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馬データ" sheetId="1" state="visible" r:id="rId3"/>
    <sheet name="レース分析" sheetId="2" state="visible" r:id="rId4"/>
    <sheet name="候補・購入履歴" sheetId="3" state="visible" r:id="rId5"/>
    <sheet name="検証ダッシュボード" sheetId="4" state="visible" r:id="rId6"/>
    <sheet name="ルール設定" sheetId="5" state="visible" r:id="rId7"/>
    <sheet name="異常値候補" sheetId="6" state="visible" r:id="rId8"/>
    <sheet name="部分取込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K170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https://race.netkeiba.com/api/api_get_jra_odds.html?race_id=202607020101&amp;type=1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2026-07-25 09:46:17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169</xdr:row>
                <xdr:rowOff>2</xdr:rowOff>
              </xdr:from>
              <xdr:to>
                <xdr:col>12</xdr:col>
                <xdr:colOff>15</xdr:colOff>
                <xdr:row>173</xdr:row>
                <xdr:rowOff>2</xdr:rowOff>
              </xdr:to>
            </anchor>
          </commentPr>
        </mc:Choice>
        <mc:Fallback/>
      </mc:AlternateContent>
    </comment>
    <comment ref="K454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https://race.netkeiba.com/api/api_get_jra_odds.html?race_id=202604020201&amp;type=1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09:57:49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453</xdr:row>
                <xdr:rowOff>2</xdr:rowOff>
              </xdr:from>
              <xdr:to>
                <xdr:col>12</xdr:col>
                <xdr:colOff>15</xdr:colOff>
                <xdr:row>457</xdr:row>
                <xdr:rowOff>2</xdr:rowOff>
              </xdr:to>
            </anchor>
          </commentPr>
        </mc:Choice>
        <mc:Fallback/>
      </mc:AlternateContent>
    </comment>
    <comment ref="K617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https://race.netkeiba.com/api/api_get_jra_odds.html?race_id=202607020201&amp;type=1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09:47:29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616</xdr:row>
                <xdr:rowOff>2</xdr:rowOff>
              </xdr:from>
              <xdr:to>
                <xdr:col>12</xdr:col>
                <xdr:colOff>15</xdr:colOff>
                <xdr:row>620</xdr:row>
                <xdr:rowOff>2</xdr:rowOff>
              </xdr:to>
            </anchor>
          </commentPr>
        </mc:Choice>
        <mc:Fallback/>
      </mc:AlternateContent>
    </comment>
    <comment ref="K642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https://race.netkeiba.com/api/api_get_jra_odds.html?race_id=202607020204&amp;type=1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11:18:14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641</xdr:row>
                <xdr:rowOff>2</xdr:rowOff>
              </xdr:from>
              <xdr:to>
                <xdr:col>12</xdr:col>
                <xdr:colOff>15</xdr:colOff>
                <xdr:row>645</xdr:row>
                <xdr:rowOff>2</xdr:rowOff>
              </xdr:to>
            </anchor>
          </commentPr>
        </mc:Choice>
        <mc:Fallback/>
      </mc:AlternateContent>
    </comment>
    <comment ref="K761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https://race.netkeiba.com/api/api_get_jra_odds.html?race_id=202607020212&amp;type=1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18:27:39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760</xdr:row>
                <xdr:rowOff>2</xdr:rowOff>
              </xdr:from>
              <xdr:to>
                <xdr:col>12</xdr:col>
                <xdr:colOff>15</xdr:colOff>
                <xdr:row>764</xdr:row>
                <xdr:rowOff>2</xdr:rowOff>
              </xdr:to>
            </anchor>
          </commentPr>
        </mc:Choice>
        <mc:Fallback/>
      </mc:AlternateContent>
    </comment>
    <comment ref="K779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https://race.netkeiba.com/api/api_get_jra_odds.html?race_id=202601010201&amp;type=1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10:05:44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778</xdr:row>
                <xdr:rowOff>2</xdr:rowOff>
              </xdr:from>
              <xdr:to>
                <xdr:col>12</xdr:col>
                <xdr:colOff>15</xdr:colOff>
                <xdr:row>782</xdr:row>
                <xdr:rowOff>2</xdr:rowOff>
              </xdr:to>
            </anchor>
          </commentPr>
        </mc:Choice>
        <mc:Fallback/>
      </mc:AlternateContent>
    </comment>
    <comment ref="K903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https://race.netkeiba.com/api/api_get_jra_odds.html?race_id=202603020701&amp;type=1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2026-07-18 10:11:59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902</xdr:row>
                <xdr:rowOff>2</xdr:rowOff>
              </xdr:from>
              <xdr:to>
                <xdr:col>12</xdr:col>
                <xdr:colOff>15</xdr:colOff>
                <xdr:row>906</xdr:row>
                <xdr:rowOff>2</xdr:rowOff>
              </xdr:to>
            </anchor>
          </commentPr>
        </mc:Choice>
        <mc:Fallback/>
      </mc:AlternateContent>
    </comment>
    <comment ref="K914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https://race.netkeiba.com/api/api_get_jra_odds.html?race_id=202603020702&amp;type=1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2026-07-18 10:46:14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913</xdr:row>
                <xdr:rowOff>2</xdr:rowOff>
              </xdr:from>
              <xdr:to>
                <xdr:col>12</xdr:col>
                <xdr:colOff>15</xdr:colOff>
                <xdr:row>917</xdr:row>
                <xdr:rowOff>2</xdr:rowOff>
              </xdr:to>
            </anchor>
          </commentPr>
        </mc:Choice>
        <mc:Fallback/>
      </mc:AlternateContent>
    </comment>
    <comment ref="K1020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https://race.netkeiba.com/api/api_get_jra_odds.html?race_id=202603020709&amp;type=1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2026-07-18 14:42:04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1019</xdr:row>
                <xdr:rowOff>2</xdr:rowOff>
              </xdr:from>
              <xdr:to>
                <xdr:col>12</xdr:col>
                <xdr:colOff>15</xdr:colOff>
                <xdr:row>1023</xdr:row>
                <xdr:rowOff>2</xdr:rowOff>
              </xdr:to>
            </anchor>
          </commentPr>
        </mc:Choice>
        <mc:Fallback/>
      </mc:AlternateContent>
    </comment>
    <comment ref="K1225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https://race.netkeiba.com/api/api_get_jra_odds.html?race_id=202602011101&amp;type=1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2026-07-18 09:57:19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1224</xdr:row>
                <xdr:rowOff>2</xdr:rowOff>
              </xdr:from>
              <xdr:to>
                <xdr:col>12</xdr:col>
                <xdr:colOff>15</xdr:colOff>
                <xdr:row>1228</xdr:row>
                <xdr:rowOff>2</xdr:rowOff>
              </xdr:to>
            </anchor>
          </commentPr>
        </mc:Choice>
        <mc:Fallback/>
      </mc:AlternateContent>
    </comment>
    <comment ref="K1368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https://race.netkeiba.com/api/api_get_jra_odds.html?race_id=202603020801&amp;type=1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2026-07-19 10:00:57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1367</xdr:row>
                <xdr:rowOff>2</xdr:rowOff>
              </xdr:from>
              <xdr:to>
                <xdr:col>12</xdr:col>
                <xdr:colOff>15</xdr:colOff>
                <xdr:row>1371</xdr:row>
                <xdr:rowOff>2</xdr:rowOff>
              </xdr:to>
            </anchor>
          </commentPr>
        </mc:Choice>
        <mc:Fallback/>
      </mc:AlternateContent>
    </comment>
    <comment ref="K1933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https://race.netkeiba.com/api/api_get_jra_odds.html?race_id=202603020506&amp;type=1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2026-07-11 13:07:40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1932</xdr:row>
                <xdr:rowOff>2</xdr:rowOff>
              </xdr:from>
              <xdr:to>
                <xdr:col>12</xdr:col>
                <xdr:colOff>15</xdr:colOff>
                <xdr:row>1936</xdr:row>
                <xdr:rowOff>2</xdr:rowOff>
              </xdr:to>
            </anchor>
          </commentPr>
        </mc:Choice>
        <mc:Fallback/>
      </mc:AlternateContent>
    </comment>
    <comment ref="K2192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https://race.netkeiba.com/api/api_get_jra_odds.html?race_id=202602010901&amp;type=1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2026-07-11 09:56:45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2191</xdr:row>
                <xdr:rowOff>2</xdr:rowOff>
              </xdr:from>
              <xdr:to>
                <xdr:col>12</xdr:col>
                <xdr:colOff>15</xdr:colOff>
                <xdr:row>2195</xdr:row>
                <xdr:rowOff>2</xdr:rowOff>
              </xdr:to>
            </anchor>
          </commentPr>
        </mc:Choice>
        <mc:Fallback/>
      </mc:AlternateContent>
    </comment>
    <comment ref="K2328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https://race.netkeiba.com/api/api_get_jra_odds.html?race_id=202602010912&amp;type=1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2026-07-11 16:11:31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2327</xdr:row>
                <xdr:rowOff>2</xdr:rowOff>
              </xdr:from>
              <xdr:to>
                <xdr:col>12</xdr:col>
                <xdr:colOff>15</xdr:colOff>
                <xdr:row>2331</xdr:row>
                <xdr:rowOff>2</xdr:rowOff>
              </xdr:to>
            </anchor>
          </commentPr>
        </mc:Choice>
        <mc:Fallback/>
      </mc:AlternateContent>
    </comment>
    <comment ref="K2373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https://race.netkeiba.com/api/api_get_jra_odds.html?race_id=202603020603&amp;type=1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2026-07-12 11:18:47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2372</xdr:row>
                <xdr:rowOff>2</xdr:rowOff>
              </xdr:from>
              <xdr:to>
                <xdr:col>12</xdr:col>
                <xdr:colOff>15</xdr:colOff>
                <xdr:row>2376</xdr:row>
                <xdr:rowOff>2</xdr:rowOff>
              </xdr:to>
            </anchor>
          </commentPr>
        </mc:Choice>
        <mc:Fallback/>
      </mc:AlternateContent>
    </comment>
    <comment ref="K2808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https://race.netkeiba.com/api/api_get_jra_odds.html?race_id=202603020301&amp;type=1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10:11:34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2807</xdr:row>
                <xdr:rowOff>2</xdr:rowOff>
              </xdr:from>
              <xdr:to>
                <xdr:col>12</xdr:col>
                <xdr:colOff>15</xdr:colOff>
                <xdr:row>2811</xdr:row>
                <xdr:rowOff>2</xdr:rowOff>
              </xdr:to>
            </anchor>
          </commentPr>
        </mc:Choice>
        <mc:Fallback/>
      </mc:AlternateContent>
    </comment>
    <comment ref="K2837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https://race.netkeiba.com/api/api_get_jra_odds.html?race_id=202603020303&amp;type=1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11:17:24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2836</xdr:row>
                <xdr:rowOff>2</xdr:rowOff>
              </xdr:from>
              <xdr:to>
                <xdr:col>12</xdr:col>
                <xdr:colOff>15</xdr:colOff>
                <xdr:row>2840</xdr:row>
                <xdr:rowOff>2</xdr:rowOff>
              </xdr:to>
            </anchor>
          </commentPr>
        </mc:Choice>
        <mc:Fallback/>
      </mc:AlternateContent>
    </comment>
    <comment ref="K2949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https://race.netkeiba.com/api/api_get_jra_odds.html?race_id=202603020311&amp;type=1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15:50:42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2948</xdr:row>
                <xdr:rowOff>2</xdr:rowOff>
              </xdr:from>
              <xdr:to>
                <xdr:col>12</xdr:col>
                <xdr:colOff>15</xdr:colOff>
                <xdr:row>2952</xdr:row>
                <xdr:rowOff>2</xdr:rowOff>
              </xdr:to>
            </anchor>
          </commentPr>
        </mc:Choice>
        <mc:Fallback/>
      </mc:AlternateContent>
    </comment>
    <comment ref="K3004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https://race.netkeiba.com/api/api_get_jra_odds.html?race_id=202610020303&amp;type=1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11:07:59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3003</xdr:row>
                <xdr:rowOff>2</xdr:rowOff>
              </xdr:from>
              <xdr:to>
                <xdr:col>12</xdr:col>
                <xdr:colOff>15</xdr:colOff>
                <xdr:row>3007</xdr:row>
                <xdr:rowOff>2</xdr:rowOff>
              </xdr:to>
            </anchor>
          </commentPr>
        </mc:Choice>
        <mc:Fallback/>
      </mc:AlternateContent>
    </comment>
    <comment ref="K3113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https://race.netkeiba.com/api/api_get_jra_odds.html?race_id=202610020311&amp;type=1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15:36:25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3112</xdr:row>
                <xdr:rowOff>2</xdr:rowOff>
              </xdr:from>
              <xdr:to>
                <xdr:col>12</xdr:col>
                <xdr:colOff>15</xdr:colOff>
                <xdr:row>3116</xdr:row>
                <xdr:rowOff>2</xdr:rowOff>
              </xdr:to>
            </anchor>
          </commentPr>
        </mc:Choice>
        <mc:Fallback/>
      </mc:AlternateContent>
    </comment>
    <comment ref="K3166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https://race.netkeiba.com/api/api_get_jra_odds.html?race_id=202602010703&amp;type=1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10:56:34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3165</xdr:row>
                <xdr:rowOff>2</xdr:rowOff>
              </xdr:from>
              <xdr:to>
                <xdr:col>12</xdr:col>
                <xdr:colOff>15</xdr:colOff>
                <xdr:row>3169</xdr:row>
                <xdr:rowOff>2</xdr:rowOff>
              </xdr:to>
            </anchor>
          </commentPr>
        </mc:Choice>
        <mc:Fallback/>
      </mc:AlternateContent>
    </comment>
    <comment ref="K3211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https://race.netkeiba.com/api/api_get_jra_odds.html?race_id=202602010707&amp;type=1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13:15:36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3210</xdr:row>
                <xdr:rowOff>2</xdr:rowOff>
              </xdr:from>
              <xdr:to>
                <xdr:col>12</xdr:col>
                <xdr:colOff>15</xdr:colOff>
                <xdr:row>3214</xdr:row>
                <xdr:rowOff>2</xdr:rowOff>
              </xdr:to>
            </anchor>
          </commentPr>
        </mc:Choice>
        <mc:Fallback/>
      </mc:AlternateContent>
    </comment>
    <comment ref="K3221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https://race.netkeiba.com/api/api_get_jra_odds.html?race_id=202602010708&amp;type=1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13:47:40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3220</xdr:row>
                <xdr:rowOff>2</xdr:rowOff>
              </xdr:from>
              <xdr:to>
                <xdr:col>12</xdr:col>
                <xdr:colOff>15</xdr:colOff>
                <xdr:row>3224</xdr:row>
                <xdr:rowOff>2</xdr:rowOff>
              </xdr:to>
            </anchor>
          </commentPr>
        </mc:Choice>
        <mc:Fallback/>
      </mc:AlternateContent>
    </comment>
    <comment ref="K3369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https://race.netkeiba.com/api/api_get_jra_odds.html?race_id=202603020407&amp;type=1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2026-07-05 13:39:47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3368</xdr:row>
                <xdr:rowOff>2</xdr:rowOff>
              </xdr:from>
              <xdr:to>
                <xdr:col>12</xdr:col>
                <xdr:colOff>15</xdr:colOff>
                <xdr:row>3372</xdr:row>
                <xdr:rowOff>2</xdr:rowOff>
              </xdr:to>
            </anchor>
          </commentPr>
        </mc:Choice>
        <mc:Fallback/>
      </mc:AlternateContent>
    </comment>
    <comment ref="K3411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https://race.netkeiba.com/api/api_get_jra_odds.html?race_id=202603020410&amp;type=1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2026-07-05 15:01:11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3410</xdr:row>
                <xdr:rowOff>2</xdr:rowOff>
              </xdr:from>
              <xdr:to>
                <xdr:col>12</xdr:col>
                <xdr:colOff>15</xdr:colOff>
                <xdr:row>3414</xdr:row>
                <xdr:rowOff>2</xdr:rowOff>
              </xdr:to>
            </anchor>
          </commentPr>
        </mc:Choice>
        <mc:Fallback/>
      </mc:AlternateContent>
    </comment>
    <comment ref="K3604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https://race.netkeiba.com/api/api_get_jra_odds.html?race_id=202610020412&amp;type=1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2026-07-05 16:36:55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3603</xdr:row>
                <xdr:rowOff>2</xdr:rowOff>
              </xdr:from>
              <xdr:to>
                <xdr:col>12</xdr:col>
                <xdr:colOff>15</xdr:colOff>
                <xdr:row>3607</xdr:row>
                <xdr:rowOff>2</xdr:rowOff>
              </xdr:to>
            </anchor>
          </commentPr>
        </mc:Choice>
        <mc:Fallback/>
      </mc:AlternateContent>
    </comment>
    <comment ref="K3616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https://race.netkeiba.com/api/api_get_jra_odds.html?race_id=202602010801&amp;type=1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2026-07-05 09:55:58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3615</xdr:row>
                <xdr:rowOff>2</xdr:rowOff>
              </xdr:from>
              <xdr:to>
                <xdr:col>12</xdr:col>
                <xdr:colOff>15</xdr:colOff>
                <xdr:row>3619</xdr:row>
                <xdr:rowOff>2</xdr:rowOff>
              </xdr:to>
            </anchor>
          </commentPr>
        </mc:Choice>
        <mc:Fallback/>
      </mc:AlternateContent>
    </comment>
    <comment ref="L170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https://race.netkeiba.com/api/api_get_jra_odds.html?race_id=202607020101&amp;type=1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2026-07-25 09:46:17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169</xdr:row>
                <xdr:rowOff>2</xdr:rowOff>
              </xdr:from>
              <xdr:to>
                <xdr:col>13</xdr:col>
                <xdr:colOff>15</xdr:colOff>
                <xdr:row>173</xdr:row>
                <xdr:rowOff>2</xdr:rowOff>
              </xdr:to>
            </anchor>
          </commentPr>
        </mc:Choice>
        <mc:Fallback/>
      </mc:AlternateContent>
    </comment>
    <comment ref="L454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https://race.netkeiba.com/api/api_get_jra_odds.html?race_id=202604020201&amp;type=1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09:57:49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453</xdr:row>
                <xdr:rowOff>2</xdr:rowOff>
              </xdr:from>
              <xdr:to>
                <xdr:col>13</xdr:col>
                <xdr:colOff>15</xdr:colOff>
                <xdr:row>457</xdr:row>
                <xdr:rowOff>2</xdr:rowOff>
              </xdr:to>
            </anchor>
          </commentPr>
        </mc:Choice>
        <mc:Fallback/>
      </mc:AlternateContent>
    </comment>
    <comment ref="L617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https://race.netkeiba.com/api/api_get_jra_odds.html?race_id=202607020201&amp;type=1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09:47:29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616</xdr:row>
                <xdr:rowOff>2</xdr:rowOff>
              </xdr:from>
              <xdr:to>
                <xdr:col>13</xdr:col>
                <xdr:colOff>15</xdr:colOff>
                <xdr:row>620</xdr:row>
                <xdr:rowOff>2</xdr:rowOff>
              </xdr:to>
            </anchor>
          </commentPr>
        </mc:Choice>
        <mc:Fallback/>
      </mc:AlternateContent>
    </comment>
    <comment ref="L642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https://race.netkeiba.com/api/api_get_jra_odds.html?race_id=202607020204&amp;type=1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11:18:14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641</xdr:row>
                <xdr:rowOff>2</xdr:rowOff>
              </xdr:from>
              <xdr:to>
                <xdr:col>13</xdr:col>
                <xdr:colOff>15</xdr:colOff>
                <xdr:row>645</xdr:row>
                <xdr:rowOff>2</xdr:rowOff>
              </xdr:to>
            </anchor>
          </commentPr>
        </mc:Choice>
        <mc:Fallback/>
      </mc:AlternateContent>
    </comment>
    <comment ref="L761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https://race.netkeiba.com/api/api_get_jra_odds.html?race_id=202607020212&amp;type=1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18:27:39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760</xdr:row>
                <xdr:rowOff>2</xdr:rowOff>
              </xdr:from>
              <xdr:to>
                <xdr:col>13</xdr:col>
                <xdr:colOff>15</xdr:colOff>
                <xdr:row>764</xdr:row>
                <xdr:rowOff>2</xdr:rowOff>
              </xdr:to>
            </anchor>
          </commentPr>
        </mc:Choice>
        <mc:Fallback/>
      </mc:AlternateContent>
    </comment>
    <comment ref="L779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https://race.netkeiba.com/api/api_get_jra_odds.html?race_id=202601010201&amp;type=1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2026-07-26 10:05:44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778</xdr:row>
                <xdr:rowOff>2</xdr:rowOff>
              </xdr:from>
              <xdr:to>
                <xdr:col>13</xdr:col>
                <xdr:colOff>15</xdr:colOff>
                <xdr:row>782</xdr:row>
                <xdr:rowOff>2</xdr:rowOff>
              </xdr:to>
            </anchor>
          </commentPr>
        </mc:Choice>
        <mc:Fallback/>
      </mc:AlternateContent>
    </comment>
    <comment ref="L903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https://race.netkeiba.com/api/api_get_jra_odds.html?race_id=202603020701&amp;type=1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2026-07-18 10:11:59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902</xdr:row>
                <xdr:rowOff>2</xdr:rowOff>
              </xdr:from>
              <xdr:to>
                <xdr:col>13</xdr:col>
                <xdr:colOff>15</xdr:colOff>
                <xdr:row>906</xdr:row>
                <xdr:rowOff>2</xdr:rowOff>
              </xdr:to>
            </anchor>
          </commentPr>
        </mc:Choice>
        <mc:Fallback/>
      </mc:AlternateContent>
    </comment>
    <comment ref="L914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https://race.netkeiba.com/api/api_get_jra_odds.html?race_id=202603020702&amp;type=1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2026-07-18 10:46:14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913</xdr:row>
                <xdr:rowOff>2</xdr:rowOff>
              </xdr:from>
              <xdr:to>
                <xdr:col>13</xdr:col>
                <xdr:colOff>15</xdr:colOff>
                <xdr:row>917</xdr:row>
                <xdr:rowOff>2</xdr:rowOff>
              </xdr:to>
            </anchor>
          </commentPr>
        </mc:Choice>
        <mc:Fallback/>
      </mc:AlternateContent>
    </comment>
    <comment ref="L1020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https://race.netkeiba.com/api/api_get_jra_odds.html?race_id=202603020709&amp;type=1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2026-07-18 14:42:04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1019</xdr:row>
                <xdr:rowOff>2</xdr:rowOff>
              </xdr:from>
              <xdr:to>
                <xdr:col>13</xdr:col>
                <xdr:colOff>15</xdr:colOff>
                <xdr:row>1023</xdr:row>
                <xdr:rowOff>2</xdr:rowOff>
              </xdr:to>
            </anchor>
          </commentPr>
        </mc:Choice>
        <mc:Fallback/>
      </mc:AlternateContent>
    </comment>
    <comment ref="L1225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https://race.netkeiba.com/api/api_get_jra_odds.html?race_id=202602011101&amp;type=1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2026-07-18 09:57:19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1224</xdr:row>
                <xdr:rowOff>2</xdr:rowOff>
              </xdr:from>
              <xdr:to>
                <xdr:col>13</xdr:col>
                <xdr:colOff>15</xdr:colOff>
                <xdr:row>1228</xdr:row>
                <xdr:rowOff>2</xdr:rowOff>
              </xdr:to>
            </anchor>
          </commentPr>
        </mc:Choice>
        <mc:Fallback/>
      </mc:AlternateContent>
    </comment>
    <comment ref="L1368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https://race.netkeiba.com/api/api_get_jra_odds.html?race_id=202603020801&amp;type=1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2026-07-19 10:00:57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1367</xdr:row>
                <xdr:rowOff>2</xdr:rowOff>
              </xdr:from>
              <xdr:to>
                <xdr:col>13</xdr:col>
                <xdr:colOff>15</xdr:colOff>
                <xdr:row>1371</xdr:row>
                <xdr:rowOff>2</xdr:rowOff>
              </xdr:to>
            </anchor>
          </commentPr>
        </mc:Choice>
        <mc:Fallback/>
      </mc:AlternateContent>
    </comment>
    <comment ref="L1933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https://race.netkeiba.com/api/api_get_jra_odds.html?race_id=202603020506&amp;type=1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2026-07-11 13:07:40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1932</xdr:row>
                <xdr:rowOff>2</xdr:rowOff>
              </xdr:from>
              <xdr:to>
                <xdr:col>13</xdr:col>
                <xdr:colOff>15</xdr:colOff>
                <xdr:row>1936</xdr:row>
                <xdr:rowOff>2</xdr:rowOff>
              </xdr:to>
            </anchor>
          </commentPr>
        </mc:Choice>
        <mc:Fallback/>
      </mc:AlternateContent>
    </comment>
    <comment ref="L2192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https://race.netkeiba.com/api/api_get_jra_odds.html?race_id=202602010901&amp;type=1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2026-07-11 09:56:45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2191</xdr:row>
                <xdr:rowOff>2</xdr:rowOff>
              </xdr:from>
              <xdr:to>
                <xdr:col>13</xdr:col>
                <xdr:colOff>15</xdr:colOff>
                <xdr:row>2195</xdr:row>
                <xdr:rowOff>2</xdr:rowOff>
              </xdr:to>
            </anchor>
          </commentPr>
        </mc:Choice>
        <mc:Fallback/>
      </mc:AlternateContent>
    </comment>
    <comment ref="L2328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https://race.netkeiba.com/api/api_get_jra_odds.html?race_id=202602010912&amp;type=1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2026-07-11 16:11:31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2327</xdr:row>
                <xdr:rowOff>2</xdr:rowOff>
              </xdr:from>
              <xdr:to>
                <xdr:col>13</xdr:col>
                <xdr:colOff>15</xdr:colOff>
                <xdr:row>2331</xdr:row>
                <xdr:rowOff>2</xdr:rowOff>
              </xdr:to>
            </anchor>
          </commentPr>
        </mc:Choice>
        <mc:Fallback/>
      </mc:AlternateContent>
    </comment>
    <comment ref="L2373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https://race.netkeiba.com/api/api_get_jra_odds.html?race_id=202603020603&amp;type=1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2026-07-12 11:18:47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2372</xdr:row>
                <xdr:rowOff>2</xdr:rowOff>
              </xdr:from>
              <xdr:to>
                <xdr:col>13</xdr:col>
                <xdr:colOff>15</xdr:colOff>
                <xdr:row>2376</xdr:row>
                <xdr:rowOff>2</xdr:rowOff>
              </xdr:to>
            </anchor>
          </commentPr>
        </mc:Choice>
        <mc:Fallback/>
      </mc:AlternateContent>
    </comment>
    <comment ref="L2808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https://race.netkeiba.com/api/api_get_jra_odds.html?race_id=202603020301&amp;type=1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10:11:34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2807</xdr:row>
                <xdr:rowOff>2</xdr:rowOff>
              </xdr:from>
              <xdr:to>
                <xdr:col>13</xdr:col>
                <xdr:colOff>15</xdr:colOff>
                <xdr:row>2811</xdr:row>
                <xdr:rowOff>2</xdr:rowOff>
              </xdr:to>
            </anchor>
          </commentPr>
        </mc:Choice>
        <mc:Fallback/>
      </mc:AlternateContent>
    </comment>
    <comment ref="L2837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https://race.netkeiba.com/api/api_get_jra_odds.html?race_id=202603020303&amp;type=1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11:17:24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2836</xdr:row>
                <xdr:rowOff>2</xdr:rowOff>
              </xdr:from>
              <xdr:to>
                <xdr:col>13</xdr:col>
                <xdr:colOff>15</xdr:colOff>
                <xdr:row>2840</xdr:row>
                <xdr:rowOff>2</xdr:rowOff>
              </xdr:to>
            </anchor>
          </commentPr>
        </mc:Choice>
        <mc:Fallback/>
      </mc:AlternateContent>
    </comment>
    <comment ref="L2949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https://race.netkeiba.com/api/api_get_jra_odds.html?race_id=202603020311&amp;type=1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15:50:42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2948</xdr:row>
                <xdr:rowOff>2</xdr:rowOff>
              </xdr:from>
              <xdr:to>
                <xdr:col>13</xdr:col>
                <xdr:colOff>15</xdr:colOff>
                <xdr:row>2952</xdr:row>
                <xdr:rowOff>2</xdr:rowOff>
              </xdr:to>
            </anchor>
          </commentPr>
        </mc:Choice>
        <mc:Fallback/>
      </mc:AlternateContent>
    </comment>
    <comment ref="L3004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https://race.netkeiba.com/api/api_get_jra_odds.html?race_id=202610020303&amp;type=1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11:07:59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3003</xdr:row>
                <xdr:rowOff>2</xdr:rowOff>
              </xdr:from>
              <xdr:to>
                <xdr:col>13</xdr:col>
                <xdr:colOff>15</xdr:colOff>
                <xdr:row>3007</xdr:row>
                <xdr:rowOff>2</xdr:rowOff>
              </xdr:to>
            </anchor>
          </commentPr>
        </mc:Choice>
        <mc:Fallback/>
      </mc:AlternateContent>
    </comment>
    <comment ref="L3113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https://race.netkeiba.com/api/api_get_jra_odds.html?race_id=202610020311&amp;type=1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15:36:25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3112</xdr:row>
                <xdr:rowOff>2</xdr:rowOff>
              </xdr:from>
              <xdr:to>
                <xdr:col>13</xdr:col>
                <xdr:colOff>15</xdr:colOff>
                <xdr:row>3116</xdr:row>
                <xdr:rowOff>2</xdr:rowOff>
              </xdr:to>
            </anchor>
          </commentPr>
        </mc:Choice>
        <mc:Fallback/>
      </mc:AlternateContent>
    </comment>
    <comment ref="L3166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https://race.netkeiba.com/api/api_get_jra_odds.html?race_id=202602010703&amp;type=1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10:56:34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3165</xdr:row>
                <xdr:rowOff>2</xdr:rowOff>
              </xdr:from>
              <xdr:to>
                <xdr:col>13</xdr:col>
                <xdr:colOff>15</xdr:colOff>
                <xdr:row>3169</xdr:row>
                <xdr:rowOff>2</xdr:rowOff>
              </xdr:to>
            </anchor>
          </commentPr>
        </mc:Choice>
        <mc:Fallback/>
      </mc:AlternateContent>
    </comment>
    <comment ref="L3211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https://race.netkeiba.com/api/api_get_jra_odds.html?race_id=202602010707&amp;type=1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13:15:36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3210</xdr:row>
                <xdr:rowOff>2</xdr:rowOff>
              </xdr:from>
              <xdr:to>
                <xdr:col>13</xdr:col>
                <xdr:colOff>15</xdr:colOff>
                <xdr:row>3214</xdr:row>
                <xdr:rowOff>2</xdr:rowOff>
              </xdr:to>
            </anchor>
          </commentPr>
        </mc:Choice>
        <mc:Fallback/>
      </mc:AlternateContent>
    </comment>
    <comment ref="L3221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https://race.netkeiba.com/api/api_get_jra_odds.html?race_id=202602010708&amp;type=1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2026-07-04 13:47:40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3220</xdr:row>
                <xdr:rowOff>2</xdr:rowOff>
              </xdr:from>
              <xdr:to>
                <xdr:col>13</xdr:col>
                <xdr:colOff>15</xdr:colOff>
                <xdr:row>3224</xdr:row>
                <xdr:rowOff>2</xdr:rowOff>
              </xdr:to>
            </anchor>
          </commentPr>
        </mc:Choice>
        <mc:Fallback/>
      </mc:AlternateContent>
    </comment>
    <comment ref="L3369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https://race.netkeiba.com/api/api_get_jra_odds.html?race_id=202603020407&amp;type=1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2026-07-05 13:39:47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3368</xdr:row>
                <xdr:rowOff>2</xdr:rowOff>
              </xdr:from>
              <xdr:to>
                <xdr:col>13</xdr:col>
                <xdr:colOff>15</xdr:colOff>
                <xdr:row>3372</xdr:row>
                <xdr:rowOff>2</xdr:rowOff>
              </xdr:to>
            </anchor>
          </commentPr>
        </mc:Choice>
        <mc:Fallback/>
      </mc:AlternateContent>
    </comment>
    <comment ref="L3411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https://race.netkeiba.com/api/api_get_jra_odds.html?race_id=202603020410&amp;type=1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2026-07-05 15:01:11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3410</xdr:row>
                <xdr:rowOff>2</xdr:rowOff>
              </xdr:from>
              <xdr:to>
                <xdr:col>13</xdr:col>
                <xdr:colOff>15</xdr:colOff>
                <xdr:row>3414</xdr:row>
                <xdr:rowOff>2</xdr:rowOff>
              </xdr:to>
            </anchor>
          </commentPr>
        </mc:Choice>
        <mc:Fallback/>
      </mc:AlternateContent>
    </comment>
    <comment ref="L3604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https://race.netkeiba.com/api/api_get_jra_odds.html?race_id=202610020412&amp;type=1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2026-07-05 16:36:55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3603</xdr:row>
                <xdr:rowOff>2</xdr:rowOff>
              </xdr:from>
              <xdr:to>
                <xdr:col>13</xdr:col>
                <xdr:colOff>15</xdr:colOff>
                <xdr:row>3607</xdr:row>
                <xdr:rowOff>2</xdr:rowOff>
              </xdr:to>
            </anchor>
          </commentPr>
        </mc:Choice>
        <mc:Fallback/>
      </mc:AlternateContent>
    </comment>
    <comment ref="L3616" authorId="0">
      <text>
        <r>
          <rPr>
            <sz val="10"/>
            <rFont val="Noto Sans"/>
            <family val="2"/>
          </rPr>
          <t xml:space="preserve">出典</t>
        </r>
        <r>
          <rPr>
            <sz val="10"/>
            <rFont val="Arial"/>
            <family val="2"/>
          </rPr>
          <t xml:space="preserve">: https://race.netkeiba.com/api/api_get_jra_odds.html?race_id=202602010801&amp;type=1
</t>
        </r>
        <r>
          <rPr>
            <sz val="10"/>
            <rFont val="Noto Sans"/>
            <family val="2"/>
          </rPr>
          <t xml:space="preserve">取得時刻</t>
        </r>
        <r>
          <rPr>
            <sz val="10"/>
            <rFont val="Arial"/>
            <family val="2"/>
          </rPr>
          <t xml:space="preserve">: 2026-07-05 09:55:58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3615</xdr:row>
                <xdr:rowOff>2</xdr:rowOff>
              </xdr:from>
              <xdr:to>
                <xdr:col>13</xdr:col>
                <xdr:colOff>15</xdr:colOff>
                <xdr:row>3619</xdr:row>
                <xdr:rowOff>2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Ihara Yuki</author>
  </authors>
  <commentList>
    <comment ref="A157" authorId="0">
      <text>
        <r>
          <rPr>
            <sz val="10"/>
            <rFont val="Arial"/>
            <family val="2"/>
          </rPr>
          <t xml:space="preserve">Source: eval_jrdb_dataset_20260826.csv</t>
        </r>
        <r>
          <rPr>
            <sz val="10"/>
            <rFont val="Noto Sans"/>
            <family val="2"/>
          </rPr>
          <t xml:space="preserve">（</t>
        </r>
        <r>
          <rPr>
            <sz val="10"/>
            <rFont val="Arial"/>
            <family val="2"/>
          </rPr>
          <t xml:space="preserve">1,145</t>
        </r>
        <r>
          <rPr>
            <sz val="10"/>
            <rFont val="Noto Sans"/>
            <family val="2"/>
          </rPr>
          <t xml:space="preserve">レース、</t>
        </r>
        <r>
          <rPr>
            <sz val="10"/>
            <rFont val="Arial"/>
            <family val="2"/>
          </rPr>
          <t xml:space="preserve">race_date + venue_code + race_no</t>
        </r>
        <r>
          <rPr>
            <sz val="10"/>
            <rFont val="Noto Sans"/>
            <family val="2"/>
          </rPr>
          <t xml:space="preserve">で結合）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15</xdr:colOff>
                <xdr:row>156</xdr:row>
                <xdr:rowOff>2</xdr:rowOff>
              </xdr:from>
              <xdr:to>
                <xdr:col>2</xdr:col>
                <xdr:colOff>15</xdr:colOff>
                <xdr:row>160</xdr:row>
                <xdr:rowOff>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<sst xmlns="http://schemas.openxmlformats.org/spreadsheetml/2006/main" count="78382" uniqueCount="8476">
  <si>
    <t xml:space="preserve">開催日</t>
  </si>
  <si>
    <t xml:space="preserve">場</t>
  </si>
  <si>
    <t xml:space="preserve">R</t>
  </si>
  <si>
    <t xml:space="preserve">馬番</t>
  </si>
  <si>
    <t xml:space="preserve">馬名</t>
  </si>
  <si>
    <r>
      <rPr>
        <b val="true"/>
        <sz val="11"/>
        <color rgb="FF1E1E1E"/>
        <rFont val="Arial"/>
        <family val="0"/>
        <charset val="1"/>
      </rPr>
      <t xml:space="preserve">Eval</t>
    </r>
    <r>
      <rPr>
        <b val="true"/>
        <sz val="11"/>
        <color rgb="FF1E1E1E"/>
        <rFont val="Noto Sans"/>
        <family val="2"/>
      </rPr>
      <t xml:space="preserve">馬券内率</t>
    </r>
    <r>
      <rPr>
        <b val="true"/>
        <sz val="11"/>
        <color rgb="FF1E1E1E"/>
        <rFont val="Arial"/>
        <family val="0"/>
        <charset val="1"/>
      </rPr>
      <t xml:space="preserve">(%)</t>
    </r>
  </si>
  <si>
    <r>
      <rPr>
        <b val="true"/>
        <sz val="11"/>
        <color rgb="FF1E1E1E"/>
        <rFont val="Arial"/>
        <family val="0"/>
        <charset val="1"/>
      </rPr>
      <t xml:space="preserve">Eval</t>
    </r>
    <r>
      <rPr>
        <b val="true"/>
        <sz val="11"/>
        <color rgb="FF1E1E1E"/>
        <rFont val="Noto Sans"/>
        <family val="2"/>
      </rPr>
      <t xml:space="preserve">順位</t>
    </r>
  </si>
  <si>
    <t xml:space="preserve">着順</t>
  </si>
  <si>
    <r>
      <rPr>
        <b val="true"/>
        <sz val="11"/>
        <color rgb="FF1E1E1E"/>
        <rFont val="Arial"/>
        <family val="0"/>
        <charset val="1"/>
      </rPr>
      <t xml:space="preserve">3</t>
    </r>
    <r>
      <rPr>
        <b val="true"/>
        <sz val="11"/>
        <color rgb="FF1E1E1E"/>
        <rFont val="Noto Sans"/>
        <family val="2"/>
      </rPr>
      <t xml:space="preserve">着内</t>
    </r>
  </si>
  <si>
    <r>
      <rPr>
        <b val="true"/>
        <sz val="11"/>
        <color rgb="FF1E1E1E"/>
        <rFont val="Noto Sans"/>
        <family val="2"/>
      </rPr>
      <t xml:space="preserve">複勝払戻</t>
    </r>
    <r>
      <rPr>
        <b val="true"/>
        <sz val="11"/>
        <color rgb="FF1E1E1E"/>
        <rFont val="Arial"/>
        <family val="0"/>
        <charset val="1"/>
      </rPr>
      <t xml:space="preserve">(</t>
    </r>
    <r>
      <rPr>
        <b val="true"/>
        <sz val="11"/>
        <color rgb="FF1E1E1E"/>
        <rFont val="Noto Sans"/>
        <family val="2"/>
      </rPr>
      <t xml:space="preserve">円</t>
    </r>
    <r>
      <rPr>
        <b val="true"/>
        <sz val="11"/>
        <color rgb="FF1E1E1E"/>
        <rFont val="Arial"/>
        <family val="0"/>
        <charset val="1"/>
      </rPr>
      <t xml:space="preserve">)</t>
    </r>
  </si>
  <si>
    <t xml:space="preserve">最終複勝オッズ下限</t>
  </si>
  <si>
    <t xml:space="preserve">最終複勝オッズ上限</t>
  </si>
  <si>
    <t xml:space="preserve">備考</t>
  </si>
  <si>
    <t xml:space="preserve">新潟</t>
  </si>
  <si>
    <t xml:space="preserve">コスモバルムンク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</si>
  <si>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＋目視補正／着順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</si>
  <si>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フルーツバスケット</t>
  </si>
  <si>
    <t xml:space="preserve">ソラニワラエバ</t>
  </si>
  <si>
    <t xml:space="preserve">コルサロ</t>
  </si>
  <si>
    <t xml:space="preserve">トリプティーク</t>
  </si>
  <si>
    <t xml:space="preserve">ローグアン</t>
  </si>
  <si>
    <t xml:space="preserve">ノシェリー</t>
  </si>
  <si>
    <t xml:space="preserve">ランドジャイアンツ</t>
  </si>
  <si>
    <t xml:space="preserve">ワンコール</t>
  </si>
  <si>
    <t xml:space="preserve">レゾルーティオ</t>
  </si>
  <si>
    <t xml:space="preserve">エレクトス</t>
  </si>
  <si>
    <t xml:space="preserve">リコルディオーロ</t>
  </si>
  <si>
    <t xml:space="preserve">モミスケ</t>
  </si>
  <si>
    <t xml:space="preserve">ピウモッソ</t>
  </si>
  <si>
    <t xml:space="preserve">ランズエンド</t>
  </si>
  <si>
    <t xml:space="preserve">ユイチャンファイト</t>
  </si>
  <si>
    <t xml:space="preserve">サザンキンレンカ</t>
  </si>
  <si>
    <t xml:space="preserve">アレックスケー</t>
  </si>
  <si>
    <t xml:space="preserve">スクワミッシュ</t>
  </si>
  <si>
    <t xml:space="preserve">ライヴバーボン</t>
  </si>
  <si>
    <t xml:space="preserve">イニシャルポイント</t>
  </si>
  <si>
    <t xml:space="preserve">ミカミッチー</t>
  </si>
  <si>
    <t xml:space="preserve">オンアロール</t>
  </si>
  <si>
    <t xml:space="preserve">コパノフラメンコ</t>
  </si>
  <si>
    <t xml:space="preserve">トルタパスカリーナ</t>
  </si>
  <si>
    <t xml:space="preserve">リーペベラーリア</t>
  </si>
  <si>
    <t xml:space="preserve">スターマイン</t>
  </si>
  <si>
    <t xml:space="preserve">セプタードアイル</t>
  </si>
  <si>
    <t xml:space="preserve">サトノスプレマシ</t>
  </si>
  <si>
    <t xml:space="preserve">スイートアリッサム</t>
  </si>
  <si>
    <t xml:space="preserve">プレママドンナ</t>
  </si>
  <si>
    <t xml:space="preserve">マリアンデール</t>
  </si>
  <si>
    <t xml:space="preserve">サンマルオブウォ</t>
  </si>
  <si>
    <t xml:space="preserve">パチクリベスクリ</t>
  </si>
  <si>
    <t xml:space="preserve">プリプリプリン</t>
  </si>
  <si>
    <t xml:space="preserve">スノーランス</t>
  </si>
  <si>
    <t xml:space="preserve">シャインネージュニ</t>
  </si>
  <si>
    <t xml:space="preserve">ナーシリーヤ</t>
  </si>
  <si>
    <t xml:space="preserve">セイウンヤオヨロズ</t>
  </si>
  <si>
    <t xml:space="preserve">メイショウバリスタ</t>
  </si>
  <si>
    <t xml:space="preserve">ロジザポード</t>
  </si>
  <si>
    <t xml:space="preserve">スウィートラキ</t>
  </si>
  <si>
    <t xml:space="preserve">スウェーバック</t>
  </si>
  <si>
    <t xml:space="preserve">ジョイベル</t>
  </si>
  <si>
    <t xml:space="preserve">フジテンクウ</t>
  </si>
  <si>
    <t xml:space="preserve">マナイアカラニ</t>
  </si>
  <si>
    <t xml:space="preserve">オレンジキャンパス</t>
  </si>
  <si>
    <t xml:space="preserve">スワローシチ</t>
  </si>
  <si>
    <t xml:space="preserve">コスモナエマ</t>
  </si>
  <si>
    <t xml:space="preserve">メイショウキンタイ</t>
  </si>
  <si>
    <t xml:space="preserve">ケイツールピア</t>
  </si>
  <si>
    <t xml:space="preserve">フィールドノート</t>
  </si>
  <si>
    <t xml:space="preserve">カリーン</t>
  </si>
  <si>
    <t xml:space="preserve">オルグジェシダ</t>
  </si>
  <si>
    <t xml:space="preserve">トラストモアリズム</t>
  </si>
  <si>
    <t xml:space="preserve">リアルセンタ</t>
  </si>
  <si>
    <t xml:space="preserve">ヴァリスマリネリス</t>
  </si>
  <si>
    <t xml:space="preserve">キシダンチョウ</t>
  </si>
  <si>
    <t xml:space="preserve">ゴールドスタ</t>
  </si>
  <si>
    <t xml:space="preserve">ナファロア</t>
  </si>
  <si>
    <t xml:space="preserve">ラビットアイ</t>
  </si>
  <si>
    <t xml:space="preserve">ケイケイ</t>
  </si>
  <si>
    <t xml:space="preserve">ナグルファル</t>
  </si>
  <si>
    <t xml:space="preserve">ドリームクルーズ</t>
  </si>
  <si>
    <t xml:space="preserve">ガリレア</t>
  </si>
  <si>
    <t xml:space="preserve">ルナルーチェット</t>
  </si>
  <si>
    <t xml:space="preserve">ジーネキング</t>
  </si>
  <si>
    <t xml:space="preserve">メランジェ</t>
  </si>
  <si>
    <t xml:space="preserve">ソニックライン</t>
  </si>
  <si>
    <t xml:space="preserve">ギフテッド</t>
  </si>
  <si>
    <t xml:space="preserve">ミッキースターダム</t>
  </si>
  <si>
    <t xml:space="preserve">シャンソンドール</t>
  </si>
  <si>
    <t xml:space="preserve">コルドンブル</t>
  </si>
  <si>
    <t xml:space="preserve">ポッドロワール</t>
  </si>
  <si>
    <t xml:space="preserve">コートアリシアン</t>
  </si>
  <si>
    <t xml:space="preserve">エマヌエーレ</t>
  </si>
  <si>
    <t xml:space="preserve">スマイルアップ</t>
  </si>
  <si>
    <t xml:space="preserve">エイムフォーエース</t>
  </si>
  <si>
    <t xml:space="preserve">ピコローズ</t>
  </si>
  <si>
    <t xml:space="preserve">アームテイル</t>
  </si>
  <si>
    <t xml:space="preserve">ポボンヌソワレ</t>
  </si>
  <si>
    <t xml:space="preserve">モンテシート</t>
  </si>
  <si>
    <t xml:space="preserve">チューラワンサ</t>
  </si>
  <si>
    <t xml:space="preserve">ヴェサリウス</t>
  </si>
  <si>
    <t xml:space="preserve">ミストレス</t>
  </si>
  <si>
    <t xml:space="preserve">スティールブル</t>
  </si>
  <si>
    <t xml:space="preserve">ルミノメテオール</t>
  </si>
  <si>
    <t xml:space="preserve">ウナギノボリ</t>
  </si>
  <si>
    <t xml:space="preserve">キタサンダムール</t>
  </si>
  <si>
    <t xml:space="preserve">モジャーリオミ</t>
  </si>
  <si>
    <t xml:space="preserve">フライングブレード</t>
  </si>
  <si>
    <t xml:space="preserve">ヴィエントデコラ</t>
  </si>
  <si>
    <t xml:space="preserve">ライヴスプーン</t>
  </si>
  <si>
    <t xml:space="preserve">ケルピ</t>
  </si>
  <si>
    <t xml:space="preserve">メトロポリターナニ</t>
  </si>
  <si>
    <t xml:space="preserve">イリュストル</t>
  </si>
  <si>
    <t xml:space="preserve">ロケットパンチ</t>
  </si>
  <si>
    <t xml:space="preserve">ハルノアラシ</t>
  </si>
  <si>
    <t xml:space="preserve">コッレヴェッキオ</t>
  </si>
  <si>
    <t xml:space="preserve">アヴァランチ</t>
  </si>
  <si>
    <t xml:space="preserve">パイオニアスクエア</t>
  </si>
  <si>
    <t xml:space="preserve">インナーバパッション</t>
  </si>
  <si>
    <t xml:space="preserve">バッカステソーロ</t>
  </si>
  <si>
    <t xml:space="preserve">ブプレスドナイル</t>
  </si>
  <si>
    <t xml:space="preserve">ウォータダターリーダー</t>
  </si>
  <si>
    <t xml:space="preserve">コスモチプリア</t>
  </si>
  <si>
    <r>
      <rPr>
        <sz val="11"/>
        <color theme="1"/>
        <rFont val="Noto Sans"/>
        <family val="2"/>
      </rPr>
      <t xml:space="preserve">スコラーリ</t>
    </r>
    <r>
      <rPr>
        <sz val="11"/>
        <color theme="1"/>
        <rFont val="Arial"/>
        <family val="0"/>
        <charset val="1"/>
      </rPr>
      <t xml:space="preserve">mm</t>
    </r>
  </si>
  <si>
    <t xml:space="preserve">サングラデーション</t>
  </si>
  <si>
    <t xml:space="preserve">サルサロッサ</t>
  </si>
  <si>
    <t xml:space="preserve">パーブルアドミラル</t>
  </si>
  <si>
    <t xml:space="preserve">ダノンロッキー</t>
  </si>
  <si>
    <t xml:space="preserve">モンツァフレイバー</t>
  </si>
  <si>
    <t xml:space="preserve">ローンウルフ</t>
  </si>
  <si>
    <t xml:space="preserve">アメリカンピース</t>
  </si>
  <si>
    <t xml:space="preserve">シェリーシュシュ</t>
  </si>
  <si>
    <t xml:space="preserve">ミウ</t>
  </si>
  <si>
    <t xml:space="preserve">ベアエクスプレス</t>
  </si>
  <si>
    <t xml:space="preserve">マイトリックスタ</t>
  </si>
  <si>
    <t xml:space="preserve">ナツミカンチャン</t>
  </si>
  <si>
    <t xml:space="preserve">ディレクティオ</t>
  </si>
  <si>
    <t xml:space="preserve">ミュージックレイン</t>
  </si>
  <si>
    <t xml:space="preserve">メジロピオラ</t>
  </si>
  <si>
    <t xml:space="preserve">ゴールドビリーヴ</t>
  </si>
  <si>
    <t xml:space="preserve">ナックレジーナ</t>
  </si>
  <si>
    <t xml:space="preserve">オリエンタルガール</t>
  </si>
  <si>
    <t xml:space="preserve">カーボフリオ</t>
  </si>
  <si>
    <t xml:space="preserve">アドバンスジェンヌ</t>
  </si>
  <si>
    <t xml:space="preserve">バーヴァンシー</t>
  </si>
  <si>
    <t xml:space="preserve">アジャイブ</t>
  </si>
  <si>
    <t xml:space="preserve">ユニベールクイーン</t>
  </si>
  <si>
    <t xml:space="preserve">ルディドゥゲンジ</t>
  </si>
  <si>
    <t xml:space="preserve">アリアファブラ</t>
  </si>
  <si>
    <t xml:space="preserve">リオクリスハーレー</t>
  </si>
  <si>
    <t xml:space="preserve">ムーンシェイド</t>
  </si>
  <si>
    <t xml:space="preserve">マイエラ</t>
  </si>
  <si>
    <t xml:space="preserve">アイファーアイドル</t>
  </si>
  <si>
    <t xml:space="preserve">ソレム</t>
  </si>
  <si>
    <t xml:space="preserve">セランディア</t>
  </si>
  <si>
    <t xml:space="preserve">ノーブルラホーヤ</t>
  </si>
  <si>
    <t xml:space="preserve">ミヤザキムスメ</t>
  </si>
  <si>
    <t xml:space="preserve">タツナナイロ</t>
  </si>
  <si>
    <t xml:space="preserve">ケイツーキップ</t>
  </si>
  <si>
    <t xml:space="preserve">ユイノササヤキ</t>
  </si>
  <si>
    <t xml:space="preserve">テラシエスタ</t>
  </si>
  <si>
    <t xml:space="preserve">シルバーアックス</t>
  </si>
  <si>
    <t xml:space="preserve">リオハリソンメリ</t>
  </si>
  <si>
    <t xml:space="preserve">ジョイアミーアミ</t>
  </si>
  <si>
    <t xml:space="preserve">ミスバレンシア</t>
  </si>
  <si>
    <t xml:space="preserve">リラ</t>
  </si>
  <si>
    <t xml:space="preserve">クリールスル</t>
  </si>
  <si>
    <t xml:space="preserve">ルージュダリア</t>
  </si>
  <si>
    <t xml:space="preserve">リアライズリパティ</t>
  </si>
  <si>
    <t xml:space="preserve">ショウナンマリーナ</t>
  </si>
  <si>
    <t xml:space="preserve">ロジャリーマイン</t>
  </si>
  <si>
    <t xml:space="preserve">ウインロゼライト</t>
  </si>
  <si>
    <t xml:space="preserve">カフェラバ</t>
  </si>
  <si>
    <t xml:space="preserve">リラベガ</t>
  </si>
  <si>
    <t xml:space="preserve">ガラク</t>
  </si>
  <si>
    <t xml:space="preserve">ワディアルリヤハ</t>
  </si>
  <si>
    <t xml:space="preserve">ジョワイユノエル</t>
  </si>
  <si>
    <t xml:space="preserve">テンハートピビート</t>
  </si>
  <si>
    <t xml:space="preserve">タイセイフレッサ</t>
  </si>
  <si>
    <t xml:space="preserve">ブルバンビーナ</t>
  </si>
  <si>
    <t xml:space="preserve">メイリ</t>
  </si>
  <si>
    <t xml:space="preserve">中京</t>
  </si>
  <si>
    <t xml:space="preserve">レッドネビュラ</t>
  </si>
  <si>
    <t xml:space="preserve">ワイドアイリ</t>
  </si>
  <si>
    <t xml:space="preserve">アースグリッパー</t>
  </si>
  <si>
    <t xml:space="preserve">シャインロード</t>
  </si>
  <si>
    <t xml:space="preserve">エルダークローネ</t>
  </si>
  <si>
    <t xml:space="preserve">エコロメジャー</t>
  </si>
  <si>
    <t xml:space="preserve">テーオージャスミン</t>
  </si>
  <si>
    <t xml:space="preserve">クイーンズアイ</t>
  </si>
  <si>
    <t xml:space="preserve">トム</t>
  </si>
  <si>
    <t xml:space="preserve">エアロクリスタ</t>
  </si>
  <si>
    <t xml:space="preserve">タガノレクシア</t>
  </si>
  <si>
    <r>
      <rPr>
        <sz val="11"/>
        <color theme="1"/>
        <rFont val="Noto Sans"/>
        <family val="2"/>
      </rPr>
      <t xml:space="preserve">コスモルミナ</t>
    </r>
    <r>
      <rPr>
        <sz val="11"/>
        <color theme="1"/>
        <rFont val="Arial"/>
        <family val="0"/>
        <charset val="1"/>
      </rPr>
      <t xml:space="preserve">L</t>
    </r>
  </si>
  <si>
    <t xml:space="preserve">リアルメッセージ</t>
  </si>
  <si>
    <t xml:space="preserve">テーオーライガ</t>
  </si>
  <si>
    <t xml:space="preserve">ヤマトデュノール</t>
  </si>
  <si>
    <t xml:space="preserve">ブフブトコンゴウ</t>
  </si>
  <si>
    <t xml:space="preserve">ソリドゥス</t>
  </si>
  <si>
    <t xml:space="preserve">レッドレヴェリー</t>
  </si>
  <si>
    <t xml:space="preserve">ロンリーマン</t>
  </si>
  <si>
    <t xml:space="preserve">ブレイクアウェイ</t>
  </si>
  <si>
    <t xml:space="preserve">ラインエレガント</t>
  </si>
  <si>
    <t xml:space="preserve">ベルヴェール</t>
  </si>
  <si>
    <t xml:space="preserve">デルマトカチ</t>
  </si>
  <si>
    <t xml:space="preserve">レッドブライトン</t>
  </si>
  <si>
    <t xml:space="preserve">チュオンソン</t>
  </si>
  <si>
    <t xml:space="preserve">シンゼンイセ</t>
  </si>
  <si>
    <t xml:space="preserve">スマートエラン</t>
  </si>
  <si>
    <t xml:space="preserve">コスモフィレンツェ</t>
  </si>
  <si>
    <t xml:space="preserve">マサハヤルージュニニ</t>
  </si>
  <si>
    <t xml:space="preserve">アメジストブリエ</t>
  </si>
  <si>
    <t xml:space="preserve">プブロットシッケンズ</t>
  </si>
  <si>
    <t xml:space="preserve">プレスバーン</t>
  </si>
  <si>
    <t xml:space="preserve">ラビピス</t>
  </si>
  <si>
    <t xml:space="preserve">フィンガーレイクス</t>
  </si>
  <si>
    <t xml:space="preserve">ヨシノサンキュ</t>
  </si>
  <si>
    <t xml:space="preserve">ベルアズーロ</t>
  </si>
  <si>
    <t xml:space="preserve">ヴァンドゥーヴル</t>
  </si>
  <si>
    <t xml:space="preserve">テリコス</t>
  </si>
  <si>
    <t xml:space="preserve">テイクザスローン</t>
  </si>
  <si>
    <t xml:space="preserve">ロードファイタ</t>
  </si>
  <si>
    <t xml:space="preserve">グランピアン</t>
  </si>
  <si>
    <t xml:space="preserve">ナウオアネヴァー</t>
  </si>
  <si>
    <t xml:space="preserve">マーゴットショット</t>
  </si>
  <si>
    <t xml:space="preserve">ワイドヴィンクルム</t>
  </si>
  <si>
    <t xml:space="preserve">ポボクサークラブ</t>
  </si>
  <si>
    <t xml:space="preserve">アステリアート</t>
  </si>
  <si>
    <t xml:space="preserve">ジャスティンレビン</t>
  </si>
  <si>
    <t xml:space="preserve">タロ</t>
  </si>
  <si>
    <t xml:space="preserve">コーディアリティニ</t>
  </si>
  <si>
    <r>
      <rPr>
        <sz val="11"/>
        <color theme="1"/>
        <rFont val="Noto Sans"/>
        <family val="2"/>
      </rPr>
      <t xml:space="preserve">アスクハハッピーマン</t>
    </r>
    <r>
      <rPr>
        <sz val="11"/>
        <color theme="1"/>
        <rFont val="Arial"/>
        <family val="0"/>
        <charset val="1"/>
      </rPr>
      <t xml:space="preserve">mm</t>
    </r>
  </si>
  <si>
    <t xml:space="preserve">インヴァイト</t>
  </si>
  <si>
    <t xml:space="preserve">ワンダーヴァレル</t>
  </si>
  <si>
    <t xml:space="preserve">イルミナジーティー</t>
  </si>
  <si>
    <t xml:space="preserve">ペガサスジルシ</t>
  </si>
  <si>
    <t xml:space="preserve">セコンドトゥベスト</t>
  </si>
  <si>
    <t xml:space="preserve">スレイクイーン</t>
  </si>
  <si>
    <t xml:space="preserve">ラヴエナストロニニ</t>
  </si>
  <si>
    <t xml:space="preserve">リアライズアリス</t>
  </si>
  <si>
    <t xml:space="preserve">セイロンブリーズ</t>
  </si>
  <si>
    <t xml:space="preserve">ノーブルクインダム</t>
  </si>
  <si>
    <r>
      <rPr>
        <sz val="11"/>
        <color theme="1"/>
        <rFont val="Noto Sans"/>
        <family val="2"/>
      </rPr>
      <t xml:space="preserve">セルヴァジオ</t>
    </r>
    <r>
      <rPr>
        <sz val="11"/>
        <color theme="1"/>
        <rFont val="Arial"/>
        <family val="0"/>
        <charset val="1"/>
      </rPr>
      <t xml:space="preserve">1</t>
    </r>
  </si>
  <si>
    <t xml:space="preserve">ファルカータ</t>
  </si>
  <si>
    <t xml:space="preserve">トレッチェ</t>
  </si>
  <si>
    <t xml:space="preserve">ヒーナシャム</t>
  </si>
  <si>
    <t xml:space="preserve">マルモリキャスタ</t>
  </si>
  <si>
    <t xml:space="preserve">ダーコ</t>
  </si>
  <si>
    <t xml:space="preserve">スーパージョック</t>
  </si>
  <si>
    <t xml:space="preserve">モズケイスタ</t>
  </si>
  <si>
    <t xml:space="preserve">ヤマニンバロネス</t>
  </si>
  <si>
    <t xml:space="preserve">ステラスプレンダ</t>
  </si>
  <si>
    <t xml:space="preserve">アリエスキング</t>
  </si>
  <si>
    <t xml:space="preserve">ゼロヴィジビリティ</t>
  </si>
  <si>
    <t xml:space="preserve">ホウオウゴールド</t>
  </si>
  <si>
    <t xml:space="preserve">ジェミート</t>
  </si>
  <si>
    <t xml:space="preserve">ポートデラメール</t>
  </si>
  <si>
    <t xml:space="preserve">モズタチアガレ</t>
  </si>
  <si>
    <t xml:space="preserve">チュウワチーフ</t>
  </si>
  <si>
    <t xml:space="preserve">エブリーポッシブル</t>
  </si>
  <si>
    <t xml:space="preserve">ヘリテージブルーム</t>
  </si>
  <si>
    <t xml:space="preserve">ザックザク</t>
  </si>
  <si>
    <t xml:space="preserve">ゴルデールスカ</t>
  </si>
  <si>
    <t xml:space="preserve">アレ</t>
  </si>
  <si>
    <t xml:space="preserve">ミッキーゴールド</t>
  </si>
  <si>
    <t xml:space="preserve">エイカイマッケンロ</t>
  </si>
  <si>
    <t xml:space="preserve">リンフレスカンテ</t>
  </si>
  <si>
    <t xml:space="preserve">タイセイフェリーク</t>
  </si>
  <si>
    <r>
      <rPr>
        <sz val="11"/>
        <color theme="1"/>
        <rFont val="Noto Sans"/>
        <family val="2"/>
      </rPr>
      <t xml:space="preserve">ウインデイジー</t>
    </r>
    <r>
      <rPr>
        <sz val="11"/>
        <color theme="1"/>
        <rFont val="Arial"/>
        <family val="0"/>
        <charset val="1"/>
      </rPr>
      <t xml:space="preserve">m</t>
    </r>
  </si>
  <si>
    <t xml:space="preserve">サトノクローク</t>
  </si>
  <si>
    <t xml:space="preserve">ハーツコンチェルト</t>
  </si>
  <si>
    <t xml:space="preserve">メイショウソウタ</t>
  </si>
  <si>
    <t xml:space="preserve">ミュージシャン</t>
  </si>
  <si>
    <t xml:space="preserve">サダムオプシス</t>
  </si>
  <si>
    <t xml:space="preserve">ナムラフッカ</t>
  </si>
  <si>
    <t xml:space="preserve">スノースケープ</t>
  </si>
  <si>
    <t xml:space="preserve">サラコスティ</t>
  </si>
  <si>
    <t xml:space="preserve">サンダーバード</t>
  </si>
  <si>
    <t xml:space="preserve">アンビアンス</t>
  </si>
  <si>
    <t xml:space="preserve">ブラックシャリマー</t>
  </si>
  <si>
    <t xml:space="preserve">アトレッタ</t>
  </si>
  <si>
    <t xml:space="preserve">サイモンシャリオ</t>
  </si>
  <si>
    <t xml:space="preserve">ロードフィレール</t>
  </si>
  <si>
    <t xml:space="preserve">ワイズギャング</t>
  </si>
  <si>
    <t xml:space="preserve">ルビドゥソレイユ</t>
  </si>
  <si>
    <t xml:space="preserve">リカード</t>
  </si>
  <si>
    <t xml:space="preserve">ナムラティアラ</t>
  </si>
  <si>
    <t xml:space="preserve">テーオーアンジェラ</t>
  </si>
  <si>
    <t xml:space="preserve">ルクスコスモス</t>
  </si>
  <si>
    <t xml:space="preserve">オブシディアーナニ</t>
  </si>
  <si>
    <t xml:space="preserve">ラウルベア</t>
  </si>
  <si>
    <t xml:space="preserve">リンゲルブルーメ</t>
  </si>
  <si>
    <t xml:space="preserve">ニーナバイリッカ</t>
  </si>
  <si>
    <t xml:space="preserve">ミスヘンリ</t>
  </si>
  <si>
    <t xml:space="preserve">ダンシングドール</t>
  </si>
  <si>
    <t xml:space="preserve">ヴァカンツァ</t>
  </si>
  <si>
    <t xml:space="preserve">イーブンベター</t>
  </si>
  <si>
    <t xml:space="preserve">ドレドレ</t>
  </si>
  <si>
    <t xml:space="preserve">ステライヴ</t>
  </si>
  <si>
    <t xml:space="preserve">ミランド</t>
  </si>
  <si>
    <t xml:space="preserve">ガウラディスコ</t>
  </si>
  <si>
    <t xml:space="preserve">ルルフィーユ</t>
  </si>
  <si>
    <t xml:space="preserve">インシオン</t>
  </si>
  <si>
    <t xml:space="preserve">タイセイフリーデン</t>
  </si>
  <si>
    <t xml:space="preserve">ステイクオール</t>
  </si>
  <si>
    <t xml:space="preserve">コルヴァス</t>
  </si>
  <si>
    <t xml:space="preserve">タマモヒロイン</t>
  </si>
  <si>
    <t xml:space="preserve">アスクチャンスマン</t>
  </si>
  <si>
    <t xml:space="preserve">ブルーストレイル</t>
  </si>
  <si>
    <t xml:space="preserve">リアルペベガサス</t>
  </si>
  <si>
    <t xml:space="preserve">リヒトミューレ</t>
  </si>
  <si>
    <t xml:space="preserve">サイモンゼスト</t>
  </si>
  <si>
    <t xml:space="preserve">フェブリノ</t>
  </si>
  <si>
    <t xml:space="preserve">ベランジェール</t>
  </si>
  <si>
    <t xml:space="preserve">ルージュスプリヤ</t>
  </si>
  <si>
    <t xml:space="preserve">アウクソ</t>
  </si>
  <si>
    <t xml:space="preserve">ニシノトリビュート</t>
  </si>
  <si>
    <t xml:space="preserve">サヨノパララックス</t>
  </si>
  <si>
    <t xml:space="preserve">ケールハイム</t>
  </si>
  <si>
    <t xml:space="preserve">ビーグラッド</t>
  </si>
  <si>
    <t xml:space="preserve">オースミサイファ</t>
  </si>
  <si>
    <t xml:space="preserve">カフラ</t>
  </si>
  <si>
    <t xml:space="preserve">ムーンライトダイヤ</t>
  </si>
  <si>
    <t xml:space="preserve">ビッグヒーロー</t>
  </si>
  <si>
    <t xml:space="preserve">オレンジフィールド</t>
  </si>
  <si>
    <t xml:space="preserve">リザレクティア</t>
  </si>
  <si>
    <t xml:space="preserve">アスクブームキセキ</t>
  </si>
  <si>
    <t xml:space="preserve">ララディアーブル</t>
  </si>
  <si>
    <t xml:space="preserve">サーブルディアマン</t>
  </si>
  <si>
    <t xml:space="preserve">レインポボーステート</t>
  </si>
  <si>
    <t xml:space="preserve">レッドピアレス</t>
  </si>
  <si>
    <t xml:space="preserve">マーチャンシップ</t>
  </si>
  <si>
    <t xml:space="preserve">ミッキーラヴィータ</t>
  </si>
  <si>
    <t xml:space="preserve">オーケーキュート</t>
  </si>
  <si>
    <t xml:space="preserve">シャンジュマン</t>
  </si>
  <si>
    <t xml:space="preserve">ラミエルノムスコ</t>
  </si>
  <si>
    <t xml:space="preserve">札幌</t>
  </si>
  <si>
    <t xml:space="preserve">カプリースカラ</t>
  </si>
  <si>
    <t xml:space="preserve">テイクマイハート</t>
  </si>
  <si>
    <t xml:space="preserve">カッサンドラ</t>
  </si>
  <si>
    <t xml:space="preserve">クリコイーコ</t>
  </si>
  <si>
    <t xml:space="preserve">アイビーミャーオ</t>
  </si>
  <si>
    <t xml:space="preserve">ロングフルスペック</t>
  </si>
  <si>
    <t xml:space="preserve">カレンココナ</t>
  </si>
  <si>
    <t xml:space="preserve">レヴヴィ</t>
  </si>
  <si>
    <t xml:space="preserve">サノノベリー</t>
  </si>
  <si>
    <t xml:space="preserve">ヴィヴィアンリーチ</t>
  </si>
  <si>
    <t xml:space="preserve">テイクケア</t>
  </si>
  <si>
    <t xml:space="preserve">コックニ</t>
  </si>
  <si>
    <t xml:space="preserve">ヌーンベルク</t>
  </si>
  <si>
    <t xml:space="preserve">ライフイズアート</t>
  </si>
  <si>
    <t xml:space="preserve">シガレス</t>
  </si>
  <si>
    <t xml:space="preserve">トーセンルルド</t>
  </si>
  <si>
    <t xml:space="preserve">ゴーントウゥファ</t>
  </si>
  <si>
    <t xml:space="preserve">クロームクロス</t>
  </si>
  <si>
    <t xml:space="preserve">ヤマメイッカ</t>
  </si>
  <si>
    <t xml:space="preserve">ダンツアラーム</t>
  </si>
  <si>
    <t xml:space="preserve">メイショウシンガン</t>
  </si>
  <si>
    <t xml:space="preserve">アオイミズホ</t>
  </si>
  <si>
    <t xml:space="preserve">メイショウノヴァス</t>
  </si>
  <si>
    <t xml:space="preserve">ブルーフレア</t>
  </si>
  <si>
    <t xml:space="preserve">ワンダーゾルダート</t>
  </si>
  <si>
    <t xml:space="preserve">マクローリン</t>
  </si>
  <si>
    <t xml:space="preserve">レイナデルアイレ</t>
  </si>
  <si>
    <t xml:space="preserve">サンエンジェルス</t>
  </si>
  <si>
    <t xml:space="preserve">アロハ</t>
  </si>
  <si>
    <t xml:space="preserve">エアヴァイブス</t>
  </si>
  <si>
    <t xml:space="preserve">スパークルレイ</t>
  </si>
  <si>
    <t xml:space="preserve">ペカリーナ</t>
  </si>
  <si>
    <t xml:space="preserve">ビップジョワ</t>
  </si>
  <si>
    <t xml:space="preserve">サンセリテ</t>
  </si>
  <si>
    <t xml:space="preserve">イノリ</t>
  </si>
  <si>
    <t xml:space="preserve">フローズンクイーン</t>
  </si>
  <si>
    <t xml:space="preserve">フレッチャアズーラ</t>
  </si>
  <si>
    <t xml:space="preserve">イヌポボウノシオカゼ</t>
  </si>
  <si>
    <t xml:space="preserve">カスタニッチャ</t>
  </si>
  <si>
    <t xml:space="preserve">ロジマギ</t>
  </si>
  <si>
    <t xml:space="preserve">レガメデルヴェント</t>
  </si>
  <si>
    <t xml:space="preserve">アンバーバレット</t>
  </si>
  <si>
    <t xml:space="preserve">ホウオウシュウ</t>
  </si>
  <si>
    <t xml:space="preserve">カナデ</t>
  </si>
  <si>
    <t xml:space="preserve">トロフィアス</t>
  </si>
  <si>
    <t xml:space="preserve">ディアファザ</t>
  </si>
  <si>
    <t xml:space="preserve">インフィオラータ</t>
  </si>
  <si>
    <t xml:space="preserve">フォルストランキル</t>
  </si>
  <si>
    <t xml:space="preserve">トランスマリーンシン</t>
  </si>
  <si>
    <t xml:space="preserve">ケナゲ</t>
  </si>
  <si>
    <t xml:space="preserve">グランフルス</t>
  </si>
  <si>
    <t xml:space="preserve">ヘクセンハウス</t>
  </si>
  <si>
    <t xml:space="preserve">アート</t>
  </si>
  <si>
    <t xml:space="preserve">ウインアベリア</t>
  </si>
  <si>
    <t xml:space="preserve">テンレディーゴー</t>
  </si>
  <si>
    <t xml:space="preserve">コワンニシタガウ</t>
  </si>
  <si>
    <t xml:space="preserve">ルナティックブル</t>
  </si>
  <si>
    <t xml:space="preserve">ギルランダ</t>
  </si>
  <si>
    <t xml:space="preserve">ルージュアイラ</t>
  </si>
  <si>
    <t xml:space="preserve">セイントクーヤ</t>
  </si>
  <si>
    <t xml:space="preserve">ペイシャアーサ</t>
  </si>
  <si>
    <t xml:space="preserve">ハッピーラッキー</t>
  </si>
  <si>
    <t xml:space="preserve">ナンナンプ</t>
  </si>
  <si>
    <t xml:space="preserve">シュークリーム</t>
  </si>
  <si>
    <t xml:space="preserve">ランプローグ</t>
  </si>
  <si>
    <t xml:space="preserve">セガンティーニ</t>
  </si>
  <si>
    <t xml:space="preserve">ニシノサリーナ</t>
  </si>
  <si>
    <t xml:space="preserve">サトノカスターニャ</t>
  </si>
  <si>
    <t xml:space="preserve">カイショー</t>
  </si>
  <si>
    <t xml:space="preserve">アイアムステキ</t>
  </si>
  <si>
    <t xml:space="preserve">ペガサスノース</t>
  </si>
  <si>
    <t xml:space="preserve">ジーティーエスピ</t>
  </si>
  <si>
    <t xml:space="preserve">グランテレーズ</t>
  </si>
  <si>
    <t xml:space="preserve">イズルード</t>
  </si>
  <si>
    <t xml:space="preserve">マティンデ</t>
  </si>
  <si>
    <t xml:space="preserve">ビービーバザーク</t>
  </si>
  <si>
    <t xml:space="preserve">マーベリックシチ</t>
  </si>
  <si>
    <t xml:space="preserve">カフェブーケット</t>
  </si>
  <si>
    <t xml:space="preserve">リュミナーズ</t>
  </si>
  <si>
    <t xml:space="preserve">ジェネラスキング</t>
  </si>
  <si>
    <t xml:space="preserve">ザハント</t>
  </si>
  <si>
    <t xml:space="preserve">オンザムービー</t>
  </si>
  <si>
    <t xml:space="preserve">タイキルッジェーロ</t>
  </si>
  <si>
    <t xml:space="preserve">ハイライトニング</t>
  </si>
  <si>
    <t xml:space="preserve">ファンタイムギフト</t>
  </si>
  <si>
    <t xml:space="preserve">アルニラム</t>
  </si>
  <si>
    <t xml:space="preserve">ピエナオルカ</t>
  </si>
  <si>
    <t xml:space="preserve">ガーネットフレア</t>
  </si>
  <si>
    <t xml:space="preserve">ニシノエピカリ</t>
  </si>
  <si>
    <t xml:space="preserve">ルーチェフィオーレ</t>
  </si>
  <si>
    <r>
      <rPr>
        <sz val="11"/>
        <color theme="1"/>
        <rFont val="Noto Sans"/>
        <family val="2"/>
      </rPr>
      <t xml:space="preserve">ジェルブロア</t>
    </r>
    <r>
      <rPr>
        <sz val="11"/>
        <color theme="1"/>
        <rFont val="Arial"/>
        <family val="0"/>
        <charset val="1"/>
      </rPr>
      <t xml:space="preserve">1</t>
    </r>
  </si>
  <si>
    <t xml:space="preserve">シニャンガ</t>
  </si>
  <si>
    <t xml:space="preserve">ラコンチャビエン</t>
  </si>
  <si>
    <t xml:space="preserve">ジャストピート</t>
  </si>
  <si>
    <t xml:space="preserve">ディヒターリーベ</t>
  </si>
  <si>
    <t xml:space="preserve">キタノサリスカ</t>
  </si>
  <si>
    <t xml:space="preserve">ナムラヒナギク</t>
  </si>
  <si>
    <t xml:space="preserve">ヴァイザーバルコ</t>
  </si>
  <si>
    <t xml:space="preserve">リギーロ</t>
  </si>
  <si>
    <t xml:space="preserve">ライフセービング</t>
  </si>
  <si>
    <t xml:space="preserve">レイデラルース</t>
  </si>
  <si>
    <t xml:space="preserve">ボンドロア</t>
  </si>
  <si>
    <t xml:space="preserve">アスクデッドヒート</t>
  </si>
  <si>
    <t xml:space="preserve">ジュンツバメガエシ</t>
  </si>
  <si>
    <t xml:space="preserve">レイヤードレッド</t>
  </si>
  <si>
    <t xml:space="preserve">バースライト</t>
  </si>
  <si>
    <t xml:space="preserve">ドッピアーコ</t>
  </si>
  <si>
    <t xml:space="preserve">ウェイクフィールド</t>
  </si>
  <si>
    <t xml:space="preserve">エヴァンスウィート</t>
  </si>
  <si>
    <t xml:space="preserve">シカゴスティング</t>
  </si>
  <si>
    <t xml:space="preserve">サウスバンク</t>
  </si>
  <si>
    <t xml:space="preserve">ルーフ</t>
  </si>
  <si>
    <t xml:space="preserve">メルトユアハート</t>
  </si>
  <si>
    <t xml:space="preserve">ウィルオレオール</t>
  </si>
  <si>
    <t xml:space="preserve">ロジケープ</t>
  </si>
  <si>
    <t xml:space="preserve">アンジュブロミス</t>
  </si>
  <si>
    <t xml:space="preserve">クリエープキ</t>
  </si>
  <si>
    <t xml:space="preserve">アスクケンタッキー</t>
  </si>
  <si>
    <t xml:space="preserve">ゴールドサーベル</t>
  </si>
  <si>
    <t xml:space="preserve">パクスロマーナ</t>
  </si>
  <si>
    <t xml:space="preserve">リメンバーヒム</t>
  </si>
  <si>
    <t xml:space="preserve">フェスタリア</t>
  </si>
  <si>
    <t xml:space="preserve">ショウナンヤッホ</t>
  </si>
  <si>
    <t xml:space="preserve">ギマール</t>
  </si>
  <si>
    <t xml:space="preserve">セボンサデッセ</t>
  </si>
  <si>
    <t xml:space="preserve">ジュンラトゥール</t>
  </si>
  <si>
    <t xml:space="preserve">ハイクオリティ</t>
  </si>
  <si>
    <t xml:space="preserve">ベラジオワールド</t>
  </si>
  <si>
    <t xml:space="preserve">ライフゲート</t>
  </si>
  <si>
    <t xml:space="preserve">マッスルバック</t>
  </si>
  <si>
    <t xml:space="preserve">ヒルノピレネ</t>
  </si>
  <si>
    <t xml:space="preserve">ドルチェテソーロ</t>
  </si>
  <si>
    <t xml:space="preserve">ハルガスミ</t>
  </si>
  <si>
    <t xml:space="preserve">マルガリート</t>
  </si>
  <si>
    <t xml:space="preserve">ブラックミューズ</t>
  </si>
  <si>
    <t xml:space="preserve">アテナブレイブ</t>
  </si>
  <si>
    <t xml:space="preserve">ワレモコウ</t>
  </si>
  <si>
    <t xml:space="preserve">リリカルフレア</t>
  </si>
  <si>
    <t xml:space="preserve">タガノカハンカ</t>
  </si>
  <si>
    <t xml:space="preserve">ヴェールネージュ</t>
  </si>
  <si>
    <t xml:space="preserve">パストザクラウン</t>
  </si>
  <si>
    <t xml:space="preserve">マーズワース</t>
  </si>
  <si>
    <t xml:space="preserve">ミクニルミナス</t>
  </si>
  <si>
    <t xml:space="preserve">アウアリイ</t>
  </si>
  <si>
    <t xml:space="preserve">ダノンダックス</t>
  </si>
  <si>
    <t xml:space="preserve">マイネルヴェスペル</t>
  </si>
  <si>
    <t xml:space="preserve">コスモティタノ</t>
  </si>
  <si>
    <t xml:space="preserve">トウシンマジック</t>
  </si>
  <si>
    <t xml:space="preserve">アルスラーン</t>
  </si>
  <si>
    <t xml:space="preserve">ソニックウェーブ</t>
  </si>
  <si>
    <t xml:space="preserve">ドミナートル</t>
  </si>
  <si>
    <t xml:space="preserve">フェルアフリーゼ</t>
  </si>
  <si>
    <t xml:space="preserve">ラヴィングリ</t>
  </si>
  <si>
    <t xml:space="preserve">スカット</t>
  </si>
  <si>
    <t xml:space="preserve">ツキノマバタキ</t>
  </si>
  <si>
    <t xml:space="preserve">ヘヴンズドライブ</t>
  </si>
  <si>
    <t xml:space="preserve">キャルキュラス</t>
  </si>
  <si>
    <t xml:space="preserve">スピニンググローブ</t>
  </si>
  <si>
    <t xml:space="preserve">ミスタートントン</t>
  </si>
  <si>
    <t xml:space="preserve">カセノソレイユ</t>
  </si>
  <si>
    <t xml:space="preserve">キタノシオン</t>
  </si>
  <si>
    <t xml:space="preserve">ミエスタ</t>
  </si>
  <si>
    <t xml:space="preserve">キタノソブリン</t>
  </si>
  <si>
    <t xml:space="preserve">ローズオブジャパン</t>
  </si>
  <si>
    <t xml:space="preserve">カシノユメミヴヅキ</t>
  </si>
  <si>
    <t xml:space="preserve">ハンナパール</t>
  </si>
  <si>
    <t xml:space="preserve">アドマイヤウルトラ</t>
  </si>
  <si>
    <t xml:space="preserve">シルフィー</t>
  </si>
  <si>
    <t xml:space="preserve">イーガービーバ</t>
  </si>
  <si>
    <t xml:space="preserve">カムバックトゥミ</t>
  </si>
  <si>
    <t xml:space="preserve">カーヴドヴァン</t>
  </si>
  <si>
    <t xml:space="preserve">スーパーハイウェイ</t>
  </si>
  <si>
    <t xml:space="preserve">バトルモクオ</t>
  </si>
  <si>
    <t xml:space="preserve">ルモンテ</t>
  </si>
  <si>
    <t xml:space="preserve">ピコペアシェイプ</t>
  </si>
  <si>
    <t xml:space="preserve">サイモンナイスラン</t>
  </si>
  <si>
    <t xml:space="preserve">ルシアージュ</t>
  </si>
  <si>
    <t xml:space="preserve">キャリアビジョン</t>
  </si>
  <si>
    <t xml:space="preserve">デルマテイネ</t>
  </si>
  <si>
    <t xml:space="preserve">ココナッツコースト</t>
  </si>
  <si>
    <t xml:space="preserve">ジュリ</t>
  </si>
  <si>
    <t xml:space="preserve">アースヴィンチ</t>
  </si>
  <si>
    <t xml:space="preserve">ビーストウォーズ</t>
  </si>
  <si>
    <t xml:space="preserve">クールチェンジ</t>
  </si>
  <si>
    <t xml:space="preserve">コパノトーマス</t>
  </si>
  <si>
    <t xml:space="preserve">カツノテンス</t>
  </si>
  <si>
    <t xml:space="preserve">エテオクロス</t>
  </si>
  <si>
    <t xml:space="preserve">スマイルディシ</t>
  </si>
  <si>
    <t xml:space="preserve">ホウオウプレシャス</t>
  </si>
  <si>
    <t xml:space="preserve">ムーンプブランシュ</t>
  </si>
  <si>
    <t xml:space="preserve">ガンバレベア</t>
  </si>
  <si>
    <t xml:space="preserve">ラテラルパーム</t>
  </si>
  <si>
    <t xml:space="preserve">サンシップ</t>
  </si>
  <si>
    <t xml:space="preserve">アンバサダネージュ</t>
  </si>
  <si>
    <t xml:space="preserve">ショコラキュイ</t>
  </si>
  <si>
    <t xml:space="preserve">キカオクベシ</t>
  </si>
  <si>
    <t xml:space="preserve">アースミューズ</t>
  </si>
  <si>
    <t xml:space="preserve">ショウナンタハティ</t>
  </si>
  <si>
    <t xml:space="preserve">レインポボーラッキ</t>
  </si>
  <si>
    <t xml:space="preserve">モリノセピア</t>
  </si>
  <si>
    <t xml:space="preserve">サマースイートピー</t>
  </si>
  <si>
    <t xml:space="preserve">カワキタマナレア</t>
  </si>
  <si>
    <t xml:space="preserve">フィーチャリング</t>
  </si>
  <si>
    <t xml:space="preserve">マイネルラッシュ</t>
  </si>
  <si>
    <t xml:space="preserve">リッキースタイル</t>
  </si>
  <si>
    <t xml:space="preserve">ソウルオンファイア</t>
  </si>
  <si>
    <t xml:space="preserve">ラヴオントップ</t>
  </si>
  <si>
    <t xml:space="preserve">オカメノコイ</t>
  </si>
  <si>
    <t xml:space="preserve">ロッカバイベイビ</t>
  </si>
  <si>
    <t xml:space="preserve">レッドセニョール</t>
  </si>
  <si>
    <t xml:space="preserve">ファーヴェント</t>
  </si>
  <si>
    <t xml:space="preserve">ジュタタ</t>
  </si>
  <si>
    <t xml:space="preserve">アンパドゥ</t>
  </si>
  <si>
    <t xml:space="preserve">マテンロウスカイニ</t>
  </si>
  <si>
    <t xml:space="preserve">レディマリオン</t>
  </si>
  <si>
    <t xml:space="preserve">シリウスコルト</t>
  </si>
  <si>
    <t xml:space="preserve">エルトンバローズ</t>
  </si>
  <si>
    <t xml:space="preserve">ダノンセンチュリー</t>
  </si>
  <si>
    <t xml:space="preserve">サンダーストラック</t>
  </si>
  <si>
    <t xml:space="preserve">クランフォード</t>
  </si>
  <si>
    <t xml:space="preserve">ドロップオブライト</t>
  </si>
  <si>
    <t xml:space="preserve">ランスオブカオス</t>
  </si>
  <si>
    <t xml:space="preserve">ブエナオンダ</t>
  </si>
  <si>
    <t xml:space="preserve">メタルスピード</t>
  </si>
  <si>
    <r>
      <rPr>
        <sz val="11"/>
        <color theme="1"/>
        <rFont val="Noto Sans"/>
        <family val="2"/>
      </rPr>
      <t xml:space="preserve">コンアフェット</t>
    </r>
    <r>
      <rPr>
        <sz val="11"/>
        <color theme="1"/>
        <rFont val="Arial"/>
        <family val="0"/>
        <charset val="1"/>
      </rPr>
      <t xml:space="preserve">mm</t>
    </r>
  </si>
  <si>
    <t xml:space="preserve">ステアハート</t>
  </si>
  <si>
    <t xml:space="preserve">ヴァンアグレアブル</t>
  </si>
  <si>
    <t xml:space="preserve">ベルイストワール</t>
  </si>
  <si>
    <t xml:space="preserve">カーラデマドレ</t>
  </si>
  <si>
    <t xml:space="preserve">パースウェイド</t>
  </si>
  <si>
    <t xml:space="preserve">ケイツーリーブル</t>
  </si>
  <si>
    <t xml:space="preserve">アンドリーナ</t>
  </si>
  <si>
    <t xml:space="preserve">レーヴドレフォン</t>
  </si>
  <si>
    <t xml:space="preserve">ヴァズレーヌ</t>
  </si>
  <si>
    <t xml:space="preserve">パイシャオピン</t>
  </si>
  <si>
    <t xml:space="preserve">ルトゥール</t>
  </si>
  <si>
    <t xml:space="preserve">スルーザナイト</t>
  </si>
  <si>
    <t xml:space="preserve">エターナルプロミス</t>
  </si>
  <si>
    <t xml:space="preserve">モモンウールー</t>
  </si>
  <si>
    <t xml:space="preserve">ジュリアスローズ</t>
  </si>
  <si>
    <t xml:space="preserve">スマートフランキ</t>
  </si>
  <si>
    <t xml:space="preserve">コトブキヘスペラス</t>
  </si>
  <si>
    <t xml:space="preserve">セイウンビッグバン</t>
  </si>
  <si>
    <t xml:space="preserve">キャネル</t>
  </si>
  <si>
    <t xml:space="preserve">グロッシェン</t>
  </si>
  <si>
    <t xml:space="preserve">フェスティヴビーム</t>
  </si>
  <si>
    <t xml:space="preserve">ノーブルクライ</t>
  </si>
  <si>
    <t xml:space="preserve">タイキエクセロン</t>
  </si>
  <si>
    <t xml:space="preserve">ノブダブルホワイト</t>
  </si>
  <si>
    <t xml:space="preserve">バンデルオーラ</t>
  </si>
  <si>
    <t xml:space="preserve">バラジ</t>
  </si>
  <si>
    <t xml:space="preserve">ニシノブレイゼスト</t>
  </si>
  <si>
    <t xml:space="preserve">オーサムストローク</t>
  </si>
  <si>
    <t xml:space="preserve">ショービット</t>
  </si>
  <si>
    <t xml:space="preserve">ネクストドア</t>
  </si>
  <si>
    <t xml:space="preserve">ブルーリファール</t>
  </si>
  <si>
    <t xml:space="preserve">パーシヴァル</t>
  </si>
  <si>
    <t xml:space="preserve">ゴットタレント</t>
  </si>
  <si>
    <t xml:space="preserve">マーゴットライズ</t>
  </si>
  <si>
    <t xml:space="preserve">ロジキセキ</t>
  </si>
  <si>
    <t xml:space="preserve">エーデルクラフト</t>
  </si>
  <si>
    <t xml:space="preserve">トップデュオ</t>
  </si>
  <si>
    <t xml:space="preserve">カンフーヒーロ</t>
  </si>
  <si>
    <t xml:space="preserve">エルアン</t>
  </si>
  <si>
    <t xml:space="preserve">トウシンライオット</t>
  </si>
  <si>
    <t xml:space="preserve">パワポケウォーズ</t>
  </si>
  <si>
    <t xml:space="preserve">コスモメイウェザ</t>
  </si>
  <si>
    <t xml:space="preserve">オレイア</t>
  </si>
  <si>
    <t xml:space="preserve">マーシャルアン</t>
  </si>
  <si>
    <t xml:space="preserve">リアアーテシアン</t>
  </si>
  <si>
    <t xml:space="preserve">スカイダイバ</t>
  </si>
  <si>
    <t xml:space="preserve">シャンクス</t>
  </si>
  <si>
    <t xml:space="preserve">ラブソング</t>
  </si>
  <si>
    <t xml:space="preserve">ハッピーダンシング</t>
  </si>
  <si>
    <t xml:space="preserve">ホウオウガイア</t>
  </si>
  <si>
    <t xml:space="preserve">コウジハラ</t>
  </si>
  <si>
    <t xml:space="preserve">ミエノブラボー</t>
  </si>
  <si>
    <t xml:space="preserve">テンペストヒロイン</t>
  </si>
  <si>
    <t xml:space="preserve">ヨドノティアラ</t>
  </si>
  <si>
    <t xml:space="preserve">パレスドフィーヌ</t>
  </si>
  <si>
    <t xml:space="preserve">ブラックティンカ</t>
  </si>
  <si>
    <t xml:space="preserve">ルブリアン</t>
  </si>
  <si>
    <t xml:space="preserve">コールリッジ</t>
  </si>
  <si>
    <t xml:space="preserve">ミナヅキ</t>
  </si>
  <si>
    <t xml:space="preserve">ビコブロッサム</t>
  </si>
  <si>
    <t xml:space="preserve">シルバープレミア</t>
  </si>
  <si>
    <t xml:space="preserve">ミサダメキメル</t>
  </si>
  <si>
    <t xml:space="preserve">フォーエバーラブ</t>
  </si>
  <si>
    <t xml:space="preserve">ハナコトバ</t>
  </si>
  <si>
    <t xml:space="preserve">ダゴベルト</t>
  </si>
  <si>
    <t xml:space="preserve">チャチャット</t>
  </si>
  <si>
    <t xml:space="preserve">アロハオエ</t>
  </si>
  <si>
    <t xml:space="preserve">レスタ</t>
  </si>
  <si>
    <t xml:space="preserve">ヴォンサクレ</t>
  </si>
  <si>
    <t xml:space="preserve">ファランギーナ</t>
  </si>
  <si>
    <t xml:space="preserve">エラガバリウム</t>
  </si>
  <si>
    <t xml:space="preserve">クライングナウ</t>
  </si>
  <si>
    <t xml:space="preserve">メアグローリア</t>
  </si>
  <si>
    <t xml:space="preserve">クールタロウ</t>
  </si>
  <si>
    <t xml:space="preserve">ララララブソング</t>
  </si>
  <si>
    <t xml:space="preserve">コパノキャンペーン</t>
  </si>
  <si>
    <t xml:space="preserve">ディーエスシン</t>
  </si>
  <si>
    <t xml:space="preserve">ルースソラール</t>
  </si>
  <si>
    <t xml:space="preserve">スピーディスピン</t>
  </si>
  <si>
    <t xml:space="preserve">サンタンジェロ</t>
  </si>
  <si>
    <t xml:space="preserve">ヴェルヴィエ</t>
  </si>
  <si>
    <t xml:space="preserve">レッドタイラント</t>
  </si>
  <si>
    <t xml:space="preserve">ダノンチャンピオン</t>
  </si>
  <si>
    <t xml:space="preserve">ルナパッショーネ</t>
  </si>
  <si>
    <t xml:space="preserve">テーオーカメリア</t>
  </si>
  <si>
    <t xml:space="preserve">オーバーシュタイン</t>
  </si>
  <si>
    <t xml:space="preserve">セーニョレガーレ</t>
  </si>
  <si>
    <t xml:space="preserve">ソニックブーム</t>
  </si>
  <si>
    <t xml:space="preserve">テーオーシュテルン</t>
  </si>
  <si>
    <t xml:space="preserve">タイセイグローバル</t>
  </si>
  <si>
    <t xml:space="preserve">リアライズパリオ</t>
  </si>
  <si>
    <t xml:space="preserve">ストラドーネ</t>
  </si>
  <si>
    <t xml:space="preserve">ダノンミッドナイト</t>
  </si>
  <si>
    <t xml:space="preserve">ダノンオブアイデア</t>
  </si>
  <si>
    <t xml:space="preserve">ナムラヴンダー</t>
  </si>
  <si>
    <t xml:space="preserve">オープンザパンドラ</t>
  </si>
  <si>
    <t xml:space="preserve">ヴィスメンティス</t>
  </si>
  <si>
    <t xml:space="preserve">アイランド</t>
  </si>
  <si>
    <t xml:space="preserve">ディープシャロ</t>
  </si>
  <si>
    <t xml:space="preserve">シギーコルエンド</t>
  </si>
  <si>
    <t xml:space="preserve">クリコバロ</t>
  </si>
  <si>
    <t xml:space="preserve">ラスカルキッド</t>
  </si>
  <si>
    <t xml:space="preserve">グランシャン</t>
  </si>
  <si>
    <t xml:space="preserve">マジックハンド</t>
  </si>
  <si>
    <t xml:space="preserve">カツラコマチ</t>
  </si>
  <si>
    <t xml:space="preserve">タイセイゼスティ</t>
  </si>
  <si>
    <t xml:space="preserve">ウォーブレイク</t>
  </si>
  <si>
    <t xml:space="preserve">エアアルチーナ</t>
  </si>
  <si>
    <t xml:space="preserve">トラッドロア</t>
  </si>
  <si>
    <t xml:space="preserve">マテンロウアワー</t>
  </si>
  <si>
    <t xml:space="preserve">マーチンゲール</t>
  </si>
  <si>
    <t xml:space="preserve">ウィスピア</t>
  </si>
  <si>
    <t xml:space="preserve">ジョーカー</t>
  </si>
  <si>
    <t xml:space="preserve">キャリアハイ</t>
  </si>
  <si>
    <t xml:space="preserve">メイショウドキョウ</t>
  </si>
  <si>
    <t xml:space="preserve">パピブペビンク</t>
  </si>
  <si>
    <t xml:space="preserve">クライナリーゼ</t>
  </si>
  <si>
    <t xml:space="preserve">ペプチドレオン</t>
  </si>
  <si>
    <t xml:space="preserve">メイショウケンゴウ</t>
  </si>
  <si>
    <t xml:space="preserve">ジャズホリック</t>
  </si>
  <si>
    <t xml:space="preserve">ショウナンタマユラ</t>
  </si>
  <si>
    <t xml:space="preserve">ヴォメロ</t>
  </si>
  <si>
    <t xml:space="preserve">タイセイドゥマーニ</t>
  </si>
  <si>
    <t xml:space="preserve">ワトルツリ</t>
  </si>
  <si>
    <t xml:space="preserve">ハッピーチャンス</t>
  </si>
  <si>
    <t xml:space="preserve">セッシュウ</t>
  </si>
  <si>
    <t xml:space="preserve">ペプチドアロン</t>
  </si>
  <si>
    <t xml:space="preserve">サンライズジョ</t>
  </si>
  <si>
    <t xml:space="preserve">サヴォアフェール</t>
  </si>
  <si>
    <t xml:space="preserve">レッドラージャ</t>
  </si>
  <si>
    <t xml:space="preserve">ツーエムクロノス</t>
  </si>
  <si>
    <t xml:space="preserve">ハッピーダンチャン</t>
  </si>
  <si>
    <t xml:space="preserve">ホウオウタイタン</t>
  </si>
  <si>
    <t xml:space="preserve">マディソンガール</t>
  </si>
  <si>
    <t xml:space="preserve">コンフェルマ</t>
  </si>
  <si>
    <t xml:space="preserve">オォデット</t>
  </si>
  <si>
    <t xml:space="preserve">コリカンチャ</t>
  </si>
  <si>
    <t xml:space="preserve">エアビッグマム</t>
  </si>
  <si>
    <t xml:space="preserve">ノーブルロジャ</t>
  </si>
  <si>
    <t xml:space="preserve">ジュンウィンダム</t>
  </si>
  <si>
    <t xml:space="preserve">ハッピーマン</t>
  </si>
  <si>
    <t xml:space="preserve">モンドプリューム</t>
  </si>
  <si>
    <t xml:space="preserve">ドンインザムード</t>
  </si>
  <si>
    <t xml:space="preserve">ケイアイドリ</t>
  </si>
  <si>
    <t xml:space="preserve">タダノンフィーゴニー</t>
  </si>
  <si>
    <t xml:space="preserve">ベルジュロネット</t>
  </si>
  <si>
    <t xml:space="preserve">インユアパレス</t>
  </si>
  <si>
    <t xml:space="preserve">トリリオンボポボーイ</t>
  </si>
  <si>
    <t xml:space="preserve">メイショウハチロー</t>
  </si>
  <si>
    <t xml:space="preserve">バトルクライ</t>
  </si>
  <si>
    <t xml:space="preserve">ドラゴンテイラ</t>
  </si>
  <si>
    <t xml:space="preserve">マテンロウコマンド</t>
  </si>
  <si>
    <t xml:space="preserve">ジェシーテソーロ</t>
  </si>
  <si>
    <t xml:space="preserve">ダンツシタン</t>
  </si>
  <si>
    <t xml:space="preserve">アイブリンク</t>
  </si>
  <si>
    <r>
      <rPr>
        <sz val="11"/>
        <color theme="1"/>
        <rFont val="Noto Sans"/>
        <family val="2"/>
      </rPr>
      <t xml:space="preserve">ジョータルマエ</t>
    </r>
    <r>
      <rPr>
        <sz val="11"/>
        <color theme="1"/>
        <rFont val="Arial"/>
        <family val="0"/>
        <charset val="1"/>
      </rPr>
      <t xml:space="preserve">m</t>
    </r>
  </si>
  <si>
    <t xml:space="preserve">ユウトザュユウト</t>
  </si>
  <si>
    <t xml:space="preserve">ナチュラルリバ</t>
  </si>
  <si>
    <t xml:space="preserve">ハギノコラソン</t>
  </si>
  <si>
    <t xml:space="preserve">マハートマーベル</t>
  </si>
  <si>
    <t xml:space="preserve">テイエムパイロット</t>
  </si>
  <si>
    <t xml:space="preserve">ノボリクレバー</t>
  </si>
  <si>
    <t xml:space="preserve">キングオブフジ</t>
  </si>
  <si>
    <t xml:space="preserve">メイショウジェンマ</t>
  </si>
  <si>
    <t xml:space="preserve">ナルキッソス</t>
  </si>
  <si>
    <t xml:space="preserve">チリーゴールド</t>
  </si>
  <si>
    <t xml:space="preserve">フルールジェンヌ</t>
  </si>
  <si>
    <t xml:space="preserve">ルージュバロン</t>
  </si>
  <si>
    <t xml:space="preserve">リアライズブラーヴ</t>
  </si>
  <si>
    <t xml:space="preserve">スウィッチインラヴ</t>
  </si>
  <si>
    <t xml:space="preserve">ベルフラム</t>
  </si>
  <si>
    <t xml:space="preserve">メイクワンズデイ</t>
  </si>
  <si>
    <t xml:space="preserve">ルクスノア</t>
  </si>
  <si>
    <t xml:space="preserve">ペアレンツギフト</t>
  </si>
  <si>
    <t xml:space="preserve">テルヴィセクス</t>
  </si>
  <si>
    <t xml:space="preserve">ダノンフェルゼン</t>
  </si>
  <si>
    <t xml:space="preserve">ゴージャス</t>
  </si>
  <si>
    <t xml:space="preserve">インターポーザ</t>
  </si>
  <si>
    <t xml:space="preserve">イーサンハンタ</t>
  </si>
  <si>
    <t xml:space="preserve">ラブインアクション</t>
  </si>
  <si>
    <t xml:space="preserve">ハードシングス</t>
  </si>
  <si>
    <t xml:space="preserve">ワイルドブッタ</t>
  </si>
  <si>
    <t xml:space="preserve">ダディーズグーグ</t>
  </si>
  <si>
    <t xml:space="preserve">ザングウィル</t>
  </si>
  <si>
    <t xml:space="preserve">シャープインサイト</t>
  </si>
  <si>
    <t xml:space="preserve">フロンティエール</t>
  </si>
  <si>
    <t xml:space="preserve">エシェックオロワ</t>
  </si>
  <si>
    <t xml:space="preserve">ポッドリプル</t>
  </si>
  <si>
    <t xml:space="preserve">アーガイルショア</t>
  </si>
  <si>
    <t xml:space="preserve">モンスエ</t>
  </si>
  <si>
    <t xml:space="preserve">レイム</t>
  </si>
  <si>
    <t xml:space="preserve">ラトラース</t>
  </si>
  <si>
    <t xml:space="preserve">マイティキングダム</t>
  </si>
  <si>
    <t xml:space="preserve">キーンセンス</t>
  </si>
  <si>
    <t xml:space="preserve">ペイシャシス</t>
  </si>
  <si>
    <t xml:space="preserve">カラベルソナ</t>
  </si>
  <si>
    <t xml:space="preserve">エンヴェロップ</t>
  </si>
  <si>
    <t xml:space="preserve">ペベブプチドブッドレア</t>
  </si>
  <si>
    <t xml:space="preserve">オリーボポボーレン</t>
  </si>
  <si>
    <t xml:space="preserve">カモメガトンダ</t>
  </si>
  <si>
    <t xml:space="preserve">ラガークイン</t>
  </si>
  <si>
    <t xml:space="preserve">エイズルブルーム</t>
  </si>
  <si>
    <t xml:space="preserve">ロケベンドラ</t>
  </si>
  <si>
    <t xml:space="preserve">ウォーターエルビピス</t>
  </si>
  <si>
    <t xml:space="preserve">バースデイフライト</t>
  </si>
  <si>
    <t xml:space="preserve">ポペット</t>
  </si>
  <si>
    <t xml:space="preserve">シャンパンライフ</t>
  </si>
  <si>
    <t xml:space="preserve">リトルスカーレット</t>
  </si>
  <si>
    <t xml:space="preserve">マルモア</t>
  </si>
  <si>
    <t xml:space="preserve">ウォーターエアリ</t>
  </si>
  <si>
    <t xml:space="preserve">ルージュルガーノ</t>
  </si>
  <si>
    <t xml:space="preserve">ベルセクレト</t>
  </si>
  <si>
    <t xml:space="preserve">コースタルロード</t>
  </si>
  <si>
    <t xml:space="preserve">メイショウジーニ</t>
  </si>
  <si>
    <t xml:space="preserve">ダノンステート</t>
  </si>
  <si>
    <t xml:space="preserve">アンリミテッド</t>
  </si>
  <si>
    <t xml:space="preserve">チュウワメロディー</t>
  </si>
  <si>
    <t xml:space="preserve">ステキサブライズ</t>
  </si>
  <si>
    <t xml:space="preserve">メイケイシャイン</t>
  </si>
  <si>
    <t xml:space="preserve">ピンクパンサ</t>
  </si>
  <si>
    <t xml:space="preserve">テーオーエリーナ</t>
  </si>
  <si>
    <t xml:space="preserve">ファーストアタック</t>
  </si>
  <si>
    <t xml:space="preserve">アリディプラチノ</t>
  </si>
  <si>
    <t xml:space="preserve">グランブリーゼ</t>
  </si>
  <si>
    <t xml:space="preserve">ウイングサンライズ</t>
  </si>
  <si>
    <t xml:space="preserve">シンゼンノト</t>
  </si>
  <si>
    <t xml:space="preserve">イリスロッソ</t>
  </si>
  <si>
    <t xml:space="preserve">サンクレセント</t>
  </si>
  <si>
    <t xml:space="preserve">サウンドエフォート</t>
  </si>
  <si>
    <t xml:space="preserve">ラストモーメント</t>
  </si>
  <si>
    <t xml:space="preserve">ワイドウィンザー</t>
  </si>
  <si>
    <t xml:space="preserve">リアルクウカイ</t>
  </si>
  <si>
    <t xml:space="preserve">グランモンターナ</t>
  </si>
  <si>
    <t xml:space="preserve">タイガーストリート</t>
  </si>
  <si>
    <t xml:space="preserve">クラウスーラ</t>
  </si>
  <si>
    <t xml:space="preserve">パンジャケリ</t>
  </si>
  <si>
    <t xml:space="preserve">レジェンドヴァーサ</t>
  </si>
  <si>
    <t xml:space="preserve">ラストシャイニ</t>
  </si>
  <si>
    <t xml:space="preserve">ビレッジルイーザ</t>
  </si>
  <si>
    <t xml:space="preserve">チカマヨルキーナ</t>
  </si>
  <si>
    <t xml:space="preserve">ハスカップジャム</t>
  </si>
  <si>
    <t xml:space="preserve">ルージュボニート</t>
  </si>
  <si>
    <t xml:space="preserve">プルーフリーディン</t>
  </si>
  <si>
    <t xml:space="preserve">サマースプラッシュ</t>
  </si>
  <si>
    <t xml:space="preserve">ルパピヨンブラン</t>
  </si>
  <si>
    <t xml:space="preserve">スリーケイ</t>
  </si>
  <si>
    <t xml:space="preserve">ワイルドカグラ</t>
  </si>
  <si>
    <t xml:space="preserve">ロンドンプライド</t>
  </si>
  <si>
    <t xml:space="preserve">ランスオブラヴ</t>
  </si>
  <si>
    <t xml:space="preserve">サトノシュトローム</t>
  </si>
  <si>
    <t xml:space="preserve">ロジスカヤ</t>
  </si>
  <si>
    <t xml:space="preserve">ティンクルバレット</t>
  </si>
  <si>
    <t xml:space="preserve">モノノケ</t>
  </si>
  <si>
    <t xml:space="preserve">フリーダムスタイル</t>
  </si>
  <si>
    <t xml:space="preserve">ハルヒメ</t>
  </si>
  <si>
    <t xml:space="preserve">ユナダイヤ</t>
  </si>
  <si>
    <t xml:space="preserve">アンジュラフィーユ</t>
  </si>
  <si>
    <t xml:space="preserve">メイショウテンジン</t>
  </si>
  <si>
    <t xml:space="preserve">メーテルリンク</t>
  </si>
  <si>
    <t xml:space="preserve">ムーンリットレイン</t>
  </si>
  <si>
    <t xml:space="preserve">モズヴイ</t>
  </si>
  <si>
    <t xml:space="preserve">ガルフコースト</t>
  </si>
  <si>
    <t xml:space="preserve">クロノレガリス</t>
  </si>
  <si>
    <t xml:space="preserve">タイセイルビー</t>
  </si>
  <si>
    <t xml:space="preserve">ケンブリッジ</t>
  </si>
  <si>
    <t xml:space="preserve">タイガーゲイト</t>
  </si>
  <si>
    <t xml:space="preserve">アンミックス</t>
  </si>
  <si>
    <t xml:space="preserve">メイショウタイザン</t>
  </si>
  <si>
    <t xml:space="preserve">ショウナンタヅナ</t>
  </si>
  <si>
    <t xml:space="preserve">ロスニーニョス</t>
  </si>
  <si>
    <t xml:space="preserve">クルビデンス</t>
  </si>
  <si>
    <t xml:space="preserve">シンエンドーツダ</t>
  </si>
  <si>
    <t xml:space="preserve">セラサイト</t>
  </si>
  <si>
    <t xml:space="preserve">ホウオウショパン</t>
  </si>
  <si>
    <t xml:space="preserve">ジャストワナフライ</t>
  </si>
  <si>
    <t xml:space="preserve">サトノフルーク</t>
  </si>
  <si>
    <t xml:space="preserve">コスモトップ</t>
  </si>
  <si>
    <t xml:space="preserve">リアライズセレスト</t>
  </si>
  <si>
    <t xml:space="preserve">ローザベッラ</t>
  </si>
  <si>
    <t xml:space="preserve">レゾンフォルテ</t>
  </si>
  <si>
    <t xml:space="preserve">マイネルラビリンス</t>
  </si>
  <si>
    <t xml:space="preserve">ミラマルニ</t>
  </si>
  <si>
    <t xml:space="preserve">ノヴァヴェローチェ</t>
  </si>
  <si>
    <t xml:space="preserve">サンライズジャポネ</t>
  </si>
  <si>
    <t xml:space="preserve">デルマタカチホ</t>
  </si>
  <si>
    <t xml:space="preserve">ミッキーテネシー</t>
  </si>
  <si>
    <t xml:space="preserve">カイユレ</t>
  </si>
  <si>
    <t xml:space="preserve">ダディーズソード</t>
  </si>
  <si>
    <t xml:space="preserve">ブリリアンブルーム</t>
  </si>
  <si>
    <t xml:space="preserve">サトノリアファル</t>
  </si>
  <si>
    <t xml:space="preserve">スチョウブプリンセス</t>
  </si>
  <si>
    <t xml:space="preserve">ゴコウコイコイ</t>
  </si>
  <si>
    <t xml:space="preserve">ヘイジュード</t>
  </si>
  <si>
    <t xml:space="preserve">スノーエルヴァ</t>
  </si>
  <si>
    <t xml:space="preserve">ジングアップ</t>
  </si>
  <si>
    <t xml:space="preserve">ロッサコメータ</t>
  </si>
  <si>
    <t xml:space="preserve">キープライジング</t>
  </si>
  <si>
    <t xml:space="preserve">ランドスター</t>
  </si>
  <si>
    <t xml:space="preserve">レネネト</t>
  </si>
  <si>
    <t xml:space="preserve">ロードヴァルカン</t>
  </si>
  <si>
    <t xml:space="preserve">ビタミンドロップ</t>
  </si>
  <si>
    <t xml:space="preserve">ナムラモモ</t>
  </si>
  <si>
    <t xml:space="preserve">ラムールデュヴォン</t>
  </si>
  <si>
    <t xml:space="preserve">デイトナチャンプ</t>
  </si>
  <si>
    <t xml:space="preserve">ナハトナナレオン</t>
  </si>
  <si>
    <t xml:space="preserve">メイショウハッケイ</t>
  </si>
  <si>
    <t xml:space="preserve">マジカルシャイン</t>
  </si>
  <si>
    <t xml:space="preserve">コスモレッド</t>
  </si>
  <si>
    <t xml:space="preserve">トップオンザヒル</t>
  </si>
  <si>
    <t xml:space="preserve">ルクスアドラ</t>
  </si>
  <si>
    <t xml:space="preserve">ダノンフィオーレ</t>
  </si>
  <si>
    <t xml:space="preserve">サンウリエル</t>
  </si>
  <si>
    <t xml:space="preserve">クイーンズワーフ</t>
  </si>
  <si>
    <t xml:space="preserve">フクシマコウヨウ</t>
  </si>
  <si>
    <t xml:space="preserve">トレヴィ</t>
  </si>
  <si>
    <t xml:space="preserve">ルージュビバーチェ</t>
  </si>
  <si>
    <t xml:space="preserve">サウンドルーチェ</t>
  </si>
  <si>
    <t xml:space="preserve">ナムラハリス</t>
  </si>
  <si>
    <t xml:space="preserve">マインセーラ</t>
  </si>
  <si>
    <t xml:space="preserve">マーゴットサンズ</t>
  </si>
  <si>
    <t xml:space="preserve">カルミアクラウン</t>
  </si>
  <si>
    <t xml:space="preserve">ヴェールミューズ</t>
  </si>
  <si>
    <t xml:space="preserve">ラウニウ</t>
  </si>
  <si>
    <t xml:space="preserve">アルデトップガン</t>
  </si>
  <si>
    <t xml:space="preserve">レイユール</t>
  </si>
  <si>
    <t xml:space="preserve">シャイニースイフト</t>
  </si>
  <si>
    <t xml:space="preserve">ヴェナートル</t>
  </si>
  <si>
    <t xml:space="preserve">マーゴットブロ</t>
  </si>
  <si>
    <t xml:space="preserve">ショウナンカリス</t>
  </si>
  <si>
    <t xml:space="preserve">ブラックルビ</t>
  </si>
  <si>
    <t xml:space="preserve">ワタシマツワ</t>
  </si>
  <si>
    <t xml:space="preserve">ジャズ</t>
  </si>
  <si>
    <t xml:space="preserve">ヒズマスターピース</t>
  </si>
  <si>
    <t xml:space="preserve">スピードリッチ</t>
  </si>
  <si>
    <t xml:space="preserve">ミラージュナイト</t>
  </si>
  <si>
    <t xml:space="preserve">レクスノヴァス</t>
  </si>
  <si>
    <t xml:space="preserve">ギャンブルルーム</t>
  </si>
  <si>
    <t xml:space="preserve">コーチェラバレ</t>
  </si>
  <si>
    <t xml:space="preserve">パトリックハンサム</t>
  </si>
  <si>
    <t xml:space="preserve">ブレイヴロッカ</t>
  </si>
  <si>
    <t xml:space="preserve">レッドテリオス</t>
  </si>
  <si>
    <t xml:space="preserve">エコロレイズ</t>
  </si>
  <si>
    <t xml:space="preserve">バルナバ</t>
  </si>
  <si>
    <t xml:space="preserve">アマキヒ</t>
  </si>
  <si>
    <t xml:space="preserve">ラスカンブレス</t>
  </si>
  <si>
    <t xml:space="preserve">ホールネス</t>
  </si>
  <si>
    <t xml:space="preserve">クリスレジーナ</t>
  </si>
  <si>
    <t xml:space="preserve">ピティロディア</t>
  </si>
  <si>
    <t xml:space="preserve">キセキノエンジェル</t>
  </si>
  <si>
    <t xml:space="preserve">デルマジュテーム</t>
  </si>
  <si>
    <t xml:space="preserve">カイシンパジェント</t>
  </si>
  <si>
    <t xml:space="preserve">カージオイド</t>
  </si>
  <si>
    <t xml:space="preserve">フリーガ</t>
  </si>
  <si>
    <t xml:space="preserve">デルシエロ</t>
  </si>
  <si>
    <t xml:space="preserve">ドルチェリターン</t>
  </si>
  <si>
    <t xml:space="preserve">福島</t>
  </si>
  <si>
    <t xml:space="preserve">ヴェットビルズ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</si>
  <si>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＋上位色目視補正／公式結果突合／着順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</si>
  <si>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エーオープリマ</t>
  </si>
  <si>
    <t xml:space="preserve">ウインリスノアール</t>
  </si>
  <si>
    <t xml:space="preserve">サリードゥ</t>
  </si>
  <si>
    <t xml:space="preserve">エーアイクワイ</t>
  </si>
  <si>
    <t xml:space="preserve">イサチルサリーレ</t>
  </si>
  <si>
    <t xml:space="preserve">ピリナカピリナ</t>
  </si>
  <si>
    <t xml:space="preserve">シュネーバレン</t>
  </si>
  <si>
    <t xml:space="preserve">アイデアルカット</t>
  </si>
  <si>
    <t xml:space="preserve">アミノショコラ</t>
  </si>
  <si>
    <t xml:space="preserve">プリンセスロッティ</t>
  </si>
  <si>
    <t xml:space="preserve">ショウナンハーヴェ</t>
  </si>
  <si>
    <t xml:space="preserve">オルッス</t>
  </si>
  <si>
    <t xml:space="preserve">サノノキセキ</t>
  </si>
  <si>
    <t xml:space="preserve">ビップヴィーナス</t>
  </si>
  <si>
    <t xml:space="preserve">ウィナーズチェック</t>
  </si>
  <si>
    <t xml:space="preserve">カペラテソーロ</t>
  </si>
  <si>
    <t xml:space="preserve">ティアラスピリット</t>
  </si>
  <si>
    <t xml:space="preserve">フレンデル</t>
  </si>
  <si>
    <t xml:space="preserve">レディレックス</t>
  </si>
  <si>
    <t xml:space="preserve">ファウナード</t>
  </si>
  <si>
    <t xml:space="preserve">スクリプトール</t>
  </si>
  <si>
    <t xml:space="preserve">プリンセスダーコ</t>
  </si>
  <si>
    <t xml:space="preserve">サクラボーベル</t>
  </si>
  <si>
    <t xml:space="preserve">エクスペクタント</t>
  </si>
  <si>
    <t xml:space="preserve">ヌビアン</t>
  </si>
  <si>
    <t xml:space="preserve">ジャガーライズ</t>
  </si>
  <si>
    <t xml:space="preserve">ニンジャトットリ</t>
  </si>
  <si>
    <t xml:space="preserve">ジーティーフクフク</t>
  </si>
  <si>
    <t xml:space="preserve">アンセートゥモダン</t>
  </si>
  <si>
    <t xml:space="preserve">ハングローズ</t>
  </si>
  <si>
    <t xml:space="preserve">ライブリピュア</t>
  </si>
  <si>
    <t xml:space="preserve">レーヴルーバ</t>
  </si>
  <si>
    <t xml:space="preserve">グラデュエール</t>
  </si>
  <si>
    <t xml:space="preserve">ゲンテン</t>
  </si>
  <si>
    <t xml:space="preserve">イデアジュアンイハ</t>
  </si>
  <si>
    <t xml:space="preserve">セントリアン</t>
  </si>
  <si>
    <t xml:space="preserve">テルケンレンタッチ</t>
  </si>
  <si>
    <t xml:space="preserve">エメラルファイン</t>
  </si>
  <si>
    <t xml:space="preserve">ダイユウルミナス</t>
  </si>
  <si>
    <t xml:space="preserve">ハイティー</t>
  </si>
  <si>
    <t xml:space="preserve">オンナキュヌヴィ</t>
  </si>
  <si>
    <t xml:space="preserve">フロステリオン</t>
  </si>
  <si>
    <t xml:space="preserve">バランソワール</t>
  </si>
  <si>
    <t xml:space="preserve">マイネルヴェーゼン</t>
  </si>
  <si>
    <t xml:space="preserve">ジーティートゥーリ</t>
  </si>
  <si>
    <t xml:space="preserve">エンジェルサン</t>
  </si>
  <si>
    <t xml:space="preserve">ウインドオブヘヴン</t>
  </si>
  <si>
    <t xml:space="preserve">ラウンドヒル</t>
  </si>
  <si>
    <t xml:space="preserve">リーデレクオーレ</t>
  </si>
  <si>
    <t xml:space="preserve">スラッシュコード</t>
  </si>
  <si>
    <t xml:space="preserve">レレリオーナ</t>
  </si>
  <si>
    <t xml:space="preserve">シエラモレーナ</t>
  </si>
  <si>
    <t xml:space="preserve">ココニーナ</t>
  </si>
  <si>
    <t xml:space="preserve">サウンズオーサム</t>
  </si>
  <si>
    <t xml:space="preserve">シルクドマルス</t>
  </si>
  <si>
    <t xml:space="preserve">フェリシタル</t>
  </si>
  <si>
    <t xml:space="preserve">コスモモノポリー</t>
  </si>
  <si>
    <t xml:space="preserve">デルマキタカミ</t>
  </si>
  <si>
    <t xml:space="preserve">ラッパースヴィル</t>
  </si>
  <si>
    <t xml:space="preserve">モンサンアミュザン</t>
  </si>
  <si>
    <t xml:space="preserve">マスターボリューム</t>
  </si>
  <si>
    <t xml:space="preserve">マリナーヴァレイ</t>
  </si>
  <si>
    <t xml:space="preserve">サンプラザマツモト</t>
  </si>
  <si>
    <t xml:space="preserve">クレイターレイク</t>
  </si>
  <si>
    <t xml:space="preserve">フランベリー</t>
  </si>
  <si>
    <t xml:space="preserve">ドナリー</t>
  </si>
  <si>
    <t xml:space="preserve">ウイニングレイ</t>
  </si>
  <si>
    <t xml:space="preserve">ニシノキフジン</t>
  </si>
  <si>
    <t xml:space="preserve">テンオンスゴールド</t>
  </si>
  <si>
    <t xml:space="preserve">スクイーズアウト</t>
  </si>
  <si>
    <t xml:space="preserve">サンタピア</t>
  </si>
  <si>
    <t xml:space="preserve">ティンバーライン</t>
  </si>
  <si>
    <t xml:space="preserve">カシマライフウ</t>
  </si>
  <si>
    <t xml:space="preserve">エッジランナー</t>
  </si>
  <si>
    <t xml:space="preserve">コパノミラノ</t>
  </si>
  <si>
    <t xml:space="preserve">サツキジュエル</t>
  </si>
  <si>
    <t xml:space="preserve">ナムラドガ</t>
  </si>
  <si>
    <t xml:space="preserve">ベイツリー</t>
  </si>
  <si>
    <t xml:space="preserve">オーパパ</t>
  </si>
  <si>
    <t xml:space="preserve">アデルフィー</t>
  </si>
  <si>
    <t xml:space="preserve">オートカリテ</t>
  </si>
  <si>
    <t xml:space="preserve">カミノテイオー</t>
  </si>
  <si>
    <t xml:space="preserve">アラビアンドリーム</t>
  </si>
  <si>
    <t xml:space="preserve">セキテイリノ</t>
  </si>
  <si>
    <t xml:space="preserve">タッカーヴァンバン</t>
  </si>
  <si>
    <t xml:space="preserve">モンドシュピーゲル</t>
  </si>
  <si>
    <t xml:space="preserve">ベアダイヤモンド</t>
  </si>
  <si>
    <t xml:space="preserve">マイネルオラクル</t>
  </si>
  <si>
    <t xml:space="preserve">ケファロニア</t>
  </si>
  <si>
    <t xml:space="preserve">ブライトエアリー</t>
  </si>
  <si>
    <t xml:space="preserve">スチールギターラグ</t>
  </si>
  <si>
    <t xml:space="preserve">ラッキースウィッチ</t>
  </si>
  <si>
    <t xml:space="preserve">ノアソノマ</t>
  </si>
  <si>
    <t xml:space="preserve">アッシズオブローズ</t>
  </si>
  <si>
    <t xml:space="preserve">ベルトラッキ</t>
  </si>
  <si>
    <t xml:space="preserve">マイネルリーヒム</t>
  </si>
  <si>
    <t xml:space="preserve">サヴマ</t>
  </si>
  <si>
    <t xml:space="preserve">シーサンタナ</t>
  </si>
  <si>
    <t xml:space="preserve">エコロゼット</t>
  </si>
  <si>
    <t xml:space="preserve">サムハラ</t>
  </si>
  <si>
    <t xml:space="preserve">ブルズアイプリンス</t>
  </si>
  <si>
    <t xml:space="preserve">サトノセレナーデ</t>
  </si>
  <si>
    <t xml:space="preserve">クリノゴッホ</t>
  </si>
  <si>
    <t xml:space="preserve">ロンドンアームズ</t>
  </si>
  <si>
    <t xml:space="preserve">コルチェスター</t>
  </si>
  <si>
    <t xml:space="preserve">ココボロ</t>
  </si>
  <si>
    <t xml:space="preserve">リネンタイリン</t>
  </si>
  <si>
    <t xml:space="preserve">シークレットイスラ</t>
  </si>
  <si>
    <t xml:space="preserve">ダノンゴーイチ</t>
  </si>
  <si>
    <t xml:space="preserve">ブライティアブーケ</t>
  </si>
  <si>
    <t xml:space="preserve">コックオーヴァン</t>
  </si>
  <si>
    <t xml:space="preserve">ルシェロアズーリ</t>
  </si>
  <si>
    <t xml:space="preserve">ミセスリリー</t>
  </si>
  <si>
    <t xml:space="preserve">ウインイルネージュ</t>
  </si>
  <si>
    <t xml:space="preserve">リリエンフェルト</t>
  </si>
  <si>
    <t xml:space="preserve">パッセージピーク</t>
  </si>
  <si>
    <t xml:space="preserve">ビーンスターク</t>
  </si>
  <si>
    <t xml:space="preserve">テイキットイージー</t>
  </si>
  <si>
    <t xml:space="preserve">ドリームプレミア</t>
  </si>
  <si>
    <t xml:space="preserve">マイネルボス</t>
  </si>
  <si>
    <t xml:space="preserve">オメガストリーム</t>
  </si>
  <si>
    <t xml:space="preserve">リュクスパトロール</t>
  </si>
  <si>
    <t xml:space="preserve">ビリングス</t>
  </si>
  <si>
    <t xml:space="preserve">オブラプリーマ</t>
  </si>
  <si>
    <t xml:space="preserve">ノリマル</t>
  </si>
  <si>
    <t xml:space="preserve">マーキュリーダイム</t>
  </si>
  <si>
    <t xml:space="preserve">ピコシー</t>
  </si>
  <si>
    <t xml:space="preserve">グラスブランシュ</t>
  </si>
  <si>
    <t xml:space="preserve">グロスビーク</t>
  </si>
  <si>
    <t xml:space="preserve">マナエトレ</t>
  </si>
  <si>
    <t xml:space="preserve">ウインハルモニア</t>
  </si>
  <si>
    <t xml:space="preserve">レッドベルダンス</t>
  </si>
  <si>
    <t xml:space="preserve">ライジンマル</t>
  </si>
  <si>
    <t xml:space="preserve">リラゲイル</t>
  </si>
  <si>
    <t xml:space="preserve">サヴァビアン</t>
  </si>
  <si>
    <t xml:space="preserve">ヴァルドルチャ</t>
  </si>
  <si>
    <t xml:space="preserve">ホープエトワール</t>
  </si>
  <si>
    <t xml:space="preserve">タケルハーロック</t>
  </si>
  <si>
    <t xml:space="preserve">フリーマントル</t>
  </si>
  <si>
    <t xml:space="preserve">オーケーマヒナ</t>
  </si>
  <si>
    <t xml:space="preserve">モリノアミーゴ</t>
  </si>
  <si>
    <t xml:space="preserve">ショーマンフリート</t>
  </si>
  <si>
    <t xml:space="preserve">ウインオーディン</t>
  </si>
  <si>
    <t xml:space="preserve">アマイ</t>
  </si>
  <si>
    <t xml:space="preserve">ワイドアラジン</t>
  </si>
  <si>
    <t xml:space="preserve">コスモアンソロジー</t>
  </si>
  <si>
    <t xml:space="preserve">タイキラフター</t>
  </si>
  <si>
    <t xml:space="preserve">グラニット</t>
  </si>
  <si>
    <t xml:space="preserve">ホウオウスーペリア</t>
  </si>
  <si>
    <t xml:space="preserve">コンドゥイア</t>
  </si>
  <si>
    <t xml:space="preserve">ドラゴンヘッド</t>
  </si>
  <si>
    <t xml:space="preserve">エスコバル</t>
  </si>
  <si>
    <t xml:space="preserve">ヴォンフレ</t>
  </si>
  <si>
    <t xml:space="preserve">ミラビリスマジック</t>
  </si>
  <si>
    <t xml:space="preserve">テリオスサラ</t>
  </si>
  <si>
    <t xml:space="preserve">サヴォンリンナ</t>
  </si>
  <si>
    <t xml:space="preserve">フォルラニーニ</t>
  </si>
  <si>
    <t xml:space="preserve">ブルーリヴァーサル</t>
  </si>
  <si>
    <t xml:space="preserve">ソニックブレイカー</t>
  </si>
  <si>
    <t xml:space="preserve">ディヴァインスカイ</t>
  </si>
  <si>
    <t xml:space="preserve">ベアアッコチャン</t>
  </si>
  <si>
    <t xml:space="preserve">ノアスペシャル</t>
  </si>
  <si>
    <t xml:space="preserve">ロイヤルスパイア</t>
  </si>
  <si>
    <t xml:space="preserve">トワイライトサイト</t>
  </si>
  <si>
    <t xml:space="preserve">アンプイットアップ</t>
  </si>
  <si>
    <t xml:space="preserve">ナインオブレター</t>
  </si>
  <si>
    <t xml:space="preserve">トリスティ</t>
  </si>
  <si>
    <t xml:space="preserve">マナマカナ</t>
  </si>
  <si>
    <t xml:space="preserve">ベリーベリーベリー</t>
  </si>
  <si>
    <t xml:space="preserve">ベルゼビュート</t>
  </si>
  <si>
    <t xml:space="preserve">エコロカディス</t>
  </si>
  <si>
    <t xml:space="preserve">ロックオブソシジ</t>
  </si>
  <si>
    <t xml:space="preserve">アイアンナックル</t>
  </si>
  <si>
    <t xml:space="preserve">小倉</t>
  </si>
  <si>
    <t xml:space="preserve">フジフォンテ</t>
  </si>
  <si>
    <t xml:space="preserve">セイウンパシュート</t>
  </si>
  <si>
    <t xml:space="preserve">アドアプローズ</t>
  </si>
  <si>
    <t xml:space="preserve">ホウオウスターツ</t>
  </si>
  <si>
    <t xml:space="preserve">トゥデイイズザデイ</t>
  </si>
  <si>
    <t xml:space="preserve">メイショウトム</t>
  </si>
  <si>
    <t xml:space="preserve">コイヌール</t>
  </si>
  <si>
    <t xml:space="preserve">アスクアットバット</t>
  </si>
  <si>
    <t xml:space="preserve">セイフウサツキ</t>
  </si>
  <si>
    <t xml:space="preserve">エーオーキング</t>
  </si>
  <si>
    <t xml:space="preserve">タイセイレスポンス</t>
  </si>
  <si>
    <t xml:space="preserve">スラッシュ</t>
  </si>
  <si>
    <t xml:space="preserve">パーセンタイル</t>
  </si>
  <si>
    <t xml:space="preserve">イザベル</t>
  </si>
  <si>
    <t xml:space="preserve">アイルエクラ</t>
  </si>
  <si>
    <t xml:space="preserve">プリメラエストレラ</t>
  </si>
  <si>
    <t xml:space="preserve">ブレイクガール</t>
  </si>
  <si>
    <t xml:space="preserve">フランヴィア</t>
  </si>
  <si>
    <t xml:space="preserve">アシャカブラーヴ</t>
  </si>
  <si>
    <t xml:space="preserve">スピークロウ</t>
  </si>
  <si>
    <t xml:space="preserve">プリマアルバ</t>
  </si>
  <si>
    <t xml:space="preserve">ニシノフランケン</t>
  </si>
  <si>
    <t xml:space="preserve">ドナズエクリプス</t>
  </si>
  <si>
    <t xml:space="preserve">シュタルク</t>
  </si>
  <si>
    <t xml:space="preserve">サトノロザリー</t>
  </si>
  <si>
    <t xml:space="preserve">スズカローズキング</t>
  </si>
  <si>
    <t xml:space="preserve">ノボリスマイル</t>
  </si>
  <si>
    <t xml:space="preserve">モズオサキニ</t>
  </si>
  <si>
    <t xml:space="preserve">ハーブドーレ</t>
  </si>
  <si>
    <t xml:space="preserve">メイショウマドンナ</t>
  </si>
  <si>
    <t xml:space="preserve">トラステッド</t>
  </si>
  <si>
    <t xml:space="preserve">ワカワカ</t>
  </si>
  <si>
    <t xml:space="preserve">メイショウボンテン</t>
  </si>
  <si>
    <t xml:space="preserve">アルムアポジェ</t>
  </si>
  <si>
    <t xml:space="preserve">アルウラメファ</t>
  </si>
  <si>
    <t xml:space="preserve">ディアデムドール</t>
  </si>
  <si>
    <t xml:space="preserve">メイワキラリ</t>
  </si>
  <si>
    <t xml:space="preserve">マテンロウジョイ</t>
  </si>
  <si>
    <t xml:space="preserve">コンテナワールド</t>
  </si>
  <si>
    <t xml:space="preserve">トーアモルペウス</t>
  </si>
  <si>
    <t xml:space="preserve">スマイルスルー</t>
  </si>
  <si>
    <t xml:space="preserve">ヴァレッタカズマ</t>
  </si>
  <si>
    <t xml:space="preserve">オールザワールド</t>
  </si>
  <si>
    <t xml:space="preserve">アトラクティーボ</t>
  </si>
  <si>
    <t xml:space="preserve">スノーディーヴァ</t>
  </si>
  <si>
    <t xml:space="preserve">ウインガラハッド</t>
  </si>
  <si>
    <t xml:space="preserve">タナコクシテンホウ</t>
  </si>
  <si>
    <t xml:space="preserve">ハマナスノサクコロ</t>
  </si>
  <si>
    <t xml:space="preserve">キシュウマミー</t>
  </si>
  <si>
    <t xml:space="preserve">ナムラメアリー</t>
  </si>
  <si>
    <t xml:space="preserve">マルモタワー</t>
  </si>
  <si>
    <t xml:space="preserve">リヴィエラヴィル</t>
  </si>
  <si>
    <t xml:space="preserve">サンマルマニック</t>
  </si>
  <si>
    <t xml:space="preserve">ムソウテンセイ</t>
  </si>
  <si>
    <t xml:space="preserve">リテラシー</t>
  </si>
  <si>
    <t xml:space="preserve">コカボムショット</t>
  </si>
  <si>
    <t xml:space="preserve">ダイメイミラクル</t>
  </si>
  <si>
    <t xml:space="preserve">キープシャイニング</t>
  </si>
  <si>
    <t xml:space="preserve">ハクアイタワー</t>
  </si>
  <si>
    <t xml:space="preserve">ゼンノゾンターク</t>
  </si>
  <si>
    <t xml:space="preserve">ルクスドリーム</t>
  </si>
  <si>
    <t xml:space="preserve">コパノルーカス</t>
  </si>
  <si>
    <t xml:space="preserve">ジューンマーチ</t>
  </si>
  <si>
    <t xml:space="preserve">キングズテイル</t>
  </si>
  <si>
    <t xml:space="preserve">ラクホマレ</t>
  </si>
  <si>
    <t xml:space="preserve">アマノガワギンガ</t>
  </si>
  <si>
    <t xml:space="preserve">ワンダーリュクス</t>
  </si>
  <si>
    <t xml:space="preserve">ムーヴザニードル</t>
  </si>
  <si>
    <t xml:space="preserve">クラリノ</t>
  </si>
  <si>
    <t xml:space="preserve">サンライズマシュー</t>
  </si>
  <si>
    <t xml:space="preserve">ジリアート</t>
  </si>
  <si>
    <t xml:space="preserve">チヨ</t>
  </si>
  <si>
    <t xml:space="preserve">ゴールデンテティス</t>
  </si>
  <si>
    <t xml:space="preserve">ヒロウッドテール</t>
  </si>
  <si>
    <t xml:space="preserve">メイショウツキヨ</t>
  </si>
  <si>
    <t xml:space="preserve">エイシンミスリル</t>
  </si>
  <si>
    <t xml:space="preserve">ネッカーズルム</t>
  </si>
  <si>
    <t xml:space="preserve">シュプリームレルム</t>
  </si>
  <si>
    <t xml:space="preserve">ジージージェット</t>
  </si>
  <si>
    <t xml:space="preserve">ダノンアトラス</t>
  </si>
  <si>
    <t xml:space="preserve">サイレントグルーヴ</t>
  </si>
  <si>
    <t xml:space="preserve">フウセン</t>
  </si>
  <si>
    <t xml:space="preserve">ワンダフルボンド</t>
  </si>
  <si>
    <t xml:space="preserve">ノンブルドール</t>
  </si>
  <si>
    <t xml:space="preserve">ビヨンドザドリーム</t>
  </si>
  <si>
    <t xml:space="preserve">ダノンハドソン</t>
  </si>
  <si>
    <t xml:space="preserve">スリーラーケン</t>
  </si>
  <si>
    <t xml:space="preserve">ゴールドアクセス</t>
  </si>
  <si>
    <t xml:space="preserve">パラディオン</t>
  </si>
  <si>
    <t xml:space="preserve">バミューダボーイ</t>
  </si>
  <si>
    <t xml:space="preserve">ヘキレキ</t>
  </si>
  <si>
    <t xml:space="preserve">リエーヴェ</t>
  </si>
  <si>
    <t xml:space="preserve">ワッザイカ</t>
  </si>
  <si>
    <t xml:space="preserve">カシノヴィタ</t>
  </si>
  <si>
    <t xml:space="preserve">ルーストカール</t>
  </si>
  <si>
    <t xml:space="preserve">ソゲソゲスマイル</t>
  </si>
  <si>
    <t xml:space="preserve">タカヨシ</t>
  </si>
  <si>
    <t xml:space="preserve">ユイノジカンカセギ</t>
  </si>
  <si>
    <t xml:space="preserve">タカモリ</t>
  </si>
  <si>
    <t xml:space="preserve">トシミチ</t>
  </si>
  <si>
    <t xml:space="preserve">グレートキリシマ</t>
  </si>
  <si>
    <t xml:space="preserve">ニシノマティーニ</t>
  </si>
  <si>
    <t xml:space="preserve">ラブマイティー</t>
  </si>
  <si>
    <t xml:space="preserve">カシノクロサイト</t>
  </si>
  <si>
    <t xml:space="preserve">カエリールークス</t>
  </si>
  <si>
    <t xml:space="preserve">スイトーヨ</t>
  </si>
  <si>
    <t xml:space="preserve">ニシノキヅイタラ</t>
  </si>
  <si>
    <t xml:space="preserve">コスモストーム</t>
  </si>
  <si>
    <t xml:space="preserve">ワイドクリーガー</t>
  </si>
  <si>
    <t xml:space="preserve">メイショウザンゲツ</t>
  </si>
  <si>
    <t xml:space="preserve">ユーヴェリア</t>
  </si>
  <si>
    <t xml:space="preserve">タマモジャスミン</t>
  </si>
  <si>
    <t xml:space="preserve">タマモナポリ</t>
  </si>
  <si>
    <t xml:space="preserve">ワンダーカモン</t>
  </si>
  <si>
    <t xml:space="preserve">ホウショウマリス</t>
  </si>
  <si>
    <t xml:space="preserve">ナリタヒカリ</t>
  </si>
  <si>
    <t xml:space="preserve">シュヴァルツリーベ</t>
  </si>
  <si>
    <t xml:space="preserve">ハピアーザンエバー</t>
  </si>
  <si>
    <t xml:space="preserve">タガノヘラクレス</t>
  </si>
  <si>
    <t xml:space="preserve">ロードトレイル</t>
  </si>
  <si>
    <t xml:space="preserve">トーラスシャイン</t>
  </si>
  <si>
    <t xml:space="preserve">アイルシャイン</t>
  </si>
  <si>
    <t xml:space="preserve">ダークエクリプス</t>
  </si>
  <si>
    <t xml:space="preserve">コウセキ</t>
  </si>
  <si>
    <t xml:space="preserve">ミロワール</t>
  </si>
  <si>
    <t xml:space="preserve">ブラックケリー</t>
  </si>
  <si>
    <t xml:space="preserve">エスペシャリー</t>
  </si>
  <si>
    <t xml:space="preserve">ヒーローインチーフ</t>
  </si>
  <si>
    <t xml:space="preserve">ベイビーキッス</t>
  </si>
  <si>
    <t xml:space="preserve">リチャードバローズ</t>
  </si>
  <si>
    <t xml:space="preserve">ジュンヴァンケット</t>
  </si>
  <si>
    <t xml:space="preserve">ミッキーコンドル</t>
  </si>
  <si>
    <t xml:space="preserve">レーンアジリティ</t>
  </si>
  <si>
    <t xml:space="preserve">スマートクラビ</t>
  </si>
  <si>
    <t xml:space="preserve">チャチャピンク</t>
  </si>
  <si>
    <t xml:space="preserve">バートラガッツ</t>
  </si>
  <si>
    <t xml:space="preserve">ジューンセクレタ</t>
  </si>
  <si>
    <t xml:space="preserve">ブラックレジェンド</t>
  </si>
  <si>
    <t xml:space="preserve">アメリカンスタイル</t>
  </si>
  <si>
    <t xml:space="preserve">デュアルロール</t>
  </si>
  <si>
    <t xml:space="preserve">フランキーバローズ</t>
  </si>
  <si>
    <t xml:space="preserve">ケンフィールド</t>
  </si>
  <si>
    <t xml:space="preserve">フリッシュ</t>
  </si>
  <si>
    <t xml:space="preserve">ヨカオウ</t>
  </si>
  <si>
    <t xml:space="preserve">モズプリヴェール</t>
  </si>
  <si>
    <t xml:space="preserve">函館</t>
  </si>
  <si>
    <t xml:space="preserve">サンゴート</t>
  </si>
  <si>
    <t xml:space="preserve">ロジクラウン</t>
  </si>
  <si>
    <t xml:space="preserve">アートオブブライト</t>
  </si>
  <si>
    <t xml:space="preserve">ロードレスポンス</t>
  </si>
  <si>
    <t xml:space="preserve">レインボースター</t>
  </si>
  <si>
    <t xml:space="preserve">イッペイ</t>
  </si>
  <si>
    <t xml:space="preserve">ハイビスカス</t>
  </si>
  <si>
    <t xml:space="preserve">ガーシュウィン</t>
  </si>
  <si>
    <t xml:space="preserve">レディリリス</t>
  </si>
  <si>
    <t xml:space="preserve">メモリーデイズ</t>
  </si>
  <si>
    <t xml:space="preserve">ジェッディンデデン</t>
  </si>
  <si>
    <t xml:space="preserve">ブルーメンフェスト</t>
  </si>
  <si>
    <t xml:space="preserve">チュラヴェール</t>
  </si>
  <si>
    <t xml:space="preserve">メメボス</t>
  </si>
  <si>
    <t xml:space="preserve">ドリームガッサン</t>
  </si>
  <si>
    <t xml:space="preserve">クリーンブーケ</t>
  </si>
  <si>
    <t xml:space="preserve">ジャストキュート</t>
  </si>
  <si>
    <t xml:space="preserve">コシタンタン</t>
  </si>
  <si>
    <t xml:space="preserve">マーマレードスカイ</t>
  </si>
  <si>
    <t xml:space="preserve">ペイシャクロス</t>
  </si>
  <si>
    <t xml:space="preserve">ジャストグレース</t>
  </si>
  <si>
    <t xml:space="preserve">ザンテソーロ</t>
  </si>
  <si>
    <t xml:space="preserve">マーゴットデウス</t>
  </si>
  <si>
    <t xml:space="preserve">ウインガネーシャ</t>
  </si>
  <si>
    <t xml:space="preserve">ハイランダー</t>
  </si>
  <si>
    <t xml:space="preserve">リベンジャー</t>
  </si>
  <si>
    <t xml:space="preserve">エトワールブルー</t>
  </si>
  <si>
    <t xml:space="preserve">リバーソニック</t>
  </si>
  <si>
    <t xml:space="preserve">フェンリル</t>
  </si>
  <si>
    <t xml:space="preserve">ゴールデンボブ</t>
  </si>
  <si>
    <t xml:space="preserve">ポップアップ</t>
  </si>
  <si>
    <t xml:space="preserve">エースオブゴールド</t>
  </si>
  <si>
    <t xml:space="preserve">ニシノオールワン</t>
  </si>
  <si>
    <t xml:space="preserve">イズントイット</t>
  </si>
  <si>
    <t xml:space="preserve">スッサンエア</t>
  </si>
  <si>
    <t xml:space="preserve">シバノパージャン</t>
  </si>
  <si>
    <t xml:space="preserve">レッドアイスピア</t>
  </si>
  <si>
    <t xml:space="preserve">オリヒメボシ</t>
  </si>
  <si>
    <t xml:space="preserve">ホウオウザロイヤル</t>
  </si>
  <si>
    <t xml:space="preserve">エコロデュラン</t>
  </si>
  <si>
    <t xml:space="preserve">メカニックバレエ</t>
  </si>
  <si>
    <t xml:space="preserve">シュヴェスター</t>
  </si>
  <si>
    <t xml:space="preserve">エルファリス</t>
  </si>
  <si>
    <t xml:space="preserve">デルマアサマ</t>
  </si>
  <si>
    <t xml:space="preserve">スノーガーネット</t>
  </si>
  <si>
    <t xml:space="preserve">ココソラーレ</t>
  </si>
  <si>
    <t xml:space="preserve">ヨドノサファイア</t>
  </si>
  <si>
    <t xml:space="preserve">サンオブザサン</t>
  </si>
  <si>
    <t xml:space="preserve">バンダムソレール</t>
  </si>
  <si>
    <t xml:space="preserve">チャーチルデュース</t>
  </si>
  <si>
    <t xml:space="preserve">コウソクユノ</t>
  </si>
  <si>
    <t xml:space="preserve">ディープマウンテン</t>
  </si>
  <si>
    <t xml:space="preserve">イトシサ</t>
  </si>
  <si>
    <t xml:space="preserve">フロムザムーン</t>
  </si>
  <si>
    <t xml:space="preserve">ホウオウライセンス</t>
  </si>
  <si>
    <t xml:space="preserve">ペガサスウィンド</t>
  </si>
  <si>
    <t xml:space="preserve">ダノンアクション</t>
  </si>
  <si>
    <t xml:space="preserve">ルージュプルーヴ</t>
  </si>
  <si>
    <t xml:space="preserve">モンロワイヤル</t>
  </si>
  <si>
    <t xml:space="preserve">レースクイーン</t>
  </si>
  <si>
    <t xml:space="preserve">メイショウセンドウ</t>
  </si>
  <si>
    <t xml:space="preserve">ファインブライト</t>
  </si>
  <si>
    <t xml:space="preserve">トリニタリオ</t>
  </si>
  <si>
    <t xml:space="preserve">ホウショウリュウ</t>
  </si>
  <si>
    <t xml:space="preserve">エイシンリーガル</t>
  </si>
  <si>
    <t xml:space="preserve">テンユウ</t>
  </si>
  <si>
    <t xml:space="preserve">コスモクラシック</t>
  </si>
  <si>
    <t xml:space="preserve">カリドーラ</t>
  </si>
  <si>
    <t xml:space="preserve">ホテルストリート</t>
  </si>
  <si>
    <t xml:space="preserve">イーサンミラー</t>
  </si>
  <si>
    <t xml:space="preserve">グローリーバローズ</t>
  </si>
  <si>
    <t xml:space="preserve">ジュラトリー</t>
  </si>
  <si>
    <t xml:space="preserve">ショウナンマルチ</t>
  </si>
  <si>
    <t xml:space="preserve">エンダードラゴン</t>
  </si>
  <si>
    <t xml:space="preserve">タイセイデクスター</t>
  </si>
  <si>
    <t xml:space="preserve">イサギ</t>
  </si>
  <si>
    <t xml:space="preserve">ディアスポラ</t>
  </si>
  <si>
    <t xml:space="preserve">ウィズマスタング</t>
  </si>
  <si>
    <t xml:space="preserve">ノリノドラゴン</t>
  </si>
  <si>
    <t xml:space="preserve">グランセレスト</t>
  </si>
  <si>
    <t xml:space="preserve">パラダイスフェイス</t>
  </si>
  <si>
    <t xml:space="preserve">シェーンルスカ</t>
  </si>
  <si>
    <t xml:space="preserve">タイセツナヒ</t>
  </si>
  <si>
    <t xml:space="preserve">ストロングボーイ</t>
  </si>
  <si>
    <t xml:space="preserve">カーマンライン</t>
  </si>
  <si>
    <t xml:space="preserve">ガラスノブルース</t>
  </si>
  <si>
    <t xml:space="preserve">ホウオウバローロ</t>
  </si>
  <si>
    <t xml:space="preserve">ワンダフルデイズ</t>
  </si>
  <si>
    <t xml:space="preserve">シャインバオバブ</t>
  </si>
  <si>
    <t xml:space="preserve">バルドル</t>
  </si>
  <si>
    <t xml:space="preserve">テイクザクラウン</t>
  </si>
  <si>
    <t xml:space="preserve">アーレムアレス</t>
  </si>
  <si>
    <t xml:space="preserve">マイネルゼウス</t>
  </si>
  <si>
    <t xml:space="preserve">アスクファイアモア</t>
  </si>
  <si>
    <t xml:space="preserve">ジーティートシオー</t>
  </si>
  <si>
    <t xml:space="preserve">ペリプルス</t>
  </si>
  <si>
    <t xml:space="preserve">メイショウテンク</t>
  </si>
  <si>
    <t xml:space="preserve">エリナ</t>
  </si>
  <si>
    <t xml:space="preserve">マテンロウオリジン</t>
  </si>
  <si>
    <t xml:space="preserve">マカナアネラ</t>
  </si>
  <si>
    <t xml:space="preserve">アドミラルシップ</t>
  </si>
  <si>
    <t xml:space="preserve">ホウオウペトリュス</t>
  </si>
  <si>
    <t xml:space="preserve">グランセゾン</t>
  </si>
  <si>
    <t xml:space="preserve">ドッグウッド</t>
  </si>
  <si>
    <t xml:space="preserve">マイネルシンベリン</t>
  </si>
  <si>
    <t xml:space="preserve">ハミルトン</t>
  </si>
  <si>
    <t xml:space="preserve">ウインポセイドン</t>
  </si>
  <si>
    <t xml:space="preserve">ディーリライズ</t>
  </si>
  <si>
    <t xml:space="preserve">マイバラード</t>
  </si>
  <si>
    <t xml:space="preserve">コウギョク</t>
  </si>
  <si>
    <t xml:space="preserve">ゴーゴータカシ</t>
  </si>
  <si>
    <t xml:space="preserve">フミサウンド</t>
  </si>
  <si>
    <t xml:space="preserve">ストリンジェンド</t>
  </si>
  <si>
    <t xml:space="preserve">ムチャスグラシアス</t>
  </si>
  <si>
    <t xml:space="preserve">マナボニート</t>
  </si>
  <si>
    <t xml:space="preserve">フードマン</t>
  </si>
  <si>
    <t xml:space="preserve">バシレウスシチー</t>
  </si>
  <si>
    <t xml:space="preserve">サンドロナイト</t>
  </si>
  <si>
    <t xml:space="preserve">マジカルフェアリー</t>
  </si>
  <si>
    <t xml:space="preserve">エクストラバック</t>
  </si>
  <si>
    <t xml:space="preserve">アパッシメント</t>
  </si>
  <si>
    <t xml:space="preserve">チュウワクリスエス</t>
  </si>
  <si>
    <t xml:space="preserve">コトホドサヨウニ</t>
  </si>
  <si>
    <t xml:space="preserve">オウギノカナメ</t>
  </si>
  <si>
    <t xml:space="preserve">ホールシバン</t>
  </si>
  <si>
    <t xml:space="preserve">イガッチ</t>
  </si>
  <si>
    <t xml:space="preserve">テーオードレフォン</t>
  </si>
  <si>
    <t xml:space="preserve">ラタフォレスト</t>
  </si>
  <si>
    <t xml:space="preserve">ハグ</t>
  </si>
  <si>
    <t xml:space="preserve">アスクデビューモア</t>
  </si>
  <si>
    <t xml:space="preserve">ウェイワードアクト</t>
  </si>
  <si>
    <t xml:space="preserve">ヒルノハンブルク</t>
  </si>
  <si>
    <t xml:space="preserve">レヴォントゥレット</t>
  </si>
  <si>
    <t xml:space="preserve">マーブルロック</t>
  </si>
  <si>
    <t xml:space="preserve">ラミアメンテ</t>
  </si>
  <si>
    <t xml:space="preserve">オンザヴィーナス</t>
  </si>
  <si>
    <t xml:space="preserve">ハーモニーソング</t>
  </si>
  <si>
    <t xml:space="preserve">ルージュナリッシュ</t>
  </si>
  <si>
    <t xml:space="preserve">バレンタインビスタ</t>
  </si>
  <si>
    <t xml:space="preserve">ルージュベルベット</t>
  </si>
  <si>
    <t xml:space="preserve">アルバニー</t>
  </si>
  <si>
    <t xml:space="preserve">エコロハート</t>
  </si>
  <si>
    <t xml:space="preserve">メラヴィリオーザ</t>
  </si>
  <si>
    <t xml:space="preserve">アルマロクザン</t>
  </si>
  <si>
    <t xml:space="preserve">ムーンベリル</t>
  </si>
  <si>
    <t xml:space="preserve">ケンシロウワールド</t>
  </si>
  <si>
    <t xml:space="preserve">スウィット</t>
  </si>
  <si>
    <t xml:space="preserve">トムキャット</t>
  </si>
  <si>
    <t xml:space="preserve">リケアチャチャチャ</t>
  </si>
  <si>
    <t xml:space="preserve">ドナビッグベン</t>
  </si>
  <si>
    <t xml:space="preserve">ウカテンセイ</t>
  </si>
  <si>
    <t xml:space="preserve">ココニイルヨ</t>
  </si>
  <si>
    <t xml:space="preserve">レオライジング</t>
  </si>
  <si>
    <t xml:space="preserve">ユイノキャッツアイ</t>
  </si>
  <si>
    <t xml:space="preserve">ジェイエルグリーン</t>
  </si>
  <si>
    <t xml:space="preserve">ジャストビコーズ</t>
  </si>
  <si>
    <t xml:space="preserve">ダイナマイトメロン</t>
  </si>
  <si>
    <t xml:space="preserve">ルビーサンセット</t>
  </si>
  <si>
    <t xml:space="preserve">フジサン</t>
  </si>
  <si>
    <t xml:space="preserve">グレイスルーラー</t>
  </si>
  <si>
    <t xml:space="preserve">キリスパークル</t>
  </si>
  <si>
    <t xml:space="preserve">サトノスターライト</t>
  </si>
  <si>
    <t xml:space="preserve">アオゾラランチ</t>
  </si>
  <si>
    <t xml:space="preserve">ロジタイガー</t>
  </si>
  <si>
    <t xml:space="preserve">ジャストマイウェイ</t>
  </si>
  <si>
    <t xml:space="preserve">チョコスコーン</t>
  </si>
  <si>
    <t xml:space="preserve">アマンヘセル</t>
  </si>
  <si>
    <t xml:space="preserve">ピースフルマインド</t>
  </si>
  <si>
    <t xml:space="preserve">クリスタルドレス</t>
  </si>
  <si>
    <t xml:space="preserve">クレアノア</t>
  </si>
  <si>
    <t xml:space="preserve">ラクシオンデクラ</t>
  </si>
  <si>
    <t xml:space="preserve">カタカムナ</t>
  </si>
  <si>
    <t xml:space="preserve">ランウェイミューズ</t>
  </si>
  <si>
    <t xml:space="preserve">ルージュラベル</t>
  </si>
  <si>
    <t xml:space="preserve">グランマエストロ</t>
  </si>
  <si>
    <t xml:space="preserve">ペプチドドリーム</t>
  </si>
  <si>
    <t xml:space="preserve">シルバーゴールド</t>
  </si>
  <si>
    <t xml:space="preserve">レッドフリーマン</t>
  </si>
  <si>
    <t xml:space="preserve">カキュウ</t>
  </si>
  <si>
    <t xml:space="preserve">ルアグロール</t>
  </si>
  <si>
    <t xml:space="preserve">ベルランコントル</t>
  </si>
  <si>
    <t xml:space="preserve">シャルムグリーン</t>
  </si>
  <si>
    <t xml:space="preserve">ボールドフロント</t>
  </si>
  <si>
    <t xml:space="preserve">ブラーヴジャン</t>
  </si>
  <si>
    <t xml:space="preserve">ヤマニンルーバス</t>
  </si>
  <si>
    <t xml:space="preserve">アーティラリー</t>
  </si>
  <si>
    <t xml:space="preserve">フェスティヴハート</t>
  </si>
  <si>
    <t xml:space="preserve">トラストレガート</t>
  </si>
  <si>
    <t xml:space="preserve">デルマザオウ</t>
  </si>
  <si>
    <t xml:space="preserve">カムオンオーバー</t>
  </si>
  <si>
    <t xml:space="preserve">ペタルズダンス</t>
  </si>
  <si>
    <t xml:space="preserve">ランランリンリン</t>
  </si>
  <si>
    <t xml:space="preserve">ユニバーサルラヴ</t>
  </si>
  <si>
    <t xml:space="preserve">ハピネスドリーム</t>
  </si>
  <si>
    <t xml:space="preserve">ハリコミチュウ</t>
  </si>
  <si>
    <t xml:space="preserve">ウィッシュリスト</t>
  </si>
  <si>
    <t xml:space="preserve">アルティソナンテ</t>
  </si>
  <si>
    <t xml:space="preserve">マッドヘッドラブ</t>
  </si>
  <si>
    <t xml:space="preserve">ジーティーヒラリ</t>
  </si>
  <si>
    <t xml:space="preserve">マイホームパパ</t>
  </si>
  <si>
    <t xml:space="preserve">サンタンヌ</t>
  </si>
  <si>
    <t xml:space="preserve">ムーチョピカンテ</t>
  </si>
  <si>
    <t xml:space="preserve">グランオギュール</t>
  </si>
  <si>
    <t xml:space="preserve">ロワデュモンド</t>
  </si>
  <si>
    <t xml:space="preserve">マハロハ</t>
  </si>
  <si>
    <t xml:space="preserve">コスモフラムオット</t>
  </si>
  <si>
    <t xml:space="preserve">カウェーカネム</t>
  </si>
  <si>
    <t xml:space="preserve">ヴェルバーニア</t>
  </si>
  <si>
    <t xml:space="preserve">アズールドーン</t>
  </si>
  <si>
    <t xml:space="preserve">エンルートフライト</t>
  </si>
  <si>
    <t xml:space="preserve">ナムラダックス</t>
  </si>
  <si>
    <t xml:space="preserve">ラヴァレード</t>
  </si>
  <si>
    <t xml:space="preserve">エリンヘラクレス</t>
  </si>
  <si>
    <t xml:space="preserve">トランサルピナ</t>
  </si>
  <si>
    <t xml:space="preserve">セイウンリリーナ</t>
  </si>
  <si>
    <t xml:space="preserve">ドリームユー</t>
  </si>
  <si>
    <t xml:space="preserve">クールボビー</t>
  </si>
  <si>
    <t xml:space="preserve">グルーヴェンス</t>
  </si>
  <si>
    <t xml:space="preserve">ミラクルオーラ</t>
  </si>
  <si>
    <t xml:space="preserve">ヴィンチェローズ</t>
  </si>
  <si>
    <t xml:space="preserve">キミヘノメロディー</t>
  </si>
  <si>
    <t xml:space="preserve">セイウンイーリス</t>
  </si>
  <si>
    <t xml:space="preserve">ヴァンデエス</t>
  </si>
  <si>
    <t xml:space="preserve">ドナチャージ</t>
  </si>
  <si>
    <t xml:space="preserve">アイアムキレマスネ</t>
  </si>
  <si>
    <t xml:space="preserve">チャランダマルツ</t>
  </si>
  <si>
    <t xml:space="preserve">コスモルトチェコ</t>
  </si>
  <si>
    <t xml:space="preserve">アルニタク</t>
  </si>
  <si>
    <t xml:space="preserve">ライヴギムレット</t>
  </si>
  <si>
    <t xml:space="preserve">サイモングリーマン</t>
  </si>
  <si>
    <t xml:space="preserve">チェイサー</t>
  </si>
  <si>
    <t xml:space="preserve">イントゥザウインド</t>
  </si>
  <si>
    <t xml:space="preserve">キタノドンカルロ</t>
  </si>
  <si>
    <t xml:space="preserve">ラヴィプランドール</t>
  </si>
  <si>
    <t xml:space="preserve">ユイノサダハル</t>
  </si>
  <si>
    <t xml:space="preserve">ジュングロワール</t>
  </si>
  <si>
    <t xml:space="preserve">ファナティカル</t>
  </si>
  <si>
    <t xml:space="preserve">パワポケグッド</t>
  </si>
  <si>
    <t xml:space="preserve">リアルパラダイス</t>
  </si>
  <si>
    <t xml:space="preserve">マイトリックスター</t>
  </si>
  <si>
    <t xml:space="preserve">ファイアリービート</t>
  </si>
  <si>
    <t xml:space="preserve">スルーザゴールド</t>
  </si>
  <si>
    <t xml:space="preserve">テキサスバローズ</t>
  </si>
  <si>
    <t xml:space="preserve">クラウンテック</t>
  </si>
  <si>
    <t xml:space="preserve">ロスパレドネス</t>
  </si>
  <si>
    <t xml:space="preserve">スイートオレンジ</t>
  </si>
  <si>
    <t xml:space="preserve">ジャグアール</t>
  </si>
  <si>
    <t xml:space="preserve">ポッドロルフ</t>
  </si>
  <si>
    <t xml:space="preserve">ミッドセンチュリー</t>
  </si>
  <si>
    <t xml:space="preserve">リスレジャンデール</t>
  </si>
  <si>
    <t xml:space="preserve">アメテュストス</t>
  </si>
  <si>
    <t xml:space="preserve">モウエエデショー</t>
  </si>
  <si>
    <t xml:space="preserve">インヴェスター</t>
  </si>
  <si>
    <t xml:space="preserve">アレクレア</t>
  </si>
  <si>
    <t xml:space="preserve">ミエノストロング</t>
  </si>
  <si>
    <t xml:space="preserve">ピエナフェーヴル</t>
  </si>
  <si>
    <t xml:space="preserve">コズミックボックス</t>
  </si>
  <si>
    <t xml:space="preserve">トーセンブリラーレ</t>
  </si>
  <si>
    <t xml:space="preserve">コスモアチーブ</t>
  </si>
  <si>
    <t xml:space="preserve">ガラベイヤ</t>
  </si>
  <si>
    <t xml:space="preserve">ダンケルド</t>
  </si>
  <si>
    <t xml:space="preserve">ヴァンヴィーヴ</t>
  </si>
  <si>
    <t xml:space="preserve">カリーシ</t>
  </si>
  <si>
    <t xml:space="preserve">ヴェントゥーラ</t>
  </si>
  <si>
    <t xml:space="preserve">キョウエイボニータ</t>
  </si>
  <si>
    <t xml:space="preserve">セイウンデセオ</t>
  </si>
  <si>
    <t xml:space="preserve">イグニション</t>
  </si>
  <si>
    <t xml:space="preserve">プリティディーヴァ</t>
  </si>
  <si>
    <t xml:space="preserve">ファビュラススター</t>
  </si>
  <si>
    <t xml:space="preserve">ルージュブリッツ</t>
  </si>
  <si>
    <t xml:space="preserve">ハッピーエンジェル</t>
  </si>
  <si>
    <t xml:space="preserve">ポッドデスペア</t>
  </si>
  <si>
    <t xml:space="preserve">ロードトレゾール</t>
  </si>
  <si>
    <t xml:space="preserve">クレオズニードル</t>
  </si>
  <si>
    <t xml:space="preserve">ジェットブレード</t>
  </si>
  <si>
    <t xml:space="preserve">ゴーソーファー</t>
  </si>
  <si>
    <t xml:space="preserve">ビッグデイメイク</t>
  </si>
  <si>
    <t xml:space="preserve">アロンズロッド</t>
  </si>
  <si>
    <t xml:space="preserve">バセリーナ</t>
  </si>
  <si>
    <t xml:space="preserve">コスモイシュタル</t>
  </si>
  <si>
    <t xml:space="preserve">ルールーリマ</t>
  </si>
  <si>
    <t xml:space="preserve">レッセパッセ</t>
  </si>
  <si>
    <t xml:space="preserve">ヤマニンガラッシア</t>
  </si>
  <si>
    <t xml:space="preserve">クラヴァンス</t>
  </si>
  <si>
    <t xml:space="preserve">ヨシヒロ</t>
  </si>
  <si>
    <t xml:space="preserve">バードウォッチャー</t>
  </si>
  <si>
    <t xml:space="preserve">メイショウホウレン</t>
  </si>
  <si>
    <t xml:space="preserve">ジョーローリット</t>
  </si>
  <si>
    <t xml:space="preserve">ロードアウォード</t>
  </si>
  <si>
    <t xml:space="preserve">カズゴルティス</t>
  </si>
  <si>
    <t xml:space="preserve">エコロアゼル</t>
  </si>
  <si>
    <t xml:space="preserve">ケイアイアニラ</t>
  </si>
  <si>
    <t xml:space="preserve">ガビーズシスター</t>
  </si>
  <si>
    <t xml:space="preserve">マニバドラ</t>
  </si>
  <si>
    <t xml:space="preserve">ジャスパーゴールド</t>
  </si>
  <si>
    <t xml:space="preserve">ゲッティヴィラ</t>
  </si>
  <si>
    <t xml:space="preserve">プレゼンティーア</t>
  </si>
  <si>
    <t xml:space="preserve">グッジョブ</t>
  </si>
  <si>
    <t xml:space="preserve">ユキマル</t>
  </si>
  <si>
    <t xml:space="preserve">ファムエレガンテ</t>
  </si>
  <si>
    <t xml:space="preserve">ショウナンアビアス</t>
  </si>
  <si>
    <t xml:space="preserve">ルディック</t>
  </si>
  <si>
    <t xml:space="preserve">アルデキングダム</t>
  </si>
  <si>
    <t xml:space="preserve">メリーサウンド</t>
  </si>
  <si>
    <t xml:space="preserve">ソナタン</t>
  </si>
  <si>
    <t xml:space="preserve">ジーティーブラック</t>
  </si>
  <si>
    <t xml:space="preserve">ノアチュロス</t>
  </si>
  <si>
    <t xml:space="preserve">サムシングニュー</t>
  </si>
  <si>
    <t xml:space="preserve">イサチルシーキング</t>
  </si>
  <si>
    <t xml:space="preserve">スーパーホース</t>
  </si>
  <si>
    <t xml:space="preserve">キングプロフィット</t>
  </si>
  <si>
    <t xml:space="preserve">ノーウェアマン</t>
  </si>
  <si>
    <t xml:space="preserve">エアトベーレ</t>
  </si>
  <si>
    <t xml:space="preserve">ウインドワンピース</t>
  </si>
  <si>
    <t xml:space="preserve">カイトヴィント</t>
  </si>
  <si>
    <t xml:space="preserve">リポジノ</t>
  </si>
  <si>
    <t xml:space="preserve">ヘルヴェティオス</t>
  </si>
  <si>
    <t xml:space="preserve">ニシノクードクール</t>
  </si>
  <si>
    <t xml:space="preserve">スティルシャイニン</t>
  </si>
  <si>
    <t xml:space="preserve">ブルーセルリアン</t>
  </si>
  <si>
    <t xml:space="preserve">クリアクォーツ</t>
  </si>
  <si>
    <t xml:space="preserve">ブランフォルテ</t>
  </si>
  <si>
    <t xml:space="preserve">フラムリンガム</t>
  </si>
  <si>
    <t xml:space="preserve">シュエットアムール</t>
  </si>
  <si>
    <t xml:space="preserve">メイショウソウセキ</t>
  </si>
  <si>
    <t xml:space="preserve">アウスヴァール</t>
  </si>
  <si>
    <t xml:space="preserve">バニーラビット</t>
  </si>
  <si>
    <t xml:space="preserve">エイカイボクサー</t>
  </si>
  <si>
    <t xml:space="preserve">トウカイジーク</t>
  </si>
  <si>
    <t xml:space="preserve">ハクサンテドリガワ</t>
  </si>
  <si>
    <t xml:space="preserve">グレンセロース</t>
  </si>
  <si>
    <t xml:space="preserve">ショウナンライラ</t>
  </si>
  <si>
    <t xml:space="preserve">ルナフィオーレ</t>
  </si>
  <si>
    <t xml:space="preserve">カルロット</t>
  </si>
  <si>
    <t xml:space="preserve">ケイアイブラック</t>
  </si>
  <si>
    <t xml:space="preserve">トウカイツバキ</t>
  </si>
  <si>
    <t xml:space="preserve">ナデシコザクラ</t>
  </si>
  <si>
    <t xml:space="preserve">クリノゴージャス</t>
  </si>
  <si>
    <t xml:space="preserve">ムーンリットビーチ</t>
  </si>
  <si>
    <t xml:space="preserve">スマイリングスカイ</t>
  </si>
  <si>
    <t xml:space="preserve">ヒッグスボソン</t>
  </si>
  <si>
    <t xml:space="preserve">ホッコームジカ</t>
  </si>
  <si>
    <t xml:space="preserve">タマモマリアージュ</t>
  </si>
  <si>
    <t xml:space="preserve">ルーセントムーン</t>
  </si>
  <si>
    <t xml:space="preserve">ドゥボヌール</t>
  </si>
  <si>
    <t xml:space="preserve">レガリアーナ</t>
  </si>
  <si>
    <t xml:space="preserve">ブライトベリル</t>
  </si>
  <si>
    <t xml:space="preserve">グリミスティ</t>
  </si>
  <si>
    <t xml:space="preserve">ルージュマデイラ</t>
  </si>
  <si>
    <t xml:space="preserve">カフジラクレット</t>
  </si>
  <si>
    <t xml:space="preserve">ヴェルサイユローズ</t>
  </si>
  <si>
    <t xml:space="preserve">メイショウメゴヒメ</t>
  </si>
  <si>
    <t xml:space="preserve">ヤマニンエルファバ</t>
  </si>
  <si>
    <t xml:space="preserve">ハツアカネ</t>
  </si>
  <si>
    <t xml:space="preserve">エンジェルグラース</t>
  </si>
  <si>
    <t xml:space="preserve">クレスコフェーヴ</t>
  </si>
  <si>
    <t xml:space="preserve">ヒデガミティアラ</t>
  </si>
  <si>
    <t xml:space="preserve">テクノピーチ</t>
  </si>
  <si>
    <t xml:space="preserve">スマイルガーデン</t>
  </si>
  <si>
    <t xml:space="preserve">エレーデサンライズ</t>
  </si>
  <si>
    <t xml:space="preserve">デアアテナ</t>
  </si>
  <si>
    <t xml:space="preserve">エイシンキタールン</t>
  </si>
  <si>
    <t xml:space="preserve">アクティブヘイロー</t>
  </si>
  <si>
    <t xml:space="preserve">カフジマリボー</t>
  </si>
  <si>
    <t xml:space="preserve">ホウオウモチーヴ</t>
  </si>
  <si>
    <t xml:space="preserve">レイワノキセキ</t>
  </si>
  <si>
    <t xml:space="preserve">ヴィーラー</t>
  </si>
  <si>
    <t xml:space="preserve">ニテンイチリュウ</t>
  </si>
  <si>
    <t xml:space="preserve">メイショウユウゲン</t>
  </si>
  <si>
    <t xml:space="preserve">ダンツウルス</t>
  </si>
  <si>
    <t xml:space="preserve">ドットカモン</t>
  </si>
  <si>
    <t xml:space="preserve">デルマタイセツ</t>
  </si>
  <si>
    <t xml:space="preserve">アラムシャピラス</t>
  </si>
  <si>
    <t xml:space="preserve">ブルーザー</t>
  </si>
  <si>
    <t xml:space="preserve">ルクスディグニティ</t>
  </si>
  <si>
    <t xml:space="preserve">アイスフォーク</t>
  </si>
  <si>
    <t xml:space="preserve">カローナ</t>
  </si>
  <si>
    <t xml:space="preserve">ツーハーツ</t>
  </si>
  <si>
    <t xml:space="preserve">メイショウジェード</t>
  </si>
  <si>
    <t xml:space="preserve">レアアース</t>
  </si>
  <si>
    <t xml:space="preserve">ホットロッドハート</t>
  </si>
  <si>
    <t xml:space="preserve">レイクイーン</t>
  </si>
  <si>
    <t xml:space="preserve">ユーダブルワン</t>
  </si>
  <si>
    <t xml:space="preserve">ビエントゾンダ</t>
  </si>
  <si>
    <t xml:space="preserve">テーオータウンズ</t>
  </si>
  <si>
    <t xml:space="preserve">テイエムファントム</t>
  </si>
  <si>
    <t xml:space="preserve">トゥレネヴェリテ</t>
  </si>
  <si>
    <t xml:space="preserve">フレアオブセンス</t>
  </si>
  <si>
    <t xml:space="preserve">アイアン</t>
  </si>
  <si>
    <t xml:space="preserve">リリーサンダー</t>
  </si>
  <si>
    <t xml:space="preserve">テーオーレックス</t>
  </si>
  <si>
    <t xml:space="preserve">ウルトラハート</t>
  </si>
  <si>
    <t xml:space="preserve">ビーウィナー</t>
  </si>
  <si>
    <t xml:space="preserve">サトノライトニング</t>
  </si>
  <si>
    <t xml:space="preserve">レッドフレーザー</t>
  </si>
  <si>
    <t xml:space="preserve">メイショウゲッコウ</t>
  </si>
  <si>
    <t xml:space="preserve">コズミックフレア</t>
  </si>
  <si>
    <t xml:space="preserve">サカトクフェイス</t>
  </si>
  <si>
    <t xml:space="preserve">ピアストイヤーズ</t>
  </si>
  <si>
    <t xml:space="preserve">ウェルカムソング</t>
  </si>
  <si>
    <t xml:space="preserve">アスクザアメリカン</t>
  </si>
  <si>
    <t xml:space="preserve">ヒットザグラウンド</t>
  </si>
  <si>
    <t xml:space="preserve">アーリントンロウ</t>
  </si>
  <si>
    <t xml:space="preserve">ラブアイミー</t>
  </si>
  <si>
    <t xml:space="preserve">フィラーエ</t>
  </si>
  <si>
    <t xml:space="preserve">タガノアルブラック</t>
  </si>
  <si>
    <t xml:space="preserve">キョラムン</t>
  </si>
  <si>
    <t xml:space="preserve">ダイアナクイーン</t>
  </si>
  <si>
    <t xml:space="preserve">ミライハーモニー</t>
  </si>
  <si>
    <t xml:space="preserve">ペルフェツィオーネ</t>
  </si>
  <si>
    <t xml:space="preserve">マウンテンバローズ</t>
  </si>
  <si>
    <t xml:space="preserve">レオナルドスター</t>
  </si>
  <si>
    <t xml:space="preserve">ソリスディエス</t>
  </si>
  <si>
    <t xml:space="preserve">バーケンティン</t>
  </si>
  <si>
    <t xml:space="preserve">イリスアスール</t>
  </si>
  <si>
    <t xml:space="preserve">アイカンアズーラ</t>
  </si>
  <si>
    <t xml:space="preserve">イイデカンタロウ</t>
  </si>
  <si>
    <t xml:space="preserve">スマッシング</t>
  </si>
  <si>
    <t xml:space="preserve">アメリカンビヨンド</t>
  </si>
  <si>
    <t xml:space="preserve">ヨドノゴールド</t>
  </si>
  <si>
    <t xml:space="preserve">サンライズジュピタ</t>
  </si>
  <si>
    <t xml:space="preserve">ペルセポネ</t>
  </si>
  <si>
    <t xml:space="preserve">ナンヨークリスタル</t>
  </si>
  <si>
    <t xml:space="preserve">ドラムメジャー</t>
  </si>
  <si>
    <t xml:space="preserve">プルミエールパス</t>
  </si>
  <si>
    <t xml:space="preserve">スレッドザニードル</t>
  </si>
  <si>
    <t xml:space="preserve">ジャンシ</t>
  </si>
  <si>
    <t xml:space="preserve">ミヤフロント</t>
  </si>
  <si>
    <t xml:space="preserve">ミヤラティーニ</t>
  </si>
  <si>
    <t xml:space="preserve">キーウェーブ</t>
  </si>
  <si>
    <t xml:space="preserve">ヤマニンループ</t>
  </si>
  <si>
    <t xml:space="preserve">タンテドヴィーヴル</t>
  </si>
  <si>
    <t xml:space="preserve">モアニ</t>
  </si>
  <si>
    <t xml:space="preserve">ハイディージェン</t>
  </si>
  <si>
    <t xml:space="preserve">ゼンノインヴォーク</t>
  </si>
  <si>
    <t xml:space="preserve">クスクス</t>
  </si>
  <si>
    <t xml:space="preserve">ユメハハテシナク</t>
  </si>
  <si>
    <t xml:space="preserve">ジューンエオス</t>
  </si>
  <si>
    <t xml:space="preserve">メイショウシナノ</t>
  </si>
  <si>
    <t xml:space="preserve">ダノンスウィッチ</t>
  </si>
  <si>
    <t xml:space="preserve">グランキングオー</t>
  </si>
  <si>
    <t xml:space="preserve">テーオールビー</t>
  </si>
  <si>
    <t xml:space="preserve">カミノレアル</t>
  </si>
  <si>
    <t xml:space="preserve">プロミシングスター</t>
  </si>
  <si>
    <t xml:space="preserve">モズカトレア</t>
  </si>
  <si>
    <t xml:space="preserve">マッシャーブルム</t>
  </si>
  <si>
    <t xml:space="preserve">ナヴォーナ</t>
  </si>
  <si>
    <t xml:space="preserve">メイショウオーロラ</t>
  </si>
  <si>
    <t xml:space="preserve">サイモンシュバリエ</t>
  </si>
  <si>
    <t xml:space="preserve">レヴァンテシチー</t>
  </si>
  <si>
    <t xml:space="preserve">カルパ</t>
  </si>
  <si>
    <t xml:space="preserve">インザモーメント</t>
  </si>
  <si>
    <t xml:space="preserve">アレナパラシオ</t>
  </si>
  <si>
    <t xml:space="preserve">ゼンダンハヤブサ</t>
  </si>
  <si>
    <t xml:space="preserve">タガノアビー</t>
  </si>
  <si>
    <t xml:space="preserve">ナムラエイハブ</t>
  </si>
  <si>
    <t xml:space="preserve">コパノサントス</t>
  </si>
  <si>
    <t xml:space="preserve">エヒト</t>
  </si>
  <si>
    <t xml:space="preserve">ガイアメンテ</t>
  </si>
  <si>
    <t xml:space="preserve">トータルクラリティ</t>
  </si>
  <si>
    <t xml:space="preserve">サフィラ</t>
  </si>
  <si>
    <t xml:space="preserve">ジーティーアダマン</t>
  </si>
  <si>
    <t xml:space="preserve">マイネルメモリー</t>
  </si>
  <si>
    <t xml:space="preserve">カネフラ</t>
  </si>
  <si>
    <t xml:space="preserve">ケイズレーヴ</t>
  </si>
  <si>
    <t xml:space="preserve">カエルム</t>
  </si>
  <si>
    <t xml:space="preserve">ウエストナウ</t>
  </si>
  <si>
    <t xml:space="preserve">テーオーソラネル</t>
  </si>
  <si>
    <t xml:space="preserve">ノーランサンライズ</t>
  </si>
  <si>
    <t xml:space="preserve">ジョバンニ</t>
  </si>
  <si>
    <t xml:space="preserve">レーゼドラマ</t>
  </si>
  <si>
    <t xml:space="preserve">アウローラシエル</t>
  </si>
  <si>
    <t xml:space="preserve">ヴィーナスバブル</t>
  </si>
  <si>
    <t xml:space="preserve">ブリッツアロング</t>
  </si>
  <si>
    <t xml:space="preserve">ロングトールサリー</t>
  </si>
  <si>
    <t xml:space="preserve">フレイムスター</t>
  </si>
  <si>
    <t xml:space="preserve">オーシンエス</t>
  </si>
  <si>
    <t xml:space="preserve">ミッキージャンプ</t>
  </si>
  <si>
    <t xml:space="preserve">グラスベルグ</t>
  </si>
  <si>
    <t xml:space="preserve">ゼットエイト</t>
  </si>
  <si>
    <t xml:space="preserve">ステラトップガン</t>
  </si>
  <si>
    <t xml:space="preserve">リーゼントエース</t>
  </si>
  <si>
    <t xml:space="preserve">リアルジャパン</t>
  </si>
  <si>
    <t xml:space="preserve">ショパンコンクール</t>
  </si>
  <si>
    <t xml:space="preserve">タイフーンナイン</t>
  </si>
  <si>
    <t xml:space="preserve">ゴートゥービッツン</t>
  </si>
  <si>
    <t xml:space="preserve">アイルドフルール</t>
  </si>
  <si>
    <t xml:space="preserve">キチロクタワー</t>
  </si>
  <si>
    <t xml:space="preserve">デルマハルナ</t>
  </si>
  <si>
    <t xml:space="preserve">ラブデウザ</t>
  </si>
  <si>
    <t xml:space="preserve">ハネマン</t>
  </si>
  <si>
    <t xml:space="preserve">ジャーナーリア</t>
  </si>
  <si>
    <t xml:space="preserve">ミスマラッカ</t>
  </si>
  <si>
    <t xml:space="preserve">ホワイトラバーズ</t>
  </si>
  <si>
    <t xml:space="preserve">ミスチヴマリアンヌ</t>
  </si>
  <si>
    <t xml:space="preserve">エコロセレナ</t>
  </si>
  <si>
    <t xml:space="preserve">アルマフレイヤ</t>
  </si>
  <si>
    <t xml:space="preserve">トルークマクト</t>
  </si>
  <si>
    <t xml:space="preserve">サクセスゴールド</t>
  </si>
  <si>
    <t xml:space="preserve">デルマバンダイサン</t>
  </si>
  <si>
    <t xml:space="preserve">ルージュリヴィエラ</t>
  </si>
  <si>
    <t xml:space="preserve">ロジクリスエス</t>
  </si>
  <si>
    <t xml:space="preserve">マスカルポーネ</t>
  </si>
  <si>
    <t xml:space="preserve">キヨタリート</t>
  </si>
  <si>
    <t xml:space="preserve">キセログラフィカ</t>
  </si>
  <si>
    <t xml:space="preserve">トーレス</t>
  </si>
  <si>
    <t xml:space="preserve">ブレイズランナー</t>
  </si>
  <si>
    <t xml:space="preserve">ドゥブルヴェ</t>
  </si>
  <si>
    <t xml:space="preserve">ホウオウファラオ</t>
  </si>
  <si>
    <t xml:space="preserve">スマートコーラル</t>
  </si>
  <si>
    <t xml:space="preserve">ニシノモリミチ</t>
  </si>
  <si>
    <t xml:space="preserve">ダイユウアドバンス</t>
  </si>
  <si>
    <t xml:space="preserve">フクチャンブラック</t>
  </si>
  <si>
    <t xml:space="preserve">プリュイドール</t>
  </si>
  <si>
    <t xml:space="preserve">ウインカトリーヌ</t>
  </si>
  <si>
    <t xml:space="preserve">フィエスタ</t>
  </si>
  <si>
    <t xml:space="preserve">ヤクジョ</t>
  </si>
  <si>
    <t xml:space="preserve">ワダツミ</t>
  </si>
  <si>
    <t xml:space="preserve">ギオンバヤシ</t>
  </si>
  <si>
    <t xml:space="preserve">レイヌドプランタン</t>
  </si>
  <si>
    <t xml:space="preserve">コスモブラック</t>
  </si>
  <si>
    <t xml:space="preserve">シークレットシティ</t>
  </si>
  <si>
    <t xml:space="preserve">マコトアディントン</t>
  </si>
  <si>
    <t xml:space="preserve">フローレンスフーガ</t>
  </si>
  <si>
    <t xml:space="preserve">コティノス</t>
  </si>
  <si>
    <t xml:space="preserve">ランフォーザエイジ</t>
  </si>
  <si>
    <t xml:space="preserve">シャムスクッカ</t>
  </si>
  <si>
    <t xml:space="preserve">フィオリアーモ</t>
  </si>
  <si>
    <t xml:space="preserve">テンカタイヘイ</t>
  </si>
  <si>
    <t xml:space="preserve">ルージュロマーナ</t>
  </si>
  <si>
    <t xml:space="preserve">ロジアコース</t>
  </si>
  <si>
    <t xml:space="preserve">カリスマン</t>
  </si>
  <si>
    <t xml:space="preserve">エコロルーク</t>
  </si>
  <si>
    <t xml:space="preserve">ステラルミノーザ</t>
  </si>
  <si>
    <t xml:space="preserve">エコロヴァルド</t>
  </si>
  <si>
    <t xml:space="preserve">ラヴァンドローリエ</t>
  </si>
  <si>
    <t xml:space="preserve">プリームスリール</t>
  </si>
  <si>
    <t xml:space="preserve">サルトヴェローチェ</t>
  </si>
  <si>
    <t xml:space="preserve">ヒアカムズザサン</t>
  </si>
  <si>
    <t xml:space="preserve">コスモファーブロス</t>
  </si>
  <si>
    <t xml:space="preserve">セイカユウヒ</t>
  </si>
  <si>
    <t xml:space="preserve">ライトオブジアース</t>
  </si>
  <si>
    <t xml:space="preserve">ノブピースオブラブ</t>
  </si>
  <si>
    <t xml:space="preserve">ソワンドヴィクター</t>
  </si>
  <si>
    <t xml:space="preserve">マリノリュミエール</t>
  </si>
  <si>
    <t xml:space="preserve">スカイプレリュード</t>
  </si>
  <si>
    <t xml:space="preserve">アウェイクネス</t>
  </si>
  <si>
    <t xml:space="preserve">リネアベルタ</t>
  </si>
  <si>
    <t xml:space="preserve">マメーアップル</t>
  </si>
  <si>
    <t xml:space="preserve">リアライズブルーム</t>
  </si>
  <si>
    <t xml:space="preserve">クープグラッセ</t>
  </si>
  <si>
    <t xml:space="preserve">ジューンマロン</t>
  </si>
  <si>
    <t xml:space="preserve">トゥルージョワ</t>
  </si>
  <si>
    <t xml:space="preserve">チェサピークベイ</t>
  </si>
  <si>
    <t xml:space="preserve">ディサイドオンミー</t>
  </si>
  <si>
    <t xml:space="preserve">フェニーチェドーロ</t>
  </si>
  <si>
    <t xml:space="preserve">ライラックデューン</t>
  </si>
  <si>
    <t xml:space="preserve">ゴールドヴィーナス</t>
  </si>
  <si>
    <t xml:space="preserve">プリンセスアツコ</t>
  </si>
  <si>
    <t xml:space="preserve">ブーケドグレイス</t>
  </si>
  <si>
    <t xml:space="preserve">ビーチイン</t>
  </si>
  <si>
    <t xml:space="preserve">ジーティーアリア</t>
  </si>
  <si>
    <t xml:space="preserve">クッカユフラ</t>
  </si>
  <si>
    <t xml:space="preserve">ミリオンアップ</t>
  </si>
  <si>
    <t xml:space="preserve">ゴールドドレッサ</t>
  </si>
  <si>
    <t xml:space="preserve">ストラニエーロ</t>
  </si>
  <si>
    <t xml:space="preserve">リピース</t>
  </si>
  <si>
    <t xml:space="preserve">スタンピー</t>
  </si>
  <si>
    <t xml:space="preserve">ヴァレンティーニ</t>
  </si>
  <si>
    <t xml:space="preserve">レストプレドゥモア</t>
  </si>
  <si>
    <t xml:space="preserve">プレザントトーン</t>
  </si>
  <si>
    <t xml:space="preserve">イングラム</t>
  </si>
  <si>
    <t xml:space="preserve">ワイドデコラシオン</t>
  </si>
  <si>
    <t xml:space="preserve">グレイトソン</t>
  </si>
  <si>
    <t xml:space="preserve">キャンドルマス</t>
  </si>
  <si>
    <t xml:space="preserve">グッバイウェーブ</t>
  </si>
  <si>
    <t xml:space="preserve">フレンズプラス</t>
  </si>
  <si>
    <t xml:space="preserve">メイショウハッブル</t>
  </si>
  <si>
    <t xml:space="preserve">タイセイモノリス</t>
  </si>
  <si>
    <t xml:space="preserve">レーヴドロペラ</t>
  </si>
  <si>
    <t xml:space="preserve">マイスターヴェルク</t>
  </si>
  <si>
    <t xml:space="preserve">ハニードレス</t>
  </si>
  <si>
    <t xml:space="preserve">アストリル</t>
  </si>
  <si>
    <t xml:space="preserve">タイヨウフレア</t>
  </si>
  <si>
    <t xml:space="preserve">ロートホルン</t>
  </si>
  <si>
    <t xml:space="preserve">マルカオペラ</t>
  </si>
  <si>
    <t xml:space="preserve">ハートメテオ</t>
  </si>
  <si>
    <t xml:space="preserve">モンローウォーク</t>
  </si>
  <si>
    <t xml:space="preserve">マドモアゼルアスク</t>
  </si>
  <si>
    <t xml:space="preserve">エーデル</t>
  </si>
  <si>
    <t xml:space="preserve">エリム</t>
  </si>
  <si>
    <t xml:space="preserve">トレミニョン</t>
  </si>
  <si>
    <t xml:space="preserve">ウインシャーガス</t>
  </si>
  <si>
    <t xml:space="preserve">ヤコブセン</t>
  </si>
  <si>
    <t xml:space="preserve">テルアスワッド</t>
  </si>
  <si>
    <t xml:space="preserve">ルージュマローネ</t>
  </si>
  <si>
    <t xml:space="preserve">キングベルベット</t>
  </si>
  <si>
    <t xml:space="preserve">レイザリオ</t>
  </si>
  <si>
    <t xml:space="preserve">マーウォルス</t>
  </si>
  <si>
    <t xml:space="preserve">シーズザスローン</t>
  </si>
  <si>
    <t xml:space="preserve">マンダリンボレロ</t>
  </si>
  <si>
    <t xml:space="preserve">メイショウタイピン</t>
  </si>
  <si>
    <t xml:space="preserve">タガノエルー</t>
  </si>
  <si>
    <t xml:space="preserve">フォーワンセルフ</t>
  </si>
  <si>
    <t xml:space="preserve">プライベートアイズ</t>
  </si>
  <si>
    <t xml:space="preserve">ダマスク</t>
  </si>
  <si>
    <t xml:space="preserve">ダイシンドラゴン</t>
  </si>
  <si>
    <t xml:space="preserve">セタキト</t>
  </si>
  <si>
    <t xml:space="preserve">アルテクィーン</t>
  </si>
  <si>
    <t xml:space="preserve">フェリチタ</t>
  </si>
  <si>
    <t xml:space="preserve">ウンスイ</t>
  </si>
  <si>
    <t xml:space="preserve">ショウナンカノア</t>
  </si>
  <si>
    <t xml:space="preserve">クロリス</t>
  </si>
  <si>
    <t xml:space="preserve">イモージェン</t>
  </si>
  <si>
    <t xml:space="preserve">ノリヤンモーニン</t>
  </si>
  <si>
    <t xml:space="preserve">シグレ</t>
  </si>
  <si>
    <t xml:space="preserve">ダイメイビッグボス</t>
  </si>
  <si>
    <t xml:space="preserve">ロンドンガーズ</t>
  </si>
  <si>
    <t xml:space="preserve">ザカリナン</t>
  </si>
  <si>
    <t xml:space="preserve">コモンスナイプ</t>
  </si>
  <si>
    <t xml:space="preserve">マグネシアブリック</t>
  </si>
  <si>
    <t xml:space="preserve">ホウオウヘッセン</t>
  </si>
  <si>
    <t xml:space="preserve">ロードクラシコ</t>
  </si>
  <si>
    <t xml:space="preserve">ブラヴィーノ</t>
  </si>
  <si>
    <t xml:space="preserve">ミスターバッドガイ</t>
  </si>
  <si>
    <t xml:space="preserve">ロードヴェルテクス</t>
  </si>
  <si>
    <t xml:space="preserve">シャインズオンユー</t>
  </si>
  <si>
    <t xml:space="preserve">マイオウンウェイ</t>
  </si>
  <si>
    <t xml:space="preserve">フレンドモナコ</t>
  </si>
  <si>
    <t xml:space="preserve">ソードマスター</t>
  </si>
  <si>
    <t xml:space="preserve">アヤサンジョリーン</t>
  </si>
  <si>
    <t xml:space="preserve">ルクスアドラー</t>
  </si>
  <si>
    <t xml:space="preserve">ヒットアンドロール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</si>
  <si>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＋上位色選択再読・目視補正／公式結果突合／着順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</si>
  <si>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ジーククローネ</t>
  </si>
  <si>
    <t xml:space="preserve">トゥラッタッタ</t>
  </si>
  <si>
    <t xml:space="preserve">ナックエルドラド</t>
  </si>
  <si>
    <t xml:space="preserve">フームスムート</t>
  </si>
  <si>
    <t xml:space="preserve">シャンデルナゴル</t>
  </si>
  <si>
    <t xml:space="preserve">ネイチャーシップ</t>
  </si>
  <si>
    <t xml:space="preserve">グラニットピーク</t>
  </si>
  <si>
    <t xml:space="preserve">タマモエース</t>
  </si>
  <si>
    <t xml:space="preserve">クラウンセト</t>
  </si>
  <si>
    <t xml:space="preserve">ワイルドミュール</t>
  </si>
  <si>
    <t xml:space="preserve">エルミー</t>
  </si>
  <si>
    <t xml:space="preserve">イセッセイ</t>
  </si>
  <si>
    <t xml:space="preserve">タマモチョコチップ</t>
  </si>
  <si>
    <t xml:space="preserve">サイモンセレーノ</t>
  </si>
  <si>
    <t xml:space="preserve">キミガハマ</t>
  </si>
  <si>
    <t xml:space="preserve">アルバニクス</t>
  </si>
  <si>
    <t xml:space="preserve">アインプロージット</t>
  </si>
  <si>
    <t xml:space="preserve">ゼフィリア</t>
  </si>
  <si>
    <t xml:space="preserve">ホウライブラック</t>
  </si>
  <si>
    <t xml:space="preserve">メイショウミズホ</t>
  </si>
  <si>
    <t xml:space="preserve">セイスイカルメン</t>
  </si>
  <si>
    <t xml:space="preserve">アジュアカレンツ</t>
  </si>
  <si>
    <t xml:space="preserve">レオンティウス</t>
  </si>
  <si>
    <t xml:space="preserve">ペアスターロード</t>
  </si>
  <si>
    <t xml:space="preserve">ジーティーフクジ</t>
  </si>
  <si>
    <t xml:space="preserve">トーセンマスラオ</t>
  </si>
  <si>
    <t xml:space="preserve">マイネルリコルディ</t>
  </si>
  <si>
    <t xml:space="preserve">タイセイアドーレ</t>
  </si>
  <si>
    <t xml:space="preserve">オーケーマドンナ</t>
  </si>
  <si>
    <t xml:space="preserve">シアルナーレ</t>
  </si>
  <si>
    <t xml:space="preserve">キャピタルストーン</t>
  </si>
  <si>
    <t xml:space="preserve">ジュネストレイル</t>
  </si>
  <si>
    <t xml:space="preserve">コールドスリープ</t>
  </si>
  <si>
    <t xml:space="preserve">シャインラブ</t>
  </si>
  <si>
    <t xml:space="preserve">モーモーゼロ</t>
  </si>
  <si>
    <t xml:space="preserve">コスモシグナス</t>
  </si>
  <si>
    <t xml:space="preserve">ロードプレリュード</t>
  </si>
  <si>
    <t xml:space="preserve">エビスディアーナ</t>
  </si>
  <si>
    <t xml:space="preserve">スティールヴォーグ</t>
  </si>
  <si>
    <t xml:space="preserve">ゴールドプレイヤー</t>
  </si>
  <si>
    <t xml:space="preserve">ルールオーヴァー</t>
  </si>
  <si>
    <t xml:space="preserve">ドゥーニ</t>
  </si>
  <si>
    <t xml:space="preserve">セブンワンダーズ</t>
  </si>
  <si>
    <t xml:space="preserve">ヤマタケボニータ</t>
  </si>
  <si>
    <t xml:space="preserve">イケイケルノワール</t>
  </si>
  <si>
    <t xml:space="preserve">ツクバアヴァロン</t>
  </si>
  <si>
    <t xml:space="preserve">ロイヤルタイム</t>
  </si>
  <si>
    <t xml:space="preserve">ウェスケンジントン</t>
  </si>
  <si>
    <t xml:space="preserve">マーゴットリック</t>
  </si>
  <si>
    <t xml:space="preserve">フッカツノジャンボ</t>
  </si>
  <si>
    <t xml:space="preserve">ニシノイサリビ</t>
  </si>
  <si>
    <t xml:space="preserve">スリーフラワー</t>
  </si>
  <si>
    <t xml:space="preserve">アップルザビート</t>
  </si>
  <si>
    <t xml:space="preserve">リーディンアクター</t>
  </si>
  <si>
    <t xml:space="preserve">ディスペアーホープ</t>
  </si>
  <si>
    <t xml:space="preserve">パルセノスミハ</t>
  </si>
  <si>
    <t xml:space="preserve">センカンナガト</t>
  </si>
  <si>
    <t xml:space="preserve">ソースウィート</t>
  </si>
  <si>
    <t xml:space="preserve">セイリュウ</t>
  </si>
  <si>
    <t xml:space="preserve">アドバンスアゲイン</t>
  </si>
  <si>
    <t xml:space="preserve">ポポラヴィスタ</t>
  </si>
  <si>
    <t xml:space="preserve">パーフェクトスノー</t>
  </si>
  <si>
    <t xml:space="preserve">フクオトコ</t>
  </si>
  <si>
    <t xml:space="preserve">ミスデルマー</t>
  </si>
  <si>
    <t xml:space="preserve">ジョブックボー</t>
  </si>
  <si>
    <t xml:space="preserve">セーヌデローヴ</t>
  </si>
  <si>
    <t xml:space="preserve">サファイアプレミア</t>
  </si>
  <si>
    <t xml:space="preserve">ウインテラジーナ</t>
  </si>
  <si>
    <t xml:space="preserve">ルンベーラ</t>
  </si>
  <si>
    <t xml:space="preserve">サトノアンナ</t>
  </si>
  <si>
    <t xml:space="preserve">ブルーブロディ</t>
  </si>
  <si>
    <t xml:space="preserve">フライングビーナス</t>
  </si>
  <si>
    <t xml:space="preserve">ムーングレイル</t>
  </si>
  <si>
    <t xml:space="preserve">ケイアイギルス</t>
  </si>
  <si>
    <t xml:space="preserve">ヘルメスギャング</t>
  </si>
  <si>
    <t xml:space="preserve">ヴァンデスペランス</t>
  </si>
  <si>
    <t xml:space="preserve">リアルセンター</t>
  </si>
  <si>
    <t xml:space="preserve">イモータリス</t>
  </si>
  <si>
    <t xml:space="preserve">ボニープリンス</t>
  </si>
  <si>
    <t xml:space="preserve">ドナルンバ</t>
  </si>
  <si>
    <t xml:space="preserve">ウインボレロ</t>
  </si>
  <si>
    <t xml:space="preserve">グランプラネッタ</t>
  </si>
  <si>
    <t xml:space="preserve">マイネルモメンタム</t>
  </si>
  <si>
    <t xml:space="preserve">ニヴルヘイム</t>
  </si>
  <si>
    <t xml:space="preserve">デリシュー</t>
  </si>
  <si>
    <t xml:space="preserve">ゼファーテソーロ</t>
  </si>
  <si>
    <t xml:space="preserve">チェルシー</t>
  </si>
  <si>
    <t xml:space="preserve">ダノンリュラ</t>
  </si>
  <si>
    <t xml:space="preserve">ラエトゥス</t>
  </si>
  <si>
    <t xml:space="preserve">フラッシュポイント</t>
  </si>
  <si>
    <t xml:space="preserve">アイファーリーベン</t>
  </si>
  <si>
    <t xml:space="preserve">グラティアム</t>
  </si>
  <si>
    <t xml:space="preserve">ミッシオーネ</t>
  </si>
  <si>
    <t xml:space="preserve">ブーケドリス</t>
  </si>
  <si>
    <t xml:space="preserve">ライヴレッドアイ</t>
  </si>
  <si>
    <t xml:space="preserve">エーティータキオン</t>
  </si>
  <si>
    <t xml:space="preserve">ジェイエルキャリア</t>
  </si>
  <si>
    <t xml:space="preserve">マサノピンクレディ</t>
  </si>
  <si>
    <t xml:space="preserve">アイムインディ</t>
  </si>
  <si>
    <t xml:space="preserve">キングズトゥルー</t>
  </si>
  <si>
    <t xml:space="preserve">ヒストリアイ</t>
  </si>
  <si>
    <t xml:space="preserve">オルトパラティウム</t>
  </si>
  <si>
    <t xml:space="preserve">サトノトルネード</t>
  </si>
  <si>
    <t xml:space="preserve">キンググローリー</t>
  </si>
  <si>
    <t xml:space="preserve">ハイラント</t>
  </si>
  <si>
    <t xml:space="preserve">ビッグベルーガ</t>
  </si>
  <si>
    <t xml:space="preserve">スズカミエール</t>
  </si>
  <si>
    <t xml:space="preserve">ノクターン</t>
  </si>
  <si>
    <t xml:space="preserve">ウインマイルート</t>
  </si>
  <si>
    <t xml:space="preserve">クリフハンガー</t>
  </si>
  <si>
    <t xml:space="preserve">サトノソティラス</t>
  </si>
  <si>
    <t xml:space="preserve">モルトマエストーソ</t>
  </si>
  <si>
    <t xml:space="preserve">アメティスタ</t>
  </si>
  <si>
    <t xml:space="preserve">フォルテム</t>
  </si>
  <si>
    <t xml:space="preserve">アタリダイキチ</t>
  </si>
  <si>
    <t xml:space="preserve">ショウナンラスボス</t>
  </si>
  <si>
    <t xml:space="preserve">ズバットマサムネ</t>
  </si>
  <si>
    <t xml:space="preserve">ロードマイライフ</t>
  </si>
  <si>
    <t xml:space="preserve">メイショウヨゾラ</t>
  </si>
  <si>
    <t xml:space="preserve">モーデン</t>
  </si>
  <si>
    <t xml:space="preserve">ショウナンハクラク</t>
  </si>
  <si>
    <t xml:space="preserve">シークレットヴァウ</t>
  </si>
  <si>
    <t xml:space="preserve">レッドアヴァンティ</t>
  </si>
  <si>
    <t xml:space="preserve">ゾンニッヒ</t>
  </si>
  <si>
    <t xml:space="preserve">マサノカナリア</t>
  </si>
  <si>
    <t xml:space="preserve">クリエープキー</t>
  </si>
  <si>
    <t xml:space="preserve">クムシラコ</t>
  </si>
  <si>
    <t xml:space="preserve">マイネルジェロディ</t>
  </si>
  <si>
    <t xml:space="preserve">カウンターセブン</t>
  </si>
  <si>
    <t xml:space="preserve">スカイレックス</t>
  </si>
  <si>
    <t xml:space="preserve">ブレゲアン</t>
  </si>
  <si>
    <t xml:space="preserve">モヴレクス</t>
  </si>
  <si>
    <t xml:space="preserve">ホノボノ</t>
  </si>
  <si>
    <t xml:space="preserve">ヴィーデ</t>
  </si>
  <si>
    <t xml:space="preserve">アンティミスト</t>
  </si>
  <si>
    <t xml:space="preserve">タケルムサシ</t>
  </si>
  <si>
    <t xml:space="preserve">エリーニック</t>
  </si>
  <si>
    <t xml:space="preserve">コパノエイダン</t>
  </si>
  <si>
    <t xml:space="preserve">レッドロスタム</t>
  </si>
  <si>
    <t xml:space="preserve">アジアントレジャー</t>
  </si>
  <si>
    <t xml:space="preserve">アルプスオジョー</t>
  </si>
  <si>
    <t xml:space="preserve">エコロガノン</t>
  </si>
  <si>
    <t xml:space="preserve">アスパラゴ</t>
  </si>
  <si>
    <t xml:space="preserve">アトミックブレス</t>
  </si>
  <si>
    <t xml:space="preserve">ミエルモーサ</t>
  </si>
  <si>
    <t xml:space="preserve">ラホーヤアイズ</t>
  </si>
  <si>
    <t xml:space="preserve">ゴールドショーマン</t>
  </si>
  <si>
    <t xml:space="preserve">ユイリノベーション</t>
  </si>
  <si>
    <t xml:space="preserve">クリコキアナ</t>
  </si>
  <si>
    <t xml:space="preserve">カシノカゲマル</t>
  </si>
  <si>
    <t xml:space="preserve">アセンシオン</t>
  </si>
  <si>
    <t xml:space="preserve">ハロナ</t>
  </si>
  <si>
    <t xml:space="preserve">マルモリマイベスト</t>
  </si>
  <si>
    <t xml:space="preserve">カレンハウ</t>
  </si>
  <si>
    <t xml:space="preserve">キムケンシーサー</t>
  </si>
  <si>
    <t xml:space="preserve">バクソウシャチョウ</t>
  </si>
  <si>
    <t xml:space="preserve">ソルアモール</t>
  </si>
  <si>
    <t xml:space="preserve">タガノラヴズワン</t>
  </si>
  <si>
    <t xml:space="preserve">クータモ</t>
  </si>
  <si>
    <t xml:space="preserve">アルディメント</t>
  </si>
  <si>
    <t xml:space="preserve">アズライトアスール</t>
  </si>
  <si>
    <t xml:space="preserve">アスクハッピーマン</t>
  </si>
  <si>
    <t xml:space="preserve">サトノグロリア</t>
  </si>
  <si>
    <t xml:space="preserve">ダイメイクマモト</t>
  </si>
  <si>
    <t xml:space="preserve">マカロンブルー</t>
  </si>
  <si>
    <t xml:space="preserve">メイショウグロリア</t>
  </si>
  <si>
    <t xml:space="preserve">マテンロウルクス</t>
  </si>
  <si>
    <t xml:space="preserve">プシュカル</t>
  </si>
  <si>
    <t xml:space="preserve">ラッキーヴォーグ</t>
  </si>
  <si>
    <t xml:space="preserve">ピゲ</t>
  </si>
  <si>
    <t xml:space="preserve">ドントゥール</t>
  </si>
  <si>
    <t xml:space="preserve">ワラビガミ</t>
  </si>
  <si>
    <t xml:space="preserve">ゴールドアベニュー</t>
  </si>
  <si>
    <t xml:space="preserve">フィエールシャンテ</t>
  </si>
  <si>
    <t xml:space="preserve">マスアンジュ</t>
  </si>
  <si>
    <t xml:space="preserve">トラカイキャッスル</t>
  </si>
  <si>
    <t xml:space="preserve">ベルトナリテ</t>
  </si>
  <si>
    <t xml:space="preserve">フィニステーレ</t>
  </si>
  <si>
    <t xml:space="preserve">メイショウタカネ</t>
  </si>
  <si>
    <t xml:space="preserve">マコトエウロペ</t>
  </si>
  <si>
    <t xml:space="preserve">メイショウバルキア</t>
  </si>
  <si>
    <t xml:space="preserve">タイセイアビオン</t>
  </si>
  <si>
    <t xml:space="preserve">ビシェノ</t>
  </si>
  <si>
    <t xml:space="preserve">ワンダースアン</t>
  </si>
  <si>
    <t xml:space="preserve">クランズクラウン</t>
  </si>
  <si>
    <t xml:space="preserve">ワルトシュタイン</t>
  </si>
  <si>
    <t xml:space="preserve">ベラジオヴァレル</t>
  </si>
  <si>
    <t xml:space="preserve">ミニュイ</t>
  </si>
  <si>
    <t xml:space="preserve">サンライズハリー</t>
  </si>
  <si>
    <t xml:space="preserve">タガノランパート</t>
  </si>
  <si>
    <t xml:space="preserve">ゴールデンドラゴン</t>
  </si>
  <si>
    <t xml:space="preserve">ラッキーダイヤ</t>
  </si>
  <si>
    <t xml:space="preserve">スナークホクサイ</t>
  </si>
  <si>
    <t xml:space="preserve">カフジミモレット</t>
  </si>
  <si>
    <t xml:space="preserve">ウォーターコトノハ</t>
  </si>
  <si>
    <t xml:space="preserve">アメリカンサクラ</t>
  </si>
  <si>
    <t xml:space="preserve">ショールミーズ</t>
  </si>
  <si>
    <t xml:space="preserve">セイウンダイフク</t>
  </si>
  <si>
    <t xml:space="preserve">メイショウマグナ</t>
  </si>
  <si>
    <t xml:space="preserve">フランソワーズ</t>
  </si>
  <si>
    <t xml:space="preserve">ジーティーマローネ</t>
  </si>
  <si>
    <t xml:space="preserve">ヴォルテックス</t>
  </si>
  <si>
    <t xml:space="preserve">ティエルニート</t>
  </si>
  <si>
    <t xml:space="preserve">イテルム</t>
  </si>
  <si>
    <t xml:space="preserve">ハルカカナタ</t>
  </si>
  <si>
    <t xml:space="preserve">ルクスグレイス</t>
  </si>
  <si>
    <t xml:space="preserve">ダヌラーサナ</t>
  </si>
  <si>
    <t xml:space="preserve">アイオリスパルス</t>
  </si>
  <si>
    <t xml:space="preserve">クラリスバローズ</t>
  </si>
  <si>
    <t xml:space="preserve">ココフルール</t>
  </si>
  <si>
    <t xml:space="preserve">フラッシングルビー</t>
  </si>
  <si>
    <t xml:space="preserve">ビサイレント</t>
  </si>
  <si>
    <t xml:space="preserve">ヒャクギマル</t>
  </si>
  <si>
    <t xml:space="preserve">リメンバーシドニー</t>
  </si>
  <si>
    <t xml:space="preserve">リントゥラウル</t>
  </si>
  <si>
    <t xml:space="preserve">スターアスコット</t>
  </si>
  <si>
    <t xml:space="preserve">メテオロイド</t>
  </si>
  <si>
    <t xml:space="preserve">ディオレガーロ</t>
  </si>
  <si>
    <t xml:space="preserve">メイショウトッド</t>
  </si>
  <si>
    <t xml:space="preserve">フーガカンタービレ</t>
  </si>
  <si>
    <t xml:space="preserve">ヴェネラブル</t>
  </si>
  <si>
    <t xml:space="preserve">レジーナテンペスタ</t>
  </si>
  <si>
    <t xml:space="preserve">ウェイヨー</t>
  </si>
  <si>
    <t xml:space="preserve">アクアホワイト</t>
  </si>
  <si>
    <t xml:space="preserve">ダイメイプリンス</t>
  </si>
  <si>
    <t xml:space="preserve">リヴァイ</t>
  </si>
  <si>
    <t xml:space="preserve">オースミサイファー</t>
  </si>
  <si>
    <t xml:space="preserve">ハレアカラフラ</t>
  </si>
  <si>
    <t xml:space="preserve">トラストエムシー</t>
  </si>
  <si>
    <t xml:space="preserve">トップオブザライン</t>
  </si>
  <si>
    <t xml:space="preserve">カラペルソナ</t>
  </si>
  <si>
    <t xml:space="preserve">エイシンビーコン</t>
  </si>
  <si>
    <t xml:space="preserve">カレントゥルーシー</t>
  </si>
  <si>
    <t xml:space="preserve">トモジャプレジール</t>
  </si>
  <si>
    <t xml:space="preserve">ルートサーティーン</t>
  </si>
  <si>
    <t xml:space="preserve">メイショウアボット</t>
  </si>
  <si>
    <t xml:space="preserve">ウインラウダ</t>
  </si>
  <si>
    <t xml:space="preserve">サントルドパリ</t>
  </si>
  <si>
    <t xml:space="preserve">オブシディアーナ</t>
  </si>
  <si>
    <t xml:space="preserve">フェミナンジェンヌ</t>
  </si>
  <si>
    <t xml:space="preserve">ジョアン</t>
  </si>
  <si>
    <t xml:space="preserve">オヤツノジカン</t>
  </si>
  <si>
    <t xml:space="preserve">エイコーンドリーム</t>
  </si>
  <si>
    <t xml:space="preserve">オーケーエンジェル</t>
  </si>
  <si>
    <t xml:space="preserve">ラグナトーレ</t>
  </si>
  <si>
    <t xml:space="preserve">アンリーベイビー</t>
  </si>
  <si>
    <t xml:space="preserve">ベルメサイア</t>
  </si>
  <si>
    <t xml:space="preserve">マヴィ</t>
  </si>
  <si>
    <t xml:space="preserve">シエーナカラー</t>
  </si>
  <si>
    <t xml:space="preserve">ダノンアンチュラス</t>
  </si>
  <si>
    <t xml:space="preserve">ヴェストラン</t>
  </si>
  <si>
    <t xml:space="preserve">ウインリュクス</t>
  </si>
  <si>
    <t xml:space="preserve">カレンラップスター</t>
  </si>
  <si>
    <t xml:space="preserve">バリオス</t>
  </si>
  <si>
    <t xml:space="preserve">ジュンライデン</t>
  </si>
  <si>
    <t xml:space="preserve">フリーガー</t>
  </si>
  <si>
    <t xml:space="preserve">ミッドタウンナイト</t>
  </si>
  <si>
    <t xml:space="preserve">ダノンテムズ</t>
  </si>
  <si>
    <t xml:space="preserve">レッドヴァリアート</t>
  </si>
  <si>
    <t xml:space="preserve">タガノアルトゥーラ</t>
  </si>
  <si>
    <t xml:space="preserve">オオナミコナミ</t>
  </si>
  <si>
    <t xml:space="preserve">ユメシバイ</t>
  </si>
  <si>
    <t xml:space="preserve">ミキノバカラ</t>
  </si>
  <si>
    <t xml:space="preserve">ニホンピロトッティ</t>
  </si>
  <si>
    <t xml:space="preserve">メローネ</t>
  </si>
  <si>
    <t xml:space="preserve">ホーリーブラッサム</t>
  </si>
  <si>
    <t xml:space="preserve">ルージュサウダージ</t>
  </si>
  <si>
    <t xml:space="preserve">フォティック</t>
  </si>
  <si>
    <t xml:space="preserve">サンライズプルート</t>
  </si>
  <si>
    <t xml:space="preserve">ファイツオン</t>
  </si>
  <si>
    <t xml:space="preserve">スネーフリンガ</t>
  </si>
  <si>
    <t xml:space="preserve">ライクアフラワー</t>
  </si>
  <si>
    <t xml:space="preserve">ブルボンクイーン</t>
  </si>
  <si>
    <t xml:space="preserve">インブロリオ</t>
  </si>
  <si>
    <t xml:space="preserve">シュブロンレーヴル</t>
  </si>
  <si>
    <t xml:space="preserve">サディーク</t>
  </si>
  <si>
    <t xml:space="preserve">タナスーペルノーバ</t>
  </si>
  <si>
    <t xml:space="preserve">ハルオーブ</t>
  </si>
  <si>
    <t xml:space="preserve">スノーサイレンス</t>
  </si>
  <si>
    <t xml:space="preserve">クーデール</t>
  </si>
  <si>
    <t xml:space="preserve">イマージョン</t>
  </si>
  <si>
    <t xml:space="preserve">メイショウキルギス</t>
  </si>
  <si>
    <t xml:space="preserve">ベルギューン</t>
  </si>
  <si>
    <t xml:space="preserve">ペイシャヴァルツー</t>
  </si>
  <si>
    <t xml:space="preserve">ヴェロクオーレ</t>
  </si>
  <si>
    <t xml:space="preserve">アメリカンビキニ</t>
  </si>
  <si>
    <t xml:space="preserve">ポッドソル</t>
  </si>
  <si>
    <t xml:space="preserve">ジャーヴィス</t>
  </si>
  <si>
    <t xml:space="preserve">ハヤテノツバサ</t>
  </si>
  <si>
    <t xml:space="preserve">タイガーロード</t>
  </si>
  <si>
    <t xml:space="preserve">ジャンヌローサ</t>
  </si>
  <si>
    <t xml:space="preserve">ミトノリン</t>
  </si>
  <si>
    <t xml:space="preserve">ムーンリットアイル</t>
  </si>
  <si>
    <t xml:space="preserve">レインオンミー</t>
  </si>
  <si>
    <t xml:space="preserve">ネネキリマル</t>
  </si>
  <si>
    <t xml:space="preserve">メイショウハボマイ</t>
  </si>
  <si>
    <t xml:space="preserve">シヴァールバーニ</t>
  </si>
  <si>
    <t xml:space="preserve">ダノンプリマ</t>
  </si>
  <si>
    <t xml:space="preserve">テーオーミリカン</t>
  </si>
  <si>
    <t xml:space="preserve">マーシーラン</t>
  </si>
  <si>
    <t xml:space="preserve">パレットフレイバー</t>
  </si>
  <si>
    <t xml:space="preserve">セクシーマージュ</t>
  </si>
  <si>
    <t xml:space="preserve">ラピッドテソーロ</t>
  </si>
  <si>
    <t xml:space="preserve">ブルドッグミトス</t>
  </si>
  <si>
    <t xml:space="preserve">セイウンコハルタ</t>
  </si>
  <si>
    <t xml:space="preserve">ウメヒナタ</t>
  </si>
  <si>
    <t xml:space="preserve">ベイビーブラザー</t>
  </si>
  <si>
    <t xml:space="preserve">ロゼハイスクール</t>
  </si>
  <si>
    <t xml:space="preserve">カクシンゴールド</t>
  </si>
  <si>
    <t xml:space="preserve">シルフ</t>
  </si>
  <si>
    <t xml:space="preserve">ワンダーアスク</t>
  </si>
  <si>
    <t xml:space="preserve">タガノシルフィー</t>
  </si>
  <si>
    <t xml:space="preserve">フレンチブラッサム</t>
  </si>
  <si>
    <t xml:space="preserve">コイバナ</t>
  </si>
  <si>
    <t xml:space="preserve">マーゴットクリュグ</t>
  </si>
  <si>
    <t xml:space="preserve">サラサチャチャチャ</t>
  </si>
  <si>
    <t xml:space="preserve">メリオルヴィア</t>
  </si>
  <si>
    <t xml:space="preserve">ジーティービキニ</t>
  </si>
  <si>
    <t xml:space="preserve">ウォータースパウト</t>
  </si>
  <si>
    <t xml:space="preserve">ブエノスオプティマ</t>
  </si>
  <si>
    <t xml:space="preserve">ベッラモレーン</t>
  </si>
  <si>
    <t xml:space="preserve">ハッピーローヴァー</t>
  </si>
  <si>
    <t xml:space="preserve">スピットブレイク</t>
  </si>
  <si>
    <t xml:space="preserve">アルサック</t>
  </si>
  <si>
    <t xml:space="preserve">アゲンストオッズ</t>
  </si>
  <si>
    <t xml:space="preserve">ダノンルミエール</t>
  </si>
  <si>
    <t xml:space="preserve">クリオロゴールド</t>
  </si>
  <si>
    <t xml:space="preserve">トゥントゥントゥン</t>
  </si>
  <si>
    <t xml:space="preserve">ブルーハーツ</t>
  </si>
  <si>
    <t xml:space="preserve">ウインドトリック</t>
  </si>
  <si>
    <t xml:space="preserve">ルージュフローラ</t>
  </si>
  <si>
    <t xml:space="preserve">ナオミニオールイン</t>
  </si>
  <si>
    <t xml:space="preserve">ミリオングローリー</t>
  </si>
  <si>
    <t xml:space="preserve">エグジスタンス</t>
  </si>
  <si>
    <t xml:space="preserve">カネトシパンドラ</t>
  </si>
  <si>
    <t xml:space="preserve">アスコットダンス</t>
  </si>
  <si>
    <t xml:space="preserve">シアワセチョウサン</t>
  </si>
  <si>
    <t xml:space="preserve">アーデルブリックス</t>
  </si>
  <si>
    <t xml:space="preserve">マンサニージャ</t>
  </si>
  <si>
    <t xml:space="preserve">ウインアプローチ</t>
  </si>
  <si>
    <t xml:space="preserve">レゾルートハート</t>
  </si>
  <si>
    <t xml:space="preserve">ジーティーマドンナ</t>
  </si>
  <si>
    <t xml:space="preserve">アークレイリ</t>
  </si>
  <si>
    <t xml:space="preserve">フレイコン</t>
  </si>
  <si>
    <t xml:space="preserve">サクセスブルー</t>
  </si>
  <si>
    <t xml:space="preserve">ゴールデンダガー</t>
  </si>
  <si>
    <t xml:space="preserve">ライトアファイア</t>
  </si>
  <si>
    <t xml:space="preserve">モロノカガヤキ</t>
  </si>
  <si>
    <t xml:space="preserve">ブライトラン</t>
  </si>
  <si>
    <t xml:space="preserve">チリンドリ</t>
  </si>
  <si>
    <t xml:space="preserve">ゲレイロ</t>
  </si>
  <si>
    <t xml:space="preserve">ラヴィレット</t>
  </si>
  <si>
    <t xml:space="preserve">リリーズブルーム</t>
  </si>
  <si>
    <t xml:space="preserve">ナイスプレーアスク</t>
  </si>
  <si>
    <t xml:space="preserve">ターンザテーブルス</t>
  </si>
  <si>
    <t xml:space="preserve">アイドクレース</t>
  </si>
  <si>
    <t xml:space="preserve">タイムレスキス</t>
  </si>
  <si>
    <t xml:space="preserve">クシマトゥルー</t>
  </si>
  <si>
    <t xml:space="preserve">ルージュカエラ</t>
  </si>
  <si>
    <t xml:space="preserve">ミッキーマドンナ</t>
  </si>
  <si>
    <t xml:space="preserve">ルージュスティーズ</t>
  </si>
  <si>
    <t xml:space="preserve">ベアサナエチャン</t>
  </si>
  <si>
    <t xml:space="preserve">テイクオンミー</t>
  </si>
  <si>
    <t xml:space="preserve">ブリスフル</t>
  </si>
  <si>
    <t xml:space="preserve">シビックアスコット</t>
  </si>
  <si>
    <t xml:space="preserve">アイファーシャドー</t>
  </si>
  <si>
    <t xml:space="preserve">マテンロウカナロア</t>
  </si>
  <si>
    <t xml:space="preserve">レイサンソク</t>
  </si>
  <si>
    <t xml:space="preserve">ベイビールビオ</t>
  </si>
  <si>
    <t xml:space="preserve">ゼアズノープレイス</t>
  </si>
  <si>
    <t xml:space="preserve">エオアリイ</t>
  </si>
  <si>
    <t xml:space="preserve">ハルフロンティア</t>
  </si>
  <si>
    <t xml:space="preserve">メイショウソラリス</t>
  </si>
  <si>
    <t xml:space="preserve">サイン</t>
  </si>
  <si>
    <t xml:space="preserve">モルビド</t>
  </si>
  <si>
    <t xml:space="preserve">エトワールブーケ</t>
  </si>
  <si>
    <t xml:space="preserve">トウカイエルデ</t>
  </si>
  <si>
    <t xml:space="preserve">ピコアーガイル</t>
  </si>
  <si>
    <t xml:space="preserve">ライツユーアップ</t>
  </si>
  <si>
    <t xml:space="preserve">キーガッツ</t>
  </si>
  <si>
    <t xml:space="preserve">ジーベック</t>
  </si>
  <si>
    <t xml:space="preserve">キープサインオン</t>
  </si>
  <si>
    <t xml:space="preserve">フレッシュラン</t>
  </si>
  <si>
    <t xml:space="preserve">エルサトアナ</t>
  </si>
  <si>
    <t xml:space="preserve">ラスティングスノー</t>
  </si>
  <si>
    <t xml:space="preserve">ヴィヴァクラウン</t>
  </si>
  <si>
    <t xml:space="preserve">モレポブラーノ</t>
  </si>
  <si>
    <t xml:space="preserve">カテリーナ</t>
  </si>
  <si>
    <t xml:space="preserve">アイスグリーン</t>
  </si>
  <si>
    <t xml:space="preserve">ダンツファイター</t>
  </si>
  <si>
    <t xml:space="preserve">ノーブルスカイ</t>
  </si>
  <si>
    <t xml:space="preserve">ミッキージュエリー</t>
  </si>
  <si>
    <t xml:space="preserve">ショウナンサムデイ</t>
  </si>
  <si>
    <t xml:space="preserve">インパクトシー</t>
  </si>
  <si>
    <t xml:space="preserve">インヴォーグ</t>
  </si>
  <si>
    <t xml:space="preserve">ドゥカート</t>
  </si>
  <si>
    <t xml:space="preserve">ウイントレメンデス</t>
  </si>
  <si>
    <t xml:space="preserve">ソリダリティ</t>
  </si>
  <si>
    <t xml:space="preserve">ウィープディライト</t>
  </si>
  <si>
    <t xml:space="preserve">ピンクジン</t>
  </si>
  <si>
    <t xml:space="preserve">ビップムーラン</t>
  </si>
  <si>
    <t xml:space="preserve">スパークルジョイ</t>
  </si>
  <si>
    <t xml:space="preserve">タイセイブルーム</t>
  </si>
  <si>
    <t xml:space="preserve">ジュウオウ</t>
  </si>
  <si>
    <t xml:space="preserve">テーオーナタリー</t>
  </si>
  <si>
    <t xml:space="preserve">ジャスパーグレイト</t>
  </si>
  <si>
    <t xml:space="preserve">シグムンド</t>
  </si>
  <si>
    <t xml:space="preserve">トーアマリシテン</t>
  </si>
  <si>
    <t xml:space="preserve">アウルムレガリア</t>
  </si>
  <si>
    <t xml:space="preserve">フェイトライン</t>
  </si>
  <si>
    <t xml:space="preserve">モスクロッサー</t>
  </si>
  <si>
    <t xml:space="preserve">スノーリン</t>
  </si>
  <si>
    <t xml:space="preserve">ブライテストドーン</t>
  </si>
  <si>
    <t xml:space="preserve">クラウンウルル</t>
  </si>
  <si>
    <t xml:space="preserve">サラフィエル</t>
  </si>
  <si>
    <t xml:space="preserve">エポカスピーガ</t>
  </si>
  <si>
    <t xml:space="preserve">トモジャシャトー</t>
  </si>
  <si>
    <t xml:space="preserve">ゲレル</t>
  </si>
  <si>
    <t xml:space="preserve">フィーユレアル</t>
  </si>
  <si>
    <t xml:space="preserve">ヒロイックヴァース</t>
  </si>
  <si>
    <t xml:space="preserve">トランセンコ</t>
  </si>
  <si>
    <t xml:space="preserve">グラスフェザー</t>
  </si>
  <si>
    <t xml:space="preserve">アーティキュレート</t>
  </si>
  <si>
    <t xml:space="preserve">ニシノトマラナイ</t>
  </si>
  <si>
    <t xml:space="preserve">レヴェンドール</t>
  </si>
  <si>
    <t xml:space="preserve">ディメンシア</t>
  </si>
  <si>
    <t xml:space="preserve">ペイシャオーヴァル</t>
  </si>
  <si>
    <t xml:space="preserve">ルストラーレ</t>
  </si>
  <si>
    <t xml:space="preserve">ジュンヴィヴァン</t>
  </si>
  <si>
    <t xml:space="preserve">レアリゼソンレーヴ</t>
  </si>
  <si>
    <t xml:space="preserve">サングラント</t>
  </si>
  <si>
    <t xml:space="preserve">クリムゾンリーフ</t>
  </si>
  <si>
    <t xml:space="preserve">ウッケン</t>
  </si>
  <si>
    <t xml:space="preserve">ウインベルチェーロ</t>
  </si>
  <si>
    <t xml:space="preserve">ヤマニンリンキング</t>
  </si>
  <si>
    <t xml:space="preserve">シュタットパーク</t>
  </si>
  <si>
    <t xml:space="preserve">オーブレーヌ</t>
  </si>
  <si>
    <t xml:space="preserve">ソアサージュ</t>
  </si>
  <si>
    <t xml:space="preserve">ヴァルカンテソーロ</t>
  </si>
  <si>
    <t xml:space="preserve">ギリーカラム</t>
  </si>
  <si>
    <t xml:space="preserve">レイナエヴィータ</t>
  </si>
  <si>
    <t xml:space="preserve">ブライスフェアリー</t>
  </si>
  <si>
    <t xml:space="preserve">スティールシップ</t>
  </si>
  <si>
    <t xml:space="preserve">チャンピオンホープ</t>
  </si>
  <si>
    <t xml:space="preserve">ジェントルアイズ</t>
  </si>
  <si>
    <t xml:space="preserve">エコロテラ</t>
  </si>
  <si>
    <t xml:space="preserve">ラヴィサンエール</t>
  </si>
  <si>
    <t xml:space="preserve">サクセスボーイ</t>
  </si>
  <si>
    <t xml:space="preserve">サンヴァンガード</t>
  </si>
  <si>
    <t xml:space="preserve">ブルーリボン</t>
  </si>
  <si>
    <t xml:space="preserve">イキフン</t>
  </si>
  <si>
    <t xml:space="preserve">タクミオジュウ</t>
  </si>
  <si>
    <t xml:space="preserve">ウィクフォード</t>
  </si>
  <si>
    <t xml:space="preserve">セレスタイト</t>
  </si>
  <si>
    <t xml:space="preserve">ドーンレーサー</t>
  </si>
  <si>
    <t xml:space="preserve">クラウントリオンフ</t>
  </si>
  <si>
    <t xml:space="preserve">シーズアウルフ</t>
  </si>
  <si>
    <t xml:space="preserve">リサナウト</t>
  </si>
  <si>
    <t xml:space="preserve">ハクタカ</t>
  </si>
  <si>
    <t xml:space="preserve">エクスマキナ</t>
  </si>
  <si>
    <t xml:space="preserve">インザダーク</t>
  </si>
  <si>
    <t xml:space="preserve">エイシンウルクンデ</t>
  </si>
  <si>
    <t xml:space="preserve">ピコランド</t>
  </si>
  <si>
    <t xml:space="preserve">アドミ</t>
  </si>
  <si>
    <t xml:space="preserve">ジャメビュ</t>
  </si>
  <si>
    <t xml:space="preserve">パストゥザスターズ</t>
  </si>
  <si>
    <t xml:space="preserve">イイクニパッション</t>
  </si>
  <si>
    <t xml:space="preserve">フォワードシャッセ</t>
  </si>
  <si>
    <t xml:space="preserve">オスロクィーン</t>
  </si>
  <si>
    <t xml:space="preserve">ジェムシリカ</t>
  </si>
  <si>
    <t xml:space="preserve">ツクバヴァンガード</t>
  </si>
  <si>
    <t xml:space="preserve">ミラビリオン</t>
  </si>
  <si>
    <t xml:space="preserve">トリエンナーレ</t>
  </si>
  <si>
    <t xml:space="preserve">ユニオンジャック</t>
  </si>
  <si>
    <t xml:space="preserve">グラスアロー</t>
  </si>
  <si>
    <t xml:space="preserve">マッシブショット</t>
  </si>
  <si>
    <t xml:space="preserve">コスモシグルン</t>
  </si>
  <si>
    <t xml:space="preserve">イマジェリーナ</t>
  </si>
  <si>
    <t xml:space="preserve">マリノマーベラス</t>
  </si>
  <si>
    <t xml:space="preserve">シャインフォーミー</t>
  </si>
  <si>
    <t xml:space="preserve">モーニングダリア</t>
  </si>
  <si>
    <t xml:space="preserve">インザライムライト</t>
  </si>
  <si>
    <t xml:space="preserve">リナシタ</t>
  </si>
  <si>
    <t xml:space="preserve">フライスカイハイ</t>
  </si>
  <si>
    <t xml:space="preserve">ウインディナナコ</t>
  </si>
  <si>
    <t xml:space="preserve">ノーブルクロンヌ</t>
  </si>
  <si>
    <t xml:space="preserve">キッショウダラニ</t>
  </si>
  <si>
    <t xml:space="preserve">ラルルジェンヌ</t>
  </si>
  <si>
    <t xml:space="preserve">スイートハイデン</t>
  </si>
  <si>
    <t xml:space="preserve">ベルオーシャン</t>
  </si>
  <si>
    <t xml:space="preserve">サクラモンストール</t>
  </si>
  <si>
    <t xml:space="preserve">ダノンクラウディア</t>
  </si>
  <si>
    <t xml:space="preserve">プリティーミズホ</t>
  </si>
  <si>
    <t xml:space="preserve">レッドカメリア</t>
  </si>
  <si>
    <t xml:space="preserve">ラブリーガール</t>
  </si>
  <si>
    <t xml:space="preserve">アイスブレイカー</t>
  </si>
  <si>
    <t xml:space="preserve">テルケンレンスキー</t>
  </si>
  <si>
    <t xml:space="preserve">アイアンパイク</t>
  </si>
  <si>
    <t xml:space="preserve">ビッグフラワー</t>
  </si>
  <si>
    <t xml:space="preserve">ミスターマーボー</t>
  </si>
  <si>
    <t xml:space="preserve">ホウオウショコラ</t>
  </si>
  <si>
    <t xml:space="preserve">マイネルステラート</t>
  </si>
  <si>
    <t xml:space="preserve">ザバルガド</t>
  </si>
  <si>
    <t xml:space="preserve">デンプシー</t>
  </si>
  <si>
    <t xml:space="preserve">ペプロス</t>
  </si>
  <si>
    <t xml:space="preserve">サフランルージュ</t>
  </si>
  <si>
    <t xml:space="preserve">ジェルブロア</t>
  </si>
  <si>
    <t xml:space="preserve">ロゼフェリシア</t>
  </si>
  <si>
    <t xml:space="preserve">キューティリップ</t>
  </si>
  <si>
    <t xml:space="preserve">ブルスカメンテ</t>
  </si>
  <si>
    <t xml:space="preserve">テンドリームガール</t>
  </si>
  <si>
    <t xml:space="preserve">ノーブルクラウド</t>
  </si>
  <si>
    <t xml:space="preserve">サルワールカミーズ</t>
  </si>
  <si>
    <t xml:space="preserve">ニシノコマチムスメ</t>
  </si>
  <si>
    <t xml:space="preserve">ルージュリリック</t>
  </si>
  <si>
    <t xml:space="preserve">ユメシルベ</t>
  </si>
  <si>
    <t xml:space="preserve">ヒサエノオモカゲ</t>
  </si>
  <si>
    <t xml:space="preserve">ダカラフェスティヴ</t>
  </si>
  <si>
    <t xml:space="preserve">ジェイエルマスター</t>
  </si>
  <si>
    <t xml:space="preserve">リフレックス</t>
  </si>
  <si>
    <t xml:space="preserve">ハッスルダンク</t>
  </si>
  <si>
    <t xml:space="preserve">ゲキザル</t>
  </si>
  <si>
    <t xml:space="preserve">サトミノエンジェル</t>
  </si>
  <si>
    <t xml:space="preserve">ティンティンデオ</t>
  </si>
  <si>
    <t xml:space="preserve">オンザライン</t>
  </si>
  <si>
    <t xml:space="preserve">チギリ</t>
  </si>
  <si>
    <t xml:space="preserve">スマートケープ</t>
  </si>
  <si>
    <t xml:space="preserve">ドバイブルース</t>
  </si>
  <si>
    <t xml:space="preserve">ボーンディスウェイ</t>
  </si>
  <si>
    <t xml:space="preserve">コントラポスト</t>
  </si>
  <si>
    <t xml:space="preserve">ショウナンマグマ</t>
  </si>
  <si>
    <t xml:space="preserve">カラマティアノス</t>
  </si>
  <si>
    <t xml:space="preserve">オーロラエックス</t>
  </si>
  <si>
    <t xml:space="preserve">マイネルモーント</t>
  </si>
  <si>
    <t xml:space="preserve">メリオーレム</t>
  </si>
  <si>
    <t xml:space="preserve">クリスマスパレード</t>
  </si>
  <si>
    <t xml:space="preserve">オニャンコポン</t>
  </si>
  <si>
    <t xml:space="preserve">センツブラッド</t>
  </si>
  <si>
    <t xml:space="preserve">アスクナイスショー</t>
  </si>
  <si>
    <t xml:space="preserve">リカンカブール</t>
  </si>
  <si>
    <t xml:space="preserve">バトルボーン</t>
  </si>
  <si>
    <t xml:space="preserve">オールナット</t>
  </si>
  <si>
    <t xml:space="preserve">ヤマニンブークリエ</t>
  </si>
  <si>
    <t xml:space="preserve">サヴォーナ</t>
  </si>
  <si>
    <t xml:space="preserve">ピコテンダー</t>
  </si>
  <si>
    <t xml:space="preserve">ローマンレイク</t>
  </si>
  <si>
    <t xml:space="preserve">ショウナンラリー</t>
  </si>
  <si>
    <t xml:space="preserve">ペプチドクレマチス</t>
  </si>
  <si>
    <t xml:space="preserve">ラヴァグロウ</t>
  </si>
  <si>
    <t xml:space="preserve">サヨノジャンボリー</t>
  </si>
  <si>
    <t xml:space="preserve">ラーナローザ</t>
  </si>
  <si>
    <t xml:space="preserve">サンマルノヴェル</t>
  </si>
  <si>
    <t xml:space="preserve">スーパーバイザー</t>
  </si>
  <si>
    <t xml:space="preserve">レイワサンサン</t>
  </si>
  <si>
    <t xml:space="preserve">マフィン</t>
  </si>
  <si>
    <t xml:space="preserve">モリノレッドスター</t>
  </si>
  <si>
    <t xml:space="preserve">フェンダー</t>
  </si>
  <si>
    <t xml:space="preserve">ホーリーブライト</t>
  </si>
  <si>
    <t xml:space="preserve">クリノオリーブ</t>
  </si>
  <si>
    <t xml:space="preserve">ホウオウプレミア</t>
  </si>
  <si>
    <t xml:space="preserve">ビケイムフリー</t>
  </si>
  <si>
    <t xml:space="preserve">シャンデリュイーズ</t>
  </si>
  <si>
    <t xml:space="preserve">ピンクパンサー</t>
  </si>
  <si>
    <t xml:space="preserve">ブライトエンジェル</t>
  </si>
  <si>
    <t xml:space="preserve">テンタイムトップ</t>
  </si>
  <si>
    <t xml:space="preserve">ホーリーステップ</t>
  </si>
  <si>
    <t xml:space="preserve">ヨウリンケイジュ</t>
  </si>
  <si>
    <t xml:space="preserve">フルフィルメント</t>
  </si>
  <si>
    <t xml:space="preserve">ロージーキャンドル</t>
  </si>
  <si>
    <t xml:space="preserve">ティグリス</t>
  </si>
  <si>
    <t xml:space="preserve">マルモズイルバア</t>
  </si>
  <si>
    <t xml:space="preserve">ゼンノトヨタマヒメ</t>
  </si>
  <si>
    <t xml:space="preserve">ペコリズム</t>
  </si>
  <si>
    <t xml:space="preserve">タガノプディング</t>
  </si>
  <si>
    <t xml:space="preserve">メイショウアヤカ</t>
  </si>
  <si>
    <t xml:space="preserve">クロカミジョウ</t>
  </si>
  <si>
    <t xml:space="preserve">フチサンチャチャ</t>
  </si>
  <si>
    <t xml:space="preserve">ラインメテオラ</t>
  </si>
  <si>
    <t xml:space="preserve">キャッチアシーフ</t>
  </si>
  <si>
    <t xml:space="preserve">ナブッコ</t>
  </si>
  <si>
    <t xml:space="preserve">ジョーヴェスタ</t>
  </si>
  <si>
    <t xml:space="preserve">トーアウィリアム</t>
  </si>
  <si>
    <t xml:space="preserve">キタノプレミアム</t>
  </si>
  <si>
    <t xml:space="preserve">ハクサンリング</t>
  </si>
  <si>
    <t xml:space="preserve">グレイイメル</t>
  </si>
  <si>
    <t xml:space="preserve">ラルヴァンダード</t>
  </si>
  <si>
    <t xml:space="preserve">ロイドウェバー</t>
  </si>
  <si>
    <t xml:space="preserve">スーパービジー</t>
  </si>
  <si>
    <t xml:space="preserve">チェファルー</t>
  </si>
  <si>
    <t xml:space="preserve">キービート</t>
  </si>
  <si>
    <t xml:space="preserve">レヴロード</t>
  </si>
  <si>
    <t xml:space="preserve">アージュドール</t>
  </si>
  <si>
    <t xml:space="preserve">ウインビスタ</t>
  </si>
  <si>
    <t xml:space="preserve">ジュンヴァッテッド</t>
  </si>
  <si>
    <t xml:space="preserve">ルクスユアン</t>
  </si>
  <si>
    <t xml:space="preserve">ワンダーシャッフル</t>
  </si>
  <si>
    <t xml:space="preserve">ダノンワンダー</t>
  </si>
  <si>
    <t xml:space="preserve">サンタカリス</t>
  </si>
  <si>
    <t xml:space="preserve">グランスプリント</t>
  </si>
  <si>
    <t xml:space="preserve">エイシンニケ</t>
  </si>
  <si>
    <t xml:space="preserve">スリーロンドン</t>
  </si>
  <si>
    <t xml:space="preserve">ウインラブソング</t>
  </si>
  <si>
    <t xml:space="preserve">ブランチアウト</t>
  </si>
  <si>
    <t xml:space="preserve">レッドパラジウム</t>
  </si>
  <si>
    <t xml:space="preserve">シャドウクライ</t>
  </si>
  <si>
    <t xml:space="preserve">タイムレスフレアー</t>
  </si>
  <si>
    <t xml:space="preserve">セルヴァジオ</t>
  </si>
  <si>
    <t xml:space="preserve">ゴリョウセイ</t>
  </si>
  <si>
    <t xml:space="preserve">サイモンレガシー</t>
  </si>
  <si>
    <t xml:space="preserve">シュガーハウス</t>
  </si>
  <si>
    <t xml:space="preserve">シュプレヒコール</t>
  </si>
  <si>
    <t xml:space="preserve">ロクメイカン</t>
  </si>
  <si>
    <t xml:space="preserve">フェーエンハフト</t>
  </si>
  <si>
    <t xml:space="preserve">シックパラソル</t>
  </si>
  <si>
    <t xml:space="preserve">エルドボルグ</t>
  </si>
  <si>
    <t xml:space="preserve">アンドヴェローナ</t>
  </si>
  <si>
    <t xml:space="preserve">アトランタ</t>
  </si>
  <si>
    <t xml:space="preserve">ジョン</t>
  </si>
  <si>
    <t xml:space="preserve">マルモリムソウ</t>
  </si>
  <si>
    <t xml:space="preserve">ビバームス</t>
  </si>
  <si>
    <t xml:space="preserve">アームズラムレイ</t>
  </si>
  <si>
    <t xml:space="preserve">ブラックブレット</t>
  </si>
  <si>
    <t xml:space="preserve">ジェバーダ</t>
  </si>
  <si>
    <t xml:space="preserve">タマモスカイ</t>
  </si>
  <si>
    <t xml:space="preserve">メイショウオグマ</t>
  </si>
  <si>
    <t xml:space="preserve">オオツカ</t>
  </si>
  <si>
    <t xml:space="preserve">リアルペガサス</t>
  </si>
  <si>
    <t xml:space="preserve">キリオス</t>
  </si>
  <si>
    <t xml:space="preserve">セルジュバローズ</t>
  </si>
  <si>
    <t xml:space="preserve">キアヌ</t>
  </si>
  <si>
    <t xml:space="preserve">ジュンプリメーロ</t>
  </si>
  <si>
    <t xml:space="preserve">テーオーノーベル</t>
  </si>
  <si>
    <t xml:space="preserve">ニシノミチアキ</t>
  </si>
  <si>
    <t xml:space="preserve">エアフォースワン</t>
  </si>
  <si>
    <t xml:space="preserve">ミリタリータトゥー</t>
  </si>
  <si>
    <t xml:space="preserve">コンバットペスカ</t>
  </si>
  <si>
    <t xml:space="preserve">エレガンシア</t>
  </si>
  <si>
    <t xml:space="preserve">メイショウピリカ</t>
  </si>
  <si>
    <t xml:space="preserve">レザンクレール</t>
  </si>
  <si>
    <t xml:space="preserve">ミッキーマーメイド</t>
  </si>
  <si>
    <t xml:space="preserve">テンエースワン</t>
  </si>
  <si>
    <t xml:space="preserve">タガノアニマシオン</t>
  </si>
  <si>
    <t xml:space="preserve">ケイアイアルタイル</t>
  </si>
  <si>
    <t xml:space="preserve">エンマ</t>
  </si>
  <si>
    <t xml:space="preserve">ブルックリンダンス</t>
  </si>
  <si>
    <t xml:space="preserve">ホウショウルクス</t>
  </si>
  <si>
    <t xml:space="preserve">トモジャザーン</t>
  </si>
  <si>
    <t xml:space="preserve">ショウナンバンライ</t>
  </si>
  <si>
    <t xml:space="preserve">プウスカンドゥール</t>
  </si>
  <si>
    <t xml:space="preserve">サンライズケヴィン</t>
  </si>
  <si>
    <t xml:space="preserve">ダノンカゼルタ</t>
  </si>
  <si>
    <t xml:space="preserve">ショウナンハウル</t>
  </si>
  <si>
    <t xml:space="preserve">プリズマジコ</t>
  </si>
  <si>
    <t xml:space="preserve">フォーチュンライド</t>
  </si>
  <si>
    <t xml:space="preserve">アスクエピソード</t>
  </si>
  <si>
    <t xml:space="preserve">レイピカケ</t>
  </si>
  <si>
    <t xml:space="preserve">オデット</t>
  </si>
  <si>
    <t xml:space="preserve">ジャスティンガルフ</t>
  </si>
  <si>
    <t xml:space="preserve">オウケンボルト</t>
  </si>
  <si>
    <t xml:space="preserve">メルキオル</t>
  </si>
  <si>
    <t xml:space="preserve">ゴッドブルービー</t>
  </si>
  <si>
    <t xml:space="preserve">ジンセイ</t>
  </si>
  <si>
    <t xml:space="preserve">サンライズアリオン</t>
  </si>
  <si>
    <t xml:space="preserve">スナークラファエロ</t>
  </si>
  <si>
    <t xml:space="preserve">レイナデアルシーラ</t>
  </si>
  <si>
    <t xml:space="preserve">モンブランミノル</t>
  </si>
  <si>
    <t xml:space="preserve">メイショウズイウン</t>
  </si>
  <si>
    <t xml:space="preserve">シュラザック</t>
  </si>
  <si>
    <t xml:space="preserve">フェルヴェンテ</t>
  </si>
  <si>
    <t xml:space="preserve">モックモック</t>
  </si>
  <si>
    <t xml:space="preserve">ドルチェミスト</t>
  </si>
  <si>
    <t xml:space="preserve">リアルアルバ</t>
  </si>
  <si>
    <t xml:space="preserve">セレブトーチ</t>
  </si>
  <si>
    <t xml:space="preserve">ウインマスカレード</t>
  </si>
  <si>
    <t xml:space="preserve">ジュエルハウス</t>
  </si>
  <si>
    <t xml:space="preserve">ラブカムーン</t>
  </si>
  <si>
    <t xml:space="preserve">ノボリリア</t>
  </si>
  <si>
    <t xml:space="preserve">ギザキズラヴ</t>
  </si>
  <si>
    <t xml:space="preserve">ウォーターデライト</t>
  </si>
  <si>
    <t xml:space="preserve">ベネメレンティ</t>
  </si>
  <si>
    <t xml:space="preserve">シャインベック</t>
  </si>
  <si>
    <t xml:space="preserve">アットザラヴアスク</t>
  </si>
  <si>
    <t xml:space="preserve">ベルファスト</t>
  </si>
  <si>
    <t xml:space="preserve">ジューンオアシス</t>
  </si>
  <si>
    <t xml:space="preserve">モルティフレーバー</t>
  </si>
  <si>
    <t xml:space="preserve">ニシノギャルズ</t>
  </si>
  <si>
    <t xml:space="preserve">トリアングルレディ</t>
  </si>
  <si>
    <t xml:space="preserve">ヒューザー</t>
  </si>
  <si>
    <t xml:space="preserve">スイーヴル</t>
  </si>
  <si>
    <t xml:space="preserve">マーゴットオネイロ</t>
  </si>
  <si>
    <t xml:space="preserve">アジーザム</t>
  </si>
  <si>
    <t xml:space="preserve">スプリングドリーム</t>
  </si>
  <si>
    <t xml:space="preserve">ホウオウワイズ</t>
  </si>
  <si>
    <t xml:space="preserve">サンライズロイ</t>
  </si>
  <si>
    <t xml:space="preserve">ボーントゥラブユー</t>
  </si>
  <si>
    <t xml:space="preserve">スリールーディカ</t>
  </si>
  <si>
    <t xml:space="preserve">ビアーレ</t>
  </si>
  <si>
    <t xml:space="preserve">ベネディクション</t>
  </si>
  <si>
    <t xml:space="preserve">アルケミラモリス</t>
  </si>
  <si>
    <t xml:space="preserve">アーミル</t>
  </si>
  <si>
    <t xml:space="preserve">サウンドファミリエ</t>
  </si>
  <si>
    <t xml:space="preserve">ワンダージェム</t>
  </si>
  <si>
    <t xml:space="preserve">ヴィンテール</t>
  </si>
  <si>
    <t xml:space="preserve">ファントムグレース</t>
  </si>
  <si>
    <t xml:space="preserve">コーリンクレア</t>
  </si>
  <si>
    <t xml:space="preserve">ジャストアダッシュ</t>
  </si>
  <si>
    <t xml:space="preserve">ゴーントゥファー</t>
  </si>
  <si>
    <t xml:space="preserve">ハイテイラオユエ</t>
  </si>
  <si>
    <t xml:space="preserve">エクラドット</t>
  </si>
  <si>
    <t xml:space="preserve">ホウオウロレンシア</t>
  </si>
  <si>
    <t xml:space="preserve">コサージュ</t>
  </si>
  <si>
    <t xml:space="preserve">ビンバラ</t>
  </si>
  <si>
    <t xml:space="preserve">ミカレオス</t>
  </si>
  <si>
    <t xml:space="preserve">ダイナソーコー</t>
  </si>
  <si>
    <t xml:space="preserve">ラッキーシグネチャ</t>
  </si>
  <si>
    <t xml:space="preserve">タケルフォーカス</t>
  </si>
  <si>
    <t xml:space="preserve">ウインブリザード</t>
  </si>
  <si>
    <t xml:space="preserve">マジックファイヤー</t>
  </si>
  <si>
    <t xml:space="preserve">ブリックアブラック</t>
  </si>
  <si>
    <t xml:space="preserve">レジーナレガリア</t>
  </si>
  <si>
    <t xml:space="preserve">レフィノス</t>
  </si>
  <si>
    <t xml:space="preserve">モヴシエラ</t>
  </si>
  <si>
    <t xml:space="preserve">アグアフレスカ</t>
  </si>
  <si>
    <t xml:space="preserve">デイズインザサン</t>
  </si>
  <si>
    <t xml:space="preserve">ヴィラジョヴィス</t>
  </si>
  <si>
    <t xml:space="preserve">ハルノアメ</t>
  </si>
  <si>
    <t xml:space="preserve">テンバコウクウ</t>
  </si>
  <si>
    <t xml:space="preserve">ジオ</t>
  </si>
  <si>
    <t xml:space="preserve">トルネードサンダー</t>
  </si>
  <si>
    <t xml:space="preserve">リラカリス</t>
  </si>
  <si>
    <t xml:space="preserve">デアグランツ</t>
  </si>
  <si>
    <t xml:space="preserve">アオイノリプー</t>
  </si>
  <si>
    <t xml:space="preserve">アルデシンザン</t>
  </si>
  <si>
    <t xml:space="preserve">ニーナラルゴ</t>
  </si>
  <si>
    <t xml:space="preserve">トムクリオーザ</t>
  </si>
  <si>
    <t xml:space="preserve">ブラッグス</t>
  </si>
  <si>
    <t xml:space="preserve">ミルトメロディー</t>
  </si>
  <si>
    <t xml:space="preserve">サトノフレイ</t>
  </si>
  <si>
    <t xml:space="preserve">ミレニアルピンク</t>
  </si>
  <si>
    <t xml:space="preserve">ドラリズム</t>
  </si>
  <si>
    <t xml:space="preserve">ハナイロマヒナ</t>
  </si>
  <si>
    <t xml:space="preserve">フォークスアップ</t>
  </si>
  <si>
    <t xml:space="preserve">ワイドアルバ</t>
  </si>
  <si>
    <t xml:space="preserve">ネオシューマン</t>
  </si>
  <si>
    <t xml:space="preserve">ソルトバーン</t>
  </si>
  <si>
    <t xml:space="preserve">ルージュフィーリア</t>
  </si>
  <si>
    <t xml:space="preserve">ノーブルマドンナ</t>
  </si>
  <si>
    <t xml:space="preserve">ルーチェコメット</t>
  </si>
  <si>
    <t xml:space="preserve">バシリス</t>
  </si>
  <si>
    <t xml:space="preserve">デルマサクラサク</t>
  </si>
  <si>
    <t xml:space="preserve">ウィンターガーデン</t>
  </si>
  <si>
    <t xml:space="preserve">マリブサーフ</t>
  </si>
  <si>
    <t xml:space="preserve">アリストクラシア</t>
  </si>
  <si>
    <t xml:space="preserve">コイタマチャン</t>
  </si>
  <si>
    <t xml:space="preserve">ヒミノエトワール</t>
  </si>
  <si>
    <t xml:space="preserve">ブレイクザアイス</t>
  </si>
  <si>
    <t xml:space="preserve">シャローファースト</t>
  </si>
  <si>
    <t xml:space="preserve">シドニーホバート</t>
  </si>
  <si>
    <t xml:space="preserve">ディースプレマシー</t>
  </si>
  <si>
    <t xml:space="preserve">シーリュウシー</t>
  </si>
  <si>
    <t xml:space="preserve">ステイアンビシャス</t>
  </si>
  <si>
    <t xml:space="preserve">ミスターエメラルド</t>
  </si>
  <si>
    <t xml:space="preserve">ダイシンレアレア</t>
  </si>
  <si>
    <t xml:space="preserve">ハイドパーク</t>
  </si>
  <si>
    <t xml:space="preserve">サトノリアン</t>
  </si>
  <si>
    <t xml:space="preserve">マイネルフーガ</t>
  </si>
  <si>
    <t xml:space="preserve">バルティカ</t>
  </si>
  <si>
    <t xml:space="preserve">ウィルサヴァイブ</t>
  </si>
  <si>
    <t xml:space="preserve">テルヒコウ</t>
  </si>
  <si>
    <t xml:space="preserve">ロードマンハイム</t>
  </si>
  <si>
    <t xml:space="preserve">サタデーサンライズ</t>
  </si>
  <si>
    <t xml:space="preserve">コッツォリーノ</t>
  </si>
  <si>
    <t xml:space="preserve">フォルテフィオーレ</t>
  </si>
  <si>
    <t xml:space="preserve">フナデ</t>
  </si>
  <si>
    <t xml:space="preserve">ラブリーリディア</t>
  </si>
  <si>
    <t xml:space="preserve">カネコメブライト</t>
  </si>
  <si>
    <t xml:space="preserve">サンディブロンド</t>
  </si>
  <si>
    <t xml:space="preserve">デアプリームス</t>
  </si>
  <si>
    <t xml:space="preserve">エコロレバン</t>
  </si>
  <si>
    <t xml:space="preserve">ヒットミー</t>
  </si>
  <si>
    <t xml:space="preserve">クロナ</t>
  </si>
  <si>
    <t xml:space="preserve">サベージラヴ</t>
  </si>
  <si>
    <t xml:space="preserve">ビーマックス</t>
  </si>
  <si>
    <t xml:space="preserve">マメタンク</t>
  </si>
  <si>
    <t xml:space="preserve">ルイステソーロ</t>
  </si>
  <si>
    <t xml:space="preserve">ストロングボンド</t>
  </si>
  <si>
    <t xml:space="preserve">エラトー</t>
  </si>
  <si>
    <t xml:space="preserve">パレハ</t>
  </si>
  <si>
    <t xml:space="preserve">タシット</t>
  </si>
  <si>
    <t xml:space="preserve">シルトホルン</t>
  </si>
  <si>
    <t xml:space="preserve">キョウエイブリッサ</t>
  </si>
  <si>
    <t xml:space="preserve">レディントン</t>
  </si>
  <si>
    <t xml:space="preserve">エエヤン</t>
  </si>
  <si>
    <t xml:space="preserve">ストレイトトーカー</t>
  </si>
  <si>
    <t xml:space="preserve">レディネス</t>
  </si>
  <si>
    <t xml:space="preserve">ヴーレヴー</t>
  </si>
  <si>
    <t xml:space="preserve">レディーヴァリュー</t>
  </si>
  <si>
    <t xml:space="preserve">ウインシュクラン</t>
  </si>
  <si>
    <t xml:space="preserve">リラボニート</t>
  </si>
  <si>
    <t xml:space="preserve">ナンナンプー</t>
  </si>
  <si>
    <t xml:space="preserve">ダブルチャレンジ</t>
  </si>
  <si>
    <t xml:space="preserve">シャルトル</t>
  </si>
  <si>
    <t xml:space="preserve">サンポーニャ</t>
  </si>
  <si>
    <t xml:space="preserve">ペイシャアーサー</t>
  </si>
  <si>
    <t xml:space="preserve">コスモハナミズキ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</si>
  <si>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＋色セル一括再読・目視補正／公式結果突合／着順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</si>
  <si>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ウスズミザクラ</t>
  </si>
  <si>
    <t xml:space="preserve">ウィンターブリーズ</t>
  </si>
  <si>
    <t xml:space="preserve">ニューロファイター</t>
  </si>
  <si>
    <t xml:space="preserve">シーズザチャンス</t>
  </si>
  <si>
    <t xml:space="preserve">ユイノヘラクレス</t>
  </si>
  <si>
    <t xml:space="preserve">エムアイブレイズ</t>
  </si>
  <si>
    <t xml:space="preserve">ボンボンベイビー</t>
  </si>
  <si>
    <t xml:space="preserve">ホグホグナナハン</t>
  </si>
  <si>
    <t xml:space="preserve">ドナディクオーレ</t>
  </si>
  <si>
    <t xml:space="preserve">クイーンズレイン</t>
  </si>
  <si>
    <t xml:space="preserve">リバーブレーション</t>
  </si>
  <si>
    <t xml:space="preserve">レディホークダイヤ</t>
  </si>
  <si>
    <t xml:space="preserve">ヨーゼフ</t>
  </si>
  <si>
    <t xml:space="preserve">オーケーグリット</t>
  </si>
  <si>
    <t xml:space="preserve">シンショク</t>
  </si>
  <si>
    <t xml:space="preserve">トップオブザキング</t>
  </si>
  <si>
    <t xml:space="preserve">アイスアイスベイビ</t>
  </si>
  <si>
    <t xml:space="preserve">ハッピーカーン</t>
  </si>
  <si>
    <t xml:space="preserve">モータリゼーション</t>
  </si>
  <si>
    <t xml:space="preserve">ワイルドカイザー</t>
  </si>
  <si>
    <t xml:space="preserve">ナックキャンドル</t>
  </si>
  <si>
    <t xml:space="preserve">アンコンケラブル</t>
  </si>
  <si>
    <t xml:space="preserve">ザンシュトーム</t>
  </si>
  <si>
    <t xml:space="preserve">ワンダーブリッツ</t>
  </si>
  <si>
    <t xml:space="preserve">オリジナルアポジー</t>
  </si>
  <si>
    <t xml:space="preserve">セイクリッドシチー</t>
  </si>
  <si>
    <t xml:space="preserve">レインボーワールド</t>
  </si>
  <si>
    <t xml:space="preserve">マンモスホームラン</t>
  </si>
  <si>
    <t xml:space="preserve">タイセイスタナー</t>
  </si>
  <si>
    <t xml:space="preserve">ミスティユニバンス</t>
  </si>
  <si>
    <t xml:space="preserve">アーリマックス</t>
  </si>
  <si>
    <t xml:space="preserve">フレンドリーエール</t>
  </si>
  <si>
    <t xml:space="preserve">カラーオブサクセス</t>
  </si>
  <si>
    <t xml:space="preserve">ロッタリーランド</t>
  </si>
  <si>
    <t xml:space="preserve">ナディア</t>
  </si>
  <si>
    <t xml:space="preserve">グレイシエーション</t>
  </si>
  <si>
    <t xml:space="preserve">ハーティーチアーズ</t>
  </si>
  <si>
    <t xml:space="preserve">トゥレイス</t>
  </si>
  <si>
    <t xml:space="preserve">アルファリラエ</t>
  </si>
  <si>
    <t xml:space="preserve">ホウオウミステリー</t>
  </si>
  <si>
    <t xml:space="preserve">スタースポット</t>
  </si>
  <si>
    <t xml:space="preserve">サノノファイター</t>
  </si>
  <si>
    <t xml:space="preserve">マジックファイト</t>
  </si>
  <si>
    <t xml:space="preserve">ハンデンブレイズ</t>
  </si>
  <si>
    <t xml:space="preserve">フェリスセンダ</t>
  </si>
  <si>
    <t xml:space="preserve">リベラリズモ</t>
  </si>
  <si>
    <t xml:space="preserve">ブックオブケルズ</t>
  </si>
  <si>
    <t xml:space="preserve">グルドロッティン</t>
  </si>
  <si>
    <t xml:space="preserve">グラスクラージュ</t>
  </si>
  <si>
    <t xml:space="preserve">ノーブルグランツ</t>
  </si>
  <si>
    <t xml:space="preserve">ロードムーブオン</t>
  </si>
  <si>
    <t xml:space="preserve">キタノバトゥーキ</t>
  </si>
  <si>
    <t xml:space="preserve">ミュークゼウス</t>
  </si>
  <si>
    <t xml:space="preserve">メイクアマーク</t>
  </si>
  <si>
    <t xml:space="preserve">コンテミュール</t>
  </si>
  <si>
    <t xml:space="preserve">ヤマタケゲンジ</t>
  </si>
  <si>
    <t xml:space="preserve">メジャーシンガー</t>
  </si>
  <si>
    <t xml:space="preserve">ベルグラース</t>
  </si>
  <si>
    <t xml:space="preserve">ポッドレーヴ</t>
  </si>
  <si>
    <t xml:space="preserve">モーモーワン</t>
  </si>
  <si>
    <t xml:space="preserve">クロダテ</t>
  </si>
  <si>
    <t xml:space="preserve">ユイノリュウギ</t>
  </si>
  <si>
    <t xml:space="preserve">ダブルブロッサム</t>
  </si>
  <si>
    <t xml:space="preserve">ファルコシニョーラ</t>
  </si>
  <si>
    <t xml:space="preserve">スードランダム</t>
  </si>
  <si>
    <t xml:space="preserve">オーケーエース</t>
  </si>
  <si>
    <t xml:space="preserve">ジーナグレイス</t>
  </si>
  <si>
    <t xml:space="preserve">ダイヤモンドパレス</t>
  </si>
  <si>
    <t xml:space="preserve">フロンテアムーン</t>
  </si>
  <si>
    <t xml:space="preserve">ミセスジョーンズ</t>
  </si>
  <si>
    <t xml:space="preserve">アズサ</t>
  </si>
  <si>
    <t xml:space="preserve">アールグレイ</t>
  </si>
  <si>
    <t xml:space="preserve">フレキシブル</t>
  </si>
  <si>
    <t xml:space="preserve">ギャニミード</t>
  </si>
  <si>
    <t xml:space="preserve">アルティマローネ</t>
  </si>
  <si>
    <t xml:space="preserve">ホウオウライラック</t>
  </si>
  <si>
    <t xml:space="preserve">アドマイヤフク</t>
  </si>
  <si>
    <t xml:space="preserve">ノーブルスアーク</t>
  </si>
  <si>
    <t xml:space="preserve">アンヴデット</t>
  </si>
  <si>
    <t xml:space="preserve">キタノアヤカ</t>
  </si>
  <si>
    <t xml:space="preserve">スターリットフレア</t>
  </si>
  <si>
    <t xml:space="preserve">ゴーゴーパンチ</t>
  </si>
  <si>
    <t xml:space="preserve">パッカパッカブー</t>
  </si>
  <si>
    <t xml:space="preserve">シューティングガイ</t>
  </si>
  <si>
    <t xml:space="preserve">ユキノグラス</t>
  </si>
  <si>
    <t xml:space="preserve">ルシャルムール</t>
  </si>
  <si>
    <t xml:space="preserve">エウテルペ</t>
  </si>
  <si>
    <t xml:space="preserve">ヤングアメリカンズ</t>
  </si>
  <si>
    <t xml:space="preserve">エスシーレイジュ</t>
  </si>
  <si>
    <t xml:space="preserve">カフェロワドール</t>
  </si>
  <si>
    <t xml:space="preserve">レッドルイナール</t>
  </si>
  <si>
    <t xml:space="preserve">コスモシェルベット</t>
  </si>
  <si>
    <t xml:space="preserve">ブリスキー</t>
  </si>
  <si>
    <t xml:space="preserve">ベルチュガダン</t>
  </si>
  <si>
    <t xml:space="preserve">エコロストーム</t>
  </si>
  <si>
    <t xml:space="preserve">ニシノイストワール</t>
  </si>
  <si>
    <t xml:space="preserve">メアヴィア</t>
  </si>
  <si>
    <t xml:space="preserve">ムーンストラック</t>
  </si>
  <si>
    <t xml:space="preserve">トレベルオール</t>
  </si>
  <si>
    <t xml:space="preserve">アローメタル</t>
  </si>
  <si>
    <t xml:space="preserve">コスモエルヴァル</t>
  </si>
  <si>
    <t xml:space="preserve">ウインアルドーレ</t>
  </si>
  <si>
    <t xml:space="preserve">ディーズゴールド</t>
  </si>
  <si>
    <t xml:space="preserve">ダディーズトリップ</t>
  </si>
  <si>
    <t xml:space="preserve">エリーナストーム</t>
  </si>
  <si>
    <t xml:space="preserve">クロドラバール</t>
  </si>
  <si>
    <t xml:space="preserve">トゥーザムーン</t>
  </si>
  <si>
    <t xml:space="preserve">キングツェッペリン</t>
  </si>
  <si>
    <t xml:space="preserve">ユイノマチブセ</t>
  </si>
  <si>
    <t xml:space="preserve">ボディブロー</t>
  </si>
  <si>
    <t xml:space="preserve">ラストシャリナ</t>
  </si>
  <si>
    <t xml:space="preserve">メイショウコバト</t>
  </si>
  <si>
    <t xml:space="preserve">ピックアップライン</t>
  </si>
  <si>
    <t xml:space="preserve">アイアムユウシュン</t>
  </si>
  <si>
    <t xml:space="preserve">テセラリアン</t>
  </si>
  <si>
    <t xml:space="preserve">イリフィ</t>
  </si>
  <si>
    <t xml:space="preserve">ゲイルライダー</t>
  </si>
  <si>
    <t xml:space="preserve">カネショウレジェン</t>
  </si>
  <si>
    <t xml:space="preserve">ピクラリーダ</t>
  </si>
  <si>
    <t xml:space="preserve">アテンスマイル</t>
  </si>
  <si>
    <t xml:space="preserve">ルパヴィヨン</t>
  </si>
  <si>
    <t xml:space="preserve">ラヴノー</t>
  </si>
  <si>
    <t xml:space="preserve">パッションディーバ</t>
  </si>
  <si>
    <t xml:space="preserve">ブラックティンカー</t>
  </si>
  <si>
    <t xml:space="preserve">プリュノワール</t>
  </si>
  <si>
    <t xml:space="preserve">カシノリアーナ</t>
  </si>
  <si>
    <t xml:space="preserve">トワニ</t>
  </si>
  <si>
    <t xml:space="preserve">カガラプンツェル</t>
  </si>
  <si>
    <t xml:space="preserve">キムタックフェイス</t>
  </si>
  <si>
    <t xml:space="preserve">ゴーツウキリシマ</t>
  </si>
  <si>
    <t xml:space="preserve">アバットゥータ</t>
  </si>
  <si>
    <t xml:space="preserve">パーセルペーパー</t>
  </si>
  <si>
    <t xml:space="preserve">ゴールデンルーキー</t>
  </si>
  <si>
    <t xml:space="preserve">アニージョ</t>
  </si>
  <si>
    <t xml:space="preserve">シークレットキー</t>
  </si>
  <si>
    <t xml:space="preserve">アクロスザリバー</t>
  </si>
  <si>
    <t xml:space="preserve">テイエムリステット</t>
  </si>
  <si>
    <t xml:space="preserve">リフルフォース</t>
  </si>
  <si>
    <t xml:space="preserve">ロングジーニアス</t>
  </si>
  <si>
    <t xml:space="preserve">メドウセージ</t>
  </si>
  <si>
    <t xml:space="preserve">アイルトン</t>
  </si>
  <si>
    <t xml:space="preserve">サラサキングスター</t>
  </si>
  <si>
    <t xml:space="preserve">マルモリキャスター</t>
  </si>
  <si>
    <t xml:space="preserve">レイノルズナンバー</t>
  </si>
  <si>
    <t xml:space="preserve">デュードロップ</t>
  </si>
  <si>
    <t xml:space="preserve">ミヤノラングリー</t>
  </si>
  <si>
    <t xml:space="preserve">パープルウインド</t>
  </si>
  <si>
    <t xml:space="preserve">マリノムーンリーフ</t>
  </si>
  <si>
    <t xml:space="preserve">アンコ</t>
  </si>
  <si>
    <t xml:space="preserve">レットミーテイク</t>
  </si>
  <si>
    <t xml:space="preserve">ベルドゥニュイ</t>
  </si>
  <si>
    <t xml:space="preserve">ビースペシフィック</t>
  </si>
  <si>
    <t xml:space="preserve">スピーチバルーン</t>
  </si>
  <si>
    <t xml:space="preserve">ミスティックレイン</t>
  </si>
  <si>
    <t xml:space="preserve">サトノトリニティ</t>
  </si>
  <si>
    <t xml:space="preserve">メイショウシュハリ</t>
  </si>
  <si>
    <t xml:space="preserve">シャンドラファール</t>
  </si>
  <si>
    <t xml:space="preserve">ブライトココナッツ</t>
  </si>
  <si>
    <t xml:space="preserve">テイエムプレミラン</t>
  </si>
  <si>
    <t xml:space="preserve">カパルア</t>
  </si>
  <si>
    <t xml:space="preserve">シャリキモン</t>
  </si>
  <si>
    <t xml:space="preserve">マイネルホウセン</t>
  </si>
  <si>
    <t xml:space="preserve">マーゴットガイア</t>
  </si>
  <si>
    <t xml:space="preserve">アキノビューティー</t>
  </si>
  <si>
    <t xml:space="preserve">カワキタベレッタ</t>
  </si>
  <si>
    <t xml:space="preserve">アンティスマ</t>
  </si>
  <si>
    <t xml:space="preserve">ショルタメンテ</t>
  </si>
  <si>
    <t xml:space="preserve">モンテパステル</t>
  </si>
  <si>
    <t xml:space="preserve">ダンツカレン</t>
  </si>
  <si>
    <t xml:space="preserve">イットガール</t>
  </si>
  <si>
    <t xml:space="preserve">ダノンロワール</t>
  </si>
  <si>
    <t xml:space="preserve">セントピュアベース</t>
  </si>
  <si>
    <t xml:space="preserve">ヴェロシオン</t>
  </si>
  <si>
    <t xml:space="preserve">ココモフィーバー</t>
  </si>
  <si>
    <t xml:space="preserve">プリンキピッサ</t>
  </si>
  <si>
    <t xml:space="preserve">ブルーチップ</t>
  </si>
  <si>
    <t xml:space="preserve">ワイドアイリー</t>
  </si>
  <si>
    <t xml:space="preserve">チョウチャンピオン</t>
  </si>
  <si>
    <t xml:space="preserve">シャローフォレスト</t>
  </si>
  <si>
    <t xml:space="preserve">ナミオトノヒビキ</t>
  </si>
  <si>
    <t xml:space="preserve">カシノスワッグ</t>
  </si>
  <si>
    <t xml:space="preserve">ルマンサルト</t>
  </si>
  <si>
    <t xml:space="preserve">ブクブクー</t>
  </si>
  <si>
    <t xml:space="preserve">エクスマウス</t>
  </si>
  <si>
    <t xml:space="preserve">ジャスティンゴッホ</t>
  </si>
  <si>
    <t xml:space="preserve">ピコオーバル</t>
  </si>
  <si>
    <t xml:space="preserve">クロワール</t>
  </si>
  <si>
    <t xml:space="preserve">カミノトップワン</t>
  </si>
  <si>
    <t xml:space="preserve">ラッキーストーン</t>
  </si>
  <si>
    <t xml:space="preserve">ロンバルドシチー</t>
  </si>
  <si>
    <t xml:space="preserve">フルドフォルク</t>
  </si>
  <si>
    <t xml:space="preserve">バチラ</t>
  </si>
  <si>
    <t xml:space="preserve">ハギノクリーガー</t>
  </si>
  <si>
    <t xml:space="preserve">サンライズレマ</t>
  </si>
  <si>
    <t xml:space="preserve">テイエムローズダン</t>
  </si>
  <si>
    <t xml:space="preserve">ステラネージュ</t>
  </si>
  <si>
    <t xml:space="preserve">ワルツプリンセス</t>
  </si>
  <si>
    <t xml:space="preserve">ベンティガオルサ</t>
  </si>
  <si>
    <t xml:space="preserve">バックドラフト</t>
  </si>
  <si>
    <t xml:space="preserve">プロスト</t>
  </si>
  <si>
    <t xml:space="preserve">プリティウーマン</t>
  </si>
  <si>
    <t xml:space="preserve">ホワイトフレイムス</t>
  </si>
  <si>
    <t xml:space="preserve">カネコメファミリー</t>
  </si>
  <si>
    <t xml:space="preserve">エルル</t>
  </si>
  <si>
    <t xml:space="preserve">ベラジオリン</t>
  </si>
  <si>
    <t xml:space="preserve">イチトゼロノアイダ</t>
  </si>
  <si>
    <t xml:space="preserve">ピオニエーレ</t>
  </si>
  <si>
    <t xml:space="preserve">ブルーマッキンジー</t>
  </si>
  <si>
    <t xml:space="preserve">アスコットアイ</t>
  </si>
  <si>
    <t xml:space="preserve">アイファーモービル</t>
  </si>
  <si>
    <t xml:space="preserve">ナムラトロム</t>
  </si>
  <si>
    <t xml:space="preserve">フィオラーノ</t>
  </si>
  <si>
    <t xml:space="preserve">ネフェルアスティ</t>
  </si>
  <si>
    <t xml:space="preserve">スピリットライズ</t>
  </si>
  <si>
    <t xml:space="preserve">ケイアイクビラ</t>
  </si>
  <si>
    <t xml:space="preserve">グッドピース</t>
  </si>
  <si>
    <t xml:space="preserve">パルプフィクション</t>
  </si>
  <si>
    <t xml:space="preserve">ディーエスショウマ</t>
  </si>
  <si>
    <t xml:space="preserve">ザウリ</t>
  </si>
  <si>
    <t xml:space="preserve">リクエイ</t>
  </si>
  <si>
    <t xml:space="preserve">ローズカリス</t>
  </si>
  <si>
    <t xml:space="preserve">ジャスパーソレイユ</t>
  </si>
  <si>
    <t xml:space="preserve">パールフロント</t>
  </si>
  <si>
    <t xml:space="preserve">アストラカ</t>
  </si>
  <si>
    <t xml:space="preserve">セールヴォラン</t>
  </si>
  <si>
    <t xml:space="preserve">ブルーノート</t>
  </si>
  <si>
    <t xml:space="preserve">ゴールデンバランス</t>
  </si>
  <si>
    <t xml:space="preserve">ハギノアルデバラン</t>
  </si>
  <si>
    <t xml:space="preserve">ヴィスマール</t>
  </si>
  <si>
    <t xml:space="preserve">ネブラディスク</t>
  </si>
  <si>
    <t xml:space="preserve">サウンドムーブ</t>
  </si>
  <si>
    <t xml:space="preserve">アラタマフェーヴル</t>
  </si>
  <si>
    <t xml:space="preserve">トーアライデン</t>
  </si>
  <si>
    <t xml:space="preserve">ドットクルー</t>
  </si>
  <si>
    <t xml:space="preserve">アルトゥーム</t>
  </si>
  <si>
    <t xml:space="preserve">スリリングチェイス</t>
  </si>
  <si>
    <t xml:space="preserve">レディーミコノス</t>
  </si>
  <si>
    <t xml:space="preserve">ウォーターガーベラ</t>
  </si>
  <si>
    <t xml:space="preserve">モアリジット</t>
  </si>
  <si>
    <t xml:space="preserve">マトラコーニッシュ</t>
  </si>
  <si>
    <t xml:space="preserve">コヒロ</t>
  </si>
  <si>
    <t xml:space="preserve">ペンテリコン</t>
  </si>
  <si>
    <t xml:space="preserve">アカウフリューゲル</t>
  </si>
  <si>
    <t xml:space="preserve">エピッククイーン</t>
  </si>
  <si>
    <t xml:space="preserve">ピリカサンライズ</t>
  </si>
  <si>
    <t xml:space="preserve">イチゴワタアメ</t>
  </si>
  <si>
    <t xml:space="preserve">アズライトティアラ</t>
  </si>
  <si>
    <t xml:space="preserve">アイシテルヨナオミ</t>
  </si>
  <si>
    <t xml:space="preserve">ヒメヒオウギ</t>
  </si>
  <si>
    <t xml:space="preserve">スワトウ</t>
  </si>
  <si>
    <t xml:space="preserve">マイネルディザイア</t>
  </si>
  <si>
    <t xml:space="preserve">ヴァールザーゲン</t>
  </si>
  <si>
    <t xml:space="preserve">メイショウローゼ</t>
  </si>
  <si>
    <t xml:space="preserve">ユマハム</t>
  </si>
  <si>
    <t xml:space="preserve">ニシノマルガリート</t>
  </si>
  <si>
    <t xml:space="preserve">テリオスリコ</t>
  </si>
  <si>
    <t xml:space="preserve">ラショナルポイント</t>
  </si>
  <si>
    <t xml:space="preserve">ティナンヴァランタ</t>
  </si>
  <si>
    <t xml:space="preserve">ギンケイ</t>
  </si>
  <si>
    <t xml:space="preserve">ブリスフルイヤー</t>
  </si>
  <si>
    <t xml:space="preserve">ハヤブサブロー</t>
  </si>
  <si>
    <t xml:space="preserve">グローリアスダンス</t>
  </si>
  <si>
    <t xml:space="preserve">ブラックジャック</t>
  </si>
  <si>
    <t xml:space="preserve">フクノアンタレス</t>
  </si>
  <si>
    <t xml:space="preserve">カテドラルクォーツ</t>
  </si>
  <si>
    <t xml:space="preserve">ソチミルコ</t>
  </si>
  <si>
    <t xml:space="preserve">チェリーブルーム</t>
  </si>
  <si>
    <t xml:space="preserve">フルムーン</t>
  </si>
  <si>
    <t xml:space="preserve">ヤジロベエバランス</t>
  </si>
  <si>
    <t xml:space="preserve">リキサンステラ</t>
  </si>
  <si>
    <t xml:space="preserve">ヴァイタリズム</t>
  </si>
  <si>
    <t xml:space="preserve">ステキサプライズ</t>
  </si>
  <si>
    <t xml:space="preserve">レッドフロイデ</t>
  </si>
  <si>
    <t xml:space="preserve">ブリリアンス</t>
  </si>
  <si>
    <t xml:space="preserve">クラン</t>
  </si>
  <si>
    <t xml:space="preserve">ライヴマルガリータ</t>
  </si>
  <si>
    <t xml:space="preserve">ストリートクイーン</t>
  </si>
  <si>
    <t xml:space="preserve">ララニューディー</t>
  </si>
  <si>
    <t xml:space="preserve">ツルノマイハシ</t>
  </si>
  <si>
    <t xml:space="preserve">キミノナハオリョウ</t>
  </si>
  <si>
    <t xml:space="preserve">デルマリシリ</t>
  </si>
  <si>
    <t xml:space="preserve">ライトニングロッド</t>
  </si>
  <si>
    <t xml:space="preserve">ジュジュドール</t>
  </si>
  <si>
    <t xml:space="preserve">ストレイトアスク</t>
  </si>
  <si>
    <t xml:space="preserve">グランアルト</t>
  </si>
  <si>
    <t xml:space="preserve">サイモンイロハニー</t>
  </si>
  <si>
    <t xml:space="preserve">ダノンヒストリー</t>
  </si>
  <si>
    <t xml:space="preserve">ニューアライブ</t>
  </si>
  <si>
    <t xml:space="preserve">バズアップビート</t>
  </si>
  <si>
    <t xml:space="preserve">アルディスティーノ</t>
  </si>
  <si>
    <t xml:space="preserve">ウインベラーノ</t>
  </si>
  <si>
    <t xml:space="preserve">グレーヌドジョワ</t>
  </si>
  <si>
    <t xml:space="preserve">スタードメイソン</t>
  </si>
  <si>
    <t xml:space="preserve">ケイアイアギト</t>
  </si>
  <si>
    <t xml:space="preserve">レッドライトニング</t>
  </si>
  <si>
    <t xml:space="preserve">オセアバトルプラン</t>
  </si>
  <si>
    <t xml:space="preserve">バタール</t>
  </si>
  <si>
    <t xml:space="preserve">エアニゲラ</t>
  </si>
  <si>
    <t xml:space="preserve">ストラーダ</t>
  </si>
  <si>
    <t xml:space="preserve">エンプレスフレーム</t>
  </si>
  <si>
    <t xml:space="preserve">ディアウス</t>
  </si>
  <si>
    <t xml:space="preserve">ドゥアムール</t>
  </si>
  <si>
    <t xml:space="preserve">サムハンター</t>
  </si>
  <si>
    <t xml:space="preserve">エコロジーク</t>
  </si>
  <si>
    <t xml:space="preserve">アンジュプロミス</t>
  </si>
  <si>
    <t xml:space="preserve">マーブルパレス</t>
  </si>
  <si>
    <t xml:space="preserve">ハッピーロンドン</t>
  </si>
  <si>
    <t xml:space="preserve">ポエットリー</t>
  </si>
  <si>
    <t xml:space="preserve">ブレイジングスター</t>
  </si>
  <si>
    <t xml:space="preserve">ゴールドブレイズ</t>
  </si>
  <si>
    <t xml:space="preserve">アチーヴァー</t>
  </si>
  <si>
    <t xml:space="preserve">シュヴァルノワール</t>
  </si>
  <si>
    <t xml:space="preserve">カーフキック</t>
  </si>
  <si>
    <t xml:space="preserve">マネーマネー</t>
  </si>
  <si>
    <t xml:space="preserve">ドナソラーレ</t>
  </si>
  <si>
    <t xml:space="preserve">オーシャンミューズ</t>
  </si>
  <si>
    <t xml:space="preserve">ペールデュクラン</t>
  </si>
  <si>
    <t xml:space="preserve">リトルベルタ</t>
  </si>
  <si>
    <t xml:space="preserve">アンジュリオ</t>
  </si>
  <si>
    <t xml:space="preserve">デルマツルギ</t>
  </si>
  <si>
    <t xml:space="preserve">オウケンハニー</t>
  </si>
  <si>
    <t xml:space="preserve">バイアブランカ</t>
  </si>
  <si>
    <t xml:space="preserve">ハルカオル</t>
  </si>
  <si>
    <t xml:space="preserve">ニシノタチアナ</t>
  </si>
  <si>
    <t xml:space="preserve">セイウンプーパ</t>
  </si>
  <si>
    <t xml:space="preserve">ホカミテダメ</t>
  </si>
  <si>
    <t xml:space="preserve">ネオアンボウ</t>
  </si>
  <si>
    <t xml:space="preserve">トウシンラヴ</t>
  </si>
  <si>
    <t xml:space="preserve">ゴールドパレード</t>
  </si>
  <si>
    <t xml:space="preserve">ブロークンハート</t>
  </si>
  <si>
    <t xml:space="preserve">ケイベエ</t>
  </si>
  <si>
    <t xml:space="preserve">ドリーマーズ</t>
  </si>
  <si>
    <t xml:space="preserve">ハッピースーニャ</t>
  </si>
  <si>
    <t xml:space="preserve">ローズバラード</t>
  </si>
  <si>
    <t xml:space="preserve">メインテーマ</t>
  </si>
  <si>
    <t xml:space="preserve">ロマンス</t>
  </si>
  <si>
    <t xml:space="preserve">ラスタリア</t>
  </si>
  <si>
    <t xml:space="preserve">セシルブリュネ</t>
  </si>
  <si>
    <t xml:space="preserve">マーゴットドライ</t>
  </si>
  <si>
    <t xml:space="preserve">ダイシンパルス</t>
  </si>
  <si>
    <t xml:space="preserve">シュガーシャック</t>
  </si>
  <si>
    <t xml:space="preserve">ブラッククラウズ</t>
  </si>
  <si>
    <t xml:space="preserve">プラネタリーアワー</t>
  </si>
  <si>
    <t xml:space="preserve">ソロンゴ</t>
  </si>
  <si>
    <t xml:space="preserve">ワインダークシー</t>
  </si>
  <si>
    <t xml:space="preserve">クラックミーアップ</t>
  </si>
  <si>
    <t xml:space="preserve">ウキヨノサンシロウ</t>
  </si>
  <si>
    <t xml:space="preserve">ヤマメホープ</t>
  </si>
  <si>
    <t xml:space="preserve">スカイプライド</t>
  </si>
  <si>
    <t xml:space="preserve">ヘルヴィッツ</t>
  </si>
  <si>
    <t xml:space="preserve">トレフォイルノット</t>
  </si>
  <si>
    <t xml:space="preserve">ジーティーソレイユ</t>
  </si>
  <si>
    <t xml:space="preserve">ブルーダイヤシチー</t>
  </si>
  <si>
    <t xml:space="preserve">エリースノー</t>
  </si>
  <si>
    <t xml:space="preserve">ハクサンミレイ</t>
  </si>
  <si>
    <t xml:space="preserve">エスコルチア</t>
  </si>
  <si>
    <t xml:space="preserve">フェイスリフト</t>
  </si>
  <si>
    <t xml:space="preserve">イゲマジャ</t>
  </si>
  <si>
    <t xml:space="preserve">コウソクルリアン</t>
  </si>
  <si>
    <t xml:space="preserve">フジコンフィデンス</t>
  </si>
  <si>
    <t xml:space="preserve">ドングラミ</t>
  </si>
  <si>
    <t xml:space="preserve">シェリアドレ</t>
  </si>
  <si>
    <t xml:space="preserve">ブライトシーン</t>
  </si>
  <si>
    <t xml:space="preserve">ミリオ</t>
  </si>
  <si>
    <t xml:space="preserve">エスクアドラ</t>
  </si>
  <si>
    <t xml:space="preserve">ミッドナイトフレア</t>
  </si>
  <si>
    <t xml:space="preserve">ゴールドテソーロ</t>
  </si>
  <si>
    <t xml:space="preserve">ラブユフラット</t>
  </si>
  <si>
    <t xml:space="preserve">タイセイソアリング</t>
  </si>
  <si>
    <t xml:space="preserve">リアライズグロリア</t>
  </si>
  <si>
    <t xml:space="preserve">プリンキパトゥス</t>
  </si>
  <si>
    <t xml:space="preserve">ビートル</t>
  </si>
  <si>
    <t xml:space="preserve">ブロンクス</t>
  </si>
  <si>
    <t xml:space="preserve">スターバーナー</t>
  </si>
  <si>
    <t xml:space="preserve">エレスレイプニル</t>
  </si>
  <si>
    <t xml:space="preserve">ダンシングアワー</t>
  </si>
  <si>
    <t xml:space="preserve">エレガントステップ</t>
  </si>
  <si>
    <t xml:space="preserve">ジンクピリチオン</t>
  </si>
  <si>
    <t xml:space="preserve">エストレアボニータ</t>
  </si>
  <si>
    <t xml:space="preserve">ピクニックマーチ</t>
  </si>
  <si>
    <t xml:space="preserve">ゴーゼンチュー</t>
  </si>
  <si>
    <t xml:space="preserve">イヴナンバーフォー</t>
  </si>
  <si>
    <t xml:space="preserve">ニコ</t>
  </si>
  <si>
    <t xml:space="preserve">コヴェナント</t>
  </si>
  <si>
    <t xml:space="preserve">ケープウィッカム</t>
  </si>
  <si>
    <t xml:space="preserve">フォンデネージュ</t>
  </si>
  <si>
    <t xml:space="preserve">グランコネクシオン</t>
  </si>
  <si>
    <t xml:space="preserve">ヴンダーバール</t>
  </si>
  <si>
    <t xml:space="preserve">デルマアポロニア</t>
  </si>
  <si>
    <t xml:space="preserve">エイミームーン</t>
  </si>
  <si>
    <t xml:space="preserve">ランスノーブル</t>
  </si>
  <si>
    <t xml:space="preserve">ベルフィーヌ</t>
  </si>
  <si>
    <t xml:space="preserve">マタミカンサン</t>
  </si>
  <si>
    <t xml:space="preserve">グランシャット</t>
  </si>
  <si>
    <t xml:space="preserve">ブルーサーマル</t>
  </si>
  <si>
    <t xml:space="preserve">アスコットヴェール</t>
  </si>
  <si>
    <t xml:space="preserve">クモヒトツナイ</t>
  </si>
  <si>
    <t xml:space="preserve">オックスアイ</t>
  </si>
  <si>
    <t xml:space="preserve">タッカーバレット</t>
  </si>
  <si>
    <t xml:space="preserve">サンブライト</t>
  </si>
  <si>
    <t xml:space="preserve">ヒラボクヒーロー</t>
  </si>
  <si>
    <t xml:space="preserve">ティティナ</t>
  </si>
  <si>
    <t xml:space="preserve">バシレイア</t>
  </si>
  <si>
    <t xml:space="preserve">ジャガード</t>
  </si>
  <si>
    <t xml:space="preserve">ラパンチュール</t>
  </si>
  <si>
    <t xml:space="preserve">マンウォル</t>
  </si>
  <si>
    <t xml:space="preserve">ゼンダンタカ</t>
  </si>
  <si>
    <t xml:space="preserve">フェデルミエール</t>
  </si>
  <si>
    <t xml:space="preserve">エリカカリーナ</t>
  </si>
  <si>
    <t xml:space="preserve">フェルミアーク</t>
  </si>
  <si>
    <t xml:space="preserve">イゾラフェリーチェ</t>
  </si>
  <si>
    <t xml:space="preserve">カーヌスティ</t>
  </si>
  <si>
    <t xml:space="preserve">マキシマムドライブ</t>
  </si>
  <si>
    <t xml:space="preserve">ホウオウブースター</t>
  </si>
  <si>
    <t xml:space="preserve">ジョウゲンノツキ</t>
  </si>
  <si>
    <t xml:space="preserve">ワザモノ</t>
  </si>
  <si>
    <t xml:space="preserve">マイネルフォルツァ</t>
  </si>
  <si>
    <t xml:space="preserve">ロゼル</t>
  </si>
  <si>
    <t xml:space="preserve">ペッレグリーニ</t>
  </si>
  <si>
    <t xml:space="preserve">ベストミーエヴァー</t>
  </si>
  <si>
    <t xml:space="preserve">レッドダンルース</t>
  </si>
  <si>
    <t xml:space="preserve">リアンベーレ</t>
  </si>
  <si>
    <t xml:space="preserve">グランカンタンテ</t>
  </si>
  <si>
    <t xml:space="preserve">メリークリスマス</t>
  </si>
  <si>
    <t xml:space="preserve">カンピオーネ</t>
  </si>
  <si>
    <t xml:space="preserve">サクラトップリアル</t>
  </si>
  <si>
    <t xml:space="preserve">ベルウェザー</t>
  </si>
  <si>
    <t xml:space="preserve">ポッドロゴ</t>
  </si>
  <si>
    <t xml:space="preserve">ニシキギミッチー</t>
  </si>
  <si>
    <t xml:space="preserve">ストレングス</t>
  </si>
  <si>
    <t xml:space="preserve">ミッキーヌチバナ</t>
  </si>
  <si>
    <t xml:space="preserve">ロジアデレード</t>
  </si>
  <si>
    <t xml:space="preserve">ルージュアベリア</t>
  </si>
  <si>
    <t xml:space="preserve">ショウナンライシン</t>
  </si>
  <si>
    <t xml:space="preserve">シゲルショウグン</t>
  </si>
  <si>
    <t xml:space="preserve">サンマルパトロール</t>
  </si>
  <si>
    <t xml:space="preserve">ピースオブザライフ</t>
  </si>
  <si>
    <t xml:space="preserve">ハビレ</t>
  </si>
  <si>
    <t xml:space="preserve">ピコレッド</t>
  </si>
  <si>
    <t xml:space="preserve">ヴァイオスペース</t>
  </si>
  <si>
    <t xml:space="preserve">カンレイスター</t>
  </si>
  <si>
    <t xml:space="preserve">トモジャオーリー</t>
  </si>
  <si>
    <t xml:space="preserve">キングクレオール</t>
  </si>
  <si>
    <t xml:space="preserve">リバージュエル</t>
  </si>
  <si>
    <t xml:space="preserve">モーゲンセン</t>
  </si>
  <si>
    <t xml:space="preserve">ノーブルオリンポス</t>
  </si>
  <si>
    <t xml:space="preserve">スカイダイバー</t>
  </si>
  <si>
    <t xml:space="preserve">レインボーラッキー</t>
  </si>
  <si>
    <t xml:space="preserve">スペルキャスター</t>
  </si>
  <si>
    <t xml:space="preserve">ボールドハーテッド</t>
  </si>
  <si>
    <t xml:space="preserve">ガストン</t>
  </si>
  <si>
    <t xml:space="preserve">モズナイスバディー</t>
  </si>
  <si>
    <t xml:space="preserve">ストラクチャー</t>
  </si>
  <si>
    <t xml:space="preserve">ベールドインパクト</t>
  </si>
  <si>
    <t xml:space="preserve">タガノバルコス</t>
  </si>
  <si>
    <t xml:space="preserve">リッケンバッカー</t>
  </si>
  <si>
    <t xml:space="preserve">メイショウブレゲ</t>
  </si>
  <si>
    <t xml:space="preserve">ドラギニャン</t>
  </si>
  <si>
    <t xml:space="preserve">ユイパルティ</t>
  </si>
  <si>
    <t xml:space="preserve">グランブーケ</t>
  </si>
  <si>
    <t xml:space="preserve">ケンブリッジグレイ</t>
  </si>
  <si>
    <t xml:space="preserve">サンタカタリナ</t>
  </si>
  <si>
    <t xml:space="preserve">ウィスカーパッド</t>
  </si>
  <si>
    <t xml:space="preserve">アオイハルカ</t>
  </si>
  <si>
    <t xml:space="preserve">リボンインザスカイ</t>
  </si>
  <si>
    <t xml:space="preserve">メイプルキュート</t>
  </si>
  <si>
    <t xml:space="preserve">オーマイラッキーン</t>
  </si>
  <si>
    <t xml:space="preserve">メイショウコハル</t>
  </si>
  <si>
    <t xml:space="preserve">ノクスカンパーナ</t>
  </si>
  <si>
    <t xml:space="preserve">トライアンドエラー</t>
  </si>
  <si>
    <t xml:space="preserve">ゴッドアミーラ</t>
  </si>
  <si>
    <t xml:space="preserve">カトマンズゴールド</t>
  </si>
  <si>
    <t xml:space="preserve">ティタノマキア</t>
  </si>
  <si>
    <t xml:space="preserve">ノヴァレジーナ</t>
  </si>
  <si>
    <t xml:space="preserve">トモジャカトゥーラ</t>
  </si>
  <si>
    <t xml:space="preserve">モズナツノジン</t>
  </si>
  <si>
    <t xml:space="preserve">モズタイシソウシ</t>
  </si>
  <si>
    <t xml:space="preserve">リトセア</t>
  </si>
  <si>
    <t xml:space="preserve">スターペスアンナ</t>
  </si>
  <si>
    <t xml:space="preserve">ナムラステラ</t>
  </si>
  <si>
    <t xml:space="preserve">タマモビスケット</t>
  </si>
  <si>
    <t xml:space="preserve">ナツノオジョウサマ</t>
  </si>
  <si>
    <t xml:space="preserve">アルミラージ</t>
  </si>
  <si>
    <t xml:space="preserve">ロードフリューゲル</t>
  </si>
  <si>
    <t xml:space="preserve">ファイアプレイス</t>
  </si>
  <si>
    <t xml:space="preserve">ポルトブルー</t>
  </si>
  <si>
    <t xml:space="preserve">ヤマニンイハナ</t>
  </si>
  <si>
    <t xml:space="preserve">ロードフェルム</t>
  </si>
  <si>
    <t xml:space="preserve">ゴルディアス</t>
  </si>
  <si>
    <t xml:space="preserve">タイセイルミナス</t>
  </si>
  <si>
    <t xml:space="preserve">オーラムミーティア</t>
  </si>
  <si>
    <t xml:space="preserve">シャローチャンプ</t>
  </si>
  <si>
    <t xml:space="preserve">ジャンゴッド</t>
  </si>
  <si>
    <t xml:space="preserve">ヴェールダムール</t>
  </si>
  <si>
    <t xml:space="preserve">アーデルボーデン</t>
  </si>
  <si>
    <t xml:space="preserve">ウィモウェ</t>
  </si>
  <si>
    <t xml:space="preserve">タケルレジェンド</t>
  </si>
  <si>
    <t xml:space="preserve">エボニーウイング</t>
  </si>
  <si>
    <t xml:space="preserve">アテンド</t>
  </si>
  <si>
    <t xml:space="preserve">ファータカエリ</t>
  </si>
  <si>
    <t xml:space="preserve">ボビーザグレート</t>
  </si>
  <si>
    <t xml:space="preserve">ファラオクィーン</t>
  </si>
  <si>
    <t xml:space="preserve">ジョウショーツヨシ</t>
  </si>
  <si>
    <t xml:space="preserve">トリオノチカラ</t>
  </si>
  <si>
    <t xml:space="preserve">シュライアハフト</t>
  </si>
  <si>
    <t xml:space="preserve">タワーオブバベル</t>
  </si>
  <si>
    <t xml:space="preserve">サウンドヴィヴァン</t>
  </si>
  <si>
    <t xml:space="preserve">キャンディーズ</t>
  </si>
  <si>
    <t xml:space="preserve">メイショウジーニー</t>
  </si>
  <si>
    <t xml:space="preserve">ファイティンアスク</t>
  </si>
  <si>
    <t xml:space="preserve">ナムラオットー</t>
  </si>
  <si>
    <t xml:space="preserve">アッセクシー</t>
  </si>
  <si>
    <t xml:space="preserve">ルルハート</t>
  </si>
  <si>
    <t xml:space="preserve">パトローナス</t>
  </si>
  <si>
    <t xml:space="preserve">グロリアスニケ</t>
  </si>
  <si>
    <t xml:space="preserve">ベルフィーノ</t>
  </si>
  <si>
    <t xml:space="preserve">シンドリームシン</t>
  </si>
  <si>
    <t xml:space="preserve">アスタールテニウム</t>
  </si>
  <si>
    <t xml:space="preserve">サトノアイボリー</t>
  </si>
  <si>
    <t xml:space="preserve">ラマヌジャン</t>
  </si>
  <si>
    <t xml:space="preserve">クラウディアイ</t>
  </si>
  <si>
    <t xml:space="preserve">レイデラティエラ</t>
  </si>
  <si>
    <t xml:space="preserve">オモイヲノセテ</t>
  </si>
  <si>
    <t xml:space="preserve">ナスノソナタ</t>
  </si>
  <si>
    <t xml:space="preserve">ダークマルス</t>
  </si>
  <si>
    <t xml:space="preserve">レッドシュテルン</t>
  </si>
  <si>
    <t xml:space="preserve">サトノブリジャール</t>
  </si>
  <si>
    <t xml:space="preserve">アクロフェイズ</t>
  </si>
  <si>
    <t xml:space="preserve">ムスクレスト</t>
  </si>
  <si>
    <t xml:space="preserve">ウィテカービート</t>
  </si>
  <si>
    <t xml:space="preserve">ユウェンタース</t>
  </si>
  <si>
    <t xml:space="preserve">メイショウリリー</t>
  </si>
  <si>
    <t xml:space="preserve">フィドルファドル</t>
  </si>
  <si>
    <t xml:space="preserve">ジャルディニエ</t>
  </si>
  <si>
    <t xml:space="preserve">マジックローズ</t>
  </si>
  <si>
    <t xml:space="preserve">ツーピース</t>
  </si>
  <si>
    <t xml:space="preserve">ファミリーツリー</t>
  </si>
  <si>
    <t xml:space="preserve">ワイノナオミ</t>
  </si>
  <si>
    <t xml:space="preserve">フローラルセント</t>
  </si>
  <si>
    <t xml:space="preserve">カロローザ</t>
  </si>
  <si>
    <t xml:space="preserve">ランフォーヴァウ</t>
  </si>
  <si>
    <t xml:space="preserve">ジェニファー</t>
  </si>
  <si>
    <t xml:space="preserve">プロトポロス</t>
  </si>
  <si>
    <t xml:space="preserve">アンクルクロス</t>
  </si>
  <si>
    <t xml:space="preserve">アブキールベイ</t>
  </si>
  <si>
    <t xml:space="preserve">オタルエバー</t>
  </si>
  <si>
    <t xml:space="preserve">デアヴェローチェ</t>
  </si>
  <si>
    <t xml:space="preserve">ヨシノイースター</t>
  </si>
  <si>
    <t xml:space="preserve">サウンドモリアーナ</t>
  </si>
  <si>
    <t xml:space="preserve">ヤマニンアルリフラ</t>
  </si>
  <si>
    <t xml:space="preserve">フリッカージャブ</t>
  </si>
  <si>
    <t xml:space="preserve">イツモニコニコ</t>
  </si>
  <si>
    <t xml:space="preserve">トッレブランカ</t>
  </si>
  <si>
    <t xml:space="preserve">テイクイットオール</t>
  </si>
  <si>
    <t xml:space="preserve">ゴールデンスラム</t>
  </si>
  <si>
    <t xml:space="preserve">タイセイジェイド</t>
  </si>
  <si>
    <t xml:space="preserve">ビズロード</t>
  </si>
  <si>
    <t xml:space="preserve">システマソラー</t>
  </si>
  <si>
    <t xml:space="preserve">ルペイドゥロール</t>
  </si>
  <si>
    <t xml:space="preserve">バレンシア</t>
  </si>
  <si>
    <t xml:space="preserve">アーブルラーブル</t>
  </si>
  <si>
    <t xml:space="preserve">メイショウカスガイ</t>
  </si>
  <si>
    <t xml:space="preserve">ゲタリア</t>
  </si>
  <si>
    <t xml:space="preserve">ブラックドレス</t>
  </si>
  <si>
    <t xml:space="preserve">マナベラ</t>
  </si>
  <si>
    <t xml:space="preserve">ライーリーアース</t>
  </si>
  <si>
    <t xml:space="preserve">クリアストライク</t>
  </si>
  <si>
    <t xml:space="preserve">コックニー</t>
  </si>
  <si>
    <t xml:space="preserve">チカバリエンテ</t>
  </si>
  <si>
    <t xml:space="preserve">アクロスメモリア</t>
  </si>
  <si>
    <t xml:space="preserve">カフェオドヴィー</t>
  </si>
  <si>
    <t xml:space="preserve">カプリースカラー</t>
  </si>
  <si>
    <t xml:space="preserve">ロードベルファスト</t>
  </si>
  <si>
    <t xml:space="preserve">キャピタル</t>
  </si>
  <si>
    <t xml:space="preserve">カンフージョン</t>
  </si>
  <si>
    <t xml:space="preserve">オーキーベルセルク</t>
  </si>
  <si>
    <t xml:space="preserve">ガダニーニ</t>
  </si>
  <si>
    <t xml:space="preserve">ヘイマー</t>
  </si>
  <si>
    <t xml:space="preserve">マツリダシリウス</t>
  </si>
  <si>
    <t xml:space="preserve">ガーディアンテイル</t>
  </si>
  <si>
    <t xml:space="preserve">ゴンフィンガー</t>
  </si>
  <si>
    <t xml:space="preserve">ルナノーヴァ</t>
  </si>
  <si>
    <t xml:space="preserve">ラストシャイニー</t>
  </si>
  <si>
    <t xml:space="preserve">パトリシア</t>
  </si>
  <si>
    <t xml:space="preserve">ブライティアロード</t>
  </si>
  <si>
    <t xml:space="preserve">ブルーエ</t>
  </si>
  <si>
    <t xml:space="preserve">ヘリオドール</t>
  </si>
  <si>
    <t xml:space="preserve">プリュスエクラ</t>
  </si>
  <si>
    <t xml:space="preserve">ジュディーイメル</t>
  </si>
  <si>
    <t xml:space="preserve">レオダーム</t>
  </si>
  <si>
    <t xml:space="preserve">チャーミングアイ</t>
  </si>
  <si>
    <t xml:space="preserve">ショウナンガレオン</t>
  </si>
  <si>
    <t xml:space="preserve">ダノンキューブ</t>
  </si>
  <si>
    <t xml:space="preserve">スーパーユタカ</t>
  </si>
  <si>
    <t xml:space="preserve">サトノパラディ</t>
  </si>
  <si>
    <t xml:space="preserve">パンキー</t>
  </si>
  <si>
    <t xml:space="preserve">タイセイネクサス</t>
  </si>
  <si>
    <t xml:space="preserve">ティラユール</t>
  </si>
  <si>
    <t xml:space="preserve">エイシンインアウト</t>
  </si>
  <si>
    <t xml:space="preserve">リトルコリンズ</t>
  </si>
  <si>
    <t xml:space="preserve">ルナティックブルー</t>
  </si>
  <si>
    <t xml:space="preserve">アルタティール</t>
  </si>
  <si>
    <t xml:space="preserve">デルマノリクラ</t>
  </si>
  <si>
    <t xml:space="preserve">ファーザーアウェイ</t>
  </si>
  <si>
    <t xml:space="preserve">ジェイエルライナー</t>
  </si>
  <si>
    <t xml:space="preserve">アルヘンティニータ</t>
  </si>
  <si>
    <t xml:space="preserve">ムーンブランシュ</t>
  </si>
  <si>
    <t xml:space="preserve">クイーンレグナント</t>
  </si>
  <si>
    <t xml:space="preserve">パーティーガール</t>
  </si>
  <si>
    <t xml:space="preserve">キャリーグレイス</t>
  </si>
  <si>
    <t xml:space="preserve">カップッチョ</t>
  </si>
  <si>
    <t xml:space="preserve">ポンピエ</t>
  </si>
  <si>
    <t xml:space="preserve">アオハルブルース</t>
  </si>
  <si>
    <t xml:space="preserve">ナクライト</t>
  </si>
  <si>
    <t xml:space="preserve">スイミーユニバンス</t>
  </si>
  <si>
    <t xml:space="preserve">ハリウッドメモリー</t>
  </si>
  <si>
    <t xml:space="preserve">マルプリ</t>
  </si>
  <si>
    <t xml:space="preserve">ゴキゲンサン</t>
  </si>
  <si>
    <t xml:space="preserve">リリーフィールド</t>
  </si>
  <si>
    <t xml:space="preserve">ミニョンマルーン</t>
  </si>
  <si>
    <t xml:space="preserve">ベルビースタローン</t>
  </si>
  <si>
    <t xml:space="preserve">ベビーズブレス</t>
  </si>
  <si>
    <t xml:space="preserve">ヒラボクミニー</t>
  </si>
  <si>
    <t xml:space="preserve">セイプリーズ</t>
  </si>
  <si>
    <t xml:space="preserve">モズアンタレス</t>
  </si>
  <si>
    <t xml:space="preserve">サンタアニタ</t>
  </si>
  <si>
    <t xml:space="preserve">アルマデオロ</t>
  </si>
  <si>
    <t xml:space="preserve">アメジストブラック</t>
  </si>
  <si>
    <t xml:space="preserve">リアルファインド</t>
  </si>
  <si>
    <t xml:space="preserve">ゴールデンパゴーダ</t>
  </si>
  <si>
    <t xml:space="preserve">ラーシャローム</t>
  </si>
  <si>
    <t xml:space="preserve">ブリヤディアマンテ</t>
  </si>
  <si>
    <t xml:space="preserve">プロミストジーン</t>
  </si>
  <si>
    <t xml:space="preserve">カナルビーグル</t>
  </si>
  <si>
    <t xml:space="preserve">ワイドブリザード</t>
  </si>
  <si>
    <t xml:space="preserve">ユーベルジーク</t>
  </si>
  <si>
    <t xml:space="preserve">ララバニュルス</t>
  </si>
  <si>
    <t xml:space="preserve">ブライトアゲイン</t>
  </si>
  <si>
    <t xml:space="preserve">グランフィエルテ</t>
  </si>
  <si>
    <t xml:space="preserve">フレイムジョーカー</t>
  </si>
  <si>
    <t xml:space="preserve">シュハリ</t>
  </si>
  <si>
    <t xml:space="preserve">ポワンキュルミナン</t>
  </si>
  <si>
    <t xml:space="preserve">ラパンラピッド</t>
  </si>
  <si>
    <t xml:space="preserve">ヴォンヌヴォー</t>
  </si>
  <si>
    <t xml:space="preserve">ブライトライツ</t>
  </si>
  <si>
    <t xml:space="preserve">モズクルードラゴン</t>
  </si>
  <si>
    <t xml:space="preserve">ニシノインヴィクタ</t>
  </si>
  <si>
    <t xml:space="preserve">ロワゾブルー</t>
  </si>
  <si>
    <t xml:space="preserve">サマーアゲイン</t>
  </si>
  <si>
    <t xml:space="preserve">ゴールドフリーダム</t>
  </si>
  <si>
    <t xml:space="preserve">カラクリスピリッツ</t>
  </si>
  <si>
    <t xml:space="preserve">オセアフェアモント</t>
  </si>
  <si>
    <t xml:space="preserve">プロミスライン</t>
  </si>
  <si>
    <t xml:space="preserve">アシタバスピリッツ</t>
  </si>
  <si>
    <t xml:space="preserve">ウインビギニング</t>
  </si>
  <si>
    <t xml:space="preserve">ロココ</t>
  </si>
  <si>
    <t xml:space="preserve">テンカラットレター</t>
  </si>
  <si>
    <t xml:space="preserve">アイファーラピッド</t>
  </si>
  <si>
    <t xml:space="preserve">ベアアミーチ</t>
  </si>
  <si>
    <t xml:space="preserve">オオセイケイ</t>
  </si>
  <si>
    <t xml:space="preserve">ノヴェルアレイア</t>
  </si>
  <si>
    <t xml:space="preserve">スペシャルサンクス</t>
  </si>
  <si>
    <t xml:space="preserve">ジーティーマイカ</t>
  </si>
  <si>
    <t xml:space="preserve">マリノシークレット</t>
  </si>
  <si>
    <t xml:space="preserve">ミッドナイトドア</t>
  </si>
  <si>
    <t xml:space="preserve">ヤマニンアルセド</t>
  </si>
  <si>
    <t xml:space="preserve">ラッキースパークル</t>
  </si>
  <si>
    <t xml:space="preserve">アルアンダルス</t>
  </si>
  <si>
    <t xml:space="preserve">センターアイランド</t>
  </si>
  <si>
    <t xml:space="preserve">レッジェランツァ</t>
  </si>
  <si>
    <t xml:space="preserve">マーゴットパラディ</t>
  </si>
  <si>
    <t xml:space="preserve">モンドドゥアムール</t>
  </si>
  <si>
    <t xml:space="preserve">アルデアーク</t>
  </si>
  <si>
    <t xml:space="preserve">ウインワーグナー</t>
  </si>
  <si>
    <t xml:space="preserve">オレンジリバー</t>
  </si>
  <si>
    <t xml:space="preserve">ペイシャラム</t>
  </si>
  <si>
    <t xml:space="preserve">サトノワーグナー</t>
  </si>
  <si>
    <t xml:space="preserve">ハクサンスオーノ</t>
  </si>
  <si>
    <t xml:space="preserve">モリガン</t>
  </si>
  <si>
    <t xml:space="preserve">ハクサンレイホウ</t>
  </si>
  <si>
    <t xml:space="preserve">ロジシーザ</t>
  </si>
  <si>
    <t xml:space="preserve">カーニバルウェイ</t>
  </si>
  <si>
    <t xml:space="preserve">ハミングディスト</t>
  </si>
  <si>
    <t xml:space="preserve">アリアーネ</t>
  </si>
  <si>
    <t xml:space="preserve">ニチヤヲツイデ</t>
  </si>
  <si>
    <t xml:space="preserve">オドラタス</t>
  </si>
  <si>
    <t xml:space="preserve">ニットウエース</t>
  </si>
  <si>
    <t xml:space="preserve">スーホ</t>
  </si>
  <si>
    <t xml:space="preserve">ミサトレジーナ</t>
  </si>
  <si>
    <t xml:space="preserve">スコアレジーナ</t>
  </si>
  <si>
    <t xml:space="preserve">ベンテンカグラ</t>
  </si>
  <si>
    <t xml:space="preserve">ホットジュピター</t>
  </si>
  <si>
    <t xml:space="preserve">ザウシャルト</t>
  </si>
  <si>
    <t xml:space="preserve">カゼノハゴロモ</t>
  </si>
  <si>
    <t xml:space="preserve">アンパシオンス</t>
  </si>
  <si>
    <t xml:space="preserve">ゲンジ</t>
  </si>
  <si>
    <t xml:space="preserve">エクセルクラウン</t>
  </si>
  <si>
    <t xml:space="preserve">ヤマニンヘルシェ</t>
  </si>
  <si>
    <t xml:space="preserve">ニホンピロロジャー</t>
  </si>
  <si>
    <t xml:space="preserve">ストレートブラック</t>
  </si>
  <si>
    <t xml:space="preserve">キロノヴァ</t>
  </si>
  <si>
    <t xml:space="preserve">エースフライト</t>
  </si>
  <si>
    <t xml:space="preserve">ジャスティンライズ</t>
  </si>
  <si>
    <t xml:space="preserve">グランドフォレスト</t>
  </si>
  <si>
    <t xml:space="preserve">アリスメティーク</t>
  </si>
  <si>
    <t xml:space="preserve">ウインルピナス</t>
  </si>
  <si>
    <t xml:space="preserve">ボウウィンドウ</t>
  </si>
  <si>
    <t xml:space="preserve">エバーグルーヴ</t>
  </si>
  <si>
    <t xml:space="preserve">ホウオウシンデレラ</t>
  </si>
  <si>
    <t xml:space="preserve">クロシェットノエル</t>
  </si>
  <si>
    <t xml:space="preserve">ノビリシマビジョン</t>
  </si>
  <si>
    <t xml:space="preserve">オルノア</t>
  </si>
  <si>
    <t xml:space="preserve">オリーブグリーン</t>
  </si>
  <si>
    <t xml:space="preserve">メイショウフウドウ</t>
  </si>
  <si>
    <t xml:space="preserve">バギーウィップ</t>
  </si>
  <si>
    <t xml:space="preserve">エクリプスルバン</t>
  </si>
  <si>
    <t xml:space="preserve">ヴァナルガンド</t>
  </si>
  <si>
    <t xml:space="preserve">タイセイミッション</t>
  </si>
  <si>
    <t xml:space="preserve">ラフエイジアン</t>
  </si>
  <si>
    <t xml:space="preserve">アイウィル</t>
  </si>
  <si>
    <t xml:space="preserve">ゴールドアローン</t>
  </si>
  <si>
    <t xml:space="preserve">クロースコンバット</t>
  </si>
  <si>
    <t xml:space="preserve">ルージュボヤージュ</t>
  </si>
  <si>
    <t xml:space="preserve">クカイリモク</t>
  </si>
  <si>
    <t xml:space="preserve">リッツパーティー</t>
  </si>
  <si>
    <t xml:space="preserve">コルテオソレイユ</t>
  </si>
  <si>
    <t xml:space="preserve">ショウナンガルフ</t>
  </si>
  <si>
    <t xml:space="preserve">ディールメーカー</t>
  </si>
  <si>
    <t xml:space="preserve">コロナドブリッジ</t>
  </si>
  <si>
    <t xml:space="preserve">ローベルクランツ</t>
  </si>
  <si>
    <t xml:space="preserve">サノノグレーター</t>
  </si>
  <si>
    <t xml:space="preserve">スカイスプレンダー</t>
  </si>
  <si>
    <t xml:space="preserve">バドリナート</t>
  </si>
  <si>
    <t xml:space="preserve">スペルーチェ</t>
  </si>
  <si>
    <t xml:space="preserve">モズタンケ</t>
  </si>
  <si>
    <t xml:space="preserve">ミルトハーバー</t>
  </si>
  <si>
    <t xml:space="preserve">クアロアランチ</t>
  </si>
  <si>
    <t xml:space="preserve">スターランウェイ</t>
  </si>
  <si>
    <t xml:space="preserve">ゴルトレオパルト</t>
  </si>
  <si>
    <t xml:space="preserve">フクチャンヒメ</t>
  </si>
  <si>
    <t xml:space="preserve">ジャスフォール</t>
  </si>
  <si>
    <t xml:space="preserve">ハイソリア</t>
  </si>
  <si>
    <t xml:space="preserve">ジョービスコッティ</t>
  </si>
  <si>
    <t xml:space="preserve">キャッチミークライ</t>
  </si>
  <si>
    <t xml:space="preserve">アンガーザガール</t>
  </si>
  <si>
    <t xml:space="preserve">サンシャインビーチ</t>
  </si>
  <si>
    <t xml:space="preserve">エンブルーシャ</t>
  </si>
  <si>
    <t xml:space="preserve">メイショウピュルテ</t>
  </si>
  <si>
    <t xml:space="preserve">ザムーン</t>
  </si>
  <si>
    <t xml:space="preserve">テイエムリチャード</t>
  </si>
  <si>
    <t xml:space="preserve">リーガルスプレンダ</t>
  </si>
  <si>
    <t xml:space="preserve">フルーツベイビー</t>
  </si>
  <si>
    <t xml:space="preserve">チェラブ</t>
  </si>
  <si>
    <t xml:space="preserve">マサハヤルージュ</t>
  </si>
  <si>
    <t xml:space="preserve">エリカアズーラ</t>
  </si>
  <si>
    <t xml:space="preserve">リュネヴィル</t>
  </si>
  <si>
    <t xml:space="preserve">エングルマン</t>
  </si>
  <si>
    <t xml:space="preserve">ワンダーエイド</t>
  </si>
  <si>
    <t xml:space="preserve">アリュウ</t>
  </si>
  <si>
    <t xml:space="preserve">ダノンプレリュード</t>
  </si>
  <si>
    <t xml:space="preserve">パラフローラ</t>
  </si>
  <si>
    <t xml:space="preserve">シャロン</t>
  </si>
  <si>
    <t xml:space="preserve">マテンロウノア</t>
  </si>
  <si>
    <t xml:space="preserve">イクヒロ</t>
  </si>
  <si>
    <t xml:space="preserve">チョウダントツ</t>
  </si>
  <si>
    <t xml:space="preserve">ヤマトチャージ</t>
  </si>
  <si>
    <t xml:space="preserve">スイートポメロ</t>
  </si>
  <si>
    <t xml:space="preserve">アドバンスモダン</t>
  </si>
  <si>
    <t xml:space="preserve">ジャスティンカレラ</t>
  </si>
  <si>
    <t xml:space="preserve">ワイドカクゲン</t>
  </si>
  <si>
    <t xml:space="preserve">ブラックアイロン</t>
  </si>
  <si>
    <t xml:space="preserve">キミガスキダ</t>
  </si>
  <si>
    <t xml:space="preserve">ジュピターバローズ</t>
  </si>
  <si>
    <t xml:space="preserve">グリーンゴー</t>
  </si>
  <si>
    <t xml:space="preserve">グーフィー</t>
  </si>
  <si>
    <t xml:space="preserve">リアライズステラ</t>
  </si>
  <si>
    <t xml:space="preserve">メンデレーエフ</t>
  </si>
  <si>
    <t xml:space="preserve">ハイビッグゴールド</t>
  </si>
  <si>
    <t xml:space="preserve">パスリヤージュ</t>
  </si>
  <si>
    <t xml:space="preserve">ワールドエンジェル</t>
  </si>
  <si>
    <t xml:space="preserve">メイショウペルル</t>
  </si>
  <si>
    <t xml:space="preserve">スマートエスコート</t>
  </si>
  <si>
    <t xml:space="preserve">ヒルノアラゴン</t>
  </si>
  <si>
    <t xml:space="preserve">スマートポーション</t>
  </si>
  <si>
    <t xml:space="preserve">インディジャズ</t>
  </si>
  <si>
    <t xml:space="preserve">カゴシマ</t>
  </si>
  <si>
    <t xml:space="preserve">プッシュザリミット</t>
  </si>
  <si>
    <t xml:space="preserve">ルディシャ</t>
  </si>
  <si>
    <t xml:space="preserve">パドゼフィール</t>
  </si>
  <si>
    <t xml:space="preserve">グランドオーパス</t>
  </si>
  <si>
    <t xml:space="preserve">エンベッカ</t>
  </si>
  <si>
    <t xml:space="preserve">レーヌマロン</t>
  </si>
  <si>
    <t xml:space="preserve">サリエンテ</t>
  </si>
  <si>
    <t xml:space="preserve">サトノスカイターフ</t>
  </si>
  <si>
    <t xml:space="preserve">ショウナンガチ</t>
  </si>
  <si>
    <t xml:space="preserve">サラトガチップス</t>
  </si>
  <si>
    <t xml:space="preserve">ニュークレド</t>
  </si>
  <si>
    <t xml:space="preserve">ナリタエスペランサ</t>
  </si>
  <si>
    <t xml:space="preserve">マテンロウシルビア</t>
  </si>
  <si>
    <t xml:space="preserve">シンコーナホチャン</t>
  </si>
  <si>
    <t xml:space="preserve">レーティッシュ</t>
  </si>
  <si>
    <t xml:space="preserve">メイショウクーガー</t>
  </si>
  <si>
    <t xml:space="preserve">コウジョリョウゾク</t>
  </si>
  <si>
    <t xml:space="preserve">テーオーライマン</t>
  </si>
  <si>
    <t xml:space="preserve">メイショウヘール</t>
  </si>
  <si>
    <t xml:space="preserve">アラナコア</t>
  </si>
  <si>
    <t xml:space="preserve">カウンティフェア</t>
  </si>
  <si>
    <t xml:space="preserve">グレイスオブゴッド</t>
  </si>
  <si>
    <t xml:space="preserve">スマートプレシャス</t>
  </si>
  <si>
    <t xml:space="preserve">テーオーダヴィンチ</t>
  </si>
  <si>
    <t xml:space="preserve">アサクサグレース</t>
  </si>
  <si>
    <t xml:space="preserve">スカイハイ</t>
  </si>
  <si>
    <t xml:space="preserve">バロニアル</t>
  </si>
  <si>
    <t xml:space="preserve">アンティーム</t>
  </si>
  <si>
    <t xml:space="preserve">ブルーカミング</t>
  </si>
  <si>
    <t xml:space="preserve">ミッションルース</t>
  </si>
  <si>
    <t xml:space="preserve">ニシノジェダイ</t>
  </si>
  <si>
    <t xml:space="preserve">ポルトドール</t>
  </si>
  <si>
    <t xml:space="preserve">クイノールト</t>
  </si>
  <si>
    <t xml:space="preserve">バトゥカーダ</t>
  </si>
  <si>
    <t xml:space="preserve">ロードシュヴァリエ</t>
  </si>
  <si>
    <t xml:space="preserve">ルシャリオ</t>
  </si>
  <si>
    <t xml:space="preserve">パンジャケリー</t>
  </si>
  <si>
    <t xml:space="preserve">ウィルレーヴィア</t>
  </si>
  <si>
    <t xml:space="preserve">キセキノユニコーン</t>
  </si>
  <si>
    <t xml:space="preserve">シークレットタワー</t>
  </si>
  <si>
    <t xml:space="preserve">ライカ</t>
  </si>
  <si>
    <t xml:space="preserve">テンレッドサン</t>
  </si>
  <si>
    <t xml:space="preserve">アドフランマム</t>
  </si>
  <si>
    <t xml:space="preserve">マルシュボヌール</t>
  </si>
  <si>
    <t xml:space="preserve">スマートイデアル</t>
  </si>
  <si>
    <t xml:space="preserve">ヒルノボローニャ</t>
  </si>
  <si>
    <t xml:space="preserve">ビップアリス</t>
  </si>
  <si>
    <t xml:space="preserve">ブザービーター</t>
  </si>
  <si>
    <t xml:space="preserve">ウィズアツインクル</t>
  </si>
  <si>
    <t xml:space="preserve">ヴェンデボヌール</t>
  </si>
  <si>
    <t xml:space="preserve">フォーチュンローズ</t>
  </si>
  <si>
    <t xml:space="preserve">ブッチギレ</t>
  </si>
  <si>
    <t xml:space="preserve">カノープス</t>
  </si>
  <si>
    <t xml:space="preserve">ソルトハッピー</t>
  </si>
  <si>
    <t xml:space="preserve">ウインアトム</t>
  </si>
  <si>
    <t xml:space="preserve">ホウオウファミリー</t>
  </si>
  <si>
    <t xml:space="preserve">タビニュ</t>
  </si>
  <si>
    <t xml:space="preserve">ソウカイファミリア</t>
  </si>
  <si>
    <t xml:space="preserve">ルミナスジェム</t>
  </si>
  <si>
    <t xml:space="preserve">アルペングロー</t>
  </si>
  <si>
    <t xml:space="preserve">ショウナンアワード</t>
  </si>
  <si>
    <t xml:space="preserve">シーガルワールド</t>
  </si>
  <si>
    <t xml:space="preserve">ブランニューホーム</t>
  </si>
  <si>
    <t xml:space="preserve">キャットテイル</t>
  </si>
  <si>
    <t xml:space="preserve">シャンデヴィーニュ</t>
  </si>
  <si>
    <t xml:space="preserve">アートフォーム</t>
  </si>
  <si>
    <t xml:space="preserve">メーゼ</t>
  </si>
  <si>
    <t xml:space="preserve">クレセントウイング</t>
  </si>
  <si>
    <t xml:space="preserve">ディーズメンフィス</t>
  </si>
  <si>
    <t xml:space="preserve">グリフォン</t>
  </si>
  <si>
    <t xml:space="preserve">マイケルバローズ</t>
  </si>
  <si>
    <t xml:space="preserve">レオアジャイル</t>
  </si>
  <si>
    <t xml:space="preserve">ナクソス</t>
  </si>
  <si>
    <t xml:space="preserve">ニルマーネル</t>
  </si>
  <si>
    <t xml:space="preserve">カムアップローゼス</t>
  </si>
  <si>
    <t xml:space="preserve">ネッタイヤライ</t>
  </si>
  <si>
    <t xml:space="preserve">マイネルイグザルト</t>
  </si>
  <si>
    <t xml:space="preserve">プリンセッサ</t>
  </si>
  <si>
    <t xml:space="preserve">コパノエビータ</t>
  </si>
  <si>
    <t xml:space="preserve">ネクストダンサー</t>
  </si>
  <si>
    <t xml:space="preserve">コンティオ</t>
  </si>
  <si>
    <t xml:space="preserve">ブラックルビー</t>
  </si>
  <si>
    <t xml:space="preserve">ユージュアーナ</t>
  </si>
  <si>
    <t xml:space="preserve">ニシノラヴァンダ</t>
  </si>
  <si>
    <t xml:space="preserve">タマモカンパネラ</t>
  </si>
  <si>
    <t xml:space="preserve">ドーンコーラス</t>
  </si>
  <si>
    <t xml:space="preserve">ファウストラーゼン</t>
  </si>
  <si>
    <t xml:space="preserve">ピースワンデュック</t>
  </si>
  <si>
    <t xml:space="preserve">マジックサンズ</t>
  </si>
  <si>
    <t xml:space="preserve">サンストックトン</t>
  </si>
  <si>
    <t xml:space="preserve">チャックネイト</t>
  </si>
  <si>
    <t xml:space="preserve">ケイアイセナ</t>
  </si>
  <si>
    <t xml:space="preserve">ケリフレッドアスク</t>
  </si>
  <si>
    <t xml:space="preserve">ジュタ</t>
  </si>
  <si>
    <t xml:space="preserve">エコロディノス</t>
  </si>
  <si>
    <t xml:space="preserve">アラタ</t>
  </si>
  <si>
    <t xml:space="preserve">フィーリウス</t>
  </si>
  <si>
    <t xml:space="preserve">デビットバローズ</t>
  </si>
  <si>
    <t xml:space="preserve">ガットネロ</t>
  </si>
  <si>
    <t xml:space="preserve">ウチュウノセカイ</t>
  </si>
  <si>
    <t xml:space="preserve">ビーコング</t>
  </si>
  <si>
    <t xml:space="preserve">フェアリーライズ</t>
  </si>
  <si>
    <t xml:space="preserve">シーグルロス</t>
  </si>
  <si>
    <t xml:space="preserve">ホワイトドラゴン</t>
  </si>
  <si>
    <t xml:space="preserve">ヘニーガイスト</t>
  </si>
  <si>
    <r>
      <rPr>
        <sz val="11"/>
        <color theme="1"/>
        <rFont val="Noto Sans"/>
        <family val="2"/>
      </rPr>
      <t xml:space="preserve">本線候補。複勝下限</t>
    </r>
    <r>
      <rPr>
        <sz val="11"/>
        <color theme="1"/>
        <rFont val="Arial"/>
        <family val="0"/>
        <charset val="1"/>
      </rPr>
      <t xml:space="preserve">1.2</t>
    </r>
    <r>
      <rPr>
        <sz val="11"/>
        <color theme="1"/>
        <rFont val="Noto Sans"/>
        <family val="2"/>
      </rPr>
      <t xml:space="preserve">倍以上なら購入検討、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倍は見送り。着順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着／最終複勝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倍。</t>
    </r>
  </si>
  <si>
    <t xml:space="preserve">レッドレガリア</t>
  </si>
  <si>
    <r>
      <rPr>
        <sz val="11"/>
        <color theme="1"/>
        <rFont val="Noto Sans"/>
        <family val="2"/>
      </rPr>
      <t xml:space="preserve">準本線。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歳未勝利・多頭数のため慎重。購入候補だったが見送り、着順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着。</t>
    </r>
  </si>
  <si>
    <r>
      <rPr>
        <sz val="11"/>
        <color theme="1"/>
        <rFont val="Noto Sans"/>
        <family val="2"/>
      </rPr>
      <t xml:space="preserve">観察。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"/>
        <family val="2"/>
      </rPr>
      <t xml:space="preserve">頭立てで複勝対象が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着までの例外。着順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"/>
        <family val="2"/>
      </rPr>
      <t xml:space="preserve">着、不的中。</t>
    </r>
  </si>
  <si>
    <r>
      <rPr>
        <sz val="11"/>
        <color theme="1"/>
        <rFont val="Noto Sans"/>
        <family val="2"/>
      </rPr>
      <t xml:space="preserve">観察。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歳未勝利の検証対象。着順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着／最終複勝</t>
    </r>
    <r>
      <rPr>
        <sz val="11"/>
        <color theme="1"/>
        <rFont val="Arial"/>
        <family val="0"/>
        <charset val="1"/>
      </rPr>
      <t xml:space="preserve">1.2</t>
    </r>
    <r>
      <rPr>
        <sz val="11"/>
        <color theme="1"/>
        <rFont val="Noto Sans"/>
        <family val="2"/>
      </rPr>
      <t xml:space="preserve">倍。</t>
    </r>
  </si>
  <si>
    <r>
      <rPr>
        <sz val="11"/>
        <color theme="1"/>
        <rFont val="Noto Sans"/>
        <family val="2"/>
      </rPr>
      <t xml:space="preserve">見送り。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位・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位の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差が小さく突出感不足。着順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"/>
        <family val="2"/>
      </rPr>
      <t xml:space="preserve">着、不的中。</t>
    </r>
  </si>
  <si>
    <r>
      <rPr>
        <sz val="11"/>
        <color theme="1"/>
        <rFont val="Noto Sans"/>
        <family val="2"/>
      </rPr>
      <t xml:space="preserve">見送り。同率首位かつ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歳未勝利、低オッズ。着順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着／最終複勝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倍。</t>
    </r>
  </si>
  <si>
    <r>
      <rPr>
        <sz val="11"/>
        <color theme="1"/>
        <rFont val="Noto Sans"/>
        <family val="2"/>
      </rPr>
      <t xml:space="preserve">見送り。同率首位かつ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歳未勝利、低オッズ。着順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着／最終複勝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倍。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</si>
  <si>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表画像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（色順位制約＋目視補正）／公式結果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突合／着順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</si>
  <si>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オスカーレイア</t>
  </si>
  <si>
    <t xml:space="preserve">メモリアデルレ</t>
  </si>
  <si>
    <t xml:space="preserve">ディーヴァレギオン</t>
  </si>
  <si>
    <t xml:space="preserve">ミール</t>
  </si>
  <si>
    <t xml:space="preserve">ナムラサフラン</t>
  </si>
  <si>
    <t xml:space="preserve">ジョリープリュム</t>
  </si>
  <si>
    <t xml:space="preserve">ノヴァーリス</t>
  </si>
  <si>
    <t xml:space="preserve">プレシャスローズ</t>
  </si>
  <si>
    <t xml:space="preserve">ベニバナ</t>
  </si>
  <si>
    <t xml:space="preserve">ジュンアマンドラ</t>
  </si>
  <si>
    <t xml:space="preserve">ラムラベイ</t>
  </si>
  <si>
    <t xml:space="preserve">マッセート</t>
  </si>
  <si>
    <t xml:space="preserve">ヴァニーユ</t>
  </si>
  <si>
    <t xml:space="preserve">ウインクローバー</t>
  </si>
  <si>
    <t xml:space="preserve">マーゴットユーカー</t>
  </si>
  <si>
    <t xml:space="preserve">バティック</t>
  </si>
  <si>
    <t xml:space="preserve">ウェイヴムーン</t>
  </si>
  <si>
    <t xml:space="preserve">アイルドゥレーヴェ</t>
  </si>
  <si>
    <t xml:space="preserve">レッドジルベスター</t>
  </si>
  <si>
    <t xml:space="preserve">シェーネエルデ</t>
  </si>
  <si>
    <t xml:space="preserve">エアリアルグレース</t>
  </si>
  <si>
    <t xml:space="preserve">タントレーベル</t>
  </si>
  <si>
    <t xml:space="preserve">ベイニーニャ</t>
  </si>
  <si>
    <t xml:space="preserve">スマートエトワール</t>
  </si>
  <si>
    <t xml:space="preserve">キーテーマ</t>
  </si>
  <si>
    <t xml:space="preserve">ガビーズデトワール</t>
  </si>
  <si>
    <t xml:space="preserve">ウンナターシャ</t>
  </si>
  <si>
    <t xml:space="preserve">クラテロス</t>
  </si>
  <si>
    <t xml:space="preserve">アスタウイン</t>
  </si>
  <si>
    <t xml:space="preserve">ラミアスペランツァ</t>
  </si>
  <si>
    <t xml:space="preserve">タガノアルテミス</t>
  </si>
  <si>
    <t xml:space="preserve">フィデリス</t>
  </si>
  <si>
    <t xml:space="preserve">クロンヌジャン</t>
  </si>
  <si>
    <t xml:space="preserve">サラサダンディー</t>
  </si>
  <si>
    <t xml:space="preserve">チアフルラン</t>
  </si>
  <si>
    <t xml:space="preserve">ニシノエビガタメ</t>
  </si>
  <si>
    <t xml:space="preserve">メイショウジンソウ</t>
  </si>
  <si>
    <t xml:space="preserve">メイショウナナシロ</t>
  </si>
  <si>
    <t xml:space="preserve">サンライズジャッジ</t>
  </si>
  <si>
    <t xml:space="preserve">レディトゥアタック</t>
  </si>
  <si>
    <t xml:space="preserve">カセノナユタ</t>
  </si>
  <si>
    <t xml:space="preserve">レッドバベル</t>
  </si>
  <si>
    <t xml:space="preserve">ジャッキーバローズ</t>
  </si>
  <si>
    <t xml:space="preserve">フォーシーファイン</t>
  </si>
  <si>
    <t xml:space="preserve">トゥロン</t>
  </si>
  <si>
    <t xml:space="preserve">ゴールデンオスカー</t>
  </si>
  <si>
    <t xml:space="preserve">スナッピードレッサ</t>
  </si>
  <si>
    <t xml:space="preserve">ランウインディ</t>
  </si>
  <si>
    <t xml:space="preserve">シゲルソロソロ</t>
  </si>
  <si>
    <t xml:space="preserve">ホワイトガーベラ</t>
  </si>
  <si>
    <t xml:space="preserve">スニーカースキル</t>
  </si>
  <si>
    <t xml:space="preserve">ニューオーリンズ</t>
  </si>
  <si>
    <t xml:space="preserve">ヴィリアリート</t>
  </si>
  <si>
    <t xml:space="preserve">ルシフェル</t>
  </si>
  <si>
    <t xml:space="preserve">レイズカイザー</t>
  </si>
  <si>
    <t xml:space="preserve">ナッカーフェイス</t>
  </si>
  <si>
    <t xml:space="preserve">ピエマンソン</t>
  </si>
  <si>
    <t xml:space="preserve">リサシテーション</t>
  </si>
  <si>
    <t xml:space="preserve">ヤマニンアストロン</t>
  </si>
  <si>
    <t xml:space="preserve">メイショウクリフト</t>
  </si>
  <si>
    <t xml:space="preserve">ケーブパール</t>
  </si>
  <si>
    <t xml:space="preserve">アンドゥーリル</t>
  </si>
  <si>
    <t xml:space="preserve">オールセインツ</t>
  </si>
  <si>
    <t xml:space="preserve">ミエスペランサ</t>
  </si>
  <si>
    <t xml:space="preserve">キングメーカー</t>
  </si>
  <si>
    <t xml:space="preserve">ハワイアンティアレ</t>
  </si>
  <si>
    <t xml:space="preserve">テラメリタ</t>
  </si>
  <si>
    <t xml:space="preserve">ノクナレア</t>
  </si>
  <si>
    <t xml:space="preserve">エポックヴィーナス</t>
  </si>
  <si>
    <t xml:space="preserve">ビルンバウム</t>
  </si>
  <si>
    <t xml:space="preserve">ボクマダネムイヨ</t>
  </si>
  <si>
    <t xml:space="preserve">メイケイロゼッタ</t>
  </si>
  <si>
    <t xml:space="preserve">ソウルアンドジャズ</t>
  </si>
  <si>
    <t xml:space="preserve">タガノマルアフ</t>
  </si>
  <si>
    <t xml:space="preserve">ビービークローサー</t>
  </si>
  <si>
    <t xml:space="preserve">レッドボブ</t>
  </si>
  <si>
    <t xml:space="preserve">バルダンツァ</t>
  </si>
  <si>
    <t xml:space="preserve">モナコブル</t>
  </si>
  <si>
    <t xml:space="preserve">メイショウカゼマチ</t>
  </si>
  <si>
    <t xml:space="preserve">クロライナ</t>
  </si>
  <si>
    <t xml:space="preserve">ソレルビュレット</t>
  </si>
  <si>
    <t xml:space="preserve">マルディランダ</t>
  </si>
  <si>
    <t xml:space="preserve">サトノドルチェ</t>
  </si>
  <si>
    <t xml:space="preserve">エターナルシルバー</t>
  </si>
  <si>
    <t xml:space="preserve">マーゴットデイズ</t>
  </si>
  <si>
    <t xml:space="preserve">リードプリンシパル</t>
  </si>
  <si>
    <t xml:space="preserve">ハウリングウィンド</t>
  </si>
  <si>
    <t xml:space="preserve">ヴィヴァシャス</t>
  </si>
  <si>
    <t xml:space="preserve">ケイアイマウンガ</t>
  </si>
  <si>
    <t xml:space="preserve">ルージュミステリオ</t>
  </si>
  <si>
    <t xml:space="preserve">ヴェルジーネ</t>
  </si>
  <si>
    <t xml:space="preserve">タイセイブロウ</t>
  </si>
  <si>
    <t xml:space="preserve">キンダープンシュ</t>
  </si>
  <si>
    <t xml:space="preserve">カフェノワール</t>
  </si>
  <si>
    <t xml:space="preserve">エコログロウ</t>
  </si>
  <si>
    <t xml:space="preserve">クインズセレネ</t>
  </si>
  <si>
    <t xml:space="preserve">プルメリアリノ</t>
  </si>
  <si>
    <t xml:space="preserve">アメリカンビーチ</t>
  </si>
  <si>
    <t xml:space="preserve">ジョードリウム</t>
  </si>
  <si>
    <t xml:space="preserve">シルバーリム</t>
  </si>
  <si>
    <t xml:space="preserve">エクリュ</t>
  </si>
  <si>
    <t xml:space="preserve">サムシングスイート</t>
  </si>
  <si>
    <t xml:space="preserve">カポレイラ</t>
  </si>
  <si>
    <t xml:space="preserve">ヴィスコンテッサ</t>
  </si>
  <si>
    <t xml:space="preserve">シェーラ</t>
  </si>
  <si>
    <t xml:space="preserve">ピカキウイ</t>
  </si>
  <si>
    <t xml:space="preserve">マーゴットレジーナ</t>
  </si>
  <si>
    <t xml:space="preserve">エイシンウィスパー</t>
  </si>
  <si>
    <t xml:space="preserve">サーディンラン</t>
  </si>
  <si>
    <t xml:space="preserve">ララファキュルテ</t>
  </si>
  <si>
    <t xml:space="preserve">キングケープ</t>
  </si>
  <si>
    <t xml:space="preserve">メイショウビストロ</t>
  </si>
  <si>
    <t xml:space="preserve">ヴォーカライズ</t>
  </si>
  <si>
    <t xml:space="preserve">パーシャングレー</t>
  </si>
  <si>
    <t xml:space="preserve">グレゴリオ</t>
  </si>
  <si>
    <t xml:space="preserve">パスコード</t>
  </si>
  <si>
    <t xml:space="preserve">サマーブリザード</t>
  </si>
  <si>
    <t xml:space="preserve">フォーエバーブルー</t>
  </si>
  <si>
    <t xml:space="preserve">ブレイヴアーサー</t>
  </si>
  <si>
    <t xml:space="preserve">クールストラッチン</t>
  </si>
  <si>
    <t xml:space="preserve">エバーメテオ</t>
  </si>
  <si>
    <t xml:space="preserve">アニエーネ</t>
  </si>
  <si>
    <t xml:space="preserve">シェーンリヒト</t>
  </si>
  <si>
    <t xml:space="preserve">ホウオウモノポリー</t>
  </si>
  <si>
    <t xml:space="preserve">コスモイェーガー</t>
  </si>
  <si>
    <t xml:space="preserve">テングカゼ</t>
  </si>
  <si>
    <t xml:space="preserve">セイウンサイフィー</t>
  </si>
  <si>
    <t xml:space="preserve">ピュアレスト</t>
  </si>
  <si>
    <t xml:space="preserve">マイネルサリーレ</t>
  </si>
  <si>
    <t xml:space="preserve">ラスティレッド</t>
  </si>
  <si>
    <t xml:space="preserve">ニシノアトール</t>
  </si>
  <si>
    <t xml:space="preserve">ボーデコール</t>
  </si>
  <si>
    <t xml:space="preserve">フジサンインフレ</t>
  </si>
  <si>
    <t xml:space="preserve">ノワールブレイブ</t>
  </si>
  <si>
    <t xml:space="preserve">ラフエルガ</t>
  </si>
  <si>
    <t xml:space="preserve">ヴォルールドクール</t>
  </si>
  <si>
    <t xml:space="preserve">ランドフォートレス</t>
  </si>
  <si>
    <t xml:space="preserve">ティーシュペランサ</t>
  </si>
  <si>
    <t xml:space="preserve">ニシノタカオ</t>
  </si>
  <si>
    <t xml:space="preserve">ウィルステート</t>
  </si>
  <si>
    <t xml:space="preserve">マルスフィス</t>
  </si>
  <si>
    <t xml:space="preserve">ノーセット</t>
  </si>
  <si>
    <t xml:space="preserve">サイモンオリエント</t>
  </si>
  <si>
    <t xml:space="preserve">ラヴトリガー</t>
  </si>
  <si>
    <t xml:space="preserve">セイカタカキヤチク</t>
  </si>
  <si>
    <t xml:space="preserve">ビーズスティンガー</t>
  </si>
  <si>
    <t xml:space="preserve">ヴォーチェカノーラ</t>
  </si>
  <si>
    <t xml:space="preserve">レディソフィア</t>
  </si>
  <si>
    <t xml:space="preserve">ハニーアンバー</t>
  </si>
  <si>
    <t xml:space="preserve">インチジオーネ</t>
  </si>
  <si>
    <t xml:space="preserve">ジュンサク</t>
  </si>
  <si>
    <t xml:space="preserve">フィクセルリリア</t>
  </si>
  <si>
    <t xml:space="preserve">ノアレジェンド</t>
  </si>
  <si>
    <t xml:space="preserve">イデアクリスタル</t>
  </si>
  <si>
    <t xml:space="preserve">アースアクシス</t>
  </si>
  <si>
    <t xml:space="preserve">ブルージンジャー</t>
  </si>
  <si>
    <t xml:space="preserve">バル</t>
  </si>
  <si>
    <t xml:space="preserve">レイズレガシー</t>
  </si>
  <si>
    <t xml:space="preserve">ヴィスクレス</t>
  </si>
  <si>
    <t xml:space="preserve">ジーティーニッツァ</t>
  </si>
  <si>
    <t xml:space="preserve">ペイシャダンシング</t>
  </si>
  <si>
    <t xml:space="preserve">シュンポシオン</t>
  </si>
  <si>
    <t xml:space="preserve">ロンバスブレス</t>
  </si>
  <si>
    <t xml:space="preserve">ヒラボクキャンティ</t>
  </si>
  <si>
    <t xml:space="preserve">ウィズアバウンス</t>
  </si>
  <si>
    <t xml:space="preserve">サクラドール</t>
  </si>
  <si>
    <t xml:space="preserve">ユキノサイエンス</t>
  </si>
  <si>
    <t xml:space="preserve">タイセイプランセス</t>
  </si>
  <si>
    <t xml:space="preserve">ホウオウトランプ</t>
  </si>
  <si>
    <t xml:space="preserve">セイロンジェムズ</t>
  </si>
  <si>
    <t xml:space="preserve">クラッシファイド</t>
  </si>
  <si>
    <t xml:space="preserve">コスモスプモーニ</t>
  </si>
  <si>
    <t xml:space="preserve">エリカアンディーヴ</t>
  </si>
  <si>
    <t xml:space="preserve">ツルマウカタチ</t>
  </si>
  <si>
    <t xml:space="preserve">リカントロポ</t>
  </si>
  <si>
    <t xml:space="preserve">コンフォルツァ</t>
  </si>
  <si>
    <t xml:space="preserve">スピンザブラッド</t>
  </si>
  <si>
    <t xml:space="preserve">ミーントゥビー</t>
  </si>
  <si>
    <t xml:space="preserve">ベルダイナフェロー</t>
  </si>
  <si>
    <t xml:space="preserve">アラレタバシル</t>
  </si>
  <si>
    <t xml:space="preserve">エイブラムス</t>
  </si>
  <si>
    <t xml:space="preserve">サンセットブライト</t>
  </si>
  <si>
    <t xml:space="preserve">アデランテ</t>
  </si>
  <si>
    <t xml:space="preserve">ペンナヴェローチェ</t>
  </si>
  <si>
    <t xml:space="preserve">ゲンパチムサシ</t>
  </si>
  <si>
    <t xml:space="preserve">ブルータス</t>
  </si>
  <si>
    <t xml:space="preserve">レイバックスピン</t>
  </si>
  <si>
    <t xml:space="preserve">クロニクル</t>
  </si>
  <si>
    <t xml:space="preserve">カフェニクス</t>
  </si>
  <si>
    <t xml:space="preserve">ショウサンジョージ</t>
  </si>
  <si>
    <t xml:space="preserve">オレデイイノカ</t>
  </si>
  <si>
    <t xml:space="preserve">ベルウッドクレド</t>
  </si>
  <si>
    <t xml:space="preserve">エマージェンス</t>
  </si>
  <si>
    <t xml:space="preserve">ディアアズール</t>
  </si>
  <si>
    <t xml:space="preserve">ウィロークリーク</t>
  </si>
  <si>
    <t xml:space="preserve">リアライズルミナス</t>
  </si>
  <si>
    <t xml:space="preserve">ティラーノ</t>
  </si>
  <si>
    <t xml:space="preserve">ブリックンクリック</t>
  </si>
  <si>
    <t xml:space="preserve">グランルチャドール</t>
  </si>
  <si>
    <t xml:space="preserve">トモジャシーマ</t>
  </si>
  <si>
    <t xml:space="preserve">ホウオウルクソール</t>
  </si>
  <si>
    <t xml:space="preserve">デルマエアロール</t>
  </si>
  <si>
    <t xml:space="preserve">クラシオン</t>
  </si>
  <si>
    <t xml:space="preserve">フィールマイプラン</t>
  </si>
  <si>
    <t xml:space="preserve">アカツキロットリー</t>
  </si>
  <si>
    <t xml:space="preserve">グッドヴァイブス</t>
  </si>
  <si>
    <t xml:space="preserve">エアサロメ</t>
  </si>
  <si>
    <t xml:space="preserve">ノーブルミステリー</t>
  </si>
  <si>
    <t xml:space="preserve">ガルディーノ</t>
  </si>
  <si>
    <t xml:space="preserve">アルマーレシチー</t>
  </si>
  <si>
    <t xml:space="preserve">ノースブルースカイ</t>
  </si>
  <si>
    <t xml:space="preserve">タマモブレイキン</t>
  </si>
  <si>
    <t xml:space="preserve">タニセンローマ</t>
  </si>
  <si>
    <t xml:space="preserve">イネガラーブル</t>
  </si>
  <si>
    <t xml:space="preserve">ダイヒョウカーク</t>
  </si>
  <si>
    <t xml:space="preserve">ゼンノスタニング</t>
  </si>
  <si>
    <t xml:space="preserve">デアトゥノウ</t>
  </si>
  <si>
    <t xml:space="preserve">クリアーゲイル</t>
  </si>
  <si>
    <t xml:space="preserve">ニュークリアス</t>
  </si>
  <si>
    <t xml:space="preserve">ノクターナルハント</t>
  </si>
  <si>
    <t xml:space="preserve">ヴェニゼロス</t>
  </si>
  <si>
    <t xml:space="preserve">ジワタネホ</t>
  </si>
  <si>
    <t xml:space="preserve">フュチュール</t>
  </si>
  <si>
    <t xml:space="preserve">クイーンアン</t>
  </si>
  <si>
    <t xml:space="preserve">ティンブロポップ</t>
  </si>
  <si>
    <t xml:space="preserve">ケープティアラ</t>
  </si>
  <si>
    <t xml:space="preserve">アニゴザントス</t>
  </si>
  <si>
    <t xml:space="preserve">ラスターヴァース</t>
  </si>
  <si>
    <t xml:space="preserve">ヤマニンジェンナ</t>
  </si>
  <si>
    <t xml:space="preserve">パルミエ</t>
  </si>
  <si>
    <t xml:space="preserve">ウラヌスリング</t>
  </si>
  <si>
    <t xml:space="preserve">タイキオーベロン</t>
  </si>
  <si>
    <t xml:space="preserve">カシオペア</t>
  </si>
  <si>
    <t xml:space="preserve">レモンバーム</t>
  </si>
  <si>
    <t xml:space="preserve">ロードストラダーレ</t>
  </si>
  <si>
    <t xml:space="preserve">ヤマニンアレシス</t>
  </si>
  <si>
    <t xml:space="preserve">アルデバローズ</t>
  </si>
  <si>
    <t xml:space="preserve">フェアリーキャット</t>
  </si>
  <si>
    <t xml:space="preserve">アトラップモア</t>
  </si>
  <si>
    <t xml:space="preserve">サンタクローチェ</t>
  </si>
  <si>
    <t xml:space="preserve">ペルヴォルム</t>
  </si>
  <si>
    <t xml:space="preserve">ブルーアンビエンス</t>
  </si>
  <si>
    <t xml:space="preserve">エボニードール</t>
  </si>
  <si>
    <t xml:space="preserve">アルジェンタム</t>
  </si>
  <si>
    <t xml:space="preserve">アンタレス</t>
  </si>
  <si>
    <t xml:space="preserve">ドーギッド</t>
  </si>
  <si>
    <t xml:space="preserve">エイカイカッシーナ</t>
  </si>
  <si>
    <t xml:space="preserve">ブルースカイブルー</t>
  </si>
  <si>
    <t xml:space="preserve">ゴールドジェスター</t>
  </si>
  <si>
    <t xml:space="preserve">ミリオンクラウン</t>
  </si>
  <si>
    <t xml:space="preserve">エイトスターズ</t>
  </si>
  <si>
    <t xml:space="preserve">マイネルマスター</t>
  </si>
  <si>
    <t xml:space="preserve">イントゥーザブルー</t>
  </si>
  <si>
    <t xml:space="preserve">ハイランドウインド</t>
  </si>
  <si>
    <t xml:space="preserve">ギャルズマインド</t>
  </si>
  <si>
    <t xml:space="preserve">インワンズブラッド</t>
  </si>
  <si>
    <t xml:space="preserve">ティアラード</t>
  </si>
  <si>
    <t xml:space="preserve">ベニドルム</t>
  </si>
  <si>
    <t xml:space="preserve">ブルージェイ</t>
  </si>
  <si>
    <t xml:space="preserve">ジューンルル</t>
  </si>
  <si>
    <t xml:space="preserve">アワードリームス</t>
  </si>
  <si>
    <t xml:space="preserve">オーシンヒマワリ</t>
  </si>
  <si>
    <t xml:space="preserve">セールデュクール</t>
  </si>
  <si>
    <t xml:space="preserve">スクレイプバイ</t>
  </si>
  <si>
    <t xml:space="preserve">ヒルノバルデス</t>
  </si>
  <si>
    <t xml:space="preserve">エスカレイト</t>
  </si>
  <si>
    <t xml:space="preserve">ウーマンズパワー</t>
  </si>
  <si>
    <t xml:space="preserve">ハヤテノオジョー</t>
  </si>
  <si>
    <t xml:space="preserve">ライフイズカラフル</t>
  </si>
  <si>
    <t xml:space="preserve">サトノフレア</t>
  </si>
  <si>
    <t xml:space="preserve">エタンセル</t>
  </si>
  <si>
    <t xml:space="preserve">デルマホダカ</t>
  </si>
  <si>
    <t xml:space="preserve">エスシービクトリア</t>
  </si>
  <si>
    <t xml:space="preserve">ロードスカイブルー</t>
  </si>
  <si>
    <t xml:space="preserve">サマーナイト</t>
  </si>
  <si>
    <t xml:space="preserve">タイキインドラ</t>
  </si>
  <si>
    <t xml:space="preserve">メイショウコシュウ</t>
  </si>
  <si>
    <t xml:space="preserve">ウインアクトゥール</t>
  </si>
  <si>
    <t xml:space="preserve">ジョイエッロ</t>
  </si>
  <si>
    <t xml:space="preserve">イヌボウノウタゴエ</t>
  </si>
  <si>
    <t xml:space="preserve">ダノンプレサージュ</t>
  </si>
  <si>
    <t xml:space="preserve">オーケーダイナ</t>
  </si>
  <si>
    <t xml:space="preserve">ハヤブササキチャン</t>
  </si>
  <si>
    <t xml:space="preserve">ユーティジャーニー</t>
  </si>
  <si>
    <t xml:space="preserve">ルールザウェイヴ</t>
  </si>
  <si>
    <t xml:space="preserve">ホワイトオーキッド</t>
  </si>
  <si>
    <t xml:space="preserve">アンディムジーク</t>
  </si>
  <si>
    <t xml:space="preserve">ヴェガリア</t>
  </si>
  <si>
    <t xml:space="preserve">スピナーリート</t>
  </si>
  <si>
    <t xml:space="preserve">クレバーテースト</t>
  </si>
  <si>
    <t xml:space="preserve">チルカーノ</t>
  </si>
  <si>
    <t xml:space="preserve">エンドロール</t>
  </si>
  <si>
    <t xml:space="preserve">ハニーコム</t>
  </si>
  <si>
    <t xml:space="preserve">キャントウェイト</t>
  </si>
  <si>
    <t xml:space="preserve">ヨヒーン</t>
  </si>
  <si>
    <t xml:space="preserve">エルフストラック</t>
  </si>
  <si>
    <t xml:space="preserve">ディヴァインスター</t>
  </si>
  <si>
    <t xml:space="preserve">エゾダイモン</t>
  </si>
  <si>
    <t xml:space="preserve">ディーガレジェンド</t>
  </si>
  <si>
    <t xml:space="preserve">ハヤブサオヒメサマ</t>
  </si>
  <si>
    <t xml:space="preserve">カスバートテソーロ</t>
  </si>
  <si>
    <t xml:space="preserve">エーリアル</t>
  </si>
  <si>
    <t xml:space="preserve">グラディオール</t>
  </si>
  <si>
    <t xml:space="preserve">オーロアルジェント</t>
  </si>
  <si>
    <t xml:space="preserve">メイショウプレマ</t>
  </si>
  <si>
    <t xml:space="preserve">ビクスバイト</t>
  </si>
  <si>
    <t xml:space="preserve">ハギノデュア</t>
  </si>
  <si>
    <t xml:space="preserve">レーヴドリュヌ</t>
  </si>
  <si>
    <t xml:space="preserve">ワンダーデリエール</t>
  </si>
  <si>
    <t xml:space="preserve">ノチェブエナ</t>
  </si>
  <si>
    <t xml:space="preserve">ノブレスラブリエ</t>
  </si>
  <si>
    <t xml:space="preserve">フィールライクユー</t>
  </si>
  <si>
    <t xml:space="preserve">テンダーワーズ</t>
  </si>
  <si>
    <t xml:space="preserve">ルーチェブリラーレ</t>
  </si>
  <si>
    <t xml:space="preserve">サンライズエイト</t>
  </si>
  <si>
    <t xml:space="preserve">アントラヴァースト</t>
  </si>
  <si>
    <t xml:space="preserve">ラッキーハナコ</t>
  </si>
  <si>
    <t xml:space="preserve">ファンビッチャン</t>
  </si>
  <si>
    <t xml:space="preserve">オーリエイト</t>
  </si>
  <si>
    <t xml:space="preserve">イツマデモマツワ</t>
  </si>
  <si>
    <t xml:space="preserve">ハイウェイワン</t>
  </si>
  <si>
    <t xml:space="preserve">エコログレイス</t>
  </si>
  <si>
    <t xml:space="preserve">ムーンパッセ</t>
  </si>
  <si>
    <t xml:space="preserve">トゥーレジット</t>
  </si>
  <si>
    <t xml:space="preserve">アレオクール</t>
  </si>
  <si>
    <t xml:space="preserve">サウンドファイト</t>
  </si>
  <si>
    <t xml:space="preserve">ヤマトクオーレ</t>
  </si>
  <si>
    <t xml:space="preserve">ベルコート</t>
  </si>
  <si>
    <t xml:space="preserve">ミライノシャチョウ</t>
  </si>
  <si>
    <t xml:space="preserve">スーサンコルティナ</t>
  </si>
  <si>
    <t xml:space="preserve">リボンロゼッタ</t>
  </si>
  <si>
    <t xml:space="preserve">ジーティーマンフク</t>
  </si>
  <si>
    <t xml:space="preserve">アステルディーヴァ</t>
  </si>
  <si>
    <t xml:space="preserve">ラジャブルック</t>
  </si>
  <si>
    <t xml:space="preserve">リアライズガイザー</t>
  </si>
  <si>
    <t xml:space="preserve">グラマラス</t>
  </si>
  <si>
    <t xml:space="preserve">ザキノフレンズ</t>
  </si>
  <si>
    <t xml:space="preserve">チョウスター</t>
  </si>
  <si>
    <t xml:space="preserve">ビービーシナジー</t>
  </si>
  <si>
    <t xml:space="preserve">マクアケ</t>
  </si>
  <si>
    <t xml:space="preserve">プレデンシア</t>
  </si>
  <si>
    <t xml:space="preserve">マルカスマッシュ</t>
  </si>
  <si>
    <t xml:space="preserve">ナムラロダン</t>
  </si>
  <si>
    <t xml:space="preserve">ジーティーリボーン</t>
  </si>
  <si>
    <t xml:space="preserve">デールエルバハリ</t>
  </si>
  <si>
    <t xml:space="preserve">シャンパンスター</t>
  </si>
  <si>
    <t xml:space="preserve">アーデルリーベ</t>
  </si>
  <si>
    <t xml:space="preserve">シャフメラン</t>
  </si>
  <si>
    <t xml:space="preserve">クイーンズホリデー</t>
  </si>
  <si>
    <t xml:space="preserve">シャンドラテ</t>
  </si>
  <si>
    <t xml:space="preserve">スターウェーブ</t>
  </si>
  <si>
    <t xml:space="preserve">エイヨーアメジスト</t>
  </si>
  <si>
    <t xml:space="preserve">トライアンフパス</t>
  </si>
  <si>
    <t xml:space="preserve">アイニードユー</t>
  </si>
  <si>
    <t xml:space="preserve">ロンドボス</t>
  </si>
  <si>
    <t xml:space="preserve">トミーバローズ</t>
  </si>
  <si>
    <t xml:space="preserve">タガノアンファン</t>
  </si>
  <si>
    <t xml:space="preserve">キャッスルレイク</t>
  </si>
  <si>
    <t xml:space="preserve">ブレイクフォース</t>
  </si>
  <si>
    <t xml:space="preserve">マリオロード</t>
  </si>
  <si>
    <t xml:space="preserve">タイトニット</t>
  </si>
  <si>
    <t xml:space="preserve">ソーニーイシュー</t>
  </si>
  <si>
    <t xml:space="preserve">サイモンザナドゥ</t>
  </si>
  <si>
    <t xml:space="preserve">ゼットリアン</t>
  </si>
  <si>
    <t xml:space="preserve">クールミラボー</t>
  </si>
  <si>
    <t xml:space="preserve">セルヴァンス</t>
  </si>
  <si>
    <t xml:space="preserve">ウィップスティッチ</t>
  </si>
  <si>
    <t xml:space="preserve">ルクスレイモンド</t>
  </si>
  <si>
    <t xml:space="preserve">シルフズミスチーフ</t>
  </si>
  <si>
    <t xml:space="preserve">フレイミングパイ</t>
  </si>
  <si>
    <t xml:space="preserve">カツラノキサノキ</t>
  </si>
  <si>
    <t xml:space="preserve">ガイ</t>
  </si>
  <si>
    <t xml:space="preserve">オンクラウドナイン</t>
  </si>
  <si>
    <t xml:space="preserve">テーオーレガシー</t>
  </si>
  <si>
    <t xml:space="preserve">ゴールデンステップ</t>
  </si>
  <si>
    <t xml:space="preserve">メラーキ</t>
  </si>
  <si>
    <t xml:space="preserve">サスツルギ</t>
  </si>
  <si>
    <t xml:space="preserve">ロックバンド</t>
  </si>
  <si>
    <t xml:space="preserve">ドメイン</t>
  </si>
  <si>
    <t xml:space="preserve">エクストラプッシュ</t>
  </si>
  <si>
    <t xml:space="preserve">スターシップ</t>
  </si>
  <si>
    <t xml:space="preserve">オーレアミスト</t>
  </si>
  <si>
    <t xml:space="preserve">カイラーサ</t>
  </si>
  <si>
    <t xml:space="preserve">ジーティーパワー</t>
  </si>
  <si>
    <t xml:space="preserve">アメリカンイズム</t>
  </si>
  <si>
    <t xml:space="preserve">エコロスパーダ</t>
  </si>
  <si>
    <t xml:space="preserve">ブームバップビート</t>
  </si>
  <si>
    <t xml:space="preserve">スナークシャラク</t>
  </si>
  <si>
    <t xml:space="preserve">ロックウイズユー</t>
  </si>
  <si>
    <t xml:space="preserve">メイショウアゴナス</t>
  </si>
  <si>
    <t xml:space="preserve">ビップヴォルフ</t>
  </si>
  <si>
    <t xml:space="preserve">メイショウナルカミ</t>
  </si>
  <si>
    <t xml:space="preserve">アルジェンテーラ</t>
  </si>
  <si>
    <t xml:space="preserve">カフラー</t>
  </si>
  <si>
    <t xml:space="preserve">ホウオウスカイハイ</t>
  </si>
  <si>
    <t xml:space="preserve">モカプウイング</t>
  </si>
  <si>
    <t xml:space="preserve">ハピネスサンライズ</t>
  </si>
  <si>
    <t xml:space="preserve">フィアレスウィル</t>
  </si>
  <si>
    <t xml:space="preserve">ルージュエテルナ</t>
  </si>
  <si>
    <t xml:space="preserve">アラビアンジョイ</t>
  </si>
  <si>
    <t xml:space="preserve">エールドリー</t>
  </si>
  <si>
    <t xml:space="preserve">モンシーク</t>
  </si>
  <si>
    <t xml:space="preserve">ホワイトフレアー</t>
  </si>
  <si>
    <t xml:space="preserve">ヴェントリナ</t>
  </si>
  <si>
    <t xml:space="preserve">ノドゥス</t>
  </si>
  <si>
    <t xml:space="preserve">デザートスピリット</t>
  </si>
  <si>
    <t xml:space="preserve">ウィールズアップ</t>
  </si>
  <si>
    <t xml:space="preserve">ライングラウス</t>
  </si>
  <si>
    <t xml:space="preserve">ステラガーネット</t>
  </si>
  <si>
    <t xml:space="preserve">ゼノスフィア</t>
  </si>
  <si>
    <t xml:space="preserve">ヴィシーチェック</t>
  </si>
  <si>
    <t xml:space="preserve">リーチツモドライチ</t>
  </si>
  <si>
    <t xml:space="preserve">ラインホルト</t>
  </si>
  <si>
    <t xml:space="preserve">コウユーキミガイテ</t>
  </si>
  <si>
    <t xml:space="preserve">ヌンエリン</t>
  </si>
  <si>
    <t xml:space="preserve">イチザサンダー</t>
  </si>
  <si>
    <t xml:space="preserve">テンユメノオーロラ</t>
  </si>
  <si>
    <t xml:space="preserve">サスケソルトバーン</t>
  </si>
  <si>
    <t xml:space="preserve">グランシュレーム</t>
  </si>
  <si>
    <t xml:space="preserve">ベールダウン</t>
  </si>
  <si>
    <t xml:space="preserve">レーゲンシャウアー</t>
  </si>
  <si>
    <t xml:space="preserve">クラオルグジェシダ</t>
  </si>
  <si>
    <t xml:space="preserve">ペアレンツハート</t>
  </si>
  <si>
    <t xml:space="preserve">ファーストアライヴ</t>
  </si>
  <si>
    <t xml:space="preserve">ビスクヴィート</t>
  </si>
  <si>
    <t xml:space="preserve">マイネルリシャール</t>
  </si>
  <si>
    <t xml:space="preserve">コイゾラ</t>
  </si>
  <si>
    <t xml:space="preserve">スカーレットクラン</t>
  </si>
  <si>
    <t xml:space="preserve">アンドレイア</t>
  </si>
  <si>
    <t xml:space="preserve">ヴァルフォース</t>
  </si>
  <si>
    <t xml:space="preserve">コンフィアル</t>
  </si>
  <si>
    <t xml:space="preserve">ニシノトラノスケ</t>
  </si>
  <si>
    <t xml:space="preserve">チャリティチャリス</t>
  </si>
  <si>
    <t xml:space="preserve">グランフィエスタ</t>
  </si>
  <si>
    <t xml:space="preserve">ツインドライヴ</t>
  </si>
  <si>
    <t xml:space="preserve">カミカクシ</t>
  </si>
  <si>
    <t xml:space="preserve">ヤマメナイト</t>
  </si>
  <si>
    <t xml:space="preserve">サトノクラシカル</t>
  </si>
  <si>
    <t xml:space="preserve">ネイティヴプライド</t>
  </si>
  <si>
    <t xml:space="preserve">グラムエッジ</t>
  </si>
  <si>
    <t xml:space="preserve">ウォーレーションズ</t>
  </si>
  <si>
    <t xml:space="preserve">アルティシエル</t>
  </si>
  <si>
    <t xml:space="preserve">ナイトバード</t>
  </si>
  <si>
    <t xml:space="preserve">ラグアイリータ</t>
  </si>
  <si>
    <t xml:space="preserve">チルチャンプ</t>
  </si>
  <si>
    <t xml:space="preserve">エクストラダーク</t>
  </si>
  <si>
    <t xml:space="preserve">イバラヒメ</t>
  </si>
  <si>
    <t xml:space="preserve">レーザーキック</t>
  </si>
  <si>
    <t xml:space="preserve">ビップマリク</t>
  </si>
  <si>
    <t xml:space="preserve">カルダモン</t>
  </si>
  <si>
    <t xml:space="preserve">ニシノトップダノン</t>
  </si>
  <si>
    <t xml:space="preserve">テンノルーキー</t>
  </si>
  <si>
    <t xml:space="preserve">フキョウワオン</t>
  </si>
  <si>
    <t xml:space="preserve">ブレトワルダ</t>
  </si>
  <si>
    <t xml:space="preserve">カレンワッツアップ</t>
  </si>
  <si>
    <t xml:space="preserve">シーニックビュー</t>
  </si>
  <si>
    <t xml:space="preserve">マッドゲイル</t>
  </si>
  <si>
    <t xml:space="preserve">ナイトスラッガー</t>
  </si>
  <si>
    <t xml:space="preserve">ヘリオトロープ</t>
  </si>
  <si>
    <t xml:space="preserve">ルーラーリッチ</t>
  </si>
  <si>
    <t xml:space="preserve">セザンワールド</t>
  </si>
  <si>
    <t xml:space="preserve">フクチャントウメイ</t>
  </si>
  <si>
    <t xml:space="preserve">フィールオーサム</t>
  </si>
  <si>
    <t xml:space="preserve">ニシノケンタマン</t>
  </si>
  <si>
    <t xml:space="preserve">エリカヴェネチア</t>
  </si>
  <si>
    <t xml:space="preserve">スプレーフォール</t>
  </si>
  <si>
    <t xml:space="preserve">ロードソルスティス</t>
  </si>
  <si>
    <t xml:space="preserve">ウイングレイテスト</t>
  </si>
  <si>
    <t xml:space="preserve">デュガ</t>
  </si>
  <si>
    <t xml:space="preserve">ミカッテヨンデイイ</t>
  </si>
  <si>
    <t xml:space="preserve">カウスリップ</t>
  </si>
  <si>
    <t xml:space="preserve">ピューロマジック</t>
  </si>
  <si>
    <t xml:space="preserve">バグラダス</t>
  </si>
  <si>
    <t xml:space="preserve">シュラフ</t>
  </si>
  <si>
    <t xml:space="preserve">エコロレジーナ</t>
  </si>
  <si>
    <t xml:space="preserve">テイエムスパーダ</t>
  </si>
  <si>
    <t xml:space="preserve">ブーケファロス</t>
  </si>
  <si>
    <t xml:space="preserve">アメリカンステージ</t>
  </si>
  <si>
    <t xml:space="preserve">ビッグシーザー</t>
  </si>
  <si>
    <t xml:space="preserve">キアラメンテ</t>
  </si>
  <si>
    <t xml:space="preserve">ガーヴィ</t>
  </si>
  <si>
    <t xml:space="preserve">シアブリス</t>
  </si>
  <si>
    <t xml:space="preserve">ファストフォワード</t>
  </si>
  <si>
    <t xml:space="preserve">トランスマーレ</t>
  </si>
  <si>
    <t xml:space="preserve">ゴバド</t>
  </si>
  <si>
    <t xml:space="preserve">リポサンテ</t>
  </si>
  <si>
    <t xml:space="preserve">ノーザンタイタン</t>
  </si>
  <si>
    <t xml:space="preserve">ミエノフェアリー</t>
  </si>
  <si>
    <t xml:space="preserve">ウリズンベー</t>
  </si>
  <si>
    <t xml:space="preserve">ウーバーストロング</t>
  </si>
  <si>
    <t xml:space="preserve">サトノラポール</t>
  </si>
  <si>
    <t xml:space="preserve">メディチパワー</t>
  </si>
  <si>
    <t xml:space="preserve">イーグルロック</t>
  </si>
  <si>
    <t xml:space="preserve">タニセンドリーム</t>
  </si>
  <si>
    <t xml:space="preserve">サトノフェンサー</t>
  </si>
  <si>
    <t xml:space="preserve">サトノシャムロック</t>
  </si>
  <si>
    <t xml:space="preserve">セントゴーデンス</t>
  </si>
  <si>
    <t xml:space="preserve">ベルウッドピース</t>
  </si>
  <si>
    <t xml:space="preserve">カシノスパーク</t>
  </si>
  <si>
    <t xml:space="preserve">チームユートピア</t>
  </si>
  <si>
    <t xml:space="preserve">ベルヴィヴァン</t>
  </si>
  <si>
    <t xml:space="preserve">マオノクラッシュ</t>
  </si>
  <si>
    <t xml:space="preserve">レディサン</t>
  </si>
  <si>
    <t xml:space="preserve">ローズブーケ</t>
  </si>
  <si>
    <t xml:space="preserve">アイアンソリッド</t>
  </si>
  <si>
    <t xml:space="preserve">フュルスティン</t>
  </si>
  <si>
    <t xml:space="preserve">ビアフォーナウ</t>
  </si>
  <si>
    <t xml:space="preserve">レゲンデ</t>
  </si>
  <si>
    <t xml:space="preserve">セイウンアインス</t>
  </si>
  <si>
    <t xml:space="preserve">ハヌル</t>
  </si>
  <si>
    <t xml:space="preserve">ゴールドシャーク</t>
  </si>
  <si>
    <t xml:space="preserve">キコリータ</t>
  </si>
  <si>
    <t xml:space="preserve">レッドリファインド</t>
  </si>
  <si>
    <t xml:space="preserve">コスモアミュレット</t>
  </si>
  <si>
    <t xml:space="preserve">タイキヴィグルーズ</t>
  </si>
  <si>
    <t xml:space="preserve">ジーティーホクサイ</t>
  </si>
  <si>
    <t xml:space="preserve">カムバックトゥミー</t>
  </si>
  <si>
    <t xml:space="preserve">フォンドルレール</t>
  </si>
  <si>
    <t xml:space="preserve">ノブステップ</t>
  </si>
  <si>
    <t xml:space="preserve">アラムベイ</t>
  </si>
  <si>
    <t xml:space="preserve">ベルバード</t>
  </si>
  <si>
    <t xml:space="preserve">エイシンイクサボシ</t>
  </si>
  <si>
    <t xml:space="preserve">ノベンバーベイズ</t>
  </si>
  <si>
    <t xml:space="preserve">ゴッドレイ</t>
  </si>
  <si>
    <t xml:space="preserve">セレスティアハート</t>
  </si>
  <si>
    <t xml:space="preserve">モントーヤ</t>
  </si>
  <si>
    <t xml:space="preserve">ヤマカンドリーミン</t>
  </si>
  <si>
    <t xml:space="preserve">ピコバレット</t>
  </si>
  <si>
    <t xml:space="preserve">シャインアルプス</t>
  </si>
  <si>
    <t xml:space="preserve">ペルシアーノ</t>
  </si>
  <si>
    <t xml:space="preserve">ブロッコロ</t>
  </si>
  <si>
    <t xml:space="preserve">ホウオウパーソンズ</t>
  </si>
  <si>
    <t xml:space="preserve">ヒマラヤミュサ</t>
  </si>
  <si>
    <t xml:space="preserve">ローゾフィア</t>
  </si>
  <si>
    <t xml:space="preserve">クルサール</t>
  </si>
  <si>
    <t xml:space="preserve">レーヌペスカ</t>
  </si>
  <si>
    <t xml:space="preserve">スカイピア</t>
  </si>
  <si>
    <t xml:space="preserve">ニシノマーレ</t>
  </si>
  <si>
    <t xml:space="preserve">シーシェル</t>
  </si>
  <si>
    <t xml:space="preserve">モンテール</t>
  </si>
  <si>
    <t xml:space="preserve">ロックフラワー</t>
  </si>
  <si>
    <t xml:space="preserve">ポセイドンテソーロ</t>
  </si>
  <si>
    <t xml:space="preserve">ミアエッテ</t>
  </si>
  <si>
    <t xml:space="preserve">ショウナンバーボン</t>
  </si>
  <si>
    <t xml:space="preserve">アトリ</t>
  </si>
  <si>
    <t xml:space="preserve">メイショウタダツグ</t>
  </si>
  <si>
    <t xml:space="preserve">ヘリオポリス</t>
  </si>
  <si>
    <t xml:space="preserve">イントゥゴールデン</t>
  </si>
  <si>
    <t xml:space="preserve">エナジーショット</t>
  </si>
  <si>
    <t xml:space="preserve">クオンタムスター</t>
  </si>
  <si>
    <t xml:space="preserve">ランブリングマン</t>
  </si>
  <si>
    <t xml:space="preserve">ニヒトツーゼーア</t>
  </si>
  <si>
    <t xml:space="preserve">ジューンガレン</t>
  </si>
  <si>
    <t xml:space="preserve">ホウオウプレマ</t>
  </si>
  <si>
    <t xml:space="preserve">オンザボー</t>
  </si>
  <si>
    <t xml:space="preserve">スワッグウォーク</t>
  </si>
  <si>
    <t xml:space="preserve">サーギュスターヴ</t>
  </si>
  <si>
    <t xml:space="preserve">ボンジュールパリ</t>
  </si>
  <si>
    <t xml:space="preserve">ロゼプレミア</t>
  </si>
  <si>
    <t xml:space="preserve">チャームジュネーヴ</t>
  </si>
  <si>
    <t xml:space="preserve">デルマハッコウダ</t>
  </si>
  <si>
    <t xml:space="preserve">グラブザクラウン</t>
  </si>
  <si>
    <t xml:space="preserve">アスクガンバーレ</t>
  </si>
  <si>
    <t xml:space="preserve">ロードアマルフィ</t>
  </si>
  <si>
    <t xml:space="preserve">ココデイック</t>
  </si>
  <si>
    <t xml:space="preserve">ステラデルークス</t>
  </si>
  <si>
    <t xml:space="preserve">ゼルダ</t>
  </si>
  <si>
    <t xml:space="preserve">セイントホース</t>
  </si>
  <si>
    <t xml:space="preserve">カフジクロミエ</t>
  </si>
  <si>
    <t xml:space="preserve">アイアムコロンブス</t>
  </si>
  <si>
    <t xml:space="preserve">フォーティンブラス</t>
  </si>
  <si>
    <t xml:space="preserve">グレートスティック</t>
  </si>
  <si>
    <t xml:space="preserve">ブライアーヒル</t>
  </si>
  <si>
    <t xml:space="preserve">アースコーリング</t>
  </si>
  <si>
    <t xml:space="preserve">ベニシア</t>
  </si>
  <si>
    <t xml:space="preserve">ララアヴリル</t>
  </si>
  <si>
    <t xml:space="preserve">アイアムイチバン</t>
  </si>
  <si>
    <t xml:space="preserve">クインズシフォン</t>
  </si>
  <si>
    <t xml:space="preserve">サムシャイン</t>
  </si>
  <si>
    <t xml:space="preserve">キュールエフウジン</t>
  </si>
  <si>
    <t xml:space="preserve">チャーリー</t>
  </si>
  <si>
    <t xml:space="preserve">スマートカイロス</t>
  </si>
  <si>
    <t xml:space="preserve">フルールドール</t>
  </si>
  <si>
    <t xml:space="preserve">フレミングフープ</t>
  </si>
  <si>
    <t xml:space="preserve">アンゴラブラック</t>
  </si>
  <si>
    <t xml:space="preserve">クリノメイ</t>
  </si>
  <si>
    <t xml:space="preserve">ココナッツブラウン</t>
  </si>
  <si>
    <t xml:space="preserve">エリカエクスプレス</t>
  </si>
  <si>
    <t xml:space="preserve">フェスティバルヒル</t>
  </si>
  <si>
    <t xml:space="preserve">コガネノソラ</t>
  </si>
  <si>
    <t xml:space="preserve">ボンドガール</t>
  </si>
  <si>
    <t xml:space="preserve">ルージュソリテール</t>
  </si>
  <si>
    <t xml:space="preserve">マテンロウサン</t>
  </si>
  <si>
    <t xml:space="preserve">ピースフルナイト</t>
  </si>
  <si>
    <t xml:space="preserve">阪神</t>
  </si>
  <si>
    <t xml:space="preserve">ドレアンティア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</si>
  <si>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＋色順位検算・空欄補完／公式結果突合／着順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</si>
  <si>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アパレイユ</t>
  </si>
  <si>
    <t xml:space="preserve">ビスケットアソート</t>
  </si>
  <si>
    <t xml:space="preserve">エイシンマールス</t>
  </si>
  <si>
    <t xml:space="preserve">ラッキーバック</t>
  </si>
  <si>
    <t xml:space="preserve">ゴッドカインド</t>
  </si>
  <si>
    <t xml:space="preserve">エブリデイ</t>
  </si>
  <si>
    <t xml:space="preserve">グディンナ</t>
  </si>
  <si>
    <t xml:space="preserve">ジェルソミーノ</t>
  </si>
  <si>
    <t xml:space="preserve">サリーチェ</t>
  </si>
  <si>
    <t xml:space="preserve">アーリーハーベスト</t>
  </si>
  <si>
    <t xml:space="preserve">コニーアイランド</t>
  </si>
  <si>
    <t xml:space="preserve">リオンプライム</t>
  </si>
  <si>
    <t xml:space="preserve">ベルシュヴァル</t>
  </si>
  <si>
    <t xml:space="preserve">ステラクラウン</t>
  </si>
  <si>
    <t xml:space="preserve">ロードガレリア</t>
  </si>
  <si>
    <t xml:space="preserve">ミカエルパシャ</t>
  </si>
  <si>
    <t xml:space="preserve">カリーニョ</t>
  </si>
  <si>
    <t xml:space="preserve">ラーテル</t>
  </si>
  <si>
    <t xml:space="preserve">エコテーラー</t>
  </si>
  <si>
    <t xml:space="preserve">トウカイポワール</t>
  </si>
  <si>
    <t xml:space="preserve">アークドール</t>
  </si>
  <si>
    <t xml:space="preserve">ヒロノラメール</t>
  </si>
  <si>
    <t xml:space="preserve">ルクスフレンジー</t>
  </si>
  <si>
    <t xml:space="preserve">タマモキャリコ</t>
  </si>
  <si>
    <t xml:space="preserve">パシアンジャン</t>
  </si>
  <si>
    <t xml:space="preserve">アカデミア</t>
  </si>
  <si>
    <t xml:space="preserve">ロフティストーリー</t>
  </si>
  <si>
    <t xml:space="preserve">ルクスビッグスター</t>
  </si>
  <si>
    <t xml:space="preserve">ペイシャモノノフ</t>
  </si>
  <si>
    <t xml:space="preserve">ロカヒ</t>
  </si>
  <si>
    <t xml:space="preserve">ウィンターダフネ</t>
  </si>
  <si>
    <t xml:space="preserve">スマートワイス</t>
  </si>
  <si>
    <t xml:space="preserve">ファインライン</t>
  </si>
  <si>
    <t xml:space="preserve">メイショウシンタケ</t>
  </si>
  <si>
    <t xml:space="preserve">シンフォーエバー</t>
  </si>
  <si>
    <t xml:space="preserve">キープカルム</t>
  </si>
  <si>
    <t xml:space="preserve">サイルーン</t>
  </si>
  <si>
    <t xml:space="preserve">ファンダム</t>
  </si>
  <si>
    <t xml:space="preserve">エコロアルバ</t>
  </si>
  <si>
    <t xml:space="preserve">カズミクラーシュ</t>
  </si>
  <si>
    <t xml:space="preserve">ミニトランザット</t>
  </si>
  <si>
    <t xml:space="preserve">ショウナンアデイブ</t>
  </si>
  <si>
    <t xml:space="preserve">スリールミニョン</t>
  </si>
  <si>
    <t xml:space="preserve">スイープアワーズ</t>
  </si>
  <si>
    <t xml:space="preserve">タガノエルピーダ</t>
  </si>
  <si>
    <t xml:space="preserve">キングロコマイカイ</t>
  </si>
  <si>
    <t xml:space="preserve">クリノフィガロ</t>
  </si>
  <si>
    <t xml:space="preserve">クロノスバレット</t>
  </si>
  <si>
    <t xml:space="preserve">ジーニアスバローズ</t>
  </si>
  <si>
    <t xml:space="preserve">メイショウマントル</t>
  </si>
  <si>
    <t xml:space="preserve">フラッシング</t>
  </si>
  <si>
    <t xml:space="preserve">タガノアバンドーネ</t>
  </si>
  <si>
    <t xml:space="preserve">レッドリベルタ</t>
  </si>
  <si>
    <t xml:space="preserve">ソルトアイリス</t>
  </si>
  <si>
    <t xml:space="preserve">ファインコンダクト</t>
  </si>
  <si>
    <t xml:space="preserve">エコロアビス</t>
  </si>
  <si>
    <t xml:space="preserve">ウインモンクール</t>
  </si>
  <si>
    <t xml:space="preserve">ラヴィニアパーク</t>
  </si>
  <si>
    <t xml:space="preserve">テンカフブ</t>
  </si>
  <si>
    <t xml:space="preserve">ロードステラート</t>
  </si>
  <si>
    <t xml:space="preserve">トーセンアミューズ</t>
  </si>
  <si>
    <t xml:space="preserve">ソパデアホ</t>
  </si>
  <si>
    <t xml:space="preserve">シェイプオブユー</t>
  </si>
  <si>
    <t xml:space="preserve">コウユーネロガ</t>
  </si>
  <si>
    <t xml:space="preserve">コンティ</t>
  </si>
  <si>
    <t xml:space="preserve">ヒシナスキロ</t>
  </si>
  <si>
    <t xml:space="preserve">ビナハイバン</t>
  </si>
  <si>
    <t xml:space="preserve">カタフラクト</t>
  </si>
  <si>
    <t xml:space="preserve">メイショウライガ</t>
  </si>
  <si>
    <t xml:space="preserve">ヘヴンリーサイン</t>
  </si>
  <si>
    <t xml:space="preserve">アメリカンダンス</t>
  </si>
  <si>
    <t xml:space="preserve">スプリングデイ</t>
  </si>
  <si>
    <t xml:space="preserve">ファニーバニー</t>
  </si>
  <si>
    <t xml:space="preserve">アッシュバーグ</t>
  </si>
  <si>
    <t xml:space="preserve">アラクラン</t>
  </si>
  <si>
    <t xml:space="preserve">ライフイズ</t>
  </si>
  <si>
    <t xml:space="preserve">ドマーネ</t>
  </si>
  <si>
    <t xml:space="preserve">レダアトミカ</t>
  </si>
  <si>
    <t xml:space="preserve">メリザンド</t>
  </si>
  <si>
    <t xml:space="preserve">ソングオブザバード</t>
  </si>
  <si>
    <t xml:space="preserve">エイカイコバチ</t>
  </si>
  <si>
    <t xml:space="preserve">クリノキングマン</t>
  </si>
  <si>
    <t xml:space="preserve">ラマンシュ</t>
  </si>
  <si>
    <t xml:space="preserve">アールプロスト</t>
  </si>
  <si>
    <t xml:space="preserve">トールキン</t>
  </si>
  <si>
    <t xml:space="preserve">スティールブルー</t>
  </si>
  <si>
    <t xml:space="preserve">アシャカタカ</t>
  </si>
  <si>
    <t xml:space="preserve">アスティスプマンテ</t>
  </si>
  <si>
    <t xml:space="preserve">ポタリング</t>
  </si>
  <si>
    <t xml:space="preserve">グラヴィテ</t>
  </si>
  <si>
    <t xml:space="preserve">ナチュラルリバー</t>
  </si>
  <si>
    <t xml:space="preserve">ワールドシリーズ</t>
  </si>
  <si>
    <t xml:space="preserve">ディベルティスマン</t>
  </si>
  <si>
    <t xml:space="preserve">セキテイオー</t>
  </si>
  <si>
    <t xml:space="preserve">エンジョイドライブ</t>
  </si>
  <si>
    <t xml:space="preserve">キュピドン</t>
  </si>
  <si>
    <t xml:space="preserve">トラマンダーレ</t>
  </si>
  <si>
    <t xml:space="preserve">フォルガイル</t>
  </si>
  <si>
    <t xml:space="preserve">ルプルミエラムール</t>
  </si>
  <si>
    <t xml:space="preserve">リマーカブル</t>
  </si>
  <si>
    <t xml:space="preserve">カンフーヒーロー</t>
  </si>
  <si>
    <t xml:space="preserve">タイセイジェンマ</t>
  </si>
  <si>
    <t xml:space="preserve">フロムドーン</t>
  </si>
  <si>
    <t xml:space="preserve">キタノタイキ</t>
  </si>
  <si>
    <t xml:space="preserve">リゼクールグレー</t>
  </si>
  <si>
    <t xml:space="preserve">スターツトゥデイ</t>
  </si>
  <si>
    <t xml:space="preserve">コウユーニポポニコ</t>
  </si>
  <si>
    <t xml:space="preserve">ラフレードピエル</t>
  </si>
  <si>
    <t xml:space="preserve">ナリノシャーウッド</t>
  </si>
  <si>
    <t xml:space="preserve">ブルーユンチェリー</t>
  </si>
  <si>
    <t xml:space="preserve">ガムラスタン</t>
  </si>
  <si>
    <t xml:space="preserve">プロスペクトパーク</t>
  </si>
  <si>
    <t xml:space="preserve">ショウナンパトス</t>
  </si>
  <si>
    <t xml:space="preserve">キタノブレイク</t>
  </si>
  <si>
    <t xml:space="preserve">ラルフテソーロ</t>
  </si>
  <si>
    <t xml:space="preserve">クラウンフリード</t>
  </si>
  <si>
    <t xml:space="preserve">パータリプトラ</t>
  </si>
  <si>
    <t xml:space="preserve">トモジャシック</t>
  </si>
  <si>
    <t xml:space="preserve">ブラックバラード</t>
  </si>
  <si>
    <t xml:space="preserve">ミレニアムヒロイン</t>
  </si>
  <si>
    <t xml:space="preserve">ゴールドブリーズ</t>
  </si>
  <si>
    <t xml:space="preserve">シャンドゥレール</t>
  </si>
  <si>
    <t xml:space="preserve">コンバスチョン</t>
  </si>
  <si>
    <t xml:space="preserve">ウォーターリーダー</t>
  </si>
  <si>
    <t xml:space="preserve">ヴェールランス</t>
  </si>
  <si>
    <t xml:space="preserve">エニシングゴース</t>
  </si>
  <si>
    <t xml:space="preserve">アンムート</t>
  </si>
  <si>
    <t xml:space="preserve">シャインフォード</t>
  </si>
  <si>
    <t xml:space="preserve">ブラックナザレ</t>
  </si>
  <si>
    <t xml:space="preserve">セイウントレジャ</t>
  </si>
  <si>
    <t xml:space="preserve">エランヴィータ</t>
  </si>
  <si>
    <t xml:space="preserve">ラヴァブルロマン</t>
  </si>
  <si>
    <t xml:space="preserve">パレスラン</t>
  </si>
  <si>
    <t xml:space="preserve">セイウンガジュマル</t>
  </si>
  <si>
    <t xml:space="preserve">ソラティオ</t>
  </si>
  <si>
    <t xml:space="preserve">マリノエスプレッソ</t>
  </si>
  <si>
    <t xml:space="preserve">モーブプリエール</t>
  </si>
  <si>
    <t xml:space="preserve">アッパーウォーター</t>
  </si>
  <si>
    <t xml:space="preserve">エバーシャンティ</t>
  </si>
  <si>
    <t xml:space="preserve">フォセットジェンヌ</t>
  </si>
  <si>
    <t xml:space="preserve">ミダレセツゲツカ</t>
  </si>
  <si>
    <t xml:space="preserve">ウインスフェーン</t>
  </si>
  <si>
    <t xml:space="preserve">セルレーヴ</t>
  </si>
  <si>
    <t xml:space="preserve">エリオステモン</t>
  </si>
  <si>
    <t xml:space="preserve">フロリメル</t>
  </si>
  <si>
    <t xml:space="preserve">ラングロワブリッジ</t>
  </si>
  <si>
    <t xml:space="preserve">ウインマニフィーク</t>
  </si>
  <si>
    <t xml:space="preserve">モロノディアマンテ</t>
  </si>
  <si>
    <t xml:space="preserve">ホープフルワールド</t>
  </si>
  <si>
    <t xml:space="preserve">マイチバイ</t>
  </si>
  <si>
    <t xml:space="preserve">ゲクウ</t>
  </si>
  <si>
    <t xml:space="preserve">ゴルトリッチ</t>
  </si>
  <si>
    <t xml:space="preserve">イノキ</t>
  </si>
  <si>
    <t xml:space="preserve">エコロシード</t>
  </si>
  <si>
    <t xml:space="preserve">ケブランリ</t>
  </si>
  <si>
    <t xml:space="preserve">オセアエクスプレス</t>
  </si>
  <si>
    <t xml:space="preserve">アメリカンチケット</t>
  </si>
  <si>
    <t xml:space="preserve">ヒラボクカレラ</t>
  </si>
  <si>
    <t xml:space="preserve">タッカージーティー</t>
  </si>
  <si>
    <t xml:space="preserve">サードウインド</t>
  </si>
  <si>
    <t xml:space="preserve">シアター</t>
  </si>
  <si>
    <t xml:space="preserve">ラストレガシー</t>
  </si>
  <si>
    <t xml:space="preserve">ホウオウフロイト</t>
  </si>
  <si>
    <t xml:space="preserve">ショウナンヤッホー</t>
  </si>
  <si>
    <t xml:space="preserve">コックピットサイト</t>
  </si>
  <si>
    <t xml:space="preserve">コスモマルーン</t>
  </si>
  <si>
    <t xml:space="preserve">ゲンパチルーナ</t>
  </si>
  <si>
    <t xml:space="preserve">ドゥマーヴェリック</t>
  </si>
  <si>
    <t xml:space="preserve">ルクスメンデス</t>
  </si>
  <si>
    <t xml:space="preserve">テーオーダグラス</t>
  </si>
  <si>
    <t xml:space="preserve">マリアイリダータ</t>
  </si>
  <si>
    <t xml:space="preserve">ホルトバージ</t>
  </si>
  <si>
    <t xml:space="preserve">リーティアコナル</t>
  </si>
  <si>
    <t xml:space="preserve">フィオレストラーダ</t>
  </si>
  <si>
    <t xml:space="preserve">テンプーシャオン</t>
  </si>
  <si>
    <t xml:space="preserve">デアリングエア</t>
  </si>
  <si>
    <t xml:space="preserve">エバーラスト</t>
  </si>
  <si>
    <t xml:space="preserve">ステートオブロック</t>
  </si>
  <si>
    <t xml:space="preserve">ルクスコロン</t>
  </si>
  <si>
    <t xml:space="preserve">ファインサマーデイ</t>
  </si>
  <si>
    <t xml:space="preserve">シスキンブルーム</t>
  </si>
  <si>
    <t xml:space="preserve">スマートメモリー</t>
  </si>
  <si>
    <t xml:space="preserve">ペプチドニンバス</t>
  </si>
  <si>
    <t xml:space="preserve">ニドヅケキンシ</t>
  </si>
  <si>
    <t xml:space="preserve">クリコファルコン</t>
  </si>
  <si>
    <t xml:space="preserve">ヴォーゲ</t>
  </si>
  <si>
    <t xml:space="preserve">モズエムブイピー</t>
  </si>
  <si>
    <t xml:space="preserve">サンライズキース</t>
  </si>
  <si>
    <t xml:space="preserve">ジャスパーブレイズ</t>
  </si>
  <si>
    <t xml:space="preserve">ショーライトイヤー</t>
  </si>
  <si>
    <t xml:space="preserve">マユナイト</t>
  </si>
  <si>
    <t xml:space="preserve">ヴァーティゴー</t>
  </si>
  <si>
    <t xml:space="preserve">ライツェントライゼ</t>
  </si>
  <si>
    <t xml:space="preserve">クィーンズウィンク</t>
  </si>
  <si>
    <t xml:space="preserve">オーロラボレアリス</t>
  </si>
  <si>
    <t xml:space="preserve">ミスマリーゴールド</t>
  </si>
  <si>
    <t xml:space="preserve">スズノボンライミー</t>
  </si>
  <si>
    <t xml:space="preserve">エコロゼルダ</t>
  </si>
  <si>
    <t xml:space="preserve">バロッカネーラ</t>
  </si>
  <si>
    <t xml:space="preserve">シンゼンコジロウ</t>
  </si>
  <si>
    <t xml:space="preserve">オセアスターライト</t>
  </si>
  <si>
    <t xml:space="preserve">ディープシャロー</t>
  </si>
  <si>
    <t xml:space="preserve">ルヴレアール</t>
  </si>
  <si>
    <t xml:space="preserve">テイエムロングダン</t>
  </si>
  <si>
    <t xml:space="preserve">アップターンデイ</t>
  </si>
  <si>
    <t xml:space="preserve">グレートアゲイン</t>
  </si>
  <si>
    <t xml:space="preserve">クリノパッション</t>
  </si>
  <si>
    <t xml:space="preserve">スクランプシャス</t>
  </si>
  <si>
    <t xml:space="preserve">タガノミトゥンドゥ</t>
  </si>
  <si>
    <t xml:space="preserve">マスターストーン</t>
  </si>
  <si>
    <t xml:space="preserve">クリスタルタワー</t>
  </si>
  <si>
    <t xml:space="preserve">シャマレル</t>
  </si>
  <si>
    <t xml:space="preserve">クロスボーダー</t>
  </si>
  <si>
    <t xml:space="preserve">ヴェロシア</t>
  </si>
  <si>
    <t xml:space="preserve">ゴナビーオーライト</t>
  </si>
  <si>
    <t xml:space="preserve">スフィダンテ</t>
  </si>
  <si>
    <t xml:space="preserve">ブライトキングダム</t>
  </si>
  <si>
    <t xml:space="preserve">メイショウウメゴチ</t>
  </si>
  <si>
    <t xml:space="preserve">ショウナンラウール</t>
  </si>
  <si>
    <t xml:space="preserve">ニホンピロマリンバ</t>
  </si>
  <si>
    <t xml:space="preserve">アンピュルシオン</t>
  </si>
  <si>
    <t xml:space="preserve">クロユキ</t>
  </si>
  <si>
    <t xml:space="preserve">ザラタン</t>
  </si>
  <si>
    <t xml:space="preserve">ショコラプリン</t>
  </si>
  <si>
    <t xml:space="preserve">ポムドール</t>
  </si>
  <si>
    <t xml:space="preserve">ビジュードネージュ</t>
  </si>
  <si>
    <t xml:space="preserve">サンライズグラシア</t>
  </si>
  <si>
    <t xml:space="preserve">メイショウミリオレ</t>
  </si>
  <si>
    <t xml:space="preserve">ヤマニンレセディ</t>
  </si>
  <si>
    <t xml:space="preserve">ブリーズオンチーク</t>
  </si>
  <si>
    <t xml:space="preserve">クォーツァイト</t>
  </si>
  <si>
    <t xml:space="preserve">ケイアイメキラ</t>
  </si>
  <si>
    <t xml:space="preserve">ハリーケーン</t>
  </si>
  <si>
    <t xml:space="preserve">メイショウミカワ</t>
  </si>
  <si>
    <t xml:space="preserve">カネトシゴウト</t>
  </si>
  <si>
    <t xml:space="preserve">ストップヤーニング</t>
  </si>
  <si>
    <t xml:space="preserve">シンビリーブ</t>
  </si>
  <si>
    <t xml:space="preserve">メイショウコガシラ</t>
  </si>
  <si>
    <t xml:space="preserve">パフ</t>
  </si>
  <si>
    <t xml:space="preserve">ノリノリソックス</t>
  </si>
  <si>
    <t xml:space="preserve">リピ</t>
  </si>
  <si>
    <t xml:space="preserve">メイショウオオミネ</t>
  </si>
  <si>
    <t xml:space="preserve">グリニッジローズ</t>
  </si>
  <si>
    <t xml:space="preserve">エフティヴェント</t>
  </si>
  <si>
    <t xml:space="preserve">サンアイディール</t>
  </si>
  <si>
    <t xml:space="preserve">スーパーチャイルド</t>
  </si>
  <si>
    <t xml:space="preserve">アリアス</t>
  </si>
  <si>
    <t xml:space="preserve">スイープセレニティ</t>
  </si>
  <si>
    <t xml:space="preserve">ルージュアストレア</t>
  </si>
  <si>
    <t xml:space="preserve">クインズスズラン</t>
  </si>
  <si>
    <t xml:space="preserve">コイオステソーロ</t>
  </si>
  <si>
    <t xml:space="preserve">ホウオウバトラー</t>
  </si>
  <si>
    <t xml:space="preserve">オケアノステソーロ</t>
  </si>
  <si>
    <t xml:space="preserve">クールフィデル</t>
  </si>
  <si>
    <t xml:space="preserve">ゲフィオン</t>
  </si>
  <si>
    <t xml:space="preserve">ラウターユーベル</t>
  </si>
  <si>
    <t xml:space="preserve">ウインラファーガ</t>
  </si>
  <si>
    <t xml:space="preserve">アイムイン</t>
  </si>
  <si>
    <t xml:space="preserve">ラップトップ</t>
  </si>
  <si>
    <t xml:space="preserve">ミハテヌユメ</t>
  </si>
  <si>
    <t xml:space="preserve">アゴルディーノ</t>
  </si>
  <si>
    <t xml:space="preserve">ルギッドドランジュ</t>
  </si>
  <si>
    <t xml:space="preserve">リアル</t>
  </si>
  <si>
    <t xml:space="preserve">エリカビアリッツ</t>
  </si>
  <si>
    <t xml:space="preserve">ドンレミラピュセル</t>
  </si>
  <si>
    <t xml:space="preserve">ブランヴァンダイク</t>
  </si>
  <si>
    <t xml:space="preserve">サウンドサンライズ</t>
  </si>
  <si>
    <t xml:space="preserve">ゴガツノアマノガワ</t>
  </si>
  <si>
    <t xml:space="preserve">ドウアドバンテージ</t>
  </si>
  <si>
    <t xml:space="preserve">サツキレジーナ</t>
  </si>
  <si>
    <t xml:space="preserve">ミサビスケッツ</t>
  </si>
  <si>
    <t xml:space="preserve">ブラックトルネード</t>
  </si>
  <si>
    <t xml:space="preserve">カッタッパ</t>
  </si>
  <si>
    <t xml:space="preserve">セイルロケット</t>
  </si>
  <si>
    <t xml:space="preserve">マジェステラ</t>
  </si>
  <si>
    <t xml:space="preserve">クワイエットアイ</t>
  </si>
  <si>
    <t xml:space="preserve">ナオミライトニング</t>
  </si>
  <si>
    <t xml:space="preserve">ドリーミングアップ</t>
  </si>
  <si>
    <t xml:space="preserve">リッチブラック</t>
  </si>
  <si>
    <t xml:space="preserve">ドッビアーコ</t>
  </si>
  <si>
    <t xml:space="preserve">ダンツエラン</t>
  </si>
  <si>
    <t xml:space="preserve">ブラックチャリス</t>
  </si>
  <si>
    <t xml:space="preserve">ジョーメッドヴィン</t>
  </si>
  <si>
    <t xml:space="preserve">ステークホルダー</t>
  </si>
  <si>
    <t xml:space="preserve">ティニア</t>
  </si>
  <si>
    <t xml:space="preserve">クファシル</t>
  </si>
  <si>
    <t xml:space="preserve">マイネルレノン</t>
  </si>
  <si>
    <t xml:space="preserve">サウザンサニー</t>
  </si>
  <si>
    <t xml:space="preserve">モリノドリーム</t>
  </si>
  <si>
    <t xml:space="preserve">ナムラローズマリー</t>
  </si>
  <si>
    <t xml:space="preserve">ナムラクララ</t>
  </si>
  <si>
    <t xml:space="preserve">ロードフォアエース</t>
  </si>
  <si>
    <t xml:space="preserve">ルージュラナキラ</t>
  </si>
  <si>
    <t xml:space="preserve">マーベリックシチー</t>
  </si>
  <si>
    <t xml:space="preserve">テイエムゴッホ</t>
  </si>
  <si>
    <t xml:space="preserve">グレイスフルマーチ</t>
  </si>
  <si>
    <t xml:space="preserve">パシーヴ</t>
  </si>
  <si>
    <t xml:space="preserve">フロウアンドライム</t>
  </si>
  <si>
    <t xml:space="preserve">東京</t>
  </si>
  <si>
    <t xml:space="preserve">サルヴァトーレ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</si>
  <si>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＋色順位検算・空欄補完／結果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・公式結果突合</t>
    </r>
  </si>
  <si>
    <t xml:space="preserve">ベラトール</t>
  </si>
  <si>
    <t xml:space="preserve">コルデアニル</t>
  </si>
  <si>
    <t xml:space="preserve">ワキノノーブル</t>
  </si>
  <si>
    <t xml:space="preserve">ブラックシールド</t>
  </si>
  <si>
    <t xml:space="preserve">コスモアミマネラ</t>
  </si>
  <si>
    <t xml:space="preserve">シャトーホークビル</t>
  </si>
  <si>
    <t xml:space="preserve">ライラスター</t>
  </si>
  <si>
    <t xml:space="preserve">ダイユウヴェンティ</t>
  </si>
  <si>
    <t xml:space="preserve">カグヤヒメ</t>
  </si>
  <si>
    <t xml:space="preserve">アリストクラット</t>
  </si>
  <si>
    <t xml:space="preserve">アンニャンクッキー</t>
  </si>
  <si>
    <t xml:space="preserve">アテナガール</t>
  </si>
  <si>
    <t xml:space="preserve">ソフィアプルーマ</t>
  </si>
  <si>
    <t xml:space="preserve">リナクィーンアスク</t>
  </si>
  <si>
    <t xml:space="preserve">ライトハウス</t>
  </si>
  <si>
    <t xml:space="preserve">クラックアスマイル</t>
  </si>
  <si>
    <t xml:space="preserve">ヴェントベローチェ</t>
  </si>
  <si>
    <t xml:space="preserve">クインズヒマワリ</t>
  </si>
  <si>
    <t xml:space="preserve">ベセル</t>
  </si>
  <si>
    <t xml:space="preserve">ヨシウッドテール</t>
  </si>
  <si>
    <t xml:space="preserve">ジューングレイス</t>
  </si>
  <si>
    <t xml:space="preserve">クラウンアバンティ</t>
  </si>
  <si>
    <t xml:space="preserve">レイズテンペスト</t>
  </si>
  <si>
    <t xml:space="preserve">シーズナルワーズ</t>
  </si>
  <si>
    <t xml:space="preserve">シュアシング</t>
  </si>
  <si>
    <t xml:space="preserve">ラードンチェイス</t>
  </si>
  <si>
    <t xml:space="preserve">フィリオソラーレ</t>
  </si>
  <si>
    <t xml:space="preserve">レオリアライズ</t>
  </si>
  <si>
    <t xml:space="preserve">クシェドゥソレイユ</t>
  </si>
  <si>
    <t xml:space="preserve">コウソクレムリア</t>
  </si>
  <si>
    <t xml:space="preserve">エリステソーロ</t>
  </si>
  <si>
    <t xml:space="preserve">ポッドジーク</t>
  </si>
  <si>
    <t xml:space="preserve">ロングミックス</t>
  </si>
  <si>
    <t xml:space="preserve">パンパネイラ</t>
  </si>
  <si>
    <t xml:space="preserve">ノリキング</t>
  </si>
  <si>
    <t xml:space="preserve">モウレツ</t>
  </si>
  <si>
    <t xml:space="preserve">ウインファイネスト</t>
  </si>
  <si>
    <t xml:space="preserve">マイネルシュラハト</t>
  </si>
  <si>
    <t xml:space="preserve">プリヴィマーク</t>
  </si>
  <si>
    <t xml:space="preserve">イニスフェイル</t>
  </si>
  <si>
    <t xml:space="preserve">ナズドゥラヴィ</t>
  </si>
  <si>
    <t xml:space="preserve">カワイクテゴメン</t>
  </si>
  <si>
    <t xml:space="preserve">リバースザトレンド</t>
  </si>
  <si>
    <t xml:space="preserve">サファイアテソーロ</t>
  </si>
  <si>
    <t xml:space="preserve">ファンシーズ</t>
  </si>
  <si>
    <t xml:space="preserve">エコールナヴァール</t>
  </si>
  <si>
    <t xml:space="preserve">ルージュカルデア</t>
  </si>
  <si>
    <t xml:space="preserve">アンディラメナ</t>
  </si>
  <si>
    <t xml:space="preserve">レイフロレット</t>
  </si>
  <si>
    <t xml:space="preserve">リケアマカロニ</t>
  </si>
  <si>
    <t xml:space="preserve">プルーヴンウィナー</t>
  </si>
  <si>
    <t xml:space="preserve">ミライヘノティアラ</t>
  </si>
  <si>
    <t xml:space="preserve">トキメキジニア</t>
  </si>
  <si>
    <t xml:space="preserve">カリヨンアヴォン</t>
  </si>
  <si>
    <t xml:space="preserve">エムノビアンカ</t>
  </si>
  <si>
    <t xml:space="preserve">トラストボス</t>
  </si>
  <si>
    <t xml:space="preserve">ニシノヒノトリ</t>
  </si>
  <si>
    <t xml:space="preserve">ヴォートセレスト</t>
  </si>
  <si>
    <t xml:space="preserve">リアライズオーラム</t>
  </si>
  <si>
    <t xml:space="preserve">ガンバルマン</t>
  </si>
  <si>
    <t xml:space="preserve">エリプティクカーブ</t>
  </si>
  <si>
    <t xml:space="preserve">サンセットビュー</t>
  </si>
  <si>
    <t xml:space="preserve">ウップヘリーア</t>
  </si>
  <si>
    <t xml:space="preserve">オリオアルセーリオ</t>
  </si>
  <si>
    <t xml:space="preserve">イブキ</t>
  </si>
  <si>
    <t xml:space="preserve">ユキノエミリオ</t>
  </si>
  <si>
    <t xml:space="preserve">クレパスキュラー</t>
  </si>
  <si>
    <t xml:space="preserve">ツーネサーン</t>
  </si>
  <si>
    <t xml:space="preserve">ウインイザナミ</t>
  </si>
  <si>
    <t xml:space="preserve">ファムマルキーズ</t>
  </si>
  <si>
    <t xml:space="preserve">ゴールドスター</t>
  </si>
  <si>
    <t xml:space="preserve">ジョヴィアン</t>
  </si>
  <si>
    <t xml:space="preserve">トラスコンガーデン</t>
  </si>
  <si>
    <t xml:space="preserve">メイケイバートン</t>
  </si>
  <si>
    <t xml:space="preserve">ドンレパルス</t>
  </si>
  <si>
    <t xml:space="preserve">グレイテストソング</t>
  </si>
  <si>
    <t xml:space="preserve">ゴールドハンマー</t>
  </si>
  <si>
    <t xml:space="preserve">モーニングマジック</t>
  </si>
  <si>
    <t xml:space="preserve">セミマル</t>
  </si>
  <si>
    <t xml:space="preserve">エイプリルインパリ</t>
  </si>
  <si>
    <t xml:space="preserve">メリディアンスター</t>
  </si>
  <si>
    <t xml:space="preserve">クインズデネブ</t>
  </si>
  <si>
    <t xml:space="preserve">オペラプラージュ</t>
  </si>
  <si>
    <t xml:space="preserve">シャパリュ</t>
  </si>
  <si>
    <t xml:space="preserve">ワンダラー</t>
  </si>
  <si>
    <t xml:space="preserve">メイショウツヨキ</t>
  </si>
  <si>
    <t xml:space="preserve">シュヴァルボヌール</t>
  </si>
  <si>
    <t xml:space="preserve">ユーウェイン</t>
  </si>
  <si>
    <t xml:space="preserve">ピースサイン</t>
  </si>
  <si>
    <t xml:space="preserve">タキノボリ</t>
  </si>
  <si>
    <t xml:space="preserve">ドルビナ</t>
  </si>
  <si>
    <t xml:space="preserve">カルフ</t>
  </si>
  <si>
    <t xml:space="preserve">アイファーファイト</t>
  </si>
  <si>
    <t xml:space="preserve">ベンメリア</t>
  </si>
  <si>
    <t xml:space="preserve">タイセイエムロード</t>
  </si>
  <si>
    <t xml:space="preserve">ザーフィル</t>
  </si>
  <si>
    <t xml:space="preserve">タイセイエキサイト</t>
  </si>
  <si>
    <t xml:space="preserve">カンレイスキー</t>
  </si>
  <si>
    <t xml:space="preserve">レッドシュトラール</t>
  </si>
  <si>
    <t xml:space="preserve">オンサイト</t>
  </si>
  <si>
    <t xml:space="preserve">ザローズハーツ</t>
  </si>
  <si>
    <t xml:space="preserve">キャスケード</t>
  </si>
  <si>
    <t xml:space="preserve">ヴィータリッカ</t>
  </si>
  <si>
    <t xml:space="preserve">ベストレイク</t>
  </si>
  <si>
    <t xml:space="preserve">ダノンベルビュー</t>
  </si>
  <si>
    <t xml:space="preserve">ボンボンブーケ</t>
  </si>
  <si>
    <t xml:space="preserve">トリーア</t>
  </si>
  <si>
    <t xml:space="preserve">アクアアイ</t>
  </si>
  <si>
    <t xml:space="preserve">ヴェルメロディ</t>
  </si>
  <si>
    <t xml:space="preserve">ルージュシャラポワ</t>
  </si>
  <si>
    <t xml:space="preserve">マルベック</t>
  </si>
  <si>
    <t xml:space="preserve">ナイトシンフォニー</t>
  </si>
  <si>
    <t xml:space="preserve">デルニエジョイ</t>
  </si>
  <si>
    <t xml:space="preserve">シュネードリーム</t>
  </si>
  <si>
    <t xml:space="preserve">クレバーキュート</t>
  </si>
  <si>
    <t xml:space="preserve">インディクイーン</t>
  </si>
  <si>
    <t xml:space="preserve">ヤングジャガー</t>
  </si>
  <si>
    <t xml:space="preserve">シャインゴーツ</t>
  </si>
  <si>
    <t xml:space="preserve">マカホウ</t>
  </si>
  <si>
    <t xml:space="preserve">ミルトメテオ</t>
  </si>
  <si>
    <t xml:space="preserve">ワイドシャッフエン</t>
  </si>
  <si>
    <t xml:space="preserve">マクノス</t>
  </si>
  <si>
    <t xml:space="preserve">リリークリスタル</t>
  </si>
  <si>
    <t xml:space="preserve">ウインロズパレード</t>
  </si>
  <si>
    <t xml:space="preserve">レウコテア</t>
  </si>
  <si>
    <t xml:space="preserve">ヤマニンコルザ</t>
  </si>
  <si>
    <t xml:space="preserve">ドリームキャリー</t>
  </si>
  <si>
    <t xml:space="preserve">タマモアマルフィ</t>
  </si>
  <si>
    <t xml:space="preserve">ハッピーバンク</t>
  </si>
  <si>
    <t xml:space="preserve">エイル</t>
  </si>
  <si>
    <t xml:space="preserve">チョウギャル</t>
  </si>
  <si>
    <t xml:space="preserve">タナブイハチターボ</t>
  </si>
  <si>
    <t xml:space="preserve">タマモパルファン</t>
  </si>
  <si>
    <t xml:space="preserve">リアララ</t>
  </si>
  <si>
    <t xml:space="preserve">ルビーブロンド</t>
  </si>
  <si>
    <t xml:space="preserve">リアンマカ</t>
  </si>
  <si>
    <t xml:space="preserve">オラロア</t>
  </si>
  <si>
    <t xml:space="preserve">フェイトブレイカー</t>
  </si>
  <si>
    <t xml:space="preserve">タイドビート</t>
  </si>
  <si>
    <t xml:space="preserve">シャプシュ</t>
  </si>
  <si>
    <t xml:space="preserve">ジーティーサクラ</t>
  </si>
  <si>
    <t xml:space="preserve">エコロラーダ</t>
  </si>
  <si>
    <t xml:space="preserve">ロードファイター</t>
  </si>
  <si>
    <t xml:space="preserve">クールブレーブ</t>
  </si>
  <si>
    <t xml:space="preserve">ジーティーピカソ</t>
  </si>
  <si>
    <t xml:space="preserve">アライブテーラー</t>
  </si>
  <si>
    <t xml:space="preserve">スパルタンエックス</t>
  </si>
  <si>
    <t xml:space="preserve">カラバッシュ</t>
  </si>
  <si>
    <t xml:space="preserve">ブラストオフ</t>
  </si>
  <si>
    <t xml:space="preserve">ティアーズクィーン</t>
  </si>
  <si>
    <t xml:space="preserve">マイトグラッド</t>
  </si>
  <si>
    <t xml:space="preserve">イニシオ</t>
  </si>
  <si>
    <t xml:space="preserve">グッデイ</t>
  </si>
  <si>
    <t xml:space="preserve">オメガヒストリー</t>
  </si>
  <si>
    <t xml:space="preserve">ビーチェマーレ</t>
  </si>
  <si>
    <t xml:space="preserve">ロールスワン</t>
  </si>
  <si>
    <t xml:space="preserve">レインボーステート</t>
  </si>
  <si>
    <t xml:space="preserve">テリオスヒナ</t>
  </si>
  <si>
    <t xml:space="preserve">マヤノイマジン</t>
  </si>
  <si>
    <t xml:space="preserve">ディアーモルタル</t>
  </si>
  <si>
    <t xml:space="preserve">マイバレンタイン</t>
  </si>
  <si>
    <t xml:space="preserve">ガウディ</t>
  </si>
  <si>
    <t xml:space="preserve">ジェゼロ</t>
  </si>
  <si>
    <t xml:space="preserve">カフジエメンタール</t>
  </si>
  <si>
    <t xml:space="preserve">エイシンティザー</t>
  </si>
  <si>
    <t xml:space="preserve">ナムラブーニン</t>
  </si>
  <si>
    <t xml:space="preserve">メイショウヒュウガ</t>
  </si>
  <si>
    <t xml:space="preserve">キタノファーンヒル</t>
  </si>
  <si>
    <t xml:space="preserve">エンジェルボイス</t>
  </si>
  <si>
    <t xml:space="preserve">タカサンフェイス</t>
  </si>
  <si>
    <t xml:space="preserve">サパテアール</t>
  </si>
  <si>
    <t xml:space="preserve">バトンインディ</t>
  </si>
  <si>
    <t xml:space="preserve">ドゥラエテルノ</t>
  </si>
  <si>
    <t xml:space="preserve">タイガースパーク</t>
  </si>
  <si>
    <t xml:space="preserve">ゴルデールスカー</t>
  </si>
  <si>
    <t xml:space="preserve">ヒデノレインボー</t>
  </si>
  <si>
    <t xml:space="preserve">フクキタテーラー</t>
  </si>
  <si>
    <t xml:space="preserve">エクストラノート</t>
  </si>
  <si>
    <t xml:space="preserve">ジーティーダーリン</t>
  </si>
  <si>
    <t xml:space="preserve">クルミナーレ</t>
  </si>
  <si>
    <t xml:space="preserve">バッデレイト</t>
  </si>
  <si>
    <t xml:space="preserve">エラン</t>
  </si>
  <si>
    <t xml:space="preserve">ミッキーツインクル</t>
  </si>
  <si>
    <t xml:space="preserve">モズマーヴェリック</t>
  </si>
  <si>
    <t xml:space="preserve">イケイケドンドン</t>
  </si>
  <si>
    <t xml:space="preserve">フェスティヴドレス</t>
  </si>
  <si>
    <t xml:space="preserve">シュテルンビルト</t>
  </si>
  <si>
    <t xml:space="preserve">ジューンアゲイン</t>
  </si>
  <si>
    <t xml:space="preserve">メイプルギャング</t>
  </si>
  <si>
    <t xml:space="preserve">セルズパワー</t>
  </si>
  <si>
    <t xml:space="preserve">コマチチャン</t>
  </si>
  <si>
    <t xml:space="preserve">マダムイグレイン</t>
  </si>
  <si>
    <t xml:space="preserve">ゴメンネジロー</t>
  </si>
  <si>
    <t xml:space="preserve">ゼンカイナダル</t>
  </si>
  <si>
    <t xml:space="preserve">メイショウサトノヒ</t>
  </si>
  <si>
    <t xml:space="preserve">カゼノオモイデ</t>
  </si>
  <si>
    <t xml:space="preserve">キタノローズ</t>
  </si>
  <si>
    <t xml:space="preserve">ダイユウレゾナンス</t>
  </si>
  <si>
    <t xml:space="preserve">ビリキナータ</t>
  </si>
  <si>
    <t xml:space="preserve">ルクリーシア</t>
  </si>
  <si>
    <t xml:space="preserve">テンハートビート</t>
  </si>
  <si>
    <t xml:space="preserve">パウラメロディーア</t>
  </si>
  <si>
    <t xml:space="preserve">ペリバジャ</t>
  </si>
  <si>
    <t xml:space="preserve">キョウエイシュバル</t>
  </si>
  <si>
    <t xml:space="preserve">アイムスティルミー</t>
  </si>
  <si>
    <t xml:space="preserve">タートルインメイ</t>
  </si>
  <si>
    <t xml:space="preserve">インナーパッション</t>
  </si>
  <si>
    <t xml:space="preserve">マイネルスラーヴァ</t>
  </si>
  <si>
    <t xml:space="preserve">ブラックパロット</t>
  </si>
  <si>
    <t xml:space="preserve">キタイノホシ</t>
  </si>
  <si>
    <t xml:space="preserve">ナンヨーロイヤル</t>
  </si>
  <si>
    <t xml:space="preserve">レディトゥランブル</t>
  </si>
  <si>
    <t xml:space="preserve">ピクシーゲイル</t>
  </si>
  <si>
    <t xml:space="preserve">クワッドマリニン</t>
  </si>
  <si>
    <t xml:space="preserve">ハタノグランクリュ</t>
  </si>
  <si>
    <t xml:space="preserve">シンギュラリティ</t>
  </si>
  <si>
    <t xml:space="preserve">エターナルホープ</t>
  </si>
  <si>
    <t xml:space="preserve">カレリアフレイバー</t>
  </si>
  <si>
    <t xml:space="preserve">コーディアリー</t>
  </si>
  <si>
    <t xml:space="preserve">メイヨシュア</t>
  </si>
  <si>
    <t xml:space="preserve">セルリア</t>
  </si>
  <si>
    <t xml:space="preserve">ファイナルフォーム</t>
  </si>
  <si>
    <t xml:space="preserve">ワイズファミリア</t>
  </si>
  <si>
    <t xml:space="preserve">ショウナンサイオウ</t>
  </si>
  <si>
    <t xml:space="preserve">コスモマウイ</t>
  </si>
  <si>
    <t xml:space="preserve">エナノムスメ</t>
  </si>
  <si>
    <t xml:space="preserve">バンオンタイム</t>
  </si>
  <si>
    <t xml:space="preserve">アグネスブリッツ</t>
  </si>
  <si>
    <t xml:space="preserve">セイルトゥグローリ</t>
  </si>
  <si>
    <t xml:space="preserve">ジョドレルバンク</t>
  </si>
  <si>
    <t xml:space="preserve">セイウンオオゾラ</t>
  </si>
  <si>
    <t xml:space="preserve">ジュンヴォルティス</t>
  </si>
  <si>
    <t xml:space="preserve">ヴィラーニ</t>
  </si>
  <si>
    <t xml:space="preserve">マテンロウアルカナ</t>
  </si>
  <si>
    <t xml:space="preserve">エクスプレスナイト</t>
  </si>
  <si>
    <t xml:space="preserve">ダイユウサルターレ</t>
  </si>
  <si>
    <t xml:space="preserve">ヴェロシスタ</t>
  </si>
  <si>
    <t xml:space="preserve">グランフォワイエ</t>
  </si>
  <si>
    <t xml:space="preserve">ニシノランペイジ</t>
  </si>
  <si>
    <t xml:space="preserve">チェストー</t>
  </si>
  <si>
    <t xml:space="preserve">カフェプラウド</t>
  </si>
  <si>
    <t xml:space="preserve">ウィゾマニア</t>
  </si>
  <si>
    <t xml:space="preserve">ホウオウデンファレ</t>
  </si>
  <si>
    <t xml:space="preserve">ビルバンテ</t>
  </si>
  <si>
    <t xml:space="preserve">タイキブリッツェン</t>
  </si>
  <si>
    <t xml:space="preserve">リッチハンター</t>
  </si>
  <si>
    <t xml:space="preserve">フォースミラクル</t>
  </si>
  <si>
    <t xml:space="preserve">サイモンカーチス</t>
  </si>
  <si>
    <t xml:space="preserve">モティスフォント</t>
  </si>
  <si>
    <t xml:space="preserve">シュヴァルツシルト</t>
  </si>
  <si>
    <t xml:space="preserve">ガンバレベアー</t>
  </si>
  <si>
    <t xml:space="preserve">カズノダイジョウ</t>
  </si>
  <si>
    <t xml:space="preserve">デスサイズ</t>
  </si>
  <si>
    <t xml:space="preserve">スワローシチー</t>
  </si>
  <si>
    <t xml:space="preserve">コンヴァージョン</t>
  </si>
  <si>
    <t xml:space="preserve">ダイヤテソーロ</t>
  </si>
  <si>
    <t xml:space="preserve">アラスカフレイバー</t>
  </si>
  <si>
    <t xml:space="preserve">イージーブリージー</t>
  </si>
  <si>
    <t xml:space="preserve">ゴディアーモ</t>
  </si>
  <si>
    <t xml:space="preserve">アンソニー</t>
  </si>
  <si>
    <t xml:space="preserve">ツインピークス</t>
  </si>
  <si>
    <t xml:space="preserve">ゴールドシーン</t>
  </si>
  <si>
    <t xml:space="preserve">ズイウンゴサイ</t>
  </si>
  <si>
    <t xml:space="preserve">エボルヴィング</t>
  </si>
  <si>
    <t xml:space="preserve">マイネルアレス</t>
  </si>
  <si>
    <t xml:space="preserve">ゴーラッキー</t>
  </si>
  <si>
    <t xml:space="preserve">ビーオンザカバー</t>
  </si>
  <si>
    <t xml:space="preserve">サラスヴァティー</t>
  </si>
  <si>
    <t xml:space="preserve">リリージェーン</t>
  </si>
  <si>
    <t xml:space="preserve">エムティエスターテ</t>
  </si>
  <si>
    <t xml:space="preserve">メッエフアパラ</t>
  </si>
  <si>
    <t xml:space="preserve">ケープアグラス</t>
  </si>
  <si>
    <t xml:space="preserve">ポッドベル</t>
  </si>
  <si>
    <t xml:space="preserve">シホノペルフェット</t>
  </si>
  <si>
    <t xml:space="preserve">レイアポポ</t>
  </si>
  <si>
    <t xml:space="preserve">レヴィテーション</t>
  </si>
  <si>
    <t xml:space="preserve">マジッククッキー</t>
  </si>
  <si>
    <t xml:space="preserve">ミスエル</t>
  </si>
  <si>
    <t xml:space="preserve">キョウエイカンセ</t>
  </si>
  <si>
    <t xml:space="preserve">プチブール</t>
  </si>
  <si>
    <t xml:space="preserve">レーベンスティール</t>
  </si>
  <si>
    <t xml:space="preserve">ロングラン</t>
  </si>
  <si>
    <t xml:space="preserve">オフトレイル</t>
  </si>
  <si>
    <t xml:space="preserve">シックスペンス</t>
  </si>
  <si>
    <t xml:space="preserve">サクラトゥジュール</t>
  </si>
  <si>
    <t xml:space="preserve">ステレンボッシュ</t>
  </si>
  <si>
    <t xml:space="preserve">スズハローム</t>
  </si>
  <si>
    <t xml:space="preserve">シャンパンカラー</t>
  </si>
  <si>
    <t xml:space="preserve">ウォーターリヒト</t>
  </si>
  <si>
    <t xml:space="preserve">ルクソールカフェ</t>
  </si>
  <si>
    <t xml:space="preserve">ワールズエンド</t>
  </si>
  <si>
    <t xml:space="preserve">セイウンハーデス</t>
  </si>
  <si>
    <t xml:space="preserve">ガイアフォース</t>
  </si>
  <si>
    <t xml:space="preserve">ドラゴンブースト</t>
  </si>
  <si>
    <t xml:space="preserve">パンジャタワー</t>
  </si>
  <si>
    <t xml:space="preserve">トロヴァトーレ</t>
  </si>
  <si>
    <t xml:space="preserve">テンカムテキ</t>
  </si>
  <si>
    <t xml:space="preserve">トーホウキザン</t>
  </si>
  <si>
    <t xml:space="preserve">エンファサイズ</t>
  </si>
  <si>
    <t xml:space="preserve">トラヴェリンバンド</t>
  </si>
  <si>
    <t xml:space="preserve">グレイスザクラウン</t>
  </si>
  <si>
    <t xml:space="preserve">セントラルヴァレー</t>
  </si>
  <si>
    <t xml:space="preserve">アースイオス</t>
  </si>
  <si>
    <t xml:space="preserve">マクリール</t>
  </si>
  <si>
    <t xml:space="preserve">ホウキボシ</t>
  </si>
  <si>
    <t xml:space="preserve">リベッチオ</t>
  </si>
  <si>
    <t xml:space="preserve">アスゴッド</t>
  </si>
  <si>
    <t xml:space="preserve">オーサムデアラー</t>
  </si>
  <si>
    <t xml:space="preserve">アルヴィア</t>
  </si>
  <si>
    <t xml:space="preserve">テンカオーライ</t>
  </si>
  <si>
    <t xml:space="preserve">ロードオールライト</t>
  </si>
  <si>
    <t xml:space="preserve">オリンポスカズマ</t>
  </si>
  <si>
    <t xml:space="preserve">フォーディアライフ</t>
  </si>
  <si>
    <t xml:space="preserve">イモータルバード</t>
  </si>
  <si>
    <t xml:space="preserve">スペイドアン</t>
  </si>
  <si>
    <t xml:space="preserve">ポリキポリキ</t>
  </si>
  <si>
    <t xml:space="preserve">カヴァティーナ</t>
  </si>
  <si>
    <t xml:space="preserve">ジーティーメティオ</t>
  </si>
  <si>
    <t xml:space="preserve">レディアグレッサー</t>
  </si>
  <si>
    <t xml:space="preserve">バーバラップ</t>
  </si>
  <si>
    <t xml:space="preserve">ロードヴェリタス</t>
  </si>
  <si>
    <t xml:space="preserve">ボクサークラブ</t>
  </si>
  <si>
    <t xml:space="preserve">シエルブリエ</t>
  </si>
  <si>
    <t xml:space="preserve">スマイルガルーダ</t>
  </si>
  <si>
    <t xml:space="preserve">セキゾウ</t>
  </si>
  <si>
    <t xml:space="preserve">ジョイフルサンデー</t>
  </si>
  <si>
    <t xml:space="preserve">シャインヴィーラ</t>
  </si>
  <si>
    <t xml:space="preserve">ヴァンロゼ</t>
  </si>
  <si>
    <t xml:space="preserve">シュネープリンセス</t>
  </si>
  <si>
    <t xml:space="preserve">モズジェネラル</t>
  </si>
  <si>
    <t xml:space="preserve">ヒルノジェノヴァ</t>
  </si>
  <si>
    <t xml:space="preserve">メイショウナナユキ</t>
  </si>
  <si>
    <t xml:space="preserve">ココプレミア</t>
  </si>
  <si>
    <t xml:space="preserve">ロードインヴォーグ</t>
  </si>
  <si>
    <t xml:space="preserve">ビスケットサンド</t>
  </si>
  <si>
    <t xml:space="preserve">ランダムナンバー</t>
  </si>
  <si>
    <t xml:space="preserve">サンシルヴァリー</t>
  </si>
  <si>
    <t xml:space="preserve">クリムゾンバースト</t>
  </si>
  <si>
    <t xml:space="preserve">アスクウルトラモア</t>
  </si>
  <si>
    <t xml:space="preserve">シャイニーデイ</t>
  </si>
  <si>
    <t xml:space="preserve">ショウナンアンバー</t>
  </si>
  <si>
    <t xml:space="preserve">グロリアス</t>
  </si>
  <si>
    <t xml:space="preserve">クレマチス</t>
  </si>
  <si>
    <t xml:space="preserve">リアンドゥクール</t>
  </si>
  <si>
    <t xml:space="preserve">オラヴィンリンナ</t>
  </si>
  <si>
    <t xml:space="preserve">コンテナライン</t>
  </si>
  <si>
    <t xml:space="preserve">クイーンズドリーム</t>
  </si>
  <si>
    <t xml:space="preserve">ミルボナー</t>
  </si>
  <si>
    <t xml:space="preserve">ヴェントステラーレ</t>
  </si>
  <si>
    <t xml:space="preserve">セレーノ</t>
  </si>
  <si>
    <t xml:space="preserve">ハッピーラブソング</t>
  </si>
  <si>
    <t xml:space="preserve">アロマフェリス</t>
  </si>
  <si>
    <t xml:space="preserve">ゴコウサス</t>
  </si>
  <si>
    <t xml:space="preserve">オドラニャソンソン</t>
  </si>
  <si>
    <t xml:space="preserve">グレースジェンヌ</t>
  </si>
  <si>
    <t xml:space="preserve">ダンデノン</t>
  </si>
  <si>
    <t xml:space="preserve">サリュエ</t>
  </si>
  <si>
    <t xml:space="preserve">シュネーグロッケン</t>
  </si>
  <si>
    <t xml:space="preserve">シンヒダカゴールド</t>
  </si>
  <si>
    <t xml:space="preserve">スウィートリワード</t>
  </si>
  <si>
    <t xml:space="preserve">ムーンウォーリア</t>
  </si>
  <si>
    <t xml:space="preserve">ソルオーブ</t>
  </si>
  <si>
    <t xml:space="preserve">ワンコールアウェイ</t>
  </si>
  <si>
    <t xml:space="preserve">セディバン</t>
  </si>
  <si>
    <t xml:space="preserve">サンセットゴールド</t>
  </si>
  <si>
    <t xml:space="preserve">アスクヴォルテージ</t>
  </si>
  <si>
    <t xml:space="preserve">ロンティケチャップ</t>
  </si>
  <si>
    <t xml:space="preserve">ジュルナール</t>
  </si>
  <si>
    <t xml:space="preserve">ハリウッドブルース</t>
  </si>
  <si>
    <t xml:space="preserve">カナタコナタ</t>
  </si>
  <si>
    <t xml:space="preserve">ハリウッドパーク</t>
  </si>
  <si>
    <t xml:space="preserve">マイティマイティー</t>
  </si>
  <si>
    <t xml:space="preserve">マーゴットレーヴ</t>
  </si>
  <si>
    <t xml:space="preserve">ロードオルデン</t>
  </si>
  <si>
    <t xml:space="preserve">テラステラ</t>
  </si>
  <si>
    <t xml:space="preserve">ポッドドンナー</t>
  </si>
  <si>
    <t xml:space="preserve">ウインリベラシオン</t>
  </si>
  <si>
    <t xml:space="preserve">リュキア</t>
  </si>
  <si>
    <t xml:space="preserve">ムーヴ</t>
  </si>
  <si>
    <t xml:space="preserve">マルモリスペシャル</t>
  </si>
  <si>
    <t xml:space="preserve">フリームファクシ</t>
  </si>
  <si>
    <t xml:space="preserve">アンズアメ</t>
  </si>
  <si>
    <t xml:space="preserve">スマートフォルス</t>
  </si>
  <si>
    <t xml:space="preserve">クロジシジョー</t>
  </si>
  <si>
    <t xml:space="preserve">ケイアイドリー</t>
  </si>
  <si>
    <t xml:space="preserve">リジル</t>
  </si>
  <si>
    <t xml:space="preserve">アガシ</t>
  </si>
  <si>
    <t xml:space="preserve">ロードフロンティア</t>
  </si>
  <si>
    <t xml:space="preserve">ペプチドヤマト</t>
  </si>
  <si>
    <t xml:space="preserve">サンライズアムール</t>
  </si>
  <si>
    <t xml:space="preserve">コンクイスタ</t>
  </si>
  <si>
    <t xml:space="preserve">ガーデンカメリア</t>
  </si>
  <si>
    <t xml:space="preserve">ココロヅヨサ</t>
  </si>
  <si>
    <t xml:space="preserve">チェリヴェント</t>
  </si>
  <si>
    <t xml:space="preserve">アーサーバローズ</t>
  </si>
  <si>
    <t xml:space="preserve">グロリアスグレイス</t>
  </si>
  <si>
    <t xml:space="preserve">フラワームーン</t>
  </si>
  <si>
    <t xml:space="preserve">ブレスドナイル</t>
  </si>
  <si>
    <t xml:space="preserve">ウルフ</t>
  </si>
  <si>
    <t xml:space="preserve">メイショウコナン</t>
  </si>
  <si>
    <t xml:space="preserve">ストーリーオブラブ</t>
  </si>
  <si>
    <t xml:space="preserve">ルージュアリスタ</t>
  </si>
  <si>
    <t xml:space="preserve">ブリサマリーナ</t>
  </si>
  <si>
    <t xml:space="preserve">ジューンミレニアム</t>
  </si>
  <si>
    <t xml:space="preserve">オウケンサクラコ</t>
  </si>
  <si>
    <t xml:space="preserve">アイリーノリチャン</t>
  </si>
  <si>
    <t xml:space="preserve">オービタルピリオド</t>
  </si>
  <si>
    <t xml:space="preserve">ゴールドエンバー</t>
  </si>
  <si>
    <t xml:space="preserve">イベリスアマラ</t>
  </si>
  <si>
    <t xml:space="preserve">スカイドリーマー</t>
  </si>
  <si>
    <t xml:space="preserve">コンフィグシス</t>
  </si>
  <si>
    <t xml:space="preserve">テンムス</t>
  </si>
  <si>
    <t xml:space="preserve">ウインターブレス</t>
  </si>
  <si>
    <t xml:space="preserve">ゾネブルーム</t>
  </si>
  <si>
    <t xml:space="preserve">レッドリアライズ</t>
  </si>
  <si>
    <t xml:space="preserve">アイスアンドスノー</t>
  </si>
  <si>
    <t xml:space="preserve">ヤマトスイフト</t>
  </si>
  <si>
    <t xml:space="preserve">ルナーファントム</t>
  </si>
  <si>
    <t xml:space="preserve">ナムラコハル</t>
  </si>
  <si>
    <t xml:space="preserve">フォルナカリア</t>
  </si>
  <si>
    <t xml:space="preserve">メビウスロマンス</t>
  </si>
  <si>
    <t xml:space="preserve">エッチェレンテ</t>
  </si>
  <si>
    <t xml:space="preserve">デルマカイモン</t>
  </si>
  <si>
    <t xml:space="preserve">メリティス</t>
  </si>
  <si>
    <t xml:space="preserve">ハチマン</t>
  </si>
  <si>
    <t xml:space="preserve">キリミツ</t>
  </si>
  <si>
    <t xml:space="preserve">ピーターサイト</t>
  </si>
  <si>
    <t xml:space="preserve">スズカハービン</t>
  </si>
  <si>
    <t xml:space="preserve">ゲインサポート</t>
  </si>
  <si>
    <t xml:space="preserve">ローディアマント</t>
  </si>
  <si>
    <t xml:space="preserve">ジーティーオウジャ</t>
  </si>
  <si>
    <t xml:space="preserve">ブラックボイス</t>
  </si>
  <si>
    <t xml:space="preserve">マオノアラシ</t>
  </si>
  <si>
    <t xml:space="preserve">コレクテイニア</t>
  </si>
  <si>
    <t xml:space="preserve">ジューンベロシティ</t>
  </si>
  <si>
    <t xml:space="preserve">メイショウソムリエ</t>
  </si>
  <si>
    <t xml:space="preserve">シャンデヴァーグ</t>
  </si>
  <si>
    <t xml:space="preserve">ブルーグラビティ</t>
  </si>
  <si>
    <t xml:space="preserve">ジーティーキャリー</t>
  </si>
  <si>
    <t xml:space="preserve">ユタライト</t>
  </si>
  <si>
    <t xml:space="preserve">ブラボーワン</t>
  </si>
  <si>
    <t xml:space="preserve">エコロナイン</t>
  </si>
  <si>
    <t xml:space="preserve">デミアン</t>
  </si>
  <si>
    <t xml:space="preserve">ノルトハウゼン</t>
  </si>
  <si>
    <t xml:space="preserve">サンレガート</t>
  </si>
  <si>
    <t xml:space="preserve">スノーキャップ</t>
  </si>
  <si>
    <t xml:space="preserve">ジェイエルサーベイ</t>
  </si>
  <si>
    <t xml:space="preserve">ハデステソーロ</t>
  </si>
  <si>
    <t xml:space="preserve">エイシンジザイテン</t>
  </si>
  <si>
    <t xml:space="preserve">ハニージョー</t>
  </si>
  <si>
    <t xml:space="preserve">オンザギャラクシー</t>
  </si>
  <si>
    <t xml:space="preserve">ハピナスター</t>
  </si>
  <si>
    <t xml:space="preserve">インプロペリア</t>
  </si>
  <si>
    <t xml:space="preserve">アルスマグナ</t>
  </si>
  <si>
    <t xml:space="preserve">サンダーユニバンス</t>
  </si>
  <si>
    <t xml:space="preserve">マルターズドン</t>
  </si>
  <si>
    <t xml:space="preserve">ライングッドマン</t>
  </si>
  <si>
    <t xml:space="preserve">ヘルモソブレード</t>
  </si>
  <si>
    <t xml:space="preserve">グレヴィレア</t>
  </si>
  <si>
    <t xml:space="preserve">ラベンダーヘイズ</t>
  </si>
  <si>
    <t xml:space="preserve">フェリスチカ</t>
  </si>
  <si>
    <t xml:space="preserve">シャオママル</t>
  </si>
  <si>
    <t xml:space="preserve">ホットゥトロット</t>
  </si>
  <si>
    <t xml:space="preserve">シュペルリング</t>
  </si>
  <si>
    <t xml:space="preserve">チムニートップス</t>
  </si>
  <si>
    <t xml:space="preserve">コズミックダンサー</t>
  </si>
  <si>
    <t xml:space="preserve">タッチャブル</t>
  </si>
  <si>
    <t xml:space="preserve">トクシースタローン</t>
  </si>
  <si>
    <t xml:space="preserve">サイモンルモンド</t>
  </si>
  <si>
    <t xml:space="preserve">シゲルカミカゼ</t>
  </si>
  <si>
    <t xml:space="preserve">インペリアルライン</t>
  </si>
  <si>
    <t xml:space="preserve">キャストロププ</t>
  </si>
  <si>
    <t xml:space="preserve">ビービーアジャイル</t>
  </si>
  <si>
    <t xml:space="preserve">トレインザマインド</t>
  </si>
  <si>
    <t xml:space="preserve">デルマタモン</t>
  </si>
  <si>
    <t xml:space="preserve">セイントエルモズ</t>
  </si>
  <si>
    <t xml:space="preserve">エイカイソウル</t>
  </si>
  <si>
    <t xml:space="preserve">レーウィン</t>
  </si>
  <si>
    <t xml:space="preserve">トクシーカイザー</t>
  </si>
  <si>
    <t xml:space="preserve">ファリーザ</t>
  </si>
  <si>
    <t xml:space="preserve">ヴァンドーム</t>
  </si>
  <si>
    <t xml:space="preserve">エンセリオ</t>
  </si>
  <si>
    <t xml:space="preserve">ラッキーキッド</t>
  </si>
  <si>
    <t xml:space="preserve">キョウエイフロイデ</t>
  </si>
  <si>
    <t xml:space="preserve">ルヴァレドクール</t>
  </si>
  <si>
    <t xml:space="preserve">ルフトクス</t>
  </si>
  <si>
    <t xml:space="preserve">ルグランヴァン</t>
  </si>
  <si>
    <t xml:space="preserve">リネアグローリア</t>
  </si>
  <si>
    <t xml:space="preserve">キャピタルサックス</t>
  </si>
  <si>
    <t xml:space="preserve">フルオール</t>
  </si>
  <si>
    <t xml:space="preserve">コブラ</t>
  </si>
  <si>
    <t xml:space="preserve">トルショー</t>
  </si>
  <si>
    <t xml:space="preserve">レガーロデルシエロ</t>
  </si>
  <si>
    <t xml:space="preserve">カネラフィーナ</t>
  </si>
  <si>
    <t xml:space="preserve">リラエンブレム</t>
  </si>
  <si>
    <t xml:space="preserve">バレエマスター</t>
  </si>
  <si>
    <t xml:space="preserve">ダノンエアズロック</t>
  </si>
  <si>
    <t xml:space="preserve">ディマイザキッド</t>
  </si>
  <si>
    <t xml:space="preserve">トーセンリョウ</t>
  </si>
  <si>
    <t xml:space="preserve">ヤマニンサンパ</t>
  </si>
  <si>
    <t xml:space="preserve">マルチャン</t>
  </si>
  <si>
    <t xml:space="preserve">ドルンレースツェン</t>
  </si>
  <si>
    <t xml:space="preserve">グルーヴィーオン</t>
  </si>
  <si>
    <t xml:space="preserve">ラインジーク</t>
  </si>
  <si>
    <t xml:space="preserve">ブリングライト</t>
  </si>
  <si>
    <t xml:space="preserve">ヴァルボナ</t>
  </si>
  <si>
    <t xml:space="preserve">スタームーンナイト</t>
  </si>
  <si>
    <t xml:space="preserve">ペイトー</t>
  </si>
  <si>
    <t xml:space="preserve">ニシノヴィヴィ</t>
  </si>
  <si>
    <t xml:space="preserve">エジプシャンマウ</t>
  </si>
  <si>
    <t xml:space="preserve">スーパーガール</t>
  </si>
  <si>
    <t xml:space="preserve">ガルディエンヌ</t>
  </si>
  <si>
    <t xml:space="preserve">テイケイウェリナ</t>
  </si>
  <si>
    <t xml:space="preserve">ワイドポティロン</t>
  </si>
  <si>
    <t xml:space="preserve">リトゥリア</t>
  </si>
  <si>
    <t xml:space="preserve">アスターシャウルス</t>
  </si>
  <si>
    <t xml:space="preserve">エバイダンス</t>
  </si>
  <si>
    <t xml:space="preserve">フィアスゲイル</t>
  </si>
  <si>
    <t xml:space="preserve">エイユーサクラ</t>
  </si>
  <si>
    <t xml:space="preserve">ビーチボール</t>
  </si>
  <si>
    <t xml:space="preserve">タニセンゴールド</t>
  </si>
  <si>
    <t xml:space="preserve">マイカラー</t>
  </si>
  <si>
    <t xml:space="preserve">クボウサマ</t>
  </si>
  <si>
    <t xml:space="preserve">レジェルテ</t>
  </si>
  <si>
    <t xml:space="preserve">レディトゥフライト</t>
  </si>
  <si>
    <t xml:space="preserve">サンライズアーサー</t>
  </si>
  <si>
    <t xml:space="preserve">メイショウジンライ</t>
  </si>
  <si>
    <t xml:space="preserve">ジーティースティア</t>
  </si>
  <si>
    <t xml:space="preserve">ラヴィアンコール</t>
  </si>
  <si>
    <t xml:space="preserve">キタノハイテイル</t>
  </si>
  <si>
    <t xml:space="preserve">クリノリキオー</t>
  </si>
  <si>
    <t xml:space="preserve">フェルギナス</t>
  </si>
  <si>
    <t xml:space="preserve">ボールドペイト</t>
  </si>
  <si>
    <t xml:space="preserve">イーグルチョイス</t>
  </si>
  <si>
    <t xml:space="preserve">カステッロトゥーレ</t>
  </si>
  <si>
    <t xml:space="preserve">リン</t>
  </si>
  <si>
    <t xml:space="preserve">カデナボニータ</t>
  </si>
  <si>
    <t xml:space="preserve">ジーティーウタマロ</t>
  </si>
  <si>
    <t xml:space="preserve">マルカアルバ</t>
  </si>
  <si>
    <t xml:space="preserve">ラパンドール</t>
  </si>
  <si>
    <t xml:space="preserve">ダイヤモンドエルザ</t>
  </si>
  <si>
    <t xml:space="preserve">スタークラウン</t>
  </si>
  <si>
    <t xml:space="preserve">レフティサーリ</t>
  </si>
  <si>
    <t xml:space="preserve">ルフトブリュッケ</t>
  </si>
  <si>
    <t xml:space="preserve">ナポリ</t>
  </si>
  <si>
    <t xml:space="preserve">バミューダブーケ</t>
  </si>
  <si>
    <t xml:space="preserve">タマコイファルコン</t>
  </si>
  <si>
    <t xml:space="preserve">ウンディーネ</t>
  </si>
  <si>
    <t xml:space="preserve">ルガルデ</t>
  </si>
  <si>
    <t xml:space="preserve">ヨッシーフレアー</t>
  </si>
  <si>
    <t xml:space="preserve">ヴィルダースヴィル</t>
  </si>
  <si>
    <t xml:space="preserve">ナオミガサイキョウ</t>
  </si>
  <si>
    <t xml:space="preserve">ヘスティア</t>
  </si>
  <si>
    <t xml:space="preserve">アイゼンフォルク</t>
  </si>
  <si>
    <t xml:space="preserve">ラブシンフォニー</t>
  </si>
  <si>
    <t xml:space="preserve">ジュンドラドラ</t>
  </si>
  <si>
    <t xml:space="preserve">サンライズオスカー</t>
  </si>
  <si>
    <t xml:space="preserve">アミラル</t>
  </si>
  <si>
    <t xml:space="preserve">ブリオメンテ</t>
  </si>
  <si>
    <t xml:space="preserve">エイユーファイヤー</t>
  </si>
  <si>
    <t xml:space="preserve">フィサブロス</t>
  </si>
  <si>
    <t xml:space="preserve">エドウィンナルコ</t>
  </si>
  <si>
    <t xml:space="preserve">スカイストライプス</t>
  </si>
  <si>
    <t xml:space="preserve">ディニテ</t>
  </si>
  <si>
    <t xml:space="preserve">ウォーターエアリー</t>
  </si>
  <si>
    <t xml:space="preserve">テレプシコーラ</t>
  </si>
  <si>
    <t xml:space="preserve">オリーボーレン</t>
  </si>
  <si>
    <t xml:space="preserve">ピエタンツァ</t>
  </si>
  <si>
    <t xml:space="preserve">ベルサンローラン</t>
  </si>
  <si>
    <t xml:space="preserve">ミティリーニ</t>
  </si>
  <si>
    <t xml:space="preserve">フォルナックス</t>
  </si>
  <si>
    <t xml:space="preserve">サッポロイクコ</t>
  </si>
  <si>
    <t xml:space="preserve">テイエムスティール</t>
  </si>
  <si>
    <t xml:space="preserve">ホウオウレイヴン</t>
  </si>
  <si>
    <t xml:space="preserve">アットアブラスト</t>
  </si>
  <si>
    <t xml:space="preserve">ブレットパス</t>
  </si>
  <si>
    <t xml:space="preserve">メディテラニアン</t>
  </si>
  <si>
    <t xml:space="preserve">ノチェセラーダ</t>
  </si>
  <si>
    <t xml:space="preserve">オーシンハーフ</t>
  </si>
  <si>
    <t xml:space="preserve">メイショウアイル</t>
  </si>
  <si>
    <t xml:space="preserve">アスクコモンタレヴ</t>
  </si>
  <si>
    <t xml:space="preserve">モカラマーズ</t>
  </si>
  <si>
    <t xml:space="preserve">キボウノホシ</t>
  </si>
  <si>
    <t xml:space="preserve">オトメナシャチョウ</t>
  </si>
  <si>
    <t xml:space="preserve">ボルセーナ</t>
  </si>
  <si>
    <t xml:space="preserve">ヴィクトリーロード</t>
  </si>
  <si>
    <t xml:space="preserve">テーオーグレーザー</t>
  </si>
  <si>
    <t xml:space="preserve">ヴリトラハン</t>
  </si>
  <si>
    <t xml:space="preserve">リチュアル</t>
  </si>
  <si>
    <t xml:space="preserve">マリアナトレンチ</t>
  </si>
  <si>
    <t xml:space="preserve">クインズショコラ</t>
  </si>
  <si>
    <t xml:space="preserve">テーオーグランビル</t>
  </si>
  <si>
    <t xml:space="preserve">ハギノサステナブル</t>
  </si>
  <si>
    <t xml:space="preserve">グランドプラージュ</t>
  </si>
  <si>
    <t xml:space="preserve">ヴィヴァン</t>
  </si>
  <si>
    <t xml:space="preserve">ハピ</t>
  </si>
  <si>
    <t xml:space="preserve">メイショウユズルハ</t>
  </si>
  <si>
    <t xml:space="preserve">ラインオブソウル</t>
  </si>
  <si>
    <t xml:space="preserve">ゴールデンクラウド</t>
  </si>
  <si>
    <t xml:space="preserve">ミルトベスト</t>
  </si>
  <si>
    <t xml:space="preserve">フェリーニ</t>
  </si>
  <si>
    <t xml:space="preserve">フェゲフォイア</t>
  </si>
  <si>
    <t xml:space="preserve">ヴァージル</t>
  </si>
  <si>
    <t xml:space="preserve">トウカイフルーレ</t>
  </si>
  <si>
    <t xml:space="preserve">エスティヴァリス</t>
  </si>
  <si>
    <t xml:space="preserve">ヒャクレツケン</t>
  </si>
  <si>
    <t xml:space="preserve">ティスマイル</t>
  </si>
  <si>
    <t xml:space="preserve">スタンダールロマン</t>
  </si>
  <si>
    <t xml:space="preserve">ソレイユルヴァン</t>
  </si>
  <si>
    <t xml:space="preserve">ベルラフィネ</t>
  </si>
  <si>
    <t xml:space="preserve">ファイネクローネ</t>
  </si>
  <si>
    <t xml:space="preserve">ミツカネメルクリオ</t>
  </si>
  <si>
    <t xml:space="preserve">メイワメジェール</t>
  </si>
  <si>
    <t xml:space="preserve">ダイシンレスター</t>
  </si>
  <si>
    <t xml:space="preserve">トコシエノヒトミ</t>
  </si>
  <si>
    <t xml:space="preserve">デリシューズマン</t>
  </si>
  <si>
    <t xml:space="preserve">ドナシュネル</t>
  </si>
  <si>
    <t xml:space="preserve">デルマフジ</t>
  </si>
  <si>
    <t xml:space="preserve">ワルキューレキング</t>
  </si>
  <si>
    <t xml:space="preserve">セイウンサファイア</t>
  </si>
  <si>
    <t xml:space="preserve">ホシヅキヨ</t>
  </si>
  <si>
    <t xml:space="preserve">アンバーニードル</t>
  </si>
  <si>
    <t xml:space="preserve">カイトグート</t>
  </si>
  <si>
    <t xml:space="preserve">エムティリオ</t>
  </si>
  <si>
    <t xml:space="preserve">スペルビア</t>
  </si>
  <si>
    <t xml:space="preserve">コムルヴァン</t>
  </si>
  <si>
    <t xml:space="preserve">ステラノヴァ</t>
  </si>
  <si>
    <t xml:space="preserve">ジャスパーノベル</t>
  </si>
  <si>
    <t xml:space="preserve">シャーンゴッセ</t>
  </si>
  <si>
    <t xml:space="preserve">ページターナー</t>
  </si>
  <si>
    <t xml:space="preserve">ストームサンダー</t>
  </si>
  <si>
    <t xml:space="preserve">ザブライド</t>
  </si>
  <si>
    <t xml:space="preserve">ベネスピラ</t>
  </si>
  <si>
    <t xml:space="preserve">モズナナスター</t>
  </si>
  <si>
    <t xml:space="preserve">ダノンマッキンリー</t>
  </si>
  <si>
    <t xml:space="preserve">レイピア</t>
  </si>
  <si>
    <t xml:space="preserve">カルプスペルシュ</t>
  </si>
  <si>
    <t xml:space="preserve">ポッドベイダー</t>
  </si>
  <si>
    <t xml:space="preserve">エーティーマクフィ</t>
  </si>
  <si>
    <t xml:space="preserve">インビンシブルパパ</t>
  </si>
  <si>
    <t xml:space="preserve">ルシード</t>
  </si>
  <si>
    <t xml:space="preserve">シュタールヴィント</t>
  </si>
  <si>
    <t xml:space="preserve">スマートブル</t>
  </si>
  <si>
    <t xml:space="preserve">ロードアルディート</t>
  </si>
  <si>
    <t xml:space="preserve">ロミオ</t>
  </si>
  <si>
    <t xml:space="preserve">ペトリコール</t>
  </si>
  <si>
    <t xml:space="preserve">イナンナ</t>
  </si>
  <si>
    <t xml:space="preserve">リオンアンサー</t>
  </si>
  <si>
    <t xml:space="preserve">ブライティアビーム</t>
  </si>
  <si>
    <t xml:space="preserve">クアラトレンガヌ</t>
  </si>
  <si>
    <t xml:space="preserve">ブラックゲイル</t>
  </si>
  <si>
    <t xml:space="preserve">ツウカイウォリアー</t>
  </si>
  <si>
    <t xml:space="preserve">パレホ</t>
  </si>
  <si>
    <t xml:space="preserve">ジョイグリーン</t>
  </si>
  <si>
    <t xml:space="preserve">モデレートゲイル</t>
  </si>
  <si>
    <t xml:space="preserve">ニシノロッドマン</t>
  </si>
  <si>
    <t xml:space="preserve">ゴールデンボート</t>
  </si>
  <si>
    <t xml:space="preserve">ラブトゥエニイワン</t>
  </si>
  <si>
    <t xml:space="preserve">アミナス</t>
  </si>
  <si>
    <t xml:space="preserve">ソナタムーンライト</t>
  </si>
  <si>
    <t xml:space="preserve">ガビーズメロディ</t>
  </si>
  <si>
    <t xml:space="preserve">エヴィーヴァ</t>
  </si>
  <si>
    <t xml:space="preserve">ローレルクラウン</t>
  </si>
  <si>
    <t xml:space="preserve">レヴェランジェ</t>
  </si>
  <si>
    <t xml:space="preserve">ミクロスギガース</t>
  </si>
  <si>
    <t xml:space="preserve">アエログラム</t>
  </si>
  <si>
    <t xml:space="preserve">ジーティージェミル</t>
  </si>
  <si>
    <t xml:space="preserve">ツウキンカイソク</t>
  </si>
  <si>
    <t xml:space="preserve">アドマイヤパープル</t>
  </si>
  <si>
    <t xml:space="preserve">ガミーヌ</t>
  </si>
  <si>
    <t xml:space="preserve">テムファイア</t>
  </si>
  <si>
    <t xml:space="preserve">ボードゥロレーヌ</t>
  </si>
  <si>
    <t xml:space="preserve">ディルイーヤ</t>
  </si>
  <si>
    <t xml:space="preserve">ハイトラクション</t>
  </si>
  <si>
    <t xml:space="preserve">シュネルアステリア</t>
  </si>
  <si>
    <t xml:space="preserve">トゥザファイナル</t>
  </si>
  <si>
    <t xml:space="preserve">ラキアーヴェ</t>
  </si>
  <si>
    <t xml:space="preserve">ユイノエスポワール</t>
  </si>
  <si>
    <t xml:space="preserve">ポッドエステラ</t>
  </si>
  <si>
    <t xml:space="preserve">キュータンチャン</t>
  </si>
  <si>
    <t xml:space="preserve">マイネルクロカータ</t>
  </si>
  <si>
    <t xml:space="preserve">スターフラッシュ</t>
  </si>
  <si>
    <t xml:space="preserve">レッドインサイト</t>
  </si>
  <si>
    <t xml:space="preserve">ベルウッドディープ</t>
  </si>
  <si>
    <t xml:space="preserve">ニースケンス</t>
  </si>
  <si>
    <t xml:space="preserve">ソウカイウォーリア</t>
  </si>
  <si>
    <t xml:space="preserve">ソナタテソーロ</t>
  </si>
  <si>
    <t xml:space="preserve">ルクスマグナ</t>
  </si>
  <si>
    <t xml:space="preserve">ファイタージェット</t>
  </si>
  <si>
    <t xml:space="preserve">プルメリアクヒオ</t>
  </si>
  <si>
    <t xml:space="preserve">ミアルーチェ</t>
  </si>
  <si>
    <t xml:space="preserve">ヴェラグエリエロ</t>
  </si>
  <si>
    <t xml:space="preserve">ソクヅモドラドラ</t>
  </si>
  <si>
    <t xml:space="preserve">ムーランブルー</t>
  </si>
  <si>
    <t xml:space="preserve">タマモトリノ</t>
  </si>
  <si>
    <t xml:space="preserve">ジェイエルモーダル</t>
  </si>
  <si>
    <t xml:space="preserve">ブルージャイアント</t>
  </si>
  <si>
    <t xml:space="preserve">オルブライト</t>
  </si>
  <si>
    <t xml:space="preserve">レイヒストリコ</t>
  </si>
  <si>
    <t xml:space="preserve">タイキフィアリーベ</t>
  </si>
  <si>
    <t xml:space="preserve">ウインドラート</t>
  </si>
  <si>
    <t xml:space="preserve">シーギリヤロック</t>
  </si>
  <si>
    <t xml:space="preserve">ショウグンマサムネ</t>
  </si>
  <si>
    <t xml:space="preserve">キョウエイグッド</t>
  </si>
  <si>
    <t xml:space="preserve">ユーディキウム</t>
  </si>
  <si>
    <t xml:space="preserve">ジャスティンシカゴ</t>
  </si>
  <si>
    <t xml:space="preserve">ランニングビーチ</t>
  </si>
  <si>
    <t xml:space="preserve">リーゼントジェイド</t>
  </si>
  <si>
    <t xml:space="preserve">ハクシンブライアン</t>
  </si>
  <si>
    <t xml:space="preserve">バトンロード</t>
  </si>
  <si>
    <t xml:space="preserve">コーシューパンジャ</t>
  </si>
  <si>
    <t xml:space="preserve">タルタロス</t>
  </si>
  <si>
    <t xml:space="preserve">ノボリフジ</t>
  </si>
  <si>
    <t xml:space="preserve">ミリオンヴォイス</t>
  </si>
  <si>
    <t xml:space="preserve">フクノスナノバラ</t>
  </si>
  <si>
    <t xml:space="preserve">バスキュール</t>
  </si>
  <si>
    <t xml:space="preserve">ウフドゥウフ</t>
  </si>
  <si>
    <t xml:space="preserve">テーオーアルアイン</t>
  </si>
  <si>
    <t xml:space="preserve">ホークマン</t>
  </si>
  <si>
    <t xml:space="preserve">フジガイフウ</t>
  </si>
  <si>
    <t xml:space="preserve">レッドバレンティア</t>
  </si>
  <si>
    <t xml:space="preserve">コムユンプリュム</t>
  </si>
  <si>
    <t xml:space="preserve">アージェント</t>
  </si>
  <si>
    <t xml:space="preserve">ミクストベリーズ</t>
  </si>
  <si>
    <t xml:space="preserve">ルクスジニア</t>
  </si>
  <si>
    <t xml:space="preserve">クールデイトナ</t>
  </si>
  <si>
    <t xml:space="preserve">ベトルス</t>
  </si>
  <si>
    <t xml:space="preserve">シャドウメテオ</t>
  </si>
  <si>
    <t xml:space="preserve">ダノンホイットニー</t>
  </si>
  <si>
    <t xml:space="preserve">バレンタインガール</t>
  </si>
  <si>
    <t xml:space="preserve">ジョイボーイ</t>
  </si>
  <si>
    <t xml:space="preserve">ウインルーティン</t>
  </si>
  <si>
    <t xml:space="preserve">ベンサレム</t>
  </si>
  <si>
    <t xml:space="preserve">キングノジョー</t>
  </si>
  <si>
    <t xml:space="preserve">オストラヴァ</t>
  </si>
  <si>
    <t xml:space="preserve">ログラール</t>
  </si>
  <si>
    <t xml:space="preserve">キントリヒ</t>
  </si>
  <si>
    <t xml:space="preserve">ラケマーダ</t>
  </si>
  <si>
    <t xml:space="preserve">グレイイングリーン</t>
  </si>
  <si>
    <t xml:space="preserve">ショウナンザナドゥ</t>
  </si>
  <si>
    <t xml:space="preserve">クルゼイロドスル</t>
  </si>
  <si>
    <t xml:space="preserve">イミグラントソング</t>
  </si>
  <si>
    <t xml:space="preserve">カンシン</t>
  </si>
  <si>
    <t xml:space="preserve">カリボール</t>
  </si>
  <si>
    <t xml:space="preserve">グロリアラウス</t>
  </si>
  <si>
    <t xml:space="preserve">マイネルチケット</t>
  </si>
  <si>
    <t xml:space="preserve">レッドシュヴェルト</t>
  </si>
  <si>
    <t xml:space="preserve">アクートゥス</t>
  </si>
  <si>
    <t xml:space="preserve">ドナカルナバル</t>
  </si>
  <si>
    <t xml:space="preserve">セブンマイスター</t>
  </si>
  <si>
    <t xml:space="preserve">ヒロノゴウカイ</t>
  </si>
  <si>
    <t xml:space="preserve">スマートスピア</t>
  </si>
  <si>
    <t xml:space="preserve">マキシマムビスタ</t>
  </si>
  <si>
    <t xml:space="preserve">ケーヴァラ</t>
  </si>
  <si>
    <t xml:space="preserve">ミダース</t>
  </si>
  <si>
    <t xml:space="preserve">ロンギングフォユー</t>
  </si>
  <si>
    <t xml:space="preserve">サンカルミア</t>
  </si>
  <si>
    <t xml:space="preserve">ブラッドムーン</t>
  </si>
  <si>
    <t xml:space="preserve">メイショウサザナミ</t>
  </si>
  <si>
    <t xml:space="preserve">アクシュラ</t>
  </si>
  <si>
    <t xml:space="preserve">リリーボレア</t>
  </si>
  <si>
    <t xml:space="preserve">ステインアライヴ</t>
  </si>
  <si>
    <t xml:space="preserve">ラヴィングチャンプ</t>
  </si>
  <si>
    <t xml:space="preserve">シャドウルーラー</t>
  </si>
  <si>
    <t xml:space="preserve">ソブリンズオーブ</t>
  </si>
  <si>
    <t xml:space="preserve">アルビオン</t>
  </si>
  <si>
    <t xml:space="preserve">ジュンクロノシップ</t>
  </si>
  <si>
    <t xml:space="preserve">ウイルソン</t>
  </si>
  <si>
    <t xml:space="preserve">ブルークレスト</t>
  </si>
  <si>
    <t xml:space="preserve">サンライズナスカ</t>
  </si>
  <si>
    <t xml:space="preserve">ダイシンヨーク</t>
  </si>
  <si>
    <t xml:space="preserve">ファツアップ</t>
  </si>
  <si>
    <t xml:space="preserve">ブロンザイト</t>
  </si>
  <si>
    <t xml:space="preserve">オアシスアラン</t>
  </si>
  <si>
    <t xml:space="preserve">ガロピーネ</t>
  </si>
  <si>
    <t xml:space="preserve">キングスペード</t>
  </si>
  <si>
    <t xml:space="preserve">アルファローバ</t>
  </si>
  <si>
    <t xml:space="preserve">レッドホット</t>
  </si>
  <si>
    <t xml:space="preserve">サマーナジュム</t>
  </si>
  <si>
    <t xml:space="preserve">ナムラカメコ</t>
  </si>
  <si>
    <t xml:space="preserve">ジェンティール</t>
  </si>
  <si>
    <t xml:space="preserve">カセノコンコルド</t>
  </si>
  <si>
    <t xml:space="preserve">インドミタビリティ</t>
  </si>
  <si>
    <t xml:space="preserve">キタノトレボーネ</t>
  </si>
  <si>
    <t xml:space="preserve">チェルヴァーラ</t>
  </si>
  <si>
    <t xml:space="preserve">デプレ</t>
  </si>
  <si>
    <t xml:space="preserve">パゴスピグイノス</t>
  </si>
  <si>
    <t xml:space="preserve">イクオクコウネン</t>
  </si>
  <si>
    <t xml:space="preserve">ゼータレティクル</t>
  </si>
  <si>
    <t xml:space="preserve">ミエノクラウン</t>
  </si>
  <si>
    <t xml:space="preserve">ジーゲスツーク</t>
  </si>
  <si>
    <t xml:space="preserve">ジュンヴァグネル</t>
  </si>
  <si>
    <t xml:space="preserve">ダイナマイク</t>
  </si>
  <si>
    <t xml:space="preserve">ジーティーアツモリ</t>
  </si>
  <si>
    <t xml:space="preserve">インカルナータ</t>
  </si>
  <si>
    <t xml:space="preserve">オンユアマークス</t>
  </si>
  <si>
    <t xml:space="preserve">モズイージス</t>
  </si>
  <si>
    <t xml:space="preserve">クインズシャウラ</t>
  </si>
  <si>
    <t xml:space="preserve">ランドプリメーロ</t>
  </si>
  <si>
    <t xml:space="preserve">オースミライト</t>
  </si>
  <si>
    <t xml:space="preserve">ディーエストッキー</t>
  </si>
  <si>
    <t xml:space="preserve">グランデスフィーダ</t>
  </si>
  <si>
    <t xml:space="preserve">エリカヴェローナ</t>
  </si>
  <si>
    <t xml:space="preserve">アームズレジェンド</t>
  </si>
  <si>
    <t xml:space="preserve">レッドレベンディス</t>
  </si>
  <si>
    <t xml:space="preserve">グラスゴー</t>
  </si>
  <si>
    <t xml:space="preserve">ラヴネヴァーダイズ</t>
  </si>
  <si>
    <t xml:space="preserve">メイショウハンター</t>
  </si>
  <si>
    <t xml:space="preserve">ロングホリデー</t>
  </si>
  <si>
    <t xml:space="preserve">サイモンコーラル</t>
  </si>
  <si>
    <t xml:space="preserve">メイショウコマチ</t>
  </si>
  <si>
    <t xml:space="preserve">ラヴァブル</t>
  </si>
  <si>
    <t xml:space="preserve">インフローレ</t>
  </si>
  <si>
    <t xml:space="preserve">ストラテージュ</t>
  </si>
  <si>
    <t xml:space="preserve">バンディート</t>
  </si>
  <si>
    <t xml:space="preserve">マーゴットミスト</t>
  </si>
  <si>
    <t xml:space="preserve">サンタンカ</t>
  </si>
  <si>
    <t xml:space="preserve">マイエレメント</t>
  </si>
  <si>
    <t xml:space="preserve">チャンネルトンネル</t>
  </si>
  <si>
    <t xml:space="preserve">ミナデオロ</t>
  </si>
  <si>
    <t xml:space="preserve">アウフヘーベン</t>
  </si>
  <si>
    <t xml:space="preserve">コルレオニス</t>
  </si>
  <si>
    <t xml:space="preserve">セブンマジシャン</t>
  </si>
  <si>
    <t xml:space="preserve">ダノンデサイル</t>
  </si>
  <si>
    <t xml:space="preserve">ミュージアムマイル</t>
  </si>
  <si>
    <t xml:space="preserve">シュガークン</t>
  </si>
  <si>
    <t xml:space="preserve">ミクニインスパイア</t>
  </si>
  <si>
    <t xml:space="preserve">クロワデュノール</t>
  </si>
  <si>
    <t xml:space="preserve">ビザンチンドリーム</t>
  </si>
  <si>
    <t xml:space="preserve">ファミリータイム</t>
  </si>
  <si>
    <t xml:space="preserve">タガノデュード</t>
  </si>
  <si>
    <t xml:space="preserve">コスモキュランダ</t>
  </si>
  <si>
    <t xml:space="preserve">ジューンテイク</t>
  </si>
  <si>
    <t xml:space="preserve">シンエンペラー</t>
  </si>
  <si>
    <t xml:space="preserve">マイネルエンペラー</t>
  </si>
  <si>
    <t xml:space="preserve">シェイクユアハート</t>
  </si>
  <si>
    <t xml:space="preserve">スティンガーグラス</t>
  </si>
  <si>
    <t xml:space="preserve">メイショウタバル</t>
  </si>
  <si>
    <t xml:space="preserve">レガレイラ</t>
  </si>
  <si>
    <t xml:space="preserve">ミステリーウェイ</t>
  </si>
  <si>
    <t xml:space="preserve">ギーロカスタル</t>
  </si>
  <si>
    <t xml:space="preserve">ライジン</t>
  </si>
  <si>
    <t xml:space="preserve">エムズマインド</t>
  </si>
  <si>
    <t xml:space="preserve">サンダーバース</t>
  </si>
  <si>
    <t xml:space="preserve">ディニトーソ</t>
  </si>
  <si>
    <t xml:space="preserve">ロサンゼルス</t>
  </si>
  <si>
    <t xml:space="preserve">ウルスクローム</t>
  </si>
  <si>
    <t xml:space="preserve">ノボリショウリュウ</t>
  </si>
  <si>
    <t xml:space="preserve">ルクスデイジー</t>
  </si>
  <si>
    <t xml:space="preserve">ハイバーニアン</t>
  </si>
  <si>
    <t xml:space="preserve">マテンロウブリッジ</t>
  </si>
  <si>
    <t xml:space="preserve">キタノオンザバス</t>
  </si>
  <si>
    <t xml:space="preserve">セスティーナ</t>
  </si>
  <si>
    <t xml:space="preserve">タマモキャロル</t>
  </si>
  <si>
    <t xml:space="preserve">ルクソンライト</t>
  </si>
  <si>
    <t xml:space="preserve">エトワールフィーユ</t>
  </si>
  <si>
    <t xml:space="preserve">サチノブーケ</t>
  </si>
  <si>
    <t xml:space="preserve">レガリーノ</t>
  </si>
  <si>
    <t xml:space="preserve">コスモアルペジオ</t>
  </si>
  <si>
    <t xml:space="preserve">リーベンスヴェルト</t>
  </si>
  <si>
    <t xml:space="preserve">スケルツォテソーロ</t>
  </si>
  <si>
    <t xml:space="preserve">ハートチャン</t>
  </si>
  <si>
    <t xml:space="preserve">レジオンポレール</t>
  </si>
  <si>
    <t xml:space="preserve">オオゾラヒバリ</t>
  </si>
  <si>
    <t xml:space="preserve">ジャスパールビー</t>
  </si>
  <si>
    <t xml:space="preserve">スマッシュアウト</t>
  </si>
  <si>
    <t xml:space="preserve">プリンセスモコ</t>
  </si>
  <si>
    <t xml:space="preserve">スミレファースト</t>
  </si>
  <si>
    <t xml:space="preserve">エクセルゴールド</t>
  </si>
  <si>
    <t xml:space="preserve">エイシンキーンラン</t>
  </si>
  <si>
    <r>
      <rPr>
        <sz val="11"/>
        <color theme="1"/>
        <rFont val="Noto Sans"/>
        <family val="2"/>
      </rPr>
      <t xml:space="preserve">画像セル単位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"/>
        <family val="2"/>
      </rPr>
      <t xml:space="preserve">月確定値分類＋拡大目視検算／結果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突合／着順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</si>
  <si>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ラヴィングリー</t>
  </si>
  <si>
    <t xml:space="preserve">アンジュレーヌ</t>
  </si>
  <si>
    <t xml:space="preserve">ミッキースワン</t>
  </si>
  <si>
    <t xml:space="preserve">サーロー</t>
  </si>
  <si>
    <t xml:space="preserve">ヌクレオチド</t>
  </si>
  <si>
    <t xml:space="preserve">インスウィング</t>
  </si>
  <si>
    <t xml:space="preserve">レオスキーム</t>
  </si>
  <si>
    <t xml:space="preserve">ハクサンマンゲツ</t>
  </si>
  <si>
    <t xml:space="preserve">バターショコラ</t>
  </si>
  <si>
    <t xml:space="preserve">アイデアユー</t>
  </si>
  <si>
    <t xml:space="preserve">クラージュスター</t>
  </si>
  <si>
    <t xml:space="preserve">トーセンシーギリヤ</t>
  </si>
  <si>
    <t xml:space="preserve">フライデイゼーン</t>
  </si>
  <si>
    <t xml:space="preserve">コスモラムバック</t>
  </si>
  <si>
    <t xml:space="preserve">クアッドフォルツァ</t>
  </si>
  <si>
    <t xml:space="preserve">オーキッドワン</t>
  </si>
  <si>
    <t xml:space="preserve">ウィシェフ</t>
  </si>
  <si>
    <t xml:space="preserve">マイネルパーロル</t>
  </si>
  <si>
    <t xml:space="preserve">アルペンローゼ</t>
  </si>
  <si>
    <t xml:space="preserve">モストロ</t>
  </si>
  <si>
    <t xml:space="preserve">ウインリフレクト</t>
  </si>
  <si>
    <t xml:space="preserve">フランシスガリバー</t>
  </si>
  <si>
    <t xml:space="preserve">ローズプリンセス</t>
  </si>
  <si>
    <t xml:space="preserve">キョンチャン</t>
  </si>
  <si>
    <t xml:space="preserve">イーガービーバー</t>
  </si>
  <si>
    <t xml:space="preserve">フリーヤ</t>
  </si>
  <si>
    <t xml:space="preserve">マイニオサラスタス</t>
  </si>
  <si>
    <t xml:space="preserve">ビリージェイ</t>
  </si>
  <si>
    <t xml:space="preserve">フォーアライター</t>
  </si>
  <si>
    <t xml:space="preserve">ジャケットポケット</t>
  </si>
  <si>
    <t xml:space="preserve">ドロワ</t>
  </si>
  <si>
    <t xml:space="preserve">ラインクインビー</t>
  </si>
  <si>
    <t xml:space="preserve">シャイニングスター</t>
  </si>
  <si>
    <t xml:space="preserve">メテオレムナント</t>
  </si>
  <si>
    <t xml:space="preserve">ゴールドバローズ</t>
  </si>
  <si>
    <t xml:space="preserve">リュウカルネ</t>
  </si>
  <si>
    <t xml:space="preserve">ホーナー</t>
  </si>
  <si>
    <t xml:space="preserve">インディヴァイン</t>
  </si>
  <si>
    <t xml:space="preserve">ファイアマン</t>
  </si>
  <si>
    <t xml:space="preserve">スタニングヴュー</t>
  </si>
  <si>
    <t xml:space="preserve">スターエンブレム</t>
  </si>
  <si>
    <t xml:space="preserve">デルマケセラセラ</t>
  </si>
  <si>
    <t xml:space="preserve">バム</t>
  </si>
  <si>
    <t xml:space="preserve">サンマルヴァレー</t>
  </si>
  <si>
    <t xml:space="preserve">バーニングフレーム</t>
  </si>
  <si>
    <t xml:space="preserve">インマイポケット</t>
  </si>
  <si>
    <t xml:space="preserve">メイリー</t>
  </si>
  <si>
    <t xml:space="preserve">フェルシナ</t>
  </si>
  <si>
    <t xml:space="preserve">カザンラク</t>
  </si>
  <si>
    <t xml:space="preserve">ティアップドライブ</t>
  </si>
  <si>
    <t xml:space="preserve">ブラックジジ</t>
  </si>
  <si>
    <t xml:space="preserve">スマイルディシー</t>
  </si>
  <si>
    <t xml:space="preserve">ガンハンマー</t>
  </si>
  <si>
    <t xml:space="preserve">シルバードン</t>
  </si>
  <si>
    <t xml:space="preserve">ブライトビギニング</t>
  </si>
  <si>
    <t xml:space="preserve">クラリネットソナタ</t>
  </si>
  <si>
    <t xml:space="preserve">シックスパック</t>
  </si>
  <si>
    <t xml:space="preserve">アイランドピーク</t>
  </si>
  <si>
    <t xml:space="preserve">ハーディジェナー</t>
  </si>
  <si>
    <t xml:space="preserve">ロザーンジュ</t>
  </si>
  <si>
    <t xml:space="preserve">ファンクション</t>
  </si>
  <si>
    <t xml:space="preserve">イクシード</t>
  </si>
  <si>
    <t xml:space="preserve">レディーゴール</t>
  </si>
  <si>
    <t xml:space="preserve">エンジョイドアスク</t>
  </si>
  <si>
    <t xml:space="preserve">ブラックジェダイト</t>
  </si>
  <si>
    <t xml:space="preserve">モズトキキ</t>
  </si>
  <si>
    <t xml:space="preserve">バンブルビー</t>
  </si>
  <si>
    <t xml:space="preserve">チムグクル</t>
  </si>
  <si>
    <t xml:space="preserve">ソレントフレイバー</t>
  </si>
  <si>
    <t xml:space="preserve">パワースナッチ</t>
  </si>
  <si>
    <t xml:space="preserve">サクセスカラー</t>
  </si>
  <si>
    <t xml:space="preserve">バロン</t>
  </si>
  <si>
    <t xml:space="preserve">ラブディーヴァ</t>
  </si>
  <si>
    <t xml:space="preserve">シャイフ</t>
  </si>
  <si>
    <t xml:space="preserve">ペイドラロワール</t>
  </si>
  <si>
    <t xml:space="preserve">ハチメンロッピ</t>
  </si>
  <si>
    <t xml:space="preserve">シンバーシア</t>
  </si>
  <si>
    <t xml:space="preserve">スカイロケット</t>
  </si>
  <si>
    <t xml:space="preserve">ダノンザボルケーノ</t>
  </si>
  <si>
    <t xml:space="preserve">ノーブルロジャー</t>
  </si>
  <si>
    <t xml:space="preserve">タイセイブレイズ</t>
  </si>
  <si>
    <t xml:space="preserve">アスクドゥラメンテ</t>
  </si>
  <si>
    <t xml:space="preserve">カンパニョーラ</t>
  </si>
  <si>
    <t xml:space="preserve">ペイシャケイプ</t>
  </si>
  <si>
    <t xml:space="preserve">スマートサニー</t>
  </si>
  <si>
    <t xml:space="preserve">ワイワイレジェンド</t>
  </si>
  <si>
    <t xml:space="preserve">スカイビート</t>
  </si>
  <si>
    <t xml:space="preserve">オーケアニス</t>
  </si>
  <si>
    <t xml:space="preserve">京都</t>
  </si>
  <si>
    <t xml:space="preserve">カーリキュー</t>
  </si>
  <si>
    <t xml:space="preserve">メリフルアス</t>
  </si>
  <si>
    <t xml:space="preserve">リオマダムレッド</t>
  </si>
  <si>
    <t xml:space="preserve">ゴールドジョー</t>
  </si>
  <si>
    <t xml:space="preserve">スワイメイク</t>
  </si>
  <si>
    <t xml:space="preserve">レヴァンターセ</t>
  </si>
  <si>
    <t xml:space="preserve">クレセントゼファー</t>
  </si>
  <si>
    <t xml:space="preserve">アルメーリス</t>
  </si>
  <si>
    <t xml:space="preserve">ウォーターサオラ</t>
  </si>
  <si>
    <t xml:space="preserve">フォーオール</t>
  </si>
  <si>
    <t xml:space="preserve">ホープレイジング</t>
  </si>
  <si>
    <t xml:space="preserve">ルナーマンス</t>
  </si>
  <si>
    <t xml:space="preserve">ヤマニンフェイエル</t>
  </si>
  <si>
    <t xml:space="preserve">ヴィゴラスガイア</t>
  </si>
  <si>
    <t xml:space="preserve">ペスキエーラ</t>
  </si>
  <si>
    <t xml:space="preserve">ハクサンモッピー</t>
  </si>
  <si>
    <t xml:space="preserve">アンビエントポップ</t>
  </si>
  <si>
    <t xml:space="preserve">ファビュラスベガス</t>
  </si>
  <si>
    <t xml:space="preserve">ジャージーテーラー</t>
  </si>
  <si>
    <t xml:space="preserve">アサリア</t>
  </si>
  <si>
    <t xml:space="preserve">スウィーティーベル</t>
  </si>
  <si>
    <t xml:space="preserve">パンチャマハブータ</t>
  </si>
  <si>
    <t xml:space="preserve">フローマジック</t>
  </si>
  <si>
    <t xml:space="preserve">バディ</t>
  </si>
  <si>
    <t xml:space="preserve">プレダトゥール</t>
  </si>
  <si>
    <t xml:space="preserve">シュテフィ</t>
  </si>
  <si>
    <t xml:space="preserve">シオンダンサー</t>
  </si>
  <si>
    <t xml:space="preserve">ブライトフレア</t>
  </si>
  <si>
    <t xml:space="preserve">ジャンヌドゥレーヴ</t>
  </si>
  <si>
    <t xml:space="preserve">ツァレヴナ</t>
  </si>
  <si>
    <t xml:space="preserve">ブロンテス</t>
  </si>
  <si>
    <t xml:space="preserve">クリノセーラーマン</t>
  </si>
  <si>
    <t xml:space="preserve">サンディエゴ</t>
  </si>
  <si>
    <t xml:space="preserve">リリーアロー</t>
  </si>
  <si>
    <t xml:space="preserve">ポイントネモ</t>
  </si>
  <si>
    <t xml:space="preserve">シゲルオトヒメ</t>
  </si>
  <si>
    <t xml:space="preserve">チャイボーグ</t>
  </si>
  <si>
    <t xml:space="preserve">フィングステン</t>
  </si>
  <si>
    <t xml:space="preserve">ワイドモヒート</t>
  </si>
  <si>
    <t xml:space="preserve">メイショウタクボク</t>
  </si>
  <si>
    <t xml:space="preserve">イフリーティア</t>
  </si>
  <si>
    <t xml:space="preserve">グリプトグラフィ</t>
  </si>
  <si>
    <t xml:space="preserve">セルリアンゲーゲン</t>
  </si>
  <si>
    <t xml:space="preserve">ジャスティンルマン</t>
  </si>
  <si>
    <t xml:space="preserve">テイエムアイラン</t>
  </si>
  <si>
    <t xml:space="preserve">リアンマヒナ</t>
  </si>
  <si>
    <t xml:space="preserve">ラブリージャブリー</t>
  </si>
  <si>
    <t xml:space="preserve">アラベラ</t>
  </si>
  <si>
    <t xml:space="preserve">リンクスティップ</t>
  </si>
  <si>
    <t xml:space="preserve">サクソンジェンヌ</t>
  </si>
  <si>
    <t xml:space="preserve">マカナ</t>
  </si>
  <si>
    <t xml:space="preserve">アレナリア</t>
  </si>
  <si>
    <t xml:space="preserve">キーパフォーマー</t>
  </si>
  <si>
    <t xml:space="preserve">キョウキランブ</t>
  </si>
  <si>
    <t xml:space="preserve">リアライズカミオン</t>
  </si>
  <si>
    <t xml:space="preserve">ジューンアヲニヨシ</t>
  </si>
  <si>
    <t xml:space="preserve">ヴァルツァーシャル</t>
  </si>
  <si>
    <t xml:space="preserve">ヴァンヤール</t>
  </si>
  <si>
    <t xml:space="preserve">ロードクロンヌ</t>
  </si>
  <si>
    <t xml:space="preserve">ナルカミ</t>
  </si>
  <si>
    <t xml:space="preserve">アクションプラン</t>
  </si>
  <si>
    <t xml:space="preserve">リアルスター</t>
  </si>
  <si>
    <t xml:space="preserve">ヨリノレジェンド</t>
  </si>
  <si>
    <t xml:space="preserve">ダノンキラウェア</t>
  </si>
  <si>
    <t xml:space="preserve">ユウトザレン</t>
  </si>
  <si>
    <t xml:space="preserve">プリンスノット</t>
  </si>
  <si>
    <t xml:space="preserve">ダイヤモンドハンズ</t>
  </si>
  <si>
    <t xml:space="preserve">ランフォースマイル</t>
  </si>
  <si>
    <t xml:space="preserve">ヨシノヤッタルデー</t>
  </si>
  <si>
    <t xml:space="preserve">ヴァルトバーデン</t>
  </si>
  <si>
    <t xml:space="preserve">プレミアブルー</t>
  </si>
  <si>
    <t xml:space="preserve">イェルマーク</t>
  </si>
  <si>
    <t xml:space="preserve">ディジョネット</t>
  </si>
  <si>
    <t xml:space="preserve">オコリンボーマミー</t>
  </si>
  <si>
    <t xml:space="preserve">エリザベスタウン</t>
  </si>
  <si>
    <t xml:space="preserve">エバーウインド</t>
  </si>
  <si>
    <t xml:space="preserve">エロイーズ</t>
  </si>
  <si>
    <t xml:space="preserve">ウェルム</t>
  </si>
  <si>
    <t xml:space="preserve">マイネルテオドロス</t>
  </si>
  <si>
    <t xml:space="preserve">サリーアン</t>
  </si>
  <si>
    <t xml:space="preserve">オッピポイカ</t>
  </si>
  <si>
    <t xml:space="preserve">シンクシビリティ</t>
  </si>
  <si>
    <t xml:space="preserve">ヒエンジョー</t>
  </si>
  <si>
    <t xml:space="preserve">アクシズ</t>
  </si>
  <si>
    <t xml:space="preserve">ララクロシェット</t>
  </si>
  <si>
    <t xml:space="preserve">マイベスティー</t>
  </si>
  <si>
    <t xml:space="preserve">サトノエピック</t>
  </si>
  <si>
    <t xml:space="preserve">コレペティトール</t>
  </si>
  <si>
    <t xml:space="preserve">グアラニア</t>
  </si>
  <si>
    <t xml:space="preserve">ジオフロント</t>
  </si>
  <si>
    <t xml:space="preserve">ケイテンアイジン</t>
  </si>
  <si>
    <t xml:space="preserve">ダイスアローリング</t>
  </si>
  <si>
    <t xml:space="preserve">パープルアドミラル</t>
  </si>
  <si>
    <t xml:space="preserve">ウイングランブルー</t>
  </si>
  <si>
    <t xml:space="preserve">シャンペトルブーケ</t>
  </si>
  <si>
    <t xml:space="preserve">ニシノシャルム</t>
  </si>
  <si>
    <t xml:space="preserve">スナークオーロラ</t>
  </si>
  <si>
    <t xml:space="preserve">ソフィア</t>
  </si>
  <si>
    <t xml:space="preserve">ウォーターエクラン</t>
  </si>
  <si>
    <t xml:space="preserve">メイショウゴッホ</t>
  </si>
  <si>
    <t xml:space="preserve">メイショウコースト</t>
  </si>
  <si>
    <t xml:space="preserve">マシン</t>
  </si>
  <si>
    <t xml:space="preserve">メイショウソラル</t>
  </si>
  <si>
    <t xml:space="preserve">レプレセンタル</t>
  </si>
  <si>
    <t xml:space="preserve">パーヴォ</t>
  </si>
  <si>
    <t xml:space="preserve">ラヴズプレミアム</t>
  </si>
  <si>
    <t xml:space="preserve">アデルバローズ</t>
  </si>
  <si>
    <t xml:space="preserve">キタノマーシャル</t>
  </si>
  <si>
    <t xml:space="preserve">テルケンユミクイン</t>
  </si>
  <si>
    <t xml:space="preserve">ツァガーンサル</t>
  </si>
  <si>
    <t xml:space="preserve">ブレイヴソルジャー</t>
  </si>
  <si>
    <t xml:space="preserve">フローラルツッキー</t>
  </si>
  <si>
    <t xml:space="preserve">ウィングブルー</t>
  </si>
  <si>
    <t xml:space="preserve">オタルイーグル</t>
  </si>
  <si>
    <t xml:space="preserve">カレンデュラ</t>
  </si>
  <si>
    <t xml:space="preserve">トゥルーサクセサー</t>
  </si>
  <si>
    <t xml:space="preserve">エコログロス</t>
  </si>
  <si>
    <t xml:space="preserve">ライジングハース</t>
  </si>
  <si>
    <t xml:space="preserve">タマモランプ</t>
  </si>
  <si>
    <t xml:space="preserve">マイネルアズーロ</t>
  </si>
  <si>
    <t xml:space="preserve">エテルニータ</t>
  </si>
  <si>
    <t xml:space="preserve">オプレントジュエル</t>
  </si>
  <si>
    <t xml:space="preserve">フォーグッド</t>
  </si>
  <si>
    <t xml:space="preserve">パルティクラール</t>
  </si>
  <si>
    <t xml:space="preserve">マリノトニトゥルス</t>
  </si>
  <si>
    <t xml:space="preserve">ラトルシェ</t>
  </si>
  <si>
    <t xml:space="preserve">ハニーローリエ</t>
  </si>
  <si>
    <t xml:space="preserve">タマカヅラ</t>
  </si>
  <si>
    <t xml:space="preserve">ビービーエフォート</t>
  </si>
  <si>
    <t xml:space="preserve">ダイヤモンド</t>
  </si>
  <si>
    <t xml:space="preserve">バルジール</t>
  </si>
  <si>
    <t xml:space="preserve">オオタニサーン</t>
  </si>
  <si>
    <t xml:space="preserve">チャコワールド</t>
  </si>
  <si>
    <t xml:space="preserve">ペッパーミル</t>
  </si>
  <si>
    <t xml:space="preserve">ヴェントインコーダ</t>
  </si>
  <si>
    <t xml:space="preserve">アメリカンランナー</t>
  </si>
  <si>
    <t xml:space="preserve">タカラエイティ</t>
  </si>
  <si>
    <t xml:space="preserve">ヨルヴィック</t>
  </si>
  <si>
    <t xml:space="preserve">ラブカニュー</t>
  </si>
  <si>
    <t xml:space="preserve">ライヴマティーニ</t>
  </si>
  <si>
    <t xml:space="preserve">オテンバプリンセス</t>
  </si>
  <si>
    <t xml:space="preserve">プロスペラスナイン</t>
  </si>
  <si>
    <t xml:space="preserve">カシスピーチ</t>
  </si>
  <si>
    <t xml:space="preserve">ニシノアオニヨシ</t>
  </si>
  <si>
    <t xml:space="preserve">キングスメッセージ</t>
  </si>
  <si>
    <t xml:space="preserve">アームアンフルール</t>
  </si>
  <si>
    <t xml:space="preserve">トルネードアイル</t>
  </si>
  <si>
    <t xml:space="preserve">ソーマッチ</t>
  </si>
  <si>
    <t xml:space="preserve">ヴェントディルーナ</t>
  </si>
  <si>
    <t xml:space="preserve">ピコレーヴ</t>
  </si>
  <si>
    <t xml:space="preserve">トレンドマーチ</t>
  </si>
  <si>
    <t xml:space="preserve">セキテイロックス</t>
  </si>
  <si>
    <t xml:space="preserve">プレヒティヒ</t>
  </si>
  <si>
    <t xml:space="preserve">ホウオウチャールズ</t>
  </si>
  <si>
    <t xml:space="preserve">クイーンズパーク</t>
  </si>
  <si>
    <t xml:space="preserve">リリーサー</t>
  </si>
  <si>
    <t xml:space="preserve">ノアシルヴィ</t>
  </si>
  <si>
    <t xml:space="preserve">フーディエラン</t>
  </si>
  <si>
    <t xml:space="preserve">ストームアイ</t>
  </si>
  <si>
    <t xml:space="preserve">ダノンアスコルティ</t>
  </si>
  <si>
    <t xml:space="preserve">マトリカリア</t>
  </si>
  <si>
    <t xml:space="preserve">ルーリングクラス</t>
  </si>
  <si>
    <t xml:space="preserve">サツキマーメイド</t>
  </si>
  <si>
    <t xml:space="preserve">ブルージェネシス</t>
  </si>
  <si>
    <t xml:space="preserve">ジュナベーラ</t>
  </si>
  <si>
    <t xml:space="preserve">レピュニット</t>
  </si>
  <si>
    <t xml:space="preserve">リアライズタキオン</t>
  </si>
  <si>
    <t xml:space="preserve">クラディスティーナ</t>
  </si>
  <si>
    <t xml:space="preserve">マウンテンドーター</t>
  </si>
  <si>
    <t xml:space="preserve">スノースコール</t>
  </si>
  <si>
    <t xml:space="preserve">ポッポノフェスタ</t>
  </si>
  <si>
    <t xml:space="preserve">ラファミリア</t>
  </si>
  <si>
    <t xml:space="preserve">ジェロニモス</t>
  </si>
  <si>
    <t xml:space="preserve">ヘルツアス</t>
  </si>
  <si>
    <t xml:space="preserve">ポルトフェリス</t>
  </si>
  <si>
    <t xml:space="preserve">マイネルアウルム</t>
  </si>
  <si>
    <t xml:space="preserve">ウィンスタンリー</t>
  </si>
  <si>
    <t xml:space="preserve">ミルフルール</t>
  </si>
  <si>
    <t xml:space="preserve">バロンドール</t>
  </si>
  <si>
    <t xml:space="preserve">サンコンクエスト</t>
  </si>
  <si>
    <t xml:space="preserve">ニューファウンド</t>
  </si>
  <si>
    <t xml:space="preserve">リザードアイランド</t>
  </si>
  <si>
    <t xml:space="preserve">オーロラアーク</t>
  </si>
  <si>
    <t xml:space="preserve">シンボリノエル</t>
  </si>
  <si>
    <t xml:space="preserve">ホレーショ</t>
  </si>
  <si>
    <t xml:space="preserve">アールヴィヴァン</t>
  </si>
  <si>
    <t xml:space="preserve">ヤマメキング</t>
  </si>
  <si>
    <t xml:space="preserve">アルゲンテウス</t>
  </si>
  <si>
    <t xml:space="preserve">ヴァリオーサ</t>
  </si>
  <si>
    <t xml:space="preserve">コスタデラルス</t>
  </si>
  <si>
    <t xml:space="preserve">バガン</t>
  </si>
  <si>
    <t xml:space="preserve">サトミノキラリ</t>
  </si>
  <si>
    <t xml:space="preserve">トーセンエスクード</t>
  </si>
  <si>
    <t xml:space="preserve">レッドエヴァンス</t>
  </si>
  <si>
    <t xml:space="preserve">コスモサガルマータ</t>
  </si>
  <si>
    <t xml:space="preserve">コスモアディラート</t>
  </si>
  <si>
    <t xml:space="preserve">グーテンベルク</t>
  </si>
  <si>
    <t xml:space="preserve">ユハンヌス</t>
  </si>
  <si>
    <t xml:space="preserve">ミツカネベネラ</t>
  </si>
  <si>
    <t xml:space="preserve">レイクラシック</t>
  </si>
  <si>
    <t xml:space="preserve">アランカール</t>
  </si>
  <si>
    <t xml:space="preserve">ロンギングセリーヌ</t>
  </si>
  <si>
    <t xml:space="preserve">スタニングレディ</t>
  </si>
  <si>
    <t xml:space="preserve">スマートプリエール</t>
  </si>
  <si>
    <t xml:space="preserve">トリニティ</t>
  </si>
  <si>
    <t xml:space="preserve">スターアニス</t>
  </si>
  <si>
    <t xml:space="preserve">ドリームコア</t>
  </si>
  <si>
    <t xml:space="preserve">エンネ</t>
  </si>
  <si>
    <t xml:space="preserve">ソルパッサーレ</t>
  </si>
  <si>
    <t xml:space="preserve">アンジュドジョワ</t>
  </si>
  <si>
    <t xml:space="preserve">ジュウリョクピエロ</t>
  </si>
  <si>
    <t xml:space="preserve">スウィートハピネス</t>
  </si>
  <si>
    <t xml:space="preserve">ラフターラインズ</t>
  </si>
  <si>
    <t xml:space="preserve">ワンパット</t>
  </si>
  <si>
    <t xml:space="preserve">タイセイアディクト</t>
  </si>
  <si>
    <t xml:space="preserve">ロングウェイホーム</t>
  </si>
  <si>
    <t xml:space="preserve">ホウオウバリスタ</t>
  </si>
  <si>
    <t xml:space="preserve">ギュルヴィ</t>
  </si>
  <si>
    <t xml:space="preserve">ビップスコーピオン</t>
  </si>
  <si>
    <t xml:space="preserve">ニューバラード</t>
  </si>
  <si>
    <t xml:space="preserve">インジケーター</t>
  </si>
  <si>
    <t xml:space="preserve">パカーラン</t>
  </si>
  <si>
    <t xml:space="preserve">タンゴバイラリン</t>
  </si>
  <si>
    <t xml:space="preserve">メイショウフジ</t>
  </si>
  <si>
    <t xml:space="preserve">ジョーマゴス</t>
  </si>
  <si>
    <t xml:space="preserve">レイナサンライズ</t>
  </si>
  <si>
    <t xml:space="preserve">レステダンルヴァン</t>
  </si>
  <si>
    <t xml:space="preserve">トーアシチフクジン</t>
  </si>
  <si>
    <t xml:space="preserve">コスモタキシード</t>
  </si>
  <si>
    <t xml:space="preserve">ピエナブラック</t>
  </si>
  <si>
    <t xml:space="preserve">スズノグレイス</t>
  </si>
  <si>
    <t xml:space="preserve">グランワールド</t>
  </si>
  <si>
    <t xml:space="preserve">ガラード</t>
  </si>
  <si>
    <t xml:space="preserve">ルージュソムニウム</t>
  </si>
  <si>
    <t xml:space="preserve">キボウホー</t>
  </si>
  <si>
    <t xml:space="preserve">ミキノヒストリー</t>
  </si>
  <si>
    <t xml:space="preserve">モズガネシア</t>
  </si>
  <si>
    <t xml:space="preserve">ユウトザイシン</t>
  </si>
  <si>
    <t xml:space="preserve">ジュエルブリス</t>
  </si>
  <si>
    <t xml:space="preserve">ナムラシンジロー</t>
  </si>
  <si>
    <t xml:space="preserve">ヘブンクローバー</t>
  </si>
  <si>
    <t xml:space="preserve">ウォーターサグラダ</t>
  </si>
  <si>
    <t xml:space="preserve">ベネサルート</t>
  </si>
  <si>
    <t xml:space="preserve">モンサンゴールデン</t>
  </si>
  <si>
    <t xml:space="preserve">ルファーダ</t>
  </si>
  <si>
    <t xml:space="preserve">リオンサーガ</t>
  </si>
  <si>
    <t xml:space="preserve">ヴァイヴァーイ</t>
  </si>
  <si>
    <t xml:space="preserve">ホールオブミラーズ</t>
  </si>
  <si>
    <t xml:space="preserve">アスクドゥチャンプ</t>
  </si>
  <si>
    <t xml:space="preserve">ユアフェリシティ</t>
  </si>
  <si>
    <t xml:space="preserve">メイショウサッソウ</t>
  </si>
  <si>
    <t xml:space="preserve">アイアムジャイアン</t>
  </si>
  <si>
    <t xml:space="preserve">レザーアンドレース</t>
  </si>
  <si>
    <t xml:space="preserve">アーニャワクワク</t>
  </si>
  <si>
    <t xml:space="preserve">サラサラヘアー</t>
  </si>
  <si>
    <t xml:space="preserve">バダジェフスカ</t>
  </si>
  <si>
    <t xml:space="preserve">ブルーレース</t>
  </si>
  <si>
    <t xml:space="preserve">ワールドキッス</t>
  </si>
  <si>
    <t xml:space="preserve">モンタルチーノ</t>
  </si>
  <si>
    <t xml:space="preserve">メイショウサチダケ</t>
  </si>
  <si>
    <t xml:space="preserve">ペールノエル</t>
  </si>
  <si>
    <t xml:space="preserve">ハッピーサプライズ</t>
  </si>
  <si>
    <t xml:space="preserve">マリブオレンジ</t>
  </si>
  <si>
    <t xml:space="preserve">パーサヴィアランス</t>
  </si>
  <si>
    <t xml:space="preserve">メイショウオオコ</t>
  </si>
  <si>
    <t xml:space="preserve">トゥルブレンシア</t>
  </si>
  <si>
    <t xml:space="preserve">マハナ</t>
  </si>
  <si>
    <t xml:space="preserve">マテンロウギフト</t>
  </si>
  <si>
    <t xml:space="preserve">ショウナンバルドル</t>
  </si>
  <si>
    <t xml:space="preserve">メイショウヤシマ</t>
  </si>
  <si>
    <t xml:space="preserve">イミュータブル</t>
  </si>
  <si>
    <t xml:space="preserve">メイショウヤーキス</t>
  </si>
  <si>
    <t xml:space="preserve">トーアジョウトウ</t>
  </si>
  <si>
    <t xml:space="preserve">サザンエルフ</t>
  </si>
  <si>
    <t xml:space="preserve">シャカシャカシー</t>
  </si>
  <si>
    <t xml:space="preserve">クアトロジャック</t>
  </si>
  <si>
    <t xml:space="preserve">ハクサンアイリス</t>
  </si>
  <si>
    <t xml:space="preserve">エンヤラヴフェイス</t>
  </si>
  <si>
    <t xml:space="preserve">スズカダブル</t>
  </si>
  <si>
    <t xml:space="preserve">アンリーロード</t>
  </si>
  <si>
    <t xml:space="preserve">アサヒ</t>
  </si>
  <si>
    <t xml:space="preserve">チェルビアット</t>
  </si>
  <si>
    <t xml:space="preserve">ゴンバデカーブース</t>
  </si>
  <si>
    <t xml:space="preserve">ハイクライテリア</t>
  </si>
  <si>
    <t xml:space="preserve">クリノミニスター</t>
  </si>
  <si>
    <t xml:space="preserve">インピッシュ</t>
  </si>
  <si>
    <t xml:space="preserve">ウォーターパラディ</t>
  </si>
  <si>
    <t xml:space="preserve">ミヤジマナ</t>
  </si>
  <si>
    <t xml:space="preserve">ハッコウイチウ</t>
  </si>
  <si>
    <t xml:space="preserve">ブルーミングローズ</t>
  </si>
  <si>
    <t xml:space="preserve">ララバッカナール</t>
  </si>
  <si>
    <t xml:space="preserve">ベルピルエット</t>
  </si>
  <si>
    <t xml:space="preserve">ウレシイゴサン</t>
  </si>
  <si>
    <t xml:space="preserve">シンデレラリバティ</t>
  </si>
  <si>
    <t xml:space="preserve">マイネルユーゲント</t>
  </si>
  <si>
    <t xml:space="preserve">リュウセイコウテイ</t>
  </si>
  <si>
    <t xml:space="preserve">ピコテーパー</t>
  </si>
  <si>
    <t xml:space="preserve">ジョリュウジャンシ</t>
  </si>
  <si>
    <t xml:space="preserve">ジュエルサンライズ</t>
  </si>
  <si>
    <t xml:space="preserve">ミヤカグラ</t>
  </si>
  <si>
    <t xml:space="preserve">オダイ</t>
  </si>
  <si>
    <t xml:space="preserve">プラチナムディスク</t>
  </si>
  <si>
    <t xml:space="preserve">ブールドネージュ</t>
  </si>
  <si>
    <t xml:space="preserve">マイネルゼーロス</t>
  </si>
  <si>
    <t xml:space="preserve">エルヴ</t>
  </si>
  <si>
    <t xml:space="preserve">トクシーゼファー</t>
  </si>
  <si>
    <t xml:space="preserve">スナップジジ</t>
  </si>
  <si>
    <t xml:space="preserve">ラブミーアゲイン</t>
  </si>
  <si>
    <t xml:space="preserve">アイビーチーキー</t>
  </si>
  <si>
    <t xml:space="preserve">リアルフォルゴーレ</t>
  </si>
  <si>
    <t xml:space="preserve">セットアップ</t>
  </si>
  <si>
    <t xml:space="preserve">ヴォルスター</t>
  </si>
  <si>
    <t xml:space="preserve">マグナレガリア</t>
  </si>
  <si>
    <t xml:space="preserve">ジロラータ</t>
  </si>
  <si>
    <t xml:space="preserve">ダスク</t>
  </si>
  <si>
    <t xml:space="preserve">デスティネ</t>
  </si>
  <si>
    <t xml:space="preserve">ナムラオリガミ</t>
  </si>
  <si>
    <t xml:space="preserve">ショウナンパステル</t>
  </si>
  <si>
    <t xml:space="preserve">マイネルアルゴー</t>
  </si>
  <si>
    <t xml:space="preserve">ミョンソクコムドリ</t>
  </si>
  <si>
    <t xml:space="preserve">ホウオウストライク</t>
  </si>
  <si>
    <t xml:space="preserve">メイショウイッカク</t>
  </si>
  <si>
    <t xml:space="preserve">フィオリータ</t>
  </si>
  <si>
    <t xml:space="preserve">ドリームゴーズオン</t>
  </si>
  <si>
    <t xml:space="preserve">パンサーズ</t>
  </si>
  <si>
    <t xml:space="preserve">ブルージュ</t>
  </si>
  <si>
    <t xml:space="preserve">サイモンプレジール</t>
  </si>
  <si>
    <t xml:space="preserve">ゼットスパンキー</t>
  </si>
  <si>
    <t xml:space="preserve">ダディーズグーグー</t>
  </si>
  <si>
    <t xml:space="preserve">デボラ</t>
  </si>
  <si>
    <t xml:space="preserve">フォルトレス</t>
  </si>
  <si>
    <t xml:space="preserve">スカイブルー</t>
  </si>
  <si>
    <t xml:space="preserve">インターポーザー</t>
  </si>
  <si>
    <t xml:space="preserve">アーサーズウェイン</t>
  </si>
  <si>
    <t xml:space="preserve">キタノクニカラ</t>
  </si>
  <si>
    <t xml:space="preserve">レゼールドラペ</t>
  </si>
  <si>
    <t xml:space="preserve">ケイツークローン</t>
  </si>
  <si>
    <t xml:space="preserve">サイコウダネ</t>
  </si>
  <si>
    <t xml:space="preserve">カーメルタザイト</t>
  </si>
  <si>
    <t xml:space="preserve">オーバースタンド</t>
  </si>
  <si>
    <t xml:space="preserve">ダズリングダンス</t>
  </si>
  <si>
    <t xml:space="preserve">セレジェイラ</t>
  </si>
  <si>
    <t xml:space="preserve">ゲーベル</t>
  </si>
  <si>
    <t xml:space="preserve">シュバルツガイスト</t>
  </si>
  <si>
    <t xml:space="preserve">ビッグドリーム</t>
  </si>
  <si>
    <t xml:space="preserve">ロッカバイベイビー</t>
  </si>
  <si>
    <t xml:space="preserve">キングクー</t>
  </si>
  <si>
    <t xml:space="preserve">オーブルクール</t>
  </si>
  <si>
    <t xml:space="preserve">ディヴィナシオン</t>
  </si>
  <si>
    <t xml:space="preserve">タツダイヤモンド</t>
  </si>
  <si>
    <t xml:space="preserve">ナスノカンゲツ</t>
  </si>
  <si>
    <t xml:space="preserve">ハートホイップ</t>
  </si>
  <si>
    <t xml:space="preserve">マテンロウノカゼ</t>
  </si>
  <si>
    <t xml:space="preserve">メイショウクモイ</t>
  </si>
  <si>
    <t xml:space="preserve">マテンロウミラクル</t>
  </si>
  <si>
    <t xml:space="preserve">イエローブリック</t>
  </si>
  <si>
    <t xml:space="preserve">ヤマカツレオン</t>
  </si>
  <si>
    <t xml:space="preserve">ローズマイスター</t>
  </si>
  <si>
    <t xml:space="preserve">アバレリュウ</t>
  </si>
  <si>
    <t xml:space="preserve">チビノシエラザード</t>
  </si>
  <si>
    <t xml:space="preserve">ジーヴル</t>
  </si>
  <si>
    <t xml:space="preserve">ヴィビーム</t>
  </si>
  <si>
    <t xml:space="preserve">ジュピターテソーロ</t>
  </si>
  <si>
    <t xml:space="preserve">ブルーミーティア</t>
  </si>
  <si>
    <t xml:space="preserve">ニットウライズ</t>
  </si>
  <si>
    <t xml:space="preserve">エーデルハイ</t>
  </si>
  <si>
    <t xml:space="preserve">トゥモローズウェイ</t>
  </si>
  <si>
    <t xml:space="preserve">デディカス</t>
  </si>
  <si>
    <t xml:space="preserve">エリンフレーム</t>
  </si>
  <si>
    <t xml:space="preserve">フォーマルノーチス</t>
  </si>
  <si>
    <t xml:space="preserve">ゴンファロニエーレ</t>
  </si>
  <si>
    <t xml:space="preserve">ヒコボシ</t>
  </si>
  <si>
    <t xml:space="preserve">インタノン</t>
  </si>
  <si>
    <t xml:space="preserve">スーザンバローズ</t>
  </si>
  <si>
    <t xml:space="preserve">ファンシーシェイプ</t>
  </si>
  <si>
    <t xml:space="preserve">コスモアマデウス</t>
  </si>
  <si>
    <t xml:space="preserve">ウインスターリング</t>
  </si>
  <si>
    <t xml:space="preserve">トウカイティエラ</t>
  </si>
  <si>
    <t xml:space="preserve">エレクトロン</t>
  </si>
  <si>
    <t xml:space="preserve">フクスケ</t>
  </si>
  <si>
    <t xml:space="preserve">サンシュノジンギ</t>
  </si>
  <si>
    <t xml:space="preserve">ヘクトルテソーロ</t>
  </si>
  <si>
    <t xml:space="preserve">トウカイファクター</t>
  </si>
  <si>
    <t xml:space="preserve">プラウドヘリテージ</t>
  </si>
  <si>
    <t xml:space="preserve">ハーバーライト</t>
  </si>
  <si>
    <t xml:space="preserve">コスモゴレアドール</t>
  </si>
  <si>
    <t xml:space="preserve">カイコウ</t>
  </si>
  <si>
    <t xml:space="preserve">インターステラ</t>
  </si>
  <si>
    <t xml:space="preserve">アヴニールドブリエ</t>
  </si>
  <si>
    <t xml:space="preserve">ロイガヴェーグル</t>
  </si>
  <si>
    <t xml:space="preserve">フリーリターン</t>
  </si>
  <si>
    <t xml:space="preserve">マイネルアイフェル</t>
  </si>
  <si>
    <t xml:space="preserve">セイウンアズール</t>
  </si>
  <si>
    <t xml:space="preserve">ベルウッドバイオ</t>
  </si>
  <si>
    <t xml:space="preserve">ターフクリスタル</t>
  </si>
  <si>
    <t xml:space="preserve">ナックホワイト</t>
  </si>
  <si>
    <t xml:space="preserve">ヒシアムルーズ</t>
  </si>
  <si>
    <t xml:space="preserve">バトルアックス</t>
  </si>
  <si>
    <t xml:space="preserve">ショウナンダイン</t>
  </si>
  <si>
    <t xml:space="preserve">エイシンニラク</t>
  </si>
  <si>
    <t xml:space="preserve">シエルライズ</t>
  </si>
  <si>
    <t xml:space="preserve">オクトーバーナイン</t>
  </si>
  <si>
    <t xml:space="preserve">ムーランオランジュ</t>
  </si>
  <si>
    <t xml:space="preserve">アイアムアヒーロー</t>
  </si>
  <si>
    <t xml:space="preserve">スタートレイン</t>
  </si>
  <si>
    <t xml:space="preserve">エルハーベン</t>
  </si>
  <si>
    <t xml:space="preserve">グロリアスマーチ</t>
  </si>
  <si>
    <t xml:space="preserve">グリオンヴール</t>
  </si>
  <si>
    <t xml:space="preserve">ラプランセス</t>
  </si>
  <si>
    <t xml:space="preserve">カフェラバー</t>
  </si>
  <si>
    <t xml:space="preserve">ミルキープリンセス</t>
  </si>
  <si>
    <t xml:space="preserve">スモーキーゴッド</t>
  </si>
  <si>
    <t xml:space="preserve">サトノビーツ</t>
  </si>
  <si>
    <t xml:space="preserve">コルヴィル</t>
  </si>
  <si>
    <t xml:space="preserve">ナムラジミー</t>
  </si>
  <si>
    <t xml:space="preserve">ラッキーヤース</t>
  </si>
  <si>
    <t xml:space="preserve">ミスティマウンテン</t>
  </si>
  <si>
    <t xml:space="preserve">サトノアルペジオ</t>
  </si>
  <si>
    <t xml:space="preserve">ドントゥザムーン</t>
  </si>
  <si>
    <t xml:space="preserve">ベルブリエ</t>
  </si>
  <si>
    <t xml:space="preserve">ノルドヴェスト</t>
  </si>
  <si>
    <t xml:space="preserve">サンドブラスト</t>
  </si>
  <si>
    <t xml:space="preserve">キョウエイスレーヴ</t>
  </si>
  <si>
    <t xml:space="preserve">キミハスコール</t>
  </si>
  <si>
    <t xml:space="preserve">アクアマリーナ</t>
  </si>
  <si>
    <t xml:space="preserve">アグラード</t>
  </si>
  <si>
    <t xml:space="preserve">マクミランテソーロ</t>
  </si>
  <si>
    <t xml:space="preserve">タイセイピューマ</t>
  </si>
  <si>
    <t xml:space="preserve">ダイシンリンク</t>
  </si>
  <si>
    <t xml:space="preserve">クライスレリアーナ</t>
  </si>
  <si>
    <t xml:space="preserve">ダガーリング</t>
  </si>
  <si>
    <t xml:space="preserve">レッドレナート</t>
  </si>
  <si>
    <t xml:space="preserve">マーゴットゲイン</t>
  </si>
  <si>
    <t xml:space="preserve">トレサフィール</t>
  </si>
  <si>
    <t xml:space="preserve">スナークピカソ</t>
  </si>
  <si>
    <t xml:space="preserve">ミッキーソルジャー</t>
  </si>
  <si>
    <t xml:space="preserve">ジーティーマン</t>
  </si>
  <si>
    <t xml:space="preserve">ルージュスタニング</t>
  </si>
  <si>
    <t xml:space="preserve">アマンテビアンコ</t>
  </si>
  <si>
    <t xml:space="preserve">ナイトアクアリウム</t>
  </si>
  <si>
    <t xml:space="preserve">マーズオデッセイ</t>
  </si>
  <si>
    <t xml:space="preserve">ケイアイシェルビー</t>
  </si>
  <si>
    <t xml:space="preserve">ジェイパームス</t>
  </si>
  <si>
    <t xml:space="preserve">キタノズエッジ</t>
  </si>
  <si>
    <t xml:space="preserve">ゴートゥファースト</t>
  </si>
  <si>
    <t xml:space="preserve">テーオーパスワード</t>
  </si>
  <si>
    <t xml:space="preserve">ゴヴェルナーレリコ</t>
  </si>
  <si>
    <t xml:space="preserve">ラファールドール</t>
  </si>
  <si>
    <t xml:space="preserve">コスモコンフェルマ</t>
  </si>
  <si>
    <t xml:space="preserve">フジレイメイ</t>
  </si>
  <si>
    <t xml:space="preserve">ディズレーリ</t>
  </si>
  <si>
    <t xml:space="preserve">ホークライト</t>
  </si>
  <si>
    <t xml:space="preserve">タイセイカイザー</t>
  </si>
  <si>
    <t xml:space="preserve">ペイシャトサモア</t>
  </si>
  <si>
    <t xml:space="preserve">アリハム</t>
  </si>
  <si>
    <t xml:space="preserve">クロレ</t>
  </si>
  <si>
    <t xml:space="preserve">ダズリングノット</t>
  </si>
  <si>
    <t xml:space="preserve">サウンドディアナ</t>
  </si>
  <si>
    <t xml:space="preserve">ゴールドアーチ</t>
  </si>
  <si>
    <t xml:space="preserve">ドローイング</t>
  </si>
  <si>
    <t xml:space="preserve">ニホンピロローカス</t>
  </si>
  <si>
    <t xml:space="preserve">トゥルパーニ</t>
  </si>
  <si>
    <t xml:space="preserve">ユウトザイノセント</t>
  </si>
  <si>
    <t xml:space="preserve">ペプチドマッハ</t>
  </si>
  <si>
    <t xml:space="preserve">ピースビート</t>
  </si>
  <si>
    <t xml:space="preserve">コンテナヒーロー</t>
  </si>
  <si>
    <t xml:space="preserve">ヴィラフランカ</t>
  </si>
  <si>
    <t xml:space="preserve">スーパーブラザー</t>
  </si>
  <si>
    <t xml:space="preserve">サンライズコナー</t>
  </si>
  <si>
    <t xml:space="preserve">エナジーイッセイ</t>
  </si>
  <si>
    <t xml:space="preserve">メイショウトウコウ</t>
  </si>
  <si>
    <t xml:space="preserve">ウインハルフォード</t>
  </si>
  <si>
    <t xml:space="preserve">キタノボニータ</t>
  </si>
  <si>
    <t xml:space="preserve">ゴッドアイ</t>
  </si>
  <si>
    <t xml:space="preserve">ビーチェ</t>
  </si>
  <si>
    <t xml:space="preserve">プラヤデルカルメン</t>
  </si>
  <si>
    <t xml:space="preserve">エイシンビギー</t>
  </si>
  <si>
    <t xml:space="preserve">ギフテッドスペック</t>
  </si>
  <si>
    <t xml:space="preserve">ラルス</t>
  </si>
  <si>
    <t xml:space="preserve">ミライチケット</t>
  </si>
  <si>
    <t xml:space="preserve">メイショウランケイ</t>
  </si>
  <si>
    <t xml:space="preserve">スリーキズナヒメ</t>
  </si>
  <si>
    <t xml:space="preserve">マテンロウプリンス</t>
  </si>
  <si>
    <t xml:space="preserve">ラルクアンレーヴ</t>
  </si>
  <si>
    <t xml:space="preserve">ブルースプレイヤー</t>
  </si>
  <si>
    <t xml:space="preserve">キングオブストーム</t>
  </si>
  <si>
    <t xml:space="preserve">シートゥサミット</t>
  </si>
  <si>
    <t xml:space="preserve">アウラニ</t>
  </si>
  <si>
    <t xml:space="preserve">ドンテスタマスター</t>
  </si>
  <si>
    <t xml:space="preserve">ボッチョ</t>
  </si>
  <si>
    <t xml:space="preserve">サラサチャーミング</t>
  </si>
  <si>
    <t xml:space="preserve">チアフルドア</t>
  </si>
  <si>
    <t xml:space="preserve">メイショウショカツ</t>
  </si>
  <si>
    <t xml:space="preserve">メイショウイサミ</t>
  </si>
  <si>
    <t xml:space="preserve">ハッピーリオン</t>
  </si>
  <si>
    <t xml:space="preserve">シャンクスレガシー</t>
  </si>
  <si>
    <t xml:space="preserve">アメジストロード</t>
  </si>
  <si>
    <t xml:space="preserve">パピヨンヴェール</t>
  </si>
  <si>
    <t xml:space="preserve">サトノアグード</t>
  </si>
  <si>
    <t xml:space="preserve">イコミキマル</t>
  </si>
  <si>
    <t xml:space="preserve">セイカンサンラン</t>
  </si>
  <si>
    <t xml:space="preserve">インディゴ</t>
  </si>
  <si>
    <t xml:space="preserve">ユキノクラウン</t>
  </si>
  <si>
    <t xml:space="preserve">アリュールテーラー</t>
  </si>
  <si>
    <t xml:space="preserve">オーラエグザート</t>
  </si>
  <si>
    <t xml:space="preserve">チュウワダイオウ</t>
  </si>
  <si>
    <t xml:space="preserve">ビップディラン</t>
  </si>
  <si>
    <t xml:space="preserve">ベイリークロア</t>
  </si>
  <si>
    <t xml:space="preserve">ワンダーイロネ</t>
  </si>
  <si>
    <t xml:space="preserve">エイヘンハールト</t>
  </si>
  <si>
    <t xml:space="preserve">スターペスショウマ</t>
  </si>
  <si>
    <t xml:space="preserve">サニーサルサ</t>
  </si>
  <si>
    <t xml:space="preserve">リガーレ</t>
  </si>
  <si>
    <t xml:space="preserve">ムーンライトラガー</t>
  </si>
  <si>
    <t xml:space="preserve">アムールリーベ</t>
  </si>
  <si>
    <t xml:space="preserve">テーオーシュタイン</t>
  </si>
  <si>
    <t xml:space="preserve">アジュマン</t>
  </si>
  <si>
    <t xml:space="preserve">ライラ</t>
  </si>
  <si>
    <t xml:space="preserve">エーデルヴェーグ</t>
  </si>
  <si>
    <t xml:space="preserve">メイショウカイト</t>
  </si>
  <si>
    <t xml:space="preserve">サダメ</t>
  </si>
  <si>
    <t xml:space="preserve">ケンタッキーホーム</t>
  </si>
  <si>
    <t xml:space="preserve">ソルチェリア</t>
  </si>
  <si>
    <t xml:space="preserve">イッテラッシャイ</t>
  </si>
  <si>
    <t xml:space="preserve">テーオーマルコーニ</t>
  </si>
  <si>
    <t xml:space="preserve">サノノワンダー</t>
  </si>
  <si>
    <t xml:space="preserve">キングブルー</t>
  </si>
  <si>
    <t xml:space="preserve">ロードヴォイジャー</t>
  </si>
  <si>
    <t xml:space="preserve">マテンロウブレイブ</t>
  </si>
  <si>
    <t xml:space="preserve">マンオブザマッチ</t>
  </si>
  <si>
    <t xml:space="preserve">ブルーワール</t>
  </si>
  <si>
    <t xml:space="preserve">タイゲン</t>
  </si>
  <si>
    <t xml:space="preserve">ラオラシオン</t>
  </si>
  <si>
    <t xml:space="preserve">ドラゴン</t>
  </si>
  <si>
    <t xml:space="preserve">トップアタック</t>
  </si>
  <si>
    <t xml:space="preserve">フォーゲル</t>
  </si>
  <si>
    <t xml:space="preserve">エイシンディード</t>
  </si>
  <si>
    <t xml:space="preserve">メランコリニスタ</t>
  </si>
  <si>
    <t xml:space="preserve">シラヌイ</t>
  </si>
  <si>
    <t xml:space="preserve">タガノアラリア</t>
  </si>
  <si>
    <t xml:space="preserve">ヒシアイラ</t>
  </si>
  <si>
    <t xml:space="preserve">タマモイカロス</t>
  </si>
  <si>
    <t xml:space="preserve">タイセイルヴァン</t>
  </si>
  <si>
    <t xml:space="preserve">ドンパッショーネ</t>
  </si>
  <si>
    <t xml:space="preserve">メイショウドライブ</t>
  </si>
  <si>
    <t xml:space="preserve">アスタールフナ</t>
  </si>
  <si>
    <t xml:space="preserve">ランスオブセヘル</t>
  </si>
  <si>
    <t xml:space="preserve">ジュンゴールド</t>
  </si>
  <si>
    <t xml:space="preserve">ベンダバール</t>
  </si>
  <si>
    <t xml:space="preserve">フローレスカラーズ</t>
  </si>
  <si>
    <t xml:space="preserve">エフハリスト</t>
  </si>
  <si>
    <t xml:space="preserve">カスターニエ</t>
  </si>
  <si>
    <t xml:space="preserve">ミツカネルナ</t>
  </si>
  <si>
    <t xml:space="preserve">フレアリングベリー</t>
  </si>
  <si>
    <t xml:space="preserve">ユーゲットミー</t>
  </si>
  <si>
    <t xml:space="preserve">トワイライトビュー</t>
  </si>
  <si>
    <t xml:space="preserve">ピュアクローム</t>
  </si>
  <si>
    <t xml:space="preserve">タイヨウノユビワ</t>
  </si>
  <si>
    <t xml:space="preserve">ピードモント</t>
  </si>
  <si>
    <t xml:space="preserve">ブレイブシュガー</t>
  </si>
  <si>
    <t xml:space="preserve">ティブロン</t>
  </si>
  <si>
    <t xml:space="preserve">ウインルナロッサ</t>
  </si>
  <si>
    <t xml:space="preserve">ベアブルージュ</t>
  </si>
  <si>
    <t xml:space="preserve">ベネファクター</t>
  </si>
  <si>
    <t xml:space="preserve">スミレノハナ</t>
  </si>
  <si>
    <t xml:space="preserve">モンスターラッシュ</t>
  </si>
  <si>
    <t xml:space="preserve">クインズサクラ</t>
  </si>
  <si>
    <t xml:space="preserve">フューチャプライム</t>
  </si>
  <si>
    <t xml:space="preserve">セリエンクーニゲン</t>
  </si>
  <si>
    <t xml:space="preserve">メイアイリス</t>
  </si>
  <si>
    <t xml:space="preserve">ルージュダズリング</t>
  </si>
  <si>
    <t xml:space="preserve">マーガレットクレア</t>
  </si>
  <si>
    <t xml:space="preserve">トヨサカエ</t>
  </si>
  <si>
    <t xml:space="preserve">エコロバロン</t>
  </si>
  <si>
    <t xml:space="preserve">ムテキシャチョウ</t>
  </si>
  <si>
    <t xml:space="preserve">ヴェネチアンキング</t>
  </si>
  <si>
    <t xml:space="preserve">シュテルン</t>
  </si>
  <si>
    <t xml:space="preserve">カセノアステリア</t>
  </si>
  <si>
    <t xml:space="preserve">スターチスブーケ</t>
  </si>
  <si>
    <t xml:space="preserve">コスモグラニット</t>
  </si>
  <si>
    <t xml:space="preserve">トクシージェネラル</t>
  </si>
  <si>
    <t xml:space="preserve">シェーンシュティア</t>
  </si>
  <si>
    <t xml:space="preserve">ガールネクストドア</t>
  </si>
  <si>
    <t xml:space="preserve">シュレン</t>
  </si>
  <si>
    <t xml:space="preserve">イラーナ</t>
  </si>
  <si>
    <t xml:space="preserve">マックスキュー</t>
  </si>
  <si>
    <t xml:space="preserve">セイラダンサー</t>
  </si>
  <si>
    <t xml:space="preserve">ペロ</t>
  </si>
  <si>
    <t xml:space="preserve">クニノハッピー</t>
  </si>
  <si>
    <t xml:space="preserve">シュヴァルム</t>
  </si>
  <si>
    <t xml:space="preserve">ヘインズポイント</t>
  </si>
  <si>
    <t xml:space="preserve">バスターコール</t>
  </si>
  <si>
    <t xml:space="preserve">レイクストライプス</t>
  </si>
  <si>
    <t xml:space="preserve">ボナーテソーロ</t>
  </si>
  <si>
    <t xml:space="preserve">ティムール</t>
  </si>
  <si>
    <t xml:space="preserve">バンフィエルド</t>
  </si>
  <si>
    <t xml:space="preserve">ジオセントリック</t>
  </si>
  <si>
    <t xml:space="preserve">ノラリクラリ</t>
  </si>
  <si>
    <t xml:space="preserve">アバンデル</t>
  </si>
  <si>
    <t xml:space="preserve">ビップチェイス</t>
  </si>
  <si>
    <t xml:space="preserve">オールマイデイズ</t>
  </si>
  <si>
    <t xml:space="preserve">サトノパトリオット</t>
  </si>
  <si>
    <t xml:space="preserve">アルゴナヴィス</t>
  </si>
  <si>
    <t xml:space="preserve">ヘルモーズ</t>
  </si>
  <si>
    <t xml:space="preserve">ガンウルフ</t>
  </si>
  <si>
    <t xml:space="preserve">ジョディーズマロン</t>
  </si>
  <si>
    <t xml:space="preserve">レッドラパルマ</t>
  </si>
  <si>
    <t xml:space="preserve">クァンタムウェーブ</t>
  </si>
  <si>
    <t xml:space="preserve">ユキノロイヤル</t>
  </si>
  <si>
    <t xml:space="preserve">セギレエルビエント</t>
  </si>
  <si>
    <t xml:space="preserve">スパークリシャール</t>
  </si>
  <si>
    <t xml:space="preserve">ガジュノリ</t>
  </si>
  <si>
    <t xml:space="preserve">テウメッサ</t>
  </si>
  <si>
    <t xml:space="preserve">クリニクラウン</t>
  </si>
  <si>
    <t xml:space="preserve">キュクヌス</t>
  </si>
  <si>
    <t xml:space="preserve">ジャサルディア</t>
  </si>
  <si>
    <t xml:space="preserve">ロジマンボ</t>
  </si>
  <si>
    <t xml:space="preserve">レイニング</t>
  </si>
  <si>
    <t xml:space="preserve">テンミラクルスター</t>
  </si>
  <si>
    <t xml:space="preserve">ソルトブリーズ</t>
  </si>
  <si>
    <t xml:space="preserve">マイネルフルムーン</t>
  </si>
  <si>
    <t xml:space="preserve">ミスタージーティー</t>
  </si>
  <si>
    <t xml:space="preserve">ライヒスアドラー</t>
  </si>
  <si>
    <t xml:space="preserve">マテンロウゲイル</t>
  </si>
  <si>
    <t xml:space="preserve">ケントン</t>
  </si>
  <si>
    <t xml:space="preserve">アルトラムス</t>
  </si>
  <si>
    <t xml:space="preserve">バステール</t>
  </si>
  <si>
    <t xml:space="preserve">コンジェスタス</t>
  </si>
  <si>
    <t xml:space="preserve">メイショウハチコウ</t>
  </si>
  <si>
    <t xml:space="preserve">アウダーシア</t>
  </si>
  <si>
    <t xml:space="preserve">ジャスティンビスタ</t>
  </si>
  <si>
    <t xml:space="preserve">リアライズシリウス</t>
  </si>
  <si>
    <t xml:space="preserve">アスクエジンバラ</t>
  </si>
  <si>
    <t xml:space="preserve">パントルナイーフ</t>
  </si>
  <si>
    <t xml:space="preserve">ゴーイントゥスカイ</t>
  </si>
  <si>
    <t xml:space="preserve">フォルテアンジェロ</t>
  </si>
  <si>
    <t xml:space="preserve">グリーンエナジー</t>
  </si>
  <si>
    <t xml:space="preserve">ロブチェン</t>
  </si>
  <si>
    <t xml:space="preserve">エムズビギン</t>
  </si>
  <si>
    <t xml:space="preserve">ショウナンバシット</t>
  </si>
  <si>
    <t xml:space="preserve">ファイアンクランツ</t>
  </si>
  <si>
    <t xml:space="preserve">ウィクトルウェルス</t>
  </si>
  <si>
    <t xml:space="preserve">アスクセクシーモア</t>
  </si>
  <si>
    <t xml:space="preserve">マイネルケレリウス</t>
  </si>
  <si>
    <t xml:space="preserve">ダノンシーマ</t>
  </si>
  <si>
    <t xml:space="preserve">キングズパレス</t>
  </si>
  <si>
    <t xml:space="preserve">ヴェルミセル</t>
  </si>
  <si>
    <t xml:space="preserve">キングスコール</t>
  </si>
  <si>
    <t xml:space="preserve">エレノアサンライズ</t>
  </si>
  <si>
    <t xml:space="preserve">ルージュエピック</t>
  </si>
  <si>
    <t xml:space="preserve">ワンインザスカイ</t>
  </si>
  <si>
    <t xml:space="preserve">シャンティフレーズ</t>
  </si>
  <si>
    <t xml:space="preserve">マイラヴノリピー</t>
  </si>
  <si>
    <t xml:space="preserve">マリノエステーラ</t>
  </si>
  <si>
    <t xml:space="preserve">ベリベリハッピー</t>
  </si>
  <si>
    <t xml:space="preserve">ミーンアロット</t>
  </si>
  <si>
    <t xml:space="preserve">ペプチドアバンス</t>
  </si>
  <si>
    <t xml:space="preserve">ナムラソラン</t>
  </si>
  <si>
    <t xml:space="preserve">ミスジェイド</t>
  </si>
  <si>
    <t xml:space="preserve">メイショウゼルク</t>
  </si>
  <si>
    <t xml:space="preserve">タイセイバウンス</t>
  </si>
  <si>
    <t xml:space="preserve">クロボタン</t>
  </si>
  <si>
    <t xml:space="preserve">マリリンバローズ</t>
  </si>
  <si>
    <t xml:space="preserve">ハオカノア</t>
  </si>
  <si>
    <t xml:space="preserve">ミッキーロビン</t>
  </si>
  <si>
    <t xml:space="preserve">ララドゥージエム</t>
  </si>
  <si>
    <t xml:space="preserve">サカキ</t>
  </si>
  <si>
    <t xml:space="preserve">ヴェインズマン</t>
  </si>
  <si>
    <t xml:space="preserve">ハイウェイスター</t>
  </si>
  <si>
    <t xml:space="preserve">アルマーザアミール</t>
  </si>
  <si>
    <t xml:space="preserve">マホロバ</t>
  </si>
  <si>
    <t xml:space="preserve">ベイビーベリッシモ</t>
  </si>
  <si>
    <t xml:space="preserve">ソルアマゾン</t>
  </si>
  <si>
    <t xml:space="preserve">エンデュミオン</t>
  </si>
  <si>
    <t xml:space="preserve">ソルトダイヤモンド</t>
  </si>
  <si>
    <t xml:space="preserve">マスティカーレ</t>
  </si>
  <si>
    <t xml:space="preserve">ウインドオルフェ</t>
  </si>
  <si>
    <t xml:space="preserve">ゼットクイン</t>
  </si>
  <si>
    <t xml:space="preserve">レットフィールマン</t>
  </si>
  <si>
    <t xml:space="preserve">エルモサカスターノ</t>
  </si>
  <si>
    <t xml:space="preserve">サリカリーフォリア</t>
  </si>
  <si>
    <t xml:space="preserve">タイニーワンダー</t>
  </si>
  <si>
    <t xml:space="preserve">ゲレーロアスール</t>
  </si>
  <si>
    <t xml:space="preserve">グランディマージュ</t>
  </si>
  <si>
    <t xml:space="preserve">メイショウイブキ</t>
  </si>
  <si>
    <t xml:space="preserve">ゴディアンフィンチ</t>
  </si>
  <si>
    <t xml:space="preserve">ピカラ</t>
  </si>
  <si>
    <t xml:space="preserve">エコロボルト</t>
  </si>
  <si>
    <t xml:space="preserve">フィアーブル</t>
  </si>
  <si>
    <t xml:space="preserve">ディープスリー</t>
  </si>
  <si>
    <t xml:space="preserve">クラッチプレイヤー</t>
  </si>
  <si>
    <t xml:space="preserve">レジェンドシップ</t>
  </si>
  <si>
    <t xml:space="preserve">スピントロニクス</t>
  </si>
  <si>
    <t xml:space="preserve">エンスエーニョ</t>
  </si>
  <si>
    <t xml:space="preserve">ロットブラータ</t>
  </si>
  <si>
    <t xml:space="preserve">マイネルビスマルク</t>
  </si>
  <si>
    <t xml:space="preserve">フララナキラ</t>
  </si>
  <si>
    <t xml:space="preserve">ヴォワラクテ</t>
  </si>
  <si>
    <t xml:space="preserve">スターリングアップ</t>
  </si>
  <si>
    <t xml:space="preserve">パフュームセント</t>
  </si>
  <si>
    <t xml:space="preserve">ジョータルマエ</t>
  </si>
  <si>
    <t xml:space="preserve">プラニスフェリオ</t>
  </si>
  <si>
    <t xml:space="preserve">ゴッドエスパーダ</t>
  </si>
  <si>
    <t xml:space="preserve">ニホンピロデヴィン</t>
  </si>
  <si>
    <t xml:space="preserve">ヤブサメ</t>
  </si>
  <si>
    <t xml:space="preserve">カルチャーデイ</t>
  </si>
  <si>
    <t xml:space="preserve">ソウテン</t>
  </si>
  <si>
    <t xml:space="preserve">ムイ</t>
  </si>
  <si>
    <t xml:space="preserve">アルテヴェローチェ</t>
  </si>
  <si>
    <t xml:space="preserve">ビーアストニッシド</t>
  </si>
  <si>
    <t xml:space="preserve">アサカラキング</t>
  </si>
  <si>
    <t xml:space="preserve">レイベリング</t>
  </si>
  <si>
    <t xml:space="preserve">アスクワンタイム</t>
  </si>
  <si>
    <t xml:space="preserve">エコロブルーム</t>
  </si>
  <si>
    <t xml:space="preserve">ロサルゴサ</t>
  </si>
  <si>
    <t xml:space="preserve">シーミハットク</t>
  </si>
  <si>
    <t xml:space="preserve">バークシャーシチー</t>
  </si>
  <si>
    <t xml:space="preserve">ダイチノナポリ</t>
  </si>
  <si>
    <t xml:space="preserve">オルフセン</t>
  </si>
  <si>
    <t xml:space="preserve">ブリックワーク</t>
  </si>
  <si>
    <t xml:space="preserve">ビップジーニー</t>
  </si>
  <si>
    <t xml:space="preserve">ディアドコス</t>
  </si>
  <si>
    <t xml:space="preserve">トラペジスト</t>
  </si>
  <si>
    <t xml:space="preserve">ガンマジーティーピ</t>
  </si>
  <si>
    <t xml:space="preserve">ブルクトーア</t>
  </si>
  <si>
    <t xml:space="preserve">サクセスアイ</t>
  </si>
  <si>
    <t xml:space="preserve">ブリュットミレジメ</t>
  </si>
  <si>
    <t xml:space="preserve">メイショウセイロウ</t>
  </si>
  <si>
    <t xml:space="preserve">ヨウシタンレイ</t>
  </si>
  <si>
    <t xml:space="preserve">オーシャンステラ</t>
  </si>
  <si>
    <r>
      <rPr>
        <sz val="11"/>
        <color theme="1"/>
        <rFont val="Noto Sans"/>
        <family val="2"/>
      </rPr>
      <t xml:space="preserve">画像セル単位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"/>
        <family val="2"/>
      </rPr>
      <t xml:space="preserve">月確定値分類＋複数条件再読＋拡大目視検算／結果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突合／着順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</si>
  <si>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ガーデンバイザベイ</t>
  </si>
  <si>
    <t xml:space="preserve">ニューハイ</t>
  </si>
  <si>
    <t xml:space="preserve">カーマインジュエル</t>
  </si>
  <si>
    <t xml:space="preserve">オルナータス</t>
  </si>
  <si>
    <t xml:space="preserve">ムルーデ</t>
  </si>
  <si>
    <t xml:space="preserve">ヴレクール</t>
  </si>
  <si>
    <t xml:space="preserve">マジックオーラ</t>
  </si>
  <si>
    <t xml:space="preserve">クイーンオブハート</t>
  </si>
  <si>
    <t xml:space="preserve">トロフィーポーズ</t>
  </si>
  <si>
    <t xml:space="preserve">セイウンサクラサケ</t>
  </si>
  <si>
    <t xml:space="preserve">アサクサダイアナ</t>
  </si>
  <si>
    <t xml:space="preserve">ダイコクヤタエモン</t>
  </si>
  <si>
    <t xml:space="preserve">ガヤーズベース</t>
  </si>
  <si>
    <t xml:space="preserve">カフェタンガロア</t>
  </si>
  <si>
    <t xml:space="preserve">ココラッシー</t>
  </si>
  <si>
    <t xml:space="preserve">ドヒョウノビガク</t>
  </si>
  <si>
    <t xml:space="preserve">タケノリダー</t>
  </si>
  <si>
    <t xml:space="preserve">コスモペンタス</t>
  </si>
  <si>
    <t xml:space="preserve">カンティーナ</t>
  </si>
  <si>
    <t xml:space="preserve">クインズロベリア</t>
  </si>
  <si>
    <t xml:space="preserve">ガヴァルニー</t>
  </si>
  <si>
    <t xml:space="preserve">クイーンミスチーフ</t>
  </si>
  <si>
    <t xml:space="preserve">レーヌシェーヌ</t>
  </si>
  <si>
    <t xml:space="preserve">エラルディーク</t>
  </si>
  <si>
    <t xml:space="preserve">ベラジオカイザー</t>
  </si>
  <si>
    <t xml:space="preserve">スチョウプリンセス</t>
  </si>
  <si>
    <t xml:space="preserve">ダノンシーホーク</t>
  </si>
  <si>
    <t xml:space="preserve">マジョレルブルー</t>
  </si>
  <si>
    <t xml:space="preserve">ソラーロ</t>
  </si>
  <si>
    <t xml:space="preserve">スチールナイト</t>
  </si>
  <si>
    <t xml:space="preserve">ガローファノ</t>
  </si>
  <si>
    <t xml:space="preserve">ブラウンバナナ</t>
  </si>
  <si>
    <t xml:space="preserve">ルクスポップスター</t>
  </si>
  <si>
    <t xml:space="preserve">ウィッキドピケット</t>
  </si>
  <si>
    <t xml:space="preserve">リアライズブライト</t>
  </si>
  <si>
    <t xml:space="preserve">トップマジシャン</t>
  </si>
  <si>
    <t xml:space="preserve">ショーリバース</t>
  </si>
  <si>
    <t xml:space="preserve">ユイノカタリベ</t>
  </si>
  <si>
    <t xml:space="preserve">ドナソール</t>
  </si>
  <si>
    <t xml:space="preserve">ノアヴィヴァーチェ</t>
  </si>
  <si>
    <t xml:space="preserve">ヴェーヌドール</t>
  </si>
  <si>
    <t xml:space="preserve">ヴォラーレ</t>
  </si>
  <si>
    <t xml:space="preserve">ロストボール</t>
  </si>
  <si>
    <t xml:space="preserve">ルージュスエルテ</t>
  </si>
  <si>
    <t xml:space="preserve">トーレ</t>
  </si>
  <si>
    <t xml:space="preserve">アンクエンチャブル</t>
  </si>
  <si>
    <t xml:space="preserve">マイネルブリックス</t>
  </si>
  <si>
    <t xml:space="preserve">トリプルコーク</t>
  </si>
  <si>
    <t xml:space="preserve">ロジシルバー</t>
  </si>
  <si>
    <t xml:space="preserve">ホウオウアートマン</t>
  </si>
  <si>
    <t xml:space="preserve">カルネヴァーレ</t>
  </si>
  <si>
    <t xml:space="preserve">ノンスタンダルド</t>
  </si>
  <si>
    <t xml:space="preserve">ノーブルノワール</t>
  </si>
  <si>
    <t xml:space="preserve">ルージュミレネール</t>
  </si>
  <si>
    <t xml:space="preserve">メイショウルビー</t>
  </si>
  <si>
    <t xml:space="preserve">マダムカマラード</t>
  </si>
  <si>
    <t xml:space="preserve">ガーリッシュ</t>
  </si>
  <si>
    <t xml:space="preserve">キョウエイクローム</t>
  </si>
  <si>
    <t xml:space="preserve">バーニングラン</t>
  </si>
  <si>
    <t xml:space="preserve">ゴールドコット</t>
  </si>
  <si>
    <t xml:space="preserve">ハギノギフテッド</t>
  </si>
  <si>
    <t xml:space="preserve">サンロンブル</t>
  </si>
  <si>
    <t xml:space="preserve">ジェム</t>
  </si>
  <si>
    <t xml:space="preserve">ロジャートアリー</t>
  </si>
  <si>
    <t xml:space="preserve">タワワ</t>
  </si>
  <si>
    <t xml:space="preserve">キシャール</t>
  </si>
  <si>
    <t xml:space="preserve">ドールズ</t>
  </si>
  <si>
    <t xml:space="preserve">マイシドニー</t>
  </si>
  <si>
    <t xml:space="preserve">ルナカカオ</t>
  </si>
  <si>
    <t xml:space="preserve">サトノビダーヤ</t>
  </si>
  <si>
    <t xml:space="preserve">プシュパ</t>
  </si>
  <si>
    <t xml:space="preserve">ユウブルボン</t>
  </si>
  <si>
    <t xml:space="preserve">エブライト</t>
  </si>
  <si>
    <t xml:space="preserve">ワイルドブッター</t>
  </si>
  <si>
    <t xml:space="preserve">ニホンピロカラット</t>
  </si>
  <si>
    <t xml:space="preserve">ダディーズアイル</t>
  </si>
  <si>
    <t xml:space="preserve">チムニーパイプ</t>
  </si>
  <si>
    <t xml:space="preserve">シャインミラカナ</t>
  </si>
  <si>
    <t xml:space="preserve">ダノンクロム</t>
  </si>
  <si>
    <t xml:space="preserve">シャーリーゴールド</t>
  </si>
  <si>
    <t xml:space="preserve">コルドンブルー</t>
  </si>
  <si>
    <t xml:space="preserve">ニシノイツキムスメ</t>
  </si>
  <si>
    <t xml:space="preserve">アウクソー</t>
  </si>
  <si>
    <t xml:space="preserve">クインズメレンゲ</t>
  </si>
  <si>
    <t xml:space="preserve">ヴラディア</t>
  </si>
  <si>
    <t xml:space="preserve">メイショウアツイタ</t>
  </si>
  <si>
    <t xml:space="preserve">ネビーイーム</t>
  </si>
  <si>
    <t xml:space="preserve">シホノスペランツァ</t>
  </si>
  <si>
    <t xml:space="preserve">ゴールデンスロープ</t>
  </si>
  <si>
    <t xml:space="preserve">エチゴドラゴン</t>
  </si>
  <si>
    <t xml:space="preserve">アイガーリー</t>
  </si>
  <si>
    <t xml:space="preserve">エイシンイグニース</t>
  </si>
  <si>
    <t xml:space="preserve">マテンロウゼロ</t>
  </si>
  <si>
    <t xml:space="preserve">リューデスハイム</t>
  </si>
  <si>
    <t xml:space="preserve">ゴールドダイアー</t>
  </si>
  <si>
    <t xml:space="preserve">シャルクハフト</t>
  </si>
  <si>
    <t xml:space="preserve">ポルポラジール</t>
  </si>
  <si>
    <t xml:space="preserve">タガノマカシヤ</t>
  </si>
  <si>
    <t xml:space="preserve">フランスゴデイナ</t>
  </si>
  <si>
    <t xml:space="preserve">メイプルタピット</t>
  </si>
  <si>
    <t xml:space="preserve">デイトナモード</t>
  </si>
  <si>
    <t xml:space="preserve">ディアナザール</t>
  </si>
  <si>
    <t xml:space="preserve">ガロンヌ</t>
  </si>
  <si>
    <t xml:space="preserve">フロムダスク</t>
  </si>
  <si>
    <t xml:space="preserve">イフェイオン</t>
  </si>
  <si>
    <t xml:space="preserve">ヤンキーバローズ</t>
  </si>
  <si>
    <t xml:space="preserve">オコタンペ</t>
  </si>
  <si>
    <t xml:space="preserve">ゴイゴイスー</t>
  </si>
  <si>
    <t xml:space="preserve">ピコニ</t>
  </si>
  <si>
    <t xml:space="preserve">ライトニングゼウス</t>
  </si>
  <si>
    <t xml:space="preserve">フェデラー</t>
  </si>
  <si>
    <t xml:space="preserve">インディゴアスール</t>
  </si>
  <si>
    <t xml:space="preserve">アルファシーナ</t>
  </si>
  <si>
    <t xml:space="preserve">ハイロード</t>
  </si>
  <si>
    <t xml:space="preserve">ユイアンゴロー</t>
  </si>
  <si>
    <t xml:space="preserve">カモンレイル</t>
  </si>
  <si>
    <t xml:space="preserve">ショーンバローズ</t>
  </si>
  <si>
    <t xml:space="preserve">オオアバレ</t>
  </si>
  <si>
    <t xml:space="preserve">アシャカバッハ</t>
  </si>
  <si>
    <t xml:space="preserve">フローライト</t>
  </si>
  <si>
    <t xml:space="preserve">ポッポヘジュセヨ</t>
  </si>
  <si>
    <t xml:space="preserve">ピョイットハレルヤ</t>
  </si>
  <si>
    <t xml:space="preserve">ピコパープル</t>
  </si>
  <si>
    <t xml:space="preserve">トリトマフロックス</t>
  </si>
  <si>
    <t xml:space="preserve">ココネ</t>
  </si>
  <si>
    <t xml:space="preserve">イーリスアスター</t>
  </si>
  <si>
    <t xml:space="preserve">ミラキュラスアース</t>
  </si>
  <si>
    <t xml:space="preserve">リュウゴピュア</t>
  </si>
  <si>
    <t xml:space="preserve">コーディアリティ</t>
  </si>
  <si>
    <t xml:space="preserve">ゼランテ</t>
  </si>
  <si>
    <t xml:space="preserve">アンデルストープ</t>
  </si>
  <si>
    <t xml:space="preserve">ウインプライム</t>
  </si>
  <si>
    <t xml:space="preserve">ボールドタワー</t>
  </si>
  <si>
    <t xml:space="preserve">アナザーフェイス</t>
  </si>
  <si>
    <t xml:space="preserve">ヴァイツェン</t>
  </si>
  <si>
    <t xml:space="preserve">ユアベストダンサー</t>
  </si>
  <si>
    <t xml:space="preserve">トーアアグネス</t>
  </si>
  <si>
    <t xml:space="preserve">イヌボウノシオカゼ</t>
  </si>
  <si>
    <t xml:space="preserve">ツトムユニバース</t>
  </si>
  <si>
    <t xml:space="preserve">メーレスブリーゼ</t>
  </si>
  <si>
    <t xml:space="preserve">ジョイアミーア</t>
  </si>
  <si>
    <t xml:space="preserve">コンフィアンサ</t>
  </si>
  <si>
    <t xml:space="preserve">クールフィールド</t>
  </si>
  <si>
    <t xml:space="preserve">フルドド</t>
  </si>
  <si>
    <t xml:space="preserve">ペイシャマリーン</t>
  </si>
  <si>
    <t xml:space="preserve">トルティーナ</t>
  </si>
  <si>
    <t xml:space="preserve">ヴィヴァラリス</t>
  </si>
  <si>
    <t xml:space="preserve">シャンハイナイト</t>
  </si>
  <si>
    <t xml:space="preserve">オッシレイション</t>
  </si>
  <si>
    <t xml:space="preserve">ボーヌロマネ</t>
  </si>
  <si>
    <t xml:space="preserve">オウケンベリー</t>
  </si>
  <si>
    <t xml:space="preserve">ファーマシャイン</t>
  </si>
  <si>
    <t xml:space="preserve">ダノンヴェステル</t>
  </si>
  <si>
    <t xml:space="preserve">イーサンハンター</t>
  </si>
  <si>
    <t xml:space="preserve">ファルコンミノル</t>
  </si>
  <si>
    <t xml:space="preserve">ソニックドライブ</t>
  </si>
  <si>
    <t xml:space="preserve">スピアッジャローザ</t>
  </si>
  <si>
    <t xml:space="preserve">グランツローゼ</t>
  </si>
  <si>
    <t xml:space="preserve">ソニックステップ</t>
  </si>
  <si>
    <t xml:space="preserve">ラインベック</t>
  </si>
  <si>
    <t xml:space="preserve">グランディア</t>
  </si>
  <si>
    <t xml:space="preserve">グランドカリナン</t>
  </si>
  <si>
    <t xml:space="preserve">ドゥラドーレス</t>
  </si>
  <si>
    <t xml:space="preserve">フクノブルーレイク</t>
  </si>
  <si>
    <t xml:space="preserve">セキトバイースト</t>
  </si>
  <si>
    <t xml:space="preserve">シュトルーヴェ</t>
  </si>
  <si>
    <t xml:space="preserve">シンハナーダ</t>
  </si>
  <si>
    <t xml:space="preserve">ホリーアン</t>
  </si>
  <si>
    <t xml:space="preserve">ラヴスコール</t>
  </si>
  <si>
    <t xml:space="preserve">アクイローネ</t>
  </si>
  <si>
    <t xml:space="preserve">シュードタキライト</t>
  </si>
  <si>
    <t xml:space="preserve">フォレストゲート</t>
  </si>
  <si>
    <t xml:space="preserve">ウイングラナート</t>
  </si>
  <si>
    <t xml:space="preserve">ゴーゴーマンゴー</t>
  </si>
  <si>
    <t xml:space="preserve">ロット</t>
  </si>
  <si>
    <t xml:space="preserve">オーケーグレイス</t>
  </si>
  <si>
    <t xml:space="preserve">ケイツータカ</t>
  </si>
  <si>
    <t xml:space="preserve">マリノステアハート</t>
  </si>
  <si>
    <t xml:space="preserve">ココロノヒコボシ</t>
  </si>
  <si>
    <t xml:space="preserve">ライクアストリーク</t>
  </si>
  <si>
    <t xml:space="preserve">ロードクローザー</t>
  </si>
  <si>
    <t xml:space="preserve">タフバディ</t>
  </si>
  <si>
    <t xml:space="preserve">インサラータ</t>
  </si>
  <si>
    <t xml:space="preserve">ウインシャリーフ</t>
  </si>
  <si>
    <t xml:space="preserve">マジックパレス</t>
  </si>
  <si>
    <t xml:space="preserve">キーサーバー</t>
  </si>
  <si>
    <t xml:space="preserve">ケイツースクード</t>
  </si>
  <si>
    <t xml:space="preserve">ウルフマン</t>
  </si>
  <si>
    <t xml:space="preserve">バルボアパーク</t>
  </si>
  <si>
    <t xml:space="preserve">ジュワネング</t>
  </si>
  <si>
    <t xml:space="preserve">サトノマティーニ</t>
  </si>
  <si>
    <t xml:space="preserve">ギガントマキア</t>
  </si>
  <si>
    <t xml:space="preserve">ヴァロアーク</t>
  </si>
  <si>
    <t xml:space="preserve">リアライズリバティ</t>
  </si>
  <si>
    <t xml:space="preserve">ヴァーナリー</t>
  </si>
  <si>
    <t xml:space="preserve">ディープキング</t>
  </si>
  <si>
    <t xml:space="preserve">エデルクローネ</t>
  </si>
  <si>
    <t xml:space="preserve">ウインファヴォリ</t>
  </si>
  <si>
    <t xml:space="preserve">レリッシュ</t>
  </si>
  <si>
    <t xml:space="preserve">リケアキャンディ</t>
  </si>
  <si>
    <t xml:space="preserve">オリバナム</t>
  </si>
  <si>
    <t xml:space="preserve">シルバーレイン</t>
  </si>
  <si>
    <t xml:space="preserve">リュウノタブーク</t>
  </si>
  <si>
    <t xml:space="preserve">デファイ</t>
  </si>
  <si>
    <t xml:space="preserve">クールベイビー</t>
  </si>
  <si>
    <t xml:space="preserve">エルマーゴ</t>
  </si>
  <si>
    <t xml:space="preserve">サンダーロード</t>
  </si>
  <si>
    <t xml:space="preserve">コーリンカルベラ</t>
  </si>
  <si>
    <t xml:space="preserve">カピリナ</t>
  </si>
  <si>
    <t xml:space="preserve">ワイドラトゥール</t>
  </si>
  <si>
    <t xml:space="preserve">マピュース</t>
  </si>
  <si>
    <t xml:space="preserve">ラヴァンダ</t>
  </si>
  <si>
    <t xml:space="preserve">クイーンズウォーク</t>
  </si>
  <si>
    <t xml:space="preserve">カムニャック</t>
  </si>
  <si>
    <t xml:space="preserve">エンブロイダリー</t>
  </si>
  <si>
    <t xml:space="preserve">カナテープ</t>
  </si>
  <si>
    <t xml:space="preserve">ジョスラン</t>
  </si>
  <si>
    <t xml:space="preserve">アイサンサン</t>
  </si>
  <si>
    <t xml:space="preserve">ニシノティアモ</t>
  </si>
  <si>
    <t xml:space="preserve">パラディレーヌ</t>
  </si>
  <si>
    <t xml:space="preserve">チェルヴィニア</t>
  </si>
  <si>
    <t xml:space="preserve">パルデンス</t>
  </si>
  <si>
    <t xml:space="preserve">コーラルクラウン</t>
  </si>
  <si>
    <t xml:space="preserve">フウセツ</t>
  </si>
  <si>
    <t xml:space="preserve">ジャスリー</t>
  </si>
  <si>
    <t xml:space="preserve">ラファル</t>
  </si>
  <si>
    <t xml:space="preserve">ワークソング</t>
  </si>
  <si>
    <t xml:space="preserve">アスクアイルビゼア</t>
  </si>
  <si>
    <t xml:space="preserve">サトノガレオン</t>
  </si>
  <si>
    <t xml:space="preserve">メイケイレイン</t>
  </si>
  <si>
    <t xml:space="preserve">アジアミッション</t>
  </si>
  <si>
    <t xml:space="preserve">テリフィックプラン</t>
  </si>
  <si>
    <t xml:space="preserve">ペプチドプラタ</t>
  </si>
  <si>
    <t xml:space="preserve">サンミスメロディ</t>
  </si>
  <si>
    <t xml:space="preserve">ジャカルタバオ</t>
  </si>
  <si>
    <t xml:space="preserve">プッシュフォワード</t>
  </si>
  <si>
    <t xml:space="preserve">セルリアンライオン</t>
  </si>
  <si>
    <t xml:space="preserve">ブラストビート</t>
  </si>
  <si>
    <t xml:space="preserve">モズプリフォール</t>
  </si>
  <si>
    <t xml:space="preserve">ジェイソンバローズ</t>
  </si>
  <si>
    <t xml:space="preserve">ビーアイジーニー</t>
  </si>
  <si>
    <t xml:space="preserve">クリコバロー</t>
  </si>
  <si>
    <t xml:space="preserve">ヒラボクソライア</t>
  </si>
  <si>
    <t xml:space="preserve">ウィムーヴ</t>
  </si>
  <si>
    <t xml:space="preserve">バルフルール</t>
  </si>
  <si>
    <t xml:space="preserve">ペプチドブッドレア</t>
  </si>
  <si>
    <t xml:space="preserve">ベンティガスエルテ</t>
  </si>
  <si>
    <t xml:space="preserve">ジャミールアイン</t>
  </si>
  <si>
    <t xml:space="preserve">トンデトンデトンデ</t>
  </si>
  <si>
    <t xml:space="preserve">バケラッタ</t>
  </si>
  <si>
    <t xml:space="preserve">フクシマブリルハム</t>
  </si>
  <si>
    <t xml:space="preserve">トーアエレクトラム</t>
  </si>
  <si>
    <t xml:space="preserve">テスタヴェローチェ</t>
  </si>
  <si>
    <t xml:space="preserve">ジャイアンバローズ</t>
  </si>
  <si>
    <t xml:space="preserve">アビラーシャ</t>
  </si>
  <si>
    <t xml:space="preserve">マイコンチェルト</t>
  </si>
  <si>
    <t xml:space="preserve">ジーティーシップ</t>
  </si>
  <si>
    <t xml:space="preserve">ヴォラヴィア</t>
  </si>
  <si>
    <t xml:space="preserve">ラブカ</t>
  </si>
  <si>
    <t xml:space="preserve">デリュージョン</t>
  </si>
  <si>
    <t xml:space="preserve">ボナペティアスク</t>
  </si>
  <si>
    <t xml:space="preserve">ゴッドヴァレー</t>
  </si>
  <si>
    <t xml:space="preserve">サミダレナイツ</t>
  </si>
  <si>
    <t xml:space="preserve">シュプリンガー</t>
  </si>
  <si>
    <t xml:space="preserve">ベイラム</t>
  </si>
  <si>
    <t xml:space="preserve">パープルクラウド</t>
  </si>
  <si>
    <t xml:space="preserve">ファーングロット</t>
  </si>
  <si>
    <t xml:space="preserve">プレイリードリーム</t>
  </si>
  <si>
    <t xml:space="preserve">エルディアブロ</t>
  </si>
  <si>
    <t xml:space="preserve">ジェットマグナム</t>
  </si>
  <si>
    <t xml:space="preserve">バレルターン</t>
  </si>
  <si>
    <t xml:space="preserve">ボーモンド</t>
  </si>
  <si>
    <t xml:space="preserve">チェルノボーグ</t>
  </si>
  <si>
    <t xml:space="preserve">プッシュオン</t>
  </si>
  <si>
    <t xml:space="preserve">エートラックス</t>
  </si>
  <si>
    <t xml:space="preserve">タガノミスト</t>
  </si>
  <si>
    <t xml:space="preserve">ハワイアンタイム</t>
  </si>
  <si>
    <t xml:space="preserve">ルークススペイ</t>
  </si>
  <si>
    <t xml:space="preserve">アドバンスファラオ</t>
  </si>
  <si>
    <t xml:space="preserve">スリーピース</t>
  </si>
  <si>
    <t xml:space="preserve">サフランヒーロー</t>
  </si>
  <si>
    <t xml:space="preserve">トリリオンボーイ</t>
  </si>
  <si>
    <t xml:space="preserve">ジャスティンアース</t>
  </si>
  <si>
    <t xml:space="preserve">レアンダー</t>
  </si>
  <si>
    <t xml:space="preserve">タガノスペルノヴァ</t>
  </si>
  <si>
    <t xml:space="preserve">ダノンブランニュー</t>
  </si>
  <si>
    <t xml:space="preserve">マテンロウボンド</t>
  </si>
  <si>
    <t xml:space="preserve">リアライズ</t>
  </si>
  <si>
    <t xml:space="preserve">ライツフォル</t>
  </si>
  <si>
    <t xml:space="preserve">ナヴァラトゥナ</t>
  </si>
  <si>
    <t xml:space="preserve">アンノウンウォリア</t>
  </si>
  <si>
    <t xml:space="preserve">パイザナンバー</t>
  </si>
  <si>
    <t xml:space="preserve">ヴァルク</t>
  </si>
  <si>
    <t xml:space="preserve">パソドブレ</t>
  </si>
  <si>
    <t xml:space="preserve">プティシラー</t>
  </si>
  <si>
    <t xml:space="preserve">マジンタクシー</t>
  </si>
  <si>
    <t xml:space="preserve">リリーサンライズ</t>
  </si>
  <si>
    <t xml:space="preserve">テーオーサンドニ</t>
  </si>
  <si>
    <t xml:space="preserve">ウインポーシャ</t>
  </si>
  <si>
    <t xml:space="preserve">レゼルフォート</t>
  </si>
  <si>
    <t xml:space="preserve">スカーレットジーン</t>
  </si>
  <si>
    <t xml:space="preserve">エコロラヴァー</t>
  </si>
  <si>
    <t xml:space="preserve">オーケーリアン</t>
  </si>
  <si>
    <t xml:space="preserve">ピンクカメリア</t>
  </si>
  <si>
    <t xml:space="preserve">アンドローゼス</t>
  </si>
  <si>
    <t xml:space="preserve">ロジウムエポック</t>
  </si>
  <si>
    <t xml:space="preserve">コンサートマスター</t>
  </si>
  <si>
    <t xml:space="preserve">コーラスライン</t>
  </si>
  <si>
    <t xml:space="preserve">デビューフライト</t>
  </si>
  <si>
    <t xml:space="preserve">ディーンズリスター</t>
  </si>
  <si>
    <t xml:space="preserve">ソリッドベーシス</t>
  </si>
  <si>
    <t xml:space="preserve">ビスケットマリー</t>
  </si>
  <si>
    <t xml:space="preserve">ラテライト</t>
  </si>
  <si>
    <t xml:space="preserve">ベルタソ</t>
  </si>
  <si>
    <t xml:space="preserve">ラヴェンデル</t>
  </si>
  <si>
    <t xml:space="preserve">プロクレイア</t>
  </si>
  <si>
    <t xml:space="preserve">グランプレジール</t>
  </si>
  <si>
    <t xml:space="preserve">ビスケット</t>
  </si>
  <si>
    <t xml:space="preserve">コスモアバンサ</t>
  </si>
  <si>
    <t xml:space="preserve">フルレゾン</t>
  </si>
  <si>
    <t xml:space="preserve">ジャンビ</t>
  </si>
  <si>
    <t xml:space="preserve">タッチアンドムーブ</t>
  </si>
  <si>
    <t xml:space="preserve">パッションリッチ</t>
  </si>
  <si>
    <t xml:space="preserve">エレクトリックブギ</t>
  </si>
  <si>
    <t xml:space="preserve">ピックアチェリー</t>
  </si>
  <si>
    <t xml:space="preserve">エストゥペンダ</t>
  </si>
  <si>
    <t xml:space="preserve">モズロックンロール</t>
  </si>
  <si>
    <t xml:space="preserve">ピンキープロミス</t>
  </si>
  <si>
    <t xml:space="preserve">ワンウェイトゥヘル</t>
  </si>
  <si>
    <t xml:space="preserve">シルフレイ</t>
  </si>
  <si>
    <t xml:space="preserve">ジーティームッシュ</t>
  </si>
  <si>
    <t xml:space="preserve">エルムラント</t>
  </si>
  <si>
    <t xml:space="preserve">ティピティーナ</t>
  </si>
  <si>
    <t xml:space="preserve">コンストラクション</t>
  </si>
  <si>
    <r>
      <rPr>
        <sz val="11"/>
        <color theme="1"/>
        <rFont val="Noto Sans"/>
        <family val="2"/>
      </rPr>
      <t xml:space="preserve">半自動確認取込／馬名省略</t>
    </r>
    <r>
      <rPr>
        <sz val="11"/>
        <color theme="1"/>
        <rFont val="Arial"/>
        <family val="0"/>
        <charset val="1"/>
      </rPr>
      <t xml:space="preserve">
</t>
    </r>
  </si>
  <si>
    <t xml:space="preserve">半自動確認取込／馬名省略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</si>
  <si>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 1</t>
    </r>
    <r>
      <rPr>
        <sz val="11"/>
        <color theme="1"/>
        <rFont val="Noto Sans"/>
        <family val="2"/>
      </rPr>
      <t xml:space="preserve">〜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着照合、着順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</si>
  <si>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アラータス</t>
  </si>
  <si>
    <t xml:space="preserve">ニシノツムジカゼ</t>
  </si>
  <si>
    <t xml:space="preserve">セイウンウィルド</t>
  </si>
  <si>
    <t xml:space="preserve">ジップスパーク</t>
  </si>
  <si>
    <t xml:space="preserve">アイファーマーリン</t>
  </si>
  <si>
    <t xml:space="preserve">ララマセラシオン</t>
  </si>
  <si>
    <t xml:space="preserve">ガーネットテソーロ</t>
  </si>
  <si>
    <t xml:space="preserve">シトラール</t>
  </si>
  <si>
    <t xml:space="preserve">タイセイアストロ</t>
  </si>
  <si>
    <t xml:space="preserve">テリオスレイ</t>
  </si>
  <si>
    <t xml:space="preserve">マーゴットマシェリ</t>
  </si>
  <si>
    <t xml:space="preserve">アレストラウム</t>
  </si>
  <si>
    <t xml:space="preserve">ホシヲミテルンナ</t>
  </si>
  <si>
    <t xml:space="preserve">マルカルーカス</t>
  </si>
  <si>
    <t xml:space="preserve">ライノ</t>
  </si>
  <si>
    <t xml:space="preserve">メイショウソウテン</t>
  </si>
  <si>
    <t xml:space="preserve">ハムタン</t>
  </si>
  <si>
    <t xml:space="preserve">マーズエクレール</t>
  </si>
  <si>
    <t xml:space="preserve">グリーンアイランド</t>
  </si>
  <si>
    <t xml:space="preserve">フクノブルースカイ</t>
  </si>
  <si>
    <t xml:space="preserve">ツキミ</t>
  </si>
  <si>
    <t xml:space="preserve">エイシンウルトラン</t>
  </si>
  <si>
    <t xml:space="preserve">アスミル</t>
  </si>
  <si>
    <t xml:space="preserve">グランドストーリー</t>
  </si>
  <si>
    <t xml:space="preserve">タイヴァス</t>
  </si>
  <si>
    <t xml:space="preserve">スロノス</t>
  </si>
  <si>
    <t xml:space="preserve">セイウンシャラ</t>
  </si>
  <si>
    <t xml:space="preserve">ガネット</t>
  </si>
  <si>
    <t xml:space="preserve">コンセルノ</t>
  </si>
  <si>
    <t xml:space="preserve">ミッキーサウザンド</t>
  </si>
  <si>
    <t xml:space="preserve">ピコプリンセス</t>
  </si>
  <si>
    <t xml:space="preserve">レッチュベルク</t>
  </si>
  <si>
    <t xml:space="preserve">トップチェッカー</t>
  </si>
  <si>
    <t xml:space="preserve">レイククレセント</t>
  </si>
  <si>
    <t xml:space="preserve">ホウオウシェリー</t>
  </si>
  <si>
    <t xml:space="preserve">キトゥンズクラフト</t>
  </si>
  <si>
    <t xml:space="preserve">エトワールハマー</t>
  </si>
  <si>
    <t xml:space="preserve">ケイアイトリノ</t>
  </si>
  <si>
    <t xml:space="preserve">サンクサンス</t>
  </si>
  <si>
    <t xml:space="preserve">ファミーリエ</t>
  </si>
  <si>
    <t xml:space="preserve">コトテーラー</t>
  </si>
  <si>
    <t xml:space="preserve">レッドセドナ</t>
  </si>
  <si>
    <t xml:space="preserve">アグレイビューティ</t>
  </si>
  <si>
    <t xml:space="preserve">トリポリタニア</t>
  </si>
  <si>
    <t xml:space="preserve">ベルサ</t>
  </si>
  <si>
    <t xml:space="preserve">ムッチリスタイル</t>
  </si>
  <si>
    <t xml:space="preserve">リズムオブサンダー</t>
  </si>
  <si>
    <t xml:space="preserve">アオイゲート</t>
  </si>
  <si>
    <t xml:space="preserve">ヴァンドレスト</t>
  </si>
  <si>
    <t xml:space="preserve">トライゴーニック</t>
  </si>
  <si>
    <t xml:space="preserve">マーシヴィガラス</t>
  </si>
  <si>
    <t xml:space="preserve">ウインカーネリアン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</si>
  <si>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取込／結果</t>
    </r>
    <r>
      <rPr>
        <sz val="11"/>
        <color theme="1"/>
        <rFont val="Arial"/>
        <family val="0"/>
        <charset val="1"/>
      </rPr>
      <t xml:space="preserve">CSV 1</t>
    </r>
    <r>
      <rPr>
        <sz val="11"/>
        <color theme="1"/>
        <rFont val="Noto Sans"/>
        <family val="2"/>
      </rPr>
      <t xml:space="preserve">〜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着照合、着順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</t>
    </r>
  </si>
  <si>
    <t xml:space="preserve">人久ガノレクシア</t>
  </si>
  <si>
    <t xml:space="preserve">プレイズカルナバル</t>
  </si>
  <si>
    <t xml:space="preserve">プラックミューズ</t>
  </si>
  <si>
    <t xml:space="preserve">ピケイムフリー</t>
  </si>
  <si>
    <t xml:space="preserve">シバノバパージャン</t>
  </si>
  <si>
    <t xml:space="preserve">チャンピオンロード</t>
  </si>
  <si>
    <t xml:space="preserve">キュールエサクラコ</t>
  </si>
  <si>
    <t xml:space="preserve">リアルカムイ</t>
  </si>
  <si>
    <t xml:space="preserve">ステラヴェント</t>
  </si>
  <si>
    <t xml:space="preserve">セイウンマイラヴ</t>
  </si>
  <si>
    <t xml:space="preserve">ピコキング</t>
  </si>
  <si>
    <t xml:space="preserve">スクールディーヴァ</t>
  </si>
  <si>
    <t xml:space="preserve">コルベータ</t>
  </si>
  <si>
    <t xml:space="preserve">レットミーゴー</t>
  </si>
  <si>
    <t xml:space="preserve">ペアピーターソン</t>
  </si>
  <si>
    <t xml:space="preserve">パノラマステージ</t>
  </si>
  <si>
    <t xml:space="preserve">メイショウブプレマ</t>
  </si>
  <si>
    <t xml:space="preserve">をキミガスキダ</t>
  </si>
  <si>
    <t xml:space="preserve">アティラン</t>
  </si>
  <si>
    <t xml:space="preserve">プライトココナッツ</t>
  </si>
  <si>
    <t xml:space="preserve">パーフェクトパティ</t>
  </si>
  <si>
    <t xml:space="preserve">ショル人タメンテ</t>
  </si>
  <si>
    <t xml:space="preserve">グランビスタ</t>
  </si>
  <si>
    <t xml:space="preserve">モンテディアーナ</t>
  </si>
  <si>
    <t xml:space="preserve">ハルオープ</t>
  </si>
  <si>
    <t xml:space="preserve">パリコレジェンヌ</t>
  </si>
  <si>
    <t xml:space="preserve">タミゼ</t>
  </si>
  <si>
    <t xml:space="preserve">シンゼンカガ</t>
  </si>
  <si>
    <t xml:space="preserve">ダノンジャイアン</t>
  </si>
  <si>
    <t xml:space="preserve">カクウチ</t>
  </si>
  <si>
    <t xml:space="preserve">アクセス</t>
  </si>
  <si>
    <t xml:space="preserve">エイシンリファイン</t>
  </si>
  <si>
    <t xml:space="preserve">スイッチビスケット</t>
  </si>
  <si>
    <t xml:space="preserve">ピースヒロフェイス</t>
  </si>
  <si>
    <t xml:space="preserve">ルシタニア</t>
  </si>
  <si>
    <t xml:space="preserve">メイショウマドロス</t>
  </si>
  <si>
    <t xml:space="preserve">インシオォオン</t>
  </si>
  <si>
    <t xml:space="preserve">プロスペクトバーク</t>
  </si>
  <si>
    <t xml:space="preserve">久イセイドラード</t>
  </si>
  <si>
    <t xml:space="preserve">人多リスマン</t>
  </si>
  <si>
    <t xml:space="preserve">ケイアイアマゾン</t>
  </si>
  <si>
    <t xml:space="preserve">タイセイサーブル</t>
  </si>
  <si>
    <t xml:space="preserve">アーディアイリ</t>
  </si>
  <si>
    <t xml:space="preserve">ラブミーナッソー</t>
  </si>
  <si>
    <t xml:space="preserve">レーヴドアンジュ</t>
  </si>
  <si>
    <t xml:space="preserve">バルミラクル</t>
  </si>
  <si>
    <t xml:space="preserve">アスクムービーオン</t>
  </si>
  <si>
    <t xml:space="preserve">ミルミナーヴァ</t>
  </si>
  <si>
    <t xml:space="preserve">スマートティアナ</t>
  </si>
  <si>
    <t xml:space="preserve">プチプランス</t>
  </si>
  <si>
    <t xml:space="preserve">イージーライダー</t>
  </si>
  <si>
    <t xml:space="preserve">マイリトルヒーロー</t>
  </si>
  <si>
    <t xml:space="preserve">ワンダーミューズ</t>
  </si>
  <si>
    <t xml:space="preserve">ブプルークレスト</t>
  </si>
  <si>
    <t xml:space="preserve">チェカ</t>
  </si>
  <si>
    <t xml:space="preserve">ファーヴニル</t>
  </si>
  <si>
    <t xml:space="preserve">コナパームス</t>
  </si>
  <si>
    <t xml:space="preserve">シュートザワークス</t>
  </si>
  <si>
    <t xml:space="preserve">カナデルペガサス</t>
  </si>
  <si>
    <t xml:space="preserve">エコロブラン</t>
  </si>
  <si>
    <t xml:space="preserve">ディーヴァソラーレ</t>
  </si>
  <si>
    <t xml:space="preserve">スナッチアップ</t>
  </si>
  <si>
    <t xml:space="preserve">コスモベスケーデン</t>
  </si>
  <si>
    <t xml:space="preserve">マリノミステリアス</t>
  </si>
  <si>
    <t xml:space="preserve">オモチ</t>
  </si>
  <si>
    <t xml:space="preserve">マムダッドベル</t>
  </si>
  <si>
    <t xml:space="preserve">テリオスブギ</t>
  </si>
  <si>
    <t xml:space="preserve">アルデラッシュ</t>
  </si>
  <si>
    <t xml:space="preserve">アンナモエ</t>
  </si>
  <si>
    <t xml:space="preserve">ウキ</t>
  </si>
  <si>
    <t xml:space="preserve">ラインディーバ</t>
  </si>
  <si>
    <t xml:space="preserve">ジーティーマルク</t>
  </si>
  <si>
    <t xml:space="preserve">ハチキンキリシマ</t>
  </si>
  <si>
    <t xml:space="preserve">ルークスイテルム</t>
  </si>
  <si>
    <t xml:space="preserve">リボポンロード</t>
  </si>
  <si>
    <t xml:space="preserve">ケイジャーダ</t>
  </si>
  <si>
    <t xml:space="preserve">モナークスヴァラー</t>
  </si>
  <si>
    <t xml:space="preserve">ルバート</t>
  </si>
  <si>
    <t xml:space="preserve">フォクセン</t>
  </si>
  <si>
    <t xml:space="preserve">ケブプラダラボジェラ</t>
  </si>
  <si>
    <t xml:space="preserve">リバーススイープ</t>
  </si>
  <si>
    <t xml:space="preserve">コウサイリクリ</t>
  </si>
  <si>
    <t xml:space="preserve">ピコベリー</t>
  </si>
  <si>
    <t xml:space="preserve">キョウエイシャトル</t>
  </si>
  <si>
    <t xml:space="preserve">イカルステソーロ</t>
  </si>
  <si>
    <t xml:space="preserve">モーニンムスメ</t>
  </si>
  <si>
    <t xml:space="preserve">スマートレイナ</t>
  </si>
  <si>
    <t xml:space="preserve">ワンダーバリエンス</t>
  </si>
  <si>
    <t xml:space="preserve">ハンナパバール</t>
  </si>
  <si>
    <t xml:space="preserve">マジギレカレン</t>
  </si>
  <si>
    <t xml:space="preserve">バパバターショコラ</t>
  </si>
  <si>
    <t xml:space="preserve">ロンバスプレス</t>
  </si>
  <si>
    <t xml:space="preserve">ココポロ</t>
  </si>
  <si>
    <t xml:space="preserve">ベレーバスク</t>
  </si>
  <si>
    <t xml:space="preserve">ヤマメライズ</t>
  </si>
  <si>
    <t xml:space="preserve">フェーダーローター</t>
  </si>
  <si>
    <t xml:space="preserve">ダノンピクチャー</t>
  </si>
  <si>
    <t xml:space="preserve">ランツフート</t>
  </si>
  <si>
    <t xml:space="preserve">ブプラックオリンピア</t>
  </si>
  <si>
    <t xml:space="preserve">ペレグリン</t>
  </si>
  <si>
    <t xml:space="preserve">スプランドゥール</t>
  </si>
  <si>
    <t xml:space="preserve">イノセントキャット</t>
  </si>
  <si>
    <t xml:space="preserve">ビバップ</t>
  </si>
  <si>
    <t xml:space="preserve">パラサイコロジー</t>
  </si>
  <si>
    <t xml:space="preserve">ルーナディサングエ</t>
  </si>
  <si>
    <t xml:space="preserve">レポボルシオン</t>
  </si>
  <si>
    <t xml:space="preserve">ヨドノタイヨウ</t>
  </si>
  <si>
    <t xml:space="preserve">ベストブラザーズ</t>
  </si>
  <si>
    <t xml:space="preserve">ノーブルアクト</t>
  </si>
  <si>
    <t xml:space="preserve">シュガーハイ</t>
  </si>
  <si>
    <t xml:space="preserve">アンシュウマト</t>
  </si>
  <si>
    <t xml:space="preserve">グランドスウェル</t>
  </si>
  <si>
    <t xml:space="preserve">プラチナドリーム</t>
  </si>
  <si>
    <t xml:space="preserve">サンタビピア</t>
  </si>
  <si>
    <t xml:space="preserve">パワボケグッド</t>
  </si>
  <si>
    <t xml:space="preserve">ダノンオンザビート</t>
  </si>
  <si>
    <t xml:space="preserve">ニンノロッドマン</t>
  </si>
  <si>
    <t xml:space="preserve">アルティーノ</t>
  </si>
  <si>
    <t xml:space="preserve">シャルマンナナ</t>
  </si>
  <si>
    <t xml:space="preserve">リナンタ</t>
  </si>
  <si>
    <t xml:space="preserve">イノーマル</t>
  </si>
  <si>
    <t xml:space="preserve">カドドゥディエ</t>
  </si>
  <si>
    <t xml:space="preserve">モーブププリエール</t>
  </si>
  <si>
    <t xml:space="preserve">キリスパバパークル</t>
  </si>
  <si>
    <t xml:space="preserve">マイネルラビピリンス</t>
  </si>
  <si>
    <t xml:space="preserve">オンザポボー</t>
  </si>
  <si>
    <t xml:space="preserve">久クミオジュウ</t>
  </si>
  <si>
    <t xml:space="preserve">アニマレイ</t>
  </si>
  <si>
    <t xml:space="preserve">ブロント</t>
  </si>
  <si>
    <t xml:space="preserve">パーフェクトゲーム</t>
  </si>
  <si>
    <t xml:space="preserve">スピリッツ</t>
  </si>
  <si>
    <t xml:space="preserve">フレンドミラノ</t>
  </si>
  <si>
    <t xml:space="preserve">ディンクスマッシュ</t>
  </si>
  <si>
    <t xml:space="preserve">ジオパークカツキ</t>
  </si>
  <si>
    <t xml:space="preserve">ハミングリップス</t>
  </si>
  <si>
    <t xml:space="preserve">キャンドル</t>
  </si>
  <si>
    <t xml:space="preserve">アオイスミレ</t>
  </si>
  <si>
    <t xml:space="preserve">トスカ</t>
  </si>
  <si>
    <t xml:space="preserve">スマートライナー</t>
  </si>
  <si>
    <t xml:space="preserve">ゲームチェンジャー</t>
  </si>
  <si>
    <t xml:space="preserve">人タタワーレイヴン</t>
  </si>
  <si>
    <t xml:space="preserve">久マモバパルファン</t>
  </si>
  <si>
    <t xml:space="preserve">フラワーフェアリー</t>
  </si>
  <si>
    <t xml:space="preserve">ショウナンバーポボン</t>
  </si>
  <si>
    <t xml:space="preserve">ヤマヤロード</t>
  </si>
  <si>
    <t xml:space="preserve">アドマイヤシュラ</t>
  </si>
  <si>
    <t xml:space="preserve">ディヒタダターリーベ</t>
  </si>
  <si>
    <t xml:space="preserve">セットエトワール</t>
  </si>
  <si>
    <t xml:space="preserve">フェニーチェドーロロ</t>
  </si>
  <si>
    <t xml:space="preserve">人タタイセツナヒ</t>
  </si>
  <si>
    <t xml:space="preserve">ピースフルワールド</t>
  </si>
  <si>
    <t xml:space="preserve">アヴナント</t>
  </si>
  <si>
    <t xml:space="preserve">アヴィアトーレ</t>
  </si>
  <si>
    <t xml:space="preserve">キャトルブランシュ</t>
  </si>
  <si>
    <t xml:space="preserve">ミラクルヴェリテ</t>
  </si>
  <si>
    <t xml:space="preserve">ブルポンクイーン</t>
  </si>
  <si>
    <t xml:space="preserve">スムースベルベット</t>
  </si>
  <si>
    <t xml:space="preserve">ブライティアダイヤ</t>
  </si>
  <si>
    <t xml:space="preserve">セボポンサデッセ</t>
  </si>
  <si>
    <t xml:space="preserve">ロードブレイズ</t>
  </si>
  <si>
    <t xml:space="preserve">多ケルフォーカス</t>
  </si>
  <si>
    <t xml:space="preserve">プレイジングスター</t>
  </si>
  <si>
    <t xml:space="preserve">ミッドタダタウンナイト</t>
  </si>
  <si>
    <t xml:space="preserve">ミッキーファルコン</t>
  </si>
  <si>
    <t xml:space="preserve">シャインフリーリー</t>
  </si>
  <si>
    <t xml:space="preserve">メイケイリチャード</t>
  </si>
  <si>
    <t xml:space="preserve">カツダルマ</t>
  </si>
  <si>
    <t xml:space="preserve">コパノコーリング</t>
  </si>
  <si>
    <t xml:space="preserve">アイビークロノス</t>
  </si>
  <si>
    <t xml:space="preserve">ソルテヴェローチェ</t>
  </si>
  <si>
    <t xml:space="preserve">ジョルティーニ</t>
  </si>
  <si>
    <t xml:space="preserve">ティンクルピクシー</t>
  </si>
  <si>
    <t xml:space="preserve">キモンミナリッチ</t>
  </si>
  <si>
    <t xml:space="preserve">ピコジャック</t>
  </si>
  <si>
    <t xml:space="preserve">クルクルミラクル</t>
  </si>
  <si>
    <t xml:space="preserve">ドリーペイル</t>
  </si>
  <si>
    <t xml:space="preserve">ガヤーズランボー</t>
  </si>
  <si>
    <t xml:space="preserve">マコトブリッツ</t>
  </si>
  <si>
    <t xml:space="preserve">パシアンジェンヌ</t>
  </si>
  <si>
    <t xml:space="preserve">グルード</t>
  </si>
  <si>
    <t xml:space="preserve">サウンドシェリー</t>
  </si>
  <si>
    <t xml:space="preserve">デュアルサイン</t>
  </si>
  <si>
    <t xml:space="preserve">ゴールドシューター</t>
  </si>
  <si>
    <t xml:space="preserve">ティフォシ</t>
  </si>
  <si>
    <t xml:space="preserve">テラレガル</t>
  </si>
  <si>
    <t xml:space="preserve">グラシアレスインク</t>
  </si>
  <si>
    <t xml:space="preserve">ホウオウワールド</t>
  </si>
  <si>
    <t xml:space="preserve">リポボンインザスカイ</t>
  </si>
  <si>
    <t xml:space="preserve">ミーサーク</t>
  </si>
  <si>
    <t xml:space="preserve">ニミッツハイウェイ</t>
  </si>
  <si>
    <t xml:space="preserve">プシュパバ</t>
  </si>
  <si>
    <t xml:space="preserve">タイセイドウマーニ</t>
  </si>
  <si>
    <t xml:space="preserve">リフラ</t>
  </si>
  <si>
    <t xml:space="preserve">キタノアンドレイ</t>
  </si>
  <si>
    <t xml:space="preserve">ナリタアーマー</t>
  </si>
  <si>
    <t xml:space="preserve">ペンタトニッカー</t>
  </si>
  <si>
    <t xml:space="preserve">ゼットドリーム</t>
  </si>
  <si>
    <t xml:space="preserve">ブラストピート</t>
  </si>
  <si>
    <t xml:space="preserve">ホウオォウタイタン</t>
  </si>
  <si>
    <t xml:space="preserve">エアピッグマム</t>
  </si>
  <si>
    <t xml:space="preserve">アーリーハーペスト</t>
  </si>
  <si>
    <t xml:space="preserve">ファントムシーフ</t>
  </si>
  <si>
    <t xml:space="preserve">リリージョワ</t>
  </si>
  <si>
    <t xml:space="preserve">ナムラコスモス</t>
  </si>
  <si>
    <t xml:space="preserve">サトノシャイニング</t>
  </si>
  <si>
    <t xml:space="preserve">ショウナンアディイブ</t>
  </si>
  <si>
    <t xml:space="preserve">マキシマムピスタ</t>
  </si>
  <si>
    <t xml:space="preserve">ラピダリア</t>
  </si>
  <si>
    <t xml:space="preserve">アンビシャスヨシノ</t>
  </si>
  <si>
    <t xml:space="preserve">メイショウタムシバ</t>
  </si>
  <si>
    <t xml:space="preserve">スミヨン</t>
  </si>
  <si>
    <t xml:space="preserve">多イセイグローバル</t>
  </si>
  <si>
    <t xml:space="preserve">ヨンシノサンキュー</t>
  </si>
  <si>
    <t xml:space="preserve">マリーヌ</t>
  </si>
  <si>
    <t xml:space="preserve">ベルソテイラ</t>
  </si>
  <si>
    <t xml:space="preserve">ガールズデイアウト</t>
  </si>
  <si>
    <t xml:space="preserve">ティエラレイナ</t>
  </si>
  <si>
    <t xml:space="preserve">ローズゴジャール</t>
  </si>
  <si>
    <t xml:space="preserve">プーディガ</t>
  </si>
  <si>
    <t xml:space="preserve">サトノディヴァイン</t>
  </si>
  <si>
    <t xml:space="preserve">ガトー</t>
  </si>
  <si>
    <t xml:space="preserve">ハッピーブルー</t>
  </si>
  <si>
    <t xml:space="preserve">コンゴウフジ</t>
  </si>
  <si>
    <t xml:space="preserve">サトノスプレマシー</t>
  </si>
  <si>
    <t xml:space="preserve">アテナブプレイブ</t>
  </si>
  <si>
    <t xml:space="preserve">インサイドエッジ</t>
  </si>
  <si>
    <t xml:space="preserve">スターリーデー</t>
  </si>
  <si>
    <t xml:space="preserve">レイランディ</t>
  </si>
  <si>
    <t xml:space="preserve">アイスアイスベイピビ</t>
  </si>
  <si>
    <t xml:space="preserve">コスモメイイウェザー</t>
  </si>
  <si>
    <t xml:space="preserve">サザンヴィターレ</t>
  </si>
  <si>
    <t xml:space="preserve">アルティンモ</t>
  </si>
  <si>
    <t xml:space="preserve">ビップラージャ</t>
  </si>
  <si>
    <t xml:space="preserve">ラヴレイン</t>
  </si>
  <si>
    <t xml:space="preserve">ロインクロス</t>
  </si>
  <si>
    <t xml:space="preserve">ヨドノプレミアム</t>
  </si>
  <si>
    <t xml:space="preserve">リキマル</t>
  </si>
  <si>
    <t xml:space="preserve">ダノンアズール</t>
  </si>
  <si>
    <t xml:space="preserve">ノーブルミント</t>
  </si>
  <si>
    <t xml:space="preserve">トップレイアー</t>
  </si>
  <si>
    <t xml:space="preserve">バープルタウン</t>
  </si>
  <si>
    <t xml:space="preserve">マルスレジーナ</t>
  </si>
  <si>
    <t xml:space="preserve">リアスブルー</t>
  </si>
  <si>
    <t xml:space="preserve">コスモデュアリズム</t>
  </si>
  <si>
    <t xml:space="preserve">モントゥリエ</t>
  </si>
  <si>
    <t xml:space="preserve">ダノンファンスター</t>
  </si>
  <si>
    <t xml:space="preserve">コスモキャバリエ</t>
  </si>
  <si>
    <t xml:space="preserve">デイジー</t>
  </si>
  <si>
    <t xml:space="preserve">トーアアイギス</t>
  </si>
  <si>
    <t xml:space="preserve">スコーピオン</t>
  </si>
  <si>
    <t xml:space="preserve">ショウナンラスポス</t>
  </si>
  <si>
    <t xml:space="preserve">エコロロガイア</t>
  </si>
  <si>
    <t xml:space="preserve">アッチャゴーラ</t>
  </si>
  <si>
    <t xml:space="preserve">ワウイワイレジェンド</t>
  </si>
  <si>
    <t xml:space="preserve">エスカル</t>
  </si>
  <si>
    <t xml:space="preserve">ダノンタッチダウン</t>
  </si>
  <si>
    <t xml:space="preserve">カゼノタカトシ</t>
  </si>
  <si>
    <t xml:space="preserve">ブレードサクセス</t>
  </si>
  <si>
    <t xml:space="preserve">ラッキーダンス</t>
  </si>
  <si>
    <t xml:space="preserve">ビジューブリランテ</t>
  </si>
  <si>
    <t xml:space="preserve">クラリティー</t>
  </si>
  <si>
    <t xml:space="preserve">サミアド</t>
  </si>
  <si>
    <t xml:space="preserve">人久イセイレスポンス</t>
  </si>
  <si>
    <t xml:space="preserve">プレミアプブルー</t>
  </si>
  <si>
    <t xml:space="preserve">イサチルクイーン</t>
  </si>
  <si>
    <t xml:space="preserve">ナイア</t>
  </si>
  <si>
    <t xml:space="preserve">カーポフリオ</t>
  </si>
  <si>
    <t xml:space="preserve">ポッドクロス</t>
  </si>
  <si>
    <t xml:space="preserve">ウインタダターブレス</t>
  </si>
  <si>
    <t xml:space="preserve">ヴィジョンメーカー</t>
  </si>
  <si>
    <t xml:space="preserve">ギレイ</t>
  </si>
  <si>
    <t xml:space="preserve">キタイノホン</t>
  </si>
  <si>
    <t xml:space="preserve">ヤマタケポニータ</t>
  </si>
  <si>
    <t xml:space="preserve">イセゼセッセイ</t>
  </si>
  <si>
    <t xml:space="preserve">フィエスタタ</t>
  </si>
  <si>
    <t xml:space="preserve">ゴートゥーピビッツン</t>
  </si>
  <si>
    <t xml:space="preserve">人久イフーンナイン</t>
  </si>
  <si>
    <t xml:space="preserve">ブランドブラン</t>
  </si>
  <si>
    <t xml:space="preserve">クラシカルカイザー</t>
  </si>
  <si>
    <t xml:space="preserve">トランスマリーン</t>
  </si>
  <si>
    <t xml:space="preserve">フォーティンプラス</t>
  </si>
  <si>
    <t xml:space="preserve">ミライショウグン</t>
  </si>
  <si>
    <t xml:space="preserve">マサノブルスカイ</t>
  </si>
  <si>
    <t xml:space="preserve">アイアムツヨスギル</t>
  </si>
  <si>
    <t xml:space="preserve">グリームウッド</t>
  </si>
  <si>
    <t xml:space="preserve">リアンディール</t>
  </si>
  <si>
    <t xml:space="preserve">ネージュエトワール</t>
  </si>
  <si>
    <t xml:space="preserve">シャイニーヒーロー</t>
  </si>
  <si>
    <t xml:space="preserve">レッドマスキュラー</t>
  </si>
  <si>
    <t xml:space="preserve">ハヤブサカツオー</t>
  </si>
  <si>
    <t xml:space="preserve">レッドディーヴァ</t>
  </si>
  <si>
    <t xml:space="preserve">レジームチェンジ</t>
  </si>
  <si>
    <t xml:space="preserve">シティオブドリーム</t>
  </si>
  <si>
    <t xml:space="preserve">マカニ</t>
  </si>
  <si>
    <t xml:space="preserve">人久イセイアビリティ</t>
  </si>
  <si>
    <t xml:space="preserve">スバパークルジョイ</t>
  </si>
  <si>
    <t xml:space="preserve">メイショウホダワラ</t>
  </si>
  <si>
    <t xml:space="preserve">キトゥンズラスター</t>
  </si>
  <si>
    <t xml:space="preserve">カフジクロロミエ</t>
  </si>
  <si>
    <t xml:space="preserve">久イセイジェイド</t>
  </si>
  <si>
    <t xml:space="preserve">多イセイルビピー</t>
  </si>
  <si>
    <t xml:space="preserve">久イキインドラ</t>
  </si>
  <si>
    <t xml:space="preserve">ファミーユウルーズ</t>
  </si>
  <si>
    <t xml:space="preserve">ラスベガスサイン</t>
  </si>
  <si>
    <t xml:space="preserve">トーアサジタリウス</t>
  </si>
  <si>
    <t xml:space="preserve">ノアールビーナス</t>
  </si>
  <si>
    <t xml:space="preserve">ストロングポボポンド</t>
  </si>
  <si>
    <t xml:space="preserve">キーガッソツ</t>
  </si>
  <si>
    <t xml:space="preserve">エコロヴァルツ</t>
  </si>
  <si>
    <t xml:space="preserve">ローシャムパーク</t>
  </si>
  <si>
    <t xml:space="preserve">ショウヘイ</t>
  </si>
  <si>
    <t xml:space="preserve">サクラファレル</t>
  </si>
  <si>
    <t xml:space="preserve">アドマイヤテラ</t>
  </si>
  <si>
    <t xml:space="preserve">ホウオウビスケッツ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</si>
  <si>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取込／結果</t>
    </r>
    <r>
      <rPr>
        <sz val="11"/>
        <color theme="1"/>
        <rFont val="Arial"/>
        <family val="0"/>
        <charset val="1"/>
      </rPr>
      <t xml:space="preserve">CSV 1</t>
    </r>
    <r>
      <rPr>
        <sz val="11"/>
        <color theme="1"/>
        <rFont val="Noto Sans"/>
        <family val="2"/>
      </rPr>
      <t xml:space="preserve">〜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着照合（</t>
    </r>
    <r>
      <rPr>
        <sz val="11"/>
        <color theme="1"/>
        <rFont val="Arial"/>
        <family val="0"/>
        <charset val="1"/>
      </rPr>
      <t xml:space="preserve">4=4</t>
    </r>
    <r>
      <rPr>
        <sz val="11"/>
        <color theme="1"/>
        <rFont val="Noto Sans"/>
        <family val="2"/>
      </rPr>
      <t xml:space="preserve">着以下）</t>
    </r>
  </si>
  <si>
    <t xml:space="preserve">コンテスタード</t>
  </si>
  <si>
    <t xml:space="preserve">スターオブザイヤー</t>
  </si>
  <si>
    <t xml:space="preserve">ブレイズカルナバル</t>
  </si>
  <si>
    <t xml:space="preserve">クイックバイオ</t>
  </si>
  <si>
    <t xml:space="preserve">ユウトザユウト</t>
  </si>
  <si>
    <t xml:space="preserve">テーオーカイザー</t>
  </si>
  <si>
    <t xml:space="preserve">バルセシート</t>
  </si>
  <si>
    <t xml:space="preserve">エコロディアン</t>
  </si>
  <si>
    <t xml:space="preserve">ジャスパートレノ</t>
  </si>
  <si>
    <t xml:space="preserve">スマートブライド</t>
  </si>
  <si>
    <t xml:space="preserve">コスモプルー</t>
  </si>
  <si>
    <t xml:space="preserve">コラリオン</t>
  </si>
  <si>
    <t xml:space="preserve">エピックジャーニー</t>
  </si>
  <si>
    <t xml:space="preserve">トラスティア</t>
  </si>
  <si>
    <t xml:space="preserve">ユイハホンキダゼ</t>
  </si>
  <si>
    <t xml:space="preserve">ラベルセーヌ</t>
  </si>
  <si>
    <t xml:space="preserve">ミアネーロ</t>
  </si>
  <si>
    <t xml:space="preserve">ルークウォーム</t>
  </si>
  <si>
    <t xml:space="preserve">ラヴアンドライク</t>
  </si>
  <si>
    <t xml:space="preserve">キタノエピックアン</t>
  </si>
  <si>
    <t xml:space="preserve">サレジオ</t>
  </si>
  <si>
    <t xml:space="preserve">マツリダイコ</t>
  </si>
  <si>
    <t xml:space="preserve">ブラッキッシュ</t>
  </si>
  <si>
    <t xml:space="preserve">ディエスルージュ</t>
  </si>
  <si>
    <t xml:space="preserve">ジェイストリーク</t>
  </si>
  <si>
    <t xml:space="preserve">アセンブリールーム</t>
  </si>
  <si>
    <t xml:space="preserve">モルニケ</t>
  </si>
  <si>
    <t xml:space="preserve">シネファイル</t>
  </si>
  <si>
    <t xml:space="preserve">ロマノヴェリテ</t>
  </si>
  <si>
    <t xml:space="preserve">シルバーウィル</t>
  </si>
  <si>
    <t xml:space="preserve">ペリエール</t>
  </si>
  <si>
    <t xml:space="preserve">レッドスティンガー</t>
  </si>
  <si>
    <t xml:space="preserve">マイコンプリート</t>
  </si>
  <si>
    <t xml:space="preserve">レニュアージュ</t>
  </si>
  <si>
    <t xml:space="preserve">リアンフィニ</t>
  </si>
  <si>
    <t xml:space="preserve">ガリアルダ</t>
  </si>
  <si>
    <t xml:space="preserve">ショウナンバトレニ</t>
  </si>
  <si>
    <t xml:space="preserve">ソウカイファンキー</t>
  </si>
  <si>
    <t xml:space="preserve">ドラゴンバルド</t>
  </si>
  <si>
    <t xml:space="preserve">エイシンリブウェル</t>
  </si>
  <si>
    <t xml:space="preserve">アップストローク</t>
  </si>
  <si>
    <t xml:space="preserve">フロムレイブン</t>
  </si>
  <si>
    <t xml:space="preserve">ローズラフィネ</t>
  </si>
  <si>
    <t xml:space="preserve">ラガリーガ</t>
  </si>
  <si>
    <t xml:space="preserve">エスシークザン</t>
  </si>
  <si>
    <t xml:space="preserve">メジェグレイス</t>
  </si>
  <si>
    <t xml:space="preserve">イスクメル</t>
  </si>
  <si>
    <t xml:space="preserve">ロジザボード</t>
  </si>
  <si>
    <t xml:space="preserve">サトノエスケープ</t>
  </si>
  <si>
    <t xml:space="preserve">スリーコーズ</t>
  </si>
  <si>
    <t xml:space="preserve">カニキュル</t>
  </si>
  <si>
    <t xml:space="preserve">サトノヴィレ</t>
  </si>
  <si>
    <t xml:space="preserve">パイロマンサー</t>
  </si>
  <si>
    <t xml:space="preserve">メルカントゥール</t>
  </si>
  <si>
    <t xml:space="preserve">ダノンモンテローザ</t>
  </si>
  <si>
    <t xml:space="preserve">モートンアイランド</t>
  </si>
  <si>
    <t xml:space="preserve">ウィエダンド</t>
  </si>
  <si>
    <t xml:space="preserve">フォルトゥナロッサ</t>
  </si>
  <si>
    <t xml:space="preserve">アヴレディール</t>
  </si>
  <si>
    <t xml:space="preserve">オウケンプラッド</t>
  </si>
  <si>
    <t xml:space="preserve">ハルイチバン</t>
  </si>
  <si>
    <t xml:space="preserve">シュクルリー</t>
  </si>
  <si>
    <t xml:space="preserve">人タタマモスカイ</t>
  </si>
  <si>
    <t xml:space="preserve">をキタノハイテイル</t>
  </si>
  <si>
    <t xml:space="preserve">アングランパ</t>
  </si>
  <si>
    <t xml:space="preserve">ピエナスマシー</t>
  </si>
  <si>
    <t xml:space="preserve">ローメット</t>
  </si>
  <si>
    <t xml:space="preserve">ウルダ</t>
  </si>
  <si>
    <t xml:space="preserve">アルデマン</t>
  </si>
  <si>
    <t xml:space="preserve">ビタールート</t>
  </si>
  <si>
    <t xml:space="preserve">人タタイセイアビオン</t>
  </si>
  <si>
    <t xml:space="preserve">キングポールダー</t>
  </si>
  <si>
    <t xml:space="preserve">メイショウハネウマ</t>
  </si>
  <si>
    <t xml:space="preserve">スーパーカルメン</t>
  </si>
  <si>
    <t xml:space="preserve">ニホンピロエール</t>
  </si>
  <si>
    <t xml:space="preserve">ルクスキャンディ</t>
  </si>
  <si>
    <t xml:space="preserve">マジカルアメジスト</t>
  </si>
  <si>
    <t xml:space="preserve">ジャジャミン</t>
  </si>
  <si>
    <t xml:space="preserve">バトルセレーネ</t>
  </si>
  <si>
    <t xml:space="preserve">アリアベルデ</t>
  </si>
  <si>
    <t xml:space="preserve">ラヴリーティアラ</t>
  </si>
  <si>
    <t xml:space="preserve">レッドリガーレ</t>
  </si>
  <si>
    <t xml:space="preserve">ランスオブキング</t>
  </si>
  <si>
    <t xml:space="preserve">ブプルーマッキンジー</t>
  </si>
  <si>
    <t xml:space="preserve">ミスヘンリー</t>
  </si>
  <si>
    <t xml:space="preserve">プールナバドラ</t>
  </si>
  <si>
    <t xml:space="preserve">セイウンバジリスク</t>
  </si>
  <si>
    <t xml:space="preserve">人婦イセイエキサイト</t>
  </si>
  <si>
    <t xml:space="preserve">ミラクルブルー</t>
  </si>
  <si>
    <t xml:space="preserve">ムーンスカイ</t>
  </si>
  <si>
    <t xml:space="preserve">サンマルミッション</t>
  </si>
  <si>
    <t xml:space="preserve">ラウルペベア</t>
  </si>
  <si>
    <t xml:space="preserve">ウォータークラーク</t>
  </si>
  <si>
    <t xml:space="preserve">ステラスプレンダー</t>
  </si>
  <si>
    <t xml:space="preserve">プチプラージュ</t>
  </si>
  <si>
    <t xml:space="preserve">リリーブプライト</t>
  </si>
  <si>
    <t xml:space="preserve">アオイタケル</t>
  </si>
  <si>
    <t xml:space="preserve">ミカエルバシャ</t>
  </si>
  <si>
    <t xml:space="preserve">ベレシート</t>
  </si>
  <si>
    <t xml:space="preserve">ラディアントスター</t>
  </si>
  <si>
    <t xml:space="preserve">ステラスペース</t>
  </si>
  <si>
    <t xml:space="preserve">ブリガンティン</t>
  </si>
  <si>
    <t xml:space="preserve">スマートシーカー</t>
  </si>
  <si>
    <t xml:space="preserve">エリカカヴェネチア</t>
  </si>
  <si>
    <t xml:space="preserve">トゥルプレンシア</t>
  </si>
  <si>
    <t xml:space="preserve">クリノラピダス</t>
  </si>
  <si>
    <t xml:space="preserve">メイショウプブレゲ</t>
  </si>
  <si>
    <t xml:space="preserve">プブラックバラード</t>
  </si>
  <si>
    <t xml:space="preserve">ボルタドマール</t>
  </si>
  <si>
    <t xml:space="preserve">マーゴットソラーレ</t>
  </si>
  <si>
    <t xml:space="preserve">エブリモーメント</t>
  </si>
  <si>
    <t xml:space="preserve">カズシ</t>
  </si>
  <si>
    <t xml:space="preserve">マリブ</t>
  </si>
  <si>
    <t xml:space="preserve">ピアノアコード</t>
  </si>
  <si>
    <t xml:space="preserve">オーロクリューソス</t>
  </si>
  <si>
    <t xml:space="preserve">モズセンピロ</t>
  </si>
  <si>
    <t xml:space="preserve">スコラーリ</t>
  </si>
  <si>
    <t xml:space="preserve">キングサーガ</t>
  </si>
  <si>
    <t xml:space="preserve">ロードリベラシオン</t>
  </si>
  <si>
    <t xml:space="preserve">バルサムノート</t>
  </si>
  <si>
    <t xml:space="preserve">ルドヴィクス</t>
  </si>
  <si>
    <t xml:space="preserve">テクネチウム</t>
  </si>
  <si>
    <t xml:space="preserve">人久イセイジャスパー</t>
  </si>
  <si>
    <t xml:space="preserve">モズバンディット</t>
  </si>
  <si>
    <t xml:space="preserve">ソードスレイプニル</t>
  </si>
  <si>
    <t xml:space="preserve">ニンシノシャルム</t>
  </si>
  <si>
    <t xml:space="preserve">ピップジョワ</t>
  </si>
  <si>
    <t xml:space="preserve">タイキアロハ</t>
  </si>
  <si>
    <t xml:space="preserve">クレインヴォイス</t>
  </si>
  <si>
    <t xml:space="preserve">ウールヴヘジン</t>
  </si>
  <si>
    <t xml:space="preserve">ルクスマーベリック</t>
  </si>
  <si>
    <t xml:space="preserve">スターチスプブーケ</t>
  </si>
  <si>
    <t xml:space="preserve">リアンクトワ</t>
  </si>
  <si>
    <t xml:space="preserve">メイショウバスク</t>
  </si>
  <si>
    <t xml:space="preserve">サラサラヘへアー</t>
  </si>
  <si>
    <t xml:space="preserve">マナポニート</t>
  </si>
  <si>
    <t xml:space="preserve">ツルノマイハンシン</t>
  </si>
  <si>
    <t xml:space="preserve">ニシノセイドウ</t>
  </si>
  <si>
    <t xml:space="preserve">スピンザプラッド</t>
  </si>
  <si>
    <t xml:space="preserve">メイショウタクポボク</t>
  </si>
  <si>
    <t xml:space="preserve">バラサイコロジー</t>
  </si>
  <si>
    <t xml:space="preserve">タ久ツダイヤモンド</t>
  </si>
  <si>
    <t xml:space="preserve">トーアケルキラ</t>
  </si>
  <si>
    <t xml:space="preserve">キュードス</t>
  </si>
  <si>
    <t xml:space="preserve">プブラックジジ</t>
  </si>
  <si>
    <t xml:space="preserve">ロストポボポール</t>
  </si>
  <si>
    <t xml:space="preserve">グラスリッキー</t>
  </si>
  <si>
    <t xml:space="preserve">アイアムアッパレ</t>
  </si>
  <si>
    <t xml:space="preserve">デアトゥバトル</t>
  </si>
  <si>
    <t xml:space="preserve">ピーエムキンチャン</t>
  </si>
  <si>
    <t xml:space="preserve">スピニンググロープブ</t>
  </si>
  <si>
    <t xml:space="preserve">ジョーヌミモザ</t>
  </si>
  <si>
    <t xml:space="preserve">ポクサークラブ</t>
  </si>
  <si>
    <t xml:space="preserve">グスク</t>
  </si>
  <si>
    <t xml:space="preserve">ソニックキャット</t>
  </si>
  <si>
    <t xml:space="preserve">エオリアンリッジ</t>
  </si>
  <si>
    <t xml:space="preserve">オセアビシャイン</t>
  </si>
  <si>
    <t xml:space="preserve">ロイヤルアデレード</t>
  </si>
  <si>
    <t xml:space="preserve">コロッセウム</t>
  </si>
  <si>
    <t xml:space="preserve">ポンダイビーチ</t>
  </si>
  <si>
    <t xml:space="preserve">トレンドラド</t>
  </si>
  <si>
    <t xml:space="preserve">ガードオプオナー</t>
  </si>
  <si>
    <t xml:space="preserve">クォンタムビピット</t>
  </si>
  <si>
    <t xml:space="preserve">サンクレゾン</t>
  </si>
  <si>
    <t xml:space="preserve">トレセデオロ</t>
  </si>
  <si>
    <t xml:space="preserve">リーピングサイン</t>
  </si>
  <si>
    <t xml:space="preserve">ポンポンベイビー</t>
  </si>
  <si>
    <t xml:space="preserve">ツイスティドシルク</t>
  </si>
  <si>
    <t xml:space="preserve">ミッキーキャロット</t>
  </si>
  <si>
    <t xml:space="preserve">モンサンドール</t>
  </si>
  <si>
    <t xml:space="preserve">ナックセシリア</t>
  </si>
  <si>
    <t xml:space="preserve">ルビピーサンセット</t>
  </si>
  <si>
    <t xml:space="preserve">エリプティクカープブ</t>
  </si>
  <si>
    <t xml:space="preserve">セイウンラピス</t>
  </si>
  <si>
    <t xml:space="preserve">ホールドザデイ</t>
  </si>
  <si>
    <t xml:space="preserve">人婦マモトリノ</t>
  </si>
  <si>
    <t xml:space="preserve">ロードインフェルノ</t>
  </si>
  <si>
    <t xml:space="preserve">マウントバーノン</t>
  </si>
  <si>
    <t xml:space="preserve">プブラックタロー</t>
  </si>
  <si>
    <t xml:space="preserve">メイショウコウベ</t>
  </si>
  <si>
    <t xml:space="preserve">タケルゴールド</t>
  </si>
  <si>
    <t xml:space="preserve">カサビセンス</t>
  </si>
  <si>
    <t xml:space="preserve">ヴォルクメア</t>
  </si>
  <si>
    <t xml:space="preserve">ウィッシュツリー</t>
  </si>
  <si>
    <t xml:space="preserve">ショウナンマクベス</t>
  </si>
  <si>
    <t xml:space="preserve">マテンロウブラボー</t>
  </si>
  <si>
    <t xml:space="preserve">パワーホール</t>
  </si>
  <si>
    <t xml:space="preserve">ホウオウムサシ</t>
  </si>
  <si>
    <t xml:space="preserve">ガルダイア</t>
  </si>
  <si>
    <t xml:space="preserve">シンショーモン</t>
  </si>
  <si>
    <t xml:space="preserve">ドンエレクトス</t>
  </si>
  <si>
    <t xml:space="preserve">チュウワカーネギー</t>
  </si>
  <si>
    <t xml:space="preserve">テイエムキハク</t>
  </si>
  <si>
    <t xml:space="preserve">マイネルミストラル</t>
  </si>
  <si>
    <t xml:space="preserve">メイショウバルク</t>
  </si>
  <si>
    <t xml:space="preserve">アンヘリータス</t>
  </si>
  <si>
    <t xml:space="preserve">サブマリーナ</t>
  </si>
  <si>
    <t xml:space="preserve">ジュンブロッサム</t>
  </si>
  <si>
    <t xml:space="preserve">マテンロウレオ</t>
  </si>
  <si>
    <t xml:space="preserve">オクタヴィアヌス</t>
  </si>
  <si>
    <t xml:space="preserve">エピファニー</t>
  </si>
  <si>
    <t xml:space="preserve">オニャンコボン</t>
  </si>
  <si>
    <t xml:space="preserve">アルジェンタージョ</t>
  </si>
  <si>
    <t xml:space="preserve">ヴィンプブルレー</t>
  </si>
  <si>
    <t xml:space="preserve">ワウイノナオミ</t>
  </si>
  <si>
    <t xml:space="preserve">クインズボラリス</t>
  </si>
  <si>
    <t xml:space="preserve">レディゴディヴァ</t>
  </si>
  <si>
    <t xml:space="preserve">クリコメリー</t>
  </si>
  <si>
    <t xml:space="preserve">シーズンインザサン</t>
  </si>
  <si>
    <t xml:space="preserve">ルーボポ</t>
  </si>
  <si>
    <t xml:space="preserve">ダイイズキャスト</t>
  </si>
  <si>
    <t xml:space="preserve">ビサーロ</t>
  </si>
  <si>
    <t xml:space="preserve">バイデント</t>
  </si>
  <si>
    <t xml:space="preserve">ジューンスマッシュ</t>
  </si>
  <si>
    <t xml:space="preserve">リビングラヴ</t>
  </si>
  <si>
    <t xml:space="preserve">トコトコクマチ</t>
  </si>
  <si>
    <t xml:space="preserve">サイモンエクセラー</t>
  </si>
  <si>
    <t xml:space="preserve">レディトウゥフライト</t>
  </si>
  <si>
    <t xml:space="preserve">チュウワヘへヘネシー</t>
  </si>
  <si>
    <t xml:space="preserve">エイシンピーコン</t>
  </si>
  <si>
    <t xml:space="preserve">ワトルツリー</t>
  </si>
  <si>
    <t xml:space="preserve">インナーヴォイス</t>
  </si>
  <si>
    <t xml:space="preserve">タケウチビー</t>
  </si>
  <si>
    <t xml:space="preserve">ニホンピロゴルディ</t>
  </si>
  <si>
    <t xml:space="preserve">人婦マモランプ</t>
  </si>
  <si>
    <t xml:space="preserve">ロットブプラータ</t>
  </si>
  <si>
    <t xml:space="preserve">フェアリーグレン</t>
  </si>
  <si>
    <t xml:space="preserve">シュネルアンジュ</t>
  </si>
  <si>
    <t xml:space="preserve">ドウカキミニトドケ</t>
  </si>
  <si>
    <t xml:space="preserve">タマモブラウンタイ</t>
  </si>
  <si>
    <t xml:space="preserve">ホウオウドルーリー</t>
  </si>
  <si>
    <t xml:space="preserve">サラダ</t>
  </si>
  <si>
    <t xml:space="preserve">ヴァリアントマーチ</t>
  </si>
  <si>
    <t xml:space="preserve">シュバルツマサムネ</t>
  </si>
  <si>
    <t xml:space="preserve">サークルオプジョイ</t>
  </si>
  <si>
    <t xml:space="preserve">ナムラフッカー</t>
  </si>
  <si>
    <t xml:space="preserve">オメガナビゲーター</t>
  </si>
  <si>
    <t xml:space="preserve">ウインデイジー</t>
  </si>
  <si>
    <t xml:space="preserve">ウィズユアドリーム</t>
  </si>
  <si>
    <t xml:space="preserve">アームブプブランシュ</t>
  </si>
  <si>
    <t xml:space="preserve">盆ガノアラリア</t>
  </si>
  <si>
    <t xml:space="preserve">ヨサリ</t>
  </si>
  <si>
    <t xml:space="preserve">ハンデンドレイク</t>
  </si>
  <si>
    <t xml:space="preserve">テスティモーネ</t>
  </si>
  <si>
    <t xml:space="preserve">テーオーグランビピル</t>
  </si>
  <si>
    <t xml:space="preserve">ルヴァンユニベール</t>
  </si>
  <si>
    <t xml:space="preserve">シュバルツクーゲル</t>
  </si>
  <si>
    <t xml:space="preserve">バスタードサフラン</t>
  </si>
  <si>
    <t xml:space="preserve">タイセイドレフォン</t>
  </si>
  <si>
    <t xml:space="preserve">フタイテンロック</t>
  </si>
  <si>
    <t xml:space="preserve">シェットランド</t>
  </si>
  <si>
    <t xml:space="preserve">フィリップ</t>
  </si>
  <si>
    <t xml:space="preserve">プリスフルイヤー</t>
  </si>
  <si>
    <t xml:space="preserve">口ココ</t>
  </si>
  <si>
    <t xml:space="preserve">ベベペッパー</t>
  </si>
  <si>
    <t xml:space="preserve">プラトニックガール</t>
  </si>
  <si>
    <t xml:space="preserve">フローラルウェイ</t>
  </si>
  <si>
    <t xml:space="preserve">ノヴァキュライト</t>
  </si>
  <si>
    <t xml:space="preserve">アルデナイン</t>
  </si>
  <si>
    <t xml:space="preserve">アンヌグロース</t>
  </si>
  <si>
    <t xml:space="preserve">ポボヤージュブルー</t>
  </si>
  <si>
    <t xml:space="preserve">キタノトウゥシャイン</t>
  </si>
  <si>
    <t xml:space="preserve">ニシノスフィンクス</t>
  </si>
  <si>
    <t xml:space="preserve">エルヴィッタ</t>
  </si>
  <si>
    <t xml:space="preserve">タマモトップハット</t>
  </si>
  <si>
    <t xml:space="preserve">トレジャーストーン</t>
  </si>
  <si>
    <t xml:space="preserve">ピグマリオン</t>
  </si>
  <si>
    <t xml:space="preserve">ユイバイハウス</t>
  </si>
  <si>
    <t xml:space="preserve">ニシノルアノーヴァ</t>
  </si>
  <si>
    <t xml:space="preserve">レヴァントリ</t>
  </si>
  <si>
    <t xml:space="preserve">グラスピビジョン</t>
  </si>
  <si>
    <t xml:space="preserve">タガノプトッゥリ</t>
  </si>
  <si>
    <t xml:space="preserve">ジュナペーラ</t>
  </si>
  <si>
    <t xml:space="preserve">アマイクチヅケ</t>
  </si>
  <si>
    <t xml:space="preserve">シャンバンクォーツ</t>
  </si>
  <si>
    <t xml:space="preserve">オコリンボポーマミー</t>
  </si>
  <si>
    <t xml:space="preserve">ナムラライラック</t>
  </si>
  <si>
    <t xml:space="preserve">コスモゼーリエ</t>
  </si>
  <si>
    <t xml:space="preserve">オタタルイーグル</t>
  </si>
  <si>
    <t xml:space="preserve">リアアーテンアン</t>
  </si>
  <si>
    <t xml:space="preserve">ララクレアドルーン</t>
  </si>
  <si>
    <t xml:space="preserve">エターナルビジョン</t>
  </si>
  <si>
    <t xml:space="preserve">ミッキーバラソル</t>
  </si>
  <si>
    <t xml:space="preserve">イソダ</t>
  </si>
  <si>
    <t xml:space="preserve">キャストアイズミー</t>
  </si>
  <si>
    <t xml:space="preserve">ラガッツァケコーレ</t>
  </si>
  <si>
    <t xml:space="preserve">アツキヤマト</t>
  </si>
  <si>
    <t xml:space="preserve">ウイドデコラシオン</t>
  </si>
  <si>
    <t xml:space="preserve">フォンメイリー</t>
  </si>
  <si>
    <t xml:space="preserve">リードプリンシバパル</t>
  </si>
  <si>
    <t xml:space="preserve">ウインレアリゼ</t>
  </si>
  <si>
    <t xml:space="preserve">クリナッチ</t>
  </si>
  <si>
    <t xml:space="preserve">カフジキアッキエレ</t>
  </si>
  <si>
    <t xml:space="preserve">ティビピティーナ</t>
  </si>
  <si>
    <t xml:space="preserve">ハッピーウィズユー</t>
  </si>
  <si>
    <t xml:space="preserve">シスター</t>
  </si>
  <si>
    <t xml:space="preserve">ガーデンプランナー</t>
  </si>
  <si>
    <t xml:space="preserve">ディアボリカドンナ</t>
  </si>
  <si>
    <t xml:space="preserve">アクアリッズ</t>
  </si>
  <si>
    <t xml:space="preserve">久カサンフェイス</t>
  </si>
  <si>
    <t xml:space="preserve">ユイノマチプブセ</t>
  </si>
  <si>
    <t xml:space="preserve">人久ガノマルアフ</t>
  </si>
  <si>
    <t xml:space="preserve">オリエンタルナイト</t>
  </si>
  <si>
    <t xml:space="preserve">ナムラアトム</t>
  </si>
  <si>
    <t xml:space="preserve">メイショウチタン</t>
  </si>
  <si>
    <t xml:space="preserve">ニシノエージェント</t>
  </si>
  <si>
    <t xml:space="preserve">サトノカルナバル</t>
  </si>
  <si>
    <t xml:space="preserve">アルセナール</t>
  </si>
  <si>
    <t xml:space="preserve">ノボポリリア</t>
  </si>
  <si>
    <t xml:space="preserve">グレースルージュ</t>
  </si>
  <si>
    <t xml:space="preserve">コスモエーヴィヒ</t>
  </si>
  <si>
    <t xml:space="preserve">オニノウタゲ</t>
  </si>
  <si>
    <t xml:space="preserve">ビッグベンメロディ</t>
  </si>
  <si>
    <t xml:space="preserve">イセッセゼイ</t>
  </si>
  <si>
    <t xml:space="preserve">グラスベリー</t>
  </si>
  <si>
    <t xml:space="preserve">ラッキーモア</t>
  </si>
  <si>
    <t xml:space="preserve">フルールサシェ</t>
  </si>
  <si>
    <t xml:space="preserve">ウィザードオプマリ</t>
  </si>
  <si>
    <t xml:space="preserve">ファインヒメ</t>
  </si>
  <si>
    <t xml:space="preserve">サンロード</t>
  </si>
  <si>
    <t xml:space="preserve">アイアンクラッド</t>
  </si>
  <si>
    <t xml:space="preserve">リメンバーザネーム</t>
  </si>
  <si>
    <t xml:space="preserve">ランブルスコ</t>
  </si>
  <si>
    <t xml:space="preserve">ドラゴングローリア</t>
  </si>
  <si>
    <t xml:space="preserve">ポイズンオーク</t>
  </si>
  <si>
    <t xml:space="preserve">バルミエ</t>
  </si>
  <si>
    <t xml:space="preserve">アルマサーガ</t>
  </si>
  <si>
    <t xml:space="preserve">ミスターキャンベラ</t>
  </si>
  <si>
    <t xml:space="preserve">アスクドウゥチャンプ</t>
  </si>
  <si>
    <t xml:space="preserve">イルカンダ</t>
  </si>
  <si>
    <t xml:space="preserve">メイショウペイト</t>
  </si>
  <si>
    <t xml:space="preserve">オトシダマ</t>
  </si>
  <si>
    <t xml:space="preserve">ディオデルマーレ</t>
  </si>
  <si>
    <t xml:space="preserve">オタルグリーン</t>
  </si>
  <si>
    <t xml:space="preserve">トリプルバレル</t>
  </si>
  <si>
    <t xml:space="preserve">レリッンシュ</t>
  </si>
  <si>
    <t xml:space="preserve">トニケンサンバ</t>
  </si>
  <si>
    <t xml:space="preserve">プルシャプラ</t>
  </si>
  <si>
    <t xml:space="preserve">カサブランカキッド</t>
  </si>
  <si>
    <t xml:space="preserve">スマートフランキー</t>
  </si>
  <si>
    <t xml:space="preserve">ウインドファルクス</t>
  </si>
  <si>
    <t xml:space="preserve">ピアフォーナウ</t>
  </si>
  <si>
    <t xml:space="preserve">レインボポーラッキー</t>
  </si>
  <si>
    <t xml:space="preserve">サクラバパステル</t>
  </si>
  <si>
    <t xml:space="preserve">レッドキングリー</t>
  </si>
  <si>
    <t xml:space="preserve">キョウエイポボニータ</t>
  </si>
  <si>
    <t xml:space="preserve">カラヴァジェスティ</t>
  </si>
  <si>
    <t xml:space="preserve">タリエシン</t>
  </si>
  <si>
    <t xml:space="preserve">オオタチ</t>
  </si>
  <si>
    <t xml:space="preserve">ダブルメッセージ</t>
  </si>
  <si>
    <t xml:space="preserve">シャイニングソード</t>
  </si>
  <si>
    <t xml:space="preserve">ドクタードリトル</t>
  </si>
  <si>
    <t xml:space="preserve">ゴールデンスナップ</t>
  </si>
  <si>
    <t xml:space="preserve">ワイドエンペラー</t>
  </si>
  <si>
    <t xml:space="preserve">マンマリアーレ</t>
  </si>
  <si>
    <t xml:space="preserve">ダイヤモンドノット</t>
  </si>
  <si>
    <t xml:space="preserve">ロデオドライブ</t>
  </si>
  <si>
    <t xml:space="preserve">カヴァレリッツオォ</t>
  </si>
  <si>
    <t xml:space="preserve">アドマイヤクワッズ</t>
  </si>
  <si>
    <t xml:space="preserve">アスクイキゴミ</t>
  </si>
  <si>
    <t xml:space="preserve">オルネーロ</t>
  </si>
  <si>
    <t xml:space="preserve">フクチャンショウ</t>
  </si>
  <si>
    <t xml:space="preserve">ユウファラオ</t>
  </si>
  <si>
    <t xml:space="preserve">ギリーズボール</t>
  </si>
  <si>
    <t xml:space="preserve">レザベーション</t>
  </si>
  <si>
    <t xml:space="preserve">リゾートアイランド</t>
  </si>
  <si>
    <t xml:space="preserve">ロッシニアーナ</t>
  </si>
  <si>
    <t xml:space="preserve">ミライヘへノカギ</t>
  </si>
  <si>
    <t xml:space="preserve">リバートゥルー</t>
  </si>
  <si>
    <t xml:space="preserve">レディーフランシス</t>
  </si>
  <si>
    <t xml:space="preserve">クールブロン</t>
  </si>
  <si>
    <t xml:space="preserve">グランドセントラル</t>
  </si>
  <si>
    <t xml:space="preserve">メイショウポペット</t>
  </si>
  <si>
    <t xml:space="preserve">スターフュージョン</t>
  </si>
  <si>
    <t xml:space="preserve">ナムラオーレ</t>
  </si>
  <si>
    <t xml:space="preserve">ジーティーリポーン</t>
  </si>
  <si>
    <t xml:space="preserve">ペイシャプレイ</t>
  </si>
  <si>
    <t xml:space="preserve">ラブペイトー</t>
  </si>
  <si>
    <t xml:space="preserve">イズジョーアザヤカ</t>
  </si>
  <si>
    <t xml:space="preserve">アッチョンブリケ</t>
  </si>
  <si>
    <t xml:space="preserve">人婦イセイフリーデン</t>
  </si>
  <si>
    <t xml:space="preserve">メイショウヒタカミ</t>
  </si>
  <si>
    <t xml:space="preserve">ゴールデンポプ</t>
  </si>
  <si>
    <t xml:space="preserve">ゴッドシュアウイン</t>
  </si>
  <si>
    <t xml:space="preserve">ティアラティアレ</t>
  </si>
  <si>
    <t xml:space="preserve">ワンワールド</t>
  </si>
  <si>
    <t xml:space="preserve">ノーブルサンライズ</t>
  </si>
  <si>
    <t xml:space="preserve">タナブイハチターポボ</t>
  </si>
  <si>
    <t xml:space="preserve">シルヴァークラウン</t>
  </si>
  <si>
    <t xml:space="preserve">アスターリコッタ</t>
  </si>
  <si>
    <t xml:space="preserve">ハイラブエナン</t>
  </si>
  <si>
    <t xml:space="preserve">ニキー人婦</t>
  </si>
  <si>
    <t xml:space="preserve">ラガーダブルエイト</t>
  </si>
  <si>
    <t xml:space="preserve">ロードスタニング</t>
  </si>
  <si>
    <t xml:space="preserve">シンゲルオトヒメ</t>
  </si>
  <si>
    <t xml:space="preserve">シュドゥン</t>
  </si>
  <si>
    <t xml:space="preserve">フロムレイブプブン</t>
  </si>
  <si>
    <t xml:space="preserve">ミルトライディーン</t>
  </si>
  <si>
    <t xml:space="preserve">クリオシダード</t>
  </si>
  <si>
    <t xml:space="preserve">ララオウ</t>
  </si>
  <si>
    <t xml:space="preserve">メイショウゴールド</t>
  </si>
  <si>
    <t xml:space="preserve">ハピアーザンエバパー</t>
  </si>
  <si>
    <t xml:space="preserve">久イセイディアマン</t>
  </si>
  <si>
    <t xml:space="preserve">シルバーレシオ</t>
  </si>
  <si>
    <t xml:space="preserve">ストロングエース</t>
  </si>
  <si>
    <t xml:space="preserve">ヤエギリ</t>
  </si>
  <si>
    <t xml:space="preserve">ピコラ</t>
  </si>
  <si>
    <t xml:space="preserve">レフィナード</t>
  </si>
  <si>
    <t xml:space="preserve">ニシノインヴィク人</t>
  </si>
  <si>
    <t xml:space="preserve">ノクスカンバーナ</t>
  </si>
  <si>
    <t xml:space="preserve">トリプルハッピー</t>
  </si>
  <si>
    <t xml:space="preserve">ジュニアスウィート</t>
  </si>
  <si>
    <t xml:space="preserve">父イセイガナール</t>
  </si>
  <si>
    <t xml:space="preserve">リオダプラタ</t>
  </si>
  <si>
    <t xml:space="preserve">メイショウアルマ</t>
  </si>
  <si>
    <t xml:space="preserve">エナジーアュユ</t>
  </si>
  <si>
    <t xml:space="preserve">ヴィアルークス</t>
  </si>
  <si>
    <t xml:space="preserve">レッドラマンシュ</t>
  </si>
  <si>
    <t xml:space="preserve">ビーチポボール</t>
  </si>
  <si>
    <t xml:space="preserve">スカイビピア</t>
  </si>
  <si>
    <t xml:space="preserve">プレイザリード</t>
  </si>
  <si>
    <t xml:space="preserve">久ケルフォーカス</t>
  </si>
  <si>
    <t xml:space="preserve">アルタタティール</t>
  </si>
  <si>
    <t xml:space="preserve">アイゼンハイム</t>
  </si>
  <si>
    <t xml:space="preserve">レッドイステル</t>
  </si>
  <si>
    <t xml:space="preserve">ソングコレクター</t>
  </si>
  <si>
    <t xml:space="preserve">メトロボリターナ</t>
  </si>
  <si>
    <t xml:space="preserve">コスモフレディ</t>
  </si>
  <si>
    <t xml:space="preserve">グロリアスヒーロー</t>
  </si>
  <si>
    <t xml:space="preserve">プレスドナイル</t>
  </si>
  <si>
    <t xml:space="preserve">サカイシューター</t>
  </si>
  <si>
    <t xml:space="preserve">ニシノヒミチュ</t>
  </si>
  <si>
    <t xml:space="preserve">ニャンタロウ</t>
  </si>
  <si>
    <t xml:space="preserve">スマートグロワール</t>
  </si>
  <si>
    <t xml:space="preserve">人婦イセイサーブル</t>
  </si>
  <si>
    <t xml:space="preserve">多ガノエルー</t>
  </si>
  <si>
    <t xml:space="preserve">タ久イセツナヒ</t>
  </si>
  <si>
    <t xml:space="preserve">ビターグラッセ</t>
  </si>
  <si>
    <t xml:space="preserve">エンジェルマーク</t>
  </si>
  <si>
    <t xml:space="preserve">ルージュミラージュ</t>
  </si>
  <si>
    <t xml:space="preserve">ツキノアカリ</t>
  </si>
  <si>
    <t xml:space="preserve">サイモンブーケ</t>
  </si>
  <si>
    <t xml:space="preserve">エリカサファイア</t>
  </si>
  <si>
    <t xml:space="preserve">ドゥラリス</t>
  </si>
  <si>
    <t xml:space="preserve">フランクスピード</t>
  </si>
  <si>
    <t xml:space="preserve">ビピーグラッド</t>
  </si>
  <si>
    <t xml:space="preserve">ハニーアイリー</t>
  </si>
  <si>
    <t xml:space="preserve">レジーナローズ</t>
  </si>
  <si>
    <t xml:space="preserve">エンジェルブリーズ</t>
  </si>
  <si>
    <t xml:space="preserve">ワイルドゴーア</t>
  </si>
  <si>
    <t xml:space="preserve">アンジュブルー</t>
  </si>
  <si>
    <t xml:space="preserve">ワウワンダーバリエンス</t>
  </si>
  <si>
    <t xml:space="preserve">プレシャスフェザー</t>
  </si>
  <si>
    <t xml:space="preserve">ホワイトオパール</t>
  </si>
  <si>
    <t xml:space="preserve">トルマリンテソーロ</t>
  </si>
  <si>
    <t xml:space="preserve">リワードシュテルン</t>
  </si>
  <si>
    <t xml:space="preserve">ミヤエスケープ</t>
  </si>
  <si>
    <t xml:space="preserve">フッカツノジャンポ</t>
  </si>
  <si>
    <t xml:space="preserve">プレースメント</t>
  </si>
  <si>
    <t xml:space="preserve">ベリルスフィア</t>
  </si>
  <si>
    <t xml:space="preserve">ダズルオーロラ</t>
  </si>
  <si>
    <t xml:space="preserve">ユイノスレチガイ</t>
  </si>
  <si>
    <t xml:space="preserve">ウィリーズロック</t>
  </si>
  <si>
    <t xml:space="preserve">シーラス</t>
  </si>
  <si>
    <t xml:space="preserve">スワーヴマルス</t>
  </si>
  <si>
    <t xml:space="preserve">タイドグラフ</t>
  </si>
  <si>
    <t xml:space="preserve">スミッコディスコ</t>
  </si>
  <si>
    <t xml:space="preserve">イヌがウノウタゴエ</t>
  </si>
  <si>
    <t xml:space="preserve">サンデースマッシュ</t>
  </si>
  <si>
    <t xml:space="preserve">ピエドゥラバパン</t>
  </si>
  <si>
    <t xml:space="preserve">ノボポリフジ</t>
  </si>
  <si>
    <t xml:space="preserve">人タイキプレジール</t>
  </si>
  <si>
    <t xml:space="preserve">リプレゼント</t>
  </si>
  <si>
    <t xml:space="preserve">エルオレンス</t>
  </si>
  <si>
    <t xml:space="preserve">トウタツ</t>
  </si>
  <si>
    <t xml:space="preserve">ハルノアラン</t>
  </si>
  <si>
    <t xml:space="preserve">カルツァクライン</t>
  </si>
  <si>
    <t xml:space="preserve">プライトビギニング</t>
  </si>
  <si>
    <t xml:space="preserve">デティムール</t>
  </si>
  <si>
    <t xml:space="preserve">イクリール</t>
  </si>
  <si>
    <t xml:space="preserve">カーミングライツ</t>
  </si>
  <si>
    <t xml:space="preserve">リトルジャイアンツ</t>
  </si>
  <si>
    <t xml:space="preserve">バーケンヘッド</t>
  </si>
  <si>
    <t xml:space="preserve">マテンロウガイ</t>
  </si>
  <si>
    <t xml:space="preserve">ルカランフィースト</t>
  </si>
  <si>
    <t xml:space="preserve">インディゴブラック</t>
  </si>
  <si>
    <t xml:space="preserve">ノットイナフ</t>
  </si>
  <si>
    <t xml:space="preserve">オメガタキシード</t>
  </si>
  <si>
    <t xml:space="preserve">ヤマニンエンディマ</t>
  </si>
  <si>
    <t xml:space="preserve">アズストリル</t>
  </si>
  <si>
    <t xml:space="preserve">ラヴィニール</t>
  </si>
  <si>
    <t xml:space="preserve">アルバンヌ</t>
  </si>
  <si>
    <t xml:space="preserve">カナルサンマルタン</t>
  </si>
  <si>
    <t xml:space="preserve">カンチェンジュンガ</t>
  </si>
  <si>
    <t xml:space="preserve">セフィロ</t>
  </si>
  <si>
    <t xml:space="preserve">ウイントワイライト</t>
  </si>
  <si>
    <t xml:space="preserve">へリオトロープ</t>
  </si>
  <si>
    <t xml:space="preserve">マスグラバイト</t>
  </si>
  <si>
    <t xml:space="preserve">マリンバンカー</t>
  </si>
  <si>
    <t xml:space="preserve">グラフィティアート</t>
  </si>
  <si>
    <t xml:space="preserve">パピプペベビンク</t>
  </si>
  <si>
    <t xml:space="preserve">久ガノシルフィー</t>
  </si>
  <si>
    <t xml:space="preserve">ゴールドアテネ</t>
  </si>
  <si>
    <t xml:space="preserve">クイーンザノリピー</t>
  </si>
  <si>
    <t xml:space="preserve">メイショウゴウケンツ</t>
  </si>
  <si>
    <t xml:space="preserve">スマートピクタス</t>
  </si>
  <si>
    <t xml:space="preserve">ゼルノードゥス</t>
  </si>
  <si>
    <t xml:space="preserve">スマートルヴァン</t>
  </si>
  <si>
    <t xml:space="preserve">トリビア</t>
  </si>
  <si>
    <t xml:space="preserve">シートゥウサミット</t>
  </si>
  <si>
    <t xml:space="preserve">グロートカイザー</t>
  </si>
  <si>
    <t xml:space="preserve">サイレントワルツ</t>
  </si>
  <si>
    <t xml:space="preserve">リノルアナ</t>
  </si>
  <si>
    <t xml:space="preserve">ビロングトウゥミー</t>
  </si>
  <si>
    <t xml:space="preserve">テーオーパーセル</t>
  </si>
  <si>
    <t xml:space="preserve">プレダトッゥール</t>
  </si>
  <si>
    <t xml:space="preserve">ナムラダリア</t>
  </si>
  <si>
    <t xml:space="preserve">エルリオ</t>
  </si>
  <si>
    <t xml:space="preserve">ヒナノムサシ</t>
  </si>
  <si>
    <t xml:space="preserve">プロンテス</t>
  </si>
  <si>
    <t xml:space="preserve">ハグレジョー</t>
  </si>
  <si>
    <t xml:space="preserve">クラックショット</t>
  </si>
  <si>
    <t xml:space="preserve">久イセイモノリス</t>
  </si>
  <si>
    <t xml:space="preserve">タイキヴァンクール</t>
  </si>
  <si>
    <t xml:space="preserve">アスクキングコング</t>
  </si>
  <si>
    <t xml:space="preserve">アオイレーギーナ</t>
  </si>
  <si>
    <t xml:space="preserve">多ガノアンファン</t>
  </si>
  <si>
    <t xml:space="preserve">サンライズバレット</t>
  </si>
  <si>
    <t xml:space="preserve">グランオース</t>
  </si>
  <si>
    <t xml:space="preserve">バンドシェル</t>
  </si>
  <si>
    <t xml:space="preserve">メイショウピース</t>
  </si>
  <si>
    <t xml:space="preserve">アンピバレント</t>
  </si>
  <si>
    <t xml:space="preserve">ジャスパーノワール</t>
  </si>
  <si>
    <t xml:space="preserve">バクスロマーナ</t>
  </si>
  <si>
    <t xml:space="preserve">盆ガノシャーンス</t>
  </si>
  <si>
    <t xml:space="preserve">トーセントラム</t>
  </si>
  <si>
    <t xml:space="preserve">サンライズソレイユ</t>
  </si>
  <si>
    <t xml:space="preserve">アクアヴァーナル</t>
  </si>
  <si>
    <t xml:space="preserve">ケイアイサンデラ</t>
  </si>
  <si>
    <t xml:space="preserve">プレシャステデイ</t>
  </si>
  <si>
    <t xml:space="preserve">マイネルカンパーナ</t>
  </si>
  <si>
    <t xml:space="preserve">分ガノデュード</t>
  </si>
  <si>
    <t xml:space="preserve">ヘへデントール</t>
  </si>
  <si>
    <t xml:space="preserve">ホーエリート</t>
  </si>
  <si>
    <t xml:space="preserve">ヴェルテンベルク</t>
  </si>
  <si>
    <t xml:space="preserve">テイエムヒショウ</t>
  </si>
  <si>
    <t xml:space="preserve">ティンプブロポボップ</t>
  </si>
  <si>
    <t xml:space="preserve">ピアス</t>
  </si>
  <si>
    <t xml:space="preserve">リベルタ久アーラ</t>
  </si>
  <si>
    <t xml:space="preserve">ワウワイドバヴァール</t>
  </si>
  <si>
    <t xml:space="preserve">キコリー人婦</t>
  </si>
  <si>
    <t xml:space="preserve">ミズノミヤコ</t>
  </si>
  <si>
    <t xml:space="preserve">オモイラヲラノセテ</t>
  </si>
  <si>
    <t xml:space="preserve">ブレイシオン</t>
  </si>
  <si>
    <t xml:space="preserve">をタタノレクレドール</t>
  </si>
  <si>
    <t xml:space="preserve">へヴンズドライブ</t>
  </si>
  <si>
    <t xml:space="preserve">エコロポルト</t>
  </si>
  <si>
    <t xml:space="preserve">ポッドスモーカー</t>
  </si>
  <si>
    <t xml:space="preserve">シーンオブドリーム</t>
  </si>
  <si>
    <t xml:space="preserve">ファフロツキーズ</t>
  </si>
  <si>
    <t xml:space="preserve">ポールドタワー</t>
  </si>
  <si>
    <t xml:space="preserve">サルサブラヴァ</t>
  </si>
  <si>
    <t xml:space="preserve">モアザンファイア</t>
  </si>
  <si>
    <t xml:space="preserve">カシノスバパバーク</t>
  </si>
  <si>
    <t xml:space="preserve">クレプスクルム</t>
  </si>
  <si>
    <t xml:space="preserve">ピスタ</t>
  </si>
  <si>
    <t xml:space="preserve">ヴェルトラウム</t>
  </si>
  <si>
    <t xml:space="preserve">イーサンバーニング</t>
  </si>
  <si>
    <t xml:space="preserve">グランジョルノ</t>
  </si>
  <si>
    <t xml:space="preserve">イデアユウシン</t>
  </si>
  <si>
    <t xml:space="preserve">レインボポーステート</t>
  </si>
  <si>
    <t xml:space="preserve">ウインアイルグロウ</t>
  </si>
  <si>
    <t xml:space="preserve">ワールドブレイヴ</t>
  </si>
  <si>
    <t xml:space="preserve">ワンダーウィルク</t>
  </si>
  <si>
    <t xml:space="preserve">プロスペクト</t>
  </si>
  <si>
    <t xml:space="preserve">ハイケンス</t>
  </si>
  <si>
    <t xml:space="preserve">ウインレオネッサ</t>
  </si>
  <si>
    <t xml:space="preserve">マーゴットカーラ</t>
  </si>
  <si>
    <t xml:space="preserve">デュアルアップ</t>
  </si>
  <si>
    <t xml:space="preserve">サンピアノソナタ</t>
  </si>
  <si>
    <t xml:space="preserve">サトノシャルレーヌ</t>
  </si>
  <si>
    <t xml:space="preserve">クラウドセイル</t>
  </si>
  <si>
    <t xml:space="preserve">コンアフェット</t>
  </si>
  <si>
    <t xml:space="preserve">シンポリノエル</t>
  </si>
  <si>
    <t xml:space="preserve">クリノハレルヤ</t>
  </si>
  <si>
    <t xml:space="preserve">イスラコラソン</t>
  </si>
  <si>
    <t xml:space="preserve">ホークレア</t>
  </si>
  <si>
    <t xml:space="preserve">リリリーフィールド</t>
  </si>
  <si>
    <t xml:space="preserve">人久ミゼ</t>
  </si>
  <si>
    <t xml:space="preserve">エコロガイア</t>
  </si>
  <si>
    <t xml:space="preserve">ポールセン</t>
  </si>
  <si>
    <t xml:space="preserve">プブレーザー</t>
  </si>
  <si>
    <t xml:space="preserve">サンライズパスカル</t>
  </si>
  <si>
    <t xml:space="preserve">ポボディブロー</t>
  </si>
  <si>
    <t xml:space="preserve">アルムラトゥール</t>
  </si>
  <si>
    <t xml:space="preserve">エティエンヌ</t>
  </si>
  <si>
    <t xml:space="preserve">ジャーニーメモリー</t>
  </si>
  <si>
    <t xml:space="preserve">久ケルハーロック</t>
  </si>
  <si>
    <t xml:space="preserve">ダイチラポール</t>
  </si>
  <si>
    <t xml:space="preserve">ルンペベーラ</t>
  </si>
  <si>
    <t xml:space="preserve">グレープレモネード</t>
  </si>
  <si>
    <t xml:space="preserve">シンデレラカラー</t>
  </si>
  <si>
    <t xml:space="preserve">プブルーサーマル</t>
  </si>
  <si>
    <t xml:space="preserve">マッシプショット</t>
  </si>
  <si>
    <t xml:space="preserve">キーチジャステン</t>
  </si>
  <si>
    <t xml:space="preserve">レビピュニット</t>
  </si>
  <si>
    <t xml:space="preserve">セツナサ</t>
  </si>
  <si>
    <t xml:space="preserve">久イガーゲイト</t>
  </si>
  <si>
    <t xml:space="preserve">モズエムブイビー</t>
  </si>
  <si>
    <t xml:space="preserve">シャインネージュ</t>
  </si>
  <si>
    <t xml:space="preserve">タタマモブレイキン</t>
  </si>
  <si>
    <t xml:space="preserve">カウガールハット</t>
  </si>
  <si>
    <t xml:space="preserve">アーデントアイ</t>
  </si>
  <si>
    <t xml:space="preserve">マサッチェハマー</t>
  </si>
  <si>
    <t xml:space="preserve">ワッフル</t>
  </si>
  <si>
    <t xml:space="preserve">カープドフェザー</t>
  </si>
  <si>
    <t xml:space="preserve">ベストバラディア</t>
  </si>
  <si>
    <t xml:space="preserve">オメガディコン</t>
  </si>
  <si>
    <t xml:space="preserve">ラヴィニアパバーク</t>
  </si>
  <si>
    <t xml:space="preserve">ルミナスレイナ</t>
  </si>
  <si>
    <t xml:space="preserve">ブルースパーダ</t>
  </si>
  <si>
    <t xml:space="preserve">ラインクインピー</t>
  </si>
  <si>
    <t xml:space="preserve">プライスフェアリー</t>
  </si>
  <si>
    <t xml:space="preserve">ワンモメンタム</t>
  </si>
  <si>
    <t xml:space="preserve">アースインハマー</t>
  </si>
  <si>
    <t xml:space="preserve">ピュール</t>
  </si>
  <si>
    <t xml:space="preserve">ベルゼビピュート</t>
  </si>
  <si>
    <t xml:space="preserve">フルミネブル</t>
  </si>
  <si>
    <t xml:space="preserve">アグネスクレスト</t>
  </si>
  <si>
    <t xml:space="preserve">スクレイピング</t>
  </si>
  <si>
    <t xml:space="preserve">ライズトゥザトップ</t>
  </si>
  <si>
    <t xml:space="preserve">ウィンターベル</t>
  </si>
  <si>
    <t xml:space="preserve">ダノンエンブレム</t>
  </si>
  <si>
    <t xml:space="preserve">コンテネレッツア</t>
  </si>
  <si>
    <t xml:space="preserve">ダノンブギ</t>
  </si>
  <si>
    <t xml:space="preserve">マイネルトルファン</t>
  </si>
  <si>
    <t xml:space="preserve">ヴァリディシームス</t>
  </si>
  <si>
    <t xml:space="preserve">ユキワリザクラ</t>
  </si>
  <si>
    <t xml:space="preserve">メイショウフンジン</t>
  </si>
  <si>
    <t xml:space="preserve">ダイシンピスケス</t>
  </si>
  <si>
    <t xml:space="preserve">ロードプレジール</t>
  </si>
  <si>
    <t xml:space="preserve">ピカピカサンダー</t>
  </si>
  <si>
    <t xml:space="preserve">アムールドパリ</t>
  </si>
  <si>
    <t xml:space="preserve">レヴォントゥウレット</t>
  </si>
  <si>
    <t xml:space="preserve">リアレスト</t>
  </si>
  <si>
    <t xml:space="preserve">久イトニット</t>
  </si>
  <si>
    <t xml:space="preserve">レッドプロフェシー</t>
  </si>
  <si>
    <t xml:space="preserve">マイネルクオリア</t>
  </si>
  <si>
    <t xml:space="preserve">ヴィサージュ</t>
  </si>
  <si>
    <t xml:space="preserve">ポンドマティーニ</t>
  </si>
  <si>
    <t xml:space="preserve">エーデテルゼーレ</t>
  </si>
  <si>
    <t xml:space="preserve">オルフゼセン</t>
  </si>
  <si>
    <t xml:space="preserve">クレイヴィンオナー</t>
  </si>
  <si>
    <t xml:space="preserve">アオカミ</t>
  </si>
  <si>
    <t xml:space="preserve">ルーフオブへヴン</t>
  </si>
  <si>
    <t xml:space="preserve">タタマモヴェナトル</t>
  </si>
  <si>
    <t xml:space="preserve">頭数</t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</si>
  <si>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位馬番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</si>
  <si>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位馬名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</si>
  <si>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位率</t>
    </r>
  </si>
  <si>
    <r>
      <rPr>
        <b val="true"/>
        <sz val="11"/>
        <color rgb="FF1E1E1E"/>
        <rFont val="Arial"/>
        <family val="0"/>
        <charset val="1"/>
      </rPr>
      <t xml:space="preserve">2</t>
    </r>
    <r>
      <rPr>
        <b val="true"/>
        <sz val="11"/>
        <color rgb="FF1E1E1E"/>
        <rFont val="Noto Sans"/>
        <family val="2"/>
      </rPr>
      <t xml:space="preserve">位馬番</t>
    </r>
  </si>
  <si>
    <r>
      <rPr>
        <b val="true"/>
        <sz val="11"/>
        <color rgb="FF1E1E1E"/>
        <rFont val="Arial"/>
        <family val="0"/>
        <charset val="1"/>
      </rPr>
      <t xml:space="preserve">2</t>
    </r>
    <r>
      <rPr>
        <b val="true"/>
        <sz val="11"/>
        <color rgb="FF1E1E1E"/>
        <rFont val="Noto Sans"/>
        <family val="2"/>
      </rPr>
      <t xml:space="preserve">位馬名</t>
    </r>
  </si>
  <si>
    <r>
      <rPr>
        <b val="true"/>
        <sz val="11"/>
        <color rgb="FF1E1E1E"/>
        <rFont val="Arial"/>
        <family val="0"/>
        <charset val="1"/>
      </rPr>
      <t xml:space="preserve">2</t>
    </r>
    <r>
      <rPr>
        <b val="true"/>
        <sz val="11"/>
        <color rgb="FF1E1E1E"/>
        <rFont val="Noto Sans"/>
        <family val="2"/>
      </rPr>
      <t xml:space="preserve">位率</t>
    </r>
  </si>
  <si>
    <r>
      <rPr>
        <b val="true"/>
        <sz val="11"/>
        <color rgb="FF1E1E1E"/>
        <rFont val="Arial"/>
        <family val="0"/>
        <charset val="1"/>
      </rPr>
      <t xml:space="preserve">3</t>
    </r>
    <r>
      <rPr>
        <b val="true"/>
        <sz val="11"/>
        <color rgb="FF1E1E1E"/>
        <rFont val="Noto Sans"/>
        <family val="2"/>
      </rPr>
      <t xml:space="preserve">位馬番</t>
    </r>
  </si>
  <si>
    <r>
      <rPr>
        <b val="true"/>
        <sz val="11"/>
        <color rgb="FF1E1E1E"/>
        <rFont val="Arial"/>
        <family val="0"/>
        <charset val="1"/>
      </rPr>
      <t xml:space="preserve">3</t>
    </r>
    <r>
      <rPr>
        <b val="true"/>
        <sz val="11"/>
        <color rgb="FF1E1E1E"/>
        <rFont val="Noto Sans"/>
        <family val="2"/>
      </rPr>
      <t xml:space="preserve">位馬名</t>
    </r>
  </si>
  <si>
    <r>
      <rPr>
        <b val="true"/>
        <sz val="11"/>
        <color rgb="FF1E1E1E"/>
        <rFont val="Arial"/>
        <family val="0"/>
        <charset val="1"/>
      </rPr>
      <t xml:space="preserve">3</t>
    </r>
    <r>
      <rPr>
        <b val="true"/>
        <sz val="11"/>
        <color rgb="FF1E1E1E"/>
        <rFont val="Noto Sans"/>
        <family val="2"/>
      </rPr>
      <t xml:space="preserve">位率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</si>
  <si>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</t>
    </r>
    <r>
      <rPr>
        <b val="true"/>
        <sz val="11"/>
        <color rgb="FF1E1E1E"/>
        <rFont val="Arial"/>
        <family val="0"/>
        <charset val="1"/>
      </rPr>
      <t xml:space="preserve">-2</t>
    </r>
    <r>
      <rPr>
        <b val="true"/>
        <sz val="11"/>
        <color rgb="FF1E1E1E"/>
        <rFont val="Noto Sans"/>
        <family val="2"/>
      </rPr>
      <t xml:space="preserve">位差</t>
    </r>
  </si>
  <si>
    <r>
      <rPr>
        <b val="true"/>
        <sz val="11"/>
        <color rgb="FF1E1E1E"/>
        <rFont val="Arial"/>
        <family val="0"/>
        <charset val="1"/>
      </rPr>
      <t xml:space="preserve">2</t>
    </r>
    <r>
      <rPr>
        <b val="true"/>
        <sz val="11"/>
        <color rgb="FF1E1E1E"/>
        <rFont val="Noto Sans"/>
        <family val="2"/>
      </rPr>
      <t xml:space="preserve">位</t>
    </r>
    <r>
      <rPr>
        <b val="true"/>
        <sz val="11"/>
        <color rgb="FF1E1E1E"/>
        <rFont val="Arial"/>
        <family val="0"/>
        <charset val="1"/>
      </rPr>
      <t xml:space="preserve">-3</t>
    </r>
    <r>
      <rPr>
        <b val="true"/>
        <sz val="11"/>
        <color rgb="FF1E1E1E"/>
        <rFont val="Noto Sans"/>
        <family val="2"/>
      </rPr>
      <t xml:space="preserve">位差</t>
    </r>
  </si>
  <si>
    <r>
      <rPr>
        <b val="true"/>
        <sz val="11"/>
        <color rgb="FF1E1E1E"/>
        <rFont val="Noto Sans"/>
        <family val="2"/>
      </rPr>
      <t xml:space="preserve">上位</t>
    </r>
    <r>
      <rPr>
        <b val="true"/>
        <sz val="11"/>
        <color rgb="FF1E1E1E"/>
        <rFont val="Arial"/>
        <family val="0"/>
        <charset val="1"/>
      </rPr>
      <t xml:space="preserve">2</t>
    </r>
    <r>
      <rPr>
        <b val="true"/>
        <sz val="11"/>
        <color rgb="FF1E1E1E"/>
        <rFont val="Noto Sans"/>
        <family val="2"/>
      </rPr>
      <t xml:space="preserve">頭合計</t>
    </r>
  </si>
  <si>
    <t xml:space="preserve">高信頼複勝</t>
  </si>
  <si>
    <t xml:space="preserve">独走複勝</t>
  </si>
  <si>
    <r>
      <rPr>
        <b val="true"/>
        <sz val="11"/>
        <color rgb="FF1E1E1E"/>
        <rFont val="Noto Sans"/>
        <family val="2"/>
      </rPr>
      <t xml:space="preserve">上位</t>
    </r>
    <r>
      <rPr>
        <b val="true"/>
        <sz val="11"/>
        <color rgb="FF1E1E1E"/>
        <rFont val="Arial"/>
        <family val="0"/>
        <charset val="1"/>
      </rPr>
      <t xml:space="preserve">2</t>
    </r>
    <r>
      <rPr>
        <b val="true"/>
        <sz val="11"/>
        <color rgb="FF1E1E1E"/>
        <rFont val="Noto Sans"/>
        <family val="2"/>
      </rPr>
      <t xml:space="preserve">頭ワイド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</si>
  <si>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位着順</t>
    </r>
  </si>
  <si>
    <r>
      <rPr>
        <b val="true"/>
        <sz val="11"/>
        <color rgb="FF1E1E1E"/>
        <rFont val="Arial"/>
        <family val="0"/>
        <charset val="1"/>
      </rPr>
      <t xml:space="preserve">2</t>
    </r>
    <r>
      <rPr>
        <b val="true"/>
        <sz val="11"/>
        <color rgb="FF1E1E1E"/>
        <rFont val="Noto Sans"/>
        <family val="2"/>
      </rPr>
      <t xml:space="preserve">位着順</t>
    </r>
  </si>
  <si>
    <r>
      <rPr>
        <b val="true"/>
        <sz val="11"/>
        <color rgb="FF1E1E1E"/>
        <rFont val="Arial"/>
        <family val="0"/>
        <charset val="1"/>
      </rPr>
      <t xml:space="preserve">1-2</t>
    </r>
    <r>
      <rPr>
        <b val="true"/>
        <sz val="11"/>
        <color rgb="FF1E1E1E"/>
        <rFont val="Noto Sans"/>
        <family val="2"/>
      </rPr>
      <t xml:space="preserve">ワイド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</si>
  <si>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位複勝払戻</t>
    </r>
  </si>
  <si>
    <t xml:space="preserve">ワイド払戻</t>
  </si>
  <si>
    <t xml:space="preserve">データ区分</t>
  </si>
  <si>
    <r>
      <rPr>
        <b val="true"/>
        <sz val="11"/>
        <color rgb="FF1E1E1E"/>
        <rFont val="Noto Sans"/>
        <family val="2"/>
      </rPr>
      <t xml:space="preserve">超高</t>
    </r>
    <r>
      <rPr>
        <b val="true"/>
        <sz val="11"/>
        <color rgb="FF1E1E1E"/>
        <rFont val="Arial"/>
        <family val="0"/>
        <charset val="1"/>
      </rPr>
      <t xml:space="preserve">Eval</t>
    </r>
  </si>
  <si>
    <r>
      <rPr>
        <b val="true"/>
        <sz val="11"/>
        <color rgb="FF1E1E1E"/>
        <rFont val="Arial"/>
        <family val="0"/>
        <charset val="1"/>
      </rPr>
      <t xml:space="preserve">Eval80</t>
    </r>
    <r>
      <rPr>
        <b val="true"/>
        <sz val="11"/>
        <color rgb="FF1E1E1E"/>
        <rFont val="Noto Sans"/>
        <family val="2"/>
      </rPr>
      <t xml:space="preserve">標準</t>
    </r>
  </si>
  <si>
    <r>
      <rPr>
        <b val="true"/>
        <sz val="11"/>
        <color rgb="FF1E1E1E"/>
        <rFont val="Arial"/>
        <family val="0"/>
        <charset val="1"/>
      </rPr>
      <t xml:space="preserve">Eval80</t>
    </r>
    <r>
      <rPr>
        <b val="true"/>
        <sz val="11"/>
        <color rgb="FF1E1E1E"/>
        <rFont val="Noto Sans"/>
        <family val="2"/>
      </rPr>
      <t xml:space="preserve">中差</t>
    </r>
  </si>
  <si>
    <r>
      <rPr>
        <b val="true"/>
        <sz val="11"/>
        <color rgb="FF1E1E1E"/>
        <rFont val="Arial"/>
        <family val="0"/>
        <charset val="1"/>
      </rPr>
      <t xml:space="preserve">Eval80</t>
    </r>
    <r>
      <rPr>
        <b val="true"/>
        <sz val="11"/>
        <color rgb="FF1E1E1E"/>
        <rFont val="Noto Sans"/>
        <family val="2"/>
      </rPr>
      <t xml:space="preserve">突出</t>
    </r>
  </si>
  <si>
    <r>
      <rPr>
        <b val="true"/>
        <sz val="11"/>
        <color rgb="FF1E1E1E"/>
        <rFont val="Arial"/>
        <family val="0"/>
        <charset val="1"/>
      </rPr>
      <t xml:space="preserve">70</t>
    </r>
    <r>
      <rPr>
        <b val="true"/>
        <sz val="11"/>
        <color rgb="FF1E1E1E"/>
        <rFont val="Noto Sans"/>
        <family val="2"/>
      </rPr>
      <t xml:space="preserve">台突出</t>
    </r>
  </si>
  <si>
    <t xml:space="preserve">上位集中型</t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</si>
  <si>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</t>
    </r>
    <r>
      <rPr>
        <b val="true"/>
        <sz val="11"/>
        <color rgb="FF1E1E1E"/>
        <rFont val="Arial"/>
        <family val="0"/>
        <charset val="1"/>
      </rPr>
      <t xml:space="preserve">-3</t>
    </r>
    <r>
      <rPr>
        <b val="true"/>
        <sz val="11"/>
        <color rgb="FF1E1E1E"/>
        <rFont val="Noto Sans"/>
        <family val="2"/>
      </rPr>
      <t xml:space="preserve">位断層型</t>
    </r>
  </si>
  <si>
    <r>
      <rPr>
        <b val="true"/>
        <sz val="11"/>
        <color rgb="FF1E1E1E"/>
        <rFont val="Noto Sans"/>
        <family val="2"/>
      </rPr>
      <t xml:space="preserve">少頭数高</t>
    </r>
    <r>
      <rPr>
        <b val="true"/>
        <sz val="11"/>
        <color rgb="FF1E1E1E"/>
        <rFont val="Arial"/>
        <family val="0"/>
        <charset val="1"/>
      </rPr>
      <t xml:space="preserve">Eval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</si>
  <si>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</t>
    </r>
    <r>
      <rPr>
        <b val="true"/>
        <sz val="11"/>
        <color rgb="FF1E1E1E"/>
        <rFont val="Arial"/>
        <family val="0"/>
        <charset val="1"/>
      </rPr>
      <t xml:space="preserve">-3</t>
    </r>
    <r>
      <rPr>
        <b val="true"/>
        <sz val="11"/>
        <color rgb="FF1E1E1E"/>
        <rFont val="Noto Sans"/>
        <family val="2"/>
      </rPr>
      <t xml:space="preserve">位差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</si>
  <si>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</t>
    </r>
    <r>
      <rPr>
        <b val="true"/>
        <sz val="11"/>
        <color rgb="FF1E1E1E"/>
        <rFont val="Arial"/>
        <family val="0"/>
        <charset val="1"/>
      </rPr>
      <t xml:space="preserve">Eval</t>
    </r>
    <r>
      <rPr>
        <b val="true"/>
        <sz val="11"/>
        <color rgb="FF1E1E1E"/>
        <rFont val="Noto Sans"/>
        <family val="2"/>
      </rPr>
      <t xml:space="preserve">帯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</si>
  <si>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</t>
    </r>
    <r>
      <rPr>
        <b val="true"/>
        <sz val="11"/>
        <color rgb="FF1E1E1E"/>
        <rFont val="Arial"/>
        <family val="0"/>
        <charset val="1"/>
      </rPr>
      <t xml:space="preserve">-2</t>
    </r>
    <r>
      <rPr>
        <b val="true"/>
        <sz val="11"/>
        <color rgb="FF1E1E1E"/>
        <rFont val="Noto Sans"/>
        <family val="2"/>
      </rPr>
      <t xml:space="preserve">位差帯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</si>
  <si>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</t>
    </r>
    <r>
      <rPr>
        <b val="true"/>
        <sz val="11"/>
        <color rgb="FF1E1E1E"/>
        <rFont val="Arial"/>
        <family val="0"/>
        <charset val="1"/>
      </rPr>
      <t xml:space="preserve">-3</t>
    </r>
    <r>
      <rPr>
        <b val="true"/>
        <sz val="11"/>
        <color rgb="FF1E1E1E"/>
        <rFont val="Noto Sans"/>
        <family val="2"/>
      </rPr>
      <t xml:space="preserve">位差帯</t>
    </r>
  </si>
  <si>
    <r>
      <rPr>
        <b val="true"/>
        <sz val="11"/>
        <color rgb="FF1E1E1E"/>
        <rFont val="Noto Sans"/>
        <family val="2"/>
      </rPr>
      <t xml:space="preserve">上位</t>
    </r>
    <r>
      <rPr>
        <b val="true"/>
        <sz val="11"/>
        <color rgb="FF1E1E1E"/>
        <rFont val="Arial"/>
        <family val="0"/>
        <charset val="1"/>
      </rPr>
      <t xml:space="preserve">2</t>
    </r>
    <r>
      <rPr>
        <b val="true"/>
        <sz val="11"/>
        <color rgb="FF1E1E1E"/>
        <rFont val="Noto Sans"/>
        <family val="2"/>
      </rPr>
      <t xml:space="preserve">頭合計帯</t>
    </r>
  </si>
  <si>
    <t xml:space="preserve">頭数帯</t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</si>
  <si>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位最終複勝オッズ下限</t>
    </r>
  </si>
  <si>
    <r>
      <rPr>
        <b val="true"/>
        <sz val="11"/>
        <color rgb="FF1E1E1E"/>
        <rFont val="Arial"/>
        <family val="0"/>
        <charset val="1"/>
      </rPr>
      <t xml:space="preserve">1</t>
    </r>
    <r>
      <rPr>
        <b val="true"/>
        <sz val="11"/>
        <color rgb="FF1E1E1E"/>
        <rFont val="Noto Sans"/>
        <family val="2"/>
      </rPr>
      <t xml:space="preserve">位複勝オッズ帯</t>
    </r>
  </si>
  <si>
    <t xml:space="preserve">レース属性</t>
  </si>
  <si>
    <t xml:space="preserve">race_name</t>
  </si>
  <si>
    <t xml:space="preserve">race_type_code</t>
  </si>
  <si>
    <t xml:space="preserve">race_type_label</t>
  </si>
  <si>
    <t xml:space="preserve">race_condition_code</t>
  </si>
  <si>
    <t xml:space="preserve">class_label</t>
  </si>
  <si>
    <t xml:space="preserve">grade_code</t>
  </si>
  <si>
    <t xml:space="preserve">grade_label</t>
  </si>
  <si>
    <t xml:space="preserve">track_type</t>
  </si>
  <si>
    <t xml:space="preserve">track_label</t>
  </si>
  <si>
    <t xml:space="preserve">distance</t>
  </si>
  <si>
    <t xml:space="preserve">track_condition_code</t>
  </si>
  <si>
    <t xml:space="preserve">track_condition_label</t>
  </si>
  <si>
    <t xml:space="preserve">race_symbol_code</t>
  </si>
  <si>
    <t xml:space="preserve">sex_condition_label</t>
  </si>
  <si>
    <t xml:space="preserve">is_filly_only</t>
  </si>
  <si>
    <t xml:space="preserve">weight_condition_code</t>
  </si>
  <si>
    <t xml:space="preserve">weight_condition_label</t>
  </si>
  <si>
    <t xml:space="preserve">declared_field_size</t>
  </si>
  <si>
    <t xml:space="preserve">turn_direction_code</t>
  </si>
  <si>
    <t xml:space="preserve">turn_direction_label</t>
  </si>
  <si>
    <t xml:space="preserve">inner_outer_code</t>
  </si>
  <si>
    <t xml:space="preserve">inner_outer_label</t>
  </si>
  <si>
    <t xml:space="preserve">course_code</t>
  </si>
  <si>
    <t xml:space="preserve">course_label</t>
  </si>
  <si>
    <t xml:space="preserve">event_region_code</t>
  </si>
  <si>
    <r>
      <rPr>
        <b val="true"/>
        <sz val="11"/>
        <color rgb="FF1E1E1E"/>
        <rFont val="Arial"/>
        <family val="0"/>
        <charset val="1"/>
      </rPr>
      <t xml:space="preserve">JRDB</t>
    </r>
    <r>
      <rPr>
        <b val="true"/>
        <sz val="11"/>
        <color rgb="FF1E1E1E"/>
        <rFont val="Noto Sans"/>
        <family val="2"/>
      </rPr>
      <t xml:space="preserve">年齢条件</t>
    </r>
  </si>
  <si>
    <r>
      <rPr>
        <b val="true"/>
        <sz val="11"/>
        <color rgb="FF1E1E1E"/>
        <rFont val="Arial"/>
        <family val="0"/>
        <charset val="1"/>
      </rPr>
      <t xml:space="preserve">JRDB</t>
    </r>
    <r>
      <rPr>
        <b val="true"/>
        <sz val="11"/>
        <color rgb="FF1E1E1E"/>
        <rFont val="Noto Sans"/>
        <family val="2"/>
      </rPr>
      <t xml:space="preserve">距離帯</t>
    </r>
  </si>
  <si>
    <r>
      <rPr>
        <b val="true"/>
        <sz val="11"/>
        <color rgb="FF1E1E1E"/>
        <rFont val="Arial"/>
        <family val="0"/>
        <charset val="1"/>
      </rPr>
      <t xml:space="preserve">JRDB</t>
    </r>
    <r>
      <rPr>
        <b val="true"/>
        <sz val="11"/>
        <color rgb="FF1E1E1E"/>
        <rFont val="Noto Sans"/>
        <family val="2"/>
      </rPr>
      <t xml:space="preserve">グレード分類</t>
    </r>
  </si>
  <si>
    <r>
      <rPr>
        <b val="true"/>
        <sz val="11"/>
        <color rgb="FF1E1E1E"/>
        <rFont val="Arial"/>
        <family val="0"/>
        <charset val="1"/>
      </rPr>
      <t xml:space="preserve">JRDB</t>
    </r>
    <r>
      <rPr>
        <b val="true"/>
        <sz val="11"/>
        <color rgb="FF1E1E1E"/>
        <rFont val="Noto Sans"/>
        <family val="2"/>
      </rPr>
      <t xml:space="preserve">頭数照合</t>
    </r>
  </si>
  <si>
    <r>
      <rPr>
        <b val="true"/>
        <sz val="11"/>
        <color rgb="FF1E1E1E"/>
        <rFont val="Arial"/>
        <family val="0"/>
        <charset val="1"/>
      </rPr>
      <t xml:space="preserve">JRDB</t>
    </r>
    <r>
      <rPr>
        <b val="true"/>
        <sz val="11"/>
        <color rgb="FF1E1E1E"/>
        <rFont val="Noto Sans"/>
        <family val="2"/>
      </rPr>
      <t xml:space="preserve">性別条件</t>
    </r>
  </si>
  <si>
    <t xml:space="preserve">事後発見</t>
  </si>
  <si>
    <t xml:space="preserve">11</t>
  </si>
  <si>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</t>
    </r>
  </si>
  <si>
    <t xml:space="preserve">A3</t>
  </si>
  <si>
    <t xml:space="preserve">未勝利</t>
  </si>
  <si>
    <t xml:space="preserve">1</t>
  </si>
  <si>
    <t xml:space="preserve">芝</t>
  </si>
  <si>
    <t xml:space="preserve">良</t>
  </si>
  <si>
    <t xml:space="preserve">102</t>
  </si>
  <si>
    <t xml:space="preserve">指定なし</t>
  </si>
  <si>
    <t xml:space="preserve">0</t>
  </si>
  <si>
    <t xml:space="preserve">3</t>
  </si>
  <si>
    <t xml:space="preserve">馬齢</t>
  </si>
  <si>
    <t xml:space="preserve">2</t>
  </si>
  <si>
    <t xml:space="preserve">左</t>
  </si>
  <si>
    <t xml:space="preserve">外</t>
  </si>
  <si>
    <t xml:space="preserve">A</t>
  </si>
  <si>
    <r>
      <rPr>
        <sz val="11"/>
        <color theme="1"/>
        <rFont val="Noto Sans"/>
        <family val="2"/>
      </rPr>
      <t xml:space="preserve">同率は馬番順で上位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頭欄へ</t>
    </r>
  </si>
  <si>
    <t xml:space="preserve">A1</t>
  </si>
  <si>
    <t xml:space="preserve">新馬</t>
  </si>
  <si>
    <t xml:space="preserve">ダート</t>
  </si>
  <si>
    <t xml:space="preserve">20</t>
  </si>
  <si>
    <t xml:space="preserve">稍重</t>
  </si>
  <si>
    <r>
      <rPr>
        <sz val="11"/>
        <color theme="1"/>
        <rFont val="Noto Sans"/>
        <family val="2"/>
      </rPr>
      <t xml:space="preserve">通常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"/>
        <family val="2"/>
      </rPr>
      <t xml:space="preserve">内</t>
    </r>
    <r>
      <rPr>
        <sz val="11"/>
        <color theme="1"/>
        <rFont val="Arial"/>
        <family val="0"/>
        <charset val="1"/>
      </rPr>
      <t xml:space="preserve">)</t>
    </r>
  </si>
  <si>
    <t xml:space="preserve">022</t>
  </si>
  <si>
    <t xml:space="preserve">牝馬限定</t>
  </si>
  <si>
    <t xml:space="preserve">12</t>
  </si>
  <si>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歳</t>
    </r>
  </si>
  <si>
    <t xml:space="preserve">002</t>
  </si>
  <si>
    <t xml:space="preserve">13</t>
  </si>
  <si>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歳以上</t>
    </r>
  </si>
  <si>
    <t xml:space="preserve">05</t>
  </si>
  <si>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勝クラス</t>
    </r>
  </si>
  <si>
    <t xml:space="preserve">103</t>
  </si>
  <si>
    <t xml:space="preserve">4</t>
  </si>
  <si>
    <t xml:space="preserve">定量</t>
  </si>
  <si>
    <t xml:space="preserve">豊栄特別</t>
  </si>
  <si>
    <t xml:space="preserve">10</t>
  </si>
  <si>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勝クラス</t>
    </r>
  </si>
  <si>
    <t xml:space="preserve">5</t>
  </si>
  <si>
    <t xml:space="preserve">特別</t>
  </si>
  <si>
    <t xml:space="preserve">新潟日報賞</t>
  </si>
  <si>
    <t xml:space="preserve">16</t>
  </si>
  <si>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勝クラス</t>
    </r>
  </si>
  <si>
    <t xml:space="preserve">清津峡特別</t>
  </si>
  <si>
    <t xml:space="preserve">障害</t>
  </si>
  <si>
    <t xml:space="preserve">OP</t>
  </si>
  <si>
    <t xml:space="preserve">オープン</t>
  </si>
  <si>
    <t xml:space="preserve">100</t>
  </si>
  <si>
    <t xml:space="preserve">別定</t>
  </si>
  <si>
    <t xml:space="preserve">9</t>
  </si>
  <si>
    <t xml:space="preserve">他</t>
  </si>
  <si>
    <t xml:space="preserve">直</t>
  </si>
  <si>
    <t xml:space="preserve">四日市特別</t>
  </si>
  <si>
    <t xml:space="preserve">関ケ原ステークス</t>
  </si>
  <si>
    <t xml:space="preserve">香嵐渓特別</t>
  </si>
  <si>
    <t xml:space="preserve">右</t>
  </si>
  <si>
    <t xml:space="preserve">ライラック賞</t>
  </si>
  <si>
    <t xml:space="preserve">ＴＶｈ賞</t>
  </si>
  <si>
    <t xml:space="preserve">桑園特別</t>
  </si>
  <si>
    <t xml:space="preserve">30</t>
  </si>
  <si>
    <t xml:space="preserve">重</t>
  </si>
  <si>
    <t xml:space="preserve">21</t>
  </si>
  <si>
    <t xml:space="preserve">出雲崎特別</t>
  </si>
  <si>
    <t xml:space="preserve">42</t>
  </si>
  <si>
    <t xml:space="preserve">不良</t>
  </si>
  <si>
    <t xml:space="preserve">関屋記念</t>
  </si>
  <si>
    <t xml:space="preserve">G3</t>
  </si>
  <si>
    <t xml:space="preserve">41</t>
  </si>
  <si>
    <t xml:space="preserve">503</t>
  </si>
  <si>
    <t xml:space="preserve">ハンデ</t>
  </si>
  <si>
    <t xml:space="preserve">麒麟山特別</t>
  </si>
  <si>
    <t xml:space="preserve">40</t>
  </si>
  <si>
    <t xml:space="preserve">木曽川特別</t>
  </si>
  <si>
    <t xml:space="preserve">東海ステークス</t>
  </si>
  <si>
    <t xml:space="preserve">501</t>
  </si>
  <si>
    <t xml:space="preserve">遠州灘特別</t>
  </si>
  <si>
    <t xml:space="preserve">羊ヶ丘特別</t>
  </si>
  <si>
    <t xml:space="preserve">札幌日経賞</t>
  </si>
  <si>
    <t xml:space="preserve">6</t>
  </si>
  <si>
    <t xml:space="preserve">L</t>
  </si>
  <si>
    <t xml:space="preserve">厚岸特別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</si>
  <si>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＋上位色目視補正／公式結果突合</t>
    </r>
  </si>
  <si>
    <t xml:space="preserve">B</t>
  </si>
  <si>
    <t xml:space="preserve">開成山特別</t>
  </si>
  <si>
    <t xml:space="preserve">米沢特別</t>
  </si>
  <si>
    <t xml:space="preserve">阿武隈ステークス</t>
  </si>
  <si>
    <t xml:space="preserve">ソレイユジャンプステークス</t>
  </si>
  <si>
    <t xml:space="preserve">ひまわり賞</t>
  </si>
  <si>
    <t xml:space="preserve">401</t>
  </si>
  <si>
    <t xml:space="preserve">熊本城特別</t>
  </si>
  <si>
    <t xml:space="preserve">テレＱ杯</t>
  </si>
  <si>
    <t xml:space="preserve">湯浜特別</t>
  </si>
  <si>
    <t xml:space="preserve">003</t>
  </si>
  <si>
    <t xml:space="preserve">潮騒特別</t>
  </si>
  <si>
    <t xml:space="preserve">マリーンステークス</t>
  </si>
  <si>
    <t xml:space="preserve">南相馬特別</t>
  </si>
  <si>
    <t xml:space="preserve">猪苗代特別</t>
  </si>
  <si>
    <t xml:space="preserve">福島テレビ賞</t>
  </si>
  <si>
    <t xml:space="preserve">000</t>
  </si>
  <si>
    <t xml:space="preserve">不知火特別</t>
  </si>
  <si>
    <t xml:space="preserve">宮崎ステークス</t>
  </si>
  <si>
    <t xml:space="preserve">小倉記念</t>
  </si>
  <si>
    <t xml:space="preserve">筑紫特別</t>
  </si>
  <si>
    <t xml:space="preserve">31</t>
  </si>
  <si>
    <t xml:space="preserve">かもめ島特別</t>
  </si>
  <si>
    <t xml:space="preserve">023</t>
  </si>
  <si>
    <t xml:space="preserve">駒場特別</t>
  </si>
  <si>
    <t xml:space="preserve">函館２歳ステークス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</si>
  <si>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＋上位色選択再読・目視補正／公式結果突合</t>
    </r>
  </si>
  <si>
    <t xml:space="preserve">信夫山特別</t>
  </si>
  <si>
    <t xml:space="preserve">会津ステークス</t>
  </si>
  <si>
    <t xml:space="preserve">安達太良ステークス</t>
  </si>
  <si>
    <t xml:space="preserve">英彦山特別</t>
  </si>
  <si>
    <t xml:space="preserve">耶馬渓特別</t>
  </si>
  <si>
    <t xml:space="preserve">釜山ステークス</t>
  </si>
  <si>
    <t xml:space="preserve">北斗特別</t>
  </si>
  <si>
    <t xml:space="preserve">ＨＴＢ杯</t>
  </si>
  <si>
    <t xml:space="preserve">五稜郭ステークス</t>
  </si>
  <si>
    <t xml:space="preserve">織姫賞</t>
  </si>
  <si>
    <t xml:space="preserve">天の川ステークス</t>
  </si>
  <si>
    <t xml:space="preserve">七夕賞</t>
  </si>
  <si>
    <t xml:space="preserve">彦星賞</t>
  </si>
  <si>
    <t xml:space="preserve">八女特別</t>
  </si>
  <si>
    <t xml:space="preserve">西部スポニチ賞</t>
  </si>
  <si>
    <t xml:space="preserve">阿蘇ステークス</t>
  </si>
  <si>
    <t xml:space="preserve">北海ハンデキャップ</t>
  </si>
  <si>
    <t xml:space="preserve">噴火湾特別</t>
  </si>
  <si>
    <t xml:space="preserve">巴賞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</si>
  <si>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＋色セル一括再読・目視補正／公式結果突合</t>
    </r>
  </si>
  <si>
    <t xml:space="preserve">伊達特別</t>
  </si>
  <si>
    <t xml:space="preserve">横手特別</t>
  </si>
  <si>
    <t xml:space="preserve">ＴＵＦ杯</t>
  </si>
  <si>
    <t xml:space="preserve">小郡特別</t>
  </si>
  <si>
    <t xml:space="preserve">雲仙特別</t>
  </si>
  <si>
    <t xml:space="preserve">博多ステークス</t>
  </si>
  <si>
    <t xml:space="preserve">恵山特別</t>
  </si>
  <si>
    <t xml:space="preserve">竜飛崎特別</t>
  </si>
  <si>
    <t xml:space="preserve">ＴＶｈ杯</t>
  </si>
  <si>
    <t xml:space="preserve">郡山特別</t>
  </si>
  <si>
    <t xml:space="preserve">白河特別</t>
  </si>
  <si>
    <t xml:space="preserve">ジュライステークス</t>
  </si>
  <si>
    <t xml:space="preserve">402</t>
  </si>
  <si>
    <t xml:space="preserve">青島特別</t>
  </si>
  <si>
    <t xml:space="preserve">九州スポーツ杯</t>
  </si>
  <si>
    <t xml:space="preserve">北九州記念</t>
  </si>
  <si>
    <t xml:space="preserve">立待岬特別</t>
  </si>
  <si>
    <t xml:space="preserve">横津岳特別</t>
  </si>
  <si>
    <t xml:space="preserve">大沼ステークス</t>
  </si>
  <si>
    <t xml:space="preserve">さくらんぼ特別</t>
  </si>
  <si>
    <t xml:space="preserve">いわき特別</t>
  </si>
  <si>
    <t xml:space="preserve">バーデンバーデンカップ</t>
  </si>
  <si>
    <t xml:space="preserve">八代特別</t>
  </si>
  <si>
    <t xml:space="preserve">宗像特別</t>
  </si>
  <si>
    <t xml:space="preserve">薩摩ステークス</t>
  </si>
  <si>
    <t xml:space="preserve">長万部特別</t>
  </si>
  <si>
    <t xml:space="preserve">洞爺湖特別</t>
  </si>
  <si>
    <t xml:space="preserve">青函ステークス</t>
  </si>
  <si>
    <t xml:space="preserve">松島特別</t>
  </si>
  <si>
    <t xml:space="preserve">鶴ヶ城ステークス</t>
  </si>
  <si>
    <t xml:space="preserve">ラジオＮＩＫＫＥＩ賞</t>
  </si>
  <si>
    <t xml:space="preserve">帆柱山特別</t>
  </si>
  <si>
    <t xml:space="preserve">西部日刊スポーツ杯</t>
  </si>
  <si>
    <t xml:space="preserve">紫川ステークス</t>
  </si>
  <si>
    <t xml:space="preserve">臥牛山特別</t>
  </si>
  <si>
    <t xml:space="preserve">渡島特別</t>
  </si>
  <si>
    <t xml:space="preserve">函館記念</t>
  </si>
  <si>
    <t xml:space="preserve">湯の川温泉特別</t>
  </si>
  <si>
    <t xml:space="preserve">参考</t>
  </si>
  <si>
    <r>
      <rPr>
        <sz val="11"/>
        <color theme="1"/>
        <rFont val="Noto Sans"/>
        <family val="2"/>
      </rPr>
      <t xml:space="preserve">ヘニーガイスト </t>
    </r>
    <r>
      <rPr>
        <sz val="11"/>
        <color theme="1"/>
        <rFont val="Arial"/>
        <family val="0"/>
        <charset val="1"/>
      </rPr>
      <t xml:space="preserve">Eval75</t>
    </r>
    <r>
      <rPr>
        <sz val="11"/>
        <color theme="1"/>
        <rFont val="Noto Sans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着／複勝</t>
    </r>
    <r>
      <rPr>
        <sz val="11"/>
        <color theme="1"/>
        <rFont val="Arial"/>
        <family val="0"/>
        <charset val="1"/>
      </rPr>
      <t xml:space="preserve">110</t>
    </r>
    <r>
      <rPr>
        <sz val="11"/>
        <color theme="1"/>
        <rFont val="Noto Sans"/>
        <family val="2"/>
      </rPr>
      <t xml:space="preserve">円。対象馬のみの参考追記。</t>
    </r>
  </si>
  <si>
    <t xml:space="preserve">ポプラステークス</t>
  </si>
  <si>
    <r>
      <rPr>
        <sz val="11"/>
        <color theme="1"/>
        <rFont val="Noto Sans"/>
        <family val="2"/>
      </rPr>
      <t xml:space="preserve">レッドガレリア </t>
    </r>
    <r>
      <rPr>
        <sz val="11"/>
        <color theme="1"/>
        <rFont val="Arial"/>
        <family val="0"/>
        <charset val="1"/>
      </rPr>
      <t xml:space="preserve">Eval75</t>
    </r>
    <r>
      <rPr>
        <sz val="11"/>
        <color theme="1"/>
        <rFont val="Noto Sans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着／複勝</t>
    </r>
    <r>
      <rPr>
        <sz val="11"/>
        <color theme="1"/>
        <rFont val="Arial"/>
        <family val="0"/>
        <charset val="1"/>
      </rPr>
      <t xml:space="preserve">140</t>
    </r>
    <r>
      <rPr>
        <sz val="11"/>
        <color theme="1"/>
        <rFont val="Noto Sans"/>
        <family val="2"/>
      </rPr>
      <t xml:space="preserve">円。対象馬のみの参考追記。</t>
    </r>
  </si>
  <si>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"/>
        <family val="2"/>
      </rPr>
      <t xml:space="preserve">頭立て。レッドヴァリアート </t>
    </r>
    <r>
      <rPr>
        <sz val="11"/>
        <color theme="1"/>
        <rFont val="Arial"/>
        <family val="0"/>
        <charset val="1"/>
      </rPr>
      <t xml:space="preserve">Eval74</t>
    </r>
    <r>
      <rPr>
        <sz val="11"/>
        <color theme="1"/>
        <rFont val="Noto Sans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"/>
        <family val="2"/>
      </rPr>
      <t xml:space="preserve">着。複勝対象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着までの例外条件。</t>
    </r>
  </si>
  <si>
    <r>
      <rPr>
        <sz val="11"/>
        <color theme="1"/>
        <rFont val="Noto Sans"/>
        <family val="2"/>
      </rPr>
      <t xml:space="preserve">サノノキセキ </t>
    </r>
    <r>
      <rPr>
        <sz val="11"/>
        <color theme="1"/>
        <rFont val="Arial"/>
        <family val="0"/>
        <charset val="1"/>
      </rPr>
      <t xml:space="preserve">Eval74</t>
    </r>
    <r>
      <rPr>
        <sz val="11"/>
        <color theme="1"/>
        <rFont val="Noto Sans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着／複勝</t>
    </r>
    <r>
      <rPr>
        <sz val="11"/>
        <color theme="1"/>
        <rFont val="Arial"/>
        <family val="0"/>
        <charset val="1"/>
      </rPr>
      <t xml:space="preserve">120</t>
    </r>
    <r>
      <rPr>
        <sz val="11"/>
        <color theme="1"/>
        <rFont val="Noto Sans"/>
        <family val="2"/>
      </rPr>
      <t xml:space="preserve">円。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歳未勝利の観察対象。</t>
    </r>
  </si>
  <si>
    <r>
      <rPr>
        <sz val="11"/>
        <color theme="1"/>
        <rFont val="Noto Sans"/>
        <family val="2"/>
      </rPr>
      <t xml:space="preserve">トモジャオーリー </t>
    </r>
    <r>
      <rPr>
        <sz val="11"/>
        <color theme="1"/>
        <rFont val="Arial"/>
        <family val="0"/>
        <charset val="1"/>
      </rPr>
      <t xml:space="preserve">Eval67</t>
    </r>
    <r>
      <rPr>
        <sz val="11"/>
        <color theme="1"/>
        <rFont val="Noto Sans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"/>
        <family val="2"/>
      </rPr>
      <t xml:space="preserve">着。見送り判断の検証対象。</t>
    </r>
  </si>
  <si>
    <r>
      <rPr>
        <sz val="11"/>
        <color theme="1"/>
        <rFont val="Noto Sans"/>
        <family val="2"/>
      </rPr>
      <t xml:space="preserve">ワンダーブリッツ・ゴンファンガーが</t>
    </r>
    <r>
      <rPr>
        <sz val="11"/>
        <color theme="1"/>
        <rFont val="Arial"/>
        <family val="0"/>
        <charset val="1"/>
      </rPr>
      <t xml:space="preserve">Eval71</t>
    </r>
    <r>
      <rPr>
        <sz val="11"/>
        <color theme="1"/>
        <rFont val="Noto Sans"/>
        <family val="2"/>
      </rPr>
      <t xml:space="preserve">で同率首位、各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着・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着。ワイド</t>
    </r>
    <r>
      <rPr>
        <sz val="11"/>
        <color theme="1"/>
        <rFont val="Arial"/>
        <family val="0"/>
        <charset val="1"/>
      </rPr>
      <t xml:space="preserve">120</t>
    </r>
    <r>
      <rPr>
        <sz val="11"/>
        <color theme="1"/>
        <rFont val="Noto Sans"/>
        <family val="2"/>
      </rPr>
      <t xml:space="preserve">円。</t>
    </r>
  </si>
  <si>
    <r>
      <rPr>
        <sz val="11"/>
        <color theme="1"/>
        <rFont val="Noto Sans"/>
        <family val="2"/>
      </rPr>
      <t xml:space="preserve">全頭取込で部分取込を置換／結果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</t>
    </r>
  </si>
  <si>
    <t xml:space="preserve">エルムステークス</t>
  </si>
  <si>
    <t xml:space="preserve">ダリア賞</t>
  </si>
  <si>
    <t xml:space="preserve">三面川特別</t>
  </si>
  <si>
    <r>
      <rPr>
        <sz val="11"/>
        <color theme="1"/>
        <rFont val="Noto Sans"/>
        <family val="2"/>
      </rPr>
      <t xml:space="preserve">画像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＋色順位検算・空欄補完／公式結果突合</t>
    </r>
  </si>
  <si>
    <t xml:space="preserve">D</t>
  </si>
  <si>
    <t xml:space="preserve">オオキニ</t>
  </si>
  <si>
    <t xml:space="preserve">直ダ</t>
  </si>
  <si>
    <t xml:space="preserve">ジーティーアメリカ</t>
  </si>
  <si>
    <t xml:space="preserve">舞子特別</t>
  </si>
  <si>
    <t xml:space="preserve">下北半島特別</t>
  </si>
  <si>
    <t xml:space="preserve">キャプテンシー</t>
  </si>
  <si>
    <t xml:space="preserve">ダノンマスタング</t>
  </si>
  <si>
    <t xml:space="preserve">アクアマーズ</t>
  </si>
  <si>
    <t xml:space="preserve">タクティシアン</t>
  </si>
  <si>
    <t xml:space="preserve">シャンパンアワー</t>
  </si>
  <si>
    <t xml:space="preserve">ホウオウビリーヴ</t>
  </si>
  <si>
    <t xml:space="preserve">エヴァンスベイ</t>
  </si>
  <si>
    <t xml:space="preserve">タカスタカスタカス</t>
  </si>
  <si>
    <t xml:space="preserve">甲州街道特別</t>
  </si>
  <si>
    <t xml:space="preserve">モンドデラモーレ</t>
  </si>
  <si>
    <t xml:space="preserve">ラーンザロープス</t>
  </si>
  <si>
    <t xml:space="preserve">多摩川ステークス</t>
  </si>
  <si>
    <t xml:space="preserve">ヴィヴェローネ</t>
  </si>
  <si>
    <t xml:space="preserve">ジーティーキャメル</t>
  </si>
  <si>
    <t xml:space="preserve">高砂特別</t>
  </si>
  <si>
    <t xml:space="preserve">姫路ステークス</t>
  </si>
  <si>
    <t xml:space="preserve">しらさぎステークス</t>
  </si>
  <si>
    <t xml:space="preserve">遊楽部特別</t>
  </si>
  <si>
    <t xml:space="preserve">檜山特別</t>
  </si>
  <si>
    <t xml:space="preserve">ＵＨＢ杯</t>
  </si>
  <si>
    <t xml:space="preserve">C</t>
  </si>
  <si>
    <t xml:space="preserve">稲城特別</t>
  </si>
  <si>
    <t xml:space="preserve">テレビ山梨杯</t>
  </si>
  <si>
    <t xml:space="preserve">麦秋ステークス</t>
  </si>
  <si>
    <t xml:space="preserve">城崎特別</t>
  </si>
  <si>
    <t xml:space="preserve">加古川特別</t>
  </si>
  <si>
    <t xml:space="preserve">垂水ステークス</t>
  </si>
  <si>
    <t xml:space="preserve">香港ジョッキークラブトロフィー</t>
  </si>
  <si>
    <t xml:space="preserve">八王子特別</t>
  </si>
  <si>
    <t xml:space="preserve">安田記念</t>
  </si>
  <si>
    <t xml:space="preserve">G1</t>
  </si>
  <si>
    <t xml:space="preserve">小金井特別</t>
  </si>
  <si>
    <t xml:space="preserve">洲本特別</t>
  </si>
  <si>
    <t xml:space="preserve">三木特別</t>
  </si>
  <si>
    <t xml:space="preserve">水無月ステークス</t>
  </si>
  <si>
    <t xml:space="preserve">東京ジャンプステークス</t>
  </si>
  <si>
    <t xml:space="preserve">日野特別</t>
  </si>
  <si>
    <t xml:space="preserve">夏至ステークス</t>
  </si>
  <si>
    <t xml:space="preserve">ジューンステークス</t>
  </si>
  <si>
    <t xml:space="preserve">三田特別</t>
  </si>
  <si>
    <t xml:space="preserve">安芸特別</t>
  </si>
  <si>
    <t xml:space="preserve">三宮ステークス</t>
  </si>
  <si>
    <t xml:space="preserve">奥尻特別</t>
  </si>
  <si>
    <t xml:space="preserve">松前特別</t>
  </si>
  <si>
    <t xml:space="preserve">函館スプリントステークス</t>
  </si>
  <si>
    <t xml:space="preserve">芦ノ湖特別</t>
  </si>
  <si>
    <t xml:space="preserve">江の島ステークス</t>
  </si>
  <si>
    <t xml:space="preserve">パラダイスステークス</t>
  </si>
  <si>
    <t xml:space="preserve">逆瀬川特別</t>
  </si>
  <si>
    <t xml:space="preserve">武庫川特別</t>
  </si>
  <si>
    <t xml:space="preserve">花のみちステークス</t>
  </si>
  <si>
    <t xml:space="preserve">宝塚記念</t>
  </si>
  <si>
    <t xml:space="preserve">リボン賞</t>
  </si>
  <si>
    <t xml:space="preserve">32</t>
  </si>
  <si>
    <t xml:space="preserve">八雲特別</t>
  </si>
  <si>
    <t xml:space="preserve">津軽海峡特別</t>
  </si>
  <si>
    <t xml:space="preserve">函館日刊スポーツ杯</t>
  </si>
  <si>
    <r>
      <rPr>
        <sz val="11"/>
        <color theme="1"/>
        <rFont val="Noto Sans"/>
        <family val="2"/>
      </rPr>
      <t xml:space="preserve">画像セル単位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"/>
        <family val="2"/>
      </rPr>
      <t xml:space="preserve">月確定値分類＋拡大目視検算／結果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突合</t>
    </r>
  </si>
  <si>
    <t xml:space="preserve">14</t>
  </si>
  <si>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"/>
        <family val="2"/>
      </rPr>
      <t xml:space="preserve">歳以上</t>
    </r>
  </si>
  <si>
    <t xml:space="preserve">カーネーションカップ</t>
  </si>
  <si>
    <t xml:space="preserve">123</t>
  </si>
  <si>
    <t xml:space="preserve">高尾特別</t>
  </si>
  <si>
    <t xml:space="preserve">欅ステークス</t>
  </si>
  <si>
    <t xml:space="preserve">メルボルントロフィー</t>
  </si>
  <si>
    <t xml:space="preserve">シドニートロフィー</t>
  </si>
  <si>
    <t xml:space="preserve">平安ステークス</t>
  </si>
  <si>
    <t xml:space="preserve">オーストラリアトロフィー</t>
  </si>
  <si>
    <t xml:space="preserve">004</t>
  </si>
  <si>
    <t xml:space="preserve">はやぶさ賞</t>
  </si>
  <si>
    <t xml:space="preserve">尖閣湾特別</t>
  </si>
  <si>
    <t xml:space="preserve">大日岳特別</t>
  </si>
  <si>
    <t xml:space="preserve">三峰山特別</t>
  </si>
  <si>
    <t xml:space="preserve">国分寺特別</t>
  </si>
  <si>
    <t xml:space="preserve">フリーウェイステークス</t>
  </si>
  <si>
    <t xml:space="preserve">優駿牝馬</t>
  </si>
  <si>
    <t xml:space="preserve">521</t>
  </si>
  <si>
    <t xml:space="preserve">丹沢ステークス</t>
  </si>
  <si>
    <t xml:space="preserve">聖護院特別</t>
  </si>
  <si>
    <t xml:space="preserve">高瀬川ステークス</t>
  </si>
  <si>
    <t xml:space="preserve">都大路ステークス</t>
  </si>
  <si>
    <t xml:space="preserve">二王子特別</t>
  </si>
  <si>
    <t xml:space="preserve">火打山特別</t>
  </si>
  <si>
    <t xml:space="preserve">韋駄天ステークス</t>
  </si>
  <si>
    <t xml:space="preserve">富嶽賞</t>
  </si>
  <si>
    <t xml:space="preserve">葉山特別</t>
  </si>
  <si>
    <t xml:space="preserve">アハルテケステークス</t>
  </si>
  <si>
    <t xml:space="preserve">鳳雛ステークス</t>
  </si>
  <si>
    <t xml:space="preserve">桃山ステークス</t>
  </si>
  <si>
    <t xml:space="preserve">葵ステークス</t>
  </si>
  <si>
    <t xml:space="preserve">青嵐賞</t>
  </si>
  <si>
    <t xml:space="preserve">薫風ステークス</t>
  </si>
  <si>
    <t xml:space="preserve">むらさき賞</t>
  </si>
  <si>
    <t xml:space="preserve">東京優駿</t>
  </si>
  <si>
    <t xml:space="preserve">541</t>
  </si>
  <si>
    <t xml:space="preserve">牡・牝馬限定</t>
  </si>
  <si>
    <t xml:space="preserve">目黒記念</t>
  </si>
  <si>
    <t xml:space="preserve">G2</t>
  </si>
  <si>
    <t xml:space="preserve">與杼特別</t>
  </si>
  <si>
    <t xml:space="preserve">安土城ステークス</t>
  </si>
  <si>
    <t xml:space="preserve">白百合ステークス</t>
  </si>
  <si>
    <t xml:space="preserve">渡月橋ステークス</t>
  </si>
  <si>
    <r>
      <rPr>
        <sz val="11"/>
        <color theme="1"/>
        <rFont val="Noto Sans"/>
        <family val="2"/>
      </rPr>
      <t xml:space="preserve">画像セル単位</t>
    </r>
    <r>
      <rPr>
        <sz val="11"/>
        <color theme="1"/>
        <rFont val="Arial"/>
        <family val="0"/>
        <charset val="1"/>
      </rPr>
      <t xml:space="preserve">OCR</t>
    </r>
    <r>
      <rPr>
        <sz val="11"/>
        <color theme="1"/>
        <rFont val="Noto Sans"/>
        <family val="2"/>
      </rPr>
      <t xml:space="preserve">＋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"/>
        <family val="2"/>
      </rPr>
      <t xml:space="preserve">月確定値分類＋複数条件再読＋拡大目視検算／結果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突合</t>
    </r>
  </si>
  <si>
    <t xml:space="preserve">調布特別</t>
  </si>
  <si>
    <t xml:space="preserve">立川特別</t>
  </si>
  <si>
    <t xml:space="preserve">六社ステークス</t>
  </si>
  <si>
    <t xml:space="preserve">京都ハイジャンプ</t>
  </si>
  <si>
    <t xml:space="preserve">あずさ賞</t>
  </si>
  <si>
    <t xml:space="preserve">上賀茂ステークス</t>
  </si>
  <si>
    <t xml:space="preserve">鞍馬ステークス</t>
  </si>
  <si>
    <t xml:space="preserve">石打特別</t>
  </si>
  <si>
    <t xml:space="preserve">中ノ岳特別</t>
  </si>
  <si>
    <t xml:space="preserve">新潟大賞典</t>
  </si>
  <si>
    <t xml:space="preserve">テレ玉杯</t>
  </si>
  <si>
    <t xml:space="preserve">青梅特別</t>
  </si>
  <si>
    <t xml:space="preserve">ヴィクトリアマイル</t>
  </si>
  <si>
    <t xml:space="preserve">ＢＳイレブン賞</t>
  </si>
  <si>
    <t xml:space="preserve">白川特別</t>
  </si>
  <si>
    <t xml:space="preserve">錦ステークス</t>
  </si>
  <si>
    <t xml:space="preserve">栗東ステークス</t>
  </si>
  <si>
    <t xml:space="preserve">飛竜特別</t>
  </si>
  <si>
    <t xml:space="preserve">信濃川特別</t>
  </si>
  <si>
    <t xml:space="preserve">弥彦ステークス</t>
  </si>
  <si>
    <t xml:space="preserve">半自動確認取込／馬名省略
</t>
  </si>
  <si>
    <t xml:space="preserve">駒ケ岳特別</t>
  </si>
  <si>
    <t xml:space="preserve">ＳＴＶ杯</t>
  </si>
  <si>
    <t xml:space="preserve">町田特別</t>
  </si>
  <si>
    <t xml:space="preserve">相模湖特別</t>
  </si>
  <si>
    <t xml:space="preserve">スレイプニルステークス</t>
  </si>
  <si>
    <t xml:space="preserve">ストークステークス</t>
  </si>
  <si>
    <t xml:space="preserve">天保山ステークス</t>
  </si>
  <si>
    <t xml:space="preserve">事前判定</t>
  </si>
  <si>
    <r>
      <rPr>
        <sz val="11"/>
        <color theme="1"/>
        <rFont val="Noto Sans"/>
        <family val="2"/>
      </rPr>
      <t xml:space="preserve">事前候補</t>
    </r>
    <r>
      <rPr>
        <sz val="11"/>
        <color theme="1"/>
        <rFont val="Arial"/>
        <family val="0"/>
        <charset val="1"/>
      </rPr>
      <t xml:space="preserve">: </t>
    </r>
    <r>
      <rPr>
        <sz val="11"/>
        <color theme="1"/>
        <rFont val="Noto Sans"/>
        <family val="2"/>
      </rPr>
      <t xml:space="preserve">モンシーク（</t>
    </r>
    <r>
      <rPr>
        <sz val="11"/>
        <color theme="1"/>
        <rFont val="Arial"/>
        <family val="0"/>
        <charset val="1"/>
      </rPr>
      <t xml:space="preserve">Eval 86</t>
    </r>
    <r>
      <rPr>
        <sz val="11"/>
        <color theme="1"/>
        <rFont val="Noto Sans"/>
        <family val="2"/>
      </rPr>
      <t xml:space="preserve">・本線）。事前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。全頭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取込時に頭数・上位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頭・差分を補完。</t>
    </r>
  </si>
  <si>
    <r>
      <rPr>
        <sz val="11"/>
        <color theme="1"/>
        <rFont val="Noto Sans"/>
        <family val="2"/>
      </rPr>
      <t xml:space="preserve">事前候補</t>
    </r>
    <r>
      <rPr>
        <sz val="11"/>
        <color theme="1"/>
        <rFont val="Arial"/>
        <family val="0"/>
        <charset val="1"/>
      </rPr>
      <t xml:space="preserve">: </t>
    </r>
    <r>
      <rPr>
        <sz val="11"/>
        <color theme="1"/>
        <rFont val="Noto Sans"/>
        <family val="2"/>
      </rPr>
      <t xml:space="preserve">マーチングダール（</t>
    </r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・準本線）。事前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。全頭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取込時に頭数・上位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頭・差分を補完。</t>
    </r>
  </si>
  <si>
    <r>
      <rPr>
        <sz val="11"/>
        <color theme="1"/>
        <rFont val="Noto Sans"/>
        <family val="2"/>
      </rPr>
      <t xml:space="preserve">事前候補</t>
    </r>
    <r>
      <rPr>
        <sz val="11"/>
        <color theme="1"/>
        <rFont val="Arial"/>
        <family val="0"/>
        <charset val="1"/>
      </rPr>
      <t xml:space="preserve">: </t>
    </r>
    <r>
      <rPr>
        <sz val="11"/>
        <color theme="1"/>
        <rFont val="Noto Sans"/>
        <family val="2"/>
      </rPr>
      <t xml:space="preserve">ナムラロダン（</t>
    </r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・準本線）。事前</t>
    </r>
    <r>
      <rPr>
        <sz val="11"/>
        <color theme="1"/>
        <rFont val="Arial"/>
        <family val="0"/>
        <charset val="1"/>
      </rPr>
      <t xml:space="preserve">1.3-1.6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1.3</t>
    </r>
    <r>
      <rPr>
        <sz val="11"/>
        <color theme="1"/>
        <rFont val="Noto Sans"/>
        <family val="2"/>
      </rPr>
      <t xml:space="preserve">。全頭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取込時に頭数・上位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頭・差分を補完。</t>
    </r>
  </si>
  <si>
    <r>
      <rPr>
        <sz val="11"/>
        <color theme="1"/>
        <rFont val="Noto Sans"/>
        <family val="2"/>
      </rPr>
      <t xml:space="preserve">事前候補</t>
    </r>
    <r>
      <rPr>
        <sz val="11"/>
        <color theme="1"/>
        <rFont val="Arial"/>
        <family val="0"/>
        <charset val="1"/>
      </rPr>
      <t xml:space="preserve">: </t>
    </r>
    <r>
      <rPr>
        <sz val="11"/>
        <color theme="1"/>
        <rFont val="Noto Sans"/>
        <family val="2"/>
      </rPr>
      <t xml:space="preserve">アイゼンフォルク（</t>
    </r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・観察（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歳未勝利））。事前</t>
    </r>
    <r>
      <rPr>
        <sz val="11"/>
        <color theme="1"/>
        <rFont val="Arial"/>
        <family val="0"/>
        <charset val="1"/>
      </rPr>
      <t xml:space="preserve">1.2-1.7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13</t>
    </r>
    <r>
      <rPr>
        <sz val="11"/>
        <color theme="1"/>
        <rFont val="Noto Sans"/>
        <family val="2"/>
      </rPr>
      <t xml:space="preserve">着、不的中。全頭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取込時に頭数・上位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頭・差分を補完。</t>
    </r>
  </si>
  <si>
    <r>
      <rPr>
        <sz val="11"/>
        <color theme="1"/>
        <rFont val="Noto Sans"/>
        <family val="2"/>
      </rPr>
      <t xml:space="preserve">事前候補</t>
    </r>
    <r>
      <rPr>
        <sz val="11"/>
        <color theme="1"/>
        <rFont val="Arial"/>
        <family val="0"/>
        <charset val="1"/>
      </rPr>
      <t xml:space="preserve">: </t>
    </r>
    <r>
      <rPr>
        <sz val="11"/>
        <color theme="1"/>
        <rFont val="Noto Sans"/>
        <family val="2"/>
      </rPr>
      <t xml:space="preserve">ダノンファンスター（</t>
    </r>
    <r>
      <rPr>
        <sz val="11"/>
        <color theme="1"/>
        <rFont val="Arial"/>
        <family val="0"/>
        <charset val="1"/>
      </rPr>
      <t xml:space="preserve">Eval 86</t>
    </r>
    <r>
      <rPr>
        <sz val="11"/>
        <color theme="1"/>
        <rFont val="Noto Sans"/>
        <family val="2"/>
      </rPr>
      <t xml:space="preserve">・本線）。事前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"/>
        <family val="2"/>
      </rPr>
      <t xml:space="preserve">着、不的中。全頭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取込時に頭数・上位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頭・差分を補完。</t>
    </r>
  </si>
  <si>
    <r>
      <rPr>
        <sz val="11"/>
        <color theme="1"/>
        <rFont val="Noto Sans"/>
        <family val="2"/>
      </rPr>
      <t xml:space="preserve">事前候補</t>
    </r>
    <r>
      <rPr>
        <sz val="11"/>
        <color theme="1"/>
        <rFont val="Arial"/>
        <family val="0"/>
        <charset val="1"/>
      </rPr>
      <t xml:space="preserve">: </t>
    </r>
    <r>
      <rPr>
        <sz val="11"/>
        <color theme="1"/>
        <rFont val="Noto Sans"/>
        <family val="2"/>
      </rPr>
      <t xml:space="preserve">ダノンヒストリー（</t>
    </r>
    <r>
      <rPr>
        <sz val="11"/>
        <color theme="1"/>
        <rFont val="Arial"/>
        <family val="0"/>
        <charset val="1"/>
      </rPr>
      <t xml:space="preserve">Eval 75</t>
    </r>
    <r>
      <rPr>
        <sz val="11"/>
        <color theme="1"/>
        <rFont val="Noto Sans"/>
        <family val="2"/>
      </rPr>
      <t xml:space="preserve">・準本線）。事前</t>
    </r>
    <r>
      <rPr>
        <sz val="11"/>
        <color theme="1"/>
        <rFont val="Arial"/>
        <family val="0"/>
        <charset val="1"/>
      </rPr>
      <t xml:space="preserve">1.0-1.1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。全頭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取込時に頭数・上位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頭・差分を補完。</t>
    </r>
  </si>
  <si>
    <t xml:space="preserve">阿寒湖特別</t>
  </si>
  <si>
    <r>
      <rPr>
        <sz val="11"/>
        <color theme="1"/>
        <rFont val="Noto Sans"/>
        <family val="2"/>
      </rPr>
      <t xml:space="preserve">事前候補</t>
    </r>
    <r>
      <rPr>
        <sz val="11"/>
        <color theme="1"/>
        <rFont val="Arial"/>
        <family val="0"/>
        <charset val="1"/>
      </rPr>
      <t xml:space="preserve">: </t>
    </r>
    <r>
      <rPr>
        <sz val="11"/>
        <color theme="1"/>
        <rFont val="Noto Sans"/>
        <family val="2"/>
      </rPr>
      <t xml:space="preserve">コスモストーム（</t>
    </r>
    <r>
      <rPr>
        <sz val="11"/>
        <color theme="1"/>
        <rFont val="Arial"/>
        <family val="0"/>
        <charset val="1"/>
      </rPr>
      <t xml:space="preserve">Eval 74</t>
    </r>
    <r>
      <rPr>
        <sz val="11"/>
        <color theme="1"/>
        <rFont val="Noto Sans"/>
        <family val="2"/>
      </rPr>
      <t xml:space="preserve">・観察～条件付き）。事前</t>
    </r>
    <r>
      <rPr>
        <sz val="11"/>
        <color theme="1"/>
        <rFont val="Arial"/>
        <family val="0"/>
        <charset val="1"/>
      </rPr>
      <t xml:space="preserve">1.6-2.1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1.7</t>
    </r>
    <r>
      <rPr>
        <sz val="11"/>
        <color theme="1"/>
        <rFont val="Noto Sans"/>
        <family val="2"/>
      </rPr>
      <t xml:space="preserve">。全頭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取込時に頭数・上位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頭・差分を補完。</t>
    </r>
  </si>
  <si>
    <t xml:space="preserve">大垣特別</t>
  </si>
  <si>
    <r>
      <rPr>
        <sz val="11"/>
        <color theme="1"/>
        <rFont val="Noto Sans"/>
        <family val="2"/>
      </rPr>
      <t xml:space="preserve">事前候補</t>
    </r>
    <r>
      <rPr>
        <sz val="11"/>
        <color theme="1"/>
        <rFont val="Arial"/>
        <family val="0"/>
        <charset val="1"/>
      </rPr>
      <t xml:space="preserve">: </t>
    </r>
    <r>
      <rPr>
        <sz val="11"/>
        <color theme="1"/>
        <rFont val="Noto Sans"/>
        <family val="2"/>
      </rPr>
      <t xml:space="preserve">タイフーンアイ（</t>
    </r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・観察（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歳未勝利））。事前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。全頭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取込時に頭数・上位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頭・差分を補完。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</si>
  <si>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</si>
  <si>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</si>
  <si>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</si>
  <si>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</si>
  <si>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</si>
  <si>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https://sports.yahoo.co.jp/keiba/race/result/2604030106</t>
    </r>
    <r>
      <rPr>
        <sz val="11"/>
        <color theme="1"/>
        <rFont val="Noto Sans"/>
        <family val="2"/>
      </rPr>
      <t xml:space="preserve">）</t>
    </r>
  </si>
  <si>
    <t xml:space="preserve">長岡ステークス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</si>
  <si>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https://sports.yahoo.co.jp/keiba/race/result/2604030107</t>
    </r>
    <r>
      <rPr>
        <sz val="11"/>
        <color theme="1"/>
        <rFont val="Noto Sans"/>
        <family val="2"/>
      </rPr>
      <t xml:space="preserve">）</t>
    </r>
  </si>
  <si>
    <t xml:space="preserve">朱鷺ステークス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</si>
  <si>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https://sports.yahoo.co.jp/keiba/race/result/2604030108</t>
    </r>
    <r>
      <rPr>
        <sz val="11"/>
        <color theme="1"/>
        <rFont val="Noto Sans"/>
        <family val="2"/>
      </rPr>
      <t xml:space="preserve">）</t>
    </r>
  </si>
  <si>
    <t xml:space="preserve">岩室温泉特別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</si>
  <si>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https://sports.yahoo.co.jp/keiba/race/result/2604030109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</si>
  <si>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https://sports.yahoo.co.jp/keiba/race/result/2604030110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</si>
  <si>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https://sports.yahoo.co.jp/keiba/race/result/2604030111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</si>
  <si>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https://sports.yahoo.co.jp/keiba/race/result/2604030112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</si>
  <si>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</si>
  <si>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</si>
  <si>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</si>
  <si>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</si>
  <si>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</si>
  <si>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https://sports.yahoo.co.jp/keiba/race/result/2607030106</t>
    </r>
    <r>
      <rPr>
        <sz val="11"/>
        <color theme="1"/>
        <rFont val="Noto Sans"/>
        <family val="2"/>
      </rPr>
      <t xml:space="preserve">）</t>
    </r>
  </si>
  <si>
    <t xml:space="preserve">大府特別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</si>
  <si>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https://sports.yahoo.co.jp/keiba/race/result/2607030107</t>
    </r>
    <r>
      <rPr>
        <sz val="11"/>
        <color theme="1"/>
        <rFont val="Noto Sans"/>
        <family val="2"/>
      </rPr>
      <t xml:space="preserve">）</t>
    </r>
  </si>
  <si>
    <t xml:space="preserve">伊賀ステークス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</si>
  <si>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https://sports.yahoo.co.jp/keiba/race/result/2607030108</t>
    </r>
    <r>
      <rPr>
        <sz val="11"/>
        <color theme="1"/>
        <rFont val="Noto Sans"/>
        <family val="2"/>
      </rPr>
      <t xml:space="preserve">）</t>
    </r>
  </si>
  <si>
    <t xml:space="preserve">瀬戸特別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</si>
  <si>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https://sports.yahoo.co.jp/keiba/race/result/2607030109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</si>
  <si>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https://sports.yahoo.co.jp/keiba/race/result/2607030110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</si>
  <si>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https://sports.yahoo.co.jp/keiba/race/result/2607030111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</si>
  <si>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https://sports.yahoo.co.jp/keiba/race/result/2607030112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</si>
  <si>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</si>
  <si>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</si>
  <si>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</si>
  <si>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</si>
  <si>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</si>
  <si>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https://sports.yahoo.co.jp/keiba/race/result/2601020106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</si>
  <si>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https://sports.yahoo.co.jp/keiba/race/result/2601020107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</si>
  <si>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https://sports.yahoo.co.jp/keiba/race/result/2601020108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</si>
  <si>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https://sports.yahoo.co.jp/keiba/race/result/2601020109</t>
    </r>
    <r>
      <rPr>
        <sz val="11"/>
        <color theme="1"/>
        <rFont val="Noto Sans"/>
        <family val="2"/>
      </rPr>
      <t xml:space="preserve">）</t>
    </r>
  </si>
  <si>
    <t xml:space="preserve">クローバー賞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</si>
  <si>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https://sports.yahoo.co.jp/keiba/race/result/2601020110</t>
    </r>
    <r>
      <rPr>
        <sz val="11"/>
        <color theme="1"/>
        <rFont val="Noto Sans"/>
        <family val="2"/>
      </rPr>
      <t xml:space="preserve">）</t>
    </r>
  </si>
  <si>
    <t xml:space="preserve">ワールドＡＪ　１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</si>
  <si>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https://sports.yahoo.co.jp/keiba/race/result/2601020111</t>
    </r>
    <r>
      <rPr>
        <sz val="11"/>
        <color theme="1"/>
        <rFont val="Noto Sans"/>
        <family val="2"/>
      </rPr>
      <t xml:space="preserve">）</t>
    </r>
  </si>
  <si>
    <t xml:space="preserve">ワールドＡＪ　２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</si>
  <si>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https://sports.yahoo.co.jp/keiba/race/result/2601020112</t>
    </r>
    <r>
      <rPr>
        <sz val="11"/>
        <color theme="1"/>
        <rFont val="Noto Sans"/>
        <family val="2"/>
      </rPr>
      <t xml:space="preserve">）</t>
    </r>
  </si>
  <si>
    <t xml:space="preserve">ニセコ特別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</si>
  <si>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</si>
  <si>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</si>
  <si>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</si>
  <si>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</si>
  <si>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</si>
  <si>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https://sports.yahoo.co.jp/keiba/race/result/2604030206</t>
    </r>
    <r>
      <rPr>
        <sz val="11"/>
        <color theme="1"/>
        <rFont val="Noto Sans"/>
        <family val="2"/>
      </rPr>
      <t xml:space="preserve">）</t>
    </r>
  </si>
  <si>
    <t xml:space="preserve">古町ステークス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</si>
  <si>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https://sports.yahoo.co.jp/keiba/race/result/2604030207</t>
    </r>
    <r>
      <rPr>
        <sz val="11"/>
        <color theme="1"/>
        <rFont val="Noto Sans"/>
        <family val="2"/>
      </rPr>
      <t xml:space="preserve">）</t>
    </r>
  </si>
  <si>
    <t xml:space="preserve">新潟２歳ステークス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</si>
  <si>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https://sports.yahoo.co.jp/keiba/race/result/2604030208</t>
    </r>
    <r>
      <rPr>
        <sz val="11"/>
        <color theme="1"/>
        <rFont val="Noto Sans"/>
        <family val="2"/>
      </rPr>
      <t xml:space="preserve">）</t>
    </r>
  </si>
  <si>
    <t xml:space="preserve">飯豊特別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</si>
  <si>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https://sports.yahoo.co.jp/keiba/race/result/2604030209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</si>
  <si>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https://sports.yahoo.co.jp/keiba/race/result/2604030210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</si>
  <si>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https://sports.yahoo.co.jp/keiba/race/result/2604030211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</si>
  <si>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https://sports.yahoo.co.jp/keiba/race/result/2604030212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</si>
  <si>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</si>
  <si>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</si>
  <si>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</si>
  <si>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</si>
  <si>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</si>
  <si>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https://sports.yahoo.co.jp/keiba/race/result/2607030206</t>
    </r>
    <r>
      <rPr>
        <sz val="11"/>
        <color theme="1"/>
        <rFont val="Noto Sans"/>
        <family val="2"/>
      </rPr>
      <t xml:space="preserve">）</t>
    </r>
  </si>
  <si>
    <t xml:space="preserve">有松特別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</si>
  <si>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https://sports.yahoo.co.jp/keiba/race/result/2607030207</t>
    </r>
    <r>
      <rPr>
        <sz val="11"/>
        <color theme="1"/>
        <rFont val="Noto Sans"/>
        <family val="2"/>
      </rPr>
      <t xml:space="preserve">）</t>
    </r>
  </si>
  <si>
    <t xml:space="preserve">名古屋城ステークス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</si>
  <si>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https://sports.yahoo.co.jp/keiba/race/result/2607030208</t>
    </r>
    <r>
      <rPr>
        <sz val="11"/>
        <color theme="1"/>
        <rFont val="Noto Sans"/>
        <family val="2"/>
      </rPr>
      <t xml:space="preserve">）</t>
    </r>
  </si>
  <si>
    <t xml:space="preserve">豊川特別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</si>
  <si>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https://sports.yahoo.co.jp/keiba/race/result/2607030209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</si>
  <si>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https://sports.yahoo.co.jp/keiba/race/result/2607030210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</si>
  <si>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https://sports.yahoo.co.jp/keiba/race/result/2607030211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</si>
  <si>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https://sports.yahoo.co.jp/keiba/race/result/2607030212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</si>
  <si>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</si>
  <si>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</si>
  <si>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</si>
  <si>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</si>
  <si>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</si>
  <si>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https://sports.yahoo.co.jp/keiba/race/result/2601020206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</si>
  <si>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https://sports.yahoo.co.jp/keiba/race/result/2601020207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</si>
  <si>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https://sports.yahoo.co.jp/keiba/race/result/2601020208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</si>
  <si>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https://sports.yahoo.co.jp/keiba/race/result/2601020209</t>
    </r>
    <r>
      <rPr>
        <sz val="11"/>
        <color theme="1"/>
        <rFont val="Noto Sans"/>
        <family val="2"/>
      </rPr>
      <t xml:space="preserve">）</t>
    </r>
  </si>
  <si>
    <t xml:space="preserve">ルスツ特別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</si>
  <si>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https://sports.yahoo.co.jp/keiba/race/result/2601020210</t>
    </r>
    <r>
      <rPr>
        <sz val="11"/>
        <color theme="1"/>
        <rFont val="Noto Sans"/>
        <family val="2"/>
      </rPr>
      <t xml:space="preserve">）</t>
    </r>
  </si>
  <si>
    <t xml:space="preserve">ワールドＡＪ　３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</si>
  <si>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https://sports.yahoo.co.jp/keiba/race/result/2601020211</t>
    </r>
    <r>
      <rPr>
        <sz val="11"/>
        <color theme="1"/>
        <rFont val="Noto Sans"/>
        <family val="2"/>
      </rPr>
      <t xml:space="preserve">）</t>
    </r>
  </si>
  <si>
    <t xml:space="preserve">キーンランドカップ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</si>
  <si>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画像目視転記／結果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https://sports.yahoo.co.jp/keiba/race/result/2601020212</t>
    </r>
    <r>
      <rPr>
        <sz val="11"/>
        <color theme="1"/>
        <rFont val="Noto Sans"/>
        <family val="2"/>
      </rPr>
      <t xml:space="preserve">）</t>
    </r>
  </si>
  <si>
    <t xml:space="preserve">ワールドＡＪ　４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</si>
  <si>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https://sports.yahoo.co.jp/keiba/race/result/2607020702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</si>
  <si>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https://sports.yahoo.co.jp/keiba/race/result/2607020703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</si>
  <si>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https://sports.yahoo.co.jp/keiba/race/result/2607020705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</si>
  <si>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https://sports.yahoo.co.jp/keiba/race/result/2607020706</t>
    </r>
    <r>
      <rPr>
        <sz val="11"/>
        <color theme="1"/>
        <rFont val="Noto Sans"/>
        <family val="2"/>
      </rPr>
      <t xml:space="preserve">）</t>
    </r>
  </si>
  <si>
    <t xml:space="preserve">知多特別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</si>
  <si>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https://sports.yahoo.co.jp/keiba/race/result/2607020707</t>
    </r>
    <r>
      <rPr>
        <sz val="11"/>
        <color theme="1"/>
        <rFont val="Noto Sans"/>
        <family val="2"/>
      </rPr>
      <t xml:space="preserve">）</t>
    </r>
  </si>
  <si>
    <t xml:space="preserve">高山ステークス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</si>
  <si>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https://sports.yahoo.co.jp/keiba/race/result/2607020708</t>
    </r>
    <r>
      <rPr>
        <sz val="11"/>
        <color theme="1"/>
        <rFont val="Noto Sans"/>
        <family val="2"/>
      </rPr>
      <t xml:space="preserve">）</t>
    </r>
  </si>
  <si>
    <t xml:space="preserve">常滑特別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</si>
  <si>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https://sports.yahoo.co.jp/keiba/race/result/2607020709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</si>
  <si>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https://sports.yahoo.co.jp/keiba/race/result/2607020710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</si>
  <si>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https://sports.yahoo.co.jp/keiba/race/result/2607020711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</si>
  <si>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</si>
  <si>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</si>
  <si>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</si>
  <si>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</si>
  <si>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</si>
  <si>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https://sports.yahoo.co.jp/keiba/race/result/2604020706</t>
    </r>
    <r>
      <rPr>
        <sz val="11"/>
        <color theme="1"/>
        <rFont val="Noto Sans"/>
        <family val="2"/>
      </rPr>
      <t xml:space="preserve">）</t>
    </r>
  </si>
  <si>
    <t xml:space="preserve">阿賀野川特別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</si>
  <si>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https://sports.yahoo.co.jp/keiba/race/result/2604020707</t>
    </r>
    <r>
      <rPr>
        <sz val="11"/>
        <color theme="1"/>
        <rFont val="Noto Sans"/>
        <family val="2"/>
      </rPr>
      <t xml:space="preserve">）</t>
    </r>
  </si>
  <si>
    <t xml:space="preserve">上越ステークス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</si>
  <si>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https://sports.yahoo.co.jp/keiba/race/result/2604020708</t>
    </r>
    <r>
      <rPr>
        <sz val="11"/>
        <color theme="1"/>
        <rFont val="Noto Sans"/>
        <family val="2"/>
      </rPr>
      <t xml:space="preserve">）</t>
    </r>
  </si>
  <si>
    <t xml:space="preserve">三国特別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</si>
  <si>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https://sports.yahoo.co.jp/keiba/race/result/2604020709</t>
    </r>
    <r>
      <rPr>
        <sz val="11"/>
        <color theme="1"/>
        <rFont val="Noto Sans"/>
        <family val="2"/>
      </rPr>
      <t xml:space="preserve">）</t>
    </r>
  </si>
  <si>
    <t xml:space="preserve">新潟ジャンプステークス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</si>
  <si>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https://sports.yahoo.co.jp/keiba/race/result/2604020711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</si>
  <si>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https://sports.yahoo.co.jp/keiba/race/result/2604020712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</si>
  <si>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</si>
  <si>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</si>
  <si>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</si>
  <si>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</si>
  <si>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</si>
  <si>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https://sports.yahoo.co.jp/keiba/race/result/2601010706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</si>
  <si>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https://sports.yahoo.co.jp/keiba/race/result/2601010707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</si>
  <si>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https://sports.yahoo.co.jp/keiba/race/result/2601010708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</si>
  <si>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https://sports.yahoo.co.jp/keiba/race/result/2601010709</t>
    </r>
    <r>
      <rPr>
        <sz val="11"/>
        <color theme="1"/>
        <rFont val="Noto Sans"/>
        <family val="2"/>
      </rPr>
      <t xml:space="preserve">）</t>
    </r>
  </si>
  <si>
    <t xml:space="preserve">コスモス賞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</si>
  <si>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https://sports.yahoo.co.jp/keiba/race/result/2601010710</t>
    </r>
    <r>
      <rPr>
        <sz val="11"/>
        <color theme="1"/>
        <rFont val="Noto Sans"/>
        <family val="2"/>
      </rPr>
      <t xml:space="preserve">）</t>
    </r>
  </si>
  <si>
    <t xml:space="preserve">知床特別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</si>
  <si>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https://sports.yahoo.co.jp/keiba/race/result/2601010711</t>
    </r>
    <r>
      <rPr>
        <sz val="11"/>
        <color theme="1"/>
        <rFont val="Noto Sans"/>
        <family val="2"/>
      </rPr>
      <t xml:space="preserve">）</t>
    </r>
  </si>
  <si>
    <t xml:space="preserve">大雪ハンデキャップ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</si>
  <si>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https://sports.yahoo.co.jp/keiba/race/result/2601010712</t>
    </r>
    <r>
      <rPr>
        <sz val="11"/>
        <color theme="1"/>
        <rFont val="Noto Sans"/>
        <family val="2"/>
      </rPr>
      <t xml:space="preserve">）</t>
    </r>
  </si>
  <si>
    <t xml:space="preserve">積丹特別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</si>
  <si>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</si>
  <si>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</si>
  <si>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</si>
  <si>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</si>
  <si>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</si>
  <si>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https://sports.yahoo.co.jp/keiba/race/result/2607020806</t>
    </r>
    <r>
      <rPr>
        <sz val="11"/>
        <color theme="1"/>
        <rFont val="Noto Sans"/>
        <family val="2"/>
      </rPr>
      <t xml:space="preserve">）</t>
    </r>
  </si>
  <si>
    <t xml:space="preserve">長久手特別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</si>
  <si>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https://sports.yahoo.co.jp/keiba/race/result/2607020807</t>
    </r>
    <r>
      <rPr>
        <sz val="11"/>
        <color theme="1"/>
        <rFont val="Noto Sans"/>
        <family val="2"/>
      </rPr>
      <t xml:space="preserve">）</t>
    </r>
  </si>
  <si>
    <t xml:space="preserve">中京記念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</si>
  <si>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https://sports.yahoo.co.jp/keiba/race/result/2607020809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</si>
  <si>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https://sports.yahoo.co.jp/keiba/race/result/2607020810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</si>
  <si>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https://sports.yahoo.co.jp/keiba/race/result/2607020811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</si>
  <si>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https://sports.yahoo.co.jp/keiba/race/result/2607020812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</si>
  <si>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</si>
  <si>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https://sports.yahoo.co.jp/keiba/race/result/2604020802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</si>
  <si>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</si>
  <si>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</si>
  <si>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https://sports.yahoo.co.jp/keiba/race/result/2604020806</t>
    </r>
    <r>
      <rPr>
        <sz val="11"/>
        <color theme="1"/>
        <rFont val="Noto Sans"/>
        <family val="2"/>
      </rPr>
      <t xml:space="preserve">）</t>
    </r>
  </si>
  <si>
    <t xml:space="preserve">稲妻ステークス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</si>
  <si>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https://sports.yahoo.co.jp/keiba/race/result/2604020807</t>
    </r>
    <r>
      <rPr>
        <sz val="11"/>
        <color theme="1"/>
        <rFont val="Noto Sans"/>
        <family val="2"/>
      </rPr>
      <t xml:space="preserve">）</t>
    </r>
  </si>
  <si>
    <t xml:space="preserve">ＮＳＴ賞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</si>
  <si>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https://sports.yahoo.co.jp/keiba/race/result/2604020808</t>
    </r>
    <r>
      <rPr>
        <sz val="11"/>
        <color theme="1"/>
        <rFont val="Noto Sans"/>
        <family val="2"/>
      </rPr>
      <t xml:space="preserve">）</t>
    </r>
  </si>
  <si>
    <t xml:space="preserve">瀬波温泉特別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</si>
  <si>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https://sports.yahoo.co.jp/keiba/race/result/2604020809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</si>
  <si>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https://sports.yahoo.co.jp/keiba/race/result/2604020810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</si>
  <si>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https://sports.yahoo.co.jp/keiba/race/result/2604020811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</si>
  <si>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https://sports.yahoo.co.jp/keiba/race/result/2604020812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</si>
  <si>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https://sports.yahoo.co.jp/keiba/race/result/2601010801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</si>
  <si>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https://sports.yahoo.co.jp/keiba/race/result/2601010803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</si>
  <si>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https://sports.yahoo.co.jp/keiba/race/result/2601010804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</si>
  <si>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https://sports.yahoo.co.jp/keiba/race/result/2601010805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</si>
  <si>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https://sports.yahoo.co.jp/keiba/race/result/2601010806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</si>
  <si>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https://sports.yahoo.co.jp/keiba/race/result/2601010807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</si>
  <si>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https://sports.yahoo.co.jp/keiba/race/result/2601010808</t>
    </r>
    <r>
      <rPr>
        <sz val="11"/>
        <color theme="1"/>
        <rFont val="Noto Sans"/>
        <family val="2"/>
      </rPr>
      <t xml:space="preserve">）</t>
    </r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</si>
  <si>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https://sports.yahoo.co.jp/keiba/race/result/2601010809</t>
    </r>
    <r>
      <rPr>
        <sz val="11"/>
        <color theme="1"/>
        <rFont val="Noto Sans"/>
        <family val="2"/>
      </rPr>
      <t xml:space="preserve">）</t>
    </r>
  </si>
  <si>
    <t xml:space="preserve">小樽特別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</si>
  <si>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https://sports.yahoo.co.jp/keiba/race/result/2601010810</t>
    </r>
    <r>
      <rPr>
        <sz val="11"/>
        <color theme="1"/>
        <rFont val="Noto Sans"/>
        <family val="2"/>
      </rPr>
      <t xml:space="preserve">）</t>
    </r>
  </si>
  <si>
    <t xml:space="preserve">大通公園特別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</si>
  <si>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照合（</t>
    </r>
    <r>
      <rPr>
        <sz val="11"/>
        <color theme="1"/>
        <rFont val="Arial"/>
        <family val="0"/>
        <charset val="1"/>
      </rPr>
      <t xml:space="preserve">https://sports.yahoo.co.jp/keiba/race/result/2601010811</t>
    </r>
    <r>
      <rPr>
        <sz val="11"/>
        <color theme="1"/>
        <rFont val="Noto Sans"/>
        <family val="2"/>
      </rPr>
      <t xml:space="preserve">）</t>
    </r>
  </si>
  <si>
    <t xml:space="preserve">札幌記念</t>
  </si>
  <si>
    <r>
      <rPr>
        <sz val="11"/>
        <color theme="1"/>
        <rFont val="Noto Sans"/>
        <family val="2"/>
      </rPr>
      <t xml:space="preserve">全馬データ再構成（</t>
    </r>
    <r>
      <rPr>
        <sz val="11"/>
        <color theme="1"/>
        <rFont val="Arial"/>
        <family val="0"/>
        <charset val="1"/>
      </rPr>
      <t xml:space="preserve">2026/8/1</t>
    </r>
    <r>
      <rPr>
        <sz val="11"/>
        <color theme="1"/>
        <rFont val="Noto Sans"/>
        <family val="2"/>
      </rPr>
      <t xml:space="preserve">）。ワイド払戻は元結果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が台帳外のため未保持。</t>
    </r>
  </si>
  <si>
    <t xml:space="preserve">釧路湿原特別</t>
  </si>
  <si>
    <t xml:space="preserve">ＳＴＶ賞</t>
  </si>
  <si>
    <t xml:space="preserve">大倉山特別</t>
  </si>
  <si>
    <t xml:space="preserve">月岡温泉特別</t>
  </si>
  <si>
    <t xml:space="preserve">柳都ステークス</t>
  </si>
  <si>
    <t xml:space="preserve">燕特別</t>
  </si>
  <si>
    <t xml:space="preserve">桶狭間ステークス</t>
  </si>
  <si>
    <t xml:space="preserve">豊橋ステークス</t>
  </si>
  <si>
    <t xml:space="preserve">日進特別</t>
  </si>
  <si>
    <r>
      <rPr>
        <sz val="11"/>
        <color theme="1"/>
        <rFont val="Arial"/>
        <family val="0"/>
        <charset val="1"/>
      </rPr>
      <t xml:space="preserve">OCR CSV</t>
    </r>
    <r>
      <rPr>
        <sz val="11"/>
        <color theme="1"/>
        <rFont val="Noto Sans"/>
        <family val="2"/>
      </rPr>
      <t xml:space="preserve">取込／結果</t>
    </r>
    <r>
      <rPr>
        <sz val="11"/>
        <color theme="1"/>
        <rFont val="Arial"/>
        <family val="0"/>
        <charset val="1"/>
      </rPr>
      <t xml:space="preserve">CSV</t>
    </r>
    <r>
      <rPr>
        <sz val="11"/>
        <color theme="1"/>
        <rFont val="Noto Sans"/>
        <family val="2"/>
      </rPr>
      <t xml:space="preserve">照合</t>
    </r>
  </si>
  <si>
    <t xml:space="preserve">納屋橋特別</t>
  </si>
  <si>
    <t xml:space="preserve">三河ステークス</t>
  </si>
  <si>
    <t xml:space="preserve">恵那特別</t>
  </si>
  <si>
    <t xml:space="preserve">関越ステークス</t>
  </si>
  <si>
    <t xml:space="preserve">藻岩山特別</t>
  </si>
  <si>
    <t xml:space="preserve">摩周湖特別</t>
  </si>
  <si>
    <t xml:space="preserve">浜名湖特別</t>
  </si>
  <si>
    <t xml:space="preserve">ＣＢＣ賞</t>
  </si>
  <si>
    <t xml:space="preserve">揖斐川特別</t>
  </si>
  <si>
    <t xml:space="preserve">佐渡ステークス</t>
  </si>
  <si>
    <t xml:space="preserve">レパードステークス</t>
  </si>
  <si>
    <t xml:space="preserve">驀進特別</t>
  </si>
  <si>
    <t xml:space="preserve">富良野特別</t>
  </si>
  <si>
    <t xml:space="preserve">ＵＨＢ賞</t>
  </si>
  <si>
    <t xml:space="preserve">石狩特別</t>
  </si>
  <si>
    <t xml:space="preserve">久御山特別</t>
  </si>
  <si>
    <t xml:space="preserve">鴨川特別</t>
  </si>
  <si>
    <t xml:space="preserve">京都新聞杯</t>
  </si>
  <si>
    <t xml:space="preserve">ゆきつばき賞</t>
  </si>
  <si>
    <t xml:space="preserve">粟島特別</t>
  </si>
  <si>
    <t xml:space="preserve">駿風ステークス</t>
  </si>
  <si>
    <t xml:space="preserve">分倍河原ステークス</t>
  </si>
  <si>
    <t xml:space="preserve">青竜ステークス</t>
  </si>
  <si>
    <t xml:space="preserve">エプソムカップ</t>
  </si>
  <si>
    <t xml:space="preserve">烏丸ステークス</t>
  </si>
  <si>
    <t xml:space="preserve">橘ステークス</t>
  </si>
  <si>
    <t xml:space="preserve">平城京ステークス</t>
  </si>
  <si>
    <t xml:space="preserve">荒川峡特別</t>
  </si>
  <si>
    <t xml:space="preserve">五泉特別</t>
  </si>
  <si>
    <t xml:space="preserve">谷川岳ステークス</t>
  </si>
  <si>
    <t xml:space="preserve">日吉特別</t>
  </si>
  <si>
    <t xml:space="preserve">メトロポリタンステークス</t>
  </si>
  <si>
    <t xml:space="preserve">ＮＨＫマイルカップ</t>
  </si>
  <si>
    <t xml:space="preserve">立夏ステークス</t>
  </si>
  <si>
    <t xml:space="preserve">矢車賞</t>
  </si>
  <si>
    <t xml:space="preserve">京極特別</t>
  </si>
  <si>
    <t xml:space="preserve">ユニコーンステークス</t>
  </si>
  <si>
    <t xml:space="preserve">わらび賞</t>
  </si>
  <si>
    <t xml:space="preserve">胎内川特別</t>
  </si>
  <si>
    <t xml:space="preserve">三条ステークス</t>
  </si>
  <si>
    <t xml:space="preserve">是政ステークス</t>
  </si>
  <si>
    <t xml:space="preserve">スイートピーステークス</t>
  </si>
  <si>
    <t xml:space="preserve">京王杯スプリングカップ</t>
  </si>
  <si>
    <t xml:space="preserve">御池特別</t>
  </si>
  <si>
    <t xml:space="preserve">六波羅特別</t>
  </si>
  <si>
    <t xml:space="preserve">朱雀ステークス</t>
  </si>
  <si>
    <t xml:space="preserve">天皇賞（春）</t>
  </si>
  <si>
    <t xml:space="preserve">東大路ステークス</t>
  </si>
  <si>
    <t xml:space="preserve">咲花特別</t>
  </si>
  <si>
    <t xml:space="preserve">邁進特別</t>
  </si>
  <si>
    <t xml:space="preserve">越後ステークス</t>
  </si>
  <si>
    <t xml:space="preserve">府中ステークス</t>
  </si>
  <si>
    <t xml:space="preserve">ブリリアントステークス</t>
  </si>
  <si>
    <t xml:space="preserve">プリンシパルステークス</t>
  </si>
  <si>
    <t xml:space="preserve">区分</t>
  </si>
  <si>
    <t xml:space="preserve">券種</t>
  </si>
  <si>
    <t xml:space="preserve">対象</t>
  </si>
  <si>
    <r>
      <rPr>
        <b val="true"/>
        <sz val="11"/>
        <color rgb="FF1E1E1E"/>
        <rFont val="Arial"/>
        <family val="0"/>
        <charset val="1"/>
      </rPr>
      <t xml:space="preserve">Eval</t>
    </r>
    <r>
      <rPr>
        <b val="true"/>
        <sz val="11"/>
        <color rgb="FF1E1E1E"/>
        <rFont val="Noto Sans"/>
        <family val="2"/>
      </rPr>
      <t xml:space="preserve">上の根拠</t>
    </r>
  </si>
  <si>
    <t xml:space="preserve">自分予想併用</t>
  </si>
  <si>
    <t xml:space="preserve">購入有無</t>
  </si>
  <si>
    <t xml:space="preserve">購入額</t>
  </si>
  <si>
    <t xml:space="preserve">払戻額</t>
  </si>
  <si>
    <t xml:space="preserve">収支</t>
  </si>
  <si>
    <t xml:space="preserve">結果</t>
  </si>
  <si>
    <t xml:space="preserve">配当倍率</t>
  </si>
  <si>
    <t xml:space="preserve">購入</t>
  </si>
  <si>
    <t xml:space="preserve">ワイド</t>
  </si>
  <si>
    <t xml:space="preserve">1-6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</si>
  <si>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表を参考</t>
    </r>
  </si>
  <si>
    <t xml:space="preserve">なし</t>
  </si>
  <si>
    <t xml:space="preserve">はい</t>
  </si>
  <si>
    <t xml:space="preserve">的中</t>
  </si>
  <si>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レース合計収支</t>
    </r>
    <r>
      <rPr>
        <sz val="11"/>
        <color theme="1"/>
        <rFont val="Arial"/>
        <family val="0"/>
        <charset val="1"/>
      </rPr>
      <t xml:space="preserve">+65,000</t>
    </r>
    <r>
      <rPr>
        <sz val="11"/>
        <color theme="1"/>
        <rFont val="Noto Sans"/>
        <family val="2"/>
      </rPr>
      <t xml:space="preserve">円。購入額・払戻内訳を反映済み</t>
    </r>
  </si>
  <si>
    <t xml:space="preserve">4-7</t>
  </si>
  <si>
    <r>
      <rPr>
        <sz val="11"/>
        <color theme="1"/>
        <rFont val="Noto Sans"/>
        <family val="2"/>
      </rPr>
      <t xml:space="preserve">上位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頭突出</t>
    </r>
  </si>
  <si>
    <t xml:space="preserve">複勝</t>
  </si>
  <si>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"/>
        <family val="2"/>
      </rPr>
      <t xml:space="preserve">番</t>
    </r>
  </si>
  <si>
    <t xml:space="preserve">上位評価</t>
  </si>
  <si>
    <t xml:space="preserve">観察</t>
  </si>
  <si>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番 サヴォアフェール</t>
    </r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</si>
  <si>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表＋自分予想（例外）</t>
    </r>
  </si>
  <si>
    <t xml:space="preserve">あり</t>
  </si>
  <si>
    <t xml:space="preserve">いいえ</t>
  </si>
  <si>
    <r>
      <rPr>
        <sz val="11"/>
        <color theme="1"/>
        <rFont val="Noto Sans"/>
        <family val="2"/>
      </rPr>
      <t xml:space="preserve">撤退後。自分予想を加味して注目したため、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法則の購入実績には含めない</t>
    </r>
  </si>
  <si>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Noto Sans"/>
        <family val="2"/>
      </rPr>
      <t xml:space="preserve">番 チュウワメロディー</t>
    </r>
  </si>
  <si>
    <r>
      <rPr>
        <sz val="11"/>
        <color theme="1"/>
        <rFont val="Noto Sans"/>
        <family val="2"/>
      </rPr>
      <t xml:space="preserve">首位</t>
    </r>
    <r>
      <rPr>
        <sz val="11"/>
        <color theme="1"/>
        <rFont val="Arial"/>
        <family val="0"/>
        <charset val="1"/>
      </rPr>
      <t xml:space="preserve">81%</t>
    </r>
  </si>
  <si>
    <t xml:space="preserve">撤退後。購入せず観察</t>
  </si>
  <si>
    <r>
      <rPr>
        <sz val="11"/>
        <color theme="1"/>
        <rFont val="Arial"/>
        <family val="0"/>
        <charset val="1"/>
      </rPr>
      <t xml:space="preserve">Eval 86</t>
    </r>
    <r>
      <rPr>
        <sz val="11"/>
        <color theme="1"/>
        <rFont val="Noto Sans"/>
        <family val="2"/>
      </rPr>
      <t xml:space="preserve">・レース首位（未勝利）</t>
    </r>
  </si>
  <si>
    <r>
      <rPr>
        <sz val="11"/>
        <color theme="1"/>
        <rFont val="Noto Sans"/>
        <family val="2"/>
      </rPr>
      <t xml:space="preserve">実購入。複勝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倍で的中。連続運用の初戦</t>
    </r>
  </si>
  <si>
    <r>
      <rPr>
        <sz val="11"/>
        <color theme="1"/>
        <rFont val="Arial"/>
        <family val="0"/>
        <charset val="1"/>
      </rPr>
      <t xml:space="preserve">Eval 86</t>
    </r>
    <r>
      <rPr>
        <sz val="11"/>
        <color theme="1"/>
        <rFont val="Noto Sans"/>
        <family val="2"/>
      </rPr>
      <t xml:space="preserve">・次点</t>
    </r>
    <r>
      <rPr>
        <sz val="11"/>
        <color theme="1"/>
        <rFont val="Arial"/>
        <family val="0"/>
        <charset val="1"/>
      </rPr>
      <t xml:space="preserve">65</t>
    </r>
    <r>
      <rPr>
        <sz val="11"/>
        <color theme="1"/>
        <rFont val="Noto Sans"/>
        <family val="2"/>
      </rPr>
      <t xml:space="preserve">と大差</t>
    </r>
  </si>
  <si>
    <r>
      <rPr>
        <sz val="11"/>
        <color theme="1"/>
        <rFont val="Noto Sans"/>
        <family val="2"/>
      </rPr>
      <t xml:space="preserve">実購入。複勝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倍で的中。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本通算</t>
    </r>
    <r>
      <rPr>
        <sz val="11"/>
        <color theme="1"/>
        <rFont val="Arial"/>
        <family val="0"/>
        <charset val="1"/>
      </rPr>
      <t xml:space="preserve">100,000</t>
    </r>
    <r>
      <rPr>
        <sz val="11"/>
        <color theme="1"/>
        <rFont val="Noto Sans"/>
        <family val="2"/>
      </rPr>
      <t xml:space="preserve">円→</t>
    </r>
    <r>
      <rPr>
        <sz val="11"/>
        <color theme="1"/>
        <rFont val="Arial"/>
        <family val="0"/>
        <charset val="1"/>
      </rPr>
      <t xml:space="preserve">120,000</t>
    </r>
    <r>
      <rPr>
        <sz val="11"/>
        <color theme="1"/>
        <rFont val="Noto Sans"/>
        <family val="2"/>
      </rPr>
      <t xml:space="preserve">円</t>
    </r>
  </si>
  <si>
    <r>
      <rPr>
        <sz val="11"/>
        <color theme="1"/>
        <rFont val="Arial"/>
        <family val="0"/>
        <charset val="1"/>
      </rPr>
      <t xml:space="preserve">Eval 86</t>
    </r>
    <r>
      <rPr>
        <sz val="11"/>
        <color theme="1"/>
        <rFont val="Noto Sans"/>
        <family val="2"/>
      </rPr>
      <t xml:space="preserve">・次点</t>
    </r>
    <r>
      <rPr>
        <sz val="11"/>
        <color theme="1"/>
        <rFont val="Arial"/>
        <family val="0"/>
        <charset val="1"/>
      </rPr>
      <t xml:space="preserve">39</t>
    </r>
    <r>
      <rPr>
        <sz val="11"/>
        <color theme="1"/>
        <rFont val="Noto Sans"/>
        <family val="2"/>
      </rPr>
      <t xml:space="preserve">と大差</t>
    </r>
  </si>
  <si>
    <t xml:space="preserve">購入せず観察</t>
  </si>
  <si>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・レース首位（未勝利）</t>
    </r>
  </si>
  <si>
    <r>
      <rPr>
        <sz val="11"/>
        <color theme="1"/>
        <rFont val="Noto Sans"/>
        <family val="2"/>
      </rPr>
      <t xml:space="preserve">購入せず観察（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歳未勝利）</t>
    </r>
  </si>
  <si>
    <r>
      <rPr>
        <sz val="11"/>
        <color theme="1"/>
        <rFont val="Arial"/>
        <family val="0"/>
        <charset val="1"/>
      </rPr>
      <t xml:space="preserve">Eval 75</t>
    </r>
    <r>
      <rPr>
        <sz val="11"/>
        <color theme="1"/>
        <rFont val="Noto Sans"/>
        <family val="2"/>
      </rPr>
      <t xml:space="preserve">・本線候補／複勝下限</t>
    </r>
    <r>
      <rPr>
        <sz val="11"/>
        <color theme="1"/>
        <rFont val="Arial"/>
        <family val="0"/>
        <charset val="1"/>
      </rPr>
      <t xml:space="preserve">1.2</t>
    </r>
    <r>
      <rPr>
        <sz val="11"/>
        <color theme="1"/>
        <rFont val="Noto Sans"/>
        <family val="2"/>
      </rPr>
      <t xml:space="preserve">倍以上で購入検討</t>
    </r>
  </si>
  <si>
    <r>
      <rPr>
        <sz val="11"/>
        <color theme="1"/>
        <rFont val="Noto Sans"/>
        <family val="2"/>
      </rPr>
      <t xml:space="preserve">オッズが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倍と低すぎたため見送り。予想上は本線候補だったが購入条件未達。</t>
    </r>
  </si>
  <si>
    <t xml:space="preserve">レッドガレリア</t>
  </si>
  <si>
    <r>
      <rPr>
        <sz val="11"/>
        <color theme="1"/>
        <rFont val="Arial"/>
        <family val="0"/>
        <charset val="1"/>
      </rPr>
      <t xml:space="preserve">Eval 75</t>
    </r>
    <r>
      <rPr>
        <sz val="11"/>
        <color theme="1"/>
        <rFont val="Noto Sans"/>
        <family val="2"/>
      </rPr>
      <t xml:space="preserve">・準本線／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歳未勝利・多頭数のため慎重</t>
    </r>
  </si>
  <si>
    <t xml:space="preserve">購入候補ではあったが当日は見送り。結果は的中相当。</t>
  </si>
  <si>
    <r>
      <rPr>
        <sz val="11"/>
        <color theme="1"/>
        <rFont val="Arial"/>
        <family val="0"/>
        <charset val="1"/>
      </rPr>
      <t xml:space="preserve">Eval 74</t>
    </r>
    <r>
      <rPr>
        <sz val="11"/>
        <color theme="1"/>
        <rFont val="Noto Sans"/>
        <family val="2"/>
      </rPr>
      <t xml:space="preserve">・少頭数（</t>
    </r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"/>
        <family val="2"/>
      </rPr>
      <t xml:space="preserve">頭立て）の例外条件</t>
    </r>
  </si>
  <si>
    <t xml:space="preserve">不的中</t>
  </si>
  <si>
    <t xml:space="preserve">少頭数条件の例外扱い。見送り判断は妥当。</t>
  </si>
  <si>
    <r>
      <rPr>
        <sz val="11"/>
        <color theme="1"/>
        <rFont val="Arial"/>
        <family val="0"/>
        <charset val="1"/>
      </rPr>
      <t xml:space="preserve">Eval 74</t>
    </r>
    <r>
      <rPr>
        <sz val="11"/>
        <color theme="1"/>
        <rFont val="Noto Sans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歳未勝利のため観察</t>
    </r>
  </si>
  <si>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歳未勝利の検証対象。結果は的中相当。</t>
    </r>
  </si>
  <si>
    <r>
      <rPr>
        <sz val="11"/>
        <color theme="1"/>
        <rFont val="Arial"/>
        <family val="0"/>
        <charset val="1"/>
      </rPr>
      <t xml:space="preserve">Eval 67</t>
    </r>
    <r>
      <rPr>
        <sz val="11"/>
        <color theme="1"/>
        <rFont val="Noto Sans"/>
        <family val="2"/>
      </rPr>
      <t xml:space="preserve">・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位と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位の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差が小さく突出感不足</t>
    </r>
  </si>
  <si>
    <t xml:space="preserve">見送り判断は妥当。</t>
  </si>
  <si>
    <r>
      <rPr>
        <sz val="11"/>
        <color theme="1"/>
        <rFont val="Arial"/>
        <family val="0"/>
        <charset val="1"/>
      </rPr>
      <t xml:space="preserve">Eval 71</t>
    </r>
    <r>
      <rPr>
        <sz val="11"/>
        <color theme="1"/>
        <rFont val="Noto Sans"/>
        <family val="2"/>
      </rPr>
      <t xml:space="preserve">・ゴンファンガーと同率首位</t>
    </r>
  </si>
  <si>
    <r>
      <rPr>
        <sz val="11"/>
        <color theme="1"/>
        <rFont val="Noto Sans"/>
        <family val="2"/>
      </rPr>
      <t xml:space="preserve">同率首位かつ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歳未勝利、最終的には低オッズのため見送り。</t>
    </r>
  </si>
  <si>
    <t xml:space="preserve">ゴンファンガー</t>
  </si>
  <si>
    <r>
      <rPr>
        <sz val="11"/>
        <color theme="1"/>
        <rFont val="Arial"/>
        <family val="0"/>
        <charset val="1"/>
      </rPr>
      <t xml:space="preserve">Eval 71</t>
    </r>
    <r>
      <rPr>
        <sz val="11"/>
        <color theme="1"/>
        <rFont val="Noto Sans"/>
        <family val="2"/>
      </rPr>
      <t xml:space="preserve">・ワンダーブリッツと同率首位</t>
    </r>
  </si>
  <si>
    <t xml:space="preserve">同率首位、最終的には低オッズのため見送り。</t>
  </si>
  <si>
    <t xml:space="preserve">ワンダーブリッツ－ゴンファンガー</t>
  </si>
  <si>
    <r>
      <rPr>
        <sz val="11"/>
        <color theme="1"/>
        <rFont val="Noto Sans"/>
        <family val="2"/>
      </rPr>
      <t xml:space="preserve">同率首位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頭の組み合わせ検証用</t>
    </r>
  </si>
  <si>
    <t xml:space="preserve">購入はしていない。低配当のため実運用候補には含めない。</t>
  </si>
  <si>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・本線／低オッズ</t>
    </r>
  </si>
  <si>
    <r>
      <rPr>
        <sz val="11"/>
        <color theme="1"/>
        <rFont val="Noto Sans"/>
        <family val="2"/>
      </rPr>
      <t xml:space="preserve">低すぎるオッズのため見送り。事前</t>
    </r>
    <r>
      <rPr>
        <sz val="11"/>
        <color theme="1"/>
        <rFont val="Arial"/>
        <family val="0"/>
        <charset val="1"/>
      </rPr>
      <t xml:space="preserve">1.0-1.0</t>
    </r>
    <r>
      <rPr>
        <sz val="11"/>
        <color theme="1"/>
        <rFont val="Noto Sans"/>
        <family val="2"/>
      </rPr>
      <t xml:space="preserve">、最終</t>
    </r>
    <r>
      <rPr>
        <sz val="11"/>
        <color theme="1"/>
        <rFont val="Arial"/>
        <family val="0"/>
        <charset val="1"/>
      </rPr>
      <t xml:space="preserve">1.0</t>
    </r>
    <r>
      <rPr>
        <sz val="11"/>
        <color theme="1"/>
        <rFont val="Noto Sans"/>
        <family val="2"/>
      </rPr>
      <t xml:space="preserve">。</t>
    </r>
  </si>
  <si>
    <t xml:space="preserve">ナチュラルライズ</t>
  </si>
  <si>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・準本線／高オッズ側</t>
    </r>
  </si>
  <si>
    <r>
      <rPr>
        <sz val="11"/>
        <color theme="1"/>
        <rFont val="Noto Sans"/>
        <family val="2"/>
      </rPr>
      <t xml:space="preserve">高オッズ側の</t>
    </r>
    <r>
      <rPr>
        <sz val="11"/>
        <color theme="1"/>
        <rFont val="Arial"/>
        <family val="0"/>
        <charset val="1"/>
      </rPr>
      <t xml:space="preserve">Eval81</t>
    </r>
    <r>
      <rPr>
        <sz val="11"/>
        <color theme="1"/>
        <rFont val="Noto Sans"/>
        <family val="2"/>
      </rPr>
      <t xml:space="preserve">不的中例として要観察。事前</t>
    </r>
    <r>
      <rPr>
        <sz val="11"/>
        <color theme="1"/>
        <rFont val="Arial"/>
        <family val="0"/>
        <charset val="1"/>
      </rPr>
      <t xml:space="preserve">2.9-4.4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</si>
  <si>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・観察</t>
    </r>
  </si>
  <si>
    <r>
      <rPr>
        <sz val="11"/>
        <color theme="1"/>
        <rFont val="Noto Sans"/>
        <family val="2"/>
      </rPr>
      <t xml:space="preserve">事前</t>
    </r>
    <r>
      <rPr>
        <sz val="11"/>
        <color theme="1"/>
        <rFont val="Arial"/>
        <family val="0"/>
        <charset val="1"/>
      </rPr>
      <t xml:space="preserve">1.1-1.3</t>
    </r>
    <r>
      <rPr>
        <sz val="11"/>
        <color theme="1"/>
        <rFont val="Noto Sans"/>
        <family val="2"/>
      </rPr>
      <t xml:space="preserve">、最終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</si>
  <si>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Noto Sans"/>
        <family val="2"/>
      </rPr>
      <t xml:space="preserve">事前</t>
    </r>
    <r>
      <rPr>
        <sz val="11"/>
        <color theme="1"/>
        <rFont val="Arial"/>
        <family val="0"/>
        <charset val="1"/>
      </rPr>
      <t xml:space="preserve">1.0-1.4</t>
    </r>
    <r>
      <rPr>
        <sz val="11"/>
        <color theme="1"/>
        <rFont val="Noto Sans"/>
        <family val="2"/>
      </rPr>
      <t xml:space="preserve">、最終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</si>
  <si>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Eval 86</t>
    </r>
    <r>
      <rPr>
        <sz val="11"/>
        <color theme="1"/>
        <rFont val="Noto Sans"/>
        <family val="2"/>
      </rPr>
      <t xml:space="preserve">・本線</t>
    </r>
  </si>
  <si>
    <r>
      <rPr>
        <sz val="11"/>
        <color theme="1"/>
        <rFont val="Noto Sans"/>
        <family val="2"/>
      </rPr>
      <t xml:space="preserve">未購入の観察記録。</t>
    </r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以上（</t>
    </r>
    <r>
      <rPr>
        <sz val="11"/>
        <color theme="1"/>
        <rFont val="Arial"/>
        <family val="0"/>
        <charset val="1"/>
      </rPr>
      <t xml:space="preserve">86</t>
    </r>
    <r>
      <rPr>
        <sz val="11"/>
        <color theme="1"/>
        <rFont val="Noto Sans"/>
        <family val="2"/>
      </rPr>
      <t xml:space="preserve">）・本線。事前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</si>
  <si>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t xml:space="preserve">マーチングダール</t>
  </si>
  <si>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・準本線</t>
    </r>
  </si>
  <si>
    <r>
      <rPr>
        <sz val="11"/>
        <color theme="1"/>
        <rFont val="Noto Sans"/>
        <family val="2"/>
      </rPr>
      <t xml:space="preserve">未購入の観察記録。</t>
    </r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以上（</t>
    </r>
    <r>
      <rPr>
        <sz val="11"/>
        <color theme="1"/>
        <rFont val="Arial"/>
        <family val="0"/>
        <charset val="1"/>
      </rPr>
      <t xml:space="preserve">81</t>
    </r>
    <r>
      <rPr>
        <sz val="11"/>
        <color theme="1"/>
        <rFont val="Noto Sans"/>
        <family val="2"/>
      </rPr>
      <t xml:space="preserve">）・準本線。事前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</si>
  <si>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Noto Sans"/>
        <family val="2"/>
      </rPr>
      <t xml:space="preserve">未購入の観察記録。</t>
    </r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以上（</t>
    </r>
    <r>
      <rPr>
        <sz val="11"/>
        <color theme="1"/>
        <rFont val="Arial"/>
        <family val="0"/>
        <charset val="1"/>
      </rPr>
      <t xml:space="preserve">81</t>
    </r>
    <r>
      <rPr>
        <sz val="11"/>
        <color theme="1"/>
        <rFont val="Noto Sans"/>
        <family val="2"/>
      </rPr>
      <t xml:space="preserve">）・準本線。事前</t>
    </r>
    <r>
      <rPr>
        <sz val="11"/>
        <color theme="1"/>
        <rFont val="Arial"/>
        <family val="0"/>
        <charset val="1"/>
      </rPr>
      <t xml:space="preserve">1.3-1.6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1.3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</si>
  <si>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・観察（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歳未勝利）</t>
    </r>
  </si>
  <si>
    <r>
      <rPr>
        <sz val="11"/>
        <color theme="1"/>
        <rFont val="Noto Sans"/>
        <family val="2"/>
      </rPr>
      <t xml:space="preserve">未購入の観察記録。</t>
    </r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以上（</t>
    </r>
    <r>
      <rPr>
        <sz val="11"/>
        <color theme="1"/>
        <rFont val="Arial"/>
        <family val="0"/>
        <charset val="1"/>
      </rPr>
      <t xml:space="preserve">81</t>
    </r>
    <r>
      <rPr>
        <sz val="11"/>
        <color theme="1"/>
        <rFont val="Noto Sans"/>
        <family val="2"/>
      </rPr>
      <t xml:space="preserve">）・観察（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歳未勝利）。事前</t>
    </r>
    <r>
      <rPr>
        <sz val="11"/>
        <color theme="1"/>
        <rFont val="Arial"/>
        <family val="0"/>
        <charset val="1"/>
      </rPr>
      <t xml:space="preserve">1.2-1.7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13</t>
    </r>
    <r>
      <rPr>
        <sz val="11"/>
        <color theme="1"/>
        <rFont val="Noto Sans"/>
        <family val="2"/>
      </rPr>
      <t xml:space="preserve">着、不的中。</t>
    </r>
  </si>
  <si>
    <r>
      <rPr>
        <sz val="11"/>
        <color theme="1"/>
        <rFont val="Noto Sans"/>
        <family val="2"/>
      </rPr>
      <t xml:space="preserve">未購入の観察記録。</t>
    </r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以上（</t>
    </r>
    <r>
      <rPr>
        <sz val="11"/>
        <color theme="1"/>
        <rFont val="Arial"/>
        <family val="0"/>
        <charset val="1"/>
      </rPr>
      <t xml:space="preserve">86</t>
    </r>
    <r>
      <rPr>
        <sz val="11"/>
        <color theme="1"/>
        <rFont val="Noto Sans"/>
        <family val="2"/>
      </rPr>
      <t xml:space="preserve">）・本線。事前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"/>
        <family val="2"/>
      </rPr>
      <t xml:space="preserve">着、不的中。</t>
    </r>
  </si>
  <si>
    <r>
      <rPr>
        <sz val="11"/>
        <color theme="1"/>
        <rFont val="Arial"/>
        <family val="0"/>
        <charset val="1"/>
      </rPr>
      <t xml:space="preserve">Eval 75</t>
    </r>
    <r>
      <rPr>
        <sz val="11"/>
        <color theme="1"/>
        <rFont val="Noto Sans"/>
        <family val="2"/>
      </rPr>
      <t xml:space="preserve">・準本線</t>
    </r>
  </si>
  <si>
    <r>
      <rPr>
        <sz val="11"/>
        <color theme="1"/>
        <rFont val="Noto Sans"/>
        <family val="2"/>
      </rPr>
      <t xml:space="preserve">未購入の観察記録。</t>
    </r>
    <r>
      <rPr>
        <sz val="11"/>
        <color theme="1"/>
        <rFont val="Arial"/>
        <family val="0"/>
        <charset val="1"/>
      </rPr>
      <t xml:space="preserve">70</t>
    </r>
    <r>
      <rPr>
        <sz val="11"/>
        <color theme="1"/>
        <rFont val="Noto Sans"/>
        <family val="2"/>
      </rPr>
      <t xml:space="preserve">台突出型（</t>
    </r>
    <r>
      <rPr>
        <sz val="11"/>
        <color theme="1"/>
        <rFont val="Arial"/>
        <family val="0"/>
        <charset val="1"/>
      </rPr>
      <t xml:space="preserve">75</t>
    </r>
    <r>
      <rPr>
        <sz val="11"/>
        <color theme="1"/>
        <rFont val="Noto Sans"/>
        <family val="2"/>
      </rPr>
      <t xml:space="preserve">）・準本線。事前</t>
    </r>
    <r>
      <rPr>
        <sz val="11"/>
        <color theme="1"/>
        <rFont val="Arial"/>
        <family val="0"/>
        <charset val="1"/>
      </rPr>
      <t xml:space="preserve">1.0-1.1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</si>
  <si>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Eval 74</t>
    </r>
    <r>
      <rPr>
        <sz val="11"/>
        <color theme="1"/>
        <rFont val="Noto Sans"/>
        <family val="2"/>
      </rPr>
      <t xml:space="preserve">・観察～条件付き</t>
    </r>
  </si>
  <si>
    <r>
      <rPr>
        <sz val="11"/>
        <color theme="1"/>
        <rFont val="Noto Sans"/>
        <family val="2"/>
      </rPr>
      <t xml:space="preserve">未購入の観察記録。</t>
    </r>
    <r>
      <rPr>
        <sz val="11"/>
        <color theme="1"/>
        <rFont val="Arial"/>
        <family val="0"/>
        <charset val="1"/>
      </rPr>
      <t xml:space="preserve">70</t>
    </r>
    <r>
      <rPr>
        <sz val="11"/>
        <color theme="1"/>
        <rFont val="Noto Sans"/>
        <family val="2"/>
      </rPr>
      <t xml:space="preserve">台突出型（</t>
    </r>
    <r>
      <rPr>
        <sz val="11"/>
        <color theme="1"/>
        <rFont val="Arial"/>
        <family val="0"/>
        <charset val="1"/>
      </rPr>
      <t xml:space="preserve">74</t>
    </r>
    <r>
      <rPr>
        <sz val="11"/>
        <color theme="1"/>
        <rFont val="Noto Sans"/>
        <family val="2"/>
      </rPr>
      <t xml:space="preserve">）・観察～条件付き。事前</t>
    </r>
    <r>
      <rPr>
        <sz val="11"/>
        <color theme="1"/>
        <rFont val="Arial"/>
        <family val="0"/>
        <charset val="1"/>
      </rPr>
      <t xml:space="preserve">1.6-2.1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1.7</t>
    </r>
    <r>
      <rPr>
        <sz val="11"/>
        <color theme="1"/>
        <rFont val="Noto Sans"/>
        <family val="2"/>
      </rPr>
      <t xml:space="preserve">。</t>
    </r>
  </si>
  <si>
    <t xml:space="preserve">タイフーンアイ</t>
  </si>
  <si>
    <r>
      <rPr>
        <sz val="11"/>
        <color theme="1"/>
        <rFont val="Noto Sans"/>
        <family val="2"/>
      </rPr>
      <t xml:space="preserve">未購入の観察記録。</t>
    </r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以上（</t>
    </r>
    <r>
      <rPr>
        <sz val="11"/>
        <color theme="1"/>
        <rFont val="Arial"/>
        <family val="0"/>
        <charset val="1"/>
      </rPr>
      <t xml:space="preserve">81</t>
    </r>
    <r>
      <rPr>
        <sz val="11"/>
        <color theme="1"/>
        <rFont val="Noto Sans"/>
        <family val="2"/>
      </rPr>
      <t xml:space="preserve">）・観察（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歳未勝利）。事前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</si>
  <si>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t xml:space="preserve">事前区分：準本線</t>
  </si>
  <si>
    <r>
      <rPr>
        <sz val="11"/>
        <color theme="1"/>
        <rFont val="Noto Sans"/>
        <family val="2"/>
      </rPr>
      <t xml:space="preserve">未購入の観察記録。準本線。事前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</si>
  <si>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Noto Sans"/>
        <family val="2"/>
      </rPr>
      <t xml:space="preserve">未購入の観察記録。準本線。事前</t>
    </r>
    <r>
      <rPr>
        <sz val="11"/>
        <color theme="1"/>
        <rFont val="Arial"/>
        <family val="0"/>
        <charset val="1"/>
      </rPr>
      <t xml:space="preserve">1.3-1.9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1.7</t>
    </r>
    <r>
      <rPr>
        <sz val="11"/>
        <color theme="1"/>
        <rFont val="Noto Sans"/>
        <family val="2"/>
      </rPr>
      <t xml:space="preserve">。</t>
    </r>
  </si>
  <si>
    <t xml:space="preserve">事前区分：観察</t>
  </si>
  <si>
    <r>
      <rPr>
        <sz val="11"/>
        <color theme="1"/>
        <rFont val="Noto Sans"/>
        <family val="2"/>
      </rPr>
      <t xml:space="preserve">未購入の観察記録。観察。事前</t>
    </r>
    <r>
      <rPr>
        <sz val="11"/>
        <color theme="1"/>
        <rFont val="Arial"/>
        <family val="0"/>
        <charset val="1"/>
      </rPr>
      <t xml:space="preserve">1.1-1.3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着、複勝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</si>
  <si>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Noto Sans"/>
        <family val="2"/>
      </rPr>
      <t xml:space="preserve">未購入の観察記録。観察。事前</t>
    </r>
    <r>
      <rPr>
        <sz val="11"/>
        <color theme="1"/>
        <rFont val="Arial"/>
        <family val="0"/>
        <charset val="1"/>
      </rPr>
      <t xml:space="preserve">1.3-2.0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11</t>
    </r>
    <r>
      <rPr>
        <sz val="11"/>
        <color theme="1"/>
        <rFont val="Noto Sans"/>
        <family val="2"/>
      </rPr>
      <t xml:space="preserve">着、不的中。</t>
    </r>
  </si>
  <si>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番 カレントゥルーシー</t>
    </r>
  </si>
  <si>
    <r>
      <rPr>
        <sz val="11"/>
        <color theme="1"/>
        <rFont val="Noto Sans"/>
        <family val="2"/>
      </rPr>
      <t xml:space="preserve">未購入の観察記録。観察。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番・事前</t>
    </r>
    <r>
      <rPr>
        <sz val="11"/>
        <color theme="1"/>
        <rFont val="Arial"/>
        <family val="0"/>
        <charset val="1"/>
      </rPr>
      <t xml:space="preserve">1.9-2.5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"/>
        <family val="2"/>
      </rPr>
      <t xml:space="preserve">着、不的中。</t>
    </r>
  </si>
  <si>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Noto Sans"/>
        <family val="2"/>
      </rPr>
      <t xml:space="preserve">番</t>
    </r>
  </si>
  <si>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・事前区分：本線</t>
    </r>
  </si>
  <si>
    <r>
      <rPr>
        <sz val="11"/>
        <color theme="1"/>
        <rFont val="Noto Sans"/>
        <family val="2"/>
      </rPr>
      <t xml:space="preserve">未購入の観察記録。本線。事前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7</t>
    </r>
    <r>
      <rPr>
        <sz val="11"/>
        <color theme="1"/>
        <rFont val="Noto Sans"/>
        <family val="2"/>
      </rPr>
      <t xml:space="preserve">着。距離延長の不安要素あり。</t>
    </r>
  </si>
  <si>
    <r>
      <rPr>
        <sz val="11"/>
        <color theme="1"/>
        <rFont val="Arial"/>
        <family val="0"/>
        <charset val="1"/>
      </rPr>
      <t xml:space="preserve">14</t>
    </r>
    <r>
      <rPr>
        <sz val="11"/>
        <color theme="1"/>
        <rFont val="Noto Sans"/>
        <family val="2"/>
      </rPr>
      <t xml:space="preserve">番</t>
    </r>
  </si>
  <si>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・事前区分：本線～準本線</t>
    </r>
  </si>
  <si>
    <r>
      <rPr>
        <sz val="11"/>
        <color theme="1"/>
        <rFont val="Noto Sans"/>
        <family val="2"/>
      </rPr>
      <t xml:space="preserve">未購入の観察記録。本線～準本線。事前</t>
    </r>
    <r>
      <rPr>
        <sz val="11"/>
        <color theme="1"/>
        <rFont val="Arial"/>
        <family val="0"/>
        <charset val="1"/>
      </rPr>
      <t xml:space="preserve">1.1-1.4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着、最終複勝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</si>
  <si>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"/>
        <family val="2"/>
      </rPr>
      <t xml:space="preserve">番</t>
    </r>
  </si>
  <si>
    <r>
      <rPr>
        <sz val="11"/>
        <color theme="1"/>
        <rFont val="Arial"/>
        <family val="0"/>
        <charset val="1"/>
      </rPr>
      <t xml:space="preserve">Eval 74</t>
    </r>
    <r>
      <rPr>
        <sz val="11"/>
        <color theme="1"/>
        <rFont val="Noto Sans"/>
        <family val="2"/>
      </rPr>
      <t xml:space="preserve">・事前区分：観察</t>
    </r>
  </si>
  <si>
    <r>
      <rPr>
        <sz val="11"/>
        <color theme="1"/>
        <rFont val="Noto Sans"/>
        <family val="2"/>
      </rPr>
      <t xml:space="preserve">未購入の観察記録。観察。事前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着、最終複勝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</si>
  <si>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番 クリスタルドレス</t>
    </r>
  </si>
  <si>
    <r>
      <rPr>
        <sz val="11"/>
        <color theme="1"/>
        <rFont val="Noto Sans"/>
        <family val="2"/>
      </rPr>
      <t xml:space="preserve">未購入の観察記録。観察。事前</t>
    </r>
    <r>
      <rPr>
        <sz val="11"/>
        <color theme="1"/>
        <rFont val="Arial"/>
        <family val="0"/>
        <charset val="1"/>
      </rPr>
      <t xml:space="preserve">1.1-1.1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着、最終複勝</t>
    </r>
    <r>
      <rPr>
        <sz val="11"/>
        <color theme="1"/>
        <rFont val="Arial"/>
        <family val="0"/>
        <charset val="1"/>
      </rPr>
      <t xml:space="preserve">1.1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</si>
  <si>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"/>
        <family val="2"/>
      </rPr>
      <t xml:space="preserve">番 インカルナータ</t>
    </r>
  </si>
  <si>
    <r>
      <rPr>
        <sz val="11"/>
        <color theme="1"/>
        <rFont val="Noto Sans"/>
        <family val="2"/>
      </rPr>
      <t xml:space="preserve">未購入の観察記録。本線。事前</t>
    </r>
    <r>
      <rPr>
        <sz val="11"/>
        <color theme="1"/>
        <rFont val="Arial"/>
        <family val="0"/>
        <charset val="1"/>
      </rPr>
      <t xml:space="preserve">1.6-2.4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9</t>
    </r>
    <r>
      <rPr>
        <sz val="11"/>
        <color theme="1"/>
        <rFont val="Noto Sans"/>
        <family val="2"/>
      </rPr>
      <t xml:space="preserve">着。レース中に逸走。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歳戦。</t>
    </r>
  </si>
  <si>
    <r>
      <rPr>
        <sz val="11"/>
        <color theme="1"/>
        <rFont val="Arial"/>
        <family val="0"/>
        <charset val="1"/>
      </rPr>
      <t xml:space="preserve">12</t>
    </r>
    <r>
      <rPr>
        <sz val="11"/>
        <color theme="1"/>
        <rFont val="Noto Sans"/>
        <family val="2"/>
      </rPr>
      <t xml:space="preserve">番 ノーセット</t>
    </r>
  </si>
  <si>
    <r>
      <rPr>
        <sz val="11"/>
        <color theme="1"/>
        <rFont val="Arial"/>
        <family val="0"/>
        <charset val="1"/>
      </rPr>
      <t xml:space="preserve">Eval 86</t>
    </r>
    <r>
      <rPr>
        <sz val="11"/>
        <color theme="1"/>
        <rFont val="Noto Sans"/>
        <family val="2"/>
      </rPr>
      <t xml:space="preserve">・事前区分：準本線</t>
    </r>
  </si>
  <si>
    <r>
      <rPr>
        <sz val="11"/>
        <color theme="1"/>
        <rFont val="Noto Sans"/>
        <family val="2"/>
      </rPr>
      <t xml:space="preserve">未購入の観察記録。準本線。事前</t>
    </r>
    <r>
      <rPr>
        <sz val="11"/>
        <color theme="1"/>
        <rFont val="Arial"/>
        <family val="0"/>
        <charset val="1"/>
      </rPr>
      <t xml:space="preserve">1.0-1.1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着、最終複勝</t>
    </r>
    <r>
      <rPr>
        <sz val="11"/>
        <color theme="1"/>
        <rFont val="Arial"/>
        <family val="0"/>
        <charset val="1"/>
      </rPr>
      <t xml:space="preserve">1.0</t>
    </r>
    <r>
      <rPr>
        <sz val="11"/>
        <color theme="1"/>
        <rFont val="Noto Sans"/>
        <family val="2"/>
      </rPr>
      <t xml:space="preserve">。</t>
    </r>
  </si>
  <si>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"/>
        <family val="2"/>
      </rPr>
      <t xml:space="preserve">番 ティアラード</t>
    </r>
  </si>
  <si>
    <r>
      <rPr>
        <sz val="11"/>
        <color theme="1"/>
        <rFont val="Arial"/>
        <family val="0"/>
        <charset val="1"/>
      </rPr>
      <t xml:space="preserve">Eval 81</t>
    </r>
    <r>
      <rPr>
        <sz val="11"/>
        <color theme="1"/>
        <rFont val="Noto Sans"/>
        <family val="2"/>
      </rPr>
      <t xml:space="preserve">・事前区分：観察</t>
    </r>
  </si>
  <si>
    <r>
      <rPr>
        <sz val="11"/>
        <color theme="1"/>
        <rFont val="Noto Sans"/>
        <family val="2"/>
      </rPr>
      <t xml:space="preserve">未購入の観察記録。観察。事前</t>
    </r>
    <r>
      <rPr>
        <sz val="11"/>
        <color theme="1"/>
        <rFont val="Arial"/>
        <family val="0"/>
        <charset val="1"/>
      </rPr>
      <t xml:space="preserve">1.1-1.3</t>
    </r>
    <r>
      <rPr>
        <sz val="11"/>
        <color theme="1"/>
        <rFont val="Noto Sans"/>
        <family val="2"/>
      </rPr>
      <t xml:space="preserve">、</t>
    </r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"/>
        <family val="2"/>
      </rPr>
      <t xml:space="preserve">着。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歳戦。</t>
    </r>
  </si>
  <si>
    <r>
      <rPr>
        <b val="true"/>
        <sz val="14"/>
        <color theme="1"/>
        <rFont val="Arial"/>
        <family val="0"/>
        <charset val="1"/>
      </rPr>
      <t xml:space="preserve">Eval</t>
    </r>
    <r>
      <rPr>
        <b val="true"/>
        <sz val="14"/>
        <color theme="1"/>
        <rFont val="Noto Sans"/>
        <family val="2"/>
      </rPr>
      <t xml:space="preserve">表 検証ダッシュボード</t>
    </r>
  </si>
  <si>
    <t xml:space="preserve">法則</t>
  </si>
  <si>
    <t xml:space="preserve">対象件数</t>
  </si>
  <si>
    <t xml:space="preserve">的中数</t>
  </si>
  <si>
    <t xml:space="preserve">的中率</t>
  </si>
  <si>
    <r>
      <rPr>
        <b val="true"/>
        <sz val="11"/>
        <color rgb="FF1E1E1E"/>
        <rFont val="Arial"/>
        <family val="0"/>
        <charset val="1"/>
      </rPr>
      <t xml:space="preserve">100</t>
    </r>
    <r>
      <rPr>
        <b val="true"/>
        <sz val="11"/>
        <color rgb="FF1E1E1E"/>
        <rFont val="Noto Sans"/>
        <family val="2"/>
      </rPr>
      <t xml:space="preserve">円均等投資</t>
    </r>
  </si>
  <si>
    <t xml:space="preserve">回収率</t>
  </si>
  <si>
    <r>
      <rPr>
        <b val="true"/>
        <sz val="11"/>
        <color theme="1"/>
        <rFont val="Noto Sans"/>
        <family val="2"/>
      </rPr>
      <t xml:space="preserve">上位</t>
    </r>
    <r>
      <rPr>
        <b val="true"/>
        <sz val="11"/>
        <color theme="1"/>
        <rFont val="Arial"/>
        <family val="0"/>
        <charset val="1"/>
      </rPr>
      <t xml:space="preserve">2</t>
    </r>
    <r>
      <rPr>
        <b val="true"/>
        <sz val="11"/>
        <color theme="1"/>
        <rFont val="Noto Sans"/>
        <family val="2"/>
      </rPr>
      <t xml:space="preserve">頭ワイド</t>
    </r>
  </si>
  <si>
    <t xml:space="preserve">実購入</t>
  </si>
  <si>
    <t xml:space="preserve">申告収支照合</t>
  </si>
  <si>
    <t xml:space="preserve">個別明細の自動計算と一致</t>
  </si>
  <si>
    <t xml:space="preserve">運用メモ</t>
  </si>
  <si>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表を根拠にした候補・購入のみ集計。</t>
    </r>
    <r>
      <rPr>
        <sz val="11"/>
        <color theme="1"/>
        <rFont val="Arial"/>
        <family val="0"/>
        <charset val="1"/>
      </rPr>
      <t xml:space="preserve">WIN5</t>
    </r>
    <r>
      <rPr>
        <sz val="11"/>
        <color theme="1"/>
        <rFont val="Noto Sans"/>
        <family val="2"/>
      </rPr>
      <t xml:space="preserve">、他アカウント、自分予想だけの馬券は対象外</t>
    </r>
  </si>
  <si>
    <t xml:space="preserve">新規検証条件（複勝）</t>
  </si>
  <si>
    <r>
      <rPr>
        <b val="true"/>
        <sz val="11"/>
        <color theme="1"/>
        <rFont val="Noto Sans"/>
        <family val="2"/>
      </rPr>
      <t xml:space="preserve">超高</t>
    </r>
    <r>
      <rPr>
        <b val="true"/>
        <sz val="11"/>
        <color theme="1"/>
        <rFont val="Arial"/>
        <family val="0"/>
        <charset val="1"/>
      </rPr>
      <t xml:space="preserve">Eval</t>
    </r>
  </si>
  <si>
    <r>
      <rPr>
        <b val="true"/>
        <sz val="11"/>
        <color theme="1"/>
        <rFont val="Arial"/>
        <family val="0"/>
        <charset val="1"/>
      </rPr>
      <t xml:space="preserve">Eval80</t>
    </r>
    <r>
      <rPr>
        <b val="true"/>
        <sz val="11"/>
        <color theme="1"/>
        <rFont val="Noto Sans"/>
        <family val="2"/>
      </rPr>
      <t xml:space="preserve">標準</t>
    </r>
  </si>
  <si>
    <r>
      <rPr>
        <b val="true"/>
        <sz val="11"/>
        <color theme="1"/>
        <rFont val="Arial"/>
        <family val="0"/>
        <charset val="1"/>
      </rPr>
      <t xml:space="preserve">Eval80</t>
    </r>
    <r>
      <rPr>
        <b val="true"/>
        <sz val="11"/>
        <color theme="1"/>
        <rFont val="Noto Sans"/>
        <family val="2"/>
      </rPr>
      <t xml:space="preserve">中差</t>
    </r>
  </si>
  <si>
    <r>
      <rPr>
        <b val="true"/>
        <sz val="11"/>
        <color theme="1"/>
        <rFont val="Arial"/>
        <family val="0"/>
        <charset val="1"/>
      </rPr>
      <t xml:space="preserve">Eval80</t>
    </r>
    <r>
      <rPr>
        <b val="true"/>
        <sz val="11"/>
        <color theme="1"/>
        <rFont val="Noto Sans"/>
        <family val="2"/>
      </rPr>
      <t xml:space="preserve">突出</t>
    </r>
  </si>
  <si>
    <r>
      <rPr>
        <b val="true"/>
        <sz val="11"/>
        <color theme="1"/>
        <rFont val="Arial"/>
        <family val="0"/>
        <charset val="1"/>
      </rPr>
      <t xml:space="preserve">70</t>
    </r>
    <r>
      <rPr>
        <b val="true"/>
        <sz val="11"/>
        <color theme="1"/>
        <rFont val="Noto Sans"/>
        <family val="2"/>
      </rPr>
      <t xml:space="preserve">台突出</t>
    </r>
  </si>
  <si>
    <r>
      <rPr>
        <b val="true"/>
        <sz val="11"/>
        <color theme="1"/>
        <rFont val="Arial"/>
        <family val="0"/>
        <charset val="1"/>
      </rPr>
      <t xml:space="preserve">1</t>
    </r>
    <r>
      <rPr>
        <b val="true"/>
        <sz val="11"/>
        <color theme="1"/>
        <rFont val="Noto Sans"/>
        <family val="2"/>
      </rPr>
      <t xml:space="preserve">位</t>
    </r>
    <r>
      <rPr>
        <b val="true"/>
        <sz val="11"/>
        <color theme="1"/>
        <rFont val="Arial"/>
        <family val="0"/>
        <charset val="1"/>
      </rPr>
      <t xml:space="preserve">-3</t>
    </r>
    <r>
      <rPr>
        <b val="true"/>
        <sz val="11"/>
        <color theme="1"/>
        <rFont val="Noto Sans"/>
        <family val="2"/>
      </rPr>
      <t xml:space="preserve">位断層型</t>
    </r>
  </si>
  <si>
    <r>
      <rPr>
        <b val="true"/>
        <sz val="11"/>
        <color theme="1"/>
        <rFont val="Noto Sans"/>
        <family val="2"/>
      </rPr>
      <t xml:space="preserve">少頭数高</t>
    </r>
    <r>
      <rPr>
        <b val="true"/>
        <sz val="11"/>
        <color theme="1"/>
        <rFont val="Arial"/>
        <family val="0"/>
        <charset val="1"/>
      </rPr>
      <t xml:space="preserve">Eval</t>
    </r>
  </si>
  <si>
    <r>
      <rPr>
        <b val="true"/>
        <sz val="11"/>
        <color theme="1"/>
        <rFont val="Arial"/>
        <family val="0"/>
        <charset val="1"/>
      </rPr>
      <t xml:space="preserve">1</t>
    </r>
    <r>
      <rPr>
        <b val="true"/>
        <sz val="11"/>
        <color theme="1"/>
        <rFont val="Noto Sans"/>
        <family val="2"/>
      </rPr>
      <t xml:space="preserve">位</t>
    </r>
    <r>
      <rPr>
        <b val="true"/>
        <sz val="11"/>
        <color theme="1"/>
        <rFont val="Arial"/>
        <family val="0"/>
        <charset val="1"/>
      </rPr>
      <t xml:space="preserve">Eval</t>
    </r>
    <r>
      <rPr>
        <b val="true"/>
        <sz val="11"/>
        <color theme="1"/>
        <rFont val="Noto Sans"/>
        <family val="2"/>
      </rPr>
      <t xml:space="preserve">帯別（複勝）</t>
    </r>
  </si>
  <si>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59</t>
    </r>
  </si>
  <si>
    <r>
      <rPr>
        <b val="true"/>
        <sz val="11"/>
        <color theme="1"/>
        <rFont val="Arial"/>
        <family val="0"/>
        <charset val="1"/>
      </rPr>
      <t xml:space="preserve">60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69</t>
    </r>
  </si>
  <si>
    <r>
      <rPr>
        <b val="true"/>
        <sz val="11"/>
        <color theme="1"/>
        <rFont val="Arial"/>
        <family val="0"/>
        <charset val="1"/>
      </rPr>
      <t xml:space="preserve">70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74</t>
    </r>
  </si>
  <si>
    <r>
      <rPr>
        <b val="true"/>
        <sz val="11"/>
        <color theme="1"/>
        <rFont val="Arial"/>
        <family val="0"/>
        <charset val="1"/>
      </rPr>
      <t xml:space="preserve">75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79</t>
    </r>
  </si>
  <si>
    <r>
      <rPr>
        <b val="true"/>
        <sz val="11"/>
        <color theme="1"/>
        <rFont val="Arial"/>
        <family val="0"/>
        <charset val="1"/>
      </rPr>
      <t xml:space="preserve">80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84</t>
    </r>
  </si>
  <si>
    <r>
      <rPr>
        <b val="true"/>
        <sz val="11"/>
        <color theme="1"/>
        <rFont val="Arial"/>
        <family val="0"/>
        <charset val="1"/>
      </rPr>
      <t xml:space="preserve">85</t>
    </r>
    <r>
      <rPr>
        <b val="true"/>
        <sz val="11"/>
        <color theme="1"/>
        <rFont val="Noto Sans"/>
        <family val="2"/>
      </rPr>
      <t xml:space="preserve">以上</t>
    </r>
  </si>
  <si>
    <r>
      <rPr>
        <b val="true"/>
        <sz val="11"/>
        <color theme="1"/>
        <rFont val="Arial"/>
        <family val="0"/>
        <charset val="1"/>
      </rPr>
      <t xml:space="preserve">1</t>
    </r>
    <r>
      <rPr>
        <b val="true"/>
        <sz val="11"/>
        <color theme="1"/>
        <rFont val="Noto Sans"/>
        <family val="2"/>
      </rPr>
      <t xml:space="preserve">位</t>
    </r>
    <r>
      <rPr>
        <b val="true"/>
        <sz val="11"/>
        <color theme="1"/>
        <rFont val="Arial"/>
        <family val="0"/>
        <charset val="1"/>
      </rPr>
      <t xml:space="preserve">-2</t>
    </r>
    <r>
      <rPr>
        <b val="true"/>
        <sz val="11"/>
        <color theme="1"/>
        <rFont val="Noto Sans"/>
        <family val="2"/>
      </rPr>
      <t xml:space="preserve">位差帯別（複勝）</t>
    </r>
  </si>
  <si>
    <r>
      <rPr>
        <b val="true"/>
        <sz val="11"/>
        <color theme="1"/>
        <rFont val="Arial"/>
        <family val="0"/>
        <charset val="1"/>
      </rPr>
      <t xml:space="preserve">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4</t>
    </r>
  </si>
  <si>
    <r>
      <rPr>
        <b val="true"/>
        <sz val="11"/>
        <color theme="1"/>
        <rFont val="Arial"/>
        <family val="0"/>
        <charset val="1"/>
      </rPr>
      <t xml:space="preserve">5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9</t>
    </r>
  </si>
  <si>
    <r>
      <rPr>
        <b val="true"/>
        <sz val="11"/>
        <color theme="1"/>
        <rFont val="Arial"/>
        <family val="0"/>
        <charset val="1"/>
      </rPr>
      <t xml:space="preserve">10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19</t>
    </r>
  </si>
  <si>
    <r>
      <rPr>
        <b val="true"/>
        <sz val="11"/>
        <color theme="1"/>
        <rFont val="Arial"/>
        <family val="0"/>
        <charset val="1"/>
      </rPr>
      <t xml:space="preserve">20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29</t>
    </r>
  </si>
  <si>
    <r>
      <rPr>
        <b val="true"/>
        <sz val="11"/>
        <color theme="1"/>
        <rFont val="Arial"/>
        <family val="0"/>
        <charset val="1"/>
      </rPr>
      <t xml:space="preserve">30</t>
    </r>
    <r>
      <rPr>
        <b val="true"/>
        <sz val="11"/>
        <color theme="1"/>
        <rFont val="Noto Sans"/>
        <family val="2"/>
      </rPr>
      <t xml:space="preserve">以上</t>
    </r>
  </si>
  <si>
    <r>
      <rPr>
        <b val="true"/>
        <sz val="11"/>
        <color theme="1"/>
        <rFont val="Arial"/>
        <family val="0"/>
        <charset val="1"/>
      </rPr>
      <t xml:space="preserve">1</t>
    </r>
    <r>
      <rPr>
        <b val="true"/>
        <sz val="11"/>
        <color theme="1"/>
        <rFont val="Noto Sans"/>
        <family val="2"/>
      </rPr>
      <t xml:space="preserve">位</t>
    </r>
    <r>
      <rPr>
        <b val="true"/>
        <sz val="11"/>
        <color theme="1"/>
        <rFont val="Arial"/>
        <family val="0"/>
        <charset val="1"/>
      </rPr>
      <t xml:space="preserve">-3</t>
    </r>
    <r>
      <rPr>
        <b val="true"/>
        <sz val="11"/>
        <color theme="1"/>
        <rFont val="Noto Sans"/>
        <family val="2"/>
      </rPr>
      <t xml:space="preserve">位差帯別（複勝）</t>
    </r>
  </si>
  <si>
    <r>
      <rPr>
        <b val="true"/>
        <sz val="11"/>
        <color theme="1"/>
        <rFont val="Arial"/>
        <family val="0"/>
        <charset val="1"/>
      </rPr>
      <t xml:space="preserve">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9</t>
    </r>
  </si>
  <si>
    <r>
      <rPr>
        <b val="true"/>
        <sz val="11"/>
        <color theme="1"/>
        <rFont val="Arial"/>
        <family val="0"/>
        <charset val="1"/>
      </rPr>
      <t xml:space="preserve">30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39</t>
    </r>
  </si>
  <si>
    <r>
      <rPr>
        <b val="true"/>
        <sz val="11"/>
        <color theme="1"/>
        <rFont val="Arial"/>
        <family val="0"/>
        <charset val="1"/>
      </rPr>
      <t xml:space="preserve">40</t>
    </r>
    <r>
      <rPr>
        <b val="true"/>
        <sz val="11"/>
        <color theme="1"/>
        <rFont val="Noto Sans"/>
        <family val="2"/>
      </rPr>
      <t xml:space="preserve">以上</t>
    </r>
  </si>
  <si>
    <t xml:space="preserve">頭数帯別（複勝）</t>
  </si>
  <si>
    <r>
      <rPr>
        <b val="true"/>
        <sz val="11"/>
        <color theme="1"/>
        <rFont val="Arial"/>
        <family val="0"/>
        <charset val="1"/>
      </rPr>
      <t xml:space="preserve">7</t>
    </r>
    <r>
      <rPr>
        <b val="true"/>
        <sz val="11"/>
        <color theme="1"/>
        <rFont val="Noto Sans"/>
        <family val="2"/>
      </rPr>
      <t xml:space="preserve">以下</t>
    </r>
  </si>
  <si>
    <r>
      <rPr>
        <b val="true"/>
        <sz val="11"/>
        <color theme="1"/>
        <rFont val="Arial"/>
        <family val="0"/>
        <charset val="1"/>
      </rPr>
      <t xml:space="preserve">8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11</t>
    </r>
  </si>
  <si>
    <r>
      <rPr>
        <b val="true"/>
        <sz val="11"/>
        <color theme="1"/>
        <rFont val="Arial"/>
        <family val="0"/>
        <charset val="1"/>
      </rPr>
      <t xml:space="preserve">12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14</t>
    </r>
  </si>
  <si>
    <r>
      <rPr>
        <b val="true"/>
        <sz val="11"/>
        <color theme="1"/>
        <rFont val="Arial"/>
        <family val="0"/>
        <charset val="1"/>
      </rPr>
      <t xml:space="preserve">15</t>
    </r>
    <r>
      <rPr>
        <b val="true"/>
        <sz val="11"/>
        <color theme="1"/>
        <rFont val="Noto Sans"/>
        <family val="2"/>
      </rPr>
      <t xml:space="preserve">以上</t>
    </r>
  </si>
  <si>
    <r>
      <rPr>
        <b val="true"/>
        <sz val="11"/>
        <color theme="1"/>
        <rFont val="Arial"/>
        <family val="0"/>
        <charset val="1"/>
      </rPr>
      <t xml:space="preserve">Eval</t>
    </r>
    <r>
      <rPr>
        <b val="true"/>
        <sz val="11"/>
        <color theme="1"/>
        <rFont val="Noto Sans"/>
        <family val="2"/>
      </rPr>
      <t xml:space="preserve">帯 </t>
    </r>
    <r>
      <rPr>
        <b val="true"/>
        <sz val="11"/>
        <color theme="1"/>
        <rFont val="Arial"/>
        <family val="0"/>
        <charset val="1"/>
      </rPr>
      <t xml:space="preserve">× </t>
    </r>
    <r>
      <rPr>
        <b val="true"/>
        <sz val="11"/>
        <color theme="1"/>
        <rFont val="Noto Sans"/>
        <family val="2"/>
      </rPr>
      <t xml:space="preserve">頭数帯（複勝）</t>
    </r>
  </si>
  <si>
    <r>
      <rPr>
        <b val="true"/>
        <sz val="11"/>
        <color theme="1"/>
        <rFont val="Arial"/>
        <family val="0"/>
        <charset val="1"/>
      </rPr>
      <t xml:space="preserve">Eval</t>
    </r>
    <r>
      <rPr>
        <b val="true"/>
        <sz val="11"/>
        <color theme="1"/>
        <rFont val="Noto Sans"/>
        <family val="2"/>
      </rPr>
      <t xml:space="preserve">帯 </t>
    </r>
    <r>
      <rPr>
        <b val="true"/>
        <sz val="11"/>
        <color theme="1"/>
        <rFont val="Arial"/>
        <family val="0"/>
        <charset val="1"/>
      </rPr>
      <t xml:space="preserve">× </t>
    </r>
    <r>
      <rPr>
        <b val="true"/>
        <sz val="11"/>
        <color theme="1"/>
        <rFont val="Noto Sans"/>
        <family val="2"/>
      </rPr>
      <t xml:space="preserve">最終複勝オッズ下限帯（複勝・欠損別枠）</t>
    </r>
  </si>
  <si>
    <r>
      <rPr>
        <b val="true"/>
        <sz val="11"/>
        <color rgb="FF1E1E1E"/>
        <rFont val="Arial"/>
        <family val="0"/>
        <charset val="1"/>
      </rPr>
      <t xml:space="preserve">Eval</t>
    </r>
    <r>
      <rPr>
        <b val="true"/>
        <sz val="11"/>
        <color rgb="FF1E1E1E"/>
        <rFont val="Noto Sans"/>
        <family val="2"/>
      </rPr>
      <t xml:space="preserve">帯</t>
    </r>
  </si>
  <si>
    <t xml:space="preserve">複勝オッズ帯</t>
  </si>
  <si>
    <r>
      <rPr>
        <b val="true"/>
        <sz val="11"/>
        <color theme="1"/>
        <rFont val="Arial"/>
        <family val="0"/>
        <charset val="1"/>
      </rPr>
      <t xml:space="preserve">1.0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1.1</t>
    </r>
  </si>
  <si>
    <t xml:space="preserve">1.2</t>
  </si>
  <si>
    <r>
      <rPr>
        <b val="true"/>
        <sz val="11"/>
        <color theme="1"/>
        <rFont val="Arial"/>
        <family val="0"/>
        <charset val="1"/>
      </rPr>
      <t xml:space="preserve">1.3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1.4</t>
    </r>
  </si>
  <si>
    <r>
      <rPr>
        <b val="true"/>
        <sz val="11"/>
        <color theme="1"/>
        <rFont val="Arial"/>
        <family val="0"/>
        <charset val="1"/>
      </rPr>
      <t xml:space="preserve">1.5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1.9</t>
    </r>
  </si>
  <si>
    <r>
      <rPr>
        <b val="true"/>
        <sz val="11"/>
        <color theme="1"/>
        <rFont val="Arial"/>
        <family val="0"/>
        <charset val="1"/>
      </rPr>
      <t xml:space="preserve">2.0</t>
    </r>
    <r>
      <rPr>
        <b val="true"/>
        <sz val="11"/>
        <color theme="1"/>
        <rFont val="Noto Sans"/>
        <family val="2"/>
      </rPr>
      <t xml:space="preserve">以上</t>
    </r>
  </si>
  <si>
    <t xml:space="preserve">欠損</t>
  </si>
  <si>
    <r>
      <rPr>
        <b val="true"/>
        <sz val="11"/>
        <color theme="1"/>
        <rFont val="Arial"/>
        <family val="0"/>
        <charset val="1"/>
      </rPr>
      <t xml:space="preserve">Eval</t>
    </r>
    <r>
      <rPr>
        <b val="true"/>
        <sz val="11"/>
        <color theme="1"/>
        <rFont val="Noto Sans"/>
        <family val="2"/>
      </rPr>
      <t xml:space="preserve">帯 </t>
    </r>
    <r>
      <rPr>
        <b val="true"/>
        <sz val="11"/>
        <color theme="1"/>
        <rFont val="Arial"/>
        <family val="0"/>
        <charset val="1"/>
      </rPr>
      <t xml:space="preserve">× </t>
    </r>
    <r>
      <rPr>
        <b val="true"/>
        <sz val="11"/>
        <color theme="1"/>
        <rFont val="Noto Sans"/>
        <family val="2"/>
      </rPr>
      <t xml:space="preserve">レース属性（備考明記分のみ）</t>
    </r>
  </si>
  <si>
    <t xml:space="preserve">判定根拠</t>
  </si>
  <si>
    <r>
      <rPr>
        <b val="true"/>
        <sz val="11"/>
        <color theme="1"/>
        <rFont val="Arial"/>
        <family val="0"/>
        <charset val="1"/>
      </rPr>
      <t xml:space="preserve">2</t>
    </r>
    <r>
      <rPr>
        <b val="true"/>
        <sz val="11"/>
        <color theme="1"/>
        <rFont val="Noto Sans"/>
        <family val="2"/>
      </rPr>
      <t xml:space="preserve">歳戦</t>
    </r>
  </si>
  <si>
    <t xml:space="preserve">備考に明記</t>
  </si>
  <si>
    <r>
      <rPr>
        <b val="true"/>
        <sz val="11"/>
        <color theme="1"/>
        <rFont val="Arial"/>
        <family val="0"/>
        <charset val="1"/>
      </rPr>
      <t xml:space="preserve">3</t>
    </r>
    <r>
      <rPr>
        <b val="true"/>
        <sz val="11"/>
        <color theme="1"/>
        <rFont val="Noto Sans"/>
        <family val="2"/>
      </rPr>
      <t xml:space="preserve">歳未勝利</t>
    </r>
  </si>
  <si>
    <r>
      <rPr>
        <b val="true"/>
        <sz val="11"/>
        <color theme="1"/>
        <rFont val="Noto Sans"/>
        <family val="2"/>
      </rPr>
      <t xml:space="preserve">重点：</t>
    </r>
    <r>
      <rPr>
        <b val="true"/>
        <sz val="11"/>
        <color theme="1"/>
        <rFont val="Arial"/>
        <family val="0"/>
        <charset val="1"/>
      </rPr>
      <t xml:space="preserve">Eval85</t>
    </r>
    <r>
      <rPr>
        <b val="true"/>
        <sz val="11"/>
        <color theme="1"/>
        <rFont val="Noto Sans"/>
        <family val="2"/>
      </rPr>
      <t xml:space="preserve">以上 </t>
    </r>
    <r>
      <rPr>
        <b val="true"/>
        <sz val="11"/>
        <color theme="1"/>
        <rFont val="Arial"/>
        <family val="0"/>
        <charset val="1"/>
      </rPr>
      <t xml:space="preserve">× </t>
    </r>
    <r>
      <rPr>
        <b val="true"/>
        <sz val="11"/>
        <color theme="1"/>
        <rFont val="Noto Sans"/>
        <family val="2"/>
      </rPr>
      <t xml:space="preserve">頭数帯</t>
    </r>
  </si>
  <si>
    <t xml:space="preserve">その他未勝利</t>
  </si>
  <si>
    <r>
      <rPr>
        <b val="true"/>
        <sz val="11"/>
        <color theme="1"/>
        <rFont val="Noto Sans"/>
        <family val="2"/>
      </rPr>
      <t xml:space="preserve">重点：</t>
    </r>
    <r>
      <rPr>
        <b val="true"/>
        <sz val="11"/>
        <color theme="1"/>
        <rFont val="Arial"/>
        <family val="0"/>
        <charset val="1"/>
      </rPr>
      <t xml:space="preserve">Eval85</t>
    </r>
    <r>
      <rPr>
        <b val="true"/>
        <sz val="11"/>
        <color theme="1"/>
        <rFont val="Noto Sans"/>
        <family val="2"/>
      </rPr>
      <t xml:space="preserve">以上 </t>
    </r>
    <r>
      <rPr>
        <b val="true"/>
        <sz val="11"/>
        <color theme="1"/>
        <rFont val="Arial"/>
        <family val="0"/>
        <charset val="1"/>
      </rPr>
      <t xml:space="preserve">× </t>
    </r>
    <r>
      <rPr>
        <b val="true"/>
        <sz val="11"/>
        <color theme="1"/>
        <rFont val="Noto Sans"/>
        <family val="2"/>
      </rPr>
      <t xml:space="preserve">複勝オッズ帯</t>
    </r>
  </si>
  <si>
    <t xml:space="preserve">古馬条件戦</t>
  </si>
  <si>
    <r>
      <rPr>
        <b val="true"/>
        <sz val="11"/>
        <color theme="1"/>
        <rFont val="Noto Sans"/>
        <family val="2"/>
      </rPr>
      <t xml:space="preserve">重点：</t>
    </r>
    <r>
      <rPr>
        <b val="true"/>
        <sz val="11"/>
        <color theme="1"/>
        <rFont val="Arial"/>
        <family val="0"/>
        <charset val="1"/>
      </rPr>
      <t xml:space="preserve">Eval80</t>
    </r>
    <r>
      <rPr>
        <b val="true"/>
        <sz val="11"/>
        <color theme="1"/>
        <rFont val="Noto Sans"/>
        <family val="2"/>
      </rPr>
      <t xml:space="preserve">～</t>
    </r>
    <r>
      <rPr>
        <b val="true"/>
        <sz val="11"/>
        <color theme="1"/>
        <rFont val="Arial"/>
        <family val="0"/>
        <charset val="1"/>
      </rPr>
      <t xml:space="preserve">84 × </t>
    </r>
    <r>
      <rPr>
        <b val="true"/>
        <sz val="11"/>
        <color theme="1"/>
        <rFont val="Noto Sans"/>
        <family val="2"/>
      </rPr>
      <t xml:space="preserve">複勝オッズ帯</t>
    </r>
  </si>
  <si>
    <r>
      <rPr>
        <b val="true"/>
        <sz val="11"/>
        <color theme="1"/>
        <rFont val="Noto Sans"/>
        <family val="2"/>
      </rPr>
      <t xml:space="preserve">重点：</t>
    </r>
    <r>
      <rPr>
        <b val="true"/>
        <sz val="11"/>
        <color theme="1"/>
        <rFont val="Arial"/>
        <family val="0"/>
        <charset val="1"/>
      </rPr>
      <t xml:space="preserve">Eval85</t>
    </r>
    <r>
      <rPr>
        <b val="true"/>
        <sz val="11"/>
        <color theme="1"/>
        <rFont val="Noto Sans"/>
        <family val="2"/>
      </rPr>
      <t xml:space="preserve">以上 </t>
    </r>
    <r>
      <rPr>
        <b val="true"/>
        <sz val="11"/>
        <color theme="1"/>
        <rFont val="Arial"/>
        <family val="0"/>
        <charset val="1"/>
      </rPr>
      <t xml:space="preserve">× </t>
    </r>
    <r>
      <rPr>
        <b val="true"/>
        <sz val="11"/>
        <color theme="1"/>
        <rFont val="Noto Sans"/>
        <family val="2"/>
      </rPr>
      <t xml:space="preserve">レース属性</t>
    </r>
  </si>
  <si>
    <t xml:space="preserve">重賞</t>
  </si>
  <si>
    <t xml:space="preserve">その他</t>
  </si>
  <si>
    <t xml:space="preserve">分類不能</t>
  </si>
  <si>
    <t xml:space="preserve">属性情報不足</t>
  </si>
  <si>
    <t xml:space="preserve">レース属性はレース分析の備考に明記される情報だけを分類。レース名・条件の専用列がない既存行は「分類不能」として集計し、推測分類は行いません。</t>
  </si>
  <si>
    <r>
      <rPr>
        <b val="true"/>
        <sz val="11"/>
        <color rgb="FFFFFFFF"/>
        <rFont val="Cambria"/>
        <family val="0"/>
        <charset val="1"/>
      </rPr>
      <t xml:space="preserve">JRDB</t>
    </r>
    <r>
      <rPr>
        <b val="true"/>
        <sz val="11"/>
        <color rgb="FFFFFFFF"/>
        <rFont val="Noto Sans"/>
        <family val="2"/>
      </rPr>
      <t xml:space="preserve">属性結合・条件別集計（</t>
    </r>
    <r>
      <rPr>
        <b val="true"/>
        <sz val="11"/>
        <color rgb="FFFFFFFF"/>
        <rFont val="Cambria"/>
        <family val="0"/>
        <charset val="1"/>
      </rPr>
      <t xml:space="preserve">2026/05/02</t>
    </r>
    <r>
      <rPr>
        <b val="true"/>
        <sz val="11"/>
        <color rgb="FFFFFFFF"/>
        <rFont val="Noto Sans"/>
        <family val="2"/>
      </rPr>
      <t xml:space="preserve">～</t>
    </r>
    <r>
      <rPr>
        <b val="true"/>
        <sz val="11"/>
        <color rgb="FFFFFFFF"/>
        <rFont val="Cambria"/>
        <family val="0"/>
        <charset val="1"/>
      </rPr>
      <t xml:space="preserve">2026/08/23</t>
    </r>
    <r>
      <rPr>
        <b val="true"/>
        <sz val="11"/>
        <color rgb="FFFFFFFF"/>
        <rFont val="Noto Sans"/>
        <family val="2"/>
      </rPr>
      <t xml:space="preserve">）</t>
    </r>
  </si>
  <si>
    <r>
      <rPr>
        <b val="true"/>
        <sz val="11"/>
        <color rgb="FFFFFFFF"/>
        <rFont val="Noto Sans"/>
        <family val="2"/>
      </rPr>
      <t xml:space="preserve">重点比較：</t>
    </r>
    <r>
      <rPr>
        <b val="true"/>
        <sz val="11"/>
        <color rgb="FFFFFFFF"/>
        <rFont val="Cambria"/>
        <family val="0"/>
        <charset val="1"/>
      </rPr>
      <t xml:space="preserve">Eval85</t>
    </r>
    <r>
      <rPr>
        <b val="true"/>
        <sz val="11"/>
        <color rgb="FFFFFFFF"/>
        <rFont val="Noto Sans"/>
        <family val="2"/>
      </rPr>
      <t xml:space="preserve">以上 と </t>
    </r>
    <r>
      <rPr>
        <b val="true"/>
        <sz val="11"/>
        <color rgb="FFFFFFFF"/>
        <rFont val="Cambria"/>
        <family val="0"/>
        <charset val="1"/>
      </rPr>
      <t xml:space="preserve">Eval80</t>
    </r>
    <r>
      <rPr>
        <b val="true"/>
        <sz val="11"/>
        <color rgb="FFFFFFFF"/>
        <rFont val="Noto Sans"/>
        <family val="2"/>
      </rPr>
      <t xml:space="preserve">～</t>
    </r>
    <r>
      <rPr>
        <b val="true"/>
        <sz val="11"/>
        <color rgb="FFFFFFFF"/>
        <rFont val="Cambria"/>
        <family val="0"/>
        <charset val="1"/>
      </rPr>
      <t xml:space="preserve">84</t>
    </r>
  </si>
  <si>
    <r>
      <rPr>
        <b val="true"/>
        <sz val="11"/>
        <rFont val="Cambria"/>
        <family val="0"/>
        <charset val="1"/>
      </rPr>
      <t xml:space="preserve">JRDB</t>
    </r>
    <r>
      <rPr>
        <b val="true"/>
        <sz val="11"/>
        <rFont val="Noto Sans"/>
        <family val="2"/>
      </rPr>
      <t xml:space="preserve">結合監査</t>
    </r>
  </si>
  <si>
    <r>
      <rPr>
        <sz val="10"/>
        <color rgb="FF000000"/>
        <rFont val="Arial"/>
        <family val="0"/>
        <charset val="1"/>
      </rPr>
      <t xml:space="preserve">Eval</t>
    </r>
    <r>
      <rPr>
        <sz val="10"/>
        <color rgb="FF000000"/>
        <rFont val="Noto Sans"/>
        <family val="2"/>
      </rPr>
      <t xml:space="preserve">レース数</t>
    </r>
  </si>
  <si>
    <t xml:space="preserve">レース分析の一意キー数</t>
  </si>
  <si>
    <r>
      <rPr>
        <sz val="10"/>
        <color rgb="FF000000"/>
        <rFont val="Arial"/>
        <family val="0"/>
        <charset val="1"/>
      </rPr>
      <t xml:space="preserve">JRDB CSV</t>
    </r>
    <r>
      <rPr>
        <sz val="10"/>
        <color rgb="FF000000"/>
        <rFont val="Noto Sans"/>
        <family val="2"/>
      </rPr>
      <t xml:space="preserve">レース数</t>
    </r>
  </si>
  <si>
    <r>
      <rPr>
        <sz val="10"/>
        <color rgb="FF000000"/>
        <rFont val="Arial"/>
        <family val="0"/>
        <charset val="1"/>
      </rPr>
      <t xml:space="preserve">Eval</t>
    </r>
    <r>
      <rPr>
        <sz val="10"/>
        <color rgb="FF000000"/>
        <rFont val="Noto Sans"/>
        <family val="2"/>
      </rPr>
      <t xml:space="preserve">専用</t>
    </r>
    <r>
      <rPr>
        <sz val="10"/>
        <color rgb="FF000000"/>
        <rFont val="Arial"/>
        <family val="0"/>
        <charset val="1"/>
      </rPr>
      <t xml:space="preserve">JRDB CSV</t>
    </r>
    <r>
      <rPr>
        <sz val="10"/>
        <color rgb="FF000000"/>
        <rFont val="Noto Sans"/>
        <family val="2"/>
      </rPr>
      <t xml:space="preserve">の一意キー数</t>
    </r>
  </si>
  <si>
    <t xml:space="preserve">正常結合件数</t>
  </si>
  <si>
    <t xml:space="preserve">頭数一致を含む正常結合</t>
  </si>
  <si>
    <t xml:space="preserve">未結合件数</t>
  </si>
  <si>
    <t xml:space="preserve">推測補完なし</t>
  </si>
  <si>
    <t xml:space="preserve">重複結合件数</t>
  </si>
  <si>
    <r>
      <rPr>
        <sz val="10"/>
        <color rgb="FF000000"/>
        <rFont val="Arial"/>
        <family val="0"/>
        <charset val="1"/>
      </rPr>
      <t xml:space="preserve">Eval</t>
    </r>
    <r>
      <rPr>
        <sz val="10"/>
        <color rgb="FF000000"/>
        <rFont val="Noto Sans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JRDB</t>
    </r>
    <r>
      <rPr>
        <sz val="10"/>
        <color rgb="FF000000"/>
        <rFont val="Noto Sans"/>
        <family val="2"/>
      </rPr>
      <t xml:space="preserve">ともにキー重複なし</t>
    </r>
  </si>
  <si>
    <r>
      <rPr>
        <sz val="10"/>
        <color rgb="FF000000"/>
        <rFont val="Noto Sans"/>
        <family val="2"/>
      </rPr>
      <t xml:space="preserve">開催日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"/>
        <family val="2"/>
      </rPr>
      <t xml:space="preserve">場</t>
    </r>
    <r>
      <rPr>
        <sz val="10"/>
        <color rgb="FF000000"/>
        <rFont val="Arial"/>
        <family val="0"/>
        <charset val="1"/>
      </rPr>
      <t xml:space="preserve">/R</t>
    </r>
    <r>
      <rPr>
        <sz val="10"/>
        <color rgb="FF000000"/>
        <rFont val="Noto Sans"/>
        <family val="2"/>
      </rPr>
      <t xml:space="preserve">不一致</t>
    </r>
  </si>
  <si>
    <t xml:space="preserve">結合キー監査済み</t>
  </si>
  <si>
    <r>
      <rPr>
        <sz val="10"/>
        <color rgb="FF000000"/>
        <rFont val="Noto Sans"/>
        <family val="2"/>
      </rPr>
      <t xml:space="preserve">既存頭数と</t>
    </r>
    <r>
      <rPr>
        <sz val="10"/>
        <color rgb="FF000000"/>
        <rFont val="Arial"/>
        <family val="0"/>
        <charset val="1"/>
      </rPr>
      <t xml:space="preserve">declared_field_size</t>
    </r>
    <r>
      <rPr>
        <sz val="10"/>
        <color rgb="FF000000"/>
        <rFont val="Noto Sans"/>
        <family val="2"/>
      </rPr>
      <t xml:space="preserve">の不一致</t>
    </r>
  </si>
  <si>
    <t xml:space="preserve">不一致は推測修正しない</t>
  </si>
  <si>
    <r>
      <rPr>
        <b val="true"/>
        <sz val="11"/>
        <color rgb="FFFFFFFF"/>
        <rFont val="Cambria"/>
        <family val="0"/>
        <charset val="1"/>
      </rPr>
      <t xml:space="preserve">JRDB</t>
    </r>
    <r>
      <rPr>
        <b val="true"/>
        <sz val="11"/>
        <color rgb="FFFFFFFF"/>
        <rFont val="Noto Sans"/>
        <family val="2"/>
      </rPr>
      <t xml:space="preserve">条件別集計（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"/>
        <family val="2"/>
      </rPr>
      <t xml:space="preserve">位</t>
    </r>
    <r>
      <rPr>
        <b val="true"/>
        <sz val="11"/>
        <color rgb="FFFFFFFF"/>
        <rFont val="Cambria"/>
        <family val="0"/>
        <charset val="1"/>
      </rPr>
      <t xml:space="preserve">Eval</t>
    </r>
    <r>
      <rPr>
        <b val="true"/>
        <sz val="11"/>
        <color rgb="FFFFFFFF"/>
        <rFont val="Noto Sans"/>
        <family val="2"/>
      </rPr>
      <t xml:space="preserve">帯：</t>
    </r>
    <r>
      <rPr>
        <b val="true"/>
        <sz val="11"/>
        <color rgb="FFFFFFFF"/>
        <rFont val="Cambria"/>
        <family val="0"/>
        <charset val="1"/>
      </rPr>
      <t xml:space="preserve">80</t>
    </r>
    <r>
      <rPr>
        <b val="true"/>
        <sz val="11"/>
        <color rgb="FFFFFFFF"/>
        <rFont val="Noto Sans"/>
        <family val="2"/>
      </rPr>
      <t xml:space="preserve">～</t>
    </r>
    <r>
      <rPr>
        <b val="true"/>
        <sz val="11"/>
        <color rgb="FFFFFFFF"/>
        <rFont val="Cambria"/>
        <family val="0"/>
        <charset val="1"/>
      </rPr>
      <t xml:space="preserve">84 / 85</t>
    </r>
    <r>
      <rPr>
        <b val="true"/>
        <sz val="11"/>
        <color rgb="FFFFFFFF"/>
        <rFont val="Noto Sans"/>
        <family val="2"/>
      </rPr>
      <t xml:space="preserve">以上）</t>
    </r>
  </si>
  <si>
    <t xml:space="preserve">分析軸</t>
  </si>
  <si>
    <t xml:space="preserve">条件</t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</si>
  <si>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"/>
        <family val="2"/>
      </rPr>
      <t xml:space="preserve">位</t>
    </r>
    <r>
      <rPr>
        <b val="true"/>
        <sz val="11"/>
        <rFont val="Cambria"/>
        <family val="0"/>
        <charset val="1"/>
      </rPr>
      <t xml:space="preserve">Eval</t>
    </r>
    <r>
      <rPr>
        <b val="true"/>
        <sz val="11"/>
        <rFont val="Noto Sans"/>
        <family val="2"/>
      </rPr>
      <t xml:space="preserve">帯</t>
    </r>
  </si>
  <si>
    <r>
      <rPr>
        <b val="true"/>
        <sz val="11"/>
        <rFont val="Cambria"/>
        <family val="0"/>
        <charset val="1"/>
      </rPr>
      <t xml:space="preserve">100</t>
    </r>
    <r>
      <rPr>
        <b val="true"/>
        <sz val="11"/>
        <rFont val="Noto Sans"/>
        <family val="2"/>
      </rPr>
      <t xml:space="preserve">円均等投資</t>
    </r>
  </si>
  <si>
    <t xml:space="preserve">複勝払戻合計</t>
  </si>
  <si>
    <t xml:space="preserve">母数</t>
  </si>
  <si>
    <r>
      <rPr>
        <b val="true"/>
        <sz val="11"/>
        <rFont val="Cambria"/>
        <family val="0"/>
        <charset val="1"/>
      </rPr>
      <t xml:space="preserve">80</t>
    </r>
    <r>
      <rPr>
        <b val="true"/>
        <sz val="11"/>
        <rFont val="Noto Sans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84 </t>
    </r>
    <r>
      <rPr>
        <b val="true"/>
        <sz val="11"/>
        <rFont val="Noto Sans"/>
        <family val="2"/>
      </rPr>
      <t xml:space="preserve">件数</t>
    </r>
  </si>
  <si>
    <r>
      <rPr>
        <b val="true"/>
        <sz val="11"/>
        <rFont val="Cambria"/>
        <family val="0"/>
        <charset val="1"/>
      </rPr>
      <t xml:space="preserve">80</t>
    </r>
    <r>
      <rPr>
        <b val="true"/>
        <sz val="11"/>
        <rFont val="Noto Sans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84 </t>
    </r>
    <r>
      <rPr>
        <b val="true"/>
        <sz val="11"/>
        <rFont val="Noto Sans"/>
        <family val="2"/>
      </rPr>
      <t xml:space="preserve">回収率</t>
    </r>
  </si>
  <si>
    <r>
      <rPr>
        <b val="true"/>
        <sz val="11"/>
        <rFont val="Cambria"/>
        <family val="0"/>
        <charset val="1"/>
      </rPr>
      <t xml:space="preserve">85</t>
    </r>
    <r>
      <rPr>
        <b val="true"/>
        <sz val="11"/>
        <rFont val="Noto Sans"/>
        <family val="2"/>
      </rPr>
      <t xml:space="preserve">以上 件数</t>
    </r>
  </si>
  <si>
    <r>
      <rPr>
        <b val="true"/>
        <sz val="11"/>
        <rFont val="Cambria"/>
        <family val="0"/>
        <charset val="1"/>
      </rPr>
      <t xml:space="preserve">85</t>
    </r>
    <r>
      <rPr>
        <b val="true"/>
        <sz val="11"/>
        <rFont val="Noto Sans"/>
        <family val="2"/>
      </rPr>
      <t xml:space="preserve">以上 回収率</t>
    </r>
  </si>
  <si>
    <t xml:space="preserve">年齢条件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</si>
  <si>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"/>
        <family val="2"/>
      </rPr>
      <t xml:space="preserve">歳</t>
    </r>
  </si>
  <si>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Noto Sans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84</t>
    </r>
  </si>
  <si>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"/>
        <family val="2"/>
      </rPr>
      <t xml:space="preserve">以上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</si>
  <si>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"/>
        <family val="2"/>
      </rPr>
      <t xml:space="preserve">歳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</si>
  <si>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"/>
        <family val="2"/>
      </rPr>
      <t xml:space="preserve">歳以上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</si>
  <si>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"/>
        <family val="2"/>
      </rPr>
      <t xml:space="preserve">歳以上</t>
    </r>
  </si>
  <si>
    <t xml:space="preserve">クラス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</si>
  <si>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"/>
        <family val="2"/>
      </rPr>
      <t xml:space="preserve">勝クラス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</si>
  <si>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"/>
        <family val="2"/>
      </rPr>
      <t xml:space="preserve">勝クラス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</si>
  <si>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"/>
        <family val="2"/>
      </rPr>
      <t xml:space="preserve">勝クラス</t>
    </r>
  </si>
  <si>
    <t xml:space="preserve">グレード</t>
  </si>
  <si>
    <t xml:space="preserve">その他重賞</t>
  </si>
  <si>
    <t xml:space="preserve">芝ダート</t>
  </si>
  <si>
    <t xml:space="preserve">距離帯</t>
  </si>
  <si>
    <r>
      <rPr>
        <sz val="10"/>
        <color rgb="FF000000"/>
        <rFont val="Noto Sans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1200</t>
    </r>
  </si>
  <si>
    <r>
      <rPr>
        <sz val="10"/>
        <color rgb="FF000000"/>
        <rFont val="Arial"/>
        <family val="0"/>
        <charset val="1"/>
      </rPr>
      <t xml:space="preserve">1300</t>
    </r>
    <r>
      <rPr>
        <sz val="10"/>
        <color rgb="FF000000"/>
        <rFont val="Noto Sans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1500</t>
    </r>
  </si>
  <si>
    <t xml:space="preserve">1600</t>
  </si>
  <si>
    <r>
      <rPr>
        <sz val="10"/>
        <color rgb="FF000000"/>
        <rFont val="Arial"/>
        <family val="0"/>
        <charset val="1"/>
      </rPr>
      <t xml:space="preserve">1700</t>
    </r>
    <r>
      <rPr>
        <sz val="10"/>
        <color rgb="FF000000"/>
        <rFont val="Noto Sans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1800</t>
    </r>
  </si>
  <si>
    <r>
      <rPr>
        <sz val="10"/>
        <color rgb="FF000000"/>
        <rFont val="Arial"/>
        <family val="0"/>
        <charset val="1"/>
      </rPr>
      <t xml:space="preserve">1900</t>
    </r>
    <r>
      <rPr>
        <sz val="10"/>
        <color rgb="FF000000"/>
        <rFont val="Noto Sans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2000</t>
    </r>
  </si>
  <si>
    <r>
      <rPr>
        <sz val="10"/>
        <color rgb="FF000000"/>
        <rFont val="Arial"/>
        <family val="0"/>
        <charset val="1"/>
      </rPr>
      <t xml:space="preserve">2100</t>
    </r>
    <r>
      <rPr>
        <sz val="10"/>
        <color rgb="FF000000"/>
        <rFont val="Noto Sans"/>
        <family val="2"/>
      </rPr>
      <t xml:space="preserve">以上</t>
    </r>
  </si>
  <si>
    <t xml:space="preserve">馬場状態</t>
  </si>
  <si>
    <t xml:space="preserve">性別条件</t>
  </si>
  <si>
    <t xml:space="preserve">重量条件</t>
  </si>
  <si>
    <r>
      <rPr>
        <b val="true"/>
        <sz val="11"/>
        <color rgb="FFFFFFFF"/>
        <rFont val="Arial"/>
        <family val="0"/>
        <charset val="1"/>
      </rPr>
      <t xml:space="preserve">Eval85</t>
    </r>
    <r>
      <rPr>
        <b val="true"/>
        <sz val="11"/>
        <color rgb="FFFFFFFF"/>
        <rFont val="Noto Sans"/>
        <family val="2"/>
      </rPr>
      <t xml:space="preserve">以上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Noto Sans"/>
        <family val="2"/>
      </rPr>
      <t xml:space="preserve">正確な頭数（複勝）</t>
    </r>
  </si>
  <si>
    <t xml:space="preserve">複勝内件数</t>
  </si>
  <si>
    <r>
      <rPr>
        <b val="true"/>
        <sz val="10"/>
        <color rgb="FF000000"/>
        <rFont val="Arial"/>
        <family val="0"/>
        <charset val="1"/>
      </rPr>
      <t xml:space="preserve">100</t>
    </r>
    <r>
      <rPr>
        <b val="true"/>
        <sz val="10"/>
        <color rgb="FF000000"/>
        <rFont val="Noto Sans"/>
        <family val="2"/>
      </rPr>
      <t xml:space="preserve">円均等投資額</t>
    </r>
  </si>
  <si>
    <t xml:space="preserve">母数注記</t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</si>
  <si>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"/>
        <family val="2"/>
      </rPr>
      <t xml:space="preserve">頭以下</t>
    </r>
  </si>
  <si>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</si>
  <si>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</si>
  <si>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</si>
  <si>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</si>
  <si>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</si>
  <si>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</si>
  <si>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</si>
  <si>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</si>
  <si>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</si>
  <si>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"/>
        <family val="2"/>
      </rPr>
      <t xml:space="preserve">頭</t>
    </r>
  </si>
  <si>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"/>
        <family val="2"/>
      </rPr>
      <t xml:space="preserve">頭以上</t>
    </r>
  </si>
  <si>
    <r>
      <rPr>
        <b val="true"/>
        <sz val="11"/>
        <color rgb="FFFFFFFF"/>
        <rFont val="Arial"/>
        <family val="0"/>
        <charset val="1"/>
      </rPr>
      <t xml:space="preserve">Eval85</t>
    </r>
    <r>
      <rPr>
        <b val="true"/>
        <sz val="11"/>
        <color rgb="FFFFFFFF"/>
        <rFont val="Noto Sans"/>
        <family val="2"/>
      </rPr>
      <t xml:space="preserve">以上 </t>
    </r>
    <r>
      <rPr>
        <b val="true"/>
        <sz val="11"/>
        <color rgb="FFFFFFFF"/>
        <rFont val="Arial"/>
        <family val="0"/>
        <charset val="1"/>
      </rPr>
      <t xml:space="preserve">× 12</t>
    </r>
    <r>
      <rPr>
        <b val="true"/>
        <sz val="11"/>
        <color rgb="FFFFFFFF"/>
        <rFont val="Noto Sans"/>
        <family val="2"/>
      </rPr>
      <t xml:space="preserve">頭立て比較（複勝）</t>
    </r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</si>
  <si>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"/>
        <family val="2"/>
      </rPr>
      <t xml:space="preserve">頭以外</t>
    </r>
  </si>
  <si>
    <r>
      <rPr>
        <b val="true"/>
        <sz val="11"/>
        <color rgb="FFFFFFFF"/>
        <rFont val="Arial"/>
        <family val="0"/>
        <charset val="1"/>
      </rPr>
      <t xml:space="preserve">Eval85</t>
    </r>
    <r>
      <rPr>
        <b val="true"/>
        <sz val="11"/>
        <color rgb="FFFFFFFF"/>
        <rFont val="Noto Sans"/>
        <family val="2"/>
      </rPr>
      <t xml:space="preserve">以上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Noto Sans"/>
        <family val="2"/>
      </rPr>
      <t xml:space="preserve">重量条件 </t>
    </r>
    <r>
      <rPr>
        <b val="true"/>
        <sz val="11"/>
        <color rgb="FFFFFFFF"/>
        <rFont val="Arial"/>
        <family val="0"/>
        <charset val="1"/>
      </rPr>
      <t xml:space="preserve">× 12</t>
    </r>
    <r>
      <rPr>
        <b val="true"/>
        <sz val="11"/>
        <color rgb="FFFFFFFF"/>
        <rFont val="Noto Sans"/>
        <family val="2"/>
      </rPr>
      <t xml:space="preserve">頭</t>
    </r>
    <r>
      <rPr>
        <b val="true"/>
        <sz val="11"/>
        <color rgb="FFFFFFFF"/>
        <rFont val="Arial"/>
        <family val="0"/>
        <charset val="1"/>
      </rPr>
      <t xml:space="preserve">/12</t>
    </r>
    <r>
      <rPr>
        <b val="true"/>
        <sz val="11"/>
        <color rgb="FFFFFFFF"/>
        <rFont val="Noto Sans"/>
        <family val="2"/>
      </rPr>
      <t xml:space="preserve">頭以外（複勝）</t>
    </r>
  </si>
  <si>
    <t xml:space="preserve">頭数区分</t>
  </si>
  <si>
    <t xml:space="preserve">投資額</t>
  </si>
  <si>
    <r>
      <rPr>
        <b val="true"/>
        <sz val="11"/>
        <color rgb="FFFFFFFF"/>
        <rFont val="Arial"/>
        <family val="0"/>
        <charset val="1"/>
      </rPr>
      <t xml:space="preserve">Eval85</t>
    </r>
    <r>
      <rPr>
        <b val="true"/>
        <sz val="11"/>
        <color rgb="FFFFFFFF"/>
        <rFont val="Noto Sans"/>
        <family val="2"/>
      </rPr>
      <t xml:space="preserve">以上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Noto Sans"/>
        <family val="2"/>
      </rPr>
      <t xml:space="preserve">年齢条件 </t>
    </r>
    <r>
      <rPr>
        <b val="true"/>
        <sz val="11"/>
        <color rgb="FFFFFFFF"/>
        <rFont val="Arial"/>
        <family val="0"/>
        <charset val="1"/>
      </rPr>
      <t xml:space="preserve">× 12</t>
    </r>
    <r>
      <rPr>
        <b val="true"/>
        <sz val="11"/>
        <color rgb="FFFFFFFF"/>
        <rFont val="Noto Sans"/>
        <family val="2"/>
      </rPr>
      <t xml:space="preserve">頭</t>
    </r>
    <r>
      <rPr>
        <b val="true"/>
        <sz val="11"/>
        <color rgb="FFFFFFFF"/>
        <rFont val="Arial"/>
        <family val="0"/>
        <charset val="1"/>
      </rPr>
      <t xml:space="preserve">/12</t>
    </r>
    <r>
      <rPr>
        <b val="true"/>
        <sz val="11"/>
        <color rgb="FFFFFFFF"/>
        <rFont val="Noto Sans"/>
        <family val="2"/>
      </rPr>
      <t xml:space="preserve">頭以外（複勝）</t>
    </r>
  </si>
  <si>
    <r>
      <rPr>
        <b val="true"/>
        <sz val="11"/>
        <color rgb="FFFFFFFF"/>
        <rFont val="Arial"/>
        <family val="0"/>
        <charset val="1"/>
      </rPr>
      <t xml:space="preserve">Eval80</t>
    </r>
    <r>
      <rPr>
        <b val="true"/>
        <sz val="11"/>
        <color rgb="FFFFFFFF"/>
        <rFont val="Noto Sans"/>
        <family val="2"/>
      </rPr>
      <t xml:space="preserve">～</t>
    </r>
    <r>
      <rPr>
        <b val="true"/>
        <sz val="11"/>
        <color rgb="FFFFFFFF"/>
        <rFont val="Arial"/>
        <family val="0"/>
        <charset val="1"/>
      </rPr>
      <t xml:space="preserve">84 × 12</t>
    </r>
    <r>
      <rPr>
        <b val="true"/>
        <sz val="11"/>
        <color rgb="FFFFFFFF"/>
        <rFont val="Noto Sans"/>
        <family val="2"/>
      </rPr>
      <t xml:space="preserve">頭立て比較（複勝）</t>
    </r>
  </si>
  <si>
    <r>
      <rPr>
        <b val="true"/>
        <sz val="11"/>
        <color rgb="FFFFFFFF"/>
        <rFont val="Arial"/>
        <family val="0"/>
        <charset val="1"/>
      </rPr>
      <t xml:space="preserve">Eval85</t>
    </r>
    <r>
      <rPr>
        <b val="true"/>
        <sz val="11"/>
        <color rgb="FFFFFFFF"/>
        <rFont val="Noto Sans"/>
        <family val="2"/>
      </rPr>
      <t xml:space="preserve">以上 </t>
    </r>
    <r>
      <rPr>
        <b val="true"/>
        <sz val="11"/>
        <color rgb="FFFFFFFF"/>
        <rFont val="Arial"/>
        <family val="0"/>
        <charset val="1"/>
      </rPr>
      <t xml:space="preserve">× 12</t>
    </r>
    <r>
      <rPr>
        <b val="true"/>
        <sz val="11"/>
        <color rgb="FFFFFFFF"/>
        <rFont val="Noto Sans"/>
        <family val="2"/>
      </rPr>
      <t xml:space="preserve">頭立て複勝圏外（現行データ抽出・既知</t>
    </r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"/>
        <family val="2"/>
      </rPr>
      <t xml:space="preserve">件監査）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</si>
  <si>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"/>
        <family val="2"/>
      </rPr>
      <t xml:space="preserve">位馬名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</si>
  <si>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"/>
        <family val="2"/>
      </rPr>
      <t xml:space="preserve">位</t>
    </r>
    <r>
      <rPr>
        <sz val="10"/>
        <color rgb="FF000000"/>
        <rFont val="Arial"/>
        <family val="0"/>
        <charset val="1"/>
      </rPr>
      <t xml:space="preserve">Eval</t>
    </r>
  </si>
  <si>
    <t xml:space="preserve">複勝払戻</t>
  </si>
  <si>
    <t xml:space="preserve">監査</t>
  </si>
  <si>
    <r>
      <rPr>
        <sz val="10"/>
        <color rgb="FF000000"/>
        <rFont val="Noto Sans"/>
        <family val="2"/>
      </rPr>
      <t xml:space="preserve">監査注記：上記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"/>
        <family val="2"/>
      </rPr>
      <t xml:space="preserve">件は既知の</t>
    </r>
    <r>
      <rPr>
        <sz val="10"/>
        <color rgb="FF000000"/>
        <rFont val="Arial"/>
        <family val="0"/>
        <charset val="1"/>
      </rPr>
      <t xml:space="preserve">Eval85</t>
    </r>
    <r>
      <rPr>
        <sz val="10"/>
        <color rgb="FF000000"/>
        <rFont val="Noto Sans"/>
        <family val="2"/>
      </rPr>
      <t xml:space="preserve">以上・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"/>
        <family val="2"/>
      </rPr>
      <t xml:space="preserve">頭立て複勝圏外レースと照合。頭数はレース分析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JRDB declared_field_size</t>
    </r>
    <r>
      <rPr>
        <sz val="10"/>
        <color rgb="FF000000"/>
        <rFont val="Noto Sans"/>
        <family val="2"/>
      </rPr>
      <t xml:space="preserve">は同シート列 </t>
    </r>
    <r>
      <rPr>
        <sz val="10"/>
        <color rgb="FF000000"/>
        <rFont val="Arial"/>
        <family val="0"/>
        <charset val="1"/>
      </rPr>
      <t xml:space="preserve">BI </t>
    </r>
    <r>
      <rPr>
        <sz val="10"/>
        <color rgb="FF000000"/>
        <rFont val="Noto Sans"/>
        <family val="2"/>
      </rPr>
      <t xml:space="preserve">を別管理し、補正していません。</t>
    </r>
  </si>
  <si>
    <t xml:space="preserve">パラメータ</t>
  </si>
  <si>
    <t xml:space="preserve">値</t>
  </si>
  <si>
    <t xml:space="preserve">状態</t>
  </si>
  <si>
    <t xml:space="preserve">説明</t>
  </si>
  <si>
    <r>
      <rPr>
        <sz val="11"/>
        <color theme="1"/>
        <rFont val="Noto Sans"/>
        <family val="2"/>
      </rPr>
      <t xml:space="preserve">高信頼</t>
    </r>
    <r>
      <rPr>
        <sz val="11"/>
        <color theme="1"/>
        <rFont val="Arial"/>
        <family val="0"/>
        <charset val="1"/>
      </rPr>
      <t xml:space="preserve">_1</t>
    </r>
    <r>
      <rPr>
        <sz val="11"/>
        <color theme="1"/>
        <rFont val="Noto Sans"/>
        <family val="2"/>
      </rPr>
      <t xml:space="preserve">位率</t>
    </r>
  </si>
  <si>
    <t xml:space="preserve">暫定仮説</t>
  </si>
  <si>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位率がこの値以上なら高信頼複勝候補</t>
    </r>
  </si>
  <si>
    <r>
      <rPr>
        <sz val="11"/>
        <color theme="1"/>
        <rFont val="Noto Sans"/>
        <family val="2"/>
      </rPr>
      <t xml:space="preserve">独走</t>
    </r>
    <r>
      <rPr>
        <sz val="11"/>
        <color theme="1"/>
        <rFont val="Arial"/>
        <family val="0"/>
        <charset val="1"/>
      </rPr>
      <t xml:space="preserve">_1</t>
    </r>
    <r>
      <rPr>
        <sz val="11"/>
        <color theme="1"/>
        <rFont val="Noto Sans"/>
        <family val="2"/>
      </rPr>
      <t xml:space="preserve">位率</t>
    </r>
  </si>
  <si>
    <r>
      <rPr>
        <sz val="11"/>
        <color theme="1"/>
        <rFont val="Noto Sans"/>
        <family val="2"/>
      </rPr>
      <t xml:space="preserve">独走複勝候補に必要な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位率</t>
    </r>
  </si>
  <si>
    <r>
      <rPr>
        <sz val="11"/>
        <color theme="1"/>
        <rFont val="Noto Sans"/>
        <family val="2"/>
      </rPr>
      <t xml:space="preserve">独走</t>
    </r>
    <r>
      <rPr>
        <sz val="11"/>
        <color theme="1"/>
        <rFont val="Arial"/>
        <family val="0"/>
        <charset val="1"/>
      </rPr>
      <t xml:space="preserve">_1</t>
    </r>
    <r>
      <rPr>
        <sz val="11"/>
        <color theme="1"/>
        <rFont val="Noto Sans"/>
        <family val="2"/>
      </rPr>
      <t xml:space="preserve">位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位差</t>
    </r>
  </si>
  <si>
    <r>
      <rPr>
        <sz val="11"/>
        <color theme="1"/>
        <rFont val="Noto Sans"/>
        <family val="2"/>
      </rPr>
      <t xml:space="preserve">独走複勝候補に必要な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位と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位の差</t>
    </r>
  </si>
  <si>
    <r>
      <rPr>
        <sz val="11"/>
        <color theme="1"/>
        <rFont val="Noto Sans"/>
        <family val="2"/>
      </rPr>
      <t xml:space="preserve">ワイド</t>
    </r>
    <r>
      <rPr>
        <sz val="11"/>
        <color theme="1"/>
        <rFont val="Arial"/>
        <family val="0"/>
        <charset val="1"/>
      </rPr>
      <t xml:space="preserve">_1</t>
    </r>
    <r>
      <rPr>
        <sz val="11"/>
        <color theme="1"/>
        <rFont val="Noto Sans"/>
        <family val="2"/>
      </rPr>
      <t xml:space="preserve">位率</t>
    </r>
  </si>
  <si>
    <r>
      <rPr>
        <sz val="11"/>
        <color theme="1"/>
        <rFont val="Noto Sans"/>
        <family val="2"/>
      </rPr>
      <t xml:space="preserve">上位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頭ワイド候補に必要な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位率</t>
    </r>
  </si>
  <si>
    <r>
      <rPr>
        <sz val="11"/>
        <color theme="1"/>
        <rFont val="Noto Sans"/>
        <family val="2"/>
      </rPr>
      <t xml:space="preserve">ワイド</t>
    </r>
    <r>
      <rPr>
        <sz val="11"/>
        <color theme="1"/>
        <rFont val="Arial"/>
        <family val="0"/>
        <charset val="1"/>
      </rPr>
      <t xml:space="preserve">_2</t>
    </r>
    <r>
      <rPr>
        <sz val="11"/>
        <color theme="1"/>
        <rFont val="Noto Sans"/>
        <family val="2"/>
      </rPr>
      <t xml:space="preserve">位率</t>
    </r>
  </si>
  <si>
    <r>
      <rPr>
        <sz val="11"/>
        <color theme="1"/>
        <rFont val="Noto Sans"/>
        <family val="2"/>
      </rPr>
      <t xml:space="preserve">上位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頭ワイド候補に必要な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位率</t>
    </r>
  </si>
  <si>
    <r>
      <rPr>
        <sz val="11"/>
        <color theme="1"/>
        <rFont val="Noto Sans"/>
        <family val="2"/>
      </rPr>
      <t xml:space="preserve">ワイド</t>
    </r>
    <r>
      <rPr>
        <sz val="11"/>
        <color theme="1"/>
        <rFont val="Arial"/>
        <family val="0"/>
        <charset val="1"/>
      </rPr>
      <t xml:space="preserve">_2</t>
    </r>
    <r>
      <rPr>
        <sz val="11"/>
        <color theme="1"/>
        <rFont val="Noto Sans"/>
        <family val="2"/>
      </rPr>
      <t xml:space="preserve">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位差</t>
    </r>
  </si>
  <si>
    <r>
      <rPr>
        <sz val="11"/>
        <color theme="1"/>
        <rFont val="Noto Sans"/>
        <family val="2"/>
      </rPr>
      <t xml:space="preserve">上位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頭ワイド候補に必要な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位と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位の差</t>
    </r>
  </si>
  <si>
    <r>
      <rPr>
        <sz val="11"/>
        <color theme="1"/>
        <rFont val="Noto Sans"/>
        <family val="2"/>
      </rPr>
      <t xml:space="preserve">超高</t>
    </r>
    <r>
      <rPr>
        <sz val="11"/>
        <color theme="1"/>
        <rFont val="Arial"/>
        <family val="0"/>
        <charset val="1"/>
      </rPr>
      <t xml:space="preserve">Eval_1</t>
    </r>
    <r>
      <rPr>
        <sz val="11"/>
        <color theme="1"/>
        <rFont val="Noto Sans"/>
        <family val="2"/>
      </rPr>
      <t xml:space="preserve">位率</t>
    </r>
  </si>
  <si>
    <t xml:space="preserve">検証追加</t>
  </si>
  <si>
    <r>
      <rPr>
        <sz val="11"/>
        <color theme="1"/>
        <rFont val="Noto Sans"/>
        <family val="2"/>
      </rPr>
      <t xml:space="preserve">超高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の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位率下限</t>
    </r>
  </si>
  <si>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標準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"/>
        <family val="2"/>
      </rPr>
      <t xml:space="preserve">最小頭数</t>
    </r>
  </si>
  <si>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標準の最小頭数</t>
    </r>
  </si>
  <si>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中差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"/>
        <family val="2"/>
      </rPr>
      <t xml:space="preserve">下限</t>
    </r>
  </si>
  <si>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中差の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</t>
    </r>
    <r>
      <rPr>
        <sz val="11"/>
        <color theme="1"/>
        <rFont val="Arial"/>
        <family val="0"/>
        <charset val="1"/>
      </rPr>
      <t xml:space="preserve">-2</t>
    </r>
    <r>
      <rPr>
        <sz val="11"/>
        <color theme="1"/>
        <rFont val="Noto Sans"/>
        <family val="2"/>
      </rPr>
      <t xml:space="preserve">位差下限</t>
    </r>
  </si>
  <si>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中差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"/>
        <family val="2"/>
      </rPr>
      <t xml:space="preserve">上限</t>
    </r>
  </si>
  <si>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中差の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</t>
    </r>
    <r>
      <rPr>
        <sz val="11"/>
        <color theme="1"/>
        <rFont val="Arial"/>
        <family val="0"/>
        <charset val="1"/>
      </rPr>
      <t xml:space="preserve">-2</t>
    </r>
    <r>
      <rPr>
        <sz val="11"/>
        <color theme="1"/>
        <rFont val="Noto Sans"/>
        <family val="2"/>
      </rPr>
      <t xml:space="preserve">位差上限</t>
    </r>
  </si>
  <si>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突出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"/>
        <family val="2"/>
      </rPr>
      <t xml:space="preserve">差</t>
    </r>
  </si>
  <si>
    <r>
      <rPr>
        <sz val="11"/>
        <color theme="1"/>
        <rFont val="Arial"/>
        <family val="0"/>
        <charset val="1"/>
      </rPr>
      <t xml:space="preserve">Eval80</t>
    </r>
    <r>
      <rPr>
        <sz val="11"/>
        <color theme="1"/>
        <rFont val="Noto Sans"/>
        <family val="2"/>
      </rPr>
      <t xml:space="preserve">突出・</t>
    </r>
    <r>
      <rPr>
        <sz val="11"/>
        <color theme="1"/>
        <rFont val="Arial"/>
        <family val="0"/>
        <charset val="1"/>
      </rPr>
      <t xml:space="preserve">70</t>
    </r>
    <r>
      <rPr>
        <sz val="11"/>
        <color theme="1"/>
        <rFont val="Noto Sans"/>
        <family val="2"/>
      </rPr>
      <t xml:space="preserve">台突出の差下限</t>
    </r>
  </si>
  <si>
    <r>
      <rPr>
        <sz val="11"/>
        <color theme="1"/>
        <rFont val="Arial"/>
        <family val="0"/>
        <charset val="1"/>
      </rPr>
      <t xml:space="preserve">70</t>
    </r>
    <r>
      <rPr>
        <sz val="11"/>
        <color theme="1"/>
        <rFont val="Noto Sans"/>
        <family val="2"/>
      </rPr>
      <t xml:space="preserve">台突出</t>
    </r>
    <r>
      <rPr>
        <sz val="11"/>
        <color theme="1"/>
        <rFont val="Arial"/>
        <family val="0"/>
        <charset val="1"/>
      </rPr>
      <t xml:space="preserve">_1</t>
    </r>
    <r>
      <rPr>
        <sz val="11"/>
        <color theme="1"/>
        <rFont val="Noto Sans"/>
        <family val="2"/>
      </rPr>
      <t xml:space="preserve">位率下限</t>
    </r>
  </si>
  <si>
    <r>
      <rPr>
        <sz val="11"/>
        <color theme="1"/>
        <rFont val="Arial"/>
        <family val="0"/>
        <charset val="1"/>
      </rPr>
      <t xml:space="preserve">70</t>
    </r>
    <r>
      <rPr>
        <sz val="11"/>
        <color theme="1"/>
        <rFont val="Noto Sans"/>
        <family val="2"/>
      </rPr>
      <t xml:space="preserve">台突出の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位率下限</t>
    </r>
  </si>
  <si>
    <r>
      <rPr>
        <sz val="11"/>
        <color theme="1"/>
        <rFont val="Arial"/>
        <family val="0"/>
        <charset val="1"/>
      </rPr>
      <t xml:space="preserve">70</t>
    </r>
    <r>
      <rPr>
        <sz val="11"/>
        <color theme="1"/>
        <rFont val="Noto Sans"/>
        <family val="2"/>
      </rPr>
      <t xml:space="preserve">台突出</t>
    </r>
    <r>
      <rPr>
        <sz val="11"/>
        <color theme="1"/>
        <rFont val="Arial"/>
        <family val="0"/>
        <charset val="1"/>
      </rPr>
      <t xml:space="preserve">_1</t>
    </r>
    <r>
      <rPr>
        <sz val="11"/>
        <color theme="1"/>
        <rFont val="Noto Sans"/>
        <family val="2"/>
      </rPr>
      <t xml:space="preserve">位率上限</t>
    </r>
  </si>
  <si>
    <r>
      <rPr>
        <sz val="11"/>
        <color theme="1"/>
        <rFont val="Arial"/>
        <family val="0"/>
        <charset val="1"/>
      </rPr>
      <t xml:space="preserve">70</t>
    </r>
    <r>
      <rPr>
        <sz val="11"/>
        <color theme="1"/>
        <rFont val="Noto Sans"/>
        <family val="2"/>
      </rPr>
      <t xml:space="preserve">台突出の</t>
    </r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位率上限</t>
    </r>
  </si>
  <si>
    <r>
      <rPr>
        <sz val="11"/>
        <color theme="1"/>
        <rFont val="Noto Sans"/>
        <family val="2"/>
      </rPr>
      <t xml:space="preserve">上位集中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"/>
        <family val="2"/>
      </rPr>
      <t xml:space="preserve">上位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頭合計</t>
    </r>
  </si>
  <si>
    <r>
      <rPr>
        <sz val="11"/>
        <color theme="1"/>
        <rFont val="Noto Sans"/>
        <family val="2"/>
      </rPr>
      <t xml:space="preserve">上位集中型の上位</t>
    </r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"/>
        <family val="2"/>
      </rPr>
      <t xml:space="preserve">頭合計下限</t>
    </r>
  </si>
  <si>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</t>
    </r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"/>
        <family val="2"/>
      </rPr>
      <t xml:space="preserve">位断層</t>
    </r>
    <r>
      <rPr>
        <sz val="11"/>
        <color theme="1"/>
        <rFont val="Arial"/>
        <family val="0"/>
        <charset val="1"/>
      </rPr>
      <t xml:space="preserve">_</t>
    </r>
    <r>
      <rPr>
        <sz val="11"/>
        <color theme="1"/>
        <rFont val="Noto Sans"/>
        <family val="2"/>
      </rPr>
      <t xml:space="preserve">差</t>
    </r>
  </si>
  <si>
    <r>
      <rPr>
        <sz val="11"/>
        <color theme="1"/>
        <rFont val="Arial"/>
        <family val="0"/>
        <charset val="1"/>
      </rPr>
      <t xml:space="preserve">1</t>
    </r>
    <r>
      <rPr>
        <sz val="11"/>
        <color theme="1"/>
        <rFont val="Noto Sans"/>
        <family val="2"/>
      </rPr>
      <t xml:space="preserve">位</t>
    </r>
    <r>
      <rPr>
        <sz val="11"/>
        <color theme="1"/>
        <rFont val="Arial"/>
        <family val="0"/>
        <charset val="1"/>
      </rPr>
      <t xml:space="preserve">-3</t>
    </r>
    <r>
      <rPr>
        <sz val="11"/>
        <color theme="1"/>
        <rFont val="Noto Sans"/>
        <family val="2"/>
      </rPr>
      <t xml:space="preserve">位断層型の差下限</t>
    </r>
  </si>
  <si>
    <r>
      <rPr>
        <sz val="11"/>
        <color theme="1"/>
        <rFont val="Noto Sans"/>
        <family val="2"/>
      </rPr>
      <t xml:space="preserve">少頭数高</t>
    </r>
    <r>
      <rPr>
        <sz val="11"/>
        <color theme="1"/>
        <rFont val="Arial"/>
        <family val="0"/>
        <charset val="1"/>
      </rPr>
      <t xml:space="preserve">Eval_</t>
    </r>
    <r>
      <rPr>
        <sz val="11"/>
        <color theme="1"/>
        <rFont val="Noto Sans"/>
        <family val="2"/>
      </rPr>
      <t xml:space="preserve">最大頭数</t>
    </r>
  </si>
  <si>
    <r>
      <rPr>
        <sz val="11"/>
        <color theme="1"/>
        <rFont val="Noto Sans"/>
        <family val="2"/>
      </rPr>
      <t xml:space="preserve">少頭数高</t>
    </r>
    <r>
      <rPr>
        <sz val="11"/>
        <color theme="1"/>
        <rFont val="Arial"/>
        <family val="0"/>
        <charset val="1"/>
      </rPr>
      <t xml:space="preserve">Eval</t>
    </r>
    <r>
      <rPr>
        <sz val="11"/>
        <color theme="1"/>
        <rFont val="Noto Sans"/>
        <family val="2"/>
      </rPr>
      <t xml:space="preserve">の最大頭数</t>
    </r>
  </si>
  <si>
    <t xml:space="preserve">異常区分</t>
  </si>
  <si>
    <t xml:space="preserve">対象シート</t>
  </si>
  <si>
    <t xml:space="preserve">行番号</t>
  </si>
  <si>
    <t xml:space="preserve">現在値・詳細</t>
  </si>
  <si>
    <t xml:space="preserve">扱い</t>
  </si>
  <si>
    <t xml:space="preserve">レース分析行</t>
  </si>
  <si>
    <t xml:space="preserve">取込状態</t>
  </si>
  <si>
    <t xml:space="preserve">2026/08/15</t>
  </si>
  <si>
    <t xml:space="preserve">部分取込</t>
  </si>
  <si>
    <r>
      <rPr>
        <sz val="11"/>
        <color theme="1"/>
        <rFont val="Noto Sans"/>
        <family val="2"/>
      </rPr>
      <t xml:space="preserve">候補馬のみの取込のため、頭数</t>
    </r>
    <r>
      <rPr>
        <sz val="11"/>
        <color theme="1"/>
        <rFont val="Arial"/>
        <family val="0"/>
        <charset val="1"/>
      </rPr>
      <t xml:space="preserve">0</t>
    </r>
    <r>
      <rPr>
        <sz val="11"/>
        <color theme="1"/>
        <rFont val="Noto Sans"/>
        <family val="2"/>
      </rPr>
      <t xml:space="preserve">は異常対象外</t>
    </r>
  </si>
  <si>
    <t xml:space="preserve">2026/08/16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</si>
</sst>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yyyy/m/d"/>
    <numFmt numFmtId="171" formatCode="yyyy/mm/dd"/>
    <numFmt numFmtId="172" formatCode="\¥#,##0"/>
    <numFmt numFmtId="173" formatCode="0.0\倍"/>
    <numFmt numFmtId="174" formatCode="0.0%"/>
    <numFmt numFmtId="175" formatCode="#,##0"/>
  </numFmts>
  <fonts count="2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E1E1E"/>
      <name val="Noto Sans"/>
      <family val="2"/>
    </font>
    <font>
      <b val="true"/>
      <sz val="11"/>
      <color rgb="FF1E1E1E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Noto Sans"/>
      <family val="2"/>
    </font>
    <font>
      <sz val="10"/>
      <name val="Noto Sans"/>
      <family val="2"/>
    </font>
    <font>
      <b val="true"/>
      <sz val="14"/>
      <color theme="1"/>
      <name val="Arial"/>
      <family val="0"/>
      <charset val="1"/>
    </font>
    <font>
      <b val="true"/>
      <sz val="14"/>
      <color theme="1"/>
      <name val="Noto Sans"/>
      <family val="2"/>
    </font>
    <font>
      <b val="true"/>
      <sz val="11"/>
      <color theme="1"/>
      <name val="Noto Sans"/>
      <family val="2"/>
    </font>
    <font>
      <b val="true"/>
      <sz val="11"/>
      <color theme="1"/>
      <name val="Arial"/>
      <family val="0"/>
      <charset val="1"/>
    </font>
    <font>
      <b val="true"/>
      <sz val="11"/>
      <color rgb="FF197233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"/>
      <family val="2"/>
    </font>
    <font>
      <b val="true"/>
      <sz val="11"/>
      <name val="Cambria"/>
      <family val="0"/>
      <charset val="1"/>
    </font>
    <font>
      <b val="true"/>
      <sz val="11"/>
      <name val="Noto Sans"/>
      <family val="2"/>
    </font>
    <font>
      <sz val="10"/>
      <color rgb="FF000000"/>
      <name val="Noto Sans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Noto Sans"/>
      <family val="2"/>
    </font>
    <font>
      <b val="true"/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5E8ED"/>
        <bgColor rgb="FFE0EDF9"/>
      </patternFill>
    </fill>
    <fill>
      <patternFill patternType="solid">
        <fgColor rgb="FFE0EDF9"/>
        <bgColor rgb="FFD9EAF7"/>
      </patternFill>
    </fill>
    <fill>
      <patternFill patternType="solid">
        <fgColor rgb="FFF2F4F9"/>
        <bgColor rgb="FFEAF3F8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E0EDF9"/>
      </patternFill>
    </fill>
    <fill>
      <patternFill patternType="solid">
        <fgColor rgb="FFEAF3F8"/>
        <bgColor rgb="FFF2F4F9"/>
      </patternFill>
    </fill>
    <fill>
      <patternFill patternType="solid">
        <fgColor rgb="FFD9E2F3"/>
        <bgColor rgb="FFD9EAF7"/>
      </patternFill>
    </fill>
    <fill>
      <patternFill patternType="solid">
        <fgColor rgb="FFFFFFFF"/>
        <bgColor rgb="FFF2F4F9"/>
      </patternFill>
    </fill>
    <fill>
      <patternFill patternType="solid">
        <fgColor rgb="FFD8D8D8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0" xfId="2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8" fillId="0" borderId="0" xfId="2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8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8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" fillId="7" borderId="1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7" borderId="1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1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1" xfId="24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8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8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9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5" fillId="9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5" fillId="9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9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5" fillId="9" borderId="1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2">
    <dxf>
      <font>
        <b val="1"/>
        <color rgb="FF19662D"/>
      </font>
      <fill>
        <patternFill>
          <bgColor rgb="FFD8F2DD"/>
        </patternFill>
      </fill>
    </dxf>
    <dxf>
      <font>
        <color rgb="FFA51E1E"/>
      </font>
      <fill>
        <patternFill>
          <bgColor rgb="FFF9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7233"/>
      <rgbColor rgb="FF000080"/>
      <rgbColor rgb="FF808000"/>
      <rgbColor rgb="FF800080"/>
      <rgbColor rgb="FF19662D"/>
      <rgbColor rgb="FFD9E2F3"/>
      <rgbColor rgb="FF808080"/>
      <rgbColor rgb="FF9999FF"/>
      <rgbColor rgb="FF993366"/>
      <rgbColor rgb="FFF2F4F9"/>
      <rgbColor rgb="FFE0EDF9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D8F2DD"/>
      <rgbColor rgb="FFEAF3F8"/>
      <rgbColor rgb="FFE5E8ED"/>
      <rgbColor rgb="FFFF99CC"/>
      <rgbColor rgb="FFCC99FF"/>
      <rgbColor rgb="FFF9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51E1E"/>
      <rgbColor rgb="FF993366"/>
      <rgbColor rgb="FF1F4E78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9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9.38"/>
    <col collapsed="false" customWidth="true" hidden="false" outlineLevel="0" max="2" min="2" style="0" width="5.52"/>
    <col collapsed="false" customWidth="true" hidden="false" outlineLevel="0" max="3" min="3" style="0" width="4.5"/>
    <col collapsed="false" customWidth="true" hidden="false" outlineLevel="0" max="4" min="4" style="0" width="4.88"/>
    <col collapsed="false" customWidth="true" hidden="false" outlineLevel="0" max="5" min="5" style="0" width="22.63"/>
    <col collapsed="false" customWidth="true" hidden="false" outlineLevel="0" max="6" min="6" style="0" width="11.63"/>
    <col collapsed="false" customWidth="true" hidden="false" outlineLevel="0" max="7" min="7" style="0" width="7.88"/>
    <col collapsed="false" customWidth="true" hidden="false" outlineLevel="0" max="8" min="8" style="0" width="4.88"/>
    <col collapsed="false" customWidth="true" hidden="false" outlineLevel="0" max="9" min="9" style="0" width="5.75"/>
    <col collapsed="false" customWidth="true" hidden="false" outlineLevel="0" max="10" min="10" style="0" width="8.13"/>
    <col collapsed="false" customWidth="true" hidden="false" outlineLevel="0" max="12" min="11" style="0" width="9.88"/>
    <col collapsed="false" customWidth="true" hidden="false" outlineLevel="0" max="13" min="13" style="0" width="27.63"/>
  </cols>
  <sheetData>
    <row r="1" customFormat="false" ht="27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.75" hidden="false" customHeight="false" outlineLevel="0" collapsed="false">
      <c r="A2" s="3" t="n">
        <v>46228</v>
      </c>
      <c r="B2" s="4" t="s">
        <v>13</v>
      </c>
      <c r="C2" s="4" t="n">
        <v>1</v>
      </c>
      <c r="D2" s="4" t="n">
        <v>1</v>
      </c>
      <c r="E2" s="4" t="s">
        <v>14</v>
      </c>
      <c r="F2" s="4" t="n">
        <v>34</v>
      </c>
      <c r="G2" s="4" t="n">
        <v>4</v>
      </c>
      <c r="H2" s="4" t="n">
        <v>4</v>
      </c>
      <c r="I2" s="4" t="str">
        <f aca="false" t="array" ref="I2:I16977">IF(A2:A16977="","",IF(ISNUMBER(H2:H16977),IF(H2:H16977&lt;=3,"○","×"),""))</f>
        <v>×</v>
      </c>
      <c r="J2" s="4"/>
      <c r="K2" s="4"/>
      <c r="L2" s="4"/>
      <c r="M2" s="5" t="s">
        <v>15</v>
      </c>
    </row>
    <row r="3" customFormat="false" ht="15.75" hidden="false" customHeight="false" outlineLevel="0" collapsed="false">
      <c r="A3" s="3" t="n">
        <v>46228</v>
      </c>
      <c r="B3" s="4" t="s">
        <v>13</v>
      </c>
      <c r="C3" s="4" t="n">
        <v>1</v>
      </c>
      <c r="D3" s="4" t="n">
        <v>2</v>
      </c>
      <c r="E3" s="4" t="s">
        <v>16</v>
      </c>
      <c r="F3" s="4" t="n">
        <v>31</v>
      </c>
      <c r="G3" s="4" t="n">
        <v>5</v>
      </c>
      <c r="H3" s="4" t="n">
        <v>2</v>
      </c>
      <c r="I3" s="4" t="str">
        <v>○</v>
      </c>
      <c r="J3" s="4" t="n">
        <v>120</v>
      </c>
      <c r="K3" s="4"/>
      <c r="L3" s="4"/>
      <c r="M3" s="5" t="s">
        <v>15</v>
      </c>
    </row>
    <row r="4" customFormat="false" ht="15.75" hidden="false" customHeight="false" outlineLevel="0" collapsed="false">
      <c r="A4" s="3" t="n">
        <v>46228</v>
      </c>
      <c r="B4" s="4" t="s">
        <v>13</v>
      </c>
      <c r="C4" s="4" t="n">
        <v>1</v>
      </c>
      <c r="D4" s="4" t="n">
        <v>3</v>
      </c>
      <c r="E4" s="4" t="s">
        <v>17</v>
      </c>
      <c r="F4" s="4" t="n">
        <v>31</v>
      </c>
      <c r="G4" s="4" t="n">
        <v>5</v>
      </c>
      <c r="H4" s="4" t="n">
        <v>4</v>
      </c>
      <c r="I4" s="4" t="str">
        <v>×</v>
      </c>
      <c r="J4" s="4"/>
      <c r="K4" s="4"/>
      <c r="L4" s="4"/>
      <c r="M4" s="5" t="s">
        <v>15</v>
      </c>
    </row>
    <row r="5" customFormat="false" ht="15.75" hidden="false" customHeight="false" outlineLevel="0" collapsed="false">
      <c r="A5" s="3" t="n">
        <v>46228</v>
      </c>
      <c r="B5" s="4" t="s">
        <v>13</v>
      </c>
      <c r="C5" s="4" t="n">
        <v>1</v>
      </c>
      <c r="D5" s="4" t="n">
        <v>4</v>
      </c>
      <c r="E5" s="4" t="s">
        <v>18</v>
      </c>
      <c r="F5" s="4" t="n">
        <v>37</v>
      </c>
      <c r="G5" s="4" t="n">
        <v>3</v>
      </c>
      <c r="H5" s="4" t="n">
        <v>4</v>
      </c>
      <c r="I5" s="4" t="str">
        <v>×</v>
      </c>
      <c r="J5" s="4"/>
      <c r="K5" s="4"/>
      <c r="L5" s="4"/>
      <c r="M5" s="5" t="s">
        <v>15</v>
      </c>
    </row>
    <row r="6" customFormat="false" ht="15.75" hidden="false" customHeight="false" outlineLevel="0" collapsed="false">
      <c r="A6" s="3" t="n">
        <v>46228</v>
      </c>
      <c r="B6" s="4" t="s">
        <v>13</v>
      </c>
      <c r="C6" s="4" t="n">
        <v>1</v>
      </c>
      <c r="D6" s="4" t="n">
        <v>5</v>
      </c>
      <c r="E6" s="4" t="s">
        <v>19</v>
      </c>
      <c r="F6" s="4" t="n">
        <v>6</v>
      </c>
      <c r="G6" s="4" t="n">
        <v>10</v>
      </c>
      <c r="H6" s="4" t="n">
        <v>4</v>
      </c>
      <c r="I6" s="4" t="str">
        <v>×</v>
      </c>
      <c r="J6" s="4"/>
      <c r="K6" s="4"/>
      <c r="L6" s="4"/>
      <c r="M6" s="5" t="s">
        <v>15</v>
      </c>
    </row>
    <row r="7" customFormat="false" ht="15.75" hidden="false" customHeight="false" outlineLevel="0" collapsed="false">
      <c r="A7" s="3" t="n">
        <v>46228</v>
      </c>
      <c r="B7" s="4" t="s">
        <v>13</v>
      </c>
      <c r="C7" s="4" t="n">
        <v>1</v>
      </c>
      <c r="D7" s="4" t="n">
        <v>6</v>
      </c>
      <c r="E7" s="4" t="s">
        <v>20</v>
      </c>
      <c r="F7" s="4" t="n">
        <v>13</v>
      </c>
      <c r="G7" s="4" t="n">
        <v>8</v>
      </c>
      <c r="H7" s="4" t="n">
        <v>4</v>
      </c>
      <c r="I7" s="4" t="str">
        <v>×</v>
      </c>
      <c r="J7" s="4"/>
      <c r="K7" s="4"/>
      <c r="L7" s="4"/>
      <c r="M7" s="5" t="s">
        <v>15</v>
      </c>
    </row>
    <row r="8" customFormat="false" ht="15.75" hidden="false" customHeight="false" outlineLevel="0" collapsed="false">
      <c r="A8" s="3" t="n">
        <v>46228</v>
      </c>
      <c r="B8" s="4" t="s">
        <v>13</v>
      </c>
      <c r="C8" s="4" t="n">
        <v>1</v>
      </c>
      <c r="D8" s="4" t="n">
        <v>7</v>
      </c>
      <c r="E8" s="4" t="s">
        <v>21</v>
      </c>
      <c r="F8" s="4" t="n">
        <v>44</v>
      </c>
      <c r="G8" s="4" t="n">
        <v>2</v>
      </c>
      <c r="H8" s="4" t="n">
        <v>3</v>
      </c>
      <c r="I8" s="4" t="str">
        <v>○</v>
      </c>
      <c r="J8" s="4" t="n">
        <v>130</v>
      </c>
      <c r="K8" s="4"/>
      <c r="L8" s="4"/>
      <c r="M8" s="5" t="s">
        <v>15</v>
      </c>
    </row>
    <row r="9" customFormat="false" ht="15.75" hidden="false" customHeight="false" outlineLevel="0" collapsed="false">
      <c r="A9" s="3" t="n">
        <v>46228</v>
      </c>
      <c r="B9" s="4" t="s">
        <v>13</v>
      </c>
      <c r="C9" s="4" t="n">
        <v>1</v>
      </c>
      <c r="D9" s="4" t="n">
        <v>8</v>
      </c>
      <c r="E9" s="4" t="s">
        <v>22</v>
      </c>
      <c r="F9" s="4" t="n">
        <v>29</v>
      </c>
      <c r="G9" s="4" t="n">
        <v>7</v>
      </c>
      <c r="H9" s="4" t="n">
        <v>4</v>
      </c>
      <c r="I9" s="4" t="str">
        <v>×</v>
      </c>
      <c r="J9" s="4"/>
      <c r="K9" s="4"/>
      <c r="L9" s="4"/>
      <c r="M9" s="5" t="s">
        <v>15</v>
      </c>
    </row>
    <row r="10" customFormat="false" ht="15.75" hidden="false" customHeight="false" outlineLevel="0" collapsed="false">
      <c r="A10" s="3" t="n">
        <v>46228</v>
      </c>
      <c r="B10" s="4" t="s">
        <v>13</v>
      </c>
      <c r="C10" s="4" t="n">
        <v>1</v>
      </c>
      <c r="D10" s="4" t="n">
        <v>9</v>
      </c>
      <c r="E10" s="4" t="s">
        <v>23</v>
      </c>
      <c r="F10" s="4" t="n">
        <v>10</v>
      </c>
      <c r="G10" s="4" t="n">
        <v>9</v>
      </c>
      <c r="H10" s="4" t="n">
        <v>4</v>
      </c>
      <c r="I10" s="4" t="str">
        <v>×</v>
      </c>
      <c r="J10" s="4"/>
      <c r="K10" s="4"/>
      <c r="L10" s="4"/>
      <c r="M10" s="5" t="s">
        <v>15</v>
      </c>
    </row>
    <row r="11" customFormat="false" ht="15.75" hidden="false" customHeight="false" outlineLevel="0" collapsed="false">
      <c r="A11" s="3" t="n">
        <v>46228</v>
      </c>
      <c r="B11" s="4" t="s">
        <v>13</v>
      </c>
      <c r="C11" s="4" t="n">
        <v>1</v>
      </c>
      <c r="D11" s="4" t="n">
        <v>10</v>
      </c>
      <c r="E11" s="4" t="s">
        <v>24</v>
      </c>
      <c r="F11" s="4" t="n">
        <v>60</v>
      </c>
      <c r="G11" s="4" t="n">
        <v>1</v>
      </c>
      <c r="H11" s="4" t="n">
        <v>1</v>
      </c>
      <c r="I11" s="4" t="str">
        <v>○</v>
      </c>
      <c r="J11" s="4" t="n">
        <v>110</v>
      </c>
      <c r="K11" s="4"/>
      <c r="L11" s="4"/>
      <c r="M11" s="5" t="s">
        <v>15</v>
      </c>
    </row>
    <row r="12" customFormat="false" ht="15.75" hidden="false" customHeight="false" outlineLevel="0" collapsed="false">
      <c r="A12" s="3" t="n">
        <v>46228</v>
      </c>
      <c r="B12" s="4" t="s">
        <v>13</v>
      </c>
      <c r="C12" s="4" t="n">
        <v>2</v>
      </c>
      <c r="D12" s="4" t="n">
        <v>1</v>
      </c>
      <c r="E12" s="4" t="s">
        <v>25</v>
      </c>
      <c r="F12" s="4" t="n">
        <v>31</v>
      </c>
      <c r="G12" s="4" t="n">
        <v>3</v>
      </c>
      <c r="H12" s="4" t="n">
        <v>4</v>
      </c>
      <c r="I12" s="4" t="str">
        <v>×</v>
      </c>
      <c r="J12" s="4"/>
      <c r="K12" s="4"/>
      <c r="L12" s="4"/>
      <c r="M12" s="5" t="s">
        <v>15</v>
      </c>
    </row>
    <row r="13" customFormat="false" ht="15.75" hidden="false" customHeight="false" outlineLevel="0" collapsed="false">
      <c r="A13" s="3" t="n">
        <v>46228</v>
      </c>
      <c r="B13" s="4" t="s">
        <v>13</v>
      </c>
      <c r="C13" s="4" t="n">
        <v>2</v>
      </c>
      <c r="D13" s="4" t="n">
        <v>2</v>
      </c>
      <c r="E13" s="4" t="s">
        <v>26</v>
      </c>
      <c r="F13" s="4" t="n">
        <v>31</v>
      </c>
      <c r="G13" s="4" t="n">
        <v>3</v>
      </c>
      <c r="H13" s="4" t="n">
        <v>4</v>
      </c>
      <c r="I13" s="4" t="str">
        <v>×</v>
      </c>
      <c r="J13" s="4"/>
      <c r="K13" s="4"/>
      <c r="L13" s="4"/>
      <c r="M13" s="5" t="s">
        <v>15</v>
      </c>
    </row>
    <row r="14" customFormat="false" ht="15.75" hidden="false" customHeight="false" outlineLevel="0" collapsed="false">
      <c r="A14" s="3" t="n">
        <v>46228</v>
      </c>
      <c r="B14" s="4" t="s">
        <v>13</v>
      </c>
      <c r="C14" s="4" t="n">
        <v>2</v>
      </c>
      <c r="D14" s="4" t="n">
        <v>3</v>
      </c>
      <c r="E14" s="4" t="s">
        <v>27</v>
      </c>
      <c r="F14" s="4" t="n">
        <v>14</v>
      </c>
      <c r="G14" s="4" t="n">
        <v>10</v>
      </c>
      <c r="H14" s="4" t="n">
        <v>4</v>
      </c>
      <c r="I14" s="4" t="str">
        <v>×</v>
      </c>
      <c r="J14" s="4"/>
      <c r="K14" s="4"/>
      <c r="L14" s="4"/>
      <c r="M14" s="5" t="s">
        <v>15</v>
      </c>
    </row>
    <row r="15" customFormat="false" ht="15.75" hidden="false" customHeight="false" outlineLevel="0" collapsed="false">
      <c r="A15" s="3" t="n">
        <v>46228</v>
      </c>
      <c r="B15" s="4" t="s">
        <v>13</v>
      </c>
      <c r="C15" s="4" t="n">
        <v>2</v>
      </c>
      <c r="D15" s="4" t="n">
        <v>4</v>
      </c>
      <c r="E15" s="4" t="s">
        <v>28</v>
      </c>
      <c r="F15" s="4" t="n">
        <v>37</v>
      </c>
      <c r="G15" s="4" t="n">
        <v>1</v>
      </c>
      <c r="H15" s="4" t="n">
        <v>4</v>
      </c>
      <c r="I15" s="4" t="str">
        <v>×</v>
      </c>
      <c r="J15" s="4"/>
      <c r="K15" s="4"/>
      <c r="L15" s="4"/>
      <c r="M15" s="5" t="s">
        <v>15</v>
      </c>
    </row>
    <row r="16" customFormat="false" ht="15.75" hidden="false" customHeight="false" outlineLevel="0" collapsed="false">
      <c r="A16" s="3" t="n">
        <v>46228</v>
      </c>
      <c r="B16" s="4" t="s">
        <v>13</v>
      </c>
      <c r="C16" s="4" t="n">
        <v>2</v>
      </c>
      <c r="D16" s="4" t="n">
        <v>5</v>
      </c>
      <c r="E16" s="4" t="s">
        <v>29</v>
      </c>
      <c r="F16" s="4" t="n">
        <v>27</v>
      </c>
      <c r="G16" s="4" t="n">
        <v>7</v>
      </c>
      <c r="H16" s="4" t="n">
        <v>4</v>
      </c>
      <c r="I16" s="4" t="str">
        <v>×</v>
      </c>
      <c r="J16" s="4"/>
      <c r="K16" s="4"/>
      <c r="L16" s="4"/>
      <c r="M16" s="5" t="s">
        <v>15</v>
      </c>
    </row>
    <row r="17" customFormat="false" ht="15.75" hidden="false" customHeight="false" outlineLevel="0" collapsed="false">
      <c r="A17" s="3" t="n">
        <v>46228</v>
      </c>
      <c r="B17" s="4" t="s">
        <v>13</v>
      </c>
      <c r="C17" s="4" t="n">
        <v>2</v>
      </c>
      <c r="D17" s="4" t="n">
        <v>6</v>
      </c>
      <c r="E17" s="4" t="s">
        <v>30</v>
      </c>
      <c r="F17" s="4" t="n">
        <v>14</v>
      </c>
      <c r="G17" s="4" t="n">
        <v>10</v>
      </c>
      <c r="H17" s="4" t="n">
        <v>4</v>
      </c>
      <c r="I17" s="4" t="str">
        <v>×</v>
      </c>
      <c r="J17" s="4"/>
      <c r="K17" s="4"/>
      <c r="L17" s="4"/>
      <c r="M17" s="5" t="s">
        <v>15</v>
      </c>
    </row>
    <row r="18" customFormat="false" ht="15.75" hidden="false" customHeight="false" outlineLevel="0" collapsed="false">
      <c r="A18" s="3" t="n">
        <v>46228</v>
      </c>
      <c r="B18" s="4" t="s">
        <v>13</v>
      </c>
      <c r="C18" s="4" t="n">
        <v>2</v>
      </c>
      <c r="D18" s="4" t="n">
        <v>7</v>
      </c>
      <c r="E18" s="4" t="s">
        <v>31</v>
      </c>
      <c r="F18" s="4" t="n">
        <v>27</v>
      </c>
      <c r="G18" s="4" t="n">
        <v>7</v>
      </c>
      <c r="H18" s="4" t="n">
        <v>4</v>
      </c>
      <c r="I18" s="4" t="str">
        <v>×</v>
      </c>
      <c r="J18" s="4"/>
      <c r="K18" s="4"/>
      <c r="L18" s="4"/>
      <c r="M18" s="5" t="s">
        <v>15</v>
      </c>
    </row>
    <row r="19" customFormat="false" ht="15.75" hidden="false" customHeight="false" outlineLevel="0" collapsed="false">
      <c r="A19" s="3" t="n">
        <v>46228</v>
      </c>
      <c r="B19" s="4" t="s">
        <v>13</v>
      </c>
      <c r="C19" s="4" t="n">
        <v>2</v>
      </c>
      <c r="D19" s="4" t="n">
        <v>8</v>
      </c>
      <c r="E19" s="4" t="s">
        <v>32</v>
      </c>
      <c r="F19" s="4" t="n">
        <v>31</v>
      </c>
      <c r="G19" s="4" t="n">
        <v>3</v>
      </c>
      <c r="H19" s="4" t="n">
        <v>3</v>
      </c>
      <c r="I19" s="4" t="str">
        <v>○</v>
      </c>
      <c r="J19" s="4" t="n">
        <v>370</v>
      </c>
      <c r="K19" s="4"/>
      <c r="L19" s="4"/>
      <c r="M19" s="5" t="s">
        <v>15</v>
      </c>
    </row>
    <row r="20" customFormat="false" ht="15.75" hidden="false" customHeight="false" outlineLevel="0" collapsed="false">
      <c r="A20" s="3" t="n">
        <v>46228</v>
      </c>
      <c r="B20" s="4" t="s">
        <v>13</v>
      </c>
      <c r="C20" s="4" t="n">
        <v>2</v>
      </c>
      <c r="D20" s="4" t="n">
        <v>9</v>
      </c>
      <c r="E20" s="4" t="s">
        <v>33</v>
      </c>
      <c r="F20" s="4" t="n">
        <v>37</v>
      </c>
      <c r="G20" s="4" t="n">
        <v>1</v>
      </c>
      <c r="H20" s="4" t="n">
        <v>4</v>
      </c>
      <c r="I20" s="4" t="str">
        <v>×</v>
      </c>
      <c r="J20" s="4"/>
      <c r="K20" s="4"/>
      <c r="L20" s="4"/>
      <c r="M20" s="5" t="s">
        <v>15</v>
      </c>
    </row>
    <row r="21" customFormat="false" ht="15.75" hidden="false" customHeight="false" outlineLevel="0" collapsed="false">
      <c r="A21" s="3" t="n">
        <v>46228</v>
      </c>
      <c r="B21" s="4" t="s">
        <v>13</v>
      </c>
      <c r="C21" s="4" t="n">
        <v>2</v>
      </c>
      <c r="D21" s="4" t="n">
        <v>10</v>
      </c>
      <c r="E21" s="4" t="s">
        <v>34</v>
      </c>
      <c r="F21" s="4" t="n">
        <v>14</v>
      </c>
      <c r="G21" s="4" t="n">
        <v>10</v>
      </c>
      <c r="H21" s="4" t="n">
        <v>4</v>
      </c>
      <c r="I21" s="4" t="str">
        <v>×</v>
      </c>
      <c r="J21" s="4"/>
      <c r="K21" s="4"/>
      <c r="L21" s="4"/>
      <c r="M21" s="5" t="s">
        <v>15</v>
      </c>
    </row>
    <row r="22" customFormat="false" ht="15.75" hidden="false" customHeight="false" outlineLevel="0" collapsed="false">
      <c r="A22" s="3" t="n">
        <v>46228</v>
      </c>
      <c r="B22" s="4" t="s">
        <v>13</v>
      </c>
      <c r="C22" s="4" t="n">
        <v>2</v>
      </c>
      <c r="D22" s="4" t="n">
        <v>11</v>
      </c>
      <c r="E22" s="4" t="s">
        <v>35</v>
      </c>
      <c r="F22" s="4" t="n">
        <v>6</v>
      </c>
      <c r="G22" s="4" t="n">
        <v>14</v>
      </c>
      <c r="H22" s="4" t="n">
        <v>2</v>
      </c>
      <c r="I22" s="4" t="str">
        <v>○</v>
      </c>
      <c r="J22" s="4" t="n">
        <v>180</v>
      </c>
      <c r="K22" s="4"/>
      <c r="L22" s="4"/>
      <c r="M22" s="5" t="s">
        <v>15</v>
      </c>
    </row>
    <row r="23" customFormat="false" ht="15.75" hidden="false" customHeight="false" outlineLevel="0" collapsed="false">
      <c r="A23" s="3" t="n">
        <v>46228</v>
      </c>
      <c r="B23" s="4" t="s">
        <v>13</v>
      </c>
      <c r="C23" s="4" t="n">
        <v>2</v>
      </c>
      <c r="D23" s="4" t="n">
        <v>12</v>
      </c>
      <c r="E23" s="4" t="s">
        <v>36</v>
      </c>
      <c r="F23" s="4" t="n">
        <v>16</v>
      </c>
      <c r="G23" s="4" t="n">
        <v>9</v>
      </c>
      <c r="H23" s="4" t="n">
        <v>1</v>
      </c>
      <c r="I23" s="4" t="str">
        <v>○</v>
      </c>
      <c r="J23" s="4" t="n">
        <v>560</v>
      </c>
      <c r="K23" s="4"/>
      <c r="L23" s="4"/>
      <c r="M23" s="5" t="s">
        <v>15</v>
      </c>
    </row>
    <row r="24" customFormat="false" ht="15.75" hidden="false" customHeight="false" outlineLevel="0" collapsed="false">
      <c r="A24" s="3" t="n">
        <v>46228</v>
      </c>
      <c r="B24" s="4" t="s">
        <v>13</v>
      </c>
      <c r="C24" s="4" t="n">
        <v>2</v>
      </c>
      <c r="D24" s="4" t="n">
        <v>13</v>
      </c>
      <c r="E24" s="4" t="s">
        <v>37</v>
      </c>
      <c r="F24" s="4" t="n">
        <v>31</v>
      </c>
      <c r="G24" s="4" t="n">
        <v>3</v>
      </c>
      <c r="H24" s="4" t="n">
        <v>4</v>
      </c>
      <c r="I24" s="4" t="str">
        <v>×</v>
      </c>
      <c r="J24" s="4"/>
      <c r="K24" s="4"/>
      <c r="L24" s="4"/>
      <c r="M24" s="5" t="s">
        <v>15</v>
      </c>
    </row>
    <row r="25" customFormat="false" ht="15.75" hidden="false" customHeight="false" outlineLevel="0" collapsed="false">
      <c r="A25" s="3" t="n">
        <v>46228</v>
      </c>
      <c r="B25" s="4" t="s">
        <v>13</v>
      </c>
      <c r="C25" s="4" t="n">
        <v>2</v>
      </c>
      <c r="D25" s="4" t="n">
        <v>14</v>
      </c>
      <c r="E25" s="4" t="s">
        <v>38</v>
      </c>
      <c r="F25" s="4" t="n">
        <v>12</v>
      </c>
      <c r="G25" s="4" t="n">
        <v>13</v>
      </c>
      <c r="H25" s="4" t="n">
        <v>4</v>
      </c>
      <c r="I25" s="4" t="str">
        <v>×</v>
      </c>
      <c r="J25" s="4"/>
      <c r="K25" s="4"/>
      <c r="L25" s="4"/>
      <c r="M25" s="5" t="s">
        <v>15</v>
      </c>
    </row>
    <row r="26" customFormat="false" ht="15.75" hidden="false" customHeight="false" outlineLevel="0" collapsed="false">
      <c r="A26" s="3" t="n">
        <v>46228</v>
      </c>
      <c r="B26" s="4" t="s">
        <v>13</v>
      </c>
      <c r="C26" s="4" t="n">
        <v>3</v>
      </c>
      <c r="D26" s="4" t="n">
        <v>1</v>
      </c>
      <c r="E26" s="4" t="s">
        <v>39</v>
      </c>
      <c r="F26" s="4" t="n">
        <v>37</v>
      </c>
      <c r="G26" s="4" t="n">
        <v>1</v>
      </c>
      <c r="H26" s="4" t="n">
        <v>2</v>
      </c>
      <c r="I26" s="4" t="str">
        <v>○</v>
      </c>
      <c r="J26" s="4" t="n">
        <v>110</v>
      </c>
      <c r="K26" s="4"/>
      <c r="L26" s="4"/>
      <c r="M26" s="5" t="s">
        <v>15</v>
      </c>
    </row>
    <row r="27" customFormat="false" ht="15.75" hidden="false" customHeight="false" outlineLevel="0" collapsed="false">
      <c r="A27" s="3" t="n">
        <v>46228</v>
      </c>
      <c r="B27" s="4" t="s">
        <v>13</v>
      </c>
      <c r="C27" s="4" t="n">
        <v>3</v>
      </c>
      <c r="D27" s="4" t="n">
        <v>2</v>
      </c>
      <c r="E27" s="4" t="s">
        <v>40</v>
      </c>
      <c r="F27" s="4" t="n">
        <v>24</v>
      </c>
      <c r="G27" s="4" t="n">
        <v>4</v>
      </c>
      <c r="H27" s="4" t="n">
        <v>4</v>
      </c>
      <c r="I27" s="4" t="str">
        <v>×</v>
      </c>
      <c r="J27" s="4"/>
      <c r="K27" s="4"/>
      <c r="L27" s="4"/>
      <c r="M27" s="5" t="s">
        <v>15</v>
      </c>
    </row>
    <row r="28" customFormat="false" ht="15.75" hidden="false" customHeight="false" outlineLevel="0" collapsed="false">
      <c r="A28" s="3" t="n">
        <v>46228</v>
      </c>
      <c r="B28" s="4" t="s">
        <v>13</v>
      </c>
      <c r="C28" s="4" t="n">
        <v>3</v>
      </c>
      <c r="D28" s="4" t="n">
        <v>3</v>
      </c>
      <c r="E28" s="4" t="s">
        <v>41</v>
      </c>
      <c r="F28" s="4" t="n">
        <v>27</v>
      </c>
      <c r="G28" s="4" t="n">
        <v>3</v>
      </c>
      <c r="H28" s="4" t="n">
        <v>4</v>
      </c>
      <c r="I28" s="4" t="str">
        <v>×</v>
      </c>
      <c r="J28" s="4"/>
      <c r="K28" s="4"/>
      <c r="L28" s="4"/>
      <c r="M28" s="5" t="s">
        <v>15</v>
      </c>
    </row>
    <row r="29" customFormat="false" ht="15.75" hidden="false" customHeight="false" outlineLevel="0" collapsed="false">
      <c r="A29" s="3" t="n">
        <v>46228</v>
      </c>
      <c r="B29" s="4" t="s">
        <v>13</v>
      </c>
      <c r="C29" s="4" t="n">
        <v>3</v>
      </c>
      <c r="D29" s="4" t="n">
        <v>4</v>
      </c>
      <c r="E29" s="4" t="s">
        <v>42</v>
      </c>
      <c r="F29" s="4" t="n">
        <v>31</v>
      </c>
      <c r="G29" s="4" t="n">
        <v>2</v>
      </c>
      <c r="H29" s="4" t="n">
        <v>1</v>
      </c>
      <c r="I29" s="4" t="str">
        <v>○</v>
      </c>
      <c r="J29" s="4" t="n">
        <v>190</v>
      </c>
      <c r="K29" s="4"/>
      <c r="L29" s="4"/>
      <c r="M29" s="5" t="s">
        <v>15</v>
      </c>
    </row>
    <row r="30" customFormat="false" ht="15.75" hidden="false" customHeight="false" outlineLevel="0" collapsed="false">
      <c r="A30" s="3" t="n">
        <v>46228</v>
      </c>
      <c r="B30" s="4" t="s">
        <v>13</v>
      </c>
      <c r="C30" s="4" t="n">
        <v>3</v>
      </c>
      <c r="D30" s="4" t="n">
        <v>5</v>
      </c>
      <c r="E30" s="4" t="s">
        <v>43</v>
      </c>
      <c r="F30" s="4" t="n">
        <v>21</v>
      </c>
      <c r="G30" s="4" t="n">
        <v>6</v>
      </c>
      <c r="H30" s="4" t="n">
        <v>4</v>
      </c>
      <c r="I30" s="4" t="str">
        <v>×</v>
      </c>
      <c r="J30" s="4"/>
      <c r="K30" s="4"/>
      <c r="L30" s="4"/>
      <c r="M30" s="5" t="s">
        <v>15</v>
      </c>
    </row>
    <row r="31" customFormat="false" ht="15.75" hidden="false" customHeight="false" outlineLevel="0" collapsed="false">
      <c r="A31" s="3" t="n">
        <v>46228</v>
      </c>
      <c r="B31" s="4" t="s">
        <v>13</v>
      </c>
      <c r="C31" s="4" t="n">
        <v>3</v>
      </c>
      <c r="D31" s="4" t="n">
        <v>6</v>
      </c>
      <c r="E31" s="4" t="s">
        <v>44</v>
      </c>
      <c r="F31" s="4" t="n">
        <v>6</v>
      </c>
      <c r="G31" s="4" t="n">
        <v>8</v>
      </c>
      <c r="H31" s="4" t="n">
        <v>4</v>
      </c>
      <c r="I31" s="4" t="str">
        <v>×</v>
      </c>
      <c r="J31" s="4"/>
      <c r="K31" s="4"/>
      <c r="L31" s="4"/>
      <c r="M31" s="5" t="s">
        <v>15</v>
      </c>
    </row>
    <row r="32" customFormat="false" ht="15.75" hidden="false" customHeight="false" outlineLevel="0" collapsed="false">
      <c r="A32" s="3" t="n">
        <v>46228</v>
      </c>
      <c r="B32" s="4" t="s">
        <v>13</v>
      </c>
      <c r="C32" s="4" t="n">
        <v>3</v>
      </c>
      <c r="D32" s="4" t="n">
        <v>7</v>
      </c>
      <c r="E32" s="4" t="s">
        <v>45</v>
      </c>
      <c r="F32" s="4" t="n">
        <v>21</v>
      </c>
      <c r="G32" s="4" t="n">
        <v>6</v>
      </c>
      <c r="H32" s="4" t="n">
        <v>4</v>
      </c>
      <c r="I32" s="4" t="str">
        <v>×</v>
      </c>
      <c r="J32" s="4"/>
      <c r="K32" s="4"/>
      <c r="L32" s="4"/>
      <c r="M32" s="5" t="s">
        <v>15</v>
      </c>
    </row>
    <row r="33" customFormat="false" ht="15.75" hidden="false" customHeight="false" outlineLevel="0" collapsed="false">
      <c r="A33" s="3" t="n">
        <v>46228</v>
      </c>
      <c r="B33" s="4" t="s">
        <v>13</v>
      </c>
      <c r="C33" s="4" t="n">
        <v>3</v>
      </c>
      <c r="D33" s="4" t="n">
        <v>8</v>
      </c>
      <c r="E33" s="4" t="s">
        <v>46</v>
      </c>
      <c r="F33" s="4" t="n">
        <v>24</v>
      </c>
      <c r="G33" s="4" t="n">
        <v>4</v>
      </c>
      <c r="H33" s="4" t="n">
        <v>3</v>
      </c>
      <c r="I33" s="4" t="str">
        <v>○</v>
      </c>
      <c r="J33" s="4" t="n">
        <v>270</v>
      </c>
      <c r="K33" s="4"/>
      <c r="L33" s="4"/>
      <c r="M33" s="5" t="s">
        <v>15</v>
      </c>
    </row>
    <row r="34" customFormat="false" ht="15.75" hidden="false" customHeight="false" outlineLevel="0" collapsed="false">
      <c r="A34" s="3" t="n">
        <v>46228</v>
      </c>
      <c r="B34" s="4" t="s">
        <v>13</v>
      </c>
      <c r="C34" s="4" t="n">
        <v>4</v>
      </c>
      <c r="D34" s="4" t="n">
        <v>1</v>
      </c>
      <c r="E34" s="4" t="s">
        <v>47</v>
      </c>
      <c r="F34" s="4" t="n">
        <v>4</v>
      </c>
      <c r="G34" s="4" t="n">
        <v>9</v>
      </c>
      <c r="H34" s="4" t="n">
        <v>4</v>
      </c>
      <c r="I34" s="4" t="str">
        <v>×</v>
      </c>
      <c r="J34" s="4"/>
      <c r="K34" s="4"/>
      <c r="L34" s="4"/>
      <c r="M34" s="5" t="s">
        <v>15</v>
      </c>
    </row>
    <row r="35" customFormat="false" ht="15.75" hidden="false" customHeight="false" outlineLevel="0" collapsed="false">
      <c r="A35" s="3" t="n">
        <v>46228</v>
      </c>
      <c r="B35" s="4" t="s">
        <v>13</v>
      </c>
      <c r="C35" s="4" t="n">
        <v>4</v>
      </c>
      <c r="D35" s="4" t="n">
        <v>2</v>
      </c>
      <c r="E35" s="4" t="s">
        <v>48</v>
      </c>
      <c r="F35" s="4" t="n">
        <v>4</v>
      </c>
      <c r="G35" s="4" t="n">
        <v>9</v>
      </c>
      <c r="H35" s="4" t="n">
        <v>4</v>
      </c>
      <c r="I35" s="4" t="str">
        <v>×</v>
      </c>
      <c r="J35" s="4"/>
      <c r="K35" s="4"/>
      <c r="L35" s="4"/>
      <c r="M35" s="5" t="s">
        <v>15</v>
      </c>
    </row>
    <row r="36" customFormat="false" ht="15.75" hidden="false" customHeight="false" outlineLevel="0" collapsed="false">
      <c r="A36" s="3" t="n">
        <v>46228</v>
      </c>
      <c r="B36" s="4" t="s">
        <v>13</v>
      </c>
      <c r="C36" s="4" t="n">
        <v>4</v>
      </c>
      <c r="D36" s="4" t="n">
        <v>3</v>
      </c>
      <c r="E36" s="4" t="s">
        <v>49</v>
      </c>
      <c r="F36" s="4" t="n">
        <v>44</v>
      </c>
      <c r="G36" s="4" t="n">
        <v>2</v>
      </c>
      <c r="H36" s="4" t="n">
        <v>1</v>
      </c>
      <c r="I36" s="4" t="str">
        <v>○</v>
      </c>
      <c r="J36" s="4" t="n">
        <v>140</v>
      </c>
      <c r="K36" s="4"/>
      <c r="L36" s="4"/>
      <c r="M36" s="5" t="s">
        <v>15</v>
      </c>
    </row>
    <row r="37" customFormat="false" ht="15.75" hidden="false" customHeight="false" outlineLevel="0" collapsed="false">
      <c r="A37" s="3" t="n">
        <v>46228</v>
      </c>
      <c r="B37" s="4" t="s">
        <v>13</v>
      </c>
      <c r="C37" s="4" t="n">
        <v>4</v>
      </c>
      <c r="D37" s="4" t="n">
        <v>4</v>
      </c>
      <c r="E37" s="4" t="s">
        <v>50</v>
      </c>
      <c r="F37" s="4" t="n">
        <v>37</v>
      </c>
      <c r="G37" s="4" t="n">
        <v>5</v>
      </c>
      <c r="H37" s="4" t="n">
        <v>3</v>
      </c>
      <c r="I37" s="4" t="str">
        <v>○</v>
      </c>
      <c r="J37" s="4" t="n">
        <v>180</v>
      </c>
      <c r="K37" s="4"/>
      <c r="L37" s="4"/>
      <c r="M37" s="5" t="s">
        <v>15</v>
      </c>
    </row>
    <row r="38" customFormat="false" ht="15.75" hidden="false" customHeight="false" outlineLevel="0" collapsed="false">
      <c r="A38" s="3" t="n">
        <v>46228</v>
      </c>
      <c r="B38" s="4" t="s">
        <v>13</v>
      </c>
      <c r="C38" s="4" t="n">
        <v>4</v>
      </c>
      <c r="D38" s="4" t="n">
        <v>5</v>
      </c>
      <c r="E38" s="4" t="s">
        <v>51</v>
      </c>
      <c r="F38" s="4" t="n">
        <v>2</v>
      </c>
      <c r="G38" s="4" t="n">
        <v>14</v>
      </c>
      <c r="H38" s="4" t="n">
        <v>4</v>
      </c>
      <c r="I38" s="4" t="str">
        <v>×</v>
      </c>
      <c r="J38" s="4"/>
      <c r="K38" s="4"/>
      <c r="L38" s="4"/>
      <c r="M38" s="5" t="s">
        <v>15</v>
      </c>
    </row>
    <row r="39" customFormat="false" ht="15.75" hidden="false" customHeight="false" outlineLevel="0" collapsed="false">
      <c r="A39" s="3" t="n">
        <v>46228</v>
      </c>
      <c r="B39" s="4" t="s">
        <v>13</v>
      </c>
      <c r="C39" s="4" t="n">
        <v>4</v>
      </c>
      <c r="D39" s="4" t="n">
        <v>6</v>
      </c>
      <c r="E39" s="4" t="s">
        <v>52</v>
      </c>
      <c r="F39" s="4" t="n">
        <v>8</v>
      </c>
      <c r="G39" s="4" t="n">
        <v>8</v>
      </c>
      <c r="H39" s="4" t="n">
        <v>4</v>
      </c>
      <c r="I39" s="4" t="str">
        <v>×</v>
      </c>
      <c r="J39" s="4"/>
      <c r="K39" s="4"/>
      <c r="L39" s="4"/>
      <c r="M39" s="5" t="s">
        <v>15</v>
      </c>
    </row>
    <row r="40" customFormat="false" ht="15.75" hidden="false" customHeight="false" outlineLevel="0" collapsed="false">
      <c r="A40" s="3" t="n">
        <v>46228</v>
      </c>
      <c r="B40" s="4" t="s">
        <v>13</v>
      </c>
      <c r="C40" s="4" t="n">
        <v>4</v>
      </c>
      <c r="D40" s="4" t="n">
        <v>7</v>
      </c>
      <c r="E40" s="4" t="s">
        <v>53</v>
      </c>
      <c r="F40" s="4" t="n">
        <v>41</v>
      </c>
      <c r="G40" s="4" t="n">
        <v>4</v>
      </c>
      <c r="H40" s="4" t="n">
        <v>4</v>
      </c>
      <c r="I40" s="4" t="str">
        <v>×</v>
      </c>
      <c r="J40" s="4"/>
      <c r="K40" s="4"/>
      <c r="L40" s="4"/>
      <c r="M40" s="5" t="s">
        <v>15</v>
      </c>
    </row>
    <row r="41" customFormat="false" ht="15.75" hidden="false" customHeight="false" outlineLevel="0" collapsed="false">
      <c r="A41" s="3" t="n">
        <v>46228</v>
      </c>
      <c r="B41" s="4" t="s">
        <v>13</v>
      </c>
      <c r="C41" s="4" t="n">
        <v>4</v>
      </c>
      <c r="D41" s="4" t="n">
        <v>8</v>
      </c>
      <c r="E41" s="4" t="s">
        <v>54</v>
      </c>
      <c r="F41" s="4" t="n">
        <v>13</v>
      </c>
      <c r="G41" s="4" t="n">
        <v>7</v>
      </c>
      <c r="H41" s="4" t="n">
        <v>4</v>
      </c>
      <c r="I41" s="4" t="str">
        <v>×</v>
      </c>
      <c r="J41" s="4"/>
      <c r="K41" s="4"/>
      <c r="L41" s="4"/>
      <c r="M41" s="5" t="s">
        <v>15</v>
      </c>
    </row>
    <row r="42" customFormat="false" ht="15.75" hidden="false" customHeight="false" outlineLevel="0" collapsed="false">
      <c r="A42" s="3" t="n">
        <v>46228</v>
      </c>
      <c r="B42" s="4" t="s">
        <v>13</v>
      </c>
      <c r="C42" s="4" t="n">
        <v>4</v>
      </c>
      <c r="D42" s="4" t="n">
        <v>9</v>
      </c>
      <c r="E42" s="4" t="s">
        <v>55</v>
      </c>
      <c r="F42" s="4" t="n">
        <v>15</v>
      </c>
      <c r="G42" s="4" t="n">
        <v>6</v>
      </c>
      <c r="H42" s="4" t="n">
        <v>4</v>
      </c>
      <c r="I42" s="4" t="str">
        <v>×</v>
      </c>
      <c r="J42" s="4"/>
      <c r="K42" s="4"/>
      <c r="L42" s="4"/>
      <c r="M42" s="5" t="s">
        <v>15</v>
      </c>
    </row>
    <row r="43" customFormat="false" ht="15.75" hidden="false" customHeight="false" outlineLevel="0" collapsed="false">
      <c r="A43" s="3" t="n">
        <v>46228</v>
      </c>
      <c r="B43" s="4" t="s">
        <v>13</v>
      </c>
      <c r="C43" s="4" t="n">
        <v>4</v>
      </c>
      <c r="D43" s="4" t="n">
        <v>10</v>
      </c>
      <c r="E43" s="4" t="s">
        <v>56</v>
      </c>
      <c r="F43" s="4" t="n">
        <v>4</v>
      </c>
      <c r="G43" s="4" t="n">
        <v>9</v>
      </c>
      <c r="H43" s="4" t="n">
        <v>4</v>
      </c>
      <c r="I43" s="4" t="str">
        <v>×</v>
      </c>
      <c r="J43" s="4"/>
      <c r="K43" s="4"/>
      <c r="L43" s="4"/>
      <c r="M43" s="5" t="s">
        <v>15</v>
      </c>
    </row>
    <row r="44" customFormat="false" ht="15.75" hidden="false" customHeight="false" outlineLevel="0" collapsed="false">
      <c r="A44" s="3" t="n">
        <v>46228</v>
      </c>
      <c r="B44" s="4" t="s">
        <v>13</v>
      </c>
      <c r="C44" s="4" t="n">
        <v>4</v>
      </c>
      <c r="D44" s="4" t="n">
        <v>11</v>
      </c>
      <c r="E44" s="4" t="s">
        <v>57</v>
      </c>
      <c r="F44" s="4" t="n">
        <v>3</v>
      </c>
      <c r="G44" s="4" t="n">
        <v>13</v>
      </c>
      <c r="H44" s="4" t="n">
        <v>4</v>
      </c>
      <c r="I44" s="4" t="str">
        <v>×</v>
      </c>
      <c r="J44" s="4"/>
      <c r="K44" s="4"/>
      <c r="L44" s="4"/>
      <c r="M44" s="5" t="s">
        <v>15</v>
      </c>
    </row>
    <row r="45" customFormat="false" ht="15.75" hidden="false" customHeight="false" outlineLevel="0" collapsed="false">
      <c r="A45" s="3" t="n">
        <v>46228</v>
      </c>
      <c r="B45" s="4" t="s">
        <v>13</v>
      </c>
      <c r="C45" s="4" t="n">
        <v>4</v>
      </c>
      <c r="D45" s="4" t="n">
        <v>12</v>
      </c>
      <c r="E45" s="4" t="s">
        <v>58</v>
      </c>
      <c r="F45" s="4" t="n">
        <v>1</v>
      </c>
      <c r="G45" s="4" t="n">
        <v>15</v>
      </c>
      <c r="H45" s="4" t="n">
        <v>4</v>
      </c>
      <c r="I45" s="4" t="str">
        <v>×</v>
      </c>
      <c r="J45" s="4"/>
      <c r="K45" s="4"/>
      <c r="L45" s="4"/>
      <c r="M45" s="5" t="s">
        <v>15</v>
      </c>
    </row>
    <row r="46" customFormat="false" ht="15.75" hidden="false" customHeight="false" outlineLevel="0" collapsed="false">
      <c r="A46" s="3" t="n">
        <v>46228</v>
      </c>
      <c r="B46" s="4" t="s">
        <v>13</v>
      </c>
      <c r="C46" s="4" t="n">
        <v>4</v>
      </c>
      <c r="D46" s="4" t="n">
        <v>13</v>
      </c>
      <c r="E46" s="4" t="s">
        <v>59</v>
      </c>
      <c r="F46" s="4" t="n">
        <v>4</v>
      </c>
      <c r="G46" s="4" t="n">
        <v>9</v>
      </c>
      <c r="H46" s="4" t="n">
        <v>4</v>
      </c>
      <c r="I46" s="4" t="str">
        <v>×</v>
      </c>
      <c r="J46" s="4"/>
      <c r="K46" s="4"/>
      <c r="L46" s="4"/>
      <c r="M46" s="5" t="s">
        <v>15</v>
      </c>
    </row>
    <row r="47" customFormat="false" ht="15.75" hidden="false" customHeight="false" outlineLevel="0" collapsed="false">
      <c r="A47" s="3" t="n">
        <v>46228</v>
      </c>
      <c r="B47" s="4" t="s">
        <v>13</v>
      </c>
      <c r="C47" s="4" t="n">
        <v>4</v>
      </c>
      <c r="D47" s="4" t="n">
        <v>14</v>
      </c>
      <c r="E47" s="4" t="s">
        <v>60</v>
      </c>
      <c r="F47" s="4" t="n">
        <v>58</v>
      </c>
      <c r="G47" s="4" t="n">
        <v>1</v>
      </c>
      <c r="H47" s="4" t="n">
        <v>4</v>
      </c>
      <c r="I47" s="4" t="str">
        <v>×</v>
      </c>
      <c r="J47" s="4"/>
      <c r="K47" s="4"/>
      <c r="L47" s="4"/>
      <c r="M47" s="5" t="s">
        <v>15</v>
      </c>
    </row>
    <row r="48" customFormat="false" ht="15.75" hidden="false" customHeight="false" outlineLevel="0" collapsed="false">
      <c r="A48" s="3" t="n">
        <v>46228</v>
      </c>
      <c r="B48" s="4" t="s">
        <v>13</v>
      </c>
      <c r="C48" s="4" t="n">
        <v>4</v>
      </c>
      <c r="D48" s="4" t="n">
        <v>15</v>
      </c>
      <c r="E48" s="4" t="s">
        <v>61</v>
      </c>
      <c r="F48" s="4" t="n">
        <v>44</v>
      </c>
      <c r="G48" s="4" t="n">
        <v>2</v>
      </c>
      <c r="H48" s="4" t="n">
        <v>2</v>
      </c>
      <c r="I48" s="4" t="str">
        <v>○</v>
      </c>
      <c r="J48" s="4" t="n">
        <v>170</v>
      </c>
      <c r="K48" s="4"/>
      <c r="L48" s="4"/>
      <c r="M48" s="5" t="s">
        <v>15</v>
      </c>
    </row>
    <row r="49" customFormat="false" ht="15.75" hidden="false" customHeight="false" outlineLevel="0" collapsed="false">
      <c r="A49" s="3" t="n">
        <v>46228</v>
      </c>
      <c r="B49" s="4" t="s">
        <v>13</v>
      </c>
      <c r="C49" s="4" t="n">
        <v>5</v>
      </c>
      <c r="D49" s="4" t="n">
        <v>1</v>
      </c>
      <c r="E49" s="4" t="s">
        <v>62</v>
      </c>
      <c r="F49" s="4" t="n">
        <v>39</v>
      </c>
      <c r="G49" s="4" t="n">
        <v>3</v>
      </c>
      <c r="H49" s="4" t="n">
        <v>4</v>
      </c>
      <c r="I49" s="4" t="str">
        <v>×</v>
      </c>
      <c r="J49" s="4"/>
      <c r="K49" s="4"/>
      <c r="L49" s="4"/>
      <c r="M49" s="5" t="s">
        <v>15</v>
      </c>
    </row>
    <row r="50" customFormat="false" ht="15.75" hidden="false" customHeight="false" outlineLevel="0" collapsed="false">
      <c r="A50" s="3" t="n">
        <v>46228</v>
      </c>
      <c r="B50" s="4" t="s">
        <v>13</v>
      </c>
      <c r="C50" s="4" t="n">
        <v>5</v>
      </c>
      <c r="D50" s="4" t="n">
        <v>2</v>
      </c>
      <c r="E50" s="4" t="s">
        <v>63</v>
      </c>
      <c r="F50" s="4" t="n">
        <v>23</v>
      </c>
      <c r="G50" s="4" t="n">
        <v>6</v>
      </c>
      <c r="H50" s="4" t="n">
        <v>4</v>
      </c>
      <c r="I50" s="4" t="str">
        <v>×</v>
      </c>
      <c r="J50" s="4"/>
      <c r="K50" s="4"/>
      <c r="L50" s="4"/>
      <c r="M50" s="5" t="s">
        <v>15</v>
      </c>
    </row>
    <row r="51" customFormat="false" ht="15.75" hidden="false" customHeight="false" outlineLevel="0" collapsed="false">
      <c r="A51" s="3" t="n">
        <v>46228</v>
      </c>
      <c r="B51" s="4" t="s">
        <v>13</v>
      </c>
      <c r="C51" s="4" t="n">
        <v>5</v>
      </c>
      <c r="D51" s="4" t="n">
        <v>3</v>
      </c>
      <c r="E51" s="4" t="s">
        <v>64</v>
      </c>
      <c r="F51" s="4" t="n">
        <v>23</v>
      </c>
      <c r="G51" s="4" t="n">
        <v>6</v>
      </c>
      <c r="H51" s="4" t="n">
        <v>4</v>
      </c>
      <c r="I51" s="4" t="str">
        <v>×</v>
      </c>
      <c r="J51" s="4"/>
      <c r="K51" s="4"/>
      <c r="L51" s="4"/>
      <c r="M51" s="5" t="s">
        <v>15</v>
      </c>
    </row>
    <row r="52" customFormat="false" ht="15.75" hidden="false" customHeight="false" outlineLevel="0" collapsed="false">
      <c r="A52" s="3" t="n">
        <v>46228</v>
      </c>
      <c r="B52" s="4" t="s">
        <v>13</v>
      </c>
      <c r="C52" s="4" t="n">
        <v>5</v>
      </c>
      <c r="D52" s="4" t="n">
        <v>4</v>
      </c>
      <c r="E52" s="4" t="s">
        <v>65</v>
      </c>
      <c r="F52" s="4" t="n">
        <v>8</v>
      </c>
      <c r="G52" s="4" t="n">
        <v>9</v>
      </c>
      <c r="H52" s="4" t="n">
        <v>4</v>
      </c>
      <c r="I52" s="4" t="str">
        <v>×</v>
      </c>
      <c r="J52" s="4"/>
      <c r="K52" s="4"/>
      <c r="L52" s="4"/>
      <c r="M52" s="5" t="s">
        <v>15</v>
      </c>
    </row>
    <row r="53" customFormat="false" ht="15.75" hidden="false" customHeight="false" outlineLevel="0" collapsed="false">
      <c r="A53" s="3" t="n">
        <v>46228</v>
      </c>
      <c r="B53" s="4" t="s">
        <v>13</v>
      </c>
      <c r="C53" s="4" t="n">
        <v>5</v>
      </c>
      <c r="D53" s="4" t="n">
        <v>5</v>
      </c>
      <c r="E53" s="4" t="s">
        <v>66</v>
      </c>
      <c r="F53" s="4" t="n">
        <v>58</v>
      </c>
      <c r="G53" s="4" t="n">
        <v>1</v>
      </c>
      <c r="H53" s="4" t="n">
        <v>1</v>
      </c>
      <c r="I53" s="4" t="str">
        <v>○</v>
      </c>
      <c r="J53" s="4" t="n">
        <v>130</v>
      </c>
      <c r="K53" s="4"/>
      <c r="L53" s="4"/>
      <c r="M53" s="5" t="s">
        <v>15</v>
      </c>
    </row>
    <row r="54" customFormat="false" ht="15.75" hidden="false" customHeight="false" outlineLevel="0" collapsed="false">
      <c r="A54" s="3" t="n">
        <v>46228</v>
      </c>
      <c r="B54" s="4" t="s">
        <v>13</v>
      </c>
      <c r="C54" s="4" t="n">
        <v>5</v>
      </c>
      <c r="D54" s="4" t="n">
        <v>6</v>
      </c>
      <c r="E54" s="4" t="s">
        <v>67</v>
      </c>
      <c r="F54" s="4" t="n">
        <v>15</v>
      </c>
      <c r="G54" s="4" t="n">
        <v>8</v>
      </c>
      <c r="H54" s="4" t="n">
        <v>4</v>
      </c>
      <c r="I54" s="4" t="str">
        <v>×</v>
      </c>
      <c r="J54" s="4"/>
      <c r="K54" s="4"/>
      <c r="L54" s="4"/>
      <c r="M54" s="5" t="s">
        <v>15</v>
      </c>
    </row>
    <row r="55" customFormat="false" ht="15.75" hidden="false" customHeight="false" outlineLevel="0" collapsed="false">
      <c r="A55" s="3" t="n">
        <v>46228</v>
      </c>
      <c r="B55" s="4" t="s">
        <v>13</v>
      </c>
      <c r="C55" s="4" t="n">
        <v>5</v>
      </c>
      <c r="D55" s="4" t="n">
        <v>7</v>
      </c>
      <c r="E55" s="4" t="s">
        <v>68</v>
      </c>
      <c r="F55" s="4" t="n">
        <v>47</v>
      </c>
      <c r="G55" s="4" t="n">
        <v>2</v>
      </c>
      <c r="H55" s="4" t="n">
        <v>2</v>
      </c>
      <c r="I55" s="4" t="str">
        <v>○</v>
      </c>
      <c r="J55" s="4" t="n">
        <v>120</v>
      </c>
      <c r="K55" s="4"/>
      <c r="L55" s="4"/>
      <c r="M55" s="5" t="s">
        <v>15</v>
      </c>
    </row>
    <row r="56" customFormat="false" ht="15.75" hidden="false" customHeight="false" outlineLevel="0" collapsed="false">
      <c r="A56" s="3" t="n">
        <v>46228</v>
      </c>
      <c r="B56" s="4" t="s">
        <v>13</v>
      </c>
      <c r="C56" s="4" t="n">
        <v>5</v>
      </c>
      <c r="D56" s="4" t="n">
        <v>8</v>
      </c>
      <c r="E56" s="4" t="s">
        <v>69</v>
      </c>
      <c r="F56" s="4" t="n">
        <v>8</v>
      </c>
      <c r="G56" s="4" t="n">
        <v>9</v>
      </c>
      <c r="H56" s="4" t="n">
        <v>4</v>
      </c>
      <c r="I56" s="4" t="str">
        <v>×</v>
      </c>
      <c r="J56" s="4"/>
      <c r="K56" s="4"/>
      <c r="L56" s="4"/>
      <c r="M56" s="5" t="s">
        <v>15</v>
      </c>
    </row>
    <row r="57" customFormat="false" ht="15.75" hidden="false" customHeight="false" outlineLevel="0" collapsed="false">
      <c r="A57" s="3" t="n">
        <v>46228</v>
      </c>
      <c r="B57" s="4" t="s">
        <v>13</v>
      </c>
      <c r="C57" s="4" t="n">
        <v>5</v>
      </c>
      <c r="D57" s="4" t="n">
        <v>9</v>
      </c>
      <c r="E57" s="4" t="s">
        <v>70</v>
      </c>
      <c r="F57" s="4" t="n">
        <v>8</v>
      </c>
      <c r="G57" s="4" t="n">
        <v>9</v>
      </c>
      <c r="H57" s="4" t="n">
        <v>4</v>
      </c>
      <c r="I57" s="4" t="str">
        <v>×</v>
      </c>
      <c r="J57" s="4"/>
      <c r="K57" s="4"/>
      <c r="L57" s="4"/>
      <c r="M57" s="5" t="s">
        <v>15</v>
      </c>
    </row>
    <row r="58" customFormat="false" ht="15.75" hidden="false" customHeight="false" outlineLevel="0" collapsed="false">
      <c r="A58" s="3" t="n">
        <v>46228</v>
      </c>
      <c r="B58" s="4" t="s">
        <v>13</v>
      </c>
      <c r="C58" s="4" t="n">
        <v>5</v>
      </c>
      <c r="D58" s="4" t="n">
        <v>10</v>
      </c>
      <c r="E58" s="4" t="s">
        <v>71</v>
      </c>
      <c r="F58" s="4" t="n">
        <v>39</v>
      </c>
      <c r="G58" s="4" t="n">
        <v>3</v>
      </c>
      <c r="H58" s="4" t="n">
        <v>4</v>
      </c>
      <c r="I58" s="4" t="str">
        <v>×</v>
      </c>
      <c r="J58" s="4"/>
      <c r="K58" s="4"/>
      <c r="L58" s="4"/>
      <c r="M58" s="5" t="s">
        <v>15</v>
      </c>
    </row>
    <row r="59" customFormat="false" ht="15.75" hidden="false" customHeight="false" outlineLevel="0" collapsed="false">
      <c r="A59" s="3" t="n">
        <v>46228</v>
      </c>
      <c r="B59" s="4" t="s">
        <v>13</v>
      </c>
      <c r="C59" s="4" t="n">
        <v>5</v>
      </c>
      <c r="D59" s="4" t="n">
        <v>11</v>
      </c>
      <c r="E59" s="4" t="s">
        <v>72</v>
      </c>
      <c r="F59" s="4" t="n">
        <v>31</v>
      </c>
      <c r="G59" s="4" t="n">
        <v>5</v>
      </c>
      <c r="H59" s="4" t="n">
        <v>3</v>
      </c>
      <c r="I59" s="4" t="str">
        <v>○</v>
      </c>
      <c r="J59" s="4" t="n">
        <v>140</v>
      </c>
      <c r="K59" s="4"/>
      <c r="L59" s="4"/>
      <c r="M59" s="5" t="s">
        <v>15</v>
      </c>
    </row>
    <row r="60" customFormat="false" ht="15.75" hidden="false" customHeight="false" outlineLevel="0" collapsed="false">
      <c r="A60" s="3" t="n">
        <v>46228</v>
      </c>
      <c r="B60" s="4" t="s">
        <v>13</v>
      </c>
      <c r="C60" s="4" t="n">
        <v>6</v>
      </c>
      <c r="D60" s="4" t="n">
        <v>1</v>
      </c>
      <c r="E60" s="4" t="s">
        <v>73</v>
      </c>
      <c r="F60" s="4" t="n">
        <v>8</v>
      </c>
      <c r="G60" s="4" t="n">
        <v>13</v>
      </c>
      <c r="H60" s="4" t="n">
        <v>4</v>
      </c>
      <c r="I60" s="4" t="str">
        <v>×</v>
      </c>
      <c r="J60" s="4"/>
      <c r="K60" s="4"/>
      <c r="L60" s="4"/>
      <c r="M60" s="5" t="s">
        <v>15</v>
      </c>
    </row>
    <row r="61" customFormat="false" ht="15.75" hidden="false" customHeight="false" outlineLevel="0" collapsed="false">
      <c r="A61" s="3" t="n">
        <v>46228</v>
      </c>
      <c r="B61" s="4" t="s">
        <v>13</v>
      </c>
      <c r="C61" s="4" t="n">
        <v>6</v>
      </c>
      <c r="D61" s="4" t="n">
        <v>2</v>
      </c>
      <c r="E61" s="4" t="s">
        <v>74</v>
      </c>
      <c r="F61" s="4" t="n">
        <v>6</v>
      </c>
      <c r="G61" s="4" t="n">
        <v>15</v>
      </c>
      <c r="H61" s="4" t="n">
        <v>4</v>
      </c>
      <c r="I61" s="4" t="str">
        <v>×</v>
      </c>
      <c r="J61" s="4"/>
      <c r="K61" s="4"/>
      <c r="L61" s="4"/>
      <c r="M61" s="5" t="s">
        <v>15</v>
      </c>
    </row>
    <row r="62" customFormat="false" ht="15.75" hidden="false" customHeight="false" outlineLevel="0" collapsed="false">
      <c r="A62" s="3" t="n">
        <v>46228</v>
      </c>
      <c r="B62" s="4" t="s">
        <v>13</v>
      </c>
      <c r="C62" s="4" t="n">
        <v>6</v>
      </c>
      <c r="D62" s="4" t="n">
        <v>3</v>
      </c>
      <c r="E62" s="4" t="s">
        <v>75</v>
      </c>
      <c r="F62" s="4" t="n">
        <v>44</v>
      </c>
      <c r="G62" s="4" t="n">
        <v>3</v>
      </c>
      <c r="H62" s="4" t="n">
        <v>4</v>
      </c>
      <c r="I62" s="4" t="str">
        <v>×</v>
      </c>
      <c r="J62" s="4"/>
      <c r="K62" s="4"/>
      <c r="L62" s="4"/>
      <c r="M62" s="5" t="s">
        <v>15</v>
      </c>
    </row>
    <row r="63" customFormat="false" ht="15.75" hidden="false" customHeight="false" outlineLevel="0" collapsed="false">
      <c r="A63" s="3" t="n">
        <v>46228</v>
      </c>
      <c r="B63" s="4" t="s">
        <v>13</v>
      </c>
      <c r="C63" s="4" t="n">
        <v>6</v>
      </c>
      <c r="D63" s="4" t="n">
        <v>4</v>
      </c>
      <c r="E63" s="4" t="s">
        <v>76</v>
      </c>
      <c r="F63" s="4" t="n">
        <v>13</v>
      </c>
      <c r="G63" s="4" t="n">
        <v>10</v>
      </c>
      <c r="H63" s="4" t="n">
        <v>4</v>
      </c>
      <c r="I63" s="4" t="str">
        <v>×</v>
      </c>
      <c r="J63" s="4"/>
      <c r="K63" s="4"/>
      <c r="L63" s="4"/>
      <c r="M63" s="5" t="s">
        <v>15</v>
      </c>
    </row>
    <row r="64" customFormat="false" ht="15.75" hidden="false" customHeight="false" outlineLevel="0" collapsed="false">
      <c r="A64" s="3" t="n">
        <v>46228</v>
      </c>
      <c r="B64" s="4" t="s">
        <v>13</v>
      </c>
      <c r="C64" s="4" t="n">
        <v>6</v>
      </c>
      <c r="D64" s="4" t="n">
        <v>5</v>
      </c>
      <c r="E64" s="4" t="s">
        <v>77</v>
      </c>
      <c r="F64" s="4" t="n">
        <v>13</v>
      </c>
      <c r="G64" s="4" t="n">
        <v>10</v>
      </c>
      <c r="H64" s="4" t="n">
        <v>4</v>
      </c>
      <c r="I64" s="4" t="str">
        <v>×</v>
      </c>
      <c r="J64" s="4"/>
      <c r="K64" s="4"/>
      <c r="L64" s="4"/>
      <c r="M64" s="5" t="s">
        <v>15</v>
      </c>
    </row>
    <row r="65" customFormat="false" ht="15.75" hidden="false" customHeight="false" outlineLevel="0" collapsed="false">
      <c r="A65" s="3" t="n">
        <v>46228</v>
      </c>
      <c r="B65" s="4" t="s">
        <v>13</v>
      </c>
      <c r="C65" s="4" t="n">
        <v>6</v>
      </c>
      <c r="D65" s="4" t="n">
        <v>6</v>
      </c>
      <c r="E65" s="4" t="s">
        <v>78</v>
      </c>
      <c r="F65" s="4" t="n">
        <v>8</v>
      </c>
      <c r="G65" s="4" t="n">
        <v>13</v>
      </c>
      <c r="H65" s="4" t="n">
        <v>4</v>
      </c>
      <c r="I65" s="4" t="str">
        <v>×</v>
      </c>
      <c r="J65" s="4"/>
      <c r="K65" s="4"/>
      <c r="L65" s="4"/>
      <c r="M65" s="5" t="s">
        <v>15</v>
      </c>
    </row>
    <row r="66" customFormat="false" ht="15.75" hidden="false" customHeight="false" outlineLevel="0" collapsed="false">
      <c r="A66" s="3" t="n">
        <v>46228</v>
      </c>
      <c r="B66" s="4" t="s">
        <v>13</v>
      </c>
      <c r="C66" s="4" t="n">
        <v>6</v>
      </c>
      <c r="D66" s="4" t="n">
        <v>7</v>
      </c>
      <c r="E66" s="4" t="s">
        <v>79</v>
      </c>
      <c r="F66" s="4" t="n">
        <v>25</v>
      </c>
      <c r="G66" s="4" t="n">
        <v>4</v>
      </c>
      <c r="H66" s="4" t="n">
        <v>1</v>
      </c>
      <c r="I66" s="4" t="str">
        <v>○</v>
      </c>
      <c r="J66" s="4" t="n">
        <v>220</v>
      </c>
      <c r="K66" s="4"/>
      <c r="L66" s="4"/>
      <c r="M66" s="5" t="s">
        <v>15</v>
      </c>
    </row>
    <row r="67" customFormat="false" ht="15.75" hidden="false" customHeight="false" outlineLevel="0" collapsed="false">
      <c r="A67" s="3" t="n">
        <v>46228</v>
      </c>
      <c r="B67" s="4" t="s">
        <v>13</v>
      </c>
      <c r="C67" s="4" t="n">
        <v>6</v>
      </c>
      <c r="D67" s="4" t="n">
        <v>8</v>
      </c>
      <c r="E67" s="4" t="s">
        <v>80</v>
      </c>
      <c r="F67" s="4" t="n">
        <v>20</v>
      </c>
      <c r="G67" s="4" t="n">
        <v>7</v>
      </c>
      <c r="H67" s="4" t="n">
        <v>4</v>
      </c>
      <c r="I67" s="4" t="str">
        <v>×</v>
      </c>
      <c r="J67" s="4"/>
      <c r="K67" s="4"/>
      <c r="L67" s="4"/>
      <c r="M67" s="5" t="s">
        <v>15</v>
      </c>
    </row>
    <row r="68" customFormat="false" ht="15.75" hidden="false" customHeight="false" outlineLevel="0" collapsed="false">
      <c r="A68" s="3" t="n">
        <v>46228</v>
      </c>
      <c r="B68" s="4" t="s">
        <v>13</v>
      </c>
      <c r="C68" s="4" t="n">
        <v>6</v>
      </c>
      <c r="D68" s="4" t="n">
        <v>9</v>
      </c>
      <c r="E68" s="4" t="s">
        <v>81</v>
      </c>
      <c r="F68" s="4" t="n">
        <v>50</v>
      </c>
      <c r="G68" s="4" t="n">
        <v>2</v>
      </c>
      <c r="H68" s="4" t="n">
        <v>2</v>
      </c>
      <c r="I68" s="4" t="str">
        <v>○</v>
      </c>
      <c r="J68" s="4" t="n">
        <v>160</v>
      </c>
      <c r="K68" s="4"/>
      <c r="L68" s="4"/>
      <c r="M68" s="5" t="s">
        <v>15</v>
      </c>
    </row>
    <row r="69" customFormat="false" ht="15.75" hidden="false" customHeight="false" outlineLevel="0" collapsed="false">
      <c r="A69" s="3" t="n">
        <v>46228</v>
      </c>
      <c r="B69" s="4" t="s">
        <v>13</v>
      </c>
      <c r="C69" s="4" t="n">
        <v>6</v>
      </c>
      <c r="D69" s="4" t="n">
        <v>10</v>
      </c>
      <c r="E69" s="4" t="s">
        <v>82</v>
      </c>
      <c r="F69" s="4" t="n">
        <v>13</v>
      </c>
      <c r="G69" s="4" t="n">
        <v>10</v>
      </c>
      <c r="H69" s="4" t="n">
        <v>4</v>
      </c>
      <c r="I69" s="4" t="str">
        <v>×</v>
      </c>
      <c r="J69" s="4"/>
      <c r="K69" s="4"/>
      <c r="L69" s="4"/>
      <c r="M69" s="5" t="s">
        <v>15</v>
      </c>
    </row>
    <row r="70" customFormat="false" ht="15.75" hidden="false" customHeight="false" outlineLevel="0" collapsed="false">
      <c r="A70" s="3" t="n">
        <v>46228</v>
      </c>
      <c r="B70" s="4" t="s">
        <v>13</v>
      </c>
      <c r="C70" s="4" t="n">
        <v>6</v>
      </c>
      <c r="D70" s="4" t="n">
        <v>11</v>
      </c>
      <c r="E70" s="4" t="s">
        <v>83</v>
      </c>
      <c r="F70" s="4" t="n">
        <v>25</v>
      </c>
      <c r="G70" s="4" t="n">
        <v>4</v>
      </c>
      <c r="H70" s="4" t="n">
        <v>4</v>
      </c>
      <c r="I70" s="4" t="str">
        <v>×</v>
      </c>
      <c r="J70" s="4"/>
      <c r="K70" s="4"/>
      <c r="L70" s="4"/>
      <c r="M70" s="5" t="s">
        <v>15</v>
      </c>
    </row>
    <row r="71" customFormat="false" ht="15.75" hidden="false" customHeight="false" outlineLevel="0" collapsed="false">
      <c r="A71" s="3" t="n">
        <v>46228</v>
      </c>
      <c r="B71" s="4" t="s">
        <v>13</v>
      </c>
      <c r="C71" s="4" t="n">
        <v>6</v>
      </c>
      <c r="D71" s="4" t="n">
        <v>12</v>
      </c>
      <c r="E71" s="4" t="s">
        <v>84</v>
      </c>
      <c r="F71" s="4" t="n">
        <v>15</v>
      </c>
      <c r="G71" s="4" t="n">
        <v>8</v>
      </c>
      <c r="H71" s="4" t="n">
        <v>4</v>
      </c>
      <c r="I71" s="4" t="str">
        <v>×</v>
      </c>
      <c r="J71" s="4"/>
      <c r="K71" s="4"/>
      <c r="L71" s="4"/>
      <c r="M71" s="5" t="s">
        <v>15</v>
      </c>
    </row>
    <row r="72" customFormat="false" ht="15.75" hidden="false" customHeight="false" outlineLevel="0" collapsed="false">
      <c r="A72" s="3" t="n">
        <v>46228</v>
      </c>
      <c r="B72" s="4" t="s">
        <v>13</v>
      </c>
      <c r="C72" s="4" t="n">
        <v>6</v>
      </c>
      <c r="D72" s="4" t="n">
        <v>13</v>
      </c>
      <c r="E72" s="4" t="s">
        <v>85</v>
      </c>
      <c r="F72" s="4" t="n">
        <v>15</v>
      </c>
      <c r="G72" s="4" t="n">
        <v>8</v>
      </c>
      <c r="H72" s="4" t="n">
        <v>4</v>
      </c>
      <c r="I72" s="4" t="str">
        <v>×</v>
      </c>
      <c r="J72" s="4"/>
      <c r="K72" s="4"/>
      <c r="L72" s="4"/>
      <c r="M72" s="5" t="s">
        <v>15</v>
      </c>
    </row>
    <row r="73" customFormat="false" ht="15.75" hidden="false" customHeight="false" outlineLevel="0" collapsed="false">
      <c r="A73" s="3" t="n">
        <v>46228</v>
      </c>
      <c r="B73" s="4" t="s">
        <v>13</v>
      </c>
      <c r="C73" s="4" t="n">
        <v>6</v>
      </c>
      <c r="D73" s="4" t="n">
        <v>14</v>
      </c>
      <c r="E73" s="4" t="s">
        <v>86</v>
      </c>
      <c r="F73" s="4" t="n">
        <v>62</v>
      </c>
      <c r="G73" s="4" t="n">
        <v>1</v>
      </c>
      <c r="H73" s="4" t="n">
        <v>3</v>
      </c>
      <c r="I73" s="4" t="str">
        <v>○</v>
      </c>
      <c r="J73" s="4" t="n">
        <v>130</v>
      </c>
      <c r="K73" s="4"/>
      <c r="L73" s="4"/>
      <c r="M73" s="5" t="s">
        <v>15</v>
      </c>
    </row>
    <row r="74" customFormat="false" ht="15.75" hidden="false" customHeight="false" outlineLevel="0" collapsed="false">
      <c r="A74" s="3" t="n">
        <v>46228</v>
      </c>
      <c r="B74" s="4" t="s">
        <v>13</v>
      </c>
      <c r="C74" s="4" t="n">
        <v>6</v>
      </c>
      <c r="D74" s="4" t="n">
        <v>15</v>
      </c>
      <c r="E74" s="4" t="s">
        <v>87</v>
      </c>
      <c r="F74" s="4" t="n">
        <v>23</v>
      </c>
      <c r="G74" s="4" t="n">
        <v>6</v>
      </c>
      <c r="H74" s="4" t="n">
        <v>4</v>
      </c>
      <c r="I74" s="4" t="str">
        <v>×</v>
      </c>
      <c r="J74" s="4"/>
      <c r="K74" s="4"/>
      <c r="L74" s="4"/>
      <c r="M74" s="5" t="s">
        <v>15</v>
      </c>
    </row>
    <row r="75" customFormat="false" ht="15.75" hidden="false" customHeight="false" outlineLevel="0" collapsed="false">
      <c r="A75" s="3" t="n">
        <v>46228</v>
      </c>
      <c r="B75" s="4" t="s">
        <v>13</v>
      </c>
      <c r="C75" s="4" t="n">
        <v>7</v>
      </c>
      <c r="D75" s="4" t="n">
        <v>1</v>
      </c>
      <c r="E75" s="4" t="s">
        <v>88</v>
      </c>
      <c r="F75" s="4" t="n">
        <v>15</v>
      </c>
      <c r="G75" s="4" t="n">
        <v>10</v>
      </c>
      <c r="H75" s="4" t="n">
        <v>2</v>
      </c>
      <c r="I75" s="4" t="str">
        <v>○</v>
      </c>
      <c r="J75" s="4" t="n">
        <v>370</v>
      </c>
      <c r="K75" s="4"/>
      <c r="L75" s="4"/>
      <c r="M75" s="5" t="s">
        <v>15</v>
      </c>
    </row>
    <row r="76" customFormat="false" ht="15.75" hidden="false" customHeight="false" outlineLevel="0" collapsed="false">
      <c r="A76" s="3" t="n">
        <v>46228</v>
      </c>
      <c r="B76" s="4" t="s">
        <v>13</v>
      </c>
      <c r="C76" s="4" t="n">
        <v>7</v>
      </c>
      <c r="D76" s="4" t="n">
        <v>2</v>
      </c>
      <c r="E76" s="4" t="s">
        <v>89</v>
      </c>
      <c r="F76" s="4" t="n">
        <v>67</v>
      </c>
      <c r="G76" s="4" t="n">
        <v>1</v>
      </c>
      <c r="H76" s="4" t="n">
        <v>4</v>
      </c>
      <c r="I76" s="4" t="str">
        <v>×</v>
      </c>
      <c r="J76" s="4"/>
      <c r="K76" s="4"/>
      <c r="L76" s="4"/>
      <c r="M76" s="5" t="s">
        <v>15</v>
      </c>
    </row>
    <row r="77" customFormat="false" ht="15.75" hidden="false" customHeight="false" outlineLevel="0" collapsed="false">
      <c r="A77" s="3" t="n">
        <v>46228</v>
      </c>
      <c r="B77" s="4" t="s">
        <v>13</v>
      </c>
      <c r="C77" s="4" t="n">
        <v>7</v>
      </c>
      <c r="D77" s="4" t="n">
        <v>3</v>
      </c>
      <c r="E77" s="4" t="s">
        <v>90</v>
      </c>
      <c r="F77" s="4" t="n">
        <v>23</v>
      </c>
      <c r="G77" s="4" t="n">
        <v>5</v>
      </c>
      <c r="H77" s="4" t="n">
        <v>3</v>
      </c>
      <c r="I77" s="4" t="str">
        <v>○</v>
      </c>
      <c r="J77" s="4" t="n">
        <v>350</v>
      </c>
      <c r="K77" s="4"/>
      <c r="L77" s="4"/>
      <c r="M77" s="5" t="s">
        <v>15</v>
      </c>
    </row>
    <row r="78" customFormat="false" ht="15.75" hidden="false" customHeight="false" outlineLevel="0" collapsed="false">
      <c r="A78" s="3" t="n">
        <v>46228</v>
      </c>
      <c r="B78" s="4" t="s">
        <v>13</v>
      </c>
      <c r="C78" s="4" t="n">
        <v>7</v>
      </c>
      <c r="D78" s="4" t="n">
        <v>4</v>
      </c>
      <c r="E78" s="4" t="s">
        <v>91</v>
      </c>
      <c r="F78" s="4" t="n">
        <v>17</v>
      </c>
      <c r="G78" s="4" t="n">
        <v>9</v>
      </c>
      <c r="H78" s="4" t="n">
        <v>4</v>
      </c>
      <c r="I78" s="4" t="str">
        <v>×</v>
      </c>
      <c r="J78" s="4"/>
      <c r="K78" s="4"/>
      <c r="L78" s="4"/>
      <c r="M78" s="5" t="s">
        <v>15</v>
      </c>
    </row>
    <row r="79" customFormat="false" ht="15.75" hidden="false" customHeight="false" outlineLevel="0" collapsed="false">
      <c r="A79" s="3" t="n">
        <v>46228</v>
      </c>
      <c r="B79" s="4" t="s">
        <v>13</v>
      </c>
      <c r="C79" s="4" t="n">
        <v>7</v>
      </c>
      <c r="D79" s="4" t="n">
        <v>5</v>
      </c>
      <c r="E79" s="4" t="s">
        <v>92</v>
      </c>
      <c r="F79" s="4" t="n">
        <v>6</v>
      </c>
      <c r="G79" s="4" t="n">
        <v>14</v>
      </c>
      <c r="H79" s="4" t="n">
        <v>4</v>
      </c>
      <c r="I79" s="4" t="str">
        <v>×</v>
      </c>
      <c r="J79" s="4"/>
      <c r="K79" s="4"/>
      <c r="L79" s="4"/>
      <c r="M79" s="5" t="s">
        <v>15</v>
      </c>
    </row>
    <row r="80" customFormat="false" ht="15.75" hidden="false" customHeight="false" outlineLevel="0" collapsed="false">
      <c r="A80" s="3" t="n">
        <v>46228</v>
      </c>
      <c r="B80" s="4" t="s">
        <v>13</v>
      </c>
      <c r="C80" s="4" t="n">
        <v>7</v>
      </c>
      <c r="D80" s="4" t="n">
        <v>6</v>
      </c>
      <c r="E80" s="4" t="s">
        <v>93</v>
      </c>
      <c r="F80" s="4" t="n">
        <v>25</v>
      </c>
      <c r="G80" s="4" t="n">
        <v>4</v>
      </c>
      <c r="H80" s="4" t="n">
        <v>1</v>
      </c>
      <c r="I80" s="4" t="str">
        <v>○</v>
      </c>
      <c r="J80" s="4" t="n">
        <v>310</v>
      </c>
      <c r="K80" s="4"/>
      <c r="L80" s="4"/>
      <c r="M80" s="5" t="s">
        <v>15</v>
      </c>
    </row>
    <row r="81" customFormat="false" ht="15.75" hidden="false" customHeight="false" outlineLevel="0" collapsed="false">
      <c r="A81" s="3" t="n">
        <v>46228</v>
      </c>
      <c r="B81" s="4" t="s">
        <v>13</v>
      </c>
      <c r="C81" s="4" t="n">
        <v>7</v>
      </c>
      <c r="D81" s="4" t="n">
        <v>7</v>
      </c>
      <c r="E81" s="4" t="s">
        <v>94</v>
      </c>
      <c r="F81" s="4" t="n">
        <v>3</v>
      </c>
      <c r="G81" s="4" t="n">
        <v>16</v>
      </c>
      <c r="H81" s="4" t="n">
        <v>4</v>
      </c>
      <c r="I81" s="4" t="str">
        <v>×</v>
      </c>
      <c r="J81" s="4"/>
      <c r="K81" s="4"/>
      <c r="L81" s="4"/>
      <c r="M81" s="5" t="s">
        <v>15</v>
      </c>
    </row>
    <row r="82" customFormat="false" ht="15.75" hidden="false" customHeight="false" outlineLevel="0" collapsed="false">
      <c r="A82" s="3" t="n">
        <v>46228</v>
      </c>
      <c r="B82" s="4" t="s">
        <v>13</v>
      </c>
      <c r="C82" s="4" t="n">
        <v>7</v>
      </c>
      <c r="D82" s="4" t="n">
        <v>8</v>
      </c>
      <c r="E82" s="4" t="s">
        <v>95</v>
      </c>
      <c r="F82" s="4" t="n">
        <v>29</v>
      </c>
      <c r="G82" s="4" t="n">
        <v>3</v>
      </c>
      <c r="H82" s="4" t="n">
        <v>4</v>
      </c>
      <c r="I82" s="4" t="str">
        <v>×</v>
      </c>
      <c r="J82" s="4"/>
      <c r="K82" s="4"/>
      <c r="L82" s="4"/>
      <c r="M82" s="5" t="s">
        <v>15</v>
      </c>
    </row>
    <row r="83" customFormat="false" ht="15.75" hidden="false" customHeight="false" outlineLevel="0" collapsed="false">
      <c r="A83" s="3" t="n">
        <v>46228</v>
      </c>
      <c r="B83" s="4" t="s">
        <v>13</v>
      </c>
      <c r="C83" s="4" t="n">
        <v>7</v>
      </c>
      <c r="D83" s="4" t="n">
        <v>9</v>
      </c>
      <c r="E83" s="4" t="s">
        <v>96</v>
      </c>
      <c r="F83" s="4" t="n">
        <v>23</v>
      </c>
      <c r="G83" s="4" t="n">
        <v>5</v>
      </c>
      <c r="H83" s="4" t="n">
        <v>4</v>
      </c>
      <c r="I83" s="4" t="str">
        <v>×</v>
      </c>
      <c r="J83" s="4"/>
      <c r="K83" s="4"/>
      <c r="L83" s="4"/>
      <c r="M83" s="5" t="s">
        <v>15</v>
      </c>
    </row>
    <row r="84" customFormat="false" ht="15.75" hidden="false" customHeight="false" outlineLevel="0" collapsed="false">
      <c r="A84" s="3" t="n">
        <v>46228</v>
      </c>
      <c r="B84" s="4" t="s">
        <v>13</v>
      </c>
      <c r="C84" s="4" t="n">
        <v>7</v>
      </c>
      <c r="D84" s="4" t="n">
        <v>10</v>
      </c>
      <c r="E84" s="4" t="s">
        <v>97</v>
      </c>
      <c r="F84" s="4" t="n">
        <v>15</v>
      </c>
      <c r="G84" s="4" t="n">
        <v>10</v>
      </c>
      <c r="H84" s="4" t="n">
        <v>4</v>
      </c>
      <c r="I84" s="4" t="str">
        <v>×</v>
      </c>
      <c r="J84" s="4"/>
      <c r="K84" s="4"/>
      <c r="L84" s="4"/>
      <c r="M84" s="5" t="s">
        <v>15</v>
      </c>
    </row>
    <row r="85" customFormat="false" ht="15.75" hidden="false" customHeight="false" outlineLevel="0" collapsed="false">
      <c r="A85" s="3" t="n">
        <v>46228</v>
      </c>
      <c r="B85" s="4" t="s">
        <v>13</v>
      </c>
      <c r="C85" s="4" t="n">
        <v>7</v>
      </c>
      <c r="D85" s="4" t="n">
        <v>11</v>
      </c>
      <c r="E85" s="4" t="s">
        <v>98</v>
      </c>
      <c r="F85" s="4" t="n">
        <v>20</v>
      </c>
      <c r="G85" s="4" t="n">
        <v>8</v>
      </c>
      <c r="H85" s="4" t="n">
        <v>4</v>
      </c>
      <c r="I85" s="4" t="str">
        <v>×</v>
      </c>
      <c r="J85" s="4"/>
      <c r="K85" s="4"/>
      <c r="L85" s="4"/>
      <c r="M85" s="5" t="s">
        <v>15</v>
      </c>
    </row>
    <row r="86" customFormat="false" ht="15.75" hidden="false" customHeight="false" outlineLevel="0" collapsed="false">
      <c r="A86" s="3" t="n">
        <v>46228</v>
      </c>
      <c r="B86" s="4" t="s">
        <v>13</v>
      </c>
      <c r="C86" s="4" t="n">
        <v>7</v>
      </c>
      <c r="D86" s="4" t="n">
        <v>12</v>
      </c>
      <c r="E86" s="4" t="s">
        <v>99</v>
      </c>
      <c r="F86" s="4" t="n">
        <v>6</v>
      </c>
      <c r="G86" s="4" t="n">
        <v>14</v>
      </c>
      <c r="H86" s="4" t="n">
        <v>4</v>
      </c>
      <c r="I86" s="4" t="str">
        <v>×</v>
      </c>
      <c r="J86" s="4"/>
      <c r="K86" s="4"/>
      <c r="L86" s="4"/>
      <c r="M86" s="5" t="s">
        <v>15</v>
      </c>
    </row>
    <row r="87" customFormat="false" ht="15.75" hidden="false" customHeight="false" outlineLevel="0" collapsed="false">
      <c r="A87" s="3" t="n">
        <v>46228</v>
      </c>
      <c r="B87" s="4" t="s">
        <v>13</v>
      </c>
      <c r="C87" s="4" t="n">
        <v>7</v>
      </c>
      <c r="D87" s="4" t="n">
        <v>13</v>
      </c>
      <c r="E87" s="4" t="s">
        <v>100</v>
      </c>
      <c r="F87" s="4" t="n">
        <v>8</v>
      </c>
      <c r="G87" s="4" t="n">
        <v>12</v>
      </c>
      <c r="H87" s="4" t="n">
        <v>4</v>
      </c>
      <c r="I87" s="4" t="str">
        <v>×</v>
      </c>
      <c r="J87" s="4"/>
      <c r="K87" s="4"/>
      <c r="L87" s="4"/>
      <c r="M87" s="5" t="s">
        <v>15</v>
      </c>
    </row>
    <row r="88" customFormat="false" ht="15.75" hidden="false" customHeight="false" outlineLevel="0" collapsed="false">
      <c r="A88" s="3" t="n">
        <v>46228</v>
      </c>
      <c r="B88" s="4" t="s">
        <v>13</v>
      </c>
      <c r="C88" s="4" t="n">
        <v>7</v>
      </c>
      <c r="D88" s="4" t="n">
        <v>14</v>
      </c>
      <c r="E88" s="4" t="s">
        <v>101</v>
      </c>
      <c r="F88" s="4" t="n">
        <v>3</v>
      </c>
      <c r="G88" s="4" t="n">
        <v>16</v>
      </c>
      <c r="H88" s="4" t="n">
        <v>4</v>
      </c>
      <c r="I88" s="4" t="str">
        <v>×</v>
      </c>
      <c r="J88" s="4"/>
      <c r="K88" s="4"/>
      <c r="L88" s="4"/>
      <c r="M88" s="5" t="s">
        <v>15</v>
      </c>
    </row>
    <row r="89" customFormat="false" ht="15.75" hidden="false" customHeight="false" outlineLevel="0" collapsed="false">
      <c r="A89" s="3" t="n">
        <v>46228</v>
      </c>
      <c r="B89" s="4" t="s">
        <v>13</v>
      </c>
      <c r="C89" s="4" t="n">
        <v>7</v>
      </c>
      <c r="D89" s="4" t="n">
        <v>15</v>
      </c>
      <c r="E89" s="4" t="s">
        <v>102</v>
      </c>
      <c r="F89" s="4" t="n">
        <v>1</v>
      </c>
      <c r="G89" s="4" t="n">
        <v>18</v>
      </c>
      <c r="H89" s="4" t="n">
        <v>4</v>
      </c>
      <c r="I89" s="4" t="str">
        <v>×</v>
      </c>
      <c r="J89" s="4"/>
      <c r="K89" s="4"/>
      <c r="L89" s="4"/>
      <c r="M89" s="5" t="s">
        <v>15</v>
      </c>
    </row>
    <row r="90" customFormat="false" ht="15.75" hidden="false" customHeight="false" outlineLevel="0" collapsed="false">
      <c r="A90" s="3" t="n">
        <v>46228</v>
      </c>
      <c r="B90" s="4" t="s">
        <v>13</v>
      </c>
      <c r="C90" s="4" t="n">
        <v>7</v>
      </c>
      <c r="D90" s="4" t="n">
        <v>16</v>
      </c>
      <c r="E90" s="4" t="s">
        <v>103</v>
      </c>
      <c r="F90" s="4" t="n">
        <v>23</v>
      </c>
      <c r="G90" s="4" t="n">
        <v>5</v>
      </c>
      <c r="H90" s="4" t="n">
        <v>4</v>
      </c>
      <c r="I90" s="4" t="str">
        <v>×</v>
      </c>
      <c r="J90" s="4"/>
      <c r="K90" s="4"/>
      <c r="L90" s="4"/>
      <c r="M90" s="5" t="s">
        <v>15</v>
      </c>
    </row>
    <row r="91" customFormat="false" ht="15.75" hidden="false" customHeight="false" outlineLevel="0" collapsed="false">
      <c r="A91" s="3" t="n">
        <v>46228</v>
      </c>
      <c r="B91" s="4" t="s">
        <v>13</v>
      </c>
      <c r="C91" s="4" t="n">
        <v>7</v>
      </c>
      <c r="D91" s="4" t="n">
        <v>17</v>
      </c>
      <c r="E91" s="4" t="s">
        <v>104</v>
      </c>
      <c r="F91" s="4" t="n">
        <v>31</v>
      </c>
      <c r="G91" s="4" t="n">
        <v>2</v>
      </c>
      <c r="H91" s="4" t="n">
        <v>4</v>
      </c>
      <c r="I91" s="4" t="str">
        <v>×</v>
      </c>
      <c r="J91" s="4"/>
      <c r="K91" s="4"/>
      <c r="L91" s="4"/>
      <c r="M91" s="5" t="s">
        <v>15</v>
      </c>
    </row>
    <row r="92" customFormat="false" ht="15.75" hidden="false" customHeight="false" outlineLevel="0" collapsed="false">
      <c r="A92" s="3" t="n">
        <v>46228</v>
      </c>
      <c r="B92" s="4" t="s">
        <v>13</v>
      </c>
      <c r="C92" s="4" t="n">
        <v>7</v>
      </c>
      <c r="D92" s="4" t="n">
        <v>18</v>
      </c>
      <c r="E92" s="4" t="s">
        <v>105</v>
      </c>
      <c r="F92" s="4" t="n">
        <v>8</v>
      </c>
      <c r="G92" s="4" t="n">
        <v>12</v>
      </c>
      <c r="H92" s="4" t="n">
        <v>4</v>
      </c>
      <c r="I92" s="4" t="str">
        <v>×</v>
      </c>
      <c r="J92" s="4"/>
      <c r="K92" s="4"/>
      <c r="L92" s="4"/>
      <c r="M92" s="5" t="s">
        <v>15</v>
      </c>
    </row>
    <row r="93" customFormat="false" ht="15.75" hidden="false" customHeight="false" outlineLevel="0" collapsed="false">
      <c r="A93" s="3" t="n">
        <v>46228</v>
      </c>
      <c r="B93" s="4" t="s">
        <v>13</v>
      </c>
      <c r="C93" s="4" t="n">
        <v>8</v>
      </c>
      <c r="D93" s="4" t="n">
        <v>1</v>
      </c>
      <c r="E93" s="4" t="s">
        <v>106</v>
      </c>
      <c r="F93" s="4" t="n">
        <v>23</v>
      </c>
      <c r="G93" s="4" t="n">
        <v>5</v>
      </c>
      <c r="H93" s="4" t="n">
        <v>4</v>
      </c>
      <c r="I93" s="4" t="str">
        <v>×</v>
      </c>
      <c r="J93" s="4"/>
      <c r="K93" s="4"/>
      <c r="L93" s="4"/>
      <c r="M93" s="5" t="s">
        <v>15</v>
      </c>
    </row>
    <row r="94" customFormat="false" ht="15.75" hidden="false" customHeight="false" outlineLevel="0" collapsed="false">
      <c r="A94" s="3" t="n">
        <v>46228</v>
      </c>
      <c r="B94" s="4" t="s">
        <v>13</v>
      </c>
      <c r="C94" s="4" t="n">
        <v>8</v>
      </c>
      <c r="D94" s="4" t="n">
        <v>2</v>
      </c>
      <c r="E94" s="4" t="s">
        <v>107</v>
      </c>
      <c r="F94" s="4" t="n">
        <v>10</v>
      </c>
      <c r="G94" s="4" t="n">
        <v>8</v>
      </c>
      <c r="H94" s="4" t="n">
        <v>3</v>
      </c>
      <c r="I94" s="4" t="str">
        <v>○</v>
      </c>
      <c r="J94" s="4" t="n">
        <v>690</v>
      </c>
      <c r="K94" s="4"/>
      <c r="L94" s="4"/>
      <c r="M94" s="5" t="s">
        <v>15</v>
      </c>
    </row>
    <row r="95" customFormat="false" ht="15.75" hidden="false" customHeight="false" outlineLevel="0" collapsed="false">
      <c r="A95" s="3" t="n">
        <v>46228</v>
      </c>
      <c r="B95" s="4" t="s">
        <v>13</v>
      </c>
      <c r="C95" s="4" t="n">
        <v>8</v>
      </c>
      <c r="D95" s="4" t="n">
        <v>3</v>
      </c>
      <c r="E95" s="4" t="s">
        <v>108</v>
      </c>
      <c r="F95" s="4" t="n">
        <v>10</v>
      </c>
      <c r="G95" s="4" t="n">
        <v>8</v>
      </c>
      <c r="H95" s="4" t="n">
        <v>4</v>
      </c>
      <c r="I95" s="4" t="str">
        <v>×</v>
      </c>
      <c r="J95" s="4"/>
      <c r="K95" s="4"/>
      <c r="L95" s="4"/>
      <c r="M95" s="5" t="s">
        <v>15</v>
      </c>
    </row>
    <row r="96" customFormat="false" ht="15.75" hidden="false" customHeight="false" outlineLevel="0" collapsed="false">
      <c r="A96" s="3" t="n">
        <v>46228</v>
      </c>
      <c r="B96" s="4" t="s">
        <v>13</v>
      </c>
      <c r="C96" s="4" t="n">
        <v>8</v>
      </c>
      <c r="D96" s="4" t="n">
        <v>4</v>
      </c>
      <c r="E96" s="4" t="s">
        <v>109</v>
      </c>
      <c r="F96" s="4" t="n">
        <v>4</v>
      </c>
      <c r="G96" s="4" t="n">
        <v>13</v>
      </c>
      <c r="H96" s="4" t="n">
        <v>4</v>
      </c>
      <c r="I96" s="4" t="str">
        <v>×</v>
      </c>
      <c r="J96" s="4"/>
      <c r="K96" s="4"/>
      <c r="L96" s="4"/>
      <c r="M96" s="5" t="s">
        <v>15</v>
      </c>
    </row>
    <row r="97" customFormat="false" ht="15.75" hidden="false" customHeight="false" outlineLevel="0" collapsed="false">
      <c r="A97" s="3" t="n">
        <v>46228</v>
      </c>
      <c r="B97" s="4" t="s">
        <v>13</v>
      </c>
      <c r="C97" s="4" t="n">
        <v>8</v>
      </c>
      <c r="D97" s="4" t="n">
        <v>5</v>
      </c>
      <c r="E97" s="4" t="s">
        <v>110</v>
      </c>
      <c r="F97" s="4" t="n">
        <v>37</v>
      </c>
      <c r="G97" s="4" t="n">
        <v>3</v>
      </c>
      <c r="H97" s="4" t="n">
        <v>4</v>
      </c>
      <c r="I97" s="4" t="str">
        <v>×</v>
      </c>
      <c r="J97" s="4"/>
      <c r="K97" s="4"/>
      <c r="L97" s="4"/>
      <c r="M97" s="5" t="s">
        <v>15</v>
      </c>
    </row>
    <row r="98" customFormat="false" ht="15.75" hidden="false" customHeight="false" outlineLevel="0" collapsed="false">
      <c r="A98" s="3" t="n">
        <v>46228</v>
      </c>
      <c r="B98" s="4" t="s">
        <v>13</v>
      </c>
      <c r="C98" s="4" t="n">
        <v>8</v>
      </c>
      <c r="D98" s="4" t="n">
        <v>6</v>
      </c>
      <c r="E98" s="4" t="s">
        <v>111</v>
      </c>
      <c r="F98" s="4" t="n">
        <v>15</v>
      </c>
      <c r="G98" s="4" t="n">
        <v>7</v>
      </c>
      <c r="H98" s="4" t="n">
        <v>1</v>
      </c>
      <c r="I98" s="4" t="str">
        <v>○</v>
      </c>
      <c r="J98" s="4" t="n">
        <v>200</v>
      </c>
      <c r="K98" s="4"/>
      <c r="L98" s="4"/>
      <c r="M98" s="5" t="s">
        <v>15</v>
      </c>
    </row>
    <row r="99" customFormat="false" ht="15.75" hidden="false" customHeight="false" outlineLevel="0" collapsed="false">
      <c r="A99" s="3" t="n">
        <v>46228</v>
      </c>
      <c r="B99" s="4" t="s">
        <v>13</v>
      </c>
      <c r="C99" s="4" t="n">
        <v>8</v>
      </c>
      <c r="D99" s="4" t="n">
        <v>7</v>
      </c>
      <c r="E99" s="4" t="s">
        <v>112</v>
      </c>
      <c r="F99" s="4" t="n">
        <v>10</v>
      </c>
      <c r="G99" s="4" t="n">
        <v>8</v>
      </c>
      <c r="H99" s="4" t="n">
        <v>4</v>
      </c>
      <c r="I99" s="4" t="str">
        <v>×</v>
      </c>
      <c r="J99" s="4"/>
      <c r="K99" s="4"/>
      <c r="L99" s="4"/>
      <c r="M99" s="5" t="s">
        <v>15</v>
      </c>
    </row>
    <row r="100" customFormat="false" ht="15.75" hidden="false" customHeight="false" outlineLevel="0" collapsed="false">
      <c r="A100" s="3" t="n">
        <v>46228</v>
      </c>
      <c r="B100" s="4" t="s">
        <v>13</v>
      </c>
      <c r="C100" s="4" t="n">
        <v>8</v>
      </c>
      <c r="D100" s="4" t="n">
        <v>8</v>
      </c>
      <c r="E100" s="4" t="s">
        <v>113</v>
      </c>
      <c r="F100" s="4" t="n">
        <v>29</v>
      </c>
      <c r="G100" s="4" t="n">
        <v>4</v>
      </c>
      <c r="H100" s="4" t="n">
        <v>4</v>
      </c>
      <c r="I100" s="4" t="str">
        <v>×</v>
      </c>
      <c r="J100" s="4"/>
      <c r="K100" s="4"/>
      <c r="L100" s="4"/>
      <c r="M100" s="5" t="s">
        <v>15</v>
      </c>
    </row>
    <row r="101" customFormat="false" ht="15.75" hidden="false" customHeight="false" outlineLevel="0" collapsed="false">
      <c r="A101" s="3" t="n">
        <v>46228</v>
      </c>
      <c r="B101" s="4" t="s">
        <v>13</v>
      </c>
      <c r="C101" s="4" t="n">
        <v>8</v>
      </c>
      <c r="D101" s="4" t="n">
        <v>9</v>
      </c>
      <c r="E101" s="4" t="s">
        <v>114</v>
      </c>
      <c r="F101" s="4" t="n">
        <v>23</v>
      </c>
      <c r="G101" s="4" t="n">
        <v>5</v>
      </c>
      <c r="H101" s="4" t="n">
        <v>4</v>
      </c>
      <c r="I101" s="4" t="str">
        <v>×</v>
      </c>
      <c r="J101" s="4"/>
      <c r="K101" s="4"/>
      <c r="L101" s="4"/>
      <c r="M101" s="5" t="s">
        <v>15</v>
      </c>
    </row>
    <row r="102" customFormat="false" ht="15.75" hidden="false" customHeight="false" outlineLevel="0" collapsed="false">
      <c r="A102" s="3" t="n">
        <v>46228</v>
      </c>
      <c r="B102" s="4" t="s">
        <v>13</v>
      </c>
      <c r="C102" s="4" t="n">
        <v>8</v>
      </c>
      <c r="D102" s="4" t="n">
        <v>10</v>
      </c>
      <c r="E102" s="4" t="s">
        <v>115</v>
      </c>
      <c r="F102" s="4" t="n">
        <v>62</v>
      </c>
      <c r="G102" s="4" t="n">
        <v>1</v>
      </c>
      <c r="H102" s="4" t="n">
        <v>2</v>
      </c>
      <c r="I102" s="4" t="str">
        <v>○</v>
      </c>
      <c r="J102" s="4" t="n">
        <v>200</v>
      </c>
      <c r="K102" s="4"/>
      <c r="L102" s="4"/>
      <c r="M102" s="5" t="s">
        <v>15</v>
      </c>
    </row>
    <row r="103" customFormat="false" ht="15.75" hidden="false" customHeight="false" outlineLevel="0" collapsed="false">
      <c r="A103" s="3" t="n">
        <v>46228</v>
      </c>
      <c r="B103" s="4" t="s">
        <v>13</v>
      </c>
      <c r="C103" s="4" t="n">
        <v>8</v>
      </c>
      <c r="D103" s="4" t="n">
        <v>11</v>
      </c>
      <c r="E103" s="4" t="s">
        <v>116</v>
      </c>
      <c r="F103" s="4" t="n">
        <v>60</v>
      </c>
      <c r="G103" s="4" t="n">
        <v>2</v>
      </c>
      <c r="H103" s="4" t="n">
        <v>4</v>
      </c>
      <c r="I103" s="4" t="str">
        <v>×</v>
      </c>
      <c r="J103" s="4"/>
      <c r="K103" s="4"/>
      <c r="L103" s="4"/>
      <c r="M103" s="5" t="s">
        <v>15</v>
      </c>
    </row>
    <row r="104" customFormat="false" ht="15.75" hidden="false" customHeight="false" outlineLevel="0" collapsed="false">
      <c r="A104" s="3" t="n">
        <v>46228</v>
      </c>
      <c r="B104" s="4" t="s">
        <v>13</v>
      </c>
      <c r="C104" s="4" t="n">
        <v>8</v>
      </c>
      <c r="D104" s="4" t="n">
        <v>12</v>
      </c>
      <c r="E104" s="4" t="s">
        <v>117</v>
      </c>
      <c r="F104" s="4" t="n">
        <v>10</v>
      </c>
      <c r="G104" s="4" t="n">
        <v>8</v>
      </c>
      <c r="H104" s="4" t="n">
        <v>4</v>
      </c>
      <c r="I104" s="4" t="str">
        <v>×</v>
      </c>
      <c r="J104" s="4"/>
      <c r="K104" s="4"/>
      <c r="L104" s="4"/>
      <c r="M104" s="5" t="s">
        <v>15</v>
      </c>
    </row>
    <row r="105" customFormat="false" ht="15.75" hidden="false" customHeight="false" outlineLevel="0" collapsed="false">
      <c r="A105" s="3" t="n">
        <v>46228</v>
      </c>
      <c r="B105" s="4" t="s">
        <v>13</v>
      </c>
      <c r="C105" s="4" t="n">
        <v>8</v>
      </c>
      <c r="D105" s="4" t="n">
        <v>13</v>
      </c>
      <c r="E105" s="4" t="s">
        <v>118</v>
      </c>
      <c r="F105" s="4" t="n">
        <v>10</v>
      </c>
      <c r="G105" s="4" t="n">
        <v>8</v>
      </c>
      <c r="H105" s="4" t="n">
        <v>4</v>
      </c>
      <c r="I105" s="4" t="str">
        <v>×</v>
      </c>
      <c r="J105" s="4"/>
      <c r="K105" s="4"/>
      <c r="L105" s="4"/>
      <c r="M105" s="5" t="s">
        <v>15</v>
      </c>
    </row>
    <row r="106" customFormat="false" ht="15.75" hidden="false" customHeight="false" outlineLevel="0" collapsed="false">
      <c r="A106" s="3" t="n">
        <v>46228</v>
      </c>
      <c r="B106" s="4" t="s">
        <v>13</v>
      </c>
      <c r="C106" s="4" t="n">
        <v>9</v>
      </c>
      <c r="D106" s="4" t="n">
        <v>1</v>
      </c>
      <c r="E106" s="4" t="s">
        <v>119</v>
      </c>
      <c r="F106" s="4" t="n">
        <v>37</v>
      </c>
      <c r="G106" s="4" t="n">
        <v>3</v>
      </c>
      <c r="H106" s="4" t="n">
        <v>4</v>
      </c>
      <c r="I106" s="4" t="str">
        <v>×</v>
      </c>
      <c r="J106" s="4"/>
      <c r="K106" s="4"/>
      <c r="L106" s="4"/>
      <c r="M106" s="5" t="s">
        <v>15</v>
      </c>
    </row>
    <row r="107" customFormat="false" ht="15.75" hidden="false" customHeight="false" outlineLevel="0" collapsed="false">
      <c r="A107" s="3" t="n">
        <v>46228</v>
      </c>
      <c r="B107" s="4" t="s">
        <v>13</v>
      </c>
      <c r="C107" s="4" t="n">
        <v>9</v>
      </c>
      <c r="D107" s="4" t="n">
        <v>2</v>
      </c>
      <c r="E107" s="4" t="s">
        <v>120</v>
      </c>
      <c r="F107" s="4" t="n">
        <v>31</v>
      </c>
      <c r="G107" s="4" t="n">
        <v>8</v>
      </c>
      <c r="H107" s="4" t="n">
        <v>4</v>
      </c>
      <c r="I107" s="4" t="str">
        <v>×</v>
      </c>
      <c r="J107" s="4"/>
      <c r="K107" s="4"/>
      <c r="L107" s="4"/>
      <c r="M107" s="5" t="s">
        <v>15</v>
      </c>
    </row>
    <row r="108" customFormat="false" ht="15.75" hidden="false" customHeight="false" outlineLevel="0" collapsed="false">
      <c r="A108" s="3" t="n">
        <v>46228</v>
      </c>
      <c r="B108" s="4" t="s">
        <v>13</v>
      </c>
      <c r="C108" s="4" t="n">
        <v>9</v>
      </c>
      <c r="D108" s="4" t="n">
        <v>3</v>
      </c>
      <c r="E108" s="4" t="s">
        <v>121</v>
      </c>
      <c r="F108" s="4" t="n">
        <v>55</v>
      </c>
      <c r="G108" s="4" t="n">
        <v>1</v>
      </c>
      <c r="H108" s="4" t="n">
        <v>4</v>
      </c>
      <c r="I108" s="4" t="str">
        <v>×</v>
      </c>
      <c r="J108" s="4"/>
      <c r="K108" s="4"/>
      <c r="L108" s="4"/>
      <c r="M108" s="5" t="s">
        <v>15</v>
      </c>
    </row>
    <row r="109" customFormat="false" ht="15.75" hidden="false" customHeight="false" outlineLevel="0" collapsed="false">
      <c r="A109" s="3" t="n">
        <v>46228</v>
      </c>
      <c r="B109" s="4" t="s">
        <v>13</v>
      </c>
      <c r="C109" s="4" t="n">
        <v>9</v>
      </c>
      <c r="D109" s="4" t="n">
        <v>4</v>
      </c>
      <c r="E109" s="4" t="s">
        <v>122</v>
      </c>
      <c r="F109" s="4" t="n">
        <v>37</v>
      </c>
      <c r="G109" s="4" t="n">
        <v>3</v>
      </c>
      <c r="H109" s="4" t="n">
        <v>2</v>
      </c>
      <c r="I109" s="4" t="str">
        <v>○</v>
      </c>
      <c r="J109" s="4" t="n">
        <v>190</v>
      </c>
      <c r="K109" s="4"/>
      <c r="L109" s="4"/>
      <c r="M109" s="5" t="s">
        <v>15</v>
      </c>
    </row>
    <row r="110" customFormat="false" ht="15.75" hidden="false" customHeight="false" outlineLevel="0" collapsed="false">
      <c r="A110" s="3" t="n">
        <v>46228</v>
      </c>
      <c r="B110" s="4" t="s">
        <v>13</v>
      </c>
      <c r="C110" s="4" t="n">
        <v>9</v>
      </c>
      <c r="D110" s="4" t="n">
        <v>5</v>
      </c>
      <c r="E110" s="4" t="s">
        <v>123</v>
      </c>
      <c r="F110" s="4" t="n">
        <v>16</v>
      </c>
      <c r="G110" s="4" t="n">
        <v>10</v>
      </c>
      <c r="H110" s="4" t="n">
        <v>4</v>
      </c>
      <c r="I110" s="4" t="str">
        <v>×</v>
      </c>
      <c r="J110" s="4"/>
      <c r="K110" s="4"/>
      <c r="L110" s="4"/>
      <c r="M110" s="5" t="s">
        <v>15</v>
      </c>
    </row>
    <row r="111" customFormat="false" ht="15.75" hidden="false" customHeight="false" outlineLevel="0" collapsed="false">
      <c r="A111" s="3" t="n">
        <v>46228</v>
      </c>
      <c r="B111" s="4" t="s">
        <v>13</v>
      </c>
      <c r="C111" s="4" t="n">
        <v>9</v>
      </c>
      <c r="D111" s="4" t="n">
        <v>6</v>
      </c>
      <c r="E111" s="4" t="s">
        <v>124</v>
      </c>
      <c r="F111" s="4" t="n">
        <v>27</v>
      </c>
      <c r="G111" s="4" t="n">
        <v>9</v>
      </c>
      <c r="H111" s="4" t="n">
        <v>4</v>
      </c>
      <c r="I111" s="4" t="str">
        <v>×</v>
      </c>
      <c r="J111" s="4"/>
      <c r="K111" s="4"/>
      <c r="L111" s="4"/>
      <c r="M111" s="5" t="s">
        <v>15</v>
      </c>
    </row>
    <row r="112" customFormat="false" ht="15.75" hidden="false" customHeight="false" outlineLevel="0" collapsed="false">
      <c r="A112" s="3" t="n">
        <v>46228</v>
      </c>
      <c r="B112" s="4" t="s">
        <v>13</v>
      </c>
      <c r="C112" s="4" t="n">
        <v>9</v>
      </c>
      <c r="D112" s="4" t="n">
        <v>7</v>
      </c>
      <c r="E112" s="4" t="s">
        <v>125</v>
      </c>
      <c r="F112" s="4" t="n">
        <v>37</v>
      </c>
      <c r="G112" s="4" t="n">
        <v>3</v>
      </c>
      <c r="H112" s="4" t="n">
        <v>4</v>
      </c>
      <c r="I112" s="4" t="str">
        <v>×</v>
      </c>
      <c r="J112" s="4"/>
      <c r="K112" s="4"/>
      <c r="L112" s="4"/>
      <c r="M112" s="5" t="s">
        <v>15</v>
      </c>
    </row>
    <row r="113" customFormat="false" ht="15.75" hidden="false" customHeight="false" outlineLevel="0" collapsed="false">
      <c r="A113" s="3" t="n">
        <v>46228</v>
      </c>
      <c r="B113" s="4" t="s">
        <v>13</v>
      </c>
      <c r="C113" s="4" t="n">
        <v>9</v>
      </c>
      <c r="D113" s="4" t="n">
        <v>8</v>
      </c>
      <c r="E113" s="4" t="s">
        <v>126</v>
      </c>
      <c r="F113" s="4" t="n">
        <v>44</v>
      </c>
      <c r="G113" s="4" t="n">
        <v>2</v>
      </c>
      <c r="H113" s="4" t="n">
        <v>1</v>
      </c>
      <c r="I113" s="4" t="str">
        <v>○</v>
      </c>
      <c r="J113" s="4" t="n">
        <v>240</v>
      </c>
      <c r="K113" s="4"/>
      <c r="L113" s="4"/>
      <c r="M113" s="5" t="s">
        <v>15</v>
      </c>
    </row>
    <row r="114" customFormat="false" ht="15.75" hidden="false" customHeight="false" outlineLevel="0" collapsed="false">
      <c r="A114" s="3" t="n">
        <v>46228</v>
      </c>
      <c r="B114" s="4" t="s">
        <v>13</v>
      </c>
      <c r="C114" s="4" t="n">
        <v>9</v>
      </c>
      <c r="D114" s="4" t="n">
        <v>9</v>
      </c>
      <c r="E114" s="4" t="s">
        <v>127</v>
      </c>
      <c r="F114" s="4" t="n">
        <v>37</v>
      </c>
      <c r="G114" s="4" t="n">
        <v>3</v>
      </c>
      <c r="H114" s="4" t="n">
        <v>4</v>
      </c>
      <c r="I114" s="4" t="str">
        <v>×</v>
      </c>
      <c r="J114" s="4"/>
      <c r="K114" s="4"/>
      <c r="L114" s="4"/>
      <c r="M114" s="5" t="s">
        <v>15</v>
      </c>
    </row>
    <row r="115" customFormat="false" ht="15.75" hidden="false" customHeight="false" outlineLevel="0" collapsed="false">
      <c r="A115" s="3" t="n">
        <v>46228</v>
      </c>
      <c r="B115" s="4" t="s">
        <v>13</v>
      </c>
      <c r="C115" s="4" t="n">
        <v>9</v>
      </c>
      <c r="D115" s="4" t="n">
        <v>10</v>
      </c>
      <c r="E115" s="4" t="s">
        <v>128</v>
      </c>
      <c r="F115" s="4" t="n">
        <v>37</v>
      </c>
      <c r="G115" s="4" t="n">
        <v>3</v>
      </c>
      <c r="H115" s="4" t="n">
        <v>3</v>
      </c>
      <c r="I115" s="4" t="str">
        <v>○</v>
      </c>
      <c r="J115" s="4" t="n">
        <v>620</v>
      </c>
      <c r="K115" s="4"/>
      <c r="L115" s="4"/>
      <c r="M115" s="5" t="s">
        <v>15</v>
      </c>
    </row>
    <row r="116" customFormat="false" ht="15.75" hidden="false" customHeight="false" outlineLevel="0" collapsed="false">
      <c r="A116" s="3" t="n">
        <v>46228</v>
      </c>
      <c r="B116" s="4" t="s">
        <v>13</v>
      </c>
      <c r="C116" s="4" t="n">
        <v>10</v>
      </c>
      <c r="D116" s="4" t="n">
        <v>1</v>
      </c>
      <c r="E116" s="4" t="s">
        <v>129</v>
      </c>
      <c r="F116" s="4" t="n">
        <v>62</v>
      </c>
      <c r="G116" s="4" t="n">
        <v>1</v>
      </c>
      <c r="H116" s="4" t="n">
        <v>4</v>
      </c>
      <c r="I116" s="4" t="str">
        <v>×</v>
      </c>
      <c r="J116" s="4"/>
      <c r="K116" s="4"/>
      <c r="L116" s="4"/>
      <c r="M116" s="5" t="s">
        <v>15</v>
      </c>
    </row>
    <row r="117" customFormat="false" ht="15.75" hidden="false" customHeight="false" outlineLevel="0" collapsed="false">
      <c r="A117" s="3" t="n">
        <v>46228</v>
      </c>
      <c r="B117" s="4" t="s">
        <v>13</v>
      </c>
      <c r="C117" s="4" t="n">
        <v>10</v>
      </c>
      <c r="D117" s="4" t="n">
        <v>2</v>
      </c>
      <c r="E117" s="4" t="s">
        <v>130</v>
      </c>
      <c r="F117" s="4" t="n">
        <v>8</v>
      </c>
      <c r="G117" s="4" t="n">
        <v>8</v>
      </c>
      <c r="H117" s="4" t="n">
        <v>4</v>
      </c>
      <c r="I117" s="4" t="str">
        <v>×</v>
      </c>
      <c r="J117" s="4"/>
      <c r="K117" s="4"/>
      <c r="L117" s="4"/>
      <c r="M117" s="5" t="s">
        <v>15</v>
      </c>
    </row>
    <row r="118" customFormat="false" ht="15.75" hidden="false" customHeight="false" outlineLevel="0" collapsed="false">
      <c r="A118" s="3" t="n">
        <v>46228</v>
      </c>
      <c r="B118" s="4" t="s">
        <v>13</v>
      </c>
      <c r="C118" s="4" t="n">
        <v>10</v>
      </c>
      <c r="D118" s="4" t="n">
        <v>3</v>
      </c>
      <c r="E118" s="4" t="s">
        <v>131</v>
      </c>
      <c r="F118" s="4" t="n">
        <v>13</v>
      </c>
      <c r="G118" s="4" t="n">
        <v>6</v>
      </c>
      <c r="H118" s="4" t="n">
        <v>4</v>
      </c>
      <c r="I118" s="4" t="str">
        <v>×</v>
      </c>
      <c r="J118" s="4"/>
      <c r="K118" s="4"/>
      <c r="L118" s="4"/>
      <c r="M118" s="5" t="s">
        <v>15</v>
      </c>
    </row>
    <row r="119" customFormat="false" ht="15.75" hidden="false" customHeight="false" outlineLevel="0" collapsed="false">
      <c r="A119" s="3" t="n">
        <v>46228</v>
      </c>
      <c r="B119" s="4" t="s">
        <v>13</v>
      </c>
      <c r="C119" s="4" t="n">
        <v>10</v>
      </c>
      <c r="D119" s="4" t="n">
        <v>4</v>
      </c>
      <c r="E119" s="4" t="s">
        <v>132</v>
      </c>
      <c r="F119" s="4" t="n">
        <v>3</v>
      </c>
      <c r="G119" s="4" t="n">
        <v>13</v>
      </c>
      <c r="H119" s="4" t="n">
        <v>4</v>
      </c>
      <c r="I119" s="4" t="str">
        <v>×</v>
      </c>
      <c r="J119" s="4"/>
      <c r="K119" s="4"/>
      <c r="L119" s="4"/>
      <c r="M119" s="5" t="s">
        <v>15</v>
      </c>
    </row>
    <row r="120" customFormat="false" ht="15.75" hidden="false" customHeight="false" outlineLevel="0" collapsed="false">
      <c r="A120" s="3" t="n">
        <v>46228</v>
      </c>
      <c r="B120" s="4" t="s">
        <v>13</v>
      </c>
      <c r="C120" s="4" t="n">
        <v>10</v>
      </c>
      <c r="D120" s="4" t="n">
        <v>5</v>
      </c>
      <c r="E120" s="4" t="s">
        <v>133</v>
      </c>
      <c r="F120" s="4" t="n">
        <v>13</v>
      </c>
      <c r="G120" s="4" t="n">
        <v>6</v>
      </c>
      <c r="H120" s="4" t="n">
        <v>4</v>
      </c>
      <c r="I120" s="4" t="str">
        <v>×</v>
      </c>
      <c r="J120" s="4"/>
      <c r="K120" s="4"/>
      <c r="L120" s="4"/>
      <c r="M120" s="5" t="s">
        <v>15</v>
      </c>
    </row>
    <row r="121" customFormat="false" ht="15.75" hidden="false" customHeight="false" outlineLevel="0" collapsed="false">
      <c r="A121" s="3" t="n">
        <v>46228</v>
      </c>
      <c r="B121" s="4" t="s">
        <v>13</v>
      </c>
      <c r="C121" s="4" t="n">
        <v>10</v>
      </c>
      <c r="D121" s="4" t="n">
        <v>6</v>
      </c>
      <c r="E121" s="4" t="s">
        <v>134</v>
      </c>
      <c r="F121" s="4" t="n">
        <v>3</v>
      </c>
      <c r="G121" s="4" t="n">
        <v>13</v>
      </c>
      <c r="H121" s="4" t="n">
        <v>4</v>
      </c>
      <c r="I121" s="4" t="str">
        <v>×</v>
      </c>
      <c r="J121" s="4"/>
      <c r="K121" s="4"/>
      <c r="L121" s="4"/>
      <c r="M121" s="5" t="s">
        <v>15</v>
      </c>
    </row>
    <row r="122" customFormat="false" ht="15.75" hidden="false" customHeight="false" outlineLevel="0" collapsed="false">
      <c r="A122" s="3" t="n">
        <v>46228</v>
      </c>
      <c r="B122" s="4" t="s">
        <v>13</v>
      </c>
      <c r="C122" s="4" t="n">
        <v>10</v>
      </c>
      <c r="D122" s="4" t="n">
        <v>7</v>
      </c>
      <c r="E122" s="4" t="s">
        <v>135</v>
      </c>
      <c r="F122" s="4" t="n">
        <v>8</v>
      </c>
      <c r="G122" s="4" t="n">
        <v>8</v>
      </c>
      <c r="H122" s="4" t="n">
        <v>4</v>
      </c>
      <c r="I122" s="4" t="str">
        <v>×</v>
      </c>
      <c r="J122" s="4"/>
      <c r="K122" s="4"/>
      <c r="L122" s="4"/>
      <c r="M122" s="5" t="s">
        <v>15</v>
      </c>
    </row>
    <row r="123" customFormat="false" ht="15.75" hidden="false" customHeight="false" outlineLevel="0" collapsed="false">
      <c r="A123" s="3" t="n">
        <v>46228</v>
      </c>
      <c r="B123" s="4" t="s">
        <v>13</v>
      </c>
      <c r="C123" s="4" t="n">
        <v>10</v>
      </c>
      <c r="D123" s="4" t="n">
        <v>8</v>
      </c>
      <c r="E123" s="4" t="s">
        <v>136</v>
      </c>
      <c r="F123" s="4" t="n">
        <v>6</v>
      </c>
      <c r="G123" s="4" t="n">
        <v>10</v>
      </c>
      <c r="H123" s="4" t="n">
        <v>2</v>
      </c>
      <c r="I123" s="4" t="str">
        <v>○</v>
      </c>
      <c r="J123" s="4" t="n">
        <v>210</v>
      </c>
      <c r="K123" s="4"/>
      <c r="L123" s="4"/>
      <c r="M123" s="5" t="s">
        <v>15</v>
      </c>
    </row>
    <row r="124" customFormat="false" ht="15.75" hidden="false" customHeight="false" outlineLevel="0" collapsed="false">
      <c r="A124" s="3" t="n">
        <v>46228</v>
      </c>
      <c r="B124" s="4" t="s">
        <v>13</v>
      </c>
      <c r="C124" s="4" t="n">
        <v>10</v>
      </c>
      <c r="D124" s="4" t="n">
        <v>9</v>
      </c>
      <c r="E124" s="4" t="s">
        <v>137</v>
      </c>
      <c r="F124" s="4" t="n">
        <v>47</v>
      </c>
      <c r="G124" s="4" t="n">
        <v>3</v>
      </c>
      <c r="H124" s="4" t="n">
        <v>1</v>
      </c>
      <c r="I124" s="4" t="str">
        <v>○</v>
      </c>
      <c r="J124" s="4" t="n">
        <v>150</v>
      </c>
      <c r="K124" s="4"/>
      <c r="L124" s="4"/>
      <c r="M124" s="5" t="s">
        <v>15</v>
      </c>
    </row>
    <row r="125" customFormat="false" ht="15.75" hidden="false" customHeight="false" outlineLevel="0" collapsed="false">
      <c r="A125" s="3" t="n">
        <v>46228</v>
      </c>
      <c r="B125" s="4" t="s">
        <v>13</v>
      </c>
      <c r="C125" s="4" t="n">
        <v>10</v>
      </c>
      <c r="D125" s="4" t="n">
        <v>10</v>
      </c>
      <c r="E125" s="4" t="s">
        <v>138</v>
      </c>
      <c r="F125" s="4" t="n">
        <v>6</v>
      </c>
      <c r="G125" s="4" t="n">
        <v>10</v>
      </c>
      <c r="H125" s="4" t="n">
        <v>4</v>
      </c>
      <c r="I125" s="4" t="str">
        <v>×</v>
      </c>
      <c r="J125" s="4"/>
      <c r="K125" s="4"/>
      <c r="L125" s="4"/>
      <c r="M125" s="5" t="s">
        <v>15</v>
      </c>
    </row>
    <row r="126" customFormat="false" ht="15.75" hidden="false" customHeight="false" outlineLevel="0" collapsed="false">
      <c r="A126" s="3" t="n">
        <v>46228</v>
      </c>
      <c r="B126" s="4" t="s">
        <v>13</v>
      </c>
      <c r="C126" s="4" t="n">
        <v>10</v>
      </c>
      <c r="D126" s="4" t="n">
        <v>11</v>
      </c>
      <c r="E126" s="4" t="s">
        <v>139</v>
      </c>
      <c r="F126" s="4" t="n">
        <v>6</v>
      </c>
      <c r="G126" s="4" t="n">
        <v>10</v>
      </c>
      <c r="H126" s="4" t="n">
        <v>4</v>
      </c>
      <c r="I126" s="4" t="str">
        <v>×</v>
      </c>
      <c r="J126" s="4"/>
      <c r="K126" s="4"/>
      <c r="L126" s="4"/>
      <c r="M126" s="5" t="s">
        <v>15</v>
      </c>
    </row>
    <row r="127" customFormat="false" ht="15.75" hidden="false" customHeight="false" outlineLevel="0" collapsed="false">
      <c r="A127" s="3" t="n">
        <v>46228</v>
      </c>
      <c r="B127" s="4" t="s">
        <v>13</v>
      </c>
      <c r="C127" s="4" t="n">
        <v>10</v>
      </c>
      <c r="D127" s="4" t="n">
        <v>12</v>
      </c>
      <c r="E127" s="4" t="s">
        <v>140</v>
      </c>
      <c r="F127" s="4" t="n">
        <v>52</v>
      </c>
      <c r="G127" s="4" t="n">
        <v>2</v>
      </c>
      <c r="H127" s="4" t="n">
        <v>3</v>
      </c>
      <c r="I127" s="4" t="str">
        <v>○</v>
      </c>
      <c r="J127" s="4" t="n">
        <v>150</v>
      </c>
      <c r="K127" s="4"/>
      <c r="L127" s="4"/>
      <c r="M127" s="5" t="s">
        <v>15</v>
      </c>
    </row>
    <row r="128" customFormat="false" ht="15.75" hidden="false" customHeight="false" outlineLevel="0" collapsed="false">
      <c r="A128" s="3" t="n">
        <v>46228</v>
      </c>
      <c r="B128" s="4" t="s">
        <v>13</v>
      </c>
      <c r="C128" s="4" t="n">
        <v>10</v>
      </c>
      <c r="D128" s="4" t="n">
        <v>13</v>
      </c>
      <c r="E128" s="4" t="s">
        <v>141</v>
      </c>
      <c r="F128" s="4" t="n">
        <v>15</v>
      </c>
      <c r="G128" s="4" t="n">
        <v>5</v>
      </c>
      <c r="H128" s="4" t="n">
        <v>4</v>
      </c>
      <c r="I128" s="4" t="str">
        <v>×</v>
      </c>
      <c r="J128" s="4"/>
      <c r="K128" s="4"/>
      <c r="L128" s="4"/>
      <c r="M128" s="5" t="s">
        <v>15</v>
      </c>
    </row>
    <row r="129" customFormat="false" ht="15.75" hidden="false" customHeight="false" outlineLevel="0" collapsed="false">
      <c r="A129" s="3" t="n">
        <v>46228</v>
      </c>
      <c r="B129" s="4" t="s">
        <v>13</v>
      </c>
      <c r="C129" s="4" t="n">
        <v>10</v>
      </c>
      <c r="D129" s="4" t="n">
        <v>14</v>
      </c>
      <c r="E129" s="4" t="s">
        <v>142</v>
      </c>
      <c r="F129" s="4" t="n">
        <v>25</v>
      </c>
      <c r="G129" s="4" t="n">
        <v>4</v>
      </c>
      <c r="H129" s="4" t="n">
        <v>4</v>
      </c>
      <c r="I129" s="4" t="str">
        <v>×</v>
      </c>
      <c r="J129" s="4"/>
      <c r="K129" s="4"/>
      <c r="L129" s="4"/>
      <c r="M129" s="5" t="s">
        <v>15</v>
      </c>
    </row>
    <row r="130" customFormat="false" ht="15.75" hidden="false" customHeight="false" outlineLevel="0" collapsed="false">
      <c r="A130" s="3" t="n">
        <v>46228</v>
      </c>
      <c r="B130" s="4" t="s">
        <v>13</v>
      </c>
      <c r="C130" s="4" t="n">
        <v>10</v>
      </c>
      <c r="D130" s="4" t="n">
        <v>15</v>
      </c>
      <c r="E130" s="4" t="s">
        <v>143</v>
      </c>
      <c r="F130" s="4" t="n">
        <v>2</v>
      </c>
      <c r="G130" s="4" t="n">
        <v>15</v>
      </c>
      <c r="H130" s="4" t="n">
        <v>4</v>
      </c>
      <c r="I130" s="4" t="str">
        <v>×</v>
      </c>
      <c r="J130" s="4"/>
      <c r="K130" s="4"/>
      <c r="L130" s="4"/>
      <c r="M130" s="5" t="s">
        <v>15</v>
      </c>
    </row>
    <row r="131" customFormat="false" ht="15.75" hidden="false" customHeight="false" outlineLevel="0" collapsed="false">
      <c r="A131" s="3" t="n">
        <v>46228</v>
      </c>
      <c r="B131" s="4" t="s">
        <v>13</v>
      </c>
      <c r="C131" s="4" t="n">
        <v>11</v>
      </c>
      <c r="D131" s="4" t="n">
        <v>1</v>
      </c>
      <c r="E131" s="4" t="s">
        <v>144</v>
      </c>
      <c r="F131" s="4" t="n">
        <v>6</v>
      </c>
      <c r="G131" s="4" t="n">
        <v>12</v>
      </c>
      <c r="H131" s="4" t="n">
        <v>4</v>
      </c>
      <c r="I131" s="4" t="str">
        <v>×</v>
      </c>
      <c r="J131" s="4"/>
      <c r="K131" s="4"/>
      <c r="L131" s="4"/>
      <c r="M131" s="5" t="s">
        <v>15</v>
      </c>
    </row>
    <row r="132" customFormat="false" ht="15.75" hidden="false" customHeight="false" outlineLevel="0" collapsed="false">
      <c r="A132" s="3" t="n">
        <v>46228</v>
      </c>
      <c r="B132" s="4" t="s">
        <v>13</v>
      </c>
      <c r="C132" s="4" t="n">
        <v>11</v>
      </c>
      <c r="D132" s="4" t="n">
        <v>2</v>
      </c>
      <c r="E132" s="4" t="s">
        <v>145</v>
      </c>
      <c r="F132" s="4" t="n">
        <v>15</v>
      </c>
      <c r="G132" s="4" t="n">
        <v>5</v>
      </c>
      <c r="H132" s="4" t="n">
        <v>3</v>
      </c>
      <c r="I132" s="4" t="str">
        <v>○</v>
      </c>
      <c r="J132" s="4" t="n">
        <v>1320</v>
      </c>
      <c r="K132" s="4"/>
      <c r="L132" s="4"/>
      <c r="M132" s="5" t="s">
        <v>15</v>
      </c>
    </row>
    <row r="133" customFormat="false" ht="15.75" hidden="false" customHeight="false" outlineLevel="0" collapsed="false">
      <c r="A133" s="3" t="n">
        <v>46228</v>
      </c>
      <c r="B133" s="4" t="s">
        <v>13</v>
      </c>
      <c r="C133" s="4" t="n">
        <v>11</v>
      </c>
      <c r="D133" s="4" t="n">
        <v>3</v>
      </c>
      <c r="E133" s="4" t="s">
        <v>146</v>
      </c>
      <c r="F133" s="4" t="n">
        <v>13</v>
      </c>
      <c r="G133" s="4" t="n">
        <v>7</v>
      </c>
      <c r="H133" s="4" t="n">
        <v>4</v>
      </c>
      <c r="I133" s="4" t="str">
        <v>×</v>
      </c>
      <c r="J133" s="4"/>
      <c r="K133" s="4"/>
      <c r="L133" s="4"/>
      <c r="M133" s="5" t="s">
        <v>15</v>
      </c>
    </row>
    <row r="134" customFormat="false" ht="15.75" hidden="false" customHeight="false" outlineLevel="0" collapsed="false">
      <c r="A134" s="3" t="n">
        <v>46228</v>
      </c>
      <c r="B134" s="4" t="s">
        <v>13</v>
      </c>
      <c r="C134" s="4" t="n">
        <v>11</v>
      </c>
      <c r="D134" s="4" t="n">
        <v>4</v>
      </c>
      <c r="E134" s="4" t="s">
        <v>147</v>
      </c>
      <c r="F134" s="4" t="n">
        <v>31</v>
      </c>
      <c r="G134" s="4" t="n">
        <v>3</v>
      </c>
      <c r="H134" s="4" t="n">
        <v>1</v>
      </c>
      <c r="I134" s="4" t="str">
        <v>○</v>
      </c>
      <c r="J134" s="4" t="n">
        <v>350</v>
      </c>
      <c r="K134" s="4"/>
      <c r="L134" s="4"/>
      <c r="M134" s="5" t="s">
        <v>15</v>
      </c>
    </row>
    <row r="135" customFormat="false" ht="15.75" hidden="false" customHeight="false" outlineLevel="0" collapsed="false">
      <c r="A135" s="3" t="n">
        <v>46228</v>
      </c>
      <c r="B135" s="4" t="s">
        <v>13</v>
      </c>
      <c r="C135" s="4" t="n">
        <v>11</v>
      </c>
      <c r="D135" s="4" t="n">
        <v>5</v>
      </c>
      <c r="E135" s="4" t="s">
        <v>148</v>
      </c>
      <c r="F135" s="4" t="n">
        <v>15</v>
      </c>
      <c r="G135" s="4" t="n">
        <v>5</v>
      </c>
      <c r="H135" s="4" t="n">
        <v>4</v>
      </c>
      <c r="I135" s="4" t="str">
        <v>×</v>
      </c>
      <c r="J135" s="4"/>
      <c r="K135" s="4"/>
      <c r="L135" s="4"/>
      <c r="M135" s="5" t="s">
        <v>15</v>
      </c>
    </row>
    <row r="136" customFormat="false" ht="15.75" hidden="false" customHeight="false" outlineLevel="0" collapsed="false">
      <c r="A136" s="3" t="n">
        <v>46228</v>
      </c>
      <c r="B136" s="4" t="s">
        <v>13</v>
      </c>
      <c r="C136" s="4" t="n">
        <v>11</v>
      </c>
      <c r="D136" s="4" t="n">
        <v>6</v>
      </c>
      <c r="E136" s="4" t="s">
        <v>149</v>
      </c>
      <c r="F136" s="4" t="n">
        <v>10</v>
      </c>
      <c r="G136" s="4" t="n">
        <v>8</v>
      </c>
      <c r="H136" s="4" t="n">
        <v>4</v>
      </c>
      <c r="I136" s="4" t="str">
        <v>×</v>
      </c>
      <c r="J136" s="4"/>
      <c r="K136" s="4"/>
      <c r="L136" s="4"/>
      <c r="M136" s="5" t="s">
        <v>15</v>
      </c>
    </row>
    <row r="137" customFormat="false" ht="15.75" hidden="false" customHeight="false" outlineLevel="0" collapsed="false">
      <c r="A137" s="3" t="n">
        <v>46228</v>
      </c>
      <c r="B137" s="4" t="s">
        <v>13</v>
      </c>
      <c r="C137" s="4" t="n">
        <v>11</v>
      </c>
      <c r="D137" s="4" t="n">
        <v>7</v>
      </c>
      <c r="E137" s="4" t="s">
        <v>150</v>
      </c>
      <c r="F137" s="4" t="n">
        <v>8</v>
      </c>
      <c r="G137" s="4" t="n">
        <v>10</v>
      </c>
      <c r="H137" s="4" t="n">
        <v>4</v>
      </c>
      <c r="I137" s="4" t="str">
        <v>×</v>
      </c>
      <c r="J137" s="4"/>
      <c r="K137" s="4"/>
      <c r="L137" s="4"/>
      <c r="M137" s="5" t="s">
        <v>15</v>
      </c>
    </row>
    <row r="138" customFormat="false" ht="15.75" hidden="false" customHeight="false" outlineLevel="0" collapsed="false">
      <c r="A138" s="3" t="n">
        <v>46228</v>
      </c>
      <c r="B138" s="4" t="s">
        <v>13</v>
      </c>
      <c r="C138" s="4" t="n">
        <v>11</v>
      </c>
      <c r="D138" s="4" t="n">
        <v>8</v>
      </c>
      <c r="E138" s="4" t="s">
        <v>151</v>
      </c>
      <c r="F138" s="4" t="n">
        <v>4</v>
      </c>
      <c r="G138" s="4" t="n">
        <v>14</v>
      </c>
      <c r="H138" s="4" t="n">
        <v>2</v>
      </c>
      <c r="I138" s="4" t="str">
        <v>○</v>
      </c>
      <c r="J138" s="4" t="n">
        <v>1940</v>
      </c>
      <c r="K138" s="4"/>
      <c r="L138" s="4"/>
      <c r="M138" s="5" t="s">
        <v>15</v>
      </c>
    </row>
    <row r="139" customFormat="false" ht="15.75" hidden="false" customHeight="false" outlineLevel="0" collapsed="false">
      <c r="A139" s="3" t="n">
        <v>46228</v>
      </c>
      <c r="B139" s="4" t="s">
        <v>13</v>
      </c>
      <c r="C139" s="4" t="n">
        <v>11</v>
      </c>
      <c r="D139" s="4" t="n">
        <v>9</v>
      </c>
      <c r="E139" s="4" t="s">
        <v>152</v>
      </c>
      <c r="F139" s="4" t="n">
        <v>6</v>
      </c>
      <c r="G139" s="4" t="n">
        <v>12</v>
      </c>
      <c r="H139" s="4" t="n">
        <v>4</v>
      </c>
      <c r="I139" s="4" t="str">
        <v>×</v>
      </c>
      <c r="J139" s="4"/>
      <c r="K139" s="4"/>
      <c r="L139" s="4"/>
      <c r="M139" s="5" t="s">
        <v>15</v>
      </c>
    </row>
    <row r="140" customFormat="false" ht="15.75" hidden="false" customHeight="false" outlineLevel="0" collapsed="false">
      <c r="A140" s="3" t="n">
        <v>46228</v>
      </c>
      <c r="B140" s="4" t="s">
        <v>13</v>
      </c>
      <c r="C140" s="4" t="n">
        <v>11</v>
      </c>
      <c r="D140" s="4" t="n">
        <v>10</v>
      </c>
      <c r="E140" s="4" t="s">
        <v>153</v>
      </c>
      <c r="F140" s="4" t="n">
        <v>17</v>
      </c>
      <c r="G140" s="4" t="n">
        <v>4</v>
      </c>
      <c r="H140" s="4" t="n">
        <v>4</v>
      </c>
      <c r="I140" s="4" t="str">
        <v>×</v>
      </c>
      <c r="J140" s="4"/>
      <c r="K140" s="4"/>
      <c r="L140" s="4"/>
      <c r="M140" s="5" t="s">
        <v>15</v>
      </c>
    </row>
    <row r="141" customFormat="false" ht="15.75" hidden="false" customHeight="false" outlineLevel="0" collapsed="false">
      <c r="A141" s="3" t="n">
        <v>46228</v>
      </c>
      <c r="B141" s="4" t="s">
        <v>13</v>
      </c>
      <c r="C141" s="4" t="n">
        <v>11</v>
      </c>
      <c r="D141" s="4" t="n">
        <v>11</v>
      </c>
      <c r="E141" s="4" t="s">
        <v>154</v>
      </c>
      <c r="F141" s="4" t="n">
        <v>1</v>
      </c>
      <c r="G141" s="4" t="n">
        <v>18</v>
      </c>
      <c r="H141" s="4" t="n">
        <v>4</v>
      </c>
      <c r="I141" s="4" t="str">
        <v>×</v>
      </c>
      <c r="J141" s="4"/>
      <c r="K141" s="4"/>
      <c r="L141" s="4"/>
      <c r="M141" s="5" t="s">
        <v>15</v>
      </c>
    </row>
    <row r="142" customFormat="false" ht="15.75" hidden="false" customHeight="false" outlineLevel="0" collapsed="false">
      <c r="A142" s="3" t="n">
        <v>46228</v>
      </c>
      <c r="B142" s="4" t="s">
        <v>13</v>
      </c>
      <c r="C142" s="4" t="n">
        <v>11</v>
      </c>
      <c r="D142" s="4" t="n">
        <v>12</v>
      </c>
      <c r="E142" s="4" t="s">
        <v>155</v>
      </c>
      <c r="F142" s="4" t="n">
        <v>4</v>
      </c>
      <c r="G142" s="4" t="n">
        <v>14</v>
      </c>
      <c r="H142" s="4" t="n">
        <v>4</v>
      </c>
      <c r="I142" s="4" t="str">
        <v>×</v>
      </c>
      <c r="J142" s="4"/>
      <c r="K142" s="4"/>
      <c r="L142" s="4"/>
      <c r="M142" s="5" t="s">
        <v>15</v>
      </c>
    </row>
    <row r="143" customFormat="false" ht="15.75" hidden="false" customHeight="false" outlineLevel="0" collapsed="false">
      <c r="A143" s="3" t="n">
        <v>46228</v>
      </c>
      <c r="B143" s="4" t="s">
        <v>13</v>
      </c>
      <c r="C143" s="4" t="n">
        <v>11</v>
      </c>
      <c r="D143" s="4" t="n">
        <v>13</v>
      </c>
      <c r="E143" s="4" t="s">
        <v>156</v>
      </c>
      <c r="F143" s="4" t="n">
        <v>2</v>
      </c>
      <c r="G143" s="4" t="n">
        <v>17</v>
      </c>
      <c r="H143" s="4" t="n">
        <v>4</v>
      </c>
      <c r="I143" s="4" t="str">
        <v>×</v>
      </c>
      <c r="J143" s="4"/>
      <c r="K143" s="4"/>
      <c r="L143" s="4"/>
      <c r="M143" s="5" t="s">
        <v>15</v>
      </c>
    </row>
    <row r="144" customFormat="false" ht="15.75" hidden="false" customHeight="false" outlineLevel="0" collapsed="false">
      <c r="A144" s="3" t="n">
        <v>46228</v>
      </c>
      <c r="B144" s="4" t="s">
        <v>13</v>
      </c>
      <c r="C144" s="4" t="n">
        <v>11</v>
      </c>
      <c r="D144" s="4" t="n">
        <v>14</v>
      </c>
      <c r="E144" s="4" t="s">
        <v>157</v>
      </c>
      <c r="F144" s="4" t="n">
        <v>10</v>
      </c>
      <c r="G144" s="4" t="n">
        <v>8</v>
      </c>
      <c r="H144" s="4" t="n">
        <v>4</v>
      </c>
      <c r="I144" s="4" t="str">
        <v>×</v>
      </c>
      <c r="J144" s="4"/>
      <c r="K144" s="4"/>
      <c r="L144" s="4"/>
      <c r="M144" s="5" t="s">
        <v>15</v>
      </c>
    </row>
    <row r="145" customFormat="false" ht="15.75" hidden="false" customHeight="false" outlineLevel="0" collapsed="false">
      <c r="A145" s="3" t="n">
        <v>46228</v>
      </c>
      <c r="B145" s="4" t="s">
        <v>13</v>
      </c>
      <c r="C145" s="4" t="n">
        <v>11</v>
      </c>
      <c r="D145" s="4" t="n">
        <v>15</v>
      </c>
      <c r="E145" s="4" t="s">
        <v>158</v>
      </c>
      <c r="F145" s="4" t="n">
        <v>8</v>
      </c>
      <c r="G145" s="4" t="n">
        <v>10</v>
      </c>
      <c r="H145" s="4" t="n">
        <v>4</v>
      </c>
      <c r="I145" s="4" t="str">
        <v>×</v>
      </c>
      <c r="J145" s="4"/>
      <c r="K145" s="4"/>
      <c r="L145" s="4"/>
      <c r="M145" s="5" t="s">
        <v>15</v>
      </c>
    </row>
    <row r="146" customFormat="false" ht="15.75" hidden="false" customHeight="false" outlineLevel="0" collapsed="false">
      <c r="A146" s="3" t="n">
        <v>46228</v>
      </c>
      <c r="B146" s="4" t="s">
        <v>13</v>
      </c>
      <c r="C146" s="4" t="n">
        <v>11</v>
      </c>
      <c r="D146" s="4" t="n">
        <v>16</v>
      </c>
      <c r="E146" s="4" t="s">
        <v>159</v>
      </c>
      <c r="F146" s="4" t="n">
        <v>67</v>
      </c>
      <c r="G146" s="4" t="n">
        <v>1</v>
      </c>
      <c r="H146" s="4" t="n">
        <v>4</v>
      </c>
      <c r="I146" s="4" t="str">
        <v>×</v>
      </c>
      <c r="J146" s="4"/>
      <c r="K146" s="4"/>
      <c r="L146" s="4"/>
      <c r="M146" s="5" t="s">
        <v>15</v>
      </c>
    </row>
    <row r="147" customFormat="false" ht="15.75" hidden="false" customHeight="false" outlineLevel="0" collapsed="false">
      <c r="A147" s="3" t="n">
        <v>46228</v>
      </c>
      <c r="B147" s="4" t="s">
        <v>13</v>
      </c>
      <c r="C147" s="4" t="n">
        <v>11</v>
      </c>
      <c r="D147" s="4" t="n">
        <v>17</v>
      </c>
      <c r="E147" s="4" t="s">
        <v>160</v>
      </c>
      <c r="F147" s="4" t="n">
        <v>4</v>
      </c>
      <c r="G147" s="4" t="n">
        <v>14</v>
      </c>
      <c r="H147" s="4" t="n">
        <v>4</v>
      </c>
      <c r="I147" s="4" t="str">
        <v>×</v>
      </c>
      <c r="J147" s="4"/>
      <c r="K147" s="4"/>
      <c r="L147" s="4"/>
      <c r="M147" s="5" t="s">
        <v>15</v>
      </c>
    </row>
    <row r="148" customFormat="false" ht="15.75" hidden="false" customHeight="false" outlineLevel="0" collapsed="false">
      <c r="A148" s="3" t="n">
        <v>46228</v>
      </c>
      <c r="B148" s="4" t="s">
        <v>13</v>
      </c>
      <c r="C148" s="4" t="n">
        <v>11</v>
      </c>
      <c r="D148" s="4" t="n">
        <v>18</v>
      </c>
      <c r="E148" s="4" t="s">
        <v>161</v>
      </c>
      <c r="F148" s="4" t="n">
        <v>56</v>
      </c>
      <c r="G148" s="4" t="n">
        <v>2</v>
      </c>
      <c r="H148" s="4" t="n">
        <v>4</v>
      </c>
      <c r="I148" s="4" t="str">
        <v>×</v>
      </c>
      <c r="J148" s="4"/>
      <c r="K148" s="4"/>
      <c r="L148" s="4"/>
      <c r="M148" s="5" t="s">
        <v>15</v>
      </c>
    </row>
    <row r="149" customFormat="false" ht="15.75" hidden="false" customHeight="false" outlineLevel="0" collapsed="false">
      <c r="A149" s="3" t="n">
        <v>46228</v>
      </c>
      <c r="B149" s="4" t="s">
        <v>13</v>
      </c>
      <c r="C149" s="4" t="n">
        <v>12</v>
      </c>
      <c r="D149" s="4" t="n">
        <v>1</v>
      </c>
      <c r="E149" s="4" t="s">
        <v>162</v>
      </c>
      <c r="F149" s="4" t="n">
        <v>10</v>
      </c>
      <c r="G149" s="4" t="n">
        <v>12</v>
      </c>
      <c r="H149" s="4" t="n">
        <v>4</v>
      </c>
      <c r="I149" s="4" t="str">
        <v>×</v>
      </c>
      <c r="J149" s="4"/>
      <c r="K149" s="4"/>
      <c r="L149" s="4"/>
      <c r="M149" s="5" t="s">
        <v>15</v>
      </c>
    </row>
    <row r="150" customFormat="false" ht="15.75" hidden="false" customHeight="false" outlineLevel="0" collapsed="false">
      <c r="A150" s="3" t="n">
        <v>46228</v>
      </c>
      <c r="B150" s="4" t="s">
        <v>13</v>
      </c>
      <c r="C150" s="4" t="n">
        <v>12</v>
      </c>
      <c r="D150" s="4" t="n">
        <v>2</v>
      </c>
      <c r="E150" s="4" t="s">
        <v>163</v>
      </c>
      <c r="F150" s="4" t="n">
        <v>34</v>
      </c>
      <c r="G150" s="4" t="n">
        <v>4</v>
      </c>
      <c r="H150" s="4" t="n">
        <v>4</v>
      </c>
      <c r="I150" s="4" t="str">
        <v>×</v>
      </c>
      <c r="J150" s="4"/>
      <c r="K150" s="4"/>
      <c r="L150" s="4"/>
      <c r="M150" s="5" t="s">
        <v>15</v>
      </c>
    </row>
    <row r="151" customFormat="false" ht="15.75" hidden="false" customHeight="false" outlineLevel="0" collapsed="false">
      <c r="A151" s="3" t="n">
        <v>46228</v>
      </c>
      <c r="B151" s="4" t="s">
        <v>13</v>
      </c>
      <c r="C151" s="4" t="n">
        <v>12</v>
      </c>
      <c r="D151" s="4" t="n">
        <v>3</v>
      </c>
      <c r="E151" s="4" t="s">
        <v>164</v>
      </c>
      <c r="F151" s="4" t="n">
        <v>31</v>
      </c>
      <c r="G151" s="4" t="n">
        <v>5</v>
      </c>
      <c r="H151" s="4" t="n">
        <v>4</v>
      </c>
      <c r="I151" s="4" t="str">
        <v>×</v>
      </c>
      <c r="J151" s="4"/>
      <c r="K151" s="4"/>
      <c r="L151" s="4"/>
      <c r="M151" s="5" t="s">
        <v>15</v>
      </c>
    </row>
    <row r="152" customFormat="false" ht="15.75" hidden="false" customHeight="false" outlineLevel="0" collapsed="false">
      <c r="A152" s="3" t="n">
        <v>46228</v>
      </c>
      <c r="B152" s="4" t="s">
        <v>13</v>
      </c>
      <c r="C152" s="4" t="n">
        <v>12</v>
      </c>
      <c r="D152" s="4" t="n">
        <v>4</v>
      </c>
      <c r="E152" s="4" t="s">
        <v>165</v>
      </c>
      <c r="F152" s="4" t="n">
        <v>39</v>
      </c>
      <c r="G152" s="4" t="n">
        <v>2</v>
      </c>
      <c r="H152" s="4" t="n">
        <v>4</v>
      </c>
      <c r="I152" s="4" t="str">
        <v>×</v>
      </c>
      <c r="J152" s="4"/>
      <c r="K152" s="4"/>
      <c r="L152" s="4"/>
      <c r="M152" s="5" t="s">
        <v>15</v>
      </c>
    </row>
    <row r="153" customFormat="false" ht="15.75" hidden="false" customHeight="false" outlineLevel="0" collapsed="false">
      <c r="A153" s="3" t="n">
        <v>46228</v>
      </c>
      <c r="B153" s="4" t="s">
        <v>13</v>
      </c>
      <c r="C153" s="4" t="n">
        <v>12</v>
      </c>
      <c r="D153" s="4" t="n">
        <v>5</v>
      </c>
      <c r="E153" s="4" t="s">
        <v>166</v>
      </c>
      <c r="F153" s="4" t="n">
        <v>23</v>
      </c>
      <c r="G153" s="4" t="n">
        <v>8</v>
      </c>
      <c r="H153" s="4" t="n">
        <v>4</v>
      </c>
      <c r="I153" s="4" t="str">
        <v>×</v>
      </c>
      <c r="J153" s="4"/>
      <c r="K153" s="4"/>
      <c r="L153" s="4"/>
      <c r="M153" s="5" t="s">
        <v>15</v>
      </c>
    </row>
    <row r="154" customFormat="false" ht="15.75" hidden="false" customHeight="false" outlineLevel="0" collapsed="false">
      <c r="A154" s="3" t="n">
        <v>46228</v>
      </c>
      <c r="B154" s="4" t="s">
        <v>13</v>
      </c>
      <c r="C154" s="4" t="n">
        <v>12</v>
      </c>
      <c r="D154" s="4" t="n">
        <v>6</v>
      </c>
      <c r="E154" s="4" t="s">
        <v>167</v>
      </c>
      <c r="F154" s="4" t="n">
        <v>6</v>
      </c>
      <c r="G154" s="4" t="n">
        <v>15</v>
      </c>
      <c r="H154" s="4" t="n">
        <v>4</v>
      </c>
      <c r="I154" s="4" t="str">
        <v>×</v>
      </c>
      <c r="J154" s="4"/>
      <c r="K154" s="4"/>
      <c r="L154" s="4"/>
      <c r="M154" s="5" t="s">
        <v>15</v>
      </c>
    </row>
    <row r="155" customFormat="false" ht="15.75" hidden="false" customHeight="false" outlineLevel="0" collapsed="false">
      <c r="A155" s="3" t="n">
        <v>46228</v>
      </c>
      <c r="B155" s="4" t="s">
        <v>13</v>
      </c>
      <c r="C155" s="4" t="n">
        <v>12</v>
      </c>
      <c r="D155" s="4" t="n">
        <v>7</v>
      </c>
      <c r="E155" s="4" t="s">
        <v>168</v>
      </c>
      <c r="F155" s="4" t="n">
        <v>6</v>
      </c>
      <c r="G155" s="4" t="n">
        <v>15</v>
      </c>
      <c r="H155" s="4" t="n">
        <v>1</v>
      </c>
      <c r="I155" s="4" t="str">
        <v>○</v>
      </c>
      <c r="J155" s="4" t="n">
        <v>840</v>
      </c>
      <c r="K155" s="4"/>
      <c r="L155" s="4"/>
      <c r="M155" s="5" t="s">
        <v>15</v>
      </c>
    </row>
    <row r="156" customFormat="false" ht="15.75" hidden="false" customHeight="false" outlineLevel="0" collapsed="false">
      <c r="A156" s="3" t="n">
        <v>46228</v>
      </c>
      <c r="B156" s="4" t="s">
        <v>13</v>
      </c>
      <c r="C156" s="4" t="n">
        <v>12</v>
      </c>
      <c r="D156" s="4" t="n">
        <v>8</v>
      </c>
      <c r="E156" s="4" t="s">
        <v>169</v>
      </c>
      <c r="F156" s="4" t="n">
        <v>8</v>
      </c>
      <c r="G156" s="4" t="n">
        <v>14</v>
      </c>
      <c r="H156" s="4" t="n">
        <v>4</v>
      </c>
      <c r="I156" s="4" t="str">
        <v>×</v>
      </c>
      <c r="J156" s="4"/>
      <c r="K156" s="4"/>
      <c r="L156" s="4"/>
      <c r="M156" s="5" t="s">
        <v>15</v>
      </c>
    </row>
    <row r="157" customFormat="false" ht="15.75" hidden="false" customHeight="false" outlineLevel="0" collapsed="false">
      <c r="A157" s="3" t="n">
        <v>46228</v>
      </c>
      <c r="B157" s="4" t="s">
        <v>13</v>
      </c>
      <c r="C157" s="4" t="n">
        <v>12</v>
      </c>
      <c r="D157" s="4" t="n">
        <v>9</v>
      </c>
      <c r="E157" s="4" t="s">
        <v>170</v>
      </c>
      <c r="F157" s="4" t="n">
        <v>13</v>
      </c>
      <c r="G157" s="4" t="n">
        <v>11</v>
      </c>
      <c r="H157" s="4" t="n">
        <v>4</v>
      </c>
      <c r="I157" s="4" t="str">
        <v>×</v>
      </c>
      <c r="J157" s="4"/>
      <c r="K157" s="4"/>
      <c r="L157" s="4"/>
      <c r="M157" s="5" t="s">
        <v>15</v>
      </c>
    </row>
    <row r="158" customFormat="false" ht="15.75" hidden="false" customHeight="false" outlineLevel="0" collapsed="false">
      <c r="A158" s="3" t="n">
        <v>46228</v>
      </c>
      <c r="B158" s="4" t="s">
        <v>13</v>
      </c>
      <c r="C158" s="4" t="n">
        <v>12</v>
      </c>
      <c r="D158" s="4" t="n">
        <v>10</v>
      </c>
      <c r="E158" s="4" t="s">
        <v>171</v>
      </c>
      <c r="F158" s="4" t="n">
        <v>20</v>
      </c>
      <c r="G158" s="4" t="n">
        <v>9</v>
      </c>
      <c r="H158" s="4" t="n">
        <v>4</v>
      </c>
      <c r="I158" s="4" t="str">
        <v>×</v>
      </c>
      <c r="J158" s="4"/>
      <c r="K158" s="4"/>
      <c r="L158" s="4"/>
      <c r="M158" s="5" t="s">
        <v>15</v>
      </c>
    </row>
    <row r="159" customFormat="false" ht="15.75" hidden="false" customHeight="false" outlineLevel="0" collapsed="false">
      <c r="A159" s="3" t="n">
        <v>46228</v>
      </c>
      <c r="B159" s="4" t="s">
        <v>13</v>
      </c>
      <c r="C159" s="4" t="n">
        <v>12</v>
      </c>
      <c r="D159" s="4" t="n">
        <v>11</v>
      </c>
      <c r="E159" s="4" t="s">
        <v>172</v>
      </c>
      <c r="F159" s="4" t="n">
        <v>37</v>
      </c>
      <c r="G159" s="4" t="n">
        <v>3</v>
      </c>
      <c r="H159" s="4" t="n">
        <v>4</v>
      </c>
      <c r="I159" s="4" t="str">
        <v>×</v>
      </c>
      <c r="J159" s="4"/>
      <c r="K159" s="4"/>
      <c r="L159" s="4"/>
      <c r="M159" s="5" t="s">
        <v>15</v>
      </c>
    </row>
    <row r="160" customFormat="false" ht="15.75" hidden="false" customHeight="false" outlineLevel="0" collapsed="false">
      <c r="A160" s="3" t="n">
        <v>46228</v>
      </c>
      <c r="B160" s="4" t="s">
        <v>13</v>
      </c>
      <c r="C160" s="4" t="n">
        <v>12</v>
      </c>
      <c r="D160" s="4" t="n">
        <v>12</v>
      </c>
      <c r="E160" s="4" t="s">
        <v>173</v>
      </c>
      <c r="F160" s="4" t="n">
        <v>29</v>
      </c>
      <c r="G160" s="4" t="n">
        <v>6</v>
      </c>
      <c r="H160" s="4" t="n">
        <v>3</v>
      </c>
      <c r="I160" s="4" t="str">
        <v>○</v>
      </c>
      <c r="J160" s="4" t="n">
        <v>300</v>
      </c>
      <c r="K160" s="4"/>
      <c r="L160" s="4"/>
      <c r="M160" s="5" t="s">
        <v>15</v>
      </c>
    </row>
    <row r="161" customFormat="false" ht="15.75" hidden="false" customHeight="false" outlineLevel="0" collapsed="false">
      <c r="A161" s="3" t="n">
        <v>46228</v>
      </c>
      <c r="B161" s="4" t="s">
        <v>13</v>
      </c>
      <c r="C161" s="4" t="n">
        <v>12</v>
      </c>
      <c r="D161" s="4" t="n">
        <v>13</v>
      </c>
      <c r="E161" s="4" t="s">
        <v>174</v>
      </c>
      <c r="F161" s="4" t="n">
        <v>25</v>
      </c>
      <c r="G161" s="4" t="n">
        <v>7</v>
      </c>
      <c r="H161" s="4" t="n">
        <v>2</v>
      </c>
      <c r="I161" s="4" t="str">
        <v>○</v>
      </c>
      <c r="J161" s="4" t="n">
        <v>820</v>
      </c>
      <c r="K161" s="4"/>
      <c r="L161" s="4"/>
      <c r="M161" s="5" t="s">
        <v>15</v>
      </c>
    </row>
    <row r="162" customFormat="false" ht="15.75" hidden="false" customHeight="false" outlineLevel="0" collapsed="false">
      <c r="A162" s="3" t="n">
        <v>46228</v>
      </c>
      <c r="B162" s="4" t="s">
        <v>13</v>
      </c>
      <c r="C162" s="4" t="n">
        <v>12</v>
      </c>
      <c r="D162" s="4" t="n">
        <v>14</v>
      </c>
      <c r="E162" s="4" t="s">
        <v>175</v>
      </c>
      <c r="F162" s="4" t="n">
        <v>15</v>
      </c>
      <c r="G162" s="4" t="n">
        <v>10</v>
      </c>
      <c r="H162" s="4" t="n">
        <v>4</v>
      </c>
      <c r="I162" s="4" t="str">
        <v>×</v>
      </c>
      <c r="J162" s="4"/>
      <c r="K162" s="4"/>
      <c r="L162" s="4"/>
      <c r="M162" s="5" t="s">
        <v>15</v>
      </c>
    </row>
    <row r="163" customFormat="false" ht="15.75" hidden="false" customHeight="false" outlineLevel="0" collapsed="false">
      <c r="A163" s="3" t="n">
        <v>46228</v>
      </c>
      <c r="B163" s="4" t="s">
        <v>13</v>
      </c>
      <c r="C163" s="4" t="n">
        <v>12</v>
      </c>
      <c r="D163" s="4" t="n">
        <v>15</v>
      </c>
      <c r="E163" s="4" t="s">
        <v>176</v>
      </c>
      <c r="F163" s="4" t="n">
        <v>67</v>
      </c>
      <c r="G163" s="4" t="n">
        <v>1</v>
      </c>
      <c r="H163" s="4" t="n">
        <v>4</v>
      </c>
      <c r="I163" s="4" t="str">
        <v>×</v>
      </c>
      <c r="J163" s="4"/>
      <c r="K163" s="4"/>
      <c r="L163" s="4"/>
      <c r="M163" s="5" t="s">
        <v>15</v>
      </c>
    </row>
    <row r="164" customFormat="false" ht="15.75" hidden="false" customHeight="false" outlineLevel="0" collapsed="false">
      <c r="A164" s="3" t="n">
        <v>46228</v>
      </c>
      <c r="B164" s="4" t="s">
        <v>13</v>
      </c>
      <c r="C164" s="4" t="n">
        <v>12</v>
      </c>
      <c r="D164" s="4" t="n">
        <v>16</v>
      </c>
      <c r="E164" s="4" t="s">
        <v>177</v>
      </c>
      <c r="F164" s="4" t="n">
        <v>4</v>
      </c>
      <c r="G164" s="4" t="n">
        <v>17</v>
      </c>
      <c r="H164" s="4" t="n">
        <v>4</v>
      </c>
      <c r="I164" s="4" t="str">
        <v>×</v>
      </c>
      <c r="J164" s="4"/>
      <c r="K164" s="4"/>
      <c r="L164" s="4"/>
      <c r="M164" s="5" t="s">
        <v>15</v>
      </c>
    </row>
    <row r="165" customFormat="false" ht="15.75" hidden="false" customHeight="false" outlineLevel="0" collapsed="false">
      <c r="A165" s="3" t="n">
        <v>46228</v>
      </c>
      <c r="B165" s="4" t="s">
        <v>13</v>
      </c>
      <c r="C165" s="4" t="n">
        <v>12</v>
      </c>
      <c r="D165" s="4" t="n">
        <v>17</v>
      </c>
      <c r="E165" s="4" t="s">
        <v>178</v>
      </c>
      <c r="F165" s="4" t="n">
        <v>10</v>
      </c>
      <c r="G165" s="4" t="n">
        <v>12</v>
      </c>
      <c r="H165" s="4" t="n">
        <v>4</v>
      </c>
      <c r="I165" s="4" t="str">
        <v>×</v>
      </c>
      <c r="J165" s="4"/>
      <c r="K165" s="4"/>
      <c r="L165" s="4"/>
      <c r="M165" s="5" t="s">
        <v>15</v>
      </c>
    </row>
    <row r="166" customFormat="false" ht="15.75" hidden="false" customHeight="false" outlineLevel="0" collapsed="false">
      <c r="A166" s="3" t="n">
        <v>46228</v>
      </c>
      <c r="B166" s="4" t="s">
        <v>179</v>
      </c>
      <c r="C166" s="4" t="n">
        <v>1</v>
      </c>
      <c r="D166" s="4" t="n">
        <v>1</v>
      </c>
      <c r="E166" s="4" t="s">
        <v>180</v>
      </c>
      <c r="F166" s="4" t="n">
        <v>37</v>
      </c>
      <c r="G166" s="4" t="n">
        <v>2</v>
      </c>
      <c r="H166" s="4" t="n">
        <v>1</v>
      </c>
      <c r="I166" s="4" t="str">
        <v>○</v>
      </c>
      <c r="J166" s="4" t="n">
        <v>220</v>
      </c>
      <c r="K166" s="4"/>
      <c r="L166" s="4"/>
      <c r="M166" s="5" t="s">
        <v>15</v>
      </c>
    </row>
    <row r="167" customFormat="false" ht="15.75" hidden="false" customHeight="false" outlineLevel="0" collapsed="false">
      <c r="A167" s="3" t="n">
        <v>46228</v>
      </c>
      <c r="B167" s="4" t="s">
        <v>179</v>
      </c>
      <c r="C167" s="4" t="n">
        <v>1</v>
      </c>
      <c r="D167" s="4" t="n">
        <v>2</v>
      </c>
      <c r="E167" s="4" t="s">
        <v>181</v>
      </c>
      <c r="F167" s="4" t="n">
        <v>13</v>
      </c>
      <c r="G167" s="4" t="n">
        <v>4</v>
      </c>
      <c r="H167" s="4" t="n">
        <v>4</v>
      </c>
      <c r="I167" s="4" t="str">
        <v>×</v>
      </c>
      <c r="J167" s="4"/>
      <c r="K167" s="4"/>
      <c r="L167" s="4"/>
      <c r="M167" s="5" t="s">
        <v>15</v>
      </c>
    </row>
    <row r="168" customFormat="false" ht="15.75" hidden="false" customHeight="false" outlineLevel="0" collapsed="false">
      <c r="A168" s="3" t="n">
        <v>46228</v>
      </c>
      <c r="B168" s="4" t="s">
        <v>179</v>
      </c>
      <c r="C168" s="4" t="n">
        <v>1</v>
      </c>
      <c r="D168" s="4" t="n">
        <v>3</v>
      </c>
      <c r="E168" s="4" t="s">
        <v>182</v>
      </c>
      <c r="F168" s="4" t="n">
        <v>4</v>
      </c>
      <c r="G168" s="4" t="n">
        <v>9</v>
      </c>
      <c r="H168" s="4" t="n">
        <v>3</v>
      </c>
      <c r="I168" s="4" t="str">
        <v>○</v>
      </c>
      <c r="J168" s="4" t="n">
        <v>320</v>
      </c>
      <c r="K168" s="4"/>
      <c r="L168" s="4"/>
      <c r="M168" s="5" t="s">
        <v>15</v>
      </c>
    </row>
    <row r="169" customFormat="false" ht="15.75" hidden="false" customHeight="false" outlineLevel="0" collapsed="false">
      <c r="A169" s="3" t="n">
        <v>46228</v>
      </c>
      <c r="B169" s="4" t="s">
        <v>179</v>
      </c>
      <c r="C169" s="4" t="n">
        <v>1</v>
      </c>
      <c r="D169" s="4" t="n">
        <v>4</v>
      </c>
      <c r="E169" s="4" t="s">
        <v>183</v>
      </c>
      <c r="F169" s="4" t="n">
        <v>10</v>
      </c>
      <c r="G169" s="4" t="n">
        <v>6</v>
      </c>
      <c r="H169" s="4" t="n">
        <v>4</v>
      </c>
      <c r="I169" s="4" t="str">
        <v>×</v>
      </c>
      <c r="J169" s="4"/>
      <c r="K169" s="4"/>
      <c r="L169" s="4"/>
      <c r="M169" s="5" t="s">
        <v>15</v>
      </c>
    </row>
    <row r="170" customFormat="false" ht="15.75" hidden="false" customHeight="false" outlineLevel="0" collapsed="false">
      <c r="A170" s="3" t="n">
        <v>46228</v>
      </c>
      <c r="B170" s="4" t="s">
        <v>179</v>
      </c>
      <c r="C170" s="4" t="n">
        <v>1</v>
      </c>
      <c r="D170" s="4" t="n">
        <v>5</v>
      </c>
      <c r="E170" s="4" t="s">
        <v>184</v>
      </c>
      <c r="F170" s="4" t="n">
        <v>81</v>
      </c>
      <c r="G170" s="4" t="n">
        <v>1</v>
      </c>
      <c r="H170" s="4" t="n">
        <v>4</v>
      </c>
      <c r="I170" s="4" t="str">
        <v>×</v>
      </c>
      <c r="J170" s="4"/>
      <c r="K170" s="4" t="n">
        <v>1.1</v>
      </c>
      <c r="L170" s="4" t="n">
        <v>1.1</v>
      </c>
      <c r="M170" s="5" t="s">
        <v>15</v>
      </c>
    </row>
    <row r="171" customFormat="false" ht="15.75" hidden="false" customHeight="false" outlineLevel="0" collapsed="false">
      <c r="A171" s="3" t="n">
        <v>46228</v>
      </c>
      <c r="B171" s="4" t="s">
        <v>179</v>
      </c>
      <c r="C171" s="4" t="n">
        <v>1</v>
      </c>
      <c r="D171" s="4" t="n">
        <v>6</v>
      </c>
      <c r="E171" s="4" t="s">
        <v>185</v>
      </c>
      <c r="F171" s="4" t="n">
        <v>34</v>
      </c>
      <c r="G171" s="4" t="n">
        <v>3</v>
      </c>
      <c r="H171" s="4" t="n">
        <v>2</v>
      </c>
      <c r="I171" s="4" t="str">
        <v>○</v>
      </c>
      <c r="J171" s="4" t="n">
        <v>280</v>
      </c>
      <c r="K171" s="4"/>
      <c r="L171" s="4"/>
      <c r="M171" s="5" t="s">
        <v>15</v>
      </c>
    </row>
    <row r="172" customFormat="false" ht="15.75" hidden="false" customHeight="false" outlineLevel="0" collapsed="false">
      <c r="A172" s="3" t="n">
        <v>46228</v>
      </c>
      <c r="B172" s="4" t="s">
        <v>179</v>
      </c>
      <c r="C172" s="4" t="n">
        <v>1</v>
      </c>
      <c r="D172" s="4" t="n">
        <v>7</v>
      </c>
      <c r="E172" s="4" t="s">
        <v>186</v>
      </c>
      <c r="F172" s="4" t="n">
        <v>8</v>
      </c>
      <c r="G172" s="4" t="n">
        <v>7</v>
      </c>
      <c r="H172" s="4" t="n">
        <v>4</v>
      </c>
      <c r="I172" s="4" t="str">
        <v>×</v>
      </c>
      <c r="J172" s="4"/>
      <c r="K172" s="4"/>
      <c r="L172" s="4"/>
      <c r="M172" s="5" t="s">
        <v>15</v>
      </c>
    </row>
    <row r="173" customFormat="false" ht="15.75" hidden="false" customHeight="false" outlineLevel="0" collapsed="false">
      <c r="A173" s="3" t="n">
        <v>46228</v>
      </c>
      <c r="B173" s="4" t="s">
        <v>179</v>
      </c>
      <c r="C173" s="4" t="n">
        <v>1</v>
      </c>
      <c r="D173" s="4" t="n">
        <v>8</v>
      </c>
      <c r="E173" s="4" t="s">
        <v>187</v>
      </c>
      <c r="F173" s="4" t="n">
        <v>13</v>
      </c>
      <c r="G173" s="4" t="n">
        <v>4</v>
      </c>
      <c r="H173" s="4" t="n">
        <v>4</v>
      </c>
      <c r="I173" s="4" t="str">
        <v>×</v>
      </c>
      <c r="J173" s="4"/>
      <c r="K173" s="4"/>
      <c r="L173" s="4"/>
      <c r="M173" s="5" t="s">
        <v>15</v>
      </c>
    </row>
    <row r="174" customFormat="false" ht="15.75" hidden="false" customHeight="false" outlineLevel="0" collapsed="false">
      <c r="A174" s="3" t="n">
        <v>46228</v>
      </c>
      <c r="B174" s="4" t="s">
        <v>179</v>
      </c>
      <c r="C174" s="4" t="n">
        <v>1</v>
      </c>
      <c r="D174" s="4" t="n">
        <v>9</v>
      </c>
      <c r="E174" s="4" t="s">
        <v>188</v>
      </c>
      <c r="F174" s="4" t="n">
        <v>8</v>
      </c>
      <c r="G174" s="4" t="n">
        <v>7</v>
      </c>
      <c r="H174" s="4" t="n">
        <v>4</v>
      </c>
      <c r="I174" s="4" t="str">
        <v>×</v>
      </c>
      <c r="J174" s="4"/>
      <c r="K174" s="4"/>
      <c r="L174" s="4"/>
      <c r="M174" s="5" t="s">
        <v>15</v>
      </c>
    </row>
    <row r="175" customFormat="false" ht="15.75" hidden="false" customHeight="false" outlineLevel="0" collapsed="false">
      <c r="A175" s="3" t="n">
        <v>46228</v>
      </c>
      <c r="B175" s="4" t="s">
        <v>179</v>
      </c>
      <c r="C175" s="4" t="n">
        <v>2</v>
      </c>
      <c r="D175" s="4" t="n">
        <v>1</v>
      </c>
      <c r="E175" s="4" t="s">
        <v>189</v>
      </c>
      <c r="F175" s="4" t="n">
        <v>16</v>
      </c>
      <c r="G175" s="4" t="n">
        <v>8</v>
      </c>
      <c r="H175" s="4" t="n">
        <v>3</v>
      </c>
      <c r="I175" s="4" t="str">
        <v>○</v>
      </c>
      <c r="J175" s="4" t="n">
        <v>210</v>
      </c>
      <c r="K175" s="4"/>
      <c r="L175" s="4"/>
      <c r="M175" s="5" t="s">
        <v>15</v>
      </c>
    </row>
    <row r="176" customFormat="false" ht="15.75" hidden="false" customHeight="false" outlineLevel="0" collapsed="false">
      <c r="A176" s="3" t="n">
        <v>46228</v>
      </c>
      <c r="B176" s="4" t="s">
        <v>179</v>
      </c>
      <c r="C176" s="4" t="n">
        <v>2</v>
      </c>
      <c r="D176" s="4" t="n">
        <v>2</v>
      </c>
      <c r="E176" s="4" t="s">
        <v>190</v>
      </c>
      <c r="F176" s="4" t="n">
        <v>12</v>
      </c>
      <c r="G176" s="4" t="n">
        <v>11</v>
      </c>
      <c r="H176" s="4" t="n">
        <v>4</v>
      </c>
      <c r="I176" s="4" t="str">
        <v>×</v>
      </c>
      <c r="J176" s="4"/>
      <c r="K176" s="4"/>
      <c r="L176" s="4"/>
      <c r="M176" s="5" t="s">
        <v>15</v>
      </c>
    </row>
    <row r="177" customFormat="false" ht="15.75" hidden="false" customHeight="false" outlineLevel="0" collapsed="false">
      <c r="A177" s="3" t="n">
        <v>46228</v>
      </c>
      <c r="B177" s="4" t="s">
        <v>179</v>
      </c>
      <c r="C177" s="4" t="n">
        <v>2</v>
      </c>
      <c r="D177" s="4" t="n">
        <v>3</v>
      </c>
      <c r="E177" s="4" t="s">
        <v>191</v>
      </c>
      <c r="F177" s="4" t="n">
        <v>21</v>
      </c>
      <c r="G177" s="4" t="n">
        <v>4</v>
      </c>
      <c r="H177" s="4" t="n">
        <v>4</v>
      </c>
      <c r="I177" s="4" t="str">
        <v>×</v>
      </c>
      <c r="J177" s="4"/>
      <c r="K177" s="4"/>
      <c r="L177" s="4"/>
      <c r="M177" s="5" t="s">
        <v>15</v>
      </c>
    </row>
    <row r="178" customFormat="false" ht="15.75" hidden="false" customHeight="false" outlineLevel="0" collapsed="false">
      <c r="A178" s="3" t="n">
        <v>46228</v>
      </c>
      <c r="B178" s="4" t="s">
        <v>179</v>
      </c>
      <c r="C178" s="4" t="n">
        <v>2</v>
      </c>
      <c r="D178" s="4" t="n">
        <v>4</v>
      </c>
      <c r="E178" s="4" t="s">
        <v>192</v>
      </c>
      <c r="F178" s="4" t="n">
        <v>21</v>
      </c>
      <c r="G178" s="4" t="n">
        <v>4</v>
      </c>
      <c r="H178" s="4" t="n">
        <v>4</v>
      </c>
      <c r="I178" s="4" t="str">
        <v>×</v>
      </c>
      <c r="J178" s="4"/>
      <c r="K178" s="4"/>
      <c r="L178" s="4"/>
      <c r="M178" s="5" t="s">
        <v>15</v>
      </c>
    </row>
    <row r="179" customFormat="false" ht="15.75" hidden="false" customHeight="false" outlineLevel="0" collapsed="false">
      <c r="A179" s="3" t="n">
        <v>46228</v>
      </c>
      <c r="B179" s="4" t="s">
        <v>179</v>
      </c>
      <c r="C179" s="4" t="n">
        <v>2</v>
      </c>
      <c r="D179" s="4" t="n">
        <v>5</v>
      </c>
      <c r="E179" s="4" t="s">
        <v>193</v>
      </c>
      <c r="F179" s="4" t="n">
        <v>24</v>
      </c>
      <c r="G179" s="4" t="n">
        <v>2</v>
      </c>
      <c r="H179" s="4" t="n">
        <v>4</v>
      </c>
      <c r="I179" s="4" t="str">
        <v>×</v>
      </c>
      <c r="J179" s="4"/>
      <c r="K179" s="4"/>
      <c r="L179" s="4"/>
      <c r="M179" s="5" t="s">
        <v>15</v>
      </c>
    </row>
    <row r="180" customFormat="false" ht="15.75" hidden="false" customHeight="false" outlineLevel="0" collapsed="false">
      <c r="A180" s="3" t="n">
        <v>46228</v>
      </c>
      <c r="B180" s="4" t="s">
        <v>179</v>
      </c>
      <c r="C180" s="4" t="n">
        <v>2</v>
      </c>
      <c r="D180" s="4" t="n">
        <v>6</v>
      </c>
      <c r="E180" s="4" t="s">
        <v>194</v>
      </c>
      <c r="F180" s="4" t="n">
        <v>8</v>
      </c>
      <c r="G180" s="4" t="n">
        <v>12</v>
      </c>
      <c r="H180" s="4" t="n">
        <v>4</v>
      </c>
      <c r="I180" s="4" t="str">
        <v>×</v>
      </c>
      <c r="J180" s="4"/>
      <c r="K180" s="4"/>
      <c r="L180" s="4"/>
      <c r="M180" s="5" t="s">
        <v>15</v>
      </c>
    </row>
    <row r="181" customFormat="false" ht="15.75" hidden="false" customHeight="false" outlineLevel="0" collapsed="false">
      <c r="A181" s="3" t="n">
        <v>46228</v>
      </c>
      <c r="B181" s="4" t="s">
        <v>179</v>
      </c>
      <c r="C181" s="4" t="n">
        <v>2</v>
      </c>
      <c r="D181" s="4" t="n">
        <v>7</v>
      </c>
      <c r="E181" s="4" t="s">
        <v>195</v>
      </c>
      <c r="F181" s="4" t="n">
        <v>16</v>
      </c>
      <c r="G181" s="4" t="n">
        <v>8</v>
      </c>
      <c r="H181" s="4" t="n">
        <v>4</v>
      </c>
      <c r="I181" s="4" t="str">
        <v>×</v>
      </c>
      <c r="J181" s="4"/>
      <c r="K181" s="4"/>
      <c r="L181" s="4"/>
      <c r="M181" s="5" t="s">
        <v>15</v>
      </c>
    </row>
    <row r="182" customFormat="false" ht="15.75" hidden="false" customHeight="false" outlineLevel="0" collapsed="false">
      <c r="A182" s="3" t="n">
        <v>46228</v>
      </c>
      <c r="B182" s="4" t="s">
        <v>179</v>
      </c>
      <c r="C182" s="4" t="n">
        <v>2</v>
      </c>
      <c r="D182" s="4" t="n">
        <v>8</v>
      </c>
      <c r="E182" s="4" t="s">
        <v>196</v>
      </c>
      <c r="F182" s="4" t="n">
        <v>8</v>
      </c>
      <c r="G182" s="4" t="n">
        <v>12</v>
      </c>
      <c r="H182" s="4" t="n">
        <v>4</v>
      </c>
      <c r="I182" s="4" t="str">
        <v>×</v>
      </c>
      <c r="J182" s="4"/>
      <c r="K182" s="4"/>
      <c r="L182" s="4"/>
      <c r="M182" s="5" t="s">
        <v>15</v>
      </c>
    </row>
    <row r="183" customFormat="false" ht="15.75" hidden="false" customHeight="false" outlineLevel="0" collapsed="false">
      <c r="A183" s="3" t="n">
        <v>46228</v>
      </c>
      <c r="B183" s="4" t="s">
        <v>179</v>
      </c>
      <c r="C183" s="4" t="n">
        <v>2</v>
      </c>
      <c r="D183" s="4" t="n">
        <v>9</v>
      </c>
      <c r="E183" s="4" t="s">
        <v>197</v>
      </c>
      <c r="F183" s="4" t="n">
        <v>21</v>
      </c>
      <c r="G183" s="4" t="n">
        <v>4</v>
      </c>
      <c r="H183" s="4" t="n">
        <v>4</v>
      </c>
      <c r="I183" s="4" t="str">
        <v>×</v>
      </c>
      <c r="J183" s="4"/>
      <c r="K183" s="4"/>
      <c r="L183" s="4"/>
      <c r="M183" s="5" t="s">
        <v>15</v>
      </c>
    </row>
    <row r="184" customFormat="false" ht="15.75" hidden="false" customHeight="false" outlineLevel="0" collapsed="false">
      <c r="A184" s="3" t="n">
        <v>46228</v>
      </c>
      <c r="B184" s="4" t="s">
        <v>179</v>
      </c>
      <c r="C184" s="4" t="n">
        <v>2</v>
      </c>
      <c r="D184" s="4" t="n">
        <v>10</v>
      </c>
      <c r="E184" s="4" t="s">
        <v>198</v>
      </c>
      <c r="F184" s="4" t="n">
        <v>21</v>
      </c>
      <c r="G184" s="4" t="n">
        <v>4</v>
      </c>
      <c r="H184" s="4" t="n">
        <v>4</v>
      </c>
      <c r="I184" s="4" t="str">
        <v>×</v>
      </c>
      <c r="J184" s="4"/>
      <c r="K184" s="4"/>
      <c r="L184" s="4"/>
      <c r="M184" s="5" t="s">
        <v>15</v>
      </c>
    </row>
    <row r="185" customFormat="false" ht="15.75" hidden="false" customHeight="false" outlineLevel="0" collapsed="false">
      <c r="A185" s="3" t="n">
        <v>46228</v>
      </c>
      <c r="B185" s="4" t="s">
        <v>179</v>
      </c>
      <c r="C185" s="4" t="n">
        <v>2</v>
      </c>
      <c r="D185" s="4" t="n">
        <v>11</v>
      </c>
      <c r="E185" s="4" t="s">
        <v>199</v>
      </c>
      <c r="F185" s="4" t="n">
        <v>31</v>
      </c>
      <c r="G185" s="4" t="n">
        <v>1</v>
      </c>
      <c r="H185" s="4" t="n">
        <v>1</v>
      </c>
      <c r="I185" s="4" t="str">
        <v>○</v>
      </c>
      <c r="J185" s="4" t="n">
        <v>110</v>
      </c>
      <c r="K185" s="4"/>
      <c r="L185" s="4"/>
      <c r="M185" s="5" t="s">
        <v>15</v>
      </c>
    </row>
    <row r="186" customFormat="false" ht="15.75" hidden="false" customHeight="false" outlineLevel="0" collapsed="false">
      <c r="A186" s="3" t="n">
        <v>46228</v>
      </c>
      <c r="B186" s="4" t="s">
        <v>179</v>
      </c>
      <c r="C186" s="4" t="n">
        <v>2</v>
      </c>
      <c r="D186" s="4" t="n">
        <v>12</v>
      </c>
      <c r="E186" s="4" t="s">
        <v>200</v>
      </c>
      <c r="F186" s="4" t="n">
        <v>14</v>
      </c>
      <c r="G186" s="4" t="n">
        <v>10</v>
      </c>
      <c r="H186" s="4" t="n">
        <v>2</v>
      </c>
      <c r="I186" s="4" t="str">
        <v>○</v>
      </c>
      <c r="J186" s="4" t="n">
        <v>1100</v>
      </c>
      <c r="K186" s="4"/>
      <c r="L186" s="4"/>
      <c r="M186" s="5" t="s">
        <v>15</v>
      </c>
    </row>
    <row r="187" customFormat="false" ht="15.75" hidden="false" customHeight="false" outlineLevel="0" collapsed="false">
      <c r="A187" s="3" t="n">
        <v>46228</v>
      </c>
      <c r="B187" s="4" t="s">
        <v>179</v>
      </c>
      <c r="C187" s="4" t="n">
        <v>2</v>
      </c>
      <c r="D187" s="4" t="n">
        <v>13</v>
      </c>
      <c r="E187" s="4" t="s">
        <v>201</v>
      </c>
      <c r="F187" s="4" t="n">
        <v>24</v>
      </c>
      <c r="G187" s="4" t="n">
        <v>2</v>
      </c>
      <c r="H187" s="4" t="n">
        <v>4</v>
      </c>
      <c r="I187" s="4" t="str">
        <v>×</v>
      </c>
      <c r="J187" s="4"/>
      <c r="K187" s="4"/>
      <c r="L187" s="4"/>
      <c r="M187" s="5" t="s">
        <v>15</v>
      </c>
    </row>
    <row r="188" customFormat="false" ht="15.75" hidden="false" customHeight="false" outlineLevel="0" collapsed="false">
      <c r="A188" s="3" t="n">
        <v>46228</v>
      </c>
      <c r="B188" s="4" t="s">
        <v>179</v>
      </c>
      <c r="C188" s="4" t="n">
        <v>3</v>
      </c>
      <c r="D188" s="4" t="n">
        <v>1</v>
      </c>
      <c r="E188" s="4" t="s">
        <v>202</v>
      </c>
      <c r="F188" s="4" t="n">
        <v>4</v>
      </c>
      <c r="G188" s="4" t="n">
        <v>12</v>
      </c>
      <c r="H188" s="4" t="n">
        <v>4</v>
      </c>
      <c r="I188" s="4" t="str">
        <v>×</v>
      </c>
      <c r="J188" s="4"/>
      <c r="K188" s="4"/>
      <c r="L188" s="4"/>
      <c r="M188" s="5" t="s">
        <v>15</v>
      </c>
    </row>
    <row r="189" customFormat="false" ht="15.75" hidden="false" customHeight="false" outlineLevel="0" collapsed="false">
      <c r="A189" s="3" t="n">
        <v>46228</v>
      </c>
      <c r="B189" s="4" t="s">
        <v>179</v>
      </c>
      <c r="C189" s="4" t="n">
        <v>3</v>
      </c>
      <c r="D189" s="4" t="n">
        <v>2</v>
      </c>
      <c r="E189" s="4" t="s">
        <v>203</v>
      </c>
      <c r="F189" s="4" t="n">
        <v>58</v>
      </c>
      <c r="G189" s="4" t="n">
        <v>2</v>
      </c>
      <c r="H189" s="4" t="n">
        <v>4</v>
      </c>
      <c r="I189" s="4" t="str">
        <v>×</v>
      </c>
      <c r="J189" s="4"/>
      <c r="K189" s="4"/>
      <c r="L189" s="4"/>
      <c r="M189" s="5" t="s">
        <v>15</v>
      </c>
    </row>
    <row r="190" customFormat="false" ht="15.75" hidden="false" customHeight="false" outlineLevel="0" collapsed="false">
      <c r="A190" s="3" t="n">
        <v>46228</v>
      </c>
      <c r="B190" s="4" t="s">
        <v>179</v>
      </c>
      <c r="C190" s="4" t="n">
        <v>3</v>
      </c>
      <c r="D190" s="4" t="n">
        <v>3</v>
      </c>
      <c r="E190" s="4" t="s">
        <v>204</v>
      </c>
      <c r="F190" s="4" t="n">
        <v>15</v>
      </c>
      <c r="G190" s="4" t="n">
        <v>6</v>
      </c>
      <c r="H190" s="4" t="n">
        <v>4</v>
      </c>
      <c r="I190" s="4" t="str">
        <v>×</v>
      </c>
      <c r="J190" s="4"/>
      <c r="K190" s="4"/>
      <c r="L190" s="4"/>
      <c r="M190" s="5" t="s">
        <v>15</v>
      </c>
    </row>
    <row r="191" customFormat="false" ht="15.75" hidden="false" customHeight="false" outlineLevel="0" collapsed="false">
      <c r="A191" s="3" t="n">
        <v>46228</v>
      </c>
      <c r="B191" s="4" t="s">
        <v>179</v>
      </c>
      <c r="C191" s="4" t="n">
        <v>3</v>
      </c>
      <c r="D191" s="4" t="n">
        <v>4</v>
      </c>
      <c r="E191" s="4" t="s">
        <v>205</v>
      </c>
      <c r="F191" s="4" t="n">
        <v>10</v>
      </c>
      <c r="G191" s="4" t="n">
        <v>8</v>
      </c>
      <c r="H191" s="4" t="n">
        <v>4</v>
      </c>
      <c r="I191" s="4" t="str">
        <v>×</v>
      </c>
      <c r="J191" s="4"/>
      <c r="K191" s="4"/>
      <c r="L191" s="4"/>
      <c r="M191" s="5" t="s">
        <v>15</v>
      </c>
    </row>
    <row r="192" customFormat="false" ht="15.75" hidden="false" customHeight="false" outlineLevel="0" collapsed="false">
      <c r="A192" s="3" t="n">
        <v>46228</v>
      </c>
      <c r="B192" s="4" t="s">
        <v>179</v>
      </c>
      <c r="C192" s="4" t="n">
        <v>3</v>
      </c>
      <c r="D192" s="4" t="n">
        <v>5</v>
      </c>
      <c r="E192" s="4" t="s">
        <v>206</v>
      </c>
      <c r="F192" s="4" t="n">
        <v>17</v>
      </c>
      <c r="G192" s="4" t="n">
        <v>5</v>
      </c>
      <c r="H192" s="4" t="n">
        <v>4</v>
      </c>
      <c r="I192" s="4" t="str">
        <v>×</v>
      </c>
      <c r="J192" s="4"/>
      <c r="K192" s="4"/>
      <c r="L192" s="4"/>
      <c r="M192" s="5" t="s">
        <v>15</v>
      </c>
    </row>
    <row r="193" customFormat="false" ht="15.75" hidden="false" customHeight="false" outlineLevel="0" collapsed="false">
      <c r="A193" s="3" t="n">
        <v>46228</v>
      </c>
      <c r="B193" s="4" t="s">
        <v>179</v>
      </c>
      <c r="C193" s="4" t="n">
        <v>3</v>
      </c>
      <c r="D193" s="4" t="n">
        <v>6</v>
      </c>
      <c r="E193" s="4" t="s">
        <v>207</v>
      </c>
      <c r="F193" s="4" t="n">
        <v>67</v>
      </c>
      <c r="G193" s="4" t="n">
        <v>1</v>
      </c>
      <c r="H193" s="4" t="n">
        <v>2</v>
      </c>
      <c r="I193" s="4" t="str">
        <v>○</v>
      </c>
      <c r="J193" s="4" t="n">
        <v>130</v>
      </c>
      <c r="K193" s="4"/>
      <c r="L193" s="4"/>
      <c r="M193" s="5" t="s">
        <v>15</v>
      </c>
    </row>
    <row r="194" customFormat="false" ht="15.75" hidden="false" customHeight="false" outlineLevel="0" collapsed="false">
      <c r="A194" s="3" t="n">
        <v>46228</v>
      </c>
      <c r="B194" s="4" t="s">
        <v>179</v>
      </c>
      <c r="C194" s="4" t="n">
        <v>3</v>
      </c>
      <c r="D194" s="4" t="n">
        <v>7</v>
      </c>
      <c r="E194" s="4" t="s">
        <v>208</v>
      </c>
      <c r="F194" s="4" t="n">
        <v>13</v>
      </c>
      <c r="G194" s="4" t="n">
        <v>7</v>
      </c>
      <c r="H194" s="4" t="n">
        <v>4</v>
      </c>
      <c r="I194" s="4" t="str">
        <v>×</v>
      </c>
      <c r="J194" s="4"/>
      <c r="K194" s="4"/>
      <c r="L194" s="4"/>
      <c r="M194" s="5" t="s">
        <v>15</v>
      </c>
    </row>
    <row r="195" customFormat="false" ht="15.75" hidden="false" customHeight="false" outlineLevel="0" collapsed="false">
      <c r="A195" s="3" t="n">
        <v>46228</v>
      </c>
      <c r="B195" s="4" t="s">
        <v>179</v>
      </c>
      <c r="C195" s="4" t="n">
        <v>3</v>
      </c>
      <c r="D195" s="4" t="n">
        <v>8</v>
      </c>
      <c r="E195" s="4" t="s">
        <v>209</v>
      </c>
      <c r="F195" s="4" t="n">
        <v>10</v>
      </c>
      <c r="G195" s="4" t="n">
        <v>8</v>
      </c>
      <c r="H195" s="4" t="n">
        <v>4</v>
      </c>
      <c r="I195" s="4" t="str">
        <v>×</v>
      </c>
      <c r="J195" s="4"/>
      <c r="K195" s="4"/>
      <c r="L195" s="4"/>
      <c r="M195" s="5" t="s">
        <v>15</v>
      </c>
    </row>
    <row r="196" customFormat="false" ht="15.75" hidden="false" customHeight="false" outlineLevel="0" collapsed="false">
      <c r="A196" s="3" t="n">
        <v>46228</v>
      </c>
      <c r="B196" s="4" t="s">
        <v>179</v>
      </c>
      <c r="C196" s="4" t="n">
        <v>3</v>
      </c>
      <c r="D196" s="4" t="n">
        <v>9</v>
      </c>
      <c r="E196" s="4" t="s">
        <v>210</v>
      </c>
      <c r="F196" s="4" t="n">
        <v>8</v>
      </c>
      <c r="G196" s="4" t="n">
        <v>10</v>
      </c>
      <c r="H196" s="4" t="n">
        <v>4</v>
      </c>
      <c r="I196" s="4" t="str">
        <v>×</v>
      </c>
      <c r="J196" s="4"/>
      <c r="K196" s="4"/>
      <c r="L196" s="4"/>
      <c r="M196" s="5" t="s">
        <v>15</v>
      </c>
    </row>
    <row r="197" customFormat="false" ht="15.75" hidden="false" customHeight="false" outlineLevel="0" collapsed="false">
      <c r="A197" s="3" t="n">
        <v>46228</v>
      </c>
      <c r="B197" s="4" t="s">
        <v>179</v>
      </c>
      <c r="C197" s="4" t="n">
        <v>3</v>
      </c>
      <c r="D197" s="4" t="n">
        <v>10</v>
      </c>
      <c r="E197" s="4" t="s">
        <v>211</v>
      </c>
      <c r="F197" s="4" t="n">
        <v>58</v>
      </c>
      <c r="G197" s="4" t="n">
        <v>2</v>
      </c>
      <c r="H197" s="4" t="n">
        <v>1</v>
      </c>
      <c r="I197" s="4" t="str">
        <v>○</v>
      </c>
      <c r="J197" s="4" t="n">
        <v>130</v>
      </c>
      <c r="K197" s="4"/>
      <c r="L197" s="4"/>
      <c r="M197" s="5" t="s">
        <v>15</v>
      </c>
    </row>
    <row r="198" customFormat="false" ht="15.75" hidden="false" customHeight="false" outlineLevel="0" collapsed="false">
      <c r="A198" s="3" t="n">
        <v>46228</v>
      </c>
      <c r="B198" s="4" t="s">
        <v>179</v>
      </c>
      <c r="C198" s="4" t="n">
        <v>3</v>
      </c>
      <c r="D198" s="4" t="n">
        <v>11</v>
      </c>
      <c r="E198" s="4" t="s">
        <v>212</v>
      </c>
      <c r="F198" s="4" t="n">
        <v>6</v>
      </c>
      <c r="G198" s="4" t="n">
        <v>11</v>
      </c>
      <c r="H198" s="4" t="n">
        <v>4</v>
      </c>
      <c r="I198" s="4" t="str">
        <v>×</v>
      </c>
      <c r="J198" s="4"/>
      <c r="K198" s="4"/>
      <c r="L198" s="4"/>
      <c r="M198" s="5" t="s">
        <v>15</v>
      </c>
    </row>
    <row r="199" customFormat="false" ht="15.75" hidden="false" customHeight="false" outlineLevel="0" collapsed="false">
      <c r="A199" s="3" t="n">
        <v>46228</v>
      </c>
      <c r="B199" s="4" t="s">
        <v>179</v>
      </c>
      <c r="C199" s="4" t="n">
        <v>3</v>
      </c>
      <c r="D199" s="4" t="n">
        <v>12</v>
      </c>
      <c r="E199" s="4" t="s">
        <v>213</v>
      </c>
      <c r="F199" s="4" t="n">
        <v>34</v>
      </c>
      <c r="G199" s="4" t="n">
        <v>4</v>
      </c>
      <c r="H199" s="4" t="n">
        <v>3</v>
      </c>
      <c r="I199" s="4" t="str">
        <v>○</v>
      </c>
      <c r="J199" s="4" t="n">
        <v>200</v>
      </c>
      <c r="K199" s="4"/>
      <c r="L199" s="4"/>
      <c r="M199" s="5" t="s">
        <v>15</v>
      </c>
    </row>
    <row r="200" customFormat="false" ht="15.75" hidden="false" customHeight="false" outlineLevel="0" collapsed="false">
      <c r="A200" s="3" t="n">
        <v>46228</v>
      </c>
      <c r="B200" s="4" t="s">
        <v>179</v>
      </c>
      <c r="C200" s="4" t="n">
        <v>4</v>
      </c>
      <c r="D200" s="4" t="n">
        <v>1</v>
      </c>
      <c r="E200" s="4" t="s">
        <v>214</v>
      </c>
      <c r="F200" s="4" t="n">
        <v>2</v>
      </c>
      <c r="G200" s="4" t="n">
        <v>13</v>
      </c>
      <c r="H200" s="4" t="n">
        <v>4</v>
      </c>
      <c r="I200" s="4" t="str">
        <v>×</v>
      </c>
      <c r="J200" s="4"/>
      <c r="K200" s="4"/>
      <c r="L200" s="4"/>
      <c r="M200" s="5" t="s">
        <v>15</v>
      </c>
    </row>
    <row r="201" customFormat="false" ht="15.75" hidden="false" customHeight="false" outlineLevel="0" collapsed="false">
      <c r="A201" s="3" t="n">
        <v>46228</v>
      </c>
      <c r="B201" s="4" t="s">
        <v>179</v>
      </c>
      <c r="C201" s="4" t="n">
        <v>4</v>
      </c>
      <c r="D201" s="4" t="n">
        <v>2</v>
      </c>
      <c r="E201" s="4" t="s">
        <v>215</v>
      </c>
      <c r="F201" s="4" t="n">
        <v>58</v>
      </c>
      <c r="G201" s="4" t="n">
        <v>2</v>
      </c>
      <c r="H201" s="4" t="n">
        <v>4</v>
      </c>
      <c r="I201" s="4" t="str">
        <v>×</v>
      </c>
      <c r="J201" s="4"/>
      <c r="K201" s="4"/>
      <c r="L201" s="4"/>
      <c r="M201" s="5" t="s">
        <v>15</v>
      </c>
    </row>
    <row r="202" customFormat="false" ht="15.75" hidden="false" customHeight="false" outlineLevel="0" collapsed="false">
      <c r="A202" s="3" t="n">
        <v>46228</v>
      </c>
      <c r="B202" s="4" t="s">
        <v>179</v>
      </c>
      <c r="C202" s="4" t="n">
        <v>4</v>
      </c>
      <c r="D202" s="4" t="n">
        <v>3</v>
      </c>
      <c r="E202" s="4" t="s">
        <v>216</v>
      </c>
      <c r="F202" s="4" t="n">
        <v>10</v>
      </c>
      <c r="G202" s="4" t="n">
        <v>9</v>
      </c>
      <c r="H202" s="4" t="n">
        <v>4</v>
      </c>
      <c r="I202" s="4" t="str">
        <v>×</v>
      </c>
      <c r="J202" s="4"/>
      <c r="K202" s="4"/>
      <c r="L202" s="4"/>
      <c r="M202" s="5" t="s">
        <v>15</v>
      </c>
    </row>
    <row r="203" customFormat="false" ht="15.75" hidden="false" customHeight="false" outlineLevel="0" collapsed="false">
      <c r="A203" s="3" t="n">
        <v>46228</v>
      </c>
      <c r="B203" s="4" t="s">
        <v>179</v>
      </c>
      <c r="C203" s="4" t="n">
        <v>4</v>
      </c>
      <c r="D203" s="4" t="n">
        <v>4</v>
      </c>
      <c r="E203" s="4" t="s">
        <v>217</v>
      </c>
      <c r="F203" s="4" t="n">
        <v>13</v>
      </c>
      <c r="G203" s="4" t="n">
        <v>7</v>
      </c>
      <c r="H203" s="4" t="n">
        <v>4</v>
      </c>
      <c r="I203" s="4" t="str">
        <v>×</v>
      </c>
      <c r="J203" s="4"/>
      <c r="K203" s="4"/>
      <c r="L203" s="4"/>
      <c r="M203" s="5" t="s">
        <v>15</v>
      </c>
    </row>
    <row r="204" customFormat="false" ht="15.75" hidden="false" customHeight="false" outlineLevel="0" collapsed="false">
      <c r="A204" s="3" t="n">
        <v>46228</v>
      </c>
      <c r="B204" s="4" t="s">
        <v>179</v>
      </c>
      <c r="C204" s="4" t="n">
        <v>4</v>
      </c>
      <c r="D204" s="4" t="n">
        <v>5</v>
      </c>
      <c r="E204" s="4" t="s">
        <v>218</v>
      </c>
      <c r="F204" s="4" t="n">
        <v>8</v>
      </c>
      <c r="G204" s="4" t="n">
        <v>10</v>
      </c>
      <c r="H204" s="4" t="n">
        <v>4</v>
      </c>
      <c r="I204" s="4" t="str">
        <v>×</v>
      </c>
      <c r="J204" s="4"/>
      <c r="K204" s="4"/>
      <c r="L204" s="4"/>
      <c r="M204" s="5" t="s">
        <v>15</v>
      </c>
    </row>
    <row r="205" customFormat="false" ht="15.75" hidden="false" customHeight="false" outlineLevel="0" collapsed="false">
      <c r="A205" s="3" t="n">
        <v>46228</v>
      </c>
      <c r="B205" s="4" t="s">
        <v>179</v>
      </c>
      <c r="C205" s="4" t="n">
        <v>4</v>
      </c>
      <c r="D205" s="4" t="n">
        <v>6</v>
      </c>
      <c r="E205" s="4" t="s">
        <v>219</v>
      </c>
      <c r="F205" s="4" t="n">
        <v>13</v>
      </c>
      <c r="G205" s="4" t="n">
        <v>7</v>
      </c>
      <c r="H205" s="4" t="n">
        <v>4</v>
      </c>
      <c r="I205" s="4" t="str">
        <v>×</v>
      </c>
      <c r="J205" s="4"/>
      <c r="K205" s="4"/>
      <c r="L205" s="4"/>
      <c r="M205" s="5" t="s">
        <v>15</v>
      </c>
    </row>
    <row r="206" customFormat="false" ht="15.75" hidden="false" customHeight="false" outlineLevel="0" collapsed="false">
      <c r="A206" s="3" t="n">
        <v>46228</v>
      </c>
      <c r="B206" s="4" t="s">
        <v>179</v>
      </c>
      <c r="C206" s="4" t="n">
        <v>4</v>
      </c>
      <c r="D206" s="4" t="n">
        <v>7</v>
      </c>
      <c r="E206" s="4" t="s">
        <v>220</v>
      </c>
      <c r="F206" s="4" t="n">
        <v>1</v>
      </c>
      <c r="G206" s="4" t="n">
        <v>16</v>
      </c>
      <c r="H206" s="4" t="n">
        <v>4</v>
      </c>
      <c r="I206" s="4" t="str">
        <v>×</v>
      </c>
      <c r="J206" s="4"/>
      <c r="K206" s="4"/>
      <c r="L206" s="4"/>
      <c r="M206" s="5" t="s">
        <v>15</v>
      </c>
    </row>
    <row r="207" customFormat="false" ht="15.75" hidden="false" customHeight="false" outlineLevel="0" collapsed="false">
      <c r="A207" s="3" t="n">
        <v>46228</v>
      </c>
      <c r="B207" s="4" t="s">
        <v>179</v>
      </c>
      <c r="C207" s="4" t="n">
        <v>4</v>
      </c>
      <c r="D207" s="4" t="n">
        <v>8</v>
      </c>
      <c r="E207" s="4" t="s">
        <v>221</v>
      </c>
      <c r="F207" s="4" t="n">
        <v>37</v>
      </c>
      <c r="G207" s="4" t="n">
        <v>3</v>
      </c>
      <c r="H207" s="4" t="n">
        <v>1</v>
      </c>
      <c r="I207" s="4" t="str">
        <v>○</v>
      </c>
      <c r="J207" s="4" t="n">
        <v>150</v>
      </c>
      <c r="K207" s="4"/>
      <c r="L207" s="4"/>
      <c r="M207" s="5" t="s">
        <v>15</v>
      </c>
    </row>
    <row r="208" customFormat="false" ht="15.75" hidden="false" customHeight="false" outlineLevel="0" collapsed="false">
      <c r="A208" s="3" t="n">
        <v>46228</v>
      </c>
      <c r="B208" s="4" t="s">
        <v>179</v>
      </c>
      <c r="C208" s="4" t="n">
        <v>4</v>
      </c>
      <c r="D208" s="4" t="n">
        <v>9</v>
      </c>
      <c r="E208" s="4" t="s">
        <v>222</v>
      </c>
      <c r="F208" s="4" t="n">
        <v>2</v>
      </c>
      <c r="G208" s="4" t="n">
        <v>13</v>
      </c>
      <c r="H208" s="4" t="n">
        <v>3</v>
      </c>
      <c r="I208" s="4" t="str">
        <v>○</v>
      </c>
      <c r="J208" s="4" t="n">
        <v>2980</v>
      </c>
      <c r="K208" s="4"/>
      <c r="L208" s="4"/>
      <c r="M208" s="5" t="s">
        <v>15</v>
      </c>
    </row>
    <row r="209" customFormat="false" ht="15.75" hidden="false" customHeight="false" outlineLevel="0" collapsed="false">
      <c r="A209" s="3" t="n">
        <v>46228</v>
      </c>
      <c r="B209" s="4" t="s">
        <v>179</v>
      </c>
      <c r="C209" s="4" t="n">
        <v>4</v>
      </c>
      <c r="D209" s="4" t="n">
        <v>10</v>
      </c>
      <c r="E209" s="4" t="s">
        <v>223</v>
      </c>
      <c r="F209" s="4" t="n">
        <v>8</v>
      </c>
      <c r="G209" s="4" t="n">
        <v>10</v>
      </c>
      <c r="H209" s="4" t="n">
        <v>4</v>
      </c>
      <c r="I209" s="4" t="str">
        <v>×</v>
      </c>
      <c r="J209" s="4"/>
      <c r="K209" s="4"/>
      <c r="L209" s="4"/>
      <c r="M209" s="5" t="s">
        <v>15</v>
      </c>
    </row>
    <row r="210" customFormat="false" ht="15.75" hidden="false" customHeight="false" outlineLevel="0" collapsed="false">
      <c r="A210" s="3" t="n">
        <v>46228</v>
      </c>
      <c r="B210" s="4" t="s">
        <v>179</v>
      </c>
      <c r="C210" s="4" t="n">
        <v>4</v>
      </c>
      <c r="D210" s="4" t="n">
        <v>11</v>
      </c>
      <c r="E210" s="4" t="s">
        <v>224</v>
      </c>
      <c r="F210" s="4" t="n">
        <v>20</v>
      </c>
      <c r="G210" s="4" t="n">
        <v>4</v>
      </c>
      <c r="H210" s="4" t="n">
        <v>4</v>
      </c>
      <c r="I210" s="4" t="str">
        <v>×</v>
      </c>
      <c r="J210" s="4"/>
      <c r="K210" s="4"/>
      <c r="L210" s="4"/>
      <c r="M210" s="5" t="s">
        <v>15</v>
      </c>
    </row>
    <row r="211" customFormat="false" ht="15.75" hidden="false" customHeight="false" outlineLevel="0" collapsed="false">
      <c r="A211" s="3" t="n">
        <v>46228</v>
      </c>
      <c r="B211" s="4" t="s">
        <v>179</v>
      </c>
      <c r="C211" s="4" t="n">
        <v>4</v>
      </c>
      <c r="D211" s="4" t="n">
        <v>12</v>
      </c>
      <c r="E211" s="4" t="s">
        <v>225</v>
      </c>
      <c r="F211" s="4" t="n">
        <v>15</v>
      </c>
      <c r="G211" s="4" t="n">
        <v>6</v>
      </c>
      <c r="H211" s="4" t="n">
        <v>4</v>
      </c>
      <c r="I211" s="4" t="str">
        <v>×</v>
      </c>
      <c r="J211" s="4"/>
      <c r="K211" s="4"/>
      <c r="L211" s="4"/>
      <c r="M211" s="5" t="s">
        <v>15</v>
      </c>
    </row>
    <row r="212" customFormat="false" ht="15.75" hidden="false" customHeight="false" outlineLevel="0" collapsed="false">
      <c r="A212" s="3" t="n">
        <v>46228</v>
      </c>
      <c r="B212" s="4" t="s">
        <v>179</v>
      </c>
      <c r="C212" s="4" t="n">
        <v>4</v>
      </c>
      <c r="D212" s="4" t="n">
        <v>13</v>
      </c>
      <c r="E212" s="4" t="s">
        <v>226</v>
      </c>
      <c r="F212" s="4" t="n">
        <v>20</v>
      </c>
      <c r="G212" s="4" t="n">
        <v>4</v>
      </c>
      <c r="H212" s="4" t="n">
        <v>4</v>
      </c>
      <c r="I212" s="4" t="str">
        <v>×</v>
      </c>
      <c r="J212" s="4"/>
      <c r="K212" s="4"/>
      <c r="L212" s="4"/>
      <c r="M212" s="5" t="s">
        <v>15</v>
      </c>
    </row>
    <row r="213" customFormat="false" ht="15.75" hidden="false" customHeight="false" outlineLevel="0" collapsed="false">
      <c r="A213" s="3" t="n">
        <v>46228</v>
      </c>
      <c r="B213" s="4" t="s">
        <v>179</v>
      </c>
      <c r="C213" s="4" t="n">
        <v>4</v>
      </c>
      <c r="D213" s="4" t="n">
        <v>14</v>
      </c>
      <c r="E213" s="4" t="s">
        <v>227</v>
      </c>
      <c r="F213" s="4" t="n">
        <v>62</v>
      </c>
      <c r="G213" s="4" t="n">
        <v>1</v>
      </c>
      <c r="H213" s="4" t="n">
        <v>2</v>
      </c>
      <c r="I213" s="4" t="str">
        <v>○</v>
      </c>
      <c r="J213" s="4" t="n">
        <v>200</v>
      </c>
      <c r="K213" s="4"/>
      <c r="L213" s="4"/>
      <c r="M213" s="5" t="s">
        <v>15</v>
      </c>
    </row>
    <row r="214" customFormat="false" ht="15.75" hidden="false" customHeight="false" outlineLevel="0" collapsed="false">
      <c r="A214" s="3" t="n">
        <v>46228</v>
      </c>
      <c r="B214" s="4" t="s">
        <v>179</v>
      </c>
      <c r="C214" s="4" t="n">
        <v>4</v>
      </c>
      <c r="D214" s="4" t="n">
        <v>15</v>
      </c>
      <c r="E214" s="4" t="s">
        <v>228</v>
      </c>
      <c r="F214" s="4" t="n">
        <v>6</v>
      </c>
      <c r="G214" s="4" t="n">
        <v>12</v>
      </c>
      <c r="H214" s="4" t="n">
        <v>4</v>
      </c>
      <c r="I214" s="4" t="str">
        <v>×</v>
      </c>
      <c r="J214" s="4"/>
      <c r="K214" s="4"/>
      <c r="L214" s="4"/>
      <c r="M214" s="5" t="s">
        <v>15</v>
      </c>
    </row>
    <row r="215" customFormat="false" ht="15.75" hidden="false" customHeight="false" outlineLevel="0" collapsed="false">
      <c r="A215" s="3" t="n">
        <v>46228</v>
      </c>
      <c r="B215" s="4" t="s">
        <v>179</v>
      </c>
      <c r="C215" s="4" t="n">
        <v>4</v>
      </c>
      <c r="D215" s="4" t="n">
        <v>16</v>
      </c>
      <c r="E215" s="4" t="s">
        <v>229</v>
      </c>
      <c r="F215" s="4" t="n">
        <v>2</v>
      </c>
      <c r="G215" s="4" t="n">
        <v>13</v>
      </c>
      <c r="H215" s="4" t="n">
        <v>4</v>
      </c>
      <c r="I215" s="4" t="str">
        <v>×</v>
      </c>
      <c r="J215" s="4"/>
      <c r="K215" s="4"/>
      <c r="L215" s="4"/>
      <c r="M215" s="5" t="s">
        <v>15</v>
      </c>
    </row>
    <row r="216" customFormat="false" ht="15.75" hidden="false" customHeight="false" outlineLevel="0" collapsed="false">
      <c r="A216" s="3" t="n">
        <v>46228</v>
      </c>
      <c r="B216" s="4" t="s">
        <v>179</v>
      </c>
      <c r="C216" s="4" t="n">
        <v>5</v>
      </c>
      <c r="D216" s="4" t="n">
        <v>1</v>
      </c>
      <c r="E216" s="4" t="s">
        <v>230</v>
      </c>
      <c r="F216" s="4" t="n">
        <v>4</v>
      </c>
      <c r="G216" s="4" t="n">
        <v>9</v>
      </c>
      <c r="H216" s="4" t="n">
        <v>4</v>
      </c>
      <c r="I216" s="4" t="str">
        <v>×</v>
      </c>
      <c r="J216" s="4"/>
      <c r="K216" s="4"/>
      <c r="L216" s="4"/>
      <c r="M216" s="5" t="s">
        <v>15</v>
      </c>
    </row>
    <row r="217" customFormat="false" ht="15.75" hidden="false" customHeight="false" outlineLevel="0" collapsed="false">
      <c r="A217" s="3" t="n">
        <v>46228</v>
      </c>
      <c r="B217" s="4" t="s">
        <v>179</v>
      </c>
      <c r="C217" s="4" t="n">
        <v>5</v>
      </c>
      <c r="D217" s="4" t="n">
        <v>2</v>
      </c>
      <c r="E217" s="4" t="s">
        <v>231</v>
      </c>
      <c r="F217" s="4" t="n">
        <v>4</v>
      </c>
      <c r="G217" s="4" t="n">
        <v>9</v>
      </c>
      <c r="H217" s="4" t="n">
        <v>4</v>
      </c>
      <c r="I217" s="4" t="str">
        <v>×</v>
      </c>
      <c r="J217" s="4"/>
      <c r="K217" s="4"/>
      <c r="L217" s="4"/>
      <c r="M217" s="5" t="s">
        <v>15</v>
      </c>
    </row>
    <row r="218" customFormat="false" ht="15.75" hidden="false" customHeight="false" outlineLevel="0" collapsed="false">
      <c r="A218" s="3" t="n">
        <v>46228</v>
      </c>
      <c r="B218" s="4" t="s">
        <v>179</v>
      </c>
      <c r="C218" s="4" t="n">
        <v>5</v>
      </c>
      <c r="D218" s="4" t="n">
        <v>3</v>
      </c>
      <c r="E218" s="4" t="s">
        <v>232</v>
      </c>
      <c r="F218" s="4" t="n">
        <v>10</v>
      </c>
      <c r="G218" s="4" t="n">
        <v>7</v>
      </c>
      <c r="H218" s="4" t="n">
        <v>2</v>
      </c>
      <c r="I218" s="4" t="str">
        <v>○</v>
      </c>
      <c r="J218" s="4" t="n">
        <v>570</v>
      </c>
      <c r="K218" s="4"/>
      <c r="L218" s="4"/>
      <c r="M218" s="5" t="s">
        <v>15</v>
      </c>
    </row>
    <row r="219" customFormat="false" ht="15.75" hidden="false" customHeight="false" outlineLevel="0" collapsed="false">
      <c r="A219" s="3" t="n">
        <v>46228</v>
      </c>
      <c r="B219" s="4" t="s">
        <v>179</v>
      </c>
      <c r="C219" s="4" t="n">
        <v>5</v>
      </c>
      <c r="D219" s="4" t="n">
        <v>4</v>
      </c>
      <c r="E219" s="4" t="s">
        <v>233</v>
      </c>
      <c r="F219" s="4" t="n">
        <v>37</v>
      </c>
      <c r="G219" s="4" t="n">
        <v>4</v>
      </c>
      <c r="H219" s="4" t="n">
        <v>3</v>
      </c>
      <c r="I219" s="4" t="str">
        <v>○</v>
      </c>
      <c r="J219" s="4" t="n">
        <v>240</v>
      </c>
      <c r="K219" s="4"/>
      <c r="L219" s="4"/>
      <c r="M219" s="5" t="s">
        <v>15</v>
      </c>
    </row>
    <row r="220" customFormat="false" ht="15.75" hidden="false" customHeight="false" outlineLevel="0" collapsed="false">
      <c r="A220" s="3" t="n">
        <v>46228</v>
      </c>
      <c r="B220" s="4" t="s">
        <v>179</v>
      </c>
      <c r="C220" s="4" t="n">
        <v>5</v>
      </c>
      <c r="D220" s="4" t="n">
        <v>5</v>
      </c>
      <c r="E220" s="4" t="s">
        <v>234</v>
      </c>
      <c r="F220" s="4" t="n">
        <v>47</v>
      </c>
      <c r="G220" s="4" t="n">
        <v>2</v>
      </c>
      <c r="H220" s="4" t="n">
        <v>4</v>
      </c>
      <c r="I220" s="4" t="str">
        <v>×</v>
      </c>
      <c r="J220" s="4"/>
      <c r="K220" s="4"/>
      <c r="L220" s="4"/>
      <c r="M220" s="5" t="s">
        <v>15</v>
      </c>
    </row>
    <row r="221" customFormat="false" ht="15.75" hidden="false" customHeight="false" outlineLevel="0" collapsed="false">
      <c r="A221" s="3" t="n">
        <v>46228</v>
      </c>
      <c r="B221" s="4" t="s">
        <v>179</v>
      </c>
      <c r="C221" s="4" t="n">
        <v>5</v>
      </c>
      <c r="D221" s="4" t="n">
        <v>6</v>
      </c>
      <c r="E221" s="4" t="s">
        <v>235</v>
      </c>
      <c r="F221" s="4" t="n">
        <v>4</v>
      </c>
      <c r="G221" s="4" t="n">
        <v>9</v>
      </c>
      <c r="H221" s="4" t="n">
        <v>4</v>
      </c>
      <c r="I221" s="4" t="str">
        <v>×</v>
      </c>
      <c r="J221" s="4"/>
      <c r="K221" s="4"/>
      <c r="L221" s="4"/>
      <c r="M221" s="5" t="s">
        <v>15</v>
      </c>
    </row>
    <row r="222" customFormat="false" ht="15.75" hidden="false" customHeight="false" outlineLevel="0" collapsed="false">
      <c r="A222" s="3" t="n">
        <v>46228</v>
      </c>
      <c r="B222" s="4" t="s">
        <v>179</v>
      </c>
      <c r="C222" s="4" t="n">
        <v>5</v>
      </c>
      <c r="D222" s="4" t="n">
        <v>7</v>
      </c>
      <c r="E222" s="4" t="s">
        <v>236</v>
      </c>
      <c r="F222" s="4" t="n">
        <v>4</v>
      </c>
      <c r="G222" s="4" t="n">
        <v>9</v>
      </c>
      <c r="H222" s="4" t="n">
        <v>4</v>
      </c>
      <c r="I222" s="4" t="str">
        <v>×</v>
      </c>
      <c r="J222" s="4"/>
      <c r="K222" s="4"/>
      <c r="L222" s="4"/>
      <c r="M222" s="5" t="s">
        <v>15</v>
      </c>
    </row>
    <row r="223" customFormat="false" ht="15.75" hidden="false" customHeight="false" outlineLevel="0" collapsed="false">
      <c r="A223" s="3" t="n">
        <v>46228</v>
      </c>
      <c r="B223" s="4" t="s">
        <v>179</v>
      </c>
      <c r="C223" s="4" t="n">
        <v>5</v>
      </c>
      <c r="D223" s="4" t="n">
        <v>8</v>
      </c>
      <c r="E223" s="4" t="s">
        <v>237</v>
      </c>
      <c r="F223" s="4" t="n">
        <v>37</v>
      </c>
      <c r="G223" s="4" t="n">
        <v>4</v>
      </c>
      <c r="H223" s="4" t="n">
        <v>4</v>
      </c>
      <c r="I223" s="4" t="str">
        <v>×</v>
      </c>
      <c r="J223" s="4"/>
      <c r="K223" s="4"/>
      <c r="L223" s="4"/>
      <c r="M223" s="5" t="s">
        <v>15</v>
      </c>
    </row>
    <row r="224" customFormat="false" ht="15.75" hidden="false" customHeight="false" outlineLevel="0" collapsed="false">
      <c r="A224" s="3" t="n">
        <v>46228</v>
      </c>
      <c r="B224" s="4" t="s">
        <v>179</v>
      </c>
      <c r="C224" s="4" t="n">
        <v>5</v>
      </c>
      <c r="D224" s="4" t="n">
        <v>9</v>
      </c>
      <c r="E224" s="4" t="s">
        <v>238</v>
      </c>
      <c r="F224" s="4" t="n">
        <v>4</v>
      </c>
      <c r="G224" s="4" t="n">
        <v>9</v>
      </c>
      <c r="H224" s="4" t="n">
        <v>4</v>
      </c>
      <c r="I224" s="4" t="str">
        <v>×</v>
      </c>
      <c r="J224" s="4"/>
      <c r="K224" s="4"/>
      <c r="L224" s="4"/>
      <c r="M224" s="5" t="s">
        <v>15</v>
      </c>
    </row>
    <row r="225" customFormat="false" ht="15.75" hidden="false" customHeight="false" outlineLevel="0" collapsed="false">
      <c r="A225" s="3" t="n">
        <v>46228</v>
      </c>
      <c r="B225" s="4" t="s">
        <v>179</v>
      </c>
      <c r="C225" s="4" t="n">
        <v>5</v>
      </c>
      <c r="D225" s="4" t="n">
        <v>10</v>
      </c>
      <c r="E225" s="4" t="s">
        <v>239</v>
      </c>
      <c r="F225" s="4" t="n">
        <v>10</v>
      </c>
      <c r="G225" s="4" t="n">
        <v>7</v>
      </c>
      <c r="H225" s="4" t="n">
        <v>4</v>
      </c>
      <c r="I225" s="4" t="str">
        <v>×</v>
      </c>
      <c r="J225" s="4"/>
      <c r="K225" s="4"/>
      <c r="L225" s="4"/>
      <c r="M225" s="5" t="s">
        <v>15</v>
      </c>
    </row>
    <row r="226" customFormat="false" ht="15.75" hidden="false" customHeight="false" outlineLevel="0" collapsed="false">
      <c r="A226" s="3" t="n">
        <v>46228</v>
      </c>
      <c r="B226" s="4" t="s">
        <v>179</v>
      </c>
      <c r="C226" s="4" t="n">
        <v>5</v>
      </c>
      <c r="D226" s="4" t="n">
        <v>11</v>
      </c>
      <c r="E226" s="4" t="s">
        <v>240</v>
      </c>
      <c r="F226" s="4" t="n">
        <v>56</v>
      </c>
      <c r="G226" s="4" t="n">
        <v>1</v>
      </c>
      <c r="H226" s="4" t="n">
        <v>4</v>
      </c>
      <c r="I226" s="4" t="str">
        <v>×</v>
      </c>
      <c r="J226" s="4"/>
      <c r="K226" s="4"/>
      <c r="L226" s="4"/>
      <c r="M226" s="5" t="s">
        <v>15</v>
      </c>
    </row>
    <row r="227" customFormat="false" ht="15.75" hidden="false" customHeight="false" outlineLevel="0" collapsed="false">
      <c r="A227" s="3" t="n">
        <v>46228</v>
      </c>
      <c r="B227" s="4" t="s">
        <v>179</v>
      </c>
      <c r="C227" s="4" t="n">
        <v>5</v>
      </c>
      <c r="D227" s="4" t="n">
        <v>12</v>
      </c>
      <c r="E227" s="4" t="s">
        <v>241</v>
      </c>
      <c r="F227" s="4" t="n">
        <v>41</v>
      </c>
      <c r="G227" s="4" t="n">
        <v>3</v>
      </c>
      <c r="H227" s="4" t="n">
        <v>1</v>
      </c>
      <c r="I227" s="4" t="str">
        <v>○</v>
      </c>
      <c r="J227" s="4" t="n">
        <v>110</v>
      </c>
      <c r="K227" s="4"/>
      <c r="L227" s="4"/>
      <c r="M227" s="5" t="s">
        <v>15</v>
      </c>
    </row>
    <row r="228" customFormat="false" ht="15.75" hidden="false" customHeight="false" outlineLevel="0" collapsed="false">
      <c r="A228" s="3" t="n">
        <v>46228</v>
      </c>
      <c r="B228" s="4" t="s">
        <v>179</v>
      </c>
      <c r="C228" s="4" t="n">
        <v>5</v>
      </c>
      <c r="D228" s="4" t="n">
        <v>13</v>
      </c>
      <c r="E228" s="4" t="s">
        <v>242</v>
      </c>
      <c r="F228" s="4" t="n">
        <v>4</v>
      </c>
      <c r="G228" s="4" t="n">
        <v>9</v>
      </c>
      <c r="H228" s="4" t="n">
        <v>4</v>
      </c>
      <c r="I228" s="4" t="str">
        <v>×</v>
      </c>
      <c r="J228" s="4"/>
      <c r="K228" s="4"/>
      <c r="L228" s="4"/>
      <c r="M228" s="5" t="s">
        <v>15</v>
      </c>
    </row>
    <row r="229" customFormat="false" ht="15.75" hidden="false" customHeight="false" outlineLevel="0" collapsed="false">
      <c r="A229" s="3" t="n">
        <v>46228</v>
      </c>
      <c r="B229" s="4" t="s">
        <v>179</v>
      </c>
      <c r="C229" s="4" t="n">
        <v>5</v>
      </c>
      <c r="D229" s="4" t="n">
        <v>14</v>
      </c>
      <c r="E229" s="4" t="s">
        <v>243</v>
      </c>
      <c r="F229" s="4" t="n">
        <v>2</v>
      </c>
      <c r="G229" s="4" t="n">
        <v>16</v>
      </c>
      <c r="H229" s="4" t="n">
        <v>4</v>
      </c>
      <c r="I229" s="4" t="str">
        <v>×</v>
      </c>
      <c r="J229" s="4"/>
      <c r="K229" s="4"/>
      <c r="L229" s="4"/>
      <c r="M229" s="5" t="s">
        <v>15</v>
      </c>
    </row>
    <row r="230" customFormat="false" ht="15.75" hidden="false" customHeight="false" outlineLevel="0" collapsed="false">
      <c r="A230" s="3" t="n">
        <v>46228</v>
      </c>
      <c r="B230" s="4" t="s">
        <v>179</v>
      </c>
      <c r="C230" s="4" t="n">
        <v>5</v>
      </c>
      <c r="D230" s="4" t="n">
        <v>15</v>
      </c>
      <c r="E230" s="4" t="s">
        <v>244</v>
      </c>
      <c r="F230" s="4" t="n">
        <v>13</v>
      </c>
      <c r="G230" s="4" t="n">
        <v>6</v>
      </c>
      <c r="H230" s="4" t="n">
        <v>4</v>
      </c>
      <c r="I230" s="4" t="str">
        <v>×</v>
      </c>
      <c r="J230" s="4"/>
      <c r="K230" s="4"/>
      <c r="L230" s="4"/>
      <c r="M230" s="5" t="s">
        <v>15</v>
      </c>
    </row>
    <row r="231" customFormat="false" ht="15.75" hidden="false" customHeight="false" outlineLevel="0" collapsed="false">
      <c r="A231" s="3" t="n">
        <v>46228</v>
      </c>
      <c r="B231" s="4" t="s">
        <v>179</v>
      </c>
      <c r="C231" s="4" t="n">
        <v>5</v>
      </c>
      <c r="D231" s="4" t="n">
        <v>16</v>
      </c>
      <c r="E231" s="4" t="s">
        <v>245</v>
      </c>
      <c r="F231" s="4" t="n">
        <v>4</v>
      </c>
      <c r="G231" s="4" t="n">
        <v>9</v>
      </c>
      <c r="H231" s="4" t="n">
        <v>4</v>
      </c>
      <c r="I231" s="4" t="str">
        <v>×</v>
      </c>
      <c r="J231" s="4"/>
      <c r="K231" s="4"/>
      <c r="L231" s="4"/>
      <c r="M231" s="5" t="s">
        <v>15</v>
      </c>
    </row>
    <row r="232" customFormat="false" ht="15.75" hidden="false" customHeight="false" outlineLevel="0" collapsed="false">
      <c r="A232" s="3" t="n">
        <v>46228</v>
      </c>
      <c r="B232" s="4" t="s">
        <v>179</v>
      </c>
      <c r="C232" s="4" t="n">
        <v>6</v>
      </c>
      <c r="D232" s="4" t="n">
        <v>1</v>
      </c>
      <c r="E232" s="4" t="s">
        <v>246</v>
      </c>
      <c r="F232" s="4" t="n">
        <v>8</v>
      </c>
      <c r="G232" s="4" t="n">
        <v>14</v>
      </c>
      <c r="H232" s="4" t="n">
        <v>4</v>
      </c>
      <c r="I232" s="4" t="str">
        <v>×</v>
      </c>
      <c r="J232" s="4"/>
      <c r="K232" s="4"/>
      <c r="L232" s="4"/>
      <c r="M232" s="5" t="s">
        <v>15</v>
      </c>
    </row>
    <row r="233" customFormat="false" ht="15.75" hidden="false" customHeight="false" outlineLevel="0" collapsed="false">
      <c r="A233" s="3" t="n">
        <v>46228</v>
      </c>
      <c r="B233" s="4" t="s">
        <v>179</v>
      </c>
      <c r="C233" s="4" t="n">
        <v>6</v>
      </c>
      <c r="D233" s="4" t="n">
        <v>2</v>
      </c>
      <c r="E233" s="4" t="s">
        <v>247</v>
      </c>
      <c r="F233" s="4" t="n">
        <v>23</v>
      </c>
      <c r="G233" s="4" t="n">
        <v>7</v>
      </c>
      <c r="H233" s="4" t="n">
        <v>4</v>
      </c>
      <c r="I233" s="4" t="str">
        <v>×</v>
      </c>
      <c r="J233" s="4"/>
      <c r="K233" s="4"/>
      <c r="L233" s="4"/>
      <c r="M233" s="5" t="s">
        <v>15</v>
      </c>
    </row>
    <row r="234" customFormat="false" ht="15.75" hidden="false" customHeight="false" outlineLevel="0" collapsed="false">
      <c r="A234" s="3" t="n">
        <v>46228</v>
      </c>
      <c r="B234" s="4" t="s">
        <v>179</v>
      </c>
      <c r="C234" s="4" t="n">
        <v>6</v>
      </c>
      <c r="D234" s="4" t="n">
        <v>3</v>
      </c>
      <c r="E234" s="4" t="s">
        <v>248</v>
      </c>
      <c r="F234" s="4" t="n">
        <v>17</v>
      </c>
      <c r="G234" s="4" t="n">
        <v>10</v>
      </c>
      <c r="H234" s="4" t="n">
        <v>4</v>
      </c>
      <c r="I234" s="4" t="str">
        <v>×</v>
      </c>
      <c r="J234" s="4"/>
      <c r="K234" s="4"/>
      <c r="L234" s="4"/>
      <c r="M234" s="5" t="s">
        <v>15</v>
      </c>
    </row>
    <row r="235" customFormat="false" ht="15.75" hidden="false" customHeight="false" outlineLevel="0" collapsed="false">
      <c r="A235" s="3" t="n">
        <v>46228</v>
      </c>
      <c r="B235" s="4" t="s">
        <v>179</v>
      </c>
      <c r="C235" s="4" t="n">
        <v>6</v>
      </c>
      <c r="D235" s="4" t="n">
        <v>4</v>
      </c>
      <c r="E235" s="4" t="s">
        <v>249</v>
      </c>
      <c r="F235" s="4" t="n">
        <v>2</v>
      </c>
      <c r="G235" s="4" t="n">
        <v>16</v>
      </c>
      <c r="H235" s="4" t="n">
        <v>4</v>
      </c>
      <c r="I235" s="4" t="str">
        <v>×</v>
      </c>
      <c r="J235" s="4"/>
      <c r="K235" s="4"/>
      <c r="L235" s="4"/>
      <c r="M235" s="5" t="s">
        <v>15</v>
      </c>
    </row>
    <row r="236" customFormat="false" ht="15.75" hidden="false" customHeight="false" outlineLevel="0" collapsed="false">
      <c r="A236" s="3" t="n">
        <v>46228</v>
      </c>
      <c r="B236" s="4" t="s">
        <v>179</v>
      </c>
      <c r="C236" s="4" t="n">
        <v>6</v>
      </c>
      <c r="D236" s="4" t="n">
        <v>5</v>
      </c>
      <c r="E236" s="4" t="s">
        <v>250</v>
      </c>
      <c r="F236" s="4" t="n">
        <v>23</v>
      </c>
      <c r="G236" s="4" t="n">
        <v>7</v>
      </c>
      <c r="H236" s="4" t="n">
        <v>4</v>
      </c>
      <c r="I236" s="4" t="str">
        <v>×</v>
      </c>
      <c r="J236" s="4"/>
      <c r="K236" s="4"/>
      <c r="L236" s="4"/>
      <c r="M236" s="5" t="s">
        <v>15</v>
      </c>
    </row>
    <row r="237" customFormat="false" ht="15.75" hidden="false" customHeight="false" outlineLevel="0" collapsed="false">
      <c r="A237" s="3" t="n">
        <v>46228</v>
      </c>
      <c r="B237" s="4" t="s">
        <v>179</v>
      </c>
      <c r="C237" s="4" t="n">
        <v>6</v>
      </c>
      <c r="D237" s="4" t="n">
        <v>6</v>
      </c>
      <c r="E237" s="4" t="s">
        <v>251</v>
      </c>
      <c r="F237" s="4" t="n">
        <v>39</v>
      </c>
      <c r="G237" s="4" t="n">
        <v>3</v>
      </c>
      <c r="H237" s="4" t="n">
        <v>4</v>
      </c>
      <c r="I237" s="4" t="str">
        <v>×</v>
      </c>
      <c r="J237" s="4"/>
      <c r="K237" s="4"/>
      <c r="L237" s="4"/>
      <c r="M237" s="5" t="s">
        <v>15</v>
      </c>
    </row>
    <row r="238" customFormat="false" ht="15.75" hidden="false" customHeight="false" outlineLevel="0" collapsed="false">
      <c r="A238" s="3" t="n">
        <v>46228</v>
      </c>
      <c r="B238" s="4" t="s">
        <v>179</v>
      </c>
      <c r="C238" s="4" t="n">
        <v>6</v>
      </c>
      <c r="D238" s="4" t="n">
        <v>7</v>
      </c>
      <c r="E238" s="4" t="s">
        <v>252</v>
      </c>
      <c r="F238" s="4" t="n">
        <v>13</v>
      </c>
      <c r="G238" s="4" t="n">
        <v>13</v>
      </c>
      <c r="H238" s="4" t="n">
        <v>4</v>
      </c>
      <c r="I238" s="4" t="str">
        <v>×</v>
      </c>
      <c r="J238" s="4"/>
      <c r="K238" s="4"/>
      <c r="L238" s="4"/>
      <c r="M238" s="5" t="s">
        <v>15</v>
      </c>
    </row>
    <row r="239" customFormat="false" ht="15.75" hidden="false" customHeight="false" outlineLevel="0" collapsed="false">
      <c r="A239" s="3" t="n">
        <v>46228</v>
      </c>
      <c r="B239" s="4" t="s">
        <v>179</v>
      </c>
      <c r="C239" s="4" t="n">
        <v>6</v>
      </c>
      <c r="D239" s="4" t="n">
        <v>8</v>
      </c>
      <c r="E239" s="4" t="s">
        <v>253</v>
      </c>
      <c r="F239" s="4" t="n">
        <v>17</v>
      </c>
      <c r="G239" s="4" t="n">
        <v>10</v>
      </c>
      <c r="H239" s="4" t="n">
        <v>4</v>
      </c>
      <c r="I239" s="4" t="str">
        <v>×</v>
      </c>
      <c r="J239" s="4"/>
      <c r="K239" s="4"/>
      <c r="L239" s="4"/>
      <c r="M239" s="5" t="s">
        <v>15</v>
      </c>
    </row>
    <row r="240" customFormat="false" ht="15.75" hidden="false" customHeight="false" outlineLevel="0" collapsed="false">
      <c r="A240" s="3" t="n">
        <v>46228</v>
      </c>
      <c r="B240" s="4" t="s">
        <v>179</v>
      </c>
      <c r="C240" s="4" t="n">
        <v>6</v>
      </c>
      <c r="D240" s="4" t="n">
        <v>9</v>
      </c>
      <c r="E240" s="4" t="s">
        <v>254</v>
      </c>
      <c r="F240" s="4" t="n">
        <v>58</v>
      </c>
      <c r="G240" s="4" t="n">
        <v>1</v>
      </c>
      <c r="H240" s="4" t="n">
        <v>4</v>
      </c>
      <c r="I240" s="4" t="str">
        <v>×</v>
      </c>
      <c r="J240" s="4"/>
      <c r="K240" s="4"/>
      <c r="L240" s="4"/>
      <c r="M240" s="5" t="s">
        <v>15</v>
      </c>
    </row>
    <row r="241" customFormat="false" ht="15.75" hidden="false" customHeight="false" outlineLevel="0" collapsed="false">
      <c r="A241" s="3" t="n">
        <v>46228</v>
      </c>
      <c r="B241" s="4" t="s">
        <v>179</v>
      </c>
      <c r="C241" s="4" t="n">
        <v>6</v>
      </c>
      <c r="D241" s="4" t="n">
        <v>10</v>
      </c>
      <c r="E241" s="4" t="s">
        <v>255</v>
      </c>
      <c r="F241" s="4" t="n">
        <v>20</v>
      </c>
      <c r="G241" s="4" t="n">
        <v>9</v>
      </c>
      <c r="H241" s="4" t="n">
        <v>4</v>
      </c>
      <c r="I241" s="4" t="str">
        <v>×</v>
      </c>
      <c r="J241" s="4"/>
      <c r="K241" s="4"/>
      <c r="L241" s="4"/>
      <c r="M241" s="5" t="s">
        <v>15</v>
      </c>
    </row>
    <row r="242" customFormat="false" ht="15.75" hidden="false" customHeight="false" outlineLevel="0" collapsed="false">
      <c r="A242" s="3" t="n">
        <v>46228</v>
      </c>
      <c r="B242" s="4" t="s">
        <v>179</v>
      </c>
      <c r="C242" s="4" t="n">
        <v>6</v>
      </c>
      <c r="D242" s="4" t="n">
        <v>11</v>
      </c>
      <c r="E242" s="4" t="s">
        <v>256</v>
      </c>
      <c r="F242" s="4" t="n">
        <v>25</v>
      </c>
      <c r="G242" s="4" t="n">
        <v>6</v>
      </c>
      <c r="H242" s="4" t="n">
        <v>4</v>
      </c>
      <c r="I242" s="4" t="str">
        <v>×</v>
      </c>
      <c r="J242" s="4"/>
      <c r="K242" s="4"/>
      <c r="L242" s="4"/>
      <c r="M242" s="5" t="s">
        <v>15</v>
      </c>
    </row>
    <row r="243" customFormat="false" ht="15.75" hidden="false" customHeight="false" outlineLevel="0" collapsed="false">
      <c r="A243" s="3" t="n">
        <v>46228</v>
      </c>
      <c r="B243" s="4" t="s">
        <v>179</v>
      </c>
      <c r="C243" s="4" t="n">
        <v>6</v>
      </c>
      <c r="D243" s="4" t="n">
        <v>12</v>
      </c>
      <c r="E243" s="4" t="s">
        <v>257</v>
      </c>
      <c r="F243" s="4" t="n">
        <v>47</v>
      </c>
      <c r="G243" s="4" t="n">
        <v>2</v>
      </c>
      <c r="H243" s="4" t="n">
        <v>1</v>
      </c>
      <c r="I243" s="4" t="str">
        <v>○</v>
      </c>
      <c r="J243" s="4" t="n">
        <v>220</v>
      </c>
      <c r="K243" s="4"/>
      <c r="L243" s="4"/>
      <c r="M243" s="5" t="s">
        <v>15</v>
      </c>
    </row>
    <row r="244" customFormat="false" ht="15.75" hidden="false" customHeight="false" outlineLevel="0" collapsed="false">
      <c r="A244" s="3" t="n">
        <v>46228</v>
      </c>
      <c r="B244" s="4" t="s">
        <v>179</v>
      </c>
      <c r="C244" s="4" t="n">
        <v>6</v>
      </c>
      <c r="D244" s="4" t="n">
        <v>13</v>
      </c>
      <c r="E244" s="4" t="s">
        <v>258</v>
      </c>
      <c r="F244" s="4" t="n">
        <v>39</v>
      </c>
      <c r="G244" s="4" t="n">
        <v>3</v>
      </c>
      <c r="H244" s="4" t="n">
        <v>2</v>
      </c>
      <c r="I244" s="4" t="str">
        <v>○</v>
      </c>
      <c r="J244" s="4" t="n">
        <v>220</v>
      </c>
      <c r="K244" s="4"/>
      <c r="L244" s="4"/>
      <c r="M244" s="5" t="s">
        <v>15</v>
      </c>
    </row>
    <row r="245" customFormat="false" ht="15.75" hidden="false" customHeight="false" outlineLevel="0" collapsed="false">
      <c r="A245" s="3" t="n">
        <v>46228</v>
      </c>
      <c r="B245" s="4" t="s">
        <v>179</v>
      </c>
      <c r="C245" s="4" t="n">
        <v>6</v>
      </c>
      <c r="D245" s="4" t="n">
        <v>14</v>
      </c>
      <c r="E245" s="4" t="s">
        <v>259</v>
      </c>
      <c r="F245" s="4" t="n">
        <v>34</v>
      </c>
      <c r="G245" s="4" t="n">
        <v>5</v>
      </c>
      <c r="H245" s="4" t="n">
        <v>3</v>
      </c>
      <c r="I245" s="4" t="str">
        <v>○</v>
      </c>
      <c r="J245" s="4" t="n">
        <v>630</v>
      </c>
      <c r="K245" s="4"/>
      <c r="L245" s="4"/>
      <c r="M245" s="5" t="s">
        <v>15</v>
      </c>
    </row>
    <row r="246" customFormat="false" ht="15.75" hidden="false" customHeight="false" outlineLevel="0" collapsed="false">
      <c r="A246" s="3" t="n">
        <v>46228</v>
      </c>
      <c r="B246" s="4" t="s">
        <v>179</v>
      </c>
      <c r="C246" s="4" t="n">
        <v>6</v>
      </c>
      <c r="D246" s="4" t="n">
        <v>15</v>
      </c>
      <c r="E246" s="4" t="s">
        <v>260</v>
      </c>
      <c r="F246" s="4" t="n">
        <v>3</v>
      </c>
      <c r="G246" s="4" t="n">
        <v>15</v>
      </c>
      <c r="H246" s="4" t="n">
        <v>4</v>
      </c>
      <c r="I246" s="4" t="str">
        <v>×</v>
      </c>
      <c r="J246" s="4"/>
      <c r="K246" s="4"/>
      <c r="L246" s="4"/>
      <c r="M246" s="5" t="s">
        <v>15</v>
      </c>
    </row>
    <row r="247" customFormat="false" ht="15.75" hidden="false" customHeight="false" outlineLevel="0" collapsed="false">
      <c r="A247" s="3" t="n">
        <v>46228</v>
      </c>
      <c r="B247" s="4" t="s">
        <v>179</v>
      </c>
      <c r="C247" s="4" t="n">
        <v>6</v>
      </c>
      <c r="D247" s="4" t="n">
        <v>16</v>
      </c>
      <c r="E247" s="4" t="s">
        <v>261</v>
      </c>
      <c r="F247" s="4" t="n">
        <v>17</v>
      </c>
      <c r="G247" s="4" t="n">
        <v>10</v>
      </c>
      <c r="H247" s="4" t="n">
        <v>4</v>
      </c>
      <c r="I247" s="4" t="str">
        <v>×</v>
      </c>
      <c r="J247" s="4"/>
      <c r="K247" s="4"/>
      <c r="L247" s="4"/>
      <c r="M247" s="5" t="s">
        <v>15</v>
      </c>
    </row>
    <row r="248" customFormat="false" ht="15.75" hidden="false" customHeight="false" outlineLevel="0" collapsed="false">
      <c r="A248" s="3" t="n">
        <v>46228</v>
      </c>
      <c r="B248" s="4" t="s">
        <v>179</v>
      </c>
      <c r="C248" s="4" t="n">
        <v>7</v>
      </c>
      <c r="D248" s="4" t="n">
        <v>1</v>
      </c>
      <c r="E248" s="4" t="s">
        <v>262</v>
      </c>
      <c r="F248" s="4" t="n">
        <v>44</v>
      </c>
      <c r="G248" s="4" t="n">
        <v>3</v>
      </c>
      <c r="H248" s="4" t="n">
        <v>1</v>
      </c>
      <c r="I248" s="4" t="str">
        <v>○</v>
      </c>
      <c r="J248" s="4" t="n">
        <v>200</v>
      </c>
      <c r="K248" s="4"/>
      <c r="L248" s="4"/>
      <c r="M248" s="5" t="s">
        <v>15</v>
      </c>
    </row>
    <row r="249" customFormat="false" ht="15.75" hidden="false" customHeight="false" outlineLevel="0" collapsed="false">
      <c r="A249" s="3" t="n">
        <v>46228</v>
      </c>
      <c r="B249" s="4" t="s">
        <v>179</v>
      </c>
      <c r="C249" s="4" t="n">
        <v>7</v>
      </c>
      <c r="D249" s="4" t="n">
        <v>2</v>
      </c>
      <c r="E249" s="4" t="s">
        <v>263</v>
      </c>
      <c r="F249" s="4" t="n">
        <v>8</v>
      </c>
      <c r="G249" s="4" t="n">
        <v>10</v>
      </c>
      <c r="H249" s="4" t="n">
        <v>4</v>
      </c>
      <c r="I249" s="4" t="str">
        <v>×</v>
      </c>
      <c r="J249" s="4"/>
      <c r="K249" s="4"/>
      <c r="L249" s="4"/>
      <c r="M249" s="5" t="s">
        <v>15</v>
      </c>
    </row>
    <row r="250" customFormat="false" ht="15.75" hidden="false" customHeight="false" outlineLevel="0" collapsed="false">
      <c r="A250" s="3" t="n">
        <v>46228</v>
      </c>
      <c r="B250" s="4" t="s">
        <v>179</v>
      </c>
      <c r="C250" s="4" t="n">
        <v>7</v>
      </c>
      <c r="D250" s="4" t="n">
        <v>3</v>
      </c>
      <c r="E250" s="4" t="s">
        <v>264</v>
      </c>
      <c r="F250" s="4" t="n">
        <v>6</v>
      </c>
      <c r="G250" s="4" t="n">
        <v>11</v>
      </c>
      <c r="H250" s="4" t="n">
        <v>4</v>
      </c>
      <c r="I250" s="4" t="str">
        <v>×</v>
      </c>
      <c r="J250" s="4"/>
      <c r="K250" s="4"/>
      <c r="L250" s="4"/>
      <c r="M250" s="5" t="s">
        <v>15</v>
      </c>
    </row>
    <row r="251" customFormat="false" ht="15.75" hidden="false" customHeight="false" outlineLevel="0" collapsed="false">
      <c r="A251" s="3" t="n">
        <v>46228</v>
      </c>
      <c r="B251" s="4" t="s">
        <v>179</v>
      </c>
      <c r="C251" s="4" t="n">
        <v>7</v>
      </c>
      <c r="D251" s="4" t="n">
        <v>4</v>
      </c>
      <c r="E251" s="4" t="s">
        <v>265</v>
      </c>
      <c r="F251" s="4" t="n">
        <v>15</v>
      </c>
      <c r="G251" s="4" t="n">
        <v>6</v>
      </c>
      <c r="H251" s="4" t="n">
        <v>4</v>
      </c>
      <c r="I251" s="4" t="str">
        <v>×</v>
      </c>
      <c r="J251" s="4"/>
      <c r="K251" s="4"/>
      <c r="L251" s="4"/>
      <c r="M251" s="5" t="s">
        <v>15</v>
      </c>
    </row>
    <row r="252" customFormat="false" ht="15.75" hidden="false" customHeight="false" outlineLevel="0" collapsed="false">
      <c r="A252" s="3" t="n">
        <v>46228</v>
      </c>
      <c r="B252" s="4" t="s">
        <v>179</v>
      </c>
      <c r="C252" s="4" t="n">
        <v>7</v>
      </c>
      <c r="D252" s="4" t="n">
        <v>5</v>
      </c>
      <c r="E252" s="4" t="s">
        <v>266</v>
      </c>
      <c r="F252" s="4" t="n">
        <v>25</v>
      </c>
      <c r="G252" s="4" t="n">
        <v>4</v>
      </c>
      <c r="H252" s="4" t="n">
        <v>4</v>
      </c>
      <c r="I252" s="4" t="str">
        <v>×</v>
      </c>
      <c r="J252" s="4"/>
      <c r="K252" s="4"/>
      <c r="L252" s="4"/>
      <c r="M252" s="5" t="s">
        <v>15</v>
      </c>
    </row>
    <row r="253" customFormat="false" ht="15.75" hidden="false" customHeight="false" outlineLevel="0" collapsed="false">
      <c r="A253" s="3" t="n">
        <v>46228</v>
      </c>
      <c r="B253" s="4" t="s">
        <v>179</v>
      </c>
      <c r="C253" s="4" t="n">
        <v>7</v>
      </c>
      <c r="D253" s="4" t="n">
        <v>6</v>
      </c>
      <c r="E253" s="4" t="s">
        <v>267</v>
      </c>
      <c r="F253" s="4" t="n">
        <v>15</v>
      </c>
      <c r="G253" s="4" t="n">
        <v>6</v>
      </c>
      <c r="H253" s="4" t="n">
        <v>4</v>
      </c>
      <c r="I253" s="4" t="str">
        <v>×</v>
      </c>
      <c r="J253" s="4"/>
      <c r="K253" s="4"/>
      <c r="L253" s="4"/>
      <c r="M253" s="5" t="s">
        <v>15</v>
      </c>
    </row>
    <row r="254" customFormat="false" ht="15.75" hidden="false" customHeight="false" outlineLevel="0" collapsed="false">
      <c r="A254" s="3" t="n">
        <v>46228</v>
      </c>
      <c r="B254" s="4" t="s">
        <v>179</v>
      </c>
      <c r="C254" s="4" t="n">
        <v>7</v>
      </c>
      <c r="D254" s="4" t="n">
        <v>7</v>
      </c>
      <c r="E254" s="4" t="s">
        <v>268</v>
      </c>
      <c r="F254" s="4" t="n">
        <v>60</v>
      </c>
      <c r="G254" s="4" t="n">
        <v>1</v>
      </c>
      <c r="H254" s="4" t="n">
        <v>3</v>
      </c>
      <c r="I254" s="4" t="str">
        <v>○</v>
      </c>
      <c r="J254" s="4" t="n">
        <v>170</v>
      </c>
      <c r="K254" s="4"/>
      <c r="L254" s="4"/>
      <c r="M254" s="5" t="s">
        <v>15</v>
      </c>
    </row>
    <row r="255" customFormat="false" ht="15.75" hidden="false" customHeight="false" outlineLevel="0" collapsed="false">
      <c r="A255" s="3" t="n">
        <v>46228</v>
      </c>
      <c r="B255" s="4" t="s">
        <v>179</v>
      </c>
      <c r="C255" s="4" t="n">
        <v>7</v>
      </c>
      <c r="D255" s="4" t="n">
        <v>8</v>
      </c>
      <c r="E255" s="4" t="s">
        <v>269</v>
      </c>
      <c r="F255" s="4" t="n">
        <v>10</v>
      </c>
      <c r="G255" s="4" t="n">
        <v>8</v>
      </c>
      <c r="H255" s="4" t="n">
        <v>4</v>
      </c>
      <c r="I255" s="4" t="str">
        <v>×</v>
      </c>
      <c r="J255" s="4"/>
      <c r="K255" s="4"/>
      <c r="L255" s="4"/>
      <c r="M255" s="5" t="s">
        <v>15</v>
      </c>
    </row>
    <row r="256" customFormat="false" ht="15.75" hidden="false" customHeight="false" outlineLevel="0" collapsed="false">
      <c r="A256" s="3" t="n">
        <v>46228</v>
      </c>
      <c r="B256" s="4" t="s">
        <v>179</v>
      </c>
      <c r="C256" s="4" t="n">
        <v>7</v>
      </c>
      <c r="D256" s="4" t="n">
        <v>9</v>
      </c>
      <c r="E256" s="4" t="s">
        <v>270</v>
      </c>
      <c r="F256" s="4" t="n">
        <v>58</v>
      </c>
      <c r="G256" s="4" t="n">
        <v>2</v>
      </c>
      <c r="H256" s="4" t="n">
        <v>4</v>
      </c>
      <c r="I256" s="4" t="str">
        <v>×</v>
      </c>
      <c r="J256" s="4"/>
      <c r="K256" s="4"/>
      <c r="L256" s="4"/>
      <c r="M256" s="5" t="s">
        <v>15</v>
      </c>
    </row>
    <row r="257" customFormat="false" ht="15.75" hidden="false" customHeight="false" outlineLevel="0" collapsed="false">
      <c r="A257" s="3" t="n">
        <v>46228</v>
      </c>
      <c r="B257" s="4" t="s">
        <v>179</v>
      </c>
      <c r="C257" s="4" t="n">
        <v>7</v>
      </c>
      <c r="D257" s="4" t="n">
        <v>10</v>
      </c>
      <c r="E257" s="4" t="s">
        <v>271</v>
      </c>
      <c r="F257" s="4" t="n">
        <v>25</v>
      </c>
      <c r="G257" s="4" t="n">
        <v>4</v>
      </c>
      <c r="H257" s="4" t="n">
        <v>2</v>
      </c>
      <c r="I257" s="4" t="str">
        <v>○</v>
      </c>
      <c r="J257" s="4" t="n">
        <v>300</v>
      </c>
      <c r="K257" s="4"/>
      <c r="L257" s="4"/>
      <c r="M257" s="5" t="s">
        <v>15</v>
      </c>
    </row>
    <row r="258" customFormat="false" ht="15.75" hidden="false" customHeight="false" outlineLevel="0" collapsed="false">
      <c r="A258" s="3" t="n">
        <v>46228</v>
      </c>
      <c r="B258" s="4" t="s">
        <v>179</v>
      </c>
      <c r="C258" s="4" t="n">
        <v>7</v>
      </c>
      <c r="D258" s="4" t="n">
        <v>11</v>
      </c>
      <c r="E258" s="4" t="s">
        <v>272</v>
      </c>
      <c r="F258" s="4" t="n">
        <v>10</v>
      </c>
      <c r="G258" s="4" t="n">
        <v>8</v>
      </c>
      <c r="H258" s="4" t="n">
        <v>4</v>
      </c>
      <c r="I258" s="4" t="str">
        <v>×</v>
      </c>
      <c r="J258" s="4"/>
      <c r="K258" s="4"/>
      <c r="L258" s="4"/>
      <c r="M258" s="5" t="s">
        <v>15</v>
      </c>
    </row>
    <row r="259" customFormat="false" ht="15.75" hidden="false" customHeight="false" outlineLevel="0" collapsed="false">
      <c r="A259" s="3" t="n">
        <v>46228</v>
      </c>
      <c r="B259" s="4" t="s">
        <v>179</v>
      </c>
      <c r="C259" s="4" t="n">
        <v>8</v>
      </c>
      <c r="D259" s="4" t="n">
        <v>1</v>
      </c>
      <c r="E259" s="4" t="s">
        <v>273</v>
      </c>
      <c r="F259" s="4" t="n">
        <v>60</v>
      </c>
      <c r="G259" s="4" t="n">
        <v>2</v>
      </c>
      <c r="H259" s="4" t="n">
        <v>2</v>
      </c>
      <c r="I259" s="4" t="str">
        <v>○</v>
      </c>
      <c r="J259" s="4" t="n">
        <v>130</v>
      </c>
      <c r="K259" s="4"/>
      <c r="L259" s="4"/>
      <c r="M259" s="5" t="s">
        <v>15</v>
      </c>
    </row>
    <row r="260" customFormat="false" ht="15.75" hidden="false" customHeight="false" outlineLevel="0" collapsed="false">
      <c r="A260" s="3" t="n">
        <v>46228</v>
      </c>
      <c r="B260" s="4" t="s">
        <v>179</v>
      </c>
      <c r="C260" s="4" t="n">
        <v>8</v>
      </c>
      <c r="D260" s="4" t="n">
        <v>2</v>
      </c>
      <c r="E260" s="4" t="s">
        <v>274</v>
      </c>
      <c r="F260" s="4" t="n">
        <v>74</v>
      </c>
      <c r="G260" s="4" t="n">
        <v>1</v>
      </c>
      <c r="H260" s="4" t="n">
        <v>3</v>
      </c>
      <c r="I260" s="4" t="str">
        <v>○</v>
      </c>
      <c r="J260" s="4" t="n">
        <v>210</v>
      </c>
      <c r="K260" s="4"/>
      <c r="L260" s="4"/>
      <c r="M260" s="5" t="s">
        <v>15</v>
      </c>
    </row>
    <row r="261" customFormat="false" ht="15.75" hidden="false" customHeight="false" outlineLevel="0" collapsed="false">
      <c r="A261" s="3" t="n">
        <v>46228</v>
      </c>
      <c r="B261" s="4" t="s">
        <v>179</v>
      </c>
      <c r="C261" s="4" t="n">
        <v>8</v>
      </c>
      <c r="D261" s="4" t="n">
        <v>3</v>
      </c>
      <c r="E261" s="4" t="s">
        <v>275</v>
      </c>
      <c r="F261" s="4" t="n">
        <v>29</v>
      </c>
      <c r="G261" s="4" t="n">
        <v>6</v>
      </c>
      <c r="H261" s="4" t="n">
        <v>4</v>
      </c>
      <c r="I261" s="4" t="str">
        <v>×</v>
      </c>
      <c r="J261" s="4"/>
      <c r="K261" s="4"/>
      <c r="L261" s="4"/>
      <c r="M261" s="5" t="s">
        <v>15</v>
      </c>
    </row>
    <row r="262" customFormat="false" ht="15.75" hidden="false" customHeight="false" outlineLevel="0" collapsed="false">
      <c r="A262" s="3" t="n">
        <v>46228</v>
      </c>
      <c r="B262" s="4" t="s">
        <v>179</v>
      </c>
      <c r="C262" s="4" t="n">
        <v>8</v>
      </c>
      <c r="D262" s="4" t="n">
        <v>4</v>
      </c>
      <c r="E262" s="4" t="s">
        <v>276</v>
      </c>
      <c r="F262" s="4" t="n">
        <v>10</v>
      </c>
      <c r="G262" s="4" t="n">
        <v>8</v>
      </c>
      <c r="H262" s="4" t="n">
        <v>4</v>
      </c>
      <c r="I262" s="4" t="str">
        <v>×</v>
      </c>
      <c r="J262" s="4"/>
      <c r="K262" s="4"/>
      <c r="L262" s="4"/>
      <c r="M262" s="5" t="s">
        <v>15</v>
      </c>
    </row>
    <row r="263" customFormat="false" ht="15.75" hidden="false" customHeight="false" outlineLevel="0" collapsed="false">
      <c r="A263" s="3" t="n">
        <v>46228</v>
      </c>
      <c r="B263" s="4" t="s">
        <v>179</v>
      </c>
      <c r="C263" s="4" t="n">
        <v>8</v>
      </c>
      <c r="D263" s="4" t="n">
        <v>5</v>
      </c>
      <c r="E263" s="4" t="s">
        <v>277</v>
      </c>
      <c r="F263" s="4" t="n">
        <v>52</v>
      </c>
      <c r="G263" s="4" t="n">
        <v>3</v>
      </c>
      <c r="H263" s="4" t="n">
        <v>4</v>
      </c>
      <c r="I263" s="4" t="str">
        <v>×</v>
      </c>
      <c r="J263" s="4"/>
      <c r="K263" s="4"/>
      <c r="L263" s="4"/>
      <c r="M263" s="5" t="s">
        <v>15</v>
      </c>
    </row>
    <row r="264" customFormat="false" ht="15.75" hidden="false" customHeight="false" outlineLevel="0" collapsed="false">
      <c r="A264" s="3" t="n">
        <v>46228</v>
      </c>
      <c r="B264" s="4" t="s">
        <v>179</v>
      </c>
      <c r="C264" s="4" t="n">
        <v>8</v>
      </c>
      <c r="D264" s="4" t="n">
        <v>6</v>
      </c>
      <c r="E264" s="4" t="s">
        <v>278</v>
      </c>
      <c r="F264" s="4" t="n">
        <v>31</v>
      </c>
      <c r="G264" s="4" t="n">
        <v>5</v>
      </c>
      <c r="H264" s="4" t="n">
        <v>4</v>
      </c>
      <c r="I264" s="4" t="str">
        <v>×</v>
      </c>
      <c r="J264" s="4"/>
      <c r="K264" s="4"/>
      <c r="L264" s="4"/>
      <c r="M264" s="5" t="s">
        <v>15</v>
      </c>
    </row>
    <row r="265" customFormat="false" ht="15.75" hidden="false" customHeight="false" outlineLevel="0" collapsed="false">
      <c r="A265" s="3" t="n">
        <v>46228</v>
      </c>
      <c r="B265" s="4" t="s">
        <v>179</v>
      </c>
      <c r="C265" s="4" t="n">
        <v>8</v>
      </c>
      <c r="D265" s="4" t="n">
        <v>7</v>
      </c>
      <c r="E265" s="4" t="s">
        <v>279</v>
      </c>
      <c r="F265" s="4" t="n">
        <v>25</v>
      </c>
      <c r="G265" s="4" t="n">
        <v>7</v>
      </c>
      <c r="H265" s="4" t="n">
        <v>4</v>
      </c>
      <c r="I265" s="4" t="str">
        <v>×</v>
      </c>
      <c r="J265" s="4"/>
      <c r="K265" s="4"/>
      <c r="L265" s="4"/>
      <c r="M265" s="5" t="s">
        <v>15</v>
      </c>
    </row>
    <row r="266" customFormat="false" ht="15.75" hidden="false" customHeight="false" outlineLevel="0" collapsed="false">
      <c r="A266" s="3" t="n">
        <v>46228</v>
      </c>
      <c r="B266" s="4" t="s">
        <v>179</v>
      </c>
      <c r="C266" s="4" t="n">
        <v>8</v>
      </c>
      <c r="D266" s="4" t="n">
        <v>8</v>
      </c>
      <c r="E266" s="4" t="s">
        <v>280</v>
      </c>
      <c r="F266" s="4" t="n">
        <v>41</v>
      </c>
      <c r="G266" s="4" t="n">
        <v>4</v>
      </c>
      <c r="H266" s="4" t="n">
        <v>1</v>
      </c>
      <c r="I266" s="4" t="str">
        <v>○</v>
      </c>
      <c r="J266" s="4" t="n">
        <v>110</v>
      </c>
      <c r="K266" s="4"/>
      <c r="L266" s="4"/>
      <c r="M266" s="5" t="s">
        <v>15</v>
      </c>
    </row>
    <row r="267" customFormat="false" ht="15.75" hidden="false" customHeight="false" outlineLevel="0" collapsed="false">
      <c r="A267" s="3" t="n">
        <v>46228</v>
      </c>
      <c r="B267" s="4" t="s">
        <v>179</v>
      </c>
      <c r="C267" s="4" t="n">
        <v>9</v>
      </c>
      <c r="D267" s="4" t="n">
        <v>1</v>
      </c>
      <c r="E267" s="4" t="s">
        <v>281</v>
      </c>
      <c r="F267" s="4" t="n">
        <v>44</v>
      </c>
      <c r="G267" s="4" t="n">
        <v>2</v>
      </c>
      <c r="H267" s="4" t="n">
        <v>4</v>
      </c>
      <c r="I267" s="4" t="str">
        <v>×</v>
      </c>
      <c r="J267" s="4"/>
      <c r="K267" s="4"/>
      <c r="L267" s="4"/>
      <c r="M267" s="5" t="s">
        <v>15</v>
      </c>
    </row>
    <row r="268" customFormat="false" ht="15.75" hidden="false" customHeight="false" outlineLevel="0" collapsed="false">
      <c r="A268" s="3" t="n">
        <v>46228</v>
      </c>
      <c r="B268" s="4" t="s">
        <v>179</v>
      </c>
      <c r="C268" s="4" t="n">
        <v>9</v>
      </c>
      <c r="D268" s="4" t="n">
        <v>2</v>
      </c>
      <c r="E268" s="4" t="s">
        <v>282</v>
      </c>
      <c r="F268" s="4" t="n">
        <v>60</v>
      </c>
      <c r="G268" s="4" t="n">
        <v>1</v>
      </c>
      <c r="H268" s="4" t="n">
        <v>1</v>
      </c>
      <c r="I268" s="4" t="str">
        <v>○</v>
      </c>
      <c r="J268" s="4" t="n">
        <v>150</v>
      </c>
      <c r="K268" s="4"/>
      <c r="L268" s="4"/>
      <c r="M268" s="5" t="s">
        <v>15</v>
      </c>
    </row>
    <row r="269" customFormat="false" ht="15.75" hidden="false" customHeight="false" outlineLevel="0" collapsed="false">
      <c r="A269" s="3" t="n">
        <v>46228</v>
      </c>
      <c r="B269" s="4" t="s">
        <v>179</v>
      </c>
      <c r="C269" s="4" t="n">
        <v>9</v>
      </c>
      <c r="D269" s="4" t="n">
        <v>3</v>
      </c>
      <c r="E269" s="4" t="s">
        <v>283</v>
      </c>
      <c r="F269" s="4" t="n">
        <v>10</v>
      </c>
      <c r="G269" s="4" t="n">
        <v>9</v>
      </c>
      <c r="H269" s="4" t="n">
        <v>4</v>
      </c>
      <c r="I269" s="4" t="str">
        <v>×</v>
      </c>
      <c r="J269" s="4"/>
      <c r="K269" s="4"/>
      <c r="L269" s="4"/>
      <c r="M269" s="5" t="s">
        <v>15</v>
      </c>
    </row>
    <row r="270" customFormat="false" ht="15.75" hidden="false" customHeight="false" outlineLevel="0" collapsed="false">
      <c r="A270" s="3" t="n">
        <v>46228</v>
      </c>
      <c r="B270" s="4" t="s">
        <v>179</v>
      </c>
      <c r="C270" s="4" t="n">
        <v>9</v>
      </c>
      <c r="D270" s="4" t="n">
        <v>4</v>
      </c>
      <c r="E270" s="4" t="s">
        <v>284</v>
      </c>
      <c r="F270" s="4" t="n">
        <v>8</v>
      </c>
      <c r="G270" s="4" t="n">
        <v>11</v>
      </c>
      <c r="H270" s="4" t="n">
        <v>4</v>
      </c>
      <c r="I270" s="4" t="str">
        <v>×</v>
      </c>
      <c r="J270" s="4"/>
      <c r="K270" s="4"/>
      <c r="L270" s="4"/>
      <c r="M270" s="5" t="s">
        <v>15</v>
      </c>
    </row>
    <row r="271" customFormat="false" ht="15.75" hidden="false" customHeight="false" outlineLevel="0" collapsed="false">
      <c r="A271" s="3" t="n">
        <v>46228</v>
      </c>
      <c r="B271" s="4" t="s">
        <v>179</v>
      </c>
      <c r="C271" s="4" t="n">
        <v>9</v>
      </c>
      <c r="D271" s="4" t="n">
        <v>5</v>
      </c>
      <c r="E271" s="4" t="s">
        <v>285</v>
      </c>
      <c r="F271" s="4" t="n">
        <v>4</v>
      </c>
      <c r="G271" s="4" t="n">
        <v>14</v>
      </c>
      <c r="H271" s="4" t="n">
        <v>4</v>
      </c>
      <c r="I271" s="4" t="str">
        <v>×</v>
      </c>
      <c r="J271" s="4"/>
      <c r="K271" s="4"/>
      <c r="L271" s="4"/>
      <c r="M271" s="5" t="s">
        <v>15</v>
      </c>
    </row>
    <row r="272" customFormat="false" ht="15.75" hidden="false" customHeight="false" outlineLevel="0" collapsed="false">
      <c r="A272" s="3" t="n">
        <v>46228</v>
      </c>
      <c r="B272" s="4" t="s">
        <v>179</v>
      </c>
      <c r="C272" s="4" t="n">
        <v>9</v>
      </c>
      <c r="D272" s="4" t="n">
        <v>6</v>
      </c>
      <c r="E272" s="4" t="s">
        <v>286</v>
      </c>
      <c r="F272" s="4" t="n">
        <v>34</v>
      </c>
      <c r="G272" s="4" t="n">
        <v>4</v>
      </c>
      <c r="H272" s="4" t="n">
        <v>4</v>
      </c>
      <c r="I272" s="4" t="str">
        <v>×</v>
      </c>
      <c r="J272" s="4"/>
      <c r="K272" s="4"/>
      <c r="L272" s="4"/>
      <c r="M272" s="5" t="s">
        <v>15</v>
      </c>
    </row>
    <row r="273" customFormat="false" ht="15.75" hidden="false" customHeight="false" outlineLevel="0" collapsed="false">
      <c r="A273" s="3" t="n">
        <v>46228</v>
      </c>
      <c r="B273" s="4" t="s">
        <v>179</v>
      </c>
      <c r="C273" s="4" t="n">
        <v>9</v>
      </c>
      <c r="D273" s="4" t="n">
        <v>7</v>
      </c>
      <c r="E273" s="4" t="s">
        <v>287</v>
      </c>
      <c r="F273" s="4" t="n">
        <v>13</v>
      </c>
      <c r="G273" s="4" t="n">
        <v>8</v>
      </c>
      <c r="H273" s="4" t="n">
        <v>4</v>
      </c>
      <c r="I273" s="4" t="str">
        <v>×</v>
      </c>
      <c r="J273" s="4"/>
      <c r="K273" s="4"/>
      <c r="L273" s="4"/>
      <c r="M273" s="5" t="s">
        <v>15</v>
      </c>
    </row>
    <row r="274" customFormat="false" ht="15.75" hidden="false" customHeight="false" outlineLevel="0" collapsed="false">
      <c r="A274" s="3" t="n">
        <v>46228</v>
      </c>
      <c r="B274" s="4" t="s">
        <v>179</v>
      </c>
      <c r="C274" s="4" t="n">
        <v>9</v>
      </c>
      <c r="D274" s="4" t="n">
        <v>8</v>
      </c>
      <c r="E274" s="4" t="s">
        <v>288</v>
      </c>
      <c r="F274" s="4" t="n">
        <v>2</v>
      </c>
      <c r="G274" s="4" t="n">
        <v>16</v>
      </c>
      <c r="H274" s="4" t="n">
        <v>4</v>
      </c>
      <c r="I274" s="4" t="str">
        <v>×</v>
      </c>
      <c r="J274" s="4"/>
      <c r="K274" s="4"/>
      <c r="L274" s="4"/>
      <c r="M274" s="5" t="s">
        <v>15</v>
      </c>
    </row>
    <row r="275" customFormat="false" ht="15.75" hidden="false" customHeight="false" outlineLevel="0" collapsed="false">
      <c r="A275" s="3" t="n">
        <v>46228</v>
      </c>
      <c r="B275" s="4" t="s">
        <v>179</v>
      </c>
      <c r="C275" s="4" t="n">
        <v>9</v>
      </c>
      <c r="D275" s="4" t="n">
        <v>9</v>
      </c>
      <c r="E275" s="4" t="s">
        <v>289</v>
      </c>
      <c r="F275" s="4" t="n">
        <v>4</v>
      </c>
      <c r="G275" s="4" t="n">
        <v>14</v>
      </c>
      <c r="H275" s="4" t="n">
        <v>2</v>
      </c>
      <c r="I275" s="4" t="str">
        <v>○</v>
      </c>
      <c r="J275" s="4" t="n">
        <v>2170</v>
      </c>
      <c r="K275" s="4"/>
      <c r="L275" s="4"/>
      <c r="M275" s="5" t="s">
        <v>15</v>
      </c>
    </row>
    <row r="276" customFormat="false" ht="15.75" hidden="false" customHeight="false" outlineLevel="0" collapsed="false">
      <c r="A276" s="3" t="n">
        <v>46228</v>
      </c>
      <c r="B276" s="4" t="s">
        <v>179</v>
      </c>
      <c r="C276" s="4" t="n">
        <v>9</v>
      </c>
      <c r="D276" s="4" t="n">
        <v>10</v>
      </c>
      <c r="E276" s="4" t="s">
        <v>290</v>
      </c>
      <c r="F276" s="4" t="n">
        <v>10</v>
      </c>
      <c r="G276" s="4" t="n">
        <v>9</v>
      </c>
      <c r="H276" s="4" t="n">
        <v>4</v>
      </c>
      <c r="I276" s="4" t="str">
        <v>×</v>
      </c>
      <c r="J276" s="4"/>
      <c r="K276" s="4"/>
      <c r="L276" s="4"/>
      <c r="M276" s="5" t="s">
        <v>15</v>
      </c>
    </row>
    <row r="277" customFormat="false" ht="15.75" hidden="false" customHeight="false" outlineLevel="0" collapsed="false">
      <c r="A277" s="3" t="n">
        <v>46228</v>
      </c>
      <c r="B277" s="4" t="s">
        <v>179</v>
      </c>
      <c r="C277" s="4" t="n">
        <v>9</v>
      </c>
      <c r="D277" s="4" t="n">
        <v>11</v>
      </c>
      <c r="E277" s="4" t="s">
        <v>291</v>
      </c>
      <c r="F277" s="4" t="n">
        <v>8</v>
      </c>
      <c r="G277" s="4" t="n">
        <v>11</v>
      </c>
      <c r="H277" s="4" t="n">
        <v>4</v>
      </c>
      <c r="I277" s="4" t="str">
        <v>×</v>
      </c>
      <c r="J277" s="4"/>
      <c r="K277" s="4"/>
      <c r="L277" s="4"/>
      <c r="M277" s="5" t="s">
        <v>15</v>
      </c>
    </row>
    <row r="278" customFormat="false" ht="15.75" hidden="false" customHeight="false" outlineLevel="0" collapsed="false">
      <c r="A278" s="3" t="n">
        <v>46228</v>
      </c>
      <c r="B278" s="4" t="s">
        <v>179</v>
      </c>
      <c r="C278" s="4" t="n">
        <v>9</v>
      </c>
      <c r="D278" s="4" t="n">
        <v>12</v>
      </c>
      <c r="E278" s="4" t="s">
        <v>292</v>
      </c>
      <c r="F278" s="4" t="n">
        <v>23</v>
      </c>
      <c r="G278" s="4" t="n">
        <v>6</v>
      </c>
      <c r="H278" s="4" t="n">
        <v>3</v>
      </c>
      <c r="I278" s="4" t="str">
        <v>○</v>
      </c>
      <c r="J278" s="4" t="n">
        <v>190</v>
      </c>
      <c r="K278" s="4"/>
      <c r="L278" s="4"/>
      <c r="M278" s="5" t="s">
        <v>15</v>
      </c>
    </row>
    <row r="279" customFormat="false" ht="15.75" hidden="false" customHeight="false" outlineLevel="0" collapsed="false">
      <c r="A279" s="3" t="n">
        <v>46228</v>
      </c>
      <c r="B279" s="4" t="s">
        <v>179</v>
      </c>
      <c r="C279" s="4" t="n">
        <v>9</v>
      </c>
      <c r="D279" s="4" t="n">
        <v>13</v>
      </c>
      <c r="E279" s="4" t="s">
        <v>293</v>
      </c>
      <c r="F279" s="4" t="n">
        <v>15</v>
      </c>
      <c r="G279" s="4" t="n">
        <v>7</v>
      </c>
      <c r="H279" s="4" t="n">
        <v>4</v>
      </c>
      <c r="I279" s="4" t="str">
        <v>×</v>
      </c>
      <c r="J279" s="4"/>
      <c r="K279" s="4"/>
      <c r="L279" s="4"/>
      <c r="M279" s="5" t="s">
        <v>15</v>
      </c>
    </row>
    <row r="280" customFormat="false" ht="15.75" hidden="false" customHeight="false" outlineLevel="0" collapsed="false">
      <c r="A280" s="3" t="n">
        <v>46228</v>
      </c>
      <c r="B280" s="4" t="s">
        <v>179</v>
      </c>
      <c r="C280" s="4" t="n">
        <v>9</v>
      </c>
      <c r="D280" s="4" t="n">
        <v>14</v>
      </c>
      <c r="E280" s="4" t="s">
        <v>294</v>
      </c>
      <c r="F280" s="4" t="n">
        <v>37</v>
      </c>
      <c r="G280" s="4" t="n">
        <v>3</v>
      </c>
      <c r="H280" s="4" t="n">
        <v>4</v>
      </c>
      <c r="I280" s="4" t="str">
        <v>×</v>
      </c>
      <c r="J280" s="4"/>
      <c r="K280" s="4"/>
      <c r="L280" s="4"/>
      <c r="M280" s="5" t="s">
        <v>15</v>
      </c>
    </row>
    <row r="281" customFormat="false" ht="15.75" hidden="false" customHeight="false" outlineLevel="0" collapsed="false">
      <c r="A281" s="3" t="n">
        <v>46228</v>
      </c>
      <c r="B281" s="4" t="s">
        <v>179</v>
      </c>
      <c r="C281" s="4" t="n">
        <v>9</v>
      </c>
      <c r="D281" s="4" t="n">
        <v>15</v>
      </c>
      <c r="E281" s="4" t="s">
        <v>295</v>
      </c>
      <c r="F281" s="4" t="n">
        <v>8</v>
      </c>
      <c r="G281" s="4" t="n">
        <v>11</v>
      </c>
      <c r="H281" s="4" t="n">
        <v>4</v>
      </c>
      <c r="I281" s="4" t="str">
        <v>×</v>
      </c>
      <c r="J281" s="4"/>
      <c r="K281" s="4"/>
      <c r="L281" s="4"/>
      <c r="M281" s="5" t="s">
        <v>15</v>
      </c>
    </row>
    <row r="282" customFormat="false" ht="15.75" hidden="false" customHeight="false" outlineLevel="0" collapsed="false">
      <c r="A282" s="3" t="n">
        <v>46228</v>
      </c>
      <c r="B282" s="4" t="s">
        <v>179</v>
      </c>
      <c r="C282" s="4" t="n">
        <v>9</v>
      </c>
      <c r="D282" s="4" t="n">
        <v>16</v>
      </c>
      <c r="E282" s="4" t="s">
        <v>296</v>
      </c>
      <c r="F282" s="4" t="n">
        <v>25</v>
      </c>
      <c r="G282" s="4" t="n">
        <v>5</v>
      </c>
      <c r="H282" s="4" t="n">
        <v>4</v>
      </c>
      <c r="I282" s="4" t="str">
        <v>×</v>
      </c>
      <c r="J282" s="4"/>
      <c r="K282" s="4"/>
      <c r="L282" s="4"/>
      <c r="M282" s="5" t="s">
        <v>15</v>
      </c>
    </row>
    <row r="283" customFormat="false" ht="15.75" hidden="false" customHeight="false" outlineLevel="0" collapsed="false">
      <c r="A283" s="3" t="n">
        <v>46228</v>
      </c>
      <c r="B283" s="4" t="s">
        <v>179</v>
      </c>
      <c r="C283" s="4" t="n">
        <v>10</v>
      </c>
      <c r="D283" s="4" t="n">
        <v>1</v>
      </c>
      <c r="E283" s="4" t="s">
        <v>297</v>
      </c>
      <c r="F283" s="4" t="n">
        <v>41</v>
      </c>
      <c r="G283" s="4" t="n">
        <v>3</v>
      </c>
      <c r="H283" s="4" t="n">
        <v>4</v>
      </c>
      <c r="I283" s="4" t="str">
        <v>×</v>
      </c>
      <c r="J283" s="4"/>
      <c r="K283" s="4"/>
      <c r="L283" s="4"/>
      <c r="M283" s="5" t="s">
        <v>15</v>
      </c>
    </row>
    <row r="284" customFormat="false" ht="15.75" hidden="false" customHeight="false" outlineLevel="0" collapsed="false">
      <c r="A284" s="3" t="n">
        <v>46228</v>
      </c>
      <c r="B284" s="4" t="s">
        <v>179</v>
      </c>
      <c r="C284" s="4" t="n">
        <v>10</v>
      </c>
      <c r="D284" s="4" t="n">
        <v>2</v>
      </c>
      <c r="E284" s="4" t="s">
        <v>298</v>
      </c>
      <c r="F284" s="4" t="n">
        <v>37</v>
      </c>
      <c r="G284" s="4" t="n">
        <v>5</v>
      </c>
      <c r="H284" s="4" t="n">
        <v>4</v>
      </c>
      <c r="I284" s="4" t="str">
        <v>×</v>
      </c>
      <c r="J284" s="4"/>
      <c r="K284" s="4"/>
      <c r="L284" s="4"/>
      <c r="M284" s="5" t="s">
        <v>15</v>
      </c>
    </row>
    <row r="285" customFormat="false" ht="15.75" hidden="false" customHeight="false" outlineLevel="0" collapsed="false">
      <c r="A285" s="3" t="n">
        <v>46228</v>
      </c>
      <c r="B285" s="4" t="s">
        <v>179</v>
      </c>
      <c r="C285" s="4" t="n">
        <v>10</v>
      </c>
      <c r="D285" s="4" t="n">
        <v>3</v>
      </c>
      <c r="E285" s="4" t="s">
        <v>299</v>
      </c>
      <c r="F285" s="4" t="n">
        <v>1</v>
      </c>
      <c r="G285" s="4" t="n">
        <v>13</v>
      </c>
      <c r="H285" s="4" t="n">
        <v>4</v>
      </c>
      <c r="I285" s="4" t="str">
        <v>×</v>
      </c>
      <c r="J285" s="4"/>
      <c r="K285" s="4"/>
      <c r="L285" s="4"/>
      <c r="M285" s="5" t="s">
        <v>15</v>
      </c>
    </row>
    <row r="286" customFormat="false" ht="15.75" hidden="false" customHeight="false" outlineLevel="0" collapsed="false">
      <c r="A286" s="3" t="n">
        <v>46228</v>
      </c>
      <c r="B286" s="4" t="s">
        <v>179</v>
      </c>
      <c r="C286" s="4" t="n">
        <v>10</v>
      </c>
      <c r="D286" s="4" t="n">
        <v>4</v>
      </c>
      <c r="E286" s="4" t="s">
        <v>300</v>
      </c>
      <c r="F286" s="4" t="n">
        <v>17</v>
      </c>
      <c r="G286" s="4" t="n">
        <v>8</v>
      </c>
      <c r="H286" s="4" t="n">
        <v>4</v>
      </c>
      <c r="I286" s="4" t="str">
        <v>×</v>
      </c>
      <c r="J286" s="4"/>
      <c r="K286" s="4"/>
      <c r="L286" s="4"/>
      <c r="M286" s="5" t="s">
        <v>15</v>
      </c>
    </row>
    <row r="287" customFormat="false" ht="15.75" hidden="false" customHeight="false" outlineLevel="0" collapsed="false">
      <c r="A287" s="3" t="n">
        <v>46228</v>
      </c>
      <c r="B287" s="4" t="s">
        <v>179</v>
      </c>
      <c r="C287" s="4" t="n">
        <v>10</v>
      </c>
      <c r="D287" s="4" t="n">
        <v>5</v>
      </c>
      <c r="E287" s="4" t="s">
        <v>301</v>
      </c>
      <c r="F287" s="4" t="n">
        <v>10</v>
      </c>
      <c r="G287" s="4" t="n">
        <v>9</v>
      </c>
      <c r="H287" s="4" t="n">
        <v>4</v>
      </c>
      <c r="I287" s="4" t="str">
        <v>×</v>
      </c>
      <c r="J287" s="4"/>
      <c r="K287" s="4"/>
      <c r="L287" s="4"/>
      <c r="M287" s="5" t="s">
        <v>15</v>
      </c>
    </row>
    <row r="288" customFormat="false" ht="15.75" hidden="false" customHeight="false" outlineLevel="0" collapsed="false">
      <c r="A288" s="3" t="n">
        <v>46228</v>
      </c>
      <c r="B288" s="4" t="s">
        <v>179</v>
      </c>
      <c r="C288" s="4" t="n">
        <v>10</v>
      </c>
      <c r="D288" s="4" t="n">
        <v>6</v>
      </c>
      <c r="E288" s="4" t="s">
        <v>302</v>
      </c>
      <c r="F288" s="4" t="n">
        <v>34</v>
      </c>
      <c r="G288" s="4" t="n">
        <v>6</v>
      </c>
      <c r="H288" s="4" t="n">
        <v>4</v>
      </c>
      <c r="I288" s="4" t="str">
        <v>×</v>
      </c>
      <c r="J288" s="4"/>
      <c r="K288" s="4"/>
      <c r="L288" s="4"/>
      <c r="M288" s="5" t="s">
        <v>15</v>
      </c>
    </row>
    <row r="289" customFormat="false" ht="15.75" hidden="false" customHeight="false" outlineLevel="0" collapsed="false">
      <c r="A289" s="3" t="n">
        <v>46228</v>
      </c>
      <c r="B289" s="4" t="s">
        <v>179</v>
      </c>
      <c r="C289" s="4" t="n">
        <v>10</v>
      </c>
      <c r="D289" s="4" t="n">
        <v>7</v>
      </c>
      <c r="E289" s="4" t="s">
        <v>303</v>
      </c>
      <c r="F289" s="4" t="n">
        <v>41</v>
      </c>
      <c r="G289" s="4" t="n">
        <v>3</v>
      </c>
      <c r="H289" s="4" t="n">
        <v>4</v>
      </c>
      <c r="I289" s="4" t="str">
        <v>×</v>
      </c>
      <c r="J289" s="4"/>
      <c r="K289" s="4"/>
      <c r="L289" s="4"/>
      <c r="M289" s="5" t="s">
        <v>15</v>
      </c>
    </row>
    <row r="290" customFormat="false" ht="15.75" hidden="false" customHeight="false" outlineLevel="0" collapsed="false">
      <c r="A290" s="3" t="n">
        <v>46228</v>
      </c>
      <c r="B290" s="4" t="s">
        <v>179</v>
      </c>
      <c r="C290" s="4" t="n">
        <v>10</v>
      </c>
      <c r="D290" s="4" t="n">
        <v>8</v>
      </c>
      <c r="E290" s="4" t="s">
        <v>304</v>
      </c>
      <c r="F290" s="4" t="n">
        <v>3</v>
      </c>
      <c r="G290" s="4" t="n">
        <v>10</v>
      </c>
      <c r="H290" s="4" t="n">
        <v>4</v>
      </c>
      <c r="I290" s="4" t="str">
        <v>×</v>
      </c>
      <c r="J290" s="4"/>
      <c r="K290" s="4"/>
      <c r="L290" s="4"/>
      <c r="M290" s="5" t="s">
        <v>15</v>
      </c>
    </row>
    <row r="291" customFormat="false" ht="15.75" hidden="false" customHeight="false" outlineLevel="0" collapsed="false">
      <c r="A291" s="3" t="n">
        <v>46228</v>
      </c>
      <c r="B291" s="4" t="s">
        <v>179</v>
      </c>
      <c r="C291" s="4" t="n">
        <v>10</v>
      </c>
      <c r="D291" s="4" t="n">
        <v>9</v>
      </c>
      <c r="E291" s="4" t="s">
        <v>305</v>
      </c>
      <c r="F291" s="4" t="n">
        <v>71</v>
      </c>
      <c r="G291" s="4" t="n">
        <v>1</v>
      </c>
      <c r="H291" s="4" t="n">
        <v>3</v>
      </c>
      <c r="I291" s="4" t="str">
        <v>○</v>
      </c>
      <c r="J291" s="4" t="n">
        <v>130</v>
      </c>
      <c r="K291" s="4"/>
      <c r="L291" s="4"/>
      <c r="M291" s="5" t="s">
        <v>15</v>
      </c>
    </row>
    <row r="292" customFormat="false" ht="15.75" hidden="false" customHeight="false" outlineLevel="0" collapsed="false">
      <c r="A292" s="3" t="n">
        <v>46228</v>
      </c>
      <c r="B292" s="4" t="s">
        <v>179</v>
      </c>
      <c r="C292" s="4" t="n">
        <v>10</v>
      </c>
      <c r="D292" s="4" t="n">
        <v>10</v>
      </c>
      <c r="E292" s="4" t="s">
        <v>306</v>
      </c>
      <c r="F292" s="4" t="n">
        <v>3</v>
      </c>
      <c r="G292" s="4" t="n">
        <v>10</v>
      </c>
      <c r="H292" s="4" t="n">
        <v>4</v>
      </c>
      <c r="I292" s="4" t="str">
        <v>×</v>
      </c>
      <c r="J292" s="4"/>
      <c r="K292" s="4"/>
      <c r="L292" s="4"/>
      <c r="M292" s="5" t="s">
        <v>15</v>
      </c>
    </row>
    <row r="293" customFormat="false" ht="15.75" hidden="false" customHeight="false" outlineLevel="0" collapsed="false">
      <c r="A293" s="3" t="n">
        <v>46228</v>
      </c>
      <c r="B293" s="4" t="s">
        <v>179</v>
      </c>
      <c r="C293" s="4" t="n">
        <v>10</v>
      </c>
      <c r="D293" s="4" t="n">
        <v>11</v>
      </c>
      <c r="E293" s="4" t="s">
        <v>307</v>
      </c>
      <c r="F293" s="4" t="n">
        <v>3</v>
      </c>
      <c r="G293" s="4" t="n">
        <v>10</v>
      </c>
      <c r="H293" s="4" t="n">
        <v>4</v>
      </c>
      <c r="I293" s="4" t="str">
        <v>×</v>
      </c>
      <c r="J293" s="4"/>
      <c r="K293" s="4"/>
      <c r="L293" s="4"/>
      <c r="M293" s="5" t="s">
        <v>15</v>
      </c>
    </row>
    <row r="294" customFormat="false" ht="15.75" hidden="false" customHeight="false" outlineLevel="0" collapsed="false">
      <c r="A294" s="3" t="n">
        <v>46228</v>
      </c>
      <c r="B294" s="4" t="s">
        <v>179</v>
      </c>
      <c r="C294" s="4" t="n">
        <v>10</v>
      </c>
      <c r="D294" s="4" t="n">
        <v>12</v>
      </c>
      <c r="E294" s="4" t="s">
        <v>308</v>
      </c>
      <c r="F294" s="4" t="n">
        <v>47</v>
      </c>
      <c r="G294" s="4" t="n">
        <v>2</v>
      </c>
      <c r="H294" s="4" t="n">
        <v>1</v>
      </c>
      <c r="I294" s="4" t="str">
        <v>○</v>
      </c>
      <c r="J294" s="4" t="n">
        <v>180</v>
      </c>
      <c r="K294" s="4"/>
      <c r="L294" s="4"/>
      <c r="M294" s="5" t="s">
        <v>15</v>
      </c>
    </row>
    <row r="295" customFormat="false" ht="15.75" hidden="false" customHeight="false" outlineLevel="0" collapsed="false">
      <c r="A295" s="3" t="n">
        <v>46228</v>
      </c>
      <c r="B295" s="4" t="s">
        <v>179</v>
      </c>
      <c r="C295" s="4" t="n">
        <v>10</v>
      </c>
      <c r="D295" s="4" t="n">
        <v>13</v>
      </c>
      <c r="E295" s="4" t="s">
        <v>309</v>
      </c>
      <c r="F295" s="4" t="n">
        <v>34</v>
      </c>
      <c r="G295" s="4" t="n">
        <v>6</v>
      </c>
      <c r="H295" s="4" t="n">
        <v>2</v>
      </c>
      <c r="I295" s="4" t="str">
        <v>○</v>
      </c>
      <c r="J295" s="4" t="n">
        <v>180</v>
      </c>
      <c r="K295" s="4"/>
      <c r="L295" s="4"/>
      <c r="M295" s="5" t="s">
        <v>15</v>
      </c>
    </row>
    <row r="296" customFormat="false" ht="15.75" hidden="false" customHeight="false" outlineLevel="0" collapsed="false">
      <c r="A296" s="3" t="n">
        <v>46228</v>
      </c>
      <c r="B296" s="4" t="s">
        <v>179</v>
      </c>
      <c r="C296" s="4" t="n">
        <v>11</v>
      </c>
      <c r="D296" s="4" t="n">
        <v>1</v>
      </c>
      <c r="E296" s="4" t="s">
        <v>310</v>
      </c>
      <c r="F296" s="4" t="n">
        <v>17</v>
      </c>
      <c r="G296" s="4" t="n">
        <v>6</v>
      </c>
      <c r="H296" s="4" t="n">
        <v>4</v>
      </c>
      <c r="I296" s="4" t="str">
        <v>×</v>
      </c>
      <c r="J296" s="4"/>
      <c r="K296" s="4"/>
      <c r="L296" s="4"/>
      <c r="M296" s="5" t="s">
        <v>15</v>
      </c>
    </row>
    <row r="297" customFormat="false" ht="15.75" hidden="false" customHeight="false" outlineLevel="0" collapsed="false">
      <c r="A297" s="3" t="n">
        <v>46228</v>
      </c>
      <c r="B297" s="4" t="s">
        <v>179</v>
      </c>
      <c r="C297" s="4" t="n">
        <v>11</v>
      </c>
      <c r="D297" s="4" t="n">
        <v>2</v>
      </c>
      <c r="E297" s="4" t="s">
        <v>311</v>
      </c>
      <c r="F297" s="4" t="n">
        <v>13</v>
      </c>
      <c r="G297" s="4" t="n">
        <v>8</v>
      </c>
      <c r="H297" s="4" t="n">
        <v>3</v>
      </c>
      <c r="I297" s="4" t="str">
        <v>○</v>
      </c>
      <c r="J297" s="4" t="n">
        <v>220</v>
      </c>
      <c r="K297" s="4"/>
      <c r="L297" s="4"/>
      <c r="M297" s="5" t="s">
        <v>15</v>
      </c>
    </row>
    <row r="298" customFormat="false" ht="15.75" hidden="false" customHeight="false" outlineLevel="0" collapsed="false">
      <c r="A298" s="3" t="n">
        <v>46228</v>
      </c>
      <c r="B298" s="4" t="s">
        <v>179</v>
      </c>
      <c r="C298" s="4" t="n">
        <v>11</v>
      </c>
      <c r="D298" s="4" t="n">
        <v>3</v>
      </c>
      <c r="E298" s="4" t="s">
        <v>312</v>
      </c>
      <c r="F298" s="4" t="n">
        <v>65</v>
      </c>
      <c r="G298" s="4" t="n">
        <v>1</v>
      </c>
      <c r="H298" s="4" t="n">
        <v>1</v>
      </c>
      <c r="I298" s="4" t="str">
        <v>○</v>
      </c>
      <c r="J298" s="4" t="n">
        <v>110</v>
      </c>
      <c r="K298" s="4"/>
      <c r="L298" s="4"/>
      <c r="M298" s="5" t="s">
        <v>15</v>
      </c>
    </row>
    <row r="299" customFormat="false" ht="15.75" hidden="false" customHeight="false" outlineLevel="0" collapsed="false">
      <c r="A299" s="3" t="n">
        <v>46228</v>
      </c>
      <c r="B299" s="4" t="s">
        <v>179</v>
      </c>
      <c r="C299" s="4" t="n">
        <v>11</v>
      </c>
      <c r="D299" s="4" t="n">
        <v>4</v>
      </c>
      <c r="E299" s="4" t="s">
        <v>313</v>
      </c>
      <c r="F299" s="4" t="n">
        <v>17</v>
      </c>
      <c r="G299" s="4" t="n">
        <v>6</v>
      </c>
      <c r="H299" s="4" t="n">
        <v>4</v>
      </c>
      <c r="I299" s="4" t="str">
        <v>×</v>
      </c>
      <c r="J299" s="4"/>
      <c r="K299" s="4"/>
      <c r="L299" s="4"/>
      <c r="M299" s="5" t="s">
        <v>15</v>
      </c>
    </row>
    <row r="300" customFormat="false" ht="15.75" hidden="false" customHeight="false" outlineLevel="0" collapsed="false">
      <c r="A300" s="3" t="n">
        <v>46228</v>
      </c>
      <c r="B300" s="4" t="s">
        <v>179</v>
      </c>
      <c r="C300" s="4" t="n">
        <v>11</v>
      </c>
      <c r="D300" s="4" t="n">
        <v>5</v>
      </c>
      <c r="E300" s="4" t="s">
        <v>314</v>
      </c>
      <c r="F300" s="4" t="n">
        <v>34</v>
      </c>
      <c r="G300" s="4" t="n">
        <v>3</v>
      </c>
      <c r="H300" s="4" t="n">
        <v>4</v>
      </c>
      <c r="I300" s="4" t="str">
        <v>×</v>
      </c>
      <c r="J300" s="4"/>
      <c r="K300" s="4"/>
      <c r="L300" s="4"/>
      <c r="M300" s="5" t="s">
        <v>15</v>
      </c>
    </row>
    <row r="301" customFormat="false" ht="15.75" hidden="false" customHeight="false" outlineLevel="0" collapsed="false">
      <c r="A301" s="3" t="n">
        <v>46228</v>
      </c>
      <c r="B301" s="4" t="s">
        <v>179</v>
      </c>
      <c r="C301" s="4" t="n">
        <v>11</v>
      </c>
      <c r="D301" s="4" t="n">
        <v>6</v>
      </c>
      <c r="E301" s="4" t="s">
        <v>315</v>
      </c>
      <c r="F301" s="4" t="n">
        <v>25</v>
      </c>
      <c r="G301" s="4" t="n">
        <v>5</v>
      </c>
      <c r="H301" s="4" t="n">
        <v>4</v>
      </c>
      <c r="I301" s="4" t="str">
        <v>×</v>
      </c>
      <c r="J301" s="4"/>
      <c r="K301" s="4"/>
      <c r="L301" s="4"/>
      <c r="M301" s="5" t="s">
        <v>15</v>
      </c>
    </row>
    <row r="302" customFormat="false" ht="15.75" hidden="false" customHeight="false" outlineLevel="0" collapsed="false">
      <c r="A302" s="3" t="n">
        <v>46228</v>
      </c>
      <c r="B302" s="4" t="s">
        <v>179</v>
      </c>
      <c r="C302" s="4" t="n">
        <v>11</v>
      </c>
      <c r="D302" s="4" t="n">
        <v>7</v>
      </c>
      <c r="E302" s="4" t="s">
        <v>316</v>
      </c>
      <c r="F302" s="4" t="n">
        <v>60</v>
      </c>
      <c r="G302" s="4" t="n">
        <v>2</v>
      </c>
      <c r="H302" s="4" t="n">
        <v>2</v>
      </c>
      <c r="I302" s="4" t="str">
        <v>○</v>
      </c>
      <c r="J302" s="4" t="n">
        <v>110</v>
      </c>
      <c r="K302" s="4"/>
      <c r="L302" s="4"/>
      <c r="M302" s="5" t="s">
        <v>15</v>
      </c>
    </row>
    <row r="303" customFormat="false" ht="15.75" hidden="false" customHeight="false" outlineLevel="0" collapsed="false">
      <c r="A303" s="3" t="n">
        <v>46228</v>
      </c>
      <c r="B303" s="4" t="s">
        <v>179</v>
      </c>
      <c r="C303" s="4" t="n">
        <v>11</v>
      </c>
      <c r="D303" s="4" t="n">
        <v>8</v>
      </c>
      <c r="E303" s="4" t="s">
        <v>317</v>
      </c>
      <c r="F303" s="4" t="n">
        <v>31</v>
      </c>
      <c r="G303" s="4" t="n">
        <v>4</v>
      </c>
      <c r="H303" s="4" t="n">
        <v>4</v>
      </c>
      <c r="I303" s="4" t="str">
        <v>×</v>
      </c>
      <c r="J303" s="4"/>
      <c r="K303" s="4"/>
      <c r="L303" s="4"/>
      <c r="M303" s="5" t="s">
        <v>15</v>
      </c>
    </row>
    <row r="304" customFormat="false" ht="15.75" hidden="false" customHeight="false" outlineLevel="0" collapsed="false">
      <c r="A304" s="3" t="n">
        <v>46228</v>
      </c>
      <c r="B304" s="4" t="s">
        <v>179</v>
      </c>
      <c r="C304" s="4" t="n">
        <v>12</v>
      </c>
      <c r="D304" s="4" t="n">
        <v>1</v>
      </c>
      <c r="E304" s="4" t="s">
        <v>318</v>
      </c>
      <c r="F304" s="4" t="n">
        <v>8</v>
      </c>
      <c r="G304" s="4" t="n">
        <v>12</v>
      </c>
      <c r="H304" s="4" t="n">
        <v>4</v>
      </c>
      <c r="I304" s="4" t="str">
        <v>×</v>
      </c>
      <c r="J304" s="4"/>
      <c r="K304" s="4"/>
      <c r="L304" s="4"/>
      <c r="M304" s="5" t="s">
        <v>15</v>
      </c>
    </row>
    <row r="305" customFormat="false" ht="15.75" hidden="false" customHeight="false" outlineLevel="0" collapsed="false">
      <c r="A305" s="3" t="n">
        <v>46228</v>
      </c>
      <c r="B305" s="4" t="s">
        <v>179</v>
      </c>
      <c r="C305" s="4" t="n">
        <v>12</v>
      </c>
      <c r="D305" s="4" t="n">
        <v>2</v>
      </c>
      <c r="E305" s="4" t="s">
        <v>319</v>
      </c>
      <c r="F305" s="4" t="n">
        <v>10</v>
      </c>
      <c r="G305" s="4" t="n">
        <v>9</v>
      </c>
      <c r="H305" s="4" t="n">
        <v>4</v>
      </c>
      <c r="I305" s="4" t="str">
        <v>×</v>
      </c>
      <c r="J305" s="4"/>
      <c r="K305" s="4"/>
      <c r="L305" s="4"/>
      <c r="M305" s="5" t="s">
        <v>15</v>
      </c>
    </row>
    <row r="306" customFormat="false" ht="15.75" hidden="false" customHeight="false" outlineLevel="0" collapsed="false">
      <c r="A306" s="3" t="n">
        <v>46228</v>
      </c>
      <c r="B306" s="4" t="s">
        <v>179</v>
      </c>
      <c r="C306" s="4" t="n">
        <v>12</v>
      </c>
      <c r="D306" s="4" t="n">
        <v>3</v>
      </c>
      <c r="E306" s="4" t="s">
        <v>320</v>
      </c>
      <c r="F306" s="4" t="n">
        <v>34</v>
      </c>
      <c r="G306" s="4" t="n">
        <v>4</v>
      </c>
      <c r="H306" s="4" t="n">
        <v>1</v>
      </c>
      <c r="I306" s="4" t="str">
        <v>○</v>
      </c>
      <c r="J306" s="4" t="n">
        <v>280</v>
      </c>
      <c r="K306" s="4"/>
      <c r="L306" s="4"/>
      <c r="M306" s="5" t="s">
        <v>15</v>
      </c>
    </row>
    <row r="307" customFormat="false" ht="15.75" hidden="false" customHeight="false" outlineLevel="0" collapsed="false">
      <c r="A307" s="3" t="n">
        <v>46228</v>
      </c>
      <c r="B307" s="4" t="s">
        <v>179</v>
      </c>
      <c r="C307" s="4" t="n">
        <v>12</v>
      </c>
      <c r="D307" s="4" t="n">
        <v>4</v>
      </c>
      <c r="E307" s="4" t="s">
        <v>321</v>
      </c>
      <c r="F307" s="4" t="n">
        <v>56</v>
      </c>
      <c r="G307" s="4" t="n">
        <v>1</v>
      </c>
      <c r="H307" s="4" t="n">
        <v>2</v>
      </c>
      <c r="I307" s="4" t="str">
        <v>○</v>
      </c>
      <c r="J307" s="4" t="n">
        <v>140</v>
      </c>
      <c r="K307" s="4"/>
      <c r="L307" s="4"/>
      <c r="M307" s="5" t="s">
        <v>15</v>
      </c>
    </row>
    <row r="308" customFormat="false" ht="15.75" hidden="false" customHeight="false" outlineLevel="0" collapsed="false">
      <c r="A308" s="3" t="n">
        <v>46228</v>
      </c>
      <c r="B308" s="4" t="s">
        <v>179</v>
      </c>
      <c r="C308" s="4" t="n">
        <v>12</v>
      </c>
      <c r="D308" s="4" t="n">
        <v>5</v>
      </c>
      <c r="E308" s="4" t="s">
        <v>322</v>
      </c>
      <c r="F308" s="4" t="n">
        <v>34</v>
      </c>
      <c r="G308" s="4" t="n">
        <v>4</v>
      </c>
      <c r="H308" s="4" t="n">
        <v>4</v>
      </c>
      <c r="I308" s="4" t="str">
        <v>×</v>
      </c>
      <c r="J308" s="4"/>
      <c r="K308" s="4"/>
      <c r="L308" s="4"/>
      <c r="M308" s="5" t="s">
        <v>15</v>
      </c>
    </row>
    <row r="309" customFormat="false" ht="15.75" hidden="false" customHeight="false" outlineLevel="0" collapsed="false">
      <c r="A309" s="3" t="n">
        <v>46228</v>
      </c>
      <c r="B309" s="4" t="s">
        <v>179</v>
      </c>
      <c r="C309" s="4" t="n">
        <v>12</v>
      </c>
      <c r="D309" s="4" t="n">
        <v>6</v>
      </c>
      <c r="E309" s="4" t="s">
        <v>323</v>
      </c>
      <c r="F309" s="4" t="n">
        <v>3</v>
      </c>
      <c r="G309" s="4" t="n">
        <v>15</v>
      </c>
      <c r="H309" s="4" t="n">
        <v>4</v>
      </c>
      <c r="I309" s="4" t="str">
        <v>×</v>
      </c>
      <c r="J309" s="4"/>
      <c r="K309" s="4"/>
      <c r="L309" s="4"/>
      <c r="M309" s="5" t="s">
        <v>15</v>
      </c>
    </row>
    <row r="310" customFormat="false" ht="15.75" hidden="false" customHeight="false" outlineLevel="0" collapsed="false">
      <c r="A310" s="3" t="n">
        <v>46228</v>
      </c>
      <c r="B310" s="4" t="s">
        <v>179</v>
      </c>
      <c r="C310" s="4" t="n">
        <v>12</v>
      </c>
      <c r="D310" s="4" t="n">
        <v>7</v>
      </c>
      <c r="E310" s="4" t="s">
        <v>324</v>
      </c>
      <c r="F310" s="4" t="n">
        <v>13</v>
      </c>
      <c r="G310" s="4" t="n">
        <v>8</v>
      </c>
      <c r="H310" s="4" t="n">
        <v>4</v>
      </c>
      <c r="I310" s="4" t="str">
        <v>×</v>
      </c>
      <c r="J310" s="4"/>
      <c r="K310" s="4"/>
      <c r="L310" s="4"/>
      <c r="M310" s="5" t="s">
        <v>15</v>
      </c>
    </row>
    <row r="311" customFormat="false" ht="15.75" hidden="false" customHeight="false" outlineLevel="0" collapsed="false">
      <c r="A311" s="3" t="n">
        <v>46228</v>
      </c>
      <c r="B311" s="4" t="s">
        <v>179</v>
      </c>
      <c r="C311" s="4" t="n">
        <v>12</v>
      </c>
      <c r="D311" s="4" t="n">
        <v>8</v>
      </c>
      <c r="E311" s="4" t="s">
        <v>325</v>
      </c>
      <c r="F311" s="4" t="n">
        <v>39</v>
      </c>
      <c r="G311" s="4" t="n">
        <v>3</v>
      </c>
      <c r="H311" s="4" t="n">
        <v>3</v>
      </c>
      <c r="I311" s="4" t="str">
        <v>○</v>
      </c>
      <c r="J311" s="4" t="n">
        <v>200</v>
      </c>
      <c r="K311" s="4"/>
      <c r="L311" s="4"/>
      <c r="M311" s="5" t="s">
        <v>15</v>
      </c>
    </row>
    <row r="312" customFormat="false" ht="15.75" hidden="false" customHeight="false" outlineLevel="0" collapsed="false">
      <c r="A312" s="3" t="n">
        <v>46228</v>
      </c>
      <c r="B312" s="4" t="s">
        <v>179</v>
      </c>
      <c r="C312" s="4" t="n">
        <v>12</v>
      </c>
      <c r="D312" s="4" t="n">
        <v>9</v>
      </c>
      <c r="E312" s="4" t="s">
        <v>326</v>
      </c>
      <c r="F312" s="4" t="n">
        <v>6</v>
      </c>
      <c r="G312" s="4" t="n">
        <v>13</v>
      </c>
      <c r="H312" s="4" t="n">
        <v>4</v>
      </c>
      <c r="I312" s="4" t="str">
        <v>×</v>
      </c>
      <c r="J312" s="4"/>
      <c r="K312" s="4"/>
      <c r="L312" s="4"/>
      <c r="M312" s="5" t="s">
        <v>15</v>
      </c>
    </row>
    <row r="313" customFormat="false" ht="15.75" hidden="false" customHeight="false" outlineLevel="0" collapsed="false">
      <c r="A313" s="3" t="n">
        <v>46228</v>
      </c>
      <c r="B313" s="4" t="s">
        <v>179</v>
      </c>
      <c r="C313" s="4" t="n">
        <v>12</v>
      </c>
      <c r="D313" s="4" t="n">
        <v>10</v>
      </c>
      <c r="E313" s="4" t="s">
        <v>327</v>
      </c>
      <c r="F313" s="4" t="n">
        <v>23</v>
      </c>
      <c r="G313" s="4" t="n">
        <v>7</v>
      </c>
      <c r="H313" s="4" t="n">
        <v>4</v>
      </c>
      <c r="I313" s="4" t="str">
        <v>×</v>
      </c>
      <c r="J313" s="4"/>
      <c r="K313" s="4"/>
      <c r="L313" s="4"/>
      <c r="M313" s="5" t="s">
        <v>15</v>
      </c>
    </row>
    <row r="314" customFormat="false" ht="15.75" hidden="false" customHeight="false" outlineLevel="0" collapsed="false">
      <c r="A314" s="3" t="n">
        <v>46228</v>
      </c>
      <c r="B314" s="4" t="s">
        <v>179</v>
      </c>
      <c r="C314" s="4" t="n">
        <v>12</v>
      </c>
      <c r="D314" s="4" t="n">
        <v>11</v>
      </c>
      <c r="E314" s="4" t="s">
        <v>328</v>
      </c>
      <c r="F314" s="4" t="n">
        <v>10</v>
      </c>
      <c r="G314" s="4" t="n">
        <v>9</v>
      </c>
      <c r="H314" s="4" t="n">
        <v>4</v>
      </c>
      <c r="I314" s="4" t="str">
        <v>×</v>
      </c>
      <c r="J314" s="4"/>
      <c r="K314" s="4"/>
      <c r="L314" s="4"/>
      <c r="M314" s="5" t="s">
        <v>15</v>
      </c>
    </row>
    <row r="315" customFormat="false" ht="15.75" hidden="false" customHeight="false" outlineLevel="0" collapsed="false">
      <c r="A315" s="3" t="n">
        <v>46228</v>
      </c>
      <c r="B315" s="4" t="s">
        <v>179</v>
      </c>
      <c r="C315" s="4" t="n">
        <v>12</v>
      </c>
      <c r="D315" s="4" t="n">
        <v>12</v>
      </c>
      <c r="E315" s="4" t="s">
        <v>329</v>
      </c>
      <c r="F315" s="4" t="n">
        <v>10</v>
      </c>
      <c r="G315" s="4" t="n">
        <v>9</v>
      </c>
      <c r="H315" s="4" t="n">
        <v>4</v>
      </c>
      <c r="I315" s="4" t="str">
        <v>×</v>
      </c>
      <c r="J315" s="4"/>
      <c r="K315" s="4"/>
      <c r="L315" s="4"/>
      <c r="M315" s="5" t="s">
        <v>15</v>
      </c>
    </row>
    <row r="316" customFormat="false" ht="15.75" hidden="false" customHeight="false" outlineLevel="0" collapsed="false">
      <c r="A316" s="3" t="n">
        <v>46228</v>
      </c>
      <c r="B316" s="4" t="s">
        <v>179</v>
      </c>
      <c r="C316" s="4" t="n">
        <v>12</v>
      </c>
      <c r="D316" s="4" t="n">
        <v>13</v>
      </c>
      <c r="E316" s="4" t="s">
        <v>330</v>
      </c>
      <c r="F316" s="4" t="n">
        <v>56</v>
      </c>
      <c r="G316" s="4" t="n">
        <v>1</v>
      </c>
      <c r="H316" s="4" t="n">
        <v>4</v>
      </c>
      <c r="I316" s="4" t="str">
        <v>×</v>
      </c>
      <c r="J316" s="4"/>
      <c r="K316" s="4"/>
      <c r="L316" s="4"/>
      <c r="M316" s="5" t="s">
        <v>15</v>
      </c>
    </row>
    <row r="317" customFormat="false" ht="15.75" hidden="false" customHeight="false" outlineLevel="0" collapsed="false">
      <c r="A317" s="3" t="n">
        <v>46228</v>
      </c>
      <c r="B317" s="4" t="s">
        <v>179</v>
      </c>
      <c r="C317" s="4" t="n">
        <v>12</v>
      </c>
      <c r="D317" s="4" t="n">
        <v>14</v>
      </c>
      <c r="E317" s="4" t="s">
        <v>331</v>
      </c>
      <c r="F317" s="4" t="n">
        <v>4</v>
      </c>
      <c r="G317" s="4" t="n">
        <v>14</v>
      </c>
      <c r="H317" s="4" t="n">
        <v>4</v>
      </c>
      <c r="I317" s="4" t="str">
        <v>×</v>
      </c>
      <c r="J317" s="4"/>
      <c r="K317" s="4"/>
      <c r="L317" s="4"/>
      <c r="M317" s="5" t="s">
        <v>15</v>
      </c>
    </row>
    <row r="318" customFormat="false" ht="15.75" hidden="false" customHeight="false" outlineLevel="0" collapsed="false">
      <c r="A318" s="3" t="n">
        <v>46228</v>
      </c>
      <c r="B318" s="4" t="s">
        <v>179</v>
      </c>
      <c r="C318" s="4" t="n">
        <v>12</v>
      </c>
      <c r="D318" s="4" t="n">
        <v>15</v>
      </c>
      <c r="E318" s="4" t="s">
        <v>332</v>
      </c>
      <c r="F318" s="4" t="n">
        <v>2</v>
      </c>
      <c r="G318" s="4" t="n">
        <v>16</v>
      </c>
      <c r="H318" s="4" t="n">
        <v>4</v>
      </c>
      <c r="I318" s="4" t="str">
        <v>×</v>
      </c>
      <c r="J318" s="4"/>
      <c r="K318" s="4"/>
      <c r="L318" s="4"/>
      <c r="M318" s="5" t="s">
        <v>15</v>
      </c>
    </row>
    <row r="319" customFormat="false" ht="15.75" hidden="false" customHeight="false" outlineLevel="0" collapsed="false">
      <c r="A319" s="3" t="n">
        <v>46228</v>
      </c>
      <c r="B319" s="4" t="s">
        <v>179</v>
      </c>
      <c r="C319" s="4" t="n">
        <v>12</v>
      </c>
      <c r="D319" s="4" t="n">
        <v>16</v>
      </c>
      <c r="E319" s="4" t="s">
        <v>333</v>
      </c>
      <c r="F319" s="4" t="n">
        <v>34</v>
      </c>
      <c r="G319" s="4" t="n">
        <v>4</v>
      </c>
      <c r="H319" s="4" t="n">
        <v>4</v>
      </c>
      <c r="I319" s="4" t="str">
        <v>×</v>
      </c>
      <c r="J319" s="4"/>
      <c r="K319" s="4"/>
      <c r="L319" s="4"/>
      <c r="M319" s="5" t="s">
        <v>15</v>
      </c>
    </row>
    <row r="320" customFormat="false" ht="15.75" hidden="false" customHeight="false" outlineLevel="0" collapsed="false">
      <c r="A320" s="3" t="n">
        <v>46228</v>
      </c>
      <c r="B320" s="4" t="s">
        <v>334</v>
      </c>
      <c r="C320" s="4" t="n">
        <v>1</v>
      </c>
      <c r="D320" s="4" t="n">
        <v>1</v>
      </c>
      <c r="E320" s="4" t="s">
        <v>335</v>
      </c>
      <c r="F320" s="4" t="n">
        <v>25</v>
      </c>
      <c r="G320" s="4" t="n">
        <v>5</v>
      </c>
      <c r="H320" s="4" t="n">
        <v>4</v>
      </c>
      <c r="I320" s="4" t="str">
        <v>×</v>
      </c>
      <c r="J320" s="4"/>
      <c r="K320" s="4"/>
      <c r="L320" s="4"/>
      <c r="M320" s="5" t="s">
        <v>15</v>
      </c>
    </row>
    <row r="321" customFormat="false" ht="15.75" hidden="false" customHeight="false" outlineLevel="0" collapsed="false">
      <c r="A321" s="3" t="n">
        <v>46228</v>
      </c>
      <c r="B321" s="4" t="s">
        <v>334</v>
      </c>
      <c r="C321" s="4" t="n">
        <v>1</v>
      </c>
      <c r="D321" s="4" t="n">
        <v>2</v>
      </c>
      <c r="E321" s="4" t="s">
        <v>336</v>
      </c>
      <c r="F321" s="4" t="n">
        <v>39</v>
      </c>
      <c r="G321" s="4" t="n">
        <v>4</v>
      </c>
      <c r="H321" s="4" t="n">
        <v>4</v>
      </c>
      <c r="I321" s="4" t="str">
        <v>×</v>
      </c>
      <c r="J321" s="4"/>
      <c r="K321" s="4"/>
      <c r="L321" s="4"/>
      <c r="M321" s="5" t="s">
        <v>15</v>
      </c>
    </row>
    <row r="322" customFormat="false" ht="15.75" hidden="false" customHeight="false" outlineLevel="0" collapsed="false">
      <c r="A322" s="3" t="n">
        <v>46228</v>
      </c>
      <c r="B322" s="4" t="s">
        <v>334</v>
      </c>
      <c r="C322" s="4" t="n">
        <v>1</v>
      </c>
      <c r="D322" s="4" t="n">
        <v>3</v>
      </c>
      <c r="E322" s="4" t="s">
        <v>337</v>
      </c>
      <c r="F322" s="4" t="n">
        <v>65</v>
      </c>
      <c r="G322" s="4" t="n">
        <v>1</v>
      </c>
      <c r="H322" s="4" t="n">
        <v>3</v>
      </c>
      <c r="I322" s="4" t="str">
        <v>○</v>
      </c>
      <c r="J322" s="4" t="n">
        <v>110</v>
      </c>
      <c r="K322" s="4"/>
      <c r="L322" s="4"/>
      <c r="M322" s="5" t="s">
        <v>15</v>
      </c>
    </row>
    <row r="323" customFormat="false" ht="15.75" hidden="false" customHeight="false" outlineLevel="0" collapsed="false">
      <c r="A323" s="3" t="n">
        <v>46228</v>
      </c>
      <c r="B323" s="4" t="s">
        <v>334</v>
      </c>
      <c r="C323" s="4" t="n">
        <v>1</v>
      </c>
      <c r="D323" s="4" t="n">
        <v>4</v>
      </c>
      <c r="E323" s="4" t="s">
        <v>338</v>
      </c>
      <c r="F323" s="4" t="n">
        <v>6</v>
      </c>
      <c r="G323" s="4" t="n">
        <v>8</v>
      </c>
      <c r="H323" s="4" t="n">
        <v>4</v>
      </c>
      <c r="I323" s="4" t="str">
        <v>×</v>
      </c>
      <c r="J323" s="4"/>
      <c r="K323" s="4"/>
      <c r="L323" s="4"/>
      <c r="M323" s="5" t="s">
        <v>15</v>
      </c>
    </row>
    <row r="324" customFormat="false" ht="15.75" hidden="false" customHeight="false" outlineLevel="0" collapsed="false">
      <c r="A324" s="3" t="n">
        <v>46228</v>
      </c>
      <c r="B324" s="4" t="s">
        <v>334</v>
      </c>
      <c r="C324" s="4" t="n">
        <v>1</v>
      </c>
      <c r="D324" s="4" t="n">
        <v>5</v>
      </c>
      <c r="E324" s="4" t="s">
        <v>339</v>
      </c>
      <c r="F324" s="4" t="n">
        <v>47</v>
      </c>
      <c r="G324" s="4" t="n">
        <v>2</v>
      </c>
      <c r="H324" s="4" t="n">
        <v>2</v>
      </c>
      <c r="I324" s="4" t="str">
        <v>○</v>
      </c>
      <c r="J324" s="4" t="n">
        <v>110</v>
      </c>
      <c r="K324" s="4"/>
      <c r="L324" s="4"/>
      <c r="M324" s="5" t="s">
        <v>15</v>
      </c>
    </row>
    <row r="325" customFormat="false" ht="15.75" hidden="false" customHeight="false" outlineLevel="0" collapsed="false">
      <c r="A325" s="3" t="n">
        <v>46228</v>
      </c>
      <c r="B325" s="4" t="s">
        <v>334</v>
      </c>
      <c r="C325" s="4" t="n">
        <v>1</v>
      </c>
      <c r="D325" s="4" t="n">
        <v>6</v>
      </c>
      <c r="E325" s="4" t="s">
        <v>340</v>
      </c>
      <c r="F325" s="4" t="n">
        <v>20</v>
      </c>
      <c r="G325" s="4" t="n">
        <v>6</v>
      </c>
      <c r="H325" s="4" t="n">
        <v>4</v>
      </c>
      <c r="I325" s="4" t="str">
        <v>×</v>
      </c>
      <c r="J325" s="4"/>
      <c r="K325" s="4"/>
      <c r="L325" s="4"/>
      <c r="M325" s="5" t="s">
        <v>15</v>
      </c>
    </row>
    <row r="326" customFormat="false" ht="15.75" hidden="false" customHeight="false" outlineLevel="0" collapsed="false">
      <c r="A326" s="3" t="n">
        <v>46228</v>
      </c>
      <c r="B326" s="4" t="s">
        <v>334</v>
      </c>
      <c r="C326" s="4" t="n">
        <v>1</v>
      </c>
      <c r="D326" s="4" t="n">
        <v>7</v>
      </c>
      <c r="E326" s="4" t="s">
        <v>341</v>
      </c>
      <c r="F326" s="4" t="n">
        <v>41</v>
      </c>
      <c r="G326" s="4" t="n">
        <v>3</v>
      </c>
      <c r="H326" s="4" t="n">
        <v>1</v>
      </c>
      <c r="I326" s="4" t="str">
        <v>○</v>
      </c>
      <c r="J326" s="4" t="n">
        <v>120</v>
      </c>
      <c r="K326" s="4"/>
      <c r="L326" s="4"/>
      <c r="M326" s="5" t="s">
        <v>15</v>
      </c>
    </row>
    <row r="327" customFormat="false" ht="15.75" hidden="false" customHeight="false" outlineLevel="0" collapsed="false">
      <c r="A327" s="3" t="n">
        <v>46228</v>
      </c>
      <c r="B327" s="4" t="s">
        <v>334</v>
      </c>
      <c r="C327" s="4" t="n">
        <v>1</v>
      </c>
      <c r="D327" s="4" t="n">
        <v>8</v>
      </c>
      <c r="E327" s="4" t="s">
        <v>342</v>
      </c>
      <c r="F327" s="4" t="n">
        <v>10</v>
      </c>
      <c r="G327" s="4" t="n">
        <v>7</v>
      </c>
      <c r="H327" s="4" t="n">
        <v>4</v>
      </c>
      <c r="I327" s="4" t="str">
        <v>×</v>
      </c>
      <c r="J327" s="4"/>
      <c r="K327" s="4"/>
      <c r="L327" s="4"/>
      <c r="M327" s="5" t="s">
        <v>15</v>
      </c>
    </row>
    <row r="328" customFormat="false" ht="15.75" hidden="false" customHeight="false" outlineLevel="0" collapsed="false">
      <c r="A328" s="3" t="n">
        <v>46228</v>
      </c>
      <c r="B328" s="4" t="s">
        <v>334</v>
      </c>
      <c r="C328" s="4" t="n">
        <v>2</v>
      </c>
      <c r="D328" s="4" t="n">
        <v>1</v>
      </c>
      <c r="E328" s="4" t="s">
        <v>343</v>
      </c>
      <c r="F328" s="4" t="n">
        <v>37</v>
      </c>
      <c r="G328" s="4" t="n">
        <v>4</v>
      </c>
      <c r="H328" s="4" t="n">
        <v>4</v>
      </c>
      <c r="I328" s="4" t="str">
        <v>×</v>
      </c>
      <c r="J328" s="4"/>
      <c r="K328" s="4"/>
      <c r="L328" s="4"/>
      <c r="M328" s="5" t="s">
        <v>15</v>
      </c>
    </row>
    <row r="329" customFormat="false" ht="15.75" hidden="false" customHeight="false" outlineLevel="0" collapsed="false">
      <c r="A329" s="3" t="n">
        <v>46228</v>
      </c>
      <c r="B329" s="4" t="s">
        <v>334</v>
      </c>
      <c r="C329" s="4" t="n">
        <v>2</v>
      </c>
      <c r="D329" s="4" t="n">
        <v>2</v>
      </c>
      <c r="E329" s="4" t="s">
        <v>344</v>
      </c>
      <c r="F329" s="4" t="n">
        <v>44</v>
      </c>
      <c r="G329" s="4" t="n">
        <v>3</v>
      </c>
      <c r="H329" s="4" t="n">
        <v>4</v>
      </c>
      <c r="I329" s="4" t="str">
        <v>×</v>
      </c>
      <c r="J329" s="4"/>
      <c r="K329" s="4"/>
      <c r="L329" s="4"/>
      <c r="M329" s="5" t="s">
        <v>15</v>
      </c>
    </row>
    <row r="330" customFormat="false" ht="15.75" hidden="false" customHeight="false" outlineLevel="0" collapsed="false">
      <c r="A330" s="3" t="n">
        <v>46228</v>
      </c>
      <c r="B330" s="4" t="s">
        <v>334</v>
      </c>
      <c r="C330" s="4" t="n">
        <v>2</v>
      </c>
      <c r="D330" s="4" t="n">
        <v>3</v>
      </c>
      <c r="E330" s="4" t="s">
        <v>345</v>
      </c>
      <c r="F330" s="4" t="n">
        <v>13</v>
      </c>
      <c r="G330" s="4" t="n">
        <v>6</v>
      </c>
      <c r="H330" s="4" t="n">
        <v>4</v>
      </c>
      <c r="I330" s="4" t="str">
        <v>×</v>
      </c>
      <c r="J330" s="4"/>
      <c r="K330" s="4"/>
      <c r="L330" s="4"/>
      <c r="M330" s="5" t="s">
        <v>15</v>
      </c>
    </row>
    <row r="331" customFormat="false" ht="15.75" hidden="false" customHeight="false" outlineLevel="0" collapsed="false">
      <c r="A331" s="3" t="n">
        <v>46228</v>
      </c>
      <c r="B331" s="4" t="s">
        <v>334</v>
      </c>
      <c r="C331" s="4" t="n">
        <v>2</v>
      </c>
      <c r="D331" s="4" t="n">
        <v>4</v>
      </c>
      <c r="E331" s="4" t="s">
        <v>346</v>
      </c>
      <c r="F331" s="4" t="n">
        <v>2</v>
      </c>
      <c r="G331" s="4" t="n">
        <v>8</v>
      </c>
      <c r="H331" s="4" t="n">
        <v>4</v>
      </c>
      <c r="I331" s="4" t="str">
        <v>×</v>
      </c>
      <c r="J331" s="4"/>
      <c r="K331" s="4"/>
      <c r="L331" s="4"/>
      <c r="M331" s="5" t="s">
        <v>15</v>
      </c>
    </row>
    <row r="332" customFormat="false" ht="15.75" hidden="false" customHeight="false" outlineLevel="0" collapsed="false">
      <c r="A332" s="3" t="n">
        <v>46228</v>
      </c>
      <c r="B332" s="4" t="s">
        <v>334</v>
      </c>
      <c r="C332" s="4" t="n">
        <v>2</v>
      </c>
      <c r="D332" s="4" t="n">
        <v>5</v>
      </c>
      <c r="E332" s="4" t="s">
        <v>347</v>
      </c>
      <c r="F332" s="4" t="n">
        <v>52</v>
      </c>
      <c r="G332" s="4" t="n">
        <v>2</v>
      </c>
      <c r="H332" s="4" t="n">
        <v>1</v>
      </c>
      <c r="I332" s="4" t="str">
        <v>○</v>
      </c>
      <c r="J332" s="4" t="n">
        <v>140</v>
      </c>
      <c r="K332" s="4"/>
      <c r="L332" s="4"/>
      <c r="M332" s="5" t="s">
        <v>15</v>
      </c>
    </row>
    <row r="333" customFormat="false" ht="15.75" hidden="false" customHeight="false" outlineLevel="0" collapsed="false">
      <c r="A333" s="3" t="n">
        <v>46228</v>
      </c>
      <c r="B333" s="4" t="s">
        <v>334</v>
      </c>
      <c r="C333" s="4" t="n">
        <v>2</v>
      </c>
      <c r="D333" s="4" t="n">
        <v>6</v>
      </c>
      <c r="E333" s="4" t="s">
        <v>348</v>
      </c>
      <c r="F333" s="4" t="n">
        <v>56</v>
      </c>
      <c r="G333" s="4" t="n">
        <v>1</v>
      </c>
      <c r="H333" s="4" t="n">
        <v>4</v>
      </c>
      <c r="I333" s="4" t="str">
        <v>×</v>
      </c>
      <c r="J333" s="4"/>
      <c r="K333" s="4"/>
      <c r="L333" s="4"/>
      <c r="M333" s="5" t="s">
        <v>15</v>
      </c>
    </row>
    <row r="334" customFormat="false" ht="15.75" hidden="false" customHeight="false" outlineLevel="0" collapsed="false">
      <c r="A334" s="3" t="n">
        <v>46228</v>
      </c>
      <c r="B334" s="4" t="s">
        <v>334</v>
      </c>
      <c r="C334" s="4" t="n">
        <v>2</v>
      </c>
      <c r="D334" s="4" t="n">
        <v>7</v>
      </c>
      <c r="E334" s="4" t="s">
        <v>349</v>
      </c>
      <c r="F334" s="4" t="n">
        <v>10</v>
      </c>
      <c r="G334" s="4" t="n">
        <v>7</v>
      </c>
      <c r="H334" s="4" t="n">
        <v>3</v>
      </c>
      <c r="I334" s="4" t="str">
        <v>○</v>
      </c>
      <c r="J334" s="4" t="n">
        <v>1750</v>
      </c>
      <c r="K334" s="4"/>
      <c r="L334" s="4"/>
      <c r="M334" s="5" t="s">
        <v>15</v>
      </c>
    </row>
    <row r="335" customFormat="false" ht="15.75" hidden="false" customHeight="false" outlineLevel="0" collapsed="false">
      <c r="A335" s="3" t="n">
        <v>46228</v>
      </c>
      <c r="B335" s="4" t="s">
        <v>334</v>
      </c>
      <c r="C335" s="4" t="n">
        <v>2</v>
      </c>
      <c r="D335" s="4" t="n">
        <v>8</v>
      </c>
      <c r="E335" s="4" t="s">
        <v>350</v>
      </c>
      <c r="F335" s="4" t="n">
        <v>37</v>
      </c>
      <c r="G335" s="4" t="n">
        <v>4</v>
      </c>
      <c r="H335" s="4" t="n">
        <v>2</v>
      </c>
      <c r="I335" s="4" t="str">
        <v>○</v>
      </c>
      <c r="J335" s="4" t="n">
        <v>160</v>
      </c>
      <c r="K335" s="4"/>
      <c r="L335" s="4"/>
      <c r="M335" s="5" t="s">
        <v>15</v>
      </c>
    </row>
    <row r="336" customFormat="false" ht="15.75" hidden="false" customHeight="false" outlineLevel="0" collapsed="false">
      <c r="A336" s="3" t="n">
        <v>46228</v>
      </c>
      <c r="B336" s="4" t="s">
        <v>334</v>
      </c>
      <c r="C336" s="4" t="n">
        <v>3</v>
      </c>
      <c r="D336" s="4" t="n">
        <v>1</v>
      </c>
      <c r="E336" s="4" t="s">
        <v>351</v>
      </c>
      <c r="F336" s="4" t="n">
        <v>6</v>
      </c>
      <c r="G336" s="4" t="n">
        <v>9</v>
      </c>
      <c r="H336" s="4" t="n">
        <v>4</v>
      </c>
      <c r="I336" s="4" t="str">
        <v>×</v>
      </c>
      <c r="J336" s="4"/>
      <c r="K336" s="4"/>
      <c r="L336" s="4"/>
      <c r="M336" s="5" t="s">
        <v>15</v>
      </c>
    </row>
    <row r="337" customFormat="false" ht="15.75" hidden="false" customHeight="false" outlineLevel="0" collapsed="false">
      <c r="A337" s="3" t="n">
        <v>46228</v>
      </c>
      <c r="B337" s="4" t="s">
        <v>334</v>
      </c>
      <c r="C337" s="4" t="n">
        <v>3</v>
      </c>
      <c r="D337" s="4" t="n">
        <v>2</v>
      </c>
      <c r="E337" s="4" t="s">
        <v>352</v>
      </c>
      <c r="F337" s="4" t="n">
        <v>10</v>
      </c>
      <c r="G337" s="4" t="n">
        <v>7</v>
      </c>
      <c r="H337" s="4" t="n">
        <v>4</v>
      </c>
      <c r="I337" s="4" t="str">
        <v>×</v>
      </c>
      <c r="J337" s="4"/>
      <c r="K337" s="4"/>
      <c r="L337" s="4"/>
      <c r="M337" s="5" t="s">
        <v>15</v>
      </c>
    </row>
    <row r="338" customFormat="false" ht="15.75" hidden="false" customHeight="false" outlineLevel="0" collapsed="false">
      <c r="A338" s="3" t="n">
        <v>46228</v>
      </c>
      <c r="B338" s="4" t="s">
        <v>334</v>
      </c>
      <c r="C338" s="4" t="n">
        <v>3</v>
      </c>
      <c r="D338" s="4" t="n">
        <v>3</v>
      </c>
      <c r="E338" s="4" t="s">
        <v>353</v>
      </c>
      <c r="F338" s="4" t="n">
        <v>1</v>
      </c>
      <c r="G338" s="4" t="n">
        <v>10</v>
      </c>
      <c r="H338" s="4" t="n">
        <v>1</v>
      </c>
      <c r="I338" s="4" t="str">
        <v>○</v>
      </c>
      <c r="J338" s="4" t="n">
        <v>110</v>
      </c>
      <c r="K338" s="4"/>
      <c r="L338" s="4"/>
      <c r="M338" s="5" t="s">
        <v>15</v>
      </c>
    </row>
    <row r="339" customFormat="false" ht="15.75" hidden="false" customHeight="false" outlineLevel="0" collapsed="false">
      <c r="A339" s="3" t="n">
        <v>46228</v>
      </c>
      <c r="B339" s="4" t="s">
        <v>334</v>
      </c>
      <c r="C339" s="4" t="n">
        <v>3</v>
      </c>
      <c r="D339" s="4" t="n">
        <v>4</v>
      </c>
      <c r="E339" s="4" t="s">
        <v>354</v>
      </c>
      <c r="F339" s="4" t="n">
        <v>23</v>
      </c>
      <c r="G339" s="4" t="n">
        <v>4</v>
      </c>
      <c r="H339" s="4" t="n">
        <v>4</v>
      </c>
      <c r="I339" s="4" t="str">
        <v>×</v>
      </c>
      <c r="J339" s="4"/>
      <c r="K339" s="4"/>
      <c r="L339" s="4"/>
      <c r="M339" s="5" t="s">
        <v>15</v>
      </c>
    </row>
    <row r="340" customFormat="false" ht="15.75" hidden="false" customHeight="false" outlineLevel="0" collapsed="false">
      <c r="A340" s="3" t="n">
        <v>46228</v>
      </c>
      <c r="B340" s="4" t="s">
        <v>334</v>
      </c>
      <c r="C340" s="4" t="n">
        <v>3</v>
      </c>
      <c r="D340" s="4" t="n">
        <v>5</v>
      </c>
      <c r="E340" s="4" t="s">
        <v>355</v>
      </c>
      <c r="F340" s="4" t="n">
        <v>20</v>
      </c>
      <c r="G340" s="4" t="n">
        <v>5</v>
      </c>
      <c r="H340" s="4" t="n">
        <v>4</v>
      </c>
      <c r="I340" s="4" t="str">
        <v>×</v>
      </c>
      <c r="J340" s="4"/>
      <c r="K340" s="4"/>
      <c r="L340" s="4"/>
      <c r="M340" s="5" t="s">
        <v>15</v>
      </c>
    </row>
    <row r="341" customFormat="false" ht="15.75" hidden="false" customHeight="false" outlineLevel="0" collapsed="false">
      <c r="A341" s="3" t="n">
        <v>46228</v>
      </c>
      <c r="B341" s="4" t="s">
        <v>334</v>
      </c>
      <c r="C341" s="4" t="n">
        <v>3</v>
      </c>
      <c r="D341" s="4" t="n">
        <v>6</v>
      </c>
      <c r="E341" s="4" t="s">
        <v>356</v>
      </c>
      <c r="F341" s="4" t="n">
        <v>47</v>
      </c>
      <c r="G341" s="4" t="n">
        <v>1</v>
      </c>
      <c r="H341" s="4" t="n">
        <v>3</v>
      </c>
      <c r="I341" s="4" t="str">
        <v>○</v>
      </c>
      <c r="J341" s="4" t="n">
        <v>120</v>
      </c>
      <c r="K341" s="4"/>
      <c r="L341" s="4"/>
      <c r="M341" s="5" t="s">
        <v>15</v>
      </c>
    </row>
    <row r="342" customFormat="false" ht="15.75" hidden="false" customHeight="false" outlineLevel="0" collapsed="false">
      <c r="A342" s="3" t="n">
        <v>46228</v>
      </c>
      <c r="B342" s="4" t="s">
        <v>334</v>
      </c>
      <c r="C342" s="4" t="n">
        <v>3</v>
      </c>
      <c r="D342" s="4" t="n">
        <v>7</v>
      </c>
      <c r="E342" s="4" t="s">
        <v>357</v>
      </c>
      <c r="F342" s="4" t="n">
        <v>47</v>
      </c>
      <c r="G342" s="4" t="n">
        <v>1</v>
      </c>
      <c r="H342" s="4" t="n">
        <v>4</v>
      </c>
      <c r="I342" s="4" t="str">
        <v>×</v>
      </c>
      <c r="J342" s="4"/>
      <c r="K342" s="4"/>
      <c r="L342" s="4"/>
      <c r="M342" s="5" t="s">
        <v>15</v>
      </c>
    </row>
    <row r="343" customFormat="false" ht="15.75" hidden="false" customHeight="false" outlineLevel="0" collapsed="false">
      <c r="A343" s="3" t="n">
        <v>46228</v>
      </c>
      <c r="B343" s="4" t="s">
        <v>334</v>
      </c>
      <c r="C343" s="4" t="n">
        <v>3</v>
      </c>
      <c r="D343" s="4" t="n">
        <v>8</v>
      </c>
      <c r="E343" s="4" t="s">
        <v>358</v>
      </c>
      <c r="F343" s="4" t="n">
        <v>41</v>
      </c>
      <c r="G343" s="4" t="n">
        <v>3</v>
      </c>
      <c r="H343" s="4" t="n">
        <v>2</v>
      </c>
      <c r="I343" s="4" t="str">
        <v>○</v>
      </c>
      <c r="J343" s="4" t="n">
        <v>130</v>
      </c>
      <c r="K343" s="4"/>
      <c r="L343" s="4"/>
      <c r="M343" s="5" t="s">
        <v>15</v>
      </c>
    </row>
    <row r="344" customFormat="false" ht="15.75" hidden="false" customHeight="false" outlineLevel="0" collapsed="false">
      <c r="A344" s="3" t="n">
        <v>46228</v>
      </c>
      <c r="B344" s="4" t="s">
        <v>334</v>
      </c>
      <c r="C344" s="4" t="n">
        <v>3</v>
      </c>
      <c r="D344" s="4" t="n">
        <v>9</v>
      </c>
      <c r="E344" s="4" t="s">
        <v>359</v>
      </c>
      <c r="F344" s="4" t="n">
        <v>17</v>
      </c>
      <c r="G344" s="4" t="n">
        <v>6</v>
      </c>
      <c r="H344" s="4" t="n">
        <v>4</v>
      </c>
      <c r="I344" s="4" t="str">
        <v>×</v>
      </c>
      <c r="J344" s="4"/>
      <c r="K344" s="4"/>
      <c r="L344" s="4"/>
      <c r="M344" s="5" t="s">
        <v>15</v>
      </c>
    </row>
    <row r="345" customFormat="false" ht="15.75" hidden="false" customHeight="false" outlineLevel="0" collapsed="false">
      <c r="A345" s="3" t="n">
        <v>46228</v>
      </c>
      <c r="B345" s="4" t="s">
        <v>334</v>
      </c>
      <c r="C345" s="4" t="n">
        <v>3</v>
      </c>
      <c r="D345" s="4" t="n">
        <v>10</v>
      </c>
      <c r="E345" s="4" t="s">
        <v>360</v>
      </c>
      <c r="F345" s="4" t="n">
        <v>8</v>
      </c>
      <c r="G345" s="4" t="n">
        <v>8</v>
      </c>
      <c r="H345" s="4" t="n">
        <v>4</v>
      </c>
      <c r="I345" s="4" t="str">
        <v>×</v>
      </c>
      <c r="J345" s="4"/>
      <c r="K345" s="4"/>
      <c r="L345" s="4"/>
      <c r="M345" s="5" t="s">
        <v>15</v>
      </c>
    </row>
    <row r="346" customFormat="false" ht="15.75" hidden="false" customHeight="false" outlineLevel="0" collapsed="false">
      <c r="A346" s="3" t="n">
        <v>46228</v>
      </c>
      <c r="B346" s="4" t="s">
        <v>334</v>
      </c>
      <c r="C346" s="4" t="n">
        <v>4</v>
      </c>
      <c r="D346" s="4" t="n">
        <v>1</v>
      </c>
      <c r="E346" s="4" t="s">
        <v>361</v>
      </c>
      <c r="F346" s="4" t="n">
        <v>4</v>
      </c>
      <c r="G346" s="4" t="n">
        <v>10</v>
      </c>
      <c r="H346" s="4" t="n">
        <v>4</v>
      </c>
      <c r="I346" s="4" t="str">
        <v>×</v>
      </c>
      <c r="J346" s="4"/>
      <c r="K346" s="4"/>
      <c r="L346" s="4"/>
      <c r="M346" s="5" t="s">
        <v>15</v>
      </c>
    </row>
    <row r="347" customFormat="false" ht="15.75" hidden="false" customHeight="false" outlineLevel="0" collapsed="false">
      <c r="A347" s="3" t="n">
        <v>46228</v>
      </c>
      <c r="B347" s="4" t="s">
        <v>334</v>
      </c>
      <c r="C347" s="4" t="n">
        <v>4</v>
      </c>
      <c r="D347" s="4" t="n">
        <v>2</v>
      </c>
      <c r="E347" s="4" t="s">
        <v>362</v>
      </c>
      <c r="F347" s="4" t="n">
        <v>29</v>
      </c>
      <c r="G347" s="4" t="n">
        <v>4</v>
      </c>
      <c r="H347" s="4" t="n">
        <v>4</v>
      </c>
      <c r="I347" s="4" t="str">
        <v>×</v>
      </c>
      <c r="J347" s="4"/>
      <c r="K347" s="4"/>
      <c r="L347" s="4"/>
      <c r="M347" s="5" t="s">
        <v>15</v>
      </c>
    </row>
    <row r="348" customFormat="false" ht="15.75" hidden="false" customHeight="false" outlineLevel="0" collapsed="false">
      <c r="A348" s="3" t="n">
        <v>46228</v>
      </c>
      <c r="B348" s="4" t="s">
        <v>334</v>
      </c>
      <c r="C348" s="4" t="n">
        <v>4</v>
      </c>
      <c r="D348" s="4" t="n">
        <v>3</v>
      </c>
      <c r="E348" s="4" t="s">
        <v>363</v>
      </c>
      <c r="F348" s="4" t="n">
        <v>47</v>
      </c>
      <c r="G348" s="4" t="n">
        <v>3</v>
      </c>
      <c r="H348" s="4" t="n">
        <v>4</v>
      </c>
      <c r="I348" s="4" t="str">
        <v>×</v>
      </c>
      <c r="J348" s="4"/>
      <c r="K348" s="4"/>
      <c r="L348" s="4"/>
      <c r="M348" s="5" t="s">
        <v>15</v>
      </c>
    </row>
    <row r="349" customFormat="false" ht="15.75" hidden="false" customHeight="false" outlineLevel="0" collapsed="false">
      <c r="A349" s="3" t="n">
        <v>46228</v>
      </c>
      <c r="B349" s="4" t="s">
        <v>334</v>
      </c>
      <c r="C349" s="4" t="n">
        <v>4</v>
      </c>
      <c r="D349" s="4" t="n">
        <v>4</v>
      </c>
      <c r="E349" s="4" t="s">
        <v>364</v>
      </c>
      <c r="F349" s="4" t="n">
        <v>56</v>
      </c>
      <c r="G349" s="4" t="n">
        <v>1</v>
      </c>
      <c r="H349" s="4" t="n">
        <v>3</v>
      </c>
      <c r="I349" s="4" t="str">
        <v>○</v>
      </c>
      <c r="J349" s="4" t="n">
        <v>140</v>
      </c>
      <c r="K349" s="4"/>
      <c r="L349" s="4"/>
      <c r="M349" s="5" t="s">
        <v>15</v>
      </c>
    </row>
    <row r="350" customFormat="false" ht="15.75" hidden="false" customHeight="false" outlineLevel="0" collapsed="false">
      <c r="A350" s="3" t="n">
        <v>46228</v>
      </c>
      <c r="B350" s="4" t="s">
        <v>334</v>
      </c>
      <c r="C350" s="4" t="n">
        <v>4</v>
      </c>
      <c r="D350" s="4" t="n">
        <v>5</v>
      </c>
      <c r="E350" s="4" t="s">
        <v>365</v>
      </c>
      <c r="F350" s="4" t="n">
        <v>10</v>
      </c>
      <c r="G350" s="4" t="n">
        <v>8</v>
      </c>
      <c r="H350" s="4" t="n">
        <v>4</v>
      </c>
      <c r="I350" s="4" t="str">
        <v>×</v>
      </c>
      <c r="J350" s="4"/>
      <c r="K350" s="4"/>
      <c r="L350" s="4"/>
      <c r="M350" s="5" t="s">
        <v>15</v>
      </c>
    </row>
    <row r="351" customFormat="false" ht="15.75" hidden="false" customHeight="false" outlineLevel="0" collapsed="false">
      <c r="A351" s="3" t="n">
        <v>46228</v>
      </c>
      <c r="B351" s="4" t="s">
        <v>334</v>
      </c>
      <c r="C351" s="4" t="n">
        <v>4</v>
      </c>
      <c r="D351" s="4" t="n">
        <v>6</v>
      </c>
      <c r="E351" s="4" t="s">
        <v>366</v>
      </c>
      <c r="F351" s="4" t="n">
        <v>25</v>
      </c>
      <c r="G351" s="4" t="n">
        <v>5</v>
      </c>
      <c r="H351" s="4" t="n">
        <v>2</v>
      </c>
      <c r="I351" s="4" t="str">
        <v>○</v>
      </c>
      <c r="J351" s="4" t="n">
        <v>160</v>
      </c>
      <c r="K351" s="4"/>
      <c r="L351" s="4"/>
      <c r="M351" s="5" t="s">
        <v>15</v>
      </c>
    </row>
    <row r="352" customFormat="false" ht="15.75" hidden="false" customHeight="false" outlineLevel="0" collapsed="false">
      <c r="A352" s="3" t="n">
        <v>46228</v>
      </c>
      <c r="B352" s="4" t="s">
        <v>334</v>
      </c>
      <c r="C352" s="4" t="n">
        <v>4</v>
      </c>
      <c r="D352" s="4" t="n">
        <v>7</v>
      </c>
      <c r="E352" s="4" t="s">
        <v>367</v>
      </c>
      <c r="F352" s="4" t="n">
        <v>2</v>
      </c>
      <c r="G352" s="4" t="n">
        <v>14</v>
      </c>
      <c r="H352" s="4" t="n">
        <v>4</v>
      </c>
      <c r="I352" s="4" t="str">
        <v>×</v>
      </c>
      <c r="J352" s="4"/>
      <c r="K352" s="4"/>
      <c r="L352" s="4"/>
      <c r="M352" s="5" t="s">
        <v>15</v>
      </c>
    </row>
    <row r="353" customFormat="false" ht="15.75" hidden="false" customHeight="false" outlineLevel="0" collapsed="false">
      <c r="A353" s="3" t="n">
        <v>46228</v>
      </c>
      <c r="B353" s="4" t="s">
        <v>334</v>
      </c>
      <c r="C353" s="4" t="n">
        <v>4</v>
      </c>
      <c r="D353" s="4" t="n">
        <v>8</v>
      </c>
      <c r="E353" s="4" t="s">
        <v>368</v>
      </c>
      <c r="F353" s="4" t="n">
        <v>23</v>
      </c>
      <c r="G353" s="4" t="n">
        <v>6</v>
      </c>
      <c r="H353" s="4" t="n">
        <v>4</v>
      </c>
      <c r="I353" s="4" t="str">
        <v>×</v>
      </c>
      <c r="J353" s="4"/>
      <c r="K353" s="4"/>
      <c r="L353" s="4"/>
      <c r="M353" s="5" t="s">
        <v>15</v>
      </c>
    </row>
    <row r="354" customFormat="false" ht="15.75" hidden="false" customHeight="false" outlineLevel="0" collapsed="false">
      <c r="A354" s="3" t="n">
        <v>46228</v>
      </c>
      <c r="B354" s="4" t="s">
        <v>334</v>
      </c>
      <c r="C354" s="4" t="n">
        <v>4</v>
      </c>
      <c r="D354" s="4" t="n">
        <v>9</v>
      </c>
      <c r="E354" s="4" t="s">
        <v>369</v>
      </c>
      <c r="F354" s="4" t="n">
        <v>3</v>
      </c>
      <c r="G354" s="4" t="n">
        <v>13</v>
      </c>
      <c r="H354" s="4" t="n">
        <v>4</v>
      </c>
      <c r="I354" s="4" t="str">
        <v>×</v>
      </c>
      <c r="J354" s="4"/>
      <c r="K354" s="4"/>
      <c r="L354" s="4"/>
      <c r="M354" s="5" t="s">
        <v>15</v>
      </c>
    </row>
    <row r="355" customFormat="false" ht="15.75" hidden="false" customHeight="false" outlineLevel="0" collapsed="false">
      <c r="A355" s="3" t="n">
        <v>46228</v>
      </c>
      <c r="B355" s="4" t="s">
        <v>334</v>
      </c>
      <c r="C355" s="4" t="n">
        <v>4</v>
      </c>
      <c r="D355" s="4" t="n">
        <v>10</v>
      </c>
      <c r="E355" s="4" t="s">
        <v>370</v>
      </c>
      <c r="F355" s="4" t="n">
        <v>4</v>
      </c>
      <c r="G355" s="4" t="n">
        <v>10</v>
      </c>
      <c r="H355" s="4" t="n">
        <v>4</v>
      </c>
      <c r="I355" s="4" t="str">
        <v>×</v>
      </c>
      <c r="J355" s="4"/>
      <c r="K355" s="4"/>
      <c r="L355" s="4"/>
      <c r="M355" s="5" t="s">
        <v>15</v>
      </c>
    </row>
    <row r="356" customFormat="false" ht="15.75" hidden="false" customHeight="false" outlineLevel="0" collapsed="false">
      <c r="A356" s="3" t="n">
        <v>46228</v>
      </c>
      <c r="B356" s="4" t="s">
        <v>334</v>
      </c>
      <c r="C356" s="4" t="n">
        <v>4</v>
      </c>
      <c r="D356" s="4" t="n">
        <v>11</v>
      </c>
      <c r="E356" s="4" t="s">
        <v>371</v>
      </c>
      <c r="F356" s="4" t="n">
        <v>56</v>
      </c>
      <c r="G356" s="4" t="n">
        <v>1</v>
      </c>
      <c r="H356" s="4" t="n">
        <v>1</v>
      </c>
      <c r="I356" s="4" t="str">
        <v>○</v>
      </c>
      <c r="J356" s="4" t="n">
        <v>120</v>
      </c>
      <c r="K356" s="4"/>
      <c r="L356" s="4"/>
      <c r="M356" s="5" t="s">
        <v>15</v>
      </c>
    </row>
    <row r="357" customFormat="false" ht="15.75" hidden="false" customHeight="false" outlineLevel="0" collapsed="false">
      <c r="A357" s="3" t="n">
        <v>46228</v>
      </c>
      <c r="B357" s="4" t="s">
        <v>334</v>
      </c>
      <c r="C357" s="4" t="n">
        <v>4</v>
      </c>
      <c r="D357" s="4" t="n">
        <v>12</v>
      </c>
      <c r="E357" s="4" t="s">
        <v>372</v>
      </c>
      <c r="F357" s="4" t="n">
        <v>4</v>
      </c>
      <c r="G357" s="4" t="n">
        <v>10</v>
      </c>
      <c r="H357" s="4" t="n">
        <v>4</v>
      </c>
      <c r="I357" s="4" t="str">
        <v>×</v>
      </c>
      <c r="J357" s="4"/>
      <c r="K357" s="4"/>
      <c r="L357" s="4"/>
      <c r="M357" s="5" t="s">
        <v>15</v>
      </c>
    </row>
    <row r="358" customFormat="false" ht="15.75" hidden="false" customHeight="false" outlineLevel="0" collapsed="false">
      <c r="A358" s="3" t="n">
        <v>46228</v>
      </c>
      <c r="B358" s="4" t="s">
        <v>334</v>
      </c>
      <c r="C358" s="4" t="n">
        <v>4</v>
      </c>
      <c r="D358" s="4" t="n">
        <v>13</v>
      </c>
      <c r="E358" s="4" t="s">
        <v>373</v>
      </c>
      <c r="F358" s="4" t="n">
        <v>8</v>
      </c>
      <c r="G358" s="4" t="n">
        <v>9</v>
      </c>
      <c r="H358" s="4" t="n">
        <v>4</v>
      </c>
      <c r="I358" s="4" t="str">
        <v>×</v>
      </c>
      <c r="J358" s="4"/>
      <c r="K358" s="4"/>
      <c r="L358" s="4"/>
      <c r="M358" s="5" t="s">
        <v>15</v>
      </c>
    </row>
    <row r="359" customFormat="false" ht="15.75" hidden="false" customHeight="false" outlineLevel="0" collapsed="false">
      <c r="A359" s="3" t="n">
        <v>46228</v>
      </c>
      <c r="B359" s="4" t="s">
        <v>334</v>
      </c>
      <c r="C359" s="4" t="n">
        <v>4</v>
      </c>
      <c r="D359" s="4" t="n">
        <v>14</v>
      </c>
      <c r="E359" s="4" t="s">
        <v>374</v>
      </c>
      <c r="F359" s="4" t="n">
        <v>17</v>
      </c>
      <c r="G359" s="4" t="n">
        <v>7</v>
      </c>
      <c r="H359" s="4" t="n">
        <v>4</v>
      </c>
      <c r="I359" s="4" t="str">
        <v>×</v>
      </c>
      <c r="J359" s="4"/>
      <c r="K359" s="4"/>
      <c r="L359" s="4"/>
      <c r="M359" s="5" t="s">
        <v>15</v>
      </c>
    </row>
    <row r="360" customFormat="false" ht="15.75" hidden="false" customHeight="false" outlineLevel="0" collapsed="false">
      <c r="A360" s="3" t="n">
        <v>46228</v>
      </c>
      <c r="B360" s="4" t="s">
        <v>334</v>
      </c>
      <c r="C360" s="4" t="n">
        <v>5</v>
      </c>
      <c r="D360" s="4" t="n">
        <v>1</v>
      </c>
      <c r="E360" s="4" t="s">
        <v>375</v>
      </c>
      <c r="F360" s="4" t="n">
        <v>37</v>
      </c>
      <c r="G360" s="4" t="n">
        <v>1</v>
      </c>
      <c r="H360" s="4" t="n">
        <v>1</v>
      </c>
      <c r="I360" s="4" t="str">
        <v>○</v>
      </c>
      <c r="J360" s="4" t="n">
        <v>130</v>
      </c>
      <c r="K360" s="4"/>
      <c r="L360" s="4"/>
      <c r="M360" s="5" t="s">
        <v>15</v>
      </c>
    </row>
    <row r="361" customFormat="false" ht="15.75" hidden="false" customHeight="false" outlineLevel="0" collapsed="false">
      <c r="A361" s="3" t="n">
        <v>46228</v>
      </c>
      <c r="B361" s="4" t="s">
        <v>334</v>
      </c>
      <c r="C361" s="4" t="n">
        <v>5</v>
      </c>
      <c r="D361" s="4" t="n">
        <v>2</v>
      </c>
      <c r="E361" s="4" t="s">
        <v>376</v>
      </c>
      <c r="F361" s="4" t="n">
        <v>37</v>
      </c>
      <c r="G361" s="4" t="n">
        <v>1</v>
      </c>
      <c r="H361" s="4" t="n">
        <v>3</v>
      </c>
      <c r="I361" s="4" t="str">
        <v>○</v>
      </c>
      <c r="J361" s="4"/>
      <c r="K361" s="4"/>
      <c r="L361" s="4"/>
      <c r="M361" s="5" t="s">
        <v>15</v>
      </c>
    </row>
    <row r="362" customFormat="false" ht="15.75" hidden="false" customHeight="false" outlineLevel="0" collapsed="false">
      <c r="A362" s="3" t="n">
        <v>46228</v>
      </c>
      <c r="B362" s="4" t="s">
        <v>334</v>
      </c>
      <c r="C362" s="4" t="n">
        <v>5</v>
      </c>
      <c r="D362" s="4" t="n">
        <v>3</v>
      </c>
      <c r="E362" s="4" t="s">
        <v>377</v>
      </c>
      <c r="F362" s="4" t="n">
        <v>37</v>
      </c>
      <c r="G362" s="4" t="n">
        <v>1</v>
      </c>
      <c r="H362" s="4" t="n">
        <v>2</v>
      </c>
      <c r="I362" s="4" t="str">
        <v>○</v>
      </c>
      <c r="J362" s="4" t="n">
        <v>110</v>
      </c>
      <c r="K362" s="4"/>
      <c r="L362" s="4"/>
      <c r="M362" s="5" t="s">
        <v>15</v>
      </c>
    </row>
    <row r="363" customFormat="false" ht="15.75" hidden="false" customHeight="false" outlineLevel="0" collapsed="false">
      <c r="A363" s="3" t="n">
        <v>46228</v>
      </c>
      <c r="B363" s="4" t="s">
        <v>334</v>
      </c>
      <c r="C363" s="4" t="n">
        <v>5</v>
      </c>
      <c r="D363" s="4" t="n">
        <v>4</v>
      </c>
      <c r="E363" s="4" t="s">
        <v>378</v>
      </c>
      <c r="F363" s="4" t="n">
        <v>14</v>
      </c>
      <c r="G363" s="4" t="n">
        <v>6</v>
      </c>
      <c r="H363" s="4" t="n">
        <v>4</v>
      </c>
      <c r="I363" s="4" t="str">
        <v>×</v>
      </c>
      <c r="J363" s="4"/>
      <c r="K363" s="4"/>
      <c r="L363" s="4"/>
      <c r="M363" s="5" t="s">
        <v>15</v>
      </c>
    </row>
    <row r="364" customFormat="false" ht="15.75" hidden="false" customHeight="false" outlineLevel="0" collapsed="false">
      <c r="A364" s="3" t="n">
        <v>46228</v>
      </c>
      <c r="B364" s="4" t="s">
        <v>334</v>
      </c>
      <c r="C364" s="4" t="n">
        <v>5</v>
      </c>
      <c r="D364" s="4" t="n">
        <v>5</v>
      </c>
      <c r="E364" s="4" t="s">
        <v>379</v>
      </c>
      <c r="F364" s="4" t="n">
        <v>37</v>
      </c>
      <c r="G364" s="4" t="n">
        <v>1</v>
      </c>
      <c r="H364" s="4" t="n">
        <v>4</v>
      </c>
      <c r="I364" s="4" t="str">
        <v>×</v>
      </c>
      <c r="J364" s="4"/>
      <c r="K364" s="4"/>
      <c r="L364" s="4"/>
      <c r="M364" s="5" t="s">
        <v>15</v>
      </c>
    </row>
    <row r="365" customFormat="false" ht="15.75" hidden="false" customHeight="false" outlineLevel="0" collapsed="false">
      <c r="A365" s="3" t="n">
        <v>46228</v>
      </c>
      <c r="B365" s="4" t="s">
        <v>334</v>
      </c>
      <c r="C365" s="4" t="n">
        <v>5</v>
      </c>
      <c r="D365" s="4" t="n">
        <v>6</v>
      </c>
      <c r="E365" s="4" t="s">
        <v>380</v>
      </c>
      <c r="F365" s="4" t="n">
        <v>31</v>
      </c>
      <c r="G365" s="4" t="n">
        <v>5</v>
      </c>
      <c r="H365" s="4" t="n">
        <v>4</v>
      </c>
      <c r="I365" s="4" t="str">
        <v>×</v>
      </c>
      <c r="J365" s="4"/>
      <c r="K365" s="4"/>
      <c r="L365" s="4"/>
      <c r="M365" s="5" t="s">
        <v>15</v>
      </c>
    </row>
    <row r="366" customFormat="false" ht="15.75" hidden="false" customHeight="false" outlineLevel="0" collapsed="false">
      <c r="A366" s="3" t="n">
        <v>46228</v>
      </c>
      <c r="B366" s="4" t="s">
        <v>334</v>
      </c>
      <c r="C366" s="4" t="n">
        <v>6</v>
      </c>
      <c r="D366" s="4" t="n">
        <v>1</v>
      </c>
      <c r="E366" s="4" t="s">
        <v>381</v>
      </c>
      <c r="F366" s="4" t="n">
        <v>41</v>
      </c>
      <c r="G366" s="4" t="n">
        <v>2</v>
      </c>
      <c r="H366" s="4" t="n">
        <v>4</v>
      </c>
      <c r="I366" s="4" t="str">
        <v>×</v>
      </c>
      <c r="J366" s="4"/>
      <c r="K366" s="4"/>
      <c r="L366" s="4"/>
      <c r="M366" s="5" t="s">
        <v>15</v>
      </c>
    </row>
    <row r="367" customFormat="false" ht="15.75" hidden="false" customHeight="false" outlineLevel="0" collapsed="false">
      <c r="A367" s="3" t="n">
        <v>46228</v>
      </c>
      <c r="B367" s="4" t="s">
        <v>334</v>
      </c>
      <c r="C367" s="4" t="n">
        <v>6</v>
      </c>
      <c r="D367" s="4" t="n">
        <v>2</v>
      </c>
      <c r="E367" s="4" t="s">
        <v>382</v>
      </c>
      <c r="F367" s="4" t="n">
        <v>13</v>
      </c>
      <c r="G367" s="4" t="n">
        <v>7</v>
      </c>
      <c r="H367" s="4" t="n">
        <v>4</v>
      </c>
      <c r="I367" s="4" t="str">
        <v>×</v>
      </c>
      <c r="J367" s="4"/>
      <c r="K367" s="4"/>
      <c r="L367" s="4"/>
      <c r="M367" s="5" t="s">
        <v>15</v>
      </c>
    </row>
    <row r="368" customFormat="false" ht="15.75" hidden="false" customHeight="false" outlineLevel="0" collapsed="false">
      <c r="A368" s="3" t="n">
        <v>46228</v>
      </c>
      <c r="B368" s="4" t="s">
        <v>334</v>
      </c>
      <c r="C368" s="4" t="n">
        <v>6</v>
      </c>
      <c r="D368" s="4" t="n">
        <v>3</v>
      </c>
      <c r="E368" s="4" t="s">
        <v>383</v>
      </c>
      <c r="F368" s="4" t="n">
        <v>13</v>
      </c>
      <c r="G368" s="4" t="n">
        <v>7</v>
      </c>
      <c r="H368" s="4" t="n">
        <v>4</v>
      </c>
      <c r="I368" s="4" t="str">
        <v>×</v>
      </c>
      <c r="J368" s="4"/>
      <c r="K368" s="4"/>
      <c r="L368" s="4"/>
      <c r="M368" s="5" t="s">
        <v>15</v>
      </c>
    </row>
    <row r="369" customFormat="false" ht="15.75" hidden="false" customHeight="false" outlineLevel="0" collapsed="false">
      <c r="A369" s="3" t="n">
        <v>46228</v>
      </c>
      <c r="B369" s="4" t="s">
        <v>334</v>
      </c>
      <c r="C369" s="4" t="n">
        <v>6</v>
      </c>
      <c r="D369" s="4" t="n">
        <v>4</v>
      </c>
      <c r="E369" s="4" t="s">
        <v>384</v>
      </c>
      <c r="F369" s="4" t="n">
        <v>13</v>
      </c>
      <c r="G369" s="4" t="n">
        <v>7</v>
      </c>
      <c r="H369" s="4" t="n">
        <v>3</v>
      </c>
      <c r="I369" s="4" t="str">
        <v>○</v>
      </c>
      <c r="J369" s="4" t="n">
        <v>400</v>
      </c>
      <c r="K369" s="4"/>
      <c r="L369" s="4"/>
      <c r="M369" s="5" t="s">
        <v>15</v>
      </c>
    </row>
    <row r="370" customFormat="false" ht="15.75" hidden="false" customHeight="false" outlineLevel="0" collapsed="false">
      <c r="A370" s="3" t="n">
        <v>46228</v>
      </c>
      <c r="B370" s="4" t="s">
        <v>334</v>
      </c>
      <c r="C370" s="4" t="n">
        <v>6</v>
      </c>
      <c r="D370" s="4" t="n">
        <v>5</v>
      </c>
      <c r="E370" s="4" t="s">
        <v>385</v>
      </c>
      <c r="F370" s="4" t="n">
        <v>8</v>
      </c>
      <c r="G370" s="4" t="n">
        <v>11</v>
      </c>
      <c r="H370" s="4" t="n">
        <v>4</v>
      </c>
      <c r="I370" s="4" t="str">
        <v>×</v>
      </c>
      <c r="J370" s="4"/>
      <c r="K370" s="4"/>
      <c r="L370" s="4"/>
      <c r="M370" s="5" t="s">
        <v>15</v>
      </c>
    </row>
    <row r="371" customFormat="false" ht="15.75" hidden="false" customHeight="false" outlineLevel="0" collapsed="false">
      <c r="A371" s="3" t="n">
        <v>46228</v>
      </c>
      <c r="B371" s="4" t="s">
        <v>334</v>
      </c>
      <c r="C371" s="4" t="n">
        <v>6</v>
      </c>
      <c r="D371" s="4" t="n">
        <v>6</v>
      </c>
      <c r="E371" s="4" t="s">
        <v>386</v>
      </c>
      <c r="F371" s="4" t="n">
        <v>34</v>
      </c>
      <c r="G371" s="4" t="n">
        <v>3</v>
      </c>
      <c r="H371" s="4" t="n">
        <v>4</v>
      </c>
      <c r="I371" s="4" t="str">
        <v>×</v>
      </c>
      <c r="J371" s="4"/>
      <c r="K371" s="4"/>
      <c r="L371" s="4"/>
      <c r="M371" s="5" t="s">
        <v>15</v>
      </c>
    </row>
    <row r="372" customFormat="false" ht="15.75" hidden="false" customHeight="false" outlineLevel="0" collapsed="false">
      <c r="A372" s="3" t="n">
        <v>46228</v>
      </c>
      <c r="B372" s="4" t="s">
        <v>334</v>
      </c>
      <c r="C372" s="4" t="n">
        <v>6</v>
      </c>
      <c r="D372" s="4" t="n">
        <v>7</v>
      </c>
      <c r="E372" s="4" t="s">
        <v>387</v>
      </c>
      <c r="F372" s="4" t="n">
        <v>31</v>
      </c>
      <c r="G372" s="4" t="n">
        <v>4</v>
      </c>
      <c r="H372" s="4" t="n">
        <v>4</v>
      </c>
      <c r="I372" s="4" t="str">
        <v>×</v>
      </c>
      <c r="J372" s="4"/>
      <c r="K372" s="4"/>
      <c r="L372" s="4"/>
      <c r="M372" s="5" t="s">
        <v>15</v>
      </c>
    </row>
    <row r="373" customFormat="false" ht="15.75" hidden="false" customHeight="false" outlineLevel="0" collapsed="false">
      <c r="A373" s="3" t="n">
        <v>46228</v>
      </c>
      <c r="B373" s="4" t="s">
        <v>334</v>
      </c>
      <c r="C373" s="4" t="n">
        <v>6</v>
      </c>
      <c r="D373" s="4" t="n">
        <v>8</v>
      </c>
      <c r="E373" s="4" t="s">
        <v>388</v>
      </c>
      <c r="F373" s="4" t="n">
        <v>4</v>
      </c>
      <c r="G373" s="4" t="n">
        <v>12</v>
      </c>
      <c r="H373" s="4" t="n">
        <v>4</v>
      </c>
      <c r="I373" s="4" t="str">
        <v>×</v>
      </c>
      <c r="J373" s="4"/>
      <c r="K373" s="4"/>
      <c r="L373" s="4"/>
      <c r="M373" s="5" t="s">
        <v>15</v>
      </c>
    </row>
    <row r="374" customFormat="false" ht="15.75" hidden="false" customHeight="false" outlineLevel="0" collapsed="false">
      <c r="A374" s="3" t="n">
        <v>46228</v>
      </c>
      <c r="B374" s="4" t="s">
        <v>334</v>
      </c>
      <c r="C374" s="4" t="n">
        <v>6</v>
      </c>
      <c r="D374" s="4" t="n">
        <v>9</v>
      </c>
      <c r="E374" s="4" t="s">
        <v>389</v>
      </c>
      <c r="F374" s="4" t="n">
        <v>23</v>
      </c>
      <c r="G374" s="4" t="n">
        <v>5</v>
      </c>
      <c r="H374" s="4" t="n">
        <v>1</v>
      </c>
      <c r="I374" s="4" t="str">
        <v>○</v>
      </c>
      <c r="J374" s="4" t="n">
        <v>660</v>
      </c>
      <c r="K374" s="4"/>
      <c r="L374" s="4"/>
      <c r="M374" s="5" t="s">
        <v>15</v>
      </c>
    </row>
    <row r="375" customFormat="false" ht="15.75" hidden="false" customHeight="false" outlineLevel="0" collapsed="false">
      <c r="A375" s="3" t="n">
        <v>46228</v>
      </c>
      <c r="B375" s="4" t="s">
        <v>334</v>
      </c>
      <c r="C375" s="4" t="n">
        <v>6</v>
      </c>
      <c r="D375" s="4" t="n">
        <v>10</v>
      </c>
      <c r="E375" s="4" t="s">
        <v>390</v>
      </c>
      <c r="F375" s="4" t="n">
        <v>47</v>
      </c>
      <c r="G375" s="4" t="n">
        <v>1</v>
      </c>
      <c r="H375" s="4" t="n">
        <v>2</v>
      </c>
      <c r="I375" s="4" t="str">
        <v>○</v>
      </c>
      <c r="J375" s="4" t="n">
        <v>170</v>
      </c>
      <c r="K375" s="4"/>
      <c r="L375" s="4"/>
      <c r="M375" s="5" t="s">
        <v>15</v>
      </c>
    </row>
    <row r="376" customFormat="false" ht="15.75" hidden="false" customHeight="false" outlineLevel="0" collapsed="false">
      <c r="A376" s="3" t="n">
        <v>46228</v>
      </c>
      <c r="B376" s="4" t="s">
        <v>334</v>
      </c>
      <c r="C376" s="4" t="n">
        <v>6</v>
      </c>
      <c r="D376" s="4" t="n">
        <v>11</v>
      </c>
      <c r="E376" s="4" t="s">
        <v>391</v>
      </c>
      <c r="F376" s="4" t="n">
        <v>23</v>
      </c>
      <c r="G376" s="4" t="n">
        <v>5</v>
      </c>
      <c r="H376" s="4" t="n">
        <v>4</v>
      </c>
      <c r="I376" s="4" t="str">
        <v>×</v>
      </c>
      <c r="J376" s="4"/>
      <c r="K376" s="4"/>
      <c r="L376" s="4"/>
      <c r="M376" s="5" t="s">
        <v>15</v>
      </c>
    </row>
    <row r="377" customFormat="false" ht="15.75" hidden="false" customHeight="false" outlineLevel="0" collapsed="false">
      <c r="A377" s="3" t="n">
        <v>46228</v>
      </c>
      <c r="B377" s="4" t="s">
        <v>334</v>
      </c>
      <c r="C377" s="4" t="n">
        <v>6</v>
      </c>
      <c r="D377" s="4" t="n">
        <v>12</v>
      </c>
      <c r="E377" s="4" t="s">
        <v>392</v>
      </c>
      <c r="F377" s="4" t="n">
        <v>10</v>
      </c>
      <c r="G377" s="4" t="n">
        <v>10</v>
      </c>
      <c r="H377" s="4" t="n">
        <v>4</v>
      </c>
      <c r="I377" s="4" t="str">
        <v>×</v>
      </c>
      <c r="J377" s="4"/>
      <c r="K377" s="4"/>
      <c r="L377" s="4"/>
      <c r="M377" s="5" t="s">
        <v>15</v>
      </c>
    </row>
    <row r="378" customFormat="false" ht="15.75" hidden="false" customHeight="false" outlineLevel="0" collapsed="false">
      <c r="A378" s="3" t="n">
        <v>46228</v>
      </c>
      <c r="B378" s="4" t="s">
        <v>334</v>
      </c>
      <c r="C378" s="4" t="n">
        <v>6</v>
      </c>
      <c r="D378" s="4" t="n">
        <v>13</v>
      </c>
      <c r="E378" s="4" t="s">
        <v>393</v>
      </c>
      <c r="F378" s="4" t="n">
        <v>4</v>
      </c>
      <c r="G378" s="4" t="n">
        <v>12</v>
      </c>
      <c r="H378" s="4" t="n">
        <v>4</v>
      </c>
      <c r="I378" s="4" t="str">
        <v>×</v>
      </c>
      <c r="J378" s="4"/>
      <c r="K378" s="4"/>
      <c r="L378" s="4"/>
      <c r="M378" s="5" t="s">
        <v>15</v>
      </c>
    </row>
    <row r="379" customFormat="false" ht="15.75" hidden="false" customHeight="false" outlineLevel="0" collapsed="false">
      <c r="A379" s="3" t="n">
        <v>46228</v>
      </c>
      <c r="B379" s="4" t="s">
        <v>334</v>
      </c>
      <c r="C379" s="4" t="n">
        <v>6</v>
      </c>
      <c r="D379" s="4" t="n">
        <v>14</v>
      </c>
      <c r="E379" s="4" t="s">
        <v>394</v>
      </c>
      <c r="F379" s="4" t="n">
        <v>2</v>
      </c>
      <c r="G379" s="4" t="n">
        <v>14</v>
      </c>
      <c r="H379" s="4" t="n">
        <v>4</v>
      </c>
      <c r="I379" s="4" t="str">
        <v>×</v>
      </c>
      <c r="J379" s="4"/>
      <c r="K379" s="4"/>
      <c r="L379" s="4"/>
      <c r="M379" s="5" t="s">
        <v>15</v>
      </c>
    </row>
    <row r="380" customFormat="false" ht="15.75" hidden="false" customHeight="false" outlineLevel="0" collapsed="false">
      <c r="A380" s="3" t="n">
        <v>46228</v>
      </c>
      <c r="B380" s="4" t="s">
        <v>334</v>
      </c>
      <c r="C380" s="4" t="n">
        <v>7</v>
      </c>
      <c r="D380" s="4" t="n">
        <v>1</v>
      </c>
      <c r="E380" s="4" t="s">
        <v>395</v>
      </c>
      <c r="F380" s="4" t="n">
        <v>4</v>
      </c>
      <c r="G380" s="4" t="n">
        <v>13</v>
      </c>
      <c r="H380" s="4" t="n">
        <v>4</v>
      </c>
      <c r="I380" s="4" t="str">
        <v>×</v>
      </c>
      <c r="J380" s="4"/>
      <c r="K380" s="4"/>
      <c r="L380" s="4"/>
      <c r="M380" s="5" t="s">
        <v>15</v>
      </c>
    </row>
    <row r="381" customFormat="false" ht="15.75" hidden="false" customHeight="false" outlineLevel="0" collapsed="false">
      <c r="A381" s="3" t="n">
        <v>46228</v>
      </c>
      <c r="B381" s="4" t="s">
        <v>334</v>
      </c>
      <c r="C381" s="4" t="n">
        <v>7</v>
      </c>
      <c r="D381" s="4" t="n">
        <v>2</v>
      </c>
      <c r="E381" s="4" t="s">
        <v>396</v>
      </c>
      <c r="F381" s="4" t="n">
        <v>25</v>
      </c>
      <c r="G381" s="4" t="n">
        <v>5</v>
      </c>
      <c r="H381" s="4" t="n">
        <v>3</v>
      </c>
      <c r="I381" s="4" t="str">
        <v>○</v>
      </c>
      <c r="J381" s="4" t="n">
        <v>320</v>
      </c>
      <c r="K381" s="4"/>
      <c r="L381" s="4"/>
      <c r="M381" s="5" t="s">
        <v>15</v>
      </c>
    </row>
    <row r="382" customFormat="false" ht="15.75" hidden="false" customHeight="false" outlineLevel="0" collapsed="false">
      <c r="A382" s="3" t="n">
        <v>46228</v>
      </c>
      <c r="B382" s="4" t="s">
        <v>334</v>
      </c>
      <c r="C382" s="4" t="n">
        <v>7</v>
      </c>
      <c r="D382" s="4" t="n">
        <v>3</v>
      </c>
      <c r="E382" s="4" t="s">
        <v>397</v>
      </c>
      <c r="F382" s="4" t="n">
        <v>2</v>
      </c>
      <c r="G382" s="4" t="n">
        <v>15</v>
      </c>
      <c r="H382" s="4" t="n">
        <v>4</v>
      </c>
      <c r="I382" s="4" t="str">
        <v>×</v>
      </c>
      <c r="J382" s="4"/>
      <c r="K382" s="4"/>
      <c r="L382" s="4"/>
      <c r="M382" s="5" t="s">
        <v>15</v>
      </c>
    </row>
    <row r="383" customFormat="false" ht="15.75" hidden="false" customHeight="false" outlineLevel="0" collapsed="false">
      <c r="A383" s="3" t="n">
        <v>46228</v>
      </c>
      <c r="B383" s="4" t="s">
        <v>334</v>
      </c>
      <c r="C383" s="4" t="n">
        <v>7</v>
      </c>
      <c r="D383" s="4" t="n">
        <v>4</v>
      </c>
      <c r="E383" s="4" t="s">
        <v>398</v>
      </c>
      <c r="F383" s="4" t="n">
        <v>15</v>
      </c>
      <c r="G383" s="4" t="n">
        <v>8</v>
      </c>
      <c r="H383" s="4" t="n">
        <v>4</v>
      </c>
      <c r="I383" s="4" t="str">
        <v>×</v>
      </c>
      <c r="J383" s="4"/>
      <c r="K383" s="4"/>
      <c r="L383" s="4"/>
      <c r="M383" s="5" t="s">
        <v>15</v>
      </c>
    </row>
    <row r="384" customFormat="false" ht="15.75" hidden="false" customHeight="false" outlineLevel="0" collapsed="false">
      <c r="A384" s="3" t="n">
        <v>46228</v>
      </c>
      <c r="B384" s="4" t="s">
        <v>334</v>
      </c>
      <c r="C384" s="4" t="n">
        <v>7</v>
      </c>
      <c r="D384" s="4" t="n">
        <v>5</v>
      </c>
      <c r="E384" s="4" t="s">
        <v>399</v>
      </c>
      <c r="F384" s="4" t="n">
        <v>23</v>
      </c>
      <c r="G384" s="4" t="n">
        <v>6</v>
      </c>
      <c r="H384" s="4" t="n">
        <v>4</v>
      </c>
      <c r="I384" s="4" t="str">
        <v>×</v>
      </c>
      <c r="J384" s="4"/>
      <c r="K384" s="4"/>
      <c r="L384" s="4"/>
      <c r="M384" s="5" t="s">
        <v>15</v>
      </c>
    </row>
    <row r="385" customFormat="false" ht="15.75" hidden="false" customHeight="false" outlineLevel="0" collapsed="false">
      <c r="A385" s="3" t="n">
        <v>46228</v>
      </c>
      <c r="B385" s="4" t="s">
        <v>334</v>
      </c>
      <c r="C385" s="4" t="n">
        <v>7</v>
      </c>
      <c r="D385" s="4" t="n">
        <v>6</v>
      </c>
      <c r="E385" s="4" t="s">
        <v>400</v>
      </c>
      <c r="F385" s="4" t="n">
        <v>29</v>
      </c>
      <c r="G385" s="4" t="n">
        <v>4</v>
      </c>
      <c r="H385" s="4" t="n">
        <v>4</v>
      </c>
      <c r="I385" s="4" t="str">
        <v>×</v>
      </c>
      <c r="J385" s="4"/>
      <c r="K385" s="4"/>
      <c r="L385" s="4"/>
      <c r="M385" s="5" t="s">
        <v>15</v>
      </c>
    </row>
    <row r="386" customFormat="false" ht="15.75" hidden="false" customHeight="false" outlineLevel="0" collapsed="false">
      <c r="A386" s="3" t="n">
        <v>46228</v>
      </c>
      <c r="B386" s="4" t="s">
        <v>334</v>
      </c>
      <c r="C386" s="4" t="n">
        <v>7</v>
      </c>
      <c r="D386" s="4" t="n">
        <v>7</v>
      </c>
      <c r="E386" s="4" t="s">
        <v>401</v>
      </c>
      <c r="F386" s="4" t="n">
        <v>56</v>
      </c>
      <c r="G386" s="4" t="n">
        <v>1</v>
      </c>
      <c r="H386" s="4" t="n">
        <v>2</v>
      </c>
      <c r="I386" s="4" t="str">
        <v>○</v>
      </c>
      <c r="J386" s="4" t="n">
        <v>190</v>
      </c>
      <c r="K386" s="4"/>
      <c r="L386" s="4"/>
      <c r="M386" s="5" t="s">
        <v>15</v>
      </c>
    </row>
    <row r="387" customFormat="false" ht="15.75" hidden="false" customHeight="false" outlineLevel="0" collapsed="false">
      <c r="A387" s="3" t="n">
        <v>46228</v>
      </c>
      <c r="B387" s="4" t="s">
        <v>334</v>
      </c>
      <c r="C387" s="4" t="n">
        <v>7</v>
      </c>
      <c r="D387" s="4" t="n">
        <v>8</v>
      </c>
      <c r="E387" s="4" t="s">
        <v>402</v>
      </c>
      <c r="F387" s="4" t="n">
        <v>3</v>
      </c>
      <c r="G387" s="4" t="n">
        <v>14</v>
      </c>
      <c r="H387" s="4" t="n">
        <v>4</v>
      </c>
      <c r="I387" s="4" t="str">
        <v>×</v>
      </c>
      <c r="J387" s="4"/>
      <c r="K387" s="4"/>
      <c r="L387" s="4"/>
      <c r="M387" s="5" t="s">
        <v>15</v>
      </c>
    </row>
    <row r="388" customFormat="false" ht="15.75" hidden="false" customHeight="false" outlineLevel="0" collapsed="false">
      <c r="A388" s="3" t="n">
        <v>46228</v>
      </c>
      <c r="B388" s="4" t="s">
        <v>334</v>
      </c>
      <c r="C388" s="4" t="n">
        <v>7</v>
      </c>
      <c r="D388" s="4" t="n">
        <v>9</v>
      </c>
      <c r="E388" s="4" t="s">
        <v>403</v>
      </c>
      <c r="F388" s="4" t="n">
        <v>52</v>
      </c>
      <c r="G388" s="4" t="n">
        <v>2</v>
      </c>
      <c r="H388" s="4" t="n">
        <v>4</v>
      </c>
      <c r="I388" s="4" t="str">
        <v>×</v>
      </c>
      <c r="J388" s="4"/>
      <c r="K388" s="4"/>
      <c r="L388" s="4"/>
      <c r="M388" s="5" t="s">
        <v>15</v>
      </c>
    </row>
    <row r="389" customFormat="false" ht="15.75" hidden="false" customHeight="false" outlineLevel="0" collapsed="false">
      <c r="A389" s="3" t="n">
        <v>46228</v>
      </c>
      <c r="B389" s="4" t="s">
        <v>334</v>
      </c>
      <c r="C389" s="4" t="n">
        <v>7</v>
      </c>
      <c r="D389" s="4" t="n">
        <v>10</v>
      </c>
      <c r="E389" s="4" t="s">
        <v>404</v>
      </c>
      <c r="F389" s="4" t="n">
        <v>15</v>
      </c>
      <c r="G389" s="4" t="n">
        <v>8</v>
      </c>
      <c r="H389" s="4" t="n">
        <v>4</v>
      </c>
      <c r="I389" s="4" t="str">
        <v>×</v>
      </c>
      <c r="J389" s="4"/>
      <c r="K389" s="4"/>
      <c r="L389" s="4"/>
      <c r="M389" s="5" t="s">
        <v>15</v>
      </c>
    </row>
    <row r="390" customFormat="false" ht="15.75" hidden="false" customHeight="false" outlineLevel="0" collapsed="false">
      <c r="A390" s="3" t="n">
        <v>46228</v>
      </c>
      <c r="B390" s="4" t="s">
        <v>334</v>
      </c>
      <c r="C390" s="4" t="n">
        <v>7</v>
      </c>
      <c r="D390" s="4" t="n">
        <v>11</v>
      </c>
      <c r="E390" s="4" t="s">
        <v>405</v>
      </c>
      <c r="F390" s="4" t="n">
        <v>20</v>
      </c>
      <c r="G390" s="4" t="n">
        <v>7</v>
      </c>
      <c r="H390" s="4" t="n">
        <v>4</v>
      </c>
      <c r="I390" s="4" t="str">
        <v>×</v>
      </c>
      <c r="J390" s="4"/>
      <c r="K390" s="4"/>
      <c r="L390" s="4"/>
      <c r="M390" s="5" t="s">
        <v>15</v>
      </c>
    </row>
    <row r="391" customFormat="false" ht="15.75" hidden="false" customHeight="false" outlineLevel="0" collapsed="false">
      <c r="A391" s="3" t="n">
        <v>46228</v>
      </c>
      <c r="B391" s="4" t="s">
        <v>334</v>
      </c>
      <c r="C391" s="4" t="n">
        <v>7</v>
      </c>
      <c r="D391" s="4" t="n">
        <v>12</v>
      </c>
      <c r="E391" s="4" t="s">
        <v>406</v>
      </c>
      <c r="F391" s="4" t="n">
        <v>52</v>
      </c>
      <c r="G391" s="4" t="n">
        <v>2</v>
      </c>
      <c r="H391" s="4" t="n">
        <v>4</v>
      </c>
      <c r="I391" s="4" t="str">
        <v>×</v>
      </c>
      <c r="J391" s="4"/>
      <c r="K391" s="4"/>
      <c r="L391" s="4"/>
      <c r="M391" s="5" t="s">
        <v>15</v>
      </c>
    </row>
    <row r="392" customFormat="false" ht="15.75" hidden="false" customHeight="false" outlineLevel="0" collapsed="false">
      <c r="A392" s="3" t="n">
        <v>46228</v>
      </c>
      <c r="B392" s="4" t="s">
        <v>334</v>
      </c>
      <c r="C392" s="4" t="n">
        <v>7</v>
      </c>
      <c r="D392" s="4" t="n">
        <v>13</v>
      </c>
      <c r="E392" s="4" t="s">
        <v>407</v>
      </c>
      <c r="F392" s="4" t="n">
        <v>8</v>
      </c>
      <c r="G392" s="4" t="n">
        <v>11</v>
      </c>
      <c r="H392" s="4" t="n">
        <v>1</v>
      </c>
      <c r="I392" s="4" t="str">
        <v>○</v>
      </c>
      <c r="J392" s="4" t="n">
        <v>970</v>
      </c>
      <c r="K392" s="4"/>
      <c r="L392" s="4"/>
      <c r="M392" s="5" t="s">
        <v>15</v>
      </c>
    </row>
    <row r="393" customFormat="false" ht="15.75" hidden="false" customHeight="false" outlineLevel="0" collapsed="false">
      <c r="A393" s="3" t="n">
        <v>46228</v>
      </c>
      <c r="B393" s="4" t="s">
        <v>334</v>
      </c>
      <c r="C393" s="4" t="n">
        <v>7</v>
      </c>
      <c r="D393" s="4" t="n">
        <v>14</v>
      </c>
      <c r="E393" s="4" t="s">
        <v>408</v>
      </c>
      <c r="F393" s="4" t="n">
        <v>6</v>
      </c>
      <c r="G393" s="4" t="n">
        <v>12</v>
      </c>
      <c r="H393" s="4" t="n">
        <v>4</v>
      </c>
      <c r="I393" s="4" t="str">
        <v>×</v>
      </c>
      <c r="J393" s="4"/>
      <c r="K393" s="4"/>
      <c r="L393" s="4"/>
      <c r="M393" s="5" t="s">
        <v>15</v>
      </c>
    </row>
    <row r="394" customFormat="false" ht="15.75" hidden="false" customHeight="false" outlineLevel="0" collapsed="false">
      <c r="A394" s="3" t="n">
        <v>46228</v>
      </c>
      <c r="B394" s="4" t="s">
        <v>334</v>
      </c>
      <c r="C394" s="4" t="n">
        <v>7</v>
      </c>
      <c r="D394" s="4" t="n">
        <v>15</v>
      </c>
      <c r="E394" s="4" t="s">
        <v>409</v>
      </c>
      <c r="F394" s="4" t="n">
        <v>15</v>
      </c>
      <c r="G394" s="4" t="n">
        <v>8</v>
      </c>
      <c r="H394" s="4" t="n">
        <v>4</v>
      </c>
      <c r="I394" s="4" t="str">
        <v>×</v>
      </c>
      <c r="J394" s="4"/>
      <c r="K394" s="4"/>
      <c r="L394" s="4"/>
      <c r="M394" s="5" t="s">
        <v>15</v>
      </c>
    </row>
    <row r="395" customFormat="false" ht="15.75" hidden="false" customHeight="false" outlineLevel="0" collapsed="false">
      <c r="A395" s="3" t="n">
        <v>46228</v>
      </c>
      <c r="B395" s="4" t="s">
        <v>334</v>
      </c>
      <c r="C395" s="4" t="n">
        <v>8</v>
      </c>
      <c r="D395" s="4" t="n">
        <v>1</v>
      </c>
      <c r="E395" s="4" t="s">
        <v>410</v>
      </c>
      <c r="F395" s="4" t="n">
        <v>23</v>
      </c>
      <c r="G395" s="4" t="n">
        <v>6</v>
      </c>
      <c r="H395" s="4" t="n">
        <v>4</v>
      </c>
      <c r="I395" s="4" t="str">
        <v>×</v>
      </c>
      <c r="J395" s="4"/>
      <c r="K395" s="4"/>
      <c r="L395" s="4"/>
      <c r="M395" s="5" t="s">
        <v>15</v>
      </c>
    </row>
    <row r="396" customFormat="false" ht="15.75" hidden="false" customHeight="false" outlineLevel="0" collapsed="false">
      <c r="A396" s="3" t="n">
        <v>46228</v>
      </c>
      <c r="B396" s="4" t="s">
        <v>334</v>
      </c>
      <c r="C396" s="4" t="n">
        <v>8</v>
      </c>
      <c r="D396" s="4" t="n">
        <v>2</v>
      </c>
      <c r="E396" s="4" t="s">
        <v>411</v>
      </c>
      <c r="F396" s="4" t="n">
        <v>13</v>
      </c>
      <c r="G396" s="4" t="n">
        <v>9</v>
      </c>
      <c r="H396" s="4" t="n">
        <v>4</v>
      </c>
      <c r="I396" s="4" t="str">
        <v>×</v>
      </c>
      <c r="J396" s="4"/>
      <c r="K396" s="4"/>
      <c r="L396" s="4"/>
      <c r="M396" s="5" t="s">
        <v>15</v>
      </c>
    </row>
    <row r="397" customFormat="false" ht="15.75" hidden="false" customHeight="false" outlineLevel="0" collapsed="false">
      <c r="A397" s="3" t="n">
        <v>46228</v>
      </c>
      <c r="B397" s="4" t="s">
        <v>334</v>
      </c>
      <c r="C397" s="4" t="n">
        <v>8</v>
      </c>
      <c r="D397" s="4" t="n">
        <v>3</v>
      </c>
      <c r="E397" s="4" t="s">
        <v>412</v>
      </c>
      <c r="F397" s="4" t="n">
        <v>6</v>
      </c>
      <c r="G397" s="4" t="n">
        <v>11</v>
      </c>
      <c r="H397" s="4" t="n">
        <v>4</v>
      </c>
      <c r="I397" s="4" t="str">
        <v>×</v>
      </c>
      <c r="J397" s="4"/>
      <c r="K397" s="4"/>
      <c r="L397" s="4"/>
      <c r="M397" s="5" t="s">
        <v>15</v>
      </c>
    </row>
    <row r="398" customFormat="false" ht="15.75" hidden="false" customHeight="false" outlineLevel="0" collapsed="false">
      <c r="A398" s="3" t="n">
        <v>46228</v>
      </c>
      <c r="B398" s="4" t="s">
        <v>334</v>
      </c>
      <c r="C398" s="4" t="n">
        <v>8</v>
      </c>
      <c r="D398" s="4" t="n">
        <v>4</v>
      </c>
      <c r="E398" s="4" t="s">
        <v>413</v>
      </c>
      <c r="F398" s="4" t="n">
        <v>17</v>
      </c>
      <c r="G398" s="4" t="n">
        <v>7</v>
      </c>
      <c r="H398" s="4" t="n">
        <v>4</v>
      </c>
      <c r="I398" s="4" t="str">
        <v>×</v>
      </c>
      <c r="J398" s="4"/>
      <c r="K398" s="4"/>
      <c r="L398" s="4"/>
      <c r="M398" s="5" t="s">
        <v>15</v>
      </c>
    </row>
    <row r="399" customFormat="false" ht="15.75" hidden="false" customHeight="false" outlineLevel="0" collapsed="false">
      <c r="A399" s="3" t="n">
        <v>46228</v>
      </c>
      <c r="B399" s="4" t="s">
        <v>334</v>
      </c>
      <c r="C399" s="4" t="n">
        <v>8</v>
      </c>
      <c r="D399" s="4" t="n">
        <v>5</v>
      </c>
      <c r="E399" s="4" t="s">
        <v>414</v>
      </c>
      <c r="F399" s="4" t="n">
        <v>37</v>
      </c>
      <c r="G399" s="4" t="n">
        <v>3</v>
      </c>
      <c r="H399" s="4" t="n">
        <v>3</v>
      </c>
      <c r="I399" s="4" t="str">
        <v>○</v>
      </c>
      <c r="J399" s="4" t="n">
        <v>230</v>
      </c>
      <c r="K399" s="4"/>
      <c r="L399" s="4"/>
      <c r="M399" s="5" t="s">
        <v>15</v>
      </c>
    </row>
    <row r="400" customFormat="false" ht="15.75" hidden="false" customHeight="false" outlineLevel="0" collapsed="false">
      <c r="A400" s="3" t="n">
        <v>46228</v>
      </c>
      <c r="B400" s="4" t="s">
        <v>334</v>
      </c>
      <c r="C400" s="4" t="n">
        <v>8</v>
      </c>
      <c r="D400" s="4" t="n">
        <v>6</v>
      </c>
      <c r="E400" s="4" t="s">
        <v>415</v>
      </c>
      <c r="F400" s="4" t="n">
        <v>13</v>
      </c>
      <c r="G400" s="4" t="n">
        <v>9</v>
      </c>
      <c r="H400" s="4" t="n">
        <v>2</v>
      </c>
      <c r="I400" s="4" t="str">
        <v>○</v>
      </c>
      <c r="J400" s="4" t="n">
        <v>720</v>
      </c>
      <c r="K400" s="4"/>
      <c r="L400" s="4"/>
      <c r="M400" s="5" t="s">
        <v>15</v>
      </c>
    </row>
    <row r="401" customFormat="false" ht="15.75" hidden="false" customHeight="false" outlineLevel="0" collapsed="false">
      <c r="A401" s="3" t="n">
        <v>46228</v>
      </c>
      <c r="B401" s="4" t="s">
        <v>334</v>
      </c>
      <c r="C401" s="4" t="n">
        <v>8</v>
      </c>
      <c r="D401" s="4" t="n">
        <v>7</v>
      </c>
      <c r="E401" s="4" t="s">
        <v>416</v>
      </c>
      <c r="F401" s="4" t="n">
        <v>74</v>
      </c>
      <c r="G401" s="4" t="n">
        <v>1</v>
      </c>
      <c r="H401" s="4" t="n">
        <v>1</v>
      </c>
      <c r="I401" s="4" t="str">
        <v>○</v>
      </c>
      <c r="J401" s="4" t="n">
        <v>110</v>
      </c>
      <c r="K401" s="4"/>
      <c r="L401" s="4"/>
      <c r="M401" s="5" t="s">
        <v>15</v>
      </c>
    </row>
    <row r="402" customFormat="false" ht="15.75" hidden="false" customHeight="false" outlineLevel="0" collapsed="false">
      <c r="A402" s="3" t="n">
        <v>46228</v>
      </c>
      <c r="B402" s="4" t="s">
        <v>334</v>
      </c>
      <c r="C402" s="4" t="n">
        <v>8</v>
      </c>
      <c r="D402" s="4" t="n">
        <v>8</v>
      </c>
      <c r="E402" s="4" t="s">
        <v>417</v>
      </c>
      <c r="F402" s="4" t="n">
        <v>25</v>
      </c>
      <c r="G402" s="4" t="n">
        <v>5</v>
      </c>
      <c r="H402" s="4" t="n">
        <v>4</v>
      </c>
      <c r="I402" s="4" t="str">
        <v>×</v>
      </c>
      <c r="J402" s="4"/>
      <c r="K402" s="4"/>
      <c r="L402" s="4"/>
      <c r="M402" s="5" t="s">
        <v>15</v>
      </c>
    </row>
    <row r="403" customFormat="false" ht="15.75" hidden="false" customHeight="false" outlineLevel="0" collapsed="false">
      <c r="A403" s="3" t="n">
        <v>46228</v>
      </c>
      <c r="B403" s="4" t="s">
        <v>334</v>
      </c>
      <c r="C403" s="4" t="n">
        <v>8</v>
      </c>
      <c r="D403" s="4" t="n">
        <v>9</v>
      </c>
      <c r="E403" s="4" t="s">
        <v>418</v>
      </c>
      <c r="F403" s="4" t="n">
        <v>17</v>
      </c>
      <c r="G403" s="4" t="n">
        <v>7</v>
      </c>
      <c r="H403" s="4" t="n">
        <v>4</v>
      </c>
      <c r="I403" s="4" t="str">
        <v>×</v>
      </c>
      <c r="J403" s="4"/>
      <c r="K403" s="4"/>
      <c r="L403" s="4"/>
      <c r="M403" s="5" t="s">
        <v>15</v>
      </c>
    </row>
    <row r="404" customFormat="false" ht="15.75" hidden="false" customHeight="false" outlineLevel="0" collapsed="false">
      <c r="A404" s="3" t="n">
        <v>46228</v>
      </c>
      <c r="B404" s="4" t="s">
        <v>334</v>
      </c>
      <c r="C404" s="4" t="n">
        <v>8</v>
      </c>
      <c r="D404" s="4" t="n">
        <v>10</v>
      </c>
      <c r="E404" s="4" t="s">
        <v>419</v>
      </c>
      <c r="F404" s="4" t="n">
        <v>37</v>
      </c>
      <c r="G404" s="4" t="n">
        <v>3</v>
      </c>
      <c r="H404" s="4" t="n">
        <v>4</v>
      </c>
      <c r="I404" s="4" t="str">
        <v>×</v>
      </c>
      <c r="J404" s="4"/>
      <c r="K404" s="4"/>
      <c r="L404" s="4"/>
      <c r="M404" s="5" t="s">
        <v>15</v>
      </c>
    </row>
    <row r="405" customFormat="false" ht="15.75" hidden="false" customHeight="false" outlineLevel="0" collapsed="false">
      <c r="A405" s="3" t="n">
        <v>46228</v>
      </c>
      <c r="B405" s="4" t="s">
        <v>334</v>
      </c>
      <c r="C405" s="4" t="n">
        <v>8</v>
      </c>
      <c r="D405" s="4" t="n">
        <v>11</v>
      </c>
      <c r="E405" s="4" t="s">
        <v>420</v>
      </c>
      <c r="F405" s="4" t="n">
        <v>4</v>
      </c>
      <c r="G405" s="4" t="n">
        <v>12</v>
      </c>
      <c r="H405" s="4" t="n">
        <v>4</v>
      </c>
      <c r="I405" s="4" t="str">
        <v>×</v>
      </c>
      <c r="J405" s="4"/>
      <c r="K405" s="4"/>
      <c r="L405" s="4"/>
      <c r="M405" s="5" t="s">
        <v>15</v>
      </c>
    </row>
    <row r="406" customFormat="false" ht="15.75" hidden="false" customHeight="false" outlineLevel="0" collapsed="false">
      <c r="A406" s="3" t="n">
        <v>46228</v>
      </c>
      <c r="B406" s="4" t="s">
        <v>334</v>
      </c>
      <c r="C406" s="4" t="n">
        <v>8</v>
      </c>
      <c r="D406" s="4" t="n">
        <v>12</v>
      </c>
      <c r="E406" s="4" t="s">
        <v>421</v>
      </c>
      <c r="F406" s="4" t="n">
        <v>50</v>
      </c>
      <c r="G406" s="4" t="n">
        <v>2</v>
      </c>
      <c r="H406" s="4" t="n">
        <v>4</v>
      </c>
      <c r="I406" s="4" t="str">
        <v>×</v>
      </c>
      <c r="J406" s="4"/>
      <c r="K406" s="4"/>
      <c r="L406" s="4"/>
      <c r="M406" s="5" t="s">
        <v>15</v>
      </c>
    </row>
    <row r="407" customFormat="false" ht="15.75" hidden="false" customHeight="false" outlineLevel="0" collapsed="false">
      <c r="A407" s="3" t="n">
        <v>46228</v>
      </c>
      <c r="B407" s="4" t="s">
        <v>334</v>
      </c>
      <c r="C407" s="4" t="n">
        <v>9</v>
      </c>
      <c r="D407" s="4" t="n">
        <v>1</v>
      </c>
      <c r="E407" s="4" t="s">
        <v>422</v>
      </c>
      <c r="F407" s="4" t="n">
        <v>13</v>
      </c>
      <c r="G407" s="4" t="n">
        <v>6</v>
      </c>
      <c r="H407" s="4" t="n">
        <v>1</v>
      </c>
      <c r="I407" s="4" t="str">
        <v>○</v>
      </c>
      <c r="J407" s="4" t="n">
        <v>610</v>
      </c>
      <c r="K407" s="4"/>
      <c r="L407" s="4"/>
      <c r="M407" s="5" t="s">
        <v>15</v>
      </c>
    </row>
    <row r="408" customFormat="false" ht="15.75" hidden="false" customHeight="false" outlineLevel="0" collapsed="false">
      <c r="A408" s="3" t="n">
        <v>46228</v>
      </c>
      <c r="B408" s="4" t="s">
        <v>334</v>
      </c>
      <c r="C408" s="4" t="n">
        <v>9</v>
      </c>
      <c r="D408" s="4" t="n">
        <v>2</v>
      </c>
      <c r="E408" s="4" t="s">
        <v>423</v>
      </c>
      <c r="F408" s="4" t="n">
        <v>8</v>
      </c>
      <c r="G408" s="4" t="n">
        <v>8</v>
      </c>
      <c r="H408" s="4" t="n">
        <v>4</v>
      </c>
      <c r="I408" s="4" t="str">
        <v>×</v>
      </c>
      <c r="J408" s="4"/>
      <c r="K408" s="4"/>
      <c r="L408" s="4"/>
      <c r="M408" s="5" t="s">
        <v>15</v>
      </c>
    </row>
    <row r="409" customFormat="false" ht="15.75" hidden="false" customHeight="false" outlineLevel="0" collapsed="false">
      <c r="A409" s="3" t="n">
        <v>46228</v>
      </c>
      <c r="B409" s="4" t="s">
        <v>334</v>
      </c>
      <c r="C409" s="4" t="n">
        <v>9</v>
      </c>
      <c r="D409" s="4" t="n">
        <v>3</v>
      </c>
      <c r="E409" s="4" t="s">
        <v>424</v>
      </c>
      <c r="F409" s="4" t="n">
        <v>34</v>
      </c>
      <c r="G409" s="4" t="n">
        <v>4</v>
      </c>
      <c r="H409" s="4" t="n">
        <v>4</v>
      </c>
      <c r="I409" s="4" t="str">
        <v>×</v>
      </c>
      <c r="J409" s="4"/>
      <c r="K409" s="4"/>
      <c r="L409" s="4"/>
      <c r="M409" s="5" t="s">
        <v>15</v>
      </c>
    </row>
    <row r="410" customFormat="false" ht="15.75" hidden="false" customHeight="false" outlineLevel="0" collapsed="false">
      <c r="A410" s="3" t="n">
        <v>46228</v>
      </c>
      <c r="B410" s="4" t="s">
        <v>334</v>
      </c>
      <c r="C410" s="4" t="n">
        <v>9</v>
      </c>
      <c r="D410" s="4" t="n">
        <v>4</v>
      </c>
      <c r="E410" s="4" t="s">
        <v>425</v>
      </c>
      <c r="F410" s="4" t="n">
        <v>74</v>
      </c>
      <c r="G410" s="4" t="n">
        <v>1</v>
      </c>
      <c r="H410" s="4" t="n">
        <v>4</v>
      </c>
      <c r="I410" s="4" t="str">
        <v>×</v>
      </c>
      <c r="J410" s="4"/>
      <c r="K410" s="4"/>
      <c r="L410" s="4"/>
      <c r="M410" s="5" t="s">
        <v>15</v>
      </c>
    </row>
    <row r="411" customFormat="false" ht="15.75" hidden="false" customHeight="false" outlineLevel="0" collapsed="false">
      <c r="A411" s="3" t="n">
        <v>46228</v>
      </c>
      <c r="B411" s="4" t="s">
        <v>334</v>
      </c>
      <c r="C411" s="4" t="n">
        <v>9</v>
      </c>
      <c r="D411" s="4" t="n">
        <v>5</v>
      </c>
      <c r="E411" s="4" t="s">
        <v>426</v>
      </c>
      <c r="F411" s="4" t="n">
        <v>52</v>
      </c>
      <c r="G411" s="4" t="n">
        <v>2</v>
      </c>
      <c r="H411" s="4" t="n">
        <v>4</v>
      </c>
      <c r="I411" s="4" t="str">
        <v>×</v>
      </c>
      <c r="J411" s="4"/>
      <c r="K411" s="4"/>
      <c r="L411" s="4"/>
      <c r="M411" s="5" t="s">
        <v>15</v>
      </c>
    </row>
    <row r="412" customFormat="false" ht="15.75" hidden="false" customHeight="false" outlineLevel="0" collapsed="false">
      <c r="A412" s="3" t="n">
        <v>46228</v>
      </c>
      <c r="B412" s="4" t="s">
        <v>334</v>
      </c>
      <c r="C412" s="4" t="n">
        <v>9</v>
      </c>
      <c r="D412" s="4" t="n">
        <v>6</v>
      </c>
      <c r="E412" s="4" t="s">
        <v>427</v>
      </c>
      <c r="F412" s="4" t="n">
        <v>34</v>
      </c>
      <c r="G412" s="4" t="n">
        <v>4</v>
      </c>
      <c r="H412" s="4" t="n">
        <v>4</v>
      </c>
      <c r="I412" s="4" t="str">
        <v>×</v>
      </c>
      <c r="J412" s="4"/>
      <c r="K412" s="4"/>
      <c r="L412" s="4"/>
      <c r="M412" s="5" t="s">
        <v>15</v>
      </c>
    </row>
    <row r="413" customFormat="false" ht="15.75" hidden="false" customHeight="false" outlineLevel="0" collapsed="false">
      <c r="A413" s="3" t="n">
        <v>46228</v>
      </c>
      <c r="B413" s="4" t="s">
        <v>334</v>
      </c>
      <c r="C413" s="4" t="n">
        <v>9</v>
      </c>
      <c r="D413" s="4" t="n">
        <v>7</v>
      </c>
      <c r="E413" s="4" t="s">
        <v>428</v>
      </c>
      <c r="F413" s="4" t="n">
        <v>8</v>
      </c>
      <c r="G413" s="4" t="n">
        <v>8</v>
      </c>
      <c r="H413" s="4" t="n">
        <v>4</v>
      </c>
      <c r="I413" s="4" t="str">
        <v>×</v>
      </c>
      <c r="J413" s="4"/>
      <c r="K413" s="4"/>
      <c r="L413" s="4"/>
      <c r="M413" s="5" t="s">
        <v>15</v>
      </c>
    </row>
    <row r="414" customFormat="false" ht="15.75" hidden="false" customHeight="false" outlineLevel="0" collapsed="false">
      <c r="A414" s="3" t="n">
        <v>46228</v>
      </c>
      <c r="B414" s="4" t="s">
        <v>334</v>
      </c>
      <c r="C414" s="4" t="n">
        <v>9</v>
      </c>
      <c r="D414" s="4" t="n">
        <v>8</v>
      </c>
      <c r="E414" s="4" t="s">
        <v>429</v>
      </c>
      <c r="F414" s="4" t="n">
        <v>8</v>
      </c>
      <c r="G414" s="4" t="n">
        <v>8</v>
      </c>
      <c r="H414" s="4" t="n">
        <v>2</v>
      </c>
      <c r="I414" s="4" t="str">
        <v>○</v>
      </c>
      <c r="J414" s="4" t="n">
        <v>1590</v>
      </c>
      <c r="K414" s="4"/>
      <c r="L414" s="4"/>
      <c r="M414" s="5" t="s">
        <v>15</v>
      </c>
    </row>
    <row r="415" customFormat="false" ht="15.75" hidden="false" customHeight="false" outlineLevel="0" collapsed="false">
      <c r="A415" s="3" t="n">
        <v>46228</v>
      </c>
      <c r="B415" s="4" t="s">
        <v>334</v>
      </c>
      <c r="C415" s="4" t="n">
        <v>9</v>
      </c>
      <c r="D415" s="4" t="n">
        <v>9</v>
      </c>
      <c r="E415" s="4" t="s">
        <v>430</v>
      </c>
      <c r="F415" s="4" t="n">
        <v>10</v>
      </c>
      <c r="G415" s="4" t="n">
        <v>7</v>
      </c>
      <c r="H415" s="4" t="n">
        <v>4</v>
      </c>
      <c r="I415" s="4" t="str">
        <v>×</v>
      </c>
      <c r="J415" s="4"/>
      <c r="K415" s="4"/>
      <c r="L415" s="4"/>
      <c r="M415" s="5" t="s">
        <v>15</v>
      </c>
    </row>
    <row r="416" customFormat="false" ht="15.75" hidden="false" customHeight="false" outlineLevel="0" collapsed="false">
      <c r="A416" s="3" t="n">
        <v>46228</v>
      </c>
      <c r="B416" s="4" t="s">
        <v>334</v>
      </c>
      <c r="C416" s="4" t="n">
        <v>9</v>
      </c>
      <c r="D416" s="4" t="n">
        <v>10</v>
      </c>
      <c r="E416" s="4" t="s">
        <v>431</v>
      </c>
      <c r="F416" s="4" t="n">
        <v>39</v>
      </c>
      <c r="G416" s="4" t="n">
        <v>3</v>
      </c>
      <c r="H416" s="4" t="n">
        <v>3</v>
      </c>
      <c r="I416" s="4" t="str">
        <v>○</v>
      </c>
      <c r="J416" s="4" t="n">
        <v>230</v>
      </c>
      <c r="K416" s="4"/>
      <c r="L416" s="4"/>
      <c r="M416" s="5" t="s">
        <v>15</v>
      </c>
    </row>
    <row r="417" customFormat="false" ht="15.75" hidden="false" customHeight="false" outlineLevel="0" collapsed="false">
      <c r="A417" s="3" t="n">
        <v>46228</v>
      </c>
      <c r="B417" s="4" t="s">
        <v>334</v>
      </c>
      <c r="C417" s="4" t="n">
        <v>10</v>
      </c>
      <c r="D417" s="4" t="n">
        <v>1</v>
      </c>
      <c r="E417" s="4" t="s">
        <v>432</v>
      </c>
      <c r="F417" s="4" t="n">
        <v>6</v>
      </c>
      <c r="G417" s="4" t="n">
        <v>10</v>
      </c>
      <c r="H417" s="4" t="n">
        <v>4</v>
      </c>
      <c r="I417" s="4" t="str">
        <v>×</v>
      </c>
      <c r="J417" s="4"/>
      <c r="K417" s="4"/>
      <c r="L417" s="4"/>
      <c r="M417" s="5" t="s">
        <v>15</v>
      </c>
    </row>
    <row r="418" customFormat="false" ht="15.75" hidden="false" customHeight="false" outlineLevel="0" collapsed="false">
      <c r="A418" s="3" t="n">
        <v>46228</v>
      </c>
      <c r="B418" s="4" t="s">
        <v>334</v>
      </c>
      <c r="C418" s="4" t="n">
        <v>10</v>
      </c>
      <c r="D418" s="4" t="n">
        <v>2</v>
      </c>
      <c r="E418" s="4" t="s">
        <v>433</v>
      </c>
      <c r="F418" s="4" t="n">
        <v>20</v>
      </c>
      <c r="G418" s="4" t="n">
        <v>6</v>
      </c>
      <c r="H418" s="4" t="n">
        <v>4</v>
      </c>
      <c r="I418" s="4" t="str">
        <v>×</v>
      </c>
      <c r="J418" s="4"/>
      <c r="K418" s="4"/>
      <c r="L418" s="4"/>
      <c r="M418" s="5" t="s">
        <v>15</v>
      </c>
    </row>
    <row r="419" customFormat="false" ht="15.75" hidden="false" customHeight="false" outlineLevel="0" collapsed="false">
      <c r="A419" s="3" t="n">
        <v>46228</v>
      </c>
      <c r="B419" s="4" t="s">
        <v>334</v>
      </c>
      <c r="C419" s="4" t="n">
        <v>10</v>
      </c>
      <c r="D419" s="4" t="n">
        <v>3</v>
      </c>
      <c r="E419" s="4" t="s">
        <v>434</v>
      </c>
      <c r="F419" s="4" t="n">
        <v>15</v>
      </c>
      <c r="G419" s="4" t="n">
        <v>8</v>
      </c>
      <c r="H419" s="4" t="n">
        <v>3</v>
      </c>
      <c r="I419" s="4" t="str">
        <v>○</v>
      </c>
      <c r="J419" s="4" t="n">
        <v>730</v>
      </c>
      <c r="K419" s="4"/>
      <c r="L419" s="4"/>
      <c r="M419" s="5" t="s">
        <v>15</v>
      </c>
    </row>
    <row r="420" customFormat="false" ht="15.75" hidden="false" customHeight="false" outlineLevel="0" collapsed="false">
      <c r="A420" s="3" t="n">
        <v>46228</v>
      </c>
      <c r="B420" s="4" t="s">
        <v>334</v>
      </c>
      <c r="C420" s="4" t="n">
        <v>10</v>
      </c>
      <c r="D420" s="4" t="n">
        <v>4</v>
      </c>
      <c r="E420" s="4" t="s">
        <v>435</v>
      </c>
      <c r="F420" s="4" t="n">
        <v>20</v>
      </c>
      <c r="G420" s="4" t="n">
        <v>6</v>
      </c>
      <c r="H420" s="4" t="n">
        <v>4</v>
      </c>
      <c r="I420" s="4" t="str">
        <v>×</v>
      </c>
      <c r="J420" s="4"/>
      <c r="K420" s="4"/>
      <c r="L420" s="4"/>
      <c r="M420" s="5" t="s">
        <v>15</v>
      </c>
    </row>
    <row r="421" customFormat="false" ht="15.75" hidden="false" customHeight="false" outlineLevel="0" collapsed="false">
      <c r="A421" s="3" t="n">
        <v>46228</v>
      </c>
      <c r="B421" s="4" t="s">
        <v>334</v>
      </c>
      <c r="C421" s="4" t="n">
        <v>10</v>
      </c>
      <c r="D421" s="4" t="n">
        <v>5</v>
      </c>
      <c r="E421" s="4" t="s">
        <v>436</v>
      </c>
      <c r="F421" s="4" t="n">
        <v>23</v>
      </c>
      <c r="G421" s="4" t="n">
        <v>5</v>
      </c>
      <c r="H421" s="4" t="n">
        <v>1</v>
      </c>
      <c r="I421" s="4" t="str">
        <v>○</v>
      </c>
      <c r="J421" s="4" t="n">
        <v>330</v>
      </c>
      <c r="K421" s="4"/>
      <c r="L421" s="4"/>
      <c r="M421" s="5" t="s">
        <v>15</v>
      </c>
    </row>
    <row r="422" customFormat="false" ht="15.75" hidden="false" customHeight="false" outlineLevel="0" collapsed="false">
      <c r="A422" s="3" t="n">
        <v>46228</v>
      </c>
      <c r="B422" s="4" t="s">
        <v>334</v>
      </c>
      <c r="C422" s="4" t="n">
        <v>10</v>
      </c>
      <c r="D422" s="4" t="n">
        <v>6</v>
      </c>
      <c r="E422" s="4" t="s">
        <v>437</v>
      </c>
      <c r="F422" s="4" t="n">
        <v>50</v>
      </c>
      <c r="G422" s="4" t="n">
        <v>2</v>
      </c>
      <c r="H422" s="4" t="n">
        <v>4</v>
      </c>
      <c r="I422" s="4" t="str">
        <v>×</v>
      </c>
      <c r="J422" s="4"/>
      <c r="K422" s="4"/>
      <c r="L422" s="4"/>
      <c r="M422" s="5" t="s">
        <v>15</v>
      </c>
    </row>
    <row r="423" customFormat="false" ht="15.75" hidden="false" customHeight="false" outlineLevel="0" collapsed="false">
      <c r="A423" s="3" t="n">
        <v>46228</v>
      </c>
      <c r="B423" s="4" t="s">
        <v>334</v>
      </c>
      <c r="C423" s="4" t="n">
        <v>10</v>
      </c>
      <c r="D423" s="4" t="n">
        <v>7</v>
      </c>
      <c r="E423" s="4" t="s">
        <v>438</v>
      </c>
      <c r="F423" s="4" t="n">
        <v>37</v>
      </c>
      <c r="G423" s="4" t="n">
        <v>3</v>
      </c>
      <c r="H423" s="4" t="n">
        <v>2</v>
      </c>
      <c r="I423" s="4" t="str">
        <v>○</v>
      </c>
      <c r="J423" s="4" t="n">
        <v>170</v>
      </c>
      <c r="K423" s="4"/>
      <c r="L423" s="4"/>
      <c r="M423" s="5" t="s">
        <v>15</v>
      </c>
    </row>
    <row r="424" customFormat="false" ht="15.75" hidden="false" customHeight="false" outlineLevel="0" collapsed="false">
      <c r="A424" s="3" t="n">
        <v>46228</v>
      </c>
      <c r="B424" s="4" t="s">
        <v>334</v>
      </c>
      <c r="C424" s="4" t="n">
        <v>10</v>
      </c>
      <c r="D424" s="4" t="n">
        <v>8</v>
      </c>
      <c r="E424" s="4" t="s">
        <v>439</v>
      </c>
      <c r="F424" s="4" t="n">
        <v>10</v>
      </c>
      <c r="G424" s="4" t="n">
        <v>9</v>
      </c>
      <c r="H424" s="4" t="n">
        <v>4</v>
      </c>
      <c r="I424" s="4" t="str">
        <v>×</v>
      </c>
      <c r="J424" s="4"/>
      <c r="K424" s="4"/>
      <c r="L424" s="4"/>
      <c r="M424" s="5" t="s">
        <v>15</v>
      </c>
    </row>
    <row r="425" customFormat="false" ht="15.75" hidden="false" customHeight="false" outlineLevel="0" collapsed="false">
      <c r="A425" s="3" t="n">
        <v>46228</v>
      </c>
      <c r="B425" s="4" t="s">
        <v>334</v>
      </c>
      <c r="C425" s="4" t="n">
        <v>10</v>
      </c>
      <c r="D425" s="4" t="n">
        <v>9</v>
      </c>
      <c r="E425" s="4" t="s">
        <v>440</v>
      </c>
      <c r="F425" s="4" t="n">
        <v>52</v>
      </c>
      <c r="G425" s="4" t="n">
        <v>1</v>
      </c>
      <c r="H425" s="4" t="n">
        <v>4</v>
      </c>
      <c r="I425" s="4" t="str">
        <v>×</v>
      </c>
      <c r="J425" s="4"/>
      <c r="K425" s="4"/>
      <c r="L425" s="4"/>
      <c r="M425" s="5" t="s">
        <v>15</v>
      </c>
    </row>
    <row r="426" customFormat="false" ht="15.75" hidden="false" customHeight="false" outlineLevel="0" collapsed="false">
      <c r="A426" s="3" t="n">
        <v>46228</v>
      </c>
      <c r="B426" s="4" t="s">
        <v>334</v>
      </c>
      <c r="C426" s="4" t="n">
        <v>10</v>
      </c>
      <c r="D426" s="4" t="n">
        <v>10</v>
      </c>
      <c r="E426" s="4" t="s">
        <v>441</v>
      </c>
      <c r="F426" s="4" t="n">
        <v>3</v>
      </c>
      <c r="G426" s="4" t="n">
        <v>11</v>
      </c>
      <c r="H426" s="4" t="n">
        <v>4</v>
      </c>
      <c r="I426" s="4" t="str">
        <v>×</v>
      </c>
      <c r="J426" s="4"/>
      <c r="K426" s="4"/>
      <c r="L426" s="4"/>
      <c r="M426" s="5" t="s">
        <v>15</v>
      </c>
    </row>
    <row r="427" customFormat="false" ht="15.75" hidden="false" customHeight="false" outlineLevel="0" collapsed="false">
      <c r="A427" s="3" t="n">
        <v>46228</v>
      </c>
      <c r="B427" s="4" t="s">
        <v>334</v>
      </c>
      <c r="C427" s="4" t="n">
        <v>10</v>
      </c>
      <c r="D427" s="4" t="n">
        <v>11</v>
      </c>
      <c r="E427" s="4" t="s">
        <v>442</v>
      </c>
      <c r="F427" s="4" t="n">
        <v>25</v>
      </c>
      <c r="G427" s="4" t="n">
        <v>4</v>
      </c>
      <c r="H427" s="4" t="n">
        <v>4</v>
      </c>
      <c r="I427" s="4" t="str">
        <v>×</v>
      </c>
      <c r="J427" s="4"/>
      <c r="K427" s="4"/>
      <c r="L427" s="4"/>
      <c r="M427" s="5" t="s">
        <v>15</v>
      </c>
    </row>
    <row r="428" customFormat="false" ht="15.75" hidden="false" customHeight="false" outlineLevel="0" collapsed="false">
      <c r="A428" s="3" t="n">
        <v>46228</v>
      </c>
      <c r="B428" s="4" t="s">
        <v>334</v>
      </c>
      <c r="C428" s="4" t="n">
        <v>11</v>
      </c>
      <c r="D428" s="4" t="n">
        <v>1</v>
      </c>
      <c r="E428" s="4" t="s">
        <v>443</v>
      </c>
      <c r="F428" s="4" t="n">
        <v>17</v>
      </c>
      <c r="G428" s="4" t="n">
        <v>7</v>
      </c>
      <c r="H428" s="4" t="n">
        <v>4</v>
      </c>
      <c r="I428" s="4" t="str">
        <v>×</v>
      </c>
      <c r="J428" s="4"/>
      <c r="K428" s="4"/>
      <c r="L428" s="4"/>
      <c r="M428" s="5" t="s">
        <v>15</v>
      </c>
    </row>
    <row r="429" customFormat="false" ht="15.75" hidden="false" customHeight="false" outlineLevel="0" collapsed="false">
      <c r="A429" s="3" t="n">
        <v>46228</v>
      </c>
      <c r="B429" s="4" t="s">
        <v>334</v>
      </c>
      <c r="C429" s="4" t="n">
        <v>11</v>
      </c>
      <c r="D429" s="4" t="n">
        <v>2</v>
      </c>
      <c r="E429" s="4" t="s">
        <v>444</v>
      </c>
      <c r="F429" s="4" t="n">
        <v>37</v>
      </c>
      <c r="G429" s="4" t="n">
        <v>3</v>
      </c>
      <c r="H429" s="4" t="n">
        <v>4</v>
      </c>
      <c r="I429" s="4" t="str">
        <v>×</v>
      </c>
      <c r="J429" s="4"/>
      <c r="K429" s="4"/>
      <c r="L429" s="4"/>
      <c r="M429" s="5" t="s">
        <v>15</v>
      </c>
    </row>
    <row r="430" customFormat="false" ht="15.75" hidden="false" customHeight="false" outlineLevel="0" collapsed="false">
      <c r="A430" s="3" t="n">
        <v>46228</v>
      </c>
      <c r="B430" s="4" t="s">
        <v>334</v>
      </c>
      <c r="C430" s="4" t="n">
        <v>11</v>
      </c>
      <c r="D430" s="4" t="n">
        <v>3</v>
      </c>
      <c r="E430" s="4" t="s">
        <v>445</v>
      </c>
      <c r="F430" s="4" t="n">
        <v>60</v>
      </c>
      <c r="G430" s="4" t="n">
        <v>1</v>
      </c>
      <c r="H430" s="4" t="n">
        <v>3</v>
      </c>
      <c r="I430" s="4" t="str">
        <v>○</v>
      </c>
      <c r="J430" s="4" t="n">
        <v>160</v>
      </c>
      <c r="K430" s="4"/>
      <c r="L430" s="4"/>
      <c r="M430" s="5" t="s">
        <v>15</v>
      </c>
    </row>
    <row r="431" customFormat="false" ht="15.75" hidden="false" customHeight="false" outlineLevel="0" collapsed="false">
      <c r="A431" s="3" t="n">
        <v>46228</v>
      </c>
      <c r="B431" s="4" t="s">
        <v>334</v>
      </c>
      <c r="C431" s="4" t="n">
        <v>11</v>
      </c>
      <c r="D431" s="4" t="n">
        <v>4</v>
      </c>
      <c r="E431" s="4" t="s">
        <v>446</v>
      </c>
      <c r="F431" s="4" t="n">
        <v>25</v>
      </c>
      <c r="G431" s="4" t="n">
        <v>6</v>
      </c>
      <c r="H431" s="4" t="n">
        <v>4</v>
      </c>
      <c r="I431" s="4" t="str">
        <v>×</v>
      </c>
      <c r="J431" s="4"/>
      <c r="K431" s="4"/>
      <c r="L431" s="4"/>
      <c r="M431" s="5" t="s">
        <v>15</v>
      </c>
    </row>
    <row r="432" customFormat="false" ht="15.75" hidden="false" customHeight="false" outlineLevel="0" collapsed="false">
      <c r="A432" s="3" t="n">
        <v>46228</v>
      </c>
      <c r="B432" s="4" t="s">
        <v>334</v>
      </c>
      <c r="C432" s="4" t="n">
        <v>11</v>
      </c>
      <c r="D432" s="4" t="n">
        <v>5</v>
      </c>
      <c r="E432" s="4" t="s">
        <v>447</v>
      </c>
      <c r="F432" s="4" t="n">
        <v>37</v>
      </c>
      <c r="G432" s="4" t="n">
        <v>3</v>
      </c>
      <c r="H432" s="4" t="n">
        <v>2</v>
      </c>
      <c r="I432" s="4" t="str">
        <v>○</v>
      </c>
      <c r="J432" s="4" t="n">
        <v>180</v>
      </c>
      <c r="K432" s="4"/>
      <c r="L432" s="4"/>
      <c r="M432" s="5" t="s">
        <v>15</v>
      </c>
    </row>
    <row r="433" customFormat="false" ht="15.75" hidden="false" customHeight="false" outlineLevel="0" collapsed="false">
      <c r="A433" s="3" t="n">
        <v>46228</v>
      </c>
      <c r="B433" s="4" t="s">
        <v>334</v>
      </c>
      <c r="C433" s="4" t="n">
        <v>11</v>
      </c>
      <c r="D433" s="4" t="n">
        <v>6</v>
      </c>
      <c r="E433" s="4" t="s">
        <v>448</v>
      </c>
      <c r="F433" s="4" t="n">
        <v>13</v>
      </c>
      <c r="G433" s="4" t="n">
        <v>9</v>
      </c>
      <c r="H433" s="4" t="n">
        <v>4</v>
      </c>
      <c r="I433" s="4" t="str">
        <v>×</v>
      </c>
      <c r="J433" s="4"/>
      <c r="K433" s="4"/>
      <c r="L433" s="4"/>
      <c r="M433" s="5" t="s">
        <v>15</v>
      </c>
    </row>
    <row r="434" customFormat="false" ht="15.75" hidden="false" customHeight="false" outlineLevel="0" collapsed="false">
      <c r="A434" s="3" t="n">
        <v>46228</v>
      </c>
      <c r="B434" s="4" t="s">
        <v>334</v>
      </c>
      <c r="C434" s="4" t="n">
        <v>11</v>
      </c>
      <c r="D434" s="4" t="n">
        <v>7</v>
      </c>
      <c r="E434" s="4" t="s">
        <v>449</v>
      </c>
      <c r="F434" s="4" t="n">
        <v>4</v>
      </c>
      <c r="G434" s="4" t="n">
        <v>12</v>
      </c>
      <c r="H434" s="4" t="n">
        <v>1</v>
      </c>
      <c r="I434" s="4" t="str">
        <v>○</v>
      </c>
      <c r="J434" s="4" t="n">
        <v>120</v>
      </c>
      <c r="K434" s="4"/>
      <c r="L434" s="4"/>
      <c r="M434" s="5" t="s">
        <v>15</v>
      </c>
    </row>
    <row r="435" customFormat="false" ht="15.75" hidden="false" customHeight="false" outlineLevel="0" collapsed="false">
      <c r="A435" s="3" t="n">
        <v>46228</v>
      </c>
      <c r="B435" s="4" t="s">
        <v>334</v>
      </c>
      <c r="C435" s="4" t="n">
        <v>11</v>
      </c>
      <c r="D435" s="4" t="n">
        <v>8</v>
      </c>
      <c r="E435" s="4" t="s">
        <v>450</v>
      </c>
      <c r="F435" s="4" t="n">
        <v>37</v>
      </c>
      <c r="G435" s="4" t="n">
        <v>3</v>
      </c>
      <c r="H435" s="4" t="n">
        <v>4</v>
      </c>
      <c r="I435" s="4" t="str">
        <v>×</v>
      </c>
      <c r="J435" s="4"/>
      <c r="K435" s="4"/>
      <c r="L435" s="4"/>
      <c r="M435" s="5" t="s">
        <v>15</v>
      </c>
    </row>
    <row r="436" customFormat="false" ht="15.75" hidden="false" customHeight="false" outlineLevel="0" collapsed="false">
      <c r="A436" s="3" t="n">
        <v>46228</v>
      </c>
      <c r="B436" s="4" t="s">
        <v>334</v>
      </c>
      <c r="C436" s="4" t="n">
        <v>11</v>
      </c>
      <c r="D436" s="4" t="n">
        <v>9</v>
      </c>
      <c r="E436" s="4" t="s">
        <v>451</v>
      </c>
      <c r="F436" s="4" t="n">
        <v>13</v>
      </c>
      <c r="G436" s="4" t="n">
        <v>9</v>
      </c>
      <c r="H436" s="4" t="n">
        <v>4</v>
      </c>
      <c r="I436" s="4" t="str">
        <v>×</v>
      </c>
      <c r="J436" s="4"/>
      <c r="K436" s="4"/>
      <c r="L436" s="4"/>
      <c r="M436" s="5" t="s">
        <v>15</v>
      </c>
    </row>
    <row r="437" customFormat="false" ht="15.75" hidden="false" customHeight="false" outlineLevel="0" collapsed="false">
      <c r="A437" s="3" t="n">
        <v>46228</v>
      </c>
      <c r="B437" s="4" t="s">
        <v>334</v>
      </c>
      <c r="C437" s="4" t="n">
        <v>11</v>
      </c>
      <c r="D437" s="4" t="n">
        <v>10</v>
      </c>
      <c r="E437" s="4" t="s">
        <v>452</v>
      </c>
      <c r="F437" s="4" t="n">
        <v>50</v>
      </c>
      <c r="G437" s="4" t="n">
        <v>2</v>
      </c>
      <c r="H437" s="4" t="n">
        <v>4</v>
      </c>
      <c r="I437" s="4" t="str">
        <v>×</v>
      </c>
      <c r="J437" s="4"/>
      <c r="K437" s="4"/>
      <c r="L437" s="4"/>
      <c r="M437" s="5" t="s">
        <v>15</v>
      </c>
    </row>
    <row r="438" customFormat="false" ht="15.75" hidden="false" customHeight="false" outlineLevel="0" collapsed="false">
      <c r="A438" s="3" t="n">
        <v>46228</v>
      </c>
      <c r="B438" s="4" t="s">
        <v>334</v>
      </c>
      <c r="C438" s="4" t="n">
        <v>11</v>
      </c>
      <c r="D438" s="4" t="n">
        <v>11</v>
      </c>
      <c r="E438" s="4" t="s">
        <v>453</v>
      </c>
      <c r="F438" s="4" t="n">
        <v>6</v>
      </c>
      <c r="G438" s="4" t="n">
        <v>11</v>
      </c>
      <c r="H438" s="4" t="n">
        <v>4</v>
      </c>
      <c r="I438" s="4" t="str">
        <v>×</v>
      </c>
      <c r="J438" s="4"/>
      <c r="K438" s="4"/>
      <c r="L438" s="4"/>
      <c r="M438" s="5" t="s">
        <v>15</v>
      </c>
    </row>
    <row r="439" customFormat="false" ht="15.75" hidden="false" customHeight="false" outlineLevel="0" collapsed="false">
      <c r="A439" s="3" t="n">
        <v>46228</v>
      </c>
      <c r="B439" s="4" t="s">
        <v>334</v>
      </c>
      <c r="C439" s="4" t="n">
        <v>11</v>
      </c>
      <c r="D439" s="4" t="n">
        <v>12</v>
      </c>
      <c r="E439" s="4" t="s">
        <v>454</v>
      </c>
      <c r="F439" s="4" t="n">
        <v>17</v>
      </c>
      <c r="G439" s="4" t="n">
        <v>7</v>
      </c>
      <c r="H439" s="4" t="n">
        <v>4</v>
      </c>
      <c r="I439" s="4" t="str">
        <v>×</v>
      </c>
      <c r="J439" s="4"/>
      <c r="K439" s="4"/>
      <c r="L439" s="4"/>
      <c r="M439" s="5" t="s">
        <v>15</v>
      </c>
    </row>
    <row r="440" customFormat="false" ht="15.75" hidden="false" customHeight="false" outlineLevel="0" collapsed="false">
      <c r="A440" s="3" t="n">
        <v>46228</v>
      </c>
      <c r="B440" s="4" t="s">
        <v>334</v>
      </c>
      <c r="C440" s="4" t="n">
        <v>12</v>
      </c>
      <c r="D440" s="4" t="n">
        <v>1</v>
      </c>
      <c r="E440" s="4" t="s">
        <v>455</v>
      </c>
      <c r="F440" s="4" t="n">
        <v>15</v>
      </c>
      <c r="G440" s="4" t="n">
        <v>5</v>
      </c>
      <c r="H440" s="4" t="n">
        <v>4</v>
      </c>
      <c r="I440" s="4" t="str">
        <v>×</v>
      </c>
      <c r="J440" s="4"/>
      <c r="K440" s="4"/>
      <c r="L440" s="4"/>
      <c r="M440" s="5" t="s">
        <v>15</v>
      </c>
    </row>
    <row r="441" customFormat="false" ht="15.75" hidden="false" customHeight="false" outlineLevel="0" collapsed="false">
      <c r="A441" s="3" t="n">
        <v>46228</v>
      </c>
      <c r="B441" s="4" t="s">
        <v>334</v>
      </c>
      <c r="C441" s="4" t="n">
        <v>12</v>
      </c>
      <c r="D441" s="4" t="n">
        <v>2</v>
      </c>
      <c r="E441" s="4" t="s">
        <v>456</v>
      </c>
      <c r="F441" s="4" t="n">
        <v>6</v>
      </c>
      <c r="G441" s="4" t="n">
        <v>10</v>
      </c>
      <c r="H441" s="4" t="n">
        <v>4</v>
      </c>
      <c r="I441" s="4" t="str">
        <v>×</v>
      </c>
      <c r="J441" s="4"/>
      <c r="K441" s="4"/>
      <c r="L441" s="4"/>
      <c r="M441" s="5" t="s">
        <v>15</v>
      </c>
    </row>
    <row r="442" customFormat="false" ht="15.75" hidden="false" customHeight="false" outlineLevel="0" collapsed="false">
      <c r="A442" s="3" t="n">
        <v>46228</v>
      </c>
      <c r="B442" s="4" t="s">
        <v>334</v>
      </c>
      <c r="C442" s="4" t="n">
        <v>12</v>
      </c>
      <c r="D442" s="4" t="n">
        <v>3</v>
      </c>
      <c r="E442" s="4" t="s">
        <v>457</v>
      </c>
      <c r="F442" s="4" t="n">
        <v>10</v>
      </c>
      <c r="G442" s="4" t="n">
        <v>8</v>
      </c>
      <c r="H442" s="4" t="n">
        <v>4</v>
      </c>
      <c r="I442" s="4" t="str">
        <v>×</v>
      </c>
      <c r="J442" s="4"/>
      <c r="K442" s="4"/>
      <c r="L442" s="4"/>
      <c r="M442" s="5" t="s">
        <v>15</v>
      </c>
    </row>
    <row r="443" customFormat="false" ht="15.75" hidden="false" customHeight="false" outlineLevel="0" collapsed="false">
      <c r="A443" s="3" t="n">
        <v>46228</v>
      </c>
      <c r="B443" s="4" t="s">
        <v>334</v>
      </c>
      <c r="C443" s="4" t="n">
        <v>12</v>
      </c>
      <c r="D443" s="4" t="n">
        <v>4</v>
      </c>
      <c r="E443" s="4" t="s">
        <v>458</v>
      </c>
      <c r="F443" s="4" t="n">
        <v>13</v>
      </c>
      <c r="G443" s="4" t="n">
        <v>6</v>
      </c>
      <c r="H443" s="4" t="n">
        <v>4</v>
      </c>
      <c r="I443" s="4" t="str">
        <v>×</v>
      </c>
      <c r="J443" s="4"/>
      <c r="K443" s="4"/>
      <c r="L443" s="4"/>
      <c r="M443" s="5" t="s">
        <v>15</v>
      </c>
    </row>
    <row r="444" customFormat="false" ht="15.75" hidden="false" customHeight="false" outlineLevel="0" collapsed="false">
      <c r="A444" s="3" t="n">
        <v>46228</v>
      </c>
      <c r="B444" s="4" t="s">
        <v>334</v>
      </c>
      <c r="C444" s="4" t="n">
        <v>12</v>
      </c>
      <c r="D444" s="4" t="n">
        <v>5</v>
      </c>
      <c r="E444" s="4" t="s">
        <v>459</v>
      </c>
      <c r="F444" s="4" t="n">
        <v>52</v>
      </c>
      <c r="G444" s="4" t="n">
        <v>2</v>
      </c>
      <c r="H444" s="4" t="n">
        <v>1</v>
      </c>
      <c r="I444" s="4" t="str">
        <v>○</v>
      </c>
      <c r="J444" s="4" t="n">
        <v>120</v>
      </c>
      <c r="K444" s="4"/>
      <c r="L444" s="4"/>
      <c r="M444" s="5" t="s">
        <v>15</v>
      </c>
    </row>
    <row r="445" customFormat="false" ht="15.75" hidden="false" customHeight="false" outlineLevel="0" collapsed="false">
      <c r="A445" s="3" t="n">
        <v>46228</v>
      </c>
      <c r="B445" s="4" t="s">
        <v>334</v>
      </c>
      <c r="C445" s="4" t="n">
        <v>12</v>
      </c>
      <c r="D445" s="4" t="n">
        <v>6</v>
      </c>
      <c r="E445" s="4" t="s">
        <v>460</v>
      </c>
      <c r="F445" s="4" t="n">
        <v>13</v>
      </c>
      <c r="G445" s="4" t="n">
        <v>6</v>
      </c>
      <c r="H445" s="4" t="n">
        <v>4</v>
      </c>
      <c r="I445" s="4" t="str">
        <v>×</v>
      </c>
      <c r="J445" s="4"/>
      <c r="K445" s="4"/>
      <c r="L445" s="4"/>
      <c r="M445" s="5" t="s">
        <v>15</v>
      </c>
    </row>
    <row r="446" customFormat="false" ht="15.75" hidden="false" customHeight="false" outlineLevel="0" collapsed="false">
      <c r="A446" s="3" t="n">
        <v>46228</v>
      </c>
      <c r="B446" s="4" t="s">
        <v>334</v>
      </c>
      <c r="C446" s="4" t="n">
        <v>12</v>
      </c>
      <c r="D446" s="4" t="n">
        <v>7</v>
      </c>
      <c r="E446" s="4" t="s">
        <v>461</v>
      </c>
      <c r="F446" s="4" t="n">
        <v>39</v>
      </c>
      <c r="G446" s="4" t="n">
        <v>4</v>
      </c>
      <c r="H446" s="4" t="n">
        <v>4</v>
      </c>
      <c r="I446" s="4" t="str">
        <v>×</v>
      </c>
      <c r="J446" s="4"/>
      <c r="K446" s="4"/>
      <c r="L446" s="4"/>
      <c r="M446" s="5" t="s">
        <v>15</v>
      </c>
    </row>
    <row r="447" customFormat="false" ht="15.75" hidden="false" customHeight="false" outlineLevel="0" collapsed="false">
      <c r="A447" s="3" t="n">
        <v>46228</v>
      </c>
      <c r="B447" s="4" t="s">
        <v>334</v>
      </c>
      <c r="C447" s="4" t="n">
        <v>12</v>
      </c>
      <c r="D447" s="4" t="n">
        <v>8</v>
      </c>
      <c r="E447" s="4" t="s">
        <v>462</v>
      </c>
      <c r="F447" s="4" t="n">
        <v>71</v>
      </c>
      <c r="G447" s="4" t="n">
        <v>1</v>
      </c>
      <c r="H447" s="4" t="n">
        <v>3</v>
      </c>
      <c r="I447" s="4" t="str">
        <v>○</v>
      </c>
      <c r="J447" s="4" t="n">
        <v>110</v>
      </c>
      <c r="K447" s="4"/>
      <c r="L447" s="4"/>
      <c r="M447" s="5" t="s">
        <v>15</v>
      </c>
    </row>
    <row r="448" customFormat="false" ht="15.75" hidden="false" customHeight="false" outlineLevel="0" collapsed="false">
      <c r="A448" s="3" t="n">
        <v>46228</v>
      </c>
      <c r="B448" s="4" t="s">
        <v>334</v>
      </c>
      <c r="C448" s="4" t="n">
        <v>12</v>
      </c>
      <c r="D448" s="4" t="n">
        <v>9</v>
      </c>
      <c r="E448" s="4" t="s">
        <v>463</v>
      </c>
      <c r="F448" s="4" t="n">
        <v>47</v>
      </c>
      <c r="G448" s="4" t="n">
        <v>3</v>
      </c>
      <c r="H448" s="4" t="n">
        <v>2</v>
      </c>
      <c r="I448" s="4" t="str">
        <v>○</v>
      </c>
      <c r="J448" s="4" t="n">
        <v>140</v>
      </c>
      <c r="K448" s="4"/>
      <c r="L448" s="4"/>
      <c r="M448" s="5" t="s">
        <v>15</v>
      </c>
    </row>
    <row r="449" customFormat="false" ht="15.75" hidden="false" customHeight="false" outlineLevel="0" collapsed="false">
      <c r="A449" s="3" t="n">
        <v>46228</v>
      </c>
      <c r="B449" s="4" t="s">
        <v>334</v>
      </c>
      <c r="C449" s="4" t="n">
        <v>12</v>
      </c>
      <c r="D449" s="4" t="n">
        <v>10</v>
      </c>
      <c r="E449" s="4" t="s">
        <v>464</v>
      </c>
      <c r="F449" s="4" t="n">
        <v>8</v>
      </c>
      <c r="G449" s="4" t="n">
        <v>9</v>
      </c>
      <c r="H449" s="4" t="n">
        <v>4</v>
      </c>
      <c r="I449" s="4" t="str">
        <v>×</v>
      </c>
      <c r="J449" s="4"/>
      <c r="K449" s="4"/>
      <c r="L449" s="4"/>
      <c r="M449" s="5" t="s">
        <v>15</v>
      </c>
    </row>
    <row r="450" customFormat="false" ht="15.75" hidden="false" customHeight="false" outlineLevel="0" collapsed="false">
      <c r="A450" s="3" t="n">
        <v>46228</v>
      </c>
      <c r="B450" s="4" t="s">
        <v>334</v>
      </c>
      <c r="C450" s="4" t="n">
        <v>12</v>
      </c>
      <c r="D450" s="4" t="n">
        <v>11</v>
      </c>
      <c r="E450" s="4" t="s">
        <v>465</v>
      </c>
      <c r="F450" s="4" t="n">
        <v>4</v>
      </c>
      <c r="G450" s="4" t="n">
        <v>11</v>
      </c>
      <c r="H450" s="4" t="n">
        <v>4</v>
      </c>
      <c r="I450" s="4" t="str">
        <v>×</v>
      </c>
      <c r="J450" s="4"/>
      <c r="K450" s="4"/>
      <c r="L450" s="4"/>
      <c r="M450" s="5" t="s">
        <v>15</v>
      </c>
    </row>
    <row r="451" customFormat="false" ht="15.75" hidden="false" customHeight="false" outlineLevel="0" collapsed="false">
      <c r="A451" s="3" t="n">
        <v>46229</v>
      </c>
      <c r="B451" s="4" t="s">
        <v>13</v>
      </c>
      <c r="C451" s="4" t="n">
        <v>1</v>
      </c>
      <c r="D451" s="4" t="n">
        <v>1</v>
      </c>
      <c r="E451" s="4" t="s">
        <v>466</v>
      </c>
      <c r="F451" s="4" t="n">
        <v>17</v>
      </c>
      <c r="G451" s="4" t="n">
        <v>5</v>
      </c>
      <c r="H451" s="4" t="n">
        <v>4</v>
      </c>
      <c r="I451" s="4" t="str">
        <v>×</v>
      </c>
      <c r="J451" s="4"/>
      <c r="K451" s="4"/>
      <c r="L451" s="4"/>
      <c r="M451" s="5" t="s">
        <v>15</v>
      </c>
    </row>
    <row r="452" customFormat="false" ht="15.75" hidden="false" customHeight="false" outlineLevel="0" collapsed="false">
      <c r="A452" s="3" t="n">
        <v>46229</v>
      </c>
      <c r="B452" s="4" t="s">
        <v>13</v>
      </c>
      <c r="C452" s="4" t="n">
        <v>1</v>
      </c>
      <c r="D452" s="4" t="n">
        <v>2</v>
      </c>
      <c r="E452" s="4" t="s">
        <v>467</v>
      </c>
      <c r="F452" s="4" t="n">
        <v>6</v>
      </c>
      <c r="G452" s="4" t="n">
        <v>7</v>
      </c>
      <c r="H452" s="4" t="n">
        <v>4</v>
      </c>
      <c r="I452" s="4" t="str">
        <v>×</v>
      </c>
      <c r="J452" s="4"/>
      <c r="K452" s="4"/>
      <c r="L452" s="4"/>
      <c r="M452" s="5" t="s">
        <v>15</v>
      </c>
    </row>
    <row r="453" customFormat="false" ht="15.75" hidden="false" customHeight="false" outlineLevel="0" collapsed="false">
      <c r="A453" s="3" t="n">
        <v>46229</v>
      </c>
      <c r="B453" s="4" t="s">
        <v>13</v>
      </c>
      <c r="C453" s="4" t="n">
        <v>1</v>
      </c>
      <c r="D453" s="4" t="n">
        <v>3</v>
      </c>
      <c r="E453" s="4" t="s">
        <v>468</v>
      </c>
      <c r="F453" s="4" t="n">
        <v>4</v>
      </c>
      <c r="G453" s="4" t="n">
        <v>9</v>
      </c>
      <c r="H453" s="4" t="n">
        <v>4</v>
      </c>
      <c r="I453" s="4" t="str">
        <v>×</v>
      </c>
      <c r="J453" s="4"/>
      <c r="K453" s="4"/>
      <c r="L453" s="4"/>
      <c r="M453" s="5" t="s">
        <v>15</v>
      </c>
    </row>
    <row r="454" customFormat="false" ht="15.75" hidden="false" customHeight="false" outlineLevel="0" collapsed="false">
      <c r="A454" s="3" t="n">
        <v>46229</v>
      </c>
      <c r="B454" s="4" t="s">
        <v>13</v>
      </c>
      <c r="C454" s="4" t="n">
        <v>1</v>
      </c>
      <c r="D454" s="4" t="n">
        <v>4</v>
      </c>
      <c r="E454" s="4" t="s">
        <v>469</v>
      </c>
      <c r="F454" s="4" t="n">
        <v>81</v>
      </c>
      <c r="G454" s="4" t="n">
        <v>1</v>
      </c>
      <c r="H454" s="4" t="n">
        <v>3</v>
      </c>
      <c r="I454" s="4" t="str">
        <v>○</v>
      </c>
      <c r="J454" s="4" t="n">
        <v>110</v>
      </c>
      <c r="K454" s="4" t="n">
        <v>1.1</v>
      </c>
      <c r="L454" s="4" t="n">
        <v>1.5</v>
      </c>
      <c r="M454" s="5" t="s">
        <v>15</v>
      </c>
    </row>
    <row r="455" customFormat="false" ht="15.75" hidden="false" customHeight="false" outlineLevel="0" collapsed="false">
      <c r="A455" s="3" t="n">
        <v>46229</v>
      </c>
      <c r="B455" s="4" t="s">
        <v>13</v>
      </c>
      <c r="C455" s="4" t="n">
        <v>1</v>
      </c>
      <c r="D455" s="4" t="n">
        <v>5</v>
      </c>
      <c r="E455" s="4" t="s">
        <v>470</v>
      </c>
      <c r="F455" s="4" t="n">
        <v>29</v>
      </c>
      <c r="G455" s="4" t="n">
        <v>3</v>
      </c>
      <c r="H455" s="4" t="n">
        <v>4</v>
      </c>
      <c r="I455" s="4" t="str">
        <v>×</v>
      </c>
      <c r="J455" s="4"/>
      <c r="K455" s="4"/>
      <c r="L455" s="4"/>
      <c r="M455" s="5" t="s">
        <v>15</v>
      </c>
    </row>
    <row r="456" customFormat="false" ht="15.75" hidden="false" customHeight="false" outlineLevel="0" collapsed="false">
      <c r="A456" s="3" t="n">
        <v>46229</v>
      </c>
      <c r="B456" s="4" t="s">
        <v>13</v>
      </c>
      <c r="C456" s="4" t="n">
        <v>1</v>
      </c>
      <c r="D456" s="4" t="n">
        <v>6</v>
      </c>
      <c r="E456" s="4" t="s">
        <v>471</v>
      </c>
      <c r="F456" s="4" t="n">
        <v>29</v>
      </c>
      <c r="G456" s="4" t="n">
        <v>3</v>
      </c>
      <c r="H456" s="4" t="n">
        <v>2</v>
      </c>
      <c r="I456" s="4" t="str">
        <v>○</v>
      </c>
      <c r="J456" s="4" t="n">
        <v>230</v>
      </c>
      <c r="K456" s="4"/>
      <c r="L456" s="4"/>
      <c r="M456" s="5" t="s">
        <v>15</v>
      </c>
    </row>
    <row r="457" customFormat="false" ht="15.75" hidden="false" customHeight="false" outlineLevel="0" collapsed="false">
      <c r="A457" s="3" t="n">
        <v>46229</v>
      </c>
      <c r="B457" s="4" t="s">
        <v>13</v>
      </c>
      <c r="C457" s="4" t="n">
        <v>1</v>
      </c>
      <c r="D457" s="4" t="n">
        <v>7</v>
      </c>
      <c r="E457" s="4" t="s">
        <v>472</v>
      </c>
      <c r="F457" s="4" t="n">
        <v>67</v>
      </c>
      <c r="G457" s="4" t="n">
        <v>2</v>
      </c>
      <c r="H457" s="4" t="n">
        <v>1</v>
      </c>
      <c r="I457" s="4" t="str">
        <v>○</v>
      </c>
      <c r="J457" s="4" t="n">
        <v>110</v>
      </c>
      <c r="K457" s="4"/>
      <c r="L457" s="4"/>
      <c r="M457" s="5" t="s">
        <v>15</v>
      </c>
    </row>
    <row r="458" customFormat="false" ht="15.75" hidden="false" customHeight="false" outlineLevel="0" collapsed="false">
      <c r="A458" s="3" t="n">
        <v>46229</v>
      </c>
      <c r="B458" s="4" t="s">
        <v>13</v>
      </c>
      <c r="C458" s="4" t="n">
        <v>1</v>
      </c>
      <c r="D458" s="4" t="n">
        <v>8</v>
      </c>
      <c r="E458" s="4" t="s">
        <v>473</v>
      </c>
      <c r="F458" s="4" t="n">
        <v>4</v>
      </c>
      <c r="G458" s="4" t="n">
        <v>9</v>
      </c>
      <c r="H458" s="4" t="n">
        <v>4</v>
      </c>
      <c r="I458" s="4" t="str">
        <v>×</v>
      </c>
      <c r="J458" s="4"/>
      <c r="K458" s="4"/>
      <c r="L458" s="4"/>
      <c r="M458" s="5" t="s">
        <v>15</v>
      </c>
    </row>
    <row r="459" customFormat="false" ht="15.75" hidden="false" customHeight="false" outlineLevel="0" collapsed="false">
      <c r="A459" s="3" t="n">
        <v>46229</v>
      </c>
      <c r="B459" s="4" t="s">
        <v>13</v>
      </c>
      <c r="C459" s="4" t="n">
        <v>1</v>
      </c>
      <c r="D459" s="4" t="n">
        <v>9</v>
      </c>
      <c r="E459" s="4" t="s">
        <v>474</v>
      </c>
      <c r="F459" s="4" t="n">
        <v>4</v>
      </c>
      <c r="G459" s="4" t="n">
        <v>9</v>
      </c>
      <c r="H459" s="4" t="n">
        <v>4</v>
      </c>
      <c r="I459" s="4" t="str">
        <v>×</v>
      </c>
      <c r="J459" s="4"/>
      <c r="K459" s="4"/>
      <c r="L459" s="4"/>
      <c r="M459" s="5" t="s">
        <v>15</v>
      </c>
    </row>
    <row r="460" customFormat="false" ht="15.75" hidden="false" customHeight="false" outlineLevel="0" collapsed="false">
      <c r="A460" s="3" t="n">
        <v>46229</v>
      </c>
      <c r="B460" s="4" t="s">
        <v>13</v>
      </c>
      <c r="C460" s="4" t="n">
        <v>1</v>
      </c>
      <c r="D460" s="4" t="n">
        <v>10</v>
      </c>
      <c r="E460" s="4" t="s">
        <v>475</v>
      </c>
      <c r="F460" s="4" t="n">
        <v>15</v>
      </c>
      <c r="G460" s="4" t="n">
        <v>6</v>
      </c>
      <c r="H460" s="4" t="n">
        <v>4</v>
      </c>
      <c r="I460" s="4" t="str">
        <v>×</v>
      </c>
      <c r="J460" s="4"/>
      <c r="K460" s="4"/>
      <c r="L460" s="4"/>
      <c r="M460" s="5" t="s">
        <v>15</v>
      </c>
    </row>
    <row r="461" customFormat="false" ht="15.75" hidden="false" customHeight="false" outlineLevel="0" collapsed="false">
      <c r="A461" s="3" t="n">
        <v>46229</v>
      </c>
      <c r="B461" s="4" t="s">
        <v>13</v>
      </c>
      <c r="C461" s="4" t="n">
        <v>1</v>
      </c>
      <c r="D461" s="4" t="n">
        <v>11</v>
      </c>
      <c r="E461" s="4" t="s">
        <v>476</v>
      </c>
      <c r="F461" s="4" t="n">
        <v>6</v>
      </c>
      <c r="G461" s="4" t="n">
        <v>7</v>
      </c>
      <c r="H461" s="4" t="n">
        <v>4</v>
      </c>
      <c r="I461" s="4" t="str">
        <v>×</v>
      </c>
      <c r="J461" s="4"/>
      <c r="K461" s="4"/>
      <c r="L461" s="4"/>
      <c r="M461" s="5" t="s">
        <v>15</v>
      </c>
    </row>
    <row r="462" customFormat="false" ht="15.75" hidden="false" customHeight="false" outlineLevel="0" collapsed="false">
      <c r="A462" s="3" t="n">
        <v>46229</v>
      </c>
      <c r="B462" s="4" t="s">
        <v>13</v>
      </c>
      <c r="C462" s="4" t="n">
        <v>2</v>
      </c>
      <c r="D462" s="4" t="n">
        <v>1</v>
      </c>
      <c r="E462" s="4" t="s">
        <v>477</v>
      </c>
      <c r="F462" s="4" t="n">
        <v>27</v>
      </c>
      <c r="G462" s="4" t="n">
        <v>3</v>
      </c>
      <c r="H462" s="4" t="n">
        <v>4</v>
      </c>
      <c r="I462" s="4" t="str">
        <v>×</v>
      </c>
      <c r="J462" s="4"/>
      <c r="K462" s="4"/>
      <c r="L462" s="4"/>
      <c r="M462" s="5" t="s">
        <v>15</v>
      </c>
    </row>
    <row r="463" customFormat="false" ht="15.75" hidden="false" customHeight="false" outlineLevel="0" collapsed="false">
      <c r="A463" s="3" t="n">
        <v>46229</v>
      </c>
      <c r="B463" s="4" t="s">
        <v>13</v>
      </c>
      <c r="C463" s="4" t="n">
        <v>2</v>
      </c>
      <c r="D463" s="4" t="n">
        <v>2</v>
      </c>
      <c r="E463" s="4" t="s">
        <v>478</v>
      </c>
      <c r="F463" s="4" t="n">
        <v>27</v>
      </c>
      <c r="G463" s="4" t="n">
        <v>3</v>
      </c>
      <c r="H463" s="4" t="n">
        <v>3</v>
      </c>
      <c r="I463" s="4" t="str">
        <v>○</v>
      </c>
      <c r="J463" s="4" t="n">
        <v>170</v>
      </c>
      <c r="K463" s="4"/>
      <c r="L463" s="4"/>
      <c r="M463" s="5" t="s">
        <v>15</v>
      </c>
    </row>
    <row r="464" customFormat="false" ht="15.75" hidden="false" customHeight="false" outlineLevel="0" collapsed="false">
      <c r="A464" s="3" t="n">
        <v>46229</v>
      </c>
      <c r="B464" s="4" t="s">
        <v>13</v>
      </c>
      <c r="C464" s="4" t="n">
        <v>2</v>
      </c>
      <c r="D464" s="4" t="n">
        <v>3</v>
      </c>
      <c r="E464" s="4" t="s">
        <v>479</v>
      </c>
      <c r="F464" s="4" t="n">
        <v>31</v>
      </c>
      <c r="G464" s="4" t="n">
        <v>1</v>
      </c>
      <c r="H464" s="4" t="n">
        <v>2</v>
      </c>
      <c r="I464" s="4" t="str">
        <v>○</v>
      </c>
      <c r="J464" s="4" t="n">
        <v>100</v>
      </c>
      <c r="K464" s="4"/>
      <c r="L464" s="4"/>
      <c r="M464" s="5" t="s">
        <v>15</v>
      </c>
    </row>
    <row r="465" customFormat="false" ht="15.75" hidden="false" customHeight="false" outlineLevel="0" collapsed="false">
      <c r="A465" s="3" t="n">
        <v>46229</v>
      </c>
      <c r="B465" s="4" t="s">
        <v>13</v>
      </c>
      <c r="C465" s="4" t="n">
        <v>2</v>
      </c>
      <c r="D465" s="4" t="n">
        <v>4</v>
      </c>
      <c r="E465" s="4" t="s">
        <v>480</v>
      </c>
      <c r="F465" s="4" t="n">
        <v>27</v>
      </c>
      <c r="G465" s="4" t="n">
        <v>3</v>
      </c>
      <c r="H465" s="4" t="n">
        <v>4</v>
      </c>
      <c r="I465" s="4" t="str">
        <v>×</v>
      </c>
      <c r="J465" s="4"/>
      <c r="K465" s="4"/>
      <c r="L465" s="4"/>
      <c r="M465" s="5" t="s">
        <v>15</v>
      </c>
    </row>
    <row r="466" customFormat="false" ht="15.75" hidden="false" customHeight="false" outlineLevel="0" collapsed="false">
      <c r="A466" s="3" t="n">
        <v>46229</v>
      </c>
      <c r="B466" s="4" t="s">
        <v>13</v>
      </c>
      <c r="C466" s="4" t="n">
        <v>2</v>
      </c>
      <c r="D466" s="4" t="n">
        <v>5</v>
      </c>
      <c r="E466" s="4" t="s">
        <v>481</v>
      </c>
      <c r="F466" s="4" t="n">
        <v>21</v>
      </c>
      <c r="G466" s="4" t="n">
        <v>6</v>
      </c>
      <c r="H466" s="4" t="n">
        <v>4</v>
      </c>
      <c r="I466" s="4" t="str">
        <v>×</v>
      </c>
      <c r="J466" s="4"/>
      <c r="K466" s="4"/>
      <c r="L466" s="4"/>
      <c r="M466" s="5" t="s">
        <v>15</v>
      </c>
    </row>
    <row r="467" customFormat="false" ht="15.75" hidden="false" customHeight="false" outlineLevel="0" collapsed="false">
      <c r="A467" s="3" t="n">
        <v>46229</v>
      </c>
      <c r="B467" s="4" t="s">
        <v>13</v>
      </c>
      <c r="C467" s="4" t="n">
        <v>2</v>
      </c>
      <c r="D467" s="4" t="n">
        <v>6</v>
      </c>
      <c r="E467" s="4" t="s">
        <v>482</v>
      </c>
      <c r="F467" s="4" t="n">
        <v>21</v>
      </c>
      <c r="G467" s="4" t="n">
        <v>6</v>
      </c>
      <c r="H467" s="4" t="n">
        <v>1</v>
      </c>
      <c r="I467" s="4" t="str">
        <v>○</v>
      </c>
      <c r="J467" s="4" t="n">
        <v>150</v>
      </c>
      <c r="K467" s="4"/>
      <c r="L467" s="4"/>
      <c r="M467" s="5" t="s">
        <v>15</v>
      </c>
    </row>
    <row r="468" customFormat="false" ht="15.75" hidden="false" customHeight="false" outlineLevel="0" collapsed="false">
      <c r="A468" s="3" t="n">
        <v>46229</v>
      </c>
      <c r="B468" s="4" t="s">
        <v>13</v>
      </c>
      <c r="C468" s="4" t="n">
        <v>2</v>
      </c>
      <c r="D468" s="4" t="n">
        <v>7</v>
      </c>
      <c r="E468" s="4" t="s">
        <v>483</v>
      </c>
      <c r="F468" s="4" t="n">
        <v>8</v>
      </c>
      <c r="G468" s="4" t="n">
        <v>8</v>
      </c>
      <c r="H468" s="4" t="n">
        <v>4</v>
      </c>
      <c r="I468" s="4" t="str">
        <v>×</v>
      </c>
      <c r="J468" s="4"/>
      <c r="K468" s="4"/>
      <c r="L468" s="4"/>
      <c r="M468" s="5" t="s">
        <v>15</v>
      </c>
    </row>
    <row r="469" customFormat="false" ht="15.75" hidden="false" customHeight="false" outlineLevel="0" collapsed="false">
      <c r="A469" s="3" t="n">
        <v>46229</v>
      </c>
      <c r="B469" s="4" t="s">
        <v>13</v>
      </c>
      <c r="C469" s="4" t="n">
        <v>2</v>
      </c>
      <c r="D469" s="4" t="n">
        <v>8</v>
      </c>
      <c r="E469" s="4" t="s">
        <v>484</v>
      </c>
      <c r="F469" s="4" t="n">
        <v>8</v>
      </c>
      <c r="G469" s="4" t="n">
        <v>8</v>
      </c>
      <c r="H469" s="4" t="n">
        <v>4</v>
      </c>
      <c r="I469" s="4" t="str">
        <v>×</v>
      </c>
      <c r="J469" s="4"/>
      <c r="K469" s="4"/>
      <c r="L469" s="4"/>
      <c r="M469" s="5" t="s">
        <v>15</v>
      </c>
    </row>
    <row r="470" customFormat="false" ht="15.75" hidden="false" customHeight="false" outlineLevel="0" collapsed="false">
      <c r="A470" s="3" t="n">
        <v>46229</v>
      </c>
      <c r="B470" s="4" t="s">
        <v>13</v>
      </c>
      <c r="C470" s="4" t="n">
        <v>2</v>
      </c>
      <c r="D470" s="4" t="n">
        <v>9</v>
      </c>
      <c r="E470" s="4" t="s">
        <v>485</v>
      </c>
      <c r="F470" s="4" t="n">
        <v>31</v>
      </c>
      <c r="G470" s="4" t="n">
        <v>1</v>
      </c>
      <c r="H470" s="4" t="n">
        <v>4</v>
      </c>
      <c r="I470" s="4" t="str">
        <v>×</v>
      </c>
      <c r="J470" s="4"/>
      <c r="K470" s="4"/>
      <c r="L470" s="4"/>
      <c r="M470" s="5" t="s">
        <v>15</v>
      </c>
    </row>
    <row r="471" customFormat="false" ht="15.75" hidden="false" customHeight="false" outlineLevel="0" collapsed="false">
      <c r="A471" s="3" t="n">
        <v>46229</v>
      </c>
      <c r="B471" s="4" t="s">
        <v>13</v>
      </c>
      <c r="C471" s="4" t="n">
        <v>3</v>
      </c>
      <c r="D471" s="4" t="n">
        <v>1</v>
      </c>
      <c r="E471" s="4" t="s">
        <v>486</v>
      </c>
      <c r="F471" s="4" t="n">
        <v>34</v>
      </c>
      <c r="G471" s="4" t="n">
        <v>4</v>
      </c>
      <c r="H471" s="4" t="n">
        <v>4</v>
      </c>
      <c r="I471" s="4" t="str">
        <v>×</v>
      </c>
      <c r="J471" s="4"/>
      <c r="K471" s="4"/>
      <c r="L471" s="4"/>
      <c r="M471" s="5" t="s">
        <v>15</v>
      </c>
    </row>
    <row r="472" customFormat="false" ht="15.75" hidden="false" customHeight="false" outlineLevel="0" collapsed="false">
      <c r="A472" s="3" t="n">
        <v>46229</v>
      </c>
      <c r="B472" s="4" t="s">
        <v>13</v>
      </c>
      <c r="C472" s="4" t="n">
        <v>3</v>
      </c>
      <c r="D472" s="4" t="n">
        <v>2</v>
      </c>
      <c r="E472" s="4" t="s">
        <v>487</v>
      </c>
      <c r="F472" s="4" t="n">
        <v>3</v>
      </c>
      <c r="G472" s="4" t="n">
        <v>14</v>
      </c>
      <c r="H472" s="4" t="n">
        <v>4</v>
      </c>
      <c r="I472" s="4" t="str">
        <v>×</v>
      </c>
      <c r="J472" s="4"/>
      <c r="K472" s="4"/>
      <c r="L472" s="4"/>
      <c r="M472" s="5" t="s">
        <v>15</v>
      </c>
    </row>
    <row r="473" customFormat="false" ht="15.75" hidden="false" customHeight="false" outlineLevel="0" collapsed="false">
      <c r="A473" s="3" t="n">
        <v>46229</v>
      </c>
      <c r="B473" s="4" t="s">
        <v>13</v>
      </c>
      <c r="C473" s="4" t="n">
        <v>3</v>
      </c>
      <c r="D473" s="4" t="n">
        <v>3</v>
      </c>
      <c r="E473" s="4" t="s">
        <v>488</v>
      </c>
      <c r="F473" s="4" t="n">
        <v>1</v>
      </c>
      <c r="G473" s="4" t="n">
        <v>15</v>
      </c>
      <c r="H473" s="4" t="n">
        <v>4</v>
      </c>
      <c r="I473" s="4" t="str">
        <v>×</v>
      </c>
      <c r="J473" s="4"/>
      <c r="K473" s="4"/>
      <c r="L473" s="4"/>
      <c r="M473" s="5" t="s">
        <v>15</v>
      </c>
    </row>
    <row r="474" customFormat="false" ht="15.75" hidden="false" customHeight="false" outlineLevel="0" collapsed="false">
      <c r="A474" s="3" t="n">
        <v>46229</v>
      </c>
      <c r="B474" s="4" t="s">
        <v>13</v>
      </c>
      <c r="C474" s="4" t="n">
        <v>3</v>
      </c>
      <c r="D474" s="4" t="n">
        <v>4</v>
      </c>
      <c r="E474" s="4" t="s">
        <v>489</v>
      </c>
      <c r="F474" s="4" t="n">
        <v>4</v>
      </c>
      <c r="G474" s="4" t="n">
        <v>12</v>
      </c>
      <c r="H474" s="4" t="n">
        <v>4</v>
      </c>
      <c r="I474" s="4" t="str">
        <v>×</v>
      </c>
      <c r="J474" s="4"/>
      <c r="K474" s="4"/>
      <c r="L474" s="4"/>
      <c r="M474" s="5" t="s">
        <v>15</v>
      </c>
    </row>
    <row r="475" customFormat="false" ht="15.75" hidden="false" customHeight="false" outlineLevel="0" collapsed="false">
      <c r="A475" s="3" t="n">
        <v>46229</v>
      </c>
      <c r="B475" s="4" t="s">
        <v>13</v>
      </c>
      <c r="C475" s="4" t="n">
        <v>3</v>
      </c>
      <c r="D475" s="4" t="n">
        <v>5</v>
      </c>
      <c r="E475" s="4" t="s">
        <v>490</v>
      </c>
      <c r="F475" s="4" t="n">
        <v>13</v>
      </c>
      <c r="G475" s="4" t="n">
        <v>7</v>
      </c>
      <c r="H475" s="4" t="n">
        <v>4</v>
      </c>
      <c r="I475" s="4" t="str">
        <v>×</v>
      </c>
      <c r="J475" s="4"/>
      <c r="K475" s="4"/>
      <c r="L475" s="4"/>
      <c r="M475" s="5" t="s">
        <v>15</v>
      </c>
    </row>
    <row r="476" customFormat="false" ht="15.75" hidden="false" customHeight="false" outlineLevel="0" collapsed="false">
      <c r="A476" s="3" t="n">
        <v>46229</v>
      </c>
      <c r="B476" s="4" t="s">
        <v>13</v>
      </c>
      <c r="C476" s="4" t="n">
        <v>3</v>
      </c>
      <c r="D476" s="4" t="n">
        <v>6</v>
      </c>
      <c r="E476" s="4" t="s">
        <v>491</v>
      </c>
      <c r="F476" s="4" t="n">
        <v>25</v>
      </c>
      <c r="G476" s="4" t="n">
        <v>5</v>
      </c>
      <c r="H476" s="4" t="n">
        <v>4</v>
      </c>
      <c r="I476" s="4" t="str">
        <v>×</v>
      </c>
      <c r="J476" s="4"/>
      <c r="K476" s="4"/>
      <c r="L476" s="4"/>
      <c r="M476" s="5" t="s">
        <v>15</v>
      </c>
    </row>
    <row r="477" customFormat="false" ht="15.75" hidden="false" customHeight="false" outlineLevel="0" collapsed="false">
      <c r="A477" s="3" t="n">
        <v>46229</v>
      </c>
      <c r="B477" s="4" t="s">
        <v>13</v>
      </c>
      <c r="C477" s="4" t="n">
        <v>3</v>
      </c>
      <c r="D477" s="4" t="n">
        <v>7</v>
      </c>
      <c r="E477" s="4" t="s">
        <v>492</v>
      </c>
      <c r="F477" s="4" t="n">
        <v>44</v>
      </c>
      <c r="G477" s="4" t="n">
        <v>3</v>
      </c>
      <c r="H477" s="4" t="n">
        <v>1</v>
      </c>
      <c r="I477" s="4" t="str">
        <v>○</v>
      </c>
      <c r="J477" s="4" t="n">
        <v>230</v>
      </c>
      <c r="K477" s="4"/>
      <c r="L477" s="4"/>
      <c r="M477" s="5" t="s">
        <v>15</v>
      </c>
    </row>
    <row r="478" customFormat="false" ht="15.75" hidden="false" customHeight="false" outlineLevel="0" collapsed="false">
      <c r="A478" s="3" t="n">
        <v>46229</v>
      </c>
      <c r="B478" s="4" t="s">
        <v>13</v>
      </c>
      <c r="C478" s="4" t="n">
        <v>3</v>
      </c>
      <c r="D478" s="4" t="n">
        <v>8</v>
      </c>
      <c r="E478" s="4" t="s">
        <v>493</v>
      </c>
      <c r="F478" s="4" t="n">
        <v>62</v>
      </c>
      <c r="G478" s="4" t="n">
        <v>1</v>
      </c>
      <c r="H478" s="4" t="n">
        <v>4</v>
      </c>
      <c r="I478" s="4" t="str">
        <v>×</v>
      </c>
      <c r="J478" s="4"/>
      <c r="K478" s="4"/>
      <c r="L478" s="4"/>
      <c r="M478" s="5" t="s">
        <v>15</v>
      </c>
    </row>
    <row r="479" customFormat="false" ht="15.75" hidden="false" customHeight="false" outlineLevel="0" collapsed="false">
      <c r="A479" s="3" t="n">
        <v>46229</v>
      </c>
      <c r="B479" s="4" t="s">
        <v>13</v>
      </c>
      <c r="C479" s="4" t="n">
        <v>3</v>
      </c>
      <c r="D479" s="4" t="n">
        <v>9</v>
      </c>
      <c r="E479" s="4" t="s">
        <v>494</v>
      </c>
      <c r="F479" s="4" t="n">
        <v>10</v>
      </c>
      <c r="G479" s="4" t="n">
        <v>9</v>
      </c>
      <c r="H479" s="4" t="n">
        <v>4</v>
      </c>
      <c r="I479" s="4" t="str">
        <v>×</v>
      </c>
      <c r="J479" s="4"/>
      <c r="K479" s="4"/>
      <c r="L479" s="4"/>
      <c r="M479" s="5" t="s">
        <v>15</v>
      </c>
    </row>
    <row r="480" customFormat="false" ht="15.75" hidden="false" customHeight="false" outlineLevel="0" collapsed="false">
      <c r="A480" s="3" t="n">
        <v>46229</v>
      </c>
      <c r="B480" s="4" t="s">
        <v>13</v>
      </c>
      <c r="C480" s="4" t="n">
        <v>3</v>
      </c>
      <c r="D480" s="4" t="n">
        <v>10</v>
      </c>
      <c r="E480" s="4" t="s">
        <v>495</v>
      </c>
      <c r="F480" s="4" t="n">
        <v>8</v>
      </c>
      <c r="G480" s="4" t="n">
        <v>11</v>
      </c>
      <c r="H480" s="4" t="n">
        <v>4</v>
      </c>
      <c r="I480" s="4" t="str">
        <v>×</v>
      </c>
      <c r="J480" s="4"/>
      <c r="K480" s="4"/>
      <c r="L480" s="4"/>
      <c r="M480" s="5" t="s">
        <v>15</v>
      </c>
    </row>
    <row r="481" customFormat="false" ht="15.75" hidden="false" customHeight="false" outlineLevel="0" collapsed="false">
      <c r="A481" s="3" t="n">
        <v>46229</v>
      </c>
      <c r="B481" s="4" t="s">
        <v>13</v>
      </c>
      <c r="C481" s="4" t="n">
        <v>3</v>
      </c>
      <c r="D481" s="4" t="n">
        <v>11</v>
      </c>
      <c r="E481" s="4" t="s">
        <v>496</v>
      </c>
      <c r="F481" s="4" t="n">
        <v>50</v>
      </c>
      <c r="G481" s="4" t="n">
        <v>2</v>
      </c>
      <c r="H481" s="4" t="n">
        <v>4</v>
      </c>
      <c r="I481" s="4" t="str">
        <v>×</v>
      </c>
      <c r="J481" s="4"/>
      <c r="K481" s="4"/>
      <c r="L481" s="4"/>
      <c r="M481" s="5" t="s">
        <v>15</v>
      </c>
    </row>
    <row r="482" customFormat="false" ht="15.75" hidden="false" customHeight="false" outlineLevel="0" collapsed="false">
      <c r="A482" s="3" t="n">
        <v>46229</v>
      </c>
      <c r="B482" s="4" t="s">
        <v>13</v>
      </c>
      <c r="C482" s="4" t="n">
        <v>3</v>
      </c>
      <c r="D482" s="4" t="n">
        <v>12</v>
      </c>
      <c r="E482" s="4" t="s">
        <v>497</v>
      </c>
      <c r="F482" s="4" t="n">
        <v>4</v>
      </c>
      <c r="G482" s="4" t="n">
        <v>12</v>
      </c>
      <c r="H482" s="4" t="n">
        <v>4</v>
      </c>
      <c r="I482" s="4" t="str">
        <v>×</v>
      </c>
      <c r="J482" s="4"/>
      <c r="K482" s="4"/>
      <c r="L482" s="4"/>
      <c r="M482" s="5" t="s">
        <v>15</v>
      </c>
    </row>
    <row r="483" customFormat="false" ht="15.75" hidden="false" customHeight="false" outlineLevel="0" collapsed="false">
      <c r="A483" s="3" t="n">
        <v>46229</v>
      </c>
      <c r="B483" s="4" t="s">
        <v>13</v>
      </c>
      <c r="C483" s="4" t="n">
        <v>3</v>
      </c>
      <c r="D483" s="4" t="n">
        <v>13</v>
      </c>
      <c r="E483" s="4" t="s">
        <v>498</v>
      </c>
      <c r="F483" s="4" t="n">
        <v>13</v>
      </c>
      <c r="G483" s="4" t="n">
        <v>7</v>
      </c>
      <c r="H483" s="4" t="n">
        <v>3</v>
      </c>
      <c r="I483" s="4" t="str">
        <v>○</v>
      </c>
      <c r="J483" s="4" t="n">
        <v>650</v>
      </c>
      <c r="K483" s="4"/>
      <c r="L483" s="4"/>
      <c r="M483" s="5" t="s">
        <v>15</v>
      </c>
    </row>
    <row r="484" customFormat="false" ht="15.75" hidden="false" customHeight="false" outlineLevel="0" collapsed="false">
      <c r="A484" s="3" t="n">
        <v>46229</v>
      </c>
      <c r="B484" s="4" t="s">
        <v>13</v>
      </c>
      <c r="C484" s="4" t="n">
        <v>3</v>
      </c>
      <c r="D484" s="4" t="n">
        <v>14</v>
      </c>
      <c r="E484" s="4" t="s">
        <v>499</v>
      </c>
      <c r="F484" s="4" t="n">
        <v>10</v>
      </c>
      <c r="G484" s="4" t="n">
        <v>9</v>
      </c>
      <c r="H484" s="4" t="n">
        <v>4</v>
      </c>
      <c r="I484" s="4" t="str">
        <v>×</v>
      </c>
      <c r="J484" s="4"/>
      <c r="K484" s="4"/>
      <c r="L484" s="4"/>
      <c r="M484" s="5" t="s">
        <v>15</v>
      </c>
    </row>
    <row r="485" customFormat="false" ht="15.75" hidden="false" customHeight="false" outlineLevel="0" collapsed="false">
      <c r="A485" s="3" t="n">
        <v>46229</v>
      </c>
      <c r="B485" s="4" t="s">
        <v>13</v>
      </c>
      <c r="C485" s="4" t="n">
        <v>3</v>
      </c>
      <c r="D485" s="4" t="n">
        <v>15</v>
      </c>
      <c r="E485" s="4" t="s">
        <v>500</v>
      </c>
      <c r="F485" s="4" t="n">
        <v>23</v>
      </c>
      <c r="G485" s="4" t="n">
        <v>6</v>
      </c>
      <c r="H485" s="4" t="n">
        <v>2</v>
      </c>
      <c r="I485" s="4" t="str">
        <v>○</v>
      </c>
      <c r="J485" s="4" t="n">
        <v>230</v>
      </c>
      <c r="K485" s="4"/>
      <c r="L485" s="4"/>
      <c r="M485" s="5" t="s">
        <v>15</v>
      </c>
    </row>
    <row r="486" customFormat="false" ht="15.75" hidden="false" customHeight="false" outlineLevel="0" collapsed="false">
      <c r="A486" s="3" t="n">
        <v>46229</v>
      </c>
      <c r="B486" s="4" t="s">
        <v>13</v>
      </c>
      <c r="C486" s="4" t="n">
        <v>4</v>
      </c>
      <c r="D486" s="4" t="n">
        <v>1</v>
      </c>
      <c r="E486" s="4" t="s">
        <v>501</v>
      </c>
      <c r="F486" s="4" t="n">
        <v>31</v>
      </c>
      <c r="G486" s="4" t="n">
        <v>4</v>
      </c>
      <c r="H486" s="4" t="n">
        <v>1</v>
      </c>
      <c r="I486" s="4" t="str">
        <v>○</v>
      </c>
      <c r="J486" s="4" t="n">
        <v>370</v>
      </c>
      <c r="K486" s="4"/>
      <c r="L486" s="4"/>
      <c r="M486" s="5" t="s">
        <v>15</v>
      </c>
    </row>
    <row r="487" customFormat="false" ht="15.75" hidden="false" customHeight="false" outlineLevel="0" collapsed="false">
      <c r="A487" s="3" t="n">
        <v>46229</v>
      </c>
      <c r="B487" s="4" t="s">
        <v>13</v>
      </c>
      <c r="C487" s="4" t="n">
        <v>4</v>
      </c>
      <c r="D487" s="4" t="n">
        <v>2</v>
      </c>
      <c r="E487" s="4" t="s">
        <v>502</v>
      </c>
      <c r="F487" s="4" t="n">
        <v>37</v>
      </c>
      <c r="G487" s="4" t="n">
        <v>2</v>
      </c>
      <c r="H487" s="4" t="n">
        <v>4</v>
      </c>
      <c r="I487" s="4" t="str">
        <v>×</v>
      </c>
      <c r="J487" s="4"/>
      <c r="K487" s="4"/>
      <c r="L487" s="4"/>
      <c r="M487" s="5" t="s">
        <v>15</v>
      </c>
    </row>
    <row r="488" customFormat="false" ht="15.75" hidden="false" customHeight="false" outlineLevel="0" collapsed="false">
      <c r="A488" s="3" t="n">
        <v>46229</v>
      </c>
      <c r="B488" s="4" t="s">
        <v>13</v>
      </c>
      <c r="C488" s="4" t="n">
        <v>4</v>
      </c>
      <c r="D488" s="4" t="n">
        <v>3</v>
      </c>
      <c r="E488" s="4" t="s">
        <v>503</v>
      </c>
      <c r="F488" s="4" t="n">
        <v>15</v>
      </c>
      <c r="G488" s="4" t="n">
        <v>10</v>
      </c>
      <c r="H488" s="4" t="n">
        <v>4</v>
      </c>
      <c r="I488" s="4" t="str">
        <v>×</v>
      </c>
      <c r="J488" s="4"/>
      <c r="K488" s="4"/>
      <c r="L488" s="4"/>
      <c r="M488" s="5" t="s">
        <v>15</v>
      </c>
    </row>
    <row r="489" customFormat="false" ht="15.75" hidden="false" customHeight="false" outlineLevel="0" collapsed="false">
      <c r="A489" s="3" t="n">
        <v>46229</v>
      </c>
      <c r="B489" s="4" t="s">
        <v>13</v>
      </c>
      <c r="C489" s="4" t="n">
        <v>4</v>
      </c>
      <c r="D489" s="4" t="n">
        <v>4</v>
      </c>
      <c r="E489" s="4" t="s">
        <v>504</v>
      </c>
      <c r="F489" s="4" t="n">
        <v>4</v>
      </c>
      <c r="G489" s="4" t="n">
        <v>15</v>
      </c>
      <c r="H489" s="4" t="n">
        <v>4</v>
      </c>
      <c r="I489" s="4" t="str">
        <v>×</v>
      </c>
      <c r="J489" s="4"/>
      <c r="K489" s="4"/>
      <c r="L489" s="4"/>
      <c r="M489" s="5" t="s">
        <v>15</v>
      </c>
    </row>
    <row r="490" customFormat="false" ht="15.75" hidden="false" customHeight="false" outlineLevel="0" collapsed="false">
      <c r="A490" s="3" t="n">
        <v>46229</v>
      </c>
      <c r="B490" s="4" t="s">
        <v>13</v>
      </c>
      <c r="C490" s="4" t="n">
        <v>4</v>
      </c>
      <c r="D490" s="4" t="n">
        <v>5</v>
      </c>
      <c r="E490" s="4" t="s">
        <v>505</v>
      </c>
      <c r="F490" s="4" t="n">
        <v>8</v>
      </c>
      <c r="G490" s="4" t="n">
        <v>12</v>
      </c>
      <c r="H490" s="4" t="n">
        <v>4</v>
      </c>
      <c r="I490" s="4" t="str">
        <v>×</v>
      </c>
      <c r="J490" s="4"/>
      <c r="K490" s="4"/>
      <c r="L490" s="4"/>
      <c r="M490" s="5" t="s">
        <v>15</v>
      </c>
    </row>
    <row r="491" customFormat="false" ht="15.75" hidden="false" customHeight="false" outlineLevel="0" collapsed="false">
      <c r="A491" s="3" t="n">
        <v>46229</v>
      </c>
      <c r="B491" s="4" t="s">
        <v>13</v>
      </c>
      <c r="C491" s="4" t="n">
        <v>4</v>
      </c>
      <c r="D491" s="4" t="n">
        <v>6</v>
      </c>
      <c r="E491" s="4" t="s">
        <v>506</v>
      </c>
      <c r="F491" s="4" t="n">
        <v>17</v>
      </c>
      <c r="G491" s="4" t="n">
        <v>7</v>
      </c>
      <c r="H491" s="4" t="n">
        <v>4</v>
      </c>
      <c r="I491" s="4" t="str">
        <v>×</v>
      </c>
      <c r="J491" s="4"/>
      <c r="K491" s="4"/>
      <c r="L491" s="4"/>
      <c r="M491" s="5" t="s">
        <v>15</v>
      </c>
    </row>
    <row r="492" customFormat="false" ht="15.75" hidden="false" customHeight="false" outlineLevel="0" collapsed="false">
      <c r="A492" s="3" t="n">
        <v>46229</v>
      </c>
      <c r="B492" s="4" t="s">
        <v>13</v>
      </c>
      <c r="C492" s="4" t="n">
        <v>4</v>
      </c>
      <c r="D492" s="4" t="n">
        <v>7</v>
      </c>
      <c r="E492" s="4" t="s">
        <v>507</v>
      </c>
      <c r="F492" s="4" t="n">
        <v>6</v>
      </c>
      <c r="G492" s="4" t="n">
        <v>14</v>
      </c>
      <c r="H492" s="4" t="n">
        <v>2</v>
      </c>
      <c r="I492" s="4" t="str">
        <v>○</v>
      </c>
      <c r="J492" s="4" t="n">
        <v>1480</v>
      </c>
      <c r="K492" s="4"/>
      <c r="L492" s="4"/>
      <c r="M492" s="5" t="s">
        <v>15</v>
      </c>
    </row>
    <row r="493" customFormat="false" ht="15.75" hidden="false" customHeight="false" outlineLevel="0" collapsed="false">
      <c r="A493" s="3" t="n">
        <v>46229</v>
      </c>
      <c r="B493" s="4" t="s">
        <v>13</v>
      </c>
      <c r="C493" s="4" t="n">
        <v>4</v>
      </c>
      <c r="D493" s="4" t="n">
        <v>8</v>
      </c>
      <c r="E493" s="4" t="s">
        <v>508</v>
      </c>
      <c r="F493" s="4" t="n">
        <v>37</v>
      </c>
      <c r="G493" s="4" t="n">
        <v>2</v>
      </c>
      <c r="H493" s="4" t="n">
        <v>4</v>
      </c>
      <c r="I493" s="4" t="str">
        <v>×</v>
      </c>
      <c r="J493" s="4"/>
      <c r="K493" s="4"/>
      <c r="L493" s="4"/>
      <c r="M493" s="5" t="s">
        <v>15</v>
      </c>
    </row>
    <row r="494" customFormat="false" ht="15.75" hidden="false" customHeight="false" outlineLevel="0" collapsed="false">
      <c r="A494" s="3" t="n">
        <v>46229</v>
      </c>
      <c r="B494" s="4" t="s">
        <v>13</v>
      </c>
      <c r="C494" s="4" t="n">
        <v>4</v>
      </c>
      <c r="D494" s="4" t="n">
        <v>9</v>
      </c>
      <c r="E494" s="4" t="s">
        <v>509</v>
      </c>
      <c r="F494" s="4" t="n">
        <v>8</v>
      </c>
      <c r="G494" s="4" t="n">
        <v>12</v>
      </c>
      <c r="H494" s="4" t="n">
        <v>4</v>
      </c>
      <c r="I494" s="4" t="str">
        <v>×</v>
      </c>
      <c r="J494" s="4"/>
      <c r="K494" s="4"/>
      <c r="L494" s="4"/>
      <c r="M494" s="5" t="s">
        <v>15</v>
      </c>
    </row>
    <row r="495" customFormat="false" ht="15.75" hidden="false" customHeight="false" outlineLevel="0" collapsed="false">
      <c r="A495" s="3" t="n">
        <v>46229</v>
      </c>
      <c r="B495" s="4" t="s">
        <v>13</v>
      </c>
      <c r="C495" s="4" t="n">
        <v>4</v>
      </c>
      <c r="D495" s="4" t="n">
        <v>10</v>
      </c>
      <c r="E495" s="4" t="s">
        <v>510</v>
      </c>
      <c r="F495" s="4" t="n">
        <v>17</v>
      </c>
      <c r="G495" s="4" t="n">
        <v>7</v>
      </c>
      <c r="H495" s="4" t="n">
        <v>4</v>
      </c>
      <c r="I495" s="4" t="str">
        <v>×</v>
      </c>
      <c r="J495" s="4"/>
      <c r="K495" s="4"/>
      <c r="L495" s="4"/>
      <c r="M495" s="5" t="s">
        <v>15</v>
      </c>
    </row>
    <row r="496" customFormat="false" ht="15.75" hidden="false" customHeight="false" outlineLevel="0" collapsed="false">
      <c r="A496" s="3" t="n">
        <v>46229</v>
      </c>
      <c r="B496" s="4" t="s">
        <v>13</v>
      </c>
      <c r="C496" s="4" t="n">
        <v>4</v>
      </c>
      <c r="D496" s="4" t="n">
        <v>11</v>
      </c>
      <c r="E496" s="4" t="s">
        <v>511</v>
      </c>
      <c r="F496" s="4" t="n">
        <v>20</v>
      </c>
      <c r="G496" s="4" t="n">
        <v>5</v>
      </c>
      <c r="H496" s="4" t="n">
        <v>3</v>
      </c>
      <c r="I496" s="4" t="str">
        <v>○</v>
      </c>
      <c r="J496" s="4" t="n">
        <v>380</v>
      </c>
      <c r="K496" s="4"/>
      <c r="L496" s="4"/>
      <c r="M496" s="5" t="s">
        <v>15</v>
      </c>
    </row>
    <row r="497" customFormat="false" ht="15.75" hidden="false" customHeight="false" outlineLevel="0" collapsed="false">
      <c r="A497" s="3" t="n">
        <v>46229</v>
      </c>
      <c r="B497" s="4" t="s">
        <v>13</v>
      </c>
      <c r="C497" s="4" t="n">
        <v>4</v>
      </c>
      <c r="D497" s="4" t="n">
        <v>12</v>
      </c>
      <c r="E497" s="4" t="s">
        <v>512</v>
      </c>
      <c r="F497" s="4" t="n">
        <v>13</v>
      </c>
      <c r="G497" s="4" t="n">
        <v>11</v>
      </c>
      <c r="H497" s="4" t="n">
        <v>4</v>
      </c>
      <c r="I497" s="4" t="str">
        <v>×</v>
      </c>
      <c r="J497" s="4"/>
      <c r="K497" s="4"/>
      <c r="L497" s="4"/>
      <c r="M497" s="5" t="s">
        <v>15</v>
      </c>
    </row>
    <row r="498" customFormat="false" ht="15.75" hidden="false" customHeight="false" outlineLevel="0" collapsed="false">
      <c r="A498" s="3" t="n">
        <v>46229</v>
      </c>
      <c r="B498" s="4" t="s">
        <v>13</v>
      </c>
      <c r="C498" s="4" t="n">
        <v>4</v>
      </c>
      <c r="D498" s="4" t="n">
        <v>13</v>
      </c>
      <c r="E498" s="4" t="s">
        <v>513</v>
      </c>
      <c r="F498" s="4" t="n">
        <v>4</v>
      </c>
      <c r="G498" s="4" t="n">
        <v>15</v>
      </c>
      <c r="H498" s="4" t="n">
        <v>4</v>
      </c>
      <c r="I498" s="4" t="str">
        <v>×</v>
      </c>
      <c r="J498" s="4"/>
      <c r="K498" s="4"/>
      <c r="L498" s="4"/>
      <c r="M498" s="5" t="s">
        <v>15</v>
      </c>
    </row>
    <row r="499" customFormat="false" ht="15.75" hidden="false" customHeight="false" outlineLevel="0" collapsed="false">
      <c r="A499" s="3" t="n">
        <v>46229</v>
      </c>
      <c r="B499" s="4" t="s">
        <v>13</v>
      </c>
      <c r="C499" s="4" t="n">
        <v>4</v>
      </c>
      <c r="D499" s="4" t="n">
        <v>14</v>
      </c>
      <c r="E499" s="4" t="s">
        <v>514</v>
      </c>
      <c r="F499" s="4" t="n">
        <v>67</v>
      </c>
      <c r="G499" s="4" t="n">
        <v>1</v>
      </c>
      <c r="H499" s="4" t="n">
        <v>4</v>
      </c>
      <c r="I499" s="4" t="str">
        <v>×</v>
      </c>
      <c r="J499" s="4"/>
      <c r="K499" s="4"/>
      <c r="L499" s="4"/>
      <c r="M499" s="5" t="s">
        <v>15</v>
      </c>
    </row>
    <row r="500" customFormat="false" ht="15.75" hidden="false" customHeight="false" outlineLevel="0" collapsed="false">
      <c r="A500" s="3" t="n">
        <v>46229</v>
      </c>
      <c r="B500" s="4" t="s">
        <v>13</v>
      </c>
      <c r="C500" s="4" t="n">
        <v>4</v>
      </c>
      <c r="D500" s="4" t="n">
        <v>15</v>
      </c>
      <c r="E500" s="4" t="s">
        <v>515</v>
      </c>
      <c r="F500" s="4" t="n">
        <v>1</v>
      </c>
      <c r="G500" s="4" t="n">
        <v>17</v>
      </c>
      <c r="H500" s="4" t="n">
        <v>4</v>
      </c>
      <c r="I500" s="4" t="str">
        <v>×</v>
      </c>
      <c r="J500" s="4"/>
      <c r="K500" s="4"/>
      <c r="L500" s="4"/>
      <c r="M500" s="5" t="s">
        <v>15</v>
      </c>
    </row>
    <row r="501" customFormat="false" ht="15.75" hidden="false" customHeight="false" outlineLevel="0" collapsed="false">
      <c r="A501" s="3" t="n">
        <v>46229</v>
      </c>
      <c r="B501" s="4" t="s">
        <v>13</v>
      </c>
      <c r="C501" s="4" t="n">
        <v>4</v>
      </c>
      <c r="D501" s="4" t="n">
        <v>16</v>
      </c>
      <c r="E501" s="4" t="s">
        <v>516</v>
      </c>
      <c r="F501" s="4" t="n">
        <v>20</v>
      </c>
      <c r="G501" s="4" t="n">
        <v>5</v>
      </c>
      <c r="H501" s="4" t="n">
        <v>4</v>
      </c>
      <c r="I501" s="4" t="str">
        <v>×</v>
      </c>
      <c r="J501" s="4"/>
      <c r="K501" s="4"/>
      <c r="L501" s="4"/>
      <c r="M501" s="5" t="s">
        <v>15</v>
      </c>
    </row>
    <row r="502" customFormat="false" ht="15.75" hidden="false" customHeight="false" outlineLevel="0" collapsed="false">
      <c r="A502" s="3" t="n">
        <v>46229</v>
      </c>
      <c r="B502" s="4" t="s">
        <v>13</v>
      </c>
      <c r="C502" s="4" t="n">
        <v>4</v>
      </c>
      <c r="D502" s="4" t="n">
        <v>17</v>
      </c>
      <c r="E502" s="4" t="s">
        <v>517</v>
      </c>
      <c r="F502" s="4" t="n">
        <v>1</v>
      </c>
      <c r="G502" s="4" t="n">
        <v>17</v>
      </c>
      <c r="H502" s="4" t="n">
        <v>4</v>
      </c>
      <c r="I502" s="4" t="str">
        <v>×</v>
      </c>
      <c r="J502" s="4"/>
      <c r="K502" s="4"/>
      <c r="L502" s="4"/>
      <c r="M502" s="5" t="s">
        <v>15</v>
      </c>
    </row>
    <row r="503" customFormat="false" ht="15.75" hidden="false" customHeight="false" outlineLevel="0" collapsed="false">
      <c r="A503" s="3" t="n">
        <v>46229</v>
      </c>
      <c r="B503" s="4" t="s">
        <v>13</v>
      </c>
      <c r="C503" s="4" t="n">
        <v>4</v>
      </c>
      <c r="D503" s="4" t="n">
        <v>18</v>
      </c>
      <c r="E503" s="4" t="s">
        <v>518</v>
      </c>
      <c r="F503" s="4" t="n">
        <v>17</v>
      </c>
      <c r="G503" s="4" t="n">
        <v>7</v>
      </c>
      <c r="H503" s="4" t="n">
        <v>4</v>
      </c>
      <c r="I503" s="4" t="str">
        <v>×</v>
      </c>
      <c r="J503" s="4"/>
      <c r="K503" s="4"/>
      <c r="L503" s="4"/>
      <c r="M503" s="5" t="s">
        <v>15</v>
      </c>
    </row>
    <row r="504" customFormat="false" ht="15.75" hidden="false" customHeight="false" outlineLevel="0" collapsed="false">
      <c r="A504" s="3" t="n">
        <v>46229</v>
      </c>
      <c r="B504" s="4" t="s">
        <v>13</v>
      </c>
      <c r="C504" s="4" t="n">
        <v>5</v>
      </c>
      <c r="D504" s="4" t="n">
        <v>1</v>
      </c>
      <c r="E504" s="4" t="s">
        <v>519</v>
      </c>
      <c r="F504" s="4" t="n">
        <v>13</v>
      </c>
      <c r="G504" s="4" t="n">
        <v>8</v>
      </c>
      <c r="H504" s="4" t="n">
        <v>4</v>
      </c>
      <c r="I504" s="4" t="str">
        <v>×</v>
      </c>
      <c r="J504" s="4"/>
      <c r="K504" s="4"/>
      <c r="L504" s="4"/>
      <c r="M504" s="5" t="s">
        <v>15</v>
      </c>
    </row>
    <row r="505" customFormat="false" ht="15.75" hidden="false" customHeight="false" outlineLevel="0" collapsed="false">
      <c r="A505" s="3" t="n">
        <v>46229</v>
      </c>
      <c r="B505" s="4" t="s">
        <v>13</v>
      </c>
      <c r="C505" s="4" t="n">
        <v>5</v>
      </c>
      <c r="D505" s="4" t="n">
        <v>2</v>
      </c>
      <c r="E505" s="4" t="s">
        <v>520</v>
      </c>
      <c r="F505" s="4" t="n">
        <v>13</v>
      </c>
      <c r="G505" s="4" t="n">
        <v>8</v>
      </c>
      <c r="H505" s="4" t="n">
        <v>4</v>
      </c>
      <c r="I505" s="4" t="str">
        <v>×</v>
      </c>
      <c r="J505" s="4"/>
      <c r="K505" s="4"/>
      <c r="L505" s="4"/>
      <c r="M505" s="5" t="s">
        <v>15</v>
      </c>
    </row>
    <row r="506" customFormat="false" ht="15.75" hidden="false" customHeight="false" outlineLevel="0" collapsed="false">
      <c r="A506" s="3" t="n">
        <v>46229</v>
      </c>
      <c r="B506" s="4" t="s">
        <v>13</v>
      </c>
      <c r="C506" s="4" t="n">
        <v>5</v>
      </c>
      <c r="D506" s="4" t="n">
        <v>3</v>
      </c>
      <c r="E506" s="4" t="s">
        <v>521</v>
      </c>
      <c r="F506" s="4" t="n">
        <v>37</v>
      </c>
      <c r="G506" s="4" t="n">
        <v>4</v>
      </c>
      <c r="H506" s="4" t="n">
        <v>4</v>
      </c>
      <c r="I506" s="4" t="str">
        <v>×</v>
      </c>
      <c r="J506" s="4"/>
      <c r="K506" s="4"/>
      <c r="L506" s="4"/>
      <c r="M506" s="5" t="s">
        <v>15</v>
      </c>
    </row>
    <row r="507" customFormat="false" ht="15.75" hidden="false" customHeight="false" outlineLevel="0" collapsed="false">
      <c r="A507" s="3" t="n">
        <v>46229</v>
      </c>
      <c r="B507" s="4" t="s">
        <v>13</v>
      </c>
      <c r="C507" s="4" t="n">
        <v>5</v>
      </c>
      <c r="D507" s="4" t="n">
        <v>4</v>
      </c>
      <c r="E507" s="4" t="s">
        <v>522</v>
      </c>
      <c r="F507" s="4" t="n">
        <v>6</v>
      </c>
      <c r="G507" s="4" t="n">
        <v>11</v>
      </c>
      <c r="H507" s="4" t="n">
        <v>4</v>
      </c>
      <c r="I507" s="4" t="str">
        <v>×</v>
      </c>
      <c r="J507" s="4"/>
      <c r="K507" s="4"/>
      <c r="L507" s="4"/>
      <c r="M507" s="5" t="s">
        <v>15</v>
      </c>
    </row>
    <row r="508" customFormat="false" ht="15.75" hidden="false" customHeight="false" outlineLevel="0" collapsed="false">
      <c r="A508" s="3" t="n">
        <v>46229</v>
      </c>
      <c r="B508" s="4" t="s">
        <v>13</v>
      </c>
      <c r="C508" s="4" t="n">
        <v>5</v>
      </c>
      <c r="D508" s="4" t="n">
        <v>5</v>
      </c>
      <c r="E508" s="4" t="s">
        <v>523</v>
      </c>
      <c r="F508" s="4" t="n">
        <v>1</v>
      </c>
      <c r="G508" s="4" t="n">
        <v>14</v>
      </c>
      <c r="H508" s="4" t="n">
        <v>4</v>
      </c>
      <c r="I508" s="4" t="str">
        <v>×</v>
      </c>
      <c r="J508" s="4"/>
      <c r="K508" s="4"/>
      <c r="L508" s="4"/>
      <c r="M508" s="5" t="s">
        <v>15</v>
      </c>
    </row>
    <row r="509" customFormat="false" ht="15.75" hidden="false" customHeight="false" outlineLevel="0" collapsed="false">
      <c r="A509" s="3" t="n">
        <v>46229</v>
      </c>
      <c r="B509" s="4" t="s">
        <v>13</v>
      </c>
      <c r="C509" s="4" t="n">
        <v>5</v>
      </c>
      <c r="D509" s="4" t="n">
        <v>6</v>
      </c>
      <c r="E509" s="4" t="s">
        <v>524</v>
      </c>
      <c r="F509" s="4" t="n">
        <v>29</v>
      </c>
      <c r="G509" s="4" t="n">
        <v>6</v>
      </c>
      <c r="H509" s="4" t="n">
        <v>4</v>
      </c>
      <c r="I509" s="4" t="str">
        <v>×</v>
      </c>
      <c r="J509" s="4"/>
      <c r="K509" s="4"/>
      <c r="L509" s="4"/>
      <c r="M509" s="5" t="s">
        <v>15</v>
      </c>
    </row>
    <row r="510" customFormat="false" ht="15.75" hidden="false" customHeight="false" outlineLevel="0" collapsed="false">
      <c r="A510" s="3" t="n">
        <v>46229</v>
      </c>
      <c r="B510" s="4" t="s">
        <v>13</v>
      </c>
      <c r="C510" s="4" t="n">
        <v>5</v>
      </c>
      <c r="D510" s="4" t="n">
        <v>7</v>
      </c>
      <c r="E510" s="4" t="s">
        <v>525</v>
      </c>
      <c r="F510" s="4" t="n">
        <v>8</v>
      </c>
      <c r="G510" s="4" t="n">
        <v>10</v>
      </c>
      <c r="H510" s="4" t="n">
        <v>4</v>
      </c>
      <c r="I510" s="4" t="str">
        <v>×</v>
      </c>
      <c r="J510" s="4"/>
      <c r="K510" s="4"/>
      <c r="L510" s="4"/>
      <c r="M510" s="5" t="s">
        <v>15</v>
      </c>
    </row>
    <row r="511" customFormat="false" ht="15.75" hidden="false" customHeight="false" outlineLevel="0" collapsed="false">
      <c r="A511" s="3" t="n">
        <v>46229</v>
      </c>
      <c r="B511" s="4" t="s">
        <v>13</v>
      </c>
      <c r="C511" s="4" t="n">
        <v>5</v>
      </c>
      <c r="D511" s="4" t="n">
        <v>8</v>
      </c>
      <c r="E511" s="4" t="s">
        <v>526</v>
      </c>
      <c r="F511" s="4" t="n">
        <v>47</v>
      </c>
      <c r="G511" s="4" t="n">
        <v>2</v>
      </c>
      <c r="H511" s="4" t="n">
        <v>4</v>
      </c>
      <c r="I511" s="4" t="str">
        <v>×</v>
      </c>
      <c r="J511" s="4"/>
      <c r="K511" s="4"/>
      <c r="L511" s="4"/>
      <c r="M511" s="5" t="s">
        <v>15</v>
      </c>
    </row>
    <row r="512" customFormat="false" ht="15.75" hidden="false" customHeight="false" outlineLevel="0" collapsed="false">
      <c r="A512" s="3" t="n">
        <v>46229</v>
      </c>
      <c r="B512" s="4" t="s">
        <v>13</v>
      </c>
      <c r="C512" s="4" t="n">
        <v>5</v>
      </c>
      <c r="D512" s="4" t="n">
        <v>9</v>
      </c>
      <c r="E512" s="4" t="s">
        <v>527</v>
      </c>
      <c r="F512" s="4" t="n">
        <v>1</v>
      </c>
      <c r="G512" s="4" t="n">
        <v>14</v>
      </c>
      <c r="H512" s="4" t="n">
        <v>4</v>
      </c>
      <c r="I512" s="4" t="str">
        <v>×</v>
      </c>
      <c r="J512" s="4"/>
      <c r="K512" s="4"/>
      <c r="L512" s="4"/>
      <c r="M512" s="5" t="s">
        <v>15</v>
      </c>
    </row>
    <row r="513" customFormat="false" ht="15.75" hidden="false" customHeight="false" outlineLevel="0" collapsed="false">
      <c r="A513" s="3" t="n">
        <v>46229</v>
      </c>
      <c r="B513" s="4" t="s">
        <v>13</v>
      </c>
      <c r="C513" s="4" t="n">
        <v>5</v>
      </c>
      <c r="D513" s="4" t="n">
        <v>10</v>
      </c>
      <c r="E513" s="4" t="s">
        <v>528</v>
      </c>
      <c r="F513" s="4" t="n">
        <v>41</v>
      </c>
      <c r="G513" s="4" t="n">
        <v>3</v>
      </c>
      <c r="H513" s="4" t="n">
        <v>2</v>
      </c>
      <c r="I513" s="4" t="str">
        <v>○</v>
      </c>
      <c r="J513" s="4" t="n">
        <v>130</v>
      </c>
      <c r="K513" s="4"/>
      <c r="L513" s="4"/>
      <c r="M513" s="5" t="s">
        <v>15</v>
      </c>
    </row>
    <row r="514" customFormat="false" ht="15.75" hidden="false" customHeight="false" outlineLevel="0" collapsed="false">
      <c r="A514" s="3" t="n">
        <v>46229</v>
      </c>
      <c r="B514" s="4" t="s">
        <v>13</v>
      </c>
      <c r="C514" s="4" t="n">
        <v>5</v>
      </c>
      <c r="D514" s="4" t="n">
        <v>11</v>
      </c>
      <c r="E514" s="4" t="s">
        <v>529</v>
      </c>
      <c r="F514" s="4" t="n">
        <v>34</v>
      </c>
      <c r="G514" s="4" t="n">
        <v>5</v>
      </c>
      <c r="H514" s="4" t="n">
        <v>1</v>
      </c>
      <c r="I514" s="4" t="str">
        <v>○</v>
      </c>
      <c r="J514" s="4" t="n">
        <v>170</v>
      </c>
      <c r="K514" s="4"/>
      <c r="L514" s="4"/>
      <c r="M514" s="5" t="s">
        <v>15</v>
      </c>
    </row>
    <row r="515" customFormat="false" ht="15.75" hidden="false" customHeight="false" outlineLevel="0" collapsed="false">
      <c r="A515" s="3" t="n">
        <v>46229</v>
      </c>
      <c r="B515" s="4" t="s">
        <v>13</v>
      </c>
      <c r="C515" s="4" t="n">
        <v>5</v>
      </c>
      <c r="D515" s="4" t="n">
        <v>12</v>
      </c>
      <c r="E515" s="4" t="s">
        <v>530</v>
      </c>
      <c r="F515" s="4" t="n">
        <v>3</v>
      </c>
      <c r="G515" s="4" t="n">
        <v>13</v>
      </c>
      <c r="H515" s="4" t="n">
        <v>4</v>
      </c>
      <c r="I515" s="4" t="str">
        <v>×</v>
      </c>
      <c r="J515" s="4"/>
      <c r="K515" s="4"/>
      <c r="L515" s="4"/>
      <c r="M515" s="5" t="s">
        <v>15</v>
      </c>
    </row>
    <row r="516" customFormat="false" ht="15.75" hidden="false" customHeight="false" outlineLevel="0" collapsed="false">
      <c r="A516" s="3" t="n">
        <v>46229</v>
      </c>
      <c r="B516" s="4" t="s">
        <v>13</v>
      </c>
      <c r="C516" s="4" t="n">
        <v>5</v>
      </c>
      <c r="D516" s="4" t="n">
        <v>13</v>
      </c>
      <c r="E516" s="4" t="s">
        <v>531</v>
      </c>
      <c r="F516" s="4" t="n">
        <v>6</v>
      </c>
      <c r="G516" s="4" t="n">
        <v>11</v>
      </c>
      <c r="H516" s="4" t="n">
        <v>4</v>
      </c>
      <c r="I516" s="4" t="str">
        <v>×</v>
      </c>
      <c r="J516" s="4"/>
      <c r="K516" s="4"/>
      <c r="L516" s="4"/>
      <c r="M516" s="5" t="s">
        <v>15</v>
      </c>
    </row>
    <row r="517" customFormat="false" ht="15.75" hidden="false" customHeight="false" outlineLevel="0" collapsed="false">
      <c r="A517" s="3" t="n">
        <v>46229</v>
      </c>
      <c r="B517" s="4" t="s">
        <v>13</v>
      </c>
      <c r="C517" s="4" t="n">
        <v>5</v>
      </c>
      <c r="D517" s="4" t="n">
        <v>14</v>
      </c>
      <c r="E517" s="4" t="s">
        <v>532</v>
      </c>
      <c r="F517" s="4" t="n">
        <v>65</v>
      </c>
      <c r="G517" s="4" t="n">
        <v>1</v>
      </c>
      <c r="H517" s="4" t="n">
        <v>3</v>
      </c>
      <c r="I517" s="4" t="str">
        <v>○</v>
      </c>
      <c r="J517" s="4" t="n">
        <v>160</v>
      </c>
      <c r="K517" s="4"/>
      <c r="L517" s="4"/>
      <c r="M517" s="5" t="s">
        <v>15</v>
      </c>
    </row>
    <row r="518" customFormat="false" ht="15.75" hidden="false" customHeight="false" outlineLevel="0" collapsed="false">
      <c r="A518" s="3" t="n">
        <v>46229</v>
      </c>
      <c r="B518" s="4" t="s">
        <v>13</v>
      </c>
      <c r="C518" s="4" t="n">
        <v>5</v>
      </c>
      <c r="D518" s="4" t="n">
        <v>15</v>
      </c>
      <c r="E518" s="4" t="s">
        <v>533</v>
      </c>
      <c r="F518" s="4" t="n">
        <v>15</v>
      </c>
      <c r="G518" s="4" t="n">
        <v>7</v>
      </c>
      <c r="H518" s="4" t="n">
        <v>4</v>
      </c>
      <c r="I518" s="4" t="str">
        <v>×</v>
      </c>
      <c r="J518" s="4"/>
      <c r="K518" s="4"/>
      <c r="L518" s="4"/>
      <c r="M518" s="5" t="s">
        <v>15</v>
      </c>
    </row>
    <row r="519" customFormat="false" ht="15.75" hidden="false" customHeight="false" outlineLevel="0" collapsed="false">
      <c r="A519" s="3" t="n">
        <v>46229</v>
      </c>
      <c r="B519" s="4" t="s">
        <v>13</v>
      </c>
      <c r="C519" s="4" t="n">
        <v>6</v>
      </c>
      <c r="D519" s="4" t="n">
        <v>1</v>
      </c>
      <c r="E519" s="4" t="s">
        <v>534</v>
      </c>
      <c r="F519" s="4" t="n">
        <v>56</v>
      </c>
      <c r="G519" s="4" t="n">
        <v>1</v>
      </c>
      <c r="H519" s="4" t="n">
        <v>4</v>
      </c>
      <c r="I519" s="4" t="str">
        <v>×</v>
      </c>
      <c r="J519" s="4"/>
      <c r="K519" s="4"/>
      <c r="L519" s="4"/>
      <c r="M519" s="5" t="s">
        <v>15</v>
      </c>
    </row>
    <row r="520" customFormat="false" ht="15.75" hidden="false" customHeight="false" outlineLevel="0" collapsed="false">
      <c r="A520" s="3" t="n">
        <v>46229</v>
      </c>
      <c r="B520" s="4" t="s">
        <v>13</v>
      </c>
      <c r="C520" s="4" t="n">
        <v>6</v>
      </c>
      <c r="D520" s="4" t="n">
        <v>2</v>
      </c>
      <c r="E520" s="4" t="s">
        <v>535</v>
      </c>
      <c r="F520" s="4" t="n">
        <v>37</v>
      </c>
      <c r="G520" s="4" t="n">
        <v>3</v>
      </c>
      <c r="H520" s="4" t="n">
        <v>4</v>
      </c>
      <c r="I520" s="4" t="str">
        <v>×</v>
      </c>
      <c r="J520" s="4"/>
      <c r="K520" s="4"/>
      <c r="L520" s="4"/>
      <c r="M520" s="5" t="s">
        <v>15</v>
      </c>
    </row>
    <row r="521" customFormat="false" ht="15.75" hidden="false" customHeight="false" outlineLevel="0" collapsed="false">
      <c r="A521" s="3" t="n">
        <v>46229</v>
      </c>
      <c r="B521" s="4" t="s">
        <v>13</v>
      </c>
      <c r="C521" s="4" t="n">
        <v>6</v>
      </c>
      <c r="D521" s="4" t="n">
        <v>3</v>
      </c>
      <c r="E521" s="4" t="s">
        <v>536</v>
      </c>
      <c r="F521" s="4" t="n">
        <v>31</v>
      </c>
      <c r="G521" s="4" t="n">
        <v>6</v>
      </c>
      <c r="H521" s="4" t="n">
        <v>4</v>
      </c>
      <c r="I521" s="4" t="str">
        <v>×</v>
      </c>
      <c r="J521" s="4"/>
      <c r="K521" s="4"/>
      <c r="L521" s="4"/>
      <c r="M521" s="5" t="s">
        <v>15</v>
      </c>
    </row>
    <row r="522" customFormat="false" ht="15.75" hidden="false" customHeight="false" outlineLevel="0" collapsed="false">
      <c r="A522" s="3" t="n">
        <v>46229</v>
      </c>
      <c r="B522" s="4" t="s">
        <v>13</v>
      </c>
      <c r="C522" s="4" t="n">
        <v>6</v>
      </c>
      <c r="D522" s="4" t="n">
        <v>4</v>
      </c>
      <c r="E522" s="4" t="s">
        <v>537</v>
      </c>
      <c r="F522" s="4" t="n">
        <v>25</v>
      </c>
      <c r="G522" s="4" t="n">
        <v>7</v>
      </c>
      <c r="H522" s="4" t="n">
        <v>4</v>
      </c>
      <c r="I522" s="4" t="str">
        <v>×</v>
      </c>
      <c r="J522" s="4"/>
      <c r="K522" s="4"/>
      <c r="L522" s="4"/>
      <c r="M522" s="5" t="s">
        <v>15</v>
      </c>
    </row>
    <row r="523" customFormat="false" ht="15.75" hidden="false" customHeight="false" outlineLevel="0" collapsed="false">
      <c r="A523" s="3" t="n">
        <v>46229</v>
      </c>
      <c r="B523" s="4" t="s">
        <v>13</v>
      </c>
      <c r="C523" s="4" t="n">
        <v>6</v>
      </c>
      <c r="D523" s="4" t="n">
        <v>5</v>
      </c>
      <c r="E523" s="4" t="s">
        <v>538</v>
      </c>
      <c r="F523" s="4" t="n">
        <v>6</v>
      </c>
      <c r="G523" s="4" t="n">
        <v>10</v>
      </c>
      <c r="H523" s="4" t="n">
        <v>4</v>
      </c>
      <c r="I523" s="4" t="str">
        <v>×</v>
      </c>
      <c r="J523" s="4"/>
      <c r="K523" s="4"/>
      <c r="L523" s="4"/>
      <c r="M523" s="5" t="s">
        <v>15</v>
      </c>
    </row>
    <row r="524" customFormat="false" ht="15.75" hidden="false" customHeight="false" outlineLevel="0" collapsed="false">
      <c r="A524" s="3" t="n">
        <v>46229</v>
      </c>
      <c r="B524" s="4" t="s">
        <v>13</v>
      </c>
      <c r="C524" s="4" t="n">
        <v>6</v>
      </c>
      <c r="D524" s="4" t="n">
        <v>6</v>
      </c>
      <c r="E524" s="4" t="s">
        <v>539</v>
      </c>
      <c r="F524" s="4" t="n">
        <v>34</v>
      </c>
      <c r="G524" s="4" t="n">
        <v>5</v>
      </c>
      <c r="H524" s="4" t="n">
        <v>2</v>
      </c>
      <c r="I524" s="4" t="str">
        <v>○</v>
      </c>
      <c r="J524" s="4" t="n">
        <v>180</v>
      </c>
      <c r="K524" s="4"/>
      <c r="L524" s="4"/>
      <c r="M524" s="5" t="s">
        <v>15</v>
      </c>
    </row>
    <row r="525" customFormat="false" ht="15.75" hidden="false" customHeight="false" outlineLevel="0" collapsed="false">
      <c r="A525" s="3" t="n">
        <v>46229</v>
      </c>
      <c r="B525" s="4" t="s">
        <v>13</v>
      </c>
      <c r="C525" s="4" t="n">
        <v>6</v>
      </c>
      <c r="D525" s="4" t="n">
        <v>7</v>
      </c>
      <c r="E525" s="4" t="s">
        <v>540</v>
      </c>
      <c r="F525" s="4" t="n">
        <v>37</v>
      </c>
      <c r="G525" s="4" t="n">
        <v>3</v>
      </c>
      <c r="H525" s="4" t="n">
        <v>1</v>
      </c>
      <c r="I525" s="4" t="str">
        <v>○</v>
      </c>
      <c r="J525" s="4" t="n">
        <v>150</v>
      </c>
      <c r="K525" s="4"/>
      <c r="L525" s="4"/>
      <c r="M525" s="5" t="s">
        <v>15</v>
      </c>
    </row>
    <row r="526" customFormat="false" ht="15.75" hidden="false" customHeight="false" outlineLevel="0" collapsed="false">
      <c r="A526" s="3" t="n">
        <v>46229</v>
      </c>
      <c r="B526" s="4" t="s">
        <v>13</v>
      </c>
      <c r="C526" s="4" t="n">
        <v>6</v>
      </c>
      <c r="D526" s="4" t="n">
        <v>8</v>
      </c>
      <c r="E526" s="4" t="s">
        <v>541</v>
      </c>
      <c r="F526" s="4" t="n">
        <v>39</v>
      </c>
      <c r="G526" s="4" t="n">
        <v>2</v>
      </c>
      <c r="H526" s="4" t="n">
        <v>4</v>
      </c>
      <c r="I526" s="4" t="str">
        <v>×</v>
      </c>
      <c r="J526" s="4"/>
      <c r="K526" s="4"/>
      <c r="L526" s="4"/>
      <c r="M526" s="5" t="s">
        <v>15</v>
      </c>
    </row>
    <row r="527" customFormat="false" ht="15.75" hidden="false" customHeight="false" outlineLevel="0" collapsed="false">
      <c r="A527" s="3" t="n">
        <v>46229</v>
      </c>
      <c r="B527" s="4" t="s">
        <v>13</v>
      </c>
      <c r="C527" s="4" t="n">
        <v>6</v>
      </c>
      <c r="D527" s="4" t="n">
        <v>9</v>
      </c>
      <c r="E527" s="4" t="s">
        <v>542</v>
      </c>
      <c r="F527" s="4" t="n">
        <v>13</v>
      </c>
      <c r="G527" s="4" t="n">
        <v>8</v>
      </c>
      <c r="H527" s="4" t="n">
        <v>3</v>
      </c>
      <c r="I527" s="4" t="str">
        <v>○</v>
      </c>
      <c r="J527" s="4" t="n">
        <v>420</v>
      </c>
      <c r="K527" s="4"/>
      <c r="L527" s="4"/>
      <c r="M527" s="5" t="s">
        <v>15</v>
      </c>
    </row>
    <row r="528" customFormat="false" ht="15.75" hidden="false" customHeight="false" outlineLevel="0" collapsed="false">
      <c r="A528" s="3" t="n">
        <v>46229</v>
      </c>
      <c r="B528" s="4" t="s">
        <v>13</v>
      </c>
      <c r="C528" s="4" t="n">
        <v>6</v>
      </c>
      <c r="D528" s="4" t="n">
        <v>10</v>
      </c>
      <c r="E528" s="4" t="s">
        <v>543</v>
      </c>
      <c r="F528" s="4" t="n">
        <v>8</v>
      </c>
      <c r="G528" s="4" t="n">
        <v>9</v>
      </c>
      <c r="H528" s="4" t="n">
        <v>4</v>
      </c>
      <c r="I528" s="4" t="str">
        <v>×</v>
      </c>
      <c r="J528" s="4"/>
      <c r="K528" s="4"/>
      <c r="L528" s="4"/>
      <c r="M528" s="5" t="s">
        <v>15</v>
      </c>
    </row>
    <row r="529" customFormat="false" ht="15.75" hidden="false" customHeight="false" outlineLevel="0" collapsed="false">
      <c r="A529" s="3" t="n">
        <v>46229</v>
      </c>
      <c r="B529" s="4" t="s">
        <v>13</v>
      </c>
      <c r="C529" s="4" t="n">
        <v>6</v>
      </c>
      <c r="D529" s="4" t="n">
        <v>11</v>
      </c>
      <c r="E529" s="4" t="s">
        <v>544</v>
      </c>
      <c r="F529" s="4" t="n">
        <v>6</v>
      </c>
      <c r="G529" s="4" t="n">
        <v>10</v>
      </c>
      <c r="H529" s="4" t="n">
        <v>4</v>
      </c>
      <c r="I529" s="4" t="str">
        <v>×</v>
      </c>
      <c r="J529" s="4"/>
      <c r="K529" s="4"/>
      <c r="L529" s="4"/>
      <c r="M529" s="5" t="s">
        <v>15</v>
      </c>
    </row>
    <row r="530" customFormat="false" ht="15.75" hidden="false" customHeight="false" outlineLevel="0" collapsed="false">
      <c r="A530" s="3" t="n">
        <v>46229</v>
      </c>
      <c r="B530" s="4" t="s">
        <v>13</v>
      </c>
      <c r="C530" s="4" t="n">
        <v>7</v>
      </c>
      <c r="D530" s="4" t="n">
        <v>1</v>
      </c>
      <c r="E530" s="4" t="s">
        <v>545</v>
      </c>
      <c r="F530" s="4" t="n">
        <v>47</v>
      </c>
      <c r="G530" s="4" t="n">
        <v>1</v>
      </c>
      <c r="H530" s="4" t="n">
        <v>3</v>
      </c>
      <c r="I530" s="4" t="str">
        <v>○</v>
      </c>
      <c r="J530" s="4" t="n">
        <v>300</v>
      </c>
      <c r="K530" s="4"/>
      <c r="L530" s="4"/>
      <c r="M530" s="5" t="s">
        <v>15</v>
      </c>
    </row>
    <row r="531" customFormat="false" ht="15.75" hidden="false" customHeight="false" outlineLevel="0" collapsed="false">
      <c r="A531" s="3" t="n">
        <v>46229</v>
      </c>
      <c r="B531" s="4" t="s">
        <v>13</v>
      </c>
      <c r="C531" s="4" t="n">
        <v>7</v>
      </c>
      <c r="D531" s="4" t="n">
        <v>2</v>
      </c>
      <c r="E531" s="4" t="s">
        <v>546</v>
      </c>
      <c r="F531" s="4" t="n">
        <v>23</v>
      </c>
      <c r="G531" s="4" t="n">
        <v>8</v>
      </c>
      <c r="H531" s="4" t="n">
        <v>4</v>
      </c>
      <c r="I531" s="4" t="str">
        <v>×</v>
      </c>
      <c r="J531" s="4"/>
      <c r="K531" s="4"/>
      <c r="L531" s="4"/>
      <c r="M531" s="5" t="s">
        <v>15</v>
      </c>
    </row>
    <row r="532" customFormat="false" ht="15.75" hidden="false" customHeight="false" outlineLevel="0" collapsed="false">
      <c r="A532" s="3" t="n">
        <v>46229</v>
      </c>
      <c r="B532" s="4" t="s">
        <v>13</v>
      </c>
      <c r="C532" s="4" t="n">
        <v>7</v>
      </c>
      <c r="D532" s="4" t="n">
        <v>3</v>
      </c>
      <c r="E532" s="4" t="s">
        <v>547</v>
      </c>
      <c r="F532" s="4" t="n">
        <v>39</v>
      </c>
      <c r="G532" s="4" t="n">
        <v>3</v>
      </c>
      <c r="H532" s="4" t="n">
        <v>1</v>
      </c>
      <c r="I532" s="4" t="str">
        <v>○</v>
      </c>
      <c r="J532" s="4" t="n">
        <v>210</v>
      </c>
      <c r="K532" s="4"/>
      <c r="L532" s="4"/>
      <c r="M532" s="5" t="s">
        <v>15</v>
      </c>
    </row>
    <row r="533" customFormat="false" ht="15.75" hidden="false" customHeight="false" outlineLevel="0" collapsed="false">
      <c r="A533" s="3" t="n">
        <v>46229</v>
      </c>
      <c r="B533" s="4" t="s">
        <v>13</v>
      </c>
      <c r="C533" s="4" t="n">
        <v>7</v>
      </c>
      <c r="D533" s="4" t="n">
        <v>4</v>
      </c>
      <c r="E533" s="4" t="s">
        <v>548</v>
      </c>
      <c r="F533" s="4" t="n">
        <v>15</v>
      </c>
      <c r="G533" s="4" t="n">
        <v>10</v>
      </c>
      <c r="H533" s="4" t="n">
        <v>4</v>
      </c>
      <c r="I533" s="4" t="str">
        <v>×</v>
      </c>
      <c r="J533" s="4"/>
      <c r="K533" s="4"/>
      <c r="L533" s="4"/>
      <c r="M533" s="5" t="s">
        <v>15</v>
      </c>
    </row>
    <row r="534" customFormat="false" ht="15.75" hidden="false" customHeight="false" outlineLevel="0" collapsed="false">
      <c r="A534" s="3" t="n">
        <v>46229</v>
      </c>
      <c r="B534" s="4" t="s">
        <v>13</v>
      </c>
      <c r="C534" s="4" t="n">
        <v>7</v>
      </c>
      <c r="D534" s="4" t="n">
        <v>5</v>
      </c>
      <c r="E534" s="4" t="s">
        <v>549</v>
      </c>
      <c r="F534" s="4" t="n">
        <v>8</v>
      </c>
      <c r="G534" s="4" t="n">
        <v>14</v>
      </c>
      <c r="H534" s="4" t="n">
        <v>4</v>
      </c>
      <c r="I534" s="4" t="str">
        <v>×</v>
      </c>
      <c r="J534" s="4"/>
      <c r="K534" s="4"/>
      <c r="L534" s="4"/>
      <c r="M534" s="5" t="s">
        <v>15</v>
      </c>
    </row>
    <row r="535" customFormat="false" ht="15.75" hidden="false" customHeight="false" outlineLevel="0" collapsed="false">
      <c r="A535" s="3" t="n">
        <v>46229</v>
      </c>
      <c r="B535" s="4" t="s">
        <v>13</v>
      </c>
      <c r="C535" s="4" t="n">
        <v>7</v>
      </c>
      <c r="D535" s="4" t="n">
        <v>6</v>
      </c>
      <c r="E535" s="4" t="s">
        <v>550</v>
      </c>
      <c r="F535" s="4" t="n">
        <v>13</v>
      </c>
      <c r="G535" s="4" t="n">
        <v>11</v>
      </c>
      <c r="H535" s="4" t="n">
        <v>4</v>
      </c>
      <c r="I535" s="4" t="str">
        <v>×</v>
      </c>
      <c r="J535" s="4"/>
      <c r="K535" s="4"/>
      <c r="L535" s="4"/>
      <c r="M535" s="5" t="s">
        <v>15</v>
      </c>
    </row>
    <row r="536" customFormat="false" ht="15.75" hidden="false" customHeight="false" outlineLevel="0" collapsed="false">
      <c r="A536" s="3" t="n">
        <v>46229</v>
      </c>
      <c r="B536" s="4" t="s">
        <v>13</v>
      </c>
      <c r="C536" s="4" t="n">
        <v>7</v>
      </c>
      <c r="D536" s="4" t="n">
        <v>7</v>
      </c>
      <c r="E536" s="4" t="s">
        <v>551</v>
      </c>
      <c r="F536" s="4" t="n">
        <v>47</v>
      </c>
      <c r="G536" s="4" t="n">
        <v>1</v>
      </c>
      <c r="H536" s="4" t="n">
        <v>4</v>
      </c>
      <c r="I536" s="4" t="str">
        <v>×</v>
      </c>
      <c r="J536" s="4"/>
      <c r="K536" s="4"/>
      <c r="L536" s="4"/>
      <c r="M536" s="5" t="s">
        <v>15</v>
      </c>
    </row>
    <row r="537" customFormat="false" ht="15.75" hidden="false" customHeight="false" outlineLevel="0" collapsed="false">
      <c r="A537" s="3" t="n">
        <v>46229</v>
      </c>
      <c r="B537" s="4" t="s">
        <v>13</v>
      </c>
      <c r="C537" s="4" t="n">
        <v>7</v>
      </c>
      <c r="D537" s="4" t="n">
        <v>8</v>
      </c>
      <c r="E537" s="4" t="s">
        <v>552</v>
      </c>
      <c r="F537" s="4" t="n">
        <v>37</v>
      </c>
      <c r="G537" s="4" t="n">
        <v>4</v>
      </c>
      <c r="H537" s="4" t="n">
        <v>4</v>
      </c>
      <c r="I537" s="4" t="str">
        <v>×</v>
      </c>
      <c r="J537" s="4"/>
      <c r="K537" s="4"/>
      <c r="L537" s="4"/>
      <c r="M537" s="5" t="s">
        <v>15</v>
      </c>
    </row>
    <row r="538" customFormat="false" ht="15.75" hidden="false" customHeight="false" outlineLevel="0" collapsed="false">
      <c r="A538" s="3" t="n">
        <v>46229</v>
      </c>
      <c r="B538" s="4" t="s">
        <v>13</v>
      </c>
      <c r="C538" s="4" t="n">
        <v>7</v>
      </c>
      <c r="D538" s="4" t="n">
        <v>9</v>
      </c>
      <c r="E538" s="4" t="s">
        <v>553</v>
      </c>
      <c r="F538" s="4" t="n">
        <v>23</v>
      </c>
      <c r="G538" s="4" t="n">
        <v>8</v>
      </c>
      <c r="H538" s="4" t="n">
        <v>4</v>
      </c>
      <c r="I538" s="4" t="str">
        <v>×</v>
      </c>
      <c r="J538" s="4"/>
      <c r="K538" s="4"/>
      <c r="L538" s="4"/>
      <c r="M538" s="5" t="s">
        <v>15</v>
      </c>
    </row>
    <row r="539" customFormat="false" ht="15.75" hidden="false" customHeight="false" outlineLevel="0" collapsed="false">
      <c r="A539" s="3" t="n">
        <v>46229</v>
      </c>
      <c r="B539" s="4" t="s">
        <v>13</v>
      </c>
      <c r="C539" s="4" t="n">
        <v>7</v>
      </c>
      <c r="D539" s="4" t="n">
        <v>10</v>
      </c>
      <c r="E539" s="4" t="s">
        <v>554</v>
      </c>
      <c r="F539" s="4" t="n">
        <v>31</v>
      </c>
      <c r="G539" s="4" t="n">
        <v>5</v>
      </c>
      <c r="H539" s="4" t="n">
        <v>2</v>
      </c>
      <c r="I539" s="4" t="str">
        <v>○</v>
      </c>
      <c r="J539" s="4" t="n">
        <v>310</v>
      </c>
      <c r="K539" s="4"/>
      <c r="L539" s="4"/>
      <c r="M539" s="5" t="s">
        <v>15</v>
      </c>
    </row>
    <row r="540" customFormat="false" ht="15.75" hidden="false" customHeight="false" outlineLevel="0" collapsed="false">
      <c r="A540" s="3" t="n">
        <v>46229</v>
      </c>
      <c r="B540" s="4" t="s">
        <v>13</v>
      </c>
      <c r="C540" s="4" t="n">
        <v>7</v>
      </c>
      <c r="D540" s="4" t="n">
        <v>11</v>
      </c>
      <c r="E540" s="4" t="s">
        <v>555</v>
      </c>
      <c r="F540" s="4" t="n">
        <v>13</v>
      </c>
      <c r="G540" s="4" t="n">
        <v>11</v>
      </c>
      <c r="H540" s="4" t="n">
        <v>4</v>
      </c>
      <c r="I540" s="4" t="str">
        <v>×</v>
      </c>
      <c r="J540" s="4"/>
      <c r="K540" s="4"/>
      <c r="L540" s="4"/>
      <c r="M540" s="5" t="s">
        <v>15</v>
      </c>
    </row>
    <row r="541" customFormat="false" ht="15.75" hidden="false" customHeight="false" outlineLevel="0" collapsed="false">
      <c r="A541" s="3" t="n">
        <v>46229</v>
      </c>
      <c r="B541" s="4" t="s">
        <v>13</v>
      </c>
      <c r="C541" s="4" t="n">
        <v>7</v>
      </c>
      <c r="D541" s="4" t="n">
        <v>12</v>
      </c>
      <c r="E541" s="4" t="s">
        <v>556</v>
      </c>
      <c r="F541" s="4" t="n">
        <v>29</v>
      </c>
      <c r="G541" s="4" t="n">
        <v>6</v>
      </c>
      <c r="H541" s="4" t="n">
        <v>4</v>
      </c>
      <c r="I541" s="4" t="str">
        <v>×</v>
      </c>
      <c r="J541" s="4"/>
      <c r="K541" s="4"/>
      <c r="L541" s="4"/>
      <c r="M541" s="5" t="s">
        <v>15</v>
      </c>
    </row>
    <row r="542" customFormat="false" ht="15.75" hidden="false" customHeight="false" outlineLevel="0" collapsed="false">
      <c r="A542" s="3" t="n">
        <v>46229</v>
      </c>
      <c r="B542" s="4" t="s">
        <v>13</v>
      </c>
      <c r="C542" s="4" t="n">
        <v>7</v>
      </c>
      <c r="D542" s="4" t="n">
        <v>13</v>
      </c>
      <c r="E542" s="4" t="s">
        <v>557</v>
      </c>
      <c r="F542" s="4" t="n">
        <v>29</v>
      </c>
      <c r="G542" s="4" t="n">
        <v>6</v>
      </c>
      <c r="H542" s="4" t="n">
        <v>4</v>
      </c>
      <c r="I542" s="4" t="str">
        <v>×</v>
      </c>
      <c r="J542" s="4"/>
      <c r="K542" s="4"/>
      <c r="L542" s="4"/>
      <c r="M542" s="5" t="s">
        <v>15</v>
      </c>
    </row>
    <row r="543" customFormat="false" ht="15.75" hidden="false" customHeight="false" outlineLevel="0" collapsed="false">
      <c r="A543" s="3" t="n">
        <v>46229</v>
      </c>
      <c r="B543" s="4" t="s">
        <v>13</v>
      </c>
      <c r="C543" s="4" t="n">
        <v>7</v>
      </c>
      <c r="D543" s="4" t="n">
        <v>14</v>
      </c>
      <c r="E543" s="4" t="s">
        <v>558</v>
      </c>
      <c r="F543" s="4" t="n">
        <v>13</v>
      </c>
      <c r="G543" s="4" t="n">
        <v>11</v>
      </c>
      <c r="H543" s="4" t="n">
        <v>4</v>
      </c>
      <c r="I543" s="4" t="str">
        <v>×</v>
      </c>
      <c r="J543" s="4"/>
      <c r="K543" s="4"/>
      <c r="L543" s="4"/>
      <c r="M543" s="5" t="s">
        <v>15</v>
      </c>
    </row>
    <row r="544" customFormat="false" ht="15.75" hidden="false" customHeight="false" outlineLevel="0" collapsed="false">
      <c r="A544" s="3" t="n">
        <v>46229</v>
      </c>
      <c r="B544" s="4" t="s">
        <v>13</v>
      </c>
      <c r="C544" s="4" t="n">
        <v>8</v>
      </c>
      <c r="D544" s="4" t="n">
        <v>1</v>
      </c>
      <c r="E544" s="4" t="s">
        <v>559</v>
      </c>
      <c r="F544" s="4" t="n">
        <v>52</v>
      </c>
      <c r="G544" s="4" t="n">
        <v>1</v>
      </c>
      <c r="H544" s="4" t="n">
        <v>4</v>
      </c>
      <c r="I544" s="4" t="str">
        <v>×</v>
      </c>
      <c r="J544" s="4"/>
      <c r="K544" s="4"/>
      <c r="L544" s="4"/>
      <c r="M544" s="5" t="s">
        <v>15</v>
      </c>
    </row>
    <row r="545" customFormat="false" ht="15.75" hidden="false" customHeight="false" outlineLevel="0" collapsed="false">
      <c r="A545" s="3" t="n">
        <v>46229</v>
      </c>
      <c r="B545" s="4" t="s">
        <v>13</v>
      </c>
      <c r="C545" s="4" t="n">
        <v>8</v>
      </c>
      <c r="D545" s="4" t="n">
        <v>2</v>
      </c>
      <c r="E545" s="4" t="s">
        <v>560</v>
      </c>
      <c r="F545" s="4" t="n">
        <v>29</v>
      </c>
      <c r="G545" s="4" t="n">
        <v>5</v>
      </c>
      <c r="H545" s="4" t="n">
        <v>4</v>
      </c>
      <c r="I545" s="4" t="str">
        <v>×</v>
      </c>
      <c r="J545" s="4"/>
      <c r="K545" s="4"/>
      <c r="L545" s="4"/>
      <c r="M545" s="5" t="s">
        <v>15</v>
      </c>
    </row>
    <row r="546" customFormat="false" ht="15.75" hidden="false" customHeight="false" outlineLevel="0" collapsed="false">
      <c r="A546" s="3" t="n">
        <v>46229</v>
      </c>
      <c r="B546" s="4" t="s">
        <v>13</v>
      </c>
      <c r="C546" s="4" t="n">
        <v>8</v>
      </c>
      <c r="D546" s="4" t="n">
        <v>3</v>
      </c>
      <c r="E546" s="4" t="s">
        <v>561</v>
      </c>
      <c r="F546" s="4" t="n">
        <v>39</v>
      </c>
      <c r="G546" s="4" t="n">
        <v>3</v>
      </c>
      <c r="H546" s="4" t="n">
        <v>4</v>
      </c>
      <c r="I546" s="4" t="str">
        <v>×</v>
      </c>
      <c r="J546" s="4"/>
      <c r="K546" s="4"/>
      <c r="L546" s="4"/>
      <c r="M546" s="5" t="s">
        <v>15</v>
      </c>
    </row>
    <row r="547" customFormat="false" ht="15.75" hidden="false" customHeight="false" outlineLevel="0" collapsed="false">
      <c r="A547" s="3" t="n">
        <v>46229</v>
      </c>
      <c r="B547" s="4" t="s">
        <v>13</v>
      </c>
      <c r="C547" s="4" t="n">
        <v>8</v>
      </c>
      <c r="D547" s="4" t="n">
        <v>4</v>
      </c>
      <c r="E547" s="4" t="s">
        <v>562</v>
      </c>
      <c r="F547" s="4" t="n">
        <v>15</v>
      </c>
      <c r="G547" s="4" t="n">
        <v>9</v>
      </c>
      <c r="H547" s="4" t="n">
        <v>4</v>
      </c>
      <c r="I547" s="4" t="str">
        <v>×</v>
      </c>
      <c r="J547" s="4"/>
      <c r="K547" s="4"/>
      <c r="L547" s="4"/>
      <c r="M547" s="5" t="s">
        <v>15</v>
      </c>
    </row>
    <row r="548" customFormat="false" ht="15.75" hidden="false" customHeight="false" outlineLevel="0" collapsed="false">
      <c r="A548" s="3" t="n">
        <v>46229</v>
      </c>
      <c r="B548" s="4" t="s">
        <v>13</v>
      </c>
      <c r="C548" s="4" t="n">
        <v>8</v>
      </c>
      <c r="D548" s="4" t="n">
        <v>5</v>
      </c>
      <c r="E548" s="4" t="s">
        <v>563</v>
      </c>
      <c r="F548" s="4" t="n">
        <v>29</v>
      </c>
      <c r="G548" s="4" t="n">
        <v>5</v>
      </c>
      <c r="H548" s="4" t="n">
        <v>4</v>
      </c>
      <c r="I548" s="4" t="str">
        <v>×</v>
      </c>
      <c r="J548" s="4"/>
      <c r="K548" s="4"/>
      <c r="L548" s="4"/>
      <c r="M548" s="5" t="s">
        <v>15</v>
      </c>
    </row>
    <row r="549" customFormat="false" ht="15.75" hidden="false" customHeight="false" outlineLevel="0" collapsed="false">
      <c r="A549" s="3" t="n">
        <v>46229</v>
      </c>
      <c r="B549" s="4" t="s">
        <v>13</v>
      </c>
      <c r="C549" s="4" t="n">
        <v>8</v>
      </c>
      <c r="D549" s="4" t="n">
        <v>6</v>
      </c>
      <c r="E549" s="4" t="s">
        <v>564</v>
      </c>
      <c r="F549" s="4" t="n">
        <v>20</v>
      </c>
      <c r="G549" s="4" t="n">
        <v>7</v>
      </c>
      <c r="H549" s="4" t="n">
        <v>2</v>
      </c>
      <c r="I549" s="4" t="str">
        <v>○</v>
      </c>
      <c r="J549" s="4" t="n">
        <v>350</v>
      </c>
      <c r="K549" s="4"/>
      <c r="L549" s="4"/>
      <c r="M549" s="5" t="s">
        <v>15</v>
      </c>
    </row>
    <row r="550" customFormat="false" ht="15.75" hidden="false" customHeight="false" outlineLevel="0" collapsed="false">
      <c r="A550" s="3" t="n">
        <v>46229</v>
      </c>
      <c r="B550" s="4" t="s">
        <v>13</v>
      </c>
      <c r="C550" s="4" t="n">
        <v>8</v>
      </c>
      <c r="D550" s="4" t="n">
        <v>7</v>
      </c>
      <c r="E550" s="4" t="s">
        <v>565</v>
      </c>
      <c r="F550" s="4" t="n">
        <v>39</v>
      </c>
      <c r="G550" s="4" t="n">
        <v>3</v>
      </c>
      <c r="H550" s="4" t="n">
        <v>4</v>
      </c>
      <c r="I550" s="4" t="str">
        <v>×</v>
      </c>
      <c r="J550" s="4"/>
      <c r="K550" s="4"/>
      <c r="L550" s="4"/>
      <c r="M550" s="5" t="s">
        <v>15</v>
      </c>
    </row>
    <row r="551" customFormat="false" ht="15.75" hidden="false" customHeight="false" outlineLevel="0" collapsed="false">
      <c r="A551" s="3" t="n">
        <v>46229</v>
      </c>
      <c r="B551" s="4" t="s">
        <v>13</v>
      </c>
      <c r="C551" s="4" t="n">
        <v>8</v>
      </c>
      <c r="D551" s="4" t="n">
        <v>8</v>
      </c>
      <c r="E551" s="4" t="s">
        <v>566</v>
      </c>
      <c r="F551" s="4" t="n">
        <v>10</v>
      </c>
      <c r="G551" s="4" t="n">
        <v>12</v>
      </c>
      <c r="H551" s="4" t="n">
        <v>4</v>
      </c>
      <c r="I551" s="4" t="str">
        <v>×</v>
      </c>
      <c r="J551" s="4"/>
      <c r="K551" s="4"/>
      <c r="L551" s="4"/>
      <c r="M551" s="5" t="s">
        <v>15</v>
      </c>
    </row>
    <row r="552" customFormat="false" ht="15.75" hidden="false" customHeight="false" outlineLevel="0" collapsed="false">
      <c r="A552" s="3" t="n">
        <v>46229</v>
      </c>
      <c r="B552" s="4" t="s">
        <v>13</v>
      </c>
      <c r="C552" s="4" t="n">
        <v>8</v>
      </c>
      <c r="D552" s="4" t="n">
        <v>9</v>
      </c>
      <c r="E552" s="4" t="s">
        <v>567</v>
      </c>
      <c r="F552" s="4" t="n">
        <v>2</v>
      </c>
      <c r="G552" s="4" t="n">
        <v>15</v>
      </c>
      <c r="H552" s="4" t="n">
        <v>4</v>
      </c>
      <c r="I552" s="4" t="str">
        <v>×</v>
      </c>
      <c r="J552" s="4"/>
      <c r="K552" s="4"/>
      <c r="L552" s="4"/>
      <c r="M552" s="5" t="s">
        <v>15</v>
      </c>
    </row>
    <row r="553" customFormat="false" ht="15.75" hidden="false" customHeight="false" outlineLevel="0" collapsed="false">
      <c r="A553" s="3" t="n">
        <v>46229</v>
      </c>
      <c r="B553" s="4" t="s">
        <v>13</v>
      </c>
      <c r="C553" s="4" t="n">
        <v>8</v>
      </c>
      <c r="D553" s="4" t="n">
        <v>10</v>
      </c>
      <c r="E553" s="4" t="s">
        <v>568</v>
      </c>
      <c r="F553" s="4" t="n">
        <v>15</v>
      </c>
      <c r="G553" s="4" t="n">
        <v>9</v>
      </c>
      <c r="H553" s="4" t="n">
        <v>3</v>
      </c>
      <c r="I553" s="4" t="str">
        <v>○</v>
      </c>
      <c r="J553" s="4" t="n">
        <v>610</v>
      </c>
      <c r="K553" s="4"/>
      <c r="L553" s="4"/>
      <c r="M553" s="5" t="s">
        <v>15</v>
      </c>
    </row>
    <row r="554" customFormat="false" ht="15.75" hidden="false" customHeight="false" outlineLevel="0" collapsed="false">
      <c r="A554" s="3" t="n">
        <v>46229</v>
      </c>
      <c r="B554" s="4" t="s">
        <v>13</v>
      </c>
      <c r="C554" s="4" t="n">
        <v>8</v>
      </c>
      <c r="D554" s="4" t="n">
        <v>11</v>
      </c>
      <c r="E554" s="4" t="s">
        <v>569</v>
      </c>
      <c r="F554" s="4" t="n">
        <v>41</v>
      </c>
      <c r="G554" s="4" t="n">
        <v>2</v>
      </c>
      <c r="H554" s="4" t="n">
        <v>4</v>
      </c>
      <c r="I554" s="4" t="str">
        <v>×</v>
      </c>
      <c r="J554" s="4"/>
      <c r="K554" s="4"/>
      <c r="L554" s="4"/>
      <c r="M554" s="5" t="s">
        <v>15</v>
      </c>
    </row>
    <row r="555" customFormat="false" ht="15.75" hidden="false" customHeight="false" outlineLevel="0" collapsed="false">
      <c r="A555" s="3" t="n">
        <v>46229</v>
      </c>
      <c r="B555" s="4" t="s">
        <v>13</v>
      </c>
      <c r="C555" s="4" t="n">
        <v>8</v>
      </c>
      <c r="D555" s="4" t="n">
        <v>12</v>
      </c>
      <c r="E555" s="4" t="s">
        <v>570</v>
      </c>
      <c r="F555" s="4" t="n">
        <v>8</v>
      </c>
      <c r="G555" s="4" t="n">
        <v>13</v>
      </c>
      <c r="H555" s="4" t="n">
        <v>4</v>
      </c>
      <c r="I555" s="4" t="str">
        <v>×</v>
      </c>
      <c r="J555" s="4"/>
      <c r="K555" s="4"/>
      <c r="L555" s="4"/>
      <c r="M555" s="5" t="s">
        <v>15</v>
      </c>
    </row>
    <row r="556" customFormat="false" ht="15.75" hidden="false" customHeight="false" outlineLevel="0" collapsed="false">
      <c r="A556" s="3" t="n">
        <v>46229</v>
      </c>
      <c r="B556" s="4" t="s">
        <v>13</v>
      </c>
      <c r="C556" s="4" t="n">
        <v>8</v>
      </c>
      <c r="D556" s="4" t="n">
        <v>13</v>
      </c>
      <c r="E556" s="4" t="s">
        <v>571</v>
      </c>
      <c r="F556" s="4" t="n">
        <v>15</v>
      </c>
      <c r="G556" s="4" t="n">
        <v>9</v>
      </c>
      <c r="H556" s="4" t="n">
        <v>4</v>
      </c>
      <c r="I556" s="4" t="str">
        <v>×</v>
      </c>
      <c r="J556" s="4"/>
      <c r="K556" s="4"/>
      <c r="L556" s="4"/>
      <c r="M556" s="5" t="s">
        <v>15</v>
      </c>
    </row>
    <row r="557" customFormat="false" ht="15.75" hidden="false" customHeight="false" outlineLevel="0" collapsed="false">
      <c r="A557" s="3" t="n">
        <v>46229</v>
      </c>
      <c r="B557" s="4" t="s">
        <v>13</v>
      </c>
      <c r="C557" s="4" t="n">
        <v>8</v>
      </c>
      <c r="D557" s="4" t="n">
        <v>14</v>
      </c>
      <c r="E557" s="4" t="s">
        <v>572</v>
      </c>
      <c r="F557" s="4" t="n">
        <v>6</v>
      </c>
      <c r="G557" s="4" t="n">
        <v>14</v>
      </c>
      <c r="H557" s="4" t="n">
        <v>4</v>
      </c>
      <c r="I557" s="4" t="str">
        <v>×</v>
      </c>
      <c r="J557" s="4"/>
      <c r="K557" s="4"/>
      <c r="L557" s="4"/>
      <c r="M557" s="5" t="s">
        <v>15</v>
      </c>
    </row>
    <row r="558" customFormat="false" ht="15.75" hidden="false" customHeight="false" outlineLevel="0" collapsed="false">
      <c r="A558" s="3" t="n">
        <v>46229</v>
      </c>
      <c r="B558" s="4" t="s">
        <v>13</v>
      </c>
      <c r="C558" s="4" t="n">
        <v>8</v>
      </c>
      <c r="D558" s="4" t="n">
        <v>15</v>
      </c>
      <c r="E558" s="4" t="s">
        <v>573</v>
      </c>
      <c r="F558" s="4" t="n">
        <v>17</v>
      </c>
      <c r="G558" s="4" t="n">
        <v>8</v>
      </c>
      <c r="H558" s="4" t="n">
        <v>1</v>
      </c>
      <c r="I558" s="4" t="str">
        <v>○</v>
      </c>
      <c r="J558" s="4" t="n">
        <v>410</v>
      </c>
      <c r="K558" s="4"/>
      <c r="L558" s="4"/>
      <c r="M558" s="5" t="s">
        <v>15</v>
      </c>
    </row>
    <row r="559" customFormat="false" ht="15.75" hidden="false" customHeight="false" outlineLevel="0" collapsed="false">
      <c r="A559" s="3" t="n">
        <v>46229</v>
      </c>
      <c r="B559" s="4" t="s">
        <v>13</v>
      </c>
      <c r="C559" s="4" t="n">
        <v>9</v>
      </c>
      <c r="D559" s="4" t="n">
        <v>1</v>
      </c>
      <c r="E559" s="4" t="s">
        <v>574</v>
      </c>
      <c r="F559" s="4" t="n">
        <v>12</v>
      </c>
      <c r="G559" s="4" t="n">
        <v>12</v>
      </c>
      <c r="H559" s="4" t="n">
        <v>4</v>
      </c>
      <c r="I559" s="4" t="str">
        <v>×</v>
      </c>
      <c r="J559" s="4"/>
      <c r="K559" s="4"/>
      <c r="L559" s="4"/>
      <c r="M559" s="5" t="s">
        <v>15</v>
      </c>
    </row>
    <row r="560" customFormat="false" ht="15.75" hidden="false" customHeight="false" outlineLevel="0" collapsed="false">
      <c r="A560" s="3" t="n">
        <v>46229</v>
      </c>
      <c r="B560" s="4" t="s">
        <v>13</v>
      </c>
      <c r="C560" s="4" t="n">
        <v>9</v>
      </c>
      <c r="D560" s="4" t="n">
        <v>2</v>
      </c>
      <c r="E560" s="4" t="s">
        <v>575</v>
      </c>
      <c r="F560" s="4" t="n">
        <v>12</v>
      </c>
      <c r="G560" s="4" t="n">
        <v>12</v>
      </c>
      <c r="H560" s="4" t="n">
        <v>4</v>
      </c>
      <c r="I560" s="4" t="str">
        <v>×</v>
      </c>
      <c r="J560" s="4"/>
      <c r="K560" s="4"/>
      <c r="L560" s="4"/>
      <c r="M560" s="5" t="s">
        <v>15</v>
      </c>
    </row>
    <row r="561" customFormat="false" ht="15.75" hidden="false" customHeight="false" outlineLevel="0" collapsed="false">
      <c r="A561" s="3" t="n">
        <v>46229</v>
      </c>
      <c r="B561" s="4" t="s">
        <v>13</v>
      </c>
      <c r="C561" s="4" t="n">
        <v>9</v>
      </c>
      <c r="D561" s="4" t="n">
        <v>3</v>
      </c>
      <c r="E561" s="4" t="s">
        <v>576</v>
      </c>
      <c r="F561" s="4" t="n">
        <v>6</v>
      </c>
      <c r="G561" s="4" t="n">
        <v>14</v>
      </c>
      <c r="H561" s="4" t="n">
        <v>4</v>
      </c>
      <c r="I561" s="4" t="str">
        <v>×</v>
      </c>
      <c r="J561" s="4"/>
      <c r="K561" s="4"/>
      <c r="L561" s="4"/>
      <c r="M561" s="5" t="s">
        <v>15</v>
      </c>
    </row>
    <row r="562" customFormat="false" ht="15.75" hidden="false" customHeight="false" outlineLevel="0" collapsed="false">
      <c r="A562" s="3" t="n">
        <v>46229</v>
      </c>
      <c r="B562" s="4" t="s">
        <v>13</v>
      </c>
      <c r="C562" s="4" t="n">
        <v>9</v>
      </c>
      <c r="D562" s="4" t="n">
        <v>4</v>
      </c>
      <c r="E562" s="4" t="s">
        <v>577</v>
      </c>
      <c r="F562" s="4" t="n">
        <v>16</v>
      </c>
      <c r="G562" s="4" t="n">
        <v>11</v>
      </c>
      <c r="H562" s="4" t="n">
        <v>3</v>
      </c>
      <c r="I562" s="4" t="str">
        <v>○</v>
      </c>
      <c r="J562" s="4" t="n">
        <v>860</v>
      </c>
      <c r="K562" s="4"/>
      <c r="L562" s="4"/>
      <c r="M562" s="5" t="s">
        <v>15</v>
      </c>
    </row>
    <row r="563" customFormat="false" ht="15.75" hidden="false" customHeight="false" outlineLevel="0" collapsed="false">
      <c r="A563" s="3" t="n">
        <v>46229</v>
      </c>
      <c r="B563" s="4" t="s">
        <v>13</v>
      </c>
      <c r="C563" s="4" t="n">
        <v>9</v>
      </c>
      <c r="D563" s="4" t="n">
        <v>5</v>
      </c>
      <c r="E563" s="4" t="s">
        <v>578</v>
      </c>
      <c r="F563" s="4" t="n">
        <v>55</v>
      </c>
      <c r="G563" s="4" t="n">
        <v>1</v>
      </c>
      <c r="H563" s="4" t="n">
        <v>1</v>
      </c>
      <c r="I563" s="4" t="str">
        <v>○</v>
      </c>
      <c r="J563" s="4" t="n">
        <v>160</v>
      </c>
      <c r="K563" s="4"/>
      <c r="L563" s="4"/>
      <c r="M563" s="5" t="s">
        <v>15</v>
      </c>
    </row>
    <row r="564" customFormat="false" ht="15.75" hidden="false" customHeight="false" outlineLevel="0" collapsed="false">
      <c r="A564" s="3" t="n">
        <v>46229</v>
      </c>
      <c r="B564" s="4" t="s">
        <v>13</v>
      </c>
      <c r="C564" s="4" t="n">
        <v>9</v>
      </c>
      <c r="D564" s="4" t="n">
        <v>6</v>
      </c>
      <c r="E564" s="4" t="s">
        <v>579</v>
      </c>
      <c r="F564" s="4" t="n">
        <v>37</v>
      </c>
      <c r="G564" s="4" t="n">
        <v>5</v>
      </c>
      <c r="H564" s="4" t="n">
        <v>4</v>
      </c>
      <c r="I564" s="4" t="str">
        <v>×</v>
      </c>
      <c r="J564" s="4"/>
      <c r="K564" s="4"/>
      <c r="L564" s="4"/>
      <c r="M564" s="5" t="s">
        <v>15</v>
      </c>
    </row>
    <row r="565" customFormat="false" ht="15.75" hidden="false" customHeight="false" outlineLevel="0" collapsed="false">
      <c r="A565" s="3" t="n">
        <v>46229</v>
      </c>
      <c r="B565" s="4" t="s">
        <v>13</v>
      </c>
      <c r="C565" s="4" t="n">
        <v>9</v>
      </c>
      <c r="D565" s="4" t="n">
        <v>7</v>
      </c>
      <c r="E565" s="4" t="s">
        <v>580</v>
      </c>
      <c r="F565" s="4" t="n">
        <v>27</v>
      </c>
      <c r="G565" s="4" t="n">
        <v>9</v>
      </c>
      <c r="H565" s="4" t="n">
        <v>4</v>
      </c>
      <c r="I565" s="4" t="str">
        <v>×</v>
      </c>
      <c r="J565" s="4"/>
      <c r="K565" s="4"/>
      <c r="L565" s="4"/>
      <c r="M565" s="5" t="s">
        <v>15</v>
      </c>
    </row>
    <row r="566" customFormat="false" ht="15.75" hidden="false" customHeight="false" outlineLevel="0" collapsed="false">
      <c r="A566" s="3" t="n">
        <v>46229</v>
      </c>
      <c r="B566" s="4" t="s">
        <v>13</v>
      </c>
      <c r="C566" s="4" t="n">
        <v>9</v>
      </c>
      <c r="D566" s="4" t="n">
        <v>8</v>
      </c>
      <c r="E566" s="4" t="s">
        <v>581</v>
      </c>
      <c r="F566" s="4" t="n">
        <v>55</v>
      </c>
      <c r="G566" s="4" t="n">
        <v>1</v>
      </c>
      <c r="H566" s="4" t="n">
        <v>4</v>
      </c>
      <c r="I566" s="4" t="str">
        <v>×</v>
      </c>
      <c r="J566" s="4"/>
      <c r="K566" s="4"/>
      <c r="L566" s="4"/>
      <c r="M566" s="5" t="s">
        <v>15</v>
      </c>
    </row>
    <row r="567" customFormat="false" ht="15.75" hidden="false" customHeight="false" outlineLevel="0" collapsed="false">
      <c r="A567" s="3" t="n">
        <v>46229</v>
      </c>
      <c r="B567" s="4" t="s">
        <v>13</v>
      </c>
      <c r="C567" s="4" t="n">
        <v>9</v>
      </c>
      <c r="D567" s="4" t="n">
        <v>9</v>
      </c>
      <c r="E567" s="4" t="s">
        <v>582</v>
      </c>
      <c r="F567" s="4" t="n">
        <v>37</v>
      </c>
      <c r="G567" s="4" t="n">
        <v>5</v>
      </c>
      <c r="H567" s="4" t="n">
        <v>4</v>
      </c>
      <c r="I567" s="4" t="str">
        <v>×</v>
      </c>
      <c r="J567" s="4"/>
      <c r="K567" s="4"/>
      <c r="L567" s="4"/>
      <c r="M567" s="5" t="s">
        <v>15</v>
      </c>
    </row>
    <row r="568" customFormat="false" ht="15.75" hidden="false" customHeight="false" outlineLevel="0" collapsed="false">
      <c r="A568" s="3" t="n">
        <v>46229</v>
      </c>
      <c r="B568" s="4" t="s">
        <v>13</v>
      </c>
      <c r="C568" s="4" t="n">
        <v>9</v>
      </c>
      <c r="D568" s="4" t="n">
        <v>10</v>
      </c>
      <c r="E568" s="4" t="s">
        <v>583</v>
      </c>
      <c r="F568" s="4" t="n">
        <v>37</v>
      </c>
      <c r="G568" s="4" t="n">
        <v>5</v>
      </c>
      <c r="H568" s="4" t="n">
        <v>2</v>
      </c>
      <c r="I568" s="4" t="str">
        <v>○</v>
      </c>
      <c r="J568" s="4" t="n">
        <v>360</v>
      </c>
      <c r="K568" s="4"/>
      <c r="L568" s="4"/>
      <c r="M568" s="5" t="s">
        <v>15</v>
      </c>
    </row>
    <row r="569" customFormat="false" ht="15.75" hidden="false" customHeight="false" outlineLevel="0" collapsed="false">
      <c r="A569" s="3" t="n">
        <v>46229</v>
      </c>
      <c r="B569" s="4" t="s">
        <v>13</v>
      </c>
      <c r="C569" s="4" t="n">
        <v>9</v>
      </c>
      <c r="D569" s="4" t="n">
        <v>11</v>
      </c>
      <c r="E569" s="4" t="s">
        <v>584</v>
      </c>
      <c r="F569" s="4" t="n">
        <v>24</v>
      </c>
      <c r="G569" s="4" t="n">
        <v>10</v>
      </c>
      <c r="H569" s="4" t="n">
        <v>4</v>
      </c>
      <c r="I569" s="4" t="str">
        <v>×</v>
      </c>
      <c r="J569" s="4"/>
      <c r="K569" s="4"/>
      <c r="L569" s="4"/>
      <c r="M569" s="5" t="s">
        <v>15</v>
      </c>
    </row>
    <row r="570" customFormat="false" ht="15.75" hidden="false" customHeight="false" outlineLevel="0" collapsed="false">
      <c r="A570" s="3" t="n">
        <v>46229</v>
      </c>
      <c r="B570" s="4" t="s">
        <v>13</v>
      </c>
      <c r="C570" s="4" t="n">
        <v>9</v>
      </c>
      <c r="D570" s="4" t="n">
        <v>12</v>
      </c>
      <c r="E570" s="4" t="s">
        <v>585</v>
      </c>
      <c r="F570" s="4" t="n">
        <v>44</v>
      </c>
      <c r="G570" s="4" t="n">
        <v>3</v>
      </c>
      <c r="H570" s="4" t="n">
        <v>4</v>
      </c>
      <c r="I570" s="4" t="str">
        <v>×</v>
      </c>
      <c r="J570" s="4"/>
      <c r="K570" s="4"/>
      <c r="L570" s="4"/>
      <c r="M570" s="5" t="s">
        <v>15</v>
      </c>
    </row>
    <row r="571" customFormat="false" ht="15.75" hidden="false" customHeight="false" outlineLevel="0" collapsed="false">
      <c r="A571" s="3" t="n">
        <v>46229</v>
      </c>
      <c r="B571" s="4" t="s">
        <v>13</v>
      </c>
      <c r="C571" s="4" t="n">
        <v>9</v>
      </c>
      <c r="D571" s="4" t="n">
        <v>13</v>
      </c>
      <c r="E571" s="4" t="s">
        <v>586</v>
      </c>
      <c r="F571" s="4" t="n">
        <v>31</v>
      </c>
      <c r="G571" s="4" t="n">
        <v>8</v>
      </c>
      <c r="H571" s="4" t="n">
        <v>4</v>
      </c>
      <c r="I571" s="4" t="str">
        <v>×</v>
      </c>
      <c r="J571" s="4"/>
      <c r="K571" s="4"/>
      <c r="L571" s="4"/>
      <c r="M571" s="5" t="s">
        <v>15</v>
      </c>
    </row>
    <row r="572" customFormat="false" ht="15.75" hidden="false" customHeight="false" outlineLevel="0" collapsed="false">
      <c r="A572" s="3" t="n">
        <v>46229</v>
      </c>
      <c r="B572" s="4" t="s">
        <v>13</v>
      </c>
      <c r="C572" s="4" t="n">
        <v>9</v>
      </c>
      <c r="D572" s="4" t="n">
        <v>14</v>
      </c>
      <c r="E572" s="4" t="s">
        <v>587</v>
      </c>
      <c r="F572" s="4" t="n">
        <v>44</v>
      </c>
      <c r="G572" s="4" t="n">
        <v>3</v>
      </c>
      <c r="H572" s="4" t="n">
        <v>4</v>
      </c>
      <c r="I572" s="4" t="str">
        <v>×</v>
      </c>
      <c r="J572" s="4"/>
      <c r="K572" s="4"/>
      <c r="L572" s="4"/>
      <c r="M572" s="5" t="s">
        <v>15</v>
      </c>
    </row>
    <row r="573" customFormat="false" ht="15.75" hidden="false" customHeight="false" outlineLevel="0" collapsed="false">
      <c r="A573" s="3" t="n">
        <v>46229</v>
      </c>
      <c r="B573" s="4" t="s">
        <v>13</v>
      </c>
      <c r="C573" s="4" t="n">
        <v>10</v>
      </c>
      <c r="D573" s="4" t="n">
        <v>1</v>
      </c>
      <c r="E573" s="4" t="s">
        <v>588</v>
      </c>
      <c r="F573" s="4" t="n">
        <v>3</v>
      </c>
      <c r="G573" s="4" t="n">
        <v>12</v>
      </c>
      <c r="H573" s="4" t="n">
        <v>4</v>
      </c>
      <c r="I573" s="4" t="str">
        <v>×</v>
      </c>
      <c r="J573" s="4"/>
      <c r="K573" s="4"/>
      <c r="L573" s="4"/>
      <c r="M573" s="5" t="s">
        <v>15</v>
      </c>
    </row>
    <row r="574" customFormat="false" ht="15.75" hidden="false" customHeight="false" outlineLevel="0" collapsed="false">
      <c r="A574" s="3" t="n">
        <v>46229</v>
      </c>
      <c r="B574" s="4" t="s">
        <v>13</v>
      </c>
      <c r="C574" s="4" t="n">
        <v>10</v>
      </c>
      <c r="D574" s="4" t="n">
        <v>2</v>
      </c>
      <c r="E574" s="4" t="s">
        <v>589</v>
      </c>
      <c r="F574" s="4" t="n">
        <v>23</v>
      </c>
      <c r="G574" s="4" t="n">
        <v>5</v>
      </c>
      <c r="H574" s="4" t="n">
        <v>4</v>
      </c>
      <c r="I574" s="4" t="str">
        <v>×</v>
      </c>
      <c r="J574" s="4"/>
      <c r="K574" s="4"/>
      <c r="L574" s="4"/>
      <c r="M574" s="5" t="s">
        <v>15</v>
      </c>
    </row>
    <row r="575" customFormat="false" ht="15.75" hidden="false" customHeight="false" outlineLevel="0" collapsed="false">
      <c r="A575" s="3" t="n">
        <v>46229</v>
      </c>
      <c r="B575" s="4" t="s">
        <v>13</v>
      </c>
      <c r="C575" s="4" t="n">
        <v>10</v>
      </c>
      <c r="D575" s="4" t="n">
        <v>3</v>
      </c>
      <c r="E575" s="4" t="s">
        <v>590</v>
      </c>
      <c r="F575" s="4" t="n">
        <v>15</v>
      </c>
      <c r="G575" s="4" t="n">
        <v>6</v>
      </c>
      <c r="H575" s="4" t="n">
        <v>4</v>
      </c>
      <c r="I575" s="4" t="str">
        <v>×</v>
      </c>
      <c r="J575" s="4"/>
      <c r="K575" s="4"/>
      <c r="L575" s="4"/>
      <c r="M575" s="5" t="s">
        <v>15</v>
      </c>
    </row>
    <row r="576" customFormat="false" ht="15.75" hidden="false" customHeight="false" outlineLevel="0" collapsed="false">
      <c r="A576" s="3" t="n">
        <v>46229</v>
      </c>
      <c r="B576" s="4" t="s">
        <v>13</v>
      </c>
      <c r="C576" s="4" t="n">
        <v>10</v>
      </c>
      <c r="D576" s="4" t="n">
        <v>4</v>
      </c>
      <c r="E576" s="4" t="s">
        <v>591</v>
      </c>
      <c r="F576" s="4" t="n">
        <v>52</v>
      </c>
      <c r="G576" s="4" t="n">
        <v>2</v>
      </c>
      <c r="H576" s="4" t="n">
        <v>4</v>
      </c>
      <c r="I576" s="4" t="str">
        <v>×</v>
      </c>
      <c r="J576" s="4"/>
      <c r="K576" s="4"/>
      <c r="L576" s="4"/>
      <c r="M576" s="5" t="s">
        <v>15</v>
      </c>
    </row>
    <row r="577" customFormat="false" ht="15.75" hidden="false" customHeight="false" outlineLevel="0" collapsed="false">
      <c r="A577" s="3" t="n">
        <v>46229</v>
      </c>
      <c r="B577" s="4" t="s">
        <v>13</v>
      </c>
      <c r="C577" s="4" t="n">
        <v>10</v>
      </c>
      <c r="D577" s="4" t="n">
        <v>5</v>
      </c>
      <c r="E577" s="4" t="s">
        <v>592</v>
      </c>
      <c r="F577" s="4" t="n">
        <v>58</v>
      </c>
      <c r="G577" s="4" t="n">
        <v>1</v>
      </c>
      <c r="H577" s="4" t="n">
        <v>4</v>
      </c>
      <c r="I577" s="4" t="str">
        <v>×</v>
      </c>
      <c r="J577" s="4"/>
      <c r="K577" s="4"/>
      <c r="L577" s="4"/>
      <c r="M577" s="5" t="s">
        <v>15</v>
      </c>
    </row>
    <row r="578" customFormat="false" ht="15.75" hidden="false" customHeight="false" outlineLevel="0" collapsed="false">
      <c r="A578" s="3" t="n">
        <v>46229</v>
      </c>
      <c r="B578" s="4" t="s">
        <v>13</v>
      </c>
      <c r="C578" s="4" t="n">
        <v>10</v>
      </c>
      <c r="D578" s="4" t="n">
        <v>6</v>
      </c>
      <c r="E578" s="4" t="s">
        <v>593</v>
      </c>
      <c r="F578" s="4" t="n">
        <v>15</v>
      </c>
      <c r="G578" s="4" t="n">
        <v>6</v>
      </c>
      <c r="H578" s="4" t="n">
        <v>3</v>
      </c>
      <c r="I578" s="4" t="str">
        <v>○</v>
      </c>
      <c r="J578" s="4" t="n">
        <v>630</v>
      </c>
      <c r="K578" s="4"/>
      <c r="L578" s="4"/>
      <c r="M578" s="5" t="s">
        <v>15</v>
      </c>
    </row>
    <row r="579" customFormat="false" ht="15.75" hidden="false" customHeight="false" outlineLevel="0" collapsed="false">
      <c r="A579" s="3" t="n">
        <v>46229</v>
      </c>
      <c r="B579" s="4" t="s">
        <v>13</v>
      </c>
      <c r="C579" s="4" t="n">
        <v>10</v>
      </c>
      <c r="D579" s="4" t="n">
        <v>7</v>
      </c>
      <c r="E579" s="4" t="s">
        <v>594</v>
      </c>
      <c r="F579" s="4" t="n">
        <v>25</v>
      </c>
      <c r="G579" s="4" t="n">
        <v>4</v>
      </c>
      <c r="H579" s="4" t="n">
        <v>2</v>
      </c>
      <c r="I579" s="4" t="str">
        <v>○</v>
      </c>
      <c r="J579" s="4" t="n">
        <v>200</v>
      </c>
      <c r="K579" s="4"/>
      <c r="L579" s="4"/>
      <c r="M579" s="5" t="s">
        <v>15</v>
      </c>
    </row>
    <row r="580" customFormat="false" ht="15.75" hidden="false" customHeight="false" outlineLevel="0" collapsed="false">
      <c r="A580" s="3" t="n">
        <v>46229</v>
      </c>
      <c r="B580" s="4" t="s">
        <v>13</v>
      </c>
      <c r="C580" s="4" t="n">
        <v>10</v>
      </c>
      <c r="D580" s="4" t="n">
        <v>8</v>
      </c>
      <c r="E580" s="4" t="s">
        <v>595</v>
      </c>
      <c r="F580" s="4" t="n">
        <v>10</v>
      </c>
      <c r="G580" s="4" t="n">
        <v>9</v>
      </c>
      <c r="H580" s="4" t="n">
        <v>4</v>
      </c>
      <c r="I580" s="4" t="str">
        <v>×</v>
      </c>
      <c r="J580" s="4"/>
      <c r="K580" s="4"/>
      <c r="L580" s="4"/>
      <c r="M580" s="5" t="s">
        <v>15</v>
      </c>
    </row>
    <row r="581" customFormat="false" ht="15.75" hidden="false" customHeight="false" outlineLevel="0" collapsed="false">
      <c r="A581" s="3" t="n">
        <v>46229</v>
      </c>
      <c r="B581" s="4" t="s">
        <v>13</v>
      </c>
      <c r="C581" s="4" t="n">
        <v>10</v>
      </c>
      <c r="D581" s="4" t="n">
        <v>9</v>
      </c>
      <c r="E581" s="4" t="s">
        <v>596</v>
      </c>
      <c r="F581" s="4" t="n">
        <v>47</v>
      </c>
      <c r="G581" s="4" t="n">
        <v>3</v>
      </c>
      <c r="H581" s="4" t="n">
        <v>1</v>
      </c>
      <c r="I581" s="4" t="str">
        <v>○</v>
      </c>
      <c r="J581" s="4" t="n">
        <v>160</v>
      </c>
      <c r="K581" s="4"/>
      <c r="L581" s="4"/>
      <c r="M581" s="5" t="s">
        <v>15</v>
      </c>
    </row>
    <row r="582" customFormat="false" ht="15.75" hidden="false" customHeight="false" outlineLevel="0" collapsed="false">
      <c r="A582" s="3" t="n">
        <v>46229</v>
      </c>
      <c r="B582" s="4" t="s">
        <v>13</v>
      </c>
      <c r="C582" s="4" t="n">
        <v>10</v>
      </c>
      <c r="D582" s="4" t="n">
        <v>10</v>
      </c>
      <c r="E582" s="4" t="s">
        <v>597</v>
      </c>
      <c r="F582" s="4" t="n">
        <v>3</v>
      </c>
      <c r="G582" s="4" t="n">
        <v>12</v>
      </c>
      <c r="H582" s="4" t="n">
        <v>4</v>
      </c>
      <c r="I582" s="4" t="str">
        <v>×</v>
      </c>
      <c r="J582" s="4"/>
      <c r="K582" s="4"/>
      <c r="L582" s="4"/>
      <c r="M582" s="5" t="s">
        <v>15</v>
      </c>
    </row>
    <row r="583" customFormat="false" ht="15.75" hidden="false" customHeight="false" outlineLevel="0" collapsed="false">
      <c r="A583" s="3" t="n">
        <v>46229</v>
      </c>
      <c r="B583" s="4" t="s">
        <v>13</v>
      </c>
      <c r="C583" s="4" t="n">
        <v>10</v>
      </c>
      <c r="D583" s="4" t="n">
        <v>11</v>
      </c>
      <c r="E583" s="4" t="s">
        <v>598</v>
      </c>
      <c r="F583" s="4" t="n">
        <v>10</v>
      </c>
      <c r="G583" s="4" t="n">
        <v>9</v>
      </c>
      <c r="H583" s="4" t="n">
        <v>4</v>
      </c>
      <c r="I583" s="4" t="str">
        <v>×</v>
      </c>
      <c r="J583" s="4"/>
      <c r="K583" s="4"/>
      <c r="L583" s="4"/>
      <c r="M583" s="5" t="s">
        <v>15</v>
      </c>
    </row>
    <row r="584" customFormat="false" ht="15.75" hidden="false" customHeight="false" outlineLevel="0" collapsed="false">
      <c r="A584" s="3" t="n">
        <v>46229</v>
      </c>
      <c r="B584" s="4" t="s">
        <v>13</v>
      </c>
      <c r="C584" s="4" t="n">
        <v>10</v>
      </c>
      <c r="D584" s="4" t="n">
        <v>12</v>
      </c>
      <c r="E584" s="4" t="s">
        <v>599</v>
      </c>
      <c r="F584" s="4" t="n">
        <v>13</v>
      </c>
      <c r="G584" s="4" t="n">
        <v>8</v>
      </c>
      <c r="H584" s="4" t="n">
        <v>4</v>
      </c>
      <c r="I584" s="4" t="str">
        <v>×</v>
      </c>
      <c r="J584" s="4"/>
      <c r="K584" s="4"/>
      <c r="L584" s="4"/>
      <c r="M584" s="5" t="s">
        <v>15</v>
      </c>
    </row>
    <row r="585" customFormat="false" ht="15.75" hidden="false" customHeight="false" outlineLevel="0" collapsed="false">
      <c r="A585" s="3" t="n">
        <v>46229</v>
      </c>
      <c r="B585" s="4" t="s">
        <v>13</v>
      </c>
      <c r="C585" s="4" t="n">
        <v>10</v>
      </c>
      <c r="D585" s="4" t="n">
        <v>13</v>
      </c>
      <c r="E585" s="4" t="s">
        <v>600</v>
      </c>
      <c r="F585" s="4" t="n">
        <v>3</v>
      </c>
      <c r="G585" s="4" t="n">
        <v>12</v>
      </c>
      <c r="H585" s="4" t="n">
        <v>4</v>
      </c>
      <c r="I585" s="4" t="str">
        <v>×</v>
      </c>
      <c r="J585" s="4"/>
      <c r="K585" s="4"/>
      <c r="L585" s="4"/>
      <c r="M585" s="5" t="s">
        <v>15</v>
      </c>
    </row>
    <row r="586" customFormat="false" ht="15.75" hidden="false" customHeight="false" outlineLevel="0" collapsed="false">
      <c r="A586" s="3" t="n">
        <v>46229</v>
      </c>
      <c r="B586" s="4" t="s">
        <v>13</v>
      </c>
      <c r="C586" s="4" t="n">
        <v>10</v>
      </c>
      <c r="D586" s="4" t="n">
        <v>14</v>
      </c>
      <c r="E586" s="4" t="s">
        <v>601</v>
      </c>
      <c r="F586" s="4" t="n">
        <v>4</v>
      </c>
      <c r="G586" s="4" t="n">
        <v>11</v>
      </c>
      <c r="H586" s="4" t="n">
        <v>4</v>
      </c>
      <c r="I586" s="4" t="str">
        <v>×</v>
      </c>
      <c r="J586" s="4"/>
      <c r="K586" s="4"/>
      <c r="L586" s="4"/>
      <c r="M586" s="5" t="s">
        <v>15</v>
      </c>
    </row>
    <row r="587" customFormat="false" ht="15.75" hidden="false" customHeight="false" outlineLevel="0" collapsed="false">
      <c r="A587" s="3" t="n">
        <v>46229</v>
      </c>
      <c r="B587" s="4" t="s">
        <v>13</v>
      </c>
      <c r="C587" s="4" t="n">
        <v>11</v>
      </c>
      <c r="D587" s="4" t="n">
        <v>1</v>
      </c>
      <c r="E587" s="4" t="s">
        <v>602</v>
      </c>
      <c r="F587" s="4" t="n">
        <v>1</v>
      </c>
      <c r="G587" s="4" t="n">
        <v>14</v>
      </c>
      <c r="H587" s="4" t="n">
        <v>4</v>
      </c>
      <c r="I587" s="4" t="str">
        <v>×</v>
      </c>
      <c r="J587" s="4"/>
      <c r="K587" s="4"/>
      <c r="L587" s="4"/>
      <c r="M587" s="5" t="s">
        <v>15</v>
      </c>
    </row>
    <row r="588" customFormat="false" ht="15.75" hidden="false" customHeight="false" outlineLevel="0" collapsed="false">
      <c r="A588" s="3" t="n">
        <v>46229</v>
      </c>
      <c r="B588" s="4" t="s">
        <v>13</v>
      </c>
      <c r="C588" s="4" t="n">
        <v>11</v>
      </c>
      <c r="D588" s="4" t="n">
        <v>2</v>
      </c>
      <c r="E588" s="4" t="s">
        <v>603</v>
      </c>
      <c r="F588" s="4" t="n">
        <v>3</v>
      </c>
      <c r="G588" s="4" t="n">
        <v>13</v>
      </c>
      <c r="H588" s="4" t="n">
        <v>4</v>
      </c>
      <c r="I588" s="4" t="str">
        <v>×</v>
      </c>
      <c r="J588" s="4"/>
      <c r="K588" s="4"/>
      <c r="L588" s="4"/>
      <c r="M588" s="5" t="s">
        <v>15</v>
      </c>
    </row>
    <row r="589" customFormat="false" ht="15.75" hidden="false" customHeight="false" outlineLevel="0" collapsed="false">
      <c r="A589" s="3" t="n">
        <v>46229</v>
      </c>
      <c r="B589" s="4" t="s">
        <v>13</v>
      </c>
      <c r="C589" s="4" t="n">
        <v>11</v>
      </c>
      <c r="D589" s="4" t="n">
        <v>3</v>
      </c>
      <c r="E589" s="4" t="s">
        <v>604</v>
      </c>
      <c r="F589" s="4" t="n">
        <v>20</v>
      </c>
      <c r="G589" s="4" t="n">
        <v>4</v>
      </c>
      <c r="H589" s="4" t="n">
        <v>4</v>
      </c>
      <c r="I589" s="4" t="str">
        <v>×</v>
      </c>
      <c r="J589" s="4"/>
      <c r="K589" s="4"/>
      <c r="L589" s="4"/>
      <c r="M589" s="5" t="s">
        <v>15</v>
      </c>
    </row>
    <row r="590" customFormat="false" ht="15.75" hidden="false" customHeight="false" outlineLevel="0" collapsed="false">
      <c r="A590" s="3" t="n">
        <v>46229</v>
      </c>
      <c r="B590" s="4" t="s">
        <v>13</v>
      </c>
      <c r="C590" s="4" t="n">
        <v>11</v>
      </c>
      <c r="D590" s="4" t="n">
        <v>4</v>
      </c>
      <c r="E590" s="4" t="s">
        <v>605</v>
      </c>
      <c r="F590" s="4" t="n">
        <v>10</v>
      </c>
      <c r="G590" s="4" t="n">
        <v>9</v>
      </c>
      <c r="H590" s="4" t="n">
        <v>4</v>
      </c>
      <c r="I590" s="4" t="str">
        <v>×</v>
      </c>
      <c r="J590" s="4"/>
      <c r="K590" s="4"/>
      <c r="L590" s="4"/>
      <c r="M590" s="5" t="s">
        <v>15</v>
      </c>
    </row>
    <row r="591" customFormat="false" ht="15.75" hidden="false" customHeight="false" outlineLevel="0" collapsed="false">
      <c r="A591" s="3" t="n">
        <v>46229</v>
      </c>
      <c r="B591" s="4" t="s">
        <v>13</v>
      </c>
      <c r="C591" s="4" t="n">
        <v>11</v>
      </c>
      <c r="D591" s="4" t="n">
        <v>5</v>
      </c>
      <c r="E591" s="4" t="s">
        <v>606</v>
      </c>
      <c r="F591" s="4" t="n">
        <v>66</v>
      </c>
      <c r="G591" s="4" t="n">
        <v>1</v>
      </c>
      <c r="H591" s="4" t="n">
        <v>3</v>
      </c>
      <c r="I591" s="4" t="str">
        <v>○</v>
      </c>
      <c r="J591" s="4" t="n">
        <v>310</v>
      </c>
      <c r="K591" s="4"/>
      <c r="L591" s="4"/>
      <c r="M591" s="5" t="s">
        <v>15</v>
      </c>
    </row>
    <row r="592" customFormat="false" ht="15.75" hidden="false" customHeight="false" outlineLevel="0" collapsed="false">
      <c r="A592" s="3" t="n">
        <v>46229</v>
      </c>
      <c r="B592" s="4" t="s">
        <v>13</v>
      </c>
      <c r="C592" s="4" t="n">
        <v>11</v>
      </c>
      <c r="D592" s="4" t="n">
        <v>6</v>
      </c>
      <c r="E592" s="4" t="s">
        <v>607</v>
      </c>
      <c r="F592" s="4" t="n">
        <v>8</v>
      </c>
      <c r="G592" s="4" t="n">
        <v>11</v>
      </c>
      <c r="H592" s="4" t="n">
        <v>4</v>
      </c>
      <c r="I592" s="4" t="str">
        <v>×</v>
      </c>
      <c r="J592" s="4"/>
      <c r="K592" s="4"/>
      <c r="L592" s="4"/>
      <c r="M592" s="5" t="s">
        <v>15</v>
      </c>
    </row>
    <row r="593" customFormat="false" ht="15.75" hidden="false" customHeight="false" outlineLevel="0" collapsed="false">
      <c r="A593" s="3" t="n">
        <v>46229</v>
      </c>
      <c r="B593" s="4" t="s">
        <v>13</v>
      </c>
      <c r="C593" s="4" t="n">
        <v>11</v>
      </c>
      <c r="D593" s="4" t="n">
        <v>7</v>
      </c>
      <c r="E593" s="4" t="s">
        <v>608</v>
      </c>
      <c r="F593" s="4" t="n">
        <v>6</v>
      </c>
      <c r="G593" s="4" t="n">
        <v>12</v>
      </c>
      <c r="H593" s="4" t="n">
        <v>4</v>
      </c>
      <c r="I593" s="4" t="str">
        <v>×</v>
      </c>
      <c r="J593" s="4"/>
      <c r="K593" s="4"/>
      <c r="L593" s="4"/>
      <c r="M593" s="5" t="s">
        <v>15</v>
      </c>
    </row>
    <row r="594" customFormat="false" ht="15.75" hidden="false" customHeight="false" outlineLevel="0" collapsed="false">
      <c r="A594" s="3" t="n">
        <v>46229</v>
      </c>
      <c r="B594" s="4" t="s">
        <v>13</v>
      </c>
      <c r="C594" s="4" t="n">
        <v>11</v>
      </c>
      <c r="D594" s="4" t="n">
        <v>8</v>
      </c>
      <c r="E594" s="4" t="s">
        <v>609</v>
      </c>
      <c r="F594" s="4" t="n">
        <v>23</v>
      </c>
      <c r="G594" s="4" t="n">
        <v>3</v>
      </c>
      <c r="H594" s="4" t="n">
        <v>4</v>
      </c>
      <c r="I594" s="4" t="str">
        <v>×</v>
      </c>
      <c r="J594" s="4"/>
      <c r="K594" s="4"/>
      <c r="L594" s="4"/>
      <c r="M594" s="5" t="s">
        <v>15</v>
      </c>
    </row>
    <row r="595" customFormat="false" ht="15.75" hidden="false" customHeight="false" outlineLevel="0" collapsed="false">
      <c r="A595" s="3" t="n">
        <v>46229</v>
      </c>
      <c r="B595" s="4" t="s">
        <v>13</v>
      </c>
      <c r="C595" s="4" t="n">
        <v>11</v>
      </c>
      <c r="D595" s="4" t="n">
        <v>9</v>
      </c>
      <c r="E595" s="4" t="s">
        <v>610</v>
      </c>
      <c r="F595" s="4" t="n">
        <v>13</v>
      </c>
      <c r="G595" s="4" t="n">
        <v>8</v>
      </c>
      <c r="H595" s="4" t="n">
        <v>4</v>
      </c>
      <c r="I595" s="4" t="str">
        <v>×</v>
      </c>
      <c r="J595" s="4"/>
      <c r="K595" s="4"/>
      <c r="L595" s="4"/>
      <c r="M595" s="5" t="s">
        <v>15</v>
      </c>
    </row>
    <row r="596" customFormat="false" ht="15.75" hidden="false" customHeight="false" outlineLevel="0" collapsed="false">
      <c r="A596" s="3" t="n">
        <v>46229</v>
      </c>
      <c r="B596" s="4" t="s">
        <v>13</v>
      </c>
      <c r="C596" s="4" t="n">
        <v>11</v>
      </c>
      <c r="D596" s="4" t="n">
        <v>10</v>
      </c>
      <c r="E596" s="4" t="s">
        <v>611</v>
      </c>
      <c r="F596" s="4" t="n">
        <v>25</v>
      </c>
      <c r="G596" s="4" t="n">
        <v>2</v>
      </c>
      <c r="H596" s="4" t="n">
        <v>2</v>
      </c>
      <c r="I596" s="4" t="str">
        <v>○</v>
      </c>
      <c r="J596" s="4" t="n">
        <v>260</v>
      </c>
      <c r="K596" s="4"/>
      <c r="L596" s="4"/>
      <c r="M596" s="5" t="s">
        <v>15</v>
      </c>
    </row>
    <row r="597" customFormat="false" ht="15.75" hidden="false" customHeight="false" outlineLevel="0" collapsed="false">
      <c r="A597" s="3" t="n">
        <v>46229</v>
      </c>
      <c r="B597" s="4" t="s">
        <v>13</v>
      </c>
      <c r="C597" s="4" t="n">
        <v>11</v>
      </c>
      <c r="D597" s="4" t="n">
        <v>11</v>
      </c>
      <c r="E597" s="4" t="s">
        <v>612</v>
      </c>
      <c r="F597" s="4" t="n">
        <v>10</v>
      </c>
      <c r="G597" s="4" t="n">
        <v>9</v>
      </c>
      <c r="H597" s="4" t="n">
        <v>4</v>
      </c>
      <c r="I597" s="4" t="str">
        <v>×</v>
      </c>
      <c r="J597" s="4"/>
      <c r="K597" s="4"/>
      <c r="L597" s="4"/>
      <c r="M597" s="5" t="s">
        <v>15</v>
      </c>
    </row>
    <row r="598" customFormat="false" ht="15.75" hidden="false" customHeight="false" outlineLevel="0" collapsed="false">
      <c r="A598" s="3" t="n">
        <v>46229</v>
      </c>
      <c r="B598" s="4" t="s">
        <v>13</v>
      </c>
      <c r="C598" s="4" t="n">
        <v>11</v>
      </c>
      <c r="D598" s="4" t="n">
        <v>12</v>
      </c>
      <c r="E598" s="4" t="s">
        <v>613</v>
      </c>
      <c r="F598" s="4" t="n">
        <v>15</v>
      </c>
      <c r="G598" s="4" t="n">
        <v>7</v>
      </c>
      <c r="H598" s="4" t="n">
        <v>4</v>
      </c>
      <c r="I598" s="4" t="str">
        <v>×</v>
      </c>
      <c r="J598" s="4"/>
      <c r="K598" s="4"/>
      <c r="L598" s="4"/>
      <c r="M598" s="5" t="s">
        <v>15</v>
      </c>
    </row>
    <row r="599" customFormat="false" ht="15.75" hidden="false" customHeight="false" outlineLevel="0" collapsed="false">
      <c r="A599" s="3" t="n">
        <v>46229</v>
      </c>
      <c r="B599" s="4" t="s">
        <v>13</v>
      </c>
      <c r="C599" s="4" t="n">
        <v>11</v>
      </c>
      <c r="D599" s="4" t="n">
        <v>13</v>
      </c>
      <c r="E599" s="4" t="s">
        <v>614</v>
      </c>
      <c r="F599" s="4" t="n">
        <v>20</v>
      </c>
      <c r="G599" s="4" t="n">
        <v>4</v>
      </c>
      <c r="H599" s="4" t="n">
        <v>1</v>
      </c>
      <c r="I599" s="4" t="str">
        <v>○</v>
      </c>
      <c r="J599" s="4" t="n">
        <v>190</v>
      </c>
      <c r="K599" s="4"/>
      <c r="L599" s="4"/>
      <c r="M599" s="5" t="s">
        <v>15</v>
      </c>
    </row>
    <row r="600" customFormat="false" ht="15.75" hidden="false" customHeight="false" outlineLevel="0" collapsed="false">
      <c r="A600" s="3" t="n">
        <v>46229</v>
      </c>
      <c r="B600" s="4" t="s">
        <v>13</v>
      </c>
      <c r="C600" s="4" t="n">
        <v>11</v>
      </c>
      <c r="D600" s="4" t="n">
        <v>14</v>
      </c>
      <c r="E600" s="4" t="s">
        <v>615</v>
      </c>
      <c r="F600" s="4" t="n">
        <v>1</v>
      </c>
      <c r="G600" s="4" t="n">
        <v>14</v>
      </c>
      <c r="H600" s="4" t="n">
        <v>4</v>
      </c>
      <c r="I600" s="4" t="str">
        <v>×</v>
      </c>
      <c r="J600" s="4"/>
      <c r="K600" s="4"/>
      <c r="L600" s="4"/>
      <c r="M600" s="5" t="s">
        <v>15</v>
      </c>
    </row>
    <row r="601" customFormat="false" ht="15.75" hidden="false" customHeight="false" outlineLevel="0" collapsed="false">
      <c r="A601" s="3" t="n">
        <v>46229</v>
      </c>
      <c r="B601" s="4" t="s">
        <v>13</v>
      </c>
      <c r="C601" s="4" t="n">
        <v>11</v>
      </c>
      <c r="D601" s="4" t="n">
        <v>15</v>
      </c>
      <c r="E601" s="4" t="s">
        <v>616</v>
      </c>
      <c r="F601" s="4" t="n">
        <v>20</v>
      </c>
      <c r="G601" s="4" t="n">
        <v>4</v>
      </c>
      <c r="H601" s="4" t="n">
        <v>4</v>
      </c>
      <c r="I601" s="4" t="str">
        <v>×</v>
      </c>
      <c r="J601" s="4"/>
      <c r="K601" s="4"/>
      <c r="L601" s="4"/>
      <c r="M601" s="5" t="s">
        <v>15</v>
      </c>
    </row>
    <row r="602" customFormat="false" ht="15.75" hidden="false" customHeight="false" outlineLevel="0" collapsed="false">
      <c r="A602" s="3" t="n">
        <v>46229</v>
      </c>
      <c r="B602" s="4" t="s">
        <v>13</v>
      </c>
      <c r="C602" s="4" t="n">
        <v>12</v>
      </c>
      <c r="D602" s="4" t="n">
        <v>1</v>
      </c>
      <c r="E602" s="4" t="s">
        <v>617</v>
      </c>
      <c r="F602" s="4" t="n">
        <v>29</v>
      </c>
      <c r="G602" s="4" t="n">
        <v>4</v>
      </c>
      <c r="H602" s="4" t="n">
        <v>4</v>
      </c>
      <c r="I602" s="4" t="str">
        <v>×</v>
      </c>
      <c r="J602" s="4"/>
      <c r="K602" s="4"/>
      <c r="L602" s="4"/>
      <c r="M602" s="5" t="s">
        <v>15</v>
      </c>
    </row>
    <row r="603" customFormat="false" ht="15.75" hidden="false" customHeight="false" outlineLevel="0" collapsed="false">
      <c r="A603" s="3" t="n">
        <v>46229</v>
      </c>
      <c r="B603" s="4" t="s">
        <v>13</v>
      </c>
      <c r="C603" s="4" t="n">
        <v>12</v>
      </c>
      <c r="D603" s="4" t="n">
        <v>2</v>
      </c>
      <c r="E603" s="4" t="s">
        <v>618</v>
      </c>
      <c r="F603" s="4" t="n">
        <v>41</v>
      </c>
      <c r="G603" s="4" t="n">
        <v>3</v>
      </c>
      <c r="H603" s="4" t="n">
        <v>2</v>
      </c>
      <c r="I603" s="4" t="str">
        <v>○</v>
      </c>
      <c r="J603" s="4" t="n">
        <v>190</v>
      </c>
      <c r="K603" s="4"/>
      <c r="L603" s="4"/>
      <c r="M603" s="5" t="s">
        <v>15</v>
      </c>
    </row>
    <row r="604" customFormat="false" ht="15.75" hidden="false" customHeight="false" outlineLevel="0" collapsed="false">
      <c r="A604" s="3" t="n">
        <v>46229</v>
      </c>
      <c r="B604" s="4" t="s">
        <v>13</v>
      </c>
      <c r="C604" s="4" t="n">
        <v>12</v>
      </c>
      <c r="D604" s="4" t="n">
        <v>3</v>
      </c>
      <c r="E604" s="4" t="s">
        <v>619</v>
      </c>
      <c r="F604" s="4" t="n">
        <v>4</v>
      </c>
      <c r="G604" s="4" t="n">
        <v>12</v>
      </c>
      <c r="H604" s="4" t="n">
        <v>4</v>
      </c>
      <c r="I604" s="4" t="str">
        <v>×</v>
      </c>
      <c r="J604" s="4"/>
      <c r="K604" s="4"/>
      <c r="L604" s="4"/>
      <c r="M604" s="5" t="s">
        <v>15</v>
      </c>
    </row>
    <row r="605" customFormat="false" ht="15.75" hidden="false" customHeight="false" outlineLevel="0" collapsed="false">
      <c r="A605" s="3" t="n">
        <v>46229</v>
      </c>
      <c r="B605" s="4" t="s">
        <v>13</v>
      </c>
      <c r="C605" s="4" t="n">
        <v>12</v>
      </c>
      <c r="D605" s="4" t="n">
        <v>4</v>
      </c>
      <c r="E605" s="4" t="s">
        <v>620</v>
      </c>
      <c r="F605" s="4" t="n">
        <v>6</v>
      </c>
      <c r="G605" s="4" t="n">
        <v>10</v>
      </c>
      <c r="H605" s="4" t="n">
        <v>3</v>
      </c>
      <c r="I605" s="4" t="str">
        <v>○</v>
      </c>
      <c r="J605" s="4" t="n">
        <v>1010</v>
      </c>
      <c r="K605" s="4"/>
      <c r="L605" s="4"/>
      <c r="M605" s="5" t="s">
        <v>15</v>
      </c>
    </row>
    <row r="606" customFormat="false" ht="15.75" hidden="false" customHeight="false" outlineLevel="0" collapsed="false">
      <c r="A606" s="3" t="n">
        <v>46229</v>
      </c>
      <c r="B606" s="4" t="s">
        <v>13</v>
      </c>
      <c r="C606" s="4" t="n">
        <v>12</v>
      </c>
      <c r="D606" s="4" t="n">
        <v>5</v>
      </c>
      <c r="E606" s="4" t="s">
        <v>621</v>
      </c>
      <c r="F606" s="4" t="n">
        <v>20</v>
      </c>
      <c r="G606" s="4" t="n">
        <v>6</v>
      </c>
      <c r="H606" s="4" t="n">
        <v>1</v>
      </c>
      <c r="I606" s="4" t="str">
        <v>○</v>
      </c>
      <c r="J606" s="4" t="n">
        <v>600</v>
      </c>
      <c r="K606" s="4"/>
      <c r="L606" s="4"/>
      <c r="M606" s="5" t="s">
        <v>15</v>
      </c>
    </row>
    <row r="607" customFormat="false" ht="15.75" hidden="false" customHeight="false" outlineLevel="0" collapsed="false">
      <c r="A607" s="3" t="n">
        <v>46229</v>
      </c>
      <c r="B607" s="4" t="s">
        <v>13</v>
      </c>
      <c r="C607" s="4" t="n">
        <v>12</v>
      </c>
      <c r="D607" s="4" t="n">
        <v>6</v>
      </c>
      <c r="E607" s="4" t="s">
        <v>622</v>
      </c>
      <c r="F607" s="4" t="n">
        <v>10</v>
      </c>
      <c r="G607" s="4" t="n">
        <v>7</v>
      </c>
      <c r="H607" s="4" t="n">
        <v>4</v>
      </c>
      <c r="I607" s="4" t="str">
        <v>×</v>
      </c>
      <c r="J607" s="4"/>
      <c r="K607" s="4"/>
      <c r="L607" s="4"/>
      <c r="M607" s="5" t="s">
        <v>15</v>
      </c>
    </row>
    <row r="608" customFormat="false" ht="15.75" hidden="false" customHeight="false" outlineLevel="0" collapsed="false">
      <c r="A608" s="3" t="n">
        <v>46229</v>
      </c>
      <c r="B608" s="4" t="s">
        <v>13</v>
      </c>
      <c r="C608" s="4" t="n">
        <v>12</v>
      </c>
      <c r="D608" s="4" t="n">
        <v>7</v>
      </c>
      <c r="E608" s="4" t="s">
        <v>623</v>
      </c>
      <c r="F608" s="4" t="n">
        <v>44</v>
      </c>
      <c r="G608" s="4" t="n">
        <v>2</v>
      </c>
      <c r="H608" s="4" t="n">
        <v>4</v>
      </c>
      <c r="I608" s="4" t="str">
        <v>×</v>
      </c>
      <c r="J608" s="4"/>
      <c r="K608" s="4"/>
      <c r="L608" s="4"/>
      <c r="M608" s="5" t="s">
        <v>15</v>
      </c>
    </row>
    <row r="609" customFormat="false" ht="15.75" hidden="false" customHeight="false" outlineLevel="0" collapsed="false">
      <c r="A609" s="3" t="n">
        <v>46229</v>
      </c>
      <c r="B609" s="4" t="s">
        <v>13</v>
      </c>
      <c r="C609" s="4" t="n">
        <v>12</v>
      </c>
      <c r="D609" s="4" t="n">
        <v>8</v>
      </c>
      <c r="E609" s="4" t="s">
        <v>624</v>
      </c>
      <c r="F609" s="4" t="n">
        <v>4</v>
      </c>
      <c r="G609" s="4" t="n">
        <v>12</v>
      </c>
      <c r="H609" s="4" t="n">
        <v>4</v>
      </c>
      <c r="I609" s="4" t="str">
        <v>×</v>
      </c>
      <c r="J609" s="4"/>
      <c r="K609" s="4"/>
      <c r="L609" s="4"/>
      <c r="M609" s="5" t="s">
        <v>15</v>
      </c>
    </row>
    <row r="610" customFormat="false" ht="15.75" hidden="false" customHeight="false" outlineLevel="0" collapsed="false">
      <c r="A610" s="3" t="n">
        <v>46229</v>
      </c>
      <c r="B610" s="4" t="s">
        <v>13</v>
      </c>
      <c r="C610" s="4" t="n">
        <v>12</v>
      </c>
      <c r="D610" s="4" t="n">
        <v>9</v>
      </c>
      <c r="E610" s="4" t="s">
        <v>625</v>
      </c>
      <c r="F610" s="4" t="n">
        <v>2</v>
      </c>
      <c r="G610" s="4" t="n">
        <v>14</v>
      </c>
      <c r="H610" s="4" t="n">
        <v>4</v>
      </c>
      <c r="I610" s="4" t="str">
        <v>×</v>
      </c>
      <c r="J610" s="4"/>
      <c r="K610" s="4"/>
      <c r="L610" s="4"/>
      <c r="M610" s="5" t="s">
        <v>15</v>
      </c>
    </row>
    <row r="611" customFormat="false" ht="15.75" hidden="false" customHeight="false" outlineLevel="0" collapsed="false">
      <c r="A611" s="3" t="n">
        <v>46229</v>
      </c>
      <c r="B611" s="4" t="s">
        <v>13</v>
      </c>
      <c r="C611" s="4" t="n">
        <v>12</v>
      </c>
      <c r="D611" s="4" t="n">
        <v>10</v>
      </c>
      <c r="E611" s="4" t="s">
        <v>626</v>
      </c>
      <c r="F611" s="4" t="n">
        <v>1</v>
      </c>
      <c r="G611" s="4" t="n">
        <v>15</v>
      </c>
      <c r="H611" s="4" t="n">
        <v>4</v>
      </c>
      <c r="I611" s="4" t="str">
        <v>×</v>
      </c>
      <c r="J611" s="4"/>
      <c r="K611" s="4"/>
      <c r="L611" s="4"/>
      <c r="M611" s="5" t="s">
        <v>15</v>
      </c>
    </row>
    <row r="612" customFormat="false" ht="15.75" hidden="false" customHeight="false" outlineLevel="0" collapsed="false">
      <c r="A612" s="3" t="n">
        <v>46229</v>
      </c>
      <c r="B612" s="4" t="s">
        <v>13</v>
      </c>
      <c r="C612" s="4" t="n">
        <v>12</v>
      </c>
      <c r="D612" s="4" t="n">
        <v>11</v>
      </c>
      <c r="E612" s="4" t="s">
        <v>627</v>
      </c>
      <c r="F612" s="4" t="n">
        <v>10</v>
      </c>
      <c r="G612" s="4" t="n">
        <v>7</v>
      </c>
      <c r="H612" s="4" t="n">
        <v>4</v>
      </c>
      <c r="I612" s="4" t="str">
        <v>×</v>
      </c>
      <c r="J612" s="4"/>
      <c r="K612" s="4"/>
      <c r="L612" s="4"/>
      <c r="M612" s="5" t="s">
        <v>15</v>
      </c>
    </row>
    <row r="613" customFormat="false" ht="15.75" hidden="false" customHeight="false" outlineLevel="0" collapsed="false">
      <c r="A613" s="3" t="n">
        <v>46229</v>
      </c>
      <c r="B613" s="4" t="s">
        <v>13</v>
      </c>
      <c r="C613" s="4" t="n">
        <v>12</v>
      </c>
      <c r="D613" s="4" t="n">
        <v>12</v>
      </c>
      <c r="E613" s="4" t="s">
        <v>628</v>
      </c>
      <c r="F613" s="4" t="n">
        <v>6</v>
      </c>
      <c r="G613" s="4" t="n">
        <v>10</v>
      </c>
      <c r="H613" s="4" t="n">
        <v>4</v>
      </c>
      <c r="I613" s="4" t="str">
        <v>×</v>
      </c>
      <c r="J613" s="4"/>
      <c r="K613" s="4"/>
      <c r="L613" s="4"/>
      <c r="M613" s="5" t="s">
        <v>15</v>
      </c>
    </row>
    <row r="614" customFormat="false" ht="15.75" hidden="false" customHeight="false" outlineLevel="0" collapsed="false">
      <c r="A614" s="3" t="n">
        <v>46229</v>
      </c>
      <c r="B614" s="4" t="s">
        <v>13</v>
      </c>
      <c r="C614" s="4" t="n">
        <v>12</v>
      </c>
      <c r="D614" s="4" t="n">
        <v>13</v>
      </c>
      <c r="E614" s="4" t="s">
        <v>629</v>
      </c>
      <c r="F614" s="4" t="n">
        <v>75</v>
      </c>
      <c r="G614" s="4" t="n">
        <v>1</v>
      </c>
      <c r="H614" s="4" t="n">
        <v>4</v>
      </c>
      <c r="I614" s="4" t="str">
        <v>×</v>
      </c>
      <c r="J614" s="4"/>
      <c r="K614" s="4"/>
      <c r="L614" s="4"/>
      <c r="M614" s="5" t="s">
        <v>15</v>
      </c>
    </row>
    <row r="615" customFormat="false" ht="15.75" hidden="false" customHeight="false" outlineLevel="0" collapsed="false">
      <c r="A615" s="3" t="n">
        <v>46229</v>
      </c>
      <c r="B615" s="4" t="s">
        <v>13</v>
      </c>
      <c r="C615" s="4" t="n">
        <v>12</v>
      </c>
      <c r="D615" s="4" t="n">
        <v>14</v>
      </c>
      <c r="E615" s="4" t="s">
        <v>630</v>
      </c>
      <c r="F615" s="4" t="n">
        <v>8</v>
      </c>
      <c r="G615" s="4" t="n">
        <v>9</v>
      </c>
      <c r="H615" s="4" t="n">
        <v>4</v>
      </c>
      <c r="I615" s="4" t="str">
        <v>×</v>
      </c>
      <c r="J615" s="4"/>
      <c r="K615" s="4"/>
      <c r="L615" s="4"/>
      <c r="M615" s="5" t="s">
        <v>15</v>
      </c>
    </row>
    <row r="616" customFormat="false" ht="15.75" hidden="false" customHeight="false" outlineLevel="0" collapsed="false">
      <c r="A616" s="3" t="n">
        <v>46229</v>
      </c>
      <c r="B616" s="4" t="s">
        <v>13</v>
      </c>
      <c r="C616" s="4" t="n">
        <v>12</v>
      </c>
      <c r="D616" s="4" t="n">
        <v>15</v>
      </c>
      <c r="E616" s="4" t="s">
        <v>631</v>
      </c>
      <c r="F616" s="4" t="n">
        <v>25</v>
      </c>
      <c r="G616" s="4" t="n">
        <v>5</v>
      </c>
      <c r="H616" s="4" t="n">
        <v>4</v>
      </c>
      <c r="I616" s="4" t="str">
        <v>×</v>
      </c>
      <c r="J616" s="4"/>
      <c r="K616" s="4"/>
      <c r="L616" s="4"/>
      <c r="M616" s="5" t="s">
        <v>15</v>
      </c>
    </row>
    <row r="617" customFormat="false" ht="15.75" hidden="false" customHeight="false" outlineLevel="0" collapsed="false">
      <c r="A617" s="3" t="n">
        <v>46229</v>
      </c>
      <c r="B617" s="4" t="s">
        <v>179</v>
      </c>
      <c r="C617" s="4" t="n">
        <v>1</v>
      </c>
      <c r="D617" s="4" t="n">
        <v>1</v>
      </c>
      <c r="E617" s="4" t="s">
        <v>632</v>
      </c>
      <c r="F617" s="4" t="n">
        <v>86</v>
      </c>
      <c r="G617" s="4" t="n">
        <v>1</v>
      </c>
      <c r="H617" s="4" t="n">
        <v>3</v>
      </c>
      <c r="I617" s="4" t="str">
        <v>○</v>
      </c>
      <c r="J617" s="4" t="n">
        <v>110</v>
      </c>
      <c r="K617" s="4" t="n">
        <v>1.1</v>
      </c>
      <c r="L617" s="4" t="n">
        <v>1.1</v>
      </c>
      <c r="M617" s="5" t="s">
        <v>15</v>
      </c>
    </row>
    <row r="618" customFormat="false" ht="15.75" hidden="false" customHeight="false" outlineLevel="0" collapsed="false">
      <c r="A618" s="3" t="n">
        <v>46229</v>
      </c>
      <c r="B618" s="4" t="s">
        <v>179</v>
      </c>
      <c r="C618" s="4" t="n">
        <v>1</v>
      </c>
      <c r="D618" s="4" t="n">
        <v>2</v>
      </c>
      <c r="E618" s="4" t="s">
        <v>633</v>
      </c>
      <c r="F618" s="4" t="n">
        <v>29</v>
      </c>
      <c r="G618" s="4" t="n">
        <v>5</v>
      </c>
      <c r="H618" s="4" t="n">
        <v>4</v>
      </c>
      <c r="I618" s="4" t="str">
        <v>×</v>
      </c>
      <c r="J618" s="4"/>
      <c r="K618" s="4"/>
      <c r="L618" s="4"/>
      <c r="M618" s="5" t="s">
        <v>15</v>
      </c>
    </row>
    <row r="619" customFormat="false" ht="15.75" hidden="false" customHeight="false" outlineLevel="0" collapsed="false">
      <c r="A619" s="3" t="n">
        <v>46229</v>
      </c>
      <c r="B619" s="4" t="s">
        <v>179</v>
      </c>
      <c r="C619" s="4" t="n">
        <v>1</v>
      </c>
      <c r="D619" s="4" t="n">
        <v>3</v>
      </c>
      <c r="E619" s="4" t="s">
        <v>634</v>
      </c>
      <c r="F619" s="4" t="n">
        <v>3</v>
      </c>
      <c r="G619" s="4" t="n">
        <v>9</v>
      </c>
      <c r="H619" s="4" t="n">
        <v>4</v>
      </c>
      <c r="I619" s="4" t="str">
        <v>×</v>
      </c>
      <c r="J619" s="4"/>
      <c r="K619" s="4"/>
      <c r="L619" s="4"/>
      <c r="M619" s="5" t="s">
        <v>15</v>
      </c>
    </row>
    <row r="620" customFormat="false" ht="15.75" hidden="false" customHeight="false" outlineLevel="0" collapsed="false">
      <c r="A620" s="3" t="n">
        <v>46229</v>
      </c>
      <c r="B620" s="4" t="s">
        <v>179</v>
      </c>
      <c r="C620" s="4" t="n">
        <v>1</v>
      </c>
      <c r="D620" s="4" t="n">
        <v>4</v>
      </c>
      <c r="E620" s="4" t="s">
        <v>635</v>
      </c>
      <c r="F620" s="4" t="n">
        <v>13</v>
      </c>
      <c r="G620" s="4" t="n">
        <v>8</v>
      </c>
      <c r="H620" s="4" t="n">
        <v>4</v>
      </c>
      <c r="I620" s="4" t="str">
        <v>×</v>
      </c>
      <c r="J620" s="4"/>
      <c r="K620" s="4"/>
      <c r="L620" s="4"/>
      <c r="M620" s="5" t="s">
        <v>15</v>
      </c>
    </row>
    <row r="621" customFormat="false" ht="15.75" hidden="false" customHeight="false" outlineLevel="0" collapsed="false">
      <c r="A621" s="3" t="n">
        <v>46229</v>
      </c>
      <c r="B621" s="4" t="s">
        <v>179</v>
      </c>
      <c r="C621" s="4" t="n">
        <v>1</v>
      </c>
      <c r="D621" s="4" t="n">
        <v>5</v>
      </c>
      <c r="E621" s="4" t="s">
        <v>636</v>
      </c>
      <c r="F621" s="4" t="n">
        <v>20</v>
      </c>
      <c r="G621" s="4" t="n">
        <v>6</v>
      </c>
      <c r="H621" s="4" t="n">
        <v>4</v>
      </c>
      <c r="I621" s="4" t="str">
        <v>×</v>
      </c>
      <c r="J621" s="4"/>
      <c r="K621" s="4"/>
      <c r="L621" s="4"/>
      <c r="M621" s="5" t="s">
        <v>15</v>
      </c>
    </row>
    <row r="622" customFormat="false" ht="15.75" hidden="false" customHeight="false" outlineLevel="0" collapsed="false">
      <c r="A622" s="3" t="n">
        <v>46229</v>
      </c>
      <c r="B622" s="4" t="s">
        <v>179</v>
      </c>
      <c r="C622" s="4" t="n">
        <v>1</v>
      </c>
      <c r="D622" s="4" t="n">
        <v>6</v>
      </c>
      <c r="E622" s="4" t="s">
        <v>637</v>
      </c>
      <c r="F622" s="4" t="n">
        <v>39</v>
      </c>
      <c r="G622" s="4" t="n">
        <v>3</v>
      </c>
      <c r="H622" s="4" t="n">
        <v>2</v>
      </c>
      <c r="I622" s="4" t="str">
        <v>○</v>
      </c>
      <c r="J622" s="4" t="n">
        <v>110</v>
      </c>
      <c r="K622" s="4"/>
      <c r="L622" s="4"/>
      <c r="M622" s="5" t="s">
        <v>15</v>
      </c>
    </row>
    <row r="623" customFormat="false" ht="15.75" hidden="false" customHeight="false" outlineLevel="0" collapsed="false">
      <c r="A623" s="3" t="n">
        <v>46229</v>
      </c>
      <c r="B623" s="4" t="s">
        <v>179</v>
      </c>
      <c r="C623" s="4" t="n">
        <v>1</v>
      </c>
      <c r="D623" s="4" t="n">
        <v>7</v>
      </c>
      <c r="E623" s="4" t="s">
        <v>638</v>
      </c>
      <c r="F623" s="4" t="n">
        <v>17</v>
      </c>
      <c r="G623" s="4" t="n">
        <v>7</v>
      </c>
      <c r="H623" s="4" t="n">
        <v>4</v>
      </c>
      <c r="I623" s="4" t="str">
        <v>×</v>
      </c>
      <c r="J623" s="4"/>
      <c r="K623" s="4"/>
      <c r="L623" s="4"/>
      <c r="M623" s="5" t="s">
        <v>15</v>
      </c>
    </row>
    <row r="624" customFormat="false" ht="15.75" hidden="false" customHeight="false" outlineLevel="0" collapsed="false">
      <c r="A624" s="3" t="n">
        <v>46229</v>
      </c>
      <c r="B624" s="4" t="s">
        <v>179</v>
      </c>
      <c r="C624" s="4" t="n">
        <v>1</v>
      </c>
      <c r="D624" s="4" t="n">
        <v>8</v>
      </c>
      <c r="E624" s="4" t="s">
        <v>639</v>
      </c>
      <c r="F624" s="4" t="n">
        <v>34</v>
      </c>
      <c r="G624" s="4" t="n">
        <v>4</v>
      </c>
      <c r="H624" s="4" t="n">
        <v>1</v>
      </c>
      <c r="I624" s="4" t="str">
        <v>○</v>
      </c>
      <c r="J624" s="4" t="n">
        <v>150</v>
      </c>
      <c r="K624" s="4"/>
      <c r="L624" s="4"/>
      <c r="M624" s="5" t="s">
        <v>15</v>
      </c>
    </row>
    <row r="625" customFormat="false" ht="15.75" hidden="false" customHeight="false" outlineLevel="0" collapsed="false">
      <c r="A625" s="3" t="n">
        <v>46229</v>
      </c>
      <c r="B625" s="4" t="s">
        <v>179</v>
      </c>
      <c r="C625" s="4" t="n">
        <v>1</v>
      </c>
      <c r="D625" s="4" t="n">
        <v>9</v>
      </c>
      <c r="E625" s="4" t="s">
        <v>640</v>
      </c>
      <c r="F625" s="4" t="n">
        <v>44</v>
      </c>
      <c r="G625" s="4" t="n">
        <v>2</v>
      </c>
      <c r="H625" s="4" t="n">
        <v>4</v>
      </c>
      <c r="I625" s="4" t="str">
        <v>×</v>
      </c>
      <c r="J625" s="4"/>
      <c r="K625" s="4"/>
      <c r="L625" s="4"/>
      <c r="M625" s="5" t="s">
        <v>15</v>
      </c>
    </row>
    <row r="626" customFormat="false" ht="15.75" hidden="false" customHeight="false" outlineLevel="0" collapsed="false">
      <c r="A626" s="3" t="n">
        <v>46229</v>
      </c>
      <c r="B626" s="4" t="s">
        <v>179</v>
      </c>
      <c r="C626" s="4" t="n">
        <v>2</v>
      </c>
      <c r="D626" s="4" t="n">
        <v>1</v>
      </c>
      <c r="E626" s="4" t="s">
        <v>641</v>
      </c>
      <c r="F626" s="4" t="n">
        <v>31</v>
      </c>
      <c r="G626" s="4" t="n">
        <v>2</v>
      </c>
      <c r="H626" s="4" t="n">
        <v>3</v>
      </c>
      <c r="I626" s="4" t="str">
        <v>○</v>
      </c>
      <c r="J626" s="4"/>
      <c r="K626" s="4"/>
      <c r="L626" s="4"/>
      <c r="M626" s="5" t="s">
        <v>15</v>
      </c>
    </row>
    <row r="627" customFormat="false" ht="15.75" hidden="false" customHeight="false" outlineLevel="0" collapsed="false">
      <c r="A627" s="3" t="n">
        <v>46229</v>
      </c>
      <c r="B627" s="4" t="s">
        <v>179</v>
      </c>
      <c r="C627" s="4" t="n">
        <v>2</v>
      </c>
      <c r="D627" s="4" t="n">
        <v>2</v>
      </c>
      <c r="E627" s="4" t="s">
        <v>642</v>
      </c>
      <c r="F627" s="4" t="n">
        <v>24</v>
      </c>
      <c r="G627" s="4" t="n">
        <v>5</v>
      </c>
      <c r="H627" s="4" t="n">
        <v>4</v>
      </c>
      <c r="I627" s="4" t="str">
        <v>×</v>
      </c>
      <c r="J627" s="4"/>
      <c r="K627" s="4"/>
      <c r="L627" s="4"/>
      <c r="M627" s="5" t="s">
        <v>15</v>
      </c>
    </row>
    <row r="628" customFormat="false" ht="15.75" hidden="false" customHeight="false" outlineLevel="0" collapsed="false">
      <c r="A628" s="3" t="n">
        <v>46229</v>
      </c>
      <c r="B628" s="4" t="s">
        <v>179</v>
      </c>
      <c r="C628" s="4" t="n">
        <v>2</v>
      </c>
      <c r="D628" s="4" t="n">
        <v>3</v>
      </c>
      <c r="E628" s="4" t="s">
        <v>643</v>
      </c>
      <c r="F628" s="4" t="n">
        <v>27</v>
      </c>
      <c r="G628" s="4" t="n">
        <v>4</v>
      </c>
      <c r="H628" s="4" t="n">
        <v>1</v>
      </c>
      <c r="I628" s="4" t="str">
        <v>○</v>
      </c>
      <c r="J628" s="4" t="n">
        <v>160</v>
      </c>
      <c r="K628" s="4"/>
      <c r="L628" s="4"/>
      <c r="M628" s="5" t="s">
        <v>15</v>
      </c>
    </row>
    <row r="629" customFormat="false" ht="15.75" hidden="false" customHeight="false" outlineLevel="0" collapsed="false">
      <c r="A629" s="3" t="n">
        <v>46229</v>
      </c>
      <c r="B629" s="4" t="s">
        <v>179</v>
      </c>
      <c r="C629" s="4" t="n">
        <v>2</v>
      </c>
      <c r="D629" s="4" t="n">
        <v>4</v>
      </c>
      <c r="E629" s="4" t="s">
        <v>644</v>
      </c>
      <c r="F629" s="4" t="n">
        <v>37</v>
      </c>
      <c r="G629" s="4" t="n">
        <v>1</v>
      </c>
      <c r="H629" s="4" t="n">
        <v>2</v>
      </c>
      <c r="I629" s="4" t="str">
        <v>○</v>
      </c>
      <c r="J629" s="4" t="n">
        <v>690</v>
      </c>
      <c r="K629" s="4"/>
      <c r="L629" s="4"/>
      <c r="M629" s="5" t="s">
        <v>15</v>
      </c>
    </row>
    <row r="630" customFormat="false" ht="15.75" hidden="false" customHeight="false" outlineLevel="0" collapsed="false">
      <c r="A630" s="3" t="n">
        <v>46229</v>
      </c>
      <c r="B630" s="4" t="s">
        <v>179</v>
      </c>
      <c r="C630" s="4" t="n">
        <v>2</v>
      </c>
      <c r="D630" s="4" t="n">
        <v>5</v>
      </c>
      <c r="E630" s="4" t="s">
        <v>645</v>
      </c>
      <c r="F630" s="4" t="n">
        <v>31</v>
      </c>
      <c r="G630" s="4" t="n">
        <v>2</v>
      </c>
      <c r="H630" s="4" t="n">
        <v>4</v>
      </c>
      <c r="I630" s="4" t="str">
        <v>×</v>
      </c>
      <c r="J630" s="4"/>
      <c r="K630" s="4"/>
      <c r="L630" s="4"/>
      <c r="M630" s="5" t="s">
        <v>15</v>
      </c>
    </row>
    <row r="631" customFormat="false" ht="15.75" hidden="false" customHeight="false" outlineLevel="0" collapsed="false">
      <c r="A631" s="3" t="n">
        <v>46229</v>
      </c>
      <c r="B631" s="4" t="s">
        <v>179</v>
      </c>
      <c r="C631" s="4" t="n">
        <v>2</v>
      </c>
      <c r="D631" s="4" t="n">
        <v>6</v>
      </c>
      <c r="E631" s="4" t="s">
        <v>646</v>
      </c>
      <c r="F631" s="4" t="n">
        <v>24</v>
      </c>
      <c r="G631" s="4" t="n">
        <v>5</v>
      </c>
      <c r="H631" s="4" t="n">
        <v>4</v>
      </c>
      <c r="I631" s="4" t="str">
        <v>×</v>
      </c>
      <c r="J631" s="4"/>
      <c r="K631" s="4"/>
      <c r="L631" s="4"/>
      <c r="M631" s="5" t="s">
        <v>15</v>
      </c>
    </row>
    <row r="632" customFormat="false" ht="15.75" hidden="false" customHeight="false" outlineLevel="0" collapsed="false">
      <c r="A632" s="3" t="n">
        <v>46229</v>
      </c>
      <c r="B632" s="4" t="s">
        <v>179</v>
      </c>
      <c r="C632" s="4" t="n">
        <v>3</v>
      </c>
      <c r="D632" s="4" t="n">
        <v>1</v>
      </c>
      <c r="E632" s="4" t="s">
        <v>647</v>
      </c>
      <c r="F632" s="4" t="n">
        <v>13</v>
      </c>
      <c r="G632" s="4" t="n">
        <v>7</v>
      </c>
      <c r="H632" s="4" t="n">
        <v>4</v>
      </c>
      <c r="I632" s="4" t="str">
        <v>×</v>
      </c>
      <c r="J632" s="4"/>
      <c r="K632" s="4"/>
      <c r="L632" s="4"/>
      <c r="M632" s="5" t="s">
        <v>15</v>
      </c>
    </row>
    <row r="633" customFormat="false" ht="15.75" hidden="false" customHeight="false" outlineLevel="0" collapsed="false">
      <c r="A633" s="3" t="n">
        <v>46229</v>
      </c>
      <c r="B633" s="4" t="s">
        <v>179</v>
      </c>
      <c r="C633" s="4" t="n">
        <v>3</v>
      </c>
      <c r="D633" s="4" t="n">
        <v>2</v>
      </c>
      <c r="E633" s="4" t="s">
        <v>648</v>
      </c>
      <c r="F633" s="4" t="n">
        <v>6</v>
      </c>
      <c r="G633" s="4" t="n">
        <v>8</v>
      </c>
      <c r="H633" s="4" t="n">
        <v>4</v>
      </c>
      <c r="I633" s="4" t="str">
        <v>×</v>
      </c>
      <c r="J633" s="4"/>
      <c r="K633" s="4"/>
      <c r="L633" s="4"/>
      <c r="M633" s="5" t="s">
        <v>15</v>
      </c>
    </row>
    <row r="634" customFormat="false" ht="15.75" hidden="false" customHeight="false" outlineLevel="0" collapsed="false">
      <c r="A634" s="3" t="n">
        <v>46229</v>
      </c>
      <c r="B634" s="4" t="s">
        <v>179</v>
      </c>
      <c r="C634" s="4" t="n">
        <v>3</v>
      </c>
      <c r="D634" s="4" t="n">
        <v>3</v>
      </c>
      <c r="E634" s="4" t="s">
        <v>649</v>
      </c>
      <c r="F634" s="4" t="n">
        <v>4</v>
      </c>
      <c r="G634" s="4" t="n">
        <v>9</v>
      </c>
      <c r="H634" s="4" t="n">
        <v>4</v>
      </c>
      <c r="I634" s="4" t="str">
        <v>×</v>
      </c>
      <c r="J634" s="4"/>
      <c r="K634" s="4"/>
      <c r="L634" s="4"/>
      <c r="M634" s="5" t="s">
        <v>15</v>
      </c>
    </row>
    <row r="635" customFormat="false" ht="15.75" hidden="false" customHeight="false" outlineLevel="0" collapsed="false">
      <c r="A635" s="3" t="n">
        <v>46229</v>
      </c>
      <c r="B635" s="4" t="s">
        <v>179</v>
      </c>
      <c r="C635" s="4" t="n">
        <v>3</v>
      </c>
      <c r="D635" s="4" t="n">
        <v>4</v>
      </c>
      <c r="E635" s="4" t="s">
        <v>650</v>
      </c>
      <c r="F635" s="4" t="n">
        <v>29</v>
      </c>
      <c r="G635" s="4" t="n">
        <v>5</v>
      </c>
      <c r="H635" s="4" t="n">
        <v>4</v>
      </c>
      <c r="I635" s="4" t="str">
        <v>×</v>
      </c>
      <c r="J635" s="4"/>
      <c r="K635" s="4"/>
      <c r="L635" s="4"/>
      <c r="M635" s="5" t="s">
        <v>15</v>
      </c>
    </row>
    <row r="636" customFormat="false" ht="15.75" hidden="false" customHeight="false" outlineLevel="0" collapsed="false">
      <c r="A636" s="3" t="n">
        <v>46229</v>
      </c>
      <c r="B636" s="4" t="s">
        <v>179</v>
      </c>
      <c r="C636" s="4" t="n">
        <v>3</v>
      </c>
      <c r="D636" s="4" t="n">
        <v>5</v>
      </c>
      <c r="E636" s="4" t="s">
        <v>651</v>
      </c>
      <c r="F636" s="4" t="n">
        <v>3</v>
      </c>
      <c r="G636" s="4" t="n">
        <v>10</v>
      </c>
      <c r="H636" s="4" t="n">
        <v>4</v>
      </c>
      <c r="I636" s="4" t="str">
        <v>×</v>
      </c>
      <c r="J636" s="4"/>
      <c r="K636" s="4"/>
      <c r="L636" s="4"/>
      <c r="M636" s="5" t="s">
        <v>15</v>
      </c>
    </row>
    <row r="637" customFormat="false" ht="15.75" hidden="false" customHeight="false" outlineLevel="0" collapsed="false">
      <c r="A637" s="3" t="n">
        <v>46229</v>
      </c>
      <c r="B637" s="4" t="s">
        <v>179</v>
      </c>
      <c r="C637" s="4" t="n">
        <v>3</v>
      </c>
      <c r="D637" s="4" t="n">
        <v>6</v>
      </c>
      <c r="E637" s="4" t="s">
        <v>652</v>
      </c>
      <c r="F637" s="4" t="n">
        <v>74</v>
      </c>
      <c r="G637" s="4" t="n">
        <v>1</v>
      </c>
      <c r="H637" s="4" t="n">
        <v>1</v>
      </c>
      <c r="I637" s="4" t="str">
        <v>○</v>
      </c>
      <c r="J637" s="4" t="n">
        <v>110</v>
      </c>
      <c r="K637" s="4"/>
      <c r="L637" s="4"/>
      <c r="M637" s="5" t="s">
        <v>15</v>
      </c>
    </row>
    <row r="638" customFormat="false" ht="15.75" hidden="false" customHeight="false" outlineLevel="0" collapsed="false">
      <c r="A638" s="3" t="n">
        <v>46229</v>
      </c>
      <c r="B638" s="4" t="s">
        <v>179</v>
      </c>
      <c r="C638" s="4" t="n">
        <v>3</v>
      </c>
      <c r="D638" s="4" t="n">
        <v>7</v>
      </c>
      <c r="E638" s="4" t="s">
        <v>653</v>
      </c>
      <c r="F638" s="4" t="n">
        <v>39</v>
      </c>
      <c r="G638" s="4" t="n">
        <v>4</v>
      </c>
      <c r="H638" s="4" t="n">
        <v>3</v>
      </c>
      <c r="I638" s="4" t="str">
        <v>○</v>
      </c>
      <c r="J638" s="4" t="n">
        <v>160</v>
      </c>
      <c r="K638" s="4"/>
      <c r="L638" s="4"/>
      <c r="M638" s="5" t="s">
        <v>15</v>
      </c>
    </row>
    <row r="639" customFormat="false" ht="15.75" hidden="false" customHeight="false" outlineLevel="0" collapsed="false">
      <c r="A639" s="3" t="n">
        <v>46229</v>
      </c>
      <c r="B639" s="4" t="s">
        <v>179</v>
      </c>
      <c r="C639" s="4" t="n">
        <v>3</v>
      </c>
      <c r="D639" s="4" t="n">
        <v>8</v>
      </c>
      <c r="E639" s="4" t="s">
        <v>654</v>
      </c>
      <c r="F639" s="4" t="n">
        <v>56</v>
      </c>
      <c r="G639" s="4" t="n">
        <v>2</v>
      </c>
      <c r="H639" s="4" t="n">
        <v>2</v>
      </c>
      <c r="I639" s="4" t="str">
        <v>○</v>
      </c>
      <c r="J639" s="4" t="n">
        <v>120</v>
      </c>
      <c r="K639" s="4"/>
      <c r="L639" s="4"/>
      <c r="M639" s="5" t="s">
        <v>15</v>
      </c>
    </row>
    <row r="640" customFormat="false" ht="15.75" hidden="false" customHeight="false" outlineLevel="0" collapsed="false">
      <c r="A640" s="3" t="n">
        <v>46229</v>
      </c>
      <c r="B640" s="4" t="s">
        <v>179</v>
      </c>
      <c r="C640" s="4" t="n">
        <v>3</v>
      </c>
      <c r="D640" s="4" t="n">
        <v>9</v>
      </c>
      <c r="E640" s="4" t="s">
        <v>655</v>
      </c>
      <c r="F640" s="4" t="n">
        <v>47</v>
      </c>
      <c r="G640" s="4" t="n">
        <v>3</v>
      </c>
      <c r="H640" s="4" t="n">
        <v>4</v>
      </c>
      <c r="I640" s="4" t="str">
        <v>×</v>
      </c>
      <c r="J640" s="4"/>
      <c r="K640" s="4"/>
      <c r="L640" s="4"/>
      <c r="M640" s="5" t="s">
        <v>15</v>
      </c>
    </row>
    <row r="641" customFormat="false" ht="15.75" hidden="false" customHeight="false" outlineLevel="0" collapsed="false">
      <c r="A641" s="3" t="n">
        <v>46229</v>
      </c>
      <c r="B641" s="4" t="s">
        <v>179</v>
      </c>
      <c r="C641" s="4" t="n">
        <v>3</v>
      </c>
      <c r="D641" s="4" t="n">
        <v>10</v>
      </c>
      <c r="E641" s="4" t="s">
        <v>656</v>
      </c>
      <c r="F641" s="4" t="n">
        <v>29</v>
      </c>
      <c r="G641" s="4" t="n">
        <v>5</v>
      </c>
      <c r="H641" s="4" t="n">
        <v>4</v>
      </c>
      <c r="I641" s="4" t="str">
        <v>×</v>
      </c>
      <c r="J641" s="4"/>
      <c r="K641" s="4"/>
      <c r="L641" s="4"/>
      <c r="M641" s="5" t="s">
        <v>15</v>
      </c>
    </row>
    <row r="642" customFormat="false" ht="15.75" hidden="false" customHeight="false" outlineLevel="0" collapsed="false">
      <c r="A642" s="3" t="n">
        <v>46229</v>
      </c>
      <c r="B642" s="4" t="s">
        <v>179</v>
      </c>
      <c r="C642" s="4" t="n">
        <v>4</v>
      </c>
      <c r="D642" s="4" t="n">
        <v>1</v>
      </c>
      <c r="E642" s="4" t="s">
        <v>657</v>
      </c>
      <c r="F642" s="4" t="n">
        <v>86</v>
      </c>
      <c r="G642" s="4" t="n">
        <v>1</v>
      </c>
      <c r="H642" s="4" t="n">
        <v>3</v>
      </c>
      <c r="I642" s="4" t="str">
        <v>○</v>
      </c>
      <c r="J642" s="4" t="n">
        <v>120</v>
      </c>
      <c r="K642" s="4" t="n">
        <v>1.2</v>
      </c>
      <c r="L642" s="4" t="n">
        <v>1.5</v>
      </c>
      <c r="M642" s="5" t="s">
        <v>15</v>
      </c>
    </row>
    <row r="643" customFormat="false" ht="15.75" hidden="false" customHeight="false" outlineLevel="0" collapsed="false">
      <c r="A643" s="3" t="n">
        <v>46229</v>
      </c>
      <c r="B643" s="4" t="s">
        <v>179</v>
      </c>
      <c r="C643" s="4" t="n">
        <v>4</v>
      </c>
      <c r="D643" s="4" t="n">
        <v>2</v>
      </c>
      <c r="E643" s="4" t="s">
        <v>658</v>
      </c>
      <c r="F643" s="4" t="n">
        <v>25</v>
      </c>
      <c r="G643" s="4" t="n">
        <v>7</v>
      </c>
      <c r="H643" s="4" t="n">
        <v>4</v>
      </c>
      <c r="I643" s="4" t="str">
        <v>×</v>
      </c>
      <c r="J643" s="4"/>
      <c r="K643" s="4"/>
      <c r="L643" s="4"/>
      <c r="M643" s="5" t="s">
        <v>15</v>
      </c>
    </row>
    <row r="644" customFormat="false" ht="15.75" hidden="false" customHeight="false" outlineLevel="0" collapsed="false">
      <c r="A644" s="3" t="n">
        <v>46229</v>
      </c>
      <c r="B644" s="4" t="s">
        <v>179</v>
      </c>
      <c r="C644" s="4" t="n">
        <v>4</v>
      </c>
      <c r="D644" s="4" t="n">
        <v>3</v>
      </c>
      <c r="E644" s="4" t="s">
        <v>659</v>
      </c>
      <c r="F644" s="4" t="n">
        <v>6</v>
      </c>
      <c r="G644" s="4" t="n">
        <v>10</v>
      </c>
      <c r="H644" s="4" t="n">
        <v>4</v>
      </c>
      <c r="I644" s="4" t="str">
        <v>×</v>
      </c>
      <c r="J644" s="4"/>
      <c r="K644" s="4"/>
      <c r="L644" s="4"/>
      <c r="M644" s="5" t="s">
        <v>15</v>
      </c>
    </row>
    <row r="645" customFormat="false" ht="15.75" hidden="false" customHeight="false" outlineLevel="0" collapsed="false">
      <c r="A645" s="3" t="n">
        <v>46229</v>
      </c>
      <c r="B645" s="4" t="s">
        <v>179</v>
      </c>
      <c r="C645" s="4" t="n">
        <v>4</v>
      </c>
      <c r="D645" s="4" t="n">
        <v>4</v>
      </c>
      <c r="E645" s="4" t="s">
        <v>660</v>
      </c>
      <c r="F645" s="4" t="n">
        <v>20</v>
      </c>
      <c r="G645" s="4" t="n">
        <v>8</v>
      </c>
      <c r="H645" s="4" t="n">
        <v>4</v>
      </c>
      <c r="I645" s="4" t="str">
        <v>×</v>
      </c>
      <c r="J645" s="4"/>
      <c r="K645" s="4"/>
      <c r="L645" s="4"/>
      <c r="M645" s="5" t="s">
        <v>15</v>
      </c>
    </row>
    <row r="646" customFormat="false" ht="15.75" hidden="false" customHeight="false" outlineLevel="0" collapsed="false">
      <c r="A646" s="3" t="n">
        <v>46229</v>
      </c>
      <c r="B646" s="4" t="s">
        <v>179</v>
      </c>
      <c r="C646" s="4" t="n">
        <v>4</v>
      </c>
      <c r="D646" s="4" t="n">
        <v>5</v>
      </c>
      <c r="E646" s="4" t="s">
        <v>661</v>
      </c>
      <c r="F646" s="4" t="n">
        <v>3</v>
      </c>
      <c r="G646" s="4" t="n">
        <v>13</v>
      </c>
      <c r="H646" s="4" t="n">
        <v>4</v>
      </c>
      <c r="I646" s="4" t="str">
        <v>×</v>
      </c>
      <c r="J646" s="4"/>
      <c r="K646" s="4"/>
      <c r="L646" s="4"/>
      <c r="M646" s="5" t="s">
        <v>15</v>
      </c>
    </row>
    <row r="647" customFormat="false" ht="15.75" hidden="false" customHeight="false" outlineLevel="0" collapsed="false">
      <c r="A647" s="3" t="n">
        <v>46229</v>
      </c>
      <c r="B647" s="4" t="s">
        <v>179</v>
      </c>
      <c r="C647" s="4" t="n">
        <v>4</v>
      </c>
      <c r="D647" s="4" t="n">
        <v>6</v>
      </c>
      <c r="E647" s="4" t="s">
        <v>662</v>
      </c>
      <c r="F647" s="4" t="n">
        <v>31</v>
      </c>
      <c r="G647" s="4" t="n">
        <v>5</v>
      </c>
      <c r="H647" s="4" t="n">
        <v>4</v>
      </c>
      <c r="I647" s="4" t="str">
        <v>×</v>
      </c>
      <c r="J647" s="4"/>
      <c r="K647" s="4"/>
      <c r="L647" s="4"/>
      <c r="M647" s="5" t="s">
        <v>15</v>
      </c>
    </row>
    <row r="648" customFormat="false" ht="15.75" hidden="false" customHeight="false" outlineLevel="0" collapsed="false">
      <c r="A648" s="3" t="n">
        <v>46229</v>
      </c>
      <c r="B648" s="4" t="s">
        <v>179</v>
      </c>
      <c r="C648" s="4" t="n">
        <v>4</v>
      </c>
      <c r="D648" s="4" t="n">
        <v>7</v>
      </c>
      <c r="E648" s="4" t="s">
        <v>663</v>
      </c>
      <c r="F648" s="4" t="n">
        <v>3</v>
      </c>
      <c r="G648" s="4" t="n">
        <v>13</v>
      </c>
      <c r="H648" s="4" t="n">
        <v>4</v>
      </c>
      <c r="I648" s="4" t="str">
        <v>×</v>
      </c>
      <c r="J648" s="4"/>
      <c r="K648" s="4"/>
      <c r="L648" s="4"/>
      <c r="M648" s="5" t="s">
        <v>15</v>
      </c>
    </row>
    <row r="649" customFormat="false" ht="15.75" hidden="false" customHeight="false" outlineLevel="0" collapsed="false">
      <c r="A649" s="3" t="n">
        <v>46229</v>
      </c>
      <c r="B649" s="4" t="s">
        <v>179</v>
      </c>
      <c r="C649" s="4" t="n">
        <v>4</v>
      </c>
      <c r="D649" s="4" t="n">
        <v>8</v>
      </c>
      <c r="E649" s="4" t="s">
        <v>664</v>
      </c>
      <c r="F649" s="4" t="n">
        <v>4</v>
      </c>
      <c r="G649" s="4" t="n">
        <v>11</v>
      </c>
      <c r="H649" s="4" t="n">
        <v>4</v>
      </c>
      <c r="I649" s="4" t="str">
        <v>×</v>
      </c>
      <c r="J649" s="4"/>
      <c r="K649" s="4"/>
      <c r="L649" s="4"/>
      <c r="M649" s="5" t="s">
        <v>15</v>
      </c>
    </row>
    <row r="650" customFormat="false" ht="15.75" hidden="false" customHeight="false" outlineLevel="0" collapsed="false">
      <c r="A650" s="3" t="n">
        <v>46229</v>
      </c>
      <c r="B650" s="4" t="s">
        <v>179</v>
      </c>
      <c r="C650" s="4" t="n">
        <v>4</v>
      </c>
      <c r="D650" s="4" t="n">
        <v>9</v>
      </c>
      <c r="E650" s="4" t="s">
        <v>665</v>
      </c>
      <c r="F650" s="4" t="n">
        <v>29</v>
      </c>
      <c r="G650" s="4" t="n">
        <v>6</v>
      </c>
      <c r="H650" s="4" t="n">
        <v>4</v>
      </c>
      <c r="I650" s="4" t="str">
        <v>×</v>
      </c>
      <c r="J650" s="4"/>
      <c r="K650" s="4"/>
      <c r="L650" s="4"/>
      <c r="M650" s="5" t="s">
        <v>15</v>
      </c>
    </row>
    <row r="651" customFormat="false" ht="15.75" hidden="false" customHeight="false" outlineLevel="0" collapsed="false">
      <c r="A651" s="3" t="n">
        <v>46229</v>
      </c>
      <c r="B651" s="4" t="s">
        <v>179</v>
      </c>
      <c r="C651" s="4" t="n">
        <v>4</v>
      </c>
      <c r="D651" s="4" t="n">
        <v>10</v>
      </c>
      <c r="E651" s="4" t="s">
        <v>666</v>
      </c>
      <c r="F651" s="4" t="n">
        <v>4</v>
      </c>
      <c r="G651" s="4" t="n">
        <v>11</v>
      </c>
      <c r="H651" s="4" t="n">
        <v>4</v>
      </c>
      <c r="I651" s="4" t="str">
        <v>×</v>
      </c>
      <c r="J651" s="4"/>
      <c r="K651" s="4"/>
      <c r="L651" s="4"/>
      <c r="M651" s="5" t="s">
        <v>15</v>
      </c>
    </row>
    <row r="652" customFormat="false" ht="15.75" hidden="false" customHeight="false" outlineLevel="0" collapsed="false">
      <c r="A652" s="3" t="n">
        <v>46229</v>
      </c>
      <c r="B652" s="4" t="s">
        <v>179</v>
      </c>
      <c r="C652" s="4" t="n">
        <v>4</v>
      </c>
      <c r="D652" s="4" t="n">
        <v>11</v>
      </c>
      <c r="E652" s="4" t="s">
        <v>667</v>
      </c>
      <c r="F652" s="4" t="n">
        <v>39</v>
      </c>
      <c r="G652" s="4" t="n">
        <v>3</v>
      </c>
      <c r="H652" s="4" t="n">
        <v>1</v>
      </c>
      <c r="I652" s="4" t="str">
        <v>○</v>
      </c>
      <c r="J652" s="4" t="n">
        <v>160</v>
      </c>
      <c r="K652" s="4"/>
      <c r="L652" s="4"/>
      <c r="M652" s="5" t="s">
        <v>15</v>
      </c>
    </row>
    <row r="653" customFormat="false" ht="15.75" hidden="false" customHeight="false" outlineLevel="0" collapsed="false">
      <c r="A653" s="3" t="n">
        <v>46229</v>
      </c>
      <c r="B653" s="4" t="s">
        <v>179</v>
      </c>
      <c r="C653" s="4" t="n">
        <v>4</v>
      </c>
      <c r="D653" s="4" t="n">
        <v>12</v>
      </c>
      <c r="E653" s="4" t="s">
        <v>668</v>
      </c>
      <c r="F653" s="4" t="n">
        <v>3</v>
      </c>
      <c r="G653" s="4" t="n">
        <v>13</v>
      </c>
      <c r="H653" s="4" t="n">
        <v>4</v>
      </c>
      <c r="I653" s="4" t="str">
        <v>×</v>
      </c>
      <c r="J653" s="4"/>
      <c r="K653" s="4"/>
      <c r="L653" s="4"/>
      <c r="M653" s="5" t="s">
        <v>15</v>
      </c>
    </row>
    <row r="654" customFormat="false" ht="15.75" hidden="false" customHeight="false" outlineLevel="0" collapsed="false">
      <c r="A654" s="3" t="n">
        <v>46229</v>
      </c>
      <c r="B654" s="4" t="s">
        <v>179</v>
      </c>
      <c r="C654" s="4" t="n">
        <v>4</v>
      </c>
      <c r="D654" s="4" t="n">
        <v>13</v>
      </c>
      <c r="E654" s="4" t="s">
        <v>669</v>
      </c>
      <c r="F654" s="4" t="n">
        <v>37</v>
      </c>
      <c r="G654" s="4" t="n">
        <v>4</v>
      </c>
      <c r="H654" s="4" t="n">
        <v>4</v>
      </c>
      <c r="I654" s="4" t="str">
        <v>×</v>
      </c>
      <c r="J654" s="4"/>
      <c r="K654" s="4"/>
      <c r="L654" s="4"/>
      <c r="M654" s="5" t="s">
        <v>15</v>
      </c>
    </row>
    <row r="655" customFormat="false" ht="15.75" hidden="false" customHeight="false" outlineLevel="0" collapsed="false">
      <c r="A655" s="3" t="n">
        <v>46229</v>
      </c>
      <c r="B655" s="4" t="s">
        <v>179</v>
      </c>
      <c r="C655" s="4" t="n">
        <v>4</v>
      </c>
      <c r="D655" s="4" t="n">
        <v>14</v>
      </c>
      <c r="E655" s="4" t="s">
        <v>670</v>
      </c>
      <c r="F655" s="4" t="n">
        <v>47</v>
      </c>
      <c r="G655" s="4" t="n">
        <v>2</v>
      </c>
      <c r="H655" s="4" t="n">
        <v>2</v>
      </c>
      <c r="I655" s="4" t="str">
        <v>○</v>
      </c>
      <c r="J655" s="4" t="n">
        <v>160</v>
      </c>
      <c r="K655" s="4"/>
      <c r="L655" s="4"/>
      <c r="M655" s="5" t="s">
        <v>15</v>
      </c>
    </row>
    <row r="656" customFormat="false" ht="15.75" hidden="false" customHeight="false" outlineLevel="0" collapsed="false">
      <c r="A656" s="3" t="n">
        <v>46229</v>
      </c>
      <c r="B656" s="4" t="s">
        <v>179</v>
      </c>
      <c r="C656" s="4" t="n">
        <v>4</v>
      </c>
      <c r="D656" s="4" t="n">
        <v>15</v>
      </c>
      <c r="E656" s="4" t="s">
        <v>671</v>
      </c>
      <c r="F656" s="4" t="n">
        <v>10</v>
      </c>
      <c r="G656" s="4" t="n">
        <v>9</v>
      </c>
      <c r="H656" s="4" t="n">
        <v>4</v>
      </c>
      <c r="I656" s="4" t="str">
        <v>×</v>
      </c>
      <c r="J656" s="4"/>
      <c r="K656" s="4"/>
      <c r="L656" s="4"/>
      <c r="M656" s="5" t="s">
        <v>15</v>
      </c>
    </row>
    <row r="657" customFormat="false" ht="15.75" hidden="false" customHeight="false" outlineLevel="0" collapsed="false">
      <c r="A657" s="3" t="n">
        <v>46229</v>
      </c>
      <c r="B657" s="4" t="s">
        <v>179</v>
      </c>
      <c r="C657" s="4" t="n">
        <v>5</v>
      </c>
      <c r="D657" s="4" t="n">
        <v>1</v>
      </c>
      <c r="E657" s="4" t="s">
        <v>672</v>
      </c>
      <c r="F657" s="4" t="n">
        <v>56</v>
      </c>
      <c r="G657" s="4" t="n">
        <v>2</v>
      </c>
      <c r="H657" s="4" t="n">
        <v>4</v>
      </c>
      <c r="I657" s="4" t="str">
        <v>×</v>
      </c>
      <c r="J657" s="4"/>
      <c r="K657" s="4"/>
      <c r="L657" s="4"/>
      <c r="M657" s="5" t="s">
        <v>15</v>
      </c>
    </row>
    <row r="658" customFormat="false" ht="15.75" hidden="false" customHeight="false" outlineLevel="0" collapsed="false">
      <c r="A658" s="3" t="n">
        <v>46229</v>
      </c>
      <c r="B658" s="4" t="s">
        <v>179</v>
      </c>
      <c r="C658" s="4" t="n">
        <v>5</v>
      </c>
      <c r="D658" s="4" t="n">
        <v>2</v>
      </c>
      <c r="E658" s="4" t="s">
        <v>673</v>
      </c>
      <c r="F658" s="4" t="n">
        <v>8</v>
      </c>
      <c r="G658" s="4" t="n">
        <v>8</v>
      </c>
      <c r="H658" s="4" t="n">
        <v>4</v>
      </c>
      <c r="I658" s="4" t="str">
        <v>×</v>
      </c>
      <c r="J658" s="4"/>
      <c r="K658" s="4"/>
      <c r="L658" s="4"/>
      <c r="M658" s="5" t="s">
        <v>15</v>
      </c>
    </row>
    <row r="659" customFormat="false" ht="15.75" hidden="false" customHeight="false" outlineLevel="0" collapsed="false">
      <c r="A659" s="3" t="n">
        <v>46229</v>
      </c>
      <c r="B659" s="4" t="s">
        <v>179</v>
      </c>
      <c r="C659" s="4" t="n">
        <v>5</v>
      </c>
      <c r="D659" s="4" t="n">
        <v>3</v>
      </c>
      <c r="E659" s="4" t="s">
        <v>674</v>
      </c>
      <c r="F659" s="4" t="n">
        <v>4</v>
      </c>
      <c r="G659" s="4" t="n">
        <v>14</v>
      </c>
      <c r="H659" s="4" t="n">
        <v>4</v>
      </c>
      <c r="I659" s="4" t="str">
        <v>×</v>
      </c>
      <c r="J659" s="4"/>
      <c r="K659" s="4"/>
      <c r="L659" s="4"/>
      <c r="M659" s="5" t="s">
        <v>15</v>
      </c>
    </row>
    <row r="660" customFormat="false" ht="15.75" hidden="false" customHeight="false" outlineLevel="0" collapsed="false">
      <c r="A660" s="3" t="n">
        <v>46229</v>
      </c>
      <c r="B660" s="4" t="s">
        <v>179</v>
      </c>
      <c r="C660" s="4" t="n">
        <v>5</v>
      </c>
      <c r="D660" s="4" t="n">
        <v>4</v>
      </c>
      <c r="E660" s="4" t="s">
        <v>675</v>
      </c>
      <c r="F660" s="4" t="n">
        <v>6</v>
      </c>
      <c r="G660" s="4" t="n">
        <v>12</v>
      </c>
      <c r="H660" s="4" t="n">
        <v>4</v>
      </c>
      <c r="I660" s="4" t="str">
        <v>×</v>
      </c>
      <c r="J660" s="4"/>
      <c r="K660" s="4"/>
      <c r="L660" s="4"/>
      <c r="M660" s="5" t="s">
        <v>15</v>
      </c>
    </row>
    <row r="661" customFormat="false" ht="15.75" hidden="false" customHeight="false" outlineLevel="0" collapsed="false">
      <c r="A661" s="3" t="n">
        <v>46229</v>
      </c>
      <c r="B661" s="4" t="s">
        <v>179</v>
      </c>
      <c r="C661" s="4" t="n">
        <v>5</v>
      </c>
      <c r="D661" s="4" t="n">
        <v>5</v>
      </c>
      <c r="E661" s="4" t="s">
        <v>676</v>
      </c>
      <c r="F661" s="4" t="n">
        <v>8</v>
      </c>
      <c r="G661" s="4" t="n">
        <v>8</v>
      </c>
      <c r="H661" s="4" t="n">
        <v>4</v>
      </c>
      <c r="I661" s="4" t="str">
        <v>×</v>
      </c>
      <c r="J661" s="4"/>
      <c r="K661" s="4"/>
      <c r="L661" s="4"/>
      <c r="M661" s="5" t="s">
        <v>15</v>
      </c>
    </row>
    <row r="662" customFormat="false" ht="15.75" hidden="false" customHeight="false" outlineLevel="0" collapsed="false">
      <c r="A662" s="3" t="n">
        <v>46229</v>
      </c>
      <c r="B662" s="4" t="s">
        <v>179</v>
      </c>
      <c r="C662" s="4" t="n">
        <v>5</v>
      </c>
      <c r="D662" s="4" t="n">
        <v>6</v>
      </c>
      <c r="E662" s="4" t="s">
        <v>677</v>
      </c>
      <c r="F662" s="4" t="n">
        <v>52</v>
      </c>
      <c r="G662" s="4" t="n">
        <v>3</v>
      </c>
      <c r="H662" s="4" t="n">
        <v>1</v>
      </c>
      <c r="I662" s="4" t="str">
        <v>○</v>
      </c>
      <c r="J662" s="4" t="n">
        <v>150</v>
      </c>
      <c r="K662" s="4"/>
      <c r="L662" s="4"/>
      <c r="M662" s="5" t="s">
        <v>15</v>
      </c>
    </row>
    <row r="663" customFormat="false" ht="15.75" hidden="false" customHeight="false" outlineLevel="0" collapsed="false">
      <c r="A663" s="3" t="n">
        <v>46229</v>
      </c>
      <c r="B663" s="4" t="s">
        <v>179</v>
      </c>
      <c r="C663" s="4" t="n">
        <v>5</v>
      </c>
      <c r="D663" s="4" t="n">
        <v>7</v>
      </c>
      <c r="E663" s="4" t="s">
        <v>678</v>
      </c>
      <c r="F663" s="4" t="n">
        <v>6</v>
      </c>
      <c r="G663" s="4" t="n">
        <v>12</v>
      </c>
      <c r="H663" s="4" t="n">
        <v>4</v>
      </c>
      <c r="I663" s="4" t="str">
        <v>×</v>
      </c>
      <c r="J663" s="4"/>
      <c r="K663" s="4"/>
      <c r="L663" s="4"/>
      <c r="M663" s="5" t="s">
        <v>15</v>
      </c>
    </row>
    <row r="664" customFormat="false" ht="15.75" hidden="false" customHeight="false" outlineLevel="0" collapsed="false">
      <c r="A664" s="3" t="n">
        <v>46229</v>
      </c>
      <c r="B664" s="4" t="s">
        <v>179</v>
      </c>
      <c r="C664" s="4" t="n">
        <v>5</v>
      </c>
      <c r="D664" s="4" t="n">
        <v>8</v>
      </c>
      <c r="E664" s="4" t="s">
        <v>679</v>
      </c>
      <c r="F664" s="4" t="n">
        <v>8</v>
      </c>
      <c r="G664" s="4" t="n">
        <v>8</v>
      </c>
      <c r="H664" s="4" t="n">
        <v>4</v>
      </c>
      <c r="I664" s="4" t="str">
        <v>×</v>
      </c>
      <c r="J664" s="4"/>
      <c r="K664" s="4"/>
      <c r="L664" s="4"/>
      <c r="M664" s="5" t="s">
        <v>15</v>
      </c>
    </row>
    <row r="665" customFormat="false" ht="15.75" hidden="false" customHeight="false" outlineLevel="0" collapsed="false">
      <c r="A665" s="3" t="n">
        <v>46229</v>
      </c>
      <c r="B665" s="4" t="s">
        <v>179</v>
      </c>
      <c r="C665" s="4" t="n">
        <v>5</v>
      </c>
      <c r="D665" s="4" t="n">
        <v>9</v>
      </c>
      <c r="E665" s="4" t="s">
        <v>680</v>
      </c>
      <c r="F665" s="4" t="n">
        <v>20</v>
      </c>
      <c r="G665" s="4" t="n">
        <v>4</v>
      </c>
      <c r="H665" s="4" t="n">
        <v>4</v>
      </c>
      <c r="I665" s="4" t="str">
        <v>×</v>
      </c>
      <c r="J665" s="4"/>
      <c r="K665" s="4"/>
      <c r="L665" s="4"/>
      <c r="M665" s="5" t="s">
        <v>15</v>
      </c>
    </row>
    <row r="666" customFormat="false" ht="15.75" hidden="false" customHeight="false" outlineLevel="0" collapsed="false">
      <c r="A666" s="3" t="n">
        <v>46229</v>
      </c>
      <c r="B666" s="4" t="s">
        <v>179</v>
      </c>
      <c r="C666" s="4" t="n">
        <v>5</v>
      </c>
      <c r="D666" s="4" t="n">
        <v>10</v>
      </c>
      <c r="E666" s="4" t="s">
        <v>681</v>
      </c>
      <c r="F666" s="4" t="n">
        <v>15</v>
      </c>
      <c r="G666" s="4" t="n">
        <v>6</v>
      </c>
      <c r="H666" s="4" t="n">
        <v>4</v>
      </c>
      <c r="I666" s="4" t="str">
        <v>×</v>
      </c>
      <c r="J666" s="4"/>
      <c r="K666" s="4"/>
      <c r="L666" s="4"/>
      <c r="M666" s="5" t="s">
        <v>15</v>
      </c>
    </row>
    <row r="667" customFormat="false" ht="15.75" hidden="false" customHeight="false" outlineLevel="0" collapsed="false">
      <c r="A667" s="3" t="n">
        <v>46229</v>
      </c>
      <c r="B667" s="4" t="s">
        <v>179</v>
      </c>
      <c r="C667" s="4" t="n">
        <v>5</v>
      </c>
      <c r="D667" s="4" t="n">
        <v>11</v>
      </c>
      <c r="E667" s="4" t="s">
        <v>682</v>
      </c>
      <c r="F667" s="4" t="n">
        <v>4</v>
      </c>
      <c r="G667" s="4" t="n">
        <v>14</v>
      </c>
      <c r="H667" s="4" t="n">
        <v>4</v>
      </c>
      <c r="I667" s="4" t="str">
        <v>×</v>
      </c>
      <c r="J667" s="4"/>
      <c r="K667" s="4"/>
      <c r="L667" s="4"/>
      <c r="M667" s="5" t="s">
        <v>15</v>
      </c>
    </row>
    <row r="668" customFormat="false" ht="15.75" hidden="false" customHeight="false" outlineLevel="0" collapsed="false">
      <c r="A668" s="3" t="n">
        <v>46229</v>
      </c>
      <c r="B668" s="4" t="s">
        <v>179</v>
      </c>
      <c r="C668" s="4" t="n">
        <v>5</v>
      </c>
      <c r="D668" s="4" t="n">
        <v>12</v>
      </c>
      <c r="E668" s="4" t="s">
        <v>683</v>
      </c>
      <c r="F668" s="4" t="n">
        <v>8</v>
      </c>
      <c r="G668" s="4" t="n">
        <v>8</v>
      </c>
      <c r="H668" s="4" t="n">
        <v>4</v>
      </c>
      <c r="I668" s="4" t="str">
        <v>×</v>
      </c>
      <c r="J668" s="4"/>
      <c r="K668" s="4"/>
      <c r="L668" s="4"/>
      <c r="M668" s="5" t="s">
        <v>15</v>
      </c>
    </row>
    <row r="669" customFormat="false" ht="15.75" hidden="false" customHeight="false" outlineLevel="0" collapsed="false">
      <c r="A669" s="3" t="n">
        <v>46229</v>
      </c>
      <c r="B669" s="4" t="s">
        <v>179</v>
      </c>
      <c r="C669" s="4" t="n">
        <v>5</v>
      </c>
      <c r="D669" s="4" t="n">
        <v>13</v>
      </c>
      <c r="E669" s="4" t="s">
        <v>684</v>
      </c>
      <c r="F669" s="4" t="n">
        <v>3</v>
      </c>
      <c r="G669" s="4" t="n">
        <v>16</v>
      </c>
      <c r="H669" s="4" t="n">
        <v>4</v>
      </c>
      <c r="I669" s="4" t="str">
        <v>×</v>
      </c>
      <c r="J669" s="4"/>
      <c r="K669" s="4"/>
      <c r="L669" s="4"/>
      <c r="M669" s="5" t="s">
        <v>15</v>
      </c>
    </row>
    <row r="670" customFormat="false" ht="15.75" hidden="false" customHeight="false" outlineLevel="0" collapsed="false">
      <c r="A670" s="3" t="n">
        <v>46229</v>
      </c>
      <c r="B670" s="4" t="s">
        <v>179</v>
      </c>
      <c r="C670" s="4" t="n">
        <v>5</v>
      </c>
      <c r="D670" s="4" t="n">
        <v>14</v>
      </c>
      <c r="E670" s="4" t="s">
        <v>685</v>
      </c>
      <c r="F670" s="4" t="n">
        <v>65</v>
      </c>
      <c r="G670" s="4" t="n">
        <v>1</v>
      </c>
      <c r="H670" s="4" t="n">
        <v>3</v>
      </c>
      <c r="I670" s="4" t="str">
        <v>○</v>
      </c>
      <c r="J670" s="4" t="n">
        <v>120</v>
      </c>
      <c r="K670" s="4"/>
      <c r="L670" s="4"/>
      <c r="M670" s="5" t="s">
        <v>15</v>
      </c>
    </row>
    <row r="671" customFormat="false" ht="15.75" hidden="false" customHeight="false" outlineLevel="0" collapsed="false">
      <c r="A671" s="3" t="n">
        <v>46229</v>
      </c>
      <c r="B671" s="4" t="s">
        <v>179</v>
      </c>
      <c r="C671" s="4" t="n">
        <v>5</v>
      </c>
      <c r="D671" s="4" t="n">
        <v>15</v>
      </c>
      <c r="E671" s="4" t="s">
        <v>686</v>
      </c>
      <c r="F671" s="4" t="n">
        <v>17</v>
      </c>
      <c r="G671" s="4" t="n">
        <v>5</v>
      </c>
      <c r="H671" s="4" t="n">
        <v>2</v>
      </c>
      <c r="I671" s="4" t="str">
        <v>○</v>
      </c>
      <c r="J671" s="4" t="n">
        <v>150</v>
      </c>
      <c r="K671" s="4"/>
      <c r="L671" s="4"/>
      <c r="M671" s="5" t="s">
        <v>15</v>
      </c>
    </row>
    <row r="672" customFormat="false" ht="15.75" hidden="false" customHeight="false" outlineLevel="0" collapsed="false">
      <c r="A672" s="3" t="n">
        <v>46229</v>
      </c>
      <c r="B672" s="4" t="s">
        <v>179</v>
      </c>
      <c r="C672" s="4" t="n">
        <v>5</v>
      </c>
      <c r="D672" s="4" t="n">
        <v>16</v>
      </c>
      <c r="E672" s="4" t="s">
        <v>687</v>
      </c>
      <c r="F672" s="4" t="n">
        <v>13</v>
      </c>
      <c r="G672" s="4" t="n">
        <v>7</v>
      </c>
      <c r="H672" s="4" t="n">
        <v>4</v>
      </c>
      <c r="I672" s="4" t="str">
        <v>×</v>
      </c>
      <c r="J672" s="4"/>
      <c r="K672" s="4"/>
      <c r="L672" s="4"/>
      <c r="M672" s="5" t="s">
        <v>15</v>
      </c>
    </row>
    <row r="673" customFormat="false" ht="15.75" hidden="false" customHeight="false" outlineLevel="0" collapsed="false">
      <c r="A673" s="3" t="n">
        <v>46229</v>
      </c>
      <c r="B673" s="4" t="s">
        <v>179</v>
      </c>
      <c r="C673" s="4" t="n">
        <v>6</v>
      </c>
      <c r="D673" s="4" t="n">
        <v>1</v>
      </c>
      <c r="E673" s="4" t="s">
        <v>688</v>
      </c>
      <c r="F673" s="4" t="n">
        <v>75</v>
      </c>
      <c r="G673" s="4" t="n">
        <v>1</v>
      </c>
      <c r="H673" s="4" t="n">
        <v>1</v>
      </c>
      <c r="I673" s="4" t="str">
        <v>○</v>
      </c>
      <c r="J673" s="4" t="n">
        <v>120</v>
      </c>
      <c r="K673" s="4"/>
      <c r="L673" s="4"/>
      <c r="M673" s="5" t="s">
        <v>15</v>
      </c>
    </row>
    <row r="674" customFormat="false" ht="15.75" hidden="false" customHeight="false" outlineLevel="0" collapsed="false">
      <c r="A674" s="3" t="n">
        <v>46229</v>
      </c>
      <c r="B674" s="4" t="s">
        <v>179</v>
      </c>
      <c r="C674" s="4" t="n">
        <v>6</v>
      </c>
      <c r="D674" s="4" t="n">
        <v>2</v>
      </c>
      <c r="E674" s="4" t="s">
        <v>689</v>
      </c>
      <c r="F674" s="4" t="n">
        <v>34</v>
      </c>
      <c r="G674" s="4" t="n">
        <v>4</v>
      </c>
      <c r="H674" s="4" t="n">
        <v>2</v>
      </c>
      <c r="I674" s="4" t="str">
        <v>○</v>
      </c>
      <c r="J674" s="4" t="n">
        <v>140</v>
      </c>
      <c r="K674" s="4"/>
      <c r="L674" s="4"/>
      <c r="M674" s="5" t="s">
        <v>15</v>
      </c>
    </row>
    <row r="675" customFormat="false" ht="15.75" hidden="false" customHeight="false" outlineLevel="0" collapsed="false">
      <c r="A675" s="3" t="n">
        <v>46229</v>
      </c>
      <c r="B675" s="4" t="s">
        <v>179</v>
      </c>
      <c r="C675" s="4" t="n">
        <v>6</v>
      </c>
      <c r="D675" s="4" t="n">
        <v>3</v>
      </c>
      <c r="E675" s="4" t="s">
        <v>690</v>
      </c>
      <c r="F675" s="4" t="n">
        <v>6</v>
      </c>
      <c r="G675" s="4" t="n">
        <v>9</v>
      </c>
      <c r="H675" s="4" t="n">
        <v>4</v>
      </c>
      <c r="I675" s="4" t="str">
        <v>×</v>
      </c>
      <c r="J675" s="4"/>
      <c r="K675" s="4"/>
      <c r="L675" s="4"/>
      <c r="M675" s="5" t="s">
        <v>15</v>
      </c>
    </row>
    <row r="676" customFormat="false" ht="15.75" hidden="false" customHeight="false" outlineLevel="0" collapsed="false">
      <c r="A676" s="3" t="n">
        <v>46229</v>
      </c>
      <c r="B676" s="4" t="s">
        <v>179</v>
      </c>
      <c r="C676" s="4" t="n">
        <v>6</v>
      </c>
      <c r="D676" s="4" t="n">
        <v>4</v>
      </c>
      <c r="E676" s="4" t="s">
        <v>691</v>
      </c>
      <c r="F676" s="4" t="n">
        <v>6</v>
      </c>
      <c r="G676" s="4" t="n">
        <v>9</v>
      </c>
      <c r="H676" s="4" t="n">
        <v>4</v>
      </c>
      <c r="I676" s="4" t="str">
        <v>×</v>
      </c>
      <c r="J676" s="4"/>
      <c r="K676" s="4"/>
      <c r="L676" s="4"/>
      <c r="M676" s="5" t="s">
        <v>15</v>
      </c>
    </row>
    <row r="677" customFormat="false" ht="15.75" hidden="false" customHeight="false" outlineLevel="0" collapsed="false">
      <c r="A677" s="3" t="n">
        <v>46229</v>
      </c>
      <c r="B677" s="4" t="s">
        <v>179</v>
      </c>
      <c r="C677" s="4" t="n">
        <v>6</v>
      </c>
      <c r="D677" s="4" t="n">
        <v>5</v>
      </c>
      <c r="E677" s="4" t="s">
        <v>692</v>
      </c>
      <c r="F677" s="4" t="n">
        <v>47</v>
      </c>
      <c r="G677" s="4" t="n">
        <v>3</v>
      </c>
      <c r="H677" s="4" t="n">
        <v>4</v>
      </c>
      <c r="I677" s="4" t="str">
        <v>×</v>
      </c>
      <c r="J677" s="4"/>
      <c r="K677" s="4"/>
      <c r="L677" s="4"/>
      <c r="M677" s="5" t="s">
        <v>15</v>
      </c>
    </row>
    <row r="678" customFormat="false" ht="15.75" hidden="false" customHeight="false" outlineLevel="0" collapsed="false">
      <c r="A678" s="3" t="n">
        <v>46229</v>
      </c>
      <c r="B678" s="4" t="s">
        <v>179</v>
      </c>
      <c r="C678" s="4" t="n">
        <v>6</v>
      </c>
      <c r="D678" s="4" t="n">
        <v>6</v>
      </c>
      <c r="E678" s="4" t="s">
        <v>693</v>
      </c>
      <c r="F678" s="4" t="n">
        <v>56</v>
      </c>
      <c r="G678" s="4" t="n">
        <v>2</v>
      </c>
      <c r="H678" s="4" t="n">
        <v>4</v>
      </c>
      <c r="I678" s="4" t="str">
        <v>×</v>
      </c>
      <c r="J678" s="4"/>
      <c r="K678" s="4"/>
      <c r="L678" s="4"/>
      <c r="M678" s="5" t="s">
        <v>15</v>
      </c>
    </row>
    <row r="679" customFormat="false" ht="15.75" hidden="false" customHeight="false" outlineLevel="0" collapsed="false">
      <c r="A679" s="3" t="n">
        <v>46229</v>
      </c>
      <c r="B679" s="4" t="s">
        <v>179</v>
      </c>
      <c r="C679" s="4" t="n">
        <v>6</v>
      </c>
      <c r="D679" s="4" t="n">
        <v>7</v>
      </c>
      <c r="E679" s="4" t="s">
        <v>694</v>
      </c>
      <c r="F679" s="4" t="n">
        <v>20</v>
      </c>
      <c r="G679" s="4" t="n">
        <v>7</v>
      </c>
      <c r="H679" s="4" t="n">
        <v>4</v>
      </c>
      <c r="I679" s="4" t="str">
        <v>×</v>
      </c>
      <c r="J679" s="4"/>
      <c r="K679" s="4"/>
      <c r="L679" s="4"/>
      <c r="M679" s="5" t="s">
        <v>15</v>
      </c>
    </row>
    <row r="680" customFormat="false" ht="15.75" hidden="false" customHeight="false" outlineLevel="0" collapsed="false">
      <c r="A680" s="3" t="n">
        <v>46229</v>
      </c>
      <c r="B680" s="4" t="s">
        <v>179</v>
      </c>
      <c r="C680" s="4" t="n">
        <v>6</v>
      </c>
      <c r="D680" s="4" t="n">
        <v>8</v>
      </c>
      <c r="E680" s="4" t="s">
        <v>695</v>
      </c>
      <c r="F680" s="4" t="n">
        <v>23</v>
      </c>
      <c r="G680" s="4" t="n">
        <v>6</v>
      </c>
      <c r="H680" s="4" t="n">
        <v>4</v>
      </c>
      <c r="I680" s="4" t="str">
        <v>×</v>
      </c>
      <c r="J680" s="4"/>
      <c r="K680" s="4"/>
      <c r="L680" s="4"/>
      <c r="M680" s="5" t="s">
        <v>15</v>
      </c>
    </row>
    <row r="681" customFormat="false" ht="15.75" hidden="false" customHeight="false" outlineLevel="0" collapsed="false">
      <c r="A681" s="3" t="n">
        <v>46229</v>
      </c>
      <c r="B681" s="4" t="s">
        <v>179</v>
      </c>
      <c r="C681" s="4" t="n">
        <v>6</v>
      </c>
      <c r="D681" s="4" t="n">
        <v>9</v>
      </c>
      <c r="E681" s="4" t="s">
        <v>696</v>
      </c>
      <c r="F681" s="4" t="n">
        <v>17</v>
      </c>
      <c r="G681" s="4" t="n">
        <v>8</v>
      </c>
      <c r="H681" s="4" t="n">
        <v>3</v>
      </c>
      <c r="I681" s="4" t="str">
        <v>○</v>
      </c>
      <c r="J681" s="4" t="n">
        <v>630</v>
      </c>
      <c r="K681" s="4"/>
      <c r="L681" s="4"/>
      <c r="M681" s="5" t="s">
        <v>15</v>
      </c>
    </row>
    <row r="682" customFormat="false" ht="15.75" hidden="false" customHeight="false" outlineLevel="0" collapsed="false">
      <c r="A682" s="3" t="n">
        <v>46229</v>
      </c>
      <c r="B682" s="4" t="s">
        <v>179</v>
      </c>
      <c r="C682" s="4" t="n">
        <v>6</v>
      </c>
      <c r="D682" s="4" t="n">
        <v>10</v>
      </c>
      <c r="E682" s="4" t="s">
        <v>697</v>
      </c>
      <c r="F682" s="4" t="n">
        <v>31</v>
      </c>
      <c r="G682" s="4" t="n">
        <v>5</v>
      </c>
      <c r="H682" s="4" t="n">
        <v>4</v>
      </c>
      <c r="I682" s="4" t="str">
        <v>×</v>
      </c>
      <c r="J682" s="4"/>
      <c r="K682" s="4"/>
      <c r="L682" s="4"/>
      <c r="M682" s="5" t="s">
        <v>15</v>
      </c>
    </row>
    <row r="683" customFormat="false" ht="15.75" hidden="false" customHeight="false" outlineLevel="0" collapsed="false">
      <c r="A683" s="3" t="n">
        <v>46229</v>
      </c>
      <c r="B683" s="4" t="s">
        <v>179</v>
      </c>
      <c r="C683" s="4" t="n">
        <v>7</v>
      </c>
      <c r="D683" s="4" t="n">
        <v>1</v>
      </c>
      <c r="E683" s="4" t="s">
        <v>698</v>
      </c>
      <c r="F683" s="4" t="n">
        <v>15</v>
      </c>
      <c r="G683" s="4" t="n">
        <v>8</v>
      </c>
      <c r="H683" s="4" t="n">
        <v>4</v>
      </c>
      <c r="I683" s="4" t="str">
        <v>×</v>
      </c>
      <c r="J683" s="4"/>
      <c r="K683" s="4"/>
      <c r="L683" s="4"/>
      <c r="M683" s="5" t="s">
        <v>15</v>
      </c>
    </row>
    <row r="684" customFormat="false" ht="15.75" hidden="false" customHeight="false" outlineLevel="0" collapsed="false">
      <c r="A684" s="3" t="n">
        <v>46229</v>
      </c>
      <c r="B684" s="4" t="s">
        <v>179</v>
      </c>
      <c r="C684" s="4" t="n">
        <v>7</v>
      </c>
      <c r="D684" s="4" t="n">
        <v>2</v>
      </c>
      <c r="E684" s="4" t="s">
        <v>699</v>
      </c>
      <c r="F684" s="4" t="n">
        <v>1</v>
      </c>
      <c r="G684" s="4" t="n">
        <v>12</v>
      </c>
      <c r="H684" s="4" t="n">
        <v>4</v>
      </c>
      <c r="I684" s="4" t="str">
        <v>×</v>
      </c>
      <c r="J684" s="4"/>
      <c r="K684" s="4"/>
      <c r="L684" s="4"/>
      <c r="M684" s="5" t="s">
        <v>15</v>
      </c>
    </row>
    <row r="685" customFormat="false" ht="15.75" hidden="false" customHeight="false" outlineLevel="0" collapsed="false">
      <c r="A685" s="3" t="n">
        <v>46229</v>
      </c>
      <c r="B685" s="4" t="s">
        <v>179</v>
      </c>
      <c r="C685" s="4" t="n">
        <v>7</v>
      </c>
      <c r="D685" s="4" t="n">
        <v>3</v>
      </c>
      <c r="E685" s="4" t="s">
        <v>700</v>
      </c>
      <c r="F685" s="4" t="n">
        <v>8</v>
      </c>
      <c r="G685" s="4" t="n">
        <v>9</v>
      </c>
      <c r="H685" s="4" t="n">
        <v>4</v>
      </c>
      <c r="I685" s="4" t="str">
        <v>×</v>
      </c>
      <c r="J685" s="4"/>
      <c r="K685" s="4"/>
      <c r="L685" s="4"/>
      <c r="M685" s="5" t="s">
        <v>15</v>
      </c>
    </row>
    <row r="686" customFormat="false" ht="15.75" hidden="false" customHeight="false" outlineLevel="0" collapsed="false">
      <c r="A686" s="3" t="n">
        <v>46229</v>
      </c>
      <c r="B686" s="4" t="s">
        <v>179</v>
      </c>
      <c r="C686" s="4" t="n">
        <v>7</v>
      </c>
      <c r="D686" s="4" t="n">
        <v>4</v>
      </c>
      <c r="E686" s="4" t="s">
        <v>701</v>
      </c>
      <c r="F686" s="4" t="n">
        <v>3</v>
      </c>
      <c r="G686" s="4" t="n">
        <v>11</v>
      </c>
      <c r="H686" s="4" t="n">
        <v>4</v>
      </c>
      <c r="I686" s="4" t="str">
        <v>×</v>
      </c>
      <c r="J686" s="4"/>
      <c r="K686" s="4"/>
      <c r="L686" s="4"/>
      <c r="M686" s="5" t="s">
        <v>15</v>
      </c>
    </row>
    <row r="687" customFormat="false" ht="15.75" hidden="false" customHeight="false" outlineLevel="0" collapsed="false">
      <c r="A687" s="3" t="n">
        <v>46229</v>
      </c>
      <c r="B687" s="4" t="s">
        <v>179</v>
      </c>
      <c r="C687" s="4" t="n">
        <v>7</v>
      </c>
      <c r="D687" s="4" t="n">
        <v>5</v>
      </c>
      <c r="E687" s="4" t="s">
        <v>702</v>
      </c>
      <c r="F687" s="4" t="n">
        <v>56</v>
      </c>
      <c r="G687" s="4" t="n">
        <v>1</v>
      </c>
      <c r="H687" s="4" t="n">
        <v>3</v>
      </c>
      <c r="I687" s="4" t="str">
        <v>○</v>
      </c>
      <c r="J687" s="4" t="n">
        <v>110</v>
      </c>
      <c r="K687" s="4"/>
      <c r="L687" s="4"/>
      <c r="M687" s="5" t="s">
        <v>15</v>
      </c>
    </row>
    <row r="688" customFormat="false" ht="15.75" hidden="false" customHeight="false" outlineLevel="0" collapsed="false">
      <c r="A688" s="3" t="n">
        <v>46229</v>
      </c>
      <c r="B688" s="4" t="s">
        <v>179</v>
      </c>
      <c r="C688" s="4" t="n">
        <v>7</v>
      </c>
      <c r="D688" s="4" t="n">
        <v>6</v>
      </c>
      <c r="E688" s="4" t="s">
        <v>703</v>
      </c>
      <c r="F688" s="4" t="n">
        <v>1</v>
      </c>
      <c r="G688" s="4" t="n">
        <v>12</v>
      </c>
      <c r="H688" s="4" t="n">
        <v>4</v>
      </c>
      <c r="I688" s="4" t="str">
        <v>×</v>
      </c>
      <c r="J688" s="4"/>
      <c r="K688" s="4"/>
      <c r="L688" s="4"/>
      <c r="M688" s="5" t="s">
        <v>15</v>
      </c>
    </row>
    <row r="689" customFormat="false" ht="15.75" hidden="false" customHeight="false" outlineLevel="0" collapsed="false">
      <c r="A689" s="3" t="n">
        <v>46229</v>
      </c>
      <c r="B689" s="4" t="s">
        <v>179</v>
      </c>
      <c r="C689" s="4" t="n">
        <v>7</v>
      </c>
      <c r="D689" s="4" t="n">
        <v>7</v>
      </c>
      <c r="E689" s="4" t="s">
        <v>704</v>
      </c>
      <c r="F689" s="4" t="n">
        <v>29</v>
      </c>
      <c r="G689" s="4" t="n">
        <v>5</v>
      </c>
      <c r="H689" s="4" t="n">
        <v>4</v>
      </c>
      <c r="I689" s="4" t="str">
        <v>×</v>
      </c>
      <c r="J689" s="4"/>
      <c r="K689" s="4"/>
      <c r="L689" s="4"/>
      <c r="M689" s="5" t="s">
        <v>15</v>
      </c>
    </row>
    <row r="690" customFormat="false" ht="15.75" hidden="false" customHeight="false" outlineLevel="0" collapsed="false">
      <c r="A690" s="3" t="n">
        <v>46229</v>
      </c>
      <c r="B690" s="4" t="s">
        <v>179</v>
      </c>
      <c r="C690" s="4" t="n">
        <v>7</v>
      </c>
      <c r="D690" s="4" t="n">
        <v>8</v>
      </c>
      <c r="E690" s="4" t="s">
        <v>705</v>
      </c>
      <c r="F690" s="4" t="n">
        <v>44</v>
      </c>
      <c r="G690" s="4" t="n">
        <v>4</v>
      </c>
      <c r="H690" s="4" t="n">
        <v>4</v>
      </c>
      <c r="I690" s="4" t="str">
        <v>×</v>
      </c>
      <c r="J690" s="4"/>
      <c r="K690" s="4"/>
      <c r="L690" s="4"/>
      <c r="M690" s="5" t="s">
        <v>15</v>
      </c>
    </row>
    <row r="691" customFormat="false" ht="15.75" hidden="false" customHeight="false" outlineLevel="0" collapsed="false">
      <c r="A691" s="3" t="n">
        <v>46229</v>
      </c>
      <c r="B691" s="4" t="s">
        <v>179</v>
      </c>
      <c r="C691" s="4" t="n">
        <v>7</v>
      </c>
      <c r="D691" s="4" t="n">
        <v>9</v>
      </c>
      <c r="E691" s="4" t="s">
        <v>706</v>
      </c>
      <c r="F691" s="4" t="n">
        <v>56</v>
      </c>
      <c r="G691" s="4" t="n">
        <v>1</v>
      </c>
      <c r="H691" s="4" t="n">
        <v>4</v>
      </c>
      <c r="I691" s="4" t="str">
        <v>×</v>
      </c>
      <c r="J691" s="4"/>
      <c r="K691" s="4"/>
      <c r="L691" s="4"/>
      <c r="M691" s="5" t="s">
        <v>15</v>
      </c>
    </row>
    <row r="692" customFormat="false" ht="15.75" hidden="false" customHeight="false" outlineLevel="0" collapsed="false">
      <c r="A692" s="3" t="n">
        <v>46229</v>
      </c>
      <c r="B692" s="4" t="s">
        <v>179</v>
      </c>
      <c r="C692" s="4" t="n">
        <v>7</v>
      </c>
      <c r="D692" s="4" t="n">
        <v>10</v>
      </c>
      <c r="E692" s="4" t="s">
        <v>707</v>
      </c>
      <c r="F692" s="4" t="n">
        <v>1</v>
      </c>
      <c r="G692" s="4" t="n">
        <v>12</v>
      </c>
      <c r="H692" s="4" t="n">
        <v>4</v>
      </c>
      <c r="I692" s="4" t="str">
        <v>×</v>
      </c>
      <c r="J692" s="4"/>
      <c r="K692" s="4"/>
      <c r="L692" s="4"/>
      <c r="M692" s="5" t="s">
        <v>15</v>
      </c>
    </row>
    <row r="693" customFormat="false" ht="15.75" hidden="false" customHeight="false" outlineLevel="0" collapsed="false">
      <c r="A693" s="3" t="n">
        <v>46229</v>
      </c>
      <c r="B693" s="4" t="s">
        <v>179</v>
      </c>
      <c r="C693" s="4" t="n">
        <v>7</v>
      </c>
      <c r="D693" s="4" t="n">
        <v>11</v>
      </c>
      <c r="E693" s="4" t="s">
        <v>708</v>
      </c>
      <c r="F693" s="4" t="n">
        <v>47</v>
      </c>
      <c r="G693" s="4" t="n">
        <v>3</v>
      </c>
      <c r="H693" s="4" t="n">
        <v>2</v>
      </c>
      <c r="I693" s="4" t="str">
        <v>○</v>
      </c>
      <c r="J693" s="4" t="n">
        <v>330</v>
      </c>
      <c r="K693" s="4"/>
      <c r="L693" s="4"/>
      <c r="M693" s="5" t="s">
        <v>15</v>
      </c>
    </row>
    <row r="694" customFormat="false" ht="15.75" hidden="false" customHeight="false" outlineLevel="0" collapsed="false">
      <c r="A694" s="3" t="n">
        <v>46229</v>
      </c>
      <c r="B694" s="4" t="s">
        <v>179</v>
      </c>
      <c r="C694" s="4" t="n">
        <v>7</v>
      </c>
      <c r="D694" s="4" t="n">
        <v>12</v>
      </c>
      <c r="E694" s="4" t="s">
        <v>709</v>
      </c>
      <c r="F694" s="4" t="n">
        <v>8</v>
      </c>
      <c r="G694" s="4" t="n">
        <v>9</v>
      </c>
      <c r="H694" s="4" t="n">
        <v>4</v>
      </c>
      <c r="I694" s="4" t="str">
        <v>×</v>
      </c>
      <c r="J694" s="4"/>
      <c r="K694" s="4"/>
      <c r="L694" s="4"/>
      <c r="M694" s="5" t="s">
        <v>15</v>
      </c>
    </row>
    <row r="695" customFormat="false" ht="15.75" hidden="false" customHeight="false" outlineLevel="0" collapsed="false">
      <c r="A695" s="3" t="n">
        <v>46229</v>
      </c>
      <c r="B695" s="4" t="s">
        <v>179</v>
      </c>
      <c r="C695" s="4" t="n">
        <v>7</v>
      </c>
      <c r="D695" s="4" t="n">
        <v>13</v>
      </c>
      <c r="E695" s="4" t="s">
        <v>710</v>
      </c>
      <c r="F695" s="4" t="n">
        <v>17</v>
      </c>
      <c r="G695" s="4" t="n">
        <v>6</v>
      </c>
      <c r="H695" s="4" t="n">
        <v>4</v>
      </c>
      <c r="I695" s="4" t="str">
        <v>×</v>
      </c>
      <c r="J695" s="4"/>
      <c r="K695" s="4"/>
      <c r="L695" s="4"/>
      <c r="M695" s="5" t="s">
        <v>15</v>
      </c>
    </row>
    <row r="696" customFormat="false" ht="15.75" hidden="false" customHeight="false" outlineLevel="0" collapsed="false">
      <c r="A696" s="3" t="n">
        <v>46229</v>
      </c>
      <c r="B696" s="4" t="s">
        <v>179</v>
      </c>
      <c r="C696" s="4" t="n">
        <v>7</v>
      </c>
      <c r="D696" s="4" t="n">
        <v>14</v>
      </c>
      <c r="E696" s="4" t="s">
        <v>711</v>
      </c>
      <c r="F696" s="4" t="n">
        <v>17</v>
      </c>
      <c r="G696" s="4" t="n">
        <v>6</v>
      </c>
      <c r="H696" s="4" t="n">
        <v>1</v>
      </c>
      <c r="I696" s="4" t="str">
        <v>○</v>
      </c>
      <c r="J696" s="4" t="n">
        <v>380</v>
      </c>
      <c r="K696" s="4"/>
      <c r="L696" s="4"/>
      <c r="M696" s="5" t="s">
        <v>15</v>
      </c>
    </row>
    <row r="697" customFormat="false" ht="15.75" hidden="false" customHeight="false" outlineLevel="0" collapsed="false">
      <c r="A697" s="3" t="n">
        <v>46229</v>
      </c>
      <c r="B697" s="4" t="s">
        <v>179</v>
      </c>
      <c r="C697" s="4" t="n">
        <v>8</v>
      </c>
      <c r="D697" s="4" t="n">
        <v>1</v>
      </c>
      <c r="E697" s="4" t="s">
        <v>712</v>
      </c>
      <c r="F697" s="4" t="n">
        <v>10</v>
      </c>
      <c r="G697" s="4" t="n">
        <v>10</v>
      </c>
      <c r="H697" s="4" t="n">
        <v>4</v>
      </c>
      <c r="I697" s="4" t="str">
        <v>×</v>
      </c>
      <c r="J697" s="4"/>
      <c r="K697" s="4"/>
      <c r="L697" s="4"/>
      <c r="M697" s="5" t="s">
        <v>15</v>
      </c>
    </row>
    <row r="698" customFormat="false" ht="15.75" hidden="false" customHeight="false" outlineLevel="0" collapsed="false">
      <c r="A698" s="3" t="n">
        <v>46229</v>
      </c>
      <c r="B698" s="4" t="s">
        <v>179</v>
      </c>
      <c r="C698" s="4" t="n">
        <v>8</v>
      </c>
      <c r="D698" s="4" t="n">
        <v>2</v>
      </c>
      <c r="E698" s="4" t="s">
        <v>713</v>
      </c>
      <c r="F698" s="4" t="n">
        <v>44</v>
      </c>
      <c r="G698" s="4" t="n">
        <v>1</v>
      </c>
      <c r="H698" s="4" t="n">
        <v>1</v>
      </c>
      <c r="I698" s="4" t="str">
        <v>○</v>
      </c>
      <c r="J698" s="4" t="n">
        <v>160</v>
      </c>
      <c r="K698" s="4"/>
      <c r="L698" s="4"/>
      <c r="M698" s="5" t="s">
        <v>15</v>
      </c>
    </row>
    <row r="699" customFormat="false" ht="15.75" hidden="false" customHeight="false" outlineLevel="0" collapsed="false">
      <c r="A699" s="3" t="n">
        <v>46229</v>
      </c>
      <c r="B699" s="4" t="s">
        <v>179</v>
      </c>
      <c r="C699" s="4" t="n">
        <v>8</v>
      </c>
      <c r="D699" s="4" t="n">
        <v>3</v>
      </c>
      <c r="E699" s="4" t="s">
        <v>714</v>
      </c>
      <c r="F699" s="4" t="n">
        <v>15</v>
      </c>
      <c r="G699" s="4" t="n">
        <v>9</v>
      </c>
      <c r="H699" s="4" t="n">
        <v>4</v>
      </c>
      <c r="I699" s="4" t="str">
        <v>×</v>
      </c>
      <c r="J699" s="4"/>
      <c r="K699" s="4"/>
      <c r="L699" s="4"/>
      <c r="M699" s="5" t="s">
        <v>15</v>
      </c>
    </row>
    <row r="700" customFormat="false" ht="15.75" hidden="false" customHeight="false" outlineLevel="0" collapsed="false">
      <c r="A700" s="3" t="n">
        <v>46229</v>
      </c>
      <c r="B700" s="4" t="s">
        <v>179</v>
      </c>
      <c r="C700" s="4" t="n">
        <v>8</v>
      </c>
      <c r="D700" s="4" t="n">
        <v>4</v>
      </c>
      <c r="E700" s="4" t="s">
        <v>715</v>
      </c>
      <c r="F700" s="4" t="n">
        <v>44</v>
      </c>
      <c r="G700" s="4" t="n">
        <v>1</v>
      </c>
      <c r="H700" s="4" t="n">
        <v>4</v>
      </c>
      <c r="I700" s="4" t="str">
        <v>×</v>
      </c>
      <c r="J700" s="4"/>
      <c r="K700" s="4"/>
      <c r="L700" s="4"/>
      <c r="M700" s="5" t="s">
        <v>15</v>
      </c>
    </row>
    <row r="701" customFormat="false" ht="15.75" hidden="false" customHeight="false" outlineLevel="0" collapsed="false">
      <c r="A701" s="3" t="n">
        <v>46229</v>
      </c>
      <c r="B701" s="4" t="s">
        <v>179</v>
      </c>
      <c r="C701" s="4" t="n">
        <v>8</v>
      </c>
      <c r="D701" s="4" t="n">
        <v>5</v>
      </c>
      <c r="E701" s="4" t="s">
        <v>716</v>
      </c>
      <c r="F701" s="4" t="n">
        <v>34</v>
      </c>
      <c r="G701" s="4" t="n">
        <v>4</v>
      </c>
      <c r="H701" s="4" t="n">
        <v>4</v>
      </c>
      <c r="I701" s="4" t="str">
        <v>×</v>
      </c>
      <c r="J701" s="4"/>
      <c r="K701" s="4"/>
      <c r="L701" s="4"/>
      <c r="M701" s="5" t="s">
        <v>15</v>
      </c>
    </row>
    <row r="702" customFormat="false" ht="15.75" hidden="false" customHeight="false" outlineLevel="0" collapsed="false">
      <c r="A702" s="3" t="n">
        <v>46229</v>
      </c>
      <c r="B702" s="4" t="s">
        <v>179</v>
      </c>
      <c r="C702" s="4" t="n">
        <v>8</v>
      </c>
      <c r="D702" s="4" t="n">
        <v>6</v>
      </c>
      <c r="E702" s="4" t="s">
        <v>717</v>
      </c>
      <c r="F702" s="4" t="n">
        <v>6</v>
      </c>
      <c r="G702" s="4" t="n">
        <v>11</v>
      </c>
      <c r="H702" s="4" t="n">
        <v>4</v>
      </c>
      <c r="I702" s="4" t="str">
        <v>×</v>
      </c>
      <c r="J702" s="4"/>
      <c r="K702" s="4"/>
      <c r="L702" s="4"/>
      <c r="M702" s="5" t="s">
        <v>15</v>
      </c>
    </row>
    <row r="703" customFormat="false" ht="15.75" hidden="false" customHeight="false" outlineLevel="0" collapsed="false">
      <c r="A703" s="3" t="n">
        <v>46229</v>
      </c>
      <c r="B703" s="4" t="s">
        <v>179</v>
      </c>
      <c r="C703" s="4" t="n">
        <v>8</v>
      </c>
      <c r="D703" s="4" t="n">
        <v>7</v>
      </c>
      <c r="E703" s="4" t="s">
        <v>718</v>
      </c>
      <c r="F703" s="4" t="n">
        <v>29</v>
      </c>
      <c r="G703" s="4" t="n">
        <v>5</v>
      </c>
      <c r="H703" s="4" t="n">
        <v>4</v>
      </c>
      <c r="I703" s="4" t="str">
        <v>×</v>
      </c>
      <c r="J703" s="4"/>
      <c r="K703" s="4"/>
      <c r="L703" s="4"/>
      <c r="M703" s="5" t="s">
        <v>15</v>
      </c>
    </row>
    <row r="704" customFormat="false" ht="15.75" hidden="false" customHeight="false" outlineLevel="0" collapsed="false">
      <c r="A704" s="3" t="n">
        <v>46229</v>
      </c>
      <c r="B704" s="4" t="s">
        <v>179</v>
      </c>
      <c r="C704" s="4" t="n">
        <v>8</v>
      </c>
      <c r="D704" s="4" t="n">
        <v>8</v>
      </c>
      <c r="E704" s="4" t="s">
        <v>719</v>
      </c>
      <c r="F704" s="4" t="n">
        <v>17</v>
      </c>
      <c r="G704" s="4" t="n">
        <v>8</v>
      </c>
      <c r="H704" s="4" t="n">
        <v>2</v>
      </c>
      <c r="I704" s="4" t="str">
        <v>○</v>
      </c>
      <c r="J704" s="4" t="n">
        <v>840</v>
      </c>
      <c r="K704" s="4"/>
      <c r="L704" s="4"/>
      <c r="M704" s="5" t="s">
        <v>15</v>
      </c>
    </row>
    <row r="705" customFormat="false" ht="15.75" hidden="false" customHeight="false" outlineLevel="0" collapsed="false">
      <c r="A705" s="3" t="n">
        <v>46229</v>
      </c>
      <c r="B705" s="4" t="s">
        <v>179</v>
      </c>
      <c r="C705" s="4" t="n">
        <v>8</v>
      </c>
      <c r="D705" s="4" t="n">
        <v>9</v>
      </c>
      <c r="E705" s="4" t="s">
        <v>720</v>
      </c>
      <c r="F705" s="4" t="n">
        <v>20</v>
      </c>
      <c r="G705" s="4" t="n">
        <v>7</v>
      </c>
      <c r="H705" s="4" t="n">
        <v>4</v>
      </c>
      <c r="I705" s="4" t="str">
        <v>×</v>
      </c>
      <c r="J705" s="4"/>
      <c r="K705" s="4"/>
      <c r="L705" s="4"/>
      <c r="M705" s="5" t="s">
        <v>15</v>
      </c>
    </row>
    <row r="706" customFormat="false" ht="15.75" hidden="false" customHeight="false" outlineLevel="0" collapsed="false">
      <c r="A706" s="3" t="n">
        <v>46229</v>
      </c>
      <c r="B706" s="4" t="s">
        <v>179</v>
      </c>
      <c r="C706" s="4" t="n">
        <v>8</v>
      </c>
      <c r="D706" s="4" t="n">
        <v>10</v>
      </c>
      <c r="E706" s="4" t="s">
        <v>721</v>
      </c>
      <c r="F706" s="4" t="n">
        <v>37</v>
      </c>
      <c r="G706" s="4" t="n">
        <v>3</v>
      </c>
      <c r="H706" s="4" t="n">
        <v>3</v>
      </c>
      <c r="I706" s="4" t="str">
        <v>○</v>
      </c>
      <c r="J706" s="4" t="n">
        <v>300</v>
      </c>
      <c r="K706" s="4"/>
      <c r="L706" s="4"/>
      <c r="M706" s="5" t="s">
        <v>15</v>
      </c>
    </row>
    <row r="707" customFormat="false" ht="15.75" hidden="false" customHeight="false" outlineLevel="0" collapsed="false">
      <c r="A707" s="3" t="n">
        <v>46229</v>
      </c>
      <c r="B707" s="4" t="s">
        <v>179</v>
      </c>
      <c r="C707" s="4" t="n">
        <v>8</v>
      </c>
      <c r="D707" s="4" t="n">
        <v>11</v>
      </c>
      <c r="E707" s="4" t="s">
        <v>722</v>
      </c>
      <c r="F707" s="4" t="n">
        <v>29</v>
      </c>
      <c r="G707" s="4" t="n">
        <v>5</v>
      </c>
      <c r="H707" s="4" t="n">
        <v>4</v>
      </c>
      <c r="I707" s="4" t="str">
        <v>×</v>
      </c>
      <c r="J707" s="4"/>
      <c r="K707" s="4"/>
      <c r="L707" s="4"/>
      <c r="M707" s="5" t="s">
        <v>15</v>
      </c>
    </row>
    <row r="708" customFormat="false" ht="15.75" hidden="false" customHeight="false" outlineLevel="0" collapsed="false">
      <c r="A708" s="3" t="n">
        <v>46229</v>
      </c>
      <c r="B708" s="4" t="s">
        <v>179</v>
      </c>
      <c r="C708" s="4" t="n">
        <v>8</v>
      </c>
      <c r="D708" s="4" t="n">
        <v>12</v>
      </c>
      <c r="E708" s="4" t="s">
        <v>723</v>
      </c>
      <c r="F708" s="4" t="n">
        <v>6</v>
      </c>
      <c r="G708" s="4" t="n">
        <v>11</v>
      </c>
      <c r="H708" s="4" t="n">
        <v>4</v>
      </c>
      <c r="I708" s="4" t="str">
        <v>×</v>
      </c>
      <c r="J708" s="4"/>
      <c r="K708" s="4"/>
      <c r="L708" s="4"/>
      <c r="M708" s="5" t="s">
        <v>15</v>
      </c>
    </row>
    <row r="709" customFormat="false" ht="15.75" hidden="false" customHeight="false" outlineLevel="0" collapsed="false">
      <c r="A709" s="3" t="n">
        <v>46229</v>
      </c>
      <c r="B709" s="4" t="s">
        <v>179</v>
      </c>
      <c r="C709" s="4" t="n">
        <v>9</v>
      </c>
      <c r="D709" s="4" t="n">
        <v>1</v>
      </c>
      <c r="E709" s="4" t="s">
        <v>724</v>
      </c>
      <c r="F709" s="4" t="n">
        <v>39</v>
      </c>
      <c r="G709" s="4" t="n">
        <v>5</v>
      </c>
      <c r="H709" s="4" t="n">
        <v>1</v>
      </c>
      <c r="I709" s="4" t="str">
        <v>○</v>
      </c>
      <c r="J709" s="4" t="n">
        <v>210</v>
      </c>
      <c r="K709" s="4"/>
      <c r="L709" s="4"/>
      <c r="M709" s="5" t="s">
        <v>15</v>
      </c>
    </row>
    <row r="710" customFormat="false" ht="15.75" hidden="false" customHeight="false" outlineLevel="0" collapsed="false">
      <c r="A710" s="3" t="n">
        <v>46229</v>
      </c>
      <c r="B710" s="4" t="s">
        <v>179</v>
      </c>
      <c r="C710" s="4" t="n">
        <v>9</v>
      </c>
      <c r="D710" s="4" t="n">
        <v>2</v>
      </c>
      <c r="E710" s="4" t="s">
        <v>725</v>
      </c>
      <c r="F710" s="4" t="n">
        <v>4</v>
      </c>
      <c r="G710" s="4" t="n">
        <v>13</v>
      </c>
      <c r="H710" s="4" t="n">
        <v>4</v>
      </c>
      <c r="I710" s="4" t="str">
        <v>×</v>
      </c>
      <c r="J710" s="4"/>
      <c r="K710" s="4"/>
      <c r="L710" s="4"/>
      <c r="M710" s="5" t="s">
        <v>15</v>
      </c>
    </row>
    <row r="711" customFormat="false" ht="15.75" hidden="false" customHeight="false" outlineLevel="0" collapsed="false">
      <c r="A711" s="3" t="n">
        <v>46229</v>
      </c>
      <c r="B711" s="4" t="s">
        <v>179</v>
      </c>
      <c r="C711" s="4" t="n">
        <v>9</v>
      </c>
      <c r="D711" s="4" t="n">
        <v>3</v>
      </c>
      <c r="E711" s="4" t="s">
        <v>726</v>
      </c>
      <c r="F711" s="4" t="n">
        <v>44</v>
      </c>
      <c r="G711" s="4" t="n">
        <v>3</v>
      </c>
      <c r="H711" s="4" t="n">
        <v>4</v>
      </c>
      <c r="I711" s="4" t="str">
        <v>×</v>
      </c>
      <c r="J711" s="4"/>
      <c r="K711" s="4"/>
      <c r="L711" s="4"/>
      <c r="M711" s="5" t="s">
        <v>15</v>
      </c>
    </row>
    <row r="712" customFormat="false" ht="15.75" hidden="false" customHeight="false" outlineLevel="0" collapsed="false">
      <c r="A712" s="3" t="n">
        <v>46229</v>
      </c>
      <c r="B712" s="4" t="s">
        <v>179</v>
      </c>
      <c r="C712" s="4" t="n">
        <v>9</v>
      </c>
      <c r="D712" s="4" t="n">
        <v>4</v>
      </c>
      <c r="E712" s="4" t="s">
        <v>727</v>
      </c>
      <c r="F712" s="4" t="n">
        <v>67</v>
      </c>
      <c r="G712" s="4" t="n">
        <v>1</v>
      </c>
      <c r="H712" s="4" t="n">
        <v>2</v>
      </c>
      <c r="I712" s="4" t="str">
        <v>○</v>
      </c>
      <c r="J712" s="4" t="n">
        <v>220</v>
      </c>
      <c r="K712" s="4"/>
      <c r="L712" s="4"/>
      <c r="M712" s="5" t="s">
        <v>15</v>
      </c>
    </row>
    <row r="713" customFormat="false" ht="15.75" hidden="false" customHeight="false" outlineLevel="0" collapsed="false">
      <c r="A713" s="3" t="n">
        <v>46229</v>
      </c>
      <c r="B713" s="4" t="s">
        <v>179</v>
      </c>
      <c r="C713" s="4" t="n">
        <v>9</v>
      </c>
      <c r="D713" s="4" t="n">
        <v>5</v>
      </c>
      <c r="E713" s="4" t="s">
        <v>728</v>
      </c>
      <c r="F713" s="4" t="n">
        <v>13</v>
      </c>
      <c r="G713" s="4" t="n">
        <v>9</v>
      </c>
      <c r="H713" s="4" t="n">
        <v>4</v>
      </c>
      <c r="I713" s="4" t="str">
        <v>×</v>
      </c>
      <c r="J713" s="4"/>
      <c r="K713" s="4"/>
      <c r="L713" s="4"/>
      <c r="M713" s="5" t="s">
        <v>15</v>
      </c>
    </row>
    <row r="714" customFormat="false" ht="15.75" hidden="false" customHeight="false" outlineLevel="0" collapsed="false">
      <c r="A714" s="3" t="n">
        <v>46229</v>
      </c>
      <c r="B714" s="4" t="s">
        <v>179</v>
      </c>
      <c r="C714" s="4" t="n">
        <v>9</v>
      </c>
      <c r="D714" s="4" t="n">
        <v>6</v>
      </c>
      <c r="E714" s="4" t="s">
        <v>729</v>
      </c>
      <c r="F714" s="4" t="n">
        <v>52</v>
      </c>
      <c r="G714" s="4" t="n">
        <v>2</v>
      </c>
      <c r="H714" s="4" t="n">
        <v>4</v>
      </c>
      <c r="I714" s="4" t="str">
        <v>×</v>
      </c>
      <c r="J714" s="4"/>
      <c r="K714" s="4"/>
      <c r="L714" s="4"/>
      <c r="M714" s="5" t="s">
        <v>15</v>
      </c>
    </row>
    <row r="715" customFormat="false" ht="15.75" hidden="false" customHeight="false" outlineLevel="0" collapsed="false">
      <c r="A715" s="3" t="n">
        <v>46229</v>
      </c>
      <c r="B715" s="4" t="s">
        <v>179</v>
      </c>
      <c r="C715" s="4" t="n">
        <v>9</v>
      </c>
      <c r="D715" s="4" t="n">
        <v>7</v>
      </c>
      <c r="E715" s="4" t="s">
        <v>730</v>
      </c>
      <c r="F715" s="4" t="n">
        <v>4</v>
      </c>
      <c r="G715" s="4" t="n">
        <v>13</v>
      </c>
      <c r="H715" s="4" t="n">
        <v>4</v>
      </c>
      <c r="I715" s="4" t="str">
        <v>×</v>
      </c>
      <c r="J715" s="4"/>
      <c r="K715" s="4"/>
      <c r="L715" s="4"/>
      <c r="M715" s="5" t="s">
        <v>15</v>
      </c>
    </row>
    <row r="716" customFormat="false" ht="15.75" hidden="false" customHeight="false" outlineLevel="0" collapsed="false">
      <c r="A716" s="3" t="n">
        <v>46229</v>
      </c>
      <c r="B716" s="4" t="s">
        <v>179</v>
      </c>
      <c r="C716" s="4" t="n">
        <v>9</v>
      </c>
      <c r="D716" s="4" t="n">
        <v>8</v>
      </c>
      <c r="E716" s="4" t="s">
        <v>731</v>
      </c>
      <c r="F716" s="4" t="n">
        <v>41</v>
      </c>
      <c r="G716" s="4" t="n">
        <v>4</v>
      </c>
      <c r="H716" s="4" t="n">
        <v>3</v>
      </c>
      <c r="I716" s="4" t="str">
        <v>○</v>
      </c>
      <c r="J716" s="4" t="n">
        <v>180</v>
      </c>
      <c r="K716" s="4"/>
      <c r="L716" s="4"/>
      <c r="M716" s="5" t="s">
        <v>15</v>
      </c>
    </row>
    <row r="717" customFormat="false" ht="15.75" hidden="false" customHeight="false" outlineLevel="0" collapsed="false">
      <c r="A717" s="3" t="n">
        <v>46229</v>
      </c>
      <c r="B717" s="4" t="s">
        <v>179</v>
      </c>
      <c r="C717" s="4" t="n">
        <v>9</v>
      </c>
      <c r="D717" s="4" t="n">
        <v>9</v>
      </c>
      <c r="E717" s="4" t="s">
        <v>732</v>
      </c>
      <c r="F717" s="4" t="n">
        <v>15</v>
      </c>
      <c r="G717" s="4" t="n">
        <v>8</v>
      </c>
      <c r="H717" s="4" t="n">
        <v>4</v>
      </c>
      <c r="I717" s="4" t="str">
        <v>×</v>
      </c>
      <c r="J717" s="4"/>
      <c r="K717" s="4"/>
      <c r="L717" s="4"/>
      <c r="M717" s="5" t="s">
        <v>15</v>
      </c>
    </row>
    <row r="718" customFormat="false" ht="15.75" hidden="false" customHeight="false" outlineLevel="0" collapsed="false">
      <c r="A718" s="3" t="n">
        <v>46229</v>
      </c>
      <c r="B718" s="4" t="s">
        <v>179</v>
      </c>
      <c r="C718" s="4" t="n">
        <v>9</v>
      </c>
      <c r="D718" s="4" t="n">
        <v>10</v>
      </c>
      <c r="E718" s="4" t="s">
        <v>733</v>
      </c>
      <c r="F718" s="4" t="n">
        <v>31</v>
      </c>
      <c r="G718" s="4" t="n">
        <v>6</v>
      </c>
      <c r="H718" s="4" t="n">
        <v>4</v>
      </c>
      <c r="I718" s="4" t="str">
        <v>×</v>
      </c>
      <c r="J718" s="4"/>
      <c r="K718" s="4"/>
      <c r="L718" s="4"/>
      <c r="M718" s="5" t="s">
        <v>15</v>
      </c>
    </row>
    <row r="719" customFormat="false" ht="15.75" hidden="false" customHeight="false" outlineLevel="0" collapsed="false">
      <c r="A719" s="3" t="n">
        <v>46229</v>
      </c>
      <c r="B719" s="4" t="s">
        <v>179</v>
      </c>
      <c r="C719" s="4" t="n">
        <v>9</v>
      </c>
      <c r="D719" s="4" t="n">
        <v>11</v>
      </c>
      <c r="E719" s="4" t="s">
        <v>734</v>
      </c>
      <c r="F719" s="4" t="n">
        <v>25</v>
      </c>
      <c r="G719" s="4" t="n">
        <v>7</v>
      </c>
      <c r="H719" s="4" t="n">
        <v>4</v>
      </c>
      <c r="I719" s="4" t="str">
        <v>×</v>
      </c>
      <c r="J719" s="4"/>
      <c r="K719" s="4"/>
      <c r="L719" s="4"/>
      <c r="M719" s="5" t="s">
        <v>15</v>
      </c>
    </row>
    <row r="720" customFormat="false" ht="15.75" hidden="false" customHeight="false" outlineLevel="0" collapsed="false">
      <c r="A720" s="3" t="n">
        <v>46229</v>
      </c>
      <c r="B720" s="4" t="s">
        <v>179</v>
      </c>
      <c r="C720" s="4" t="n">
        <v>9</v>
      </c>
      <c r="D720" s="4" t="n">
        <v>12</v>
      </c>
      <c r="E720" s="4" t="s">
        <v>735</v>
      </c>
      <c r="F720" s="4" t="n">
        <v>8</v>
      </c>
      <c r="G720" s="4" t="n">
        <v>11</v>
      </c>
      <c r="H720" s="4" t="n">
        <v>4</v>
      </c>
      <c r="I720" s="4" t="str">
        <v>×</v>
      </c>
      <c r="J720" s="4"/>
      <c r="K720" s="4"/>
      <c r="L720" s="4"/>
      <c r="M720" s="5" t="s">
        <v>15</v>
      </c>
    </row>
    <row r="721" customFormat="false" ht="15.75" hidden="false" customHeight="false" outlineLevel="0" collapsed="false">
      <c r="A721" s="3" t="n">
        <v>46229</v>
      </c>
      <c r="B721" s="4" t="s">
        <v>179</v>
      </c>
      <c r="C721" s="4" t="n">
        <v>9</v>
      </c>
      <c r="D721" s="4" t="n">
        <v>13</v>
      </c>
      <c r="E721" s="4" t="s">
        <v>736</v>
      </c>
      <c r="F721" s="4" t="n">
        <v>10</v>
      </c>
      <c r="G721" s="4" t="n">
        <v>10</v>
      </c>
      <c r="H721" s="4" t="n">
        <v>4</v>
      </c>
      <c r="I721" s="4" t="str">
        <v>×</v>
      </c>
      <c r="J721" s="4"/>
      <c r="K721" s="4"/>
      <c r="L721" s="4"/>
      <c r="M721" s="5" t="s">
        <v>15</v>
      </c>
    </row>
    <row r="722" customFormat="false" ht="15.75" hidden="false" customHeight="false" outlineLevel="0" collapsed="false">
      <c r="A722" s="3" t="n">
        <v>46229</v>
      </c>
      <c r="B722" s="4" t="s">
        <v>179</v>
      </c>
      <c r="C722" s="4" t="n">
        <v>9</v>
      </c>
      <c r="D722" s="4" t="n">
        <v>14</v>
      </c>
      <c r="E722" s="4" t="s">
        <v>737</v>
      </c>
      <c r="F722" s="4" t="n">
        <v>6</v>
      </c>
      <c r="G722" s="4" t="n">
        <v>12</v>
      </c>
      <c r="H722" s="4" t="n">
        <v>4</v>
      </c>
      <c r="I722" s="4" t="str">
        <v>×</v>
      </c>
      <c r="J722" s="4"/>
      <c r="K722" s="4"/>
      <c r="L722" s="4"/>
      <c r="M722" s="5" t="s">
        <v>15</v>
      </c>
    </row>
    <row r="723" customFormat="false" ht="15.75" hidden="false" customHeight="false" outlineLevel="0" collapsed="false">
      <c r="A723" s="3" t="n">
        <v>46229</v>
      </c>
      <c r="B723" s="4" t="s">
        <v>179</v>
      </c>
      <c r="C723" s="4" t="n">
        <v>10</v>
      </c>
      <c r="D723" s="4" t="n">
        <v>1</v>
      </c>
      <c r="E723" s="4" t="s">
        <v>738</v>
      </c>
      <c r="F723" s="4" t="n">
        <v>6</v>
      </c>
      <c r="G723" s="4" t="n">
        <v>13</v>
      </c>
      <c r="H723" s="4" t="n">
        <v>4</v>
      </c>
      <c r="I723" s="4" t="str">
        <v>×</v>
      </c>
      <c r="J723" s="4"/>
      <c r="K723" s="4"/>
      <c r="L723" s="4"/>
      <c r="M723" s="5" t="s">
        <v>15</v>
      </c>
    </row>
    <row r="724" customFormat="false" ht="15.75" hidden="false" customHeight="false" outlineLevel="0" collapsed="false">
      <c r="A724" s="3" t="n">
        <v>46229</v>
      </c>
      <c r="B724" s="4" t="s">
        <v>179</v>
      </c>
      <c r="C724" s="4" t="n">
        <v>10</v>
      </c>
      <c r="D724" s="4" t="n">
        <v>2</v>
      </c>
      <c r="E724" s="4" t="s">
        <v>739</v>
      </c>
      <c r="F724" s="4" t="n">
        <v>71</v>
      </c>
      <c r="G724" s="4" t="n">
        <v>1</v>
      </c>
      <c r="H724" s="4" t="n">
        <v>3</v>
      </c>
      <c r="I724" s="4" t="str">
        <v>○</v>
      </c>
      <c r="J724" s="4" t="n">
        <v>180</v>
      </c>
      <c r="K724" s="4"/>
      <c r="L724" s="4"/>
      <c r="M724" s="5" t="s">
        <v>15</v>
      </c>
    </row>
    <row r="725" customFormat="false" ht="15.75" hidden="false" customHeight="false" outlineLevel="0" collapsed="false">
      <c r="A725" s="3" t="n">
        <v>46229</v>
      </c>
      <c r="B725" s="4" t="s">
        <v>179</v>
      </c>
      <c r="C725" s="4" t="n">
        <v>10</v>
      </c>
      <c r="D725" s="4" t="n">
        <v>3</v>
      </c>
      <c r="E725" s="4" t="s">
        <v>740</v>
      </c>
      <c r="F725" s="4" t="n">
        <v>17</v>
      </c>
      <c r="G725" s="4" t="n">
        <v>8</v>
      </c>
      <c r="H725" s="4" t="n">
        <v>4</v>
      </c>
      <c r="I725" s="4" t="str">
        <v>×</v>
      </c>
      <c r="J725" s="4"/>
      <c r="K725" s="4"/>
      <c r="L725" s="4"/>
      <c r="M725" s="5" t="s">
        <v>15</v>
      </c>
    </row>
    <row r="726" customFormat="false" ht="15.75" hidden="false" customHeight="false" outlineLevel="0" collapsed="false">
      <c r="A726" s="3" t="n">
        <v>46229</v>
      </c>
      <c r="B726" s="4" t="s">
        <v>179</v>
      </c>
      <c r="C726" s="4" t="n">
        <v>10</v>
      </c>
      <c r="D726" s="4" t="n">
        <v>4</v>
      </c>
      <c r="E726" s="4" t="s">
        <v>741</v>
      </c>
      <c r="F726" s="4" t="n">
        <v>6</v>
      </c>
      <c r="G726" s="4" t="n">
        <v>13</v>
      </c>
      <c r="H726" s="4" t="n">
        <v>4</v>
      </c>
      <c r="I726" s="4" t="str">
        <v>×</v>
      </c>
      <c r="J726" s="4"/>
      <c r="K726" s="4"/>
      <c r="L726" s="4"/>
      <c r="M726" s="5" t="s">
        <v>15</v>
      </c>
    </row>
    <row r="727" customFormat="false" ht="15.75" hidden="false" customHeight="false" outlineLevel="0" collapsed="false">
      <c r="A727" s="3" t="n">
        <v>46229</v>
      </c>
      <c r="B727" s="4" t="s">
        <v>179</v>
      </c>
      <c r="C727" s="4" t="n">
        <v>10</v>
      </c>
      <c r="D727" s="4" t="n">
        <v>5</v>
      </c>
      <c r="E727" s="4" t="s">
        <v>742</v>
      </c>
      <c r="F727" s="4" t="n">
        <v>15</v>
      </c>
      <c r="G727" s="4" t="n">
        <v>10</v>
      </c>
      <c r="H727" s="4" t="n">
        <v>4</v>
      </c>
      <c r="I727" s="4" t="str">
        <v>×</v>
      </c>
      <c r="J727" s="4"/>
      <c r="K727" s="4"/>
      <c r="L727" s="4"/>
      <c r="M727" s="5" t="s">
        <v>15</v>
      </c>
    </row>
    <row r="728" customFormat="false" ht="15.75" hidden="false" customHeight="false" outlineLevel="0" collapsed="false">
      <c r="A728" s="3" t="n">
        <v>46229</v>
      </c>
      <c r="B728" s="4" t="s">
        <v>179</v>
      </c>
      <c r="C728" s="4" t="n">
        <v>10</v>
      </c>
      <c r="D728" s="4" t="n">
        <v>6</v>
      </c>
      <c r="E728" s="4" t="s">
        <v>743</v>
      </c>
      <c r="F728" s="4" t="n">
        <v>34</v>
      </c>
      <c r="G728" s="4" t="n">
        <v>4</v>
      </c>
      <c r="H728" s="4" t="n">
        <v>2</v>
      </c>
      <c r="I728" s="4" t="str">
        <v>○</v>
      </c>
      <c r="J728" s="4" t="n">
        <v>260</v>
      </c>
      <c r="K728" s="4"/>
      <c r="L728" s="4"/>
      <c r="M728" s="5" t="s">
        <v>15</v>
      </c>
    </row>
    <row r="729" customFormat="false" ht="15.75" hidden="false" customHeight="false" outlineLevel="0" collapsed="false">
      <c r="A729" s="3" t="n">
        <v>46229</v>
      </c>
      <c r="B729" s="4" t="s">
        <v>179</v>
      </c>
      <c r="C729" s="4" t="n">
        <v>10</v>
      </c>
      <c r="D729" s="4" t="n">
        <v>7</v>
      </c>
      <c r="E729" s="4" t="s">
        <v>744</v>
      </c>
      <c r="F729" s="4" t="n">
        <v>8</v>
      </c>
      <c r="G729" s="4" t="n">
        <v>12</v>
      </c>
      <c r="H729" s="4" t="n">
        <v>4</v>
      </c>
      <c r="I729" s="4" t="str">
        <v>×</v>
      </c>
      <c r="J729" s="4"/>
      <c r="K729" s="4"/>
      <c r="L729" s="4"/>
      <c r="M729" s="5" t="s">
        <v>15</v>
      </c>
    </row>
    <row r="730" customFormat="false" ht="15.75" hidden="false" customHeight="false" outlineLevel="0" collapsed="false">
      <c r="A730" s="3" t="n">
        <v>46229</v>
      </c>
      <c r="B730" s="4" t="s">
        <v>179</v>
      </c>
      <c r="C730" s="4" t="n">
        <v>10</v>
      </c>
      <c r="D730" s="4" t="n">
        <v>8</v>
      </c>
      <c r="E730" s="4" t="s">
        <v>745</v>
      </c>
      <c r="F730" s="4" t="n">
        <v>4</v>
      </c>
      <c r="G730" s="4" t="n">
        <v>16</v>
      </c>
      <c r="H730" s="4" t="n">
        <v>4</v>
      </c>
      <c r="I730" s="4" t="str">
        <v>×</v>
      </c>
      <c r="J730" s="4"/>
      <c r="K730" s="4"/>
      <c r="L730" s="4"/>
      <c r="M730" s="5" t="s">
        <v>15</v>
      </c>
    </row>
    <row r="731" customFormat="false" ht="15.75" hidden="false" customHeight="false" outlineLevel="0" collapsed="false">
      <c r="A731" s="3" t="n">
        <v>46229</v>
      </c>
      <c r="B731" s="4" t="s">
        <v>179</v>
      </c>
      <c r="C731" s="4" t="n">
        <v>10</v>
      </c>
      <c r="D731" s="4" t="n">
        <v>9</v>
      </c>
      <c r="E731" s="4" t="s">
        <v>746</v>
      </c>
      <c r="F731" s="4" t="n">
        <v>6</v>
      </c>
      <c r="G731" s="4" t="n">
        <v>13</v>
      </c>
      <c r="H731" s="4" t="n">
        <v>4</v>
      </c>
      <c r="I731" s="4" t="str">
        <v>×</v>
      </c>
      <c r="J731" s="4"/>
      <c r="K731" s="4"/>
      <c r="L731" s="4"/>
      <c r="M731" s="5" t="s">
        <v>15</v>
      </c>
    </row>
    <row r="732" customFormat="false" ht="15.75" hidden="false" customHeight="false" outlineLevel="0" collapsed="false">
      <c r="A732" s="3" t="n">
        <v>46229</v>
      </c>
      <c r="B732" s="4" t="s">
        <v>179</v>
      </c>
      <c r="C732" s="4" t="n">
        <v>10</v>
      </c>
      <c r="D732" s="4" t="n">
        <v>10</v>
      </c>
      <c r="E732" s="4" t="s">
        <v>747</v>
      </c>
      <c r="F732" s="4" t="n">
        <v>56</v>
      </c>
      <c r="G732" s="4" t="n">
        <v>2</v>
      </c>
      <c r="H732" s="4" t="n">
        <v>1</v>
      </c>
      <c r="I732" s="4" t="str">
        <v>○</v>
      </c>
      <c r="J732" s="4" t="n">
        <v>120</v>
      </c>
      <c r="K732" s="4"/>
      <c r="L732" s="4"/>
      <c r="M732" s="5" t="s">
        <v>15</v>
      </c>
    </row>
    <row r="733" customFormat="false" ht="15.75" hidden="false" customHeight="false" outlineLevel="0" collapsed="false">
      <c r="A733" s="3" t="n">
        <v>46229</v>
      </c>
      <c r="B733" s="4" t="s">
        <v>179</v>
      </c>
      <c r="C733" s="4" t="n">
        <v>10</v>
      </c>
      <c r="D733" s="4" t="n">
        <v>11</v>
      </c>
      <c r="E733" s="4" t="s">
        <v>748</v>
      </c>
      <c r="F733" s="4" t="n">
        <v>17</v>
      </c>
      <c r="G733" s="4" t="n">
        <v>8</v>
      </c>
      <c r="H733" s="4" t="n">
        <v>4</v>
      </c>
      <c r="I733" s="4" t="str">
        <v>×</v>
      </c>
      <c r="J733" s="4"/>
      <c r="K733" s="4"/>
      <c r="L733" s="4"/>
      <c r="M733" s="5" t="s">
        <v>15</v>
      </c>
    </row>
    <row r="734" customFormat="false" ht="15.75" hidden="false" customHeight="false" outlineLevel="0" collapsed="false">
      <c r="A734" s="3" t="n">
        <v>46229</v>
      </c>
      <c r="B734" s="4" t="s">
        <v>179</v>
      </c>
      <c r="C734" s="4" t="n">
        <v>10</v>
      </c>
      <c r="D734" s="4" t="n">
        <v>12</v>
      </c>
      <c r="E734" s="4" t="s">
        <v>749</v>
      </c>
      <c r="F734" s="4" t="n">
        <v>29</v>
      </c>
      <c r="G734" s="4" t="n">
        <v>5</v>
      </c>
      <c r="H734" s="4" t="n">
        <v>4</v>
      </c>
      <c r="I734" s="4" t="str">
        <v>×</v>
      </c>
      <c r="J734" s="4"/>
      <c r="K734" s="4"/>
      <c r="L734" s="4"/>
      <c r="M734" s="5" t="s">
        <v>15</v>
      </c>
    </row>
    <row r="735" customFormat="false" ht="15.75" hidden="false" customHeight="false" outlineLevel="0" collapsed="false">
      <c r="A735" s="3" t="n">
        <v>46229</v>
      </c>
      <c r="B735" s="4" t="s">
        <v>179</v>
      </c>
      <c r="C735" s="4" t="n">
        <v>10</v>
      </c>
      <c r="D735" s="4" t="n">
        <v>13</v>
      </c>
      <c r="E735" s="4" t="s">
        <v>750</v>
      </c>
      <c r="F735" s="4" t="n">
        <v>10</v>
      </c>
      <c r="G735" s="4" t="n">
        <v>11</v>
      </c>
      <c r="H735" s="4" t="n">
        <v>4</v>
      </c>
      <c r="I735" s="4" t="str">
        <v>×</v>
      </c>
      <c r="J735" s="4"/>
      <c r="K735" s="4"/>
      <c r="L735" s="4"/>
      <c r="M735" s="5" t="s">
        <v>15</v>
      </c>
    </row>
    <row r="736" customFormat="false" ht="15.75" hidden="false" customHeight="false" outlineLevel="0" collapsed="false">
      <c r="A736" s="3" t="n">
        <v>46229</v>
      </c>
      <c r="B736" s="4" t="s">
        <v>179</v>
      </c>
      <c r="C736" s="4" t="n">
        <v>10</v>
      </c>
      <c r="D736" s="4" t="n">
        <v>14</v>
      </c>
      <c r="E736" s="4" t="s">
        <v>751</v>
      </c>
      <c r="F736" s="4" t="n">
        <v>23</v>
      </c>
      <c r="G736" s="4" t="n">
        <v>7</v>
      </c>
      <c r="H736" s="4" t="n">
        <v>4</v>
      </c>
      <c r="I736" s="4" t="str">
        <v>×</v>
      </c>
      <c r="J736" s="4"/>
      <c r="K736" s="4"/>
      <c r="L736" s="4"/>
      <c r="M736" s="5" t="s">
        <v>15</v>
      </c>
    </row>
    <row r="737" customFormat="false" ht="15.75" hidden="false" customHeight="false" outlineLevel="0" collapsed="false">
      <c r="A737" s="3" t="n">
        <v>46229</v>
      </c>
      <c r="B737" s="4" t="s">
        <v>179</v>
      </c>
      <c r="C737" s="4" t="n">
        <v>10</v>
      </c>
      <c r="D737" s="4" t="n">
        <v>15</v>
      </c>
      <c r="E737" s="4" t="s">
        <v>752</v>
      </c>
      <c r="F737" s="4" t="n">
        <v>25</v>
      </c>
      <c r="G737" s="4" t="n">
        <v>6</v>
      </c>
      <c r="H737" s="4" t="n">
        <v>4</v>
      </c>
      <c r="I737" s="4" t="str">
        <v>×</v>
      </c>
      <c r="J737" s="4"/>
      <c r="K737" s="4"/>
      <c r="L737" s="4"/>
      <c r="M737" s="5" t="s">
        <v>15</v>
      </c>
    </row>
    <row r="738" customFormat="false" ht="15.75" hidden="false" customHeight="false" outlineLevel="0" collapsed="false">
      <c r="A738" s="3" t="n">
        <v>46229</v>
      </c>
      <c r="B738" s="4" t="s">
        <v>179</v>
      </c>
      <c r="C738" s="4" t="n">
        <v>10</v>
      </c>
      <c r="D738" s="4" t="n">
        <v>16</v>
      </c>
      <c r="E738" s="4" t="s">
        <v>753</v>
      </c>
      <c r="F738" s="4" t="n">
        <v>39</v>
      </c>
      <c r="G738" s="4" t="n">
        <v>3</v>
      </c>
      <c r="H738" s="4" t="n">
        <v>4</v>
      </c>
      <c r="I738" s="4" t="str">
        <v>×</v>
      </c>
      <c r="J738" s="4"/>
      <c r="K738" s="4"/>
      <c r="L738" s="4"/>
      <c r="M738" s="5" t="s">
        <v>15</v>
      </c>
    </row>
    <row r="739" customFormat="false" ht="15.75" hidden="false" customHeight="false" outlineLevel="0" collapsed="false">
      <c r="A739" s="3" t="n">
        <v>46229</v>
      </c>
      <c r="B739" s="4" t="s">
        <v>179</v>
      </c>
      <c r="C739" s="4" t="n">
        <v>11</v>
      </c>
      <c r="D739" s="4" t="n">
        <v>1</v>
      </c>
      <c r="E739" s="4" t="s">
        <v>754</v>
      </c>
      <c r="F739" s="4" t="n">
        <v>34</v>
      </c>
      <c r="G739" s="4" t="n">
        <v>4</v>
      </c>
      <c r="H739" s="4" t="n">
        <v>4</v>
      </c>
      <c r="I739" s="4" t="str">
        <v>×</v>
      </c>
      <c r="J739" s="4"/>
      <c r="K739" s="4"/>
      <c r="L739" s="4"/>
      <c r="M739" s="5" t="s">
        <v>15</v>
      </c>
    </row>
    <row r="740" customFormat="false" ht="15.75" hidden="false" customHeight="false" outlineLevel="0" collapsed="false">
      <c r="A740" s="3" t="n">
        <v>46229</v>
      </c>
      <c r="B740" s="4" t="s">
        <v>179</v>
      </c>
      <c r="C740" s="4" t="n">
        <v>11</v>
      </c>
      <c r="D740" s="4" t="n">
        <v>2</v>
      </c>
      <c r="E740" s="4" t="s">
        <v>755</v>
      </c>
      <c r="F740" s="4" t="n">
        <v>60</v>
      </c>
      <c r="G740" s="4" t="n">
        <v>1</v>
      </c>
      <c r="H740" s="4" t="n">
        <v>4</v>
      </c>
      <c r="I740" s="4" t="str">
        <v>×</v>
      </c>
      <c r="J740" s="4"/>
      <c r="K740" s="4"/>
      <c r="L740" s="4"/>
      <c r="M740" s="5" t="s">
        <v>15</v>
      </c>
    </row>
    <row r="741" customFormat="false" ht="15.75" hidden="false" customHeight="false" outlineLevel="0" collapsed="false">
      <c r="A741" s="3" t="n">
        <v>46229</v>
      </c>
      <c r="B741" s="4" t="s">
        <v>179</v>
      </c>
      <c r="C741" s="4" t="n">
        <v>11</v>
      </c>
      <c r="D741" s="4" t="n">
        <v>3</v>
      </c>
      <c r="E741" s="4" t="s">
        <v>756</v>
      </c>
      <c r="F741" s="4" t="n">
        <v>23</v>
      </c>
      <c r="G741" s="4" t="n">
        <v>7</v>
      </c>
      <c r="H741" s="4" t="n">
        <v>4</v>
      </c>
      <c r="I741" s="4" t="str">
        <v>×</v>
      </c>
      <c r="J741" s="4"/>
      <c r="K741" s="4"/>
      <c r="L741" s="4"/>
      <c r="M741" s="5" t="s">
        <v>15</v>
      </c>
    </row>
    <row r="742" customFormat="false" ht="15.75" hidden="false" customHeight="false" outlineLevel="0" collapsed="false">
      <c r="A742" s="3" t="n">
        <v>46229</v>
      </c>
      <c r="B742" s="4" t="s">
        <v>179</v>
      </c>
      <c r="C742" s="4" t="n">
        <v>11</v>
      </c>
      <c r="D742" s="4" t="n">
        <v>4</v>
      </c>
      <c r="E742" s="4" t="s">
        <v>757</v>
      </c>
      <c r="F742" s="4" t="n">
        <v>23</v>
      </c>
      <c r="G742" s="4" t="n">
        <v>7</v>
      </c>
      <c r="H742" s="4" t="n">
        <v>4</v>
      </c>
      <c r="I742" s="4" t="str">
        <v>×</v>
      </c>
      <c r="J742" s="4"/>
      <c r="K742" s="4"/>
      <c r="L742" s="4"/>
      <c r="M742" s="5" t="s">
        <v>15</v>
      </c>
    </row>
    <row r="743" customFormat="false" ht="15.75" hidden="false" customHeight="false" outlineLevel="0" collapsed="false">
      <c r="A743" s="3" t="n">
        <v>46229</v>
      </c>
      <c r="B743" s="4" t="s">
        <v>179</v>
      </c>
      <c r="C743" s="4" t="n">
        <v>11</v>
      </c>
      <c r="D743" s="4" t="n">
        <v>5</v>
      </c>
      <c r="E743" s="4" t="s">
        <v>758</v>
      </c>
      <c r="F743" s="4" t="n">
        <v>8</v>
      </c>
      <c r="G743" s="4" t="n">
        <v>13</v>
      </c>
      <c r="H743" s="4" t="n">
        <v>4</v>
      </c>
      <c r="I743" s="4" t="str">
        <v>×</v>
      </c>
      <c r="J743" s="4"/>
      <c r="K743" s="4"/>
      <c r="L743" s="4"/>
      <c r="M743" s="5" t="s">
        <v>15</v>
      </c>
    </row>
    <row r="744" customFormat="false" ht="15.75" hidden="false" customHeight="false" outlineLevel="0" collapsed="false">
      <c r="A744" s="3" t="n">
        <v>46229</v>
      </c>
      <c r="B744" s="4" t="s">
        <v>179</v>
      </c>
      <c r="C744" s="4" t="n">
        <v>11</v>
      </c>
      <c r="D744" s="4" t="n">
        <v>6</v>
      </c>
      <c r="E744" s="4" t="s">
        <v>759</v>
      </c>
      <c r="F744" s="4" t="n">
        <v>20</v>
      </c>
      <c r="G744" s="4" t="n">
        <v>9</v>
      </c>
      <c r="H744" s="4" t="n">
        <v>4</v>
      </c>
      <c r="I744" s="4" t="str">
        <v>×</v>
      </c>
      <c r="J744" s="4"/>
      <c r="K744" s="4"/>
      <c r="L744" s="4"/>
      <c r="M744" s="5" t="s">
        <v>15</v>
      </c>
    </row>
    <row r="745" customFormat="false" ht="15.75" hidden="false" customHeight="false" outlineLevel="0" collapsed="false">
      <c r="A745" s="3" t="n">
        <v>46229</v>
      </c>
      <c r="B745" s="4" t="s">
        <v>179</v>
      </c>
      <c r="C745" s="4" t="n">
        <v>11</v>
      </c>
      <c r="D745" s="4" t="n">
        <v>7</v>
      </c>
      <c r="E745" s="4" t="s">
        <v>760</v>
      </c>
      <c r="F745" s="4" t="n">
        <v>10</v>
      </c>
      <c r="G745" s="4" t="n">
        <v>12</v>
      </c>
      <c r="H745" s="4" t="n">
        <v>4</v>
      </c>
      <c r="I745" s="4" t="str">
        <v>×</v>
      </c>
      <c r="J745" s="4"/>
      <c r="K745" s="4"/>
      <c r="L745" s="4"/>
      <c r="M745" s="5" t="s">
        <v>15</v>
      </c>
    </row>
    <row r="746" customFormat="false" ht="15.75" hidden="false" customHeight="false" outlineLevel="0" collapsed="false">
      <c r="A746" s="3" t="n">
        <v>46229</v>
      </c>
      <c r="B746" s="4" t="s">
        <v>179</v>
      </c>
      <c r="C746" s="4" t="n">
        <v>11</v>
      </c>
      <c r="D746" s="4" t="n">
        <v>8</v>
      </c>
      <c r="E746" s="4" t="s">
        <v>761</v>
      </c>
      <c r="F746" s="4" t="n">
        <v>31</v>
      </c>
      <c r="G746" s="4" t="n">
        <v>5</v>
      </c>
      <c r="H746" s="4" t="n">
        <v>4</v>
      </c>
      <c r="I746" s="4" t="str">
        <v>×</v>
      </c>
      <c r="J746" s="4"/>
      <c r="K746" s="4"/>
      <c r="L746" s="4"/>
      <c r="M746" s="5" t="s">
        <v>15</v>
      </c>
    </row>
    <row r="747" customFormat="false" ht="15.75" hidden="false" customHeight="false" outlineLevel="0" collapsed="false">
      <c r="A747" s="3" t="n">
        <v>46229</v>
      </c>
      <c r="B747" s="4" t="s">
        <v>179</v>
      </c>
      <c r="C747" s="4" t="n">
        <v>11</v>
      </c>
      <c r="D747" s="4" t="n">
        <v>9</v>
      </c>
      <c r="E747" s="4" t="s">
        <v>762</v>
      </c>
      <c r="F747" s="4" t="n">
        <v>25</v>
      </c>
      <c r="G747" s="4" t="n">
        <v>6</v>
      </c>
      <c r="H747" s="4" t="n">
        <v>1</v>
      </c>
      <c r="I747" s="4" t="str">
        <v>○</v>
      </c>
      <c r="J747" s="4" t="n">
        <v>200</v>
      </c>
      <c r="K747" s="4"/>
      <c r="L747" s="4"/>
      <c r="M747" s="5" t="s">
        <v>15</v>
      </c>
    </row>
    <row r="748" customFormat="false" ht="15.75" hidden="false" customHeight="false" outlineLevel="0" collapsed="false">
      <c r="A748" s="3" t="n">
        <v>46229</v>
      </c>
      <c r="B748" s="4" t="s">
        <v>179</v>
      </c>
      <c r="C748" s="4" t="n">
        <v>11</v>
      </c>
      <c r="D748" s="4" t="n">
        <v>10</v>
      </c>
      <c r="E748" s="4" t="s">
        <v>763</v>
      </c>
      <c r="F748" s="4" t="n">
        <v>8</v>
      </c>
      <c r="G748" s="4" t="n">
        <v>13</v>
      </c>
      <c r="H748" s="4" t="n">
        <v>4</v>
      </c>
      <c r="I748" s="4" t="str">
        <v>×</v>
      </c>
      <c r="J748" s="4"/>
      <c r="K748" s="4"/>
      <c r="L748" s="4"/>
      <c r="M748" s="5" t="s">
        <v>15</v>
      </c>
    </row>
    <row r="749" customFormat="false" ht="15.75" hidden="false" customHeight="false" outlineLevel="0" collapsed="false">
      <c r="A749" s="3" t="n">
        <v>46229</v>
      </c>
      <c r="B749" s="4" t="s">
        <v>179</v>
      </c>
      <c r="C749" s="4" t="n">
        <v>11</v>
      </c>
      <c r="D749" s="4" t="n">
        <v>11</v>
      </c>
      <c r="E749" s="4" t="s">
        <v>764</v>
      </c>
      <c r="F749" s="4" t="n">
        <v>52</v>
      </c>
      <c r="G749" s="4" t="n">
        <v>2</v>
      </c>
      <c r="H749" s="4" t="n">
        <v>3</v>
      </c>
      <c r="I749" s="4" t="str">
        <v>○</v>
      </c>
      <c r="J749" s="4" t="n">
        <v>160</v>
      </c>
      <c r="K749" s="4"/>
      <c r="L749" s="4"/>
      <c r="M749" s="5" t="s">
        <v>15</v>
      </c>
    </row>
    <row r="750" customFormat="false" ht="15.75" hidden="false" customHeight="false" outlineLevel="0" collapsed="false">
      <c r="A750" s="3" t="n">
        <v>46229</v>
      </c>
      <c r="B750" s="4" t="s">
        <v>179</v>
      </c>
      <c r="C750" s="4" t="n">
        <v>11</v>
      </c>
      <c r="D750" s="4" t="n">
        <v>12</v>
      </c>
      <c r="E750" s="4" t="s">
        <v>765</v>
      </c>
      <c r="F750" s="4" t="n">
        <v>20</v>
      </c>
      <c r="G750" s="4" t="n">
        <v>9</v>
      </c>
      <c r="H750" s="4" t="n">
        <v>4</v>
      </c>
      <c r="I750" s="4" t="str">
        <v>×</v>
      </c>
      <c r="J750" s="4"/>
      <c r="K750" s="4"/>
      <c r="L750" s="4"/>
      <c r="M750" s="5" t="s">
        <v>15</v>
      </c>
    </row>
    <row r="751" customFormat="false" ht="15.75" hidden="false" customHeight="false" outlineLevel="0" collapsed="false">
      <c r="A751" s="3" t="n">
        <v>46229</v>
      </c>
      <c r="B751" s="4" t="s">
        <v>179</v>
      </c>
      <c r="C751" s="4" t="n">
        <v>11</v>
      </c>
      <c r="D751" s="4" t="n">
        <v>13</v>
      </c>
      <c r="E751" s="4" t="s">
        <v>766</v>
      </c>
      <c r="F751" s="4" t="n">
        <v>41</v>
      </c>
      <c r="G751" s="4" t="n">
        <v>3</v>
      </c>
      <c r="H751" s="4" t="n">
        <v>2</v>
      </c>
      <c r="I751" s="4" t="str">
        <v>○</v>
      </c>
      <c r="J751" s="4" t="n">
        <v>180</v>
      </c>
      <c r="K751" s="4"/>
      <c r="L751" s="4"/>
      <c r="M751" s="5" t="s">
        <v>15</v>
      </c>
    </row>
    <row r="752" customFormat="false" ht="15.75" hidden="false" customHeight="false" outlineLevel="0" collapsed="false">
      <c r="A752" s="3" t="n">
        <v>46229</v>
      </c>
      <c r="B752" s="4" t="s">
        <v>179</v>
      </c>
      <c r="C752" s="4" t="n">
        <v>11</v>
      </c>
      <c r="D752" s="4" t="n">
        <v>14</v>
      </c>
      <c r="E752" s="4" t="s">
        <v>767</v>
      </c>
      <c r="F752" s="4" t="n">
        <v>8</v>
      </c>
      <c r="G752" s="4" t="n">
        <v>13</v>
      </c>
      <c r="H752" s="4" t="n">
        <v>4</v>
      </c>
      <c r="I752" s="4" t="str">
        <v>×</v>
      </c>
      <c r="J752" s="4"/>
      <c r="K752" s="4"/>
      <c r="L752" s="4"/>
      <c r="M752" s="5" t="s">
        <v>15</v>
      </c>
    </row>
    <row r="753" customFormat="false" ht="15.75" hidden="false" customHeight="false" outlineLevel="0" collapsed="false">
      <c r="A753" s="3" t="n">
        <v>46229</v>
      </c>
      <c r="B753" s="4" t="s">
        <v>179</v>
      </c>
      <c r="C753" s="4" t="n">
        <v>11</v>
      </c>
      <c r="D753" s="4" t="n">
        <v>15</v>
      </c>
      <c r="E753" s="4" t="s">
        <v>768</v>
      </c>
      <c r="F753" s="4" t="n">
        <v>6</v>
      </c>
      <c r="G753" s="4" t="n">
        <v>16</v>
      </c>
      <c r="H753" s="4" t="n">
        <v>4</v>
      </c>
      <c r="I753" s="4" t="str">
        <v>×</v>
      </c>
      <c r="J753" s="4"/>
      <c r="K753" s="4"/>
      <c r="L753" s="4"/>
      <c r="M753" s="5" t="s">
        <v>15</v>
      </c>
    </row>
    <row r="754" customFormat="false" ht="15.75" hidden="false" customHeight="false" outlineLevel="0" collapsed="false">
      <c r="A754" s="3" t="n">
        <v>46229</v>
      </c>
      <c r="B754" s="4" t="s">
        <v>179</v>
      </c>
      <c r="C754" s="4" t="n">
        <v>11</v>
      </c>
      <c r="D754" s="4" t="n">
        <v>16</v>
      </c>
      <c r="E754" s="4" t="s">
        <v>769</v>
      </c>
      <c r="F754" s="4" t="n">
        <v>13</v>
      </c>
      <c r="G754" s="4" t="n">
        <v>11</v>
      </c>
      <c r="H754" s="4" t="n">
        <v>4</v>
      </c>
      <c r="I754" s="4" t="str">
        <v>×</v>
      </c>
      <c r="J754" s="4"/>
      <c r="K754" s="4"/>
      <c r="L754" s="4"/>
      <c r="M754" s="5" t="s">
        <v>15</v>
      </c>
    </row>
    <row r="755" customFormat="false" ht="15.75" hidden="false" customHeight="false" outlineLevel="0" collapsed="false">
      <c r="A755" s="3" t="n">
        <v>46229</v>
      </c>
      <c r="B755" s="4" t="s">
        <v>179</v>
      </c>
      <c r="C755" s="4" t="n">
        <v>12</v>
      </c>
      <c r="D755" s="4" t="n">
        <v>1</v>
      </c>
      <c r="E755" s="4" t="s">
        <v>770</v>
      </c>
      <c r="F755" s="4" t="n">
        <v>23</v>
      </c>
      <c r="G755" s="4" t="n">
        <v>5</v>
      </c>
      <c r="H755" s="4" t="n">
        <v>4</v>
      </c>
      <c r="I755" s="4" t="str">
        <v>×</v>
      </c>
      <c r="J755" s="4"/>
      <c r="K755" s="4"/>
      <c r="L755" s="4"/>
      <c r="M755" s="5" t="s">
        <v>15</v>
      </c>
    </row>
    <row r="756" customFormat="false" ht="15.75" hidden="false" customHeight="false" outlineLevel="0" collapsed="false">
      <c r="A756" s="3" t="n">
        <v>46229</v>
      </c>
      <c r="B756" s="4" t="s">
        <v>179</v>
      </c>
      <c r="C756" s="4" t="n">
        <v>12</v>
      </c>
      <c r="D756" s="4" t="n">
        <v>2</v>
      </c>
      <c r="E756" s="4" t="s">
        <v>771</v>
      </c>
      <c r="F756" s="4" t="n">
        <v>25</v>
      </c>
      <c r="G756" s="4" t="n">
        <v>4</v>
      </c>
      <c r="H756" s="4" t="n">
        <v>1</v>
      </c>
      <c r="I756" s="4" t="str">
        <v>○</v>
      </c>
      <c r="J756" s="4" t="n">
        <v>240</v>
      </c>
      <c r="K756" s="4"/>
      <c r="L756" s="4"/>
      <c r="M756" s="5" t="s">
        <v>15</v>
      </c>
    </row>
    <row r="757" customFormat="false" ht="15.75" hidden="false" customHeight="false" outlineLevel="0" collapsed="false">
      <c r="A757" s="3" t="n">
        <v>46229</v>
      </c>
      <c r="B757" s="4" t="s">
        <v>179</v>
      </c>
      <c r="C757" s="4" t="n">
        <v>12</v>
      </c>
      <c r="D757" s="4" t="n">
        <v>3</v>
      </c>
      <c r="E757" s="4" t="s">
        <v>772</v>
      </c>
      <c r="F757" s="4" t="n">
        <v>62</v>
      </c>
      <c r="G757" s="4" t="n">
        <v>2</v>
      </c>
      <c r="H757" s="4" t="n">
        <v>4</v>
      </c>
      <c r="I757" s="4" t="str">
        <v>×</v>
      </c>
      <c r="J757" s="4"/>
      <c r="K757" s="4"/>
      <c r="L757" s="4"/>
      <c r="M757" s="5" t="s">
        <v>15</v>
      </c>
    </row>
    <row r="758" customFormat="false" ht="15.75" hidden="false" customHeight="false" outlineLevel="0" collapsed="false">
      <c r="A758" s="3" t="n">
        <v>46229</v>
      </c>
      <c r="B758" s="4" t="s">
        <v>179</v>
      </c>
      <c r="C758" s="4" t="n">
        <v>12</v>
      </c>
      <c r="D758" s="4" t="n">
        <v>4</v>
      </c>
      <c r="E758" s="4" t="s">
        <v>773</v>
      </c>
      <c r="F758" s="4" t="n">
        <v>10</v>
      </c>
      <c r="G758" s="4" t="n">
        <v>9</v>
      </c>
      <c r="H758" s="4" t="n">
        <v>4</v>
      </c>
      <c r="I758" s="4" t="str">
        <v>×</v>
      </c>
      <c r="J758" s="4"/>
      <c r="K758" s="4"/>
      <c r="L758" s="4"/>
      <c r="M758" s="5" t="s">
        <v>15</v>
      </c>
    </row>
    <row r="759" customFormat="false" ht="15.75" hidden="false" customHeight="false" outlineLevel="0" collapsed="false">
      <c r="A759" s="3" t="n">
        <v>46229</v>
      </c>
      <c r="B759" s="4" t="s">
        <v>179</v>
      </c>
      <c r="C759" s="4" t="n">
        <v>12</v>
      </c>
      <c r="D759" s="4" t="n">
        <v>5</v>
      </c>
      <c r="E759" s="4" t="s">
        <v>774</v>
      </c>
      <c r="F759" s="4" t="n">
        <v>13</v>
      </c>
      <c r="G759" s="4" t="n">
        <v>8</v>
      </c>
      <c r="H759" s="4" t="n">
        <v>2</v>
      </c>
      <c r="I759" s="4" t="str">
        <v>○</v>
      </c>
      <c r="J759" s="4" t="n">
        <v>340</v>
      </c>
      <c r="K759" s="4"/>
      <c r="L759" s="4"/>
      <c r="M759" s="5" t="s">
        <v>15</v>
      </c>
    </row>
    <row r="760" customFormat="false" ht="15.75" hidden="false" customHeight="false" outlineLevel="0" collapsed="false">
      <c r="A760" s="3" t="n">
        <v>46229</v>
      </c>
      <c r="B760" s="4" t="s">
        <v>179</v>
      </c>
      <c r="C760" s="4" t="n">
        <v>12</v>
      </c>
      <c r="D760" s="4" t="n">
        <v>6</v>
      </c>
      <c r="E760" s="4" t="s">
        <v>775</v>
      </c>
      <c r="F760" s="4" t="n">
        <v>29</v>
      </c>
      <c r="G760" s="4" t="n">
        <v>3</v>
      </c>
      <c r="H760" s="4" t="n">
        <v>4</v>
      </c>
      <c r="I760" s="4" t="str">
        <v>×</v>
      </c>
      <c r="J760" s="4"/>
      <c r="K760" s="4"/>
      <c r="L760" s="4"/>
      <c r="M760" s="5" t="s">
        <v>15</v>
      </c>
    </row>
    <row r="761" customFormat="false" ht="15.75" hidden="false" customHeight="false" outlineLevel="0" collapsed="false">
      <c r="A761" s="3" t="n">
        <v>46229</v>
      </c>
      <c r="B761" s="4" t="s">
        <v>179</v>
      </c>
      <c r="C761" s="4" t="n">
        <v>12</v>
      </c>
      <c r="D761" s="4" t="n">
        <v>7</v>
      </c>
      <c r="E761" s="4" t="s">
        <v>776</v>
      </c>
      <c r="F761" s="4" t="n">
        <v>81</v>
      </c>
      <c r="G761" s="4" t="n">
        <v>1</v>
      </c>
      <c r="H761" s="4" t="n">
        <v>3</v>
      </c>
      <c r="I761" s="4" t="str">
        <v>○</v>
      </c>
      <c r="J761" s="4" t="n">
        <v>110</v>
      </c>
      <c r="K761" s="4" t="n">
        <v>1.1</v>
      </c>
      <c r="L761" s="4" t="n">
        <v>1.1</v>
      </c>
      <c r="M761" s="5" t="s">
        <v>15</v>
      </c>
    </row>
    <row r="762" customFormat="false" ht="15.75" hidden="false" customHeight="false" outlineLevel="0" collapsed="false">
      <c r="A762" s="3" t="n">
        <v>46229</v>
      </c>
      <c r="B762" s="4" t="s">
        <v>179</v>
      </c>
      <c r="C762" s="4" t="n">
        <v>12</v>
      </c>
      <c r="D762" s="4" t="n">
        <v>8</v>
      </c>
      <c r="E762" s="4" t="s">
        <v>777</v>
      </c>
      <c r="F762" s="4" t="n">
        <v>1</v>
      </c>
      <c r="G762" s="4" t="n">
        <v>15</v>
      </c>
      <c r="H762" s="4" t="n">
        <v>4</v>
      </c>
      <c r="I762" s="4" t="str">
        <v>×</v>
      </c>
      <c r="J762" s="4"/>
      <c r="K762" s="4"/>
      <c r="L762" s="4"/>
      <c r="M762" s="5" t="s">
        <v>15</v>
      </c>
    </row>
    <row r="763" customFormat="false" ht="15.75" hidden="false" customHeight="false" outlineLevel="0" collapsed="false">
      <c r="A763" s="3" t="n">
        <v>46229</v>
      </c>
      <c r="B763" s="4" t="s">
        <v>179</v>
      </c>
      <c r="C763" s="4" t="n">
        <v>12</v>
      </c>
      <c r="D763" s="4" t="n">
        <v>9</v>
      </c>
      <c r="E763" s="4" t="s">
        <v>778</v>
      </c>
      <c r="F763" s="4" t="n">
        <v>4</v>
      </c>
      <c r="G763" s="4" t="n">
        <v>11</v>
      </c>
      <c r="H763" s="4" t="n">
        <v>4</v>
      </c>
      <c r="I763" s="4" t="str">
        <v>×</v>
      </c>
      <c r="J763" s="4"/>
      <c r="K763" s="4"/>
      <c r="L763" s="4"/>
      <c r="M763" s="5" t="s">
        <v>15</v>
      </c>
    </row>
    <row r="764" customFormat="false" ht="15.75" hidden="false" customHeight="false" outlineLevel="0" collapsed="false">
      <c r="A764" s="3" t="n">
        <v>46229</v>
      </c>
      <c r="B764" s="4" t="s">
        <v>179</v>
      </c>
      <c r="C764" s="4" t="n">
        <v>12</v>
      </c>
      <c r="D764" s="4" t="n">
        <v>10</v>
      </c>
      <c r="E764" s="4" t="s">
        <v>779</v>
      </c>
      <c r="F764" s="4" t="n">
        <v>15</v>
      </c>
      <c r="G764" s="4" t="n">
        <v>7</v>
      </c>
      <c r="H764" s="4" t="n">
        <v>4</v>
      </c>
      <c r="I764" s="4" t="str">
        <v>×</v>
      </c>
      <c r="J764" s="4"/>
      <c r="K764" s="4"/>
      <c r="L764" s="4"/>
      <c r="M764" s="5" t="s">
        <v>15</v>
      </c>
    </row>
    <row r="765" customFormat="false" ht="15.75" hidden="false" customHeight="false" outlineLevel="0" collapsed="false">
      <c r="A765" s="3" t="n">
        <v>46229</v>
      </c>
      <c r="B765" s="4" t="s">
        <v>179</v>
      </c>
      <c r="C765" s="4" t="n">
        <v>12</v>
      </c>
      <c r="D765" s="4" t="n">
        <v>11</v>
      </c>
      <c r="E765" s="4" t="s">
        <v>780</v>
      </c>
      <c r="F765" s="4" t="n">
        <v>2</v>
      </c>
      <c r="G765" s="4" t="n">
        <v>14</v>
      </c>
      <c r="H765" s="4" t="n">
        <v>4</v>
      </c>
      <c r="I765" s="4" t="str">
        <v>×</v>
      </c>
      <c r="J765" s="4"/>
      <c r="K765" s="4"/>
      <c r="L765" s="4"/>
      <c r="M765" s="5" t="s">
        <v>15</v>
      </c>
    </row>
    <row r="766" customFormat="false" ht="15.75" hidden="false" customHeight="false" outlineLevel="0" collapsed="false">
      <c r="A766" s="3" t="n">
        <v>46229</v>
      </c>
      <c r="B766" s="4" t="s">
        <v>179</v>
      </c>
      <c r="C766" s="4" t="n">
        <v>12</v>
      </c>
      <c r="D766" s="4" t="n">
        <v>12</v>
      </c>
      <c r="E766" s="4" t="s">
        <v>781</v>
      </c>
      <c r="F766" s="4" t="n">
        <v>10</v>
      </c>
      <c r="G766" s="4" t="n">
        <v>9</v>
      </c>
      <c r="H766" s="4" t="n">
        <v>4</v>
      </c>
      <c r="I766" s="4" t="str">
        <v>×</v>
      </c>
      <c r="J766" s="4"/>
      <c r="K766" s="4"/>
      <c r="L766" s="4"/>
      <c r="M766" s="5" t="s">
        <v>15</v>
      </c>
    </row>
    <row r="767" customFormat="false" ht="15.75" hidden="false" customHeight="false" outlineLevel="0" collapsed="false">
      <c r="A767" s="3" t="n">
        <v>46229</v>
      </c>
      <c r="B767" s="4" t="s">
        <v>179</v>
      </c>
      <c r="C767" s="4" t="n">
        <v>12</v>
      </c>
      <c r="D767" s="4" t="n">
        <v>13</v>
      </c>
      <c r="E767" s="4" t="s">
        <v>782</v>
      </c>
      <c r="F767" s="4" t="n">
        <v>4</v>
      </c>
      <c r="G767" s="4" t="n">
        <v>11</v>
      </c>
      <c r="H767" s="4" t="n">
        <v>4</v>
      </c>
      <c r="I767" s="4" t="str">
        <v>×</v>
      </c>
      <c r="J767" s="4"/>
      <c r="K767" s="4"/>
      <c r="L767" s="4"/>
      <c r="M767" s="5" t="s">
        <v>15</v>
      </c>
    </row>
    <row r="768" customFormat="false" ht="15.75" hidden="false" customHeight="false" outlineLevel="0" collapsed="false">
      <c r="A768" s="3" t="n">
        <v>46229</v>
      </c>
      <c r="B768" s="4" t="s">
        <v>179</v>
      </c>
      <c r="C768" s="4" t="n">
        <v>12</v>
      </c>
      <c r="D768" s="4" t="n">
        <v>14</v>
      </c>
      <c r="E768" s="4" t="s">
        <v>783</v>
      </c>
      <c r="F768" s="4" t="n">
        <v>4</v>
      </c>
      <c r="G768" s="4" t="n">
        <v>11</v>
      </c>
      <c r="H768" s="4" t="n">
        <v>4</v>
      </c>
      <c r="I768" s="4" t="str">
        <v>×</v>
      </c>
      <c r="J768" s="4"/>
      <c r="K768" s="4"/>
      <c r="L768" s="4"/>
      <c r="M768" s="5" t="s">
        <v>15</v>
      </c>
    </row>
    <row r="769" customFormat="false" ht="15.75" hidden="false" customHeight="false" outlineLevel="0" collapsed="false">
      <c r="A769" s="3" t="n">
        <v>46229</v>
      </c>
      <c r="B769" s="4" t="s">
        <v>179</v>
      </c>
      <c r="C769" s="4" t="n">
        <v>12</v>
      </c>
      <c r="D769" s="4" t="n">
        <v>15</v>
      </c>
      <c r="E769" s="4" t="s">
        <v>784</v>
      </c>
      <c r="F769" s="4" t="n">
        <v>17</v>
      </c>
      <c r="G769" s="4" t="n">
        <v>6</v>
      </c>
      <c r="H769" s="4" t="n">
        <v>4</v>
      </c>
      <c r="I769" s="4" t="str">
        <v>×</v>
      </c>
      <c r="J769" s="4"/>
      <c r="K769" s="4"/>
      <c r="L769" s="4"/>
      <c r="M769" s="5" t="s">
        <v>15</v>
      </c>
    </row>
    <row r="770" customFormat="false" ht="15.75" hidden="false" customHeight="false" outlineLevel="0" collapsed="false">
      <c r="A770" s="3" t="n">
        <v>46229</v>
      </c>
      <c r="B770" s="4" t="s">
        <v>334</v>
      </c>
      <c r="C770" s="4" t="n">
        <v>1</v>
      </c>
      <c r="D770" s="4" t="n">
        <v>1</v>
      </c>
      <c r="E770" s="4" t="s">
        <v>785</v>
      </c>
      <c r="F770" s="4" t="n">
        <v>13</v>
      </c>
      <c r="G770" s="4" t="n">
        <v>6</v>
      </c>
      <c r="H770" s="4" t="n">
        <v>3</v>
      </c>
      <c r="I770" s="4" t="str">
        <v>○</v>
      </c>
      <c r="J770" s="4" t="n">
        <v>350</v>
      </c>
      <c r="K770" s="4"/>
      <c r="L770" s="4"/>
      <c r="M770" s="5" t="s">
        <v>15</v>
      </c>
    </row>
    <row r="771" customFormat="false" ht="15.75" hidden="false" customHeight="false" outlineLevel="0" collapsed="false">
      <c r="A771" s="3" t="n">
        <v>46229</v>
      </c>
      <c r="B771" s="4" t="s">
        <v>334</v>
      </c>
      <c r="C771" s="4" t="n">
        <v>1</v>
      </c>
      <c r="D771" s="4" t="n">
        <v>2</v>
      </c>
      <c r="E771" s="4" t="s">
        <v>786</v>
      </c>
      <c r="F771" s="4" t="n">
        <v>10</v>
      </c>
      <c r="G771" s="4" t="n">
        <v>8</v>
      </c>
      <c r="H771" s="4" t="n">
        <v>2</v>
      </c>
      <c r="I771" s="4" t="str">
        <v>○</v>
      </c>
      <c r="J771" s="4" t="n">
        <v>820</v>
      </c>
      <c r="K771" s="4"/>
      <c r="L771" s="4"/>
      <c r="M771" s="5" t="s">
        <v>15</v>
      </c>
    </row>
    <row r="772" customFormat="false" ht="15.75" hidden="false" customHeight="false" outlineLevel="0" collapsed="false">
      <c r="A772" s="3" t="n">
        <v>46229</v>
      </c>
      <c r="B772" s="4" t="s">
        <v>334</v>
      </c>
      <c r="C772" s="4" t="n">
        <v>1</v>
      </c>
      <c r="D772" s="4" t="n">
        <v>3</v>
      </c>
      <c r="E772" s="4" t="s">
        <v>787</v>
      </c>
      <c r="F772" s="4" t="n">
        <v>41</v>
      </c>
      <c r="G772" s="4" t="n">
        <v>3</v>
      </c>
      <c r="H772" s="4" t="n">
        <v>4</v>
      </c>
      <c r="I772" s="4" t="str">
        <v>×</v>
      </c>
      <c r="J772" s="4"/>
      <c r="K772" s="4"/>
      <c r="L772" s="4"/>
      <c r="M772" s="5" t="s">
        <v>15</v>
      </c>
    </row>
    <row r="773" customFormat="false" ht="15.75" hidden="false" customHeight="false" outlineLevel="0" collapsed="false">
      <c r="A773" s="3" t="n">
        <v>46229</v>
      </c>
      <c r="B773" s="4" t="s">
        <v>334</v>
      </c>
      <c r="C773" s="4" t="n">
        <v>1</v>
      </c>
      <c r="D773" s="4" t="n">
        <v>4</v>
      </c>
      <c r="E773" s="4" t="s">
        <v>788</v>
      </c>
      <c r="F773" s="4" t="n">
        <v>6</v>
      </c>
      <c r="G773" s="4" t="n">
        <v>11</v>
      </c>
      <c r="H773" s="4" t="n">
        <v>4</v>
      </c>
      <c r="I773" s="4" t="str">
        <v>×</v>
      </c>
      <c r="J773" s="4"/>
      <c r="K773" s="4"/>
      <c r="L773" s="4"/>
      <c r="M773" s="5" t="s">
        <v>15</v>
      </c>
    </row>
    <row r="774" customFormat="false" ht="15.75" hidden="false" customHeight="false" outlineLevel="0" collapsed="false">
      <c r="A774" s="3" t="n">
        <v>46229</v>
      </c>
      <c r="B774" s="4" t="s">
        <v>334</v>
      </c>
      <c r="C774" s="4" t="n">
        <v>1</v>
      </c>
      <c r="D774" s="4" t="n">
        <v>5</v>
      </c>
      <c r="E774" s="4" t="s">
        <v>789</v>
      </c>
      <c r="F774" s="4" t="n">
        <v>10</v>
      </c>
      <c r="G774" s="4" t="n">
        <v>8</v>
      </c>
      <c r="H774" s="4" t="n">
        <v>4</v>
      </c>
      <c r="I774" s="4" t="str">
        <v>×</v>
      </c>
      <c r="J774" s="4"/>
      <c r="K774" s="4"/>
      <c r="L774" s="4"/>
      <c r="M774" s="5" t="s">
        <v>15</v>
      </c>
    </row>
    <row r="775" customFormat="false" ht="15.75" hidden="false" customHeight="false" outlineLevel="0" collapsed="false">
      <c r="A775" s="3" t="n">
        <v>46229</v>
      </c>
      <c r="B775" s="4" t="s">
        <v>334</v>
      </c>
      <c r="C775" s="4" t="n">
        <v>1</v>
      </c>
      <c r="D775" s="4" t="n">
        <v>6</v>
      </c>
      <c r="E775" s="4" t="s">
        <v>790</v>
      </c>
      <c r="F775" s="4" t="n">
        <v>56</v>
      </c>
      <c r="G775" s="4" t="n">
        <v>2</v>
      </c>
      <c r="H775" s="4" t="n">
        <v>4</v>
      </c>
      <c r="I775" s="4" t="str">
        <v>×</v>
      </c>
      <c r="J775" s="4"/>
      <c r="K775" s="4"/>
      <c r="L775" s="4"/>
      <c r="M775" s="5" t="s">
        <v>15</v>
      </c>
    </row>
    <row r="776" customFormat="false" ht="15.75" hidden="false" customHeight="false" outlineLevel="0" collapsed="false">
      <c r="A776" s="3" t="n">
        <v>46229</v>
      </c>
      <c r="B776" s="4" t="s">
        <v>334</v>
      </c>
      <c r="C776" s="4" t="n">
        <v>1</v>
      </c>
      <c r="D776" s="4" t="n">
        <v>7</v>
      </c>
      <c r="E776" s="4" t="s">
        <v>791</v>
      </c>
      <c r="F776" s="4" t="n">
        <v>31</v>
      </c>
      <c r="G776" s="4" t="n">
        <v>4</v>
      </c>
      <c r="H776" s="4" t="n">
        <v>4</v>
      </c>
      <c r="I776" s="4" t="str">
        <v>×</v>
      </c>
      <c r="J776" s="4"/>
      <c r="K776" s="4"/>
      <c r="L776" s="4"/>
      <c r="M776" s="5" t="s">
        <v>15</v>
      </c>
    </row>
    <row r="777" customFormat="false" ht="15.75" hidden="false" customHeight="false" outlineLevel="0" collapsed="false">
      <c r="A777" s="3" t="n">
        <v>46229</v>
      </c>
      <c r="B777" s="4" t="s">
        <v>334</v>
      </c>
      <c r="C777" s="4" t="n">
        <v>1</v>
      </c>
      <c r="D777" s="4" t="n">
        <v>8</v>
      </c>
      <c r="E777" s="4" t="s">
        <v>792</v>
      </c>
      <c r="F777" s="4" t="n">
        <v>8</v>
      </c>
      <c r="G777" s="4" t="n">
        <v>10</v>
      </c>
      <c r="H777" s="4" t="n">
        <v>4</v>
      </c>
      <c r="I777" s="4" t="str">
        <v>×</v>
      </c>
      <c r="J777" s="4"/>
      <c r="K777" s="4"/>
      <c r="L777" s="4"/>
      <c r="M777" s="5" t="s">
        <v>15</v>
      </c>
    </row>
    <row r="778" customFormat="false" ht="15.75" hidden="false" customHeight="false" outlineLevel="0" collapsed="false">
      <c r="A778" s="3" t="n">
        <v>46229</v>
      </c>
      <c r="B778" s="4" t="s">
        <v>334</v>
      </c>
      <c r="C778" s="4" t="n">
        <v>1</v>
      </c>
      <c r="D778" s="4" t="n">
        <v>9</v>
      </c>
      <c r="E778" s="4" t="s">
        <v>793</v>
      </c>
      <c r="F778" s="4" t="n">
        <v>13</v>
      </c>
      <c r="G778" s="4" t="n">
        <v>6</v>
      </c>
      <c r="H778" s="4" t="n">
        <v>4</v>
      </c>
      <c r="I778" s="4" t="str">
        <v>×</v>
      </c>
      <c r="J778" s="4"/>
      <c r="K778" s="4"/>
      <c r="L778" s="4"/>
      <c r="M778" s="5" t="s">
        <v>15</v>
      </c>
    </row>
    <row r="779" customFormat="false" ht="15.75" hidden="false" customHeight="false" outlineLevel="0" collapsed="false">
      <c r="A779" s="3" t="n">
        <v>46229</v>
      </c>
      <c r="B779" s="4" t="s">
        <v>334</v>
      </c>
      <c r="C779" s="4" t="n">
        <v>1</v>
      </c>
      <c r="D779" s="4" t="n">
        <v>10</v>
      </c>
      <c r="E779" s="4" t="s">
        <v>794</v>
      </c>
      <c r="F779" s="4" t="n">
        <v>81</v>
      </c>
      <c r="G779" s="4" t="n">
        <v>1</v>
      </c>
      <c r="H779" s="4" t="n">
        <v>1</v>
      </c>
      <c r="I779" s="4" t="str">
        <v>○</v>
      </c>
      <c r="J779" s="4" t="n">
        <v>110</v>
      </c>
      <c r="K779" s="4" t="n">
        <v>1.1</v>
      </c>
      <c r="L779" s="4" t="n">
        <v>1.1</v>
      </c>
      <c r="M779" s="5" t="s">
        <v>15</v>
      </c>
    </row>
    <row r="780" customFormat="false" ht="15.75" hidden="false" customHeight="false" outlineLevel="0" collapsed="false">
      <c r="A780" s="3" t="n">
        <v>46229</v>
      </c>
      <c r="B780" s="4" t="s">
        <v>334</v>
      </c>
      <c r="C780" s="4" t="n">
        <v>1</v>
      </c>
      <c r="D780" s="4" t="n">
        <v>11</v>
      </c>
      <c r="E780" s="4" t="s">
        <v>795</v>
      </c>
      <c r="F780" s="4" t="n">
        <v>15</v>
      </c>
      <c r="G780" s="4" t="n">
        <v>5</v>
      </c>
      <c r="H780" s="4" t="n">
        <v>4</v>
      </c>
      <c r="I780" s="4" t="str">
        <v>×</v>
      </c>
      <c r="J780" s="4"/>
      <c r="K780" s="4"/>
      <c r="L780" s="4"/>
      <c r="M780" s="5" t="s">
        <v>15</v>
      </c>
    </row>
    <row r="781" customFormat="false" ht="15.75" hidden="false" customHeight="false" outlineLevel="0" collapsed="false">
      <c r="A781" s="3" t="n">
        <v>46229</v>
      </c>
      <c r="B781" s="4" t="s">
        <v>334</v>
      </c>
      <c r="C781" s="4" t="n">
        <v>1</v>
      </c>
      <c r="D781" s="4" t="n">
        <v>12</v>
      </c>
      <c r="E781" s="4" t="s">
        <v>796</v>
      </c>
      <c r="F781" s="4" t="n">
        <v>6</v>
      </c>
      <c r="G781" s="4" t="n">
        <v>11</v>
      </c>
      <c r="H781" s="4" t="n">
        <v>4</v>
      </c>
      <c r="I781" s="4" t="str">
        <v>×</v>
      </c>
      <c r="J781" s="4"/>
      <c r="K781" s="4"/>
      <c r="L781" s="4"/>
      <c r="M781" s="5" t="s">
        <v>15</v>
      </c>
    </row>
    <row r="782" customFormat="false" ht="15.75" hidden="false" customHeight="false" outlineLevel="0" collapsed="false">
      <c r="A782" s="3" t="n">
        <v>46229</v>
      </c>
      <c r="B782" s="4" t="s">
        <v>334</v>
      </c>
      <c r="C782" s="4" t="n">
        <v>2</v>
      </c>
      <c r="D782" s="4" t="n">
        <v>1</v>
      </c>
      <c r="E782" s="4" t="s">
        <v>797</v>
      </c>
      <c r="F782" s="4" t="n">
        <v>15</v>
      </c>
      <c r="G782" s="4" t="n">
        <v>7</v>
      </c>
      <c r="H782" s="4" t="n">
        <v>4</v>
      </c>
      <c r="I782" s="4" t="str">
        <v>×</v>
      </c>
      <c r="J782" s="4"/>
      <c r="K782" s="4"/>
      <c r="L782" s="4"/>
      <c r="M782" s="5" t="s">
        <v>15</v>
      </c>
    </row>
    <row r="783" customFormat="false" ht="15.75" hidden="false" customHeight="false" outlineLevel="0" collapsed="false">
      <c r="A783" s="3" t="n">
        <v>46229</v>
      </c>
      <c r="B783" s="4" t="s">
        <v>334</v>
      </c>
      <c r="C783" s="4" t="n">
        <v>2</v>
      </c>
      <c r="D783" s="4" t="n">
        <v>2</v>
      </c>
      <c r="E783" s="4" t="s">
        <v>798</v>
      </c>
      <c r="F783" s="4" t="n">
        <v>47</v>
      </c>
      <c r="G783" s="4" t="n">
        <v>3</v>
      </c>
      <c r="H783" s="4" t="n">
        <v>4</v>
      </c>
      <c r="I783" s="4" t="str">
        <v>×</v>
      </c>
      <c r="J783" s="4"/>
      <c r="K783" s="4"/>
      <c r="L783" s="4"/>
      <c r="M783" s="5" t="s">
        <v>15</v>
      </c>
    </row>
    <row r="784" customFormat="false" ht="15.75" hidden="false" customHeight="false" outlineLevel="0" collapsed="false">
      <c r="A784" s="3" t="n">
        <v>46229</v>
      </c>
      <c r="B784" s="4" t="s">
        <v>334</v>
      </c>
      <c r="C784" s="4" t="n">
        <v>2</v>
      </c>
      <c r="D784" s="4" t="n">
        <v>3</v>
      </c>
      <c r="E784" s="4" t="s">
        <v>799</v>
      </c>
      <c r="F784" s="4" t="n">
        <v>6</v>
      </c>
      <c r="G784" s="4" t="n">
        <v>9</v>
      </c>
      <c r="H784" s="4" t="n">
        <v>4</v>
      </c>
      <c r="I784" s="4" t="str">
        <v>×</v>
      </c>
      <c r="J784" s="4"/>
      <c r="K784" s="4"/>
      <c r="L784" s="4"/>
      <c r="M784" s="5" t="s">
        <v>15</v>
      </c>
    </row>
    <row r="785" customFormat="false" ht="15.75" hidden="false" customHeight="false" outlineLevel="0" collapsed="false">
      <c r="A785" s="3" t="n">
        <v>46229</v>
      </c>
      <c r="B785" s="4" t="s">
        <v>334</v>
      </c>
      <c r="C785" s="4" t="n">
        <v>2</v>
      </c>
      <c r="D785" s="4" t="n">
        <v>4</v>
      </c>
      <c r="E785" s="4" t="s">
        <v>800</v>
      </c>
      <c r="F785" s="4" t="n">
        <v>1</v>
      </c>
      <c r="G785" s="4" t="n">
        <v>10</v>
      </c>
      <c r="H785" s="4" t="n">
        <v>4</v>
      </c>
      <c r="I785" s="4" t="str">
        <v>×</v>
      </c>
      <c r="J785" s="4"/>
      <c r="K785" s="4"/>
      <c r="L785" s="4"/>
      <c r="M785" s="5" t="s">
        <v>15</v>
      </c>
    </row>
    <row r="786" customFormat="false" ht="15.75" hidden="false" customHeight="false" outlineLevel="0" collapsed="false">
      <c r="A786" s="3" t="n">
        <v>46229</v>
      </c>
      <c r="B786" s="4" t="s">
        <v>334</v>
      </c>
      <c r="C786" s="4" t="n">
        <v>2</v>
      </c>
      <c r="D786" s="4" t="n">
        <v>5</v>
      </c>
      <c r="E786" s="4" t="s">
        <v>801</v>
      </c>
      <c r="F786" s="4" t="n">
        <v>52</v>
      </c>
      <c r="G786" s="4" t="n">
        <v>2</v>
      </c>
      <c r="H786" s="4" t="n">
        <v>2</v>
      </c>
      <c r="I786" s="4" t="str">
        <v>○</v>
      </c>
      <c r="J786" s="4" t="n">
        <v>180</v>
      </c>
      <c r="K786" s="4"/>
      <c r="L786" s="4"/>
      <c r="M786" s="5" t="s">
        <v>15</v>
      </c>
    </row>
    <row r="787" customFormat="false" ht="15.75" hidden="false" customHeight="false" outlineLevel="0" collapsed="false">
      <c r="A787" s="3" t="n">
        <v>46229</v>
      </c>
      <c r="B787" s="4" t="s">
        <v>334</v>
      </c>
      <c r="C787" s="4" t="n">
        <v>2</v>
      </c>
      <c r="D787" s="4" t="n">
        <v>6</v>
      </c>
      <c r="E787" s="4" t="s">
        <v>802</v>
      </c>
      <c r="F787" s="4" t="n">
        <v>75</v>
      </c>
      <c r="G787" s="4" t="n">
        <v>1</v>
      </c>
      <c r="H787" s="4" t="n">
        <v>3</v>
      </c>
      <c r="I787" s="4" t="str">
        <v>○</v>
      </c>
      <c r="J787" s="4" t="n">
        <v>130</v>
      </c>
      <c r="K787" s="4"/>
      <c r="L787" s="4"/>
      <c r="M787" s="5" t="s">
        <v>15</v>
      </c>
    </row>
    <row r="788" customFormat="false" ht="15.75" hidden="false" customHeight="false" outlineLevel="0" collapsed="false">
      <c r="A788" s="3" t="n">
        <v>46229</v>
      </c>
      <c r="B788" s="4" t="s">
        <v>334</v>
      </c>
      <c r="C788" s="4" t="n">
        <v>2</v>
      </c>
      <c r="D788" s="4" t="n">
        <v>7</v>
      </c>
      <c r="E788" s="4" t="s">
        <v>803</v>
      </c>
      <c r="F788" s="4" t="n">
        <v>15</v>
      </c>
      <c r="G788" s="4" t="n">
        <v>7</v>
      </c>
      <c r="H788" s="4" t="n">
        <v>4</v>
      </c>
      <c r="I788" s="4" t="str">
        <v>×</v>
      </c>
      <c r="J788" s="4"/>
      <c r="K788" s="4"/>
      <c r="L788" s="4"/>
      <c r="M788" s="5" t="s">
        <v>15</v>
      </c>
    </row>
    <row r="789" customFormat="false" ht="15.75" hidden="false" customHeight="false" outlineLevel="0" collapsed="false">
      <c r="A789" s="3" t="n">
        <v>46229</v>
      </c>
      <c r="B789" s="4" t="s">
        <v>334</v>
      </c>
      <c r="C789" s="4" t="n">
        <v>2</v>
      </c>
      <c r="D789" s="4" t="n">
        <v>8</v>
      </c>
      <c r="E789" s="4" t="s">
        <v>804</v>
      </c>
      <c r="F789" s="4" t="n">
        <v>31</v>
      </c>
      <c r="G789" s="4" t="n">
        <v>4</v>
      </c>
      <c r="H789" s="4" t="n">
        <v>4</v>
      </c>
      <c r="I789" s="4" t="str">
        <v>×</v>
      </c>
      <c r="J789" s="4"/>
      <c r="K789" s="4"/>
      <c r="L789" s="4"/>
      <c r="M789" s="5" t="s">
        <v>15</v>
      </c>
    </row>
    <row r="790" customFormat="false" ht="15.75" hidden="false" customHeight="false" outlineLevel="0" collapsed="false">
      <c r="A790" s="3" t="n">
        <v>46229</v>
      </c>
      <c r="B790" s="4" t="s">
        <v>334</v>
      </c>
      <c r="C790" s="4" t="n">
        <v>2</v>
      </c>
      <c r="D790" s="4" t="n">
        <v>9</v>
      </c>
      <c r="E790" s="4" t="s">
        <v>805</v>
      </c>
      <c r="F790" s="4" t="n">
        <v>31</v>
      </c>
      <c r="G790" s="4" t="n">
        <v>4</v>
      </c>
      <c r="H790" s="4" t="n">
        <v>1</v>
      </c>
      <c r="I790" s="4" t="str">
        <v>○</v>
      </c>
      <c r="J790" s="4" t="n">
        <v>280</v>
      </c>
      <c r="K790" s="4"/>
      <c r="L790" s="4"/>
      <c r="M790" s="5" t="s">
        <v>15</v>
      </c>
    </row>
    <row r="791" customFormat="false" ht="15.75" hidden="false" customHeight="false" outlineLevel="0" collapsed="false">
      <c r="A791" s="3" t="n">
        <v>46229</v>
      </c>
      <c r="B791" s="4" t="s">
        <v>334</v>
      </c>
      <c r="C791" s="4" t="n">
        <v>2</v>
      </c>
      <c r="D791" s="4" t="n">
        <v>10</v>
      </c>
      <c r="E791" s="4" t="s">
        <v>806</v>
      </c>
      <c r="F791" s="4" t="n">
        <v>23</v>
      </c>
      <c r="G791" s="4" t="n">
        <v>6</v>
      </c>
      <c r="H791" s="4" t="n">
        <v>4</v>
      </c>
      <c r="I791" s="4" t="str">
        <v>×</v>
      </c>
      <c r="J791" s="4"/>
      <c r="K791" s="4"/>
      <c r="L791" s="4"/>
      <c r="M791" s="5" t="s">
        <v>15</v>
      </c>
    </row>
    <row r="792" customFormat="false" ht="15.75" hidden="false" customHeight="false" outlineLevel="0" collapsed="false">
      <c r="A792" s="3" t="n">
        <v>46229</v>
      </c>
      <c r="B792" s="4" t="s">
        <v>334</v>
      </c>
      <c r="C792" s="4" t="n">
        <v>3</v>
      </c>
      <c r="D792" s="4" t="n">
        <v>1</v>
      </c>
      <c r="E792" s="4" t="s">
        <v>807</v>
      </c>
      <c r="F792" s="4" t="n">
        <v>29</v>
      </c>
      <c r="G792" s="4" t="n">
        <v>4</v>
      </c>
      <c r="H792" s="4" t="n">
        <v>4</v>
      </c>
      <c r="I792" s="4" t="str">
        <v>×</v>
      </c>
      <c r="J792" s="4"/>
      <c r="K792" s="4"/>
      <c r="L792" s="4"/>
      <c r="M792" s="5" t="s">
        <v>15</v>
      </c>
    </row>
    <row r="793" customFormat="false" ht="15.75" hidden="false" customHeight="false" outlineLevel="0" collapsed="false">
      <c r="A793" s="3" t="n">
        <v>46229</v>
      </c>
      <c r="B793" s="4" t="s">
        <v>334</v>
      </c>
      <c r="C793" s="4" t="n">
        <v>3</v>
      </c>
      <c r="D793" s="4" t="n">
        <v>2</v>
      </c>
      <c r="E793" s="4" t="s">
        <v>808</v>
      </c>
      <c r="F793" s="4" t="n">
        <v>29</v>
      </c>
      <c r="G793" s="4" t="n">
        <v>4</v>
      </c>
      <c r="H793" s="4" t="n">
        <v>4</v>
      </c>
      <c r="I793" s="4" t="str">
        <v>×</v>
      </c>
      <c r="J793" s="4"/>
      <c r="K793" s="4"/>
      <c r="L793" s="4"/>
      <c r="M793" s="5" t="s">
        <v>15</v>
      </c>
    </row>
    <row r="794" customFormat="false" ht="15.75" hidden="false" customHeight="false" outlineLevel="0" collapsed="false">
      <c r="A794" s="3" t="n">
        <v>46229</v>
      </c>
      <c r="B794" s="4" t="s">
        <v>334</v>
      </c>
      <c r="C794" s="4" t="n">
        <v>3</v>
      </c>
      <c r="D794" s="4" t="n">
        <v>3</v>
      </c>
      <c r="E794" s="4" t="s">
        <v>809</v>
      </c>
      <c r="F794" s="4" t="n">
        <v>4</v>
      </c>
      <c r="G794" s="4" t="n">
        <v>14</v>
      </c>
      <c r="H794" s="4" t="n">
        <v>4</v>
      </c>
      <c r="I794" s="4" t="str">
        <v>×</v>
      </c>
      <c r="J794" s="4"/>
      <c r="K794" s="4"/>
      <c r="L794" s="4"/>
      <c r="M794" s="5" t="s">
        <v>15</v>
      </c>
    </row>
    <row r="795" customFormat="false" ht="15.75" hidden="false" customHeight="false" outlineLevel="0" collapsed="false">
      <c r="A795" s="3" t="n">
        <v>46229</v>
      </c>
      <c r="B795" s="4" t="s">
        <v>334</v>
      </c>
      <c r="C795" s="4" t="n">
        <v>3</v>
      </c>
      <c r="D795" s="4" t="n">
        <v>4</v>
      </c>
      <c r="E795" s="4" t="s">
        <v>810</v>
      </c>
      <c r="F795" s="4" t="n">
        <v>13</v>
      </c>
      <c r="G795" s="4" t="n">
        <v>8</v>
      </c>
      <c r="H795" s="4" t="n">
        <v>4</v>
      </c>
      <c r="I795" s="4" t="str">
        <v>×</v>
      </c>
      <c r="J795" s="4"/>
      <c r="K795" s="4"/>
      <c r="L795" s="4"/>
      <c r="M795" s="5" t="s">
        <v>15</v>
      </c>
    </row>
    <row r="796" customFormat="false" ht="15.75" hidden="false" customHeight="false" outlineLevel="0" collapsed="false">
      <c r="A796" s="3" t="n">
        <v>46229</v>
      </c>
      <c r="B796" s="4" t="s">
        <v>334</v>
      </c>
      <c r="C796" s="4" t="n">
        <v>3</v>
      </c>
      <c r="D796" s="4" t="n">
        <v>5</v>
      </c>
      <c r="E796" s="4" t="s">
        <v>811</v>
      </c>
      <c r="F796" s="4" t="n">
        <v>4</v>
      </c>
      <c r="G796" s="4" t="n">
        <v>14</v>
      </c>
      <c r="H796" s="4" t="n">
        <v>4</v>
      </c>
      <c r="I796" s="4" t="str">
        <v>×</v>
      </c>
      <c r="J796" s="4"/>
      <c r="K796" s="4"/>
      <c r="L796" s="4"/>
      <c r="M796" s="5" t="s">
        <v>15</v>
      </c>
    </row>
    <row r="797" customFormat="false" ht="15.75" hidden="false" customHeight="false" outlineLevel="0" collapsed="false">
      <c r="A797" s="3" t="n">
        <v>46229</v>
      </c>
      <c r="B797" s="4" t="s">
        <v>334</v>
      </c>
      <c r="C797" s="4" t="n">
        <v>3</v>
      </c>
      <c r="D797" s="4" t="n">
        <v>6</v>
      </c>
      <c r="E797" s="4" t="s">
        <v>812</v>
      </c>
      <c r="F797" s="4" t="n">
        <v>6</v>
      </c>
      <c r="G797" s="4" t="n">
        <v>13</v>
      </c>
      <c r="H797" s="4" t="n">
        <v>2</v>
      </c>
      <c r="I797" s="4" t="str">
        <v>○</v>
      </c>
      <c r="J797" s="4" t="n">
        <v>1270</v>
      </c>
      <c r="K797" s="4"/>
      <c r="L797" s="4"/>
      <c r="M797" s="5" t="s">
        <v>15</v>
      </c>
    </row>
    <row r="798" customFormat="false" ht="15.75" hidden="false" customHeight="false" outlineLevel="0" collapsed="false">
      <c r="A798" s="3" t="n">
        <v>46229</v>
      </c>
      <c r="B798" s="4" t="s">
        <v>334</v>
      </c>
      <c r="C798" s="4" t="n">
        <v>3</v>
      </c>
      <c r="D798" s="4" t="n">
        <v>7</v>
      </c>
      <c r="E798" s="4" t="s">
        <v>813</v>
      </c>
      <c r="F798" s="4" t="n">
        <v>17</v>
      </c>
      <c r="G798" s="4" t="n">
        <v>7</v>
      </c>
      <c r="H798" s="4" t="n">
        <v>4</v>
      </c>
      <c r="I798" s="4" t="str">
        <v>×</v>
      </c>
      <c r="J798" s="4"/>
      <c r="K798" s="4"/>
      <c r="L798" s="4"/>
      <c r="M798" s="5" t="s">
        <v>15</v>
      </c>
    </row>
    <row r="799" customFormat="false" ht="15.75" hidden="false" customHeight="false" outlineLevel="0" collapsed="false">
      <c r="A799" s="3" t="n">
        <v>46229</v>
      </c>
      <c r="B799" s="4" t="s">
        <v>334</v>
      </c>
      <c r="C799" s="4" t="n">
        <v>3</v>
      </c>
      <c r="D799" s="4" t="n">
        <v>8</v>
      </c>
      <c r="E799" s="4" t="s">
        <v>814</v>
      </c>
      <c r="F799" s="4" t="n">
        <v>39</v>
      </c>
      <c r="G799" s="4" t="n">
        <v>1</v>
      </c>
      <c r="H799" s="4" t="n">
        <v>1</v>
      </c>
      <c r="I799" s="4" t="str">
        <v>○</v>
      </c>
      <c r="J799" s="4" t="n">
        <v>170</v>
      </c>
      <c r="K799" s="4"/>
      <c r="L799" s="4"/>
      <c r="M799" s="5" t="s">
        <v>15</v>
      </c>
    </row>
    <row r="800" customFormat="false" ht="15.75" hidden="false" customHeight="false" outlineLevel="0" collapsed="false">
      <c r="A800" s="3" t="n">
        <v>46229</v>
      </c>
      <c r="B800" s="4" t="s">
        <v>334</v>
      </c>
      <c r="C800" s="4" t="n">
        <v>3</v>
      </c>
      <c r="D800" s="4" t="n">
        <v>9</v>
      </c>
      <c r="E800" s="4" t="s">
        <v>815</v>
      </c>
      <c r="F800" s="4" t="n">
        <v>13</v>
      </c>
      <c r="G800" s="4" t="n">
        <v>8</v>
      </c>
      <c r="H800" s="4" t="n">
        <v>4</v>
      </c>
      <c r="I800" s="4" t="str">
        <v>×</v>
      </c>
      <c r="J800" s="4"/>
      <c r="K800" s="4"/>
      <c r="L800" s="4"/>
      <c r="M800" s="5" t="s">
        <v>15</v>
      </c>
    </row>
    <row r="801" customFormat="false" ht="15.75" hidden="false" customHeight="false" outlineLevel="0" collapsed="false">
      <c r="A801" s="3" t="n">
        <v>46229</v>
      </c>
      <c r="B801" s="4" t="s">
        <v>334</v>
      </c>
      <c r="C801" s="4" t="n">
        <v>3</v>
      </c>
      <c r="D801" s="4" t="n">
        <v>10</v>
      </c>
      <c r="E801" s="4" t="s">
        <v>816</v>
      </c>
      <c r="F801" s="4" t="n">
        <v>39</v>
      </c>
      <c r="G801" s="4" t="n">
        <v>1</v>
      </c>
      <c r="H801" s="4" t="n">
        <v>4</v>
      </c>
      <c r="I801" s="4" t="str">
        <v>×</v>
      </c>
      <c r="J801" s="4"/>
      <c r="K801" s="4"/>
      <c r="L801" s="4"/>
      <c r="M801" s="5" t="s">
        <v>15</v>
      </c>
    </row>
    <row r="802" customFormat="false" ht="15.75" hidden="false" customHeight="false" outlineLevel="0" collapsed="false">
      <c r="A802" s="3" t="n">
        <v>46229</v>
      </c>
      <c r="B802" s="4" t="s">
        <v>334</v>
      </c>
      <c r="C802" s="4" t="n">
        <v>3</v>
      </c>
      <c r="D802" s="4" t="n">
        <v>11</v>
      </c>
      <c r="E802" s="4" t="s">
        <v>817</v>
      </c>
      <c r="F802" s="4" t="n">
        <v>8</v>
      </c>
      <c r="G802" s="4" t="n">
        <v>11</v>
      </c>
      <c r="H802" s="4" t="n">
        <v>3</v>
      </c>
      <c r="I802" s="4" t="str">
        <v>○</v>
      </c>
      <c r="J802" s="4" t="n">
        <v>380</v>
      </c>
      <c r="K802" s="4"/>
      <c r="L802" s="4"/>
      <c r="M802" s="5" t="s">
        <v>15</v>
      </c>
    </row>
    <row r="803" customFormat="false" ht="15.75" hidden="false" customHeight="false" outlineLevel="0" collapsed="false">
      <c r="A803" s="3" t="n">
        <v>46229</v>
      </c>
      <c r="B803" s="4" t="s">
        <v>334</v>
      </c>
      <c r="C803" s="4" t="n">
        <v>3</v>
      </c>
      <c r="D803" s="4" t="n">
        <v>12</v>
      </c>
      <c r="E803" s="4" t="s">
        <v>818</v>
      </c>
      <c r="F803" s="4" t="n">
        <v>8</v>
      </c>
      <c r="G803" s="4" t="n">
        <v>11</v>
      </c>
      <c r="H803" s="4" t="n">
        <v>4</v>
      </c>
      <c r="I803" s="4" t="str">
        <v>×</v>
      </c>
      <c r="J803" s="4"/>
      <c r="K803" s="4"/>
      <c r="L803" s="4"/>
      <c r="M803" s="5" t="s">
        <v>15</v>
      </c>
    </row>
    <row r="804" customFormat="false" ht="15.75" hidden="false" customHeight="false" outlineLevel="0" collapsed="false">
      <c r="A804" s="3" t="n">
        <v>46229</v>
      </c>
      <c r="B804" s="4" t="s">
        <v>334</v>
      </c>
      <c r="C804" s="4" t="n">
        <v>3</v>
      </c>
      <c r="D804" s="4" t="n">
        <v>13</v>
      </c>
      <c r="E804" s="4" t="s">
        <v>819</v>
      </c>
      <c r="F804" s="4" t="n">
        <v>20</v>
      </c>
      <c r="G804" s="4" t="n">
        <v>6</v>
      </c>
      <c r="H804" s="4" t="n">
        <v>4</v>
      </c>
      <c r="I804" s="4" t="str">
        <v>×</v>
      </c>
      <c r="J804" s="4"/>
      <c r="K804" s="4"/>
      <c r="L804" s="4"/>
      <c r="M804" s="5" t="s">
        <v>15</v>
      </c>
    </row>
    <row r="805" customFormat="false" ht="15.75" hidden="false" customHeight="false" outlineLevel="0" collapsed="false">
      <c r="A805" s="3" t="n">
        <v>46229</v>
      </c>
      <c r="B805" s="4" t="s">
        <v>334</v>
      </c>
      <c r="C805" s="4" t="n">
        <v>3</v>
      </c>
      <c r="D805" s="4" t="n">
        <v>14</v>
      </c>
      <c r="E805" s="4" t="s">
        <v>820</v>
      </c>
      <c r="F805" s="4" t="n">
        <v>31</v>
      </c>
      <c r="G805" s="4" t="n">
        <v>3</v>
      </c>
      <c r="H805" s="4" t="n">
        <v>4</v>
      </c>
      <c r="I805" s="4" t="str">
        <v>×</v>
      </c>
      <c r="J805" s="4"/>
      <c r="K805" s="4"/>
      <c r="L805" s="4"/>
      <c r="M805" s="5" t="s">
        <v>15</v>
      </c>
    </row>
    <row r="806" customFormat="false" ht="15.75" hidden="false" customHeight="false" outlineLevel="0" collapsed="false">
      <c r="A806" s="3" t="n">
        <v>46229</v>
      </c>
      <c r="B806" s="4" t="s">
        <v>334</v>
      </c>
      <c r="C806" s="4" t="n">
        <v>3</v>
      </c>
      <c r="D806" s="4" t="n">
        <v>15</v>
      </c>
      <c r="E806" s="4" t="s">
        <v>821</v>
      </c>
      <c r="F806" s="4" t="n">
        <v>13</v>
      </c>
      <c r="G806" s="4" t="n">
        <v>8</v>
      </c>
      <c r="H806" s="4" t="n">
        <v>4</v>
      </c>
      <c r="I806" s="4" t="str">
        <v>×</v>
      </c>
      <c r="J806" s="4"/>
      <c r="K806" s="4"/>
      <c r="L806" s="4"/>
      <c r="M806" s="5" t="s">
        <v>15</v>
      </c>
    </row>
    <row r="807" customFormat="false" ht="15.75" hidden="false" customHeight="false" outlineLevel="0" collapsed="false">
      <c r="A807" s="3" t="n">
        <v>46229</v>
      </c>
      <c r="B807" s="4" t="s">
        <v>334</v>
      </c>
      <c r="C807" s="4" t="n">
        <v>3</v>
      </c>
      <c r="D807" s="4" t="n">
        <v>16</v>
      </c>
      <c r="E807" s="4" t="s">
        <v>822</v>
      </c>
      <c r="F807" s="4" t="n">
        <v>4</v>
      </c>
      <c r="G807" s="4" t="n">
        <v>14</v>
      </c>
      <c r="H807" s="4" t="n">
        <v>4</v>
      </c>
      <c r="I807" s="4" t="str">
        <v>×</v>
      </c>
      <c r="J807" s="4"/>
      <c r="K807" s="4"/>
      <c r="L807" s="4"/>
      <c r="M807" s="5" t="s">
        <v>15</v>
      </c>
    </row>
    <row r="808" customFormat="false" ht="15.75" hidden="false" customHeight="false" outlineLevel="0" collapsed="false">
      <c r="A808" s="3" t="n">
        <v>46229</v>
      </c>
      <c r="B808" s="4" t="s">
        <v>334</v>
      </c>
      <c r="C808" s="4" t="n">
        <v>4</v>
      </c>
      <c r="D808" s="4" t="n">
        <v>1</v>
      </c>
      <c r="E808" s="4" t="s">
        <v>823</v>
      </c>
      <c r="F808" s="4" t="n">
        <v>29</v>
      </c>
      <c r="G808" s="4" t="n">
        <v>5</v>
      </c>
      <c r="H808" s="4" t="n">
        <v>1</v>
      </c>
      <c r="I808" s="4" t="str">
        <v>○</v>
      </c>
      <c r="J808" s="4" t="n">
        <v>220</v>
      </c>
      <c r="K808" s="4"/>
      <c r="L808" s="4"/>
      <c r="M808" s="5" t="s">
        <v>15</v>
      </c>
    </row>
    <row r="809" customFormat="false" ht="15.75" hidden="false" customHeight="false" outlineLevel="0" collapsed="false">
      <c r="A809" s="3" t="n">
        <v>46229</v>
      </c>
      <c r="B809" s="4" t="s">
        <v>334</v>
      </c>
      <c r="C809" s="4" t="n">
        <v>4</v>
      </c>
      <c r="D809" s="4" t="n">
        <v>2</v>
      </c>
      <c r="E809" s="4" t="s">
        <v>824</v>
      </c>
      <c r="F809" s="4" t="n">
        <v>6</v>
      </c>
      <c r="G809" s="4" t="n">
        <v>10</v>
      </c>
      <c r="H809" s="4" t="n">
        <v>4</v>
      </c>
      <c r="I809" s="4" t="str">
        <v>×</v>
      </c>
      <c r="J809" s="4"/>
      <c r="K809" s="4"/>
      <c r="L809" s="4"/>
      <c r="M809" s="5" t="s">
        <v>15</v>
      </c>
    </row>
    <row r="810" customFormat="false" ht="15.75" hidden="false" customHeight="false" outlineLevel="0" collapsed="false">
      <c r="A810" s="3" t="n">
        <v>46229</v>
      </c>
      <c r="B810" s="4" t="s">
        <v>334</v>
      </c>
      <c r="C810" s="4" t="n">
        <v>4</v>
      </c>
      <c r="D810" s="4" t="n">
        <v>3</v>
      </c>
      <c r="E810" s="4" t="s">
        <v>825</v>
      </c>
      <c r="F810" s="4" t="n">
        <v>4</v>
      </c>
      <c r="G810" s="4" t="n">
        <v>11</v>
      </c>
      <c r="H810" s="4" t="n">
        <v>4</v>
      </c>
      <c r="I810" s="4" t="str">
        <v>×</v>
      </c>
      <c r="J810" s="4"/>
      <c r="K810" s="4"/>
      <c r="L810" s="4"/>
      <c r="M810" s="5" t="s">
        <v>15</v>
      </c>
    </row>
    <row r="811" customFormat="false" ht="15.75" hidden="false" customHeight="false" outlineLevel="0" collapsed="false">
      <c r="A811" s="3" t="n">
        <v>46229</v>
      </c>
      <c r="B811" s="4" t="s">
        <v>334</v>
      </c>
      <c r="C811" s="4" t="n">
        <v>4</v>
      </c>
      <c r="D811" s="4" t="n">
        <v>4</v>
      </c>
      <c r="E811" s="4" t="s">
        <v>826</v>
      </c>
      <c r="F811" s="4" t="n">
        <v>39</v>
      </c>
      <c r="G811" s="4" t="n">
        <v>2</v>
      </c>
      <c r="H811" s="4" t="n">
        <v>4</v>
      </c>
      <c r="I811" s="4" t="str">
        <v>×</v>
      </c>
      <c r="J811" s="4"/>
      <c r="K811" s="4"/>
      <c r="L811" s="4"/>
      <c r="M811" s="5" t="s">
        <v>15</v>
      </c>
    </row>
    <row r="812" customFormat="false" ht="15.75" hidden="false" customHeight="false" outlineLevel="0" collapsed="false">
      <c r="A812" s="3" t="n">
        <v>46229</v>
      </c>
      <c r="B812" s="4" t="s">
        <v>334</v>
      </c>
      <c r="C812" s="4" t="n">
        <v>4</v>
      </c>
      <c r="D812" s="4" t="n">
        <v>5</v>
      </c>
      <c r="E812" s="4" t="s">
        <v>827</v>
      </c>
      <c r="F812" s="4" t="n">
        <v>39</v>
      </c>
      <c r="G812" s="4" t="n">
        <v>2</v>
      </c>
      <c r="H812" s="4" t="n">
        <v>4</v>
      </c>
      <c r="I812" s="4" t="str">
        <v>×</v>
      </c>
      <c r="J812" s="4"/>
      <c r="K812" s="4"/>
      <c r="L812" s="4"/>
      <c r="M812" s="5" t="s">
        <v>15</v>
      </c>
    </row>
    <row r="813" customFormat="false" ht="15.75" hidden="false" customHeight="false" outlineLevel="0" collapsed="false">
      <c r="A813" s="3" t="n">
        <v>46229</v>
      </c>
      <c r="B813" s="4" t="s">
        <v>334</v>
      </c>
      <c r="C813" s="4" t="n">
        <v>4</v>
      </c>
      <c r="D813" s="4" t="n">
        <v>6</v>
      </c>
      <c r="E813" s="4" t="s">
        <v>828</v>
      </c>
      <c r="F813" s="4" t="n">
        <v>20</v>
      </c>
      <c r="G813" s="4" t="n">
        <v>6</v>
      </c>
      <c r="H813" s="4" t="n">
        <v>4</v>
      </c>
      <c r="I813" s="4" t="str">
        <v>×</v>
      </c>
      <c r="J813" s="4"/>
      <c r="K813" s="4"/>
      <c r="L813" s="4"/>
      <c r="M813" s="5" t="s">
        <v>15</v>
      </c>
    </row>
    <row r="814" customFormat="false" ht="15.75" hidden="false" customHeight="false" outlineLevel="0" collapsed="false">
      <c r="A814" s="3" t="n">
        <v>46229</v>
      </c>
      <c r="B814" s="4" t="s">
        <v>334</v>
      </c>
      <c r="C814" s="4" t="n">
        <v>4</v>
      </c>
      <c r="D814" s="4" t="n">
        <v>7</v>
      </c>
      <c r="E814" s="4" t="s">
        <v>829</v>
      </c>
      <c r="F814" s="4" t="n">
        <v>10</v>
      </c>
      <c r="G814" s="4" t="n">
        <v>9</v>
      </c>
      <c r="H814" s="4" t="n">
        <v>4</v>
      </c>
      <c r="I814" s="4" t="str">
        <v>×</v>
      </c>
      <c r="J814" s="4"/>
      <c r="K814" s="4"/>
      <c r="L814" s="4"/>
      <c r="M814" s="5" t="s">
        <v>15</v>
      </c>
    </row>
    <row r="815" customFormat="false" ht="15.75" hidden="false" customHeight="false" outlineLevel="0" collapsed="false">
      <c r="A815" s="3" t="n">
        <v>46229</v>
      </c>
      <c r="B815" s="4" t="s">
        <v>334</v>
      </c>
      <c r="C815" s="4" t="n">
        <v>4</v>
      </c>
      <c r="D815" s="4" t="n">
        <v>8</v>
      </c>
      <c r="E815" s="4" t="s">
        <v>830</v>
      </c>
      <c r="F815" s="4" t="n">
        <v>17</v>
      </c>
      <c r="G815" s="4" t="n">
        <v>7</v>
      </c>
      <c r="H815" s="4" t="n">
        <v>2</v>
      </c>
      <c r="I815" s="4" t="str">
        <v>○</v>
      </c>
      <c r="J815" s="4" t="n">
        <v>890</v>
      </c>
      <c r="K815" s="4"/>
      <c r="L815" s="4"/>
      <c r="M815" s="5" t="s">
        <v>15</v>
      </c>
    </row>
    <row r="816" customFormat="false" ht="15.75" hidden="false" customHeight="false" outlineLevel="0" collapsed="false">
      <c r="A816" s="3" t="n">
        <v>46229</v>
      </c>
      <c r="B816" s="4" t="s">
        <v>334</v>
      </c>
      <c r="C816" s="4" t="n">
        <v>4</v>
      </c>
      <c r="D816" s="4" t="n">
        <v>9</v>
      </c>
      <c r="E816" s="4" t="s">
        <v>831</v>
      </c>
      <c r="F816" s="4" t="n">
        <v>50</v>
      </c>
      <c r="G816" s="4" t="n">
        <v>1</v>
      </c>
      <c r="H816" s="4" t="n">
        <v>3</v>
      </c>
      <c r="I816" s="4" t="str">
        <v>○</v>
      </c>
      <c r="J816" s="4" t="n">
        <v>160</v>
      </c>
      <c r="K816" s="4"/>
      <c r="L816" s="4"/>
      <c r="M816" s="5" t="s">
        <v>15</v>
      </c>
    </row>
    <row r="817" customFormat="false" ht="15.75" hidden="false" customHeight="false" outlineLevel="0" collapsed="false">
      <c r="A817" s="3" t="n">
        <v>46229</v>
      </c>
      <c r="B817" s="4" t="s">
        <v>334</v>
      </c>
      <c r="C817" s="4" t="n">
        <v>4</v>
      </c>
      <c r="D817" s="4" t="n">
        <v>10</v>
      </c>
      <c r="E817" s="4" t="s">
        <v>832</v>
      </c>
      <c r="F817" s="4" t="n">
        <v>31</v>
      </c>
      <c r="G817" s="4" t="n">
        <v>4</v>
      </c>
      <c r="H817" s="4" t="n">
        <v>4</v>
      </c>
      <c r="I817" s="4" t="str">
        <v>×</v>
      </c>
      <c r="J817" s="4"/>
      <c r="K817" s="4"/>
      <c r="L817" s="4"/>
      <c r="M817" s="5" t="s">
        <v>15</v>
      </c>
    </row>
    <row r="818" customFormat="false" ht="15.75" hidden="false" customHeight="false" outlineLevel="0" collapsed="false">
      <c r="A818" s="3" t="n">
        <v>46229</v>
      </c>
      <c r="B818" s="4" t="s">
        <v>334</v>
      </c>
      <c r="C818" s="4" t="n">
        <v>4</v>
      </c>
      <c r="D818" s="4" t="n">
        <v>11</v>
      </c>
      <c r="E818" s="4" t="s">
        <v>833</v>
      </c>
      <c r="F818" s="4" t="n">
        <v>15</v>
      </c>
      <c r="G818" s="4" t="n">
        <v>8</v>
      </c>
      <c r="H818" s="4" t="n">
        <v>4</v>
      </c>
      <c r="I818" s="4" t="str">
        <v>×</v>
      </c>
      <c r="J818" s="4"/>
      <c r="K818" s="4"/>
      <c r="L818" s="4"/>
      <c r="M818" s="5" t="s">
        <v>15</v>
      </c>
    </row>
    <row r="819" customFormat="false" ht="15.75" hidden="false" customHeight="false" outlineLevel="0" collapsed="false">
      <c r="A819" s="3" t="n">
        <v>46229</v>
      </c>
      <c r="B819" s="4" t="s">
        <v>334</v>
      </c>
      <c r="C819" s="4" t="n">
        <v>5</v>
      </c>
      <c r="D819" s="4" t="n">
        <v>1</v>
      </c>
      <c r="E819" s="4" t="s">
        <v>834</v>
      </c>
      <c r="F819" s="4" t="n">
        <v>21</v>
      </c>
      <c r="G819" s="4" t="n">
        <v>6</v>
      </c>
      <c r="H819" s="4" t="n">
        <v>4</v>
      </c>
      <c r="I819" s="4" t="str">
        <v>×</v>
      </c>
      <c r="J819" s="4"/>
      <c r="K819" s="4"/>
      <c r="L819" s="4"/>
      <c r="M819" s="5" t="s">
        <v>15</v>
      </c>
    </row>
    <row r="820" customFormat="false" ht="15.75" hidden="false" customHeight="false" outlineLevel="0" collapsed="false">
      <c r="A820" s="3" t="n">
        <v>46229</v>
      </c>
      <c r="B820" s="4" t="s">
        <v>334</v>
      </c>
      <c r="C820" s="4" t="n">
        <v>5</v>
      </c>
      <c r="D820" s="4" t="n">
        <v>2</v>
      </c>
      <c r="E820" s="4" t="s">
        <v>835</v>
      </c>
      <c r="F820" s="4" t="n">
        <v>12</v>
      </c>
      <c r="G820" s="4" t="n">
        <v>8</v>
      </c>
      <c r="H820" s="4" t="n">
        <v>2</v>
      </c>
      <c r="I820" s="4" t="str">
        <v>○</v>
      </c>
      <c r="J820" s="4" t="n">
        <v>110</v>
      </c>
      <c r="K820" s="4"/>
      <c r="L820" s="4"/>
      <c r="M820" s="5" t="s">
        <v>15</v>
      </c>
    </row>
    <row r="821" customFormat="false" ht="15.75" hidden="false" customHeight="false" outlineLevel="0" collapsed="false">
      <c r="A821" s="3" t="n">
        <v>46229</v>
      </c>
      <c r="B821" s="4" t="s">
        <v>334</v>
      </c>
      <c r="C821" s="4" t="n">
        <v>5</v>
      </c>
      <c r="D821" s="4" t="n">
        <v>3</v>
      </c>
      <c r="E821" s="4" t="s">
        <v>836</v>
      </c>
      <c r="F821" s="4" t="n">
        <v>31</v>
      </c>
      <c r="G821" s="4" t="n">
        <v>2</v>
      </c>
      <c r="H821" s="4" t="n">
        <v>4</v>
      </c>
      <c r="I821" s="4" t="str">
        <v>×</v>
      </c>
      <c r="J821" s="4"/>
      <c r="K821" s="4"/>
      <c r="L821" s="4"/>
      <c r="M821" s="5" t="s">
        <v>15</v>
      </c>
    </row>
    <row r="822" customFormat="false" ht="15.75" hidden="false" customHeight="false" outlineLevel="0" collapsed="false">
      <c r="A822" s="3" t="n">
        <v>46229</v>
      </c>
      <c r="B822" s="4" t="s">
        <v>334</v>
      </c>
      <c r="C822" s="4" t="n">
        <v>5</v>
      </c>
      <c r="D822" s="4" t="n">
        <v>4</v>
      </c>
      <c r="E822" s="4" t="s">
        <v>837</v>
      </c>
      <c r="F822" s="4" t="n">
        <v>24</v>
      </c>
      <c r="G822" s="4" t="n">
        <v>4</v>
      </c>
      <c r="H822" s="4" t="n">
        <v>4</v>
      </c>
      <c r="I822" s="4" t="str">
        <v>×</v>
      </c>
      <c r="J822" s="4"/>
      <c r="K822" s="4"/>
      <c r="L822" s="4"/>
      <c r="M822" s="5" t="s">
        <v>15</v>
      </c>
    </row>
    <row r="823" customFormat="false" ht="15.75" hidden="false" customHeight="false" outlineLevel="0" collapsed="false">
      <c r="A823" s="3" t="n">
        <v>46229</v>
      </c>
      <c r="B823" s="4" t="s">
        <v>334</v>
      </c>
      <c r="C823" s="4" t="n">
        <v>5</v>
      </c>
      <c r="D823" s="4" t="n">
        <v>5</v>
      </c>
      <c r="E823" s="4" t="s">
        <v>838</v>
      </c>
      <c r="F823" s="4" t="n">
        <v>37</v>
      </c>
      <c r="G823" s="4" t="n">
        <v>1</v>
      </c>
      <c r="H823" s="4" t="n">
        <v>4</v>
      </c>
      <c r="I823" s="4" t="str">
        <v>×</v>
      </c>
      <c r="J823" s="4"/>
      <c r="K823" s="4"/>
      <c r="L823" s="4"/>
      <c r="M823" s="5" t="s">
        <v>15</v>
      </c>
    </row>
    <row r="824" customFormat="false" ht="15.75" hidden="false" customHeight="false" outlineLevel="0" collapsed="false">
      <c r="A824" s="3" t="n">
        <v>46229</v>
      </c>
      <c r="B824" s="4" t="s">
        <v>334</v>
      </c>
      <c r="C824" s="4" t="n">
        <v>5</v>
      </c>
      <c r="D824" s="4" t="n">
        <v>6</v>
      </c>
      <c r="E824" s="4" t="s">
        <v>839</v>
      </c>
      <c r="F824" s="4" t="n">
        <v>27</v>
      </c>
      <c r="G824" s="4" t="n">
        <v>3</v>
      </c>
      <c r="H824" s="4" t="n">
        <v>3</v>
      </c>
      <c r="I824" s="4" t="str">
        <v>○</v>
      </c>
      <c r="J824" s="4" t="n">
        <v>130</v>
      </c>
      <c r="K824" s="4"/>
      <c r="L824" s="4"/>
      <c r="M824" s="5" t="s">
        <v>15</v>
      </c>
    </row>
    <row r="825" customFormat="false" ht="15.75" hidden="false" customHeight="false" outlineLevel="0" collapsed="false">
      <c r="A825" s="3" t="n">
        <v>46229</v>
      </c>
      <c r="B825" s="4" t="s">
        <v>334</v>
      </c>
      <c r="C825" s="4" t="n">
        <v>5</v>
      </c>
      <c r="D825" s="4" t="n">
        <v>7</v>
      </c>
      <c r="E825" s="4" t="s">
        <v>840</v>
      </c>
      <c r="F825" s="4" t="n">
        <v>8</v>
      </c>
      <c r="G825" s="4" t="n">
        <v>9</v>
      </c>
      <c r="H825" s="4" t="n">
        <v>4</v>
      </c>
      <c r="I825" s="4" t="str">
        <v>×</v>
      </c>
      <c r="J825" s="4"/>
      <c r="K825" s="4"/>
      <c r="L825" s="4"/>
      <c r="M825" s="5" t="s">
        <v>15</v>
      </c>
    </row>
    <row r="826" customFormat="false" ht="15.75" hidden="false" customHeight="false" outlineLevel="0" collapsed="false">
      <c r="A826" s="3" t="n">
        <v>46229</v>
      </c>
      <c r="B826" s="4" t="s">
        <v>334</v>
      </c>
      <c r="C826" s="4" t="n">
        <v>5</v>
      </c>
      <c r="D826" s="4" t="n">
        <v>8</v>
      </c>
      <c r="E826" s="4" t="s">
        <v>841</v>
      </c>
      <c r="F826" s="4" t="n">
        <v>8</v>
      </c>
      <c r="G826" s="4" t="n">
        <v>9</v>
      </c>
      <c r="H826" s="4" t="n">
        <v>4</v>
      </c>
      <c r="I826" s="4" t="str">
        <v>×</v>
      </c>
      <c r="J826" s="4"/>
      <c r="K826" s="4"/>
      <c r="L826" s="4"/>
      <c r="M826" s="5" t="s">
        <v>15</v>
      </c>
    </row>
    <row r="827" customFormat="false" ht="15.75" hidden="false" customHeight="false" outlineLevel="0" collapsed="false">
      <c r="A827" s="3" t="n">
        <v>46229</v>
      </c>
      <c r="B827" s="4" t="s">
        <v>334</v>
      </c>
      <c r="C827" s="4" t="n">
        <v>5</v>
      </c>
      <c r="D827" s="4" t="n">
        <v>9</v>
      </c>
      <c r="E827" s="4" t="s">
        <v>842</v>
      </c>
      <c r="F827" s="4" t="n">
        <v>24</v>
      </c>
      <c r="G827" s="4" t="n">
        <v>4</v>
      </c>
      <c r="H827" s="4" t="n">
        <v>1</v>
      </c>
      <c r="I827" s="4" t="str">
        <v>○</v>
      </c>
      <c r="J827" s="4" t="n">
        <v>140</v>
      </c>
      <c r="K827" s="4"/>
      <c r="L827" s="4"/>
      <c r="M827" s="5" t="s">
        <v>15</v>
      </c>
    </row>
    <row r="828" customFormat="false" ht="15.75" hidden="false" customHeight="false" outlineLevel="0" collapsed="false">
      <c r="A828" s="3" t="n">
        <v>46229</v>
      </c>
      <c r="B828" s="4" t="s">
        <v>334</v>
      </c>
      <c r="C828" s="4" t="n">
        <v>5</v>
      </c>
      <c r="D828" s="4" t="n">
        <v>10</v>
      </c>
      <c r="E828" s="4" t="s">
        <v>843</v>
      </c>
      <c r="F828" s="4" t="n">
        <v>21</v>
      </c>
      <c r="G828" s="4" t="n">
        <v>6</v>
      </c>
      <c r="H828" s="4" t="n">
        <v>4</v>
      </c>
      <c r="I828" s="4" t="str">
        <v>×</v>
      </c>
      <c r="J828" s="4"/>
      <c r="K828" s="4"/>
      <c r="L828" s="4"/>
      <c r="M828" s="5" t="s">
        <v>15</v>
      </c>
    </row>
    <row r="829" customFormat="false" ht="15.75" hidden="false" customHeight="false" outlineLevel="0" collapsed="false">
      <c r="A829" s="3" t="n">
        <v>46229</v>
      </c>
      <c r="B829" s="4" t="s">
        <v>334</v>
      </c>
      <c r="C829" s="4" t="n">
        <v>6</v>
      </c>
      <c r="D829" s="4" t="n">
        <v>1</v>
      </c>
      <c r="E829" s="4" t="s">
        <v>844</v>
      </c>
      <c r="F829" s="4" t="n">
        <v>13</v>
      </c>
      <c r="G829" s="4" t="n">
        <v>7</v>
      </c>
      <c r="H829" s="4" t="n">
        <v>4</v>
      </c>
      <c r="I829" s="4" t="str">
        <v>×</v>
      </c>
      <c r="J829" s="4"/>
      <c r="K829" s="4"/>
      <c r="L829" s="4"/>
      <c r="M829" s="5" t="s">
        <v>15</v>
      </c>
    </row>
    <row r="830" customFormat="false" ht="15.75" hidden="false" customHeight="false" outlineLevel="0" collapsed="false">
      <c r="A830" s="3" t="n">
        <v>46229</v>
      </c>
      <c r="B830" s="4" t="s">
        <v>334</v>
      </c>
      <c r="C830" s="4" t="n">
        <v>6</v>
      </c>
      <c r="D830" s="4" t="n">
        <v>2</v>
      </c>
      <c r="E830" s="4" t="s">
        <v>845</v>
      </c>
      <c r="F830" s="4" t="n">
        <v>58</v>
      </c>
      <c r="G830" s="4" t="n">
        <v>1</v>
      </c>
      <c r="H830" s="4" t="n">
        <v>1</v>
      </c>
      <c r="I830" s="4" t="str">
        <v>○</v>
      </c>
      <c r="J830" s="4" t="n">
        <v>120</v>
      </c>
      <c r="K830" s="4"/>
      <c r="L830" s="4"/>
      <c r="M830" s="5" t="s">
        <v>15</v>
      </c>
    </row>
    <row r="831" customFormat="false" ht="15.75" hidden="false" customHeight="false" outlineLevel="0" collapsed="false">
      <c r="A831" s="3" t="n">
        <v>46229</v>
      </c>
      <c r="B831" s="4" t="s">
        <v>334</v>
      </c>
      <c r="C831" s="4" t="n">
        <v>6</v>
      </c>
      <c r="D831" s="4" t="n">
        <v>3</v>
      </c>
      <c r="E831" s="4" t="s">
        <v>846</v>
      </c>
      <c r="F831" s="4" t="n">
        <v>3</v>
      </c>
      <c r="G831" s="4" t="n">
        <v>12</v>
      </c>
      <c r="H831" s="4" t="n">
        <v>4</v>
      </c>
      <c r="I831" s="4" t="str">
        <v>×</v>
      </c>
      <c r="J831" s="4"/>
      <c r="K831" s="4"/>
      <c r="L831" s="4"/>
      <c r="M831" s="5" t="s">
        <v>15</v>
      </c>
    </row>
    <row r="832" customFormat="false" ht="15.75" hidden="false" customHeight="false" outlineLevel="0" collapsed="false">
      <c r="A832" s="3" t="n">
        <v>46229</v>
      </c>
      <c r="B832" s="4" t="s">
        <v>334</v>
      </c>
      <c r="C832" s="4" t="n">
        <v>6</v>
      </c>
      <c r="D832" s="4" t="n">
        <v>4</v>
      </c>
      <c r="E832" s="4" t="s">
        <v>847</v>
      </c>
      <c r="F832" s="4" t="n">
        <v>10</v>
      </c>
      <c r="G832" s="4" t="n">
        <v>8</v>
      </c>
      <c r="H832" s="4" t="n">
        <v>4</v>
      </c>
      <c r="I832" s="4" t="str">
        <v>×</v>
      </c>
      <c r="J832" s="4"/>
      <c r="K832" s="4"/>
      <c r="L832" s="4"/>
      <c r="M832" s="5" t="s">
        <v>15</v>
      </c>
    </row>
    <row r="833" customFormat="false" ht="15.75" hidden="false" customHeight="false" outlineLevel="0" collapsed="false">
      <c r="A833" s="3" t="n">
        <v>46229</v>
      </c>
      <c r="B833" s="4" t="s">
        <v>334</v>
      </c>
      <c r="C833" s="4" t="n">
        <v>6</v>
      </c>
      <c r="D833" s="4" t="n">
        <v>5</v>
      </c>
      <c r="E833" s="4" t="s">
        <v>848</v>
      </c>
      <c r="F833" s="4" t="n">
        <v>4</v>
      </c>
      <c r="G833" s="4" t="n">
        <v>10</v>
      </c>
      <c r="H833" s="4" t="n">
        <v>4</v>
      </c>
      <c r="I833" s="4" t="str">
        <v>×</v>
      </c>
      <c r="J833" s="4"/>
      <c r="K833" s="4"/>
      <c r="L833" s="4"/>
      <c r="M833" s="5" t="s">
        <v>15</v>
      </c>
    </row>
    <row r="834" customFormat="false" ht="15.75" hidden="false" customHeight="false" outlineLevel="0" collapsed="false">
      <c r="A834" s="3" t="n">
        <v>46229</v>
      </c>
      <c r="B834" s="4" t="s">
        <v>334</v>
      </c>
      <c r="C834" s="4" t="n">
        <v>6</v>
      </c>
      <c r="D834" s="4" t="n">
        <v>6</v>
      </c>
      <c r="E834" s="4" t="s">
        <v>849</v>
      </c>
      <c r="F834" s="4" t="n">
        <v>20</v>
      </c>
      <c r="G834" s="4" t="n">
        <v>6</v>
      </c>
      <c r="H834" s="4" t="n">
        <v>4</v>
      </c>
      <c r="I834" s="4" t="str">
        <v>×</v>
      </c>
      <c r="J834" s="4"/>
      <c r="K834" s="4"/>
      <c r="L834" s="4"/>
      <c r="M834" s="5" t="s">
        <v>15</v>
      </c>
    </row>
    <row r="835" customFormat="false" ht="15.75" hidden="false" customHeight="false" outlineLevel="0" collapsed="false">
      <c r="A835" s="3" t="n">
        <v>46229</v>
      </c>
      <c r="B835" s="4" t="s">
        <v>334</v>
      </c>
      <c r="C835" s="4" t="n">
        <v>6</v>
      </c>
      <c r="D835" s="4" t="n">
        <v>7</v>
      </c>
      <c r="E835" s="4" t="s">
        <v>850</v>
      </c>
      <c r="F835" s="4" t="n">
        <v>8</v>
      </c>
      <c r="G835" s="4" t="n">
        <v>9</v>
      </c>
      <c r="H835" s="4" t="n">
        <v>4</v>
      </c>
      <c r="I835" s="4" t="str">
        <v>×</v>
      </c>
      <c r="J835" s="4"/>
      <c r="K835" s="4"/>
      <c r="L835" s="4"/>
      <c r="M835" s="5" t="s">
        <v>15</v>
      </c>
    </row>
    <row r="836" customFormat="false" ht="15.75" hidden="false" customHeight="false" outlineLevel="0" collapsed="false">
      <c r="A836" s="3" t="n">
        <v>46229</v>
      </c>
      <c r="B836" s="4" t="s">
        <v>334</v>
      </c>
      <c r="C836" s="4" t="n">
        <v>6</v>
      </c>
      <c r="D836" s="4" t="n">
        <v>8</v>
      </c>
      <c r="E836" s="4" t="s">
        <v>851</v>
      </c>
      <c r="F836" s="4" t="n">
        <v>37</v>
      </c>
      <c r="G836" s="4" t="n">
        <v>3</v>
      </c>
      <c r="H836" s="4" t="n">
        <v>2</v>
      </c>
      <c r="I836" s="4" t="str">
        <v>○</v>
      </c>
      <c r="J836" s="4" t="n">
        <v>180</v>
      </c>
      <c r="K836" s="4"/>
      <c r="L836" s="4"/>
      <c r="M836" s="5" t="s">
        <v>15</v>
      </c>
    </row>
    <row r="837" customFormat="false" ht="15.75" hidden="false" customHeight="false" outlineLevel="0" collapsed="false">
      <c r="A837" s="3" t="n">
        <v>46229</v>
      </c>
      <c r="B837" s="4" t="s">
        <v>334</v>
      </c>
      <c r="C837" s="4" t="n">
        <v>6</v>
      </c>
      <c r="D837" s="4" t="n">
        <v>9</v>
      </c>
      <c r="E837" s="4" t="s">
        <v>852</v>
      </c>
      <c r="F837" s="4" t="n">
        <v>44</v>
      </c>
      <c r="G837" s="4" t="n">
        <v>2</v>
      </c>
      <c r="H837" s="4" t="n">
        <v>3</v>
      </c>
      <c r="I837" s="4" t="str">
        <v>○</v>
      </c>
      <c r="J837" s="4" t="n">
        <v>120</v>
      </c>
      <c r="K837" s="4"/>
      <c r="L837" s="4"/>
      <c r="M837" s="5" t="s">
        <v>15</v>
      </c>
    </row>
    <row r="838" customFormat="false" ht="15.75" hidden="false" customHeight="false" outlineLevel="0" collapsed="false">
      <c r="A838" s="3" t="n">
        <v>46229</v>
      </c>
      <c r="B838" s="4" t="s">
        <v>334</v>
      </c>
      <c r="C838" s="4" t="n">
        <v>6</v>
      </c>
      <c r="D838" s="4" t="n">
        <v>10</v>
      </c>
      <c r="E838" s="4" t="s">
        <v>853</v>
      </c>
      <c r="F838" s="4" t="n">
        <v>4</v>
      </c>
      <c r="G838" s="4" t="n">
        <v>10</v>
      </c>
      <c r="H838" s="4" t="n">
        <v>4</v>
      </c>
      <c r="I838" s="4" t="str">
        <v>×</v>
      </c>
      <c r="J838" s="4"/>
      <c r="K838" s="4"/>
      <c r="L838" s="4"/>
      <c r="M838" s="5" t="s">
        <v>15</v>
      </c>
    </row>
    <row r="839" customFormat="false" ht="15.75" hidden="false" customHeight="false" outlineLevel="0" collapsed="false">
      <c r="A839" s="3" t="n">
        <v>46229</v>
      </c>
      <c r="B839" s="4" t="s">
        <v>334</v>
      </c>
      <c r="C839" s="4" t="n">
        <v>6</v>
      </c>
      <c r="D839" s="4" t="n">
        <v>11</v>
      </c>
      <c r="E839" s="4" t="s">
        <v>854</v>
      </c>
      <c r="F839" s="4" t="n">
        <v>34</v>
      </c>
      <c r="G839" s="4" t="n">
        <v>4</v>
      </c>
      <c r="H839" s="4" t="n">
        <v>4</v>
      </c>
      <c r="I839" s="4" t="str">
        <v>×</v>
      </c>
      <c r="J839" s="4"/>
      <c r="K839" s="4"/>
      <c r="L839" s="4"/>
      <c r="M839" s="5" t="s">
        <v>15</v>
      </c>
    </row>
    <row r="840" customFormat="false" ht="15.75" hidden="false" customHeight="false" outlineLevel="0" collapsed="false">
      <c r="A840" s="3" t="n">
        <v>46229</v>
      </c>
      <c r="B840" s="4" t="s">
        <v>334</v>
      </c>
      <c r="C840" s="4" t="n">
        <v>6</v>
      </c>
      <c r="D840" s="4" t="n">
        <v>12</v>
      </c>
      <c r="E840" s="4" t="s">
        <v>855</v>
      </c>
      <c r="F840" s="4" t="n">
        <v>34</v>
      </c>
      <c r="G840" s="4" t="n">
        <v>4</v>
      </c>
      <c r="H840" s="4" t="n">
        <v>4</v>
      </c>
      <c r="I840" s="4" t="str">
        <v>×</v>
      </c>
      <c r="J840" s="4"/>
      <c r="K840" s="4"/>
      <c r="L840" s="4"/>
      <c r="M840" s="5" t="s">
        <v>15</v>
      </c>
    </row>
    <row r="841" customFormat="false" ht="15.75" hidden="false" customHeight="false" outlineLevel="0" collapsed="false">
      <c r="A841" s="3" t="n">
        <v>46229</v>
      </c>
      <c r="B841" s="4" t="s">
        <v>334</v>
      </c>
      <c r="C841" s="4" t="n">
        <v>7</v>
      </c>
      <c r="D841" s="4" t="n">
        <v>1</v>
      </c>
      <c r="E841" s="4" t="s">
        <v>856</v>
      </c>
      <c r="F841" s="4" t="n">
        <v>29</v>
      </c>
      <c r="G841" s="4" t="n">
        <v>5</v>
      </c>
      <c r="H841" s="4" t="n">
        <v>4</v>
      </c>
      <c r="I841" s="4" t="str">
        <v>×</v>
      </c>
      <c r="J841" s="4"/>
      <c r="K841" s="4"/>
      <c r="L841" s="4"/>
      <c r="M841" s="5" t="s">
        <v>15</v>
      </c>
    </row>
    <row r="842" customFormat="false" ht="15.75" hidden="false" customHeight="false" outlineLevel="0" collapsed="false">
      <c r="A842" s="3" t="n">
        <v>46229</v>
      </c>
      <c r="B842" s="4" t="s">
        <v>334</v>
      </c>
      <c r="C842" s="4" t="n">
        <v>7</v>
      </c>
      <c r="D842" s="4" t="n">
        <v>2</v>
      </c>
      <c r="E842" s="4" t="s">
        <v>857</v>
      </c>
      <c r="F842" s="4" t="n">
        <v>3</v>
      </c>
      <c r="G842" s="4" t="n">
        <v>7</v>
      </c>
      <c r="H842" s="4" t="n">
        <v>2</v>
      </c>
      <c r="I842" s="4" t="str">
        <v>○</v>
      </c>
      <c r="J842" s="4" t="n">
        <v>330</v>
      </c>
      <c r="K842" s="4"/>
      <c r="L842" s="4"/>
      <c r="M842" s="5" t="s">
        <v>15</v>
      </c>
    </row>
    <row r="843" customFormat="false" ht="15.75" hidden="false" customHeight="false" outlineLevel="0" collapsed="false">
      <c r="A843" s="3" t="n">
        <v>46229</v>
      </c>
      <c r="B843" s="4" t="s">
        <v>334</v>
      </c>
      <c r="C843" s="4" t="n">
        <v>7</v>
      </c>
      <c r="D843" s="4" t="n">
        <v>3</v>
      </c>
      <c r="E843" s="4" t="s">
        <v>858</v>
      </c>
      <c r="F843" s="4" t="n">
        <v>31</v>
      </c>
      <c r="G843" s="4" t="n">
        <v>4</v>
      </c>
      <c r="H843" s="4" t="n">
        <v>4</v>
      </c>
      <c r="I843" s="4" t="str">
        <v>×</v>
      </c>
      <c r="J843" s="4"/>
      <c r="K843" s="4"/>
      <c r="L843" s="4"/>
      <c r="M843" s="5" t="s">
        <v>15</v>
      </c>
    </row>
    <row r="844" customFormat="false" ht="15.75" hidden="false" customHeight="false" outlineLevel="0" collapsed="false">
      <c r="A844" s="3" t="n">
        <v>46229</v>
      </c>
      <c r="B844" s="4" t="s">
        <v>334</v>
      </c>
      <c r="C844" s="4" t="n">
        <v>7</v>
      </c>
      <c r="D844" s="4" t="n">
        <v>4</v>
      </c>
      <c r="E844" s="4" t="s">
        <v>859</v>
      </c>
      <c r="F844" s="4" t="n">
        <v>74</v>
      </c>
      <c r="G844" s="4" t="n">
        <v>1</v>
      </c>
      <c r="H844" s="4" t="n">
        <v>3</v>
      </c>
      <c r="I844" s="4" t="str">
        <v>○</v>
      </c>
      <c r="J844" s="4"/>
      <c r="K844" s="4"/>
      <c r="L844" s="4"/>
      <c r="M844" s="5" t="s">
        <v>15</v>
      </c>
    </row>
    <row r="845" customFormat="false" ht="15.75" hidden="false" customHeight="false" outlineLevel="0" collapsed="false">
      <c r="A845" s="3" t="n">
        <v>46229</v>
      </c>
      <c r="B845" s="4" t="s">
        <v>334</v>
      </c>
      <c r="C845" s="4" t="n">
        <v>7</v>
      </c>
      <c r="D845" s="4" t="n">
        <v>5</v>
      </c>
      <c r="E845" s="4" t="s">
        <v>860</v>
      </c>
      <c r="F845" s="4" t="n">
        <v>39</v>
      </c>
      <c r="G845" s="4" t="n">
        <v>2</v>
      </c>
      <c r="H845" s="4" t="n">
        <v>4</v>
      </c>
      <c r="I845" s="4" t="str">
        <v>×</v>
      </c>
      <c r="J845" s="4"/>
      <c r="K845" s="4"/>
      <c r="L845" s="4"/>
      <c r="M845" s="5" t="s">
        <v>15</v>
      </c>
    </row>
    <row r="846" customFormat="false" ht="15.75" hidden="false" customHeight="false" outlineLevel="0" collapsed="false">
      <c r="A846" s="3" t="n">
        <v>46229</v>
      </c>
      <c r="B846" s="4" t="s">
        <v>334</v>
      </c>
      <c r="C846" s="4" t="n">
        <v>7</v>
      </c>
      <c r="D846" s="4" t="n">
        <v>6</v>
      </c>
      <c r="E846" s="4" t="s">
        <v>861</v>
      </c>
      <c r="F846" s="4" t="n">
        <v>39</v>
      </c>
      <c r="G846" s="4" t="n">
        <v>2</v>
      </c>
      <c r="H846" s="4" t="n">
        <v>1</v>
      </c>
      <c r="I846" s="4" t="str">
        <v>○</v>
      </c>
      <c r="J846" s="4" t="n">
        <v>220</v>
      </c>
      <c r="K846" s="4"/>
      <c r="L846" s="4"/>
      <c r="M846" s="5" t="s">
        <v>15</v>
      </c>
    </row>
    <row r="847" customFormat="false" ht="15.75" hidden="false" customHeight="false" outlineLevel="0" collapsed="false">
      <c r="A847" s="3" t="n">
        <v>46229</v>
      </c>
      <c r="B847" s="4" t="s">
        <v>334</v>
      </c>
      <c r="C847" s="4" t="n">
        <v>7</v>
      </c>
      <c r="D847" s="4" t="n">
        <v>7</v>
      </c>
      <c r="E847" s="4" t="s">
        <v>862</v>
      </c>
      <c r="F847" s="4" t="n">
        <v>10</v>
      </c>
      <c r="G847" s="4" t="n">
        <v>6</v>
      </c>
      <c r="H847" s="4" t="n">
        <v>4</v>
      </c>
      <c r="I847" s="4" t="str">
        <v>×</v>
      </c>
      <c r="J847" s="4"/>
      <c r="K847" s="4"/>
      <c r="L847" s="4"/>
      <c r="M847" s="5" t="s">
        <v>15</v>
      </c>
    </row>
    <row r="848" customFormat="false" ht="15.75" hidden="false" customHeight="false" outlineLevel="0" collapsed="false">
      <c r="A848" s="3" t="n">
        <v>46229</v>
      </c>
      <c r="B848" s="4" t="s">
        <v>334</v>
      </c>
      <c r="C848" s="4" t="n">
        <v>8</v>
      </c>
      <c r="D848" s="4" t="n">
        <v>1</v>
      </c>
      <c r="E848" s="4" t="s">
        <v>863</v>
      </c>
      <c r="F848" s="4" t="n">
        <v>1</v>
      </c>
      <c r="G848" s="4" t="n">
        <v>12</v>
      </c>
      <c r="H848" s="4" t="n">
        <v>1</v>
      </c>
      <c r="I848" s="4" t="str">
        <v>○</v>
      </c>
      <c r="J848" s="4" t="n">
        <v>110</v>
      </c>
      <c r="K848" s="4"/>
      <c r="L848" s="4"/>
      <c r="M848" s="5" t="s">
        <v>15</v>
      </c>
    </row>
    <row r="849" customFormat="false" ht="15.75" hidden="false" customHeight="false" outlineLevel="0" collapsed="false">
      <c r="A849" s="3" t="n">
        <v>46229</v>
      </c>
      <c r="B849" s="4" t="s">
        <v>334</v>
      </c>
      <c r="C849" s="4" t="n">
        <v>8</v>
      </c>
      <c r="D849" s="4" t="n">
        <v>2</v>
      </c>
      <c r="E849" s="4" t="s">
        <v>864</v>
      </c>
      <c r="F849" s="4" t="n">
        <v>4</v>
      </c>
      <c r="G849" s="4" t="n">
        <v>10</v>
      </c>
      <c r="H849" s="4" t="n">
        <v>2</v>
      </c>
      <c r="I849" s="4" t="str">
        <v>○</v>
      </c>
      <c r="J849" s="4" t="n">
        <v>140</v>
      </c>
      <c r="K849" s="4"/>
      <c r="L849" s="4"/>
      <c r="M849" s="5" t="s">
        <v>15</v>
      </c>
    </row>
    <row r="850" customFormat="false" ht="15.75" hidden="false" customHeight="false" outlineLevel="0" collapsed="false">
      <c r="A850" s="3" t="n">
        <v>46229</v>
      </c>
      <c r="B850" s="4" t="s">
        <v>334</v>
      </c>
      <c r="C850" s="4" t="n">
        <v>8</v>
      </c>
      <c r="D850" s="4" t="n">
        <v>3</v>
      </c>
      <c r="E850" s="4" t="s">
        <v>865</v>
      </c>
      <c r="F850" s="4" t="n">
        <v>23</v>
      </c>
      <c r="G850" s="4" t="n">
        <v>5</v>
      </c>
      <c r="H850" s="4" t="n">
        <v>4</v>
      </c>
      <c r="I850" s="4" t="str">
        <v>×</v>
      </c>
      <c r="J850" s="4"/>
      <c r="K850" s="4"/>
      <c r="L850" s="4"/>
      <c r="M850" s="5" t="s">
        <v>15</v>
      </c>
    </row>
    <row r="851" customFormat="false" ht="15.75" hidden="false" customHeight="false" outlineLevel="0" collapsed="false">
      <c r="A851" s="3" t="n">
        <v>46229</v>
      </c>
      <c r="B851" s="4" t="s">
        <v>334</v>
      </c>
      <c r="C851" s="4" t="n">
        <v>8</v>
      </c>
      <c r="D851" s="4" t="n">
        <v>4</v>
      </c>
      <c r="E851" s="4" t="s">
        <v>866</v>
      </c>
      <c r="F851" s="4" t="n">
        <v>8</v>
      </c>
      <c r="G851" s="4" t="n">
        <v>7</v>
      </c>
      <c r="H851" s="4" t="n">
        <v>4</v>
      </c>
      <c r="I851" s="4" t="str">
        <v>×</v>
      </c>
      <c r="J851" s="4"/>
      <c r="K851" s="4"/>
      <c r="L851" s="4"/>
      <c r="M851" s="5" t="s">
        <v>15</v>
      </c>
    </row>
    <row r="852" customFormat="false" ht="15.75" hidden="false" customHeight="false" outlineLevel="0" collapsed="false">
      <c r="A852" s="3" t="n">
        <v>46229</v>
      </c>
      <c r="B852" s="4" t="s">
        <v>334</v>
      </c>
      <c r="C852" s="4" t="n">
        <v>8</v>
      </c>
      <c r="D852" s="4" t="n">
        <v>5</v>
      </c>
      <c r="E852" s="4" t="s">
        <v>867</v>
      </c>
      <c r="F852" s="4" t="n">
        <v>25</v>
      </c>
      <c r="G852" s="4" t="n">
        <v>4</v>
      </c>
      <c r="H852" s="4" t="n">
        <v>4</v>
      </c>
      <c r="I852" s="4" t="str">
        <v>×</v>
      </c>
      <c r="J852" s="4"/>
      <c r="K852" s="4"/>
      <c r="L852" s="4"/>
      <c r="M852" s="5" t="s">
        <v>15</v>
      </c>
    </row>
    <row r="853" customFormat="false" ht="15.75" hidden="false" customHeight="false" outlineLevel="0" collapsed="false">
      <c r="A853" s="3" t="n">
        <v>46229</v>
      </c>
      <c r="B853" s="4" t="s">
        <v>334</v>
      </c>
      <c r="C853" s="4" t="n">
        <v>8</v>
      </c>
      <c r="D853" s="4" t="n">
        <v>6</v>
      </c>
      <c r="E853" s="4" t="s">
        <v>868</v>
      </c>
      <c r="F853" s="4" t="n">
        <v>8</v>
      </c>
      <c r="G853" s="4" t="n">
        <v>7</v>
      </c>
      <c r="H853" s="4" t="n">
        <v>4</v>
      </c>
      <c r="I853" s="4" t="str">
        <v>×</v>
      </c>
      <c r="J853" s="4"/>
      <c r="K853" s="4"/>
      <c r="L853" s="4"/>
      <c r="M853" s="5" t="s">
        <v>15</v>
      </c>
    </row>
    <row r="854" customFormat="false" ht="15.75" hidden="false" customHeight="false" outlineLevel="0" collapsed="false">
      <c r="A854" s="3" t="n">
        <v>46229</v>
      </c>
      <c r="B854" s="4" t="s">
        <v>334</v>
      </c>
      <c r="C854" s="4" t="n">
        <v>8</v>
      </c>
      <c r="D854" s="4" t="n">
        <v>7</v>
      </c>
      <c r="E854" s="4" t="s">
        <v>869</v>
      </c>
      <c r="F854" s="4" t="n">
        <v>8</v>
      </c>
      <c r="G854" s="4" t="n">
        <v>7</v>
      </c>
      <c r="H854" s="4" t="n">
        <v>4</v>
      </c>
      <c r="I854" s="4" t="str">
        <v>×</v>
      </c>
      <c r="J854" s="4"/>
      <c r="K854" s="4"/>
      <c r="L854" s="4"/>
      <c r="M854" s="5" t="s">
        <v>15</v>
      </c>
    </row>
    <row r="855" customFormat="false" ht="15.75" hidden="false" customHeight="false" outlineLevel="0" collapsed="false">
      <c r="A855" s="3" t="n">
        <v>46229</v>
      </c>
      <c r="B855" s="4" t="s">
        <v>334</v>
      </c>
      <c r="C855" s="4" t="n">
        <v>8</v>
      </c>
      <c r="D855" s="4" t="n">
        <v>8</v>
      </c>
      <c r="E855" s="4" t="s">
        <v>870</v>
      </c>
      <c r="F855" s="4" t="n">
        <v>29</v>
      </c>
      <c r="G855" s="4" t="n">
        <v>2</v>
      </c>
      <c r="H855" s="4" t="n">
        <v>3</v>
      </c>
      <c r="I855" s="4" t="str">
        <v>○</v>
      </c>
      <c r="J855" s="4" t="n">
        <v>310</v>
      </c>
      <c r="K855" s="4"/>
      <c r="L855" s="4"/>
      <c r="M855" s="5" t="s">
        <v>15</v>
      </c>
    </row>
    <row r="856" customFormat="false" ht="15.75" hidden="false" customHeight="false" outlineLevel="0" collapsed="false">
      <c r="A856" s="3" t="n">
        <v>46229</v>
      </c>
      <c r="B856" s="4" t="s">
        <v>334</v>
      </c>
      <c r="C856" s="4" t="n">
        <v>8</v>
      </c>
      <c r="D856" s="4" t="n">
        <v>9</v>
      </c>
      <c r="E856" s="4" t="s">
        <v>871</v>
      </c>
      <c r="F856" s="4" t="n">
        <v>15</v>
      </c>
      <c r="G856" s="4" t="n">
        <v>6</v>
      </c>
      <c r="H856" s="4" t="n">
        <v>4</v>
      </c>
      <c r="I856" s="4" t="str">
        <v>×</v>
      </c>
      <c r="J856" s="4"/>
      <c r="K856" s="4"/>
      <c r="L856" s="4"/>
      <c r="M856" s="5" t="s">
        <v>15</v>
      </c>
    </row>
    <row r="857" customFormat="false" ht="15.75" hidden="false" customHeight="false" outlineLevel="0" collapsed="false">
      <c r="A857" s="3" t="n">
        <v>46229</v>
      </c>
      <c r="B857" s="4" t="s">
        <v>334</v>
      </c>
      <c r="C857" s="4" t="n">
        <v>8</v>
      </c>
      <c r="D857" s="4" t="n">
        <v>10</v>
      </c>
      <c r="E857" s="4" t="s">
        <v>872</v>
      </c>
      <c r="F857" s="4" t="n">
        <v>34</v>
      </c>
      <c r="G857" s="4" t="n">
        <v>1</v>
      </c>
      <c r="H857" s="4" t="n">
        <v>4</v>
      </c>
      <c r="I857" s="4" t="str">
        <v>×</v>
      </c>
      <c r="J857" s="4"/>
      <c r="K857" s="4"/>
      <c r="L857" s="4"/>
      <c r="M857" s="5" t="s">
        <v>15</v>
      </c>
    </row>
    <row r="858" customFormat="false" ht="15.75" hidden="false" customHeight="false" outlineLevel="0" collapsed="false">
      <c r="A858" s="3" t="n">
        <v>46229</v>
      </c>
      <c r="B858" s="4" t="s">
        <v>334</v>
      </c>
      <c r="C858" s="4" t="n">
        <v>8</v>
      </c>
      <c r="D858" s="4" t="n">
        <v>11</v>
      </c>
      <c r="E858" s="4" t="s">
        <v>873</v>
      </c>
      <c r="F858" s="4" t="n">
        <v>3</v>
      </c>
      <c r="G858" s="4" t="n">
        <v>11</v>
      </c>
      <c r="H858" s="4" t="n">
        <v>4</v>
      </c>
      <c r="I858" s="4" t="str">
        <v>×</v>
      </c>
      <c r="J858" s="4"/>
      <c r="K858" s="4"/>
      <c r="L858" s="4"/>
      <c r="M858" s="5" t="s">
        <v>15</v>
      </c>
    </row>
    <row r="859" customFormat="false" ht="15.75" hidden="false" customHeight="false" outlineLevel="0" collapsed="false">
      <c r="A859" s="3" t="n">
        <v>46229</v>
      </c>
      <c r="B859" s="4" t="s">
        <v>334</v>
      </c>
      <c r="C859" s="4" t="n">
        <v>8</v>
      </c>
      <c r="D859" s="4" t="n">
        <v>12</v>
      </c>
      <c r="E859" s="4" t="s">
        <v>874</v>
      </c>
      <c r="F859" s="4" t="n">
        <v>29</v>
      </c>
      <c r="G859" s="4" t="n">
        <v>2</v>
      </c>
      <c r="H859" s="4" t="n">
        <v>4</v>
      </c>
      <c r="I859" s="4" t="str">
        <v>×</v>
      </c>
      <c r="J859" s="4"/>
      <c r="K859" s="4"/>
      <c r="L859" s="4"/>
      <c r="M859" s="5" t="s">
        <v>15</v>
      </c>
    </row>
    <row r="860" customFormat="false" ht="15.75" hidden="false" customHeight="false" outlineLevel="0" collapsed="false">
      <c r="A860" s="3" t="n">
        <v>46229</v>
      </c>
      <c r="B860" s="4" t="s">
        <v>334</v>
      </c>
      <c r="C860" s="4" t="n">
        <v>9</v>
      </c>
      <c r="D860" s="4" t="n">
        <v>1</v>
      </c>
      <c r="E860" s="4" t="s">
        <v>875</v>
      </c>
      <c r="F860" s="4" t="n">
        <v>65</v>
      </c>
      <c r="G860" s="4" t="n">
        <v>1</v>
      </c>
      <c r="H860" s="4" t="n">
        <v>2</v>
      </c>
      <c r="I860" s="4" t="str">
        <v>○</v>
      </c>
      <c r="J860" s="4" t="n">
        <v>130</v>
      </c>
      <c r="K860" s="4"/>
      <c r="L860" s="4"/>
      <c r="M860" s="5" t="s">
        <v>15</v>
      </c>
    </row>
    <row r="861" customFormat="false" ht="15.75" hidden="false" customHeight="false" outlineLevel="0" collapsed="false">
      <c r="A861" s="3" t="n">
        <v>46229</v>
      </c>
      <c r="B861" s="4" t="s">
        <v>334</v>
      </c>
      <c r="C861" s="4" t="n">
        <v>9</v>
      </c>
      <c r="D861" s="4" t="n">
        <v>2</v>
      </c>
      <c r="E861" s="4" t="s">
        <v>876</v>
      </c>
      <c r="F861" s="4" t="n">
        <v>25</v>
      </c>
      <c r="G861" s="4" t="n">
        <v>4</v>
      </c>
      <c r="H861" s="4" t="n">
        <v>4</v>
      </c>
      <c r="I861" s="4" t="str">
        <v>×</v>
      </c>
      <c r="J861" s="4"/>
      <c r="K861" s="4"/>
      <c r="L861" s="4"/>
      <c r="M861" s="5" t="s">
        <v>15</v>
      </c>
    </row>
    <row r="862" customFormat="false" ht="15.75" hidden="false" customHeight="false" outlineLevel="0" collapsed="false">
      <c r="A862" s="3" t="n">
        <v>46229</v>
      </c>
      <c r="B862" s="4" t="s">
        <v>334</v>
      </c>
      <c r="C862" s="4" t="n">
        <v>9</v>
      </c>
      <c r="D862" s="4" t="n">
        <v>3</v>
      </c>
      <c r="E862" s="4" t="s">
        <v>877</v>
      </c>
      <c r="F862" s="4" t="n">
        <v>17</v>
      </c>
      <c r="G862" s="4" t="n">
        <v>5</v>
      </c>
      <c r="H862" s="4" t="n">
        <v>4</v>
      </c>
      <c r="I862" s="4" t="str">
        <v>×</v>
      </c>
      <c r="J862" s="4"/>
      <c r="K862" s="4"/>
      <c r="L862" s="4"/>
      <c r="M862" s="5" t="s">
        <v>15</v>
      </c>
    </row>
    <row r="863" customFormat="false" ht="15.75" hidden="false" customHeight="false" outlineLevel="0" collapsed="false">
      <c r="A863" s="3" t="n">
        <v>46229</v>
      </c>
      <c r="B863" s="4" t="s">
        <v>334</v>
      </c>
      <c r="C863" s="4" t="n">
        <v>9</v>
      </c>
      <c r="D863" s="4" t="n">
        <v>4</v>
      </c>
      <c r="E863" s="4" t="s">
        <v>878</v>
      </c>
      <c r="F863" s="4" t="n">
        <v>2</v>
      </c>
      <c r="G863" s="4" t="n">
        <v>8</v>
      </c>
      <c r="H863" s="4" t="n">
        <v>4</v>
      </c>
      <c r="I863" s="4" t="str">
        <v>×</v>
      </c>
      <c r="J863" s="4"/>
      <c r="K863" s="4"/>
      <c r="L863" s="4"/>
      <c r="M863" s="5" t="s">
        <v>15</v>
      </c>
    </row>
    <row r="864" customFormat="false" ht="15.75" hidden="false" customHeight="false" outlineLevel="0" collapsed="false">
      <c r="A864" s="3" t="n">
        <v>46229</v>
      </c>
      <c r="B864" s="4" t="s">
        <v>334</v>
      </c>
      <c r="C864" s="4" t="n">
        <v>9</v>
      </c>
      <c r="D864" s="4" t="n">
        <v>5</v>
      </c>
      <c r="E864" s="4" t="s">
        <v>879</v>
      </c>
      <c r="F864" s="4" t="n">
        <v>65</v>
      </c>
      <c r="G864" s="4" t="n">
        <v>1</v>
      </c>
      <c r="H864" s="4" t="n">
        <v>1</v>
      </c>
      <c r="I864" s="4" t="str">
        <v>○</v>
      </c>
      <c r="J864" s="4" t="n">
        <v>110</v>
      </c>
      <c r="K864" s="4"/>
      <c r="L864" s="4"/>
      <c r="M864" s="5" t="s">
        <v>15</v>
      </c>
    </row>
    <row r="865" customFormat="false" ht="15.75" hidden="false" customHeight="false" outlineLevel="0" collapsed="false">
      <c r="A865" s="3" t="n">
        <v>46229</v>
      </c>
      <c r="B865" s="4" t="s">
        <v>334</v>
      </c>
      <c r="C865" s="4" t="n">
        <v>9</v>
      </c>
      <c r="D865" s="4" t="n">
        <v>6</v>
      </c>
      <c r="E865" s="4" t="s">
        <v>880</v>
      </c>
      <c r="F865" s="4" t="n">
        <v>44</v>
      </c>
      <c r="G865" s="4" t="n">
        <v>3</v>
      </c>
      <c r="H865" s="4" t="n">
        <v>3</v>
      </c>
      <c r="I865" s="4" t="str">
        <v>○</v>
      </c>
      <c r="J865" s="4" t="n">
        <v>130</v>
      </c>
      <c r="K865" s="4"/>
      <c r="L865" s="4"/>
      <c r="M865" s="5" t="s">
        <v>15</v>
      </c>
    </row>
    <row r="866" customFormat="false" ht="15.75" hidden="false" customHeight="false" outlineLevel="0" collapsed="false">
      <c r="A866" s="3" t="n">
        <v>46229</v>
      </c>
      <c r="B866" s="4" t="s">
        <v>334</v>
      </c>
      <c r="C866" s="4" t="n">
        <v>9</v>
      </c>
      <c r="D866" s="4" t="n">
        <v>7</v>
      </c>
      <c r="E866" s="4" t="s">
        <v>881</v>
      </c>
      <c r="F866" s="4" t="n">
        <v>17</v>
      </c>
      <c r="G866" s="4" t="n">
        <v>5</v>
      </c>
      <c r="H866" s="4" t="n">
        <v>4</v>
      </c>
      <c r="I866" s="4" t="str">
        <v>×</v>
      </c>
      <c r="J866" s="4"/>
      <c r="K866" s="4"/>
      <c r="L866" s="4"/>
      <c r="M866" s="5" t="s">
        <v>15</v>
      </c>
    </row>
    <row r="867" customFormat="false" ht="15.75" hidden="false" customHeight="false" outlineLevel="0" collapsed="false">
      <c r="A867" s="3" t="n">
        <v>46229</v>
      </c>
      <c r="B867" s="4" t="s">
        <v>334</v>
      </c>
      <c r="C867" s="4" t="n">
        <v>9</v>
      </c>
      <c r="D867" s="4" t="n">
        <v>8</v>
      </c>
      <c r="E867" s="4" t="s">
        <v>882</v>
      </c>
      <c r="F867" s="4" t="n">
        <v>17</v>
      </c>
      <c r="G867" s="4" t="n">
        <v>5</v>
      </c>
      <c r="H867" s="4" t="n">
        <v>4</v>
      </c>
      <c r="I867" s="4" t="str">
        <v>×</v>
      </c>
      <c r="J867" s="4"/>
      <c r="K867" s="4"/>
      <c r="L867" s="4"/>
      <c r="M867" s="5" t="s">
        <v>15</v>
      </c>
    </row>
    <row r="868" customFormat="false" ht="15.75" hidden="false" customHeight="false" outlineLevel="0" collapsed="false">
      <c r="A868" s="3" t="n">
        <v>46229</v>
      </c>
      <c r="B868" s="4" t="s">
        <v>334</v>
      </c>
      <c r="C868" s="4" t="n">
        <v>10</v>
      </c>
      <c r="D868" s="4" t="n">
        <v>1</v>
      </c>
      <c r="E868" s="4" t="s">
        <v>883</v>
      </c>
      <c r="F868" s="4" t="n">
        <v>58</v>
      </c>
      <c r="G868" s="4" t="n">
        <v>1</v>
      </c>
      <c r="H868" s="4" t="n">
        <v>3</v>
      </c>
      <c r="I868" s="4" t="str">
        <v>○</v>
      </c>
      <c r="J868" s="4" t="n">
        <v>210</v>
      </c>
      <c r="K868" s="4"/>
      <c r="L868" s="4"/>
      <c r="M868" s="5" t="s">
        <v>15</v>
      </c>
    </row>
    <row r="869" customFormat="false" ht="15.75" hidden="false" customHeight="false" outlineLevel="0" collapsed="false">
      <c r="A869" s="3" t="n">
        <v>46229</v>
      </c>
      <c r="B869" s="4" t="s">
        <v>334</v>
      </c>
      <c r="C869" s="4" t="n">
        <v>10</v>
      </c>
      <c r="D869" s="4" t="n">
        <v>2</v>
      </c>
      <c r="E869" s="4" t="s">
        <v>884</v>
      </c>
      <c r="F869" s="4" t="n">
        <v>15</v>
      </c>
      <c r="G869" s="4" t="n">
        <v>7</v>
      </c>
      <c r="H869" s="4" t="n">
        <v>2</v>
      </c>
      <c r="I869" s="4" t="str">
        <v>○</v>
      </c>
      <c r="J869" s="4" t="n">
        <v>510</v>
      </c>
      <c r="K869" s="4"/>
      <c r="L869" s="4"/>
      <c r="M869" s="5" t="s">
        <v>15</v>
      </c>
    </row>
    <row r="870" customFormat="false" ht="15.75" hidden="false" customHeight="false" outlineLevel="0" collapsed="false">
      <c r="A870" s="3" t="n">
        <v>46229</v>
      </c>
      <c r="B870" s="4" t="s">
        <v>334</v>
      </c>
      <c r="C870" s="4" t="n">
        <v>10</v>
      </c>
      <c r="D870" s="4" t="n">
        <v>3</v>
      </c>
      <c r="E870" s="4" t="s">
        <v>885</v>
      </c>
      <c r="F870" s="4" t="n">
        <v>23</v>
      </c>
      <c r="G870" s="4" t="n">
        <v>6</v>
      </c>
      <c r="H870" s="4" t="n">
        <v>4</v>
      </c>
      <c r="I870" s="4" t="str">
        <v>×</v>
      </c>
      <c r="J870" s="4"/>
      <c r="K870" s="4"/>
      <c r="L870" s="4"/>
      <c r="M870" s="5" t="s">
        <v>15</v>
      </c>
    </row>
    <row r="871" customFormat="false" ht="15.75" hidden="false" customHeight="false" outlineLevel="0" collapsed="false">
      <c r="A871" s="3" t="n">
        <v>46229</v>
      </c>
      <c r="B871" s="4" t="s">
        <v>334</v>
      </c>
      <c r="C871" s="4" t="n">
        <v>10</v>
      </c>
      <c r="D871" s="4" t="n">
        <v>4</v>
      </c>
      <c r="E871" s="4" t="s">
        <v>886</v>
      </c>
      <c r="F871" s="4" t="n">
        <v>15</v>
      </c>
      <c r="G871" s="4" t="n">
        <v>7</v>
      </c>
      <c r="H871" s="4" t="n">
        <v>4</v>
      </c>
      <c r="I871" s="4" t="str">
        <v>×</v>
      </c>
      <c r="J871" s="4"/>
      <c r="K871" s="4"/>
      <c r="L871" s="4"/>
      <c r="M871" s="5" t="s">
        <v>15</v>
      </c>
    </row>
    <row r="872" customFormat="false" ht="15.75" hidden="false" customHeight="false" outlineLevel="0" collapsed="false">
      <c r="A872" s="3" t="n">
        <v>46229</v>
      </c>
      <c r="B872" s="4" t="s">
        <v>334</v>
      </c>
      <c r="C872" s="4" t="n">
        <v>10</v>
      </c>
      <c r="D872" s="4" t="n">
        <v>5</v>
      </c>
      <c r="E872" s="4" t="s">
        <v>887</v>
      </c>
      <c r="F872" s="4" t="n">
        <v>37</v>
      </c>
      <c r="G872" s="4" t="n">
        <v>5</v>
      </c>
      <c r="H872" s="4" t="n">
        <v>4</v>
      </c>
      <c r="I872" s="4" t="str">
        <v>×</v>
      </c>
      <c r="J872" s="4"/>
      <c r="K872" s="4"/>
      <c r="L872" s="4"/>
      <c r="M872" s="5" t="s">
        <v>15</v>
      </c>
    </row>
    <row r="873" customFormat="false" ht="15.75" hidden="false" customHeight="false" outlineLevel="0" collapsed="false">
      <c r="A873" s="3" t="n">
        <v>46229</v>
      </c>
      <c r="B873" s="4" t="s">
        <v>334</v>
      </c>
      <c r="C873" s="4" t="n">
        <v>10</v>
      </c>
      <c r="D873" s="4" t="n">
        <v>6</v>
      </c>
      <c r="E873" s="4" t="s">
        <v>888</v>
      </c>
      <c r="F873" s="4" t="n">
        <v>44</v>
      </c>
      <c r="G873" s="4" t="n">
        <v>3</v>
      </c>
      <c r="H873" s="4" t="n">
        <v>4</v>
      </c>
      <c r="I873" s="4" t="str">
        <v>×</v>
      </c>
      <c r="J873" s="4"/>
      <c r="K873" s="4"/>
      <c r="L873" s="4"/>
      <c r="M873" s="5" t="s">
        <v>15</v>
      </c>
    </row>
    <row r="874" customFormat="false" ht="15.75" hidden="false" customHeight="false" outlineLevel="0" collapsed="false">
      <c r="A874" s="3" t="n">
        <v>46229</v>
      </c>
      <c r="B874" s="4" t="s">
        <v>334</v>
      </c>
      <c r="C874" s="4" t="n">
        <v>10</v>
      </c>
      <c r="D874" s="4" t="n">
        <v>7</v>
      </c>
      <c r="E874" s="4" t="s">
        <v>889</v>
      </c>
      <c r="F874" s="4" t="n">
        <v>13</v>
      </c>
      <c r="G874" s="4" t="n">
        <v>9</v>
      </c>
      <c r="H874" s="4" t="n">
        <v>4</v>
      </c>
      <c r="I874" s="4" t="str">
        <v>×</v>
      </c>
      <c r="J874" s="4"/>
      <c r="K874" s="4"/>
      <c r="L874" s="4"/>
      <c r="M874" s="5" t="s">
        <v>15</v>
      </c>
    </row>
    <row r="875" customFormat="false" ht="15.75" hidden="false" customHeight="false" outlineLevel="0" collapsed="false">
      <c r="A875" s="3" t="n">
        <v>46229</v>
      </c>
      <c r="B875" s="4" t="s">
        <v>334</v>
      </c>
      <c r="C875" s="4" t="n">
        <v>10</v>
      </c>
      <c r="D875" s="4" t="n">
        <v>8</v>
      </c>
      <c r="E875" s="4" t="s">
        <v>890</v>
      </c>
      <c r="F875" s="4" t="n">
        <v>3</v>
      </c>
      <c r="G875" s="4" t="n">
        <v>10</v>
      </c>
      <c r="H875" s="4" t="n">
        <v>1</v>
      </c>
      <c r="I875" s="4" t="str">
        <v>○</v>
      </c>
      <c r="J875" s="4" t="n">
        <v>300</v>
      </c>
      <c r="K875" s="4"/>
      <c r="L875" s="4"/>
      <c r="M875" s="5" t="s">
        <v>15</v>
      </c>
    </row>
    <row r="876" customFormat="false" ht="15.75" hidden="false" customHeight="false" outlineLevel="0" collapsed="false">
      <c r="A876" s="3" t="n">
        <v>46229</v>
      </c>
      <c r="B876" s="4" t="s">
        <v>334</v>
      </c>
      <c r="C876" s="4" t="n">
        <v>10</v>
      </c>
      <c r="D876" s="4" t="n">
        <v>9</v>
      </c>
      <c r="E876" s="4" t="s">
        <v>891</v>
      </c>
      <c r="F876" s="4" t="n">
        <v>50</v>
      </c>
      <c r="G876" s="4" t="n">
        <v>2</v>
      </c>
      <c r="H876" s="4" t="n">
        <v>4</v>
      </c>
      <c r="I876" s="4" t="str">
        <v>×</v>
      </c>
      <c r="J876" s="4"/>
      <c r="K876" s="4"/>
      <c r="L876" s="4"/>
      <c r="M876" s="5" t="s">
        <v>15</v>
      </c>
    </row>
    <row r="877" customFormat="false" ht="15.75" hidden="false" customHeight="false" outlineLevel="0" collapsed="false">
      <c r="A877" s="3" t="n">
        <v>46229</v>
      </c>
      <c r="B877" s="4" t="s">
        <v>334</v>
      </c>
      <c r="C877" s="4" t="n">
        <v>10</v>
      </c>
      <c r="D877" s="4" t="n">
        <v>10</v>
      </c>
      <c r="E877" s="4" t="s">
        <v>892</v>
      </c>
      <c r="F877" s="4" t="n">
        <v>39</v>
      </c>
      <c r="G877" s="4" t="n">
        <v>4</v>
      </c>
      <c r="H877" s="4" t="n">
        <v>4</v>
      </c>
      <c r="I877" s="4" t="str">
        <v>×</v>
      </c>
      <c r="J877" s="4"/>
      <c r="K877" s="4"/>
      <c r="L877" s="4"/>
      <c r="M877" s="5" t="s">
        <v>15</v>
      </c>
    </row>
    <row r="878" customFormat="false" ht="15.75" hidden="false" customHeight="false" outlineLevel="0" collapsed="false">
      <c r="A878" s="3" t="n">
        <v>46229</v>
      </c>
      <c r="B878" s="4" t="s">
        <v>334</v>
      </c>
      <c r="C878" s="4" t="n">
        <v>11</v>
      </c>
      <c r="D878" s="4" t="n">
        <v>1</v>
      </c>
      <c r="E878" s="4" t="s">
        <v>893</v>
      </c>
      <c r="F878" s="4" t="n">
        <v>15</v>
      </c>
      <c r="G878" s="4" t="n">
        <v>8</v>
      </c>
      <c r="H878" s="4" t="n">
        <v>4</v>
      </c>
      <c r="I878" s="4" t="str">
        <v>×</v>
      </c>
      <c r="J878" s="4"/>
      <c r="K878" s="4"/>
      <c r="L878" s="4"/>
      <c r="M878" s="5" t="s">
        <v>15</v>
      </c>
    </row>
    <row r="879" customFormat="false" ht="15.75" hidden="false" customHeight="false" outlineLevel="0" collapsed="false">
      <c r="A879" s="3" t="n">
        <v>46229</v>
      </c>
      <c r="B879" s="4" t="s">
        <v>334</v>
      </c>
      <c r="C879" s="4" t="n">
        <v>11</v>
      </c>
      <c r="D879" s="4" t="n">
        <v>2</v>
      </c>
      <c r="E879" s="4" t="s">
        <v>894</v>
      </c>
      <c r="F879" s="4" t="n">
        <v>62</v>
      </c>
      <c r="G879" s="4" t="n">
        <v>1</v>
      </c>
      <c r="H879" s="4" t="n">
        <v>1</v>
      </c>
      <c r="I879" s="4" t="str">
        <v>○</v>
      </c>
      <c r="J879" s="4" t="n">
        <v>120</v>
      </c>
      <c r="K879" s="4"/>
      <c r="L879" s="4"/>
      <c r="M879" s="5" t="s">
        <v>15</v>
      </c>
    </row>
    <row r="880" customFormat="false" ht="15.75" hidden="false" customHeight="false" outlineLevel="0" collapsed="false">
      <c r="A880" s="3" t="n">
        <v>46229</v>
      </c>
      <c r="B880" s="4" t="s">
        <v>334</v>
      </c>
      <c r="C880" s="4" t="n">
        <v>11</v>
      </c>
      <c r="D880" s="4" t="n">
        <v>3</v>
      </c>
      <c r="E880" s="4" t="s">
        <v>895</v>
      </c>
      <c r="F880" s="4" t="n">
        <v>37</v>
      </c>
      <c r="G880" s="4" t="n">
        <v>2</v>
      </c>
      <c r="H880" s="4" t="n">
        <v>4</v>
      </c>
      <c r="I880" s="4" t="str">
        <v>×</v>
      </c>
      <c r="J880" s="4"/>
      <c r="K880" s="4"/>
      <c r="L880" s="4"/>
      <c r="M880" s="5" t="s">
        <v>15</v>
      </c>
    </row>
    <row r="881" customFormat="false" ht="15.75" hidden="false" customHeight="false" outlineLevel="0" collapsed="false">
      <c r="A881" s="3" t="n">
        <v>46229</v>
      </c>
      <c r="B881" s="4" t="s">
        <v>334</v>
      </c>
      <c r="C881" s="4" t="n">
        <v>11</v>
      </c>
      <c r="D881" s="4" t="n">
        <v>4</v>
      </c>
      <c r="E881" s="4" t="s">
        <v>896</v>
      </c>
      <c r="F881" s="4" t="n">
        <v>20</v>
      </c>
      <c r="G881" s="4" t="n">
        <v>7</v>
      </c>
      <c r="H881" s="4" t="n">
        <v>3</v>
      </c>
      <c r="I881" s="4" t="str">
        <v>○</v>
      </c>
      <c r="J881" s="4" t="n">
        <v>500</v>
      </c>
      <c r="K881" s="4"/>
      <c r="L881" s="4"/>
      <c r="M881" s="5" t="s">
        <v>15</v>
      </c>
    </row>
    <row r="882" customFormat="false" ht="15.75" hidden="false" customHeight="false" outlineLevel="0" collapsed="false">
      <c r="A882" s="3" t="n">
        <v>46229</v>
      </c>
      <c r="B882" s="4" t="s">
        <v>334</v>
      </c>
      <c r="C882" s="4" t="n">
        <v>11</v>
      </c>
      <c r="D882" s="4" t="n">
        <v>5</v>
      </c>
      <c r="E882" s="4" t="s">
        <v>897</v>
      </c>
      <c r="F882" s="4" t="n">
        <v>31</v>
      </c>
      <c r="G882" s="4" t="n">
        <v>4</v>
      </c>
      <c r="H882" s="4" t="n">
        <v>4</v>
      </c>
      <c r="I882" s="4" t="str">
        <v>×</v>
      </c>
      <c r="J882" s="4"/>
      <c r="K882" s="4"/>
      <c r="L882" s="4"/>
      <c r="M882" s="5" t="s">
        <v>15</v>
      </c>
    </row>
    <row r="883" customFormat="false" ht="15.75" hidden="false" customHeight="false" outlineLevel="0" collapsed="false">
      <c r="A883" s="3" t="n">
        <v>46229</v>
      </c>
      <c r="B883" s="4" t="s">
        <v>334</v>
      </c>
      <c r="C883" s="4" t="n">
        <v>11</v>
      </c>
      <c r="D883" s="4" t="n">
        <v>6</v>
      </c>
      <c r="E883" s="4" t="s">
        <v>898</v>
      </c>
      <c r="F883" s="4" t="n">
        <v>2</v>
      </c>
      <c r="G883" s="4" t="n">
        <v>13</v>
      </c>
      <c r="H883" s="4" t="n">
        <v>4</v>
      </c>
      <c r="I883" s="4" t="str">
        <v>×</v>
      </c>
      <c r="J883" s="4"/>
      <c r="K883" s="4"/>
      <c r="L883" s="4"/>
      <c r="M883" s="5" t="s">
        <v>15</v>
      </c>
    </row>
    <row r="884" customFormat="false" ht="15.75" hidden="false" customHeight="false" outlineLevel="0" collapsed="false">
      <c r="A884" s="3" t="n">
        <v>46229</v>
      </c>
      <c r="B884" s="4" t="s">
        <v>334</v>
      </c>
      <c r="C884" s="4" t="n">
        <v>11</v>
      </c>
      <c r="D884" s="4" t="n">
        <v>7</v>
      </c>
      <c r="E884" s="4" t="s">
        <v>899</v>
      </c>
      <c r="F884" s="4" t="n">
        <v>6</v>
      </c>
      <c r="G884" s="4" t="n">
        <v>10</v>
      </c>
      <c r="H884" s="4" t="n">
        <v>4</v>
      </c>
      <c r="I884" s="4" t="str">
        <v>×</v>
      </c>
      <c r="J884" s="4"/>
      <c r="K884" s="4"/>
      <c r="L884" s="4"/>
      <c r="M884" s="5" t="s">
        <v>15</v>
      </c>
    </row>
    <row r="885" customFormat="false" ht="15.75" hidden="false" customHeight="false" outlineLevel="0" collapsed="false">
      <c r="A885" s="3" t="n">
        <v>46229</v>
      </c>
      <c r="B885" s="4" t="s">
        <v>334</v>
      </c>
      <c r="C885" s="4" t="n">
        <v>11</v>
      </c>
      <c r="D885" s="4" t="n">
        <v>8</v>
      </c>
      <c r="E885" s="4" t="s">
        <v>900</v>
      </c>
      <c r="F885" s="4" t="n">
        <v>4</v>
      </c>
      <c r="G885" s="4" t="n">
        <v>12</v>
      </c>
      <c r="H885" s="4" t="n">
        <v>4</v>
      </c>
      <c r="I885" s="4" t="str">
        <v>×</v>
      </c>
      <c r="J885" s="4"/>
      <c r="K885" s="4"/>
      <c r="L885" s="4"/>
      <c r="M885" s="5" t="s">
        <v>15</v>
      </c>
    </row>
    <row r="886" customFormat="false" ht="15.75" hidden="false" customHeight="false" outlineLevel="0" collapsed="false">
      <c r="A886" s="3" t="n">
        <v>46229</v>
      </c>
      <c r="B886" s="4" t="s">
        <v>334</v>
      </c>
      <c r="C886" s="4" t="n">
        <v>11</v>
      </c>
      <c r="D886" s="4" t="n">
        <v>9</v>
      </c>
      <c r="E886" s="4" t="s">
        <v>901</v>
      </c>
      <c r="F886" s="4" t="n">
        <v>8</v>
      </c>
      <c r="G886" s="4" t="n">
        <v>9</v>
      </c>
      <c r="H886" s="4" t="n">
        <v>4</v>
      </c>
      <c r="I886" s="4" t="str">
        <v>×</v>
      </c>
      <c r="J886" s="4"/>
      <c r="K886" s="4"/>
      <c r="L886" s="4"/>
      <c r="M886" s="5" t="s">
        <v>15</v>
      </c>
    </row>
    <row r="887" customFormat="false" ht="15.75" hidden="false" customHeight="false" outlineLevel="0" collapsed="false">
      <c r="A887" s="3" t="n">
        <v>46229</v>
      </c>
      <c r="B887" s="4" t="s">
        <v>334</v>
      </c>
      <c r="C887" s="4" t="n">
        <v>11</v>
      </c>
      <c r="D887" s="4" t="n">
        <v>10</v>
      </c>
      <c r="E887" s="4" t="s">
        <v>902</v>
      </c>
      <c r="F887" s="4" t="n">
        <v>6</v>
      </c>
      <c r="G887" s="4" t="n">
        <v>10</v>
      </c>
      <c r="H887" s="4" t="n">
        <v>4</v>
      </c>
      <c r="I887" s="4" t="str">
        <v>×</v>
      </c>
      <c r="J887" s="4"/>
      <c r="K887" s="4"/>
      <c r="L887" s="4"/>
      <c r="M887" s="5" t="s">
        <v>15</v>
      </c>
    </row>
    <row r="888" customFormat="false" ht="15.75" hidden="false" customHeight="false" outlineLevel="0" collapsed="false">
      <c r="A888" s="3" t="n">
        <v>46229</v>
      </c>
      <c r="B888" s="4" t="s">
        <v>334</v>
      </c>
      <c r="C888" s="4" t="n">
        <v>11</v>
      </c>
      <c r="D888" s="4" t="n">
        <v>11</v>
      </c>
      <c r="E888" s="4" t="s">
        <v>903</v>
      </c>
      <c r="F888" s="4" t="n">
        <v>34</v>
      </c>
      <c r="G888" s="4" t="n">
        <v>3</v>
      </c>
      <c r="H888" s="4" t="n">
        <v>4</v>
      </c>
      <c r="I888" s="4" t="str">
        <v>×</v>
      </c>
      <c r="J888" s="4"/>
      <c r="K888" s="4"/>
      <c r="L888" s="4"/>
      <c r="M888" s="5" t="s">
        <v>15</v>
      </c>
    </row>
    <row r="889" customFormat="false" ht="15.75" hidden="false" customHeight="false" outlineLevel="0" collapsed="false">
      <c r="A889" s="3" t="n">
        <v>46229</v>
      </c>
      <c r="B889" s="4" t="s">
        <v>334</v>
      </c>
      <c r="C889" s="4" t="n">
        <v>11</v>
      </c>
      <c r="D889" s="4" t="n">
        <v>12</v>
      </c>
      <c r="E889" s="4" t="s">
        <v>904</v>
      </c>
      <c r="F889" s="4" t="n">
        <v>23</v>
      </c>
      <c r="G889" s="4" t="n">
        <v>5</v>
      </c>
      <c r="H889" s="4" t="n">
        <v>4</v>
      </c>
      <c r="I889" s="4" t="str">
        <v>×</v>
      </c>
      <c r="J889" s="4"/>
      <c r="K889" s="4"/>
      <c r="L889" s="4"/>
      <c r="M889" s="5" t="s">
        <v>15</v>
      </c>
    </row>
    <row r="890" customFormat="false" ht="15.75" hidden="false" customHeight="false" outlineLevel="0" collapsed="false">
      <c r="A890" s="3" t="n">
        <v>46229</v>
      </c>
      <c r="B890" s="4" t="s">
        <v>334</v>
      </c>
      <c r="C890" s="4" t="n">
        <v>11</v>
      </c>
      <c r="D890" s="4" t="n">
        <v>13</v>
      </c>
      <c r="E890" s="4" t="s">
        <v>905</v>
      </c>
      <c r="F890" s="4" t="n">
        <v>23</v>
      </c>
      <c r="G890" s="4" t="n">
        <v>5</v>
      </c>
      <c r="H890" s="4" t="n">
        <v>2</v>
      </c>
      <c r="I890" s="4" t="str">
        <v>○</v>
      </c>
      <c r="J890" s="4" t="n">
        <v>500</v>
      </c>
      <c r="K890" s="4"/>
      <c r="L890" s="4"/>
      <c r="M890" s="5" t="s">
        <v>15</v>
      </c>
    </row>
    <row r="891" customFormat="false" ht="15.75" hidden="false" customHeight="false" outlineLevel="0" collapsed="false">
      <c r="A891" s="3" t="n">
        <v>46229</v>
      </c>
      <c r="B891" s="4" t="s">
        <v>334</v>
      </c>
      <c r="C891" s="4" t="n">
        <v>12</v>
      </c>
      <c r="D891" s="4" t="n">
        <v>1</v>
      </c>
      <c r="E891" s="4" t="s">
        <v>906</v>
      </c>
      <c r="F891" s="4" t="n">
        <v>52</v>
      </c>
      <c r="G891" s="4" t="n">
        <v>2</v>
      </c>
      <c r="H891" s="4" t="n">
        <v>3</v>
      </c>
      <c r="I891" s="4" t="str">
        <v>○</v>
      </c>
      <c r="J891" s="4" t="n">
        <v>140</v>
      </c>
      <c r="K891" s="4"/>
      <c r="L891" s="4"/>
      <c r="M891" s="5" t="s">
        <v>15</v>
      </c>
    </row>
    <row r="892" customFormat="false" ht="15.75" hidden="false" customHeight="false" outlineLevel="0" collapsed="false">
      <c r="A892" s="3" t="n">
        <v>46229</v>
      </c>
      <c r="B892" s="4" t="s">
        <v>334</v>
      </c>
      <c r="C892" s="4" t="n">
        <v>12</v>
      </c>
      <c r="D892" s="4" t="n">
        <v>2</v>
      </c>
      <c r="E892" s="4" t="s">
        <v>907</v>
      </c>
      <c r="F892" s="4" t="n">
        <v>20</v>
      </c>
      <c r="G892" s="4" t="n">
        <v>5</v>
      </c>
      <c r="H892" s="4" t="n">
        <v>4</v>
      </c>
      <c r="I892" s="4" t="str">
        <v>×</v>
      </c>
      <c r="J892" s="4"/>
      <c r="K892" s="4"/>
      <c r="L892" s="4"/>
      <c r="M892" s="5" t="s">
        <v>15</v>
      </c>
    </row>
    <row r="893" customFormat="false" ht="15.75" hidden="false" customHeight="false" outlineLevel="0" collapsed="false">
      <c r="A893" s="3" t="n">
        <v>46229</v>
      </c>
      <c r="B893" s="4" t="s">
        <v>334</v>
      </c>
      <c r="C893" s="4" t="n">
        <v>12</v>
      </c>
      <c r="D893" s="4" t="n">
        <v>3</v>
      </c>
      <c r="E893" s="4" t="s">
        <v>908</v>
      </c>
      <c r="F893" s="4" t="n">
        <v>3</v>
      </c>
      <c r="G893" s="4" t="n">
        <v>9</v>
      </c>
      <c r="H893" s="4" t="n">
        <v>4</v>
      </c>
      <c r="I893" s="4" t="str">
        <v>×</v>
      </c>
      <c r="J893" s="4"/>
      <c r="K893" s="4"/>
      <c r="L893" s="4"/>
      <c r="M893" s="5" t="s">
        <v>15</v>
      </c>
    </row>
    <row r="894" customFormat="false" ht="15.75" hidden="false" customHeight="false" outlineLevel="0" collapsed="false">
      <c r="A894" s="3" t="n">
        <v>46229</v>
      </c>
      <c r="B894" s="4" t="s">
        <v>334</v>
      </c>
      <c r="C894" s="4" t="n">
        <v>12</v>
      </c>
      <c r="D894" s="4" t="n">
        <v>4</v>
      </c>
      <c r="E894" s="4" t="s">
        <v>909</v>
      </c>
      <c r="F894" s="4" t="n">
        <v>13</v>
      </c>
      <c r="G894" s="4" t="n">
        <v>6</v>
      </c>
      <c r="H894" s="4" t="n">
        <v>1</v>
      </c>
      <c r="I894" s="4" t="str">
        <v>○</v>
      </c>
      <c r="J894" s="4" t="n">
        <v>620</v>
      </c>
      <c r="K894" s="4"/>
      <c r="L894" s="4"/>
      <c r="M894" s="5" t="s">
        <v>15</v>
      </c>
    </row>
    <row r="895" customFormat="false" ht="15.75" hidden="false" customHeight="false" outlineLevel="0" collapsed="false">
      <c r="A895" s="3" t="n">
        <v>46229</v>
      </c>
      <c r="B895" s="4" t="s">
        <v>334</v>
      </c>
      <c r="C895" s="4" t="n">
        <v>12</v>
      </c>
      <c r="D895" s="4" t="n">
        <v>5</v>
      </c>
      <c r="E895" s="4" t="s">
        <v>910</v>
      </c>
      <c r="F895" s="4" t="n">
        <v>10</v>
      </c>
      <c r="G895" s="4" t="n">
        <v>7</v>
      </c>
      <c r="H895" s="4" t="n">
        <v>4</v>
      </c>
      <c r="I895" s="4" t="str">
        <v>×</v>
      </c>
      <c r="J895" s="4"/>
      <c r="K895" s="4"/>
      <c r="L895" s="4"/>
      <c r="M895" s="5" t="s">
        <v>15</v>
      </c>
    </row>
    <row r="896" customFormat="false" ht="15.75" hidden="false" customHeight="false" outlineLevel="0" collapsed="false">
      <c r="A896" s="3" t="n">
        <v>46229</v>
      </c>
      <c r="B896" s="4" t="s">
        <v>334</v>
      </c>
      <c r="C896" s="4" t="n">
        <v>12</v>
      </c>
      <c r="D896" s="4" t="n">
        <v>6</v>
      </c>
      <c r="E896" s="4" t="s">
        <v>911</v>
      </c>
      <c r="F896" s="4" t="n">
        <v>10</v>
      </c>
      <c r="G896" s="4" t="n">
        <v>7</v>
      </c>
      <c r="H896" s="4" t="n">
        <v>2</v>
      </c>
      <c r="I896" s="4" t="str">
        <v>○</v>
      </c>
      <c r="J896" s="4" t="n">
        <v>490</v>
      </c>
      <c r="K896" s="4"/>
      <c r="L896" s="4"/>
      <c r="M896" s="5" t="s">
        <v>15</v>
      </c>
    </row>
    <row r="897" customFormat="false" ht="15.75" hidden="false" customHeight="false" outlineLevel="0" collapsed="false">
      <c r="A897" s="3" t="n">
        <v>46229</v>
      </c>
      <c r="B897" s="4" t="s">
        <v>334</v>
      </c>
      <c r="C897" s="4" t="n">
        <v>12</v>
      </c>
      <c r="D897" s="4" t="n">
        <v>7</v>
      </c>
      <c r="E897" s="4" t="s">
        <v>912</v>
      </c>
      <c r="F897" s="4" t="n">
        <v>34</v>
      </c>
      <c r="G897" s="4" t="n">
        <v>3</v>
      </c>
      <c r="H897" s="4" t="n">
        <v>4</v>
      </c>
      <c r="I897" s="4" t="str">
        <v>×</v>
      </c>
      <c r="J897" s="4"/>
      <c r="K897" s="4"/>
      <c r="L897" s="4"/>
      <c r="M897" s="5" t="s">
        <v>15</v>
      </c>
    </row>
    <row r="898" customFormat="false" ht="15.75" hidden="false" customHeight="false" outlineLevel="0" collapsed="false">
      <c r="A898" s="3" t="n">
        <v>46229</v>
      </c>
      <c r="B898" s="4" t="s">
        <v>334</v>
      </c>
      <c r="C898" s="4" t="n">
        <v>12</v>
      </c>
      <c r="D898" s="4" t="n">
        <v>8</v>
      </c>
      <c r="E898" s="4" t="s">
        <v>913</v>
      </c>
      <c r="F898" s="4" t="n">
        <v>62</v>
      </c>
      <c r="G898" s="4" t="n">
        <v>1</v>
      </c>
      <c r="H898" s="4" t="n">
        <v>4</v>
      </c>
      <c r="I898" s="4" t="str">
        <v>×</v>
      </c>
      <c r="J898" s="4"/>
      <c r="K898" s="4"/>
      <c r="L898" s="4"/>
      <c r="M898" s="5" t="s">
        <v>15</v>
      </c>
    </row>
    <row r="899" customFormat="false" ht="15.75" hidden="false" customHeight="false" outlineLevel="0" collapsed="false">
      <c r="A899" s="3" t="n">
        <v>46229</v>
      </c>
      <c r="B899" s="4" t="s">
        <v>334</v>
      </c>
      <c r="C899" s="4" t="n">
        <v>12</v>
      </c>
      <c r="D899" s="4" t="n">
        <v>9</v>
      </c>
      <c r="E899" s="4" t="s">
        <v>914</v>
      </c>
      <c r="F899" s="4" t="n">
        <v>34</v>
      </c>
      <c r="G899" s="4" t="n">
        <v>3</v>
      </c>
      <c r="H899" s="4" t="n">
        <v>4</v>
      </c>
      <c r="I899" s="4" t="str">
        <v>×</v>
      </c>
      <c r="J899" s="4"/>
      <c r="K899" s="4"/>
      <c r="L899" s="4"/>
      <c r="M899" s="5" t="s">
        <v>15</v>
      </c>
    </row>
    <row r="900" customFormat="false" ht="15.75" hidden="false" customHeight="false" outlineLevel="0" collapsed="false">
      <c r="A900" s="3" t="n">
        <v>46221</v>
      </c>
      <c r="B900" s="4" t="s">
        <v>915</v>
      </c>
      <c r="C900" s="4" t="n">
        <v>1</v>
      </c>
      <c r="D900" s="4" t="n">
        <v>1</v>
      </c>
      <c r="E900" s="4" t="s">
        <v>916</v>
      </c>
      <c r="F900" s="4" t="n">
        <v>3</v>
      </c>
      <c r="G900" s="4" t="n">
        <v>10</v>
      </c>
      <c r="H900" s="4" t="n">
        <v>4</v>
      </c>
      <c r="I900" s="4" t="str">
        <v>×</v>
      </c>
      <c r="J900" s="4"/>
      <c r="K900" s="4"/>
      <c r="L900" s="4"/>
      <c r="M900" s="5" t="s">
        <v>917</v>
      </c>
    </row>
    <row r="901" customFormat="false" ht="15.75" hidden="false" customHeight="false" outlineLevel="0" collapsed="false">
      <c r="A901" s="3" t="n">
        <v>46221</v>
      </c>
      <c r="B901" s="4" t="s">
        <v>915</v>
      </c>
      <c r="C901" s="4" t="n">
        <v>1</v>
      </c>
      <c r="D901" s="4" t="n">
        <v>2</v>
      </c>
      <c r="E901" s="4" t="s">
        <v>918</v>
      </c>
      <c r="F901" s="4" t="n">
        <v>13</v>
      </c>
      <c r="G901" s="4" t="n">
        <v>6</v>
      </c>
      <c r="H901" s="4" t="n">
        <v>4</v>
      </c>
      <c r="I901" s="4" t="str">
        <v>×</v>
      </c>
      <c r="J901" s="4"/>
      <c r="K901" s="4"/>
      <c r="L901" s="4"/>
      <c r="M901" s="5" t="s">
        <v>917</v>
      </c>
    </row>
    <row r="902" customFormat="false" ht="15.75" hidden="false" customHeight="false" outlineLevel="0" collapsed="false">
      <c r="A902" s="3" t="n">
        <v>46221</v>
      </c>
      <c r="B902" s="4" t="s">
        <v>915</v>
      </c>
      <c r="C902" s="4" t="n">
        <v>1</v>
      </c>
      <c r="D902" s="4" t="n">
        <v>3</v>
      </c>
      <c r="E902" s="4" t="s">
        <v>919</v>
      </c>
      <c r="F902" s="4" t="n">
        <v>10</v>
      </c>
      <c r="G902" s="4" t="n">
        <v>7</v>
      </c>
      <c r="H902" s="4" t="n">
        <v>4</v>
      </c>
      <c r="I902" s="4" t="str">
        <v>×</v>
      </c>
      <c r="J902" s="4"/>
      <c r="K902" s="4"/>
      <c r="L902" s="4"/>
      <c r="M902" s="5" t="s">
        <v>917</v>
      </c>
    </row>
    <row r="903" customFormat="false" ht="15.75" hidden="false" customHeight="false" outlineLevel="0" collapsed="false">
      <c r="A903" s="3" t="n">
        <v>46221</v>
      </c>
      <c r="B903" s="4" t="s">
        <v>915</v>
      </c>
      <c r="C903" s="4" t="n">
        <v>1</v>
      </c>
      <c r="D903" s="4" t="n">
        <v>4</v>
      </c>
      <c r="E903" s="4" t="s">
        <v>920</v>
      </c>
      <c r="F903" s="4" t="n">
        <v>81</v>
      </c>
      <c r="G903" s="4" t="n">
        <v>1</v>
      </c>
      <c r="H903" s="4" t="n">
        <v>4</v>
      </c>
      <c r="I903" s="4" t="str">
        <v>×</v>
      </c>
      <c r="J903" s="4"/>
      <c r="K903" s="4" t="n">
        <v>1.1</v>
      </c>
      <c r="L903" s="4" t="n">
        <v>1.1</v>
      </c>
      <c r="M903" s="5" t="s">
        <v>917</v>
      </c>
    </row>
    <row r="904" customFormat="false" ht="15.75" hidden="false" customHeight="false" outlineLevel="0" collapsed="false">
      <c r="A904" s="3" t="n">
        <v>46221</v>
      </c>
      <c r="B904" s="4" t="s">
        <v>915</v>
      </c>
      <c r="C904" s="4" t="n">
        <v>1</v>
      </c>
      <c r="D904" s="4" t="n">
        <v>5</v>
      </c>
      <c r="E904" s="4" t="s">
        <v>921</v>
      </c>
      <c r="F904" s="4" t="n">
        <v>41</v>
      </c>
      <c r="G904" s="4" t="n">
        <v>3</v>
      </c>
      <c r="H904" s="4" t="n">
        <v>2</v>
      </c>
      <c r="I904" s="4" t="str">
        <v>○</v>
      </c>
      <c r="J904" s="4" t="n">
        <v>330</v>
      </c>
      <c r="K904" s="4"/>
      <c r="L904" s="4"/>
      <c r="M904" s="5" t="s">
        <v>917</v>
      </c>
    </row>
    <row r="905" customFormat="false" ht="15.75" hidden="false" customHeight="false" outlineLevel="0" collapsed="false">
      <c r="A905" s="3" t="n">
        <v>46221</v>
      </c>
      <c r="B905" s="4" t="s">
        <v>915</v>
      </c>
      <c r="C905" s="4" t="n">
        <v>1</v>
      </c>
      <c r="D905" s="4" t="n">
        <v>6</v>
      </c>
      <c r="E905" s="4" t="s">
        <v>922</v>
      </c>
      <c r="F905" s="4" t="n">
        <v>13</v>
      </c>
      <c r="G905" s="4" t="n">
        <v>6</v>
      </c>
      <c r="H905" s="4" t="n">
        <v>4</v>
      </c>
      <c r="I905" s="4" t="str">
        <v>×</v>
      </c>
      <c r="J905" s="4"/>
      <c r="K905" s="4"/>
      <c r="L905" s="4"/>
      <c r="M905" s="5" t="s">
        <v>917</v>
      </c>
    </row>
    <row r="906" customFormat="false" ht="15.75" hidden="false" customHeight="false" outlineLevel="0" collapsed="false">
      <c r="A906" s="3" t="n">
        <v>46221</v>
      </c>
      <c r="B906" s="4" t="s">
        <v>915</v>
      </c>
      <c r="C906" s="4" t="n">
        <v>1</v>
      </c>
      <c r="D906" s="4" t="n">
        <v>7</v>
      </c>
      <c r="E906" s="4" t="s">
        <v>923</v>
      </c>
      <c r="F906" s="4" t="n">
        <v>6</v>
      </c>
      <c r="G906" s="4" t="n">
        <v>8</v>
      </c>
      <c r="H906" s="4" t="n">
        <v>4</v>
      </c>
      <c r="I906" s="4" t="str">
        <v>×</v>
      </c>
      <c r="J906" s="4"/>
      <c r="K906" s="4"/>
      <c r="L906" s="4"/>
      <c r="M906" s="5" t="s">
        <v>917</v>
      </c>
    </row>
    <row r="907" customFormat="false" ht="15.75" hidden="false" customHeight="false" outlineLevel="0" collapsed="false">
      <c r="A907" s="3" t="n">
        <v>46221</v>
      </c>
      <c r="B907" s="4" t="s">
        <v>915</v>
      </c>
      <c r="C907" s="4" t="n">
        <v>1</v>
      </c>
      <c r="D907" s="4" t="n">
        <v>8</v>
      </c>
      <c r="E907" s="4" t="s">
        <v>924</v>
      </c>
      <c r="F907" s="4" t="n">
        <v>66</v>
      </c>
      <c r="G907" s="4" t="n">
        <v>2</v>
      </c>
      <c r="H907" s="4" t="n">
        <v>3</v>
      </c>
      <c r="I907" s="4" t="str">
        <v>○</v>
      </c>
      <c r="J907" s="4" t="n">
        <v>280</v>
      </c>
      <c r="K907" s="4"/>
      <c r="L907" s="4"/>
      <c r="M907" s="5" t="s">
        <v>917</v>
      </c>
    </row>
    <row r="908" customFormat="false" ht="15.75" hidden="false" customHeight="false" outlineLevel="0" collapsed="false">
      <c r="A908" s="3" t="n">
        <v>46221</v>
      </c>
      <c r="B908" s="4" t="s">
        <v>915</v>
      </c>
      <c r="C908" s="4" t="n">
        <v>1</v>
      </c>
      <c r="D908" s="4" t="n">
        <v>9</v>
      </c>
      <c r="E908" s="4" t="s">
        <v>925</v>
      </c>
      <c r="F908" s="4" t="n">
        <v>6</v>
      </c>
      <c r="G908" s="4" t="n">
        <v>8</v>
      </c>
      <c r="H908" s="4" t="n">
        <v>4</v>
      </c>
      <c r="I908" s="4" t="str">
        <v>×</v>
      </c>
      <c r="J908" s="4"/>
      <c r="K908" s="4"/>
      <c r="L908" s="4"/>
      <c r="M908" s="5" t="s">
        <v>917</v>
      </c>
    </row>
    <row r="909" customFormat="false" ht="15.75" hidden="false" customHeight="false" outlineLevel="0" collapsed="false">
      <c r="A909" s="3" t="n">
        <v>46221</v>
      </c>
      <c r="B909" s="4" t="s">
        <v>915</v>
      </c>
      <c r="C909" s="4" t="n">
        <v>1</v>
      </c>
      <c r="D909" s="4" t="n">
        <v>10</v>
      </c>
      <c r="E909" s="4" t="s">
        <v>926</v>
      </c>
      <c r="F909" s="4" t="n">
        <v>4</v>
      </c>
      <c r="G909" s="4" t="n">
        <v>9</v>
      </c>
      <c r="H909" s="4" t="n">
        <v>4</v>
      </c>
      <c r="I909" s="4" t="str">
        <v>×</v>
      </c>
      <c r="J909" s="4"/>
      <c r="K909" s="4"/>
      <c r="L909" s="4"/>
      <c r="M909" s="5" t="s">
        <v>917</v>
      </c>
    </row>
    <row r="910" customFormat="false" ht="15.75" hidden="false" customHeight="false" outlineLevel="0" collapsed="false">
      <c r="A910" s="3" t="n">
        <v>46221</v>
      </c>
      <c r="B910" s="4" t="s">
        <v>915</v>
      </c>
      <c r="C910" s="4" t="n">
        <v>1</v>
      </c>
      <c r="D910" s="4" t="n">
        <v>11</v>
      </c>
      <c r="E910" s="4" t="s">
        <v>927</v>
      </c>
      <c r="F910" s="4" t="n">
        <v>17</v>
      </c>
      <c r="G910" s="4" t="n">
        <v>5</v>
      </c>
      <c r="H910" s="4" t="n">
        <v>4</v>
      </c>
      <c r="I910" s="4" t="str">
        <v>×</v>
      </c>
      <c r="J910" s="4"/>
      <c r="K910" s="4"/>
      <c r="L910" s="4"/>
      <c r="M910" s="5" t="s">
        <v>917</v>
      </c>
    </row>
    <row r="911" customFormat="false" ht="15.75" hidden="false" customHeight="false" outlineLevel="0" collapsed="false">
      <c r="A911" s="3" t="n">
        <v>46221</v>
      </c>
      <c r="B911" s="4" t="s">
        <v>915</v>
      </c>
      <c r="C911" s="4" t="n">
        <v>1</v>
      </c>
      <c r="D911" s="4" t="n">
        <v>12</v>
      </c>
      <c r="E911" s="4" t="s">
        <v>928</v>
      </c>
      <c r="F911" s="4" t="n">
        <v>37</v>
      </c>
      <c r="G911" s="4" t="n">
        <v>4</v>
      </c>
      <c r="H911" s="4" t="n">
        <v>1</v>
      </c>
      <c r="I911" s="4" t="str">
        <v>○</v>
      </c>
      <c r="J911" s="4" t="n">
        <v>290</v>
      </c>
      <c r="K911" s="4"/>
      <c r="L911" s="4"/>
      <c r="M911" s="5" t="s">
        <v>917</v>
      </c>
    </row>
    <row r="912" customFormat="false" ht="15.75" hidden="false" customHeight="false" outlineLevel="0" collapsed="false">
      <c r="A912" s="3" t="n">
        <v>46221</v>
      </c>
      <c r="B912" s="4" t="s">
        <v>915</v>
      </c>
      <c r="C912" s="4" t="n">
        <v>1</v>
      </c>
      <c r="D912" s="4" t="n">
        <v>13</v>
      </c>
      <c r="E912" s="4" t="s">
        <v>929</v>
      </c>
      <c r="F912" s="4" t="n">
        <v>3</v>
      </c>
      <c r="G912" s="4" t="n">
        <v>10</v>
      </c>
      <c r="H912" s="4" t="n">
        <v>4</v>
      </c>
      <c r="I912" s="4" t="str">
        <v>×</v>
      </c>
      <c r="J912" s="4"/>
      <c r="K912" s="4"/>
      <c r="L912" s="4"/>
      <c r="M912" s="5" t="s">
        <v>917</v>
      </c>
    </row>
    <row r="913" customFormat="false" ht="15.75" hidden="false" customHeight="false" outlineLevel="0" collapsed="false">
      <c r="A913" s="3" t="n">
        <v>46221</v>
      </c>
      <c r="B913" s="4" t="s">
        <v>915</v>
      </c>
      <c r="C913" s="4" t="n">
        <v>2</v>
      </c>
      <c r="D913" s="4" t="n">
        <v>1</v>
      </c>
      <c r="E913" s="4" t="s">
        <v>930</v>
      </c>
      <c r="F913" s="4" t="n">
        <v>58</v>
      </c>
      <c r="G913" s="4" t="n">
        <v>2</v>
      </c>
      <c r="H913" s="4" t="n">
        <v>3</v>
      </c>
      <c r="I913" s="4" t="str">
        <v>○</v>
      </c>
      <c r="J913" s="4" t="n">
        <v>110</v>
      </c>
      <c r="K913" s="4"/>
      <c r="L913" s="4"/>
      <c r="M913" s="5" t="s">
        <v>917</v>
      </c>
    </row>
    <row r="914" customFormat="false" ht="15.75" hidden="false" customHeight="false" outlineLevel="0" collapsed="false">
      <c r="A914" s="3" t="n">
        <v>46221</v>
      </c>
      <c r="B914" s="4" t="s">
        <v>915</v>
      </c>
      <c r="C914" s="4" t="n">
        <v>2</v>
      </c>
      <c r="D914" s="4" t="n">
        <v>2</v>
      </c>
      <c r="E914" s="4" t="s">
        <v>931</v>
      </c>
      <c r="F914" s="4" t="n">
        <v>81</v>
      </c>
      <c r="G914" s="4" t="n">
        <v>1</v>
      </c>
      <c r="H914" s="4" t="n">
        <v>1</v>
      </c>
      <c r="I914" s="4" t="str">
        <v>○</v>
      </c>
      <c r="J914" s="4" t="n">
        <v>110</v>
      </c>
      <c r="K914" s="4" t="n">
        <v>1.1</v>
      </c>
      <c r="L914" s="4" t="n">
        <v>1.2</v>
      </c>
      <c r="M914" s="5" t="s">
        <v>917</v>
      </c>
    </row>
    <row r="915" customFormat="false" ht="15.75" hidden="false" customHeight="false" outlineLevel="0" collapsed="false">
      <c r="A915" s="3" t="n">
        <v>46221</v>
      </c>
      <c r="B915" s="4" t="s">
        <v>915</v>
      </c>
      <c r="C915" s="4" t="n">
        <v>2</v>
      </c>
      <c r="D915" s="4" t="n">
        <v>3</v>
      </c>
      <c r="E915" s="4" t="s">
        <v>932</v>
      </c>
      <c r="F915" s="4" t="n">
        <v>39</v>
      </c>
      <c r="G915" s="4" t="n">
        <v>3</v>
      </c>
      <c r="H915" s="4" t="n">
        <v>2</v>
      </c>
      <c r="I915" s="4" t="str">
        <v>○</v>
      </c>
      <c r="J915" s="4" t="n">
        <v>150</v>
      </c>
      <c r="K915" s="4"/>
      <c r="L915" s="4"/>
      <c r="M915" s="5" t="s">
        <v>917</v>
      </c>
    </row>
    <row r="916" customFormat="false" ht="15.75" hidden="false" customHeight="false" outlineLevel="0" collapsed="false">
      <c r="A916" s="3" t="n">
        <v>46221</v>
      </c>
      <c r="B916" s="4" t="s">
        <v>915</v>
      </c>
      <c r="C916" s="4" t="n">
        <v>2</v>
      </c>
      <c r="D916" s="4" t="n">
        <v>4</v>
      </c>
      <c r="E916" s="4" t="s">
        <v>933</v>
      </c>
      <c r="F916" s="4" t="n">
        <v>25</v>
      </c>
      <c r="G916" s="4" t="n">
        <v>4</v>
      </c>
      <c r="H916" s="4" t="n">
        <v>4</v>
      </c>
      <c r="I916" s="4" t="str">
        <v>×</v>
      </c>
      <c r="J916" s="4"/>
      <c r="K916" s="4"/>
      <c r="L916" s="4"/>
      <c r="M916" s="5" t="s">
        <v>917</v>
      </c>
    </row>
    <row r="917" customFormat="false" ht="15.75" hidden="false" customHeight="false" outlineLevel="0" collapsed="false">
      <c r="A917" s="3" t="n">
        <v>46221</v>
      </c>
      <c r="B917" s="4" t="s">
        <v>915</v>
      </c>
      <c r="C917" s="4" t="n">
        <v>2</v>
      </c>
      <c r="D917" s="4" t="n">
        <v>5</v>
      </c>
      <c r="E917" s="4" t="s">
        <v>934</v>
      </c>
      <c r="F917" s="4" t="n">
        <v>8</v>
      </c>
      <c r="G917" s="4" t="n">
        <v>8</v>
      </c>
      <c r="H917" s="4" t="n">
        <v>4</v>
      </c>
      <c r="I917" s="4" t="str">
        <v>×</v>
      </c>
      <c r="J917" s="4"/>
      <c r="K917" s="4"/>
      <c r="L917" s="4"/>
      <c r="M917" s="5" t="s">
        <v>917</v>
      </c>
    </row>
    <row r="918" customFormat="false" ht="15.75" hidden="false" customHeight="false" outlineLevel="0" collapsed="false">
      <c r="A918" s="3" t="n">
        <v>46221</v>
      </c>
      <c r="B918" s="4" t="s">
        <v>915</v>
      </c>
      <c r="C918" s="4" t="n">
        <v>2</v>
      </c>
      <c r="D918" s="4" t="n">
        <v>6</v>
      </c>
      <c r="E918" s="4" t="s">
        <v>935</v>
      </c>
      <c r="F918" s="4" t="n">
        <v>23</v>
      </c>
      <c r="G918" s="4" t="n">
        <v>5</v>
      </c>
      <c r="H918" s="4" t="n">
        <v>4</v>
      </c>
      <c r="I918" s="4" t="str">
        <v>×</v>
      </c>
      <c r="J918" s="4"/>
      <c r="K918" s="4"/>
      <c r="L918" s="4"/>
      <c r="M918" s="5" t="s">
        <v>917</v>
      </c>
    </row>
    <row r="919" customFormat="false" ht="15.75" hidden="false" customHeight="false" outlineLevel="0" collapsed="false">
      <c r="A919" s="3" t="n">
        <v>46221</v>
      </c>
      <c r="B919" s="4" t="s">
        <v>915</v>
      </c>
      <c r="C919" s="4" t="n">
        <v>2</v>
      </c>
      <c r="D919" s="4" t="n">
        <v>7</v>
      </c>
      <c r="E919" s="4" t="s">
        <v>936</v>
      </c>
      <c r="F919" s="4" t="n">
        <v>6</v>
      </c>
      <c r="G919" s="4" t="n">
        <v>9</v>
      </c>
      <c r="H919" s="4" t="n">
        <v>4</v>
      </c>
      <c r="I919" s="4" t="str">
        <v>×</v>
      </c>
      <c r="J919" s="4"/>
      <c r="K919" s="4"/>
      <c r="L919" s="4"/>
      <c r="M919" s="5" t="s">
        <v>917</v>
      </c>
    </row>
    <row r="920" customFormat="false" ht="15.75" hidden="false" customHeight="false" outlineLevel="0" collapsed="false">
      <c r="A920" s="3" t="n">
        <v>46221</v>
      </c>
      <c r="B920" s="4" t="s">
        <v>915</v>
      </c>
      <c r="C920" s="4" t="n">
        <v>2</v>
      </c>
      <c r="D920" s="4" t="n">
        <v>8</v>
      </c>
      <c r="E920" s="4" t="s">
        <v>937</v>
      </c>
      <c r="F920" s="4" t="n">
        <v>17</v>
      </c>
      <c r="G920" s="4" t="n">
        <v>6</v>
      </c>
      <c r="H920" s="4" t="n">
        <v>4</v>
      </c>
      <c r="I920" s="4" t="str">
        <v>×</v>
      </c>
      <c r="J920" s="4"/>
      <c r="K920" s="4"/>
      <c r="L920" s="4"/>
      <c r="M920" s="5" t="s">
        <v>917</v>
      </c>
    </row>
    <row r="921" customFormat="false" ht="15.75" hidden="false" customHeight="false" outlineLevel="0" collapsed="false">
      <c r="A921" s="3" t="n">
        <v>46221</v>
      </c>
      <c r="B921" s="4" t="s">
        <v>915</v>
      </c>
      <c r="C921" s="4" t="n">
        <v>2</v>
      </c>
      <c r="D921" s="4" t="n">
        <v>9</v>
      </c>
      <c r="E921" s="4" t="s">
        <v>938</v>
      </c>
      <c r="F921" s="4" t="n">
        <v>15</v>
      </c>
      <c r="G921" s="4" t="n">
        <v>7</v>
      </c>
      <c r="H921" s="4" t="n">
        <v>4</v>
      </c>
      <c r="I921" s="4" t="str">
        <v>×</v>
      </c>
      <c r="J921" s="4"/>
      <c r="K921" s="4"/>
      <c r="L921" s="4"/>
      <c r="M921" s="5" t="s">
        <v>917</v>
      </c>
    </row>
    <row r="922" customFormat="false" ht="15.75" hidden="false" customHeight="false" outlineLevel="0" collapsed="false">
      <c r="A922" s="3" t="n">
        <v>46221</v>
      </c>
      <c r="B922" s="4" t="s">
        <v>915</v>
      </c>
      <c r="C922" s="4" t="n">
        <v>3</v>
      </c>
      <c r="D922" s="4" t="n">
        <v>1</v>
      </c>
      <c r="E922" s="4" t="s">
        <v>939</v>
      </c>
      <c r="F922" s="4" t="n">
        <v>3</v>
      </c>
      <c r="G922" s="4" t="n">
        <v>9</v>
      </c>
      <c r="H922" s="4" t="n">
        <v>4</v>
      </c>
      <c r="I922" s="4" t="str">
        <v>×</v>
      </c>
      <c r="J922" s="4"/>
      <c r="K922" s="4"/>
      <c r="L922" s="4"/>
      <c r="M922" s="5" t="s">
        <v>917</v>
      </c>
    </row>
    <row r="923" customFormat="false" ht="15.75" hidden="false" customHeight="false" outlineLevel="0" collapsed="false">
      <c r="A923" s="3" t="n">
        <v>46221</v>
      </c>
      <c r="B923" s="4" t="s">
        <v>915</v>
      </c>
      <c r="C923" s="4" t="n">
        <v>3</v>
      </c>
      <c r="D923" s="4" t="n">
        <v>2</v>
      </c>
      <c r="E923" s="4" t="s">
        <v>940</v>
      </c>
      <c r="F923" s="4" t="n">
        <v>10</v>
      </c>
      <c r="G923" s="4" t="n">
        <v>6</v>
      </c>
      <c r="H923" s="4" t="n">
        <v>4</v>
      </c>
      <c r="I923" s="4" t="str">
        <v>×</v>
      </c>
      <c r="J923" s="4"/>
      <c r="K923" s="4"/>
      <c r="L923" s="4"/>
      <c r="M923" s="5" t="s">
        <v>917</v>
      </c>
    </row>
    <row r="924" customFormat="false" ht="15.75" hidden="false" customHeight="false" outlineLevel="0" collapsed="false">
      <c r="A924" s="3" t="n">
        <v>46221</v>
      </c>
      <c r="B924" s="4" t="s">
        <v>915</v>
      </c>
      <c r="C924" s="4" t="n">
        <v>3</v>
      </c>
      <c r="D924" s="4" t="n">
        <v>3</v>
      </c>
      <c r="E924" s="4" t="s">
        <v>941</v>
      </c>
      <c r="F924" s="4" t="n">
        <v>6</v>
      </c>
      <c r="G924" s="4" t="n">
        <v>7</v>
      </c>
      <c r="H924" s="4" t="n">
        <v>4</v>
      </c>
      <c r="I924" s="4" t="str">
        <v>×</v>
      </c>
      <c r="J924" s="4"/>
      <c r="K924" s="4"/>
      <c r="L924" s="4"/>
      <c r="M924" s="5" t="s">
        <v>917</v>
      </c>
    </row>
    <row r="925" customFormat="false" ht="15.75" hidden="false" customHeight="false" outlineLevel="0" collapsed="false">
      <c r="A925" s="3" t="n">
        <v>46221</v>
      </c>
      <c r="B925" s="4" t="s">
        <v>915</v>
      </c>
      <c r="C925" s="4" t="n">
        <v>3</v>
      </c>
      <c r="D925" s="4" t="n">
        <v>4</v>
      </c>
      <c r="E925" s="4" t="s">
        <v>942</v>
      </c>
      <c r="F925" s="4" t="n">
        <v>3</v>
      </c>
      <c r="G925" s="4" t="n">
        <v>9</v>
      </c>
      <c r="H925" s="4" t="n">
        <v>4</v>
      </c>
      <c r="I925" s="4" t="str">
        <v>×</v>
      </c>
      <c r="J925" s="4"/>
      <c r="K925" s="4"/>
      <c r="L925" s="4"/>
      <c r="M925" s="5" t="s">
        <v>917</v>
      </c>
    </row>
    <row r="926" customFormat="false" ht="15.75" hidden="false" customHeight="false" outlineLevel="0" collapsed="false">
      <c r="A926" s="3" t="n">
        <v>46221</v>
      </c>
      <c r="B926" s="4" t="s">
        <v>915</v>
      </c>
      <c r="C926" s="4" t="n">
        <v>3</v>
      </c>
      <c r="D926" s="4" t="n">
        <v>5</v>
      </c>
      <c r="E926" s="4" t="s">
        <v>943</v>
      </c>
      <c r="F926" s="4" t="n">
        <v>17</v>
      </c>
      <c r="G926" s="4" t="n">
        <v>5</v>
      </c>
      <c r="H926" s="4" t="n">
        <v>4</v>
      </c>
      <c r="I926" s="4" t="str">
        <v>×</v>
      </c>
      <c r="J926" s="4"/>
      <c r="K926" s="4"/>
      <c r="L926" s="4"/>
      <c r="M926" s="5" t="s">
        <v>917</v>
      </c>
    </row>
    <row r="927" customFormat="false" ht="15.75" hidden="false" customHeight="false" outlineLevel="0" collapsed="false">
      <c r="A927" s="3" t="n">
        <v>46221</v>
      </c>
      <c r="B927" s="4" t="s">
        <v>915</v>
      </c>
      <c r="C927" s="4" t="n">
        <v>3</v>
      </c>
      <c r="D927" s="4" t="n">
        <v>6</v>
      </c>
      <c r="E927" s="4" t="s">
        <v>944</v>
      </c>
      <c r="F927" s="4" t="n">
        <v>52</v>
      </c>
      <c r="G927" s="4" t="n">
        <v>2</v>
      </c>
      <c r="H927" s="4" t="n">
        <v>2</v>
      </c>
      <c r="I927" s="4" t="str">
        <v>○</v>
      </c>
      <c r="J927" s="4" t="n">
        <v>120</v>
      </c>
      <c r="K927" s="4"/>
      <c r="L927" s="4"/>
      <c r="M927" s="5" t="s">
        <v>917</v>
      </c>
    </row>
    <row r="928" customFormat="false" ht="15.75" hidden="false" customHeight="false" outlineLevel="0" collapsed="false">
      <c r="A928" s="3" t="n">
        <v>46221</v>
      </c>
      <c r="B928" s="4" t="s">
        <v>915</v>
      </c>
      <c r="C928" s="4" t="n">
        <v>3</v>
      </c>
      <c r="D928" s="4" t="n">
        <v>7</v>
      </c>
      <c r="E928" s="4" t="s">
        <v>945</v>
      </c>
      <c r="F928" s="4" t="n">
        <v>3</v>
      </c>
      <c r="G928" s="4" t="n">
        <v>9</v>
      </c>
      <c r="H928" s="4" t="n">
        <v>4</v>
      </c>
      <c r="I928" s="4" t="str">
        <v>×</v>
      </c>
      <c r="J928" s="4"/>
      <c r="K928" s="4"/>
      <c r="L928" s="4"/>
      <c r="M928" s="5" t="s">
        <v>917</v>
      </c>
    </row>
    <row r="929" customFormat="false" ht="15.75" hidden="false" customHeight="false" outlineLevel="0" collapsed="false">
      <c r="A929" s="3" t="n">
        <v>46221</v>
      </c>
      <c r="B929" s="4" t="s">
        <v>915</v>
      </c>
      <c r="C929" s="4" t="n">
        <v>3</v>
      </c>
      <c r="D929" s="4" t="n">
        <v>8</v>
      </c>
      <c r="E929" s="4" t="s">
        <v>946</v>
      </c>
      <c r="F929" s="4" t="n">
        <v>1</v>
      </c>
      <c r="G929" s="4" t="n">
        <v>10</v>
      </c>
      <c r="H929" s="4" t="n">
        <v>4</v>
      </c>
      <c r="I929" s="4" t="str">
        <v>×</v>
      </c>
      <c r="J929" s="4"/>
      <c r="K929" s="4"/>
      <c r="L929" s="4"/>
      <c r="M929" s="5" t="s">
        <v>917</v>
      </c>
    </row>
    <row r="930" customFormat="false" ht="15.75" hidden="false" customHeight="false" outlineLevel="0" collapsed="false">
      <c r="A930" s="3" t="n">
        <v>46221</v>
      </c>
      <c r="B930" s="4" t="s">
        <v>915</v>
      </c>
      <c r="C930" s="4" t="n">
        <v>3</v>
      </c>
      <c r="D930" s="4" t="n">
        <v>9</v>
      </c>
      <c r="E930" s="4" t="s">
        <v>947</v>
      </c>
      <c r="F930" s="4" t="n">
        <v>62</v>
      </c>
      <c r="G930" s="4" t="n">
        <v>1</v>
      </c>
      <c r="H930" s="4" t="n">
        <v>3</v>
      </c>
      <c r="I930" s="4" t="str">
        <v>○</v>
      </c>
      <c r="J930" s="4" t="n">
        <v>120</v>
      </c>
      <c r="K930" s="4"/>
      <c r="L930" s="4"/>
      <c r="M930" s="5" t="s">
        <v>917</v>
      </c>
    </row>
    <row r="931" customFormat="false" ht="15.75" hidden="false" customHeight="false" outlineLevel="0" collapsed="false">
      <c r="A931" s="3" t="n">
        <v>46221</v>
      </c>
      <c r="B931" s="4" t="s">
        <v>915</v>
      </c>
      <c r="C931" s="4" t="n">
        <v>3</v>
      </c>
      <c r="D931" s="4" t="n">
        <v>10</v>
      </c>
      <c r="E931" s="4" t="s">
        <v>948</v>
      </c>
      <c r="F931" s="4" t="n">
        <v>3</v>
      </c>
      <c r="G931" s="4" t="n">
        <v>9</v>
      </c>
      <c r="H931" s="4" t="n">
        <v>4</v>
      </c>
      <c r="I931" s="4" t="str">
        <v>×</v>
      </c>
      <c r="J931" s="4"/>
      <c r="K931" s="4"/>
      <c r="L931" s="4"/>
      <c r="M931" s="5" t="s">
        <v>917</v>
      </c>
    </row>
    <row r="932" customFormat="false" ht="15.75" hidden="false" customHeight="false" outlineLevel="0" collapsed="false">
      <c r="A932" s="3" t="n">
        <v>46221</v>
      </c>
      <c r="B932" s="4" t="s">
        <v>915</v>
      </c>
      <c r="C932" s="4" t="n">
        <v>3</v>
      </c>
      <c r="D932" s="4" t="n">
        <v>11</v>
      </c>
      <c r="E932" s="4" t="s">
        <v>949</v>
      </c>
      <c r="F932" s="4" t="n">
        <v>4</v>
      </c>
      <c r="G932" s="4" t="n">
        <v>8</v>
      </c>
      <c r="H932" s="4" t="n">
        <v>4</v>
      </c>
      <c r="I932" s="4" t="str">
        <v>×</v>
      </c>
      <c r="J932" s="4"/>
      <c r="K932" s="4"/>
      <c r="L932" s="4"/>
      <c r="M932" s="5" t="s">
        <v>917</v>
      </c>
    </row>
    <row r="933" customFormat="false" ht="15.75" hidden="false" customHeight="false" outlineLevel="0" collapsed="false">
      <c r="A933" s="3" t="n">
        <v>46221</v>
      </c>
      <c r="B933" s="4" t="s">
        <v>915</v>
      </c>
      <c r="C933" s="4" t="n">
        <v>3</v>
      </c>
      <c r="D933" s="4" t="n">
        <v>12</v>
      </c>
      <c r="E933" s="4" t="s">
        <v>950</v>
      </c>
      <c r="F933" s="4" t="n">
        <v>4</v>
      </c>
      <c r="G933" s="4" t="n">
        <v>8</v>
      </c>
      <c r="H933" s="4" t="n">
        <v>4</v>
      </c>
      <c r="I933" s="4" t="str">
        <v>×</v>
      </c>
      <c r="J933" s="4"/>
      <c r="K933" s="4"/>
      <c r="L933" s="4"/>
      <c r="M933" s="5" t="s">
        <v>917</v>
      </c>
    </row>
    <row r="934" customFormat="false" ht="15.75" hidden="false" customHeight="false" outlineLevel="0" collapsed="false">
      <c r="A934" s="3" t="n">
        <v>46221</v>
      </c>
      <c r="B934" s="4" t="s">
        <v>915</v>
      </c>
      <c r="C934" s="4" t="n">
        <v>3</v>
      </c>
      <c r="D934" s="4" t="n">
        <v>13</v>
      </c>
      <c r="E934" s="4" t="s">
        <v>951</v>
      </c>
      <c r="F934" s="4" t="n">
        <v>34</v>
      </c>
      <c r="G934" s="4" t="n">
        <v>3</v>
      </c>
      <c r="H934" s="4" t="n">
        <v>1</v>
      </c>
      <c r="I934" s="4" t="str">
        <v>○</v>
      </c>
      <c r="J934" s="4" t="n">
        <v>140</v>
      </c>
      <c r="K934" s="4"/>
      <c r="L934" s="4"/>
      <c r="M934" s="5" t="s">
        <v>917</v>
      </c>
    </row>
    <row r="935" customFormat="false" ht="15.75" hidden="false" customHeight="false" outlineLevel="0" collapsed="false">
      <c r="A935" s="3" t="n">
        <v>46221</v>
      </c>
      <c r="B935" s="4" t="s">
        <v>915</v>
      </c>
      <c r="C935" s="4" t="n">
        <v>3</v>
      </c>
      <c r="D935" s="4" t="n">
        <v>14</v>
      </c>
      <c r="E935" s="4" t="s">
        <v>952</v>
      </c>
      <c r="F935" s="4" t="n">
        <v>6</v>
      </c>
      <c r="G935" s="4" t="n">
        <v>7</v>
      </c>
      <c r="H935" s="4" t="n">
        <v>4</v>
      </c>
      <c r="I935" s="4" t="str">
        <v>×</v>
      </c>
      <c r="J935" s="4"/>
      <c r="K935" s="4"/>
      <c r="L935" s="4"/>
      <c r="M935" s="5" t="s">
        <v>917</v>
      </c>
    </row>
    <row r="936" customFormat="false" ht="15.75" hidden="false" customHeight="false" outlineLevel="0" collapsed="false">
      <c r="A936" s="3" t="n">
        <v>46221</v>
      </c>
      <c r="B936" s="4" t="s">
        <v>915</v>
      </c>
      <c r="C936" s="4" t="n">
        <v>3</v>
      </c>
      <c r="D936" s="4" t="n">
        <v>15</v>
      </c>
      <c r="E936" s="4" t="s">
        <v>953</v>
      </c>
      <c r="F936" s="4" t="n">
        <v>29</v>
      </c>
      <c r="G936" s="4" t="n">
        <v>4</v>
      </c>
      <c r="H936" s="4" t="n">
        <v>4</v>
      </c>
      <c r="I936" s="4" t="str">
        <v>×</v>
      </c>
      <c r="J936" s="4"/>
      <c r="K936" s="4"/>
      <c r="L936" s="4"/>
      <c r="M936" s="5" t="s">
        <v>917</v>
      </c>
    </row>
    <row r="937" customFormat="false" ht="15.75" hidden="false" customHeight="false" outlineLevel="0" collapsed="false">
      <c r="A937" s="3" t="n">
        <v>46221</v>
      </c>
      <c r="B937" s="4" t="s">
        <v>915</v>
      </c>
      <c r="C937" s="4" t="n">
        <v>3</v>
      </c>
      <c r="D937" s="4" t="n">
        <v>16</v>
      </c>
      <c r="E937" s="4" t="s">
        <v>954</v>
      </c>
      <c r="F937" s="4" t="n">
        <v>17</v>
      </c>
      <c r="G937" s="4" t="n">
        <v>5</v>
      </c>
      <c r="H937" s="4" t="n">
        <v>4</v>
      </c>
      <c r="I937" s="4" t="str">
        <v>×</v>
      </c>
      <c r="J937" s="4"/>
      <c r="K937" s="4"/>
      <c r="L937" s="4"/>
      <c r="M937" s="5" t="s">
        <v>917</v>
      </c>
    </row>
    <row r="938" customFormat="false" ht="15.75" hidden="false" customHeight="false" outlineLevel="0" collapsed="false">
      <c r="A938" s="3" t="n">
        <v>46221</v>
      </c>
      <c r="B938" s="4" t="s">
        <v>915</v>
      </c>
      <c r="C938" s="4" t="n">
        <v>4</v>
      </c>
      <c r="D938" s="4" t="n">
        <v>1</v>
      </c>
      <c r="E938" s="4" t="s">
        <v>955</v>
      </c>
      <c r="F938" s="4" t="n">
        <v>3</v>
      </c>
      <c r="G938" s="4" t="n">
        <v>13</v>
      </c>
      <c r="H938" s="4" t="n">
        <v>4</v>
      </c>
      <c r="I938" s="4" t="str">
        <v>×</v>
      </c>
      <c r="J938" s="4"/>
      <c r="K938" s="4"/>
      <c r="L938" s="4"/>
      <c r="M938" s="5" t="s">
        <v>917</v>
      </c>
    </row>
    <row r="939" customFormat="false" ht="15.75" hidden="false" customHeight="false" outlineLevel="0" collapsed="false">
      <c r="A939" s="3" t="n">
        <v>46221</v>
      </c>
      <c r="B939" s="4" t="s">
        <v>915</v>
      </c>
      <c r="C939" s="4" t="n">
        <v>4</v>
      </c>
      <c r="D939" s="4" t="n">
        <v>2</v>
      </c>
      <c r="E939" s="4" t="s">
        <v>956</v>
      </c>
      <c r="F939" s="4" t="n">
        <v>44</v>
      </c>
      <c r="G939" s="4" t="n">
        <v>2</v>
      </c>
      <c r="H939" s="4" t="n">
        <v>4</v>
      </c>
      <c r="I939" s="4" t="str">
        <v>×</v>
      </c>
      <c r="J939" s="4"/>
      <c r="K939" s="4"/>
      <c r="L939" s="4"/>
      <c r="M939" s="5" t="s">
        <v>917</v>
      </c>
    </row>
    <row r="940" customFormat="false" ht="15.75" hidden="false" customHeight="false" outlineLevel="0" collapsed="false">
      <c r="A940" s="3" t="n">
        <v>46221</v>
      </c>
      <c r="B940" s="4" t="s">
        <v>915</v>
      </c>
      <c r="C940" s="4" t="n">
        <v>4</v>
      </c>
      <c r="D940" s="4" t="n">
        <v>3</v>
      </c>
      <c r="E940" s="4" t="s">
        <v>957</v>
      </c>
      <c r="F940" s="4" t="n">
        <v>68</v>
      </c>
      <c r="G940" s="4" t="n">
        <v>1</v>
      </c>
      <c r="H940" s="4" t="n">
        <v>4</v>
      </c>
      <c r="I940" s="4" t="str">
        <v>×</v>
      </c>
      <c r="J940" s="4"/>
      <c r="K940" s="4"/>
      <c r="L940" s="4"/>
      <c r="M940" s="5" t="s">
        <v>917</v>
      </c>
    </row>
    <row r="941" customFormat="false" ht="15.75" hidden="false" customHeight="false" outlineLevel="0" collapsed="false">
      <c r="A941" s="3" t="n">
        <v>46221</v>
      </c>
      <c r="B941" s="4" t="s">
        <v>915</v>
      </c>
      <c r="C941" s="4" t="n">
        <v>4</v>
      </c>
      <c r="D941" s="4" t="n">
        <v>4</v>
      </c>
      <c r="E941" s="4" t="s">
        <v>958</v>
      </c>
      <c r="F941" s="4" t="n">
        <v>23</v>
      </c>
      <c r="G941" s="4" t="n">
        <v>7</v>
      </c>
      <c r="H941" s="4" t="n">
        <v>2</v>
      </c>
      <c r="I941" s="4" t="str">
        <v>○</v>
      </c>
      <c r="J941" s="4" t="n">
        <v>290</v>
      </c>
      <c r="K941" s="4"/>
      <c r="L941" s="4"/>
      <c r="M941" s="5" t="s">
        <v>917</v>
      </c>
    </row>
    <row r="942" customFormat="false" ht="15.75" hidden="false" customHeight="false" outlineLevel="0" collapsed="false">
      <c r="A942" s="3" t="n">
        <v>46221</v>
      </c>
      <c r="B942" s="4" t="s">
        <v>915</v>
      </c>
      <c r="C942" s="4" t="n">
        <v>4</v>
      </c>
      <c r="D942" s="4" t="n">
        <v>5</v>
      </c>
      <c r="E942" s="4" t="s">
        <v>959</v>
      </c>
      <c r="F942" s="4" t="n">
        <v>2</v>
      </c>
      <c r="G942" s="4" t="n">
        <v>14</v>
      </c>
      <c r="H942" s="4" t="n">
        <v>4</v>
      </c>
      <c r="I942" s="4" t="str">
        <v>×</v>
      </c>
      <c r="J942" s="4"/>
      <c r="K942" s="4"/>
      <c r="L942" s="4"/>
      <c r="M942" s="5" t="s">
        <v>917</v>
      </c>
    </row>
    <row r="943" customFormat="false" ht="15.75" hidden="false" customHeight="false" outlineLevel="0" collapsed="false">
      <c r="A943" s="3" t="n">
        <v>46221</v>
      </c>
      <c r="B943" s="4" t="s">
        <v>915</v>
      </c>
      <c r="C943" s="4" t="n">
        <v>4</v>
      </c>
      <c r="D943" s="4" t="n">
        <v>6</v>
      </c>
      <c r="E943" s="4" t="s">
        <v>960</v>
      </c>
      <c r="F943" s="4" t="n">
        <v>31</v>
      </c>
      <c r="G943" s="4" t="n">
        <v>4</v>
      </c>
      <c r="H943" s="4" t="n">
        <v>4</v>
      </c>
      <c r="I943" s="4" t="str">
        <v>×</v>
      </c>
      <c r="J943" s="4"/>
      <c r="K943" s="4"/>
      <c r="L943" s="4"/>
      <c r="M943" s="5" t="s">
        <v>917</v>
      </c>
    </row>
    <row r="944" customFormat="false" ht="15.75" hidden="false" customHeight="false" outlineLevel="0" collapsed="false">
      <c r="A944" s="3" t="n">
        <v>46221</v>
      </c>
      <c r="B944" s="4" t="s">
        <v>915</v>
      </c>
      <c r="C944" s="4" t="n">
        <v>4</v>
      </c>
      <c r="D944" s="4" t="n">
        <v>7</v>
      </c>
      <c r="E944" s="4" t="s">
        <v>961</v>
      </c>
      <c r="F944" s="4" t="n">
        <v>13</v>
      </c>
      <c r="G944" s="4" t="n">
        <v>9</v>
      </c>
      <c r="H944" s="4" t="n">
        <v>4</v>
      </c>
      <c r="I944" s="4" t="str">
        <v>×</v>
      </c>
      <c r="J944" s="4"/>
      <c r="K944" s="4"/>
      <c r="L944" s="4"/>
      <c r="M944" s="5" t="s">
        <v>917</v>
      </c>
    </row>
    <row r="945" customFormat="false" ht="15.75" hidden="false" customHeight="false" outlineLevel="0" collapsed="false">
      <c r="A945" s="3" t="n">
        <v>46221</v>
      </c>
      <c r="B945" s="4" t="s">
        <v>915</v>
      </c>
      <c r="C945" s="4" t="n">
        <v>4</v>
      </c>
      <c r="D945" s="4" t="n">
        <v>8</v>
      </c>
      <c r="E945" s="4" t="s">
        <v>962</v>
      </c>
      <c r="F945" s="4" t="n">
        <v>10</v>
      </c>
      <c r="G945" s="4" t="n">
        <v>10</v>
      </c>
      <c r="H945" s="4" t="n">
        <v>4</v>
      </c>
      <c r="I945" s="4" t="str">
        <v>×</v>
      </c>
      <c r="J945" s="4"/>
      <c r="K945" s="4"/>
      <c r="L945" s="4"/>
      <c r="M945" s="5" t="s">
        <v>917</v>
      </c>
    </row>
    <row r="946" customFormat="false" ht="15.75" hidden="false" customHeight="false" outlineLevel="0" collapsed="false">
      <c r="A946" s="3" t="n">
        <v>46221</v>
      </c>
      <c r="B946" s="4" t="s">
        <v>915</v>
      </c>
      <c r="C946" s="4" t="n">
        <v>4</v>
      </c>
      <c r="D946" s="4" t="n">
        <v>9</v>
      </c>
      <c r="E946" s="4" t="s">
        <v>963</v>
      </c>
      <c r="F946" s="4" t="n">
        <v>15</v>
      </c>
      <c r="G946" s="4" t="n">
        <v>8</v>
      </c>
      <c r="H946" s="4" t="n">
        <v>3</v>
      </c>
      <c r="I946" s="4" t="str">
        <v>○</v>
      </c>
      <c r="J946" s="4" t="n">
        <v>400</v>
      </c>
      <c r="K946" s="4"/>
      <c r="L946" s="4"/>
      <c r="M946" s="5" t="s">
        <v>917</v>
      </c>
    </row>
    <row r="947" customFormat="false" ht="15.75" hidden="false" customHeight="false" outlineLevel="0" collapsed="false">
      <c r="A947" s="3" t="n">
        <v>46221</v>
      </c>
      <c r="B947" s="4" t="s">
        <v>915</v>
      </c>
      <c r="C947" s="4" t="n">
        <v>4</v>
      </c>
      <c r="D947" s="4" t="n">
        <v>10</v>
      </c>
      <c r="E947" s="4" t="s">
        <v>964</v>
      </c>
      <c r="F947" s="4" t="n">
        <v>25</v>
      </c>
      <c r="G947" s="4" t="n">
        <v>6</v>
      </c>
      <c r="H947" s="4" t="n">
        <v>4</v>
      </c>
      <c r="I947" s="4" t="str">
        <v>×</v>
      </c>
      <c r="J947" s="4"/>
      <c r="K947" s="4"/>
      <c r="L947" s="4"/>
      <c r="M947" s="5" t="s">
        <v>917</v>
      </c>
    </row>
    <row r="948" customFormat="false" ht="15.75" hidden="false" customHeight="false" outlineLevel="0" collapsed="false">
      <c r="A948" s="3" t="n">
        <v>46221</v>
      </c>
      <c r="B948" s="4" t="s">
        <v>915</v>
      </c>
      <c r="C948" s="4" t="n">
        <v>4</v>
      </c>
      <c r="D948" s="4" t="n">
        <v>11</v>
      </c>
      <c r="E948" s="4" t="s">
        <v>965</v>
      </c>
      <c r="F948" s="4" t="n">
        <v>39</v>
      </c>
      <c r="G948" s="4" t="n">
        <v>3</v>
      </c>
      <c r="H948" s="4" t="n">
        <v>4</v>
      </c>
      <c r="I948" s="4" t="str">
        <v>×</v>
      </c>
      <c r="J948" s="4"/>
      <c r="K948" s="4"/>
      <c r="L948" s="4"/>
      <c r="M948" s="5" t="s">
        <v>917</v>
      </c>
    </row>
    <row r="949" customFormat="false" ht="15.75" hidden="false" customHeight="false" outlineLevel="0" collapsed="false">
      <c r="A949" s="3" t="n">
        <v>46221</v>
      </c>
      <c r="B949" s="4" t="s">
        <v>915</v>
      </c>
      <c r="C949" s="4" t="n">
        <v>4</v>
      </c>
      <c r="D949" s="4" t="n">
        <v>12</v>
      </c>
      <c r="E949" s="4" t="s">
        <v>966</v>
      </c>
      <c r="F949" s="4" t="n">
        <v>29</v>
      </c>
      <c r="G949" s="4" t="n">
        <v>5</v>
      </c>
      <c r="H949" s="4" t="n">
        <v>1</v>
      </c>
      <c r="I949" s="4" t="str">
        <v>○</v>
      </c>
      <c r="J949" s="4" t="n">
        <v>170</v>
      </c>
      <c r="K949" s="4"/>
      <c r="L949" s="4"/>
      <c r="M949" s="5" t="s">
        <v>917</v>
      </c>
    </row>
    <row r="950" customFormat="false" ht="15.75" hidden="false" customHeight="false" outlineLevel="0" collapsed="false">
      <c r="A950" s="3" t="n">
        <v>46221</v>
      </c>
      <c r="B950" s="4" t="s">
        <v>915</v>
      </c>
      <c r="C950" s="4" t="n">
        <v>4</v>
      </c>
      <c r="D950" s="4" t="n">
        <v>13</v>
      </c>
      <c r="E950" s="4" t="s">
        <v>967</v>
      </c>
      <c r="F950" s="4" t="n">
        <v>8</v>
      </c>
      <c r="G950" s="4" t="n">
        <v>11</v>
      </c>
      <c r="H950" s="4" t="n">
        <v>4</v>
      </c>
      <c r="I950" s="4" t="str">
        <v>×</v>
      </c>
      <c r="J950" s="4"/>
      <c r="K950" s="4"/>
      <c r="L950" s="4"/>
      <c r="M950" s="5" t="s">
        <v>917</v>
      </c>
    </row>
    <row r="951" customFormat="false" ht="15.75" hidden="false" customHeight="false" outlineLevel="0" collapsed="false">
      <c r="A951" s="3" t="n">
        <v>46221</v>
      </c>
      <c r="B951" s="4" t="s">
        <v>915</v>
      </c>
      <c r="C951" s="4" t="n">
        <v>4</v>
      </c>
      <c r="D951" s="4" t="n">
        <v>14</v>
      </c>
      <c r="E951" s="4" t="s">
        <v>968</v>
      </c>
      <c r="F951" s="4" t="n">
        <v>2</v>
      </c>
      <c r="G951" s="4" t="n">
        <v>14</v>
      </c>
      <c r="H951" s="4" t="n">
        <v>4</v>
      </c>
      <c r="I951" s="4" t="str">
        <v>×</v>
      </c>
      <c r="J951" s="4"/>
      <c r="K951" s="4"/>
      <c r="L951" s="4"/>
      <c r="M951" s="5" t="s">
        <v>917</v>
      </c>
    </row>
    <row r="952" customFormat="false" ht="15.75" hidden="false" customHeight="false" outlineLevel="0" collapsed="false">
      <c r="A952" s="3" t="n">
        <v>46221</v>
      </c>
      <c r="B952" s="4" t="s">
        <v>915</v>
      </c>
      <c r="C952" s="4" t="n">
        <v>4</v>
      </c>
      <c r="D952" s="4" t="n">
        <v>15</v>
      </c>
      <c r="E952" s="4" t="s">
        <v>969</v>
      </c>
      <c r="F952" s="4" t="n">
        <v>4</v>
      </c>
      <c r="G952" s="4" t="n">
        <v>12</v>
      </c>
      <c r="H952" s="4" t="n">
        <v>4</v>
      </c>
      <c r="I952" s="4" t="str">
        <v>×</v>
      </c>
      <c r="J952" s="4"/>
      <c r="K952" s="4"/>
      <c r="L952" s="4"/>
      <c r="M952" s="5" t="s">
        <v>917</v>
      </c>
    </row>
    <row r="953" customFormat="false" ht="15.75" hidden="false" customHeight="false" outlineLevel="0" collapsed="false">
      <c r="A953" s="3" t="n">
        <v>46221</v>
      </c>
      <c r="B953" s="4" t="s">
        <v>915</v>
      </c>
      <c r="C953" s="4" t="n">
        <v>4</v>
      </c>
      <c r="D953" s="4" t="n">
        <v>16</v>
      </c>
      <c r="E953" s="4" t="s">
        <v>970</v>
      </c>
      <c r="F953" s="4" t="n">
        <v>3</v>
      </c>
      <c r="G953" s="4" t="n">
        <v>13</v>
      </c>
      <c r="H953" s="4" t="n">
        <v>4</v>
      </c>
      <c r="I953" s="4" t="str">
        <v>×</v>
      </c>
      <c r="J953" s="4"/>
      <c r="K953" s="4"/>
      <c r="L953" s="4"/>
      <c r="M953" s="5" t="s">
        <v>917</v>
      </c>
    </row>
    <row r="954" customFormat="false" ht="15.75" hidden="false" customHeight="false" outlineLevel="0" collapsed="false">
      <c r="A954" s="3" t="n">
        <v>46221</v>
      </c>
      <c r="B954" s="4" t="s">
        <v>915</v>
      </c>
      <c r="C954" s="4" t="n">
        <v>5</v>
      </c>
      <c r="D954" s="4" t="n">
        <v>1</v>
      </c>
      <c r="E954" s="4" t="s">
        <v>971</v>
      </c>
      <c r="F954" s="4" t="n">
        <v>27</v>
      </c>
      <c r="G954" s="4" t="n">
        <v>2</v>
      </c>
      <c r="H954" s="4" t="n">
        <v>3</v>
      </c>
      <c r="I954" s="4" t="str">
        <v>○</v>
      </c>
      <c r="J954" s="4" t="n">
        <v>190</v>
      </c>
      <c r="K954" s="4"/>
      <c r="L954" s="4"/>
      <c r="M954" s="5" t="s">
        <v>917</v>
      </c>
    </row>
    <row r="955" customFormat="false" ht="15.75" hidden="false" customHeight="false" outlineLevel="0" collapsed="false">
      <c r="A955" s="3" t="n">
        <v>46221</v>
      </c>
      <c r="B955" s="4" t="s">
        <v>915</v>
      </c>
      <c r="C955" s="4" t="n">
        <v>5</v>
      </c>
      <c r="D955" s="4" t="n">
        <v>2</v>
      </c>
      <c r="E955" s="4" t="s">
        <v>972</v>
      </c>
      <c r="F955" s="4" t="n">
        <v>27</v>
      </c>
      <c r="G955" s="4" t="n">
        <v>2</v>
      </c>
      <c r="H955" s="4" t="n">
        <v>1</v>
      </c>
      <c r="I955" s="4" t="str">
        <v>○</v>
      </c>
      <c r="J955" s="4" t="n">
        <v>140</v>
      </c>
      <c r="K955" s="4"/>
      <c r="L955" s="4"/>
      <c r="M955" s="5" t="s">
        <v>917</v>
      </c>
    </row>
    <row r="956" customFormat="false" ht="15.75" hidden="false" customHeight="false" outlineLevel="0" collapsed="false">
      <c r="A956" s="3" t="n">
        <v>46221</v>
      </c>
      <c r="B956" s="4" t="s">
        <v>915</v>
      </c>
      <c r="C956" s="4" t="n">
        <v>5</v>
      </c>
      <c r="D956" s="4" t="n">
        <v>3</v>
      </c>
      <c r="E956" s="4" t="s">
        <v>973</v>
      </c>
      <c r="F956" s="4" t="n">
        <v>27</v>
      </c>
      <c r="G956" s="4" t="n">
        <v>2</v>
      </c>
      <c r="H956" s="4" t="n">
        <v>4</v>
      </c>
      <c r="I956" s="4" t="str">
        <v>×</v>
      </c>
      <c r="J956" s="4"/>
      <c r="K956" s="4"/>
      <c r="L956" s="4"/>
      <c r="M956" s="5" t="s">
        <v>917</v>
      </c>
    </row>
    <row r="957" customFormat="false" ht="15.75" hidden="false" customHeight="false" outlineLevel="0" collapsed="false">
      <c r="A957" s="3" t="n">
        <v>46221</v>
      </c>
      <c r="B957" s="4" t="s">
        <v>915</v>
      </c>
      <c r="C957" s="4" t="n">
        <v>5</v>
      </c>
      <c r="D957" s="4" t="n">
        <v>4</v>
      </c>
      <c r="E957" s="4" t="s">
        <v>974</v>
      </c>
      <c r="F957" s="4" t="n">
        <v>12</v>
      </c>
      <c r="G957" s="4" t="n">
        <v>6</v>
      </c>
      <c r="H957" s="4" t="n">
        <v>4</v>
      </c>
      <c r="I957" s="4" t="str">
        <v>×</v>
      </c>
      <c r="J957" s="4"/>
      <c r="K957" s="4"/>
      <c r="L957" s="4"/>
      <c r="M957" s="5" t="s">
        <v>917</v>
      </c>
    </row>
    <row r="958" customFormat="false" ht="15.75" hidden="false" customHeight="false" outlineLevel="0" collapsed="false">
      <c r="A958" s="3" t="n">
        <v>46221</v>
      </c>
      <c r="B958" s="4" t="s">
        <v>915</v>
      </c>
      <c r="C958" s="4" t="n">
        <v>5</v>
      </c>
      <c r="D958" s="4" t="n">
        <v>5</v>
      </c>
      <c r="E958" s="4" t="s">
        <v>975</v>
      </c>
      <c r="F958" s="4" t="n">
        <v>8</v>
      </c>
      <c r="G958" s="4" t="n">
        <v>7</v>
      </c>
      <c r="H958" s="4" t="n">
        <v>4</v>
      </c>
      <c r="I958" s="4" t="str">
        <v>×</v>
      </c>
      <c r="J958" s="4"/>
      <c r="K958" s="4"/>
      <c r="L958" s="4"/>
      <c r="M958" s="5" t="s">
        <v>917</v>
      </c>
    </row>
    <row r="959" customFormat="false" ht="15.75" hidden="false" customHeight="false" outlineLevel="0" collapsed="false">
      <c r="A959" s="3" t="n">
        <v>46221</v>
      </c>
      <c r="B959" s="4" t="s">
        <v>915</v>
      </c>
      <c r="C959" s="4" t="n">
        <v>5</v>
      </c>
      <c r="D959" s="4" t="n">
        <v>6</v>
      </c>
      <c r="E959" s="4" t="s">
        <v>976</v>
      </c>
      <c r="F959" s="4" t="n">
        <v>24</v>
      </c>
      <c r="G959" s="4" t="n">
        <v>3</v>
      </c>
      <c r="H959" s="4" t="n">
        <v>4</v>
      </c>
      <c r="I959" s="4" t="str">
        <v>×</v>
      </c>
      <c r="J959" s="4"/>
      <c r="K959" s="4"/>
      <c r="L959" s="4"/>
      <c r="M959" s="5" t="s">
        <v>917</v>
      </c>
    </row>
    <row r="960" customFormat="false" ht="15.75" hidden="false" customHeight="false" outlineLevel="0" collapsed="false">
      <c r="A960" s="3" t="n">
        <v>46221</v>
      </c>
      <c r="B960" s="4" t="s">
        <v>915</v>
      </c>
      <c r="C960" s="4" t="n">
        <v>5</v>
      </c>
      <c r="D960" s="4" t="n">
        <v>7</v>
      </c>
      <c r="E960" s="4" t="s">
        <v>977</v>
      </c>
      <c r="F960" s="4" t="n">
        <v>12</v>
      </c>
      <c r="G960" s="4" t="n">
        <v>6</v>
      </c>
      <c r="H960" s="4" t="n">
        <v>4</v>
      </c>
      <c r="I960" s="4" t="str">
        <v>×</v>
      </c>
      <c r="J960" s="4"/>
      <c r="K960" s="4"/>
      <c r="L960" s="4"/>
      <c r="M960" s="5" t="s">
        <v>917</v>
      </c>
    </row>
    <row r="961" customFormat="false" ht="15.75" hidden="false" customHeight="false" outlineLevel="0" collapsed="false">
      <c r="A961" s="3" t="n">
        <v>46221</v>
      </c>
      <c r="B961" s="4" t="s">
        <v>915</v>
      </c>
      <c r="C961" s="4" t="n">
        <v>5</v>
      </c>
      <c r="D961" s="4" t="n">
        <v>8</v>
      </c>
      <c r="E961" s="4" t="s">
        <v>978</v>
      </c>
      <c r="F961" s="4" t="n">
        <v>8</v>
      </c>
      <c r="G961" s="4" t="n">
        <v>7</v>
      </c>
      <c r="H961" s="4" t="n">
        <v>4</v>
      </c>
      <c r="I961" s="4" t="str">
        <v>×</v>
      </c>
      <c r="J961" s="4"/>
      <c r="K961" s="4"/>
      <c r="L961" s="4"/>
      <c r="M961" s="5" t="s">
        <v>917</v>
      </c>
    </row>
    <row r="962" customFormat="false" ht="15.75" hidden="false" customHeight="false" outlineLevel="0" collapsed="false">
      <c r="A962" s="3" t="n">
        <v>46221</v>
      </c>
      <c r="B962" s="4" t="s">
        <v>915</v>
      </c>
      <c r="C962" s="4" t="n">
        <v>5</v>
      </c>
      <c r="D962" s="4" t="n">
        <v>9</v>
      </c>
      <c r="E962" s="4" t="s">
        <v>979</v>
      </c>
      <c r="F962" s="4" t="n">
        <v>31</v>
      </c>
      <c r="G962" s="4" t="n">
        <v>1</v>
      </c>
      <c r="H962" s="4" t="n">
        <v>4</v>
      </c>
      <c r="I962" s="4" t="str">
        <v>×</v>
      </c>
      <c r="J962" s="4"/>
      <c r="K962" s="4"/>
      <c r="L962" s="4"/>
      <c r="M962" s="5" t="s">
        <v>917</v>
      </c>
    </row>
    <row r="963" customFormat="false" ht="15.75" hidden="false" customHeight="false" outlineLevel="0" collapsed="false">
      <c r="A963" s="3" t="n">
        <v>46221</v>
      </c>
      <c r="B963" s="4" t="s">
        <v>915</v>
      </c>
      <c r="C963" s="4" t="n">
        <v>5</v>
      </c>
      <c r="D963" s="4" t="n">
        <v>10</v>
      </c>
      <c r="E963" s="4" t="s">
        <v>980</v>
      </c>
      <c r="F963" s="4" t="n">
        <v>8</v>
      </c>
      <c r="G963" s="4" t="n">
        <v>7</v>
      </c>
      <c r="H963" s="4" t="n">
        <v>4</v>
      </c>
      <c r="I963" s="4" t="str">
        <v>×</v>
      </c>
      <c r="J963" s="4"/>
      <c r="K963" s="4"/>
      <c r="L963" s="4"/>
      <c r="M963" s="5" t="s">
        <v>917</v>
      </c>
    </row>
    <row r="964" customFormat="false" ht="15.75" hidden="false" customHeight="false" outlineLevel="0" collapsed="false">
      <c r="A964" s="3" t="n">
        <v>46221</v>
      </c>
      <c r="B964" s="4" t="s">
        <v>915</v>
      </c>
      <c r="C964" s="4" t="n">
        <v>5</v>
      </c>
      <c r="D964" s="4" t="n">
        <v>11</v>
      </c>
      <c r="E964" s="4" t="s">
        <v>981</v>
      </c>
      <c r="F964" s="4" t="n">
        <v>21</v>
      </c>
      <c r="G964" s="4" t="n">
        <v>4</v>
      </c>
      <c r="H964" s="4" t="n">
        <v>4</v>
      </c>
      <c r="I964" s="4" t="str">
        <v>×</v>
      </c>
      <c r="J964" s="4"/>
      <c r="K964" s="4"/>
      <c r="L964" s="4"/>
      <c r="M964" s="5" t="s">
        <v>917</v>
      </c>
    </row>
    <row r="965" customFormat="false" ht="15.75" hidden="false" customHeight="false" outlineLevel="0" collapsed="false">
      <c r="A965" s="3" t="n">
        <v>46221</v>
      </c>
      <c r="B965" s="4" t="s">
        <v>915</v>
      </c>
      <c r="C965" s="4" t="n">
        <v>5</v>
      </c>
      <c r="D965" s="4" t="n">
        <v>12</v>
      </c>
      <c r="E965" s="4" t="s">
        <v>982</v>
      </c>
      <c r="F965" s="4" t="n">
        <v>12</v>
      </c>
      <c r="G965" s="4" t="n">
        <v>6</v>
      </c>
      <c r="H965" s="4" t="n">
        <v>4</v>
      </c>
      <c r="I965" s="4" t="str">
        <v>×</v>
      </c>
      <c r="J965" s="4"/>
      <c r="K965" s="4"/>
      <c r="L965" s="4"/>
      <c r="M965" s="5" t="s">
        <v>917</v>
      </c>
    </row>
    <row r="966" customFormat="false" ht="15.75" hidden="false" customHeight="false" outlineLevel="0" collapsed="false">
      <c r="A966" s="3" t="n">
        <v>46221</v>
      </c>
      <c r="B966" s="4" t="s">
        <v>915</v>
      </c>
      <c r="C966" s="4" t="n">
        <v>5</v>
      </c>
      <c r="D966" s="4" t="n">
        <v>13</v>
      </c>
      <c r="E966" s="4" t="s">
        <v>983</v>
      </c>
      <c r="F966" s="4" t="n">
        <v>21</v>
      </c>
      <c r="G966" s="4" t="n">
        <v>4</v>
      </c>
      <c r="H966" s="4" t="n">
        <v>2</v>
      </c>
      <c r="I966" s="4" t="str">
        <v>○</v>
      </c>
      <c r="J966" s="4" t="n">
        <v>280</v>
      </c>
      <c r="K966" s="4"/>
      <c r="L966" s="4"/>
      <c r="M966" s="5" t="s">
        <v>917</v>
      </c>
    </row>
    <row r="967" customFormat="false" ht="15.75" hidden="false" customHeight="false" outlineLevel="0" collapsed="false">
      <c r="A967" s="3" t="n">
        <v>46221</v>
      </c>
      <c r="B967" s="4" t="s">
        <v>915</v>
      </c>
      <c r="C967" s="4" t="n">
        <v>5</v>
      </c>
      <c r="D967" s="4" t="n">
        <v>14</v>
      </c>
      <c r="E967" s="4" t="s">
        <v>984</v>
      </c>
      <c r="F967" s="4" t="n">
        <v>8</v>
      </c>
      <c r="G967" s="4" t="n">
        <v>7</v>
      </c>
      <c r="H967" s="4" t="n">
        <v>4</v>
      </c>
      <c r="I967" s="4" t="str">
        <v>×</v>
      </c>
      <c r="J967" s="4"/>
      <c r="K967" s="4"/>
      <c r="L967" s="4"/>
      <c r="M967" s="5" t="s">
        <v>917</v>
      </c>
    </row>
    <row r="968" customFormat="false" ht="15.75" hidden="false" customHeight="false" outlineLevel="0" collapsed="false">
      <c r="A968" s="3" t="n">
        <v>46221</v>
      </c>
      <c r="B968" s="4" t="s">
        <v>915</v>
      </c>
      <c r="C968" s="4" t="n">
        <v>5</v>
      </c>
      <c r="D968" s="4" t="n">
        <v>15</v>
      </c>
      <c r="E968" s="4" t="s">
        <v>985</v>
      </c>
      <c r="F968" s="4" t="n">
        <v>16</v>
      </c>
      <c r="G968" s="4" t="n">
        <v>5</v>
      </c>
      <c r="H968" s="4" t="n">
        <v>4</v>
      </c>
      <c r="I968" s="4" t="str">
        <v>×</v>
      </c>
      <c r="J968" s="4"/>
      <c r="K968" s="4"/>
      <c r="L968" s="4"/>
      <c r="M968" s="5" t="s">
        <v>917</v>
      </c>
    </row>
    <row r="969" customFormat="false" ht="15.75" hidden="false" customHeight="false" outlineLevel="0" collapsed="false">
      <c r="A969" s="3" t="n">
        <v>46221</v>
      </c>
      <c r="B969" s="4" t="s">
        <v>915</v>
      </c>
      <c r="C969" s="4" t="n">
        <v>6</v>
      </c>
      <c r="D969" s="4" t="n">
        <v>1</v>
      </c>
      <c r="E969" s="4" t="s">
        <v>986</v>
      </c>
      <c r="F969" s="4" t="n">
        <v>58</v>
      </c>
      <c r="G969" s="4" t="n">
        <v>1</v>
      </c>
      <c r="H969" s="4" t="n">
        <v>4</v>
      </c>
      <c r="I969" s="4" t="str">
        <v>×</v>
      </c>
      <c r="J969" s="4"/>
      <c r="K969" s="4"/>
      <c r="L969" s="4"/>
      <c r="M969" s="5" t="s">
        <v>917</v>
      </c>
    </row>
    <row r="970" customFormat="false" ht="15.75" hidden="false" customHeight="false" outlineLevel="0" collapsed="false">
      <c r="A970" s="3" t="n">
        <v>46221</v>
      </c>
      <c r="B970" s="4" t="s">
        <v>915</v>
      </c>
      <c r="C970" s="4" t="n">
        <v>6</v>
      </c>
      <c r="D970" s="4" t="n">
        <v>2</v>
      </c>
      <c r="E970" s="4" t="s">
        <v>987</v>
      </c>
      <c r="F970" s="4" t="n">
        <v>31</v>
      </c>
      <c r="G970" s="4" t="n">
        <v>5</v>
      </c>
      <c r="H970" s="4" t="n">
        <v>1</v>
      </c>
      <c r="I970" s="4" t="str">
        <v>○</v>
      </c>
      <c r="J970" s="4" t="n">
        <v>350</v>
      </c>
      <c r="K970" s="4"/>
      <c r="L970" s="4"/>
      <c r="M970" s="5" t="s">
        <v>917</v>
      </c>
    </row>
    <row r="971" customFormat="false" ht="15.75" hidden="false" customHeight="false" outlineLevel="0" collapsed="false">
      <c r="A971" s="3" t="n">
        <v>46221</v>
      </c>
      <c r="B971" s="4" t="s">
        <v>915</v>
      </c>
      <c r="C971" s="4" t="n">
        <v>6</v>
      </c>
      <c r="D971" s="4" t="n">
        <v>3</v>
      </c>
      <c r="E971" s="4" t="s">
        <v>988</v>
      </c>
      <c r="F971" s="4" t="n">
        <v>6</v>
      </c>
      <c r="G971" s="4" t="n">
        <v>10</v>
      </c>
      <c r="H971" s="4" t="n">
        <v>3</v>
      </c>
      <c r="I971" s="4" t="str">
        <v>○</v>
      </c>
      <c r="J971" s="4" t="n">
        <v>2550</v>
      </c>
      <c r="K971" s="4"/>
      <c r="L971" s="4"/>
      <c r="M971" s="5" t="s">
        <v>917</v>
      </c>
    </row>
    <row r="972" customFormat="false" ht="15.75" hidden="false" customHeight="false" outlineLevel="0" collapsed="false">
      <c r="A972" s="3" t="n">
        <v>46221</v>
      </c>
      <c r="B972" s="4" t="s">
        <v>915</v>
      </c>
      <c r="C972" s="4" t="n">
        <v>6</v>
      </c>
      <c r="D972" s="4" t="n">
        <v>4</v>
      </c>
      <c r="E972" s="4" t="s">
        <v>989</v>
      </c>
      <c r="F972" s="4" t="n">
        <v>8</v>
      </c>
      <c r="G972" s="4" t="n">
        <v>9</v>
      </c>
      <c r="H972" s="4" t="n">
        <v>4</v>
      </c>
      <c r="I972" s="4" t="str">
        <v>×</v>
      </c>
      <c r="J972" s="4"/>
      <c r="K972" s="4"/>
      <c r="L972" s="4"/>
      <c r="M972" s="5" t="s">
        <v>917</v>
      </c>
    </row>
    <row r="973" customFormat="false" ht="15.75" hidden="false" customHeight="false" outlineLevel="0" collapsed="false">
      <c r="A973" s="3" t="n">
        <v>46221</v>
      </c>
      <c r="B973" s="4" t="s">
        <v>915</v>
      </c>
      <c r="C973" s="4" t="n">
        <v>6</v>
      </c>
      <c r="D973" s="4" t="n">
        <v>5</v>
      </c>
      <c r="E973" s="4" t="s">
        <v>990</v>
      </c>
      <c r="F973" s="4" t="n">
        <v>41</v>
      </c>
      <c r="G973" s="4" t="n">
        <v>4</v>
      </c>
      <c r="H973" s="4" t="n">
        <v>4</v>
      </c>
      <c r="I973" s="4" t="str">
        <v>×</v>
      </c>
      <c r="J973" s="4"/>
      <c r="K973" s="4"/>
      <c r="L973" s="4"/>
      <c r="M973" s="5" t="s">
        <v>917</v>
      </c>
    </row>
    <row r="974" customFormat="false" ht="15.75" hidden="false" customHeight="false" outlineLevel="0" collapsed="false">
      <c r="A974" s="3" t="n">
        <v>46221</v>
      </c>
      <c r="B974" s="4" t="s">
        <v>915</v>
      </c>
      <c r="C974" s="4" t="n">
        <v>6</v>
      </c>
      <c r="D974" s="4" t="n">
        <v>6</v>
      </c>
      <c r="E974" s="4" t="s">
        <v>991</v>
      </c>
      <c r="F974" s="4" t="n">
        <v>3</v>
      </c>
      <c r="G974" s="4" t="n">
        <v>11</v>
      </c>
      <c r="H974" s="4" t="n">
        <v>4</v>
      </c>
      <c r="I974" s="4" t="str">
        <v>×</v>
      </c>
      <c r="J974" s="4"/>
      <c r="K974" s="4"/>
      <c r="L974" s="4"/>
      <c r="M974" s="5" t="s">
        <v>917</v>
      </c>
    </row>
    <row r="975" customFormat="false" ht="15.75" hidden="false" customHeight="false" outlineLevel="0" collapsed="false">
      <c r="A975" s="3" t="n">
        <v>46221</v>
      </c>
      <c r="B975" s="4" t="s">
        <v>915</v>
      </c>
      <c r="C975" s="4" t="n">
        <v>6</v>
      </c>
      <c r="D975" s="4" t="n">
        <v>7</v>
      </c>
      <c r="E975" s="4" t="s">
        <v>992</v>
      </c>
      <c r="F975" s="4" t="n">
        <v>15</v>
      </c>
      <c r="G975" s="4" t="n">
        <v>7</v>
      </c>
      <c r="H975" s="4" t="n">
        <v>4</v>
      </c>
      <c r="I975" s="4" t="str">
        <v>×</v>
      </c>
      <c r="J975" s="4"/>
      <c r="K975" s="4"/>
      <c r="L975" s="4"/>
      <c r="M975" s="5" t="s">
        <v>917</v>
      </c>
    </row>
    <row r="976" customFormat="false" ht="15.75" hidden="false" customHeight="false" outlineLevel="0" collapsed="false">
      <c r="A976" s="3" t="n">
        <v>46221</v>
      </c>
      <c r="B976" s="4" t="s">
        <v>915</v>
      </c>
      <c r="C976" s="4" t="n">
        <v>6</v>
      </c>
      <c r="D976" s="4" t="n">
        <v>8</v>
      </c>
      <c r="E976" s="4" t="s">
        <v>993</v>
      </c>
      <c r="F976" s="4" t="n">
        <v>3</v>
      </c>
      <c r="G976" s="4" t="n">
        <v>11</v>
      </c>
      <c r="H976" s="4" t="n">
        <v>4</v>
      </c>
      <c r="I976" s="4" t="str">
        <v>×</v>
      </c>
      <c r="J976" s="4"/>
      <c r="K976" s="4"/>
      <c r="L976" s="4"/>
      <c r="M976" s="5" t="s">
        <v>917</v>
      </c>
    </row>
    <row r="977" customFormat="false" ht="15.75" hidden="false" customHeight="false" outlineLevel="0" collapsed="false">
      <c r="A977" s="3" t="n">
        <v>46221</v>
      </c>
      <c r="B977" s="4" t="s">
        <v>915</v>
      </c>
      <c r="C977" s="4" t="n">
        <v>6</v>
      </c>
      <c r="D977" s="4" t="n">
        <v>9</v>
      </c>
      <c r="E977" s="4" t="s">
        <v>994</v>
      </c>
      <c r="F977" s="4" t="n">
        <v>10</v>
      </c>
      <c r="G977" s="4" t="n">
        <v>8</v>
      </c>
      <c r="H977" s="4" t="n">
        <v>4</v>
      </c>
      <c r="I977" s="4" t="str">
        <v>×</v>
      </c>
      <c r="J977" s="4"/>
      <c r="K977" s="4"/>
      <c r="L977" s="4"/>
      <c r="M977" s="5" t="s">
        <v>917</v>
      </c>
    </row>
    <row r="978" customFormat="false" ht="15.75" hidden="false" customHeight="false" outlineLevel="0" collapsed="false">
      <c r="A978" s="3" t="n">
        <v>46221</v>
      </c>
      <c r="B978" s="4" t="s">
        <v>915</v>
      </c>
      <c r="C978" s="4" t="n">
        <v>6</v>
      </c>
      <c r="D978" s="4" t="n">
        <v>10</v>
      </c>
      <c r="E978" s="4" t="s">
        <v>995</v>
      </c>
      <c r="F978" s="4" t="n">
        <v>10</v>
      </c>
      <c r="G978" s="4" t="n">
        <v>8</v>
      </c>
      <c r="H978" s="4" t="n">
        <v>4</v>
      </c>
      <c r="I978" s="4" t="str">
        <v>×</v>
      </c>
      <c r="J978" s="4"/>
      <c r="K978" s="4"/>
      <c r="L978" s="4"/>
      <c r="M978" s="5" t="s">
        <v>917</v>
      </c>
    </row>
    <row r="979" customFormat="false" ht="15.75" hidden="false" customHeight="false" outlineLevel="0" collapsed="false">
      <c r="A979" s="3" t="n">
        <v>46221</v>
      </c>
      <c r="B979" s="4" t="s">
        <v>915</v>
      </c>
      <c r="C979" s="4" t="n">
        <v>6</v>
      </c>
      <c r="D979" s="4" t="n">
        <v>11</v>
      </c>
      <c r="E979" s="4" t="s">
        <v>996</v>
      </c>
      <c r="F979" s="4" t="n">
        <v>6</v>
      </c>
      <c r="G979" s="4" t="n">
        <v>10</v>
      </c>
      <c r="H979" s="4" t="n">
        <v>4</v>
      </c>
      <c r="I979" s="4" t="str">
        <v>×</v>
      </c>
      <c r="J979" s="4"/>
      <c r="K979" s="4"/>
      <c r="L979" s="4"/>
      <c r="M979" s="5" t="s">
        <v>917</v>
      </c>
    </row>
    <row r="980" customFormat="false" ht="15.75" hidden="false" customHeight="false" outlineLevel="0" collapsed="false">
      <c r="A980" s="3" t="n">
        <v>46221</v>
      </c>
      <c r="B980" s="4" t="s">
        <v>915</v>
      </c>
      <c r="C980" s="4" t="n">
        <v>6</v>
      </c>
      <c r="D980" s="4" t="n">
        <v>12</v>
      </c>
      <c r="E980" s="4" t="s">
        <v>997</v>
      </c>
      <c r="F980" s="4" t="n">
        <v>50</v>
      </c>
      <c r="G980" s="4" t="n">
        <v>3</v>
      </c>
      <c r="H980" s="4" t="n">
        <v>4</v>
      </c>
      <c r="I980" s="4" t="str">
        <v>×</v>
      </c>
      <c r="J980" s="4"/>
      <c r="K980" s="4"/>
      <c r="L980" s="4"/>
      <c r="M980" s="5" t="s">
        <v>917</v>
      </c>
    </row>
    <row r="981" customFormat="false" ht="15.75" hidden="false" customHeight="false" outlineLevel="0" collapsed="false">
      <c r="A981" s="3" t="n">
        <v>46221</v>
      </c>
      <c r="B981" s="4" t="s">
        <v>915</v>
      </c>
      <c r="C981" s="4" t="n">
        <v>6</v>
      </c>
      <c r="D981" s="4" t="n">
        <v>13</v>
      </c>
      <c r="E981" s="4" t="s">
        <v>998</v>
      </c>
      <c r="F981" s="4" t="n">
        <v>20</v>
      </c>
      <c r="G981" s="4" t="n">
        <v>6</v>
      </c>
      <c r="H981" s="4" t="n">
        <v>4</v>
      </c>
      <c r="I981" s="4" t="str">
        <v>×</v>
      </c>
      <c r="J981" s="4"/>
      <c r="K981" s="4"/>
      <c r="L981" s="4"/>
      <c r="M981" s="5" t="s">
        <v>917</v>
      </c>
    </row>
    <row r="982" customFormat="false" ht="15.75" hidden="false" customHeight="false" outlineLevel="0" collapsed="false">
      <c r="A982" s="3" t="n">
        <v>46221</v>
      </c>
      <c r="B982" s="4" t="s">
        <v>915</v>
      </c>
      <c r="C982" s="4" t="n">
        <v>6</v>
      </c>
      <c r="D982" s="4" t="n">
        <v>14</v>
      </c>
      <c r="E982" s="4" t="s">
        <v>999</v>
      </c>
      <c r="F982" s="4" t="n">
        <v>3</v>
      </c>
      <c r="G982" s="4" t="n">
        <v>11</v>
      </c>
      <c r="H982" s="4" t="n">
        <v>4</v>
      </c>
      <c r="I982" s="4" t="str">
        <v>×</v>
      </c>
      <c r="J982" s="4"/>
      <c r="K982" s="4"/>
      <c r="L982" s="4"/>
      <c r="M982" s="5" t="s">
        <v>917</v>
      </c>
    </row>
    <row r="983" customFormat="false" ht="15.75" hidden="false" customHeight="false" outlineLevel="0" collapsed="false">
      <c r="A983" s="3" t="n">
        <v>46221</v>
      </c>
      <c r="B983" s="4" t="s">
        <v>915</v>
      </c>
      <c r="C983" s="4" t="n">
        <v>6</v>
      </c>
      <c r="D983" s="4" t="n">
        <v>15</v>
      </c>
      <c r="E983" s="4" t="s">
        <v>1000</v>
      </c>
      <c r="F983" s="4" t="n">
        <v>56</v>
      </c>
      <c r="G983" s="4" t="n">
        <v>2</v>
      </c>
      <c r="H983" s="4" t="n">
        <v>2</v>
      </c>
      <c r="I983" s="4" t="str">
        <v>○</v>
      </c>
      <c r="J983" s="4" t="n">
        <v>250</v>
      </c>
      <c r="K983" s="4"/>
      <c r="L983" s="4"/>
      <c r="M983" s="5" t="s">
        <v>917</v>
      </c>
    </row>
    <row r="984" customFormat="false" ht="15.75" hidden="false" customHeight="false" outlineLevel="0" collapsed="false">
      <c r="A984" s="3" t="n">
        <v>46221</v>
      </c>
      <c r="B984" s="4" t="s">
        <v>915</v>
      </c>
      <c r="C984" s="4" t="n">
        <v>7</v>
      </c>
      <c r="D984" s="4" t="n">
        <v>1</v>
      </c>
      <c r="E984" s="4" t="s">
        <v>1001</v>
      </c>
      <c r="F984" s="4" t="n">
        <v>34</v>
      </c>
      <c r="G984" s="4" t="n">
        <v>4</v>
      </c>
      <c r="H984" s="4" t="n">
        <v>4</v>
      </c>
      <c r="I984" s="4" t="str">
        <v>×</v>
      </c>
      <c r="J984" s="4"/>
      <c r="K984" s="4"/>
      <c r="L984" s="4"/>
      <c r="M984" s="5" t="s">
        <v>917</v>
      </c>
    </row>
    <row r="985" customFormat="false" ht="15.75" hidden="false" customHeight="false" outlineLevel="0" collapsed="false">
      <c r="A985" s="3" t="n">
        <v>46221</v>
      </c>
      <c r="B985" s="4" t="s">
        <v>915</v>
      </c>
      <c r="C985" s="4" t="n">
        <v>7</v>
      </c>
      <c r="D985" s="4" t="n">
        <v>2</v>
      </c>
      <c r="E985" s="4" t="s">
        <v>1002</v>
      </c>
      <c r="F985" s="4" t="n">
        <v>10</v>
      </c>
      <c r="G985" s="4" t="n">
        <v>9</v>
      </c>
      <c r="H985" s="4" t="n">
        <v>4</v>
      </c>
      <c r="I985" s="4" t="str">
        <v>×</v>
      </c>
      <c r="J985" s="4"/>
      <c r="K985" s="4"/>
      <c r="L985" s="4"/>
      <c r="M985" s="5" t="s">
        <v>917</v>
      </c>
    </row>
    <row r="986" customFormat="false" ht="15.75" hidden="false" customHeight="false" outlineLevel="0" collapsed="false">
      <c r="A986" s="3" t="n">
        <v>46221</v>
      </c>
      <c r="B986" s="4" t="s">
        <v>915</v>
      </c>
      <c r="C986" s="4" t="n">
        <v>7</v>
      </c>
      <c r="D986" s="4" t="n">
        <v>3</v>
      </c>
      <c r="E986" s="4" t="s">
        <v>1003</v>
      </c>
      <c r="F986" s="4" t="n">
        <v>10</v>
      </c>
      <c r="G986" s="4" t="n">
        <v>9</v>
      </c>
      <c r="H986" s="4" t="n">
        <v>4</v>
      </c>
      <c r="I986" s="4" t="str">
        <v>×</v>
      </c>
      <c r="J986" s="4"/>
      <c r="K986" s="4"/>
      <c r="L986" s="4"/>
      <c r="M986" s="5" t="s">
        <v>917</v>
      </c>
    </row>
    <row r="987" customFormat="false" ht="15.75" hidden="false" customHeight="false" outlineLevel="0" collapsed="false">
      <c r="A987" s="3" t="n">
        <v>46221</v>
      </c>
      <c r="B987" s="4" t="s">
        <v>915</v>
      </c>
      <c r="C987" s="4" t="n">
        <v>7</v>
      </c>
      <c r="D987" s="4" t="n">
        <v>4</v>
      </c>
      <c r="E987" s="4" t="s">
        <v>1004</v>
      </c>
      <c r="F987" s="4" t="n">
        <v>41</v>
      </c>
      <c r="G987" s="4" t="n">
        <v>3</v>
      </c>
      <c r="H987" s="4" t="n">
        <v>4</v>
      </c>
      <c r="I987" s="4" t="str">
        <v>×</v>
      </c>
      <c r="J987" s="4"/>
      <c r="K987" s="4"/>
      <c r="L987" s="4"/>
      <c r="M987" s="5" t="s">
        <v>917</v>
      </c>
    </row>
    <row r="988" customFormat="false" ht="15.75" hidden="false" customHeight="false" outlineLevel="0" collapsed="false">
      <c r="A988" s="3" t="n">
        <v>46221</v>
      </c>
      <c r="B988" s="4" t="s">
        <v>915</v>
      </c>
      <c r="C988" s="4" t="n">
        <v>7</v>
      </c>
      <c r="D988" s="4" t="n">
        <v>5</v>
      </c>
      <c r="E988" s="4" t="s">
        <v>1005</v>
      </c>
      <c r="F988" s="4" t="n">
        <v>15</v>
      </c>
      <c r="G988" s="4" t="n">
        <v>7</v>
      </c>
      <c r="H988" s="4" t="n">
        <v>4</v>
      </c>
      <c r="I988" s="4" t="str">
        <v>×</v>
      </c>
      <c r="J988" s="4"/>
      <c r="K988" s="4"/>
      <c r="L988" s="4"/>
      <c r="M988" s="5" t="s">
        <v>917</v>
      </c>
    </row>
    <row r="989" customFormat="false" ht="15.75" hidden="false" customHeight="false" outlineLevel="0" collapsed="false">
      <c r="A989" s="3" t="n">
        <v>46221</v>
      </c>
      <c r="B989" s="4" t="s">
        <v>915</v>
      </c>
      <c r="C989" s="4" t="n">
        <v>7</v>
      </c>
      <c r="D989" s="4" t="n">
        <v>6</v>
      </c>
      <c r="E989" s="4" t="s">
        <v>1006</v>
      </c>
      <c r="F989" s="4" t="n">
        <v>3</v>
      </c>
      <c r="G989" s="4" t="n">
        <v>10</v>
      </c>
      <c r="H989" s="4" t="n">
        <v>4</v>
      </c>
      <c r="I989" s="4" t="str">
        <v>×</v>
      </c>
      <c r="J989" s="4"/>
      <c r="K989" s="4"/>
      <c r="L989" s="4"/>
      <c r="M989" s="5" t="s">
        <v>917</v>
      </c>
    </row>
    <row r="990" customFormat="false" ht="15.75" hidden="false" customHeight="false" outlineLevel="0" collapsed="false">
      <c r="A990" s="3" t="n">
        <v>46221</v>
      </c>
      <c r="B990" s="4" t="s">
        <v>915</v>
      </c>
      <c r="C990" s="4" t="n">
        <v>7</v>
      </c>
      <c r="D990" s="4" t="n">
        <v>7</v>
      </c>
      <c r="E990" s="4" t="s">
        <v>1007</v>
      </c>
      <c r="F990" s="4" t="n">
        <v>15</v>
      </c>
      <c r="G990" s="4" t="n">
        <v>7</v>
      </c>
      <c r="H990" s="4" t="n">
        <v>3</v>
      </c>
      <c r="I990" s="4" t="str">
        <v>○</v>
      </c>
      <c r="J990" s="4" t="n">
        <v>490</v>
      </c>
      <c r="K990" s="4"/>
      <c r="L990" s="4"/>
      <c r="M990" s="5" t="s">
        <v>917</v>
      </c>
    </row>
    <row r="991" customFormat="false" ht="15.75" hidden="false" customHeight="false" outlineLevel="0" collapsed="false">
      <c r="A991" s="3" t="n">
        <v>46221</v>
      </c>
      <c r="B991" s="4" t="s">
        <v>915</v>
      </c>
      <c r="C991" s="4" t="n">
        <v>7</v>
      </c>
      <c r="D991" s="4" t="n">
        <v>8</v>
      </c>
      <c r="E991" s="4" t="s">
        <v>1008</v>
      </c>
      <c r="F991" s="4" t="n">
        <v>20</v>
      </c>
      <c r="G991" s="4" t="n">
        <v>5</v>
      </c>
      <c r="H991" s="4" t="n">
        <v>4</v>
      </c>
      <c r="I991" s="4" t="str">
        <v>×</v>
      </c>
      <c r="J991" s="4"/>
      <c r="K991" s="4"/>
      <c r="L991" s="4"/>
      <c r="M991" s="5" t="s">
        <v>917</v>
      </c>
    </row>
    <row r="992" customFormat="false" ht="15.75" hidden="false" customHeight="false" outlineLevel="0" collapsed="false">
      <c r="A992" s="3" t="n">
        <v>46221</v>
      </c>
      <c r="B992" s="4" t="s">
        <v>915</v>
      </c>
      <c r="C992" s="4" t="n">
        <v>7</v>
      </c>
      <c r="D992" s="4" t="n">
        <v>9</v>
      </c>
      <c r="E992" s="4" t="s">
        <v>1009</v>
      </c>
      <c r="F992" s="4" t="n">
        <v>17</v>
      </c>
      <c r="G992" s="4" t="n">
        <v>6</v>
      </c>
      <c r="H992" s="4" t="n">
        <v>4</v>
      </c>
      <c r="I992" s="4" t="str">
        <v>×</v>
      </c>
      <c r="J992" s="4"/>
      <c r="K992" s="4"/>
      <c r="L992" s="4"/>
      <c r="M992" s="5" t="s">
        <v>917</v>
      </c>
    </row>
    <row r="993" customFormat="false" ht="15.75" hidden="false" customHeight="false" outlineLevel="0" collapsed="false">
      <c r="A993" s="3" t="n">
        <v>46221</v>
      </c>
      <c r="B993" s="4" t="s">
        <v>915</v>
      </c>
      <c r="C993" s="4" t="n">
        <v>7</v>
      </c>
      <c r="D993" s="4" t="n">
        <v>10</v>
      </c>
      <c r="E993" s="4" t="s">
        <v>1010</v>
      </c>
      <c r="F993" s="4" t="n">
        <v>2</v>
      </c>
      <c r="G993" s="4" t="n">
        <v>11</v>
      </c>
      <c r="H993" s="4" t="n">
        <v>4</v>
      </c>
      <c r="I993" s="4" t="str">
        <v>×</v>
      </c>
      <c r="J993" s="4"/>
      <c r="K993" s="4"/>
      <c r="L993" s="4"/>
      <c r="M993" s="5" t="s">
        <v>917</v>
      </c>
    </row>
    <row r="994" customFormat="false" ht="15.75" hidden="false" customHeight="false" outlineLevel="0" collapsed="false">
      <c r="A994" s="3" t="n">
        <v>46221</v>
      </c>
      <c r="B994" s="4" t="s">
        <v>915</v>
      </c>
      <c r="C994" s="4" t="n">
        <v>7</v>
      </c>
      <c r="D994" s="4" t="n">
        <v>11</v>
      </c>
      <c r="E994" s="4" t="s">
        <v>1011</v>
      </c>
      <c r="F994" s="4" t="n">
        <v>44</v>
      </c>
      <c r="G994" s="4" t="n">
        <v>2</v>
      </c>
      <c r="H994" s="4" t="n">
        <v>1</v>
      </c>
      <c r="I994" s="4" t="str">
        <v>○</v>
      </c>
      <c r="J994" s="4" t="n">
        <v>190</v>
      </c>
      <c r="K994" s="4"/>
      <c r="L994" s="4"/>
      <c r="M994" s="5" t="s">
        <v>917</v>
      </c>
    </row>
    <row r="995" customFormat="false" ht="15.75" hidden="false" customHeight="false" outlineLevel="0" collapsed="false">
      <c r="A995" s="3" t="n">
        <v>46221</v>
      </c>
      <c r="B995" s="4" t="s">
        <v>915</v>
      </c>
      <c r="C995" s="4" t="n">
        <v>7</v>
      </c>
      <c r="D995" s="4" t="n">
        <v>12</v>
      </c>
      <c r="E995" s="4" t="s">
        <v>1012</v>
      </c>
      <c r="F995" s="4" t="n">
        <v>62</v>
      </c>
      <c r="G995" s="4" t="n">
        <v>1</v>
      </c>
      <c r="H995" s="4" t="n">
        <v>4</v>
      </c>
      <c r="I995" s="4" t="str">
        <v>×</v>
      </c>
      <c r="J995" s="4"/>
      <c r="K995" s="4"/>
      <c r="L995" s="4"/>
      <c r="M995" s="5" t="s">
        <v>917</v>
      </c>
    </row>
    <row r="996" customFormat="false" ht="15.75" hidden="false" customHeight="false" outlineLevel="0" collapsed="false">
      <c r="A996" s="3" t="n">
        <v>46221</v>
      </c>
      <c r="B996" s="4" t="s">
        <v>915</v>
      </c>
      <c r="C996" s="4" t="n">
        <v>7</v>
      </c>
      <c r="D996" s="4" t="n">
        <v>13</v>
      </c>
      <c r="E996" s="4" t="s">
        <v>1013</v>
      </c>
      <c r="F996" s="4" t="n">
        <v>15</v>
      </c>
      <c r="G996" s="4" t="n">
        <v>7</v>
      </c>
      <c r="H996" s="4" t="n">
        <v>2</v>
      </c>
      <c r="I996" s="4" t="str">
        <v>○</v>
      </c>
      <c r="J996" s="4" t="n">
        <v>890</v>
      </c>
      <c r="K996" s="4"/>
      <c r="L996" s="4"/>
      <c r="M996" s="5" t="s">
        <v>917</v>
      </c>
    </row>
    <row r="997" customFormat="false" ht="15.75" hidden="false" customHeight="false" outlineLevel="0" collapsed="false">
      <c r="A997" s="3" t="n">
        <v>46221</v>
      </c>
      <c r="B997" s="4" t="s">
        <v>915</v>
      </c>
      <c r="C997" s="4" t="n">
        <v>7</v>
      </c>
      <c r="D997" s="4" t="n">
        <v>14</v>
      </c>
      <c r="E997" s="4" t="s">
        <v>1014</v>
      </c>
      <c r="F997" s="4" t="n">
        <v>13</v>
      </c>
      <c r="G997" s="4" t="n">
        <v>8</v>
      </c>
      <c r="H997" s="4" t="n">
        <v>4</v>
      </c>
      <c r="I997" s="4" t="str">
        <v>×</v>
      </c>
      <c r="J997" s="4"/>
      <c r="K997" s="4"/>
      <c r="L997" s="4"/>
      <c r="M997" s="5" t="s">
        <v>917</v>
      </c>
    </row>
    <row r="998" customFormat="false" ht="15.75" hidden="false" customHeight="false" outlineLevel="0" collapsed="false">
      <c r="A998" s="3" t="n">
        <v>46221</v>
      </c>
      <c r="B998" s="4" t="s">
        <v>915</v>
      </c>
      <c r="C998" s="4" t="n">
        <v>7</v>
      </c>
      <c r="D998" s="4" t="n">
        <v>15</v>
      </c>
      <c r="E998" s="4" t="s">
        <v>1015</v>
      </c>
      <c r="F998" s="4" t="n">
        <v>10</v>
      </c>
      <c r="G998" s="4" t="n">
        <v>9</v>
      </c>
      <c r="H998" s="4" t="n">
        <v>4</v>
      </c>
      <c r="I998" s="4" t="str">
        <v>×</v>
      </c>
      <c r="J998" s="4"/>
      <c r="K998" s="4"/>
      <c r="L998" s="4"/>
      <c r="M998" s="5" t="s">
        <v>917</v>
      </c>
    </row>
    <row r="999" customFormat="false" ht="15.75" hidden="false" customHeight="false" outlineLevel="0" collapsed="false">
      <c r="A999" s="3" t="n">
        <v>46221</v>
      </c>
      <c r="B999" s="4" t="s">
        <v>915</v>
      </c>
      <c r="C999" s="4" t="n">
        <v>7</v>
      </c>
      <c r="D999" s="4" t="n">
        <v>16</v>
      </c>
      <c r="E999" s="4" t="s">
        <v>1016</v>
      </c>
      <c r="F999" s="4" t="n">
        <v>10</v>
      </c>
      <c r="G999" s="4" t="n">
        <v>9</v>
      </c>
      <c r="H999" s="4" t="n">
        <v>4</v>
      </c>
      <c r="I999" s="4" t="str">
        <v>×</v>
      </c>
      <c r="J999" s="4"/>
      <c r="K999" s="4"/>
      <c r="L999" s="4"/>
      <c r="M999" s="5" t="s">
        <v>917</v>
      </c>
    </row>
    <row r="1000" customFormat="false" ht="15.75" hidden="false" customHeight="false" outlineLevel="0" collapsed="false">
      <c r="A1000" s="3" t="n">
        <v>46221</v>
      </c>
      <c r="B1000" s="4" t="s">
        <v>915</v>
      </c>
      <c r="C1000" s="4" t="n">
        <v>8</v>
      </c>
      <c r="D1000" s="4" t="n">
        <v>1</v>
      </c>
      <c r="E1000" s="4" t="s">
        <v>1017</v>
      </c>
      <c r="F1000" s="4" t="n">
        <v>31</v>
      </c>
      <c r="G1000" s="4" t="n">
        <v>5</v>
      </c>
      <c r="H1000" s="4" t="n">
        <v>4</v>
      </c>
      <c r="I1000" s="4" t="str">
        <v>×</v>
      </c>
      <c r="J1000" s="4"/>
      <c r="K1000" s="4"/>
      <c r="L1000" s="4"/>
      <c r="M1000" s="5" t="s">
        <v>917</v>
      </c>
    </row>
    <row r="1001" customFormat="false" ht="15.75" hidden="false" customHeight="false" outlineLevel="0" collapsed="false">
      <c r="A1001" s="3" t="n">
        <v>46221</v>
      </c>
      <c r="B1001" s="4" t="s">
        <v>915</v>
      </c>
      <c r="C1001" s="4" t="n">
        <v>8</v>
      </c>
      <c r="D1001" s="4" t="n">
        <v>2</v>
      </c>
      <c r="E1001" s="4" t="s">
        <v>1018</v>
      </c>
      <c r="F1001" s="4" t="n">
        <v>44</v>
      </c>
      <c r="G1001" s="4" t="n">
        <v>1</v>
      </c>
      <c r="H1001" s="4" t="n">
        <v>4</v>
      </c>
      <c r="I1001" s="4" t="str">
        <v>×</v>
      </c>
      <c r="J1001" s="4"/>
      <c r="K1001" s="4"/>
      <c r="L1001" s="4"/>
      <c r="M1001" s="5" t="s">
        <v>917</v>
      </c>
    </row>
    <row r="1002" customFormat="false" ht="15.75" hidden="false" customHeight="false" outlineLevel="0" collapsed="false">
      <c r="A1002" s="3" t="n">
        <v>46221</v>
      </c>
      <c r="B1002" s="4" t="s">
        <v>915</v>
      </c>
      <c r="C1002" s="4" t="n">
        <v>8</v>
      </c>
      <c r="D1002" s="4" t="n">
        <v>3</v>
      </c>
      <c r="E1002" s="4" t="s">
        <v>1019</v>
      </c>
      <c r="F1002" s="4" t="n">
        <v>6</v>
      </c>
      <c r="G1002" s="4" t="n">
        <v>11</v>
      </c>
      <c r="H1002" s="4" t="n">
        <v>4</v>
      </c>
      <c r="I1002" s="4" t="str">
        <v>×</v>
      </c>
      <c r="J1002" s="4"/>
      <c r="K1002" s="4"/>
      <c r="L1002" s="4"/>
      <c r="M1002" s="5" t="s">
        <v>917</v>
      </c>
    </row>
    <row r="1003" customFormat="false" ht="15.75" hidden="false" customHeight="false" outlineLevel="0" collapsed="false">
      <c r="A1003" s="3" t="n">
        <v>46221</v>
      </c>
      <c r="B1003" s="4" t="s">
        <v>915</v>
      </c>
      <c r="C1003" s="4" t="n">
        <v>8</v>
      </c>
      <c r="D1003" s="4" t="n">
        <v>4</v>
      </c>
      <c r="E1003" s="4" t="s">
        <v>1020</v>
      </c>
      <c r="F1003" s="4" t="n">
        <v>4</v>
      </c>
      <c r="G1003" s="4" t="n">
        <v>12</v>
      </c>
      <c r="H1003" s="4" t="n">
        <v>4</v>
      </c>
      <c r="I1003" s="4" t="str">
        <v>×</v>
      </c>
      <c r="J1003" s="4"/>
      <c r="K1003" s="4"/>
      <c r="L1003" s="4"/>
      <c r="M1003" s="5" t="s">
        <v>917</v>
      </c>
    </row>
    <row r="1004" customFormat="false" ht="15.75" hidden="false" customHeight="false" outlineLevel="0" collapsed="false">
      <c r="A1004" s="3" t="n">
        <v>46221</v>
      </c>
      <c r="B1004" s="4" t="s">
        <v>915</v>
      </c>
      <c r="C1004" s="4" t="n">
        <v>8</v>
      </c>
      <c r="D1004" s="4" t="n">
        <v>5</v>
      </c>
      <c r="E1004" s="4" t="s">
        <v>1021</v>
      </c>
      <c r="F1004" s="4" t="n">
        <v>37</v>
      </c>
      <c r="G1004" s="4" t="n">
        <v>3</v>
      </c>
      <c r="H1004" s="4" t="n">
        <v>4</v>
      </c>
      <c r="I1004" s="4" t="str">
        <v>×</v>
      </c>
      <c r="J1004" s="4"/>
      <c r="K1004" s="4"/>
      <c r="L1004" s="4"/>
      <c r="M1004" s="5" t="s">
        <v>917</v>
      </c>
    </row>
    <row r="1005" customFormat="false" ht="15.75" hidden="false" customHeight="false" outlineLevel="0" collapsed="false">
      <c r="A1005" s="3" t="n">
        <v>46221</v>
      </c>
      <c r="B1005" s="4" t="s">
        <v>915</v>
      </c>
      <c r="C1005" s="4" t="n">
        <v>8</v>
      </c>
      <c r="D1005" s="4" t="n">
        <v>6</v>
      </c>
      <c r="E1005" s="4" t="s">
        <v>1022</v>
      </c>
      <c r="F1005" s="4" t="n">
        <v>25</v>
      </c>
      <c r="G1005" s="4" t="n">
        <v>7</v>
      </c>
      <c r="H1005" s="4" t="n">
        <v>4</v>
      </c>
      <c r="I1005" s="4" t="str">
        <v>×</v>
      </c>
      <c r="J1005" s="4"/>
      <c r="K1005" s="4"/>
      <c r="L1005" s="4"/>
      <c r="M1005" s="5" t="s">
        <v>917</v>
      </c>
    </row>
    <row r="1006" customFormat="false" ht="15.75" hidden="false" customHeight="false" outlineLevel="0" collapsed="false">
      <c r="A1006" s="3" t="n">
        <v>46221</v>
      </c>
      <c r="B1006" s="4" t="s">
        <v>915</v>
      </c>
      <c r="C1006" s="4" t="n">
        <v>8</v>
      </c>
      <c r="D1006" s="4" t="n">
        <v>7</v>
      </c>
      <c r="E1006" s="4" t="s">
        <v>1023</v>
      </c>
      <c r="F1006" s="4" t="n">
        <v>4</v>
      </c>
      <c r="G1006" s="4" t="n">
        <v>12</v>
      </c>
      <c r="H1006" s="4" t="n">
        <v>3</v>
      </c>
      <c r="I1006" s="4" t="str">
        <v>○</v>
      </c>
      <c r="J1006" s="4" t="n">
        <v>4660</v>
      </c>
      <c r="K1006" s="4"/>
      <c r="L1006" s="4"/>
      <c r="M1006" s="5" t="s">
        <v>917</v>
      </c>
    </row>
    <row r="1007" customFormat="false" ht="15.75" hidden="false" customHeight="false" outlineLevel="0" collapsed="false">
      <c r="A1007" s="3" t="n">
        <v>46221</v>
      </c>
      <c r="B1007" s="4" t="s">
        <v>915</v>
      </c>
      <c r="C1007" s="4" t="n">
        <v>8</v>
      </c>
      <c r="D1007" s="4" t="n">
        <v>8</v>
      </c>
      <c r="E1007" s="4" t="s">
        <v>1024</v>
      </c>
      <c r="F1007" s="4" t="n">
        <v>20</v>
      </c>
      <c r="G1007" s="4" t="n">
        <v>8</v>
      </c>
      <c r="H1007" s="4" t="n">
        <v>4</v>
      </c>
      <c r="I1007" s="4" t="str">
        <v>×</v>
      </c>
      <c r="J1007" s="4"/>
      <c r="K1007" s="4"/>
      <c r="L1007" s="4"/>
      <c r="M1007" s="5" t="s">
        <v>917</v>
      </c>
    </row>
    <row r="1008" customFormat="false" ht="15.75" hidden="false" customHeight="false" outlineLevel="0" collapsed="false">
      <c r="A1008" s="3" t="n">
        <v>46221</v>
      </c>
      <c r="B1008" s="4" t="s">
        <v>915</v>
      </c>
      <c r="C1008" s="4" t="n">
        <v>8</v>
      </c>
      <c r="D1008" s="4" t="n">
        <v>9</v>
      </c>
      <c r="E1008" s="4" t="s">
        <v>1025</v>
      </c>
      <c r="F1008" s="4" t="n">
        <v>8</v>
      </c>
      <c r="G1008" s="4" t="n">
        <v>10</v>
      </c>
      <c r="H1008" s="4" t="n">
        <v>4</v>
      </c>
      <c r="I1008" s="4" t="str">
        <v>×</v>
      </c>
      <c r="J1008" s="4"/>
      <c r="K1008" s="4"/>
      <c r="L1008" s="4"/>
      <c r="M1008" s="5" t="s">
        <v>917</v>
      </c>
    </row>
    <row r="1009" customFormat="false" ht="15.75" hidden="false" customHeight="false" outlineLevel="0" collapsed="false">
      <c r="A1009" s="3" t="n">
        <v>46221</v>
      </c>
      <c r="B1009" s="4" t="s">
        <v>915</v>
      </c>
      <c r="C1009" s="4" t="n">
        <v>8</v>
      </c>
      <c r="D1009" s="4" t="n">
        <v>10</v>
      </c>
      <c r="E1009" s="4" t="s">
        <v>1026</v>
      </c>
      <c r="F1009" s="4" t="n">
        <v>39</v>
      </c>
      <c r="G1009" s="4" t="n">
        <v>2</v>
      </c>
      <c r="H1009" s="4" t="n">
        <v>4</v>
      </c>
      <c r="I1009" s="4" t="str">
        <v>×</v>
      </c>
      <c r="J1009" s="4"/>
      <c r="K1009" s="4"/>
      <c r="L1009" s="4"/>
      <c r="M1009" s="5" t="s">
        <v>917</v>
      </c>
    </row>
    <row r="1010" customFormat="false" ht="15.75" hidden="false" customHeight="false" outlineLevel="0" collapsed="false">
      <c r="A1010" s="3" t="n">
        <v>46221</v>
      </c>
      <c r="B1010" s="4" t="s">
        <v>915</v>
      </c>
      <c r="C1010" s="4" t="n">
        <v>8</v>
      </c>
      <c r="D1010" s="4" t="n">
        <v>11</v>
      </c>
      <c r="E1010" s="4" t="s">
        <v>1027</v>
      </c>
      <c r="F1010" s="4" t="n">
        <v>17</v>
      </c>
      <c r="G1010" s="4" t="n">
        <v>9</v>
      </c>
      <c r="H1010" s="4" t="n">
        <v>2</v>
      </c>
      <c r="I1010" s="4" t="str">
        <v>○</v>
      </c>
      <c r="J1010" s="4" t="n">
        <v>400</v>
      </c>
      <c r="K1010" s="4"/>
      <c r="L1010" s="4"/>
      <c r="M1010" s="5" t="s">
        <v>917</v>
      </c>
    </row>
    <row r="1011" customFormat="false" ht="15.75" hidden="false" customHeight="false" outlineLevel="0" collapsed="false">
      <c r="A1011" s="3" t="n">
        <v>46221</v>
      </c>
      <c r="B1011" s="4" t="s">
        <v>915</v>
      </c>
      <c r="C1011" s="4" t="n">
        <v>8</v>
      </c>
      <c r="D1011" s="4" t="n">
        <v>12</v>
      </c>
      <c r="E1011" s="4" t="s">
        <v>1028</v>
      </c>
      <c r="F1011" s="4" t="n">
        <v>34</v>
      </c>
      <c r="G1011" s="4" t="n">
        <v>4</v>
      </c>
      <c r="H1011" s="4" t="n">
        <v>1</v>
      </c>
      <c r="I1011" s="4" t="str">
        <v>○</v>
      </c>
      <c r="J1011" s="4" t="n">
        <v>230</v>
      </c>
      <c r="K1011" s="4"/>
      <c r="L1011" s="4"/>
      <c r="M1011" s="5" t="s">
        <v>917</v>
      </c>
    </row>
    <row r="1012" customFormat="false" ht="15.75" hidden="false" customHeight="false" outlineLevel="0" collapsed="false">
      <c r="A1012" s="3" t="n">
        <v>46221</v>
      </c>
      <c r="B1012" s="4" t="s">
        <v>915</v>
      </c>
      <c r="C1012" s="4" t="n">
        <v>8</v>
      </c>
      <c r="D1012" s="4" t="n">
        <v>13</v>
      </c>
      <c r="E1012" s="4" t="s">
        <v>1029</v>
      </c>
      <c r="F1012" s="4" t="n">
        <v>37</v>
      </c>
      <c r="G1012" s="4" t="n">
        <v>3</v>
      </c>
      <c r="H1012" s="4" t="n">
        <v>4</v>
      </c>
      <c r="I1012" s="4" t="str">
        <v>×</v>
      </c>
      <c r="J1012" s="4"/>
      <c r="K1012" s="4"/>
      <c r="L1012" s="4"/>
      <c r="M1012" s="5" t="s">
        <v>917</v>
      </c>
    </row>
    <row r="1013" customFormat="false" ht="15.75" hidden="false" customHeight="false" outlineLevel="0" collapsed="false">
      <c r="A1013" s="3" t="n">
        <v>46221</v>
      </c>
      <c r="B1013" s="4" t="s">
        <v>915</v>
      </c>
      <c r="C1013" s="4" t="n">
        <v>8</v>
      </c>
      <c r="D1013" s="4" t="n">
        <v>14</v>
      </c>
      <c r="E1013" s="4" t="s">
        <v>1030</v>
      </c>
      <c r="F1013" s="4" t="n">
        <v>4</v>
      </c>
      <c r="G1013" s="4" t="n">
        <v>12</v>
      </c>
      <c r="H1013" s="4" t="n">
        <v>4</v>
      </c>
      <c r="I1013" s="4" t="str">
        <v>×</v>
      </c>
      <c r="J1013" s="4"/>
      <c r="K1013" s="4"/>
      <c r="L1013" s="4"/>
      <c r="M1013" s="5" t="s">
        <v>917</v>
      </c>
    </row>
    <row r="1014" customFormat="false" ht="15.75" hidden="false" customHeight="false" outlineLevel="0" collapsed="false">
      <c r="A1014" s="3" t="n">
        <v>46221</v>
      </c>
      <c r="B1014" s="4" t="s">
        <v>915</v>
      </c>
      <c r="C1014" s="4" t="n">
        <v>8</v>
      </c>
      <c r="D1014" s="4" t="n">
        <v>15</v>
      </c>
      <c r="E1014" s="4" t="s">
        <v>519</v>
      </c>
      <c r="F1014" s="4" t="n">
        <v>29</v>
      </c>
      <c r="G1014" s="4" t="n">
        <v>6</v>
      </c>
      <c r="H1014" s="4" t="n">
        <v>4</v>
      </c>
      <c r="I1014" s="4" t="str">
        <v>×</v>
      </c>
      <c r="J1014" s="4"/>
      <c r="K1014" s="4"/>
      <c r="L1014" s="4"/>
      <c r="M1014" s="5" t="s">
        <v>917</v>
      </c>
    </row>
    <row r="1015" customFormat="false" ht="15.75" hidden="false" customHeight="false" outlineLevel="0" collapsed="false">
      <c r="A1015" s="3" t="n">
        <v>46221</v>
      </c>
      <c r="B1015" s="4" t="s">
        <v>915</v>
      </c>
      <c r="C1015" s="4" t="n">
        <v>8</v>
      </c>
      <c r="D1015" s="4" t="n">
        <v>16</v>
      </c>
      <c r="E1015" s="4" t="s">
        <v>1031</v>
      </c>
      <c r="F1015" s="4" t="n">
        <v>17</v>
      </c>
      <c r="G1015" s="4" t="n">
        <v>9</v>
      </c>
      <c r="H1015" s="4" t="n">
        <v>4</v>
      </c>
      <c r="I1015" s="4" t="str">
        <v>×</v>
      </c>
      <c r="J1015" s="4"/>
      <c r="K1015" s="4"/>
      <c r="L1015" s="4"/>
      <c r="M1015" s="5" t="s">
        <v>917</v>
      </c>
    </row>
    <row r="1016" customFormat="false" ht="15.75" hidden="false" customHeight="false" outlineLevel="0" collapsed="false">
      <c r="A1016" s="3" t="n">
        <v>46221</v>
      </c>
      <c r="B1016" s="4" t="s">
        <v>915</v>
      </c>
      <c r="C1016" s="4" t="n">
        <v>9</v>
      </c>
      <c r="D1016" s="4" t="n">
        <v>1</v>
      </c>
      <c r="E1016" s="4" t="s">
        <v>1032</v>
      </c>
      <c r="F1016" s="4" t="n">
        <v>10</v>
      </c>
      <c r="G1016" s="4" t="n">
        <v>7</v>
      </c>
      <c r="H1016" s="4" t="n">
        <v>4</v>
      </c>
      <c r="I1016" s="4" t="str">
        <v>×</v>
      </c>
      <c r="J1016" s="4"/>
      <c r="K1016" s="4"/>
      <c r="L1016" s="4"/>
      <c r="M1016" s="5" t="s">
        <v>917</v>
      </c>
    </row>
    <row r="1017" customFormat="false" ht="15.75" hidden="false" customHeight="false" outlineLevel="0" collapsed="false">
      <c r="A1017" s="3" t="n">
        <v>46221</v>
      </c>
      <c r="B1017" s="4" t="s">
        <v>915</v>
      </c>
      <c r="C1017" s="4" t="n">
        <v>9</v>
      </c>
      <c r="D1017" s="4" t="n">
        <v>2</v>
      </c>
      <c r="E1017" s="4" t="s">
        <v>1033</v>
      </c>
      <c r="F1017" s="4" t="n">
        <v>20</v>
      </c>
      <c r="G1017" s="4" t="n">
        <v>6</v>
      </c>
      <c r="H1017" s="4" t="n">
        <v>4</v>
      </c>
      <c r="I1017" s="4" t="str">
        <v>×</v>
      </c>
      <c r="J1017" s="4"/>
      <c r="K1017" s="4"/>
      <c r="L1017" s="4"/>
      <c r="M1017" s="5" t="s">
        <v>917</v>
      </c>
    </row>
    <row r="1018" customFormat="false" ht="15.75" hidden="false" customHeight="false" outlineLevel="0" collapsed="false">
      <c r="A1018" s="3" t="n">
        <v>46221</v>
      </c>
      <c r="B1018" s="4" t="s">
        <v>915</v>
      </c>
      <c r="C1018" s="4" t="n">
        <v>9</v>
      </c>
      <c r="D1018" s="4" t="n">
        <v>3</v>
      </c>
      <c r="E1018" s="4" t="s">
        <v>1034</v>
      </c>
      <c r="F1018" s="4" t="n">
        <v>8</v>
      </c>
      <c r="G1018" s="4" t="n">
        <v>8</v>
      </c>
      <c r="H1018" s="4" t="n">
        <v>4</v>
      </c>
      <c r="I1018" s="4" t="str">
        <v>×</v>
      </c>
      <c r="J1018" s="4"/>
      <c r="K1018" s="4"/>
      <c r="L1018" s="4"/>
      <c r="M1018" s="5" t="s">
        <v>917</v>
      </c>
    </row>
    <row r="1019" customFormat="false" ht="15.75" hidden="false" customHeight="false" outlineLevel="0" collapsed="false">
      <c r="A1019" s="3" t="n">
        <v>46221</v>
      </c>
      <c r="B1019" s="4" t="s">
        <v>915</v>
      </c>
      <c r="C1019" s="4" t="n">
        <v>9</v>
      </c>
      <c r="D1019" s="4" t="n">
        <v>4</v>
      </c>
      <c r="E1019" s="4" t="s">
        <v>1035</v>
      </c>
      <c r="F1019" s="4" t="n">
        <v>25</v>
      </c>
      <c r="G1019" s="4" t="n">
        <v>4</v>
      </c>
      <c r="H1019" s="4" t="n">
        <v>4</v>
      </c>
      <c r="I1019" s="4" t="str">
        <v>×</v>
      </c>
      <c r="J1019" s="4"/>
      <c r="K1019" s="4"/>
      <c r="L1019" s="4"/>
      <c r="M1019" s="5" t="s">
        <v>917</v>
      </c>
    </row>
    <row r="1020" customFormat="false" ht="15.75" hidden="false" customHeight="false" outlineLevel="0" collapsed="false">
      <c r="A1020" s="3" t="n">
        <v>46221</v>
      </c>
      <c r="B1020" s="4" t="s">
        <v>915</v>
      </c>
      <c r="C1020" s="4" t="n">
        <v>9</v>
      </c>
      <c r="D1020" s="4" t="n">
        <v>5</v>
      </c>
      <c r="E1020" s="4" t="s">
        <v>1036</v>
      </c>
      <c r="F1020" s="4" t="n">
        <v>81</v>
      </c>
      <c r="G1020" s="4" t="n">
        <v>1</v>
      </c>
      <c r="H1020" s="4" t="n">
        <v>3</v>
      </c>
      <c r="I1020" s="4" t="str">
        <v>○</v>
      </c>
      <c r="J1020" s="4" t="n">
        <v>110</v>
      </c>
      <c r="K1020" s="4" t="n">
        <v>1.1</v>
      </c>
      <c r="L1020" s="4" t="n">
        <v>1.3</v>
      </c>
      <c r="M1020" s="5" t="s">
        <v>917</v>
      </c>
    </row>
    <row r="1021" customFormat="false" ht="15.75" hidden="false" customHeight="false" outlineLevel="0" collapsed="false">
      <c r="A1021" s="3" t="n">
        <v>46221</v>
      </c>
      <c r="B1021" s="4" t="s">
        <v>915</v>
      </c>
      <c r="C1021" s="4" t="n">
        <v>9</v>
      </c>
      <c r="D1021" s="4" t="n">
        <v>6</v>
      </c>
      <c r="E1021" s="4" t="s">
        <v>1037</v>
      </c>
      <c r="F1021" s="4" t="n">
        <v>8</v>
      </c>
      <c r="G1021" s="4" t="n">
        <v>8</v>
      </c>
      <c r="H1021" s="4" t="n">
        <v>4</v>
      </c>
      <c r="I1021" s="4" t="str">
        <v>×</v>
      </c>
      <c r="J1021" s="4"/>
      <c r="K1021" s="4"/>
      <c r="L1021" s="4"/>
      <c r="M1021" s="5" t="s">
        <v>917</v>
      </c>
    </row>
    <row r="1022" customFormat="false" ht="15.75" hidden="false" customHeight="false" outlineLevel="0" collapsed="false">
      <c r="A1022" s="3" t="n">
        <v>46221</v>
      </c>
      <c r="B1022" s="4" t="s">
        <v>915</v>
      </c>
      <c r="C1022" s="4" t="n">
        <v>9</v>
      </c>
      <c r="D1022" s="4" t="n">
        <v>7</v>
      </c>
      <c r="E1022" s="4" t="s">
        <v>1038</v>
      </c>
      <c r="F1022" s="4" t="n">
        <v>29</v>
      </c>
      <c r="G1022" s="4" t="n">
        <v>3</v>
      </c>
      <c r="H1022" s="4" t="n">
        <v>4</v>
      </c>
      <c r="I1022" s="4" t="str">
        <v>×</v>
      </c>
      <c r="J1022" s="4"/>
      <c r="K1022" s="4"/>
      <c r="L1022" s="4"/>
      <c r="M1022" s="5" t="s">
        <v>917</v>
      </c>
    </row>
    <row r="1023" customFormat="false" ht="15.75" hidden="false" customHeight="false" outlineLevel="0" collapsed="false">
      <c r="A1023" s="3" t="n">
        <v>46221</v>
      </c>
      <c r="B1023" s="4" t="s">
        <v>915</v>
      </c>
      <c r="C1023" s="4" t="n">
        <v>9</v>
      </c>
      <c r="D1023" s="4" t="n">
        <v>8</v>
      </c>
      <c r="E1023" s="4" t="s">
        <v>1039</v>
      </c>
      <c r="F1023" s="4" t="n">
        <v>20</v>
      </c>
      <c r="G1023" s="4" t="n">
        <v>6</v>
      </c>
      <c r="H1023" s="4" t="n">
        <v>1</v>
      </c>
      <c r="I1023" s="4" t="str">
        <v>○</v>
      </c>
      <c r="J1023" s="4" t="n">
        <v>400</v>
      </c>
      <c r="K1023" s="4"/>
      <c r="L1023" s="4"/>
      <c r="M1023" s="5" t="s">
        <v>917</v>
      </c>
    </row>
    <row r="1024" customFormat="false" ht="15.75" hidden="false" customHeight="false" outlineLevel="0" collapsed="false">
      <c r="A1024" s="3" t="n">
        <v>46221</v>
      </c>
      <c r="B1024" s="4" t="s">
        <v>915</v>
      </c>
      <c r="C1024" s="4" t="n">
        <v>9</v>
      </c>
      <c r="D1024" s="4" t="n">
        <v>9</v>
      </c>
      <c r="E1024" s="4" t="s">
        <v>1040</v>
      </c>
      <c r="F1024" s="4" t="n">
        <v>10</v>
      </c>
      <c r="G1024" s="4" t="n">
        <v>7</v>
      </c>
      <c r="H1024" s="4" t="n">
        <v>4</v>
      </c>
      <c r="I1024" s="4" t="str">
        <v>×</v>
      </c>
      <c r="J1024" s="4"/>
      <c r="K1024" s="4"/>
      <c r="L1024" s="4"/>
      <c r="M1024" s="5" t="s">
        <v>917</v>
      </c>
    </row>
    <row r="1025" customFormat="false" ht="15.75" hidden="false" customHeight="false" outlineLevel="0" collapsed="false">
      <c r="A1025" s="3" t="n">
        <v>46221</v>
      </c>
      <c r="B1025" s="4" t="s">
        <v>915</v>
      </c>
      <c r="C1025" s="4" t="n">
        <v>9</v>
      </c>
      <c r="D1025" s="4" t="n">
        <v>10</v>
      </c>
      <c r="E1025" s="4" t="s">
        <v>1041</v>
      </c>
      <c r="F1025" s="4" t="n">
        <v>23</v>
      </c>
      <c r="G1025" s="4" t="n">
        <v>5</v>
      </c>
      <c r="H1025" s="4" t="n">
        <v>4</v>
      </c>
      <c r="I1025" s="4" t="str">
        <v>×</v>
      </c>
      <c r="J1025" s="4"/>
      <c r="K1025" s="4"/>
      <c r="L1025" s="4"/>
      <c r="M1025" s="5" t="s">
        <v>917</v>
      </c>
    </row>
    <row r="1026" customFormat="false" ht="15.75" hidden="false" customHeight="false" outlineLevel="0" collapsed="false">
      <c r="A1026" s="3" t="n">
        <v>46221</v>
      </c>
      <c r="B1026" s="4" t="s">
        <v>915</v>
      </c>
      <c r="C1026" s="4" t="n">
        <v>9</v>
      </c>
      <c r="D1026" s="4" t="n">
        <v>11</v>
      </c>
      <c r="E1026" s="4" t="s">
        <v>1042</v>
      </c>
      <c r="F1026" s="4" t="n">
        <v>41</v>
      </c>
      <c r="G1026" s="4" t="n">
        <v>2</v>
      </c>
      <c r="H1026" s="4" t="n">
        <v>2</v>
      </c>
      <c r="I1026" s="4" t="str">
        <v>○</v>
      </c>
      <c r="J1026" s="4" t="n">
        <v>140</v>
      </c>
      <c r="K1026" s="4"/>
      <c r="L1026" s="4"/>
      <c r="M1026" s="5" t="s">
        <v>917</v>
      </c>
    </row>
    <row r="1027" customFormat="false" ht="15.75" hidden="false" customHeight="false" outlineLevel="0" collapsed="false">
      <c r="A1027" s="3" t="n">
        <v>46221</v>
      </c>
      <c r="B1027" s="4" t="s">
        <v>915</v>
      </c>
      <c r="C1027" s="4" t="n">
        <v>9</v>
      </c>
      <c r="D1027" s="4" t="n">
        <v>12</v>
      </c>
      <c r="E1027" s="4" t="s">
        <v>1043</v>
      </c>
      <c r="F1027" s="4" t="n">
        <v>8</v>
      </c>
      <c r="G1027" s="4" t="n">
        <v>8</v>
      </c>
      <c r="H1027" s="4" t="n">
        <v>4</v>
      </c>
      <c r="I1027" s="4" t="str">
        <v>×</v>
      </c>
      <c r="J1027" s="4"/>
      <c r="K1027" s="4"/>
      <c r="L1027" s="4"/>
      <c r="M1027" s="5" t="s">
        <v>917</v>
      </c>
    </row>
    <row r="1028" customFormat="false" ht="15.75" hidden="false" customHeight="false" outlineLevel="0" collapsed="false">
      <c r="A1028" s="3" t="n">
        <v>46221</v>
      </c>
      <c r="B1028" s="4" t="s">
        <v>915</v>
      </c>
      <c r="C1028" s="4" t="n">
        <v>10</v>
      </c>
      <c r="D1028" s="4" t="n">
        <v>1</v>
      </c>
      <c r="E1028" s="4" t="s">
        <v>1044</v>
      </c>
      <c r="F1028" s="4" t="n">
        <v>23</v>
      </c>
      <c r="G1028" s="4" t="n">
        <v>4</v>
      </c>
      <c r="H1028" s="4" t="n">
        <v>4</v>
      </c>
      <c r="I1028" s="4" t="str">
        <v>×</v>
      </c>
      <c r="J1028" s="4"/>
      <c r="K1028" s="4"/>
      <c r="L1028" s="4"/>
      <c r="M1028" s="5" t="s">
        <v>917</v>
      </c>
    </row>
    <row r="1029" customFormat="false" ht="15.75" hidden="false" customHeight="false" outlineLevel="0" collapsed="false">
      <c r="A1029" s="3" t="n">
        <v>46221</v>
      </c>
      <c r="B1029" s="4" t="s">
        <v>915</v>
      </c>
      <c r="C1029" s="4" t="n">
        <v>10</v>
      </c>
      <c r="D1029" s="4" t="n">
        <v>2</v>
      </c>
      <c r="E1029" s="4" t="s">
        <v>1045</v>
      </c>
      <c r="F1029" s="4" t="n">
        <v>2</v>
      </c>
      <c r="G1029" s="4" t="n">
        <v>11</v>
      </c>
      <c r="H1029" s="4" t="n">
        <v>4</v>
      </c>
      <c r="I1029" s="4" t="str">
        <v>×</v>
      </c>
      <c r="J1029" s="4"/>
      <c r="K1029" s="4"/>
      <c r="L1029" s="4"/>
      <c r="M1029" s="5" t="s">
        <v>917</v>
      </c>
    </row>
    <row r="1030" customFormat="false" ht="15.75" hidden="false" customHeight="false" outlineLevel="0" collapsed="false">
      <c r="A1030" s="3" t="n">
        <v>46221</v>
      </c>
      <c r="B1030" s="4" t="s">
        <v>915</v>
      </c>
      <c r="C1030" s="4" t="n">
        <v>10</v>
      </c>
      <c r="D1030" s="4" t="n">
        <v>3</v>
      </c>
      <c r="E1030" s="4" t="s">
        <v>1046</v>
      </c>
      <c r="F1030" s="4" t="n">
        <v>47</v>
      </c>
      <c r="G1030" s="4" t="n">
        <v>1</v>
      </c>
      <c r="H1030" s="4" t="n">
        <v>4</v>
      </c>
      <c r="I1030" s="4" t="str">
        <v>×</v>
      </c>
      <c r="J1030" s="4"/>
      <c r="K1030" s="4"/>
      <c r="L1030" s="4"/>
      <c r="M1030" s="5" t="s">
        <v>917</v>
      </c>
    </row>
    <row r="1031" customFormat="false" ht="15.75" hidden="false" customHeight="false" outlineLevel="0" collapsed="false">
      <c r="A1031" s="3" t="n">
        <v>46221</v>
      </c>
      <c r="B1031" s="4" t="s">
        <v>915</v>
      </c>
      <c r="C1031" s="4" t="n">
        <v>10</v>
      </c>
      <c r="D1031" s="4" t="n">
        <v>4</v>
      </c>
      <c r="E1031" s="4" t="s">
        <v>1047</v>
      </c>
      <c r="F1031" s="4" t="n">
        <v>10</v>
      </c>
      <c r="G1031" s="4" t="n">
        <v>8</v>
      </c>
      <c r="H1031" s="4" t="n">
        <v>4</v>
      </c>
      <c r="I1031" s="4" t="str">
        <v>×</v>
      </c>
      <c r="J1031" s="4"/>
      <c r="K1031" s="4"/>
      <c r="L1031" s="4"/>
      <c r="M1031" s="5" t="s">
        <v>917</v>
      </c>
    </row>
    <row r="1032" customFormat="false" ht="15.75" hidden="false" customHeight="false" outlineLevel="0" collapsed="false">
      <c r="A1032" s="3" t="n">
        <v>46221</v>
      </c>
      <c r="B1032" s="4" t="s">
        <v>915</v>
      </c>
      <c r="C1032" s="4" t="n">
        <v>10</v>
      </c>
      <c r="D1032" s="4" t="n">
        <v>5</v>
      </c>
      <c r="E1032" s="4" t="s">
        <v>1048</v>
      </c>
      <c r="F1032" s="4" t="n">
        <v>10</v>
      </c>
      <c r="G1032" s="4" t="n">
        <v>8</v>
      </c>
      <c r="H1032" s="4" t="n">
        <v>4</v>
      </c>
      <c r="I1032" s="4" t="str">
        <v>×</v>
      </c>
      <c r="J1032" s="4"/>
      <c r="K1032" s="4"/>
      <c r="L1032" s="4"/>
      <c r="M1032" s="5" t="s">
        <v>917</v>
      </c>
    </row>
    <row r="1033" customFormat="false" ht="15.75" hidden="false" customHeight="false" outlineLevel="0" collapsed="false">
      <c r="A1033" s="3" t="n">
        <v>46221</v>
      </c>
      <c r="B1033" s="4" t="s">
        <v>915</v>
      </c>
      <c r="C1033" s="4" t="n">
        <v>10</v>
      </c>
      <c r="D1033" s="4" t="n">
        <v>6</v>
      </c>
      <c r="E1033" s="4" t="s">
        <v>1049</v>
      </c>
      <c r="F1033" s="4" t="n">
        <v>47</v>
      </c>
      <c r="G1033" s="4" t="n">
        <v>1</v>
      </c>
      <c r="H1033" s="4" t="n">
        <v>3</v>
      </c>
      <c r="I1033" s="4" t="str">
        <v>○</v>
      </c>
      <c r="J1033" s="4" t="n">
        <v>190</v>
      </c>
      <c r="K1033" s="4"/>
      <c r="L1033" s="4"/>
      <c r="M1033" s="5" t="s">
        <v>917</v>
      </c>
    </row>
    <row r="1034" customFormat="false" ht="15.75" hidden="false" customHeight="false" outlineLevel="0" collapsed="false">
      <c r="A1034" s="3" t="n">
        <v>46221</v>
      </c>
      <c r="B1034" s="4" t="s">
        <v>915</v>
      </c>
      <c r="C1034" s="4" t="n">
        <v>10</v>
      </c>
      <c r="D1034" s="4" t="n">
        <v>7</v>
      </c>
      <c r="E1034" s="4" t="s">
        <v>1050</v>
      </c>
      <c r="F1034" s="4" t="n">
        <v>25</v>
      </c>
      <c r="G1034" s="4" t="n">
        <v>3</v>
      </c>
      <c r="H1034" s="4" t="n">
        <v>4</v>
      </c>
      <c r="I1034" s="4" t="str">
        <v>×</v>
      </c>
      <c r="J1034" s="4"/>
      <c r="K1034" s="4"/>
      <c r="L1034" s="4"/>
      <c r="M1034" s="5" t="s">
        <v>917</v>
      </c>
    </row>
    <row r="1035" customFormat="false" ht="15.75" hidden="false" customHeight="false" outlineLevel="0" collapsed="false">
      <c r="A1035" s="3" t="n">
        <v>46221</v>
      </c>
      <c r="B1035" s="4" t="s">
        <v>915</v>
      </c>
      <c r="C1035" s="4" t="n">
        <v>10</v>
      </c>
      <c r="D1035" s="4" t="n">
        <v>8</v>
      </c>
      <c r="E1035" s="4" t="s">
        <v>1051</v>
      </c>
      <c r="F1035" s="4" t="n">
        <v>17</v>
      </c>
      <c r="G1035" s="4" t="n">
        <v>5</v>
      </c>
      <c r="H1035" s="4" t="n">
        <v>4</v>
      </c>
      <c r="I1035" s="4" t="str">
        <v>×</v>
      </c>
      <c r="J1035" s="4"/>
      <c r="K1035" s="4"/>
      <c r="L1035" s="4"/>
      <c r="M1035" s="5" t="s">
        <v>917</v>
      </c>
    </row>
    <row r="1036" customFormat="false" ht="15.75" hidden="false" customHeight="false" outlineLevel="0" collapsed="false">
      <c r="A1036" s="3" t="n">
        <v>46221</v>
      </c>
      <c r="B1036" s="4" t="s">
        <v>915</v>
      </c>
      <c r="C1036" s="4" t="n">
        <v>10</v>
      </c>
      <c r="D1036" s="4" t="n">
        <v>9</v>
      </c>
      <c r="E1036" s="4" t="s">
        <v>1052</v>
      </c>
      <c r="F1036" s="4" t="n">
        <v>1</v>
      </c>
      <c r="G1036" s="4" t="n">
        <v>12</v>
      </c>
      <c r="H1036" s="4" t="n">
        <v>4</v>
      </c>
      <c r="I1036" s="4" t="str">
        <v>×</v>
      </c>
      <c r="J1036" s="4"/>
      <c r="K1036" s="4"/>
      <c r="L1036" s="4"/>
      <c r="M1036" s="5" t="s">
        <v>917</v>
      </c>
    </row>
    <row r="1037" customFormat="false" ht="15.75" hidden="false" customHeight="false" outlineLevel="0" collapsed="false">
      <c r="A1037" s="3" t="n">
        <v>46221</v>
      </c>
      <c r="B1037" s="4" t="s">
        <v>915</v>
      </c>
      <c r="C1037" s="4" t="n">
        <v>10</v>
      </c>
      <c r="D1037" s="4" t="n">
        <v>10</v>
      </c>
      <c r="E1037" s="4" t="s">
        <v>1053</v>
      </c>
      <c r="F1037" s="4" t="n">
        <v>6</v>
      </c>
      <c r="G1037" s="4" t="n">
        <v>9</v>
      </c>
      <c r="H1037" s="4" t="n">
        <v>4</v>
      </c>
      <c r="I1037" s="4" t="str">
        <v>×</v>
      </c>
      <c r="J1037" s="4"/>
      <c r="K1037" s="4"/>
      <c r="L1037" s="4"/>
      <c r="M1037" s="5" t="s">
        <v>917</v>
      </c>
    </row>
    <row r="1038" customFormat="false" ht="15.75" hidden="false" customHeight="false" outlineLevel="0" collapsed="false">
      <c r="A1038" s="3" t="n">
        <v>46221</v>
      </c>
      <c r="B1038" s="4" t="s">
        <v>915</v>
      </c>
      <c r="C1038" s="4" t="n">
        <v>10</v>
      </c>
      <c r="D1038" s="4" t="n">
        <v>11</v>
      </c>
      <c r="E1038" s="4" t="s">
        <v>1054</v>
      </c>
      <c r="F1038" s="4" t="n">
        <v>4</v>
      </c>
      <c r="G1038" s="4" t="n">
        <v>10</v>
      </c>
      <c r="H1038" s="4" t="n">
        <v>4</v>
      </c>
      <c r="I1038" s="4" t="str">
        <v>×</v>
      </c>
      <c r="J1038" s="4"/>
      <c r="K1038" s="4"/>
      <c r="L1038" s="4"/>
      <c r="M1038" s="5" t="s">
        <v>917</v>
      </c>
    </row>
    <row r="1039" customFormat="false" ht="15.75" hidden="false" customHeight="false" outlineLevel="0" collapsed="false">
      <c r="A1039" s="3" t="n">
        <v>46221</v>
      </c>
      <c r="B1039" s="4" t="s">
        <v>915</v>
      </c>
      <c r="C1039" s="4" t="n">
        <v>10</v>
      </c>
      <c r="D1039" s="4" t="n">
        <v>12</v>
      </c>
      <c r="E1039" s="4" t="s">
        <v>1055</v>
      </c>
      <c r="F1039" s="4" t="n">
        <v>31</v>
      </c>
      <c r="G1039" s="4" t="n">
        <v>2</v>
      </c>
      <c r="H1039" s="4" t="n">
        <v>4</v>
      </c>
      <c r="I1039" s="4" t="str">
        <v>×</v>
      </c>
      <c r="J1039" s="4"/>
      <c r="K1039" s="4"/>
      <c r="L1039" s="4"/>
      <c r="M1039" s="5" t="s">
        <v>917</v>
      </c>
    </row>
    <row r="1040" customFormat="false" ht="15.75" hidden="false" customHeight="false" outlineLevel="0" collapsed="false">
      <c r="A1040" s="3" t="n">
        <v>46221</v>
      </c>
      <c r="B1040" s="4" t="s">
        <v>915</v>
      </c>
      <c r="C1040" s="4" t="n">
        <v>10</v>
      </c>
      <c r="D1040" s="4" t="n">
        <v>13</v>
      </c>
      <c r="E1040" s="4" t="s">
        <v>1056</v>
      </c>
      <c r="F1040" s="4" t="n">
        <v>10</v>
      </c>
      <c r="G1040" s="4" t="n">
        <v>8</v>
      </c>
      <c r="H1040" s="4" t="n">
        <v>4</v>
      </c>
      <c r="I1040" s="4" t="str">
        <v>×</v>
      </c>
      <c r="J1040" s="4"/>
      <c r="K1040" s="4"/>
      <c r="L1040" s="4"/>
      <c r="M1040" s="5" t="s">
        <v>917</v>
      </c>
    </row>
    <row r="1041" customFormat="false" ht="15.75" hidden="false" customHeight="false" outlineLevel="0" collapsed="false">
      <c r="A1041" s="3" t="n">
        <v>46221</v>
      </c>
      <c r="B1041" s="4" t="s">
        <v>915</v>
      </c>
      <c r="C1041" s="4" t="n">
        <v>10</v>
      </c>
      <c r="D1041" s="4" t="n">
        <v>14</v>
      </c>
      <c r="E1041" s="4" t="s">
        <v>1057</v>
      </c>
      <c r="F1041" s="4" t="n">
        <v>13</v>
      </c>
      <c r="G1041" s="4" t="n">
        <v>7</v>
      </c>
      <c r="H1041" s="4" t="n">
        <v>2</v>
      </c>
      <c r="I1041" s="4" t="str">
        <v>○</v>
      </c>
      <c r="J1041" s="4" t="n">
        <v>450</v>
      </c>
      <c r="K1041" s="4"/>
      <c r="L1041" s="4"/>
      <c r="M1041" s="5" t="s">
        <v>917</v>
      </c>
    </row>
    <row r="1042" customFormat="false" ht="15.75" hidden="false" customHeight="false" outlineLevel="0" collapsed="false">
      <c r="A1042" s="3" t="n">
        <v>46221</v>
      </c>
      <c r="B1042" s="4" t="s">
        <v>915</v>
      </c>
      <c r="C1042" s="4" t="n">
        <v>10</v>
      </c>
      <c r="D1042" s="4" t="n">
        <v>15</v>
      </c>
      <c r="E1042" s="4" t="s">
        <v>1058</v>
      </c>
      <c r="F1042" s="4" t="n">
        <v>15</v>
      </c>
      <c r="G1042" s="4" t="n">
        <v>6</v>
      </c>
      <c r="H1042" s="4" t="n">
        <v>1</v>
      </c>
      <c r="I1042" s="4" t="str">
        <v>○</v>
      </c>
      <c r="J1042" s="4" t="n">
        <v>540</v>
      </c>
      <c r="K1042" s="4"/>
      <c r="L1042" s="4"/>
      <c r="M1042" s="5" t="s">
        <v>917</v>
      </c>
    </row>
    <row r="1043" customFormat="false" ht="15.75" hidden="false" customHeight="false" outlineLevel="0" collapsed="false">
      <c r="A1043" s="3" t="n">
        <v>46221</v>
      </c>
      <c r="B1043" s="4" t="s">
        <v>915</v>
      </c>
      <c r="C1043" s="4" t="n">
        <v>11</v>
      </c>
      <c r="D1043" s="4" t="n">
        <v>1</v>
      </c>
      <c r="E1043" s="4" t="s">
        <v>1059</v>
      </c>
      <c r="F1043" s="4" t="n">
        <v>4</v>
      </c>
      <c r="G1043" s="4" t="n">
        <v>10</v>
      </c>
      <c r="H1043" s="4" t="n">
        <v>4</v>
      </c>
      <c r="I1043" s="4" t="str">
        <v>×</v>
      </c>
      <c r="J1043" s="4"/>
      <c r="K1043" s="4"/>
      <c r="L1043" s="4"/>
      <c r="M1043" s="5" t="s">
        <v>917</v>
      </c>
    </row>
    <row r="1044" customFormat="false" ht="15.75" hidden="false" customHeight="false" outlineLevel="0" collapsed="false">
      <c r="A1044" s="3" t="n">
        <v>46221</v>
      </c>
      <c r="B1044" s="4" t="s">
        <v>915</v>
      </c>
      <c r="C1044" s="4" t="n">
        <v>11</v>
      </c>
      <c r="D1044" s="4" t="n">
        <v>2</v>
      </c>
      <c r="E1044" s="4" t="s">
        <v>1060</v>
      </c>
      <c r="F1044" s="4" t="n">
        <v>15</v>
      </c>
      <c r="G1044" s="4" t="n">
        <v>6</v>
      </c>
      <c r="H1044" s="4" t="n">
        <v>4</v>
      </c>
      <c r="I1044" s="4" t="str">
        <v>×</v>
      </c>
      <c r="J1044" s="4"/>
      <c r="K1044" s="4"/>
      <c r="L1044" s="4"/>
      <c r="M1044" s="5" t="s">
        <v>917</v>
      </c>
    </row>
    <row r="1045" customFormat="false" ht="15.75" hidden="false" customHeight="false" outlineLevel="0" collapsed="false">
      <c r="A1045" s="3" t="n">
        <v>46221</v>
      </c>
      <c r="B1045" s="4" t="s">
        <v>915</v>
      </c>
      <c r="C1045" s="4" t="n">
        <v>11</v>
      </c>
      <c r="D1045" s="4" t="n">
        <v>3</v>
      </c>
      <c r="E1045" s="4" t="s">
        <v>1061</v>
      </c>
      <c r="F1045" s="4" t="n">
        <v>13</v>
      </c>
      <c r="G1045" s="4" t="n">
        <v>7</v>
      </c>
      <c r="H1045" s="4" t="n">
        <v>4</v>
      </c>
      <c r="I1045" s="4" t="str">
        <v>×</v>
      </c>
      <c r="J1045" s="4"/>
      <c r="K1045" s="4"/>
      <c r="L1045" s="4"/>
      <c r="M1045" s="5" t="s">
        <v>917</v>
      </c>
    </row>
    <row r="1046" customFormat="false" ht="15.75" hidden="false" customHeight="false" outlineLevel="0" collapsed="false">
      <c r="A1046" s="3" t="n">
        <v>46221</v>
      </c>
      <c r="B1046" s="4" t="s">
        <v>915</v>
      </c>
      <c r="C1046" s="4" t="n">
        <v>11</v>
      </c>
      <c r="D1046" s="4" t="n">
        <v>4</v>
      </c>
      <c r="E1046" s="4" t="s">
        <v>1062</v>
      </c>
      <c r="F1046" s="4" t="n">
        <v>13</v>
      </c>
      <c r="G1046" s="4" t="n">
        <v>7</v>
      </c>
      <c r="H1046" s="4" t="n">
        <v>3</v>
      </c>
      <c r="I1046" s="4" t="str">
        <v>○</v>
      </c>
      <c r="J1046" s="4" t="n">
        <v>380</v>
      </c>
      <c r="K1046" s="4"/>
      <c r="L1046" s="4"/>
      <c r="M1046" s="5" t="s">
        <v>917</v>
      </c>
    </row>
    <row r="1047" customFormat="false" ht="15.75" hidden="false" customHeight="false" outlineLevel="0" collapsed="false">
      <c r="A1047" s="3" t="n">
        <v>46221</v>
      </c>
      <c r="B1047" s="4" t="s">
        <v>915</v>
      </c>
      <c r="C1047" s="4" t="n">
        <v>11</v>
      </c>
      <c r="D1047" s="4" t="n">
        <v>5</v>
      </c>
      <c r="E1047" s="4" t="s">
        <v>1063</v>
      </c>
      <c r="F1047" s="4" t="n">
        <v>29</v>
      </c>
      <c r="G1047" s="4" t="n">
        <v>4</v>
      </c>
      <c r="H1047" s="4" t="n">
        <v>4</v>
      </c>
      <c r="I1047" s="4" t="str">
        <v>×</v>
      </c>
      <c r="J1047" s="4"/>
      <c r="K1047" s="4"/>
      <c r="L1047" s="4"/>
      <c r="M1047" s="5" t="s">
        <v>917</v>
      </c>
    </row>
    <row r="1048" customFormat="false" ht="15.75" hidden="false" customHeight="false" outlineLevel="0" collapsed="false">
      <c r="A1048" s="3" t="n">
        <v>46221</v>
      </c>
      <c r="B1048" s="4" t="s">
        <v>915</v>
      </c>
      <c r="C1048" s="4" t="n">
        <v>11</v>
      </c>
      <c r="D1048" s="4" t="n">
        <v>6</v>
      </c>
      <c r="E1048" s="4" t="s">
        <v>1064</v>
      </c>
      <c r="F1048" s="4" t="n">
        <v>31</v>
      </c>
      <c r="G1048" s="4" t="n">
        <v>3</v>
      </c>
      <c r="H1048" s="4" t="n">
        <v>4</v>
      </c>
      <c r="I1048" s="4" t="str">
        <v>×</v>
      </c>
      <c r="J1048" s="4"/>
      <c r="K1048" s="4"/>
      <c r="L1048" s="4"/>
      <c r="M1048" s="5" t="s">
        <v>917</v>
      </c>
    </row>
    <row r="1049" customFormat="false" ht="15.75" hidden="false" customHeight="false" outlineLevel="0" collapsed="false">
      <c r="A1049" s="3" t="n">
        <v>46221</v>
      </c>
      <c r="B1049" s="4" t="s">
        <v>915</v>
      </c>
      <c r="C1049" s="4" t="n">
        <v>11</v>
      </c>
      <c r="D1049" s="4" t="n">
        <v>7</v>
      </c>
      <c r="E1049" s="4" t="s">
        <v>1065</v>
      </c>
      <c r="F1049" s="4" t="n">
        <v>8</v>
      </c>
      <c r="G1049" s="4" t="n">
        <v>9</v>
      </c>
      <c r="H1049" s="4" t="n">
        <v>4</v>
      </c>
      <c r="I1049" s="4" t="str">
        <v>×</v>
      </c>
      <c r="J1049" s="4"/>
      <c r="K1049" s="4"/>
      <c r="L1049" s="4"/>
      <c r="M1049" s="5" t="s">
        <v>917</v>
      </c>
    </row>
    <row r="1050" customFormat="false" ht="15.75" hidden="false" customHeight="false" outlineLevel="0" collapsed="false">
      <c r="A1050" s="3" t="n">
        <v>46221</v>
      </c>
      <c r="B1050" s="4" t="s">
        <v>915</v>
      </c>
      <c r="C1050" s="4" t="n">
        <v>11</v>
      </c>
      <c r="D1050" s="4" t="n">
        <v>8</v>
      </c>
      <c r="E1050" s="4" t="s">
        <v>1066</v>
      </c>
      <c r="F1050" s="4" t="n">
        <v>29</v>
      </c>
      <c r="G1050" s="4" t="n">
        <v>4</v>
      </c>
      <c r="H1050" s="4" t="n">
        <v>2</v>
      </c>
      <c r="I1050" s="4" t="str">
        <v>○</v>
      </c>
      <c r="J1050" s="4" t="n">
        <v>660</v>
      </c>
      <c r="K1050" s="4"/>
      <c r="L1050" s="4"/>
      <c r="M1050" s="5" t="s">
        <v>917</v>
      </c>
    </row>
    <row r="1051" customFormat="false" ht="15.75" hidden="false" customHeight="false" outlineLevel="0" collapsed="false">
      <c r="A1051" s="3" t="n">
        <v>46221</v>
      </c>
      <c r="B1051" s="4" t="s">
        <v>915</v>
      </c>
      <c r="C1051" s="4" t="n">
        <v>11</v>
      </c>
      <c r="D1051" s="4" t="n">
        <v>9</v>
      </c>
      <c r="E1051" s="4" t="s">
        <v>1067</v>
      </c>
      <c r="F1051" s="4" t="n">
        <v>13</v>
      </c>
      <c r="G1051" s="4" t="n">
        <v>7</v>
      </c>
      <c r="H1051" s="4" t="n">
        <v>4</v>
      </c>
      <c r="I1051" s="4" t="str">
        <v>×</v>
      </c>
      <c r="J1051" s="4"/>
      <c r="K1051" s="4"/>
      <c r="L1051" s="4"/>
      <c r="M1051" s="5" t="s">
        <v>917</v>
      </c>
    </row>
    <row r="1052" customFormat="false" ht="15.75" hidden="false" customHeight="false" outlineLevel="0" collapsed="false">
      <c r="A1052" s="3" t="n">
        <v>46221</v>
      </c>
      <c r="B1052" s="4" t="s">
        <v>915</v>
      </c>
      <c r="C1052" s="4" t="n">
        <v>11</v>
      </c>
      <c r="D1052" s="4" t="n">
        <v>10</v>
      </c>
      <c r="E1052" s="4" t="s">
        <v>1068</v>
      </c>
      <c r="F1052" s="4" t="n">
        <v>10</v>
      </c>
      <c r="G1052" s="4" t="n">
        <v>8</v>
      </c>
      <c r="H1052" s="4" t="n">
        <v>4</v>
      </c>
      <c r="I1052" s="4" t="str">
        <v>×</v>
      </c>
      <c r="J1052" s="4"/>
      <c r="K1052" s="4"/>
      <c r="L1052" s="4"/>
      <c r="M1052" s="5" t="s">
        <v>917</v>
      </c>
    </row>
    <row r="1053" customFormat="false" ht="15.75" hidden="false" customHeight="false" outlineLevel="0" collapsed="false">
      <c r="A1053" s="3" t="n">
        <v>46221</v>
      </c>
      <c r="B1053" s="4" t="s">
        <v>915</v>
      </c>
      <c r="C1053" s="4" t="n">
        <v>11</v>
      </c>
      <c r="D1053" s="4" t="n">
        <v>11</v>
      </c>
      <c r="E1053" s="4" t="s">
        <v>1069</v>
      </c>
      <c r="F1053" s="4" t="n">
        <v>3</v>
      </c>
      <c r="G1053" s="4" t="n">
        <v>11</v>
      </c>
      <c r="H1053" s="4" t="n">
        <v>4</v>
      </c>
      <c r="I1053" s="4" t="str">
        <v>×</v>
      </c>
      <c r="J1053" s="4"/>
      <c r="K1053" s="4"/>
      <c r="L1053" s="4"/>
      <c r="M1053" s="5" t="s">
        <v>917</v>
      </c>
    </row>
    <row r="1054" customFormat="false" ht="15.75" hidden="false" customHeight="false" outlineLevel="0" collapsed="false">
      <c r="A1054" s="3" t="n">
        <v>46221</v>
      </c>
      <c r="B1054" s="4" t="s">
        <v>915</v>
      </c>
      <c r="C1054" s="4" t="n">
        <v>11</v>
      </c>
      <c r="D1054" s="4" t="n">
        <v>12</v>
      </c>
      <c r="E1054" s="4" t="s">
        <v>1070</v>
      </c>
      <c r="F1054" s="4" t="n">
        <v>29</v>
      </c>
      <c r="G1054" s="4" t="n">
        <v>4</v>
      </c>
      <c r="H1054" s="4" t="n">
        <v>4</v>
      </c>
      <c r="I1054" s="4" t="str">
        <v>×</v>
      </c>
      <c r="J1054" s="4"/>
      <c r="K1054" s="4"/>
      <c r="L1054" s="4"/>
      <c r="M1054" s="5" t="s">
        <v>917</v>
      </c>
    </row>
    <row r="1055" customFormat="false" ht="15.75" hidden="false" customHeight="false" outlineLevel="0" collapsed="false">
      <c r="A1055" s="3" t="n">
        <v>46221</v>
      </c>
      <c r="B1055" s="4" t="s">
        <v>915</v>
      </c>
      <c r="C1055" s="4" t="n">
        <v>11</v>
      </c>
      <c r="D1055" s="4" t="n">
        <v>13</v>
      </c>
      <c r="E1055" s="4" t="s">
        <v>1071</v>
      </c>
      <c r="F1055" s="4" t="n">
        <v>41</v>
      </c>
      <c r="G1055" s="4" t="n">
        <v>2</v>
      </c>
      <c r="H1055" s="4" t="n">
        <v>1</v>
      </c>
      <c r="I1055" s="4" t="str">
        <v>○</v>
      </c>
      <c r="J1055" s="4" t="n">
        <v>230</v>
      </c>
      <c r="K1055" s="4"/>
      <c r="L1055" s="4"/>
      <c r="M1055" s="5" t="s">
        <v>917</v>
      </c>
    </row>
    <row r="1056" customFormat="false" ht="15.75" hidden="false" customHeight="false" outlineLevel="0" collapsed="false">
      <c r="A1056" s="3" t="n">
        <v>46221</v>
      </c>
      <c r="B1056" s="4" t="s">
        <v>915</v>
      </c>
      <c r="C1056" s="4" t="n">
        <v>11</v>
      </c>
      <c r="D1056" s="4" t="n">
        <v>14</v>
      </c>
      <c r="E1056" s="4" t="s">
        <v>1072</v>
      </c>
      <c r="F1056" s="4" t="n">
        <v>23</v>
      </c>
      <c r="G1056" s="4" t="n">
        <v>5</v>
      </c>
      <c r="H1056" s="4" t="n">
        <v>4</v>
      </c>
      <c r="I1056" s="4" t="str">
        <v>×</v>
      </c>
      <c r="J1056" s="4"/>
      <c r="K1056" s="4"/>
      <c r="L1056" s="4"/>
      <c r="M1056" s="5" t="s">
        <v>917</v>
      </c>
    </row>
    <row r="1057" customFormat="false" ht="15.75" hidden="false" customHeight="false" outlineLevel="0" collapsed="false">
      <c r="A1057" s="3" t="n">
        <v>46221</v>
      </c>
      <c r="B1057" s="4" t="s">
        <v>915</v>
      </c>
      <c r="C1057" s="4" t="n">
        <v>11</v>
      </c>
      <c r="D1057" s="4" t="n">
        <v>15</v>
      </c>
      <c r="E1057" s="4" t="s">
        <v>1073</v>
      </c>
      <c r="F1057" s="4" t="n">
        <v>8</v>
      </c>
      <c r="G1057" s="4" t="n">
        <v>9</v>
      </c>
      <c r="H1057" s="4" t="n">
        <v>4</v>
      </c>
      <c r="I1057" s="4" t="str">
        <v>×</v>
      </c>
      <c r="J1057" s="4"/>
      <c r="K1057" s="4"/>
      <c r="L1057" s="4"/>
      <c r="M1057" s="5" t="s">
        <v>917</v>
      </c>
    </row>
    <row r="1058" customFormat="false" ht="15.75" hidden="false" customHeight="false" outlineLevel="0" collapsed="false">
      <c r="A1058" s="3" t="n">
        <v>46221</v>
      </c>
      <c r="B1058" s="4" t="s">
        <v>915</v>
      </c>
      <c r="C1058" s="4" t="n">
        <v>11</v>
      </c>
      <c r="D1058" s="4" t="n">
        <v>16</v>
      </c>
      <c r="E1058" s="4" t="s">
        <v>1074</v>
      </c>
      <c r="F1058" s="4" t="n">
        <v>56</v>
      </c>
      <c r="G1058" s="4" t="n">
        <v>1</v>
      </c>
      <c r="H1058" s="4" t="n">
        <v>4</v>
      </c>
      <c r="I1058" s="4" t="str">
        <v>×</v>
      </c>
      <c r="J1058" s="4"/>
      <c r="K1058" s="4"/>
      <c r="L1058" s="4"/>
      <c r="M1058" s="5" t="s">
        <v>917</v>
      </c>
    </row>
    <row r="1059" customFormat="false" ht="15.75" hidden="false" customHeight="false" outlineLevel="0" collapsed="false">
      <c r="A1059" s="3" t="n">
        <v>46221</v>
      </c>
      <c r="B1059" s="4" t="s">
        <v>915</v>
      </c>
      <c r="C1059" s="4" t="n">
        <v>12</v>
      </c>
      <c r="D1059" s="4" t="n">
        <v>1</v>
      </c>
      <c r="E1059" s="4" t="s">
        <v>1075</v>
      </c>
      <c r="F1059" s="4" t="n">
        <v>1</v>
      </c>
      <c r="G1059" s="4" t="n">
        <v>12</v>
      </c>
      <c r="H1059" s="4" t="n">
        <v>4</v>
      </c>
      <c r="I1059" s="4" t="str">
        <v>×</v>
      </c>
      <c r="J1059" s="4"/>
      <c r="K1059" s="4"/>
      <c r="L1059" s="4"/>
      <c r="M1059" s="5" t="s">
        <v>917</v>
      </c>
    </row>
    <row r="1060" customFormat="false" ht="15.75" hidden="false" customHeight="false" outlineLevel="0" collapsed="false">
      <c r="A1060" s="3" t="n">
        <v>46221</v>
      </c>
      <c r="B1060" s="4" t="s">
        <v>915</v>
      </c>
      <c r="C1060" s="4" t="n">
        <v>12</v>
      </c>
      <c r="D1060" s="4" t="n">
        <v>2</v>
      </c>
      <c r="E1060" s="4" t="s">
        <v>1076</v>
      </c>
      <c r="F1060" s="4" t="n">
        <v>52</v>
      </c>
      <c r="G1060" s="4" t="n">
        <v>2</v>
      </c>
      <c r="H1060" s="4" t="n">
        <v>2</v>
      </c>
      <c r="I1060" s="4" t="str">
        <v>○</v>
      </c>
      <c r="J1060" s="4" t="n">
        <v>140</v>
      </c>
      <c r="K1060" s="4"/>
      <c r="L1060" s="4"/>
      <c r="M1060" s="5" t="s">
        <v>917</v>
      </c>
    </row>
    <row r="1061" customFormat="false" ht="15.75" hidden="false" customHeight="false" outlineLevel="0" collapsed="false">
      <c r="A1061" s="3" t="n">
        <v>46221</v>
      </c>
      <c r="B1061" s="4" t="s">
        <v>915</v>
      </c>
      <c r="C1061" s="4" t="n">
        <v>12</v>
      </c>
      <c r="D1061" s="4" t="n">
        <v>3</v>
      </c>
      <c r="E1061" s="4" t="s">
        <v>1077</v>
      </c>
      <c r="F1061" s="4" t="n">
        <v>29</v>
      </c>
      <c r="G1061" s="4" t="n">
        <v>5</v>
      </c>
      <c r="H1061" s="4" t="n">
        <v>4</v>
      </c>
      <c r="I1061" s="4" t="str">
        <v>×</v>
      </c>
      <c r="J1061" s="4"/>
      <c r="K1061" s="4"/>
      <c r="L1061" s="4"/>
      <c r="M1061" s="5" t="s">
        <v>917</v>
      </c>
    </row>
    <row r="1062" customFormat="false" ht="15.75" hidden="false" customHeight="false" outlineLevel="0" collapsed="false">
      <c r="A1062" s="3" t="n">
        <v>46221</v>
      </c>
      <c r="B1062" s="4" t="s">
        <v>915</v>
      </c>
      <c r="C1062" s="4" t="n">
        <v>12</v>
      </c>
      <c r="D1062" s="4" t="n">
        <v>4</v>
      </c>
      <c r="E1062" s="4" t="s">
        <v>1078</v>
      </c>
      <c r="F1062" s="4" t="n">
        <v>20</v>
      </c>
      <c r="G1062" s="4" t="n">
        <v>6</v>
      </c>
      <c r="H1062" s="4" t="n">
        <v>4</v>
      </c>
      <c r="I1062" s="4" t="str">
        <v>×</v>
      </c>
      <c r="J1062" s="4"/>
      <c r="K1062" s="4"/>
      <c r="L1062" s="4"/>
      <c r="M1062" s="5" t="s">
        <v>917</v>
      </c>
    </row>
    <row r="1063" customFormat="false" ht="15.75" hidden="false" customHeight="false" outlineLevel="0" collapsed="false">
      <c r="A1063" s="3" t="n">
        <v>46221</v>
      </c>
      <c r="B1063" s="4" t="s">
        <v>915</v>
      </c>
      <c r="C1063" s="4" t="n">
        <v>12</v>
      </c>
      <c r="D1063" s="4" t="n">
        <v>5</v>
      </c>
      <c r="E1063" s="4" t="s">
        <v>1079</v>
      </c>
      <c r="F1063" s="4" t="n">
        <v>15</v>
      </c>
      <c r="G1063" s="4" t="n">
        <v>7</v>
      </c>
      <c r="H1063" s="4" t="n">
        <v>4</v>
      </c>
      <c r="I1063" s="4" t="str">
        <v>×</v>
      </c>
      <c r="J1063" s="4"/>
      <c r="K1063" s="4"/>
      <c r="L1063" s="4"/>
      <c r="M1063" s="5" t="s">
        <v>917</v>
      </c>
    </row>
    <row r="1064" customFormat="false" ht="15.75" hidden="false" customHeight="false" outlineLevel="0" collapsed="false">
      <c r="A1064" s="3" t="n">
        <v>46221</v>
      </c>
      <c r="B1064" s="4" t="s">
        <v>915</v>
      </c>
      <c r="C1064" s="4" t="n">
        <v>12</v>
      </c>
      <c r="D1064" s="4" t="n">
        <v>6</v>
      </c>
      <c r="E1064" s="4" t="s">
        <v>1080</v>
      </c>
      <c r="F1064" s="4" t="n">
        <v>39</v>
      </c>
      <c r="G1064" s="4" t="n">
        <v>3</v>
      </c>
      <c r="H1064" s="4" t="n">
        <v>1</v>
      </c>
      <c r="I1064" s="4" t="str">
        <v>○</v>
      </c>
      <c r="J1064" s="4" t="n">
        <v>160</v>
      </c>
      <c r="K1064" s="4"/>
      <c r="L1064" s="4"/>
      <c r="M1064" s="5" t="s">
        <v>917</v>
      </c>
    </row>
    <row r="1065" customFormat="false" ht="15.75" hidden="false" customHeight="false" outlineLevel="0" collapsed="false">
      <c r="A1065" s="3" t="n">
        <v>46221</v>
      </c>
      <c r="B1065" s="4" t="s">
        <v>915</v>
      </c>
      <c r="C1065" s="4" t="n">
        <v>12</v>
      </c>
      <c r="D1065" s="4" t="n">
        <v>7</v>
      </c>
      <c r="E1065" s="4" t="s">
        <v>1081</v>
      </c>
      <c r="F1065" s="4" t="n">
        <v>10</v>
      </c>
      <c r="G1065" s="4" t="n">
        <v>9</v>
      </c>
      <c r="H1065" s="4" t="n">
        <v>4</v>
      </c>
      <c r="I1065" s="4" t="str">
        <v>×</v>
      </c>
      <c r="J1065" s="4"/>
      <c r="K1065" s="4"/>
      <c r="L1065" s="4"/>
      <c r="M1065" s="5" t="s">
        <v>917</v>
      </c>
    </row>
    <row r="1066" customFormat="false" ht="15.75" hidden="false" customHeight="false" outlineLevel="0" collapsed="false">
      <c r="A1066" s="3" t="n">
        <v>46221</v>
      </c>
      <c r="B1066" s="4" t="s">
        <v>915</v>
      </c>
      <c r="C1066" s="4" t="n">
        <v>12</v>
      </c>
      <c r="D1066" s="4" t="n">
        <v>8</v>
      </c>
      <c r="E1066" s="4" t="s">
        <v>1082</v>
      </c>
      <c r="F1066" s="4" t="n">
        <v>13</v>
      </c>
      <c r="G1066" s="4" t="n">
        <v>8</v>
      </c>
      <c r="H1066" s="4" t="n">
        <v>3</v>
      </c>
      <c r="I1066" s="4" t="str">
        <v>○</v>
      </c>
      <c r="J1066" s="4" t="n">
        <v>250</v>
      </c>
      <c r="K1066" s="4"/>
      <c r="L1066" s="4"/>
      <c r="M1066" s="5" t="s">
        <v>917</v>
      </c>
    </row>
    <row r="1067" customFormat="false" ht="15.75" hidden="false" customHeight="false" outlineLevel="0" collapsed="false">
      <c r="A1067" s="3" t="n">
        <v>46221</v>
      </c>
      <c r="B1067" s="4" t="s">
        <v>915</v>
      </c>
      <c r="C1067" s="4" t="n">
        <v>12</v>
      </c>
      <c r="D1067" s="4" t="n">
        <v>9</v>
      </c>
      <c r="E1067" s="4" t="s">
        <v>1083</v>
      </c>
      <c r="F1067" s="4" t="n">
        <v>10</v>
      </c>
      <c r="G1067" s="4" t="n">
        <v>9</v>
      </c>
      <c r="H1067" s="4" t="n">
        <v>4</v>
      </c>
      <c r="I1067" s="4" t="str">
        <v>×</v>
      </c>
      <c r="J1067" s="4"/>
      <c r="K1067" s="4"/>
      <c r="L1067" s="4"/>
      <c r="M1067" s="5" t="s">
        <v>917</v>
      </c>
    </row>
    <row r="1068" customFormat="false" ht="15.75" hidden="false" customHeight="false" outlineLevel="0" collapsed="false">
      <c r="A1068" s="3" t="n">
        <v>46221</v>
      </c>
      <c r="B1068" s="4" t="s">
        <v>915</v>
      </c>
      <c r="C1068" s="4" t="n">
        <v>12</v>
      </c>
      <c r="D1068" s="4" t="n">
        <v>10</v>
      </c>
      <c r="E1068" s="4" t="s">
        <v>1084</v>
      </c>
      <c r="F1068" s="4" t="n">
        <v>8</v>
      </c>
      <c r="G1068" s="4" t="n">
        <v>10</v>
      </c>
      <c r="H1068" s="4" t="n">
        <v>4</v>
      </c>
      <c r="I1068" s="4" t="str">
        <v>×</v>
      </c>
      <c r="J1068" s="4"/>
      <c r="K1068" s="4"/>
      <c r="L1068" s="4"/>
      <c r="M1068" s="5" t="s">
        <v>917</v>
      </c>
    </row>
    <row r="1069" customFormat="false" ht="15.75" hidden="false" customHeight="false" outlineLevel="0" collapsed="false">
      <c r="A1069" s="3" t="n">
        <v>46221</v>
      </c>
      <c r="B1069" s="4" t="s">
        <v>915</v>
      </c>
      <c r="C1069" s="4" t="n">
        <v>12</v>
      </c>
      <c r="D1069" s="4" t="n">
        <v>11</v>
      </c>
      <c r="E1069" s="4" t="s">
        <v>1085</v>
      </c>
      <c r="F1069" s="4" t="n">
        <v>4</v>
      </c>
      <c r="G1069" s="4" t="n">
        <v>11</v>
      </c>
      <c r="H1069" s="4" t="n">
        <v>4</v>
      </c>
      <c r="I1069" s="4" t="str">
        <v>×</v>
      </c>
      <c r="J1069" s="4"/>
      <c r="K1069" s="4"/>
      <c r="L1069" s="4"/>
      <c r="M1069" s="5" t="s">
        <v>917</v>
      </c>
    </row>
    <row r="1070" customFormat="false" ht="15.75" hidden="false" customHeight="false" outlineLevel="0" collapsed="false">
      <c r="A1070" s="3" t="n">
        <v>46221</v>
      </c>
      <c r="B1070" s="4" t="s">
        <v>915</v>
      </c>
      <c r="C1070" s="4" t="n">
        <v>12</v>
      </c>
      <c r="D1070" s="4" t="n">
        <v>12</v>
      </c>
      <c r="E1070" s="4" t="s">
        <v>1086</v>
      </c>
      <c r="F1070" s="4" t="n">
        <v>10</v>
      </c>
      <c r="G1070" s="4" t="n">
        <v>9</v>
      </c>
      <c r="H1070" s="4" t="n">
        <v>4</v>
      </c>
      <c r="I1070" s="4" t="str">
        <v>×</v>
      </c>
      <c r="J1070" s="4"/>
      <c r="K1070" s="4"/>
      <c r="L1070" s="4"/>
      <c r="M1070" s="5" t="s">
        <v>917</v>
      </c>
    </row>
    <row r="1071" customFormat="false" ht="15.75" hidden="false" customHeight="false" outlineLevel="0" collapsed="false">
      <c r="A1071" s="3" t="n">
        <v>46221</v>
      </c>
      <c r="B1071" s="4" t="s">
        <v>915</v>
      </c>
      <c r="C1071" s="4" t="n">
        <v>12</v>
      </c>
      <c r="D1071" s="4" t="n">
        <v>13</v>
      </c>
      <c r="E1071" s="4" t="s">
        <v>1087</v>
      </c>
      <c r="F1071" s="4" t="n">
        <v>58</v>
      </c>
      <c r="G1071" s="4" t="n">
        <v>1</v>
      </c>
      <c r="H1071" s="4" t="n">
        <v>4</v>
      </c>
      <c r="I1071" s="4" t="str">
        <v>×</v>
      </c>
      <c r="J1071" s="4"/>
      <c r="K1071" s="4"/>
      <c r="L1071" s="4"/>
      <c r="M1071" s="5" t="s">
        <v>917</v>
      </c>
    </row>
    <row r="1072" customFormat="false" ht="15.75" hidden="false" customHeight="false" outlineLevel="0" collapsed="false">
      <c r="A1072" s="3" t="n">
        <v>46221</v>
      </c>
      <c r="B1072" s="4" t="s">
        <v>915</v>
      </c>
      <c r="C1072" s="4" t="n">
        <v>12</v>
      </c>
      <c r="D1072" s="4" t="n">
        <v>14</v>
      </c>
      <c r="E1072" s="4" t="s">
        <v>1088</v>
      </c>
      <c r="F1072" s="4" t="n">
        <v>34</v>
      </c>
      <c r="G1072" s="4" t="n">
        <v>4</v>
      </c>
      <c r="H1072" s="4" t="n">
        <v>4</v>
      </c>
      <c r="I1072" s="4" t="str">
        <v>×</v>
      </c>
      <c r="J1072" s="4"/>
      <c r="K1072" s="4"/>
      <c r="L1072" s="4"/>
      <c r="M1072" s="5" t="s">
        <v>917</v>
      </c>
    </row>
    <row r="1073" customFormat="false" ht="15.75" hidden="false" customHeight="false" outlineLevel="0" collapsed="false">
      <c r="A1073" s="3" t="n">
        <v>46221</v>
      </c>
      <c r="B1073" s="4" t="s">
        <v>915</v>
      </c>
      <c r="C1073" s="4" t="n">
        <v>12</v>
      </c>
      <c r="D1073" s="4" t="n">
        <v>15</v>
      </c>
      <c r="E1073" s="4" t="s">
        <v>1089</v>
      </c>
      <c r="F1073" s="4" t="n">
        <v>10</v>
      </c>
      <c r="G1073" s="4" t="n">
        <v>9</v>
      </c>
      <c r="H1073" s="4" t="n">
        <v>4</v>
      </c>
      <c r="I1073" s="4" t="str">
        <v>×</v>
      </c>
      <c r="J1073" s="4"/>
      <c r="K1073" s="4"/>
      <c r="L1073" s="4"/>
      <c r="M1073" s="5" t="s">
        <v>917</v>
      </c>
    </row>
    <row r="1074" customFormat="false" ht="15.75" hidden="false" customHeight="false" outlineLevel="0" collapsed="false">
      <c r="A1074" s="3" t="n">
        <v>46221</v>
      </c>
      <c r="B1074" s="4" t="s">
        <v>915</v>
      </c>
      <c r="C1074" s="4" t="n">
        <v>12</v>
      </c>
      <c r="D1074" s="4" t="n">
        <v>16</v>
      </c>
      <c r="E1074" s="4" t="s">
        <v>1090</v>
      </c>
      <c r="F1074" s="4" t="n">
        <v>15</v>
      </c>
      <c r="G1074" s="4" t="n">
        <v>7</v>
      </c>
      <c r="H1074" s="4" t="n">
        <v>4</v>
      </c>
      <c r="I1074" s="4" t="str">
        <v>×</v>
      </c>
      <c r="J1074" s="4"/>
      <c r="K1074" s="4"/>
      <c r="L1074" s="4"/>
      <c r="M1074" s="5" t="s">
        <v>917</v>
      </c>
    </row>
    <row r="1075" customFormat="false" ht="15.75" hidden="false" customHeight="false" outlineLevel="0" collapsed="false">
      <c r="A1075" s="3" t="n">
        <v>46221</v>
      </c>
      <c r="B1075" s="4" t="s">
        <v>1091</v>
      </c>
      <c r="C1075" s="4" t="n">
        <v>1</v>
      </c>
      <c r="D1075" s="4" t="n">
        <v>1</v>
      </c>
      <c r="E1075" s="4" t="s">
        <v>1092</v>
      </c>
      <c r="F1075" s="4" t="n">
        <v>37</v>
      </c>
      <c r="G1075" s="4" t="n">
        <v>2</v>
      </c>
      <c r="H1075" s="4" t="n">
        <v>4</v>
      </c>
      <c r="I1075" s="4" t="str">
        <v>×</v>
      </c>
      <c r="J1075" s="4"/>
      <c r="K1075" s="4"/>
      <c r="L1075" s="4"/>
      <c r="M1075" s="5" t="s">
        <v>917</v>
      </c>
    </row>
    <row r="1076" customFormat="false" ht="15.75" hidden="false" customHeight="false" outlineLevel="0" collapsed="false">
      <c r="A1076" s="3" t="n">
        <v>46221</v>
      </c>
      <c r="B1076" s="4" t="s">
        <v>1091</v>
      </c>
      <c r="C1076" s="4" t="n">
        <v>1</v>
      </c>
      <c r="D1076" s="4" t="n">
        <v>2</v>
      </c>
      <c r="E1076" s="4" t="s">
        <v>1093</v>
      </c>
      <c r="F1076" s="4" t="n">
        <v>27</v>
      </c>
      <c r="G1076" s="4" t="n">
        <v>3</v>
      </c>
      <c r="H1076" s="4" t="n">
        <v>1</v>
      </c>
      <c r="I1076" s="4" t="str">
        <v>○</v>
      </c>
      <c r="J1076" s="4" t="n">
        <v>170</v>
      </c>
      <c r="K1076" s="4"/>
      <c r="L1076" s="4"/>
      <c r="M1076" s="5" t="s">
        <v>917</v>
      </c>
    </row>
    <row r="1077" customFormat="false" ht="15.75" hidden="false" customHeight="false" outlineLevel="0" collapsed="false">
      <c r="A1077" s="3" t="n">
        <v>46221</v>
      </c>
      <c r="B1077" s="4" t="s">
        <v>1091</v>
      </c>
      <c r="C1077" s="4" t="n">
        <v>1</v>
      </c>
      <c r="D1077" s="4" t="n">
        <v>3</v>
      </c>
      <c r="E1077" s="4" t="s">
        <v>1094</v>
      </c>
      <c r="F1077" s="4" t="n">
        <v>16</v>
      </c>
      <c r="G1077" s="4" t="n">
        <v>5</v>
      </c>
      <c r="H1077" s="4" t="n">
        <v>4</v>
      </c>
      <c r="I1077" s="4" t="str">
        <v>×</v>
      </c>
      <c r="J1077" s="4"/>
      <c r="K1077" s="4"/>
      <c r="L1077" s="4"/>
      <c r="M1077" s="5" t="s">
        <v>917</v>
      </c>
    </row>
    <row r="1078" customFormat="false" ht="15.75" hidden="false" customHeight="false" outlineLevel="0" collapsed="false">
      <c r="A1078" s="3" t="n">
        <v>46221</v>
      </c>
      <c r="B1078" s="4" t="s">
        <v>1091</v>
      </c>
      <c r="C1078" s="4" t="n">
        <v>1</v>
      </c>
      <c r="D1078" s="4" t="n">
        <v>4</v>
      </c>
      <c r="E1078" s="4" t="s">
        <v>1095</v>
      </c>
      <c r="F1078" s="4" t="n">
        <v>24</v>
      </c>
      <c r="G1078" s="4" t="n">
        <v>4</v>
      </c>
      <c r="H1078" s="4" t="n">
        <v>4</v>
      </c>
      <c r="I1078" s="4" t="str">
        <v>×</v>
      </c>
      <c r="J1078" s="4"/>
      <c r="K1078" s="4"/>
      <c r="L1078" s="4"/>
      <c r="M1078" s="5" t="s">
        <v>917</v>
      </c>
    </row>
    <row r="1079" customFormat="false" ht="15.75" hidden="false" customHeight="false" outlineLevel="0" collapsed="false">
      <c r="A1079" s="3" t="n">
        <v>46221</v>
      </c>
      <c r="B1079" s="4" t="s">
        <v>1091</v>
      </c>
      <c r="C1079" s="4" t="n">
        <v>1</v>
      </c>
      <c r="D1079" s="4" t="n">
        <v>5</v>
      </c>
      <c r="E1079" s="4" t="s">
        <v>1096</v>
      </c>
      <c r="F1079" s="4" t="n">
        <v>55</v>
      </c>
      <c r="G1079" s="4" t="n">
        <v>1</v>
      </c>
      <c r="H1079" s="4" t="n">
        <v>4</v>
      </c>
      <c r="I1079" s="4" t="str">
        <v>×</v>
      </c>
      <c r="J1079" s="4"/>
      <c r="K1079" s="4"/>
      <c r="L1079" s="4"/>
      <c r="M1079" s="5" t="s">
        <v>917</v>
      </c>
    </row>
    <row r="1080" customFormat="false" ht="15.75" hidden="false" customHeight="false" outlineLevel="0" collapsed="false">
      <c r="A1080" s="3" t="n">
        <v>46221</v>
      </c>
      <c r="B1080" s="4" t="s">
        <v>1091</v>
      </c>
      <c r="C1080" s="4" t="n">
        <v>1</v>
      </c>
      <c r="D1080" s="4" t="n">
        <v>6</v>
      </c>
      <c r="E1080" s="4" t="s">
        <v>1097</v>
      </c>
      <c r="F1080" s="4" t="n">
        <v>37</v>
      </c>
      <c r="G1080" s="4" t="n">
        <v>2</v>
      </c>
      <c r="H1080" s="4" t="n">
        <v>2</v>
      </c>
      <c r="I1080" s="4" t="str">
        <v>○</v>
      </c>
      <c r="J1080" s="4" t="n">
        <v>200</v>
      </c>
      <c r="K1080" s="4"/>
      <c r="L1080" s="4"/>
      <c r="M1080" s="5" t="s">
        <v>917</v>
      </c>
    </row>
    <row r="1081" customFormat="false" ht="15.75" hidden="false" customHeight="false" outlineLevel="0" collapsed="false">
      <c r="A1081" s="3" t="n">
        <v>46221</v>
      </c>
      <c r="B1081" s="4" t="s">
        <v>1091</v>
      </c>
      <c r="C1081" s="4" t="n">
        <v>1</v>
      </c>
      <c r="D1081" s="4" t="n">
        <v>7</v>
      </c>
      <c r="E1081" s="4" t="s">
        <v>1098</v>
      </c>
      <c r="F1081" s="4" t="n">
        <v>12</v>
      </c>
      <c r="G1081" s="4" t="n">
        <v>6</v>
      </c>
      <c r="H1081" s="4" t="n">
        <v>4</v>
      </c>
      <c r="I1081" s="4" t="str">
        <v>×</v>
      </c>
      <c r="J1081" s="4"/>
      <c r="K1081" s="4"/>
      <c r="L1081" s="4"/>
      <c r="M1081" s="5" t="s">
        <v>917</v>
      </c>
    </row>
    <row r="1082" customFormat="false" ht="15.75" hidden="false" customHeight="false" outlineLevel="0" collapsed="false">
      <c r="A1082" s="3" t="n">
        <v>46221</v>
      </c>
      <c r="B1082" s="4" t="s">
        <v>1091</v>
      </c>
      <c r="C1082" s="4" t="n">
        <v>1</v>
      </c>
      <c r="D1082" s="4" t="n">
        <v>8</v>
      </c>
      <c r="E1082" s="4" t="s">
        <v>1099</v>
      </c>
      <c r="F1082" s="4" t="n">
        <v>12</v>
      </c>
      <c r="G1082" s="4" t="n">
        <v>6</v>
      </c>
      <c r="H1082" s="4" t="n">
        <v>4</v>
      </c>
      <c r="I1082" s="4" t="str">
        <v>×</v>
      </c>
      <c r="J1082" s="4"/>
      <c r="K1082" s="4"/>
      <c r="L1082" s="4"/>
      <c r="M1082" s="5" t="s">
        <v>917</v>
      </c>
    </row>
    <row r="1083" customFormat="false" ht="15.75" hidden="false" customHeight="false" outlineLevel="0" collapsed="false">
      <c r="A1083" s="3" t="n">
        <v>46221</v>
      </c>
      <c r="B1083" s="4" t="s">
        <v>1091</v>
      </c>
      <c r="C1083" s="4" t="n">
        <v>1</v>
      </c>
      <c r="D1083" s="4" t="n">
        <v>9</v>
      </c>
      <c r="E1083" s="4" t="s">
        <v>1100</v>
      </c>
      <c r="F1083" s="4" t="n">
        <v>37</v>
      </c>
      <c r="G1083" s="4" t="n">
        <v>2</v>
      </c>
      <c r="H1083" s="4" t="n">
        <v>3</v>
      </c>
      <c r="I1083" s="4" t="str">
        <v>○</v>
      </c>
      <c r="J1083" s="4" t="n">
        <v>170</v>
      </c>
      <c r="K1083" s="4"/>
      <c r="L1083" s="4"/>
      <c r="M1083" s="5" t="s">
        <v>917</v>
      </c>
    </row>
    <row r="1084" customFormat="false" ht="15.75" hidden="false" customHeight="false" outlineLevel="0" collapsed="false">
      <c r="A1084" s="3" t="n">
        <v>46221</v>
      </c>
      <c r="B1084" s="4" t="s">
        <v>1091</v>
      </c>
      <c r="C1084" s="4" t="n">
        <v>1</v>
      </c>
      <c r="D1084" s="4" t="n">
        <v>10</v>
      </c>
      <c r="E1084" s="4" t="s">
        <v>1101</v>
      </c>
      <c r="F1084" s="4" t="n">
        <v>24</v>
      </c>
      <c r="G1084" s="4" t="n">
        <v>4</v>
      </c>
      <c r="H1084" s="4" t="n">
        <v>4</v>
      </c>
      <c r="I1084" s="4" t="str">
        <v>×</v>
      </c>
      <c r="J1084" s="4"/>
      <c r="K1084" s="4"/>
      <c r="L1084" s="4"/>
      <c r="M1084" s="5" t="s">
        <v>917</v>
      </c>
    </row>
    <row r="1085" customFormat="false" ht="15.75" hidden="false" customHeight="false" outlineLevel="0" collapsed="false">
      <c r="A1085" s="3" t="n">
        <v>46221</v>
      </c>
      <c r="B1085" s="4" t="s">
        <v>1091</v>
      </c>
      <c r="C1085" s="4" t="n">
        <v>1</v>
      </c>
      <c r="D1085" s="4" t="n">
        <v>11</v>
      </c>
      <c r="E1085" s="4" t="s">
        <v>1102</v>
      </c>
      <c r="F1085" s="4" t="n">
        <v>27</v>
      </c>
      <c r="G1085" s="4" t="n">
        <v>3</v>
      </c>
      <c r="H1085" s="4" t="n">
        <v>4</v>
      </c>
      <c r="I1085" s="4" t="str">
        <v>×</v>
      </c>
      <c r="J1085" s="4"/>
      <c r="K1085" s="4"/>
      <c r="L1085" s="4"/>
      <c r="M1085" s="5" t="s">
        <v>917</v>
      </c>
    </row>
    <row r="1086" customFormat="false" ht="15.75" hidden="false" customHeight="false" outlineLevel="0" collapsed="false">
      <c r="A1086" s="3" t="n">
        <v>46221</v>
      </c>
      <c r="B1086" s="4" t="s">
        <v>1091</v>
      </c>
      <c r="C1086" s="4" t="n">
        <v>1</v>
      </c>
      <c r="D1086" s="4" t="n">
        <v>12</v>
      </c>
      <c r="E1086" s="4" t="s">
        <v>1103</v>
      </c>
      <c r="F1086" s="4" t="n">
        <v>8</v>
      </c>
      <c r="G1086" s="4" t="n">
        <v>7</v>
      </c>
      <c r="H1086" s="4" t="n">
        <v>4</v>
      </c>
      <c r="I1086" s="4" t="str">
        <v>×</v>
      </c>
      <c r="J1086" s="4"/>
      <c r="K1086" s="4"/>
      <c r="L1086" s="4"/>
      <c r="M1086" s="5" t="s">
        <v>917</v>
      </c>
    </row>
    <row r="1087" customFormat="false" ht="15.75" hidden="false" customHeight="false" outlineLevel="0" collapsed="false">
      <c r="A1087" s="3" t="n">
        <v>46221</v>
      </c>
      <c r="B1087" s="4" t="s">
        <v>1091</v>
      </c>
      <c r="C1087" s="4" t="n">
        <v>2</v>
      </c>
      <c r="D1087" s="4" t="n">
        <v>1</v>
      </c>
      <c r="E1087" s="4" t="s">
        <v>1104</v>
      </c>
      <c r="F1087" s="4" t="n">
        <v>17</v>
      </c>
      <c r="G1087" s="4" t="n">
        <v>6</v>
      </c>
      <c r="H1087" s="4" t="n">
        <v>4</v>
      </c>
      <c r="I1087" s="4" t="str">
        <v>×</v>
      </c>
      <c r="J1087" s="4"/>
      <c r="K1087" s="4"/>
      <c r="L1087" s="4"/>
      <c r="M1087" s="5" t="s">
        <v>917</v>
      </c>
    </row>
    <row r="1088" customFormat="false" ht="15.75" hidden="false" customHeight="false" outlineLevel="0" collapsed="false">
      <c r="A1088" s="3" t="n">
        <v>46221</v>
      </c>
      <c r="B1088" s="4" t="s">
        <v>1091</v>
      </c>
      <c r="C1088" s="4" t="n">
        <v>2</v>
      </c>
      <c r="D1088" s="4" t="n">
        <v>2</v>
      </c>
      <c r="E1088" s="4" t="s">
        <v>1105</v>
      </c>
      <c r="F1088" s="4" t="n">
        <v>10</v>
      </c>
      <c r="G1088" s="4" t="n">
        <v>8</v>
      </c>
      <c r="H1088" s="4" t="n">
        <v>4</v>
      </c>
      <c r="I1088" s="4" t="str">
        <v>×</v>
      </c>
      <c r="J1088" s="4"/>
      <c r="K1088" s="4"/>
      <c r="L1088" s="4"/>
      <c r="M1088" s="5" t="s">
        <v>917</v>
      </c>
    </row>
    <row r="1089" customFormat="false" ht="15.75" hidden="false" customHeight="false" outlineLevel="0" collapsed="false">
      <c r="A1089" s="3" t="n">
        <v>46221</v>
      </c>
      <c r="B1089" s="4" t="s">
        <v>1091</v>
      </c>
      <c r="C1089" s="4" t="n">
        <v>2</v>
      </c>
      <c r="D1089" s="4" t="n">
        <v>3</v>
      </c>
      <c r="E1089" s="4" t="s">
        <v>1106</v>
      </c>
      <c r="F1089" s="4" t="n">
        <v>2</v>
      </c>
      <c r="G1089" s="4" t="n">
        <v>10</v>
      </c>
      <c r="H1089" s="4" t="n">
        <v>4</v>
      </c>
      <c r="I1089" s="4" t="str">
        <v>×</v>
      </c>
      <c r="J1089" s="4"/>
      <c r="K1089" s="4"/>
      <c r="L1089" s="4"/>
      <c r="M1089" s="5" t="s">
        <v>917</v>
      </c>
    </row>
    <row r="1090" customFormat="false" ht="15.75" hidden="false" customHeight="false" outlineLevel="0" collapsed="false">
      <c r="A1090" s="3" t="n">
        <v>46221</v>
      </c>
      <c r="B1090" s="4" t="s">
        <v>1091</v>
      </c>
      <c r="C1090" s="4" t="n">
        <v>2</v>
      </c>
      <c r="D1090" s="4" t="n">
        <v>4</v>
      </c>
      <c r="E1090" s="4" t="s">
        <v>1107</v>
      </c>
      <c r="F1090" s="4" t="n">
        <v>8</v>
      </c>
      <c r="G1090" s="4" t="n">
        <v>9</v>
      </c>
      <c r="H1090" s="4" t="n">
        <v>3</v>
      </c>
      <c r="I1090" s="4" t="str">
        <v>○</v>
      </c>
      <c r="J1090" s="4" t="n">
        <v>360</v>
      </c>
      <c r="K1090" s="4"/>
      <c r="L1090" s="4"/>
      <c r="M1090" s="5" t="s">
        <v>917</v>
      </c>
    </row>
    <row r="1091" customFormat="false" ht="15.75" hidden="false" customHeight="false" outlineLevel="0" collapsed="false">
      <c r="A1091" s="3" t="n">
        <v>46221</v>
      </c>
      <c r="B1091" s="4" t="s">
        <v>1091</v>
      </c>
      <c r="C1091" s="4" t="n">
        <v>2</v>
      </c>
      <c r="D1091" s="4" t="n">
        <v>5</v>
      </c>
      <c r="E1091" s="4" t="s">
        <v>1108</v>
      </c>
      <c r="F1091" s="4" t="n">
        <v>58</v>
      </c>
      <c r="G1091" s="4" t="n">
        <v>2</v>
      </c>
      <c r="H1091" s="4" t="n">
        <v>2</v>
      </c>
      <c r="I1091" s="4" t="str">
        <v>○</v>
      </c>
      <c r="J1091" s="4" t="n">
        <v>110</v>
      </c>
      <c r="K1091" s="4"/>
      <c r="L1091" s="4"/>
      <c r="M1091" s="5" t="s">
        <v>917</v>
      </c>
    </row>
    <row r="1092" customFormat="false" ht="15.75" hidden="false" customHeight="false" outlineLevel="0" collapsed="false">
      <c r="A1092" s="3" t="n">
        <v>46221</v>
      </c>
      <c r="B1092" s="4" t="s">
        <v>1091</v>
      </c>
      <c r="C1092" s="4" t="n">
        <v>2</v>
      </c>
      <c r="D1092" s="4" t="n">
        <v>6</v>
      </c>
      <c r="E1092" s="4" t="s">
        <v>1109</v>
      </c>
      <c r="F1092" s="4" t="n">
        <v>8</v>
      </c>
      <c r="G1092" s="4" t="n">
        <v>9</v>
      </c>
      <c r="H1092" s="4" t="n">
        <v>4</v>
      </c>
      <c r="I1092" s="4" t="str">
        <v>×</v>
      </c>
      <c r="J1092" s="4"/>
      <c r="K1092" s="4"/>
      <c r="L1092" s="4"/>
      <c r="M1092" s="5" t="s">
        <v>917</v>
      </c>
    </row>
    <row r="1093" customFormat="false" ht="15.75" hidden="false" customHeight="false" outlineLevel="0" collapsed="false">
      <c r="A1093" s="3" t="n">
        <v>46221</v>
      </c>
      <c r="B1093" s="4" t="s">
        <v>1091</v>
      </c>
      <c r="C1093" s="4" t="n">
        <v>2</v>
      </c>
      <c r="D1093" s="4" t="n">
        <v>7</v>
      </c>
      <c r="E1093" s="4" t="s">
        <v>1110</v>
      </c>
      <c r="F1093" s="4" t="n">
        <v>23</v>
      </c>
      <c r="G1093" s="4" t="n">
        <v>4</v>
      </c>
      <c r="H1093" s="4" t="n">
        <v>4</v>
      </c>
      <c r="I1093" s="4" t="str">
        <v>×</v>
      </c>
      <c r="J1093" s="4"/>
      <c r="K1093" s="4"/>
      <c r="L1093" s="4"/>
      <c r="M1093" s="5" t="s">
        <v>917</v>
      </c>
    </row>
    <row r="1094" customFormat="false" ht="15.75" hidden="false" customHeight="false" outlineLevel="0" collapsed="false">
      <c r="A1094" s="3" t="n">
        <v>46221</v>
      </c>
      <c r="B1094" s="4" t="s">
        <v>1091</v>
      </c>
      <c r="C1094" s="4" t="n">
        <v>2</v>
      </c>
      <c r="D1094" s="4" t="n">
        <v>8</v>
      </c>
      <c r="E1094" s="4" t="s">
        <v>1111</v>
      </c>
      <c r="F1094" s="4" t="n">
        <v>20</v>
      </c>
      <c r="G1094" s="4" t="n">
        <v>5</v>
      </c>
      <c r="H1094" s="4" t="n">
        <v>4</v>
      </c>
      <c r="I1094" s="4" t="str">
        <v>×</v>
      </c>
      <c r="J1094" s="4"/>
      <c r="K1094" s="4"/>
      <c r="L1094" s="4"/>
      <c r="M1094" s="5" t="s">
        <v>917</v>
      </c>
    </row>
    <row r="1095" customFormat="false" ht="15.75" hidden="false" customHeight="false" outlineLevel="0" collapsed="false">
      <c r="A1095" s="3" t="n">
        <v>46221</v>
      </c>
      <c r="B1095" s="4" t="s">
        <v>1091</v>
      </c>
      <c r="C1095" s="4" t="n">
        <v>2</v>
      </c>
      <c r="D1095" s="4" t="n">
        <v>9</v>
      </c>
      <c r="E1095" s="4" t="s">
        <v>1112</v>
      </c>
      <c r="F1095" s="4" t="n">
        <v>15</v>
      </c>
      <c r="G1095" s="4" t="n">
        <v>7</v>
      </c>
      <c r="H1095" s="4" t="n">
        <v>4</v>
      </c>
      <c r="I1095" s="4" t="str">
        <v>×</v>
      </c>
      <c r="J1095" s="4"/>
      <c r="K1095" s="4"/>
      <c r="L1095" s="4"/>
      <c r="M1095" s="5" t="s">
        <v>917</v>
      </c>
    </row>
    <row r="1096" customFormat="false" ht="15.75" hidden="false" customHeight="false" outlineLevel="0" collapsed="false">
      <c r="A1096" s="3" t="n">
        <v>46221</v>
      </c>
      <c r="B1096" s="4" t="s">
        <v>1091</v>
      </c>
      <c r="C1096" s="4" t="n">
        <v>2</v>
      </c>
      <c r="D1096" s="4" t="n">
        <v>10</v>
      </c>
      <c r="E1096" s="4" t="s">
        <v>1113</v>
      </c>
      <c r="F1096" s="4" t="n">
        <v>60</v>
      </c>
      <c r="G1096" s="4" t="n">
        <v>1</v>
      </c>
      <c r="H1096" s="4" t="n">
        <v>1</v>
      </c>
      <c r="I1096" s="4" t="str">
        <v>○</v>
      </c>
      <c r="J1096" s="4" t="n">
        <v>150</v>
      </c>
      <c r="K1096" s="4"/>
      <c r="L1096" s="4"/>
      <c r="M1096" s="5" t="s">
        <v>917</v>
      </c>
    </row>
    <row r="1097" customFormat="false" ht="15.75" hidden="false" customHeight="false" outlineLevel="0" collapsed="false">
      <c r="A1097" s="3" t="n">
        <v>46221</v>
      </c>
      <c r="B1097" s="4" t="s">
        <v>1091</v>
      </c>
      <c r="C1097" s="4" t="n">
        <v>2</v>
      </c>
      <c r="D1097" s="4" t="n">
        <v>11</v>
      </c>
      <c r="E1097" s="4" t="s">
        <v>1114</v>
      </c>
      <c r="F1097" s="4" t="n">
        <v>34</v>
      </c>
      <c r="G1097" s="4" t="n">
        <v>3</v>
      </c>
      <c r="H1097" s="4" t="n">
        <v>4</v>
      </c>
      <c r="I1097" s="4" t="str">
        <v>×</v>
      </c>
      <c r="J1097" s="4"/>
      <c r="K1097" s="4"/>
      <c r="L1097" s="4"/>
      <c r="M1097" s="5" t="s">
        <v>917</v>
      </c>
    </row>
    <row r="1098" customFormat="false" ht="15.75" hidden="false" customHeight="false" outlineLevel="0" collapsed="false">
      <c r="A1098" s="3" t="n">
        <v>46221</v>
      </c>
      <c r="B1098" s="4" t="s">
        <v>1091</v>
      </c>
      <c r="C1098" s="4" t="n">
        <v>3</v>
      </c>
      <c r="D1098" s="4" t="n">
        <v>1</v>
      </c>
      <c r="E1098" s="4" t="s">
        <v>1115</v>
      </c>
      <c r="F1098" s="4" t="n">
        <v>15</v>
      </c>
      <c r="G1098" s="4" t="n">
        <v>6</v>
      </c>
      <c r="H1098" s="4" t="n">
        <v>4</v>
      </c>
      <c r="I1098" s="4" t="str">
        <v>×</v>
      </c>
      <c r="J1098" s="4"/>
      <c r="K1098" s="4"/>
      <c r="L1098" s="4"/>
      <c r="M1098" s="5" t="s">
        <v>917</v>
      </c>
    </row>
    <row r="1099" customFormat="false" ht="15.75" hidden="false" customHeight="false" outlineLevel="0" collapsed="false">
      <c r="A1099" s="3" t="n">
        <v>46221</v>
      </c>
      <c r="B1099" s="4" t="s">
        <v>1091</v>
      </c>
      <c r="C1099" s="4" t="n">
        <v>3</v>
      </c>
      <c r="D1099" s="4" t="n">
        <v>2</v>
      </c>
      <c r="E1099" s="4" t="s">
        <v>1116</v>
      </c>
      <c r="F1099" s="4" t="n">
        <v>67</v>
      </c>
      <c r="G1099" s="4" t="n">
        <v>1</v>
      </c>
      <c r="H1099" s="4" t="n">
        <v>1</v>
      </c>
      <c r="I1099" s="4" t="str">
        <v>○</v>
      </c>
      <c r="J1099" s="4" t="n">
        <v>140</v>
      </c>
      <c r="K1099" s="4"/>
      <c r="L1099" s="4"/>
      <c r="M1099" s="5" t="s">
        <v>917</v>
      </c>
    </row>
    <row r="1100" customFormat="false" ht="15.75" hidden="false" customHeight="false" outlineLevel="0" collapsed="false">
      <c r="A1100" s="3" t="n">
        <v>46221</v>
      </c>
      <c r="B1100" s="4" t="s">
        <v>1091</v>
      </c>
      <c r="C1100" s="4" t="n">
        <v>3</v>
      </c>
      <c r="D1100" s="4" t="n">
        <v>3</v>
      </c>
      <c r="E1100" s="4" t="s">
        <v>1117</v>
      </c>
      <c r="F1100" s="4" t="n">
        <v>10</v>
      </c>
      <c r="G1100" s="4" t="n">
        <v>7</v>
      </c>
      <c r="H1100" s="4" t="n">
        <v>4</v>
      </c>
      <c r="I1100" s="4" t="str">
        <v>×</v>
      </c>
      <c r="J1100" s="4"/>
      <c r="K1100" s="4"/>
      <c r="L1100" s="4"/>
      <c r="M1100" s="5" t="s">
        <v>917</v>
      </c>
    </row>
    <row r="1101" customFormat="false" ht="15.75" hidden="false" customHeight="false" outlineLevel="0" collapsed="false">
      <c r="A1101" s="3" t="n">
        <v>46221</v>
      </c>
      <c r="B1101" s="4" t="s">
        <v>1091</v>
      </c>
      <c r="C1101" s="4" t="n">
        <v>3</v>
      </c>
      <c r="D1101" s="4" t="n">
        <v>4</v>
      </c>
      <c r="E1101" s="4" t="s">
        <v>1118</v>
      </c>
      <c r="F1101" s="4" t="n">
        <v>4</v>
      </c>
      <c r="G1101" s="4" t="n">
        <v>9</v>
      </c>
      <c r="H1101" s="4" t="n">
        <v>4</v>
      </c>
      <c r="I1101" s="4" t="str">
        <v>×</v>
      </c>
      <c r="J1101" s="4"/>
      <c r="K1101" s="4"/>
      <c r="L1101" s="4"/>
      <c r="M1101" s="5" t="s">
        <v>917</v>
      </c>
    </row>
    <row r="1102" customFormat="false" ht="15.75" hidden="false" customHeight="false" outlineLevel="0" collapsed="false">
      <c r="A1102" s="3" t="n">
        <v>46221</v>
      </c>
      <c r="B1102" s="4" t="s">
        <v>1091</v>
      </c>
      <c r="C1102" s="4" t="n">
        <v>3</v>
      </c>
      <c r="D1102" s="4" t="n">
        <v>5</v>
      </c>
      <c r="E1102" s="4" t="s">
        <v>1119</v>
      </c>
      <c r="F1102" s="4" t="n">
        <v>20</v>
      </c>
      <c r="G1102" s="4" t="n">
        <v>5</v>
      </c>
      <c r="H1102" s="4" t="n">
        <v>2</v>
      </c>
      <c r="I1102" s="4" t="str">
        <v>○</v>
      </c>
      <c r="J1102" s="4" t="n">
        <v>280</v>
      </c>
      <c r="K1102" s="4"/>
      <c r="L1102" s="4"/>
      <c r="M1102" s="5" t="s">
        <v>917</v>
      </c>
    </row>
    <row r="1103" customFormat="false" ht="15.75" hidden="false" customHeight="false" outlineLevel="0" collapsed="false">
      <c r="A1103" s="3" t="n">
        <v>46221</v>
      </c>
      <c r="B1103" s="4" t="s">
        <v>1091</v>
      </c>
      <c r="C1103" s="4" t="n">
        <v>3</v>
      </c>
      <c r="D1103" s="4" t="n">
        <v>6</v>
      </c>
      <c r="E1103" s="4" t="s">
        <v>1120</v>
      </c>
      <c r="F1103" s="4" t="n">
        <v>4</v>
      </c>
      <c r="G1103" s="4" t="n">
        <v>9</v>
      </c>
      <c r="H1103" s="4" t="n">
        <v>4</v>
      </c>
      <c r="I1103" s="4" t="str">
        <v>×</v>
      </c>
      <c r="J1103" s="4"/>
      <c r="K1103" s="4"/>
      <c r="L1103" s="4"/>
      <c r="M1103" s="5" t="s">
        <v>917</v>
      </c>
    </row>
    <row r="1104" customFormat="false" ht="15.75" hidden="false" customHeight="false" outlineLevel="0" collapsed="false">
      <c r="A1104" s="3" t="n">
        <v>46221</v>
      </c>
      <c r="B1104" s="4" t="s">
        <v>1091</v>
      </c>
      <c r="C1104" s="4" t="n">
        <v>3</v>
      </c>
      <c r="D1104" s="4" t="n">
        <v>7</v>
      </c>
      <c r="E1104" s="4" t="s">
        <v>1121</v>
      </c>
      <c r="F1104" s="4" t="n">
        <v>29</v>
      </c>
      <c r="G1104" s="4" t="n">
        <v>4</v>
      </c>
      <c r="H1104" s="4" t="n">
        <v>4</v>
      </c>
      <c r="I1104" s="4" t="str">
        <v>×</v>
      </c>
      <c r="J1104" s="4"/>
      <c r="K1104" s="4"/>
      <c r="L1104" s="4"/>
      <c r="M1104" s="5" t="s">
        <v>917</v>
      </c>
    </row>
    <row r="1105" customFormat="false" ht="15.75" hidden="false" customHeight="false" outlineLevel="0" collapsed="false">
      <c r="A1105" s="3" t="n">
        <v>46221</v>
      </c>
      <c r="B1105" s="4" t="s">
        <v>1091</v>
      </c>
      <c r="C1105" s="4" t="n">
        <v>3</v>
      </c>
      <c r="D1105" s="4" t="n">
        <v>8</v>
      </c>
      <c r="E1105" s="4" t="s">
        <v>1122</v>
      </c>
      <c r="F1105" s="4" t="n">
        <v>3</v>
      </c>
      <c r="G1105" s="4" t="n">
        <v>10</v>
      </c>
      <c r="H1105" s="4" t="n">
        <v>4</v>
      </c>
      <c r="I1105" s="4" t="str">
        <v>×</v>
      </c>
      <c r="J1105" s="4"/>
      <c r="K1105" s="4"/>
      <c r="L1105" s="4"/>
      <c r="M1105" s="5" t="s">
        <v>917</v>
      </c>
    </row>
    <row r="1106" customFormat="false" ht="15.75" hidden="false" customHeight="false" outlineLevel="0" collapsed="false">
      <c r="A1106" s="3" t="n">
        <v>46221</v>
      </c>
      <c r="B1106" s="4" t="s">
        <v>1091</v>
      </c>
      <c r="C1106" s="4" t="n">
        <v>3</v>
      </c>
      <c r="D1106" s="4" t="n">
        <v>9</v>
      </c>
      <c r="E1106" s="4" t="s">
        <v>1123</v>
      </c>
      <c r="F1106" s="4" t="n">
        <v>10</v>
      </c>
      <c r="G1106" s="4" t="n">
        <v>7</v>
      </c>
      <c r="H1106" s="4" t="n">
        <v>4</v>
      </c>
      <c r="I1106" s="4" t="str">
        <v>×</v>
      </c>
      <c r="J1106" s="4"/>
      <c r="K1106" s="4"/>
      <c r="L1106" s="4"/>
      <c r="M1106" s="5" t="s">
        <v>917</v>
      </c>
    </row>
    <row r="1107" customFormat="false" ht="15.75" hidden="false" customHeight="false" outlineLevel="0" collapsed="false">
      <c r="A1107" s="3" t="n">
        <v>46221</v>
      </c>
      <c r="B1107" s="4" t="s">
        <v>1091</v>
      </c>
      <c r="C1107" s="4" t="n">
        <v>3</v>
      </c>
      <c r="D1107" s="4" t="n">
        <v>10</v>
      </c>
      <c r="E1107" s="4" t="s">
        <v>1124</v>
      </c>
      <c r="F1107" s="4" t="n">
        <v>3</v>
      </c>
      <c r="G1107" s="4" t="n">
        <v>10</v>
      </c>
      <c r="H1107" s="4" t="n">
        <v>4</v>
      </c>
      <c r="I1107" s="4" t="str">
        <v>×</v>
      </c>
      <c r="J1107" s="4"/>
      <c r="K1107" s="4"/>
      <c r="L1107" s="4"/>
      <c r="M1107" s="5" t="s">
        <v>917</v>
      </c>
    </row>
    <row r="1108" customFormat="false" ht="15.75" hidden="false" customHeight="false" outlineLevel="0" collapsed="false">
      <c r="A1108" s="3" t="n">
        <v>46221</v>
      </c>
      <c r="B1108" s="4" t="s">
        <v>1091</v>
      </c>
      <c r="C1108" s="4" t="n">
        <v>3</v>
      </c>
      <c r="D1108" s="4" t="n">
        <v>11</v>
      </c>
      <c r="E1108" s="4" t="s">
        <v>1125</v>
      </c>
      <c r="F1108" s="4" t="n">
        <v>47</v>
      </c>
      <c r="G1108" s="4" t="n">
        <v>2</v>
      </c>
      <c r="H1108" s="4" t="n">
        <v>4</v>
      </c>
      <c r="I1108" s="4" t="str">
        <v>×</v>
      </c>
      <c r="J1108" s="4"/>
      <c r="K1108" s="4"/>
      <c r="L1108" s="4"/>
      <c r="M1108" s="5" t="s">
        <v>917</v>
      </c>
    </row>
    <row r="1109" customFormat="false" ht="15.75" hidden="false" customHeight="false" outlineLevel="0" collapsed="false">
      <c r="A1109" s="3" t="n">
        <v>46221</v>
      </c>
      <c r="B1109" s="4" t="s">
        <v>1091</v>
      </c>
      <c r="C1109" s="4" t="n">
        <v>3</v>
      </c>
      <c r="D1109" s="4" t="n">
        <v>12</v>
      </c>
      <c r="E1109" s="4" t="s">
        <v>1126</v>
      </c>
      <c r="F1109" s="4" t="n">
        <v>10</v>
      </c>
      <c r="G1109" s="4" t="n">
        <v>7</v>
      </c>
      <c r="H1109" s="4" t="n">
        <v>4</v>
      </c>
      <c r="I1109" s="4" t="str">
        <v>×</v>
      </c>
      <c r="J1109" s="4"/>
      <c r="K1109" s="4"/>
      <c r="L1109" s="4"/>
      <c r="M1109" s="5" t="s">
        <v>917</v>
      </c>
    </row>
    <row r="1110" customFormat="false" ht="15.75" hidden="false" customHeight="false" outlineLevel="0" collapsed="false">
      <c r="A1110" s="3" t="n">
        <v>46221</v>
      </c>
      <c r="B1110" s="4" t="s">
        <v>1091</v>
      </c>
      <c r="C1110" s="4" t="n">
        <v>3</v>
      </c>
      <c r="D1110" s="4" t="n">
        <v>13</v>
      </c>
      <c r="E1110" s="4" t="s">
        <v>1127</v>
      </c>
      <c r="F1110" s="4" t="n">
        <v>8</v>
      </c>
      <c r="G1110" s="4" t="n">
        <v>8</v>
      </c>
      <c r="H1110" s="4" t="n">
        <v>4</v>
      </c>
      <c r="I1110" s="4" t="str">
        <v>×</v>
      </c>
      <c r="J1110" s="4"/>
      <c r="K1110" s="4"/>
      <c r="L1110" s="4"/>
      <c r="M1110" s="5" t="s">
        <v>917</v>
      </c>
    </row>
    <row r="1111" customFormat="false" ht="15.75" hidden="false" customHeight="false" outlineLevel="0" collapsed="false">
      <c r="A1111" s="3" t="n">
        <v>46221</v>
      </c>
      <c r="B1111" s="4" t="s">
        <v>1091</v>
      </c>
      <c r="C1111" s="4" t="n">
        <v>3</v>
      </c>
      <c r="D1111" s="4" t="n">
        <v>14</v>
      </c>
      <c r="E1111" s="4" t="s">
        <v>1128</v>
      </c>
      <c r="F1111" s="4" t="n">
        <v>44</v>
      </c>
      <c r="G1111" s="4" t="n">
        <v>3</v>
      </c>
      <c r="H1111" s="4" t="n">
        <v>3</v>
      </c>
      <c r="I1111" s="4" t="str">
        <v>○</v>
      </c>
      <c r="J1111" s="4" t="n">
        <v>170</v>
      </c>
      <c r="K1111" s="4"/>
      <c r="L1111" s="4"/>
      <c r="M1111" s="5" t="s">
        <v>917</v>
      </c>
    </row>
    <row r="1112" customFormat="false" ht="15.75" hidden="false" customHeight="false" outlineLevel="0" collapsed="false">
      <c r="A1112" s="3" t="n">
        <v>46221</v>
      </c>
      <c r="B1112" s="4" t="s">
        <v>1091</v>
      </c>
      <c r="C1112" s="4" t="n">
        <v>4</v>
      </c>
      <c r="D1112" s="4" t="n">
        <v>1</v>
      </c>
      <c r="E1112" s="4" t="s">
        <v>1129</v>
      </c>
      <c r="F1112" s="4" t="n">
        <v>37</v>
      </c>
      <c r="G1112" s="4" t="n">
        <v>3</v>
      </c>
      <c r="H1112" s="4" t="n">
        <v>4</v>
      </c>
      <c r="I1112" s="4" t="str">
        <v>×</v>
      </c>
      <c r="J1112" s="4"/>
      <c r="K1112" s="4"/>
      <c r="L1112" s="4"/>
      <c r="M1112" s="5" t="s">
        <v>917</v>
      </c>
    </row>
    <row r="1113" customFormat="false" ht="15.75" hidden="false" customHeight="false" outlineLevel="0" collapsed="false">
      <c r="A1113" s="3" t="n">
        <v>46221</v>
      </c>
      <c r="B1113" s="4" t="s">
        <v>1091</v>
      </c>
      <c r="C1113" s="4" t="n">
        <v>4</v>
      </c>
      <c r="D1113" s="4" t="n">
        <v>2</v>
      </c>
      <c r="E1113" s="4" t="s">
        <v>1130</v>
      </c>
      <c r="F1113" s="4" t="n">
        <v>55</v>
      </c>
      <c r="G1113" s="4" t="n">
        <v>1</v>
      </c>
      <c r="H1113" s="4" t="n">
        <v>4</v>
      </c>
      <c r="I1113" s="4" t="str">
        <v>×</v>
      </c>
      <c r="J1113" s="4"/>
      <c r="K1113" s="4"/>
      <c r="L1113" s="4"/>
      <c r="M1113" s="5" t="s">
        <v>917</v>
      </c>
    </row>
    <row r="1114" customFormat="false" ht="15.75" hidden="false" customHeight="false" outlineLevel="0" collapsed="false">
      <c r="A1114" s="3" t="n">
        <v>46221</v>
      </c>
      <c r="B1114" s="4" t="s">
        <v>1091</v>
      </c>
      <c r="C1114" s="4" t="n">
        <v>4</v>
      </c>
      <c r="D1114" s="4" t="n">
        <v>3</v>
      </c>
      <c r="E1114" s="4" t="s">
        <v>1131</v>
      </c>
      <c r="F1114" s="4" t="n">
        <v>27</v>
      </c>
      <c r="G1114" s="4" t="n">
        <v>4</v>
      </c>
      <c r="H1114" s="4" t="n">
        <v>4</v>
      </c>
      <c r="I1114" s="4" t="str">
        <v>×</v>
      </c>
      <c r="J1114" s="4"/>
      <c r="K1114" s="4"/>
      <c r="L1114" s="4"/>
      <c r="M1114" s="5" t="s">
        <v>917</v>
      </c>
    </row>
    <row r="1115" customFormat="false" ht="15.75" hidden="false" customHeight="false" outlineLevel="0" collapsed="false">
      <c r="A1115" s="3" t="n">
        <v>46221</v>
      </c>
      <c r="B1115" s="4" t="s">
        <v>1091</v>
      </c>
      <c r="C1115" s="4" t="n">
        <v>4</v>
      </c>
      <c r="D1115" s="4" t="n">
        <v>4</v>
      </c>
      <c r="E1115" s="4" t="s">
        <v>1132</v>
      </c>
      <c r="F1115" s="4" t="n">
        <v>55</v>
      </c>
      <c r="G1115" s="4" t="n">
        <v>1</v>
      </c>
      <c r="H1115" s="4" t="n">
        <v>3</v>
      </c>
      <c r="I1115" s="4" t="str">
        <v>○</v>
      </c>
      <c r="J1115" s="4" t="n">
        <v>110</v>
      </c>
      <c r="K1115" s="4"/>
      <c r="L1115" s="4"/>
      <c r="M1115" s="5" t="s">
        <v>917</v>
      </c>
    </row>
    <row r="1116" customFormat="false" ht="15.75" hidden="false" customHeight="false" outlineLevel="0" collapsed="false">
      <c r="A1116" s="3" t="n">
        <v>46221</v>
      </c>
      <c r="B1116" s="4" t="s">
        <v>1091</v>
      </c>
      <c r="C1116" s="4" t="n">
        <v>4</v>
      </c>
      <c r="D1116" s="4" t="n">
        <v>5</v>
      </c>
      <c r="E1116" s="4" t="s">
        <v>1133</v>
      </c>
      <c r="F1116" s="4" t="n">
        <v>16</v>
      </c>
      <c r="G1116" s="4" t="n">
        <v>5</v>
      </c>
      <c r="H1116" s="4" t="n">
        <v>1</v>
      </c>
      <c r="I1116" s="4" t="str">
        <v>○</v>
      </c>
      <c r="J1116" s="4" t="n">
        <v>810</v>
      </c>
      <c r="K1116" s="4"/>
      <c r="L1116" s="4"/>
      <c r="M1116" s="5" t="s">
        <v>917</v>
      </c>
    </row>
    <row r="1117" customFormat="false" ht="15.75" hidden="false" customHeight="false" outlineLevel="0" collapsed="false">
      <c r="A1117" s="3" t="n">
        <v>46221</v>
      </c>
      <c r="B1117" s="4" t="s">
        <v>1091</v>
      </c>
      <c r="C1117" s="4" t="n">
        <v>4</v>
      </c>
      <c r="D1117" s="4" t="n">
        <v>6</v>
      </c>
      <c r="E1117" s="4" t="s">
        <v>1134</v>
      </c>
      <c r="F1117" s="4" t="n">
        <v>37</v>
      </c>
      <c r="G1117" s="4" t="n">
        <v>3</v>
      </c>
      <c r="H1117" s="4" t="n">
        <v>4</v>
      </c>
      <c r="I1117" s="4" t="str">
        <v>×</v>
      </c>
      <c r="J1117" s="4"/>
      <c r="K1117" s="4"/>
      <c r="L1117" s="4"/>
      <c r="M1117" s="5" t="s">
        <v>917</v>
      </c>
    </row>
    <row r="1118" customFormat="false" ht="15.75" hidden="false" customHeight="false" outlineLevel="0" collapsed="false">
      <c r="A1118" s="3" t="n">
        <v>46221</v>
      </c>
      <c r="B1118" s="4" t="s">
        <v>1091</v>
      </c>
      <c r="C1118" s="4" t="n">
        <v>4</v>
      </c>
      <c r="D1118" s="4" t="n">
        <v>7</v>
      </c>
      <c r="E1118" s="4" t="s">
        <v>1135</v>
      </c>
      <c r="F1118" s="4" t="n">
        <v>44</v>
      </c>
      <c r="G1118" s="4" t="n">
        <v>2</v>
      </c>
      <c r="H1118" s="4" t="n">
        <v>2</v>
      </c>
      <c r="I1118" s="4" t="str">
        <v>○</v>
      </c>
      <c r="J1118" s="4" t="n">
        <v>260</v>
      </c>
      <c r="K1118" s="4"/>
      <c r="L1118" s="4"/>
      <c r="M1118" s="5" t="s">
        <v>917</v>
      </c>
    </row>
    <row r="1119" customFormat="false" ht="15.75" hidden="false" customHeight="false" outlineLevel="0" collapsed="false">
      <c r="A1119" s="3" t="n">
        <v>46221</v>
      </c>
      <c r="B1119" s="4" t="s">
        <v>1091</v>
      </c>
      <c r="C1119" s="4" t="n">
        <v>4</v>
      </c>
      <c r="D1119" s="4" t="n">
        <v>8</v>
      </c>
      <c r="E1119" s="4" t="s">
        <v>1136</v>
      </c>
      <c r="F1119" s="4" t="n">
        <v>37</v>
      </c>
      <c r="G1119" s="4" t="n">
        <v>3</v>
      </c>
      <c r="H1119" s="4" t="n">
        <v>4</v>
      </c>
      <c r="I1119" s="4" t="str">
        <v>×</v>
      </c>
      <c r="J1119" s="4"/>
      <c r="K1119" s="4"/>
      <c r="L1119" s="4"/>
      <c r="M1119" s="5" t="s">
        <v>917</v>
      </c>
    </row>
    <row r="1120" customFormat="false" ht="15.75" hidden="false" customHeight="false" outlineLevel="0" collapsed="false">
      <c r="A1120" s="3" t="n">
        <v>46221</v>
      </c>
      <c r="B1120" s="4" t="s">
        <v>1091</v>
      </c>
      <c r="C1120" s="4" t="n">
        <v>5</v>
      </c>
      <c r="D1120" s="4" t="n">
        <v>1</v>
      </c>
      <c r="E1120" s="4" t="s">
        <v>1137</v>
      </c>
      <c r="F1120" s="4" t="n">
        <v>37</v>
      </c>
      <c r="G1120" s="4" t="n">
        <v>1</v>
      </c>
      <c r="H1120" s="4" t="n">
        <v>1</v>
      </c>
      <c r="I1120" s="4" t="str">
        <v>○</v>
      </c>
      <c r="J1120" s="4" t="n">
        <v>110</v>
      </c>
      <c r="K1120" s="4"/>
      <c r="L1120" s="4"/>
      <c r="M1120" s="5" t="s">
        <v>917</v>
      </c>
    </row>
    <row r="1121" customFormat="false" ht="15.75" hidden="false" customHeight="false" outlineLevel="0" collapsed="false">
      <c r="A1121" s="3" t="n">
        <v>46221</v>
      </c>
      <c r="B1121" s="4" t="s">
        <v>1091</v>
      </c>
      <c r="C1121" s="4" t="n">
        <v>5</v>
      </c>
      <c r="D1121" s="4" t="n">
        <v>2</v>
      </c>
      <c r="E1121" s="4" t="s">
        <v>1138</v>
      </c>
      <c r="F1121" s="4" t="n">
        <v>24</v>
      </c>
      <c r="G1121" s="4" t="n">
        <v>3</v>
      </c>
      <c r="H1121" s="4" t="n">
        <v>4</v>
      </c>
      <c r="I1121" s="4" t="str">
        <v>×</v>
      </c>
      <c r="J1121" s="4"/>
      <c r="K1121" s="4"/>
      <c r="L1121" s="4"/>
      <c r="M1121" s="5" t="s">
        <v>917</v>
      </c>
    </row>
    <row r="1122" customFormat="false" ht="15.75" hidden="false" customHeight="false" outlineLevel="0" collapsed="false">
      <c r="A1122" s="3" t="n">
        <v>46221</v>
      </c>
      <c r="B1122" s="4" t="s">
        <v>1091</v>
      </c>
      <c r="C1122" s="4" t="n">
        <v>5</v>
      </c>
      <c r="D1122" s="4" t="n">
        <v>3</v>
      </c>
      <c r="E1122" s="4" t="s">
        <v>1139</v>
      </c>
      <c r="F1122" s="4" t="n">
        <v>21</v>
      </c>
      <c r="G1122" s="4" t="n">
        <v>4</v>
      </c>
      <c r="H1122" s="4" t="n">
        <v>2</v>
      </c>
      <c r="I1122" s="4" t="str">
        <v>○</v>
      </c>
      <c r="J1122" s="4" t="n">
        <v>150</v>
      </c>
      <c r="K1122" s="4"/>
      <c r="L1122" s="4"/>
      <c r="M1122" s="5" t="s">
        <v>917</v>
      </c>
    </row>
    <row r="1123" customFormat="false" ht="15.75" hidden="false" customHeight="false" outlineLevel="0" collapsed="false">
      <c r="A1123" s="3" t="n">
        <v>46221</v>
      </c>
      <c r="B1123" s="4" t="s">
        <v>1091</v>
      </c>
      <c r="C1123" s="4" t="n">
        <v>5</v>
      </c>
      <c r="D1123" s="4" t="n">
        <v>4</v>
      </c>
      <c r="E1123" s="4" t="s">
        <v>1140</v>
      </c>
      <c r="F1123" s="4" t="n">
        <v>12</v>
      </c>
      <c r="G1123" s="4" t="n">
        <v>5</v>
      </c>
      <c r="H1123" s="4" t="n">
        <v>4</v>
      </c>
      <c r="I1123" s="4" t="str">
        <v>×</v>
      </c>
      <c r="J1123" s="4"/>
      <c r="K1123" s="4"/>
      <c r="L1123" s="4"/>
      <c r="M1123" s="5" t="s">
        <v>917</v>
      </c>
    </row>
    <row r="1124" customFormat="false" ht="15.75" hidden="false" customHeight="false" outlineLevel="0" collapsed="false">
      <c r="A1124" s="3" t="n">
        <v>46221</v>
      </c>
      <c r="B1124" s="4" t="s">
        <v>1091</v>
      </c>
      <c r="C1124" s="4" t="n">
        <v>5</v>
      </c>
      <c r="D1124" s="4" t="n">
        <v>5</v>
      </c>
      <c r="E1124" s="4" t="s">
        <v>1141</v>
      </c>
      <c r="F1124" s="4" t="n">
        <v>31</v>
      </c>
      <c r="G1124" s="4" t="n">
        <v>2</v>
      </c>
      <c r="H1124" s="4" t="n">
        <v>3</v>
      </c>
      <c r="I1124" s="4" t="str">
        <v>○</v>
      </c>
      <c r="J1124" s="4"/>
      <c r="K1124" s="4"/>
      <c r="L1124" s="4"/>
      <c r="M1124" s="5" t="s">
        <v>917</v>
      </c>
    </row>
    <row r="1125" customFormat="false" ht="15.75" hidden="false" customHeight="false" outlineLevel="0" collapsed="false">
      <c r="A1125" s="3" t="n">
        <v>46221</v>
      </c>
      <c r="B1125" s="4" t="s">
        <v>1091</v>
      </c>
      <c r="C1125" s="4" t="n">
        <v>5</v>
      </c>
      <c r="D1125" s="4" t="n">
        <v>6</v>
      </c>
      <c r="E1125" s="4" t="s">
        <v>1142</v>
      </c>
      <c r="F1125" s="4" t="n">
        <v>21</v>
      </c>
      <c r="G1125" s="4" t="n">
        <v>4</v>
      </c>
      <c r="H1125" s="4" t="n">
        <v>4</v>
      </c>
      <c r="I1125" s="4" t="str">
        <v>×</v>
      </c>
      <c r="J1125" s="4"/>
      <c r="K1125" s="4"/>
      <c r="L1125" s="4"/>
      <c r="M1125" s="5" t="s">
        <v>917</v>
      </c>
    </row>
    <row r="1126" customFormat="false" ht="15.75" hidden="false" customHeight="false" outlineLevel="0" collapsed="false">
      <c r="A1126" s="3" t="n">
        <v>46221</v>
      </c>
      <c r="B1126" s="4" t="s">
        <v>1091</v>
      </c>
      <c r="C1126" s="4" t="n">
        <v>5</v>
      </c>
      <c r="D1126" s="4" t="n">
        <v>7</v>
      </c>
      <c r="E1126" s="4" t="s">
        <v>1143</v>
      </c>
      <c r="F1126" s="4" t="n">
        <v>24</v>
      </c>
      <c r="G1126" s="4" t="n">
        <v>3</v>
      </c>
      <c r="H1126" s="4" t="n">
        <v>4</v>
      </c>
      <c r="I1126" s="4" t="str">
        <v>×</v>
      </c>
      <c r="J1126" s="4"/>
      <c r="K1126" s="4"/>
      <c r="L1126" s="4"/>
      <c r="M1126" s="5" t="s">
        <v>917</v>
      </c>
    </row>
    <row r="1127" customFormat="false" ht="15.75" hidden="false" customHeight="false" outlineLevel="0" collapsed="false">
      <c r="A1127" s="3" t="n">
        <v>46221</v>
      </c>
      <c r="B1127" s="4" t="s">
        <v>1091</v>
      </c>
      <c r="C1127" s="4" t="n">
        <v>6</v>
      </c>
      <c r="D1127" s="4" t="n">
        <v>1</v>
      </c>
      <c r="E1127" s="4" t="s">
        <v>1144</v>
      </c>
      <c r="F1127" s="4" t="n">
        <v>3</v>
      </c>
      <c r="G1127" s="4" t="n">
        <v>10</v>
      </c>
      <c r="H1127" s="4" t="n">
        <v>4</v>
      </c>
      <c r="I1127" s="4" t="str">
        <v>×</v>
      </c>
      <c r="J1127" s="4"/>
      <c r="K1127" s="4"/>
      <c r="L1127" s="4"/>
      <c r="M1127" s="5" t="s">
        <v>917</v>
      </c>
    </row>
    <row r="1128" customFormat="false" ht="15.75" hidden="false" customHeight="false" outlineLevel="0" collapsed="false">
      <c r="A1128" s="3" t="n">
        <v>46221</v>
      </c>
      <c r="B1128" s="4" t="s">
        <v>1091</v>
      </c>
      <c r="C1128" s="4" t="n">
        <v>6</v>
      </c>
      <c r="D1128" s="4" t="n">
        <v>2</v>
      </c>
      <c r="E1128" s="4" t="s">
        <v>1145</v>
      </c>
      <c r="F1128" s="4" t="n">
        <v>39</v>
      </c>
      <c r="G1128" s="4" t="n">
        <v>3</v>
      </c>
      <c r="H1128" s="4" t="n">
        <v>4</v>
      </c>
      <c r="I1128" s="4" t="str">
        <v>×</v>
      </c>
      <c r="J1128" s="4"/>
      <c r="K1128" s="4"/>
      <c r="L1128" s="4"/>
      <c r="M1128" s="5" t="s">
        <v>917</v>
      </c>
    </row>
    <row r="1129" customFormat="false" ht="15.75" hidden="false" customHeight="false" outlineLevel="0" collapsed="false">
      <c r="A1129" s="3" t="n">
        <v>46221</v>
      </c>
      <c r="B1129" s="4" t="s">
        <v>1091</v>
      </c>
      <c r="C1129" s="4" t="n">
        <v>6</v>
      </c>
      <c r="D1129" s="4" t="n">
        <v>3</v>
      </c>
      <c r="E1129" s="4" t="s">
        <v>1146</v>
      </c>
      <c r="F1129" s="4" t="n">
        <v>8</v>
      </c>
      <c r="G1129" s="4" t="n">
        <v>8</v>
      </c>
      <c r="H1129" s="4" t="n">
        <v>3</v>
      </c>
      <c r="I1129" s="4" t="str">
        <v>○</v>
      </c>
      <c r="J1129" s="4" t="n">
        <v>320</v>
      </c>
      <c r="K1129" s="4"/>
      <c r="L1129" s="4"/>
      <c r="M1129" s="5" t="s">
        <v>917</v>
      </c>
    </row>
    <row r="1130" customFormat="false" ht="15.75" hidden="false" customHeight="false" outlineLevel="0" collapsed="false">
      <c r="A1130" s="3" t="n">
        <v>46221</v>
      </c>
      <c r="B1130" s="4" t="s">
        <v>1091</v>
      </c>
      <c r="C1130" s="4" t="n">
        <v>6</v>
      </c>
      <c r="D1130" s="4" t="n">
        <v>4</v>
      </c>
      <c r="E1130" s="4" t="s">
        <v>1147</v>
      </c>
      <c r="F1130" s="4" t="n">
        <v>4</v>
      </c>
      <c r="G1130" s="4" t="n">
        <v>9</v>
      </c>
      <c r="H1130" s="4" t="n">
        <v>4</v>
      </c>
      <c r="I1130" s="4" t="str">
        <v>×</v>
      </c>
      <c r="J1130" s="4"/>
      <c r="K1130" s="4"/>
      <c r="L1130" s="4"/>
      <c r="M1130" s="5" t="s">
        <v>917</v>
      </c>
    </row>
    <row r="1131" customFormat="false" ht="15.75" hidden="false" customHeight="false" outlineLevel="0" collapsed="false">
      <c r="A1131" s="3" t="n">
        <v>46221</v>
      </c>
      <c r="B1131" s="4" t="s">
        <v>1091</v>
      </c>
      <c r="C1131" s="4" t="n">
        <v>6</v>
      </c>
      <c r="D1131" s="4" t="n">
        <v>5</v>
      </c>
      <c r="E1131" s="4" t="s">
        <v>1148</v>
      </c>
      <c r="F1131" s="4" t="n">
        <v>4</v>
      </c>
      <c r="G1131" s="4" t="n">
        <v>9</v>
      </c>
      <c r="H1131" s="4" t="n">
        <v>4</v>
      </c>
      <c r="I1131" s="4" t="str">
        <v>×</v>
      </c>
      <c r="J1131" s="4"/>
      <c r="K1131" s="4"/>
      <c r="L1131" s="4"/>
      <c r="M1131" s="5" t="s">
        <v>917</v>
      </c>
    </row>
    <row r="1132" customFormat="false" ht="15.75" hidden="false" customHeight="false" outlineLevel="0" collapsed="false">
      <c r="A1132" s="3" t="n">
        <v>46221</v>
      </c>
      <c r="B1132" s="4" t="s">
        <v>1091</v>
      </c>
      <c r="C1132" s="4" t="n">
        <v>6</v>
      </c>
      <c r="D1132" s="4" t="n">
        <v>6</v>
      </c>
      <c r="E1132" s="4" t="s">
        <v>1149</v>
      </c>
      <c r="F1132" s="4" t="n">
        <v>52</v>
      </c>
      <c r="G1132" s="4" t="n">
        <v>2</v>
      </c>
      <c r="H1132" s="4" t="n">
        <v>1</v>
      </c>
      <c r="I1132" s="4" t="str">
        <v>○</v>
      </c>
      <c r="J1132" s="4" t="n">
        <v>150</v>
      </c>
      <c r="K1132" s="4"/>
      <c r="L1132" s="4"/>
      <c r="M1132" s="5" t="s">
        <v>917</v>
      </c>
    </row>
    <row r="1133" customFormat="false" ht="15.75" hidden="false" customHeight="false" outlineLevel="0" collapsed="false">
      <c r="A1133" s="3" t="n">
        <v>46221</v>
      </c>
      <c r="B1133" s="4" t="s">
        <v>1091</v>
      </c>
      <c r="C1133" s="4" t="n">
        <v>6</v>
      </c>
      <c r="D1133" s="4" t="n">
        <v>7</v>
      </c>
      <c r="E1133" s="4" t="s">
        <v>1150</v>
      </c>
      <c r="F1133" s="4" t="n">
        <v>13</v>
      </c>
      <c r="G1133" s="4" t="n">
        <v>6</v>
      </c>
      <c r="H1133" s="4" t="n">
        <v>4</v>
      </c>
      <c r="I1133" s="4" t="str">
        <v>×</v>
      </c>
      <c r="J1133" s="4"/>
      <c r="K1133" s="4"/>
      <c r="L1133" s="4"/>
      <c r="M1133" s="5" t="s">
        <v>917</v>
      </c>
    </row>
    <row r="1134" customFormat="false" ht="15.75" hidden="false" customHeight="false" outlineLevel="0" collapsed="false">
      <c r="A1134" s="3" t="n">
        <v>46221</v>
      </c>
      <c r="B1134" s="4" t="s">
        <v>1091</v>
      </c>
      <c r="C1134" s="4" t="n">
        <v>6</v>
      </c>
      <c r="D1134" s="4" t="n">
        <v>8</v>
      </c>
      <c r="E1134" s="4" t="s">
        <v>1151</v>
      </c>
      <c r="F1134" s="4" t="n">
        <v>17</v>
      </c>
      <c r="G1134" s="4" t="n">
        <v>5</v>
      </c>
      <c r="H1134" s="4" t="n">
        <v>4</v>
      </c>
      <c r="I1134" s="4" t="str">
        <v>×</v>
      </c>
      <c r="J1134" s="4"/>
      <c r="K1134" s="4"/>
      <c r="L1134" s="4"/>
      <c r="M1134" s="5" t="s">
        <v>917</v>
      </c>
    </row>
    <row r="1135" customFormat="false" ht="15.75" hidden="false" customHeight="false" outlineLevel="0" collapsed="false">
      <c r="A1135" s="3" t="n">
        <v>46221</v>
      </c>
      <c r="B1135" s="4" t="s">
        <v>1091</v>
      </c>
      <c r="C1135" s="4" t="n">
        <v>6</v>
      </c>
      <c r="D1135" s="4" t="n">
        <v>9</v>
      </c>
      <c r="E1135" s="4" t="s">
        <v>1152</v>
      </c>
      <c r="F1135" s="4" t="n">
        <v>31</v>
      </c>
      <c r="G1135" s="4" t="n">
        <v>4</v>
      </c>
      <c r="H1135" s="4" t="n">
        <v>4</v>
      </c>
      <c r="I1135" s="4" t="str">
        <v>×</v>
      </c>
      <c r="J1135" s="4"/>
      <c r="K1135" s="4"/>
      <c r="L1135" s="4"/>
      <c r="M1135" s="5" t="s">
        <v>917</v>
      </c>
    </row>
    <row r="1136" customFormat="false" ht="15.75" hidden="false" customHeight="false" outlineLevel="0" collapsed="false">
      <c r="A1136" s="3" t="n">
        <v>46221</v>
      </c>
      <c r="B1136" s="4" t="s">
        <v>1091</v>
      </c>
      <c r="C1136" s="4" t="n">
        <v>6</v>
      </c>
      <c r="D1136" s="4" t="n">
        <v>10</v>
      </c>
      <c r="E1136" s="4" t="s">
        <v>1153</v>
      </c>
      <c r="F1136" s="4" t="n">
        <v>4</v>
      </c>
      <c r="G1136" s="4" t="n">
        <v>9</v>
      </c>
      <c r="H1136" s="4" t="n">
        <v>4</v>
      </c>
      <c r="I1136" s="4" t="str">
        <v>×</v>
      </c>
      <c r="J1136" s="4"/>
      <c r="K1136" s="4"/>
      <c r="L1136" s="4"/>
      <c r="M1136" s="5" t="s">
        <v>917</v>
      </c>
    </row>
    <row r="1137" customFormat="false" ht="15.75" hidden="false" customHeight="false" outlineLevel="0" collapsed="false">
      <c r="A1137" s="3" t="n">
        <v>46221</v>
      </c>
      <c r="B1137" s="4" t="s">
        <v>1091</v>
      </c>
      <c r="C1137" s="4" t="n">
        <v>6</v>
      </c>
      <c r="D1137" s="4" t="n">
        <v>11</v>
      </c>
      <c r="E1137" s="4" t="s">
        <v>1154</v>
      </c>
      <c r="F1137" s="4" t="n">
        <v>31</v>
      </c>
      <c r="G1137" s="4" t="n">
        <v>4</v>
      </c>
      <c r="H1137" s="4" t="n">
        <v>4</v>
      </c>
      <c r="I1137" s="4" t="str">
        <v>×</v>
      </c>
      <c r="J1137" s="4"/>
      <c r="K1137" s="4"/>
      <c r="L1137" s="4"/>
      <c r="M1137" s="5" t="s">
        <v>917</v>
      </c>
    </row>
    <row r="1138" customFormat="false" ht="15.75" hidden="false" customHeight="false" outlineLevel="0" collapsed="false">
      <c r="A1138" s="3" t="n">
        <v>46221</v>
      </c>
      <c r="B1138" s="4" t="s">
        <v>1091</v>
      </c>
      <c r="C1138" s="4" t="n">
        <v>6</v>
      </c>
      <c r="D1138" s="4" t="n">
        <v>12</v>
      </c>
      <c r="E1138" s="4" t="s">
        <v>1155</v>
      </c>
      <c r="F1138" s="4" t="n">
        <v>65</v>
      </c>
      <c r="G1138" s="4" t="n">
        <v>1</v>
      </c>
      <c r="H1138" s="4" t="n">
        <v>2</v>
      </c>
      <c r="I1138" s="4" t="str">
        <v>○</v>
      </c>
      <c r="J1138" s="4" t="n">
        <v>150</v>
      </c>
      <c r="K1138" s="4"/>
      <c r="L1138" s="4"/>
      <c r="M1138" s="5" t="s">
        <v>917</v>
      </c>
    </row>
    <row r="1139" customFormat="false" ht="15.75" hidden="false" customHeight="false" outlineLevel="0" collapsed="false">
      <c r="A1139" s="3" t="n">
        <v>46221</v>
      </c>
      <c r="B1139" s="4" t="s">
        <v>1091</v>
      </c>
      <c r="C1139" s="4" t="n">
        <v>6</v>
      </c>
      <c r="D1139" s="4" t="n">
        <v>13</v>
      </c>
      <c r="E1139" s="4" t="s">
        <v>1156</v>
      </c>
      <c r="F1139" s="4" t="n">
        <v>10</v>
      </c>
      <c r="G1139" s="4" t="n">
        <v>7</v>
      </c>
      <c r="H1139" s="4" t="n">
        <v>4</v>
      </c>
      <c r="I1139" s="4" t="str">
        <v>×</v>
      </c>
      <c r="J1139" s="4"/>
      <c r="K1139" s="4"/>
      <c r="L1139" s="4"/>
      <c r="M1139" s="5" t="s">
        <v>917</v>
      </c>
    </row>
    <row r="1140" customFormat="false" ht="15.75" hidden="false" customHeight="false" outlineLevel="0" collapsed="false">
      <c r="A1140" s="3" t="n">
        <v>46221</v>
      </c>
      <c r="B1140" s="4" t="s">
        <v>1091</v>
      </c>
      <c r="C1140" s="4" t="n">
        <v>7</v>
      </c>
      <c r="D1140" s="4" t="n">
        <v>1</v>
      </c>
      <c r="E1140" s="4" t="s">
        <v>1157</v>
      </c>
      <c r="F1140" s="4" t="n">
        <v>2</v>
      </c>
      <c r="G1140" s="4" t="n">
        <v>9</v>
      </c>
      <c r="H1140" s="4" t="n">
        <v>4</v>
      </c>
      <c r="I1140" s="4" t="str">
        <v>×</v>
      </c>
      <c r="J1140" s="4"/>
      <c r="K1140" s="4"/>
      <c r="L1140" s="4"/>
      <c r="M1140" s="5" t="s">
        <v>917</v>
      </c>
    </row>
    <row r="1141" customFormat="false" ht="15.75" hidden="false" customHeight="false" outlineLevel="0" collapsed="false">
      <c r="A1141" s="3" t="n">
        <v>46221</v>
      </c>
      <c r="B1141" s="4" t="s">
        <v>1091</v>
      </c>
      <c r="C1141" s="4" t="n">
        <v>7</v>
      </c>
      <c r="D1141" s="4" t="n">
        <v>2</v>
      </c>
      <c r="E1141" s="4" t="s">
        <v>1158</v>
      </c>
      <c r="F1141" s="4" t="n">
        <v>15</v>
      </c>
      <c r="G1141" s="4" t="n">
        <v>6</v>
      </c>
      <c r="H1141" s="4" t="n">
        <v>4</v>
      </c>
      <c r="I1141" s="4" t="str">
        <v>×</v>
      </c>
      <c r="J1141" s="4"/>
      <c r="K1141" s="4"/>
      <c r="L1141" s="4"/>
      <c r="M1141" s="5" t="s">
        <v>917</v>
      </c>
    </row>
    <row r="1142" customFormat="false" ht="15.75" hidden="false" customHeight="false" outlineLevel="0" collapsed="false">
      <c r="A1142" s="3" t="n">
        <v>46221</v>
      </c>
      <c r="B1142" s="4" t="s">
        <v>1091</v>
      </c>
      <c r="C1142" s="4" t="n">
        <v>7</v>
      </c>
      <c r="D1142" s="4" t="n">
        <v>3</v>
      </c>
      <c r="E1142" s="4" t="s">
        <v>1159</v>
      </c>
      <c r="F1142" s="4" t="n">
        <v>4</v>
      </c>
      <c r="G1142" s="4" t="n">
        <v>8</v>
      </c>
      <c r="H1142" s="4" t="n">
        <v>4</v>
      </c>
      <c r="I1142" s="4" t="str">
        <v>×</v>
      </c>
      <c r="J1142" s="4"/>
      <c r="K1142" s="4"/>
      <c r="L1142" s="4"/>
      <c r="M1142" s="5" t="s">
        <v>917</v>
      </c>
    </row>
    <row r="1143" customFormat="false" ht="15.75" hidden="false" customHeight="false" outlineLevel="0" collapsed="false">
      <c r="A1143" s="3" t="n">
        <v>46221</v>
      </c>
      <c r="B1143" s="4" t="s">
        <v>1091</v>
      </c>
      <c r="C1143" s="4" t="n">
        <v>7</v>
      </c>
      <c r="D1143" s="4" t="n">
        <v>4</v>
      </c>
      <c r="E1143" s="4" t="s">
        <v>1160</v>
      </c>
      <c r="F1143" s="4" t="n">
        <v>23</v>
      </c>
      <c r="G1143" s="4" t="n">
        <v>5</v>
      </c>
      <c r="H1143" s="4" t="n">
        <v>4</v>
      </c>
      <c r="I1143" s="4" t="str">
        <v>×</v>
      </c>
      <c r="J1143" s="4"/>
      <c r="K1143" s="4"/>
      <c r="L1143" s="4"/>
      <c r="M1143" s="5" t="s">
        <v>917</v>
      </c>
    </row>
    <row r="1144" customFormat="false" ht="15.75" hidden="false" customHeight="false" outlineLevel="0" collapsed="false">
      <c r="A1144" s="3" t="n">
        <v>46221</v>
      </c>
      <c r="B1144" s="4" t="s">
        <v>1091</v>
      </c>
      <c r="C1144" s="4" t="n">
        <v>7</v>
      </c>
      <c r="D1144" s="4" t="n">
        <v>5</v>
      </c>
      <c r="E1144" s="4" t="s">
        <v>1161</v>
      </c>
      <c r="F1144" s="4" t="n">
        <v>6</v>
      </c>
      <c r="G1144" s="4" t="n">
        <v>7</v>
      </c>
      <c r="H1144" s="4" t="n">
        <v>4</v>
      </c>
      <c r="I1144" s="4" t="str">
        <v>×</v>
      </c>
      <c r="J1144" s="4"/>
      <c r="K1144" s="4"/>
      <c r="L1144" s="4"/>
      <c r="M1144" s="5" t="s">
        <v>917</v>
      </c>
    </row>
    <row r="1145" customFormat="false" ht="15.75" hidden="false" customHeight="false" outlineLevel="0" collapsed="false">
      <c r="A1145" s="3" t="n">
        <v>46221</v>
      </c>
      <c r="B1145" s="4" t="s">
        <v>1091</v>
      </c>
      <c r="C1145" s="4" t="n">
        <v>7</v>
      </c>
      <c r="D1145" s="4" t="n">
        <v>6</v>
      </c>
      <c r="E1145" s="4" t="s">
        <v>1162</v>
      </c>
      <c r="F1145" s="4" t="n">
        <v>31</v>
      </c>
      <c r="G1145" s="4" t="n">
        <v>4</v>
      </c>
      <c r="H1145" s="4" t="n">
        <v>4</v>
      </c>
      <c r="I1145" s="4" t="str">
        <v>×</v>
      </c>
      <c r="J1145" s="4"/>
      <c r="K1145" s="4"/>
      <c r="L1145" s="4"/>
      <c r="M1145" s="5" t="s">
        <v>917</v>
      </c>
    </row>
    <row r="1146" customFormat="false" ht="15.75" hidden="false" customHeight="false" outlineLevel="0" collapsed="false">
      <c r="A1146" s="3" t="n">
        <v>46221</v>
      </c>
      <c r="B1146" s="4" t="s">
        <v>1091</v>
      </c>
      <c r="C1146" s="4" t="n">
        <v>7</v>
      </c>
      <c r="D1146" s="4" t="n">
        <v>7</v>
      </c>
      <c r="E1146" s="4" t="s">
        <v>1163</v>
      </c>
      <c r="F1146" s="4" t="n">
        <v>15</v>
      </c>
      <c r="G1146" s="4" t="n">
        <v>6</v>
      </c>
      <c r="H1146" s="4" t="n">
        <v>4</v>
      </c>
      <c r="I1146" s="4" t="str">
        <v>×</v>
      </c>
      <c r="J1146" s="4"/>
      <c r="K1146" s="4"/>
      <c r="L1146" s="4"/>
      <c r="M1146" s="5" t="s">
        <v>917</v>
      </c>
    </row>
    <row r="1147" customFormat="false" ht="15.75" hidden="false" customHeight="false" outlineLevel="0" collapsed="false">
      <c r="A1147" s="3" t="n">
        <v>46221</v>
      </c>
      <c r="B1147" s="4" t="s">
        <v>1091</v>
      </c>
      <c r="C1147" s="4" t="n">
        <v>7</v>
      </c>
      <c r="D1147" s="4" t="n">
        <v>8</v>
      </c>
      <c r="E1147" s="4" t="s">
        <v>1164</v>
      </c>
      <c r="F1147" s="4" t="n">
        <v>39</v>
      </c>
      <c r="G1147" s="4" t="n">
        <v>2</v>
      </c>
      <c r="H1147" s="4" t="n">
        <v>2</v>
      </c>
      <c r="I1147" s="4" t="str">
        <v>○</v>
      </c>
      <c r="J1147" s="4" t="n">
        <v>180</v>
      </c>
      <c r="K1147" s="4"/>
      <c r="L1147" s="4"/>
      <c r="M1147" s="5" t="s">
        <v>917</v>
      </c>
    </row>
    <row r="1148" customFormat="false" ht="15.75" hidden="false" customHeight="false" outlineLevel="0" collapsed="false">
      <c r="A1148" s="3" t="n">
        <v>46221</v>
      </c>
      <c r="B1148" s="4" t="s">
        <v>1091</v>
      </c>
      <c r="C1148" s="4" t="n">
        <v>7</v>
      </c>
      <c r="D1148" s="4" t="n">
        <v>9</v>
      </c>
      <c r="E1148" s="4" t="s">
        <v>1165</v>
      </c>
      <c r="F1148" s="4" t="n">
        <v>6</v>
      </c>
      <c r="G1148" s="4" t="n">
        <v>7</v>
      </c>
      <c r="H1148" s="4" t="n">
        <v>4</v>
      </c>
      <c r="I1148" s="4" t="str">
        <v>×</v>
      </c>
      <c r="J1148" s="4"/>
      <c r="K1148" s="4"/>
      <c r="L1148" s="4"/>
      <c r="M1148" s="5" t="s">
        <v>917</v>
      </c>
    </row>
    <row r="1149" customFormat="false" ht="15.75" hidden="false" customHeight="false" outlineLevel="0" collapsed="false">
      <c r="A1149" s="3" t="n">
        <v>46221</v>
      </c>
      <c r="B1149" s="4" t="s">
        <v>1091</v>
      </c>
      <c r="C1149" s="4" t="n">
        <v>7</v>
      </c>
      <c r="D1149" s="4" t="n">
        <v>10</v>
      </c>
      <c r="E1149" s="4" t="s">
        <v>1166</v>
      </c>
      <c r="F1149" s="4" t="n">
        <v>6</v>
      </c>
      <c r="G1149" s="4" t="n">
        <v>7</v>
      </c>
      <c r="H1149" s="4" t="n">
        <v>4</v>
      </c>
      <c r="I1149" s="4" t="str">
        <v>×</v>
      </c>
      <c r="J1149" s="4"/>
      <c r="K1149" s="4"/>
      <c r="L1149" s="4"/>
      <c r="M1149" s="5" t="s">
        <v>917</v>
      </c>
    </row>
    <row r="1150" customFormat="false" ht="15.75" hidden="false" customHeight="false" outlineLevel="0" collapsed="false">
      <c r="A1150" s="3" t="n">
        <v>46221</v>
      </c>
      <c r="B1150" s="4" t="s">
        <v>1091</v>
      </c>
      <c r="C1150" s="4" t="n">
        <v>7</v>
      </c>
      <c r="D1150" s="4" t="n">
        <v>11</v>
      </c>
      <c r="E1150" s="4" t="s">
        <v>1167</v>
      </c>
      <c r="F1150" s="4" t="n">
        <v>39</v>
      </c>
      <c r="G1150" s="4" t="n">
        <v>2</v>
      </c>
      <c r="H1150" s="4" t="n">
        <v>4</v>
      </c>
      <c r="I1150" s="4" t="str">
        <v>×</v>
      </c>
      <c r="J1150" s="4"/>
      <c r="K1150" s="4"/>
      <c r="L1150" s="4"/>
      <c r="M1150" s="5" t="s">
        <v>917</v>
      </c>
    </row>
    <row r="1151" customFormat="false" ht="15.75" hidden="false" customHeight="false" outlineLevel="0" collapsed="false">
      <c r="A1151" s="3" t="n">
        <v>46221</v>
      </c>
      <c r="B1151" s="4" t="s">
        <v>1091</v>
      </c>
      <c r="C1151" s="4" t="n">
        <v>7</v>
      </c>
      <c r="D1151" s="4" t="n">
        <v>12</v>
      </c>
      <c r="E1151" s="4" t="s">
        <v>1168</v>
      </c>
      <c r="F1151" s="4" t="n">
        <v>37</v>
      </c>
      <c r="G1151" s="4" t="n">
        <v>3</v>
      </c>
      <c r="H1151" s="4" t="n">
        <v>3</v>
      </c>
      <c r="I1151" s="4" t="str">
        <v>○</v>
      </c>
      <c r="J1151" s="4" t="n">
        <v>150</v>
      </c>
      <c r="K1151" s="4"/>
      <c r="L1151" s="4"/>
      <c r="M1151" s="5" t="s">
        <v>917</v>
      </c>
    </row>
    <row r="1152" customFormat="false" ht="15.75" hidden="false" customHeight="false" outlineLevel="0" collapsed="false">
      <c r="A1152" s="3" t="n">
        <v>46221</v>
      </c>
      <c r="B1152" s="4" t="s">
        <v>1091</v>
      </c>
      <c r="C1152" s="4" t="n">
        <v>7</v>
      </c>
      <c r="D1152" s="4" t="n">
        <v>13</v>
      </c>
      <c r="E1152" s="4" t="s">
        <v>1169</v>
      </c>
      <c r="F1152" s="4" t="n">
        <v>58</v>
      </c>
      <c r="G1152" s="4" t="n">
        <v>1</v>
      </c>
      <c r="H1152" s="4" t="n">
        <v>1</v>
      </c>
      <c r="I1152" s="4" t="str">
        <v>○</v>
      </c>
      <c r="J1152" s="4" t="n">
        <v>140</v>
      </c>
      <c r="K1152" s="4"/>
      <c r="L1152" s="4"/>
      <c r="M1152" s="5" t="s">
        <v>917</v>
      </c>
    </row>
    <row r="1153" customFormat="false" ht="15.75" hidden="false" customHeight="false" outlineLevel="0" collapsed="false">
      <c r="A1153" s="3" t="n">
        <v>46221</v>
      </c>
      <c r="B1153" s="4" t="s">
        <v>1091</v>
      </c>
      <c r="C1153" s="4" t="n">
        <v>7</v>
      </c>
      <c r="D1153" s="4" t="n">
        <v>14</v>
      </c>
      <c r="E1153" s="4" t="s">
        <v>1170</v>
      </c>
      <c r="F1153" s="4" t="n">
        <v>15</v>
      </c>
      <c r="G1153" s="4" t="n">
        <v>6</v>
      </c>
      <c r="H1153" s="4" t="n">
        <v>4</v>
      </c>
      <c r="I1153" s="4" t="str">
        <v>×</v>
      </c>
      <c r="J1153" s="4"/>
      <c r="K1153" s="4"/>
      <c r="L1153" s="4"/>
      <c r="M1153" s="5" t="s">
        <v>917</v>
      </c>
    </row>
    <row r="1154" customFormat="false" ht="15.75" hidden="false" customHeight="false" outlineLevel="0" collapsed="false">
      <c r="A1154" s="3" t="n">
        <v>46221</v>
      </c>
      <c r="B1154" s="4" t="s">
        <v>1091</v>
      </c>
      <c r="C1154" s="4" t="n">
        <v>8</v>
      </c>
      <c r="D1154" s="4" t="n">
        <v>1</v>
      </c>
      <c r="E1154" s="4" t="s">
        <v>1171</v>
      </c>
      <c r="F1154" s="4" t="n">
        <v>29</v>
      </c>
      <c r="G1154" s="4" t="n">
        <v>5</v>
      </c>
      <c r="H1154" s="4" t="n">
        <v>4</v>
      </c>
      <c r="I1154" s="4" t="str">
        <v>×</v>
      </c>
      <c r="J1154" s="4"/>
      <c r="K1154" s="4"/>
      <c r="L1154" s="4"/>
      <c r="M1154" s="5" t="s">
        <v>917</v>
      </c>
    </row>
    <row r="1155" customFormat="false" ht="15.75" hidden="false" customHeight="false" outlineLevel="0" collapsed="false">
      <c r="A1155" s="3" t="n">
        <v>46221</v>
      </c>
      <c r="B1155" s="4" t="s">
        <v>1091</v>
      </c>
      <c r="C1155" s="4" t="n">
        <v>8</v>
      </c>
      <c r="D1155" s="4" t="n">
        <v>2</v>
      </c>
      <c r="E1155" s="4" t="s">
        <v>1172</v>
      </c>
      <c r="F1155" s="4" t="n">
        <v>13</v>
      </c>
      <c r="G1155" s="4" t="n">
        <v>7</v>
      </c>
      <c r="H1155" s="4" t="n">
        <v>4</v>
      </c>
      <c r="I1155" s="4" t="str">
        <v>×</v>
      </c>
      <c r="J1155" s="4"/>
      <c r="K1155" s="4"/>
      <c r="L1155" s="4"/>
      <c r="M1155" s="5" t="s">
        <v>917</v>
      </c>
    </row>
    <row r="1156" customFormat="false" ht="15.75" hidden="false" customHeight="false" outlineLevel="0" collapsed="false">
      <c r="A1156" s="3" t="n">
        <v>46221</v>
      </c>
      <c r="B1156" s="4" t="s">
        <v>1091</v>
      </c>
      <c r="C1156" s="4" t="n">
        <v>8</v>
      </c>
      <c r="D1156" s="4" t="n">
        <v>3</v>
      </c>
      <c r="E1156" s="4" t="s">
        <v>1173</v>
      </c>
      <c r="F1156" s="4" t="n">
        <v>39</v>
      </c>
      <c r="G1156" s="4" t="n">
        <v>3</v>
      </c>
      <c r="H1156" s="4" t="n">
        <v>1</v>
      </c>
      <c r="I1156" s="4" t="str">
        <v>○</v>
      </c>
      <c r="J1156" s="4" t="n">
        <v>140</v>
      </c>
      <c r="K1156" s="4"/>
      <c r="L1156" s="4"/>
      <c r="M1156" s="5" t="s">
        <v>917</v>
      </c>
    </row>
    <row r="1157" customFormat="false" ht="15.75" hidden="false" customHeight="false" outlineLevel="0" collapsed="false">
      <c r="A1157" s="3" t="n">
        <v>46221</v>
      </c>
      <c r="B1157" s="4" t="s">
        <v>1091</v>
      </c>
      <c r="C1157" s="4" t="n">
        <v>8</v>
      </c>
      <c r="D1157" s="4" t="n">
        <v>4</v>
      </c>
      <c r="E1157" s="4" t="s">
        <v>1174</v>
      </c>
      <c r="F1157" s="4" t="n">
        <v>62</v>
      </c>
      <c r="G1157" s="4" t="n">
        <v>1</v>
      </c>
      <c r="H1157" s="4" t="n">
        <v>4</v>
      </c>
      <c r="I1157" s="4" t="str">
        <v>×</v>
      </c>
      <c r="J1157" s="4"/>
      <c r="K1157" s="4"/>
      <c r="L1157" s="4"/>
      <c r="M1157" s="5" t="s">
        <v>917</v>
      </c>
    </row>
    <row r="1158" customFormat="false" ht="15.75" hidden="false" customHeight="false" outlineLevel="0" collapsed="false">
      <c r="A1158" s="3" t="n">
        <v>46221</v>
      </c>
      <c r="B1158" s="4" t="s">
        <v>1091</v>
      </c>
      <c r="C1158" s="4" t="n">
        <v>8</v>
      </c>
      <c r="D1158" s="4" t="n">
        <v>5</v>
      </c>
      <c r="E1158" s="4" t="s">
        <v>1175</v>
      </c>
      <c r="F1158" s="4" t="n">
        <v>50</v>
      </c>
      <c r="G1158" s="4" t="n">
        <v>2</v>
      </c>
      <c r="H1158" s="4" t="n">
        <v>2</v>
      </c>
      <c r="I1158" s="4" t="str">
        <v>○</v>
      </c>
      <c r="J1158" s="4" t="n">
        <v>150</v>
      </c>
      <c r="K1158" s="4"/>
      <c r="L1158" s="4"/>
      <c r="M1158" s="5" t="s">
        <v>917</v>
      </c>
    </row>
    <row r="1159" customFormat="false" ht="15.75" hidden="false" customHeight="false" outlineLevel="0" collapsed="false">
      <c r="A1159" s="3" t="n">
        <v>46221</v>
      </c>
      <c r="B1159" s="4" t="s">
        <v>1091</v>
      </c>
      <c r="C1159" s="4" t="n">
        <v>8</v>
      </c>
      <c r="D1159" s="4" t="n">
        <v>6</v>
      </c>
      <c r="E1159" s="4" t="s">
        <v>1176</v>
      </c>
      <c r="F1159" s="4" t="n">
        <v>31</v>
      </c>
      <c r="G1159" s="4" t="n">
        <v>4</v>
      </c>
      <c r="H1159" s="4" t="n">
        <v>4</v>
      </c>
      <c r="I1159" s="4" t="str">
        <v>×</v>
      </c>
      <c r="J1159" s="4"/>
      <c r="K1159" s="4"/>
      <c r="L1159" s="4"/>
      <c r="M1159" s="5" t="s">
        <v>917</v>
      </c>
    </row>
    <row r="1160" customFormat="false" ht="15.75" hidden="false" customHeight="false" outlineLevel="0" collapsed="false">
      <c r="A1160" s="3" t="n">
        <v>46221</v>
      </c>
      <c r="B1160" s="4" t="s">
        <v>1091</v>
      </c>
      <c r="C1160" s="4" t="n">
        <v>8</v>
      </c>
      <c r="D1160" s="4" t="n">
        <v>7</v>
      </c>
      <c r="E1160" s="4" t="s">
        <v>1177</v>
      </c>
      <c r="F1160" s="4" t="n">
        <v>23</v>
      </c>
      <c r="G1160" s="4" t="n">
        <v>6</v>
      </c>
      <c r="H1160" s="4" t="n">
        <v>4</v>
      </c>
      <c r="I1160" s="4" t="str">
        <v>×</v>
      </c>
      <c r="J1160" s="4"/>
      <c r="K1160" s="4"/>
      <c r="L1160" s="4"/>
      <c r="M1160" s="5" t="s">
        <v>917</v>
      </c>
    </row>
    <row r="1161" customFormat="false" ht="15.75" hidden="false" customHeight="false" outlineLevel="0" collapsed="false">
      <c r="A1161" s="3" t="n">
        <v>46221</v>
      </c>
      <c r="B1161" s="4" t="s">
        <v>1091</v>
      </c>
      <c r="C1161" s="4" t="n">
        <v>8</v>
      </c>
      <c r="D1161" s="4" t="n">
        <v>8</v>
      </c>
      <c r="E1161" s="4" t="s">
        <v>1178</v>
      </c>
      <c r="F1161" s="4" t="n">
        <v>4</v>
      </c>
      <c r="G1161" s="4" t="n">
        <v>9</v>
      </c>
      <c r="H1161" s="4" t="n">
        <v>4</v>
      </c>
      <c r="I1161" s="4" t="str">
        <v>×</v>
      </c>
      <c r="J1161" s="4"/>
      <c r="K1161" s="4"/>
      <c r="L1161" s="4"/>
      <c r="M1161" s="5" t="s">
        <v>917</v>
      </c>
    </row>
    <row r="1162" customFormat="false" ht="15.75" hidden="false" customHeight="false" outlineLevel="0" collapsed="false">
      <c r="A1162" s="3" t="n">
        <v>46221</v>
      </c>
      <c r="B1162" s="4" t="s">
        <v>1091</v>
      </c>
      <c r="C1162" s="4" t="n">
        <v>8</v>
      </c>
      <c r="D1162" s="4" t="n">
        <v>9</v>
      </c>
      <c r="E1162" s="4" t="s">
        <v>1179</v>
      </c>
      <c r="F1162" s="4" t="n">
        <v>10</v>
      </c>
      <c r="G1162" s="4" t="n">
        <v>8</v>
      </c>
      <c r="H1162" s="4" t="n">
        <v>3</v>
      </c>
      <c r="I1162" s="4" t="str">
        <v>○</v>
      </c>
      <c r="J1162" s="4" t="n">
        <v>350</v>
      </c>
      <c r="K1162" s="4"/>
      <c r="L1162" s="4"/>
      <c r="M1162" s="5" t="s">
        <v>917</v>
      </c>
    </row>
    <row r="1163" customFormat="false" ht="15.75" hidden="false" customHeight="false" outlineLevel="0" collapsed="false">
      <c r="A1163" s="3" t="n">
        <v>46221</v>
      </c>
      <c r="B1163" s="4" t="s">
        <v>1091</v>
      </c>
      <c r="C1163" s="4" t="n">
        <v>8</v>
      </c>
      <c r="D1163" s="4" t="n">
        <v>10</v>
      </c>
      <c r="E1163" s="4" t="s">
        <v>1180</v>
      </c>
      <c r="F1163" s="4" t="n">
        <v>23</v>
      </c>
      <c r="G1163" s="4" t="n">
        <v>6</v>
      </c>
      <c r="H1163" s="4" t="n">
        <v>4</v>
      </c>
      <c r="I1163" s="4" t="str">
        <v>×</v>
      </c>
      <c r="J1163" s="4"/>
      <c r="K1163" s="4"/>
      <c r="L1163" s="4"/>
      <c r="M1163" s="5" t="s">
        <v>917</v>
      </c>
    </row>
    <row r="1164" customFormat="false" ht="15.75" hidden="false" customHeight="false" outlineLevel="0" collapsed="false">
      <c r="A1164" s="3" t="n">
        <v>46221</v>
      </c>
      <c r="B1164" s="4" t="s">
        <v>1091</v>
      </c>
      <c r="C1164" s="4" t="n">
        <v>9</v>
      </c>
      <c r="D1164" s="4" t="n">
        <v>1</v>
      </c>
      <c r="E1164" s="4" t="s">
        <v>1181</v>
      </c>
      <c r="F1164" s="4" t="n">
        <v>8</v>
      </c>
      <c r="G1164" s="4" t="n">
        <v>7</v>
      </c>
      <c r="H1164" s="4" t="n">
        <v>4</v>
      </c>
      <c r="I1164" s="4" t="str">
        <v>×</v>
      </c>
      <c r="J1164" s="4"/>
      <c r="K1164" s="4"/>
      <c r="L1164" s="4"/>
      <c r="M1164" s="5" t="s">
        <v>917</v>
      </c>
    </row>
    <row r="1165" customFormat="false" ht="15.75" hidden="false" customHeight="false" outlineLevel="0" collapsed="false">
      <c r="A1165" s="3" t="n">
        <v>46221</v>
      </c>
      <c r="B1165" s="4" t="s">
        <v>1091</v>
      </c>
      <c r="C1165" s="4" t="n">
        <v>9</v>
      </c>
      <c r="D1165" s="4" t="n">
        <v>2</v>
      </c>
      <c r="E1165" s="4" t="s">
        <v>1182</v>
      </c>
      <c r="F1165" s="4" t="n">
        <v>10</v>
      </c>
      <c r="G1165" s="4" t="n">
        <v>6</v>
      </c>
      <c r="H1165" s="4" t="n">
        <v>4</v>
      </c>
      <c r="I1165" s="4" t="str">
        <v>×</v>
      </c>
      <c r="J1165" s="4"/>
      <c r="K1165" s="4"/>
      <c r="L1165" s="4"/>
      <c r="M1165" s="5" t="s">
        <v>917</v>
      </c>
    </row>
    <row r="1166" customFormat="false" ht="15.75" hidden="false" customHeight="false" outlineLevel="0" collapsed="false">
      <c r="A1166" s="3" t="n">
        <v>46221</v>
      </c>
      <c r="B1166" s="4" t="s">
        <v>1091</v>
      </c>
      <c r="C1166" s="4" t="n">
        <v>9</v>
      </c>
      <c r="D1166" s="4" t="n">
        <v>3</v>
      </c>
      <c r="E1166" s="4" t="s">
        <v>1183</v>
      </c>
      <c r="F1166" s="4" t="n">
        <v>65</v>
      </c>
      <c r="G1166" s="4" t="n">
        <v>2</v>
      </c>
      <c r="H1166" s="4" t="n">
        <v>4</v>
      </c>
      <c r="I1166" s="4" t="str">
        <v>×</v>
      </c>
      <c r="J1166" s="4"/>
      <c r="K1166" s="4"/>
      <c r="L1166" s="4"/>
      <c r="M1166" s="5" t="s">
        <v>917</v>
      </c>
    </row>
    <row r="1167" customFormat="false" ht="15.75" hidden="false" customHeight="false" outlineLevel="0" collapsed="false">
      <c r="A1167" s="3" t="n">
        <v>46221</v>
      </c>
      <c r="B1167" s="4" t="s">
        <v>1091</v>
      </c>
      <c r="C1167" s="4" t="n">
        <v>9</v>
      </c>
      <c r="D1167" s="4" t="n">
        <v>4</v>
      </c>
      <c r="E1167" s="4" t="s">
        <v>1184</v>
      </c>
      <c r="F1167" s="4" t="n">
        <v>4</v>
      </c>
      <c r="G1167" s="4" t="n">
        <v>8</v>
      </c>
      <c r="H1167" s="4" t="n">
        <v>4</v>
      </c>
      <c r="I1167" s="4" t="str">
        <v>×</v>
      </c>
      <c r="J1167" s="4"/>
      <c r="K1167" s="4"/>
      <c r="L1167" s="4"/>
      <c r="M1167" s="5" t="s">
        <v>917</v>
      </c>
    </row>
    <row r="1168" customFormat="false" ht="15.75" hidden="false" customHeight="false" outlineLevel="0" collapsed="false">
      <c r="A1168" s="3" t="n">
        <v>46221</v>
      </c>
      <c r="B1168" s="4" t="s">
        <v>1091</v>
      </c>
      <c r="C1168" s="4" t="n">
        <v>9</v>
      </c>
      <c r="D1168" s="4" t="n">
        <v>5</v>
      </c>
      <c r="E1168" s="4" t="s">
        <v>1185</v>
      </c>
      <c r="F1168" s="4" t="n">
        <v>1</v>
      </c>
      <c r="G1168" s="4" t="n">
        <v>10</v>
      </c>
      <c r="H1168" s="4" t="n">
        <v>4</v>
      </c>
      <c r="I1168" s="4" t="str">
        <v>×</v>
      </c>
      <c r="J1168" s="4"/>
      <c r="K1168" s="4"/>
      <c r="L1168" s="4"/>
      <c r="M1168" s="5" t="s">
        <v>917</v>
      </c>
    </row>
    <row r="1169" customFormat="false" ht="15.75" hidden="false" customHeight="false" outlineLevel="0" collapsed="false">
      <c r="A1169" s="3" t="n">
        <v>46221</v>
      </c>
      <c r="B1169" s="4" t="s">
        <v>1091</v>
      </c>
      <c r="C1169" s="4" t="n">
        <v>9</v>
      </c>
      <c r="D1169" s="4" t="n">
        <v>6</v>
      </c>
      <c r="E1169" s="4" t="s">
        <v>1186</v>
      </c>
      <c r="F1169" s="4" t="n">
        <v>4</v>
      </c>
      <c r="G1169" s="4" t="n">
        <v>8</v>
      </c>
      <c r="H1169" s="4" t="n">
        <v>4</v>
      </c>
      <c r="I1169" s="4" t="str">
        <v>×</v>
      </c>
      <c r="J1169" s="4"/>
      <c r="K1169" s="4"/>
      <c r="L1169" s="4"/>
      <c r="M1169" s="5" t="s">
        <v>917</v>
      </c>
    </row>
    <row r="1170" customFormat="false" ht="15.75" hidden="false" customHeight="false" outlineLevel="0" collapsed="false">
      <c r="A1170" s="3" t="n">
        <v>46221</v>
      </c>
      <c r="B1170" s="4" t="s">
        <v>1091</v>
      </c>
      <c r="C1170" s="4" t="n">
        <v>9</v>
      </c>
      <c r="D1170" s="4" t="n">
        <v>7</v>
      </c>
      <c r="E1170" s="4" t="s">
        <v>1187</v>
      </c>
      <c r="F1170" s="4" t="n">
        <v>3</v>
      </c>
      <c r="G1170" s="4" t="n">
        <v>9</v>
      </c>
      <c r="H1170" s="4" t="n">
        <v>4</v>
      </c>
      <c r="I1170" s="4" t="str">
        <v>×</v>
      </c>
      <c r="J1170" s="4"/>
      <c r="K1170" s="4"/>
      <c r="L1170" s="4"/>
      <c r="M1170" s="5" t="s">
        <v>917</v>
      </c>
    </row>
    <row r="1171" customFormat="false" ht="15.75" hidden="false" customHeight="false" outlineLevel="0" collapsed="false">
      <c r="A1171" s="3" t="n">
        <v>46221</v>
      </c>
      <c r="B1171" s="4" t="s">
        <v>1091</v>
      </c>
      <c r="C1171" s="4" t="n">
        <v>9</v>
      </c>
      <c r="D1171" s="4" t="n">
        <v>8</v>
      </c>
      <c r="E1171" s="4" t="s">
        <v>1188</v>
      </c>
      <c r="F1171" s="4" t="n">
        <v>8</v>
      </c>
      <c r="G1171" s="4" t="n">
        <v>7</v>
      </c>
      <c r="H1171" s="4" t="n">
        <v>2</v>
      </c>
      <c r="I1171" s="4" t="str">
        <v>○</v>
      </c>
      <c r="J1171" s="4" t="n">
        <v>490</v>
      </c>
      <c r="K1171" s="4"/>
      <c r="L1171" s="4"/>
      <c r="M1171" s="5" t="s">
        <v>917</v>
      </c>
    </row>
    <row r="1172" customFormat="false" ht="15.75" hidden="false" customHeight="false" outlineLevel="0" collapsed="false">
      <c r="A1172" s="3" t="n">
        <v>46221</v>
      </c>
      <c r="B1172" s="4" t="s">
        <v>1091</v>
      </c>
      <c r="C1172" s="4" t="n">
        <v>9</v>
      </c>
      <c r="D1172" s="4" t="n">
        <v>9</v>
      </c>
      <c r="E1172" s="4" t="s">
        <v>1189</v>
      </c>
      <c r="F1172" s="4" t="n">
        <v>10</v>
      </c>
      <c r="G1172" s="4" t="n">
        <v>6</v>
      </c>
      <c r="H1172" s="4" t="n">
        <v>4</v>
      </c>
      <c r="I1172" s="4" t="str">
        <v>×</v>
      </c>
      <c r="J1172" s="4"/>
      <c r="K1172" s="4"/>
      <c r="L1172" s="4"/>
      <c r="M1172" s="5" t="s">
        <v>917</v>
      </c>
    </row>
    <row r="1173" customFormat="false" ht="15.75" hidden="false" customHeight="false" outlineLevel="0" collapsed="false">
      <c r="A1173" s="3" t="n">
        <v>46221</v>
      </c>
      <c r="B1173" s="4" t="s">
        <v>1091</v>
      </c>
      <c r="C1173" s="4" t="n">
        <v>9</v>
      </c>
      <c r="D1173" s="4" t="n">
        <v>10</v>
      </c>
      <c r="E1173" s="4" t="s">
        <v>1190</v>
      </c>
      <c r="F1173" s="4" t="n">
        <v>17</v>
      </c>
      <c r="G1173" s="4" t="n">
        <v>5</v>
      </c>
      <c r="H1173" s="4" t="n">
        <v>3</v>
      </c>
      <c r="I1173" s="4" t="str">
        <v>○</v>
      </c>
      <c r="J1173" s="4" t="n">
        <v>240</v>
      </c>
      <c r="K1173" s="4"/>
      <c r="L1173" s="4"/>
      <c r="M1173" s="5" t="s">
        <v>917</v>
      </c>
    </row>
    <row r="1174" customFormat="false" ht="15.75" hidden="false" customHeight="false" outlineLevel="0" collapsed="false">
      <c r="A1174" s="3" t="n">
        <v>46221</v>
      </c>
      <c r="B1174" s="4" t="s">
        <v>1091</v>
      </c>
      <c r="C1174" s="4" t="n">
        <v>9</v>
      </c>
      <c r="D1174" s="4" t="n">
        <v>11</v>
      </c>
      <c r="E1174" s="4" t="s">
        <v>1191</v>
      </c>
      <c r="F1174" s="4" t="n">
        <v>41</v>
      </c>
      <c r="G1174" s="4" t="n">
        <v>3</v>
      </c>
      <c r="H1174" s="4" t="n">
        <v>4</v>
      </c>
      <c r="I1174" s="4" t="str">
        <v>×</v>
      </c>
      <c r="J1174" s="4"/>
      <c r="K1174" s="4"/>
      <c r="L1174" s="4"/>
      <c r="M1174" s="5" t="s">
        <v>917</v>
      </c>
    </row>
    <row r="1175" customFormat="false" ht="15.75" hidden="false" customHeight="false" outlineLevel="0" collapsed="false">
      <c r="A1175" s="3" t="n">
        <v>46221</v>
      </c>
      <c r="B1175" s="4" t="s">
        <v>1091</v>
      </c>
      <c r="C1175" s="4" t="n">
        <v>9</v>
      </c>
      <c r="D1175" s="4" t="n">
        <v>12</v>
      </c>
      <c r="E1175" s="4" t="s">
        <v>1192</v>
      </c>
      <c r="F1175" s="4" t="n">
        <v>10</v>
      </c>
      <c r="G1175" s="4" t="n">
        <v>6</v>
      </c>
      <c r="H1175" s="4" t="n">
        <v>4</v>
      </c>
      <c r="I1175" s="4" t="str">
        <v>×</v>
      </c>
      <c r="J1175" s="4"/>
      <c r="K1175" s="4"/>
      <c r="L1175" s="4"/>
      <c r="M1175" s="5" t="s">
        <v>917</v>
      </c>
    </row>
    <row r="1176" customFormat="false" ht="15.75" hidden="false" customHeight="false" outlineLevel="0" collapsed="false">
      <c r="A1176" s="3" t="n">
        <v>46221</v>
      </c>
      <c r="B1176" s="4" t="s">
        <v>1091</v>
      </c>
      <c r="C1176" s="4" t="n">
        <v>9</v>
      </c>
      <c r="D1176" s="4" t="n">
        <v>13</v>
      </c>
      <c r="E1176" s="4" t="s">
        <v>1193</v>
      </c>
      <c r="F1176" s="4" t="n">
        <v>3</v>
      </c>
      <c r="G1176" s="4" t="n">
        <v>9</v>
      </c>
      <c r="H1176" s="4" t="n">
        <v>4</v>
      </c>
      <c r="I1176" s="4" t="str">
        <v>×</v>
      </c>
      <c r="J1176" s="4"/>
      <c r="K1176" s="4"/>
      <c r="L1176" s="4"/>
      <c r="M1176" s="5" t="s">
        <v>917</v>
      </c>
    </row>
    <row r="1177" customFormat="false" ht="15.75" hidden="false" customHeight="false" outlineLevel="0" collapsed="false">
      <c r="A1177" s="3" t="n">
        <v>46221</v>
      </c>
      <c r="B1177" s="4" t="s">
        <v>1091</v>
      </c>
      <c r="C1177" s="4" t="n">
        <v>9</v>
      </c>
      <c r="D1177" s="4" t="n">
        <v>14</v>
      </c>
      <c r="E1177" s="4" t="s">
        <v>1194</v>
      </c>
      <c r="F1177" s="4" t="n">
        <v>1</v>
      </c>
      <c r="G1177" s="4" t="n">
        <v>10</v>
      </c>
      <c r="H1177" s="4" t="n">
        <v>4</v>
      </c>
      <c r="I1177" s="4" t="str">
        <v>×</v>
      </c>
      <c r="J1177" s="4"/>
      <c r="K1177" s="4"/>
      <c r="L1177" s="4"/>
      <c r="M1177" s="5" t="s">
        <v>917</v>
      </c>
    </row>
    <row r="1178" customFormat="false" ht="15.75" hidden="false" customHeight="false" outlineLevel="0" collapsed="false">
      <c r="A1178" s="3" t="n">
        <v>46221</v>
      </c>
      <c r="B1178" s="4" t="s">
        <v>1091</v>
      </c>
      <c r="C1178" s="4" t="n">
        <v>9</v>
      </c>
      <c r="D1178" s="4" t="n">
        <v>15</v>
      </c>
      <c r="E1178" s="4" t="s">
        <v>1195</v>
      </c>
      <c r="F1178" s="4" t="n">
        <v>4</v>
      </c>
      <c r="G1178" s="4" t="n">
        <v>8</v>
      </c>
      <c r="H1178" s="4" t="n">
        <v>4</v>
      </c>
      <c r="I1178" s="4" t="str">
        <v>×</v>
      </c>
      <c r="J1178" s="4"/>
      <c r="K1178" s="4"/>
      <c r="L1178" s="4"/>
      <c r="M1178" s="5" t="s">
        <v>917</v>
      </c>
    </row>
    <row r="1179" customFormat="false" ht="15.75" hidden="false" customHeight="false" outlineLevel="0" collapsed="false">
      <c r="A1179" s="3" t="n">
        <v>46221</v>
      </c>
      <c r="B1179" s="4" t="s">
        <v>1091</v>
      </c>
      <c r="C1179" s="4" t="n">
        <v>9</v>
      </c>
      <c r="D1179" s="4" t="n">
        <v>16</v>
      </c>
      <c r="E1179" s="4" t="s">
        <v>1196</v>
      </c>
      <c r="F1179" s="4" t="n">
        <v>67</v>
      </c>
      <c r="G1179" s="4" t="n">
        <v>1</v>
      </c>
      <c r="H1179" s="4" t="n">
        <v>1</v>
      </c>
      <c r="I1179" s="4" t="str">
        <v>○</v>
      </c>
      <c r="J1179" s="4" t="n">
        <v>120</v>
      </c>
      <c r="K1179" s="4"/>
      <c r="L1179" s="4"/>
      <c r="M1179" s="5" t="s">
        <v>917</v>
      </c>
    </row>
    <row r="1180" customFormat="false" ht="15.75" hidden="false" customHeight="false" outlineLevel="0" collapsed="false">
      <c r="A1180" s="3" t="n">
        <v>46221</v>
      </c>
      <c r="B1180" s="4" t="s">
        <v>1091</v>
      </c>
      <c r="C1180" s="4" t="n">
        <v>9</v>
      </c>
      <c r="D1180" s="4" t="n">
        <v>17</v>
      </c>
      <c r="E1180" s="4" t="s">
        <v>1197</v>
      </c>
      <c r="F1180" s="4" t="n">
        <v>37</v>
      </c>
      <c r="G1180" s="4" t="n">
        <v>4</v>
      </c>
      <c r="H1180" s="4" t="n">
        <v>4</v>
      </c>
      <c r="I1180" s="4" t="str">
        <v>×</v>
      </c>
      <c r="J1180" s="4"/>
      <c r="K1180" s="4"/>
      <c r="L1180" s="4"/>
      <c r="M1180" s="5" t="s">
        <v>917</v>
      </c>
    </row>
    <row r="1181" customFormat="false" ht="15.75" hidden="false" customHeight="false" outlineLevel="0" collapsed="false">
      <c r="A1181" s="3" t="n">
        <v>46221</v>
      </c>
      <c r="B1181" s="4" t="s">
        <v>1091</v>
      </c>
      <c r="C1181" s="4" t="n">
        <v>9</v>
      </c>
      <c r="D1181" s="4" t="n">
        <v>18</v>
      </c>
      <c r="E1181" s="4" t="s">
        <v>1198</v>
      </c>
      <c r="F1181" s="4" t="n">
        <v>8</v>
      </c>
      <c r="G1181" s="4" t="n">
        <v>7</v>
      </c>
      <c r="H1181" s="4" t="n">
        <v>4</v>
      </c>
      <c r="I1181" s="4" t="str">
        <v>×</v>
      </c>
      <c r="J1181" s="4"/>
      <c r="K1181" s="4"/>
      <c r="L1181" s="4"/>
      <c r="M1181" s="5" t="s">
        <v>917</v>
      </c>
    </row>
    <row r="1182" customFormat="false" ht="15.75" hidden="false" customHeight="false" outlineLevel="0" collapsed="false">
      <c r="A1182" s="3" t="n">
        <v>46221</v>
      </c>
      <c r="B1182" s="4" t="s">
        <v>1091</v>
      </c>
      <c r="C1182" s="4" t="n">
        <v>10</v>
      </c>
      <c r="D1182" s="4" t="n">
        <v>1</v>
      </c>
      <c r="E1182" s="4" t="s">
        <v>1199</v>
      </c>
      <c r="F1182" s="4" t="n">
        <v>65</v>
      </c>
      <c r="G1182" s="4" t="n">
        <v>1</v>
      </c>
      <c r="H1182" s="4" t="n">
        <v>2</v>
      </c>
      <c r="I1182" s="4" t="str">
        <v>○</v>
      </c>
      <c r="J1182" s="4" t="n">
        <v>140</v>
      </c>
      <c r="K1182" s="4"/>
      <c r="L1182" s="4"/>
      <c r="M1182" s="5" t="s">
        <v>917</v>
      </c>
    </row>
    <row r="1183" customFormat="false" ht="15.75" hidden="false" customHeight="false" outlineLevel="0" collapsed="false">
      <c r="A1183" s="3" t="n">
        <v>46221</v>
      </c>
      <c r="B1183" s="4" t="s">
        <v>1091</v>
      </c>
      <c r="C1183" s="4" t="n">
        <v>10</v>
      </c>
      <c r="D1183" s="4" t="n">
        <v>2</v>
      </c>
      <c r="E1183" s="4" t="s">
        <v>1200</v>
      </c>
      <c r="F1183" s="4" t="n">
        <v>23</v>
      </c>
      <c r="G1183" s="4" t="n">
        <v>6</v>
      </c>
      <c r="H1183" s="4" t="n">
        <v>1</v>
      </c>
      <c r="I1183" s="4" t="str">
        <v>○</v>
      </c>
      <c r="J1183" s="4" t="n">
        <v>180</v>
      </c>
      <c r="K1183" s="4"/>
      <c r="L1183" s="4"/>
      <c r="M1183" s="5" t="s">
        <v>917</v>
      </c>
    </row>
    <row r="1184" customFormat="false" ht="15.75" hidden="false" customHeight="false" outlineLevel="0" collapsed="false">
      <c r="A1184" s="3" t="n">
        <v>46221</v>
      </c>
      <c r="B1184" s="4" t="s">
        <v>1091</v>
      </c>
      <c r="C1184" s="4" t="n">
        <v>10</v>
      </c>
      <c r="D1184" s="4" t="n">
        <v>3</v>
      </c>
      <c r="E1184" s="4" t="s">
        <v>1201</v>
      </c>
      <c r="F1184" s="4" t="n">
        <v>6</v>
      </c>
      <c r="G1184" s="4" t="n">
        <v>8</v>
      </c>
      <c r="H1184" s="4" t="n">
        <v>4</v>
      </c>
      <c r="I1184" s="4" t="str">
        <v>×</v>
      </c>
      <c r="J1184" s="4"/>
      <c r="K1184" s="4"/>
      <c r="L1184" s="4"/>
      <c r="M1184" s="5" t="s">
        <v>917</v>
      </c>
    </row>
    <row r="1185" customFormat="false" ht="15.75" hidden="false" customHeight="false" outlineLevel="0" collapsed="false">
      <c r="A1185" s="3" t="n">
        <v>46221</v>
      </c>
      <c r="B1185" s="4" t="s">
        <v>1091</v>
      </c>
      <c r="C1185" s="4" t="n">
        <v>10</v>
      </c>
      <c r="D1185" s="4" t="n">
        <v>4</v>
      </c>
      <c r="E1185" s="4" t="s">
        <v>1202</v>
      </c>
      <c r="F1185" s="4" t="n">
        <v>8</v>
      </c>
      <c r="G1185" s="4" t="n">
        <v>7</v>
      </c>
      <c r="H1185" s="4" t="n">
        <v>4</v>
      </c>
      <c r="I1185" s="4" t="str">
        <v>×</v>
      </c>
      <c r="J1185" s="4"/>
      <c r="K1185" s="4"/>
      <c r="L1185" s="4"/>
      <c r="M1185" s="5" t="s">
        <v>917</v>
      </c>
    </row>
    <row r="1186" customFormat="false" ht="15.75" hidden="false" customHeight="false" outlineLevel="0" collapsed="false">
      <c r="A1186" s="3" t="n">
        <v>46221</v>
      </c>
      <c r="B1186" s="4" t="s">
        <v>1091</v>
      </c>
      <c r="C1186" s="4" t="n">
        <v>10</v>
      </c>
      <c r="D1186" s="4" t="n">
        <v>5</v>
      </c>
      <c r="E1186" s="4" t="s">
        <v>1203</v>
      </c>
      <c r="F1186" s="4" t="n">
        <v>25</v>
      </c>
      <c r="G1186" s="4" t="n">
        <v>5</v>
      </c>
      <c r="H1186" s="4" t="n">
        <v>4</v>
      </c>
      <c r="I1186" s="4" t="str">
        <v>×</v>
      </c>
      <c r="J1186" s="4"/>
      <c r="K1186" s="4"/>
      <c r="L1186" s="4"/>
      <c r="M1186" s="5" t="s">
        <v>917</v>
      </c>
    </row>
    <row r="1187" customFormat="false" ht="15.75" hidden="false" customHeight="false" outlineLevel="0" collapsed="false">
      <c r="A1187" s="3" t="n">
        <v>46221</v>
      </c>
      <c r="B1187" s="4" t="s">
        <v>1091</v>
      </c>
      <c r="C1187" s="4" t="n">
        <v>10</v>
      </c>
      <c r="D1187" s="4" t="n">
        <v>6</v>
      </c>
      <c r="E1187" s="4" t="s">
        <v>1204</v>
      </c>
      <c r="F1187" s="4" t="n">
        <v>31</v>
      </c>
      <c r="G1187" s="4" t="n">
        <v>3</v>
      </c>
      <c r="H1187" s="4" t="n">
        <v>4</v>
      </c>
      <c r="I1187" s="4" t="str">
        <v>×</v>
      </c>
      <c r="J1187" s="4"/>
      <c r="K1187" s="4"/>
      <c r="L1187" s="4"/>
      <c r="M1187" s="5" t="s">
        <v>917</v>
      </c>
    </row>
    <row r="1188" customFormat="false" ht="15.75" hidden="false" customHeight="false" outlineLevel="0" collapsed="false">
      <c r="A1188" s="3" t="n">
        <v>46221</v>
      </c>
      <c r="B1188" s="4" t="s">
        <v>1091</v>
      </c>
      <c r="C1188" s="4" t="n">
        <v>10</v>
      </c>
      <c r="D1188" s="4" t="n">
        <v>7</v>
      </c>
      <c r="E1188" s="4" t="s">
        <v>1205</v>
      </c>
      <c r="F1188" s="4" t="n">
        <v>8</v>
      </c>
      <c r="G1188" s="4" t="n">
        <v>7</v>
      </c>
      <c r="H1188" s="4" t="n">
        <v>3</v>
      </c>
      <c r="I1188" s="4" t="str">
        <v>○</v>
      </c>
      <c r="J1188" s="4" t="n">
        <v>370</v>
      </c>
      <c r="K1188" s="4"/>
      <c r="L1188" s="4"/>
      <c r="M1188" s="5" t="s">
        <v>917</v>
      </c>
    </row>
    <row r="1189" customFormat="false" ht="15.75" hidden="false" customHeight="false" outlineLevel="0" collapsed="false">
      <c r="A1189" s="3" t="n">
        <v>46221</v>
      </c>
      <c r="B1189" s="4" t="s">
        <v>1091</v>
      </c>
      <c r="C1189" s="4" t="n">
        <v>10</v>
      </c>
      <c r="D1189" s="4" t="n">
        <v>8</v>
      </c>
      <c r="E1189" s="4" t="s">
        <v>1206</v>
      </c>
      <c r="F1189" s="4" t="n">
        <v>52</v>
      </c>
      <c r="G1189" s="4" t="n">
        <v>2</v>
      </c>
      <c r="H1189" s="4" t="n">
        <v>4</v>
      </c>
      <c r="I1189" s="4" t="str">
        <v>×</v>
      </c>
      <c r="J1189" s="4"/>
      <c r="K1189" s="4"/>
      <c r="L1189" s="4"/>
      <c r="M1189" s="5" t="s">
        <v>917</v>
      </c>
    </row>
    <row r="1190" customFormat="false" ht="15.75" hidden="false" customHeight="false" outlineLevel="0" collapsed="false">
      <c r="A1190" s="3" t="n">
        <v>46221</v>
      </c>
      <c r="B1190" s="4" t="s">
        <v>1091</v>
      </c>
      <c r="C1190" s="4" t="n">
        <v>10</v>
      </c>
      <c r="D1190" s="4" t="n">
        <v>9</v>
      </c>
      <c r="E1190" s="4" t="s">
        <v>1207</v>
      </c>
      <c r="F1190" s="4" t="n">
        <v>2</v>
      </c>
      <c r="G1190" s="4" t="n">
        <v>9</v>
      </c>
      <c r="H1190" s="4" t="n">
        <v>4</v>
      </c>
      <c r="I1190" s="4" t="str">
        <v>×</v>
      </c>
      <c r="J1190" s="4"/>
      <c r="K1190" s="4"/>
      <c r="L1190" s="4"/>
      <c r="M1190" s="5" t="s">
        <v>917</v>
      </c>
    </row>
    <row r="1191" customFormat="false" ht="15.75" hidden="false" customHeight="false" outlineLevel="0" collapsed="false">
      <c r="A1191" s="3" t="n">
        <v>46221</v>
      </c>
      <c r="B1191" s="4" t="s">
        <v>1091</v>
      </c>
      <c r="C1191" s="4" t="n">
        <v>10</v>
      </c>
      <c r="D1191" s="4" t="n">
        <v>10</v>
      </c>
      <c r="E1191" s="4" t="s">
        <v>1208</v>
      </c>
      <c r="F1191" s="4" t="n">
        <v>8</v>
      </c>
      <c r="G1191" s="4" t="n">
        <v>7</v>
      </c>
      <c r="H1191" s="4" t="n">
        <v>4</v>
      </c>
      <c r="I1191" s="4" t="str">
        <v>×</v>
      </c>
      <c r="J1191" s="4"/>
      <c r="K1191" s="4"/>
      <c r="L1191" s="4"/>
      <c r="M1191" s="5" t="s">
        <v>917</v>
      </c>
    </row>
    <row r="1192" customFormat="false" ht="15.75" hidden="false" customHeight="false" outlineLevel="0" collapsed="false">
      <c r="A1192" s="3" t="n">
        <v>46221</v>
      </c>
      <c r="B1192" s="4" t="s">
        <v>1091</v>
      </c>
      <c r="C1192" s="4" t="n">
        <v>10</v>
      </c>
      <c r="D1192" s="4" t="n">
        <v>11</v>
      </c>
      <c r="E1192" s="4" t="s">
        <v>1209</v>
      </c>
      <c r="F1192" s="4" t="n">
        <v>2</v>
      </c>
      <c r="G1192" s="4" t="n">
        <v>9</v>
      </c>
      <c r="H1192" s="4" t="n">
        <v>4</v>
      </c>
      <c r="I1192" s="4" t="str">
        <v>×</v>
      </c>
      <c r="J1192" s="4"/>
      <c r="K1192" s="4"/>
      <c r="L1192" s="4"/>
      <c r="M1192" s="5" t="s">
        <v>917</v>
      </c>
    </row>
    <row r="1193" customFormat="false" ht="15.75" hidden="false" customHeight="false" outlineLevel="0" collapsed="false">
      <c r="A1193" s="3" t="n">
        <v>46221</v>
      </c>
      <c r="B1193" s="4" t="s">
        <v>1091</v>
      </c>
      <c r="C1193" s="4" t="n">
        <v>10</v>
      </c>
      <c r="D1193" s="4" t="n">
        <v>12</v>
      </c>
      <c r="E1193" s="4" t="s">
        <v>1210</v>
      </c>
      <c r="F1193" s="4" t="n">
        <v>29</v>
      </c>
      <c r="G1193" s="4" t="n">
        <v>4</v>
      </c>
      <c r="H1193" s="4" t="n">
        <v>4</v>
      </c>
      <c r="I1193" s="4" t="str">
        <v>×</v>
      </c>
      <c r="J1193" s="4"/>
      <c r="K1193" s="4"/>
      <c r="L1193" s="4"/>
      <c r="M1193" s="5" t="s">
        <v>917</v>
      </c>
    </row>
    <row r="1194" customFormat="false" ht="15.75" hidden="false" customHeight="false" outlineLevel="0" collapsed="false">
      <c r="A1194" s="3" t="n">
        <v>46221</v>
      </c>
      <c r="B1194" s="4" t="s">
        <v>1091</v>
      </c>
      <c r="C1194" s="4" t="n">
        <v>11</v>
      </c>
      <c r="D1194" s="4" t="n">
        <v>1</v>
      </c>
      <c r="E1194" s="4" t="s">
        <v>1211</v>
      </c>
      <c r="F1194" s="4" t="n">
        <v>29</v>
      </c>
      <c r="G1194" s="4" t="n">
        <v>4</v>
      </c>
      <c r="H1194" s="4" t="n">
        <v>4</v>
      </c>
      <c r="I1194" s="4" t="str">
        <v>×</v>
      </c>
      <c r="J1194" s="4"/>
      <c r="K1194" s="4"/>
      <c r="L1194" s="4"/>
      <c r="M1194" s="5" t="s">
        <v>917</v>
      </c>
    </row>
    <row r="1195" customFormat="false" ht="15.75" hidden="false" customHeight="false" outlineLevel="0" collapsed="false">
      <c r="A1195" s="3" t="n">
        <v>46221</v>
      </c>
      <c r="B1195" s="4" t="s">
        <v>1091</v>
      </c>
      <c r="C1195" s="4" t="n">
        <v>11</v>
      </c>
      <c r="D1195" s="4" t="n">
        <v>2</v>
      </c>
      <c r="E1195" s="4" t="s">
        <v>1212</v>
      </c>
      <c r="F1195" s="4" t="n">
        <v>31</v>
      </c>
      <c r="G1195" s="4" t="n">
        <v>3</v>
      </c>
      <c r="H1195" s="4" t="n">
        <v>4</v>
      </c>
      <c r="I1195" s="4" t="str">
        <v>×</v>
      </c>
      <c r="J1195" s="4"/>
      <c r="K1195" s="4"/>
      <c r="L1195" s="4"/>
      <c r="M1195" s="5" t="s">
        <v>917</v>
      </c>
    </row>
    <row r="1196" customFormat="false" ht="15.75" hidden="false" customHeight="false" outlineLevel="0" collapsed="false">
      <c r="A1196" s="3" t="n">
        <v>46221</v>
      </c>
      <c r="B1196" s="4" t="s">
        <v>1091</v>
      </c>
      <c r="C1196" s="4" t="n">
        <v>11</v>
      </c>
      <c r="D1196" s="4" t="n">
        <v>3</v>
      </c>
      <c r="E1196" s="4" t="s">
        <v>1213</v>
      </c>
      <c r="F1196" s="4" t="n">
        <v>17</v>
      </c>
      <c r="G1196" s="4" t="n">
        <v>7</v>
      </c>
      <c r="H1196" s="4" t="n">
        <v>2</v>
      </c>
      <c r="I1196" s="4" t="str">
        <v>○</v>
      </c>
      <c r="J1196" s="4" t="n">
        <v>440</v>
      </c>
      <c r="K1196" s="4"/>
      <c r="L1196" s="4"/>
      <c r="M1196" s="5" t="s">
        <v>917</v>
      </c>
    </row>
    <row r="1197" customFormat="false" ht="15.75" hidden="false" customHeight="false" outlineLevel="0" collapsed="false">
      <c r="A1197" s="3" t="n">
        <v>46221</v>
      </c>
      <c r="B1197" s="4" t="s">
        <v>1091</v>
      </c>
      <c r="C1197" s="4" t="n">
        <v>11</v>
      </c>
      <c r="D1197" s="4" t="n">
        <v>4</v>
      </c>
      <c r="E1197" s="4" t="s">
        <v>1214</v>
      </c>
      <c r="F1197" s="4" t="n">
        <v>6</v>
      </c>
      <c r="G1197" s="4" t="n">
        <v>10</v>
      </c>
      <c r="H1197" s="4" t="n">
        <v>4</v>
      </c>
      <c r="I1197" s="4" t="str">
        <v>×</v>
      </c>
      <c r="J1197" s="4"/>
      <c r="K1197" s="4"/>
      <c r="L1197" s="4"/>
      <c r="M1197" s="5" t="s">
        <v>917</v>
      </c>
    </row>
    <row r="1198" customFormat="false" ht="15.75" hidden="false" customHeight="false" outlineLevel="0" collapsed="false">
      <c r="A1198" s="3" t="n">
        <v>46221</v>
      </c>
      <c r="B1198" s="4" t="s">
        <v>1091</v>
      </c>
      <c r="C1198" s="4" t="n">
        <v>11</v>
      </c>
      <c r="D1198" s="4" t="n">
        <v>5</v>
      </c>
      <c r="E1198" s="4" t="s">
        <v>1215</v>
      </c>
      <c r="F1198" s="4" t="n">
        <v>58</v>
      </c>
      <c r="G1198" s="4" t="n">
        <v>1</v>
      </c>
      <c r="H1198" s="4" t="n">
        <v>1</v>
      </c>
      <c r="I1198" s="4" t="str">
        <v>○</v>
      </c>
      <c r="J1198" s="4" t="n">
        <v>110</v>
      </c>
      <c r="K1198" s="4"/>
      <c r="L1198" s="4"/>
      <c r="M1198" s="5" t="s">
        <v>917</v>
      </c>
    </row>
    <row r="1199" customFormat="false" ht="15.75" hidden="false" customHeight="false" outlineLevel="0" collapsed="false">
      <c r="A1199" s="3" t="n">
        <v>46221</v>
      </c>
      <c r="B1199" s="4" t="s">
        <v>1091</v>
      </c>
      <c r="C1199" s="4" t="n">
        <v>11</v>
      </c>
      <c r="D1199" s="4" t="n">
        <v>6</v>
      </c>
      <c r="E1199" s="4" t="s">
        <v>1216</v>
      </c>
      <c r="F1199" s="4" t="n">
        <v>23</v>
      </c>
      <c r="G1199" s="4" t="n">
        <v>6</v>
      </c>
      <c r="H1199" s="4" t="n">
        <v>4</v>
      </c>
      <c r="I1199" s="4" t="str">
        <v>×</v>
      </c>
      <c r="J1199" s="4"/>
      <c r="K1199" s="4"/>
      <c r="L1199" s="4"/>
      <c r="M1199" s="5" t="s">
        <v>917</v>
      </c>
    </row>
    <row r="1200" customFormat="false" ht="15.75" hidden="false" customHeight="false" outlineLevel="0" collapsed="false">
      <c r="A1200" s="3" t="n">
        <v>46221</v>
      </c>
      <c r="B1200" s="4" t="s">
        <v>1091</v>
      </c>
      <c r="C1200" s="4" t="n">
        <v>11</v>
      </c>
      <c r="D1200" s="4" t="n">
        <v>7</v>
      </c>
      <c r="E1200" s="4" t="s">
        <v>1217</v>
      </c>
      <c r="F1200" s="4" t="n">
        <v>13</v>
      </c>
      <c r="G1200" s="4" t="n">
        <v>8</v>
      </c>
      <c r="H1200" s="4" t="n">
        <v>4</v>
      </c>
      <c r="I1200" s="4" t="str">
        <v>×</v>
      </c>
      <c r="J1200" s="4"/>
      <c r="K1200" s="4"/>
      <c r="L1200" s="4"/>
      <c r="M1200" s="5" t="s">
        <v>917</v>
      </c>
    </row>
    <row r="1201" customFormat="false" ht="15.75" hidden="false" customHeight="false" outlineLevel="0" collapsed="false">
      <c r="A1201" s="3" t="n">
        <v>46221</v>
      </c>
      <c r="B1201" s="4" t="s">
        <v>1091</v>
      </c>
      <c r="C1201" s="4" t="n">
        <v>11</v>
      </c>
      <c r="D1201" s="4" t="n">
        <v>8</v>
      </c>
      <c r="E1201" s="4" t="s">
        <v>1218</v>
      </c>
      <c r="F1201" s="4" t="n">
        <v>10</v>
      </c>
      <c r="G1201" s="4" t="n">
        <v>9</v>
      </c>
      <c r="H1201" s="4" t="n">
        <v>4</v>
      </c>
      <c r="I1201" s="4" t="str">
        <v>×</v>
      </c>
      <c r="J1201" s="4"/>
      <c r="K1201" s="4"/>
      <c r="L1201" s="4"/>
      <c r="M1201" s="5" t="s">
        <v>917</v>
      </c>
    </row>
    <row r="1202" customFormat="false" ht="15.75" hidden="false" customHeight="false" outlineLevel="0" collapsed="false">
      <c r="A1202" s="3" t="n">
        <v>46221</v>
      </c>
      <c r="B1202" s="4" t="s">
        <v>1091</v>
      </c>
      <c r="C1202" s="4" t="n">
        <v>11</v>
      </c>
      <c r="D1202" s="4" t="n">
        <v>9</v>
      </c>
      <c r="E1202" s="4" t="s">
        <v>1219</v>
      </c>
      <c r="F1202" s="4" t="n">
        <v>10</v>
      </c>
      <c r="G1202" s="4" t="n">
        <v>9</v>
      </c>
      <c r="H1202" s="4" t="n">
        <v>4</v>
      </c>
      <c r="I1202" s="4" t="str">
        <v>×</v>
      </c>
      <c r="J1202" s="4"/>
      <c r="K1202" s="4"/>
      <c r="L1202" s="4"/>
      <c r="M1202" s="5" t="s">
        <v>917</v>
      </c>
    </row>
    <row r="1203" customFormat="false" ht="15.75" hidden="false" customHeight="false" outlineLevel="0" collapsed="false">
      <c r="A1203" s="3" t="n">
        <v>46221</v>
      </c>
      <c r="B1203" s="4" t="s">
        <v>1091</v>
      </c>
      <c r="C1203" s="4" t="n">
        <v>11</v>
      </c>
      <c r="D1203" s="4" t="n">
        <v>10</v>
      </c>
      <c r="E1203" s="4" t="s">
        <v>1220</v>
      </c>
      <c r="F1203" s="4" t="n">
        <v>41</v>
      </c>
      <c r="G1203" s="4" t="n">
        <v>2</v>
      </c>
      <c r="H1203" s="4" t="n">
        <v>3</v>
      </c>
      <c r="I1203" s="4" t="str">
        <v>○</v>
      </c>
      <c r="J1203" s="4" t="n">
        <v>250</v>
      </c>
      <c r="K1203" s="4"/>
      <c r="L1203" s="4"/>
      <c r="M1203" s="5" t="s">
        <v>917</v>
      </c>
    </row>
    <row r="1204" customFormat="false" ht="15.75" hidden="false" customHeight="false" outlineLevel="0" collapsed="false">
      <c r="A1204" s="3" t="n">
        <v>46221</v>
      </c>
      <c r="B1204" s="4" t="s">
        <v>1091</v>
      </c>
      <c r="C1204" s="4" t="n">
        <v>11</v>
      </c>
      <c r="D1204" s="4" t="n">
        <v>11</v>
      </c>
      <c r="E1204" s="4" t="s">
        <v>1221</v>
      </c>
      <c r="F1204" s="4" t="n">
        <v>17</v>
      </c>
      <c r="G1204" s="4" t="n">
        <v>7</v>
      </c>
      <c r="H1204" s="4" t="n">
        <v>4</v>
      </c>
      <c r="I1204" s="4" t="str">
        <v>×</v>
      </c>
      <c r="J1204" s="4"/>
      <c r="K1204" s="4"/>
      <c r="L1204" s="4"/>
      <c r="M1204" s="5" t="s">
        <v>917</v>
      </c>
    </row>
    <row r="1205" customFormat="false" ht="15.75" hidden="false" customHeight="false" outlineLevel="0" collapsed="false">
      <c r="A1205" s="3" t="n">
        <v>46221</v>
      </c>
      <c r="B1205" s="4" t="s">
        <v>1091</v>
      </c>
      <c r="C1205" s="4" t="n">
        <v>11</v>
      </c>
      <c r="D1205" s="4" t="n">
        <v>12</v>
      </c>
      <c r="E1205" s="4" t="s">
        <v>1222</v>
      </c>
      <c r="F1205" s="4" t="n">
        <v>25</v>
      </c>
      <c r="G1205" s="4" t="n">
        <v>5</v>
      </c>
      <c r="H1205" s="4" t="n">
        <v>4</v>
      </c>
      <c r="I1205" s="4" t="str">
        <v>×</v>
      </c>
      <c r="J1205" s="4"/>
      <c r="K1205" s="4"/>
      <c r="L1205" s="4"/>
      <c r="M1205" s="5" t="s">
        <v>917</v>
      </c>
    </row>
    <row r="1206" customFormat="false" ht="15.75" hidden="false" customHeight="false" outlineLevel="0" collapsed="false">
      <c r="A1206" s="3" t="n">
        <v>46221</v>
      </c>
      <c r="B1206" s="4" t="s">
        <v>1091</v>
      </c>
      <c r="C1206" s="4" t="n">
        <v>12</v>
      </c>
      <c r="D1206" s="4" t="n">
        <v>1</v>
      </c>
      <c r="E1206" s="4" t="s">
        <v>1223</v>
      </c>
      <c r="F1206" s="4" t="n">
        <v>4</v>
      </c>
      <c r="G1206" s="4" t="n">
        <v>11</v>
      </c>
      <c r="H1206" s="4" t="n">
        <v>4</v>
      </c>
      <c r="I1206" s="4" t="str">
        <v>×</v>
      </c>
      <c r="J1206" s="4"/>
      <c r="K1206" s="4"/>
      <c r="L1206" s="4"/>
      <c r="M1206" s="5" t="s">
        <v>917</v>
      </c>
    </row>
    <row r="1207" customFormat="false" ht="15.75" hidden="false" customHeight="false" outlineLevel="0" collapsed="false">
      <c r="A1207" s="3" t="n">
        <v>46221</v>
      </c>
      <c r="B1207" s="4" t="s">
        <v>1091</v>
      </c>
      <c r="C1207" s="4" t="n">
        <v>12</v>
      </c>
      <c r="D1207" s="4" t="n">
        <v>2</v>
      </c>
      <c r="E1207" s="4" t="s">
        <v>1224</v>
      </c>
      <c r="F1207" s="4" t="n">
        <v>10</v>
      </c>
      <c r="G1207" s="4" t="n">
        <v>10</v>
      </c>
      <c r="H1207" s="4" t="n">
        <v>4</v>
      </c>
      <c r="I1207" s="4" t="str">
        <v>×</v>
      </c>
      <c r="J1207" s="4"/>
      <c r="K1207" s="4"/>
      <c r="L1207" s="4"/>
      <c r="M1207" s="5" t="s">
        <v>917</v>
      </c>
    </row>
    <row r="1208" customFormat="false" ht="15.75" hidden="false" customHeight="false" outlineLevel="0" collapsed="false">
      <c r="A1208" s="3" t="n">
        <v>46221</v>
      </c>
      <c r="B1208" s="4" t="s">
        <v>1091</v>
      </c>
      <c r="C1208" s="4" t="n">
        <v>12</v>
      </c>
      <c r="D1208" s="4" t="n">
        <v>3</v>
      </c>
      <c r="E1208" s="4" t="s">
        <v>1225</v>
      </c>
      <c r="F1208" s="4" t="n">
        <v>20</v>
      </c>
      <c r="G1208" s="4" t="n">
        <v>6</v>
      </c>
      <c r="H1208" s="4" t="n">
        <v>4</v>
      </c>
      <c r="I1208" s="4" t="str">
        <v>×</v>
      </c>
      <c r="J1208" s="4"/>
      <c r="K1208" s="4"/>
      <c r="L1208" s="4"/>
      <c r="M1208" s="5" t="s">
        <v>917</v>
      </c>
    </row>
    <row r="1209" customFormat="false" ht="15.75" hidden="false" customHeight="false" outlineLevel="0" collapsed="false">
      <c r="A1209" s="3" t="n">
        <v>46221</v>
      </c>
      <c r="B1209" s="4" t="s">
        <v>1091</v>
      </c>
      <c r="C1209" s="4" t="n">
        <v>12</v>
      </c>
      <c r="D1209" s="4" t="n">
        <v>4</v>
      </c>
      <c r="E1209" s="4" t="s">
        <v>1226</v>
      </c>
      <c r="F1209" s="4" t="n">
        <v>17</v>
      </c>
      <c r="G1209" s="4" t="n">
        <v>7</v>
      </c>
      <c r="H1209" s="4" t="n">
        <v>4</v>
      </c>
      <c r="I1209" s="4" t="str">
        <v>×</v>
      </c>
      <c r="J1209" s="4"/>
      <c r="K1209" s="4"/>
      <c r="L1209" s="4"/>
      <c r="M1209" s="5" t="s">
        <v>917</v>
      </c>
    </row>
    <row r="1210" customFormat="false" ht="15.75" hidden="false" customHeight="false" outlineLevel="0" collapsed="false">
      <c r="A1210" s="3" t="n">
        <v>46221</v>
      </c>
      <c r="B1210" s="4" t="s">
        <v>1091</v>
      </c>
      <c r="C1210" s="4" t="n">
        <v>12</v>
      </c>
      <c r="D1210" s="4" t="n">
        <v>5</v>
      </c>
      <c r="E1210" s="4" t="s">
        <v>1227</v>
      </c>
      <c r="F1210" s="4" t="n">
        <v>74</v>
      </c>
      <c r="G1210" s="4" t="n">
        <v>1</v>
      </c>
      <c r="H1210" s="4" t="n">
        <v>1</v>
      </c>
      <c r="I1210" s="4" t="str">
        <v>○</v>
      </c>
      <c r="J1210" s="4" t="n">
        <v>110</v>
      </c>
      <c r="K1210" s="4"/>
      <c r="L1210" s="4"/>
      <c r="M1210" s="5" t="s">
        <v>917</v>
      </c>
    </row>
    <row r="1211" customFormat="false" ht="15.75" hidden="false" customHeight="false" outlineLevel="0" collapsed="false">
      <c r="A1211" s="3" t="n">
        <v>46221</v>
      </c>
      <c r="B1211" s="4" t="s">
        <v>1091</v>
      </c>
      <c r="C1211" s="4" t="n">
        <v>12</v>
      </c>
      <c r="D1211" s="4" t="n">
        <v>6</v>
      </c>
      <c r="E1211" s="4" t="s">
        <v>1228</v>
      </c>
      <c r="F1211" s="4" t="n">
        <v>37</v>
      </c>
      <c r="G1211" s="4" t="n">
        <v>4</v>
      </c>
      <c r="H1211" s="4" t="n">
        <v>4</v>
      </c>
      <c r="I1211" s="4" t="str">
        <v>×</v>
      </c>
      <c r="J1211" s="4"/>
      <c r="K1211" s="4"/>
      <c r="L1211" s="4"/>
      <c r="M1211" s="5" t="s">
        <v>917</v>
      </c>
    </row>
    <row r="1212" customFormat="false" ht="15.75" hidden="false" customHeight="false" outlineLevel="0" collapsed="false">
      <c r="A1212" s="3" t="n">
        <v>46221</v>
      </c>
      <c r="B1212" s="4" t="s">
        <v>1091</v>
      </c>
      <c r="C1212" s="4" t="n">
        <v>12</v>
      </c>
      <c r="D1212" s="4" t="n">
        <v>7</v>
      </c>
      <c r="E1212" s="4" t="s">
        <v>1229</v>
      </c>
      <c r="F1212" s="4" t="n">
        <v>50</v>
      </c>
      <c r="G1212" s="4" t="n">
        <v>2</v>
      </c>
      <c r="H1212" s="4" t="n">
        <v>2</v>
      </c>
      <c r="I1212" s="4" t="str">
        <v>○</v>
      </c>
      <c r="J1212" s="4" t="n">
        <v>180</v>
      </c>
      <c r="K1212" s="4"/>
      <c r="L1212" s="4"/>
      <c r="M1212" s="5" t="s">
        <v>917</v>
      </c>
    </row>
    <row r="1213" customFormat="false" ht="15.75" hidden="false" customHeight="false" outlineLevel="0" collapsed="false">
      <c r="A1213" s="3" t="n">
        <v>46221</v>
      </c>
      <c r="B1213" s="4" t="s">
        <v>1091</v>
      </c>
      <c r="C1213" s="4" t="n">
        <v>12</v>
      </c>
      <c r="D1213" s="4" t="n">
        <v>8</v>
      </c>
      <c r="E1213" s="4" t="s">
        <v>1230</v>
      </c>
      <c r="F1213" s="4" t="n">
        <v>15</v>
      </c>
      <c r="G1213" s="4" t="n">
        <v>8</v>
      </c>
      <c r="H1213" s="4" t="n">
        <v>4</v>
      </c>
      <c r="I1213" s="4" t="str">
        <v>×</v>
      </c>
      <c r="J1213" s="4"/>
      <c r="K1213" s="4"/>
      <c r="L1213" s="4"/>
      <c r="M1213" s="5" t="s">
        <v>917</v>
      </c>
    </row>
    <row r="1214" customFormat="false" ht="15.75" hidden="false" customHeight="false" outlineLevel="0" collapsed="false">
      <c r="A1214" s="3" t="n">
        <v>46221</v>
      </c>
      <c r="B1214" s="4" t="s">
        <v>1091</v>
      </c>
      <c r="C1214" s="4" t="n">
        <v>12</v>
      </c>
      <c r="D1214" s="4" t="n">
        <v>9</v>
      </c>
      <c r="E1214" s="4" t="s">
        <v>1231</v>
      </c>
      <c r="F1214" s="4" t="n">
        <v>13</v>
      </c>
      <c r="G1214" s="4" t="n">
        <v>9</v>
      </c>
      <c r="H1214" s="4" t="n">
        <v>4</v>
      </c>
      <c r="I1214" s="4" t="str">
        <v>×</v>
      </c>
      <c r="J1214" s="4"/>
      <c r="K1214" s="4"/>
      <c r="L1214" s="4"/>
      <c r="M1214" s="5" t="s">
        <v>917</v>
      </c>
    </row>
    <row r="1215" customFormat="false" ht="15.75" hidden="false" customHeight="false" outlineLevel="0" collapsed="false">
      <c r="A1215" s="3" t="n">
        <v>46221</v>
      </c>
      <c r="B1215" s="4" t="s">
        <v>1091</v>
      </c>
      <c r="C1215" s="4" t="n">
        <v>12</v>
      </c>
      <c r="D1215" s="4" t="n">
        <v>10</v>
      </c>
      <c r="E1215" s="4" t="s">
        <v>1232</v>
      </c>
      <c r="F1215" s="4" t="n">
        <v>29</v>
      </c>
      <c r="G1215" s="4" t="n">
        <v>5</v>
      </c>
      <c r="H1215" s="4" t="n">
        <v>4</v>
      </c>
      <c r="I1215" s="4" t="str">
        <v>×</v>
      </c>
      <c r="J1215" s="4"/>
      <c r="K1215" s="4"/>
      <c r="L1215" s="4"/>
      <c r="M1215" s="5" t="s">
        <v>917</v>
      </c>
    </row>
    <row r="1216" customFormat="false" ht="15.75" hidden="false" customHeight="false" outlineLevel="0" collapsed="false">
      <c r="A1216" s="3" t="n">
        <v>46221</v>
      </c>
      <c r="B1216" s="4" t="s">
        <v>1091</v>
      </c>
      <c r="C1216" s="4" t="n">
        <v>12</v>
      </c>
      <c r="D1216" s="4" t="n">
        <v>11</v>
      </c>
      <c r="E1216" s="4" t="s">
        <v>1233</v>
      </c>
      <c r="F1216" s="4" t="n">
        <v>17</v>
      </c>
      <c r="G1216" s="4" t="n">
        <v>7</v>
      </c>
      <c r="H1216" s="4" t="n">
        <v>4</v>
      </c>
      <c r="I1216" s="4" t="str">
        <v>×</v>
      </c>
      <c r="J1216" s="4"/>
      <c r="K1216" s="4"/>
      <c r="L1216" s="4"/>
      <c r="M1216" s="5" t="s">
        <v>917</v>
      </c>
    </row>
    <row r="1217" customFormat="false" ht="15.75" hidden="false" customHeight="false" outlineLevel="0" collapsed="false">
      <c r="A1217" s="3" t="n">
        <v>46221</v>
      </c>
      <c r="B1217" s="4" t="s">
        <v>1091</v>
      </c>
      <c r="C1217" s="4" t="n">
        <v>12</v>
      </c>
      <c r="D1217" s="4" t="n">
        <v>12</v>
      </c>
      <c r="E1217" s="4" t="s">
        <v>1234</v>
      </c>
      <c r="F1217" s="4" t="n">
        <v>13</v>
      </c>
      <c r="G1217" s="4" t="n">
        <v>9</v>
      </c>
      <c r="H1217" s="4" t="n">
        <v>4</v>
      </c>
      <c r="I1217" s="4" t="str">
        <v>×</v>
      </c>
      <c r="J1217" s="4"/>
      <c r="K1217" s="4"/>
      <c r="L1217" s="4"/>
      <c r="M1217" s="5" t="s">
        <v>917</v>
      </c>
    </row>
    <row r="1218" customFormat="false" ht="15.75" hidden="false" customHeight="false" outlineLevel="0" collapsed="false">
      <c r="A1218" s="3" t="n">
        <v>46221</v>
      </c>
      <c r="B1218" s="4" t="s">
        <v>1091</v>
      </c>
      <c r="C1218" s="4" t="n">
        <v>12</v>
      </c>
      <c r="D1218" s="4" t="n">
        <v>13</v>
      </c>
      <c r="E1218" s="4" t="s">
        <v>1235</v>
      </c>
      <c r="F1218" s="4" t="n">
        <v>29</v>
      </c>
      <c r="G1218" s="4" t="n">
        <v>5</v>
      </c>
      <c r="H1218" s="4" t="n">
        <v>4</v>
      </c>
      <c r="I1218" s="4" t="str">
        <v>×</v>
      </c>
      <c r="J1218" s="4"/>
      <c r="K1218" s="4"/>
      <c r="L1218" s="4"/>
      <c r="M1218" s="5" t="s">
        <v>917</v>
      </c>
    </row>
    <row r="1219" customFormat="false" ht="15.75" hidden="false" customHeight="false" outlineLevel="0" collapsed="false">
      <c r="A1219" s="3" t="n">
        <v>46221</v>
      </c>
      <c r="B1219" s="4" t="s">
        <v>1091</v>
      </c>
      <c r="C1219" s="4" t="n">
        <v>12</v>
      </c>
      <c r="D1219" s="4" t="n">
        <v>14</v>
      </c>
      <c r="E1219" s="4" t="s">
        <v>1236</v>
      </c>
      <c r="F1219" s="4" t="n">
        <v>47</v>
      </c>
      <c r="G1219" s="4" t="n">
        <v>3</v>
      </c>
      <c r="H1219" s="4" t="n">
        <v>3</v>
      </c>
      <c r="I1219" s="4" t="str">
        <v>○</v>
      </c>
      <c r="J1219" s="4" t="n">
        <v>230</v>
      </c>
      <c r="K1219" s="4"/>
      <c r="L1219" s="4"/>
      <c r="M1219" s="5" t="s">
        <v>917</v>
      </c>
    </row>
    <row r="1220" customFormat="false" ht="15.75" hidden="false" customHeight="false" outlineLevel="0" collapsed="false">
      <c r="A1220" s="3" t="n">
        <v>46221</v>
      </c>
      <c r="B1220" s="4" t="s">
        <v>1237</v>
      </c>
      <c r="C1220" s="4" t="n">
        <v>1</v>
      </c>
      <c r="D1220" s="4" t="n">
        <v>1</v>
      </c>
      <c r="E1220" s="4" t="s">
        <v>1238</v>
      </c>
      <c r="F1220" s="4" t="n">
        <v>10</v>
      </c>
      <c r="G1220" s="4" t="n">
        <v>6</v>
      </c>
      <c r="H1220" s="4" t="n">
        <v>4</v>
      </c>
      <c r="I1220" s="4" t="str">
        <v>×</v>
      </c>
      <c r="J1220" s="4"/>
      <c r="K1220" s="4"/>
      <c r="L1220" s="4"/>
      <c r="M1220" s="5" t="s">
        <v>917</v>
      </c>
    </row>
    <row r="1221" customFormat="false" ht="15.75" hidden="false" customHeight="false" outlineLevel="0" collapsed="false">
      <c r="A1221" s="3" t="n">
        <v>46221</v>
      </c>
      <c r="B1221" s="4" t="s">
        <v>1237</v>
      </c>
      <c r="C1221" s="4" t="n">
        <v>1</v>
      </c>
      <c r="D1221" s="4" t="n">
        <v>2</v>
      </c>
      <c r="E1221" s="4" t="s">
        <v>1239</v>
      </c>
      <c r="F1221" s="4" t="n">
        <v>75</v>
      </c>
      <c r="G1221" s="4" t="n">
        <v>2</v>
      </c>
      <c r="H1221" s="4" t="n">
        <v>1</v>
      </c>
      <c r="I1221" s="4" t="str">
        <v>○</v>
      </c>
      <c r="J1221" s="4" t="n">
        <v>100</v>
      </c>
      <c r="K1221" s="4"/>
      <c r="L1221" s="4"/>
      <c r="M1221" s="5" t="s">
        <v>917</v>
      </c>
    </row>
    <row r="1222" customFormat="false" ht="15.75" hidden="false" customHeight="false" outlineLevel="0" collapsed="false">
      <c r="A1222" s="3" t="n">
        <v>46221</v>
      </c>
      <c r="B1222" s="4" t="s">
        <v>1237</v>
      </c>
      <c r="C1222" s="4" t="n">
        <v>1</v>
      </c>
      <c r="D1222" s="4" t="n">
        <v>3</v>
      </c>
      <c r="E1222" s="4" t="s">
        <v>1240</v>
      </c>
      <c r="F1222" s="4" t="n">
        <v>20</v>
      </c>
      <c r="G1222" s="4" t="n">
        <v>4</v>
      </c>
      <c r="H1222" s="4" t="n">
        <v>3</v>
      </c>
      <c r="I1222" s="4" t="str">
        <v>○</v>
      </c>
      <c r="J1222" s="4" t="n">
        <v>130</v>
      </c>
      <c r="K1222" s="4"/>
      <c r="L1222" s="4"/>
      <c r="M1222" s="5" t="s">
        <v>917</v>
      </c>
    </row>
    <row r="1223" customFormat="false" ht="15.75" hidden="false" customHeight="false" outlineLevel="0" collapsed="false">
      <c r="A1223" s="3" t="n">
        <v>46221</v>
      </c>
      <c r="B1223" s="4" t="s">
        <v>1237</v>
      </c>
      <c r="C1223" s="4" t="n">
        <v>1</v>
      </c>
      <c r="D1223" s="4" t="n">
        <v>4</v>
      </c>
      <c r="E1223" s="4" t="s">
        <v>1241</v>
      </c>
      <c r="F1223" s="4" t="n">
        <v>25</v>
      </c>
      <c r="G1223" s="4" t="n">
        <v>3</v>
      </c>
      <c r="H1223" s="4" t="n">
        <v>4</v>
      </c>
      <c r="I1223" s="4" t="str">
        <v>×</v>
      </c>
      <c r="J1223" s="4"/>
      <c r="K1223" s="4"/>
      <c r="L1223" s="4"/>
      <c r="M1223" s="5" t="s">
        <v>917</v>
      </c>
    </row>
    <row r="1224" customFormat="false" ht="15.75" hidden="false" customHeight="false" outlineLevel="0" collapsed="false">
      <c r="A1224" s="3" t="n">
        <v>46221</v>
      </c>
      <c r="B1224" s="4" t="s">
        <v>1237</v>
      </c>
      <c r="C1224" s="4" t="n">
        <v>1</v>
      </c>
      <c r="D1224" s="4" t="n">
        <v>5</v>
      </c>
      <c r="E1224" s="4" t="s">
        <v>1242</v>
      </c>
      <c r="F1224" s="4" t="n">
        <v>17</v>
      </c>
      <c r="G1224" s="4" t="n">
        <v>5</v>
      </c>
      <c r="H1224" s="4" t="n">
        <v>4</v>
      </c>
      <c r="I1224" s="4" t="str">
        <v>×</v>
      </c>
      <c r="J1224" s="4"/>
      <c r="K1224" s="4"/>
      <c r="L1224" s="4"/>
      <c r="M1224" s="5" t="s">
        <v>917</v>
      </c>
    </row>
    <row r="1225" customFormat="false" ht="15.75" hidden="false" customHeight="false" outlineLevel="0" collapsed="false">
      <c r="A1225" s="3" t="n">
        <v>46221</v>
      </c>
      <c r="B1225" s="4" t="s">
        <v>1237</v>
      </c>
      <c r="C1225" s="4" t="n">
        <v>1</v>
      </c>
      <c r="D1225" s="4" t="n">
        <v>6</v>
      </c>
      <c r="E1225" s="4" t="s">
        <v>1243</v>
      </c>
      <c r="F1225" s="4" t="n">
        <v>81</v>
      </c>
      <c r="G1225" s="4" t="n">
        <v>1</v>
      </c>
      <c r="H1225" s="4" t="n">
        <v>2</v>
      </c>
      <c r="I1225" s="4" t="str">
        <v>○</v>
      </c>
      <c r="J1225" s="4" t="n">
        <v>100</v>
      </c>
      <c r="K1225" s="4" t="n">
        <v>1</v>
      </c>
      <c r="L1225" s="4" t="n">
        <v>1.9</v>
      </c>
      <c r="M1225" s="5" t="s">
        <v>917</v>
      </c>
    </row>
    <row r="1226" customFormat="false" ht="15.75" hidden="false" customHeight="false" outlineLevel="0" collapsed="false">
      <c r="A1226" s="3" t="n">
        <v>46221</v>
      </c>
      <c r="B1226" s="4" t="s">
        <v>1237</v>
      </c>
      <c r="C1226" s="4" t="n">
        <v>1</v>
      </c>
      <c r="D1226" s="4" t="n">
        <v>7</v>
      </c>
      <c r="E1226" s="4" t="s">
        <v>1244</v>
      </c>
      <c r="F1226" s="4" t="n">
        <v>10</v>
      </c>
      <c r="G1226" s="4" t="n">
        <v>6</v>
      </c>
      <c r="H1226" s="4" t="n">
        <v>4</v>
      </c>
      <c r="I1226" s="4" t="str">
        <v>×</v>
      </c>
      <c r="J1226" s="4"/>
      <c r="K1226" s="4"/>
      <c r="L1226" s="4"/>
      <c r="M1226" s="5" t="s">
        <v>917</v>
      </c>
    </row>
    <row r="1227" customFormat="false" ht="15.75" hidden="false" customHeight="false" outlineLevel="0" collapsed="false">
      <c r="A1227" s="3" t="n">
        <v>46221</v>
      </c>
      <c r="B1227" s="4" t="s">
        <v>1237</v>
      </c>
      <c r="C1227" s="4" t="n">
        <v>1</v>
      </c>
      <c r="D1227" s="4" t="n">
        <v>8</v>
      </c>
      <c r="E1227" s="4" t="s">
        <v>1245</v>
      </c>
      <c r="F1227" s="4" t="n">
        <v>8</v>
      </c>
      <c r="G1227" s="4" t="n">
        <v>7</v>
      </c>
      <c r="H1227" s="4" t="n">
        <v>4</v>
      </c>
      <c r="I1227" s="4" t="str">
        <v>×</v>
      </c>
      <c r="J1227" s="4"/>
      <c r="K1227" s="4"/>
      <c r="L1227" s="4"/>
      <c r="M1227" s="5" t="s">
        <v>917</v>
      </c>
    </row>
    <row r="1228" customFormat="false" ht="15.75" hidden="false" customHeight="false" outlineLevel="0" collapsed="false">
      <c r="A1228" s="3" t="n">
        <v>46221</v>
      </c>
      <c r="B1228" s="4" t="s">
        <v>1237</v>
      </c>
      <c r="C1228" s="4" t="n">
        <v>2</v>
      </c>
      <c r="D1228" s="4" t="n">
        <v>1</v>
      </c>
      <c r="E1228" s="4" t="s">
        <v>1246</v>
      </c>
      <c r="F1228" s="4" t="n">
        <v>20</v>
      </c>
      <c r="G1228" s="4" t="n">
        <v>6</v>
      </c>
      <c r="H1228" s="4" t="n">
        <v>4</v>
      </c>
      <c r="I1228" s="4" t="str">
        <v>×</v>
      </c>
      <c r="J1228" s="4"/>
      <c r="K1228" s="4"/>
      <c r="L1228" s="4"/>
      <c r="M1228" s="5" t="s">
        <v>917</v>
      </c>
    </row>
    <row r="1229" customFormat="false" ht="15.75" hidden="false" customHeight="false" outlineLevel="0" collapsed="false">
      <c r="A1229" s="3" t="n">
        <v>46221</v>
      </c>
      <c r="B1229" s="4" t="s">
        <v>1237</v>
      </c>
      <c r="C1229" s="4" t="n">
        <v>2</v>
      </c>
      <c r="D1229" s="4" t="n">
        <v>2</v>
      </c>
      <c r="E1229" s="4" t="s">
        <v>1247</v>
      </c>
      <c r="F1229" s="4" t="n">
        <v>23</v>
      </c>
      <c r="G1229" s="4" t="n">
        <v>5</v>
      </c>
      <c r="H1229" s="4" t="n">
        <v>1</v>
      </c>
      <c r="I1229" s="4" t="str">
        <v>○</v>
      </c>
      <c r="J1229" s="4" t="n">
        <v>240</v>
      </c>
      <c r="K1229" s="4"/>
      <c r="L1229" s="4"/>
      <c r="M1229" s="5" t="s">
        <v>917</v>
      </c>
    </row>
    <row r="1230" customFormat="false" ht="15.75" hidden="false" customHeight="false" outlineLevel="0" collapsed="false">
      <c r="A1230" s="3" t="n">
        <v>46221</v>
      </c>
      <c r="B1230" s="4" t="s">
        <v>1237</v>
      </c>
      <c r="C1230" s="4" t="n">
        <v>2</v>
      </c>
      <c r="D1230" s="4" t="n">
        <v>3</v>
      </c>
      <c r="E1230" s="4" t="s">
        <v>1248</v>
      </c>
      <c r="F1230" s="4" t="n">
        <v>20</v>
      </c>
      <c r="G1230" s="4" t="n">
        <v>6</v>
      </c>
      <c r="H1230" s="4" t="n">
        <v>4</v>
      </c>
      <c r="I1230" s="4" t="str">
        <v>×</v>
      </c>
      <c r="J1230" s="4"/>
      <c r="K1230" s="4"/>
      <c r="L1230" s="4"/>
      <c r="M1230" s="5" t="s">
        <v>917</v>
      </c>
    </row>
    <row r="1231" customFormat="false" ht="15.75" hidden="false" customHeight="false" outlineLevel="0" collapsed="false">
      <c r="A1231" s="3" t="n">
        <v>46221</v>
      </c>
      <c r="B1231" s="4" t="s">
        <v>1237</v>
      </c>
      <c r="C1231" s="4" t="n">
        <v>2</v>
      </c>
      <c r="D1231" s="4" t="n">
        <v>4</v>
      </c>
      <c r="E1231" s="4" t="s">
        <v>1249</v>
      </c>
      <c r="F1231" s="4" t="n">
        <v>8</v>
      </c>
      <c r="G1231" s="4" t="n">
        <v>9</v>
      </c>
      <c r="H1231" s="4" t="n">
        <v>4</v>
      </c>
      <c r="I1231" s="4" t="str">
        <v>×</v>
      </c>
      <c r="J1231" s="4"/>
      <c r="K1231" s="4"/>
      <c r="L1231" s="4"/>
      <c r="M1231" s="5" t="s">
        <v>917</v>
      </c>
    </row>
    <row r="1232" customFormat="false" ht="15.75" hidden="false" customHeight="false" outlineLevel="0" collapsed="false">
      <c r="A1232" s="3" t="n">
        <v>46221</v>
      </c>
      <c r="B1232" s="4" t="s">
        <v>1237</v>
      </c>
      <c r="C1232" s="4" t="n">
        <v>2</v>
      </c>
      <c r="D1232" s="4" t="n">
        <v>5</v>
      </c>
      <c r="E1232" s="4" t="s">
        <v>1250</v>
      </c>
      <c r="F1232" s="4" t="n">
        <v>25</v>
      </c>
      <c r="G1232" s="4" t="n">
        <v>4</v>
      </c>
      <c r="H1232" s="4" t="n">
        <v>4</v>
      </c>
      <c r="I1232" s="4" t="str">
        <v>×</v>
      </c>
      <c r="J1232" s="4"/>
      <c r="K1232" s="4"/>
      <c r="L1232" s="4"/>
      <c r="M1232" s="5" t="s">
        <v>917</v>
      </c>
    </row>
    <row r="1233" customFormat="false" ht="15.75" hidden="false" customHeight="false" outlineLevel="0" collapsed="false">
      <c r="A1233" s="3" t="n">
        <v>46221</v>
      </c>
      <c r="B1233" s="4" t="s">
        <v>1237</v>
      </c>
      <c r="C1233" s="4" t="n">
        <v>2</v>
      </c>
      <c r="D1233" s="4" t="n">
        <v>6</v>
      </c>
      <c r="E1233" s="4" t="s">
        <v>1251</v>
      </c>
      <c r="F1233" s="4" t="n">
        <v>44</v>
      </c>
      <c r="G1233" s="4" t="n">
        <v>3</v>
      </c>
      <c r="H1233" s="4" t="n">
        <v>4</v>
      </c>
      <c r="I1233" s="4" t="str">
        <v>×</v>
      </c>
      <c r="J1233" s="4"/>
      <c r="K1233" s="4"/>
      <c r="L1233" s="4"/>
      <c r="M1233" s="5" t="s">
        <v>917</v>
      </c>
    </row>
    <row r="1234" customFormat="false" ht="15.75" hidden="false" customHeight="false" outlineLevel="0" collapsed="false">
      <c r="A1234" s="3" t="n">
        <v>46221</v>
      </c>
      <c r="B1234" s="4" t="s">
        <v>1237</v>
      </c>
      <c r="C1234" s="4" t="n">
        <v>2</v>
      </c>
      <c r="D1234" s="4" t="n">
        <v>7</v>
      </c>
      <c r="E1234" s="4" t="s">
        <v>1252</v>
      </c>
      <c r="F1234" s="4" t="n">
        <v>50</v>
      </c>
      <c r="G1234" s="4" t="n">
        <v>1</v>
      </c>
      <c r="H1234" s="4" t="n">
        <v>2</v>
      </c>
      <c r="I1234" s="4" t="str">
        <v>○</v>
      </c>
      <c r="J1234" s="4" t="n">
        <v>150</v>
      </c>
      <c r="K1234" s="4"/>
      <c r="L1234" s="4"/>
      <c r="M1234" s="5" t="s">
        <v>917</v>
      </c>
    </row>
    <row r="1235" customFormat="false" ht="15.75" hidden="false" customHeight="false" outlineLevel="0" collapsed="false">
      <c r="A1235" s="3" t="n">
        <v>46221</v>
      </c>
      <c r="B1235" s="4" t="s">
        <v>1237</v>
      </c>
      <c r="C1235" s="4" t="n">
        <v>2</v>
      </c>
      <c r="D1235" s="4" t="n">
        <v>8</v>
      </c>
      <c r="E1235" s="4" t="s">
        <v>1253</v>
      </c>
      <c r="F1235" s="4" t="n">
        <v>20</v>
      </c>
      <c r="G1235" s="4" t="n">
        <v>6</v>
      </c>
      <c r="H1235" s="4" t="n">
        <v>4</v>
      </c>
      <c r="I1235" s="4" t="str">
        <v>×</v>
      </c>
      <c r="J1235" s="4"/>
      <c r="K1235" s="4"/>
      <c r="L1235" s="4"/>
      <c r="M1235" s="5" t="s">
        <v>917</v>
      </c>
    </row>
    <row r="1236" customFormat="false" ht="15.75" hidden="false" customHeight="false" outlineLevel="0" collapsed="false">
      <c r="A1236" s="3" t="n">
        <v>46221</v>
      </c>
      <c r="B1236" s="4" t="s">
        <v>1237</v>
      </c>
      <c r="C1236" s="4" t="n">
        <v>2</v>
      </c>
      <c r="D1236" s="4" t="n">
        <v>9</v>
      </c>
      <c r="E1236" s="4" t="s">
        <v>1254</v>
      </c>
      <c r="F1236" s="4" t="n">
        <v>10</v>
      </c>
      <c r="G1236" s="4" t="n">
        <v>8</v>
      </c>
      <c r="H1236" s="4" t="n">
        <v>4</v>
      </c>
      <c r="I1236" s="4" t="str">
        <v>×</v>
      </c>
      <c r="J1236" s="4"/>
      <c r="K1236" s="4"/>
      <c r="L1236" s="4"/>
      <c r="M1236" s="5" t="s">
        <v>917</v>
      </c>
    </row>
    <row r="1237" customFormat="false" ht="15.75" hidden="false" customHeight="false" outlineLevel="0" collapsed="false">
      <c r="A1237" s="3" t="n">
        <v>46221</v>
      </c>
      <c r="B1237" s="4" t="s">
        <v>1237</v>
      </c>
      <c r="C1237" s="4" t="n">
        <v>2</v>
      </c>
      <c r="D1237" s="4" t="n">
        <v>10</v>
      </c>
      <c r="E1237" s="4" t="s">
        <v>1255</v>
      </c>
      <c r="F1237" s="4" t="n">
        <v>20</v>
      </c>
      <c r="G1237" s="4" t="n">
        <v>6</v>
      </c>
      <c r="H1237" s="4" t="n">
        <v>4</v>
      </c>
      <c r="I1237" s="4" t="str">
        <v>×</v>
      </c>
      <c r="J1237" s="4"/>
      <c r="K1237" s="4"/>
      <c r="L1237" s="4"/>
      <c r="M1237" s="5" t="s">
        <v>917</v>
      </c>
    </row>
    <row r="1238" customFormat="false" ht="15.75" hidden="false" customHeight="false" outlineLevel="0" collapsed="false">
      <c r="A1238" s="3" t="n">
        <v>46221</v>
      </c>
      <c r="B1238" s="4" t="s">
        <v>1237</v>
      </c>
      <c r="C1238" s="4" t="n">
        <v>2</v>
      </c>
      <c r="D1238" s="4" t="n">
        <v>11</v>
      </c>
      <c r="E1238" s="4" t="s">
        <v>1256</v>
      </c>
      <c r="F1238" s="4" t="n">
        <v>47</v>
      </c>
      <c r="G1238" s="4" t="n">
        <v>2</v>
      </c>
      <c r="H1238" s="4" t="n">
        <v>4</v>
      </c>
      <c r="I1238" s="4" t="str">
        <v>×</v>
      </c>
      <c r="J1238" s="4"/>
      <c r="K1238" s="4"/>
      <c r="L1238" s="4"/>
      <c r="M1238" s="5" t="s">
        <v>917</v>
      </c>
    </row>
    <row r="1239" customFormat="false" ht="15.75" hidden="false" customHeight="false" outlineLevel="0" collapsed="false">
      <c r="A1239" s="3" t="n">
        <v>46221</v>
      </c>
      <c r="B1239" s="4" t="s">
        <v>1237</v>
      </c>
      <c r="C1239" s="4" t="n">
        <v>2</v>
      </c>
      <c r="D1239" s="4" t="n">
        <v>12</v>
      </c>
      <c r="E1239" s="4" t="s">
        <v>1257</v>
      </c>
      <c r="F1239" s="4" t="n">
        <v>15</v>
      </c>
      <c r="G1239" s="4" t="n">
        <v>7</v>
      </c>
      <c r="H1239" s="4" t="n">
        <v>3</v>
      </c>
      <c r="I1239" s="4" t="str">
        <v>○</v>
      </c>
      <c r="J1239" s="4" t="n">
        <v>770</v>
      </c>
      <c r="K1239" s="4"/>
      <c r="L1239" s="4"/>
      <c r="M1239" s="5" t="s">
        <v>917</v>
      </c>
    </row>
    <row r="1240" customFormat="false" ht="15.75" hidden="false" customHeight="false" outlineLevel="0" collapsed="false">
      <c r="A1240" s="3" t="n">
        <v>46221</v>
      </c>
      <c r="B1240" s="4" t="s">
        <v>1237</v>
      </c>
      <c r="C1240" s="4" t="n">
        <v>3</v>
      </c>
      <c r="D1240" s="4" t="n">
        <v>1</v>
      </c>
      <c r="E1240" s="4" t="s">
        <v>1258</v>
      </c>
      <c r="F1240" s="4" t="n">
        <v>10</v>
      </c>
      <c r="G1240" s="4" t="n">
        <v>8</v>
      </c>
      <c r="H1240" s="4" t="n">
        <v>4</v>
      </c>
      <c r="I1240" s="4" t="str">
        <v>×</v>
      </c>
      <c r="J1240" s="4"/>
      <c r="K1240" s="4"/>
      <c r="L1240" s="4"/>
      <c r="M1240" s="5" t="s">
        <v>917</v>
      </c>
    </row>
    <row r="1241" customFormat="false" ht="15.75" hidden="false" customHeight="false" outlineLevel="0" collapsed="false">
      <c r="A1241" s="3" t="n">
        <v>46221</v>
      </c>
      <c r="B1241" s="4" t="s">
        <v>1237</v>
      </c>
      <c r="C1241" s="4" t="n">
        <v>3</v>
      </c>
      <c r="D1241" s="4" t="n">
        <v>2</v>
      </c>
      <c r="E1241" s="4" t="s">
        <v>1259</v>
      </c>
      <c r="F1241" s="4" t="n">
        <v>56</v>
      </c>
      <c r="G1241" s="4" t="n">
        <v>3</v>
      </c>
      <c r="H1241" s="4" t="n">
        <v>4</v>
      </c>
      <c r="I1241" s="4" t="str">
        <v>×</v>
      </c>
      <c r="J1241" s="4"/>
      <c r="K1241" s="4"/>
      <c r="L1241" s="4"/>
      <c r="M1241" s="5" t="s">
        <v>917</v>
      </c>
    </row>
    <row r="1242" customFormat="false" ht="15.75" hidden="false" customHeight="false" outlineLevel="0" collapsed="false">
      <c r="A1242" s="3" t="n">
        <v>46221</v>
      </c>
      <c r="B1242" s="4" t="s">
        <v>1237</v>
      </c>
      <c r="C1242" s="4" t="n">
        <v>3</v>
      </c>
      <c r="D1242" s="4" t="n">
        <v>3</v>
      </c>
      <c r="E1242" s="4" t="s">
        <v>1260</v>
      </c>
      <c r="F1242" s="4" t="n">
        <v>15</v>
      </c>
      <c r="G1242" s="4" t="n">
        <v>6</v>
      </c>
      <c r="H1242" s="4" t="n">
        <v>4</v>
      </c>
      <c r="I1242" s="4" t="str">
        <v>×</v>
      </c>
      <c r="J1242" s="4"/>
      <c r="K1242" s="4"/>
      <c r="L1242" s="4"/>
      <c r="M1242" s="5" t="s">
        <v>917</v>
      </c>
    </row>
    <row r="1243" customFormat="false" ht="15.75" hidden="false" customHeight="false" outlineLevel="0" collapsed="false">
      <c r="A1243" s="3" t="n">
        <v>46221</v>
      </c>
      <c r="B1243" s="4" t="s">
        <v>1237</v>
      </c>
      <c r="C1243" s="4" t="n">
        <v>3</v>
      </c>
      <c r="D1243" s="4" t="n">
        <v>4</v>
      </c>
      <c r="E1243" s="4" t="s">
        <v>1261</v>
      </c>
      <c r="F1243" s="4" t="n">
        <v>65</v>
      </c>
      <c r="G1243" s="4" t="n">
        <v>1</v>
      </c>
      <c r="H1243" s="4" t="n">
        <v>2</v>
      </c>
      <c r="I1243" s="4" t="str">
        <v>○</v>
      </c>
      <c r="J1243" s="4" t="n">
        <v>140</v>
      </c>
      <c r="K1243" s="4"/>
      <c r="L1243" s="4"/>
      <c r="M1243" s="5" t="s">
        <v>917</v>
      </c>
    </row>
    <row r="1244" customFormat="false" ht="15.75" hidden="false" customHeight="false" outlineLevel="0" collapsed="false">
      <c r="A1244" s="3" t="n">
        <v>46221</v>
      </c>
      <c r="B1244" s="4" t="s">
        <v>1237</v>
      </c>
      <c r="C1244" s="4" t="n">
        <v>3</v>
      </c>
      <c r="D1244" s="4" t="n">
        <v>5</v>
      </c>
      <c r="E1244" s="4" t="s">
        <v>1262</v>
      </c>
      <c r="F1244" s="4" t="n">
        <v>15</v>
      </c>
      <c r="G1244" s="4" t="n">
        <v>6</v>
      </c>
      <c r="H1244" s="4" t="n">
        <v>4</v>
      </c>
      <c r="I1244" s="4" t="str">
        <v>×</v>
      </c>
      <c r="J1244" s="4"/>
      <c r="K1244" s="4"/>
      <c r="L1244" s="4"/>
      <c r="M1244" s="5" t="s">
        <v>917</v>
      </c>
    </row>
    <row r="1245" customFormat="false" ht="15.75" hidden="false" customHeight="false" outlineLevel="0" collapsed="false">
      <c r="A1245" s="3" t="n">
        <v>46221</v>
      </c>
      <c r="B1245" s="4" t="s">
        <v>1237</v>
      </c>
      <c r="C1245" s="4" t="n">
        <v>3</v>
      </c>
      <c r="D1245" s="4" t="n">
        <v>6</v>
      </c>
      <c r="E1245" s="4" t="s">
        <v>1263</v>
      </c>
      <c r="F1245" s="4" t="n">
        <v>6</v>
      </c>
      <c r="G1245" s="4" t="n">
        <v>9</v>
      </c>
      <c r="H1245" s="4" t="n">
        <v>4</v>
      </c>
      <c r="I1245" s="4" t="str">
        <v>×</v>
      </c>
      <c r="J1245" s="4"/>
      <c r="K1245" s="4"/>
      <c r="L1245" s="4"/>
      <c r="M1245" s="5" t="s">
        <v>917</v>
      </c>
    </row>
    <row r="1246" customFormat="false" ht="15.75" hidden="false" customHeight="false" outlineLevel="0" collapsed="false">
      <c r="A1246" s="3" t="n">
        <v>46221</v>
      </c>
      <c r="B1246" s="4" t="s">
        <v>1237</v>
      </c>
      <c r="C1246" s="4" t="n">
        <v>3</v>
      </c>
      <c r="D1246" s="4" t="n">
        <v>7</v>
      </c>
      <c r="E1246" s="4" t="s">
        <v>1264</v>
      </c>
      <c r="F1246" s="4" t="n">
        <v>3</v>
      </c>
      <c r="G1246" s="4" t="n">
        <v>10</v>
      </c>
      <c r="H1246" s="4" t="n">
        <v>4</v>
      </c>
      <c r="I1246" s="4" t="str">
        <v>×</v>
      </c>
      <c r="J1246" s="4"/>
      <c r="K1246" s="4"/>
      <c r="L1246" s="4"/>
      <c r="M1246" s="5" t="s">
        <v>917</v>
      </c>
    </row>
    <row r="1247" customFormat="false" ht="15.75" hidden="false" customHeight="false" outlineLevel="0" collapsed="false">
      <c r="A1247" s="3" t="n">
        <v>46221</v>
      </c>
      <c r="B1247" s="4" t="s">
        <v>1237</v>
      </c>
      <c r="C1247" s="4" t="n">
        <v>3</v>
      </c>
      <c r="D1247" s="4" t="n">
        <v>8</v>
      </c>
      <c r="E1247" s="4" t="s">
        <v>1265</v>
      </c>
      <c r="F1247" s="4" t="n">
        <v>60</v>
      </c>
      <c r="G1247" s="4" t="n">
        <v>2</v>
      </c>
      <c r="H1247" s="4" t="n">
        <v>1</v>
      </c>
      <c r="I1247" s="4" t="str">
        <v>○</v>
      </c>
      <c r="J1247" s="4" t="n">
        <v>150</v>
      </c>
      <c r="K1247" s="4"/>
      <c r="L1247" s="4"/>
      <c r="M1247" s="5" t="s">
        <v>917</v>
      </c>
    </row>
    <row r="1248" customFormat="false" ht="15.75" hidden="false" customHeight="false" outlineLevel="0" collapsed="false">
      <c r="A1248" s="3" t="n">
        <v>46221</v>
      </c>
      <c r="B1248" s="4" t="s">
        <v>1237</v>
      </c>
      <c r="C1248" s="4" t="n">
        <v>3</v>
      </c>
      <c r="D1248" s="4" t="n">
        <v>9</v>
      </c>
      <c r="E1248" s="4" t="s">
        <v>1266</v>
      </c>
      <c r="F1248" s="4" t="n">
        <v>17</v>
      </c>
      <c r="G1248" s="4" t="n">
        <v>5</v>
      </c>
      <c r="H1248" s="4" t="n">
        <v>4</v>
      </c>
      <c r="I1248" s="4" t="str">
        <v>×</v>
      </c>
      <c r="J1248" s="4"/>
      <c r="K1248" s="4"/>
      <c r="L1248" s="4"/>
      <c r="M1248" s="5" t="s">
        <v>917</v>
      </c>
    </row>
    <row r="1249" customFormat="false" ht="15.75" hidden="false" customHeight="false" outlineLevel="0" collapsed="false">
      <c r="A1249" s="3" t="n">
        <v>46221</v>
      </c>
      <c r="B1249" s="4" t="s">
        <v>1237</v>
      </c>
      <c r="C1249" s="4" t="n">
        <v>3</v>
      </c>
      <c r="D1249" s="4" t="n">
        <v>10</v>
      </c>
      <c r="E1249" s="4" t="s">
        <v>1267</v>
      </c>
      <c r="F1249" s="4" t="n">
        <v>1</v>
      </c>
      <c r="G1249" s="4" t="n">
        <v>11</v>
      </c>
      <c r="H1249" s="4" t="n">
        <v>4</v>
      </c>
      <c r="I1249" s="4" t="str">
        <v>×</v>
      </c>
      <c r="J1249" s="4"/>
      <c r="K1249" s="4"/>
      <c r="L1249" s="4"/>
      <c r="M1249" s="5" t="s">
        <v>917</v>
      </c>
    </row>
    <row r="1250" customFormat="false" ht="15.75" hidden="false" customHeight="false" outlineLevel="0" collapsed="false">
      <c r="A1250" s="3" t="n">
        <v>46221</v>
      </c>
      <c r="B1250" s="4" t="s">
        <v>1237</v>
      </c>
      <c r="C1250" s="4" t="n">
        <v>3</v>
      </c>
      <c r="D1250" s="4" t="n">
        <v>11</v>
      </c>
      <c r="E1250" s="4" t="s">
        <v>1268</v>
      </c>
      <c r="F1250" s="4" t="n">
        <v>44</v>
      </c>
      <c r="G1250" s="4" t="n">
        <v>4</v>
      </c>
      <c r="H1250" s="4" t="n">
        <v>3</v>
      </c>
      <c r="I1250" s="4" t="str">
        <v>○</v>
      </c>
      <c r="J1250" s="4" t="n">
        <v>130</v>
      </c>
      <c r="K1250" s="4"/>
      <c r="L1250" s="4"/>
      <c r="M1250" s="5" t="s">
        <v>917</v>
      </c>
    </row>
    <row r="1251" customFormat="false" ht="15.75" hidden="false" customHeight="false" outlineLevel="0" collapsed="false">
      <c r="A1251" s="3" t="n">
        <v>46221</v>
      </c>
      <c r="B1251" s="4" t="s">
        <v>1237</v>
      </c>
      <c r="C1251" s="4" t="n">
        <v>3</v>
      </c>
      <c r="D1251" s="4" t="n">
        <v>12</v>
      </c>
      <c r="E1251" s="4" t="s">
        <v>1269</v>
      </c>
      <c r="F1251" s="4" t="n">
        <v>13</v>
      </c>
      <c r="G1251" s="4" t="n">
        <v>7</v>
      </c>
      <c r="H1251" s="4" t="n">
        <v>4</v>
      </c>
      <c r="I1251" s="4" t="str">
        <v>×</v>
      </c>
      <c r="J1251" s="4"/>
      <c r="K1251" s="4"/>
      <c r="L1251" s="4"/>
      <c r="M1251" s="5" t="s">
        <v>917</v>
      </c>
    </row>
    <row r="1252" customFormat="false" ht="15.75" hidden="false" customHeight="false" outlineLevel="0" collapsed="false">
      <c r="A1252" s="3" t="n">
        <v>46221</v>
      </c>
      <c r="B1252" s="4" t="s">
        <v>1237</v>
      </c>
      <c r="C1252" s="4" t="n">
        <v>4</v>
      </c>
      <c r="D1252" s="4" t="n">
        <v>1</v>
      </c>
      <c r="E1252" s="4" t="s">
        <v>1270</v>
      </c>
      <c r="F1252" s="4" t="n">
        <v>44</v>
      </c>
      <c r="G1252" s="4" t="n">
        <v>2</v>
      </c>
      <c r="H1252" s="4" t="n">
        <v>4</v>
      </c>
      <c r="I1252" s="4" t="str">
        <v>×</v>
      </c>
      <c r="J1252" s="4"/>
      <c r="K1252" s="4"/>
      <c r="L1252" s="4"/>
      <c r="M1252" s="5" t="s">
        <v>917</v>
      </c>
    </row>
    <row r="1253" customFormat="false" ht="15.75" hidden="false" customHeight="false" outlineLevel="0" collapsed="false">
      <c r="A1253" s="3" t="n">
        <v>46221</v>
      </c>
      <c r="B1253" s="4" t="s">
        <v>1237</v>
      </c>
      <c r="C1253" s="4" t="n">
        <v>4</v>
      </c>
      <c r="D1253" s="4" t="n">
        <v>2</v>
      </c>
      <c r="E1253" s="4" t="s">
        <v>1271</v>
      </c>
      <c r="F1253" s="4" t="n">
        <v>8</v>
      </c>
      <c r="G1253" s="4" t="n">
        <v>9</v>
      </c>
      <c r="H1253" s="4" t="n">
        <v>4</v>
      </c>
      <c r="I1253" s="4" t="str">
        <v>×</v>
      </c>
      <c r="J1253" s="4"/>
      <c r="K1253" s="4"/>
      <c r="L1253" s="4"/>
      <c r="M1253" s="5" t="s">
        <v>917</v>
      </c>
    </row>
    <row r="1254" customFormat="false" ht="15.75" hidden="false" customHeight="false" outlineLevel="0" collapsed="false">
      <c r="A1254" s="3" t="n">
        <v>46221</v>
      </c>
      <c r="B1254" s="4" t="s">
        <v>1237</v>
      </c>
      <c r="C1254" s="4" t="n">
        <v>4</v>
      </c>
      <c r="D1254" s="4" t="n">
        <v>3</v>
      </c>
      <c r="E1254" s="4" t="s">
        <v>1272</v>
      </c>
      <c r="F1254" s="4" t="n">
        <v>25</v>
      </c>
      <c r="G1254" s="4" t="n">
        <v>5</v>
      </c>
      <c r="H1254" s="4" t="n">
        <v>3</v>
      </c>
      <c r="I1254" s="4" t="str">
        <v>○</v>
      </c>
      <c r="J1254" s="4" t="n">
        <v>200</v>
      </c>
      <c r="K1254" s="4"/>
      <c r="L1254" s="4"/>
      <c r="M1254" s="5" t="s">
        <v>917</v>
      </c>
    </row>
    <row r="1255" customFormat="false" ht="15.75" hidden="false" customHeight="false" outlineLevel="0" collapsed="false">
      <c r="A1255" s="3" t="n">
        <v>46221</v>
      </c>
      <c r="B1255" s="4" t="s">
        <v>1237</v>
      </c>
      <c r="C1255" s="4" t="n">
        <v>4</v>
      </c>
      <c r="D1255" s="4" t="n">
        <v>4</v>
      </c>
      <c r="E1255" s="4" t="s">
        <v>1273</v>
      </c>
      <c r="F1255" s="4" t="n">
        <v>2</v>
      </c>
      <c r="G1255" s="4" t="n">
        <v>13</v>
      </c>
      <c r="H1255" s="4" t="n">
        <v>4</v>
      </c>
      <c r="I1255" s="4" t="str">
        <v>×</v>
      </c>
      <c r="J1255" s="4"/>
      <c r="K1255" s="4"/>
      <c r="L1255" s="4"/>
      <c r="M1255" s="5" t="s">
        <v>917</v>
      </c>
    </row>
    <row r="1256" customFormat="false" ht="15.75" hidden="false" customHeight="false" outlineLevel="0" collapsed="false">
      <c r="A1256" s="3" t="n">
        <v>46221</v>
      </c>
      <c r="B1256" s="4" t="s">
        <v>1237</v>
      </c>
      <c r="C1256" s="4" t="n">
        <v>4</v>
      </c>
      <c r="D1256" s="4" t="n">
        <v>5</v>
      </c>
      <c r="E1256" s="4" t="s">
        <v>1274</v>
      </c>
      <c r="F1256" s="4" t="n">
        <v>15</v>
      </c>
      <c r="G1256" s="4" t="n">
        <v>7</v>
      </c>
      <c r="H1256" s="4" t="n">
        <v>2</v>
      </c>
      <c r="I1256" s="4" t="str">
        <v>○</v>
      </c>
      <c r="J1256" s="4" t="n">
        <v>380</v>
      </c>
      <c r="K1256" s="4"/>
      <c r="L1256" s="4"/>
      <c r="M1256" s="5" t="s">
        <v>917</v>
      </c>
    </row>
    <row r="1257" customFormat="false" ht="15.75" hidden="false" customHeight="false" outlineLevel="0" collapsed="false">
      <c r="A1257" s="3" t="n">
        <v>46221</v>
      </c>
      <c r="B1257" s="4" t="s">
        <v>1237</v>
      </c>
      <c r="C1257" s="4" t="n">
        <v>4</v>
      </c>
      <c r="D1257" s="4" t="n">
        <v>6</v>
      </c>
      <c r="E1257" s="4" t="s">
        <v>821</v>
      </c>
      <c r="F1257" s="4" t="n">
        <v>13</v>
      </c>
      <c r="G1257" s="4" t="n">
        <v>8</v>
      </c>
      <c r="H1257" s="4" t="n">
        <v>4</v>
      </c>
      <c r="I1257" s="4" t="str">
        <v>×</v>
      </c>
      <c r="J1257" s="4"/>
      <c r="K1257" s="4"/>
      <c r="L1257" s="4"/>
      <c r="M1257" s="5" t="s">
        <v>917</v>
      </c>
    </row>
    <row r="1258" customFormat="false" ht="15.75" hidden="false" customHeight="false" outlineLevel="0" collapsed="false">
      <c r="A1258" s="3" t="n">
        <v>46221</v>
      </c>
      <c r="B1258" s="4" t="s">
        <v>1237</v>
      </c>
      <c r="C1258" s="4" t="n">
        <v>4</v>
      </c>
      <c r="D1258" s="4" t="n">
        <v>7</v>
      </c>
      <c r="E1258" s="4" t="s">
        <v>1275</v>
      </c>
      <c r="F1258" s="4" t="n">
        <v>8</v>
      </c>
      <c r="G1258" s="4" t="n">
        <v>9</v>
      </c>
      <c r="H1258" s="4" t="n">
        <v>4</v>
      </c>
      <c r="I1258" s="4" t="str">
        <v>×</v>
      </c>
      <c r="J1258" s="4"/>
      <c r="K1258" s="4"/>
      <c r="L1258" s="4"/>
      <c r="M1258" s="5" t="s">
        <v>917</v>
      </c>
    </row>
    <row r="1259" customFormat="false" ht="15.75" hidden="false" customHeight="false" outlineLevel="0" collapsed="false">
      <c r="A1259" s="3" t="n">
        <v>46221</v>
      </c>
      <c r="B1259" s="4" t="s">
        <v>1237</v>
      </c>
      <c r="C1259" s="4" t="n">
        <v>4</v>
      </c>
      <c r="D1259" s="4" t="n">
        <v>8</v>
      </c>
      <c r="E1259" s="4" t="s">
        <v>1276</v>
      </c>
      <c r="F1259" s="4" t="n">
        <v>47</v>
      </c>
      <c r="G1259" s="4" t="n">
        <v>1</v>
      </c>
      <c r="H1259" s="4" t="n">
        <v>1</v>
      </c>
      <c r="I1259" s="4" t="str">
        <v>○</v>
      </c>
      <c r="J1259" s="4" t="n">
        <v>130</v>
      </c>
      <c r="K1259" s="4"/>
      <c r="L1259" s="4"/>
      <c r="M1259" s="5" t="s">
        <v>917</v>
      </c>
    </row>
    <row r="1260" customFormat="false" ht="15.75" hidden="false" customHeight="false" outlineLevel="0" collapsed="false">
      <c r="A1260" s="3" t="n">
        <v>46221</v>
      </c>
      <c r="B1260" s="4" t="s">
        <v>1237</v>
      </c>
      <c r="C1260" s="4" t="n">
        <v>4</v>
      </c>
      <c r="D1260" s="4" t="n">
        <v>9</v>
      </c>
      <c r="E1260" s="4" t="s">
        <v>1277</v>
      </c>
      <c r="F1260" s="4" t="n">
        <v>6</v>
      </c>
      <c r="G1260" s="4" t="n">
        <v>10</v>
      </c>
      <c r="H1260" s="4" t="n">
        <v>4</v>
      </c>
      <c r="I1260" s="4" t="str">
        <v>×</v>
      </c>
      <c r="J1260" s="4"/>
      <c r="K1260" s="4"/>
      <c r="L1260" s="4"/>
      <c r="M1260" s="5" t="s">
        <v>917</v>
      </c>
    </row>
    <row r="1261" customFormat="false" ht="15.75" hidden="false" customHeight="false" outlineLevel="0" collapsed="false">
      <c r="A1261" s="3" t="n">
        <v>46221</v>
      </c>
      <c r="B1261" s="4" t="s">
        <v>1237</v>
      </c>
      <c r="C1261" s="4" t="n">
        <v>4</v>
      </c>
      <c r="D1261" s="4" t="n">
        <v>10</v>
      </c>
      <c r="E1261" s="4" t="s">
        <v>1278</v>
      </c>
      <c r="F1261" s="4" t="n">
        <v>20</v>
      </c>
      <c r="G1261" s="4" t="n">
        <v>6</v>
      </c>
      <c r="H1261" s="4" t="n">
        <v>4</v>
      </c>
      <c r="I1261" s="4" t="str">
        <v>×</v>
      </c>
      <c r="J1261" s="4"/>
      <c r="K1261" s="4"/>
      <c r="L1261" s="4"/>
      <c r="M1261" s="5" t="s">
        <v>917</v>
      </c>
    </row>
    <row r="1262" customFormat="false" ht="15.75" hidden="false" customHeight="false" outlineLevel="0" collapsed="false">
      <c r="A1262" s="3" t="n">
        <v>46221</v>
      </c>
      <c r="B1262" s="4" t="s">
        <v>1237</v>
      </c>
      <c r="C1262" s="4" t="n">
        <v>4</v>
      </c>
      <c r="D1262" s="4" t="n">
        <v>11</v>
      </c>
      <c r="E1262" s="4" t="s">
        <v>1279</v>
      </c>
      <c r="F1262" s="4" t="n">
        <v>2</v>
      </c>
      <c r="G1262" s="4" t="n">
        <v>13</v>
      </c>
      <c r="H1262" s="4" t="n">
        <v>4</v>
      </c>
      <c r="I1262" s="4" t="str">
        <v>×</v>
      </c>
      <c r="J1262" s="4"/>
      <c r="K1262" s="4"/>
      <c r="L1262" s="4"/>
      <c r="M1262" s="5" t="s">
        <v>917</v>
      </c>
    </row>
    <row r="1263" customFormat="false" ht="15.75" hidden="false" customHeight="false" outlineLevel="0" collapsed="false">
      <c r="A1263" s="3" t="n">
        <v>46221</v>
      </c>
      <c r="B1263" s="4" t="s">
        <v>1237</v>
      </c>
      <c r="C1263" s="4" t="n">
        <v>4</v>
      </c>
      <c r="D1263" s="4" t="n">
        <v>12</v>
      </c>
      <c r="E1263" s="4" t="s">
        <v>1280</v>
      </c>
      <c r="F1263" s="4" t="n">
        <v>4</v>
      </c>
      <c r="G1263" s="4" t="n">
        <v>11</v>
      </c>
      <c r="H1263" s="4" t="n">
        <v>4</v>
      </c>
      <c r="I1263" s="4" t="str">
        <v>×</v>
      </c>
      <c r="J1263" s="4"/>
      <c r="K1263" s="4"/>
      <c r="L1263" s="4"/>
      <c r="M1263" s="5" t="s">
        <v>917</v>
      </c>
    </row>
    <row r="1264" customFormat="false" ht="15.75" hidden="false" customHeight="false" outlineLevel="0" collapsed="false">
      <c r="A1264" s="3" t="n">
        <v>46221</v>
      </c>
      <c r="B1264" s="4" t="s">
        <v>1237</v>
      </c>
      <c r="C1264" s="4" t="n">
        <v>4</v>
      </c>
      <c r="D1264" s="4" t="n">
        <v>13</v>
      </c>
      <c r="E1264" s="4" t="s">
        <v>1281</v>
      </c>
      <c r="F1264" s="4" t="n">
        <v>3</v>
      </c>
      <c r="G1264" s="4" t="n">
        <v>12</v>
      </c>
      <c r="H1264" s="4" t="n">
        <v>4</v>
      </c>
      <c r="I1264" s="4" t="str">
        <v>×</v>
      </c>
      <c r="J1264" s="4"/>
      <c r="K1264" s="4"/>
      <c r="L1264" s="4"/>
      <c r="M1264" s="5" t="s">
        <v>917</v>
      </c>
    </row>
    <row r="1265" customFormat="false" ht="15.75" hidden="false" customHeight="false" outlineLevel="0" collapsed="false">
      <c r="A1265" s="3" t="n">
        <v>46221</v>
      </c>
      <c r="B1265" s="4" t="s">
        <v>1237</v>
      </c>
      <c r="C1265" s="4" t="n">
        <v>4</v>
      </c>
      <c r="D1265" s="4" t="n">
        <v>14</v>
      </c>
      <c r="E1265" s="4" t="s">
        <v>1282</v>
      </c>
      <c r="F1265" s="4" t="n">
        <v>37</v>
      </c>
      <c r="G1265" s="4" t="n">
        <v>3</v>
      </c>
      <c r="H1265" s="4" t="n">
        <v>4</v>
      </c>
      <c r="I1265" s="4" t="str">
        <v>×</v>
      </c>
      <c r="J1265" s="4"/>
      <c r="K1265" s="4"/>
      <c r="L1265" s="4"/>
      <c r="M1265" s="5" t="s">
        <v>917</v>
      </c>
    </row>
    <row r="1266" customFormat="false" ht="15.75" hidden="false" customHeight="false" outlineLevel="0" collapsed="false">
      <c r="A1266" s="3" t="n">
        <v>46221</v>
      </c>
      <c r="B1266" s="4" t="s">
        <v>1237</v>
      </c>
      <c r="C1266" s="4" t="n">
        <v>4</v>
      </c>
      <c r="D1266" s="4" t="n">
        <v>15</v>
      </c>
      <c r="E1266" s="4" t="s">
        <v>1283</v>
      </c>
      <c r="F1266" s="4" t="n">
        <v>29</v>
      </c>
      <c r="G1266" s="4" t="n">
        <v>4</v>
      </c>
      <c r="H1266" s="4" t="n">
        <v>4</v>
      </c>
      <c r="I1266" s="4" t="str">
        <v>×</v>
      </c>
      <c r="J1266" s="4"/>
      <c r="K1266" s="4"/>
      <c r="L1266" s="4"/>
      <c r="M1266" s="5" t="s">
        <v>917</v>
      </c>
    </row>
    <row r="1267" customFormat="false" ht="15.75" hidden="false" customHeight="false" outlineLevel="0" collapsed="false">
      <c r="A1267" s="3" t="n">
        <v>46221</v>
      </c>
      <c r="B1267" s="4" t="s">
        <v>1237</v>
      </c>
      <c r="C1267" s="4" t="n">
        <v>4</v>
      </c>
      <c r="D1267" s="4" t="n">
        <v>16</v>
      </c>
      <c r="E1267" s="4" t="s">
        <v>1284</v>
      </c>
      <c r="F1267" s="4" t="n">
        <v>29</v>
      </c>
      <c r="G1267" s="4" t="n">
        <v>4</v>
      </c>
      <c r="H1267" s="4" t="n">
        <v>4</v>
      </c>
      <c r="I1267" s="4" t="str">
        <v>×</v>
      </c>
      <c r="J1267" s="4"/>
      <c r="K1267" s="4"/>
      <c r="L1267" s="4"/>
      <c r="M1267" s="5" t="s">
        <v>917</v>
      </c>
    </row>
    <row r="1268" customFormat="false" ht="15.75" hidden="false" customHeight="false" outlineLevel="0" collapsed="false">
      <c r="A1268" s="3" t="n">
        <v>46221</v>
      </c>
      <c r="B1268" s="4" t="s">
        <v>1237</v>
      </c>
      <c r="C1268" s="4" t="n">
        <v>5</v>
      </c>
      <c r="D1268" s="4" t="n">
        <v>1</v>
      </c>
      <c r="E1268" s="4" t="s">
        <v>1285</v>
      </c>
      <c r="F1268" s="4" t="n">
        <v>34</v>
      </c>
      <c r="G1268" s="4" t="n">
        <v>4</v>
      </c>
      <c r="H1268" s="4" t="n">
        <v>4</v>
      </c>
      <c r="I1268" s="4" t="str">
        <v>×</v>
      </c>
      <c r="J1268" s="4"/>
      <c r="K1268" s="4"/>
      <c r="L1268" s="4"/>
      <c r="M1268" s="5" t="s">
        <v>917</v>
      </c>
    </row>
    <row r="1269" customFormat="false" ht="15.75" hidden="false" customHeight="false" outlineLevel="0" collapsed="false">
      <c r="A1269" s="3" t="n">
        <v>46221</v>
      </c>
      <c r="B1269" s="4" t="s">
        <v>1237</v>
      </c>
      <c r="C1269" s="4" t="n">
        <v>5</v>
      </c>
      <c r="D1269" s="4" t="n">
        <v>2</v>
      </c>
      <c r="E1269" s="4" t="s">
        <v>1286</v>
      </c>
      <c r="F1269" s="4" t="n">
        <v>34</v>
      </c>
      <c r="G1269" s="4" t="n">
        <v>4</v>
      </c>
      <c r="H1269" s="4" t="n">
        <v>2</v>
      </c>
      <c r="I1269" s="4" t="str">
        <v>○</v>
      </c>
      <c r="J1269" s="4" t="n">
        <v>580</v>
      </c>
      <c r="K1269" s="4"/>
      <c r="L1269" s="4"/>
      <c r="M1269" s="5" t="s">
        <v>917</v>
      </c>
    </row>
    <row r="1270" customFormat="false" ht="15.75" hidden="false" customHeight="false" outlineLevel="0" collapsed="false">
      <c r="A1270" s="3" t="n">
        <v>46221</v>
      </c>
      <c r="B1270" s="4" t="s">
        <v>1237</v>
      </c>
      <c r="C1270" s="4" t="n">
        <v>5</v>
      </c>
      <c r="D1270" s="4" t="n">
        <v>3</v>
      </c>
      <c r="E1270" s="4" t="s">
        <v>1287</v>
      </c>
      <c r="F1270" s="4" t="n">
        <v>41</v>
      </c>
      <c r="G1270" s="4" t="n">
        <v>3</v>
      </c>
      <c r="H1270" s="4" t="n">
        <v>4</v>
      </c>
      <c r="I1270" s="4" t="str">
        <v>×</v>
      </c>
      <c r="J1270" s="4"/>
      <c r="K1270" s="4"/>
      <c r="L1270" s="4"/>
      <c r="M1270" s="5" t="s">
        <v>917</v>
      </c>
    </row>
    <row r="1271" customFormat="false" ht="15.75" hidden="false" customHeight="false" outlineLevel="0" collapsed="false">
      <c r="A1271" s="3" t="n">
        <v>46221</v>
      </c>
      <c r="B1271" s="4" t="s">
        <v>1237</v>
      </c>
      <c r="C1271" s="4" t="n">
        <v>5</v>
      </c>
      <c r="D1271" s="4" t="n">
        <v>4</v>
      </c>
      <c r="E1271" s="4" t="s">
        <v>1288</v>
      </c>
      <c r="F1271" s="4" t="n">
        <v>20</v>
      </c>
      <c r="G1271" s="4" t="n">
        <v>6</v>
      </c>
      <c r="H1271" s="4" t="n">
        <v>4</v>
      </c>
      <c r="I1271" s="4" t="str">
        <v>×</v>
      </c>
      <c r="J1271" s="4"/>
      <c r="K1271" s="4"/>
      <c r="L1271" s="4"/>
      <c r="M1271" s="5" t="s">
        <v>917</v>
      </c>
    </row>
    <row r="1272" customFormat="false" ht="15.75" hidden="false" customHeight="false" outlineLevel="0" collapsed="false">
      <c r="A1272" s="3" t="n">
        <v>46221</v>
      </c>
      <c r="B1272" s="4" t="s">
        <v>1237</v>
      </c>
      <c r="C1272" s="4" t="n">
        <v>5</v>
      </c>
      <c r="D1272" s="4" t="n">
        <v>5</v>
      </c>
      <c r="E1272" s="4" t="s">
        <v>1289</v>
      </c>
      <c r="F1272" s="4" t="n">
        <v>8</v>
      </c>
      <c r="G1272" s="4" t="n">
        <v>9</v>
      </c>
      <c r="H1272" s="4" t="n">
        <v>4</v>
      </c>
      <c r="I1272" s="4" t="str">
        <v>×</v>
      </c>
      <c r="J1272" s="4"/>
      <c r="K1272" s="4"/>
      <c r="L1272" s="4"/>
      <c r="M1272" s="5" t="s">
        <v>917</v>
      </c>
    </row>
    <row r="1273" customFormat="false" ht="15.75" hidden="false" customHeight="false" outlineLevel="0" collapsed="false">
      <c r="A1273" s="3" t="n">
        <v>46221</v>
      </c>
      <c r="B1273" s="4" t="s">
        <v>1237</v>
      </c>
      <c r="C1273" s="4" t="n">
        <v>5</v>
      </c>
      <c r="D1273" s="4" t="n">
        <v>6</v>
      </c>
      <c r="E1273" s="4" t="s">
        <v>1290</v>
      </c>
      <c r="F1273" s="4" t="n">
        <v>47</v>
      </c>
      <c r="G1273" s="4" t="n">
        <v>2</v>
      </c>
      <c r="H1273" s="4" t="n">
        <v>3</v>
      </c>
      <c r="I1273" s="4" t="str">
        <v>○</v>
      </c>
      <c r="J1273" s="4" t="n">
        <v>260</v>
      </c>
      <c r="K1273" s="4"/>
      <c r="L1273" s="4"/>
      <c r="M1273" s="5" t="s">
        <v>917</v>
      </c>
    </row>
    <row r="1274" customFormat="false" ht="15.75" hidden="false" customHeight="false" outlineLevel="0" collapsed="false">
      <c r="A1274" s="3" t="n">
        <v>46221</v>
      </c>
      <c r="B1274" s="4" t="s">
        <v>1237</v>
      </c>
      <c r="C1274" s="4" t="n">
        <v>5</v>
      </c>
      <c r="D1274" s="4" t="n">
        <v>7</v>
      </c>
      <c r="E1274" s="4" t="s">
        <v>1291</v>
      </c>
      <c r="F1274" s="4" t="n">
        <v>3</v>
      </c>
      <c r="G1274" s="4" t="n">
        <v>10</v>
      </c>
      <c r="H1274" s="4" t="n">
        <v>4</v>
      </c>
      <c r="I1274" s="4" t="str">
        <v>×</v>
      </c>
      <c r="J1274" s="4"/>
      <c r="K1274" s="4"/>
      <c r="L1274" s="4"/>
      <c r="M1274" s="5" t="s">
        <v>917</v>
      </c>
    </row>
    <row r="1275" customFormat="false" ht="15.75" hidden="false" customHeight="false" outlineLevel="0" collapsed="false">
      <c r="A1275" s="3" t="n">
        <v>46221</v>
      </c>
      <c r="B1275" s="4" t="s">
        <v>1237</v>
      </c>
      <c r="C1275" s="4" t="n">
        <v>5</v>
      </c>
      <c r="D1275" s="4" t="n">
        <v>8</v>
      </c>
      <c r="E1275" s="4" t="s">
        <v>1292</v>
      </c>
      <c r="F1275" s="4" t="n">
        <v>15</v>
      </c>
      <c r="G1275" s="4" t="n">
        <v>8</v>
      </c>
      <c r="H1275" s="4" t="n">
        <v>1</v>
      </c>
      <c r="I1275" s="4" t="str">
        <v>○</v>
      </c>
      <c r="J1275" s="4" t="n">
        <v>830</v>
      </c>
      <c r="K1275" s="4"/>
      <c r="L1275" s="4"/>
      <c r="M1275" s="5" t="s">
        <v>917</v>
      </c>
    </row>
    <row r="1276" customFormat="false" ht="15.75" hidden="false" customHeight="false" outlineLevel="0" collapsed="false">
      <c r="A1276" s="3" t="n">
        <v>46221</v>
      </c>
      <c r="B1276" s="4" t="s">
        <v>1237</v>
      </c>
      <c r="C1276" s="4" t="n">
        <v>5</v>
      </c>
      <c r="D1276" s="4" t="n">
        <v>9</v>
      </c>
      <c r="E1276" s="4" t="s">
        <v>1293</v>
      </c>
      <c r="F1276" s="4" t="n">
        <v>15</v>
      </c>
      <c r="G1276" s="4" t="n">
        <v>8</v>
      </c>
      <c r="H1276" s="4" t="n">
        <v>4</v>
      </c>
      <c r="I1276" s="4" t="str">
        <v>×</v>
      </c>
      <c r="J1276" s="4"/>
      <c r="K1276" s="4"/>
      <c r="L1276" s="4"/>
      <c r="M1276" s="5" t="s">
        <v>917</v>
      </c>
    </row>
    <row r="1277" customFormat="false" ht="15.75" hidden="false" customHeight="false" outlineLevel="0" collapsed="false">
      <c r="A1277" s="3" t="n">
        <v>46221</v>
      </c>
      <c r="B1277" s="4" t="s">
        <v>1237</v>
      </c>
      <c r="C1277" s="4" t="n">
        <v>5</v>
      </c>
      <c r="D1277" s="4" t="n">
        <v>10</v>
      </c>
      <c r="E1277" s="4" t="s">
        <v>1294</v>
      </c>
      <c r="F1277" s="4" t="n">
        <v>17</v>
      </c>
      <c r="G1277" s="4" t="n">
        <v>7</v>
      </c>
      <c r="H1277" s="4" t="n">
        <v>4</v>
      </c>
      <c r="I1277" s="4" t="str">
        <v>×</v>
      </c>
      <c r="J1277" s="4"/>
      <c r="K1277" s="4"/>
      <c r="L1277" s="4"/>
      <c r="M1277" s="5" t="s">
        <v>917</v>
      </c>
    </row>
    <row r="1278" customFormat="false" ht="15.75" hidden="false" customHeight="false" outlineLevel="0" collapsed="false">
      <c r="A1278" s="3" t="n">
        <v>46221</v>
      </c>
      <c r="B1278" s="4" t="s">
        <v>1237</v>
      </c>
      <c r="C1278" s="4" t="n">
        <v>5</v>
      </c>
      <c r="D1278" s="4" t="n">
        <v>11</v>
      </c>
      <c r="E1278" s="4" t="s">
        <v>1295</v>
      </c>
      <c r="F1278" s="4" t="n">
        <v>8</v>
      </c>
      <c r="G1278" s="4" t="n">
        <v>9</v>
      </c>
      <c r="H1278" s="4" t="n">
        <v>4</v>
      </c>
      <c r="I1278" s="4" t="str">
        <v>×</v>
      </c>
      <c r="J1278" s="4"/>
      <c r="K1278" s="4"/>
      <c r="L1278" s="4"/>
      <c r="M1278" s="5" t="s">
        <v>917</v>
      </c>
    </row>
    <row r="1279" customFormat="false" ht="15.75" hidden="false" customHeight="false" outlineLevel="0" collapsed="false">
      <c r="A1279" s="3" t="n">
        <v>46221</v>
      </c>
      <c r="B1279" s="4" t="s">
        <v>1237</v>
      </c>
      <c r="C1279" s="4" t="n">
        <v>5</v>
      </c>
      <c r="D1279" s="4" t="n">
        <v>12</v>
      </c>
      <c r="E1279" s="4" t="s">
        <v>1296</v>
      </c>
      <c r="F1279" s="4" t="n">
        <v>41</v>
      </c>
      <c r="G1279" s="4" t="n">
        <v>3</v>
      </c>
      <c r="H1279" s="4" t="n">
        <v>4</v>
      </c>
      <c r="I1279" s="4" t="str">
        <v>×</v>
      </c>
      <c r="J1279" s="4"/>
      <c r="K1279" s="4"/>
      <c r="L1279" s="4"/>
      <c r="M1279" s="5" t="s">
        <v>917</v>
      </c>
    </row>
    <row r="1280" customFormat="false" ht="15.75" hidden="false" customHeight="false" outlineLevel="0" collapsed="false">
      <c r="A1280" s="3" t="n">
        <v>46221</v>
      </c>
      <c r="B1280" s="4" t="s">
        <v>1237</v>
      </c>
      <c r="C1280" s="4" t="n">
        <v>5</v>
      </c>
      <c r="D1280" s="4" t="n">
        <v>13</v>
      </c>
      <c r="E1280" s="4" t="s">
        <v>1297</v>
      </c>
      <c r="F1280" s="4" t="n">
        <v>31</v>
      </c>
      <c r="G1280" s="4" t="n">
        <v>5</v>
      </c>
      <c r="H1280" s="4" t="n">
        <v>4</v>
      </c>
      <c r="I1280" s="4" t="str">
        <v>×</v>
      </c>
      <c r="J1280" s="4"/>
      <c r="K1280" s="4"/>
      <c r="L1280" s="4"/>
      <c r="M1280" s="5" t="s">
        <v>917</v>
      </c>
    </row>
    <row r="1281" customFormat="false" ht="15.75" hidden="false" customHeight="false" outlineLevel="0" collapsed="false">
      <c r="A1281" s="3" t="n">
        <v>46221</v>
      </c>
      <c r="B1281" s="4" t="s">
        <v>1237</v>
      </c>
      <c r="C1281" s="4" t="n">
        <v>5</v>
      </c>
      <c r="D1281" s="4" t="n">
        <v>14</v>
      </c>
      <c r="E1281" s="4" t="s">
        <v>1298</v>
      </c>
      <c r="F1281" s="4" t="n">
        <v>50</v>
      </c>
      <c r="G1281" s="4" t="n">
        <v>1</v>
      </c>
      <c r="H1281" s="4" t="n">
        <v>4</v>
      </c>
      <c r="I1281" s="4" t="str">
        <v>×</v>
      </c>
      <c r="J1281" s="4"/>
      <c r="K1281" s="4"/>
      <c r="L1281" s="4"/>
      <c r="M1281" s="5" t="s">
        <v>917</v>
      </c>
    </row>
    <row r="1282" customFormat="false" ht="15.75" hidden="false" customHeight="false" outlineLevel="0" collapsed="false">
      <c r="A1282" s="3" t="n">
        <v>46221</v>
      </c>
      <c r="B1282" s="4" t="s">
        <v>1237</v>
      </c>
      <c r="C1282" s="4" t="n">
        <v>6</v>
      </c>
      <c r="D1282" s="4" t="n">
        <v>1</v>
      </c>
      <c r="E1282" s="4" t="s">
        <v>1299</v>
      </c>
      <c r="F1282" s="4" t="n">
        <v>4</v>
      </c>
      <c r="G1282" s="4" t="n">
        <v>9</v>
      </c>
      <c r="H1282" s="4" t="n">
        <v>4</v>
      </c>
      <c r="I1282" s="4" t="str">
        <v>×</v>
      </c>
      <c r="J1282" s="4"/>
      <c r="K1282" s="4"/>
      <c r="L1282" s="4"/>
      <c r="M1282" s="5" t="s">
        <v>917</v>
      </c>
    </row>
    <row r="1283" customFormat="false" ht="15.75" hidden="false" customHeight="false" outlineLevel="0" collapsed="false">
      <c r="A1283" s="3" t="n">
        <v>46221</v>
      </c>
      <c r="B1283" s="4" t="s">
        <v>1237</v>
      </c>
      <c r="C1283" s="4" t="n">
        <v>6</v>
      </c>
      <c r="D1283" s="4" t="n">
        <v>2</v>
      </c>
      <c r="E1283" s="4" t="s">
        <v>1300</v>
      </c>
      <c r="F1283" s="4" t="n">
        <v>62</v>
      </c>
      <c r="G1283" s="4" t="n">
        <v>1</v>
      </c>
      <c r="H1283" s="4" t="n">
        <v>2</v>
      </c>
      <c r="I1283" s="4" t="str">
        <v>○</v>
      </c>
      <c r="J1283" s="4" t="n">
        <v>110</v>
      </c>
      <c r="K1283" s="4"/>
      <c r="L1283" s="4"/>
      <c r="M1283" s="5" t="s">
        <v>917</v>
      </c>
    </row>
    <row r="1284" customFormat="false" ht="15.75" hidden="false" customHeight="false" outlineLevel="0" collapsed="false">
      <c r="A1284" s="3" t="n">
        <v>46221</v>
      </c>
      <c r="B1284" s="4" t="s">
        <v>1237</v>
      </c>
      <c r="C1284" s="4" t="n">
        <v>6</v>
      </c>
      <c r="D1284" s="4" t="n">
        <v>3</v>
      </c>
      <c r="E1284" s="4" t="s">
        <v>1301</v>
      </c>
      <c r="F1284" s="4" t="n">
        <v>13</v>
      </c>
      <c r="G1284" s="4" t="n">
        <v>7</v>
      </c>
      <c r="H1284" s="4" t="n">
        <v>4</v>
      </c>
      <c r="I1284" s="4" t="str">
        <v>×</v>
      </c>
      <c r="J1284" s="4"/>
      <c r="K1284" s="4"/>
      <c r="L1284" s="4"/>
      <c r="M1284" s="5" t="s">
        <v>917</v>
      </c>
    </row>
    <row r="1285" customFormat="false" ht="15.75" hidden="false" customHeight="false" outlineLevel="0" collapsed="false">
      <c r="A1285" s="3" t="n">
        <v>46221</v>
      </c>
      <c r="B1285" s="4" t="s">
        <v>1237</v>
      </c>
      <c r="C1285" s="4" t="n">
        <v>6</v>
      </c>
      <c r="D1285" s="4" t="n">
        <v>4</v>
      </c>
      <c r="E1285" s="4" t="s">
        <v>1302</v>
      </c>
      <c r="F1285" s="4" t="n">
        <v>23</v>
      </c>
      <c r="G1285" s="4" t="n">
        <v>5</v>
      </c>
      <c r="H1285" s="4" t="n">
        <v>4</v>
      </c>
      <c r="I1285" s="4" t="str">
        <v>×</v>
      </c>
      <c r="J1285" s="4"/>
      <c r="K1285" s="4"/>
      <c r="L1285" s="4"/>
      <c r="M1285" s="5" t="s">
        <v>917</v>
      </c>
    </row>
    <row r="1286" customFormat="false" ht="15.75" hidden="false" customHeight="false" outlineLevel="0" collapsed="false">
      <c r="A1286" s="3" t="n">
        <v>46221</v>
      </c>
      <c r="B1286" s="4" t="s">
        <v>1237</v>
      </c>
      <c r="C1286" s="4" t="n">
        <v>6</v>
      </c>
      <c r="D1286" s="4" t="n">
        <v>5</v>
      </c>
      <c r="E1286" s="4" t="s">
        <v>1303</v>
      </c>
      <c r="F1286" s="4" t="n">
        <v>39</v>
      </c>
      <c r="G1286" s="4" t="n">
        <v>3</v>
      </c>
      <c r="H1286" s="4" t="n">
        <v>4</v>
      </c>
      <c r="I1286" s="4" t="str">
        <v>×</v>
      </c>
      <c r="J1286" s="4"/>
      <c r="K1286" s="4"/>
      <c r="L1286" s="4"/>
      <c r="M1286" s="5" t="s">
        <v>917</v>
      </c>
    </row>
    <row r="1287" customFormat="false" ht="15.75" hidden="false" customHeight="false" outlineLevel="0" collapsed="false">
      <c r="A1287" s="3" t="n">
        <v>46221</v>
      </c>
      <c r="B1287" s="4" t="s">
        <v>1237</v>
      </c>
      <c r="C1287" s="4" t="n">
        <v>6</v>
      </c>
      <c r="D1287" s="4" t="n">
        <v>6</v>
      </c>
      <c r="E1287" s="4" t="s">
        <v>1304</v>
      </c>
      <c r="F1287" s="4" t="n">
        <v>17</v>
      </c>
      <c r="G1287" s="4" t="n">
        <v>6</v>
      </c>
      <c r="H1287" s="4" t="n">
        <v>3</v>
      </c>
      <c r="I1287" s="4" t="str">
        <v>○</v>
      </c>
      <c r="J1287" s="4" t="n">
        <v>430</v>
      </c>
      <c r="K1287" s="4"/>
      <c r="L1287" s="4"/>
      <c r="M1287" s="5" t="s">
        <v>917</v>
      </c>
    </row>
    <row r="1288" customFormat="false" ht="15.75" hidden="false" customHeight="false" outlineLevel="0" collapsed="false">
      <c r="A1288" s="3" t="n">
        <v>46221</v>
      </c>
      <c r="B1288" s="4" t="s">
        <v>1237</v>
      </c>
      <c r="C1288" s="4" t="n">
        <v>6</v>
      </c>
      <c r="D1288" s="4" t="n">
        <v>7</v>
      </c>
      <c r="E1288" s="4" t="s">
        <v>1305</v>
      </c>
      <c r="F1288" s="4" t="n">
        <v>8</v>
      </c>
      <c r="G1288" s="4" t="n">
        <v>8</v>
      </c>
      <c r="H1288" s="4" t="n">
        <v>4</v>
      </c>
      <c r="I1288" s="4" t="str">
        <v>×</v>
      </c>
      <c r="J1288" s="4"/>
      <c r="K1288" s="4"/>
      <c r="L1288" s="4"/>
      <c r="M1288" s="5" t="s">
        <v>917</v>
      </c>
    </row>
    <row r="1289" customFormat="false" ht="15.75" hidden="false" customHeight="false" outlineLevel="0" collapsed="false">
      <c r="A1289" s="3" t="n">
        <v>46221</v>
      </c>
      <c r="B1289" s="4" t="s">
        <v>1237</v>
      </c>
      <c r="C1289" s="4" t="n">
        <v>6</v>
      </c>
      <c r="D1289" s="4" t="n">
        <v>8</v>
      </c>
      <c r="E1289" s="4" t="s">
        <v>1306</v>
      </c>
      <c r="F1289" s="4" t="n">
        <v>25</v>
      </c>
      <c r="G1289" s="4" t="n">
        <v>4</v>
      </c>
      <c r="H1289" s="4" t="n">
        <v>4</v>
      </c>
      <c r="I1289" s="4" t="str">
        <v>×</v>
      </c>
      <c r="J1289" s="4"/>
      <c r="K1289" s="4"/>
      <c r="L1289" s="4"/>
      <c r="M1289" s="5" t="s">
        <v>917</v>
      </c>
    </row>
    <row r="1290" customFormat="false" ht="15.75" hidden="false" customHeight="false" outlineLevel="0" collapsed="false">
      <c r="A1290" s="3" t="n">
        <v>46221</v>
      </c>
      <c r="B1290" s="4" t="s">
        <v>1237</v>
      </c>
      <c r="C1290" s="4" t="n">
        <v>6</v>
      </c>
      <c r="D1290" s="4" t="n">
        <v>9</v>
      </c>
      <c r="E1290" s="4" t="s">
        <v>1307</v>
      </c>
      <c r="F1290" s="4" t="n">
        <v>4</v>
      </c>
      <c r="G1290" s="4" t="n">
        <v>9</v>
      </c>
      <c r="H1290" s="4" t="n">
        <v>4</v>
      </c>
      <c r="I1290" s="4" t="str">
        <v>×</v>
      </c>
      <c r="J1290" s="4"/>
      <c r="K1290" s="4"/>
      <c r="L1290" s="4"/>
      <c r="M1290" s="5" t="s">
        <v>917</v>
      </c>
    </row>
    <row r="1291" customFormat="false" ht="15.75" hidden="false" customHeight="false" outlineLevel="0" collapsed="false">
      <c r="A1291" s="3" t="n">
        <v>46221</v>
      </c>
      <c r="B1291" s="4" t="s">
        <v>1237</v>
      </c>
      <c r="C1291" s="4" t="n">
        <v>6</v>
      </c>
      <c r="D1291" s="4" t="n">
        <v>10</v>
      </c>
      <c r="E1291" s="4" t="s">
        <v>1308</v>
      </c>
      <c r="F1291" s="4" t="n">
        <v>17</v>
      </c>
      <c r="G1291" s="4" t="n">
        <v>6</v>
      </c>
      <c r="H1291" s="4" t="n">
        <v>4</v>
      </c>
      <c r="I1291" s="4" t="str">
        <v>×</v>
      </c>
      <c r="J1291" s="4"/>
      <c r="K1291" s="4"/>
      <c r="L1291" s="4"/>
      <c r="M1291" s="5" t="s">
        <v>917</v>
      </c>
    </row>
    <row r="1292" customFormat="false" ht="15.75" hidden="false" customHeight="false" outlineLevel="0" collapsed="false">
      <c r="A1292" s="3" t="n">
        <v>46221</v>
      </c>
      <c r="B1292" s="4" t="s">
        <v>1237</v>
      </c>
      <c r="C1292" s="4" t="n">
        <v>6</v>
      </c>
      <c r="D1292" s="4" t="n">
        <v>11</v>
      </c>
      <c r="E1292" s="4" t="s">
        <v>1309</v>
      </c>
      <c r="F1292" s="4" t="n">
        <v>39</v>
      </c>
      <c r="G1292" s="4" t="n">
        <v>3</v>
      </c>
      <c r="H1292" s="4" t="n">
        <v>4</v>
      </c>
      <c r="I1292" s="4" t="str">
        <v>×</v>
      </c>
      <c r="J1292" s="4"/>
      <c r="K1292" s="4"/>
      <c r="L1292" s="4"/>
      <c r="M1292" s="5" t="s">
        <v>917</v>
      </c>
    </row>
    <row r="1293" customFormat="false" ht="15.75" hidden="false" customHeight="false" outlineLevel="0" collapsed="false">
      <c r="A1293" s="3" t="n">
        <v>46221</v>
      </c>
      <c r="B1293" s="4" t="s">
        <v>1237</v>
      </c>
      <c r="C1293" s="4" t="n">
        <v>6</v>
      </c>
      <c r="D1293" s="4" t="n">
        <v>12</v>
      </c>
      <c r="E1293" s="4" t="s">
        <v>1310</v>
      </c>
      <c r="F1293" s="4" t="n">
        <v>52</v>
      </c>
      <c r="G1293" s="4" t="n">
        <v>2</v>
      </c>
      <c r="H1293" s="4" t="n">
        <v>1</v>
      </c>
      <c r="I1293" s="4" t="str">
        <v>○</v>
      </c>
      <c r="J1293" s="4" t="n">
        <v>130</v>
      </c>
      <c r="K1293" s="4"/>
      <c r="L1293" s="4"/>
      <c r="M1293" s="5" t="s">
        <v>917</v>
      </c>
    </row>
    <row r="1294" customFormat="false" ht="15.75" hidden="false" customHeight="false" outlineLevel="0" collapsed="false">
      <c r="A1294" s="3" t="n">
        <v>46221</v>
      </c>
      <c r="B1294" s="4" t="s">
        <v>1237</v>
      </c>
      <c r="C1294" s="4" t="n">
        <v>7</v>
      </c>
      <c r="D1294" s="4" t="n">
        <v>1</v>
      </c>
      <c r="E1294" s="4" t="s">
        <v>1311</v>
      </c>
      <c r="F1294" s="4" t="n">
        <v>47</v>
      </c>
      <c r="G1294" s="4" t="n">
        <v>3</v>
      </c>
      <c r="H1294" s="4" t="n">
        <v>4</v>
      </c>
      <c r="I1294" s="4" t="str">
        <v>×</v>
      </c>
      <c r="J1294" s="4"/>
      <c r="K1294" s="4"/>
      <c r="L1294" s="4"/>
      <c r="M1294" s="5" t="s">
        <v>917</v>
      </c>
    </row>
    <row r="1295" customFormat="false" ht="15.75" hidden="false" customHeight="false" outlineLevel="0" collapsed="false">
      <c r="A1295" s="3" t="n">
        <v>46221</v>
      </c>
      <c r="B1295" s="4" t="s">
        <v>1237</v>
      </c>
      <c r="C1295" s="4" t="n">
        <v>7</v>
      </c>
      <c r="D1295" s="4" t="n">
        <v>2</v>
      </c>
      <c r="E1295" s="4" t="s">
        <v>1312</v>
      </c>
      <c r="F1295" s="4" t="n">
        <v>17</v>
      </c>
      <c r="G1295" s="4" t="n">
        <v>5</v>
      </c>
      <c r="H1295" s="4" t="n">
        <v>3</v>
      </c>
      <c r="I1295" s="4" t="str">
        <v>○</v>
      </c>
      <c r="J1295" s="4" t="n">
        <v>1940</v>
      </c>
      <c r="K1295" s="4"/>
      <c r="L1295" s="4"/>
      <c r="M1295" s="5" t="s">
        <v>917</v>
      </c>
    </row>
    <row r="1296" customFormat="false" ht="15.75" hidden="false" customHeight="false" outlineLevel="0" collapsed="false">
      <c r="A1296" s="3" t="n">
        <v>46221</v>
      </c>
      <c r="B1296" s="4" t="s">
        <v>1237</v>
      </c>
      <c r="C1296" s="4" t="n">
        <v>7</v>
      </c>
      <c r="D1296" s="4" t="n">
        <v>3</v>
      </c>
      <c r="E1296" s="4" t="s">
        <v>1313</v>
      </c>
      <c r="F1296" s="4" t="n">
        <v>1</v>
      </c>
      <c r="G1296" s="4" t="n">
        <v>11</v>
      </c>
      <c r="H1296" s="4" t="n">
        <v>4</v>
      </c>
      <c r="I1296" s="4" t="str">
        <v>×</v>
      </c>
      <c r="J1296" s="4"/>
      <c r="K1296" s="4"/>
      <c r="L1296" s="4"/>
      <c r="M1296" s="5" t="s">
        <v>917</v>
      </c>
    </row>
    <row r="1297" customFormat="false" ht="15.75" hidden="false" customHeight="false" outlineLevel="0" collapsed="false">
      <c r="A1297" s="3" t="n">
        <v>46221</v>
      </c>
      <c r="B1297" s="4" t="s">
        <v>1237</v>
      </c>
      <c r="C1297" s="4" t="n">
        <v>7</v>
      </c>
      <c r="D1297" s="4" t="n">
        <v>4</v>
      </c>
      <c r="E1297" s="4" t="s">
        <v>1314</v>
      </c>
      <c r="F1297" s="4" t="n">
        <v>13</v>
      </c>
      <c r="G1297" s="4" t="n">
        <v>7</v>
      </c>
      <c r="H1297" s="4" t="n">
        <v>4</v>
      </c>
      <c r="I1297" s="4" t="str">
        <v>×</v>
      </c>
      <c r="J1297" s="4"/>
      <c r="K1297" s="4"/>
      <c r="L1297" s="4"/>
      <c r="M1297" s="5" t="s">
        <v>917</v>
      </c>
    </row>
    <row r="1298" customFormat="false" ht="15.75" hidden="false" customHeight="false" outlineLevel="0" collapsed="false">
      <c r="A1298" s="3" t="n">
        <v>46221</v>
      </c>
      <c r="B1298" s="4" t="s">
        <v>1237</v>
      </c>
      <c r="C1298" s="4" t="n">
        <v>7</v>
      </c>
      <c r="D1298" s="4" t="n">
        <v>5</v>
      </c>
      <c r="E1298" s="4" t="s">
        <v>1315</v>
      </c>
      <c r="F1298" s="4" t="n">
        <v>50</v>
      </c>
      <c r="G1298" s="4" t="n">
        <v>2</v>
      </c>
      <c r="H1298" s="4" t="n">
        <v>4</v>
      </c>
      <c r="I1298" s="4" t="str">
        <v>×</v>
      </c>
      <c r="J1298" s="4"/>
      <c r="K1298" s="4"/>
      <c r="L1298" s="4"/>
      <c r="M1298" s="5" t="s">
        <v>917</v>
      </c>
    </row>
    <row r="1299" customFormat="false" ht="15.75" hidden="false" customHeight="false" outlineLevel="0" collapsed="false">
      <c r="A1299" s="3" t="n">
        <v>46221</v>
      </c>
      <c r="B1299" s="4" t="s">
        <v>1237</v>
      </c>
      <c r="C1299" s="4" t="n">
        <v>7</v>
      </c>
      <c r="D1299" s="4" t="n">
        <v>6</v>
      </c>
      <c r="E1299" s="4" t="s">
        <v>1316</v>
      </c>
      <c r="F1299" s="4" t="n">
        <v>15</v>
      </c>
      <c r="G1299" s="4" t="n">
        <v>6</v>
      </c>
      <c r="H1299" s="4" t="n">
        <v>4</v>
      </c>
      <c r="I1299" s="4" t="str">
        <v>×</v>
      </c>
      <c r="J1299" s="4"/>
      <c r="K1299" s="4"/>
      <c r="L1299" s="4"/>
      <c r="M1299" s="5" t="s">
        <v>917</v>
      </c>
    </row>
    <row r="1300" customFormat="false" ht="15.75" hidden="false" customHeight="false" outlineLevel="0" collapsed="false">
      <c r="A1300" s="3" t="n">
        <v>46221</v>
      </c>
      <c r="B1300" s="4" t="s">
        <v>1237</v>
      </c>
      <c r="C1300" s="4" t="n">
        <v>7</v>
      </c>
      <c r="D1300" s="4" t="n">
        <v>7</v>
      </c>
      <c r="E1300" s="4" t="s">
        <v>1317</v>
      </c>
      <c r="F1300" s="4" t="n">
        <v>13</v>
      </c>
      <c r="G1300" s="4" t="n">
        <v>7</v>
      </c>
      <c r="H1300" s="4" t="n">
        <v>4</v>
      </c>
      <c r="I1300" s="4" t="str">
        <v>×</v>
      </c>
      <c r="J1300" s="4"/>
      <c r="K1300" s="4"/>
      <c r="L1300" s="4"/>
      <c r="M1300" s="5" t="s">
        <v>917</v>
      </c>
    </row>
    <row r="1301" customFormat="false" ht="15.75" hidden="false" customHeight="false" outlineLevel="0" collapsed="false">
      <c r="A1301" s="3" t="n">
        <v>46221</v>
      </c>
      <c r="B1301" s="4" t="s">
        <v>1237</v>
      </c>
      <c r="C1301" s="4" t="n">
        <v>7</v>
      </c>
      <c r="D1301" s="4" t="n">
        <v>8</v>
      </c>
      <c r="E1301" s="4" t="s">
        <v>1318</v>
      </c>
      <c r="F1301" s="4" t="n">
        <v>52</v>
      </c>
      <c r="G1301" s="4" t="n">
        <v>1</v>
      </c>
      <c r="H1301" s="4" t="n">
        <v>1</v>
      </c>
      <c r="I1301" s="4" t="str">
        <v>○</v>
      </c>
      <c r="J1301" s="4" t="n">
        <v>140</v>
      </c>
      <c r="K1301" s="4"/>
      <c r="L1301" s="4"/>
      <c r="M1301" s="5" t="s">
        <v>917</v>
      </c>
    </row>
    <row r="1302" customFormat="false" ht="15.75" hidden="false" customHeight="false" outlineLevel="0" collapsed="false">
      <c r="A1302" s="3" t="n">
        <v>46221</v>
      </c>
      <c r="B1302" s="4" t="s">
        <v>1237</v>
      </c>
      <c r="C1302" s="4" t="n">
        <v>7</v>
      </c>
      <c r="D1302" s="4" t="n">
        <v>9</v>
      </c>
      <c r="E1302" s="4" t="s">
        <v>1319</v>
      </c>
      <c r="F1302" s="4" t="n">
        <v>2</v>
      </c>
      <c r="G1302" s="4" t="n">
        <v>10</v>
      </c>
      <c r="H1302" s="4" t="n">
        <v>4</v>
      </c>
      <c r="I1302" s="4" t="str">
        <v>×</v>
      </c>
      <c r="J1302" s="4"/>
      <c r="K1302" s="4"/>
      <c r="L1302" s="4"/>
      <c r="M1302" s="5" t="s">
        <v>917</v>
      </c>
    </row>
    <row r="1303" customFormat="false" ht="15.75" hidden="false" customHeight="false" outlineLevel="0" collapsed="false">
      <c r="A1303" s="3" t="n">
        <v>46221</v>
      </c>
      <c r="B1303" s="4" t="s">
        <v>1237</v>
      </c>
      <c r="C1303" s="4" t="n">
        <v>7</v>
      </c>
      <c r="D1303" s="4" t="n">
        <v>10</v>
      </c>
      <c r="E1303" s="4" t="s">
        <v>1320</v>
      </c>
      <c r="F1303" s="4" t="n">
        <v>31</v>
      </c>
      <c r="G1303" s="4" t="n">
        <v>4</v>
      </c>
      <c r="H1303" s="4" t="n">
        <v>4</v>
      </c>
      <c r="I1303" s="4" t="str">
        <v>×</v>
      </c>
      <c r="J1303" s="4"/>
      <c r="K1303" s="4"/>
      <c r="L1303" s="4"/>
      <c r="M1303" s="5" t="s">
        <v>917</v>
      </c>
    </row>
    <row r="1304" customFormat="false" ht="15.75" hidden="false" customHeight="false" outlineLevel="0" collapsed="false">
      <c r="A1304" s="3" t="n">
        <v>46221</v>
      </c>
      <c r="B1304" s="4" t="s">
        <v>1237</v>
      </c>
      <c r="C1304" s="4" t="n">
        <v>7</v>
      </c>
      <c r="D1304" s="4" t="n">
        <v>11</v>
      </c>
      <c r="E1304" s="4" t="s">
        <v>1321</v>
      </c>
      <c r="F1304" s="4" t="n">
        <v>31</v>
      </c>
      <c r="G1304" s="4" t="n">
        <v>4</v>
      </c>
      <c r="H1304" s="4" t="n">
        <v>2</v>
      </c>
      <c r="I1304" s="4" t="str">
        <v>○</v>
      </c>
      <c r="J1304" s="4" t="n">
        <v>170</v>
      </c>
      <c r="K1304" s="4"/>
      <c r="L1304" s="4"/>
      <c r="M1304" s="5" t="s">
        <v>917</v>
      </c>
    </row>
    <row r="1305" customFormat="false" ht="15.75" hidden="false" customHeight="false" outlineLevel="0" collapsed="false">
      <c r="A1305" s="3" t="n">
        <v>46221</v>
      </c>
      <c r="B1305" s="4" t="s">
        <v>1237</v>
      </c>
      <c r="C1305" s="4" t="n">
        <v>7</v>
      </c>
      <c r="D1305" s="4" t="n">
        <v>12</v>
      </c>
      <c r="E1305" s="4" t="s">
        <v>1322</v>
      </c>
      <c r="F1305" s="4" t="n">
        <v>15</v>
      </c>
      <c r="G1305" s="4" t="n">
        <v>6</v>
      </c>
      <c r="H1305" s="4" t="n">
        <v>4</v>
      </c>
      <c r="I1305" s="4" t="str">
        <v>×</v>
      </c>
      <c r="J1305" s="4"/>
      <c r="K1305" s="4"/>
      <c r="L1305" s="4"/>
      <c r="M1305" s="5" t="s">
        <v>917</v>
      </c>
    </row>
    <row r="1306" customFormat="false" ht="15.75" hidden="false" customHeight="false" outlineLevel="0" collapsed="false">
      <c r="A1306" s="3" t="n">
        <v>46221</v>
      </c>
      <c r="B1306" s="4" t="s">
        <v>1237</v>
      </c>
      <c r="C1306" s="4" t="n">
        <v>7</v>
      </c>
      <c r="D1306" s="4" t="n">
        <v>13</v>
      </c>
      <c r="E1306" s="4" t="s">
        <v>1323</v>
      </c>
      <c r="F1306" s="4" t="n">
        <v>6</v>
      </c>
      <c r="G1306" s="4" t="n">
        <v>8</v>
      </c>
      <c r="H1306" s="4" t="n">
        <v>4</v>
      </c>
      <c r="I1306" s="4" t="str">
        <v>×</v>
      </c>
      <c r="J1306" s="4"/>
      <c r="K1306" s="4"/>
      <c r="L1306" s="4"/>
      <c r="M1306" s="5" t="s">
        <v>917</v>
      </c>
    </row>
    <row r="1307" customFormat="false" ht="15.75" hidden="false" customHeight="false" outlineLevel="0" collapsed="false">
      <c r="A1307" s="3" t="n">
        <v>46221</v>
      </c>
      <c r="B1307" s="4" t="s">
        <v>1237</v>
      </c>
      <c r="C1307" s="4" t="n">
        <v>7</v>
      </c>
      <c r="D1307" s="4" t="n">
        <v>14</v>
      </c>
      <c r="E1307" s="4" t="s">
        <v>1324</v>
      </c>
      <c r="F1307" s="4" t="n">
        <v>3</v>
      </c>
      <c r="G1307" s="4" t="n">
        <v>9</v>
      </c>
      <c r="H1307" s="4" t="n">
        <v>4</v>
      </c>
      <c r="I1307" s="4" t="str">
        <v>×</v>
      </c>
      <c r="J1307" s="4"/>
      <c r="K1307" s="4"/>
      <c r="L1307" s="4"/>
      <c r="M1307" s="5" t="s">
        <v>917</v>
      </c>
    </row>
    <row r="1308" customFormat="false" ht="15.75" hidden="false" customHeight="false" outlineLevel="0" collapsed="false">
      <c r="A1308" s="3" t="n">
        <v>46221</v>
      </c>
      <c r="B1308" s="4" t="s">
        <v>1237</v>
      </c>
      <c r="C1308" s="4" t="n">
        <v>8</v>
      </c>
      <c r="D1308" s="4" t="n">
        <v>1</v>
      </c>
      <c r="E1308" s="4" t="s">
        <v>1325</v>
      </c>
      <c r="F1308" s="4" t="n">
        <v>29</v>
      </c>
      <c r="G1308" s="4" t="n">
        <v>5</v>
      </c>
      <c r="H1308" s="4" t="n">
        <v>2</v>
      </c>
      <c r="I1308" s="4" t="str">
        <v>○</v>
      </c>
      <c r="J1308" s="4" t="n">
        <v>630</v>
      </c>
      <c r="K1308" s="4"/>
      <c r="L1308" s="4"/>
      <c r="M1308" s="5" t="s">
        <v>917</v>
      </c>
    </row>
    <row r="1309" customFormat="false" ht="15.75" hidden="false" customHeight="false" outlineLevel="0" collapsed="false">
      <c r="A1309" s="3" t="n">
        <v>46221</v>
      </c>
      <c r="B1309" s="4" t="s">
        <v>1237</v>
      </c>
      <c r="C1309" s="4" t="n">
        <v>8</v>
      </c>
      <c r="D1309" s="4" t="n">
        <v>2</v>
      </c>
      <c r="E1309" s="4" t="s">
        <v>1326</v>
      </c>
      <c r="F1309" s="4" t="n">
        <v>10</v>
      </c>
      <c r="G1309" s="4" t="n">
        <v>7</v>
      </c>
      <c r="H1309" s="4" t="n">
        <v>4</v>
      </c>
      <c r="I1309" s="4" t="str">
        <v>×</v>
      </c>
      <c r="J1309" s="4"/>
      <c r="K1309" s="4"/>
      <c r="L1309" s="4"/>
      <c r="M1309" s="5" t="s">
        <v>917</v>
      </c>
    </row>
    <row r="1310" customFormat="false" ht="15.75" hidden="false" customHeight="false" outlineLevel="0" collapsed="false">
      <c r="A1310" s="3" t="n">
        <v>46221</v>
      </c>
      <c r="B1310" s="4" t="s">
        <v>1237</v>
      </c>
      <c r="C1310" s="4" t="n">
        <v>8</v>
      </c>
      <c r="D1310" s="4" t="n">
        <v>3</v>
      </c>
      <c r="E1310" s="4" t="s">
        <v>1327</v>
      </c>
      <c r="F1310" s="4" t="n">
        <v>3</v>
      </c>
      <c r="G1310" s="4" t="n">
        <v>9</v>
      </c>
      <c r="H1310" s="4" t="n">
        <v>3</v>
      </c>
      <c r="I1310" s="4" t="str">
        <v>○</v>
      </c>
      <c r="J1310" s="4" t="n">
        <v>1510</v>
      </c>
      <c r="K1310" s="4"/>
      <c r="L1310" s="4"/>
      <c r="M1310" s="5" t="s">
        <v>917</v>
      </c>
    </row>
    <row r="1311" customFormat="false" ht="15.75" hidden="false" customHeight="false" outlineLevel="0" collapsed="false">
      <c r="A1311" s="3" t="n">
        <v>46221</v>
      </c>
      <c r="B1311" s="4" t="s">
        <v>1237</v>
      </c>
      <c r="C1311" s="4" t="n">
        <v>8</v>
      </c>
      <c r="D1311" s="4" t="n">
        <v>4</v>
      </c>
      <c r="E1311" s="4" t="s">
        <v>1328</v>
      </c>
      <c r="F1311" s="4" t="n">
        <v>47</v>
      </c>
      <c r="G1311" s="4" t="n">
        <v>2</v>
      </c>
      <c r="H1311" s="4" t="n">
        <v>4</v>
      </c>
      <c r="I1311" s="4" t="str">
        <v>×</v>
      </c>
      <c r="J1311" s="4"/>
      <c r="K1311" s="4"/>
      <c r="L1311" s="4"/>
      <c r="M1311" s="5" t="s">
        <v>917</v>
      </c>
    </row>
    <row r="1312" customFormat="false" ht="15.75" hidden="false" customHeight="false" outlineLevel="0" collapsed="false">
      <c r="A1312" s="3" t="n">
        <v>46221</v>
      </c>
      <c r="B1312" s="4" t="s">
        <v>1237</v>
      </c>
      <c r="C1312" s="4" t="n">
        <v>8</v>
      </c>
      <c r="D1312" s="4" t="n">
        <v>5</v>
      </c>
      <c r="E1312" s="4" t="s">
        <v>1329</v>
      </c>
      <c r="F1312" s="4" t="n">
        <v>58</v>
      </c>
      <c r="G1312" s="4" t="n">
        <v>1</v>
      </c>
      <c r="H1312" s="4" t="n">
        <v>4</v>
      </c>
      <c r="I1312" s="4" t="str">
        <v>×</v>
      </c>
      <c r="J1312" s="4"/>
      <c r="K1312" s="4"/>
      <c r="L1312" s="4"/>
      <c r="M1312" s="5" t="s">
        <v>917</v>
      </c>
    </row>
    <row r="1313" customFormat="false" ht="15.75" hidden="false" customHeight="false" outlineLevel="0" collapsed="false">
      <c r="A1313" s="3" t="n">
        <v>46221</v>
      </c>
      <c r="B1313" s="4" t="s">
        <v>1237</v>
      </c>
      <c r="C1313" s="4" t="n">
        <v>8</v>
      </c>
      <c r="D1313" s="4" t="n">
        <v>6</v>
      </c>
      <c r="E1313" s="4" t="s">
        <v>1330</v>
      </c>
      <c r="F1313" s="4" t="n">
        <v>39</v>
      </c>
      <c r="G1313" s="4" t="n">
        <v>4</v>
      </c>
      <c r="H1313" s="4" t="n">
        <v>1</v>
      </c>
      <c r="I1313" s="4" t="str">
        <v>○</v>
      </c>
      <c r="J1313" s="4" t="n">
        <v>820</v>
      </c>
      <c r="K1313" s="4"/>
      <c r="L1313" s="4"/>
      <c r="M1313" s="5" t="s">
        <v>917</v>
      </c>
    </row>
    <row r="1314" customFormat="false" ht="15.75" hidden="false" customHeight="false" outlineLevel="0" collapsed="false">
      <c r="A1314" s="3" t="n">
        <v>46221</v>
      </c>
      <c r="B1314" s="4" t="s">
        <v>1237</v>
      </c>
      <c r="C1314" s="4" t="n">
        <v>8</v>
      </c>
      <c r="D1314" s="4" t="n">
        <v>7</v>
      </c>
      <c r="E1314" s="4" t="s">
        <v>1331</v>
      </c>
      <c r="F1314" s="4" t="n">
        <v>23</v>
      </c>
      <c r="G1314" s="4" t="n">
        <v>6</v>
      </c>
      <c r="H1314" s="4" t="n">
        <v>4</v>
      </c>
      <c r="I1314" s="4" t="str">
        <v>×</v>
      </c>
      <c r="J1314" s="4"/>
      <c r="K1314" s="4"/>
      <c r="L1314" s="4"/>
      <c r="M1314" s="5" t="s">
        <v>917</v>
      </c>
    </row>
    <row r="1315" customFormat="false" ht="15.75" hidden="false" customHeight="false" outlineLevel="0" collapsed="false">
      <c r="A1315" s="3" t="n">
        <v>46221</v>
      </c>
      <c r="B1315" s="4" t="s">
        <v>1237</v>
      </c>
      <c r="C1315" s="4" t="n">
        <v>8</v>
      </c>
      <c r="D1315" s="4" t="n">
        <v>8</v>
      </c>
      <c r="E1315" s="4" t="s">
        <v>1332</v>
      </c>
      <c r="F1315" s="4" t="n">
        <v>6</v>
      </c>
      <c r="G1315" s="4" t="n">
        <v>8</v>
      </c>
      <c r="H1315" s="4" t="n">
        <v>4</v>
      </c>
      <c r="I1315" s="4" t="str">
        <v>×</v>
      </c>
      <c r="J1315" s="4"/>
      <c r="K1315" s="4"/>
      <c r="L1315" s="4"/>
      <c r="M1315" s="5" t="s">
        <v>917</v>
      </c>
    </row>
    <row r="1316" customFormat="false" ht="15.75" hidden="false" customHeight="false" outlineLevel="0" collapsed="false">
      <c r="A1316" s="3" t="n">
        <v>46221</v>
      </c>
      <c r="B1316" s="4" t="s">
        <v>1237</v>
      </c>
      <c r="C1316" s="4" t="n">
        <v>8</v>
      </c>
      <c r="D1316" s="4" t="n">
        <v>9</v>
      </c>
      <c r="E1316" s="4" t="s">
        <v>1333</v>
      </c>
      <c r="F1316" s="4" t="n">
        <v>6</v>
      </c>
      <c r="G1316" s="4" t="n">
        <v>8</v>
      </c>
      <c r="H1316" s="4" t="n">
        <v>4</v>
      </c>
      <c r="I1316" s="4" t="str">
        <v>×</v>
      </c>
      <c r="J1316" s="4"/>
      <c r="K1316" s="4"/>
      <c r="L1316" s="4"/>
      <c r="M1316" s="5" t="s">
        <v>917</v>
      </c>
    </row>
    <row r="1317" customFormat="false" ht="15.75" hidden="false" customHeight="false" outlineLevel="0" collapsed="false">
      <c r="A1317" s="3" t="n">
        <v>46221</v>
      </c>
      <c r="B1317" s="4" t="s">
        <v>1237</v>
      </c>
      <c r="C1317" s="4" t="n">
        <v>8</v>
      </c>
      <c r="D1317" s="4" t="n">
        <v>10</v>
      </c>
      <c r="E1317" s="4" t="s">
        <v>1334</v>
      </c>
      <c r="F1317" s="4" t="n">
        <v>41</v>
      </c>
      <c r="G1317" s="4" t="n">
        <v>3</v>
      </c>
      <c r="H1317" s="4" t="n">
        <v>4</v>
      </c>
      <c r="I1317" s="4" t="str">
        <v>×</v>
      </c>
      <c r="J1317" s="4"/>
      <c r="K1317" s="4"/>
      <c r="L1317" s="4"/>
      <c r="M1317" s="5" t="s">
        <v>917</v>
      </c>
    </row>
    <row r="1318" customFormat="false" ht="15.75" hidden="false" customHeight="false" outlineLevel="0" collapsed="false">
      <c r="A1318" s="3" t="n">
        <v>46221</v>
      </c>
      <c r="B1318" s="4" t="s">
        <v>1237</v>
      </c>
      <c r="C1318" s="4" t="n">
        <v>8</v>
      </c>
      <c r="D1318" s="4" t="n">
        <v>11</v>
      </c>
      <c r="E1318" s="4" t="s">
        <v>1335</v>
      </c>
      <c r="F1318" s="4" t="n">
        <v>3</v>
      </c>
      <c r="G1318" s="4" t="n">
        <v>9</v>
      </c>
      <c r="H1318" s="4" t="n">
        <v>4</v>
      </c>
      <c r="I1318" s="4" t="str">
        <v>×</v>
      </c>
      <c r="J1318" s="4"/>
      <c r="K1318" s="4"/>
      <c r="L1318" s="4"/>
      <c r="M1318" s="5" t="s">
        <v>917</v>
      </c>
    </row>
    <row r="1319" customFormat="false" ht="15.75" hidden="false" customHeight="false" outlineLevel="0" collapsed="false">
      <c r="A1319" s="3" t="n">
        <v>46221</v>
      </c>
      <c r="B1319" s="4" t="s">
        <v>1237</v>
      </c>
      <c r="C1319" s="4" t="n">
        <v>8</v>
      </c>
      <c r="D1319" s="4" t="n">
        <v>12</v>
      </c>
      <c r="E1319" s="4" t="s">
        <v>1336</v>
      </c>
      <c r="F1319" s="4" t="n">
        <v>39</v>
      </c>
      <c r="G1319" s="4" t="n">
        <v>4</v>
      </c>
      <c r="H1319" s="4" t="n">
        <v>4</v>
      </c>
      <c r="I1319" s="4" t="str">
        <v>×</v>
      </c>
      <c r="J1319" s="4"/>
      <c r="K1319" s="4"/>
      <c r="L1319" s="4"/>
      <c r="M1319" s="5" t="s">
        <v>917</v>
      </c>
    </row>
    <row r="1320" customFormat="false" ht="15.75" hidden="false" customHeight="false" outlineLevel="0" collapsed="false">
      <c r="A1320" s="3" t="n">
        <v>46221</v>
      </c>
      <c r="B1320" s="4" t="s">
        <v>1237</v>
      </c>
      <c r="C1320" s="4" t="n">
        <v>9</v>
      </c>
      <c r="D1320" s="4" t="n">
        <v>1</v>
      </c>
      <c r="E1320" s="4" t="s">
        <v>1337</v>
      </c>
      <c r="F1320" s="4" t="n">
        <v>23</v>
      </c>
      <c r="G1320" s="4" t="n">
        <v>7</v>
      </c>
      <c r="H1320" s="4" t="n">
        <v>4</v>
      </c>
      <c r="I1320" s="4" t="str">
        <v>×</v>
      </c>
      <c r="J1320" s="4"/>
      <c r="K1320" s="4"/>
      <c r="L1320" s="4"/>
      <c r="M1320" s="5" t="s">
        <v>917</v>
      </c>
    </row>
    <row r="1321" customFormat="false" ht="15.75" hidden="false" customHeight="false" outlineLevel="0" collapsed="false">
      <c r="A1321" s="3" t="n">
        <v>46221</v>
      </c>
      <c r="B1321" s="4" t="s">
        <v>1237</v>
      </c>
      <c r="C1321" s="4" t="n">
        <v>9</v>
      </c>
      <c r="D1321" s="4" t="n">
        <v>2</v>
      </c>
      <c r="E1321" s="4" t="s">
        <v>1338</v>
      </c>
      <c r="F1321" s="4" t="n">
        <v>37</v>
      </c>
      <c r="G1321" s="4" t="n">
        <v>4</v>
      </c>
      <c r="H1321" s="4" t="n">
        <v>4</v>
      </c>
      <c r="I1321" s="4" t="str">
        <v>×</v>
      </c>
      <c r="J1321" s="4"/>
      <c r="K1321" s="4"/>
      <c r="L1321" s="4"/>
      <c r="M1321" s="5" t="s">
        <v>917</v>
      </c>
    </row>
    <row r="1322" customFormat="false" ht="15.75" hidden="false" customHeight="false" outlineLevel="0" collapsed="false">
      <c r="A1322" s="3" t="n">
        <v>46221</v>
      </c>
      <c r="B1322" s="4" t="s">
        <v>1237</v>
      </c>
      <c r="C1322" s="4" t="n">
        <v>9</v>
      </c>
      <c r="D1322" s="4" t="n">
        <v>3</v>
      </c>
      <c r="E1322" s="4" t="s">
        <v>1339</v>
      </c>
      <c r="F1322" s="4" t="n">
        <v>15</v>
      </c>
      <c r="G1322" s="4" t="n">
        <v>9</v>
      </c>
      <c r="H1322" s="4" t="n">
        <v>4</v>
      </c>
      <c r="I1322" s="4" t="str">
        <v>×</v>
      </c>
      <c r="J1322" s="4"/>
      <c r="K1322" s="4"/>
      <c r="L1322" s="4"/>
      <c r="M1322" s="5" t="s">
        <v>917</v>
      </c>
    </row>
    <row r="1323" customFormat="false" ht="15.75" hidden="false" customHeight="false" outlineLevel="0" collapsed="false">
      <c r="A1323" s="3" t="n">
        <v>46221</v>
      </c>
      <c r="B1323" s="4" t="s">
        <v>1237</v>
      </c>
      <c r="C1323" s="4" t="n">
        <v>9</v>
      </c>
      <c r="D1323" s="4" t="n">
        <v>4</v>
      </c>
      <c r="E1323" s="4" t="s">
        <v>1340</v>
      </c>
      <c r="F1323" s="4" t="n">
        <v>41</v>
      </c>
      <c r="G1323" s="4" t="n">
        <v>2</v>
      </c>
      <c r="H1323" s="4" t="n">
        <v>3</v>
      </c>
      <c r="I1323" s="4" t="str">
        <v>○</v>
      </c>
      <c r="J1323" s="4" t="n">
        <v>230</v>
      </c>
      <c r="K1323" s="4"/>
      <c r="L1323" s="4"/>
      <c r="M1323" s="5" t="s">
        <v>917</v>
      </c>
    </row>
    <row r="1324" customFormat="false" ht="15.75" hidden="false" customHeight="false" outlineLevel="0" collapsed="false">
      <c r="A1324" s="3" t="n">
        <v>46221</v>
      </c>
      <c r="B1324" s="4" t="s">
        <v>1237</v>
      </c>
      <c r="C1324" s="4" t="n">
        <v>9</v>
      </c>
      <c r="D1324" s="4" t="n">
        <v>5</v>
      </c>
      <c r="E1324" s="4" t="s">
        <v>1341</v>
      </c>
      <c r="F1324" s="4" t="n">
        <v>50</v>
      </c>
      <c r="G1324" s="4" t="n">
        <v>1</v>
      </c>
      <c r="H1324" s="4" t="n">
        <v>1</v>
      </c>
      <c r="I1324" s="4" t="str">
        <v>○</v>
      </c>
      <c r="J1324" s="4" t="n">
        <v>120</v>
      </c>
      <c r="K1324" s="4"/>
      <c r="L1324" s="4"/>
      <c r="M1324" s="5" t="s">
        <v>917</v>
      </c>
    </row>
    <row r="1325" customFormat="false" ht="15.75" hidden="false" customHeight="false" outlineLevel="0" collapsed="false">
      <c r="A1325" s="3" t="n">
        <v>46221</v>
      </c>
      <c r="B1325" s="4" t="s">
        <v>1237</v>
      </c>
      <c r="C1325" s="4" t="n">
        <v>9</v>
      </c>
      <c r="D1325" s="4" t="n">
        <v>6</v>
      </c>
      <c r="E1325" s="4" t="s">
        <v>410</v>
      </c>
      <c r="F1325" s="4" t="n">
        <v>23</v>
      </c>
      <c r="G1325" s="4" t="n">
        <v>7</v>
      </c>
      <c r="H1325" s="4" t="n">
        <v>4</v>
      </c>
      <c r="I1325" s="4" t="str">
        <v>×</v>
      </c>
      <c r="J1325" s="4"/>
      <c r="K1325" s="4"/>
      <c r="L1325" s="4"/>
      <c r="M1325" s="5" t="s">
        <v>917</v>
      </c>
    </row>
    <row r="1326" customFormat="false" ht="15.75" hidden="false" customHeight="false" outlineLevel="0" collapsed="false">
      <c r="A1326" s="3" t="n">
        <v>46221</v>
      </c>
      <c r="B1326" s="4" t="s">
        <v>1237</v>
      </c>
      <c r="C1326" s="4" t="n">
        <v>9</v>
      </c>
      <c r="D1326" s="4" t="n">
        <v>7</v>
      </c>
      <c r="E1326" s="4" t="s">
        <v>1342</v>
      </c>
      <c r="F1326" s="4" t="n">
        <v>39</v>
      </c>
      <c r="G1326" s="4" t="n">
        <v>3</v>
      </c>
      <c r="H1326" s="4" t="n">
        <v>2</v>
      </c>
      <c r="I1326" s="4" t="str">
        <v>○</v>
      </c>
      <c r="J1326" s="4" t="n">
        <v>200</v>
      </c>
      <c r="K1326" s="4"/>
      <c r="L1326" s="4"/>
      <c r="M1326" s="5" t="s">
        <v>917</v>
      </c>
    </row>
    <row r="1327" customFormat="false" ht="15.75" hidden="false" customHeight="false" outlineLevel="0" collapsed="false">
      <c r="A1327" s="3" t="n">
        <v>46221</v>
      </c>
      <c r="B1327" s="4" t="s">
        <v>1237</v>
      </c>
      <c r="C1327" s="4" t="n">
        <v>9</v>
      </c>
      <c r="D1327" s="4" t="n">
        <v>8</v>
      </c>
      <c r="E1327" s="4" t="s">
        <v>1343</v>
      </c>
      <c r="F1327" s="4" t="n">
        <v>17</v>
      </c>
      <c r="G1327" s="4" t="n">
        <v>8</v>
      </c>
      <c r="H1327" s="4" t="n">
        <v>4</v>
      </c>
      <c r="I1327" s="4" t="str">
        <v>×</v>
      </c>
      <c r="J1327" s="4"/>
      <c r="K1327" s="4"/>
      <c r="L1327" s="4"/>
      <c r="M1327" s="5" t="s">
        <v>917</v>
      </c>
    </row>
    <row r="1328" customFormat="false" ht="15.75" hidden="false" customHeight="false" outlineLevel="0" collapsed="false">
      <c r="A1328" s="3" t="n">
        <v>46221</v>
      </c>
      <c r="B1328" s="4" t="s">
        <v>1237</v>
      </c>
      <c r="C1328" s="4" t="n">
        <v>9</v>
      </c>
      <c r="D1328" s="4" t="n">
        <v>9</v>
      </c>
      <c r="E1328" s="4" t="s">
        <v>1344</v>
      </c>
      <c r="F1328" s="4" t="n">
        <v>25</v>
      </c>
      <c r="G1328" s="4" t="n">
        <v>6</v>
      </c>
      <c r="H1328" s="4" t="n">
        <v>4</v>
      </c>
      <c r="I1328" s="4" t="str">
        <v>×</v>
      </c>
      <c r="J1328" s="4"/>
      <c r="K1328" s="4"/>
      <c r="L1328" s="4"/>
      <c r="M1328" s="5" t="s">
        <v>917</v>
      </c>
    </row>
    <row r="1329" customFormat="false" ht="15.75" hidden="false" customHeight="false" outlineLevel="0" collapsed="false">
      <c r="A1329" s="3" t="n">
        <v>46221</v>
      </c>
      <c r="B1329" s="4" t="s">
        <v>1237</v>
      </c>
      <c r="C1329" s="4" t="n">
        <v>9</v>
      </c>
      <c r="D1329" s="4" t="n">
        <v>10</v>
      </c>
      <c r="E1329" s="4" t="s">
        <v>1345</v>
      </c>
      <c r="F1329" s="4" t="n">
        <v>37</v>
      </c>
      <c r="G1329" s="4" t="n">
        <v>4</v>
      </c>
      <c r="H1329" s="4" t="n">
        <v>4</v>
      </c>
      <c r="I1329" s="4" t="str">
        <v>×</v>
      </c>
      <c r="J1329" s="4"/>
      <c r="K1329" s="4"/>
      <c r="L1329" s="4"/>
      <c r="M1329" s="5" t="s">
        <v>917</v>
      </c>
    </row>
    <row r="1330" customFormat="false" ht="15.75" hidden="false" customHeight="false" outlineLevel="0" collapsed="false">
      <c r="A1330" s="3" t="n">
        <v>46221</v>
      </c>
      <c r="B1330" s="4" t="s">
        <v>1237</v>
      </c>
      <c r="C1330" s="4" t="n">
        <v>9</v>
      </c>
      <c r="D1330" s="4" t="n">
        <v>11</v>
      </c>
      <c r="E1330" s="4" t="s">
        <v>1346</v>
      </c>
      <c r="F1330" s="4" t="n">
        <v>4</v>
      </c>
      <c r="G1330" s="4" t="n">
        <v>10</v>
      </c>
      <c r="H1330" s="4" t="n">
        <v>4</v>
      </c>
      <c r="I1330" s="4" t="str">
        <v>×</v>
      </c>
      <c r="J1330" s="4"/>
      <c r="K1330" s="4"/>
      <c r="L1330" s="4"/>
      <c r="M1330" s="5" t="s">
        <v>917</v>
      </c>
    </row>
    <row r="1331" customFormat="false" ht="15.75" hidden="false" customHeight="false" outlineLevel="0" collapsed="false">
      <c r="A1331" s="3" t="n">
        <v>46221</v>
      </c>
      <c r="B1331" s="4" t="s">
        <v>1237</v>
      </c>
      <c r="C1331" s="4" t="n">
        <v>9</v>
      </c>
      <c r="D1331" s="4" t="n">
        <v>12</v>
      </c>
      <c r="E1331" s="4" t="s">
        <v>1347</v>
      </c>
      <c r="F1331" s="4" t="n">
        <v>15</v>
      </c>
      <c r="G1331" s="4" t="n">
        <v>9</v>
      </c>
      <c r="H1331" s="4" t="n">
        <v>4</v>
      </c>
      <c r="I1331" s="4" t="str">
        <v>×</v>
      </c>
      <c r="J1331" s="4"/>
      <c r="K1331" s="4"/>
      <c r="L1331" s="4"/>
      <c r="M1331" s="5" t="s">
        <v>917</v>
      </c>
    </row>
    <row r="1332" customFormat="false" ht="15.75" hidden="false" customHeight="false" outlineLevel="0" collapsed="false">
      <c r="A1332" s="3" t="n">
        <v>46221</v>
      </c>
      <c r="B1332" s="4" t="s">
        <v>1237</v>
      </c>
      <c r="C1332" s="4" t="n">
        <v>9</v>
      </c>
      <c r="D1332" s="4" t="n">
        <v>13</v>
      </c>
      <c r="E1332" s="4" t="s">
        <v>1348</v>
      </c>
      <c r="F1332" s="4" t="n">
        <v>29</v>
      </c>
      <c r="G1332" s="4" t="n">
        <v>5</v>
      </c>
      <c r="H1332" s="4" t="n">
        <v>4</v>
      </c>
      <c r="I1332" s="4" t="str">
        <v>×</v>
      </c>
      <c r="J1332" s="4"/>
      <c r="K1332" s="4"/>
      <c r="L1332" s="4"/>
      <c r="M1332" s="5" t="s">
        <v>917</v>
      </c>
    </row>
    <row r="1333" customFormat="false" ht="15.75" hidden="false" customHeight="false" outlineLevel="0" collapsed="false">
      <c r="A1333" s="3" t="n">
        <v>46221</v>
      </c>
      <c r="B1333" s="4" t="s">
        <v>1237</v>
      </c>
      <c r="C1333" s="4" t="n">
        <v>10</v>
      </c>
      <c r="D1333" s="4" t="n">
        <v>1</v>
      </c>
      <c r="E1333" s="4" t="s">
        <v>1349</v>
      </c>
      <c r="F1333" s="4" t="n">
        <v>20</v>
      </c>
      <c r="G1333" s="4" t="n">
        <v>6</v>
      </c>
      <c r="H1333" s="4" t="n">
        <v>4</v>
      </c>
      <c r="I1333" s="4" t="str">
        <v>×</v>
      </c>
      <c r="J1333" s="4"/>
      <c r="K1333" s="4"/>
      <c r="L1333" s="4"/>
      <c r="M1333" s="5" t="s">
        <v>917</v>
      </c>
    </row>
    <row r="1334" customFormat="false" ht="15.75" hidden="false" customHeight="false" outlineLevel="0" collapsed="false">
      <c r="A1334" s="3" t="n">
        <v>46221</v>
      </c>
      <c r="B1334" s="4" t="s">
        <v>1237</v>
      </c>
      <c r="C1334" s="4" t="n">
        <v>10</v>
      </c>
      <c r="D1334" s="4" t="n">
        <v>2</v>
      </c>
      <c r="E1334" s="4" t="s">
        <v>1350</v>
      </c>
      <c r="F1334" s="4" t="n">
        <v>6</v>
      </c>
      <c r="G1334" s="4" t="n">
        <v>8</v>
      </c>
      <c r="H1334" s="4" t="n">
        <v>4</v>
      </c>
      <c r="I1334" s="4" t="str">
        <v>×</v>
      </c>
      <c r="J1334" s="4"/>
      <c r="K1334" s="4"/>
      <c r="L1334" s="4"/>
      <c r="M1334" s="5" t="s">
        <v>917</v>
      </c>
    </row>
    <row r="1335" customFormat="false" ht="15.75" hidden="false" customHeight="false" outlineLevel="0" collapsed="false">
      <c r="A1335" s="3" t="n">
        <v>46221</v>
      </c>
      <c r="B1335" s="4" t="s">
        <v>1237</v>
      </c>
      <c r="C1335" s="4" t="n">
        <v>10</v>
      </c>
      <c r="D1335" s="4" t="n">
        <v>3</v>
      </c>
      <c r="E1335" s="4" t="s">
        <v>1351</v>
      </c>
      <c r="F1335" s="4" t="n">
        <v>1</v>
      </c>
      <c r="G1335" s="4" t="n">
        <v>9</v>
      </c>
      <c r="H1335" s="4" t="n">
        <v>4</v>
      </c>
      <c r="I1335" s="4" t="str">
        <v>×</v>
      </c>
      <c r="J1335" s="4"/>
      <c r="K1335" s="4"/>
      <c r="L1335" s="4"/>
      <c r="M1335" s="5" t="s">
        <v>917</v>
      </c>
    </row>
    <row r="1336" customFormat="false" ht="15.75" hidden="false" customHeight="false" outlineLevel="0" collapsed="false">
      <c r="A1336" s="3" t="n">
        <v>46221</v>
      </c>
      <c r="B1336" s="4" t="s">
        <v>1237</v>
      </c>
      <c r="C1336" s="4" t="n">
        <v>10</v>
      </c>
      <c r="D1336" s="4" t="n">
        <v>4</v>
      </c>
      <c r="E1336" s="4" t="s">
        <v>1352</v>
      </c>
      <c r="F1336" s="4" t="n">
        <v>67</v>
      </c>
      <c r="G1336" s="4" t="n">
        <v>1</v>
      </c>
      <c r="H1336" s="4" t="n">
        <v>2</v>
      </c>
      <c r="I1336" s="4" t="str">
        <v>○</v>
      </c>
      <c r="J1336" s="4" t="n">
        <v>110</v>
      </c>
      <c r="K1336" s="4"/>
      <c r="L1336" s="4"/>
      <c r="M1336" s="5" t="s">
        <v>917</v>
      </c>
    </row>
    <row r="1337" customFormat="false" ht="15.75" hidden="false" customHeight="false" outlineLevel="0" collapsed="false">
      <c r="A1337" s="3" t="n">
        <v>46221</v>
      </c>
      <c r="B1337" s="4" t="s">
        <v>1237</v>
      </c>
      <c r="C1337" s="4" t="n">
        <v>10</v>
      </c>
      <c r="D1337" s="4" t="n">
        <v>5</v>
      </c>
      <c r="E1337" s="4" t="s">
        <v>1353</v>
      </c>
      <c r="F1337" s="4" t="n">
        <v>47</v>
      </c>
      <c r="G1337" s="4" t="n">
        <v>2</v>
      </c>
      <c r="H1337" s="4" t="n">
        <v>3</v>
      </c>
      <c r="I1337" s="4" t="str">
        <v>○</v>
      </c>
      <c r="J1337" s="4" t="n">
        <v>140</v>
      </c>
      <c r="K1337" s="4"/>
      <c r="L1337" s="4"/>
      <c r="M1337" s="5" t="s">
        <v>917</v>
      </c>
    </row>
    <row r="1338" customFormat="false" ht="15.75" hidden="false" customHeight="false" outlineLevel="0" collapsed="false">
      <c r="A1338" s="3" t="n">
        <v>46221</v>
      </c>
      <c r="B1338" s="4" t="s">
        <v>1237</v>
      </c>
      <c r="C1338" s="4" t="n">
        <v>10</v>
      </c>
      <c r="D1338" s="4" t="n">
        <v>6</v>
      </c>
      <c r="E1338" s="4" t="s">
        <v>1354</v>
      </c>
      <c r="F1338" s="4" t="n">
        <v>10</v>
      </c>
      <c r="G1338" s="4" t="n">
        <v>7</v>
      </c>
      <c r="H1338" s="4" t="n">
        <v>4</v>
      </c>
      <c r="I1338" s="4" t="str">
        <v>×</v>
      </c>
      <c r="J1338" s="4"/>
      <c r="K1338" s="4"/>
      <c r="L1338" s="4"/>
      <c r="M1338" s="5" t="s">
        <v>917</v>
      </c>
    </row>
    <row r="1339" customFormat="false" ht="15.75" hidden="false" customHeight="false" outlineLevel="0" collapsed="false">
      <c r="A1339" s="3" t="n">
        <v>46221</v>
      </c>
      <c r="B1339" s="4" t="s">
        <v>1237</v>
      </c>
      <c r="C1339" s="4" t="n">
        <v>10</v>
      </c>
      <c r="D1339" s="4" t="n">
        <v>7</v>
      </c>
      <c r="E1339" s="4" t="s">
        <v>1355</v>
      </c>
      <c r="F1339" s="4" t="n">
        <v>25</v>
      </c>
      <c r="G1339" s="4" t="n">
        <v>4</v>
      </c>
      <c r="H1339" s="4" t="n">
        <v>4</v>
      </c>
      <c r="I1339" s="4" t="str">
        <v>×</v>
      </c>
      <c r="J1339" s="4"/>
      <c r="K1339" s="4"/>
      <c r="L1339" s="4"/>
      <c r="M1339" s="5" t="s">
        <v>917</v>
      </c>
    </row>
    <row r="1340" customFormat="false" ht="15.75" hidden="false" customHeight="false" outlineLevel="0" collapsed="false">
      <c r="A1340" s="3" t="n">
        <v>46221</v>
      </c>
      <c r="B1340" s="4" t="s">
        <v>1237</v>
      </c>
      <c r="C1340" s="4" t="n">
        <v>10</v>
      </c>
      <c r="D1340" s="4" t="n">
        <v>8</v>
      </c>
      <c r="E1340" s="4" t="s">
        <v>1356</v>
      </c>
      <c r="F1340" s="4" t="n">
        <v>39</v>
      </c>
      <c r="G1340" s="4" t="n">
        <v>3</v>
      </c>
      <c r="H1340" s="4" t="n">
        <v>4</v>
      </c>
      <c r="I1340" s="4" t="str">
        <v>×</v>
      </c>
      <c r="J1340" s="4"/>
      <c r="K1340" s="4"/>
      <c r="L1340" s="4"/>
      <c r="M1340" s="5" t="s">
        <v>917</v>
      </c>
    </row>
    <row r="1341" customFormat="false" ht="15.75" hidden="false" customHeight="false" outlineLevel="0" collapsed="false">
      <c r="A1341" s="3" t="n">
        <v>46221</v>
      </c>
      <c r="B1341" s="4" t="s">
        <v>1237</v>
      </c>
      <c r="C1341" s="4" t="n">
        <v>10</v>
      </c>
      <c r="D1341" s="4" t="n">
        <v>9</v>
      </c>
      <c r="E1341" s="4" t="s">
        <v>1357</v>
      </c>
      <c r="F1341" s="4" t="n">
        <v>23</v>
      </c>
      <c r="G1341" s="4" t="n">
        <v>5</v>
      </c>
      <c r="H1341" s="4" t="n">
        <v>4</v>
      </c>
      <c r="I1341" s="4" t="str">
        <v>×</v>
      </c>
      <c r="J1341" s="4"/>
      <c r="K1341" s="4"/>
      <c r="L1341" s="4"/>
      <c r="M1341" s="5" t="s">
        <v>917</v>
      </c>
    </row>
    <row r="1342" customFormat="false" ht="15.75" hidden="false" customHeight="false" outlineLevel="0" collapsed="false">
      <c r="A1342" s="3" t="n">
        <v>46221</v>
      </c>
      <c r="B1342" s="4" t="s">
        <v>1237</v>
      </c>
      <c r="C1342" s="4" t="n">
        <v>10</v>
      </c>
      <c r="D1342" s="4" t="n">
        <v>10</v>
      </c>
      <c r="E1342" s="4" t="s">
        <v>1358</v>
      </c>
      <c r="F1342" s="4" t="n">
        <v>47</v>
      </c>
      <c r="G1342" s="4" t="n">
        <v>2</v>
      </c>
      <c r="H1342" s="4" t="n">
        <v>1</v>
      </c>
      <c r="I1342" s="4" t="str">
        <v>○</v>
      </c>
      <c r="J1342" s="4" t="n">
        <v>160</v>
      </c>
      <c r="K1342" s="4"/>
      <c r="L1342" s="4"/>
      <c r="M1342" s="5" t="s">
        <v>917</v>
      </c>
    </row>
    <row r="1343" customFormat="false" ht="15.75" hidden="false" customHeight="false" outlineLevel="0" collapsed="false">
      <c r="A1343" s="3" t="n">
        <v>46221</v>
      </c>
      <c r="B1343" s="4" t="s">
        <v>1237</v>
      </c>
      <c r="C1343" s="4" t="n">
        <v>11</v>
      </c>
      <c r="D1343" s="4" t="n">
        <v>1</v>
      </c>
      <c r="E1343" s="4" t="s">
        <v>1359</v>
      </c>
      <c r="F1343" s="4" t="n">
        <v>20</v>
      </c>
      <c r="G1343" s="4" t="n">
        <v>6</v>
      </c>
      <c r="H1343" s="4" t="n">
        <v>4</v>
      </c>
      <c r="I1343" s="4" t="str">
        <v>×</v>
      </c>
      <c r="J1343" s="4"/>
      <c r="K1343" s="4"/>
      <c r="L1343" s="4"/>
      <c r="M1343" s="5" t="s">
        <v>917</v>
      </c>
    </row>
    <row r="1344" customFormat="false" ht="15.75" hidden="false" customHeight="false" outlineLevel="0" collapsed="false">
      <c r="A1344" s="3" t="n">
        <v>46221</v>
      </c>
      <c r="B1344" s="4" t="s">
        <v>1237</v>
      </c>
      <c r="C1344" s="4" t="n">
        <v>11</v>
      </c>
      <c r="D1344" s="4" t="n">
        <v>2</v>
      </c>
      <c r="E1344" s="4" t="s">
        <v>1360</v>
      </c>
      <c r="F1344" s="4" t="n">
        <v>20</v>
      </c>
      <c r="G1344" s="4" t="n">
        <v>6</v>
      </c>
      <c r="H1344" s="4" t="n">
        <v>4</v>
      </c>
      <c r="I1344" s="4" t="str">
        <v>×</v>
      </c>
      <c r="J1344" s="4"/>
      <c r="K1344" s="4"/>
      <c r="L1344" s="4"/>
      <c r="M1344" s="5" t="s">
        <v>917</v>
      </c>
    </row>
    <row r="1345" customFormat="false" ht="15.75" hidden="false" customHeight="false" outlineLevel="0" collapsed="false">
      <c r="A1345" s="3" t="n">
        <v>46221</v>
      </c>
      <c r="B1345" s="4" t="s">
        <v>1237</v>
      </c>
      <c r="C1345" s="4" t="n">
        <v>11</v>
      </c>
      <c r="D1345" s="4" t="n">
        <v>3</v>
      </c>
      <c r="E1345" s="4" t="s">
        <v>1361</v>
      </c>
      <c r="F1345" s="4" t="n">
        <v>17</v>
      </c>
      <c r="G1345" s="4" t="n">
        <v>7</v>
      </c>
      <c r="H1345" s="4" t="n">
        <v>4</v>
      </c>
      <c r="I1345" s="4" t="str">
        <v>×</v>
      </c>
      <c r="J1345" s="4"/>
      <c r="K1345" s="4"/>
      <c r="L1345" s="4"/>
      <c r="M1345" s="5" t="s">
        <v>917</v>
      </c>
    </row>
    <row r="1346" customFormat="false" ht="15.75" hidden="false" customHeight="false" outlineLevel="0" collapsed="false">
      <c r="A1346" s="3" t="n">
        <v>46221</v>
      </c>
      <c r="B1346" s="4" t="s">
        <v>1237</v>
      </c>
      <c r="C1346" s="4" t="n">
        <v>11</v>
      </c>
      <c r="D1346" s="4" t="n">
        <v>4</v>
      </c>
      <c r="E1346" s="4" t="s">
        <v>1362</v>
      </c>
      <c r="F1346" s="4" t="n">
        <v>15</v>
      </c>
      <c r="G1346" s="4" t="n">
        <v>8</v>
      </c>
      <c r="H1346" s="4" t="n">
        <v>4</v>
      </c>
      <c r="I1346" s="4" t="str">
        <v>×</v>
      </c>
      <c r="J1346" s="4"/>
      <c r="K1346" s="4"/>
      <c r="L1346" s="4"/>
      <c r="M1346" s="5" t="s">
        <v>917</v>
      </c>
    </row>
    <row r="1347" customFormat="false" ht="15.75" hidden="false" customHeight="false" outlineLevel="0" collapsed="false">
      <c r="A1347" s="3" t="n">
        <v>46221</v>
      </c>
      <c r="B1347" s="4" t="s">
        <v>1237</v>
      </c>
      <c r="C1347" s="4" t="n">
        <v>11</v>
      </c>
      <c r="D1347" s="4" t="n">
        <v>5</v>
      </c>
      <c r="E1347" s="4" t="s">
        <v>1363</v>
      </c>
      <c r="F1347" s="4" t="n">
        <v>37</v>
      </c>
      <c r="G1347" s="4" t="n">
        <v>5</v>
      </c>
      <c r="H1347" s="4" t="n">
        <v>4</v>
      </c>
      <c r="I1347" s="4" t="str">
        <v>×</v>
      </c>
      <c r="J1347" s="4"/>
      <c r="K1347" s="4"/>
      <c r="L1347" s="4"/>
      <c r="M1347" s="5" t="s">
        <v>917</v>
      </c>
    </row>
    <row r="1348" customFormat="false" ht="15.75" hidden="false" customHeight="false" outlineLevel="0" collapsed="false">
      <c r="A1348" s="3" t="n">
        <v>46221</v>
      </c>
      <c r="B1348" s="4" t="s">
        <v>1237</v>
      </c>
      <c r="C1348" s="4" t="n">
        <v>11</v>
      </c>
      <c r="D1348" s="4" t="n">
        <v>6</v>
      </c>
      <c r="E1348" s="4" t="s">
        <v>1364</v>
      </c>
      <c r="F1348" s="4" t="n">
        <v>15</v>
      </c>
      <c r="G1348" s="4" t="n">
        <v>8</v>
      </c>
      <c r="H1348" s="4" t="n">
        <v>4</v>
      </c>
      <c r="I1348" s="4" t="str">
        <v>×</v>
      </c>
      <c r="J1348" s="4"/>
      <c r="K1348" s="4"/>
      <c r="L1348" s="4"/>
      <c r="M1348" s="5" t="s">
        <v>917</v>
      </c>
    </row>
    <row r="1349" customFormat="false" ht="15.75" hidden="false" customHeight="false" outlineLevel="0" collapsed="false">
      <c r="A1349" s="3" t="n">
        <v>46221</v>
      </c>
      <c r="B1349" s="4" t="s">
        <v>1237</v>
      </c>
      <c r="C1349" s="4" t="n">
        <v>11</v>
      </c>
      <c r="D1349" s="4" t="n">
        <v>7</v>
      </c>
      <c r="E1349" s="4" t="s">
        <v>1365</v>
      </c>
      <c r="F1349" s="4" t="n">
        <v>41</v>
      </c>
      <c r="G1349" s="4" t="n">
        <v>3</v>
      </c>
      <c r="H1349" s="4" t="n">
        <v>4</v>
      </c>
      <c r="I1349" s="4" t="str">
        <v>×</v>
      </c>
      <c r="J1349" s="4"/>
      <c r="K1349" s="4"/>
      <c r="L1349" s="4"/>
      <c r="M1349" s="5" t="s">
        <v>917</v>
      </c>
    </row>
    <row r="1350" customFormat="false" ht="15.75" hidden="false" customHeight="false" outlineLevel="0" collapsed="false">
      <c r="A1350" s="3" t="n">
        <v>46221</v>
      </c>
      <c r="B1350" s="4" t="s">
        <v>1237</v>
      </c>
      <c r="C1350" s="4" t="n">
        <v>11</v>
      </c>
      <c r="D1350" s="4" t="n">
        <v>8</v>
      </c>
      <c r="E1350" s="4" t="s">
        <v>1366</v>
      </c>
      <c r="F1350" s="4" t="n">
        <v>17</v>
      </c>
      <c r="G1350" s="4" t="n">
        <v>7</v>
      </c>
      <c r="H1350" s="4" t="n">
        <v>4</v>
      </c>
      <c r="I1350" s="4" t="str">
        <v>×</v>
      </c>
      <c r="J1350" s="4"/>
      <c r="K1350" s="4"/>
      <c r="L1350" s="4"/>
      <c r="M1350" s="5" t="s">
        <v>917</v>
      </c>
    </row>
    <row r="1351" customFormat="false" ht="15.75" hidden="false" customHeight="false" outlineLevel="0" collapsed="false">
      <c r="A1351" s="3" t="n">
        <v>46221</v>
      </c>
      <c r="B1351" s="4" t="s">
        <v>1237</v>
      </c>
      <c r="C1351" s="4" t="n">
        <v>11</v>
      </c>
      <c r="D1351" s="4" t="n">
        <v>9</v>
      </c>
      <c r="E1351" s="4" t="s">
        <v>1367</v>
      </c>
      <c r="F1351" s="4" t="n">
        <v>3</v>
      </c>
      <c r="G1351" s="4" t="n">
        <v>9</v>
      </c>
      <c r="H1351" s="4" t="n">
        <v>4</v>
      </c>
      <c r="I1351" s="4" t="str">
        <v>×</v>
      </c>
      <c r="J1351" s="4"/>
      <c r="K1351" s="4"/>
      <c r="L1351" s="4"/>
      <c r="M1351" s="5" t="s">
        <v>917</v>
      </c>
    </row>
    <row r="1352" customFormat="false" ht="15.75" hidden="false" customHeight="false" outlineLevel="0" collapsed="false">
      <c r="A1352" s="3" t="n">
        <v>46221</v>
      </c>
      <c r="B1352" s="4" t="s">
        <v>1237</v>
      </c>
      <c r="C1352" s="4" t="n">
        <v>11</v>
      </c>
      <c r="D1352" s="4" t="n">
        <v>10</v>
      </c>
      <c r="E1352" s="4" t="s">
        <v>1368</v>
      </c>
      <c r="F1352" s="4" t="n">
        <v>47</v>
      </c>
      <c r="G1352" s="4" t="n">
        <v>1</v>
      </c>
      <c r="H1352" s="4" t="n">
        <v>1</v>
      </c>
      <c r="I1352" s="4" t="str">
        <v>○</v>
      </c>
      <c r="J1352" s="4" t="n">
        <v>150</v>
      </c>
      <c r="K1352" s="4"/>
      <c r="L1352" s="4"/>
      <c r="M1352" s="5" t="s">
        <v>917</v>
      </c>
    </row>
    <row r="1353" customFormat="false" ht="15.75" hidden="false" customHeight="false" outlineLevel="0" collapsed="false">
      <c r="A1353" s="3" t="n">
        <v>46221</v>
      </c>
      <c r="B1353" s="4" t="s">
        <v>1237</v>
      </c>
      <c r="C1353" s="4" t="n">
        <v>11</v>
      </c>
      <c r="D1353" s="4" t="n">
        <v>11</v>
      </c>
      <c r="E1353" s="4" t="s">
        <v>1369</v>
      </c>
      <c r="F1353" s="4" t="n">
        <v>39</v>
      </c>
      <c r="G1353" s="4" t="n">
        <v>4</v>
      </c>
      <c r="H1353" s="4" t="n">
        <v>3</v>
      </c>
      <c r="I1353" s="4" t="str">
        <v>○</v>
      </c>
      <c r="J1353" s="4" t="n">
        <v>180</v>
      </c>
      <c r="K1353" s="4"/>
      <c r="L1353" s="4"/>
      <c r="M1353" s="5" t="s">
        <v>917</v>
      </c>
    </row>
    <row r="1354" customFormat="false" ht="15.75" hidden="false" customHeight="false" outlineLevel="0" collapsed="false">
      <c r="A1354" s="3" t="n">
        <v>46221</v>
      </c>
      <c r="B1354" s="4" t="s">
        <v>1237</v>
      </c>
      <c r="C1354" s="4" t="n">
        <v>11</v>
      </c>
      <c r="D1354" s="4" t="n">
        <v>12</v>
      </c>
      <c r="E1354" s="4" t="s">
        <v>1370</v>
      </c>
      <c r="F1354" s="4" t="n">
        <v>44</v>
      </c>
      <c r="G1354" s="4" t="n">
        <v>2</v>
      </c>
      <c r="H1354" s="4" t="n">
        <v>2</v>
      </c>
      <c r="I1354" s="4" t="str">
        <v>○</v>
      </c>
      <c r="J1354" s="4" t="n">
        <v>200</v>
      </c>
      <c r="K1354" s="4"/>
      <c r="L1354" s="4"/>
      <c r="M1354" s="5" t="s">
        <v>917</v>
      </c>
    </row>
    <row r="1355" customFormat="false" ht="15.75" hidden="false" customHeight="false" outlineLevel="0" collapsed="false">
      <c r="A1355" s="3" t="n">
        <v>46221</v>
      </c>
      <c r="B1355" s="4" t="s">
        <v>1237</v>
      </c>
      <c r="C1355" s="4" t="n">
        <v>11</v>
      </c>
      <c r="D1355" s="4" t="n">
        <v>13</v>
      </c>
      <c r="E1355" s="4" t="s">
        <v>1371</v>
      </c>
      <c r="F1355" s="4" t="n">
        <v>15</v>
      </c>
      <c r="G1355" s="4" t="n">
        <v>8</v>
      </c>
      <c r="H1355" s="4" t="n">
        <v>4</v>
      </c>
      <c r="I1355" s="4" t="str">
        <v>×</v>
      </c>
      <c r="J1355" s="4"/>
      <c r="K1355" s="4"/>
      <c r="L1355" s="4"/>
      <c r="M1355" s="5" t="s">
        <v>917</v>
      </c>
    </row>
    <row r="1356" customFormat="false" ht="15.75" hidden="false" customHeight="false" outlineLevel="0" collapsed="false">
      <c r="A1356" s="3" t="n">
        <v>46221</v>
      </c>
      <c r="B1356" s="4" t="s">
        <v>1237</v>
      </c>
      <c r="C1356" s="4" t="n">
        <v>12</v>
      </c>
      <c r="D1356" s="4" t="n">
        <v>1</v>
      </c>
      <c r="E1356" s="4" t="s">
        <v>1372</v>
      </c>
      <c r="F1356" s="4" t="n">
        <v>47</v>
      </c>
      <c r="G1356" s="4" t="n">
        <v>1</v>
      </c>
      <c r="H1356" s="4" t="n">
        <v>1</v>
      </c>
      <c r="I1356" s="4" t="str">
        <v>○</v>
      </c>
      <c r="J1356" s="4" t="n">
        <v>250</v>
      </c>
      <c r="K1356" s="4"/>
      <c r="L1356" s="4"/>
      <c r="M1356" s="5" t="s">
        <v>917</v>
      </c>
    </row>
    <row r="1357" customFormat="false" ht="15.75" hidden="false" customHeight="false" outlineLevel="0" collapsed="false">
      <c r="A1357" s="3" t="n">
        <v>46221</v>
      </c>
      <c r="B1357" s="4" t="s">
        <v>1237</v>
      </c>
      <c r="C1357" s="4" t="n">
        <v>12</v>
      </c>
      <c r="D1357" s="4" t="n">
        <v>2</v>
      </c>
      <c r="E1357" s="4" t="s">
        <v>1373</v>
      </c>
      <c r="F1357" s="4" t="n">
        <v>23</v>
      </c>
      <c r="G1357" s="4" t="n">
        <v>5</v>
      </c>
      <c r="H1357" s="4" t="n">
        <v>4</v>
      </c>
      <c r="I1357" s="4" t="str">
        <v>×</v>
      </c>
      <c r="J1357" s="4"/>
      <c r="K1357" s="4"/>
      <c r="L1357" s="4"/>
      <c r="M1357" s="5" t="s">
        <v>917</v>
      </c>
    </row>
    <row r="1358" customFormat="false" ht="15.75" hidden="false" customHeight="false" outlineLevel="0" collapsed="false">
      <c r="A1358" s="3" t="n">
        <v>46221</v>
      </c>
      <c r="B1358" s="4" t="s">
        <v>1237</v>
      </c>
      <c r="C1358" s="4" t="n">
        <v>12</v>
      </c>
      <c r="D1358" s="4" t="n">
        <v>3</v>
      </c>
      <c r="E1358" s="4" t="s">
        <v>1374</v>
      </c>
      <c r="F1358" s="4" t="n">
        <v>44</v>
      </c>
      <c r="G1358" s="4" t="n">
        <v>2</v>
      </c>
      <c r="H1358" s="4" t="n">
        <v>2</v>
      </c>
      <c r="I1358" s="4" t="str">
        <v>○</v>
      </c>
      <c r="J1358" s="4" t="n">
        <v>190</v>
      </c>
      <c r="K1358" s="4"/>
      <c r="L1358" s="4"/>
      <c r="M1358" s="5" t="s">
        <v>917</v>
      </c>
    </row>
    <row r="1359" customFormat="false" ht="15.75" hidden="false" customHeight="false" outlineLevel="0" collapsed="false">
      <c r="A1359" s="3" t="n">
        <v>46221</v>
      </c>
      <c r="B1359" s="4" t="s">
        <v>1237</v>
      </c>
      <c r="C1359" s="4" t="n">
        <v>12</v>
      </c>
      <c r="D1359" s="4" t="n">
        <v>4</v>
      </c>
      <c r="E1359" s="4" t="s">
        <v>1375</v>
      </c>
      <c r="F1359" s="4" t="n">
        <v>23</v>
      </c>
      <c r="G1359" s="4" t="n">
        <v>5</v>
      </c>
      <c r="H1359" s="4" t="n">
        <v>4</v>
      </c>
      <c r="I1359" s="4" t="str">
        <v>×</v>
      </c>
      <c r="J1359" s="4"/>
      <c r="K1359" s="4"/>
      <c r="L1359" s="4"/>
      <c r="M1359" s="5" t="s">
        <v>917</v>
      </c>
    </row>
    <row r="1360" customFormat="false" ht="15.75" hidden="false" customHeight="false" outlineLevel="0" collapsed="false">
      <c r="A1360" s="3" t="n">
        <v>46221</v>
      </c>
      <c r="B1360" s="4" t="s">
        <v>1237</v>
      </c>
      <c r="C1360" s="4" t="n">
        <v>12</v>
      </c>
      <c r="D1360" s="4" t="n">
        <v>5</v>
      </c>
      <c r="E1360" s="4" t="s">
        <v>865</v>
      </c>
      <c r="F1360" s="4" t="n">
        <v>25</v>
      </c>
      <c r="G1360" s="4" t="n">
        <v>4</v>
      </c>
      <c r="H1360" s="4" t="n">
        <v>4</v>
      </c>
      <c r="I1360" s="4" t="str">
        <v>×</v>
      </c>
      <c r="J1360" s="4"/>
      <c r="K1360" s="4"/>
      <c r="L1360" s="4"/>
      <c r="M1360" s="5" t="s">
        <v>917</v>
      </c>
    </row>
    <row r="1361" customFormat="false" ht="15.75" hidden="false" customHeight="false" outlineLevel="0" collapsed="false">
      <c r="A1361" s="3" t="n">
        <v>46221</v>
      </c>
      <c r="B1361" s="4" t="s">
        <v>1237</v>
      </c>
      <c r="C1361" s="4" t="n">
        <v>12</v>
      </c>
      <c r="D1361" s="4" t="n">
        <v>6</v>
      </c>
      <c r="E1361" s="4" t="s">
        <v>1376</v>
      </c>
      <c r="F1361" s="4" t="n">
        <v>37</v>
      </c>
      <c r="G1361" s="4" t="n">
        <v>3</v>
      </c>
      <c r="H1361" s="4" t="n">
        <v>4</v>
      </c>
      <c r="I1361" s="4" t="str">
        <v>×</v>
      </c>
      <c r="J1361" s="4"/>
      <c r="K1361" s="4"/>
      <c r="L1361" s="4"/>
      <c r="M1361" s="5" t="s">
        <v>917</v>
      </c>
    </row>
    <row r="1362" customFormat="false" ht="15.75" hidden="false" customHeight="false" outlineLevel="0" collapsed="false">
      <c r="A1362" s="3" t="n">
        <v>46221</v>
      </c>
      <c r="B1362" s="4" t="s">
        <v>1237</v>
      </c>
      <c r="C1362" s="4" t="n">
        <v>12</v>
      </c>
      <c r="D1362" s="4" t="n">
        <v>7</v>
      </c>
      <c r="E1362" s="4" t="s">
        <v>1377</v>
      </c>
      <c r="F1362" s="4" t="n">
        <v>44</v>
      </c>
      <c r="G1362" s="4" t="n">
        <v>2</v>
      </c>
      <c r="H1362" s="4" t="n">
        <v>2</v>
      </c>
      <c r="I1362" s="4" t="str">
        <v>○</v>
      </c>
      <c r="J1362" s="4" t="n">
        <v>300</v>
      </c>
      <c r="K1362" s="4"/>
      <c r="L1362" s="4"/>
      <c r="M1362" s="5" t="s">
        <v>917</v>
      </c>
    </row>
    <row r="1363" customFormat="false" ht="15.75" hidden="false" customHeight="false" outlineLevel="0" collapsed="false">
      <c r="A1363" s="3" t="n">
        <v>46221</v>
      </c>
      <c r="B1363" s="4" t="s">
        <v>1237</v>
      </c>
      <c r="C1363" s="4" t="n">
        <v>12</v>
      </c>
      <c r="D1363" s="4" t="n">
        <v>8</v>
      </c>
      <c r="E1363" s="4" t="s">
        <v>1378</v>
      </c>
      <c r="F1363" s="4" t="n">
        <v>6</v>
      </c>
      <c r="G1363" s="4" t="n">
        <v>7</v>
      </c>
      <c r="H1363" s="4" t="n">
        <v>4</v>
      </c>
      <c r="I1363" s="4" t="str">
        <v>×</v>
      </c>
      <c r="J1363" s="4"/>
      <c r="K1363" s="4"/>
      <c r="L1363" s="4"/>
      <c r="M1363" s="5" t="s">
        <v>917</v>
      </c>
    </row>
    <row r="1364" customFormat="false" ht="15.75" hidden="false" customHeight="false" outlineLevel="0" collapsed="false">
      <c r="A1364" s="3" t="n">
        <v>46221</v>
      </c>
      <c r="B1364" s="4" t="s">
        <v>1237</v>
      </c>
      <c r="C1364" s="4" t="n">
        <v>12</v>
      </c>
      <c r="D1364" s="4" t="n">
        <v>9</v>
      </c>
      <c r="E1364" s="4" t="s">
        <v>1379</v>
      </c>
      <c r="F1364" s="4" t="n">
        <v>3</v>
      </c>
      <c r="G1364" s="4" t="n">
        <v>8</v>
      </c>
      <c r="H1364" s="4" t="n">
        <v>4</v>
      </c>
      <c r="I1364" s="4" t="str">
        <v>×</v>
      </c>
      <c r="J1364" s="4"/>
      <c r="K1364" s="4"/>
      <c r="L1364" s="4"/>
      <c r="M1364" s="5" t="s">
        <v>917</v>
      </c>
    </row>
    <row r="1365" customFormat="false" ht="15.75" hidden="false" customHeight="false" outlineLevel="0" collapsed="false">
      <c r="A1365" s="3" t="n">
        <v>46221</v>
      </c>
      <c r="B1365" s="4" t="s">
        <v>1237</v>
      </c>
      <c r="C1365" s="4" t="n">
        <v>12</v>
      </c>
      <c r="D1365" s="4" t="n">
        <v>10</v>
      </c>
      <c r="E1365" s="4" t="s">
        <v>399</v>
      </c>
      <c r="F1365" s="4" t="n">
        <v>37</v>
      </c>
      <c r="G1365" s="4" t="n">
        <v>3</v>
      </c>
      <c r="H1365" s="4" t="n">
        <v>4</v>
      </c>
      <c r="I1365" s="4" t="str">
        <v>×</v>
      </c>
      <c r="J1365" s="4"/>
      <c r="K1365" s="4"/>
      <c r="L1365" s="4"/>
      <c r="M1365" s="5" t="s">
        <v>917</v>
      </c>
    </row>
    <row r="1366" customFormat="false" ht="15.75" hidden="false" customHeight="false" outlineLevel="0" collapsed="false">
      <c r="A1366" s="3" t="n">
        <v>46221</v>
      </c>
      <c r="B1366" s="4" t="s">
        <v>1237</v>
      </c>
      <c r="C1366" s="4" t="n">
        <v>12</v>
      </c>
      <c r="D1366" s="4" t="n">
        <v>11</v>
      </c>
      <c r="E1366" s="4" t="s">
        <v>1380</v>
      </c>
      <c r="F1366" s="4" t="n">
        <v>6</v>
      </c>
      <c r="G1366" s="4" t="n">
        <v>7</v>
      </c>
      <c r="H1366" s="4" t="n">
        <v>4</v>
      </c>
      <c r="I1366" s="4" t="str">
        <v>×</v>
      </c>
      <c r="J1366" s="4"/>
      <c r="K1366" s="4"/>
      <c r="L1366" s="4"/>
      <c r="M1366" s="5" t="s">
        <v>917</v>
      </c>
    </row>
    <row r="1367" customFormat="false" ht="15.75" hidden="false" customHeight="false" outlineLevel="0" collapsed="false">
      <c r="A1367" s="3" t="n">
        <v>46221</v>
      </c>
      <c r="B1367" s="4" t="s">
        <v>1237</v>
      </c>
      <c r="C1367" s="4" t="n">
        <v>12</v>
      </c>
      <c r="D1367" s="4" t="n">
        <v>12</v>
      </c>
      <c r="E1367" s="4" t="s">
        <v>1381</v>
      </c>
      <c r="F1367" s="4" t="n">
        <v>10</v>
      </c>
      <c r="G1367" s="4" t="n">
        <v>6</v>
      </c>
      <c r="H1367" s="4" t="n">
        <v>4</v>
      </c>
      <c r="I1367" s="4" t="str">
        <v>×</v>
      </c>
      <c r="J1367" s="4"/>
      <c r="K1367" s="4"/>
      <c r="L1367" s="4"/>
      <c r="M1367" s="5" t="s">
        <v>917</v>
      </c>
    </row>
    <row r="1368" customFormat="false" ht="15.75" hidden="false" customHeight="false" outlineLevel="0" collapsed="false">
      <c r="A1368" s="3" t="n">
        <v>46222</v>
      </c>
      <c r="B1368" s="4" t="s">
        <v>915</v>
      </c>
      <c r="C1368" s="4" t="n">
        <v>1</v>
      </c>
      <c r="D1368" s="4" t="n">
        <v>1</v>
      </c>
      <c r="E1368" s="4" t="s">
        <v>1382</v>
      </c>
      <c r="F1368" s="4" t="n">
        <v>81</v>
      </c>
      <c r="G1368" s="4" t="n">
        <v>1</v>
      </c>
      <c r="H1368" s="4" t="n">
        <v>1</v>
      </c>
      <c r="I1368" s="4" t="str">
        <v>○</v>
      </c>
      <c r="J1368" s="4" t="n">
        <v>110</v>
      </c>
      <c r="K1368" s="4" t="n">
        <v>1</v>
      </c>
      <c r="L1368" s="4" t="n">
        <v>1.1</v>
      </c>
      <c r="M1368" s="5" t="s">
        <v>917</v>
      </c>
    </row>
    <row r="1369" customFormat="false" ht="15.75" hidden="false" customHeight="false" outlineLevel="0" collapsed="false">
      <c r="A1369" s="3" t="n">
        <v>46222</v>
      </c>
      <c r="B1369" s="4" t="s">
        <v>915</v>
      </c>
      <c r="C1369" s="4" t="n">
        <v>1</v>
      </c>
      <c r="D1369" s="4" t="n">
        <v>2</v>
      </c>
      <c r="E1369" s="4" t="s">
        <v>1383</v>
      </c>
      <c r="F1369" s="4" t="n">
        <v>17</v>
      </c>
      <c r="G1369" s="4" t="n">
        <v>4</v>
      </c>
      <c r="H1369" s="4" t="n">
        <v>4</v>
      </c>
      <c r="I1369" s="4" t="str">
        <v>×</v>
      </c>
      <c r="J1369" s="4"/>
      <c r="K1369" s="4"/>
      <c r="L1369" s="4"/>
      <c r="M1369" s="5" t="s">
        <v>917</v>
      </c>
    </row>
    <row r="1370" customFormat="false" ht="15.75" hidden="false" customHeight="false" outlineLevel="0" collapsed="false">
      <c r="A1370" s="3" t="n">
        <v>46222</v>
      </c>
      <c r="B1370" s="4" t="s">
        <v>915</v>
      </c>
      <c r="C1370" s="4" t="n">
        <v>1</v>
      </c>
      <c r="D1370" s="4" t="n">
        <v>3</v>
      </c>
      <c r="E1370" s="4" t="s">
        <v>1384</v>
      </c>
      <c r="F1370" s="4" t="n">
        <v>17</v>
      </c>
      <c r="G1370" s="4" t="n">
        <v>4</v>
      </c>
      <c r="H1370" s="4" t="n">
        <v>4</v>
      </c>
      <c r="I1370" s="4" t="str">
        <v>×</v>
      </c>
      <c r="J1370" s="4"/>
      <c r="K1370" s="4"/>
      <c r="L1370" s="4"/>
      <c r="M1370" s="5" t="s">
        <v>917</v>
      </c>
    </row>
    <row r="1371" customFormat="false" ht="15.75" hidden="false" customHeight="false" outlineLevel="0" collapsed="false">
      <c r="A1371" s="3" t="n">
        <v>46222</v>
      </c>
      <c r="B1371" s="4" t="s">
        <v>915</v>
      </c>
      <c r="C1371" s="4" t="n">
        <v>1</v>
      </c>
      <c r="D1371" s="4" t="n">
        <v>4</v>
      </c>
      <c r="E1371" s="4" t="s">
        <v>1385</v>
      </c>
      <c r="F1371" s="4" t="n">
        <v>8</v>
      </c>
      <c r="G1371" s="4" t="n">
        <v>6</v>
      </c>
      <c r="H1371" s="4" t="n">
        <v>4</v>
      </c>
      <c r="I1371" s="4" t="str">
        <v>×</v>
      </c>
      <c r="J1371" s="4"/>
      <c r="K1371" s="4"/>
      <c r="L1371" s="4"/>
      <c r="M1371" s="5" t="s">
        <v>917</v>
      </c>
    </row>
    <row r="1372" customFormat="false" ht="15.75" hidden="false" customHeight="false" outlineLevel="0" collapsed="false">
      <c r="A1372" s="3" t="n">
        <v>46222</v>
      </c>
      <c r="B1372" s="4" t="s">
        <v>915</v>
      </c>
      <c r="C1372" s="4" t="n">
        <v>1</v>
      </c>
      <c r="D1372" s="4" t="n">
        <v>5</v>
      </c>
      <c r="E1372" s="4" t="s">
        <v>1386</v>
      </c>
      <c r="F1372" s="4" t="n">
        <v>6</v>
      </c>
      <c r="G1372" s="4" t="n">
        <v>7</v>
      </c>
      <c r="H1372" s="4" t="n">
        <v>4</v>
      </c>
      <c r="I1372" s="4" t="str">
        <v>×</v>
      </c>
      <c r="J1372" s="4"/>
      <c r="K1372" s="4"/>
      <c r="L1372" s="4"/>
      <c r="M1372" s="5" t="s">
        <v>917</v>
      </c>
    </row>
    <row r="1373" customFormat="false" ht="15.75" hidden="false" customHeight="false" outlineLevel="0" collapsed="false">
      <c r="A1373" s="3" t="n">
        <v>46222</v>
      </c>
      <c r="B1373" s="4" t="s">
        <v>915</v>
      </c>
      <c r="C1373" s="4" t="n">
        <v>1</v>
      </c>
      <c r="D1373" s="4" t="n">
        <v>6</v>
      </c>
      <c r="E1373" s="4" t="s">
        <v>1387</v>
      </c>
      <c r="F1373" s="4" t="n">
        <v>25</v>
      </c>
      <c r="G1373" s="4" t="n">
        <v>3</v>
      </c>
      <c r="H1373" s="4" t="n">
        <v>2</v>
      </c>
      <c r="I1373" s="4" t="str">
        <v>○</v>
      </c>
      <c r="J1373" s="4" t="n">
        <v>180</v>
      </c>
      <c r="K1373" s="4"/>
      <c r="L1373" s="4"/>
      <c r="M1373" s="5" t="s">
        <v>917</v>
      </c>
    </row>
    <row r="1374" customFormat="false" ht="15.75" hidden="false" customHeight="false" outlineLevel="0" collapsed="false">
      <c r="A1374" s="3" t="n">
        <v>46222</v>
      </c>
      <c r="B1374" s="4" t="s">
        <v>915</v>
      </c>
      <c r="C1374" s="4" t="n">
        <v>1</v>
      </c>
      <c r="D1374" s="4" t="n">
        <v>7</v>
      </c>
      <c r="E1374" s="4" t="s">
        <v>1388</v>
      </c>
      <c r="F1374" s="4" t="n">
        <v>2</v>
      </c>
      <c r="G1374" s="4" t="n">
        <v>8</v>
      </c>
      <c r="H1374" s="4" t="n">
        <v>4</v>
      </c>
      <c r="I1374" s="4" t="str">
        <v>×</v>
      </c>
      <c r="J1374" s="4"/>
      <c r="K1374" s="4"/>
      <c r="L1374" s="4"/>
      <c r="M1374" s="5" t="s">
        <v>917</v>
      </c>
    </row>
    <row r="1375" customFormat="false" ht="15.75" hidden="false" customHeight="false" outlineLevel="0" collapsed="false">
      <c r="A1375" s="3" t="n">
        <v>46222</v>
      </c>
      <c r="B1375" s="4" t="s">
        <v>915</v>
      </c>
      <c r="C1375" s="4" t="n">
        <v>1</v>
      </c>
      <c r="D1375" s="4" t="n">
        <v>8</v>
      </c>
      <c r="E1375" s="4" t="s">
        <v>1389</v>
      </c>
      <c r="F1375" s="4" t="n">
        <v>15</v>
      </c>
      <c r="G1375" s="4" t="n">
        <v>5</v>
      </c>
      <c r="H1375" s="4" t="n">
        <v>4</v>
      </c>
      <c r="I1375" s="4" t="str">
        <v>×</v>
      </c>
      <c r="J1375" s="4"/>
      <c r="K1375" s="4"/>
      <c r="L1375" s="4"/>
      <c r="M1375" s="5" t="s">
        <v>917</v>
      </c>
    </row>
    <row r="1376" customFormat="false" ht="15.75" hidden="false" customHeight="false" outlineLevel="0" collapsed="false">
      <c r="A1376" s="3" t="n">
        <v>46222</v>
      </c>
      <c r="B1376" s="4" t="s">
        <v>915</v>
      </c>
      <c r="C1376" s="4" t="n">
        <v>1</v>
      </c>
      <c r="D1376" s="4" t="n">
        <v>9</v>
      </c>
      <c r="E1376" s="4" t="s">
        <v>1390</v>
      </c>
      <c r="F1376" s="4" t="n">
        <v>6</v>
      </c>
      <c r="G1376" s="4" t="n">
        <v>7</v>
      </c>
      <c r="H1376" s="4" t="n">
        <v>4</v>
      </c>
      <c r="I1376" s="4" t="str">
        <v>×</v>
      </c>
      <c r="J1376" s="4"/>
      <c r="K1376" s="4"/>
      <c r="L1376" s="4"/>
      <c r="M1376" s="5" t="s">
        <v>917</v>
      </c>
    </row>
    <row r="1377" customFormat="false" ht="15.75" hidden="false" customHeight="false" outlineLevel="0" collapsed="false">
      <c r="A1377" s="3" t="n">
        <v>46222</v>
      </c>
      <c r="B1377" s="4" t="s">
        <v>915</v>
      </c>
      <c r="C1377" s="4" t="n">
        <v>1</v>
      </c>
      <c r="D1377" s="4" t="n">
        <v>10</v>
      </c>
      <c r="E1377" s="4" t="s">
        <v>1391</v>
      </c>
      <c r="F1377" s="4" t="n">
        <v>75</v>
      </c>
      <c r="G1377" s="4" t="n">
        <v>2</v>
      </c>
      <c r="H1377" s="4" t="n">
        <v>3</v>
      </c>
      <c r="I1377" s="4" t="str">
        <v>○</v>
      </c>
      <c r="J1377" s="4" t="n">
        <v>110</v>
      </c>
      <c r="K1377" s="4"/>
      <c r="L1377" s="4"/>
      <c r="M1377" s="5" t="s">
        <v>917</v>
      </c>
    </row>
    <row r="1378" customFormat="false" ht="15.75" hidden="false" customHeight="false" outlineLevel="0" collapsed="false">
      <c r="A1378" s="3" t="n">
        <v>46222</v>
      </c>
      <c r="B1378" s="4" t="s">
        <v>915</v>
      </c>
      <c r="C1378" s="4" t="n">
        <v>2</v>
      </c>
      <c r="D1378" s="4" t="n">
        <v>1</v>
      </c>
      <c r="E1378" s="4" t="s">
        <v>1392</v>
      </c>
      <c r="F1378" s="4" t="n">
        <v>6</v>
      </c>
      <c r="G1378" s="4" t="n">
        <v>8</v>
      </c>
      <c r="H1378" s="4" t="n">
        <v>4</v>
      </c>
      <c r="I1378" s="4" t="str">
        <v>×</v>
      </c>
      <c r="J1378" s="4"/>
      <c r="K1378" s="4"/>
      <c r="L1378" s="4"/>
      <c r="M1378" s="5" t="s">
        <v>917</v>
      </c>
    </row>
    <row r="1379" customFormat="false" ht="15.75" hidden="false" customHeight="false" outlineLevel="0" collapsed="false">
      <c r="A1379" s="3" t="n">
        <v>46222</v>
      </c>
      <c r="B1379" s="4" t="s">
        <v>915</v>
      </c>
      <c r="C1379" s="4" t="n">
        <v>2</v>
      </c>
      <c r="D1379" s="4" t="n">
        <v>2</v>
      </c>
      <c r="E1379" s="4" t="s">
        <v>1393</v>
      </c>
      <c r="F1379" s="4" t="n">
        <v>44</v>
      </c>
      <c r="G1379" s="4" t="n">
        <v>2</v>
      </c>
      <c r="H1379" s="4" t="n">
        <v>4</v>
      </c>
      <c r="I1379" s="4" t="str">
        <v>×</v>
      </c>
      <c r="J1379" s="4"/>
      <c r="K1379" s="4"/>
      <c r="L1379" s="4"/>
      <c r="M1379" s="5" t="s">
        <v>917</v>
      </c>
    </row>
    <row r="1380" customFormat="false" ht="15.75" hidden="false" customHeight="false" outlineLevel="0" collapsed="false">
      <c r="A1380" s="3" t="n">
        <v>46222</v>
      </c>
      <c r="B1380" s="4" t="s">
        <v>915</v>
      </c>
      <c r="C1380" s="4" t="n">
        <v>2</v>
      </c>
      <c r="D1380" s="4" t="n">
        <v>3</v>
      </c>
      <c r="E1380" s="4" t="s">
        <v>1394</v>
      </c>
      <c r="F1380" s="4" t="n">
        <v>6</v>
      </c>
      <c r="G1380" s="4" t="n">
        <v>8</v>
      </c>
      <c r="H1380" s="4" t="n">
        <v>4</v>
      </c>
      <c r="I1380" s="4" t="str">
        <v>×</v>
      </c>
      <c r="J1380" s="4"/>
      <c r="K1380" s="4"/>
      <c r="L1380" s="4"/>
      <c r="M1380" s="5" t="s">
        <v>917</v>
      </c>
    </row>
    <row r="1381" customFormat="false" ht="15.75" hidden="false" customHeight="false" outlineLevel="0" collapsed="false">
      <c r="A1381" s="3" t="n">
        <v>46222</v>
      </c>
      <c r="B1381" s="4" t="s">
        <v>915</v>
      </c>
      <c r="C1381" s="4" t="n">
        <v>2</v>
      </c>
      <c r="D1381" s="4" t="n">
        <v>4</v>
      </c>
      <c r="E1381" s="4" t="s">
        <v>1395</v>
      </c>
      <c r="F1381" s="4" t="n">
        <v>3</v>
      </c>
      <c r="G1381" s="4" t="n">
        <v>10</v>
      </c>
      <c r="H1381" s="4" t="n">
        <v>4</v>
      </c>
      <c r="I1381" s="4" t="str">
        <v>×</v>
      </c>
      <c r="J1381" s="4"/>
      <c r="K1381" s="4"/>
      <c r="L1381" s="4"/>
      <c r="M1381" s="5" t="s">
        <v>917</v>
      </c>
    </row>
    <row r="1382" customFormat="false" ht="15.75" hidden="false" customHeight="false" outlineLevel="0" collapsed="false">
      <c r="A1382" s="3" t="n">
        <v>46222</v>
      </c>
      <c r="B1382" s="4" t="s">
        <v>915</v>
      </c>
      <c r="C1382" s="4" t="n">
        <v>2</v>
      </c>
      <c r="D1382" s="4" t="n">
        <v>5</v>
      </c>
      <c r="E1382" s="4" t="s">
        <v>1396</v>
      </c>
      <c r="F1382" s="4" t="n">
        <v>20</v>
      </c>
      <c r="G1382" s="4" t="n">
        <v>6</v>
      </c>
      <c r="H1382" s="4" t="n">
        <v>4</v>
      </c>
      <c r="I1382" s="4" t="str">
        <v>×</v>
      </c>
      <c r="J1382" s="4"/>
      <c r="K1382" s="4"/>
      <c r="L1382" s="4"/>
      <c r="M1382" s="5" t="s">
        <v>917</v>
      </c>
    </row>
    <row r="1383" customFormat="false" ht="15.75" hidden="false" customHeight="false" outlineLevel="0" collapsed="false">
      <c r="A1383" s="3" t="n">
        <v>46222</v>
      </c>
      <c r="B1383" s="4" t="s">
        <v>915</v>
      </c>
      <c r="C1383" s="4" t="n">
        <v>2</v>
      </c>
      <c r="D1383" s="4" t="n">
        <v>6</v>
      </c>
      <c r="E1383" s="4" t="s">
        <v>1397</v>
      </c>
      <c r="F1383" s="4" t="n">
        <v>13</v>
      </c>
      <c r="G1383" s="4" t="n">
        <v>7</v>
      </c>
      <c r="H1383" s="4" t="n">
        <v>4</v>
      </c>
      <c r="I1383" s="4" t="str">
        <v>×</v>
      </c>
      <c r="J1383" s="4"/>
      <c r="K1383" s="4"/>
      <c r="L1383" s="4"/>
      <c r="M1383" s="5" t="s">
        <v>917</v>
      </c>
    </row>
    <row r="1384" customFormat="false" ht="15.75" hidden="false" customHeight="false" outlineLevel="0" collapsed="false">
      <c r="A1384" s="3" t="n">
        <v>46222</v>
      </c>
      <c r="B1384" s="4" t="s">
        <v>915</v>
      </c>
      <c r="C1384" s="4" t="n">
        <v>2</v>
      </c>
      <c r="D1384" s="4" t="n">
        <v>7</v>
      </c>
      <c r="E1384" s="4" t="s">
        <v>1398</v>
      </c>
      <c r="F1384" s="4" t="n">
        <v>6</v>
      </c>
      <c r="G1384" s="4" t="n">
        <v>8</v>
      </c>
      <c r="H1384" s="4" t="n">
        <v>4</v>
      </c>
      <c r="I1384" s="4" t="str">
        <v>×</v>
      </c>
      <c r="J1384" s="4"/>
      <c r="K1384" s="4"/>
      <c r="L1384" s="4"/>
      <c r="M1384" s="5" t="s">
        <v>917</v>
      </c>
    </row>
    <row r="1385" customFormat="false" ht="15.75" hidden="false" customHeight="false" outlineLevel="0" collapsed="false">
      <c r="A1385" s="3" t="n">
        <v>46222</v>
      </c>
      <c r="B1385" s="4" t="s">
        <v>915</v>
      </c>
      <c r="C1385" s="4" t="n">
        <v>2</v>
      </c>
      <c r="D1385" s="4" t="n">
        <v>8</v>
      </c>
      <c r="E1385" s="4" t="s">
        <v>1399</v>
      </c>
      <c r="F1385" s="4" t="n">
        <v>29</v>
      </c>
      <c r="G1385" s="4" t="n">
        <v>5</v>
      </c>
      <c r="H1385" s="4" t="n">
        <v>4</v>
      </c>
      <c r="I1385" s="4" t="str">
        <v>×</v>
      </c>
      <c r="J1385" s="4"/>
      <c r="K1385" s="4"/>
      <c r="L1385" s="4"/>
      <c r="M1385" s="5" t="s">
        <v>917</v>
      </c>
    </row>
    <row r="1386" customFormat="false" ht="15.75" hidden="false" customHeight="false" outlineLevel="0" collapsed="false">
      <c r="A1386" s="3" t="n">
        <v>46222</v>
      </c>
      <c r="B1386" s="4" t="s">
        <v>915</v>
      </c>
      <c r="C1386" s="4" t="n">
        <v>2</v>
      </c>
      <c r="D1386" s="4" t="n">
        <v>9</v>
      </c>
      <c r="E1386" s="4" t="s">
        <v>1400</v>
      </c>
      <c r="F1386" s="4" t="n">
        <v>4</v>
      </c>
      <c r="G1386" s="4" t="n">
        <v>9</v>
      </c>
      <c r="H1386" s="4" t="n">
        <v>4</v>
      </c>
      <c r="I1386" s="4" t="str">
        <v>×</v>
      </c>
      <c r="J1386" s="4"/>
      <c r="K1386" s="4"/>
      <c r="L1386" s="4"/>
      <c r="M1386" s="5" t="s">
        <v>917</v>
      </c>
    </row>
    <row r="1387" customFormat="false" ht="15.75" hidden="false" customHeight="false" outlineLevel="0" collapsed="false">
      <c r="A1387" s="3" t="n">
        <v>46222</v>
      </c>
      <c r="B1387" s="4" t="s">
        <v>915</v>
      </c>
      <c r="C1387" s="4" t="n">
        <v>2</v>
      </c>
      <c r="D1387" s="4" t="n">
        <v>10</v>
      </c>
      <c r="E1387" s="4" t="s">
        <v>1401</v>
      </c>
      <c r="F1387" s="4" t="n">
        <v>3</v>
      </c>
      <c r="G1387" s="4" t="n">
        <v>10</v>
      </c>
      <c r="H1387" s="4" t="n">
        <v>4</v>
      </c>
      <c r="I1387" s="4" t="str">
        <v>×</v>
      </c>
      <c r="J1387" s="4"/>
      <c r="K1387" s="4"/>
      <c r="L1387" s="4"/>
      <c r="M1387" s="5" t="s">
        <v>917</v>
      </c>
    </row>
    <row r="1388" customFormat="false" ht="15.75" hidden="false" customHeight="false" outlineLevel="0" collapsed="false">
      <c r="A1388" s="3" t="n">
        <v>46222</v>
      </c>
      <c r="B1388" s="4" t="s">
        <v>915</v>
      </c>
      <c r="C1388" s="4" t="n">
        <v>2</v>
      </c>
      <c r="D1388" s="4" t="n">
        <v>11</v>
      </c>
      <c r="E1388" s="4" t="s">
        <v>1402</v>
      </c>
      <c r="F1388" s="4" t="n">
        <v>13</v>
      </c>
      <c r="G1388" s="4" t="n">
        <v>7</v>
      </c>
      <c r="H1388" s="4" t="n">
        <v>4</v>
      </c>
      <c r="I1388" s="4" t="str">
        <v>×</v>
      </c>
      <c r="J1388" s="4"/>
      <c r="K1388" s="4"/>
      <c r="L1388" s="4"/>
      <c r="M1388" s="5" t="s">
        <v>917</v>
      </c>
    </row>
    <row r="1389" customFormat="false" ht="15.75" hidden="false" customHeight="false" outlineLevel="0" collapsed="false">
      <c r="A1389" s="3" t="n">
        <v>46222</v>
      </c>
      <c r="B1389" s="4" t="s">
        <v>915</v>
      </c>
      <c r="C1389" s="4" t="n">
        <v>2</v>
      </c>
      <c r="D1389" s="4" t="n">
        <v>12</v>
      </c>
      <c r="E1389" s="4" t="s">
        <v>1403</v>
      </c>
      <c r="F1389" s="4" t="n">
        <v>2</v>
      </c>
      <c r="G1389" s="4" t="n">
        <v>11</v>
      </c>
      <c r="H1389" s="4" t="n">
        <v>4</v>
      </c>
      <c r="I1389" s="4" t="str">
        <v>×</v>
      </c>
      <c r="J1389" s="4"/>
      <c r="K1389" s="4"/>
      <c r="L1389" s="4"/>
      <c r="M1389" s="5" t="s">
        <v>917</v>
      </c>
    </row>
    <row r="1390" customFormat="false" ht="15.75" hidden="false" customHeight="false" outlineLevel="0" collapsed="false">
      <c r="A1390" s="3" t="n">
        <v>46222</v>
      </c>
      <c r="B1390" s="4" t="s">
        <v>915</v>
      </c>
      <c r="C1390" s="4" t="n">
        <v>2</v>
      </c>
      <c r="D1390" s="4" t="n">
        <v>13</v>
      </c>
      <c r="E1390" s="4" t="s">
        <v>1404</v>
      </c>
      <c r="F1390" s="4" t="n">
        <v>6</v>
      </c>
      <c r="G1390" s="4" t="n">
        <v>8</v>
      </c>
      <c r="H1390" s="4" t="n">
        <v>3</v>
      </c>
      <c r="I1390" s="4" t="str">
        <v>○</v>
      </c>
      <c r="J1390" s="4" t="n">
        <v>710</v>
      </c>
      <c r="K1390" s="4"/>
      <c r="L1390" s="4"/>
      <c r="M1390" s="5" t="s">
        <v>917</v>
      </c>
    </row>
    <row r="1391" customFormat="false" ht="15.75" hidden="false" customHeight="false" outlineLevel="0" collapsed="false">
      <c r="A1391" s="3" t="n">
        <v>46222</v>
      </c>
      <c r="B1391" s="4" t="s">
        <v>915</v>
      </c>
      <c r="C1391" s="4" t="n">
        <v>2</v>
      </c>
      <c r="D1391" s="4" t="n">
        <v>14</v>
      </c>
      <c r="E1391" s="4" t="s">
        <v>1405</v>
      </c>
      <c r="F1391" s="4" t="n">
        <v>39</v>
      </c>
      <c r="G1391" s="4" t="n">
        <v>3</v>
      </c>
      <c r="H1391" s="4" t="n">
        <v>4</v>
      </c>
      <c r="I1391" s="4" t="str">
        <v>×</v>
      </c>
      <c r="J1391" s="4"/>
      <c r="K1391" s="4"/>
      <c r="L1391" s="4"/>
      <c r="M1391" s="5" t="s">
        <v>917</v>
      </c>
    </row>
    <row r="1392" customFormat="false" ht="15.75" hidden="false" customHeight="false" outlineLevel="0" collapsed="false">
      <c r="A1392" s="3" t="n">
        <v>46222</v>
      </c>
      <c r="B1392" s="4" t="s">
        <v>915</v>
      </c>
      <c r="C1392" s="4" t="n">
        <v>2</v>
      </c>
      <c r="D1392" s="4" t="n">
        <v>15</v>
      </c>
      <c r="E1392" s="4" t="s">
        <v>1406</v>
      </c>
      <c r="F1392" s="4" t="n">
        <v>31</v>
      </c>
      <c r="G1392" s="4" t="n">
        <v>4</v>
      </c>
      <c r="H1392" s="4" t="n">
        <v>2</v>
      </c>
      <c r="I1392" s="4" t="str">
        <v>○</v>
      </c>
      <c r="J1392" s="4" t="n">
        <v>180</v>
      </c>
      <c r="K1392" s="4"/>
      <c r="L1392" s="4"/>
      <c r="M1392" s="5" t="s">
        <v>917</v>
      </c>
    </row>
    <row r="1393" customFormat="false" ht="15.75" hidden="false" customHeight="false" outlineLevel="0" collapsed="false">
      <c r="A1393" s="3" t="n">
        <v>46222</v>
      </c>
      <c r="B1393" s="4" t="s">
        <v>915</v>
      </c>
      <c r="C1393" s="4" t="n">
        <v>2</v>
      </c>
      <c r="D1393" s="4" t="n">
        <v>16</v>
      </c>
      <c r="E1393" s="4" t="s">
        <v>1407</v>
      </c>
      <c r="F1393" s="4" t="n">
        <v>60</v>
      </c>
      <c r="G1393" s="4" t="n">
        <v>1</v>
      </c>
      <c r="H1393" s="4" t="n">
        <v>1</v>
      </c>
      <c r="I1393" s="4" t="str">
        <v>○</v>
      </c>
      <c r="J1393" s="4" t="n">
        <v>170</v>
      </c>
      <c r="K1393" s="4"/>
      <c r="L1393" s="4"/>
      <c r="M1393" s="5" t="s">
        <v>917</v>
      </c>
    </row>
    <row r="1394" customFormat="false" ht="15.75" hidden="false" customHeight="false" outlineLevel="0" collapsed="false">
      <c r="A1394" s="3" t="n">
        <v>46222</v>
      </c>
      <c r="B1394" s="4" t="s">
        <v>915</v>
      </c>
      <c r="C1394" s="4" t="n">
        <v>3</v>
      </c>
      <c r="D1394" s="4" t="n">
        <v>1</v>
      </c>
      <c r="E1394" s="4" t="s">
        <v>626</v>
      </c>
      <c r="F1394" s="4" t="n">
        <v>1</v>
      </c>
      <c r="G1394" s="4" t="n">
        <v>13</v>
      </c>
      <c r="H1394" s="4" t="n">
        <v>4</v>
      </c>
      <c r="I1394" s="4" t="str">
        <v>×</v>
      </c>
      <c r="J1394" s="4"/>
      <c r="K1394" s="4"/>
      <c r="L1394" s="4"/>
      <c r="M1394" s="5" t="s">
        <v>917</v>
      </c>
    </row>
    <row r="1395" customFormat="false" ht="15.75" hidden="false" customHeight="false" outlineLevel="0" collapsed="false">
      <c r="A1395" s="3" t="n">
        <v>46222</v>
      </c>
      <c r="B1395" s="4" t="s">
        <v>915</v>
      </c>
      <c r="C1395" s="4" t="n">
        <v>3</v>
      </c>
      <c r="D1395" s="4" t="n">
        <v>2</v>
      </c>
      <c r="E1395" s="4" t="s">
        <v>1408</v>
      </c>
      <c r="F1395" s="4" t="n">
        <v>2</v>
      </c>
      <c r="G1395" s="4" t="n">
        <v>12</v>
      </c>
      <c r="H1395" s="4" t="n">
        <v>3</v>
      </c>
      <c r="I1395" s="4" t="str">
        <v>○</v>
      </c>
      <c r="J1395" s="4" t="n">
        <v>1760</v>
      </c>
      <c r="K1395" s="4"/>
      <c r="L1395" s="4"/>
      <c r="M1395" s="5" t="s">
        <v>917</v>
      </c>
    </row>
    <row r="1396" customFormat="false" ht="15.75" hidden="false" customHeight="false" outlineLevel="0" collapsed="false">
      <c r="A1396" s="3" t="n">
        <v>46222</v>
      </c>
      <c r="B1396" s="4" t="s">
        <v>915</v>
      </c>
      <c r="C1396" s="4" t="n">
        <v>3</v>
      </c>
      <c r="D1396" s="4" t="n">
        <v>3</v>
      </c>
      <c r="E1396" s="4" t="s">
        <v>1409</v>
      </c>
      <c r="F1396" s="4" t="n">
        <v>3</v>
      </c>
      <c r="G1396" s="4" t="n">
        <v>11</v>
      </c>
      <c r="H1396" s="4" t="n">
        <v>4</v>
      </c>
      <c r="I1396" s="4" t="str">
        <v>×</v>
      </c>
      <c r="J1396" s="4"/>
      <c r="K1396" s="4"/>
      <c r="L1396" s="4"/>
      <c r="M1396" s="5" t="s">
        <v>917</v>
      </c>
    </row>
    <row r="1397" customFormat="false" ht="15.75" hidden="false" customHeight="false" outlineLevel="0" collapsed="false">
      <c r="A1397" s="3" t="n">
        <v>46222</v>
      </c>
      <c r="B1397" s="4" t="s">
        <v>915</v>
      </c>
      <c r="C1397" s="4" t="n">
        <v>3</v>
      </c>
      <c r="D1397" s="4" t="n">
        <v>4</v>
      </c>
      <c r="E1397" s="4" t="s">
        <v>1410</v>
      </c>
      <c r="F1397" s="4" t="n">
        <v>25</v>
      </c>
      <c r="G1397" s="4" t="n">
        <v>4</v>
      </c>
      <c r="H1397" s="4" t="n">
        <v>4</v>
      </c>
      <c r="I1397" s="4" t="str">
        <v>×</v>
      </c>
      <c r="J1397" s="4"/>
      <c r="K1397" s="4"/>
      <c r="L1397" s="4"/>
      <c r="M1397" s="5" t="s">
        <v>917</v>
      </c>
    </row>
    <row r="1398" customFormat="false" ht="15.75" hidden="false" customHeight="false" outlineLevel="0" collapsed="false">
      <c r="A1398" s="3" t="n">
        <v>46222</v>
      </c>
      <c r="B1398" s="4" t="s">
        <v>915</v>
      </c>
      <c r="C1398" s="4" t="n">
        <v>3</v>
      </c>
      <c r="D1398" s="4" t="n">
        <v>5</v>
      </c>
      <c r="E1398" s="4" t="s">
        <v>1411</v>
      </c>
      <c r="F1398" s="4" t="n">
        <v>10</v>
      </c>
      <c r="G1398" s="4" t="n">
        <v>9</v>
      </c>
      <c r="H1398" s="4" t="n">
        <v>4</v>
      </c>
      <c r="I1398" s="4" t="str">
        <v>×</v>
      </c>
      <c r="J1398" s="4"/>
      <c r="K1398" s="4"/>
      <c r="L1398" s="4"/>
      <c r="M1398" s="5" t="s">
        <v>917</v>
      </c>
    </row>
    <row r="1399" customFormat="false" ht="15.75" hidden="false" customHeight="false" outlineLevel="0" collapsed="false">
      <c r="A1399" s="3" t="n">
        <v>46222</v>
      </c>
      <c r="B1399" s="4" t="s">
        <v>915</v>
      </c>
      <c r="C1399" s="4" t="n">
        <v>3</v>
      </c>
      <c r="D1399" s="4" t="n">
        <v>6</v>
      </c>
      <c r="E1399" s="4" t="s">
        <v>1412</v>
      </c>
      <c r="F1399" s="4" t="n">
        <v>41</v>
      </c>
      <c r="G1399" s="4" t="n">
        <v>2</v>
      </c>
      <c r="H1399" s="4" t="n">
        <v>4</v>
      </c>
      <c r="I1399" s="4" t="str">
        <v>×</v>
      </c>
      <c r="J1399" s="4"/>
      <c r="K1399" s="4"/>
      <c r="L1399" s="4"/>
      <c r="M1399" s="5" t="s">
        <v>917</v>
      </c>
    </row>
    <row r="1400" customFormat="false" ht="15.75" hidden="false" customHeight="false" outlineLevel="0" collapsed="false">
      <c r="A1400" s="3" t="n">
        <v>46222</v>
      </c>
      <c r="B1400" s="4" t="s">
        <v>915</v>
      </c>
      <c r="C1400" s="4" t="n">
        <v>3</v>
      </c>
      <c r="D1400" s="4" t="n">
        <v>7</v>
      </c>
      <c r="E1400" s="4" t="s">
        <v>625</v>
      </c>
      <c r="F1400" s="4" t="n">
        <v>10</v>
      </c>
      <c r="G1400" s="4" t="n">
        <v>9</v>
      </c>
      <c r="H1400" s="4" t="n">
        <v>4</v>
      </c>
      <c r="I1400" s="4" t="str">
        <v>×</v>
      </c>
      <c r="J1400" s="4"/>
      <c r="K1400" s="4"/>
      <c r="L1400" s="4"/>
      <c r="M1400" s="5" t="s">
        <v>917</v>
      </c>
    </row>
    <row r="1401" customFormat="false" ht="15.75" hidden="false" customHeight="false" outlineLevel="0" collapsed="false">
      <c r="A1401" s="3" t="n">
        <v>46222</v>
      </c>
      <c r="B1401" s="4" t="s">
        <v>915</v>
      </c>
      <c r="C1401" s="4" t="n">
        <v>3</v>
      </c>
      <c r="D1401" s="4" t="n">
        <v>8</v>
      </c>
      <c r="E1401" s="4" t="s">
        <v>1413</v>
      </c>
      <c r="F1401" s="4" t="n">
        <v>67</v>
      </c>
      <c r="G1401" s="4" t="n">
        <v>1</v>
      </c>
      <c r="H1401" s="4" t="n">
        <v>1</v>
      </c>
      <c r="I1401" s="4" t="str">
        <v>○</v>
      </c>
      <c r="J1401" s="4" t="n">
        <v>130</v>
      </c>
      <c r="K1401" s="4"/>
      <c r="L1401" s="4"/>
      <c r="M1401" s="5" t="s">
        <v>917</v>
      </c>
    </row>
    <row r="1402" customFormat="false" ht="15.75" hidden="false" customHeight="false" outlineLevel="0" collapsed="false">
      <c r="A1402" s="3" t="n">
        <v>46222</v>
      </c>
      <c r="B1402" s="4" t="s">
        <v>915</v>
      </c>
      <c r="C1402" s="4" t="n">
        <v>3</v>
      </c>
      <c r="D1402" s="4" t="n">
        <v>9</v>
      </c>
      <c r="E1402" s="4" t="s">
        <v>1414</v>
      </c>
      <c r="F1402" s="4" t="n">
        <v>20</v>
      </c>
      <c r="G1402" s="4" t="n">
        <v>6</v>
      </c>
      <c r="H1402" s="4" t="n">
        <v>4</v>
      </c>
      <c r="I1402" s="4" t="str">
        <v>×</v>
      </c>
      <c r="J1402" s="4"/>
      <c r="K1402" s="4"/>
      <c r="L1402" s="4"/>
      <c r="M1402" s="5" t="s">
        <v>917</v>
      </c>
    </row>
    <row r="1403" customFormat="false" ht="15.75" hidden="false" customHeight="false" outlineLevel="0" collapsed="false">
      <c r="A1403" s="3" t="n">
        <v>46222</v>
      </c>
      <c r="B1403" s="4" t="s">
        <v>915</v>
      </c>
      <c r="C1403" s="4" t="n">
        <v>3</v>
      </c>
      <c r="D1403" s="4" t="n">
        <v>10</v>
      </c>
      <c r="E1403" s="4" t="s">
        <v>1415</v>
      </c>
      <c r="F1403" s="4" t="n">
        <v>13</v>
      </c>
      <c r="G1403" s="4" t="n">
        <v>8</v>
      </c>
      <c r="H1403" s="4" t="n">
        <v>4</v>
      </c>
      <c r="I1403" s="4" t="str">
        <v>×</v>
      </c>
      <c r="J1403" s="4"/>
      <c r="K1403" s="4"/>
      <c r="L1403" s="4"/>
      <c r="M1403" s="5" t="s">
        <v>917</v>
      </c>
    </row>
    <row r="1404" customFormat="false" ht="15.75" hidden="false" customHeight="false" outlineLevel="0" collapsed="false">
      <c r="A1404" s="3" t="n">
        <v>46222</v>
      </c>
      <c r="B1404" s="4" t="s">
        <v>915</v>
      </c>
      <c r="C1404" s="4" t="n">
        <v>3</v>
      </c>
      <c r="D1404" s="4" t="n">
        <v>11</v>
      </c>
      <c r="E1404" s="4" t="s">
        <v>1416</v>
      </c>
      <c r="F1404" s="4" t="n">
        <v>1</v>
      </c>
      <c r="G1404" s="4" t="n">
        <v>13</v>
      </c>
      <c r="H1404" s="4" t="n">
        <v>4</v>
      </c>
      <c r="I1404" s="4" t="str">
        <v>×</v>
      </c>
      <c r="J1404" s="4"/>
      <c r="K1404" s="4"/>
      <c r="L1404" s="4"/>
      <c r="M1404" s="5" t="s">
        <v>917</v>
      </c>
    </row>
    <row r="1405" customFormat="false" ht="15.75" hidden="false" customHeight="false" outlineLevel="0" collapsed="false">
      <c r="A1405" s="3" t="n">
        <v>46222</v>
      </c>
      <c r="B1405" s="4" t="s">
        <v>915</v>
      </c>
      <c r="C1405" s="4" t="n">
        <v>3</v>
      </c>
      <c r="D1405" s="4" t="n">
        <v>12</v>
      </c>
      <c r="E1405" s="4" t="s">
        <v>1417</v>
      </c>
      <c r="F1405" s="4" t="n">
        <v>4</v>
      </c>
      <c r="G1405" s="4" t="n">
        <v>10</v>
      </c>
      <c r="H1405" s="4" t="n">
        <v>4</v>
      </c>
      <c r="I1405" s="4" t="str">
        <v>×</v>
      </c>
      <c r="J1405" s="4"/>
      <c r="K1405" s="4"/>
      <c r="L1405" s="4"/>
      <c r="M1405" s="5" t="s">
        <v>917</v>
      </c>
    </row>
    <row r="1406" customFormat="false" ht="15.75" hidden="false" customHeight="false" outlineLevel="0" collapsed="false">
      <c r="A1406" s="3" t="n">
        <v>46222</v>
      </c>
      <c r="B1406" s="4" t="s">
        <v>915</v>
      </c>
      <c r="C1406" s="4" t="n">
        <v>3</v>
      </c>
      <c r="D1406" s="4" t="n">
        <v>13</v>
      </c>
      <c r="E1406" s="4" t="s">
        <v>1418</v>
      </c>
      <c r="F1406" s="4" t="n">
        <v>23</v>
      </c>
      <c r="G1406" s="4" t="n">
        <v>5</v>
      </c>
      <c r="H1406" s="4" t="n">
        <v>2</v>
      </c>
      <c r="I1406" s="4" t="str">
        <v>○</v>
      </c>
      <c r="J1406" s="4" t="n">
        <v>250</v>
      </c>
      <c r="K1406" s="4"/>
      <c r="L1406" s="4"/>
      <c r="M1406" s="5" t="s">
        <v>917</v>
      </c>
    </row>
    <row r="1407" customFormat="false" ht="15.75" hidden="false" customHeight="false" outlineLevel="0" collapsed="false">
      <c r="A1407" s="3" t="n">
        <v>46222</v>
      </c>
      <c r="B1407" s="4" t="s">
        <v>915</v>
      </c>
      <c r="C1407" s="4" t="n">
        <v>3</v>
      </c>
      <c r="D1407" s="4" t="n">
        <v>14</v>
      </c>
      <c r="E1407" s="4" t="s">
        <v>1419</v>
      </c>
      <c r="F1407" s="4" t="n">
        <v>39</v>
      </c>
      <c r="G1407" s="4" t="n">
        <v>3</v>
      </c>
      <c r="H1407" s="4" t="n">
        <v>4</v>
      </c>
      <c r="I1407" s="4" t="str">
        <v>×</v>
      </c>
      <c r="J1407" s="4"/>
      <c r="K1407" s="4"/>
      <c r="L1407" s="4"/>
      <c r="M1407" s="5" t="s">
        <v>917</v>
      </c>
    </row>
    <row r="1408" customFormat="false" ht="15.75" hidden="false" customHeight="false" outlineLevel="0" collapsed="false">
      <c r="A1408" s="3" t="n">
        <v>46222</v>
      </c>
      <c r="B1408" s="4" t="s">
        <v>915</v>
      </c>
      <c r="C1408" s="4" t="n">
        <v>3</v>
      </c>
      <c r="D1408" s="4" t="n">
        <v>15</v>
      </c>
      <c r="E1408" s="4" t="s">
        <v>1420</v>
      </c>
      <c r="F1408" s="4" t="n">
        <v>4</v>
      </c>
      <c r="G1408" s="4" t="n">
        <v>10</v>
      </c>
      <c r="H1408" s="4" t="n">
        <v>4</v>
      </c>
      <c r="I1408" s="4" t="str">
        <v>×</v>
      </c>
      <c r="J1408" s="4"/>
      <c r="K1408" s="4"/>
      <c r="L1408" s="4"/>
      <c r="M1408" s="5" t="s">
        <v>917</v>
      </c>
    </row>
    <row r="1409" customFormat="false" ht="15.75" hidden="false" customHeight="false" outlineLevel="0" collapsed="false">
      <c r="A1409" s="3" t="n">
        <v>46222</v>
      </c>
      <c r="B1409" s="4" t="s">
        <v>915</v>
      </c>
      <c r="C1409" s="4" t="n">
        <v>3</v>
      </c>
      <c r="D1409" s="4" t="n">
        <v>16</v>
      </c>
      <c r="E1409" s="4" t="s">
        <v>1421</v>
      </c>
      <c r="F1409" s="4" t="n">
        <v>17</v>
      </c>
      <c r="G1409" s="4" t="n">
        <v>7</v>
      </c>
      <c r="H1409" s="4" t="n">
        <v>4</v>
      </c>
      <c r="I1409" s="4" t="str">
        <v>×</v>
      </c>
      <c r="J1409" s="4"/>
      <c r="K1409" s="4"/>
      <c r="L1409" s="4"/>
      <c r="M1409" s="5" t="s">
        <v>917</v>
      </c>
    </row>
    <row r="1410" customFormat="false" ht="15.75" hidden="false" customHeight="false" outlineLevel="0" collapsed="false">
      <c r="A1410" s="3" t="n">
        <v>46222</v>
      </c>
      <c r="B1410" s="4" t="s">
        <v>915</v>
      </c>
      <c r="C1410" s="4" t="n">
        <v>4</v>
      </c>
      <c r="D1410" s="4" t="n">
        <v>1</v>
      </c>
      <c r="E1410" s="4" t="s">
        <v>1422</v>
      </c>
      <c r="F1410" s="4" t="n">
        <v>6</v>
      </c>
      <c r="G1410" s="4" t="n">
        <v>10</v>
      </c>
      <c r="H1410" s="4" t="n">
        <v>4</v>
      </c>
      <c r="I1410" s="4" t="str">
        <v>×</v>
      </c>
      <c r="J1410" s="4"/>
      <c r="K1410" s="4"/>
      <c r="L1410" s="4"/>
      <c r="M1410" s="5" t="s">
        <v>917</v>
      </c>
    </row>
    <row r="1411" customFormat="false" ht="15.75" hidden="false" customHeight="false" outlineLevel="0" collapsed="false">
      <c r="A1411" s="3" t="n">
        <v>46222</v>
      </c>
      <c r="B1411" s="4" t="s">
        <v>915</v>
      </c>
      <c r="C1411" s="4" t="n">
        <v>4</v>
      </c>
      <c r="D1411" s="4" t="n">
        <v>2</v>
      </c>
      <c r="E1411" s="4" t="s">
        <v>1423</v>
      </c>
      <c r="F1411" s="4" t="n">
        <v>29</v>
      </c>
      <c r="G1411" s="4" t="n">
        <v>4</v>
      </c>
      <c r="H1411" s="4" t="n">
        <v>1</v>
      </c>
      <c r="I1411" s="4" t="str">
        <v>○</v>
      </c>
      <c r="J1411" s="4" t="n">
        <v>250</v>
      </c>
      <c r="K1411" s="4"/>
      <c r="L1411" s="4"/>
      <c r="M1411" s="5" t="s">
        <v>917</v>
      </c>
    </row>
    <row r="1412" customFormat="false" ht="15.75" hidden="false" customHeight="false" outlineLevel="0" collapsed="false">
      <c r="A1412" s="3" t="n">
        <v>46222</v>
      </c>
      <c r="B1412" s="4" t="s">
        <v>915</v>
      </c>
      <c r="C1412" s="4" t="n">
        <v>4</v>
      </c>
      <c r="D1412" s="4" t="n">
        <v>3</v>
      </c>
      <c r="E1412" s="4" t="s">
        <v>1424</v>
      </c>
      <c r="F1412" s="4" t="n">
        <v>65</v>
      </c>
      <c r="G1412" s="4" t="n">
        <v>1</v>
      </c>
      <c r="H1412" s="4" t="n">
        <v>4</v>
      </c>
      <c r="I1412" s="4" t="str">
        <v>×</v>
      </c>
      <c r="J1412" s="4"/>
      <c r="K1412" s="4"/>
      <c r="L1412" s="4"/>
      <c r="M1412" s="5" t="s">
        <v>917</v>
      </c>
    </row>
    <row r="1413" customFormat="false" ht="15.75" hidden="false" customHeight="false" outlineLevel="0" collapsed="false">
      <c r="A1413" s="3" t="n">
        <v>46222</v>
      </c>
      <c r="B1413" s="4" t="s">
        <v>915</v>
      </c>
      <c r="C1413" s="4" t="n">
        <v>4</v>
      </c>
      <c r="D1413" s="4" t="n">
        <v>4</v>
      </c>
      <c r="E1413" s="4" t="s">
        <v>1425</v>
      </c>
      <c r="F1413" s="4" t="n">
        <v>13</v>
      </c>
      <c r="G1413" s="4" t="n">
        <v>7</v>
      </c>
      <c r="H1413" s="4" t="n">
        <v>4</v>
      </c>
      <c r="I1413" s="4" t="str">
        <v>×</v>
      </c>
      <c r="J1413" s="4"/>
      <c r="K1413" s="4"/>
      <c r="L1413" s="4"/>
      <c r="M1413" s="5" t="s">
        <v>917</v>
      </c>
    </row>
    <row r="1414" customFormat="false" ht="15.75" hidden="false" customHeight="false" outlineLevel="0" collapsed="false">
      <c r="A1414" s="3" t="n">
        <v>46222</v>
      </c>
      <c r="B1414" s="4" t="s">
        <v>915</v>
      </c>
      <c r="C1414" s="4" t="n">
        <v>4</v>
      </c>
      <c r="D1414" s="4" t="n">
        <v>5</v>
      </c>
      <c r="E1414" s="4" t="s">
        <v>1426</v>
      </c>
      <c r="F1414" s="4" t="n">
        <v>47</v>
      </c>
      <c r="G1414" s="4" t="n">
        <v>3</v>
      </c>
      <c r="H1414" s="4" t="n">
        <v>2</v>
      </c>
      <c r="I1414" s="4" t="str">
        <v>○</v>
      </c>
      <c r="J1414" s="4" t="n">
        <v>190</v>
      </c>
      <c r="K1414" s="4"/>
      <c r="L1414" s="4"/>
      <c r="M1414" s="5" t="s">
        <v>917</v>
      </c>
    </row>
    <row r="1415" customFormat="false" ht="15.75" hidden="false" customHeight="false" outlineLevel="0" collapsed="false">
      <c r="A1415" s="3" t="n">
        <v>46222</v>
      </c>
      <c r="B1415" s="4" t="s">
        <v>915</v>
      </c>
      <c r="C1415" s="4" t="n">
        <v>4</v>
      </c>
      <c r="D1415" s="4" t="n">
        <v>6</v>
      </c>
      <c r="E1415" s="4" t="s">
        <v>1427</v>
      </c>
      <c r="F1415" s="4" t="n">
        <v>10</v>
      </c>
      <c r="G1415" s="4" t="n">
        <v>8</v>
      </c>
      <c r="H1415" s="4" t="n">
        <v>4</v>
      </c>
      <c r="I1415" s="4" t="str">
        <v>×</v>
      </c>
      <c r="J1415" s="4"/>
      <c r="K1415" s="4"/>
      <c r="L1415" s="4"/>
      <c r="M1415" s="5" t="s">
        <v>917</v>
      </c>
    </row>
    <row r="1416" customFormat="false" ht="15.75" hidden="false" customHeight="false" outlineLevel="0" collapsed="false">
      <c r="A1416" s="3" t="n">
        <v>46222</v>
      </c>
      <c r="B1416" s="4" t="s">
        <v>915</v>
      </c>
      <c r="C1416" s="4" t="n">
        <v>4</v>
      </c>
      <c r="D1416" s="4" t="n">
        <v>7</v>
      </c>
      <c r="E1416" s="4" t="s">
        <v>1428</v>
      </c>
      <c r="F1416" s="4" t="n">
        <v>20</v>
      </c>
      <c r="G1416" s="4" t="n">
        <v>5</v>
      </c>
      <c r="H1416" s="4" t="n">
        <v>4</v>
      </c>
      <c r="I1416" s="4" t="str">
        <v>×</v>
      </c>
      <c r="J1416" s="4"/>
      <c r="K1416" s="4"/>
      <c r="L1416" s="4"/>
      <c r="M1416" s="5" t="s">
        <v>917</v>
      </c>
    </row>
    <row r="1417" customFormat="false" ht="15.75" hidden="false" customHeight="false" outlineLevel="0" collapsed="false">
      <c r="A1417" s="3" t="n">
        <v>46222</v>
      </c>
      <c r="B1417" s="4" t="s">
        <v>915</v>
      </c>
      <c r="C1417" s="4" t="n">
        <v>4</v>
      </c>
      <c r="D1417" s="4" t="n">
        <v>8</v>
      </c>
      <c r="E1417" s="4" t="s">
        <v>1429</v>
      </c>
      <c r="F1417" s="4" t="n">
        <v>4</v>
      </c>
      <c r="G1417" s="4" t="n">
        <v>11</v>
      </c>
      <c r="H1417" s="4" t="n">
        <v>4</v>
      </c>
      <c r="I1417" s="4" t="str">
        <v>×</v>
      </c>
      <c r="J1417" s="4"/>
      <c r="K1417" s="4"/>
      <c r="L1417" s="4"/>
      <c r="M1417" s="5" t="s">
        <v>917</v>
      </c>
    </row>
    <row r="1418" customFormat="false" ht="15.75" hidden="false" customHeight="false" outlineLevel="0" collapsed="false">
      <c r="A1418" s="3" t="n">
        <v>46222</v>
      </c>
      <c r="B1418" s="4" t="s">
        <v>915</v>
      </c>
      <c r="C1418" s="4" t="n">
        <v>4</v>
      </c>
      <c r="D1418" s="4" t="n">
        <v>9</v>
      </c>
      <c r="E1418" s="4" t="s">
        <v>1430</v>
      </c>
      <c r="F1418" s="4" t="n">
        <v>58</v>
      </c>
      <c r="G1418" s="4" t="n">
        <v>2</v>
      </c>
      <c r="H1418" s="4" t="n">
        <v>3</v>
      </c>
      <c r="I1418" s="4" t="str">
        <v>○</v>
      </c>
      <c r="J1418" s="4" t="n">
        <v>220</v>
      </c>
      <c r="K1418" s="4"/>
      <c r="L1418" s="4"/>
      <c r="M1418" s="5" t="s">
        <v>917</v>
      </c>
    </row>
    <row r="1419" customFormat="false" ht="15.75" hidden="false" customHeight="false" outlineLevel="0" collapsed="false">
      <c r="A1419" s="3" t="n">
        <v>46222</v>
      </c>
      <c r="B1419" s="4" t="s">
        <v>915</v>
      </c>
      <c r="C1419" s="4" t="n">
        <v>4</v>
      </c>
      <c r="D1419" s="4" t="n">
        <v>10</v>
      </c>
      <c r="E1419" s="4" t="s">
        <v>1431</v>
      </c>
      <c r="F1419" s="4" t="n">
        <v>8</v>
      </c>
      <c r="G1419" s="4" t="n">
        <v>9</v>
      </c>
      <c r="H1419" s="4" t="n">
        <v>4</v>
      </c>
      <c r="I1419" s="4" t="str">
        <v>×</v>
      </c>
      <c r="J1419" s="4"/>
      <c r="K1419" s="4"/>
      <c r="L1419" s="4"/>
      <c r="M1419" s="5" t="s">
        <v>917</v>
      </c>
    </row>
    <row r="1420" customFormat="false" ht="15.75" hidden="false" customHeight="false" outlineLevel="0" collapsed="false">
      <c r="A1420" s="3" t="n">
        <v>46222</v>
      </c>
      <c r="B1420" s="4" t="s">
        <v>915</v>
      </c>
      <c r="C1420" s="4" t="n">
        <v>4</v>
      </c>
      <c r="D1420" s="4" t="n">
        <v>11</v>
      </c>
      <c r="E1420" s="4" t="s">
        <v>1432</v>
      </c>
      <c r="F1420" s="4" t="n">
        <v>4</v>
      </c>
      <c r="G1420" s="4" t="n">
        <v>11</v>
      </c>
      <c r="H1420" s="4" t="n">
        <v>4</v>
      </c>
      <c r="I1420" s="4" t="str">
        <v>×</v>
      </c>
      <c r="J1420" s="4"/>
      <c r="K1420" s="4"/>
      <c r="L1420" s="4"/>
      <c r="M1420" s="5" t="s">
        <v>917</v>
      </c>
    </row>
    <row r="1421" customFormat="false" ht="15.75" hidden="false" customHeight="false" outlineLevel="0" collapsed="false">
      <c r="A1421" s="3" t="n">
        <v>46222</v>
      </c>
      <c r="B1421" s="4" t="s">
        <v>915</v>
      </c>
      <c r="C1421" s="4" t="n">
        <v>4</v>
      </c>
      <c r="D1421" s="4" t="n">
        <v>12</v>
      </c>
      <c r="E1421" s="4" t="s">
        <v>1433</v>
      </c>
      <c r="F1421" s="4" t="n">
        <v>8</v>
      </c>
      <c r="G1421" s="4" t="n">
        <v>9</v>
      </c>
      <c r="H1421" s="4" t="n">
        <v>4</v>
      </c>
      <c r="I1421" s="4" t="str">
        <v>×</v>
      </c>
      <c r="J1421" s="4"/>
      <c r="K1421" s="4"/>
      <c r="L1421" s="4"/>
      <c r="M1421" s="5" t="s">
        <v>917</v>
      </c>
    </row>
    <row r="1422" customFormat="false" ht="15.75" hidden="false" customHeight="false" outlineLevel="0" collapsed="false">
      <c r="A1422" s="3" t="n">
        <v>46222</v>
      </c>
      <c r="B1422" s="4" t="s">
        <v>915</v>
      </c>
      <c r="C1422" s="4" t="n">
        <v>4</v>
      </c>
      <c r="D1422" s="4" t="n">
        <v>13</v>
      </c>
      <c r="E1422" s="4" t="s">
        <v>1434</v>
      </c>
      <c r="F1422" s="4" t="n">
        <v>17</v>
      </c>
      <c r="G1422" s="4" t="n">
        <v>6</v>
      </c>
      <c r="H1422" s="4" t="n">
        <v>4</v>
      </c>
      <c r="I1422" s="4" t="str">
        <v>×</v>
      </c>
      <c r="J1422" s="4"/>
      <c r="K1422" s="4"/>
      <c r="L1422" s="4"/>
      <c r="M1422" s="5" t="s">
        <v>917</v>
      </c>
    </row>
    <row r="1423" customFormat="false" ht="15.75" hidden="false" customHeight="false" outlineLevel="0" collapsed="false">
      <c r="A1423" s="3" t="n">
        <v>46222</v>
      </c>
      <c r="B1423" s="4" t="s">
        <v>915</v>
      </c>
      <c r="C1423" s="4" t="n">
        <v>4</v>
      </c>
      <c r="D1423" s="4" t="n">
        <v>14</v>
      </c>
      <c r="E1423" s="4" t="s">
        <v>1435</v>
      </c>
      <c r="F1423" s="4" t="n">
        <v>8</v>
      </c>
      <c r="G1423" s="4" t="n">
        <v>9</v>
      </c>
      <c r="H1423" s="4" t="n">
        <v>4</v>
      </c>
      <c r="I1423" s="4" t="str">
        <v>×</v>
      </c>
      <c r="J1423" s="4"/>
      <c r="K1423" s="4"/>
      <c r="L1423" s="4"/>
      <c r="M1423" s="5" t="s">
        <v>917</v>
      </c>
    </row>
    <row r="1424" customFormat="false" ht="15.75" hidden="false" customHeight="false" outlineLevel="0" collapsed="false">
      <c r="A1424" s="3" t="n">
        <v>46222</v>
      </c>
      <c r="B1424" s="4" t="s">
        <v>915</v>
      </c>
      <c r="C1424" s="4" t="n">
        <v>4</v>
      </c>
      <c r="D1424" s="4" t="n">
        <v>15</v>
      </c>
      <c r="E1424" s="4" t="s">
        <v>1436</v>
      </c>
      <c r="F1424" s="4" t="n">
        <v>10</v>
      </c>
      <c r="G1424" s="4" t="n">
        <v>8</v>
      </c>
      <c r="H1424" s="4" t="n">
        <v>4</v>
      </c>
      <c r="I1424" s="4" t="str">
        <v>×</v>
      </c>
      <c r="J1424" s="4"/>
      <c r="K1424" s="4"/>
      <c r="L1424" s="4"/>
      <c r="M1424" s="5" t="s">
        <v>917</v>
      </c>
    </row>
    <row r="1425" customFormat="false" ht="15.75" hidden="false" customHeight="false" outlineLevel="0" collapsed="false">
      <c r="A1425" s="3" t="n">
        <v>46222</v>
      </c>
      <c r="B1425" s="4" t="s">
        <v>915</v>
      </c>
      <c r="C1425" s="4" t="n">
        <v>5</v>
      </c>
      <c r="D1425" s="4" t="n">
        <v>1</v>
      </c>
      <c r="E1425" s="4" t="s">
        <v>1437</v>
      </c>
      <c r="F1425" s="4" t="n">
        <v>8</v>
      </c>
      <c r="G1425" s="4" t="n">
        <v>6</v>
      </c>
      <c r="H1425" s="4" t="n">
        <v>4</v>
      </c>
      <c r="I1425" s="4" t="str">
        <v>×</v>
      </c>
      <c r="J1425" s="4"/>
      <c r="K1425" s="4"/>
      <c r="L1425" s="4"/>
      <c r="M1425" s="5" t="s">
        <v>917</v>
      </c>
    </row>
    <row r="1426" customFormat="false" ht="15.75" hidden="false" customHeight="false" outlineLevel="0" collapsed="false">
      <c r="A1426" s="3" t="n">
        <v>46222</v>
      </c>
      <c r="B1426" s="4" t="s">
        <v>915</v>
      </c>
      <c r="C1426" s="4" t="n">
        <v>5</v>
      </c>
      <c r="D1426" s="4" t="n">
        <v>2</v>
      </c>
      <c r="E1426" s="4" t="s">
        <v>1438</v>
      </c>
      <c r="F1426" s="4" t="n">
        <v>31</v>
      </c>
      <c r="G1426" s="4" t="n">
        <v>1</v>
      </c>
      <c r="H1426" s="4" t="n">
        <v>4</v>
      </c>
      <c r="I1426" s="4" t="str">
        <v>×</v>
      </c>
      <c r="J1426" s="4"/>
      <c r="K1426" s="4"/>
      <c r="L1426" s="4"/>
      <c r="M1426" s="5" t="s">
        <v>917</v>
      </c>
    </row>
    <row r="1427" customFormat="false" ht="15.75" hidden="false" customHeight="false" outlineLevel="0" collapsed="false">
      <c r="A1427" s="3" t="n">
        <v>46222</v>
      </c>
      <c r="B1427" s="4" t="s">
        <v>915</v>
      </c>
      <c r="C1427" s="4" t="n">
        <v>5</v>
      </c>
      <c r="D1427" s="4" t="n">
        <v>3</v>
      </c>
      <c r="E1427" s="4" t="s">
        <v>1439</v>
      </c>
      <c r="F1427" s="4" t="n">
        <v>16</v>
      </c>
      <c r="G1427" s="4" t="n">
        <v>4</v>
      </c>
      <c r="H1427" s="4" t="n">
        <v>4</v>
      </c>
      <c r="I1427" s="4" t="str">
        <v>×</v>
      </c>
      <c r="J1427" s="4"/>
      <c r="K1427" s="4"/>
      <c r="L1427" s="4"/>
      <c r="M1427" s="5" t="s">
        <v>917</v>
      </c>
    </row>
    <row r="1428" customFormat="false" ht="15.75" hidden="false" customHeight="false" outlineLevel="0" collapsed="false">
      <c r="A1428" s="3" t="n">
        <v>46222</v>
      </c>
      <c r="B1428" s="4" t="s">
        <v>915</v>
      </c>
      <c r="C1428" s="4" t="n">
        <v>5</v>
      </c>
      <c r="D1428" s="4" t="n">
        <v>4</v>
      </c>
      <c r="E1428" s="4" t="s">
        <v>1440</v>
      </c>
      <c r="F1428" s="4" t="n">
        <v>31</v>
      </c>
      <c r="G1428" s="4" t="n">
        <v>1</v>
      </c>
      <c r="H1428" s="4" t="n">
        <v>1</v>
      </c>
      <c r="I1428" s="4" t="str">
        <v>○</v>
      </c>
      <c r="J1428" s="4" t="n">
        <v>110</v>
      </c>
      <c r="K1428" s="4"/>
      <c r="L1428" s="4"/>
      <c r="M1428" s="5" t="s">
        <v>917</v>
      </c>
    </row>
    <row r="1429" customFormat="false" ht="15.75" hidden="false" customHeight="false" outlineLevel="0" collapsed="false">
      <c r="A1429" s="3" t="n">
        <v>46222</v>
      </c>
      <c r="B1429" s="4" t="s">
        <v>915</v>
      </c>
      <c r="C1429" s="4" t="n">
        <v>5</v>
      </c>
      <c r="D1429" s="4" t="n">
        <v>5</v>
      </c>
      <c r="E1429" s="4" t="s">
        <v>1441</v>
      </c>
      <c r="F1429" s="4" t="n">
        <v>12</v>
      </c>
      <c r="G1429" s="4" t="n">
        <v>5</v>
      </c>
      <c r="H1429" s="4" t="n">
        <v>4</v>
      </c>
      <c r="I1429" s="4" t="str">
        <v>×</v>
      </c>
      <c r="J1429" s="4"/>
      <c r="K1429" s="4"/>
      <c r="L1429" s="4"/>
      <c r="M1429" s="5" t="s">
        <v>917</v>
      </c>
    </row>
    <row r="1430" customFormat="false" ht="15.75" hidden="false" customHeight="false" outlineLevel="0" collapsed="false">
      <c r="A1430" s="3" t="n">
        <v>46222</v>
      </c>
      <c r="B1430" s="4" t="s">
        <v>915</v>
      </c>
      <c r="C1430" s="4" t="n">
        <v>5</v>
      </c>
      <c r="D1430" s="4" t="n">
        <v>6</v>
      </c>
      <c r="E1430" s="4" t="s">
        <v>1442</v>
      </c>
      <c r="F1430" s="4" t="n">
        <v>24</v>
      </c>
      <c r="G1430" s="4" t="n">
        <v>2</v>
      </c>
      <c r="H1430" s="4" t="n">
        <v>4</v>
      </c>
      <c r="I1430" s="4" t="str">
        <v>×</v>
      </c>
      <c r="J1430" s="4"/>
      <c r="K1430" s="4"/>
      <c r="L1430" s="4"/>
      <c r="M1430" s="5" t="s">
        <v>917</v>
      </c>
    </row>
    <row r="1431" customFormat="false" ht="15.75" hidden="false" customHeight="false" outlineLevel="0" collapsed="false">
      <c r="A1431" s="3" t="n">
        <v>46222</v>
      </c>
      <c r="B1431" s="4" t="s">
        <v>915</v>
      </c>
      <c r="C1431" s="4" t="n">
        <v>5</v>
      </c>
      <c r="D1431" s="4" t="n">
        <v>7</v>
      </c>
      <c r="E1431" s="4" t="s">
        <v>1443</v>
      </c>
      <c r="F1431" s="4" t="n">
        <v>8</v>
      </c>
      <c r="G1431" s="4" t="n">
        <v>6</v>
      </c>
      <c r="H1431" s="4" t="n">
        <v>4</v>
      </c>
      <c r="I1431" s="4" t="str">
        <v>×</v>
      </c>
      <c r="J1431" s="4"/>
      <c r="K1431" s="4"/>
      <c r="L1431" s="4"/>
      <c r="M1431" s="5" t="s">
        <v>917</v>
      </c>
    </row>
    <row r="1432" customFormat="false" ht="15.75" hidden="false" customHeight="false" outlineLevel="0" collapsed="false">
      <c r="A1432" s="3" t="n">
        <v>46222</v>
      </c>
      <c r="B1432" s="4" t="s">
        <v>915</v>
      </c>
      <c r="C1432" s="4" t="n">
        <v>5</v>
      </c>
      <c r="D1432" s="4" t="n">
        <v>8</v>
      </c>
      <c r="E1432" s="4" t="s">
        <v>1444</v>
      </c>
      <c r="F1432" s="4" t="n">
        <v>6</v>
      </c>
      <c r="G1432" s="4" t="n">
        <v>7</v>
      </c>
      <c r="H1432" s="4" t="n">
        <v>4</v>
      </c>
      <c r="I1432" s="4" t="str">
        <v>×</v>
      </c>
      <c r="J1432" s="4"/>
      <c r="K1432" s="4"/>
      <c r="L1432" s="4"/>
      <c r="M1432" s="5" t="s">
        <v>917</v>
      </c>
    </row>
    <row r="1433" customFormat="false" ht="15.75" hidden="false" customHeight="false" outlineLevel="0" collapsed="false">
      <c r="A1433" s="3" t="n">
        <v>46222</v>
      </c>
      <c r="B1433" s="4" t="s">
        <v>915</v>
      </c>
      <c r="C1433" s="4" t="n">
        <v>5</v>
      </c>
      <c r="D1433" s="4" t="n">
        <v>9</v>
      </c>
      <c r="E1433" s="4" t="s">
        <v>1445</v>
      </c>
      <c r="F1433" s="4" t="n">
        <v>24</v>
      </c>
      <c r="G1433" s="4" t="n">
        <v>2</v>
      </c>
      <c r="H1433" s="4" t="n">
        <v>3</v>
      </c>
      <c r="I1433" s="4" t="str">
        <v>○</v>
      </c>
      <c r="J1433" s="4" t="n">
        <v>130</v>
      </c>
      <c r="K1433" s="4"/>
      <c r="L1433" s="4"/>
      <c r="M1433" s="5" t="s">
        <v>917</v>
      </c>
    </row>
    <row r="1434" customFormat="false" ht="15.75" hidden="false" customHeight="false" outlineLevel="0" collapsed="false">
      <c r="A1434" s="3" t="n">
        <v>46222</v>
      </c>
      <c r="B1434" s="4" t="s">
        <v>915</v>
      </c>
      <c r="C1434" s="4" t="n">
        <v>5</v>
      </c>
      <c r="D1434" s="4" t="n">
        <v>10</v>
      </c>
      <c r="E1434" s="4" t="s">
        <v>1446</v>
      </c>
      <c r="F1434" s="4" t="n">
        <v>21</v>
      </c>
      <c r="G1434" s="4" t="n">
        <v>3</v>
      </c>
      <c r="H1434" s="4" t="n">
        <v>4</v>
      </c>
      <c r="I1434" s="4" t="str">
        <v>×</v>
      </c>
      <c r="J1434" s="4"/>
      <c r="K1434" s="4"/>
      <c r="L1434" s="4"/>
      <c r="M1434" s="5" t="s">
        <v>917</v>
      </c>
    </row>
    <row r="1435" customFormat="false" ht="15.75" hidden="false" customHeight="false" outlineLevel="0" collapsed="false">
      <c r="A1435" s="3" t="n">
        <v>46222</v>
      </c>
      <c r="B1435" s="4" t="s">
        <v>915</v>
      </c>
      <c r="C1435" s="4" t="n">
        <v>5</v>
      </c>
      <c r="D1435" s="4" t="n">
        <v>11</v>
      </c>
      <c r="E1435" s="4" t="s">
        <v>1447</v>
      </c>
      <c r="F1435" s="4" t="n">
        <v>24</v>
      </c>
      <c r="G1435" s="4" t="n">
        <v>2</v>
      </c>
      <c r="H1435" s="4" t="n">
        <v>2</v>
      </c>
      <c r="I1435" s="4" t="str">
        <v>○</v>
      </c>
      <c r="J1435" s="4" t="n">
        <v>210</v>
      </c>
      <c r="K1435" s="4"/>
      <c r="L1435" s="4"/>
      <c r="M1435" s="5" t="s">
        <v>917</v>
      </c>
    </row>
    <row r="1436" customFormat="false" ht="15.75" hidden="false" customHeight="false" outlineLevel="0" collapsed="false">
      <c r="A1436" s="3" t="n">
        <v>46222</v>
      </c>
      <c r="B1436" s="4" t="s">
        <v>915</v>
      </c>
      <c r="C1436" s="4" t="n">
        <v>5</v>
      </c>
      <c r="D1436" s="4" t="n">
        <v>12</v>
      </c>
      <c r="E1436" s="4" t="s">
        <v>1448</v>
      </c>
      <c r="F1436" s="4" t="n">
        <v>6</v>
      </c>
      <c r="G1436" s="4" t="n">
        <v>7</v>
      </c>
      <c r="H1436" s="4" t="n">
        <v>4</v>
      </c>
      <c r="I1436" s="4" t="str">
        <v>×</v>
      </c>
      <c r="J1436" s="4"/>
      <c r="K1436" s="4"/>
      <c r="L1436" s="4"/>
      <c r="M1436" s="5" t="s">
        <v>917</v>
      </c>
    </row>
    <row r="1437" customFormat="false" ht="15.75" hidden="false" customHeight="false" outlineLevel="0" collapsed="false">
      <c r="A1437" s="3" t="n">
        <v>46222</v>
      </c>
      <c r="B1437" s="4" t="s">
        <v>915</v>
      </c>
      <c r="C1437" s="4" t="n">
        <v>5</v>
      </c>
      <c r="D1437" s="4" t="n">
        <v>13</v>
      </c>
      <c r="E1437" s="4" t="s">
        <v>1449</v>
      </c>
      <c r="F1437" s="4" t="n">
        <v>12</v>
      </c>
      <c r="G1437" s="4" t="n">
        <v>5</v>
      </c>
      <c r="H1437" s="4" t="n">
        <v>4</v>
      </c>
      <c r="I1437" s="4" t="str">
        <v>×</v>
      </c>
      <c r="J1437" s="4"/>
      <c r="K1437" s="4"/>
      <c r="L1437" s="4"/>
      <c r="M1437" s="5" t="s">
        <v>917</v>
      </c>
    </row>
    <row r="1438" customFormat="false" ht="15.75" hidden="false" customHeight="false" outlineLevel="0" collapsed="false">
      <c r="A1438" s="3" t="n">
        <v>46222</v>
      </c>
      <c r="B1438" s="4" t="s">
        <v>915</v>
      </c>
      <c r="C1438" s="4" t="n">
        <v>6</v>
      </c>
      <c r="D1438" s="4" t="n">
        <v>1</v>
      </c>
      <c r="E1438" s="4" t="s">
        <v>1450</v>
      </c>
      <c r="F1438" s="4" t="n">
        <v>8</v>
      </c>
      <c r="G1438" s="4" t="n">
        <v>5</v>
      </c>
      <c r="H1438" s="4" t="n">
        <v>4</v>
      </c>
      <c r="I1438" s="4" t="str">
        <v>×</v>
      </c>
      <c r="J1438" s="4"/>
      <c r="K1438" s="4"/>
      <c r="L1438" s="4"/>
      <c r="M1438" s="5" t="s">
        <v>917</v>
      </c>
    </row>
    <row r="1439" customFormat="false" ht="15.75" hidden="false" customHeight="false" outlineLevel="0" collapsed="false">
      <c r="A1439" s="3" t="n">
        <v>46222</v>
      </c>
      <c r="B1439" s="4" t="s">
        <v>915</v>
      </c>
      <c r="C1439" s="4" t="n">
        <v>6</v>
      </c>
      <c r="D1439" s="4" t="n">
        <v>2</v>
      </c>
      <c r="E1439" s="4" t="s">
        <v>1451</v>
      </c>
      <c r="F1439" s="4" t="n">
        <v>21</v>
      </c>
      <c r="G1439" s="4" t="n">
        <v>3</v>
      </c>
      <c r="H1439" s="4" t="n">
        <v>4</v>
      </c>
      <c r="I1439" s="4" t="str">
        <v>×</v>
      </c>
      <c r="J1439" s="4"/>
      <c r="K1439" s="4"/>
      <c r="L1439" s="4"/>
      <c r="M1439" s="5" t="s">
        <v>917</v>
      </c>
    </row>
    <row r="1440" customFormat="false" ht="15.75" hidden="false" customHeight="false" outlineLevel="0" collapsed="false">
      <c r="A1440" s="3" t="n">
        <v>46222</v>
      </c>
      <c r="B1440" s="4" t="s">
        <v>915</v>
      </c>
      <c r="C1440" s="4" t="n">
        <v>6</v>
      </c>
      <c r="D1440" s="4" t="n">
        <v>3</v>
      </c>
      <c r="E1440" s="4" t="s">
        <v>1452</v>
      </c>
      <c r="F1440" s="4" t="n">
        <v>16</v>
      </c>
      <c r="G1440" s="4" t="n">
        <v>4</v>
      </c>
      <c r="H1440" s="4" t="n">
        <v>4</v>
      </c>
      <c r="I1440" s="4" t="str">
        <v>×</v>
      </c>
      <c r="J1440" s="4"/>
      <c r="K1440" s="4"/>
      <c r="L1440" s="4"/>
      <c r="M1440" s="5" t="s">
        <v>917</v>
      </c>
    </row>
    <row r="1441" customFormat="false" ht="15.75" hidden="false" customHeight="false" outlineLevel="0" collapsed="false">
      <c r="A1441" s="3" t="n">
        <v>46222</v>
      </c>
      <c r="B1441" s="4" t="s">
        <v>915</v>
      </c>
      <c r="C1441" s="4" t="n">
        <v>6</v>
      </c>
      <c r="D1441" s="4" t="n">
        <v>4</v>
      </c>
      <c r="E1441" s="4" t="s">
        <v>1453</v>
      </c>
      <c r="F1441" s="4" t="n">
        <v>21</v>
      </c>
      <c r="G1441" s="4" t="n">
        <v>3</v>
      </c>
      <c r="H1441" s="4" t="n">
        <v>4</v>
      </c>
      <c r="I1441" s="4" t="str">
        <v>×</v>
      </c>
      <c r="J1441" s="4"/>
      <c r="K1441" s="4"/>
      <c r="L1441" s="4"/>
      <c r="M1441" s="5" t="s">
        <v>917</v>
      </c>
    </row>
    <row r="1442" customFormat="false" ht="15.75" hidden="false" customHeight="false" outlineLevel="0" collapsed="false">
      <c r="A1442" s="3" t="n">
        <v>46222</v>
      </c>
      <c r="B1442" s="4" t="s">
        <v>915</v>
      </c>
      <c r="C1442" s="4" t="n">
        <v>6</v>
      </c>
      <c r="D1442" s="4" t="n">
        <v>5</v>
      </c>
      <c r="E1442" s="4" t="s">
        <v>1454</v>
      </c>
      <c r="F1442" s="4" t="n">
        <v>21</v>
      </c>
      <c r="G1442" s="4" t="n">
        <v>3</v>
      </c>
      <c r="H1442" s="4" t="n">
        <v>4</v>
      </c>
      <c r="I1442" s="4" t="str">
        <v>×</v>
      </c>
      <c r="J1442" s="4"/>
      <c r="K1442" s="4"/>
      <c r="L1442" s="4"/>
      <c r="M1442" s="5" t="s">
        <v>917</v>
      </c>
    </row>
    <row r="1443" customFormat="false" ht="15.75" hidden="false" customHeight="false" outlineLevel="0" collapsed="false">
      <c r="A1443" s="3" t="n">
        <v>46222</v>
      </c>
      <c r="B1443" s="4" t="s">
        <v>915</v>
      </c>
      <c r="C1443" s="4" t="n">
        <v>6</v>
      </c>
      <c r="D1443" s="4" t="n">
        <v>6</v>
      </c>
      <c r="E1443" s="4" t="s">
        <v>1455</v>
      </c>
      <c r="F1443" s="4" t="n">
        <v>8</v>
      </c>
      <c r="G1443" s="4" t="n">
        <v>5</v>
      </c>
      <c r="H1443" s="4" t="n">
        <v>2</v>
      </c>
      <c r="I1443" s="4" t="str">
        <v>○</v>
      </c>
      <c r="J1443" s="4" t="n">
        <v>190</v>
      </c>
      <c r="K1443" s="4"/>
      <c r="L1443" s="4"/>
      <c r="M1443" s="5" t="s">
        <v>917</v>
      </c>
    </row>
    <row r="1444" customFormat="false" ht="15.75" hidden="false" customHeight="false" outlineLevel="0" collapsed="false">
      <c r="A1444" s="3" t="n">
        <v>46222</v>
      </c>
      <c r="B1444" s="4" t="s">
        <v>915</v>
      </c>
      <c r="C1444" s="4" t="n">
        <v>6</v>
      </c>
      <c r="D1444" s="4" t="n">
        <v>7</v>
      </c>
      <c r="E1444" s="4" t="s">
        <v>1456</v>
      </c>
      <c r="F1444" s="4" t="n">
        <v>8</v>
      </c>
      <c r="G1444" s="4" t="n">
        <v>5</v>
      </c>
      <c r="H1444" s="4" t="n">
        <v>4</v>
      </c>
      <c r="I1444" s="4" t="str">
        <v>×</v>
      </c>
      <c r="J1444" s="4"/>
      <c r="K1444" s="4"/>
      <c r="L1444" s="4"/>
      <c r="M1444" s="5" t="s">
        <v>917</v>
      </c>
    </row>
    <row r="1445" customFormat="false" ht="15.75" hidden="false" customHeight="false" outlineLevel="0" collapsed="false">
      <c r="A1445" s="3" t="n">
        <v>46222</v>
      </c>
      <c r="B1445" s="4" t="s">
        <v>915</v>
      </c>
      <c r="C1445" s="4" t="n">
        <v>6</v>
      </c>
      <c r="D1445" s="4" t="n">
        <v>8</v>
      </c>
      <c r="E1445" s="4" t="s">
        <v>1457</v>
      </c>
      <c r="F1445" s="4" t="n">
        <v>21</v>
      </c>
      <c r="G1445" s="4" t="n">
        <v>3</v>
      </c>
      <c r="H1445" s="4" t="n">
        <v>4</v>
      </c>
      <c r="I1445" s="4" t="str">
        <v>×</v>
      </c>
      <c r="J1445" s="4"/>
      <c r="K1445" s="4"/>
      <c r="L1445" s="4"/>
      <c r="M1445" s="5" t="s">
        <v>917</v>
      </c>
    </row>
    <row r="1446" customFormat="false" ht="15.75" hidden="false" customHeight="false" outlineLevel="0" collapsed="false">
      <c r="A1446" s="3" t="n">
        <v>46222</v>
      </c>
      <c r="B1446" s="4" t="s">
        <v>915</v>
      </c>
      <c r="C1446" s="4" t="n">
        <v>6</v>
      </c>
      <c r="D1446" s="4" t="n">
        <v>9</v>
      </c>
      <c r="E1446" s="4" t="s">
        <v>1458</v>
      </c>
      <c r="F1446" s="4" t="n">
        <v>21</v>
      </c>
      <c r="G1446" s="4" t="n">
        <v>3</v>
      </c>
      <c r="H1446" s="4" t="n">
        <v>4</v>
      </c>
      <c r="I1446" s="4" t="str">
        <v>×</v>
      </c>
      <c r="J1446" s="4"/>
      <c r="K1446" s="4"/>
      <c r="L1446" s="4"/>
      <c r="M1446" s="5" t="s">
        <v>917</v>
      </c>
    </row>
    <row r="1447" customFormat="false" ht="15.75" hidden="false" customHeight="false" outlineLevel="0" collapsed="false">
      <c r="A1447" s="3" t="n">
        <v>46222</v>
      </c>
      <c r="B1447" s="4" t="s">
        <v>915</v>
      </c>
      <c r="C1447" s="4" t="n">
        <v>6</v>
      </c>
      <c r="D1447" s="4" t="n">
        <v>10</v>
      </c>
      <c r="E1447" s="4" t="s">
        <v>1459</v>
      </c>
      <c r="F1447" s="4" t="n">
        <v>8</v>
      </c>
      <c r="G1447" s="4" t="n">
        <v>5</v>
      </c>
      <c r="H1447" s="4" t="n">
        <v>3</v>
      </c>
      <c r="I1447" s="4" t="str">
        <v>○</v>
      </c>
      <c r="J1447" s="4" t="n">
        <v>390</v>
      </c>
      <c r="K1447" s="4"/>
      <c r="L1447" s="4"/>
      <c r="M1447" s="5" t="s">
        <v>917</v>
      </c>
    </row>
    <row r="1448" customFormat="false" ht="15.75" hidden="false" customHeight="false" outlineLevel="0" collapsed="false">
      <c r="A1448" s="3" t="n">
        <v>46222</v>
      </c>
      <c r="B1448" s="4" t="s">
        <v>915</v>
      </c>
      <c r="C1448" s="4" t="n">
        <v>6</v>
      </c>
      <c r="D1448" s="4" t="n">
        <v>11</v>
      </c>
      <c r="E1448" s="4" t="s">
        <v>1460</v>
      </c>
      <c r="F1448" s="4" t="n">
        <v>21</v>
      </c>
      <c r="G1448" s="4" t="n">
        <v>3</v>
      </c>
      <c r="H1448" s="4" t="n">
        <v>4</v>
      </c>
      <c r="I1448" s="4" t="str">
        <v>×</v>
      </c>
      <c r="J1448" s="4"/>
      <c r="K1448" s="4"/>
      <c r="L1448" s="4"/>
      <c r="M1448" s="5" t="s">
        <v>917</v>
      </c>
    </row>
    <row r="1449" customFormat="false" ht="15.75" hidden="false" customHeight="false" outlineLevel="0" collapsed="false">
      <c r="A1449" s="3" t="n">
        <v>46222</v>
      </c>
      <c r="B1449" s="4" t="s">
        <v>915</v>
      </c>
      <c r="C1449" s="4" t="n">
        <v>6</v>
      </c>
      <c r="D1449" s="4" t="n">
        <v>12</v>
      </c>
      <c r="E1449" s="4" t="s">
        <v>1461</v>
      </c>
      <c r="F1449" s="4" t="n">
        <v>6</v>
      </c>
      <c r="G1449" s="4" t="n">
        <v>6</v>
      </c>
      <c r="H1449" s="4" t="n">
        <v>4</v>
      </c>
      <c r="I1449" s="4" t="str">
        <v>×</v>
      </c>
      <c r="J1449" s="4"/>
      <c r="K1449" s="4"/>
      <c r="L1449" s="4"/>
      <c r="M1449" s="5" t="s">
        <v>917</v>
      </c>
    </row>
    <row r="1450" customFormat="false" ht="15.75" hidden="false" customHeight="false" outlineLevel="0" collapsed="false">
      <c r="A1450" s="3" t="n">
        <v>46222</v>
      </c>
      <c r="B1450" s="4" t="s">
        <v>915</v>
      </c>
      <c r="C1450" s="4" t="n">
        <v>6</v>
      </c>
      <c r="D1450" s="4" t="n">
        <v>13</v>
      </c>
      <c r="E1450" s="4" t="s">
        <v>1462</v>
      </c>
      <c r="F1450" s="4" t="n">
        <v>24</v>
      </c>
      <c r="G1450" s="4" t="n">
        <v>2</v>
      </c>
      <c r="H1450" s="4" t="n">
        <v>4</v>
      </c>
      <c r="I1450" s="4" t="str">
        <v>×</v>
      </c>
      <c r="J1450" s="4"/>
      <c r="K1450" s="4"/>
      <c r="L1450" s="4"/>
      <c r="M1450" s="5" t="s">
        <v>917</v>
      </c>
    </row>
    <row r="1451" customFormat="false" ht="15.75" hidden="false" customHeight="false" outlineLevel="0" collapsed="false">
      <c r="A1451" s="3" t="n">
        <v>46222</v>
      </c>
      <c r="B1451" s="4" t="s">
        <v>915</v>
      </c>
      <c r="C1451" s="4" t="n">
        <v>6</v>
      </c>
      <c r="D1451" s="4" t="n">
        <v>14</v>
      </c>
      <c r="E1451" s="4" t="s">
        <v>1463</v>
      </c>
      <c r="F1451" s="4" t="n">
        <v>37</v>
      </c>
      <c r="G1451" s="4" t="n">
        <v>1</v>
      </c>
      <c r="H1451" s="4" t="n">
        <v>1</v>
      </c>
      <c r="I1451" s="4" t="str">
        <v>○</v>
      </c>
      <c r="J1451" s="4" t="n">
        <v>150</v>
      </c>
      <c r="K1451" s="4"/>
      <c r="L1451" s="4"/>
      <c r="M1451" s="5" t="s">
        <v>917</v>
      </c>
    </row>
    <row r="1452" customFormat="false" ht="15.75" hidden="false" customHeight="false" outlineLevel="0" collapsed="false">
      <c r="A1452" s="3" t="n">
        <v>46222</v>
      </c>
      <c r="B1452" s="4" t="s">
        <v>915</v>
      </c>
      <c r="C1452" s="4" t="n">
        <v>6</v>
      </c>
      <c r="D1452" s="4" t="n">
        <v>15</v>
      </c>
      <c r="E1452" s="4" t="s">
        <v>1464</v>
      </c>
      <c r="F1452" s="4" t="n">
        <v>16</v>
      </c>
      <c r="G1452" s="4" t="n">
        <v>4</v>
      </c>
      <c r="H1452" s="4" t="n">
        <v>4</v>
      </c>
      <c r="I1452" s="4" t="str">
        <v>×</v>
      </c>
      <c r="J1452" s="4"/>
      <c r="K1452" s="4"/>
      <c r="L1452" s="4"/>
      <c r="M1452" s="5" t="s">
        <v>917</v>
      </c>
    </row>
    <row r="1453" customFormat="false" ht="15.75" hidden="false" customHeight="false" outlineLevel="0" collapsed="false">
      <c r="A1453" s="3" t="n">
        <v>46222</v>
      </c>
      <c r="B1453" s="4" t="s">
        <v>915</v>
      </c>
      <c r="C1453" s="4" t="n">
        <v>6</v>
      </c>
      <c r="D1453" s="4" t="n">
        <v>16</v>
      </c>
      <c r="E1453" s="4" t="s">
        <v>1465</v>
      </c>
      <c r="F1453" s="4" t="n">
        <v>24</v>
      </c>
      <c r="G1453" s="4" t="n">
        <v>2</v>
      </c>
      <c r="H1453" s="4" t="n">
        <v>4</v>
      </c>
      <c r="I1453" s="4" t="str">
        <v>×</v>
      </c>
      <c r="J1453" s="4"/>
      <c r="K1453" s="4"/>
      <c r="L1453" s="4"/>
      <c r="M1453" s="5" t="s">
        <v>917</v>
      </c>
    </row>
    <row r="1454" customFormat="false" ht="15.75" hidden="false" customHeight="false" outlineLevel="0" collapsed="false">
      <c r="A1454" s="3" t="n">
        <v>46222</v>
      </c>
      <c r="B1454" s="4" t="s">
        <v>915</v>
      </c>
      <c r="C1454" s="4" t="n">
        <v>7</v>
      </c>
      <c r="D1454" s="4" t="n">
        <v>1</v>
      </c>
      <c r="E1454" s="4" t="s">
        <v>1466</v>
      </c>
      <c r="F1454" s="4" t="n">
        <v>1</v>
      </c>
      <c r="G1454" s="4" t="n">
        <v>11</v>
      </c>
      <c r="H1454" s="4" t="n">
        <v>4</v>
      </c>
      <c r="I1454" s="4" t="str">
        <v>×</v>
      </c>
      <c r="J1454" s="4"/>
      <c r="K1454" s="4"/>
      <c r="L1454" s="4"/>
      <c r="M1454" s="5" t="s">
        <v>917</v>
      </c>
    </row>
    <row r="1455" customFormat="false" ht="15.75" hidden="false" customHeight="false" outlineLevel="0" collapsed="false">
      <c r="A1455" s="3" t="n">
        <v>46222</v>
      </c>
      <c r="B1455" s="4" t="s">
        <v>915</v>
      </c>
      <c r="C1455" s="4" t="n">
        <v>7</v>
      </c>
      <c r="D1455" s="4" t="n">
        <v>2</v>
      </c>
      <c r="E1455" s="4" t="s">
        <v>1467</v>
      </c>
      <c r="F1455" s="4" t="n">
        <v>2</v>
      </c>
      <c r="G1455" s="4" t="n">
        <v>10</v>
      </c>
      <c r="H1455" s="4" t="n">
        <v>4</v>
      </c>
      <c r="I1455" s="4" t="str">
        <v>×</v>
      </c>
      <c r="J1455" s="4"/>
      <c r="K1455" s="4"/>
      <c r="L1455" s="4"/>
      <c r="M1455" s="5" t="s">
        <v>917</v>
      </c>
    </row>
    <row r="1456" customFormat="false" ht="15.75" hidden="false" customHeight="false" outlineLevel="0" collapsed="false">
      <c r="A1456" s="3" t="n">
        <v>46222</v>
      </c>
      <c r="B1456" s="4" t="s">
        <v>915</v>
      </c>
      <c r="C1456" s="4" t="n">
        <v>7</v>
      </c>
      <c r="D1456" s="4" t="n">
        <v>3</v>
      </c>
      <c r="E1456" s="4" t="s">
        <v>1468</v>
      </c>
      <c r="F1456" s="4" t="n">
        <v>50</v>
      </c>
      <c r="G1456" s="4" t="n">
        <v>2</v>
      </c>
      <c r="H1456" s="4" t="n">
        <v>1</v>
      </c>
      <c r="I1456" s="4" t="str">
        <v>○</v>
      </c>
      <c r="J1456" s="4" t="n">
        <v>150</v>
      </c>
      <c r="K1456" s="4"/>
      <c r="L1456" s="4"/>
      <c r="M1456" s="5" t="s">
        <v>917</v>
      </c>
    </row>
    <row r="1457" customFormat="false" ht="15.75" hidden="false" customHeight="false" outlineLevel="0" collapsed="false">
      <c r="A1457" s="3" t="n">
        <v>46222</v>
      </c>
      <c r="B1457" s="4" t="s">
        <v>915</v>
      </c>
      <c r="C1457" s="4" t="n">
        <v>7</v>
      </c>
      <c r="D1457" s="4" t="n">
        <v>4</v>
      </c>
      <c r="E1457" s="4" t="s">
        <v>1469</v>
      </c>
      <c r="F1457" s="4" t="n">
        <v>60</v>
      </c>
      <c r="G1457" s="4" t="n">
        <v>1</v>
      </c>
      <c r="H1457" s="4" t="n">
        <v>4</v>
      </c>
      <c r="I1457" s="4" t="str">
        <v>×</v>
      </c>
      <c r="J1457" s="4"/>
      <c r="K1457" s="4"/>
      <c r="L1457" s="4"/>
      <c r="M1457" s="5" t="s">
        <v>917</v>
      </c>
    </row>
    <row r="1458" customFormat="false" ht="15.75" hidden="false" customHeight="false" outlineLevel="0" collapsed="false">
      <c r="A1458" s="3" t="n">
        <v>46222</v>
      </c>
      <c r="B1458" s="4" t="s">
        <v>915</v>
      </c>
      <c r="C1458" s="4" t="n">
        <v>7</v>
      </c>
      <c r="D1458" s="4" t="n">
        <v>5</v>
      </c>
      <c r="E1458" s="4" t="s">
        <v>1470</v>
      </c>
      <c r="F1458" s="4" t="n">
        <v>34</v>
      </c>
      <c r="G1458" s="4" t="n">
        <v>4</v>
      </c>
      <c r="H1458" s="4" t="n">
        <v>4</v>
      </c>
      <c r="I1458" s="4" t="str">
        <v>×</v>
      </c>
      <c r="J1458" s="4"/>
      <c r="K1458" s="4"/>
      <c r="L1458" s="4"/>
      <c r="M1458" s="5" t="s">
        <v>917</v>
      </c>
    </row>
    <row r="1459" customFormat="false" ht="15.75" hidden="false" customHeight="false" outlineLevel="0" collapsed="false">
      <c r="A1459" s="3" t="n">
        <v>46222</v>
      </c>
      <c r="B1459" s="4" t="s">
        <v>915</v>
      </c>
      <c r="C1459" s="4" t="n">
        <v>7</v>
      </c>
      <c r="D1459" s="4" t="n">
        <v>6</v>
      </c>
      <c r="E1459" s="4" t="s">
        <v>1471</v>
      </c>
      <c r="F1459" s="4" t="n">
        <v>10</v>
      </c>
      <c r="G1459" s="4" t="n">
        <v>7</v>
      </c>
      <c r="H1459" s="4" t="n">
        <v>4</v>
      </c>
      <c r="I1459" s="4" t="str">
        <v>×</v>
      </c>
      <c r="J1459" s="4"/>
      <c r="K1459" s="4"/>
      <c r="L1459" s="4"/>
      <c r="M1459" s="5" t="s">
        <v>917</v>
      </c>
    </row>
    <row r="1460" customFormat="false" ht="15.75" hidden="false" customHeight="false" outlineLevel="0" collapsed="false">
      <c r="A1460" s="3" t="n">
        <v>46222</v>
      </c>
      <c r="B1460" s="4" t="s">
        <v>915</v>
      </c>
      <c r="C1460" s="4" t="n">
        <v>7</v>
      </c>
      <c r="D1460" s="4" t="n">
        <v>7</v>
      </c>
      <c r="E1460" s="4" t="s">
        <v>1472</v>
      </c>
      <c r="F1460" s="4" t="n">
        <v>17</v>
      </c>
      <c r="G1460" s="4" t="n">
        <v>5</v>
      </c>
      <c r="H1460" s="4" t="n">
        <v>2</v>
      </c>
      <c r="I1460" s="4" t="str">
        <v>○</v>
      </c>
      <c r="J1460" s="4" t="n">
        <v>310</v>
      </c>
      <c r="K1460" s="4"/>
      <c r="L1460" s="4"/>
      <c r="M1460" s="5" t="s">
        <v>917</v>
      </c>
    </row>
    <row r="1461" customFormat="false" ht="15.75" hidden="false" customHeight="false" outlineLevel="0" collapsed="false">
      <c r="A1461" s="3" t="n">
        <v>46222</v>
      </c>
      <c r="B1461" s="4" t="s">
        <v>915</v>
      </c>
      <c r="C1461" s="4" t="n">
        <v>7</v>
      </c>
      <c r="D1461" s="4" t="n">
        <v>8</v>
      </c>
      <c r="E1461" s="4" t="s">
        <v>1473</v>
      </c>
      <c r="F1461" s="4" t="n">
        <v>4</v>
      </c>
      <c r="G1461" s="4" t="n">
        <v>8</v>
      </c>
      <c r="H1461" s="4" t="n">
        <v>4</v>
      </c>
      <c r="I1461" s="4" t="str">
        <v>×</v>
      </c>
      <c r="J1461" s="4"/>
      <c r="K1461" s="4"/>
      <c r="L1461" s="4"/>
      <c r="M1461" s="5" t="s">
        <v>917</v>
      </c>
    </row>
    <row r="1462" customFormat="false" ht="15.75" hidden="false" customHeight="false" outlineLevel="0" collapsed="false">
      <c r="A1462" s="3" t="n">
        <v>46222</v>
      </c>
      <c r="B1462" s="4" t="s">
        <v>915</v>
      </c>
      <c r="C1462" s="4" t="n">
        <v>7</v>
      </c>
      <c r="D1462" s="4" t="n">
        <v>9</v>
      </c>
      <c r="E1462" s="4" t="s">
        <v>1474</v>
      </c>
      <c r="F1462" s="4" t="n">
        <v>17</v>
      </c>
      <c r="G1462" s="4" t="n">
        <v>5</v>
      </c>
      <c r="H1462" s="4" t="n">
        <v>4</v>
      </c>
      <c r="I1462" s="4" t="str">
        <v>×</v>
      </c>
      <c r="J1462" s="4"/>
      <c r="K1462" s="4"/>
      <c r="L1462" s="4"/>
      <c r="M1462" s="5" t="s">
        <v>917</v>
      </c>
    </row>
    <row r="1463" customFormat="false" ht="15.75" hidden="false" customHeight="false" outlineLevel="0" collapsed="false">
      <c r="A1463" s="3" t="n">
        <v>46222</v>
      </c>
      <c r="B1463" s="4" t="s">
        <v>915</v>
      </c>
      <c r="C1463" s="4" t="n">
        <v>7</v>
      </c>
      <c r="D1463" s="4" t="n">
        <v>10</v>
      </c>
      <c r="E1463" s="4" t="s">
        <v>1475</v>
      </c>
      <c r="F1463" s="4" t="n">
        <v>4</v>
      </c>
      <c r="G1463" s="4" t="n">
        <v>8</v>
      </c>
      <c r="H1463" s="4" t="n">
        <v>4</v>
      </c>
      <c r="I1463" s="4" t="str">
        <v>×</v>
      </c>
      <c r="J1463" s="4"/>
      <c r="K1463" s="4"/>
      <c r="L1463" s="4"/>
      <c r="M1463" s="5" t="s">
        <v>917</v>
      </c>
    </row>
    <row r="1464" customFormat="false" ht="15.75" hidden="false" customHeight="false" outlineLevel="0" collapsed="false">
      <c r="A1464" s="3" t="n">
        <v>46222</v>
      </c>
      <c r="B1464" s="4" t="s">
        <v>915</v>
      </c>
      <c r="C1464" s="4" t="n">
        <v>7</v>
      </c>
      <c r="D1464" s="4" t="n">
        <v>11</v>
      </c>
      <c r="E1464" s="4" t="s">
        <v>1476</v>
      </c>
      <c r="F1464" s="4" t="n">
        <v>13</v>
      </c>
      <c r="G1464" s="4" t="n">
        <v>6</v>
      </c>
      <c r="H1464" s="4" t="n">
        <v>4</v>
      </c>
      <c r="I1464" s="4" t="str">
        <v>×</v>
      </c>
      <c r="J1464" s="4"/>
      <c r="K1464" s="4"/>
      <c r="L1464" s="4"/>
      <c r="M1464" s="5" t="s">
        <v>917</v>
      </c>
    </row>
    <row r="1465" customFormat="false" ht="15.75" hidden="false" customHeight="false" outlineLevel="0" collapsed="false">
      <c r="A1465" s="3" t="n">
        <v>46222</v>
      </c>
      <c r="B1465" s="4" t="s">
        <v>915</v>
      </c>
      <c r="C1465" s="4" t="n">
        <v>7</v>
      </c>
      <c r="D1465" s="4" t="n">
        <v>12</v>
      </c>
      <c r="E1465" s="4" t="s">
        <v>1477</v>
      </c>
      <c r="F1465" s="4" t="n">
        <v>3</v>
      </c>
      <c r="G1465" s="4" t="n">
        <v>9</v>
      </c>
      <c r="H1465" s="4" t="n">
        <v>4</v>
      </c>
      <c r="I1465" s="4" t="str">
        <v>×</v>
      </c>
      <c r="J1465" s="4"/>
      <c r="K1465" s="4"/>
      <c r="L1465" s="4"/>
      <c r="M1465" s="5" t="s">
        <v>917</v>
      </c>
    </row>
    <row r="1466" customFormat="false" ht="15.75" hidden="false" customHeight="false" outlineLevel="0" collapsed="false">
      <c r="A1466" s="3" t="n">
        <v>46222</v>
      </c>
      <c r="B1466" s="4" t="s">
        <v>915</v>
      </c>
      <c r="C1466" s="4" t="n">
        <v>7</v>
      </c>
      <c r="D1466" s="4" t="n">
        <v>13</v>
      </c>
      <c r="E1466" s="4" t="s">
        <v>1478</v>
      </c>
      <c r="F1466" s="4" t="n">
        <v>39</v>
      </c>
      <c r="G1466" s="4" t="n">
        <v>3</v>
      </c>
      <c r="H1466" s="4" t="n">
        <v>3</v>
      </c>
      <c r="I1466" s="4" t="str">
        <v>○</v>
      </c>
      <c r="J1466" s="4" t="n">
        <v>220</v>
      </c>
      <c r="K1466" s="4"/>
      <c r="L1466" s="4"/>
      <c r="M1466" s="5" t="s">
        <v>917</v>
      </c>
    </row>
    <row r="1467" customFormat="false" ht="15.75" hidden="false" customHeight="false" outlineLevel="0" collapsed="false">
      <c r="A1467" s="3" t="n">
        <v>46222</v>
      </c>
      <c r="B1467" s="4" t="s">
        <v>915</v>
      </c>
      <c r="C1467" s="4" t="n">
        <v>7</v>
      </c>
      <c r="D1467" s="4" t="n">
        <v>14</v>
      </c>
      <c r="E1467" s="4" t="s">
        <v>1479</v>
      </c>
      <c r="F1467" s="4" t="n">
        <v>4</v>
      </c>
      <c r="G1467" s="4" t="n">
        <v>8</v>
      </c>
      <c r="H1467" s="4" t="n">
        <v>4</v>
      </c>
      <c r="I1467" s="4" t="str">
        <v>×</v>
      </c>
      <c r="J1467" s="4"/>
      <c r="K1467" s="4"/>
      <c r="L1467" s="4"/>
      <c r="M1467" s="5" t="s">
        <v>917</v>
      </c>
    </row>
    <row r="1468" customFormat="false" ht="15.75" hidden="false" customHeight="false" outlineLevel="0" collapsed="false">
      <c r="A1468" s="3" t="n">
        <v>46222</v>
      </c>
      <c r="B1468" s="4" t="s">
        <v>915</v>
      </c>
      <c r="C1468" s="4" t="n">
        <v>7</v>
      </c>
      <c r="D1468" s="4" t="n">
        <v>15</v>
      </c>
      <c r="E1468" s="4" t="s">
        <v>1480</v>
      </c>
      <c r="F1468" s="4" t="n">
        <v>17</v>
      </c>
      <c r="G1468" s="4" t="n">
        <v>5</v>
      </c>
      <c r="H1468" s="4" t="n">
        <v>4</v>
      </c>
      <c r="I1468" s="4" t="str">
        <v>×</v>
      </c>
      <c r="J1468" s="4"/>
      <c r="K1468" s="4"/>
      <c r="L1468" s="4"/>
      <c r="M1468" s="5" t="s">
        <v>917</v>
      </c>
    </row>
    <row r="1469" customFormat="false" ht="15.75" hidden="false" customHeight="false" outlineLevel="0" collapsed="false">
      <c r="A1469" s="3" t="n">
        <v>46222</v>
      </c>
      <c r="B1469" s="4" t="s">
        <v>915</v>
      </c>
      <c r="C1469" s="4" t="n">
        <v>8</v>
      </c>
      <c r="D1469" s="4" t="n">
        <v>1</v>
      </c>
      <c r="E1469" s="4" t="s">
        <v>1481</v>
      </c>
      <c r="F1469" s="4" t="n">
        <v>4</v>
      </c>
      <c r="G1469" s="4" t="n">
        <v>10</v>
      </c>
      <c r="H1469" s="4" t="n">
        <v>4</v>
      </c>
      <c r="I1469" s="4" t="str">
        <v>×</v>
      </c>
      <c r="J1469" s="4"/>
      <c r="K1469" s="4"/>
      <c r="L1469" s="4"/>
      <c r="M1469" s="5" t="s">
        <v>917</v>
      </c>
    </row>
    <row r="1470" customFormat="false" ht="15.75" hidden="false" customHeight="false" outlineLevel="0" collapsed="false">
      <c r="A1470" s="3" t="n">
        <v>46222</v>
      </c>
      <c r="B1470" s="4" t="s">
        <v>915</v>
      </c>
      <c r="C1470" s="4" t="n">
        <v>8</v>
      </c>
      <c r="D1470" s="4" t="n">
        <v>2</v>
      </c>
      <c r="E1470" s="4" t="s">
        <v>1482</v>
      </c>
      <c r="F1470" s="4" t="n">
        <v>44</v>
      </c>
      <c r="G1470" s="4" t="n">
        <v>2</v>
      </c>
      <c r="H1470" s="4" t="n">
        <v>4</v>
      </c>
      <c r="I1470" s="4" t="str">
        <v>×</v>
      </c>
      <c r="J1470" s="4"/>
      <c r="K1470" s="4"/>
      <c r="L1470" s="4"/>
      <c r="M1470" s="5" t="s">
        <v>917</v>
      </c>
    </row>
    <row r="1471" customFormat="false" ht="15.75" hidden="false" customHeight="false" outlineLevel="0" collapsed="false">
      <c r="A1471" s="3" t="n">
        <v>46222</v>
      </c>
      <c r="B1471" s="4" t="s">
        <v>915</v>
      </c>
      <c r="C1471" s="4" t="n">
        <v>8</v>
      </c>
      <c r="D1471" s="4" t="n">
        <v>3</v>
      </c>
      <c r="E1471" s="4" t="s">
        <v>1483</v>
      </c>
      <c r="F1471" s="4" t="n">
        <v>37</v>
      </c>
      <c r="G1471" s="4" t="n">
        <v>4</v>
      </c>
      <c r="H1471" s="4" t="n">
        <v>2</v>
      </c>
      <c r="I1471" s="4" t="str">
        <v>○</v>
      </c>
      <c r="J1471" s="4" t="n">
        <v>340</v>
      </c>
      <c r="K1471" s="4"/>
      <c r="L1471" s="4"/>
      <c r="M1471" s="5" t="s">
        <v>917</v>
      </c>
    </row>
    <row r="1472" customFormat="false" ht="15.75" hidden="false" customHeight="false" outlineLevel="0" collapsed="false">
      <c r="A1472" s="3" t="n">
        <v>46222</v>
      </c>
      <c r="B1472" s="4" t="s">
        <v>915</v>
      </c>
      <c r="C1472" s="4" t="n">
        <v>8</v>
      </c>
      <c r="D1472" s="4" t="n">
        <v>4</v>
      </c>
      <c r="E1472" s="4" t="s">
        <v>1484</v>
      </c>
      <c r="F1472" s="4" t="n">
        <v>23</v>
      </c>
      <c r="G1472" s="4" t="n">
        <v>7</v>
      </c>
      <c r="H1472" s="4" t="n">
        <v>4</v>
      </c>
      <c r="I1472" s="4" t="str">
        <v>×</v>
      </c>
      <c r="J1472" s="4"/>
      <c r="K1472" s="4"/>
      <c r="L1472" s="4"/>
      <c r="M1472" s="5" t="s">
        <v>917</v>
      </c>
    </row>
    <row r="1473" customFormat="false" ht="15.75" hidden="false" customHeight="false" outlineLevel="0" collapsed="false">
      <c r="A1473" s="3" t="n">
        <v>46222</v>
      </c>
      <c r="B1473" s="4" t="s">
        <v>915</v>
      </c>
      <c r="C1473" s="4" t="n">
        <v>8</v>
      </c>
      <c r="D1473" s="4" t="n">
        <v>5</v>
      </c>
      <c r="E1473" s="4" t="s">
        <v>1485</v>
      </c>
      <c r="F1473" s="4" t="n">
        <v>29</v>
      </c>
      <c r="G1473" s="4" t="n">
        <v>6</v>
      </c>
      <c r="H1473" s="4" t="n">
        <v>4</v>
      </c>
      <c r="I1473" s="4" t="str">
        <v>×</v>
      </c>
      <c r="J1473" s="4"/>
      <c r="K1473" s="4"/>
      <c r="L1473" s="4"/>
      <c r="M1473" s="5" t="s">
        <v>917</v>
      </c>
    </row>
    <row r="1474" customFormat="false" ht="15.75" hidden="false" customHeight="false" outlineLevel="0" collapsed="false">
      <c r="A1474" s="3" t="n">
        <v>46222</v>
      </c>
      <c r="B1474" s="4" t="s">
        <v>915</v>
      </c>
      <c r="C1474" s="4" t="n">
        <v>8</v>
      </c>
      <c r="D1474" s="4" t="n">
        <v>6</v>
      </c>
      <c r="E1474" s="4" t="s">
        <v>1486</v>
      </c>
      <c r="F1474" s="4" t="n">
        <v>34</v>
      </c>
      <c r="G1474" s="4" t="n">
        <v>5</v>
      </c>
      <c r="H1474" s="4" t="n">
        <v>3</v>
      </c>
      <c r="I1474" s="4" t="str">
        <v>○</v>
      </c>
      <c r="J1474" s="4" t="n">
        <v>890</v>
      </c>
      <c r="K1474" s="4"/>
      <c r="L1474" s="4"/>
      <c r="M1474" s="5" t="s">
        <v>917</v>
      </c>
    </row>
    <row r="1475" customFormat="false" ht="15.75" hidden="false" customHeight="false" outlineLevel="0" collapsed="false">
      <c r="A1475" s="3" t="n">
        <v>46222</v>
      </c>
      <c r="B1475" s="4" t="s">
        <v>915</v>
      </c>
      <c r="C1475" s="4" t="n">
        <v>8</v>
      </c>
      <c r="D1475" s="4" t="n">
        <v>7</v>
      </c>
      <c r="E1475" s="4" t="s">
        <v>1487</v>
      </c>
      <c r="F1475" s="4" t="n">
        <v>39</v>
      </c>
      <c r="G1475" s="4" t="n">
        <v>3</v>
      </c>
      <c r="H1475" s="4" t="n">
        <v>4</v>
      </c>
      <c r="I1475" s="4" t="str">
        <v>×</v>
      </c>
      <c r="J1475" s="4"/>
      <c r="K1475" s="4"/>
      <c r="L1475" s="4"/>
      <c r="M1475" s="5" t="s">
        <v>917</v>
      </c>
    </row>
    <row r="1476" customFormat="false" ht="15.75" hidden="false" customHeight="false" outlineLevel="0" collapsed="false">
      <c r="A1476" s="3" t="n">
        <v>46222</v>
      </c>
      <c r="B1476" s="4" t="s">
        <v>915</v>
      </c>
      <c r="C1476" s="4" t="n">
        <v>8</v>
      </c>
      <c r="D1476" s="4" t="n">
        <v>8</v>
      </c>
      <c r="E1476" s="4" t="s">
        <v>1488</v>
      </c>
      <c r="F1476" s="4" t="n">
        <v>62</v>
      </c>
      <c r="G1476" s="4" t="n">
        <v>1</v>
      </c>
      <c r="H1476" s="4" t="n">
        <v>4</v>
      </c>
      <c r="I1476" s="4" t="str">
        <v>×</v>
      </c>
      <c r="J1476" s="4"/>
      <c r="K1476" s="4"/>
      <c r="L1476" s="4"/>
      <c r="M1476" s="5" t="s">
        <v>917</v>
      </c>
    </row>
    <row r="1477" customFormat="false" ht="15.75" hidden="false" customHeight="false" outlineLevel="0" collapsed="false">
      <c r="A1477" s="3" t="n">
        <v>46222</v>
      </c>
      <c r="B1477" s="4" t="s">
        <v>915</v>
      </c>
      <c r="C1477" s="4" t="n">
        <v>8</v>
      </c>
      <c r="D1477" s="4" t="n">
        <v>9</v>
      </c>
      <c r="E1477" s="4" t="s">
        <v>1489</v>
      </c>
      <c r="F1477" s="4" t="n">
        <v>15</v>
      </c>
      <c r="G1477" s="4" t="n">
        <v>8</v>
      </c>
      <c r="H1477" s="4" t="n">
        <v>4</v>
      </c>
      <c r="I1477" s="4" t="str">
        <v>×</v>
      </c>
      <c r="J1477" s="4"/>
      <c r="K1477" s="4"/>
      <c r="L1477" s="4"/>
      <c r="M1477" s="5" t="s">
        <v>917</v>
      </c>
    </row>
    <row r="1478" customFormat="false" ht="15.75" hidden="false" customHeight="false" outlineLevel="0" collapsed="false">
      <c r="A1478" s="3" t="n">
        <v>46222</v>
      </c>
      <c r="B1478" s="4" t="s">
        <v>915</v>
      </c>
      <c r="C1478" s="4" t="n">
        <v>8</v>
      </c>
      <c r="D1478" s="4" t="n">
        <v>10</v>
      </c>
      <c r="E1478" s="4" t="s">
        <v>1490</v>
      </c>
      <c r="F1478" s="4" t="n">
        <v>1</v>
      </c>
      <c r="G1478" s="4" t="n">
        <v>12</v>
      </c>
      <c r="H1478" s="4" t="n">
        <v>4</v>
      </c>
      <c r="I1478" s="4" t="str">
        <v>×</v>
      </c>
      <c r="J1478" s="4"/>
      <c r="K1478" s="4"/>
      <c r="L1478" s="4"/>
      <c r="M1478" s="5" t="s">
        <v>917</v>
      </c>
    </row>
    <row r="1479" customFormat="false" ht="15.75" hidden="false" customHeight="false" outlineLevel="0" collapsed="false">
      <c r="A1479" s="3" t="n">
        <v>46222</v>
      </c>
      <c r="B1479" s="4" t="s">
        <v>915</v>
      </c>
      <c r="C1479" s="4" t="n">
        <v>8</v>
      </c>
      <c r="D1479" s="4" t="n">
        <v>11</v>
      </c>
      <c r="E1479" s="4" t="s">
        <v>1491</v>
      </c>
      <c r="F1479" s="4" t="n">
        <v>3</v>
      </c>
      <c r="G1479" s="4" t="n">
        <v>11</v>
      </c>
      <c r="H1479" s="4" t="n">
        <v>4</v>
      </c>
      <c r="I1479" s="4" t="str">
        <v>×</v>
      </c>
      <c r="J1479" s="4"/>
      <c r="K1479" s="4"/>
      <c r="L1479" s="4"/>
      <c r="M1479" s="5" t="s">
        <v>917</v>
      </c>
    </row>
    <row r="1480" customFormat="false" ht="15.75" hidden="false" customHeight="false" outlineLevel="0" collapsed="false">
      <c r="A1480" s="3" t="n">
        <v>46222</v>
      </c>
      <c r="B1480" s="4" t="s">
        <v>915</v>
      </c>
      <c r="C1480" s="4" t="n">
        <v>8</v>
      </c>
      <c r="D1480" s="4" t="n">
        <v>12</v>
      </c>
      <c r="E1480" s="4" t="s">
        <v>1492</v>
      </c>
      <c r="F1480" s="4" t="n">
        <v>34</v>
      </c>
      <c r="G1480" s="4" t="n">
        <v>5</v>
      </c>
      <c r="H1480" s="4" t="n">
        <v>4</v>
      </c>
      <c r="I1480" s="4" t="str">
        <v>×</v>
      </c>
      <c r="J1480" s="4"/>
      <c r="K1480" s="4"/>
      <c r="L1480" s="4"/>
      <c r="M1480" s="5" t="s">
        <v>917</v>
      </c>
    </row>
    <row r="1481" customFormat="false" ht="15.75" hidden="false" customHeight="false" outlineLevel="0" collapsed="false">
      <c r="A1481" s="3" t="n">
        <v>46222</v>
      </c>
      <c r="B1481" s="4" t="s">
        <v>915</v>
      </c>
      <c r="C1481" s="4" t="n">
        <v>8</v>
      </c>
      <c r="D1481" s="4" t="n">
        <v>13</v>
      </c>
      <c r="E1481" s="4" t="s">
        <v>1493</v>
      </c>
      <c r="F1481" s="4" t="n">
        <v>10</v>
      </c>
      <c r="G1481" s="4" t="n">
        <v>9</v>
      </c>
      <c r="H1481" s="4" t="n">
        <v>1</v>
      </c>
      <c r="I1481" s="4" t="str">
        <v>○</v>
      </c>
      <c r="J1481" s="4" t="n">
        <v>800</v>
      </c>
      <c r="K1481" s="4"/>
      <c r="L1481" s="4"/>
      <c r="M1481" s="5" t="s">
        <v>917</v>
      </c>
    </row>
    <row r="1482" customFormat="false" ht="15.75" hidden="false" customHeight="false" outlineLevel="0" collapsed="false">
      <c r="A1482" s="3" t="n">
        <v>46222</v>
      </c>
      <c r="B1482" s="4" t="s">
        <v>915</v>
      </c>
      <c r="C1482" s="4" t="n">
        <v>8</v>
      </c>
      <c r="D1482" s="4" t="n">
        <v>14</v>
      </c>
      <c r="E1482" s="4" t="s">
        <v>1494</v>
      </c>
      <c r="F1482" s="4" t="n">
        <v>1</v>
      </c>
      <c r="G1482" s="4" t="n">
        <v>12</v>
      </c>
      <c r="H1482" s="4" t="n">
        <v>4</v>
      </c>
      <c r="I1482" s="4" t="str">
        <v>×</v>
      </c>
      <c r="J1482" s="4"/>
      <c r="K1482" s="4"/>
      <c r="L1482" s="4"/>
      <c r="M1482" s="5" t="s">
        <v>917</v>
      </c>
    </row>
    <row r="1483" customFormat="false" ht="15.75" hidden="false" customHeight="false" outlineLevel="0" collapsed="false">
      <c r="A1483" s="3" t="n">
        <v>46222</v>
      </c>
      <c r="B1483" s="4" t="s">
        <v>915</v>
      </c>
      <c r="C1483" s="4" t="n">
        <v>8</v>
      </c>
      <c r="D1483" s="4" t="n">
        <v>15</v>
      </c>
      <c r="E1483" s="4" t="s">
        <v>1495</v>
      </c>
      <c r="F1483" s="4" t="n">
        <v>34</v>
      </c>
      <c r="G1483" s="4" t="n">
        <v>5</v>
      </c>
      <c r="H1483" s="4" t="n">
        <v>4</v>
      </c>
      <c r="I1483" s="4" t="str">
        <v>×</v>
      </c>
      <c r="J1483" s="4"/>
      <c r="K1483" s="4"/>
      <c r="L1483" s="4"/>
      <c r="M1483" s="5" t="s">
        <v>917</v>
      </c>
    </row>
    <row r="1484" customFormat="false" ht="15.75" hidden="false" customHeight="false" outlineLevel="0" collapsed="false">
      <c r="A1484" s="3" t="n">
        <v>46222</v>
      </c>
      <c r="B1484" s="4" t="s">
        <v>915</v>
      </c>
      <c r="C1484" s="4" t="n">
        <v>8</v>
      </c>
      <c r="D1484" s="4" t="n">
        <v>16</v>
      </c>
      <c r="E1484" s="4" t="s">
        <v>1496</v>
      </c>
      <c r="F1484" s="4" t="n">
        <v>29</v>
      </c>
      <c r="G1484" s="4" t="n">
        <v>6</v>
      </c>
      <c r="H1484" s="4" t="n">
        <v>4</v>
      </c>
      <c r="I1484" s="4" t="str">
        <v>×</v>
      </c>
      <c r="J1484" s="4"/>
      <c r="K1484" s="4"/>
      <c r="L1484" s="4"/>
      <c r="M1484" s="5" t="s">
        <v>917</v>
      </c>
    </row>
    <row r="1485" customFormat="false" ht="15.75" hidden="false" customHeight="false" outlineLevel="0" collapsed="false">
      <c r="A1485" s="3" t="n">
        <v>46222</v>
      </c>
      <c r="B1485" s="4" t="s">
        <v>915</v>
      </c>
      <c r="C1485" s="4" t="n">
        <v>9</v>
      </c>
      <c r="D1485" s="4" t="n">
        <v>1</v>
      </c>
      <c r="E1485" s="4" t="s">
        <v>1497</v>
      </c>
      <c r="F1485" s="4" t="n">
        <v>37</v>
      </c>
      <c r="G1485" s="4" t="n">
        <v>3</v>
      </c>
      <c r="H1485" s="4" t="n">
        <v>3</v>
      </c>
      <c r="I1485" s="4" t="str">
        <v>○</v>
      </c>
      <c r="J1485" s="4" t="n">
        <v>190</v>
      </c>
      <c r="K1485" s="4"/>
      <c r="L1485" s="4"/>
      <c r="M1485" s="5" t="s">
        <v>917</v>
      </c>
    </row>
    <row r="1486" customFormat="false" ht="15.75" hidden="false" customHeight="false" outlineLevel="0" collapsed="false">
      <c r="A1486" s="3" t="n">
        <v>46222</v>
      </c>
      <c r="B1486" s="4" t="s">
        <v>915</v>
      </c>
      <c r="C1486" s="4" t="n">
        <v>9</v>
      </c>
      <c r="D1486" s="4" t="n">
        <v>2</v>
      </c>
      <c r="E1486" s="4" t="s">
        <v>1498</v>
      </c>
      <c r="F1486" s="4" t="n">
        <v>31</v>
      </c>
      <c r="G1486" s="4" t="n">
        <v>4</v>
      </c>
      <c r="H1486" s="4" t="n">
        <v>4</v>
      </c>
      <c r="I1486" s="4" t="str">
        <v>×</v>
      </c>
      <c r="J1486" s="4"/>
      <c r="K1486" s="4"/>
      <c r="L1486" s="4"/>
      <c r="M1486" s="5" t="s">
        <v>917</v>
      </c>
    </row>
    <row r="1487" customFormat="false" ht="15.75" hidden="false" customHeight="false" outlineLevel="0" collapsed="false">
      <c r="A1487" s="3" t="n">
        <v>46222</v>
      </c>
      <c r="B1487" s="4" t="s">
        <v>915</v>
      </c>
      <c r="C1487" s="4" t="n">
        <v>9</v>
      </c>
      <c r="D1487" s="4" t="n">
        <v>3</v>
      </c>
      <c r="E1487" s="4" t="s">
        <v>1499</v>
      </c>
      <c r="F1487" s="4" t="n">
        <v>58</v>
      </c>
      <c r="G1487" s="4" t="n">
        <v>1</v>
      </c>
      <c r="H1487" s="4" t="n">
        <v>4</v>
      </c>
      <c r="I1487" s="4" t="str">
        <v>×</v>
      </c>
      <c r="J1487" s="4"/>
      <c r="K1487" s="4"/>
      <c r="L1487" s="4"/>
      <c r="M1487" s="5" t="s">
        <v>917</v>
      </c>
    </row>
    <row r="1488" customFormat="false" ht="15.75" hidden="false" customHeight="false" outlineLevel="0" collapsed="false">
      <c r="A1488" s="3" t="n">
        <v>46222</v>
      </c>
      <c r="B1488" s="4" t="s">
        <v>915</v>
      </c>
      <c r="C1488" s="4" t="n">
        <v>9</v>
      </c>
      <c r="D1488" s="4" t="n">
        <v>4</v>
      </c>
      <c r="E1488" s="4" t="s">
        <v>1500</v>
      </c>
      <c r="F1488" s="4" t="n">
        <v>8</v>
      </c>
      <c r="G1488" s="4" t="n">
        <v>11</v>
      </c>
      <c r="H1488" s="4" t="n">
        <v>4</v>
      </c>
      <c r="I1488" s="4" t="str">
        <v>×</v>
      </c>
      <c r="J1488" s="4"/>
      <c r="K1488" s="4"/>
      <c r="L1488" s="4"/>
      <c r="M1488" s="5" t="s">
        <v>917</v>
      </c>
    </row>
    <row r="1489" customFormat="false" ht="15.75" hidden="false" customHeight="false" outlineLevel="0" collapsed="false">
      <c r="A1489" s="3" t="n">
        <v>46222</v>
      </c>
      <c r="B1489" s="4" t="s">
        <v>915</v>
      </c>
      <c r="C1489" s="4" t="n">
        <v>9</v>
      </c>
      <c r="D1489" s="4" t="n">
        <v>5</v>
      </c>
      <c r="E1489" s="4" t="s">
        <v>538</v>
      </c>
      <c r="F1489" s="4" t="n">
        <v>3</v>
      </c>
      <c r="G1489" s="4" t="n">
        <v>13</v>
      </c>
      <c r="H1489" s="4" t="n">
        <v>4</v>
      </c>
      <c r="I1489" s="4" t="str">
        <v>×</v>
      </c>
      <c r="J1489" s="4"/>
      <c r="K1489" s="4"/>
      <c r="L1489" s="4"/>
      <c r="M1489" s="5" t="s">
        <v>917</v>
      </c>
    </row>
    <row r="1490" customFormat="false" ht="15.75" hidden="false" customHeight="false" outlineLevel="0" collapsed="false">
      <c r="A1490" s="3" t="n">
        <v>46222</v>
      </c>
      <c r="B1490" s="4" t="s">
        <v>915</v>
      </c>
      <c r="C1490" s="4" t="n">
        <v>9</v>
      </c>
      <c r="D1490" s="4" t="n">
        <v>6</v>
      </c>
      <c r="E1490" s="4" t="s">
        <v>1501</v>
      </c>
      <c r="F1490" s="4" t="n">
        <v>41</v>
      </c>
      <c r="G1490" s="4" t="n">
        <v>2</v>
      </c>
      <c r="H1490" s="4" t="n">
        <v>4</v>
      </c>
      <c r="I1490" s="4" t="str">
        <v>×</v>
      </c>
      <c r="J1490" s="4"/>
      <c r="K1490" s="4"/>
      <c r="L1490" s="4"/>
      <c r="M1490" s="5" t="s">
        <v>917</v>
      </c>
    </row>
    <row r="1491" customFormat="false" ht="15.75" hidden="false" customHeight="false" outlineLevel="0" collapsed="false">
      <c r="A1491" s="3" t="n">
        <v>46222</v>
      </c>
      <c r="B1491" s="4" t="s">
        <v>915</v>
      </c>
      <c r="C1491" s="4" t="n">
        <v>9</v>
      </c>
      <c r="D1491" s="4" t="n">
        <v>7</v>
      </c>
      <c r="E1491" s="4" t="s">
        <v>1502</v>
      </c>
      <c r="F1491" s="4" t="n">
        <v>13</v>
      </c>
      <c r="G1491" s="4" t="n">
        <v>10</v>
      </c>
      <c r="H1491" s="4" t="n">
        <v>4</v>
      </c>
      <c r="I1491" s="4" t="str">
        <v>×</v>
      </c>
      <c r="J1491" s="4"/>
      <c r="K1491" s="4"/>
      <c r="L1491" s="4"/>
      <c r="M1491" s="5" t="s">
        <v>917</v>
      </c>
    </row>
    <row r="1492" customFormat="false" ht="15.75" hidden="false" customHeight="false" outlineLevel="0" collapsed="false">
      <c r="A1492" s="3" t="n">
        <v>46222</v>
      </c>
      <c r="B1492" s="4" t="s">
        <v>915</v>
      </c>
      <c r="C1492" s="4" t="n">
        <v>9</v>
      </c>
      <c r="D1492" s="4" t="n">
        <v>8</v>
      </c>
      <c r="E1492" s="4" t="s">
        <v>1503</v>
      </c>
      <c r="F1492" s="4" t="n">
        <v>29</v>
      </c>
      <c r="G1492" s="4" t="n">
        <v>5</v>
      </c>
      <c r="H1492" s="4" t="n">
        <v>2</v>
      </c>
      <c r="I1492" s="4" t="str">
        <v>○</v>
      </c>
      <c r="J1492" s="4" t="n">
        <v>340</v>
      </c>
      <c r="K1492" s="4"/>
      <c r="L1492" s="4"/>
      <c r="M1492" s="5" t="s">
        <v>917</v>
      </c>
    </row>
    <row r="1493" customFormat="false" ht="15.75" hidden="false" customHeight="false" outlineLevel="0" collapsed="false">
      <c r="A1493" s="3" t="n">
        <v>46222</v>
      </c>
      <c r="B1493" s="4" t="s">
        <v>915</v>
      </c>
      <c r="C1493" s="4" t="n">
        <v>9</v>
      </c>
      <c r="D1493" s="4" t="n">
        <v>9</v>
      </c>
      <c r="E1493" s="4" t="s">
        <v>1504</v>
      </c>
      <c r="F1493" s="4" t="n">
        <v>6</v>
      </c>
      <c r="G1493" s="4" t="n">
        <v>12</v>
      </c>
      <c r="H1493" s="4" t="n">
        <v>4</v>
      </c>
      <c r="I1493" s="4" t="str">
        <v>×</v>
      </c>
      <c r="J1493" s="4"/>
      <c r="K1493" s="4"/>
      <c r="L1493" s="4"/>
      <c r="M1493" s="5" t="s">
        <v>917</v>
      </c>
    </row>
    <row r="1494" customFormat="false" ht="15.75" hidden="false" customHeight="false" outlineLevel="0" collapsed="false">
      <c r="A1494" s="3" t="n">
        <v>46222</v>
      </c>
      <c r="B1494" s="4" t="s">
        <v>915</v>
      </c>
      <c r="C1494" s="4" t="n">
        <v>9</v>
      </c>
      <c r="D1494" s="4" t="n">
        <v>10</v>
      </c>
      <c r="E1494" s="4" t="s">
        <v>1505</v>
      </c>
      <c r="F1494" s="4" t="n">
        <v>25</v>
      </c>
      <c r="G1494" s="4" t="n">
        <v>6</v>
      </c>
      <c r="H1494" s="4" t="n">
        <v>4</v>
      </c>
      <c r="I1494" s="4" t="str">
        <v>×</v>
      </c>
      <c r="J1494" s="4"/>
      <c r="K1494" s="4"/>
      <c r="L1494" s="4"/>
      <c r="M1494" s="5" t="s">
        <v>917</v>
      </c>
    </row>
    <row r="1495" customFormat="false" ht="15.75" hidden="false" customHeight="false" outlineLevel="0" collapsed="false">
      <c r="A1495" s="3" t="n">
        <v>46222</v>
      </c>
      <c r="B1495" s="4" t="s">
        <v>915</v>
      </c>
      <c r="C1495" s="4" t="n">
        <v>9</v>
      </c>
      <c r="D1495" s="4" t="n">
        <v>11</v>
      </c>
      <c r="E1495" s="4" t="s">
        <v>1506</v>
      </c>
      <c r="F1495" s="4" t="n">
        <v>23</v>
      </c>
      <c r="G1495" s="4" t="n">
        <v>7</v>
      </c>
      <c r="H1495" s="4" t="n">
        <v>4</v>
      </c>
      <c r="I1495" s="4" t="str">
        <v>×</v>
      </c>
      <c r="J1495" s="4"/>
      <c r="K1495" s="4"/>
      <c r="L1495" s="4"/>
      <c r="M1495" s="5" t="s">
        <v>917</v>
      </c>
    </row>
    <row r="1496" customFormat="false" ht="15.75" hidden="false" customHeight="false" outlineLevel="0" collapsed="false">
      <c r="A1496" s="3" t="n">
        <v>46222</v>
      </c>
      <c r="B1496" s="4" t="s">
        <v>915</v>
      </c>
      <c r="C1496" s="4" t="n">
        <v>9</v>
      </c>
      <c r="D1496" s="4" t="n">
        <v>12</v>
      </c>
      <c r="E1496" s="4" t="s">
        <v>1507</v>
      </c>
      <c r="F1496" s="4" t="n">
        <v>15</v>
      </c>
      <c r="G1496" s="4" t="n">
        <v>9</v>
      </c>
      <c r="H1496" s="4" t="n">
        <v>4</v>
      </c>
      <c r="I1496" s="4" t="str">
        <v>×</v>
      </c>
      <c r="J1496" s="4"/>
      <c r="K1496" s="4"/>
      <c r="L1496" s="4"/>
      <c r="M1496" s="5" t="s">
        <v>917</v>
      </c>
    </row>
    <row r="1497" customFormat="false" ht="15.75" hidden="false" customHeight="false" outlineLevel="0" collapsed="false">
      <c r="A1497" s="3" t="n">
        <v>46222</v>
      </c>
      <c r="B1497" s="4" t="s">
        <v>915</v>
      </c>
      <c r="C1497" s="4" t="n">
        <v>9</v>
      </c>
      <c r="D1497" s="4" t="n">
        <v>13</v>
      </c>
      <c r="E1497" s="4" t="s">
        <v>1508</v>
      </c>
      <c r="F1497" s="4" t="n">
        <v>20</v>
      </c>
      <c r="G1497" s="4" t="n">
        <v>8</v>
      </c>
      <c r="H1497" s="4" t="n">
        <v>1</v>
      </c>
      <c r="I1497" s="4" t="str">
        <v>○</v>
      </c>
      <c r="J1497" s="4" t="n">
        <v>200</v>
      </c>
      <c r="K1497" s="4"/>
      <c r="L1497" s="4"/>
      <c r="M1497" s="5" t="s">
        <v>917</v>
      </c>
    </row>
    <row r="1498" customFormat="false" ht="15.75" hidden="false" customHeight="false" outlineLevel="0" collapsed="false">
      <c r="A1498" s="3" t="n">
        <v>46222</v>
      </c>
      <c r="B1498" s="4" t="s">
        <v>915</v>
      </c>
      <c r="C1498" s="4" t="n">
        <v>9</v>
      </c>
      <c r="D1498" s="4" t="n">
        <v>14</v>
      </c>
      <c r="E1498" s="4" t="s">
        <v>1509</v>
      </c>
      <c r="F1498" s="4" t="n">
        <v>23</v>
      </c>
      <c r="G1498" s="4" t="n">
        <v>7</v>
      </c>
      <c r="H1498" s="4" t="n">
        <v>4</v>
      </c>
      <c r="I1498" s="4" t="str">
        <v>×</v>
      </c>
      <c r="J1498" s="4"/>
      <c r="K1498" s="4"/>
      <c r="L1498" s="4"/>
      <c r="M1498" s="5" t="s">
        <v>917</v>
      </c>
    </row>
    <row r="1499" customFormat="false" ht="15.75" hidden="false" customHeight="false" outlineLevel="0" collapsed="false">
      <c r="A1499" s="3" t="n">
        <v>46222</v>
      </c>
      <c r="B1499" s="4" t="s">
        <v>915</v>
      </c>
      <c r="C1499" s="4" t="n">
        <v>9</v>
      </c>
      <c r="D1499" s="4" t="n">
        <v>15</v>
      </c>
      <c r="E1499" s="4" t="s">
        <v>1510</v>
      </c>
      <c r="F1499" s="4" t="n">
        <v>41</v>
      </c>
      <c r="G1499" s="4" t="n">
        <v>2</v>
      </c>
      <c r="H1499" s="4" t="n">
        <v>4</v>
      </c>
      <c r="I1499" s="4" t="str">
        <v>×</v>
      </c>
      <c r="J1499" s="4"/>
      <c r="K1499" s="4"/>
      <c r="L1499" s="4"/>
      <c r="M1499" s="5" t="s">
        <v>917</v>
      </c>
    </row>
    <row r="1500" customFormat="false" ht="15.75" hidden="false" customHeight="false" outlineLevel="0" collapsed="false">
      <c r="A1500" s="3" t="n">
        <v>46222</v>
      </c>
      <c r="B1500" s="4" t="s">
        <v>915</v>
      </c>
      <c r="C1500" s="4" t="n">
        <v>9</v>
      </c>
      <c r="D1500" s="4" t="n">
        <v>16</v>
      </c>
      <c r="E1500" s="4" t="s">
        <v>1511</v>
      </c>
      <c r="F1500" s="4" t="n">
        <v>6</v>
      </c>
      <c r="G1500" s="4" t="n">
        <v>12</v>
      </c>
      <c r="H1500" s="4" t="n">
        <v>4</v>
      </c>
      <c r="I1500" s="4" t="str">
        <v>×</v>
      </c>
      <c r="J1500" s="4"/>
      <c r="K1500" s="4"/>
      <c r="L1500" s="4"/>
      <c r="M1500" s="5" t="s">
        <v>917</v>
      </c>
    </row>
    <row r="1501" customFormat="false" ht="15.75" hidden="false" customHeight="false" outlineLevel="0" collapsed="false">
      <c r="A1501" s="3" t="n">
        <v>46222</v>
      </c>
      <c r="B1501" s="4" t="s">
        <v>915</v>
      </c>
      <c r="C1501" s="4" t="n">
        <v>10</v>
      </c>
      <c r="D1501" s="4" t="n">
        <v>1</v>
      </c>
      <c r="E1501" s="4" t="s">
        <v>1512</v>
      </c>
      <c r="F1501" s="4" t="n">
        <v>17</v>
      </c>
      <c r="G1501" s="4" t="n">
        <v>6</v>
      </c>
      <c r="H1501" s="4" t="n">
        <v>4</v>
      </c>
      <c r="I1501" s="4" t="str">
        <v>×</v>
      </c>
      <c r="J1501" s="4"/>
      <c r="K1501" s="4"/>
      <c r="L1501" s="4"/>
      <c r="M1501" s="5" t="s">
        <v>917</v>
      </c>
    </row>
    <row r="1502" customFormat="false" ht="15.75" hidden="false" customHeight="false" outlineLevel="0" collapsed="false">
      <c r="A1502" s="3" t="n">
        <v>46222</v>
      </c>
      <c r="B1502" s="4" t="s">
        <v>915</v>
      </c>
      <c r="C1502" s="4" t="n">
        <v>10</v>
      </c>
      <c r="D1502" s="4" t="n">
        <v>2</v>
      </c>
      <c r="E1502" s="4" t="s">
        <v>1513</v>
      </c>
      <c r="F1502" s="4" t="n">
        <v>8</v>
      </c>
      <c r="G1502" s="4" t="n">
        <v>8</v>
      </c>
      <c r="H1502" s="4" t="n">
        <v>4</v>
      </c>
      <c r="I1502" s="4" t="str">
        <v>×</v>
      </c>
      <c r="J1502" s="4"/>
      <c r="K1502" s="4"/>
      <c r="L1502" s="4"/>
      <c r="M1502" s="5" t="s">
        <v>917</v>
      </c>
    </row>
    <row r="1503" customFormat="false" ht="15.75" hidden="false" customHeight="false" outlineLevel="0" collapsed="false">
      <c r="A1503" s="3" t="n">
        <v>46222</v>
      </c>
      <c r="B1503" s="4" t="s">
        <v>915</v>
      </c>
      <c r="C1503" s="4" t="n">
        <v>10</v>
      </c>
      <c r="D1503" s="4" t="n">
        <v>3</v>
      </c>
      <c r="E1503" s="4" t="s">
        <v>1514</v>
      </c>
      <c r="F1503" s="4" t="n">
        <v>1</v>
      </c>
      <c r="G1503" s="4" t="n">
        <v>10</v>
      </c>
      <c r="H1503" s="4" t="n">
        <v>4</v>
      </c>
      <c r="I1503" s="4" t="str">
        <v>×</v>
      </c>
      <c r="J1503" s="4"/>
      <c r="K1503" s="4"/>
      <c r="L1503" s="4"/>
      <c r="M1503" s="5" t="s">
        <v>917</v>
      </c>
    </row>
    <row r="1504" customFormat="false" ht="15.75" hidden="false" customHeight="false" outlineLevel="0" collapsed="false">
      <c r="A1504" s="3" t="n">
        <v>46222</v>
      </c>
      <c r="B1504" s="4" t="s">
        <v>915</v>
      </c>
      <c r="C1504" s="4" t="n">
        <v>10</v>
      </c>
      <c r="D1504" s="4" t="n">
        <v>4</v>
      </c>
      <c r="E1504" s="4" t="s">
        <v>1515</v>
      </c>
      <c r="F1504" s="4" t="n">
        <v>74</v>
      </c>
      <c r="G1504" s="4" t="n">
        <v>1</v>
      </c>
      <c r="H1504" s="4" t="n">
        <v>2</v>
      </c>
      <c r="I1504" s="4" t="str">
        <v>○</v>
      </c>
      <c r="J1504" s="4" t="n">
        <v>120</v>
      </c>
      <c r="K1504" s="4"/>
      <c r="L1504" s="4"/>
      <c r="M1504" s="5" t="s">
        <v>917</v>
      </c>
    </row>
    <row r="1505" customFormat="false" ht="15.75" hidden="false" customHeight="false" outlineLevel="0" collapsed="false">
      <c r="A1505" s="3" t="n">
        <v>46222</v>
      </c>
      <c r="B1505" s="4" t="s">
        <v>915</v>
      </c>
      <c r="C1505" s="4" t="n">
        <v>10</v>
      </c>
      <c r="D1505" s="4" t="n">
        <v>5</v>
      </c>
      <c r="E1505" s="4" t="s">
        <v>1516</v>
      </c>
      <c r="F1505" s="4" t="n">
        <v>6</v>
      </c>
      <c r="G1505" s="4" t="n">
        <v>9</v>
      </c>
      <c r="H1505" s="4" t="n">
        <v>4</v>
      </c>
      <c r="I1505" s="4" t="str">
        <v>×</v>
      </c>
      <c r="J1505" s="4"/>
      <c r="K1505" s="4"/>
      <c r="L1505" s="4"/>
      <c r="M1505" s="5" t="s">
        <v>917</v>
      </c>
    </row>
    <row r="1506" customFormat="false" ht="15.75" hidden="false" customHeight="false" outlineLevel="0" collapsed="false">
      <c r="A1506" s="3" t="n">
        <v>46222</v>
      </c>
      <c r="B1506" s="4" t="s">
        <v>915</v>
      </c>
      <c r="C1506" s="4" t="n">
        <v>10</v>
      </c>
      <c r="D1506" s="4" t="n">
        <v>6</v>
      </c>
      <c r="E1506" s="4" t="s">
        <v>1517</v>
      </c>
      <c r="F1506" s="4" t="n">
        <v>44</v>
      </c>
      <c r="G1506" s="4" t="n">
        <v>2</v>
      </c>
      <c r="H1506" s="4" t="n">
        <v>3</v>
      </c>
      <c r="I1506" s="4" t="str">
        <v>○</v>
      </c>
      <c r="J1506" s="4" t="n">
        <v>130</v>
      </c>
      <c r="K1506" s="4"/>
      <c r="L1506" s="4"/>
      <c r="M1506" s="5" t="s">
        <v>917</v>
      </c>
    </row>
    <row r="1507" customFormat="false" ht="15.75" hidden="false" customHeight="false" outlineLevel="0" collapsed="false">
      <c r="A1507" s="3" t="n">
        <v>46222</v>
      </c>
      <c r="B1507" s="4" t="s">
        <v>915</v>
      </c>
      <c r="C1507" s="4" t="n">
        <v>10</v>
      </c>
      <c r="D1507" s="4" t="n">
        <v>7</v>
      </c>
      <c r="E1507" s="4" t="s">
        <v>1518</v>
      </c>
      <c r="F1507" s="4" t="n">
        <v>39</v>
      </c>
      <c r="G1507" s="4" t="n">
        <v>3</v>
      </c>
      <c r="H1507" s="4" t="n">
        <v>1</v>
      </c>
      <c r="I1507" s="4" t="str">
        <v>○</v>
      </c>
      <c r="J1507" s="4" t="n">
        <v>130</v>
      </c>
      <c r="K1507" s="4"/>
      <c r="L1507" s="4"/>
      <c r="M1507" s="5" t="s">
        <v>917</v>
      </c>
    </row>
    <row r="1508" customFormat="false" ht="15.75" hidden="false" customHeight="false" outlineLevel="0" collapsed="false">
      <c r="A1508" s="3" t="n">
        <v>46222</v>
      </c>
      <c r="B1508" s="4" t="s">
        <v>915</v>
      </c>
      <c r="C1508" s="4" t="n">
        <v>10</v>
      </c>
      <c r="D1508" s="4" t="n">
        <v>8</v>
      </c>
      <c r="E1508" s="4" t="s">
        <v>1519</v>
      </c>
      <c r="F1508" s="4" t="n">
        <v>20</v>
      </c>
      <c r="G1508" s="4" t="n">
        <v>5</v>
      </c>
      <c r="H1508" s="4" t="n">
        <v>4</v>
      </c>
      <c r="I1508" s="4" t="str">
        <v>×</v>
      </c>
      <c r="J1508" s="4"/>
      <c r="K1508" s="4"/>
      <c r="L1508" s="4"/>
      <c r="M1508" s="5" t="s">
        <v>917</v>
      </c>
    </row>
    <row r="1509" customFormat="false" ht="15.75" hidden="false" customHeight="false" outlineLevel="0" collapsed="false">
      <c r="A1509" s="3" t="n">
        <v>46222</v>
      </c>
      <c r="B1509" s="4" t="s">
        <v>915</v>
      </c>
      <c r="C1509" s="4" t="n">
        <v>10</v>
      </c>
      <c r="D1509" s="4" t="n">
        <v>9</v>
      </c>
      <c r="E1509" s="4" t="s">
        <v>1520</v>
      </c>
      <c r="F1509" s="4" t="n">
        <v>10</v>
      </c>
      <c r="G1509" s="4" t="n">
        <v>7</v>
      </c>
      <c r="H1509" s="4" t="n">
        <v>4</v>
      </c>
      <c r="I1509" s="4" t="str">
        <v>×</v>
      </c>
      <c r="J1509" s="4"/>
      <c r="K1509" s="4"/>
      <c r="L1509" s="4"/>
      <c r="M1509" s="5" t="s">
        <v>917</v>
      </c>
    </row>
    <row r="1510" customFormat="false" ht="15.75" hidden="false" customHeight="false" outlineLevel="0" collapsed="false">
      <c r="A1510" s="3" t="n">
        <v>46222</v>
      </c>
      <c r="B1510" s="4" t="s">
        <v>915</v>
      </c>
      <c r="C1510" s="4" t="n">
        <v>10</v>
      </c>
      <c r="D1510" s="4" t="n">
        <v>10</v>
      </c>
      <c r="E1510" s="4" t="s">
        <v>1521</v>
      </c>
      <c r="F1510" s="4" t="n">
        <v>29</v>
      </c>
      <c r="G1510" s="4" t="n">
        <v>4</v>
      </c>
      <c r="H1510" s="4" t="n">
        <v>4</v>
      </c>
      <c r="I1510" s="4" t="str">
        <v>×</v>
      </c>
      <c r="J1510" s="4"/>
      <c r="K1510" s="4"/>
      <c r="L1510" s="4"/>
      <c r="M1510" s="5" t="s">
        <v>917</v>
      </c>
    </row>
    <row r="1511" customFormat="false" ht="15.75" hidden="false" customHeight="false" outlineLevel="0" collapsed="false">
      <c r="A1511" s="3" t="n">
        <v>46222</v>
      </c>
      <c r="B1511" s="4" t="s">
        <v>915</v>
      </c>
      <c r="C1511" s="4" t="n">
        <v>10</v>
      </c>
      <c r="D1511" s="4" t="n">
        <v>11</v>
      </c>
      <c r="E1511" s="4" t="s">
        <v>1522</v>
      </c>
      <c r="F1511" s="4" t="n">
        <v>1</v>
      </c>
      <c r="G1511" s="4" t="n">
        <v>10</v>
      </c>
      <c r="H1511" s="4" t="n">
        <v>4</v>
      </c>
      <c r="I1511" s="4" t="str">
        <v>×</v>
      </c>
      <c r="J1511" s="4"/>
      <c r="K1511" s="4"/>
      <c r="L1511" s="4"/>
      <c r="M1511" s="5" t="s">
        <v>917</v>
      </c>
    </row>
    <row r="1512" customFormat="false" ht="15.75" hidden="false" customHeight="false" outlineLevel="0" collapsed="false">
      <c r="A1512" s="3" t="n">
        <v>46222</v>
      </c>
      <c r="B1512" s="4" t="s">
        <v>915</v>
      </c>
      <c r="C1512" s="4" t="n">
        <v>10</v>
      </c>
      <c r="D1512" s="4" t="n">
        <v>12</v>
      </c>
      <c r="E1512" s="4" t="s">
        <v>1523</v>
      </c>
      <c r="F1512" s="4" t="n">
        <v>17</v>
      </c>
      <c r="G1512" s="4" t="n">
        <v>6</v>
      </c>
      <c r="H1512" s="4" t="n">
        <v>4</v>
      </c>
      <c r="I1512" s="4" t="str">
        <v>×</v>
      </c>
      <c r="J1512" s="4"/>
      <c r="K1512" s="4"/>
      <c r="L1512" s="4"/>
      <c r="M1512" s="5" t="s">
        <v>917</v>
      </c>
    </row>
    <row r="1513" customFormat="false" ht="15.75" hidden="false" customHeight="false" outlineLevel="0" collapsed="false">
      <c r="A1513" s="3" t="n">
        <v>46222</v>
      </c>
      <c r="B1513" s="4" t="s">
        <v>915</v>
      </c>
      <c r="C1513" s="4" t="n">
        <v>11</v>
      </c>
      <c r="D1513" s="4" t="n">
        <v>1</v>
      </c>
      <c r="E1513" s="4" t="s">
        <v>1524</v>
      </c>
      <c r="F1513" s="4" t="n">
        <v>29</v>
      </c>
      <c r="G1513" s="4" t="n">
        <v>5</v>
      </c>
      <c r="H1513" s="4" t="n">
        <v>4</v>
      </c>
      <c r="I1513" s="4" t="str">
        <v>×</v>
      </c>
      <c r="J1513" s="4"/>
      <c r="K1513" s="4"/>
      <c r="L1513" s="4"/>
      <c r="M1513" s="5" t="s">
        <v>917</v>
      </c>
    </row>
    <row r="1514" customFormat="false" ht="15.75" hidden="false" customHeight="false" outlineLevel="0" collapsed="false">
      <c r="A1514" s="3" t="n">
        <v>46222</v>
      </c>
      <c r="B1514" s="4" t="s">
        <v>915</v>
      </c>
      <c r="C1514" s="4" t="n">
        <v>11</v>
      </c>
      <c r="D1514" s="4" t="n">
        <v>2</v>
      </c>
      <c r="E1514" s="4" t="s">
        <v>1525</v>
      </c>
      <c r="F1514" s="4" t="n">
        <v>6</v>
      </c>
      <c r="G1514" s="4" t="n">
        <v>11</v>
      </c>
      <c r="H1514" s="4" t="n">
        <v>1</v>
      </c>
      <c r="I1514" s="4" t="str">
        <v>○</v>
      </c>
      <c r="J1514" s="4" t="n">
        <v>760</v>
      </c>
      <c r="K1514" s="4"/>
      <c r="L1514" s="4"/>
      <c r="M1514" s="5" t="s">
        <v>917</v>
      </c>
    </row>
    <row r="1515" customFormat="false" ht="15.75" hidden="false" customHeight="false" outlineLevel="0" collapsed="false">
      <c r="A1515" s="3" t="n">
        <v>46222</v>
      </c>
      <c r="B1515" s="4" t="s">
        <v>915</v>
      </c>
      <c r="C1515" s="4" t="n">
        <v>11</v>
      </c>
      <c r="D1515" s="4" t="n">
        <v>3</v>
      </c>
      <c r="E1515" s="4" t="s">
        <v>1526</v>
      </c>
      <c r="F1515" s="4" t="n">
        <v>34</v>
      </c>
      <c r="G1515" s="4" t="n">
        <v>3</v>
      </c>
      <c r="H1515" s="4" t="n">
        <v>4</v>
      </c>
      <c r="I1515" s="4" t="str">
        <v>×</v>
      </c>
      <c r="J1515" s="4"/>
      <c r="K1515" s="4"/>
      <c r="L1515" s="4"/>
      <c r="M1515" s="5" t="s">
        <v>917</v>
      </c>
    </row>
    <row r="1516" customFormat="false" ht="15.75" hidden="false" customHeight="false" outlineLevel="0" collapsed="false">
      <c r="A1516" s="3" t="n">
        <v>46222</v>
      </c>
      <c r="B1516" s="4" t="s">
        <v>915</v>
      </c>
      <c r="C1516" s="4" t="n">
        <v>11</v>
      </c>
      <c r="D1516" s="4" t="n">
        <v>4</v>
      </c>
      <c r="E1516" s="4" t="s">
        <v>1527</v>
      </c>
      <c r="F1516" s="4" t="n">
        <v>4</v>
      </c>
      <c r="G1516" s="4" t="n">
        <v>12</v>
      </c>
      <c r="H1516" s="4" t="n">
        <v>4</v>
      </c>
      <c r="I1516" s="4" t="str">
        <v>×</v>
      </c>
      <c r="J1516" s="4"/>
      <c r="K1516" s="4"/>
      <c r="L1516" s="4"/>
      <c r="M1516" s="5" t="s">
        <v>917</v>
      </c>
    </row>
    <row r="1517" customFormat="false" ht="15.75" hidden="false" customHeight="false" outlineLevel="0" collapsed="false">
      <c r="A1517" s="3" t="n">
        <v>46222</v>
      </c>
      <c r="B1517" s="4" t="s">
        <v>915</v>
      </c>
      <c r="C1517" s="4" t="n">
        <v>11</v>
      </c>
      <c r="D1517" s="4" t="n">
        <v>5</v>
      </c>
      <c r="E1517" s="4" t="s">
        <v>1528</v>
      </c>
      <c r="F1517" s="4" t="n">
        <v>65</v>
      </c>
      <c r="G1517" s="4" t="n">
        <v>1</v>
      </c>
      <c r="H1517" s="4" t="n">
        <v>4</v>
      </c>
      <c r="I1517" s="4" t="str">
        <v>×</v>
      </c>
      <c r="J1517" s="4"/>
      <c r="K1517" s="4"/>
      <c r="L1517" s="4"/>
      <c r="M1517" s="5" t="s">
        <v>917</v>
      </c>
    </row>
    <row r="1518" customFormat="false" ht="15.75" hidden="false" customHeight="false" outlineLevel="0" collapsed="false">
      <c r="A1518" s="3" t="n">
        <v>46222</v>
      </c>
      <c r="B1518" s="4" t="s">
        <v>915</v>
      </c>
      <c r="C1518" s="4" t="n">
        <v>11</v>
      </c>
      <c r="D1518" s="4" t="n">
        <v>6</v>
      </c>
      <c r="E1518" s="4" t="s">
        <v>1529</v>
      </c>
      <c r="F1518" s="4" t="n">
        <v>4</v>
      </c>
      <c r="G1518" s="4" t="n">
        <v>12</v>
      </c>
      <c r="H1518" s="4" t="n">
        <v>4</v>
      </c>
      <c r="I1518" s="4" t="str">
        <v>×</v>
      </c>
      <c r="J1518" s="4"/>
      <c r="K1518" s="4"/>
      <c r="L1518" s="4"/>
      <c r="M1518" s="5" t="s">
        <v>917</v>
      </c>
    </row>
    <row r="1519" customFormat="false" ht="15.75" hidden="false" customHeight="false" outlineLevel="0" collapsed="false">
      <c r="A1519" s="3" t="n">
        <v>46222</v>
      </c>
      <c r="B1519" s="4" t="s">
        <v>915</v>
      </c>
      <c r="C1519" s="4" t="n">
        <v>11</v>
      </c>
      <c r="D1519" s="4" t="n">
        <v>7</v>
      </c>
      <c r="E1519" s="4" t="s">
        <v>1530</v>
      </c>
      <c r="F1519" s="4" t="n">
        <v>17</v>
      </c>
      <c r="G1519" s="4" t="n">
        <v>8</v>
      </c>
      <c r="H1519" s="4" t="n">
        <v>2</v>
      </c>
      <c r="I1519" s="4" t="str">
        <v>○</v>
      </c>
      <c r="J1519" s="4" t="n">
        <v>280</v>
      </c>
      <c r="K1519" s="4"/>
      <c r="L1519" s="4"/>
      <c r="M1519" s="5" t="s">
        <v>917</v>
      </c>
    </row>
    <row r="1520" customFormat="false" ht="15.75" hidden="false" customHeight="false" outlineLevel="0" collapsed="false">
      <c r="A1520" s="3" t="n">
        <v>46222</v>
      </c>
      <c r="B1520" s="4" t="s">
        <v>915</v>
      </c>
      <c r="C1520" s="4" t="n">
        <v>11</v>
      </c>
      <c r="D1520" s="4" t="n">
        <v>8</v>
      </c>
      <c r="E1520" s="4" t="s">
        <v>1531</v>
      </c>
      <c r="F1520" s="4" t="n">
        <v>25</v>
      </c>
      <c r="G1520" s="4" t="n">
        <v>6</v>
      </c>
      <c r="H1520" s="4" t="n">
        <v>4</v>
      </c>
      <c r="I1520" s="4" t="str">
        <v>×</v>
      </c>
      <c r="J1520" s="4"/>
      <c r="K1520" s="4"/>
      <c r="L1520" s="4"/>
      <c r="M1520" s="5" t="s">
        <v>917</v>
      </c>
    </row>
    <row r="1521" customFormat="false" ht="15.75" hidden="false" customHeight="false" outlineLevel="0" collapsed="false">
      <c r="A1521" s="3" t="n">
        <v>46222</v>
      </c>
      <c r="B1521" s="4" t="s">
        <v>915</v>
      </c>
      <c r="C1521" s="4" t="n">
        <v>11</v>
      </c>
      <c r="D1521" s="4" t="n">
        <v>9</v>
      </c>
      <c r="E1521" s="4" t="s">
        <v>1532</v>
      </c>
      <c r="F1521" s="4" t="n">
        <v>4</v>
      </c>
      <c r="G1521" s="4" t="n">
        <v>12</v>
      </c>
      <c r="H1521" s="4" t="n">
        <v>4</v>
      </c>
      <c r="I1521" s="4" t="str">
        <v>×</v>
      </c>
      <c r="J1521" s="4"/>
      <c r="K1521" s="4"/>
      <c r="L1521" s="4"/>
      <c r="M1521" s="5" t="s">
        <v>917</v>
      </c>
    </row>
    <row r="1522" customFormat="false" ht="15.75" hidden="false" customHeight="false" outlineLevel="0" collapsed="false">
      <c r="A1522" s="3" t="n">
        <v>46222</v>
      </c>
      <c r="B1522" s="4" t="s">
        <v>915</v>
      </c>
      <c r="C1522" s="4" t="n">
        <v>11</v>
      </c>
      <c r="D1522" s="4" t="n">
        <v>10</v>
      </c>
      <c r="E1522" s="4" t="s">
        <v>1533</v>
      </c>
      <c r="F1522" s="4" t="n">
        <v>10</v>
      </c>
      <c r="G1522" s="4" t="n">
        <v>10</v>
      </c>
      <c r="H1522" s="4" t="n">
        <v>4</v>
      </c>
      <c r="I1522" s="4" t="str">
        <v>×</v>
      </c>
      <c r="J1522" s="4"/>
      <c r="K1522" s="4"/>
      <c r="L1522" s="4"/>
      <c r="M1522" s="5" t="s">
        <v>917</v>
      </c>
    </row>
    <row r="1523" customFormat="false" ht="15.75" hidden="false" customHeight="false" outlineLevel="0" collapsed="false">
      <c r="A1523" s="3" t="n">
        <v>46222</v>
      </c>
      <c r="B1523" s="4" t="s">
        <v>915</v>
      </c>
      <c r="C1523" s="4" t="n">
        <v>11</v>
      </c>
      <c r="D1523" s="4" t="n">
        <v>11</v>
      </c>
      <c r="E1523" s="4" t="s">
        <v>1534</v>
      </c>
      <c r="F1523" s="4" t="n">
        <v>13</v>
      </c>
      <c r="G1523" s="4" t="n">
        <v>9</v>
      </c>
      <c r="H1523" s="4" t="n">
        <v>4</v>
      </c>
      <c r="I1523" s="4" t="str">
        <v>×</v>
      </c>
      <c r="J1523" s="4"/>
      <c r="K1523" s="4"/>
      <c r="L1523" s="4"/>
      <c r="M1523" s="5" t="s">
        <v>917</v>
      </c>
    </row>
    <row r="1524" customFormat="false" ht="15.75" hidden="false" customHeight="false" outlineLevel="0" collapsed="false">
      <c r="A1524" s="3" t="n">
        <v>46222</v>
      </c>
      <c r="B1524" s="4" t="s">
        <v>915</v>
      </c>
      <c r="C1524" s="4" t="n">
        <v>11</v>
      </c>
      <c r="D1524" s="4" t="n">
        <v>12</v>
      </c>
      <c r="E1524" s="4" t="s">
        <v>1535</v>
      </c>
      <c r="F1524" s="4" t="n">
        <v>3</v>
      </c>
      <c r="G1524" s="4" t="n">
        <v>13</v>
      </c>
      <c r="H1524" s="4" t="n">
        <v>4</v>
      </c>
      <c r="I1524" s="4" t="str">
        <v>×</v>
      </c>
      <c r="J1524" s="4"/>
      <c r="K1524" s="4"/>
      <c r="L1524" s="4"/>
      <c r="M1524" s="5" t="s">
        <v>917</v>
      </c>
    </row>
    <row r="1525" customFormat="false" ht="15.75" hidden="false" customHeight="false" outlineLevel="0" collapsed="false">
      <c r="A1525" s="3" t="n">
        <v>46222</v>
      </c>
      <c r="B1525" s="4" t="s">
        <v>915</v>
      </c>
      <c r="C1525" s="4" t="n">
        <v>11</v>
      </c>
      <c r="D1525" s="4" t="n">
        <v>13</v>
      </c>
      <c r="E1525" s="4" t="s">
        <v>1536</v>
      </c>
      <c r="F1525" s="4" t="n">
        <v>31</v>
      </c>
      <c r="G1525" s="4" t="n">
        <v>4</v>
      </c>
      <c r="H1525" s="4" t="n">
        <v>4</v>
      </c>
      <c r="I1525" s="4" t="str">
        <v>×</v>
      </c>
      <c r="J1525" s="4"/>
      <c r="K1525" s="4"/>
      <c r="L1525" s="4"/>
      <c r="M1525" s="5" t="s">
        <v>917</v>
      </c>
    </row>
    <row r="1526" customFormat="false" ht="15.75" hidden="false" customHeight="false" outlineLevel="0" collapsed="false">
      <c r="A1526" s="3" t="n">
        <v>46222</v>
      </c>
      <c r="B1526" s="4" t="s">
        <v>915</v>
      </c>
      <c r="C1526" s="4" t="n">
        <v>11</v>
      </c>
      <c r="D1526" s="4" t="n">
        <v>14</v>
      </c>
      <c r="E1526" s="4" t="s">
        <v>1537</v>
      </c>
      <c r="F1526" s="4" t="n">
        <v>1</v>
      </c>
      <c r="G1526" s="4" t="n">
        <v>14</v>
      </c>
      <c r="H1526" s="4" t="n">
        <v>3</v>
      </c>
      <c r="I1526" s="4" t="str">
        <v>○</v>
      </c>
      <c r="J1526" s="4" t="n">
        <v>400</v>
      </c>
      <c r="K1526" s="4"/>
      <c r="L1526" s="4"/>
      <c r="M1526" s="5" t="s">
        <v>917</v>
      </c>
    </row>
    <row r="1527" customFormat="false" ht="15.75" hidden="false" customHeight="false" outlineLevel="0" collapsed="false">
      <c r="A1527" s="3" t="n">
        <v>46222</v>
      </c>
      <c r="B1527" s="4" t="s">
        <v>915</v>
      </c>
      <c r="C1527" s="4" t="n">
        <v>11</v>
      </c>
      <c r="D1527" s="4" t="n">
        <v>15</v>
      </c>
      <c r="E1527" s="4" t="s">
        <v>1538</v>
      </c>
      <c r="F1527" s="4" t="n">
        <v>37</v>
      </c>
      <c r="G1527" s="4" t="n">
        <v>2</v>
      </c>
      <c r="H1527" s="4" t="n">
        <v>4</v>
      </c>
      <c r="I1527" s="4" t="str">
        <v>×</v>
      </c>
      <c r="J1527" s="4"/>
      <c r="K1527" s="4"/>
      <c r="L1527" s="4"/>
      <c r="M1527" s="5" t="s">
        <v>917</v>
      </c>
    </row>
    <row r="1528" customFormat="false" ht="15.75" hidden="false" customHeight="false" outlineLevel="0" collapsed="false">
      <c r="A1528" s="3" t="n">
        <v>46222</v>
      </c>
      <c r="B1528" s="4" t="s">
        <v>915</v>
      </c>
      <c r="C1528" s="4" t="n">
        <v>11</v>
      </c>
      <c r="D1528" s="4" t="n">
        <v>16</v>
      </c>
      <c r="E1528" s="4" t="s">
        <v>1539</v>
      </c>
      <c r="F1528" s="4" t="n">
        <v>20</v>
      </c>
      <c r="G1528" s="4" t="n">
        <v>7</v>
      </c>
      <c r="H1528" s="4" t="n">
        <v>4</v>
      </c>
      <c r="I1528" s="4" t="str">
        <v>×</v>
      </c>
      <c r="J1528" s="4"/>
      <c r="K1528" s="4"/>
      <c r="L1528" s="4"/>
      <c r="M1528" s="5" t="s">
        <v>917</v>
      </c>
    </row>
    <row r="1529" customFormat="false" ht="15.75" hidden="false" customHeight="false" outlineLevel="0" collapsed="false">
      <c r="A1529" s="3" t="n">
        <v>46222</v>
      </c>
      <c r="B1529" s="4" t="s">
        <v>915</v>
      </c>
      <c r="C1529" s="4" t="n">
        <v>12</v>
      </c>
      <c r="D1529" s="4" t="n">
        <v>1</v>
      </c>
      <c r="E1529" s="4" t="s">
        <v>1540</v>
      </c>
      <c r="F1529" s="4" t="n">
        <v>13</v>
      </c>
      <c r="G1529" s="4" t="n">
        <v>8</v>
      </c>
      <c r="H1529" s="4" t="n">
        <v>4</v>
      </c>
      <c r="I1529" s="4" t="str">
        <v>×</v>
      </c>
      <c r="J1529" s="4"/>
      <c r="K1529" s="4"/>
      <c r="L1529" s="4"/>
      <c r="M1529" s="5" t="s">
        <v>917</v>
      </c>
    </row>
    <row r="1530" customFormat="false" ht="15.75" hidden="false" customHeight="false" outlineLevel="0" collapsed="false">
      <c r="A1530" s="3" t="n">
        <v>46222</v>
      </c>
      <c r="B1530" s="4" t="s">
        <v>915</v>
      </c>
      <c r="C1530" s="4" t="n">
        <v>12</v>
      </c>
      <c r="D1530" s="4" t="n">
        <v>2</v>
      </c>
      <c r="E1530" s="4" t="s">
        <v>1541</v>
      </c>
      <c r="F1530" s="4" t="n">
        <v>3</v>
      </c>
      <c r="G1530" s="4" t="n">
        <v>11</v>
      </c>
      <c r="H1530" s="4" t="n">
        <v>4</v>
      </c>
      <c r="I1530" s="4" t="str">
        <v>×</v>
      </c>
      <c r="J1530" s="4"/>
      <c r="K1530" s="4"/>
      <c r="L1530" s="4"/>
      <c r="M1530" s="5" t="s">
        <v>917</v>
      </c>
    </row>
    <row r="1531" customFormat="false" ht="15.75" hidden="false" customHeight="false" outlineLevel="0" collapsed="false">
      <c r="A1531" s="3" t="n">
        <v>46222</v>
      </c>
      <c r="B1531" s="4" t="s">
        <v>915</v>
      </c>
      <c r="C1531" s="4" t="n">
        <v>12</v>
      </c>
      <c r="D1531" s="4" t="n">
        <v>3</v>
      </c>
      <c r="E1531" s="4" t="s">
        <v>1542</v>
      </c>
      <c r="F1531" s="4" t="n">
        <v>23</v>
      </c>
      <c r="G1531" s="4" t="n">
        <v>5</v>
      </c>
      <c r="H1531" s="4" t="n">
        <v>4</v>
      </c>
      <c r="I1531" s="4" t="str">
        <v>×</v>
      </c>
      <c r="J1531" s="4"/>
      <c r="K1531" s="4"/>
      <c r="L1531" s="4"/>
      <c r="M1531" s="5" t="s">
        <v>917</v>
      </c>
    </row>
    <row r="1532" customFormat="false" ht="15.75" hidden="false" customHeight="false" outlineLevel="0" collapsed="false">
      <c r="A1532" s="3" t="n">
        <v>46222</v>
      </c>
      <c r="B1532" s="4" t="s">
        <v>915</v>
      </c>
      <c r="C1532" s="4" t="n">
        <v>12</v>
      </c>
      <c r="D1532" s="4" t="n">
        <v>4</v>
      </c>
      <c r="E1532" s="4" t="s">
        <v>1543</v>
      </c>
      <c r="F1532" s="4" t="n">
        <v>20</v>
      </c>
      <c r="G1532" s="4" t="n">
        <v>6</v>
      </c>
      <c r="H1532" s="4" t="n">
        <v>2</v>
      </c>
      <c r="I1532" s="4" t="str">
        <v>○</v>
      </c>
      <c r="J1532" s="4" t="n">
        <v>330</v>
      </c>
      <c r="K1532" s="4"/>
      <c r="L1532" s="4"/>
      <c r="M1532" s="5" t="s">
        <v>917</v>
      </c>
    </row>
    <row r="1533" customFormat="false" ht="15.75" hidden="false" customHeight="false" outlineLevel="0" collapsed="false">
      <c r="A1533" s="3" t="n">
        <v>46222</v>
      </c>
      <c r="B1533" s="4" t="s">
        <v>915</v>
      </c>
      <c r="C1533" s="4" t="n">
        <v>12</v>
      </c>
      <c r="D1533" s="4" t="n">
        <v>5</v>
      </c>
      <c r="E1533" s="4" t="s">
        <v>1544</v>
      </c>
      <c r="F1533" s="4" t="n">
        <v>2</v>
      </c>
      <c r="G1533" s="4" t="n">
        <v>12</v>
      </c>
      <c r="H1533" s="4" t="n">
        <v>4</v>
      </c>
      <c r="I1533" s="4" t="str">
        <v>×</v>
      </c>
      <c r="J1533" s="4"/>
      <c r="K1533" s="4"/>
      <c r="L1533" s="4"/>
      <c r="M1533" s="5" t="s">
        <v>917</v>
      </c>
    </row>
    <row r="1534" customFormat="false" ht="15.75" hidden="false" customHeight="false" outlineLevel="0" collapsed="false">
      <c r="A1534" s="3" t="n">
        <v>46222</v>
      </c>
      <c r="B1534" s="4" t="s">
        <v>915</v>
      </c>
      <c r="C1534" s="4" t="n">
        <v>12</v>
      </c>
      <c r="D1534" s="4" t="n">
        <v>6</v>
      </c>
      <c r="E1534" s="4" t="s">
        <v>1545</v>
      </c>
      <c r="F1534" s="4" t="n">
        <v>37</v>
      </c>
      <c r="G1534" s="4" t="n">
        <v>4</v>
      </c>
      <c r="H1534" s="4" t="n">
        <v>3</v>
      </c>
      <c r="I1534" s="4" t="str">
        <v>○</v>
      </c>
      <c r="J1534" s="4" t="n">
        <v>220</v>
      </c>
      <c r="K1534" s="4"/>
      <c r="L1534" s="4"/>
      <c r="M1534" s="5" t="s">
        <v>917</v>
      </c>
    </row>
    <row r="1535" customFormat="false" ht="15.75" hidden="false" customHeight="false" outlineLevel="0" collapsed="false">
      <c r="A1535" s="3" t="n">
        <v>46222</v>
      </c>
      <c r="B1535" s="4" t="s">
        <v>915</v>
      </c>
      <c r="C1535" s="4" t="n">
        <v>12</v>
      </c>
      <c r="D1535" s="4" t="n">
        <v>7</v>
      </c>
      <c r="E1535" s="4" t="s">
        <v>1546</v>
      </c>
      <c r="F1535" s="4" t="n">
        <v>15</v>
      </c>
      <c r="G1535" s="4" t="n">
        <v>7</v>
      </c>
      <c r="H1535" s="4" t="n">
        <v>4</v>
      </c>
      <c r="I1535" s="4" t="str">
        <v>×</v>
      </c>
      <c r="J1535" s="4"/>
      <c r="K1535" s="4"/>
      <c r="L1535" s="4"/>
      <c r="M1535" s="5" t="s">
        <v>917</v>
      </c>
    </row>
    <row r="1536" customFormat="false" ht="15.75" hidden="false" customHeight="false" outlineLevel="0" collapsed="false">
      <c r="A1536" s="3" t="n">
        <v>46222</v>
      </c>
      <c r="B1536" s="4" t="s">
        <v>915</v>
      </c>
      <c r="C1536" s="4" t="n">
        <v>12</v>
      </c>
      <c r="D1536" s="4" t="n">
        <v>8</v>
      </c>
      <c r="E1536" s="4" t="s">
        <v>1547</v>
      </c>
      <c r="F1536" s="4" t="n">
        <v>3</v>
      </c>
      <c r="G1536" s="4" t="n">
        <v>11</v>
      </c>
      <c r="H1536" s="4" t="n">
        <v>4</v>
      </c>
      <c r="I1536" s="4" t="str">
        <v>×</v>
      </c>
      <c r="J1536" s="4"/>
      <c r="K1536" s="4"/>
      <c r="L1536" s="4"/>
      <c r="M1536" s="5" t="s">
        <v>917</v>
      </c>
    </row>
    <row r="1537" customFormat="false" ht="15.75" hidden="false" customHeight="false" outlineLevel="0" collapsed="false">
      <c r="A1537" s="3" t="n">
        <v>46222</v>
      </c>
      <c r="B1537" s="4" t="s">
        <v>915</v>
      </c>
      <c r="C1537" s="4" t="n">
        <v>12</v>
      </c>
      <c r="D1537" s="4" t="n">
        <v>9</v>
      </c>
      <c r="E1537" s="4" t="s">
        <v>1548</v>
      </c>
      <c r="F1537" s="4" t="n">
        <v>3</v>
      </c>
      <c r="G1537" s="4" t="n">
        <v>11</v>
      </c>
      <c r="H1537" s="4" t="n">
        <v>4</v>
      </c>
      <c r="I1537" s="4" t="str">
        <v>×</v>
      </c>
      <c r="J1537" s="4"/>
      <c r="K1537" s="4"/>
      <c r="L1537" s="4"/>
      <c r="M1537" s="5" t="s">
        <v>917</v>
      </c>
    </row>
    <row r="1538" customFormat="false" ht="15.75" hidden="false" customHeight="false" outlineLevel="0" collapsed="false">
      <c r="A1538" s="3" t="n">
        <v>46222</v>
      </c>
      <c r="B1538" s="4" t="s">
        <v>915</v>
      </c>
      <c r="C1538" s="4" t="n">
        <v>12</v>
      </c>
      <c r="D1538" s="4" t="n">
        <v>10</v>
      </c>
      <c r="E1538" s="4" t="s">
        <v>1549</v>
      </c>
      <c r="F1538" s="4" t="n">
        <v>3</v>
      </c>
      <c r="G1538" s="4" t="n">
        <v>11</v>
      </c>
      <c r="H1538" s="4" t="n">
        <v>4</v>
      </c>
      <c r="I1538" s="4" t="str">
        <v>×</v>
      </c>
      <c r="J1538" s="4"/>
      <c r="K1538" s="4"/>
      <c r="L1538" s="4"/>
      <c r="M1538" s="5" t="s">
        <v>917</v>
      </c>
    </row>
    <row r="1539" customFormat="false" ht="15.75" hidden="false" customHeight="false" outlineLevel="0" collapsed="false">
      <c r="A1539" s="3" t="n">
        <v>46222</v>
      </c>
      <c r="B1539" s="4" t="s">
        <v>915</v>
      </c>
      <c r="C1539" s="4" t="n">
        <v>12</v>
      </c>
      <c r="D1539" s="4" t="n">
        <v>11</v>
      </c>
      <c r="E1539" s="4" t="s">
        <v>1550</v>
      </c>
      <c r="F1539" s="4" t="n">
        <v>52</v>
      </c>
      <c r="G1539" s="4" t="n">
        <v>2</v>
      </c>
      <c r="H1539" s="4" t="n">
        <v>1</v>
      </c>
      <c r="I1539" s="4" t="str">
        <v>○</v>
      </c>
      <c r="J1539" s="4" t="n">
        <v>150</v>
      </c>
      <c r="K1539" s="4"/>
      <c r="L1539" s="4"/>
      <c r="M1539" s="5" t="s">
        <v>917</v>
      </c>
    </row>
    <row r="1540" customFormat="false" ht="15.75" hidden="false" customHeight="false" outlineLevel="0" collapsed="false">
      <c r="A1540" s="3" t="n">
        <v>46222</v>
      </c>
      <c r="B1540" s="4" t="s">
        <v>915</v>
      </c>
      <c r="C1540" s="4" t="n">
        <v>12</v>
      </c>
      <c r="D1540" s="4" t="n">
        <v>12</v>
      </c>
      <c r="E1540" s="4" t="s">
        <v>1551</v>
      </c>
      <c r="F1540" s="4" t="n">
        <v>4</v>
      </c>
      <c r="G1540" s="4" t="n">
        <v>10</v>
      </c>
      <c r="H1540" s="4" t="n">
        <v>4</v>
      </c>
      <c r="I1540" s="4" t="str">
        <v>×</v>
      </c>
      <c r="J1540" s="4"/>
      <c r="K1540" s="4"/>
      <c r="L1540" s="4"/>
      <c r="M1540" s="5" t="s">
        <v>917</v>
      </c>
    </row>
    <row r="1541" customFormat="false" ht="15.75" hidden="false" customHeight="false" outlineLevel="0" collapsed="false">
      <c r="A1541" s="3" t="n">
        <v>46222</v>
      </c>
      <c r="B1541" s="4" t="s">
        <v>915</v>
      </c>
      <c r="C1541" s="4" t="n">
        <v>12</v>
      </c>
      <c r="D1541" s="4" t="n">
        <v>13</v>
      </c>
      <c r="E1541" s="4" t="s">
        <v>1552</v>
      </c>
      <c r="F1541" s="4" t="n">
        <v>6</v>
      </c>
      <c r="G1541" s="4" t="n">
        <v>9</v>
      </c>
      <c r="H1541" s="4" t="n">
        <v>4</v>
      </c>
      <c r="I1541" s="4" t="str">
        <v>×</v>
      </c>
      <c r="J1541" s="4"/>
      <c r="K1541" s="4"/>
      <c r="L1541" s="4"/>
      <c r="M1541" s="5" t="s">
        <v>917</v>
      </c>
    </row>
    <row r="1542" customFormat="false" ht="15.75" hidden="false" customHeight="false" outlineLevel="0" collapsed="false">
      <c r="A1542" s="3" t="n">
        <v>46222</v>
      </c>
      <c r="B1542" s="4" t="s">
        <v>915</v>
      </c>
      <c r="C1542" s="4" t="n">
        <v>12</v>
      </c>
      <c r="D1542" s="4" t="n">
        <v>14</v>
      </c>
      <c r="E1542" s="4" t="s">
        <v>1553</v>
      </c>
      <c r="F1542" s="4" t="n">
        <v>62</v>
      </c>
      <c r="G1542" s="4" t="n">
        <v>1</v>
      </c>
      <c r="H1542" s="4" t="n">
        <v>4</v>
      </c>
      <c r="I1542" s="4" t="str">
        <v>×</v>
      </c>
      <c r="J1542" s="4"/>
      <c r="K1542" s="4"/>
      <c r="L1542" s="4"/>
      <c r="M1542" s="5" t="s">
        <v>917</v>
      </c>
    </row>
    <row r="1543" customFormat="false" ht="15.75" hidden="false" customHeight="false" outlineLevel="0" collapsed="false">
      <c r="A1543" s="3" t="n">
        <v>46222</v>
      </c>
      <c r="B1543" s="4" t="s">
        <v>915</v>
      </c>
      <c r="C1543" s="4" t="n">
        <v>12</v>
      </c>
      <c r="D1543" s="4" t="n">
        <v>15</v>
      </c>
      <c r="E1543" s="4" t="s">
        <v>1554</v>
      </c>
      <c r="F1543" s="4" t="n">
        <v>44</v>
      </c>
      <c r="G1543" s="4" t="n">
        <v>3</v>
      </c>
      <c r="H1543" s="4" t="n">
        <v>4</v>
      </c>
      <c r="I1543" s="4" t="str">
        <v>×</v>
      </c>
      <c r="J1543" s="4"/>
      <c r="K1543" s="4"/>
      <c r="L1543" s="4"/>
      <c r="M1543" s="5" t="s">
        <v>917</v>
      </c>
    </row>
    <row r="1544" customFormat="false" ht="15.75" hidden="false" customHeight="false" outlineLevel="0" collapsed="false">
      <c r="A1544" s="3" t="n">
        <v>46222</v>
      </c>
      <c r="B1544" s="4" t="s">
        <v>1091</v>
      </c>
      <c r="C1544" s="4" t="n">
        <v>1</v>
      </c>
      <c r="D1544" s="4" t="n">
        <v>1</v>
      </c>
      <c r="E1544" s="4" t="s">
        <v>1555</v>
      </c>
      <c r="F1544" s="4" t="n">
        <v>37</v>
      </c>
      <c r="G1544" s="4" t="n">
        <v>3</v>
      </c>
      <c r="H1544" s="4" t="n">
        <v>4</v>
      </c>
      <c r="I1544" s="4" t="str">
        <v>×</v>
      </c>
      <c r="J1544" s="4"/>
      <c r="K1544" s="4"/>
      <c r="L1544" s="4"/>
      <c r="M1544" s="5" t="s">
        <v>917</v>
      </c>
    </row>
    <row r="1545" customFormat="false" ht="15.75" hidden="false" customHeight="false" outlineLevel="0" collapsed="false">
      <c r="A1545" s="3" t="n">
        <v>46222</v>
      </c>
      <c r="B1545" s="4" t="s">
        <v>1091</v>
      </c>
      <c r="C1545" s="4" t="n">
        <v>1</v>
      </c>
      <c r="D1545" s="4" t="n">
        <v>2</v>
      </c>
      <c r="E1545" s="4" t="s">
        <v>1556</v>
      </c>
      <c r="F1545" s="4" t="n">
        <v>24</v>
      </c>
      <c r="G1545" s="4" t="n">
        <v>5</v>
      </c>
      <c r="H1545" s="4" t="n">
        <v>4</v>
      </c>
      <c r="I1545" s="4" t="str">
        <v>×</v>
      </c>
      <c r="J1545" s="4"/>
      <c r="K1545" s="4"/>
      <c r="L1545" s="4"/>
      <c r="M1545" s="5" t="s">
        <v>917</v>
      </c>
    </row>
    <row r="1546" customFormat="false" ht="15.75" hidden="false" customHeight="false" outlineLevel="0" collapsed="false">
      <c r="A1546" s="3" t="n">
        <v>46222</v>
      </c>
      <c r="B1546" s="4" t="s">
        <v>1091</v>
      </c>
      <c r="C1546" s="4" t="n">
        <v>1</v>
      </c>
      <c r="D1546" s="4" t="n">
        <v>3</v>
      </c>
      <c r="E1546" s="4" t="s">
        <v>1557</v>
      </c>
      <c r="F1546" s="4" t="n">
        <v>6</v>
      </c>
      <c r="G1546" s="4" t="n">
        <v>8</v>
      </c>
      <c r="H1546" s="4" t="n">
        <v>4</v>
      </c>
      <c r="I1546" s="4" t="str">
        <v>×</v>
      </c>
      <c r="J1546" s="4"/>
      <c r="K1546" s="4"/>
      <c r="L1546" s="4"/>
      <c r="M1546" s="5" t="s">
        <v>917</v>
      </c>
    </row>
    <row r="1547" customFormat="false" ht="15.75" hidden="false" customHeight="false" outlineLevel="0" collapsed="false">
      <c r="A1547" s="3" t="n">
        <v>46222</v>
      </c>
      <c r="B1547" s="4" t="s">
        <v>1091</v>
      </c>
      <c r="C1547" s="4" t="n">
        <v>1</v>
      </c>
      <c r="D1547" s="4" t="n">
        <v>4</v>
      </c>
      <c r="E1547" s="4" t="s">
        <v>1558</v>
      </c>
      <c r="F1547" s="4" t="n">
        <v>31</v>
      </c>
      <c r="G1547" s="4" t="n">
        <v>4</v>
      </c>
      <c r="H1547" s="4" t="n">
        <v>4</v>
      </c>
      <c r="I1547" s="4" t="str">
        <v>×</v>
      </c>
      <c r="J1547" s="4"/>
      <c r="K1547" s="4"/>
      <c r="L1547" s="4"/>
      <c r="M1547" s="5" t="s">
        <v>917</v>
      </c>
    </row>
    <row r="1548" customFormat="false" ht="15.75" hidden="false" customHeight="false" outlineLevel="0" collapsed="false">
      <c r="A1548" s="3" t="n">
        <v>46222</v>
      </c>
      <c r="B1548" s="4" t="s">
        <v>1091</v>
      </c>
      <c r="C1548" s="4" t="n">
        <v>1</v>
      </c>
      <c r="D1548" s="4" t="n">
        <v>5</v>
      </c>
      <c r="E1548" s="4" t="s">
        <v>1559</v>
      </c>
      <c r="F1548" s="4" t="n">
        <v>16</v>
      </c>
      <c r="G1548" s="4" t="n">
        <v>7</v>
      </c>
      <c r="H1548" s="4" t="n">
        <v>2</v>
      </c>
      <c r="I1548" s="4" t="str">
        <v>○</v>
      </c>
      <c r="J1548" s="4" t="n">
        <v>440</v>
      </c>
      <c r="K1548" s="4"/>
      <c r="L1548" s="4"/>
      <c r="M1548" s="5" t="s">
        <v>917</v>
      </c>
    </row>
    <row r="1549" customFormat="false" ht="15.75" hidden="false" customHeight="false" outlineLevel="0" collapsed="false">
      <c r="A1549" s="3" t="n">
        <v>46222</v>
      </c>
      <c r="B1549" s="4" t="s">
        <v>1091</v>
      </c>
      <c r="C1549" s="4" t="n">
        <v>1</v>
      </c>
      <c r="D1549" s="4" t="n">
        <v>6</v>
      </c>
      <c r="E1549" s="4" t="s">
        <v>1560</v>
      </c>
      <c r="F1549" s="4" t="n">
        <v>44</v>
      </c>
      <c r="G1549" s="4" t="n">
        <v>2</v>
      </c>
      <c r="H1549" s="4" t="n">
        <v>4</v>
      </c>
      <c r="I1549" s="4" t="str">
        <v>×</v>
      </c>
      <c r="J1549" s="4"/>
      <c r="K1549" s="4"/>
      <c r="L1549" s="4"/>
      <c r="M1549" s="5" t="s">
        <v>917</v>
      </c>
    </row>
    <row r="1550" customFormat="false" ht="15.75" hidden="false" customHeight="false" outlineLevel="0" collapsed="false">
      <c r="A1550" s="3" t="n">
        <v>46222</v>
      </c>
      <c r="B1550" s="4" t="s">
        <v>1091</v>
      </c>
      <c r="C1550" s="4" t="n">
        <v>1</v>
      </c>
      <c r="D1550" s="4" t="n">
        <v>7</v>
      </c>
      <c r="E1550" s="4" t="s">
        <v>1561</v>
      </c>
      <c r="F1550" s="4" t="n">
        <v>6</v>
      </c>
      <c r="G1550" s="4" t="n">
        <v>8</v>
      </c>
      <c r="H1550" s="4" t="n">
        <v>4</v>
      </c>
      <c r="I1550" s="4" t="str">
        <v>×</v>
      </c>
      <c r="J1550" s="4"/>
      <c r="K1550" s="4"/>
      <c r="L1550" s="4"/>
      <c r="M1550" s="5" t="s">
        <v>917</v>
      </c>
    </row>
    <row r="1551" customFormat="false" ht="15.75" hidden="false" customHeight="false" outlineLevel="0" collapsed="false">
      <c r="A1551" s="3" t="n">
        <v>46222</v>
      </c>
      <c r="B1551" s="4" t="s">
        <v>1091</v>
      </c>
      <c r="C1551" s="4" t="n">
        <v>1</v>
      </c>
      <c r="D1551" s="4" t="n">
        <v>8</v>
      </c>
      <c r="E1551" s="4" t="s">
        <v>1562</v>
      </c>
      <c r="F1551" s="4" t="n">
        <v>55</v>
      </c>
      <c r="G1551" s="4" t="n">
        <v>1</v>
      </c>
      <c r="H1551" s="4" t="n">
        <v>3</v>
      </c>
      <c r="I1551" s="4" t="str">
        <v>○</v>
      </c>
      <c r="J1551" s="4" t="n">
        <v>190</v>
      </c>
      <c r="K1551" s="4"/>
      <c r="L1551" s="4"/>
      <c r="M1551" s="5" t="s">
        <v>917</v>
      </c>
    </row>
    <row r="1552" customFormat="false" ht="15.75" hidden="false" customHeight="false" outlineLevel="0" collapsed="false">
      <c r="A1552" s="3" t="n">
        <v>46222</v>
      </c>
      <c r="B1552" s="4" t="s">
        <v>1091</v>
      </c>
      <c r="C1552" s="4" t="n">
        <v>1</v>
      </c>
      <c r="D1552" s="4" t="n">
        <v>9</v>
      </c>
      <c r="E1552" s="4" t="s">
        <v>1563</v>
      </c>
      <c r="F1552" s="4" t="n">
        <v>55</v>
      </c>
      <c r="G1552" s="4" t="n">
        <v>1</v>
      </c>
      <c r="H1552" s="4" t="n">
        <v>4</v>
      </c>
      <c r="I1552" s="4" t="str">
        <v>×</v>
      </c>
      <c r="J1552" s="4"/>
      <c r="K1552" s="4"/>
      <c r="L1552" s="4"/>
      <c r="M1552" s="5" t="s">
        <v>917</v>
      </c>
    </row>
    <row r="1553" customFormat="false" ht="15.75" hidden="false" customHeight="false" outlineLevel="0" collapsed="false">
      <c r="A1553" s="3" t="n">
        <v>46222</v>
      </c>
      <c r="B1553" s="4" t="s">
        <v>1091</v>
      </c>
      <c r="C1553" s="4" t="n">
        <v>1</v>
      </c>
      <c r="D1553" s="4" t="n">
        <v>10</v>
      </c>
      <c r="E1553" s="4" t="s">
        <v>1564</v>
      </c>
      <c r="F1553" s="4" t="n">
        <v>37</v>
      </c>
      <c r="G1553" s="4" t="n">
        <v>3</v>
      </c>
      <c r="H1553" s="4" t="n">
        <v>1</v>
      </c>
      <c r="I1553" s="4" t="str">
        <v>○</v>
      </c>
      <c r="J1553" s="4" t="n">
        <v>320</v>
      </c>
      <c r="K1553" s="4"/>
      <c r="L1553" s="4"/>
      <c r="M1553" s="5" t="s">
        <v>917</v>
      </c>
    </row>
    <row r="1554" customFormat="false" ht="15.75" hidden="false" customHeight="false" outlineLevel="0" collapsed="false">
      <c r="A1554" s="3" t="n">
        <v>46222</v>
      </c>
      <c r="B1554" s="4" t="s">
        <v>1091</v>
      </c>
      <c r="C1554" s="4" t="n">
        <v>1</v>
      </c>
      <c r="D1554" s="4" t="n">
        <v>11</v>
      </c>
      <c r="E1554" s="4" t="s">
        <v>1565</v>
      </c>
      <c r="F1554" s="4" t="n">
        <v>21</v>
      </c>
      <c r="G1554" s="4" t="n">
        <v>6</v>
      </c>
      <c r="H1554" s="4" t="n">
        <v>4</v>
      </c>
      <c r="I1554" s="4" t="str">
        <v>×</v>
      </c>
      <c r="J1554" s="4"/>
      <c r="K1554" s="4"/>
      <c r="L1554" s="4"/>
      <c r="M1554" s="5" t="s">
        <v>917</v>
      </c>
    </row>
    <row r="1555" customFormat="false" ht="15.75" hidden="false" customHeight="false" outlineLevel="0" collapsed="false">
      <c r="A1555" s="3" t="n">
        <v>46222</v>
      </c>
      <c r="B1555" s="4" t="s">
        <v>1091</v>
      </c>
      <c r="C1555" s="4" t="n">
        <v>2</v>
      </c>
      <c r="D1555" s="4" t="n">
        <v>1</v>
      </c>
      <c r="E1555" s="4" t="s">
        <v>1566</v>
      </c>
      <c r="F1555" s="4" t="n">
        <v>23</v>
      </c>
      <c r="G1555" s="4" t="n">
        <v>5</v>
      </c>
      <c r="H1555" s="4" t="n">
        <v>4</v>
      </c>
      <c r="I1555" s="4" t="str">
        <v>×</v>
      </c>
      <c r="J1555" s="4"/>
      <c r="K1555" s="4"/>
      <c r="L1555" s="4"/>
      <c r="M1555" s="5" t="s">
        <v>917</v>
      </c>
    </row>
    <row r="1556" customFormat="false" ht="15.75" hidden="false" customHeight="false" outlineLevel="0" collapsed="false">
      <c r="A1556" s="3" t="n">
        <v>46222</v>
      </c>
      <c r="B1556" s="4" t="s">
        <v>1091</v>
      </c>
      <c r="C1556" s="4" t="n">
        <v>2</v>
      </c>
      <c r="D1556" s="4" t="n">
        <v>2</v>
      </c>
      <c r="E1556" s="4" t="s">
        <v>1567</v>
      </c>
      <c r="F1556" s="4" t="n">
        <v>29</v>
      </c>
      <c r="G1556" s="4" t="n">
        <v>4</v>
      </c>
      <c r="H1556" s="4" t="n">
        <v>1</v>
      </c>
      <c r="I1556" s="4" t="str">
        <v>○</v>
      </c>
      <c r="J1556" s="4" t="n">
        <v>240</v>
      </c>
      <c r="K1556" s="4"/>
      <c r="L1556" s="4"/>
      <c r="M1556" s="5" t="s">
        <v>917</v>
      </c>
    </row>
    <row r="1557" customFormat="false" ht="15.75" hidden="false" customHeight="false" outlineLevel="0" collapsed="false">
      <c r="A1557" s="3" t="n">
        <v>46222</v>
      </c>
      <c r="B1557" s="4" t="s">
        <v>1091</v>
      </c>
      <c r="C1557" s="4" t="n">
        <v>2</v>
      </c>
      <c r="D1557" s="4" t="n">
        <v>3</v>
      </c>
      <c r="E1557" s="4" t="s">
        <v>1568</v>
      </c>
      <c r="F1557" s="4" t="n">
        <v>37</v>
      </c>
      <c r="G1557" s="4" t="n">
        <v>2</v>
      </c>
      <c r="H1557" s="4" t="n">
        <v>2</v>
      </c>
      <c r="I1557" s="4" t="str">
        <v>○</v>
      </c>
      <c r="J1557" s="4" t="n">
        <v>330</v>
      </c>
      <c r="K1557" s="4"/>
      <c r="L1557" s="4"/>
      <c r="M1557" s="5" t="s">
        <v>917</v>
      </c>
    </row>
    <row r="1558" customFormat="false" ht="15.75" hidden="false" customHeight="false" outlineLevel="0" collapsed="false">
      <c r="A1558" s="3" t="n">
        <v>46222</v>
      </c>
      <c r="B1558" s="4" t="s">
        <v>1091</v>
      </c>
      <c r="C1558" s="4" t="n">
        <v>2</v>
      </c>
      <c r="D1558" s="4" t="n">
        <v>4</v>
      </c>
      <c r="E1558" s="4" t="s">
        <v>1569</v>
      </c>
      <c r="F1558" s="4" t="n">
        <v>6</v>
      </c>
      <c r="G1558" s="4" t="n">
        <v>11</v>
      </c>
      <c r="H1558" s="4" t="n">
        <v>4</v>
      </c>
      <c r="I1558" s="4" t="str">
        <v>×</v>
      </c>
      <c r="J1558" s="4"/>
      <c r="K1558" s="4"/>
      <c r="L1558" s="4"/>
      <c r="M1558" s="5" t="s">
        <v>917</v>
      </c>
    </row>
    <row r="1559" customFormat="false" ht="15.75" hidden="false" customHeight="false" outlineLevel="0" collapsed="false">
      <c r="A1559" s="3" t="n">
        <v>46222</v>
      </c>
      <c r="B1559" s="4" t="s">
        <v>1091</v>
      </c>
      <c r="C1559" s="4" t="n">
        <v>2</v>
      </c>
      <c r="D1559" s="4" t="n">
        <v>5</v>
      </c>
      <c r="E1559" s="4" t="s">
        <v>1570</v>
      </c>
      <c r="F1559" s="4" t="n">
        <v>37</v>
      </c>
      <c r="G1559" s="4" t="n">
        <v>2</v>
      </c>
      <c r="H1559" s="4" t="n">
        <v>3</v>
      </c>
      <c r="I1559" s="4" t="str">
        <v>○</v>
      </c>
      <c r="J1559" s="4" t="n">
        <v>200</v>
      </c>
      <c r="K1559" s="4"/>
      <c r="L1559" s="4"/>
      <c r="M1559" s="5" t="s">
        <v>917</v>
      </c>
    </row>
    <row r="1560" customFormat="false" ht="15.75" hidden="false" customHeight="false" outlineLevel="0" collapsed="false">
      <c r="A1560" s="3" t="n">
        <v>46222</v>
      </c>
      <c r="B1560" s="4" t="s">
        <v>1091</v>
      </c>
      <c r="C1560" s="4" t="n">
        <v>2</v>
      </c>
      <c r="D1560" s="4" t="n">
        <v>6</v>
      </c>
      <c r="E1560" s="4" t="s">
        <v>1571</v>
      </c>
      <c r="F1560" s="4" t="n">
        <v>62</v>
      </c>
      <c r="G1560" s="4" t="n">
        <v>1</v>
      </c>
      <c r="H1560" s="4" t="n">
        <v>4</v>
      </c>
      <c r="I1560" s="4" t="str">
        <v>×</v>
      </c>
      <c r="J1560" s="4"/>
      <c r="K1560" s="4"/>
      <c r="L1560" s="4"/>
      <c r="M1560" s="5" t="s">
        <v>917</v>
      </c>
    </row>
    <row r="1561" customFormat="false" ht="15.75" hidden="false" customHeight="false" outlineLevel="0" collapsed="false">
      <c r="A1561" s="3" t="n">
        <v>46222</v>
      </c>
      <c r="B1561" s="4" t="s">
        <v>1091</v>
      </c>
      <c r="C1561" s="4" t="n">
        <v>2</v>
      </c>
      <c r="D1561" s="4" t="n">
        <v>7</v>
      </c>
      <c r="E1561" s="4" t="s">
        <v>1572</v>
      </c>
      <c r="F1561" s="4" t="n">
        <v>13</v>
      </c>
      <c r="G1561" s="4" t="n">
        <v>8</v>
      </c>
      <c r="H1561" s="4" t="n">
        <v>4</v>
      </c>
      <c r="I1561" s="4" t="str">
        <v>×</v>
      </c>
      <c r="J1561" s="4"/>
      <c r="K1561" s="4"/>
      <c r="L1561" s="4"/>
      <c r="M1561" s="5" t="s">
        <v>917</v>
      </c>
    </row>
    <row r="1562" customFormat="false" ht="15.75" hidden="false" customHeight="false" outlineLevel="0" collapsed="false">
      <c r="A1562" s="3" t="n">
        <v>46222</v>
      </c>
      <c r="B1562" s="4" t="s">
        <v>1091</v>
      </c>
      <c r="C1562" s="4" t="n">
        <v>2</v>
      </c>
      <c r="D1562" s="4" t="n">
        <v>8</v>
      </c>
      <c r="E1562" s="4" t="s">
        <v>1573</v>
      </c>
      <c r="F1562" s="4" t="n">
        <v>8</v>
      </c>
      <c r="G1562" s="4" t="n">
        <v>10</v>
      </c>
      <c r="H1562" s="4" t="n">
        <v>4</v>
      </c>
      <c r="I1562" s="4" t="str">
        <v>×</v>
      </c>
      <c r="J1562" s="4"/>
      <c r="K1562" s="4"/>
      <c r="L1562" s="4"/>
      <c r="M1562" s="5" t="s">
        <v>917</v>
      </c>
    </row>
    <row r="1563" customFormat="false" ht="15.75" hidden="false" customHeight="false" outlineLevel="0" collapsed="false">
      <c r="A1563" s="3" t="n">
        <v>46222</v>
      </c>
      <c r="B1563" s="4" t="s">
        <v>1091</v>
      </c>
      <c r="C1563" s="4" t="n">
        <v>2</v>
      </c>
      <c r="D1563" s="4" t="n">
        <v>9</v>
      </c>
      <c r="E1563" s="4" t="s">
        <v>1574</v>
      </c>
      <c r="F1563" s="4" t="n">
        <v>13</v>
      </c>
      <c r="G1563" s="4" t="n">
        <v>8</v>
      </c>
      <c r="H1563" s="4" t="n">
        <v>4</v>
      </c>
      <c r="I1563" s="4" t="str">
        <v>×</v>
      </c>
      <c r="J1563" s="4"/>
      <c r="K1563" s="4"/>
      <c r="L1563" s="4"/>
      <c r="M1563" s="5" t="s">
        <v>917</v>
      </c>
    </row>
    <row r="1564" customFormat="false" ht="15.75" hidden="false" customHeight="false" outlineLevel="0" collapsed="false">
      <c r="A1564" s="3" t="n">
        <v>46222</v>
      </c>
      <c r="B1564" s="4" t="s">
        <v>1091</v>
      </c>
      <c r="C1564" s="4" t="n">
        <v>2</v>
      </c>
      <c r="D1564" s="4" t="n">
        <v>10</v>
      </c>
      <c r="E1564" s="4" t="s">
        <v>1575</v>
      </c>
      <c r="F1564" s="4" t="n">
        <v>4</v>
      </c>
      <c r="G1564" s="4" t="n">
        <v>12</v>
      </c>
      <c r="H1564" s="4" t="n">
        <v>4</v>
      </c>
      <c r="I1564" s="4" t="str">
        <v>×</v>
      </c>
      <c r="J1564" s="4"/>
      <c r="K1564" s="4"/>
      <c r="L1564" s="4"/>
      <c r="M1564" s="5" t="s">
        <v>917</v>
      </c>
    </row>
    <row r="1565" customFormat="false" ht="15.75" hidden="false" customHeight="false" outlineLevel="0" collapsed="false">
      <c r="A1565" s="3" t="n">
        <v>46222</v>
      </c>
      <c r="B1565" s="4" t="s">
        <v>1091</v>
      </c>
      <c r="C1565" s="4" t="n">
        <v>2</v>
      </c>
      <c r="D1565" s="4" t="n">
        <v>11</v>
      </c>
      <c r="E1565" s="4" t="s">
        <v>1576</v>
      </c>
      <c r="F1565" s="4" t="n">
        <v>10</v>
      </c>
      <c r="G1565" s="4" t="n">
        <v>9</v>
      </c>
      <c r="H1565" s="4" t="n">
        <v>4</v>
      </c>
      <c r="I1565" s="4" t="str">
        <v>×</v>
      </c>
      <c r="J1565" s="4"/>
      <c r="K1565" s="4"/>
      <c r="L1565" s="4"/>
      <c r="M1565" s="5" t="s">
        <v>917</v>
      </c>
    </row>
    <row r="1566" customFormat="false" ht="15.75" hidden="false" customHeight="false" outlineLevel="0" collapsed="false">
      <c r="A1566" s="3" t="n">
        <v>46222</v>
      </c>
      <c r="B1566" s="4" t="s">
        <v>1091</v>
      </c>
      <c r="C1566" s="4" t="n">
        <v>2</v>
      </c>
      <c r="D1566" s="4" t="n">
        <v>12</v>
      </c>
      <c r="E1566" s="4" t="s">
        <v>1577</v>
      </c>
      <c r="F1566" s="4" t="n">
        <v>4</v>
      </c>
      <c r="G1566" s="4" t="n">
        <v>12</v>
      </c>
      <c r="H1566" s="4" t="n">
        <v>4</v>
      </c>
      <c r="I1566" s="4" t="str">
        <v>×</v>
      </c>
      <c r="J1566" s="4"/>
      <c r="K1566" s="4"/>
      <c r="L1566" s="4"/>
      <c r="M1566" s="5" t="s">
        <v>917</v>
      </c>
    </row>
    <row r="1567" customFormat="false" ht="15.75" hidden="false" customHeight="false" outlineLevel="0" collapsed="false">
      <c r="A1567" s="3" t="n">
        <v>46222</v>
      </c>
      <c r="B1567" s="4" t="s">
        <v>1091</v>
      </c>
      <c r="C1567" s="4" t="n">
        <v>2</v>
      </c>
      <c r="D1567" s="4" t="n">
        <v>13</v>
      </c>
      <c r="E1567" s="4" t="s">
        <v>1578</v>
      </c>
      <c r="F1567" s="4" t="n">
        <v>31</v>
      </c>
      <c r="G1567" s="4" t="n">
        <v>3</v>
      </c>
      <c r="H1567" s="4" t="n">
        <v>4</v>
      </c>
      <c r="I1567" s="4" t="str">
        <v>×</v>
      </c>
      <c r="J1567" s="4"/>
      <c r="K1567" s="4"/>
      <c r="L1567" s="4"/>
      <c r="M1567" s="5" t="s">
        <v>917</v>
      </c>
    </row>
    <row r="1568" customFormat="false" ht="15.75" hidden="false" customHeight="false" outlineLevel="0" collapsed="false">
      <c r="A1568" s="3" t="n">
        <v>46222</v>
      </c>
      <c r="B1568" s="4" t="s">
        <v>1091</v>
      </c>
      <c r="C1568" s="4" t="n">
        <v>2</v>
      </c>
      <c r="D1568" s="4" t="n">
        <v>14</v>
      </c>
      <c r="E1568" s="4" t="s">
        <v>1579</v>
      </c>
      <c r="F1568" s="4" t="n">
        <v>15</v>
      </c>
      <c r="G1568" s="4" t="n">
        <v>7</v>
      </c>
      <c r="H1568" s="4" t="n">
        <v>4</v>
      </c>
      <c r="I1568" s="4" t="str">
        <v>×</v>
      </c>
      <c r="J1568" s="4"/>
      <c r="K1568" s="4"/>
      <c r="L1568" s="4"/>
      <c r="M1568" s="5" t="s">
        <v>917</v>
      </c>
    </row>
    <row r="1569" customFormat="false" ht="15.75" hidden="false" customHeight="false" outlineLevel="0" collapsed="false">
      <c r="A1569" s="3" t="n">
        <v>46222</v>
      </c>
      <c r="B1569" s="4" t="s">
        <v>1091</v>
      </c>
      <c r="C1569" s="4" t="n">
        <v>2</v>
      </c>
      <c r="D1569" s="4" t="n">
        <v>15</v>
      </c>
      <c r="E1569" s="4" t="s">
        <v>1580</v>
      </c>
      <c r="F1569" s="4" t="n">
        <v>2</v>
      </c>
      <c r="G1569" s="4" t="n">
        <v>14</v>
      </c>
      <c r="H1569" s="4" t="n">
        <v>4</v>
      </c>
      <c r="I1569" s="4" t="str">
        <v>×</v>
      </c>
      <c r="J1569" s="4"/>
      <c r="K1569" s="4"/>
      <c r="L1569" s="4"/>
      <c r="M1569" s="5" t="s">
        <v>917</v>
      </c>
    </row>
    <row r="1570" customFormat="false" ht="15.75" hidden="false" customHeight="false" outlineLevel="0" collapsed="false">
      <c r="A1570" s="3" t="n">
        <v>46222</v>
      </c>
      <c r="B1570" s="4" t="s">
        <v>1091</v>
      </c>
      <c r="C1570" s="4" t="n">
        <v>2</v>
      </c>
      <c r="D1570" s="4" t="n">
        <v>16</v>
      </c>
      <c r="E1570" s="4" t="s">
        <v>1581</v>
      </c>
      <c r="F1570" s="4" t="n">
        <v>8</v>
      </c>
      <c r="G1570" s="4" t="n">
        <v>10</v>
      </c>
      <c r="H1570" s="4" t="n">
        <v>4</v>
      </c>
      <c r="I1570" s="4" t="str">
        <v>×</v>
      </c>
      <c r="J1570" s="4"/>
      <c r="K1570" s="4"/>
      <c r="L1570" s="4"/>
      <c r="M1570" s="5" t="s">
        <v>917</v>
      </c>
    </row>
    <row r="1571" customFormat="false" ht="15.75" hidden="false" customHeight="false" outlineLevel="0" collapsed="false">
      <c r="A1571" s="3" t="n">
        <v>46222</v>
      </c>
      <c r="B1571" s="4" t="s">
        <v>1091</v>
      </c>
      <c r="C1571" s="4" t="n">
        <v>2</v>
      </c>
      <c r="D1571" s="4" t="n">
        <v>17</v>
      </c>
      <c r="E1571" s="4" t="s">
        <v>1582</v>
      </c>
      <c r="F1571" s="4" t="n">
        <v>20</v>
      </c>
      <c r="G1571" s="4" t="n">
        <v>6</v>
      </c>
      <c r="H1571" s="4" t="n">
        <v>4</v>
      </c>
      <c r="I1571" s="4" t="str">
        <v>×</v>
      </c>
      <c r="J1571" s="4"/>
      <c r="K1571" s="4"/>
      <c r="L1571" s="4"/>
      <c r="M1571" s="5" t="s">
        <v>917</v>
      </c>
    </row>
    <row r="1572" customFormat="false" ht="15.75" hidden="false" customHeight="false" outlineLevel="0" collapsed="false">
      <c r="A1572" s="3" t="n">
        <v>46222</v>
      </c>
      <c r="B1572" s="4" t="s">
        <v>1091</v>
      </c>
      <c r="C1572" s="4" t="n">
        <v>2</v>
      </c>
      <c r="D1572" s="4" t="n">
        <v>18</v>
      </c>
      <c r="E1572" s="4" t="s">
        <v>1583</v>
      </c>
      <c r="F1572" s="4" t="n">
        <v>3</v>
      </c>
      <c r="G1572" s="4" t="n">
        <v>13</v>
      </c>
      <c r="H1572" s="4" t="n">
        <v>4</v>
      </c>
      <c r="I1572" s="4" t="str">
        <v>×</v>
      </c>
      <c r="J1572" s="4"/>
      <c r="K1572" s="4"/>
      <c r="L1572" s="4"/>
      <c r="M1572" s="5" t="s">
        <v>917</v>
      </c>
    </row>
    <row r="1573" customFormat="false" ht="15.75" hidden="false" customHeight="false" outlineLevel="0" collapsed="false">
      <c r="A1573" s="3" t="n">
        <v>46222</v>
      </c>
      <c r="B1573" s="4" t="s">
        <v>1091</v>
      </c>
      <c r="C1573" s="4" t="n">
        <v>3</v>
      </c>
      <c r="D1573" s="4" t="n">
        <v>1</v>
      </c>
      <c r="E1573" s="4" t="s">
        <v>1584</v>
      </c>
      <c r="F1573" s="4" t="n">
        <v>8</v>
      </c>
      <c r="G1573" s="4" t="n">
        <v>10</v>
      </c>
      <c r="H1573" s="4" t="n">
        <v>4</v>
      </c>
      <c r="I1573" s="4" t="str">
        <v>×</v>
      </c>
      <c r="J1573" s="4"/>
      <c r="K1573" s="4"/>
      <c r="L1573" s="4"/>
      <c r="M1573" s="5" t="s">
        <v>917</v>
      </c>
    </row>
    <row r="1574" customFormat="false" ht="15.75" hidden="false" customHeight="false" outlineLevel="0" collapsed="false">
      <c r="A1574" s="3" t="n">
        <v>46222</v>
      </c>
      <c r="B1574" s="4" t="s">
        <v>1091</v>
      </c>
      <c r="C1574" s="4" t="n">
        <v>3</v>
      </c>
      <c r="D1574" s="4" t="n">
        <v>2</v>
      </c>
      <c r="E1574" s="4" t="s">
        <v>1585</v>
      </c>
      <c r="F1574" s="4" t="n">
        <v>15</v>
      </c>
      <c r="G1574" s="4" t="n">
        <v>7</v>
      </c>
      <c r="H1574" s="4" t="n">
        <v>4</v>
      </c>
      <c r="I1574" s="4" t="str">
        <v>×</v>
      </c>
      <c r="J1574" s="4"/>
      <c r="K1574" s="4"/>
      <c r="L1574" s="4"/>
      <c r="M1574" s="5" t="s">
        <v>917</v>
      </c>
    </row>
    <row r="1575" customFormat="false" ht="15.75" hidden="false" customHeight="false" outlineLevel="0" collapsed="false">
      <c r="A1575" s="3" t="n">
        <v>46222</v>
      </c>
      <c r="B1575" s="4" t="s">
        <v>1091</v>
      </c>
      <c r="C1575" s="4" t="n">
        <v>3</v>
      </c>
      <c r="D1575" s="4" t="n">
        <v>3</v>
      </c>
      <c r="E1575" s="4" t="s">
        <v>1586</v>
      </c>
      <c r="F1575" s="4" t="n">
        <v>10</v>
      </c>
      <c r="G1575" s="4" t="n">
        <v>9</v>
      </c>
      <c r="H1575" s="4" t="n">
        <v>4</v>
      </c>
      <c r="I1575" s="4" t="str">
        <v>×</v>
      </c>
      <c r="J1575" s="4"/>
      <c r="K1575" s="4"/>
      <c r="L1575" s="4"/>
      <c r="M1575" s="5" t="s">
        <v>917</v>
      </c>
    </row>
    <row r="1576" customFormat="false" ht="15.75" hidden="false" customHeight="false" outlineLevel="0" collapsed="false">
      <c r="A1576" s="3" t="n">
        <v>46222</v>
      </c>
      <c r="B1576" s="4" t="s">
        <v>1091</v>
      </c>
      <c r="C1576" s="4" t="n">
        <v>3</v>
      </c>
      <c r="D1576" s="4" t="n">
        <v>4</v>
      </c>
      <c r="E1576" s="4" t="s">
        <v>1587</v>
      </c>
      <c r="F1576" s="4" t="n">
        <v>3</v>
      </c>
      <c r="G1576" s="4" t="n">
        <v>12</v>
      </c>
      <c r="H1576" s="4" t="n">
        <v>4</v>
      </c>
      <c r="I1576" s="4" t="str">
        <v>×</v>
      </c>
      <c r="J1576" s="4"/>
      <c r="K1576" s="4"/>
      <c r="L1576" s="4"/>
      <c r="M1576" s="5" t="s">
        <v>917</v>
      </c>
    </row>
    <row r="1577" customFormat="false" ht="15.75" hidden="false" customHeight="false" outlineLevel="0" collapsed="false">
      <c r="A1577" s="3" t="n">
        <v>46222</v>
      </c>
      <c r="B1577" s="4" t="s">
        <v>1091</v>
      </c>
      <c r="C1577" s="4" t="n">
        <v>3</v>
      </c>
      <c r="D1577" s="4" t="n">
        <v>5</v>
      </c>
      <c r="E1577" s="4" t="s">
        <v>1588</v>
      </c>
      <c r="F1577" s="4" t="n">
        <v>3</v>
      </c>
      <c r="G1577" s="4" t="n">
        <v>12</v>
      </c>
      <c r="H1577" s="4" t="n">
        <v>4</v>
      </c>
      <c r="I1577" s="4" t="str">
        <v>×</v>
      </c>
      <c r="J1577" s="4"/>
      <c r="K1577" s="4"/>
      <c r="L1577" s="4"/>
      <c r="M1577" s="5" t="s">
        <v>917</v>
      </c>
    </row>
    <row r="1578" customFormat="false" ht="15.75" hidden="false" customHeight="false" outlineLevel="0" collapsed="false">
      <c r="A1578" s="3" t="n">
        <v>46222</v>
      </c>
      <c r="B1578" s="4" t="s">
        <v>1091</v>
      </c>
      <c r="C1578" s="4" t="n">
        <v>3</v>
      </c>
      <c r="D1578" s="4" t="n">
        <v>6</v>
      </c>
      <c r="E1578" s="4" t="s">
        <v>1589</v>
      </c>
      <c r="F1578" s="4" t="n">
        <v>41</v>
      </c>
      <c r="G1578" s="4" t="n">
        <v>2</v>
      </c>
      <c r="H1578" s="4" t="n">
        <v>3</v>
      </c>
      <c r="I1578" s="4" t="str">
        <v>○</v>
      </c>
      <c r="J1578" s="4" t="n">
        <v>180</v>
      </c>
      <c r="K1578" s="4"/>
      <c r="L1578" s="4"/>
      <c r="M1578" s="5" t="s">
        <v>917</v>
      </c>
    </row>
    <row r="1579" customFormat="false" ht="15.75" hidden="false" customHeight="false" outlineLevel="0" collapsed="false">
      <c r="A1579" s="3" t="n">
        <v>46222</v>
      </c>
      <c r="B1579" s="4" t="s">
        <v>1091</v>
      </c>
      <c r="C1579" s="4" t="n">
        <v>3</v>
      </c>
      <c r="D1579" s="4" t="n">
        <v>7</v>
      </c>
      <c r="E1579" s="4" t="s">
        <v>1590</v>
      </c>
      <c r="F1579" s="4" t="n">
        <v>65</v>
      </c>
      <c r="G1579" s="4" t="n">
        <v>1</v>
      </c>
      <c r="H1579" s="4" t="n">
        <v>4</v>
      </c>
      <c r="I1579" s="4" t="str">
        <v>×</v>
      </c>
      <c r="J1579" s="4"/>
      <c r="K1579" s="4"/>
      <c r="L1579" s="4"/>
      <c r="M1579" s="5" t="s">
        <v>917</v>
      </c>
    </row>
    <row r="1580" customFormat="false" ht="15.75" hidden="false" customHeight="false" outlineLevel="0" collapsed="false">
      <c r="A1580" s="3" t="n">
        <v>46222</v>
      </c>
      <c r="B1580" s="4" t="s">
        <v>1091</v>
      </c>
      <c r="C1580" s="4" t="n">
        <v>3</v>
      </c>
      <c r="D1580" s="4" t="n">
        <v>8</v>
      </c>
      <c r="E1580" s="4" t="s">
        <v>1591</v>
      </c>
      <c r="F1580" s="4" t="n">
        <v>17</v>
      </c>
      <c r="G1580" s="4" t="n">
        <v>6</v>
      </c>
      <c r="H1580" s="4" t="n">
        <v>4</v>
      </c>
      <c r="I1580" s="4" t="str">
        <v>×</v>
      </c>
      <c r="J1580" s="4"/>
      <c r="K1580" s="4"/>
      <c r="L1580" s="4"/>
      <c r="M1580" s="5" t="s">
        <v>917</v>
      </c>
    </row>
    <row r="1581" customFormat="false" ht="15.75" hidden="false" customHeight="false" outlineLevel="0" collapsed="false">
      <c r="A1581" s="3" t="n">
        <v>46222</v>
      </c>
      <c r="B1581" s="4" t="s">
        <v>1091</v>
      </c>
      <c r="C1581" s="4" t="n">
        <v>3</v>
      </c>
      <c r="D1581" s="4" t="n">
        <v>9</v>
      </c>
      <c r="E1581" s="4" t="s">
        <v>1592</v>
      </c>
      <c r="F1581" s="4" t="n">
        <v>25</v>
      </c>
      <c r="G1581" s="4" t="n">
        <v>4</v>
      </c>
      <c r="H1581" s="4" t="n">
        <v>4</v>
      </c>
      <c r="I1581" s="4" t="str">
        <v>×</v>
      </c>
      <c r="J1581" s="4"/>
      <c r="K1581" s="4"/>
      <c r="L1581" s="4"/>
      <c r="M1581" s="5" t="s">
        <v>917</v>
      </c>
    </row>
    <row r="1582" customFormat="false" ht="15.75" hidden="false" customHeight="false" outlineLevel="0" collapsed="false">
      <c r="A1582" s="3" t="n">
        <v>46222</v>
      </c>
      <c r="B1582" s="4" t="s">
        <v>1091</v>
      </c>
      <c r="C1582" s="4" t="n">
        <v>3</v>
      </c>
      <c r="D1582" s="4" t="n">
        <v>10</v>
      </c>
      <c r="E1582" s="4" t="s">
        <v>1593</v>
      </c>
      <c r="F1582" s="4" t="n">
        <v>4</v>
      </c>
      <c r="G1582" s="4" t="n">
        <v>11</v>
      </c>
      <c r="H1582" s="4" t="n">
        <v>4</v>
      </c>
      <c r="I1582" s="4" t="str">
        <v>×</v>
      </c>
      <c r="J1582" s="4"/>
      <c r="K1582" s="4"/>
      <c r="L1582" s="4"/>
      <c r="M1582" s="5" t="s">
        <v>917</v>
      </c>
    </row>
    <row r="1583" customFormat="false" ht="15.75" hidden="false" customHeight="false" outlineLevel="0" collapsed="false">
      <c r="A1583" s="3" t="n">
        <v>46222</v>
      </c>
      <c r="B1583" s="4" t="s">
        <v>1091</v>
      </c>
      <c r="C1583" s="4" t="n">
        <v>3</v>
      </c>
      <c r="D1583" s="4" t="n">
        <v>11</v>
      </c>
      <c r="E1583" s="4" t="s">
        <v>1594</v>
      </c>
      <c r="F1583" s="4" t="n">
        <v>13</v>
      </c>
      <c r="G1583" s="4" t="n">
        <v>8</v>
      </c>
      <c r="H1583" s="4" t="n">
        <v>4</v>
      </c>
      <c r="I1583" s="4" t="str">
        <v>×</v>
      </c>
      <c r="J1583" s="4"/>
      <c r="K1583" s="4"/>
      <c r="L1583" s="4"/>
      <c r="M1583" s="5" t="s">
        <v>917</v>
      </c>
    </row>
    <row r="1584" customFormat="false" ht="15.75" hidden="false" customHeight="false" outlineLevel="0" collapsed="false">
      <c r="A1584" s="3" t="n">
        <v>46222</v>
      </c>
      <c r="B1584" s="4" t="s">
        <v>1091</v>
      </c>
      <c r="C1584" s="4" t="n">
        <v>3</v>
      </c>
      <c r="D1584" s="4" t="n">
        <v>12</v>
      </c>
      <c r="E1584" s="4" t="s">
        <v>1595</v>
      </c>
      <c r="F1584" s="4" t="n">
        <v>20</v>
      </c>
      <c r="G1584" s="4" t="n">
        <v>5</v>
      </c>
      <c r="H1584" s="4" t="n">
        <v>1</v>
      </c>
      <c r="I1584" s="4" t="str">
        <v>○</v>
      </c>
      <c r="J1584" s="4" t="n">
        <v>310</v>
      </c>
      <c r="K1584" s="4"/>
      <c r="L1584" s="4"/>
      <c r="M1584" s="5" t="s">
        <v>917</v>
      </c>
    </row>
    <row r="1585" customFormat="false" ht="15.75" hidden="false" customHeight="false" outlineLevel="0" collapsed="false">
      <c r="A1585" s="3" t="n">
        <v>46222</v>
      </c>
      <c r="B1585" s="4" t="s">
        <v>1091</v>
      </c>
      <c r="C1585" s="4" t="n">
        <v>3</v>
      </c>
      <c r="D1585" s="4" t="n">
        <v>13</v>
      </c>
      <c r="E1585" s="4" t="s">
        <v>1596</v>
      </c>
      <c r="F1585" s="4" t="n">
        <v>10</v>
      </c>
      <c r="G1585" s="4" t="n">
        <v>9</v>
      </c>
      <c r="H1585" s="4" t="n">
        <v>4</v>
      </c>
      <c r="I1585" s="4" t="str">
        <v>×</v>
      </c>
      <c r="J1585" s="4"/>
      <c r="K1585" s="4"/>
      <c r="L1585" s="4"/>
      <c r="M1585" s="5" t="s">
        <v>917</v>
      </c>
    </row>
    <row r="1586" customFormat="false" ht="15.75" hidden="false" customHeight="false" outlineLevel="0" collapsed="false">
      <c r="A1586" s="3" t="n">
        <v>46222</v>
      </c>
      <c r="B1586" s="4" t="s">
        <v>1091</v>
      </c>
      <c r="C1586" s="4" t="n">
        <v>3</v>
      </c>
      <c r="D1586" s="4" t="n">
        <v>14</v>
      </c>
      <c r="E1586" s="4" t="s">
        <v>1597</v>
      </c>
      <c r="F1586" s="4" t="n">
        <v>34</v>
      </c>
      <c r="G1586" s="4" t="n">
        <v>3</v>
      </c>
      <c r="H1586" s="4" t="n">
        <v>2</v>
      </c>
      <c r="I1586" s="4" t="str">
        <v>○</v>
      </c>
      <c r="J1586" s="4" t="n">
        <v>180</v>
      </c>
      <c r="K1586" s="4"/>
      <c r="L1586" s="4"/>
      <c r="M1586" s="5" t="s">
        <v>917</v>
      </c>
    </row>
    <row r="1587" customFormat="false" ht="15.75" hidden="false" customHeight="false" outlineLevel="0" collapsed="false">
      <c r="A1587" s="3" t="n">
        <v>46222</v>
      </c>
      <c r="B1587" s="4" t="s">
        <v>1091</v>
      </c>
      <c r="C1587" s="4" t="n">
        <v>3</v>
      </c>
      <c r="D1587" s="4" t="n">
        <v>15</v>
      </c>
      <c r="E1587" s="4" t="s">
        <v>1598</v>
      </c>
      <c r="F1587" s="4" t="n">
        <v>4</v>
      </c>
      <c r="G1587" s="4" t="n">
        <v>11</v>
      </c>
      <c r="H1587" s="4" t="n">
        <v>4</v>
      </c>
      <c r="I1587" s="4" t="str">
        <v>×</v>
      </c>
      <c r="J1587" s="4"/>
      <c r="K1587" s="4"/>
      <c r="L1587" s="4"/>
      <c r="M1587" s="5" t="s">
        <v>917</v>
      </c>
    </row>
    <row r="1588" customFormat="false" ht="15.75" hidden="false" customHeight="false" outlineLevel="0" collapsed="false">
      <c r="A1588" s="3" t="n">
        <v>46222</v>
      </c>
      <c r="B1588" s="4" t="s">
        <v>1091</v>
      </c>
      <c r="C1588" s="4" t="n">
        <v>3</v>
      </c>
      <c r="D1588" s="4" t="n">
        <v>16</v>
      </c>
      <c r="E1588" s="4" t="s">
        <v>1599</v>
      </c>
      <c r="F1588" s="4" t="n">
        <v>17</v>
      </c>
      <c r="G1588" s="4" t="n">
        <v>6</v>
      </c>
      <c r="H1588" s="4" t="n">
        <v>4</v>
      </c>
      <c r="I1588" s="4" t="str">
        <v>×</v>
      </c>
      <c r="J1588" s="4"/>
      <c r="K1588" s="4"/>
      <c r="L1588" s="4"/>
      <c r="M1588" s="5" t="s">
        <v>917</v>
      </c>
    </row>
    <row r="1589" customFormat="false" ht="15.75" hidden="false" customHeight="false" outlineLevel="0" collapsed="false">
      <c r="A1589" s="3" t="n">
        <v>46222</v>
      </c>
      <c r="B1589" s="4" t="s">
        <v>1091</v>
      </c>
      <c r="C1589" s="4" t="n">
        <v>4</v>
      </c>
      <c r="D1589" s="4" t="n">
        <v>1</v>
      </c>
      <c r="E1589" s="4" t="s">
        <v>1600</v>
      </c>
      <c r="F1589" s="4" t="n">
        <v>4</v>
      </c>
      <c r="G1589" s="4" t="n">
        <v>9</v>
      </c>
      <c r="H1589" s="4" t="n">
        <v>4</v>
      </c>
      <c r="I1589" s="4" t="str">
        <v>×</v>
      </c>
      <c r="J1589" s="4"/>
      <c r="K1589" s="4"/>
      <c r="L1589" s="4"/>
      <c r="M1589" s="5" t="s">
        <v>917</v>
      </c>
    </row>
    <row r="1590" customFormat="false" ht="15.75" hidden="false" customHeight="false" outlineLevel="0" collapsed="false">
      <c r="A1590" s="3" t="n">
        <v>46222</v>
      </c>
      <c r="B1590" s="4" t="s">
        <v>1091</v>
      </c>
      <c r="C1590" s="4" t="n">
        <v>4</v>
      </c>
      <c r="D1590" s="4" t="n">
        <v>2</v>
      </c>
      <c r="E1590" s="4" t="s">
        <v>1601</v>
      </c>
      <c r="F1590" s="4" t="n">
        <v>3</v>
      </c>
      <c r="G1590" s="4" t="n">
        <v>10</v>
      </c>
      <c r="H1590" s="4" t="n">
        <v>4</v>
      </c>
      <c r="I1590" s="4" t="str">
        <v>×</v>
      </c>
      <c r="J1590" s="4"/>
      <c r="K1590" s="4"/>
      <c r="L1590" s="4"/>
      <c r="M1590" s="5" t="s">
        <v>917</v>
      </c>
    </row>
    <row r="1591" customFormat="false" ht="15.75" hidden="false" customHeight="false" outlineLevel="0" collapsed="false">
      <c r="A1591" s="3" t="n">
        <v>46222</v>
      </c>
      <c r="B1591" s="4" t="s">
        <v>1091</v>
      </c>
      <c r="C1591" s="4" t="n">
        <v>4</v>
      </c>
      <c r="D1591" s="4" t="n">
        <v>3</v>
      </c>
      <c r="E1591" s="4" t="s">
        <v>1602</v>
      </c>
      <c r="F1591" s="4" t="n">
        <v>44</v>
      </c>
      <c r="G1591" s="4" t="n">
        <v>3</v>
      </c>
      <c r="H1591" s="4" t="n">
        <v>2</v>
      </c>
      <c r="I1591" s="4" t="str">
        <v>○</v>
      </c>
      <c r="J1591" s="4" t="n">
        <v>160</v>
      </c>
      <c r="K1591" s="4"/>
      <c r="L1591" s="4"/>
      <c r="M1591" s="5" t="s">
        <v>917</v>
      </c>
    </row>
    <row r="1592" customFormat="false" ht="15.75" hidden="false" customHeight="false" outlineLevel="0" collapsed="false">
      <c r="A1592" s="3" t="n">
        <v>46222</v>
      </c>
      <c r="B1592" s="4" t="s">
        <v>1091</v>
      </c>
      <c r="C1592" s="4" t="n">
        <v>4</v>
      </c>
      <c r="D1592" s="4" t="n">
        <v>4</v>
      </c>
      <c r="E1592" s="4" t="s">
        <v>1603</v>
      </c>
      <c r="F1592" s="4" t="n">
        <v>15</v>
      </c>
      <c r="G1592" s="4" t="n">
        <v>6</v>
      </c>
      <c r="H1592" s="4" t="n">
        <v>4</v>
      </c>
      <c r="I1592" s="4" t="str">
        <v>×</v>
      </c>
      <c r="J1592" s="4"/>
      <c r="K1592" s="4"/>
      <c r="L1592" s="4"/>
      <c r="M1592" s="5" t="s">
        <v>917</v>
      </c>
    </row>
    <row r="1593" customFormat="false" ht="15.75" hidden="false" customHeight="false" outlineLevel="0" collapsed="false">
      <c r="A1593" s="3" t="n">
        <v>46222</v>
      </c>
      <c r="B1593" s="4" t="s">
        <v>1091</v>
      </c>
      <c r="C1593" s="4" t="n">
        <v>4</v>
      </c>
      <c r="D1593" s="4" t="n">
        <v>5</v>
      </c>
      <c r="E1593" s="4" t="s">
        <v>1604</v>
      </c>
      <c r="F1593" s="4" t="n">
        <v>10</v>
      </c>
      <c r="G1593" s="4" t="n">
        <v>7</v>
      </c>
      <c r="H1593" s="4" t="n">
        <v>4</v>
      </c>
      <c r="I1593" s="4" t="str">
        <v>×</v>
      </c>
      <c r="J1593" s="4"/>
      <c r="K1593" s="4"/>
      <c r="L1593" s="4"/>
      <c r="M1593" s="5" t="s">
        <v>917</v>
      </c>
    </row>
    <row r="1594" customFormat="false" ht="15.75" hidden="false" customHeight="false" outlineLevel="0" collapsed="false">
      <c r="A1594" s="3" t="n">
        <v>46222</v>
      </c>
      <c r="B1594" s="4" t="s">
        <v>1091</v>
      </c>
      <c r="C1594" s="4" t="n">
        <v>4</v>
      </c>
      <c r="D1594" s="4" t="n">
        <v>6</v>
      </c>
      <c r="E1594" s="4" t="s">
        <v>1605</v>
      </c>
      <c r="F1594" s="4" t="n">
        <v>6</v>
      </c>
      <c r="G1594" s="4" t="n">
        <v>8</v>
      </c>
      <c r="H1594" s="4" t="n">
        <v>4</v>
      </c>
      <c r="I1594" s="4" t="str">
        <v>×</v>
      </c>
      <c r="J1594" s="4"/>
      <c r="K1594" s="4"/>
      <c r="L1594" s="4"/>
      <c r="M1594" s="5" t="s">
        <v>917</v>
      </c>
    </row>
    <row r="1595" customFormat="false" ht="15.75" hidden="false" customHeight="false" outlineLevel="0" collapsed="false">
      <c r="A1595" s="3" t="n">
        <v>46222</v>
      </c>
      <c r="B1595" s="4" t="s">
        <v>1091</v>
      </c>
      <c r="C1595" s="4" t="n">
        <v>4</v>
      </c>
      <c r="D1595" s="4" t="n">
        <v>7</v>
      </c>
      <c r="E1595" s="4" t="s">
        <v>1606</v>
      </c>
      <c r="F1595" s="4" t="n">
        <v>3</v>
      </c>
      <c r="G1595" s="4" t="n">
        <v>10</v>
      </c>
      <c r="H1595" s="4" t="n">
        <v>4</v>
      </c>
      <c r="I1595" s="4" t="str">
        <v>×</v>
      </c>
      <c r="J1595" s="4"/>
      <c r="K1595" s="4"/>
      <c r="L1595" s="4"/>
      <c r="M1595" s="5" t="s">
        <v>917</v>
      </c>
    </row>
    <row r="1596" customFormat="false" ht="15.75" hidden="false" customHeight="false" outlineLevel="0" collapsed="false">
      <c r="A1596" s="3" t="n">
        <v>46222</v>
      </c>
      <c r="B1596" s="4" t="s">
        <v>1091</v>
      </c>
      <c r="C1596" s="4" t="n">
        <v>4</v>
      </c>
      <c r="D1596" s="4" t="n">
        <v>8</v>
      </c>
      <c r="E1596" s="4" t="s">
        <v>1607</v>
      </c>
      <c r="F1596" s="4" t="n">
        <v>47</v>
      </c>
      <c r="G1596" s="4" t="n">
        <v>2</v>
      </c>
      <c r="H1596" s="4" t="n">
        <v>1</v>
      </c>
      <c r="I1596" s="4" t="str">
        <v>○</v>
      </c>
      <c r="J1596" s="4" t="n">
        <v>110</v>
      </c>
      <c r="K1596" s="4"/>
      <c r="L1596" s="4"/>
      <c r="M1596" s="5" t="s">
        <v>917</v>
      </c>
    </row>
    <row r="1597" customFormat="false" ht="15.75" hidden="false" customHeight="false" outlineLevel="0" collapsed="false">
      <c r="A1597" s="3" t="n">
        <v>46222</v>
      </c>
      <c r="B1597" s="4" t="s">
        <v>1091</v>
      </c>
      <c r="C1597" s="4" t="n">
        <v>4</v>
      </c>
      <c r="D1597" s="4" t="n">
        <v>9</v>
      </c>
      <c r="E1597" s="4" t="s">
        <v>1608</v>
      </c>
      <c r="F1597" s="4" t="n">
        <v>10</v>
      </c>
      <c r="G1597" s="4" t="n">
        <v>7</v>
      </c>
      <c r="H1597" s="4" t="n">
        <v>4</v>
      </c>
      <c r="I1597" s="4" t="str">
        <v>×</v>
      </c>
      <c r="J1597" s="4"/>
      <c r="K1597" s="4"/>
      <c r="L1597" s="4"/>
      <c r="M1597" s="5" t="s">
        <v>917</v>
      </c>
    </row>
    <row r="1598" customFormat="false" ht="15.75" hidden="false" customHeight="false" outlineLevel="0" collapsed="false">
      <c r="A1598" s="3" t="n">
        <v>46222</v>
      </c>
      <c r="B1598" s="4" t="s">
        <v>1091</v>
      </c>
      <c r="C1598" s="4" t="n">
        <v>4</v>
      </c>
      <c r="D1598" s="4" t="n">
        <v>10</v>
      </c>
      <c r="E1598" s="4" t="s">
        <v>1609</v>
      </c>
      <c r="F1598" s="4" t="n">
        <v>2</v>
      </c>
      <c r="G1598" s="4" t="n">
        <v>11</v>
      </c>
      <c r="H1598" s="4" t="n">
        <v>4</v>
      </c>
      <c r="I1598" s="4" t="str">
        <v>×</v>
      </c>
      <c r="J1598" s="4"/>
      <c r="K1598" s="4"/>
      <c r="L1598" s="4"/>
      <c r="M1598" s="5" t="s">
        <v>917</v>
      </c>
    </row>
    <row r="1599" customFormat="false" ht="15.75" hidden="false" customHeight="false" outlineLevel="0" collapsed="false">
      <c r="A1599" s="3" t="n">
        <v>46222</v>
      </c>
      <c r="B1599" s="4" t="s">
        <v>1091</v>
      </c>
      <c r="C1599" s="4" t="n">
        <v>4</v>
      </c>
      <c r="D1599" s="4" t="n">
        <v>11</v>
      </c>
      <c r="E1599" s="4" t="s">
        <v>1610</v>
      </c>
      <c r="F1599" s="4" t="n">
        <v>65</v>
      </c>
      <c r="G1599" s="4" t="n">
        <v>1</v>
      </c>
      <c r="H1599" s="4" t="n">
        <v>3</v>
      </c>
      <c r="I1599" s="4" t="str">
        <v>○</v>
      </c>
      <c r="J1599" s="4" t="n">
        <v>110</v>
      </c>
      <c r="K1599" s="4"/>
      <c r="L1599" s="4"/>
      <c r="M1599" s="5" t="s">
        <v>917</v>
      </c>
    </row>
    <row r="1600" customFormat="false" ht="15.75" hidden="false" customHeight="false" outlineLevel="0" collapsed="false">
      <c r="A1600" s="3" t="n">
        <v>46222</v>
      </c>
      <c r="B1600" s="4" t="s">
        <v>1091</v>
      </c>
      <c r="C1600" s="4" t="n">
        <v>4</v>
      </c>
      <c r="D1600" s="4" t="n">
        <v>12</v>
      </c>
      <c r="E1600" s="4" t="s">
        <v>1611</v>
      </c>
      <c r="F1600" s="4" t="n">
        <v>41</v>
      </c>
      <c r="G1600" s="4" t="n">
        <v>4</v>
      </c>
      <c r="H1600" s="4" t="n">
        <v>4</v>
      </c>
      <c r="I1600" s="4" t="str">
        <v>×</v>
      </c>
      <c r="J1600" s="4"/>
      <c r="K1600" s="4"/>
      <c r="L1600" s="4"/>
      <c r="M1600" s="5" t="s">
        <v>917</v>
      </c>
    </row>
    <row r="1601" customFormat="false" ht="15.75" hidden="false" customHeight="false" outlineLevel="0" collapsed="false">
      <c r="A1601" s="3" t="n">
        <v>46222</v>
      </c>
      <c r="B1601" s="4" t="s">
        <v>1091</v>
      </c>
      <c r="C1601" s="4" t="n">
        <v>4</v>
      </c>
      <c r="D1601" s="4" t="n">
        <v>13</v>
      </c>
      <c r="E1601" s="4" t="s">
        <v>1612</v>
      </c>
      <c r="F1601" s="4" t="n">
        <v>23</v>
      </c>
      <c r="G1601" s="4" t="n">
        <v>5</v>
      </c>
      <c r="H1601" s="4" t="n">
        <v>4</v>
      </c>
      <c r="I1601" s="4" t="str">
        <v>×</v>
      </c>
      <c r="J1601" s="4"/>
      <c r="K1601" s="4"/>
      <c r="L1601" s="4"/>
      <c r="M1601" s="5" t="s">
        <v>917</v>
      </c>
    </row>
    <row r="1602" customFormat="false" ht="15.75" hidden="false" customHeight="false" outlineLevel="0" collapsed="false">
      <c r="A1602" s="3" t="n">
        <v>46222</v>
      </c>
      <c r="B1602" s="4" t="s">
        <v>1091</v>
      </c>
      <c r="C1602" s="4" t="n">
        <v>4</v>
      </c>
      <c r="D1602" s="4" t="n">
        <v>14</v>
      </c>
      <c r="E1602" s="4" t="s">
        <v>1613</v>
      </c>
      <c r="F1602" s="4" t="n">
        <v>4</v>
      </c>
      <c r="G1602" s="4" t="n">
        <v>9</v>
      </c>
      <c r="H1602" s="4" t="n">
        <v>4</v>
      </c>
      <c r="I1602" s="4" t="str">
        <v>×</v>
      </c>
      <c r="J1602" s="4"/>
      <c r="K1602" s="4"/>
      <c r="L1602" s="4"/>
      <c r="M1602" s="5" t="s">
        <v>917</v>
      </c>
    </row>
    <row r="1603" customFormat="false" ht="15.75" hidden="false" customHeight="false" outlineLevel="0" collapsed="false">
      <c r="A1603" s="3" t="n">
        <v>46222</v>
      </c>
      <c r="B1603" s="4" t="s">
        <v>1091</v>
      </c>
      <c r="C1603" s="4" t="n">
        <v>5</v>
      </c>
      <c r="D1603" s="4" t="n">
        <v>1</v>
      </c>
      <c r="E1603" s="4" t="s">
        <v>1614</v>
      </c>
      <c r="F1603" s="4" t="n">
        <v>12</v>
      </c>
      <c r="G1603" s="4" t="n">
        <v>7</v>
      </c>
      <c r="H1603" s="4" t="n">
        <v>4</v>
      </c>
      <c r="I1603" s="4" t="str">
        <v>×</v>
      </c>
      <c r="J1603" s="4"/>
      <c r="K1603" s="4"/>
      <c r="L1603" s="4"/>
      <c r="M1603" s="5" t="s">
        <v>917</v>
      </c>
    </row>
    <row r="1604" customFormat="false" ht="15.75" hidden="false" customHeight="false" outlineLevel="0" collapsed="false">
      <c r="A1604" s="3" t="n">
        <v>46222</v>
      </c>
      <c r="B1604" s="4" t="s">
        <v>1091</v>
      </c>
      <c r="C1604" s="4" t="n">
        <v>5</v>
      </c>
      <c r="D1604" s="4" t="n">
        <v>2</v>
      </c>
      <c r="E1604" s="4" t="s">
        <v>1615</v>
      </c>
      <c r="F1604" s="4" t="n">
        <v>27</v>
      </c>
      <c r="G1604" s="4" t="n">
        <v>3</v>
      </c>
      <c r="H1604" s="4" t="n">
        <v>4</v>
      </c>
      <c r="I1604" s="4" t="str">
        <v>×</v>
      </c>
      <c r="J1604" s="4"/>
      <c r="K1604" s="4"/>
      <c r="L1604" s="4"/>
      <c r="M1604" s="5" t="s">
        <v>917</v>
      </c>
    </row>
    <row r="1605" customFormat="false" ht="15.75" hidden="false" customHeight="false" outlineLevel="0" collapsed="false">
      <c r="A1605" s="3" t="n">
        <v>46222</v>
      </c>
      <c r="B1605" s="4" t="s">
        <v>1091</v>
      </c>
      <c r="C1605" s="4" t="n">
        <v>5</v>
      </c>
      <c r="D1605" s="4" t="n">
        <v>3</v>
      </c>
      <c r="E1605" s="4" t="s">
        <v>1616</v>
      </c>
      <c r="F1605" s="4" t="n">
        <v>21</v>
      </c>
      <c r="G1605" s="4" t="n">
        <v>5</v>
      </c>
      <c r="H1605" s="4" t="n">
        <v>2</v>
      </c>
      <c r="I1605" s="4" t="str">
        <v>○</v>
      </c>
      <c r="J1605" s="4" t="n">
        <v>420</v>
      </c>
      <c r="K1605" s="4"/>
      <c r="L1605" s="4"/>
      <c r="M1605" s="5" t="s">
        <v>917</v>
      </c>
    </row>
    <row r="1606" customFormat="false" ht="15.75" hidden="false" customHeight="false" outlineLevel="0" collapsed="false">
      <c r="A1606" s="3" t="n">
        <v>46222</v>
      </c>
      <c r="B1606" s="4" t="s">
        <v>1091</v>
      </c>
      <c r="C1606" s="4" t="n">
        <v>5</v>
      </c>
      <c r="D1606" s="4" t="n">
        <v>4</v>
      </c>
      <c r="E1606" s="4" t="s">
        <v>1617</v>
      </c>
      <c r="F1606" s="4" t="n">
        <v>24</v>
      </c>
      <c r="G1606" s="4" t="n">
        <v>4</v>
      </c>
      <c r="H1606" s="4" t="n">
        <v>4</v>
      </c>
      <c r="I1606" s="4" t="str">
        <v>×</v>
      </c>
      <c r="J1606" s="4"/>
      <c r="K1606" s="4"/>
      <c r="L1606" s="4"/>
      <c r="M1606" s="5" t="s">
        <v>917</v>
      </c>
    </row>
    <row r="1607" customFormat="false" ht="15.75" hidden="false" customHeight="false" outlineLevel="0" collapsed="false">
      <c r="A1607" s="3" t="n">
        <v>46222</v>
      </c>
      <c r="B1607" s="4" t="s">
        <v>1091</v>
      </c>
      <c r="C1607" s="4" t="n">
        <v>5</v>
      </c>
      <c r="D1607" s="4" t="n">
        <v>5</v>
      </c>
      <c r="E1607" s="4" t="s">
        <v>1618</v>
      </c>
      <c r="F1607" s="4" t="n">
        <v>14</v>
      </c>
      <c r="G1607" s="4" t="n">
        <v>6</v>
      </c>
      <c r="H1607" s="4" t="n">
        <v>4</v>
      </c>
      <c r="I1607" s="4" t="str">
        <v>×</v>
      </c>
      <c r="J1607" s="4"/>
      <c r="K1607" s="4"/>
      <c r="L1607" s="4"/>
      <c r="M1607" s="5" t="s">
        <v>917</v>
      </c>
    </row>
    <row r="1608" customFormat="false" ht="15.75" hidden="false" customHeight="false" outlineLevel="0" collapsed="false">
      <c r="A1608" s="3" t="n">
        <v>46222</v>
      </c>
      <c r="B1608" s="4" t="s">
        <v>1091</v>
      </c>
      <c r="C1608" s="4" t="n">
        <v>5</v>
      </c>
      <c r="D1608" s="4" t="n">
        <v>6</v>
      </c>
      <c r="E1608" s="4" t="s">
        <v>1619</v>
      </c>
      <c r="F1608" s="4" t="n">
        <v>24</v>
      </c>
      <c r="G1608" s="4" t="n">
        <v>4</v>
      </c>
      <c r="H1608" s="4" t="n">
        <v>3</v>
      </c>
      <c r="I1608" s="4" t="str">
        <v>○</v>
      </c>
      <c r="J1608" s="4" t="n">
        <v>260</v>
      </c>
      <c r="K1608" s="4"/>
      <c r="L1608" s="4"/>
      <c r="M1608" s="5" t="s">
        <v>917</v>
      </c>
    </row>
    <row r="1609" customFormat="false" ht="15.75" hidden="false" customHeight="false" outlineLevel="0" collapsed="false">
      <c r="A1609" s="3" t="n">
        <v>46222</v>
      </c>
      <c r="B1609" s="4" t="s">
        <v>1091</v>
      </c>
      <c r="C1609" s="4" t="n">
        <v>5</v>
      </c>
      <c r="D1609" s="4" t="n">
        <v>7</v>
      </c>
      <c r="E1609" s="4" t="s">
        <v>1620</v>
      </c>
      <c r="F1609" s="4" t="n">
        <v>37</v>
      </c>
      <c r="G1609" s="4" t="n">
        <v>1</v>
      </c>
      <c r="H1609" s="4" t="n">
        <v>1</v>
      </c>
      <c r="I1609" s="4" t="str">
        <v>○</v>
      </c>
      <c r="J1609" s="4" t="n">
        <v>140</v>
      </c>
      <c r="K1609" s="4"/>
      <c r="L1609" s="4"/>
      <c r="M1609" s="5" t="s">
        <v>917</v>
      </c>
    </row>
    <row r="1610" customFormat="false" ht="15.75" hidden="false" customHeight="false" outlineLevel="0" collapsed="false">
      <c r="A1610" s="3" t="n">
        <v>46222</v>
      </c>
      <c r="B1610" s="4" t="s">
        <v>1091</v>
      </c>
      <c r="C1610" s="4" t="n">
        <v>5</v>
      </c>
      <c r="D1610" s="4" t="n">
        <v>8</v>
      </c>
      <c r="E1610" s="4" t="s">
        <v>1621</v>
      </c>
      <c r="F1610" s="4" t="n">
        <v>31</v>
      </c>
      <c r="G1610" s="4" t="n">
        <v>2</v>
      </c>
      <c r="H1610" s="4" t="n">
        <v>4</v>
      </c>
      <c r="I1610" s="4" t="str">
        <v>×</v>
      </c>
      <c r="J1610" s="4"/>
      <c r="K1610" s="4"/>
      <c r="L1610" s="4"/>
      <c r="M1610" s="5" t="s">
        <v>917</v>
      </c>
    </row>
    <row r="1611" customFormat="false" ht="15.75" hidden="false" customHeight="false" outlineLevel="0" collapsed="false">
      <c r="A1611" s="3" t="n">
        <v>46222</v>
      </c>
      <c r="B1611" s="4" t="s">
        <v>1091</v>
      </c>
      <c r="C1611" s="4" t="n">
        <v>6</v>
      </c>
      <c r="D1611" s="4" t="n">
        <v>1</v>
      </c>
      <c r="E1611" s="4" t="s">
        <v>1622</v>
      </c>
      <c r="F1611" s="4" t="n">
        <v>10</v>
      </c>
      <c r="G1611" s="4" t="n">
        <v>7</v>
      </c>
      <c r="H1611" s="4" t="n">
        <v>4</v>
      </c>
      <c r="I1611" s="4" t="str">
        <v>×</v>
      </c>
      <c r="J1611" s="4"/>
      <c r="K1611" s="4"/>
      <c r="L1611" s="4"/>
      <c r="M1611" s="5" t="s">
        <v>917</v>
      </c>
    </row>
    <row r="1612" customFormat="false" ht="15.75" hidden="false" customHeight="false" outlineLevel="0" collapsed="false">
      <c r="A1612" s="3" t="n">
        <v>46222</v>
      </c>
      <c r="B1612" s="4" t="s">
        <v>1091</v>
      </c>
      <c r="C1612" s="4" t="n">
        <v>6</v>
      </c>
      <c r="D1612" s="4" t="n">
        <v>2</v>
      </c>
      <c r="E1612" s="4" t="s">
        <v>1623</v>
      </c>
      <c r="F1612" s="4" t="n">
        <v>8</v>
      </c>
      <c r="G1612" s="4" t="n">
        <v>8</v>
      </c>
      <c r="H1612" s="4" t="n">
        <v>4</v>
      </c>
      <c r="I1612" s="4" t="str">
        <v>×</v>
      </c>
      <c r="J1612" s="4"/>
      <c r="K1612" s="4"/>
      <c r="L1612" s="4"/>
      <c r="M1612" s="5" t="s">
        <v>917</v>
      </c>
    </row>
    <row r="1613" customFormat="false" ht="15.75" hidden="false" customHeight="false" outlineLevel="0" collapsed="false">
      <c r="A1613" s="3" t="n">
        <v>46222</v>
      </c>
      <c r="B1613" s="4" t="s">
        <v>1091</v>
      </c>
      <c r="C1613" s="4" t="n">
        <v>6</v>
      </c>
      <c r="D1613" s="4" t="n">
        <v>3</v>
      </c>
      <c r="E1613" s="4" t="s">
        <v>1624</v>
      </c>
      <c r="F1613" s="4" t="n">
        <v>10</v>
      </c>
      <c r="G1613" s="4" t="n">
        <v>7</v>
      </c>
      <c r="H1613" s="4" t="n">
        <v>4</v>
      </c>
      <c r="I1613" s="4" t="str">
        <v>×</v>
      </c>
      <c r="J1613" s="4"/>
      <c r="K1613" s="4"/>
      <c r="L1613" s="4"/>
      <c r="M1613" s="5" t="s">
        <v>917</v>
      </c>
    </row>
    <row r="1614" customFormat="false" ht="15.75" hidden="false" customHeight="false" outlineLevel="0" collapsed="false">
      <c r="A1614" s="3" t="n">
        <v>46222</v>
      </c>
      <c r="B1614" s="4" t="s">
        <v>1091</v>
      </c>
      <c r="C1614" s="4" t="n">
        <v>6</v>
      </c>
      <c r="D1614" s="4" t="n">
        <v>4</v>
      </c>
      <c r="E1614" s="4" t="s">
        <v>1625</v>
      </c>
      <c r="F1614" s="4" t="n">
        <v>74</v>
      </c>
      <c r="G1614" s="4" t="n">
        <v>1</v>
      </c>
      <c r="H1614" s="4" t="n">
        <v>4</v>
      </c>
      <c r="I1614" s="4" t="str">
        <v>×</v>
      </c>
      <c r="J1614" s="4"/>
      <c r="K1614" s="4"/>
      <c r="L1614" s="4"/>
      <c r="M1614" s="5" t="s">
        <v>917</v>
      </c>
    </row>
    <row r="1615" customFormat="false" ht="15.75" hidden="false" customHeight="false" outlineLevel="0" collapsed="false">
      <c r="A1615" s="3" t="n">
        <v>46222</v>
      </c>
      <c r="B1615" s="4" t="s">
        <v>1091</v>
      </c>
      <c r="C1615" s="4" t="n">
        <v>6</v>
      </c>
      <c r="D1615" s="4" t="n">
        <v>5</v>
      </c>
      <c r="E1615" s="4" t="s">
        <v>1626</v>
      </c>
      <c r="F1615" s="4" t="n">
        <v>8</v>
      </c>
      <c r="G1615" s="4" t="n">
        <v>8</v>
      </c>
      <c r="H1615" s="4" t="n">
        <v>4</v>
      </c>
      <c r="I1615" s="4" t="str">
        <v>×</v>
      </c>
      <c r="J1615" s="4"/>
      <c r="K1615" s="4"/>
      <c r="L1615" s="4"/>
      <c r="M1615" s="5" t="s">
        <v>917</v>
      </c>
    </row>
    <row r="1616" customFormat="false" ht="15.75" hidden="false" customHeight="false" outlineLevel="0" collapsed="false">
      <c r="A1616" s="3" t="n">
        <v>46222</v>
      </c>
      <c r="B1616" s="4" t="s">
        <v>1091</v>
      </c>
      <c r="C1616" s="4" t="n">
        <v>6</v>
      </c>
      <c r="D1616" s="4" t="n">
        <v>6</v>
      </c>
      <c r="E1616" s="4" t="s">
        <v>1627</v>
      </c>
      <c r="F1616" s="4" t="n">
        <v>20</v>
      </c>
      <c r="G1616" s="4" t="n">
        <v>5</v>
      </c>
      <c r="H1616" s="4" t="n">
        <v>2</v>
      </c>
      <c r="I1616" s="4" t="str">
        <v>○</v>
      </c>
      <c r="J1616" s="4" t="n">
        <v>230</v>
      </c>
      <c r="K1616" s="4"/>
      <c r="L1616" s="4"/>
      <c r="M1616" s="5" t="s">
        <v>917</v>
      </c>
    </row>
    <row r="1617" customFormat="false" ht="15.75" hidden="false" customHeight="false" outlineLevel="0" collapsed="false">
      <c r="A1617" s="3" t="n">
        <v>46222</v>
      </c>
      <c r="B1617" s="4" t="s">
        <v>1091</v>
      </c>
      <c r="C1617" s="4" t="n">
        <v>6</v>
      </c>
      <c r="D1617" s="4" t="n">
        <v>7</v>
      </c>
      <c r="E1617" s="4" t="s">
        <v>1628</v>
      </c>
      <c r="F1617" s="4" t="n">
        <v>6</v>
      </c>
      <c r="G1617" s="4" t="n">
        <v>9</v>
      </c>
      <c r="H1617" s="4" t="n">
        <v>4</v>
      </c>
      <c r="I1617" s="4" t="str">
        <v>×</v>
      </c>
      <c r="J1617" s="4"/>
      <c r="K1617" s="4"/>
      <c r="L1617" s="4"/>
      <c r="M1617" s="5" t="s">
        <v>917</v>
      </c>
    </row>
    <row r="1618" customFormat="false" ht="15.75" hidden="false" customHeight="false" outlineLevel="0" collapsed="false">
      <c r="A1618" s="3" t="n">
        <v>46222</v>
      </c>
      <c r="B1618" s="4" t="s">
        <v>1091</v>
      </c>
      <c r="C1618" s="4" t="n">
        <v>6</v>
      </c>
      <c r="D1618" s="4" t="n">
        <v>8</v>
      </c>
      <c r="E1618" s="4" t="s">
        <v>1629</v>
      </c>
      <c r="F1618" s="4" t="n">
        <v>67</v>
      </c>
      <c r="G1618" s="4" t="n">
        <v>2</v>
      </c>
      <c r="H1618" s="4" t="n">
        <v>4</v>
      </c>
      <c r="I1618" s="4" t="str">
        <v>×</v>
      </c>
      <c r="J1618" s="4"/>
      <c r="K1618" s="4"/>
      <c r="L1618" s="4"/>
      <c r="M1618" s="5" t="s">
        <v>917</v>
      </c>
    </row>
    <row r="1619" customFormat="false" ht="15.75" hidden="false" customHeight="false" outlineLevel="0" collapsed="false">
      <c r="A1619" s="3" t="n">
        <v>46222</v>
      </c>
      <c r="B1619" s="4" t="s">
        <v>1091</v>
      </c>
      <c r="C1619" s="4" t="n">
        <v>6</v>
      </c>
      <c r="D1619" s="4" t="n">
        <v>9</v>
      </c>
      <c r="E1619" s="4" t="s">
        <v>1630</v>
      </c>
      <c r="F1619" s="4" t="n">
        <v>15</v>
      </c>
      <c r="G1619" s="4" t="n">
        <v>6</v>
      </c>
      <c r="H1619" s="4" t="n">
        <v>4</v>
      </c>
      <c r="I1619" s="4" t="str">
        <v>×</v>
      </c>
      <c r="J1619" s="4"/>
      <c r="K1619" s="4"/>
      <c r="L1619" s="4"/>
      <c r="M1619" s="5" t="s">
        <v>917</v>
      </c>
    </row>
    <row r="1620" customFormat="false" ht="15.75" hidden="false" customHeight="false" outlineLevel="0" collapsed="false">
      <c r="A1620" s="3" t="n">
        <v>46222</v>
      </c>
      <c r="B1620" s="4" t="s">
        <v>1091</v>
      </c>
      <c r="C1620" s="4" t="n">
        <v>6</v>
      </c>
      <c r="D1620" s="4" t="n">
        <v>10</v>
      </c>
      <c r="E1620" s="4" t="s">
        <v>1631</v>
      </c>
      <c r="F1620" s="4" t="n">
        <v>4</v>
      </c>
      <c r="G1620" s="4" t="n">
        <v>10</v>
      </c>
      <c r="H1620" s="4" t="n">
        <v>4</v>
      </c>
      <c r="I1620" s="4" t="str">
        <v>×</v>
      </c>
      <c r="J1620" s="4"/>
      <c r="K1620" s="4"/>
      <c r="L1620" s="4"/>
      <c r="M1620" s="5" t="s">
        <v>917</v>
      </c>
    </row>
    <row r="1621" customFormat="false" ht="15.75" hidden="false" customHeight="false" outlineLevel="0" collapsed="false">
      <c r="A1621" s="3" t="n">
        <v>46222</v>
      </c>
      <c r="B1621" s="4" t="s">
        <v>1091</v>
      </c>
      <c r="C1621" s="4" t="n">
        <v>6</v>
      </c>
      <c r="D1621" s="4" t="n">
        <v>11</v>
      </c>
      <c r="E1621" s="4" t="s">
        <v>1632</v>
      </c>
      <c r="F1621" s="4" t="n">
        <v>25</v>
      </c>
      <c r="G1621" s="4" t="n">
        <v>4</v>
      </c>
      <c r="H1621" s="4" t="n">
        <v>3</v>
      </c>
      <c r="I1621" s="4" t="str">
        <v>○</v>
      </c>
      <c r="J1621" s="4" t="n">
        <v>790</v>
      </c>
      <c r="K1621" s="4"/>
      <c r="L1621" s="4"/>
      <c r="M1621" s="5" t="s">
        <v>917</v>
      </c>
    </row>
    <row r="1622" customFormat="false" ht="15.75" hidden="false" customHeight="false" outlineLevel="0" collapsed="false">
      <c r="A1622" s="3" t="n">
        <v>46222</v>
      </c>
      <c r="B1622" s="4" t="s">
        <v>1091</v>
      </c>
      <c r="C1622" s="4" t="n">
        <v>6</v>
      </c>
      <c r="D1622" s="4" t="n">
        <v>12</v>
      </c>
      <c r="E1622" s="4" t="s">
        <v>1633</v>
      </c>
      <c r="F1622" s="4" t="n">
        <v>6</v>
      </c>
      <c r="G1622" s="4" t="n">
        <v>9</v>
      </c>
      <c r="H1622" s="4" t="n">
        <v>4</v>
      </c>
      <c r="I1622" s="4" t="str">
        <v>×</v>
      </c>
      <c r="J1622" s="4"/>
      <c r="K1622" s="4"/>
      <c r="L1622" s="4"/>
      <c r="M1622" s="5" t="s">
        <v>917</v>
      </c>
    </row>
    <row r="1623" customFormat="false" ht="15.75" hidden="false" customHeight="false" outlineLevel="0" collapsed="false">
      <c r="A1623" s="3" t="n">
        <v>46222</v>
      </c>
      <c r="B1623" s="4" t="s">
        <v>1091</v>
      </c>
      <c r="C1623" s="4" t="n">
        <v>6</v>
      </c>
      <c r="D1623" s="4" t="n">
        <v>13</v>
      </c>
      <c r="E1623" s="4" t="s">
        <v>1634</v>
      </c>
      <c r="F1623" s="4" t="n">
        <v>31</v>
      </c>
      <c r="G1623" s="4" t="n">
        <v>3</v>
      </c>
      <c r="H1623" s="4" t="n">
        <v>1</v>
      </c>
      <c r="I1623" s="4" t="str">
        <v>○</v>
      </c>
      <c r="J1623" s="4" t="n">
        <v>280</v>
      </c>
      <c r="K1623" s="4"/>
      <c r="L1623" s="4"/>
      <c r="M1623" s="5" t="s">
        <v>917</v>
      </c>
    </row>
    <row r="1624" customFormat="false" ht="15.75" hidden="false" customHeight="false" outlineLevel="0" collapsed="false">
      <c r="A1624" s="3" t="n">
        <v>46222</v>
      </c>
      <c r="B1624" s="4" t="s">
        <v>1091</v>
      </c>
      <c r="C1624" s="4" t="n">
        <v>6</v>
      </c>
      <c r="D1624" s="4" t="n">
        <v>14</v>
      </c>
      <c r="E1624" s="4" t="s">
        <v>1635</v>
      </c>
      <c r="F1624" s="4" t="n">
        <v>8</v>
      </c>
      <c r="G1624" s="4" t="n">
        <v>8</v>
      </c>
      <c r="H1624" s="4" t="n">
        <v>4</v>
      </c>
      <c r="I1624" s="4" t="str">
        <v>×</v>
      </c>
      <c r="J1624" s="4"/>
      <c r="K1624" s="4"/>
      <c r="L1624" s="4"/>
      <c r="M1624" s="5" t="s">
        <v>917</v>
      </c>
    </row>
    <row r="1625" customFormat="false" ht="15.75" hidden="false" customHeight="false" outlineLevel="0" collapsed="false">
      <c r="A1625" s="3" t="n">
        <v>46222</v>
      </c>
      <c r="B1625" s="4" t="s">
        <v>1091</v>
      </c>
      <c r="C1625" s="4" t="n">
        <v>7</v>
      </c>
      <c r="D1625" s="4" t="n">
        <v>1</v>
      </c>
      <c r="E1625" s="4" t="s">
        <v>1636</v>
      </c>
      <c r="F1625" s="4" t="n">
        <v>47</v>
      </c>
      <c r="G1625" s="4" t="n">
        <v>1</v>
      </c>
      <c r="H1625" s="4" t="n">
        <v>1</v>
      </c>
      <c r="I1625" s="4" t="str">
        <v>○</v>
      </c>
      <c r="J1625" s="4" t="n">
        <v>180</v>
      </c>
      <c r="K1625" s="4"/>
      <c r="L1625" s="4"/>
      <c r="M1625" s="5" t="s">
        <v>917</v>
      </c>
    </row>
    <row r="1626" customFormat="false" ht="15.75" hidden="false" customHeight="false" outlineLevel="0" collapsed="false">
      <c r="A1626" s="3" t="n">
        <v>46222</v>
      </c>
      <c r="B1626" s="4" t="s">
        <v>1091</v>
      </c>
      <c r="C1626" s="4" t="n">
        <v>7</v>
      </c>
      <c r="D1626" s="4" t="n">
        <v>2</v>
      </c>
      <c r="E1626" s="4" t="s">
        <v>1637</v>
      </c>
      <c r="F1626" s="4" t="n">
        <v>34</v>
      </c>
      <c r="G1626" s="4" t="n">
        <v>4</v>
      </c>
      <c r="H1626" s="4" t="n">
        <v>4</v>
      </c>
      <c r="I1626" s="4" t="str">
        <v>×</v>
      </c>
      <c r="J1626" s="4"/>
      <c r="K1626" s="4"/>
      <c r="L1626" s="4"/>
      <c r="M1626" s="5" t="s">
        <v>917</v>
      </c>
    </row>
    <row r="1627" customFormat="false" ht="15.75" hidden="false" customHeight="false" outlineLevel="0" collapsed="false">
      <c r="A1627" s="3" t="n">
        <v>46222</v>
      </c>
      <c r="B1627" s="4" t="s">
        <v>1091</v>
      </c>
      <c r="C1627" s="4" t="n">
        <v>7</v>
      </c>
      <c r="D1627" s="4" t="n">
        <v>3</v>
      </c>
      <c r="E1627" s="4" t="s">
        <v>1638</v>
      </c>
      <c r="F1627" s="4" t="n">
        <v>6</v>
      </c>
      <c r="G1627" s="4" t="n">
        <v>12</v>
      </c>
      <c r="H1627" s="4" t="n">
        <v>4</v>
      </c>
      <c r="I1627" s="4" t="str">
        <v>×</v>
      </c>
      <c r="J1627" s="4"/>
      <c r="K1627" s="4"/>
      <c r="L1627" s="4"/>
      <c r="M1627" s="5" t="s">
        <v>917</v>
      </c>
    </row>
    <row r="1628" customFormat="false" ht="15.75" hidden="false" customHeight="false" outlineLevel="0" collapsed="false">
      <c r="A1628" s="3" t="n">
        <v>46222</v>
      </c>
      <c r="B1628" s="4" t="s">
        <v>1091</v>
      </c>
      <c r="C1628" s="4" t="n">
        <v>7</v>
      </c>
      <c r="D1628" s="4" t="n">
        <v>4</v>
      </c>
      <c r="E1628" s="4" t="s">
        <v>1639</v>
      </c>
      <c r="F1628" s="4" t="n">
        <v>20</v>
      </c>
      <c r="G1628" s="4" t="n">
        <v>8</v>
      </c>
      <c r="H1628" s="4" t="n">
        <v>4</v>
      </c>
      <c r="I1628" s="4" t="str">
        <v>×</v>
      </c>
      <c r="J1628" s="4"/>
      <c r="K1628" s="4"/>
      <c r="L1628" s="4"/>
      <c r="M1628" s="5" t="s">
        <v>917</v>
      </c>
    </row>
    <row r="1629" customFormat="false" ht="15.75" hidden="false" customHeight="false" outlineLevel="0" collapsed="false">
      <c r="A1629" s="3" t="n">
        <v>46222</v>
      </c>
      <c r="B1629" s="4" t="s">
        <v>1091</v>
      </c>
      <c r="C1629" s="4" t="n">
        <v>7</v>
      </c>
      <c r="D1629" s="4" t="n">
        <v>5</v>
      </c>
      <c r="E1629" s="4" t="s">
        <v>1640</v>
      </c>
      <c r="F1629" s="4" t="n">
        <v>37</v>
      </c>
      <c r="G1629" s="4" t="n">
        <v>3</v>
      </c>
      <c r="H1629" s="4" t="n">
        <v>4</v>
      </c>
      <c r="I1629" s="4" t="str">
        <v>×</v>
      </c>
      <c r="J1629" s="4"/>
      <c r="K1629" s="4"/>
      <c r="L1629" s="4"/>
      <c r="M1629" s="5" t="s">
        <v>917</v>
      </c>
    </row>
    <row r="1630" customFormat="false" ht="15.75" hidden="false" customHeight="false" outlineLevel="0" collapsed="false">
      <c r="A1630" s="3" t="n">
        <v>46222</v>
      </c>
      <c r="B1630" s="4" t="s">
        <v>1091</v>
      </c>
      <c r="C1630" s="4" t="n">
        <v>7</v>
      </c>
      <c r="D1630" s="4" t="n">
        <v>6</v>
      </c>
      <c r="E1630" s="4" t="s">
        <v>1641</v>
      </c>
      <c r="F1630" s="4" t="n">
        <v>17</v>
      </c>
      <c r="G1630" s="4" t="n">
        <v>9</v>
      </c>
      <c r="H1630" s="4" t="n">
        <v>4</v>
      </c>
      <c r="I1630" s="4" t="str">
        <v>×</v>
      </c>
      <c r="J1630" s="4"/>
      <c r="K1630" s="4"/>
      <c r="L1630" s="4"/>
      <c r="M1630" s="5" t="s">
        <v>917</v>
      </c>
    </row>
    <row r="1631" customFormat="false" ht="15.75" hidden="false" customHeight="false" outlineLevel="0" collapsed="false">
      <c r="A1631" s="3" t="n">
        <v>46222</v>
      </c>
      <c r="B1631" s="4" t="s">
        <v>1091</v>
      </c>
      <c r="C1631" s="4" t="n">
        <v>7</v>
      </c>
      <c r="D1631" s="4" t="n">
        <v>7</v>
      </c>
      <c r="E1631" s="4" t="s">
        <v>1642</v>
      </c>
      <c r="F1631" s="4" t="n">
        <v>23</v>
      </c>
      <c r="G1631" s="4" t="n">
        <v>7</v>
      </c>
      <c r="H1631" s="4" t="n">
        <v>4</v>
      </c>
      <c r="I1631" s="4" t="str">
        <v>×</v>
      </c>
      <c r="J1631" s="4"/>
      <c r="K1631" s="4"/>
      <c r="L1631" s="4"/>
      <c r="M1631" s="5" t="s">
        <v>917</v>
      </c>
    </row>
    <row r="1632" customFormat="false" ht="15.75" hidden="false" customHeight="false" outlineLevel="0" collapsed="false">
      <c r="A1632" s="3" t="n">
        <v>46222</v>
      </c>
      <c r="B1632" s="4" t="s">
        <v>1091</v>
      </c>
      <c r="C1632" s="4" t="n">
        <v>7</v>
      </c>
      <c r="D1632" s="4" t="n">
        <v>8</v>
      </c>
      <c r="E1632" s="4" t="s">
        <v>1643</v>
      </c>
      <c r="F1632" s="4" t="n">
        <v>17</v>
      </c>
      <c r="G1632" s="4" t="n">
        <v>9</v>
      </c>
      <c r="H1632" s="4" t="n">
        <v>4</v>
      </c>
      <c r="I1632" s="4" t="str">
        <v>×</v>
      </c>
      <c r="J1632" s="4"/>
      <c r="K1632" s="4"/>
      <c r="L1632" s="4"/>
      <c r="M1632" s="5" t="s">
        <v>917</v>
      </c>
    </row>
    <row r="1633" customFormat="false" ht="15.75" hidden="false" customHeight="false" outlineLevel="0" collapsed="false">
      <c r="A1633" s="3" t="n">
        <v>46222</v>
      </c>
      <c r="B1633" s="4" t="s">
        <v>1091</v>
      </c>
      <c r="C1633" s="4" t="n">
        <v>7</v>
      </c>
      <c r="D1633" s="4" t="n">
        <v>9</v>
      </c>
      <c r="E1633" s="4" t="s">
        <v>1644</v>
      </c>
      <c r="F1633" s="4" t="n">
        <v>29</v>
      </c>
      <c r="G1633" s="4" t="n">
        <v>6</v>
      </c>
      <c r="H1633" s="4" t="n">
        <v>4</v>
      </c>
      <c r="I1633" s="4" t="str">
        <v>×</v>
      </c>
      <c r="J1633" s="4"/>
      <c r="K1633" s="4"/>
      <c r="L1633" s="4"/>
      <c r="M1633" s="5" t="s">
        <v>917</v>
      </c>
    </row>
    <row r="1634" customFormat="false" ht="15.75" hidden="false" customHeight="false" outlineLevel="0" collapsed="false">
      <c r="A1634" s="3" t="n">
        <v>46222</v>
      </c>
      <c r="B1634" s="4" t="s">
        <v>1091</v>
      </c>
      <c r="C1634" s="4" t="n">
        <v>7</v>
      </c>
      <c r="D1634" s="4" t="n">
        <v>10</v>
      </c>
      <c r="E1634" s="4" t="s">
        <v>1645</v>
      </c>
      <c r="F1634" s="4" t="n">
        <v>39</v>
      </c>
      <c r="G1634" s="4" t="n">
        <v>2</v>
      </c>
      <c r="H1634" s="4" t="n">
        <v>2</v>
      </c>
      <c r="I1634" s="4" t="str">
        <v>○</v>
      </c>
      <c r="J1634" s="4" t="n">
        <v>200</v>
      </c>
      <c r="K1634" s="4"/>
      <c r="L1634" s="4"/>
      <c r="M1634" s="5" t="s">
        <v>917</v>
      </c>
    </row>
    <row r="1635" customFormat="false" ht="15.75" hidden="false" customHeight="false" outlineLevel="0" collapsed="false">
      <c r="A1635" s="3" t="n">
        <v>46222</v>
      </c>
      <c r="B1635" s="4" t="s">
        <v>1091</v>
      </c>
      <c r="C1635" s="4" t="n">
        <v>7</v>
      </c>
      <c r="D1635" s="4" t="n">
        <v>11</v>
      </c>
      <c r="E1635" s="4" t="s">
        <v>1646</v>
      </c>
      <c r="F1635" s="4" t="n">
        <v>31</v>
      </c>
      <c r="G1635" s="4" t="n">
        <v>5</v>
      </c>
      <c r="H1635" s="4" t="n">
        <v>4</v>
      </c>
      <c r="I1635" s="4" t="str">
        <v>×</v>
      </c>
      <c r="J1635" s="4"/>
      <c r="K1635" s="4"/>
      <c r="L1635" s="4"/>
      <c r="M1635" s="5" t="s">
        <v>917</v>
      </c>
    </row>
    <row r="1636" customFormat="false" ht="15.75" hidden="false" customHeight="false" outlineLevel="0" collapsed="false">
      <c r="A1636" s="3" t="n">
        <v>46222</v>
      </c>
      <c r="B1636" s="4" t="s">
        <v>1091</v>
      </c>
      <c r="C1636" s="4" t="n">
        <v>7</v>
      </c>
      <c r="D1636" s="4" t="n">
        <v>12</v>
      </c>
      <c r="E1636" s="4" t="s">
        <v>1647</v>
      </c>
      <c r="F1636" s="4" t="n">
        <v>8</v>
      </c>
      <c r="G1636" s="4" t="n">
        <v>11</v>
      </c>
      <c r="H1636" s="4" t="n">
        <v>4</v>
      </c>
      <c r="I1636" s="4" t="str">
        <v>×</v>
      </c>
      <c r="J1636" s="4"/>
      <c r="K1636" s="4"/>
      <c r="L1636" s="4"/>
      <c r="M1636" s="5" t="s">
        <v>917</v>
      </c>
    </row>
    <row r="1637" customFormat="false" ht="15.75" hidden="false" customHeight="false" outlineLevel="0" collapsed="false">
      <c r="A1637" s="3" t="n">
        <v>46222</v>
      </c>
      <c r="B1637" s="4" t="s">
        <v>1091</v>
      </c>
      <c r="C1637" s="4" t="n">
        <v>7</v>
      </c>
      <c r="D1637" s="4" t="n">
        <v>13</v>
      </c>
      <c r="E1637" s="4" t="s">
        <v>1648</v>
      </c>
      <c r="F1637" s="4" t="n">
        <v>23</v>
      </c>
      <c r="G1637" s="4" t="n">
        <v>7</v>
      </c>
      <c r="H1637" s="4" t="n">
        <v>3</v>
      </c>
      <c r="I1637" s="4" t="str">
        <v>○</v>
      </c>
      <c r="J1637" s="4" t="n">
        <v>360</v>
      </c>
      <c r="K1637" s="4"/>
      <c r="L1637" s="4"/>
      <c r="M1637" s="5" t="s">
        <v>917</v>
      </c>
    </row>
    <row r="1638" customFormat="false" ht="15.75" hidden="false" customHeight="false" outlineLevel="0" collapsed="false">
      <c r="A1638" s="3" t="n">
        <v>46222</v>
      </c>
      <c r="B1638" s="4" t="s">
        <v>1091</v>
      </c>
      <c r="C1638" s="4" t="n">
        <v>7</v>
      </c>
      <c r="D1638" s="4" t="n">
        <v>14</v>
      </c>
      <c r="E1638" s="4" t="s">
        <v>1649</v>
      </c>
      <c r="F1638" s="4" t="n">
        <v>10</v>
      </c>
      <c r="G1638" s="4" t="n">
        <v>10</v>
      </c>
      <c r="H1638" s="4" t="n">
        <v>4</v>
      </c>
      <c r="I1638" s="4" t="str">
        <v>×</v>
      </c>
      <c r="J1638" s="4"/>
      <c r="K1638" s="4"/>
      <c r="L1638" s="4"/>
      <c r="M1638" s="5" t="s">
        <v>917</v>
      </c>
    </row>
    <row r="1639" customFormat="false" ht="15.75" hidden="false" customHeight="false" outlineLevel="0" collapsed="false">
      <c r="A1639" s="3" t="n">
        <v>46222</v>
      </c>
      <c r="B1639" s="4" t="s">
        <v>1091</v>
      </c>
      <c r="C1639" s="4" t="n">
        <v>7</v>
      </c>
      <c r="D1639" s="4" t="n">
        <v>15</v>
      </c>
      <c r="E1639" s="4" t="s">
        <v>1650</v>
      </c>
      <c r="F1639" s="4" t="n">
        <v>4</v>
      </c>
      <c r="G1639" s="4" t="n">
        <v>13</v>
      </c>
      <c r="H1639" s="4" t="n">
        <v>4</v>
      </c>
      <c r="I1639" s="4" t="str">
        <v>×</v>
      </c>
      <c r="J1639" s="4"/>
      <c r="K1639" s="4"/>
      <c r="L1639" s="4"/>
      <c r="M1639" s="5" t="s">
        <v>917</v>
      </c>
    </row>
    <row r="1640" customFormat="false" ht="15.75" hidden="false" customHeight="false" outlineLevel="0" collapsed="false">
      <c r="A1640" s="3" t="n">
        <v>46222</v>
      </c>
      <c r="B1640" s="4" t="s">
        <v>1091</v>
      </c>
      <c r="C1640" s="4" t="n">
        <v>7</v>
      </c>
      <c r="D1640" s="4" t="n">
        <v>16</v>
      </c>
      <c r="E1640" s="4" t="s">
        <v>1651</v>
      </c>
      <c r="F1640" s="4" t="n">
        <v>6</v>
      </c>
      <c r="G1640" s="4" t="n">
        <v>12</v>
      </c>
      <c r="H1640" s="4" t="n">
        <v>4</v>
      </c>
      <c r="I1640" s="4" t="str">
        <v>×</v>
      </c>
      <c r="J1640" s="4"/>
      <c r="K1640" s="4"/>
      <c r="L1640" s="4"/>
      <c r="M1640" s="5" t="s">
        <v>917</v>
      </c>
    </row>
    <row r="1641" customFormat="false" ht="15.75" hidden="false" customHeight="false" outlineLevel="0" collapsed="false">
      <c r="A1641" s="3" t="n">
        <v>46222</v>
      </c>
      <c r="B1641" s="4" t="s">
        <v>1091</v>
      </c>
      <c r="C1641" s="4" t="n">
        <v>7</v>
      </c>
      <c r="D1641" s="4" t="n">
        <v>17</v>
      </c>
      <c r="E1641" s="4" t="s">
        <v>1652</v>
      </c>
      <c r="F1641" s="4" t="n">
        <v>10</v>
      </c>
      <c r="G1641" s="4" t="n">
        <v>10</v>
      </c>
      <c r="H1641" s="4" t="n">
        <v>4</v>
      </c>
      <c r="I1641" s="4" t="str">
        <v>×</v>
      </c>
      <c r="J1641" s="4"/>
      <c r="K1641" s="4"/>
      <c r="L1641" s="4"/>
      <c r="M1641" s="5" t="s">
        <v>917</v>
      </c>
    </row>
    <row r="1642" customFormat="false" ht="15.75" hidden="false" customHeight="false" outlineLevel="0" collapsed="false">
      <c r="A1642" s="3" t="n">
        <v>46222</v>
      </c>
      <c r="B1642" s="4" t="s">
        <v>1091</v>
      </c>
      <c r="C1642" s="4" t="n">
        <v>8</v>
      </c>
      <c r="D1642" s="4" t="n">
        <v>1</v>
      </c>
      <c r="E1642" s="4" t="s">
        <v>1653</v>
      </c>
      <c r="F1642" s="4" t="n">
        <v>50</v>
      </c>
      <c r="G1642" s="4" t="n">
        <v>1</v>
      </c>
      <c r="H1642" s="4" t="n">
        <v>4</v>
      </c>
      <c r="I1642" s="4" t="str">
        <v>×</v>
      </c>
      <c r="J1642" s="4"/>
      <c r="K1642" s="4"/>
      <c r="L1642" s="4"/>
      <c r="M1642" s="5" t="s">
        <v>917</v>
      </c>
    </row>
    <row r="1643" customFormat="false" ht="15.75" hidden="false" customHeight="false" outlineLevel="0" collapsed="false">
      <c r="A1643" s="3" t="n">
        <v>46222</v>
      </c>
      <c r="B1643" s="4" t="s">
        <v>1091</v>
      </c>
      <c r="C1643" s="4" t="n">
        <v>8</v>
      </c>
      <c r="D1643" s="4" t="n">
        <v>2</v>
      </c>
      <c r="E1643" s="4" t="s">
        <v>1654</v>
      </c>
      <c r="F1643" s="4" t="n">
        <v>17</v>
      </c>
      <c r="G1643" s="4" t="n">
        <v>7</v>
      </c>
      <c r="H1643" s="4" t="n">
        <v>4</v>
      </c>
      <c r="I1643" s="4" t="str">
        <v>×</v>
      </c>
      <c r="J1643" s="4"/>
      <c r="K1643" s="4"/>
      <c r="L1643" s="4"/>
      <c r="M1643" s="5" t="s">
        <v>917</v>
      </c>
    </row>
    <row r="1644" customFormat="false" ht="15.75" hidden="false" customHeight="false" outlineLevel="0" collapsed="false">
      <c r="A1644" s="3" t="n">
        <v>46222</v>
      </c>
      <c r="B1644" s="4" t="s">
        <v>1091</v>
      </c>
      <c r="C1644" s="4" t="n">
        <v>8</v>
      </c>
      <c r="D1644" s="4" t="n">
        <v>3</v>
      </c>
      <c r="E1644" s="4" t="s">
        <v>1655</v>
      </c>
      <c r="F1644" s="4" t="n">
        <v>25</v>
      </c>
      <c r="G1644" s="4" t="n">
        <v>4</v>
      </c>
      <c r="H1644" s="4" t="n">
        <v>4</v>
      </c>
      <c r="I1644" s="4" t="str">
        <v>×</v>
      </c>
      <c r="J1644" s="4"/>
      <c r="K1644" s="4"/>
      <c r="L1644" s="4"/>
      <c r="M1644" s="5" t="s">
        <v>917</v>
      </c>
    </row>
    <row r="1645" customFormat="false" ht="15.75" hidden="false" customHeight="false" outlineLevel="0" collapsed="false">
      <c r="A1645" s="3" t="n">
        <v>46222</v>
      </c>
      <c r="B1645" s="4" t="s">
        <v>1091</v>
      </c>
      <c r="C1645" s="4" t="n">
        <v>8</v>
      </c>
      <c r="D1645" s="4" t="n">
        <v>4</v>
      </c>
      <c r="E1645" s="4" t="s">
        <v>1656</v>
      </c>
      <c r="F1645" s="4" t="n">
        <v>25</v>
      </c>
      <c r="G1645" s="4" t="n">
        <v>4</v>
      </c>
      <c r="H1645" s="4" t="n">
        <v>4</v>
      </c>
      <c r="I1645" s="4" t="str">
        <v>×</v>
      </c>
      <c r="J1645" s="4"/>
      <c r="K1645" s="4"/>
      <c r="L1645" s="4"/>
      <c r="M1645" s="5" t="s">
        <v>917</v>
      </c>
    </row>
    <row r="1646" customFormat="false" ht="15.75" hidden="false" customHeight="false" outlineLevel="0" collapsed="false">
      <c r="A1646" s="3" t="n">
        <v>46222</v>
      </c>
      <c r="B1646" s="4" t="s">
        <v>1091</v>
      </c>
      <c r="C1646" s="4" t="n">
        <v>8</v>
      </c>
      <c r="D1646" s="4" t="n">
        <v>5</v>
      </c>
      <c r="E1646" s="4" t="s">
        <v>1657</v>
      </c>
      <c r="F1646" s="4" t="n">
        <v>15</v>
      </c>
      <c r="G1646" s="4" t="n">
        <v>8</v>
      </c>
      <c r="H1646" s="4" t="n">
        <v>4</v>
      </c>
      <c r="I1646" s="4" t="str">
        <v>×</v>
      </c>
      <c r="J1646" s="4"/>
      <c r="K1646" s="4"/>
      <c r="L1646" s="4"/>
      <c r="M1646" s="5" t="s">
        <v>917</v>
      </c>
    </row>
    <row r="1647" customFormat="false" ht="15.75" hidden="false" customHeight="false" outlineLevel="0" collapsed="false">
      <c r="A1647" s="3" t="n">
        <v>46222</v>
      </c>
      <c r="B1647" s="4" t="s">
        <v>1091</v>
      </c>
      <c r="C1647" s="4" t="n">
        <v>8</v>
      </c>
      <c r="D1647" s="4" t="n">
        <v>6</v>
      </c>
      <c r="E1647" s="4" t="s">
        <v>1658</v>
      </c>
      <c r="F1647" s="4" t="n">
        <v>44</v>
      </c>
      <c r="G1647" s="4" t="n">
        <v>2</v>
      </c>
      <c r="H1647" s="4" t="n">
        <v>4</v>
      </c>
      <c r="I1647" s="4" t="str">
        <v>×</v>
      </c>
      <c r="J1647" s="4"/>
      <c r="K1647" s="4"/>
      <c r="L1647" s="4"/>
      <c r="M1647" s="5" t="s">
        <v>917</v>
      </c>
    </row>
    <row r="1648" customFormat="false" ht="15.75" hidden="false" customHeight="false" outlineLevel="0" collapsed="false">
      <c r="A1648" s="3" t="n">
        <v>46222</v>
      </c>
      <c r="B1648" s="4" t="s">
        <v>1091</v>
      </c>
      <c r="C1648" s="4" t="n">
        <v>8</v>
      </c>
      <c r="D1648" s="4" t="n">
        <v>7</v>
      </c>
      <c r="E1648" s="4" t="s">
        <v>1659</v>
      </c>
      <c r="F1648" s="4" t="n">
        <v>20</v>
      </c>
      <c r="G1648" s="4" t="n">
        <v>6</v>
      </c>
      <c r="H1648" s="4" t="n">
        <v>3</v>
      </c>
      <c r="I1648" s="4" t="str">
        <v>○</v>
      </c>
      <c r="J1648" s="4" t="n">
        <v>330</v>
      </c>
      <c r="K1648" s="4"/>
      <c r="L1648" s="4"/>
      <c r="M1648" s="5" t="s">
        <v>917</v>
      </c>
    </row>
    <row r="1649" customFormat="false" ht="15.75" hidden="false" customHeight="false" outlineLevel="0" collapsed="false">
      <c r="A1649" s="3" t="n">
        <v>46222</v>
      </c>
      <c r="B1649" s="4" t="s">
        <v>1091</v>
      </c>
      <c r="C1649" s="4" t="n">
        <v>8</v>
      </c>
      <c r="D1649" s="4" t="n">
        <v>8</v>
      </c>
      <c r="E1649" s="4" t="s">
        <v>1660</v>
      </c>
      <c r="F1649" s="4" t="n">
        <v>13</v>
      </c>
      <c r="G1649" s="4" t="n">
        <v>9</v>
      </c>
      <c r="H1649" s="4" t="n">
        <v>4</v>
      </c>
      <c r="I1649" s="4" t="str">
        <v>×</v>
      </c>
      <c r="J1649" s="4"/>
      <c r="K1649" s="4"/>
      <c r="L1649" s="4"/>
      <c r="M1649" s="5" t="s">
        <v>917</v>
      </c>
    </row>
    <row r="1650" customFormat="false" ht="15.75" hidden="false" customHeight="false" outlineLevel="0" collapsed="false">
      <c r="A1650" s="3" t="n">
        <v>46222</v>
      </c>
      <c r="B1650" s="4" t="s">
        <v>1091</v>
      </c>
      <c r="C1650" s="4" t="n">
        <v>8</v>
      </c>
      <c r="D1650" s="4" t="n">
        <v>9</v>
      </c>
      <c r="E1650" s="4" t="s">
        <v>1661</v>
      </c>
      <c r="F1650" s="4" t="n">
        <v>23</v>
      </c>
      <c r="G1650" s="4" t="n">
        <v>5</v>
      </c>
      <c r="H1650" s="4" t="n">
        <v>4</v>
      </c>
      <c r="I1650" s="4" t="str">
        <v>×</v>
      </c>
      <c r="J1650" s="4"/>
      <c r="K1650" s="4"/>
      <c r="L1650" s="4"/>
      <c r="M1650" s="5" t="s">
        <v>917</v>
      </c>
    </row>
    <row r="1651" customFormat="false" ht="15.75" hidden="false" customHeight="false" outlineLevel="0" collapsed="false">
      <c r="A1651" s="3" t="n">
        <v>46222</v>
      </c>
      <c r="B1651" s="4" t="s">
        <v>1091</v>
      </c>
      <c r="C1651" s="4" t="n">
        <v>8</v>
      </c>
      <c r="D1651" s="4" t="n">
        <v>10</v>
      </c>
      <c r="E1651" s="4" t="s">
        <v>1662</v>
      </c>
      <c r="F1651" s="4" t="n">
        <v>41</v>
      </c>
      <c r="G1651" s="4" t="n">
        <v>3</v>
      </c>
      <c r="H1651" s="4" t="n">
        <v>4</v>
      </c>
      <c r="I1651" s="4" t="str">
        <v>×</v>
      </c>
      <c r="J1651" s="4"/>
      <c r="K1651" s="4"/>
      <c r="L1651" s="4"/>
      <c r="M1651" s="5" t="s">
        <v>917</v>
      </c>
    </row>
    <row r="1652" customFormat="false" ht="15.75" hidden="false" customHeight="false" outlineLevel="0" collapsed="false">
      <c r="A1652" s="3" t="n">
        <v>46222</v>
      </c>
      <c r="B1652" s="4" t="s">
        <v>1091</v>
      </c>
      <c r="C1652" s="4" t="n">
        <v>8</v>
      </c>
      <c r="D1652" s="4" t="n">
        <v>11</v>
      </c>
      <c r="E1652" s="4" t="s">
        <v>1663</v>
      </c>
      <c r="F1652" s="4" t="n">
        <v>13</v>
      </c>
      <c r="G1652" s="4" t="n">
        <v>9</v>
      </c>
      <c r="H1652" s="4" t="n">
        <v>4</v>
      </c>
      <c r="I1652" s="4" t="str">
        <v>×</v>
      </c>
      <c r="J1652" s="4"/>
      <c r="K1652" s="4"/>
      <c r="L1652" s="4"/>
      <c r="M1652" s="5" t="s">
        <v>917</v>
      </c>
    </row>
    <row r="1653" customFormat="false" ht="15.75" hidden="false" customHeight="false" outlineLevel="0" collapsed="false">
      <c r="A1653" s="3" t="n">
        <v>46222</v>
      </c>
      <c r="B1653" s="4" t="s">
        <v>1091</v>
      </c>
      <c r="C1653" s="4" t="n">
        <v>8</v>
      </c>
      <c r="D1653" s="4" t="n">
        <v>12</v>
      </c>
      <c r="E1653" s="4" t="s">
        <v>1664</v>
      </c>
      <c r="F1653" s="4" t="n">
        <v>6</v>
      </c>
      <c r="G1653" s="4" t="n">
        <v>10</v>
      </c>
      <c r="H1653" s="4" t="n">
        <v>1</v>
      </c>
      <c r="I1653" s="4" t="str">
        <v>○</v>
      </c>
      <c r="J1653" s="4" t="n">
        <v>1190</v>
      </c>
      <c r="K1653" s="4"/>
      <c r="L1653" s="4"/>
      <c r="M1653" s="5" t="s">
        <v>917</v>
      </c>
    </row>
    <row r="1654" customFormat="false" ht="15.75" hidden="false" customHeight="false" outlineLevel="0" collapsed="false">
      <c r="A1654" s="3" t="n">
        <v>46222</v>
      </c>
      <c r="B1654" s="4" t="s">
        <v>1091</v>
      </c>
      <c r="C1654" s="4" t="n">
        <v>8</v>
      </c>
      <c r="D1654" s="4" t="n">
        <v>13</v>
      </c>
      <c r="E1654" s="4" t="s">
        <v>1665</v>
      </c>
      <c r="F1654" s="4" t="n">
        <v>20</v>
      </c>
      <c r="G1654" s="4" t="n">
        <v>6</v>
      </c>
      <c r="H1654" s="4" t="n">
        <v>4</v>
      </c>
      <c r="I1654" s="4" t="str">
        <v>×</v>
      </c>
      <c r="J1654" s="4"/>
      <c r="K1654" s="4"/>
      <c r="L1654" s="4"/>
      <c r="M1654" s="5" t="s">
        <v>917</v>
      </c>
    </row>
    <row r="1655" customFormat="false" ht="15.75" hidden="false" customHeight="false" outlineLevel="0" collapsed="false">
      <c r="A1655" s="3" t="n">
        <v>46222</v>
      </c>
      <c r="B1655" s="4" t="s">
        <v>1091</v>
      </c>
      <c r="C1655" s="4" t="n">
        <v>8</v>
      </c>
      <c r="D1655" s="4" t="n">
        <v>14</v>
      </c>
      <c r="E1655" s="4" t="s">
        <v>1666</v>
      </c>
      <c r="F1655" s="4" t="n">
        <v>23</v>
      </c>
      <c r="G1655" s="4" t="n">
        <v>5</v>
      </c>
      <c r="H1655" s="4" t="n">
        <v>2</v>
      </c>
      <c r="I1655" s="4" t="str">
        <v>○</v>
      </c>
      <c r="J1655" s="4" t="n">
        <v>650</v>
      </c>
      <c r="K1655" s="4"/>
      <c r="L1655" s="4"/>
      <c r="M1655" s="5" t="s">
        <v>917</v>
      </c>
    </row>
    <row r="1656" customFormat="false" ht="15.75" hidden="false" customHeight="false" outlineLevel="0" collapsed="false">
      <c r="A1656" s="3" t="n">
        <v>46222</v>
      </c>
      <c r="B1656" s="4" t="s">
        <v>1091</v>
      </c>
      <c r="C1656" s="4" t="n">
        <v>9</v>
      </c>
      <c r="D1656" s="4" t="n">
        <v>1</v>
      </c>
      <c r="E1656" s="4" t="s">
        <v>1667</v>
      </c>
      <c r="F1656" s="4" t="n">
        <v>13</v>
      </c>
      <c r="G1656" s="4" t="n">
        <v>7</v>
      </c>
      <c r="H1656" s="4" t="n">
        <v>4</v>
      </c>
      <c r="I1656" s="4" t="str">
        <v>×</v>
      </c>
      <c r="J1656" s="4"/>
      <c r="K1656" s="4"/>
      <c r="L1656" s="4"/>
      <c r="M1656" s="5" t="s">
        <v>917</v>
      </c>
    </row>
    <row r="1657" customFormat="false" ht="15.75" hidden="false" customHeight="false" outlineLevel="0" collapsed="false">
      <c r="A1657" s="3" t="n">
        <v>46222</v>
      </c>
      <c r="B1657" s="4" t="s">
        <v>1091</v>
      </c>
      <c r="C1657" s="4" t="n">
        <v>9</v>
      </c>
      <c r="D1657" s="4" t="n">
        <v>2</v>
      </c>
      <c r="E1657" s="4" t="s">
        <v>1668</v>
      </c>
      <c r="F1657" s="4" t="n">
        <v>25</v>
      </c>
      <c r="G1657" s="4" t="n">
        <v>4</v>
      </c>
      <c r="H1657" s="4" t="n">
        <v>4</v>
      </c>
      <c r="I1657" s="4" t="str">
        <v>×</v>
      </c>
      <c r="J1657" s="4"/>
      <c r="K1657" s="4"/>
      <c r="L1657" s="4"/>
      <c r="M1657" s="5" t="s">
        <v>917</v>
      </c>
    </row>
    <row r="1658" customFormat="false" ht="15.75" hidden="false" customHeight="false" outlineLevel="0" collapsed="false">
      <c r="A1658" s="3" t="n">
        <v>46222</v>
      </c>
      <c r="B1658" s="4" t="s">
        <v>1091</v>
      </c>
      <c r="C1658" s="4" t="n">
        <v>9</v>
      </c>
      <c r="D1658" s="4" t="n">
        <v>3</v>
      </c>
      <c r="E1658" s="4" t="s">
        <v>1669</v>
      </c>
      <c r="F1658" s="4" t="n">
        <v>68</v>
      </c>
      <c r="G1658" s="4" t="n">
        <v>1</v>
      </c>
      <c r="H1658" s="4" t="n">
        <v>2</v>
      </c>
      <c r="I1658" s="4" t="str">
        <v>○</v>
      </c>
      <c r="J1658" s="4" t="n">
        <v>110</v>
      </c>
      <c r="K1658" s="4"/>
      <c r="L1658" s="4"/>
      <c r="M1658" s="5" t="s">
        <v>917</v>
      </c>
    </row>
    <row r="1659" customFormat="false" ht="15.75" hidden="false" customHeight="false" outlineLevel="0" collapsed="false">
      <c r="A1659" s="3" t="n">
        <v>46222</v>
      </c>
      <c r="B1659" s="4" t="s">
        <v>1091</v>
      </c>
      <c r="C1659" s="4" t="n">
        <v>9</v>
      </c>
      <c r="D1659" s="4" t="n">
        <v>4</v>
      </c>
      <c r="E1659" s="4" t="s">
        <v>1670</v>
      </c>
      <c r="F1659" s="4" t="n">
        <v>23</v>
      </c>
      <c r="G1659" s="4" t="n">
        <v>5</v>
      </c>
      <c r="H1659" s="4" t="n">
        <v>4</v>
      </c>
      <c r="I1659" s="4" t="str">
        <v>×</v>
      </c>
      <c r="J1659" s="4"/>
      <c r="K1659" s="4"/>
      <c r="L1659" s="4"/>
      <c r="M1659" s="5" t="s">
        <v>917</v>
      </c>
    </row>
    <row r="1660" customFormat="false" ht="15.75" hidden="false" customHeight="false" outlineLevel="0" collapsed="false">
      <c r="A1660" s="3" t="n">
        <v>46222</v>
      </c>
      <c r="B1660" s="4" t="s">
        <v>1091</v>
      </c>
      <c r="C1660" s="4" t="n">
        <v>9</v>
      </c>
      <c r="D1660" s="4" t="n">
        <v>5</v>
      </c>
      <c r="E1660" s="4" t="s">
        <v>1671</v>
      </c>
      <c r="F1660" s="4" t="n">
        <v>17</v>
      </c>
      <c r="G1660" s="4" t="n">
        <v>6</v>
      </c>
      <c r="H1660" s="4" t="n">
        <v>4</v>
      </c>
      <c r="I1660" s="4" t="str">
        <v>×</v>
      </c>
      <c r="J1660" s="4"/>
      <c r="K1660" s="4"/>
      <c r="L1660" s="4"/>
      <c r="M1660" s="5" t="s">
        <v>917</v>
      </c>
    </row>
    <row r="1661" customFormat="false" ht="15.75" hidden="false" customHeight="false" outlineLevel="0" collapsed="false">
      <c r="A1661" s="3" t="n">
        <v>46222</v>
      </c>
      <c r="B1661" s="4" t="s">
        <v>1091</v>
      </c>
      <c r="C1661" s="4" t="n">
        <v>9</v>
      </c>
      <c r="D1661" s="4" t="n">
        <v>6</v>
      </c>
      <c r="E1661" s="4" t="s">
        <v>1672</v>
      </c>
      <c r="F1661" s="4" t="n">
        <v>44</v>
      </c>
      <c r="G1661" s="4" t="n">
        <v>2</v>
      </c>
      <c r="H1661" s="4" t="n">
        <v>3</v>
      </c>
      <c r="I1661" s="4" t="str">
        <v>○</v>
      </c>
      <c r="J1661" s="4" t="n">
        <v>130</v>
      </c>
      <c r="K1661" s="4"/>
      <c r="L1661" s="4"/>
      <c r="M1661" s="5" t="s">
        <v>917</v>
      </c>
    </row>
    <row r="1662" customFormat="false" ht="15.75" hidden="false" customHeight="false" outlineLevel="0" collapsed="false">
      <c r="A1662" s="3" t="n">
        <v>46222</v>
      </c>
      <c r="B1662" s="4" t="s">
        <v>1091</v>
      </c>
      <c r="C1662" s="4" t="n">
        <v>9</v>
      </c>
      <c r="D1662" s="4" t="n">
        <v>7</v>
      </c>
      <c r="E1662" s="4" t="s">
        <v>1673</v>
      </c>
      <c r="F1662" s="4" t="n">
        <v>25</v>
      </c>
      <c r="G1662" s="4" t="n">
        <v>4</v>
      </c>
      <c r="H1662" s="4" t="n">
        <v>1</v>
      </c>
      <c r="I1662" s="4" t="str">
        <v>○</v>
      </c>
      <c r="J1662" s="4" t="n">
        <v>190</v>
      </c>
      <c r="K1662" s="4"/>
      <c r="L1662" s="4"/>
      <c r="M1662" s="5" t="s">
        <v>917</v>
      </c>
    </row>
    <row r="1663" customFormat="false" ht="15.75" hidden="false" customHeight="false" outlineLevel="0" collapsed="false">
      <c r="A1663" s="3" t="n">
        <v>46222</v>
      </c>
      <c r="B1663" s="4" t="s">
        <v>1091</v>
      </c>
      <c r="C1663" s="4" t="n">
        <v>9</v>
      </c>
      <c r="D1663" s="4" t="n">
        <v>8</v>
      </c>
      <c r="E1663" s="4" t="s">
        <v>1674</v>
      </c>
      <c r="F1663" s="4" t="n">
        <v>29</v>
      </c>
      <c r="G1663" s="4" t="n">
        <v>3</v>
      </c>
      <c r="H1663" s="4" t="n">
        <v>4</v>
      </c>
      <c r="I1663" s="4" t="str">
        <v>×</v>
      </c>
      <c r="J1663" s="4"/>
      <c r="K1663" s="4"/>
      <c r="L1663" s="4"/>
      <c r="M1663" s="5" t="s">
        <v>917</v>
      </c>
    </row>
    <row r="1664" customFormat="false" ht="15.75" hidden="false" customHeight="false" outlineLevel="0" collapsed="false">
      <c r="A1664" s="3" t="n">
        <v>46222</v>
      </c>
      <c r="B1664" s="4" t="s">
        <v>1091</v>
      </c>
      <c r="C1664" s="4" t="n">
        <v>10</v>
      </c>
      <c r="D1664" s="4" t="n">
        <v>1</v>
      </c>
      <c r="E1664" s="4" t="s">
        <v>1675</v>
      </c>
      <c r="F1664" s="4" t="n">
        <v>41</v>
      </c>
      <c r="G1664" s="4" t="n">
        <v>2</v>
      </c>
      <c r="H1664" s="4" t="n">
        <v>2</v>
      </c>
      <c r="I1664" s="4" t="str">
        <v>○</v>
      </c>
      <c r="J1664" s="4" t="n">
        <v>220</v>
      </c>
      <c r="K1664" s="4"/>
      <c r="L1664" s="4"/>
      <c r="M1664" s="5" t="s">
        <v>917</v>
      </c>
    </row>
    <row r="1665" customFormat="false" ht="15.75" hidden="false" customHeight="false" outlineLevel="0" collapsed="false">
      <c r="A1665" s="3" t="n">
        <v>46222</v>
      </c>
      <c r="B1665" s="4" t="s">
        <v>1091</v>
      </c>
      <c r="C1665" s="4" t="n">
        <v>10</v>
      </c>
      <c r="D1665" s="4" t="n">
        <v>2</v>
      </c>
      <c r="E1665" s="4" t="s">
        <v>1676</v>
      </c>
      <c r="F1665" s="4" t="n">
        <v>15</v>
      </c>
      <c r="G1665" s="4" t="n">
        <v>7</v>
      </c>
      <c r="H1665" s="4" t="n">
        <v>4</v>
      </c>
      <c r="I1665" s="4" t="str">
        <v>×</v>
      </c>
      <c r="J1665" s="4"/>
      <c r="K1665" s="4"/>
      <c r="L1665" s="4"/>
      <c r="M1665" s="5" t="s">
        <v>917</v>
      </c>
    </row>
    <row r="1666" customFormat="false" ht="15.75" hidden="false" customHeight="false" outlineLevel="0" collapsed="false">
      <c r="A1666" s="3" t="n">
        <v>46222</v>
      </c>
      <c r="B1666" s="4" t="s">
        <v>1091</v>
      </c>
      <c r="C1666" s="4" t="n">
        <v>10</v>
      </c>
      <c r="D1666" s="4" t="n">
        <v>3</v>
      </c>
      <c r="E1666" s="4" t="s">
        <v>1677</v>
      </c>
      <c r="F1666" s="4" t="n">
        <v>10</v>
      </c>
      <c r="G1666" s="4" t="n">
        <v>9</v>
      </c>
      <c r="H1666" s="4" t="n">
        <v>4</v>
      </c>
      <c r="I1666" s="4" t="str">
        <v>×</v>
      </c>
      <c r="J1666" s="4"/>
      <c r="K1666" s="4"/>
      <c r="L1666" s="4"/>
      <c r="M1666" s="5" t="s">
        <v>917</v>
      </c>
    </row>
    <row r="1667" customFormat="false" ht="15.75" hidden="false" customHeight="false" outlineLevel="0" collapsed="false">
      <c r="A1667" s="3" t="n">
        <v>46222</v>
      </c>
      <c r="B1667" s="4" t="s">
        <v>1091</v>
      </c>
      <c r="C1667" s="4" t="n">
        <v>10</v>
      </c>
      <c r="D1667" s="4" t="n">
        <v>4</v>
      </c>
      <c r="E1667" s="4" t="s">
        <v>1678</v>
      </c>
      <c r="F1667" s="4" t="n">
        <v>8</v>
      </c>
      <c r="G1667" s="4" t="n">
        <v>10</v>
      </c>
      <c r="H1667" s="4" t="n">
        <v>1</v>
      </c>
      <c r="I1667" s="4" t="str">
        <v>○</v>
      </c>
      <c r="J1667" s="4" t="n">
        <v>560</v>
      </c>
      <c r="K1667" s="4"/>
      <c r="L1667" s="4"/>
      <c r="M1667" s="5" t="s">
        <v>917</v>
      </c>
    </row>
    <row r="1668" customFormat="false" ht="15.75" hidden="false" customHeight="false" outlineLevel="0" collapsed="false">
      <c r="A1668" s="3" t="n">
        <v>46222</v>
      </c>
      <c r="B1668" s="4" t="s">
        <v>1091</v>
      </c>
      <c r="C1668" s="4" t="n">
        <v>10</v>
      </c>
      <c r="D1668" s="4" t="n">
        <v>5</v>
      </c>
      <c r="E1668" s="4" t="s">
        <v>1679</v>
      </c>
      <c r="F1668" s="4" t="n">
        <v>13</v>
      </c>
      <c r="G1668" s="4" t="n">
        <v>8</v>
      </c>
      <c r="H1668" s="4" t="n">
        <v>4</v>
      </c>
      <c r="I1668" s="4" t="str">
        <v>×</v>
      </c>
      <c r="J1668" s="4"/>
      <c r="K1668" s="4"/>
      <c r="L1668" s="4"/>
      <c r="M1668" s="5" t="s">
        <v>917</v>
      </c>
    </row>
    <row r="1669" customFormat="false" ht="15.75" hidden="false" customHeight="false" outlineLevel="0" collapsed="false">
      <c r="A1669" s="3" t="n">
        <v>46222</v>
      </c>
      <c r="B1669" s="4" t="s">
        <v>1091</v>
      </c>
      <c r="C1669" s="4" t="n">
        <v>10</v>
      </c>
      <c r="D1669" s="4" t="n">
        <v>6</v>
      </c>
      <c r="E1669" s="4" t="s">
        <v>1680</v>
      </c>
      <c r="F1669" s="4" t="n">
        <v>20</v>
      </c>
      <c r="G1669" s="4" t="n">
        <v>6</v>
      </c>
      <c r="H1669" s="4" t="n">
        <v>4</v>
      </c>
      <c r="I1669" s="4" t="str">
        <v>×</v>
      </c>
      <c r="J1669" s="4"/>
      <c r="K1669" s="4"/>
      <c r="L1669" s="4"/>
      <c r="M1669" s="5" t="s">
        <v>917</v>
      </c>
    </row>
    <row r="1670" customFormat="false" ht="15.75" hidden="false" customHeight="false" outlineLevel="0" collapsed="false">
      <c r="A1670" s="3" t="n">
        <v>46222</v>
      </c>
      <c r="B1670" s="4" t="s">
        <v>1091</v>
      </c>
      <c r="C1670" s="4" t="n">
        <v>10</v>
      </c>
      <c r="D1670" s="4" t="n">
        <v>7</v>
      </c>
      <c r="E1670" s="4" t="s">
        <v>1681</v>
      </c>
      <c r="F1670" s="4" t="n">
        <v>13</v>
      </c>
      <c r="G1670" s="4" t="n">
        <v>8</v>
      </c>
      <c r="H1670" s="4" t="n">
        <v>3</v>
      </c>
      <c r="I1670" s="4" t="str">
        <v>○</v>
      </c>
      <c r="J1670" s="4" t="n">
        <v>660</v>
      </c>
      <c r="K1670" s="4"/>
      <c r="L1670" s="4"/>
      <c r="M1670" s="5" t="s">
        <v>917</v>
      </c>
    </row>
    <row r="1671" customFormat="false" ht="15.75" hidden="false" customHeight="false" outlineLevel="0" collapsed="false">
      <c r="A1671" s="3" t="n">
        <v>46222</v>
      </c>
      <c r="B1671" s="4" t="s">
        <v>1091</v>
      </c>
      <c r="C1671" s="4" t="n">
        <v>10</v>
      </c>
      <c r="D1671" s="4" t="n">
        <v>8</v>
      </c>
      <c r="E1671" s="4" t="s">
        <v>1682</v>
      </c>
      <c r="F1671" s="4" t="n">
        <v>10</v>
      </c>
      <c r="G1671" s="4" t="n">
        <v>9</v>
      </c>
      <c r="H1671" s="4" t="n">
        <v>4</v>
      </c>
      <c r="I1671" s="4" t="str">
        <v>×</v>
      </c>
      <c r="J1671" s="4"/>
      <c r="K1671" s="4"/>
      <c r="L1671" s="4"/>
      <c r="M1671" s="5" t="s">
        <v>917</v>
      </c>
    </row>
    <row r="1672" customFormat="false" ht="15.75" hidden="false" customHeight="false" outlineLevel="0" collapsed="false">
      <c r="A1672" s="3" t="n">
        <v>46222</v>
      </c>
      <c r="B1672" s="4" t="s">
        <v>1091</v>
      </c>
      <c r="C1672" s="4" t="n">
        <v>10</v>
      </c>
      <c r="D1672" s="4" t="n">
        <v>9</v>
      </c>
      <c r="E1672" s="4" t="s">
        <v>1683</v>
      </c>
      <c r="F1672" s="4" t="n">
        <v>6</v>
      </c>
      <c r="G1672" s="4" t="n">
        <v>11</v>
      </c>
      <c r="H1672" s="4" t="n">
        <v>4</v>
      </c>
      <c r="I1672" s="4" t="str">
        <v>×</v>
      </c>
      <c r="J1672" s="4"/>
      <c r="K1672" s="4"/>
      <c r="L1672" s="4"/>
      <c r="M1672" s="5" t="s">
        <v>917</v>
      </c>
    </row>
    <row r="1673" customFormat="false" ht="15.75" hidden="false" customHeight="false" outlineLevel="0" collapsed="false">
      <c r="A1673" s="3" t="n">
        <v>46222</v>
      </c>
      <c r="B1673" s="4" t="s">
        <v>1091</v>
      </c>
      <c r="C1673" s="4" t="n">
        <v>10</v>
      </c>
      <c r="D1673" s="4" t="n">
        <v>10</v>
      </c>
      <c r="E1673" s="4" t="s">
        <v>1684</v>
      </c>
      <c r="F1673" s="4" t="n">
        <v>13</v>
      </c>
      <c r="G1673" s="4" t="n">
        <v>8</v>
      </c>
      <c r="H1673" s="4" t="n">
        <v>4</v>
      </c>
      <c r="I1673" s="4" t="str">
        <v>×</v>
      </c>
      <c r="J1673" s="4"/>
      <c r="K1673" s="4"/>
      <c r="L1673" s="4"/>
      <c r="M1673" s="5" t="s">
        <v>917</v>
      </c>
    </row>
    <row r="1674" customFormat="false" ht="15.75" hidden="false" customHeight="false" outlineLevel="0" collapsed="false">
      <c r="A1674" s="3" t="n">
        <v>46222</v>
      </c>
      <c r="B1674" s="4" t="s">
        <v>1091</v>
      </c>
      <c r="C1674" s="4" t="n">
        <v>10</v>
      </c>
      <c r="D1674" s="4" t="n">
        <v>11</v>
      </c>
      <c r="E1674" s="4" t="s">
        <v>1685</v>
      </c>
      <c r="F1674" s="4" t="n">
        <v>2</v>
      </c>
      <c r="G1674" s="4" t="n">
        <v>12</v>
      </c>
      <c r="H1674" s="4" t="n">
        <v>4</v>
      </c>
      <c r="I1674" s="4" t="str">
        <v>×</v>
      </c>
      <c r="J1674" s="4"/>
      <c r="K1674" s="4"/>
      <c r="L1674" s="4"/>
      <c r="M1674" s="5" t="s">
        <v>917</v>
      </c>
    </row>
    <row r="1675" customFormat="false" ht="15.75" hidden="false" customHeight="false" outlineLevel="0" collapsed="false">
      <c r="A1675" s="3" t="n">
        <v>46222</v>
      </c>
      <c r="B1675" s="4" t="s">
        <v>1091</v>
      </c>
      <c r="C1675" s="4" t="n">
        <v>10</v>
      </c>
      <c r="D1675" s="4" t="n">
        <v>12</v>
      </c>
      <c r="E1675" s="4" t="s">
        <v>1686</v>
      </c>
      <c r="F1675" s="4" t="n">
        <v>34</v>
      </c>
      <c r="G1675" s="4" t="n">
        <v>4</v>
      </c>
      <c r="H1675" s="4" t="n">
        <v>4</v>
      </c>
      <c r="I1675" s="4" t="str">
        <v>×</v>
      </c>
      <c r="J1675" s="4"/>
      <c r="K1675" s="4"/>
      <c r="L1675" s="4"/>
      <c r="M1675" s="5" t="s">
        <v>917</v>
      </c>
    </row>
    <row r="1676" customFormat="false" ht="15.75" hidden="false" customHeight="false" outlineLevel="0" collapsed="false">
      <c r="A1676" s="3" t="n">
        <v>46222</v>
      </c>
      <c r="B1676" s="4" t="s">
        <v>1091</v>
      </c>
      <c r="C1676" s="4" t="n">
        <v>10</v>
      </c>
      <c r="D1676" s="4" t="n">
        <v>13</v>
      </c>
      <c r="E1676" s="4" t="s">
        <v>1687</v>
      </c>
      <c r="F1676" s="4" t="n">
        <v>44</v>
      </c>
      <c r="G1676" s="4" t="n">
        <v>1</v>
      </c>
      <c r="H1676" s="4" t="n">
        <v>4</v>
      </c>
      <c r="I1676" s="4" t="str">
        <v>×</v>
      </c>
      <c r="J1676" s="4"/>
      <c r="K1676" s="4"/>
      <c r="L1676" s="4"/>
      <c r="M1676" s="5" t="s">
        <v>917</v>
      </c>
    </row>
    <row r="1677" customFormat="false" ht="15.75" hidden="false" customHeight="false" outlineLevel="0" collapsed="false">
      <c r="A1677" s="3" t="n">
        <v>46222</v>
      </c>
      <c r="B1677" s="4" t="s">
        <v>1091</v>
      </c>
      <c r="C1677" s="4" t="n">
        <v>10</v>
      </c>
      <c r="D1677" s="4" t="n">
        <v>14</v>
      </c>
      <c r="E1677" s="4" t="s">
        <v>1688</v>
      </c>
      <c r="F1677" s="4" t="n">
        <v>29</v>
      </c>
      <c r="G1677" s="4" t="n">
        <v>5</v>
      </c>
      <c r="H1677" s="4" t="n">
        <v>4</v>
      </c>
      <c r="I1677" s="4" t="str">
        <v>×</v>
      </c>
      <c r="J1677" s="4"/>
      <c r="K1677" s="4"/>
      <c r="L1677" s="4"/>
      <c r="M1677" s="5" t="s">
        <v>917</v>
      </c>
    </row>
    <row r="1678" customFormat="false" ht="15.75" hidden="false" customHeight="false" outlineLevel="0" collapsed="false">
      <c r="A1678" s="3" t="n">
        <v>46222</v>
      </c>
      <c r="B1678" s="4" t="s">
        <v>1091</v>
      </c>
      <c r="C1678" s="4" t="n">
        <v>10</v>
      </c>
      <c r="D1678" s="4" t="n">
        <v>15</v>
      </c>
      <c r="E1678" s="4" t="s">
        <v>1689</v>
      </c>
      <c r="F1678" s="4" t="n">
        <v>20</v>
      </c>
      <c r="G1678" s="4" t="n">
        <v>6</v>
      </c>
      <c r="H1678" s="4" t="n">
        <v>4</v>
      </c>
      <c r="I1678" s="4" t="str">
        <v>×</v>
      </c>
      <c r="J1678" s="4"/>
      <c r="K1678" s="4"/>
      <c r="L1678" s="4"/>
      <c r="M1678" s="5" t="s">
        <v>917</v>
      </c>
    </row>
    <row r="1679" customFormat="false" ht="15.75" hidden="false" customHeight="false" outlineLevel="0" collapsed="false">
      <c r="A1679" s="3" t="n">
        <v>46222</v>
      </c>
      <c r="B1679" s="4" t="s">
        <v>1091</v>
      </c>
      <c r="C1679" s="4" t="n">
        <v>10</v>
      </c>
      <c r="D1679" s="4" t="n">
        <v>16</v>
      </c>
      <c r="E1679" s="4" t="s">
        <v>1690</v>
      </c>
      <c r="F1679" s="4" t="n">
        <v>37</v>
      </c>
      <c r="G1679" s="4" t="n">
        <v>3</v>
      </c>
      <c r="H1679" s="4" t="n">
        <v>4</v>
      </c>
      <c r="I1679" s="4" t="str">
        <v>×</v>
      </c>
      <c r="J1679" s="4"/>
      <c r="K1679" s="4"/>
      <c r="L1679" s="4"/>
      <c r="M1679" s="5" t="s">
        <v>917</v>
      </c>
    </row>
    <row r="1680" customFormat="false" ht="15.75" hidden="false" customHeight="false" outlineLevel="0" collapsed="false">
      <c r="A1680" s="3" t="n">
        <v>46222</v>
      </c>
      <c r="B1680" s="4" t="s">
        <v>1091</v>
      </c>
      <c r="C1680" s="4" t="n">
        <v>11</v>
      </c>
      <c r="D1680" s="4" t="n">
        <v>1</v>
      </c>
      <c r="E1680" s="4" t="s">
        <v>1691</v>
      </c>
      <c r="F1680" s="4" t="n">
        <v>3</v>
      </c>
      <c r="G1680" s="4" t="n">
        <v>11</v>
      </c>
      <c r="H1680" s="4" t="n">
        <v>1</v>
      </c>
      <c r="I1680" s="4" t="str">
        <v>○</v>
      </c>
      <c r="J1680" s="4" t="n">
        <v>600</v>
      </c>
      <c r="K1680" s="4"/>
      <c r="L1680" s="4"/>
      <c r="M1680" s="5" t="s">
        <v>917</v>
      </c>
    </row>
    <row r="1681" customFormat="false" ht="15.75" hidden="false" customHeight="false" outlineLevel="0" collapsed="false">
      <c r="A1681" s="3" t="n">
        <v>46222</v>
      </c>
      <c r="B1681" s="4" t="s">
        <v>1091</v>
      </c>
      <c r="C1681" s="4" t="n">
        <v>11</v>
      </c>
      <c r="D1681" s="4" t="n">
        <v>2</v>
      </c>
      <c r="E1681" s="4" t="s">
        <v>1692</v>
      </c>
      <c r="F1681" s="4" t="n">
        <v>23</v>
      </c>
      <c r="G1681" s="4" t="n">
        <v>6</v>
      </c>
      <c r="H1681" s="4" t="n">
        <v>4</v>
      </c>
      <c r="I1681" s="4" t="str">
        <v>×</v>
      </c>
      <c r="J1681" s="4"/>
      <c r="K1681" s="4"/>
      <c r="L1681" s="4"/>
      <c r="M1681" s="5" t="s">
        <v>917</v>
      </c>
    </row>
    <row r="1682" customFormat="false" ht="15.75" hidden="false" customHeight="false" outlineLevel="0" collapsed="false">
      <c r="A1682" s="3" t="n">
        <v>46222</v>
      </c>
      <c r="B1682" s="4" t="s">
        <v>1091</v>
      </c>
      <c r="C1682" s="4" t="n">
        <v>11</v>
      </c>
      <c r="D1682" s="4" t="n">
        <v>3</v>
      </c>
      <c r="E1682" s="4" t="s">
        <v>1693</v>
      </c>
      <c r="F1682" s="4" t="n">
        <v>13</v>
      </c>
      <c r="G1682" s="4" t="n">
        <v>7</v>
      </c>
      <c r="H1682" s="4" t="n">
        <v>4</v>
      </c>
      <c r="I1682" s="4" t="str">
        <v>×</v>
      </c>
      <c r="J1682" s="4"/>
      <c r="K1682" s="4"/>
      <c r="L1682" s="4"/>
      <c r="M1682" s="5" t="s">
        <v>917</v>
      </c>
    </row>
    <row r="1683" customFormat="false" ht="15.75" hidden="false" customHeight="false" outlineLevel="0" collapsed="false">
      <c r="A1683" s="3" t="n">
        <v>46222</v>
      </c>
      <c r="B1683" s="4" t="s">
        <v>1091</v>
      </c>
      <c r="C1683" s="4" t="n">
        <v>11</v>
      </c>
      <c r="D1683" s="4" t="n">
        <v>4</v>
      </c>
      <c r="E1683" s="4" t="s">
        <v>1694</v>
      </c>
      <c r="F1683" s="4" t="n">
        <v>1</v>
      </c>
      <c r="G1683" s="4" t="n">
        <v>13</v>
      </c>
      <c r="H1683" s="4" t="n">
        <v>4</v>
      </c>
      <c r="I1683" s="4" t="str">
        <v>×</v>
      </c>
      <c r="J1683" s="4"/>
      <c r="K1683" s="4"/>
      <c r="L1683" s="4"/>
      <c r="M1683" s="5" t="s">
        <v>917</v>
      </c>
    </row>
    <row r="1684" customFormat="false" ht="15.75" hidden="false" customHeight="false" outlineLevel="0" collapsed="false">
      <c r="A1684" s="3" t="n">
        <v>46222</v>
      </c>
      <c r="B1684" s="4" t="s">
        <v>1091</v>
      </c>
      <c r="C1684" s="4" t="n">
        <v>11</v>
      </c>
      <c r="D1684" s="4" t="n">
        <v>5</v>
      </c>
      <c r="E1684" s="4" t="s">
        <v>1695</v>
      </c>
      <c r="F1684" s="4" t="n">
        <v>29</v>
      </c>
      <c r="G1684" s="4" t="n">
        <v>5</v>
      </c>
      <c r="H1684" s="4" t="n">
        <v>4</v>
      </c>
      <c r="I1684" s="4" t="str">
        <v>×</v>
      </c>
      <c r="J1684" s="4"/>
      <c r="K1684" s="4"/>
      <c r="L1684" s="4"/>
      <c r="M1684" s="5" t="s">
        <v>917</v>
      </c>
    </row>
    <row r="1685" customFormat="false" ht="15.75" hidden="false" customHeight="false" outlineLevel="0" collapsed="false">
      <c r="A1685" s="3" t="n">
        <v>46222</v>
      </c>
      <c r="B1685" s="4" t="s">
        <v>1091</v>
      </c>
      <c r="C1685" s="4" t="n">
        <v>11</v>
      </c>
      <c r="D1685" s="4" t="n">
        <v>6</v>
      </c>
      <c r="E1685" s="4" t="s">
        <v>1696</v>
      </c>
      <c r="F1685" s="4" t="n">
        <v>41</v>
      </c>
      <c r="G1685" s="4" t="n">
        <v>4</v>
      </c>
      <c r="H1685" s="4" t="n">
        <v>4</v>
      </c>
      <c r="I1685" s="4" t="str">
        <v>×</v>
      </c>
      <c r="J1685" s="4"/>
      <c r="K1685" s="4"/>
      <c r="L1685" s="4"/>
      <c r="M1685" s="5" t="s">
        <v>917</v>
      </c>
    </row>
    <row r="1686" customFormat="false" ht="15.75" hidden="false" customHeight="false" outlineLevel="0" collapsed="false">
      <c r="A1686" s="3" t="n">
        <v>46222</v>
      </c>
      <c r="B1686" s="4" t="s">
        <v>1091</v>
      </c>
      <c r="C1686" s="4" t="n">
        <v>11</v>
      </c>
      <c r="D1686" s="4" t="n">
        <v>7</v>
      </c>
      <c r="E1686" s="4" t="s">
        <v>1697</v>
      </c>
      <c r="F1686" s="4" t="n">
        <v>3</v>
      </c>
      <c r="G1686" s="4" t="n">
        <v>11</v>
      </c>
      <c r="H1686" s="4" t="n">
        <v>4</v>
      </c>
      <c r="I1686" s="4" t="str">
        <v>×</v>
      </c>
      <c r="J1686" s="4"/>
      <c r="K1686" s="4"/>
      <c r="L1686" s="4"/>
      <c r="M1686" s="5" t="s">
        <v>917</v>
      </c>
    </row>
    <row r="1687" customFormat="false" ht="15.75" hidden="false" customHeight="false" outlineLevel="0" collapsed="false">
      <c r="A1687" s="3" t="n">
        <v>46222</v>
      </c>
      <c r="B1687" s="4" t="s">
        <v>1091</v>
      </c>
      <c r="C1687" s="4" t="n">
        <v>11</v>
      </c>
      <c r="D1687" s="4" t="n">
        <v>8</v>
      </c>
      <c r="E1687" s="4" t="s">
        <v>1698</v>
      </c>
      <c r="F1687" s="4" t="n">
        <v>1</v>
      </c>
      <c r="G1687" s="4" t="n">
        <v>13</v>
      </c>
      <c r="H1687" s="4" t="n">
        <v>4</v>
      </c>
      <c r="I1687" s="4" t="str">
        <v>×</v>
      </c>
      <c r="J1687" s="4"/>
      <c r="K1687" s="4"/>
      <c r="L1687" s="4"/>
      <c r="M1687" s="5" t="s">
        <v>917</v>
      </c>
    </row>
    <row r="1688" customFormat="false" ht="15.75" hidden="false" customHeight="false" outlineLevel="0" collapsed="false">
      <c r="A1688" s="3" t="n">
        <v>46222</v>
      </c>
      <c r="B1688" s="4" t="s">
        <v>1091</v>
      </c>
      <c r="C1688" s="4" t="n">
        <v>11</v>
      </c>
      <c r="D1688" s="4" t="n">
        <v>9</v>
      </c>
      <c r="E1688" s="4" t="s">
        <v>1699</v>
      </c>
      <c r="F1688" s="4" t="n">
        <v>44</v>
      </c>
      <c r="G1688" s="4" t="n">
        <v>3</v>
      </c>
      <c r="H1688" s="4" t="n">
        <v>4</v>
      </c>
      <c r="I1688" s="4" t="str">
        <v>×</v>
      </c>
      <c r="J1688" s="4"/>
      <c r="K1688" s="4"/>
      <c r="L1688" s="4"/>
      <c r="M1688" s="5" t="s">
        <v>917</v>
      </c>
    </row>
    <row r="1689" customFormat="false" ht="15.75" hidden="false" customHeight="false" outlineLevel="0" collapsed="false">
      <c r="A1689" s="3" t="n">
        <v>46222</v>
      </c>
      <c r="B1689" s="4" t="s">
        <v>1091</v>
      </c>
      <c r="C1689" s="4" t="n">
        <v>11</v>
      </c>
      <c r="D1689" s="4" t="n">
        <v>10</v>
      </c>
      <c r="E1689" s="4" t="s">
        <v>1700</v>
      </c>
      <c r="F1689" s="4" t="n">
        <v>6</v>
      </c>
      <c r="G1689" s="4" t="n">
        <v>9</v>
      </c>
      <c r="H1689" s="4" t="n">
        <v>4</v>
      </c>
      <c r="I1689" s="4" t="str">
        <v>×</v>
      </c>
      <c r="J1689" s="4"/>
      <c r="K1689" s="4"/>
      <c r="L1689" s="4"/>
      <c r="M1689" s="5" t="s">
        <v>917</v>
      </c>
    </row>
    <row r="1690" customFormat="false" ht="15.75" hidden="false" customHeight="false" outlineLevel="0" collapsed="false">
      <c r="A1690" s="3" t="n">
        <v>46222</v>
      </c>
      <c r="B1690" s="4" t="s">
        <v>1091</v>
      </c>
      <c r="C1690" s="4" t="n">
        <v>11</v>
      </c>
      <c r="D1690" s="4" t="n">
        <v>11</v>
      </c>
      <c r="E1690" s="4" t="s">
        <v>1701</v>
      </c>
      <c r="F1690" s="4" t="n">
        <v>3</v>
      </c>
      <c r="G1690" s="4" t="n">
        <v>11</v>
      </c>
      <c r="H1690" s="4" t="n">
        <v>4</v>
      </c>
      <c r="I1690" s="4" t="str">
        <v>×</v>
      </c>
      <c r="J1690" s="4"/>
      <c r="K1690" s="4"/>
      <c r="L1690" s="4"/>
      <c r="M1690" s="5" t="s">
        <v>917</v>
      </c>
    </row>
    <row r="1691" customFormat="false" ht="15.75" hidden="false" customHeight="false" outlineLevel="0" collapsed="false">
      <c r="A1691" s="3" t="n">
        <v>46222</v>
      </c>
      <c r="B1691" s="4" t="s">
        <v>1091</v>
      </c>
      <c r="C1691" s="4" t="n">
        <v>11</v>
      </c>
      <c r="D1691" s="4" t="n">
        <v>12</v>
      </c>
      <c r="E1691" s="4" t="s">
        <v>1702</v>
      </c>
      <c r="F1691" s="4" t="n">
        <v>4</v>
      </c>
      <c r="G1691" s="4" t="n">
        <v>10</v>
      </c>
      <c r="H1691" s="4" t="n">
        <v>4</v>
      </c>
      <c r="I1691" s="4" t="str">
        <v>×</v>
      </c>
      <c r="J1691" s="4"/>
      <c r="K1691" s="4"/>
      <c r="L1691" s="4"/>
      <c r="M1691" s="5" t="s">
        <v>917</v>
      </c>
    </row>
    <row r="1692" customFormat="false" ht="15.75" hidden="false" customHeight="false" outlineLevel="0" collapsed="false">
      <c r="A1692" s="3" t="n">
        <v>46222</v>
      </c>
      <c r="B1692" s="4" t="s">
        <v>1091</v>
      </c>
      <c r="C1692" s="4" t="n">
        <v>11</v>
      </c>
      <c r="D1692" s="4" t="n">
        <v>13</v>
      </c>
      <c r="E1692" s="4" t="s">
        <v>1703</v>
      </c>
      <c r="F1692" s="4" t="n">
        <v>10</v>
      </c>
      <c r="G1692" s="4" t="n">
        <v>8</v>
      </c>
      <c r="H1692" s="4" t="n">
        <v>4</v>
      </c>
      <c r="I1692" s="4" t="str">
        <v>×</v>
      </c>
      <c r="J1692" s="4"/>
      <c r="K1692" s="4"/>
      <c r="L1692" s="4"/>
      <c r="M1692" s="5" t="s">
        <v>917</v>
      </c>
    </row>
    <row r="1693" customFormat="false" ht="15.75" hidden="false" customHeight="false" outlineLevel="0" collapsed="false">
      <c r="A1693" s="3" t="n">
        <v>46222</v>
      </c>
      <c r="B1693" s="4" t="s">
        <v>1091</v>
      </c>
      <c r="C1693" s="4" t="n">
        <v>11</v>
      </c>
      <c r="D1693" s="4" t="n">
        <v>14</v>
      </c>
      <c r="E1693" s="4" t="s">
        <v>1704</v>
      </c>
      <c r="F1693" s="4" t="n">
        <v>47</v>
      </c>
      <c r="G1693" s="4" t="n">
        <v>2</v>
      </c>
      <c r="H1693" s="4" t="n">
        <v>4</v>
      </c>
      <c r="I1693" s="4" t="str">
        <v>×</v>
      </c>
      <c r="J1693" s="4"/>
      <c r="K1693" s="4"/>
      <c r="L1693" s="4"/>
      <c r="M1693" s="5" t="s">
        <v>917</v>
      </c>
    </row>
    <row r="1694" customFormat="false" ht="15.75" hidden="false" customHeight="false" outlineLevel="0" collapsed="false">
      <c r="A1694" s="3" t="n">
        <v>46222</v>
      </c>
      <c r="B1694" s="4" t="s">
        <v>1091</v>
      </c>
      <c r="C1694" s="4" t="n">
        <v>11</v>
      </c>
      <c r="D1694" s="4" t="n">
        <v>15</v>
      </c>
      <c r="E1694" s="4" t="s">
        <v>1705</v>
      </c>
      <c r="F1694" s="4" t="n">
        <v>2</v>
      </c>
      <c r="G1694" s="4" t="n">
        <v>12</v>
      </c>
      <c r="H1694" s="4" t="n">
        <v>4</v>
      </c>
      <c r="I1694" s="4" t="str">
        <v>×</v>
      </c>
      <c r="J1694" s="4"/>
      <c r="K1694" s="4"/>
      <c r="L1694" s="4"/>
      <c r="M1694" s="5" t="s">
        <v>917</v>
      </c>
    </row>
    <row r="1695" customFormat="false" ht="15.75" hidden="false" customHeight="false" outlineLevel="0" collapsed="false">
      <c r="A1695" s="3" t="n">
        <v>46222</v>
      </c>
      <c r="B1695" s="4" t="s">
        <v>1091</v>
      </c>
      <c r="C1695" s="4" t="n">
        <v>11</v>
      </c>
      <c r="D1695" s="4" t="n">
        <v>16</v>
      </c>
      <c r="E1695" s="4" t="s">
        <v>1706</v>
      </c>
      <c r="F1695" s="4" t="n">
        <v>1</v>
      </c>
      <c r="G1695" s="4" t="n">
        <v>13</v>
      </c>
      <c r="H1695" s="4" t="n">
        <v>4</v>
      </c>
      <c r="I1695" s="4" t="str">
        <v>×</v>
      </c>
      <c r="J1695" s="4"/>
      <c r="K1695" s="4"/>
      <c r="L1695" s="4"/>
      <c r="M1695" s="5" t="s">
        <v>917</v>
      </c>
    </row>
    <row r="1696" customFormat="false" ht="15.75" hidden="false" customHeight="false" outlineLevel="0" collapsed="false">
      <c r="A1696" s="3" t="n">
        <v>46222</v>
      </c>
      <c r="B1696" s="4" t="s">
        <v>1091</v>
      </c>
      <c r="C1696" s="4" t="n">
        <v>11</v>
      </c>
      <c r="D1696" s="4" t="n">
        <v>17</v>
      </c>
      <c r="E1696" s="4" t="s">
        <v>1707</v>
      </c>
      <c r="F1696" s="4" t="n">
        <v>50</v>
      </c>
      <c r="G1696" s="4" t="n">
        <v>1</v>
      </c>
      <c r="H1696" s="4" t="n">
        <v>2</v>
      </c>
      <c r="I1696" s="4" t="str">
        <v>○</v>
      </c>
      <c r="J1696" s="4" t="n">
        <v>150</v>
      </c>
      <c r="K1696" s="4"/>
      <c r="L1696" s="4"/>
      <c r="M1696" s="5" t="s">
        <v>917</v>
      </c>
    </row>
    <row r="1697" customFormat="false" ht="15.75" hidden="false" customHeight="false" outlineLevel="0" collapsed="false">
      <c r="A1697" s="3" t="n">
        <v>46222</v>
      </c>
      <c r="B1697" s="4" t="s">
        <v>1091</v>
      </c>
      <c r="C1697" s="4" t="n">
        <v>11</v>
      </c>
      <c r="D1697" s="4" t="n">
        <v>18</v>
      </c>
      <c r="E1697" s="4" t="s">
        <v>1708</v>
      </c>
      <c r="F1697" s="4" t="n">
        <v>10</v>
      </c>
      <c r="G1697" s="4" t="n">
        <v>8</v>
      </c>
      <c r="H1697" s="4" t="n">
        <v>3</v>
      </c>
      <c r="I1697" s="4" t="str">
        <v>○</v>
      </c>
      <c r="J1697" s="4" t="n">
        <v>420</v>
      </c>
      <c r="K1697" s="4"/>
      <c r="L1697" s="4"/>
      <c r="M1697" s="5" t="s">
        <v>917</v>
      </c>
    </row>
    <row r="1698" customFormat="false" ht="15.75" hidden="false" customHeight="false" outlineLevel="0" collapsed="false">
      <c r="A1698" s="3" t="n">
        <v>46222</v>
      </c>
      <c r="B1698" s="4" t="s">
        <v>1091</v>
      </c>
      <c r="C1698" s="4" t="n">
        <v>12</v>
      </c>
      <c r="D1698" s="4" t="n">
        <v>1</v>
      </c>
      <c r="E1698" s="4" t="s">
        <v>1709</v>
      </c>
      <c r="F1698" s="4" t="n">
        <v>8</v>
      </c>
      <c r="G1698" s="4" t="n">
        <v>8</v>
      </c>
      <c r="H1698" s="4" t="n">
        <v>4</v>
      </c>
      <c r="I1698" s="4" t="str">
        <v>×</v>
      </c>
      <c r="J1698" s="4"/>
      <c r="K1698" s="4"/>
      <c r="L1698" s="4"/>
      <c r="M1698" s="5" t="s">
        <v>917</v>
      </c>
    </row>
    <row r="1699" customFormat="false" ht="15.75" hidden="false" customHeight="false" outlineLevel="0" collapsed="false">
      <c r="A1699" s="3" t="n">
        <v>46222</v>
      </c>
      <c r="B1699" s="4" t="s">
        <v>1091</v>
      </c>
      <c r="C1699" s="4" t="n">
        <v>12</v>
      </c>
      <c r="D1699" s="4" t="n">
        <v>2</v>
      </c>
      <c r="E1699" s="4" t="s">
        <v>1710</v>
      </c>
      <c r="F1699" s="4" t="n">
        <v>13</v>
      </c>
      <c r="G1699" s="4" t="n">
        <v>6</v>
      </c>
      <c r="H1699" s="4" t="n">
        <v>2</v>
      </c>
      <c r="I1699" s="4" t="str">
        <v>○</v>
      </c>
      <c r="J1699" s="4" t="n">
        <v>340</v>
      </c>
      <c r="K1699" s="4"/>
      <c r="L1699" s="4"/>
      <c r="M1699" s="5" t="s">
        <v>917</v>
      </c>
    </row>
    <row r="1700" customFormat="false" ht="15.75" hidden="false" customHeight="false" outlineLevel="0" collapsed="false">
      <c r="A1700" s="3" t="n">
        <v>46222</v>
      </c>
      <c r="B1700" s="4" t="s">
        <v>1091</v>
      </c>
      <c r="C1700" s="4" t="n">
        <v>12</v>
      </c>
      <c r="D1700" s="4" t="n">
        <v>3</v>
      </c>
      <c r="E1700" s="4" t="s">
        <v>1711</v>
      </c>
      <c r="F1700" s="4" t="n">
        <v>8</v>
      </c>
      <c r="G1700" s="4" t="n">
        <v>8</v>
      </c>
      <c r="H1700" s="4" t="n">
        <v>4</v>
      </c>
      <c r="I1700" s="4" t="str">
        <v>×</v>
      </c>
      <c r="J1700" s="4"/>
      <c r="K1700" s="4"/>
      <c r="L1700" s="4"/>
      <c r="M1700" s="5" t="s">
        <v>917</v>
      </c>
    </row>
    <row r="1701" customFormat="false" ht="15.75" hidden="false" customHeight="false" outlineLevel="0" collapsed="false">
      <c r="A1701" s="3" t="n">
        <v>46222</v>
      </c>
      <c r="B1701" s="4" t="s">
        <v>1091</v>
      </c>
      <c r="C1701" s="4" t="n">
        <v>12</v>
      </c>
      <c r="D1701" s="4" t="n">
        <v>4</v>
      </c>
      <c r="E1701" s="4" t="s">
        <v>1712</v>
      </c>
      <c r="F1701" s="4" t="n">
        <v>60</v>
      </c>
      <c r="G1701" s="4" t="n">
        <v>2</v>
      </c>
      <c r="H1701" s="4" t="n">
        <v>3</v>
      </c>
      <c r="I1701" s="4" t="str">
        <v>○</v>
      </c>
      <c r="J1701" s="4" t="n">
        <v>120</v>
      </c>
      <c r="K1701" s="4"/>
      <c r="L1701" s="4"/>
      <c r="M1701" s="5" t="s">
        <v>917</v>
      </c>
    </row>
    <row r="1702" customFormat="false" ht="15.75" hidden="false" customHeight="false" outlineLevel="0" collapsed="false">
      <c r="A1702" s="3" t="n">
        <v>46222</v>
      </c>
      <c r="B1702" s="4" t="s">
        <v>1091</v>
      </c>
      <c r="C1702" s="4" t="n">
        <v>12</v>
      </c>
      <c r="D1702" s="4" t="n">
        <v>5</v>
      </c>
      <c r="E1702" s="4" t="s">
        <v>1713</v>
      </c>
      <c r="F1702" s="4" t="n">
        <v>34</v>
      </c>
      <c r="G1702" s="4" t="n">
        <v>3</v>
      </c>
      <c r="H1702" s="4" t="n">
        <v>4</v>
      </c>
      <c r="I1702" s="4" t="str">
        <v>×</v>
      </c>
      <c r="J1702" s="4"/>
      <c r="K1702" s="4"/>
      <c r="L1702" s="4"/>
      <c r="M1702" s="5" t="s">
        <v>917</v>
      </c>
    </row>
    <row r="1703" customFormat="false" ht="15.75" hidden="false" customHeight="false" outlineLevel="0" collapsed="false">
      <c r="A1703" s="3" t="n">
        <v>46222</v>
      </c>
      <c r="B1703" s="4" t="s">
        <v>1091</v>
      </c>
      <c r="C1703" s="4" t="n">
        <v>12</v>
      </c>
      <c r="D1703" s="4" t="n">
        <v>6</v>
      </c>
      <c r="E1703" s="4" t="s">
        <v>1714</v>
      </c>
      <c r="F1703" s="4" t="n">
        <v>10</v>
      </c>
      <c r="G1703" s="4" t="n">
        <v>7</v>
      </c>
      <c r="H1703" s="4" t="n">
        <v>4</v>
      </c>
      <c r="I1703" s="4" t="str">
        <v>×</v>
      </c>
      <c r="J1703" s="4"/>
      <c r="K1703" s="4"/>
      <c r="L1703" s="4"/>
      <c r="M1703" s="5" t="s">
        <v>917</v>
      </c>
    </row>
    <row r="1704" customFormat="false" ht="15.75" hidden="false" customHeight="false" outlineLevel="0" collapsed="false">
      <c r="A1704" s="3" t="n">
        <v>46222</v>
      </c>
      <c r="B1704" s="4" t="s">
        <v>1091</v>
      </c>
      <c r="C1704" s="4" t="n">
        <v>12</v>
      </c>
      <c r="D1704" s="4" t="n">
        <v>7</v>
      </c>
      <c r="E1704" s="4" t="s">
        <v>1715</v>
      </c>
      <c r="F1704" s="4" t="n">
        <v>65</v>
      </c>
      <c r="G1704" s="4" t="n">
        <v>1</v>
      </c>
      <c r="H1704" s="4" t="n">
        <v>1</v>
      </c>
      <c r="I1704" s="4" t="str">
        <v>○</v>
      </c>
      <c r="J1704" s="4" t="n">
        <v>110</v>
      </c>
      <c r="K1704" s="4"/>
      <c r="L1704" s="4"/>
      <c r="M1704" s="5" t="s">
        <v>917</v>
      </c>
    </row>
    <row r="1705" customFormat="false" ht="15.75" hidden="false" customHeight="false" outlineLevel="0" collapsed="false">
      <c r="A1705" s="3" t="n">
        <v>46222</v>
      </c>
      <c r="B1705" s="4" t="s">
        <v>1091</v>
      </c>
      <c r="C1705" s="4" t="n">
        <v>12</v>
      </c>
      <c r="D1705" s="4" t="n">
        <v>8</v>
      </c>
      <c r="E1705" s="4" t="s">
        <v>1716</v>
      </c>
      <c r="F1705" s="4" t="n">
        <v>29</v>
      </c>
      <c r="G1705" s="4" t="n">
        <v>4</v>
      </c>
      <c r="H1705" s="4" t="n">
        <v>4</v>
      </c>
      <c r="I1705" s="4" t="str">
        <v>×</v>
      </c>
      <c r="J1705" s="4"/>
      <c r="K1705" s="4"/>
      <c r="L1705" s="4"/>
      <c r="M1705" s="5" t="s">
        <v>917</v>
      </c>
    </row>
    <row r="1706" customFormat="false" ht="15.75" hidden="false" customHeight="false" outlineLevel="0" collapsed="false">
      <c r="A1706" s="3" t="n">
        <v>46222</v>
      </c>
      <c r="B1706" s="4" t="s">
        <v>1091</v>
      </c>
      <c r="C1706" s="4" t="n">
        <v>12</v>
      </c>
      <c r="D1706" s="4" t="n">
        <v>9</v>
      </c>
      <c r="E1706" s="4" t="s">
        <v>1717</v>
      </c>
      <c r="F1706" s="4" t="n">
        <v>23</v>
      </c>
      <c r="G1706" s="4" t="n">
        <v>5</v>
      </c>
      <c r="H1706" s="4" t="n">
        <v>4</v>
      </c>
      <c r="I1706" s="4" t="str">
        <v>×</v>
      </c>
      <c r="J1706" s="4"/>
      <c r="K1706" s="4"/>
      <c r="L1706" s="4"/>
      <c r="M1706" s="5" t="s">
        <v>917</v>
      </c>
    </row>
    <row r="1707" customFormat="false" ht="15.75" hidden="false" customHeight="false" outlineLevel="0" collapsed="false">
      <c r="A1707" s="3" t="n">
        <v>46222</v>
      </c>
      <c r="B1707" s="4" t="s">
        <v>1237</v>
      </c>
      <c r="C1707" s="4" t="n">
        <v>1</v>
      </c>
      <c r="D1707" s="4" t="n">
        <v>1</v>
      </c>
      <c r="E1707" s="4" t="s">
        <v>1718</v>
      </c>
      <c r="F1707" s="4" t="n">
        <v>62</v>
      </c>
      <c r="G1707" s="4" t="n">
        <v>1</v>
      </c>
      <c r="H1707" s="4" t="n">
        <v>1</v>
      </c>
      <c r="I1707" s="4" t="str">
        <v>○</v>
      </c>
      <c r="J1707" s="4" t="n">
        <v>110</v>
      </c>
      <c r="K1707" s="4"/>
      <c r="L1707" s="4"/>
      <c r="M1707" s="5" t="s">
        <v>917</v>
      </c>
    </row>
    <row r="1708" customFormat="false" ht="15.75" hidden="false" customHeight="false" outlineLevel="0" collapsed="false">
      <c r="A1708" s="3" t="n">
        <v>46222</v>
      </c>
      <c r="B1708" s="4" t="s">
        <v>1237</v>
      </c>
      <c r="C1708" s="4" t="n">
        <v>1</v>
      </c>
      <c r="D1708" s="4" t="n">
        <v>2</v>
      </c>
      <c r="E1708" s="4" t="s">
        <v>1719</v>
      </c>
      <c r="F1708" s="4" t="n">
        <v>31</v>
      </c>
      <c r="G1708" s="4" t="n">
        <v>5</v>
      </c>
      <c r="H1708" s="4" t="n">
        <v>4</v>
      </c>
      <c r="I1708" s="4" t="str">
        <v>×</v>
      </c>
      <c r="J1708" s="4"/>
      <c r="K1708" s="4"/>
      <c r="L1708" s="4"/>
      <c r="M1708" s="5" t="s">
        <v>917</v>
      </c>
    </row>
    <row r="1709" customFormat="false" ht="15.75" hidden="false" customHeight="false" outlineLevel="0" collapsed="false">
      <c r="A1709" s="3" t="n">
        <v>46222</v>
      </c>
      <c r="B1709" s="4" t="s">
        <v>1237</v>
      </c>
      <c r="C1709" s="4" t="n">
        <v>1</v>
      </c>
      <c r="D1709" s="4" t="n">
        <v>3</v>
      </c>
      <c r="E1709" s="4" t="s">
        <v>1720</v>
      </c>
      <c r="F1709" s="4" t="n">
        <v>20</v>
      </c>
      <c r="G1709" s="4" t="n">
        <v>6</v>
      </c>
      <c r="H1709" s="4" t="n">
        <v>3</v>
      </c>
      <c r="I1709" s="4" t="str">
        <v>○</v>
      </c>
      <c r="J1709" s="4" t="n">
        <v>270</v>
      </c>
      <c r="K1709" s="4"/>
      <c r="L1709" s="4"/>
      <c r="M1709" s="5" t="s">
        <v>917</v>
      </c>
    </row>
    <row r="1710" customFormat="false" ht="15.75" hidden="false" customHeight="false" outlineLevel="0" collapsed="false">
      <c r="A1710" s="3" t="n">
        <v>46222</v>
      </c>
      <c r="B1710" s="4" t="s">
        <v>1237</v>
      </c>
      <c r="C1710" s="4" t="n">
        <v>1</v>
      </c>
      <c r="D1710" s="4" t="n">
        <v>4</v>
      </c>
      <c r="E1710" s="4" t="s">
        <v>1721</v>
      </c>
      <c r="F1710" s="4" t="n">
        <v>52</v>
      </c>
      <c r="G1710" s="4" t="n">
        <v>2</v>
      </c>
      <c r="H1710" s="4" t="n">
        <v>4</v>
      </c>
      <c r="I1710" s="4" t="str">
        <v>×</v>
      </c>
      <c r="J1710" s="4"/>
      <c r="K1710" s="4"/>
      <c r="L1710" s="4"/>
      <c r="M1710" s="5" t="s">
        <v>917</v>
      </c>
    </row>
    <row r="1711" customFormat="false" ht="15.75" hidden="false" customHeight="false" outlineLevel="0" collapsed="false">
      <c r="A1711" s="3" t="n">
        <v>46222</v>
      </c>
      <c r="B1711" s="4" t="s">
        <v>1237</v>
      </c>
      <c r="C1711" s="4" t="n">
        <v>1</v>
      </c>
      <c r="D1711" s="4" t="n">
        <v>5</v>
      </c>
      <c r="E1711" s="4" t="s">
        <v>1722</v>
      </c>
      <c r="F1711" s="4" t="n">
        <v>50</v>
      </c>
      <c r="G1711" s="4" t="n">
        <v>3</v>
      </c>
      <c r="H1711" s="4" t="n">
        <v>2</v>
      </c>
      <c r="I1711" s="4" t="str">
        <v>○</v>
      </c>
      <c r="J1711" s="4" t="n">
        <v>170</v>
      </c>
      <c r="K1711" s="4"/>
      <c r="L1711" s="4"/>
      <c r="M1711" s="5" t="s">
        <v>917</v>
      </c>
    </row>
    <row r="1712" customFormat="false" ht="15.75" hidden="false" customHeight="false" outlineLevel="0" collapsed="false">
      <c r="A1712" s="3" t="n">
        <v>46222</v>
      </c>
      <c r="B1712" s="4" t="s">
        <v>1237</v>
      </c>
      <c r="C1712" s="4" t="n">
        <v>1</v>
      </c>
      <c r="D1712" s="4" t="n">
        <v>6</v>
      </c>
      <c r="E1712" s="4" t="s">
        <v>1723</v>
      </c>
      <c r="F1712" s="4" t="n">
        <v>13</v>
      </c>
      <c r="G1712" s="4" t="n">
        <v>7</v>
      </c>
      <c r="H1712" s="4" t="n">
        <v>4</v>
      </c>
      <c r="I1712" s="4" t="str">
        <v>×</v>
      </c>
      <c r="J1712" s="4"/>
      <c r="K1712" s="4"/>
      <c r="L1712" s="4"/>
      <c r="M1712" s="5" t="s">
        <v>917</v>
      </c>
    </row>
    <row r="1713" customFormat="false" ht="15.75" hidden="false" customHeight="false" outlineLevel="0" collapsed="false">
      <c r="A1713" s="3" t="n">
        <v>46222</v>
      </c>
      <c r="B1713" s="4" t="s">
        <v>1237</v>
      </c>
      <c r="C1713" s="4" t="n">
        <v>1</v>
      </c>
      <c r="D1713" s="4" t="n">
        <v>7</v>
      </c>
      <c r="E1713" s="4" t="s">
        <v>1724</v>
      </c>
      <c r="F1713" s="4" t="n">
        <v>10</v>
      </c>
      <c r="G1713" s="4" t="n">
        <v>8</v>
      </c>
      <c r="H1713" s="4" t="n">
        <v>4</v>
      </c>
      <c r="I1713" s="4" t="str">
        <v>×</v>
      </c>
      <c r="J1713" s="4"/>
      <c r="K1713" s="4"/>
      <c r="L1713" s="4"/>
      <c r="M1713" s="5" t="s">
        <v>917</v>
      </c>
    </row>
    <row r="1714" customFormat="false" ht="15.75" hidden="false" customHeight="false" outlineLevel="0" collapsed="false">
      <c r="A1714" s="3" t="n">
        <v>46222</v>
      </c>
      <c r="B1714" s="4" t="s">
        <v>1237</v>
      </c>
      <c r="C1714" s="4" t="n">
        <v>1</v>
      </c>
      <c r="D1714" s="4" t="n">
        <v>8</v>
      </c>
      <c r="E1714" s="4" t="s">
        <v>1725</v>
      </c>
      <c r="F1714" s="4" t="n">
        <v>39</v>
      </c>
      <c r="G1714" s="4" t="n">
        <v>4</v>
      </c>
      <c r="H1714" s="4" t="n">
        <v>4</v>
      </c>
      <c r="I1714" s="4" t="str">
        <v>×</v>
      </c>
      <c r="J1714" s="4"/>
      <c r="K1714" s="4"/>
      <c r="L1714" s="4"/>
      <c r="M1714" s="5" t="s">
        <v>917</v>
      </c>
    </row>
    <row r="1715" customFormat="false" ht="15.75" hidden="false" customHeight="false" outlineLevel="0" collapsed="false">
      <c r="A1715" s="3" t="n">
        <v>46222</v>
      </c>
      <c r="B1715" s="4" t="s">
        <v>1237</v>
      </c>
      <c r="C1715" s="4" t="n">
        <v>2</v>
      </c>
      <c r="D1715" s="4" t="n">
        <v>1</v>
      </c>
      <c r="E1715" s="4" t="s">
        <v>1726</v>
      </c>
      <c r="F1715" s="4" t="n">
        <v>8</v>
      </c>
      <c r="G1715" s="4" t="n">
        <v>6</v>
      </c>
      <c r="H1715" s="4" t="n">
        <v>3</v>
      </c>
      <c r="I1715" s="4" t="str">
        <v>○</v>
      </c>
      <c r="J1715" s="4" t="n">
        <v>870</v>
      </c>
      <c r="K1715" s="4"/>
      <c r="L1715" s="4"/>
      <c r="M1715" s="5" t="s">
        <v>917</v>
      </c>
    </row>
    <row r="1716" customFormat="false" ht="15.75" hidden="false" customHeight="false" outlineLevel="0" collapsed="false">
      <c r="A1716" s="3" t="n">
        <v>46222</v>
      </c>
      <c r="B1716" s="4" t="s">
        <v>1237</v>
      </c>
      <c r="C1716" s="4" t="n">
        <v>2</v>
      </c>
      <c r="D1716" s="4" t="n">
        <v>2</v>
      </c>
      <c r="E1716" s="4" t="s">
        <v>1727</v>
      </c>
      <c r="F1716" s="4" t="n">
        <v>4</v>
      </c>
      <c r="G1716" s="4" t="n">
        <v>7</v>
      </c>
      <c r="H1716" s="4" t="n">
        <v>4</v>
      </c>
      <c r="I1716" s="4" t="str">
        <v>×</v>
      </c>
      <c r="J1716" s="4"/>
      <c r="K1716" s="4"/>
      <c r="L1716" s="4"/>
      <c r="M1716" s="5" t="s">
        <v>917</v>
      </c>
    </row>
    <row r="1717" customFormat="false" ht="15.75" hidden="false" customHeight="false" outlineLevel="0" collapsed="false">
      <c r="A1717" s="3" t="n">
        <v>46222</v>
      </c>
      <c r="B1717" s="4" t="s">
        <v>1237</v>
      </c>
      <c r="C1717" s="4" t="n">
        <v>2</v>
      </c>
      <c r="D1717" s="4" t="n">
        <v>3</v>
      </c>
      <c r="E1717" s="4" t="s">
        <v>1728</v>
      </c>
      <c r="F1717" s="4" t="n">
        <v>10</v>
      </c>
      <c r="G1717" s="4" t="n">
        <v>5</v>
      </c>
      <c r="H1717" s="4" t="n">
        <v>4</v>
      </c>
      <c r="I1717" s="4" t="str">
        <v>×</v>
      </c>
      <c r="J1717" s="4"/>
      <c r="K1717" s="4"/>
      <c r="L1717" s="4"/>
      <c r="M1717" s="5" t="s">
        <v>917</v>
      </c>
    </row>
    <row r="1718" customFormat="false" ht="15.75" hidden="false" customHeight="false" outlineLevel="0" collapsed="false">
      <c r="A1718" s="3" t="n">
        <v>46222</v>
      </c>
      <c r="B1718" s="4" t="s">
        <v>1237</v>
      </c>
      <c r="C1718" s="4" t="n">
        <v>2</v>
      </c>
      <c r="D1718" s="4" t="n">
        <v>4</v>
      </c>
      <c r="E1718" s="4" t="s">
        <v>1729</v>
      </c>
      <c r="F1718" s="4" t="n">
        <v>62</v>
      </c>
      <c r="G1718" s="4" t="n">
        <v>1</v>
      </c>
      <c r="H1718" s="4" t="n">
        <v>2</v>
      </c>
      <c r="I1718" s="4" t="str">
        <v>○</v>
      </c>
      <c r="J1718" s="4" t="n">
        <v>130</v>
      </c>
      <c r="K1718" s="4"/>
      <c r="L1718" s="4"/>
      <c r="M1718" s="5" t="s">
        <v>917</v>
      </c>
    </row>
    <row r="1719" customFormat="false" ht="15.75" hidden="false" customHeight="false" outlineLevel="0" collapsed="false">
      <c r="A1719" s="3" t="n">
        <v>46222</v>
      </c>
      <c r="B1719" s="4" t="s">
        <v>1237</v>
      </c>
      <c r="C1719" s="4" t="n">
        <v>2</v>
      </c>
      <c r="D1719" s="4" t="n">
        <v>5</v>
      </c>
      <c r="E1719" s="4" t="s">
        <v>1730</v>
      </c>
      <c r="F1719" s="4" t="n">
        <v>10</v>
      </c>
      <c r="G1719" s="4" t="n">
        <v>5</v>
      </c>
      <c r="H1719" s="4" t="n">
        <v>4</v>
      </c>
      <c r="I1719" s="4" t="str">
        <v>×</v>
      </c>
      <c r="J1719" s="4"/>
      <c r="K1719" s="4"/>
      <c r="L1719" s="4"/>
      <c r="M1719" s="5" t="s">
        <v>917</v>
      </c>
    </row>
    <row r="1720" customFormat="false" ht="15.75" hidden="false" customHeight="false" outlineLevel="0" collapsed="false">
      <c r="A1720" s="3" t="n">
        <v>46222</v>
      </c>
      <c r="B1720" s="4" t="s">
        <v>1237</v>
      </c>
      <c r="C1720" s="4" t="n">
        <v>2</v>
      </c>
      <c r="D1720" s="4" t="n">
        <v>6</v>
      </c>
      <c r="E1720" s="4" t="s">
        <v>1731</v>
      </c>
      <c r="F1720" s="4" t="n">
        <v>20</v>
      </c>
      <c r="G1720" s="4" t="n">
        <v>4</v>
      </c>
      <c r="H1720" s="4" t="n">
        <v>4</v>
      </c>
      <c r="I1720" s="4" t="str">
        <v>×</v>
      </c>
      <c r="J1720" s="4"/>
      <c r="K1720" s="4"/>
      <c r="L1720" s="4"/>
      <c r="M1720" s="5" t="s">
        <v>917</v>
      </c>
    </row>
    <row r="1721" customFormat="false" ht="15.75" hidden="false" customHeight="false" outlineLevel="0" collapsed="false">
      <c r="A1721" s="3" t="n">
        <v>46222</v>
      </c>
      <c r="B1721" s="4" t="s">
        <v>1237</v>
      </c>
      <c r="C1721" s="4" t="n">
        <v>2</v>
      </c>
      <c r="D1721" s="4" t="n">
        <v>7</v>
      </c>
      <c r="E1721" s="4" t="s">
        <v>1732</v>
      </c>
      <c r="F1721" s="4" t="n">
        <v>20</v>
      </c>
      <c r="G1721" s="4" t="n">
        <v>4</v>
      </c>
      <c r="H1721" s="4" t="n">
        <v>1</v>
      </c>
      <c r="I1721" s="4" t="str">
        <v>○</v>
      </c>
      <c r="J1721" s="4" t="n">
        <v>300</v>
      </c>
      <c r="K1721" s="4"/>
      <c r="L1721" s="4"/>
      <c r="M1721" s="5" t="s">
        <v>917</v>
      </c>
    </row>
    <row r="1722" customFormat="false" ht="15.75" hidden="false" customHeight="false" outlineLevel="0" collapsed="false">
      <c r="A1722" s="3" t="n">
        <v>46222</v>
      </c>
      <c r="B1722" s="4" t="s">
        <v>1237</v>
      </c>
      <c r="C1722" s="4" t="n">
        <v>2</v>
      </c>
      <c r="D1722" s="4" t="n">
        <v>8</v>
      </c>
      <c r="E1722" s="4" t="s">
        <v>1733</v>
      </c>
      <c r="F1722" s="4" t="n">
        <v>50</v>
      </c>
      <c r="G1722" s="4" t="n">
        <v>2</v>
      </c>
      <c r="H1722" s="4" t="n">
        <v>4</v>
      </c>
      <c r="I1722" s="4" t="str">
        <v>×</v>
      </c>
      <c r="J1722" s="4"/>
      <c r="K1722" s="4"/>
      <c r="L1722" s="4"/>
      <c r="M1722" s="5" t="s">
        <v>917</v>
      </c>
    </row>
    <row r="1723" customFormat="false" ht="15.75" hidden="false" customHeight="false" outlineLevel="0" collapsed="false">
      <c r="A1723" s="3" t="n">
        <v>46222</v>
      </c>
      <c r="B1723" s="4" t="s">
        <v>1237</v>
      </c>
      <c r="C1723" s="4" t="n">
        <v>2</v>
      </c>
      <c r="D1723" s="4" t="n">
        <v>9</v>
      </c>
      <c r="E1723" s="4" t="s">
        <v>1734</v>
      </c>
      <c r="F1723" s="4" t="n">
        <v>10</v>
      </c>
      <c r="G1723" s="4" t="n">
        <v>5</v>
      </c>
      <c r="H1723" s="4" t="n">
        <v>4</v>
      </c>
      <c r="I1723" s="4" t="str">
        <v>×</v>
      </c>
      <c r="J1723" s="4"/>
      <c r="K1723" s="4"/>
      <c r="L1723" s="4"/>
      <c r="M1723" s="5" t="s">
        <v>917</v>
      </c>
    </row>
    <row r="1724" customFormat="false" ht="15.75" hidden="false" customHeight="false" outlineLevel="0" collapsed="false">
      <c r="A1724" s="3" t="n">
        <v>46222</v>
      </c>
      <c r="B1724" s="4" t="s">
        <v>1237</v>
      </c>
      <c r="C1724" s="4" t="n">
        <v>2</v>
      </c>
      <c r="D1724" s="4" t="n">
        <v>10</v>
      </c>
      <c r="E1724" s="4" t="s">
        <v>1735</v>
      </c>
      <c r="F1724" s="4" t="n">
        <v>37</v>
      </c>
      <c r="G1724" s="4" t="n">
        <v>3</v>
      </c>
      <c r="H1724" s="4" t="n">
        <v>4</v>
      </c>
      <c r="I1724" s="4" t="str">
        <v>×</v>
      </c>
      <c r="J1724" s="4"/>
      <c r="K1724" s="4"/>
      <c r="L1724" s="4"/>
      <c r="M1724" s="5" t="s">
        <v>917</v>
      </c>
    </row>
    <row r="1725" customFormat="false" ht="15.75" hidden="false" customHeight="false" outlineLevel="0" collapsed="false">
      <c r="A1725" s="3" t="n">
        <v>46222</v>
      </c>
      <c r="B1725" s="4" t="s">
        <v>1237</v>
      </c>
      <c r="C1725" s="4" t="n">
        <v>3</v>
      </c>
      <c r="D1725" s="4" t="n">
        <v>1</v>
      </c>
      <c r="E1725" s="4" t="s">
        <v>1736</v>
      </c>
      <c r="F1725" s="4" t="n">
        <v>17</v>
      </c>
      <c r="G1725" s="4" t="n">
        <v>4</v>
      </c>
      <c r="H1725" s="4" t="n">
        <v>4</v>
      </c>
      <c r="I1725" s="4" t="str">
        <v>×</v>
      </c>
      <c r="J1725" s="4"/>
      <c r="K1725" s="4"/>
      <c r="L1725" s="4"/>
      <c r="M1725" s="5" t="s">
        <v>917</v>
      </c>
    </row>
    <row r="1726" customFormat="false" ht="15.75" hidden="false" customHeight="false" outlineLevel="0" collapsed="false">
      <c r="A1726" s="3" t="n">
        <v>46222</v>
      </c>
      <c r="B1726" s="4" t="s">
        <v>1237</v>
      </c>
      <c r="C1726" s="4" t="n">
        <v>3</v>
      </c>
      <c r="D1726" s="4" t="n">
        <v>2</v>
      </c>
      <c r="E1726" s="4" t="s">
        <v>1737</v>
      </c>
      <c r="F1726" s="4" t="n">
        <v>17</v>
      </c>
      <c r="G1726" s="4" t="n">
        <v>4</v>
      </c>
      <c r="H1726" s="4" t="n">
        <v>4</v>
      </c>
      <c r="I1726" s="4" t="str">
        <v>×</v>
      </c>
      <c r="J1726" s="4"/>
      <c r="K1726" s="4"/>
      <c r="L1726" s="4"/>
      <c r="M1726" s="5" t="s">
        <v>917</v>
      </c>
    </row>
    <row r="1727" customFormat="false" ht="15.75" hidden="false" customHeight="false" outlineLevel="0" collapsed="false">
      <c r="A1727" s="3" t="n">
        <v>46222</v>
      </c>
      <c r="B1727" s="4" t="s">
        <v>1237</v>
      </c>
      <c r="C1727" s="4" t="n">
        <v>3</v>
      </c>
      <c r="D1727" s="4" t="n">
        <v>3</v>
      </c>
      <c r="E1727" s="4" t="s">
        <v>1738</v>
      </c>
      <c r="F1727" s="4" t="n">
        <v>60</v>
      </c>
      <c r="G1727" s="4" t="n">
        <v>2</v>
      </c>
      <c r="H1727" s="4" t="n">
        <v>2</v>
      </c>
      <c r="I1727" s="4" t="str">
        <v>○</v>
      </c>
      <c r="J1727" s="4" t="n">
        <v>190</v>
      </c>
      <c r="K1727" s="4"/>
      <c r="L1727" s="4"/>
      <c r="M1727" s="5" t="s">
        <v>917</v>
      </c>
    </row>
    <row r="1728" customFormat="false" ht="15.75" hidden="false" customHeight="false" outlineLevel="0" collapsed="false">
      <c r="A1728" s="3" t="n">
        <v>46222</v>
      </c>
      <c r="B1728" s="4" t="s">
        <v>1237</v>
      </c>
      <c r="C1728" s="4" t="n">
        <v>3</v>
      </c>
      <c r="D1728" s="4" t="n">
        <v>4</v>
      </c>
      <c r="E1728" s="4" t="s">
        <v>1739</v>
      </c>
      <c r="F1728" s="4" t="n">
        <v>6</v>
      </c>
      <c r="G1728" s="4" t="n">
        <v>7</v>
      </c>
      <c r="H1728" s="4" t="n">
        <v>4</v>
      </c>
      <c r="I1728" s="4" t="str">
        <v>×</v>
      </c>
      <c r="J1728" s="4"/>
      <c r="K1728" s="4"/>
      <c r="L1728" s="4"/>
      <c r="M1728" s="5" t="s">
        <v>917</v>
      </c>
    </row>
    <row r="1729" customFormat="false" ht="15.75" hidden="false" customHeight="false" outlineLevel="0" collapsed="false">
      <c r="A1729" s="3" t="n">
        <v>46222</v>
      </c>
      <c r="B1729" s="4" t="s">
        <v>1237</v>
      </c>
      <c r="C1729" s="4" t="n">
        <v>3</v>
      </c>
      <c r="D1729" s="4" t="n">
        <v>5</v>
      </c>
      <c r="E1729" s="4" t="s">
        <v>1740</v>
      </c>
      <c r="F1729" s="4" t="n">
        <v>6</v>
      </c>
      <c r="G1729" s="4" t="n">
        <v>7</v>
      </c>
      <c r="H1729" s="4" t="n">
        <v>4</v>
      </c>
      <c r="I1729" s="4" t="str">
        <v>×</v>
      </c>
      <c r="J1729" s="4"/>
      <c r="K1729" s="4"/>
      <c r="L1729" s="4"/>
      <c r="M1729" s="5" t="s">
        <v>917</v>
      </c>
    </row>
    <row r="1730" customFormat="false" ht="15.75" hidden="false" customHeight="false" outlineLevel="0" collapsed="false">
      <c r="A1730" s="3" t="n">
        <v>46222</v>
      </c>
      <c r="B1730" s="4" t="s">
        <v>1237</v>
      </c>
      <c r="C1730" s="4" t="n">
        <v>3</v>
      </c>
      <c r="D1730" s="4" t="n">
        <v>6</v>
      </c>
      <c r="E1730" s="4" t="s">
        <v>1741</v>
      </c>
      <c r="F1730" s="4" t="n">
        <v>8</v>
      </c>
      <c r="G1730" s="4" t="n">
        <v>6</v>
      </c>
      <c r="H1730" s="4" t="n">
        <v>4</v>
      </c>
      <c r="I1730" s="4" t="str">
        <v>×</v>
      </c>
      <c r="J1730" s="4"/>
      <c r="K1730" s="4"/>
      <c r="L1730" s="4"/>
      <c r="M1730" s="5" t="s">
        <v>917</v>
      </c>
    </row>
    <row r="1731" customFormat="false" ht="15.75" hidden="false" customHeight="false" outlineLevel="0" collapsed="false">
      <c r="A1731" s="3" t="n">
        <v>46222</v>
      </c>
      <c r="B1731" s="4" t="s">
        <v>1237</v>
      </c>
      <c r="C1731" s="4" t="n">
        <v>3</v>
      </c>
      <c r="D1731" s="4" t="n">
        <v>7</v>
      </c>
      <c r="E1731" s="4" t="s">
        <v>1742</v>
      </c>
      <c r="F1731" s="4" t="n">
        <v>17</v>
      </c>
      <c r="G1731" s="4" t="n">
        <v>4</v>
      </c>
      <c r="H1731" s="4" t="n">
        <v>4</v>
      </c>
      <c r="I1731" s="4" t="str">
        <v>×</v>
      </c>
      <c r="J1731" s="4"/>
      <c r="K1731" s="4"/>
      <c r="L1731" s="4"/>
      <c r="M1731" s="5" t="s">
        <v>917</v>
      </c>
    </row>
    <row r="1732" customFormat="false" ht="15.75" hidden="false" customHeight="false" outlineLevel="0" collapsed="false">
      <c r="A1732" s="3" t="n">
        <v>46222</v>
      </c>
      <c r="B1732" s="4" t="s">
        <v>1237</v>
      </c>
      <c r="C1732" s="4" t="n">
        <v>3</v>
      </c>
      <c r="D1732" s="4" t="n">
        <v>8</v>
      </c>
      <c r="E1732" s="4" t="s">
        <v>1743</v>
      </c>
      <c r="F1732" s="4" t="n">
        <v>6</v>
      </c>
      <c r="G1732" s="4" t="n">
        <v>7</v>
      </c>
      <c r="H1732" s="4" t="n">
        <v>4</v>
      </c>
      <c r="I1732" s="4" t="str">
        <v>×</v>
      </c>
      <c r="J1732" s="4"/>
      <c r="K1732" s="4"/>
      <c r="L1732" s="4"/>
      <c r="M1732" s="5" t="s">
        <v>917</v>
      </c>
    </row>
    <row r="1733" customFormat="false" ht="15.75" hidden="false" customHeight="false" outlineLevel="0" collapsed="false">
      <c r="A1733" s="3" t="n">
        <v>46222</v>
      </c>
      <c r="B1733" s="4" t="s">
        <v>1237</v>
      </c>
      <c r="C1733" s="4" t="n">
        <v>3</v>
      </c>
      <c r="D1733" s="4" t="n">
        <v>9</v>
      </c>
      <c r="E1733" s="4" t="s">
        <v>1744</v>
      </c>
      <c r="F1733" s="4" t="n">
        <v>62</v>
      </c>
      <c r="G1733" s="4" t="n">
        <v>1</v>
      </c>
      <c r="H1733" s="4" t="n">
        <v>1</v>
      </c>
      <c r="I1733" s="4" t="str">
        <v>○</v>
      </c>
      <c r="J1733" s="4" t="n">
        <v>140</v>
      </c>
      <c r="K1733" s="4"/>
      <c r="L1733" s="4"/>
      <c r="M1733" s="5" t="s">
        <v>917</v>
      </c>
    </row>
    <row r="1734" customFormat="false" ht="15.75" hidden="false" customHeight="false" outlineLevel="0" collapsed="false">
      <c r="A1734" s="3" t="n">
        <v>46222</v>
      </c>
      <c r="B1734" s="4" t="s">
        <v>1237</v>
      </c>
      <c r="C1734" s="4" t="n">
        <v>3</v>
      </c>
      <c r="D1734" s="4" t="n">
        <v>10</v>
      </c>
      <c r="E1734" s="4" t="s">
        <v>1745</v>
      </c>
      <c r="F1734" s="4" t="n">
        <v>3</v>
      </c>
      <c r="G1734" s="4" t="n">
        <v>8</v>
      </c>
      <c r="H1734" s="4" t="n">
        <v>4</v>
      </c>
      <c r="I1734" s="4" t="str">
        <v>×</v>
      </c>
      <c r="J1734" s="4"/>
      <c r="K1734" s="4"/>
      <c r="L1734" s="4"/>
      <c r="M1734" s="5" t="s">
        <v>917</v>
      </c>
    </row>
    <row r="1735" customFormat="false" ht="15.75" hidden="false" customHeight="false" outlineLevel="0" collapsed="false">
      <c r="A1735" s="3" t="n">
        <v>46222</v>
      </c>
      <c r="B1735" s="4" t="s">
        <v>1237</v>
      </c>
      <c r="C1735" s="4" t="n">
        <v>3</v>
      </c>
      <c r="D1735" s="4" t="n">
        <v>11</v>
      </c>
      <c r="E1735" s="4" t="s">
        <v>1746</v>
      </c>
      <c r="F1735" s="4" t="n">
        <v>15</v>
      </c>
      <c r="G1735" s="4" t="n">
        <v>5</v>
      </c>
      <c r="H1735" s="4" t="n">
        <v>3</v>
      </c>
      <c r="I1735" s="4" t="str">
        <v>○</v>
      </c>
      <c r="J1735" s="4" t="n">
        <v>170</v>
      </c>
      <c r="K1735" s="4"/>
      <c r="L1735" s="4"/>
      <c r="M1735" s="5" t="s">
        <v>917</v>
      </c>
    </row>
    <row r="1736" customFormat="false" ht="15.75" hidden="false" customHeight="false" outlineLevel="0" collapsed="false">
      <c r="A1736" s="3" t="n">
        <v>46222</v>
      </c>
      <c r="B1736" s="4" t="s">
        <v>1237</v>
      </c>
      <c r="C1736" s="4" t="n">
        <v>3</v>
      </c>
      <c r="D1736" s="4" t="n">
        <v>12</v>
      </c>
      <c r="E1736" s="4" t="s">
        <v>1747</v>
      </c>
      <c r="F1736" s="4" t="n">
        <v>15</v>
      </c>
      <c r="G1736" s="4" t="n">
        <v>5</v>
      </c>
      <c r="H1736" s="4" t="n">
        <v>4</v>
      </c>
      <c r="I1736" s="4" t="str">
        <v>×</v>
      </c>
      <c r="J1736" s="4"/>
      <c r="K1736" s="4"/>
      <c r="L1736" s="4"/>
      <c r="M1736" s="5" t="s">
        <v>917</v>
      </c>
    </row>
    <row r="1737" customFormat="false" ht="15.75" hidden="false" customHeight="false" outlineLevel="0" collapsed="false">
      <c r="A1737" s="3" t="n">
        <v>46222</v>
      </c>
      <c r="B1737" s="4" t="s">
        <v>1237</v>
      </c>
      <c r="C1737" s="4" t="n">
        <v>3</v>
      </c>
      <c r="D1737" s="4" t="n">
        <v>13</v>
      </c>
      <c r="E1737" s="4" t="s">
        <v>1748</v>
      </c>
      <c r="F1737" s="4" t="n">
        <v>58</v>
      </c>
      <c r="G1737" s="4" t="n">
        <v>3</v>
      </c>
      <c r="H1737" s="4" t="n">
        <v>4</v>
      </c>
      <c r="I1737" s="4" t="str">
        <v>×</v>
      </c>
      <c r="J1737" s="4"/>
      <c r="K1737" s="4"/>
      <c r="L1737" s="4"/>
      <c r="M1737" s="5" t="s">
        <v>917</v>
      </c>
    </row>
    <row r="1738" customFormat="false" ht="15.75" hidden="false" customHeight="false" outlineLevel="0" collapsed="false">
      <c r="A1738" s="3" t="n">
        <v>46222</v>
      </c>
      <c r="B1738" s="4" t="s">
        <v>1237</v>
      </c>
      <c r="C1738" s="4" t="n">
        <v>3</v>
      </c>
      <c r="D1738" s="4" t="n">
        <v>14</v>
      </c>
      <c r="E1738" s="4" t="s">
        <v>1749</v>
      </c>
      <c r="F1738" s="4" t="n">
        <v>6</v>
      </c>
      <c r="G1738" s="4" t="n">
        <v>7</v>
      </c>
      <c r="H1738" s="4" t="n">
        <v>4</v>
      </c>
      <c r="I1738" s="4" t="str">
        <v>×</v>
      </c>
      <c r="J1738" s="4"/>
      <c r="K1738" s="4"/>
      <c r="L1738" s="4"/>
      <c r="M1738" s="5" t="s">
        <v>917</v>
      </c>
    </row>
    <row r="1739" customFormat="false" ht="15.75" hidden="false" customHeight="false" outlineLevel="0" collapsed="false">
      <c r="A1739" s="3" t="n">
        <v>46222</v>
      </c>
      <c r="B1739" s="4" t="s">
        <v>1237</v>
      </c>
      <c r="C1739" s="4" t="n">
        <v>4</v>
      </c>
      <c r="D1739" s="4" t="n">
        <v>1</v>
      </c>
      <c r="E1739" s="4" t="s">
        <v>1750</v>
      </c>
      <c r="F1739" s="4" t="n">
        <v>6</v>
      </c>
      <c r="G1739" s="4" t="n">
        <v>9</v>
      </c>
      <c r="H1739" s="4" t="n">
        <v>4</v>
      </c>
      <c r="I1739" s="4" t="str">
        <v>×</v>
      </c>
      <c r="J1739" s="4"/>
      <c r="K1739" s="4"/>
      <c r="L1739" s="4"/>
      <c r="M1739" s="5" t="s">
        <v>917</v>
      </c>
    </row>
    <row r="1740" customFormat="false" ht="15.75" hidden="false" customHeight="false" outlineLevel="0" collapsed="false">
      <c r="A1740" s="3" t="n">
        <v>46222</v>
      </c>
      <c r="B1740" s="4" t="s">
        <v>1237</v>
      </c>
      <c r="C1740" s="4" t="n">
        <v>4</v>
      </c>
      <c r="D1740" s="4" t="n">
        <v>2</v>
      </c>
      <c r="E1740" s="4" t="s">
        <v>1751</v>
      </c>
      <c r="F1740" s="4" t="n">
        <v>23</v>
      </c>
      <c r="G1740" s="4" t="n">
        <v>6</v>
      </c>
      <c r="H1740" s="4" t="n">
        <v>4</v>
      </c>
      <c r="I1740" s="4" t="str">
        <v>×</v>
      </c>
      <c r="J1740" s="4"/>
      <c r="K1740" s="4"/>
      <c r="L1740" s="4"/>
      <c r="M1740" s="5" t="s">
        <v>917</v>
      </c>
    </row>
    <row r="1741" customFormat="false" ht="15.75" hidden="false" customHeight="false" outlineLevel="0" collapsed="false">
      <c r="A1741" s="3" t="n">
        <v>46222</v>
      </c>
      <c r="B1741" s="4" t="s">
        <v>1237</v>
      </c>
      <c r="C1741" s="4" t="n">
        <v>4</v>
      </c>
      <c r="D1741" s="4" t="n">
        <v>3</v>
      </c>
      <c r="E1741" s="4" t="s">
        <v>1752</v>
      </c>
      <c r="F1741" s="4" t="n">
        <v>34</v>
      </c>
      <c r="G1741" s="4" t="n">
        <v>4</v>
      </c>
      <c r="H1741" s="4" t="n">
        <v>2</v>
      </c>
      <c r="I1741" s="4" t="str">
        <v>○</v>
      </c>
      <c r="J1741" s="4" t="n">
        <v>230</v>
      </c>
      <c r="K1741" s="4"/>
      <c r="L1741" s="4"/>
      <c r="M1741" s="5" t="s">
        <v>917</v>
      </c>
    </row>
    <row r="1742" customFormat="false" ht="15.75" hidden="false" customHeight="false" outlineLevel="0" collapsed="false">
      <c r="A1742" s="3" t="n">
        <v>46222</v>
      </c>
      <c r="B1742" s="4" t="s">
        <v>1237</v>
      </c>
      <c r="C1742" s="4" t="n">
        <v>4</v>
      </c>
      <c r="D1742" s="4" t="n">
        <v>4</v>
      </c>
      <c r="E1742" s="4" t="s">
        <v>1753</v>
      </c>
      <c r="F1742" s="4" t="n">
        <v>20</v>
      </c>
      <c r="G1742" s="4" t="n">
        <v>7</v>
      </c>
      <c r="H1742" s="4" t="n">
        <v>4</v>
      </c>
      <c r="I1742" s="4" t="str">
        <v>×</v>
      </c>
      <c r="J1742" s="4"/>
      <c r="K1742" s="4"/>
      <c r="L1742" s="4"/>
      <c r="M1742" s="5" t="s">
        <v>917</v>
      </c>
    </row>
    <row r="1743" customFormat="false" ht="15.75" hidden="false" customHeight="false" outlineLevel="0" collapsed="false">
      <c r="A1743" s="3" t="n">
        <v>46222</v>
      </c>
      <c r="B1743" s="4" t="s">
        <v>1237</v>
      </c>
      <c r="C1743" s="4" t="n">
        <v>4</v>
      </c>
      <c r="D1743" s="4" t="n">
        <v>5</v>
      </c>
      <c r="E1743" s="4" t="s">
        <v>1754</v>
      </c>
      <c r="F1743" s="4" t="n">
        <v>6</v>
      </c>
      <c r="G1743" s="4" t="n">
        <v>9</v>
      </c>
      <c r="H1743" s="4" t="n">
        <v>4</v>
      </c>
      <c r="I1743" s="4" t="str">
        <v>×</v>
      </c>
      <c r="J1743" s="4"/>
      <c r="K1743" s="4"/>
      <c r="L1743" s="4"/>
      <c r="M1743" s="5" t="s">
        <v>917</v>
      </c>
    </row>
    <row r="1744" customFormat="false" ht="15.75" hidden="false" customHeight="false" outlineLevel="0" collapsed="false">
      <c r="A1744" s="3" t="n">
        <v>46222</v>
      </c>
      <c r="B1744" s="4" t="s">
        <v>1237</v>
      </c>
      <c r="C1744" s="4" t="n">
        <v>4</v>
      </c>
      <c r="D1744" s="4" t="n">
        <v>6</v>
      </c>
      <c r="E1744" s="4" t="s">
        <v>1755</v>
      </c>
      <c r="F1744" s="4" t="n">
        <v>23</v>
      </c>
      <c r="G1744" s="4" t="n">
        <v>6</v>
      </c>
      <c r="H1744" s="4" t="n">
        <v>4</v>
      </c>
      <c r="I1744" s="4" t="str">
        <v>×</v>
      </c>
      <c r="J1744" s="4"/>
      <c r="K1744" s="4"/>
      <c r="L1744" s="4"/>
      <c r="M1744" s="5" t="s">
        <v>917</v>
      </c>
    </row>
    <row r="1745" customFormat="false" ht="15.75" hidden="false" customHeight="false" outlineLevel="0" collapsed="false">
      <c r="A1745" s="3" t="n">
        <v>46222</v>
      </c>
      <c r="B1745" s="4" t="s">
        <v>1237</v>
      </c>
      <c r="C1745" s="4" t="n">
        <v>4</v>
      </c>
      <c r="D1745" s="4" t="n">
        <v>7</v>
      </c>
      <c r="E1745" s="4" t="s">
        <v>1756</v>
      </c>
      <c r="F1745" s="4" t="n">
        <v>60</v>
      </c>
      <c r="G1745" s="4" t="n">
        <v>1</v>
      </c>
      <c r="H1745" s="4" t="n">
        <v>4</v>
      </c>
      <c r="I1745" s="4" t="str">
        <v>×</v>
      </c>
      <c r="J1745" s="4"/>
      <c r="K1745" s="4"/>
      <c r="L1745" s="4"/>
      <c r="M1745" s="5" t="s">
        <v>917</v>
      </c>
    </row>
    <row r="1746" customFormat="false" ht="15.75" hidden="false" customHeight="false" outlineLevel="0" collapsed="false">
      <c r="A1746" s="3" t="n">
        <v>46222</v>
      </c>
      <c r="B1746" s="4" t="s">
        <v>1237</v>
      </c>
      <c r="C1746" s="4" t="n">
        <v>4</v>
      </c>
      <c r="D1746" s="4" t="n">
        <v>8</v>
      </c>
      <c r="E1746" s="4" t="s">
        <v>1757</v>
      </c>
      <c r="F1746" s="4" t="n">
        <v>17</v>
      </c>
      <c r="G1746" s="4" t="n">
        <v>8</v>
      </c>
      <c r="H1746" s="4" t="n">
        <v>1</v>
      </c>
      <c r="I1746" s="4" t="str">
        <v>○</v>
      </c>
      <c r="J1746" s="4" t="n">
        <v>490</v>
      </c>
      <c r="K1746" s="4"/>
      <c r="L1746" s="4"/>
      <c r="M1746" s="5" t="s">
        <v>917</v>
      </c>
    </row>
    <row r="1747" customFormat="false" ht="15.75" hidden="false" customHeight="false" outlineLevel="0" collapsed="false">
      <c r="A1747" s="3" t="n">
        <v>46222</v>
      </c>
      <c r="B1747" s="4" t="s">
        <v>1237</v>
      </c>
      <c r="C1747" s="4" t="n">
        <v>4</v>
      </c>
      <c r="D1747" s="4" t="n">
        <v>9</v>
      </c>
      <c r="E1747" s="4" t="s">
        <v>1758</v>
      </c>
      <c r="F1747" s="4" t="n">
        <v>25</v>
      </c>
      <c r="G1747" s="4" t="n">
        <v>5</v>
      </c>
      <c r="H1747" s="4" t="n">
        <v>4</v>
      </c>
      <c r="I1747" s="4" t="str">
        <v>×</v>
      </c>
      <c r="J1747" s="4"/>
      <c r="K1747" s="4"/>
      <c r="L1747" s="4"/>
      <c r="M1747" s="5" t="s">
        <v>917</v>
      </c>
    </row>
    <row r="1748" customFormat="false" ht="15.75" hidden="false" customHeight="false" outlineLevel="0" collapsed="false">
      <c r="A1748" s="3" t="n">
        <v>46222</v>
      </c>
      <c r="B1748" s="4" t="s">
        <v>1237</v>
      </c>
      <c r="C1748" s="4" t="n">
        <v>4</v>
      </c>
      <c r="D1748" s="4" t="n">
        <v>10</v>
      </c>
      <c r="E1748" s="4" t="s">
        <v>1759</v>
      </c>
      <c r="F1748" s="4" t="n">
        <v>17</v>
      </c>
      <c r="G1748" s="4" t="n">
        <v>8</v>
      </c>
      <c r="H1748" s="4" t="n">
        <v>4</v>
      </c>
      <c r="I1748" s="4" t="str">
        <v>×</v>
      </c>
      <c r="J1748" s="4"/>
      <c r="K1748" s="4"/>
      <c r="L1748" s="4"/>
      <c r="M1748" s="5" t="s">
        <v>917</v>
      </c>
    </row>
    <row r="1749" customFormat="false" ht="15.75" hidden="false" customHeight="false" outlineLevel="0" collapsed="false">
      <c r="A1749" s="3" t="n">
        <v>46222</v>
      </c>
      <c r="B1749" s="4" t="s">
        <v>1237</v>
      </c>
      <c r="C1749" s="4" t="n">
        <v>4</v>
      </c>
      <c r="D1749" s="4" t="n">
        <v>11</v>
      </c>
      <c r="E1749" s="4" t="s">
        <v>1760</v>
      </c>
      <c r="F1749" s="4" t="n">
        <v>39</v>
      </c>
      <c r="G1749" s="4" t="n">
        <v>3</v>
      </c>
      <c r="H1749" s="4" t="n">
        <v>3</v>
      </c>
      <c r="I1749" s="4" t="str">
        <v>○</v>
      </c>
      <c r="J1749" s="4" t="n">
        <v>260</v>
      </c>
      <c r="K1749" s="4"/>
      <c r="L1749" s="4"/>
      <c r="M1749" s="5" t="s">
        <v>917</v>
      </c>
    </row>
    <row r="1750" customFormat="false" ht="15.75" hidden="false" customHeight="false" outlineLevel="0" collapsed="false">
      <c r="A1750" s="3" t="n">
        <v>46222</v>
      </c>
      <c r="B1750" s="4" t="s">
        <v>1237</v>
      </c>
      <c r="C1750" s="4" t="n">
        <v>4</v>
      </c>
      <c r="D1750" s="4" t="n">
        <v>12</v>
      </c>
      <c r="E1750" s="4" t="s">
        <v>1761</v>
      </c>
      <c r="F1750" s="4" t="n">
        <v>44</v>
      </c>
      <c r="G1750" s="4" t="n">
        <v>2</v>
      </c>
      <c r="H1750" s="4" t="n">
        <v>4</v>
      </c>
      <c r="I1750" s="4" t="str">
        <v>×</v>
      </c>
      <c r="J1750" s="4"/>
      <c r="K1750" s="4"/>
      <c r="L1750" s="4"/>
      <c r="M1750" s="5" t="s">
        <v>917</v>
      </c>
    </row>
    <row r="1751" customFormat="false" ht="15.75" hidden="false" customHeight="false" outlineLevel="0" collapsed="false">
      <c r="A1751" s="3" t="n">
        <v>46222</v>
      </c>
      <c r="B1751" s="4" t="s">
        <v>1237</v>
      </c>
      <c r="C1751" s="4" t="n">
        <v>4</v>
      </c>
      <c r="D1751" s="4" t="n">
        <v>13</v>
      </c>
      <c r="E1751" s="4" t="s">
        <v>1762</v>
      </c>
      <c r="F1751" s="4" t="n">
        <v>20</v>
      </c>
      <c r="G1751" s="4" t="n">
        <v>7</v>
      </c>
      <c r="H1751" s="4" t="n">
        <v>4</v>
      </c>
      <c r="I1751" s="4" t="str">
        <v>×</v>
      </c>
      <c r="J1751" s="4"/>
      <c r="K1751" s="4"/>
      <c r="L1751" s="4"/>
      <c r="M1751" s="5" t="s">
        <v>917</v>
      </c>
    </row>
    <row r="1752" customFormat="false" ht="15.75" hidden="false" customHeight="false" outlineLevel="0" collapsed="false">
      <c r="A1752" s="3" t="n">
        <v>46222</v>
      </c>
      <c r="B1752" s="4" t="s">
        <v>1237</v>
      </c>
      <c r="C1752" s="4" t="n">
        <v>5</v>
      </c>
      <c r="D1752" s="4" t="n">
        <v>1</v>
      </c>
      <c r="E1752" s="4" t="s">
        <v>1763</v>
      </c>
      <c r="F1752" s="4" t="n">
        <v>21</v>
      </c>
      <c r="G1752" s="4" t="n">
        <v>4</v>
      </c>
      <c r="H1752" s="4" t="n">
        <v>2</v>
      </c>
      <c r="I1752" s="4" t="str">
        <v>○</v>
      </c>
      <c r="J1752" s="4" t="n">
        <v>340</v>
      </c>
      <c r="K1752" s="4"/>
      <c r="L1752" s="4"/>
      <c r="M1752" s="5" t="s">
        <v>917</v>
      </c>
    </row>
    <row r="1753" customFormat="false" ht="15.75" hidden="false" customHeight="false" outlineLevel="0" collapsed="false">
      <c r="A1753" s="3" t="n">
        <v>46222</v>
      </c>
      <c r="B1753" s="4" t="s">
        <v>1237</v>
      </c>
      <c r="C1753" s="4" t="n">
        <v>5</v>
      </c>
      <c r="D1753" s="4" t="n">
        <v>2</v>
      </c>
      <c r="E1753" s="4" t="s">
        <v>1764</v>
      </c>
      <c r="F1753" s="4" t="n">
        <v>21</v>
      </c>
      <c r="G1753" s="4" t="n">
        <v>4</v>
      </c>
      <c r="H1753" s="4" t="n">
        <v>4</v>
      </c>
      <c r="I1753" s="4" t="str">
        <v>×</v>
      </c>
      <c r="J1753" s="4"/>
      <c r="K1753" s="4"/>
      <c r="L1753" s="4"/>
      <c r="M1753" s="5" t="s">
        <v>917</v>
      </c>
    </row>
    <row r="1754" customFormat="false" ht="15.75" hidden="false" customHeight="false" outlineLevel="0" collapsed="false">
      <c r="A1754" s="3" t="n">
        <v>46222</v>
      </c>
      <c r="B1754" s="4" t="s">
        <v>1237</v>
      </c>
      <c r="C1754" s="4" t="n">
        <v>5</v>
      </c>
      <c r="D1754" s="4" t="n">
        <v>3</v>
      </c>
      <c r="E1754" s="4" t="s">
        <v>1765</v>
      </c>
      <c r="F1754" s="4" t="n">
        <v>31</v>
      </c>
      <c r="G1754" s="4" t="n">
        <v>1</v>
      </c>
      <c r="H1754" s="4" t="n">
        <v>4</v>
      </c>
      <c r="I1754" s="4" t="str">
        <v>×</v>
      </c>
      <c r="J1754" s="4"/>
      <c r="K1754" s="4"/>
      <c r="L1754" s="4"/>
      <c r="M1754" s="5" t="s">
        <v>917</v>
      </c>
    </row>
    <row r="1755" customFormat="false" ht="15.75" hidden="false" customHeight="false" outlineLevel="0" collapsed="false">
      <c r="A1755" s="3" t="n">
        <v>46222</v>
      </c>
      <c r="B1755" s="4" t="s">
        <v>1237</v>
      </c>
      <c r="C1755" s="4" t="n">
        <v>5</v>
      </c>
      <c r="D1755" s="4" t="n">
        <v>4</v>
      </c>
      <c r="E1755" s="4" t="s">
        <v>1766</v>
      </c>
      <c r="F1755" s="4" t="n">
        <v>8</v>
      </c>
      <c r="G1755" s="4" t="n">
        <v>7</v>
      </c>
      <c r="H1755" s="4" t="n">
        <v>1</v>
      </c>
      <c r="I1755" s="4" t="str">
        <v>○</v>
      </c>
      <c r="J1755" s="4" t="n">
        <v>480</v>
      </c>
      <c r="K1755" s="4"/>
      <c r="L1755" s="4"/>
      <c r="M1755" s="5" t="s">
        <v>917</v>
      </c>
    </row>
    <row r="1756" customFormat="false" ht="15.75" hidden="false" customHeight="false" outlineLevel="0" collapsed="false">
      <c r="A1756" s="3" t="n">
        <v>46222</v>
      </c>
      <c r="B1756" s="4" t="s">
        <v>1237</v>
      </c>
      <c r="C1756" s="4" t="n">
        <v>5</v>
      </c>
      <c r="D1756" s="4" t="n">
        <v>5</v>
      </c>
      <c r="E1756" s="4" t="s">
        <v>1767</v>
      </c>
      <c r="F1756" s="4" t="n">
        <v>6</v>
      </c>
      <c r="G1756" s="4" t="n">
        <v>8</v>
      </c>
      <c r="H1756" s="4" t="n">
        <v>3</v>
      </c>
      <c r="I1756" s="4" t="str">
        <v>○</v>
      </c>
      <c r="J1756" s="4" t="n">
        <v>830</v>
      </c>
      <c r="K1756" s="4"/>
      <c r="L1756" s="4"/>
      <c r="M1756" s="5" t="s">
        <v>917</v>
      </c>
    </row>
    <row r="1757" customFormat="false" ht="15.75" hidden="false" customHeight="false" outlineLevel="0" collapsed="false">
      <c r="A1757" s="3" t="n">
        <v>46222</v>
      </c>
      <c r="B1757" s="4" t="s">
        <v>1237</v>
      </c>
      <c r="C1757" s="4" t="n">
        <v>5</v>
      </c>
      <c r="D1757" s="4" t="n">
        <v>6</v>
      </c>
      <c r="E1757" s="4" t="s">
        <v>1768</v>
      </c>
      <c r="F1757" s="4" t="n">
        <v>14</v>
      </c>
      <c r="G1757" s="4" t="n">
        <v>6</v>
      </c>
      <c r="H1757" s="4" t="n">
        <v>4</v>
      </c>
      <c r="I1757" s="4" t="str">
        <v>×</v>
      </c>
      <c r="J1757" s="4"/>
      <c r="K1757" s="4"/>
      <c r="L1757" s="4"/>
      <c r="M1757" s="5" t="s">
        <v>917</v>
      </c>
    </row>
    <row r="1758" customFormat="false" ht="15.75" hidden="false" customHeight="false" outlineLevel="0" collapsed="false">
      <c r="A1758" s="3" t="n">
        <v>46222</v>
      </c>
      <c r="B1758" s="4" t="s">
        <v>1237</v>
      </c>
      <c r="C1758" s="4" t="n">
        <v>5</v>
      </c>
      <c r="D1758" s="4" t="n">
        <v>7</v>
      </c>
      <c r="E1758" s="4" t="s">
        <v>1769</v>
      </c>
      <c r="F1758" s="4" t="n">
        <v>21</v>
      </c>
      <c r="G1758" s="4" t="n">
        <v>4</v>
      </c>
      <c r="H1758" s="4" t="n">
        <v>4</v>
      </c>
      <c r="I1758" s="4" t="str">
        <v>×</v>
      </c>
      <c r="J1758" s="4"/>
      <c r="K1758" s="4"/>
      <c r="L1758" s="4"/>
      <c r="M1758" s="5" t="s">
        <v>917</v>
      </c>
    </row>
    <row r="1759" customFormat="false" ht="15.75" hidden="false" customHeight="false" outlineLevel="0" collapsed="false">
      <c r="A1759" s="3" t="n">
        <v>46222</v>
      </c>
      <c r="B1759" s="4" t="s">
        <v>1237</v>
      </c>
      <c r="C1759" s="4" t="n">
        <v>5</v>
      </c>
      <c r="D1759" s="4" t="n">
        <v>8</v>
      </c>
      <c r="E1759" s="4" t="s">
        <v>1770</v>
      </c>
      <c r="F1759" s="4" t="n">
        <v>27</v>
      </c>
      <c r="G1759" s="4" t="n">
        <v>2</v>
      </c>
      <c r="H1759" s="4" t="n">
        <v>4</v>
      </c>
      <c r="I1759" s="4" t="str">
        <v>×</v>
      </c>
      <c r="J1759" s="4"/>
      <c r="K1759" s="4"/>
      <c r="L1759" s="4"/>
      <c r="M1759" s="5" t="s">
        <v>917</v>
      </c>
    </row>
    <row r="1760" customFormat="false" ht="15.75" hidden="false" customHeight="false" outlineLevel="0" collapsed="false">
      <c r="A1760" s="3" t="n">
        <v>46222</v>
      </c>
      <c r="B1760" s="4" t="s">
        <v>1237</v>
      </c>
      <c r="C1760" s="4" t="n">
        <v>5</v>
      </c>
      <c r="D1760" s="4" t="n">
        <v>9</v>
      </c>
      <c r="E1760" s="4" t="s">
        <v>1771</v>
      </c>
      <c r="F1760" s="4" t="n">
        <v>16</v>
      </c>
      <c r="G1760" s="4" t="n">
        <v>5</v>
      </c>
      <c r="H1760" s="4" t="n">
        <v>4</v>
      </c>
      <c r="I1760" s="4" t="str">
        <v>×</v>
      </c>
      <c r="J1760" s="4"/>
      <c r="K1760" s="4"/>
      <c r="L1760" s="4"/>
      <c r="M1760" s="5" t="s">
        <v>917</v>
      </c>
    </row>
    <row r="1761" customFormat="false" ht="15.75" hidden="false" customHeight="false" outlineLevel="0" collapsed="false">
      <c r="A1761" s="3" t="n">
        <v>46222</v>
      </c>
      <c r="B1761" s="4" t="s">
        <v>1237</v>
      </c>
      <c r="C1761" s="4" t="n">
        <v>5</v>
      </c>
      <c r="D1761" s="4" t="n">
        <v>10</v>
      </c>
      <c r="E1761" s="4" t="s">
        <v>1772</v>
      </c>
      <c r="F1761" s="4" t="n">
        <v>21</v>
      </c>
      <c r="G1761" s="4" t="n">
        <v>4</v>
      </c>
      <c r="H1761" s="4" t="n">
        <v>4</v>
      </c>
      <c r="I1761" s="4" t="str">
        <v>×</v>
      </c>
      <c r="J1761" s="4"/>
      <c r="K1761" s="4"/>
      <c r="L1761" s="4"/>
      <c r="M1761" s="5" t="s">
        <v>917</v>
      </c>
    </row>
    <row r="1762" customFormat="false" ht="15.75" hidden="false" customHeight="false" outlineLevel="0" collapsed="false">
      <c r="A1762" s="3" t="n">
        <v>46222</v>
      </c>
      <c r="B1762" s="4" t="s">
        <v>1237</v>
      </c>
      <c r="C1762" s="4" t="n">
        <v>5</v>
      </c>
      <c r="D1762" s="4" t="n">
        <v>11</v>
      </c>
      <c r="E1762" s="4" t="s">
        <v>1773</v>
      </c>
      <c r="F1762" s="4" t="n">
        <v>8</v>
      </c>
      <c r="G1762" s="4" t="n">
        <v>7</v>
      </c>
      <c r="H1762" s="4" t="n">
        <v>4</v>
      </c>
      <c r="I1762" s="4" t="str">
        <v>×</v>
      </c>
      <c r="J1762" s="4"/>
      <c r="K1762" s="4"/>
      <c r="L1762" s="4"/>
      <c r="M1762" s="5" t="s">
        <v>917</v>
      </c>
    </row>
    <row r="1763" customFormat="false" ht="15.75" hidden="false" customHeight="false" outlineLevel="0" collapsed="false">
      <c r="A1763" s="3" t="n">
        <v>46222</v>
      </c>
      <c r="B1763" s="4" t="s">
        <v>1237</v>
      </c>
      <c r="C1763" s="4" t="n">
        <v>5</v>
      </c>
      <c r="D1763" s="4" t="n">
        <v>12</v>
      </c>
      <c r="E1763" s="4" t="s">
        <v>1774</v>
      </c>
      <c r="F1763" s="4" t="n">
        <v>21</v>
      </c>
      <c r="G1763" s="4" t="n">
        <v>4</v>
      </c>
      <c r="H1763" s="4" t="n">
        <v>4</v>
      </c>
      <c r="I1763" s="4" t="str">
        <v>×</v>
      </c>
      <c r="J1763" s="4"/>
      <c r="K1763" s="4"/>
      <c r="L1763" s="4"/>
      <c r="M1763" s="5" t="s">
        <v>917</v>
      </c>
    </row>
    <row r="1764" customFormat="false" ht="15.75" hidden="false" customHeight="false" outlineLevel="0" collapsed="false">
      <c r="A1764" s="3" t="n">
        <v>46222</v>
      </c>
      <c r="B1764" s="4" t="s">
        <v>1237</v>
      </c>
      <c r="C1764" s="4" t="n">
        <v>5</v>
      </c>
      <c r="D1764" s="4" t="n">
        <v>13</v>
      </c>
      <c r="E1764" s="4" t="s">
        <v>1775</v>
      </c>
      <c r="F1764" s="4" t="n">
        <v>14</v>
      </c>
      <c r="G1764" s="4" t="n">
        <v>6</v>
      </c>
      <c r="H1764" s="4" t="n">
        <v>4</v>
      </c>
      <c r="I1764" s="4" t="str">
        <v>×</v>
      </c>
      <c r="J1764" s="4"/>
      <c r="K1764" s="4"/>
      <c r="L1764" s="4"/>
      <c r="M1764" s="5" t="s">
        <v>917</v>
      </c>
    </row>
    <row r="1765" customFormat="false" ht="15.75" hidden="false" customHeight="false" outlineLevel="0" collapsed="false">
      <c r="A1765" s="3" t="n">
        <v>46222</v>
      </c>
      <c r="B1765" s="4" t="s">
        <v>1237</v>
      </c>
      <c r="C1765" s="4" t="n">
        <v>5</v>
      </c>
      <c r="D1765" s="4" t="n">
        <v>14</v>
      </c>
      <c r="E1765" s="4" t="s">
        <v>1776</v>
      </c>
      <c r="F1765" s="4" t="n">
        <v>24</v>
      </c>
      <c r="G1765" s="4" t="n">
        <v>3</v>
      </c>
      <c r="H1765" s="4" t="n">
        <v>4</v>
      </c>
      <c r="I1765" s="4" t="str">
        <v>×</v>
      </c>
      <c r="J1765" s="4"/>
      <c r="K1765" s="4"/>
      <c r="L1765" s="4"/>
      <c r="M1765" s="5" t="s">
        <v>917</v>
      </c>
    </row>
    <row r="1766" customFormat="false" ht="15.75" hidden="false" customHeight="false" outlineLevel="0" collapsed="false">
      <c r="A1766" s="3" t="n">
        <v>46222</v>
      </c>
      <c r="B1766" s="4" t="s">
        <v>1237</v>
      </c>
      <c r="C1766" s="4" t="n">
        <v>6</v>
      </c>
      <c r="D1766" s="4" t="n">
        <v>1</v>
      </c>
      <c r="E1766" s="4" t="s">
        <v>1777</v>
      </c>
      <c r="F1766" s="4" t="n">
        <v>52</v>
      </c>
      <c r="G1766" s="4" t="n">
        <v>1</v>
      </c>
      <c r="H1766" s="4" t="n">
        <v>1</v>
      </c>
      <c r="I1766" s="4" t="str">
        <v>○</v>
      </c>
      <c r="J1766" s="4" t="n">
        <v>150</v>
      </c>
      <c r="K1766" s="4"/>
      <c r="L1766" s="4"/>
      <c r="M1766" s="5" t="s">
        <v>917</v>
      </c>
    </row>
    <row r="1767" customFormat="false" ht="15.75" hidden="false" customHeight="false" outlineLevel="0" collapsed="false">
      <c r="A1767" s="3" t="n">
        <v>46222</v>
      </c>
      <c r="B1767" s="4" t="s">
        <v>1237</v>
      </c>
      <c r="C1767" s="4" t="n">
        <v>6</v>
      </c>
      <c r="D1767" s="4" t="n">
        <v>2</v>
      </c>
      <c r="E1767" s="4" t="s">
        <v>1778</v>
      </c>
      <c r="F1767" s="4" t="n">
        <v>13</v>
      </c>
      <c r="G1767" s="4" t="n">
        <v>7</v>
      </c>
      <c r="H1767" s="4" t="n">
        <v>4</v>
      </c>
      <c r="I1767" s="4" t="str">
        <v>×</v>
      </c>
      <c r="J1767" s="4"/>
      <c r="K1767" s="4"/>
      <c r="L1767" s="4"/>
      <c r="M1767" s="5" t="s">
        <v>917</v>
      </c>
    </row>
    <row r="1768" customFormat="false" ht="15.75" hidden="false" customHeight="false" outlineLevel="0" collapsed="false">
      <c r="A1768" s="3" t="n">
        <v>46222</v>
      </c>
      <c r="B1768" s="4" t="s">
        <v>1237</v>
      </c>
      <c r="C1768" s="4" t="n">
        <v>6</v>
      </c>
      <c r="D1768" s="4" t="n">
        <v>3</v>
      </c>
      <c r="E1768" s="4" t="s">
        <v>1779</v>
      </c>
      <c r="F1768" s="4" t="n">
        <v>17</v>
      </c>
      <c r="G1768" s="4" t="n">
        <v>5</v>
      </c>
      <c r="H1768" s="4" t="n">
        <v>4</v>
      </c>
      <c r="I1768" s="4" t="str">
        <v>×</v>
      </c>
      <c r="J1768" s="4"/>
      <c r="K1768" s="4"/>
      <c r="L1768" s="4"/>
      <c r="M1768" s="5" t="s">
        <v>917</v>
      </c>
    </row>
    <row r="1769" customFormat="false" ht="15.75" hidden="false" customHeight="false" outlineLevel="0" collapsed="false">
      <c r="A1769" s="3" t="n">
        <v>46222</v>
      </c>
      <c r="B1769" s="4" t="s">
        <v>1237</v>
      </c>
      <c r="C1769" s="4" t="n">
        <v>6</v>
      </c>
      <c r="D1769" s="4" t="n">
        <v>4</v>
      </c>
      <c r="E1769" s="4" t="s">
        <v>1780</v>
      </c>
      <c r="F1769" s="4" t="n">
        <v>10</v>
      </c>
      <c r="G1769" s="4" t="n">
        <v>8</v>
      </c>
      <c r="H1769" s="4" t="n">
        <v>4</v>
      </c>
      <c r="I1769" s="4" t="str">
        <v>×</v>
      </c>
      <c r="J1769" s="4"/>
      <c r="K1769" s="4"/>
      <c r="L1769" s="4"/>
      <c r="M1769" s="5" t="s">
        <v>917</v>
      </c>
    </row>
    <row r="1770" customFormat="false" ht="15.75" hidden="false" customHeight="false" outlineLevel="0" collapsed="false">
      <c r="A1770" s="3" t="n">
        <v>46222</v>
      </c>
      <c r="B1770" s="4" t="s">
        <v>1237</v>
      </c>
      <c r="C1770" s="4" t="n">
        <v>6</v>
      </c>
      <c r="D1770" s="4" t="n">
        <v>5</v>
      </c>
      <c r="E1770" s="4" t="s">
        <v>1781</v>
      </c>
      <c r="F1770" s="4" t="n">
        <v>3</v>
      </c>
      <c r="G1770" s="4" t="n">
        <v>12</v>
      </c>
      <c r="H1770" s="4" t="n">
        <v>4</v>
      </c>
      <c r="I1770" s="4" t="str">
        <v>×</v>
      </c>
      <c r="J1770" s="4"/>
      <c r="K1770" s="4"/>
      <c r="L1770" s="4"/>
      <c r="M1770" s="5" t="s">
        <v>917</v>
      </c>
    </row>
    <row r="1771" customFormat="false" ht="15.75" hidden="false" customHeight="false" outlineLevel="0" collapsed="false">
      <c r="A1771" s="3" t="n">
        <v>46222</v>
      </c>
      <c r="B1771" s="4" t="s">
        <v>1237</v>
      </c>
      <c r="C1771" s="4" t="n">
        <v>6</v>
      </c>
      <c r="D1771" s="4" t="n">
        <v>6</v>
      </c>
      <c r="E1771" s="4" t="s">
        <v>1782</v>
      </c>
      <c r="F1771" s="4" t="n">
        <v>20</v>
      </c>
      <c r="G1771" s="4" t="n">
        <v>4</v>
      </c>
      <c r="H1771" s="4" t="n">
        <v>4</v>
      </c>
      <c r="I1771" s="4" t="str">
        <v>×</v>
      </c>
      <c r="J1771" s="4"/>
      <c r="K1771" s="4"/>
      <c r="L1771" s="4"/>
      <c r="M1771" s="5" t="s">
        <v>917</v>
      </c>
    </row>
    <row r="1772" customFormat="false" ht="15.75" hidden="false" customHeight="false" outlineLevel="0" collapsed="false">
      <c r="A1772" s="3" t="n">
        <v>46222</v>
      </c>
      <c r="B1772" s="4" t="s">
        <v>1237</v>
      </c>
      <c r="C1772" s="4" t="n">
        <v>6</v>
      </c>
      <c r="D1772" s="4" t="n">
        <v>7</v>
      </c>
      <c r="E1772" s="4" t="s">
        <v>1783</v>
      </c>
      <c r="F1772" s="4" t="n">
        <v>6</v>
      </c>
      <c r="G1772" s="4" t="n">
        <v>10</v>
      </c>
      <c r="H1772" s="4" t="n">
        <v>4</v>
      </c>
      <c r="I1772" s="4" t="str">
        <v>×</v>
      </c>
      <c r="J1772" s="4"/>
      <c r="K1772" s="4"/>
      <c r="L1772" s="4"/>
      <c r="M1772" s="5" t="s">
        <v>917</v>
      </c>
    </row>
    <row r="1773" customFormat="false" ht="15.75" hidden="false" customHeight="false" outlineLevel="0" collapsed="false">
      <c r="A1773" s="3" t="n">
        <v>46222</v>
      </c>
      <c r="B1773" s="4" t="s">
        <v>1237</v>
      </c>
      <c r="C1773" s="4" t="n">
        <v>6</v>
      </c>
      <c r="D1773" s="4" t="n">
        <v>8</v>
      </c>
      <c r="E1773" s="4" t="s">
        <v>1784</v>
      </c>
      <c r="F1773" s="4" t="n">
        <v>6</v>
      </c>
      <c r="G1773" s="4" t="n">
        <v>10</v>
      </c>
      <c r="H1773" s="4" t="n">
        <v>4</v>
      </c>
      <c r="I1773" s="4" t="str">
        <v>×</v>
      </c>
      <c r="J1773" s="4"/>
      <c r="K1773" s="4"/>
      <c r="L1773" s="4"/>
      <c r="M1773" s="5" t="s">
        <v>917</v>
      </c>
    </row>
    <row r="1774" customFormat="false" ht="15.75" hidden="false" customHeight="false" outlineLevel="0" collapsed="false">
      <c r="A1774" s="3" t="n">
        <v>46222</v>
      </c>
      <c r="B1774" s="4" t="s">
        <v>1237</v>
      </c>
      <c r="C1774" s="4" t="n">
        <v>6</v>
      </c>
      <c r="D1774" s="4" t="n">
        <v>9</v>
      </c>
      <c r="E1774" s="4" t="s">
        <v>1785</v>
      </c>
      <c r="F1774" s="4" t="n">
        <v>29</v>
      </c>
      <c r="G1774" s="4" t="n">
        <v>3</v>
      </c>
      <c r="H1774" s="4" t="n">
        <v>2</v>
      </c>
      <c r="I1774" s="4" t="str">
        <v>○</v>
      </c>
      <c r="J1774" s="4" t="n">
        <v>240</v>
      </c>
      <c r="K1774" s="4"/>
      <c r="L1774" s="4"/>
      <c r="M1774" s="5" t="s">
        <v>917</v>
      </c>
    </row>
    <row r="1775" customFormat="false" ht="15.75" hidden="false" customHeight="false" outlineLevel="0" collapsed="false">
      <c r="A1775" s="3" t="n">
        <v>46222</v>
      </c>
      <c r="B1775" s="4" t="s">
        <v>1237</v>
      </c>
      <c r="C1775" s="4" t="n">
        <v>6</v>
      </c>
      <c r="D1775" s="4" t="n">
        <v>10</v>
      </c>
      <c r="E1775" s="4" t="s">
        <v>1786</v>
      </c>
      <c r="F1775" s="4" t="n">
        <v>37</v>
      </c>
      <c r="G1775" s="4" t="n">
        <v>2</v>
      </c>
      <c r="H1775" s="4" t="n">
        <v>3</v>
      </c>
      <c r="I1775" s="4" t="str">
        <v>○</v>
      </c>
      <c r="J1775" s="4" t="n">
        <v>130</v>
      </c>
      <c r="K1775" s="4"/>
      <c r="L1775" s="4"/>
      <c r="M1775" s="5" t="s">
        <v>917</v>
      </c>
    </row>
    <row r="1776" customFormat="false" ht="15.75" hidden="false" customHeight="false" outlineLevel="0" collapsed="false">
      <c r="A1776" s="3" t="n">
        <v>46222</v>
      </c>
      <c r="B1776" s="4" t="s">
        <v>1237</v>
      </c>
      <c r="C1776" s="4" t="n">
        <v>6</v>
      </c>
      <c r="D1776" s="4" t="n">
        <v>11</v>
      </c>
      <c r="E1776" s="4" t="s">
        <v>1787</v>
      </c>
      <c r="F1776" s="4" t="n">
        <v>10</v>
      </c>
      <c r="G1776" s="4" t="n">
        <v>8</v>
      </c>
      <c r="H1776" s="4" t="n">
        <v>4</v>
      </c>
      <c r="I1776" s="4" t="str">
        <v>×</v>
      </c>
      <c r="J1776" s="4"/>
      <c r="K1776" s="4"/>
      <c r="L1776" s="4"/>
      <c r="M1776" s="5" t="s">
        <v>917</v>
      </c>
    </row>
    <row r="1777" customFormat="false" ht="15.75" hidden="false" customHeight="false" outlineLevel="0" collapsed="false">
      <c r="A1777" s="3" t="n">
        <v>46222</v>
      </c>
      <c r="B1777" s="4" t="s">
        <v>1237</v>
      </c>
      <c r="C1777" s="4" t="n">
        <v>6</v>
      </c>
      <c r="D1777" s="4" t="n">
        <v>12</v>
      </c>
      <c r="E1777" s="4" t="s">
        <v>1788</v>
      </c>
      <c r="F1777" s="4" t="n">
        <v>15</v>
      </c>
      <c r="G1777" s="4" t="n">
        <v>6</v>
      </c>
      <c r="H1777" s="4" t="n">
        <v>4</v>
      </c>
      <c r="I1777" s="4" t="str">
        <v>×</v>
      </c>
      <c r="J1777" s="4"/>
      <c r="K1777" s="4"/>
      <c r="L1777" s="4"/>
      <c r="M1777" s="5" t="s">
        <v>917</v>
      </c>
    </row>
    <row r="1778" customFormat="false" ht="15.75" hidden="false" customHeight="false" outlineLevel="0" collapsed="false">
      <c r="A1778" s="3" t="n">
        <v>46222</v>
      </c>
      <c r="B1778" s="4" t="s">
        <v>1237</v>
      </c>
      <c r="C1778" s="4" t="n">
        <v>6</v>
      </c>
      <c r="D1778" s="4" t="n">
        <v>13</v>
      </c>
      <c r="E1778" s="4" t="s">
        <v>1789</v>
      </c>
      <c r="F1778" s="4" t="n">
        <v>3</v>
      </c>
      <c r="G1778" s="4" t="n">
        <v>12</v>
      </c>
      <c r="H1778" s="4" t="n">
        <v>4</v>
      </c>
      <c r="I1778" s="4" t="str">
        <v>×</v>
      </c>
      <c r="J1778" s="4"/>
      <c r="K1778" s="4"/>
      <c r="L1778" s="4"/>
      <c r="M1778" s="5" t="s">
        <v>917</v>
      </c>
    </row>
    <row r="1779" customFormat="false" ht="15.75" hidden="false" customHeight="false" outlineLevel="0" collapsed="false">
      <c r="A1779" s="3" t="n">
        <v>46222</v>
      </c>
      <c r="B1779" s="4" t="s">
        <v>1237</v>
      </c>
      <c r="C1779" s="4" t="n">
        <v>6</v>
      </c>
      <c r="D1779" s="4" t="n">
        <v>14</v>
      </c>
      <c r="E1779" s="4" t="s">
        <v>1790</v>
      </c>
      <c r="F1779" s="4" t="n">
        <v>8</v>
      </c>
      <c r="G1779" s="4" t="n">
        <v>9</v>
      </c>
      <c r="H1779" s="4" t="n">
        <v>4</v>
      </c>
      <c r="I1779" s="4" t="str">
        <v>×</v>
      </c>
      <c r="J1779" s="4"/>
      <c r="K1779" s="4"/>
      <c r="L1779" s="4"/>
      <c r="M1779" s="5" t="s">
        <v>917</v>
      </c>
    </row>
    <row r="1780" customFormat="false" ht="15.75" hidden="false" customHeight="false" outlineLevel="0" collapsed="false">
      <c r="A1780" s="3" t="n">
        <v>46222</v>
      </c>
      <c r="B1780" s="4" t="s">
        <v>1237</v>
      </c>
      <c r="C1780" s="4" t="n">
        <v>6</v>
      </c>
      <c r="D1780" s="4" t="n">
        <v>15</v>
      </c>
      <c r="E1780" s="4" t="s">
        <v>1791</v>
      </c>
      <c r="F1780" s="4" t="n">
        <v>4</v>
      </c>
      <c r="G1780" s="4" t="n">
        <v>11</v>
      </c>
      <c r="H1780" s="4" t="n">
        <v>4</v>
      </c>
      <c r="I1780" s="4" t="str">
        <v>×</v>
      </c>
      <c r="J1780" s="4"/>
      <c r="K1780" s="4"/>
      <c r="L1780" s="4"/>
      <c r="M1780" s="5" t="s">
        <v>917</v>
      </c>
    </row>
    <row r="1781" customFormat="false" ht="15.75" hidden="false" customHeight="false" outlineLevel="0" collapsed="false">
      <c r="A1781" s="3" t="n">
        <v>46222</v>
      </c>
      <c r="B1781" s="4" t="s">
        <v>1237</v>
      </c>
      <c r="C1781" s="4" t="n">
        <v>6</v>
      </c>
      <c r="D1781" s="4" t="n">
        <v>16</v>
      </c>
      <c r="E1781" s="4" t="s">
        <v>1792</v>
      </c>
      <c r="F1781" s="4" t="n">
        <v>13</v>
      </c>
      <c r="G1781" s="4" t="n">
        <v>7</v>
      </c>
      <c r="H1781" s="4" t="n">
        <v>4</v>
      </c>
      <c r="I1781" s="4" t="str">
        <v>×</v>
      </c>
      <c r="J1781" s="4"/>
      <c r="K1781" s="4"/>
      <c r="L1781" s="4"/>
      <c r="M1781" s="5" t="s">
        <v>917</v>
      </c>
    </row>
    <row r="1782" customFormat="false" ht="15.75" hidden="false" customHeight="false" outlineLevel="0" collapsed="false">
      <c r="A1782" s="3" t="n">
        <v>46222</v>
      </c>
      <c r="B1782" s="4" t="s">
        <v>1237</v>
      </c>
      <c r="C1782" s="4" t="n">
        <v>7</v>
      </c>
      <c r="D1782" s="4" t="n">
        <v>1</v>
      </c>
      <c r="E1782" s="4" t="s">
        <v>1793</v>
      </c>
      <c r="F1782" s="4" t="n">
        <v>10</v>
      </c>
      <c r="G1782" s="4" t="n">
        <v>7</v>
      </c>
      <c r="H1782" s="4" t="n">
        <v>4</v>
      </c>
      <c r="I1782" s="4" t="str">
        <v>×</v>
      </c>
      <c r="J1782" s="4"/>
      <c r="K1782" s="4"/>
      <c r="L1782" s="4"/>
      <c r="M1782" s="5" t="s">
        <v>917</v>
      </c>
    </row>
    <row r="1783" customFormat="false" ht="15.75" hidden="false" customHeight="false" outlineLevel="0" collapsed="false">
      <c r="A1783" s="3" t="n">
        <v>46222</v>
      </c>
      <c r="B1783" s="4" t="s">
        <v>1237</v>
      </c>
      <c r="C1783" s="4" t="n">
        <v>7</v>
      </c>
      <c r="D1783" s="4" t="n">
        <v>2</v>
      </c>
      <c r="E1783" s="4" t="s">
        <v>1794</v>
      </c>
      <c r="F1783" s="4" t="n">
        <v>20</v>
      </c>
      <c r="G1783" s="4" t="n">
        <v>5</v>
      </c>
      <c r="H1783" s="4" t="n">
        <v>4</v>
      </c>
      <c r="I1783" s="4" t="str">
        <v>×</v>
      </c>
      <c r="J1783" s="4"/>
      <c r="K1783" s="4"/>
      <c r="L1783" s="4"/>
      <c r="M1783" s="5" t="s">
        <v>917</v>
      </c>
    </row>
    <row r="1784" customFormat="false" ht="15.75" hidden="false" customHeight="false" outlineLevel="0" collapsed="false">
      <c r="A1784" s="3" t="n">
        <v>46222</v>
      </c>
      <c r="B1784" s="4" t="s">
        <v>1237</v>
      </c>
      <c r="C1784" s="4" t="n">
        <v>7</v>
      </c>
      <c r="D1784" s="4" t="n">
        <v>3</v>
      </c>
      <c r="E1784" s="4" t="s">
        <v>1795</v>
      </c>
      <c r="F1784" s="4" t="n">
        <v>37</v>
      </c>
      <c r="G1784" s="4" t="n">
        <v>3</v>
      </c>
      <c r="H1784" s="4" t="n">
        <v>4</v>
      </c>
      <c r="I1784" s="4" t="str">
        <v>×</v>
      </c>
      <c r="J1784" s="4"/>
      <c r="K1784" s="4"/>
      <c r="L1784" s="4"/>
      <c r="M1784" s="5" t="s">
        <v>917</v>
      </c>
    </row>
    <row r="1785" customFormat="false" ht="15.75" hidden="false" customHeight="false" outlineLevel="0" collapsed="false">
      <c r="A1785" s="3" t="n">
        <v>46222</v>
      </c>
      <c r="B1785" s="4" t="s">
        <v>1237</v>
      </c>
      <c r="C1785" s="4" t="n">
        <v>7</v>
      </c>
      <c r="D1785" s="4" t="n">
        <v>4</v>
      </c>
      <c r="E1785" s="4" t="s">
        <v>1796</v>
      </c>
      <c r="F1785" s="4" t="n">
        <v>44</v>
      </c>
      <c r="G1785" s="4" t="n">
        <v>2</v>
      </c>
      <c r="H1785" s="4" t="n">
        <v>1</v>
      </c>
      <c r="I1785" s="4" t="str">
        <v>○</v>
      </c>
      <c r="J1785" s="4" t="n">
        <v>130</v>
      </c>
      <c r="K1785" s="4"/>
      <c r="L1785" s="4"/>
      <c r="M1785" s="5" t="s">
        <v>917</v>
      </c>
    </row>
    <row r="1786" customFormat="false" ht="15.75" hidden="false" customHeight="false" outlineLevel="0" collapsed="false">
      <c r="A1786" s="3" t="n">
        <v>46222</v>
      </c>
      <c r="B1786" s="4" t="s">
        <v>1237</v>
      </c>
      <c r="C1786" s="4" t="n">
        <v>7</v>
      </c>
      <c r="D1786" s="4" t="n">
        <v>5</v>
      </c>
      <c r="E1786" s="4" t="s">
        <v>1797</v>
      </c>
      <c r="F1786" s="4" t="n">
        <v>20</v>
      </c>
      <c r="G1786" s="4" t="n">
        <v>5</v>
      </c>
      <c r="H1786" s="4" t="n">
        <v>4</v>
      </c>
      <c r="I1786" s="4" t="str">
        <v>×</v>
      </c>
      <c r="J1786" s="4"/>
      <c r="K1786" s="4"/>
      <c r="L1786" s="4"/>
      <c r="M1786" s="5" t="s">
        <v>917</v>
      </c>
    </row>
    <row r="1787" customFormat="false" ht="15.75" hidden="false" customHeight="false" outlineLevel="0" collapsed="false">
      <c r="A1787" s="3" t="n">
        <v>46222</v>
      </c>
      <c r="B1787" s="4" t="s">
        <v>1237</v>
      </c>
      <c r="C1787" s="4" t="n">
        <v>7</v>
      </c>
      <c r="D1787" s="4" t="n">
        <v>6</v>
      </c>
      <c r="E1787" s="4" t="s">
        <v>1798</v>
      </c>
      <c r="F1787" s="4" t="n">
        <v>50</v>
      </c>
      <c r="G1787" s="4" t="n">
        <v>1</v>
      </c>
      <c r="H1787" s="4" t="n">
        <v>2</v>
      </c>
      <c r="I1787" s="4" t="str">
        <v>○</v>
      </c>
      <c r="J1787" s="4" t="n">
        <v>140</v>
      </c>
      <c r="K1787" s="4"/>
      <c r="L1787" s="4"/>
      <c r="M1787" s="5" t="s">
        <v>917</v>
      </c>
    </row>
    <row r="1788" customFormat="false" ht="15.75" hidden="false" customHeight="false" outlineLevel="0" collapsed="false">
      <c r="A1788" s="3" t="n">
        <v>46222</v>
      </c>
      <c r="B1788" s="4" t="s">
        <v>1237</v>
      </c>
      <c r="C1788" s="4" t="n">
        <v>7</v>
      </c>
      <c r="D1788" s="4" t="n">
        <v>7</v>
      </c>
      <c r="E1788" s="4" t="s">
        <v>1799</v>
      </c>
      <c r="F1788" s="4" t="n">
        <v>17</v>
      </c>
      <c r="G1788" s="4" t="n">
        <v>6</v>
      </c>
      <c r="H1788" s="4" t="n">
        <v>4</v>
      </c>
      <c r="I1788" s="4" t="str">
        <v>×</v>
      </c>
      <c r="J1788" s="4"/>
      <c r="K1788" s="4"/>
      <c r="L1788" s="4"/>
      <c r="M1788" s="5" t="s">
        <v>917</v>
      </c>
    </row>
    <row r="1789" customFormat="false" ht="15.75" hidden="false" customHeight="false" outlineLevel="0" collapsed="false">
      <c r="A1789" s="3" t="n">
        <v>46222</v>
      </c>
      <c r="B1789" s="4" t="s">
        <v>1237</v>
      </c>
      <c r="C1789" s="4" t="n">
        <v>7</v>
      </c>
      <c r="D1789" s="4" t="n">
        <v>8</v>
      </c>
      <c r="E1789" s="4" t="s">
        <v>1800</v>
      </c>
      <c r="F1789" s="4" t="n">
        <v>1</v>
      </c>
      <c r="G1789" s="4" t="n">
        <v>8</v>
      </c>
      <c r="H1789" s="4" t="n">
        <v>4</v>
      </c>
      <c r="I1789" s="4" t="str">
        <v>×</v>
      </c>
      <c r="J1789" s="4"/>
      <c r="K1789" s="4"/>
      <c r="L1789" s="4"/>
      <c r="M1789" s="5" t="s">
        <v>917</v>
      </c>
    </row>
    <row r="1790" customFormat="false" ht="15.75" hidden="false" customHeight="false" outlineLevel="0" collapsed="false">
      <c r="A1790" s="3" t="n">
        <v>46222</v>
      </c>
      <c r="B1790" s="4" t="s">
        <v>1237</v>
      </c>
      <c r="C1790" s="4" t="n">
        <v>7</v>
      </c>
      <c r="D1790" s="4" t="n">
        <v>9</v>
      </c>
      <c r="E1790" s="4" t="s">
        <v>1801</v>
      </c>
      <c r="F1790" s="4" t="n">
        <v>10</v>
      </c>
      <c r="G1790" s="4" t="n">
        <v>7</v>
      </c>
      <c r="H1790" s="4" t="n">
        <v>4</v>
      </c>
      <c r="I1790" s="4" t="str">
        <v>×</v>
      </c>
      <c r="J1790" s="4"/>
      <c r="K1790" s="4"/>
      <c r="L1790" s="4"/>
      <c r="M1790" s="5" t="s">
        <v>917</v>
      </c>
    </row>
    <row r="1791" customFormat="false" ht="15.75" hidden="false" customHeight="false" outlineLevel="0" collapsed="false">
      <c r="A1791" s="3" t="n">
        <v>46222</v>
      </c>
      <c r="B1791" s="4" t="s">
        <v>1237</v>
      </c>
      <c r="C1791" s="4" t="n">
        <v>7</v>
      </c>
      <c r="D1791" s="4" t="n">
        <v>10</v>
      </c>
      <c r="E1791" s="4" t="s">
        <v>1802</v>
      </c>
      <c r="F1791" s="4" t="n">
        <v>25</v>
      </c>
      <c r="G1791" s="4" t="n">
        <v>4</v>
      </c>
      <c r="H1791" s="4" t="n">
        <v>3</v>
      </c>
      <c r="I1791" s="4" t="str">
        <v>○</v>
      </c>
      <c r="J1791" s="4" t="n">
        <v>320</v>
      </c>
      <c r="K1791" s="4"/>
      <c r="L1791" s="4"/>
      <c r="M1791" s="5" t="s">
        <v>917</v>
      </c>
    </row>
    <row r="1792" customFormat="false" ht="15.75" hidden="false" customHeight="false" outlineLevel="0" collapsed="false">
      <c r="A1792" s="3" t="n">
        <v>46222</v>
      </c>
      <c r="B1792" s="4" t="s">
        <v>1237</v>
      </c>
      <c r="C1792" s="4" t="n">
        <v>7</v>
      </c>
      <c r="D1792" s="4" t="n">
        <v>11</v>
      </c>
      <c r="E1792" s="4" t="s">
        <v>1803</v>
      </c>
      <c r="F1792" s="4" t="n">
        <v>17</v>
      </c>
      <c r="G1792" s="4" t="n">
        <v>6</v>
      </c>
      <c r="H1792" s="4" t="n">
        <v>4</v>
      </c>
      <c r="I1792" s="4" t="str">
        <v>×</v>
      </c>
      <c r="J1792" s="4"/>
      <c r="K1792" s="4"/>
      <c r="L1792" s="4"/>
      <c r="M1792" s="5" t="s">
        <v>917</v>
      </c>
    </row>
    <row r="1793" customFormat="false" ht="15.75" hidden="false" customHeight="false" outlineLevel="0" collapsed="false">
      <c r="A1793" s="3" t="n">
        <v>46222</v>
      </c>
      <c r="B1793" s="4" t="s">
        <v>1237</v>
      </c>
      <c r="C1793" s="4" t="n">
        <v>7</v>
      </c>
      <c r="D1793" s="4" t="n">
        <v>12</v>
      </c>
      <c r="E1793" s="4" t="s">
        <v>1804</v>
      </c>
      <c r="F1793" s="4" t="n">
        <v>20</v>
      </c>
      <c r="G1793" s="4" t="n">
        <v>5</v>
      </c>
      <c r="H1793" s="4" t="n">
        <v>4</v>
      </c>
      <c r="I1793" s="4" t="str">
        <v>×</v>
      </c>
      <c r="J1793" s="4"/>
      <c r="K1793" s="4"/>
      <c r="L1793" s="4"/>
      <c r="M1793" s="5" t="s">
        <v>917</v>
      </c>
    </row>
    <row r="1794" customFormat="false" ht="15.75" hidden="false" customHeight="false" outlineLevel="0" collapsed="false">
      <c r="A1794" s="3" t="n">
        <v>46222</v>
      </c>
      <c r="B1794" s="4" t="s">
        <v>1237</v>
      </c>
      <c r="C1794" s="4" t="n">
        <v>7</v>
      </c>
      <c r="D1794" s="4" t="n">
        <v>13</v>
      </c>
      <c r="E1794" s="4" t="s">
        <v>1805</v>
      </c>
      <c r="F1794" s="4" t="n">
        <v>1</v>
      </c>
      <c r="G1794" s="4" t="n">
        <v>8</v>
      </c>
      <c r="H1794" s="4" t="n">
        <v>4</v>
      </c>
      <c r="I1794" s="4" t="str">
        <v>×</v>
      </c>
      <c r="J1794" s="4"/>
      <c r="K1794" s="4"/>
      <c r="L1794" s="4"/>
      <c r="M1794" s="5" t="s">
        <v>917</v>
      </c>
    </row>
    <row r="1795" customFormat="false" ht="15.75" hidden="false" customHeight="false" outlineLevel="0" collapsed="false">
      <c r="A1795" s="3" t="n">
        <v>46222</v>
      </c>
      <c r="B1795" s="4" t="s">
        <v>1237</v>
      </c>
      <c r="C1795" s="4" t="n">
        <v>7</v>
      </c>
      <c r="D1795" s="4" t="n">
        <v>14</v>
      </c>
      <c r="E1795" s="4" t="s">
        <v>1806</v>
      </c>
      <c r="F1795" s="4" t="n">
        <v>50</v>
      </c>
      <c r="G1795" s="4" t="n">
        <v>1</v>
      </c>
      <c r="H1795" s="4" t="n">
        <v>4</v>
      </c>
      <c r="I1795" s="4" t="str">
        <v>×</v>
      </c>
      <c r="J1795" s="4"/>
      <c r="K1795" s="4"/>
      <c r="L1795" s="4"/>
      <c r="M1795" s="5" t="s">
        <v>917</v>
      </c>
    </row>
    <row r="1796" customFormat="false" ht="15.75" hidden="false" customHeight="false" outlineLevel="0" collapsed="false">
      <c r="A1796" s="3" t="n">
        <v>46222</v>
      </c>
      <c r="B1796" s="4" t="s">
        <v>1237</v>
      </c>
      <c r="C1796" s="4" t="n">
        <v>8</v>
      </c>
      <c r="D1796" s="4" t="n">
        <v>1</v>
      </c>
      <c r="E1796" s="4" t="s">
        <v>1807</v>
      </c>
      <c r="F1796" s="4" t="n">
        <v>29</v>
      </c>
      <c r="G1796" s="4" t="n">
        <v>6</v>
      </c>
      <c r="H1796" s="4" t="n">
        <v>4</v>
      </c>
      <c r="I1796" s="4" t="str">
        <v>×</v>
      </c>
      <c r="J1796" s="4"/>
      <c r="K1796" s="4"/>
      <c r="L1796" s="4"/>
      <c r="M1796" s="5" t="s">
        <v>917</v>
      </c>
    </row>
    <row r="1797" customFormat="false" ht="15.75" hidden="false" customHeight="false" outlineLevel="0" collapsed="false">
      <c r="A1797" s="3" t="n">
        <v>46222</v>
      </c>
      <c r="B1797" s="4" t="s">
        <v>1237</v>
      </c>
      <c r="C1797" s="4" t="n">
        <v>8</v>
      </c>
      <c r="D1797" s="4" t="n">
        <v>2</v>
      </c>
      <c r="E1797" s="4" t="s">
        <v>1808</v>
      </c>
      <c r="F1797" s="4" t="n">
        <v>3</v>
      </c>
      <c r="G1797" s="4" t="n">
        <v>10</v>
      </c>
      <c r="H1797" s="4" t="n">
        <v>4</v>
      </c>
      <c r="I1797" s="4" t="str">
        <v>×</v>
      </c>
      <c r="J1797" s="4"/>
      <c r="K1797" s="4"/>
      <c r="L1797" s="4"/>
      <c r="M1797" s="5" t="s">
        <v>917</v>
      </c>
    </row>
    <row r="1798" customFormat="false" ht="15.75" hidden="false" customHeight="false" outlineLevel="0" collapsed="false">
      <c r="A1798" s="3" t="n">
        <v>46222</v>
      </c>
      <c r="B1798" s="4" t="s">
        <v>1237</v>
      </c>
      <c r="C1798" s="4" t="n">
        <v>8</v>
      </c>
      <c r="D1798" s="4" t="n">
        <v>3</v>
      </c>
      <c r="E1798" s="4" t="s">
        <v>1809</v>
      </c>
      <c r="F1798" s="4" t="n">
        <v>39</v>
      </c>
      <c r="G1798" s="4" t="n">
        <v>4</v>
      </c>
      <c r="H1798" s="4" t="n">
        <v>4</v>
      </c>
      <c r="I1798" s="4" t="str">
        <v>×</v>
      </c>
      <c r="J1798" s="4"/>
      <c r="K1798" s="4"/>
      <c r="L1798" s="4"/>
      <c r="M1798" s="5" t="s">
        <v>917</v>
      </c>
    </row>
    <row r="1799" customFormat="false" ht="15.75" hidden="false" customHeight="false" outlineLevel="0" collapsed="false">
      <c r="A1799" s="3" t="n">
        <v>46222</v>
      </c>
      <c r="B1799" s="4" t="s">
        <v>1237</v>
      </c>
      <c r="C1799" s="4" t="n">
        <v>8</v>
      </c>
      <c r="D1799" s="4" t="n">
        <v>4</v>
      </c>
      <c r="E1799" s="4" t="s">
        <v>1810</v>
      </c>
      <c r="F1799" s="4" t="n">
        <v>65</v>
      </c>
      <c r="G1799" s="4" t="n">
        <v>1</v>
      </c>
      <c r="H1799" s="4" t="n">
        <v>2</v>
      </c>
      <c r="I1799" s="4" t="str">
        <v>○</v>
      </c>
      <c r="J1799" s="4" t="n">
        <v>190</v>
      </c>
      <c r="K1799" s="4"/>
      <c r="L1799" s="4"/>
      <c r="M1799" s="5" t="s">
        <v>917</v>
      </c>
    </row>
    <row r="1800" customFormat="false" ht="15.75" hidden="false" customHeight="false" outlineLevel="0" collapsed="false">
      <c r="A1800" s="3" t="n">
        <v>46222</v>
      </c>
      <c r="B1800" s="4" t="s">
        <v>1237</v>
      </c>
      <c r="C1800" s="4" t="n">
        <v>8</v>
      </c>
      <c r="D1800" s="4" t="n">
        <v>5</v>
      </c>
      <c r="E1800" s="4" t="s">
        <v>1811</v>
      </c>
      <c r="F1800" s="4" t="n">
        <v>31</v>
      </c>
      <c r="G1800" s="4" t="n">
        <v>5</v>
      </c>
      <c r="H1800" s="4" t="n">
        <v>3</v>
      </c>
      <c r="I1800" s="4" t="str">
        <v>○</v>
      </c>
      <c r="J1800" s="4" t="n">
        <v>200</v>
      </c>
      <c r="K1800" s="4"/>
      <c r="L1800" s="4"/>
      <c r="M1800" s="5" t="s">
        <v>917</v>
      </c>
    </row>
    <row r="1801" customFormat="false" ht="15.75" hidden="false" customHeight="false" outlineLevel="0" collapsed="false">
      <c r="A1801" s="3" t="n">
        <v>46222</v>
      </c>
      <c r="B1801" s="4" t="s">
        <v>1237</v>
      </c>
      <c r="C1801" s="4" t="n">
        <v>8</v>
      </c>
      <c r="D1801" s="4" t="n">
        <v>6</v>
      </c>
      <c r="E1801" s="4" t="s">
        <v>1812</v>
      </c>
      <c r="F1801" s="4" t="n">
        <v>47</v>
      </c>
      <c r="G1801" s="4" t="n">
        <v>2</v>
      </c>
      <c r="H1801" s="4" t="n">
        <v>4</v>
      </c>
      <c r="I1801" s="4" t="str">
        <v>×</v>
      </c>
      <c r="J1801" s="4"/>
      <c r="K1801" s="4"/>
      <c r="L1801" s="4"/>
      <c r="M1801" s="5" t="s">
        <v>917</v>
      </c>
    </row>
    <row r="1802" customFormat="false" ht="15.75" hidden="false" customHeight="false" outlineLevel="0" collapsed="false">
      <c r="A1802" s="3" t="n">
        <v>46222</v>
      </c>
      <c r="B1802" s="4" t="s">
        <v>1237</v>
      </c>
      <c r="C1802" s="4" t="n">
        <v>8</v>
      </c>
      <c r="D1802" s="4" t="n">
        <v>7</v>
      </c>
      <c r="E1802" s="4" t="s">
        <v>1813</v>
      </c>
      <c r="F1802" s="4" t="n">
        <v>15</v>
      </c>
      <c r="G1802" s="4" t="n">
        <v>9</v>
      </c>
      <c r="H1802" s="4" t="n">
        <v>4</v>
      </c>
      <c r="I1802" s="4" t="str">
        <v>×</v>
      </c>
      <c r="J1802" s="4"/>
      <c r="K1802" s="4"/>
      <c r="L1802" s="4"/>
      <c r="M1802" s="5" t="s">
        <v>917</v>
      </c>
    </row>
    <row r="1803" customFormat="false" ht="15.75" hidden="false" customHeight="false" outlineLevel="0" collapsed="false">
      <c r="A1803" s="3" t="n">
        <v>46222</v>
      </c>
      <c r="B1803" s="4" t="s">
        <v>1237</v>
      </c>
      <c r="C1803" s="4" t="n">
        <v>8</v>
      </c>
      <c r="D1803" s="4" t="n">
        <v>8</v>
      </c>
      <c r="E1803" s="4" t="s">
        <v>1814</v>
      </c>
      <c r="F1803" s="4" t="n">
        <v>41</v>
      </c>
      <c r="G1803" s="4" t="n">
        <v>3</v>
      </c>
      <c r="H1803" s="4" t="n">
        <v>1</v>
      </c>
      <c r="I1803" s="4" t="str">
        <v>○</v>
      </c>
      <c r="J1803" s="4" t="n">
        <v>200</v>
      </c>
      <c r="K1803" s="4"/>
      <c r="L1803" s="4"/>
      <c r="M1803" s="5" t="s">
        <v>917</v>
      </c>
    </row>
    <row r="1804" customFormat="false" ht="15.75" hidden="false" customHeight="false" outlineLevel="0" collapsed="false">
      <c r="A1804" s="3" t="n">
        <v>46222</v>
      </c>
      <c r="B1804" s="4" t="s">
        <v>1237</v>
      </c>
      <c r="C1804" s="4" t="n">
        <v>8</v>
      </c>
      <c r="D1804" s="4" t="n">
        <v>9</v>
      </c>
      <c r="E1804" s="4" t="s">
        <v>1815</v>
      </c>
      <c r="F1804" s="4" t="n">
        <v>20</v>
      </c>
      <c r="G1804" s="4" t="n">
        <v>8</v>
      </c>
      <c r="H1804" s="4" t="n">
        <v>4</v>
      </c>
      <c r="I1804" s="4" t="str">
        <v>×</v>
      </c>
      <c r="J1804" s="4"/>
      <c r="K1804" s="4"/>
      <c r="L1804" s="4"/>
      <c r="M1804" s="5" t="s">
        <v>917</v>
      </c>
    </row>
    <row r="1805" customFormat="false" ht="15.75" hidden="false" customHeight="false" outlineLevel="0" collapsed="false">
      <c r="A1805" s="3" t="n">
        <v>46222</v>
      </c>
      <c r="B1805" s="4" t="s">
        <v>1237</v>
      </c>
      <c r="C1805" s="4" t="n">
        <v>8</v>
      </c>
      <c r="D1805" s="4" t="n">
        <v>10</v>
      </c>
      <c r="E1805" s="4" t="s">
        <v>1816</v>
      </c>
      <c r="F1805" s="4" t="n">
        <v>23</v>
      </c>
      <c r="G1805" s="4" t="n">
        <v>7</v>
      </c>
      <c r="H1805" s="4" t="n">
        <v>4</v>
      </c>
      <c r="I1805" s="4" t="str">
        <v>×</v>
      </c>
      <c r="J1805" s="4"/>
      <c r="K1805" s="4"/>
      <c r="L1805" s="4"/>
      <c r="M1805" s="5" t="s">
        <v>917</v>
      </c>
    </row>
    <row r="1806" customFormat="false" ht="15.75" hidden="false" customHeight="false" outlineLevel="0" collapsed="false">
      <c r="A1806" s="3" t="n">
        <v>46222</v>
      </c>
      <c r="B1806" s="4" t="s">
        <v>1237</v>
      </c>
      <c r="C1806" s="4" t="n">
        <v>9</v>
      </c>
      <c r="D1806" s="4" t="n">
        <v>1</v>
      </c>
      <c r="E1806" s="4" t="s">
        <v>1817</v>
      </c>
      <c r="F1806" s="4" t="n">
        <v>50</v>
      </c>
      <c r="G1806" s="4" t="n">
        <v>2</v>
      </c>
      <c r="H1806" s="4" t="n">
        <v>4</v>
      </c>
      <c r="I1806" s="4" t="str">
        <v>×</v>
      </c>
      <c r="J1806" s="4"/>
      <c r="K1806" s="4"/>
      <c r="L1806" s="4"/>
      <c r="M1806" s="5" t="s">
        <v>917</v>
      </c>
    </row>
    <row r="1807" customFormat="false" ht="15.75" hidden="false" customHeight="false" outlineLevel="0" collapsed="false">
      <c r="A1807" s="3" t="n">
        <v>46222</v>
      </c>
      <c r="B1807" s="4" t="s">
        <v>1237</v>
      </c>
      <c r="C1807" s="4" t="n">
        <v>9</v>
      </c>
      <c r="D1807" s="4" t="n">
        <v>2</v>
      </c>
      <c r="E1807" s="4" t="s">
        <v>1818</v>
      </c>
      <c r="F1807" s="4" t="n">
        <v>62</v>
      </c>
      <c r="G1807" s="4" t="n">
        <v>1</v>
      </c>
      <c r="H1807" s="4" t="n">
        <v>4</v>
      </c>
      <c r="I1807" s="4" t="str">
        <v>×</v>
      </c>
      <c r="J1807" s="4"/>
      <c r="K1807" s="4"/>
      <c r="L1807" s="4"/>
      <c r="M1807" s="5" t="s">
        <v>917</v>
      </c>
    </row>
    <row r="1808" customFormat="false" ht="15.75" hidden="false" customHeight="false" outlineLevel="0" collapsed="false">
      <c r="A1808" s="3" t="n">
        <v>46222</v>
      </c>
      <c r="B1808" s="4" t="s">
        <v>1237</v>
      </c>
      <c r="C1808" s="4" t="n">
        <v>9</v>
      </c>
      <c r="D1808" s="4" t="n">
        <v>3</v>
      </c>
      <c r="E1808" s="4" t="s">
        <v>1819</v>
      </c>
      <c r="F1808" s="4" t="n">
        <v>15</v>
      </c>
      <c r="G1808" s="4" t="n">
        <v>7</v>
      </c>
      <c r="H1808" s="4" t="n">
        <v>4</v>
      </c>
      <c r="I1808" s="4" t="str">
        <v>×</v>
      </c>
      <c r="J1808" s="4"/>
      <c r="K1808" s="4"/>
      <c r="L1808" s="4"/>
      <c r="M1808" s="5" t="s">
        <v>917</v>
      </c>
    </row>
    <row r="1809" customFormat="false" ht="15.75" hidden="false" customHeight="false" outlineLevel="0" collapsed="false">
      <c r="A1809" s="3" t="n">
        <v>46222</v>
      </c>
      <c r="B1809" s="4" t="s">
        <v>1237</v>
      </c>
      <c r="C1809" s="4" t="n">
        <v>9</v>
      </c>
      <c r="D1809" s="4" t="n">
        <v>4</v>
      </c>
      <c r="E1809" s="4" t="s">
        <v>1820</v>
      </c>
      <c r="F1809" s="4" t="n">
        <v>44</v>
      </c>
      <c r="G1809" s="4" t="n">
        <v>3</v>
      </c>
      <c r="H1809" s="4" t="n">
        <v>2</v>
      </c>
      <c r="I1809" s="4" t="str">
        <v>○</v>
      </c>
      <c r="J1809" s="4" t="n">
        <v>140</v>
      </c>
      <c r="K1809" s="4"/>
      <c r="L1809" s="4"/>
      <c r="M1809" s="5" t="s">
        <v>917</v>
      </c>
    </row>
    <row r="1810" customFormat="false" ht="15.75" hidden="false" customHeight="false" outlineLevel="0" collapsed="false">
      <c r="A1810" s="3" t="n">
        <v>46222</v>
      </c>
      <c r="B1810" s="4" t="s">
        <v>1237</v>
      </c>
      <c r="C1810" s="4" t="n">
        <v>9</v>
      </c>
      <c r="D1810" s="4" t="n">
        <v>5</v>
      </c>
      <c r="E1810" s="4" t="s">
        <v>1821</v>
      </c>
      <c r="F1810" s="4" t="n">
        <v>4</v>
      </c>
      <c r="G1810" s="4" t="n">
        <v>10</v>
      </c>
      <c r="H1810" s="4" t="n">
        <v>4</v>
      </c>
      <c r="I1810" s="4" t="str">
        <v>×</v>
      </c>
      <c r="J1810" s="4"/>
      <c r="K1810" s="4"/>
      <c r="L1810" s="4"/>
      <c r="M1810" s="5" t="s">
        <v>917</v>
      </c>
    </row>
    <row r="1811" customFormat="false" ht="15.75" hidden="false" customHeight="false" outlineLevel="0" collapsed="false">
      <c r="A1811" s="3" t="n">
        <v>46222</v>
      </c>
      <c r="B1811" s="4" t="s">
        <v>1237</v>
      </c>
      <c r="C1811" s="4" t="n">
        <v>9</v>
      </c>
      <c r="D1811" s="4" t="n">
        <v>6</v>
      </c>
      <c r="E1811" s="4" t="s">
        <v>1822</v>
      </c>
      <c r="F1811" s="4" t="n">
        <v>20</v>
      </c>
      <c r="G1811" s="4" t="n">
        <v>5</v>
      </c>
      <c r="H1811" s="4" t="n">
        <v>3</v>
      </c>
      <c r="I1811" s="4" t="str">
        <v>○</v>
      </c>
      <c r="J1811" s="4" t="n">
        <v>240</v>
      </c>
      <c r="K1811" s="4"/>
      <c r="L1811" s="4"/>
      <c r="M1811" s="5" t="s">
        <v>917</v>
      </c>
    </row>
    <row r="1812" customFormat="false" ht="15.75" hidden="false" customHeight="false" outlineLevel="0" collapsed="false">
      <c r="A1812" s="3" t="n">
        <v>46222</v>
      </c>
      <c r="B1812" s="4" t="s">
        <v>1237</v>
      </c>
      <c r="C1812" s="4" t="n">
        <v>9</v>
      </c>
      <c r="D1812" s="4" t="n">
        <v>7</v>
      </c>
      <c r="E1812" s="4" t="s">
        <v>1823</v>
      </c>
      <c r="F1812" s="4" t="n">
        <v>13</v>
      </c>
      <c r="G1812" s="4" t="n">
        <v>8</v>
      </c>
      <c r="H1812" s="4" t="n">
        <v>4</v>
      </c>
      <c r="I1812" s="4" t="str">
        <v>×</v>
      </c>
      <c r="J1812" s="4"/>
      <c r="K1812" s="4"/>
      <c r="L1812" s="4"/>
      <c r="M1812" s="5" t="s">
        <v>917</v>
      </c>
    </row>
    <row r="1813" customFormat="false" ht="15.75" hidden="false" customHeight="false" outlineLevel="0" collapsed="false">
      <c r="A1813" s="3" t="n">
        <v>46222</v>
      </c>
      <c r="B1813" s="4" t="s">
        <v>1237</v>
      </c>
      <c r="C1813" s="4" t="n">
        <v>9</v>
      </c>
      <c r="D1813" s="4" t="n">
        <v>8</v>
      </c>
      <c r="E1813" s="4" t="s">
        <v>1824</v>
      </c>
      <c r="F1813" s="4" t="n">
        <v>25</v>
      </c>
      <c r="G1813" s="4" t="n">
        <v>4</v>
      </c>
      <c r="H1813" s="4" t="n">
        <v>4</v>
      </c>
      <c r="I1813" s="4" t="str">
        <v>×</v>
      </c>
      <c r="J1813" s="4"/>
      <c r="K1813" s="4"/>
      <c r="L1813" s="4"/>
      <c r="M1813" s="5" t="s">
        <v>917</v>
      </c>
    </row>
    <row r="1814" customFormat="false" ht="15.75" hidden="false" customHeight="false" outlineLevel="0" collapsed="false">
      <c r="A1814" s="3" t="n">
        <v>46222</v>
      </c>
      <c r="B1814" s="4" t="s">
        <v>1237</v>
      </c>
      <c r="C1814" s="4" t="n">
        <v>9</v>
      </c>
      <c r="D1814" s="4" t="n">
        <v>9</v>
      </c>
      <c r="E1814" s="4" t="s">
        <v>1825</v>
      </c>
      <c r="F1814" s="4" t="n">
        <v>50</v>
      </c>
      <c r="G1814" s="4" t="n">
        <v>2</v>
      </c>
      <c r="H1814" s="4" t="n">
        <v>1</v>
      </c>
      <c r="I1814" s="4" t="str">
        <v>○</v>
      </c>
      <c r="J1814" s="4" t="n">
        <v>110</v>
      </c>
      <c r="K1814" s="4"/>
      <c r="L1814" s="4"/>
      <c r="M1814" s="5" t="s">
        <v>917</v>
      </c>
    </row>
    <row r="1815" customFormat="false" ht="15.75" hidden="false" customHeight="false" outlineLevel="0" collapsed="false">
      <c r="A1815" s="3" t="n">
        <v>46222</v>
      </c>
      <c r="B1815" s="4" t="s">
        <v>1237</v>
      </c>
      <c r="C1815" s="4" t="n">
        <v>9</v>
      </c>
      <c r="D1815" s="4" t="n">
        <v>10</v>
      </c>
      <c r="E1815" s="4" t="s">
        <v>1826</v>
      </c>
      <c r="F1815" s="4" t="n">
        <v>15</v>
      </c>
      <c r="G1815" s="4" t="n">
        <v>7</v>
      </c>
      <c r="H1815" s="4" t="n">
        <v>4</v>
      </c>
      <c r="I1815" s="4" t="str">
        <v>×</v>
      </c>
      <c r="J1815" s="4"/>
      <c r="K1815" s="4"/>
      <c r="L1815" s="4"/>
      <c r="M1815" s="5" t="s">
        <v>917</v>
      </c>
    </row>
    <row r="1816" customFormat="false" ht="15.75" hidden="false" customHeight="false" outlineLevel="0" collapsed="false">
      <c r="A1816" s="3" t="n">
        <v>46222</v>
      </c>
      <c r="B1816" s="4" t="s">
        <v>1237</v>
      </c>
      <c r="C1816" s="4" t="n">
        <v>9</v>
      </c>
      <c r="D1816" s="4" t="n">
        <v>11</v>
      </c>
      <c r="E1816" s="4" t="s">
        <v>1827</v>
      </c>
      <c r="F1816" s="4" t="n">
        <v>6</v>
      </c>
      <c r="G1816" s="4" t="n">
        <v>9</v>
      </c>
      <c r="H1816" s="4" t="n">
        <v>4</v>
      </c>
      <c r="I1816" s="4" t="str">
        <v>×</v>
      </c>
      <c r="J1816" s="4"/>
      <c r="K1816" s="4"/>
      <c r="L1816" s="4"/>
      <c r="M1816" s="5" t="s">
        <v>917</v>
      </c>
    </row>
    <row r="1817" customFormat="false" ht="15.75" hidden="false" customHeight="false" outlineLevel="0" collapsed="false">
      <c r="A1817" s="3" t="n">
        <v>46222</v>
      </c>
      <c r="B1817" s="4" t="s">
        <v>1237</v>
      </c>
      <c r="C1817" s="4" t="n">
        <v>9</v>
      </c>
      <c r="D1817" s="4" t="n">
        <v>12</v>
      </c>
      <c r="E1817" s="4" t="s">
        <v>1828</v>
      </c>
      <c r="F1817" s="4" t="n">
        <v>2</v>
      </c>
      <c r="G1817" s="4" t="n">
        <v>11</v>
      </c>
      <c r="H1817" s="4" t="n">
        <v>4</v>
      </c>
      <c r="I1817" s="4" t="str">
        <v>×</v>
      </c>
      <c r="J1817" s="4"/>
      <c r="K1817" s="4"/>
      <c r="L1817" s="4"/>
      <c r="M1817" s="5" t="s">
        <v>917</v>
      </c>
    </row>
    <row r="1818" customFormat="false" ht="15.75" hidden="false" customHeight="false" outlineLevel="0" collapsed="false">
      <c r="A1818" s="3" t="n">
        <v>46222</v>
      </c>
      <c r="B1818" s="4" t="s">
        <v>1237</v>
      </c>
      <c r="C1818" s="4" t="n">
        <v>9</v>
      </c>
      <c r="D1818" s="4" t="n">
        <v>13</v>
      </c>
      <c r="E1818" s="4" t="s">
        <v>1829</v>
      </c>
      <c r="F1818" s="4" t="n">
        <v>17</v>
      </c>
      <c r="G1818" s="4" t="n">
        <v>6</v>
      </c>
      <c r="H1818" s="4" t="n">
        <v>4</v>
      </c>
      <c r="I1818" s="4" t="str">
        <v>×</v>
      </c>
      <c r="J1818" s="4"/>
      <c r="K1818" s="4"/>
      <c r="L1818" s="4"/>
      <c r="M1818" s="5" t="s">
        <v>917</v>
      </c>
    </row>
    <row r="1819" customFormat="false" ht="15.75" hidden="false" customHeight="false" outlineLevel="0" collapsed="false">
      <c r="A1819" s="3" t="n">
        <v>46222</v>
      </c>
      <c r="B1819" s="4" t="s">
        <v>1237</v>
      </c>
      <c r="C1819" s="4" t="n">
        <v>10</v>
      </c>
      <c r="D1819" s="4" t="n">
        <v>1</v>
      </c>
      <c r="E1819" s="4" t="s">
        <v>1830</v>
      </c>
      <c r="F1819" s="4" t="n">
        <v>41</v>
      </c>
      <c r="G1819" s="4" t="n">
        <v>3</v>
      </c>
      <c r="H1819" s="4" t="n">
        <v>4</v>
      </c>
      <c r="I1819" s="4" t="str">
        <v>×</v>
      </c>
      <c r="J1819" s="4"/>
      <c r="K1819" s="4"/>
      <c r="L1819" s="4"/>
      <c r="M1819" s="5" t="s">
        <v>917</v>
      </c>
    </row>
    <row r="1820" customFormat="false" ht="15.75" hidden="false" customHeight="false" outlineLevel="0" collapsed="false">
      <c r="A1820" s="3" t="n">
        <v>46222</v>
      </c>
      <c r="B1820" s="4" t="s">
        <v>1237</v>
      </c>
      <c r="C1820" s="4" t="n">
        <v>10</v>
      </c>
      <c r="D1820" s="4" t="n">
        <v>2</v>
      </c>
      <c r="E1820" s="4" t="s">
        <v>1831</v>
      </c>
      <c r="F1820" s="4" t="n">
        <v>4</v>
      </c>
      <c r="G1820" s="4" t="n">
        <v>11</v>
      </c>
      <c r="H1820" s="4" t="n">
        <v>4</v>
      </c>
      <c r="I1820" s="4" t="str">
        <v>×</v>
      </c>
      <c r="J1820" s="4"/>
      <c r="K1820" s="4"/>
      <c r="L1820" s="4"/>
      <c r="M1820" s="5" t="s">
        <v>917</v>
      </c>
    </row>
    <row r="1821" customFormat="false" ht="15.75" hidden="false" customHeight="false" outlineLevel="0" collapsed="false">
      <c r="A1821" s="3" t="n">
        <v>46222</v>
      </c>
      <c r="B1821" s="4" t="s">
        <v>1237</v>
      </c>
      <c r="C1821" s="4" t="n">
        <v>10</v>
      </c>
      <c r="D1821" s="4" t="n">
        <v>3</v>
      </c>
      <c r="E1821" s="4" t="s">
        <v>1832</v>
      </c>
      <c r="F1821" s="4" t="n">
        <v>13</v>
      </c>
      <c r="G1821" s="4" t="n">
        <v>9</v>
      </c>
      <c r="H1821" s="4" t="n">
        <v>4</v>
      </c>
      <c r="I1821" s="4" t="str">
        <v>×</v>
      </c>
      <c r="J1821" s="4"/>
      <c r="K1821" s="4"/>
      <c r="L1821" s="4"/>
      <c r="M1821" s="5" t="s">
        <v>917</v>
      </c>
    </row>
    <row r="1822" customFormat="false" ht="15.75" hidden="false" customHeight="false" outlineLevel="0" collapsed="false">
      <c r="A1822" s="3" t="n">
        <v>46222</v>
      </c>
      <c r="B1822" s="4" t="s">
        <v>1237</v>
      </c>
      <c r="C1822" s="4" t="n">
        <v>10</v>
      </c>
      <c r="D1822" s="4" t="n">
        <v>4</v>
      </c>
      <c r="E1822" s="4" t="s">
        <v>1833</v>
      </c>
      <c r="F1822" s="4" t="n">
        <v>15</v>
      </c>
      <c r="G1822" s="4" t="n">
        <v>8</v>
      </c>
      <c r="H1822" s="4" t="n">
        <v>4</v>
      </c>
      <c r="I1822" s="4" t="str">
        <v>×</v>
      </c>
      <c r="J1822" s="4"/>
      <c r="K1822" s="4"/>
      <c r="L1822" s="4"/>
      <c r="M1822" s="5" t="s">
        <v>917</v>
      </c>
    </row>
    <row r="1823" customFormat="false" ht="15.75" hidden="false" customHeight="false" outlineLevel="0" collapsed="false">
      <c r="A1823" s="3" t="n">
        <v>46222</v>
      </c>
      <c r="B1823" s="4" t="s">
        <v>1237</v>
      </c>
      <c r="C1823" s="4" t="n">
        <v>10</v>
      </c>
      <c r="D1823" s="4" t="n">
        <v>5</v>
      </c>
      <c r="E1823" s="4" t="s">
        <v>1834</v>
      </c>
      <c r="F1823" s="4" t="n">
        <v>17</v>
      </c>
      <c r="G1823" s="4" t="n">
        <v>7</v>
      </c>
      <c r="H1823" s="4" t="n">
        <v>4</v>
      </c>
      <c r="I1823" s="4" t="str">
        <v>×</v>
      </c>
      <c r="J1823" s="4"/>
      <c r="K1823" s="4"/>
      <c r="L1823" s="4"/>
      <c r="M1823" s="5" t="s">
        <v>917</v>
      </c>
    </row>
    <row r="1824" customFormat="false" ht="15.75" hidden="false" customHeight="false" outlineLevel="0" collapsed="false">
      <c r="A1824" s="3" t="n">
        <v>46222</v>
      </c>
      <c r="B1824" s="4" t="s">
        <v>1237</v>
      </c>
      <c r="C1824" s="4" t="n">
        <v>10</v>
      </c>
      <c r="D1824" s="4" t="n">
        <v>6</v>
      </c>
      <c r="E1824" s="4" t="s">
        <v>1835</v>
      </c>
      <c r="F1824" s="4" t="n">
        <v>8</v>
      </c>
      <c r="G1824" s="4" t="n">
        <v>10</v>
      </c>
      <c r="H1824" s="4" t="n">
        <v>4</v>
      </c>
      <c r="I1824" s="4" t="str">
        <v>×</v>
      </c>
      <c r="J1824" s="4"/>
      <c r="K1824" s="4"/>
      <c r="L1824" s="4"/>
      <c r="M1824" s="5" t="s">
        <v>917</v>
      </c>
    </row>
    <row r="1825" customFormat="false" ht="15.75" hidden="false" customHeight="false" outlineLevel="0" collapsed="false">
      <c r="A1825" s="3" t="n">
        <v>46222</v>
      </c>
      <c r="B1825" s="4" t="s">
        <v>1237</v>
      </c>
      <c r="C1825" s="4" t="n">
        <v>10</v>
      </c>
      <c r="D1825" s="4" t="n">
        <v>7</v>
      </c>
      <c r="E1825" s="4" t="s">
        <v>460</v>
      </c>
      <c r="F1825" s="4" t="n">
        <v>29</v>
      </c>
      <c r="G1825" s="4" t="n">
        <v>5</v>
      </c>
      <c r="H1825" s="4" t="n">
        <v>4</v>
      </c>
      <c r="I1825" s="4" t="str">
        <v>×</v>
      </c>
      <c r="J1825" s="4"/>
      <c r="K1825" s="4"/>
      <c r="L1825" s="4"/>
      <c r="M1825" s="5" t="s">
        <v>917</v>
      </c>
    </row>
    <row r="1826" customFormat="false" ht="15.75" hidden="false" customHeight="false" outlineLevel="0" collapsed="false">
      <c r="A1826" s="3" t="n">
        <v>46222</v>
      </c>
      <c r="B1826" s="4" t="s">
        <v>1237</v>
      </c>
      <c r="C1826" s="4" t="n">
        <v>10</v>
      </c>
      <c r="D1826" s="4" t="n">
        <v>8</v>
      </c>
      <c r="E1826" s="4" t="s">
        <v>1836</v>
      </c>
      <c r="F1826" s="4" t="n">
        <v>15</v>
      </c>
      <c r="G1826" s="4" t="n">
        <v>8</v>
      </c>
      <c r="H1826" s="4" t="n">
        <v>4</v>
      </c>
      <c r="I1826" s="4" t="str">
        <v>×</v>
      </c>
      <c r="J1826" s="4"/>
      <c r="K1826" s="4"/>
      <c r="L1826" s="4"/>
      <c r="M1826" s="5" t="s">
        <v>917</v>
      </c>
    </row>
    <row r="1827" customFormat="false" ht="15.75" hidden="false" customHeight="false" outlineLevel="0" collapsed="false">
      <c r="A1827" s="3" t="n">
        <v>46222</v>
      </c>
      <c r="B1827" s="4" t="s">
        <v>1237</v>
      </c>
      <c r="C1827" s="4" t="n">
        <v>10</v>
      </c>
      <c r="D1827" s="4" t="n">
        <v>9</v>
      </c>
      <c r="E1827" s="4" t="s">
        <v>1837</v>
      </c>
      <c r="F1827" s="4" t="n">
        <v>34</v>
      </c>
      <c r="G1827" s="4" t="n">
        <v>4</v>
      </c>
      <c r="H1827" s="4" t="n">
        <v>1</v>
      </c>
      <c r="I1827" s="4" t="str">
        <v>○</v>
      </c>
      <c r="J1827" s="4" t="n">
        <v>150</v>
      </c>
      <c r="K1827" s="4"/>
      <c r="L1827" s="4"/>
      <c r="M1827" s="5" t="s">
        <v>917</v>
      </c>
    </row>
    <row r="1828" customFormat="false" ht="15.75" hidden="false" customHeight="false" outlineLevel="0" collapsed="false">
      <c r="A1828" s="3" t="n">
        <v>46222</v>
      </c>
      <c r="B1828" s="4" t="s">
        <v>1237</v>
      </c>
      <c r="C1828" s="4" t="n">
        <v>10</v>
      </c>
      <c r="D1828" s="4" t="n">
        <v>10</v>
      </c>
      <c r="E1828" s="4" t="s">
        <v>1838</v>
      </c>
      <c r="F1828" s="4" t="n">
        <v>17</v>
      </c>
      <c r="G1828" s="4" t="n">
        <v>7</v>
      </c>
      <c r="H1828" s="4" t="n">
        <v>4</v>
      </c>
      <c r="I1828" s="4" t="str">
        <v>×</v>
      </c>
      <c r="J1828" s="4"/>
      <c r="K1828" s="4"/>
      <c r="L1828" s="4"/>
      <c r="M1828" s="5" t="s">
        <v>917</v>
      </c>
    </row>
    <row r="1829" customFormat="false" ht="15.75" hidden="false" customHeight="false" outlineLevel="0" collapsed="false">
      <c r="A1829" s="3" t="n">
        <v>46222</v>
      </c>
      <c r="B1829" s="4" t="s">
        <v>1237</v>
      </c>
      <c r="C1829" s="4" t="n">
        <v>10</v>
      </c>
      <c r="D1829" s="4" t="n">
        <v>11</v>
      </c>
      <c r="E1829" s="4" t="s">
        <v>1839</v>
      </c>
      <c r="F1829" s="4" t="n">
        <v>20</v>
      </c>
      <c r="G1829" s="4" t="n">
        <v>6</v>
      </c>
      <c r="H1829" s="4" t="n">
        <v>4</v>
      </c>
      <c r="I1829" s="4" t="str">
        <v>×</v>
      </c>
      <c r="J1829" s="4"/>
      <c r="K1829" s="4"/>
      <c r="L1829" s="4"/>
      <c r="M1829" s="5" t="s">
        <v>917</v>
      </c>
    </row>
    <row r="1830" customFormat="false" ht="15.75" hidden="false" customHeight="false" outlineLevel="0" collapsed="false">
      <c r="A1830" s="3" t="n">
        <v>46222</v>
      </c>
      <c r="B1830" s="4" t="s">
        <v>1237</v>
      </c>
      <c r="C1830" s="4" t="n">
        <v>10</v>
      </c>
      <c r="D1830" s="4" t="n">
        <v>12</v>
      </c>
      <c r="E1830" s="4" t="s">
        <v>1840</v>
      </c>
      <c r="F1830" s="4" t="n">
        <v>56</v>
      </c>
      <c r="G1830" s="4" t="n">
        <v>1</v>
      </c>
      <c r="H1830" s="4" t="n">
        <v>2</v>
      </c>
      <c r="I1830" s="4" t="str">
        <v>○</v>
      </c>
      <c r="J1830" s="4" t="n">
        <v>120</v>
      </c>
      <c r="K1830" s="4"/>
      <c r="L1830" s="4"/>
      <c r="M1830" s="5" t="s">
        <v>917</v>
      </c>
    </row>
    <row r="1831" customFormat="false" ht="15.75" hidden="false" customHeight="false" outlineLevel="0" collapsed="false">
      <c r="A1831" s="3" t="n">
        <v>46222</v>
      </c>
      <c r="B1831" s="4" t="s">
        <v>1237</v>
      </c>
      <c r="C1831" s="4" t="n">
        <v>10</v>
      </c>
      <c r="D1831" s="4" t="n">
        <v>13</v>
      </c>
      <c r="E1831" s="4" t="s">
        <v>1841</v>
      </c>
      <c r="F1831" s="4" t="n">
        <v>1</v>
      </c>
      <c r="G1831" s="4" t="n">
        <v>12</v>
      </c>
      <c r="H1831" s="4" t="n">
        <v>4</v>
      </c>
      <c r="I1831" s="4" t="str">
        <v>×</v>
      </c>
      <c r="J1831" s="4"/>
      <c r="K1831" s="4"/>
      <c r="L1831" s="4"/>
      <c r="M1831" s="5" t="s">
        <v>917</v>
      </c>
    </row>
    <row r="1832" customFormat="false" ht="15.75" hidden="false" customHeight="false" outlineLevel="0" collapsed="false">
      <c r="A1832" s="3" t="n">
        <v>46222</v>
      </c>
      <c r="B1832" s="4" t="s">
        <v>1237</v>
      </c>
      <c r="C1832" s="4" t="n">
        <v>10</v>
      </c>
      <c r="D1832" s="4" t="n">
        <v>14</v>
      </c>
      <c r="E1832" s="4" t="s">
        <v>1842</v>
      </c>
      <c r="F1832" s="4" t="n">
        <v>52</v>
      </c>
      <c r="G1832" s="4" t="n">
        <v>2</v>
      </c>
      <c r="H1832" s="4" t="n">
        <v>3</v>
      </c>
      <c r="I1832" s="4" t="str">
        <v>○</v>
      </c>
      <c r="J1832" s="4" t="n">
        <v>200</v>
      </c>
      <c r="K1832" s="4"/>
      <c r="L1832" s="4"/>
      <c r="M1832" s="5" t="s">
        <v>917</v>
      </c>
    </row>
    <row r="1833" customFormat="false" ht="15.75" hidden="false" customHeight="false" outlineLevel="0" collapsed="false">
      <c r="A1833" s="3" t="n">
        <v>46222</v>
      </c>
      <c r="B1833" s="4" t="s">
        <v>1237</v>
      </c>
      <c r="C1833" s="4" t="n">
        <v>11</v>
      </c>
      <c r="D1833" s="4" t="n">
        <v>1</v>
      </c>
      <c r="E1833" s="4" t="s">
        <v>1843</v>
      </c>
      <c r="F1833" s="4" t="n">
        <v>13</v>
      </c>
      <c r="G1833" s="4" t="n">
        <v>7</v>
      </c>
      <c r="H1833" s="4" t="n">
        <v>4</v>
      </c>
      <c r="I1833" s="4" t="str">
        <v>×</v>
      </c>
      <c r="J1833" s="4"/>
      <c r="K1833" s="4"/>
      <c r="L1833" s="4"/>
      <c r="M1833" s="5" t="s">
        <v>917</v>
      </c>
    </row>
    <row r="1834" customFormat="false" ht="15.75" hidden="false" customHeight="false" outlineLevel="0" collapsed="false">
      <c r="A1834" s="3" t="n">
        <v>46222</v>
      </c>
      <c r="B1834" s="4" t="s">
        <v>1237</v>
      </c>
      <c r="C1834" s="4" t="n">
        <v>11</v>
      </c>
      <c r="D1834" s="4" t="n">
        <v>2</v>
      </c>
      <c r="E1834" s="4" t="s">
        <v>1844</v>
      </c>
      <c r="F1834" s="4" t="n">
        <v>25</v>
      </c>
      <c r="G1834" s="4" t="n">
        <v>5</v>
      </c>
      <c r="H1834" s="4" t="n">
        <v>3</v>
      </c>
      <c r="I1834" s="4" t="str">
        <v>○</v>
      </c>
      <c r="J1834" s="4" t="n">
        <v>430</v>
      </c>
      <c r="K1834" s="4"/>
      <c r="L1834" s="4"/>
      <c r="M1834" s="5" t="s">
        <v>917</v>
      </c>
    </row>
    <row r="1835" customFormat="false" ht="15.75" hidden="false" customHeight="false" outlineLevel="0" collapsed="false">
      <c r="A1835" s="3" t="n">
        <v>46222</v>
      </c>
      <c r="B1835" s="4" t="s">
        <v>1237</v>
      </c>
      <c r="C1835" s="4" t="n">
        <v>11</v>
      </c>
      <c r="D1835" s="4" t="n">
        <v>3</v>
      </c>
      <c r="E1835" s="4" t="s">
        <v>1845</v>
      </c>
      <c r="F1835" s="4" t="n">
        <v>3</v>
      </c>
      <c r="G1835" s="4" t="n">
        <v>9</v>
      </c>
      <c r="H1835" s="4" t="n">
        <v>4</v>
      </c>
      <c r="I1835" s="4" t="str">
        <v>×</v>
      </c>
      <c r="J1835" s="4"/>
      <c r="K1835" s="4"/>
      <c r="L1835" s="4"/>
      <c r="M1835" s="5" t="s">
        <v>917</v>
      </c>
    </row>
    <row r="1836" customFormat="false" ht="15.75" hidden="false" customHeight="false" outlineLevel="0" collapsed="false">
      <c r="A1836" s="3" t="n">
        <v>46222</v>
      </c>
      <c r="B1836" s="4" t="s">
        <v>1237</v>
      </c>
      <c r="C1836" s="4" t="n">
        <v>11</v>
      </c>
      <c r="D1836" s="4" t="n">
        <v>4</v>
      </c>
      <c r="E1836" s="4" t="s">
        <v>1846</v>
      </c>
      <c r="F1836" s="4" t="n">
        <v>29</v>
      </c>
      <c r="G1836" s="4" t="n">
        <v>4</v>
      </c>
      <c r="H1836" s="4" t="n">
        <v>4</v>
      </c>
      <c r="I1836" s="4" t="str">
        <v>×</v>
      </c>
      <c r="J1836" s="4"/>
      <c r="K1836" s="4"/>
      <c r="L1836" s="4"/>
      <c r="M1836" s="5" t="s">
        <v>917</v>
      </c>
    </row>
    <row r="1837" customFormat="false" ht="15.75" hidden="false" customHeight="false" outlineLevel="0" collapsed="false">
      <c r="A1837" s="3" t="n">
        <v>46222</v>
      </c>
      <c r="B1837" s="4" t="s">
        <v>1237</v>
      </c>
      <c r="C1837" s="4" t="n">
        <v>11</v>
      </c>
      <c r="D1837" s="4" t="n">
        <v>5</v>
      </c>
      <c r="E1837" s="4" t="s">
        <v>1847</v>
      </c>
      <c r="F1837" s="4" t="n">
        <v>23</v>
      </c>
      <c r="G1837" s="4" t="n">
        <v>6</v>
      </c>
      <c r="H1837" s="4" t="n">
        <v>1</v>
      </c>
      <c r="I1837" s="4" t="str">
        <v>○</v>
      </c>
      <c r="J1837" s="4" t="n">
        <v>650</v>
      </c>
      <c r="K1837" s="4"/>
      <c r="L1837" s="4"/>
      <c r="M1837" s="5" t="s">
        <v>917</v>
      </c>
    </row>
    <row r="1838" customFormat="false" ht="15.75" hidden="false" customHeight="false" outlineLevel="0" collapsed="false">
      <c r="A1838" s="3" t="n">
        <v>46222</v>
      </c>
      <c r="B1838" s="4" t="s">
        <v>1237</v>
      </c>
      <c r="C1838" s="4" t="n">
        <v>11</v>
      </c>
      <c r="D1838" s="4" t="n">
        <v>6</v>
      </c>
      <c r="E1838" s="4" t="s">
        <v>1848</v>
      </c>
      <c r="F1838" s="4" t="n">
        <v>4</v>
      </c>
      <c r="G1838" s="4" t="n">
        <v>8</v>
      </c>
      <c r="H1838" s="4" t="n">
        <v>4</v>
      </c>
      <c r="I1838" s="4" t="str">
        <v>×</v>
      </c>
      <c r="J1838" s="4"/>
      <c r="K1838" s="4"/>
      <c r="L1838" s="4"/>
      <c r="M1838" s="5" t="s">
        <v>917</v>
      </c>
    </row>
    <row r="1839" customFormat="false" ht="15.75" hidden="false" customHeight="false" outlineLevel="0" collapsed="false">
      <c r="A1839" s="3" t="n">
        <v>46222</v>
      </c>
      <c r="B1839" s="4" t="s">
        <v>1237</v>
      </c>
      <c r="C1839" s="4" t="n">
        <v>11</v>
      </c>
      <c r="D1839" s="4" t="n">
        <v>7</v>
      </c>
      <c r="E1839" s="4" t="s">
        <v>1849</v>
      </c>
      <c r="F1839" s="4" t="n">
        <v>13</v>
      </c>
      <c r="G1839" s="4" t="n">
        <v>7</v>
      </c>
      <c r="H1839" s="4" t="n">
        <v>4</v>
      </c>
      <c r="I1839" s="4" t="str">
        <v>×</v>
      </c>
      <c r="J1839" s="4"/>
      <c r="K1839" s="4"/>
      <c r="L1839" s="4"/>
      <c r="M1839" s="5" t="s">
        <v>917</v>
      </c>
    </row>
    <row r="1840" customFormat="false" ht="15.75" hidden="false" customHeight="false" outlineLevel="0" collapsed="false">
      <c r="A1840" s="3" t="n">
        <v>46222</v>
      </c>
      <c r="B1840" s="4" t="s">
        <v>1237</v>
      </c>
      <c r="C1840" s="4" t="n">
        <v>11</v>
      </c>
      <c r="D1840" s="4" t="n">
        <v>8</v>
      </c>
      <c r="E1840" s="4" t="s">
        <v>1850</v>
      </c>
      <c r="F1840" s="4" t="n">
        <v>29</v>
      </c>
      <c r="G1840" s="4" t="n">
        <v>4</v>
      </c>
      <c r="H1840" s="4" t="n">
        <v>4</v>
      </c>
      <c r="I1840" s="4" t="str">
        <v>×</v>
      </c>
      <c r="J1840" s="4"/>
      <c r="K1840" s="4"/>
      <c r="L1840" s="4"/>
      <c r="M1840" s="5" t="s">
        <v>917</v>
      </c>
    </row>
    <row r="1841" customFormat="false" ht="15.75" hidden="false" customHeight="false" outlineLevel="0" collapsed="false">
      <c r="A1841" s="3" t="n">
        <v>46222</v>
      </c>
      <c r="B1841" s="4" t="s">
        <v>1237</v>
      </c>
      <c r="C1841" s="4" t="n">
        <v>11</v>
      </c>
      <c r="D1841" s="4" t="n">
        <v>9</v>
      </c>
      <c r="E1841" s="4" t="s">
        <v>1851</v>
      </c>
      <c r="F1841" s="4" t="n">
        <v>29</v>
      </c>
      <c r="G1841" s="4" t="n">
        <v>4</v>
      </c>
      <c r="H1841" s="4" t="n">
        <v>2</v>
      </c>
      <c r="I1841" s="4" t="str">
        <v>○</v>
      </c>
      <c r="J1841" s="4" t="n">
        <v>170</v>
      </c>
      <c r="K1841" s="4"/>
      <c r="L1841" s="4"/>
      <c r="M1841" s="5" t="s">
        <v>917</v>
      </c>
    </row>
    <row r="1842" customFormat="false" ht="15.75" hidden="false" customHeight="false" outlineLevel="0" collapsed="false">
      <c r="A1842" s="3" t="n">
        <v>46222</v>
      </c>
      <c r="B1842" s="4" t="s">
        <v>1237</v>
      </c>
      <c r="C1842" s="4" t="n">
        <v>11</v>
      </c>
      <c r="D1842" s="4" t="n">
        <v>10</v>
      </c>
      <c r="E1842" s="4" t="s">
        <v>1852</v>
      </c>
      <c r="F1842" s="4" t="n">
        <v>41</v>
      </c>
      <c r="G1842" s="4" t="n">
        <v>2</v>
      </c>
      <c r="H1842" s="4" t="n">
        <v>4</v>
      </c>
      <c r="I1842" s="4" t="str">
        <v>×</v>
      </c>
      <c r="J1842" s="4"/>
      <c r="K1842" s="4"/>
      <c r="L1842" s="4"/>
      <c r="M1842" s="5" t="s">
        <v>917</v>
      </c>
    </row>
    <row r="1843" customFormat="false" ht="15.75" hidden="false" customHeight="false" outlineLevel="0" collapsed="false">
      <c r="A1843" s="3" t="n">
        <v>46222</v>
      </c>
      <c r="B1843" s="4" t="s">
        <v>1237</v>
      </c>
      <c r="C1843" s="4" t="n">
        <v>11</v>
      </c>
      <c r="D1843" s="4" t="n">
        <v>11</v>
      </c>
      <c r="E1843" s="4" t="s">
        <v>1853</v>
      </c>
      <c r="F1843" s="4" t="n">
        <v>37</v>
      </c>
      <c r="G1843" s="4" t="n">
        <v>3</v>
      </c>
      <c r="H1843" s="4" t="n">
        <v>4</v>
      </c>
      <c r="I1843" s="4" t="str">
        <v>×</v>
      </c>
      <c r="J1843" s="4"/>
      <c r="K1843" s="4"/>
      <c r="L1843" s="4"/>
      <c r="M1843" s="5" t="s">
        <v>917</v>
      </c>
    </row>
    <row r="1844" customFormat="false" ht="15.75" hidden="false" customHeight="false" outlineLevel="0" collapsed="false">
      <c r="A1844" s="3" t="n">
        <v>46222</v>
      </c>
      <c r="B1844" s="4" t="s">
        <v>1237</v>
      </c>
      <c r="C1844" s="4" t="n">
        <v>11</v>
      </c>
      <c r="D1844" s="4" t="n">
        <v>12</v>
      </c>
      <c r="E1844" s="4" t="s">
        <v>1854</v>
      </c>
      <c r="F1844" s="4" t="n">
        <v>29</v>
      </c>
      <c r="G1844" s="4" t="n">
        <v>4</v>
      </c>
      <c r="H1844" s="4" t="n">
        <v>4</v>
      </c>
      <c r="I1844" s="4" t="str">
        <v>×</v>
      </c>
      <c r="J1844" s="4"/>
      <c r="K1844" s="4"/>
      <c r="L1844" s="4"/>
      <c r="M1844" s="5" t="s">
        <v>917</v>
      </c>
    </row>
    <row r="1845" customFormat="false" ht="15.75" hidden="false" customHeight="false" outlineLevel="0" collapsed="false">
      <c r="A1845" s="3" t="n">
        <v>46222</v>
      </c>
      <c r="B1845" s="4" t="s">
        <v>1237</v>
      </c>
      <c r="C1845" s="4" t="n">
        <v>11</v>
      </c>
      <c r="D1845" s="4" t="n">
        <v>13</v>
      </c>
      <c r="E1845" s="4" t="s">
        <v>1855</v>
      </c>
      <c r="F1845" s="4" t="n">
        <v>58</v>
      </c>
      <c r="G1845" s="4" t="n">
        <v>1</v>
      </c>
      <c r="H1845" s="4" t="n">
        <v>4</v>
      </c>
      <c r="I1845" s="4" t="str">
        <v>×</v>
      </c>
      <c r="J1845" s="4"/>
      <c r="K1845" s="4"/>
      <c r="L1845" s="4"/>
      <c r="M1845" s="5" t="s">
        <v>917</v>
      </c>
    </row>
    <row r="1846" customFormat="false" ht="15.75" hidden="false" customHeight="false" outlineLevel="0" collapsed="false">
      <c r="A1846" s="3" t="n">
        <v>46222</v>
      </c>
      <c r="B1846" s="4" t="s">
        <v>1237</v>
      </c>
      <c r="C1846" s="4" t="n">
        <v>12</v>
      </c>
      <c r="D1846" s="4" t="n">
        <v>1</v>
      </c>
      <c r="E1846" s="4" t="s">
        <v>1856</v>
      </c>
      <c r="F1846" s="4" t="n">
        <v>44</v>
      </c>
      <c r="G1846" s="4" t="n">
        <v>2</v>
      </c>
      <c r="H1846" s="4" t="n">
        <v>2</v>
      </c>
      <c r="I1846" s="4" t="str">
        <v>○</v>
      </c>
      <c r="J1846" s="4" t="n">
        <v>260</v>
      </c>
      <c r="K1846" s="4"/>
      <c r="L1846" s="4"/>
      <c r="M1846" s="5" t="s">
        <v>917</v>
      </c>
    </row>
    <row r="1847" customFormat="false" ht="15.75" hidden="false" customHeight="false" outlineLevel="0" collapsed="false">
      <c r="A1847" s="3" t="n">
        <v>46222</v>
      </c>
      <c r="B1847" s="4" t="s">
        <v>1237</v>
      </c>
      <c r="C1847" s="4" t="n">
        <v>12</v>
      </c>
      <c r="D1847" s="4" t="n">
        <v>2</v>
      </c>
      <c r="E1847" s="4" t="s">
        <v>1857</v>
      </c>
      <c r="F1847" s="4" t="n">
        <v>37</v>
      </c>
      <c r="G1847" s="4" t="n">
        <v>4</v>
      </c>
      <c r="H1847" s="4" t="n">
        <v>4</v>
      </c>
      <c r="I1847" s="4" t="str">
        <v>×</v>
      </c>
      <c r="J1847" s="4"/>
      <c r="K1847" s="4"/>
      <c r="L1847" s="4"/>
      <c r="M1847" s="5" t="s">
        <v>917</v>
      </c>
    </row>
    <row r="1848" customFormat="false" ht="15.75" hidden="false" customHeight="false" outlineLevel="0" collapsed="false">
      <c r="A1848" s="3" t="n">
        <v>46222</v>
      </c>
      <c r="B1848" s="4" t="s">
        <v>1237</v>
      </c>
      <c r="C1848" s="4" t="n">
        <v>12</v>
      </c>
      <c r="D1848" s="4" t="n">
        <v>3</v>
      </c>
      <c r="E1848" s="4" t="s">
        <v>1858</v>
      </c>
      <c r="F1848" s="4" t="n">
        <v>50</v>
      </c>
      <c r="G1848" s="4" t="n">
        <v>1</v>
      </c>
      <c r="H1848" s="4" t="n">
        <v>3</v>
      </c>
      <c r="I1848" s="4" t="str">
        <v>○</v>
      </c>
      <c r="J1848" s="4" t="n">
        <v>180</v>
      </c>
      <c r="K1848" s="4"/>
      <c r="L1848" s="4"/>
      <c r="M1848" s="5" t="s">
        <v>917</v>
      </c>
    </row>
    <row r="1849" customFormat="false" ht="15.75" hidden="false" customHeight="false" outlineLevel="0" collapsed="false">
      <c r="A1849" s="3" t="n">
        <v>46222</v>
      </c>
      <c r="B1849" s="4" t="s">
        <v>1237</v>
      </c>
      <c r="C1849" s="4" t="n">
        <v>12</v>
      </c>
      <c r="D1849" s="4" t="n">
        <v>4</v>
      </c>
      <c r="E1849" s="4" t="s">
        <v>1859</v>
      </c>
      <c r="F1849" s="4" t="n">
        <v>39</v>
      </c>
      <c r="G1849" s="4" t="n">
        <v>3</v>
      </c>
      <c r="H1849" s="4" t="n">
        <v>1</v>
      </c>
      <c r="I1849" s="4" t="str">
        <v>○</v>
      </c>
      <c r="J1849" s="4" t="n">
        <v>170</v>
      </c>
      <c r="K1849" s="4"/>
      <c r="L1849" s="4"/>
      <c r="M1849" s="5" t="s">
        <v>917</v>
      </c>
    </row>
    <row r="1850" customFormat="false" ht="15.75" hidden="false" customHeight="false" outlineLevel="0" collapsed="false">
      <c r="A1850" s="3" t="n">
        <v>46222</v>
      </c>
      <c r="B1850" s="4" t="s">
        <v>1237</v>
      </c>
      <c r="C1850" s="4" t="n">
        <v>12</v>
      </c>
      <c r="D1850" s="4" t="n">
        <v>5</v>
      </c>
      <c r="E1850" s="4" t="s">
        <v>1860</v>
      </c>
      <c r="F1850" s="4" t="n">
        <v>34</v>
      </c>
      <c r="G1850" s="4" t="n">
        <v>5</v>
      </c>
      <c r="H1850" s="4" t="n">
        <v>4</v>
      </c>
      <c r="I1850" s="4" t="str">
        <v>×</v>
      </c>
      <c r="J1850" s="4"/>
      <c r="K1850" s="4"/>
      <c r="L1850" s="4"/>
      <c r="M1850" s="5" t="s">
        <v>917</v>
      </c>
    </row>
    <row r="1851" customFormat="false" ht="15.75" hidden="false" customHeight="false" outlineLevel="0" collapsed="false">
      <c r="A1851" s="3" t="n">
        <v>46222</v>
      </c>
      <c r="B1851" s="4" t="s">
        <v>1237</v>
      </c>
      <c r="C1851" s="4" t="n">
        <v>12</v>
      </c>
      <c r="D1851" s="4" t="n">
        <v>6</v>
      </c>
      <c r="E1851" s="4" t="s">
        <v>1861</v>
      </c>
      <c r="F1851" s="4" t="n">
        <v>3</v>
      </c>
      <c r="G1851" s="4" t="n">
        <v>11</v>
      </c>
      <c r="H1851" s="4" t="n">
        <v>4</v>
      </c>
      <c r="I1851" s="4" t="str">
        <v>×</v>
      </c>
      <c r="J1851" s="4"/>
      <c r="K1851" s="4"/>
      <c r="L1851" s="4"/>
      <c r="M1851" s="5" t="s">
        <v>917</v>
      </c>
    </row>
    <row r="1852" customFormat="false" ht="15.75" hidden="false" customHeight="false" outlineLevel="0" collapsed="false">
      <c r="A1852" s="3" t="n">
        <v>46222</v>
      </c>
      <c r="B1852" s="4" t="s">
        <v>1237</v>
      </c>
      <c r="C1852" s="4" t="n">
        <v>12</v>
      </c>
      <c r="D1852" s="4" t="n">
        <v>7</v>
      </c>
      <c r="E1852" s="4" t="s">
        <v>1862</v>
      </c>
      <c r="F1852" s="4" t="n">
        <v>10</v>
      </c>
      <c r="G1852" s="4" t="n">
        <v>8</v>
      </c>
      <c r="H1852" s="4" t="n">
        <v>4</v>
      </c>
      <c r="I1852" s="4" t="str">
        <v>×</v>
      </c>
      <c r="J1852" s="4"/>
      <c r="K1852" s="4"/>
      <c r="L1852" s="4"/>
      <c r="M1852" s="5" t="s">
        <v>917</v>
      </c>
    </row>
    <row r="1853" customFormat="false" ht="15.75" hidden="false" customHeight="false" outlineLevel="0" collapsed="false">
      <c r="A1853" s="3" t="n">
        <v>46222</v>
      </c>
      <c r="B1853" s="4" t="s">
        <v>1237</v>
      </c>
      <c r="C1853" s="4" t="n">
        <v>12</v>
      </c>
      <c r="D1853" s="4" t="n">
        <v>8</v>
      </c>
      <c r="E1853" s="4" t="s">
        <v>1863</v>
      </c>
      <c r="F1853" s="4" t="n">
        <v>3</v>
      </c>
      <c r="G1853" s="4" t="n">
        <v>11</v>
      </c>
      <c r="H1853" s="4" t="n">
        <v>4</v>
      </c>
      <c r="I1853" s="4" t="str">
        <v>×</v>
      </c>
      <c r="J1853" s="4"/>
      <c r="K1853" s="4"/>
      <c r="L1853" s="4"/>
      <c r="M1853" s="5" t="s">
        <v>917</v>
      </c>
    </row>
    <row r="1854" customFormat="false" ht="15.75" hidden="false" customHeight="false" outlineLevel="0" collapsed="false">
      <c r="A1854" s="3" t="n">
        <v>46222</v>
      </c>
      <c r="B1854" s="4" t="s">
        <v>1237</v>
      </c>
      <c r="C1854" s="4" t="n">
        <v>12</v>
      </c>
      <c r="D1854" s="4" t="n">
        <v>9</v>
      </c>
      <c r="E1854" s="4" t="s">
        <v>1864</v>
      </c>
      <c r="F1854" s="4" t="n">
        <v>6</v>
      </c>
      <c r="G1854" s="4" t="n">
        <v>10</v>
      </c>
      <c r="H1854" s="4" t="n">
        <v>4</v>
      </c>
      <c r="I1854" s="4" t="str">
        <v>×</v>
      </c>
      <c r="J1854" s="4"/>
      <c r="K1854" s="4"/>
      <c r="L1854" s="4"/>
      <c r="M1854" s="5" t="s">
        <v>917</v>
      </c>
    </row>
    <row r="1855" customFormat="false" ht="15.75" hidden="false" customHeight="false" outlineLevel="0" collapsed="false">
      <c r="A1855" s="3" t="n">
        <v>46222</v>
      </c>
      <c r="B1855" s="4" t="s">
        <v>1237</v>
      </c>
      <c r="C1855" s="4" t="n">
        <v>12</v>
      </c>
      <c r="D1855" s="4" t="n">
        <v>10</v>
      </c>
      <c r="E1855" s="4" t="s">
        <v>1865</v>
      </c>
      <c r="F1855" s="4" t="n">
        <v>8</v>
      </c>
      <c r="G1855" s="4" t="n">
        <v>9</v>
      </c>
      <c r="H1855" s="4" t="n">
        <v>4</v>
      </c>
      <c r="I1855" s="4" t="str">
        <v>×</v>
      </c>
      <c r="J1855" s="4"/>
      <c r="K1855" s="4"/>
      <c r="L1855" s="4"/>
      <c r="M1855" s="5" t="s">
        <v>917</v>
      </c>
    </row>
    <row r="1856" customFormat="false" ht="15.75" hidden="false" customHeight="false" outlineLevel="0" collapsed="false">
      <c r="A1856" s="3" t="n">
        <v>46222</v>
      </c>
      <c r="B1856" s="4" t="s">
        <v>1237</v>
      </c>
      <c r="C1856" s="4" t="n">
        <v>12</v>
      </c>
      <c r="D1856" s="4" t="n">
        <v>11</v>
      </c>
      <c r="E1856" s="4" t="s">
        <v>1866</v>
      </c>
      <c r="F1856" s="4" t="n">
        <v>10</v>
      </c>
      <c r="G1856" s="4" t="n">
        <v>8</v>
      </c>
      <c r="H1856" s="4" t="n">
        <v>4</v>
      </c>
      <c r="I1856" s="4" t="str">
        <v>×</v>
      </c>
      <c r="J1856" s="4"/>
      <c r="K1856" s="4"/>
      <c r="L1856" s="4"/>
      <c r="M1856" s="5" t="s">
        <v>917</v>
      </c>
    </row>
    <row r="1857" customFormat="false" ht="15.75" hidden="false" customHeight="false" outlineLevel="0" collapsed="false">
      <c r="A1857" s="3" t="n">
        <v>46222</v>
      </c>
      <c r="B1857" s="4" t="s">
        <v>1237</v>
      </c>
      <c r="C1857" s="4" t="n">
        <v>12</v>
      </c>
      <c r="D1857" s="4" t="n">
        <v>12</v>
      </c>
      <c r="E1857" s="4" t="s">
        <v>1867</v>
      </c>
      <c r="F1857" s="4" t="n">
        <v>20</v>
      </c>
      <c r="G1857" s="4" t="n">
        <v>6</v>
      </c>
      <c r="H1857" s="4" t="n">
        <v>4</v>
      </c>
      <c r="I1857" s="4" t="str">
        <v>×</v>
      </c>
      <c r="J1857" s="4"/>
      <c r="K1857" s="4"/>
      <c r="L1857" s="4"/>
      <c r="M1857" s="5" t="s">
        <v>917</v>
      </c>
    </row>
    <row r="1858" customFormat="false" ht="15.75" hidden="false" customHeight="false" outlineLevel="0" collapsed="false">
      <c r="A1858" s="3" t="n">
        <v>46222</v>
      </c>
      <c r="B1858" s="4" t="s">
        <v>1237</v>
      </c>
      <c r="C1858" s="4" t="n">
        <v>12</v>
      </c>
      <c r="D1858" s="4" t="n">
        <v>13</v>
      </c>
      <c r="E1858" s="4" t="s">
        <v>1868</v>
      </c>
      <c r="F1858" s="4" t="n">
        <v>13</v>
      </c>
      <c r="G1858" s="4" t="n">
        <v>7</v>
      </c>
      <c r="H1858" s="4" t="n">
        <v>4</v>
      </c>
      <c r="I1858" s="4" t="str">
        <v>×</v>
      </c>
      <c r="J1858" s="4"/>
      <c r="K1858" s="4"/>
      <c r="L1858" s="4"/>
      <c r="M1858" s="5" t="s">
        <v>917</v>
      </c>
    </row>
    <row r="1859" customFormat="false" ht="15.75" hidden="false" customHeight="false" outlineLevel="0" collapsed="false">
      <c r="A1859" s="3" t="n">
        <v>46222</v>
      </c>
      <c r="B1859" s="4" t="s">
        <v>1237</v>
      </c>
      <c r="C1859" s="4" t="n">
        <v>12</v>
      </c>
      <c r="D1859" s="4" t="n">
        <v>14</v>
      </c>
      <c r="E1859" s="4" t="s">
        <v>1869</v>
      </c>
      <c r="F1859" s="4" t="n">
        <v>13</v>
      </c>
      <c r="G1859" s="4" t="n">
        <v>7</v>
      </c>
      <c r="H1859" s="4" t="n">
        <v>4</v>
      </c>
      <c r="I1859" s="4" t="str">
        <v>×</v>
      </c>
      <c r="J1859" s="4"/>
      <c r="K1859" s="4"/>
      <c r="L1859" s="4"/>
      <c r="M1859" s="5" t="s">
        <v>917</v>
      </c>
    </row>
    <row r="1860" customFormat="false" ht="15.75" hidden="false" customHeight="false" outlineLevel="0" collapsed="false">
      <c r="A1860" s="3" t="n">
        <v>46214</v>
      </c>
      <c r="B1860" s="4" t="s">
        <v>915</v>
      </c>
      <c r="C1860" s="4" t="n">
        <v>1</v>
      </c>
      <c r="D1860" s="4" t="n">
        <v>1</v>
      </c>
      <c r="E1860" s="4" t="s">
        <v>1870</v>
      </c>
      <c r="F1860" s="4" t="n">
        <v>21</v>
      </c>
      <c r="G1860" s="4" t="n">
        <v>8</v>
      </c>
      <c r="H1860" s="4" t="n">
        <v>4</v>
      </c>
      <c r="I1860" s="4" t="str">
        <v>×</v>
      </c>
      <c r="J1860" s="4"/>
      <c r="K1860" s="4"/>
      <c r="L1860" s="4"/>
      <c r="M1860" s="5" t="s">
        <v>1871</v>
      </c>
    </row>
    <row r="1861" customFormat="false" ht="15.75" hidden="false" customHeight="false" outlineLevel="0" collapsed="false">
      <c r="A1861" s="3" t="n">
        <v>46214</v>
      </c>
      <c r="B1861" s="4" t="s">
        <v>915</v>
      </c>
      <c r="C1861" s="4" t="n">
        <v>1</v>
      </c>
      <c r="D1861" s="4" t="n">
        <v>2</v>
      </c>
      <c r="E1861" s="4" t="s">
        <v>1872</v>
      </c>
      <c r="F1861" s="4" t="n">
        <v>24</v>
      </c>
      <c r="G1861" s="4" t="n">
        <v>5</v>
      </c>
      <c r="H1861" s="4" t="n">
        <v>4</v>
      </c>
      <c r="I1861" s="4" t="str">
        <v>×</v>
      </c>
      <c r="J1861" s="4"/>
      <c r="K1861" s="4"/>
      <c r="L1861" s="4"/>
      <c r="M1861" s="5" t="s">
        <v>1871</v>
      </c>
    </row>
    <row r="1862" customFormat="false" ht="15.75" hidden="false" customHeight="false" outlineLevel="0" collapsed="false">
      <c r="A1862" s="3" t="n">
        <v>46214</v>
      </c>
      <c r="B1862" s="4" t="s">
        <v>915</v>
      </c>
      <c r="C1862" s="4" t="n">
        <v>1</v>
      </c>
      <c r="D1862" s="4" t="n">
        <v>3</v>
      </c>
      <c r="E1862" s="4" t="s">
        <v>1873</v>
      </c>
      <c r="F1862" s="4" t="n">
        <v>55</v>
      </c>
      <c r="G1862" s="4" t="n">
        <v>1</v>
      </c>
      <c r="H1862" s="4" t="n">
        <v>2</v>
      </c>
      <c r="I1862" s="4" t="str">
        <v>○</v>
      </c>
      <c r="J1862" s="4" t="n">
        <v>120</v>
      </c>
      <c r="K1862" s="4"/>
      <c r="L1862" s="4"/>
      <c r="M1862" s="5" t="s">
        <v>1871</v>
      </c>
    </row>
    <row r="1863" customFormat="false" ht="15.75" hidden="false" customHeight="false" outlineLevel="0" collapsed="false">
      <c r="A1863" s="3" t="n">
        <v>46214</v>
      </c>
      <c r="B1863" s="4" t="s">
        <v>915</v>
      </c>
      <c r="C1863" s="4" t="n">
        <v>1</v>
      </c>
      <c r="D1863" s="4" t="n">
        <v>4</v>
      </c>
      <c r="E1863" s="4" t="s">
        <v>1874</v>
      </c>
      <c r="F1863" s="4" t="n">
        <v>6</v>
      </c>
      <c r="G1863" s="4" t="n">
        <v>10</v>
      </c>
      <c r="H1863" s="4" t="n">
        <v>4</v>
      </c>
      <c r="I1863" s="4" t="str">
        <v>×</v>
      </c>
      <c r="J1863" s="4"/>
      <c r="K1863" s="4"/>
      <c r="L1863" s="4"/>
      <c r="M1863" s="5" t="s">
        <v>1871</v>
      </c>
    </row>
    <row r="1864" customFormat="false" ht="15.75" hidden="false" customHeight="false" outlineLevel="0" collapsed="false">
      <c r="A1864" s="3" t="n">
        <v>46214</v>
      </c>
      <c r="B1864" s="4" t="s">
        <v>915</v>
      </c>
      <c r="C1864" s="4" t="n">
        <v>1</v>
      </c>
      <c r="D1864" s="4" t="n">
        <v>5</v>
      </c>
      <c r="E1864" s="4" t="s">
        <v>1875</v>
      </c>
      <c r="F1864" s="4" t="n">
        <v>27</v>
      </c>
      <c r="G1864" s="4" t="n">
        <v>4</v>
      </c>
      <c r="H1864" s="4" t="n">
        <v>4</v>
      </c>
      <c r="I1864" s="4" t="str">
        <v>×</v>
      </c>
      <c r="J1864" s="4"/>
      <c r="K1864" s="4"/>
      <c r="L1864" s="4"/>
      <c r="M1864" s="5" t="s">
        <v>1871</v>
      </c>
    </row>
    <row r="1865" customFormat="false" ht="15.75" hidden="false" customHeight="false" outlineLevel="0" collapsed="false">
      <c r="A1865" s="3" t="n">
        <v>46214</v>
      </c>
      <c r="B1865" s="4" t="s">
        <v>915</v>
      </c>
      <c r="C1865" s="4" t="n">
        <v>1</v>
      </c>
      <c r="D1865" s="4" t="n">
        <v>6</v>
      </c>
      <c r="E1865" s="4" t="s">
        <v>1876</v>
      </c>
      <c r="F1865" s="4" t="n">
        <v>24</v>
      </c>
      <c r="G1865" s="4" t="n">
        <v>5</v>
      </c>
      <c r="H1865" s="4" t="n">
        <v>1</v>
      </c>
      <c r="I1865" s="4" t="str">
        <v>○</v>
      </c>
      <c r="J1865" s="4" t="n">
        <v>190</v>
      </c>
      <c r="K1865" s="4"/>
      <c r="L1865" s="4"/>
      <c r="M1865" s="5" t="s">
        <v>1871</v>
      </c>
    </row>
    <row r="1866" customFormat="false" ht="15.75" hidden="false" customHeight="false" outlineLevel="0" collapsed="false">
      <c r="A1866" s="3" t="n">
        <v>46214</v>
      </c>
      <c r="B1866" s="4" t="s">
        <v>915</v>
      </c>
      <c r="C1866" s="4" t="n">
        <v>1</v>
      </c>
      <c r="D1866" s="4" t="n">
        <v>7</v>
      </c>
      <c r="E1866" s="4" t="s">
        <v>1877</v>
      </c>
      <c r="F1866" s="4" t="n">
        <v>44</v>
      </c>
      <c r="G1866" s="4" t="n">
        <v>2</v>
      </c>
      <c r="H1866" s="4" t="n">
        <v>4</v>
      </c>
      <c r="I1866" s="4" t="str">
        <v>×</v>
      </c>
      <c r="J1866" s="4"/>
      <c r="K1866" s="4"/>
      <c r="L1866" s="4"/>
      <c r="M1866" s="5" t="s">
        <v>1871</v>
      </c>
    </row>
    <row r="1867" customFormat="false" ht="15.75" hidden="false" customHeight="false" outlineLevel="0" collapsed="false">
      <c r="A1867" s="3" t="n">
        <v>46214</v>
      </c>
      <c r="B1867" s="4" t="s">
        <v>915</v>
      </c>
      <c r="C1867" s="4" t="n">
        <v>1</v>
      </c>
      <c r="D1867" s="4" t="n">
        <v>8</v>
      </c>
      <c r="E1867" s="4" t="s">
        <v>1878</v>
      </c>
      <c r="F1867" s="4" t="n">
        <v>31</v>
      </c>
      <c r="G1867" s="4" t="n">
        <v>3</v>
      </c>
      <c r="H1867" s="4" t="n">
        <v>4</v>
      </c>
      <c r="I1867" s="4" t="str">
        <v>×</v>
      </c>
      <c r="J1867" s="4"/>
      <c r="K1867" s="4"/>
      <c r="L1867" s="4"/>
      <c r="M1867" s="5" t="s">
        <v>1871</v>
      </c>
    </row>
    <row r="1868" customFormat="false" ht="15.75" hidden="false" customHeight="false" outlineLevel="0" collapsed="false">
      <c r="A1868" s="3" t="n">
        <v>46214</v>
      </c>
      <c r="B1868" s="4" t="s">
        <v>915</v>
      </c>
      <c r="C1868" s="4" t="n">
        <v>1</v>
      </c>
      <c r="D1868" s="4" t="n">
        <v>9</v>
      </c>
      <c r="E1868" s="4" t="s">
        <v>1879</v>
      </c>
      <c r="F1868" s="4" t="n">
        <v>24</v>
      </c>
      <c r="G1868" s="4" t="n">
        <v>5</v>
      </c>
      <c r="H1868" s="4" t="n">
        <v>4</v>
      </c>
      <c r="I1868" s="4" t="str">
        <v>×</v>
      </c>
      <c r="J1868" s="4"/>
      <c r="K1868" s="4"/>
      <c r="L1868" s="4"/>
      <c r="M1868" s="5" t="s">
        <v>1871</v>
      </c>
    </row>
    <row r="1869" customFormat="false" ht="15.75" hidden="false" customHeight="false" outlineLevel="0" collapsed="false">
      <c r="A1869" s="3" t="n">
        <v>46214</v>
      </c>
      <c r="B1869" s="4" t="s">
        <v>915</v>
      </c>
      <c r="C1869" s="4" t="n">
        <v>1</v>
      </c>
      <c r="D1869" s="4" t="n">
        <v>10</v>
      </c>
      <c r="E1869" s="4" t="s">
        <v>120</v>
      </c>
      <c r="F1869" s="4" t="n">
        <v>8</v>
      </c>
      <c r="G1869" s="4" t="n">
        <v>9</v>
      </c>
      <c r="H1869" s="4" t="n">
        <v>4</v>
      </c>
      <c r="I1869" s="4" t="str">
        <v>×</v>
      </c>
      <c r="J1869" s="4"/>
      <c r="K1869" s="4"/>
      <c r="L1869" s="4"/>
      <c r="M1869" s="5" t="s">
        <v>1871</v>
      </c>
    </row>
    <row r="1870" customFormat="false" ht="15.75" hidden="false" customHeight="false" outlineLevel="0" collapsed="false">
      <c r="A1870" s="3" t="n">
        <v>46214</v>
      </c>
      <c r="B1870" s="4" t="s">
        <v>915</v>
      </c>
      <c r="C1870" s="4" t="n">
        <v>1</v>
      </c>
      <c r="D1870" s="4" t="n">
        <v>11</v>
      </c>
      <c r="E1870" s="4" t="s">
        <v>1880</v>
      </c>
      <c r="F1870" s="4" t="n">
        <v>6</v>
      </c>
      <c r="G1870" s="4" t="n">
        <v>10</v>
      </c>
      <c r="H1870" s="4" t="n">
        <v>3</v>
      </c>
      <c r="I1870" s="4" t="str">
        <v>○</v>
      </c>
      <c r="J1870" s="4" t="n">
        <v>920</v>
      </c>
      <c r="K1870" s="4"/>
      <c r="L1870" s="4"/>
      <c r="M1870" s="5" t="s">
        <v>1871</v>
      </c>
    </row>
    <row r="1871" customFormat="false" ht="15.75" hidden="false" customHeight="false" outlineLevel="0" collapsed="false">
      <c r="A1871" s="3" t="n">
        <v>46214</v>
      </c>
      <c r="B1871" s="4" t="s">
        <v>915</v>
      </c>
      <c r="C1871" s="4" t="n">
        <v>2</v>
      </c>
      <c r="D1871" s="4" t="n">
        <v>1</v>
      </c>
      <c r="E1871" s="4" t="s">
        <v>1881</v>
      </c>
      <c r="F1871" s="4" t="n">
        <v>47</v>
      </c>
      <c r="G1871" s="4" t="n">
        <v>2</v>
      </c>
      <c r="H1871" s="4" t="n">
        <v>4</v>
      </c>
      <c r="I1871" s="4" t="str">
        <v>×</v>
      </c>
      <c r="J1871" s="4"/>
      <c r="K1871" s="4"/>
      <c r="L1871" s="4"/>
      <c r="M1871" s="5" t="s">
        <v>1871</v>
      </c>
    </row>
    <row r="1872" customFormat="false" ht="15.75" hidden="false" customHeight="false" outlineLevel="0" collapsed="false">
      <c r="A1872" s="3" t="n">
        <v>46214</v>
      </c>
      <c r="B1872" s="4" t="s">
        <v>915</v>
      </c>
      <c r="C1872" s="4" t="n">
        <v>2</v>
      </c>
      <c r="D1872" s="4" t="n">
        <v>2</v>
      </c>
      <c r="E1872" s="4" t="s">
        <v>798</v>
      </c>
      <c r="F1872" s="4" t="n">
        <v>17</v>
      </c>
      <c r="G1872" s="4" t="n">
        <v>6</v>
      </c>
      <c r="H1872" s="4" t="n">
        <v>2</v>
      </c>
      <c r="I1872" s="4" t="str">
        <v>○</v>
      </c>
      <c r="J1872" s="4" t="n">
        <v>180</v>
      </c>
      <c r="K1872" s="4"/>
      <c r="L1872" s="4"/>
      <c r="M1872" s="5" t="s">
        <v>1871</v>
      </c>
    </row>
    <row r="1873" customFormat="false" ht="15.75" hidden="false" customHeight="false" outlineLevel="0" collapsed="false">
      <c r="A1873" s="3" t="n">
        <v>46214</v>
      </c>
      <c r="B1873" s="4" t="s">
        <v>915</v>
      </c>
      <c r="C1873" s="4" t="n">
        <v>2</v>
      </c>
      <c r="D1873" s="4" t="n">
        <v>3</v>
      </c>
      <c r="E1873" s="4" t="s">
        <v>1882</v>
      </c>
      <c r="F1873" s="4" t="n">
        <v>23</v>
      </c>
      <c r="G1873" s="4" t="n">
        <v>4</v>
      </c>
      <c r="H1873" s="4" t="n">
        <v>4</v>
      </c>
      <c r="I1873" s="4" t="str">
        <v>×</v>
      </c>
      <c r="J1873" s="4"/>
      <c r="K1873" s="4"/>
      <c r="L1873" s="4"/>
      <c r="M1873" s="5" t="s">
        <v>1871</v>
      </c>
    </row>
    <row r="1874" customFormat="false" ht="15.75" hidden="false" customHeight="false" outlineLevel="0" collapsed="false">
      <c r="A1874" s="3" t="n">
        <v>46214</v>
      </c>
      <c r="B1874" s="4" t="s">
        <v>915</v>
      </c>
      <c r="C1874" s="4" t="n">
        <v>2</v>
      </c>
      <c r="D1874" s="4" t="n">
        <v>4</v>
      </c>
      <c r="E1874" s="4" t="s">
        <v>1883</v>
      </c>
      <c r="F1874" s="4" t="n">
        <v>4</v>
      </c>
      <c r="G1874" s="4" t="n">
        <v>13</v>
      </c>
      <c r="H1874" s="4" t="n">
        <v>4</v>
      </c>
      <c r="I1874" s="4" t="str">
        <v>×</v>
      </c>
      <c r="J1874" s="4"/>
      <c r="K1874" s="4"/>
      <c r="L1874" s="4"/>
      <c r="M1874" s="5" t="s">
        <v>1871</v>
      </c>
    </row>
    <row r="1875" customFormat="false" ht="15.75" hidden="false" customHeight="false" outlineLevel="0" collapsed="false">
      <c r="A1875" s="3" t="n">
        <v>46214</v>
      </c>
      <c r="B1875" s="4" t="s">
        <v>915</v>
      </c>
      <c r="C1875" s="4" t="n">
        <v>2</v>
      </c>
      <c r="D1875" s="4" t="n">
        <v>5</v>
      </c>
      <c r="E1875" s="4" t="s">
        <v>1884</v>
      </c>
      <c r="F1875" s="4" t="n">
        <v>66</v>
      </c>
      <c r="G1875" s="4" t="n">
        <v>1</v>
      </c>
      <c r="H1875" s="4" t="n">
        <v>3</v>
      </c>
      <c r="I1875" s="4" t="str">
        <v>○</v>
      </c>
      <c r="J1875" s="4" t="n">
        <v>140</v>
      </c>
      <c r="K1875" s="4"/>
      <c r="L1875" s="4"/>
      <c r="M1875" s="5" t="s">
        <v>1871</v>
      </c>
    </row>
    <row r="1876" customFormat="false" ht="15.75" hidden="false" customHeight="false" outlineLevel="0" collapsed="false">
      <c r="A1876" s="3" t="n">
        <v>46214</v>
      </c>
      <c r="B1876" s="4" t="s">
        <v>915</v>
      </c>
      <c r="C1876" s="4" t="n">
        <v>2</v>
      </c>
      <c r="D1876" s="4" t="n">
        <v>6</v>
      </c>
      <c r="E1876" s="4" t="s">
        <v>1885</v>
      </c>
      <c r="F1876" s="4" t="n">
        <v>44</v>
      </c>
      <c r="G1876" s="4" t="n">
        <v>3</v>
      </c>
      <c r="H1876" s="4" t="n">
        <v>1</v>
      </c>
      <c r="I1876" s="4" t="str">
        <v>○</v>
      </c>
      <c r="J1876" s="4" t="n">
        <v>120</v>
      </c>
      <c r="K1876" s="4"/>
      <c r="L1876" s="4"/>
      <c r="M1876" s="5" t="s">
        <v>1871</v>
      </c>
    </row>
    <row r="1877" customFormat="false" ht="15.75" hidden="false" customHeight="false" outlineLevel="0" collapsed="false">
      <c r="A1877" s="3" t="n">
        <v>46214</v>
      </c>
      <c r="B1877" s="4" t="s">
        <v>915</v>
      </c>
      <c r="C1877" s="4" t="n">
        <v>2</v>
      </c>
      <c r="D1877" s="4" t="n">
        <v>7</v>
      </c>
      <c r="E1877" s="4" t="s">
        <v>1886</v>
      </c>
      <c r="F1877" s="4" t="n">
        <v>10</v>
      </c>
      <c r="G1877" s="4" t="n">
        <v>8</v>
      </c>
      <c r="H1877" s="4" t="n">
        <v>4</v>
      </c>
      <c r="I1877" s="4" t="str">
        <v>×</v>
      </c>
      <c r="J1877" s="4"/>
      <c r="K1877" s="4"/>
      <c r="L1877" s="4"/>
      <c r="M1877" s="5" t="s">
        <v>1871</v>
      </c>
    </row>
    <row r="1878" customFormat="false" ht="15.75" hidden="false" customHeight="false" outlineLevel="0" collapsed="false">
      <c r="A1878" s="3" t="n">
        <v>46214</v>
      </c>
      <c r="B1878" s="4" t="s">
        <v>915</v>
      </c>
      <c r="C1878" s="4" t="n">
        <v>2</v>
      </c>
      <c r="D1878" s="4" t="n">
        <v>8</v>
      </c>
      <c r="E1878" s="4" t="s">
        <v>1887</v>
      </c>
      <c r="F1878" s="4" t="n">
        <v>4</v>
      </c>
      <c r="G1878" s="4" t="n">
        <v>13</v>
      </c>
      <c r="H1878" s="4" t="n">
        <v>4</v>
      </c>
      <c r="I1878" s="4" t="str">
        <v>×</v>
      </c>
      <c r="J1878" s="4"/>
      <c r="K1878" s="4"/>
      <c r="L1878" s="4"/>
      <c r="M1878" s="5" t="s">
        <v>1871</v>
      </c>
    </row>
    <row r="1879" customFormat="false" ht="15.75" hidden="false" customHeight="false" outlineLevel="0" collapsed="false">
      <c r="A1879" s="3" t="n">
        <v>46214</v>
      </c>
      <c r="B1879" s="4" t="s">
        <v>915</v>
      </c>
      <c r="C1879" s="4" t="n">
        <v>2</v>
      </c>
      <c r="D1879" s="4" t="n">
        <v>9</v>
      </c>
      <c r="E1879" s="4" t="s">
        <v>1888</v>
      </c>
      <c r="F1879" s="4" t="n">
        <v>6</v>
      </c>
      <c r="G1879" s="4" t="n">
        <v>10</v>
      </c>
      <c r="H1879" s="4" t="n">
        <v>4</v>
      </c>
      <c r="I1879" s="4" t="str">
        <v>×</v>
      </c>
      <c r="J1879" s="4"/>
      <c r="K1879" s="4"/>
      <c r="L1879" s="4"/>
      <c r="M1879" s="5" t="s">
        <v>1871</v>
      </c>
    </row>
    <row r="1880" customFormat="false" ht="15.75" hidden="false" customHeight="false" outlineLevel="0" collapsed="false">
      <c r="A1880" s="3" t="n">
        <v>46214</v>
      </c>
      <c r="B1880" s="4" t="s">
        <v>915</v>
      </c>
      <c r="C1880" s="4" t="n">
        <v>2</v>
      </c>
      <c r="D1880" s="4" t="n">
        <v>10</v>
      </c>
      <c r="E1880" s="4" t="s">
        <v>131</v>
      </c>
      <c r="F1880" s="4" t="n">
        <v>6</v>
      </c>
      <c r="G1880" s="4" t="n">
        <v>10</v>
      </c>
      <c r="H1880" s="4" t="n">
        <v>4</v>
      </c>
      <c r="I1880" s="4" t="str">
        <v>×</v>
      </c>
      <c r="J1880" s="4"/>
      <c r="K1880" s="4"/>
      <c r="L1880" s="4"/>
      <c r="M1880" s="5" t="s">
        <v>1871</v>
      </c>
    </row>
    <row r="1881" customFormat="false" ht="15.75" hidden="false" customHeight="false" outlineLevel="0" collapsed="false">
      <c r="A1881" s="3" t="n">
        <v>46214</v>
      </c>
      <c r="B1881" s="4" t="s">
        <v>915</v>
      </c>
      <c r="C1881" s="4" t="n">
        <v>2</v>
      </c>
      <c r="D1881" s="4" t="n">
        <v>11</v>
      </c>
      <c r="E1881" s="4" t="s">
        <v>1889</v>
      </c>
      <c r="F1881" s="4" t="n">
        <v>17</v>
      </c>
      <c r="G1881" s="4" t="n">
        <v>6</v>
      </c>
      <c r="H1881" s="4" t="n">
        <v>4</v>
      </c>
      <c r="I1881" s="4" t="str">
        <v>×</v>
      </c>
      <c r="J1881" s="4"/>
      <c r="K1881" s="4"/>
      <c r="L1881" s="4"/>
      <c r="M1881" s="5" t="s">
        <v>1871</v>
      </c>
    </row>
    <row r="1882" customFormat="false" ht="15.75" hidden="false" customHeight="false" outlineLevel="0" collapsed="false">
      <c r="A1882" s="3" t="n">
        <v>46214</v>
      </c>
      <c r="B1882" s="4" t="s">
        <v>915</v>
      </c>
      <c r="C1882" s="4" t="n">
        <v>2</v>
      </c>
      <c r="D1882" s="4" t="n">
        <v>12</v>
      </c>
      <c r="E1882" s="4" t="s">
        <v>1890</v>
      </c>
      <c r="F1882" s="4" t="n">
        <v>8</v>
      </c>
      <c r="G1882" s="4" t="n">
        <v>9</v>
      </c>
      <c r="H1882" s="4" t="n">
        <v>4</v>
      </c>
      <c r="I1882" s="4" t="str">
        <v>×</v>
      </c>
      <c r="J1882" s="4"/>
      <c r="K1882" s="4"/>
      <c r="L1882" s="4"/>
      <c r="M1882" s="5" t="s">
        <v>1871</v>
      </c>
    </row>
    <row r="1883" customFormat="false" ht="15.75" hidden="false" customHeight="false" outlineLevel="0" collapsed="false">
      <c r="A1883" s="3" t="n">
        <v>46214</v>
      </c>
      <c r="B1883" s="4" t="s">
        <v>915</v>
      </c>
      <c r="C1883" s="4" t="n">
        <v>2</v>
      </c>
      <c r="D1883" s="4" t="n">
        <v>13</v>
      </c>
      <c r="E1883" s="4" t="s">
        <v>1891</v>
      </c>
      <c r="F1883" s="4" t="n">
        <v>3</v>
      </c>
      <c r="G1883" s="4" t="n">
        <v>15</v>
      </c>
      <c r="H1883" s="4" t="n">
        <v>4</v>
      </c>
      <c r="I1883" s="4" t="str">
        <v>×</v>
      </c>
      <c r="J1883" s="4"/>
      <c r="K1883" s="4"/>
      <c r="L1883" s="4"/>
      <c r="M1883" s="5" t="s">
        <v>1871</v>
      </c>
    </row>
    <row r="1884" customFormat="false" ht="15.75" hidden="false" customHeight="false" outlineLevel="0" collapsed="false">
      <c r="A1884" s="3" t="n">
        <v>46214</v>
      </c>
      <c r="B1884" s="4" t="s">
        <v>915</v>
      </c>
      <c r="C1884" s="4" t="n">
        <v>2</v>
      </c>
      <c r="D1884" s="4" t="n">
        <v>14</v>
      </c>
      <c r="E1884" s="4" t="s">
        <v>1892</v>
      </c>
      <c r="F1884" s="4" t="n">
        <v>6</v>
      </c>
      <c r="G1884" s="4" t="n">
        <v>10</v>
      </c>
      <c r="H1884" s="4" t="n">
        <v>4</v>
      </c>
      <c r="I1884" s="4" t="str">
        <v>×</v>
      </c>
      <c r="J1884" s="4"/>
      <c r="K1884" s="4"/>
      <c r="L1884" s="4"/>
      <c r="M1884" s="5" t="s">
        <v>1871</v>
      </c>
    </row>
    <row r="1885" customFormat="false" ht="15.75" hidden="false" customHeight="false" outlineLevel="0" collapsed="false">
      <c r="A1885" s="3" t="n">
        <v>46214</v>
      </c>
      <c r="B1885" s="4" t="s">
        <v>915</v>
      </c>
      <c r="C1885" s="4" t="n">
        <v>2</v>
      </c>
      <c r="D1885" s="4" t="n">
        <v>15</v>
      </c>
      <c r="E1885" s="4" t="s">
        <v>1893</v>
      </c>
      <c r="F1885" s="4" t="n">
        <v>20</v>
      </c>
      <c r="G1885" s="4" t="n">
        <v>5</v>
      </c>
      <c r="H1885" s="4" t="n">
        <v>4</v>
      </c>
      <c r="I1885" s="4" t="str">
        <v>×</v>
      </c>
      <c r="J1885" s="4"/>
      <c r="K1885" s="4"/>
      <c r="L1885" s="4"/>
      <c r="M1885" s="5" t="s">
        <v>1871</v>
      </c>
    </row>
    <row r="1886" customFormat="false" ht="15.75" hidden="false" customHeight="false" outlineLevel="0" collapsed="false">
      <c r="A1886" s="3" t="n">
        <v>46214</v>
      </c>
      <c r="B1886" s="4" t="s">
        <v>915</v>
      </c>
      <c r="C1886" s="4" t="n">
        <v>3</v>
      </c>
      <c r="D1886" s="4" t="n">
        <v>1</v>
      </c>
      <c r="E1886" s="4" t="s">
        <v>1894</v>
      </c>
      <c r="F1886" s="4" t="n">
        <v>47</v>
      </c>
      <c r="G1886" s="4" t="n">
        <v>2</v>
      </c>
      <c r="H1886" s="4" t="n">
        <v>1</v>
      </c>
      <c r="I1886" s="4" t="str">
        <v>○</v>
      </c>
      <c r="J1886" s="4" t="n">
        <v>140</v>
      </c>
      <c r="K1886" s="4"/>
      <c r="L1886" s="4"/>
      <c r="M1886" s="5" t="s">
        <v>1871</v>
      </c>
    </row>
    <row r="1887" customFormat="false" ht="15.75" hidden="false" customHeight="false" outlineLevel="0" collapsed="false">
      <c r="A1887" s="3" t="n">
        <v>46214</v>
      </c>
      <c r="B1887" s="4" t="s">
        <v>915</v>
      </c>
      <c r="C1887" s="4" t="n">
        <v>3</v>
      </c>
      <c r="D1887" s="4" t="n">
        <v>2</v>
      </c>
      <c r="E1887" s="4" t="s">
        <v>1895</v>
      </c>
      <c r="F1887" s="4" t="n">
        <v>50</v>
      </c>
      <c r="G1887" s="4" t="n">
        <v>1</v>
      </c>
      <c r="H1887" s="4" t="n">
        <v>4</v>
      </c>
      <c r="I1887" s="4" t="str">
        <v>×</v>
      </c>
      <c r="J1887" s="4"/>
      <c r="K1887" s="4"/>
      <c r="L1887" s="4"/>
      <c r="M1887" s="5" t="s">
        <v>1871</v>
      </c>
    </row>
    <row r="1888" customFormat="false" ht="15.75" hidden="false" customHeight="false" outlineLevel="0" collapsed="false">
      <c r="A1888" s="3" t="n">
        <v>46214</v>
      </c>
      <c r="B1888" s="4" t="s">
        <v>915</v>
      </c>
      <c r="C1888" s="4" t="n">
        <v>3</v>
      </c>
      <c r="D1888" s="4" t="n">
        <v>3</v>
      </c>
      <c r="E1888" s="4" t="s">
        <v>1896</v>
      </c>
      <c r="F1888" s="4" t="n">
        <v>13</v>
      </c>
      <c r="G1888" s="4" t="n">
        <v>8</v>
      </c>
      <c r="H1888" s="4" t="n">
        <v>4</v>
      </c>
      <c r="I1888" s="4" t="str">
        <v>×</v>
      </c>
      <c r="J1888" s="4"/>
      <c r="K1888" s="4"/>
      <c r="L1888" s="4"/>
      <c r="M1888" s="5" t="s">
        <v>1871</v>
      </c>
    </row>
    <row r="1889" customFormat="false" ht="15.75" hidden="false" customHeight="false" outlineLevel="0" collapsed="false">
      <c r="A1889" s="3" t="n">
        <v>46214</v>
      </c>
      <c r="B1889" s="4" t="s">
        <v>915</v>
      </c>
      <c r="C1889" s="4" t="n">
        <v>3</v>
      </c>
      <c r="D1889" s="4" t="n">
        <v>4</v>
      </c>
      <c r="E1889" s="4" t="s">
        <v>1897</v>
      </c>
      <c r="F1889" s="4" t="n">
        <v>29</v>
      </c>
      <c r="G1889" s="4" t="n">
        <v>4</v>
      </c>
      <c r="H1889" s="4" t="n">
        <v>3</v>
      </c>
      <c r="I1889" s="4" t="str">
        <v>○</v>
      </c>
      <c r="J1889" s="4" t="n">
        <v>170</v>
      </c>
      <c r="K1889" s="4"/>
      <c r="L1889" s="4"/>
      <c r="M1889" s="5" t="s">
        <v>1871</v>
      </c>
    </row>
    <row r="1890" customFormat="false" ht="15.75" hidden="false" customHeight="false" outlineLevel="0" collapsed="false">
      <c r="A1890" s="3" t="n">
        <v>46214</v>
      </c>
      <c r="B1890" s="4" t="s">
        <v>915</v>
      </c>
      <c r="C1890" s="4" t="n">
        <v>3</v>
      </c>
      <c r="D1890" s="4" t="n">
        <v>5</v>
      </c>
      <c r="E1890" s="4" t="s">
        <v>1898</v>
      </c>
      <c r="F1890" s="4" t="n">
        <v>13</v>
      </c>
      <c r="G1890" s="4" t="n">
        <v>8</v>
      </c>
      <c r="H1890" s="4" t="n">
        <v>4</v>
      </c>
      <c r="I1890" s="4" t="str">
        <v>×</v>
      </c>
      <c r="J1890" s="4"/>
      <c r="K1890" s="4"/>
      <c r="L1890" s="4"/>
      <c r="M1890" s="5" t="s">
        <v>1871</v>
      </c>
    </row>
    <row r="1891" customFormat="false" ht="15.75" hidden="false" customHeight="false" outlineLevel="0" collapsed="false">
      <c r="A1891" s="3" t="n">
        <v>46214</v>
      </c>
      <c r="B1891" s="4" t="s">
        <v>915</v>
      </c>
      <c r="C1891" s="4" t="n">
        <v>3</v>
      </c>
      <c r="D1891" s="4" t="n">
        <v>6</v>
      </c>
      <c r="E1891" s="4" t="s">
        <v>1899</v>
      </c>
      <c r="F1891" s="4" t="n">
        <v>20</v>
      </c>
      <c r="G1891" s="4" t="n">
        <v>6</v>
      </c>
      <c r="H1891" s="4" t="n">
        <v>4</v>
      </c>
      <c r="I1891" s="4" t="str">
        <v>×</v>
      </c>
      <c r="J1891" s="4"/>
      <c r="K1891" s="4"/>
      <c r="L1891" s="4"/>
      <c r="M1891" s="5" t="s">
        <v>1871</v>
      </c>
    </row>
    <row r="1892" customFormat="false" ht="15.75" hidden="false" customHeight="false" outlineLevel="0" collapsed="false">
      <c r="A1892" s="3" t="n">
        <v>46214</v>
      </c>
      <c r="B1892" s="4" t="s">
        <v>915</v>
      </c>
      <c r="C1892" s="4" t="n">
        <v>3</v>
      </c>
      <c r="D1892" s="4" t="n">
        <v>7</v>
      </c>
      <c r="E1892" s="4" t="s">
        <v>1900</v>
      </c>
      <c r="F1892" s="4" t="n">
        <v>4</v>
      </c>
      <c r="G1892" s="4" t="n">
        <v>11</v>
      </c>
      <c r="H1892" s="4" t="n">
        <v>4</v>
      </c>
      <c r="I1892" s="4" t="str">
        <v>×</v>
      </c>
      <c r="J1892" s="4"/>
      <c r="K1892" s="4"/>
      <c r="L1892" s="4"/>
      <c r="M1892" s="5" t="s">
        <v>1871</v>
      </c>
    </row>
    <row r="1893" customFormat="false" ht="15.75" hidden="false" customHeight="false" outlineLevel="0" collapsed="false">
      <c r="A1893" s="3" t="n">
        <v>46214</v>
      </c>
      <c r="B1893" s="4" t="s">
        <v>915</v>
      </c>
      <c r="C1893" s="4" t="n">
        <v>3</v>
      </c>
      <c r="D1893" s="4" t="n">
        <v>8</v>
      </c>
      <c r="E1893" s="4" t="s">
        <v>1901</v>
      </c>
      <c r="F1893" s="4" t="n">
        <v>17</v>
      </c>
      <c r="G1893" s="4" t="n">
        <v>7</v>
      </c>
      <c r="H1893" s="4" t="n">
        <v>4</v>
      </c>
      <c r="I1893" s="4" t="str">
        <v>×</v>
      </c>
      <c r="J1893" s="4"/>
      <c r="K1893" s="4"/>
      <c r="L1893" s="4"/>
      <c r="M1893" s="5" t="s">
        <v>1871</v>
      </c>
    </row>
    <row r="1894" customFormat="false" ht="15.75" hidden="false" customHeight="false" outlineLevel="0" collapsed="false">
      <c r="A1894" s="3" t="n">
        <v>46214</v>
      </c>
      <c r="B1894" s="4" t="s">
        <v>915</v>
      </c>
      <c r="C1894" s="4" t="n">
        <v>3</v>
      </c>
      <c r="D1894" s="4" t="n">
        <v>9</v>
      </c>
      <c r="E1894" s="4" t="s">
        <v>1902</v>
      </c>
      <c r="F1894" s="4" t="n">
        <v>41</v>
      </c>
      <c r="G1894" s="4" t="n">
        <v>3</v>
      </c>
      <c r="H1894" s="4" t="n">
        <v>2</v>
      </c>
      <c r="I1894" s="4" t="str">
        <v>○</v>
      </c>
      <c r="J1894" s="4" t="n">
        <v>160</v>
      </c>
      <c r="K1894" s="4"/>
      <c r="L1894" s="4"/>
      <c r="M1894" s="5" t="s">
        <v>1871</v>
      </c>
    </row>
    <row r="1895" customFormat="false" ht="15.75" hidden="false" customHeight="false" outlineLevel="0" collapsed="false">
      <c r="A1895" s="3" t="n">
        <v>46214</v>
      </c>
      <c r="B1895" s="4" t="s">
        <v>915</v>
      </c>
      <c r="C1895" s="4" t="n">
        <v>3</v>
      </c>
      <c r="D1895" s="4" t="n">
        <v>10</v>
      </c>
      <c r="E1895" s="4" t="s">
        <v>1903</v>
      </c>
      <c r="F1895" s="4" t="n">
        <v>4</v>
      </c>
      <c r="G1895" s="4" t="n">
        <v>11</v>
      </c>
      <c r="H1895" s="4" t="n">
        <v>4</v>
      </c>
      <c r="I1895" s="4" t="str">
        <v>×</v>
      </c>
      <c r="J1895" s="4"/>
      <c r="K1895" s="4"/>
      <c r="L1895" s="4"/>
      <c r="M1895" s="5" t="s">
        <v>1871</v>
      </c>
    </row>
    <row r="1896" customFormat="false" ht="15.75" hidden="false" customHeight="false" outlineLevel="0" collapsed="false">
      <c r="A1896" s="3" t="n">
        <v>46214</v>
      </c>
      <c r="B1896" s="4" t="s">
        <v>915</v>
      </c>
      <c r="C1896" s="4" t="n">
        <v>3</v>
      </c>
      <c r="D1896" s="4" t="n">
        <v>11</v>
      </c>
      <c r="E1896" s="4" t="s">
        <v>1904</v>
      </c>
      <c r="F1896" s="4" t="n">
        <v>3</v>
      </c>
      <c r="G1896" s="4" t="n">
        <v>13</v>
      </c>
      <c r="H1896" s="4" t="n">
        <v>4</v>
      </c>
      <c r="I1896" s="4" t="str">
        <v>×</v>
      </c>
      <c r="J1896" s="4"/>
      <c r="K1896" s="4"/>
      <c r="L1896" s="4"/>
      <c r="M1896" s="5" t="s">
        <v>1871</v>
      </c>
    </row>
    <row r="1897" customFormat="false" ht="15.75" hidden="false" customHeight="false" outlineLevel="0" collapsed="false">
      <c r="A1897" s="3" t="n">
        <v>46214</v>
      </c>
      <c r="B1897" s="4" t="s">
        <v>915</v>
      </c>
      <c r="C1897" s="4" t="n">
        <v>3</v>
      </c>
      <c r="D1897" s="4" t="n">
        <v>12</v>
      </c>
      <c r="E1897" s="4" t="s">
        <v>1905</v>
      </c>
      <c r="F1897" s="4" t="n">
        <v>6</v>
      </c>
      <c r="G1897" s="4" t="n">
        <v>10</v>
      </c>
      <c r="H1897" s="4" t="n">
        <v>4</v>
      </c>
      <c r="I1897" s="4" t="str">
        <v>×</v>
      </c>
      <c r="J1897" s="4"/>
      <c r="K1897" s="4"/>
      <c r="L1897" s="4"/>
      <c r="M1897" s="5" t="s">
        <v>1871</v>
      </c>
    </row>
    <row r="1898" customFormat="false" ht="15.75" hidden="false" customHeight="false" outlineLevel="0" collapsed="false">
      <c r="A1898" s="3" t="n">
        <v>46214</v>
      </c>
      <c r="B1898" s="4" t="s">
        <v>915</v>
      </c>
      <c r="C1898" s="4" t="n">
        <v>3</v>
      </c>
      <c r="D1898" s="4" t="n">
        <v>13</v>
      </c>
      <c r="E1898" s="4" t="s">
        <v>1906</v>
      </c>
      <c r="F1898" s="4" t="n">
        <v>3</v>
      </c>
      <c r="G1898" s="4" t="n">
        <v>13</v>
      </c>
      <c r="H1898" s="4" t="n">
        <v>4</v>
      </c>
      <c r="I1898" s="4" t="str">
        <v>×</v>
      </c>
      <c r="J1898" s="4"/>
      <c r="K1898" s="4"/>
      <c r="L1898" s="4"/>
      <c r="M1898" s="5" t="s">
        <v>1871</v>
      </c>
    </row>
    <row r="1899" customFormat="false" ht="15.75" hidden="false" customHeight="false" outlineLevel="0" collapsed="false">
      <c r="A1899" s="3" t="n">
        <v>46214</v>
      </c>
      <c r="B1899" s="4" t="s">
        <v>915</v>
      </c>
      <c r="C1899" s="4" t="n">
        <v>3</v>
      </c>
      <c r="D1899" s="4" t="n">
        <v>14</v>
      </c>
      <c r="E1899" s="4" t="s">
        <v>1907</v>
      </c>
      <c r="F1899" s="4" t="n">
        <v>25</v>
      </c>
      <c r="G1899" s="4" t="n">
        <v>5</v>
      </c>
      <c r="H1899" s="4" t="n">
        <v>4</v>
      </c>
      <c r="I1899" s="4" t="str">
        <v>×</v>
      </c>
      <c r="J1899" s="4"/>
      <c r="K1899" s="4"/>
      <c r="L1899" s="4"/>
      <c r="M1899" s="5" t="s">
        <v>1871</v>
      </c>
    </row>
    <row r="1900" customFormat="false" ht="15.75" hidden="false" customHeight="false" outlineLevel="0" collapsed="false">
      <c r="A1900" s="3" t="n">
        <v>46214</v>
      </c>
      <c r="B1900" s="4" t="s">
        <v>915</v>
      </c>
      <c r="C1900" s="4" t="n">
        <v>4</v>
      </c>
      <c r="D1900" s="4" t="n">
        <v>1</v>
      </c>
      <c r="E1900" s="4" t="s">
        <v>1908</v>
      </c>
      <c r="F1900" s="4" t="n">
        <v>10</v>
      </c>
      <c r="G1900" s="4" t="n">
        <v>7</v>
      </c>
      <c r="H1900" s="4" t="n">
        <v>4</v>
      </c>
      <c r="I1900" s="4" t="str">
        <v>×</v>
      </c>
      <c r="J1900" s="4"/>
      <c r="K1900" s="4"/>
      <c r="L1900" s="4"/>
      <c r="M1900" s="5" t="s">
        <v>1871</v>
      </c>
    </row>
    <row r="1901" customFormat="false" ht="15.75" hidden="false" customHeight="false" outlineLevel="0" collapsed="false">
      <c r="A1901" s="3" t="n">
        <v>46214</v>
      </c>
      <c r="B1901" s="4" t="s">
        <v>915</v>
      </c>
      <c r="C1901" s="4" t="n">
        <v>4</v>
      </c>
      <c r="D1901" s="4" t="n">
        <v>2</v>
      </c>
      <c r="E1901" s="4" t="s">
        <v>1909</v>
      </c>
      <c r="F1901" s="4" t="n">
        <v>1</v>
      </c>
      <c r="G1901" s="4" t="n">
        <v>15</v>
      </c>
      <c r="H1901" s="4" t="n">
        <v>4</v>
      </c>
      <c r="I1901" s="4" t="str">
        <v>×</v>
      </c>
      <c r="J1901" s="4"/>
      <c r="K1901" s="4"/>
      <c r="L1901" s="4"/>
      <c r="M1901" s="5" t="s">
        <v>1871</v>
      </c>
    </row>
    <row r="1902" customFormat="false" ht="15.75" hidden="false" customHeight="false" outlineLevel="0" collapsed="false">
      <c r="A1902" s="3" t="n">
        <v>46214</v>
      </c>
      <c r="B1902" s="4" t="s">
        <v>915</v>
      </c>
      <c r="C1902" s="4" t="n">
        <v>4</v>
      </c>
      <c r="D1902" s="4" t="n">
        <v>3</v>
      </c>
      <c r="E1902" s="4" t="s">
        <v>600</v>
      </c>
      <c r="F1902" s="4" t="n">
        <v>2</v>
      </c>
      <c r="G1902" s="4" t="n">
        <v>14</v>
      </c>
      <c r="H1902" s="4" t="n">
        <v>4</v>
      </c>
      <c r="I1902" s="4" t="str">
        <v>×</v>
      </c>
      <c r="J1902" s="4"/>
      <c r="K1902" s="4"/>
      <c r="L1902" s="4"/>
      <c r="M1902" s="5" t="s">
        <v>1871</v>
      </c>
    </row>
    <row r="1903" customFormat="false" ht="15.75" hidden="false" customHeight="false" outlineLevel="0" collapsed="false">
      <c r="A1903" s="3" t="n">
        <v>46214</v>
      </c>
      <c r="B1903" s="4" t="s">
        <v>915</v>
      </c>
      <c r="C1903" s="4" t="n">
        <v>4</v>
      </c>
      <c r="D1903" s="4" t="n">
        <v>4</v>
      </c>
      <c r="E1903" s="4" t="s">
        <v>1910</v>
      </c>
      <c r="F1903" s="4" t="n">
        <v>34</v>
      </c>
      <c r="G1903" s="4" t="n">
        <v>5</v>
      </c>
      <c r="H1903" s="4" t="n">
        <v>3</v>
      </c>
      <c r="I1903" s="4" t="str">
        <v>○</v>
      </c>
      <c r="J1903" s="4" t="n">
        <v>140</v>
      </c>
      <c r="K1903" s="4"/>
      <c r="L1903" s="4"/>
      <c r="M1903" s="5" t="s">
        <v>1871</v>
      </c>
    </row>
    <row r="1904" customFormat="false" ht="15.75" hidden="false" customHeight="false" outlineLevel="0" collapsed="false">
      <c r="A1904" s="3" t="n">
        <v>46214</v>
      </c>
      <c r="B1904" s="4" t="s">
        <v>915</v>
      </c>
      <c r="C1904" s="4" t="n">
        <v>4</v>
      </c>
      <c r="D1904" s="4" t="n">
        <v>5</v>
      </c>
      <c r="E1904" s="4" t="s">
        <v>1911</v>
      </c>
      <c r="F1904" s="4" t="n">
        <v>44</v>
      </c>
      <c r="G1904" s="4" t="n">
        <v>3</v>
      </c>
      <c r="H1904" s="4" t="n">
        <v>2</v>
      </c>
      <c r="I1904" s="4" t="str">
        <v>○</v>
      </c>
      <c r="J1904" s="4" t="n">
        <v>140</v>
      </c>
      <c r="K1904" s="4"/>
      <c r="L1904" s="4"/>
      <c r="M1904" s="5" t="s">
        <v>1871</v>
      </c>
    </row>
    <row r="1905" customFormat="false" ht="15.75" hidden="false" customHeight="false" outlineLevel="0" collapsed="false">
      <c r="A1905" s="3" t="n">
        <v>46214</v>
      </c>
      <c r="B1905" s="4" t="s">
        <v>915</v>
      </c>
      <c r="C1905" s="4" t="n">
        <v>4</v>
      </c>
      <c r="D1905" s="4" t="n">
        <v>6</v>
      </c>
      <c r="E1905" s="4" t="s">
        <v>1912</v>
      </c>
      <c r="F1905" s="4" t="n">
        <v>6</v>
      </c>
      <c r="G1905" s="4" t="n">
        <v>10</v>
      </c>
      <c r="H1905" s="4" t="n">
        <v>4</v>
      </c>
      <c r="I1905" s="4" t="str">
        <v>×</v>
      </c>
      <c r="J1905" s="4"/>
      <c r="K1905" s="4"/>
      <c r="L1905" s="4"/>
      <c r="M1905" s="5" t="s">
        <v>1871</v>
      </c>
    </row>
    <row r="1906" customFormat="false" ht="15.75" hidden="false" customHeight="false" outlineLevel="0" collapsed="false">
      <c r="A1906" s="3" t="n">
        <v>46214</v>
      </c>
      <c r="B1906" s="4" t="s">
        <v>915</v>
      </c>
      <c r="C1906" s="4" t="n">
        <v>4</v>
      </c>
      <c r="D1906" s="4" t="n">
        <v>7</v>
      </c>
      <c r="E1906" s="4" t="s">
        <v>1913</v>
      </c>
      <c r="F1906" s="4" t="n">
        <v>10</v>
      </c>
      <c r="G1906" s="4" t="n">
        <v>7</v>
      </c>
      <c r="H1906" s="4" t="n">
        <v>4</v>
      </c>
      <c r="I1906" s="4" t="str">
        <v>×</v>
      </c>
      <c r="J1906" s="4"/>
      <c r="K1906" s="4"/>
      <c r="L1906" s="4"/>
      <c r="M1906" s="5" t="s">
        <v>1871</v>
      </c>
    </row>
    <row r="1907" customFormat="false" ht="15.75" hidden="false" customHeight="false" outlineLevel="0" collapsed="false">
      <c r="A1907" s="3" t="n">
        <v>46214</v>
      </c>
      <c r="B1907" s="4" t="s">
        <v>915</v>
      </c>
      <c r="C1907" s="4" t="n">
        <v>4</v>
      </c>
      <c r="D1907" s="4" t="n">
        <v>8</v>
      </c>
      <c r="E1907" s="4" t="s">
        <v>1914</v>
      </c>
      <c r="F1907" s="4" t="n">
        <v>44</v>
      </c>
      <c r="G1907" s="4" t="n">
        <v>3</v>
      </c>
      <c r="H1907" s="4" t="n">
        <v>4</v>
      </c>
      <c r="I1907" s="4" t="str">
        <v>×</v>
      </c>
      <c r="J1907" s="4"/>
      <c r="K1907" s="4"/>
      <c r="L1907" s="4"/>
      <c r="M1907" s="5" t="s">
        <v>1871</v>
      </c>
    </row>
    <row r="1908" customFormat="false" ht="15.75" hidden="false" customHeight="false" outlineLevel="0" collapsed="false">
      <c r="A1908" s="3" t="n">
        <v>46214</v>
      </c>
      <c r="B1908" s="4" t="s">
        <v>915</v>
      </c>
      <c r="C1908" s="4" t="n">
        <v>4</v>
      </c>
      <c r="D1908" s="4" t="n">
        <v>9</v>
      </c>
      <c r="E1908" s="4" t="s">
        <v>1915</v>
      </c>
      <c r="F1908" s="4" t="n">
        <v>4</v>
      </c>
      <c r="G1908" s="4" t="n">
        <v>11</v>
      </c>
      <c r="H1908" s="4" t="n">
        <v>4</v>
      </c>
      <c r="I1908" s="4" t="str">
        <v>×</v>
      </c>
      <c r="J1908" s="4"/>
      <c r="K1908" s="4"/>
      <c r="L1908" s="4"/>
      <c r="M1908" s="5" t="s">
        <v>1871</v>
      </c>
    </row>
    <row r="1909" customFormat="false" ht="15.75" hidden="false" customHeight="false" outlineLevel="0" collapsed="false">
      <c r="A1909" s="3" t="n">
        <v>46214</v>
      </c>
      <c r="B1909" s="4" t="s">
        <v>915</v>
      </c>
      <c r="C1909" s="4" t="n">
        <v>4</v>
      </c>
      <c r="D1909" s="4" t="n">
        <v>10</v>
      </c>
      <c r="E1909" s="4" t="s">
        <v>1916</v>
      </c>
      <c r="F1909" s="4" t="n">
        <v>3</v>
      </c>
      <c r="G1909" s="4" t="n">
        <v>12</v>
      </c>
      <c r="H1909" s="4" t="n">
        <v>4</v>
      </c>
      <c r="I1909" s="4" t="str">
        <v>×</v>
      </c>
      <c r="J1909" s="4"/>
      <c r="K1909" s="4"/>
      <c r="L1909" s="4"/>
      <c r="M1909" s="5" t="s">
        <v>1871</v>
      </c>
    </row>
    <row r="1910" customFormat="false" ht="15.75" hidden="false" customHeight="false" outlineLevel="0" collapsed="false">
      <c r="A1910" s="3" t="n">
        <v>46214</v>
      </c>
      <c r="B1910" s="4" t="s">
        <v>915</v>
      </c>
      <c r="C1910" s="4" t="n">
        <v>4</v>
      </c>
      <c r="D1910" s="4" t="n">
        <v>11</v>
      </c>
      <c r="E1910" s="4" t="s">
        <v>1917</v>
      </c>
      <c r="F1910" s="4" t="n">
        <v>23</v>
      </c>
      <c r="G1910" s="4" t="n">
        <v>6</v>
      </c>
      <c r="H1910" s="4" t="n">
        <v>4</v>
      </c>
      <c r="I1910" s="4" t="str">
        <v>×</v>
      </c>
      <c r="J1910" s="4"/>
      <c r="K1910" s="4"/>
      <c r="L1910" s="4"/>
      <c r="M1910" s="5" t="s">
        <v>1871</v>
      </c>
    </row>
    <row r="1911" customFormat="false" ht="15.75" hidden="false" customHeight="false" outlineLevel="0" collapsed="false">
      <c r="A1911" s="3" t="n">
        <v>46214</v>
      </c>
      <c r="B1911" s="4" t="s">
        <v>915</v>
      </c>
      <c r="C1911" s="4" t="n">
        <v>4</v>
      </c>
      <c r="D1911" s="4" t="n">
        <v>12</v>
      </c>
      <c r="E1911" s="4" t="s">
        <v>1918</v>
      </c>
      <c r="F1911" s="4" t="n">
        <v>10</v>
      </c>
      <c r="G1911" s="4" t="n">
        <v>7</v>
      </c>
      <c r="H1911" s="4" t="n">
        <v>4</v>
      </c>
      <c r="I1911" s="4" t="str">
        <v>×</v>
      </c>
      <c r="J1911" s="4"/>
      <c r="K1911" s="4"/>
      <c r="L1911" s="4"/>
      <c r="M1911" s="5" t="s">
        <v>1871</v>
      </c>
    </row>
    <row r="1912" customFormat="false" ht="15.75" hidden="false" customHeight="false" outlineLevel="0" collapsed="false">
      <c r="A1912" s="3" t="n">
        <v>46214</v>
      </c>
      <c r="B1912" s="4" t="s">
        <v>915</v>
      </c>
      <c r="C1912" s="4" t="n">
        <v>4</v>
      </c>
      <c r="D1912" s="4" t="n">
        <v>13</v>
      </c>
      <c r="E1912" s="4" t="s">
        <v>1919</v>
      </c>
      <c r="F1912" s="4" t="n">
        <v>58</v>
      </c>
      <c r="G1912" s="4" t="n">
        <v>1</v>
      </c>
      <c r="H1912" s="4" t="n">
        <v>1</v>
      </c>
      <c r="I1912" s="4" t="str">
        <v>○</v>
      </c>
      <c r="J1912" s="4" t="n">
        <v>150</v>
      </c>
      <c r="K1912" s="4"/>
      <c r="L1912" s="4"/>
      <c r="M1912" s="5" t="s">
        <v>1871</v>
      </c>
    </row>
    <row r="1913" customFormat="false" ht="15.75" hidden="false" customHeight="false" outlineLevel="0" collapsed="false">
      <c r="A1913" s="3" t="n">
        <v>46214</v>
      </c>
      <c r="B1913" s="4" t="s">
        <v>915</v>
      </c>
      <c r="C1913" s="4" t="n">
        <v>4</v>
      </c>
      <c r="D1913" s="4" t="n">
        <v>14</v>
      </c>
      <c r="E1913" s="4" t="s">
        <v>1920</v>
      </c>
      <c r="F1913" s="4" t="n">
        <v>47</v>
      </c>
      <c r="G1913" s="4" t="n">
        <v>2</v>
      </c>
      <c r="H1913" s="4" t="n">
        <v>4</v>
      </c>
      <c r="I1913" s="4" t="str">
        <v>×</v>
      </c>
      <c r="J1913" s="4"/>
      <c r="K1913" s="4"/>
      <c r="L1913" s="4"/>
      <c r="M1913" s="5" t="s">
        <v>1871</v>
      </c>
    </row>
    <row r="1914" customFormat="false" ht="15.75" hidden="false" customHeight="false" outlineLevel="0" collapsed="false">
      <c r="A1914" s="3" t="n">
        <v>46214</v>
      </c>
      <c r="B1914" s="4" t="s">
        <v>915</v>
      </c>
      <c r="C1914" s="4" t="n">
        <v>4</v>
      </c>
      <c r="D1914" s="4" t="n">
        <v>15</v>
      </c>
      <c r="E1914" s="4" t="s">
        <v>1921</v>
      </c>
      <c r="F1914" s="4" t="n">
        <v>3</v>
      </c>
      <c r="G1914" s="4" t="n">
        <v>12</v>
      </c>
      <c r="H1914" s="4" t="n">
        <v>4</v>
      </c>
      <c r="I1914" s="4" t="str">
        <v>×</v>
      </c>
      <c r="J1914" s="4"/>
      <c r="K1914" s="4"/>
      <c r="L1914" s="4"/>
      <c r="M1914" s="5" t="s">
        <v>1871</v>
      </c>
    </row>
    <row r="1915" customFormat="false" ht="15.75" hidden="false" customHeight="false" outlineLevel="0" collapsed="false">
      <c r="A1915" s="3" t="n">
        <v>46214</v>
      </c>
      <c r="B1915" s="4" t="s">
        <v>915</v>
      </c>
      <c r="C1915" s="4" t="n">
        <v>5</v>
      </c>
      <c r="D1915" s="4" t="n">
        <v>1</v>
      </c>
      <c r="E1915" s="4" t="s">
        <v>1922</v>
      </c>
      <c r="F1915" s="4" t="n">
        <v>37</v>
      </c>
      <c r="G1915" s="4" t="n">
        <v>1</v>
      </c>
      <c r="H1915" s="4" t="n">
        <v>1</v>
      </c>
      <c r="I1915" s="4" t="str">
        <v>○</v>
      </c>
      <c r="J1915" s="4" t="n">
        <v>110</v>
      </c>
      <c r="K1915" s="4"/>
      <c r="L1915" s="4"/>
      <c r="M1915" s="5" t="s">
        <v>1871</v>
      </c>
    </row>
    <row r="1916" customFormat="false" ht="15.75" hidden="false" customHeight="false" outlineLevel="0" collapsed="false">
      <c r="A1916" s="3" t="n">
        <v>46214</v>
      </c>
      <c r="B1916" s="4" t="s">
        <v>915</v>
      </c>
      <c r="C1916" s="4" t="n">
        <v>5</v>
      </c>
      <c r="D1916" s="4" t="n">
        <v>2</v>
      </c>
      <c r="E1916" s="4" t="s">
        <v>1923</v>
      </c>
      <c r="F1916" s="4" t="n">
        <v>24</v>
      </c>
      <c r="G1916" s="4" t="n">
        <v>3</v>
      </c>
      <c r="H1916" s="4" t="n">
        <v>4</v>
      </c>
      <c r="I1916" s="4" t="str">
        <v>×</v>
      </c>
      <c r="J1916" s="4"/>
      <c r="K1916" s="4"/>
      <c r="L1916" s="4"/>
      <c r="M1916" s="5" t="s">
        <v>1871</v>
      </c>
    </row>
    <row r="1917" customFormat="false" ht="15.75" hidden="false" customHeight="false" outlineLevel="0" collapsed="false">
      <c r="A1917" s="3" t="n">
        <v>46214</v>
      </c>
      <c r="B1917" s="4" t="s">
        <v>915</v>
      </c>
      <c r="C1917" s="4" t="n">
        <v>5</v>
      </c>
      <c r="D1917" s="4" t="n">
        <v>3</v>
      </c>
      <c r="E1917" s="4" t="s">
        <v>1924</v>
      </c>
      <c r="F1917" s="4" t="n">
        <v>8</v>
      </c>
      <c r="G1917" s="4" t="n">
        <v>9</v>
      </c>
      <c r="H1917" s="4" t="n">
        <v>4</v>
      </c>
      <c r="I1917" s="4" t="str">
        <v>×</v>
      </c>
      <c r="J1917" s="4"/>
      <c r="K1917" s="4"/>
      <c r="L1917" s="4"/>
      <c r="M1917" s="5" t="s">
        <v>1871</v>
      </c>
    </row>
    <row r="1918" customFormat="false" ht="15.75" hidden="false" customHeight="false" outlineLevel="0" collapsed="false">
      <c r="A1918" s="3" t="n">
        <v>46214</v>
      </c>
      <c r="B1918" s="4" t="s">
        <v>915</v>
      </c>
      <c r="C1918" s="4" t="n">
        <v>5</v>
      </c>
      <c r="D1918" s="4" t="n">
        <v>4</v>
      </c>
      <c r="E1918" s="4" t="s">
        <v>1925</v>
      </c>
      <c r="F1918" s="4" t="n">
        <v>21</v>
      </c>
      <c r="G1918" s="4" t="n">
        <v>4</v>
      </c>
      <c r="H1918" s="4" t="n">
        <v>3</v>
      </c>
      <c r="I1918" s="4" t="str">
        <v>○</v>
      </c>
      <c r="J1918" s="4" t="n">
        <v>230</v>
      </c>
      <c r="K1918" s="4"/>
      <c r="L1918" s="4"/>
      <c r="M1918" s="5" t="s">
        <v>1871</v>
      </c>
    </row>
    <row r="1919" customFormat="false" ht="15.75" hidden="false" customHeight="false" outlineLevel="0" collapsed="false">
      <c r="A1919" s="3" t="n">
        <v>46214</v>
      </c>
      <c r="B1919" s="4" t="s">
        <v>915</v>
      </c>
      <c r="C1919" s="4" t="n">
        <v>5</v>
      </c>
      <c r="D1919" s="4" t="n">
        <v>5</v>
      </c>
      <c r="E1919" s="4" t="s">
        <v>1926</v>
      </c>
      <c r="F1919" s="4" t="n">
        <v>8</v>
      </c>
      <c r="G1919" s="4" t="n">
        <v>9</v>
      </c>
      <c r="H1919" s="4" t="n">
        <v>4</v>
      </c>
      <c r="I1919" s="4" t="str">
        <v>×</v>
      </c>
      <c r="J1919" s="4"/>
      <c r="K1919" s="4"/>
      <c r="L1919" s="4"/>
      <c r="M1919" s="5" t="s">
        <v>1871</v>
      </c>
    </row>
    <row r="1920" customFormat="false" ht="15.75" hidden="false" customHeight="false" outlineLevel="0" collapsed="false">
      <c r="A1920" s="3" t="n">
        <v>46214</v>
      </c>
      <c r="B1920" s="4" t="s">
        <v>915</v>
      </c>
      <c r="C1920" s="4" t="n">
        <v>5</v>
      </c>
      <c r="D1920" s="4" t="n">
        <v>6</v>
      </c>
      <c r="E1920" s="4" t="s">
        <v>1385</v>
      </c>
      <c r="F1920" s="4" t="n">
        <v>6</v>
      </c>
      <c r="G1920" s="4" t="n">
        <v>11</v>
      </c>
      <c r="H1920" s="4" t="n">
        <v>4</v>
      </c>
      <c r="I1920" s="4" t="str">
        <v>×</v>
      </c>
      <c r="J1920" s="4"/>
      <c r="K1920" s="4"/>
      <c r="L1920" s="4"/>
      <c r="M1920" s="5" t="s">
        <v>1871</v>
      </c>
    </row>
    <row r="1921" customFormat="false" ht="15.75" hidden="false" customHeight="false" outlineLevel="0" collapsed="false">
      <c r="A1921" s="3" t="n">
        <v>46214</v>
      </c>
      <c r="B1921" s="4" t="s">
        <v>915</v>
      </c>
      <c r="C1921" s="4" t="n">
        <v>5</v>
      </c>
      <c r="D1921" s="4" t="n">
        <v>7</v>
      </c>
      <c r="E1921" s="4" t="s">
        <v>1927</v>
      </c>
      <c r="F1921" s="4" t="n">
        <v>21</v>
      </c>
      <c r="G1921" s="4" t="n">
        <v>4</v>
      </c>
      <c r="H1921" s="4" t="n">
        <v>4</v>
      </c>
      <c r="I1921" s="4" t="str">
        <v>×</v>
      </c>
      <c r="J1921" s="4"/>
      <c r="K1921" s="4"/>
      <c r="L1921" s="4"/>
      <c r="M1921" s="5" t="s">
        <v>1871</v>
      </c>
    </row>
    <row r="1922" customFormat="false" ht="15.75" hidden="false" customHeight="false" outlineLevel="0" collapsed="false">
      <c r="A1922" s="3" t="n">
        <v>46214</v>
      </c>
      <c r="B1922" s="4" t="s">
        <v>915</v>
      </c>
      <c r="C1922" s="4" t="n">
        <v>5</v>
      </c>
      <c r="D1922" s="4" t="n">
        <v>8</v>
      </c>
      <c r="E1922" s="4" t="s">
        <v>1928</v>
      </c>
      <c r="F1922" s="4" t="n">
        <v>21</v>
      </c>
      <c r="G1922" s="4" t="n">
        <v>4</v>
      </c>
      <c r="H1922" s="4" t="n">
        <v>4</v>
      </c>
      <c r="I1922" s="4" t="str">
        <v>×</v>
      </c>
      <c r="J1922" s="4"/>
      <c r="K1922" s="4"/>
      <c r="L1922" s="4"/>
      <c r="M1922" s="5" t="s">
        <v>1871</v>
      </c>
    </row>
    <row r="1923" customFormat="false" ht="15.75" hidden="false" customHeight="false" outlineLevel="0" collapsed="false">
      <c r="A1923" s="3" t="n">
        <v>46214</v>
      </c>
      <c r="B1923" s="4" t="s">
        <v>915</v>
      </c>
      <c r="C1923" s="4" t="n">
        <v>5</v>
      </c>
      <c r="D1923" s="4" t="n">
        <v>9</v>
      </c>
      <c r="E1923" s="4" t="s">
        <v>1929</v>
      </c>
      <c r="F1923" s="4" t="n">
        <v>16</v>
      </c>
      <c r="G1923" s="4" t="n">
        <v>7</v>
      </c>
      <c r="H1923" s="4" t="n">
        <v>4</v>
      </c>
      <c r="I1923" s="4" t="str">
        <v>×</v>
      </c>
      <c r="J1923" s="4"/>
      <c r="K1923" s="4"/>
      <c r="L1923" s="4"/>
      <c r="M1923" s="5" t="s">
        <v>1871</v>
      </c>
    </row>
    <row r="1924" customFormat="false" ht="15.75" hidden="false" customHeight="false" outlineLevel="0" collapsed="false">
      <c r="A1924" s="3" t="n">
        <v>46214</v>
      </c>
      <c r="B1924" s="4" t="s">
        <v>915</v>
      </c>
      <c r="C1924" s="4" t="n">
        <v>5</v>
      </c>
      <c r="D1924" s="4" t="n">
        <v>10</v>
      </c>
      <c r="E1924" s="4" t="s">
        <v>1930</v>
      </c>
      <c r="F1924" s="4" t="n">
        <v>31</v>
      </c>
      <c r="G1924" s="4" t="n">
        <v>2</v>
      </c>
      <c r="H1924" s="4" t="n">
        <v>2</v>
      </c>
      <c r="I1924" s="4" t="str">
        <v>○</v>
      </c>
      <c r="J1924" s="4" t="n">
        <v>150</v>
      </c>
      <c r="K1924" s="4"/>
      <c r="L1924" s="4"/>
      <c r="M1924" s="5" t="s">
        <v>1871</v>
      </c>
    </row>
    <row r="1925" customFormat="false" ht="15.75" hidden="false" customHeight="false" outlineLevel="0" collapsed="false">
      <c r="A1925" s="3" t="n">
        <v>46214</v>
      </c>
      <c r="B1925" s="4" t="s">
        <v>915</v>
      </c>
      <c r="C1925" s="4" t="n">
        <v>5</v>
      </c>
      <c r="D1925" s="4" t="n">
        <v>11</v>
      </c>
      <c r="E1925" s="4" t="s">
        <v>1931</v>
      </c>
      <c r="F1925" s="4" t="n">
        <v>12</v>
      </c>
      <c r="G1925" s="4" t="n">
        <v>8</v>
      </c>
      <c r="H1925" s="4" t="n">
        <v>4</v>
      </c>
      <c r="I1925" s="4" t="str">
        <v>×</v>
      </c>
      <c r="J1925" s="4"/>
      <c r="K1925" s="4"/>
      <c r="L1925" s="4"/>
      <c r="M1925" s="5" t="s">
        <v>1871</v>
      </c>
    </row>
    <row r="1926" customFormat="false" ht="15.75" hidden="false" customHeight="false" outlineLevel="0" collapsed="false">
      <c r="A1926" s="3" t="n">
        <v>46214</v>
      </c>
      <c r="B1926" s="4" t="s">
        <v>915</v>
      </c>
      <c r="C1926" s="4" t="n">
        <v>6</v>
      </c>
      <c r="D1926" s="4" t="n">
        <v>1</v>
      </c>
      <c r="E1926" s="4" t="s">
        <v>1932</v>
      </c>
      <c r="F1926" s="4" t="n">
        <v>20</v>
      </c>
      <c r="G1926" s="4" t="n">
        <v>5</v>
      </c>
      <c r="H1926" s="4" t="n">
        <v>3</v>
      </c>
      <c r="I1926" s="4" t="str">
        <v>○</v>
      </c>
      <c r="J1926" s="4" t="n">
        <v>370</v>
      </c>
      <c r="K1926" s="4"/>
      <c r="L1926" s="4"/>
      <c r="M1926" s="5" t="s">
        <v>1871</v>
      </c>
    </row>
    <row r="1927" customFormat="false" ht="15.75" hidden="false" customHeight="false" outlineLevel="0" collapsed="false">
      <c r="A1927" s="3" t="n">
        <v>46214</v>
      </c>
      <c r="B1927" s="4" t="s">
        <v>915</v>
      </c>
      <c r="C1927" s="4" t="n">
        <v>6</v>
      </c>
      <c r="D1927" s="4" t="n">
        <v>2</v>
      </c>
      <c r="E1927" s="4" t="s">
        <v>1933</v>
      </c>
      <c r="F1927" s="4" t="n">
        <v>4</v>
      </c>
      <c r="G1927" s="4" t="n">
        <v>10</v>
      </c>
      <c r="H1927" s="4" t="n">
        <v>4</v>
      </c>
      <c r="I1927" s="4" t="str">
        <v>×</v>
      </c>
      <c r="J1927" s="4"/>
      <c r="K1927" s="4"/>
      <c r="L1927" s="4"/>
      <c r="M1927" s="5" t="s">
        <v>1871</v>
      </c>
    </row>
    <row r="1928" customFormat="false" ht="15.75" hidden="false" customHeight="false" outlineLevel="0" collapsed="false">
      <c r="A1928" s="3" t="n">
        <v>46214</v>
      </c>
      <c r="B1928" s="4" t="s">
        <v>915</v>
      </c>
      <c r="C1928" s="4" t="n">
        <v>6</v>
      </c>
      <c r="D1928" s="4" t="n">
        <v>3</v>
      </c>
      <c r="E1928" s="4" t="s">
        <v>1934</v>
      </c>
      <c r="F1928" s="4" t="n">
        <v>47</v>
      </c>
      <c r="G1928" s="4" t="n">
        <v>3</v>
      </c>
      <c r="H1928" s="4" t="n">
        <v>4</v>
      </c>
      <c r="I1928" s="4" t="str">
        <v>×</v>
      </c>
      <c r="J1928" s="4"/>
      <c r="K1928" s="4"/>
      <c r="L1928" s="4"/>
      <c r="M1928" s="5" t="s">
        <v>1871</v>
      </c>
    </row>
    <row r="1929" customFormat="false" ht="15.75" hidden="false" customHeight="false" outlineLevel="0" collapsed="false">
      <c r="A1929" s="3" t="n">
        <v>46214</v>
      </c>
      <c r="B1929" s="4" t="s">
        <v>915</v>
      </c>
      <c r="C1929" s="4" t="n">
        <v>6</v>
      </c>
      <c r="D1929" s="4" t="n">
        <v>4</v>
      </c>
      <c r="E1929" s="4" t="s">
        <v>1935</v>
      </c>
      <c r="F1929" s="4" t="n">
        <v>2</v>
      </c>
      <c r="G1929" s="4" t="n">
        <v>14</v>
      </c>
      <c r="H1929" s="4" t="n">
        <v>4</v>
      </c>
      <c r="I1929" s="4" t="str">
        <v>×</v>
      </c>
      <c r="J1929" s="4"/>
      <c r="K1929" s="4"/>
      <c r="L1929" s="4"/>
      <c r="M1929" s="5" t="s">
        <v>1871</v>
      </c>
    </row>
    <row r="1930" customFormat="false" ht="15.75" hidden="false" customHeight="false" outlineLevel="0" collapsed="false">
      <c r="A1930" s="3" t="n">
        <v>46214</v>
      </c>
      <c r="B1930" s="4" t="s">
        <v>915</v>
      </c>
      <c r="C1930" s="4" t="n">
        <v>6</v>
      </c>
      <c r="D1930" s="4" t="n">
        <v>5</v>
      </c>
      <c r="E1930" s="4" t="s">
        <v>1936</v>
      </c>
      <c r="F1930" s="4" t="n">
        <v>8</v>
      </c>
      <c r="G1930" s="4" t="n">
        <v>8</v>
      </c>
      <c r="H1930" s="4" t="n">
        <v>4</v>
      </c>
      <c r="I1930" s="4" t="str">
        <v>×</v>
      </c>
      <c r="J1930" s="4"/>
      <c r="K1930" s="4"/>
      <c r="L1930" s="4"/>
      <c r="M1930" s="5" t="s">
        <v>1871</v>
      </c>
    </row>
    <row r="1931" customFormat="false" ht="15.75" hidden="false" customHeight="false" outlineLevel="0" collapsed="false">
      <c r="A1931" s="3" t="n">
        <v>46214</v>
      </c>
      <c r="B1931" s="4" t="s">
        <v>915</v>
      </c>
      <c r="C1931" s="4" t="n">
        <v>6</v>
      </c>
      <c r="D1931" s="4" t="n">
        <v>6</v>
      </c>
      <c r="E1931" s="4" t="s">
        <v>1937</v>
      </c>
      <c r="F1931" s="4" t="n">
        <v>15</v>
      </c>
      <c r="G1931" s="4" t="n">
        <v>6</v>
      </c>
      <c r="H1931" s="4" t="n">
        <v>2</v>
      </c>
      <c r="I1931" s="4" t="str">
        <v>○</v>
      </c>
      <c r="J1931" s="4" t="n">
        <v>370</v>
      </c>
      <c r="K1931" s="4"/>
      <c r="L1931" s="4"/>
      <c r="M1931" s="5" t="s">
        <v>1871</v>
      </c>
    </row>
    <row r="1932" customFormat="false" ht="15.75" hidden="false" customHeight="false" outlineLevel="0" collapsed="false">
      <c r="A1932" s="3" t="n">
        <v>46214</v>
      </c>
      <c r="B1932" s="4" t="s">
        <v>915</v>
      </c>
      <c r="C1932" s="4" t="n">
        <v>6</v>
      </c>
      <c r="D1932" s="4" t="n">
        <v>7</v>
      </c>
      <c r="E1932" s="4" t="s">
        <v>1938</v>
      </c>
      <c r="F1932" s="4" t="n">
        <v>2</v>
      </c>
      <c r="G1932" s="4" t="n">
        <v>14</v>
      </c>
      <c r="H1932" s="4" t="n">
        <v>4</v>
      </c>
      <c r="I1932" s="4" t="str">
        <v>×</v>
      </c>
      <c r="J1932" s="4"/>
      <c r="K1932" s="4"/>
      <c r="L1932" s="4"/>
      <c r="M1932" s="5" t="s">
        <v>1871</v>
      </c>
    </row>
    <row r="1933" customFormat="false" ht="15.75" hidden="false" customHeight="false" outlineLevel="0" collapsed="false">
      <c r="A1933" s="3" t="n">
        <v>46214</v>
      </c>
      <c r="B1933" s="4" t="s">
        <v>915</v>
      </c>
      <c r="C1933" s="4" t="n">
        <v>6</v>
      </c>
      <c r="D1933" s="4" t="n">
        <v>8</v>
      </c>
      <c r="E1933" s="4" t="s">
        <v>1939</v>
      </c>
      <c r="F1933" s="4" t="n">
        <v>81</v>
      </c>
      <c r="G1933" s="4" t="n">
        <v>1</v>
      </c>
      <c r="H1933" s="4" t="n">
        <v>4</v>
      </c>
      <c r="I1933" s="4" t="str">
        <v>×</v>
      </c>
      <c r="J1933" s="4"/>
      <c r="K1933" s="4" t="n">
        <v>1.1</v>
      </c>
      <c r="L1933" s="4" t="n">
        <v>1.3</v>
      </c>
      <c r="M1933" s="5" t="s">
        <v>1871</v>
      </c>
    </row>
    <row r="1934" customFormat="false" ht="15.75" hidden="false" customHeight="false" outlineLevel="0" collapsed="false">
      <c r="A1934" s="3" t="n">
        <v>46214</v>
      </c>
      <c r="B1934" s="4" t="s">
        <v>915</v>
      </c>
      <c r="C1934" s="4" t="n">
        <v>6</v>
      </c>
      <c r="D1934" s="4" t="n">
        <v>9</v>
      </c>
      <c r="E1934" s="4" t="s">
        <v>1940</v>
      </c>
      <c r="F1934" s="4" t="n">
        <v>4</v>
      </c>
      <c r="G1934" s="4" t="n">
        <v>10</v>
      </c>
      <c r="H1934" s="4" t="n">
        <v>1</v>
      </c>
      <c r="I1934" s="4" t="str">
        <v>○</v>
      </c>
      <c r="J1934" s="4" t="n">
        <v>430</v>
      </c>
      <c r="K1934" s="4"/>
      <c r="L1934" s="4"/>
      <c r="M1934" s="5" t="s">
        <v>1871</v>
      </c>
    </row>
    <row r="1935" customFormat="false" ht="15.75" hidden="false" customHeight="false" outlineLevel="0" collapsed="false">
      <c r="A1935" s="3" t="n">
        <v>46214</v>
      </c>
      <c r="B1935" s="4" t="s">
        <v>915</v>
      </c>
      <c r="C1935" s="4" t="n">
        <v>6</v>
      </c>
      <c r="D1935" s="4" t="n">
        <v>10</v>
      </c>
      <c r="E1935" s="4" t="s">
        <v>1415</v>
      </c>
      <c r="F1935" s="4" t="n">
        <v>29</v>
      </c>
      <c r="G1935" s="4" t="n">
        <v>4</v>
      </c>
      <c r="H1935" s="4" t="n">
        <v>4</v>
      </c>
      <c r="I1935" s="4" t="str">
        <v>×</v>
      </c>
      <c r="J1935" s="4"/>
      <c r="K1935" s="4"/>
      <c r="L1935" s="4"/>
      <c r="M1935" s="5" t="s">
        <v>1871</v>
      </c>
    </row>
    <row r="1936" customFormat="false" ht="15.75" hidden="false" customHeight="false" outlineLevel="0" collapsed="false">
      <c r="A1936" s="3" t="n">
        <v>46214</v>
      </c>
      <c r="B1936" s="4" t="s">
        <v>915</v>
      </c>
      <c r="C1936" s="4" t="n">
        <v>6</v>
      </c>
      <c r="D1936" s="4" t="n">
        <v>11</v>
      </c>
      <c r="E1936" s="4" t="s">
        <v>1941</v>
      </c>
      <c r="F1936" s="4" t="n">
        <v>8</v>
      </c>
      <c r="G1936" s="4" t="n">
        <v>8</v>
      </c>
      <c r="H1936" s="4" t="n">
        <v>4</v>
      </c>
      <c r="I1936" s="4" t="str">
        <v>×</v>
      </c>
      <c r="J1936" s="4"/>
      <c r="K1936" s="4"/>
      <c r="L1936" s="4"/>
      <c r="M1936" s="5" t="s">
        <v>1871</v>
      </c>
    </row>
    <row r="1937" customFormat="false" ht="15.75" hidden="false" customHeight="false" outlineLevel="0" collapsed="false">
      <c r="A1937" s="3" t="n">
        <v>46214</v>
      </c>
      <c r="B1937" s="4" t="s">
        <v>915</v>
      </c>
      <c r="C1937" s="4" t="n">
        <v>6</v>
      </c>
      <c r="D1937" s="4" t="n">
        <v>12</v>
      </c>
      <c r="E1937" s="4" t="s">
        <v>1942</v>
      </c>
      <c r="F1937" s="4" t="n">
        <v>4</v>
      </c>
      <c r="G1937" s="4" t="n">
        <v>10</v>
      </c>
      <c r="H1937" s="4" t="n">
        <v>4</v>
      </c>
      <c r="I1937" s="4" t="str">
        <v>×</v>
      </c>
      <c r="J1937" s="4"/>
      <c r="K1937" s="4"/>
      <c r="L1937" s="4"/>
      <c r="M1937" s="5" t="s">
        <v>1871</v>
      </c>
    </row>
    <row r="1938" customFormat="false" ht="15.75" hidden="false" customHeight="false" outlineLevel="0" collapsed="false">
      <c r="A1938" s="3" t="n">
        <v>46214</v>
      </c>
      <c r="B1938" s="4" t="s">
        <v>915</v>
      </c>
      <c r="C1938" s="4" t="n">
        <v>6</v>
      </c>
      <c r="D1938" s="4" t="n">
        <v>13</v>
      </c>
      <c r="E1938" s="4" t="s">
        <v>1943</v>
      </c>
      <c r="F1938" s="4" t="n">
        <v>10</v>
      </c>
      <c r="G1938" s="4" t="n">
        <v>7</v>
      </c>
      <c r="H1938" s="4" t="n">
        <v>4</v>
      </c>
      <c r="I1938" s="4" t="str">
        <v>×</v>
      </c>
      <c r="J1938" s="4"/>
      <c r="K1938" s="4"/>
      <c r="L1938" s="4"/>
      <c r="M1938" s="5" t="s">
        <v>1871</v>
      </c>
    </row>
    <row r="1939" customFormat="false" ht="15.75" hidden="false" customHeight="false" outlineLevel="0" collapsed="false">
      <c r="A1939" s="3" t="n">
        <v>46214</v>
      </c>
      <c r="B1939" s="4" t="s">
        <v>915</v>
      </c>
      <c r="C1939" s="4" t="n">
        <v>6</v>
      </c>
      <c r="D1939" s="4" t="n">
        <v>14</v>
      </c>
      <c r="E1939" s="4" t="s">
        <v>620</v>
      </c>
      <c r="F1939" s="4" t="n">
        <v>4</v>
      </c>
      <c r="G1939" s="4" t="n">
        <v>10</v>
      </c>
      <c r="H1939" s="4" t="n">
        <v>4</v>
      </c>
      <c r="I1939" s="4" t="str">
        <v>×</v>
      </c>
      <c r="J1939" s="4"/>
      <c r="K1939" s="4"/>
      <c r="L1939" s="4"/>
      <c r="M1939" s="5" t="s">
        <v>1871</v>
      </c>
    </row>
    <row r="1940" customFormat="false" ht="15.75" hidden="false" customHeight="false" outlineLevel="0" collapsed="false">
      <c r="A1940" s="3" t="n">
        <v>46214</v>
      </c>
      <c r="B1940" s="4" t="s">
        <v>915</v>
      </c>
      <c r="C1940" s="4" t="n">
        <v>6</v>
      </c>
      <c r="D1940" s="4" t="n">
        <v>15</v>
      </c>
      <c r="E1940" s="4" t="s">
        <v>1944</v>
      </c>
      <c r="F1940" s="4" t="n">
        <v>60</v>
      </c>
      <c r="G1940" s="4" t="n">
        <v>2</v>
      </c>
      <c r="H1940" s="4" t="n">
        <v>4</v>
      </c>
      <c r="I1940" s="4" t="str">
        <v>×</v>
      </c>
      <c r="J1940" s="4"/>
      <c r="K1940" s="4"/>
      <c r="L1940" s="4"/>
      <c r="M1940" s="5" t="s">
        <v>1871</v>
      </c>
    </row>
    <row r="1941" customFormat="false" ht="15.75" hidden="false" customHeight="false" outlineLevel="0" collapsed="false">
      <c r="A1941" s="3" t="n">
        <v>46214</v>
      </c>
      <c r="B1941" s="4" t="s">
        <v>915</v>
      </c>
      <c r="C1941" s="4" t="n">
        <v>6</v>
      </c>
      <c r="D1941" s="4" t="n">
        <v>16</v>
      </c>
      <c r="E1941" s="4" t="s">
        <v>1945</v>
      </c>
      <c r="F1941" s="4" t="n">
        <v>1</v>
      </c>
      <c r="G1941" s="4" t="n">
        <v>16</v>
      </c>
      <c r="H1941" s="4" t="n">
        <v>4</v>
      </c>
      <c r="I1941" s="4" t="str">
        <v>×</v>
      </c>
      <c r="J1941" s="4"/>
      <c r="K1941" s="4"/>
      <c r="L1941" s="4"/>
      <c r="M1941" s="5" t="s">
        <v>1871</v>
      </c>
    </row>
    <row r="1942" customFormat="false" ht="15.75" hidden="false" customHeight="false" outlineLevel="0" collapsed="false">
      <c r="A1942" s="3" t="n">
        <v>46214</v>
      </c>
      <c r="B1942" s="4" t="s">
        <v>915</v>
      </c>
      <c r="C1942" s="4" t="n">
        <v>7</v>
      </c>
      <c r="D1942" s="4" t="n">
        <v>1</v>
      </c>
      <c r="E1942" s="4" t="s">
        <v>1946</v>
      </c>
      <c r="F1942" s="4" t="n">
        <v>8</v>
      </c>
      <c r="G1942" s="4" t="n">
        <v>9</v>
      </c>
      <c r="H1942" s="4" t="n">
        <v>4</v>
      </c>
      <c r="I1942" s="4" t="str">
        <v>×</v>
      </c>
      <c r="J1942" s="4"/>
      <c r="K1942" s="4"/>
      <c r="L1942" s="4"/>
      <c r="M1942" s="5" t="s">
        <v>1871</v>
      </c>
    </row>
    <row r="1943" customFormat="false" ht="15.75" hidden="false" customHeight="false" outlineLevel="0" collapsed="false">
      <c r="A1943" s="3" t="n">
        <v>46214</v>
      </c>
      <c r="B1943" s="4" t="s">
        <v>915</v>
      </c>
      <c r="C1943" s="4" t="n">
        <v>7</v>
      </c>
      <c r="D1943" s="4" t="n">
        <v>2</v>
      </c>
      <c r="E1943" s="4" t="s">
        <v>1947</v>
      </c>
      <c r="F1943" s="4" t="n">
        <v>34</v>
      </c>
      <c r="G1943" s="4" t="n">
        <v>5</v>
      </c>
      <c r="H1943" s="4" t="n">
        <v>4</v>
      </c>
      <c r="I1943" s="4" t="str">
        <v>×</v>
      </c>
      <c r="J1943" s="4"/>
      <c r="K1943" s="4"/>
      <c r="L1943" s="4"/>
      <c r="M1943" s="5" t="s">
        <v>1871</v>
      </c>
    </row>
    <row r="1944" customFormat="false" ht="15.75" hidden="false" customHeight="false" outlineLevel="0" collapsed="false">
      <c r="A1944" s="3" t="n">
        <v>46214</v>
      </c>
      <c r="B1944" s="4" t="s">
        <v>915</v>
      </c>
      <c r="C1944" s="4" t="n">
        <v>7</v>
      </c>
      <c r="D1944" s="4" t="n">
        <v>3</v>
      </c>
      <c r="E1944" s="4" t="s">
        <v>1948</v>
      </c>
      <c r="F1944" s="4" t="n">
        <v>10</v>
      </c>
      <c r="G1944" s="4" t="n">
        <v>8</v>
      </c>
      <c r="H1944" s="4" t="n">
        <v>4</v>
      </c>
      <c r="I1944" s="4" t="str">
        <v>×</v>
      </c>
      <c r="J1944" s="4"/>
      <c r="K1944" s="4"/>
      <c r="L1944" s="4"/>
      <c r="M1944" s="5" t="s">
        <v>1871</v>
      </c>
    </row>
    <row r="1945" customFormat="false" ht="15.75" hidden="false" customHeight="false" outlineLevel="0" collapsed="false">
      <c r="A1945" s="3" t="n">
        <v>46214</v>
      </c>
      <c r="B1945" s="4" t="s">
        <v>915</v>
      </c>
      <c r="C1945" s="4" t="n">
        <v>7</v>
      </c>
      <c r="D1945" s="4" t="n">
        <v>4</v>
      </c>
      <c r="E1945" s="4" t="s">
        <v>1949</v>
      </c>
      <c r="F1945" s="4" t="n">
        <v>58</v>
      </c>
      <c r="G1945" s="4" t="n">
        <v>2</v>
      </c>
      <c r="H1945" s="4" t="n">
        <v>3</v>
      </c>
      <c r="I1945" s="4" t="str">
        <v>○</v>
      </c>
      <c r="J1945" s="4" t="n">
        <v>140</v>
      </c>
      <c r="K1945" s="4"/>
      <c r="L1945" s="4"/>
      <c r="M1945" s="5" t="s">
        <v>1871</v>
      </c>
    </row>
    <row r="1946" customFormat="false" ht="15.75" hidden="false" customHeight="false" outlineLevel="0" collapsed="false">
      <c r="A1946" s="3" t="n">
        <v>46214</v>
      </c>
      <c r="B1946" s="4" t="s">
        <v>915</v>
      </c>
      <c r="C1946" s="4" t="n">
        <v>7</v>
      </c>
      <c r="D1946" s="4" t="n">
        <v>5</v>
      </c>
      <c r="E1946" s="4" t="s">
        <v>1950</v>
      </c>
      <c r="F1946" s="4" t="n">
        <v>47</v>
      </c>
      <c r="G1946" s="4" t="n">
        <v>3</v>
      </c>
      <c r="H1946" s="4" t="n">
        <v>4</v>
      </c>
      <c r="I1946" s="4" t="str">
        <v>×</v>
      </c>
      <c r="J1946" s="4"/>
      <c r="K1946" s="4"/>
      <c r="L1946" s="4"/>
      <c r="M1946" s="5" t="s">
        <v>1871</v>
      </c>
    </row>
    <row r="1947" customFormat="false" ht="15.75" hidden="false" customHeight="false" outlineLevel="0" collapsed="false">
      <c r="A1947" s="3" t="n">
        <v>46214</v>
      </c>
      <c r="B1947" s="4" t="s">
        <v>915</v>
      </c>
      <c r="C1947" s="4" t="n">
        <v>7</v>
      </c>
      <c r="D1947" s="4" t="n">
        <v>6</v>
      </c>
      <c r="E1947" s="4" t="s">
        <v>1951</v>
      </c>
      <c r="F1947" s="4" t="n">
        <v>62</v>
      </c>
      <c r="G1947" s="4" t="n">
        <v>1</v>
      </c>
      <c r="H1947" s="4" t="n">
        <v>1</v>
      </c>
      <c r="I1947" s="4" t="str">
        <v>○</v>
      </c>
      <c r="J1947" s="4" t="n">
        <v>120</v>
      </c>
      <c r="K1947" s="4"/>
      <c r="L1947" s="4"/>
      <c r="M1947" s="5" t="s">
        <v>1871</v>
      </c>
    </row>
    <row r="1948" customFormat="false" ht="15.75" hidden="false" customHeight="false" outlineLevel="0" collapsed="false">
      <c r="A1948" s="3" t="n">
        <v>46214</v>
      </c>
      <c r="B1948" s="4" t="s">
        <v>915</v>
      </c>
      <c r="C1948" s="4" t="n">
        <v>7</v>
      </c>
      <c r="D1948" s="4" t="n">
        <v>7</v>
      </c>
      <c r="E1948" s="4" t="s">
        <v>1952</v>
      </c>
      <c r="F1948" s="4" t="n">
        <v>4</v>
      </c>
      <c r="G1948" s="4" t="n">
        <v>10</v>
      </c>
      <c r="H1948" s="4" t="n">
        <v>4</v>
      </c>
      <c r="I1948" s="4" t="str">
        <v>×</v>
      </c>
      <c r="J1948" s="4"/>
      <c r="K1948" s="4"/>
      <c r="L1948" s="4"/>
      <c r="M1948" s="5" t="s">
        <v>1871</v>
      </c>
    </row>
    <row r="1949" customFormat="false" ht="15.75" hidden="false" customHeight="false" outlineLevel="0" collapsed="false">
      <c r="A1949" s="3" t="n">
        <v>46214</v>
      </c>
      <c r="B1949" s="4" t="s">
        <v>915</v>
      </c>
      <c r="C1949" s="4" t="n">
        <v>7</v>
      </c>
      <c r="D1949" s="4" t="n">
        <v>8</v>
      </c>
      <c r="E1949" s="4" t="s">
        <v>1953</v>
      </c>
      <c r="F1949" s="4" t="n">
        <v>4</v>
      </c>
      <c r="G1949" s="4" t="n">
        <v>10</v>
      </c>
      <c r="H1949" s="4" t="n">
        <v>4</v>
      </c>
      <c r="I1949" s="4" t="str">
        <v>×</v>
      </c>
      <c r="J1949" s="4"/>
      <c r="K1949" s="4"/>
      <c r="L1949" s="4"/>
      <c r="M1949" s="5" t="s">
        <v>1871</v>
      </c>
    </row>
    <row r="1950" customFormat="false" ht="15.75" hidden="false" customHeight="false" outlineLevel="0" collapsed="false">
      <c r="A1950" s="3" t="n">
        <v>46214</v>
      </c>
      <c r="B1950" s="4" t="s">
        <v>915</v>
      </c>
      <c r="C1950" s="4" t="n">
        <v>7</v>
      </c>
      <c r="D1950" s="4" t="n">
        <v>9</v>
      </c>
      <c r="E1950" s="4" t="s">
        <v>1954</v>
      </c>
      <c r="F1950" s="4" t="n">
        <v>13</v>
      </c>
      <c r="G1950" s="4" t="n">
        <v>7</v>
      </c>
      <c r="H1950" s="4" t="n">
        <v>2</v>
      </c>
      <c r="I1950" s="4" t="str">
        <v>○</v>
      </c>
      <c r="J1950" s="4" t="n">
        <v>310</v>
      </c>
      <c r="K1950" s="4"/>
      <c r="L1950" s="4"/>
      <c r="M1950" s="5" t="s">
        <v>1871</v>
      </c>
    </row>
    <row r="1951" customFormat="false" ht="15.75" hidden="false" customHeight="false" outlineLevel="0" collapsed="false">
      <c r="A1951" s="3" t="n">
        <v>46214</v>
      </c>
      <c r="B1951" s="4" t="s">
        <v>915</v>
      </c>
      <c r="C1951" s="4" t="n">
        <v>7</v>
      </c>
      <c r="D1951" s="4" t="n">
        <v>10</v>
      </c>
      <c r="E1951" s="4" t="s">
        <v>1955</v>
      </c>
      <c r="F1951" s="4" t="n">
        <v>44</v>
      </c>
      <c r="G1951" s="4" t="n">
        <v>4</v>
      </c>
      <c r="H1951" s="4" t="n">
        <v>4</v>
      </c>
      <c r="I1951" s="4" t="str">
        <v>×</v>
      </c>
      <c r="J1951" s="4"/>
      <c r="K1951" s="4"/>
      <c r="L1951" s="4"/>
      <c r="M1951" s="5" t="s">
        <v>1871</v>
      </c>
    </row>
    <row r="1952" customFormat="false" ht="15.75" hidden="false" customHeight="false" outlineLevel="0" collapsed="false">
      <c r="A1952" s="3" t="n">
        <v>46214</v>
      </c>
      <c r="B1952" s="4" t="s">
        <v>915</v>
      </c>
      <c r="C1952" s="4" t="n">
        <v>7</v>
      </c>
      <c r="D1952" s="4" t="n">
        <v>11</v>
      </c>
      <c r="E1952" s="4" t="s">
        <v>1956</v>
      </c>
      <c r="F1952" s="4" t="n">
        <v>20</v>
      </c>
      <c r="G1952" s="4" t="n">
        <v>6</v>
      </c>
      <c r="H1952" s="4" t="n">
        <v>4</v>
      </c>
      <c r="I1952" s="4" t="str">
        <v>×</v>
      </c>
      <c r="J1952" s="4"/>
      <c r="K1952" s="4"/>
      <c r="L1952" s="4"/>
      <c r="M1952" s="5" t="s">
        <v>1871</v>
      </c>
    </row>
    <row r="1953" customFormat="false" ht="15.75" hidden="false" customHeight="false" outlineLevel="0" collapsed="false">
      <c r="A1953" s="3" t="n">
        <v>46214</v>
      </c>
      <c r="B1953" s="4" t="s">
        <v>915</v>
      </c>
      <c r="C1953" s="4" t="n">
        <v>8</v>
      </c>
      <c r="D1953" s="4" t="n">
        <v>1</v>
      </c>
      <c r="E1953" s="4" t="s">
        <v>1957</v>
      </c>
      <c r="F1953" s="4" t="n">
        <v>34</v>
      </c>
      <c r="G1953" s="4" t="n">
        <v>5</v>
      </c>
      <c r="H1953" s="4" t="n">
        <v>3</v>
      </c>
      <c r="I1953" s="4" t="str">
        <v>○</v>
      </c>
      <c r="J1953" s="4" t="n">
        <v>250</v>
      </c>
      <c r="K1953" s="4"/>
      <c r="L1953" s="4"/>
      <c r="M1953" s="5" t="s">
        <v>1871</v>
      </c>
    </row>
    <row r="1954" customFormat="false" ht="15.75" hidden="false" customHeight="false" outlineLevel="0" collapsed="false">
      <c r="A1954" s="3" t="n">
        <v>46214</v>
      </c>
      <c r="B1954" s="4" t="s">
        <v>915</v>
      </c>
      <c r="C1954" s="4" t="n">
        <v>8</v>
      </c>
      <c r="D1954" s="4" t="n">
        <v>2</v>
      </c>
      <c r="E1954" s="4" t="s">
        <v>112</v>
      </c>
      <c r="F1954" s="4" t="n">
        <v>20</v>
      </c>
      <c r="G1954" s="4" t="n">
        <v>7</v>
      </c>
      <c r="H1954" s="4" t="n">
        <v>4</v>
      </c>
      <c r="I1954" s="4" t="str">
        <v>×</v>
      </c>
      <c r="J1954" s="4"/>
      <c r="K1954" s="4"/>
      <c r="L1954" s="4"/>
      <c r="M1954" s="5" t="s">
        <v>1871</v>
      </c>
    </row>
    <row r="1955" customFormat="false" ht="15.75" hidden="false" customHeight="false" outlineLevel="0" collapsed="false">
      <c r="A1955" s="3" t="n">
        <v>46214</v>
      </c>
      <c r="B1955" s="4" t="s">
        <v>915</v>
      </c>
      <c r="C1955" s="4" t="n">
        <v>8</v>
      </c>
      <c r="D1955" s="4" t="n">
        <v>3</v>
      </c>
      <c r="E1955" s="4" t="s">
        <v>1958</v>
      </c>
      <c r="F1955" s="4" t="n">
        <v>15</v>
      </c>
      <c r="G1955" s="4" t="n">
        <v>8</v>
      </c>
      <c r="H1955" s="4" t="n">
        <v>4</v>
      </c>
      <c r="I1955" s="4" t="str">
        <v>×</v>
      </c>
      <c r="J1955" s="4"/>
      <c r="K1955" s="4"/>
      <c r="L1955" s="4"/>
      <c r="M1955" s="5" t="s">
        <v>1871</v>
      </c>
    </row>
    <row r="1956" customFormat="false" ht="15.75" hidden="false" customHeight="false" outlineLevel="0" collapsed="false">
      <c r="A1956" s="3" t="n">
        <v>46214</v>
      </c>
      <c r="B1956" s="4" t="s">
        <v>915</v>
      </c>
      <c r="C1956" s="4" t="n">
        <v>8</v>
      </c>
      <c r="D1956" s="4" t="n">
        <v>4</v>
      </c>
      <c r="E1956" s="4" t="s">
        <v>408</v>
      </c>
      <c r="F1956" s="4" t="n">
        <v>8</v>
      </c>
      <c r="G1956" s="4" t="n">
        <v>12</v>
      </c>
      <c r="H1956" s="4" t="n">
        <v>4</v>
      </c>
      <c r="I1956" s="4" t="str">
        <v>×</v>
      </c>
      <c r="J1956" s="4"/>
      <c r="K1956" s="4"/>
      <c r="L1956" s="4"/>
      <c r="M1956" s="5" t="s">
        <v>1871</v>
      </c>
    </row>
    <row r="1957" customFormat="false" ht="15.75" hidden="false" customHeight="false" outlineLevel="0" collapsed="false">
      <c r="A1957" s="3" t="n">
        <v>46214</v>
      </c>
      <c r="B1957" s="4" t="s">
        <v>915</v>
      </c>
      <c r="C1957" s="4" t="n">
        <v>8</v>
      </c>
      <c r="D1957" s="4" t="n">
        <v>5</v>
      </c>
      <c r="E1957" s="4" t="s">
        <v>1959</v>
      </c>
      <c r="F1957" s="4" t="n">
        <v>15</v>
      </c>
      <c r="G1957" s="4" t="n">
        <v>8</v>
      </c>
      <c r="H1957" s="4" t="n">
        <v>4</v>
      </c>
      <c r="I1957" s="4" t="str">
        <v>×</v>
      </c>
      <c r="J1957" s="4"/>
      <c r="K1957" s="4"/>
      <c r="L1957" s="4"/>
      <c r="M1957" s="5" t="s">
        <v>1871</v>
      </c>
    </row>
    <row r="1958" customFormat="false" ht="15.75" hidden="false" customHeight="false" outlineLevel="0" collapsed="false">
      <c r="A1958" s="3" t="n">
        <v>46214</v>
      </c>
      <c r="B1958" s="4" t="s">
        <v>915</v>
      </c>
      <c r="C1958" s="4" t="n">
        <v>8</v>
      </c>
      <c r="D1958" s="4" t="n">
        <v>6</v>
      </c>
      <c r="E1958" s="4" t="s">
        <v>1960</v>
      </c>
      <c r="F1958" s="4" t="n">
        <v>6</v>
      </c>
      <c r="G1958" s="4" t="n">
        <v>13</v>
      </c>
      <c r="H1958" s="4" t="n">
        <v>4</v>
      </c>
      <c r="I1958" s="4" t="str">
        <v>×</v>
      </c>
      <c r="J1958" s="4"/>
      <c r="K1958" s="4"/>
      <c r="L1958" s="4"/>
      <c r="M1958" s="5" t="s">
        <v>1871</v>
      </c>
    </row>
    <row r="1959" customFormat="false" ht="15.75" hidden="false" customHeight="false" outlineLevel="0" collapsed="false">
      <c r="A1959" s="3" t="n">
        <v>46214</v>
      </c>
      <c r="B1959" s="4" t="s">
        <v>915</v>
      </c>
      <c r="C1959" s="4" t="n">
        <v>8</v>
      </c>
      <c r="D1959" s="4" t="n">
        <v>7</v>
      </c>
      <c r="E1959" s="4" t="s">
        <v>1961</v>
      </c>
      <c r="F1959" s="4" t="n">
        <v>13</v>
      </c>
      <c r="G1959" s="4" t="n">
        <v>11</v>
      </c>
      <c r="H1959" s="4" t="n">
        <v>4</v>
      </c>
      <c r="I1959" s="4" t="str">
        <v>×</v>
      </c>
      <c r="J1959" s="4"/>
      <c r="K1959" s="4"/>
      <c r="L1959" s="4"/>
      <c r="M1959" s="5" t="s">
        <v>1871</v>
      </c>
    </row>
    <row r="1960" customFormat="false" ht="15.75" hidden="false" customHeight="false" outlineLevel="0" collapsed="false">
      <c r="A1960" s="3" t="n">
        <v>46214</v>
      </c>
      <c r="B1960" s="4" t="s">
        <v>915</v>
      </c>
      <c r="C1960" s="4" t="n">
        <v>8</v>
      </c>
      <c r="D1960" s="4" t="n">
        <v>8</v>
      </c>
      <c r="E1960" s="4" t="s">
        <v>1962</v>
      </c>
      <c r="F1960" s="4" t="n">
        <v>1</v>
      </c>
      <c r="G1960" s="4" t="n">
        <v>16</v>
      </c>
      <c r="H1960" s="4" t="n">
        <v>4</v>
      </c>
      <c r="I1960" s="4" t="str">
        <v>×</v>
      </c>
      <c r="J1960" s="4"/>
      <c r="K1960" s="4"/>
      <c r="L1960" s="4"/>
      <c r="M1960" s="5" t="s">
        <v>1871</v>
      </c>
    </row>
    <row r="1961" customFormat="false" ht="15.75" hidden="false" customHeight="false" outlineLevel="0" collapsed="false">
      <c r="A1961" s="3" t="n">
        <v>46214</v>
      </c>
      <c r="B1961" s="4" t="s">
        <v>915</v>
      </c>
      <c r="C1961" s="4" t="n">
        <v>8</v>
      </c>
      <c r="D1961" s="4" t="n">
        <v>9</v>
      </c>
      <c r="E1961" s="4" t="s">
        <v>1963</v>
      </c>
      <c r="F1961" s="4" t="n">
        <v>39</v>
      </c>
      <c r="G1961" s="4" t="n">
        <v>3</v>
      </c>
      <c r="H1961" s="4" t="n">
        <v>2</v>
      </c>
      <c r="I1961" s="4" t="str">
        <v>○</v>
      </c>
      <c r="J1961" s="4" t="n">
        <v>190</v>
      </c>
      <c r="K1961" s="4"/>
      <c r="L1961" s="4"/>
      <c r="M1961" s="5" t="s">
        <v>1871</v>
      </c>
    </row>
    <row r="1962" customFormat="false" ht="15.75" hidden="false" customHeight="false" outlineLevel="0" collapsed="false">
      <c r="A1962" s="3" t="n">
        <v>46214</v>
      </c>
      <c r="B1962" s="4" t="s">
        <v>915</v>
      </c>
      <c r="C1962" s="4" t="n">
        <v>8</v>
      </c>
      <c r="D1962" s="4" t="n">
        <v>10</v>
      </c>
      <c r="E1962" s="4" t="s">
        <v>1964</v>
      </c>
      <c r="F1962" s="4" t="n">
        <v>4</v>
      </c>
      <c r="G1962" s="4" t="n">
        <v>14</v>
      </c>
      <c r="H1962" s="4" t="n">
        <v>4</v>
      </c>
      <c r="I1962" s="4" t="str">
        <v>×</v>
      </c>
      <c r="J1962" s="4"/>
      <c r="K1962" s="4"/>
      <c r="L1962" s="4"/>
      <c r="M1962" s="5" t="s">
        <v>1871</v>
      </c>
    </row>
    <row r="1963" customFormat="false" ht="15.75" hidden="false" customHeight="false" outlineLevel="0" collapsed="false">
      <c r="A1963" s="3" t="n">
        <v>46214</v>
      </c>
      <c r="B1963" s="4" t="s">
        <v>915</v>
      </c>
      <c r="C1963" s="4" t="n">
        <v>8</v>
      </c>
      <c r="D1963" s="4" t="n">
        <v>11</v>
      </c>
      <c r="E1963" s="4" t="s">
        <v>1965</v>
      </c>
      <c r="F1963" s="4" t="n">
        <v>34</v>
      </c>
      <c r="G1963" s="4" t="n">
        <v>5</v>
      </c>
      <c r="H1963" s="4" t="n">
        <v>4</v>
      </c>
      <c r="I1963" s="4" t="str">
        <v>×</v>
      </c>
      <c r="J1963" s="4"/>
      <c r="K1963" s="4"/>
      <c r="L1963" s="4"/>
      <c r="M1963" s="5" t="s">
        <v>1871</v>
      </c>
    </row>
    <row r="1964" customFormat="false" ht="15.75" hidden="false" customHeight="false" outlineLevel="0" collapsed="false">
      <c r="A1964" s="3" t="n">
        <v>46214</v>
      </c>
      <c r="B1964" s="4" t="s">
        <v>915</v>
      </c>
      <c r="C1964" s="4" t="n">
        <v>8</v>
      </c>
      <c r="D1964" s="4" t="n">
        <v>12</v>
      </c>
      <c r="E1964" s="4" t="s">
        <v>1966</v>
      </c>
      <c r="F1964" s="4" t="n">
        <v>47</v>
      </c>
      <c r="G1964" s="4" t="n">
        <v>2</v>
      </c>
      <c r="H1964" s="4" t="n">
        <v>1</v>
      </c>
      <c r="I1964" s="4" t="str">
        <v>○</v>
      </c>
      <c r="J1964" s="4" t="n">
        <v>190</v>
      </c>
      <c r="K1964" s="4"/>
      <c r="L1964" s="4"/>
      <c r="M1964" s="5" t="s">
        <v>1871</v>
      </c>
    </row>
    <row r="1965" customFormat="false" ht="15.75" hidden="false" customHeight="false" outlineLevel="0" collapsed="false">
      <c r="A1965" s="3" t="n">
        <v>46214</v>
      </c>
      <c r="B1965" s="4" t="s">
        <v>915</v>
      </c>
      <c r="C1965" s="4" t="n">
        <v>8</v>
      </c>
      <c r="D1965" s="4" t="n">
        <v>13</v>
      </c>
      <c r="E1965" s="4" t="s">
        <v>1967</v>
      </c>
      <c r="F1965" s="4" t="n">
        <v>4</v>
      </c>
      <c r="G1965" s="4" t="n">
        <v>14</v>
      </c>
      <c r="H1965" s="4" t="n">
        <v>4</v>
      </c>
      <c r="I1965" s="4" t="str">
        <v>×</v>
      </c>
      <c r="J1965" s="4"/>
      <c r="K1965" s="4"/>
      <c r="L1965" s="4"/>
      <c r="M1965" s="5" t="s">
        <v>1871</v>
      </c>
    </row>
    <row r="1966" customFormat="false" ht="15.75" hidden="false" customHeight="false" outlineLevel="0" collapsed="false">
      <c r="A1966" s="3" t="n">
        <v>46214</v>
      </c>
      <c r="B1966" s="4" t="s">
        <v>915</v>
      </c>
      <c r="C1966" s="4" t="n">
        <v>8</v>
      </c>
      <c r="D1966" s="4" t="n">
        <v>14</v>
      </c>
      <c r="E1966" s="4" t="s">
        <v>1968</v>
      </c>
      <c r="F1966" s="4" t="n">
        <v>58</v>
      </c>
      <c r="G1966" s="4" t="n">
        <v>1</v>
      </c>
      <c r="H1966" s="4" t="n">
        <v>4</v>
      </c>
      <c r="I1966" s="4" t="str">
        <v>×</v>
      </c>
      <c r="J1966" s="4"/>
      <c r="K1966" s="4"/>
      <c r="L1966" s="4"/>
      <c r="M1966" s="5" t="s">
        <v>1871</v>
      </c>
    </row>
    <row r="1967" customFormat="false" ht="15.75" hidden="false" customHeight="false" outlineLevel="0" collapsed="false">
      <c r="A1967" s="3" t="n">
        <v>46214</v>
      </c>
      <c r="B1967" s="4" t="s">
        <v>915</v>
      </c>
      <c r="C1967" s="4" t="n">
        <v>8</v>
      </c>
      <c r="D1967" s="4" t="n">
        <v>15</v>
      </c>
      <c r="E1967" s="4" t="s">
        <v>1969</v>
      </c>
      <c r="F1967" s="4" t="n">
        <v>15</v>
      </c>
      <c r="G1967" s="4" t="n">
        <v>8</v>
      </c>
      <c r="H1967" s="4" t="n">
        <v>4</v>
      </c>
      <c r="I1967" s="4" t="str">
        <v>×</v>
      </c>
      <c r="J1967" s="4"/>
      <c r="K1967" s="4"/>
      <c r="L1967" s="4"/>
      <c r="M1967" s="5" t="s">
        <v>1871</v>
      </c>
    </row>
    <row r="1968" customFormat="false" ht="15.75" hidden="false" customHeight="false" outlineLevel="0" collapsed="false">
      <c r="A1968" s="3" t="n">
        <v>46214</v>
      </c>
      <c r="B1968" s="4" t="s">
        <v>915</v>
      </c>
      <c r="C1968" s="4" t="n">
        <v>8</v>
      </c>
      <c r="D1968" s="4" t="n">
        <v>16</v>
      </c>
      <c r="E1968" s="4" t="s">
        <v>1970</v>
      </c>
      <c r="F1968" s="4" t="n">
        <v>37</v>
      </c>
      <c r="G1968" s="4" t="n">
        <v>4</v>
      </c>
      <c r="H1968" s="4" t="n">
        <v>4</v>
      </c>
      <c r="I1968" s="4" t="str">
        <v>×</v>
      </c>
      <c r="J1968" s="4"/>
      <c r="K1968" s="4"/>
      <c r="L1968" s="4"/>
      <c r="M1968" s="5" t="s">
        <v>1871</v>
      </c>
    </row>
    <row r="1969" customFormat="false" ht="15.75" hidden="false" customHeight="false" outlineLevel="0" collapsed="false">
      <c r="A1969" s="3" t="n">
        <v>46214</v>
      </c>
      <c r="B1969" s="4" t="s">
        <v>915</v>
      </c>
      <c r="C1969" s="4" t="n">
        <v>9</v>
      </c>
      <c r="D1969" s="4" t="n">
        <v>1</v>
      </c>
      <c r="E1969" s="4" t="s">
        <v>1971</v>
      </c>
      <c r="F1969" s="4" t="n">
        <v>34</v>
      </c>
      <c r="G1969" s="4" t="n">
        <v>3</v>
      </c>
      <c r="H1969" s="4" t="n">
        <v>4</v>
      </c>
      <c r="I1969" s="4" t="str">
        <v>×</v>
      </c>
      <c r="J1969" s="4"/>
      <c r="K1969" s="4"/>
      <c r="L1969" s="4"/>
      <c r="M1969" s="5" t="s">
        <v>1871</v>
      </c>
    </row>
    <row r="1970" customFormat="false" ht="15.75" hidden="false" customHeight="false" outlineLevel="0" collapsed="false">
      <c r="A1970" s="3" t="n">
        <v>46214</v>
      </c>
      <c r="B1970" s="4" t="s">
        <v>915</v>
      </c>
      <c r="C1970" s="4" t="n">
        <v>9</v>
      </c>
      <c r="D1970" s="4" t="n">
        <v>2</v>
      </c>
      <c r="E1970" s="4" t="s">
        <v>1972</v>
      </c>
      <c r="F1970" s="4" t="n">
        <v>3</v>
      </c>
      <c r="G1970" s="4" t="n">
        <v>14</v>
      </c>
      <c r="H1970" s="4" t="n">
        <v>4</v>
      </c>
      <c r="I1970" s="4" t="str">
        <v>×</v>
      </c>
      <c r="J1970" s="4"/>
      <c r="K1970" s="4"/>
      <c r="L1970" s="4"/>
      <c r="M1970" s="5" t="s">
        <v>1871</v>
      </c>
    </row>
    <row r="1971" customFormat="false" ht="15.75" hidden="false" customHeight="false" outlineLevel="0" collapsed="false">
      <c r="A1971" s="3" t="n">
        <v>46214</v>
      </c>
      <c r="B1971" s="4" t="s">
        <v>915</v>
      </c>
      <c r="C1971" s="4" t="n">
        <v>9</v>
      </c>
      <c r="D1971" s="4" t="n">
        <v>3</v>
      </c>
      <c r="E1971" s="4" t="s">
        <v>1973</v>
      </c>
      <c r="F1971" s="4" t="n">
        <v>10</v>
      </c>
      <c r="G1971" s="4" t="n">
        <v>9</v>
      </c>
      <c r="H1971" s="4" t="n">
        <v>3</v>
      </c>
      <c r="I1971" s="4" t="str">
        <v>○</v>
      </c>
      <c r="J1971" s="4" t="n">
        <v>460</v>
      </c>
      <c r="K1971" s="4"/>
      <c r="L1971" s="4"/>
      <c r="M1971" s="5" t="s">
        <v>1871</v>
      </c>
    </row>
    <row r="1972" customFormat="false" ht="15.75" hidden="false" customHeight="false" outlineLevel="0" collapsed="false">
      <c r="A1972" s="3" t="n">
        <v>46214</v>
      </c>
      <c r="B1972" s="4" t="s">
        <v>915</v>
      </c>
      <c r="C1972" s="4" t="n">
        <v>9</v>
      </c>
      <c r="D1972" s="4" t="n">
        <v>4</v>
      </c>
      <c r="E1972" s="4" t="s">
        <v>1974</v>
      </c>
      <c r="F1972" s="4" t="n">
        <v>8</v>
      </c>
      <c r="G1972" s="4" t="n">
        <v>12</v>
      </c>
      <c r="H1972" s="4" t="n">
        <v>4</v>
      </c>
      <c r="I1972" s="4" t="str">
        <v>×</v>
      </c>
      <c r="J1972" s="4"/>
      <c r="K1972" s="4"/>
      <c r="L1972" s="4"/>
      <c r="M1972" s="5" t="s">
        <v>1871</v>
      </c>
    </row>
    <row r="1973" customFormat="false" ht="15.75" hidden="false" customHeight="false" outlineLevel="0" collapsed="false">
      <c r="A1973" s="3" t="n">
        <v>46214</v>
      </c>
      <c r="B1973" s="4" t="s">
        <v>915</v>
      </c>
      <c r="C1973" s="4" t="n">
        <v>9</v>
      </c>
      <c r="D1973" s="4" t="n">
        <v>5</v>
      </c>
      <c r="E1973" s="4" t="s">
        <v>1975</v>
      </c>
      <c r="F1973" s="4" t="n">
        <v>20</v>
      </c>
      <c r="G1973" s="4" t="n">
        <v>5</v>
      </c>
      <c r="H1973" s="4" t="n">
        <v>2</v>
      </c>
      <c r="I1973" s="4" t="str">
        <v>○</v>
      </c>
      <c r="J1973" s="4" t="n">
        <v>200</v>
      </c>
      <c r="K1973" s="4"/>
      <c r="L1973" s="4"/>
      <c r="M1973" s="5" t="s">
        <v>1871</v>
      </c>
    </row>
    <row r="1974" customFormat="false" ht="15.75" hidden="false" customHeight="false" outlineLevel="0" collapsed="false">
      <c r="A1974" s="3" t="n">
        <v>46214</v>
      </c>
      <c r="B1974" s="4" t="s">
        <v>915</v>
      </c>
      <c r="C1974" s="4" t="n">
        <v>9</v>
      </c>
      <c r="D1974" s="4" t="n">
        <v>6</v>
      </c>
      <c r="E1974" s="4" t="s">
        <v>1976</v>
      </c>
      <c r="F1974" s="4" t="n">
        <v>13</v>
      </c>
      <c r="G1974" s="4" t="n">
        <v>8</v>
      </c>
      <c r="H1974" s="4" t="n">
        <v>4</v>
      </c>
      <c r="I1974" s="4" t="str">
        <v>×</v>
      </c>
      <c r="J1974" s="4"/>
      <c r="K1974" s="4"/>
      <c r="L1974" s="4"/>
      <c r="M1974" s="5" t="s">
        <v>1871</v>
      </c>
    </row>
    <row r="1975" customFormat="false" ht="15.75" hidden="false" customHeight="false" outlineLevel="0" collapsed="false">
      <c r="A1975" s="3" t="n">
        <v>46214</v>
      </c>
      <c r="B1975" s="4" t="s">
        <v>915</v>
      </c>
      <c r="C1975" s="4" t="n">
        <v>9</v>
      </c>
      <c r="D1975" s="4" t="n">
        <v>7</v>
      </c>
      <c r="E1975" s="4" t="s">
        <v>1977</v>
      </c>
      <c r="F1975" s="4" t="n">
        <v>8</v>
      </c>
      <c r="G1975" s="4" t="n">
        <v>12</v>
      </c>
      <c r="H1975" s="4" t="n">
        <v>4</v>
      </c>
      <c r="I1975" s="4" t="str">
        <v>×</v>
      </c>
      <c r="J1975" s="4"/>
      <c r="K1975" s="4"/>
      <c r="L1975" s="4"/>
      <c r="M1975" s="5" t="s">
        <v>1871</v>
      </c>
    </row>
    <row r="1976" customFormat="false" ht="15.75" hidden="false" customHeight="false" outlineLevel="0" collapsed="false">
      <c r="A1976" s="3" t="n">
        <v>46214</v>
      </c>
      <c r="B1976" s="4" t="s">
        <v>915</v>
      </c>
      <c r="C1976" s="4" t="n">
        <v>9</v>
      </c>
      <c r="D1976" s="4" t="n">
        <v>8</v>
      </c>
      <c r="E1976" s="4" t="s">
        <v>432</v>
      </c>
      <c r="F1976" s="4" t="n">
        <v>15</v>
      </c>
      <c r="G1976" s="4" t="n">
        <v>7</v>
      </c>
      <c r="H1976" s="4" t="n">
        <v>4</v>
      </c>
      <c r="I1976" s="4" t="str">
        <v>×</v>
      </c>
      <c r="J1976" s="4"/>
      <c r="K1976" s="4"/>
      <c r="L1976" s="4"/>
      <c r="M1976" s="5" t="s">
        <v>1871</v>
      </c>
    </row>
    <row r="1977" customFormat="false" ht="15.75" hidden="false" customHeight="false" outlineLevel="0" collapsed="false">
      <c r="A1977" s="3" t="n">
        <v>46214</v>
      </c>
      <c r="B1977" s="4" t="s">
        <v>915</v>
      </c>
      <c r="C1977" s="4" t="n">
        <v>9</v>
      </c>
      <c r="D1977" s="4" t="n">
        <v>9</v>
      </c>
      <c r="E1977" s="4" t="s">
        <v>1978</v>
      </c>
      <c r="F1977" s="4" t="n">
        <v>17</v>
      </c>
      <c r="G1977" s="4" t="n">
        <v>6</v>
      </c>
      <c r="H1977" s="4" t="n">
        <v>4</v>
      </c>
      <c r="I1977" s="4" t="str">
        <v>×</v>
      </c>
      <c r="J1977" s="4"/>
      <c r="K1977" s="4"/>
      <c r="L1977" s="4"/>
      <c r="M1977" s="5" t="s">
        <v>1871</v>
      </c>
    </row>
    <row r="1978" customFormat="false" ht="15.75" hidden="false" customHeight="false" outlineLevel="0" collapsed="false">
      <c r="A1978" s="3" t="n">
        <v>46214</v>
      </c>
      <c r="B1978" s="4" t="s">
        <v>915</v>
      </c>
      <c r="C1978" s="4" t="n">
        <v>9</v>
      </c>
      <c r="D1978" s="4" t="n">
        <v>10</v>
      </c>
      <c r="E1978" s="4" t="s">
        <v>1979</v>
      </c>
      <c r="F1978" s="4" t="n">
        <v>47</v>
      </c>
      <c r="G1978" s="4" t="n">
        <v>2</v>
      </c>
      <c r="H1978" s="4" t="n">
        <v>4</v>
      </c>
      <c r="I1978" s="4" t="str">
        <v>×</v>
      </c>
      <c r="J1978" s="4"/>
      <c r="K1978" s="4"/>
      <c r="L1978" s="4"/>
      <c r="M1978" s="5" t="s">
        <v>1871</v>
      </c>
    </row>
    <row r="1979" customFormat="false" ht="15.75" hidden="false" customHeight="false" outlineLevel="0" collapsed="false">
      <c r="A1979" s="3" t="n">
        <v>46214</v>
      </c>
      <c r="B1979" s="4" t="s">
        <v>915</v>
      </c>
      <c r="C1979" s="4" t="n">
        <v>9</v>
      </c>
      <c r="D1979" s="4" t="n">
        <v>11</v>
      </c>
      <c r="E1979" s="4" t="s">
        <v>1980</v>
      </c>
      <c r="F1979" s="4" t="n">
        <v>10</v>
      </c>
      <c r="G1979" s="4" t="n">
        <v>9</v>
      </c>
      <c r="H1979" s="4" t="n">
        <v>4</v>
      </c>
      <c r="I1979" s="4" t="str">
        <v>×</v>
      </c>
      <c r="J1979" s="4"/>
      <c r="K1979" s="4"/>
      <c r="L1979" s="4"/>
      <c r="M1979" s="5" t="s">
        <v>1871</v>
      </c>
    </row>
    <row r="1980" customFormat="false" ht="15.75" hidden="false" customHeight="false" outlineLevel="0" collapsed="false">
      <c r="A1980" s="3" t="n">
        <v>46214</v>
      </c>
      <c r="B1980" s="4" t="s">
        <v>915</v>
      </c>
      <c r="C1980" s="4" t="n">
        <v>9</v>
      </c>
      <c r="D1980" s="4" t="n">
        <v>12</v>
      </c>
      <c r="E1980" s="4" t="s">
        <v>1981</v>
      </c>
      <c r="F1980" s="4" t="n">
        <v>3</v>
      </c>
      <c r="G1980" s="4" t="n">
        <v>14</v>
      </c>
      <c r="H1980" s="4" t="n">
        <v>4</v>
      </c>
      <c r="I1980" s="4" t="str">
        <v>×</v>
      </c>
      <c r="J1980" s="4"/>
      <c r="K1980" s="4"/>
      <c r="L1980" s="4"/>
      <c r="M1980" s="5" t="s">
        <v>1871</v>
      </c>
    </row>
    <row r="1981" customFormat="false" ht="15.75" hidden="false" customHeight="false" outlineLevel="0" collapsed="false">
      <c r="A1981" s="3" t="n">
        <v>46214</v>
      </c>
      <c r="B1981" s="4" t="s">
        <v>915</v>
      </c>
      <c r="C1981" s="4" t="n">
        <v>9</v>
      </c>
      <c r="D1981" s="4" t="n">
        <v>13</v>
      </c>
      <c r="E1981" s="4" t="s">
        <v>1982</v>
      </c>
      <c r="F1981" s="4" t="n">
        <v>52</v>
      </c>
      <c r="G1981" s="4" t="n">
        <v>1</v>
      </c>
      <c r="H1981" s="4" t="n">
        <v>1</v>
      </c>
      <c r="I1981" s="4" t="str">
        <v>○</v>
      </c>
      <c r="J1981" s="4" t="n">
        <v>190</v>
      </c>
      <c r="K1981" s="4"/>
      <c r="L1981" s="4"/>
      <c r="M1981" s="5" t="s">
        <v>1871</v>
      </c>
    </row>
    <row r="1982" customFormat="false" ht="15.75" hidden="false" customHeight="false" outlineLevel="0" collapsed="false">
      <c r="A1982" s="3" t="n">
        <v>46214</v>
      </c>
      <c r="B1982" s="4" t="s">
        <v>915</v>
      </c>
      <c r="C1982" s="4" t="n">
        <v>9</v>
      </c>
      <c r="D1982" s="4" t="n">
        <v>14</v>
      </c>
      <c r="E1982" s="4" t="s">
        <v>1983</v>
      </c>
      <c r="F1982" s="4" t="n">
        <v>10</v>
      </c>
      <c r="G1982" s="4" t="n">
        <v>9</v>
      </c>
      <c r="H1982" s="4" t="n">
        <v>4</v>
      </c>
      <c r="I1982" s="4" t="str">
        <v>×</v>
      </c>
      <c r="J1982" s="4"/>
      <c r="K1982" s="4"/>
      <c r="L1982" s="4"/>
      <c r="M1982" s="5" t="s">
        <v>1871</v>
      </c>
    </row>
    <row r="1983" customFormat="false" ht="15.75" hidden="false" customHeight="false" outlineLevel="0" collapsed="false">
      <c r="A1983" s="3" t="n">
        <v>46214</v>
      </c>
      <c r="B1983" s="4" t="s">
        <v>915</v>
      </c>
      <c r="C1983" s="4" t="n">
        <v>9</v>
      </c>
      <c r="D1983" s="4" t="n">
        <v>15</v>
      </c>
      <c r="E1983" s="4" t="s">
        <v>1984</v>
      </c>
      <c r="F1983" s="4" t="n">
        <v>23</v>
      </c>
      <c r="G1983" s="4" t="n">
        <v>4</v>
      </c>
      <c r="H1983" s="4" t="n">
        <v>4</v>
      </c>
      <c r="I1983" s="4" t="str">
        <v>×</v>
      </c>
      <c r="J1983" s="4"/>
      <c r="K1983" s="4"/>
      <c r="L1983" s="4"/>
      <c r="M1983" s="5" t="s">
        <v>1871</v>
      </c>
    </row>
    <row r="1984" customFormat="false" ht="15.75" hidden="false" customHeight="false" outlineLevel="0" collapsed="false">
      <c r="A1984" s="3" t="n">
        <v>46214</v>
      </c>
      <c r="B1984" s="4" t="s">
        <v>915</v>
      </c>
      <c r="C1984" s="4" t="n">
        <v>10</v>
      </c>
      <c r="D1984" s="4" t="n">
        <v>1</v>
      </c>
      <c r="E1984" s="4" t="s">
        <v>1985</v>
      </c>
      <c r="F1984" s="4" t="n">
        <v>37</v>
      </c>
      <c r="G1984" s="4" t="n">
        <v>2</v>
      </c>
      <c r="H1984" s="4" t="n">
        <v>4</v>
      </c>
      <c r="I1984" s="4" t="str">
        <v>×</v>
      </c>
      <c r="J1984" s="4"/>
      <c r="K1984" s="4"/>
      <c r="L1984" s="4"/>
      <c r="M1984" s="5" t="s">
        <v>1871</v>
      </c>
    </row>
    <row r="1985" customFormat="false" ht="15.75" hidden="false" customHeight="false" outlineLevel="0" collapsed="false">
      <c r="A1985" s="3" t="n">
        <v>46214</v>
      </c>
      <c r="B1985" s="4" t="s">
        <v>915</v>
      </c>
      <c r="C1985" s="4" t="n">
        <v>10</v>
      </c>
      <c r="D1985" s="4" t="n">
        <v>2</v>
      </c>
      <c r="E1985" s="4" t="s">
        <v>1986</v>
      </c>
      <c r="F1985" s="4" t="n">
        <v>34</v>
      </c>
      <c r="G1985" s="4" t="n">
        <v>3</v>
      </c>
      <c r="H1985" s="4" t="n">
        <v>4</v>
      </c>
      <c r="I1985" s="4" t="str">
        <v>×</v>
      </c>
      <c r="J1985" s="4"/>
      <c r="K1985" s="4"/>
      <c r="L1985" s="4"/>
      <c r="M1985" s="5" t="s">
        <v>1871</v>
      </c>
    </row>
    <row r="1986" customFormat="false" ht="15.75" hidden="false" customHeight="false" outlineLevel="0" collapsed="false">
      <c r="A1986" s="3" t="n">
        <v>46214</v>
      </c>
      <c r="B1986" s="4" t="s">
        <v>915</v>
      </c>
      <c r="C1986" s="4" t="n">
        <v>10</v>
      </c>
      <c r="D1986" s="4" t="n">
        <v>3</v>
      </c>
      <c r="E1986" s="4" t="s">
        <v>1987</v>
      </c>
      <c r="F1986" s="4" t="n">
        <v>17</v>
      </c>
      <c r="G1986" s="4" t="n">
        <v>8</v>
      </c>
      <c r="H1986" s="4" t="n">
        <v>4</v>
      </c>
      <c r="I1986" s="4" t="str">
        <v>×</v>
      </c>
      <c r="J1986" s="4"/>
      <c r="K1986" s="4"/>
      <c r="L1986" s="4"/>
      <c r="M1986" s="5" t="s">
        <v>1871</v>
      </c>
    </row>
    <row r="1987" customFormat="false" ht="15.75" hidden="false" customHeight="false" outlineLevel="0" collapsed="false">
      <c r="A1987" s="3" t="n">
        <v>46214</v>
      </c>
      <c r="B1987" s="4" t="s">
        <v>915</v>
      </c>
      <c r="C1987" s="4" t="n">
        <v>10</v>
      </c>
      <c r="D1987" s="4" t="n">
        <v>4</v>
      </c>
      <c r="E1987" s="4" t="s">
        <v>1988</v>
      </c>
      <c r="F1987" s="4" t="n">
        <v>15</v>
      </c>
      <c r="G1987" s="4" t="n">
        <v>9</v>
      </c>
      <c r="H1987" s="4" t="n">
        <v>4</v>
      </c>
      <c r="I1987" s="4" t="str">
        <v>×</v>
      </c>
      <c r="J1987" s="4"/>
      <c r="K1987" s="4"/>
      <c r="L1987" s="4"/>
      <c r="M1987" s="5" t="s">
        <v>1871</v>
      </c>
    </row>
    <row r="1988" customFormat="false" ht="15.75" hidden="false" customHeight="false" outlineLevel="0" collapsed="false">
      <c r="A1988" s="3" t="n">
        <v>46214</v>
      </c>
      <c r="B1988" s="4" t="s">
        <v>915</v>
      </c>
      <c r="C1988" s="4" t="n">
        <v>10</v>
      </c>
      <c r="D1988" s="4" t="n">
        <v>5</v>
      </c>
      <c r="E1988" s="4" t="s">
        <v>91</v>
      </c>
      <c r="F1988" s="4" t="n">
        <v>52</v>
      </c>
      <c r="G1988" s="4" t="n">
        <v>1</v>
      </c>
      <c r="H1988" s="4" t="n">
        <v>3</v>
      </c>
      <c r="I1988" s="4" t="str">
        <v>○</v>
      </c>
      <c r="J1988" s="4" t="n">
        <v>260</v>
      </c>
      <c r="K1988" s="4"/>
      <c r="L1988" s="4"/>
      <c r="M1988" s="5" t="s">
        <v>1871</v>
      </c>
    </row>
    <row r="1989" customFormat="false" ht="15.75" hidden="false" customHeight="false" outlineLevel="0" collapsed="false">
      <c r="A1989" s="3" t="n">
        <v>46214</v>
      </c>
      <c r="B1989" s="4" t="s">
        <v>915</v>
      </c>
      <c r="C1989" s="4" t="n">
        <v>10</v>
      </c>
      <c r="D1989" s="4" t="n">
        <v>6</v>
      </c>
      <c r="E1989" s="4" t="s">
        <v>1989</v>
      </c>
      <c r="F1989" s="4" t="n">
        <v>34</v>
      </c>
      <c r="G1989" s="4" t="n">
        <v>3</v>
      </c>
      <c r="H1989" s="4" t="n">
        <v>4</v>
      </c>
      <c r="I1989" s="4" t="str">
        <v>×</v>
      </c>
      <c r="J1989" s="4"/>
      <c r="K1989" s="4"/>
      <c r="L1989" s="4"/>
      <c r="M1989" s="5" t="s">
        <v>1871</v>
      </c>
    </row>
    <row r="1990" customFormat="false" ht="15.75" hidden="false" customHeight="false" outlineLevel="0" collapsed="false">
      <c r="A1990" s="3" t="n">
        <v>46214</v>
      </c>
      <c r="B1990" s="4" t="s">
        <v>915</v>
      </c>
      <c r="C1990" s="4" t="n">
        <v>10</v>
      </c>
      <c r="D1990" s="4" t="n">
        <v>7</v>
      </c>
      <c r="E1990" s="4" t="s">
        <v>102</v>
      </c>
      <c r="F1990" s="4" t="n">
        <v>23</v>
      </c>
      <c r="G1990" s="4" t="n">
        <v>6</v>
      </c>
      <c r="H1990" s="4" t="n">
        <v>4</v>
      </c>
      <c r="I1990" s="4" t="str">
        <v>×</v>
      </c>
      <c r="J1990" s="4"/>
      <c r="K1990" s="4"/>
      <c r="L1990" s="4"/>
      <c r="M1990" s="5" t="s">
        <v>1871</v>
      </c>
    </row>
    <row r="1991" customFormat="false" ht="15.75" hidden="false" customHeight="false" outlineLevel="0" collapsed="false">
      <c r="A1991" s="3" t="n">
        <v>46214</v>
      </c>
      <c r="B1991" s="4" t="s">
        <v>915</v>
      </c>
      <c r="C1991" s="4" t="n">
        <v>10</v>
      </c>
      <c r="D1991" s="4" t="n">
        <v>8</v>
      </c>
      <c r="E1991" s="4" t="s">
        <v>1990</v>
      </c>
      <c r="F1991" s="4" t="n">
        <v>34</v>
      </c>
      <c r="G1991" s="4" t="n">
        <v>3</v>
      </c>
      <c r="H1991" s="4" t="n">
        <v>1</v>
      </c>
      <c r="I1991" s="4" t="str">
        <v>○</v>
      </c>
      <c r="J1991" s="4" t="n">
        <v>110</v>
      </c>
      <c r="K1991" s="4"/>
      <c r="L1991" s="4"/>
      <c r="M1991" s="5" t="s">
        <v>1871</v>
      </c>
    </row>
    <row r="1992" customFormat="false" ht="15.75" hidden="false" customHeight="false" outlineLevel="0" collapsed="false">
      <c r="A1992" s="3" t="n">
        <v>46214</v>
      </c>
      <c r="B1992" s="4" t="s">
        <v>915</v>
      </c>
      <c r="C1992" s="4" t="n">
        <v>10</v>
      </c>
      <c r="D1992" s="4" t="n">
        <v>9</v>
      </c>
      <c r="E1992" s="4" t="s">
        <v>1991</v>
      </c>
      <c r="F1992" s="4" t="n">
        <v>23</v>
      </c>
      <c r="G1992" s="4" t="n">
        <v>6</v>
      </c>
      <c r="H1992" s="4" t="n">
        <v>2</v>
      </c>
      <c r="I1992" s="4" t="str">
        <v>○</v>
      </c>
      <c r="J1992" s="4" t="n">
        <v>230</v>
      </c>
      <c r="K1992" s="4"/>
      <c r="L1992" s="4"/>
      <c r="M1992" s="5" t="s">
        <v>1871</v>
      </c>
    </row>
    <row r="1993" customFormat="false" ht="15.75" hidden="false" customHeight="false" outlineLevel="0" collapsed="false">
      <c r="A1993" s="3" t="n">
        <v>46214</v>
      </c>
      <c r="B1993" s="4" t="s">
        <v>915</v>
      </c>
      <c r="C1993" s="4" t="n">
        <v>11</v>
      </c>
      <c r="D1993" s="4" t="n">
        <v>1</v>
      </c>
      <c r="E1993" s="4" t="s">
        <v>1992</v>
      </c>
      <c r="F1993" s="4" t="n">
        <v>29</v>
      </c>
      <c r="G1993" s="4" t="n">
        <v>4</v>
      </c>
      <c r="H1993" s="4" t="n">
        <v>4</v>
      </c>
      <c r="I1993" s="4" t="str">
        <v>×</v>
      </c>
      <c r="J1993" s="4"/>
      <c r="K1993" s="4"/>
      <c r="L1993" s="4"/>
      <c r="M1993" s="5" t="s">
        <v>1871</v>
      </c>
    </row>
    <row r="1994" customFormat="false" ht="15.75" hidden="false" customHeight="false" outlineLevel="0" collapsed="false">
      <c r="A1994" s="3" t="n">
        <v>46214</v>
      </c>
      <c r="B1994" s="4" t="s">
        <v>915</v>
      </c>
      <c r="C1994" s="4" t="n">
        <v>11</v>
      </c>
      <c r="D1994" s="4" t="n">
        <v>2</v>
      </c>
      <c r="E1994" s="4" t="s">
        <v>1993</v>
      </c>
      <c r="F1994" s="4" t="n">
        <v>23</v>
      </c>
      <c r="G1994" s="4" t="n">
        <v>5</v>
      </c>
      <c r="H1994" s="4" t="n">
        <v>4</v>
      </c>
      <c r="I1994" s="4" t="str">
        <v>×</v>
      </c>
      <c r="J1994" s="4"/>
      <c r="K1994" s="4"/>
      <c r="L1994" s="4"/>
      <c r="M1994" s="5" t="s">
        <v>1871</v>
      </c>
    </row>
    <row r="1995" customFormat="false" ht="15.75" hidden="false" customHeight="false" outlineLevel="0" collapsed="false">
      <c r="A1995" s="3" t="n">
        <v>46214</v>
      </c>
      <c r="B1995" s="4" t="s">
        <v>915</v>
      </c>
      <c r="C1995" s="4" t="n">
        <v>11</v>
      </c>
      <c r="D1995" s="4" t="n">
        <v>3</v>
      </c>
      <c r="E1995" s="4" t="s">
        <v>1994</v>
      </c>
      <c r="F1995" s="4" t="n">
        <v>44</v>
      </c>
      <c r="G1995" s="4" t="n">
        <v>2</v>
      </c>
      <c r="H1995" s="4" t="n">
        <v>4</v>
      </c>
      <c r="I1995" s="4" t="str">
        <v>×</v>
      </c>
      <c r="J1995" s="4"/>
      <c r="K1995" s="4"/>
      <c r="L1995" s="4"/>
      <c r="M1995" s="5" t="s">
        <v>1871</v>
      </c>
    </row>
    <row r="1996" customFormat="false" ht="15.75" hidden="false" customHeight="false" outlineLevel="0" collapsed="false">
      <c r="A1996" s="3" t="n">
        <v>46214</v>
      </c>
      <c r="B1996" s="4" t="s">
        <v>915</v>
      </c>
      <c r="C1996" s="4" t="n">
        <v>11</v>
      </c>
      <c r="D1996" s="4" t="n">
        <v>4</v>
      </c>
      <c r="E1996" s="4" t="s">
        <v>1995</v>
      </c>
      <c r="F1996" s="4" t="n">
        <v>52</v>
      </c>
      <c r="G1996" s="4" t="n">
        <v>1</v>
      </c>
      <c r="H1996" s="4" t="n">
        <v>4</v>
      </c>
      <c r="I1996" s="4" t="str">
        <v>×</v>
      </c>
      <c r="J1996" s="4"/>
      <c r="K1996" s="4"/>
      <c r="L1996" s="4"/>
      <c r="M1996" s="5" t="s">
        <v>1871</v>
      </c>
    </row>
    <row r="1997" customFormat="false" ht="15.75" hidden="false" customHeight="false" outlineLevel="0" collapsed="false">
      <c r="A1997" s="3" t="n">
        <v>46214</v>
      </c>
      <c r="B1997" s="4" t="s">
        <v>915</v>
      </c>
      <c r="C1997" s="4" t="n">
        <v>11</v>
      </c>
      <c r="D1997" s="4" t="n">
        <v>5</v>
      </c>
      <c r="E1997" s="4" t="s">
        <v>1996</v>
      </c>
      <c r="F1997" s="4" t="n">
        <v>34</v>
      </c>
      <c r="G1997" s="4" t="n">
        <v>3</v>
      </c>
      <c r="H1997" s="4" t="n">
        <v>1</v>
      </c>
      <c r="I1997" s="4" t="str">
        <v>○</v>
      </c>
      <c r="J1997" s="4" t="n">
        <v>210</v>
      </c>
      <c r="K1997" s="4"/>
      <c r="L1997" s="4"/>
      <c r="M1997" s="5" t="s">
        <v>1871</v>
      </c>
    </row>
    <row r="1998" customFormat="false" ht="15.75" hidden="false" customHeight="false" outlineLevel="0" collapsed="false">
      <c r="A1998" s="3" t="n">
        <v>46214</v>
      </c>
      <c r="B1998" s="4" t="s">
        <v>915</v>
      </c>
      <c r="C1998" s="4" t="n">
        <v>11</v>
      </c>
      <c r="D1998" s="4" t="n">
        <v>6</v>
      </c>
      <c r="E1998" s="4" t="s">
        <v>1997</v>
      </c>
      <c r="F1998" s="4" t="n">
        <v>23</v>
      </c>
      <c r="G1998" s="4" t="n">
        <v>5</v>
      </c>
      <c r="H1998" s="4" t="n">
        <v>4</v>
      </c>
      <c r="I1998" s="4" t="str">
        <v>×</v>
      </c>
      <c r="J1998" s="4"/>
      <c r="K1998" s="4"/>
      <c r="L1998" s="4"/>
      <c r="M1998" s="5" t="s">
        <v>1871</v>
      </c>
    </row>
    <row r="1999" customFormat="false" ht="15.75" hidden="false" customHeight="false" outlineLevel="0" collapsed="false">
      <c r="A1999" s="3" t="n">
        <v>46214</v>
      </c>
      <c r="B1999" s="4" t="s">
        <v>915</v>
      </c>
      <c r="C1999" s="4" t="n">
        <v>11</v>
      </c>
      <c r="D1999" s="4" t="n">
        <v>7</v>
      </c>
      <c r="E1999" s="4" t="s">
        <v>1998</v>
      </c>
      <c r="F1999" s="4" t="n">
        <v>10</v>
      </c>
      <c r="G1999" s="4" t="n">
        <v>8</v>
      </c>
      <c r="H1999" s="4" t="n">
        <v>2</v>
      </c>
      <c r="I1999" s="4" t="str">
        <v>○</v>
      </c>
      <c r="J1999" s="4" t="n">
        <v>740</v>
      </c>
      <c r="K1999" s="4"/>
      <c r="L1999" s="4"/>
      <c r="M1999" s="5" t="s">
        <v>1871</v>
      </c>
    </row>
    <row r="2000" customFormat="false" ht="15.75" hidden="false" customHeight="false" outlineLevel="0" collapsed="false">
      <c r="A2000" s="3" t="n">
        <v>46214</v>
      </c>
      <c r="B2000" s="4" t="s">
        <v>915</v>
      </c>
      <c r="C2000" s="4" t="n">
        <v>11</v>
      </c>
      <c r="D2000" s="4" t="n">
        <v>8</v>
      </c>
      <c r="E2000" s="4" t="s">
        <v>1999</v>
      </c>
      <c r="F2000" s="4" t="n">
        <v>10</v>
      </c>
      <c r="G2000" s="4" t="n">
        <v>8</v>
      </c>
      <c r="H2000" s="4" t="n">
        <v>4</v>
      </c>
      <c r="I2000" s="4" t="str">
        <v>×</v>
      </c>
      <c r="J2000" s="4"/>
      <c r="K2000" s="4"/>
      <c r="L2000" s="4"/>
      <c r="M2000" s="5" t="s">
        <v>1871</v>
      </c>
    </row>
    <row r="2001" customFormat="false" ht="15.75" hidden="false" customHeight="false" outlineLevel="0" collapsed="false">
      <c r="A2001" s="3" t="n">
        <v>46214</v>
      </c>
      <c r="B2001" s="4" t="s">
        <v>915</v>
      </c>
      <c r="C2001" s="4" t="n">
        <v>11</v>
      </c>
      <c r="D2001" s="4" t="n">
        <v>9</v>
      </c>
      <c r="E2001" s="4" t="s">
        <v>2000</v>
      </c>
      <c r="F2001" s="4" t="n">
        <v>20</v>
      </c>
      <c r="G2001" s="4" t="n">
        <v>7</v>
      </c>
      <c r="H2001" s="4" t="n">
        <v>3</v>
      </c>
      <c r="I2001" s="4" t="str">
        <v>○</v>
      </c>
      <c r="J2001" s="4" t="n">
        <v>200</v>
      </c>
      <c r="K2001" s="4"/>
      <c r="L2001" s="4"/>
      <c r="M2001" s="5" t="s">
        <v>1871</v>
      </c>
    </row>
    <row r="2002" customFormat="false" ht="15.75" hidden="false" customHeight="false" outlineLevel="0" collapsed="false">
      <c r="A2002" s="3" t="n">
        <v>46214</v>
      </c>
      <c r="B2002" s="4" t="s">
        <v>915</v>
      </c>
      <c r="C2002" s="4" t="n">
        <v>12</v>
      </c>
      <c r="D2002" s="4" t="n">
        <v>1</v>
      </c>
      <c r="E2002" s="4" t="s">
        <v>2001</v>
      </c>
      <c r="F2002" s="4" t="n">
        <v>8</v>
      </c>
      <c r="G2002" s="4" t="n">
        <v>12</v>
      </c>
      <c r="H2002" s="4" t="n">
        <v>4</v>
      </c>
      <c r="I2002" s="4" t="str">
        <v>×</v>
      </c>
      <c r="J2002" s="4"/>
      <c r="K2002" s="4"/>
      <c r="L2002" s="4"/>
      <c r="M2002" s="5" t="s">
        <v>1871</v>
      </c>
    </row>
    <row r="2003" customFormat="false" ht="15.75" hidden="false" customHeight="false" outlineLevel="0" collapsed="false">
      <c r="A2003" s="3" t="n">
        <v>46214</v>
      </c>
      <c r="B2003" s="4" t="s">
        <v>915</v>
      </c>
      <c r="C2003" s="4" t="n">
        <v>12</v>
      </c>
      <c r="D2003" s="4" t="n">
        <v>2</v>
      </c>
      <c r="E2003" s="4" t="s">
        <v>2002</v>
      </c>
      <c r="F2003" s="4" t="n">
        <v>10</v>
      </c>
      <c r="G2003" s="4" t="n">
        <v>9</v>
      </c>
      <c r="H2003" s="4" t="n">
        <v>4</v>
      </c>
      <c r="I2003" s="4" t="str">
        <v>×</v>
      </c>
      <c r="J2003" s="4"/>
      <c r="K2003" s="4"/>
      <c r="L2003" s="4"/>
      <c r="M2003" s="5" t="s">
        <v>1871</v>
      </c>
    </row>
    <row r="2004" customFormat="false" ht="15.75" hidden="false" customHeight="false" outlineLevel="0" collapsed="false">
      <c r="A2004" s="3" t="n">
        <v>46214</v>
      </c>
      <c r="B2004" s="4" t="s">
        <v>915</v>
      </c>
      <c r="C2004" s="4" t="n">
        <v>12</v>
      </c>
      <c r="D2004" s="4" t="n">
        <v>3</v>
      </c>
      <c r="E2004" s="4" t="s">
        <v>2003</v>
      </c>
      <c r="F2004" s="4" t="n">
        <v>8</v>
      </c>
      <c r="G2004" s="4" t="n">
        <v>12</v>
      </c>
      <c r="H2004" s="4" t="n">
        <v>4</v>
      </c>
      <c r="I2004" s="4" t="str">
        <v>×</v>
      </c>
      <c r="J2004" s="4"/>
      <c r="K2004" s="4"/>
      <c r="L2004" s="4"/>
      <c r="M2004" s="5" t="s">
        <v>1871</v>
      </c>
    </row>
    <row r="2005" customFormat="false" ht="15.75" hidden="false" customHeight="false" outlineLevel="0" collapsed="false">
      <c r="A2005" s="3" t="n">
        <v>46214</v>
      </c>
      <c r="B2005" s="4" t="s">
        <v>915</v>
      </c>
      <c r="C2005" s="4" t="n">
        <v>12</v>
      </c>
      <c r="D2005" s="4" t="n">
        <v>4</v>
      </c>
      <c r="E2005" s="4" t="s">
        <v>2004</v>
      </c>
      <c r="F2005" s="4" t="n">
        <v>10</v>
      </c>
      <c r="G2005" s="4" t="n">
        <v>9</v>
      </c>
      <c r="H2005" s="4" t="n">
        <v>4</v>
      </c>
      <c r="I2005" s="4" t="str">
        <v>×</v>
      </c>
      <c r="J2005" s="4"/>
      <c r="K2005" s="4"/>
      <c r="L2005" s="4"/>
      <c r="M2005" s="5" t="s">
        <v>1871</v>
      </c>
    </row>
    <row r="2006" customFormat="false" ht="15.75" hidden="false" customHeight="false" outlineLevel="0" collapsed="false">
      <c r="A2006" s="3" t="n">
        <v>46214</v>
      </c>
      <c r="B2006" s="4" t="s">
        <v>915</v>
      </c>
      <c r="C2006" s="4" t="n">
        <v>12</v>
      </c>
      <c r="D2006" s="4" t="n">
        <v>5</v>
      </c>
      <c r="E2006" s="4" t="s">
        <v>2005</v>
      </c>
      <c r="F2006" s="4" t="n">
        <v>4</v>
      </c>
      <c r="G2006" s="4" t="n">
        <v>15</v>
      </c>
      <c r="H2006" s="4" t="n">
        <v>4</v>
      </c>
      <c r="I2006" s="4" t="str">
        <v>×</v>
      </c>
      <c r="J2006" s="4"/>
      <c r="K2006" s="4"/>
      <c r="L2006" s="4"/>
      <c r="M2006" s="5" t="s">
        <v>1871</v>
      </c>
    </row>
    <row r="2007" customFormat="false" ht="15.75" hidden="false" customHeight="false" outlineLevel="0" collapsed="false">
      <c r="A2007" s="3" t="n">
        <v>46214</v>
      </c>
      <c r="B2007" s="4" t="s">
        <v>915</v>
      </c>
      <c r="C2007" s="4" t="n">
        <v>12</v>
      </c>
      <c r="D2007" s="4" t="n">
        <v>6</v>
      </c>
      <c r="E2007" s="4" t="s">
        <v>2006</v>
      </c>
      <c r="F2007" s="4" t="n">
        <v>47</v>
      </c>
      <c r="G2007" s="4" t="n">
        <v>2</v>
      </c>
      <c r="H2007" s="4" t="n">
        <v>1</v>
      </c>
      <c r="I2007" s="4" t="str">
        <v>○</v>
      </c>
      <c r="J2007" s="4" t="n">
        <v>280</v>
      </c>
      <c r="K2007" s="4"/>
      <c r="L2007" s="4"/>
      <c r="M2007" s="5" t="s">
        <v>1871</v>
      </c>
    </row>
    <row r="2008" customFormat="false" ht="15.75" hidden="false" customHeight="false" outlineLevel="0" collapsed="false">
      <c r="A2008" s="3" t="n">
        <v>46214</v>
      </c>
      <c r="B2008" s="4" t="s">
        <v>915</v>
      </c>
      <c r="C2008" s="4" t="n">
        <v>12</v>
      </c>
      <c r="D2008" s="4" t="n">
        <v>7</v>
      </c>
      <c r="E2008" s="4" t="s">
        <v>2007</v>
      </c>
      <c r="F2008" s="4" t="n">
        <v>25</v>
      </c>
      <c r="G2008" s="4" t="n">
        <v>4</v>
      </c>
      <c r="H2008" s="4" t="n">
        <v>4</v>
      </c>
      <c r="I2008" s="4" t="str">
        <v>×</v>
      </c>
      <c r="J2008" s="4"/>
      <c r="K2008" s="4"/>
      <c r="L2008" s="4"/>
      <c r="M2008" s="5" t="s">
        <v>1871</v>
      </c>
    </row>
    <row r="2009" customFormat="false" ht="15.75" hidden="false" customHeight="false" outlineLevel="0" collapsed="false">
      <c r="A2009" s="3" t="n">
        <v>46214</v>
      </c>
      <c r="B2009" s="4" t="s">
        <v>915</v>
      </c>
      <c r="C2009" s="4" t="n">
        <v>12</v>
      </c>
      <c r="D2009" s="4" t="n">
        <v>8</v>
      </c>
      <c r="E2009" s="4" t="s">
        <v>2008</v>
      </c>
      <c r="F2009" s="4" t="n">
        <v>13</v>
      </c>
      <c r="G2009" s="4" t="n">
        <v>8</v>
      </c>
      <c r="H2009" s="4" t="n">
        <v>4</v>
      </c>
      <c r="I2009" s="4" t="str">
        <v>×</v>
      </c>
      <c r="J2009" s="4"/>
      <c r="K2009" s="4"/>
      <c r="L2009" s="4"/>
      <c r="M2009" s="5" t="s">
        <v>1871</v>
      </c>
    </row>
    <row r="2010" customFormat="false" ht="15.75" hidden="false" customHeight="false" outlineLevel="0" collapsed="false">
      <c r="A2010" s="3" t="n">
        <v>46214</v>
      </c>
      <c r="B2010" s="4" t="s">
        <v>915</v>
      </c>
      <c r="C2010" s="4" t="n">
        <v>12</v>
      </c>
      <c r="D2010" s="4" t="n">
        <v>9</v>
      </c>
      <c r="E2010" s="4" t="s">
        <v>2009</v>
      </c>
      <c r="F2010" s="4" t="n">
        <v>25</v>
      </c>
      <c r="G2010" s="4" t="n">
        <v>4</v>
      </c>
      <c r="H2010" s="4" t="n">
        <v>4</v>
      </c>
      <c r="I2010" s="4" t="str">
        <v>×</v>
      </c>
      <c r="J2010" s="4"/>
      <c r="K2010" s="4"/>
      <c r="L2010" s="4"/>
      <c r="M2010" s="5" t="s">
        <v>1871</v>
      </c>
    </row>
    <row r="2011" customFormat="false" ht="15.75" hidden="false" customHeight="false" outlineLevel="0" collapsed="false">
      <c r="A2011" s="3" t="n">
        <v>46214</v>
      </c>
      <c r="B2011" s="4" t="s">
        <v>915</v>
      </c>
      <c r="C2011" s="4" t="n">
        <v>12</v>
      </c>
      <c r="D2011" s="4" t="n">
        <v>10</v>
      </c>
      <c r="E2011" s="4" t="s">
        <v>2010</v>
      </c>
      <c r="F2011" s="4" t="n">
        <v>29</v>
      </c>
      <c r="G2011" s="4" t="n">
        <v>3</v>
      </c>
      <c r="H2011" s="4" t="n">
        <v>4</v>
      </c>
      <c r="I2011" s="4" t="str">
        <v>×</v>
      </c>
      <c r="J2011" s="4"/>
      <c r="K2011" s="4"/>
      <c r="L2011" s="4"/>
      <c r="M2011" s="5" t="s">
        <v>1871</v>
      </c>
    </row>
    <row r="2012" customFormat="false" ht="15.75" hidden="false" customHeight="false" outlineLevel="0" collapsed="false">
      <c r="A2012" s="3" t="n">
        <v>46214</v>
      </c>
      <c r="B2012" s="4" t="s">
        <v>915</v>
      </c>
      <c r="C2012" s="4" t="n">
        <v>12</v>
      </c>
      <c r="D2012" s="4" t="n">
        <v>11</v>
      </c>
      <c r="E2012" s="4" t="s">
        <v>2011</v>
      </c>
      <c r="F2012" s="4" t="n">
        <v>10</v>
      </c>
      <c r="G2012" s="4" t="n">
        <v>9</v>
      </c>
      <c r="H2012" s="4" t="n">
        <v>4</v>
      </c>
      <c r="I2012" s="4" t="str">
        <v>×</v>
      </c>
      <c r="J2012" s="4"/>
      <c r="K2012" s="4"/>
      <c r="L2012" s="4"/>
      <c r="M2012" s="5" t="s">
        <v>1871</v>
      </c>
    </row>
    <row r="2013" customFormat="false" ht="15.75" hidden="false" customHeight="false" outlineLevel="0" collapsed="false">
      <c r="A2013" s="3" t="n">
        <v>46214</v>
      </c>
      <c r="B2013" s="4" t="s">
        <v>915</v>
      </c>
      <c r="C2013" s="4" t="n">
        <v>12</v>
      </c>
      <c r="D2013" s="4" t="n">
        <v>12</v>
      </c>
      <c r="E2013" s="4" t="s">
        <v>2012</v>
      </c>
      <c r="F2013" s="4" t="n">
        <v>20</v>
      </c>
      <c r="G2013" s="4" t="n">
        <v>7</v>
      </c>
      <c r="H2013" s="4" t="n">
        <v>4</v>
      </c>
      <c r="I2013" s="4" t="str">
        <v>×</v>
      </c>
      <c r="J2013" s="4"/>
      <c r="K2013" s="4"/>
      <c r="L2013" s="4"/>
      <c r="M2013" s="5" t="s">
        <v>1871</v>
      </c>
    </row>
    <row r="2014" customFormat="false" ht="15.75" hidden="false" customHeight="false" outlineLevel="0" collapsed="false">
      <c r="A2014" s="3" t="n">
        <v>46214</v>
      </c>
      <c r="B2014" s="4" t="s">
        <v>915</v>
      </c>
      <c r="C2014" s="4" t="n">
        <v>12</v>
      </c>
      <c r="D2014" s="4" t="n">
        <v>13</v>
      </c>
      <c r="E2014" s="4" t="s">
        <v>2013</v>
      </c>
      <c r="F2014" s="4" t="n">
        <v>25</v>
      </c>
      <c r="G2014" s="4" t="n">
        <v>4</v>
      </c>
      <c r="H2014" s="4" t="n">
        <v>2</v>
      </c>
      <c r="I2014" s="4" t="str">
        <v>○</v>
      </c>
      <c r="J2014" s="4" t="n">
        <v>220</v>
      </c>
      <c r="K2014" s="4"/>
      <c r="L2014" s="4"/>
      <c r="M2014" s="5" t="s">
        <v>1871</v>
      </c>
    </row>
    <row r="2015" customFormat="false" ht="15.75" hidden="false" customHeight="false" outlineLevel="0" collapsed="false">
      <c r="A2015" s="3" t="n">
        <v>46214</v>
      </c>
      <c r="B2015" s="4" t="s">
        <v>915</v>
      </c>
      <c r="C2015" s="4" t="n">
        <v>12</v>
      </c>
      <c r="D2015" s="4" t="n">
        <v>14</v>
      </c>
      <c r="E2015" s="4" t="s">
        <v>2014</v>
      </c>
      <c r="F2015" s="4" t="n">
        <v>8</v>
      </c>
      <c r="G2015" s="4" t="n">
        <v>12</v>
      </c>
      <c r="H2015" s="4" t="n">
        <v>4</v>
      </c>
      <c r="I2015" s="4" t="str">
        <v>×</v>
      </c>
      <c r="J2015" s="4"/>
      <c r="K2015" s="4"/>
      <c r="L2015" s="4"/>
      <c r="M2015" s="5" t="s">
        <v>1871</v>
      </c>
    </row>
    <row r="2016" customFormat="false" ht="15.75" hidden="false" customHeight="false" outlineLevel="0" collapsed="false">
      <c r="A2016" s="3" t="n">
        <v>46214</v>
      </c>
      <c r="B2016" s="4" t="s">
        <v>915</v>
      </c>
      <c r="C2016" s="4" t="n">
        <v>12</v>
      </c>
      <c r="D2016" s="4" t="n">
        <v>15</v>
      </c>
      <c r="E2016" s="4" t="s">
        <v>2015</v>
      </c>
      <c r="F2016" s="4" t="n">
        <v>62</v>
      </c>
      <c r="G2016" s="4" t="n">
        <v>1</v>
      </c>
      <c r="H2016" s="4" t="n">
        <v>3</v>
      </c>
      <c r="I2016" s="4" t="str">
        <v>○</v>
      </c>
      <c r="J2016" s="4" t="n">
        <v>170</v>
      </c>
      <c r="K2016" s="4"/>
      <c r="L2016" s="4"/>
      <c r="M2016" s="5" t="s">
        <v>1871</v>
      </c>
    </row>
    <row r="2017" customFormat="false" ht="15.75" hidden="false" customHeight="false" outlineLevel="0" collapsed="false">
      <c r="A2017" s="3" t="n">
        <v>46214</v>
      </c>
      <c r="B2017" s="4" t="s">
        <v>1091</v>
      </c>
      <c r="C2017" s="4" t="n">
        <v>1</v>
      </c>
      <c r="D2017" s="4" t="n">
        <v>1</v>
      </c>
      <c r="E2017" s="4" t="s">
        <v>2016</v>
      </c>
      <c r="F2017" s="4" t="n">
        <v>41</v>
      </c>
      <c r="G2017" s="4" t="n">
        <v>3</v>
      </c>
      <c r="H2017" s="4" t="n">
        <v>4</v>
      </c>
      <c r="I2017" s="4" t="str">
        <v>×</v>
      </c>
      <c r="J2017" s="4"/>
      <c r="K2017" s="4"/>
      <c r="L2017" s="4"/>
      <c r="M2017" s="5" t="s">
        <v>1871</v>
      </c>
    </row>
    <row r="2018" customFormat="false" ht="15.75" hidden="false" customHeight="false" outlineLevel="0" collapsed="false">
      <c r="A2018" s="3" t="n">
        <v>46214</v>
      </c>
      <c r="B2018" s="4" t="s">
        <v>1091</v>
      </c>
      <c r="C2018" s="4" t="n">
        <v>1</v>
      </c>
      <c r="D2018" s="4" t="n">
        <v>2</v>
      </c>
      <c r="E2018" s="4" t="s">
        <v>2017</v>
      </c>
      <c r="F2018" s="4" t="n">
        <v>23</v>
      </c>
      <c r="G2018" s="4" t="n">
        <v>4</v>
      </c>
      <c r="H2018" s="4" t="n">
        <v>3</v>
      </c>
      <c r="I2018" s="4" t="str">
        <v>○</v>
      </c>
      <c r="J2018" s="4" t="n">
        <v>410</v>
      </c>
      <c r="K2018" s="4"/>
      <c r="L2018" s="4"/>
      <c r="M2018" s="5" t="s">
        <v>1871</v>
      </c>
    </row>
    <row r="2019" customFormat="false" ht="15.75" hidden="false" customHeight="false" outlineLevel="0" collapsed="false">
      <c r="A2019" s="3" t="n">
        <v>46214</v>
      </c>
      <c r="B2019" s="4" t="s">
        <v>1091</v>
      </c>
      <c r="C2019" s="4" t="n">
        <v>1</v>
      </c>
      <c r="D2019" s="4" t="n">
        <v>3</v>
      </c>
      <c r="E2019" s="4" t="s">
        <v>2018</v>
      </c>
      <c r="F2019" s="4" t="n">
        <v>6</v>
      </c>
      <c r="G2019" s="4" t="n">
        <v>10</v>
      </c>
      <c r="H2019" s="4" t="n">
        <v>4</v>
      </c>
      <c r="I2019" s="4" t="str">
        <v>×</v>
      </c>
      <c r="J2019" s="4"/>
      <c r="K2019" s="4"/>
      <c r="L2019" s="4"/>
      <c r="M2019" s="5" t="s">
        <v>1871</v>
      </c>
    </row>
    <row r="2020" customFormat="false" ht="15.75" hidden="false" customHeight="false" outlineLevel="0" collapsed="false">
      <c r="A2020" s="3" t="n">
        <v>46214</v>
      </c>
      <c r="B2020" s="4" t="s">
        <v>1091</v>
      </c>
      <c r="C2020" s="4" t="n">
        <v>1</v>
      </c>
      <c r="D2020" s="4" t="n">
        <v>4</v>
      </c>
      <c r="E2020" s="4" t="s">
        <v>2019</v>
      </c>
      <c r="F2020" s="4" t="n">
        <v>4</v>
      </c>
      <c r="G2020" s="4" t="n">
        <v>12</v>
      </c>
      <c r="H2020" s="4" t="n">
        <v>4</v>
      </c>
      <c r="I2020" s="4" t="str">
        <v>×</v>
      </c>
      <c r="J2020" s="4"/>
      <c r="K2020" s="4"/>
      <c r="L2020" s="4"/>
      <c r="M2020" s="5" t="s">
        <v>1871</v>
      </c>
    </row>
    <row r="2021" customFormat="false" ht="15.75" hidden="false" customHeight="false" outlineLevel="0" collapsed="false">
      <c r="A2021" s="3" t="n">
        <v>46214</v>
      </c>
      <c r="B2021" s="4" t="s">
        <v>1091</v>
      </c>
      <c r="C2021" s="4" t="n">
        <v>1</v>
      </c>
      <c r="D2021" s="4" t="n">
        <v>5</v>
      </c>
      <c r="E2021" s="4" t="s">
        <v>2020</v>
      </c>
      <c r="F2021" s="4" t="n">
        <v>17</v>
      </c>
      <c r="G2021" s="4" t="n">
        <v>6</v>
      </c>
      <c r="H2021" s="4" t="n">
        <v>4</v>
      </c>
      <c r="I2021" s="4" t="str">
        <v>×</v>
      </c>
      <c r="J2021" s="4"/>
      <c r="K2021" s="4"/>
      <c r="L2021" s="4"/>
      <c r="M2021" s="5" t="s">
        <v>1871</v>
      </c>
    </row>
    <row r="2022" customFormat="false" ht="15.75" hidden="false" customHeight="false" outlineLevel="0" collapsed="false">
      <c r="A2022" s="3" t="n">
        <v>46214</v>
      </c>
      <c r="B2022" s="4" t="s">
        <v>1091</v>
      </c>
      <c r="C2022" s="4" t="n">
        <v>1</v>
      </c>
      <c r="D2022" s="4" t="n">
        <v>6</v>
      </c>
      <c r="E2022" s="4" t="s">
        <v>2021</v>
      </c>
      <c r="F2022" s="4" t="n">
        <v>6</v>
      </c>
      <c r="G2022" s="4" t="n">
        <v>10</v>
      </c>
      <c r="H2022" s="4" t="n">
        <v>4</v>
      </c>
      <c r="I2022" s="4" t="str">
        <v>×</v>
      </c>
      <c r="J2022" s="4"/>
      <c r="K2022" s="4"/>
      <c r="L2022" s="4"/>
      <c r="M2022" s="5" t="s">
        <v>1871</v>
      </c>
    </row>
    <row r="2023" customFormat="false" ht="15.75" hidden="false" customHeight="false" outlineLevel="0" collapsed="false">
      <c r="A2023" s="3" t="n">
        <v>46214</v>
      </c>
      <c r="B2023" s="4" t="s">
        <v>1091</v>
      </c>
      <c r="C2023" s="4" t="n">
        <v>1</v>
      </c>
      <c r="D2023" s="4" t="n">
        <v>7</v>
      </c>
      <c r="E2023" s="4" t="s">
        <v>2022</v>
      </c>
      <c r="F2023" s="4" t="n">
        <v>15</v>
      </c>
      <c r="G2023" s="4" t="n">
        <v>7</v>
      </c>
      <c r="H2023" s="4" t="n">
        <v>4</v>
      </c>
      <c r="I2023" s="4" t="str">
        <v>×</v>
      </c>
      <c r="J2023" s="4"/>
      <c r="K2023" s="4"/>
      <c r="L2023" s="4"/>
      <c r="M2023" s="5" t="s">
        <v>1871</v>
      </c>
    </row>
    <row r="2024" customFormat="false" ht="15.75" hidden="false" customHeight="false" outlineLevel="0" collapsed="false">
      <c r="A2024" s="3" t="n">
        <v>46214</v>
      </c>
      <c r="B2024" s="4" t="s">
        <v>1091</v>
      </c>
      <c r="C2024" s="4" t="n">
        <v>1</v>
      </c>
      <c r="D2024" s="4" t="n">
        <v>8</v>
      </c>
      <c r="E2024" s="4" t="s">
        <v>2023</v>
      </c>
      <c r="F2024" s="4" t="n">
        <v>10</v>
      </c>
      <c r="G2024" s="4" t="n">
        <v>8</v>
      </c>
      <c r="H2024" s="4" t="n">
        <v>4</v>
      </c>
      <c r="I2024" s="4" t="str">
        <v>×</v>
      </c>
      <c r="J2024" s="4"/>
      <c r="K2024" s="4"/>
      <c r="L2024" s="4"/>
      <c r="M2024" s="5" t="s">
        <v>1871</v>
      </c>
    </row>
    <row r="2025" customFormat="false" ht="15.75" hidden="false" customHeight="false" outlineLevel="0" collapsed="false">
      <c r="A2025" s="3" t="n">
        <v>46214</v>
      </c>
      <c r="B2025" s="4" t="s">
        <v>1091</v>
      </c>
      <c r="C2025" s="4" t="n">
        <v>1</v>
      </c>
      <c r="D2025" s="4" t="n">
        <v>9</v>
      </c>
      <c r="E2025" s="4" t="s">
        <v>2024</v>
      </c>
      <c r="F2025" s="4" t="n">
        <v>8</v>
      </c>
      <c r="G2025" s="4" t="n">
        <v>9</v>
      </c>
      <c r="H2025" s="4" t="n">
        <v>4</v>
      </c>
      <c r="I2025" s="4" t="str">
        <v>×</v>
      </c>
      <c r="J2025" s="4"/>
      <c r="K2025" s="4"/>
      <c r="L2025" s="4"/>
      <c r="M2025" s="5" t="s">
        <v>1871</v>
      </c>
    </row>
    <row r="2026" customFormat="false" ht="15.75" hidden="false" customHeight="false" outlineLevel="0" collapsed="false">
      <c r="A2026" s="3" t="n">
        <v>46214</v>
      </c>
      <c r="B2026" s="4" t="s">
        <v>1091</v>
      </c>
      <c r="C2026" s="4" t="n">
        <v>1</v>
      </c>
      <c r="D2026" s="4" t="n">
        <v>10</v>
      </c>
      <c r="E2026" s="4" t="s">
        <v>2025</v>
      </c>
      <c r="F2026" s="4" t="n">
        <v>71</v>
      </c>
      <c r="G2026" s="4" t="n">
        <v>1</v>
      </c>
      <c r="H2026" s="4" t="n">
        <v>1</v>
      </c>
      <c r="I2026" s="4" t="str">
        <v>○</v>
      </c>
      <c r="J2026" s="4" t="n">
        <v>110</v>
      </c>
      <c r="K2026" s="4"/>
      <c r="L2026" s="4"/>
      <c r="M2026" s="5" t="s">
        <v>1871</v>
      </c>
    </row>
    <row r="2027" customFormat="false" ht="15.75" hidden="false" customHeight="false" outlineLevel="0" collapsed="false">
      <c r="A2027" s="3" t="n">
        <v>46214</v>
      </c>
      <c r="B2027" s="4" t="s">
        <v>1091</v>
      </c>
      <c r="C2027" s="4" t="n">
        <v>1</v>
      </c>
      <c r="D2027" s="4" t="n">
        <v>11</v>
      </c>
      <c r="E2027" s="4" t="s">
        <v>2026</v>
      </c>
      <c r="F2027" s="4" t="n">
        <v>62</v>
      </c>
      <c r="G2027" s="4" t="n">
        <v>2</v>
      </c>
      <c r="H2027" s="4" t="n">
        <v>4</v>
      </c>
      <c r="I2027" s="4" t="str">
        <v>×</v>
      </c>
      <c r="J2027" s="4"/>
      <c r="K2027" s="4"/>
      <c r="L2027" s="4"/>
      <c r="M2027" s="5" t="s">
        <v>1871</v>
      </c>
    </row>
    <row r="2028" customFormat="false" ht="15.75" hidden="false" customHeight="false" outlineLevel="0" collapsed="false">
      <c r="A2028" s="3" t="n">
        <v>46214</v>
      </c>
      <c r="B2028" s="4" t="s">
        <v>1091</v>
      </c>
      <c r="C2028" s="4" t="n">
        <v>1</v>
      </c>
      <c r="D2028" s="4" t="n">
        <v>12</v>
      </c>
      <c r="E2028" s="4" t="s">
        <v>2027</v>
      </c>
      <c r="F2028" s="4" t="n">
        <v>23</v>
      </c>
      <c r="G2028" s="4" t="n">
        <v>4</v>
      </c>
      <c r="H2028" s="4" t="n">
        <v>2</v>
      </c>
      <c r="I2028" s="4" t="str">
        <v>○</v>
      </c>
      <c r="J2028" s="4" t="n">
        <v>250</v>
      </c>
      <c r="K2028" s="4"/>
      <c r="L2028" s="4"/>
      <c r="M2028" s="5" t="s">
        <v>1871</v>
      </c>
    </row>
    <row r="2029" customFormat="false" ht="15.75" hidden="false" customHeight="false" outlineLevel="0" collapsed="false">
      <c r="A2029" s="3" t="n">
        <v>46214</v>
      </c>
      <c r="B2029" s="4" t="s">
        <v>1091</v>
      </c>
      <c r="C2029" s="4" t="n">
        <v>2</v>
      </c>
      <c r="D2029" s="4" t="n">
        <v>1</v>
      </c>
      <c r="E2029" s="4" t="s">
        <v>2028</v>
      </c>
      <c r="F2029" s="4" t="n">
        <v>39</v>
      </c>
      <c r="G2029" s="4" t="n">
        <v>4</v>
      </c>
      <c r="H2029" s="4" t="n">
        <v>4</v>
      </c>
      <c r="I2029" s="4" t="str">
        <v>×</v>
      </c>
      <c r="J2029" s="4"/>
      <c r="K2029" s="4"/>
      <c r="L2029" s="4"/>
      <c r="M2029" s="5" t="s">
        <v>1871</v>
      </c>
    </row>
    <row r="2030" customFormat="false" ht="15.75" hidden="false" customHeight="false" outlineLevel="0" collapsed="false">
      <c r="A2030" s="3" t="n">
        <v>46214</v>
      </c>
      <c r="B2030" s="4" t="s">
        <v>1091</v>
      </c>
      <c r="C2030" s="4" t="n">
        <v>2</v>
      </c>
      <c r="D2030" s="4" t="n">
        <v>2</v>
      </c>
      <c r="E2030" s="4" t="s">
        <v>2029</v>
      </c>
      <c r="F2030" s="4" t="n">
        <v>41</v>
      </c>
      <c r="G2030" s="4" t="n">
        <v>3</v>
      </c>
      <c r="H2030" s="4" t="n">
        <v>4</v>
      </c>
      <c r="I2030" s="4" t="str">
        <v>×</v>
      </c>
      <c r="J2030" s="4"/>
      <c r="K2030" s="4"/>
      <c r="L2030" s="4"/>
      <c r="M2030" s="5" t="s">
        <v>1871</v>
      </c>
    </row>
    <row r="2031" customFormat="false" ht="15.75" hidden="false" customHeight="false" outlineLevel="0" collapsed="false">
      <c r="A2031" s="3" t="n">
        <v>46214</v>
      </c>
      <c r="B2031" s="4" t="s">
        <v>1091</v>
      </c>
      <c r="C2031" s="4" t="n">
        <v>2</v>
      </c>
      <c r="D2031" s="4" t="n">
        <v>3</v>
      </c>
      <c r="E2031" s="4" t="s">
        <v>2030</v>
      </c>
      <c r="F2031" s="4" t="n">
        <v>3</v>
      </c>
      <c r="G2031" s="4" t="n">
        <v>13</v>
      </c>
      <c r="H2031" s="4" t="n">
        <v>4</v>
      </c>
      <c r="I2031" s="4" t="str">
        <v>×</v>
      </c>
      <c r="J2031" s="4"/>
      <c r="K2031" s="4"/>
      <c r="L2031" s="4"/>
      <c r="M2031" s="5" t="s">
        <v>1871</v>
      </c>
    </row>
    <row r="2032" customFormat="false" ht="15.75" hidden="false" customHeight="false" outlineLevel="0" collapsed="false">
      <c r="A2032" s="3" t="n">
        <v>46214</v>
      </c>
      <c r="B2032" s="4" t="s">
        <v>1091</v>
      </c>
      <c r="C2032" s="4" t="n">
        <v>2</v>
      </c>
      <c r="D2032" s="4" t="n">
        <v>4</v>
      </c>
      <c r="E2032" s="4" t="s">
        <v>2031</v>
      </c>
      <c r="F2032" s="4" t="n">
        <v>6</v>
      </c>
      <c r="G2032" s="4" t="n">
        <v>9</v>
      </c>
      <c r="H2032" s="4" t="n">
        <v>4</v>
      </c>
      <c r="I2032" s="4" t="str">
        <v>×</v>
      </c>
      <c r="J2032" s="4"/>
      <c r="K2032" s="4"/>
      <c r="L2032" s="4"/>
      <c r="M2032" s="5" t="s">
        <v>1871</v>
      </c>
    </row>
    <row r="2033" customFormat="false" ht="15.75" hidden="false" customHeight="false" outlineLevel="0" collapsed="false">
      <c r="A2033" s="3" t="n">
        <v>46214</v>
      </c>
      <c r="B2033" s="4" t="s">
        <v>1091</v>
      </c>
      <c r="C2033" s="4" t="n">
        <v>2</v>
      </c>
      <c r="D2033" s="4" t="n">
        <v>5</v>
      </c>
      <c r="E2033" s="4" t="s">
        <v>2032</v>
      </c>
      <c r="F2033" s="4" t="n">
        <v>2</v>
      </c>
      <c r="G2033" s="4" t="n">
        <v>16</v>
      </c>
      <c r="H2033" s="4" t="n">
        <v>4</v>
      </c>
      <c r="I2033" s="4" t="str">
        <v>×</v>
      </c>
      <c r="J2033" s="4"/>
      <c r="K2033" s="4"/>
      <c r="L2033" s="4"/>
      <c r="M2033" s="5" t="s">
        <v>1871</v>
      </c>
    </row>
    <row r="2034" customFormat="false" ht="15.75" hidden="false" customHeight="false" outlineLevel="0" collapsed="false">
      <c r="A2034" s="3" t="n">
        <v>46214</v>
      </c>
      <c r="B2034" s="4" t="s">
        <v>1091</v>
      </c>
      <c r="C2034" s="4" t="n">
        <v>2</v>
      </c>
      <c r="D2034" s="4" t="n">
        <v>6</v>
      </c>
      <c r="E2034" s="4" t="s">
        <v>2033</v>
      </c>
      <c r="F2034" s="4" t="n">
        <v>25</v>
      </c>
      <c r="G2034" s="4" t="n">
        <v>5</v>
      </c>
      <c r="H2034" s="4" t="n">
        <v>3</v>
      </c>
      <c r="I2034" s="4" t="str">
        <v>○</v>
      </c>
      <c r="J2034" s="4" t="n">
        <v>170</v>
      </c>
      <c r="K2034" s="4"/>
      <c r="L2034" s="4"/>
      <c r="M2034" s="5" t="s">
        <v>1871</v>
      </c>
    </row>
    <row r="2035" customFormat="false" ht="15.75" hidden="false" customHeight="false" outlineLevel="0" collapsed="false">
      <c r="A2035" s="3" t="n">
        <v>46214</v>
      </c>
      <c r="B2035" s="4" t="s">
        <v>1091</v>
      </c>
      <c r="C2035" s="4" t="n">
        <v>2</v>
      </c>
      <c r="D2035" s="4" t="n">
        <v>7</v>
      </c>
      <c r="E2035" s="4" t="s">
        <v>2034</v>
      </c>
      <c r="F2035" s="4" t="n">
        <v>4</v>
      </c>
      <c r="G2035" s="4" t="n">
        <v>10</v>
      </c>
      <c r="H2035" s="4" t="n">
        <v>4</v>
      </c>
      <c r="I2035" s="4" t="str">
        <v>×</v>
      </c>
      <c r="J2035" s="4"/>
      <c r="K2035" s="4"/>
      <c r="L2035" s="4"/>
      <c r="M2035" s="5" t="s">
        <v>1871</v>
      </c>
    </row>
    <row r="2036" customFormat="false" ht="15.75" hidden="false" customHeight="false" outlineLevel="0" collapsed="false">
      <c r="A2036" s="3" t="n">
        <v>46214</v>
      </c>
      <c r="B2036" s="4" t="s">
        <v>1091</v>
      </c>
      <c r="C2036" s="4" t="n">
        <v>2</v>
      </c>
      <c r="D2036" s="4" t="n">
        <v>8</v>
      </c>
      <c r="E2036" s="4" t="s">
        <v>2035</v>
      </c>
      <c r="F2036" s="4" t="n">
        <v>52</v>
      </c>
      <c r="G2036" s="4" t="n">
        <v>1</v>
      </c>
      <c r="H2036" s="4" t="n">
        <v>1</v>
      </c>
      <c r="I2036" s="4" t="str">
        <v>○</v>
      </c>
      <c r="J2036" s="4" t="n">
        <v>130</v>
      </c>
      <c r="K2036" s="4"/>
      <c r="L2036" s="4"/>
      <c r="M2036" s="5" t="s">
        <v>1871</v>
      </c>
    </row>
    <row r="2037" customFormat="false" ht="15.75" hidden="false" customHeight="false" outlineLevel="0" collapsed="false">
      <c r="A2037" s="3" t="n">
        <v>46214</v>
      </c>
      <c r="B2037" s="4" t="s">
        <v>1091</v>
      </c>
      <c r="C2037" s="4" t="n">
        <v>2</v>
      </c>
      <c r="D2037" s="4" t="n">
        <v>9</v>
      </c>
      <c r="E2037" s="4" t="s">
        <v>2036</v>
      </c>
      <c r="F2037" s="4" t="n">
        <v>23</v>
      </c>
      <c r="G2037" s="4" t="n">
        <v>6</v>
      </c>
      <c r="H2037" s="4" t="n">
        <v>2</v>
      </c>
      <c r="I2037" s="4" t="str">
        <v>○</v>
      </c>
      <c r="J2037" s="4" t="n">
        <v>250</v>
      </c>
      <c r="K2037" s="4"/>
      <c r="L2037" s="4"/>
      <c r="M2037" s="5" t="s">
        <v>1871</v>
      </c>
    </row>
    <row r="2038" customFormat="false" ht="15.75" hidden="false" customHeight="false" outlineLevel="0" collapsed="false">
      <c r="A2038" s="3" t="n">
        <v>46214</v>
      </c>
      <c r="B2038" s="4" t="s">
        <v>1091</v>
      </c>
      <c r="C2038" s="4" t="n">
        <v>2</v>
      </c>
      <c r="D2038" s="4" t="n">
        <v>10</v>
      </c>
      <c r="E2038" s="4" t="s">
        <v>2037</v>
      </c>
      <c r="F2038" s="4" t="n">
        <v>4</v>
      </c>
      <c r="G2038" s="4" t="n">
        <v>10</v>
      </c>
      <c r="H2038" s="4" t="n">
        <v>4</v>
      </c>
      <c r="I2038" s="4" t="str">
        <v>×</v>
      </c>
      <c r="J2038" s="4"/>
      <c r="K2038" s="4"/>
      <c r="L2038" s="4"/>
      <c r="M2038" s="5" t="s">
        <v>1871</v>
      </c>
    </row>
    <row r="2039" customFormat="false" ht="15.75" hidden="false" customHeight="false" outlineLevel="0" collapsed="false">
      <c r="A2039" s="3" t="n">
        <v>46214</v>
      </c>
      <c r="B2039" s="4" t="s">
        <v>1091</v>
      </c>
      <c r="C2039" s="4" t="n">
        <v>2</v>
      </c>
      <c r="D2039" s="4" t="n">
        <v>11</v>
      </c>
      <c r="E2039" s="4" t="s">
        <v>804</v>
      </c>
      <c r="F2039" s="4" t="n">
        <v>23</v>
      </c>
      <c r="G2039" s="4" t="n">
        <v>6</v>
      </c>
      <c r="H2039" s="4" t="n">
        <v>4</v>
      </c>
      <c r="I2039" s="4" t="str">
        <v>×</v>
      </c>
      <c r="J2039" s="4"/>
      <c r="K2039" s="4"/>
      <c r="L2039" s="4"/>
      <c r="M2039" s="5" t="s">
        <v>1871</v>
      </c>
    </row>
    <row r="2040" customFormat="false" ht="15.75" hidden="false" customHeight="false" outlineLevel="0" collapsed="false">
      <c r="A2040" s="3" t="n">
        <v>46214</v>
      </c>
      <c r="B2040" s="4" t="s">
        <v>1091</v>
      </c>
      <c r="C2040" s="4" t="n">
        <v>2</v>
      </c>
      <c r="D2040" s="4" t="n">
        <v>12</v>
      </c>
      <c r="E2040" s="4" t="s">
        <v>2038</v>
      </c>
      <c r="F2040" s="4" t="n">
        <v>8</v>
      </c>
      <c r="G2040" s="4" t="n">
        <v>8</v>
      </c>
      <c r="H2040" s="4" t="n">
        <v>4</v>
      </c>
      <c r="I2040" s="4" t="str">
        <v>×</v>
      </c>
      <c r="J2040" s="4"/>
      <c r="K2040" s="4"/>
      <c r="L2040" s="4"/>
      <c r="M2040" s="5" t="s">
        <v>1871</v>
      </c>
    </row>
    <row r="2041" customFormat="false" ht="15.75" hidden="false" customHeight="false" outlineLevel="0" collapsed="false">
      <c r="A2041" s="3" t="n">
        <v>46214</v>
      </c>
      <c r="B2041" s="4" t="s">
        <v>1091</v>
      </c>
      <c r="C2041" s="4" t="n">
        <v>2</v>
      </c>
      <c r="D2041" s="4" t="n">
        <v>13</v>
      </c>
      <c r="E2041" s="4" t="s">
        <v>2039</v>
      </c>
      <c r="F2041" s="4" t="n">
        <v>4</v>
      </c>
      <c r="G2041" s="4" t="n">
        <v>10</v>
      </c>
      <c r="H2041" s="4" t="n">
        <v>4</v>
      </c>
      <c r="I2041" s="4" t="str">
        <v>×</v>
      </c>
      <c r="J2041" s="4"/>
      <c r="K2041" s="4"/>
      <c r="L2041" s="4"/>
      <c r="M2041" s="5" t="s">
        <v>1871</v>
      </c>
    </row>
    <row r="2042" customFormat="false" ht="15.75" hidden="false" customHeight="false" outlineLevel="0" collapsed="false">
      <c r="A2042" s="3" t="n">
        <v>46214</v>
      </c>
      <c r="B2042" s="4" t="s">
        <v>1091</v>
      </c>
      <c r="C2042" s="4" t="n">
        <v>2</v>
      </c>
      <c r="D2042" s="4" t="n">
        <v>14</v>
      </c>
      <c r="E2042" s="4" t="s">
        <v>664</v>
      </c>
      <c r="F2042" s="4" t="n">
        <v>3</v>
      </c>
      <c r="G2042" s="4" t="n">
        <v>13</v>
      </c>
      <c r="H2042" s="4" t="n">
        <v>4</v>
      </c>
      <c r="I2042" s="4" t="str">
        <v>×</v>
      </c>
      <c r="J2042" s="4"/>
      <c r="K2042" s="4"/>
      <c r="L2042" s="4"/>
      <c r="M2042" s="5" t="s">
        <v>1871</v>
      </c>
    </row>
    <row r="2043" customFormat="false" ht="15.75" hidden="false" customHeight="false" outlineLevel="0" collapsed="false">
      <c r="A2043" s="3" t="n">
        <v>46214</v>
      </c>
      <c r="B2043" s="4" t="s">
        <v>1091</v>
      </c>
      <c r="C2043" s="4" t="n">
        <v>2</v>
      </c>
      <c r="D2043" s="4" t="n">
        <v>15</v>
      </c>
      <c r="E2043" s="4" t="s">
        <v>2040</v>
      </c>
      <c r="F2043" s="4" t="n">
        <v>47</v>
      </c>
      <c r="G2043" s="4" t="n">
        <v>2</v>
      </c>
      <c r="H2043" s="4" t="n">
        <v>4</v>
      </c>
      <c r="I2043" s="4" t="str">
        <v>×</v>
      </c>
      <c r="J2043" s="4"/>
      <c r="K2043" s="4"/>
      <c r="L2043" s="4"/>
      <c r="M2043" s="5" t="s">
        <v>1871</v>
      </c>
    </row>
    <row r="2044" customFormat="false" ht="15.75" hidden="false" customHeight="false" outlineLevel="0" collapsed="false">
      <c r="A2044" s="3" t="n">
        <v>46214</v>
      </c>
      <c r="B2044" s="4" t="s">
        <v>1091</v>
      </c>
      <c r="C2044" s="4" t="n">
        <v>2</v>
      </c>
      <c r="D2044" s="4" t="n">
        <v>16</v>
      </c>
      <c r="E2044" s="4" t="s">
        <v>2041</v>
      </c>
      <c r="F2044" s="4" t="n">
        <v>3</v>
      </c>
      <c r="G2044" s="4" t="n">
        <v>13</v>
      </c>
      <c r="H2044" s="4" t="n">
        <v>4</v>
      </c>
      <c r="I2044" s="4" t="str">
        <v>×</v>
      </c>
      <c r="J2044" s="4"/>
      <c r="K2044" s="4"/>
      <c r="L2044" s="4"/>
      <c r="M2044" s="5" t="s">
        <v>1871</v>
      </c>
    </row>
    <row r="2045" customFormat="false" ht="15.75" hidden="false" customHeight="false" outlineLevel="0" collapsed="false">
      <c r="A2045" s="3" t="n">
        <v>46214</v>
      </c>
      <c r="B2045" s="4" t="s">
        <v>1091</v>
      </c>
      <c r="C2045" s="4" t="n">
        <v>3</v>
      </c>
      <c r="D2045" s="4" t="n">
        <v>1</v>
      </c>
      <c r="E2045" s="4" t="s">
        <v>2042</v>
      </c>
      <c r="F2045" s="4" t="n">
        <v>8</v>
      </c>
      <c r="G2045" s="4" t="n">
        <v>11</v>
      </c>
      <c r="H2045" s="4" t="n">
        <v>4</v>
      </c>
      <c r="I2045" s="4" t="str">
        <v>×</v>
      </c>
      <c r="J2045" s="4"/>
      <c r="K2045" s="4"/>
      <c r="L2045" s="4"/>
      <c r="M2045" s="5" t="s">
        <v>1871</v>
      </c>
    </row>
    <row r="2046" customFormat="false" ht="15.75" hidden="false" customHeight="false" outlineLevel="0" collapsed="false">
      <c r="A2046" s="3" t="n">
        <v>46214</v>
      </c>
      <c r="B2046" s="4" t="s">
        <v>1091</v>
      </c>
      <c r="C2046" s="4" t="n">
        <v>3</v>
      </c>
      <c r="D2046" s="4" t="n">
        <v>2</v>
      </c>
      <c r="E2046" s="4" t="s">
        <v>2043</v>
      </c>
      <c r="F2046" s="4" t="n">
        <v>8</v>
      </c>
      <c r="G2046" s="4" t="n">
        <v>11</v>
      </c>
      <c r="H2046" s="4" t="n">
        <v>4</v>
      </c>
      <c r="I2046" s="4" t="str">
        <v>×</v>
      </c>
      <c r="J2046" s="4"/>
      <c r="K2046" s="4"/>
      <c r="L2046" s="4"/>
      <c r="M2046" s="5" t="s">
        <v>1871</v>
      </c>
    </row>
    <row r="2047" customFormat="false" ht="15.75" hidden="false" customHeight="false" outlineLevel="0" collapsed="false">
      <c r="A2047" s="3" t="n">
        <v>46214</v>
      </c>
      <c r="B2047" s="4" t="s">
        <v>1091</v>
      </c>
      <c r="C2047" s="4" t="n">
        <v>3</v>
      </c>
      <c r="D2047" s="4" t="n">
        <v>3</v>
      </c>
      <c r="E2047" s="4" t="s">
        <v>2044</v>
      </c>
      <c r="F2047" s="4" t="n">
        <v>8</v>
      </c>
      <c r="G2047" s="4" t="n">
        <v>11</v>
      </c>
      <c r="H2047" s="4" t="n">
        <v>4</v>
      </c>
      <c r="I2047" s="4" t="str">
        <v>×</v>
      </c>
      <c r="J2047" s="4"/>
      <c r="K2047" s="4"/>
      <c r="L2047" s="4"/>
      <c r="M2047" s="5" t="s">
        <v>1871</v>
      </c>
    </row>
    <row r="2048" customFormat="false" ht="15.75" hidden="false" customHeight="false" outlineLevel="0" collapsed="false">
      <c r="A2048" s="3" t="n">
        <v>46214</v>
      </c>
      <c r="B2048" s="4" t="s">
        <v>1091</v>
      </c>
      <c r="C2048" s="4" t="n">
        <v>3</v>
      </c>
      <c r="D2048" s="4" t="n">
        <v>4</v>
      </c>
      <c r="E2048" s="4" t="s">
        <v>2045</v>
      </c>
      <c r="F2048" s="4" t="n">
        <v>17</v>
      </c>
      <c r="G2048" s="4" t="n">
        <v>6</v>
      </c>
      <c r="H2048" s="4" t="n">
        <v>4</v>
      </c>
      <c r="I2048" s="4" t="str">
        <v>×</v>
      </c>
      <c r="J2048" s="4"/>
      <c r="K2048" s="4"/>
      <c r="L2048" s="4"/>
      <c r="M2048" s="5" t="s">
        <v>1871</v>
      </c>
    </row>
    <row r="2049" customFormat="false" ht="15.75" hidden="false" customHeight="false" outlineLevel="0" collapsed="false">
      <c r="A2049" s="3" t="n">
        <v>46214</v>
      </c>
      <c r="B2049" s="4" t="s">
        <v>1091</v>
      </c>
      <c r="C2049" s="4" t="n">
        <v>3</v>
      </c>
      <c r="D2049" s="4" t="n">
        <v>5</v>
      </c>
      <c r="E2049" s="4" t="s">
        <v>2046</v>
      </c>
      <c r="F2049" s="4" t="n">
        <v>2</v>
      </c>
      <c r="G2049" s="4" t="n">
        <v>16</v>
      </c>
      <c r="H2049" s="4" t="n">
        <v>4</v>
      </c>
      <c r="I2049" s="4" t="str">
        <v>×</v>
      </c>
      <c r="J2049" s="4"/>
      <c r="K2049" s="4"/>
      <c r="L2049" s="4"/>
      <c r="M2049" s="5" t="s">
        <v>1871</v>
      </c>
    </row>
    <row r="2050" customFormat="false" ht="15.75" hidden="false" customHeight="false" outlineLevel="0" collapsed="false">
      <c r="A2050" s="3" t="n">
        <v>46214</v>
      </c>
      <c r="B2050" s="4" t="s">
        <v>1091</v>
      </c>
      <c r="C2050" s="4" t="n">
        <v>3</v>
      </c>
      <c r="D2050" s="4" t="n">
        <v>6</v>
      </c>
      <c r="E2050" s="4" t="s">
        <v>2047</v>
      </c>
      <c r="F2050" s="4" t="n">
        <v>41</v>
      </c>
      <c r="G2050" s="4" t="n">
        <v>1</v>
      </c>
      <c r="H2050" s="4" t="n">
        <v>4</v>
      </c>
      <c r="I2050" s="4" t="str">
        <v>×</v>
      </c>
      <c r="J2050" s="4"/>
      <c r="K2050" s="4"/>
      <c r="L2050" s="4"/>
      <c r="M2050" s="5" t="s">
        <v>1871</v>
      </c>
    </row>
    <row r="2051" customFormat="false" ht="15.75" hidden="false" customHeight="false" outlineLevel="0" collapsed="false">
      <c r="A2051" s="3" t="n">
        <v>46214</v>
      </c>
      <c r="B2051" s="4" t="s">
        <v>1091</v>
      </c>
      <c r="C2051" s="4" t="n">
        <v>3</v>
      </c>
      <c r="D2051" s="4" t="n">
        <v>7</v>
      </c>
      <c r="E2051" s="4" t="s">
        <v>623</v>
      </c>
      <c r="F2051" s="4" t="n">
        <v>13</v>
      </c>
      <c r="G2051" s="4" t="n">
        <v>7</v>
      </c>
      <c r="H2051" s="4" t="n">
        <v>3</v>
      </c>
      <c r="I2051" s="4" t="str">
        <v>○</v>
      </c>
      <c r="J2051" s="4" t="n">
        <v>280</v>
      </c>
      <c r="K2051" s="4"/>
      <c r="L2051" s="4"/>
      <c r="M2051" s="5" t="s">
        <v>1871</v>
      </c>
    </row>
    <row r="2052" customFormat="false" ht="15.75" hidden="false" customHeight="false" outlineLevel="0" collapsed="false">
      <c r="A2052" s="3" t="n">
        <v>46214</v>
      </c>
      <c r="B2052" s="4" t="s">
        <v>1091</v>
      </c>
      <c r="C2052" s="4" t="n">
        <v>3</v>
      </c>
      <c r="D2052" s="4" t="n">
        <v>8</v>
      </c>
      <c r="E2052" s="4" t="s">
        <v>209</v>
      </c>
      <c r="F2052" s="4" t="n">
        <v>6</v>
      </c>
      <c r="G2052" s="4" t="n">
        <v>14</v>
      </c>
      <c r="H2052" s="4" t="n">
        <v>4</v>
      </c>
      <c r="I2052" s="4" t="str">
        <v>×</v>
      </c>
      <c r="J2052" s="4"/>
      <c r="K2052" s="4"/>
      <c r="L2052" s="4"/>
      <c r="M2052" s="5" t="s">
        <v>1871</v>
      </c>
    </row>
    <row r="2053" customFormat="false" ht="15.75" hidden="false" customHeight="false" outlineLevel="0" collapsed="false">
      <c r="A2053" s="3" t="n">
        <v>46214</v>
      </c>
      <c r="B2053" s="4" t="s">
        <v>1091</v>
      </c>
      <c r="C2053" s="4" t="n">
        <v>3</v>
      </c>
      <c r="D2053" s="4" t="n">
        <v>9</v>
      </c>
      <c r="E2053" s="4" t="s">
        <v>2048</v>
      </c>
      <c r="F2053" s="4" t="n">
        <v>37</v>
      </c>
      <c r="G2053" s="4" t="n">
        <v>3</v>
      </c>
      <c r="H2053" s="4" t="n">
        <v>4</v>
      </c>
      <c r="I2053" s="4" t="str">
        <v>×</v>
      </c>
      <c r="J2053" s="4"/>
      <c r="K2053" s="4"/>
      <c r="L2053" s="4"/>
      <c r="M2053" s="5" t="s">
        <v>1871</v>
      </c>
    </row>
    <row r="2054" customFormat="false" ht="15.75" hidden="false" customHeight="false" outlineLevel="0" collapsed="false">
      <c r="A2054" s="3" t="n">
        <v>46214</v>
      </c>
      <c r="B2054" s="4" t="s">
        <v>1091</v>
      </c>
      <c r="C2054" s="4" t="n">
        <v>3</v>
      </c>
      <c r="D2054" s="4" t="n">
        <v>10</v>
      </c>
      <c r="E2054" s="4" t="s">
        <v>2049</v>
      </c>
      <c r="F2054" s="4" t="n">
        <v>6</v>
      </c>
      <c r="G2054" s="4" t="n">
        <v>14</v>
      </c>
      <c r="H2054" s="4" t="n">
        <v>1</v>
      </c>
      <c r="I2054" s="4" t="str">
        <v>○</v>
      </c>
      <c r="J2054" s="4" t="n">
        <v>370</v>
      </c>
      <c r="K2054" s="4"/>
      <c r="L2054" s="4"/>
      <c r="M2054" s="5" t="s">
        <v>1871</v>
      </c>
    </row>
    <row r="2055" customFormat="false" ht="15.75" hidden="false" customHeight="false" outlineLevel="0" collapsed="false">
      <c r="A2055" s="3" t="n">
        <v>46214</v>
      </c>
      <c r="B2055" s="4" t="s">
        <v>1091</v>
      </c>
      <c r="C2055" s="4" t="n">
        <v>3</v>
      </c>
      <c r="D2055" s="4" t="n">
        <v>11</v>
      </c>
      <c r="E2055" s="4" t="s">
        <v>2050</v>
      </c>
      <c r="F2055" s="4" t="n">
        <v>2</v>
      </c>
      <c r="G2055" s="4" t="n">
        <v>16</v>
      </c>
      <c r="H2055" s="4" t="n">
        <v>4</v>
      </c>
      <c r="I2055" s="4" t="str">
        <v>×</v>
      </c>
      <c r="J2055" s="4"/>
      <c r="K2055" s="4"/>
      <c r="L2055" s="4"/>
      <c r="M2055" s="5" t="s">
        <v>1871</v>
      </c>
    </row>
    <row r="2056" customFormat="false" ht="15.75" hidden="false" customHeight="false" outlineLevel="0" collapsed="false">
      <c r="A2056" s="3" t="n">
        <v>46214</v>
      </c>
      <c r="B2056" s="4" t="s">
        <v>1091</v>
      </c>
      <c r="C2056" s="4" t="n">
        <v>3</v>
      </c>
      <c r="D2056" s="4" t="n">
        <v>12</v>
      </c>
      <c r="E2056" s="4" t="s">
        <v>2051</v>
      </c>
      <c r="F2056" s="4" t="n">
        <v>10</v>
      </c>
      <c r="G2056" s="4" t="n">
        <v>9</v>
      </c>
      <c r="H2056" s="4" t="n">
        <v>4</v>
      </c>
      <c r="I2056" s="4" t="str">
        <v>×</v>
      </c>
      <c r="J2056" s="4"/>
      <c r="K2056" s="4"/>
      <c r="L2056" s="4"/>
      <c r="M2056" s="5" t="s">
        <v>1871</v>
      </c>
    </row>
    <row r="2057" customFormat="false" ht="15.75" hidden="false" customHeight="false" outlineLevel="0" collapsed="false">
      <c r="A2057" s="3" t="n">
        <v>46214</v>
      </c>
      <c r="B2057" s="4" t="s">
        <v>1091</v>
      </c>
      <c r="C2057" s="4" t="n">
        <v>3</v>
      </c>
      <c r="D2057" s="4" t="n">
        <v>13</v>
      </c>
      <c r="E2057" s="4" t="s">
        <v>2052</v>
      </c>
      <c r="F2057" s="4" t="n">
        <v>2</v>
      </c>
      <c r="G2057" s="4" t="n">
        <v>16</v>
      </c>
      <c r="H2057" s="4" t="n">
        <v>4</v>
      </c>
      <c r="I2057" s="4" t="str">
        <v>×</v>
      </c>
      <c r="J2057" s="4"/>
      <c r="K2057" s="4"/>
      <c r="L2057" s="4"/>
      <c r="M2057" s="5" t="s">
        <v>1871</v>
      </c>
    </row>
    <row r="2058" customFormat="false" ht="15.75" hidden="false" customHeight="false" outlineLevel="0" collapsed="false">
      <c r="A2058" s="3" t="n">
        <v>46214</v>
      </c>
      <c r="B2058" s="4" t="s">
        <v>1091</v>
      </c>
      <c r="C2058" s="4" t="n">
        <v>3</v>
      </c>
      <c r="D2058" s="4" t="n">
        <v>14</v>
      </c>
      <c r="E2058" s="4" t="s">
        <v>2053</v>
      </c>
      <c r="F2058" s="4" t="n">
        <v>41</v>
      </c>
      <c r="G2058" s="4" t="n">
        <v>1</v>
      </c>
      <c r="H2058" s="4" t="n">
        <v>2</v>
      </c>
      <c r="I2058" s="4" t="str">
        <v>○</v>
      </c>
      <c r="J2058" s="4" t="n">
        <v>320</v>
      </c>
      <c r="K2058" s="4"/>
      <c r="L2058" s="4"/>
      <c r="M2058" s="5" t="s">
        <v>1871</v>
      </c>
    </row>
    <row r="2059" customFormat="false" ht="15.75" hidden="false" customHeight="false" outlineLevel="0" collapsed="false">
      <c r="A2059" s="3" t="n">
        <v>46214</v>
      </c>
      <c r="B2059" s="4" t="s">
        <v>1091</v>
      </c>
      <c r="C2059" s="4" t="n">
        <v>3</v>
      </c>
      <c r="D2059" s="4" t="n">
        <v>15</v>
      </c>
      <c r="E2059" s="4" t="s">
        <v>647</v>
      </c>
      <c r="F2059" s="4" t="n">
        <v>10</v>
      </c>
      <c r="G2059" s="4" t="n">
        <v>9</v>
      </c>
      <c r="H2059" s="4" t="n">
        <v>4</v>
      </c>
      <c r="I2059" s="4" t="str">
        <v>×</v>
      </c>
      <c r="J2059" s="4"/>
      <c r="K2059" s="4"/>
      <c r="L2059" s="4"/>
      <c r="M2059" s="5" t="s">
        <v>1871</v>
      </c>
    </row>
    <row r="2060" customFormat="false" ht="15.75" hidden="false" customHeight="false" outlineLevel="0" collapsed="false">
      <c r="A2060" s="3" t="n">
        <v>46214</v>
      </c>
      <c r="B2060" s="4" t="s">
        <v>1091</v>
      </c>
      <c r="C2060" s="4" t="n">
        <v>3</v>
      </c>
      <c r="D2060" s="4" t="n">
        <v>16</v>
      </c>
      <c r="E2060" s="4" t="s">
        <v>2054</v>
      </c>
      <c r="F2060" s="4" t="n">
        <v>25</v>
      </c>
      <c r="G2060" s="4" t="n">
        <v>5</v>
      </c>
      <c r="H2060" s="4" t="n">
        <v>4</v>
      </c>
      <c r="I2060" s="4" t="str">
        <v>×</v>
      </c>
      <c r="J2060" s="4"/>
      <c r="K2060" s="4"/>
      <c r="L2060" s="4"/>
      <c r="M2060" s="5" t="s">
        <v>1871</v>
      </c>
    </row>
    <row r="2061" customFormat="false" ht="15.75" hidden="false" customHeight="false" outlineLevel="0" collapsed="false">
      <c r="A2061" s="3" t="n">
        <v>46214</v>
      </c>
      <c r="B2061" s="4" t="s">
        <v>1091</v>
      </c>
      <c r="C2061" s="4" t="n">
        <v>3</v>
      </c>
      <c r="D2061" s="4" t="n">
        <v>17</v>
      </c>
      <c r="E2061" s="4" t="s">
        <v>2055</v>
      </c>
      <c r="F2061" s="4" t="n">
        <v>13</v>
      </c>
      <c r="G2061" s="4" t="n">
        <v>7</v>
      </c>
      <c r="H2061" s="4" t="n">
        <v>4</v>
      </c>
      <c r="I2061" s="4" t="str">
        <v>×</v>
      </c>
      <c r="J2061" s="4"/>
      <c r="K2061" s="4"/>
      <c r="L2061" s="4"/>
      <c r="M2061" s="5" t="s">
        <v>1871</v>
      </c>
    </row>
    <row r="2062" customFormat="false" ht="15.75" hidden="false" customHeight="false" outlineLevel="0" collapsed="false">
      <c r="A2062" s="3" t="n">
        <v>46214</v>
      </c>
      <c r="B2062" s="4" t="s">
        <v>1091</v>
      </c>
      <c r="C2062" s="4" t="n">
        <v>3</v>
      </c>
      <c r="D2062" s="4" t="n">
        <v>18</v>
      </c>
      <c r="E2062" s="4" t="s">
        <v>2056</v>
      </c>
      <c r="F2062" s="4" t="n">
        <v>29</v>
      </c>
      <c r="G2062" s="4" t="n">
        <v>4</v>
      </c>
      <c r="H2062" s="4" t="n">
        <v>4</v>
      </c>
      <c r="I2062" s="4" t="str">
        <v>×</v>
      </c>
      <c r="J2062" s="4"/>
      <c r="K2062" s="4"/>
      <c r="L2062" s="4"/>
      <c r="M2062" s="5" t="s">
        <v>1871</v>
      </c>
    </row>
    <row r="2063" customFormat="false" ht="15.75" hidden="false" customHeight="false" outlineLevel="0" collapsed="false">
      <c r="A2063" s="3" t="n">
        <v>46214</v>
      </c>
      <c r="B2063" s="4" t="s">
        <v>1091</v>
      </c>
      <c r="C2063" s="4" t="n">
        <v>4</v>
      </c>
      <c r="D2063" s="4" t="n">
        <v>1</v>
      </c>
      <c r="E2063" s="4" t="s">
        <v>2057</v>
      </c>
      <c r="F2063" s="4" t="n">
        <v>25</v>
      </c>
      <c r="G2063" s="4" t="n">
        <v>5</v>
      </c>
      <c r="H2063" s="4" t="n">
        <v>1</v>
      </c>
      <c r="I2063" s="4" t="str">
        <v>○</v>
      </c>
      <c r="J2063" s="4" t="n">
        <v>190</v>
      </c>
      <c r="K2063" s="4"/>
      <c r="L2063" s="4"/>
      <c r="M2063" s="5" t="s">
        <v>1871</v>
      </c>
    </row>
    <row r="2064" customFormat="false" ht="15.75" hidden="false" customHeight="false" outlineLevel="0" collapsed="false">
      <c r="A2064" s="3" t="n">
        <v>46214</v>
      </c>
      <c r="B2064" s="4" t="s">
        <v>1091</v>
      </c>
      <c r="C2064" s="4" t="n">
        <v>4</v>
      </c>
      <c r="D2064" s="4" t="n">
        <v>2</v>
      </c>
      <c r="E2064" s="4" t="s">
        <v>672</v>
      </c>
      <c r="F2064" s="4" t="n">
        <v>71</v>
      </c>
      <c r="G2064" s="4" t="n">
        <v>1</v>
      </c>
      <c r="H2064" s="4" t="n">
        <v>3</v>
      </c>
      <c r="I2064" s="4" t="str">
        <v>○</v>
      </c>
      <c r="J2064" s="4" t="n">
        <v>110</v>
      </c>
      <c r="K2064" s="4"/>
      <c r="L2064" s="4"/>
      <c r="M2064" s="5" t="s">
        <v>1871</v>
      </c>
    </row>
    <row r="2065" customFormat="false" ht="15.75" hidden="false" customHeight="false" outlineLevel="0" collapsed="false">
      <c r="A2065" s="3" t="n">
        <v>46214</v>
      </c>
      <c r="B2065" s="4" t="s">
        <v>1091</v>
      </c>
      <c r="C2065" s="4" t="n">
        <v>4</v>
      </c>
      <c r="D2065" s="4" t="n">
        <v>3</v>
      </c>
      <c r="E2065" s="4" t="s">
        <v>2058</v>
      </c>
      <c r="F2065" s="4" t="n">
        <v>10</v>
      </c>
      <c r="G2065" s="4" t="n">
        <v>8</v>
      </c>
      <c r="H2065" s="4" t="n">
        <v>2</v>
      </c>
      <c r="I2065" s="4" t="str">
        <v>○</v>
      </c>
      <c r="J2065" s="4" t="n">
        <v>390</v>
      </c>
      <c r="K2065" s="4"/>
      <c r="L2065" s="4"/>
      <c r="M2065" s="5" t="s">
        <v>1871</v>
      </c>
    </row>
    <row r="2066" customFormat="false" ht="15.75" hidden="false" customHeight="false" outlineLevel="0" collapsed="false">
      <c r="A2066" s="3" t="n">
        <v>46214</v>
      </c>
      <c r="B2066" s="4" t="s">
        <v>1091</v>
      </c>
      <c r="C2066" s="4" t="n">
        <v>4</v>
      </c>
      <c r="D2066" s="4" t="n">
        <v>4</v>
      </c>
      <c r="E2066" s="4" t="s">
        <v>2059</v>
      </c>
      <c r="F2066" s="4" t="n">
        <v>4</v>
      </c>
      <c r="G2066" s="4" t="n">
        <v>14</v>
      </c>
      <c r="H2066" s="4" t="n">
        <v>4</v>
      </c>
      <c r="I2066" s="4" t="str">
        <v>×</v>
      </c>
      <c r="J2066" s="4"/>
      <c r="K2066" s="4"/>
      <c r="L2066" s="4"/>
      <c r="M2066" s="5" t="s">
        <v>1871</v>
      </c>
    </row>
    <row r="2067" customFormat="false" ht="15.75" hidden="false" customHeight="false" outlineLevel="0" collapsed="false">
      <c r="A2067" s="3" t="n">
        <v>46214</v>
      </c>
      <c r="B2067" s="4" t="s">
        <v>1091</v>
      </c>
      <c r="C2067" s="4" t="n">
        <v>4</v>
      </c>
      <c r="D2067" s="4" t="n">
        <v>5</v>
      </c>
      <c r="E2067" s="4" t="s">
        <v>2060</v>
      </c>
      <c r="F2067" s="4" t="n">
        <v>8</v>
      </c>
      <c r="G2067" s="4" t="n">
        <v>11</v>
      </c>
      <c r="H2067" s="4" t="n">
        <v>4</v>
      </c>
      <c r="I2067" s="4" t="str">
        <v>×</v>
      </c>
      <c r="J2067" s="4"/>
      <c r="K2067" s="4"/>
      <c r="L2067" s="4"/>
      <c r="M2067" s="5" t="s">
        <v>1871</v>
      </c>
    </row>
    <row r="2068" customFormat="false" ht="15.75" hidden="false" customHeight="false" outlineLevel="0" collapsed="false">
      <c r="A2068" s="3" t="n">
        <v>46214</v>
      </c>
      <c r="B2068" s="4" t="s">
        <v>1091</v>
      </c>
      <c r="C2068" s="4" t="n">
        <v>4</v>
      </c>
      <c r="D2068" s="4" t="n">
        <v>6</v>
      </c>
      <c r="E2068" s="4" t="s">
        <v>2061</v>
      </c>
      <c r="F2068" s="4" t="n">
        <v>29</v>
      </c>
      <c r="G2068" s="4" t="n">
        <v>4</v>
      </c>
      <c r="H2068" s="4" t="n">
        <v>4</v>
      </c>
      <c r="I2068" s="4" t="str">
        <v>×</v>
      </c>
      <c r="J2068" s="4"/>
      <c r="K2068" s="4"/>
      <c r="L2068" s="4"/>
      <c r="M2068" s="5" t="s">
        <v>1871</v>
      </c>
    </row>
    <row r="2069" customFormat="false" ht="15.75" hidden="false" customHeight="false" outlineLevel="0" collapsed="false">
      <c r="A2069" s="3" t="n">
        <v>46214</v>
      </c>
      <c r="B2069" s="4" t="s">
        <v>1091</v>
      </c>
      <c r="C2069" s="4" t="n">
        <v>4</v>
      </c>
      <c r="D2069" s="4" t="n">
        <v>7</v>
      </c>
      <c r="E2069" s="4" t="s">
        <v>2062</v>
      </c>
      <c r="F2069" s="4" t="n">
        <v>56</v>
      </c>
      <c r="G2069" s="4" t="n">
        <v>2</v>
      </c>
      <c r="H2069" s="4" t="n">
        <v>4</v>
      </c>
      <c r="I2069" s="4" t="str">
        <v>×</v>
      </c>
      <c r="J2069" s="4"/>
      <c r="K2069" s="4"/>
      <c r="L2069" s="4"/>
      <c r="M2069" s="5" t="s">
        <v>1871</v>
      </c>
    </row>
    <row r="2070" customFormat="false" ht="15.75" hidden="false" customHeight="false" outlineLevel="0" collapsed="false">
      <c r="A2070" s="3" t="n">
        <v>46214</v>
      </c>
      <c r="B2070" s="4" t="s">
        <v>1091</v>
      </c>
      <c r="C2070" s="4" t="n">
        <v>4</v>
      </c>
      <c r="D2070" s="4" t="n">
        <v>8</v>
      </c>
      <c r="E2070" s="4" t="s">
        <v>2063</v>
      </c>
      <c r="F2070" s="4" t="n">
        <v>10</v>
      </c>
      <c r="G2070" s="4" t="n">
        <v>8</v>
      </c>
      <c r="H2070" s="4" t="n">
        <v>4</v>
      </c>
      <c r="I2070" s="4" t="str">
        <v>×</v>
      </c>
      <c r="J2070" s="4"/>
      <c r="K2070" s="4"/>
      <c r="L2070" s="4"/>
      <c r="M2070" s="5" t="s">
        <v>1871</v>
      </c>
    </row>
    <row r="2071" customFormat="false" ht="15.75" hidden="false" customHeight="false" outlineLevel="0" collapsed="false">
      <c r="A2071" s="3" t="n">
        <v>46214</v>
      </c>
      <c r="B2071" s="4" t="s">
        <v>1091</v>
      </c>
      <c r="C2071" s="4" t="n">
        <v>4</v>
      </c>
      <c r="D2071" s="4" t="n">
        <v>9</v>
      </c>
      <c r="E2071" s="4" t="s">
        <v>2064</v>
      </c>
      <c r="F2071" s="4" t="n">
        <v>6</v>
      </c>
      <c r="G2071" s="4" t="n">
        <v>12</v>
      </c>
      <c r="H2071" s="4" t="n">
        <v>4</v>
      </c>
      <c r="I2071" s="4" t="str">
        <v>×</v>
      </c>
      <c r="J2071" s="4"/>
      <c r="K2071" s="4"/>
      <c r="L2071" s="4"/>
      <c r="M2071" s="5" t="s">
        <v>1871</v>
      </c>
    </row>
    <row r="2072" customFormat="false" ht="15.75" hidden="false" customHeight="false" outlineLevel="0" collapsed="false">
      <c r="A2072" s="3" t="n">
        <v>46214</v>
      </c>
      <c r="B2072" s="4" t="s">
        <v>1091</v>
      </c>
      <c r="C2072" s="4" t="n">
        <v>4</v>
      </c>
      <c r="D2072" s="4" t="n">
        <v>10</v>
      </c>
      <c r="E2072" s="4" t="s">
        <v>2065</v>
      </c>
      <c r="F2072" s="4" t="n">
        <v>10</v>
      </c>
      <c r="G2072" s="4" t="n">
        <v>8</v>
      </c>
      <c r="H2072" s="4" t="n">
        <v>4</v>
      </c>
      <c r="I2072" s="4" t="str">
        <v>×</v>
      </c>
      <c r="J2072" s="4"/>
      <c r="K2072" s="4"/>
      <c r="L2072" s="4"/>
      <c r="M2072" s="5" t="s">
        <v>1871</v>
      </c>
    </row>
    <row r="2073" customFormat="false" ht="15.75" hidden="false" customHeight="false" outlineLevel="0" collapsed="false">
      <c r="A2073" s="3" t="n">
        <v>46214</v>
      </c>
      <c r="B2073" s="4" t="s">
        <v>1091</v>
      </c>
      <c r="C2073" s="4" t="n">
        <v>4</v>
      </c>
      <c r="D2073" s="4" t="n">
        <v>11</v>
      </c>
      <c r="E2073" s="4" t="s">
        <v>2066</v>
      </c>
      <c r="F2073" s="4" t="n">
        <v>4</v>
      </c>
      <c r="G2073" s="4" t="n">
        <v>14</v>
      </c>
      <c r="H2073" s="4" t="n">
        <v>4</v>
      </c>
      <c r="I2073" s="4" t="str">
        <v>×</v>
      </c>
      <c r="J2073" s="4"/>
      <c r="K2073" s="4"/>
      <c r="L2073" s="4"/>
      <c r="M2073" s="5" t="s">
        <v>1871</v>
      </c>
    </row>
    <row r="2074" customFormat="false" ht="15.75" hidden="false" customHeight="false" outlineLevel="0" collapsed="false">
      <c r="A2074" s="3" t="n">
        <v>46214</v>
      </c>
      <c r="B2074" s="4" t="s">
        <v>1091</v>
      </c>
      <c r="C2074" s="4" t="n">
        <v>4</v>
      </c>
      <c r="D2074" s="4" t="n">
        <v>12</v>
      </c>
      <c r="E2074" s="4" t="s">
        <v>2067</v>
      </c>
      <c r="F2074" s="4" t="n">
        <v>20</v>
      </c>
      <c r="G2074" s="4" t="n">
        <v>6</v>
      </c>
      <c r="H2074" s="4" t="n">
        <v>4</v>
      </c>
      <c r="I2074" s="4" t="str">
        <v>×</v>
      </c>
      <c r="J2074" s="4"/>
      <c r="K2074" s="4"/>
      <c r="L2074" s="4"/>
      <c r="M2074" s="5" t="s">
        <v>1871</v>
      </c>
    </row>
    <row r="2075" customFormat="false" ht="15.75" hidden="false" customHeight="false" outlineLevel="0" collapsed="false">
      <c r="A2075" s="3" t="n">
        <v>46214</v>
      </c>
      <c r="B2075" s="4" t="s">
        <v>1091</v>
      </c>
      <c r="C2075" s="4" t="n">
        <v>4</v>
      </c>
      <c r="D2075" s="4" t="n">
        <v>13</v>
      </c>
      <c r="E2075" s="4" t="s">
        <v>2068</v>
      </c>
      <c r="F2075" s="4" t="n">
        <v>4</v>
      </c>
      <c r="G2075" s="4" t="n">
        <v>14</v>
      </c>
      <c r="H2075" s="4" t="n">
        <v>4</v>
      </c>
      <c r="I2075" s="4" t="str">
        <v>×</v>
      </c>
      <c r="J2075" s="4"/>
      <c r="K2075" s="4"/>
      <c r="L2075" s="4"/>
      <c r="M2075" s="5" t="s">
        <v>1871</v>
      </c>
    </row>
    <row r="2076" customFormat="false" ht="15.75" hidden="false" customHeight="false" outlineLevel="0" collapsed="false">
      <c r="A2076" s="3" t="n">
        <v>46214</v>
      </c>
      <c r="B2076" s="4" t="s">
        <v>1091</v>
      </c>
      <c r="C2076" s="4" t="n">
        <v>4</v>
      </c>
      <c r="D2076" s="4" t="n">
        <v>14</v>
      </c>
      <c r="E2076" s="4" t="s">
        <v>775</v>
      </c>
      <c r="F2076" s="4" t="n">
        <v>34</v>
      </c>
      <c r="G2076" s="4" t="n">
        <v>3</v>
      </c>
      <c r="H2076" s="4" t="n">
        <v>4</v>
      </c>
      <c r="I2076" s="4" t="str">
        <v>×</v>
      </c>
      <c r="J2076" s="4"/>
      <c r="K2076" s="4"/>
      <c r="L2076" s="4"/>
      <c r="M2076" s="5" t="s">
        <v>1871</v>
      </c>
    </row>
    <row r="2077" customFormat="false" ht="15.75" hidden="false" customHeight="false" outlineLevel="0" collapsed="false">
      <c r="A2077" s="3" t="n">
        <v>46214</v>
      </c>
      <c r="B2077" s="4" t="s">
        <v>1091</v>
      </c>
      <c r="C2077" s="4" t="n">
        <v>4</v>
      </c>
      <c r="D2077" s="4" t="n">
        <v>15</v>
      </c>
      <c r="E2077" s="4" t="s">
        <v>2069</v>
      </c>
      <c r="F2077" s="4" t="n">
        <v>15</v>
      </c>
      <c r="G2077" s="4" t="n">
        <v>7</v>
      </c>
      <c r="H2077" s="4" t="n">
        <v>4</v>
      </c>
      <c r="I2077" s="4" t="str">
        <v>×</v>
      </c>
      <c r="J2077" s="4"/>
      <c r="K2077" s="4"/>
      <c r="L2077" s="4"/>
      <c r="M2077" s="5" t="s">
        <v>1871</v>
      </c>
    </row>
    <row r="2078" customFormat="false" ht="15.75" hidden="false" customHeight="false" outlineLevel="0" collapsed="false">
      <c r="A2078" s="3" t="n">
        <v>46214</v>
      </c>
      <c r="B2078" s="4" t="s">
        <v>1091</v>
      </c>
      <c r="C2078" s="4" t="n">
        <v>4</v>
      </c>
      <c r="D2078" s="4" t="n">
        <v>16</v>
      </c>
      <c r="E2078" s="4" t="s">
        <v>2070</v>
      </c>
      <c r="F2078" s="4" t="n">
        <v>6</v>
      </c>
      <c r="G2078" s="4" t="n">
        <v>12</v>
      </c>
      <c r="H2078" s="4" t="n">
        <v>4</v>
      </c>
      <c r="I2078" s="4" t="str">
        <v>×</v>
      </c>
      <c r="J2078" s="4"/>
      <c r="K2078" s="4"/>
      <c r="L2078" s="4"/>
      <c r="M2078" s="5" t="s">
        <v>1871</v>
      </c>
    </row>
    <row r="2079" customFormat="false" ht="15.75" hidden="false" customHeight="false" outlineLevel="0" collapsed="false">
      <c r="A2079" s="3" t="n">
        <v>46214</v>
      </c>
      <c r="B2079" s="4" t="s">
        <v>1091</v>
      </c>
      <c r="C2079" s="4" t="n">
        <v>5</v>
      </c>
      <c r="D2079" s="4" t="n">
        <v>1</v>
      </c>
      <c r="E2079" s="4" t="s">
        <v>2071</v>
      </c>
      <c r="F2079" s="4" t="n">
        <v>31</v>
      </c>
      <c r="G2079" s="4" t="n">
        <v>1</v>
      </c>
      <c r="H2079" s="4" t="n">
        <v>1</v>
      </c>
      <c r="I2079" s="4" t="str">
        <v>○</v>
      </c>
      <c r="J2079" s="4" t="n">
        <v>140</v>
      </c>
      <c r="K2079" s="4"/>
      <c r="L2079" s="4"/>
      <c r="M2079" s="5" t="s">
        <v>1871</v>
      </c>
    </row>
    <row r="2080" customFormat="false" ht="15.75" hidden="false" customHeight="false" outlineLevel="0" collapsed="false">
      <c r="A2080" s="3" t="n">
        <v>46214</v>
      </c>
      <c r="B2080" s="4" t="s">
        <v>1091</v>
      </c>
      <c r="C2080" s="4" t="n">
        <v>5</v>
      </c>
      <c r="D2080" s="4" t="n">
        <v>2</v>
      </c>
      <c r="E2080" s="4" t="s">
        <v>2072</v>
      </c>
      <c r="F2080" s="4" t="n">
        <v>21</v>
      </c>
      <c r="G2080" s="4" t="n">
        <v>6</v>
      </c>
      <c r="H2080" s="4" t="n">
        <v>4</v>
      </c>
      <c r="I2080" s="4" t="str">
        <v>×</v>
      </c>
      <c r="J2080" s="4"/>
      <c r="K2080" s="4"/>
      <c r="L2080" s="4"/>
      <c r="M2080" s="5" t="s">
        <v>1871</v>
      </c>
    </row>
    <row r="2081" customFormat="false" ht="15.75" hidden="false" customHeight="false" outlineLevel="0" collapsed="false">
      <c r="A2081" s="3" t="n">
        <v>46214</v>
      </c>
      <c r="B2081" s="4" t="s">
        <v>1091</v>
      </c>
      <c r="C2081" s="4" t="n">
        <v>5</v>
      </c>
      <c r="D2081" s="4" t="n">
        <v>3</v>
      </c>
      <c r="E2081" s="4" t="s">
        <v>2073</v>
      </c>
      <c r="F2081" s="4" t="n">
        <v>31</v>
      </c>
      <c r="G2081" s="4" t="n">
        <v>1</v>
      </c>
      <c r="H2081" s="4" t="n">
        <v>4</v>
      </c>
      <c r="I2081" s="4" t="str">
        <v>×</v>
      </c>
      <c r="J2081" s="4"/>
      <c r="K2081" s="4"/>
      <c r="L2081" s="4"/>
      <c r="M2081" s="5" t="s">
        <v>1871</v>
      </c>
    </row>
    <row r="2082" customFormat="false" ht="15.75" hidden="false" customHeight="false" outlineLevel="0" collapsed="false">
      <c r="A2082" s="3" t="n">
        <v>46214</v>
      </c>
      <c r="B2082" s="4" t="s">
        <v>1091</v>
      </c>
      <c r="C2082" s="4" t="n">
        <v>5</v>
      </c>
      <c r="D2082" s="4" t="n">
        <v>4</v>
      </c>
      <c r="E2082" s="4" t="s">
        <v>2074</v>
      </c>
      <c r="F2082" s="4" t="n">
        <v>21</v>
      </c>
      <c r="G2082" s="4" t="n">
        <v>6</v>
      </c>
      <c r="H2082" s="4" t="n">
        <v>4</v>
      </c>
      <c r="I2082" s="4" t="str">
        <v>×</v>
      </c>
      <c r="J2082" s="4"/>
      <c r="K2082" s="4"/>
      <c r="L2082" s="4"/>
      <c r="M2082" s="5" t="s">
        <v>1871</v>
      </c>
    </row>
    <row r="2083" customFormat="false" ht="15.75" hidden="false" customHeight="false" outlineLevel="0" collapsed="false">
      <c r="A2083" s="3" t="n">
        <v>46214</v>
      </c>
      <c r="B2083" s="4" t="s">
        <v>1091</v>
      </c>
      <c r="C2083" s="4" t="n">
        <v>5</v>
      </c>
      <c r="D2083" s="4" t="n">
        <v>5</v>
      </c>
      <c r="E2083" s="4" t="s">
        <v>2075</v>
      </c>
      <c r="F2083" s="4" t="n">
        <v>12</v>
      </c>
      <c r="G2083" s="4" t="n">
        <v>10</v>
      </c>
      <c r="H2083" s="4" t="n">
        <v>2</v>
      </c>
      <c r="I2083" s="4" t="str">
        <v>○</v>
      </c>
      <c r="J2083" s="4" t="n">
        <v>760</v>
      </c>
      <c r="K2083" s="4"/>
      <c r="L2083" s="4"/>
      <c r="M2083" s="5" t="s">
        <v>1871</v>
      </c>
    </row>
    <row r="2084" customFormat="false" ht="15.75" hidden="false" customHeight="false" outlineLevel="0" collapsed="false">
      <c r="A2084" s="3" t="n">
        <v>46214</v>
      </c>
      <c r="B2084" s="4" t="s">
        <v>1091</v>
      </c>
      <c r="C2084" s="4" t="n">
        <v>5</v>
      </c>
      <c r="D2084" s="4" t="n">
        <v>6</v>
      </c>
      <c r="E2084" s="4" t="s">
        <v>2076</v>
      </c>
      <c r="F2084" s="4" t="n">
        <v>12</v>
      </c>
      <c r="G2084" s="4" t="n">
        <v>10</v>
      </c>
      <c r="H2084" s="4" t="n">
        <v>4</v>
      </c>
      <c r="I2084" s="4" t="str">
        <v>×</v>
      </c>
      <c r="J2084" s="4"/>
      <c r="K2084" s="4"/>
      <c r="L2084" s="4"/>
      <c r="M2084" s="5" t="s">
        <v>1871</v>
      </c>
    </row>
    <row r="2085" customFormat="false" ht="15.75" hidden="false" customHeight="false" outlineLevel="0" collapsed="false">
      <c r="A2085" s="3" t="n">
        <v>46214</v>
      </c>
      <c r="B2085" s="4" t="s">
        <v>1091</v>
      </c>
      <c r="C2085" s="4" t="n">
        <v>5</v>
      </c>
      <c r="D2085" s="4" t="n">
        <v>7</v>
      </c>
      <c r="E2085" s="4" t="s">
        <v>2077</v>
      </c>
      <c r="F2085" s="4" t="n">
        <v>16</v>
      </c>
      <c r="G2085" s="4" t="n">
        <v>9</v>
      </c>
      <c r="H2085" s="4" t="n">
        <v>4</v>
      </c>
      <c r="I2085" s="4" t="str">
        <v>×</v>
      </c>
      <c r="J2085" s="4"/>
      <c r="K2085" s="4"/>
      <c r="L2085" s="4"/>
      <c r="M2085" s="5" t="s">
        <v>1871</v>
      </c>
    </row>
    <row r="2086" customFormat="false" ht="15.75" hidden="false" customHeight="false" outlineLevel="0" collapsed="false">
      <c r="A2086" s="3" t="n">
        <v>46214</v>
      </c>
      <c r="B2086" s="4" t="s">
        <v>1091</v>
      </c>
      <c r="C2086" s="4" t="n">
        <v>5</v>
      </c>
      <c r="D2086" s="4" t="n">
        <v>8</v>
      </c>
      <c r="E2086" s="4" t="s">
        <v>2078</v>
      </c>
      <c r="F2086" s="4" t="n">
        <v>21</v>
      </c>
      <c r="G2086" s="4" t="n">
        <v>6</v>
      </c>
      <c r="H2086" s="4" t="n">
        <v>4</v>
      </c>
      <c r="I2086" s="4" t="str">
        <v>×</v>
      </c>
      <c r="J2086" s="4"/>
      <c r="K2086" s="4"/>
      <c r="L2086" s="4"/>
      <c r="M2086" s="5" t="s">
        <v>1871</v>
      </c>
    </row>
    <row r="2087" customFormat="false" ht="15.75" hidden="false" customHeight="false" outlineLevel="0" collapsed="false">
      <c r="A2087" s="3" t="n">
        <v>46214</v>
      </c>
      <c r="B2087" s="4" t="s">
        <v>1091</v>
      </c>
      <c r="C2087" s="4" t="n">
        <v>5</v>
      </c>
      <c r="D2087" s="4" t="n">
        <v>9</v>
      </c>
      <c r="E2087" s="4" t="s">
        <v>2079</v>
      </c>
      <c r="F2087" s="4" t="n">
        <v>24</v>
      </c>
      <c r="G2087" s="4" t="n">
        <v>4</v>
      </c>
      <c r="H2087" s="4" t="n">
        <v>3</v>
      </c>
      <c r="I2087" s="4" t="str">
        <v>○</v>
      </c>
      <c r="J2087" s="4" t="n">
        <v>1020</v>
      </c>
      <c r="K2087" s="4"/>
      <c r="L2087" s="4"/>
      <c r="M2087" s="5" t="s">
        <v>1871</v>
      </c>
    </row>
    <row r="2088" customFormat="false" ht="15.75" hidden="false" customHeight="false" outlineLevel="0" collapsed="false">
      <c r="A2088" s="3" t="n">
        <v>46214</v>
      </c>
      <c r="B2088" s="4" t="s">
        <v>1091</v>
      </c>
      <c r="C2088" s="4" t="n">
        <v>5</v>
      </c>
      <c r="D2088" s="4" t="n">
        <v>10</v>
      </c>
      <c r="E2088" s="4" t="s">
        <v>2080</v>
      </c>
      <c r="F2088" s="4" t="n">
        <v>24</v>
      </c>
      <c r="G2088" s="4" t="n">
        <v>4</v>
      </c>
      <c r="H2088" s="4" t="n">
        <v>4</v>
      </c>
      <c r="I2088" s="4" t="str">
        <v>×</v>
      </c>
      <c r="J2088" s="4"/>
      <c r="K2088" s="4"/>
      <c r="L2088" s="4"/>
      <c r="M2088" s="5" t="s">
        <v>1871</v>
      </c>
    </row>
    <row r="2089" customFormat="false" ht="15.75" hidden="false" customHeight="false" outlineLevel="0" collapsed="false">
      <c r="A2089" s="3" t="n">
        <v>46214</v>
      </c>
      <c r="B2089" s="4" t="s">
        <v>1091</v>
      </c>
      <c r="C2089" s="4" t="n">
        <v>5</v>
      </c>
      <c r="D2089" s="4" t="n">
        <v>11</v>
      </c>
      <c r="E2089" s="4" t="s">
        <v>2081</v>
      </c>
      <c r="F2089" s="4" t="n">
        <v>8</v>
      </c>
      <c r="G2089" s="4" t="n">
        <v>12</v>
      </c>
      <c r="H2089" s="4" t="n">
        <v>4</v>
      </c>
      <c r="I2089" s="4" t="str">
        <v>×</v>
      </c>
      <c r="J2089" s="4"/>
      <c r="K2089" s="4"/>
      <c r="L2089" s="4"/>
      <c r="M2089" s="5" t="s">
        <v>1871</v>
      </c>
    </row>
    <row r="2090" customFormat="false" ht="15.75" hidden="false" customHeight="false" outlineLevel="0" collapsed="false">
      <c r="A2090" s="3" t="n">
        <v>46214</v>
      </c>
      <c r="B2090" s="4" t="s">
        <v>1091</v>
      </c>
      <c r="C2090" s="4" t="n">
        <v>5</v>
      </c>
      <c r="D2090" s="4" t="n">
        <v>12</v>
      </c>
      <c r="E2090" s="4" t="s">
        <v>2082</v>
      </c>
      <c r="F2090" s="4" t="n">
        <v>27</v>
      </c>
      <c r="G2090" s="4" t="n">
        <v>3</v>
      </c>
      <c r="H2090" s="4" t="n">
        <v>4</v>
      </c>
      <c r="I2090" s="4" t="str">
        <v>×</v>
      </c>
      <c r="J2090" s="4"/>
      <c r="K2090" s="4"/>
      <c r="L2090" s="4"/>
      <c r="M2090" s="5" t="s">
        <v>1871</v>
      </c>
    </row>
    <row r="2091" customFormat="false" ht="15.75" hidden="false" customHeight="false" outlineLevel="0" collapsed="false">
      <c r="A2091" s="3" t="n">
        <v>46214</v>
      </c>
      <c r="B2091" s="4" t="s">
        <v>1091</v>
      </c>
      <c r="C2091" s="4" t="n">
        <v>6</v>
      </c>
      <c r="D2091" s="4" t="n">
        <v>1</v>
      </c>
      <c r="E2091" s="4" t="s">
        <v>1578</v>
      </c>
      <c r="F2091" s="4" t="n">
        <v>34</v>
      </c>
      <c r="G2091" s="4" t="n">
        <v>3</v>
      </c>
      <c r="H2091" s="4" t="n">
        <v>3</v>
      </c>
      <c r="I2091" s="4" t="str">
        <v>○</v>
      </c>
      <c r="J2091" s="4" t="n">
        <v>150</v>
      </c>
      <c r="K2091" s="4"/>
      <c r="L2091" s="4"/>
      <c r="M2091" s="5" t="s">
        <v>1871</v>
      </c>
    </row>
    <row r="2092" customFormat="false" ht="15.75" hidden="false" customHeight="false" outlineLevel="0" collapsed="false">
      <c r="A2092" s="3" t="n">
        <v>46214</v>
      </c>
      <c r="B2092" s="4" t="s">
        <v>1091</v>
      </c>
      <c r="C2092" s="4" t="n">
        <v>6</v>
      </c>
      <c r="D2092" s="4" t="n">
        <v>2</v>
      </c>
      <c r="E2092" s="4" t="s">
        <v>2083</v>
      </c>
      <c r="F2092" s="4" t="n">
        <v>4</v>
      </c>
      <c r="G2092" s="4" t="n">
        <v>15</v>
      </c>
      <c r="H2092" s="4" t="n">
        <v>4</v>
      </c>
      <c r="I2092" s="4" t="str">
        <v>×</v>
      </c>
      <c r="J2092" s="4"/>
      <c r="K2092" s="4"/>
      <c r="L2092" s="4"/>
      <c r="M2092" s="5" t="s">
        <v>1871</v>
      </c>
    </row>
    <row r="2093" customFormat="false" ht="15.75" hidden="false" customHeight="false" outlineLevel="0" collapsed="false">
      <c r="A2093" s="3" t="n">
        <v>46214</v>
      </c>
      <c r="B2093" s="4" t="s">
        <v>1091</v>
      </c>
      <c r="C2093" s="4" t="n">
        <v>6</v>
      </c>
      <c r="D2093" s="4" t="n">
        <v>3</v>
      </c>
      <c r="E2093" s="4" t="s">
        <v>2084</v>
      </c>
      <c r="F2093" s="4" t="n">
        <v>13</v>
      </c>
      <c r="G2093" s="4" t="n">
        <v>9</v>
      </c>
      <c r="H2093" s="4" t="n">
        <v>4</v>
      </c>
      <c r="I2093" s="4" t="str">
        <v>×</v>
      </c>
      <c r="J2093" s="4"/>
      <c r="K2093" s="4"/>
      <c r="L2093" s="4"/>
      <c r="M2093" s="5" t="s">
        <v>1871</v>
      </c>
    </row>
    <row r="2094" customFormat="false" ht="15.75" hidden="false" customHeight="false" outlineLevel="0" collapsed="false">
      <c r="A2094" s="3" t="n">
        <v>46214</v>
      </c>
      <c r="B2094" s="4" t="s">
        <v>1091</v>
      </c>
      <c r="C2094" s="4" t="n">
        <v>6</v>
      </c>
      <c r="D2094" s="4" t="n">
        <v>4</v>
      </c>
      <c r="E2094" s="4" t="s">
        <v>2085</v>
      </c>
      <c r="F2094" s="4" t="n">
        <v>10</v>
      </c>
      <c r="G2094" s="4" t="n">
        <v>10</v>
      </c>
      <c r="H2094" s="4" t="n">
        <v>4</v>
      </c>
      <c r="I2094" s="4" t="str">
        <v>×</v>
      </c>
      <c r="J2094" s="4"/>
      <c r="K2094" s="4"/>
      <c r="L2094" s="4"/>
      <c r="M2094" s="5" t="s">
        <v>1871</v>
      </c>
    </row>
    <row r="2095" customFormat="false" ht="15.75" hidden="false" customHeight="false" outlineLevel="0" collapsed="false">
      <c r="A2095" s="3" t="n">
        <v>46214</v>
      </c>
      <c r="B2095" s="4" t="s">
        <v>1091</v>
      </c>
      <c r="C2095" s="4" t="n">
        <v>6</v>
      </c>
      <c r="D2095" s="4" t="n">
        <v>5</v>
      </c>
      <c r="E2095" s="4" t="s">
        <v>2086</v>
      </c>
      <c r="F2095" s="4" t="n">
        <v>23</v>
      </c>
      <c r="G2095" s="4" t="n">
        <v>5</v>
      </c>
      <c r="H2095" s="4" t="n">
        <v>4</v>
      </c>
      <c r="I2095" s="4" t="str">
        <v>×</v>
      </c>
      <c r="J2095" s="4"/>
      <c r="K2095" s="4"/>
      <c r="L2095" s="4"/>
      <c r="M2095" s="5" t="s">
        <v>1871</v>
      </c>
    </row>
    <row r="2096" customFormat="false" ht="15.75" hidden="false" customHeight="false" outlineLevel="0" collapsed="false">
      <c r="A2096" s="3" t="n">
        <v>46214</v>
      </c>
      <c r="B2096" s="4" t="s">
        <v>1091</v>
      </c>
      <c r="C2096" s="4" t="n">
        <v>6</v>
      </c>
      <c r="D2096" s="4" t="n">
        <v>6</v>
      </c>
      <c r="E2096" s="4" t="s">
        <v>2087</v>
      </c>
      <c r="F2096" s="4" t="n">
        <v>25</v>
      </c>
      <c r="G2096" s="4" t="n">
        <v>4</v>
      </c>
      <c r="H2096" s="4" t="n">
        <v>4</v>
      </c>
      <c r="I2096" s="4" t="str">
        <v>×</v>
      </c>
      <c r="J2096" s="4"/>
      <c r="K2096" s="4"/>
      <c r="L2096" s="4"/>
      <c r="M2096" s="5" t="s">
        <v>1871</v>
      </c>
    </row>
    <row r="2097" customFormat="false" ht="15.75" hidden="false" customHeight="false" outlineLevel="0" collapsed="false">
      <c r="A2097" s="3" t="n">
        <v>46214</v>
      </c>
      <c r="B2097" s="4" t="s">
        <v>1091</v>
      </c>
      <c r="C2097" s="4" t="n">
        <v>6</v>
      </c>
      <c r="D2097" s="4" t="n">
        <v>7</v>
      </c>
      <c r="E2097" s="4" t="s">
        <v>2088</v>
      </c>
      <c r="F2097" s="4" t="n">
        <v>20</v>
      </c>
      <c r="G2097" s="4" t="n">
        <v>6</v>
      </c>
      <c r="H2097" s="4" t="n">
        <v>3</v>
      </c>
      <c r="I2097" s="4" t="str">
        <v>○</v>
      </c>
      <c r="J2097" s="4" t="n">
        <v>180</v>
      </c>
      <c r="K2097" s="4"/>
      <c r="L2097" s="4"/>
      <c r="M2097" s="5" t="s">
        <v>1871</v>
      </c>
    </row>
    <row r="2098" customFormat="false" ht="15.75" hidden="false" customHeight="false" outlineLevel="0" collapsed="false">
      <c r="A2098" s="3" t="n">
        <v>46214</v>
      </c>
      <c r="B2098" s="4" t="s">
        <v>1091</v>
      </c>
      <c r="C2098" s="4" t="n">
        <v>6</v>
      </c>
      <c r="D2098" s="4" t="n">
        <v>8</v>
      </c>
      <c r="E2098" s="4" t="s">
        <v>2089</v>
      </c>
      <c r="F2098" s="4" t="n">
        <v>15</v>
      </c>
      <c r="G2098" s="4" t="n">
        <v>8</v>
      </c>
      <c r="H2098" s="4" t="n">
        <v>4</v>
      </c>
      <c r="I2098" s="4" t="str">
        <v>×</v>
      </c>
      <c r="J2098" s="4"/>
      <c r="K2098" s="4"/>
      <c r="L2098" s="4"/>
      <c r="M2098" s="5" t="s">
        <v>1871</v>
      </c>
    </row>
    <row r="2099" customFormat="false" ht="15.75" hidden="false" customHeight="false" outlineLevel="0" collapsed="false">
      <c r="A2099" s="3" t="n">
        <v>46214</v>
      </c>
      <c r="B2099" s="4" t="s">
        <v>1091</v>
      </c>
      <c r="C2099" s="4" t="n">
        <v>6</v>
      </c>
      <c r="D2099" s="4" t="n">
        <v>9</v>
      </c>
      <c r="E2099" s="4" t="s">
        <v>2090</v>
      </c>
      <c r="F2099" s="4" t="n">
        <v>2</v>
      </c>
      <c r="G2099" s="4" t="n">
        <v>18</v>
      </c>
      <c r="H2099" s="4" t="n">
        <v>4</v>
      </c>
      <c r="I2099" s="4" t="str">
        <v>×</v>
      </c>
      <c r="J2099" s="4"/>
      <c r="K2099" s="4"/>
      <c r="L2099" s="4"/>
      <c r="M2099" s="5" t="s">
        <v>1871</v>
      </c>
    </row>
    <row r="2100" customFormat="false" ht="15.75" hidden="false" customHeight="false" outlineLevel="0" collapsed="false">
      <c r="A2100" s="3" t="n">
        <v>46214</v>
      </c>
      <c r="B2100" s="4" t="s">
        <v>1091</v>
      </c>
      <c r="C2100" s="4" t="n">
        <v>6</v>
      </c>
      <c r="D2100" s="4" t="n">
        <v>10</v>
      </c>
      <c r="E2100" s="4" t="s">
        <v>2091</v>
      </c>
      <c r="F2100" s="4" t="n">
        <v>10</v>
      </c>
      <c r="G2100" s="4" t="n">
        <v>10</v>
      </c>
      <c r="H2100" s="4" t="n">
        <v>4</v>
      </c>
      <c r="I2100" s="4" t="str">
        <v>×</v>
      </c>
      <c r="J2100" s="4"/>
      <c r="K2100" s="4"/>
      <c r="L2100" s="4"/>
      <c r="M2100" s="5" t="s">
        <v>1871</v>
      </c>
    </row>
    <row r="2101" customFormat="false" ht="15.75" hidden="false" customHeight="false" outlineLevel="0" collapsed="false">
      <c r="A2101" s="3" t="n">
        <v>46214</v>
      </c>
      <c r="B2101" s="4" t="s">
        <v>1091</v>
      </c>
      <c r="C2101" s="4" t="n">
        <v>6</v>
      </c>
      <c r="D2101" s="4" t="n">
        <v>11</v>
      </c>
      <c r="E2101" s="4" t="s">
        <v>2092</v>
      </c>
      <c r="F2101" s="4" t="n">
        <v>4</v>
      </c>
      <c r="G2101" s="4" t="n">
        <v>15</v>
      </c>
      <c r="H2101" s="4" t="n">
        <v>4</v>
      </c>
      <c r="I2101" s="4" t="str">
        <v>×</v>
      </c>
      <c r="J2101" s="4"/>
      <c r="K2101" s="4"/>
      <c r="L2101" s="4"/>
      <c r="M2101" s="5" t="s">
        <v>1871</v>
      </c>
    </row>
    <row r="2102" customFormat="false" ht="15.75" hidden="false" customHeight="false" outlineLevel="0" collapsed="false">
      <c r="A2102" s="3" t="n">
        <v>46214</v>
      </c>
      <c r="B2102" s="4" t="s">
        <v>1091</v>
      </c>
      <c r="C2102" s="4" t="n">
        <v>6</v>
      </c>
      <c r="D2102" s="4" t="n">
        <v>12</v>
      </c>
      <c r="E2102" s="4" t="s">
        <v>2093</v>
      </c>
      <c r="F2102" s="4" t="n">
        <v>8</v>
      </c>
      <c r="G2102" s="4" t="n">
        <v>13</v>
      </c>
      <c r="H2102" s="4" t="n">
        <v>4</v>
      </c>
      <c r="I2102" s="4" t="str">
        <v>×</v>
      </c>
      <c r="J2102" s="4"/>
      <c r="K2102" s="4"/>
      <c r="L2102" s="4"/>
      <c r="M2102" s="5" t="s">
        <v>1871</v>
      </c>
    </row>
    <row r="2103" customFormat="false" ht="15.75" hidden="false" customHeight="false" outlineLevel="0" collapsed="false">
      <c r="A2103" s="3" t="n">
        <v>46214</v>
      </c>
      <c r="B2103" s="4" t="s">
        <v>1091</v>
      </c>
      <c r="C2103" s="4" t="n">
        <v>6</v>
      </c>
      <c r="D2103" s="4" t="n">
        <v>13</v>
      </c>
      <c r="E2103" s="4" t="s">
        <v>2094</v>
      </c>
      <c r="F2103" s="4" t="n">
        <v>10</v>
      </c>
      <c r="G2103" s="4" t="n">
        <v>10</v>
      </c>
      <c r="H2103" s="4" t="n">
        <v>4</v>
      </c>
      <c r="I2103" s="4" t="str">
        <v>×</v>
      </c>
      <c r="J2103" s="4"/>
      <c r="K2103" s="4"/>
      <c r="L2103" s="4"/>
      <c r="M2103" s="5" t="s">
        <v>1871</v>
      </c>
    </row>
    <row r="2104" customFormat="false" ht="15.75" hidden="false" customHeight="false" outlineLevel="0" collapsed="false">
      <c r="A2104" s="3" t="n">
        <v>46214</v>
      </c>
      <c r="B2104" s="4" t="s">
        <v>1091</v>
      </c>
      <c r="C2104" s="4" t="n">
        <v>6</v>
      </c>
      <c r="D2104" s="4" t="n">
        <v>14</v>
      </c>
      <c r="E2104" s="4" t="s">
        <v>2095</v>
      </c>
      <c r="F2104" s="4" t="n">
        <v>8</v>
      </c>
      <c r="G2104" s="4" t="n">
        <v>13</v>
      </c>
      <c r="H2104" s="4" t="n">
        <v>4</v>
      </c>
      <c r="I2104" s="4" t="str">
        <v>×</v>
      </c>
      <c r="J2104" s="4"/>
      <c r="K2104" s="4"/>
      <c r="L2104" s="4"/>
      <c r="M2104" s="5" t="s">
        <v>1871</v>
      </c>
    </row>
    <row r="2105" customFormat="false" ht="15.75" hidden="false" customHeight="false" outlineLevel="0" collapsed="false">
      <c r="A2105" s="3" t="n">
        <v>46214</v>
      </c>
      <c r="B2105" s="4" t="s">
        <v>1091</v>
      </c>
      <c r="C2105" s="4" t="n">
        <v>6</v>
      </c>
      <c r="D2105" s="4" t="n">
        <v>15</v>
      </c>
      <c r="E2105" s="4" t="s">
        <v>2096</v>
      </c>
      <c r="F2105" s="4" t="n">
        <v>3</v>
      </c>
      <c r="G2105" s="4" t="n">
        <v>17</v>
      </c>
      <c r="H2105" s="4" t="n">
        <v>4</v>
      </c>
      <c r="I2105" s="4" t="str">
        <v>×</v>
      </c>
      <c r="J2105" s="4"/>
      <c r="K2105" s="4"/>
      <c r="L2105" s="4"/>
      <c r="M2105" s="5" t="s">
        <v>1871</v>
      </c>
    </row>
    <row r="2106" customFormat="false" ht="15.75" hidden="false" customHeight="false" outlineLevel="0" collapsed="false">
      <c r="A2106" s="3" t="n">
        <v>46214</v>
      </c>
      <c r="B2106" s="4" t="s">
        <v>1091</v>
      </c>
      <c r="C2106" s="4" t="n">
        <v>6</v>
      </c>
      <c r="D2106" s="4" t="n">
        <v>16</v>
      </c>
      <c r="E2106" s="4" t="s">
        <v>2097</v>
      </c>
      <c r="F2106" s="4" t="n">
        <v>39</v>
      </c>
      <c r="G2106" s="4" t="n">
        <v>2</v>
      </c>
      <c r="H2106" s="4" t="n">
        <v>1</v>
      </c>
      <c r="I2106" s="4" t="str">
        <v>○</v>
      </c>
      <c r="J2106" s="4" t="n">
        <v>130</v>
      </c>
      <c r="K2106" s="4"/>
      <c r="L2106" s="4"/>
      <c r="M2106" s="5" t="s">
        <v>1871</v>
      </c>
    </row>
    <row r="2107" customFormat="false" ht="15.75" hidden="false" customHeight="false" outlineLevel="0" collapsed="false">
      <c r="A2107" s="3" t="n">
        <v>46214</v>
      </c>
      <c r="B2107" s="4" t="s">
        <v>1091</v>
      </c>
      <c r="C2107" s="4" t="n">
        <v>6</v>
      </c>
      <c r="D2107" s="4" t="n">
        <v>17</v>
      </c>
      <c r="E2107" s="4" t="s">
        <v>776</v>
      </c>
      <c r="F2107" s="4" t="n">
        <v>66</v>
      </c>
      <c r="G2107" s="4" t="n">
        <v>1</v>
      </c>
      <c r="H2107" s="4" t="n">
        <v>2</v>
      </c>
      <c r="I2107" s="4" t="str">
        <v>○</v>
      </c>
      <c r="J2107" s="4" t="n">
        <v>110</v>
      </c>
      <c r="K2107" s="4"/>
      <c r="L2107" s="4"/>
      <c r="M2107" s="5" t="s">
        <v>1871</v>
      </c>
    </row>
    <row r="2108" customFormat="false" ht="15.75" hidden="false" customHeight="false" outlineLevel="0" collapsed="false">
      <c r="A2108" s="3" t="n">
        <v>46214</v>
      </c>
      <c r="B2108" s="4" t="s">
        <v>1091</v>
      </c>
      <c r="C2108" s="4" t="n">
        <v>6</v>
      </c>
      <c r="D2108" s="4" t="n">
        <v>18</v>
      </c>
      <c r="E2108" s="4" t="s">
        <v>2098</v>
      </c>
      <c r="F2108" s="4" t="n">
        <v>17</v>
      </c>
      <c r="G2108" s="4" t="n">
        <v>7</v>
      </c>
      <c r="H2108" s="4" t="n">
        <v>4</v>
      </c>
      <c r="I2108" s="4" t="str">
        <v>×</v>
      </c>
      <c r="J2108" s="4"/>
      <c r="K2108" s="4"/>
      <c r="L2108" s="4"/>
      <c r="M2108" s="5" t="s">
        <v>1871</v>
      </c>
    </row>
    <row r="2109" customFormat="false" ht="15.75" hidden="false" customHeight="false" outlineLevel="0" collapsed="false">
      <c r="A2109" s="3" t="n">
        <v>46214</v>
      </c>
      <c r="B2109" s="4" t="s">
        <v>1091</v>
      </c>
      <c r="C2109" s="4" t="n">
        <v>7</v>
      </c>
      <c r="D2109" s="4" t="n">
        <v>1</v>
      </c>
      <c r="E2109" s="4" t="s">
        <v>2099</v>
      </c>
      <c r="F2109" s="4" t="n">
        <v>13</v>
      </c>
      <c r="G2109" s="4" t="n">
        <v>10</v>
      </c>
      <c r="H2109" s="4" t="n">
        <v>3</v>
      </c>
      <c r="I2109" s="4" t="str">
        <v>○</v>
      </c>
      <c r="J2109" s="4" t="n">
        <v>770</v>
      </c>
      <c r="K2109" s="4"/>
      <c r="L2109" s="4"/>
      <c r="M2109" s="5" t="s">
        <v>1871</v>
      </c>
    </row>
    <row r="2110" customFormat="false" ht="15.75" hidden="false" customHeight="false" outlineLevel="0" collapsed="false">
      <c r="A2110" s="3" t="n">
        <v>46214</v>
      </c>
      <c r="B2110" s="4" t="s">
        <v>1091</v>
      </c>
      <c r="C2110" s="4" t="n">
        <v>7</v>
      </c>
      <c r="D2110" s="4" t="n">
        <v>2</v>
      </c>
      <c r="E2110" s="4" t="s">
        <v>2100</v>
      </c>
      <c r="F2110" s="4" t="n">
        <v>15</v>
      </c>
      <c r="G2110" s="4" t="n">
        <v>9</v>
      </c>
      <c r="H2110" s="4" t="n">
        <v>4</v>
      </c>
      <c r="I2110" s="4" t="str">
        <v>×</v>
      </c>
      <c r="J2110" s="4"/>
      <c r="K2110" s="4"/>
      <c r="L2110" s="4"/>
      <c r="M2110" s="5" t="s">
        <v>1871</v>
      </c>
    </row>
    <row r="2111" customFormat="false" ht="15.75" hidden="false" customHeight="false" outlineLevel="0" collapsed="false">
      <c r="A2111" s="3" t="n">
        <v>46214</v>
      </c>
      <c r="B2111" s="4" t="s">
        <v>1091</v>
      </c>
      <c r="C2111" s="4" t="n">
        <v>7</v>
      </c>
      <c r="D2111" s="4" t="n">
        <v>3</v>
      </c>
      <c r="E2111" s="4" t="s">
        <v>2101</v>
      </c>
      <c r="F2111" s="4" t="n">
        <v>13</v>
      </c>
      <c r="G2111" s="4" t="n">
        <v>10</v>
      </c>
      <c r="H2111" s="4" t="n">
        <v>4</v>
      </c>
      <c r="I2111" s="4" t="str">
        <v>×</v>
      </c>
      <c r="J2111" s="4"/>
      <c r="K2111" s="4"/>
      <c r="L2111" s="4"/>
      <c r="M2111" s="5" t="s">
        <v>1871</v>
      </c>
    </row>
    <row r="2112" customFormat="false" ht="15.75" hidden="false" customHeight="false" outlineLevel="0" collapsed="false">
      <c r="A2112" s="3" t="n">
        <v>46214</v>
      </c>
      <c r="B2112" s="4" t="s">
        <v>1091</v>
      </c>
      <c r="C2112" s="4" t="n">
        <v>7</v>
      </c>
      <c r="D2112" s="4" t="n">
        <v>4</v>
      </c>
      <c r="E2112" s="4" t="s">
        <v>2102</v>
      </c>
      <c r="F2112" s="4" t="n">
        <v>67</v>
      </c>
      <c r="G2112" s="4" t="n">
        <v>1</v>
      </c>
      <c r="H2112" s="4" t="n">
        <v>4</v>
      </c>
      <c r="I2112" s="4" t="str">
        <v>×</v>
      </c>
      <c r="J2112" s="4"/>
      <c r="K2112" s="4"/>
      <c r="L2112" s="4"/>
      <c r="M2112" s="5" t="s">
        <v>1871</v>
      </c>
    </row>
    <row r="2113" customFormat="false" ht="15.75" hidden="false" customHeight="false" outlineLevel="0" collapsed="false">
      <c r="A2113" s="3" t="n">
        <v>46214</v>
      </c>
      <c r="B2113" s="4" t="s">
        <v>1091</v>
      </c>
      <c r="C2113" s="4" t="n">
        <v>7</v>
      </c>
      <c r="D2113" s="4" t="n">
        <v>5</v>
      </c>
      <c r="E2113" s="4" t="s">
        <v>2103</v>
      </c>
      <c r="F2113" s="4" t="n">
        <v>29</v>
      </c>
      <c r="G2113" s="4" t="n">
        <v>5</v>
      </c>
      <c r="H2113" s="4" t="n">
        <v>2</v>
      </c>
      <c r="I2113" s="4" t="str">
        <v>○</v>
      </c>
      <c r="J2113" s="4" t="n">
        <v>240</v>
      </c>
      <c r="K2113" s="4"/>
      <c r="L2113" s="4"/>
      <c r="M2113" s="5" t="s">
        <v>1871</v>
      </c>
    </row>
    <row r="2114" customFormat="false" ht="15.75" hidden="false" customHeight="false" outlineLevel="0" collapsed="false">
      <c r="A2114" s="3" t="n">
        <v>46214</v>
      </c>
      <c r="B2114" s="4" t="s">
        <v>1091</v>
      </c>
      <c r="C2114" s="4" t="n">
        <v>7</v>
      </c>
      <c r="D2114" s="4" t="n">
        <v>6</v>
      </c>
      <c r="E2114" s="4" t="s">
        <v>2104</v>
      </c>
      <c r="F2114" s="4" t="n">
        <v>41</v>
      </c>
      <c r="G2114" s="4" t="n">
        <v>3</v>
      </c>
      <c r="H2114" s="4" t="n">
        <v>1</v>
      </c>
      <c r="I2114" s="4" t="str">
        <v>○</v>
      </c>
      <c r="J2114" s="4" t="n">
        <v>190</v>
      </c>
      <c r="K2114" s="4"/>
      <c r="L2114" s="4"/>
      <c r="M2114" s="5" t="s">
        <v>1871</v>
      </c>
    </row>
    <row r="2115" customFormat="false" ht="15.75" hidden="false" customHeight="false" outlineLevel="0" collapsed="false">
      <c r="A2115" s="3" t="n">
        <v>46214</v>
      </c>
      <c r="B2115" s="4" t="s">
        <v>1091</v>
      </c>
      <c r="C2115" s="4" t="n">
        <v>7</v>
      </c>
      <c r="D2115" s="4" t="n">
        <v>7</v>
      </c>
      <c r="E2115" s="4" t="s">
        <v>2105</v>
      </c>
      <c r="F2115" s="4" t="n">
        <v>23</v>
      </c>
      <c r="G2115" s="4" t="n">
        <v>7</v>
      </c>
      <c r="H2115" s="4" t="n">
        <v>4</v>
      </c>
      <c r="I2115" s="4" t="str">
        <v>×</v>
      </c>
      <c r="J2115" s="4"/>
      <c r="K2115" s="4"/>
      <c r="L2115" s="4"/>
      <c r="M2115" s="5" t="s">
        <v>1871</v>
      </c>
    </row>
    <row r="2116" customFormat="false" ht="15.75" hidden="false" customHeight="false" outlineLevel="0" collapsed="false">
      <c r="A2116" s="3" t="n">
        <v>46214</v>
      </c>
      <c r="B2116" s="4" t="s">
        <v>1091</v>
      </c>
      <c r="C2116" s="4" t="n">
        <v>7</v>
      </c>
      <c r="D2116" s="4" t="n">
        <v>8</v>
      </c>
      <c r="E2116" s="4" t="s">
        <v>2106</v>
      </c>
      <c r="F2116" s="4" t="n">
        <v>37</v>
      </c>
      <c r="G2116" s="4" t="n">
        <v>4</v>
      </c>
      <c r="H2116" s="4" t="n">
        <v>4</v>
      </c>
      <c r="I2116" s="4" t="str">
        <v>×</v>
      </c>
      <c r="J2116" s="4"/>
      <c r="K2116" s="4"/>
      <c r="L2116" s="4"/>
      <c r="M2116" s="5" t="s">
        <v>1871</v>
      </c>
    </row>
    <row r="2117" customFormat="false" ht="15.75" hidden="false" customHeight="false" outlineLevel="0" collapsed="false">
      <c r="A2117" s="3" t="n">
        <v>46214</v>
      </c>
      <c r="B2117" s="4" t="s">
        <v>1091</v>
      </c>
      <c r="C2117" s="4" t="n">
        <v>7</v>
      </c>
      <c r="D2117" s="4" t="n">
        <v>9</v>
      </c>
      <c r="E2117" s="4" t="s">
        <v>2107</v>
      </c>
      <c r="F2117" s="4" t="n">
        <v>25</v>
      </c>
      <c r="G2117" s="4" t="n">
        <v>6</v>
      </c>
      <c r="H2117" s="4" t="n">
        <v>4</v>
      </c>
      <c r="I2117" s="4" t="str">
        <v>×</v>
      </c>
      <c r="J2117" s="4"/>
      <c r="K2117" s="4"/>
      <c r="L2117" s="4"/>
      <c r="M2117" s="5" t="s">
        <v>1871</v>
      </c>
    </row>
    <row r="2118" customFormat="false" ht="15.75" hidden="false" customHeight="false" outlineLevel="0" collapsed="false">
      <c r="A2118" s="3" t="n">
        <v>46214</v>
      </c>
      <c r="B2118" s="4" t="s">
        <v>1091</v>
      </c>
      <c r="C2118" s="4" t="n">
        <v>7</v>
      </c>
      <c r="D2118" s="4" t="n">
        <v>10</v>
      </c>
      <c r="E2118" s="4" t="s">
        <v>2108</v>
      </c>
      <c r="F2118" s="4" t="n">
        <v>47</v>
      </c>
      <c r="G2118" s="4" t="n">
        <v>2</v>
      </c>
      <c r="H2118" s="4" t="n">
        <v>4</v>
      </c>
      <c r="I2118" s="4" t="str">
        <v>×</v>
      </c>
      <c r="J2118" s="4"/>
      <c r="K2118" s="4"/>
      <c r="L2118" s="4"/>
      <c r="M2118" s="5" t="s">
        <v>1871</v>
      </c>
    </row>
    <row r="2119" customFormat="false" ht="15.75" hidden="false" customHeight="false" outlineLevel="0" collapsed="false">
      <c r="A2119" s="3" t="n">
        <v>46214</v>
      </c>
      <c r="B2119" s="4" t="s">
        <v>1091</v>
      </c>
      <c r="C2119" s="4" t="n">
        <v>7</v>
      </c>
      <c r="D2119" s="4" t="n">
        <v>11</v>
      </c>
      <c r="E2119" s="4" t="s">
        <v>2109</v>
      </c>
      <c r="F2119" s="4" t="n">
        <v>3</v>
      </c>
      <c r="G2119" s="4" t="n">
        <v>12</v>
      </c>
      <c r="H2119" s="4" t="n">
        <v>4</v>
      </c>
      <c r="I2119" s="4" t="str">
        <v>×</v>
      </c>
      <c r="J2119" s="4"/>
      <c r="K2119" s="4"/>
      <c r="L2119" s="4"/>
      <c r="M2119" s="5" t="s">
        <v>1871</v>
      </c>
    </row>
    <row r="2120" customFormat="false" ht="15.75" hidden="false" customHeight="false" outlineLevel="0" collapsed="false">
      <c r="A2120" s="3" t="n">
        <v>46214</v>
      </c>
      <c r="B2120" s="4" t="s">
        <v>1091</v>
      </c>
      <c r="C2120" s="4" t="n">
        <v>7</v>
      </c>
      <c r="D2120" s="4" t="n">
        <v>12</v>
      </c>
      <c r="E2120" s="4" t="s">
        <v>1717</v>
      </c>
      <c r="F2120" s="4" t="n">
        <v>17</v>
      </c>
      <c r="G2120" s="4" t="n">
        <v>8</v>
      </c>
      <c r="H2120" s="4" t="n">
        <v>4</v>
      </c>
      <c r="I2120" s="4" t="str">
        <v>×</v>
      </c>
      <c r="J2120" s="4"/>
      <c r="K2120" s="4"/>
      <c r="L2120" s="4"/>
      <c r="M2120" s="5" t="s">
        <v>1871</v>
      </c>
    </row>
    <row r="2121" customFormat="false" ht="15.75" hidden="false" customHeight="false" outlineLevel="0" collapsed="false">
      <c r="A2121" s="3" t="n">
        <v>46214</v>
      </c>
      <c r="B2121" s="4" t="s">
        <v>1091</v>
      </c>
      <c r="C2121" s="4" t="n">
        <v>8</v>
      </c>
      <c r="D2121" s="4" t="n">
        <v>1</v>
      </c>
      <c r="E2121" s="4" t="s">
        <v>2110</v>
      </c>
      <c r="F2121" s="4" t="n">
        <v>23</v>
      </c>
      <c r="G2121" s="4" t="n">
        <v>6</v>
      </c>
      <c r="H2121" s="4" t="n">
        <v>4</v>
      </c>
      <c r="I2121" s="4" t="str">
        <v>×</v>
      </c>
      <c r="J2121" s="4"/>
      <c r="K2121" s="4"/>
      <c r="L2121" s="4"/>
      <c r="M2121" s="5" t="s">
        <v>1871</v>
      </c>
    </row>
    <row r="2122" customFormat="false" ht="15.75" hidden="false" customHeight="false" outlineLevel="0" collapsed="false">
      <c r="A2122" s="3" t="n">
        <v>46214</v>
      </c>
      <c r="B2122" s="4" t="s">
        <v>1091</v>
      </c>
      <c r="C2122" s="4" t="n">
        <v>8</v>
      </c>
      <c r="D2122" s="4" t="n">
        <v>2</v>
      </c>
      <c r="E2122" s="4" t="s">
        <v>2111</v>
      </c>
      <c r="F2122" s="4" t="n">
        <v>8</v>
      </c>
      <c r="G2122" s="4" t="n">
        <v>9</v>
      </c>
      <c r="H2122" s="4" t="n">
        <v>4</v>
      </c>
      <c r="I2122" s="4" t="str">
        <v>×</v>
      </c>
      <c r="J2122" s="4"/>
      <c r="K2122" s="4"/>
      <c r="L2122" s="4"/>
      <c r="M2122" s="5" t="s">
        <v>1871</v>
      </c>
    </row>
    <row r="2123" customFormat="false" ht="15.75" hidden="false" customHeight="false" outlineLevel="0" collapsed="false">
      <c r="A2123" s="3" t="n">
        <v>46214</v>
      </c>
      <c r="B2123" s="4" t="s">
        <v>1091</v>
      </c>
      <c r="C2123" s="4" t="n">
        <v>8</v>
      </c>
      <c r="D2123" s="4" t="n">
        <v>3</v>
      </c>
      <c r="E2123" s="4" t="s">
        <v>2112</v>
      </c>
      <c r="F2123" s="4" t="n">
        <v>71</v>
      </c>
      <c r="G2123" s="4" t="n">
        <v>1</v>
      </c>
      <c r="H2123" s="4" t="n">
        <v>4</v>
      </c>
      <c r="I2123" s="4" t="str">
        <v>×</v>
      </c>
      <c r="J2123" s="4"/>
      <c r="K2123" s="4"/>
      <c r="L2123" s="4"/>
      <c r="M2123" s="5" t="s">
        <v>1871</v>
      </c>
    </row>
    <row r="2124" customFormat="false" ht="15.75" hidden="false" customHeight="false" outlineLevel="0" collapsed="false">
      <c r="A2124" s="3" t="n">
        <v>46214</v>
      </c>
      <c r="B2124" s="4" t="s">
        <v>1091</v>
      </c>
      <c r="C2124" s="4" t="n">
        <v>8</v>
      </c>
      <c r="D2124" s="4" t="n">
        <v>4</v>
      </c>
      <c r="E2124" s="4" t="s">
        <v>2113</v>
      </c>
      <c r="F2124" s="4" t="n">
        <v>29</v>
      </c>
      <c r="G2124" s="4" t="n">
        <v>4</v>
      </c>
      <c r="H2124" s="4" t="n">
        <v>3</v>
      </c>
      <c r="I2124" s="4" t="str">
        <v>○</v>
      </c>
      <c r="J2124" s="4" t="n">
        <v>200</v>
      </c>
      <c r="K2124" s="4"/>
      <c r="L2124" s="4"/>
      <c r="M2124" s="5" t="s">
        <v>1871</v>
      </c>
    </row>
    <row r="2125" customFormat="false" ht="15.75" hidden="false" customHeight="false" outlineLevel="0" collapsed="false">
      <c r="A2125" s="3" t="n">
        <v>46214</v>
      </c>
      <c r="B2125" s="4" t="s">
        <v>1091</v>
      </c>
      <c r="C2125" s="4" t="n">
        <v>8</v>
      </c>
      <c r="D2125" s="4" t="n">
        <v>5</v>
      </c>
      <c r="E2125" s="4" t="s">
        <v>2114</v>
      </c>
      <c r="F2125" s="4" t="n">
        <v>29</v>
      </c>
      <c r="G2125" s="4" t="n">
        <v>4</v>
      </c>
      <c r="H2125" s="4" t="n">
        <v>4</v>
      </c>
      <c r="I2125" s="4" t="str">
        <v>×</v>
      </c>
      <c r="J2125" s="4"/>
      <c r="K2125" s="4"/>
      <c r="L2125" s="4"/>
      <c r="M2125" s="5" t="s">
        <v>1871</v>
      </c>
    </row>
    <row r="2126" customFormat="false" ht="15.75" hidden="false" customHeight="false" outlineLevel="0" collapsed="false">
      <c r="A2126" s="3" t="n">
        <v>46214</v>
      </c>
      <c r="B2126" s="4" t="s">
        <v>1091</v>
      </c>
      <c r="C2126" s="4" t="n">
        <v>8</v>
      </c>
      <c r="D2126" s="4" t="n">
        <v>6</v>
      </c>
      <c r="E2126" s="4" t="s">
        <v>2115</v>
      </c>
      <c r="F2126" s="4" t="n">
        <v>6</v>
      </c>
      <c r="G2126" s="4" t="n">
        <v>11</v>
      </c>
      <c r="H2126" s="4" t="n">
        <v>4</v>
      </c>
      <c r="I2126" s="4" t="str">
        <v>×</v>
      </c>
      <c r="J2126" s="4"/>
      <c r="K2126" s="4"/>
      <c r="L2126" s="4"/>
      <c r="M2126" s="5" t="s">
        <v>1871</v>
      </c>
    </row>
    <row r="2127" customFormat="false" ht="15.75" hidden="false" customHeight="false" outlineLevel="0" collapsed="false">
      <c r="A2127" s="3" t="n">
        <v>46214</v>
      </c>
      <c r="B2127" s="4" t="s">
        <v>1091</v>
      </c>
      <c r="C2127" s="4" t="n">
        <v>8</v>
      </c>
      <c r="D2127" s="4" t="n">
        <v>7</v>
      </c>
      <c r="E2127" s="4" t="s">
        <v>2116</v>
      </c>
      <c r="F2127" s="4" t="n">
        <v>8</v>
      </c>
      <c r="G2127" s="4" t="n">
        <v>9</v>
      </c>
      <c r="H2127" s="4" t="n">
        <v>4</v>
      </c>
      <c r="I2127" s="4" t="str">
        <v>×</v>
      </c>
      <c r="J2127" s="4"/>
      <c r="K2127" s="4"/>
      <c r="L2127" s="4"/>
      <c r="M2127" s="5" t="s">
        <v>1871</v>
      </c>
    </row>
    <row r="2128" customFormat="false" ht="15.75" hidden="false" customHeight="false" outlineLevel="0" collapsed="false">
      <c r="A2128" s="3" t="n">
        <v>46214</v>
      </c>
      <c r="B2128" s="4" t="s">
        <v>1091</v>
      </c>
      <c r="C2128" s="4" t="n">
        <v>8</v>
      </c>
      <c r="D2128" s="4" t="n">
        <v>8</v>
      </c>
      <c r="E2128" s="4" t="s">
        <v>2117</v>
      </c>
      <c r="F2128" s="4" t="n">
        <v>41</v>
      </c>
      <c r="G2128" s="4" t="n">
        <v>3</v>
      </c>
      <c r="H2128" s="4" t="n">
        <v>2</v>
      </c>
      <c r="I2128" s="4" t="str">
        <v>○</v>
      </c>
      <c r="J2128" s="4" t="n">
        <v>200</v>
      </c>
      <c r="K2128" s="4"/>
      <c r="L2128" s="4"/>
      <c r="M2128" s="5" t="s">
        <v>1871</v>
      </c>
    </row>
    <row r="2129" customFormat="false" ht="15.75" hidden="false" customHeight="false" outlineLevel="0" collapsed="false">
      <c r="A2129" s="3" t="n">
        <v>46214</v>
      </c>
      <c r="B2129" s="4" t="s">
        <v>1091</v>
      </c>
      <c r="C2129" s="4" t="n">
        <v>8</v>
      </c>
      <c r="D2129" s="4" t="n">
        <v>9</v>
      </c>
      <c r="E2129" s="4" t="s">
        <v>2118</v>
      </c>
      <c r="F2129" s="4" t="n">
        <v>44</v>
      </c>
      <c r="G2129" s="4" t="n">
        <v>2</v>
      </c>
      <c r="H2129" s="4" t="n">
        <v>4</v>
      </c>
      <c r="I2129" s="4" t="str">
        <v>×</v>
      </c>
      <c r="J2129" s="4"/>
      <c r="K2129" s="4"/>
      <c r="L2129" s="4"/>
      <c r="M2129" s="5" t="s">
        <v>1871</v>
      </c>
    </row>
    <row r="2130" customFormat="false" ht="15.75" hidden="false" customHeight="false" outlineLevel="0" collapsed="false">
      <c r="A2130" s="3" t="n">
        <v>46214</v>
      </c>
      <c r="B2130" s="4" t="s">
        <v>1091</v>
      </c>
      <c r="C2130" s="4" t="n">
        <v>8</v>
      </c>
      <c r="D2130" s="4" t="n">
        <v>10</v>
      </c>
      <c r="E2130" s="4" t="s">
        <v>2119</v>
      </c>
      <c r="F2130" s="4" t="n">
        <v>15</v>
      </c>
      <c r="G2130" s="4" t="n">
        <v>8</v>
      </c>
      <c r="H2130" s="4" t="n">
        <v>1</v>
      </c>
      <c r="I2130" s="4" t="str">
        <v>○</v>
      </c>
      <c r="J2130" s="4" t="n">
        <v>320</v>
      </c>
      <c r="K2130" s="4"/>
      <c r="L2130" s="4"/>
      <c r="M2130" s="5" t="s">
        <v>1871</v>
      </c>
    </row>
    <row r="2131" customFormat="false" ht="15.75" hidden="false" customHeight="false" outlineLevel="0" collapsed="false">
      <c r="A2131" s="3" t="n">
        <v>46214</v>
      </c>
      <c r="B2131" s="4" t="s">
        <v>1091</v>
      </c>
      <c r="C2131" s="4" t="n">
        <v>8</v>
      </c>
      <c r="D2131" s="4" t="n">
        <v>11</v>
      </c>
      <c r="E2131" s="4" t="s">
        <v>2120</v>
      </c>
      <c r="F2131" s="4" t="n">
        <v>17</v>
      </c>
      <c r="G2131" s="4" t="n">
        <v>7</v>
      </c>
      <c r="H2131" s="4" t="n">
        <v>4</v>
      </c>
      <c r="I2131" s="4" t="str">
        <v>×</v>
      </c>
      <c r="J2131" s="4"/>
      <c r="K2131" s="4"/>
      <c r="L2131" s="4"/>
      <c r="M2131" s="5" t="s">
        <v>1871</v>
      </c>
    </row>
    <row r="2132" customFormat="false" ht="15.75" hidden="false" customHeight="false" outlineLevel="0" collapsed="false">
      <c r="A2132" s="3" t="n">
        <v>46214</v>
      </c>
      <c r="B2132" s="4" t="s">
        <v>1091</v>
      </c>
      <c r="C2132" s="4" t="n">
        <v>9</v>
      </c>
      <c r="D2132" s="4" t="n">
        <v>1</v>
      </c>
      <c r="E2132" s="4" t="s">
        <v>2121</v>
      </c>
      <c r="F2132" s="4" t="n">
        <v>8</v>
      </c>
      <c r="G2132" s="4" t="n">
        <v>10</v>
      </c>
      <c r="H2132" s="4" t="n">
        <v>4</v>
      </c>
      <c r="I2132" s="4" t="str">
        <v>×</v>
      </c>
      <c r="J2132" s="4"/>
      <c r="K2132" s="4"/>
      <c r="L2132" s="4"/>
      <c r="M2132" s="5" t="s">
        <v>1871</v>
      </c>
    </row>
    <row r="2133" customFormat="false" ht="15.75" hidden="false" customHeight="false" outlineLevel="0" collapsed="false">
      <c r="A2133" s="3" t="n">
        <v>46214</v>
      </c>
      <c r="B2133" s="4" t="s">
        <v>1091</v>
      </c>
      <c r="C2133" s="4" t="n">
        <v>9</v>
      </c>
      <c r="D2133" s="4" t="n">
        <v>2</v>
      </c>
      <c r="E2133" s="4" t="s">
        <v>2122</v>
      </c>
      <c r="F2133" s="4" t="n">
        <v>4</v>
      </c>
      <c r="G2133" s="4" t="n">
        <v>11</v>
      </c>
      <c r="H2133" s="4" t="n">
        <v>4</v>
      </c>
      <c r="I2133" s="4" t="str">
        <v>×</v>
      </c>
      <c r="J2133" s="4"/>
      <c r="K2133" s="4"/>
      <c r="L2133" s="4"/>
      <c r="M2133" s="5" t="s">
        <v>1871</v>
      </c>
    </row>
    <row r="2134" customFormat="false" ht="15.75" hidden="false" customHeight="false" outlineLevel="0" collapsed="false">
      <c r="A2134" s="3" t="n">
        <v>46214</v>
      </c>
      <c r="B2134" s="4" t="s">
        <v>1091</v>
      </c>
      <c r="C2134" s="4" t="n">
        <v>9</v>
      </c>
      <c r="D2134" s="4" t="n">
        <v>3</v>
      </c>
      <c r="E2134" s="4" t="s">
        <v>2123</v>
      </c>
      <c r="F2134" s="4" t="n">
        <v>65</v>
      </c>
      <c r="G2134" s="4" t="n">
        <v>1</v>
      </c>
      <c r="H2134" s="4" t="n">
        <v>2</v>
      </c>
      <c r="I2134" s="4" t="str">
        <v>○</v>
      </c>
      <c r="J2134" s="4" t="n">
        <v>180</v>
      </c>
      <c r="K2134" s="4"/>
      <c r="L2134" s="4"/>
      <c r="M2134" s="5" t="s">
        <v>1871</v>
      </c>
    </row>
    <row r="2135" customFormat="false" ht="15.75" hidden="false" customHeight="false" outlineLevel="0" collapsed="false">
      <c r="A2135" s="3" t="n">
        <v>46214</v>
      </c>
      <c r="B2135" s="4" t="s">
        <v>1091</v>
      </c>
      <c r="C2135" s="4" t="n">
        <v>9</v>
      </c>
      <c r="D2135" s="4" t="n">
        <v>4</v>
      </c>
      <c r="E2135" s="4" t="s">
        <v>2124</v>
      </c>
      <c r="F2135" s="4" t="n">
        <v>23</v>
      </c>
      <c r="G2135" s="4" t="n">
        <v>5</v>
      </c>
      <c r="H2135" s="4" t="n">
        <v>1</v>
      </c>
      <c r="I2135" s="4" t="str">
        <v>○</v>
      </c>
      <c r="J2135" s="4" t="n">
        <v>430</v>
      </c>
      <c r="K2135" s="4"/>
      <c r="L2135" s="4"/>
      <c r="M2135" s="5" t="s">
        <v>1871</v>
      </c>
    </row>
    <row r="2136" customFormat="false" ht="15.75" hidden="false" customHeight="false" outlineLevel="0" collapsed="false">
      <c r="A2136" s="3" t="n">
        <v>46214</v>
      </c>
      <c r="B2136" s="4" t="s">
        <v>1091</v>
      </c>
      <c r="C2136" s="4" t="n">
        <v>9</v>
      </c>
      <c r="D2136" s="4" t="n">
        <v>5</v>
      </c>
      <c r="E2136" s="4" t="s">
        <v>2125</v>
      </c>
      <c r="F2136" s="4" t="n">
        <v>20</v>
      </c>
      <c r="G2136" s="4" t="n">
        <v>7</v>
      </c>
      <c r="H2136" s="4" t="n">
        <v>4</v>
      </c>
      <c r="I2136" s="4" t="str">
        <v>×</v>
      </c>
      <c r="J2136" s="4"/>
      <c r="K2136" s="4"/>
      <c r="L2136" s="4"/>
      <c r="M2136" s="5" t="s">
        <v>1871</v>
      </c>
    </row>
    <row r="2137" customFormat="false" ht="15.75" hidden="false" customHeight="false" outlineLevel="0" collapsed="false">
      <c r="A2137" s="3" t="n">
        <v>46214</v>
      </c>
      <c r="B2137" s="4" t="s">
        <v>1091</v>
      </c>
      <c r="C2137" s="4" t="n">
        <v>9</v>
      </c>
      <c r="D2137" s="4" t="n">
        <v>6</v>
      </c>
      <c r="E2137" s="4" t="s">
        <v>2126</v>
      </c>
      <c r="F2137" s="4" t="n">
        <v>23</v>
      </c>
      <c r="G2137" s="4" t="n">
        <v>5</v>
      </c>
      <c r="H2137" s="4" t="n">
        <v>4</v>
      </c>
      <c r="I2137" s="4" t="str">
        <v>×</v>
      </c>
      <c r="J2137" s="4"/>
      <c r="K2137" s="4"/>
      <c r="L2137" s="4"/>
      <c r="M2137" s="5" t="s">
        <v>1871</v>
      </c>
    </row>
    <row r="2138" customFormat="false" ht="15.75" hidden="false" customHeight="false" outlineLevel="0" collapsed="false">
      <c r="A2138" s="3" t="n">
        <v>46214</v>
      </c>
      <c r="B2138" s="4" t="s">
        <v>1091</v>
      </c>
      <c r="C2138" s="4" t="n">
        <v>9</v>
      </c>
      <c r="D2138" s="4" t="n">
        <v>7</v>
      </c>
      <c r="E2138" s="4" t="s">
        <v>2127</v>
      </c>
      <c r="F2138" s="4" t="n">
        <v>13</v>
      </c>
      <c r="G2138" s="4" t="n">
        <v>8</v>
      </c>
      <c r="H2138" s="4" t="n">
        <v>4</v>
      </c>
      <c r="I2138" s="4" t="str">
        <v>×</v>
      </c>
      <c r="J2138" s="4"/>
      <c r="K2138" s="4"/>
      <c r="L2138" s="4"/>
      <c r="M2138" s="5" t="s">
        <v>1871</v>
      </c>
    </row>
    <row r="2139" customFormat="false" ht="15.75" hidden="false" customHeight="false" outlineLevel="0" collapsed="false">
      <c r="A2139" s="3" t="n">
        <v>46214</v>
      </c>
      <c r="B2139" s="4" t="s">
        <v>1091</v>
      </c>
      <c r="C2139" s="4" t="n">
        <v>9</v>
      </c>
      <c r="D2139" s="4" t="n">
        <v>8</v>
      </c>
      <c r="E2139" s="4" t="s">
        <v>2128</v>
      </c>
      <c r="F2139" s="4" t="n">
        <v>10</v>
      </c>
      <c r="G2139" s="4" t="n">
        <v>9</v>
      </c>
      <c r="H2139" s="4" t="n">
        <v>4</v>
      </c>
      <c r="I2139" s="4" t="str">
        <v>×</v>
      </c>
      <c r="J2139" s="4"/>
      <c r="K2139" s="4"/>
      <c r="L2139" s="4"/>
      <c r="M2139" s="5" t="s">
        <v>1871</v>
      </c>
    </row>
    <row r="2140" customFormat="false" ht="15.75" hidden="false" customHeight="false" outlineLevel="0" collapsed="false">
      <c r="A2140" s="3" t="n">
        <v>46214</v>
      </c>
      <c r="B2140" s="4" t="s">
        <v>1091</v>
      </c>
      <c r="C2140" s="4" t="n">
        <v>9</v>
      </c>
      <c r="D2140" s="4" t="n">
        <v>9</v>
      </c>
      <c r="E2140" s="4" t="s">
        <v>2129</v>
      </c>
      <c r="F2140" s="4" t="n">
        <v>39</v>
      </c>
      <c r="G2140" s="4" t="n">
        <v>3</v>
      </c>
      <c r="H2140" s="4" t="n">
        <v>4</v>
      </c>
      <c r="I2140" s="4" t="str">
        <v>×</v>
      </c>
      <c r="J2140" s="4"/>
      <c r="K2140" s="4"/>
      <c r="L2140" s="4"/>
      <c r="M2140" s="5" t="s">
        <v>1871</v>
      </c>
    </row>
    <row r="2141" customFormat="false" ht="15.75" hidden="false" customHeight="false" outlineLevel="0" collapsed="false">
      <c r="A2141" s="3" t="n">
        <v>46214</v>
      </c>
      <c r="B2141" s="4" t="s">
        <v>1091</v>
      </c>
      <c r="C2141" s="4" t="n">
        <v>9</v>
      </c>
      <c r="D2141" s="4" t="n">
        <v>10</v>
      </c>
      <c r="E2141" s="4" t="s">
        <v>2130</v>
      </c>
      <c r="F2141" s="4" t="n">
        <v>29</v>
      </c>
      <c r="G2141" s="4" t="n">
        <v>4</v>
      </c>
      <c r="H2141" s="4" t="n">
        <v>3</v>
      </c>
      <c r="I2141" s="4" t="str">
        <v>○</v>
      </c>
      <c r="J2141" s="4" t="n">
        <v>260</v>
      </c>
      <c r="K2141" s="4"/>
      <c r="L2141" s="4"/>
      <c r="M2141" s="5" t="s">
        <v>1871</v>
      </c>
    </row>
    <row r="2142" customFormat="false" ht="15.75" hidden="false" customHeight="false" outlineLevel="0" collapsed="false">
      <c r="A2142" s="3" t="n">
        <v>46214</v>
      </c>
      <c r="B2142" s="4" t="s">
        <v>1091</v>
      </c>
      <c r="C2142" s="4" t="n">
        <v>9</v>
      </c>
      <c r="D2142" s="4" t="n">
        <v>11</v>
      </c>
      <c r="E2142" s="4" t="s">
        <v>2131</v>
      </c>
      <c r="F2142" s="4" t="n">
        <v>60</v>
      </c>
      <c r="G2142" s="4" t="n">
        <v>2</v>
      </c>
      <c r="H2142" s="4" t="n">
        <v>4</v>
      </c>
      <c r="I2142" s="4" t="str">
        <v>×</v>
      </c>
      <c r="J2142" s="4"/>
      <c r="K2142" s="4"/>
      <c r="L2142" s="4"/>
      <c r="M2142" s="5" t="s">
        <v>1871</v>
      </c>
    </row>
    <row r="2143" customFormat="false" ht="15.75" hidden="false" customHeight="false" outlineLevel="0" collapsed="false">
      <c r="A2143" s="3" t="n">
        <v>46214</v>
      </c>
      <c r="B2143" s="4" t="s">
        <v>1091</v>
      </c>
      <c r="C2143" s="4" t="n">
        <v>10</v>
      </c>
      <c r="D2143" s="4" t="n">
        <v>1</v>
      </c>
      <c r="E2143" s="4" t="s">
        <v>2132</v>
      </c>
      <c r="F2143" s="4" t="n">
        <v>17</v>
      </c>
      <c r="G2143" s="4" t="n">
        <v>6</v>
      </c>
      <c r="H2143" s="4" t="n">
        <v>4</v>
      </c>
      <c r="I2143" s="4" t="str">
        <v>×</v>
      </c>
      <c r="J2143" s="4"/>
      <c r="K2143" s="4"/>
      <c r="L2143" s="4"/>
      <c r="M2143" s="5" t="s">
        <v>1871</v>
      </c>
    </row>
    <row r="2144" customFormat="false" ht="15.75" hidden="false" customHeight="false" outlineLevel="0" collapsed="false">
      <c r="A2144" s="3" t="n">
        <v>46214</v>
      </c>
      <c r="B2144" s="4" t="s">
        <v>1091</v>
      </c>
      <c r="C2144" s="4" t="n">
        <v>10</v>
      </c>
      <c r="D2144" s="4" t="n">
        <v>2</v>
      </c>
      <c r="E2144" s="4" t="s">
        <v>2133</v>
      </c>
      <c r="F2144" s="4" t="n">
        <v>13</v>
      </c>
      <c r="G2144" s="4" t="n">
        <v>10</v>
      </c>
      <c r="H2144" s="4" t="n">
        <v>4</v>
      </c>
      <c r="I2144" s="4" t="str">
        <v>×</v>
      </c>
      <c r="J2144" s="4"/>
      <c r="K2144" s="4"/>
      <c r="L2144" s="4"/>
      <c r="M2144" s="5" t="s">
        <v>1871</v>
      </c>
    </row>
    <row r="2145" customFormat="false" ht="15.75" hidden="false" customHeight="false" outlineLevel="0" collapsed="false">
      <c r="A2145" s="3" t="n">
        <v>46214</v>
      </c>
      <c r="B2145" s="4" t="s">
        <v>1091</v>
      </c>
      <c r="C2145" s="4" t="n">
        <v>10</v>
      </c>
      <c r="D2145" s="4" t="n">
        <v>3</v>
      </c>
      <c r="E2145" s="4" t="s">
        <v>2134</v>
      </c>
      <c r="F2145" s="4" t="n">
        <v>8</v>
      </c>
      <c r="G2145" s="4" t="n">
        <v>15</v>
      </c>
      <c r="H2145" s="4" t="n">
        <v>2</v>
      </c>
      <c r="I2145" s="4" t="str">
        <v>○</v>
      </c>
      <c r="J2145" s="4" t="n">
        <v>3710</v>
      </c>
      <c r="K2145" s="4"/>
      <c r="L2145" s="4"/>
      <c r="M2145" s="5" t="s">
        <v>1871</v>
      </c>
    </row>
    <row r="2146" customFormat="false" ht="15.75" hidden="false" customHeight="false" outlineLevel="0" collapsed="false">
      <c r="A2146" s="3" t="n">
        <v>46214</v>
      </c>
      <c r="B2146" s="4" t="s">
        <v>1091</v>
      </c>
      <c r="C2146" s="4" t="n">
        <v>10</v>
      </c>
      <c r="D2146" s="4" t="n">
        <v>4</v>
      </c>
      <c r="E2146" s="4" t="s">
        <v>2135</v>
      </c>
      <c r="F2146" s="4" t="n">
        <v>13</v>
      </c>
      <c r="G2146" s="4" t="n">
        <v>10</v>
      </c>
      <c r="H2146" s="4" t="n">
        <v>4</v>
      </c>
      <c r="I2146" s="4" t="str">
        <v>×</v>
      </c>
      <c r="J2146" s="4"/>
      <c r="K2146" s="4"/>
      <c r="L2146" s="4"/>
      <c r="M2146" s="5" t="s">
        <v>1871</v>
      </c>
    </row>
    <row r="2147" customFormat="false" ht="15.75" hidden="false" customHeight="false" outlineLevel="0" collapsed="false">
      <c r="A2147" s="3" t="n">
        <v>46214</v>
      </c>
      <c r="B2147" s="4" t="s">
        <v>1091</v>
      </c>
      <c r="C2147" s="4" t="n">
        <v>10</v>
      </c>
      <c r="D2147" s="4" t="n">
        <v>5</v>
      </c>
      <c r="E2147" s="4" t="s">
        <v>2136</v>
      </c>
      <c r="F2147" s="4" t="n">
        <v>29</v>
      </c>
      <c r="G2147" s="4" t="n">
        <v>5</v>
      </c>
      <c r="H2147" s="4" t="n">
        <v>4</v>
      </c>
      <c r="I2147" s="4" t="str">
        <v>×</v>
      </c>
      <c r="J2147" s="4"/>
      <c r="K2147" s="4"/>
      <c r="L2147" s="4"/>
      <c r="M2147" s="5" t="s">
        <v>1871</v>
      </c>
    </row>
    <row r="2148" customFormat="false" ht="15.75" hidden="false" customHeight="false" outlineLevel="0" collapsed="false">
      <c r="A2148" s="3" t="n">
        <v>46214</v>
      </c>
      <c r="B2148" s="4" t="s">
        <v>1091</v>
      </c>
      <c r="C2148" s="4" t="n">
        <v>10</v>
      </c>
      <c r="D2148" s="4" t="n">
        <v>6</v>
      </c>
      <c r="E2148" s="4" t="s">
        <v>2137</v>
      </c>
      <c r="F2148" s="4" t="n">
        <v>41</v>
      </c>
      <c r="G2148" s="4" t="n">
        <v>2</v>
      </c>
      <c r="H2148" s="4" t="n">
        <v>4</v>
      </c>
      <c r="I2148" s="4" t="str">
        <v>×</v>
      </c>
      <c r="J2148" s="4"/>
      <c r="K2148" s="4"/>
      <c r="L2148" s="4"/>
      <c r="M2148" s="5" t="s">
        <v>1871</v>
      </c>
    </row>
    <row r="2149" customFormat="false" ht="15.75" hidden="false" customHeight="false" outlineLevel="0" collapsed="false">
      <c r="A2149" s="3" t="n">
        <v>46214</v>
      </c>
      <c r="B2149" s="4" t="s">
        <v>1091</v>
      </c>
      <c r="C2149" s="4" t="n">
        <v>10</v>
      </c>
      <c r="D2149" s="4" t="n">
        <v>7</v>
      </c>
      <c r="E2149" s="4" t="s">
        <v>2138</v>
      </c>
      <c r="F2149" s="4" t="n">
        <v>17</v>
      </c>
      <c r="G2149" s="4" t="n">
        <v>6</v>
      </c>
      <c r="H2149" s="4" t="n">
        <v>4</v>
      </c>
      <c r="I2149" s="4" t="str">
        <v>×</v>
      </c>
      <c r="J2149" s="4"/>
      <c r="K2149" s="4"/>
      <c r="L2149" s="4"/>
      <c r="M2149" s="5" t="s">
        <v>1871</v>
      </c>
    </row>
    <row r="2150" customFormat="false" ht="15.75" hidden="false" customHeight="false" outlineLevel="0" collapsed="false">
      <c r="A2150" s="3" t="n">
        <v>46214</v>
      </c>
      <c r="B2150" s="4" t="s">
        <v>1091</v>
      </c>
      <c r="C2150" s="4" t="n">
        <v>10</v>
      </c>
      <c r="D2150" s="4" t="n">
        <v>8</v>
      </c>
      <c r="E2150" s="4" t="s">
        <v>2139</v>
      </c>
      <c r="F2150" s="4" t="n">
        <v>15</v>
      </c>
      <c r="G2150" s="4" t="n">
        <v>9</v>
      </c>
      <c r="H2150" s="4" t="n">
        <v>4</v>
      </c>
      <c r="I2150" s="4" t="str">
        <v>×</v>
      </c>
      <c r="J2150" s="4"/>
      <c r="K2150" s="4"/>
      <c r="L2150" s="4"/>
      <c r="M2150" s="5" t="s">
        <v>1871</v>
      </c>
    </row>
    <row r="2151" customFormat="false" ht="15.75" hidden="false" customHeight="false" outlineLevel="0" collapsed="false">
      <c r="A2151" s="3" t="n">
        <v>46214</v>
      </c>
      <c r="B2151" s="4" t="s">
        <v>1091</v>
      </c>
      <c r="C2151" s="4" t="n">
        <v>10</v>
      </c>
      <c r="D2151" s="4" t="n">
        <v>9</v>
      </c>
      <c r="E2151" s="4" t="s">
        <v>2140</v>
      </c>
      <c r="F2151" s="4" t="n">
        <v>1</v>
      </c>
      <c r="G2151" s="4" t="n">
        <v>18</v>
      </c>
      <c r="H2151" s="4" t="n">
        <v>4</v>
      </c>
      <c r="I2151" s="4" t="str">
        <v>×</v>
      </c>
      <c r="J2151" s="4"/>
      <c r="K2151" s="4"/>
      <c r="L2151" s="4"/>
      <c r="M2151" s="5" t="s">
        <v>1871</v>
      </c>
    </row>
    <row r="2152" customFormat="false" ht="15.75" hidden="false" customHeight="false" outlineLevel="0" collapsed="false">
      <c r="A2152" s="3" t="n">
        <v>46214</v>
      </c>
      <c r="B2152" s="4" t="s">
        <v>1091</v>
      </c>
      <c r="C2152" s="4" t="n">
        <v>10</v>
      </c>
      <c r="D2152" s="4" t="n">
        <v>10</v>
      </c>
      <c r="E2152" s="4" t="s">
        <v>2141</v>
      </c>
      <c r="F2152" s="4" t="n">
        <v>10</v>
      </c>
      <c r="G2152" s="4" t="n">
        <v>13</v>
      </c>
      <c r="H2152" s="4" t="n">
        <v>4</v>
      </c>
      <c r="I2152" s="4" t="str">
        <v>×</v>
      </c>
      <c r="J2152" s="4"/>
      <c r="K2152" s="4"/>
      <c r="L2152" s="4"/>
      <c r="M2152" s="5" t="s">
        <v>1871</v>
      </c>
    </row>
    <row r="2153" customFormat="false" ht="15.75" hidden="false" customHeight="false" outlineLevel="0" collapsed="false">
      <c r="A2153" s="3" t="n">
        <v>46214</v>
      </c>
      <c r="B2153" s="4" t="s">
        <v>1091</v>
      </c>
      <c r="C2153" s="4" t="n">
        <v>10</v>
      </c>
      <c r="D2153" s="4" t="n">
        <v>11</v>
      </c>
      <c r="E2153" s="4" t="s">
        <v>2142</v>
      </c>
      <c r="F2153" s="4" t="n">
        <v>17</v>
      </c>
      <c r="G2153" s="4" t="n">
        <v>6</v>
      </c>
      <c r="H2153" s="4" t="n">
        <v>4</v>
      </c>
      <c r="I2153" s="4" t="str">
        <v>×</v>
      </c>
      <c r="J2153" s="4"/>
      <c r="K2153" s="4"/>
      <c r="L2153" s="4"/>
      <c r="M2153" s="5" t="s">
        <v>1871</v>
      </c>
    </row>
    <row r="2154" customFormat="false" ht="15.75" hidden="false" customHeight="false" outlineLevel="0" collapsed="false">
      <c r="A2154" s="3" t="n">
        <v>46214</v>
      </c>
      <c r="B2154" s="4" t="s">
        <v>1091</v>
      </c>
      <c r="C2154" s="4" t="n">
        <v>10</v>
      </c>
      <c r="D2154" s="4" t="n">
        <v>12</v>
      </c>
      <c r="E2154" s="4" t="s">
        <v>2143</v>
      </c>
      <c r="F2154" s="4" t="n">
        <v>3</v>
      </c>
      <c r="G2154" s="4" t="n">
        <v>17</v>
      </c>
      <c r="H2154" s="4" t="n">
        <v>4</v>
      </c>
      <c r="I2154" s="4" t="str">
        <v>×</v>
      </c>
      <c r="J2154" s="4"/>
      <c r="K2154" s="4"/>
      <c r="L2154" s="4"/>
      <c r="M2154" s="5" t="s">
        <v>1871</v>
      </c>
    </row>
    <row r="2155" customFormat="false" ht="15.75" hidden="false" customHeight="false" outlineLevel="0" collapsed="false">
      <c r="A2155" s="3" t="n">
        <v>46214</v>
      </c>
      <c r="B2155" s="4" t="s">
        <v>1091</v>
      </c>
      <c r="C2155" s="4" t="n">
        <v>10</v>
      </c>
      <c r="D2155" s="4" t="n">
        <v>13</v>
      </c>
      <c r="E2155" s="4" t="s">
        <v>2144</v>
      </c>
      <c r="F2155" s="4" t="n">
        <v>10</v>
      </c>
      <c r="G2155" s="4" t="n">
        <v>13</v>
      </c>
      <c r="H2155" s="4" t="n">
        <v>4</v>
      </c>
      <c r="I2155" s="4" t="str">
        <v>×</v>
      </c>
      <c r="J2155" s="4"/>
      <c r="K2155" s="4"/>
      <c r="L2155" s="4"/>
      <c r="M2155" s="5" t="s">
        <v>1871</v>
      </c>
    </row>
    <row r="2156" customFormat="false" ht="15.75" hidden="false" customHeight="false" outlineLevel="0" collapsed="false">
      <c r="A2156" s="3" t="n">
        <v>46214</v>
      </c>
      <c r="B2156" s="4" t="s">
        <v>1091</v>
      </c>
      <c r="C2156" s="4" t="n">
        <v>10</v>
      </c>
      <c r="D2156" s="4" t="n">
        <v>14</v>
      </c>
      <c r="E2156" s="4" t="s">
        <v>2145</v>
      </c>
      <c r="F2156" s="4" t="n">
        <v>44</v>
      </c>
      <c r="G2156" s="4" t="n">
        <v>1</v>
      </c>
      <c r="H2156" s="4" t="n">
        <v>1</v>
      </c>
      <c r="I2156" s="4" t="str">
        <v>○</v>
      </c>
      <c r="J2156" s="4" t="n">
        <v>250</v>
      </c>
      <c r="K2156" s="4"/>
      <c r="L2156" s="4"/>
      <c r="M2156" s="5" t="s">
        <v>1871</v>
      </c>
    </row>
    <row r="2157" customFormat="false" ht="15.75" hidden="false" customHeight="false" outlineLevel="0" collapsed="false">
      <c r="A2157" s="3" t="n">
        <v>46214</v>
      </c>
      <c r="B2157" s="4" t="s">
        <v>1091</v>
      </c>
      <c r="C2157" s="4" t="n">
        <v>10</v>
      </c>
      <c r="D2157" s="4" t="n">
        <v>15</v>
      </c>
      <c r="E2157" s="4" t="s">
        <v>2146</v>
      </c>
      <c r="F2157" s="4" t="n">
        <v>13</v>
      </c>
      <c r="G2157" s="4" t="n">
        <v>10</v>
      </c>
      <c r="H2157" s="4" t="n">
        <v>4</v>
      </c>
      <c r="I2157" s="4" t="str">
        <v>×</v>
      </c>
      <c r="J2157" s="4"/>
      <c r="K2157" s="4"/>
      <c r="L2157" s="4"/>
      <c r="M2157" s="5" t="s">
        <v>1871</v>
      </c>
    </row>
    <row r="2158" customFormat="false" ht="15.75" hidden="false" customHeight="false" outlineLevel="0" collapsed="false">
      <c r="A2158" s="3" t="n">
        <v>46214</v>
      </c>
      <c r="B2158" s="4" t="s">
        <v>1091</v>
      </c>
      <c r="C2158" s="4" t="n">
        <v>10</v>
      </c>
      <c r="D2158" s="4" t="n">
        <v>16</v>
      </c>
      <c r="E2158" s="4" t="s">
        <v>2147</v>
      </c>
      <c r="F2158" s="4" t="n">
        <v>41</v>
      </c>
      <c r="G2158" s="4" t="n">
        <v>2</v>
      </c>
      <c r="H2158" s="4" t="n">
        <v>3</v>
      </c>
      <c r="I2158" s="4" t="str">
        <v>○</v>
      </c>
      <c r="J2158" s="4" t="n">
        <v>200</v>
      </c>
      <c r="K2158" s="4"/>
      <c r="L2158" s="4"/>
      <c r="M2158" s="5" t="s">
        <v>1871</v>
      </c>
    </row>
    <row r="2159" customFormat="false" ht="15.75" hidden="false" customHeight="false" outlineLevel="0" collapsed="false">
      <c r="A2159" s="3" t="n">
        <v>46214</v>
      </c>
      <c r="B2159" s="4" t="s">
        <v>1091</v>
      </c>
      <c r="C2159" s="4" t="n">
        <v>10</v>
      </c>
      <c r="D2159" s="4" t="n">
        <v>17</v>
      </c>
      <c r="E2159" s="4" t="s">
        <v>2148</v>
      </c>
      <c r="F2159" s="4" t="n">
        <v>41</v>
      </c>
      <c r="G2159" s="4" t="n">
        <v>2</v>
      </c>
      <c r="H2159" s="4" t="n">
        <v>4</v>
      </c>
      <c r="I2159" s="4" t="str">
        <v>×</v>
      </c>
      <c r="J2159" s="4"/>
      <c r="K2159" s="4"/>
      <c r="L2159" s="4"/>
      <c r="M2159" s="5" t="s">
        <v>1871</v>
      </c>
    </row>
    <row r="2160" customFormat="false" ht="15.75" hidden="false" customHeight="false" outlineLevel="0" collapsed="false">
      <c r="A2160" s="3" t="n">
        <v>46214</v>
      </c>
      <c r="B2160" s="4" t="s">
        <v>1091</v>
      </c>
      <c r="C2160" s="4" t="n">
        <v>10</v>
      </c>
      <c r="D2160" s="4" t="n">
        <v>18</v>
      </c>
      <c r="E2160" s="4" t="s">
        <v>2149</v>
      </c>
      <c r="F2160" s="4" t="n">
        <v>4</v>
      </c>
      <c r="G2160" s="4" t="n">
        <v>16</v>
      </c>
      <c r="H2160" s="4" t="n">
        <v>4</v>
      </c>
      <c r="I2160" s="4" t="str">
        <v>×</v>
      </c>
      <c r="J2160" s="4"/>
      <c r="K2160" s="4"/>
      <c r="L2160" s="4"/>
      <c r="M2160" s="5" t="s">
        <v>1871</v>
      </c>
    </row>
    <row r="2161" customFormat="false" ht="15.75" hidden="false" customHeight="false" outlineLevel="0" collapsed="false">
      <c r="A2161" s="3" t="n">
        <v>46214</v>
      </c>
      <c r="B2161" s="4" t="s">
        <v>1091</v>
      </c>
      <c r="C2161" s="4" t="n">
        <v>11</v>
      </c>
      <c r="D2161" s="4" t="n">
        <v>1</v>
      </c>
      <c r="E2161" s="4" t="s">
        <v>2150</v>
      </c>
      <c r="F2161" s="4" t="n">
        <v>23</v>
      </c>
      <c r="G2161" s="4" t="n">
        <v>6</v>
      </c>
      <c r="H2161" s="4" t="n">
        <v>2</v>
      </c>
      <c r="I2161" s="4" t="str">
        <v>○</v>
      </c>
      <c r="J2161" s="4" t="n">
        <v>370</v>
      </c>
      <c r="K2161" s="4"/>
      <c r="L2161" s="4"/>
      <c r="M2161" s="5" t="s">
        <v>1871</v>
      </c>
    </row>
    <row r="2162" customFormat="false" ht="15.75" hidden="false" customHeight="false" outlineLevel="0" collapsed="false">
      <c r="A2162" s="3" t="n">
        <v>46214</v>
      </c>
      <c r="B2162" s="4" t="s">
        <v>1091</v>
      </c>
      <c r="C2162" s="4" t="n">
        <v>11</v>
      </c>
      <c r="D2162" s="4" t="n">
        <v>2</v>
      </c>
      <c r="E2162" s="4" t="s">
        <v>2151</v>
      </c>
      <c r="F2162" s="4" t="n">
        <v>8</v>
      </c>
      <c r="G2162" s="4" t="n">
        <v>9</v>
      </c>
      <c r="H2162" s="4" t="n">
        <v>4</v>
      </c>
      <c r="I2162" s="4" t="str">
        <v>×</v>
      </c>
      <c r="J2162" s="4"/>
      <c r="K2162" s="4"/>
      <c r="L2162" s="4"/>
      <c r="M2162" s="5" t="s">
        <v>1871</v>
      </c>
    </row>
    <row r="2163" customFormat="false" ht="15.75" hidden="false" customHeight="false" outlineLevel="0" collapsed="false">
      <c r="A2163" s="3" t="n">
        <v>46214</v>
      </c>
      <c r="B2163" s="4" t="s">
        <v>1091</v>
      </c>
      <c r="C2163" s="4" t="n">
        <v>11</v>
      </c>
      <c r="D2163" s="4" t="n">
        <v>3</v>
      </c>
      <c r="E2163" s="4" t="s">
        <v>2152</v>
      </c>
      <c r="F2163" s="4" t="n">
        <v>25</v>
      </c>
      <c r="G2163" s="4" t="n">
        <v>4</v>
      </c>
      <c r="H2163" s="4" t="n">
        <v>4</v>
      </c>
      <c r="I2163" s="4" t="str">
        <v>×</v>
      </c>
      <c r="J2163" s="4"/>
      <c r="K2163" s="4"/>
      <c r="L2163" s="4"/>
      <c r="M2163" s="5" t="s">
        <v>1871</v>
      </c>
    </row>
    <row r="2164" customFormat="false" ht="15.75" hidden="false" customHeight="false" outlineLevel="0" collapsed="false">
      <c r="A2164" s="3" t="n">
        <v>46214</v>
      </c>
      <c r="B2164" s="4" t="s">
        <v>1091</v>
      </c>
      <c r="C2164" s="4" t="n">
        <v>11</v>
      </c>
      <c r="D2164" s="4" t="n">
        <v>4</v>
      </c>
      <c r="E2164" s="4" t="s">
        <v>2153</v>
      </c>
      <c r="F2164" s="4" t="n">
        <v>17</v>
      </c>
      <c r="G2164" s="4" t="n">
        <v>7</v>
      </c>
      <c r="H2164" s="4" t="n">
        <v>4</v>
      </c>
      <c r="I2164" s="4" t="str">
        <v>×</v>
      </c>
      <c r="J2164" s="4"/>
      <c r="K2164" s="4"/>
      <c r="L2164" s="4"/>
      <c r="M2164" s="5" t="s">
        <v>1871</v>
      </c>
    </row>
    <row r="2165" customFormat="false" ht="15.75" hidden="false" customHeight="false" outlineLevel="0" collapsed="false">
      <c r="A2165" s="3" t="n">
        <v>46214</v>
      </c>
      <c r="B2165" s="4" t="s">
        <v>1091</v>
      </c>
      <c r="C2165" s="4" t="n">
        <v>11</v>
      </c>
      <c r="D2165" s="4" t="n">
        <v>5</v>
      </c>
      <c r="E2165" s="4" t="s">
        <v>2154</v>
      </c>
      <c r="F2165" s="4" t="n">
        <v>47</v>
      </c>
      <c r="G2165" s="4" t="n">
        <v>1</v>
      </c>
      <c r="H2165" s="4" t="n">
        <v>1</v>
      </c>
      <c r="I2165" s="4" t="str">
        <v>○</v>
      </c>
      <c r="J2165" s="4" t="n">
        <v>210</v>
      </c>
      <c r="K2165" s="4"/>
      <c r="L2165" s="4"/>
      <c r="M2165" s="5" t="s">
        <v>1871</v>
      </c>
    </row>
    <row r="2166" customFormat="false" ht="15.75" hidden="false" customHeight="false" outlineLevel="0" collapsed="false">
      <c r="A2166" s="3" t="n">
        <v>46214</v>
      </c>
      <c r="B2166" s="4" t="s">
        <v>1091</v>
      </c>
      <c r="C2166" s="4" t="n">
        <v>11</v>
      </c>
      <c r="D2166" s="4" t="n">
        <v>6</v>
      </c>
      <c r="E2166" s="4" t="s">
        <v>2155</v>
      </c>
      <c r="F2166" s="4" t="n">
        <v>3</v>
      </c>
      <c r="G2166" s="4" t="n">
        <v>11</v>
      </c>
      <c r="H2166" s="4" t="n">
        <v>4</v>
      </c>
      <c r="I2166" s="4" t="str">
        <v>×</v>
      </c>
      <c r="J2166" s="4"/>
      <c r="K2166" s="4"/>
      <c r="L2166" s="4"/>
      <c r="M2166" s="5" t="s">
        <v>1871</v>
      </c>
    </row>
    <row r="2167" customFormat="false" ht="15.75" hidden="false" customHeight="false" outlineLevel="0" collapsed="false">
      <c r="A2167" s="3" t="n">
        <v>46214</v>
      </c>
      <c r="B2167" s="4" t="s">
        <v>1091</v>
      </c>
      <c r="C2167" s="4" t="n">
        <v>11</v>
      </c>
      <c r="D2167" s="4" t="n">
        <v>7</v>
      </c>
      <c r="E2167" s="4" t="s">
        <v>2156</v>
      </c>
      <c r="F2167" s="4" t="n">
        <v>47</v>
      </c>
      <c r="G2167" s="4" t="n">
        <v>1</v>
      </c>
      <c r="H2167" s="4" t="n">
        <v>3</v>
      </c>
      <c r="I2167" s="4" t="str">
        <v>○</v>
      </c>
      <c r="J2167" s="4" t="n">
        <v>250</v>
      </c>
      <c r="K2167" s="4"/>
      <c r="L2167" s="4"/>
      <c r="M2167" s="5" t="s">
        <v>1871</v>
      </c>
    </row>
    <row r="2168" customFormat="false" ht="15.75" hidden="false" customHeight="false" outlineLevel="0" collapsed="false">
      <c r="A2168" s="3" t="n">
        <v>46214</v>
      </c>
      <c r="B2168" s="4" t="s">
        <v>1091</v>
      </c>
      <c r="C2168" s="4" t="n">
        <v>11</v>
      </c>
      <c r="D2168" s="4" t="n">
        <v>8</v>
      </c>
      <c r="E2168" s="4" t="s">
        <v>2157</v>
      </c>
      <c r="F2168" s="4" t="n">
        <v>13</v>
      </c>
      <c r="G2168" s="4" t="n">
        <v>8</v>
      </c>
      <c r="H2168" s="4" t="n">
        <v>4</v>
      </c>
      <c r="I2168" s="4" t="str">
        <v>×</v>
      </c>
      <c r="J2168" s="4"/>
      <c r="K2168" s="4"/>
      <c r="L2168" s="4"/>
      <c r="M2168" s="5" t="s">
        <v>1871</v>
      </c>
    </row>
    <row r="2169" customFormat="false" ht="15.75" hidden="false" customHeight="false" outlineLevel="0" collapsed="false">
      <c r="A2169" s="3" t="n">
        <v>46214</v>
      </c>
      <c r="B2169" s="4" t="s">
        <v>1091</v>
      </c>
      <c r="C2169" s="4" t="n">
        <v>11</v>
      </c>
      <c r="D2169" s="4" t="n">
        <v>9</v>
      </c>
      <c r="E2169" s="4" t="s">
        <v>2158</v>
      </c>
      <c r="F2169" s="4" t="n">
        <v>4</v>
      </c>
      <c r="G2169" s="4" t="n">
        <v>10</v>
      </c>
      <c r="H2169" s="4" t="n">
        <v>4</v>
      </c>
      <c r="I2169" s="4" t="str">
        <v>×</v>
      </c>
      <c r="J2169" s="4"/>
      <c r="K2169" s="4"/>
      <c r="L2169" s="4"/>
      <c r="M2169" s="5" t="s">
        <v>1871</v>
      </c>
    </row>
    <row r="2170" customFormat="false" ht="15.75" hidden="false" customHeight="false" outlineLevel="0" collapsed="false">
      <c r="A2170" s="3" t="n">
        <v>46214</v>
      </c>
      <c r="B2170" s="4" t="s">
        <v>1091</v>
      </c>
      <c r="C2170" s="4" t="n">
        <v>11</v>
      </c>
      <c r="D2170" s="4" t="n">
        <v>10</v>
      </c>
      <c r="E2170" s="4" t="s">
        <v>2159</v>
      </c>
      <c r="F2170" s="4" t="n">
        <v>25</v>
      </c>
      <c r="G2170" s="4" t="n">
        <v>4</v>
      </c>
      <c r="H2170" s="4" t="n">
        <v>4</v>
      </c>
      <c r="I2170" s="4" t="str">
        <v>×</v>
      </c>
      <c r="J2170" s="4"/>
      <c r="K2170" s="4"/>
      <c r="L2170" s="4"/>
      <c r="M2170" s="5" t="s">
        <v>1871</v>
      </c>
    </row>
    <row r="2171" customFormat="false" ht="15.75" hidden="false" customHeight="false" outlineLevel="0" collapsed="false">
      <c r="A2171" s="3" t="n">
        <v>46214</v>
      </c>
      <c r="B2171" s="4" t="s">
        <v>1091</v>
      </c>
      <c r="C2171" s="4" t="n">
        <v>11</v>
      </c>
      <c r="D2171" s="4" t="n">
        <v>11</v>
      </c>
      <c r="E2171" s="4" t="s">
        <v>2160</v>
      </c>
      <c r="F2171" s="4" t="n">
        <v>29</v>
      </c>
      <c r="G2171" s="4" t="n">
        <v>3</v>
      </c>
      <c r="H2171" s="4" t="n">
        <v>4</v>
      </c>
      <c r="I2171" s="4" t="str">
        <v>×</v>
      </c>
      <c r="J2171" s="4"/>
      <c r="K2171" s="4"/>
      <c r="L2171" s="4"/>
      <c r="M2171" s="5" t="s">
        <v>1871</v>
      </c>
    </row>
    <row r="2172" customFormat="false" ht="15.75" hidden="false" customHeight="false" outlineLevel="0" collapsed="false">
      <c r="A2172" s="3" t="n">
        <v>46214</v>
      </c>
      <c r="B2172" s="4" t="s">
        <v>1091</v>
      </c>
      <c r="C2172" s="4" t="n">
        <v>12</v>
      </c>
      <c r="D2172" s="4" t="n">
        <v>1</v>
      </c>
      <c r="E2172" s="4" t="s">
        <v>2161</v>
      </c>
      <c r="F2172" s="4" t="n">
        <v>20</v>
      </c>
      <c r="G2172" s="4" t="n">
        <v>8</v>
      </c>
      <c r="H2172" s="4" t="n">
        <v>4</v>
      </c>
      <c r="I2172" s="4" t="str">
        <v>×</v>
      </c>
      <c r="J2172" s="4"/>
      <c r="K2172" s="4"/>
      <c r="L2172" s="4"/>
      <c r="M2172" s="5" t="s">
        <v>1871</v>
      </c>
    </row>
    <row r="2173" customFormat="false" ht="15.75" hidden="false" customHeight="false" outlineLevel="0" collapsed="false">
      <c r="A2173" s="3" t="n">
        <v>46214</v>
      </c>
      <c r="B2173" s="4" t="s">
        <v>1091</v>
      </c>
      <c r="C2173" s="4" t="n">
        <v>12</v>
      </c>
      <c r="D2173" s="4" t="n">
        <v>2</v>
      </c>
      <c r="E2173" s="4" t="s">
        <v>1645</v>
      </c>
      <c r="F2173" s="4" t="n">
        <v>23</v>
      </c>
      <c r="G2173" s="4" t="n">
        <v>6</v>
      </c>
      <c r="H2173" s="4" t="n">
        <v>2</v>
      </c>
      <c r="I2173" s="4" t="str">
        <v>○</v>
      </c>
      <c r="J2173" s="4" t="n">
        <v>440</v>
      </c>
      <c r="K2173" s="4"/>
      <c r="L2173" s="4"/>
      <c r="M2173" s="5" t="s">
        <v>1871</v>
      </c>
    </row>
    <row r="2174" customFormat="false" ht="15.75" hidden="false" customHeight="false" outlineLevel="0" collapsed="false">
      <c r="A2174" s="3" t="n">
        <v>46214</v>
      </c>
      <c r="B2174" s="4" t="s">
        <v>1091</v>
      </c>
      <c r="C2174" s="4" t="n">
        <v>12</v>
      </c>
      <c r="D2174" s="4" t="n">
        <v>3</v>
      </c>
      <c r="E2174" s="4" t="s">
        <v>1647</v>
      </c>
      <c r="F2174" s="4" t="n">
        <v>13</v>
      </c>
      <c r="G2174" s="4" t="n">
        <v>11</v>
      </c>
      <c r="H2174" s="4" t="n">
        <v>4</v>
      </c>
      <c r="I2174" s="4" t="str">
        <v>×</v>
      </c>
      <c r="J2174" s="4"/>
      <c r="K2174" s="4"/>
      <c r="L2174" s="4"/>
      <c r="M2174" s="5" t="s">
        <v>1871</v>
      </c>
    </row>
    <row r="2175" customFormat="false" ht="15.75" hidden="false" customHeight="false" outlineLevel="0" collapsed="false">
      <c r="A2175" s="3" t="n">
        <v>46214</v>
      </c>
      <c r="B2175" s="4" t="s">
        <v>1091</v>
      </c>
      <c r="C2175" s="4" t="n">
        <v>12</v>
      </c>
      <c r="D2175" s="4" t="n">
        <v>4</v>
      </c>
      <c r="E2175" s="4" t="s">
        <v>2162</v>
      </c>
      <c r="F2175" s="4" t="n">
        <v>34</v>
      </c>
      <c r="G2175" s="4" t="n">
        <v>3</v>
      </c>
      <c r="H2175" s="4" t="n">
        <v>4</v>
      </c>
      <c r="I2175" s="4" t="str">
        <v>×</v>
      </c>
      <c r="J2175" s="4"/>
      <c r="K2175" s="4"/>
      <c r="L2175" s="4"/>
      <c r="M2175" s="5" t="s">
        <v>1871</v>
      </c>
    </row>
    <row r="2176" customFormat="false" ht="15.75" hidden="false" customHeight="false" outlineLevel="0" collapsed="false">
      <c r="A2176" s="3" t="n">
        <v>46214</v>
      </c>
      <c r="B2176" s="4" t="s">
        <v>1091</v>
      </c>
      <c r="C2176" s="4" t="n">
        <v>12</v>
      </c>
      <c r="D2176" s="4" t="n">
        <v>5</v>
      </c>
      <c r="E2176" s="4" t="s">
        <v>2163</v>
      </c>
      <c r="F2176" s="4" t="n">
        <v>23</v>
      </c>
      <c r="G2176" s="4" t="n">
        <v>6</v>
      </c>
      <c r="H2176" s="4" t="n">
        <v>4</v>
      </c>
      <c r="I2176" s="4" t="str">
        <v>×</v>
      </c>
      <c r="J2176" s="4"/>
      <c r="K2176" s="4"/>
      <c r="L2176" s="4"/>
      <c r="M2176" s="5" t="s">
        <v>1871</v>
      </c>
    </row>
    <row r="2177" customFormat="false" ht="15.75" hidden="false" customHeight="false" outlineLevel="0" collapsed="false">
      <c r="A2177" s="3" t="n">
        <v>46214</v>
      </c>
      <c r="B2177" s="4" t="s">
        <v>1091</v>
      </c>
      <c r="C2177" s="4" t="n">
        <v>12</v>
      </c>
      <c r="D2177" s="4" t="n">
        <v>6</v>
      </c>
      <c r="E2177" s="4" t="s">
        <v>2164</v>
      </c>
      <c r="F2177" s="4" t="n">
        <v>67</v>
      </c>
      <c r="G2177" s="4" t="n">
        <v>1</v>
      </c>
      <c r="H2177" s="4" t="n">
        <v>4</v>
      </c>
      <c r="I2177" s="4" t="str">
        <v>×</v>
      </c>
      <c r="J2177" s="4"/>
      <c r="K2177" s="4"/>
      <c r="L2177" s="4"/>
      <c r="M2177" s="5" t="s">
        <v>1871</v>
      </c>
    </row>
    <row r="2178" customFormat="false" ht="15.75" hidden="false" customHeight="false" outlineLevel="0" collapsed="false">
      <c r="A2178" s="3" t="n">
        <v>46214</v>
      </c>
      <c r="B2178" s="4" t="s">
        <v>1091</v>
      </c>
      <c r="C2178" s="4" t="n">
        <v>12</v>
      </c>
      <c r="D2178" s="4" t="n">
        <v>7</v>
      </c>
      <c r="E2178" s="4" t="s">
        <v>2165</v>
      </c>
      <c r="F2178" s="4" t="n">
        <v>17</v>
      </c>
      <c r="G2178" s="4" t="n">
        <v>9</v>
      </c>
      <c r="H2178" s="4" t="n">
        <v>4</v>
      </c>
      <c r="I2178" s="4" t="str">
        <v>×</v>
      </c>
      <c r="J2178" s="4"/>
      <c r="K2178" s="4"/>
      <c r="L2178" s="4"/>
      <c r="M2178" s="5" t="s">
        <v>1871</v>
      </c>
    </row>
    <row r="2179" customFormat="false" ht="15.75" hidden="false" customHeight="false" outlineLevel="0" collapsed="false">
      <c r="A2179" s="3" t="n">
        <v>46214</v>
      </c>
      <c r="B2179" s="4" t="s">
        <v>1091</v>
      </c>
      <c r="C2179" s="4" t="n">
        <v>12</v>
      </c>
      <c r="D2179" s="4" t="n">
        <v>8</v>
      </c>
      <c r="E2179" s="4" t="s">
        <v>2166</v>
      </c>
      <c r="F2179" s="4" t="n">
        <v>17</v>
      </c>
      <c r="G2179" s="4" t="n">
        <v>9</v>
      </c>
      <c r="H2179" s="4" t="n">
        <v>4</v>
      </c>
      <c r="I2179" s="4" t="str">
        <v>×</v>
      </c>
      <c r="J2179" s="4"/>
      <c r="K2179" s="4"/>
      <c r="L2179" s="4"/>
      <c r="M2179" s="5" t="s">
        <v>1871</v>
      </c>
    </row>
    <row r="2180" customFormat="false" ht="15.75" hidden="false" customHeight="false" outlineLevel="0" collapsed="false">
      <c r="A2180" s="3" t="n">
        <v>46214</v>
      </c>
      <c r="B2180" s="4" t="s">
        <v>1091</v>
      </c>
      <c r="C2180" s="4" t="n">
        <v>12</v>
      </c>
      <c r="D2180" s="4" t="n">
        <v>9</v>
      </c>
      <c r="E2180" s="4" t="s">
        <v>2167</v>
      </c>
      <c r="F2180" s="4" t="n">
        <v>3</v>
      </c>
      <c r="G2180" s="4" t="n">
        <v>13</v>
      </c>
      <c r="H2180" s="4" t="n">
        <v>4</v>
      </c>
      <c r="I2180" s="4" t="str">
        <v>×</v>
      </c>
      <c r="J2180" s="4"/>
      <c r="K2180" s="4"/>
      <c r="L2180" s="4"/>
      <c r="M2180" s="5" t="s">
        <v>1871</v>
      </c>
    </row>
    <row r="2181" customFormat="false" ht="15.75" hidden="false" customHeight="false" outlineLevel="0" collapsed="false">
      <c r="A2181" s="3" t="n">
        <v>46214</v>
      </c>
      <c r="B2181" s="4" t="s">
        <v>1091</v>
      </c>
      <c r="C2181" s="4" t="n">
        <v>12</v>
      </c>
      <c r="D2181" s="4" t="n">
        <v>10</v>
      </c>
      <c r="E2181" s="4" t="s">
        <v>2168</v>
      </c>
      <c r="F2181" s="4" t="n">
        <v>2</v>
      </c>
      <c r="G2181" s="4" t="n">
        <v>15</v>
      </c>
      <c r="H2181" s="4" t="n">
        <v>4</v>
      </c>
      <c r="I2181" s="4" t="str">
        <v>×</v>
      </c>
      <c r="J2181" s="4"/>
      <c r="K2181" s="4"/>
      <c r="L2181" s="4"/>
      <c r="M2181" s="5" t="s">
        <v>1871</v>
      </c>
    </row>
    <row r="2182" customFormat="false" ht="15.75" hidden="false" customHeight="false" outlineLevel="0" collapsed="false">
      <c r="A2182" s="3" t="n">
        <v>46214</v>
      </c>
      <c r="B2182" s="4" t="s">
        <v>1091</v>
      </c>
      <c r="C2182" s="4" t="n">
        <v>12</v>
      </c>
      <c r="D2182" s="4" t="n">
        <v>11</v>
      </c>
      <c r="E2182" s="4" t="s">
        <v>2169</v>
      </c>
      <c r="F2182" s="4" t="n">
        <v>39</v>
      </c>
      <c r="G2182" s="4" t="n">
        <v>2</v>
      </c>
      <c r="H2182" s="4" t="n">
        <v>1</v>
      </c>
      <c r="I2182" s="4" t="str">
        <v>○</v>
      </c>
      <c r="J2182" s="4" t="n">
        <v>350</v>
      </c>
      <c r="K2182" s="4"/>
      <c r="L2182" s="4"/>
      <c r="M2182" s="5" t="s">
        <v>1871</v>
      </c>
    </row>
    <row r="2183" customFormat="false" ht="15.75" hidden="false" customHeight="false" outlineLevel="0" collapsed="false">
      <c r="A2183" s="3" t="n">
        <v>46214</v>
      </c>
      <c r="B2183" s="4" t="s">
        <v>1091</v>
      </c>
      <c r="C2183" s="4" t="n">
        <v>12</v>
      </c>
      <c r="D2183" s="4" t="n">
        <v>12</v>
      </c>
      <c r="E2183" s="4" t="s">
        <v>1638</v>
      </c>
      <c r="F2183" s="4" t="n">
        <v>8</v>
      </c>
      <c r="G2183" s="4" t="n">
        <v>12</v>
      </c>
      <c r="H2183" s="4" t="n">
        <v>4</v>
      </c>
      <c r="I2183" s="4" t="str">
        <v>×</v>
      </c>
      <c r="J2183" s="4"/>
      <c r="K2183" s="4"/>
      <c r="L2183" s="4"/>
      <c r="M2183" s="5" t="s">
        <v>1871</v>
      </c>
    </row>
    <row r="2184" customFormat="false" ht="15.75" hidden="false" customHeight="false" outlineLevel="0" collapsed="false">
      <c r="A2184" s="3" t="n">
        <v>46214</v>
      </c>
      <c r="B2184" s="4" t="s">
        <v>1091</v>
      </c>
      <c r="C2184" s="4" t="n">
        <v>12</v>
      </c>
      <c r="D2184" s="4" t="n">
        <v>13</v>
      </c>
      <c r="E2184" s="4" t="s">
        <v>2170</v>
      </c>
      <c r="F2184" s="4" t="n">
        <v>3</v>
      </c>
      <c r="G2184" s="4" t="n">
        <v>13</v>
      </c>
      <c r="H2184" s="4" t="n">
        <v>4</v>
      </c>
      <c r="I2184" s="4" t="str">
        <v>×</v>
      </c>
      <c r="J2184" s="4"/>
      <c r="K2184" s="4"/>
      <c r="L2184" s="4"/>
      <c r="M2184" s="5" t="s">
        <v>1871</v>
      </c>
    </row>
    <row r="2185" customFormat="false" ht="15.75" hidden="false" customHeight="false" outlineLevel="0" collapsed="false">
      <c r="A2185" s="3" t="n">
        <v>46214</v>
      </c>
      <c r="B2185" s="4" t="s">
        <v>1091</v>
      </c>
      <c r="C2185" s="4" t="n">
        <v>12</v>
      </c>
      <c r="D2185" s="4" t="n">
        <v>14</v>
      </c>
      <c r="E2185" s="4" t="s">
        <v>2171</v>
      </c>
      <c r="F2185" s="4" t="n">
        <v>29</v>
      </c>
      <c r="G2185" s="4" t="n">
        <v>4</v>
      </c>
      <c r="H2185" s="4" t="n">
        <v>4</v>
      </c>
      <c r="I2185" s="4" t="str">
        <v>×</v>
      </c>
      <c r="J2185" s="4"/>
      <c r="K2185" s="4"/>
      <c r="L2185" s="4"/>
      <c r="M2185" s="5" t="s">
        <v>1871</v>
      </c>
    </row>
    <row r="2186" customFormat="false" ht="15.75" hidden="false" customHeight="false" outlineLevel="0" collapsed="false">
      <c r="A2186" s="3" t="n">
        <v>46214</v>
      </c>
      <c r="B2186" s="4" t="s">
        <v>1091</v>
      </c>
      <c r="C2186" s="4" t="n">
        <v>12</v>
      </c>
      <c r="D2186" s="4" t="n">
        <v>15</v>
      </c>
      <c r="E2186" s="4" t="s">
        <v>2172</v>
      </c>
      <c r="F2186" s="4" t="n">
        <v>2</v>
      </c>
      <c r="G2186" s="4" t="n">
        <v>15</v>
      </c>
      <c r="H2186" s="4" t="n">
        <v>4</v>
      </c>
      <c r="I2186" s="4" t="str">
        <v>×</v>
      </c>
      <c r="J2186" s="4"/>
      <c r="K2186" s="4"/>
      <c r="L2186" s="4"/>
      <c r="M2186" s="5" t="s">
        <v>1871</v>
      </c>
    </row>
    <row r="2187" customFormat="false" ht="15.75" hidden="false" customHeight="false" outlineLevel="0" collapsed="false">
      <c r="A2187" s="3" t="n">
        <v>46214</v>
      </c>
      <c r="B2187" s="4" t="s">
        <v>1091</v>
      </c>
      <c r="C2187" s="4" t="n">
        <v>12</v>
      </c>
      <c r="D2187" s="4" t="n">
        <v>16</v>
      </c>
      <c r="E2187" s="4" t="s">
        <v>2173</v>
      </c>
      <c r="F2187" s="4" t="n">
        <v>25</v>
      </c>
      <c r="G2187" s="4" t="n">
        <v>5</v>
      </c>
      <c r="H2187" s="4" t="n">
        <v>3</v>
      </c>
      <c r="I2187" s="4" t="str">
        <v>○</v>
      </c>
      <c r="J2187" s="4" t="n">
        <v>370</v>
      </c>
      <c r="K2187" s="4"/>
      <c r="L2187" s="4"/>
      <c r="M2187" s="5" t="s">
        <v>1871</v>
      </c>
    </row>
    <row r="2188" customFormat="false" ht="15.75" hidden="false" customHeight="false" outlineLevel="0" collapsed="false">
      <c r="A2188" s="3" t="n">
        <v>46214</v>
      </c>
      <c r="B2188" s="4" t="s">
        <v>1237</v>
      </c>
      <c r="C2188" s="4" t="n">
        <v>1</v>
      </c>
      <c r="D2188" s="4" t="n">
        <v>1</v>
      </c>
      <c r="E2188" s="4" t="s">
        <v>2174</v>
      </c>
      <c r="F2188" s="4" t="n">
        <v>67</v>
      </c>
      <c r="G2188" s="4" t="n">
        <v>2</v>
      </c>
      <c r="H2188" s="4" t="n">
        <v>1</v>
      </c>
      <c r="I2188" s="4" t="str">
        <v>○</v>
      </c>
      <c r="J2188" s="4" t="n">
        <v>110</v>
      </c>
      <c r="K2188" s="4"/>
      <c r="L2188" s="4"/>
      <c r="M2188" s="5" t="s">
        <v>1871</v>
      </c>
    </row>
    <row r="2189" customFormat="false" ht="15.75" hidden="false" customHeight="false" outlineLevel="0" collapsed="false">
      <c r="A2189" s="3" t="n">
        <v>46214</v>
      </c>
      <c r="B2189" s="4" t="s">
        <v>1237</v>
      </c>
      <c r="C2189" s="4" t="n">
        <v>1</v>
      </c>
      <c r="D2189" s="4" t="n">
        <v>2</v>
      </c>
      <c r="E2189" s="4" t="s">
        <v>793</v>
      </c>
      <c r="F2189" s="4" t="n">
        <v>6</v>
      </c>
      <c r="G2189" s="4" t="n">
        <v>6</v>
      </c>
      <c r="H2189" s="4" t="n">
        <v>4</v>
      </c>
      <c r="I2189" s="4" t="str">
        <v>×</v>
      </c>
      <c r="J2189" s="4"/>
      <c r="K2189" s="4"/>
      <c r="L2189" s="4"/>
      <c r="M2189" s="5" t="s">
        <v>1871</v>
      </c>
    </row>
    <row r="2190" customFormat="false" ht="15.75" hidden="false" customHeight="false" outlineLevel="0" collapsed="false">
      <c r="A2190" s="3" t="n">
        <v>46214</v>
      </c>
      <c r="B2190" s="4" t="s">
        <v>1237</v>
      </c>
      <c r="C2190" s="4" t="n">
        <v>1</v>
      </c>
      <c r="D2190" s="4" t="n">
        <v>3</v>
      </c>
      <c r="E2190" s="4" t="s">
        <v>789</v>
      </c>
      <c r="F2190" s="4" t="n">
        <v>6</v>
      </c>
      <c r="G2190" s="4" t="n">
        <v>6</v>
      </c>
      <c r="H2190" s="4" t="n">
        <v>4</v>
      </c>
      <c r="I2190" s="4" t="str">
        <v>×</v>
      </c>
      <c r="J2190" s="4"/>
      <c r="K2190" s="4"/>
      <c r="L2190" s="4"/>
      <c r="M2190" s="5" t="s">
        <v>1871</v>
      </c>
    </row>
    <row r="2191" customFormat="false" ht="15.75" hidden="false" customHeight="false" outlineLevel="0" collapsed="false">
      <c r="A2191" s="3" t="n">
        <v>46214</v>
      </c>
      <c r="B2191" s="4" t="s">
        <v>1237</v>
      </c>
      <c r="C2191" s="4" t="n">
        <v>1</v>
      </c>
      <c r="D2191" s="4" t="n">
        <v>4</v>
      </c>
      <c r="E2191" s="4" t="s">
        <v>2175</v>
      </c>
      <c r="F2191" s="4" t="n">
        <v>4</v>
      </c>
      <c r="G2191" s="4" t="n">
        <v>8</v>
      </c>
      <c r="H2191" s="4" t="n">
        <v>4</v>
      </c>
      <c r="I2191" s="4" t="str">
        <v>×</v>
      </c>
      <c r="J2191" s="4"/>
      <c r="K2191" s="4"/>
      <c r="L2191" s="4"/>
      <c r="M2191" s="5" t="s">
        <v>1871</v>
      </c>
    </row>
    <row r="2192" customFormat="false" ht="15.75" hidden="false" customHeight="false" outlineLevel="0" collapsed="false">
      <c r="A2192" s="3" t="n">
        <v>46214</v>
      </c>
      <c r="B2192" s="4" t="s">
        <v>1237</v>
      </c>
      <c r="C2192" s="4" t="n">
        <v>1</v>
      </c>
      <c r="D2192" s="4" t="n">
        <v>5</v>
      </c>
      <c r="E2192" s="4" t="s">
        <v>794</v>
      </c>
      <c r="F2192" s="4" t="n">
        <v>81</v>
      </c>
      <c r="G2192" s="4" t="n">
        <v>1</v>
      </c>
      <c r="H2192" s="4" t="n">
        <v>2</v>
      </c>
      <c r="I2192" s="4" t="str">
        <v>○</v>
      </c>
      <c r="J2192" s="4" t="n">
        <v>110</v>
      </c>
      <c r="K2192" s="4" t="n">
        <v>1.1</v>
      </c>
      <c r="L2192" s="4" t="n">
        <v>1.1</v>
      </c>
      <c r="M2192" s="5" t="s">
        <v>1871</v>
      </c>
    </row>
    <row r="2193" customFormat="false" ht="15.75" hidden="false" customHeight="false" outlineLevel="0" collapsed="false">
      <c r="A2193" s="3" t="n">
        <v>46214</v>
      </c>
      <c r="B2193" s="4" t="s">
        <v>1237</v>
      </c>
      <c r="C2193" s="4" t="n">
        <v>1</v>
      </c>
      <c r="D2193" s="4" t="n">
        <v>6</v>
      </c>
      <c r="E2193" s="4" t="s">
        <v>2176</v>
      </c>
      <c r="F2193" s="4" t="n">
        <v>3</v>
      </c>
      <c r="G2193" s="4" t="n">
        <v>10</v>
      </c>
      <c r="H2193" s="4" t="n">
        <v>4</v>
      </c>
      <c r="I2193" s="4" t="str">
        <v>×</v>
      </c>
      <c r="J2193" s="4"/>
      <c r="K2193" s="4"/>
      <c r="L2193" s="4"/>
      <c r="M2193" s="5" t="s">
        <v>1871</v>
      </c>
    </row>
    <row r="2194" customFormat="false" ht="15.75" hidden="false" customHeight="false" outlineLevel="0" collapsed="false">
      <c r="A2194" s="3" t="n">
        <v>46214</v>
      </c>
      <c r="B2194" s="4" t="s">
        <v>1237</v>
      </c>
      <c r="C2194" s="4" t="n">
        <v>1</v>
      </c>
      <c r="D2194" s="4" t="n">
        <v>7</v>
      </c>
      <c r="E2194" s="4" t="s">
        <v>2177</v>
      </c>
      <c r="F2194" s="4" t="n">
        <v>20</v>
      </c>
      <c r="G2194" s="4" t="n">
        <v>4</v>
      </c>
      <c r="H2194" s="4" t="n">
        <v>4</v>
      </c>
      <c r="I2194" s="4" t="str">
        <v>×</v>
      </c>
      <c r="J2194" s="4"/>
      <c r="K2194" s="4"/>
      <c r="L2194" s="4"/>
      <c r="M2194" s="5" t="s">
        <v>1871</v>
      </c>
    </row>
    <row r="2195" customFormat="false" ht="15.75" hidden="false" customHeight="false" outlineLevel="0" collapsed="false">
      <c r="A2195" s="3" t="n">
        <v>46214</v>
      </c>
      <c r="B2195" s="4" t="s">
        <v>1237</v>
      </c>
      <c r="C2195" s="4" t="n">
        <v>1</v>
      </c>
      <c r="D2195" s="4" t="n">
        <v>8</v>
      </c>
      <c r="E2195" s="4" t="s">
        <v>2178</v>
      </c>
      <c r="F2195" s="4" t="n">
        <v>13</v>
      </c>
      <c r="G2195" s="4" t="n">
        <v>5</v>
      </c>
      <c r="H2195" s="4" t="n">
        <v>4</v>
      </c>
      <c r="I2195" s="4" t="str">
        <v>×</v>
      </c>
      <c r="J2195" s="4"/>
      <c r="K2195" s="4"/>
      <c r="L2195" s="4"/>
      <c r="M2195" s="5" t="s">
        <v>1871</v>
      </c>
    </row>
    <row r="2196" customFormat="false" ht="15.75" hidden="false" customHeight="false" outlineLevel="0" collapsed="false">
      <c r="A2196" s="3" t="n">
        <v>46214</v>
      </c>
      <c r="B2196" s="4" t="s">
        <v>1237</v>
      </c>
      <c r="C2196" s="4" t="n">
        <v>1</v>
      </c>
      <c r="D2196" s="4" t="n">
        <v>9</v>
      </c>
      <c r="E2196" s="4" t="s">
        <v>2179</v>
      </c>
      <c r="F2196" s="4" t="n">
        <v>3</v>
      </c>
      <c r="G2196" s="4" t="n">
        <v>10</v>
      </c>
      <c r="H2196" s="4" t="n">
        <v>4</v>
      </c>
      <c r="I2196" s="4" t="str">
        <v>×</v>
      </c>
      <c r="J2196" s="4"/>
      <c r="K2196" s="4"/>
      <c r="L2196" s="4"/>
      <c r="M2196" s="5" t="s">
        <v>1871</v>
      </c>
    </row>
    <row r="2197" customFormat="false" ht="15.75" hidden="false" customHeight="false" outlineLevel="0" collapsed="false">
      <c r="A2197" s="3" t="n">
        <v>46214</v>
      </c>
      <c r="B2197" s="4" t="s">
        <v>1237</v>
      </c>
      <c r="C2197" s="4" t="n">
        <v>1</v>
      </c>
      <c r="D2197" s="4" t="n">
        <v>10</v>
      </c>
      <c r="E2197" s="4" t="s">
        <v>790</v>
      </c>
      <c r="F2197" s="4" t="n">
        <v>56</v>
      </c>
      <c r="G2197" s="4" t="n">
        <v>3</v>
      </c>
      <c r="H2197" s="4" t="n">
        <v>3</v>
      </c>
      <c r="I2197" s="4" t="str">
        <v>○</v>
      </c>
      <c r="J2197" s="4" t="n">
        <v>140</v>
      </c>
      <c r="K2197" s="4"/>
      <c r="L2197" s="4"/>
      <c r="M2197" s="5" t="s">
        <v>1871</v>
      </c>
    </row>
    <row r="2198" customFormat="false" ht="15.75" hidden="false" customHeight="false" outlineLevel="0" collapsed="false">
      <c r="A2198" s="3" t="n">
        <v>46214</v>
      </c>
      <c r="B2198" s="4" t="s">
        <v>1237</v>
      </c>
      <c r="C2198" s="4" t="n">
        <v>1</v>
      </c>
      <c r="D2198" s="4" t="n">
        <v>11</v>
      </c>
      <c r="E2198" s="4" t="s">
        <v>2180</v>
      </c>
      <c r="F2198" s="4" t="n">
        <v>4</v>
      </c>
      <c r="G2198" s="4" t="n">
        <v>8</v>
      </c>
      <c r="H2198" s="4" t="n">
        <v>4</v>
      </c>
      <c r="I2198" s="4" t="str">
        <v>×</v>
      </c>
      <c r="J2198" s="4"/>
      <c r="K2198" s="4"/>
      <c r="L2198" s="4"/>
      <c r="M2198" s="5" t="s">
        <v>1871</v>
      </c>
    </row>
    <row r="2199" customFormat="false" ht="15.75" hidden="false" customHeight="false" outlineLevel="0" collapsed="false">
      <c r="A2199" s="3" t="n">
        <v>46214</v>
      </c>
      <c r="B2199" s="4" t="s">
        <v>1237</v>
      </c>
      <c r="C2199" s="4" t="n">
        <v>2</v>
      </c>
      <c r="D2199" s="4" t="n">
        <v>1</v>
      </c>
      <c r="E2199" s="4" t="s">
        <v>2181</v>
      </c>
      <c r="F2199" s="4" t="n">
        <v>8</v>
      </c>
      <c r="G2199" s="4" t="n">
        <v>9</v>
      </c>
      <c r="H2199" s="4" t="n">
        <v>4</v>
      </c>
      <c r="I2199" s="4" t="str">
        <v>×</v>
      </c>
      <c r="J2199" s="4"/>
      <c r="K2199" s="4"/>
      <c r="L2199" s="4"/>
      <c r="M2199" s="5" t="s">
        <v>1871</v>
      </c>
    </row>
    <row r="2200" customFormat="false" ht="15.75" hidden="false" customHeight="false" outlineLevel="0" collapsed="false">
      <c r="A2200" s="3" t="n">
        <v>46214</v>
      </c>
      <c r="B2200" s="4" t="s">
        <v>1237</v>
      </c>
      <c r="C2200" s="4" t="n">
        <v>2</v>
      </c>
      <c r="D2200" s="4" t="n">
        <v>2</v>
      </c>
      <c r="E2200" s="4" t="s">
        <v>2182</v>
      </c>
      <c r="F2200" s="4" t="n">
        <v>3</v>
      </c>
      <c r="G2200" s="4" t="n">
        <v>13</v>
      </c>
      <c r="H2200" s="4" t="n">
        <v>4</v>
      </c>
      <c r="I2200" s="4" t="str">
        <v>×</v>
      </c>
      <c r="J2200" s="4"/>
      <c r="K2200" s="4"/>
      <c r="L2200" s="4"/>
      <c r="M2200" s="5" t="s">
        <v>1871</v>
      </c>
    </row>
    <row r="2201" customFormat="false" ht="15.75" hidden="false" customHeight="false" outlineLevel="0" collapsed="false">
      <c r="A2201" s="3" t="n">
        <v>46214</v>
      </c>
      <c r="B2201" s="4" t="s">
        <v>1237</v>
      </c>
      <c r="C2201" s="4" t="n">
        <v>2</v>
      </c>
      <c r="D2201" s="4" t="n">
        <v>3</v>
      </c>
      <c r="E2201" s="4" t="s">
        <v>2183</v>
      </c>
      <c r="F2201" s="4" t="n">
        <v>34</v>
      </c>
      <c r="G2201" s="4" t="n">
        <v>4</v>
      </c>
      <c r="H2201" s="4" t="n">
        <v>2</v>
      </c>
      <c r="I2201" s="4" t="str">
        <v>○</v>
      </c>
      <c r="J2201" s="4" t="n">
        <v>220</v>
      </c>
      <c r="K2201" s="4"/>
      <c r="L2201" s="4"/>
      <c r="M2201" s="5" t="s">
        <v>1871</v>
      </c>
    </row>
    <row r="2202" customFormat="false" ht="15.75" hidden="false" customHeight="false" outlineLevel="0" collapsed="false">
      <c r="A2202" s="3" t="n">
        <v>46214</v>
      </c>
      <c r="B2202" s="4" t="s">
        <v>1237</v>
      </c>
      <c r="C2202" s="4" t="n">
        <v>2</v>
      </c>
      <c r="D2202" s="4" t="n">
        <v>4</v>
      </c>
      <c r="E2202" s="4" t="s">
        <v>2184</v>
      </c>
      <c r="F2202" s="4" t="n">
        <v>23</v>
      </c>
      <c r="G2202" s="4" t="n">
        <v>8</v>
      </c>
      <c r="H2202" s="4" t="n">
        <v>3</v>
      </c>
      <c r="I2202" s="4" t="str">
        <v>○</v>
      </c>
      <c r="J2202" s="4" t="n">
        <v>310</v>
      </c>
      <c r="K2202" s="4"/>
      <c r="L2202" s="4"/>
      <c r="M2202" s="5" t="s">
        <v>1871</v>
      </c>
    </row>
    <row r="2203" customFormat="false" ht="15.75" hidden="false" customHeight="false" outlineLevel="0" collapsed="false">
      <c r="A2203" s="3" t="n">
        <v>46214</v>
      </c>
      <c r="B2203" s="4" t="s">
        <v>1237</v>
      </c>
      <c r="C2203" s="4" t="n">
        <v>2</v>
      </c>
      <c r="D2203" s="4" t="n">
        <v>5</v>
      </c>
      <c r="E2203" s="4" t="s">
        <v>2185</v>
      </c>
      <c r="F2203" s="4" t="n">
        <v>1</v>
      </c>
      <c r="G2203" s="4" t="n">
        <v>14</v>
      </c>
      <c r="H2203" s="4" t="n">
        <v>4</v>
      </c>
      <c r="I2203" s="4" t="str">
        <v>×</v>
      </c>
      <c r="J2203" s="4"/>
      <c r="K2203" s="4"/>
      <c r="L2203" s="4"/>
      <c r="M2203" s="5" t="s">
        <v>1871</v>
      </c>
    </row>
    <row r="2204" customFormat="false" ht="15.75" hidden="false" customHeight="false" outlineLevel="0" collapsed="false">
      <c r="A2204" s="3" t="n">
        <v>46214</v>
      </c>
      <c r="B2204" s="4" t="s">
        <v>1237</v>
      </c>
      <c r="C2204" s="4" t="n">
        <v>2</v>
      </c>
      <c r="D2204" s="4" t="n">
        <v>6</v>
      </c>
      <c r="E2204" s="4" t="s">
        <v>2186</v>
      </c>
      <c r="F2204" s="4" t="n">
        <v>34</v>
      </c>
      <c r="G2204" s="4" t="n">
        <v>4</v>
      </c>
      <c r="H2204" s="4" t="n">
        <v>4</v>
      </c>
      <c r="I2204" s="4" t="str">
        <v>×</v>
      </c>
      <c r="J2204" s="4"/>
      <c r="K2204" s="4"/>
      <c r="L2204" s="4"/>
      <c r="M2204" s="5" t="s">
        <v>1871</v>
      </c>
    </row>
    <row r="2205" customFormat="false" ht="15.75" hidden="false" customHeight="false" outlineLevel="0" collapsed="false">
      <c r="A2205" s="3" t="n">
        <v>46214</v>
      </c>
      <c r="B2205" s="4" t="s">
        <v>1237</v>
      </c>
      <c r="C2205" s="4" t="n">
        <v>2</v>
      </c>
      <c r="D2205" s="4" t="n">
        <v>7</v>
      </c>
      <c r="E2205" s="4" t="s">
        <v>2187</v>
      </c>
      <c r="F2205" s="4" t="n">
        <v>39</v>
      </c>
      <c r="G2205" s="4" t="n">
        <v>3</v>
      </c>
      <c r="H2205" s="4" t="n">
        <v>1</v>
      </c>
      <c r="I2205" s="4" t="str">
        <v>○</v>
      </c>
      <c r="J2205" s="4" t="n">
        <v>160</v>
      </c>
      <c r="K2205" s="4"/>
      <c r="L2205" s="4"/>
      <c r="M2205" s="5" t="s">
        <v>1871</v>
      </c>
    </row>
    <row r="2206" customFormat="false" ht="15.75" hidden="false" customHeight="false" outlineLevel="0" collapsed="false">
      <c r="A2206" s="3" t="n">
        <v>46214</v>
      </c>
      <c r="B2206" s="4" t="s">
        <v>1237</v>
      </c>
      <c r="C2206" s="4" t="n">
        <v>2</v>
      </c>
      <c r="D2206" s="4" t="n">
        <v>8</v>
      </c>
      <c r="E2206" s="4" t="s">
        <v>2188</v>
      </c>
      <c r="F2206" s="4" t="n">
        <v>31</v>
      </c>
      <c r="G2206" s="4" t="n">
        <v>6</v>
      </c>
      <c r="H2206" s="4" t="n">
        <v>4</v>
      </c>
      <c r="I2206" s="4" t="str">
        <v>×</v>
      </c>
      <c r="J2206" s="4"/>
      <c r="K2206" s="4"/>
      <c r="L2206" s="4"/>
      <c r="M2206" s="5" t="s">
        <v>1871</v>
      </c>
    </row>
    <row r="2207" customFormat="false" ht="15.75" hidden="false" customHeight="false" outlineLevel="0" collapsed="false">
      <c r="A2207" s="3" t="n">
        <v>46214</v>
      </c>
      <c r="B2207" s="4" t="s">
        <v>1237</v>
      </c>
      <c r="C2207" s="4" t="n">
        <v>2</v>
      </c>
      <c r="D2207" s="4" t="n">
        <v>9</v>
      </c>
      <c r="E2207" s="4" t="s">
        <v>799</v>
      </c>
      <c r="F2207" s="4" t="n">
        <v>8</v>
      </c>
      <c r="G2207" s="4" t="n">
        <v>9</v>
      </c>
      <c r="H2207" s="4" t="n">
        <v>4</v>
      </c>
      <c r="I2207" s="4" t="str">
        <v>×</v>
      </c>
      <c r="J2207" s="4"/>
      <c r="K2207" s="4"/>
      <c r="L2207" s="4"/>
      <c r="M2207" s="5" t="s">
        <v>1871</v>
      </c>
    </row>
    <row r="2208" customFormat="false" ht="15.75" hidden="false" customHeight="false" outlineLevel="0" collapsed="false">
      <c r="A2208" s="3" t="n">
        <v>46214</v>
      </c>
      <c r="B2208" s="4" t="s">
        <v>1237</v>
      </c>
      <c r="C2208" s="4" t="n">
        <v>2</v>
      </c>
      <c r="D2208" s="4" t="n">
        <v>10</v>
      </c>
      <c r="E2208" s="4" t="s">
        <v>2189</v>
      </c>
      <c r="F2208" s="4" t="n">
        <v>58</v>
      </c>
      <c r="G2208" s="4" t="n">
        <v>1</v>
      </c>
      <c r="H2208" s="4" t="n">
        <v>4</v>
      </c>
      <c r="I2208" s="4" t="str">
        <v>×</v>
      </c>
      <c r="J2208" s="4"/>
      <c r="K2208" s="4"/>
      <c r="L2208" s="4"/>
      <c r="M2208" s="5" t="s">
        <v>1871</v>
      </c>
    </row>
    <row r="2209" customFormat="false" ht="15.75" hidden="false" customHeight="false" outlineLevel="0" collapsed="false">
      <c r="A2209" s="3" t="n">
        <v>46214</v>
      </c>
      <c r="B2209" s="4" t="s">
        <v>1237</v>
      </c>
      <c r="C2209" s="4" t="n">
        <v>2</v>
      </c>
      <c r="D2209" s="4" t="n">
        <v>11</v>
      </c>
      <c r="E2209" s="4" t="s">
        <v>2190</v>
      </c>
      <c r="F2209" s="4" t="n">
        <v>44</v>
      </c>
      <c r="G2209" s="4" t="n">
        <v>2</v>
      </c>
      <c r="H2209" s="4" t="n">
        <v>4</v>
      </c>
      <c r="I2209" s="4" t="str">
        <v>×</v>
      </c>
      <c r="J2209" s="4"/>
      <c r="K2209" s="4"/>
      <c r="L2209" s="4"/>
      <c r="M2209" s="5" t="s">
        <v>1871</v>
      </c>
    </row>
    <row r="2210" customFormat="false" ht="15.75" hidden="false" customHeight="false" outlineLevel="0" collapsed="false">
      <c r="A2210" s="3" t="n">
        <v>46214</v>
      </c>
      <c r="B2210" s="4" t="s">
        <v>1237</v>
      </c>
      <c r="C2210" s="4" t="n">
        <v>2</v>
      </c>
      <c r="D2210" s="4" t="n">
        <v>12</v>
      </c>
      <c r="E2210" s="4" t="s">
        <v>2191</v>
      </c>
      <c r="F2210" s="4" t="n">
        <v>25</v>
      </c>
      <c r="G2210" s="4" t="n">
        <v>7</v>
      </c>
      <c r="H2210" s="4" t="n">
        <v>4</v>
      </c>
      <c r="I2210" s="4" t="str">
        <v>×</v>
      </c>
      <c r="J2210" s="4"/>
      <c r="K2210" s="4"/>
      <c r="L2210" s="4"/>
      <c r="M2210" s="5" t="s">
        <v>1871</v>
      </c>
    </row>
    <row r="2211" customFormat="false" ht="15.75" hidden="false" customHeight="false" outlineLevel="0" collapsed="false">
      <c r="A2211" s="3" t="n">
        <v>46214</v>
      </c>
      <c r="B2211" s="4" t="s">
        <v>1237</v>
      </c>
      <c r="C2211" s="4" t="n">
        <v>2</v>
      </c>
      <c r="D2211" s="4" t="n">
        <v>13</v>
      </c>
      <c r="E2211" s="4" t="s">
        <v>803</v>
      </c>
      <c r="F2211" s="4" t="n">
        <v>6</v>
      </c>
      <c r="G2211" s="4" t="n">
        <v>11</v>
      </c>
      <c r="H2211" s="4" t="n">
        <v>4</v>
      </c>
      <c r="I2211" s="4" t="str">
        <v>×</v>
      </c>
      <c r="J2211" s="4"/>
      <c r="K2211" s="4"/>
      <c r="L2211" s="4"/>
      <c r="M2211" s="5" t="s">
        <v>1871</v>
      </c>
    </row>
    <row r="2212" customFormat="false" ht="15.75" hidden="false" customHeight="false" outlineLevel="0" collapsed="false">
      <c r="A2212" s="3" t="n">
        <v>46214</v>
      </c>
      <c r="B2212" s="4" t="s">
        <v>1237</v>
      </c>
      <c r="C2212" s="4" t="n">
        <v>2</v>
      </c>
      <c r="D2212" s="4" t="n">
        <v>14</v>
      </c>
      <c r="E2212" s="4" t="s">
        <v>2192</v>
      </c>
      <c r="F2212" s="4" t="n">
        <v>4</v>
      </c>
      <c r="G2212" s="4" t="n">
        <v>12</v>
      </c>
      <c r="H2212" s="4" t="n">
        <v>4</v>
      </c>
      <c r="I2212" s="4" t="str">
        <v>×</v>
      </c>
      <c r="J2212" s="4"/>
      <c r="K2212" s="4"/>
      <c r="L2212" s="4"/>
      <c r="M2212" s="5" t="s">
        <v>1871</v>
      </c>
    </row>
    <row r="2213" customFormat="false" ht="15.75" hidden="false" customHeight="false" outlineLevel="0" collapsed="false">
      <c r="A2213" s="3" t="n">
        <v>46214</v>
      </c>
      <c r="B2213" s="4" t="s">
        <v>1237</v>
      </c>
      <c r="C2213" s="4" t="n">
        <v>3</v>
      </c>
      <c r="D2213" s="4" t="n">
        <v>1</v>
      </c>
      <c r="E2213" s="4" t="s">
        <v>1303</v>
      </c>
      <c r="F2213" s="4" t="n">
        <v>34</v>
      </c>
      <c r="G2213" s="4" t="n">
        <v>4</v>
      </c>
      <c r="H2213" s="4" t="n">
        <v>4</v>
      </c>
      <c r="I2213" s="4" t="str">
        <v>×</v>
      </c>
      <c r="J2213" s="4"/>
      <c r="K2213" s="4"/>
      <c r="L2213" s="4"/>
      <c r="M2213" s="5" t="s">
        <v>1871</v>
      </c>
    </row>
    <row r="2214" customFormat="false" ht="15.75" hidden="false" customHeight="false" outlineLevel="0" collapsed="false">
      <c r="A2214" s="3" t="n">
        <v>46214</v>
      </c>
      <c r="B2214" s="4" t="s">
        <v>1237</v>
      </c>
      <c r="C2214" s="4" t="n">
        <v>3</v>
      </c>
      <c r="D2214" s="4" t="n">
        <v>2</v>
      </c>
      <c r="E2214" s="4" t="s">
        <v>2193</v>
      </c>
      <c r="F2214" s="4" t="n">
        <v>41</v>
      </c>
      <c r="G2214" s="4" t="n">
        <v>2</v>
      </c>
      <c r="H2214" s="4" t="n">
        <v>4</v>
      </c>
      <c r="I2214" s="4" t="str">
        <v>×</v>
      </c>
      <c r="J2214" s="4"/>
      <c r="K2214" s="4"/>
      <c r="L2214" s="4"/>
      <c r="M2214" s="5" t="s">
        <v>1871</v>
      </c>
    </row>
    <row r="2215" customFormat="false" ht="15.75" hidden="false" customHeight="false" outlineLevel="0" collapsed="false">
      <c r="A2215" s="3" t="n">
        <v>46214</v>
      </c>
      <c r="B2215" s="4" t="s">
        <v>1237</v>
      </c>
      <c r="C2215" s="4" t="n">
        <v>3</v>
      </c>
      <c r="D2215" s="4" t="n">
        <v>3</v>
      </c>
      <c r="E2215" s="4" t="s">
        <v>2194</v>
      </c>
      <c r="F2215" s="4" t="n">
        <v>20</v>
      </c>
      <c r="G2215" s="4" t="n">
        <v>5</v>
      </c>
      <c r="H2215" s="4" t="n">
        <v>4</v>
      </c>
      <c r="I2215" s="4" t="str">
        <v>×</v>
      </c>
      <c r="J2215" s="4"/>
      <c r="K2215" s="4"/>
      <c r="L2215" s="4"/>
      <c r="M2215" s="5" t="s">
        <v>1871</v>
      </c>
    </row>
    <row r="2216" customFormat="false" ht="15.75" hidden="false" customHeight="false" outlineLevel="0" collapsed="false">
      <c r="A2216" s="3" t="n">
        <v>46214</v>
      </c>
      <c r="B2216" s="4" t="s">
        <v>1237</v>
      </c>
      <c r="C2216" s="4" t="n">
        <v>3</v>
      </c>
      <c r="D2216" s="4" t="n">
        <v>4</v>
      </c>
      <c r="E2216" s="4" t="s">
        <v>807</v>
      </c>
      <c r="F2216" s="4" t="n">
        <v>4</v>
      </c>
      <c r="G2216" s="4" t="n">
        <v>14</v>
      </c>
      <c r="H2216" s="4" t="n">
        <v>3</v>
      </c>
      <c r="I2216" s="4" t="str">
        <v>○</v>
      </c>
      <c r="J2216" s="4" t="n">
        <v>860</v>
      </c>
      <c r="K2216" s="4"/>
      <c r="L2216" s="4"/>
      <c r="M2216" s="5" t="s">
        <v>1871</v>
      </c>
    </row>
    <row r="2217" customFormat="false" ht="15.75" hidden="false" customHeight="false" outlineLevel="0" collapsed="false">
      <c r="A2217" s="3" t="n">
        <v>46214</v>
      </c>
      <c r="B2217" s="4" t="s">
        <v>1237</v>
      </c>
      <c r="C2217" s="4" t="n">
        <v>3</v>
      </c>
      <c r="D2217" s="4" t="n">
        <v>5</v>
      </c>
      <c r="E2217" s="4" t="s">
        <v>1282</v>
      </c>
      <c r="F2217" s="4" t="n">
        <v>17</v>
      </c>
      <c r="G2217" s="4" t="n">
        <v>8</v>
      </c>
      <c r="H2217" s="4" t="n">
        <v>2</v>
      </c>
      <c r="I2217" s="4" t="str">
        <v>○</v>
      </c>
      <c r="J2217" s="4" t="n">
        <v>440</v>
      </c>
      <c r="K2217" s="4"/>
      <c r="L2217" s="4"/>
      <c r="M2217" s="5" t="s">
        <v>1871</v>
      </c>
    </row>
    <row r="2218" customFormat="false" ht="15.75" hidden="false" customHeight="false" outlineLevel="0" collapsed="false">
      <c r="A2218" s="3" t="n">
        <v>46214</v>
      </c>
      <c r="B2218" s="4" t="s">
        <v>1237</v>
      </c>
      <c r="C2218" s="4" t="n">
        <v>3</v>
      </c>
      <c r="D2218" s="4" t="n">
        <v>6</v>
      </c>
      <c r="E2218" s="4" t="s">
        <v>2195</v>
      </c>
      <c r="F2218" s="4" t="n">
        <v>58</v>
      </c>
      <c r="G2218" s="4" t="n">
        <v>1</v>
      </c>
      <c r="H2218" s="4" t="n">
        <v>1</v>
      </c>
      <c r="I2218" s="4" t="str">
        <v>○</v>
      </c>
      <c r="J2218" s="4" t="n">
        <v>150</v>
      </c>
      <c r="K2218" s="4"/>
      <c r="L2218" s="4"/>
      <c r="M2218" s="5" t="s">
        <v>1871</v>
      </c>
    </row>
    <row r="2219" customFormat="false" ht="15.75" hidden="false" customHeight="false" outlineLevel="0" collapsed="false">
      <c r="A2219" s="3" t="n">
        <v>46214</v>
      </c>
      <c r="B2219" s="4" t="s">
        <v>1237</v>
      </c>
      <c r="C2219" s="4" t="n">
        <v>3</v>
      </c>
      <c r="D2219" s="4" t="n">
        <v>7</v>
      </c>
      <c r="E2219" s="4" t="s">
        <v>336</v>
      </c>
      <c r="F2219" s="4" t="n">
        <v>17</v>
      </c>
      <c r="G2219" s="4" t="n">
        <v>8</v>
      </c>
      <c r="H2219" s="4" t="n">
        <v>4</v>
      </c>
      <c r="I2219" s="4" t="str">
        <v>×</v>
      </c>
      <c r="J2219" s="4"/>
      <c r="K2219" s="4"/>
      <c r="L2219" s="4"/>
      <c r="M2219" s="5" t="s">
        <v>1871</v>
      </c>
    </row>
    <row r="2220" customFormat="false" ht="15.75" hidden="false" customHeight="false" outlineLevel="0" collapsed="false">
      <c r="A2220" s="3" t="n">
        <v>46214</v>
      </c>
      <c r="B2220" s="4" t="s">
        <v>1237</v>
      </c>
      <c r="C2220" s="4" t="n">
        <v>3</v>
      </c>
      <c r="D2220" s="4" t="n">
        <v>8</v>
      </c>
      <c r="E2220" s="4" t="s">
        <v>2196</v>
      </c>
      <c r="F2220" s="4" t="n">
        <v>20</v>
      </c>
      <c r="G2220" s="4" t="n">
        <v>5</v>
      </c>
      <c r="H2220" s="4" t="n">
        <v>4</v>
      </c>
      <c r="I2220" s="4" t="str">
        <v>×</v>
      </c>
      <c r="J2220" s="4"/>
      <c r="K2220" s="4"/>
      <c r="L2220" s="4"/>
      <c r="M2220" s="5" t="s">
        <v>1871</v>
      </c>
    </row>
    <row r="2221" customFormat="false" ht="15.75" hidden="false" customHeight="false" outlineLevel="0" collapsed="false">
      <c r="A2221" s="3" t="n">
        <v>46214</v>
      </c>
      <c r="B2221" s="4" t="s">
        <v>1237</v>
      </c>
      <c r="C2221" s="4" t="n">
        <v>3</v>
      </c>
      <c r="D2221" s="4" t="n">
        <v>9</v>
      </c>
      <c r="E2221" s="4" t="s">
        <v>2197</v>
      </c>
      <c r="F2221" s="4" t="n">
        <v>13</v>
      </c>
      <c r="G2221" s="4" t="n">
        <v>10</v>
      </c>
      <c r="H2221" s="4" t="n">
        <v>4</v>
      </c>
      <c r="I2221" s="4" t="str">
        <v>×</v>
      </c>
      <c r="J2221" s="4"/>
      <c r="K2221" s="4"/>
      <c r="L2221" s="4"/>
      <c r="M2221" s="5" t="s">
        <v>1871</v>
      </c>
    </row>
    <row r="2222" customFormat="false" ht="15.75" hidden="false" customHeight="false" outlineLevel="0" collapsed="false">
      <c r="A2222" s="3" t="n">
        <v>46214</v>
      </c>
      <c r="B2222" s="4" t="s">
        <v>1237</v>
      </c>
      <c r="C2222" s="4" t="n">
        <v>3</v>
      </c>
      <c r="D2222" s="4" t="n">
        <v>10</v>
      </c>
      <c r="E2222" s="4" t="s">
        <v>2198</v>
      </c>
      <c r="F2222" s="4" t="n">
        <v>41</v>
      </c>
      <c r="G2222" s="4" t="n">
        <v>2</v>
      </c>
      <c r="H2222" s="4" t="n">
        <v>4</v>
      </c>
      <c r="I2222" s="4" t="str">
        <v>×</v>
      </c>
      <c r="J2222" s="4"/>
      <c r="K2222" s="4"/>
      <c r="L2222" s="4"/>
      <c r="M2222" s="5" t="s">
        <v>1871</v>
      </c>
    </row>
    <row r="2223" customFormat="false" ht="15.75" hidden="false" customHeight="false" outlineLevel="0" collapsed="false">
      <c r="A2223" s="3" t="n">
        <v>46214</v>
      </c>
      <c r="B2223" s="4" t="s">
        <v>1237</v>
      </c>
      <c r="C2223" s="4" t="n">
        <v>3</v>
      </c>
      <c r="D2223" s="4" t="n">
        <v>11</v>
      </c>
      <c r="E2223" s="4" t="s">
        <v>815</v>
      </c>
      <c r="F2223" s="4" t="n">
        <v>1</v>
      </c>
      <c r="G2223" s="4" t="n">
        <v>16</v>
      </c>
      <c r="H2223" s="4" t="n">
        <v>4</v>
      </c>
      <c r="I2223" s="4" t="str">
        <v>×</v>
      </c>
      <c r="J2223" s="4"/>
      <c r="K2223" s="4"/>
      <c r="L2223" s="4"/>
      <c r="M2223" s="5" t="s">
        <v>1871</v>
      </c>
    </row>
    <row r="2224" customFormat="false" ht="15.75" hidden="false" customHeight="false" outlineLevel="0" collapsed="false">
      <c r="A2224" s="3" t="n">
        <v>46214</v>
      </c>
      <c r="B2224" s="4" t="s">
        <v>1237</v>
      </c>
      <c r="C2224" s="4" t="n">
        <v>3</v>
      </c>
      <c r="D2224" s="4" t="n">
        <v>12</v>
      </c>
      <c r="E2224" s="4" t="s">
        <v>2199</v>
      </c>
      <c r="F2224" s="4" t="n">
        <v>3</v>
      </c>
      <c r="G2224" s="4" t="n">
        <v>15</v>
      </c>
      <c r="H2224" s="4" t="n">
        <v>4</v>
      </c>
      <c r="I2224" s="4" t="str">
        <v>×</v>
      </c>
      <c r="J2224" s="4"/>
      <c r="K2224" s="4"/>
      <c r="L2224" s="4"/>
      <c r="M2224" s="5" t="s">
        <v>1871</v>
      </c>
    </row>
    <row r="2225" customFormat="false" ht="15.75" hidden="false" customHeight="false" outlineLevel="0" collapsed="false">
      <c r="A2225" s="3" t="n">
        <v>46214</v>
      </c>
      <c r="B2225" s="4" t="s">
        <v>1237</v>
      </c>
      <c r="C2225" s="4" t="n">
        <v>3</v>
      </c>
      <c r="D2225" s="4" t="n">
        <v>13</v>
      </c>
      <c r="E2225" s="4" t="s">
        <v>2200</v>
      </c>
      <c r="F2225" s="4" t="n">
        <v>6</v>
      </c>
      <c r="G2225" s="4" t="n">
        <v>13</v>
      </c>
      <c r="H2225" s="4" t="n">
        <v>4</v>
      </c>
      <c r="I2225" s="4" t="str">
        <v>×</v>
      </c>
      <c r="J2225" s="4"/>
      <c r="K2225" s="4"/>
      <c r="L2225" s="4"/>
      <c r="M2225" s="5" t="s">
        <v>1871</v>
      </c>
    </row>
    <row r="2226" customFormat="false" ht="15.75" hidden="false" customHeight="false" outlineLevel="0" collapsed="false">
      <c r="A2226" s="3" t="n">
        <v>46214</v>
      </c>
      <c r="B2226" s="4" t="s">
        <v>1237</v>
      </c>
      <c r="C2226" s="4" t="n">
        <v>3</v>
      </c>
      <c r="D2226" s="4" t="n">
        <v>14</v>
      </c>
      <c r="E2226" s="4" t="s">
        <v>2201</v>
      </c>
      <c r="F2226" s="4" t="n">
        <v>8</v>
      </c>
      <c r="G2226" s="4" t="n">
        <v>11</v>
      </c>
      <c r="H2226" s="4" t="n">
        <v>4</v>
      </c>
      <c r="I2226" s="4" t="str">
        <v>×</v>
      </c>
      <c r="J2226" s="4"/>
      <c r="K2226" s="4"/>
      <c r="L2226" s="4"/>
      <c r="M2226" s="5" t="s">
        <v>1871</v>
      </c>
    </row>
    <row r="2227" customFormat="false" ht="15.75" hidden="false" customHeight="false" outlineLevel="0" collapsed="false">
      <c r="A2227" s="3" t="n">
        <v>46214</v>
      </c>
      <c r="B2227" s="4" t="s">
        <v>1237</v>
      </c>
      <c r="C2227" s="4" t="n">
        <v>3</v>
      </c>
      <c r="D2227" s="4" t="n">
        <v>15</v>
      </c>
      <c r="E2227" s="4" t="s">
        <v>2202</v>
      </c>
      <c r="F2227" s="4" t="n">
        <v>20</v>
      </c>
      <c r="G2227" s="4" t="n">
        <v>5</v>
      </c>
      <c r="H2227" s="4" t="n">
        <v>4</v>
      </c>
      <c r="I2227" s="4" t="str">
        <v>×</v>
      </c>
      <c r="J2227" s="4"/>
      <c r="K2227" s="4"/>
      <c r="L2227" s="4"/>
      <c r="M2227" s="5" t="s">
        <v>1871</v>
      </c>
    </row>
    <row r="2228" customFormat="false" ht="15.75" hidden="false" customHeight="false" outlineLevel="0" collapsed="false">
      <c r="A2228" s="3" t="n">
        <v>46214</v>
      </c>
      <c r="B2228" s="4" t="s">
        <v>1237</v>
      </c>
      <c r="C2228" s="4" t="n">
        <v>3</v>
      </c>
      <c r="D2228" s="4" t="n">
        <v>16</v>
      </c>
      <c r="E2228" s="4" t="s">
        <v>2203</v>
      </c>
      <c r="F2228" s="4" t="n">
        <v>8</v>
      </c>
      <c r="G2228" s="4" t="n">
        <v>11</v>
      </c>
      <c r="H2228" s="4" t="n">
        <v>4</v>
      </c>
      <c r="I2228" s="4" t="str">
        <v>×</v>
      </c>
      <c r="J2228" s="4"/>
      <c r="K2228" s="4"/>
      <c r="L2228" s="4"/>
      <c r="M2228" s="5" t="s">
        <v>1871</v>
      </c>
    </row>
    <row r="2229" customFormat="false" ht="15.75" hidden="false" customHeight="false" outlineLevel="0" collapsed="false">
      <c r="A2229" s="3" t="n">
        <v>46214</v>
      </c>
      <c r="B2229" s="4" t="s">
        <v>1237</v>
      </c>
      <c r="C2229" s="4" t="n">
        <v>4</v>
      </c>
      <c r="D2229" s="4" t="n">
        <v>1</v>
      </c>
      <c r="E2229" s="4" t="s">
        <v>2204</v>
      </c>
      <c r="F2229" s="4" t="n">
        <v>10</v>
      </c>
      <c r="G2229" s="4" t="n">
        <v>10</v>
      </c>
      <c r="H2229" s="4" t="n">
        <v>4</v>
      </c>
      <c r="I2229" s="4" t="str">
        <v>×</v>
      </c>
      <c r="J2229" s="4"/>
      <c r="K2229" s="4"/>
      <c r="L2229" s="4"/>
      <c r="M2229" s="5" t="s">
        <v>1871</v>
      </c>
    </row>
    <row r="2230" customFormat="false" ht="15.75" hidden="false" customHeight="false" outlineLevel="0" collapsed="false">
      <c r="A2230" s="3" t="n">
        <v>46214</v>
      </c>
      <c r="B2230" s="4" t="s">
        <v>1237</v>
      </c>
      <c r="C2230" s="4" t="n">
        <v>4</v>
      </c>
      <c r="D2230" s="4" t="n">
        <v>2</v>
      </c>
      <c r="E2230" s="4" t="s">
        <v>381</v>
      </c>
      <c r="F2230" s="4" t="n">
        <v>34</v>
      </c>
      <c r="G2230" s="4" t="n">
        <v>3</v>
      </c>
      <c r="H2230" s="4" t="n">
        <v>3</v>
      </c>
      <c r="I2230" s="4" t="str">
        <v>○</v>
      </c>
      <c r="J2230" s="4" t="n">
        <v>190</v>
      </c>
      <c r="K2230" s="4"/>
      <c r="L2230" s="4"/>
      <c r="M2230" s="5" t="s">
        <v>1871</v>
      </c>
    </row>
    <row r="2231" customFormat="false" ht="15.75" hidden="false" customHeight="false" outlineLevel="0" collapsed="false">
      <c r="A2231" s="3" t="n">
        <v>46214</v>
      </c>
      <c r="B2231" s="4" t="s">
        <v>1237</v>
      </c>
      <c r="C2231" s="4" t="n">
        <v>4</v>
      </c>
      <c r="D2231" s="4" t="n">
        <v>3</v>
      </c>
      <c r="E2231" s="4" t="s">
        <v>386</v>
      </c>
      <c r="F2231" s="4" t="n">
        <v>31</v>
      </c>
      <c r="G2231" s="4" t="n">
        <v>5</v>
      </c>
      <c r="H2231" s="4" t="n">
        <v>4</v>
      </c>
      <c r="I2231" s="4" t="str">
        <v>×</v>
      </c>
      <c r="J2231" s="4"/>
      <c r="K2231" s="4"/>
      <c r="L2231" s="4"/>
      <c r="M2231" s="5" t="s">
        <v>1871</v>
      </c>
    </row>
    <row r="2232" customFormat="false" ht="15.75" hidden="false" customHeight="false" outlineLevel="0" collapsed="false">
      <c r="A2232" s="3" t="n">
        <v>46214</v>
      </c>
      <c r="B2232" s="4" t="s">
        <v>1237</v>
      </c>
      <c r="C2232" s="4" t="n">
        <v>4</v>
      </c>
      <c r="D2232" s="4" t="n">
        <v>4</v>
      </c>
      <c r="E2232" s="4" t="s">
        <v>2205</v>
      </c>
      <c r="F2232" s="4" t="n">
        <v>34</v>
      </c>
      <c r="G2232" s="4" t="n">
        <v>3</v>
      </c>
      <c r="H2232" s="4" t="n">
        <v>2</v>
      </c>
      <c r="I2232" s="4" t="str">
        <v>○</v>
      </c>
      <c r="J2232" s="4" t="n">
        <v>210</v>
      </c>
      <c r="K2232" s="4"/>
      <c r="L2232" s="4"/>
      <c r="M2232" s="5" t="s">
        <v>1871</v>
      </c>
    </row>
    <row r="2233" customFormat="false" ht="15.75" hidden="false" customHeight="false" outlineLevel="0" collapsed="false">
      <c r="A2233" s="3" t="n">
        <v>46214</v>
      </c>
      <c r="B2233" s="4" t="s">
        <v>1237</v>
      </c>
      <c r="C2233" s="4" t="n">
        <v>4</v>
      </c>
      <c r="D2233" s="4" t="n">
        <v>5</v>
      </c>
      <c r="E2233" s="4" t="s">
        <v>384</v>
      </c>
      <c r="F2233" s="4" t="n">
        <v>20</v>
      </c>
      <c r="G2233" s="4" t="n">
        <v>7</v>
      </c>
      <c r="H2233" s="4" t="n">
        <v>4</v>
      </c>
      <c r="I2233" s="4" t="str">
        <v>×</v>
      </c>
      <c r="J2233" s="4"/>
      <c r="K2233" s="4"/>
      <c r="L2233" s="4"/>
      <c r="M2233" s="5" t="s">
        <v>1871</v>
      </c>
    </row>
    <row r="2234" customFormat="false" ht="15.75" hidden="false" customHeight="false" outlineLevel="0" collapsed="false">
      <c r="A2234" s="3" t="n">
        <v>46214</v>
      </c>
      <c r="B2234" s="4" t="s">
        <v>1237</v>
      </c>
      <c r="C2234" s="4" t="n">
        <v>4</v>
      </c>
      <c r="D2234" s="4" t="n">
        <v>6</v>
      </c>
      <c r="E2234" s="4" t="s">
        <v>2206</v>
      </c>
      <c r="F2234" s="4" t="n">
        <v>3</v>
      </c>
      <c r="G2234" s="4" t="n">
        <v>13</v>
      </c>
      <c r="H2234" s="4" t="n">
        <v>4</v>
      </c>
      <c r="I2234" s="4" t="str">
        <v>×</v>
      </c>
      <c r="J2234" s="4"/>
      <c r="K2234" s="4"/>
      <c r="L2234" s="4"/>
      <c r="M2234" s="5" t="s">
        <v>1871</v>
      </c>
    </row>
    <row r="2235" customFormat="false" ht="15.75" hidden="false" customHeight="false" outlineLevel="0" collapsed="false">
      <c r="A2235" s="3" t="n">
        <v>46214</v>
      </c>
      <c r="B2235" s="4" t="s">
        <v>1237</v>
      </c>
      <c r="C2235" s="4" t="n">
        <v>4</v>
      </c>
      <c r="D2235" s="4" t="n">
        <v>7</v>
      </c>
      <c r="E2235" s="4" t="s">
        <v>2207</v>
      </c>
      <c r="F2235" s="4" t="n">
        <v>8</v>
      </c>
      <c r="G2235" s="4" t="n">
        <v>12</v>
      </c>
      <c r="H2235" s="4" t="n">
        <v>4</v>
      </c>
      <c r="I2235" s="4" t="str">
        <v>×</v>
      </c>
      <c r="J2235" s="4"/>
      <c r="K2235" s="4"/>
      <c r="L2235" s="4"/>
      <c r="M2235" s="5" t="s">
        <v>1871</v>
      </c>
    </row>
    <row r="2236" customFormat="false" ht="15.75" hidden="false" customHeight="false" outlineLevel="0" collapsed="false">
      <c r="A2236" s="3" t="n">
        <v>46214</v>
      </c>
      <c r="B2236" s="4" t="s">
        <v>1237</v>
      </c>
      <c r="C2236" s="4" t="n">
        <v>4</v>
      </c>
      <c r="D2236" s="4" t="n">
        <v>8</v>
      </c>
      <c r="E2236" s="4" t="s">
        <v>1251</v>
      </c>
      <c r="F2236" s="4" t="n">
        <v>10</v>
      </c>
      <c r="G2236" s="4" t="n">
        <v>10</v>
      </c>
      <c r="H2236" s="4" t="n">
        <v>4</v>
      </c>
      <c r="I2236" s="4" t="str">
        <v>×</v>
      </c>
      <c r="J2236" s="4"/>
      <c r="K2236" s="4"/>
      <c r="L2236" s="4"/>
      <c r="M2236" s="5" t="s">
        <v>1871</v>
      </c>
    </row>
    <row r="2237" customFormat="false" ht="15.75" hidden="false" customHeight="false" outlineLevel="0" collapsed="false">
      <c r="A2237" s="3" t="n">
        <v>46214</v>
      </c>
      <c r="B2237" s="4" t="s">
        <v>1237</v>
      </c>
      <c r="C2237" s="4" t="n">
        <v>4</v>
      </c>
      <c r="D2237" s="4" t="n">
        <v>9</v>
      </c>
      <c r="E2237" s="4" t="s">
        <v>2208</v>
      </c>
      <c r="F2237" s="4" t="n">
        <v>3</v>
      </c>
      <c r="G2237" s="4" t="n">
        <v>13</v>
      </c>
      <c r="H2237" s="4" t="n">
        <v>4</v>
      </c>
      <c r="I2237" s="4" t="str">
        <v>×</v>
      </c>
      <c r="J2237" s="4"/>
      <c r="K2237" s="4"/>
      <c r="L2237" s="4"/>
      <c r="M2237" s="5" t="s">
        <v>1871</v>
      </c>
    </row>
    <row r="2238" customFormat="false" ht="15.75" hidden="false" customHeight="false" outlineLevel="0" collapsed="false">
      <c r="A2238" s="3" t="n">
        <v>46214</v>
      </c>
      <c r="B2238" s="4" t="s">
        <v>1237</v>
      </c>
      <c r="C2238" s="4" t="n">
        <v>4</v>
      </c>
      <c r="D2238" s="4" t="n">
        <v>10</v>
      </c>
      <c r="E2238" s="4" t="s">
        <v>2209</v>
      </c>
      <c r="F2238" s="4" t="n">
        <v>31</v>
      </c>
      <c r="G2238" s="4" t="n">
        <v>5</v>
      </c>
      <c r="H2238" s="4" t="n">
        <v>4</v>
      </c>
      <c r="I2238" s="4" t="str">
        <v>×</v>
      </c>
      <c r="J2238" s="4"/>
      <c r="K2238" s="4"/>
      <c r="L2238" s="4"/>
      <c r="M2238" s="5" t="s">
        <v>1871</v>
      </c>
    </row>
    <row r="2239" customFormat="false" ht="15.75" hidden="false" customHeight="false" outlineLevel="0" collapsed="false">
      <c r="A2239" s="3" t="n">
        <v>46214</v>
      </c>
      <c r="B2239" s="4" t="s">
        <v>1237</v>
      </c>
      <c r="C2239" s="4" t="n">
        <v>4</v>
      </c>
      <c r="D2239" s="4" t="n">
        <v>11</v>
      </c>
      <c r="E2239" s="4" t="s">
        <v>1304</v>
      </c>
      <c r="F2239" s="4" t="n">
        <v>20</v>
      </c>
      <c r="G2239" s="4" t="n">
        <v>7</v>
      </c>
      <c r="H2239" s="4" t="n">
        <v>4</v>
      </c>
      <c r="I2239" s="4" t="str">
        <v>×</v>
      </c>
      <c r="J2239" s="4"/>
      <c r="K2239" s="4"/>
      <c r="L2239" s="4"/>
      <c r="M2239" s="5" t="s">
        <v>1871</v>
      </c>
    </row>
    <row r="2240" customFormat="false" ht="15.75" hidden="false" customHeight="false" outlineLevel="0" collapsed="false">
      <c r="A2240" s="3" t="n">
        <v>46214</v>
      </c>
      <c r="B2240" s="4" t="s">
        <v>1237</v>
      </c>
      <c r="C2240" s="4" t="n">
        <v>4</v>
      </c>
      <c r="D2240" s="4" t="n">
        <v>12</v>
      </c>
      <c r="E2240" s="4" t="s">
        <v>2210</v>
      </c>
      <c r="F2240" s="4" t="n">
        <v>41</v>
      </c>
      <c r="G2240" s="4" t="n">
        <v>2</v>
      </c>
      <c r="H2240" s="4" t="n">
        <v>4</v>
      </c>
      <c r="I2240" s="4" t="str">
        <v>×</v>
      </c>
      <c r="J2240" s="4"/>
      <c r="K2240" s="4"/>
      <c r="L2240" s="4"/>
      <c r="M2240" s="5" t="s">
        <v>1871</v>
      </c>
    </row>
    <row r="2241" customFormat="false" ht="15.75" hidden="false" customHeight="false" outlineLevel="0" collapsed="false">
      <c r="A2241" s="3" t="n">
        <v>46214</v>
      </c>
      <c r="B2241" s="4" t="s">
        <v>1237</v>
      </c>
      <c r="C2241" s="4" t="n">
        <v>4</v>
      </c>
      <c r="D2241" s="4" t="n">
        <v>13</v>
      </c>
      <c r="E2241" s="4" t="s">
        <v>394</v>
      </c>
      <c r="F2241" s="4" t="n">
        <v>20</v>
      </c>
      <c r="G2241" s="4" t="n">
        <v>7</v>
      </c>
      <c r="H2241" s="4" t="n">
        <v>4</v>
      </c>
      <c r="I2241" s="4" t="str">
        <v>×</v>
      </c>
      <c r="J2241" s="4"/>
      <c r="K2241" s="4"/>
      <c r="L2241" s="4"/>
      <c r="M2241" s="5" t="s">
        <v>1871</v>
      </c>
    </row>
    <row r="2242" customFormat="false" ht="15.75" hidden="false" customHeight="false" outlineLevel="0" collapsed="false">
      <c r="A2242" s="3" t="n">
        <v>46214</v>
      </c>
      <c r="B2242" s="4" t="s">
        <v>1237</v>
      </c>
      <c r="C2242" s="4" t="n">
        <v>4</v>
      </c>
      <c r="D2242" s="4" t="n">
        <v>14</v>
      </c>
      <c r="E2242" s="4" t="s">
        <v>2211</v>
      </c>
      <c r="F2242" s="4" t="n">
        <v>50</v>
      </c>
      <c r="G2242" s="4" t="n">
        <v>1</v>
      </c>
      <c r="H2242" s="4" t="n">
        <v>1</v>
      </c>
      <c r="I2242" s="4" t="str">
        <v>○</v>
      </c>
      <c r="J2242" s="4" t="n">
        <v>140</v>
      </c>
      <c r="K2242" s="4"/>
      <c r="L2242" s="4"/>
      <c r="M2242" s="5" t="s">
        <v>1871</v>
      </c>
    </row>
    <row r="2243" customFormat="false" ht="15.75" hidden="false" customHeight="false" outlineLevel="0" collapsed="false">
      <c r="A2243" s="3" t="n">
        <v>46214</v>
      </c>
      <c r="B2243" s="4" t="s">
        <v>1237</v>
      </c>
      <c r="C2243" s="4" t="n">
        <v>5</v>
      </c>
      <c r="D2243" s="4" t="n">
        <v>1</v>
      </c>
      <c r="E2243" s="4" t="s">
        <v>2212</v>
      </c>
      <c r="F2243" s="4" t="n">
        <v>14</v>
      </c>
      <c r="G2243" s="4" t="n">
        <v>6</v>
      </c>
      <c r="H2243" s="4" t="n">
        <v>4</v>
      </c>
      <c r="I2243" s="4" t="str">
        <v>×</v>
      </c>
      <c r="J2243" s="4"/>
      <c r="K2243" s="4"/>
      <c r="L2243" s="4"/>
      <c r="M2243" s="5" t="s">
        <v>1871</v>
      </c>
    </row>
    <row r="2244" customFormat="false" ht="15.75" hidden="false" customHeight="false" outlineLevel="0" collapsed="false">
      <c r="A2244" s="3" t="n">
        <v>46214</v>
      </c>
      <c r="B2244" s="4" t="s">
        <v>1237</v>
      </c>
      <c r="C2244" s="4" t="n">
        <v>5</v>
      </c>
      <c r="D2244" s="4" t="n">
        <v>2</v>
      </c>
      <c r="E2244" s="4" t="s">
        <v>2213</v>
      </c>
      <c r="F2244" s="4" t="n">
        <v>14</v>
      </c>
      <c r="G2244" s="4" t="n">
        <v>6</v>
      </c>
      <c r="H2244" s="4" t="n">
        <v>4</v>
      </c>
      <c r="I2244" s="4" t="str">
        <v>×</v>
      </c>
      <c r="J2244" s="4"/>
      <c r="K2244" s="4"/>
      <c r="L2244" s="4"/>
      <c r="M2244" s="5" t="s">
        <v>1871</v>
      </c>
    </row>
    <row r="2245" customFormat="false" ht="15.75" hidden="false" customHeight="false" outlineLevel="0" collapsed="false">
      <c r="A2245" s="3" t="n">
        <v>46214</v>
      </c>
      <c r="B2245" s="4" t="s">
        <v>1237</v>
      </c>
      <c r="C2245" s="4" t="n">
        <v>5</v>
      </c>
      <c r="D2245" s="4" t="n">
        <v>3</v>
      </c>
      <c r="E2245" s="4" t="s">
        <v>1719</v>
      </c>
      <c r="F2245" s="4" t="n">
        <v>24</v>
      </c>
      <c r="G2245" s="4" t="n">
        <v>2</v>
      </c>
      <c r="H2245" s="4" t="n">
        <v>4</v>
      </c>
      <c r="I2245" s="4" t="str">
        <v>×</v>
      </c>
      <c r="J2245" s="4"/>
      <c r="K2245" s="4"/>
      <c r="L2245" s="4"/>
      <c r="M2245" s="5" t="s">
        <v>1871</v>
      </c>
    </row>
    <row r="2246" customFormat="false" ht="15.75" hidden="false" customHeight="false" outlineLevel="0" collapsed="false">
      <c r="A2246" s="3" t="n">
        <v>46214</v>
      </c>
      <c r="B2246" s="4" t="s">
        <v>1237</v>
      </c>
      <c r="C2246" s="4" t="n">
        <v>5</v>
      </c>
      <c r="D2246" s="4" t="n">
        <v>4</v>
      </c>
      <c r="E2246" s="4" t="s">
        <v>349</v>
      </c>
      <c r="F2246" s="4" t="n">
        <v>14</v>
      </c>
      <c r="G2246" s="4" t="n">
        <v>6</v>
      </c>
      <c r="H2246" s="4" t="n">
        <v>4</v>
      </c>
      <c r="I2246" s="4" t="str">
        <v>×</v>
      </c>
      <c r="J2246" s="4"/>
      <c r="K2246" s="4"/>
      <c r="L2246" s="4"/>
      <c r="M2246" s="5" t="s">
        <v>1871</v>
      </c>
    </row>
    <row r="2247" customFormat="false" ht="15.75" hidden="false" customHeight="false" outlineLevel="0" collapsed="false">
      <c r="A2247" s="3" t="n">
        <v>46214</v>
      </c>
      <c r="B2247" s="4" t="s">
        <v>1237</v>
      </c>
      <c r="C2247" s="4" t="n">
        <v>5</v>
      </c>
      <c r="D2247" s="4" t="n">
        <v>5</v>
      </c>
      <c r="E2247" s="4" t="s">
        <v>786</v>
      </c>
      <c r="F2247" s="4" t="n">
        <v>12</v>
      </c>
      <c r="G2247" s="4" t="n">
        <v>9</v>
      </c>
      <c r="H2247" s="4" t="n">
        <v>4</v>
      </c>
      <c r="I2247" s="4" t="str">
        <v>×</v>
      </c>
      <c r="J2247" s="4"/>
      <c r="K2247" s="4"/>
      <c r="L2247" s="4"/>
      <c r="M2247" s="5" t="s">
        <v>1871</v>
      </c>
    </row>
    <row r="2248" customFormat="false" ht="15.75" hidden="false" customHeight="false" outlineLevel="0" collapsed="false">
      <c r="A2248" s="3" t="n">
        <v>46214</v>
      </c>
      <c r="B2248" s="4" t="s">
        <v>1237</v>
      </c>
      <c r="C2248" s="4" t="n">
        <v>5</v>
      </c>
      <c r="D2248" s="4" t="n">
        <v>6</v>
      </c>
      <c r="E2248" s="4" t="s">
        <v>343</v>
      </c>
      <c r="F2248" s="4" t="n">
        <v>24</v>
      </c>
      <c r="G2248" s="4" t="n">
        <v>2</v>
      </c>
      <c r="H2248" s="4" t="n">
        <v>3</v>
      </c>
      <c r="I2248" s="4" t="str">
        <v>○</v>
      </c>
      <c r="J2248" s="4" t="n">
        <v>410</v>
      </c>
      <c r="K2248" s="4"/>
      <c r="L2248" s="4"/>
      <c r="M2248" s="5" t="s">
        <v>1871</v>
      </c>
    </row>
    <row r="2249" customFormat="false" ht="15.75" hidden="false" customHeight="false" outlineLevel="0" collapsed="false">
      <c r="A2249" s="3" t="n">
        <v>46214</v>
      </c>
      <c r="B2249" s="4" t="s">
        <v>1237</v>
      </c>
      <c r="C2249" s="4" t="n">
        <v>5</v>
      </c>
      <c r="D2249" s="4" t="n">
        <v>7</v>
      </c>
      <c r="E2249" s="4" t="s">
        <v>2214</v>
      </c>
      <c r="F2249" s="4" t="n">
        <v>8</v>
      </c>
      <c r="G2249" s="4" t="n">
        <v>10</v>
      </c>
      <c r="H2249" s="4" t="n">
        <v>4</v>
      </c>
      <c r="I2249" s="4" t="str">
        <v>×</v>
      </c>
      <c r="J2249" s="4"/>
      <c r="K2249" s="4"/>
      <c r="L2249" s="4"/>
      <c r="M2249" s="5" t="s">
        <v>1871</v>
      </c>
    </row>
    <row r="2250" customFormat="false" ht="15.75" hidden="false" customHeight="false" outlineLevel="0" collapsed="false">
      <c r="A2250" s="3" t="n">
        <v>46214</v>
      </c>
      <c r="B2250" s="4" t="s">
        <v>1237</v>
      </c>
      <c r="C2250" s="4" t="n">
        <v>5</v>
      </c>
      <c r="D2250" s="4" t="n">
        <v>8</v>
      </c>
      <c r="E2250" s="4" t="s">
        <v>2215</v>
      </c>
      <c r="F2250" s="4" t="n">
        <v>37</v>
      </c>
      <c r="G2250" s="4" t="n">
        <v>1</v>
      </c>
      <c r="H2250" s="4" t="n">
        <v>1</v>
      </c>
      <c r="I2250" s="4" t="str">
        <v>○</v>
      </c>
      <c r="J2250" s="4" t="n">
        <v>110</v>
      </c>
      <c r="K2250" s="4"/>
      <c r="L2250" s="4"/>
      <c r="M2250" s="5" t="s">
        <v>1871</v>
      </c>
    </row>
    <row r="2251" customFormat="false" ht="15.75" hidden="false" customHeight="false" outlineLevel="0" collapsed="false">
      <c r="A2251" s="3" t="n">
        <v>46214</v>
      </c>
      <c r="B2251" s="4" t="s">
        <v>1237</v>
      </c>
      <c r="C2251" s="4" t="n">
        <v>5</v>
      </c>
      <c r="D2251" s="4" t="n">
        <v>9</v>
      </c>
      <c r="E2251" s="4" t="s">
        <v>785</v>
      </c>
      <c r="F2251" s="4" t="n">
        <v>8</v>
      </c>
      <c r="G2251" s="4" t="n">
        <v>10</v>
      </c>
      <c r="H2251" s="4" t="n">
        <v>4</v>
      </c>
      <c r="I2251" s="4" t="str">
        <v>×</v>
      </c>
      <c r="J2251" s="4"/>
      <c r="K2251" s="4"/>
      <c r="L2251" s="4"/>
      <c r="M2251" s="5" t="s">
        <v>1871</v>
      </c>
    </row>
    <row r="2252" customFormat="false" ht="15.75" hidden="false" customHeight="false" outlineLevel="0" collapsed="false">
      <c r="A2252" s="3" t="n">
        <v>46214</v>
      </c>
      <c r="B2252" s="4" t="s">
        <v>1237</v>
      </c>
      <c r="C2252" s="4" t="n">
        <v>5</v>
      </c>
      <c r="D2252" s="4" t="n">
        <v>10</v>
      </c>
      <c r="E2252" s="4" t="s">
        <v>796</v>
      </c>
      <c r="F2252" s="4" t="n">
        <v>21</v>
      </c>
      <c r="G2252" s="4" t="n">
        <v>4</v>
      </c>
      <c r="H2252" s="4" t="n">
        <v>4</v>
      </c>
      <c r="I2252" s="4" t="str">
        <v>×</v>
      </c>
      <c r="J2252" s="4"/>
      <c r="K2252" s="4"/>
      <c r="L2252" s="4"/>
      <c r="M2252" s="5" t="s">
        <v>1871</v>
      </c>
    </row>
    <row r="2253" customFormat="false" ht="15.75" hidden="false" customHeight="false" outlineLevel="0" collapsed="false">
      <c r="A2253" s="3" t="n">
        <v>46214</v>
      </c>
      <c r="B2253" s="4" t="s">
        <v>1237</v>
      </c>
      <c r="C2253" s="4" t="n">
        <v>5</v>
      </c>
      <c r="D2253" s="4" t="n">
        <v>11</v>
      </c>
      <c r="E2253" s="4" t="s">
        <v>348</v>
      </c>
      <c r="F2253" s="4" t="n">
        <v>21</v>
      </c>
      <c r="G2253" s="4" t="n">
        <v>4</v>
      </c>
      <c r="H2253" s="4" t="n">
        <v>2</v>
      </c>
      <c r="I2253" s="4" t="str">
        <v>○</v>
      </c>
      <c r="J2253" s="4" t="n">
        <v>130</v>
      </c>
      <c r="K2253" s="4"/>
      <c r="L2253" s="4"/>
      <c r="M2253" s="5" t="s">
        <v>1871</v>
      </c>
    </row>
    <row r="2254" customFormat="false" ht="15.75" hidden="false" customHeight="false" outlineLevel="0" collapsed="false">
      <c r="A2254" s="3" t="n">
        <v>46214</v>
      </c>
      <c r="B2254" s="4" t="s">
        <v>1237</v>
      </c>
      <c r="C2254" s="4" t="n">
        <v>6</v>
      </c>
      <c r="D2254" s="4" t="n">
        <v>1</v>
      </c>
      <c r="E2254" s="4" t="s">
        <v>1732</v>
      </c>
      <c r="F2254" s="4" t="n">
        <v>10</v>
      </c>
      <c r="G2254" s="4" t="n">
        <v>9</v>
      </c>
      <c r="H2254" s="4" t="n">
        <v>4</v>
      </c>
      <c r="I2254" s="4" t="str">
        <v>×</v>
      </c>
      <c r="J2254" s="4"/>
      <c r="K2254" s="4"/>
      <c r="L2254" s="4"/>
      <c r="M2254" s="5" t="s">
        <v>1871</v>
      </c>
    </row>
    <row r="2255" customFormat="false" ht="15.75" hidden="false" customHeight="false" outlineLevel="0" collapsed="false">
      <c r="A2255" s="3" t="n">
        <v>46214</v>
      </c>
      <c r="B2255" s="4" t="s">
        <v>1237</v>
      </c>
      <c r="C2255" s="4" t="n">
        <v>6</v>
      </c>
      <c r="D2255" s="4" t="n">
        <v>2</v>
      </c>
      <c r="E2255" s="4" t="s">
        <v>2216</v>
      </c>
      <c r="F2255" s="4" t="n">
        <v>10</v>
      </c>
      <c r="G2255" s="4" t="n">
        <v>9</v>
      </c>
      <c r="H2255" s="4" t="n">
        <v>4</v>
      </c>
      <c r="I2255" s="4" t="str">
        <v>×</v>
      </c>
      <c r="J2255" s="4"/>
      <c r="K2255" s="4"/>
      <c r="L2255" s="4"/>
      <c r="M2255" s="5" t="s">
        <v>1871</v>
      </c>
    </row>
    <row r="2256" customFormat="false" ht="15.75" hidden="false" customHeight="false" outlineLevel="0" collapsed="false">
      <c r="A2256" s="3" t="n">
        <v>46214</v>
      </c>
      <c r="B2256" s="4" t="s">
        <v>1237</v>
      </c>
      <c r="C2256" s="4" t="n">
        <v>6</v>
      </c>
      <c r="D2256" s="4" t="n">
        <v>3</v>
      </c>
      <c r="E2256" s="4" t="s">
        <v>831</v>
      </c>
      <c r="F2256" s="4" t="n">
        <v>34</v>
      </c>
      <c r="G2256" s="4" t="n">
        <v>6</v>
      </c>
      <c r="H2256" s="4" t="n">
        <v>3</v>
      </c>
      <c r="I2256" s="4" t="str">
        <v>○</v>
      </c>
      <c r="J2256" s="4" t="n">
        <v>190</v>
      </c>
      <c r="K2256" s="4"/>
      <c r="L2256" s="4"/>
      <c r="M2256" s="5" t="s">
        <v>1871</v>
      </c>
    </row>
    <row r="2257" customFormat="false" ht="15.75" hidden="false" customHeight="false" outlineLevel="0" collapsed="false">
      <c r="A2257" s="3" t="n">
        <v>46214</v>
      </c>
      <c r="B2257" s="4" t="s">
        <v>1237</v>
      </c>
      <c r="C2257" s="4" t="n">
        <v>6</v>
      </c>
      <c r="D2257" s="4" t="n">
        <v>4</v>
      </c>
      <c r="E2257" s="4" t="s">
        <v>353</v>
      </c>
      <c r="F2257" s="4" t="n">
        <v>34</v>
      </c>
      <c r="G2257" s="4" t="n">
        <v>6</v>
      </c>
      <c r="H2257" s="4" t="n">
        <v>2</v>
      </c>
      <c r="I2257" s="4" t="str">
        <v>○</v>
      </c>
      <c r="J2257" s="4" t="n">
        <v>170</v>
      </c>
      <c r="K2257" s="4"/>
      <c r="L2257" s="4"/>
      <c r="M2257" s="5" t="s">
        <v>1871</v>
      </c>
    </row>
    <row r="2258" customFormat="false" ht="15.75" hidden="false" customHeight="false" outlineLevel="0" collapsed="false">
      <c r="A2258" s="3" t="n">
        <v>46214</v>
      </c>
      <c r="B2258" s="4" t="s">
        <v>1237</v>
      </c>
      <c r="C2258" s="4" t="n">
        <v>6</v>
      </c>
      <c r="D2258" s="4" t="n">
        <v>5</v>
      </c>
      <c r="E2258" s="4" t="s">
        <v>2217</v>
      </c>
      <c r="F2258" s="4" t="n">
        <v>58</v>
      </c>
      <c r="G2258" s="4" t="n">
        <v>1</v>
      </c>
      <c r="H2258" s="4" t="n">
        <v>4</v>
      </c>
      <c r="I2258" s="4" t="str">
        <v>×</v>
      </c>
      <c r="J2258" s="4"/>
      <c r="K2258" s="4"/>
      <c r="L2258" s="4"/>
      <c r="M2258" s="5" t="s">
        <v>1871</v>
      </c>
    </row>
    <row r="2259" customFormat="false" ht="15.75" hidden="false" customHeight="false" outlineLevel="0" collapsed="false">
      <c r="A2259" s="3" t="n">
        <v>46214</v>
      </c>
      <c r="B2259" s="4" t="s">
        <v>1237</v>
      </c>
      <c r="C2259" s="4" t="n">
        <v>6</v>
      </c>
      <c r="D2259" s="4" t="n">
        <v>6</v>
      </c>
      <c r="E2259" s="4" t="s">
        <v>2218</v>
      </c>
      <c r="F2259" s="4" t="n">
        <v>43</v>
      </c>
      <c r="G2259" s="4" t="n">
        <v>4</v>
      </c>
      <c r="H2259" s="4" t="n">
        <v>4</v>
      </c>
      <c r="I2259" s="4" t="str">
        <v>×</v>
      </c>
      <c r="J2259" s="4"/>
      <c r="K2259" s="4"/>
      <c r="L2259" s="4"/>
      <c r="M2259" s="5" t="s">
        <v>1871</v>
      </c>
    </row>
    <row r="2260" customFormat="false" ht="15.75" hidden="false" customHeight="false" outlineLevel="0" collapsed="false">
      <c r="A2260" s="3" t="n">
        <v>46214</v>
      </c>
      <c r="B2260" s="4" t="s">
        <v>1237</v>
      </c>
      <c r="C2260" s="4" t="n">
        <v>6</v>
      </c>
      <c r="D2260" s="4" t="n">
        <v>7</v>
      </c>
      <c r="E2260" s="4" t="s">
        <v>2219</v>
      </c>
      <c r="F2260" s="4" t="n">
        <v>44</v>
      </c>
      <c r="G2260" s="4" t="n">
        <v>3</v>
      </c>
      <c r="H2260" s="4" t="n">
        <v>4</v>
      </c>
      <c r="I2260" s="4" t="str">
        <v>×</v>
      </c>
      <c r="J2260" s="4"/>
      <c r="K2260" s="4"/>
      <c r="L2260" s="4"/>
      <c r="M2260" s="5" t="s">
        <v>1871</v>
      </c>
    </row>
    <row r="2261" customFormat="false" ht="15.75" hidden="false" customHeight="false" outlineLevel="0" collapsed="false">
      <c r="A2261" s="3" t="n">
        <v>46214</v>
      </c>
      <c r="B2261" s="4" t="s">
        <v>1237</v>
      </c>
      <c r="C2261" s="4" t="n">
        <v>6</v>
      </c>
      <c r="D2261" s="4" t="n">
        <v>8</v>
      </c>
      <c r="E2261" s="4" t="s">
        <v>2220</v>
      </c>
      <c r="F2261" s="4" t="n">
        <v>10</v>
      </c>
      <c r="G2261" s="4" t="n">
        <v>9</v>
      </c>
      <c r="H2261" s="4" t="n">
        <v>4</v>
      </c>
      <c r="I2261" s="4" t="str">
        <v>×</v>
      </c>
      <c r="J2261" s="4"/>
      <c r="K2261" s="4"/>
      <c r="L2261" s="4"/>
      <c r="M2261" s="5" t="s">
        <v>1871</v>
      </c>
    </row>
    <row r="2262" customFormat="false" ht="15.75" hidden="false" customHeight="false" outlineLevel="0" collapsed="false">
      <c r="A2262" s="3" t="n">
        <v>46214</v>
      </c>
      <c r="B2262" s="4" t="s">
        <v>1237</v>
      </c>
      <c r="C2262" s="4" t="n">
        <v>6</v>
      </c>
      <c r="D2262" s="4" t="n">
        <v>9</v>
      </c>
      <c r="E2262" s="4" t="s">
        <v>2221</v>
      </c>
      <c r="F2262" s="4" t="n">
        <v>52</v>
      </c>
      <c r="G2262" s="4" t="n">
        <v>2</v>
      </c>
      <c r="H2262" s="4" t="n">
        <v>1</v>
      </c>
      <c r="I2262" s="4" t="str">
        <v>○</v>
      </c>
      <c r="J2262" s="4" t="n">
        <v>110</v>
      </c>
      <c r="K2262" s="4"/>
      <c r="L2262" s="4"/>
      <c r="M2262" s="5" t="s">
        <v>1871</v>
      </c>
    </row>
    <row r="2263" customFormat="false" ht="15.75" hidden="false" customHeight="false" outlineLevel="0" collapsed="false">
      <c r="A2263" s="3" t="n">
        <v>46214</v>
      </c>
      <c r="B2263" s="4" t="s">
        <v>1237</v>
      </c>
      <c r="C2263" s="4" t="n">
        <v>6</v>
      </c>
      <c r="D2263" s="4" t="n">
        <v>10</v>
      </c>
      <c r="E2263" s="4" t="s">
        <v>2222</v>
      </c>
      <c r="F2263" s="4" t="n">
        <v>43</v>
      </c>
      <c r="G2263" s="4" t="n">
        <v>4</v>
      </c>
      <c r="H2263" s="4" t="n">
        <v>4</v>
      </c>
      <c r="I2263" s="4" t="str">
        <v>×</v>
      </c>
      <c r="J2263" s="4"/>
      <c r="K2263" s="4"/>
      <c r="L2263" s="4"/>
      <c r="M2263" s="5" t="s">
        <v>1871</v>
      </c>
    </row>
    <row r="2264" customFormat="false" ht="15.75" hidden="false" customHeight="false" outlineLevel="0" collapsed="false">
      <c r="A2264" s="3" t="n">
        <v>46214</v>
      </c>
      <c r="B2264" s="4" t="s">
        <v>1237</v>
      </c>
      <c r="C2264" s="4" t="n">
        <v>6</v>
      </c>
      <c r="D2264" s="4" t="n">
        <v>11</v>
      </c>
      <c r="E2264" s="4" t="s">
        <v>2223</v>
      </c>
      <c r="F2264" s="4" t="n">
        <v>13</v>
      </c>
      <c r="G2264" s="4" t="n">
        <v>8</v>
      </c>
      <c r="H2264" s="4" t="n">
        <v>4</v>
      </c>
      <c r="I2264" s="4" t="str">
        <v>×</v>
      </c>
      <c r="J2264" s="4"/>
      <c r="K2264" s="4"/>
      <c r="L2264" s="4"/>
      <c r="M2264" s="5" t="s">
        <v>1871</v>
      </c>
    </row>
    <row r="2265" customFormat="false" ht="15.75" hidden="false" customHeight="false" outlineLevel="0" collapsed="false">
      <c r="A2265" s="3" t="n">
        <v>46214</v>
      </c>
      <c r="B2265" s="4" t="s">
        <v>1237</v>
      </c>
      <c r="C2265" s="4" t="n">
        <v>7</v>
      </c>
      <c r="D2265" s="4" t="n">
        <v>1</v>
      </c>
      <c r="E2265" s="4" t="s">
        <v>431</v>
      </c>
      <c r="F2265" s="4" t="n">
        <v>17</v>
      </c>
      <c r="G2265" s="4" t="n">
        <v>7</v>
      </c>
      <c r="H2265" s="4" t="n">
        <v>3</v>
      </c>
      <c r="I2265" s="4" t="str">
        <v>○</v>
      </c>
      <c r="J2265" s="4" t="n">
        <v>460</v>
      </c>
      <c r="K2265" s="4"/>
      <c r="L2265" s="4"/>
      <c r="M2265" s="5" t="s">
        <v>1871</v>
      </c>
    </row>
    <row r="2266" customFormat="false" ht="15.75" hidden="false" customHeight="false" outlineLevel="0" collapsed="false">
      <c r="A2266" s="3" t="n">
        <v>46214</v>
      </c>
      <c r="B2266" s="4" t="s">
        <v>1237</v>
      </c>
      <c r="C2266" s="4" t="n">
        <v>7</v>
      </c>
      <c r="D2266" s="4" t="n">
        <v>2</v>
      </c>
      <c r="E2266" s="4" t="s">
        <v>2224</v>
      </c>
      <c r="F2266" s="4" t="n">
        <v>15</v>
      </c>
      <c r="G2266" s="4" t="n">
        <v>9</v>
      </c>
      <c r="H2266" s="4" t="n">
        <v>4</v>
      </c>
      <c r="I2266" s="4" t="str">
        <v>×</v>
      </c>
      <c r="J2266" s="4"/>
      <c r="K2266" s="4"/>
      <c r="L2266" s="4"/>
      <c r="M2266" s="5" t="s">
        <v>1871</v>
      </c>
    </row>
    <row r="2267" customFormat="false" ht="15.75" hidden="false" customHeight="false" outlineLevel="0" collapsed="false">
      <c r="A2267" s="3" t="n">
        <v>46214</v>
      </c>
      <c r="B2267" s="4" t="s">
        <v>1237</v>
      </c>
      <c r="C2267" s="4" t="n">
        <v>7</v>
      </c>
      <c r="D2267" s="4" t="n">
        <v>3</v>
      </c>
      <c r="E2267" s="4" t="s">
        <v>867</v>
      </c>
      <c r="F2267" s="4" t="n">
        <v>17</v>
      </c>
      <c r="G2267" s="4" t="n">
        <v>7</v>
      </c>
      <c r="H2267" s="4" t="n">
        <v>4</v>
      </c>
      <c r="I2267" s="4" t="str">
        <v>×</v>
      </c>
      <c r="J2267" s="4"/>
      <c r="K2267" s="4"/>
      <c r="L2267" s="4"/>
      <c r="M2267" s="5" t="s">
        <v>1871</v>
      </c>
    </row>
    <row r="2268" customFormat="false" ht="15.75" hidden="false" customHeight="false" outlineLevel="0" collapsed="false">
      <c r="A2268" s="3" t="n">
        <v>46214</v>
      </c>
      <c r="B2268" s="4" t="s">
        <v>1237</v>
      </c>
      <c r="C2268" s="4" t="n">
        <v>7</v>
      </c>
      <c r="D2268" s="4" t="n">
        <v>4</v>
      </c>
      <c r="E2268" s="4" t="s">
        <v>2225</v>
      </c>
      <c r="F2268" s="4" t="n">
        <v>39</v>
      </c>
      <c r="G2268" s="4" t="n">
        <v>4</v>
      </c>
      <c r="H2268" s="4" t="n">
        <v>1</v>
      </c>
      <c r="I2268" s="4" t="str">
        <v>○</v>
      </c>
      <c r="J2268" s="4" t="n">
        <v>190</v>
      </c>
      <c r="K2268" s="4"/>
      <c r="L2268" s="4"/>
      <c r="M2268" s="5" t="s">
        <v>1871</v>
      </c>
    </row>
    <row r="2269" customFormat="false" ht="15.75" hidden="false" customHeight="false" outlineLevel="0" collapsed="false">
      <c r="A2269" s="3" t="n">
        <v>46214</v>
      </c>
      <c r="B2269" s="4" t="s">
        <v>1237</v>
      </c>
      <c r="C2269" s="4" t="n">
        <v>7</v>
      </c>
      <c r="D2269" s="4" t="n">
        <v>5</v>
      </c>
      <c r="E2269" s="4" t="s">
        <v>2226</v>
      </c>
      <c r="F2269" s="4" t="n">
        <v>25</v>
      </c>
      <c r="G2269" s="4" t="n">
        <v>5</v>
      </c>
      <c r="H2269" s="4" t="n">
        <v>4</v>
      </c>
      <c r="I2269" s="4" t="str">
        <v>×</v>
      </c>
      <c r="J2269" s="4"/>
      <c r="K2269" s="4"/>
      <c r="L2269" s="4"/>
      <c r="M2269" s="5" t="s">
        <v>1871</v>
      </c>
    </row>
    <row r="2270" customFormat="false" ht="15.75" hidden="false" customHeight="false" outlineLevel="0" collapsed="false">
      <c r="A2270" s="3" t="n">
        <v>46214</v>
      </c>
      <c r="B2270" s="4" t="s">
        <v>1237</v>
      </c>
      <c r="C2270" s="4" t="n">
        <v>7</v>
      </c>
      <c r="D2270" s="4" t="n">
        <v>6</v>
      </c>
      <c r="E2270" s="4" t="s">
        <v>2227</v>
      </c>
      <c r="F2270" s="4" t="n">
        <v>50</v>
      </c>
      <c r="G2270" s="4" t="n">
        <v>2</v>
      </c>
      <c r="H2270" s="4" t="n">
        <v>2</v>
      </c>
      <c r="I2270" s="4" t="str">
        <v>○</v>
      </c>
      <c r="J2270" s="4" t="n">
        <v>200</v>
      </c>
      <c r="K2270" s="4"/>
      <c r="L2270" s="4"/>
      <c r="M2270" s="5" t="s">
        <v>1871</v>
      </c>
    </row>
    <row r="2271" customFormat="false" ht="15.75" hidden="false" customHeight="false" outlineLevel="0" collapsed="false">
      <c r="A2271" s="3" t="n">
        <v>46214</v>
      </c>
      <c r="B2271" s="4" t="s">
        <v>1237</v>
      </c>
      <c r="C2271" s="4" t="n">
        <v>7</v>
      </c>
      <c r="D2271" s="4" t="n">
        <v>7</v>
      </c>
      <c r="E2271" s="4" t="s">
        <v>2228</v>
      </c>
      <c r="F2271" s="4" t="n">
        <v>44</v>
      </c>
      <c r="G2271" s="4" t="n">
        <v>3</v>
      </c>
      <c r="H2271" s="4" t="n">
        <v>4</v>
      </c>
      <c r="I2271" s="4" t="str">
        <v>×</v>
      </c>
      <c r="J2271" s="4"/>
      <c r="K2271" s="4"/>
      <c r="L2271" s="4"/>
      <c r="M2271" s="5" t="s">
        <v>1871</v>
      </c>
    </row>
    <row r="2272" customFormat="false" ht="15.75" hidden="false" customHeight="false" outlineLevel="0" collapsed="false">
      <c r="A2272" s="3" t="n">
        <v>46214</v>
      </c>
      <c r="B2272" s="4" t="s">
        <v>1237</v>
      </c>
      <c r="C2272" s="4" t="n">
        <v>7</v>
      </c>
      <c r="D2272" s="4" t="n">
        <v>8</v>
      </c>
      <c r="E2272" s="4" t="s">
        <v>2229</v>
      </c>
      <c r="F2272" s="4" t="n">
        <v>20</v>
      </c>
      <c r="G2272" s="4" t="n">
        <v>6</v>
      </c>
      <c r="H2272" s="4" t="n">
        <v>4</v>
      </c>
      <c r="I2272" s="4" t="str">
        <v>×</v>
      </c>
      <c r="J2272" s="4"/>
      <c r="K2272" s="4"/>
      <c r="L2272" s="4"/>
      <c r="M2272" s="5" t="s">
        <v>1871</v>
      </c>
    </row>
    <row r="2273" customFormat="false" ht="15.75" hidden="false" customHeight="false" outlineLevel="0" collapsed="false">
      <c r="A2273" s="3" t="n">
        <v>46214</v>
      </c>
      <c r="B2273" s="4" t="s">
        <v>1237</v>
      </c>
      <c r="C2273" s="4" t="n">
        <v>7</v>
      </c>
      <c r="D2273" s="4" t="n">
        <v>9</v>
      </c>
      <c r="E2273" s="4" t="s">
        <v>908</v>
      </c>
      <c r="F2273" s="4" t="n">
        <v>2</v>
      </c>
      <c r="G2273" s="4" t="n">
        <v>13</v>
      </c>
      <c r="H2273" s="4" t="n">
        <v>4</v>
      </c>
      <c r="I2273" s="4" t="str">
        <v>×</v>
      </c>
      <c r="J2273" s="4"/>
      <c r="K2273" s="4"/>
      <c r="L2273" s="4"/>
      <c r="M2273" s="5" t="s">
        <v>1871</v>
      </c>
    </row>
    <row r="2274" customFormat="false" ht="15.75" hidden="false" customHeight="false" outlineLevel="0" collapsed="false">
      <c r="A2274" s="3" t="n">
        <v>46214</v>
      </c>
      <c r="B2274" s="4" t="s">
        <v>1237</v>
      </c>
      <c r="C2274" s="4" t="n">
        <v>7</v>
      </c>
      <c r="D2274" s="4" t="n">
        <v>10</v>
      </c>
      <c r="E2274" s="4" t="s">
        <v>2230</v>
      </c>
      <c r="F2274" s="4" t="n">
        <v>4</v>
      </c>
      <c r="G2274" s="4" t="n">
        <v>11</v>
      </c>
      <c r="H2274" s="4" t="n">
        <v>4</v>
      </c>
      <c r="I2274" s="4" t="str">
        <v>×</v>
      </c>
      <c r="J2274" s="4"/>
      <c r="K2274" s="4"/>
      <c r="L2274" s="4"/>
      <c r="M2274" s="5" t="s">
        <v>1871</v>
      </c>
    </row>
    <row r="2275" customFormat="false" ht="15.75" hidden="false" customHeight="false" outlineLevel="0" collapsed="false">
      <c r="A2275" s="3" t="n">
        <v>46214</v>
      </c>
      <c r="B2275" s="4" t="s">
        <v>1237</v>
      </c>
      <c r="C2275" s="4" t="n">
        <v>7</v>
      </c>
      <c r="D2275" s="4" t="n">
        <v>11</v>
      </c>
      <c r="E2275" s="4" t="s">
        <v>873</v>
      </c>
      <c r="F2275" s="4" t="n">
        <v>1</v>
      </c>
      <c r="G2275" s="4" t="n">
        <v>14</v>
      </c>
      <c r="H2275" s="4" t="n">
        <v>4</v>
      </c>
      <c r="I2275" s="4" t="str">
        <v>×</v>
      </c>
      <c r="J2275" s="4"/>
      <c r="K2275" s="4"/>
      <c r="L2275" s="4"/>
      <c r="M2275" s="5" t="s">
        <v>1871</v>
      </c>
    </row>
    <row r="2276" customFormat="false" ht="15.75" hidden="false" customHeight="false" outlineLevel="0" collapsed="false">
      <c r="A2276" s="3" t="n">
        <v>46214</v>
      </c>
      <c r="B2276" s="4" t="s">
        <v>1237</v>
      </c>
      <c r="C2276" s="4" t="n">
        <v>7</v>
      </c>
      <c r="D2276" s="4" t="n">
        <v>12</v>
      </c>
      <c r="E2276" s="4" t="s">
        <v>2231</v>
      </c>
      <c r="F2276" s="4" t="n">
        <v>65</v>
      </c>
      <c r="G2276" s="4" t="n">
        <v>1</v>
      </c>
      <c r="H2276" s="4" t="n">
        <v>4</v>
      </c>
      <c r="I2276" s="4" t="str">
        <v>×</v>
      </c>
      <c r="J2276" s="4"/>
      <c r="K2276" s="4"/>
      <c r="L2276" s="4"/>
      <c r="M2276" s="5" t="s">
        <v>1871</v>
      </c>
    </row>
    <row r="2277" customFormat="false" ht="15.75" hidden="false" customHeight="false" outlineLevel="0" collapsed="false">
      <c r="A2277" s="3" t="n">
        <v>46214</v>
      </c>
      <c r="B2277" s="4" t="s">
        <v>1237</v>
      </c>
      <c r="C2277" s="4" t="n">
        <v>7</v>
      </c>
      <c r="D2277" s="4" t="n">
        <v>13</v>
      </c>
      <c r="E2277" s="4" t="s">
        <v>2232</v>
      </c>
      <c r="F2277" s="4" t="n">
        <v>6</v>
      </c>
      <c r="G2277" s="4" t="n">
        <v>10</v>
      </c>
      <c r="H2277" s="4" t="n">
        <v>4</v>
      </c>
      <c r="I2277" s="4" t="str">
        <v>×</v>
      </c>
      <c r="J2277" s="4"/>
      <c r="K2277" s="4"/>
      <c r="L2277" s="4"/>
      <c r="M2277" s="5" t="s">
        <v>1871</v>
      </c>
    </row>
    <row r="2278" customFormat="false" ht="15.75" hidden="false" customHeight="false" outlineLevel="0" collapsed="false">
      <c r="A2278" s="3" t="n">
        <v>46214</v>
      </c>
      <c r="B2278" s="4" t="s">
        <v>1237</v>
      </c>
      <c r="C2278" s="4" t="n">
        <v>7</v>
      </c>
      <c r="D2278" s="4" t="n">
        <v>14</v>
      </c>
      <c r="E2278" s="4" t="s">
        <v>2233</v>
      </c>
      <c r="F2278" s="4" t="n">
        <v>3</v>
      </c>
      <c r="G2278" s="4" t="n">
        <v>12</v>
      </c>
      <c r="H2278" s="4" t="n">
        <v>4</v>
      </c>
      <c r="I2278" s="4" t="str">
        <v>×</v>
      </c>
      <c r="J2278" s="4"/>
      <c r="K2278" s="4"/>
      <c r="L2278" s="4"/>
      <c r="M2278" s="5" t="s">
        <v>1871</v>
      </c>
    </row>
    <row r="2279" customFormat="false" ht="15.75" hidden="false" customHeight="false" outlineLevel="0" collapsed="false">
      <c r="A2279" s="3" t="n">
        <v>46214</v>
      </c>
      <c r="B2279" s="4" t="s">
        <v>1237</v>
      </c>
      <c r="C2279" s="4" t="n">
        <v>8</v>
      </c>
      <c r="D2279" s="4" t="n">
        <v>1</v>
      </c>
      <c r="E2279" s="4" t="s">
        <v>2234</v>
      </c>
      <c r="F2279" s="4" t="n">
        <v>39</v>
      </c>
      <c r="G2279" s="4" t="n">
        <v>3</v>
      </c>
      <c r="H2279" s="4" t="n">
        <v>2</v>
      </c>
      <c r="I2279" s="4" t="str">
        <v>○</v>
      </c>
      <c r="J2279" s="4" t="n">
        <v>180</v>
      </c>
      <c r="K2279" s="4"/>
      <c r="L2279" s="4"/>
      <c r="M2279" s="5" t="s">
        <v>1871</v>
      </c>
    </row>
    <row r="2280" customFormat="false" ht="15.75" hidden="false" customHeight="false" outlineLevel="0" collapsed="false">
      <c r="A2280" s="3" t="n">
        <v>46214</v>
      </c>
      <c r="B2280" s="4" t="s">
        <v>1237</v>
      </c>
      <c r="C2280" s="4" t="n">
        <v>8</v>
      </c>
      <c r="D2280" s="4" t="n">
        <v>2</v>
      </c>
      <c r="E2280" s="4" t="s">
        <v>2235</v>
      </c>
      <c r="F2280" s="4" t="n">
        <v>13</v>
      </c>
      <c r="G2280" s="4" t="n">
        <v>9</v>
      </c>
      <c r="H2280" s="4" t="n">
        <v>4</v>
      </c>
      <c r="I2280" s="4" t="str">
        <v>×</v>
      </c>
      <c r="J2280" s="4"/>
      <c r="K2280" s="4"/>
      <c r="L2280" s="4"/>
      <c r="M2280" s="5" t="s">
        <v>1871</v>
      </c>
    </row>
    <row r="2281" customFormat="false" ht="15.75" hidden="false" customHeight="false" outlineLevel="0" collapsed="false">
      <c r="A2281" s="3" t="n">
        <v>46214</v>
      </c>
      <c r="B2281" s="4" t="s">
        <v>1237</v>
      </c>
      <c r="C2281" s="4" t="n">
        <v>8</v>
      </c>
      <c r="D2281" s="4" t="n">
        <v>3</v>
      </c>
      <c r="E2281" s="4" t="s">
        <v>1311</v>
      </c>
      <c r="F2281" s="4" t="n">
        <v>52</v>
      </c>
      <c r="G2281" s="4" t="n">
        <v>1</v>
      </c>
      <c r="H2281" s="4" t="n">
        <v>4</v>
      </c>
      <c r="I2281" s="4" t="str">
        <v>×</v>
      </c>
      <c r="J2281" s="4"/>
      <c r="K2281" s="4"/>
      <c r="L2281" s="4"/>
      <c r="M2281" s="5" t="s">
        <v>1871</v>
      </c>
    </row>
    <row r="2282" customFormat="false" ht="15.75" hidden="false" customHeight="false" outlineLevel="0" collapsed="false">
      <c r="A2282" s="3" t="n">
        <v>46214</v>
      </c>
      <c r="B2282" s="4" t="s">
        <v>1237</v>
      </c>
      <c r="C2282" s="4" t="n">
        <v>8</v>
      </c>
      <c r="D2282" s="4" t="n">
        <v>4</v>
      </c>
      <c r="E2282" s="4" t="s">
        <v>1318</v>
      </c>
      <c r="F2282" s="4" t="n">
        <v>31</v>
      </c>
      <c r="G2282" s="4" t="n">
        <v>5</v>
      </c>
      <c r="H2282" s="4" t="n">
        <v>3</v>
      </c>
      <c r="I2282" s="4" t="str">
        <v>○</v>
      </c>
      <c r="J2282" s="4" t="n">
        <v>150</v>
      </c>
      <c r="K2282" s="4"/>
      <c r="L2282" s="4"/>
      <c r="M2282" s="5" t="s">
        <v>1871</v>
      </c>
    </row>
    <row r="2283" customFormat="false" ht="15.75" hidden="false" customHeight="false" outlineLevel="0" collapsed="false">
      <c r="A2283" s="3" t="n">
        <v>46214</v>
      </c>
      <c r="B2283" s="4" t="s">
        <v>1237</v>
      </c>
      <c r="C2283" s="4" t="n">
        <v>8</v>
      </c>
      <c r="D2283" s="4" t="n">
        <v>5</v>
      </c>
      <c r="E2283" s="4" t="s">
        <v>420</v>
      </c>
      <c r="F2283" s="4" t="n">
        <v>8</v>
      </c>
      <c r="G2283" s="4" t="n">
        <v>11</v>
      </c>
      <c r="H2283" s="4" t="n">
        <v>4</v>
      </c>
      <c r="I2283" s="4" t="str">
        <v>×</v>
      </c>
      <c r="J2283" s="4"/>
      <c r="K2283" s="4"/>
      <c r="L2283" s="4"/>
      <c r="M2283" s="5" t="s">
        <v>1871</v>
      </c>
    </row>
    <row r="2284" customFormat="false" ht="15.75" hidden="false" customHeight="false" outlineLevel="0" collapsed="false">
      <c r="A2284" s="3" t="n">
        <v>46214</v>
      </c>
      <c r="B2284" s="4" t="s">
        <v>1237</v>
      </c>
      <c r="C2284" s="4" t="n">
        <v>8</v>
      </c>
      <c r="D2284" s="4" t="n">
        <v>6</v>
      </c>
      <c r="E2284" s="4" t="s">
        <v>877</v>
      </c>
      <c r="F2284" s="4" t="n">
        <v>10</v>
      </c>
      <c r="G2284" s="4" t="n">
        <v>10</v>
      </c>
      <c r="H2284" s="4" t="n">
        <v>4</v>
      </c>
      <c r="I2284" s="4" t="str">
        <v>×</v>
      </c>
      <c r="J2284" s="4"/>
      <c r="K2284" s="4"/>
      <c r="L2284" s="4"/>
      <c r="M2284" s="5" t="s">
        <v>1871</v>
      </c>
    </row>
    <row r="2285" customFormat="false" ht="15.75" hidden="false" customHeight="false" outlineLevel="0" collapsed="false">
      <c r="A2285" s="3" t="n">
        <v>46214</v>
      </c>
      <c r="B2285" s="4" t="s">
        <v>1237</v>
      </c>
      <c r="C2285" s="4" t="n">
        <v>8</v>
      </c>
      <c r="D2285" s="4" t="n">
        <v>7</v>
      </c>
      <c r="E2285" s="4" t="s">
        <v>2236</v>
      </c>
      <c r="F2285" s="4" t="n">
        <v>15</v>
      </c>
      <c r="G2285" s="4" t="n">
        <v>8</v>
      </c>
      <c r="H2285" s="4" t="n">
        <v>4</v>
      </c>
      <c r="I2285" s="4" t="str">
        <v>×</v>
      </c>
      <c r="J2285" s="4"/>
      <c r="K2285" s="4"/>
      <c r="L2285" s="4"/>
      <c r="M2285" s="5" t="s">
        <v>1871</v>
      </c>
    </row>
    <row r="2286" customFormat="false" ht="15.75" hidden="false" customHeight="false" outlineLevel="0" collapsed="false">
      <c r="A2286" s="3" t="n">
        <v>46214</v>
      </c>
      <c r="B2286" s="4" t="s">
        <v>1237</v>
      </c>
      <c r="C2286" s="4" t="n">
        <v>8</v>
      </c>
      <c r="D2286" s="4" t="n">
        <v>8</v>
      </c>
      <c r="E2286" s="4" t="s">
        <v>2237</v>
      </c>
      <c r="F2286" s="4" t="n">
        <v>37</v>
      </c>
      <c r="G2286" s="4" t="n">
        <v>4</v>
      </c>
      <c r="H2286" s="4" t="n">
        <v>1</v>
      </c>
      <c r="I2286" s="4" t="str">
        <v>○</v>
      </c>
      <c r="J2286" s="4" t="n">
        <v>190</v>
      </c>
      <c r="K2286" s="4"/>
      <c r="L2286" s="4"/>
      <c r="M2286" s="5" t="s">
        <v>1871</v>
      </c>
    </row>
    <row r="2287" customFormat="false" ht="15.75" hidden="false" customHeight="false" outlineLevel="0" collapsed="false">
      <c r="A2287" s="3" t="n">
        <v>46214</v>
      </c>
      <c r="B2287" s="4" t="s">
        <v>1237</v>
      </c>
      <c r="C2287" s="4" t="n">
        <v>8</v>
      </c>
      <c r="D2287" s="4" t="n">
        <v>9</v>
      </c>
      <c r="E2287" s="4" t="s">
        <v>2238</v>
      </c>
      <c r="F2287" s="4" t="n">
        <v>44</v>
      </c>
      <c r="G2287" s="4" t="n">
        <v>2</v>
      </c>
      <c r="H2287" s="4" t="n">
        <v>4</v>
      </c>
      <c r="I2287" s="4" t="str">
        <v>×</v>
      </c>
      <c r="J2287" s="4"/>
      <c r="K2287" s="4"/>
      <c r="L2287" s="4"/>
      <c r="M2287" s="5" t="s">
        <v>1871</v>
      </c>
    </row>
    <row r="2288" customFormat="false" ht="15.75" hidden="false" customHeight="false" outlineLevel="0" collapsed="false">
      <c r="A2288" s="3" t="n">
        <v>46214</v>
      </c>
      <c r="B2288" s="4" t="s">
        <v>1237</v>
      </c>
      <c r="C2288" s="4" t="n">
        <v>8</v>
      </c>
      <c r="D2288" s="4" t="n">
        <v>10</v>
      </c>
      <c r="E2288" s="4" t="s">
        <v>2239</v>
      </c>
      <c r="F2288" s="4" t="n">
        <v>23</v>
      </c>
      <c r="G2288" s="4" t="n">
        <v>6</v>
      </c>
      <c r="H2288" s="4" t="n">
        <v>4</v>
      </c>
      <c r="I2288" s="4" t="str">
        <v>×</v>
      </c>
      <c r="J2288" s="4"/>
      <c r="K2288" s="4"/>
      <c r="L2288" s="4"/>
      <c r="M2288" s="5" t="s">
        <v>1871</v>
      </c>
    </row>
    <row r="2289" customFormat="false" ht="15.75" hidden="false" customHeight="false" outlineLevel="0" collapsed="false">
      <c r="A2289" s="3" t="n">
        <v>46214</v>
      </c>
      <c r="B2289" s="4" t="s">
        <v>1237</v>
      </c>
      <c r="C2289" s="4" t="n">
        <v>8</v>
      </c>
      <c r="D2289" s="4" t="n">
        <v>11</v>
      </c>
      <c r="E2289" s="4" t="s">
        <v>1816</v>
      </c>
      <c r="F2289" s="4" t="n">
        <v>17</v>
      </c>
      <c r="G2289" s="4" t="n">
        <v>7</v>
      </c>
      <c r="H2289" s="4" t="n">
        <v>4</v>
      </c>
      <c r="I2289" s="4" t="str">
        <v>×</v>
      </c>
      <c r="J2289" s="4"/>
      <c r="K2289" s="4"/>
      <c r="L2289" s="4"/>
      <c r="M2289" s="5" t="s">
        <v>1871</v>
      </c>
    </row>
    <row r="2290" customFormat="false" ht="15.75" hidden="false" customHeight="false" outlineLevel="0" collapsed="false">
      <c r="A2290" s="3" t="n">
        <v>46214</v>
      </c>
      <c r="B2290" s="4" t="s">
        <v>1237</v>
      </c>
      <c r="C2290" s="4" t="n">
        <v>8</v>
      </c>
      <c r="D2290" s="4" t="n">
        <v>12</v>
      </c>
      <c r="E2290" s="4" t="s">
        <v>2240</v>
      </c>
      <c r="F2290" s="4" t="n">
        <v>4</v>
      </c>
      <c r="G2290" s="4" t="n">
        <v>12</v>
      </c>
      <c r="H2290" s="4" t="n">
        <v>4</v>
      </c>
      <c r="I2290" s="4" t="str">
        <v>×</v>
      </c>
      <c r="J2290" s="4"/>
      <c r="K2290" s="4"/>
      <c r="L2290" s="4"/>
      <c r="M2290" s="5" t="s">
        <v>1871</v>
      </c>
    </row>
    <row r="2291" customFormat="false" ht="15.75" hidden="false" customHeight="false" outlineLevel="0" collapsed="false">
      <c r="A2291" s="3" t="n">
        <v>46214</v>
      </c>
      <c r="B2291" s="4" t="s">
        <v>1237</v>
      </c>
      <c r="C2291" s="4" t="n">
        <v>9</v>
      </c>
      <c r="D2291" s="4" t="n">
        <v>1</v>
      </c>
      <c r="E2291" s="4" t="s">
        <v>906</v>
      </c>
      <c r="F2291" s="4" t="n">
        <v>67</v>
      </c>
      <c r="G2291" s="4" t="n">
        <v>1</v>
      </c>
      <c r="H2291" s="4" t="n">
        <v>4</v>
      </c>
      <c r="I2291" s="4" t="str">
        <v>×</v>
      </c>
      <c r="J2291" s="4"/>
      <c r="K2291" s="4"/>
      <c r="L2291" s="4"/>
      <c r="M2291" s="5" t="s">
        <v>1871</v>
      </c>
    </row>
    <row r="2292" customFormat="false" ht="15.75" hidden="false" customHeight="false" outlineLevel="0" collapsed="false">
      <c r="A2292" s="3" t="n">
        <v>46214</v>
      </c>
      <c r="B2292" s="4" t="s">
        <v>1237</v>
      </c>
      <c r="C2292" s="4" t="n">
        <v>9</v>
      </c>
      <c r="D2292" s="4" t="n">
        <v>2</v>
      </c>
      <c r="E2292" s="4" t="s">
        <v>2241</v>
      </c>
      <c r="F2292" s="4" t="n">
        <v>3</v>
      </c>
      <c r="G2292" s="4" t="n">
        <v>10</v>
      </c>
      <c r="H2292" s="4" t="n">
        <v>4</v>
      </c>
      <c r="I2292" s="4" t="str">
        <v>×</v>
      </c>
      <c r="J2292" s="4"/>
      <c r="K2292" s="4"/>
      <c r="L2292" s="4"/>
      <c r="M2292" s="5" t="s">
        <v>1871</v>
      </c>
    </row>
    <row r="2293" customFormat="false" ht="15.75" hidden="false" customHeight="false" outlineLevel="0" collapsed="false">
      <c r="A2293" s="3" t="n">
        <v>46214</v>
      </c>
      <c r="B2293" s="4" t="s">
        <v>1237</v>
      </c>
      <c r="C2293" s="4" t="n">
        <v>9</v>
      </c>
      <c r="D2293" s="4" t="n">
        <v>3</v>
      </c>
      <c r="E2293" s="4" t="s">
        <v>2242</v>
      </c>
      <c r="F2293" s="4" t="n">
        <v>8</v>
      </c>
      <c r="G2293" s="4" t="n">
        <v>9</v>
      </c>
      <c r="H2293" s="4" t="n">
        <v>4</v>
      </c>
      <c r="I2293" s="4" t="str">
        <v>×</v>
      </c>
      <c r="J2293" s="4"/>
      <c r="K2293" s="4"/>
      <c r="L2293" s="4"/>
      <c r="M2293" s="5" t="s">
        <v>1871</v>
      </c>
    </row>
    <row r="2294" customFormat="false" ht="15.75" hidden="false" customHeight="false" outlineLevel="0" collapsed="false">
      <c r="A2294" s="3" t="n">
        <v>46214</v>
      </c>
      <c r="B2294" s="4" t="s">
        <v>1237</v>
      </c>
      <c r="C2294" s="4" t="n">
        <v>9</v>
      </c>
      <c r="D2294" s="4" t="n">
        <v>4</v>
      </c>
      <c r="E2294" s="4" t="s">
        <v>2243</v>
      </c>
      <c r="F2294" s="4" t="n">
        <v>17</v>
      </c>
      <c r="G2294" s="4" t="n">
        <v>7</v>
      </c>
      <c r="H2294" s="4" t="n">
        <v>1</v>
      </c>
      <c r="I2294" s="4" t="str">
        <v>○</v>
      </c>
      <c r="J2294" s="4" t="n">
        <v>490</v>
      </c>
      <c r="K2294" s="4"/>
      <c r="L2294" s="4"/>
      <c r="M2294" s="5" t="s">
        <v>1871</v>
      </c>
    </row>
    <row r="2295" customFormat="false" ht="15.75" hidden="false" customHeight="false" outlineLevel="0" collapsed="false">
      <c r="A2295" s="3" t="n">
        <v>46214</v>
      </c>
      <c r="B2295" s="4" t="s">
        <v>1237</v>
      </c>
      <c r="C2295" s="4" t="n">
        <v>9</v>
      </c>
      <c r="D2295" s="4" t="n">
        <v>5</v>
      </c>
      <c r="E2295" s="4" t="s">
        <v>2244</v>
      </c>
      <c r="F2295" s="4" t="n">
        <v>13</v>
      </c>
      <c r="G2295" s="4" t="n">
        <v>8</v>
      </c>
      <c r="H2295" s="4" t="n">
        <v>4</v>
      </c>
      <c r="I2295" s="4" t="str">
        <v>×</v>
      </c>
      <c r="J2295" s="4"/>
      <c r="K2295" s="4"/>
      <c r="L2295" s="4"/>
      <c r="M2295" s="5" t="s">
        <v>1871</v>
      </c>
    </row>
    <row r="2296" customFormat="false" ht="15.75" hidden="false" customHeight="false" outlineLevel="0" collapsed="false">
      <c r="A2296" s="3" t="n">
        <v>46214</v>
      </c>
      <c r="B2296" s="4" t="s">
        <v>1237</v>
      </c>
      <c r="C2296" s="4" t="n">
        <v>9</v>
      </c>
      <c r="D2296" s="4" t="n">
        <v>6</v>
      </c>
      <c r="E2296" s="4" t="s">
        <v>2245</v>
      </c>
      <c r="F2296" s="4" t="n">
        <v>58</v>
      </c>
      <c r="G2296" s="4" t="n">
        <v>2</v>
      </c>
      <c r="H2296" s="4" t="n">
        <v>4</v>
      </c>
      <c r="I2296" s="4" t="str">
        <v>×</v>
      </c>
      <c r="J2296" s="4"/>
      <c r="K2296" s="4"/>
      <c r="L2296" s="4"/>
      <c r="M2296" s="5" t="s">
        <v>1871</v>
      </c>
    </row>
    <row r="2297" customFormat="false" ht="15.75" hidden="false" customHeight="false" outlineLevel="0" collapsed="false">
      <c r="A2297" s="3" t="n">
        <v>46214</v>
      </c>
      <c r="B2297" s="4" t="s">
        <v>1237</v>
      </c>
      <c r="C2297" s="4" t="n">
        <v>9</v>
      </c>
      <c r="D2297" s="4" t="n">
        <v>7</v>
      </c>
      <c r="E2297" s="4" t="s">
        <v>2246</v>
      </c>
      <c r="F2297" s="4" t="n">
        <v>23</v>
      </c>
      <c r="G2297" s="4" t="n">
        <v>5</v>
      </c>
      <c r="H2297" s="4" t="n">
        <v>4</v>
      </c>
      <c r="I2297" s="4" t="str">
        <v>×</v>
      </c>
      <c r="J2297" s="4"/>
      <c r="K2297" s="4"/>
      <c r="L2297" s="4"/>
      <c r="M2297" s="5" t="s">
        <v>1871</v>
      </c>
    </row>
    <row r="2298" customFormat="false" ht="15.75" hidden="false" customHeight="false" outlineLevel="0" collapsed="false">
      <c r="A2298" s="3" t="n">
        <v>46214</v>
      </c>
      <c r="B2298" s="4" t="s">
        <v>1237</v>
      </c>
      <c r="C2298" s="4" t="n">
        <v>9</v>
      </c>
      <c r="D2298" s="4" t="n">
        <v>8</v>
      </c>
      <c r="E2298" s="4" t="s">
        <v>913</v>
      </c>
      <c r="F2298" s="4" t="n">
        <v>31</v>
      </c>
      <c r="G2298" s="4" t="n">
        <v>4</v>
      </c>
      <c r="H2298" s="4" t="n">
        <v>2</v>
      </c>
      <c r="I2298" s="4" t="str">
        <v>○</v>
      </c>
      <c r="J2298" s="4" t="n">
        <v>320</v>
      </c>
      <c r="K2298" s="4"/>
      <c r="L2298" s="4"/>
      <c r="M2298" s="5" t="s">
        <v>1871</v>
      </c>
    </row>
    <row r="2299" customFormat="false" ht="15.75" hidden="false" customHeight="false" outlineLevel="0" collapsed="false">
      <c r="A2299" s="3" t="n">
        <v>46214</v>
      </c>
      <c r="B2299" s="4" t="s">
        <v>1237</v>
      </c>
      <c r="C2299" s="4" t="n">
        <v>9</v>
      </c>
      <c r="D2299" s="4" t="n">
        <v>9</v>
      </c>
      <c r="E2299" s="4" t="s">
        <v>2247</v>
      </c>
      <c r="F2299" s="4" t="n">
        <v>23</v>
      </c>
      <c r="G2299" s="4" t="n">
        <v>5</v>
      </c>
      <c r="H2299" s="4" t="n">
        <v>3</v>
      </c>
      <c r="I2299" s="4" t="str">
        <v>○</v>
      </c>
      <c r="J2299" s="4" t="n">
        <v>410</v>
      </c>
      <c r="K2299" s="4"/>
      <c r="L2299" s="4"/>
      <c r="M2299" s="5" t="s">
        <v>1871</v>
      </c>
    </row>
    <row r="2300" customFormat="false" ht="15.75" hidden="false" customHeight="false" outlineLevel="0" collapsed="false">
      <c r="A2300" s="3" t="n">
        <v>46214</v>
      </c>
      <c r="B2300" s="4" t="s">
        <v>1237</v>
      </c>
      <c r="C2300" s="4" t="n">
        <v>9</v>
      </c>
      <c r="D2300" s="4" t="n">
        <v>10</v>
      </c>
      <c r="E2300" s="4" t="s">
        <v>914</v>
      </c>
      <c r="F2300" s="4" t="n">
        <v>39</v>
      </c>
      <c r="G2300" s="4" t="n">
        <v>3</v>
      </c>
      <c r="H2300" s="4" t="n">
        <v>4</v>
      </c>
      <c r="I2300" s="4" t="str">
        <v>×</v>
      </c>
      <c r="J2300" s="4"/>
      <c r="K2300" s="4"/>
      <c r="L2300" s="4"/>
      <c r="M2300" s="5" t="s">
        <v>1871</v>
      </c>
    </row>
    <row r="2301" customFormat="false" ht="15.75" hidden="false" customHeight="false" outlineLevel="0" collapsed="false">
      <c r="A2301" s="3" t="n">
        <v>46214</v>
      </c>
      <c r="B2301" s="4" t="s">
        <v>1237</v>
      </c>
      <c r="C2301" s="4" t="n">
        <v>10</v>
      </c>
      <c r="D2301" s="4" t="n">
        <v>1</v>
      </c>
      <c r="E2301" s="4" t="s">
        <v>2248</v>
      </c>
      <c r="F2301" s="4" t="n">
        <v>25</v>
      </c>
      <c r="G2301" s="4" t="n">
        <v>4</v>
      </c>
      <c r="H2301" s="4" t="n">
        <v>4</v>
      </c>
      <c r="I2301" s="4" t="str">
        <v>×</v>
      </c>
      <c r="J2301" s="4"/>
      <c r="K2301" s="4"/>
      <c r="L2301" s="4"/>
      <c r="M2301" s="5" t="s">
        <v>1871</v>
      </c>
    </row>
    <row r="2302" customFormat="false" ht="15.75" hidden="false" customHeight="false" outlineLevel="0" collapsed="false">
      <c r="A2302" s="3" t="n">
        <v>46214</v>
      </c>
      <c r="B2302" s="4" t="s">
        <v>1237</v>
      </c>
      <c r="C2302" s="4" t="n">
        <v>10</v>
      </c>
      <c r="D2302" s="4" t="n">
        <v>2</v>
      </c>
      <c r="E2302" s="4" t="s">
        <v>2249</v>
      </c>
      <c r="F2302" s="4" t="n">
        <v>62</v>
      </c>
      <c r="G2302" s="4" t="n">
        <v>1</v>
      </c>
      <c r="H2302" s="4" t="n">
        <v>2</v>
      </c>
      <c r="I2302" s="4" t="str">
        <v>○</v>
      </c>
      <c r="J2302" s="4" t="n">
        <v>150</v>
      </c>
      <c r="K2302" s="4"/>
      <c r="L2302" s="4"/>
      <c r="M2302" s="5" t="s">
        <v>1871</v>
      </c>
    </row>
    <row r="2303" customFormat="false" ht="15.75" hidden="false" customHeight="false" outlineLevel="0" collapsed="false">
      <c r="A2303" s="3" t="n">
        <v>46214</v>
      </c>
      <c r="B2303" s="4" t="s">
        <v>1237</v>
      </c>
      <c r="C2303" s="4" t="n">
        <v>10</v>
      </c>
      <c r="D2303" s="4" t="n">
        <v>3</v>
      </c>
      <c r="E2303" s="4" t="s">
        <v>2250</v>
      </c>
      <c r="F2303" s="4" t="n">
        <v>15</v>
      </c>
      <c r="G2303" s="4" t="n">
        <v>9</v>
      </c>
      <c r="H2303" s="4" t="n">
        <v>4</v>
      </c>
      <c r="I2303" s="4" t="str">
        <v>×</v>
      </c>
      <c r="J2303" s="4"/>
      <c r="K2303" s="4"/>
      <c r="L2303" s="4"/>
      <c r="M2303" s="5" t="s">
        <v>1871</v>
      </c>
    </row>
    <row r="2304" customFormat="false" ht="15.75" hidden="false" customHeight="false" outlineLevel="0" collapsed="false">
      <c r="A2304" s="3" t="n">
        <v>46214</v>
      </c>
      <c r="B2304" s="4" t="s">
        <v>1237</v>
      </c>
      <c r="C2304" s="4" t="n">
        <v>10</v>
      </c>
      <c r="D2304" s="4" t="n">
        <v>4</v>
      </c>
      <c r="E2304" s="4" t="s">
        <v>2251</v>
      </c>
      <c r="F2304" s="4" t="n">
        <v>31</v>
      </c>
      <c r="G2304" s="4" t="n">
        <v>3</v>
      </c>
      <c r="H2304" s="4" t="n">
        <v>4</v>
      </c>
      <c r="I2304" s="4" t="str">
        <v>×</v>
      </c>
      <c r="J2304" s="4"/>
      <c r="K2304" s="4"/>
      <c r="L2304" s="4"/>
      <c r="M2304" s="5" t="s">
        <v>1871</v>
      </c>
    </row>
    <row r="2305" customFormat="false" ht="15.75" hidden="false" customHeight="false" outlineLevel="0" collapsed="false">
      <c r="A2305" s="3" t="n">
        <v>46214</v>
      </c>
      <c r="B2305" s="4" t="s">
        <v>1237</v>
      </c>
      <c r="C2305" s="4" t="n">
        <v>10</v>
      </c>
      <c r="D2305" s="4" t="n">
        <v>5</v>
      </c>
      <c r="E2305" s="4" t="s">
        <v>2252</v>
      </c>
      <c r="F2305" s="4" t="n">
        <v>25</v>
      </c>
      <c r="G2305" s="4" t="n">
        <v>4</v>
      </c>
      <c r="H2305" s="4" t="n">
        <v>4</v>
      </c>
      <c r="I2305" s="4" t="str">
        <v>×</v>
      </c>
      <c r="J2305" s="4"/>
      <c r="K2305" s="4"/>
      <c r="L2305" s="4"/>
      <c r="M2305" s="5" t="s">
        <v>1871</v>
      </c>
    </row>
    <row r="2306" customFormat="false" ht="15.75" hidden="false" customHeight="false" outlineLevel="0" collapsed="false">
      <c r="A2306" s="3" t="n">
        <v>46214</v>
      </c>
      <c r="B2306" s="4" t="s">
        <v>1237</v>
      </c>
      <c r="C2306" s="4" t="n">
        <v>10</v>
      </c>
      <c r="D2306" s="4" t="n">
        <v>6</v>
      </c>
      <c r="E2306" s="4" t="s">
        <v>2253</v>
      </c>
      <c r="F2306" s="4" t="n">
        <v>20</v>
      </c>
      <c r="G2306" s="4" t="n">
        <v>7</v>
      </c>
      <c r="H2306" s="4" t="n">
        <v>3</v>
      </c>
      <c r="I2306" s="4" t="str">
        <v>○</v>
      </c>
      <c r="J2306" s="4" t="n">
        <v>620</v>
      </c>
      <c r="K2306" s="4"/>
      <c r="L2306" s="4"/>
      <c r="M2306" s="5" t="s">
        <v>1871</v>
      </c>
    </row>
    <row r="2307" customFormat="false" ht="15.75" hidden="false" customHeight="false" outlineLevel="0" collapsed="false">
      <c r="A2307" s="3" t="n">
        <v>46214</v>
      </c>
      <c r="B2307" s="4" t="s">
        <v>1237</v>
      </c>
      <c r="C2307" s="4" t="n">
        <v>10</v>
      </c>
      <c r="D2307" s="4" t="n">
        <v>7</v>
      </c>
      <c r="E2307" s="4" t="s">
        <v>452</v>
      </c>
      <c r="F2307" s="4" t="n">
        <v>37</v>
      </c>
      <c r="G2307" s="4" t="n">
        <v>2</v>
      </c>
      <c r="H2307" s="4" t="n">
        <v>1</v>
      </c>
      <c r="I2307" s="4" t="str">
        <v>○</v>
      </c>
      <c r="J2307" s="4" t="n">
        <v>190</v>
      </c>
      <c r="K2307" s="4"/>
      <c r="L2307" s="4"/>
      <c r="M2307" s="5" t="s">
        <v>1871</v>
      </c>
    </row>
    <row r="2308" customFormat="false" ht="15.75" hidden="false" customHeight="false" outlineLevel="0" collapsed="false">
      <c r="A2308" s="3" t="n">
        <v>46214</v>
      </c>
      <c r="B2308" s="4" t="s">
        <v>1237</v>
      </c>
      <c r="C2308" s="4" t="n">
        <v>10</v>
      </c>
      <c r="D2308" s="4" t="n">
        <v>8</v>
      </c>
      <c r="E2308" s="4" t="s">
        <v>2254</v>
      </c>
      <c r="F2308" s="4" t="n">
        <v>4</v>
      </c>
      <c r="G2308" s="4" t="n">
        <v>12</v>
      </c>
      <c r="H2308" s="4" t="n">
        <v>4</v>
      </c>
      <c r="I2308" s="4" t="str">
        <v>×</v>
      </c>
      <c r="J2308" s="4"/>
      <c r="K2308" s="4"/>
      <c r="L2308" s="4"/>
      <c r="M2308" s="5" t="s">
        <v>1871</v>
      </c>
    </row>
    <row r="2309" customFormat="false" ht="15.75" hidden="false" customHeight="false" outlineLevel="0" collapsed="false">
      <c r="A2309" s="3" t="n">
        <v>46214</v>
      </c>
      <c r="B2309" s="4" t="s">
        <v>1237</v>
      </c>
      <c r="C2309" s="4" t="n">
        <v>10</v>
      </c>
      <c r="D2309" s="4" t="n">
        <v>9</v>
      </c>
      <c r="E2309" s="4" t="s">
        <v>884</v>
      </c>
      <c r="F2309" s="4" t="n">
        <v>17</v>
      </c>
      <c r="G2309" s="4" t="n">
        <v>8</v>
      </c>
      <c r="H2309" s="4" t="n">
        <v>4</v>
      </c>
      <c r="I2309" s="4" t="str">
        <v>×</v>
      </c>
      <c r="J2309" s="4"/>
      <c r="K2309" s="4"/>
      <c r="L2309" s="4"/>
      <c r="M2309" s="5" t="s">
        <v>1871</v>
      </c>
    </row>
    <row r="2310" customFormat="false" ht="15.75" hidden="false" customHeight="false" outlineLevel="0" collapsed="false">
      <c r="A2310" s="3" t="n">
        <v>46214</v>
      </c>
      <c r="B2310" s="4" t="s">
        <v>1237</v>
      </c>
      <c r="C2310" s="4" t="n">
        <v>10</v>
      </c>
      <c r="D2310" s="4" t="n">
        <v>10</v>
      </c>
      <c r="E2310" s="4" t="s">
        <v>2255</v>
      </c>
      <c r="F2310" s="4" t="n">
        <v>13</v>
      </c>
      <c r="G2310" s="4" t="n">
        <v>10</v>
      </c>
      <c r="H2310" s="4" t="n">
        <v>4</v>
      </c>
      <c r="I2310" s="4" t="str">
        <v>×</v>
      </c>
      <c r="J2310" s="4"/>
      <c r="K2310" s="4"/>
      <c r="L2310" s="4"/>
      <c r="M2310" s="5" t="s">
        <v>1871</v>
      </c>
    </row>
    <row r="2311" customFormat="false" ht="15.75" hidden="false" customHeight="false" outlineLevel="0" collapsed="false">
      <c r="A2311" s="3" t="n">
        <v>46214</v>
      </c>
      <c r="B2311" s="4" t="s">
        <v>1237</v>
      </c>
      <c r="C2311" s="4" t="n">
        <v>10</v>
      </c>
      <c r="D2311" s="4" t="n">
        <v>11</v>
      </c>
      <c r="E2311" s="4" t="s">
        <v>2256</v>
      </c>
      <c r="F2311" s="4" t="n">
        <v>2</v>
      </c>
      <c r="G2311" s="4" t="n">
        <v>14</v>
      </c>
      <c r="H2311" s="4" t="n">
        <v>4</v>
      </c>
      <c r="I2311" s="4" t="str">
        <v>×</v>
      </c>
      <c r="J2311" s="4"/>
      <c r="K2311" s="4"/>
      <c r="L2311" s="4"/>
      <c r="M2311" s="5" t="s">
        <v>1871</v>
      </c>
    </row>
    <row r="2312" customFormat="false" ht="15.75" hidden="false" customHeight="false" outlineLevel="0" collapsed="false">
      <c r="A2312" s="3" t="n">
        <v>46214</v>
      </c>
      <c r="B2312" s="4" t="s">
        <v>1237</v>
      </c>
      <c r="C2312" s="4" t="n">
        <v>10</v>
      </c>
      <c r="D2312" s="4" t="n">
        <v>12</v>
      </c>
      <c r="E2312" s="4" t="s">
        <v>2257</v>
      </c>
      <c r="F2312" s="4" t="n">
        <v>25</v>
      </c>
      <c r="G2312" s="4" t="n">
        <v>4</v>
      </c>
      <c r="H2312" s="4" t="n">
        <v>4</v>
      </c>
      <c r="I2312" s="4" t="str">
        <v>×</v>
      </c>
      <c r="J2312" s="4"/>
      <c r="K2312" s="4"/>
      <c r="L2312" s="4"/>
      <c r="M2312" s="5" t="s">
        <v>1871</v>
      </c>
    </row>
    <row r="2313" customFormat="false" ht="15.75" hidden="false" customHeight="false" outlineLevel="0" collapsed="false">
      <c r="A2313" s="3" t="n">
        <v>46214</v>
      </c>
      <c r="B2313" s="4" t="s">
        <v>1237</v>
      </c>
      <c r="C2313" s="4" t="n">
        <v>10</v>
      </c>
      <c r="D2313" s="4" t="n">
        <v>13</v>
      </c>
      <c r="E2313" s="4" t="s">
        <v>2258</v>
      </c>
      <c r="F2313" s="4" t="n">
        <v>3</v>
      </c>
      <c r="G2313" s="4" t="n">
        <v>13</v>
      </c>
      <c r="H2313" s="4" t="n">
        <v>4</v>
      </c>
      <c r="I2313" s="4" t="str">
        <v>×</v>
      </c>
      <c r="J2313" s="4"/>
      <c r="K2313" s="4"/>
      <c r="L2313" s="4"/>
      <c r="M2313" s="5" t="s">
        <v>1871</v>
      </c>
    </row>
    <row r="2314" customFormat="false" ht="15.75" hidden="false" customHeight="false" outlineLevel="0" collapsed="false">
      <c r="A2314" s="3" t="n">
        <v>46214</v>
      </c>
      <c r="B2314" s="4" t="s">
        <v>1237</v>
      </c>
      <c r="C2314" s="4" t="n">
        <v>10</v>
      </c>
      <c r="D2314" s="4" t="n">
        <v>14</v>
      </c>
      <c r="E2314" s="4" t="s">
        <v>1351</v>
      </c>
      <c r="F2314" s="4" t="n">
        <v>6</v>
      </c>
      <c r="G2314" s="4" t="n">
        <v>11</v>
      </c>
      <c r="H2314" s="4" t="n">
        <v>4</v>
      </c>
      <c r="I2314" s="4" t="str">
        <v>×</v>
      </c>
      <c r="J2314" s="4"/>
      <c r="K2314" s="4"/>
      <c r="L2314" s="4"/>
      <c r="M2314" s="5" t="s">
        <v>1871</v>
      </c>
    </row>
    <row r="2315" customFormat="false" ht="15.75" hidden="false" customHeight="false" outlineLevel="0" collapsed="false">
      <c r="A2315" s="3" t="n">
        <v>46214</v>
      </c>
      <c r="B2315" s="4" t="s">
        <v>1237</v>
      </c>
      <c r="C2315" s="4" t="n">
        <v>11</v>
      </c>
      <c r="D2315" s="4" t="n">
        <v>1</v>
      </c>
      <c r="E2315" s="4" t="s">
        <v>2259</v>
      </c>
      <c r="F2315" s="4" t="n">
        <v>37</v>
      </c>
      <c r="G2315" s="4" t="n">
        <v>3</v>
      </c>
      <c r="H2315" s="4" t="n">
        <v>1</v>
      </c>
      <c r="I2315" s="4" t="str">
        <v>○</v>
      </c>
      <c r="J2315" s="4" t="n">
        <v>190</v>
      </c>
      <c r="K2315" s="4"/>
      <c r="L2315" s="4"/>
      <c r="M2315" s="5" t="s">
        <v>1871</v>
      </c>
    </row>
    <row r="2316" customFormat="false" ht="15.75" hidden="false" customHeight="false" outlineLevel="0" collapsed="false">
      <c r="A2316" s="3" t="n">
        <v>46214</v>
      </c>
      <c r="B2316" s="4" t="s">
        <v>1237</v>
      </c>
      <c r="C2316" s="4" t="n">
        <v>11</v>
      </c>
      <c r="D2316" s="4" t="n">
        <v>2</v>
      </c>
      <c r="E2316" s="4" t="s">
        <v>2260</v>
      </c>
      <c r="F2316" s="4" t="n">
        <v>31</v>
      </c>
      <c r="G2316" s="4" t="n">
        <v>6</v>
      </c>
      <c r="H2316" s="4" t="n">
        <v>3</v>
      </c>
      <c r="I2316" s="4" t="str">
        <v>○</v>
      </c>
      <c r="J2316" s="4" t="n">
        <v>690</v>
      </c>
      <c r="K2316" s="4"/>
      <c r="L2316" s="4"/>
      <c r="M2316" s="5" t="s">
        <v>1871</v>
      </c>
    </row>
    <row r="2317" customFormat="false" ht="15.75" hidden="false" customHeight="false" outlineLevel="0" collapsed="false">
      <c r="A2317" s="3" t="n">
        <v>46214</v>
      </c>
      <c r="B2317" s="4" t="s">
        <v>1237</v>
      </c>
      <c r="C2317" s="4" t="n">
        <v>11</v>
      </c>
      <c r="D2317" s="4" t="n">
        <v>3</v>
      </c>
      <c r="E2317" s="4" t="s">
        <v>2261</v>
      </c>
      <c r="F2317" s="4" t="n">
        <v>44</v>
      </c>
      <c r="G2317" s="4" t="n">
        <v>1</v>
      </c>
      <c r="H2317" s="4" t="n">
        <v>2</v>
      </c>
      <c r="I2317" s="4" t="str">
        <v>○</v>
      </c>
      <c r="J2317" s="4" t="n">
        <v>190</v>
      </c>
      <c r="K2317" s="4"/>
      <c r="L2317" s="4"/>
      <c r="M2317" s="5" t="s">
        <v>1871</v>
      </c>
    </row>
    <row r="2318" customFormat="false" ht="15.75" hidden="false" customHeight="false" outlineLevel="0" collapsed="false">
      <c r="A2318" s="3" t="n">
        <v>46214</v>
      </c>
      <c r="B2318" s="4" t="s">
        <v>1237</v>
      </c>
      <c r="C2318" s="4" t="n">
        <v>11</v>
      </c>
      <c r="D2318" s="4" t="n">
        <v>4</v>
      </c>
      <c r="E2318" s="4" t="s">
        <v>2262</v>
      </c>
      <c r="F2318" s="4" t="n">
        <v>8</v>
      </c>
      <c r="G2318" s="4" t="n">
        <v>13</v>
      </c>
      <c r="H2318" s="4" t="n">
        <v>4</v>
      </c>
      <c r="I2318" s="4" t="str">
        <v>×</v>
      </c>
      <c r="J2318" s="4"/>
      <c r="K2318" s="4"/>
      <c r="L2318" s="4"/>
      <c r="M2318" s="5" t="s">
        <v>1871</v>
      </c>
    </row>
    <row r="2319" customFormat="false" ht="15.75" hidden="false" customHeight="false" outlineLevel="0" collapsed="false">
      <c r="A2319" s="3" t="n">
        <v>46214</v>
      </c>
      <c r="B2319" s="4" t="s">
        <v>1237</v>
      </c>
      <c r="C2319" s="4" t="n">
        <v>11</v>
      </c>
      <c r="D2319" s="4" t="n">
        <v>5</v>
      </c>
      <c r="E2319" s="4" t="s">
        <v>2263</v>
      </c>
      <c r="F2319" s="4" t="n">
        <v>25</v>
      </c>
      <c r="G2319" s="4" t="n">
        <v>7</v>
      </c>
      <c r="H2319" s="4" t="n">
        <v>4</v>
      </c>
      <c r="I2319" s="4" t="str">
        <v>×</v>
      </c>
      <c r="J2319" s="4"/>
      <c r="K2319" s="4"/>
      <c r="L2319" s="4"/>
      <c r="M2319" s="5" t="s">
        <v>1871</v>
      </c>
    </row>
    <row r="2320" customFormat="false" ht="15.75" hidden="false" customHeight="false" outlineLevel="0" collapsed="false">
      <c r="A2320" s="3" t="n">
        <v>46214</v>
      </c>
      <c r="B2320" s="4" t="s">
        <v>1237</v>
      </c>
      <c r="C2320" s="4" t="n">
        <v>11</v>
      </c>
      <c r="D2320" s="4" t="n">
        <v>6</v>
      </c>
      <c r="E2320" s="4" t="s">
        <v>2264</v>
      </c>
      <c r="F2320" s="4" t="n">
        <v>37</v>
      </c>
      <c r="G2320" s="4" t="n">
        <v>3</v>
      </c>
      <c r="H2320" s="4" t="n">
        <v>4</v>
      </c>
      <c r="I2320" s="4" t="str">
        <v>×</v>
      </c>
      <c r="J2320" s="4"/>
      <c r="K2320" s="4"/>
      <c r="L2320" s="4"/>
      <c r="M2320" s="5" t="s">
        <v>1871</v>
      </c>
    </row>
    <row r="2321" customFormat="false" ht="15.75" hidden="false" customHeight="false" outlineLevel="0" collapsed="false">
      <c r="A2321" s="3" t="n">
        <v>46214</v>
      </c>
      <c r="B2321" s="4" t="s">
        <v>1237</v>
      </c>
      <c r="C2321" s="4" t="n">
        <v>11</v>
      </c>
      <c r="D2321" s="4" t="n">
        <v>7</v>
      </c>
      <c r="E2321" s="4" t="s">
        <v>2265</v>
      </c>
      <c r="F2321" s="4" t="n">
        <v>34</v>
      </c>
      <c r="G2321" s="4" t="n">
        <v>5</v>
      </c>
      <c r="H2321" s="4" t="n">
        <v>4</v>
      </c>
      <c r="I2321" s="4" t="str">
        <v>×</v>
      </c>
      <c r="J2321" s="4"/>
      <c r="K2321" s="4"/>
      <c r="L2321" s="4"/>
      <c r="M2321" s="5" t="s">
        <v>1871</v>
      </c>
    </row>
    <row r="2322" customFormat="false" ht="15.75" hidden="false" customHeight="false" outlineLevel="0" collapsed="false">
      <c r="A2322" s="3" t="n">
        <v>46214</v>
      </c>
      <c r="B2322" s="4" t="s">
        <v>1237</v>
      </c>
      <c r="C2322" s="4" t="n">
        <v>11</v>
      </c>
      <c r="D2322" s="4" t="n">
        <v>8</v>
      </c>
      <c r="E2322" s="4" t="s">
        <v>2266</v>
      </c>
      <c r="F2322" s="4" t="n">
        <v>41</v>
      </c>
      <c r="G2322" s="4" t="n">
        <v>2</v>
      </c>
      <c r="H2322" s="4" t="n">
        <v>4</v>
      </c>
      <c r="I2322" s="4" t="str">
        <v>×</v>
      </c>
      <c r="J2322" s="4"/>
      <c r="K2322" s="4"/>
      <c r="L2322" s="4"/>
      <c r="M2322" s="5" t="s">
        <v>1871</v>
      </c>
    </row>
    <row r="2323" customFormat="false" ht="15.75" hidden="false" customHeight="false" outlineLevel="0" collapsed="false">
      <c r="A2323" s="3" t="n">
        <v>46214</v>
      </c>
      <c r="B2323" s="4" t="s">
        <v>1237</v>
      </c>
      <c r="C2323" s="4" t="n">
        <v>11</v>
      </c>
      <c r="D2323" s="4" t="n">
        <v>9</v>
      </c>
      <c r="E2323" s="4" t="s">
        <v>2267</v>
      </c>
      <c r="F2323" s="4" t="n">
        <v>13</v>
      </c>
      <c r="G2323" s="4" t="n">
        <v>9</v>
      </c>
      <c r="H2323" s="4" t="n">
        <v>4</v>
      </c>
      <c r="I2323" s="4" t="str">
        <v>×</v>
      </c>
      <c r="J2323" s="4"/>
      <c r="K2323" s="4"/>
      <c r="L2323" s="4"/>
      <c r="M2323" s="5" t="s">
        <v>1871</v>
      </c>
    </row>
    <row r="2324" customFormat="false" ht="15.75" hidden="false" customHeight="false" outlineLevel="0" collapsed="false">
      <c r="A2324" s="3" t="n">
        <v>46214</v>
      </c>
      <c r="B2324" s="4" t="s">
        <v>1237</v>
      </c>
      <c r="C2324" s="4" t="n">
        <v>11</v>
      </c>
      <c r="D2324" s="4" t="n">
        <v>10</v>
      </c>
      <c r="E2324" s="4" t="s">
        <v>2268</v>
      </c>
      <c r="F2324" s="4" t="n">
        <v>20</v>
      </c>
      <c r="G2324" s="4" t="n">
        <v>8</v>
      </c>
      <c r="H2324" s="4" t="n">
        <v>4</v>
      </c>
      <c r="I2324" s="4" t="str">
        <v>×</v>
      </c>
      <c r="J2324" s="4"/>
      <c r="K2324" s="4"/>
      <c r="L2324" s="4"/>
      <c r="M2324" s="5" t="s">
        <v>1871</v>
      </c>
    </row>
    <row r="2325" customFormat="false" ht="15.75" hidden="false" customHeight="false" outlineLevel="0" collapsed="false">
      <c r="A2325" s="3" t="n">
        <v>46214</v>
      </c>
      <c r="B2325" s="4" t="s">
        <v>1237</v>
      </c>
      <c r="C2325" s="4" t="n">
        <v>11</v>
      </c>
      <c r="D2325" s="4" t="n">
        <v>11</v>
      </c>
      <c r="E2325" s="4" t="s">
        <v>2269</v>
      </c>
      <c r="F2325" s="4" t="n">
        <v>10</v>
      </c>
      <c r="G2325" s="4" t="n">
        <v>10</v>
      </c>
      <c r="H2325" s="4" t="n">
        <v>4</v>
      </c>
      <c r="I2325" s="4" t="str">
        <v>×</v>
      </c>
      <c r="J2325" s="4"/>
      <c r="K2325" s="4"/>
      <c r="L2325" s="4"/>
      <c r="M2325" s="5" t="s">
        <v>1871</v>
      </c>
    </row>
    <row r="2326" customFormat="false" ht="15.75" hidden="false" customHeight="false" outlineLevel="0" collapsed="false">
      <c r="A2326" s="3" t="n">
        <v>46214</v>
      </c>
      <c r="B2326" s="4" t="s">
        <v>1237</v>
      </c>
      <c r="C2326" s="4" t="n">
        <v>11</v>
      </c>
      <c r="D2326" s="4" t="n">
        <v>12</v>
      </c>
      <c r="E2326" s="4" t="s">
        <v>2270</v>
      </c>
      <c r="F2326" s="4" t="n">
        <v>10</v>
      </c>
      <c r="G2326" s="4" t="n">
        <v>10</v>
      </c>
      <c r="H2326" s="4" t="n">
        <v>4</v>
      </c>
      <c r="I2326" s="4" t="str">
        <v>×</v>
      </c>
      <c r="J2326" s="4"/>
      <c r="K2326" s="4"/>
      <c r="L2326" s="4"/>
      <c r="M2326" s="5" t="s">
        <v>1871</v>
      </c>
    </row>
    <row r="2327" customFormat="false" ht="15.75" hidden="false" customHeight="false" outlineLevel="0" collapsed="false">
      <c r="A2327" s="3" t="n">
        <v>46214</v>
      </c>
      <c r="B2327" s="4" t="s">
        <v>1237</v>
      </c>
      <c r="C2327" s="4" t="n">
        <v>11</v>
      </c>
      <c r="D2327" s="4" t="n">
        <v>13</v>
      </c>
      <c r="E2327" s="4" t="s">
        <v>2271</v>
      </c>
      <c r="F2327" s="4" t="n">
        <v>10</v>
      </c>
      <c r="G2327" s="4" t="n">
        <v>10</v>
      </c>
      <c r="H2327" s="4" t="n">
        <v>4</v>
      </c>
      <c r="I2327" s="4" t="str">
        <v>×</v>
      </c>
      <c r="J2327" s="4"/>
      <c r="K2327" s="4"/>
      <c r="L2327" s="4"/>
      <c r="M2327" s="5" t="s">
        <v>1871</v>
      </c>
    </row>
    <row r="2328" customFormat="false" ht="15.75" hidden="false" customHeight="false" outlineLevel="0" collapsed="false">
      <c r="A2328" s="3" t="n">
        <v>46214</v>
      </c>
      <c r="B2328" s="4" t="s">
        <v>1237</v>
      </c>
      <c r="C2328" s="4" t="n">
        <v>12</v>
      </c>
      <c r="D2328" s="4" t="n">
        <v>1</v>
      </c>
      <c r="E2328" s="4" t="s">
        <v>2272</v>
      </c>
      <c r="F2328" s="4" t="n">
        <v>81</v>
      </c>
      <c r="G2328" s="4" t="n">
        <v>1</v>
      </c>
      <c r="H2328" s="4" t="n">
        <v>1</v>
      </c>
      <c r="I2328" s="4" t="str">
        <v>○</v>
      </c>
      <c r="J2328" s="4" t="n">
        <v>110</v>
      </c>
      <c r="K2328" s="4" t="n">
        <v>1.1</v>
      </c>
      <c r="L2328" s="4" t="n">
        <v>1.1</v>
      </c>
      <c r="M2328" s="5" t="s">
        <v>1871</v>
      </c>
    </row>
    <row r="2329" customFormat="false" ht="15.75" hidden="false" customHeight="false" outlineLevel="0" collapsed="false">
      <c r="A2329" s="3" t="n">
        <v>46214</v>
      </c>
      <c r="B2329" s="4" t="s">
        <v>1237</v>
      </c>
      <c r="C2329" s="4" t="n">
        <v>12</v>
      </c>
      <c r="D2329" s="4" t="n">
        <v>2</v>
      </c>
      <c r="E2329" s="4" t="s">
        <v>2273</v>
      </c>
      <c r="F2329" s="4" t="n">
        <v>17</v>
      </c>
      <c r="G2329" s="4" t="n">
        <v>7</v>
      </c>
      <c r="H2329" s="4" t="n">
        <v>4</v>
      </c>
      <c r="I2329" s="4" t="str">
        <v>×</v>
      </c>
      <c r="J2329" s="4"/>
      <c r="K2329" s="4"/>
      <c r="L2329" s="4"/>
      <c r="M2329" s="5" t="s">
        <v>1871</v>
      </c>
    </row>
    <row r="2330" customFormat="false" ht="15.75" hidden="false" customHeight="false" outlineLevel="0" collapsed="false">
      <c r="A2330" s="3" t="n">
        <v>46214</v>
      </c>
      <c r="B2330" s="4" t="s">
        <v>1237</v>
      </c>
      <c r="C2330" s="4" t="n">
        <v>12</v>
      </c>
      <c r="D2330" s="4" t="n">
        <v>3</v>
      </c>
      <c r="E2330" s="4" t="s">
        <v>2274</v>
      </c>
      <c r="F2330" s="4" t="n">
        <v>34</v>
      </c>
      <c r="G2330" s="4" t="n">
        <v>3</v>
      </c>
      <c r="H2330" s="4" t="n">
        <v>4</v>
      </c>
      <c r="I2330" s="4" t="str">
        <v>×</v>
      </c>
      <c r="J2330" s="4"/>
      <c r="K2330" s="4"/>
      <c r="L2330" s="4"/>
      <c r="M2330" s="5" t="s">
        <v>1871</v>
      </c>
    </row>
    <row r="2331" customFormat="false" ht="15.75" hidden="false" customHeight="false" outlineLevel="0" collapsed="false">
      <c r="A2331" s="3" t="n">
        <v>46214</v>
      </c>
      <c r="B2331" s="4" t="s">
        <v>1237</v>
      </c>
      <c r="C2331" s="4" t="n">
        <v>12</v>
      </c>
      <c r="D2331" s="4" t="n">
        <v>4</v>
      </c>
      <c r="E2331" s="4" t="s">
        <v>1810</v>
      </c>
      <c r="F2331" s="4" t="n">
        <v>52</v>
      </c>
      <c r="G2331" s="4" t="n">
        <v>2</v>
      </c>
      <c r="H2331" s="4" t="n">
        <v>2</v>
      </c>
      <c r="I2331" s="4" t="str">
        <v>○</v>
      </c>
      <c r="J2331" s="4" t="n">
        <v>480</v>
      </c>
      <c r="K2331" s="4"/>
      <c r="L2331" s="4"/>
      <c r="M2331" s="5" t="s">
        <v>1871</v>
      </c>
    </row>
    <row r="2332" customFormat="false" ht="15.75" hidden="false" customHeight="false" outlineLevel="0" collapsed="false">
      <c r="A2332" s="3" t="n">
        <v>46214</v>
      </c>
      <c r="B2332" s="4" t="s">
        <v>1237</v>
      </c>
      <c r="C2332" s="4" t="n">
        <v>12</v>
      </c>
      <c r="D2332" s="4" t="n">
        <v>5</v>
      </c>
      <c r="E2332" s="4" t="s">
        <v>1815</v>
      </c>
      <c r="F2332" s="4" t="n">
        <v>25</v>
      </c>
      <c r="G2332" s="4" t="n">
        <v>5</v>
      </c>
      <c r="H2332" s="4" t="n">
        <v>4</v>
      </c>
      <c r="I2332" s="4" t="str">
        <v>×</v>
      </c>
      <c r="J2332" s="4"/>
      <c r="K2332" s="4"/>
      <c r="L2332" s="4"/>
      <c r="M2332" s="5" t="s">
        <v>1871</v>
      </c>
    </row>
    <row r="2333" customFormat="false" ht="15.75" hidden="false" customHeight="false" outlineLevel="0" collapsed="false">
      <c r="A2333" s="3" t="n">
        <v>46214</v>
      </c>
      <c r="B2333" s="4" t="s">
        <v>1237</v>
      </c>
      <c r="C2333" s="4" t="n">
        <v>12</v>
      </c>
      <c r="D2333" s="4" t="n">
        <v>6</v>
      </c>
      <c r="E2333" s="4" t="s">
        <v>2275</v>
      </c>
      <c r="F2333" s="4" t="n">
        <v>1</v>
      </c>
      <c r="G2333" s="4" t="n">
        <v>8</v>
      </c>
      <c r="H2333" s="4" t="n">
        <v>4</v>
      </c>
      <c r="I2333" s="4" t="str">
        <v>×</v>
      </c>
      <c r="J2333" s="4"/>
      <c r="K2333" s="4"/>
      <c r="L2333" s="4"/>
      <c r="M2333" s="5" t="s">
        <v>1871</v>
      </c>
    </row>
    <row r="2334" customFormat="false" ht="15.75" hidden="false" customHeight="false" outlineLevel="0" collapsed="false">
      <c r="A2334" s="3" t="n">
        <v>46214</v>
      </c>
      <c r="B2334" s="4" t="s">
        <v>1237</v>
      </c>
      <c r="C2334" s="4" t="n">
        <v>12</v>
      </c>
      <c r="D2334" s="4" t="n">
        <v>7</v>
      </c>
      <c r="E2334" s="4" t="s">
        <v>2276</v>
      </c>
      <c r="F2334" s="4" t="n">
        <v>31</v>
      </c>
      <c r="G2334" s="4" t="n">
        <v>4</v>
      </c>
      <c r="H2334" s="4" t="n">
        <v>4</v>
      </c>
      <c r="I2334" s="4" t="str">
        <v>×</v>
      </c>
      <c r="J2334" s="4"/>
      <c r="K2334" s="4"/>
      <c r="L2334" s="4"/>
      <c r="M2334" s="5" t="s">
        <v>1871</v>
      </c>
    </row>
    <row r="2335" customFormat="false" ht="15.75" hidden="false" customHeight="false" outlineLevel="0" collapsed="false">
      <c r="A2335" s="3" t="n">
        <v>46214</v>
      </c>
      <c r="B2335" s="4" t="s">
        <v>1237</v>
      </c>
      <c r="C2335" s="4" t="n">
        <v>12</v>
      </c>
      <c r="D2335" s="4" t="n">
        <v>8</v>
      </c>
      <c r="E2335" s="4" t="s">
        <v>858</v>
      </c>
      <c r="F2335" s="4" t="n">
        <v>23</v>
      </c>
      <c r="G2335" s="4" t="n">
        <v>6</v>
      </c>
      <c r="H2335" s="4" t="n">
        <v>3</v>
      </c>
      <c r="I2335" s="4" t="str">
        <v>○</v>
      </c>
      <c r="J2335" s="4" t="n">
        <v>7470</v>
      </c>
      <c r="K2335" s="4"/>
      <c r="L2335" s="4"/>
      <c r="M2335" s="5" t="s">
        <v>1871</v>
      </c>
    </row>
    <row r="2336" customFormat="false" ht="15.75" hidden="false" customHeight="false" outlineLevel="0" collapsed="false">
      <c r="A2336" s="3" t="n">
        <v>46215</v>
      </c>
      <c r="B2336" s="4" t="s">
        <v>915</v>
      </c>
      <c r="C2336" s="4" t="n">
        <v>1</v>
      </c>
      <c r="D2336" s="4" t="n">
        <v>1</v>
      </c>
      <c r="E2336" s="4" t="s">
        <v>2277</v>
      </c>
      <c r="F2336" s="4" t="n">
        <v>55</v>
      </c>
      <c r="G2336" s="4" t="n">
        <v>1</v>
      </c>
      <c r="H2336" s="4" t="n">
        <v>4</v>
      </c>
      <c r="I2336" s="4" t="str">
        <v>×</v>
      </c>
      <c r="J2336" s="4"/>
      <c r="K2336" s="4"/>
      <c r="L2336" s="4"/>
      <c r="M2336" s="5" t="s">
        <v>1871</v>
      </c>
    </row>
    <row r="2337" customFormat="false" ht="15.75" hidden="false" customHeight="false" outlineLevel="0" collapsed="false">
      <c r="A2337" s="3" t="n">
        <v>46215</v>
      </c>
      <c r="B2337" s="4" t="s">
        <v>915</v>
      </c>
      <c r="C2337" s="4" t="n">
        <v>1</v>
      </c>
      <c r="D2337" s="4" t="n">
        <v>2</v>
      </c>
      <c r="E2337" s="4" t="s">
        <v>2278</v>
      </c>
      <c r="F2337" s="4" t="n">
        <v>37</v>
      </c>
      <c r="G2337" s="4" t="n">
        <v>3</v>
      </c>
      <c r="H2337" s="4" t="n">
        <v>4</v>
      </c>
      <c r="I2337" s="4" t="str">
        <v>×</v>
      </c>
      <c r="J2337" s="4"/>
      <c r="K2337" s="4"/>
      <c r="L2337" s="4"/>
      <c r="M2337" s="5" t="s">
        <v>1871</v>
      </c>
    </row>
    <row r="2338" customFormat="false" ht="15.75" hidden="false" customHeight="false" outlineLevel="0" collapsed="false">
      <c r="A2338" s="3" t="n">
        <v>46215</v>
      </c>
      <c r="B2338" s="4" t="s">
        <v>915</v>
      </c>
      <c r="C2338" s="4" t="n">
        <v>1</v>
      </c>
      <c r="D2338" s="4" t="n">
        <v>3</v>
      </c>
      <c r="E2338" s="4" t="s">
        <v>2279</v>
      </c>
      <c r="F2338" s="4" t="n">
        <v>37</v>
      </c>
      <c r="G2338" s="4" t="n">
        <v>3</v>
      </c>
      <c r="H2338" s="4" t="n">
        <v>1</v>
      </c>
      <c r="I2338" s="4" t="str">
        <v>○</v>
      </c>
      <c r="J2338" s="4" t="n">
        <v>150</v>
      </c>
      <c r="K2338" s="4"/>
      <c r="L2338" s="4"/>
      <c r="M2338" s="5" t="s">
        <v>1871</v>
      </c>
    </row>
    <row r="2339" customFormat="false" ht="15.75" hidden="false" customHeight="false" outlineLevel="0" collapsed="false">
      <c r="A2339" s="3" t="n">
        <v>46215</v>
      </c>
      <c r="B2339" s="4" t="s">
        <v>915</v>
      </c>
      <c r="C2339" s="4" t="n">
        <v>1</v>
      </c>
      <c r="D2339" s="4" t="n">
        <v>4</v>
      </c>
      <c r="E2339" s="4" t="s">
        <v>2280</v>
      </c>
      <c r="F2339" s="4" t="n">
        <v>6</v>
      </c>
      <c r="G2339" s="4" t="n">
        <v>12</v>
      </c>
      <c r="H2339" s="4" t="n">
        <v>4</v>
      </c>
      <c r="I2339" s="4" t="str">
        <v>×</v>
      </c>
      <c r="J2339" s="4"/>
      <c r="K2339" s="4"/>
      <c r="L2339" s="4"/>
      <c r="M2339" s="5" t="s">
        <v>1871</v>
      </c>
    </row>
    <row r="2340" customFormat="false" ht="15.75" hidden="false" customHeight="false" outlineLevel="0" collapsed="false">
      <c r="A2340" s="3" t="n">
        <v>46215</v>
      </c>
      <c r="B2340" s="4" t="s">
        <v>915</v>
      </c>
      <c r="C2340" s="4" t="n">
        <v>1</v>
      </c>
      <c r="D2340" s="4" t="n">
        <v>5</v>
      </c>
      <c r="E2340" s="4" t="s">
        <v>2281</v>
      </c>
      <c r="F2340" s="4" t="n">
        <v>21</v>
      </c>
      <c r="G2340" s="4" t="n">
        <v>7</v>
      </c>
      <c r="H2340" s="4" t="n">
        <v>4</v>
      </c>
      <c r="I2340" s="4" t="str">
        <v>×</v>
      </c>
      <c r="J2340" s="4"/>
      <c r="K2340" s="4"/>
      <c r="L2340" s="4"/>
      <c r="M2340" s="5" t="s">
        <v>1871</v>
      </c>
    </row>
    <row r="2341" customFormat="false" ht="15.75" hidden="false" customHeight="false" outlineLevel="0" collapsed="false">
      <c r="A2341" s="3" t="n">
        <v>46215</v>
      </c>
      <c r="B2341" s="4" t="s">
        <v>915</v>
      </c>
      <c r="C2341" s="4" t="n">
        <v>1</v>
      </c>
      <c r="D2341" s="4" t="n">
        <v>6</v>
      </c>
      <c r="E2341" s="4" t="s">
        <v>2282</v>
      </c>
      <c r="F2341" s="4" t="n">
        <v>44</v>
      </c>
      <c r="G2341" s="4" t="n">
        <v>2</v>
      </c>
      <c r="H2341" s="4" t="n">
        <v>3</v>
      </c>
      <c r="I2341" s="4" t="str">
        <v>○</v>
      </c>
      <c r="J2341" s="4" t="n">
        <v>140</v>
      </c>
      <c r="K2341" s="4"/>
      <c r="L2341" s="4"/>
      <c r="M2341" s="5" t="s">
        <v>1871</v>
      </c>
    </row>
    <row r="2342" customFormat="false" ht="15.75" hidden="false" customHeight="false" outlineLevel="0" collapsed="false">
      <c r="A2342" s="3" t="n">
        <v>46215</v>
      </c>
      <c r="B2342" s="4" t="s">
        <v>915</v>
      </c>
      <c r="C2342" s="4" t="n">
        <v>1</v>
      </c>
      <c r="D2342" s="4" t="n">
        <v>7</v>
      </c>
      <c r="E2342" s="4" t="s">
        <v>2283</v>
      </c>
      <c r="F2342" s="4" t="n">
        <v>6</v>
      </c>
      <c r="G2342" s="4" t="n">
        <v>12</v>
      </c>
      <c r="H2342" s="4" t="n">
        <v>4</v>
      </c>
      <c r="I2342" s="4" t="str">
        <v>×</v>
      </c>
      <c r="J2342" s="4"/>
      <c r="K2342" s="4"/>
      <c r="L2342" s="4"/>
      <c r="M2342" s="5" t="s">
        <v>1871</v>
      </c>
    </row>
    <row r="2343" customFormat="false" ht="15.75" hidden="false" customHeight="false" outlineLevel="0" collapsed="false">
      <c r="A2343" s="3" t="n">
        <v>46215</v>
      </c>
      <c r="B2343" s="4" t="s">
        <v>915</v>
      </c>
      <c r="C2343" s="4" t="n">
        <v>1</v>
      </c>
      <c r="D2343" s="4" t="n">
        <v>8</v>
      </c>
      <c r="E2343" s="4" t="s">
        <v>2284</v>
      </c>
      <c r="F2343" s="4" t="n">
        <v>37</v>
      </c>
      <c r="G2343" s="4" t="n">
        <v>3</v>
      </c>
      <c r="H2343" s="4" t="n">
        <v>4</v>
      </c>
      <c r="I2343" s="4" t="str">
        <v>×</v>
      </c>
      <c r="J2343" s="4"/>
      <c r="K2343" s="4"/>
      <c r="L2343" s="4"/>
      <c r="M2343" s="5" t="s">
        <v>1871</v>
      </c>
    </row>
    <row r="2344" customFormat="false" ht="15.75" hidden="false" customHeight="false" outlineLevel="0" collapsed="false">
      <c r="A2344" s="3" t="n">
        <v>46215</v>
      </c>
      <c r="B2344" s="4" t="s">
        <v>915</v>
      </c>
      <c r="C2344" s="4" t="n">
        <v>1</v>
      </c>
      <c r="D2344" s="4" t="n">
        <v>9</v>
      </c>
      <c r="E2344" s="4" t="s">
        <v>2285</v>
      </c>
      <c r="F2344" s="4" t="n">
        <v>8</v>
      </c>
      <c r="G2344" s="4" t="n">
        <v>11</v>
      </c>
      <c r="H2344" s="4" t="n">
        <v>4</v>
      </c>
      <c r="I2344" s="4" t="str">
        <v>×</v>
      </c>
      <c r="J2344" s="4"/>
      <c r="K2344" s="4"/>
      <c r="L2344" s="4"/>
      <c r="M2344" s="5" t="s">
        <v>1871</v>
      </c>
    </row>
    <row r="2345" customFormat="false" ht="15.75" hidden="false" customHeight="false" outlineLevel="0" collapsed="false">
      <c r="A2345" s="3" t="n">
        <v>46215</v>
      </c>
      <c r="B2345" s="4" t="s">
        <v>915</v>
      </c>
      <c r="C2345" s="4" t="n">
        <v>1</v>
      </c>
      <c r="D2345" s="4" t="n">
        <v>10</v>
      </c>
      <c r="E2345" s="4" t="s">
        <v>2286</v>
      </c>
      <c r="F2345" s="4" t="n">
        <v>21</v>
      </c>
      <c r="G2345" s="4" t="n">
        <v>7</v>
      </c>
      <c r="H2345" s="4" t="n">
        <v>4</v>
      </c>
      <c r="I2345" s="4" t="str">
        <v>×</v>
      </c>
      <c r="J2345" s="4"/>
      <c r="K2345" s="4"/>
      <c r="L2345" s="4"/>
      <c r="M2345" s="5" t="s">
        <v>1871</v>
      </c>
    </row>
    <row r="2346" customFormat="false" ht="15.75" hidden="false" customHeight="false" outlineLevel="0" collapsed="false">
      <c r="A2346" s="3" t="n">
        <v>46215</v>
      </c>
      <c r="B2346" s="4" t="s">
        <v>915</v>
      </c>
      <c r="C2346" s="4" t="n">
        <v>1</v>
      </c>
      <c r="D2346" s="4" t="n">
        <v>11</v>
      </c>
      <c r="E2346" s="4" t="s">
        <v>2287</v>
      </c>
      <c r="F2346" s="4" t="n">
        <v>16</v>
      </c>
      <c r="G2346" s="4" t="n">
        <v>9</v>
      </c>
      <c r="H2346" s="4" t="n">
        <v>4</v>
      </c>
      <c r="I2346" s="4" t="str">
        <v>×</v>
      </c>
      <c r="J2346" s="4"/>
      <c r="K2346" s="4"/>
      <c r="L2346" s="4"/>
      <c r="M2346" s="5" t="s">
        <v>1871</v>
      </c>
    </row>
    <row r="2347" customFormat="false" ht="15.75" hidden="false" customHeight="false" outlineLevel="0" collapsed="false">
      <c r="A2347" s="3" t="n">
        <v>46215</v>
      </c>
      <c r="B2347" s="4" t="s">
        <v>915</v>
      </c>
      <c r="C2347" s="4" t="n">
        <v>1</v>
      </c>
      <c r="D2347" s="4" t="n">
        <v>12</v>
      </c>
      <c r="E2347" s="4" t="s">
        <v>2288</v>
      </c>
      <c r="F2347" s="4" t="n">
        <v>6</v>
      </c>
      <c r="G2347" s="4" t="n">
        <v>12</v>
      </c>
      <c r="H2347" s="4" t="n">
        <v>4</v>
      </c>
      <c r="I2347" s="4" t="str">
        <v>×</v>
      </c>
      <c r="J2347" s="4"/>
      <c r="K2347" s="4"/>
      <c r="L2347" s="4"/>
      <c r="M2347" s="5" t="s">
        <v>1871</v>
      </c>
    </row>
    <row r="2348" customFormat="false" ht="15.75" hidden="false" customHeight="false" outlineLevel="0" collapsed="false">
      <c r="A2348" s="3" t="n">
        <v>46215</v>
      </c>
      <c r="B2348" s="4" t="s">
        <v>915</v>
      </c>
      <c r="C2348" s="4" t="n">
        <v>1</v>
      </c>
      <c r="D2348" s="4" t="n">
        <v>13</v>
      </c>
      <c r="E2348" s="4" t="s">
        <v>583</v>
      </c>
      <c r="F2348" s="4" t="n">
        <v>12</v>
      </c>
      <c r="G2348" s="4" t="n">
        <v>10</v>
      </c>
      <c r="H2348" s="4" t="n">
        <v>2</v>
      </c>
      <c r="I2348" s="4" t="str">
        <v>○</v>
      </c>
      <c r="J2348" s="4" t="n">
        <v>710</v>
      </c>
      <c r="K2348" s="4"/>
      <c r="L2348" s="4"/>
      <c r="M2348" s="5" t="s">
        <v>1871</v>
      </c>
    </row>
    <row r="2349" customFormat="false" ht="15.75" hidden="false" customHeight="false" outlineLevel="0" collapsed="false">
      <c r="A2349" s="3" t="n">
        <v>46215</v>
      </c>
      <c r="B2349" s="4" t="s">
        <v>915</v>
      </c>
      <c r="C2349" s="4" t="n">
        <v>1</v>
      </c>
      <c r="D2349" s="4" t="n">
        <v>14</v>
      </c>
      <c r="E2349" s="4" t="s">
        <v>2289</v>
      </c>
      <c r="F2349" s="4" t="n">
        <v>27</v>
      </c>
      <c r="G2349" s="4" t="n">
        <v>6</v>
      </c>
      <c r="H2349" s="4" t="n">
        <v>4</v>
      </c>
      <c r="I2349" s="4" t="str">
        <v>×</v>
      </c>
      <c r="J2349" s="4"/>
      <c r="K2349" s="4"/>
      <c r="L2349" s="4"/>
      <c r="M2349" s="5" t="s">
        <v>1871</v>
      </c>
    </row>
    <row r="2350" customFormat="false" ht="15.75" hidden="false" customHeight="false" outlineLevel="0" collapsed="false">
      <c r="A2350" s="3" t="n">
        <v>46215</v>
      </c>
      <c r="B2350" s="4" t="s">
        <v>915</v>
      </c>
      <c r="C2350" s="4" t="n">
        <v>2</v>
      </c>
      <c r="D2350" s="4" t="n">
        <v>1</v>
      </c>
      <c r="E2350" s="4" t="s">
        <v>2290</v>
      </c>
      <c r="F2350" s="4" t="n">
        <v>20</v>
      </c>
      <c r="G2350" s="4" t="n">
        <v>6</v>
      </c>
      <c r="H2350" s="4" t="n">
        <v>3</v>
      </c>
      <c r="I2350" s="4" t="str">
        <v>○</v>
      </c>
      <c r="J2350" s="4" t="n">
        <v>420</v>
      </c>
      <c r="K2350" s="4"/>
      <c r="L2350" s="4"/>
      <c r="M2350" s="5" t="s">
        <v>1871</v>
      </c>
    </row>
    <row r="2351" customFormat="false" ht="15.75" hidden="false" customHeight="false" outlineLevel="0" collapsed="false">
      <c r="A2351" s="3" t="n">
        <v>46215</v>
      </c>
      <c r="B2351" s="4" t="s">
        <v>915</v>
      </c>
      <c r="C2351" s="4" t="n">
        <v>2</v>
      </c>
      <c r="D2351" s="4" t="n">
        <v>2</v>
      </c>
      <c r="E2351" s="4" t="s">
        <v>2291</v>
      </c>
      <c r="F2351" s="4" t="n">
        <v>41</v>
      </c>
      <c r="G2351" s="4" t="n">
        <v>3</v>
      </c>
      <c r="H2351" s="4" t="n">
        <v>1</v>
      </c>
      <c r="I2351" s="4" t="str">
        <v>○</v>
      </c>
      <c r="J2351" s="4" t="n">
        <v>180</v>
      </c>
      <c r="K2351" s="4"/>
      <c r="L2351" s="4"/>
      <c r="M2351" s="5" t="s">
        <v>1871</v>
      </c>
    </row>
    <row r="2352" customFormat="false" ht="15.75" hidden="false" customHeight="false" outlineLevel="0" collapsed="false">
      <c r="A2352" s="3" t="n">
        <v>46215</v>
      </c>
      <c r="B2352" s="4" t="s">
        <v>915</v>
      </c>
      <c r="C2352" s="4" t="n">
        <v>2</v>
      </c>
      <c r="D2352" s="4" t="n">
        <v>3</v>
      </c>
      <c r="E2352" s="4" t="s">
        <v>592</v>
      </c>
      <c r="F2352" s="4" t="n">
        <v>25</v>
      </c>
      <c r="G2352" s="4" t="n">
        <v>4</v>
      </c>
      <c r="H2352" s="4" t="n">
        <v>4</v>
      </c>
      <c r="I2352" s="4" t="str">
        <v>×</v>
      </c>
      <c r="J2352" s="4"/>
      <c r="K2352" s="4"/>
      <c r="L2352" s="4"/>
      <c r="M2352" s="5" t="s">
        <v>1871</v>
      </c>
    </row>
    <row r="2353" customFormat="false" ht="15.75" hidden="false" customHeight="false" outlineLevel="0" collapsed="false">
      <c r="A2353" s="3" t="n">
        <v>46215</v>
      </c>
      <c r="B2353" s="4" t="s">
        <v>915</v>
      </c>
      <c r="C2353" s="4" t="n">
        <v>2</v>
      </c>
      <c r="D2353" s="4" t="n">
        <v>4</v>
      </c>
      <c r="E2353" s="4" t="s">
        <v>2292</v>
      </c>
      <c r="F2353" s="4" t="n">
        <v>8</v>
      </c>
      <c r="G2353" s="4" t="n">
        <v>9</v>
      </c>
      <c r="H2353" s="4" t="n">
        <v>4</v>
      </c>
      <c r="I2353" s="4" t="str">
        <v>×</v>
      </c>
      <c r="J2353" s="4"/>
      <c r="K2353" s="4"/>
      <c r="L2353" s="4"/>
      <c r="M2353" s="5" t="s">
        <v>1871</v>
      </c>
    </row>
    <row r="2354" customFormat="false" ht="15.75" hidden="false" customHeight="false" outlineLevel="0" collapsed="false">
      <c r="A2354" s="3" t="n">
        <v>46215</v>
      </c>
      <c r="B2354" s="4" t="s">
        <v>915</v>
      </c>
      <c r="C2354" s="4" t="n">
        <v>2</v>
      </c>
      <c r="D2354" s="4" t="n">
        <v>5</v>
      </c>
      <c r="E2354" s="4" t="s">
        <v>2293</v>
      </c>
      <c r="F2354" s="4" t="n">
        <v>6</v>
      </c>
      <c r="G2354" s="4" t="n">
        <v>12</v>
      </c>
      <c r="H2354" s="4" t="n">
        <v>4</v>
      </c>
      <c r="I2354" s="4" t="str">
        <v>×</v>
      </c>
      <c r="J2354" s="4"/>
      <c r="K2354" s="4"/>
      <c r="L2354" s="4"/>
      <c r="M2354" s="5" t="s">
        <v>1871</v>
      </c>
    </row>
    <row r="2355" customFormat="false" ht="15.75" hidden="false" customHeight="false" outlineLevel="0" collapsed="false">
      <c r="A2355" s="3" t="n">
        <v>46215</v>
      </c>
      <c r="B2355" s="4" t="s">
        <v>915</v>
      </c>
      <c r="C2355" s="4" t="n">
        <v>2</v>
      </c>
      <c r="D2355" s="4" t="n">
        <v>6</v>
      </c>
      <c r="E2355" s="4" t="s">
        <v>2294</v>
      </c>
      <c r="F2355" s="4" t="n">
        <v>25</v>
      </c>
      <c r="G2355" s="4" t="n">
        <v>4</v>
      </c>
      <c r="H2355" s="4" t="n">
        <v>4</v>
      </c>
      <c r="I2355" s="4" t="str">
        <v>×</v>
      </c>
      <c r="J2355" s="4"/>
      <c r="K2355" s="4"/>
      <c r="L2355" s="4"/>
      <c r="M2355" s="5" t="s">
        <v>1871</v>
      </c>
    </row>
    <row r="2356" customFormat="false" ht="15.75" hidden="false" customHeight="false" outlineLevel="0" collapsed="false">
      <c r="A2356" s="3" t="n">
        <v>46215</v>
      </c>
      <c r="B2356" s="4" t="s">
        <v>915</v>
      </c>
      <c r="C2356" s="4" t="n">
        <v>2</v>
      </c>
      <c r="D2356" s="4" t="n">
        <v>7</v>
      </c>
      <c r="E2356" s="4" t="s">
        <v>2295</v>
      </c>
      <c r="F2356" s="4" t="n">
        <v>3</v>
      </c>
      <c r="G2356" s="4" t="n">
        <v>15</v>
      </c>
      <c r="H2356" s="4" t="n">
        <v>4</v>
      </c>
      <c r="I2356" s="4" t="str">
        <v>×</v>
      </c>
      <c r="J2356" s="4"/>
      <c r="K2356" s="4"/>
      <c r="L2356" s="4"/>
      <c r="M2356" s="5" t="s">
        <v>1871</v>
      </c>
    </row>
    <row r="2357" customFormat="false" ht="15.75" hidden="false" customHeight="false" outlineLevel="0" collapsed="false">
      <c r="A2357" s="3" t="n">
        <v>46215</v>
      </c>
      <c r="B2357" s="4" t="s">
        <v>915</v>
      </c>
      <c r="C2357" s="4" t="n">
        <v>2</v>
      </c>
      <c r="D2357" s="4" t="n">
        <v>8</v>
      </c>
      <c r="E2357" s="4" t="s">
        <v>2296</v>
      </c>
      <c r="F2357" s="4" t="n">
        <v>8</v>
      </c>
      <c r="G2357" s="4" t="n">
        <v>9</v>
      </c>
      <c r="H2357" s="4" t="n">
        <v>4</v>
      </c>
      <c r="I2357" s="4" t="str">
        <v>×</v>
      </c>
      <c r="J2357" s="4"/>
      <c r="K2357" s="4"/>
      <c r="L2357" s="4"/>
      <c r="M2357" s="5" t="s">
        <v>1871</v>
      </c>
    </row>
    <row r="2358" customFormat="false" ht="15.75" hidden="false" customHeight="false" outlineLevel="0" collapsed="false">
      <c r="A2358" s="3" t="n">
        <v>46215</v>
      </c>
      <c r="B2358" s="4" t="s">
        <v>915</v>
      </c>
      <c r="C2358" s="4" t="n">
        <v>2</v>
      </c>
      <c r="D2358" s="4" t="n">
        <v>9</v>
      </c>
      <c r="E2358" s="4" t="s">
        <v>2297</v>
      </c>
      <c r="F2358" s="4" t="n">
        <v>4</v>
      </c>
      <c r="G2358" s="4" t="n">
        <v>13</v>
      </c>
      <c r="H2358" s="4" t="n">
        <v>4</v>
      </c>
      <c r="I2358" s="4" t="str">
        <v>×</v>
      </c>
      <c r="J2358" s="4"/>
      <c r="K2358" s="4"/>
      <c r="L2358" s="4"/>
      <c r="M2358" s="5" t="s">
        <v>1871</v>
      </c>
    </row>
    <row r="2359" customFormat="false" ht="15.75" hidden="false" customHeight="false" outlineLevel="0" collapsed="false">
      <c r="A2359" s="3" t="n">
        <v>46215</v>
      </c>
      <c r="B2359" s="4" t="s">
        <v>915</v>
      </c>
      <c r="C2359" s="4" t="n">
        <v>2</v>
      </c>
      <c r="D2359" s="4" t="n">
        <v>10</v>
      </c>
      <c r="E2359" s="4" t="s">
        <v>2298</v>
      </c>
      <c r="F2359" s="4" t="n">
        <v>4</v>
      </c>
      <c r="G2359" s="4" t="n">
        <v>13</v>
      </c>
      <c r="H2359" s="4" t="n">
        <v>4</v>
      </c>
      <c r="I2359" s="4" t="str">
        <v>×</v>
      </c>
      <c r="J2359" s="4"/>
      <c r="K2359" s="4"/>
      <c r="L2359" s="4"/>
      <c r="M2359" s="5" t="s">
        <v>1871</v>
      </c>
    </row>
    <row r="2360" customFormat="false" ht="15.75" hidden="false" customHeight="false" outlineLevel="0" collapsed="false">
      <c r="A2360" s="3" t="n">
        <v>46215</v>
      </c>
      <c r="B2360" s="4" t="s">
        <v>915</v>
      </c>
      <c r="C2360" s="4" t="n">
        <v>2</v>
      </c>
      <c r="D2360" s="4" t="n">
        <v>11</v>
      </c>
      <c r="E2360" s="4" t="s">
        <v>2299</v>
      </c>
      <c r="F2360" s="4" t="n">
        <v>8</v>
      </c>
      <c r="G2360" s="4" t="n">
        <v>9</v>
      </c>
      <c r="H2360" s="4" t="n">
        <v>4</v>
      </c>
      <c r="I2360" s="4" t="str">
        <v>×</v>
      </c>
      <c r="J2360" s="4"/>
      <c r="K2360" s="4"/>
      <c r="L2360" s="4"/>
      <c r="M2360" s="5" t="s">
        <v>1871</v>
      </c>
    </row>
    <row r="2361" customFormat="false" ht="15.75" hidden="false" customHeight="false" outlineLevel="0" collapsed="false">
      <c r="A2361" s="3" t="n">
        <v>46215</v>
      </c>
      <c r="B2361" s="4" t="s">
        <v>915</v>
      </c>
      <c r="C2361" s="4" t="n">
        <v>2</v>
      </c>
      <c r="D2361" s="4" t="n">
        <v>12</v>
      </c>
      <c r="E2361" s="4" t="s">
        <v>2300</v>
      </c>
      <c r="F2361" s="4" t="n">
        <v>13</v>
      </c>
      <c r="G2361" s="4" t="n">
        <v>8</v>
      </c>
      <c r="H2361" s="4" t="n">
        <v>4</v>
      </c>
      <c r="I2361" s="4" t="str">
        <v>×</v>
      </c>
      <c r="J2361" s="4"/>
      <c r="K2361" s="4"/>
      <c r="L2361" s="4"/>
      <c r="M2361" s="5" t="s">
        <v>1871</v>
      </c>
    </row>
    <row r="2362" customFormat="false" ht="15.75" hidden="false" customHeight="false" outlineLevel="0" collapsed="false">
      <c r="A2362" s="3" t="n">
        <v>46215</v>
      </c>
      <c r="B2362" s="4" t="s">
        <v>915</v>
      </c>
      <c r="C2362" s="4" t="n">
        <v>2</v>
      </c>
      <c r="D2362" s="4" t="n">
        <v>13</v>
      </c>
      <c r="E2362" s="4" t="s">
        <v>2301</v>
      </c>
      <c r="F2362" s="4" t="n">
        <v>15</v>
      </c>
      <c r="G2362" s="4" t="n">
        <v>7</v>
      </c>
      <c r="H2362" s="4" t="n">
        <v>4</v>
      </c>
      <c r="I2362" s="4" t="str">
        <v>×</v>
      </c>
      <c r="J2362" s="4"/>
      <c r="K2362" s="4"/>
      <c r="L2362" s="4"/>
      <c r="M2362" s="5" t="s">
        <v>1871</v>
      </c>
    </row>
    <row r="2363" customFormat="false" ht="15.75" hidden="false" customHeight="false" outlineLevel="0" collapsed="false">
      <c r="A2363" s="3" t="n">
        <v>46215</v>
      </c>
      <c r="B2363" s="4" t="s">
        <v>915</v>
      </c>
      <c r="C2363" s="4" t="n">
        <v>2</v>
      </c>
      <c r="D2363" s="4" t="n">
        <v>14</v>
      </c>
      <c r="E2363" s="4" t="s">
        <v>2302</v>
      </c>
      <c r="F2363" s="4" t="n">
        <v>50</v>
      </c>
      <c r="G2363" s="4" t="n">
        <v>2</v>
      </c>
      <c r="H2363" s="4" t="n">
        <v>4</v>
      </c>
      <c r="I2363" s="4" t="str">
        <v>×</v>
      </c>
      <c r="J2363" s="4"/>
      <c r="K2363" s="4"/>
      <c r="L2363" s="4"/>
      <c r="M2363" s="5" t="s">
        <v>1871</v>
      </c>
    </row>
    <row r="2364" customFormat="false" ht="15.75" hidden="false" customHeight="false" outlineLevel="0" collapsed="false">
      <c r="A2364" s="3" t="n">
        <v>46215</v>
      </c>
      <c r="B2364" s="4" t="s">
        <v>915</v>
      </c>
      <c r="C2364" s="4" t="n">
        <v>2</v>
      </c>
      <c r="D2364" s="4" t="n">
        <v>15</v>
      </c>
      <c r="E2364" s="4" t="s">
        <v>2303</v>
      </c>
      <c r="F2364" s="4" t="n">
        <v>71</v>
      </c>
      <c r="G2364" s="4" t="n">
        <v>1</v>
      </c>
      <c r="H2364" s="4" t="n">
        <v>2</v>
      </c>
      <c r="I2364" s="4" t="str">
        <v>○</v>
      </c>
      <c r="J2364" s="4" t="n">
        <v>110</v>
      </c>
      <c r="K2364" s="4"/>
      <c r="L2364" s="4"/>
      <c r="M2364" s="5" t="s">
        <v>1871</v>
      </c>
    </row>
    <row r="2365" customFormat="false" ht="15.75" hidden="false" customHeight="false" outlineLevel="0" collapsed="false">
      <c r="A2365" s="3" t="n">
        <v>46215</v>
      </c>
      <c r="B2365" s="4" t="s">
        <v>915</v>
      </c>
      <c r="C2365" s="4" t="n">
        <v>3</v>
      </c>
      <c r="D2365" s="4" t="n">
        <v>1</v>
      </c>
      <c r="E2365" s="4" t="s">
        <v>2304</v>
      </c>
      <c r="F2365" s="4" t="n">
        <v>10</v>
      </c>
      <c r="G2365" s="4" t="n">
        <v>8</v>
      </c>
      <c r="H2365" s="4" t="n">
        <v>4</v>
      </c>
      <c r="I2365" s="4" t="str">
        <v>×</v>
      </c>
      <c r="J2365" s="4"/>
      <c r="K2365" s="4"/>
      <c r="L2365" s="4"/>
      <c r="M2365" s="5" t="s">
        <v>1871</v>
      </c>
    </row>
    <row r="2366" customFormat="false" ht="15.75" hidden="false" customHeight="false" outlineLevel="0" collapsed="false">
      <c r="A2366" s="3" t="n">
        <v>46215</v>
      </c>
      <c r="B2366" s="4" t="s">
        <v>915</v>
      </c>
      <c r="C2366" s="4" t="n">
        <v>3</v>
      </c>
      <c r="D2366" s="4" t="n">
        <v>2</v>
      </c>
      <c r="E2366" s="4" t="s">
        <v>1016</v>
      </c>
      <c r="F2366" s="4" t="n">
        <v>29</v>
      </c>
      <c r="G2366" s="4" t="n">
        <v>2</v>
      </c>
      <c r="H2366" s="4" t="n">
        <v>4</v>
      </c>
      <c r="I2366" s="4" t="str">
        <v>×</v>
      </c>
      <c r="J2366" s="4"/>
      <c r="K2366" s="4"/>
      <c r="L2366" s="4"/>
      <c r="M2366" s="5" t="s">
        <v>1871</v>
      </c>
    </row>
    <row r="2367" customFormat="false" ht="15.75" hidden="false" customHeight="false" outlineLevel="0" collapsed="false">
      <c r="A2367" s="3" t="n">
        <v>46215</v>
      </c>
      <c r="B2367" s="4" t="s">
        <v>915</v>
      </c>
      <c r="C2367" s="4" t="n">
        <v>3</v>
      </c>
      <c r="D2367" s="4" t="n">
        <v>3</v>
      </c>
      <c r="E2367" s="4" t="s">
        <v>2305</v>
      </c>
      <c r="F2367" s="4" t="n">
        <v>8</v>
      </c>
      <c r="G2367" s="4" t="n">
        <v>11</v>
      </c>
      <c r="H2367" s="4" t="n">
        <v>4</v>
      </c>
      <c r="I2367" s="4" t="str">
        <v>×</v>
      </c>
      <c r="J2367" s="4"/>
      <c r="K2367" s="4"/>
      <c r="L2367" s="4"/>
      <c r="M2367" s="5" t="s">
        <v>1871</v>
      </c>
    </row>
    <row r="2368" customFormat="false" ht="15.75" hidden="false" customHeight="false" outlineLevel="0" collapsed="false">
      <c r="A2368" s="3" t="n">
        <v>46215</v>
      </c>
      <c r="B2368" s="4" t="s">
        <v>915</v>
      </c>
      <c r="C2368" s="4" t="n">
        <v>3</v>
      </c>
      <c r="D2368" s="4" t="n">
        <v>4</v>
      </c>
      <c r="E2368" s="4" t="s">
        <v>2306</v>
      </c>
      <c r="F2368" s="4" t="n">
        <v>4</v>
      </c>
      <c r="G2368" s="4" t="n">
        <v>13</v>
      </c>
      <c r="H2368" s="4" t="n">
        <v>4</v>
      </c>
      <c r="I2368" s="4" t="str">
        <v>×</v>
      </c>
      <c r="J2368" s="4"/>
      <c r="K2368" s="4"/>
      <c r="L2368" s="4"/>
      <c r="M2368" s="5" t="s">
        <v>1871</v>
      </c>
    </row>
    <row r="2369" customFormat="false" ht="15.75" hidden="false" customHeight="false" outlineLevel="0" collapsed="false">
      <c r="A2369" s="3" t="n">
        <v>46215</v>
      </c>
      <c r="B2369" s="4" t="s">
        <v>915</v>
      </c>
      <c r="C2369" s="4" t="n">
        <v>3</v>
      </c>
      <c r="D2369" s="4" t="n">
        <v>5</v>
      </c>
      <c r="E2369" s="4" t="s">
        <v>2307</v>
      </c>
      <c r="F2369" s="4" t="n">
        <v>10</v>
      </c>
      <c r="G2369" s="4" t="n">
        <v>8</v>
      </c>
      <c r="H2369" s="4" t="n">
        <v>4</v>
      </c>
      <c r="I2369" s="4" t="str">
        <v>×</v>
      </c>
      <c r="J2369" s="4"/>
      <c r="K2369" s="4"/>
      <c r="L2369" s="4"/>
      <c r="M2369" s="5" t="s">
        <v>1871</v>
      </c>
    </row>
    <row r="2370" customFormat="false" ht="15.75" hidden="false" customHeight="false" outlineLevel="0" collapsed="false">
      <c r="A2370" s="3" t="n">
        <v>46215</v>
      </c>
      <c r="B2370" s="4" t="s">
        <v>915</v>
      </c>
      <c r="C2370" s="4" t="n">
        <v>3</v>
      </c>
      <c r="D2370" s="4" t="n">
        <v>6</v>
      </c>
      <c r="E2370" s="4" t="s">
        <v>618</v>
      </c>
      <c r="F2370" s="4" t="n">
        <v>20</v>
      </c>
      <c r="G2370" s="4" t="n">
        <v>3</v>
      </c>
      <c r="H2370" s="4" t="n">
        <v>3</v>
      </c>
      <c r="I2370" s="4" t="str">
        <v>○</v>
      </c>
      <c r="J2370" s="4" t="n">
        <v>150</v>
      </c>
      <c r="K2370" s="4"/>
      <c r="L2370" s="4"/>
      <c r="M2370" s="5" t="s">
        <v>1871</v>
      </c>
    </row>
    <row r="2371" customFormat="false" ht="15.75" hidden="false" customHeight="false" outlineLevel="0" collapsed="false">
      <c r="A2371" s="3" t="n">
        <v>46215</v>
      </c>
      <c r="B2371" s="4" t="s">
        <v>915</v>
      </c>
      <c r="C2371" s="4" t="n">
        <v>3</v>
      </c>
      <c r="D2371" s="4" t="n">
        <v>7</v>
      </c>
      <c r="E2371" s="4" t="s">
        <v>2308</v>
      </c>
      <c r="F2371" s="4" t="n">
        <v>10</v>
      </c>
      <c r="G2371" s="4" t="n">
        <v>8</v>
      </c>
      <c r="H2371" s="4" t="n">
        <v>4</v>
      </c>
      <c r="I2371" s="4" t="str">
        <v>×</v>
      </c>
      <c r="J2371" s="4"/>
      <c r="K2371" s="4"/>
      <c r="L2371" s="4"/>
      <c r="M2371" s="5" t="s">
        <v>1871</v>
      </c>
    </row>
    <row r="2372" customFormat="false" ht="15.75" hidden="false" customHeight="false" outlineLevel="0" collapsed="false">
      <c r="A2372" s="3" t="n">
        <v>46215</v>
      </c>
      <c r="B2372" s="4" t="s">
        <v>915</v>
      </c>
      <c r="C2372" s="4" t="n">
        <v>3</v>
      </c>
      <c r="D2372" s="4" t="n">
        <v>8</v>
      </c>
      <c r="E2372" s="4" t="s">
        <v>2309</v>
      </c>
      <c r="F2372" s="4" t="n">
        <v>4</v>
      </c>
      <c r="G2372" s="4" t="n">
        <v>13</v>
      </c>
      <c r="H2372" s="4" t="n">
        <v>4</v>
      </c>
      <c r="I2372" s="4" t="str">
        <v>×</v>
      </c>
      <c r="J2372" s="4"/>
      <c r="K2372" s="4"/>
      <c r="L2372" s="4"/>
      <c r="M2372" s="5" t="s">
        <v>1871</v>
      </c>
    </row>
    <row r="2373" customFormat="false" ht="15.75" hidden="false" customHeight="false" outlineLevel="0" collapsed="false">
      <c r="A2373" s="3" t="n">
        <v>46215</v>
      </c>
      <c r="B2373" s="4" t="s">
        <v>915</v>
      </c>
      <c r="C2373" s="4" t="n">
        <v>3</v>
      </c>
      <c r="D2373" s="4" t="n">
        <v>9</v>
      </c>
      <c r="E2373" s="4" t="s">
        <v>2310</v>
      </c>
      <c r="F2373" s="4" t="n">
        <v>86</v>
      </c>
      <c r="G2373" s="4" t="n">
        <v>1</v>
      </c>
      <c r="H2373" s="4" t="n">
        <v>1</v>
      </c>
      <c r="I2373" s="4" t="str">
        <v>○</v>
      </c>
      <c r="J2373" s="4" t="n">
        <v>110</v>
      </c>
      <c r="K2373" s="4" t="n">
        <v>1.1</v>
      </c>
      <c r="L2373" s="4" t="n">
        <v>1.1</v>
      </c>
      <c r="M2373" s="5" t="s">
        <v>1871</v>
      </c>
    </row>
    <row r="2374" customFormat="false" ht="15.75" hidden="false" customHeight="false" outlineLevel="0" collapsed="false">
      <c r="A2374" s="3" t="n">
        <v>46215</v>
      </c>
      <c r="B2374" s="4" t="s">
        <v>915</v>
      </c>
      <c r="C2374" s="4" t="n">
        <v>3</v>
      </c>
      <c r="D2374" s="4" t="n">
        <v>10</v>
      </c>
      <c r="E2374" s="4" t="s">
        <v>833</v>
      </c>
      <c r="F2374" s="4" t="n">
        <v>8</v>
      </c>
      <c r="G2374" s="4" t="n">
        <v>11</v>
      </c>
      <c r="H2374" s="4" t="n">
        <v>4</v>
      </c>
      <c r="I2374" s="4" t="str">
        <v>×</v>
      </c>
      <c r="J2374" s="4"/>
      <c r="K2374" s="4"/>
      <c r="L2374" s="4"/>
      <c r="M2374" s="5" t="s">
        <v>1871</v>
      </c>
    </row>
    <row r="2375" customFormat="false" ht="15.75" hidden="false" customHeight="false" outlineLevel="0" collapsed="false">
      <c r="A2375" s="3" t="n">
        <v>46215</v>
      </c>
      <c r="B2375" s="4" t="s">
        <v>915</v>
      </c>
      <c r="C2375" s="4" t="n">
        <v>3</v>
      </c>
      <c r="D2375" s="4" t="n">
        <v>11</v>
      </c>
      <c r="E2375" s="4" t="s">
        <v>2311</v>
      </c>
      <c r="F2375" s="4" t="n">
        <v>15</v>
      </c>
      <c r="G2375" s="4" t="n">
        <v>5</v>
      </c>
      <c r="H2375" s="4" t="n">
        <v>4</v>
      </c>
      <c r="I2375" s="4" t="str">
        <v>×</v>
      </c>
      <c r="J2375" s="4"/>
      <c r="K2375" s="4"/>
      <c r="L2375" s="4"/>
      <c r="M2375" s="5" t="s">
        <v>1871</v>
      </c>
    </row>
    <row r="2376" customFormat="false" ht="15.75" hidden="false" customHeight="false" outlineLevel="0" collapsed="false">
      <c r="A2376" s="3" t="n">
        <v>46215</v>
      </c>
      <c r="B2376" s="4" t="s">
        <v>915</v>
      </c>
      <c r="C2376" s="4" t="n">
        <v>3</v>
      </c>
      <c r="D2376" s="4" t="n">
        <v>12</v>
      </c>
      <c r="E2376" s="4" t="s">
        <v>2312</v>
      </c>
      <c r="F2376" s="4" t="n">
        <v>4</v>
      </c>
      <c r="G2376" s="4" t="n">
        <v>13</v>
      </c>
      <c r="H2376" s="4" t="n">
        <v>4</v>
      </c>
      <c r="I2376" s="4" t="str">
        <v>×</v>
      </c>
      <c r="J2376" s="4"/>
      <c r="K2376" s="4"/>
      <c r="L2376" s="4"/>
      <c r="M2376" s="5" t="s">
        <v>1871</v>
      </c>
    </row>
    <row r="2377" customFormat="false" ht="15.75" hidden="false" customHeight="false" outlineLevel="0" collapsed="false">
      <c r="A2377" s="3" t="n">
        <v>46215</v>
      </c>
      <c r="B2377" s="4" t="s">
        <v>915</v>
      </c>
      <c r="C2377" s="4" t="n">
        <v>3</v>
      </c>
      <c r="D2377" s="4" t="n">
        <v>13</v>
      </c>
      <c r="E2377" s="4" t="s">
        <v>2313</v>
      </c>
      <c r="F2377" s="4" t="n">
        <v>15</v>
      </c>
      <c r="G2377" s="4" t="n">
        <v>5</v>
      </c>
      <c r="H2377" s="4" t="n">
        <v>2</v>
      </c>
      <c r="I2377" s="4" t="str">
        <v>○</v>
      </c>
      <c r="J2377" s="4" t="n">
        <v>290</v>
      </c>
      <c r="K2377" s="4"/>
      <c r="L2377" s="4"/>
      <c r="M2377" s="5" t="s">
        <v>1871</v>
      </c>
    </row>
    <row r="2378" customFormat="false" ht="15.75" hidden="false" customHeight="false" outlineLevel="0" collapsed="false">
      <c r="A2378" s="3" t="n">
        <v>46215</v>
      </c>
      <c r="B2378" s="4" t="s">
        <v>915</v>
      </c>
      <c r="C2378" s="4" t="n">
        <v>3</v>
      </c>
      <c r="D2378" s="4" t="n">
        <v>14</v>
      </c>
      <c r="E2378" s="4" t="s">
        <v>2314</v>
      </c>
      <c r="F2378" s="4" t="n">
        <v>4</v>
      </c>
      <c r="G2378" s="4" t="n">
        <v>13</v>
      </c>
      <c r="H2378" s="4" t="n">
        <v>4</v>
      </c>
      <c r="I2378" s="4" t="str">
        <v>×</v>
      </c>
      <c r="J2378" s="4"/>
      <c r="K2378" s="4"/>
      <c r="L2378" s="4"/>
      <c r="M2378" s="5" t="s">
        <v>1871</v>
      </c>
    </row>
    <row r="2379" customFormat="false" ht="15.75" hidden="false" customHeight="false" outlineLevel="0" collapsed="false">
      <c r="A2379" s="3" t="n">
        <v>46215</v>
      </c>
      <c r="B2379" s="4" t="s">
        <v>915</v>
      </c>
      <c r="C2379" s="4" t="n">
        <v>3</v>
      </c>
      <c r="D2379" s="4" t="n">
        <v>15</v>
      </c>
      <c r="E2379" s="4" t="s">
        <v>2315</v>
      </c>
      <c r="F2379" s="4" t="n">
        <v>17</v>
      </c>
      <c r="G2379" s="4" t="n">
        <v>4</v>
      </c>
      <c r="H2379" s="4" t="n">
        <v>4</v>
      </c>
      <c r="I2379" s="4" t="str">
        <v>×</v>
      </c>
      <c r="J2379" s="4"/>
      <c r="K2379" s="4"/>
      <c r="L2379" s="4"/>
      <c r="M2379" s="5" t="s">
        <v>1871</v>
      </c>
    </row>
    <row r="2380" customFormat="false" ht="15.75" hidden="false" customHeight="false" outlineLevel="0" collapsed="false">
      <c r="A2380" s="3" t="n">
        <v>46215</v>
      </c>
      <c r="B2380" s="4" t="s">
        <v>915</v>
      </c>
      <c r="C2380" s="4" t="n">
        <v>3</v>
      </c>
      <c r="D2380" s="4" t="n">
        <v>16</v>
      </c>
      <c r="E2380" s="4" t="s">
        <v>628</v>
      </c>
      <c r="F2380" s="4" t="n">
        <v>13</v>
      </c>
      <c r="G2380" s="4" t="n">
        <v>7</v>
      </c>
      <c r="H2380" s="4" t="n">
        <v>4</v>
      </c>
      <c r="I2380" s="4" t="str">
        <v>×</v>
      </c>
      <c r="J2380" s="4"/>
      <c r="K2380" s="4"/>
      <c r="L2380" s="4"/>
      <c r="M2380" s="5" t="s">
        <v>1871</v>
      </c>
    </row>
    <row r="2381" customFormat="false" ht="15.75" hidden="false" customHeight="false" outlineLevel="0" collapsed="false">
      <c r="A2381" s="3" t="n">
        <v>46215</v>
      </c>
      <c r="B2381" s="4" t="s">
        <v>915</v>
      </c>
      <c r="C2381" s="4" t="n">
        <v>4</v>
      </c>
      <c r="D2381" s="4" t="n">
        <v>1</v>
      </c>
      <c r="E2381" s="4" t="s">
        <v>2316</v>
      </c>
      <c r="F2381" s="4" t="n">
        <v>12</v>
      </c>
      <c r="G2381" s="4" t="n">
        <v>9</v>
      </c>
      <c r="H2381" s="4" t="n">
        <v>4</v>
      </c>
      <c r="I2381" s="4" t="str">
        <v>×</v>
      </c>
      <c r="J2381" s="4"/>
      <c r="K2381" s="4"/>
      <c r="L2381" s="4"/>
      <c r="M2381" s="5" t="s">
        <v>1871</v>
      </c>
    </row>
    <row r="2382" customFormat="false" ht="15.75" hidden="false" customHeight="false" outlineLevel="0" collapsed="false">
      <c r="A2382" s="3" t="n">
        <v>46215</v>
      </c>
      <c r="B2382" s="4" t="s">
        <v>915</v>
      </c>
      <c r="C2382" s="4" t="n">
        <v>4</v>
      </c>
      <c r="D2382" s="4" t="n">
        <v>2</v>
      </c>
      <c r="E2382" s="4" t="s">
        <v>2317</v>
      </c>
      <c r="F2382" s="4" t="n">
        <v>24</v>
      </c>
      <c r="G2382" s="4" t="n">
        <v>4</v>
      </c>
      <c r="H2382" s="4" t="n">
        <v>4</v>
      </c>
      <c r="I2382" s="4" t="str">
        <v>×</v>
      </c>
      <c r="J2382" s="4"/>
      <c r="K2382" s="4"/>
      <c r="L2382" s="4"/>
      <c r="M2382" s="5" t="s">
        <v>1871</v>
      </c>
    </row>
    <row r="2383" customFormat="false" ht="15.75" hidden="false" customHeight="false" outlineLevel="0" collapsed="false">
      <c r="A2383" s="3" t="n">
        <v>46215</v>
      </c>
      <c r="B2383" s="4" t="s">
        <v>915</v>
      </c>
      <c r="C2383" s="4" t="n">
        <v>4</v>
      </c>
      <c r="D2383" s="4" t="n">
        <v>3</v>
      </c>
      <c r="E2383" s="4" t="s">
        <v>1388</v>
      </c>
      <c r="F2383" s="4" t="n">
        <v>24</v>
      </c>
      <c r="G2383" s="4" t="n">
        <v>4</v>
      </c>
      <c r="H2383" s="4" t="n">
        <v>4</v>
      </c>
      <c r="I2383" s="4" t="str">
        <v>×</v>
      </c>
      <c r="J2383" s="4"/>
      <c r="K2383" s="4"/>
      <c r="L2383" s="4"/>
      <c r="M2383" s="5" t="s">
        <v>1871</v>
      </c>
    </row>
    <row r="2384" customFormat="false" ht="15.75" hidden="false" customHeight="false" outlineLevel="0" collapsed="false">
      <c r="A2384" s="3" t="n">
        <v>46215</v>
      </c>
      <c r="B2384" s="4" t="s">
        <v>915</v>
      </c>
      <c r="C2384" s="4" t="n">
        <v>4</v>
      </c>
      <c r="D2384" s="4" t="n">
        <v>4</v>
      </c>
      <c r="E2384" s="4" t="s">
        <v>474</v>
      </c>
      <c r="F2384" s="4" t="n">
        <v>27</v>
      </c>
      <c r="G2384" s="4" t="n">
        <v>2</v>
      </c>
      <c r="H2384" s="4" t="n">
        <v>4</v>
      </c>
      <c r="I2384" s="4" t="str">
        <v>×</v>
      </c>
      <c r="J2384" s="4"/>
      <c r="K2384" s="4"/>
      <c r="L2384" s="4"/>
      <c r="M2384" s="5" t="s">
        <v>1871</v>
      </c>
    </row>
    <row r="2385" customFormat="false" ht="15.75" hidden="false" customHeight="false" outlineLevel="0" collapsed="false">
      <c r="A2385" s="3" t="n">
        <v>46215</v>
      </c>
      <c r="B2385" s="4" t="s">
        <v>915</v>
      </c>
      <c r="C2385" s="4" t="n">
        <v>4</v>
      </c>
      <c r="D2385" s="4" t="n">
        <v>5</v>
      </c>
      <c r="E2385" s="4" t="s">
        <v>471</v>
      </c>
      <c r="F2385" s="4" t="n">
        <v>37</v>
      </c>
      <c r="G2385" s="4" t="n">
        <v>1</v>
      </c>
      <c r="H2385" s="4" t="n">
        <v>3</v>
      </c>
      <c r="I2385" s="4" t="str">
        <v>○</v>
      </c>
      <c r="J2385" s="4" t="n">
        <v>150</v>
      </c>
      <c r="K2385" s="4"/>
      <c r="L2385" s="4"/>
      <c r="M2385" s="5" t="s">
        <v>1871</v>
      </c>
    </row>
    <row r="2386" customFormat="false" ht="15.75" hidden="false" customHeight="false" outlineLevel="0" collapsed="false">
      <c r="A2386" s="3" t="n">
        <v>46215</v>
      </c>
      <c r="B2386" s="4" t="s">
        <v>915</v>
      </c>
      <c r="C2386" s="4" t="n">
        <v>4</v>
      </c>
      <c r="D2386" s="4" t="n">
        <v>6</v>
      </c>
      <c r="E2386" s="4" t="s">
        <v>2318</v>
      </c>
      <c r="F2386" s="4" t="n">
        <v>24</v>
      </c>
      <c r="G2386" s="4" t="n">
        <v>4</v>
      </c>
      <c r="H2386" s="4" t="n">
        <v>1</v>
      </c>
      <c r="I2386" s="4" t="str">
        <v>○</v>
      </c>
      <c r="J2386" s="4" t="n">
        <v>150</v>
      </c>
      <c r="K2386" s="4"/>
      <c r="L2386" s="4"/>
      <c r="M2386" s="5" t="s">
        <v>1871</v>
      </c>
    </row>
    <row r="2387" customFormat="false" ht="15.75" hidden="false" customHeight="false" outlineLevel="0" collapsed="false">
      <c r="A2387" s="3" t="n">
        <v>46215</v>
      </c>
      <c r="B2387" s="4" t="s">
        <v>915</v>
      </c>
      <c r="C2387" s="4" t="n">
        <v>4</v>
      </c>
      <c r="D2387" s="4" t="n">
        <v>7</v>
      </c>
      <c r="E2387" s="4" t="s">
        <v>2319</v>
      </c>
      <c r="F2387" s="4" t="n">
        <v>27</v>
      </c>
      <c r="G2387" s="4" t="n">
        <v>2</v>
      </c>
      <c r="H2387" s="4" t="n">
        <v>4</v>
      </c>
      <c r="I2387" s="4" t="str">
        <v>×</v>
      </c>
      <c r="J2387" s="4"/>
      <c r="K2387" s="4"/>
      <c r="L2387" s="4"/>
      <c r="M2387" s="5" t="s">
        <v>1871</v>
      </c>
    </row>
    <row r="2388" customFormat="false" ht="15.75" hidden="false" customHeight="false" outlineLevel="0" collapsed="false">
      <c r="A2388" s="3" t="n">
        <v>46215</v>
      </c>
      <c r="B2388" s="4" t="s">
        <v>915</v>
      </c>
      <c r="C2388" s="4" t="n">
        <v>4</v>
      </c>
      <c r="D2388" s="4" t="n">
        <v>8</v>
      </c>
      <c r="E2388" s="4" t="s">
        <v>2320</v>
      </c>
      <c r="F2388" s="4" t="n">
        <v>21</v>
      </c>
      <c r="G2388" s="4" t="n">
        <v>7</v>
      </c>
      <c r="H2388" s="4" t="n">
        <v>2</v>
      </c>
      <c r="I2388" s="4" t="str">
        <v>○</v>
      </c>
      <c r="J2388" s="4" t="n">
        <v>150</v>
      </c>
      <c r="K2388" s="4"/>
      <c r="L2388" s="4"/>
      <c r="M2388" s="5" t="s">
        <v>1871</v>
      </c>
    </row>
    <row r="2389" customFormat="false" ht="15.75" hidden="false" customHeight="false" outlineLevel="0" collapsed="false">
      <c r="A2389" s="3" t="n">
        <v>46215</v>
      </c>
      <c r="B2389" s="4" t="s">
        <v>915</v>
      </c>
      <c r="C2389" s="4" t="n">
        <v>4</v>
      </c>
      <c r="D2389" s="4" t="n">
        <v>9</v>
      </c>
      <c r="E2389" s="4" t="s">
        <v>467</v>
      </c>
      <c r="F2389" s="4" t="n">
        <v>8</v>
      </c>
      <c r="G2389" s="4" t="n">
        <v>10</v>
      </c>
      <c r="H2389" s="4" t="n">
        <v>4</v>
      </c>
      <c r="I2389" s="4" t="str">
        <v>×</v>
      </c>
      <c r="J2389" s="4"/>
      <c r="K2389" s="4"/>
      <c r="L2389" s="4"/>
      <c r="M2389" s="5" t="s">
        <v>1871</v>
      </c>
    </row>
    <row r="2390" customFormat="false" ht="15.75" hidden="false" customHeight="false" outlineLevel="0" collapsed="false">
      <c r="A2390" s="3" t="n">
        <v>46215</v>
      </c>
      <c r="B2390" s="4" t="s">
        <v>915</v>
      </c>
      <c r="C2390" s="4" t="n">
        <v>4</v>
      </c>
      <c r="D2390" s="4" t="n">
        <v>10</v>
      </c>
      <c r="E2390" s="4" t="s">
        <v>188</v>
      </c>
      <c r="F2390" s="4" t="n">
        <v>21</v>
      </c>
      <c r="G2390" s="4" t="n">
        <v>7</v>
      </c>
      <c r="H2390" s="4" t="n">
        <v>4</v>
      </c>
      <c r="I2390" s="4" t="str">
        <v>×</v>
      </c>
      <c r="J2390" s="4"/>
      <c r="K2390" s="4"/>
      <c r="L2390" s="4"/>
      <c r="M2390" s="5" t="s">
        <v>1871</v>
      </c>
    </row>
    <row r="2391" customFormat="false" ht="15.75" hidden="false" customHeight="false" outlineLevel="0" collapsed="false">
      <c r="A2391" s="3" t="n">
        <v>46215</v>
      </c>
      <c r="B2391" s="4" t="s">
        <v>915</v>
      </c>
      <c r="C2391" s="4" t="n">
        <v>5</v>
      </c>
      <c r="D2391" s="4" t="n">
        <v>1</v>
      </c>
      <c r="E2391" s="4" t="s">
        <v>2321</v>
      </c>
      <c r="F2391" s="4" t="n">
        <v>8</v>
      </c>
      <c r="G2391" s="4" t="n">
        <v>11</v>
      </c>
      <c r="H2391" s="4" t="n">
        <v>4</v>
      </c>
      <c r="I2391" s="4" t="str">
        <v>×</v>
      </c>
      <c r="J2391" s="4"/>
      <c r="K2391" s="4"/>
      <c r="L2391" s="4"/>
      <c r="M2391" s="5" t="s">
        <v>1871</v>
      </c>
    </row>
    <row r="2392" customFormat="false" ht="15.75" hidden="false" customHeight="false" outlineLevel="0" collapsed="false">
      <c r="A2392" s="3" t="n">
        <v>46215</v>
      </c>
      <c r="B2392" s="4" t="s">
        <v>915</v>
      </c>
      <c r="C2392" s="4" t="n">
        <v>5</v>
      </c>
      <c r="D2392" s="4" t="n">
        <v>2</v>
      </c>
      <c r="E2392" s="4" t="s">
        <v>2322</v>
      </c>
      <c r="F2392" s="4" t="n">
        <v>2</v>
      </c>
      <c r="G2392" s="4" t="n">
        <v>16</v>
      </c>
      <c r="H2392" s="4" t="n">
        <v>4</v>
      </c>
      <c r="I2392" s="4" t="str">
        <v>×</v>
      </c>
      <c r="J2392" s="4"/>
      <c r="K2392" s="4"/>
      <c r="L2392" s="4"/>
      <c r="M2392" s="5" t="s">
        <v>1871</v>
      </c>
    </row>
    <row r="2393" customFormat="false" ht="15.75" hidden="false" customHeight="false" outlineLevel="0" collapsed="false">
      <c r="A2393" s="3" t="n">
        <v>46215</v>
      </c>
      <c r="B2393" s="4" t="s">
        <v>915</v>
      </c>
      <c r="C2393" s="4" t="n">
        <v>5</v>
      </c>
      <c r="D2393" s="4" t="n">
        <v>3</v>
      </c>
      <c r="E2393" s="4" t="s">
        <v>2323</v>
      </c>
      <c r="F2393" s="4" t="n">
        <v>21</v>
      </c>
      <c r="G2393" s="4" t="n">
        <v>6</v>
      </c>
      <c r="H2393" s="4" t="n">
        <v>4</v>
      </c>
      <c r="I2393" s="4" t="str">
        <v>×</v>
      </c>
      <c r="J2393" s="4"/>
      <c r="K2393" s="4"/>
      <c r="L2393" s="4"/>
      <c r="M2393" s="5" t="s">
        <v>1871</v>
      </c>
    </row>
    <row r="2394" customFormat="false" ht="15.75" hidden="false" customHeight="false" outlineLevel="0" collapsed="false">
      <c r="A2394" s="3" t="n">
        <v>46215</v>
      </c>
      <c r="B2394" s="4" t="s">
        <v>915</v>
      </c>
      <c r="C2394" s="4" t="n">
        <v>5</v>
      </c>
      <c r="D2394" s="4" t="n">
        <v>4</v>
      </c>
      <c r="E2394" s="4" t="s">
        <v>2324</v>
      </c>
      <c r="F2394" s="4" t="n">
        <v>27</v>
      </c>
      <c r="G2394" s="4" t="n">
        <v>2</v>
      </c>
      <c r="H2394" s="4" t="n">
        <v>2</v>
      </c>
      <c r="I2394" s="4" t="str">
        <v>○</v>
      </c>
      <c r="J2394" s="4" t="n">
        <v>160</v>
      </c>
      <c r="K2394" s="4"/>
      <c r="L2394" s="4"/>
      <c r="M2394" s="5" t="s">
        <v>1871</v>
      </c>
    </row>
    <row r="2395" customFormat="false" ht="15.75" hidden="false" customHeight="false" outlineLevel="0" collapsed="false">
      <c r="A2395" s="3" t="n">
        <v>46215</v>
      </c>
      <c r="B2395" s="4" t="s">
        <v>915</v>
      </c>
      <c r="C2395" s="4" t="n">
        <v>5</v>
      </c>
      <c r="D2395" s="4" t="n">
        <v>5</v>
      </c>
      <c r="E2395" s="4" t="s">
        <v>20</v>
      </c>
      <c r="F2395" s="4" t="n">
        <v>27</v>
      </c>
      <c r="G2395" s="4" t="n">
        <v>2</v>
      </c>
      <c r="H2395" s="4" t="n">
        <v>4</v>
      </c>
      <c r="I2395" s="4" t="str">
        <v>×</v>
      </c>
      <c r="J2395" s="4"/>
      <c r="K2395" s="4"/>
      <c r="L2395" s="4"/>
      <c r="M2395" s="5" t="s">
        <v>1871</v>
      </c>
    </row>
    <row r="2396" customFormat="false" ht="15.75" hidden="false" customHeight="false" outlineLevel="0" collapsed="false">
      <c r="A2396" s="3" t="n">
        <v>46215</v>
      </c>
      <c r="B2396" s="4" t="s">
        <v>915</v>
      </c>
      <c r="C2396" s="4" t="n">
        <v>5</v>
      </c>
      <c r="D2396" s="4" t="n">
        <v>6</v>
      </c>
      <c r="E2396" s="4" t="s">
        <v>23</v>
      </c>
      <c r="F2396" s="4" t="n">
        <v>21</v>
      </c>
      <c r="G2396" s="4" t="n">
        <v>6</v>
      </c>
      <c r="H2396" s="4" t="n">
        <v>4</v>
      </c>
      <c r="I2396" s="4" t="str">
        <v>×</v>
      </c>
      <c r="J2396" s="4"/>
      <c r="K2396" s="4"/>
      <c r="L2396" s="4"/>
      <c r="M2396" s="5" t="s">
        <v>1871</v>
      </c>
    </row>
    <row r="2397" customFormat="false" ht="15.75" hidden="false" customHeight="false" outlineLevel="0" collapsed="false">
      <c r="A2397" s="3" t="n">
        <v>46215</v>
      </c>
      <c r="B2397" s="4" t="s">
        <v>915</v>
      </c>
      <c r="C2397" s="4" t="n">
        <v>5</v>
      </c>
      <c r="D2397" s="4" t="n">
        <v>7</v>
      </c>
      <c r="E2397" s="4" t="s">
        <v>2325</v>
      </c>
      <c r="F2397" s="4" t="n">
        <v>21</v>
      </c>
      <c r="G2397" s="4" t="n">
        <v>6</v>
      </c>
      <c r="H2397" s="4" t="n">
        <v>4</v>
      </c>
      <c r="I2397" s="4" t="str">
        <v>×</v>
      </c>
      <c r="J2397" s="4"/>
      <c r="K2397" s="4"/>
      <c r="L2397" s="4"/>
      <c r="M2397" s="5" t="s">
        <v>1871</v>
      </c>
    </row>
    <row r="2398" customFormat="false" ht="15.75" hidden="false" customHeight="false" outlineLevel="0" collapsed="false">
      <c r="A2398" s="3" t="n">
        <v>46215</v>
      </c>
      <c r="B2398" s="4" t="s">
        <v>915</v>
      </c>
      <c r="C2398" s="4" t="n">
        <v>5</v>
      </c>
      <c r="D2398" s="4" t="n">
        <v>8</v>
      </c>
      <c r="E2398" s="4" t="s">
        <v>17</v>
      </c>
      <c r="F2398" s="4" t="n">
        <v>24</v>
      </c>
      <c r="G2398" s="4" t="n">
        <v>5</v>
      </c>
      <c r="H2398" s="4" t="n">
        <v>4</v>
      </c>
      <c r="I2398" s="4" t="str">
        <v>×</v>
      </c>
      <c r="J2398" s="4"/>
      <c r="K2398" s="4"/>
      <c r="L2398" s="4"/>
      <c r="M2398" s="5" t="s">
        <v>1871</v>
      </c>
    </row>
    <row r="2399" customFormat="false" ht="15.75" hidden="false" customHeight="false" outlineLevel="0" collapsed="false">
      <c r="A2399" s="3" t="n">
        <v>46215</v>
      </c>
      <c r="B2399" s="4" t="s">
        <v>915</v>
      </c>
      <c r="C2399" s="4" t="n">
        <v>5</v>
      </c>
      <c r="D2399" s="4" t="n">
        <v>9</v>
      </c>
      <c r="E2399" s="4" t="s">
        <v>2326</v>
      </c>
      <c r="F2399" s="4" t="n">
        <v>8</v>
      </c>
      <c r="G2399" s="4" t="n">
        <v>11</v>
      </c>
      <c r="H2399" s="4" t="n">
        <v>4</v>
      </c>
      <c r="I2399" s="4" t="str">
        <v>×</v>
      </c>
      <c r="J2399" s="4"/>
      <c r="K2399" s="4"/>
      <c r="L2399" s="4"/>
      <c r="M2399" s="5" t="s">
        <v>1871</v>
      </c>
    </row>
    <row r="2400" customFormat="false" ht="15.75" hidden="false" customHeight="false" outlineLevel="0" collapsed="false">
      <c r="A2400" s="3" t="n">
        <v>46215</v>
      </c>
      <c r="B2400" s="4" t="s">
        <v>915</v>
      </c>
      <c r="C2400" s="4" t="n">
        <v>5</v>
      </c>
      <c r="D2400" s="4" t="n">
        <v>10</v>
      </c>
      <c r="E2400" s="4" t="s">
        <v>2327</v>
      </c>
      <c r="F2400" s="4" t="n">
        <v>8</v>
      </c>
      <c r="G2400" s="4" t="n">
        <v>11</v>
      </c>
      <c r="H2400" s="4" t="n">
        <v>4</v>
      </c>
      <c r="I2400" s="4" t="str">
        <v>×</v>
      </c>
      <c r="J2400" s="4"/>
      <c r="K2400" s="4"/>
      <c r="L2400" s="4"/>
      <c r="M2400" s="5" t="s">
        <v>1871</v>
      </c>
    </row>
    <row r="2401" customFormat="false" ht="15.75" hidden="false" customHeight="false" outlineLevel="0" collapsed="false">
      <c r="A2401" s="3" t="n">
        <v>46215</v>
      </c>
      <c r="B2401" s="4" t="s">
        <v>915</v>
      </c>
      <c r="C2401" s="4" t="n">
        <v>5</v>
      </c>
      <c r="D2401" s="4" t="n">
        <v>11</v>
      </c>
      <c r="E2401" s="4" t="s">
        <v>2328</v>
      </c>
      <c r="F2401" s="4" t="n">
        <v>37</v>
      </c>
      <c r="G2401" s="4" t="n">
        <v>1</v>
      </c>
      <c r="H2401" s="4" t="n">
        <v>4</v>
      </c>
      <c r="I2401" s="4" t="str">
        <v>×</v>
      </c>
      <c r="J2401" s="4"/>
      <c r="K2401" s="4"/>
      <c r="L2401" s="4"/>
      <c r="M2401" s="5" t="s">
        <v>1871</v>
      </c>
    </row>
    <row r="2402" customFormat="false" ht="15.75" hidden="false" customHeight="false" outlineLevel="0" collapsed="false">
      <c r="A2402" s="3" t="n">
        <v>46215</v>
      </c>
      <c r="B2402" s="4" t="s">
        <v>915</v>
      </c>
      <c r="C2402" s="4" t="n">
        <v>5</v>
      </c>
      <c r="D2402" s="4" t="n">
        <v>12</v>
      </c>
      <c r="E2402" s="4" t="s">
        <v>2329</v>
      </c>
      <c r="F2402" s="4" t="n">
        <v>27</v>
      </c>
      <c r="G2402" s="4" t="n">
        <v>2</v>
      </c>
      <c r="H2402" s="4" t="n">
        <v>1</v>
      </c>
      <c r="I2402" s="4" t="str">
        <v>○</v>
      </c>
      <c r="J2402" s="4" t="n">
        <v>120</v>
      </c>
      <c r="K2402" s="4"/>
      <c r="L2402" s="4"/>
      <c r="M2402" s="5" t="s">
        <v>1871</v>
      </c>
    </row>
    <row r="2403" customFormat="false" ht="15.75" hidden="false" customHeight="false" outlineLevel="0" collapsed="false">
      <c r="A2403" s="3" t="n">
        <v>46215</v>
      </c>
      <c r="B2403" s="4" t="s">
        <v>915</v>
      </c>
      <c r="C2403" s="4" t="n">
        <v>5</v>
      </c>
      <c r="D2403" s="4" t="n">
        <v>13</v>
      </c>
      <c r="E2403" s="4" t="s">
        <v>2330</v>
      </c>
      <c r="F2403" s="4" t="n">
        <v>8</v>
      </c>
      <c r="G2403" s="4" t="n">
        <v>11</v>
      </c>
      <c r="H2403" s="4" t="n">
        <v>4</v>
      </c>
      <c r="I2403" s="4" t="str">
        <v>×</v>
      </c>
      <c r="J2403" s="4"/>
      <c r="K2403" s="4"/>
      <c r="L2403" s="4"/>
      <c r="M2403" s="5" t="s">
        <v>1871</v>
      </c>
    </row>
    <row r="2404" customFormat="false" ht="15.75" hidden="false" customHeight="false" outlineLevel="0" collapsed="false">
      <c r="A2404" s="3" t="n">
        <v>46215</v>
      </c>
      <c r="B2404" s="4" t="s">
        <v>915</v>
      </c>
      <c r="C2404" s="4" t="n">
        <v>5</v>
      </c>
      <c r="D2404" s="4" t="n">
        <v>14</v>
      </c>
      <c r="E2404" s="4" t="s">
        <v>2331</v>
      </c>
      <c r="F2404" s="4" t="n">
        <v>16</v>
      </c>
      <c r="G2404" s="4" t="n">
        <v>10</v>
      </c>
      <c r="H2404" s="4" t="n">
        <v>3</v>
      </c>
      <c r="I2404" s="4" t="str">
        <v>○</v>
      </c>
      <c r="J2404" s="4" t="n">
        <v>580</v>
      </c>
      <c r="K2404" s="4"/>
      <c r="L2404" s="4"/>
      <c r="M2404" s="5" t="s">
        <v>1871</v>
      </c>
    </row>
    <row r="2405" customFormat="false" ht="15.75" hidden="false" customHeight="false" outlineLevel="0" collapsed="false">
      <c r="A2405" s="3" t="n">
        <v>46215</v>
      </c>
      <c r="B2405" s="4" t="s">
        <v>915</v>
      </c>
      <c r="C2405" s="4" t="n">
        <v>5</v>
      </c>
      <c r="D2405" s="4" t="n">
        <v>15</v>
      </c>
      <c r="E2405" s="4" t="s">
        <v>2332</v>
      </c>
      <c r="F2405" s="4" t="n">
        <v>6</v>
      </c>
      <c r="G2405" s="4" t="n">
        <v>15</v>
      </c>
      <c r="H2405" s="4" t="n">
        <v>4</v>
      </c>
      <c r="I2405" s="4" t="str">
        <v>×</v>
      </c>
      <c r="J2405" s="4"/>
      <c r="K2405" s="4"/>
      <c r="L2405" s="4"/>
      <c r="M2405" s="5" t="s">
        <v>1871</v>
      </c>
    </row>
    <row r="2406" customFormat="false" ht="15.75" hidden="false" customHeight="false" outlineLevel="0" collapsed="false">
      <c r="A2406" s="3" t="n">
        <v>46215</v>
      </c>
      <c r="B2406" s="4" t="s">
        <v>915</v>
      </c>
      <c r="C2406" s="4" t="n">
        <v>5</v>
      </c>
      <c r="D2406" s="4" t="n">
        <v>16</v>
      </c>
      <c r="E2406" s="4" t="s">
        <v>2333</v>
      </c>
      <c r="F2406" s="4" t="n">
        <v>21</v>
      </c>
      <c r="G2406" s="4" t="n">
        <v>6</v>
      </c>
      <c r="H2406" s="4" t="n">
        <v>4</v>
      </c>
      <c r="I2406" s="4" t="str">
        <v>×</v>
      </c>
      <c r="J2406" s="4"/>
      <c r="K2406" s="4"/>
      <c r="L2406" s="4"/>
      <c r="M2406" s="5" t="s">
        <v>1871</v>
      </c>
    </row>
    <row r="2407" customFormat="false" ht="15.75" hidden="false" customHeight="false" outlineLevel="0" collapsed="false">
      <c r="A2407" s="3" t="n">
        <v>46215</v>
      </c>
      <c r="B2407" s="4" t="s">
        <v>915</v>
      </c>
      <c r="C2407" s="4" t="n">
        <v>6</v>
      </c>
      <c r="D2407" s="4" t="n">
        <v>1</v>
      </c>
      <c r="E2407" s="4" t="s">
        <v>2334</v>
      </c>
      <c r="F2407" s="4" t="n">
        <v>31</v>
      </c>
      <c r="G2407" s="4" t="n">
        <v>4</v>
      </c>
      <c r="H2407" s="4" t="n">
        <v>4</v>
      </c>
      <c r="I2407" s="4" t="str">
        <v>×</v>
      </c>
      <c r="J2407" s="4"/>
      <c r="K2407" s="4"/>
      <c r="L2407" s="4"/>
      <c r="M2407" s="5" t="s">
        <v>1871</v>
      </c>
    </row>
    <row r="2408" customFormat="false" ht="15.75" hidden="false" customHeight="false" outlineLevel="0" collapsed="false">
      <c r="A2408" s="3" t="n">
        <v>46215</v>
      </c>
      <c r="B2408" s="4" t="s">
        <v>915</v>
      </c>
      <c r="C2408" s="4" t="n">
        <v>6</v>
      </c>
      <c r="D2408" s="4" t="n">
        <v>2</v>
      </c>
      <c r="E2408" s="4" t="s">
        <v>2335</v>
      </c>
      <c r="F2408" s="4" t="n">
        <v>15</v>
      </c>
      <c r="G2408" s="4" t="n">
        <v>8</v>
      </c>
      <c r="H2408" s="4" t="n">
        <v>4</v>
      </c>
      <c r="I2408" s="4" t="str">
        <v>×</v>
      </c>
      <c r="J2408" s="4"/>
      <c r="K2408" s="4"/>
      <c r="L2408" s="4"/>
      <c r="M2408" s="5" t="s">
        <v>1871</v>
      </c>
    </row>
    <row r="2409" customFormat="false" ht="15.75" hidden="false" customHeight="false" outlineLevel="0" collapsed="false">
      <c r="A2409" s="3" t="n">
        <v>46215</v>
      </c>
      <c r="B2409" s="4" t="s">
        <v>915</v>
      </c>
      <c r="C2409" s="4" t="n">
        <v>6</v>
      </c>
      <c r="D2409" s="4" t="n">
        <v>3</v>
      </c>
      <c r="E2409" s="4" t="s">
        <v>2336</v>
      </c>
      <c r="F2409" s="4" t="n">
        <v>15</v>
      </c>
      <c r="G2409" s="4" t="n">
        <v>8</v>
      </c>
      <c r="H2409" s="4" t="n">
        <v>4</v>
      </c>
      <c r="I2409" s="4" t="str">
        <v>×</v>
      </c>
      <c r="J2409" s="4"/>
      <c r="K2409" s="4"/>
      <c r="L2409" s="4"/>
      <c r="M2409" s="5" t="s">
        <v>1871</v>
      </c>
    </row>
    <row r="2410" customFormat="false" ht="15.75" hidden="false" customHeight="false" outlineLevel="0" collapsed="false">
      <c r="A2410" s="3" t="n">
        <v>46215</v>
      </c>
      <c r="B2410" s="4" t="s">
        <v>915</v>
      </c>
      <c r="C2410" s="4" t="n">
        <v>6</v>
      </c>
      <c r="D2410" s="4" t="n">
        <v>4</v>
      </c>
      <c r="E2410" s="4" t="s">
        <v>2337</v>
      </c>
      <c r="F2410" s="4" t="n">
        <v>2</v>
      </c>
      <c r="G2410" s="4" t="n">
        <v>16</v>
      </c>
      <c r="H2410" s="4" t="n">
        <v>4</v>
      </c>
      <c r="I2410" s="4" t="str">
        <v>×</v>
      </c>
      <c r="J2410" s="4"/>
      <c r="K2410" s="4"/>
      <c r="L2410" s="4"/>
      <c r="M2410" s="5" t="s">
        <v>1871</v>
      </c>
    </row>
    <row r="2411" customFormat="false" ht="15.75" hidden="false" customHeight="false" outlineLevel="0" collapsed="false">
      <c r="A2411" s="3" t="n">
        <v>46215</v>
      </c>
      <c r="B2411" s="4" t="s">
        <v>915</v>
      </c>
      <c r="C2411" s="4" t="n">
        <v>6</v>
      </c>
      <c r="D2411" s="4" t="n">
        <v>5</v>
      </c>
      <c r="E2411" s="4" t="s">
        <v>944</v>
      </c>
      <c r="F2411" s="4" t="n">
        <v>37</v>
      </c>
      <c r="G2411" s="4" t="n">
        <v>3</v>
      </c>
      <c r="H2411" s="4" t="n">
        <v>4</v>
      </c>
      <c r="I2411" s="4" t="str">
        <v>×</v>
      </c>
      <c r="J2411" s="4"/>
      <c r="K2411" s="4"/>
      <c r="L2411" s="4"/>
      <c r="M2411" s="5" t="s">
        <v>1871</v>
      </c>
    </row>
    <row r="2412" customFormat="false" ht="15.75" hidden="false" customHeight="false" outlineLevel="0" collapsed="false">
      <c r="A2412" s="3" t="n">
        <v>46215</v>
      </c>
      <c r="B2412" s="4" t="s">
        <v>915</v>
      </c>
      <c r="C2412" s="4" t="n">
        <v>6</v>
      </c>
      <c r="D2412" s="4" t="n">
        <v>6</v>
      </c>
      <c r="E2412" s="4" t="s">
        <v>493</v>
      </c>
      <c r="F2412" s="4" t="n">
        <v>56</v>
      </c>
      <c r="G2412" s="4" t="n">
        <v>2</v>
      </c>
      <c r="H2412" s="4" t="n">
        <v>2</v>
      </c>
      <c r="I2412" s="4" t="str">
        <v>○</v>
      </c>
      <c r="J2412" s="4" t="n">
        <v>190</v>
      </c>
      <c r="K2412" s="4"/>
      <c r="L2412" s="4"/>
      <c r="M2412" s="5" t="s">
        <v>1871</v>
      </c>
    </row>
    <row r="2413" customFormat="false" ht="15.75" hidden="false" customHeight="false" outlineLevel="0" collapsed="false">
      <c r="A2413" s="3" t="n">
        <v>46215</v>
      </c>
      <c r="B2413" s="4" t="s">
        <v>915</v>
      </c>
      <c r="C2413" s="4" t="n">
        <v>6</v>
      </c>
      <c r="D2413" s="4" t="n">
        <v>7</v>
      </c>
      <c r="E2413" s="4" t="s">
        <v>2338</v>
      </c>
      <c r="F2413" s="4" t="n">
        <v>31</v>
      </c>
      <c r="G2413" s="4" t="n">
        <v>4</v>
      </c>
      <c r="H2413" s="4" t="n">
        <v>4</v>
      </c>
      <c r="I2413" s="4" t="str">
        <v>×</v>
      </c>
      <c r="J2413" s="4"/>
      <c r="K2413" s="4"/>
      <c r="L2413" s="4"/>
      <c r="M2413" s="5" t="s">
        <v>1871</v>
      </c>
    </row>
    <row r="2414" customFormat="false" ht="15.75" hidden="false" customHeight="false" outlineLevel="0" collapsed="false">
      <c r="A2414" s="3" t="n">
        <v>46215</v>
      </c>
      <c r="B2414" s="4" t="s">
        <v>915</v>
      </c>
      <c r="C2414" s="4" t="n">
        <v>6</v>
      </c>
      <c r="D2414" s="4" t="n">
        <v>8</v>
      </c>
      <c r="E2414" s="4" t="s">
        <v>2339</v>
      </c>
      <c r="F2414" s="4" t="n">
        <v>17</v>
      </c>
      <c r="G2414" s="4" t="n">
        <v>7</v>
      </c>
      <c r="H2414" s="4" t="n">
        <v>4</v>
      </c>
      <c r="I2414" s="4" t="str">
        <v>×</v>
      </c>
      <c r="J2414" s="4"/>
      <c r="K2414" s="4"/>
      <c r="L2414" s="4"/>
      <c r="M2414" s="5" t="s">
        <v>1871</v>
      </c>
    </row>
    <row r="2415" customFormat="false" ht="15.75" hidden="false" customHeight="false" outlineLevel="0" collapsed="false">
      <c r="A2415" s="3" t="n">
        <v>46215</v>
      </c>
      <c r="B2415" s="4" t="s">
        <v>915</v>
      </c>
      <c r="C2415" s="4" t="n">
        <v>6</v>
      </c>
      <c r="D2415" s="4" t="n">
        <v>9</v>
      </c>
      <c r="E2415" s="4" t="s">
        <v>2340</v>
      </c>
      <c r="F2415" s="4" t="n">
        <v>4</v>
      </c>
      <c r="G2415" s="4" t="n">
        <v>12</v>
      </c>
      <c r="H2415" s="4" t="n">
        <v>4</v>
      </c>
      <c r="I2415" s="4" t="str">
        <v>×</v>
      </c>
      <c r="J2415" s="4"/>
      <c r="K2415" s="4"/>
      <c r="L2415" s="4"/>
      <c r="M2415" s="5" t="s">
        <v>1871</v>
      </c>
    </row>
    <row r="2416" customFormat="false" ht="15.75" hidden="false" customHeight="false" outlineLevel="0" collapsed="false">
      <c r="A2416" s="3" t="n">
        <v>46215</v>
      </c>
      <c r="B2416" s="4" t="s">
        <v>915</v>
      </c>
      <c r="C2416" s="4" t="n">
        <v>6</v>
      </c>
      <c r="D2416" s="4" t="n">
        <v>10</v>
      </c>
      <c r="E2416" s="4" t="s">
        <v>2341</v>
      </c>
      <c r="F2416" s="4" t="n">
        <v>10</v>
      </c>
      <c r="G2416" s="4" t="n">
        <v>10</v>
      </c>
      <c r="H2416" s="4" t="n">
        <v>3</v>
      </c>
      <c r="I2416" s="4" t="str">
        <v>○</v>
      </c>
      <c r="J2416" s="4" t="n">
        <v>860</v>
      </c>
      <c r="K2416" s="4"/>
      <c r="L2416" s="4"/>
      <c r="M2416" s="5" t="s">
        <v>1871</v>
      </c>
    </row>
    <row r="2417" customFormat="false" ht="15.75" hidden="false" customHeight="false" outlineLevel="0" collapsed="false">
      <c r="A2417" s="3" t="n">
        <v>46215</v>
      </c>
      <c r="B2417" s="4" t="s">
        <v>915</v>
      </c>
      <c r="C2417" s="4" t="n">
        <v>6</v>
      </c>
      <c r="D2417" s="4" t="n">
        <v>11</v>
      </c>
      <c r="E2417" s="4" t="s">
        <v>2342</v>
      </c>
      <c r="F2417" s="4" t="n">
        <v>66</v>
      </c>
      <c r="G2417" s="4" t="n">
        <v>1</v>
      </c>
      <c r="H2417" s="4" t="n">
        <v>4</v>
      </c>
      <c r="I2417" s="4" t="str">
        <v>×</v>
      </c>
      <c r="J2417" s="4"/>
      <c r="K2417" s="4"/>
      <c r="L2417" s="4"/>
      <c r="M2417" s="5" t="s">
        <v>1871</v>
      </c>
    </row>
    <row r="2418" customFormat="false" ht="15.75" hidden="false" customHeight="false" outlineLevel="0" collapsed="false">
      <c r="A2418" s="3" t="n">
        <v>46215</v>
      </c>
      <c r="B2418" s="4" t="s">
        <v>915</v>
      </c>
      <c r="C2418" s="4" t="n">
        <v>6</v>
      </c>
      <c r="D2418" s="4" t="n">
        <v>12</v>
      </c>
      <c r="E2418" s="4" t="s">
        <v>2343</v>
      </c>
      <c r="F2418" s="4" t="n">
        <v>31</v>
      </c>
      <c r="G2418" s="4" t="n">
        <v>4</v>
      </c>
      <c r="H2418" s="4" t="n">
        <v>1</v>
      </c>
      <c r="I2418" s="4" t="str">
        <v>○</v>
      </c>
      <c r="J2418" s="4" t="n">
        <v>310</v>
      </c>
      <c r="K2418" s="4"/>
      <c r="L2418" s="4"/>
      <c r="M2418" s="5" t="s">
        <v>1871</v>
      </c>
    </row>
    <row r="2419" customFormat="false" ht="15.75" hidden="false" customHeight="false" outlineLevel="0" collapsed="false">
      <c r="A2419" s="3" t="n">
        <v>46215</v>
      </c>
      <c r="B2419" s="4" t="s">
        <v>915</v>
      </c>
      <c r="C2419" s="4" t="n">
        <v>6</v>
      </c>
      <c r="D2419" s="4" t="n">
        <v>13</v>
      </c>
      <c r="E2419" s="4" t="s">
        <v>2344</v>
      </c>
      <c r="F2419" s="4" t="n">
        <v>4</v>
      </c>
      <c r="G2419" s="4" t="n">
        <v>12</v>
      </c>
      <c r="H2419" s="4" t="n">
        <v>4</v>
      </c>
      <c r="I2419" s="4" t="str">
        <v>×</v>
      </c>
      <c r="J2419" s="4"/>
      <c r="K2419" s="4"/>
      <c r="L2419" s="4"/>
      <c r="M2419" s="5" t="s">
        <v>1871</v>
      </c>
    </row>
    <row r="2420" customFormat="false" ht="15.75" hidden="false" customHeight="false" outlineLevel="0" collapsed="false">
      <c r="A2420" s="3" t="n">
        <v>46215</v>
      </c>
      <c r="B2420" s="4" t="s">
        <v>915</v>
      </c>
      <c r="C2420" s="4" t="n">
        <v>6</v>
      </c>
      <c r="D2420" s="4" t="n">
        <v>14</v>
      </c>
      <c r="E2420" s="4" t="s">
        <v>2345</v>
      </c>
      <c r="F2420" s="4" t="n">
        <v>4</v>
      </c>
      <c r="G2420" s="4" t="n">
        <v>12</v>
      </c>
      <c r="H2420" s="4" t="n">
        <v>4</v>
      </c>
      <c r="I2420" s="4" t="str">
        <v>×</v>
      </c>
      <c r="J2420" s="4"/>
      <c r="K2420" s="4"/>
      <c r="L2420" s="4"/>
      <c r="M2420" s="5" t="s">
        <v>1871</v>
      </c>
    </row>
    <row r="2421" customFormat="false" ht="15.75" hidden="false" customHeight="false" outlineLevel="0" collapsed="false">
      <c r="A2421" s="3" t="n">
        <v>46215</v>
      </c>
      <c r="B2421" s="4" t="s">
        <v>915</v>
      </c>
      <c r="C2421" s="4" t="n">
        <v>6</v>
      </c>
      <c r="D2421" s="4" t="n">
        <v>15</v>
      </c>
      <c r="E2421" s="4" t="s">
        <v>2346</v>
      </c>
      <c r="F2421" s="4" t="n">
        <v>4</v>
      </c>
      <c r="G2421" s="4" t="n">
        <v>12</v>
      </c>
      <c r="H2421" s="4" t="n">
        <v>4</v>
      </c>
      <c r="I2421" s="4" t="str">
        <v>×</v>
      </c>
      <c r="J2421" s="4"/>
      <c r="K2421" s="4"/>
      <c r="L2421" s="4"/>
      <c r="M2421" s="5" t="s">
        <v>1871</v>
      </c>
    </row>
    <row r="2422" customFormat="false" ht="15.75" hidden="false" customHeight="false" outlineLevel="0" collapsed="false">
      <c r="A2422" s="3" t="n">
        <v>46215</v>
      </c>
      <c r="B2422" s="4" t="s">
        <v>915</v>
      </c>
      <c r="C2422" s="4" t="n">
        <v>6</v>
      </c>
      <c r="D2422" s="4" t="n">
        <v>16</v>
      </c>
      <c r="E2422" s="4" t="s">
        <v>2347</v>
      </c>
      <c r="F2422" s="4" t="n">
        <v>6</v>
      </c>
      <c r="G2422" s="4" t="n">
        <v>11</v>
      </c>
      <c r="H2422" s="4" t="n">
        <v>4</v>
      </c>
      <c r="I2422" s="4" t="str">
        <v>×</v>
      </c>
      <c r="J2422" s="4"/>
      <c r="K2422" s="4"/>
      <c r="L2422" s="4"/>
      <c r="M2422" s="5" t="s">
        <v>1871</v>
      </c>
    </row>
    <row r="2423" customFormat="false" ht="15.75" hidden="false" customHeight="false" outlineLevel="0" collapsed="false">
      <c r="A2423" s="3" t="n">
        <v>46215</v>
      </c>
      <c r="B2423" s="4" t="s">
        <v>915</v>
      </c>
      <c r="C2423" s="4" t="n">
        <v>7</v>
      </c>
      <c r="D2423" s="4" t="n">
        <v>1</v>
      </c>
      <c r="E2423" s="4" t="s">
        <v>2348</v>
      </c>
      <c r="F2423" s="4" t="n">
        <v>15</v>
      </c>
      <c r="G2423" s="4" t="n">
        <v>9</v>
      </c>
      <c r="H2423" s="4" t="n">
        <v>4</v>
      </c>
      <c r="I2423" s="4" t="str">
        <v>×</v>
      </c>
      <c r="J2423" s="4"/>
      <c r="K2423" s="4"/>
      <c r="L2423" s="4"/>
      <c r="M2423" s="5" t="s">
        <v>1871</v>
      </c>
    </row>
    <row r="2424" customFormat="false" ht="15.75" hidden="false" customHeight="false" outlineLevel="0" collapsed="false">
      <c r="A2424" s="3" t="n">
        <v>46215</v>
      </c>
      <c r="B2424" s="4" t="s">
        <v>915</v>
      </c>
      <c r="C2424" s="4" t="n">
        <v>7</v>
      </c>
      <c r="D2424" s="4" t="n">
        <v>2</v>
      </c>
      <c r="E2424" s="4" t="s">
        <v>2349</v>
      </c>
      <c r="F2424" s="4" t="n">
        <v>4</v>
      </c>
      <c r="G2424" s="4" t="n">
        <v>15</v>
      </c>
      <c r="H2424" s="4" t="n">
        <v>4</v>
      </c>
      <c r="I2424" s="4" t="str">
        <v>×</v>
      </c>
      <c r="J2424" s="4"/>
      <c r="K2424" s="4"/>
      <c r="L2424" s="4"/>
      <c r="M2424" s="5" t="s">
        <v>1871</v>
      </c>
    </row>
    <row r="2425" customFormat="false" ht="15.75" hidden="false" customHeight="false" outlineLevel="0" collapsed="false">
      <c r="A2425" s="3" t="n">
        <v>46215</v>
      </c>
      <c r="B2425" s="4" t="s">
        <v>915</v>
      </c>
      <c r="C2425" s="4" t="n">
        <v>7</v>
      </c>
      <c r="D2425" s="4" t="n">
        <v>3</v>
      </c>
      <c r="E2425" s="4" t="s">
        <v>2350</v>
      </c>
      <c r="F2425" s="4" t="n">
        <v>8</v>
      </c>
      <c r="G2425" s="4" t="n">
        <v>12</v>
      </c>
      <c r="H2425" s="4" t="n">
        <v>4</v>
      </c>
      <c r="I2425" s="4" t="str">
        <v>×</v>
      </c>
      <c r="J2425" s="4"/>
      <c r="K2425" s="4"/>
      <c r="L2425" s="4"/>
      <c r="M2425" s="5" t="s">
        <v>1871</v>
      </c>
    </row>
    <row r="2426" customFormat="false" ht="15.75" hidden="false" customHeight="false" outlineLevel="0" collapsed="false">
      <c r="A2426" s="3" t="n">
        <v>46215</v>
      </c>
      <c r="B2426" s="4" t="s">
        <v>915</v>
      </c>
      <c r="C2426" s="4" t="n">
        <v>7</v>
      </c>
      <c r="D2426" s="4" t="n">
        <v>4</v>
      </c>
      <c r="E2426" s="4" t="s">
        <v>2351</v>
      </c>
      <c r="F2426" s="4" t="n">
        <v>39</v>
      </c>
      <c r="G2426" s="4" t="n">
        <v>2</v>
      </c>
      <c r="H2426" s="4" t="n">
        <v>1</v>
      </c>
      <c r="I2426" s="4" t="str">
        <v>○</v>
      </c>
      <c r="J2426" s="4" t="n">
        <v>200</v>
      </c>
      <c r="K2426" s="4"/>
      <c r="L2426" s="4"/>
      <c r="M2426" s="5" t="s">
        <v>1871</v>
      </c>
    </row>
    <row r="2427" customFormat="false" ht="15.75" hidden="false" customHeight="false" outlineLevel="0" collapsed="false">
      <c r="A2427" s="3" t="n">
        <v>46215</v>
      </c>
      <c r="B2427" s="4" t="s">
        <v>915</v>
      </c>
      <c r="C2427" s="4" t="n">
        <v>7</v>
      </c>
      <c r="D2427" s="4" t="n">
        <v>5</v>
      </c>
      <c r="E2427" s="4" t="s">
        <v>2352</v>
      </c>
      <c r="F2427" s="4" t="n">
        <v>4</v>
      </c>
      <c r="G2427" s="4" t="n">
        <v>15</v>
      </c>
      <c r="H2427" s="4" t="n">
        <v>4</v>
      </c>
      <c r="I2427" s="4" t="str">
        <v>×</v>
      </c>
      <c r="J2427" s="4"/>
      <c r="K2427" s="4"/>
      <c r="L2427" s="4"/>
      <c r="M2427" s="5" t="s">
        <v>1871</v>
      </c>
    </row>
    <row r="2428" customFormat="false" ht="15.75" hidden="false" customHeight="false" outlineLevel="0" collapsed="false">
      <c r="A2428" s="3" t="n">
        <v>46215</v>
      </c>
      <c r="B2428" s="4" t="s">
        <v>915</v>
      </c>
      <c r="C2428" s="4" t="n">
        <v>7</v>
      </c>
      <c r="D2428" s="4" t="n">
        <v>6</v>
      </c>
      <c r="E2428" s="4" t="s">
        <v>2353</v>
      </c>
      <c r="F2428" s="4" t="n">
        <v>17</v>
      </c>
      <c r="G2428" s="4" t="n">
        <v>7</v>
      </c>
      <c r="H2428" s="4" t="n">
        <v>4</v>
      </c>
      <c r="I2428" s="4" t="str">
        <v>×</v>
      </c>
      <c r="J2428" s="4"/>
      <c r="K2428" s="4"/>
      <c r="L2428" s="4"/>
      <c r="M2428" s="5" t="s">
        <v>1871</v>
      </c>
    </row>
    <row r="2429" customFormat="false" ht="15.75" hidden="false" customHeight="false" outlineLevel="0" collapsed="false">
      <c r="A2429" s="3" t="n">
        <v>46215</v>
      </c>
      <c r="B2429" s="4" t="s">
        <v>915</v>
      </c>
      <c r="C2429" s="4" t="n">
        <v>7</v>
      </c>
      <c r="D2429" s="4" t="n">
        <v>7</v>
      </c>
      <c r="E2429" s="4" t="s">
        <v>2354</v>
      </c>
      <c r="F2429" s="4" t="n">
        <v>31</v>
      </c>
      <c r="G2429" s="4" t="n">
        <v>3</v>
      </c>
      <c r="H2429" s="4" t="n">
        <v>4</v>
      </c>
      <c r="I2429" s="4" t="str">
        <v>×</v>
      </c>
      <c r="J2429" s="4"/>
      <c r="K2429" s="4"/>
      <c r="L2429" s="4"/>
      <c r="M2429" s="5" t="s">
        <v>1871</v>
      </c>
    </row>
    <row r="2430" customFormat="false" ht="15.75" hidden="false" customHeight="false" outlineLevel="0" collapsed="false">
      <c r="A2430" s="3" t="n">
        <v>46215</v>
      </c>
      <c r="B2430" s="4" t="s">
        <v>915</v>
      </c>
      <c r="C2430" s="4" t="n">
        <v>7</v>
      </c>
      <c r="D2430" s="4" t="n">
        <v>8</v>
      </c>
      <c r="E2430" s="4" t="s">
        <v>2355</v>
      </c>
      <c r="F2430" s="4" t="n">
        <v>8</v>
      </c>
      <c r="G2430" s="4" t="n">
        <v>12</v>
      </c>
      <c r="H2430" s="4" t="n">
        <v>4</v>
      </c>
      <c r="I2430" s="4" t="str">
        <v>×</v>
      </c>
      <c r="J2430" s="4"/>
      <c r="K2430" s="4"/>
      <c r="L2430" s="4"/>
      <c r="M2430" s="5" t="s">
        <v>1871</v>
      </c>
    </row>
    <row r="2431" customFormat="false" ht="15.75" hidden="false" customHeight="false" outlineLevel="0" collapsed="false">
      <c r="A2431" s="3" t="n">
        <v>46215</v>
      </c>
      <c r="B2431" s="4" t="s">
        <v>915</v>
      </c>
      <c r="C2431" s="4" t="n">
        <v>7</v>
      </c>
      <c r="D2431" s="4" t="n">
        <v>9</v>
      </c>
      <c r="E2431" s="4" t="s">
        <v>2356</v>
      </c>
      <c r="F2431" s="4" t="n">
        <v>10</v>
      </c>
      <c r="G2431" s="4" t="n">
        <v>11</v>
      </c>
      <c r="H2431" s="4" t="n">
        <v>4</v>
      </c>
      <c r="I2431" s="4" t="str">
        <v>×</v>
      </c>
      <c r="J2431" s="4"/>
      <c r="K2431" s="4"/>
      <c r="L2431" s="4"/>
      <c r="M2431" s="5" t="s">
        <v>1871</v>
      </c>
    </row>
    <row r="2432" customFormat="false" ht="15.75" hidden="false" customHeight="false" outlineLevel="0" collapsed="false">
      <c r="A2432" s="3" t="n">
        <v>46215</v>
      </c>
      <c r="B2432" s="4" t="s">
        <v>915</v>
      </c>
      <c r="C2432" s="4" t="n">
        <v>7</v>
      </c>
      <c r="D2432" s="4" t="n">
        <v>10</v>
      </c>
      <c r="E2432" s="4" t="s">
        <v>2357</v>
      </c>
      <c r="F2432" s="4" t="n">
        <v>25</v>
      </c>
      <c r="G2432" s="4" t="n">
        <v>5</v>
      </c>
      <c r="H2432" s="4" t="n">
        <v>3</v>
      </c>
      <c r="I2432" s="4" t="str">
        <v>○</v>
      </c>
      <c r="J2432" s="4" t="n">
        <v>230</v>
      </c>
      <c r="K2432" s="4"/>
      <c r="L2432" s="4"/>
      <c r="M2432" s="5" t="s">
        <v>1871</v>
      </c>
    </row>
    <row r="2433" customFormat="false" ht="15.75" hidden="false" customHeight="false" outlineLevel="0" collapsed="false">
      <c r="A2433" s="3" t="n">
        <v>46215</v>
      </c>
      <c r="B2433" s="4" t="s">
        <v>915</v>
      </c>
      <c r="C2433" s="4" t="n">
        <v>7</v>
      </c>
      <c r="D2433" s="4" t="n">
        <v>11</v>
      </c>
      <c r="E2433" s="4" t="s">
        <v>2358</v>
      </c>
      <c r="F2433" s="4" t="n">
        <v>44</v>
      </c>
      <c r="G2433" s="4" t="n">
        <v>1</v>
      </c>
      <c r="H2433" s="4" t="n">
        <v>4</v>
      </c>
      <c r="I2433" s="4" t="str">
        <v>×</v>
      </c>
      <c r="J2433" s="4"/>
      <c r="K2433" s="4"/>
      <c r="L2433" s="4"/>
      <c r="M2433" s="5" t="s">
        <v>1871</v>
      </c>
    </row>
    <row r="2434" customFormat="false" ht="15.75" hidden="false" customHeight="false" outlineLevel="0" collapsed="false">
      <c r="A2434" s="3" t="n">
        <v>46215</v>
      </c>
      <c r="B2434" s="4" t="s">
        <v>915</v>
      </c>
      <c r="C2434" s="4" t="n">
        <v>7</v>
      </c>
      <c r="D2434" s="4" t="n">
        <v>12</v>
      </c>
      <c r="E2434" s="4" t="s">
        <v>2359</v>
      </c>
      <c r="F2434" s="4" t="n">
        <v>31</v>
      </c>
      <c r="G2434" s="4" t="n">
        <v>3</v>
      </c>
      <c r="H2434" s="4" t="n">
        <v>2</v>
      </c>
      <c r="I2434" s="4" t="str">
        <v>○</v>
      </c>
      <c r="J2434" s="4" t="n">
        <v>310</v>
      </c>
      <c r="K2434" s="4"/>
      <c r="L2434" s="4"/>
      <c r="M2434" s="5" t="s">
        <v>1871</v>
      </c>
    </row>
    <row r="2435" customFormat="false" ht="15.75" hidden="false" customHeight="false" outlineLevel="0" collapsed="false">
      <c r="A2435" s="3" t="n">
        <v>46215</v>
      </c>
      <c r="B2435" s="4" t="s">
        <v>915</v>
      </c>
      <c r="C2435" s="4" t="n">
        <v>7</v>
      </c>
      <c r="D2435" s="4" t="n">
        <v>13</v>
      </c>
      <c r="E2435" s="4" t="s">
        <v>2360</v>
      </c>
      <c r="F2435" s="4" t="n">
        <v>17</v>
      </c>
      <c r="G2435" s="4" t="n">
        <v>7</v>
      </c>
      <c r="H2435" s="4" t="n">
        <v>4</v>
      </c>
      <c r="I2435" s="4" t="str">
        <v>×</v>
      </c>
      <c r="J2435" s="4"/>
      <c r="K2435" s="4"/>
      <c r="L2435" s="4"/>
      <c r="M2435" s="5" t="s">
        <v>1871</v>
      </c>
    </row>
    <row r="2436" customFormat="false" ht="15.75" hidden="false" customHeight="false" outlineLevel="0" collapsed="false">
      <c r="A2436" s="3" t="n">
        <v>46215</v>
      </c>
      <c r="B2436" s="4" t="s">
        <v>915</v>
      </c>
      <c r="C2436" s="4" t="n">
        <v>7</v>
      </c>
      <c r="D2436" s="4" t="n">
        <v>14</v>
      </c>
      <c r="E2436" s="4" t="s">
        <v>2361</v>
      </c>
      <c r="F2436" s="4" t="n">
        <v>25</v>
      </c>
      <c r="G2436" s="4" t="n">
        <v>5</v>
      </c>
      <c r="H2436" s="4" t="n">
        <v>4</v>
      </c>
      <c r="I2436" s="4" t="str">
        <v>×</v>
      </c>
      <c r="J2436" s="4"/>
      <c r="K2436" s="4"/>
      <c r="L2436" s="4"/>
      <c r="M2436" s="5" t="s">
        <v>1871</v>
      </c>
    </row>
    <row r="2437" customFormat="false" ht="15.75" hidden="false" customHeight="false" outlineLevel="0" collapsed="false">
      <c r="A2437" s="3" t="n">
        <v>46215</v>
      </c>
      <c r="B2437" s="4" t="s">
        <v>915</v>
      </c>
      <c r="C2437" s="4" t="n">
        <v>7</v>
      </c>
      <c r="D2437" s="4" t="n">
        <v>15</v>
      </c>
      <c r="E2437" s="4" t="s">
        <v>2362</v>
      </c>
      <c r="F2437" s="4" t="n">
        <v>13</v>
      </c>
      <c r="G2437" s="4" t="n">
        <v>10</v>
      </c>
      <c r="H2437" s="4" t="n">
        <v>4</v>
      </c>
      <c r="I2437" s="4" t="str">
        <v>×</v>
      </c>
      <c r="J2437" s="4"/>
      <c r="K2437" s="4"/>
      <c r="L2437" s="4"/>
      <c r="M2437" s="5" t="s">
        <v>1871</v>
      </c>
    </row>
    <row r="2438" customFormat="false" ht="15.75" hidden="false" customHeight="false" outlineLevel="0" collapsed="false">
      <c r="A2438" s="3" t="n">
        <v>46215</v>
      </c>
      <c r="B2438" s="4" t="s">
        <v>915</v>
      </c>
      <c r="C2438" s="4" t="n">
        <v>7</v>
      </c>
      <c r="D2438" s="4" t="n">
        <v>16</v>
      </c>
      <c r="E2438" s="4" t="s">
        <v>2363</v>
      </c>
      <c r="F2438" s="4" t="n">
        <v>8</v>
      </c>
      <c r="G2438" s="4" t="n">
        <v>12</v>
      </c>
      <c r="H2438" s="4" t="n">
        <v>4</v>
      </c>
      <c r="I2438" s="4" t="str">
        <v>×</v>
      </c>
      <c r="J2438" s="4"/>
      <c r="K2438" s="4"/>
      <c r="L2438" s="4"/>
      <c r="M2438" s="5" t="s">
        <v>1871</v>
      </c>
    </row>
    <row r="2439" customFormat="false" ht="15.75" hidden="false" customHeight="false" outlineLevel="0" collapsed="false">
      <c r="A2439" s="3" t="n">
        <v>46215</v>
      </c>
      <c r="B2439" s="4" t="s">
        <v>915</v>
      </c>
      <c r="C2439" s="4" t="n">
        <v>8</v>
      </c>
      <c r="D2439" s="4" t="n">
        <v>1</v>
      </c>
      <c r="E2439" s="4" t="s">
        <v>2364</v>
      </c>
      <c r="F2439" s="4" t="n">
        <v>44</v>
      </c>
      <c r="G2439" s="4" t="n">
        <v>3</v>
      </c>
      <c r="H2439" s="4" t="n">
        <v>4</v>
      </c>
      <c r="I2439" s="4" t="str">
        <v>×</v>
      </c>
      <c r="J2439" s="4"/>
      <c r="K2439" s="4"/>
      <c r="L2439" s="4"/>
      <c r="M2439" s="5" t="s">
        <v>1871</v>
      </c>
    </row>
    <row r="2440" customFormat="false" ht="15.75" hidden="false" customHeight="false" outlineLevel="0" collapsed="false">
      <c r="A2440" s="3" t="n">
        <v>46215</v>
      </c>
      <c r="B2440" s="4" t="s">
        <v>915</v>
      </c>
      <c r="C2440" s="4" t="n">
        <v>8</v>
      </c>
      <c r="D2440" s="4" t="n">
        <v>2</v>
      </c>
      <c r="E2440" s="4" t="s">
        <v>2365</v>
      </c>
      <c r="F2440" s="4" t="n">
        <v>10</v>
      </c>
      <c r="G2440" s="4" t="n">
        <v>11</v>
      </c>
      <c r="H2440" s="4" t="n">
        <v>4</v>
      </c>
      <c r="I2440" s="4" t="str">
        <v>×</v>
      </c>
      <c r="J2440" s="4"/>
      <c r="K2440" s="4"/>
      <c r="L2440" s="4"/>
      <c r="M2440" s="5" t="s">
        <v>1871</v>
      </c>
    </row>
    <row r="2441" customFormat="false" ht="15.75" hidden="false" customHeight="false" outlineLevel="0" collapsed="false">
      <c r="A2441" s="3" t="n">
        <v>46215</v>
      </c>
      <c r="B2441" s="4" t="s">
        <v>915</v>
      </c>
      <c r="C2441" s="4" t="n">
        <v>8</v>
      </c>
      <c r="D2441" s="4" t="n">
        <v>3</v>
      </c>
      <c r="E2441" s="4" t="s">
        <v>2366</v>
      </c>
      <c r="F2441" s="4" t="n">
        <v>37</v>
      </c>
      <c r="G2441" s="4" t="n">
        <v>5</v>
      </c>
      <c r="H2441" s="4" t="n">
        <v>4</v>
      </c>
      <c r="I2441" s="4" t="str">
        <v>×</v>
      </c>
      <c r="J2441" s="4"/>
      <c r="K2441" s="4"/>
      <c r="L2441" s="4"/>
      <c r="M2441" s="5" t="s">
        <v>1871</v>
      </c>
    </row>
    <row r="2442" customFormat="false" ht="15.75" hidden="false" customHeight="false" outlineLevel="0" collapsed="false">
      <c r="A2442" s="3" t="n">
        <v>46215</v>
      </c>
      <c r="B2442" s="4" t="s">
        <v>915</v>
      </c>
      <c r="C2442" s="4" t="n">
        <v>8</v>
      </c>
      <c r="D2442" s="4" t="n">
        <v>4</v>
      </c>
      <c r="E2442" s="4" t="s">
        <v>2367</v>
      </c>
      <c r="F2442" s="4" t="n">
        <v>6</v>
      </c>
      <c r="G2442" s="4" t="n">
        <v>12</v>
      </c>
      <c r="H2442" s="4" t="n">
        <v>4</v>
      </c>
      <c r="I2442" s="4" t="str">
        <v>×</v>
      </c>
      <c r="J2442" s="4"/>
      <c r="K2442" s="4"/>
      <c r="L2442" s="4"/>
      <c r="M2442" s="5" t="s">
        <v>1871</v>
      </c>
    </row>
    <row r="2443" customFormat="false" ht="15.75" hidden="false" customHeight="false" outlineLevel="0" collapsed="false">
      <c r="A2443" s="3" t="n">
        <v>46215</v>
      </c>
      <c r="B2443" s="4" t="s">
        <v>915</v>
      </c>
      <c r="C2443" s="4" t="n">
        <v>8</v>
      </c>
      <c r="D2443" s="4" t="n">
        <v>5</v>
      </c>
      <c r="E2443" s="4" t="s">
        <v>2368</v>
      </c>
      <c r="F2443" s="4" t="n">
        <v>20</v>
      </c>
      <c r="G2443" s="4" t="n">
        <v>9</v>
      </c>
      <c r="H2443" s="4" t="n">
        <v>4</v>
      </c>
      <c r="I2443" s="4" t="str">
        <v>×</v>
      </c>
      <c r="J2443" s="4"/>
      <c r="K2443" s="4"/>
      <c r="L2443" s="4"/>
      <c r="M2443" s="5" t="s">
        <v>1871</v>
      </c>
    </row>
    <row r="2444" customFormat="false" ht="15.75" hidden="false" customHeight="false" outlineLevel="0" collapsed="false">
      <c r="A2444" s="3" t="n">
        <v>46215</v>
      </c>
      <c r="B2444" s="4" t="s">
        <v>915</v>
      </c>
      <c r="C2444" s="4" t="n">
        <v>8</v>
      </c>
      <c r="D2444" s="4" t="n">
        <v>6</v>
      </c>
      <c r="E2444" s="4" t="s">
        <v>2369</v>
      </c>
      <c r="F2444" s="4" t="n">
        <v>29</v>
      </c>
      <c r="G2444" s="4" t="n">
        <v>7</v>
      </c>
      <c r="H2444" s="4" t="n">
        <v>2</v>
      </c>
      <c r="I2444" s="4" t="str">
        <v>○</v>
      </c>
      <c r="J2444" s="4" t="n">
        <v>160</v>
      </c>
      <c r="K2444" s="4"/>
      <c r="L2444" s="4"/>
      <c r="M2444" s="5" t="s">
        <v>1871</v>
      </c>
    </row>
    <row r="2445" customFormat="false" ht="15.75" hidden="false" customHeight="false" outlineLevel="0" collapsed="false">
      <c r="A2445" s="3" t="n">
        <v>46215</v>
      </c>
      <c r="B2445" s="4" t="s">
        <v>915</v>
      </c>
      <c r="C2445" s="4" t="n">
        <v>8</v>
      </c>
      <c r="D2445" s="4" t="n">
        <v>7</v>
      </c>
      <c r="E2445" s="4" t="s">
        <v>2370</v>
      </c>
      <c r="F2445" s="4" t="n">
        <v>37</v>
      </c>
      <c r="G2445" s="4" t="n">
        <v>5</v>
      </c>
      <c r="H2445" s="4" t="n">
        <v>4</v>
      </c>
      <c r="I2445" s="4" t="str">
        <v>×</v>
      </c>
      <c r="J2445" s="4"/>
      <c r="K2445" s="4"/>
      <c r="L2445" s="4"/>
      <c r="M2445" s="5" t="s">
        <v>1871</v>
      </c>
    </row>
    <row r="2446" customFormat="false" ht="15.75" hidden="false" customHeight="false" outlineLevel="0" collapsed="false">
      <c r="A2446" s="3" t="n">
        <v>46215</v>
      </c>
      <c r="B2446" s="4" t="s">
        <v>915</v>
      </c>
      <c r="C2446" s="4" t="n">
        <v>8</v>
      </c>
      <c r="D2446" s="4" t="n">
        <v>8</v>
      </c>
      <c r="E2446" s="4" t="s">
        <v>2371</v>
      </c>
      <c r="F2446" s="4" t="n">
        <v>44</v>
      </c>
      <c r="G2446" s="4" t="n">
        <v>3</v>
      </c>
      <c r="H2446" s="4" t="n">
        <v>4</v>
      </c>
      <c r="I2446" s="4" t="str">
        <v>×</v>
      </c>
      <c r="J2446" s="4"/>
      <c r="K2446" s="4"/>
      <c r="L2446" s="4"/>
      <c r="M2446" s="5" t="s">
        <v>1871</v>
      </c>
    </row>
    <row r="2447" customFormat="false" ht="15.75" hidden="false" customHeight="false" outlineLevel="0" collapsed="false">
      <c r="A2447" s="3" t="n">
        <v>46215</v>
      </c>
      <c r="B2447" s="4" t="s">
        <v>915</v>
      </c>
      <c r="C2447" s="4" t="n">
        <v>8</v>
      </c>
      <c r="D2447" s="4" t="n">
        <v>9</v>
      </c>
      <c r="E2447" s="4" t="s">
        <v>2372</v>
      </c>
      <c r="F2447" s="4" t="n">
        <v>25</v>
      </c>
      <c r="G2447" s="4" t="n">
        <v>8</v>
      </c>
      <c r="H2447" s="4" t="n">
        <v>3</v>
      </c>
      <c r="I2447" s="4" t="str">
        <v>○</v>
      </c>
      <c r="J2447" s="4" t="n">
        <v>420</v>
      </c>
      <c r="K2447" s="4"/>
      <c r="L2447" s="4"/>
      <c r="M2447" s="5" t="s">
        <v>1871</v>
      </c>
    </row>
    <row r="2448" customFormat="false" ht="15.75" hidden="false" customHeight="false" outlineLevel="0" collapsed="false">
      <c r="A2448" s="3" t="n">
        <v>46215</v>
      </c>
      <c r="B2448" s="4" t="s">
        <v>915</v>
      </c>
      <c r="C2448" s="4" t="n">
        <v>8</v>
      </c>
      <c r="D2448" s="4" t="n">
        <v>10</v>
      </c>
      <c r="E2448" s="4" t="s">
        <v>2373</v>
      </c>
      <c r="F2448" s="4" t="n">
        <v>47</v>
      </c>
      <c r="G2448" s="4" t="n">
        <v>1</v>
      </c>
      <c r="H2448" s="4" t="n">
        <v>4</v>
      </c>
      <c r="I2448" s="4" t="str">
        <v>×</v>
      </c>
      <c r="J2448" s="4"/>
      <c r="K2448" s="4"/>
      <c r="L2448" s="4"/>
      <c r="M2448" s="5" t="s">
        <v>1871</v>
      </c>
    </row>
    <row r="2449" customFormat="false" ht="15.75" hidden="false" customHeight="false" outlineLevel="0" collapsed="false">
      <c r="A2449" s="3" t="n">
        <v>46215</v>
      </c>
      <c r="B2449" s="4" t="s">
        <v>915</v>
      </c>
      <c r="C2449" s="4" t="n">
        <v>8</v>
      </c>
      <c r="D2449" s="4" t="n">
        <v>11</v>
      </c>
      <c r="E2449" s="4" t="s">
        <v>2374</v>
      </c>
      <c r="F2449" s="4" t="n">
        <v>17</v>
      </c>
      <c r="G2449" s="4" t="n">
        <v>10</v>
      </c>
      <c r="H2449" s="4" t="n">
        <v>4</v>
      </c>
      <c r="I2449" s="4" t="str">
        <v>×</v>
      </c>
      <c r="J2449" s="4"/>
      <c r="K2449" s="4"/>
      <c r="L2449" s="4"/>
      <c r="M2449" s="5" t="s">
        <v>1871</v>
      </c>
    </row>
    <row r="2450" customFormat="false" ht="15.75" hidden="false" customHeight="false" outlineLevel="0" collapsed="false">
      <c r="A2450" s="3" t="n">
        <v>46215</v>
      </c>
      <c r="B2450" s="4" t="s">
        <v>915</v>
      </c>
      <c r="C2450" s="4" t="n">
        <v>8</v>
      </c>
      <c r="D2450" s="4" t="n">
        <v>12</v>
      </c>
      <c r="E2450" s="4" t="s">
        <v>2375</v>
      </c>
      <c r="F2450" s="4" t="n">
        <v>47</v>
      </c>
      <c r="G2450" s="4" t="n">
        <v>1</v>
      </c>
      <c r="H2450" s="4" t="n">
        <v>1</v>
      </c>
      <c r="I2450" s="4" t="str">
        <v>○</v>
      </c>
      <c r="J2450" s="4" t="n">
        <v>130</v>
      </c>
      <c r="K2450" s="4"/>
      <c r="L2450" s="4"/>
      <c r="M2450" s="5" t="s">
        <v>1871</v>
      </c>
    </row>
    <row r="2451" customFormat="false" ht="15.75" hidden="false" customHeight="false" outlineLevel="0" collapsed="false">
      <c r="A2451" s="3" t="n">
        <v>46215</v>
      </c>
      <c r="B2451" s="4" t="s">
        <v>915</v>
      </c>
      <c r="C2451" s="4" t="n">
        <v>9</v>
      </c>
      <c r="D2451" s="4" t="n">
        <v>1</v>
      </c>
      <c r="E2451" s="4" t="s">
        <v>872</v>
      </c>
      <c r="F2451" s="4" t="n">
        <v>25</v>
      </c>
      <c r="G2451" s="4" t="n">
        <v>5</v>
      </c>
      <c r="H2451" s="4" t="n">
        <v>4</v>
      </c>
      <c r="I2451" s="4" t="str">
        <v>×</v>
      </c>
      <c r="J2451" s="4"/>
      <c r="K2451" s="4"/>
      <c r="L2451" s="4"/>
      <c r="M2451" s="5" t="s">
        <v>1871</v>
      </c>
    </row>
    <row r="2452" customFormat="false" ht="15.75" hidden="false" customHeight="false" outlineLevel="0" collapsed="false">
      <c r="A2452" s="3" t="n">
        <v>46215</v>
      </c>
      <c r="B2452" s="4" t="s">
        <v>915</v>
      </c>
      <c r="C2452" s="4" t="n">
        <v>9</v>
      </c>
      <c r="D2452" s="4" t="n">
        <v>2</v>
      </c>
      <c r="E2452" s="4" t="s">
        <v>2376</v>
      </c>
      <c r="F2452" s="4" t="n">
        <v>23</v>
      </c>
      <c r="G2452" s="4" t="n">
        <v>6</v>
      </c>
      <c r="H2452" s="4" t="n">
        <v>4</v>
      </c>
      <c r="I2452" s="4" t="str">
        <v>×</v>
      </c>
      <c r="J2452" s="4"/>
      <c r="K2452" s="4"/>
      <c r="L2452" s="4"/>
      <c r="M2452" s="5" t="s">
        <v>1871</v>
      </c>
    </row>
    <row r="2453" customFormat="false" ht="15.75" hidden="false" customHeight="false" outlineLevel="0" collapsed="false">
      <c r="A2453" s="3" t="n">
        <v>46215</v>
      </c>
      <c r="B2453" s="4" t="s">
        <v>915</v>
      </c>
      <c r="C2453" s="4" t="n">
        <v>9</v>
      </c>
      <c r="D2453" s="4" t="n">
        <v>3</v>
      </c>
      <c r="E2453" s="4" t="s">
        <v>2377</v>
      </c>
      <c r="F2453" s="4" t="n">
        <v>8</v>
      </c>
      <c r="G2453" s="4" t="n">
        <v>9</v>
      </c>
      <c r="H2453" s="4" t="n">
        <v>4</v>
      </c>
      <c r="I2453" s="4" t="str">
        <v>×</v>
      </c>
      <c r="J2453" s="4"/>
      <c r="K2453" s="4"/>
      <c r="L2453" s="4"/>
      <c r="M2453" s="5" t="s">
        <v>1871</v>
      </c>
    </row>
    <row r="2454" customFormat="false" ht="15.75" hidden="false" customHeight="false" outlineLevel="0" collapsed="false">
      <c r="A2454" s="3" t="n">
        <v>46215</v>
      </c>
      <c r="B2454" s="4" t="s">
        <v>915</v>
      </c>
      <c r="C2454" s="4" t="n">
        <v>9</v>
      </c>
      <c r="D2454" s="4" t="n">
        <v>4</v>
      </c>
      <c r="E2454" s="4" t="s">
        <v>2378</v>
      </c>
      <c r="F2454" s="4" t="n">
        <v>44</v>
      </c>
      <c r="G2454" s="4" t="n">
        <v>2</v>
      </c>
      <c r="H2454" s="4" t="n">
        <v>2</v>
      </c>
      <c r="I2454" s="4" t="str">
        <v>○</v>
      </c>
      <c r="J2454" s="4" t="n">
        <v>260</v>
      </c>
      <c r="K2454" s="4"/>
      <c r="L2454" s="4"/>
      <c r="M2454" s="5" t="s">
        <v>1871</v>
      </c>
    </row>
    <row r="2455" customFormat="false" ht="15.75" hidden="false" customHeight="false" outlineLevel="0" collapsed="false">
      <c r="A2455" s="3" t="n">
        <v>46215</v>
      </c>
      <c r="B2455" s="4" t="s">
        <v>915</v>
      </c>
      <c r="C2455" s="4" t="n">
        <v>9</v>
      </c>
      <c r="D2455" s="4" t="n">
        <v>5</v>
      </c>
      <c r="E2455" s="4" t="s">
        <v>2379</v>
      </c>
      <c r="F2455" s="4" t="n">
        <v>10</v>
      </c>
      <c r="G2455" s="4" t="n">
        <v>8</v>
      </c>
      <c r="H2455" s="4" t="n">
        <v>4</v>
      </c>
      <c r="I2455" s="4" t="str">
        <v>×</v>
      </c>
      <c r="J2455" s="4"/>
      <c r="K2455" s="4"/>
      <c r="L2455" s="4"/>
      <c r="M2455" s="5" t="s">
        <v>1871</v>
      </c>
    </row>
    <row r="2456" customFormat="false" ht="15.75" hidden="false" customHeight="false" outlineLevel="0" collapsed="false">
      <c r="A2456" s="3" t="n">
        <v>46215</v>
      </c>
      <c r="B2456" s="4" t="s">
        <v>915</v>
      </c>
      <c r="C2456" s="4" t="n">
        <v>9</v>
      </c>
      <c r="D2456" s="4" t="n">
        <v>6</v>
      </c>
      <c r="E2456" s="4" t="s">
        <v>2380</v>
      </c>
      <c r="F2456" s="4" t="n">
        <v>34</v>
      </c>
      <c r="G2456" s="4" t="n">
        <v>4</v>
      </c>
      <c r="H2456" s="4" t="n">
        <v>4</v>
      </c>
      <c r="I2456" s="4" t="str">
        <v>×</v>
      </c>
      <c r="J2456" s="4"/>
      <c r="K2456" s="4"/>
      <c r="L2456" s="4"/>
      <c r="M2456" s="5" t="s">
        <v>1871</v>
      </c>
    </row>
    <row r="2457" customFormat="false" ht="15.75" hidden="false" customHeight="false" outlineLevel="0" collapsed="false">
      <c r="A2457" s="3" t="n">
        <v>46215</v>
      </c>
      <c r="B2457" s="4" t="s">
        <v>915</v>
      </c>
      <c r="C2457" s="4" t="n">
        <v>9</v>
      </c>
      <c r="D2457" s="4" t="n">
        <v>7</v>
      </c>
      <c r="E2457" s="4" t="s">
        <v>2381</v>
      </c>
      <c r="F2457" s="4" t="n">
        <v>52</v>
      </c>
      <c r="G2457" s="4" t="n">
        <v>1</v>
      </c>
      <c r="H2457" s="4" t="n">
        <v>1</v>
      </c>
      <c r="I2457" s="4" t="str">
        <v>○</v>
      </c>
      <c r="J2457" s="4" t="n">
        <v>200</v>
      </c>
      <c r="K2457" s="4"/>
      <c r="L2457" s="4"/>
      <c r="M2457" s="5" t="s">
        <v>1871</v>
      </c>
    </row>
    <row r="2458" customFormat="false" ht="15.75" hidden="false" customHeight="false" outlineLevel="0" collapsed="false">
      <c r="A2458" s="3" t="n">
        <v>46215</v>
      </c>
      <c r="B2458" s="4" t="s">
        <v>915</v>
      </c>
      <c r="C2458" s="4" t="n">
        <v>9</v>
      </c>
      <c r="D2458" s="4" t="n">
        <v>8</v>
      </c>
      <c r="E2458" s="4" t="s">
        <v>2382</v>
      </c>
      <c r="F2458" s="4" t="n">
        <v>4</v>
      </c>
      <c r="G2458" s="4" t="n">
        <v>12</v>
      </c>
      <c r="H2458" s="4" t="n">
        <v>4</v>
      </c>
      <c r="I2458" s="4" t="str">
        <v>×</v>
      </c>
      <c r="J2458" s="4"/>
      <c r="K2458" s="4"/>
      <c r="L2458" s="4"/>
      <c r="M2458" s="5" t="s">
        <v>1871</v>
      </c>
    </row>
    <row r="2459" customFormat="false" ht="15.75" hidden="false" customHeight="false" outlineLevel="0" collapsed="false">
      <c r="A2459" s="3" t="n">
        <v>46215</v>
      </c>
      <c r="B2459" s="4" t="s">
        <v>915</v>
      </c>
      <c r="C2459" s="4" t="n">
        <v>9</v>
      </c>
      <c r="D2459" s="4" t="n">
        <v>9</v>
      </c>
      <c r="E2459" s="4" t="s">
        <v>2383</v>
      </c>
      <c r="F2459" s="4" t="n">
        <v>8</v>
      </c>
      <c r="G2459" s="4" t="n">
        <v>9</v>
      </c>
      <c r="H2459" s="4" t="n">
        <v>4</v>
      </c>
      <c r="I2459" s="4" t="str">
        <v>×</v>
      </c>
      <c r="J2459" s="4"/>
      <c r="K2459" s="4"/>
      <c r="L2459" s="4"/>
      <c r="M2459" s="5" t="s">
        <v>1871</v>
      </c>
    </row>
    <row r="2460" customFormat="false" ht="15.75" hidden="false" customHeight="false" outlineLevel="0" collapsed="false">
      <c r="A2460" s="3" t="n">
        <v>46215</v>
      </c>
      <c r="B2460" s="4" t="s">
        <v>915</v>
      </c>
      <c r="C2460" s="4" t="n">
        <v>9</v>
      </c>
      <c r="D2460" s="4" t="n">
        <v>10</v>
      </c>
      <c r="E2460" s="4" t="s">
        <v>2384</v>
      </c>
      <c r="F2460" s="4" t="n">
        <v>23</v>
      </c>
      <c r="G2460" s="4" t="n">
        <v>6</v>
      </c>
      <c r="H2460" s="4" t="n">
        <v>4</v>
      </c>
      <c r="I2460" s="4" t="str">
        <v>×</v>
      </c>
      <c r="J2460" s="4"/>
      <c r="K2460" s="4"/>
      <c r="L2460" s="4"/>
      <c r="M2460" s="5" t="s">
        <v>1871</v>
      </c>
    </row>
    <row r="2461" customFormat="false" ht="15.75" hidden="false" customHeight="false" outlineLevel="0" collapsed="false">
      <c r="A2461" s="3" t="n">
        <v>46215</v>
      </c>
      <c r="B2461" s="4" t="s">
        <v>915</v>
      </c>
      <c r="C2461" s="4" t="n">
        <v>9</v>
      </c>
      <c r="D2461" s="4" t="n">
        <v>11</v>
      </c>
      <c r="E2461" s="4" t="s">
        <v>2385</v>
      </c>
      <c r="F2461" s="4" t="n">
        <v>4</v>
      </c>
      <c r="G2461" s="4" t="n">
        <v>12</v>
      </c>
      <c r="H2461" s="4" t="n">
        <v>3</v>
      </c>
      <c r="I2461" s="4" t="str">
        <v>○</v>
      </c>
      <c r="J2461" s="4" t="n">
        <v>2730</v>
      </c>
      <c r="K2461" s="4"/>
      <c r="L2461" s="4"/>
      <c r="M2461" s="5" t="s">
        <v>1871</v>
      </c>
    </row>
    <row r="2462" customFormat="false" ht="15.75" hidden="false" customHeight="false" outlineLevel="0" collapsed="false">
      <c r="A2462" s="3" t="n">
        <v>46215</v>
      </c>
      <c r="B2462" s="4" t="s">
        <v>915</v>
      </c>
      <c r="C2462" s="4" t="n">
        <v>9</v>
      </c>
      <c r="D2462" s="4" t="n">
        <v>12</v>
      </c>
      <c r="E2462" s="4" t="s">
        <v>2386</v>
      </c>
      <c r="F2462" s="4" t="n">
        <v>41</v>
      </c>
      <c r="G2462" s="4" t="n">
        <v>3</v>
      </c>
      <c r="H2462" s="4" t="n">
        <v>4</v>
      </c>
      <c r="I2462" s="4" t="str">
        <v>×</v>
      </c>
      <c r="J2462" s="4"/>
      <c r="K2462" s="4"/>
      <c r="L2462" s="4"/>
      <c r="M2462" s="5" t="s">
        <v>1871</v>
      </c>
    </row>
    <row r="2463" customFormat="false" ht="15.75" hidden="false" customHeight="false" outlineLevel="0" collapsed="false">
      <c r="A2463" s="3" t="n">
        <v>46215</v>
      </c>
      <c r="B2463" s="4" t="s">
        <v>915</v>
      </c>
      <c r="C2463" s="4" t="n">
        <v>9</v>
      </c>
      <c r="D2463" s="4" t="n">
        <v>13</v>
      </c>
      <c r="E2463" s="4" t="s">
        <v>2387</v>
      </c>
      <c r="F2463" s="4" t="n">
        <v>8</v>
      </c>
      <c r="G2463" s="4" t="n">
        <v>9</v>
      </c>
      <c r="H2463" s="4" t="n">
        <v>4</v>
      </c>
      <c r="I2463" s="4" t="str">
        <v>×</v>
      </c>
      <c r="J2463" s="4"/>
      <c r="K2463" s="4"/>
      <c r="L2463" s="4"/>
      <c r="M2463" s="5" t="s">
        <v>1871</v>
      </c>
    </row>
    <row r="2464" customFormat="false" ht="15.75" hidden="false" customHeight="false" outlineLevel="0" collapsed="false">
      <c r="A2464" s="3" t="n">
        <v>46215</v>
      </c>
      <c r="B2464" s="4" t="s">
        <v>915</v>
      </c>
      <c r="C2464" s="4" t="n">
        <v>9</v>
      </c>
      <c r="D2464" s="4" t="n">
        <v>14</v>
      </c>
      <c r="E2464" s="4" t="s">
        <v>2388</v>
      </c>
      <c r="F2464" s="4" t="n">
        <v>3</v>
      </c>
      <c r="G2464" s="4" t="n">
        <v>14</v>
      </c>
      <c r="H2464" s="4" t="n">
        <v>4</v>
      </c>
      <c r="I2464" s="4" t="str">
        <v>×</v>
      </c>
      <c r="J2464" s="4"/>
      <c r="K2464" s="4"/>
      <c r="L2464" s="4"/>
      <c r="M2464" s="5" t="s">
        <v>1871</v>
      </c>
    </row>
    <row r="2465" customFormat="false" ht="15.75" hidden="false" customHeight="false" outlineLevel="0" collapsed="false">
      <c r="A2465" s="3" t="n">
        <v>46215</v>
      </c>
      <c r="B2465" s="4" t="s">
        <v>915</v>
      </c>
      <c r="C2465" s="4" t="n">
        <v>10</v>
      </c>
      <c r="D2465" s="4" t="n">
        <v>1</v>
      </c>
      <c r="E2465" s="4" t="s">
        <v>2389</v>
      </c>
      <c r="F2465" s="4" t="n">
        <v>23</v>
      </c>
      <c r="G2465" s="4" t="n">
        <v>5</v>
      </c>
      <c r="H2465" s="4" t="n">
        <v>4</v>
      </c>
      <c r="I2465" s="4" t="str">
        <v>×</v>
      </c>
      <c r="J2465" s="4"/>
      <c r="K2465" s="4"/>
      <c r="L2465" s="4"/>
      <c r="M2465" s="5" t="s">
        <v>1871</v>
      </c>
    </row>
    <row r="2466" customFormat="false" ht="15.75" hidden="false" customHeight="false" outlineLevel="0" collapsed="false">
      <c r="A2466" s="3" t="n">
        <v>46215</v>
      </c>
      <c r="B2466" s="4" t="s">
        <v>915</v>
      </c>
      <c r="C2466" s="4" t="n">
        <v>10</v>
      </c>
      <c r="D2466" s="4" t="n">
        <v>2</v>
      </c>
      <c r="E2466" s="4" t="s">
        <v>2390</v>
      </c>
      <c r="F2466" s="4" t="n">
        <v>47</v>
      </c>
      <c r="G2466" s="4" t="n">
        <v>2</v>
      </c>
      <c r="H2466" s="4" t="n">
        <v>4</v>
      </c>
      <c r="I2466" s="4" t="str">
        <v>×</v>
      </c>
      <c r="J2466" s="4"/>
      <c r="K2466" s="4"/>
      <c r="L2466" s="4"/>
      <c r="M2466" s="5" t="s">
        <v>1871</v>
      </c>
    </row>
    <row r="2467" customFormat="false" ht="15.75" hidden="false" customHeight="false" outlineLevel="0" collapsed="false">
      <c r="A2467" s="3" t="n">
        <v>46215</v>
      </c>
      <c r="B2467" s="4" t="s">
        <v>915</v>
      </c>
      <c r="C2467" s="4" t="n">
        <v>10</v>
      </c>
      <c r="D2467" s="4" t="n">
        <v>3</v>
      </c>
      <c r="E2467" s="4" t="s">
        <v>2391</v>
      </c>
      <c r="F2467" s="4" t="n">
        <v>31</v>
      </c>
      <c r="G2467" s="4" t="n">
        <v>4</v>
      </c>
      <c r="H2467" s="4" t="n">
        <v>2</v>
      </c>
      <c r="I2467" s="4" t="str">
        <v>○</v>
      </c>
      <c r="J2467" s="4" t="n">
        <v>130</v>
      </c>
      <c r="K2467" s="4"/>
      <c r="L2467" s="4"/>
      <c r="M2467" s="5" t="s">
        <v>1871</v>
      </c>
    </row>
    <row r="2468" customFormat="false" ht="15.75" hidden="false" customHeight="false" outlineLevel="0" collapsed="false">
      <c r="A2468" s="3" t="n">
        <v>46215</v>
      </c>
      <c r="B2468" s="4" t="s">
        <v>915</v>
      </c>
      <c r="C2468" s="4" t="n">
        <v>10</v>
      </c>
      <c r="D2468" s="4" t="n">
        <v>4</v>
      </c>
      <c r="E2468" s="4" t="s">
        <v>2392</v>
      </c>
      <c r="F2468" s="4" t="n">
        <v>8</v>
      </c>
      <c r="G2468" s="4" t="n">
        <v>9</v>
      </c>
      <c r="H2468" s="4" t="n">
        <v>4</v>
      </c>
      <c r="I2468" s="4" t="str">
        <v>×</v>
      </c>
      <c r="J2468" s="4"/>
      <c r="K2468" s="4"/>
      <c r="L2468" s="4"/>
      <c r="M2468" s="5" t="s">
        <v>1871</v>
      </c>
    </row>
    <row r="2469" customFormat="false" ht="15.75" hidden="false" customHeight="false" outlineLevel="0" collapsed="false">
      <c r="A2469" s="3" t="n">
        <v>46215</v>
      </c>
      <c r="B2469" s="4" t="s">
        <v>915</v>
      </c>
      <c r="C2469" s="4" t="n">
        <v>10</v>
      </c>
      <c r="D2469" s="4" t="n">
        <v>5</v>
      </c>
      <c r="E2469" s="4" t="s">
        <v>2393</v>
      </c>
      <c r="F2469" s="4" t="n">
        <v>3</v>
      </c>
      <c r="G2469" s="4" t="n">
        <v>11</v>
      </c>
      <c r="H2469" s="4" t="n">
        <v>4</v>
      </c>
      <c r="I2469" s="4" t="str">
        <v>×</v>
      </c>
      <c r="J2469" s="4"/>
      <c r="K2469" s="4"/>
      <c r="L2469" s="4"/>
      <c r="M2469" s="5" t="s">
        <v>1871</v>
      </c>
    </row>
    <row r="2470" customFormat="false" ht="15.75" hidden="false" customHeight="false" outlineLevel="0" collapsed="false">
      <c r="A2470" s="3" t="n">
        <v>46215</v>
      </c>
      <c r="B2470" s="4" t="s">
        <v>915</v>
      </c>
      <c r="C2470" s="4" t="n">
        <v>10</v>
      </c>
      <c r="D2470" s="4" t="n">
        <v>6</v>
      </c>
      <c r="E2470" s="4" t="s">
        <v>2394</v>
      </c>
      <c r="F2470" s="4" t="n">
        <v>20</v>
      </c>
      <c r="G2470" s="4" t="n">
        <v>6</v>
      </c>
      <c r="H2470" s="4" t="n">
        <v>4</v>
      </c>
      <c r="I2470" s="4" t="str">
        <v>×</v>
      </c>
      <c r="J2470" s="4"/>
      <c r="K2470" s="4"/>
      <c r="L2470" s="4"/>
      <c r="M2470" s="5" t="s">
        <v>1871</v>
      </c>
    </row>
    <row r="2471" customFormat="false" ht="15.75" hidden="false" customHeight="false" outlineLevel="0" collapsed="false">
      <c r="A2471" s="3" t="n">
        <v>46215</v>
      </c>
      <c r="B2471" s="4" t="s">
        <v>915</v>
      </c>
      <c r="C2471" s="4" t="n">
        <v>10</v>
      </c>
      <c r="D2471" s="4" t="n">
        <v>7</v>
      </c>
      <c r="E2471" s="4" t="s">
        <v>2395</v>
      </c>
      <c r="F2471" s="4" t="n">
        <v>10</v>
      </c>
      <c r="G2471" s="4" t="n">
        <v>8</v>
      </c>
      <c r="H2471" s="4" t="n">
        <v>4</v>
      </c>
      <c r="I2471" s="4" t="str">
        <v>×</v>
      </c>
      <c r="J2471" s="4"/>
      <c r="K2471" s="4"/>
      <c r="L2471" s="4"/>
      <c r="M2471" s="5" t="s">
        <v>1871</v>
      </c>
    </row>
    <row r="2472" customFormat="false" ht="15.75" hidden="false" customHeight="false" outlineLevel="0" collapsed="false">
      <c r="A2472" s="3" t="n">
        <v>46215</v>
      </c>
      <c r="B2472" s="4" t="s">
        <v>915</v>
      </c>
      <c r="C2472" s="4" t="n">
        <v>10</v>
      </c>
      <c r="D2472" s="4" t="n">
        <v>8</v>
      </c>
      <c r="E2472" s="4" t="s">
        <v>2396</v>
      </c>
      <c r="F2472" s="4" t="n">
        <v>20</v>
      </c>
      <c r="G2472" s="4" t="n">
        <v>6</v>
      </c>
      <c r="H2472" s="4" t="n">
        <v>3</v>
      </c>
      <c r="I2472" s="4" t="str">
        <v>○</v>
      </c>
      <c r="J2472" s="4" t="n">
        <v>450</v>
      </c>
      <c r="K2472" s="4"/>
      <c r="L2472" s="4"/>
      <c r="M2472" s="5" t="s">
        <v>1871</v>
      </c>
    </row>
    <row r="2473" customFormat="false" ht="15.75" hidden="false" customHeight="false" outlineLevel="0" collapsed="false">
      <c r="A2473" s="3" t="n">
        <v>46215</v>
      </c>
      <c r="B2473" s="4" t="s">
        <v>915</v>
      </c>
      <c r="C2473" s="4" t="n">
        <v>10</v>
      </c>
      <c r="D2473" s="4" t="n">
        <v>9</v>
      </c>
      <c r="E2473" s="4" t="s">
        <v>2397</v>
      </c>
      <c r="F2473" s="4" t="n">
        <v>37</v>
      </c>
      <c r="G2473" s="4" t="n">
        <v>3</v>
      </c>
      <c r="H2473" s="4" t="n">
        <v>4</v>
      </c>
      <c r="I2473" s="4" t="str">
        <v>×</v>
      </c>
      <c r="J2473" s="4"/>
      <c r="K2473" s="4"/>
      <c r="L2473" s="4"/>
      <c r="M2473" s="5" t="s">
        <v>1871</v>
      </c>
    </row>
    <row r="2474" customFormat="false" ht="15.75" hidden="false" customHeight="false" outlineLevel="0" collapsed="false">
      <c r="A2474" s="3" t="n">
        <v>46215</v>
      </c>
      <c r="B2474" s="4" t="s">
        <v>915</v>
      </c>
      <c r="C2474" s="4" t="n">
        <v>10</v>
      </c>
      <c r="D2474" s="4" t="n">
        <v>10</v>
      </c>
      <c r="E2474" s="4" t="s">
        <v>2398</v>
      </c>
      <c r="F2474" s="4" t="n">
        <v>8</v>
      </c>
      <c r="G2474" s="4" t="n">
        <v>9</v>
      </c>
      <c r="H2474" s="4" t="n">
        <v>4</v>
      </c>
      <c r="I2474" s="4" t="str">
        <v>×</v>
      </c>
      <c r="J2474" s="4"/>
      <c r="K2474" s="4"/>
      <c r="L2474" s="4"/>
      <c r="M2474" s="5" t="s">
        <v>1871</v>
      </c>
    </row>
    <row r="2475" customFormat="false" ht="15.75" hidden="false" customHeight="false" outlineLevel="0" collapsed="false">
      <c r="A2475" s="3" t="n">
        <v>46215</v>
      </c>
      <c r="B2475" s="4" t="s">
        <v>915</v>
      </c>
      <c r="C2475" s="4" t="n">
        <v>10</v>
      </c>
      <c r="D2475" s="4" t="n">
        <v>11</v>
      </c>
      <c r="E2475" s="4" t="s">
        <v>2399</v>
      </c>
      <c r="F2475" s="4" t="n">
        <v>66</v>
      </c>
      <c r="G2475" s="4" t="n">
        <v>1</v>
      </c>
      <c r="H2475" s="4" t="n">
        <v>1</v>
      </c>
      <c r="I2475" s="4" t="str">
        <v>○</v>
      </c>
      <c r="J2475" s="4" t="n">
        <v>140</v>
      </c>
      <c r="K2475" s="4"/>
      <c r="L2475" s="4"/>
      <c r="M2475" s="5" t="s">
        <v>1871</v>
      </c>
    </row>
    <row r="2476" customFormat="false" ht="15.75" hidden="false" customHeight="false" outlineLevel="0" collapsed="false">
      <c r="A2476" s="3" t="n">
        <v>46215</v>
      </c>
      <c r="B2476" s="4" t="s">
        <v>915</v>
      </c>
      <c r="C2476" s="4" t="n">
        <v>11</v>
      </c>
      <c r="D2476" s="4" t="n">
        <v>1</v>
      </c>
      <c r="E2476" s="4" t="s">
        <v>2400</v>
      </c>
      <c r="F2476" s="4" t="n">
        <v>20</v>
      </c>
      <c r="G2476" s="4" t="n">
        <v>5</v>
      </c>
      <c r="H2476" s="4" t="n">
        <v>4</v>
      </c>
      <c r="I2476" s="4" t="str">
        <v>×</v>
      </c>
      <c r="J2476" s="4"/>
      <c r="K2476" s="4"/>
      <c r="L2476" s="4"/>
      <c r="M2476" s="5" t="s">
        <v>1871</v>
      </c>
    </row>
    <row r="2477" customFormat="false" ht="15.75" hidden="false" customHeight="false" outlineLevel="0" collapsed="false">
      <c r="A2477" s="3" t="n">
        <v>46215</v>
      </c>
      <c r="B2477" s="4" t="s">
        <v>915</v>
      </c>
      <c r="C2477" s="4" t="n">
        <v>11</v>
      </c>
      <c r="D2477" s="4" t="n">
        <v>2</v>
      </c>
      <c r="E2477" s="4" t="s">
        <v>2401</v>
      </c>
      <c r="F2477" s="4" t="n">
        <v>23</v>
      </c>
      <c r="G2477" s="4" t="n">
        <v>4</v>
      </c>
      <c r="H2477" s="4" t="n">
        <v>4</v>
      </c>
      <c r="I2477" s="4" t="str">
        <v>×</v>
      </c>
      <c r="J2477" s="4"/>
      <c r="K2477" s="4"/>
      <c r="L2477" s="4"/>
      <c r="M2477" s="5" t="s">
        <v>1871</v>
      </c>
    </row>
    <row r="2478" customFormat="false" ht="15.75" hidden="false" customHeight="false" outlineLevel="0" collapsed="false">
      <c r="A2478" s="3" t="n">
        <v>46215</v>
      </c>
      <c r="B2478" s="4" t="s">
        <v>915</v>
      </c>
      <c r="C2478" s="4" t="n">
        <v>11</v>
      </c>
      <c r="D2478" s="4" t="n">
        <v>3</v>
      </c>
      <c r="E2478" s="4" t="s">
        <v>2402</v>
      </c>
      <c r="F2478" s="4" t="n">
        <v>2</v>
      </c>
      <c r="G2478" s="4" t="n">
        <v>16</v>
      </c>
      <c r="H2478" s="4" t="n">
        <v>4</v>
      </c>
      <c r="I2478" s="4" t="str">
        <v>×</v>
      </c>
      <c r="J2478" s="4"/>
      <c r="K2478" s="4"/>
      <c r="L2478" s="4"/>
      <c r="M2478" s="5" t="s">
        <v>1871</v>
      </c>
    </row>
    <row r="2479" customFormat="false" ht="15.75" hidden="false" customHeight="false" outlineLevel="0" collapsed="false">
      <c r="A2479" s="3" t="n">
        <v>46215</v>
      </c>
      <c r="B2479" s="4" t="s">
        <v>915</v>
      </c>
      <c r="C2479" s="4" t="n">
        <v>11</v>
      </c>
      <c r="D2479" s="4" t="n">
        <v>4</v>
      </c>
      <c r="E2479" s="4" t="s">
        <v>2403</v>
      </c>
      <c r="F2479" s="4" t="n">
        <v>17</v>
      </c>
      <c r="G2479" s="4" t="n">
        <v>7</v>
      </c>
      <c r="H2479" s="4" t="n">
        <v>4</v>
      </c>
      <c r="I2479" s="4" t="str">
        <v>×</v>
      </c>
      <c r="J2479" s="4"/>
      <c r="K2479" s="4"/>
      <c r="L2479" s="4"/>
      <c r="M2479" s="5" t="s">
        <v>1871</v>
      </c>
    </row>
    <row r="2480" customFormat="false" ht="15.75" hidden="false" customHeight="false" outlineLevel="0" collapsed="false">
      <c r="A2480" s="3" t="n">
        <v>46215</v>
      </c>
      <c r="B2480" s="4" t="s">
        <v>915</v>
      </c>
      <c r="C2480" s="4" t="n">
        <v>11</v>
      </c>
      <c r="D2480" s="4" t="n">
        <v>5</v>
      </c>
      <c r="E2480" s="4" t="s">
        <v>2404</v>
      </c>
      <c r="F2480" s="4" t="n">
        <v>17</v>
      </c>
      <c r="G2480" s="4" t="n">
        <v>7</v>
      </c>
      <c r="H2480" s="4" t="n">
        <v>4</v>
      </c>
      <c r="I2480" s="4" t="str">
        <v>×</v>
      </c>
      <c r="J2480" s="4"/>
      <c r="K2480" s="4"/>
      <c r="L2480" s="4"/>
      <c r="M2480" s="5" t="s">
        <v>1871</v>
      </c>
    </row>
    <row r="2481" customFormat="false" ht="15.75" hidden="false" customHeight="false" outlineLevel="0" collapsed="false">
      <c r="A2481" s="3" t="n">
        <v>46215</v>
      </c>
      <c r="B2481" s="4" t="s">
        <v>915</v>
      </c>
      <c r="C2481" s="4" t="n">
        <v>11</v>
      </c>
      <c r="D2481" s="4" t="n">
        <v>6</v>
      </c>
      <c r="E2481" s="4" t="s">
        <v>2405</v>
      </c>
      <c r="F2481" s="4" t="n">
        <v>4</v>
      </c>
      <c r="G2481" s="4" t="n">
        <v>14</v>
      </c>
      <c r="H2481" s="4" t="n">
        <v>2</v>
      </c>
      <c r="I2481" s="4" t="str">
        <v>○</v>
      </c>
      <c r="J2481" s="4" t="n">
        <v>370</v>
      </c>
      <c r="K2481" s="4"/>
      <c r="L2481" s="4"/>
      <c r="M2481" s="5" t="s">
        <v>1871</v>
      </c>
    </row>
    <row r="2482" customFormat="false" ht="15.75" hidden="false" customHeight="false" outlineLevel="0" collapsed="false">
      <c r="A2482" s="3" t="n">
        <v>46215</v>
      </c>
      <c r="B2482" s="4" t="s">
        <v>915</v>
      </c>
      <c r="C2482" s="4" t="n">
        <v>11</v>
      </c>
      <c r="D2482" s="4" t="n">
        <v>7</v>
      </c>
      <c r="E2482" s="4" t="s">
        <v>2406</v>
      </c>
      <c r="F2482" s="4" t="n">
        <v>10</v>
      </c>
      <c r="G2482" s="4" t="n">
        <v>10</v>
      </c>
      <c r="H2482" s="4" t="n">
        <v>4</v>
      </c>
      <c r="I2482" s="4" t="str">
        <v>×</v>
      </c>
      <c r="J2482" s="4"/>
      <c r="K2482" s="4"/>
      <c r="L2482" s="4"/>
      <c r="M2482" s="5" t="s">
        <v>1871</v>
      </c>
    </row>
    <row r="2483" customFormat="false" ht="15.75" hidden="false" customHeight="false" outlineLevel="0" collapsed="false">
      <c r="A2483" s="3" t="n">
        <v>46215</v>
      </c>
      <c r="B2483" s="4" t="s">
        <v>915</v>
      </c>
      <c r="C2483" s="4" t="n">
        <v>11</v>
      </c>
      <c r="D2483" s="4" t="n">
        <v>8</v>
      </c>
      <c r="E2483" s="4" t="s">
        <v>2407</v>
      </c>
      <c r="F2483" s="4" t="n">
        <v>8</v>
      </c>
      <c r="G2483" s="4" t="n">
        <v>13</v>
      </c>
      <c r="H2483" s="4" t="n">
        <v>4</v>
      </c>
      <c r="I2483" s="4" t="str">
        <v>×</v>
      </c>
      <c r="J2483" s="4"/>
      <c r="K2483" s="4"/>
      <c r="L2483" s="4"/>
      <c r="M2483" s="5" t="s">
        <v>1871</v>
      </c>
    </row>
    <row r="2484" customFormat="false" ht="15.75" hidden="false" customHeight="false" outlineLevel="0" collapsed="false">
      <c r="A2484" s="3" t="n">
        <v>46215</v>
      </c>
      <c r="B2484" s="4" t="s">
        <v>915</v>
      </c>
      <c r="C2484" s="4" t="n">
        <v>11</v>
      </c>
      <c r="D2484" s="4" t="n">
        <v>9</v>
      </c>
      <c r="E2484" s="4" t="s">
        <v>2408</v>
      </c>
      <c r="F2484" s="4" t="n">
        <v>4</v>
      </c>
      <c r="G2484" s="4" t="n">
        <v>14</v>
      </c>
      <c r="H2484" s="4" t="n">
        <v>3</v>
      </c>
      <c r="I2484" s="4" t="str">
        <v>○</v>
      </c>
      <c r="J2484" s="4" t="n">
        <v>1190</v>
      </c>
      <c r="K2484" s="4"/>
      <c r="L2484" s="4"/>
      <c r="M2484" s="5" t="s">
        <v>1871</v>
      </c>
    </row>
    <row r="2485" customFormat="false" ht="15.75" hidden="false" customHeight="false" outlineLevel="0" collapsed="false">
      <c r="A2485" s="3" t="n">
        <v>46215</v>
      </c>
      <c r="B2485" s="4" t="s">
        <v>915</v>
      </c>
      <c r="C2485" s="4" t="n">
        <v>11</v>
      </c>
      <c r="D2485" s="4" t="n">
        <v>10</v>
      </c>
      <c r="E2485" s="4" t="s">
        <v>2409</v>
      </c>
      <c r="F2485" s="4" t="n">
        <v>10</v>
      </c>
      <c r="G2485" s="4" t="n">
        <v>10</v>
      </c>
      <c r="H2485" s="4" t="n">
        <v>4</v>
      </c>
      <c r="I2485" s="4" t="str">
        <v>×</v>
      </c>
      <c r="J2485" s="4"/>
      <c r="K2485" s="4"/>
      <c r="L2485" s="4"/>
      <c r="M2485" s="5" t="s">
        <v>1871</v>
      </c>
    </row>
    <row r="2486" customFormat="false" ht="15.75" hidden="false" customHeight="false" outlineLevel="0" collapsed="false">
      <c r="A2486" s="3" t="n">
        <v>46215</v>
      </c>
      <c r="B2486" s="4" t="s">
        <v>915</v>
      </c>
      <c r="C2486" s="4" t="n">
        <v>11</v>
      </c>
      <c r="D2486" s="4" t="n">
        <v>11</v>
      </c>
      <c r="E2486" s="4" t="s">
        <v>2410</v>
      </c>
      <c r="F2486" s="4" t="n">
        <v>25</v>
      </c>
      <c r="G2486" s="4" t="n">
        <v>3</v>
      </c>
      <c r="H2486" s="4" t="n">
        <v>1</v>
      </c>
      <c r="I2486" s="4" t="str">
        <v>○</v>
      </c>
      <c r="J2486" s="4" t="n">
        <v>240</v>
      </c>
      <c r="K2486" s="4"/>
      <c r="L2486" s="4"/>
      <c r="M2486" s="5" t="s">
        <v>1871</v>
      </c>
    </row>
    <row r="2487" customFormat="false" ht="15.75" hidden="false" customHeight="false" outlineLevel="0" collapsed="false">
      <c r="A2487" s="3" t="n">
        <v>46215</v>
      </c>
      <c r="B2487" s="4" t="s">
        <v>915</v>
      </c>
      <c r="C2487" s="4" t="n">
        <v>11</v>
      </c>
      <c r="D2487" s="4" t="n">
        <v>12</v>
      </c>
      <c r="E2487" s="4" t="s">
        <v>2411</v>
      </c>
      <c r="F2487" s="4" t="n">
        <v>10</v>
      </c>
      <c r="G2487" s="4" t="n">
        <v>10</v>
      </c>
      <c r="H2487" s="4" t="n">
        <v>4</v>
      </c>
      <c r="I2487" s="4" t="str">
        <v>×</v>
      </c>
      <c r="J2487" s="4"/>
      <c r="K2487" s="4"/>
      <c r="L2487" s="4"/>
      <c r="M2487" s="5" t="s">
        <v>1871</v>
      </c>
    </row>
    <row r="2488" customFormat="false" ht="15.75" hidden="false" customHeight="false" outlineLevel="0" collapsed="false">
      <c r="A2488" s="3" t="n">
        <v>46215</v>
      </c>
      <c r="B2488" s="4" t="s">
        <v>915</v>
      </c>
      <c r="C2488" s="4" t="n">
        <v>11</v>
      </c>
      <c r="D2488" s="4" t="n">
        <v>13</v>
      </c>
      <c r="E2488" s="4" t="s">
        <v>2412</v>
      </c>
      <c r="F2488" s="4" t="n">
        <v>62</v>
      </c>
      <c r="G2488" s="4" t="n">
        <v>1</v>
      </c>
      <c r="H2488" s="4" t="n">
        <v>4</v>
      </c>
      <c r="I2488" s="4" t="str">
        <v>×</v>
      </c>
      <c r="J2488" s="4"/>
      <c r="K2488" s="4"/>
      <c r="L2488" s="4"/>
      <c r="M2488" s="5" t="s">
        <v>1871</v>
      </c>
    </row>
    <row r="2489" customFormat="false" ht="15.75" hidden="false" customHeight="false" outlineLevel="0" collapsed="false">
      <c r="A2489" s="3" t="n">
        <v>46215</v>
      </c>
      <c r="B2489" s="4" t="s">
        <v>915</v>
      </c>
      <c r="C2489" s="4" t="n">
        <v>11</v>
      </c>
      <c r="D2489" s="4" t="n">
        <v>14</v>
      </c>
      <c r="E2489" s="4" t="s">
        <v>2413</v>
      </c>
      <c r="F2489" s="4" t="n">
        <v>20</v>
      </c>
      <c r="G2489" s="4" t="n">
        <v>5</v>
      </c>
      <c r="H2489" s="4" t="n">
        <v>4</v>
      </c>
      <c r="I2489" s="4" t="str">
        <v>×</v>
      </c>
      <c r="J2489" s="4"/>
      <c r="K2489" s="4"/>
      <c r="L2489" s="4"/>
      <c r="M2489" s="5" t="s">
        <v>1871</v>
      </c>
    </row>
    <row r="2490" customFormat="false" ht="15.75" hidden="false" customHeight="false" outlineLevel="0" collapsed="false">
      <c r="A2490" s="3" t="n">
        <v>46215</v>
      </c>
      <c r="B2490" s="4" t="s">
        <v>915</v>
      </c>
      <c r="C2490" s="4" t="n">
        <v>11</v>
      </c>
      <c r="D2490" s="4" t="n">
        <v>15</v>
      </c>
      <c r="E2490" s="4" t="s">
        <v>2414</v>
      </c>
      <c r="F2490" s="4" t="n">
        <v>17</v>
      </c>
      <c r="G2490" s="4" t="n">
        <v>7</v>
      </c>
      <c r="H2490" s="4" t="n">
        <v>4</v>
      </c>
      <c r="I2490" s="4" t="str">
        <v>×</v>
      </c>
      <c r="J2490" s="4"/>
      <c r="K2490" s="4"/>
      <c r="L2490" s="4"/>
      <c r="M2490" s="5" t="s">
        <v>1871</v>
      </c>
    </row>
    <row r="2491" customFormat="false" ht="15.75" hidden="false" customHeight="false" outlineLevel="0" collapsed="false">
      <c r="A2491" s="3" t="n">
        <v>46215</v>
      </c>
      <c r="B2491" s="4" t="s">
        <v>915</v>
      </c>
      <c r="C2491" s="4" t="n">
        <v>11</v>
      </c>
      <c r="D2491" s="4" t="n">
        <v>16</v>
      </c>
      <c r="E2491" s="4" t="s">
        <v>2415</v>
      </c>
      <c r="F2491" s="4" t="n">
        <v>29</v>
      </c>
      <c r="G2491" s="4" t="n">
        <v>2</v>
      </c>
      <c r="H2491" s="4" t="n">
        <v>4</v>
      </c>
      <c r="I2491" s="4" t="str">
        <v>×</v>
      </c>
      <c r="J2491" s="4"/>
      <c r="K2491" s="4"/>
      <c r="L2491" s="4"/>
      <c r="M2491" s="5" t="s">
        <v>1871</v>
      </c>
    </row>
    <row r="2492" customFormat="false" ht="15.75" hidden="false" customHeight="false" outlineLevel="0" collapsed="false">
      <c r="A2492" s="3" t="n">
        <v>46215</v>
      </c>
      <c r="B2492" s="4" t="s">
        <v>915</v>
      </c>
      <c r="C2492" s="4" t="n">
        <v>12</v>
      </c>
      <c r="D2492" s="4" t="n">
        <v>1</v>
      </c>
      <c r="E2492" s="4" t="s">
        <v>2416</v>
      </c>
      <c r="F2492" s="4" t="n">
        <v>47</v>
      </c>
      <c r="G2492" s="4" t="n">
        <v>2</v>
      </c>
      <c r="H2492" s="4" t="n">
        <v>2</v>
      </c>
      <c r="I2492" s="4" t="str">
        <v>○</v>
      </c>
      <c r="J2492" s="4" t="n">
        <v>180</v>
      </c>
      <c r="K2492" s="4"/>
      <c r="L2492" s="4"/>
      <c r="M2492" s="5" t="s">
        <v>1871</v>
      </c>
    </row>
    <row r="2493" customFormat="false" ht="15.75" hidden="false" customHeight="false" outlineLevel="0" collapsed="false">
      <c r="A2493" s="3" t="n">
        <v>46215</v>
      </c>
      <c r="B2493" s="4" t="s">
        <v>915</v>
      </c>
      <c r="C2493" s="4" t="n">
        <v>12</v>
      </c>
      <c r="D2493" s="4" t="n">
        <v>2</v>
      </c>
      <c r="E2493" s="4" t="s">
        <v>2417</v>
      </c>
      <c r="F2493" s="4" t="n">
        <v>6</v>
      </c>
      <c r="G2493" s="4" t="n">
        <v>11</v>
      </c>
      <c r="H2493" s="4" t="n">
        <v>4</v>
      </c>
      <c r="I2493" s="4" t="str">
        <v>×</v>
      </c>
      <c r="J2493" s="4"/>
      <c r="K2493" s="4"/>
      <c r="L2493" s="4"/>
      <c r="M2493" s="5" t="s">
        <v>1871</v>
      </c>
    </row>
    <row r="2494" customFormat="false" ht="15.75" hidden="false" customHeight="false" outlineLevel="0" collapsed="false">
      <c r="A2494" s="3" t="n">
        <v>46215</v>
      </c>
      <c r="B2494" s="4" t="s">
        <v>915</v>
      </c>
      <c r="C2494" s="4" t="n">
        <v>12</v>
      </c>
      <c r="D2494" s="4" t="n">
        <v>3</v>
      </c>
      <c r="E2494" s="4" t="s">
        <v>2418</v>
      </c>
      <c r="F2494" s="4" t="n">
        <v>6</v>
      </c>
      <c r="G2494" s="4" t="n">
        <v>11</v>
      </c>
      <c r="H2494" s="4" t="n">
        <v>4</v>
      </c>
      <c r="I2494" s="4" t="str">
        <v>×</v>
      </c>
      <c r="J2494" s="4"/>
      <c r="K2494" s="4"/>
      <c r="L2494" s="4"/>
      <c r="M2494" s="5" t="s">
        <v>1871</v>
      </c>
    </row>
    <row r="2495" customFormat="false" ht="15.75" hidden="false" customHeight="false" outlineLevel="0" collapsed="false">
      <c r="A2495" s="3" t="n">
        <v>46215</v>
      </c>
      <c r="B2495" s="4" t="s">
        <v>915</v>
      </c>
      <c r="C2495" s="4" t="n">
        <v>12</v>
      </c>
      <c r="D2495" s="4" t="n">
        <v>4</v>
      </c>
      <c r="E2495" s="4" t="s">
        <v>2419</v>
      </c>
      <c r="F2495" s="4" t="n">
        <v>6</v>
      </c>
      <c r="G2495" s="4" t="n">
        <v>11</v>
      </c>
      <c r="H2495" s="4" t="n">
        <v>4</v>
      </c>
      <c r="I2495" s="4" t="str">
        <v>×</v>
      </c>
      <c r="J2495" s="4"/>
      <c r="K2495" s="4"/>
      <c r="L2495" s="4"/>
      <c r="M2495" s="5" t="s">
        <v>1871</v>
      </c>
    </row>
    <row r="2496" customFormat="false" ht="15.75" hidden="false" customHeight="false" outlineLevel="0" collapsed="false">
      <c r="A2496" s="3" t="n">
        <v>46215</v>
      </c>
      <c r="B2496" s="4" t="s">
        <v>915</v>
      </c>
      <c r="C2496" s="4" t="n">
        <v>12</v>
      </c>
      <c r="D2496" s="4" t="n">
        <v>5</v>
      </c>
      <c r="E2496" s="4" t="s">
        <v>2420</v>
      </c>
      <c r="F2496" s="4" t="n">
        <v>1</v>
      </c>
      <c r="G2496" s="4" t="n">
        <v>16</v>
      </c>
      <c r="H2496" s="4" t="n">
        <v>4</v>
      </c>
      <c r="I2496" s="4" t="str">
        <v>×</v>
      </c>
      <c r="J2496" s="4"/>
      <c r="K2496" s="4"/>
      <c r="L2496" s="4"/>
      <c r="M2496" s="5" t="s">
        <v>1871</v>
      </c>
    </row>
    <row r="2497" customFormat="false" ht="15.75" hidden="false" customHeight="false" outlineLevel="0" collapsed="false">
      <c r="A2497" s="3" t="n">
        <v>46215</v>
      </c>
      <c r="B2497" s="4" t="s">
        <v>915</v>
      </c>
      <c r="C2497" s="4" t="n">
        <v>12</v>
      </c>
      <c r="D2497" s="4" t="n">
        <v>6</v>
      </c>
      <c r="E2497" s="4" t="s">
        <v>2421</v>
      </c>
      <c r="F2497" s="4" t="n">
        <v>15</v>
      </c>
      <c r="G2497" s="4" t="n">
        <v>8</v>
      </c>
      <c r="H2497" s="4" t="n">
        <v>4</v>
      </c>
      <c r="I2497" s="4" t="str">
        <v>×</v>
      </c>
      <c r="J2497" s="4"/>
      <c r="K2497" s="4"/>
      <c r="L2497" s="4"/>
      <c r="M2497" s="5" t="s">
        <v>1871</v>
      </c>
    </row>
    <row r="2498" customFormat="false" ht="15.75" hidden="false" customHeight="false" outlineLevel="0" collapsed="false">
      <c r="A2498" s="3" t="n">
        <v>46215</v>
      </c>
      <c r="B2498" s="4" t="s">
        <v>915</v>
      </c>
      <c r="C2498" s="4" t="n">
        <v>12</v>
      </c>
      <c r="D2498" s="4" t="n">
        <v>7</v>
      </c>
      <c r="E2498" s="4" t="s">
        <v>2422</v>
      </c>
      <c r="F2498" s="4" t="n">
        <v>10</v>
      </c>
      <c r="G2498" s="4" t="n">
        <v>10</v>
      </c>
      <c r="H2498" s="4" t="n">
        <v>4</v>
      </c>
      <c r="I2498" s="4" t="str">
        <v>×</v>
      </c>
      <c r="J2498" s="4"/>
      <c r="K2498" s="4"/>
      <c r="L2498" s="4"/>
      <c r="M2498" s="5" t="s">
        <v>1871</v>
      </c>
    </row>
    <row r="2499" customFormat="false" ht="15.75" hidden="false" customHeight="false" outlineLevel="0" collapsed="false">
      <c r="A2499" s="3" t="n">
        <v>46215</v>
      </c>
      <c r="B2499" s="4" t="s">
        <v>915</v>
      </c>
      <c r="C2499" s="4" t="n">
        <v>12</v>
      </c>
      <c r="D2499" s="4" t="n">
        <v>8</v>
      </c>
      <c r="E2499" s="4" t="s">
        <v>2423</v>
      </c>
      <c r="F2499" s="4" t="n">
        <v>60</v>
      </c>
      <c r="G2499" s="4" t="n">
        <v>1</v>
      </c>
      <c r="H2499" s="4" t="n">
        <v>4</v>
      </c>
      <c r="I2499" s="4" t="str">
        <v>×</v>
      </c>
      <c r="J2499" s="4"/>
      <c r="K2499" s="4"/>
      <c r="L2499" s="4"/>
      <c r="M2499" s="5" t="s">
        <v>1871</v>
      </c>
    </row>
    <row r="2500" customFormat="false" ht="15.75" hidden="false" customHeight="false" outlineLevel="0" collapsed="false">
      <c r="A2500" s="3" t="n">
        <v>46215</v>
      </c>
      <c r="B2500" s="4" t="s">
        <v>915</v>
      </c>
      <c r="C2500" s="4" t="n">
        <v>12</v>
      </c>
      <c r="D2500" s="4" t="n">
        <v>9</v>
      </c>
      <c r="E2500" s="4" t="s">
        <v>2424</v>
      </c>
      <c r="F2500" s="4" t="n">
        <v>17</v>
      </c>
      <c r="G2500" s="4" t="n">
        <v>7</v>
      </c>
      <c r="H2500" s="4" t="n">
        <v>4</v>
      </c>
      <c r="I2500" s="4" t="str">
        <v>×</v>
      </c>
      <c r="J2500" s="4"/>
      <c r="K2500" s="4"/>
      <c r="L2500" s="4"/>
      <c r="M2500" s="5" t="s">
        <v>1871</v>
      </c>
    </row>
    <row r="2501" customFormat="false" ht="15.75" hidden="false" customHeight="false" outlineLevel="0" collapsed="false">
      <c r="A2501" s="3" t="n">
        <v>46215</v>
      </c>
      <c r="B2501" s="4" t="s">
        <v>915</v>
      </c>
      <c r="C2501" s="4" t="n">
        <v>12</v>
      </c>
      <c r="D2501" s="4" t="n">
        <v>10</v>
      </c>
      <c r="E2501" s="4" t="s">
        <v>2425</v>
      </c>
      <c r="F2501" s="4" t="n">
        <v>15</v>
      </c>
      <c r="G2501" s="4" t="n">
        <v>8</v>
      </c>
      <c r="H2501" s="4" t="n">
        <v>3</v>
      </c>
      <c r="I2501" s="4" t="str">
        <v>○</v>
      </c>
      <c r="J2501" s="4" t="n">
        <v>1180</v>
      </c>
      <c r="K2501" s="4"/>
      <c r="L2501" s="4"/>
      <c r="M2501" s="5" t="s">
        <v>1871</v>
      </c>
    </row>
    <row r="2502" customFormat="false" ht="15.75" hidden="false" customHeight="false" outlineLevel="0" collapsed="false">
      <c r="A2502" s="3" t="n">
        <v>46215</v>
      </c>
      <c r="B2502" s="4" t="s">
        <v>915</v>
      </c>
      <c r="C2502" s="4" t="n">
        <v>12</v>
      </c>
      <c r="D2502" s="4" t="n">
        <v>11</v>
      </c>
      <c r="E2502" s="4" t="s">
        <v>2426</v>
      </c>
      <c r="F2502" s="4" t="n">
        <v>2</v>
      </c>
      <c r="G2502" s="4" t="n">
        <v>15</v>
      </c>
      <c r="H2502" s="4" t="n">
        <v>4</v>
      </c>
      <c r="I2502" s="4" t="str">
        <v>×</v>
      </c>
      <c r="J2502" s="4"/>
      <c r="K2502" s="4"/>
      <c r="L2502" s="4"/>
      <c r="M2502" s="5" t="s">
        <v>1871</v>
      </c>
    </row>
    <row r="2503" customFormat="false" ht="15.75" hidden="false" customHeight="false" outlineLevel="0" collapsed="false">
      <c r="A2503" s="3" t="n">
        <v>46215</v>
      </c>
      <c r="B2503" s="4" t="s">
        <v>915</v>
      </c>
      <c r="C2503" s="4" t="n">
        <v>12</v>
      </c>
      <c r="D2503" s="4" t="n">
        <v>12</v>
      </c>
      <c r="E2503" s="4" t="s">
        <v>2427</v>
      </c>
      <c r="F2503" s="4" t="n">
        <v>23</v>
      </c>
      <c r="G2503" s="4" t="n">
        <v>5</v>
      </c>
      <c r="H2503" s="4" t="n">
        <v>4</v>
      </c>
      <c r="I2503" s="4" t="str">
        <v>×</v>
      </c>
      <c r="J2503" s="4"/>
      <c r="K2503" s="4"/>
      <c r="L2503" s="4"/>
      <c r="M2503" s="5" t="s">
        <v>1871</v>
      </c>
    </row>
    <row r="2504" customFormat="false" ht="15.75" hidden="false" customHeight="false" outlineLevel="0" collapsed="false">
      <c r="A2504" s="3" t="n">
        <v>46215</v>
      </c>
      <c r="B2504" s="4" t="s">
        <v>915</v>
      </c>
      <c r="C2504" s="4" t="n">
        <v>12</v>
      </c>
      <c r="D2504" s="4" t="n">
        <v>13</v>
      </c>
      <c r="E2504" s="4" t="s">
        <v>2428</v>
      </c>
      <c r="F2504" s="4" t="n">
        <v>34</v>
      </c>
      <c r="G2504" s="4" t="n">
        <v>3</v>
      </c>
      <c r="H2504" s="4" t="n">
        <v>4</v>
      </c>
      <c r="I2504" s="4" t="str">
        <v>×</v>
      </c>
      <c r="J2504" s="4"/>
      <c r="K2504" s="4"/>
      <c r="L2504" s="4"/>
      <c r="M2504" s="5" t="s">
        <v>1871</v>
      </c>
    </row>
    <row r="2505" customFormat="false" ht="15.75" hidden="false" customHeight="false" outlineLevel="0" collapsed="false">
      <c r="A2505" s="3" t="n">
        <v>46215</v>
      </c>
      <c r="B2505" s="4" t="s">
        <v>915</v>
      </c>
      <c r="C2505" s="4" t="n">
        <v>12</v>
      </c>
      <c r="D2505" s="4" t="n">
        <v>14</v>
      </c>
      <c r="E2505" s="4" t="s">
        <v>2429</v>
      </c>
      <c r="F2505" s="4" t="n">
        <v>4</v>
      </c>
      <c r="G2505" s="4" t="n">
        <v>14</v>
      </c>
      <c r="H2505" s="4" t="n">
        <v>4</v>
      </c>
      <c r="I2505" s="4" t="str">
        <v>×</v>
      </c>
      <c r="J2505" s="4"/>
      <c r="K2505" s="4"/>
      <c r="L2505" s="4"/>
      <c r="M2505" s="5" t="s">
        <v>1871</v>
      </c>
    </row>
    <row r="2506" customFormat="false" ht="15.75" hidden="false" customHeight="false" outlineLevel="0" collapsed="false">
      <c r="A2506" s="3" t="n">
        <v>46215</v>
      </c>
      <c r="B2506" s="4" t="s">
        <v>915</v>
      </c>
      <c r="C2506" s="4" t="n">
        <v>12</v>
      </c>
      <c r="D2506" s="4" t="n">
        <v>15</v>
      </c>
      <c r="E2506" s="4" t="s">
        <v>2430</v>
      </c>
      <c r="F2506" s="4" t="n">
        <v>25</v>
      </c>
      <c r="G2506" s="4" t="n">
        <v>4</v>
      </c>
      <c r="H2506" s="4" t="n">
        <v>1</v>
      </c>
      <c r="I2506" s="4" t="str">
        <v>○</v>
      </c>
      <c r="J2506" s="4" t="n">
        <v>310</v>
      </c>
      <c r="K2506" s="4"/>
      <c r="L2506" s="4"/>
      <c r="M2506" s="5" t="s">
        <v>1871</v>
      </c>
    </row>
    <row r="2507" customFormat="false" ht="15.75" hidden="false" customHeight="false" outlineLevel="0" collapsed="false">
      <c r="A2507" s="3" t="n">
        <v>46215</v>
      </c>
      <c r="B2507" s="4" t="s">
        <v>915</v>
      </c>
      <c r="C2507" s="4" t="n">
        <v>12</v>
      </c>
      <c r="D2507" s="4" t="n">
        <v>16</v>
      </c>
      <c r="E2507" s="4" t="s">
        <v>2431</v>
      </c>
      <c r="F2507" s="4" t="n">
        <v>20</v>
      </c>
      <c r="G2507" s="4" t="n">
        <v>6</v>
      </c>
      <c r="H2507" s="4" t="n">
        <v>4</v>
      </c>
      <c r="I2507" s="4" t="str">
        <v>×</v>
      </c>
      <c r="J2507" s="4"/>
      <c r="K2507" s="4"/>
      <c r="L2507" s="4"/>
      <c r="M2507" s="5" t="s">
        <v>1871</v>
      </c>
    </row>
    <row r="2508" customFormat="false" ht="15.75" hidden="false" customHeight="false" outlineLevel="0" collapsed="false">
      <c r="A2508" s="3" t="n">
        <v>46215</v>
      </c>
      <c r="B2508" s="4" t="s">
        <v>1091</v>
      </c>
      <c r="C2508" s="4" t="n">
        <v>1</v>
      </c>
      <c r="D2508" s="4" t="n">
        <v>1</v>
      </c>
      <c r="E2508" s="4" t="s">
        <v>323</v>
      </c>
      <c r="F2508" s="4" t="n">
        <v>2</v>
      </c>
      <c r="G2508" s="4" t="n">
        <v>17</v>
      </c>
      <c r="H2508" s="4" t="n">
        <v>4</v>
      </c>
      <c r="I2508" s="4" t="str">
        <v>×</v>
      </c>
      <c r="J2508" s="4"/>
      <c r="K2508" s="4"/>
      <c r="L2508" s="4"/>
      <c r="M2508" s="5" t="s">
        <v>1871</v>
      </c>
    </row>
    <row r="2509" customFormat="false" ht="15.75" hidden="false" customHeight="false" outlineLevel="0" collapsed="false">
      <c r="A2509" s="3" t="n">
        <v>46215</v>
      </c>
      <c r="B2509" s="4" t="s">
        <v>1091</v>
      </c>
      <c r="C2509" s="4" t="n">
        <v>1</v>
      </c>
      <c r="D2509" s="4" t="n">
        <v>2</v>
      </c>
      <c r="E2509" s="4" t="s">
        <v>772</v>
      </c>
      <c r="F2509" s="4" t="n">
        <v>4</v>
      </c>
      <c r="G2509" s="4" t="n">
        <v>11</v>
      </c>
      <c r="H2509" s="4" t="n">
        <v>2</v>
      </c>
      <c r="I2509" s="4" t="str">
        <v>○</v>
      </c>
      <c r="J2509" s="4" t="n">
        <v>850</v>
      </c>
      <c r="K2509" s="4"/>
      <c r="L2509" s="4"/>
      <c r="M2509" s="5" t="s">
        <v>1871</v>
      </c>
    </row>
    <row r="2510" customFormat="false" ht="15.75" hidden="false" customHeight="false" outlineLevel="0" collapsed="false">
      <c r="A2510" s="3" t="n">
        <v>46215</v>
      </c>
      <c r="B2510" s="4" t="s">
        <v>1091</v>
      </c>
      <c r="C2510" s="4" t="n">
        <v>1</v>
      </c>
      <c r="D2510" s="4" t="n">
        <v>3</v>
      </c>
      <c r="E2510" s="4" t="s">
        <v>782</v>
      </c>
      <c r="F2510" s="4" t="n">
        <v>4</v>
      </c>
      <c r="G2510" s="4" t="n">
        <v>11</v>
      </c>
      <c r="H2510" s="4" t="n">
        <v>4</v>
      </c>
      <c r="I2510" s="4" t="str">
        <v>×</v>
      </c>
      <c r="J2510" s="4"/>
      <c r="K2510" s="4"/>
      <c r="L2510" s="4"/>
      <c r="M2510" s="5" t="s">
        <v>1871</v>
      </c>
    </row>
    <row r="2511" customFormat="false" ht="15.75" hidden="false" customHeight="false" outlineLevel="0" collapsed="false">
      <c r="A2511" s="3" t="n">
        <v>46215</v>
      </c>
      <c r="B2511" s="4" t="s">
        <v>1091</v>
      </c>
      <c r="C2511" s="4" t="n">
        <v>1</v>
      </c>
      <c r="D2511" s="4" t="n">
        <v>4</v>
      </c>
      <c r="E2511" s="4" t="s">
        <v>1582</v>
      </c>
      <c r="F2511" s="4" t="n">
        <v>13</v>
      </c>
      <c r="G2511" s="4" t="n">
        <v>7</v>
      </c>
      <c r="H2511" s="4" t="n">
        <v>4</v>
      </c>
      <c r="I2511" s="4" t="str">
        <v>×</v>
      </c>
      <c r="J2511" s="4"/>
      <c r="K2511" s="4"/>
      <c r="L2511" s="4"/>
      <c r="M2511" s="5" t="s">
        <v>1871</v>
      </c>
    </row>
    <row r="2512" customFormat="false" ht="15.75" hidden="false" customHeight="false" outlineLevel="0" collapsed="false">
      <c r="A2512" s="3" t="n">
        <v>46215</v>
      </c>
      <c r="B2512" s="4" t="s">
        <v>1091</v>
      </c>
      <c r="C2512" s="4" t="n">
        <v>1</v>
      </c>
      <c r="D2512" s="4" t="n">
        <v>5</v>
      </c>
      <c r="E2512" s="4" t="s">
        <v>2432</v>
      </c>
      <c r="F2512" s="4" t="n">
        <v>4</v>
      </c>
      <c r="G2512" s="4" t="n">
        <v>11</v>
      </c>
      <c r="H2512" s="4" t="n">
        <v>4</v>
      </c>
      <c r="I2512" s="4" t="str">
        <v>×</v>
      </c>
      <c r="J2512" s="4"/>
      <c r="K2512" s="4"/>
      <c r="L2512" s="4"/>
      <c r="M2512" s="5" t="s">
        <v>1871</v>
      </c>
    </row>
    <row r="2513" customFormat="false" ht="15.75" hidden="false" customHeight="false" outlineLevel="0" collapsed="false">
      <c r="A2513" s="3" t="n">
        <v>46215</v>
      </c>
      <c r="B2513" s="4" t="s">
        <v>1091</v>
      </c>
      <c r="C2513" s="4" t="n">
        <v>1</v>
      </c>
      <c r="D2513" s="4" t="n">
        <v>6</v>
      </c>
      <c r="E2513" s="4" t="s">
        <v>2433</v>
      </c>
      <c r="F2513" s="4" t="n">
        <v>20</v>
      </c>
      <c r="G2513" s="4" t="n">
        <v>4</v>
      </c>
      <c r="H2513" s="4" t="n">
        <v>4</v>
      </c>
      <c r="I2513" s="4" t="str">
        <v>×</v>
      </c>
      <c r="J2513" s="4"/>
      <c r="K2513" s="4"/>
      <c r="L2513" s="4"/>
      <c r="M2513" s="5" t="s">
        <v>1871</v>
      </c>
    </row>
    <row r="2514" customFormat="false" ht="15.75" hidden="false" customHeight="false" outlineLevel="0" collapsed="false">
      <c r="A2514" s="3" t="n">
        <v>46215</v>
      </c>
      <c r="B2514" s="4" t="s">
        <v>1091</v>
      </c>
      <c r="C2514" s="4" t="n">
        <v>1</v>
      </c>
      <c r="D2514" s="4" t="n">
        <v>7</v>
      </c>
      <c r="E2514" s="4" t="s">
        <v>2434</v>
      </c>
      <c r="F2514" s="4" t="n">
        <v>10</v>
      </c>
      <c r="G2514" s="4" t="n">
        <v>9</v>
      </c>
      <c r="H2514" s="4" t="n">
        <v>4</v>
      </c>
      <c r="I2514" s="4" t="str">
        <v>×</v>
      </c>
      <c r="J2514" s="4"/>
      <c r="K2514" s="4"/>
      <c r="L2514" s="4"/>
      <c r="M2514" s="5" t="s">
        <v>1871</v>
      </c>
    </row>
    <row r="2515" customFormat="false" ht="15.75" hidden="false" customHeight="false" outlineLevel="0" collapsed="false">
      <c r="A2515" s="3" t="n">
        <v>46215</v>
      </c>
      <c r="B2515" s="4" t="s">
        <v>1091</v>
      </c>
      <c r="C2515" s="4" t="n">
        <v>1</v>
      </c>
      <c r="D2515" s="4" t="n">
        <v>8</v>
      </c>
      <c r="E2515" s="4" t="s">
        <v>2435</v>
      </c>
      <c r="F2515" s="4" t="n">
        <v>15</v>
      </c>
      <c r="G2515" s="4" t="n">
        <v>6</v>
      </c>
      <c r="H2515" s="4" t="n">
        <v>4</v>
      </c>
      <c r="I2515" s="4" t="str">
        <v>×</v>
      </c>
      <c r="J2515" s="4"/>
      <c r="K2515" s="4"/>
      <c r="L2515" s="4"/>
      <c r="M2515" s="5" t="s">
        <v>1871</v>
      </c>
    </row>
    <row r="2516" customFormat="false" ht="15.75" hidden="false" customHeight="false" outlineLevel="0" collapsed="false">
      <c r="A2516" s="3" t="n">
        <v>46215</v>
      </c>
      <c r="B2516" s="4" t="s">
        <v>1091</v>
      </c>
      <c r="C2516" s="4" t="n">
        <v>1</v>
      </c>
      <c r="D2516" s="4" t="n">
        <v>9</v>
      </c>
      <c r="E2516" s="4" t="s">
        <v>2436</v>
      </c>
      <c r="F2516" s="4" t="n">
        <v>4</v>
      </c>
      <c r="G2516" s="4" t="n">
        <v>11</v>
      </c>
      <c r="H2516" s="4" t="n">
        <v>4</v>
      </c>
      <c r="I2516" s="4" t="str">
        <v>×</v>
      </c>
      <c r="J2516" s="4"/>
      <c r="K2516" s="4"/>
      <c r="L2516" s="4"/>
      <c r="M2516" s="5" t="s">
        <v>1871</v>
      </c>
    </row>
    <row r="2517" customFormat="false" ht="15.75" hidden="false" customHeight="false" outlineLevel="0" collapsed="false">
      <c r="A2517" s="3" t="n">
        <v>46215</v>
      </c>
      <c r="B2517" s="4" t="s">
        <v>1091</v>
      </c>
      <c r="C2517" s="4" t="n">
        <v>1</v>
      </c>
      <c r="D2517" s="4" t="n">
        <v>10</v>
      </c>
      <c r="E2517" s="4" t="s">
        <v>2437</v>
      </c>
      <c r="F2517" s="4" t="n">
        <v>67</v>
      </c>
      <c r="G2517" s="4" t="n">
        <v>1</v>
      </c>
      <c r="H2517" s="4" t="n">
        <v>1</v>
      </c>
      <c r="I2517" s="4" t="str">
        <v>○</v>
      </c>
      <c r="J2517" s="4" t="n">
        <v>180</v>
      </c>
      <c r="K2517" s="4"/>
      <c r="L2517" s="4"/>
      <c r="M2517" s="5" t="s">
        <v>1871</v>
      </c>
    </row>
    <row r="2518" customFormat="false" ht="15.75" hidden="false" customHeight="false" outlineLevel="0" collapsed="false">
      <c r="A2518" s="3" t="n">
        <v>46215</v>
      </c>
      <c r="B2518" s="4" t="s">
        <v>1091</v>
      </c>
      <c r="C2518" s="4" t="n">
        <v>1</v>
      </c>
      <c r="D2518" s="4" t="n">
        <v>11</v>
      </c>
      <c r="E2518" s="4" t="s">
        <v>1567</v>
      </c>
      <c r="F2518" s="4" t="n">
        <v>20</v>
      </c>
      <c r="G2518" s="4" t="n">
        <v>4</v>
      </c>
      <c r="H2518" s="4" t="n">
        <v>3</v>
      </c>
      <c r="I2518" s="4" t="str">
        <v>○</v>
      </c>
      <c r="J2518" s="4" t="n">
        <v>330</v>
      </c>
      <c r="K2518" s="4"/>
      <c r="L2518" s="4"/>
      <c r="M2518" s="5" t="s">
        <v>1871</v>
      </c>
    </row>
    <row r="2519" customFormat="false" ht="15.75" hidden="false" customHeight="false" outlineLevel="0" collapsed="false">
      <c r="A2519" s="3" t="n">
        <v>46215</v>
      </c>
      <c r="B2519" s="4" t="s">
        <v>1091</v>
      </c>
      <c r="C2519" s="4" t="n">
        <v>1</v>
      </c>
      <c r="D2519" s="4" t="n">
        <v>12</v>
      </c>
      <c r="E2519" s="4" t="s">
        <v>2438</v>
      </c>
      <c r="F2519" s="4" t="n">
        <v>4</v>
      </c>
      <c r="G2519" s="4" t="n">
        <v>11</v>
      </c>
      <c r="H2519" s="4" t="n">
        <v>4</v>
      </c>
      <c r="I2519" s="4" t="str">
        <v>×</v>
      </c>
      <c r="J2519" s="4"/>
      <c r="K2519" s="4"/>
      <c r="L2519" s="4"/>
      <c r="M2519" s="5" t="s">
        <v>1871</v>
      </c>
    </row>
    <row r="2520" customFormat="false" ht="15.75" hidden="false" customHeight="false" outlineLevel="0" collapsed="false">
      <c r="A2520" s="3" t="n">
        <v>46215</v>
      </c>
      <c r="B2520" s="4" t="s">
        <v>1091</v>
      </c>
      <c r="C2520" s="4" t="n">
        <v>1</v>
      </c>
      <c r="D2520" s="4" t="n">
        <v>13</v>
      </c>
      <c r="E2520" s="4" t="s">
        <v>2439</v>
      </c>
      <c r="F2520" s="4" t="n">
        <v>13</v>
      </c>
      <c r="G2520" s="4" t="n">
        <v>7</v>
      </c>
      <c r="H2520" s="4" t="n">
        <v>4</v>
      </c>
      <c r="I2520" s="4" t="str">
        <v>×</v>
      </c>
      <c r="J2520" s="4"/>
      <c r="K2520" s="4"/>
      <c r="L2520" s="4"/>
      <c r="M2520" s="5" t="s">
        <v>1871</v>
      </c>
    </row>
    <row r="2521" customFormat="false" ht="15.75" hidden="false" customHeight="false" outlineLevel="0" collapsed="false">
      <c r="A2521" s="3" t="n">
        <v>46215</v>
      </c>
      <c r="B2521" s="4" t="s">
        <v>1091</v>
      </c>
      <c r="C2521" s="4" t="n">
        <v>1</v>
      </c>
      <c r="D2521" s="4" t="n">
        <v>14</v>
      </c>
      <c r="E2521" s="4" t="s">
        <v>2440</v>
      </c>
      <c r="F2521" s="4" t="n">
        <v>10</v>
      </c>
      <c r="G2521" s="4" t="n">
        <v>9</v>
      </c>
      <c r="H2521" s="4" t="n">
        <v>4</v>
      </c>
      <c r="I2521" s="4" t="str">
        <v>×</v>
      </c>
      <c r="J2521" s="4"/>
      <c r="K2521" s="4"/>
      <c r="L2521" s="4"/>
      <c r="M2521" s="5" t="s">
        <v>1871</v>
      </c>
    </row>
    <row r="2522" customFormat="false" ht="15.75" hidden="false" customHeight="false" outlineLevel="0" collapsed="false">
      <c r="A2522" s="3" t="n">
        <v>46215</v>
      </c>
      <c r="B2522" s="4" t="s">
        <v>1091</v>
      </c>
      <c r="C2522" s="4" t="n">
        <v>1</v>
      </c>
      <c r="D2522" s="4" t="n">
        <v>15</v>
      </c>
      <c r="E2522" s="4" t="s">
        <v>771</v>
      </c>
      <c r="F2522" s="4" t="n">
        <v>47</v>
      </c>
      <c r="G2522" s="4" t="n">
        <v>2</v>
      </c>
      <c r="H2522" s="4" t="n">
        <v>4</v>
      </c>
      <c r="I2522" s="4" t="str">
        <v>×</v>
      </c>
      <c r="J2522" s="4"/>
      <c r="K2522" s="4"/>
      <c r="L2522" s="4"/>
      <c r="M2522" s="5" t="s">
        <v>1871</v>
      </c>
    </row>
    <row r="2523" customFormat="false" ht="15.75" hidden="false" customHeight="false" outlineLevel="0" collapsed="false">
      <c r="A2523" s="3" t="n">
        <v>46215</v>
      </c>
      <c r="B2523" s="4" t="s">
        <v>1091</v>
      </c>
      <c r="C2523" s="4" t="n">
        <v>1</v>
      </c>
      <c r="D2523" s="4" t="n">
        <v>16</v>
      </c>
      <c r="E2523" s="4" t="s">
        <v>2441</v>
      </c>
      <c r="F2523" s="4" t="n">
        <v>37</v>
      </c>
      <c r="G2523" s="4" t="n">
        <v>3</v>
      </c>
      <c r="H2523" s="4" t="n">
        <v>4</v>
      </c>
      <c r="I2523" s="4" t="str">
        <v>×</v>
      </c>
      <c r="J2523" s="4"/>
      <c r="K2523" s="4"/>
      <c r="L2523" s="4"/>
      <c r="M2523" s="5" t="s">
        <v>1871</v>
      </c>
    </row>
    <row r="2524" customFormat="false" ht="15.75" hidden="false" customHeight="false" outlineLevel="0" collapsed="false">
      <c r="A2524" s="3" t="n">
        <v>46215</v>
      </c>
      <c r="B2524" s="4" t="s">
        <v>1091</v>
      </c>
      <c r="C2524" s="4" t="n">
        <v>1</v>
      </c>
      <c r="D2524" s="4" t="n">
        <v>17</v>
      </c>
      <c r="E2524" s="4" t="s">
        <v>2442</v>
      </c>
      <c r="F2524" s="4" t="n">
        <v>4</v>
      </c>
      <c r="G2524" s="4" t="n">
        <v>11</v>
      </c>
      <c r="H2524" s="4" t="n">
        <v>4</v>
      </c>
      <c r="I2524" s="4" t="str">
        <v>×</v>
      </c>
      <c r="J2524" s="4"/>
      <c r="K2524" s="4"/>
      <c r="L2524" s="4"/>
      <c r="M2524" s="5" t="s">
        <v>1871</v>
      </c>
    </row>
    <row r="2525" customFormat="false" ht="15.75" hidden="false" customHeight="false" outlineLevel="0" collapsed="false">
      <c r="A2525" s="3" t="n">
        <v>46215</v>
      </c>
      <c r="B2525" s="4" t="s">
        <v>1091</v>
      </c>
      <c r="C2525" s="4" t="n">
        <v>2</v>
      </c>
      <c r="D2525" s="4" t="n">
        <v>1</v>
      </c>
      <c r="E2525" s="4" t="s">
        <v>2443</v>
      </c>
      <c r="F2525" s="4" t="n">
        <v>10</v>
      </c>
      <c r="G2525" s="4" t="n">
        <v>7</v>
      </c>
      <c r="H2525" s="4" t="n">
        <v>4</v>
      </c>
      <c r="I2525" s="4" t="str">
        <v>×</v>
      </c>
      <c r="J2525" s="4"/>
      <c r="K2525" s="4"/>
      <c r="L2525" s="4"/>
      <c r="M2525" s="5" t="s">
        <v>1871</v>
      </c>
    </row>
    <row r="2526" customFormat="false" ht="15.75" hidden="false" customHeight="false" outlineLevel="0" collapsed="false">
      <c r="A2526" s="3" t="n">
        <v>46215</v>
      </c>
      <c r="B2526" s="4" t="s">
        <v>1091</v>
      </c>
      <c r="C2526" s="4" t="n">
        <v>2</v>
      </c>
      <c r="D2526" s="4" t="n">
        <v>2</v>
      </c>
      <c r="E2526" s="4" t="s">
        <v>2444</v>
      </c>
      <c r="F2526" s="4" t="n">
        <v>10</v>
      </c>
      <c r="G2526" s="4" t="n">
        <v>7</v>
      </c>
      <c r="H2526" s="4" t="n">
        <v>4</v>
      </c>
      <c r="I2526" s="4" t="str">
        <v>×</v>
      </c>
      <c r="J2526" s="4"/>
      <c r="K2526" s="4"/>
      <c r="L2526" s="4"/>
      <c r="M2526" s="5" t="s">
        <v>1871</v>
      </c>
    </row>
    <row r="2527" customFormat="false" ht="15.75" hidden="false" customHeight="false" outlineLevel="0" collapsed="false">
      <c r="A2527" s="3" t="n">
        <v>46215</v>
      </c>
      <c r="B2527" s="4" t="s">
        <v>1091</v>
      </c>
      <c r="C2527" s="4" t="n">
        <v>2</v>
      </c>
      <c r="D2527" s="4" t="n">
        <v>3</v>
      </c>
      <c r="E2527" s="4" t="s">
        <v>2445</v>
      </c>
      <c r="F2527" s="4" t="n">
        <v>58</v>
      </c>
      <c r="G2527" s="4" t="n">
        <v>1</v>
      </c>
      <c r="H2527" s="4" t="n">
        <v>4</v>
      </c>
      <c r="I2527" s="4" t="str">
        <v>×</v>
      </c>
      <c r="J2527" s="4"/>
      <c r="K2527" s="4"/>
      <c r="L2527" s="4"/>
      <c r="M2527" s="5" t="s">
        <v>1871</v>
      </c>
    </row>
    <row r="2528" customFormat="false" ht="15.75" hidden="false" customHeight="false" outlineLevel="0" collapsed="false">
      <c r="A2528" s="3" t="n">
        <v>46215</v>
      </c>
      <c r="B2528" s="4" t="s">
        <v>1091</v>
      </c>
      <c r="C2528" s="4" t="n">
        <v>2</v>
      </c>
      <c r="D2528" s="4" t="n">
        <v>4</v>
      </c>
      <c r="E2528" s="4" t="s">
        <v>1115</v>
      </c>
      <c r="F2528" s="4" t="n">
        <v>8</v>
      </c>
      <c r="G2528" s="4" t="n">
        <v>9</v>
      </c>
      <c r="H2528" s="4" t="n">
        <v>4</v>
      </c>
      <c r="I2528" s="4" t="str">
        <v>×</v>
      </c>
      <c r="J2528" s="4"/>
      <c r="K2528" s="4"/>
      <c r="L2528" s="4"/>
      <c r="M2528" s="5" t="s">
        <v>1871</v>
      </c>
    </row>
    <row r="2529" customFormat="false" ht="15.75" hidden="false" customHeight="false" outlineLevel="0" collapsed="false">
      <c r="A2529" s="3" t="n">
        <v>46215</v>
      </c>
      <c r="B2529" s="4" t="s">
        <v>1091</v>
      </c>
      <c r="C2529" s="4" t="n">
        <v>2</v>
      </c>
      <c r="D2529" s="4" t="n">
        <v>5</v>
      </c>
      <c r="E2529" s="4" t="s">
        <v>2446</v>
      </c>
      <c r="F2529" s="4" t="n">
        <v>1</v>
      </c>
      <c r="G2529" s="4" t="n">
        <v>14</v>
      </c>
      <c r="H2529" s="4" t="n">
        <v>4</v>
      </c>
      <c r="I2529" s="4" t="str">
        <v>×</v>
      </c>
      <c r="J2529" s="4"/>
      <c r="K2529" s="4"/>
      <c r="L2529" s="4"/>
      <c r="M2529" s="5" t="s">
        <v>1871</v>
      </c>
    </row>
    <row r="2530" customFormat="false" ht="15.75" hidden="false" customHeight="false" outlineLevel="0" collapsed="false">
      <c r="A2530" s="3" t="n">
        <v>46215</v>
      </c>
      <c r="B2530" s="4" t="s">
        <v>1091</v>
      </c>
      <c r="C2530" s="4" t="n">
        <v>2</v>
      </c>
      <c r="D2530" s="4" t="n">
        <v>6</v>
      </c>
      <c r="E2530" s="4" t="s">
        <v>2447</v>
      </c>
      <c r="F2530" s="4" t="n">
        <v>41</v>
      </c>
      <c r="G2530" s="4" t="n">
        <v>3</v>
      </c>
      <c r="H2530" s="4" t="n">
        <v>2</v>
      </c>
      <c r="I2530" s="4" t="str">
        <v>○</v>
      </c>
      <c r="J2530" s="4" t="n">
        <v>240</v>
      </c>
      <c r="K2530" s="4"/>
      <c r="L2530" s="4"/>
      <c r="M2530" s="5" t="s">
        <v>1871</v>
      </c>
    </row>
    <row r="2531" customFormat="false" ht="15.75" hidden="false" customHeight="false" outlineLevel="0" collapsed="false">
      <c r="A2531" s="3" t="n">
        <v>46215</v>
      </c>
      <c r="B2531" s="4" t="s">
        <v>1091</v>
      </c>
      <c r="C2531" s="4" t="n">
        <v>2</v>
      </c>
      <c r="D2531" s="4" t="n">
        <v>7</v>
      </c>
      <c r="E2531" s="4" t="s">
        <v>2448</v>
      </c>
      <c r="F2531" s="4" t="n">
        <v>3</v>
      </c>
      <c r="G2531" s="4" t="n">
        <v>12</v>
      </c>
      <c r="H2531" s="4" t="n">
        <v>4</v>
      </c>
      <c r="I2531" s="4" t="str">
        <v>×</v>
      </c>
      <c r="J2531" s="4"/>
      <c r="K2531" s="4"/>
      <c r="L2531" s="4"/>
      <c r="M2531" s="5" t="s">
        <v>1871</v>
      </c>
    </row>
    <row r="2532" customFormat="false" ht="15.75" hidden="false" customHeight="false" outlineLevel="0" collapsed="false">
      <c r="A2532" s="3" t="n">
        <v>46215</v>
      </c>
      <c r="B2532" s="4" t="s">
        <v>1091</v>
      </c>
      <c r="C2532" s="4" t="n">
        <v>2</v>
      </c>
      <c r="D2532" s="4" t="n">
        <v>8</v>
      </c>
      <c r="E2532" s="4" t="s">
        <v>2449</v>
      </c>
      <c r="F2532" s="4" t="n">
        <v>20</v>
      </c>
      <c r="G2532" s="4" t="n">
        <v>5</v>
      </c>
      <c r="H2532" s="4" t="n">
        <v>4</v>
      </c>
      <c r="I2532" s="4" t="str">
        <v>×</v>
      </c>
      <c r="J2532" s="4"/>
      <c r="K2532" s="4"/>
      <c r="L2532" s="4"/>
      <c r="M2532" s="5" t="s">
        <v>1871</v>
      </c>
    </row>
    <row r="2533" customFormat="false" ht="15.75" hidden="false" customHeight="false" outlineLevel="0" collapsed="false">
      <c r="A2533" s="3" t="n">
        <v>46215</v>
      </c>
      <c r="B2533" s="4" t="s">
        <v>1091</v>
      </c>
      <c r="C2533" s="4" t="n">
        <v>2</v>
      </c>
      <c r="D2533" s="4" t="n">
        <v>9</v>
      </c>
      <c r="E2533" s="4" t="s">
        <v>2450</v>
      </c>
      <c r="F2533" s="4" t="n">
        <v>56</v>
      </c>
      <c r="G2533" s="4" t="n">
        <v>2</v>
      </c>
      <c r="H2533" s="4" t="n">
        <v>1</v>
      </c>
      <c r="I2533" s="4" t="str">
        <v>○</v>
      </c>
      <c r="J2533" s="4" t="n">
        <v>180</v>
      </c>
      <c r="K2533" s="4"/>
      <c r="L2533" s="4"/>
      <c r="M2533" s="5" t="s">
        <v>1871</v>
      </c>
    </row>
    <row r="2534" customFormat="false" ht="15.75" hidden="false" customHeight="false" outlineLevel="0" collapsed="false">
      <c r="A2534" s="3" t="n">
        <v>46215</v>
      </c>
      <c r="B2534" s="4" t="s">
        <v>1091</v>
      </c>
      <c r="C2534" s="4" t="n">
        <v>2</v>
      </c>
      <c r="D2534" s="4" t="n">
        <v>10</v>
      </c>
      <c r="E2534" s="4" t="s">
        <v>2451</v>
      </c>
      <c r="F2534" s="4" t="n">
        <v>17</v>
      </c>
      <c r="G2534" s="4" t="n">
        <v>6</v>
      </c>
      <c r="H2534" s="4" t="n">
        <v>3</v>
      </c>
      <c r="I2534" s="4" t="str">
        <v>○</v>
      </c>
      <c r="J2534" s="4" t="n">
        <v>530</v>
      </c>
      <c r="K2534" s="4"/>
      <c r="L2534" s="4"/>
      <c r="M2534" s="5" t="s">
        <v>1871</v>
      </c>
    </row>
    <row r="2535" customFormat="false" ht="15.75" hidden="false" customHeight="false" outlineLevel="0" collapsed="false">
      <c r="A2535" s="3" t="n">
        <v>46215</v>
      </c>
      <c r="B2535" s="4" t="s">
        <v>1091</v>
      </c>
      <c r="C2535" s="4" t="n">
        <v>2</v>
      </c>
      <c r="D2535" s="4" t="n">
        <v>11</v>
      </c>
      <c r="E2535" s="4" t="s">
        <v>2452</v>
      </c>
      <c r="F2535" s="4" t="n">
        <v>3</v>
      </c>
      <c r="G2535" s="4" t="n">
        <v>12</v>
      </c>
      <c r="H2535" s="4" t="n">
        <v>4</v>
      </c>
      <c r="I2535" s="4" t="str">
        <v>×</v>
      </c>
      <c r="J2535" s="4"/>
      <c r="K2535" s="4"/>
      <c r="L2535" s="4"/>
      <c r="M2535" s="5" t="s">
        <v>1871</v>
      </c>
    </row>
    <row r="2536" customFormat="false" ht="15.75" hidden="false" customHeight="false" outlineLevel="0" collapsed="false">
      <c r="A2536" s="3" t="n">
        <v>46215</v>
      </c>
      <c r="B2536" s="4" t="s">
        <v>1091</v>
      </c>
      <c r="C2536" s="4" t="n">
        <v>2</v>
      </c>
      <c r="D2536" s="4" t="n">
        <v>12</v>
      </c>
      <c r="E2536" s="4" t="s">
        <v>2453</v>
      </c>
      <c r="F2536" s="4" t="n">
        <v>8</v>
      </c>
      <c r="G2536" s="4" t="n">
        <v>9</v>
      </c>
      <c r="H2536" s="4" t="n">
        <v>4</v>
      </c>
      <c r="I2536" s="4" t="str">
        <v>×</v>
      </c>
      <c r="J2536" s="4"/>
      <c r="K2536" s="4"/>
      <c r="L2536" s="4"/>
      <c r="M2536" s="5" t="s">
        <v>1871</v>
      </c>
    </row>
    <row r="2537" customFormat="false" ht="15.75" hidden="false" customHeight="false" outlineLevel="0" collapsed="false">
      <c r="A2537" s="3" t="n">
        <v>46215</v>
      </c>
      <c r="B2537" s="4" t="s">
        <v>1091</v>
      </c>
      <c r="C2537" s="4" t="n">
        <v>2</v>
      </c>
      <c r="D2537" s="4" t="n">
        <v>13</v>
      </c>
      <c r="E2537" s="4" t="s">
        <v>2454</v>
      </c>
      <c r="F2537" s="4" t="n">
        <v>41</v>
      </c>
      <c r="G2537" s="4" t="n">
        <v>3</v>
      </c>
      <c r="H2537" s="4" t="n">
        <v>4</v>
      </c>
      <c r="I2537" s="4" t="str">
        <v>×</v>
      </c>
      <c r="J2537" s="4"/>
      <c r="K2537" s="4"/>
      <c r="L2537" s="4"/>
      <c r="M2537" s="5" t="s">
        <v>1871</v>
      </c>
    </row>
    <row r="2538" customFormat="false" ht="15.75" hidden="false" customHeight="false" outlineLevel="0" collapsed="false">
      <c r="A2538" s="3" t="n">
        <v>46215</v>
      </c>
      <c r="B2538" s="4" t="s">
        <v>1091</v>
      </c>
      <c r="C2538" s="4" t="n">
        <v>2</v>
      </c>
      <c r="D2538" s="4" t="n">
        <v>14</v>
      </c>
      <c r="E2538" s="4" t="s">
        <v>2455</v>
      </c>
      <c r="F2538" s="4" t="n">
        <v>8</v>
      </c>
      <c r="G2538" s="4" t="n">
        <v>9</v>
      </c>
      <c r="H2538" s="4" t="n">
        <v>4</v>
      </c>
      <c r="I2538" s="4" t="str">
        <v>×</v>
      </c>
      <c r="J2538" s="4"/>
      <c r="K2538" s="4"/>
      <c r="L2538" s="4"/>
      <c r="M2538" s="5" t="s">
        <v>1871</v>
      </c>
    </row>
    <row r="2539" customFormat="false" ht="15.75" hidden="false" customHeight="false" outlineLevel="0" collapsed="false">
      <c r="A2539" s="3" t="n">
        <v>46215</v>
      </c>
      <c r="B2539" s="4" t="s">
        <v>1091</v>
      </c>
      <c r="C2539" s="4" t="n">
        <v>3</v>
      </c>
      <c r="D2539" s="4" t="n">
        <v>1</v>
      </c>
      <c r="E2539" s="4" t="s">
        <v>2456</v>
      </c>
      <c r="F2539" s="4" t="n">
        <v>20</v>
      </c>
      <c r="G2539" s="4" t="n">
        <v>5</v>
      </c>
      <c r="H2539" s="4" t="n">
        <v>4</v>
      </c>
      <c r="I2539" s="4" t="str">
        <v>×</v>
      </c>
      <c r="J2539" s="4"/>
      <c r="K2539" s="4"/>
      <c r="L2539" s="4"/>
      <c r="M2539" s="5" t="s">
        <v>1871</v>
      </c>
    </row>
    <row r="2540" customFormat="false" ht="15.75" hidden="false" customHeight="false" outlineLevel="0" collapsed="false">
      <c r="A2540" s="3" t="n">
        <v>46215</v>
      </c>
      <c r="B2540" s="4" t="s">
        <v>1091</v>
      </c>
      <c r="C2540" s="4" t="n">
        <v>3</v>
      </c>
      <c r="D2540" s="4" t="n">
        <v>2</v>
      </c>
      <c r="E2540" s="4" t="s">
        <v>2457</v>
      </c>
      <c r="F2540" s="4" t="n">
        <v>67</v>
      </c>
      <c r="G2540" s="4" t="n">
        <v>2</v>
      </c>
      <c r="H2540" s="4" t="n">
        <v>1</v>
      </c>
      <c r="I2540" s="4" t="str">
        <v>○</v>
      </c>
      <c r="J2540" s="4" t="n">
        <v>140</v>
      </c>
      <c r="K2540" s="4"/>
      <c r="L2540" s="4"/>
      <c r="M2540" s="5" t="s">
        <v>1871</v>
      </c>
    </row>
    <row r="2541" customFormat="false" ht="15.75" hidden="false" customHeight="false" outlineLevel="0" collapsed="false">
      <c r="A2541" s="3" t="n">
        <v>46215</v>
      </c>
      <c r="B2541" s="4" t="s">
        <v>1091</v>
      </c>
      <c r="C2541" s="4" t="n">
        <v>3</v>
      </c>
      <c r="D2541" s="4" t="n">
        <v>3</v>
      </c>
      <c r="E2541" s="4" t="s">
        <v>2458</v>
      </c>
      <c r="F2541" s="4" t="n">
        <v>4</v>
      </c>
      <c r="G2541" s="4" t="n">
        <v>13</v>
      </c>
      <c r="H2541" s="4" t="n">
        <v>4</v>
      </c>
      <c r="I2541" s="4" t="str">
        <v>×</v>
      </c>
      <c r="J2541" s="4"/>
      <c r="K2541" s="4"/>
      <c r="L2541" s="4"/>
      <c r="M2541" s="5" t="s">
        <v>1871</v>
      </c>
    </row>
    <row r="2542" customFormat="false" ht="15.75" hidden="false" customHeight="false" outlineLevel="0" collapsed="false">
      <c r="A2542" s="3" t="n">
        <v>46215</v>
      </c>
      <c r="B2542" s="4" t="s">
        <v>1091</v>
      </c>
      <c r="C2542" s="4" t="n">
        <v>3</v>
      </c>
      <c r="D2542" s="4" t="n">
        <v>4</v>
      </c>
      <c r="E2542" s="4" t="s">
        <v>2459</v>
      </c>
      <c r="F2542" s="4" t="n">
        <v>15</v>
      </c>
      <c r="G2542" s="4" t="n">
        <v>7</v>
      </c>
      <c r="H2542" s="4" t="n">
        <v>4</v>
      </c>
      <c r="I2542" s="4" t="str">
        <v>×</v>
      </c>
      <c r="J2542" s="4"/>
      <c r="K2542" s="4"/>
      <c r="L2542" s="4"/>
      <c r="M2542" s="5" t="s">
        <v>1871</v>
      </c>
    </row>
    <row r="2543" customFormat="false" ht="15.75" hidden="false" customHeight="false" outlineLevel="0" collapsed="false">
      <c r="A2543" s="3" t="n">
        <v>46215</v>
      </c>
      <c r="B2543" s="4" t="s">
        <v>1091</v>
      </c>
      <c r="C2543" s="4" t="n">
        <v>3</v>
      </c>
      <c r="D2543" s="4" t="n">
        <v>5</v>
      </c>
      <c r="E2543" s="4" t="s">
        <v>2460</v>
      </c>
      <c r="F2543" s="4" t="n">
        <v>71</v>
      </c>
      <c r="G2543" s="4" t="n">
        <v>1</v>
      </c>
      <c r="H2543" s="4" t="n">
        <v>2</v>
      </c>
      <c r="I2543" s="4" t="str">
        <v>○</v>
      </c>
      <c r="J2543" s="4" t="n">
        <v>120</v>
      </c>
      <c r="K2543" s="4"/>
      <c r="L2543" s="4"/>
      <c r="M2543" s="5" t="s">
        <v>1871</v>
      </c>
    </row>
    <row r="2544" customFormat="false" ht="15.75" hidden="false" customHeight="false" outlineLevel="0" collapsed="false">
      <c r="A2544" s="3" t="n">
        <v>46215</v>
      </c>
      <c r="B2544" s="4" t="s">
        <v>1091</v>
      </c>
      <c r="C2544" s="4" t="n">
        <v>3</v>
      </c>
      <c r="D2544" s="4" t="n">
        <v>6</v>
      </c>
      <c r="E2544" s="4" t="s">
        <v>2461</v>
      </c>
      <c r="F2544" s="4" t="n">
        <v>8</v>
      </c>
      <c r="G2544" s="4" t="n">
        <v>8</v>
      </c>
      <c r="H2544" s="4" t="n">
        <v>4</v>
      </c>
      <c r="I2544" s="4" t="str">
        <v>×</v>
      </c>
      <c r="J2544" s="4"/>
      <c r="K2544" s="4"/>
      <c r="L2544" s="4"/>
      <c r="M2544" s="5" t="s">
        <v>1871</v>
      </c>
    </row>
    <row r="2545" customFormat="false" ht="15.75" hidden="false" customHeight="false" outlineLevel="0" collapsed="false">
      <c r="A2545" s="3" t="n">
        <v>46215</v>
      </c>
      <c r="B2545" s="4" t="s">
        <v>1091</v>
      </c>
      <c r="C2545" s="4" t="n">
        <v>3</v>
      </c>
      <c r="D2545" s="4" t="n">
        <v>7</v>
      </c>
      <c r="E2545" s="4" t="s">
        <v>1611</v>
      </c>
      <c r="F2545" s="4" t="n">
        <v>34</v>
      </c>
      <c r="G2545" s="4" t="n">
        <v>3</v>
      </c>
      <c r="H2545" s="4" t="n">
        <v>3</v>
      </c>
      <c r="I2545" s="4" t="str">
        <v>○</v>
      </c>
      <c r="J2545" s="4" t="n">
        <v>140</v>
      </c>
      <c r="K2545" s="4"/>
      <c r="L2545" s="4"/>
      <c r="M2545" s="5" t="s">
        <v>1871</v>
      </c>
    </row>
    <row r="2546" customFormat="false" ht="15.75" hidden="false" customHeight="false" outlineLevel="0" collapsed="false">
      <c r="A2546" s="3" t="n">
        <v>46215</v>
      </c>
      <c r="B2546" s="4" t="s">
        <v>1091</v>
      </c>
      <c r="C2546" s="4" t="n">
        <v>3</v>
      </c>
      <c r="D2546" s="4" t="n">
        <v>8</v>
      </c>
      <c r="E2546" s="4" t="s">
        <v>2462</v>
      </c>
      <c r="F2546" s="4" t="n">
        <v>2</v>
      </c>
      <c r="G2546" s="4" t="n">
        <v>14</v>
      </c>
      <c r="H2546" s="4" t="n">
        <v>4</v>
      </c>
      <c r="I2546" s="4" t="str">
        <v>×</v>
      </c>
      <c r="J2546" s="4"/>
      <c r="K2546" s="4"/>
      <c r="L2546" s="4"/>
      <c r="M2546" s="5" t="s">
        <v>1871</v>
      </c>
    </row>
    <row r="2547" customFormat="false" ht="15.75" hidden="false" customHeight="false" outlineLevel="0" collapsed="false">
      <c r="A2547" s="3" t="n">
        <v>46215</v>
      </c>
      <c r="B2547" s="4" t="s">
        <v>1091</v>
      </c>
      <c r="C2547" s="4" t="n">
        <v>3</v>
      </c>
      <c r="D2547" s="4" t="n">
        <v>9</v>
      </c>
      <c r="E2547" s="4" t="s">
        <v>2463</v>
      </c>
      <c r="F2547" s="4" t="n">
        <v>6</v>
      </c>
      <c r="G2547" s="4" t="n">
        <v>11</v>
      </c>
      <c r="H2547" s="4" t="n">
        <v>4</v>
      </c>
      <c r="I2547" s="4" t="str">
        <v>×</v>
      </c>
      <c r="J2547" s="4"/>
      <c r="K2547" s="4"/>
      <c r="L2547" s="4"/>
      <c r="M2547" s="5" t="s">
        <v>1871</v>
      </c>
    </row>
    <row r="2548" customFormat="false" ht="15.75" hidden="false" customHeight="false" outlineLevel="0" collapsed="false">
      <c r="A2548" s="3" t="n">
        <v>46215</v>
      </c>
      <c r="B2548" s="4" t="s">
        <v>1091</v>
      </c>
      <c r="C2548" s="4" t="n">
        <v>3</v>
      </c>
      <c r="D2548" s="4" t="n">
        <v>10</v>
      </c>
      <c r="E2548" s="4" t="s">
        <v>2464</v>
      </c>
      <c r="F2548" s="4" t="n">
        <v>2</v>
      </c>
      <c r="G2548" s="4" t="n">
        <v>14</v>
      </c>
      <c r="H2548" s="4" t="n">
        <v>4</v>
      </c>
      <c r="I2548" s="4" t="str">
        <v>×</v>
      </c>
      <c r="J2548" s="4"/>
      <c r="K2548" s="4"/>
      <c r="L2548" s="4"/>
      <c r="M2548" s="5" t="s">
        <v>1871</v>
      </c>
    </row>
    <row r="2549" customFormat="false" ht="15.75" hidden="false" customHeight="false" outlineLevel="0" collapsed="false">
      <c r="A2549" s="3" t="n">
        <v>46215</v>
      </c>
      <c r="B2549" s="4" t="s">
        <v>1091</v>
      </c>
      <c r="C2549" s="4" t="n">
        <v>3</v>
      </c>
      <c r="D2549" s="4" t="n">
        <v>11</v>
      </c>
      <c r="E2549" s="4" t="s">
        <v>2465</v>
      </c>
      <c r="F2549" s="4" t="n">
        <v>6</v>
      </c>
      <c r="G2549" s="4" t="n">
        <v>11</v>
      </c>
      <c r="H2549" s="4" t="n">
        <v>4</v>
      </c>
      <c r="I2549" s="4" t="str">
        <v>×</v>
      </c>
      <c r="J2549" s="4"/>
      <c r="K2549" s="4"/>
      <c r="L2549" s="4"/>
      <c r="M2549" s="5" t="s">
        <v>1871</v>
      </c>
    </row>
    <row r="2550" customFormat="false" ht="15.75" hidden="false" customHeight="false" outlineLevel="0" collapsed="false">
      <c r="A2550" s="3" t="n">
        <v>46215</v>
      </c>
      <c r="B2550" s="4" t="s">
        <v>1091</v>
      </c>
      <c r="C2550" s="4" t="n">
        <v>3</v>
      </c>
      <c r="D2550" s="4" t="n">
        <v>12</v>
      </c>
      <c r="E2550" s="4" t="s">
        <v>2466</v>
      </c>
      <c r="F2550" s="4" t="n">
        <v>8</v>
      </c>
      <c r="G2550" s="4" t="n">
        <v>8</v>
      </c>
      <c r="H2550" s="4" t="n">
        <v>4</v>
      </c>
      <c r="I2550" s="4" t="str">
        <v>×</v>
      </c>
      <c r="J2550" s="4"/>
      <c r="K2550" s="4"/>
      <c r="L2550" s="4"/>
      <c r="M2550" s="5" t="s">
        <v>1871</v>
      </c>
    </row>
    <row r="2551" customFormat="false" ht="15.75" hidden="false" customHeight="false" outlineLevel="0" collapsed="false">
      <c r="A2551" s="3" t="n">
        <v>46215</v>
      </c>
      <c r="B2551" s="4" t="s">
        <v>1091</v>
      </c>
      <c r="C2551" s="4" t="n">
        <v>3</v>
      </c>
      <c r="D2551" s="4" t="n">
        <v>13</v>
      </c>
      <c r="E2551" s="4" t="s">
        <v>2467</v>
      </c>
      <c r="F2551" s="4" t="n">
        <v>8</v>
      </c>
      <c r="G2551" s="4" t="n">
        <v>8</v>
      </c>
      <c r="H2551" s="4" t="n">
        <v>4</v>
      </c>
      <c r="I2551" s="4" t="str">
        <v>×</v>
      </c>
      <c r="J2551" s="4"/>
      <c r="K2551" s="4"/>
      <c r="L2551" s="4"/>
      <c r="M2551" s="5" t="s">
        <v>1871</v>
      </c>
    </row>
    <row r="2552" customFormat="false" ht="15.75" hidden="false" customHeight="false" outlineLevel="0" collapsed="false">
      <c r="A2552" s="3" t="n">
        <v>46215</v>
      </c>
      <c r="B2552" s="4" t="s">
        <v>1091</v>
      </c>
      <c r="C2552" s="4" t="n">
        <v>3</v>
      </c>
      <c r="D2552" s="4" t="n">
        <v>14</v>
      </c>
      <c r="E2552" s="4" t="s">
        <v>2468</v>
      </c>
      <c r="F2552" s="4" t="n">
        <v>17</v>
      </c>
      <c r="G2552" s="4" t="n">
        <v>6</v>
      </c>
      <c r="H2552" s="4" t="n">
        <v>4</v>
      </c>
      <c r="I2552" s="4" t="str">
        <v>×</v>
      </c>
      <c r="J2552" s="4"/>
      <c r="K2552" s="4"/>
      <c r="L2552" s="4"/>
      <c r="M2552" s="5" t="s">
        <v>1871</v>
      </c>
    </row>
    <row r="2553" customFormat="false" ht="15.75" hidden="false" customHeight="false" outlineLevel="0" collapsed="false">
      <c r="A2553" s="3" t="n">
        <v>46215</v>
      </c>
      <c r="B2553" s="4" t="s">
        <v>1091</v>
      </c>
      <c r="C2553" s="4" t="n">
        <v>3</v>
      </c>
      <c r="D2553" s="4" t="n">
        <v>15</v>
      </c>
      <c r="E2553" s="4" t="s">
        <v>656</v>
      </c>
      <c r="F2553" s="4" t="n">
        <v>23</v>
      </c>
      <c r="G2553" s="4" t="n">
        <v>4</v>
      </c>
      <c r="H2553" s="4" t="n">
        <v>4</v>
      </c>
      <c r="I2553" s="4" t="str">
        <v>×</v>
      </c>
      <c r="J2553" s="4"/>
      <c r="K2553" s="4"/>
      <c r="L2553" s="4"/>
      <c r="M2553" s="5" t="s">
        <v>1871</v>
      </c>
    </row>
    <row r="2554" customFormat="false" ht="15.75" hidden="false" customHeight="false" outlineLevel="0" collapsed="false">
      <c r="A2554" s="3" t="n">
        <v>46215</v>
      </c>
      <c r="B2554" s="4" t="s">
        <v>1091</v>
      </c>
      <c r="C2554" s="4" t="n">
        <v>4</v>
      </c>
      <c r="D2554" s="4" t="n">
        <v>1</v>
      </c>
      <c r="E2554" s="4" t="s">
        <v>2469</v>
      </c>
      <c r="F2554" s="4" t="n">
        <v>2</v>
      </c>
      <c r="G2554" s="4" t="n">
        <v>13</v>
      </c>
      <c r="H2554" s="4" t="n">
        <v>4</v>
      </c>
      <c r="I2554" s="4" t="str">
        <v>×</v>
      </c>
      <c r="J2554" s="4"/>
      <c r="K2554" s="4"/>
      <c r="L2554" s="4"/>
      <c r="M2554" s="5" t="s">
        <v>1871</v>
      </c>
    </row>
    <row r="2555" customFormat="false" ht="15.75" hidden="false" customHeight="false" outlineLevel="0" collapsed="false">
      <c r="A2555" s="3" t="n">
        <v>46215</v>
      </c>
      <c r="B2555" s="4" t="s">
        <v>1091</v>
      </c>
      <c r="C2555" s="4" t="n">
        <v>4</v>
      </c>
      <c r="D2555" s="4" t="n">
        <v>2</v>
      </c>
      <c r="E2555" s="4" t="s">
        <v>2470</v>
      </c>
      <c r="F2555" s="4" t="n">
        <v>10</v>
      </c>
      <c r="G2555" s="4" t="n">
        <v>8</v>
      </c>
      <c r="H2555" s="4" t="n">
        <v>4</v>
      </c>
      <c r="I2555" s="4" t="str">
        <v>×</v>
      </c>
      <c r="J2555" s="4"/>
      <c r="K2555" s="4"/>
      <c r="L2555" s="4"/>
      <c r="M2555" s="5" t="s">
        <v>1871</v>
      </c>
    </row>
    <row r="2556" customFormat="false" ht="15.75" hidden="false" customHeight="false" outlineLevel="0" collapsed="false">
      <c r="A2556" s="3" t="n">
        <v>46215</v>
      </c>
      <c r="B2556" s="4" t="s">
        <v>1091</v>
      </c>
      <c r="C2556" s="4" t="n">
        <v>4</v>
      </c>
      <c r="D2556" s="4" t="n">
        <v>3</v>
      </c>
      <c r="E2556" s="4" t="s">
        <v>2471</v>
      </c>
      <c r="F2556" s="4" t="n">
        <v>4</v>
      </c>
      <c r="G2556" s="4" t="n">
        <v>11</v>
      </c>
      <c r="H2556" s="4" t="n">
        <v>4</v>
      </c>
      <c r="I2556" s="4" t="str">
        <v>×</v>
      </c>
      <c r="J2556" s="4"/>
      <c r="K2556" s="4"/>
      <c r="L2556" s="4"/>
      <c r="M2556" s="5" t="s">
        <v>1871</v>
      </c>
    </row>
    <row r="2557" customFormat="false" ht="15.75" hidden="false" customHeight="false" outlineLevel="0" collapsed="false">
      <c r="A2557" s="3" t="n">
        <v>46215</v>
      </c>
      <c r="B2557" s="4" t="s">
        <v>1091</v>
      </c>
      <c r="C2557" s="4" t="n">
        <v>4</v>
      </c>
      <c r="D2557" s="4" t="n">
        <v>4</v>
      </c>
      <c r="E2557" s="4" t="s">
        <v>2472</v>
      </c>
      <c r="F2557" s="4" t="n">
        <v>20</v>
      </c>
      <c r="G2557" s="4" t="n">
        <v>6</v>
      </c>
      <c r="H2557" s="4" t="n">
        <v>4</v>
      </c>
      <c r="I2557" s="4" t="str">
        <v>×</v>
      </c>
      <c r="J2557" s="4"/>
      <c r="K2557" s="4"/>
      <c r="L2557" s="4"/>
      <c r="M2557" s="5" t="s">
        <v>1871</v>
      </c>
    </row>
    <row r="2558" customFormat="false" ht="15.75" hidden="false" customHeight="false" outlineLevel="0" collapsed="false">
      <c r="A2558" s="3" t="n">
        <v>46215</v>
      </c>
      <c r="B2558" s="4" t="s">
        <v>1091</v>
      </c>
      <c r="C2558" s="4" t="n">
        <v>4</v>
      </c>
      <c r="D2558" s="4" t="n">
        <v>5</v>
      </c>
      <c r="E2558" s="4" t="s">
        <v>2473</v>
      </c>
      <c r="F2558" s="4" t="n">
        <v>6</v>
      </c>
      <c r="G2558" s="4" t="n">
        <v>10</v>
      </c>
      <c r="H2558" s="4" t="n">
        <v>4</v>
      </c>
      <c r="I2558" s="4" t="str">
        <v>×</v>
      </c>
      <c r="J2558" s="4"/>
      <c r="K2558" s="4"/>
      <c r="L2558" s="4"/>
      <c r="M2558" s="5" t="s">
        <v>1871</v>
      </c>
    </row>
    <row r="2559" customFormat="false" ht="15.75" hidden="false" customHeight="false" outlineLevel="0" collapsed="false">
      <c r="A2559" s="3" t="n">
        <v>46215</v>
      </c>
      <c r="B2559" s="4" t="s">
        <v>1091</v>
      </c>
      <c r="C2559" s="4" t="n">
        <v>4</v>
      </c>
      <c r="D2559" s="4" t="n">
        <v>6</v>
      </c>
      <c r="E2559" s="4" t="s">
        <v>2474</v>
      </c>
      <c r="F2559" s="4" t="n">
        <v>39</v>
      </c>
      <c r="G2559" s="4" t="n">
        <v>4</v>
      </c>
      <c r="H2559" s="4" t="n">
        <v>3</v>
      </c>
      <c r="I2559" s="4" t="str">
        <v>○</v>
      </c>
      <c r="J2559" s="4" t="n">
        <v>140</v>
      </c>
      <c r="K2559" s="4"/>
      <c r="L2559" s="4"/>
      <c r="M2559" s="5" t="s">
        <v>1871</v>
      </c>
    </row>
    <row r="2560" customFormat="false" ht="15.75" hidden="false" customHeight="false" outlineLevel="0" collapsed="false">
      <c r="A2560" s="3" t="n">
        <v>46215</v>
      </c>
      <c r="B2560" s="4" t="s">
        <v>1091</v>
      </c>
      <c r="C2560" s="4" t="n">
        <v>4</v>
      </c>
      <c r="D2560" s="4" t="n">
        <v>7</v>
      </c>
      <c r="E2560" s="4" t="s">
        <v>2475</v>
      </c>
      <c r="F2560" s="4" t="n">
        <v>56</v>
      </c>
      <c r="G2560" s="4" t="n">
        <v>1</v>
      </c>
      <c r="H2560" s="4" t="n">
        <v>1</v>
      </c>
      <c r="I2560" s="4" t="str">
        <v>○</v>
      </c>
      <c r="J2560" s="4" t="n">
        <v>150</v>
      </c>
      <c r="K2560" s="4"/>
      <c r="L2560" s="4"/>
      <c r="M2560" s="5" t="s">
        <v>1871</v>
      </c>
    </row>
    <row r="2561" customFormat="false" ht="15.75" hidden="false" customHeight="false" outlineLevel="0" collapsed="false">
      <c r="A2561" s="3" t="n">
        <v>46215</v>
      </c>
      <c r="B2561" s="4" t="s">
        <v>1091</v>
      </c>
      <c r="C2561" s="4" t="n">
        <v>4</v>
      </c>
      <c r="D2561" s="4" t="n">
        <v>8</v>
      </c>
      <c r="E2561" s="4" t="s">
        <v>333</v>
      </c>
      <c r="F2561" s="4" t="n">
        <v>39</v>
      </c>
      <c r="G2561" s="4" t="n">
        <v>4</v>
      </c>
      <c r="H2561" s="4" t="n">
        <v>4</v>
      </c>
      <c r="I2561" s="4" t="str">
        <v>×</v>
      </c>
      <c r="J2561" s="4"/>
      <c r="K2561" s="4"/>
      <c r="L2561" s="4"/>
      <c r="M2561" s="5" t="s">
        <v>1871</v>
      </c>
    </row>
    <row r="2562" customFormat="false" ht="15.75" hidden="false" customHeight="false" outlineLevel="0" collapsed="false">
      <c r="A2562" s="3" t="n">
        <v>46215</v>
      </c>
      <c r="B2562" s="4" t="s">
        <v>1091</v>
      </c>
      <c r="C2562" s="4" t="n">
        <v>4</v>
      </c>
      <c r="D2562" s="4" t="n">
        <v>9</v>
      </c>
      <c r="E2562" s="4" t="s">
        <v>310</v>
      </c>
      <c r="F2562" s="4" t="n">
        <v>13</v>
      </c>
      <c r="G2562" s="4" t="n">
        <v>7</v>
      </c>
      <c r="H2562" s="4" t="n">
        <v>4</v>
      </c>
      <c r="I2562" s="4" t="str">
        <v>×</v>
      </c>
      <c r="J2562" s="4"/>
      <c r="K2562" s="4"/>
      <c r="L2562" s="4"/>
      <c r="M2562" s="5" t="s">
        <v>1871</v>
      </c>
    </row>
    <row r="2563" customFormat="false" ht="15.75" hidden="false" customHeight="false" outlineLevel="0" collapsed="false">
      <c r="A2563" s="3" t="n">
        <v>46215</v>
      </c>
      <c r="B2563" s="4" t="s">
        <v>1091</v>
      </c>
      <c r="C2563" s="4" t="n">
        <v>4</v>
      </c>
      <c r="D2563" s="4" t="n">
        <v>10</v>
      </c>
      <c r="E2563" s="4" t="s">
        <v>2476</v>
      </c>
      <c r="F2563" s="4" t="n">
        <v>4</v>
      </c>
      <c r="G2563" s="4" t="n">
        <v>11</v>
      </c>
      <c r="H2563" s="4" t="n">
        <v>4</v>
      </c>
      <c r="I2563" s="4" t="str">
        <v>×</v>
      </c>
      <c r="J2563" s="4"/>
      <c r="K2563" s="4"/>
      <c r="L2563" s="4"/>
      <c r="M2563" s="5" t="s">
        <v>1871</v>
      </c>
    </row>
    <row r="2564" customFormat="false" ht="15.75" hidden="false" customHeight="false" outlineLevel="0" collapsed="false">
      <c r="A2564" s="3" t="n">
        <v>46215</v>
      </c>
      <c r="B2564" s="4" t="s">
        <v>1091</v>
      </c>
      <c r="C2564" s="4" t="n">
        <v>4</v>
      </c>
      <c r="D2564" s="4" t="n">
        <v>11</v>
      </c>
      <c r="E2564" s="4" t="s">
        <v>2477</v>
      </c>
      <c r="F2564" s="4" t="n">
        <v>44</v>
      </c>
      <c r="G2564" s="4" t="n">
        <v>2</v>
      </c>
      <c r="H2564" s="4" t="n">
        <v>4</v>
      </c>
      <c r="I2564" s="4" t="str">
        <v>×</v>
      </c>
      <c r="J2564" s="4"/>
      <c r="K2564" s="4"/>
      <c r="L2564" s="4"/>
      <c r="M2564" s="5" t="s">
        <v>1871</v>
      </c>
    </row>
    <row r="2565" customFormat="false" ht="15.75" hidden="false" customHeight="false" outlineLevel="0" collapsed="false">
      <c r="A2565" s="3" t="n">
        <v>46215</v>
      </c>
      <c r="B2565" s="4" t="s">
        <v>1091</v>
      </c>
      <c r="C2565" s="4" t="n">
        <v>4</v>
      </c>
      <c r="D2565" s="4" t="n">
        <v>12</v>
      </c>
      <c r="E2565" s="4" t="s">
        <v>2478</v>
      </c>
      <c r="F2565" s="4" t="n">
        <v>41</v>
      </c>
      <c r="G2565" s="4" t="n">
        <v>3</v>
      </c>
      <c r="H2565" s="4" t="n">
        <v>2</v>
      </c>
      <c r="I2565" s="4" t="str">
        <v>○</v>
      </c>
      <c r="J2565" s="4" t="n">
        <v>190</v>
      </c>
      <c r="K2565" s="4"/>
      <c r="L2565" s="4"/>
      <c r="M2565" s="5" t="s">
        <v>1871</v>
      </c>
    </row>
    <row r="2566" customFormat="false" ht="15.75" hidden="false" customHeight="false" outlineLevel="0" collapsed="false">
      <c r="A2566" s="3" t="n">
        <v>46215</v>
      </c>
      <c r="B2566" s="4" t="s">
        <v>1091</v>
      </c>
      <c r="C2566" s="4" t="n">
        <v>4</v>
      </c>
      <c r="D2566" s="4" t="n">
        <v>13</v>
      </c>
      <c r="E2566" s="4" t="s">
        <v>2479</v>
      </c>
      <c r="F2566" s="4" t="n">
        <v>8</v>
      </c>
      <c r="G2566" s="4" t="n">
        <v>9</v>
      </c>
      <c r="H2566" s="4" t="n">
        <v>4</v>
      </c>
      <c r="I2566" s="4" t="str">
        <v>×</v>
      </c>
      <c r="J2566" s="4"/>
      <c r="K2566" s="4"/>
      <c r="L2566" s="4"/>
      <c r="M2566" s="5" t="s">
        <v>1871</v>
      </c>
    </row>
    <row r="2567" customFormat="false" ht="15.75" hidden="false" customHeight="false" outlineLevel="0" collapsed="false">
      <c r="A2567" s="3" t="n">
        <v>46215</v>
      </c>
      <c r="B2567" s="4" t="s">
        <v>1091</v>
      </c>
      <c r="C2567" s="4" t="n">
        <v>5</v>
      </c>
      <c r="D2567" s="4" t="n">
        <v>1</v>
      </c>
      <c r="E2567" s="4" t="s">
        <v>2480</v>
      </c>
      <c r="F2567" s="4" t="n">
        <v>24</v>
      </c>
      <c r="G2567" s="4" t="n">
        <v>3</v>
      </c>
      <c r="H2567" s="4" t="n">
        <v>3</v>
      </c>
      <c r="I2567" s="4" t="str">
        <v>○</v>
      </c>
      <c r="J2567" s="4" t="n">
        <v>1290</v>
      </c>
      <c r="K2567" s="4"/>
      <c r="L2567" s="4"/>
      <c r="M2567" s="5" t="s">
        <v>1871</v>
      </c>
    </row>
    <row r="2568" customFormat="false" ht="15.75" hidden="false" customHeight="false" outlineLevel="0" collapsed="false">
      <c r="A2568" s="3" t="n">
        <v>46215</v>
      </c>
      <c r="B2568" s="4" t="s">
        <v>1091</v>
      </c>
      <c r="C2568" s="4" t="n">
        <v>5</v>
      </c>
      <c r="D2568" s="4" t="n">
        <v>2</v>
      </c>
      <c r="E2568" s="4" t="s">
        <v>2481</v>
      </c>
      <c r="F2568" s="4" t="n">
        <v>24</v>
      </c>
      <c r="G2568" s="4" t="n">
        <v>3</v>
      </c>
      <c r="H2568" s="4" t="n">
        <v>4</v>
      </c>
      <c r="I2568" s="4" t="str">
        <v>×</v>
      </c>
      <c r="J2568" s="4"/>
      <c r="K2568" s="4"/>
      <c r="L2568" s="4"/>
      <c r="M2568" s="5" t="s">
        <v>1871</v>
      </c>
    </row>
    <row r="2569" customFormat="false" ht="15.75" hidden="false" customHeight="false" outlineLevel="0" collapsed="false">
      <c r="A2569" s="3" t="n">
        <v>46215</v>
      </c>
      <c r="B2569" s="4" t="s">
        <v>1091</v>
      </c>
      <c r="C2569" s="4" t="n">
        <v>5</v>
      </c>
      <c r="D2569" s="4" t="n">
        <v>3</v>
      </c>
      <c r="E2569" s="4" t="s">
        <v>2482</v>
      </c>
      <c r="F2569" s="4" t="n">
        <v>21</v>
      </c>
      <c r="G2569" s="4" t="n">
        <v>7</v>
      </c>
      <c r="H2569" s="4" t="n">
        <v>4</v>
      </c>
      <c r="I2569" s="4" t="str">
        <v>×</v>
      </c>
      <c r="J2569" s="4"/>
      <c r="K2569" s="4"/>
      <c r="L2569" s="4"/>
      <c r="M2569" s="5" t="s">
        <v>1871</v>
      </c>
    </row>
    <row r="2570" customFormat="false" ht="15.75" hidden="false" customHeight="false" outlineLevel="0" collapsed="false">
      <c r="A2570" s="3" t="n">
        <v>46215</v>
      </c>
      <c r="B2570" s="4" t="s">
        <v>1091</v>
      </c>
      <c r="C2570" s="4" t="n">
        <v>5</v>
      </c>
      <c r="D2570" s="4" t="n">
        <v>4</v>
      </c>
      <c r="E2570" s="4" t="s">
        <v>2483</v>
      </c>
      <c r="F2570" s="4" t="n">
        <v>24</v>
      </c>
      <c r="G2570" s="4" t="n">
        <v>3</v>
      </c>
      <c r="H2570" s="4" t="n">
        <v>4</v>
      </c>
      <c r="I2570" s="4" t="str">
        <v>×</v>
      </c>
      <c r="J2570" s="4"/>
      <c r="K2570" s="4"/>
      <c r="L2570" s="4"/>
      <c r="M2570" s="5" t="s">
        <v>1871</v>
      </c>
    </row>
    <row r="2571" customFormat="false" ht="15.75" hidden="false" customHeight="false" outlineLevel="0" collapsed="false">
      <c r="A2571" s="3" t="n">
        <v>46215</v>
      </c>
      <c r="B2571" s="4" t="s">
        <v>1091</v>
      </c>
      <c r="C2571" s="4" t="n">
        <v>5</v>
      </c>
      <c r="D2571" s="4" t="n">
        <v>5</v>
      </c>
      <c r="E2571" s="4" t="s">
        <v>2484</v>
      </c>
      <c r="F2571" s="4" t="n">
        <v>24</v>
      </c>
      <c r="G2571" s="4" t="n">
        <v>3</v>
      </c>
      <c r="H2571" s="4" t="n">
        <v>4</v>
      </c>
      <c r="I2571" s="4" t="str">
        <v>×</v>
      </c>
      <c r="J2571" s="4"/>
      <c r="K2571" s="4"/>
      <c r="L2571" s="4"/>
      <c r="M2571" s="5" t="s">
        <v>1871</v>
      </c>
    </row>
    <row r="2572" customFormat="false" ht="15.75" hidden="false" customHeight="false" outlineLevel="0" collapsed="false">
      <c r="A2572" s="3" t="n">
        <v>46215</v>
      </c>
      <c r="B2572" s="4" t="s">
        <v>1091</v>
      </c>
      <c r="C2572" s="4" t="n">
        <v>5</v>
      </c>
      <c r="D2572" s="4" t="n">
        <v>6</v>
      </c>
      <c r="E2572" s="4" t="s">
        <v>2485</v>
      </c>
      <c r="F2572" s="4" t="n">
        <v>37</v>
      </c>
      <c r="G2572" s="4" t="n">
        <v>1</v>
      </c>
      <c r="H2572" s="4" t="n">
        <v>2</v>
      </c>
      <c r="I2572" s="4" t="str">
        <v>○</v>
      </c>
      <c r="J2572" s="4" t="n">
        <v>360</v>
      </c>
      <c r="K2572" s="4"/>
      <c r="L2572" s="4"/>
      <c r="M2572" s="5" t="s">
        <v>1871</v>
      </c>
    </row>
    <row r="2573" customFormat="false" ht="15.75" hidden="false" customHeight="false" outlineLevel="0" collapsed="false">
      <c r="A2573" s="3" t="n">
        <v>46215</v>
      </c>
      <c r="B2573" s="4" t="s">
        <v>1091</v>
      </c>
      <c r="C2573" s="4" t="n">
        <v>5</v>
      </c>
      <c r="D2573" s="4" t="n">
        <v>7</v>
      </c>
      <c r="E2573" s="4" t="s">
        <v>2486</v>
      </c>
      <c r="F2573" s="4" t="n">
        <v>27</v>
      </c>
      <c r="G2573" s="4" t="n">
        <v>2</v>
      </c>
      <c r="H2573" s="4" t="n">
        <v>1</v>
      </c>
      <c r="I2573" s="4" t="str">
        <v>○</v>
      </c>
      <c r="J2573" s="4" t="n">
        <v>560</v>
      </c>
      <c r="K2573" s="4"/>
      <c r="L2573" s="4"/>
      <c r="M2573" s="5" t="s">
        <v>1871</v>
      </c>
    </row>
    <row r="2574" customFormat="false" ht="15.75" hidden="false" customHeight="false" outlineLevel="0" collapsed="false">
      <c r="A2574" s="3" t="n">
        <v>46215</v>
      </c>
      <c r="B2574" s="4" t="s">
        <v>1091</v>
      </c>
      <c r="C2574" s="4" t="n">
        <v>5</v>
      </c>
      <c r="D2574" s="4" t="n">
        <v>8</v>
      </c>
      <c r="E2574" s="4" t="s">
        <v>1104</v>
      </c>
      <c r="F2574" s="4" t="n">
        <v>21</v>
      </c>
      <c r="G2574" s="4" t="n">
        <v>7</v>
      </c>
      <c r="H2574" s="4" t="n">
        <v>4</v>
      </c>
      <c r="I2574" s="4" t="str">
        <v>×</v>
      </c>
      <c r="J2574" s="4"/>
      <c r="K2574" s="4"/>
      <c r="L2574" s="4"/>
      <c r="M2574" s="5" t="s">
        <v>1871</v>
      </c>
    </row>
    <row r="2575" customFormat="false" ht="15.75" hidden="false" customHeight="false" outlineLevel="0" collapsed="false">
      <c r="A2575" s="3" t="n">
        <v>46215</v>
      </c>
      <c r="B2575" s="4" t="s">
        <v>1091</v>
      </c>
      <c r="C2575" s="4" t="n">
        <v>6</v>
      </c>
      <c r="D2575" s="4" t="n">
        <v>1</v>
      </c>
      <c r="E2575" s="4" t="s">
        <v>2487</v>
      </c>
      <c r="F2575" s="4" t="n">
        <v>24</v>
      </c>
      <c r="G2575" s="4" t="n">
        <v>4</v>
      </c>
      <c r="H2575" s="4" t="n">
        <v>4</v>
      </c>
      <c r="I2575" s="4" t="str">
        <v>×</v>
      </c>
      <c r="J2575" s="4"/>
      <c r="K2575" s="4"/>
      <c r="L2575" s="4"/>
      <c r="M2575" s="5" t="s">
        <v>1871</v>
      </c>
    </row>
    <row r="2576" customFormat="false" ht="15.75" hidden="false" customHeight="false" outlineLevel="0" collapsed="false">
      <c r="A2576" s="3" t="n">
        <v>46215</v>
      </c>
      <c r="B2576" s="4" t="s">
        <v>1091</v>
      </c>
      <c r="C2576" s="4" t="n">
        <v>6</v>
      </c>
      <c r="D2576" s="4" t="n">
        <v>2</v>
      </c>
      <c r="E2576" s="4" t="s">
        <v>2488</v>
      </c>
      <c r="F2576" s="4" t="n">
        <v>37</v>
      </c>
      <c r="G2576" s="4" t="n">
        <v>1</v>
      </c>
      <c r="H2576" s="4" t="n">
        <v>4</v>
      </c>
      <c r="I2576" s="4" t="str">
        <v>×</v>
      </c>
      <c r="J2576" s="4"/>
      <c r="K2576" s="4"/>
      <c r="L2576" s="4"/>
      <c r="M2576" s="5" t="s">
        <v>1871</v>
      </c>
    </row>
    <row r="2577" customFormat="false" ht="15.75" hidden="false" customHeight="false" outlineLevel="0" collapsed="false">
      <c r="A2577" s="3" t="n">
        <v>46215</v>
      </c>
      <c r="B2577" s="4" t="s">
        <v>1091</v>
      </c>
      <c r="C2577" s="4" t="n">
        <v>6</v>
      </c>
      <c r="D2577" s="4" t="n">
        <v>3</v>
      </c>
      <c r="E2577" s="4" t="s">
        <v>2489</v>
      </c>
      <c r="F2577" s="4" t="n">
        <v>27</v>
      </c>
      <c r="G2577" s="4" t="n">
        <v>3</v>
      </c>
      <c r="H2577" s="4" t="n">
        <v>4</v>
      </c>
      <c r="I2577" s="4" t="str">
        <v>×</v>
      </c>
      <c r="J2577" s="4"/>
      <c r="K2577" s="4"/>
      <c r="L2577" s="4"/>
      <c r="M2577" s="5" t="s">
        <v>1871</v>
      </c>
    </row>
    <row r="2578" customFormat="false" ht="15.75" hidden="false" customHeight="false" outlineLevel="0" collapsed="false">
      <c r="A2578" s="3" t="n">
        <v>46215</v>
      </c>
      <c r="B2578" s="4" t="s">
        <v>1091</v>
      </c>
      <c r="C2578" s="4" t="n">
        <v>6</v>
      </c>
      <c r="D2578" s="4" t="n">
        <v>4</v>
      </c>
      <c r="E2578" s="4" t="s">
        <v>2490</v>
      </c>
      <c r="F2578" s="4" t="n">
        <v>21</v>
      </c>
      <c r="G2578" s="4" t="n">
        <v>5</v>
      </c>
      <c r="H2578" s="4" t="n">
        <v>1</v>
      </c>
      <c r="I2578" s="4" t="str">
        <v>○</v>
      </c>
      <c r="J2578" s="4" t="n">
        <v>150</v>
      </c>
      <c r="K2578" s="4"/>
      <c r="L2578" s="4"/>
      <c r="M2578" s="5" t="s">
        <v>1871</v>
      </c>
    </row>
    <row r="2579" customFormat="false" ht="15.75" hidden="false" customHeight="false" outlineLevel="0" collapsed="false">
      <c r="A2579" s="3" t="n">
        <v>46215</v>
      </c>
      <c r="B2579" s="4" t="s">
        <v>1091</v>
      </c>
      <c r="C2579" s="4" t="n">
        <v>6</v>
      </c>
      <c r="D2579" s="4" t="n">
        <v>5</v>
      </c>
      <c r="E2579" s="4" t="s">
        <v>2491</v>
      </c>
      <c r="F2579" s="4" t="n">
        <v>6</v>
      </c>
      <c r="G2579" s="4" t="n">
        <v>9</v>
      </c>
      <c r="H2579" s="4" t="n">
        <v>3</v>
      </c>
      <c r="I2579" s="4" t="str">
        <v>○</v>
      </c>
      <c r="J2579" s="4" t="n">
        <v>260</v>
      </c>
      <c r="K2579" s="4"/>
      <c r="L2579" s="4"/>
      <c r="M2579" s="5" t="s">
        <v>1871</v>
      </c>
    </row>
    <row r="2580" customFormat="false" ht="15.75" hidden="false" customHeight="false" outlineLevel="0" collapsed="false">
      <c r="A2580" s="3" t="n">
        <v>46215</v>
      </c>
      <c r="B2580" s="4" t="s">
        <v>1091</v>
      </c>
      <c r="C2580" s="4" t="n">
        <v>6</v>
      </c>
      <c r="D2580" s="4" t="n">
        <v>6</v>
      </c>
      <c r="E2580" s="4" t="s">
        <v>2492</v>
      </c>
      <c r="F2580" s="4" t="n">
        <v>37</v>
      </c>
      <c r="G2580" s="4" t="n">
        <v>1</v>
      </c>
      <c r="H2580" s="4" t="n">
        <v>2</v>
      </c>
      <c r="I2580" s="4" t="str">
        <v>○</v>
      </c>
      <c r="J2580" s="4" t="n">
        <v>110</v>
      </c>
      <c r="K2580" s="4"/>
      <c r="L2580" s="4"/>
      <c r="M2580" s="5" t="s">
        <v>1871</v>
      </c>
    </row>
    <row r="2581" customFormat="false" ht="15.75" hidden="false" customHeight="false" outlineLevel="0" collapsed="false">
      <c r="A2581" s="3" t="n">
        <v>46215</v>
      </c>
      <c r="B2581" s="4" t="s">
        <v>1091</v>
      </c>
      <c r="C2581" s="4" t="n">
        <v>6</v>
      </c>
      <c r="D2581" s="4" t="n">
        <v>7</v>
      </c>
      <c r="E2581" s="4" t="s">
        <v>634</v>
      </c>
      <c r="F2581" s="4" t="n">
        <v>8</v>
      </c>
      <c r="G2581" s="4" t="n">
        <v>8</v>
      </c>
      <c r="H2581" s="4" t="n">
        <v>4</v>
      </c>
      <c r="I2581" s="4" t="str">
        <v>×</v>
      </c>
      <c r="J2581" s="4"/>
      <c r="K2581" s="4"/>
      <c r="L2581" s="4"/>
      <c r="M2581" s="5" t="s">
        <v>1871</v>
      </c>
    </row>
    <row r="2582" customFormat="false" ht="15.75" hidden="false" customHeight="false" outlineLevel="0" collapsed="false">
      <c r="A2582" s="3" t="n">
        <v>46215</v>
      </c>
      <c r="B2582" s="4" t="s">
        <v>1091</v>
      </c>
      <c r="C2582" s="4" t="n">
        <v>6</v>
      </c>
      <c r="D2582" s="4" t="n">
        <v>8</v>
      </c>
      <c r="E2582" s="4" t="s">
        <v>2493</v>
      </c>
      <c r="F2582" s="4" t="n">
        <v>12</v>
      </c>
      <c r="G2582" s="4" t="n">
        <v>7</v>
      </c>
      <c r="H2582" s="4" t="n">
        <v>4</v>
      </c>
      <c r="I2582" s="4" t="str">
        <v>×</v>
      </c>
      <c r="J2582" s="4"/>
      <c r="K2582" s="4"/>
      <c r="L2582" s="4"/>
      <c r="M2582" s="5" t="s">
        <v>1871</v>
      </c>
    </row>
    <row r="2583" customFormat="false" ht="15.75" hidden="false" customHeight="false" outlineLevel="0" collapsed="false">
      <c r="A2583" s="3" t="n">
        <v>46215</v>
      </c>
      <c r="B2583" s="4" t="s">
        <v>1091</v>
      </c>
      <c r="C2583" s="4" t="n">
        <v>6</v>
      </c>
      <c r="D2583" s="4" t="n">
        <v>9</v>
      </c>
      <c r="E2583" s="4" t="s">
        <v>635</v>
      </c>
      <c r="F2583" s="4" t="n">
        <v>14</v>
      </c>
      <c r="G2583" s="4" t="n">
        <v>6</v>
      </c>
      <c r="H2583" s="4" t="n">
        <v>4</v>
      </c>
      <c r="I2583" s="4" t="str">
        <v>×</v>
      </c>
      <c r="J2583" s="4"/>
      <c r="K2583" s="4"/>
      <c r="L2583" s="4"/>
      <c r="M2583" s="5" t="s">
        <v>1871</v>
      </c>
    </row>
    <row r="2584" customFormat="false" ht="15.75" hidden="false" customHeight="false" outlineLevel="0" collapsed="false">
      <c r="A2584" s="3" t="n">
        <v>46215</v>
      </c>
      <c r="B2584" s="4" t="s">
        <v>1091</v>
      </c>
      <c r="C2584" s="4" t="n">
        <v>7</v>
      </c>
      <c r="D2584" s="4" t="n">
        <v>1</v>
      </c>
      <c r="E2584" s="4" t="s">
        <v>2494</v>
      </c>
      <c r="F2584" s="4" t="n">
        <v>4</v>
      </c>
      <c r="G2584" s="4" t="n">
        <v>15</v>
      </c>
      <c r="H2584" s="4" t="n">
        <v>4</v>
      </c>
      <c r="I2584" s="4" t="str">
        <v>×</v>
      </c>
      <c r="J2584" s="4"/>
      <c r="K2584" s="4"/>
      <c r="L2584" s="4"/>
      <c r="M2584" s="5" t="s">
        <v>1871</v>
      </c>
    </row>
    <row r="2585" customFormat="false" ht="15.75" hidden="false" customHeight="false" outlineLevel="0" collapsed="false">
      <c r="A2585" s="3" t="n">
        <v>46215</v>
      </c>
      <c r="B2585" s="4" t="s">
        <v>1091</v>
      </c>
      <c r="C2585" s="4" t="n">
        <v>7</v>
      </c>
      <c r="D2585" s="4" t="n">
        <v>2</v>
      </c>
      <c r="E2585" s="4" t="s">
        <v>2495</v>
      </c>
      <c r="F2585" s="4" t="n">
        <v>17</v>
      </c>
      <c r="G2585" s="4" t="n">
        <v>8</v>
      </c>
      <c r="H2585" s="4" t="n">
        <v>4</v>
      </c>
      <c r="I2585" s="4" t="str">
        <v>×</v>
      </c>
      <c r="J2585" s="4"/>
      <c r="K2585" s="4"/>
      <c r="L2585" s="4"/>
      <c r="M2585" s="5" t="s">
        <v>1871</v>
      </c>
    </row>
    <row r="2586" customFormat="false" ht="15.75" hidden="false" customHeight="false" outlineLevel="0" collapsed="false">
      <c r="A2586" s="3" t="n">
        <v>46215</v>
      </c>
      <c r="B2586" s="4" t="s">
        <v>1091</v>
      </c>
      <c r="C2586" s="4" t="n">
        <v>7</v>
      </c>
      <c r="D2586" s="4" t="n">
        <v>3</v>
      </c>
      <c r="E2586" s="4" t="s">
        <v>2496</v>
      </c>
      <c r="F2586" s="4" t="n">
        <v>29</v>
      </c>
      <c r="G2586" s="4" t="n">
        <v>6</v>
      </c>
      <c r="H2586" s="4" t="n">
        <v>4</v>
      </c>
      <c r="I2586" s="4" t="str">
        <v>×</v>
      </c>
      <c r="J2586" s="4"/>
      <c r="K2586" s="4"/>
      <c r="L2586" s="4"/>
      <c r="M2586" s="5" t="s">
        <v>1871</v>
      </c>
    </row>
    <row r="2587" customFormat="false" ht="15.75" hidden="false" customHeight="false" outlineLevel="0" collapsed="false">
      <c r="A2587" s="3" t="n">
        <v>46215</v>
      </c>
      <c r="B2587" s="4" t="s">
        <v>1091</v>
      </c>
      <c r="C2587" s="4" t="n">
        <v>7</v>
      </c>
      <c r="D2587" s="4" t="n">
        <v>4</v>
      </c>
      <c r="E2587" s="4" t="s">
        <v>2497</v>
      </c>
      <c r="F2587" s="4" t="n">
        <v>39</v>
      </c>
      <c r="G2587" s="4" t="n">
        <v>1</v>
      </c>
      <c r="H2587" s="4" t="n">
        <v>1</v>
      </c>
      <c r="I2587" s="4" t="str">
        <v>○</v>
      </c>
      <c r="J2587" s="4" t="n">
        <v>160</v>
      </c>
      <c r="K2587" s="4"/>
      <c r="L2587" s="4"/>
      <c r="M2587" s="5" t="s">
        <v>1871</v>
      </c>
    </row>
    <row r="2588" customFormat="false" ht="15.75" hidden="false" customHeight="false" outlineLevel="0" collapsed="false">
      <c r="A2588" s="3" t="n">
        <v>46215</v>
      </c>
      <c r="B2588" s="4" t="s">
        <v>1091</v>
      </c>
      <c r="C2588" s="4" t="n">
        <v>7</v>
      </c>
      <c r="D2588" s="4" t="n">
        <v>5</v>
      </c>
      <c r="E2588" s="4" t="s">
        <v>739</v>
      </c>
      <c r="F2588" s="4" t="n">
        <v>37</v>
      </c>
      <c r="G2588" s="4" t="n">
        <v>3</v>
      </c>
      <c r="H2588" s="4" t="n">
        <v>2</v>
      </c>
      <c r="I2588" s="4" t="str">
        <v>○</v>
      </c>
      <c r="J2588" s="4" t="n">
        <v>150</v>
      </c>
      <c r="K2588" s="4"/>
      <c r="L2588" s="4"/>
      <c r="M2588" s="5" t="s">
        <v>1871</v>
      </c>
    </row>
    <row r="2589" customFormat="false" ht="15.75" hidden="false" customHeight="false" outlineLevel="0" collapsed="false">
      <c r="A2589" s="3" t="n">
        <v>46215</v>
      </c>
      <c r="B2589" s="4" t="s">
        <v>1091</v>
      </c>
      <c r="C2589" s="4" t="n">
        <v>7</v>
      </c>
      <c r="D2589" s="4" t="n">
        <v>6</v>
      </c>
      <c r="E2589" s="4" t="s">
        <v>2498</v>
      </c>
      <c r="F2589" s="4" t="n">
        <v>15</v>
      </c>
      <c r="G2589" s="4" t="n">
        <v>11</v>
      </c>
      <c r="H2589" s="4" t="n">
        <v>4</v>
      </c>
      <c r="I2589" s="4" t="str">
        <v>×</v>
      </c>
      <c r="J2589" s="4"/>
      <c r="K2589" s="4"/>
      <c r="L2589" s="4"/>
      <c r="M2589" s="5" t="s">
        <v>1871</v>
      </c>
    </row>
    <row r="2590" customFormat="false" ht="15.75" hidden="false" customHeight="false" outlineLevel="0" collapsed="false">
      <c r="A2590" s="3" t="n">
        <v>46215</v>
      </c>
      <c r="B2590" s="4" t="s">
        <v>1091</v>
      </c>
      <c r="C2590" s="4" t="n">
        <v>7</v>
      </c>
      <c r="D2590" s="4" t="n">
        <v>7</v>
      </c>
      <c r="E2590" s="4" t="s">
        <v>2499</v>
      </c>
      <c r="F2590" s="4" t="n">
        <v>31</v>
      </c>
      <c r="G2590" s="4" t="n">
        <v>5</v>
      </c>
      <c r="H2590" s="4" t="n">
        <v>4</v>
      </c>
      <c r="I2590" s="4" t="str">
        <v>×</v>
      </c>
      <c r="J2590" s="4"/>
      <c r="K2590" s="4"/>
      <c r="L2590" s="4"/>
      <c r="M2590" s="5" t="s">
        <v>1871</v>
      </c>
    </row>
    <row r="2591" customFormat="false" ht="15.75" hidden="false" customHeight="false" outlineLevel="0" collapsed="false">
      <c r="A2591" s="3" t="n">
        <v>46215</v>
      </c>
      <c r="B2591" s="4" t="s">
        <v>1091</v>
      </c>
      <c r="C2591" s="4" t="n">
        <v>7</v>
      </c>
      <c r="D2591" s="4" t="n">
        <v>8</v>
      </c>
      <c r="E2591" s="4" t="s">
        <v>2500</v>
      </c>
      <c r="F2591" s="4" t="n">
        <v>15</v>
      </c>
      <c r="G2591" s="4" t="n">
        <v>11</v>
      </c>
      <c r="H2591" s="4" t="n">
        <v>4</v>
      </c>
      <c r="I2591" s="4" t="str">
        <v>×</v>
      </c>
      <c r="J2591" s="4"/>
      <c r="K2591" s="4"/>
      <c r="L2591" s="4"/>
      <c r="M2591" s="5" t="s">
        <v>1871</v>
      </c>
    </row>
    <row r="2592" customFormat="false" ht="15.75" hidden="false" customHeight="false" outlineLevel="0" collapsed="false">
      <c r="A2592" s="3" t="n">
        <v>46215</v>
      </c>
      <c r="B2592" s="4" t="s">
        <v>1091</v>
      </c>
      <c r="C2592" s="4" t="n">
        <v>7</v>
      </c>
      <c r="D2592" s="4" t="n">
        <v>9</v>
      </c>
      <c r="E2592" s="4" t="s">
        <v>2501</v>
      </c>
      <c r="F2592" s="4" t="n">
        <v>17</v>
      </c>
      <c r="G2592" s="4" t="n">
        <v>8</v>
      </c>
      <c r="H2592" s="4" t="n">
        <v>4</v>
      </c>
      <c r="I2592" s="4" t="str">
        <v>×</v>
      </c>
      <c r="J2592" s="4"/>
      <c r="K2592" s="4"/>
      <c r="L2592" s="4"/>
      <c r="M2592" s="5" t="s">
        <v>1871</v>
      </c>
    </row>
    <row r="2593" customFormat="false" ht="15.75" hidden="false" customHeight="false" outlineLevel="0" collapsed="false">
      <c r="A2593" s="3" t="n">
        <v>46215</v>
      </c>
      <c r="B2593" s="4" t="s">
        <v>1091</v>
      </c>
      <c r="C2593" s="4" t="n">
        <v>7</v>
      </c>
      <c r="D2593" s="4" t="n">
        <v>10</v>
      </c>
      <c r="E2593" s="4" t="s">
        <v>2502</v>
      </c>
      <c r="F2593" s="4" t="n">
        <v>17</v>
      </c>
      <c r="G2593" s="4" t="n">
        <v>8</v>
      </c>
      <c r="H2593" s="4" t="n">
        <v>4</v>
      </c>
      <c r="I2593" s="4" t="str">
        <v>×</v>
      </c>
      <c r="J2593" s="4"/>
      <c r="K2593" s="4"/>
      <c r="L2593" s="4"/>
      <c r="M2593" s="5" t="s">
        <v>1871</v>
      </c>
    </row>
    <row r="2594" customFormat="false" ht="15.75" hidden="false" customHeight="false" outlineLevel="0" collapsed="false">
      <c r="A2594" s="3" t="n">
        <v>46215</v>
      </c>
      <c r="B2594" s="4" t="s">
        <v>1091</v>
      </c>
      <c r="C2594" s="4" t="n">
        <v>7</v>
      </c>
      <c r="D2594" s="4" t="n">
        <v>11</v>
      </c>
      <c r="E2594" s="4" t="s">
        <v>106</v>
      </c>
      <c r="F2594" s="4" t="n">
        <v>37</v>
      </c>
      <c r="G2594" s="4" t="n">
        <v>3</v>
      </c>
      <c r="H2594" s="4" t="n">
        <v>4</v>
      </c>
      <c r="I2594" s="4" t="str">
        <v>×</v>
      </c>
      <c r="J2594" s="4"/>
      <c r="K2594" s="4"/>
      <c r="L2594" s="4"/>
      <c r="M2594" s="5" t="s">
        <v>1871</v>
      </c>
    </row>
    <row r="2595" customFormat="false" ht="15.75" hidden="false" customHeight="false" outlineLevel="0" collapsed="false">
      <c r="A2595" s="3" t="n">
        <v>46215</v>
      </c>
      <c r="B2595" s="4" t="s">
        <v>1091</v>
      </c>
      <c r="C2595" s="4" t="n">
        <v>7</v>
      </c>
      <c r="D2595" s="4" t="n">
        <v>12</v>
      </c>
      <c r="E2595" s="4" t="s">
        <v>303</v>
      </c>
      <c r="F2595" s="4" t="n">
        <v>39</v>
      </c>
      <c r="G2595" s="4" t="n">
        <v>1</v>
      </c>
      <c r="H2595" s="4" t="n">
        <v>3</v>
      </c>
      <c r="I2595" s="4" t="str">
        <v>○</v>
      </c>
      <c r="J2595" s="4" t="n">
        <v>180</v>
      </c>
      <c r="K2595" s="4"/>
      <c r="L2595" s="4"/>
      <c r="M2595" s="5" t="s">
        <v>1871</v>
      </c>
    </row>
    <row r="2596" customFormat="false" ht="15.75" hidden="false" customHeight="false" outlineLevel="0" collapsed="false">
      <c r="A2596" s="3" t="n">
        <v>46215</v>
      </c>
      <c r="B2596" s="4" t="s">
        <v>1091</v>
      </c>
      <c r="C2596" s="4" t="n">
        <v>7</v>
      </c>
      <c r="D2596" s="4" t="n">
        <v>13</v>
      </c>
      <c r="E2596" s="4" t="s">
        <v>2503</v>
      </c>
      <c r="F2596" s="4" t="n">
        <v>20</v>
      </c>
      <c r="G2596" s="4" t="n">
        <v>7</v>
      </c>
      <c r="H2596" s="4" t="n">
        <v>4</v>
      </c>
      <c r="I2596" s="4" t="str">
        <v>×</v>
      </c>
      <c r="J2596" s="4"/>
      <c r="K2596" s="4"/>
      <c r="L2596" s="4"/>
      <c r="M2596" s="5" t="s">
        <v>1871</v>
      </c>
    </row>
    <row r="2597" customFormat="false" ht="15.75" hidden="false" customHeight="false" outlineLevel="0" collapsed="false">
      <c r="A2597" s="3" t="n">
        <v>46215</v>
      </c>
      <c r="B2597" s="4" t="s">
        <v>1091</v>
      </c>
      <c r="C2597" s="4" t="n">
        <v>7</v>
      </c>
      <c r="D2597" s="4" t="n">
        <v>14</v>
      </c>
      <c r="E2597" s="4" t="s">
        <v>2504</v>
      </c>
      <c r="F2597" s="4" t="n">
        <v>13</v>
      </c>
      <c r="G2597" s="4" t="n">
        <v>13</v>
      </c>
      <c r="H2597" s="4" t="n">
        <v>4</v>
      </c>
      <c r="I2597" s="4" t="str">
        <v>×</v>
      </c>
      <c r="J2597" s="4"/>
      <c r="K2597" s="4"/>
      <c r="L2597" s="4"/>
      <c r="M2597" s="5" t="s">
        <v>1871</v>
      </c>
    </row>
    <row r="2598" customFormat="false" ht="15.75" hidden="false" customHeight="false" outlineLevel="0" collapsed="false">
      <c r="A2598" s="3" t="n">
        <v>46215</v>
      </c>
      <c r="B2598" s="4" t="s">
        <v>1091</v>
      </c>
      <c r="C2598" s="4" t="n">
        <v>7</v>
      </c>
      <c r="D2598" s="4" t="n">
        <v>15</v>
      </c>
      <c r="E2598" s="4" t="s">
        <v>2505</v>
      </c>
      <c r="F2598" s="4" t="n">
        <v>10</v>
      </c>
      <c r="G2598" s="4" t="n">
        <v>14</v>
      </c>
      <c r="H2598" s="4" t="n">
        <v>4</v>
      </c>
      <c r="I2598" s="4" t="str">
        <v>×</v>
      </c>
      <c r="J2598" s="4"/>
      <c r="K2598" s="4"/>
      <c r="L2598" s="4"/>
      <c r="M2598" s="5" t="s">
        <v>1871</v>
      </c>
    </row>
    <row r="2599" customFormat="false" ht="15.75" hidden="false" customHeight="false" outlineLevel="0" collapsed="false">
      <c r="A2599" s="3" t="n">
        <v>46215</v>
      </c>
      <c r="B2599" s="4" t="s">
        <v>1091</v>
      </c>
      <c r="C2599" s="4" t="n">
        <v>8</v>
      </c>
      <c r="D2599" s="4" t="n">
        <v>1</v>
      </c>
      <c r="E2599" s="4" t="s">
        <v>2506</v>
      </c>
      <c r="F2599" s="4" t="n">
        <v>56</v>
      </c>
      <c r="G2599" s="4" t="n">
        <v>1</v>
      </c>
      <c r="H2599" s="4" t="n">
        <v>1</v>
      </c>
      <c r="I2599" s="4" t="str">
        <v>○</v>
      </c>
      <c r="J2599" s="4" t="n">
        <v>130</v>
      </c>
      <c r="K2599" s="4"/>
      <c r="L2599" s="4"/>
      <c r="M2599" s="5" t="s">
        <v>1871</v>
      </c>
    </row>
    <row r="2600" customFormat="false" ht="15.75" hidden="false" customHeight="false" outlineLevel="0" collapsed="false">
      <c r="A2600" s="3" t="n">
        <v>46215</v>
      </c>
      <c r="B2600" s="4" t="s">
        <v>1091</v>
      </c>
      <c r="C2600" s="4" t="n">
        <v>8</v>
      </c>
      <c r="D2600" s="4" t="n">
        <v>2</v>
      </c>
      <c r="E2600" s="4" t="s">
        <v>754</v>
      </c>
      <c r="F2600" s="4" t="n">
        <v>39</v>
      </c>
      <c r="G2600" s="4" t="n">
        <v>3</v>
      </c>
      <c r="H2600" s="4" t="n">
        <v>2</v>
      </c>
      <c r="I2600" s="4" t="str">
        <v>○</v>
      </c>
      <c r="J2600" s="4" t="n">
        <v>130</v>
      </c>
      <c r="K2600" s="4"/>
      <c r="L2600" s="4"/>
      <c r="M2600" s="5" t="s">
        <v>1871</v>
      </c>
    </row>
    <row r="2601" customFormat="false" ht="15.75" hidden="false" customHeight="false" outlineLevel="0" collapsed="false">
      <c r="A2601" s="3" t="n">
        <v>46215</v>
      </c>
      <c r="B2601" s="4" t="s">
        <v>1091</v>
      </c>
      <c r="C2601" s="4" t="n">
        <v>8</v>
      </c>
      <c r="D2601" s="4" t="n">
        <v>3</v>
      </c>
      <c r="E2601" s="4" t="s">
        <v>2507</v>
      </c>
      <c r="F2601" s="4" t="n">
        <v>25</v>
      </c>
      <c r="G2601" s="4" t="n">
        <v>6</v>
      </c>
      <c r="H2601" s="4" t="n">
        <v>3</v>
      </c>
      <c r="I2601" s="4" t="str">
        <v>○</v>
      </c>
      <c r="J2601" s="4" t="n">
        <v>230</v>
      </c>
      <c r="K2601" s="4"/>
      <c r="L2601" s="4"/>
      <c r="M2601" s="5" t="s">
        <v>1871</v>
      </c>
    </row>
    <row r="2602" customFormat="false" ht="15.75" hidden="false" customHeight="false" outlineLevel="0" collapsed="false">
      <c r="A2602" s="3" t="n">
        <v>46215</v>
      </c>
      <c r="B2602" s="4" t="s">
        <v>1091</v>
      </c>
      <c r="C2602" s="4" t="n">
        <v>8</v>
      </c>
      <c r="D2602" s="4" t="n">
        <v>4</v>
      </c>
      <c r="E2602" s="4" t="s">
        <v>2508</v>
      </c>
      <c r="F2602" s="4" t="n">
        <v>29</v>
      </c>
      <c r="G2602" s="4" t="n">
        <v>5</v>
      </c>
      <c r="H2602" s="4" t="n">
        <v>4</v>
      </c>
      <c r="I2602" s="4" t="str">
        <v>×</v>
      </c>
      <c r="J2602" s="4"/>
      <c r="K2602" s="4"/>
      <c r="L2602" s="4"/>
      <c r="M2602" s="5" t="s">
        <v>1871</v>
      </c>
    </row>
    <row r="2603" customFormat="false" ht="15.75" hidden="false" customHeight="false" outlineLevel="0" collapsed="false">
      <c r="A2603" s="3" t="n">
        <v>46215</v>
      </c>
      <c r="B2603" s="4" t="s">
        <v>1091</v>
      </c>
      <c r="C2603" s="4" t="n">
        <v>8</v>
      </c>
      <c r="D2603" s="4" t="n">
        <v>5</v>
      </c>
      <c r="E2603" s="4" t="s">
        <v>2509</v>
      </c>
      <c r="F2603" s="4" t="n">
        <v>44</v>
      </c>
      <c r="G2603" s="4" t="n">
        <v>2</v>
      </c>
      <c r="H2603" s="4" t="n">
        <v>4</v>
      </c>
      <c r="I2603" s="4" t="str">
        <v>×</v>
      </c>
      <c r="J2603" s="4"/>
      <c r="K2603" s="4"/>
      <c r="L2603" s="4"/>
      <c r="M2603" s="5" t="s">
        <v>1871</v>
      </c>
    </row>
    <row r="2604" customFormat="false" ht="15.75" hidden="false" customHeight="false" outlineLevel="0" collapsed="false">
      <c r="A2604" s="3" t="n">
        <v>46215</v>
      </c>
      <c r="B2604" s="4" t="s">
        <v>1091</v>
      </c>
      <c r="C2604" s="4" t="n">
        <v>8</v>
      </c>
      <c r="D2604" s="4" t="n">
        <v>6</v>
      </c>
      <c r="E2604" s="4" t="s">
        <v>2510</v>
      </c>
      <c r="F2604" s="4" t="n">
        <v>6</v>
      </c>
      <c r="G2604" s="4" t="n">
        <v>8</v>
      </c>
      <c r="H2604" s="4" t="n">
        <v>4</v>
      </c>
      <c r="I2604" s="4" t="str">
        <v>×</v>
      </c>
      <c r="J2604" s="4"/>
      <c r="K2604" s="4"/>
      <c r="L2604" s="4"/>
      <c r="M2604" s="5" t="s">
        <v>1871</v>
      </c>
    </row>
    <row r="2605" customFormat="false" ht="15.75" hidden="false" customHeight="false" outlineLevel="0" collapsed="false">
      <c r="A2605" s="3" t="n">
        <v>46215</v>
      </c>
      <c r="B2605" s="4" t="s">
        <v>1091</v>
      </c>
      <c r="C2605" s="4" t="n">
        <v>8</v>
      </c>
      <c r="D2605" s="4" t="n">
        <v>7</v>
      </c>
      <c r="E2605" s="4" t="s">
        <v>1710</v>
      </c>
      <c r="F2605" s="4" t="n">
        <v>13</v>
      </c>
      <c r="G2605" s="4" t="n">
        <v>7</v>
      </c>
      <c r="H2605" s="4" t="n">
        <v>4</v>
      </c>
      <c r="I2605" s="4" t="str">
        <v>×</v>
      </c>
      <c r="J2605" s="4"/>
      <c r="K2605" s="4"/>
      <c r="L2605" s="4"/>
      <c r="M2605" s="5" t="s">
        <v>1871</v>
      </c>
    </row>
    <row r="2606" customFormat="false" ht="15.75" hidden="false" customHeight="false" outlineLevel="0" collapsed="false">
      <c r="A2606" s="3" t="n">
        <v>46215</v>
      </c>
      <c r="B2606" s="4" t="s">
        <v>1091</v>
      </c>
      <c r="C2606" s="4" t="n">
        <v>8</v>
      </c>
      <c r="D2606" s="4" t="n">
        <v>8</v>
      </c>
      <c r="E2606" s="4" t="s">
        <v>304</v>
      </c>
      <c r="F2606" s="4" t="n">
        <v>6</v>
      </c>
      <c r="G2606" s="4" t="n">
        <v>8</v>
      </c>
      <c r="H2606" s="4" t="n">
        <v>4</v>
      </c>
      <c r="I2606" s="4" t="str">
        <v>×</v>
      </c>
      <c r="J2606" s="4"/>
      <c r="K2606" s="4"/>
      <c r="L2606" s="4"/>
      <c r="M2606" s="5" t="s">
        <v>1871</v>
      </c>
    </row>
    <row r="2607" customFormat="false" ht="15.75" hidden="false" customHeight="false" outlineLevel="0" collapsed="false">
      <c r="A2607" s="3" t="n">
        <v>46215</v>
      </c>
      <c r="B2607" s="4" t="s">
        <v>1091</v>
      </c>
      <c r="C2607" s="4" t="n">
        <v>8</v>
      </c>
      <c r="D2607" s="4" t="n">
        <v>9</v>
      </c>
      <c r="E2607" s="4" t="s">
        <v>2511</v>
      </c>
      <c r="F2607" s="4" t="n">
        <v>39</v>
      </c>
      <c r="G2607" s="4" t="n">
        <v>3</v>
      </c>
      <c r="H2607" s="4" t="n">
        <v>4</v>
      </c>
      <c r="I2607" s="4" t="str">
        <v>×</v>
      </c>
      <c r="J2607" s="4"/>
      <c r="K2607" s="4"/>
      <c r="L2607" s="4"/>
      <c r="M2607" s="5" t="s">
        <v>1871</v>
      </c>
    </row>
    <row r="2608" customFormat="false" ht="15.75" hidden="false" customHeight="false" outlineLevel="0" collapsed="false">
      <c r="A2608" s="3" t="n">
        <v>46215</v>
      </c>
      <c r="B2608" s="4" t="s">
        <v>1091</v>
      </c>
      <c r="C2608" s="4" t="n">
        <v>9</v>
      </c>
      <c r="D2608" s="4" t="n">
        <v>1</v>
      </c>
      <c r="E2608" s="4" t="s">
        <v>2512</v>
      </c>
      <c r="F2608" s="4" t="n">
        <v>10</v>
      </c>
      <c r="G2608" s="4" t="n">
        <v>8</v>
      </c>
      <c r="H2608" s="4" t="n">
        <v>4</v>
      </c>
      <c r="I2608" s="4" t="str">
        <v>×</v>
      </c>
      <c r="J2608" s="4"/>
      <c r="K2608" s="4"/>
      <c r="L2608" s="4"/>
      <c r="M2608" s="5" t="s">
        <v>1871</v>
      </c>
    </row>
    <row r="2609" customFormat="false" ht="15.75" hidden="false" customHeight="false" outlineLevel="0" collapsed="false">
      <c r="A2609" s="3" t="n">
        <v>46215</v>
      </c>
      <c r="B2609" s="4" t="s">
        <v>1091</v>
      </c>
      <c r="C2609" s="4" t="n">
        <v>9</v>
      </c>
      <c r="D2609" s="4" t="n">
        <v>2</v>
      </c>
      <c r="E2609" s="4" t="s">
        <v>2513</v>
      </c>
      <c r="F2609" s="4" t="n">
        <v>29</v>
      </c>
      <c r="G2609" s="4" t="n">
        <v>5</v>
      </c>
      <c r="H2609" s="4" t="n">
        <v>4</v>
      </c>
      <c r="I2609" s="4" t="str">
        <v>×</v>
      </c>
      <c r="J2609" s="4"/>
      <c r="K2609" s="4"/>
      <c r="L2609" s="4"/>
      <c r="M2609" s="5" t="s">
        <v>1871</v>
      </c>
    </row>
    <row r="2610" customFormat="false" ht="15.75" hidden="false" customHeight="false" outlineLevel="0" collapsed="false">
      <c r="A2610" s="3" t="n">
        <v>46215</v>
      </c>
      <c r="B2610" s="4" t="s">
        <v>1091</v>
      </c>
      <c r="C2610" s="4" t="n">
        <v>9</v>
      </c>
      <c r="D2610" s="4" t="n">
        <v>3</v>
      </c>
      <c r="E2610" s="4" t="s">
        <v>2514</v>
      </c>
      <c r="F2610" s="4" t="n">
        <v>37</v>
      </c>
      <c r="G2610" s="4" t="n">
        <v>3</v>
      </c>
      <c r="H2610" s="4" t="n">
        <v>4</v>
      </c>
      <c r="I2610" s="4" t="str">
        <v>×</v>
      </c>
      <c r="J2610" s="4"/>
      <c r="K2610" s="4"/>
      <c r="L2610" s="4"/>
      <c r="M2610" s="5" t="s">
        <v>1871</v>
      </c>
    </row>
    <row r="2611" customFormat="false" ht="15.75" hidden="false" customHeight="false" outlineLevel="0" collapsed="false">
      <c r="A2611" s="3" t="n">
        <v>46215</v>
      </c>
      <c r="B2611" s="4" t="s">
        <v>1091</v>
      </c>
      <c r="C2611" s="4" t="n">
        <v>9</v>
      </c>
      <c r="D2611" s="4" t="n">
        <v>4</v>
      </c>
      <c r="E2611" s="4" t="s">
        <v>2515</v>
      </c>
      <c r="F2611" s="4" t="n">
        <v>15</v>
      </c>
      <c r="G2611" s="4" t="n">
        <v>7</v>
      </c>
      <c r="H2611" s="4" t="n">
        <v>4</v>
      </c>
      <c r="I2611" s="4" t="str">
        <v>×</v>
      </c>
      <c r="J2611" s="4"/>
      <c r="K2611" s="4"/>
      <c r="L2611" s="4"/>
      <c r="M2611" s="5" t="s">
        <v>1871</v>
      </c>
    </row>
    <row r="2612" customFormat="false" ht="15.75" hidden="false" customHeight="false" outlineLevel="0" collapsed="false">
      <c r="A2612" s="3" t="n">
        <v>46215</v>
      </c>
      <c r="B2612" s="4" t="s">
        <v>1091</v>
      </c>
      <c r="C2612" s="4" t="n">
        <v>9</v>
      </c>
      <c r="D2612" s="4" t="n">
        <v>5</v>
      </c>
      <c r="E2612" s="4" t="s">
        <v>2516</v>
      </c>
      <c r="F2612" s="4" t="n">
        <v>37</v>
      </c>
      <c r="G2612" s="4" t="n">
        <v>3</v>
      </c>
      <c r="H2612" s="4" t="n">
        <v>4</v>
      </c>
      <c r="I2612" s="4" t="str">
        <v>×</v>
      </c>
      <c r="J2612" s="4"/>
      <c r="K2612" s="4"/>
      <c r="L2612" s="4"/>
      <c r="M2612" s="5" t="s">
        <v>1871</v>
      </c>
    </row>
    <row r="2613" customFormat="false" ht="15.75" hidden="false" customHeight="false" outlineLevel="0" collapsed="false">
      <c r="A2613" s="3" t="n">
        <v>46215</v>
      </c>
      <c r="B2613" s="4" t="s">
        <v>1091</v>
      </c>
      <c r="C2613" s="4" t="n">
        <v>9</v>
      </c>
      <c r="D2613" s="4" t="n">
        <v>6</v>
      </c>
      <c r="E2613" s="4" t="s">
        <v>2517</v>
      </c>
      <c r="F2613" s="4" t="n">
        <v>47</v>
      </c>
      <c r="G2613" s="4" t="n">
        <v>2</v>
      </c>
      <c r="H2613" s="4" t="n">
        <v>3</v>
      </c>
      <c r="I2613" s="4" t="str">
        <v>○</v>
      </c>
      <c r="J2613" s="4" t="n">
        <v>160</v>
      </c>
      <c r="K2613" s="4"/>
      <c r="L2613" s="4"/>
      <c r="M2613" s="5" t="s">
        <v>1871</v>
      </c>
    </row>
    <row r="2614" customFormat="false" ht="15.75" hidden="false" customHeight="false" outlineLevel="0" collapsed="false">
      <c r="A2614" s="3" t="n">
        <v>46215</v>
      </c>
      <c r="B2614" s="4" t="s">
        <v>1091</v>
      </c>
      <c r="C2614" s="4" t="n">
        <v>9</v>
      </c>
      <c r="D2614" s="4" t="n">
        <v>7</v>
      </c>
      <c r="E2614" s="4" t="s">
        <v>2518</v>
      </c>
      <c r="F2614" s="4" t="n">
        <v>10</v>
      </c>
      <c r="G2614" s="4" t="n">
        <v>8</v>
      </c>
      <c r="H2614" s="4" t="n">
        <v>4</v>
      </c>
      <c r="I2614" s="4" t="str">
        <v>×</v>
      </c>
      <c r="J2614" s="4"/>
      <c r="K2614" s="4"/>
      <c r="L2614" s="4"/>
      <c r="M2614" s="5" t="s">
        <v>1871</v>
      </c>
    </row>
    <row r="2615" customFormat="false" ht="15.75" hidden="false" customHeight="false" outlineLevel="0" collapsed="false">
      <c r="A2615" s="3" t="n">
        <v>46215</v>
      </c>
      <c r="B2615" s="4" t="s">
        <v>1091</v>
      </c>
      <c r="C2615" s="4" t="n">
        <v>9</v>
      </c>
      <c r="D2615" s="4" t="n">
        <v>8</v>
      </c>
      <c r="E2615" s="4" t="s">
        <v>2519</v>
      </c>
      <c r="F2615" s="4" t="n">
        <v>75</v>
      </c>
      <c r="G2615" s="4" t="n">
        <v>1</v>
      </c>
      <c r="H2615" s="4" t="n">
        <v>1</v>
      </c>
      <c r="I2615" s="4" t="str">
        <v>○</v>
      </c>
      <c r="J2615" s="4" t="n">
        <v>110</v>
      </c>
      <c r="K2615" s="4"/>
      <c r="L2615" s="4"/>
      <c r="M2615" s="5" t="s">
        <v>1871</v>
      </c>
    </row>
    <row r="2616" customFormat="false" ht="15.75" hidden="false" customHeight="false" outlineLevel="0" collapsed="false">
      <c r="A2616" s="3" t="n">
        <v>46215</v>
      </c>
      <c r="B2616" s="4" t="s">
        <v>1091</v>
      </c>
      <c r="C2616" s="4" t="n">
        <v>9</v>
      </c>
      <c r="D2616" s="4" t="n">
        <v>9</v>
      </c>
      <c r="E2616" s="4" t="s">
        <v>2520</v>
      </c>
      <c r="F2616" s="4" t="n">
        <v>10</v>
      </c>
      <c r="G2616" s="4" t="n">
        <v>8</v>
      </c>
      <c r="H2616" s="4" t="n">
        <v>4</v>
      </c>
      <c r="I2616" s="4" t="str">
        <v>×</v>
      </c>
      <c r="J2616" s="4"/>
      <c r="K2616" s="4"/>
      <c r="L2616" s="4"/>
      <c r="M2616" s="5" t="s">
        <v>1871</v>
      </c>
    </row>
    <row r="2617" customFormat="false" ht="15.75" hidden="false" customHeight="false" outlineLevel="0" collapsed="false">
      <c r="A2617" s="3" t="n">
        <v>46215</v>
      </c>
      <c r="B2617" s="4" t="s">
        <v>1091</v>
      </c>
      <c r="C2617" s="4" t="n">
        <v>9</v>
      </c>
      <c r="D2617" s="4" t="n">
        <v>10</v>
      </c>
      <c r="E2617" s="4" t="s">
        <v>2521</v>
      </c>
      <c r="F2617" s="4" t="n">
        <v>20</v>
      </c>
      <c r="G2617" s="4" t="n">
        <v>6</v>
      </c>
      <c r="H2617" s="4" t="n">
        <v>2</v>
      </c>
      <c r="I2617" s="4" t="str">
        <v>○</v>
      </c>
      <c r="J2617" s="4" t="n">
        <v>120</v>
      </c>
      <c r="K2617" s="4"/>
      <c r="L2617" s="4"/>
      <c r="M2617" s="5" t="s">
        <v>1871</v>
      </c>
    </row>
    <row r="2618" customFormat="false" ht="15.75" hidden="false" customHeight="false" outlineLevel="0" collapsed="false">
      <c r="A2618" s="3" t="n">
        <v>46215</v>
      </c>
      <c r="B2618" s="4" t="s">
        <v>1091</v>
      </c>
      <c r="C2618" s="4" t="n">
        <v>10</v>
      </c>
      <c r="D2618" s="4" t="n">
        <v>1</v>
      </c>
      <c r="E2618" s="4" t="s">
        <v>2522</v>
      </c>
      <c r="F2618" s="4" t="n">
        <v>34</v>
      </c>
      <c r="G2618" s="4" t="n">
        <v>3</v>
      </c>
      <c r="H2618" s="4" t="n">
        <v>2</v>
      </c>
      <c r="I2618" s="4" t="str">
        <v>○</v>
      </c>
      <c r="J2618" s="4" t="n">
        <v>200</v>
      </c>
      <c r="K2618" s="4"/>
      <c r="L2618" s="4"/>
      <c r="M2618" s="5" t="s">
        <v>1871</v>
      </c>
    </row>
    <row r="2619" customFormat="false" ht="15.75" hidden="false" customHeight="false" outlineLevel="0" collapsed="false">
      <c r="A2619" s="3" t="n">
        <v>46215</v>
      </c>
      <c r="B2619" s="4" t="s">
        <v>1091</v>
      </c>
      <c r="C2619" s="4" t="n">
        <v>10</v>
      </c>
      <c r="D2619" s="4" t="n">
        <v>2</v>
      </c>
      <c r="E2619" s="4" t="s">
        <v>2523</v>
      </c>
      <c r="F2619" s="4" t="n">
        <v>8</v>
      </c>
      <c r="G2619" s="4" t="n">
        <v>9</v>
      </c>
      <c r="H2619" s="4" t="n">
        <v>4</v>
      </c>
      <c r="I2619" s="4" t="str">
        <v>×</v>
      </c>
      <c r="J2619" s="4"/>
      <c r="K2619" s="4"/>
      <c r="L2619" s="4"/>
      <c r="M2619" s="5" t="s">
        <v>1871</v>
      </c>
    </row>
    <row r="2620" customFormat="false" ht="15.75" hidden="false" customHeight="false" outlineLevel="0" collapsed="false">
      <c r="A2620" s="3" t="n">
        <v>46215</v>
      </c>
      <c r="B2620" s="4" t="s">
        <v>1091</v>
      </c>
      <c r="C2620" s="4" t="n">
        <v>10</v>
      </c>
      <c r="D2620" s="4" t="n">
        <v>3</v>
      </c>
      <c r="E2620" s="4" t="s">
        <v>2524</v>
      </c>
      <c r="F2620" s="4" t="n">
        <v>39</v>
      </c>
      <c r="G2620" s="4" t="n">
        <v>1</v>
      </c>
      <c r="H2620" s="4" t="n">
        <v>4</v>
      </c>
      <c r="I2620" s="4" t="str">
        <v>×</v>
      </c>
      <c r="J2620" s="4"/>
      <c r="K2620" s="4"/>
      <c r="L2620" s="4"/>
      <c r="M2620" s="5" t="s">
        <v>1871</v>
      </c>
    </row>
    <row r="2621" customFormat="false" ht="15.75" hidden="false" customHeight="false" outlineLevel="0" collapsed="false">
      <c r="A2621" s="3" t="n">
        <v>46215</v>
      </c>
      <c r="B2621" s="4" t="s">
        <v>1091</v>
      </c>
      <c r="C2621" s="4" t="n">
        <v>10</v>
      </c>
      <c r="D2621" s="4" t="n">
        <v>4</v>
      </c>
      <c r="E2621" s="4" t="s">
        <v>691</v>
      </c>
      <c r="F2621" s="4" t="n">
        <v>6</v>
      </c>
      <c r="G2621" s="4" t="n">
        <v>11</v>
      </c>
      <c r="H2621" s="4" t="n">
        <v>4</v>
      </c>
      <c r="I2621" s="4" t="str">
        <v>×</v>
      </c>
      <c r="J2621" s="4"/>
      <c r="K2621" s="4"/>
      <c r="L2621" s="4"/>
      <c r="M2621" s="5" t="s">
        <v>1871</v>
      </c>
    </row>
    <row r="2622" customFormat="false" ht="15.75" hidden="false" customHeight="false" outlineLevel="0" collapsed="false">
      <c r="A2622" s="3" t="n">
        <v>46215</v>
      </c>
      <c r="B2622" s="4" t="s">
        <v>1091</v>
      </c>
      <c r="C2622" s="4" t="n">
        <v>10</v>
      </c>
      <c r="D2622" s="4" t="n">
        <v>5</v>
      </c>
      <c r="E2622" s="4" t="s">
        <v>2525</v>
      </c>
      <c r="F2622" s="4" t="n">
        <v>20</v>
      </c>
      <c r="G2622" s="4" t="n">
        <v>6</v>
      </c>
      <c r="H2622" s="4" t="n">
        <v>4</v>
      </c>
      <c r="I2622" s="4" t="str">
        <v>×</v>
      </c>
      <c r="J2622" s="4"/>
      <c r="K2622" s="4"/>
      <c r="L2622" s="4"/>
      <c r="M2622" s="5" t="s">
        <v>1871</v>
      </c>
    </row>
    <row r="2623" customFormat="false" ht="15.75" hidden="false" customHeight="false" outlineLevel="0" collapsed="false">
      <c r="A2623" s="3" t="n">
        <v>46215</v>
      </c>
      <c r="B2623" s="4" t="s">
        <v>1091</v>
      </c>
      <c r="C2623" s="4" t="n">
        <v>10</v>
      </c>
      <c r="D2623" s="4" t="n">
        <v>6</v>
      </c>
      <c r="E2623" s="4" t="s">
        <v>2526</v>
      </c>
      <c r="F2623" s="4" t="n">
        <v>8</v>
      </c>
      <c r="G2623" s="4" t="n">
        <v>9</v>
      </c>
      <c r="H2623" s="4" t="n">
        <v>4</v>
      </c>
      <c r="I2623" s="4" t="str">
        <v>×</v>
      </c>
      <c r="J2623" s="4"/>
      <c r="K2623" s="4"/>
      <c r="L2623" s="4"/>
      <c r="M2623" s="5" t="s">
        <v>1871</v>
      </c>
    </row>
    <row r="2624" customFormat="false" ht="15.75" hidden="false" customHeight="false" outlineLevel="0" collapsed="false">
      <c r="A2624" s="3" t="n">
        <v>46215</v>
      </c>
      <c r="B2624" s="4" t="s">
        <v>1091</v>
      </c>
      <c r="C2624" s="4" t="n">
        <v>10</v>
      </c>
      <c r="D2624" s="4" t="n">
        <v>7</v>
      </c>
      <c r="E2624" s="4" t="s">
        <v>2527</v>
      </c>
      <c r="F2624" s="4" t="n">
        <v>37</v>
      </c>
      <c r="G2624" s="4" t="n">
        <v>2</v>
      </c>
      <c r="H2624" s="4" t="n">
        <v>4</v>
      </c>
      <c r="I2624" s="4" t="str">
        <v>×</v>
      </c>
      <c r="J2624" s="4"/>
      <c r="K2624" s="4"/>
      <c r="L2624" s="4"/>
      <c r="M2624" s="5" t="s">
        <v>1871</v>
      </c>
    </row>
    <row r="2625" customFormat="false" ht="15.75" hidden="false" customHeight="false" outlineLevel="0" collapsed="false">
      <c r="A2625" s="3" t="n">
        <v>46215</v>
      </c>
      <c r="B2625" s="4" t="s">
        <v>1091</v>
      </c>
      <c r="C2625" s="4" t="n">
        <v>10</v>
      </c>
      <c r="D2625" s="4" t="n">
        <v>8</v>
      </c>
      <c r="E2625" s="4" t="s">
        <v>696</v>
      </c>
      <c r="F2625" s="4" t="n">
        <v>23</v>
      </c>
      <c r="G2625" s="4" t="n">
        <v>5</v>
      </c>
      <c r="H2625" s="4" t="n">
        <v>4</v>
      </c>
      <c r="I2625" s="4" t="str">
        <v>×</v>
      </c>
      <c r="J2625" s="4"/>
      <c r="K2625" s="4"/>
      <c r="L2625" s="4"/>
      <c r="M2625" s="5" t="s">
        <v>1871</v>
      </c>
    </row>
    <row r="2626" customFormat="false" ht="15.75" hidden="false" customHeight="false" outlineLevel="0" collapsed="false">
      <c r="A2626" s="3" t="n">
        <v>46215</v>
      </c>
      <c r="B2626" s="4" t="s">
        <v>1091</v>
      </c>
      <c r="C2626" s="4" t="n">
        <v>10</v>
      </c>
      <c r="D2626" s="4" t="n">
        <v>9</v>
      </c>
      <c r="E2626" s="4" t="s">
        <v>2528</v>
      </c>
      <c r="F2626" s="4" t="n">
        <v>13</v>
      </c>
      <c r="G2626" s="4" t="n">
        <v>8</v>
      </c>
      <c r="H2626" s="4" t="n">
        <v>3</v>
      </c>
      <c r="I2626" s="4" t="str">
        <v>○</v>
      </c>
      <c r="J2626" s="4" t="n">
        <v>770</v>
      </c>
      <c r="K2626" s="4"/>
      <c r="L2626" s="4"/>
      <c r="M2626" s="5" t="s">
        <v>1871</v>
      </c>
    </row>
    <row r="2627" customFormat="false" ht="15.75" hidden="false" customHeight="false" outlineLevel="0" collapsed="false">
      <c r="A2627" s="3" t="n">
        <v>46215</v>
      </c>
      <c r="B2627" s="4" t="s">
        <v>1091</v>
      </c>
      <c r="C2627" s="4" t="n">
        <v>10</v>
      </c>
      <c r="D2627" s="4" t="n">
        <v>10</v>
      </c>
      <c r="E2627" s="4" t="s">
        <v>2529</v>
      </c>
      <c r="F2627" s="4" t="n">
        <v>15</v>
      </c>
      <c r="G2627" s="4" t="n">
        <v>7</v>
      </c>
      <c r="H2627" s="4" t="n">
        <v>1</v>
      </c>
      <c r="I2627" s="4" t="str">
        <v>○</v>
      </c>
      <c r="J2627" s="4" t="n">
        <v>200</v>
      </c>
      <c r="K2627" s="4"/>
      <c r="L2627" s="4"/>
      <c r="M2627" s="5" t="s">
        <v>1871</v>
      </c>
    </row>
    <row r="2628" customFormat="false" ht="15.75" hidden="false" customHeight="false" outlineLevel="0" collapsed="false">
      <c r="A2628" s="3" t="n">
        <v>46215</v>
      </c>
      <c r="B2628" s="4" t="s">
        <v>1091</v>
      </c>
      <c r="C2628" s="4" t="n">
        <v>10</v>
      </c>
      <c r="D2628" s="4" t="n">
        <v>11</v>
      </c>
      <c r="E2628" s="4" t="s">
        <v>2530</v>
      </c>
      <c r="F2628" s="4" t="n">
        <v>25</v>
      </c>
      <c r="G2628" s="4" t="n">
        <v>4</v>
      </c>
      <c r="H2628" s="4" t="n">
        <v>4</v>
      </c>
      <c r="I2628" s="4" t="str">
        <v>×</v>
      </c>
      <c r="J2628" s="4"/>
      <c r="K2628" s="4"/>
      <c r="L2628" s="4"/>
      <c r="M2628" s="5" t="s">
        <v>1871</v>
      </c>
    </row>
    <row r="2629" customFormat="false" ht="15.75" hidden="false" customHeight="false" outlineLevel="0" collapsed="false">
      <c r="A2629" s="3" t="n">
        <v>46215</v>
      </c>
      <c r="B2629" s="4" t="s">
        <v>1091</v>
      </c>
      <c r="C2629" s="4" t="n">
        <v>11</v>
      </c>
      <c r="D2629" s="4" t="n">
        <v>1</v>
      </c>
      <c r="E2629" s="4" t="s">
        <v>2531</v>
      </c>
      <c r="F2629" s="4" t="n">
        <v>8</v>
      </c>
      <c r="G2629" s="4" t="n">
        <v>11</v>
      </c>
      <c r="H2629" s="4" t="n">
        <v>4</v>
      </c>
      <c r="I2629" s="4" t="str">
        <v>×</v>
      </c>
      <c r="J2629" s="4"/>
      <c r="K2629" s="4"/>
      <c r="L2629" s="4"/>
      <c r="M2629" s="5" t="s">
        <v>1871</v>
      </c>
    </row>
    <row r="2630" customFormat="false" ht="15.75" hidden="false" customHeight="false" outlineLevel="0" collapsed="false">
      <c r="A2630" s="3" t="n">
        <v>46215</v>
      </c>
      <c r="B2630" s="4" t="s">
        <v>1091</v>
      </c>
      <c r="C2630" s="4" t="n">
        <v>11</v>
      </c>
      <c r="D2630" s="4" t="n">
        <v>2</v>
      </c>
      <c r="E2630" s="4" t="s">
        <v>2532</v>
      </c>
      <c r="F2630" s="4" t="n">
        <v>25</v>
      </c>
      <c r="G2630" s="4" t="n">
        <v>6</v>
      </c>
      <c r="H2630" s="4" t="n">
        <v>4</v>
      </c>
      <c r="I2630" s="4" t="str">
        <v>×</v>
      </c>
      <c r="J2630" s="4"/>
      <c r="K2630" s="4"/>
      <c r="L2630" s="4"/>
      <c r="M2630" s="5" t="s">
        <v>1871</v>
      </c>
    </row>
    <row r="2631" customFormat="false" ht="15.75" hidden="false" customHeight="false" outlineLevel="0" collapsed="false">
      <c r="A2631" s="3" t="n">
        <v>46215</v>
      </c>
      <c r="B2631" s="4" t="s">
        <v>1091</v>
      </c>
      <c r="C2631" s="4" t="n">
        <v>11</v>
      </c>
      <c r="D2631" s="4" t="n">
        <v>3</v>
      </c>
      <c r="E2631" s="4" t="s">
        <v>2533</v>
      </c>
      <c r="F2631" s="4" t="n">
        <v>56</v>
      </c>
      <c r="G2631" s="4" t="n">
        <v>2</v>
      </c>
      <c r="H2631" s="4" t="n">
        <v>4</v>
      </c>
      <c r="I2631" s="4" t="str">
        <v>×</v>
      </c>
      <c r="J2631" s="4"/>
      <c r="K2631" s="4"/>
      <c r="L2631" s="4"/>
      <c r="M2631" s="5" t="s">
        <v>1871</v>
      </c>
    </row>
    <row r="2632" customFormat="false" ht="15.75" hidden="false" customHeight="false" outlineLevel="0" collapsed="false">
      <c r="A2632" s="3" t="n">
        <v>46215</v>
      </c>
      <c r="B2632" s="4" t="s">
        <v>1091</v>
      </c>
      <c r="C2632" s="4" t="n">
        <v>11</v>
      </c>
      <c r="D2632" s="4" t="n">
        <v>4</v>
      </c>
      <c r="E2632" s="4" t="s">
        <v>2534</v>
      </c>
      <c r="F2632" s="4" t="n">
        <v>15</v>
      </c>
      <c r="G2632" s="4" t="n">
        <v>9</v>
      </c>
      <c r="H2632" s="4" t="n">
        <v>4</v>
      </c>
      <c r="I2632" s="4" t="str">
        <v>×</v>
      </c>
      <c r="J2632" s="4"/>
      <c r="K2632" s="4"/>
      <c r="L2632" s="4"/>
      <c r="M2632" s="5" t="s">
        <v>1871</v>
      </c>
    </row>
    <row r="2633" customFormat="false" ht="15.75" hidden="false" customHeight="false" outlineLevel="0" collapsed="false">
      <c r="A2633" s="3" t="n">
        <v>46215</v>
      </c>
      <c r="B2633" s="4" t="s">
        <v>1091</v>
      </c>
      <c r="C2633" s="4" t="n">
        <v>11</v>
      </c>
      <c r="D2633" s="4" t="n">
        <v>5</v>
      </c>
      <c r="E2633" s="4" t="s">
        <v>2535</v>
      </c>
      <c r="F2633" s="4" t="n">
        <v>31</v>
      </c>
      <c r="G2633" s="4" t="n">
        <v>4</v>
      </c>
      <c r="H2633" s="4" t="n">
        <v>2</v>
      </c>
      <c r="I2633" s="4" t="str">
        <v>○</v>
      </c>
      <c r="J2633" s="4" t="n">
        <v>360</v>
      </c>
      <c r="K2633" s="4"/>
      <c r="L2633" s="4"/>
      <c r="M2633" s="5" t="s">
        <v>1871</v>
      </c>
    </row>
    <row r="2634" customFormat="false" ht="15.75" hidden="false" customHeight="false" outlineLevel="0" collapsed="false">
      <c r="A2634" s="3" t="n">
        <v>46215</v>
      </c>
      <c r="B2634" s="4" t="s">
        <v>1091</v>
      </c>
      <c r="C2634" s="4" t="n">
        <v>11</v>
      </c>
      <c r="D2634" s="4" t="n">
        <v>6</v>
      </c>
      <c r="E2634" s="4" t="s">
        <v>2536</v>
      </c>
      <c r="F2634" s="4" t="n">
        <v>17</v>
      </c>
      <c r="G2634" s="4" t="n">
        <v>8</v>
      </c>
      <c r="H2634" s="4" t="n">
        <v>1</v>
      </c>
      <c r="I2634" s="4" t="str">
        <v>○</v>
      </c>
      <c r="J2634" s="4" t="n">
        <v>390</v>
      </c>
      <c r="K2634" s="4"/>
      <c r="L2634" s="4"/>
      <c r="M2634" s="5" t="s">
        <v>1871</v>
      </c>
    </row>
    <row r="2635" customFormat="false" ht="15.75" hidden="false" customHeight="false" outlineLevel="0" collapsed="false">
      <c r="A2635" s="3" t="n">
        <v>46215</v>
      </c>
      <c r="B2635" s="4" t="s">
        <v>1091</v>
      </c>
      <c r="C2635" s="4" t="n">
        <v>11</v>
      </c>
      <c r="D2635" s="4" t="n">
        <v>7</v>
      </c>
      <c r="E2635" s="4" t="s">
        <v>2537</v>
      </c>
      <c r="F2635" s="4" t="n">
        <v>41</v>
      </c>
      <c r="G2635" s="4" t="n">
        <v>3</v>
      </c>
      <c r="H2635" s="4" t="n">
        <v>4</v>
      </c>
      <c r="I2635" s="4" t="str">
        <v>×</v>
      </c>
      <c r="J2635" s="4"/>
      <c r="K2635" s="4"/>
      <c r="L2635" s="4"/>
      <c r="M2635" s="5" t="s">
        <v>1871</v>
      </c>
    </row>
    <row r="2636" customFormat="false" ht="15.75" hidden="false" customHeight="false" outlineLevel="0" collapsed="false">
      <c r="A2636" s="3" t="n">
        <v>46215</v>
      </c>
      <c r="B2636" s="4" t="s">
        <v>1091</v>
      </c>
      <c r="C2636" s="4" t="n">
        <v>11</v>
      </c>
      <c r="D2636" s="4" t="n">
        <v>8</v>
      </c>
      <c r="E2636" s="4" t="s">
        <v>2538</v>
      </c>
      <c r="F2636" s="4" t="n">
        <v>23</v>
      </c>
      <c r="G2636" s="4" t="n">
        <v>7</v>
      </c>
      <c r="H2636" s="4" t="n">
        <v>4</v>
      </c>
      <c r="I2636" s="4" t="str">
        <v>×</v>
      </c>
      <c r="J2636" s="4"/>
      <c r="K2636" s="4"/>
      <c r="L2636" s="4"/>
      <c r="M2636" s="5" t="s">
        <v>1871</v>
      </c>
    </row>
    <row r="2637" customFormat="false" ht="15.75" hidden="false" customHeight="false" outlineLevel="0" collapsed="false">
      <c r="A2637" s="3" t="n">
        <v>46215</v>
      </c>
      <c r="B2637" s="4" t="s">
        <v>1091</v>
      </c>
      <c r="C2637" s="4" t="n">
        <v>11</v>
      </c>
      <c r="D2637" s="4" t="n">
        <v>9</v>
      </c>
      <c r="E2637" s="4" t="s">
        <v>2539</v>
      </c>
      <c r="F2637" s="4" t="n">
        <v>29</v>
      </c>
      <c r="G2637" s="4" t="n">
        <v>5</v>
      </c>
      <c r="H2637" s="4" t="n">
        <v>3</v>
      </c>
      <c r="I2637" s="4" t="str">
        <v>○</v>
      </c>
      <c r="J2637" s="4" t="n">
        <v>310</v>
      </c>
      <c r="K2637" s="4"/>
      <c r="L2637" s="4"/>
      <c r="M2637" s="5" t="s">
        <v>1871</v>
      </c>
    </row>
    <row r="2638" customFormat="false" ht="15.75" hidden="false" customHeight="false" outlineLevel="0" collapsed="false">
      <c r="A2638" s="3" t="n">
        <v>46215</v>
      </c>
      <c r="B2638" s="4" t="s">
        <v>1091</v>
      </c>
      <c r="C2638" s="4" t="n">
        <v>11</v>
      </c>
      <c r="D2638" s="4" t="n">
        <v>10</v>
      </c>
      <c r="E2638" s="4" t="s">
        <v>2540</v>
      </c>
      <c r="F2638" s="4" t="n">
        <v>13</v>
      </c>
      <c r="G2638" s="4" t="n">
        <v>10</v>
      </c>
      <c r="H2638" s="4" t="n">
        <v>4</v>
      </c>
      <c r="I2638" s="4" t="str">
        <v>×</v>
      </c>
      <c r="J2638" s="4"/>
      <c r="K2638" s="4"/>
      <c r="L2638" s="4"/>
      <c r="M2638" s="5" t="s">
        <v>1871</v>
      </c>
    </row>
    <row r="2639" customFormat="false" ht="15.75" hidden="false" customHeight="false" outlineLevel="0" collapsed="false">
      <c r="A2639" s="3" t="n">
        <v>46215</v>
      </c>
      <c r="B2639" s="4" t="s">
        <v>1091</v>
      </c>
      <c r="C2639" s="4" t="n">
        <v>11</v>
      </c>
      <c r="D2639" s="4" t="n">
        <v>11</v>
      </c>
      <c r="E2639" s="4" t="s">
        <v>2541</v>
      </c>
      <c r="F2639" s="4" t="n">
        <v>65</v>
      </c>
      <c r="G2639" s="4" t="n">
        <v>1</v>
      </c>
      <c r="H2639" s="4" t="n">
        <v>4</v>
      </c>
      <c r="I2639" s="4" t="str">
        <v>×</v>
      </c>
      <c r="J2639" s="4"/>
      <c r="K2639" s="4"/>
      <c r="L2639" s="4"/>
      <c r="M2639" s="5" t="s">
        <v>1871</v>
      </c>
    </row>
    <row r="2640" customFormat="false" ht="15.75" hidden="false" customHeight="false" outlineLevel="0" collapsed="false">
      <c r="A2640" s="3" t="n">
        <v>46215</v>
      </c>
      <c r="B2640" s="4" t="s">
        <v>1091</v>
      </c>
      <c r="C2640" s="4" t="n">
        <v>12</v>
      </c>
      <c r="D2640" s="4" t="n">
        <v>1</v>
      </c>
      <c r="E2640" s="4" t="s">
        <v>2542</v>
      </c>
      <c r="F2640" s="4" t="n">
        <v>37</v>
      </c>
      <c r="G2640" s="4" t="n">
        <v>3</v>
      </c>
      <c r="H2640" s="4" t="n">
        <v>4</v>
      </c>
      <c r="I2640" s="4" t="str">
        <v>×</v>
      </c>
      <c r="J2640" s="4"/>
      <c r="K2640" s="4"/>
      <c r="L2640" s="4"/>
      <c r="M2640" s="5" t="s">
        <v>1871</v>
      </c>
    </row>
    <row r="2641" customFormat="false" ht="15.75" hidden="false" customHeight="false" outlineLevel="0" collapsed="false">
      <c r="A2641" s="3" t="n">
        <v>46215</v>
      </c>
      <c r="B2641" s="4" t="s">
        <v>1091</v>
      </c>
      <c r="C2641" s="4" t="n">
        <v>12</v>
      </c>
      <c r="D2641" s="4" t="n">
        <v>2</v>
      </c>
      <c r="E2641" s="4" t="s">
        <v>2543</v>
      </c>
      <c r="F2641" s="4" t="n">
        <v>4</v>
      </c>
      <c r="G2641" s="4" t="n">
        <v>16</v>
      </c>
      <c r="H2641" s="4" t="n">
        <v>4</v>
      </c>
      <c r="I2641" s="4" t="str">
        <v>×</v>
      </c>
      <c r="J2641" s="4"/>
      <c r="K2641" s="4"/>
      <c r="L2641" s="4"/>
      <c r="M2641" s="5" t="s">
        <v>1871</v>
      </c>
    </row>
    <row r="2642" customFormat="false" ht="15.75" hidden="false" customHeight="false" outlineLevel="0" collapsed="false">
      <c r="A2642" s="3" t="n">
        <v>46215</v>
      </c>
      <c r="B2642" s="4" t="s">
        <v>1091</v>
      </c>
      <c r="C2642" s="4" t="n">
        <v>12</v>
      </c>
      <c r="D2642" s="4" t="n">
        <v>3</v>
      </c>
      <c r="E2642" s="4" t="s">
        <v>2544</v>
      </c>
      <c r="F2642" s="4" t="n">
        <v>29</v>
      </c>
      <c r="G2642" s="4" t="n">
        <v>6</v>
      </c>
      <c r="H2642" s="4" t="n">
        <v>4</v>
      </c>
      <c r="I2642" s="4" t="str">
        <v>×</v>
      </c>
      <c r="J2642" s="4"/>
      <c r="K2642" s="4"/>
      <c r="L2642" s="4"/>
      <c r="M2642" s="5" t="s">
        <v>1871</v>
      </c>
    </row>
    <row r="2643" customFormat="false" ht="15.75" hidden="false" customHeight="false" outlineLevel="0" collapsed="false">
      <c r="A2643" s="3" t="n">
        <v>46215</v>
      </c>
      <c r="B2643" s="4" t="s">
        <v>1091</v>
      </c>
      <c r="C2643" s="4" t="n">
        <v>12</v>
      </c>
      <c r="D2643" s="4" t="n">
        <v>4</v>
      </c>
      <c r="E2643" s="4" t="s">
        <v>1642</v>
      </c>
      <c r="F2643" s="4" t="n">
        <v>15</v>
      </c>
      <c r="G2643" s="4" t="n">
        <v>8</v>
      </c>
      <c r="H2643" s="4" t="n">
        <v>4</v>
      </c>
      <c r="I2643" s="4" t="str">
        <v>×</v>
      </c>
      <c r="J2643" s="4"/>
      <c r="K2643" s="4"/>
      <c r="L2643" s="4"/>
      <c r="M2643" s="5" t="s">
        <v>1871</v>
      </c>
    </row>
    <row r="2644" customFormat="false" ht="15.75" hidden="false" customHeight="false" outlineLevel="0" collapsed="false">
      <c r="A2644" s="3" t="n">
        <v>46215</v>
      </c>
      <c r="B2644" s="4" t="s">
        <v>1091</v>
      </c>
      <c r="C2644" s="4" t="n">
        <v>12</v>
      </c>
      <c r="D2644" s="4" t="n">
        <v>5</v>
      </c>
      <c r="E2644" s="4" t="s">
        <v>2545</v>
      </c>
      <c r="F2644" s="4" t="n">
        <v>31</v>
      </c>
      <c r="G2644" s="4" t="n">
        <v>4</v>
      </c>
      <c r="H2644" s="4" t="n">
        <v>4</v>
      </c>
      <c r="I2644" s="4" t="str">
        <v>×</v>
      </c>
      <c r="J2644" s="4"/>
      <c r="K2644" s="4"/>
      <c r="L2644" s="4"/>
      <c r="M2644" s="5" t="s">
        <v>1871</v>
      </c>
    </row>
    <row r="2645" customFormat="false" ht="15.75" hidden="false" customHeight="false" outlineLevel="0" collapsed="false">
      <c r="A2645" s="3" t="n">
        <v>46215</v>
      </c>
      <c r="B2645" s="4" t="s">
        <v>1091</v>
      </c>
      <c r="C2645" s="4" t="n">
        <v>12</v>
      </c>
      <c r="D2645" s="4" t="n">
        <v>6</v>
      </c>
      <c r="E2645" s="4" t="s">
        <v>2546</v>
      </c>
      <c r="F2645" s="4" t="n">
        <v>13</v>
      </c>
      <c r="G2645" s="4" t="n">
        <v>9</v>
      </c>
      <c r="H2645" s="4" t="n">
        <v>4</v>
      </c>
      <c r="I2645" s="4" t="str">
        <v>×</v>
      </c>
      <c r="J2645" s="4"/>
      <c r="K2645" s="4"/>
      <c r="L2645" s="4"/>
      <c r="M2645" s="5" t="s">
        <v>1871</v>
      </c>
    </row>
    <row r="2646" customFormat="false" ht="15.75" hidden="false" customHeight="false" outlineLevel="0" collapsed="false">
      <c r="A2646" s="3" t="n">
        <v>46215</v>
      </c>
      <c r="B2646" s="4" t="s">
        <v>1091</v>
      </c>
      <c r="C2646" s="4" t="n">
        <v>12</v>
      </c>
      <c r="D2646" s="4" t="n">
        <v>7</v>
      </c>
      <c r="E2646" s="4" t="s">
        <v>2547</v>
      </c>
      <c r="F2646" s="4" t="n">
        <v>6</v>
      </c>
      <c r="G2646" s="4" t="n">
        <v>15</v>
      </c>
      <c r="H2646" s="4" t="n">
        <v>4</v>
      </c>
      <c r="I2646" s="4" t="str">
        <v>×</v>
      </c>
      <c r="J2646" s="4"/>
      <c r="K2646" s="4"/>
      <c r="L2646" s="4"/>
      <c r="M2646" s="5" t="s">
        <v>1871</v>
      </c>
    </row>
    <row r="2647" customFormat="false" ht="15.75" hidden="false" customHeight="false" outlineLevel="0" collapsed="false">
      <c r="A2647" s="3" t="n">
        <v>46215</v>
      </c>
      <c r="B2647" s="4" t="s">
        <v>1091</v>
      </c>
      <c r="C2647" s="4" t="n">
        <v>12</v>
      </c>
      <c r="D2647" s="4" t="n">
        <v>8</v>
      </c>
      <c r="E2647" s="4" t="s">
        <v>2548</v>
      </c>
      <c r="F2647" s="4" t="n">
        <v>50</v>
      </c>
      <c r="G2647" s="4" t="n">
        <v>2</v>
      </c>
      <c r="H2647" s="4" t="n">
        <v>1</v>
      </c>
      <c r="I2647" s="4" t="str">
        <v>○</v>
      </c>
      <c r="J2647" s="4" t="n">
        <v>180</v>
      </c>
      <c r="K2647" s="4"/>
      <c r="L2647" s="4"/>
      <c r="M2647" s="5" t="s">
        <v>1871</v>
      </c>
    </row>
    <row r="2648" customFormat="false" ht="15.75" hidden="false" customHeight="false" outlineLevel="0" collapsed="false">
      <c r="A2648" s="3" t="n">
        <v>46215</v>
      </c>
      <c r="B2648" s="4" t="s">
        <v>1091</v>
      </c>
      <c r="C2648" s="4" t="n">
        <v>12</v>
      </c>
      <c r="D2648" s="4" t="n">
        <v>9</v>
      </c>
      <c r="E2648" s="4" t="s">
        <v>734</v>
      </c>
      <c r="F2648" s="4" t="n">
        <v>31</v>
      </c>
      <c r="G2648" s="4" t="n">
        <v>4</v>
      </c>
      <c r="H2648" s="4" t="n">
        <v>4</v>
      </c>
      <c r="I2648" s="4" t="str">
        <v>×</v>
      </c>
      <c r="J2648" s="4"/>
      <c r="K2648" s="4"/>
      <c r="L2648" s="4"/>
      <c r="M2648" s="5" t="s">
        <v>1871</v>
      </c>
    </row>
    <row r="2649" customFormat="false" ht="15.75" hidden="false" customHeight="false" outlineLevel="0" collapsed="false">
      <c r="A2649" s="3" t="n">
        <v>46215</v>
      </c>
      <c r="B2649" s="4" t="s">
        <v>1091</v>
      </c>
      <c r="C2649" s="4" t="n">
        <v>12</v>
      </c>
      <c r="D2649" s="4" t="n">
        <v>10</v>
      </c>
      <c r="E2649" s="4" t="s">
        <v>2549</v>
      </c>
      <c r="F2649" s="4" t="n">
        <v>4</v>
      </c>
      <c r="G2649" s="4" t="n">
        <v>16</v>
      </c>
      <c r="H2649" s="4" t="n">
        <v>4</v>
      </c>
      <c r="I2649" s="4" t="str">
        <v>×</v>
      </c>
      <c r="J2649" s="4"/>
      <c r="K2649" s="4"/>
      <c r="L2649" s="4"/>
      <c r="M2649" s="5" t="s">
        <v>1871</v>
      </c>
    </row>
    <row r="2650" customFormat="false" ht="15.75" hidden="false" customHeight="false" outlineLevel="0" collapsed="false">
      <c r="A2650" s="3" t="n">
        <v>46215</v>
      </c>
      <c r="B2650" s="4" t="s">
        <v>1091</v>
      </c>
      <c r="C2650" s="4" t="n">
        <v>12</v>
      </c>
      <c r="D2650" s="4" t="n">
        <v>11</v>
      </c>
      <c r="E2650" s="4" t="s">
        <v>2550</v>
      </c>
      <c r="F2650" s="4" t="n">
        <v>29</v>
      </c>
      <c r="G2650" s="4" t="n">
        <v>6</v>
      </c>
      <c r="H2650" s="4" t="n">
        <v>4</v>
      </c>
      <c r="I2650" s="4" t="str">
        <v>×</v>
      </c>
      <c r="J2650" s="4"/>
      <c r="K2650" s="4"/>
      <c r="L2650" s="4"/>
      <c r="M2650" s="5" t="s">
        <v>1871</v>
      </c>
    </row>
    <row r="2651" customFormat="false" ht="15.75" hidden="false" customHeight="false" outlineLevel="0" collapsed="false">
      <c r="A2651" s="3" t="n">
        <v>46215</v>
      </c>
      <c r="B2651" s="4" t="s">
        <v>1091</v>
      </c>
      <c r="C2651" s="4" t="n">
        <v>12</v>
      </c>
      <c r="D2651" s="4" t="n">
        <v>12</v>
      </c>
      <c r="E2651" s="4" t="s">
        <v>2551</v>
      </c>
      <c r="F2651" s="4" t="n">
        <v>8</v>
      </c>
      <c r="G2651" s="4" t="n">
        <v>14</v>
      </c>
      <c r="H2651" s="4" t="n">
        <v>4</v>
      </c>
      <c r="I2651" s="4" t="str">
        <v>×</v>
      </c>
      <c r="J2651" s="4"/>
      <c r="K2651" s="4"/>
      <c r="L2651" s="4"/>
      <c r="M2651" s="5" t="s">
        <v>1871</v>
      </c>
    </row>
    <row r="2652" customFormat="false" ht="15.75" hidden="false" customHeight="false" outlineLevel="0" collapsed="false">
      <c r="A2652" s="3" t="n">
        <v>46215</v>
      </c>
      <c r="B2652" s="4" t="s">
        <v>1091</v>
      </c>
      <c r="C2652" s="4" t="n">
        <v>12</v>
      </c>
      <c r="D2652" s="4" t="n">
        <v>13</v>
      </c>
      <c r="E2652" s="4" t="s">
        <v>2552</v>
      </c>
      <c r="F2652" s="4" t="n">
        <v>10</v>
      </c>
      <c r="G2652" s="4" t="n">
        <v>10</v>
      </c>
      <c r="H2652" s="4" t="n">
        <v>4</v>
      </c>
      <c r="I2652" s="4" t="str">
        <v>×</v>
      </c>
      <c r="J2652" s="4"/>
      <c r="K2652" s="4"/>
      <c r="L2652" s="4"/>
      <c r="M2652" s="5" t="s">
        <v>1871</v>
      </c>
    </row>
    <row r="2653" customFormat="false" ht="15.75" hidden="false" customHeight="false" outlineLevel="0" collapsed="false">
      <c r="A2653" s="3" t="n">
        <v>46215</v>
      </c>
      <c r="B2653" s="4" t="s">
        <v>1091</v>
      </c>
      <c r="C2653" s="4" t="n">
        <v>12</v>
      </c>
      <c r="D2653" s="4" t="n">
        <v>14</v>
      </c>
      <c r="E2653" s="4" t="s">
        <v>2553</v>
      </c>
      <c r="F2653" s="4" t="n">
        <v>10</v>
      </c>
      <c r="G2653" s="4" t="n">
        <v>10</v>
      </c>
      <c r="H2653" s="4" t="n">
        <v>4</v>
      </c>
      <c r="I2653" s="4" t="str">
        <v>×</v>
      </c>
      <c r="J2653" s="4"/>
      <c r="K2653" s="4"/>
      <c r="L2653" s="4"/>
      <c r="M2653" s="5" t="s">
        <v>1871</v>
      </c>
    </row>
    <row r="2654" customFormat="false" ht="15.75" hidden="false" customHeight="false" outlineLevel="0" collapsed="false">
      <c r="A2654" s="3" t="n">
        <v>46215</v>
      </c>
      <c r="B2654" s="4" t="s">
        <v>1091</v>
      </c>
      <c r="C2654" s="4" t="n">
        <v>12</v>
      </c>
      <c r="D2654" s="4" t="n">
        <v>15</v>
      </c>
      <c r="E2654" s="4" t="s">
        <v>2554</v>
      </c>
      <c r="F2654" s="4" t="n">
        <v>52</v>
      </c>
      <c r="G2654" s="4" t="n">
        <v>1</v>
      </c>
      <c r="H2654" s="4" t="n">
        <v>2</v>
      </c>
      <c r="I2654" s="4" t="str">
        <v>○</v>
      </c>
      <c r="J2654" s="4" t="n">
        <v>240</v>
      </c>
      <c r="K2654" s="4"/>
      <c r="L2654" s="4"/>
      <c r="M2654" s="5" t="s">
        <v>1871</v>
      </c>
    </row>
    <row r="2655" customFormat="false" ht="15.75" hidden="false" customHeight="false" outlineLevel="0" collapsed="false">
      <c r="A2655" s="3" t="n">
        <v>46215</v>
      </c>
      <c r="B2655" s="4" t="s">
        <v>1091</v>
      </c>
      <c r="C2655" s="4" t="n">
        <v>12</v>
      </c>
      <c r="D2655" s="4" t="n">
        <v>16</v>
      </c>
      <c r="E2655" s="4" t="s">
        <v>2555</v>
      </c>
      <c r="F2655" s="4" t="n">
        <v>10</v>
      </c>
      <c r="G2655" s="4" t="n">
        <v>10</v>
      </c>
      <c r="H2655" s="4" t="n">
        <v>4</v>
      </c>
      <c r="I2655" s="4" t="str">
        <v>×</v>
      </c>
      <c r="J2655" s="4"/>
      <c r="K2655" s="4"/>
      <c r="L2655" s="4"/>
      <c r="M2655" s="5" t="s">
        <v>1871</v>
      </c>
    </row>
    <row r="2656" customFormat="false" ht="15.75" hidden="false" customHeight="false" outlineLevel="0" collapsed="false">
      <c r="A2656" s="3" t="n">
        <v>46215</v>
      </c>
      <c r="B2656" s="4" t="s">
        <v>1091</v>
      </c>
      <c r="C2656" s="4" t="n">
        <v>12</v>
      </c>
      <c r="D2656" s="4" t="n">
        <v>17</v>
      </c>
      <c r="E2656" s="4" t="s">
        <v>2556</v>
      </c>
      <c r="F2656" s="4" t="n">
        <v>10</v>
      </c>
      <c r="G2656" s="4" t="n">
        <v>10</v>
      </c>
      <c r="H2656" s="4" t="n">
        <v>3</v>
      </c>
      <c r="I2656" s="4" t="str">
        <v>○</v>
      </c>
      <c r="J2656" s="4" t="n">
        <v>720</v>
      </c>
      <c r="K2656" s="4"/>
      <c r="L2656" s="4"/>
      <c r="M2656" s="5" t="s">
        <v>1871</v>
      </c>
    </row>
    <row r="2657" customFormat="false" ht="15.75" hidden="false" customHeight="false" outlineLevel="0" collapsed="false">
      <c r="A2657" s="3" t="n">
        <v>46215</v>
      </c>
      <c r="B2657" s="4" t="s">
        <v>1237</v>
      </c>
      <c r="C2657" s="4" t="n">
        <v>1</v>
      </c>
      <c r="D2657" s="4" t="n">
        <v>1</v>
      </c>
      <c r="E2657" s="4" t="s">
        <v>2557</v>
      </c>
      <c r="F2657" s="4" t="n">
        <v>10</v>
      </c>
      <c r="G2657" s="4" t="n">
        <v>8</v>
      </c>
      <c r="H2657" s="4" t="n">
        <v>4</v>
      </c>
      <c r="I2657" s="4" t="str">
        <v>×</v>
      </c>
      <c r="J2657" s="4"/>
      <c r="K2657" s="4"/>
      <c r="L2657" s="4"/>
      <c r="M2657" s="5" t="s">
        <v>1871</v>
      </c>
    </row>
    <row r="2658" customFormat="false" ht="15.75" hidden="false" customHeight="false" outlineLevel="0" collapsed="false">
      <c r="A2658" s="3" t="n">
        <v>46215</v>
      </c>
      <c r="B2658" s="4" t="s">
        <v>1237</v>
      </c>
      <c r="C2658" s="4" t="n">
        <v>1</v>
      </c>
      <c r="D2658" s="4" t="n">
        <v>2</v>
      </c>
      <c r="E2658" s="4" t="s">
        <v>338</v>
      </c>
      <c r="F2658" s="4" t="n">
        <v>15</v>
      </c>
      <c r="G2658" s="4" t="n">
        <v>6</v>
      </c>
      <c r="H2658" s="4" t="n">
        <v>4</v>
      </c>
      <c r="I2658" s="4" t="str">
        <v>×</v>
      </c>
      <c r="J2658" s="4"/>
      <c r="K2658" s="4"/>
      <c r="L2658" s="4"/>
      <c r="M2658" s="5" t="s">
        <v>1871</v>
      </c>
    </row>
    <row r="2659" customFormat="false" ht="15.75" hidden="false" customHeight="false" outlineLevel="0" collapsed="false">
      <c r="A2659" s="3" t="n">
        <v>46215</v>
      </c>
      <c r="B2659" s="4" t="s">
        <v>1237</v>
      </c>
      <c r="C2659" s="4" t="n">
        <v>1</v>
      </c>
      <c r="D2659" s="4" t="n">
        <v>3</v>
      </c>
      <c r="E2659" s="4" t="s">
        <v>2558</v>
      </c>
      <c r="F2659" s="4" t="n">
        <v>4</v>
      </c>
      <c r="G2659" s="4" t="n">
        <v>11</v>
      </c>
      <c r="H2659" s="4" t="n">
        <v>4</v>
      </c>
      <c r="I2659" s="4" t="str">
        <v>×</v>
      </c>
      <c r="J2659" s="4"/>
      <c r="K2659" s="4"/>
      <c r="L2659" s="4"/>
      <c r="M2659" s="5" t="s">
        <v>1871</v>
      </c>
    </row>
    <row r="2660" customFormat="false" ht="15.75" hidden="false" customHeight="false" outlineLevel="0" collapsed="false">
      <c r="A2660" s="3" t="n">
        <v>46215</v>
      </c>
      <c r="B2660" s="4" t="s">
        <v>1237</v>
      </c>
      <c r="C2660" s="4" t="n">
        <v>1</v>
      </c>
      <c r="D2660" s="4" t="n">
        <v>4</v>
      </c>
      <c r="E2660" s="4" t="s">
        <v>860</v>
      </c>
      <c r="F2660" s="4" t="n">
        <v>65</v>
      </c>
      <c r="G2660" s="4" t="n">
        <v>1</v>
      </c>
      <c r="H2660" s="4" t="n">
        <v>1</v>
      </c>
      <c r="I2660" s="4" t="str">
        <v>○</v>
      </c>
      <c r="J2660" s="4" t="n">
        <v>120</v>
      </c>
      <c r="K2660" s="4"/>
      <c r="L2660" s="4"/>
      <c r="M2660" s="5" t="s">
        <v>1871</v>
      </c>
    </row>
    <row r="2661" customFormat="false" ht="15.75" hidden="false" customHeight="false" outlineLevel="0" collapsed="false">
      <c r="A2661" s="3" t="n">
        <v>46215</v>
      </c>
      <c r="B2661" s="4" t="s">
        <v>1237</v>
      </c>
      <c r="C2661" s="4" t="n">
        <v>1</v>
      </c>
      <c r="D2661" s="4" t="n">
        <v>5</v>
      </c>
      <c r="E2661" s="4" t="s">
        <v>2559</v>
      </c>
      <c r="F2661" s="4" t="n">
        <v>10</v>
      </c>
      <c r="G2661" s="4" t="n">
        <v>8</v>
      </c>
      <c r="H2661" s="4" t="n">
        <v>4</v>
      </c>
      <c r="I2661" s="4" t="str">
        <v>×</v>
      </c>
      <c r="J2661" s="4"/>
      <c r="K2661" s="4"/>
      <c r="L2661" s="4"/>
      <c r="M2661" s="5" t="s">
        <v>1871</v>
      </c>
    </row>
    <row r="2662" customFormat="false" ht="15.75" hidden="false" customHeight="false" outlineLevel="0" collapsed="false">
      <c r="A2662" s="3" t="n">
        <v>46215</v>
      </c>
      <c r="B2662" s="4" t="s">
        <v>1237</v>
      </c>
      <c r="C2662" s="4" t="n">
        <v>1</v>
      </c>
      <c r="D2662" s="4" t="n">
        <v>6</v>
      </c>
      <c r="E2662" s="4" t="s">
        <v>2560</v>
      </c>
      <c r="F2662" s="4" t="n">
        <v>60</v>
      </c>
      <c r="G2662" s="4" t="n">
        <v>2</v>
      </c>
      <c r="H2662" s="4" t="n">
        <v>2</v>
      </c>
      <c r="I2662" s="4" t="str">
        <v>○</v>
      </c>
      <c r="J2662" s="4" t="n">
        <v>110</v>
      </c>
      <c r="K2662" s="4"/>
      <c r="L2662" s="4"/>
      <c r="M2662" s="5" t="s">
        <v>1871</v>
      </c>
    </row>
    <row r="2663" customFormat="false" ht="15.75" hidden="false" customHeight="false" outlineLevel="0" collapsed="false">
      <c r="A2663" s="3" t="n">
        <v>46215</v>
      </c>
      <c r="B2663" s="4" t="s">
        <v>1237</v>
      </c>
      <c r="C2663" s="4" t="n">
        <v>1</v>
      </c>
      <c r="D2663" s="4" t="n">
        <v>7</v>
      </c>
      <c r="E2663" s="4" t="s">
        <v>2561</v>
      </c>
      <c r="F2663" s="4" t="n">
        <v>41</v>
      </c>
      <c r="G2663" s="4" t="n">
        <v>4</v>
      </c>
      <c r="H2663" s="4" t="n">
        <v>4</v>
      </c>
      <c r="I2663" s="4" t="str">
        <v>×</v>
      </c>
      <c r="J2663" s="4"/>
      <c r="K2663" s="4"/>
      <c r="L2663" s="4"/>
      <c r="M2663" s="5" t="s">
        <v>1871</v>
      </c>
    </row>
    <row r="2664" customFormat="false" ht="15.75" hidden="false" customHeight="false" outlineLevel="0" collapsed="false">
      <c r="A2664" s="3" t="n">
        <v>46215</v>
      </c>
      <c r="B2664" s="4" t="s">
        <v>1237</v>
      </c>
      <c r="C2664" s="4" t="n">
        <v>1</v>
      </c>
      <c r="D2664" s="4" t="n">
        <v>8</v>
      </c>
      <c r="E2664" s="4" t="s">
        <v>2562</v>
      </c>
      <c r="F2664" s="4" t="n">
        <v>8</v>
      </c>
      <c r="G2664" s="4" t="n">
        <v>10</v>
      </c>
      <c r="H2664" s="4" t="n">
        <v>4</v>
      </c>
      <c r="I2664" s="4" t="str">
        <v>×</v>
      </c>
      <c r="J2664" s="4"/>
      <c r="K2664" s="4"/>
      <c r="L2664" s="4"/>
      <c r="M2664" s="5" t="s">
        <v>1871</v>
      </c>
    </row>
    <row r="2665" customFormat="false" ht="15.75" hidden="false" customHeight="false" outlineLevel="0" collapsed="false">
      <c r="A2665" s="3" t="n">
        <v>46215</v>
      </c>
      <c r="B2665" s="4" t="s">
        <v>1237</v>
      </c>
      <c r="C2665" s="4" t="n">
        <v>1</v>
      </c>
      <c r="D2665" s="4" t="n">
        <v>9</v>
      </c>
      <c r="E2665" s="4" t="s">
        <v>1731</v>
      </c>
      <c r="F2665" s="4" t="n">
        <v>17</v>
      </c>
      <c r="G2665" s="4" t="n">
        <v>5</v>
      </c>
      <c r="H2665" s="4" t="n">
        <v>4</v>
      </c>
      <c r="I2665" s="4" t="str">
        <v>×</v>
      </c>
      <c r="J2665" s="4"/>
      <c r="K2665" s="4"/>
      <c r="L2665" s="4"/>
      <c r="M2665" s="5" t="s">
        <v>1871</v>
      </c>
    </row>
    <row r="2666" customFormat="false" ht="15.75" hidden="false" customHeight="false" outlineLevel="0" collapsed="false">
      <c r="A2666" s="3" t="n">
        <v>46215</v>
      </c>
      <c r="B2666" s="4" t="s">
        <v>1237</v>
      </c>
      <c r="C2666" s="4" t="n">
        <v>1</v>
      </c>
      <c r="D2666" s="4" t="n">
        <v>10</v>
      </c>
      <c r="E2666" s="4" t="s">
        <v>2563</v>
      </c>
      <c r="F2666" s="4" t="n">
        <v>1</v>
      </c>
      <c r="G2666" s="4" t="n">
        <v>12</v>
      </c>
      <c r="H2666" s="4" t="n">
        <v>4</v>
      </c>
      <c r="I2666" s="4" t="str">
        <v>×</v>
      </c>
      <c r="J2666" s="4"/>
      <c r="K2666" s="4"/>
      <c r="L2666" s="4"/>
      <c r="M2666" s="5" t="s">
        <v>1871</v>
      </c>
    </row>
    <row r="2667" customFormat="false" ht="15.75" hidden="false" customHeight="false" outlineLevel="0" collapsed="false">
      <c r="A2667" s="3" t="n">
        <v>46215</v>
      </c>
      <c r="B2667" s="4" t="s">
        <v>1237</v>
      </c>
      <c r="C2667" s="4" t="n">
        <v>1</v>
      </c>
      <c r="D2667" s="4" t="n">
        <v>11</v>
      </c>
      <c r="E2667" s="4" t="s">
        <v>2564</v>
      </c>
      <c r="F2667" s="4" t="n">
        <v>15</v>
      </c>
      <c r="G2667" s="4" t="n">
        <v>6</v>
      </c>
      <c r="H2667" s="4" t="n">
        <v>4</v>
      </c>
      <c r="I2667" s="4" t="str">
        <v>×</v>
      </c>
      <c r="J2667" s="4"/>
      <c r="K2667" s="4"/>
      <c r="L2667" s="4"/>
      <c r="M2667" s="5" t="s">
        <v>1871</v>
      </c>
    </row>
    <row r="2668" customFormat="false" ht="15.75" hidden="false" customHeight="false" outlineLevel="0" collapsed="false">
      <c r="A2668" s="3" t="n">
        <v>46215</v>
      </c>
      <c r="B2668" s="4" t="s">
        <v>1237</v>
      </c>
      <c r="C2668" s="4" t="n">
        <v>1</v>
      </c>
      <c r="D2668" s="4" t="n">
        <v>12</v>
      </c>
      <c r="E2668" s="4" t="s">
        <v>2565</v>
      </c>
      <c r="F2668" s="4" t="n">
        <v>58</v>
      </c>
      <c r="G2668" s="4" t="n">
        <v>3</v>
      </c>
      <c r="H2668" s="4" t="n">
        <v>3</v>
      </c>
      <c r="I2668" s="4" t="str">
        <v>○</v>
      </c>
      <c r="J2668" s="4" t="n">
        <v>170</v>
      </c>
      <c r="K2668" s="4"/>
      <c r="L2668" s="4"/>
      <c r="M2668" s="5" t="s">
        <v>1871</v>
      </c>
    </row>
    <row r="2669" customFormat="false" ht="15.75" hidden="false" customHeight="false" outlineLevel="0" collapsed="false">
      <c r="A2669" s="3" t="n">
        <v>46215</v>
      </c>
      <c r="B2669" s="4" t="s">
        <v>1237</v>
      </c>
      <c r="C2669" s="4" t="n">
        <v>2</v>
      </c>
      <c r="D2669" s="4" t="n">
        <v>1</v>
      </c>
      <c r="E2669" s="4" t="s">
        <v>1753</v>
      </c>
      <c r="F2669" s="4" t="n">
        <v>15</v>
      </c>
      <c r="G2669" s="4" t="n">
        <v>5</v>
      </c>
      <c r="H2669" s="4" t="n">
        <v>4</v>
      </c>
      <c r="I2669" s="4" t="str">
        <v>×</v>
      </c>
      <c r="J2669" s="4"/>
      <c r="K2669" s="4"/>
      <c r="L2669" s="4"/>
      <c r="M2669" s="5" t="s">
        <v>1871</v>
      </c>
    </row>
    <row r="2670" customFormat="false" ht="15.75" hidden="false" customHeight="false" outlineLevel="0" collapsed="false">
      <c r="A2670" s="3" t="n">
        <v>46215</v>
      </c>
      <c r="B2670" s="4" t="s">
        <v>1237</v>
      </c>
      <c r="C2670" s="4" t="n">
        <v>2</v>
      </c>
      <c r="D2670" s="4" t="n">
        <v>2</v>
      </c>
      <c r="E2670" s="4" t="s">
        <v>2566</v>
      </c>
      <c r="F2670" s="4" t="n">
        <v>34</v>
      </c>
      <c r="G2670" s="4" t="n">
        <v>3</v>
      </c>
      <c r="H2670" s="4" t="n">
        <v>4</v>
      </c>
      <c r="I2670" s="4" t="str">
        <v>×</v>
      </c>
      <c r="J2670" s="4"/>
      <c r="K2670" s="4"/>
      <c r="L2670" s="4"/>
      <c r="M2670" s="5" t="s">
        <v>1871</v>
      </c>
    </row>
    <row r="2671" customFormat="false" ht="15.75" hidden="false" customHeight="false" outlineLevel="0" collapsed="false">
      <c r="A2671" s="3" t="n">
        <v>46215</v>
      </c>
      <c r="B2671" s="4" t="s">
        <v>1237</v>
      </c>
      <c r="C2671" s="4" t="n">
        <v>2</v>
      </c>
      <c r="D2671" s="4" t="n">
        <v>3</v>
      </c>
      <c r="E2671" s="4" t="s">
        <v>354</v>
      </c>
      <c r="F2671" s="4" t="n">
        <v>13</v>
      </c>
      <c r="G2671" s="4" t="n">
        <v>6</v>
      </c>
      <c r="H2671" s="4" t="n">
        <v>4</v>
      </c>
      <c r="I2671" s="4" t="str">
        <v>×</v>
      </c>
      <c r="J2671" s="4"/>
      <c r="K2671" s="4"/>
      <c r="L2671" s="4"/>
      <c r="M2671" s="5" t="s">
        <v>1871</v>
      </c>
    </row>
    <row r="2672" customFormat="false" ht="15.75" hidden="false" customHeight="false" outlineLevel="0" collapsed="false">
      <c r="A2672" s="3" t="n">
        <v>46215</v>
      </c>
      <c r="B2672" s="4" t="s">
        <v>1237</v>
      </c>
      <c r="C2672" s="4" t="n">
        <v>2</v>
      </c>
      <c r="D2672" s="4" t="n">
        <v>4</v>
      </c>
      <c r="E2672" s="4" t="s">
        <v>2567</v>
      </c>
      <c r="F2672" s="4" t="n">
        <v>10</v>
      </c>
      <c r="G2672" s="4" t="n">
        <v>8</v>
      </c>
      <c r="H2672" s="4" t="n">
        <v>4</v>
      </c>
      <c r="I2672" s="4" t="str">
        <v>×</v>
      </c>
      <c r="J2672" s="4"/>
      <c r="K2672" s="4"/>
      <c r="L2672" s="4"/>
      <c r="M2672" s="5" t="s">
        <v>1871</v>
      </c>
    </row>
    <row r="2673" customFormat="false" ht="15.75" hidden="false" customHeight="false" outlineLevel="0" collapsed="false">
      <c r="A2673" s="3" t="n">
        <v>46215</v>
      </c>
      <c r="B2673" s="4" t="s">
        <v>1237</v>
      </c>
      <c r="C2673" s="4" t="n">
        <v>2</v>
      </c>
      <c r="D2673" s="4" t="n">
        <v>5</v>
      </c>
      <c r="E2673" s="4" t="s">
        <v>2568</v>
      </c>
      <c r="F2673" s="4" t="n">
        <v>10</v>
      </c>
      <c r="G2673" s="4" t="n">
        <v>8</v>
      </c>
      <c r="H2673" s="4" t="n">
        <v>4</v>
      </c>
      <c r="I2673" s="4" t="str">
        <v>×</v>
      </c>
      <c r="J2673" s="4"/>
      <c r="K2673" s="4"/>
      <c r="L2673" s="4"/>
      <c r="M2673" s="5" t="s">
        <v>1871</v>
      </c>
    </row>
    <row r="2674" customFormat="false" ht="15.75" hidden="false" customHeight="false" outlineLevel="0" collapsed="false">
      <c r="A2674" s="3" t="n">
        <v>46215</v>
      </c>
      <c r="B2674" s="4" t="s">
        <v>1237</v>
      </c>
      <c r="C2674" s="4" t="n">
        <v>2</v>
      </c>
      <c r="D2674" s="4" t="n">
        <v>6</v>
      </c>
      <c r="E2674" s="4" t="s">
        <v>1751</v>
      </c>
      <c r="F2674" s="4" t="n">
        <v>13</v>
      </c>
      <c r="G2674" s="4" t="n">
        <v>6</v>
      </c>
      <c r="H2674" s="4" t="n">
        <v>3</v>
      </c>
      <c r="I2674" s="4" t="str">
        <v>○</v>
      </c>
      <c r="J2674" s="4" t="n">
        <v>500</v>
      </c>
      <c r="K2674" s="4"/>
      <c r="L2674" s="4"/>
      <c r="M2674" s="5" t="s">
        <v>1871</v>
      </c>
    </row>
    <row r="2675" customFormat="false" ht="15.75" hidden="false" customHeight="false" outlineLevel="0" collapsed="false">
      <c r="A2675" s="3" t="n">
        <v>46215</v>
      </c>
      <c r="B2675" s="4" t="s">
        <v>1237</v>
      </c>
      <c r="C2675" s="4" t="n">
        <v>2</v>
      </c>
      <c r="D2675" s="4" t="n">
        <v>7</v>
      </c>
      <c r="E2675" s="4" t="s">
        <v>2569</v>
      </c>
      <c r="F2675" s="4" t="n">
        <v>56</v>
      </c>
      <c r="G2675" s="4" t="n">
        <v>1</v>
      </c>
      <c r="H2675" s="4" t="n">
        <v>1</v>
      </c>
      <c r="I2675" s="4" t="str">
        <v>○</v>
      </c>
      <c r="J2675" s="4" t="n">
        <v>200</v>
      </c>
      <c r="K2675" s="4"/>
      <c r="L2675" s="4"/>
      <c r="M2675" s="5" t="s">
        <v>1871</v>
      </c>
    </row>
    <row r="2676" customFormat="false" ht="15.75" hidden="false" customHeight="false" outlineLevel="0" collapsed="false">
      <c r="A2676" s="3" t="n">
        <v>46215</v>
      </c>
      <c r="B2676" s="4" t="s">
        <v>1237</v>
      </c>
      <c r="C2676" s="4" t="n">
        <v>2</v>
      </c>
      <c r="D2676" s="4" t="n">
        <v>8</v>
      </c>
      <c r="E2676" s="4" t="s">
        <v>2570</v>
      </c>
      <c r="F2676" s="4" t="n">
        <v>17</v>
      </c>
      <c r="G2676" s="4" t="n">
        <v>4</v>
      </c>
      <c r="H2676" s="4" t="n">
        <v>4</v>
      </c>
      <c r="I2676" s="4" t="str">
        <v>×</v>
      </c>
      <c r="J2676" s="4"/>
      <c r="K2676" s="4"/>
      <c r="L2676" s="4"/>
      <c r="M2676" s="5" t="s">
        <v>1871</v>
      </c>
    </row>
    <row r="2677" customFormat="false" ht="15.75" hidden="false" customHeight="false" outlineLevel="0" collapsed="false">
      <c r="A2677" s="3" t="n">
        <v>46215</v>
      </c>
      <c r="B2677" s="4" t="s">
        <v>1237</v>
      </c>
      <c r="C2677" s="4" t="n">
        <v>2</v>
      </c>
      <c r="D2677" s="4" t="n">
        <v>9</v>
      </c>
      <c r="E2677" s="4" t="s">
        <v>364</v>
      </c>
      <c r="F2677" s="4" t="n">
        <v>52</v>
      </c>
      <c r="G2677" s="4" t="n">
        <v>2</v>
      </c>
      <c r="H2677" s="4" t="n">
        <v>4</v>
      </c>
      <c r="I2677" s="4" t="str">
        <v>×</v>
      </c>
      <c r="J2677" s="4"/>
      <c r="K2677" s="4"/>
      <c r="L2677" s="4"/>
      <c r="M2677" s="5" t="s">
        <v>1871</v>
      </c>
    </row>
    <row r="2678" customFormat="false" ht="15.75" hidden="false" customHeight="false" outlineLevel="0" collapsed="false">
      <c r="A2678" s="3" t="n">
        <v>46215</v>
      </c>
      <c r="B2678" s="4" t="s">
        <v>1237</v>
      </c>
      <c r="C2678" s="4" t="n">
        <v>2</v>
      </c>
      <c r="D2678" s="4" t="n">
        <v>10</v>
      </c>
      <c r="E2678" s="4" t="s">
        <v>2571</v>
      </c>
      <c r="F2678" s="4" t="n">
        <v>4</v>
      </c>
      <c r="G2678" s="4" t="n">
        <v>13</v>
      </c>
      <c r="H2678" s="4" t="n">
        <v>4</v>
      </c>
      <c r="I2678" s="4" t="str">
        <v>×</v>
      </c>
      <c r="J2678" s="4"/>
      <c r="K2678" s="4"/>
      <c r="L2678" s="4"/>
      <c r="M2678" s="5" t="s">
        <v>1871</v>
      </c>
    </row>
    <row r="2679" customFormat="false" ht="15.75" hidden="false" customHeight="false" outlineLevel="0" collapsed="false">
      <c r="A2679" s="3" t="n">
        <v>46215</v>
      </c>
      <c r="B2679" s="4" t="s">
        <v>1237</v>
      </c>
      <c r="C2679" s="4" t="n">
        <v>2</v>
      </c>
      <c r="D2679" s="4" t="n">
        <v>11</v>
      </c>
      <c r="E2679" s="4" t="s">
        <v>2572</v>
      </c>
      <c r="F2679" s="4" t="n">
        <v>6</v>
      </c>
      <c r="G2679" s="4" t="n">
        <v>11</v>
      </c>
      <c r="H2679" s="4" t="n">
        <v>2</v>
      </c>
      <c r="I2679" s="4" t="str">
        <v>○</v>
      </c>
      <c r="J2679" s="4" t="n">
        <v>420</v>
      </c>
      <c r="K2679" s="4"/>
      <c r="L2679" s="4"/>
      <c r="M2679" s="5" t="s">
        <v>1871</v>
      </c>
    </row>
    <row r="2680" customFormat="false" ht="15.75" hidden="false" customHeight="false" outlineLevel="0" collapsed="false">
      <c r="A2680" s="3" t="n">
        <v>46215</v>
      </c>
      <c r="B2680" s="4" t="s">
        <v>1237</v>
      </c>
      <c r="C2680" s="4" t="n">
        <v>2</v>
      </c>
      <c r="D2680" s="4" t="n">
        <v>12</v>
      </c>
      <c r="E2680" s="4" t="s">
        <v>2573</v>
      </c>
      <c r="F2680" s="4" t="n">
        <v>8</v>
      </c>
      <c r="G2680" s="4" t="n">
        <v>10</v>
      </c>
      <c r="H2680" s="4" t="n">
        <v>4</v>
      </c>
      <c r="I2680" s="4" t="str">
        <v>×</v>
      </c>
      <c r="J2680" s="4"/>
      <c r="K2680" s="4"/>
      <c r="L2680" s="4"/>
      <c r="M2680" s="5" t="s">
        <v>1871</v>
      </c>
    </row>
    <row r="2681" customFormat="false" ht="15.75" hidden="false" customHeight="false" outlineLevel="0" collapsed="false">
      <c r="A2681" s="3" t="n">
        <v>46215</v>
      </c>
      <c r="B2681" s="4" t="s">
        <v>1237</v>
      </c>
      <c r="C2681" s="4" t="n">
        <v>2</v>
      </c>
      <c r="D2681" s="4" t="n">
        <v>13</v>
      </c>
      <c r="E2681" s="4" t="s">
        <v>2574</v>
      </c>
      <c r="F2681" s="4" t="n">
        <v>6</v>
      </c>
      <c r="G2681" s="4" t="n">
        <v>11</v>
      </c>
      <c r="H2681" s="4" t="n">
        <v>4</v>
      </c>
      <c r="I2681" s="4" t="str">
        <v>×</v>
      </c>
      <c r="J2681" s="4"/>
      <c r="K2681" s="4"/>
      <c r="L2681" s="4"/>
      <c r="M2681" s="5" t="s">
        <v>1871</v>
      </c>
    </row>
    <row r="2682" customFormat="false" ht="15.75" hidden="false" customHeight="false" outlineLevel="0" collapsed="false">
      <c r="A2682" s="3" t="n">
        <v>46215</v>
      </c>
      <c r="B2682" s="4" t="s">
        <v>1237</v>
      </c>
      <c r="C2682" s="4" t="n">
        <v>3</v>
      </c>
      <c r="D2682" s="4" t="n">
        <v>1</v>
      </c>
      <c r="E2682" s="4" t="s">
        <v>2575</v>
      </c>
      <c r="F2682" s="4" t="n">
        <v>2</v>
      </c>
      <c r="G2682" s="4" t="n">
        <v>14</v>
      </c>
      <c r="H2682" s="4" t="n">
        <v>4</v>
      </c>
      <c r="I2682" s="4" t="str">
        <v>×</v>
      </c>
      <c r="J2682" s="4"/>
      <c r="K2682" s="4"/>
      <c r="L2682" s="4"/>
      <c r="M2682" s="5" t="s">
        <v>1871</v>
      </c>
    </row>
    <row r="2683" customFormat="false" ht="15.75" hidden="false" customHeight="false" outlineLevel="0" collapsed="false">
      <c r="A2683" s="3" t="n">
        <v>46215</v>
      </c>
      <c r="B2683" s="4" t="s">
        <v>1237</v>
      </c>
      <c r="C2683" s="4" t="n">
        <v>3</v>
      </c>
      <c r="D2683" s="4" t="n">
        <v>2</v>
      </c>
      <c r="E2683" s="4" t="s">
        <v>1736</v>
      </c>
      <c r="F2683" s="4" t="n">
        <v>20</v>
      </c>
      <c r="G2683" s="4" t="n">
        <v>5</v>
      </c>
      <c r="H2683" s="4" t="n">
        <v>4</v>
      </c>
      <c r="I2683" s="4" t="str">
        <v>×</v>
      </c>
      <c r="J2683" s="4"/>
      <c r="K2683" s="4"/>
      <c r="L2683" s="4"/>
      <c r="M2683" s="5" t="s">
        <v>1871</v>
      </c>
    </row>
    <row r="2684" customFormat="false" ht="15.75" hidden="false" customHeight="false" outlineLevel="0" collapsed="false">
      <c r="A2684" s="3" t="n">
        <v>46215</v>
      </c>
      <c r="B2684" s="4" t="s">
        <v>1237</v>
      </c>
      <c r="C2684" s="4" t="n">
        <v>3</v>
      </c>
      <c r="D2684" s="4" t="n">
        <v>3</v>
      </c>
      <c r="E2684" s="4" t="s">
        <v>2576</v>
      </c>
      <c r="F2684" s="4" t="n">
        <v>13</v>
      </c>
      <c r="G2684" s="4" t="n">
        <v>8</v>
      </c>
      <c r="H2684" s="4" t="n">
        <v>4</v>
      </c>
      <c r="I2684" s="4" t="str">
        <v>×</v>
      </c>
      <c r="J2684" s="4"/>
      <c r="K2684" s="4"/>
      <c r="L2684" s="4"/>
      <c r="M2684" s="5" t="s">
        <v>1871</v>
      </c>
    </row>
    <row r="2685" customFormat="false" ht="15.75" hidden="false" customHeight="false" outlineLevel="0" collapsed="false">
      <c r="A2685" s="3" t="n">
        <v>46215</v>
      </c>
      <c r="B2685" s="4" t="s">
        <v>1237</v>
      </c>
      <c r="C2685" s="4" t="n">
        <v>3</v>
      </c>
      <c r="D2685" s="4" t="n">
        <v>4</v>
      </c>
      <c r="E2685" s="4" t="s">
        <v>2577</v>
      </c>
      <c r="F2685" s="4" t="n">
        <v>39</v>
      </c>
      <c r="G2685" s="4" t="n">
        <v>2</v>
      </c>
      <c r="H2685" s="4" t="n">
        <v>4</v>
      </c>
      <c r="I2685" s="4" t="str">
        <v>×</v>
      </c>
      <c r="J2685" s="4"/>
      <c r="K2685" s="4"/>
      <c r="L2685" s="4"/>
      <c r="M2685" s="5" t="s">
        <v>1871</v>
      </c>
    </row>
    <row r="2686" customFormat="false" ht="15.75" hidden="false" customHeight="false" outlineLevel="0" collapsed="false">
      <c r="A2686" s="3" t="n">
        <v>46215</v>
      </c>
      <c r="B2686" s="4" t="s">
        <v>1237</v>
      </c>
      <c r="C2686" s="4" t="n">
        <v>3</v>
      </c>
      <c r="D2686" s="4" t="n">
        <v>5</v>
      </c>
      <c r="E2686" s="4" t="s">
        <v>832</v>
      </c>
      <c r="F2686" s="4" t="n">
        <v>10</v>
      </c>
      <c r="G2686" s="4" t="n">
        <v>9</v>
      </c>
      <c r="H2686" s="4" t="n">
        <v>3</v>
      </c>
      <c r="I2686" s="4" t="str">
        <v>○</v>
      </c>
      <c r="J2686" s="4" t="n">
        <v>370</v>
      </c>
      <c r="K2686" s="4"/>
      <c r="L2686" s="4"/>
      <c r="M2686" s="5" t="s">
        <v>1871</v>
      </c>
    </row>
    <row r="2687" customFormat="false" ht="15.75" hidden="false" customHeight="false" outlineLevel="0" collapsed="false">
      <c r="A2687" s="3" t="n">
        <v>46215</v>
      </c>
      <c r="B2687" s="4" t="s">
        <v>1237</v>
      </c>
      <c r="C2687" s="4" t="n">
        <v>3</v>
      </c>
      <c r="D2687" s="4" t="n">
        <v>6</v>
      </c>
      <c r="E2687" s="4" t="s">
        <v>2578</v>
      </c>
      <c r="F2687" s="4" t="n">
        <v>10</v>
      </c>
      <c r="G2687" s="4" t="n">
        <v>9</v>
      </c>
      <c r="H2687" s="4" t="n">
        <v>4</v>
      </c>
      <c r="I2687" s="4" t="str">
        <v>×</v>
      </c>
      <c r="J2687" s="4"/>
      <c r="K2687" s="4"/>
      <c r="L2687" s="4"/>
      <c r="M2687" s="5" t="s">
        <v>1871</v>
      </c>
    </row>
    <row r="2688" customFormat="false" ht="15.75" hidden="false" customHeight="false" outlineLevel="0" collapsed="false">
      <c r="A2688" s="3" t="n">
        <v>46215</v>
      </c>
      <c r="B2688" s="4" t="s">
        <v>1237</v>
      </c>
      <c r="C2688" s="4" t="n">
        <v>3</v>
      </c>
      <c r="D2688" s="4" t="n">
        <v>7</v>
      </c>
      <c r="E2688" s="4" t="s">
        <v>829</v>
      </c>
      <c r="F2688" s="4" t="n">
        <v>10</v>
      </c>
      <c r="G2688" s="4" t="n">
        <v>9</v>
      </c>
      <c r="H2688" s="4" t="n">
        <v>4</v>
      </c>
      <c r="I2688" s="4" t="str">
        <v>×</v>
      </c>
      <c r="J2688" s="4"/>
      <c r="K2688" s="4"/>
      <c r="L2688" s="4"/>
      <c r="M2688" s="5" t="s">
        <v>1871</v>
      </c>
    </row>
    <row r="2689" customFormat="false" ht="15.75" hidden="false" customHeight="false" outlineLevel="0" collapsed="false">
      <c r="A2689" s="3" t="n">
        <v>46215</v>
      </c>
      <c r="B2689" s="4" t="s">
        <v>1237</v>
      </c>
      <c r="C2689" s="4" t="n">
        <v>3</v>
      </c>
      <c r="D2689" s="4" t="n">
        <v>8</v>
      </c>
      <c r="E2689" s="4" t="s">
        <v>2579</v>
      </c>
      <c r="F2689" s="4" t="n">
        <v>39</v>
      </c>
      <c r="G2689" s="4" t="n">
        <v>2</v>
      </c>
      <c r="H2689" s="4" t="n">
        <v>2</v>
      </c>
      <c r="I2689" s="4" t="str">
        <v>○</v>
      </c>
      <c r="J2689" s="4" t="n">
        <v>230</v>
      </c>
      <c r="K2689" s="4"/>
      <c r="L2689" s="4"/>
      <c r="M2689" s="5" t="s">
        <v>1871</v>
      </c>
    </row>
    <row r="2690" customFormat="false" ht="15.75" hidden="false" customHeight="false" outlineLevel="0" collapsed="false">
      <c r="A2690" s="3" t="n">
        <v>46215</v>
      </c>
      <c r="B2690" s="4" t="s">
        <v>1237</v>
      </c>
      <c r="C2690" s="4" t="n">
        <v>3</v>
      </c>
      <c r="D2690" s="4" t="n">
        <v>9</v>
      </c>
      <c r="E2690" s="4" t="s">
        <v>2580</v>
      </c>
      <c r="F2690" s="4" t="n">
        <v>10</v>
      </c>
      <c r="G2690" s="4" t="n">
        <v>9</v>
      </c>
      <c r="H2690" s="4" t="n">
        <v>4</v>
      </c>
      <c r="I2690" s="4" t="str">
        <v>×</v>
      </c>
      <c r="J2690" s="4"/>
      <c r="K2690" s="4"/>
      <c r="L2690" s="4"/>
      <c r="M2690" s="5" t="s">
        <v>1871</v>
      </c>
    </row>
    <row r="2691" customFormat="false" ht="15.75" hidden="false" customHeight="false" outlineLevel="0" collapsed="false">
      <c r="A2691" s="3" t="n">
        <v>46215</v>
      </c>
      <c r="B2691" s="4" t="s">
        <v>1237</v>
      </c>
      <c r="C2691" s="4" t="n">
        <v>3</v>
      </c>
      <c r="D2691" s="4" t="n">
        <v>10</v>
      </c>
      <c r="E2691" s="4" t="s">
        <v>2581</v>
      </c>
      <c r="F2691" s="4" t="n">
        <v>39</v>
      </c>
      <c r="G2691" s="4" t="n">
        <v>2</v>
      </c>
      <c r="H2691" s="4" t="n">
        <v>4</v>
      </c>
      <c r="I2691" s="4" t="str">
        <v>×</v>
      </c>
      <c r="J2691" s="4"/>
      <c r="K2691" s="4"/>
      <c r="L2691" s="4"/>
      <c r="M2691" s="5" t="s">
        <v>1871</v>
      </c>
    </row>
    <row r="2692" customFormat="false" ht="15.75" hidden="false" customHeight="false" outlineLevel="0" collapsed="false">
      <c r="A2692" s="3" t="n">
        <v>46215</v>
      </c>
      <c r="B2692" s="4" t="s">
        <v>1237</v>
      </c>
      <c r="C2692" s="4" t="n">
        <v>3</v>
      </c>
      <c r="D2692" s="4" t="n">
        <v>11</v>
      </c>
      <c r="E2692" s="4" t="s">
        <v>2582</v>
      </c>
      <c r="F2692" s="4" t="n">
        <v>17</v>
      </c>
      <c r="G2692" s="4" t="n">
        <v>7</v>
      </c>
      <c r="H2692" s="4" t="n">
        <v>4</v>
      </c>
      <c r="I2692" s="4" t="str">
        <v>×</v>
      </c>
      <c r="J2692" s="4"/>
      <c r="K2692" s="4"/>
      <c r="L2692" s="4"/>
      <c r="M2692" s="5" t="s">
        <v>1871</v>
      </c>
    </row>
    <row r="2693" customFormat="false" ht="15.75" hidden="false" customHeight="false" outlineLevel="0" collapsed="false">
      <c r="A2693" s="3" t="n">
        <v>46215</v>
      </c>
      <c r="B2693" s="4" t="s">
        <v>1237</v>
      </c>
      <c r="C2693" s="4" t="n">
        <v>3</v>
      </c>
      <c r="D2693" s="4" t="n">
        <v>12</v>
      </c>
      <c r="E2693" s="4" t="s">
        <v>2583</v>
      </c>
      <c r="F2693" s="4" t="n">
        <v>74</v>
      </c>
      <c r="G2693" s="4" t="n">
        <v>1</v>
      </c>
      <c r="H2693" s="4" t="n">
        <v>1</v>
      </c>
      <c r="I2693" s="4" t="str">
        <v>○</v>
      </c>
      <c r="J2693" s="4" t="n">
        <v>110</v>
      </c>
      <c r="K2693" s="4"/>
      <c r="L2693" s="4"/>
      <c r="M2693" s="5" t="s">
        <v>1871</v>
      </c>
    </row>
    <row r="2694" customFormat="false" ht="15.75" hidden="false" customHeight="false" outlineLevel="0" collapsed="false">
      <c r="A2694" s="3" t="n">
        <v>46215</v>
      </c>
      <c r="B2694" s="4" t="s">
        <v>1237</v>
      </c>
      <c r="C2694" s="4" t="n">
        <v>3</v>
      </c>
      <c r="D2694" s="4" t="n">
        <v>13</v>
      </c>
      <c r="E2694" s="4" t="s">
        <v>141</v>
      </c>
      <c r="F2694" s="4" t="n">
        <v>3</v>
      </c>
      <c r="G2694" s="4" t="n">
        <v>13</v>
      </c>
      <c r="H2694" s="4" t="n">
        <v>4</v>
      </c>
      <c r="I2694" s="4" t="str">
        <v>×</v>
      </c>
      <c r="J2694" s="4"/>
      <c r="K2694" s="4"/>
      <c r="L2694" s="4"/>
      <c r="M2694" s="5" t="s">
        <v>1871</v>
      </c>
    </row>
    <row r="2695" customFormat="false" ht="15.75" hidden="false" customHeight="false" outlineLevel="0" collapsed="false">
      <c r="A2695" s="3" t="n">
        <v>46215</v>
      </c>
      <c r="B2695" s="4" t="s">
        <v>1237</v>
      </c>
      <c r="C2695" s="4" t="n">
        <v>3</v>
      </c>
      <c r="D2695" s="4" t="n">
        <v>14</v>
      </c>
      <c r="E2695" s="4" t="s">
        <v>805</v>
      </c>
      <c r="F2695" s="4" t="n">
        <v>20</v>
      </c>
      <c r="G2695" s="4" t="n">
        <v>5</v>
      </c>
      <c r="H2695" s="4" t="n">
        <v>4</v>
      </c>
      <c r="I2695" s="4" t="str">
        <v>×</v>
      </c>
      <c r="J2695" s="4"/>
      <c r="K2695" s="4"/>
      <c r="L2695" s="4"/>
      <c r="M2695" s="5" t="s">
        <v>1871</v>
      </c>
    </row>
    <row r="2696" customFormat="false" ht="15.75" hidden="false" customHeight="false" outlineLevel="0" collapsed="false">
      <c r="A2696" s="3" t="n">
        <v>46215</v>
      </c>
      <c r="B2696" s="4" t="s">
        <v>1237</v>
      </c>
      <c r="C2696" s="4" t="n">
        <v>4</v>
      </c>
      <c r="D2696" s="4" t="n">
        <v>1</v>
      </c>
      <c r="E2696" s="4" t="s">
        <v>2584</v>
      </c>
      <c r="F2696" s="4" t="n">
        <v>2</v>
      </c>
      <c r="G2696" s="4" t="n">
        <v>16</v>
      </c>
      <c r="H2696" s="4" t="n">
        <v>4</v>
      </c>
      <c r="I2696" s="4" t="str">
        <v>×</v>
      </c>
      <c r="J2696" s="4"/>
      <c r="K2696" s="4"/>
      <c r="L2696" s="4"/>
      <c r="M2696" s="5" t="s">
        <v>1871</v>
      </c>
    </row>
    <row r="2697" customFormat="false" ht="15.75" hidden="false" customHeight="false" outlineLevel="0" collapsed="false">
      <c r="A2697" s="3" t="n">
        <v>46215</v>
      </c>
      <c r="B2697" s="4" t="s">
        <v>1237</v>
      </c>
      <c r="C2697" s="4" t="n">
        <v>4</v>
      </c>
      <c r="D2697" s="4" t="n">
        <v>2</v>
      </c>
      <c r="E2697" s="4" t="s">
        <v>2585</v>
      </c>
      <c r="F2697" s="4" t="n">
        <v>20</v>
      </c>
      <c r="G2697" s="4" t="n">
        <v>6</v>
      </c>
      <c r="H2697" s="4" t="n">
        <v>4</v>
      </c>
      <c r="I2697" s="4" t="str">
        <v>×</v>
      </c>
      <c r="J2697" s="4"/>
      <c r="K2697" s="4"/>
      <c r="L2697" s="4"/>
      <c r="M2697" s="5" t="s">
        <v>1871</v>
      </c>
    </row>
    <row r="2698" customFormat="false" ht="15.75" hidden="false" customHeight="false" outlineLevel="0" collapsed="false">
      <c r="A2698" s="3" t="n">
        <v>46215</v>
      </c>
      <c r="B2698" s="4" t="s">
        <v>1237</v>
      </c>
      <c r="C2698" s="4" t="n">
        <v>4</v>
      </c>
      <c r="D2698" s="4" t="n">
        <v>3</v>
      </c>
      <c r="E2698" s="4" t="s">
        <v>2586</v>
      </c>
      <c r="F2698" s="4" t="n">
        <v>23</v>
      </c>
      <c r="G2698" s="4" t="n">
        <v>4</v>
      </c>
      <c r="H2698" s="4" t="n">
        <v>2</v>
      </c>
      <c r="I2698" s="4" t="str">
        <v>○</v>
      </c>
      <c r="J2698" s="4" t="n">
        <v>280</v>
      </c>
      <c r="K2698" s="4"/>
      <c r="L2698" s="4"/>
      <c r="M2698" s="5" t="s">
        <v>1871</v>
      </c>
    </row>
    <row r="2699" customFormat="false" ht="15.75" hidden="false" customHeight="false" outlineLevel="0" collapsed="false">
      <c r="A2699" s="3" t="n">
        <v>46215</v>
      </c>
      <c r="B2699" s="4" t="s">
        <v>1237</v>
      </c>
      <c r="C2699" s="4" t="n">
        <v>4</v>
      </c>
      <c r="D2699" s="4" t="n">
        <v>4</v>
      </c>
      <c r="E2699" s="4" t="s">
        <v>2587</v>
      </c>
      <c r="F2699" s="4" t="n">
        <v>25</v>
      </c>
      <c r="G2699" s="4" t="n">
        <v>3</v>
      </c>
      <c r="H2699" s="4" t="n">
        <v>1</v>
      </c>
      <c r="I2699" s="4" t="str">
        <v>○</v>
      </c>
      <c r="J2699" s="4" t="n">
        <v>220</v>
      </c>
      <c r="K2699" s="4"/>
      <c r="L2699" s="4"/>
      <c r="M2699" s="5" t="s">
        <v>1871</v>
      </c>
    </row>
    <row r="2700" customFormat="false" ht="15.75" hidden="false" customHeight="false" outlineLevel="0" collapsed="false">
      <c r="A2700" s="3" t="n">
        <v>46215</v>
      </c>
      <c r="B2700" s="4" t="s">
        <v>1237</v>
      </c>
      <c r="C2700" s="4" t="n">
        <v>4</v>
      </c>
      <c r="D2700" s="4" t="n">
        <v>5</v>
      </c>
      <c r="E2700" s="4" t="s">
        <v>2588</v>
      </c>
      <c r="F2700" s="4" t="n">
        <v>8</v>
      </c>
      <c r="G2700" s="4" t="n">
        <v>8</v>
      </c>
      <c r="H2700" s="4" t="n">
        <v>4</v>
      </c>
      <c r="I2700" s="4" t="str">
        <v>×</v>
      </c>
      <c r="J2700" s="4"/>
      <c r="K2700" s="4"/>
      <c r="L2700" s="4"/>
      <c r="M2700" s="5" t="s">
        <v>1871</v>
      </c>
    </row>
    <row r="2701" customFormat="false" ht="15.75" hidden="false" customHeight="false" outlineLevel="0" collapsed="false">
      <c r="A2701" s="3" t="n">
        <v>46215</v>
      </c>
      <c r="B2701" s="4" t="s">
        <v>1237</v>
      </c>
      <c r="C2701" s="4" t="n">
        <v>4</v>
      </c>
      <c r="D2701" s="4" t="n">
        <v>6</v>
      </c>
      <c r="E2701" s="4" t="s">
        <v>2589</v>
      </c>
      <c r="F2701" s="4" t="n">
        <v>23</v>
      </c>
      <c r="G2701" s="4" t="n">
        <v>4</v>
      </c>
      <c r="H2701" s="4" t="n">
        <v>4</v>
      </c>
      <c r="I2701" s="4" t="str">
        <v>×</v>
      </c>
      <c r="J2701" s="4"/>
      <c r="K2701" s="4"/>
      <c r="L2701" s="4"/>
      <c r="M2701" s="5" t="s">
        <v>1871</v>
      </c>
    </row>
    <row r="2702" customFormat="false" ht="15.75" hidden="false" customHeight="false" outlineLevel="0" collapsed="false">
      <c r="A2702" s="3" t="n">
        <v>46215</v>
      </c>
      <c r="B2702" s="4" t="s">
        <v>1237</v>
      </c>
      <c r="C2702" s="4" t="n">
        <v>4</v>
      </c>
      <c r="D2702" s="4" t="n">
        <v>7</v>
      </c>
      <c r="E2702" s="4" t="s">
        <v>2590</v>
      </c>
      <c r="F2702" s="4" t="n">
        <v>6</v>
      </c>
      <c r="G2702" s="4" t="n">
        <v>12</v>
      </c>
      <c r="H2702" s="4" t="n">
        <v>3</v>
      </c>
      <c r="I2702" s="4" t="str">
        <v>○</v>
      </c>
      <c r="J2702" s="4" t="n">
        <v>1440</v>
      </c>
      <c r="K2702" s="4"/>
      <c r="L2702" s="4"/>
      <c r="M2702" s="5" t="s">
        <v>1871</v>
      </c>
    </row>
    <row r="2703" customFormat="false" ht="15.75" hidden="false" customHeight="false" outlineLevel="0" collapsed="false">
      <c r="A2703" s="3" t="n">
        <v>46215</v>
      </c>
      <c r="B2703" s="4" t="s">
        <v>1237</v>
      </c>
      <c r="C2703" s="4" t="n">
        <v>4</v>
      </c>
      <c r="D2703" s="4" t="n">
        <v>8</v>
      </c>
      <c r="E2703" s="4" t="s">
        <v>2591</v>
      </c>
      <c r="F2703" s="4" t="n">
        <v>10</v>
      </c>
      <c r="G2703" s="4" t="n">
        <v>7</v>
      </c>
      <c r="H2703" s="4" t="n">
        <v>4</v>
      </c>
      <c r="I2703" s="4" t="str">
        <v>×</v>
      </c>
      <c r="J2703" s="4"/>
      <c r="K2703" s="4"/>
      <c r="L2703" s="4"/>
      <c r="M2703" s="5" t="s">
        <v>1871</v>
      </c>
    </row>
    <row r="2704" customFormat="false" ht="15.75" hidden="false" customHeight="false" outlineLevel="0" collapsed="false">
      <c r="A2704" s="3" t="n">
        <v>46215</v>
      </c>
      <c r="B2704" s="4" t="s">
        <v>1237</v>
      </c>
      <c r="C2704" s="4" t="n">
        <v>4</v>
      </c>
      <c r="D2704" s="4" t="n">
        <v>9</v>
      </c>
      <c r="E2704" s="4" t="s">
        <v>2592</v>
      </c>
      <c r="F2704" s="4" t="n">
        <v>4</v>
      </c>
      <c r="G2704" s="4" t="n">
        <v>13</v>
      </c>
      <c r="H2704" s="4" t="n">
        <v>4</v>
      </c>
      <c r="I2704" s="4" t="str">
        <v>×</v>
      </c>
      <c r="J2704" s="4"/>
      <c r="K2704" s="4"/>
      <c r="L2704" s="4"/>
      <c r="M2704" s="5" t="s">
        <v>1871</v>
      </c>
    </row>
    <row r="2705" customFormat="false" ht="15.75" hidden="false" customHeight="false" outlineLevel="0" collapsed="false">
      <c r="A2705" s="3" t="n">
        <v>46215</v>
      </c>
      <c r="B2705" s="4" t="s">
        <v>1237</v>
      </c>
      <c r="C2705" s="4" t="n">
        <v>4</v>
      </c>
      <c r="D2705" s="4" t="n">
        <v>10</v>
      </c>
      <c r="E2705" s="4" t="s">
        <v>2593</v>
      </c>
      <c r="F2705" s="4" t="n">
        <v>4</v>
      </c>
      <c r="G2705" s="4" t="n">
        <v>13</v>
      </c>
      <c r="H2705" s="4" t="n">
        <v>4</v>
      </c>
      <c r="I2705" s="4" t="str">
        <v>×</v>
      </c>
      <c r="J2705" s="4"/>
      <c r="K2705" s="4"/>
      <c r="L2705" s="4"/>
      <c r="M2705" s="5" t="s">
        <v>1871</v>
      </c>
    </row>
    <row r="2706" customFormat="false" ht="15.75" hidden="false" customHeight="false" outlineLevel="0" collapsed="false">
      <c r="A2706" s="3" t="n">
        <v>46215</v>
      </c>
      <c r="B2706" s="4" t="s">
        <v>1237</v>
      </c>
      <c r="C2706" s="4" t="n">
        <v>4</v>
      </c>
      <c r="D2706" s="4" t="n">
        <v>11</v>
      </c>
      <c r="E2706" s="4" t="s">
        <v>2594</v>
      </c>
      <c r="F2706" s="4" t="n">
        <v>8</v>
      </c>
      <c r="G2706" s="4" t="n">
        <v>8</v>
      </c>
      <c r="H2706" s="4" t="n">
        <v>4</v>
      </c>
      <c r="I2706" s="4" t="str">
        <v>×</v>
      </c>
      <c r="J2706" s="4"/>
      <c r="K2706" s="4"/>
      <c r="L2706" s="4"/>
      <c r="M2706" s="5" t="s">
        <v>1871</v>
      </c>
    </row>
    <row r="2707" customFormat="false" ht="15.75" hidden="false" customHeight="false" outlineLevel="0" collapsed="false">
      <c r="A2707" s="3" t="n">
        <v>46215</v>
      </c>
      <c r="B2707" s="4" t="s">
        <v>1237</v>
      </c>
      <c r="C2707" s="4" t="n">
        <v>4</v>
      </c>
      <c r="D2707" s="4" t="n">
        <v>12</v>
      </c>
      <c r="E2707" s="4" t="s">
        <v>2595</v>
      </c>
      <c r="F2707" s="4" t="n">
        <v>3</v>
      </c>
      <c r="G2707" s="4" t="n">
        <v>15</v>
      </c>
      <c r="H2707" s="4" t="n">
        <v>4</v>
      </c>
      <c r="I2707" s="4" t="str">
        <v>×</v>
      </c>
      <c r="J2707" s="4"/>
      <c r="K2707" s="4"/>
      <c r="L2707" s="4"/>
      <c r="M2707" s="5" t="s">
        <v>1871</v>
      </c>
    </row>
    <row r="2708" customFormat="false" ht="15.75" hidden="false" customHeight="false" outlineLevel="0" collapsed="false">
      <c r="A2708" s="3" t="n">
        <v>46215</v>
      </c>
      <c r="B2708" s="4" t="s">
        <v>1237</v>
      </c>
      <c r="C2708" s="4" t="n">
        <v>4</v>
      </c>
      <c r="D2708" s="4" t="n">
        <v>13</v>
      </c>
      <c r="E2708" s="4" t="s">
        <v>2596</v>
      </c>
      <c r="F2708" s="4" t="n">
        <v>65</v>
      </c>
      <c r="G2708" s="4" t="n">
        <v>1</v>
      </c>
      <c r="H2708" s="4" t="n">
        <v>4</v>
      </c>
      <c r="I2708" s="4" t="str">
        <v>×</v>
      </c>
      <c r="J2708" s="4"/>
      <c r="K2708" s="4"/>
      <c r="L2708" s="4"/>
      <c r="M2708" s="5" t="s">
        <v>1871</v>
      </c>
    </row>
    <row r="2709" customFormat="false" ht="15.75" hidden="false" customHeight="false" outlineLevel="0" collapsed="false">
      <c r="A2709" s="3" t="n">
        <v>46215</v>
      </c>
      <c r="B2709" s="4" t="s">
        <v>1237</v>
      </c>
      <c r="C2709" s="4" t="n">
        <v>4</v>
      </c>
      <c r="D2709" s="4" t="n">
        <v>14</v>
      </c>
      <c r="E2709" s="4" t="s">
        <v>847</v>
      </c>
      <c r="F2709" s="4" t="n">
        <v>8</v>
      </c>
      <c r="G2709" s="4" t="n">
        <v>8</v>
      </c>
      <c r="H2709" s="4" t="n">
        <v>4</v>
      </c>
      <c r="I2709" s="4" t="str">
        <v>×</v>
      </c>
      <c r="J2709" s="4"/>
      <c r="K2709" s="4"/>
      <c r="L2709" s="4"/>
      <c r="M2709" s="5" t="s">
        <v>1871</v>
      </c>
    </row>
    <row r="2710" customFormat="false" ht="15.75" hidden="false" customHeight="false" outlineLevel="0" collapsed="false">
      <c r="A2710" s="3" t="n">
        <v>46215</v>
      </c>
      <c r="B2710" s="4" t="s">
        <v>1237</v>
      </c>
      <c r="C2710" s="4" t="n">
        <v>4</v>
      </c>
      <c r="D2710" s="4" t="n">
        <v>15</v>
      </c>
      <c r="E2710" s="4" t="s">
        <v>2597</v>
      </c>
      <c r="F2710" s="4" t="n">
        <v>34</v>
      </c>
      <c r="G2710" s="4" t="n">
        <v>2</v>
      </c>
      <c r="H2710" s="4" t="n">
        <v>4</v>
      </c>
      <c r="I2710" s="4" t="str">
        <v>×</v>
      </c>
      <c r="J2710" s="4"/>
      <c r="K2710" s="4"/>
      <c r="L2710" s="4"/>
      <c r="M2710" s="5" t="s">
        <v>1871</v>
      </c>
    </row>
    <row r="2711" customFormat="false" ht="15.75" hidden="false" customHeight="false" outlineLevel="0" collapsed="false">
      <c r="A2711" s="3" t="n">
        <v>46215</v>
      </c>
      <c r="B2711" s="4" t="s">
        <v>1237</v>
      </c>
      <c r="C2711" s="4" t="n">
        <v>4</v>
      </c>
      <c r="D2711" s="4" t="n">
        <v>16</v>
      </c>
      <c r="E2711" s="4" t="s">
        <v>2598</v>
      </c>
      <c r="F2711" s="4" t="n">
        <v>8</v>
      </c>
      <c r="G2711" s="4" t="n">
        <v>8</v>
      </c>
      <c r="H2711" s="4" t="n">
        <v>4</v>
      </c>
      <c r="I2711" s="4" t="str">
        <v>×</v>
      </c>
      <c r="J2711" s="4"/>
      <c r="K2711" s="4"/>
      <c r="L2711" s="4"/>
      <c r="M2711" s="5" t="s">
        <v>1871</v>
      </c>
    </row>
    <row r="2712" customFormat="false" ht="15.75" hidden="false" customHeight="false" outlineLevel="0" collapsed="false">
      <c r="A2712" s="3" t="n">
        <v>46215</v>
      </c>
      <c r="B2712" s="4" t="s">
        <v>1237</v>
      </c>
      <c r="C2712" s="4" t="n">
        <v>5</v>
      </c>
      <c r="D2712" s="4" t="n">
        <v>1</v>
      </c>
      <c r="E2712" s="4" t="s">
        <v>2599</v>
      </c>
      <c r="F2712" s="4" t="n">
        <v>31</v>
      </c>
      <c r="G2712" s="4" t="n">
        <v>2</v>
      </c>
      <c r="H2712" s="4" t="n">
        <v>4</v>
      </c>
      <c r="I2712" s="4" t="str">
        <v>×</v>
      </c>
      <c r="J2712" s="4"/>
      <c r="K2712" s="4"/>
      <c r="L2712" s="4"/>
      <c r="M2712" s="5" t="s">
        <v>1871</v>
      </c>
    </row>
    <row r="2713" customFormat="false" ht="15.75" hidden="false" customHeight="false" outlineLevel="0" collapsed="false">
      <c r="A2713" s="3" t="n">
        <v>46215</v>
      </c>
      <c r="B2713" s="4" t="s">
        <v>1237</v>
      </c>
      <c r="C2713" s="4" t="n">
        <v>5</v>
      </c>
      <c r="D2713" s="4" t="n">
        <v>2</v>
      </c>
      <c r="E2713" s="4" t="s">
        <v>2600</v>
      </c>
      <c r="F2713" s="4" t="n">
        <v>21</v>
      </c>
      <c r="G2713" s="4" t="n">
        <v>7</v>
      </c>
      <c r="H2713" s="4" t="n">
        <v>4</v>
      </c>
      <c r="I2713" s="4" t="str">
        <v>×</v>
      </c>
      <c r="J2713" s="4"/>
      <c r="K2713" s="4"/>
      <c r="L2713" s="4"/>
      <c r="M2713" s="5" t="s">
        <v>1871</v>
      </c>
    </row>
    <row r="2714" customFormat="false" ht="15.75" hidden="false" customHeight="false" outlineLevel="0" collapsed="false">
      <c r="A2714" s="3" t="n">
        <v>46215</v>
      </c>
      <c r="B2714" s="4" t="s">
        <v>1237</v>
      </c>
      <c r="C2714" s="4" t="n">
        <v>5</v>
      </c>
      <c r="D2714" s="4" t="n">
        <v>3</v>
      </c>
      <c r="E2714" s="4" t="s">
        <v>2601</v>
      </c>
      <c r="F2714" s="4" t="n">
        <v>21</v>
      </c>
      <c r="G2714" s="4" t="n">
        <v>7</v>
      </c>
      <c r="H2714" s="4" t="n">
        <v>4</v>
      </c>
      <c r="I2714" s="4" t="str">
        <v>×</v>
      </c>
      <c r="J2714" s="4"/>
      <c r="K2714" s="4"/>
      <c r="L2714" s="4"/>
      <c r="M2714" s="5" t="s">
        <v>1871</v>
      </c>
    </row>
    <row r="2715" customFormat="false" ht="15.75" hidden="false" customHeight="false" outlineLevel="0" collapsed="false">
      <c r="A2715" s="3" t="n">
        <v>46215</v>
      </c>
      <c r="B2715" s="4" t="s">
        <v>1237</v>
      </c>
      <c r="C2715" s="4" t="n">
        <v>5</v>
      </c>
      <c r="D2715" s="4" t="n">
        <v>4</v>
      </c>
      <c r="E2715" s="4" t="s">
        <v>2602</v>
      </c>
      <c r="F2715" s="4" t="n">
        <v>27</v>
      </c>
      <c r="G2715" s="4" t="n">
        <v>3</v>
      </c>
      <c r="H2715" s="4" t="n">
        <v>1</v>
      </c>
      <c r="I2715" s="4" t="str">
        <v>○</v>
      </c>
      <c r="J2715" s="4" t="n">
        <v>210</v>
      </c>
      <c r="K2715" s="4"/>
      <c r="L2715" s="4"/>
      <c r="M2715" s="5" t="s">
        <v>1871</v>
      </c>
    </row>
    <row r="2716" customFormat="false" ht="15.75" hidden="false" customHeight="false" outlineLevel="0" collapsed="false">
      <c r="A2716" s="3" t="n">
        <v>46215</v>
      </c>
      <c r="B2716" s="4" t="s">
        <v>1237</v>
      </c>
      <c r="C2716" s="4" t="n">
        <v>5</v>
      </c>
      <c r="D2716" s="4" t="n">
        <v>5</v>
      </c>
      <c r="E2716" s="4" t="s">
        <v>1243</v>
      </c>
      <c r="F2716" s="4" t="n">
        <v>27</v>
      </c>
      <c r="G2716" s="4" t="n">
        <v>3</v>
      </c>
      <c r="H2716" s="4" t="n">
        <v>2</v>
      </c>
      <c r="I2716" s="4" t="str">
        <v>○</v>
      </c>
      <c r="J2716" s="4" t="n">
        <v>180</v>
      </c>
      <c r="K2716" s="4"/>
      <c r="L2716" s="4"/>
      <c r="M2716" s="5" t="s">
        <v>1871</v>
      </c>
    </row>
    <row r="2717" customFormat="false" ht="15.75" hidden="false" customHeight="false" outlineLevel="0" collapsed="false">
      <c r="A2717" s="3" t="n">
        <v>46215</v>
      </c>
      <c r="B2717" s="4" t="s">
        <v>1237</v>
      </c>
      <c r="C2717" s="4" t="n">
        <v>5</v>
      </c>
      <c r="D2717" s="4" t="n">
        <v>6</v>
      </c>
      <c r="E2717" s="4" t="s">
        <v>2603</v>
      </c>
      <c r="F2717" s="4" t="n">
        <v>24</v>
      </c>
      <c r="G2717" s="4" t="n">
        <v>5</v>
      </c>
      <c r="H2717" s="4" t="n">
        <v>3</v>
      </c>
      <c r="I2717" s="4" t="str">
        <v>○</v>
      </c>
      <c r="J2717" s="4" t="n">
        <v>1180</v>
      </c>
      <c r="K2717" s="4"/>
      <c r="L2717" s="4"/>
      <c r="M2717" s="5" t="s">
        <v>1871</v>
      </c>
    </row>
    <row r="2718" customFormat="false" ht="15.75" hidden="false" customHeight="false" outlineLevel="0" collapsed="false">
      <c r="A2718" s="3" t="n">
        <v>46215</v>
      </c>
      <c r="B2718" s="4" t="s">
        <v>1237</v>
      </c>
      <c r="C2718" s="4" t="n">
        <v>5</v>
      </c>
      <c r="D2718" s="4" t="n">
        <v>7</v>
      </c>
      <c r="E2718" s="4" t="s">
        <v>2604</v>
      </c>
      <c r="F2718" s="4" t="n">
        <v>21</v>
      </c>
      <c r="G2718" s="4" t="n">
        <v>7</v>
      </c>
      <c r="H2718" s="4" t="n">
        <v>4</v>
      </c>
      <c r="I2718" s="4" t="str">
        <v>×</v>
      </c>
      <c r="J2718" s="4"/>
      <c r="K2718" s="4"/>
      <c r="L2718" s="4"/>
      <c r="M2718" s="5" t="s">
        <v>1871</v>
      </c>
    </row>
    <row r="2719" customFormat="false" ht="15.75" hidden="false" customHeight="false" outlineLevel="0" collapsed="false">
      <c r="A2719" s="3" t="n">
        <v>46215</v>
      </c>
      <c r="B2719" s="4" t="s">
        <v>1237</v>
      </c>
      <c r="C2719" s="4" t="n">
        <v>5</v>
      </c>
      <c r="D2719" s="4" t="n">
        <v>8</v>
      </c>
      <c r="E2719" s="4" t="s">
        <v>2605</v>
      </c>
      <c r="F2719" s="4" t="n">
        <v>16</v>
      </c>
      <c r="G2719" s="4" t="n">
        <v>10</v>
      </c>
      <c r="H2719" s="4" t="n">
        <v>4</v>
      </c>
      <c r="I2719" s="4" t="str">
        <v>×</v>
      </c>
      <c r="J2719" s="4"/>
      <c r="K2719" s="4"/>
      <c r="L2719" s="4"/>
      <c r="M2719" s="5" t="s">
        <v>1871</v>
      </c>
    </row>
    <row r="2720" customFormat="false" ht="15.75" hidden="false" customHeight="false" outlineLevel="0" collapsed="false">
      <c r="A2720" s="3" t="n">
        <v>46215</v>
      </c>
      <c r="B2720" s="4" t="s">
        <v>1237</v>
      </c>
      <c r="C2720" s="4" t="n">
        <v>5</v>
      </c>
      <c r="D2720" s="4" t="n">
        <v>9</v>
      </c>
      <c r="E2720" s="4" t="s">
        <v>2606</v>
      </c>
      <c r="F2720" s="4" t="n">
        <v>37</v>
      </c>
      <c r="G2720" s="4" t="n">
        <v>1</v>
      </c>
      <c r="H2720" s="4" t="n">
        <v>4</v>
      </c>
      <c r="I2720" s="4" t="str">
        <v>×</v>
      </c>
      <c r="J2720" s="4"/>
      <c r="K2720" s="4"/>
      <c r="L2720" s="4"/>
      <c r="M2720" s="5" t="s">
        <v>1871</v>
      </c>
    </row>
    <row r="2721" customFormat="false" ht="15.75" hidden="false" customHeight="false" outlineLevel="0" collapsed="false">
      <c r="A2721" s="3" t="n">
        <v>46215</v>
      </c>
      <c r="B2721" s="4" t="s">
        <v>1237</v>
      </c>
      <c r="C2721" s="4" t="n">
        <v>5</v>
      </c>
      <c r="D2721" s="4" t="n">
        <v>10</v>
      </c>
      <c r="E2721" s="4" t="s">
        <v>2607</v>
      </c>
      <c r="F2721" s="4" t="n">
        <v>24</v>
      </c>
      <c r="G2721" s="4" t="n">
        <v>5</v>
      </c>
      <c r="H2721" s="4" t="n">
        <v>4</v>
      </c>
      <c r="I2721" s="4" t="str">
        <v>×</v>
      </c>
      <c r="J2721" s="4"/>
      <c r="K2721" s="4"/>
      <c r="L2721" s="4"/>
      <c r="M2721" s="5" t="s">
        <v>1871</v>
      </c>
    </row>
    <row r="2722" customFormat="false" ht="15.75" hidden="false" customHeight="false" outlineLevel="0" collapsed="false">
      <c r="A2722" s="3" t="n">
        <v>46215</v>
      </c>
      <c r="B2722" s="4" t="s">
        <v>1237</v>
      </c>
      <c r="C2722" s="4" t="n">
        <v>6</v>
      </c>
      <c r="D2722" s="4" t="n">
        <v>1</v>
      </c>
      <c r="E2722" s="4" t="s">
        <v>2608</v>
      </c>
      <c r="F2722" s="4" t="n">
        <v>29</v>
      </c>
      <c r="G2722" s="4" t="n">
        <v>3</v>
      </c>
      <c r="H2722" s="4" t="n">
        <v>1</v>
      </c>
      <c r="I2722" s="4" t="str">
        <v>○</v>
      </c>
      <c r="J2722" s="4" t="n">
        <v>340</v>
      </c>
      <c r="K2722" s="4"/>
      <c r="L2722" s="4"/>
      <c r="M2722" s="5" t="s">
        <v>1871</v>
      </c>
    </row>
    <row r="2723" customFormat="false" ht="15.75" hidden="false" customHeight="false" outlineLevel="0" collapsed="false">
      <c r="A2723" s="3" t="n">
        <v>46215</v>
      </c>
      <c r="B2723" s="4" t="s">
        <v>1237</v>
      </c>
      <c r="C2723" s="4" t="n">
        <v>6</v>
      </c>
      <c r="D2723" s="4" t="n">
        <v>2</v>
      </c>
      <c r="E2723" s="4" t="s">
        <v>2609</v>
      </c>
      <c r="F2723" s="4" t="n">
        <v>44</v>
      </c>
      <c r="G2723" s="4" t="n">
        <v>2</v>
      </c>
      <c r="H2723" s="4" t="n">
        <v>2</v>
      </c>
      <c r="I2723" s="4" t="str">
        <v>○</v>
      </c>
      <c r="J2723" s="4" t="n">
        <v>200</v>
      </c>
      <c r="K2723" s="4"/>
      <c r="L2723" s="4"/>
      <c r="M2723" s="5" t="s">
        <v>1871</v>
      </c>
    </row>
    <row r="2724" customFormat="false" ht="15.75" hidden="false" customHeight="false" outlineLevel="0" collapsed="false">
      <c r="A2724" s="3" t="n">
        <v>46215</v>
      </c>
      <c r="B2724" s="4" t="s">
        <v>1237</v>
      </c>
      <c r="C2724" s="4" t="n">
        <v>6</v>
      </c>
      <c r="D2724" s="4" t="n">
        <v>3</v>
      </c>
      <c r="E2724" s="4" t="s">
        <v>2610</v>
      </c>
      <c r="F2724" s="4" t="n">
        <v>20</v>
      </c>
      <c r="G2724" s="4" t="n">
        <v>7</v>
      </c>
      <c r="H2724" s="4" t="n">
        <v>3</v>
      </c>
      <c r="I2724" s="4" t="str">
        <v>○</v>
      </c>
      <c r="J2724" s="4" t="n">
        <v>540</v>
      </c>
      <c r="K2724" s="4"/>
      <c r="L2724" s="4"/>
      <c r="M2724" s="5" t="s">
        <v>1871</v>
      </c>
    </row>
    <row r="2725" customFormat="false" ht="15.75" hidden="false" customHeight="false" outlineLevel="0" collapsed="false">
      <c r="A2725" s="3" t="n">
        <v>46215</v>
      </c>
      <c r="B2725" s="4" t="s">
        <v>1237</v>
      </c>
      <c r="C2725" s="4" t="n">
        <v>6</v>
      </c>
      <c r="D2725" s="4" t="n">
        <v>4</v>
      </c>
      <c r="E2725" s="4" t="s">
        <v>367</v>
      </c>
      <c r="F2725" s="4" t="n">
        <v>2</v>
      </c>
      <c r="G2725" s="4" t="n">
        <v>14</v>
      </c>
      <c r="H2725" s="4" t="n">
        <v>4</v>
      </c>
      <c r="I2725" s="4" t="str">
        <v>×</v>
      </c>
      <c r="J2725" s="4"/>
      <c r="K2725" s="4"/>
      <c r="L2725" s="4"/>
      <c r="M2725" s="5" t="s">
        <v>1871</v>
      </c>
    </row>
    <row r="2726" customFormat="false" ht="15.75" hidden="false" customHeight="false" outlineLevel="0" collapsed="false">
      <c r="A2726" s="3" t="n">
        <v>46215</v>
      </c>
      <c r="B2726" s="4" t="s">
        <v>1237</v>
      </c>
      <c r="C2726" s="4" t="n">
        <v>6</v>
      </c>
      <c r="D2726" s="4" t="n">
        <v>5</v>
      </c>
      <c r="E2726" s="4" t="s">
        <v>2611</v>
      </c>
      <c r="F2726" s="4" t="n">
        <v>29</v>
      </c>
      <c r="G2726" s="4" t="n">
        <v>3</v>
      </c>
      <c r="H2726" s="4" t="n">
        <v>4</v>
      </c>
      <c r="I2726" s="4" t="str">
        <v>×</v>
      </c>
      <c r="J2726" s="4"/>
      <c r="K2726" s="4"/>
      <c r="L2726" s="4"/>
      <c r="M2726" s="5" t="s">
        <v>1871</v>
      </c>
    </row>
    <row r="2727" customFormat="false" ht="15.75" hidden="false" customHeight="false" outlineLevel="0" collapsed="false">
      <c r="A2727" s="3" t="n">
        <v>46215</v>
      </c>
      <c r="B2727" s="4" t="s">
        <v>1237</v>
      </c>
      <c r="C2727" s="4" t="n">
        <v>6</v>
      </c>
      <c r="D2727" s="4" t="n">
        <v>6</v>
      </c>
      <c r="E2727" s="4" t="s">
        <v>2612</v>
      </c>
      <c r="F2727" s="4" t="n">
        <v>10</v>
      </c>
      <c r="G2727" s="4" t="n">
        <v>9</v>
      </c>
      <c r="H2727" s="4" t="n">
        <v>4</v>
      </c>
      <c r="I2727" s="4" t="str">
        <v>×</v>
      </c>
      <c r="J2727" s="4"/>
      <c r="K2727" s="4"/>
      <c r="L2727" s="4"/>
      <c r="M2727" s="5" t="s">
        <v>1871</v>
      </c>
    </row>
    <row r="2728" customFormat="false" ht="15.75" hidden="false" customHeight="false" outlineLevel="0" collapsed="false">
      <c r="A2728" s="3" t="n">
        <v>46215</v>
      </c>
      <c r="B2728" s="4" t="s">
        <v>1237</v>
      </c>
      <c r="C2728" s="4" t="n">
        <v>6</v>
      </c>
      <c r="D2728" s="4" t="n">
        <v>7</v>
      </c>
      <c r="E2728" s="4" t="s">
        <v>2613</v>
      </c>
      <c r="F2728" s="4" t="n">
        <v>10</v>
      </c>
      <c r="G2728" s="4" t="n">
        <v>9</v>
      </c>
      <c r="H2728" s="4" t="n">
        <v>4</v>
      </c>
      <c r="I2728" s="4" t="str">
        <v>×</v>
      </c>
      <c r="J2728" s="4"/>
      <c r="K2728" s="4"/>
      <c r="L2728" s="4"/>
      <c r="M2728" s="5" t="s">
        <v>1871</v>
      </c>
    </row>
    <row r="2729" customFormat="false" ht="15.75" hidden="false" customHeight="false" outlineLevel="0" collapsed="false">
      <c r="A2729" s="3" t="n">
        <v>46215</v>
      </c>
      <c r="B2729" s="4" t="s">
        <v>1237</v>
      </c>
      <c r="C2729" s="4" t="n">
        <v>6</v>
      </c>
      <c r="D2729" s="4" t="n">
        <v>8</v>
      </c>
      <c r="E2729" s="4" t="s">
        <v>382</v>
      </c>
      <c r="F2729" s="4" t="n">
        <v>23</v>
      </c>
      <c r="G2729" s="4" t="n">
        <v>6</v>
      </c>
      <c r="H2729" s="4" t="n">
        <v>4</v>
      </c>
      <c r="I2729" s="4" t="str">
        <v>×</v>
      </c>
      <c r="J2729" s="4"/>
      <c r="K2729" s="4"/>
      <c r="L2729" s="4"/>
      <c r="M2729" s="5" t="s">
        <v>1871</v>
      </c>
    </row>
    <row r="2730" customFormat="false" ht="15.75" hidden="false" customHeight="false" outlineLevel="0" collapsed="false">
      <c r="A2730" s="3" t="n">
        <v>46215</v>
      </c>
      <c r="B2730" s="4" t="s">
        <v>1237</v>
      </c>
      <c r="C2730" s="4" t="n">
        <v>6</v>
      </c>
      <c r="D2730" s="4" t="n">
        <v>9</v>
      </c>
      <c r="E2730" s="4" t="s">
        <v>2614</v>
      </c>
      <c r="F2730" s="4" t="n">
        <v>1</v>
      </c>
      <c r="G2730" s="4" t="n">
        <v>15</v>
      </c>
      <c r="H2730" s="4" t="n">
        <v>4</v>
      </c>
      <c r="I2730" s="4" t="str">
        <v>×</v>
      </c>
      <c r="J2730" s="4"/>
      <c r="K2730" s="4"/>
      <c r="L2730" s="4"/>
      <c r="M2730" s="5" t="s">
        <v>1871</v>
      </c>
    </row>
    <row r="2731" customFormat="false" ht="15.75" hidden="false" customHeight="false" outlineLevel="0" collapsed="false">
      <c r="A2731" s="3" t="n">
        <v>46215</v>
      </c>
      <c r="B2731" s="4" t="s">
        <v>1237</v>
      </c>
      <c r="C2731" s="4" t="n">
        <v>6</v>
      </c>
      <c r="D2731" s="4" t="n">
        <v>10</v>
      </c>
      <c r="E2731" s="4" t="s">
        <v>2615</v>
      </c>
      <c r="F2731" s="4" t="n">
        <v>6</v>
      </c>
      <c r="G2731" s="4" t="n">
        <v>12</v>
      </c>
      <c r="H2731" s="4" t="n">
        <v>4</v>
      </c>
      <c r="I2731" s="4" t="str">
        <v>×</v>
      </c>
      <c r="J2731" s="4"/>
      <c r="K2731" s="4"/>
      <c r="L2731" s="4"/>
      <c r="M2731" s="5" t="s">
        <v>1871</v>
      </c>
    </row>
    <row r="2732" customFormat="false" ht="15.75" hidden="false" customHeight="false" outlineLevel="0" collapsed="false">
      <c r="A2732" s="3" t="n">
        <v>46215</v>
      </c>
      <c r="B2732" s="4" t="s">
        <v>1237</v>
      </c>
      <c r="C2732" s="4" t="n">
        <v>6</v>
      </c>
      <c r="D2732" s="4" t="n">
        <v>11</v>
      </c>
      <c r="E2732" s="4" t="s">
        <v>2616</v>
      </c>
      <c r="F2732" s="4" t="n">
        <v>1</v>
      </c>
      <c r="G2732" s="4" t="n">
        <v>15</v>
      </c>
      <c r="H2732" s="4" t="n">
        <v>4</v>
      </c>
      <c r="I2732" s="4" t="str">
        <v>×</v>
      </c>
      <c r="J2732" s="4"/>
      <c r="K2732" s="4"/>
      <c r="L2732" s="4"/>
      <c r="M2732" s="5" t="s">
        <v>1871</v>
      </c>
    </row>
    <row r="2733" customFormat="false" ht="15.75" hidden="false" customHeight="false" outlineLevel="0" collapsed="false">
      <c r="A2733" s="3" t="n">
        <v>46215</v>
      </c>
      <c r="B2733" s="4" t="s">
        <v>1237</v>
      </c>
      <c r="C2733" s="4" t="n">
        <v>6</v>
      </c>
      <c r="D2733" s="4" t="n">
        <v>12</v>
      </c>
      <c r="E2733" s="4" t="s">
        <v>409</v>
      </c>
      <c r="F2733" s="4" t="n">
        <v>29</v>
      </c>
      <c r="G2733" s="4" t="n">
        <v>3</v>
      </c>
      <c r="H2733" s="4" t="n">
        <v>4</v>
      </c>
      <c r="I2733" s="4" t="str">
        <v>×</v>
      </c>
      <c r="J2733" s="4"/>
      <c r="K2733" s="4"/>
      <c r="L2733" s="4"/>
      <c r="M2733" s="5" t="s">
        <v>1871</v>
      </c>
    </row>
    <row r="2734" customFormat="false" ht="15.75" hidden="false" customHeight="false" outlineLevel="0" collapsed="false">
      <c r="A2734" s="3" t="n">
        <v>46215</v>
      </c>
      <c r="B2734" s="4" t="s">
        <v>1237</v>
      </c>
      <c r="C2734" s="4" t="n">
        <v>6</v>
      </c>
      <c r="D2734" s="4" t="n">
        <v>13</v>
      </c>
      <c r="E2734" s="4" t="s">
        <v>1728</v>
      </c>
      <c r="F2734" s="4" t="n">
        <v>10</v>
      </c>
      <c r="G2734" s="4" t="n">
        <v>9</v>
      </c>
      <c r="H2734" s="4" t="n">
        <v>4</v>
      </c>
      <c r="I2734" s="4" t="str">
        <v>×</v>
      </c>
      <c r="J2734" s="4"/>
      <c r="K2734" s="4"/>
      <c r="L2734" s="4"/>
      <c r="M2734" s="5" t="s">
        <v>1871</v>
      </c>
    </row>
    <row r="2735" customFormat="false" ht="15.75" hidden="false" customHeight="false" outlineLevel="0" collapsed="false">
      <c r="A2735" s="3" t="n">
        <v>46215</v>
      </c>
      <c r="B2735" s="4" t="s">
        <v>1237</v>
      </c>
      <c r="C2735" s="4" t="n">
        <v>6</v>
      </c>
      <c r="D2735" s="4" t="n">
        <v>14</v>
      </c>
      <c r="E2735" s="4" t="s">
        <v>2617</v>
      </c>
      <c r="F2735" s="4" t="n">
        <v>66</v>
      </c>
      <c r="G2735" s="4" t="n">
        <v>1</v>
      </c>
      <c r="H2735" s="4" t="n">
        <v>4</v>
      </c>
      <c r="I2735" s="4" t="str">
        <v>×</v>
      </c>
      <c r="J2735" s="4"/>
      <c r="K2735" s="4"/>
      <c r="L2735" s="4"/>
      <c r="M2735" s="5" t="s">
        <v>1871</v>
      </c>
    </row>
    <row r="2736" customFormat="false" ht="15.75" hidden="false" customHeight="false" outlineLevel="0" collapsed="false">
      <c r="A2736" s="3" t="n">
        <v>46215</v>
      </c>
      <c r="B2736" s="4" t="s">
        <v>1237</v>
      </c>
      <c r="C2736" s="4" t="n">
        <v>6</v>
      </c>
      <c r="D2736" s="4" t="n">
        <v>15</v>
      </c>
      <c r="E2736" s="4" t="s">
        <v>2618</v>
      </c>
      <c r="F2736" s="4" t="n">
        <v>4</v>
      </c>
      <c r="G2736" s="4" t="n">
        <v>13</v>
      </c>
      <c r="H2736" s="4" t="n">
        <v>4</v>
      </c>
      <c r="I2736" s="4" t="str">
        <v>×</v>
      </c>
      <c r="J2736" s="4"/>
      <c r="K2736" s="4"/>
      <c r="L2736" s="4"/>
      <c r="M2736" s="5" t="s">
        <v>1871</v>
      </c>
    </row>
    <row r="2737" customFormat="false" ht="15.75" hidden="false" customHeight="false" outlineLevel="0" collapsed="false">
      <c r="A2737" s="3" t="n">
        <v>46215</v>
      </c>
      <c r="B2737" s="4" t="s">
        <v>1237</v>
      </c>
      <c r="C2737" s="4" t="n">
        <v>6</v>
      </c>
      <c r="D2737" s="4" t="n">
        <v>16</v>
      </c>
      <c r="E2737" s="4" t="s">
        <v>2619</v>
      </c>
      <c r="F2737" s="4" t="n">
        <v>13</v>
      </c>
      <c r="G2737" s="4" t="n">
        <v>8</v>
      </c>
      <c r="H2737" s="4" t="n">
        <v>4</v>
      </c>
      <c r="I2737" s="4" t="str">
        <v>×</v>
      </c>
      <c r="J2737" s="4"/>
      <c r="K2737" s="4"/>
      <c r="L2737" s="4"/>
      <c r="M2737" s="5" t="s">
        <v>1871</v>
      </c>
    </row>
    <row r="2738" customFormat="false" ht="15.75" hidden="false" customHeight="false" outlineLevel="0" collapsed="false">
      <c r="A2738" s="3" t="n">
        <v>46215</v>
      </c>
      <c r="B2738" s="4" t="s">
        <v>1237</v>
      </c>
      <c r="C2738" s="4" t="n">
        <v>7</v>
      </c>
      <c r="D2738" s="4" t="n">
        <v>1</v>
      </c>
      <c r="E2738" s="4" t="s">
        <v>2620</v>
      </c>
      <c r="F2738" s="4" t="n">
        <v>23</v>
      </c>
      <c r="G2738" s="4" t="n">
        <v>6</v>
      </c>
      <c r="H2738" s="4" t="n">
        <v>4</v>
      </c>
      <c r="I2738" s="4" t="str">
        <v>×</v>
      </c>
      <c r="J2738" s="4"/>
      <c r="K2738" s="4"/>
      <c r="L2738" s="4"/>
      <c r="M2738" s="5" t="s">
        <v>1871</v>
      </c>
    </row>
    <row r="2739" customFormat="false" ht="15.75" hidden="false" customHeight="false" outlineLevel="0" collapsed="false">
      <c r="A2739" s="3" t="n">
        <v>46215</v>
      </c>
      <c r="B2739" s="4" t="s">
        <v>1237</v>
      </c>
      <c r="C2739" s="4" t="n">
        <v>7</v>
      </c>
      <c r="D2739" s="4" t="n">
        <v>2</v>
      </c>
      <c r="E2739" s="4" t="s">
        <v>2621</v>
      </c>
      <c r="F2739" s="4" t="n">
        <v>52</v>
      </c>
      <c r="G2739" s="4" t="n">
        <v>2</v>
      </c>
      <c r="H2739" s="4" t="n">
        <v>2</v>
      </c>
      <c r="I2739" s="4" t="str">
        <v>○</v>
      </c>
      <c r="J2739" s="4" t="n">
        <v>150</v>
      </c>
      <c r="K2739" s="4"/>
      <c r="L2739" s="4"/>
      <c r="M2739" s="5" t="s">
        <v>1871</v>
      </c>
    </row>
    <row r="2740" customFormat="false" ht="15.75" hidden="false" customHeight="false" outlineLevel="0" collapsed="false">
      <c r="A2740" s="3" t="n">
        <v>46215</v>
      </c>
      <c r="B2740" s="4" t="s">
        <v>1237</v>
      </c>
      <c r="C2740" s="4" t="n">
        <v>7</v>
      </c>
      <c r="D2740" s="4" t="n">
        <v>3</v>
      </c>
      <c r="E2740" s="4" t="s">
        <v>2622</v>
      </c>
      <c r="F2740" s="4" t="n">
        <v>13</v>
      </c>
      <c r="G2740" s="4" t="n">
        <v>8</v>
      </c>
      <c r="H2740" s="4" t="n">
        <v>4</v>
      </c>
      <c r="I2740" s="4" t="str">
        <v>×</v>
      </c>
      <c r="J2740" s="4"/>
      <c r="K2740" s="4"/>
      <c r="L2740" s="4"/>
      <c r="M2740" s="5" t="s">
        <v>1871</v>
      </c>
    </row>
    <row r="2741" customFormat="false" ht="15.75" hidden="false" customHeight="false" outlineLevel="0" collapsed="false">
      <c r="A2741" s="3" t="n">
        <v>46215</v>
      </c>
      <c r="B2741" s="4" t="s">
        <v>1237</v>
      </c>
      <c r="C2741" s="4" t="n">
        <v>7</v>
      </c>
      <c r="D2741" s="4" t="n">
        <v>4</v>
      </c>
      <c r="E2741" s="4" t="s">
        <v>1804</v>
      </c>
      <c r="F2741" s="4" t="n">
        <v>6</v>
      </c>
      <c r="G2741" s="4" t="n">
        <v>9</v>
      </c>
      <c r="H2741" s="4" t="n">
        <v>3</v>
      </c>
      <c r="I2741" s="4" t="str">
        <v>○</v>
      </c>
      <c r="J2741" s="4" t="n">
        <v>900</v>
      </c>
      <c r="K2741" s="4"/>
      <c r="L2741" s="4"/>
      <c r="M2741" s="5" t="s">
        <v>1871</v>
      </c>
    </row>
    <row r="2742" customFormat="false" ht="15.75" hidden="false" customHeight="false" outlineLevel="0" collapsed="false">
      <c r="A2742" s="3" t="n">
        <v>46215</v>
      </c>
      <c r="B2742" s="4" t="s">
        <v>1237</v>
      </c>
      <c r="C2742" s="4" t="n">
        <v>7</v>
      </c>
      <c r="D2742" s="4" t="n">
        <v>5</v>
      </c>
      <c r="E2742" s="4" t="s">
        <v>2623</v>
      </c>
      <c r="F2742" s="4" t="n">
        <v>25</v>
      </c>
      <c r="G2742" s="4" t="n">
        <v>5</v>
      </c>
      <c r="H2742" s="4" t="n">
        <v>4</v>
      </c>
      <c r="I2742" s="4" t="str">
        <v>×</v>
      </c>
      <c r="J2742" s="4"/>
      <c r="K2742" s="4"/>
      <c r="L2742" s="4"/>
      <c r="M2742" s="5" t="s">
        <v>1871</v>
      </c>
    </row>
    <row r="2743" customFormat="false" ht="15.75" hidden="false" customHeight="false" outlineLevel="0" collapsed="false">
      <c r="A2743" s="3" t="n">
        <v>46215</v>
      </c>
      <c r="B2743" s="4" t="s">
        <v>1237</v>
      </c>
      <c r="C2743" s="4" t="n">
        <v>7</v>
      </c>
      <c r="D2743" s="4" t="n">
        <v>6</v>
      </c>
      <c r="E2743" s="4" t="s">
        <v>876</v>
      </c>
      <c r="F2743" s="4" t="n">
        <v>20</v>
      </c>
      <c r="G2743" s="4" t="n">
        <v>7</v>
      </c>
      <c r="H2743" s="4" t="n">
        <v>4</v>
      </c>
      <c r="I2743" s="4" t="str">
        <v>×</v>
      </c>
      <c r="J2743" s="4"/>
      <c r="K2743" s="4"/>
      <c r="L2743" s="4"/>
      <c r="M2743" s="5" t="s">
        <v>1871</v>
      </c>
    </row>
    <row r="2744" customFormat="false" ht="15.75" hidden="false" customHeight="false" outlineLevel="0" collapsed="false">
      <c r="A2744" s="3" t="n">
        <v>46215</v>
      </c>
      <c r="B2744" s="4" t="s">
        <v>1237</v>
      </c>
      <c r="C2744" s="4" t="n">
        <v>7</v>
      </c>
      <c r="D2744" s="4" t="n">
        <v>7</v>
      </c>
      <c r="E2744" s="4" t="s">
        <v>2624</v>
      </c>
      <c r="F2744" s="4" t="n">
        <v>41</v>
      </c>
      <c r="G2744" s="4" t="n">
        <v>3</v>
      </c>
      <c r="H2744" s="4" t="n">
        <v>4</v>
      </c>
      <c r="I2744" s="4" t="str">
        <v>×</v>
      </c>
      <c r="J2744" s="4"/>
      <c r="K2744" s="4"/>
      <c r="L2744" s="4"/>
      <c r="M2744" s="5" t="s">
        <v>1871</v>
      </c>
    </row>
    <row r="2745" customFormat="false" ht="15.75" hidden="false" customHeight="false" outlineLevel="0" collapsed="false">
      <c r="A2745" s="3" t="n">
        <v>46215</v>
      </c>
      <c r="B2745" s="4" t="s">
        <v>1237</v>
      </c>
      <c r="C2745" s="4" t="n">
        <v>7</v>
      </c>
      <c r="D2745" s="4" t="n">
        <v>8</v>
      </c>
      <c r="E2745" s="4" t="s">
        <v>2625</v>
      </c>
      <c r="F2745" s="4" t="n">
        <v>34</v>
      </c>
      <c r="G2745" s="4" t="n">
        <v>4</v>
      </c>
      <c r="H2745" s="4" t="n">
        <v>4</v>
      </c>
      <c r="I2745" s="4" t="str">
        <v>×</v>
      </c>
      <c r="J2745" s="4"/>
      <c r="K2745" s="4"/>
      <c r="L2745" s="4"/>
      <c r="M2745" s="5" t="s">
        <v>1871</v>
      </c>
    </row>
    <row r="2746" customFormat="false" ht="15.75" hidden="false" customHeight="false" outlineLevel="0" collapsed="false">
      <c r="A2746" s="3" t="n">
        <v>46215</v>
      </c>
      <c r="B2746" s="4" t="s">
        <v>1237</v>
      </c>
      <c r="C2746" s="4" t="n">
        <v>7</v>
      </c>
      <c r="D2746" s="4" t="n">
        <v>9</v>
      </c>
      <c r="E2746" s="4" t="s">
        <v>2626</v>
      </c>
      <c r="F2746" s="4" t="n">
        <v>65</v>
      </c>
      <c r="G2746" s="4" t="n">
        <v>1</v>
      </c>
      <c r="H2746" s="4" t="n">
        <v>1</v>
      </c>
      <c r="I2746" s="4" t="str">
        <v>○</v>
      </c>
      <c r="J2746" s="4" t="n">
        <v>160</v>
      </c>
      <c r="K2746" s="4"/>
      <c r="L2746" s="4"/>
      <c r="M2746" s="5" t="s">
        <v>1871</v>
      </c>
    </row>
    <row r="2747" customFormat="false" ht="15.75" hidden="false" customHeight="false" outlineLevel="0" collapsed="false">
      <c r="A2747" s="3" t="n">
        <v>46215</v>
      </c>
      <c r="B2747" s="4" t="s">
        <v>1237</v>
      </c>
      <c r="C2747" s="4" t="n">
        <v>8</v>
      </c>
      <c r="D2747" s="4" t="n">
        <v>1</v>
      </c>
      <c r="E2747" s="4" t="s">
        <v>2627</v>
      </c>
      <c r="F2747" s="4" t="n">
        <v>23</v>
      </c>
      <c r="G2747" s="4" t="n">
        <v>5</v>
      </c>
      <c r="H2747" s="4" t="n">
        <v>4</v>
      </c>
      <c r="I2747" s="4" t="str">
        <v>×</v>
      </c>
      <c r="J2747" s="4"/>
      <c r="K2747" s="4"/>
      <c r="L2747" s="4"/>
      <c r="M2747" s="5" t="s">
        <v>1871</v>
      </c>
    </row>
    <row r="2748" customFormat="false" ht="15.75" hidden="false" customHeight="false" outlineLevel="0" collapsed="false">
      <c r="A2748" s="3" t="n">
        <v>46215</v>
      </c>
      <c r="B2748" s="4" t="s">
        <v>1237</v>
      </c>
      <c r="C2748" s="4" t="n">
        <v>8</v>
      </c>
      <c r="D2748" s="4" t="n">
        <v>2</v>
      </c>
      <c r="E2748" s="4" t="s">
        <v>2628</v>
      </c>
      <c r="F2748" s="4" t="n">
        <v>39</v>
      </c>
      <c r="G2748" s="4" t="n">
        <v>2</v>
      </c>
      <c r="H2748" s="4" t="n">
        <v>1</v>
      </c>
      <c r="I2748" s="4" t="str">
        <v>○</v>
      </c>
      <c r="J2748" s="4" t="n">
        <v>170</v>
      </c>
      <c r="K2748" s="4"/>
      <c r="L2748" s="4"/>
      <c r="M2748" s="5" t="s">
        <v>1871</v>
      </c>
    </row>
    <row r="2749" customFormat="false" ht="15.75" hidden="false" customHeight="false" outlineLevel="0" collapsed="false">
      <c r="A2749" s="3" t="n">
        <v>46215</v>
      </c>
      <c r="B2749" s="4" t="s">
        <v>1237</v>
      </c>
      <c r="C2749" s="4" t="n">
        <v>8</v>
      </c>
      <c r="D2749" s="4" t="n">
        <v>3</v>
      </c>
      <c r="E2749" s="4" t="s">
        <v>2629</v>
      </c>
      <c r="F2749" s="4" t="n">
        <v>10</v>
      </c>
      <c r="G2749" s="4" t="n">
        <v>11</v>
      </c>
      <c r="H2749" s="4" t="n">
        <v>4</v>
      </c>
      <c r="I2749" s="4" t="str">
        <v>×</v>
      </c>
      <c r="J2749" s="4"/>
      <c r="K2749" s="4"/>
      <c r="L2749" s="4"/>
      <c r="M2749" s="5" t="s">
        <v>1871</v>
      </c>
    </row>
    <row r="2750" customFormat="false" ht="15.75" hidden="false" customHeight="false" outlineLevel="0" collapsed="false">
      <c r="A2750" s="3" t="n">
        <v>46215</v>
      </c>
      <c r="B2750" s="4" t="s">
        <v>1237</v>
      </c>
      <c r="C2750" s="4" t="n">
        <v>8</v>
      </c>
      <c r="D2750" s="4" t="n">
        <v>4</v>
      </c>
      <c r="E2750" s="4" t="s">
        <v>2630</v>
      </c>
      <c r="F2750" s="4" t="n">
        <v>20</v>
      </c>
      <c r="G2750" s="4" t="n">
        <v>6</v>
      </c>
      <c r="H2750" s="4" t="n">
        <v>4</v>
      </c>
      <c r="I2750" s="4" t="str">
        <v>×</v>
      </c>
      <c r="J2750" s="4"/>
      <c r="K2750" s="4"/>
      <c r="L2750" s="4"/>
      <c r="M2750" s="5" t="s">
        <v>1871</v>
      </c>
    </row>
    <row r="2751" customFormat="false" ht="15.75" hidden="false" customHeight="false" outlineLevel="0" collapsed="false">
      <c r="A2751" s="3" t="n">
        <v>46215</v>
      </c>
      <c r="B2751" s="4" t="s">
        <v>1237</v>
      </c>
      <c r="C2751" s="4" t="n">
        <v>8</v>
      </c>
      <c r="D2751" s="4" t="n">
        <v>5</v>
      </c>
      <c r="E2751" s="4" t="s">
        <v>2631</v>
      </c>
      <c r="F2751" s="4" t="n">
        <v>25</v>
      </c>
      <c r="G2751" s="4" t="n">
        <v>4</v>
      </c>
      <c r="H2751" s="4" t="n">
        <v>4</v>
      </c>
      <c r="I2751" s="4" t="str">
        <v>×</v>
      </c>
      <c r="J2751" s="4"/>
      <c r="K2751" s="4"/>
      <c r="L2751" s="4"/>
      <c r="M2751" s="5" t="s">
        <v>1871</v>
      </c>
    </row>
    <row r="2752" customFormat="false" ht="15.75" hidden="false" customHeight="false" outlineLevel="0" collapsed="false">
      <c r="A2752" s="3" t="n">
        <v>46215</v>
      </c>
      <c r="B2752" s="4" t="s">
        <v>1237</v>
      </c>
      <c r="C2752" s="4" t="n">
        <v>8</v>
      </c>
      <c r="D2752" s="4" t="n">
        <v>6</v>
      </c>
      <c r="E2752" s="4" t="s">
        <v>911</v>
      </c>
      <c r="F2752" s="4" t="n">
        <v>17</v>
      </c>
      <c r="G2752" s="4" t="n">
        <v>8</v>
      </c>
      <c r="H2752" s="4" t="n">
        <v>4</v>
      </c>
      <c r="I2752" s="4" t="str">
        <v>×</v>
      </c>
      <c r="J2752" s="4"/>
      <c r="K2752" s="4"/>
      <c r="L2752" s="4"/>
      <c r="M2752" s="5" t="s">
        <v>1871</v>
      </c>
    </row>
    <row r="2753" customFormat="false" ht="15.75" hidden="false" customHeight="false" outlineLevel="0" collapsed="false">
      <c r="A2753" s="3" t="n">
        <v>46215</v>
      </c>
      <c r="B2753" s="4" t="s">
        <v>1237</v>
      </c>
      <c r="C2753" s="4" t="n">
        <v>8</v>
      </c>
      <c r="D2753" s="4" t="n">
        <v>7</v>
      </c>
      <c r="E2753" s="4" t="s">
        <v>2632</v>
      </c>
      <c r="F2753" s="4" t="n">
        <v>31</v>
      </c>
      <c r="G2753" s="4" t="n">
        <v>3</v>
      </c>
      <c r="H2753" s="4" t="n">
        <v>4</v>
      </c>
      <c r="I2753" s="4" t="str">
        <v>×</v>
      </c>
      <c r="J2753" s="4"/>
      <c r="K2753" s="4"/>
      <c r="L2753" s="4"/>
      <c r="M2753" s="5" t="s">
        <v>1871</v>
      </c>
    </row>
    <row r="2754" customFormat="false" ht="15.75" hidden="false" customHeight="false" outlineLevel="0" collapsed="false">
      <c r="A2754" s="3" t="n">
        <v>46215</v>
      </c>
      <c r="B2754" s="4" t="s">
        <v>1237</v>
      </c>
      <c r="C2754" s="4" t="n">
        <v>8</v>
      </c>
      <c r="D2754" s="4" t="n">
        <v>8</v>
      </c>
      <c r="E2754" s="4" t="s">
        <v>2633</v>
      </c>
      <c r="F2754" s="4" t="n">
        <v>20</v>
      </c>
      <c r="G2754" s="4" t="n">
        <v>6</v>
      </c>
      <c r="H2754" s="4" t="n">
        <v>3</v>
      </c>
      <c r="I2754" s="4" t="str">
        <v>○</v>
      </c>
      <c r="J2754" s="4" t="n">
        <v>260</v>
      </c>
      <c r="K2754" s="4"/>
      <c r="L2754" s="4"/>
      <c r="M2754" s="5" t="s">
        <v>1871</v>
      </c>
    </row>
    <row r="2755" customFormat="false" ht="15.75" hidden="false" customHeight="false" outlineLevel="0" collapsed="false">
      <c r="A2755" s="3" t="n">
        <v>46215</v>
      </c>
      <c r="B2755" s="4" t="s">
        <v>1237</v>
      </c>
      <c r="C2755" s="4" t="n">
        <v>8</v>
      </c>
      <c r="D2755" s="4" t="n">
        <v>9</v>
      </c>
      <c r="E2755" s="4" t="s">
        <v>2634</v>
      </c>
      <c r="F2755" s="4" t="n">
        <v>66</v>
      </c>
      <c r="G2755" s="4" t="n">
        <v>1</v>
      </c>
      <c r="H2755" s="4" t="n">
        <v>2</v>
      </c>
      <c r="I2755" s="4" t="str">
        <v>○</v>
      </c>
      <c r="J2755" s="4" t="n">
        <v>140</v>
      </c>
      <c r="K2755" s="4"/>
      <c r="L2755" s="4"/>
      <c r="M2755" s="5" t="s">
        <v>1871</v>
      </c>
    </row>
    <row r="2756" customFormat="false" ht="15.75" hidden="false" customHeight="false" outlineLevel="0" collapsed="false">
      <c r="A2756" s="3" t="n">
        <v>46215</v>
      </c>
      <c r="B2756" s="4" t="s">
        <v>1237</v>
      </c>
      <c r="C2756" s="4" t="n">
        <v>8</v>
      </c>
      <c r="D2756" s="4" t="n">
        <v>10</v>
      </c>
      <c r="E2756" s="4" t="s">
        <v>2635</v>
      </c>
      <c r="F2756" s="4" t="n">
        <v>17</v>
      </c>
      <c r="G2756" s="4" t="n">
        <v>8</v>
      </c>
      <c r="H2756" s="4" t="n">
        <v>4</v>
      </c>
      <c r="I2756" s="4" t="str">
        <v>×</v>
      </c>
      <c r="J2756" s="4"/>
      <c r="K2756" s="4"/>
      <c r="L2756" s="4"/>
      <c r="M2756" s="5" t="s">
        <v>1871</v>
      </c>
    </row>
    <row r="2757" customFormat="false" ht="15.75" hidden="false" customHeight="false" outlineLevel="0" collapsed="false">
      <c r="A2757" s="3" t="n">
        <v>46215</v>
      </c>
      <c r="B2757" s="4" t="s">
        <v>1237</v>
      </c>
      <c r="C2757" s="4" t="n">
        <v>8</v>
      </c>
      <c r="D2757" s="4" t="n">
        <v>11</v>
      </c>
      <c r="E2757" s="4" t="s">
        <v>2636</v>
      </c>
      <c r="F2757" s="4" t="n">
        <v>15</v>
      </c>
      <c r="G2757" s="4" t="n">
        <v>10</v>
      </c>
      <c r="H2757" s="4" t="n">
        <v>4</v>
      </c>
      <c r="I2757" s="4" t="str">
        <v>×</v>
      </c>
      <c r="J2757" s="4"/>
      <c r="K2757" s="4"/>
      <c r="L2757" s="4"/>
      <c r="M2757" s="5" t="s">
        <v>1871</v>
      </c>
    </row>
    <row r="2758" customFormat="false" ht="15.75" hidden="false" customHeight="false" outlineLevel="0" collapsed="false">
      <c r="A2758" s="3" t="n">
        <v>46215</v>
      </c>
      <c r="B2758" s="4" t="s">
        <v>1237</v>
      </c>
      <c r="C2758" s="4" t="n">
        <v>9</v>
      </c>
      <c r="D2758" s="4" t="n">
        <v>1</v>
      </c>
      <c r="E2758" s="4" t="s">
        <v>2637</v>
      </c>
      <c r="F2758" s="4" t="n">
        <v>23</v>
      </c>
      <c r="G2758" s="4" t="n">
        <v>9</v>
      </c>
      <c r="H2758" s="4" t="n">
        <v>1</v>
      </c>
      <c r="I2758" s="4" t="str">
        <v>○</v>
      </c>
      <c r="J2758" s="4" t="n">
        <v>300</v>
      </c>
      <c r="K2758" s="4"/>
      <c r="L2758" s="4"/>
      <c r="M2758" s="5" t="s">
        <v>1871</v>
      </c>
    </row>
    <row r="2759" customFormat="false" ht="15.75" hidden="false" customHeight="false" outlineLevel="0" collapsed="false">
      <c r="A2759" s="3" t="n">
        <v>46215</v>
      </c>
      <c r="B2759" s="4" t="s">
        <v>1237</v>
      </c>
      <c r="C2759" s="4" t="n">
        <v>9</v>
      </c>
      <c r="D2759" s="4" t="n">
        <v>2</v>
      </c>
      <c r="E2759" s="4" t="s">
        <v>891</v>
      </c>
      <c r="F2759" s="4" t="n">
        <v>23</v>
      </c>
      <c r="G2759" s="4" t="n">
        <v>9</v>
      </c>
      <c r="H2759" s="4" t="n">
        <v>3</v>
      </c>
      <c r="I2759" s="4" t="str">
        <v>○</v>
      </c>
      <c r="J2759" s="4" t="n">
        <v>380</v>
      </c>
      <c r="K2759" s="4"/>
      <c r="L2759" s="4"/>
      <c r="M2759" s="5" t="s">
        <v>1871</v>
      </c>
    </row>
    <row r="2760" customFormat="false" ht="15.75" hidden="false" customHeight="false" outlineLevel="0" collapsed="false">
      <c r="A2760" s="3" t="n">
        <v>46215</v>
      </c>
      <c r="B2760" s="4" t="s">
        <v>1237</v>
      </c>
      <c r="C2760" s="4" t="n">
        <v>9</v>
      </c>
      <c r="D2760" s="4" t="n">
        <v>3</v>
      </c>
      <c r="E2760" s="4" t="s">
        <v>2638</v>
      </c>
      <c r="F2760" s="4" t="n">
        <v>29</v>
      </c>
      <c r="G2760" s="4" t="n">
        <v>4</v>
      </c>
      <c r="H2760" s="4" t="n">
        <v>4</v>
      </c>
      <c r="I2760" s="4" t="str">
        <v>×</v>
      </c>
      <c r="J2760" s="4"/>
      <c r="K2760" s="4"/>
      <c r="L2760" s="4"/>
      <c r="M2760" s="5" t="s">
        <v>1871</v>
      </c>
    </row>
    <row r="2761" customFormat="false" ht="15.75" hidden="false" customHeight="false" outlineLevel="0" collapsed="false">
      <c r="A2761" s="3" t="n">
        <v>46215</v>
      </c>
      <c r="B2761" s="4" t="s">
        <v>1237</v>
      </c>
      <c r="C2761" s="4" t="n">
        <v>9</v>
      </c>
      <c r="D2761" s="4" t="n">
        <v>4</v>
      </c>
      <c r="E2761" s="4" t="s">
        <v>2639</v>
      </c>
      <c r="F2761" s="4" t="n">
        <v>52</v>
      </c>
      <c r="G2761" s="4" t="n">
        <v>1</v>
      </c>
      <c r="H2761" s="4" t="n">
        <v>4</v>
      </c>
      <c r="I2761" s="4" t="str">
        <v>×</v>
      </c>
      <c r="J2761" s="4"/>
      <c r="K2761" s="4"/>
      <c r="L2761" s="4"/>
      <c r="M2761" s="5" t="s">
        <v>1871</v>
      </c>
    </row>
    <row r="2762" customFormat="false" ht="15.75" hidden="false" customHeight="false" outlineLevel="0" collapsed="false">
      <c r="A2762" s="3" t="n">
        <v>46215</v>
      </c>
      <c r="B2762" s="4" t="s">
        <v>1237</v>
      </c>
      <c r="C2762" s="4" t="n">
        <v>9</v>
      </c>
      <c r="D2762" s="4" t="n">
        <v>5</v>
      </c>
      <c r="E2762" s="4" t="s">
        <v>2640</v>
      </c>
      <c r="F2762" s="4" t="n">
        <v>29</v>
      </c>
      <c r="G2762" s="4" t="n">
        <v>4</v>
      </c>
      <c r="H2762" s="4" t="n">
        <v>2</v>
      </c>
      <c r="I2762" s="4" t="str">
        <v>○</v>
      </c>
      <c r="J2762" s="4" t="n">
        <v>220</v>
      </c>
      <c r="K2762" s="4"/>
      <c r="L2762" s="4"/>
      <c r="M2762" s="5" t="s">
        <v>1871</v>
      </c>
    </row>
    <row r="2763" customFormat="false" ht="15.75" hidden="false" customHeight="false" outlineLevel="0" collapsed="false">
      <c r="A2763" s="3" t="n">
        <v>46215</v>
      </c>
      <c r="B2763" s="4" t="s">
        <v>1237</v>
      </c>
      <c r="C2763" s="4" t="n">
        <v>9</v>
      </c>
      <c r="D2763" s="4" t="n">
        <v>6</v>
      </c>
      <c r="E2763" s="4" t="s">
        <v>2641</v>
      </c>
      <c r="F2763" s="4" t="n">
        <v>29</v>
      </c>
      <c r="G2763" s="4" t="n">
        <v>4</v>
      </c>
      <c r="H2763" s="4" t="n">
        <v>4</v>
      </c>
      <c r="I2763" s="4" t="str">
        <v>×</v>
      </c>
      <c r="J2763" s="4"/>
      <c r="K2763" s="4"/>
      <c r="L2763" s="4"/>
      <c r="M2763" s="5" t="s">
        <v>1871</v>
      </c>
    </row>
    <row r="2764" customFormat="false" ht="15.75" hidden="false" customHeight="false" outlineLevel="0" collapsed="false">
      <c r="A2764" s="3" t="n">
        <v>46215</v>
      </c>
      <c r="B2764" s="4" t="s">
        <v>1237</v>
      </c>
      <c r="C2764" s="4" t="n">
        <v>9</v>
      </c>
      <c r="D2764" s="4" t="n">
        <v>7</v>
      </c>
      <c r="E2764" s="4" t="s">
        <v>1828</v>
      </c>
      <c r="F2764" s="4" t="n">
        <v>3</v>
      </c>
      <c r="G2764" s="4" t="n">
        <v>14</v>
      </c>
      <c r="H2764" s="4" t="n">
        <v>4</v>
      </c>
      <c r="I2764" s="4" t="str">
        <v>×</v>
      </c>
      <c r="J2764" s="4"/>
      <c r="K2764" s="4"/>
      <c r="L2764" s="4"/>
      <c r="M2764" s="5" t="s">
        <v>1871</v>
      </c>
    </row>
    <row r="2765" customFormat="false" ht="15.75" hidden="false" customHeight="false" outlineLevel="0" collapsed="false">
      <c r="A2765" s="3" t="n">
        <v>46215</v>
      </c>
      <c r="B2765" s="4" t="s">
        <v>1237</v>
      </c>
      <c r="C2765" s="4" t="n">
        <v>9</v>
      </c>
      <c r="D2765" s="4" t="n">
        <v>8</v>
      </c>
      <c r="E2765" s="4" t="s">
        <v>2642</v>
      </c>
      <c r="F2765" s="4" t="n">
        <v>41</v>
      </c>
      <c r="G2765" s="4" t="n">
        <v>2</v>
      </c>
      <c r="H2765" s="4" t="n">
        <v>4</v>
      </c>
      <c r="I2765" s="4" t="str">
        <v>×</v>
      </c>
      <c r="J2765" s="4"/>
      <c r="K2765" s="4"/>
      <c r="L2765" s="4"/>
      <c r="M2765" s="5" t="s">
        <v>1871</v>
      </c>
    </row>
    <row r="2766" customFormat="false" ht="15.75" hidden="false" customHeight="false" outlineLevel="0" collapsed="false">
      <c r="A2766" s="3" t="n">
        <v>46215</v>
      </c>
      <c r="B2766" s="4" t="s">
        <v>1237</v>
      </c>
      <c r="C2766" s="4" t="n">
        <v>9</v>
      </c>
      <c r="D2766" s="4" t="n">
        <v>9</v>
      </c>
      <c r="E2766" s="4" t="s">
        <v>1827</v>
      </c>
      <c r="F2766" s="4" t="n">
        <v>6</v>
      </c>
      <c r="G2766" s="4" t="n">
        <v>13</v>
      </c>
      <c r="H2766" s="4" t="n">
        <v>4</v>
      </c>
      <c r="I2766" s="4" t="str">
        <v>×</v>
      </c>
      <c r="J2766" s="4"/>
      <c r="K2766" s="4"/>
      <c r="L2766" s="4"/>
      <c r="M2766" s="5" t="s">
        <v>1871</v>
      </c>
    </row>
    <row r="2767" customFormat="false" ht="15.75" hidden="false" customHeight="false" outlineLevel="0" collapsed="false">
      <c r="A2767" s="3" t="n">
        <v>46215</v>
      </c>
      <c r="B2767" s="4" t="s">
        <v>1237</v>
      </c>
      <c r="C2767" s="4" t="n">
        <v>9</v>
      </c>
      <c r="D2767" s="4" t="n">
        <v>10</v>
      </c>
      <c r="E2767" s="4" t="s">
        <v>2643</v>
      </c>
      <c r="F2767" s="4" t="n">
        <v>34</v>
      </c>
      <c r="G2767" s="4" t="n">
        <v>3</v>
      </c>
      <c r="H2767" s="4" t="n">
        <v>4</v>
      </c>
      <c r="I2767" s="4" t="str">
        <v>×</v>
      </c>
      <c r="J2767" s="4"/>
      <c r="K2767" s="4"/>
      <c r="L2767" s="4"/>
      <c r="M2767" s="5" t="s">
        <v>1871</v>
      </c>
    </row>
    <row r="2768" customFormat="false" ht="15.75" hidden="false" customHeight="false" outlineLevel="0" collapsed="false">
      <c r="A2768" s="3" t="n">
        <v>46215</v>
      </c>
      <c r="B2768" s="4" t="s">
        <v>1237</v>
      </c>
      <c r="C2768" s="4" t="n">
        <v>9</v>
      </c>
      <c r="D2768" s="4" t="n">
        <v>11</v>
      </c>
      <c r="E2768" s="4" t="s">
        <v>439</v>
      </c>
      <c r="F2768" s="4" t="n">
        <v>15</v>
      </c>
      <c r="G2768" s="4" t="n">
        <v>11</v>
      </c>
      <c r="H2768" s="4" t="n">
        <v>4</v>
      </c>
      <c r="I2768" s="4" t="str">
        <v>×</v>
      </c>
      <c r="J2768" s="4"/>
      <c r="K2768" s="4"/>
      <c r="L2768" s="4"/>
      <c r="M2768" s="5" t="s">
        <v>1871</v>
      </c>
    </row>
    <row r="2769" customFormat="false" ht="15.75" hidden="false" customHeight="false" outlineLevel="0" collapsed="false">
      <c r="A2769" s="3" t="n">
        <v>46215</v>
      </c>
      <c r="B2769" s="4" t="s">
        <v>1237</v>
      </c>
      <c r="C2769" s="4" t="n">
        <v>9</v>
      </c>
      <c r="D2769" s="4" t="n">
        <v>12</v>
      </c>
      <c r="E2769" s="4" t="s">
        <v>2644</v>
      </c>
      <c r="F2769" s="4" t="n">
        <v>25</v>
      </c>
      <c r="G2769" s="4" t="n">
        <v>8</v>
      </c>
      <c r="H2769" s="4" t="n">
        <v>4</v>
      </c>
      <c r="I2769" s="4" t="str">
        <v>×</v>
      </c>
      <c r="J2769" s="4"/>
      <c r="K2769" s="4"/>
      <c r="L2769" s="4"/>
      <c r="M2769" s="5" t="s">
        <v>1871</v>
      </c>
    </row>
    <row r="2770" customFormat="false" ht="15.75" hidden="false" customHeight="false" outlineLevel="0" collapsed="false">
      <c r="A2770" s="3" t="n">
        <v>46215</v>
      </c>
      <c r="B2770" s="4" t="s">
        <v>1237</v>
      </c>
      <c r="C2770" s="4" t="n">
        <v>9</v>
      </c>
      <c r="D2770" s="4" t="n">
        <v>13</v>
      </c>
      <c r="E2770" s="4" t="s">
        <v>2645</v>
      </c>
      <c r="F2770" s="4" t="n">
        <v>10</v>
      </c>
      <c r="G2770" s="4" t="n">
        <v>12</v>
      </c>
      <c r="H2770" s="4" t="n">
        <v>4</v>
      </c>
      <c r="I2770" s="4" t="str">
        <v>×</v>
      </c>
      <c r="J2770" s="4"/>
      <c r="K2770" s="4"/>
      <c r="L2770" s="4"/>
      <c r="M2770" s="5" t="s">
        <v>1871</v>
      </c>
    </row>
    <row r="2771" customFormat="false" ht="15.75" hidden="false" customHeight="false" outlineLevel="0" collapsed="false">
      <c r="A2771" s="3" t="n">
        <v>46215</v>
      </c>
      <c r="B2771" s="4" t="s">
        <v>1237</v>
      </c>
      <c r="C2771" s="4" t="n">
        <v>9</v>
      </c>
      <c r="D2771" s="4" t="n">
        <v>14</v>
      </c>
      <c r="E2771" s="4" t="s">
        <v>2646</v>
      </c>
      <c r="F2771" s="4" t="n">
        <v>29</v>
      </c>
      <c r="G2771" s="4" t="n">
        <v>4</v>
      </c>
      <c r="H2771" s="4" t="n">
        <v>4</v>
      </c>
      <c r="I2771" s="4" t="str">
        <v>×</v>
      </c>
      <c r="J2771" s="4"/>
      <c r="K2771" s="4"/>
      <c r="L2771" s="4"/>
      <c r="M2771" s="5" t="s">
        <v>1871</v>
      </c>
    </row>
    <row r="2772" customFormat="false" ht="15.75" hidden="false" customHeight="false" outlineLevel="0" collapsed="false">
      <c r="A2772" s="3" t="n">
        <v>46215</v>
      </c>
      <c r="B2772" s="4" t="s">
        <v>1237</v>
      </c>
      <c r="C2772" s="4" t="n">
        <v>10</v>
      </c>
      <c r="D2772" s="4" t="n">
        <v>1</v>
      </c>
      <c r="E2772" s="4" t="s">
        <v>2647</v>
      </c>
      <c r="F2772" s="4" t="n">
        <v>39</v>
      </c>
      <c r="G2772" s="4" t="n">
        <v>4</v>
      </c>
      <c r="H2772" s="4" t="n">
        <v>4</v>
      </c>
      <c r="I2772" s="4" t="str">
        <v>×</v>
      </c>
      <c r="J2772" s="4"/>
      <c r="K2772" s="4"/>
      <c r="L2772" s="4"/>
      <c r="M2772" s="5" t="s">
        <v>1871</v>
      </c>
    </row>
    <row r="2773" customFormat="false" ht="15.75" hidden="false" customHeight="false" outlineLevel="0" collapsed="false">
      <c r="A2773" s="3" t="n">
        <v>46215</v>
      </c>
      <c r="B2773" s="4" t="s">
        <v>1237</v>
      </c>
      <c r="C2773" s="4" t="n">
        <v>10</v>
      </c>
      <c r="D2773" s="4" t="n">
        <v>2</v>
      </c>
      <c r="E2773" s="4" t="s">
        <v>2648</v>
      </c>
      <c r="F2773" s="4" t="n">
        <v>6</v>
      </c>
      <c r="G2773" s="4" t="n">
        <v>11</v>
      </c>
      <c r="H2773" s="4" t="n">
        <v>4</v>
      </c>
      <c r="I2773" s="4" t="str">
        <v>×</v>
      </c>
      <c r="J2773" s="4"/>
      <c r="K2773" s="4"/>
      <c r="L2773" s="4"/>
      <c r="M2773" s="5" t="s">
        <v>1871</v>
      </c>
    </row>
    <row r="2774" customFormat="false" ht="15.75" hidden="false" customHeight="false" outlineLevel="0" collapsed="false">
      <c r="A2774" s="3" t="n">
        <v>46215</v>
      </c>
      <c r="B2774" s="4" t="s">
        <v>1237</v>
      </c>
      <c r="C2774" s="4" t="n">
        <v>10</v>
      </c>
      <c r="D2774" s="4" t="n">
        <v>3</v>
      </c>
      <c r="E2774" s="4" t="s">
        <v>2649</v>
      </c>
      <c r="F2774" s="4" t="n">
        <v>44</v>
      </c>
      <c r="G2774" s="4" t="n">
        <v>2</v>
      </c>
      <c r="H2774" s="4" t="n">
        <v>4</v>
      </c>
      <c r="I2774" s="4" t="str">
        <v>×</v>
      </c>
      <c r="J2774" s="4"/>
      <c r="K2774" s="4"/>
      <c r="L2774" s="4"/>
      <c r="M2774" s="5" t="s">
        <v>1871</v>
      </c>
    </row>
    <row r="2775" customFormat="false" ht="15.75" hidden="false" customHeight="false" outlineLevel="0" collapsed="false">
      <c r="A2775" s="3" t="n">
        <v>46215</v>
      </c>
      <c r="B2775" s="4" t="s">
        <v>1237</v>
      </c>
      <c r="C2775" s="4" t="n">
        <v>10</v>
      </c>
      <c r="D2775" s="4" t="n">
        <v>4</v>
      </c>
      <c r="E2775" s="4" t="s">
        <v>2650</v>
      </c>
      <c r="F2775" s="4" t="n">
        <v>29</v>
      </c>
      <c r="G2775" s="4" t="n">
        <v>6</v>
      </c>
      <c r="H2775" s="4" t="n">
        <v>4</v>
      </c>
      <c r="I2775" s="4" t="str">
        <v>×</v>
      </c>
      <c r="J2775" s="4"/>
      <c r="K2775" s="4"/>
      <c r="L2775" s="4"/>
      <c r="M2775" s="5" t="s">
        <v>1871</v>
      </c>
    </row>
    <row r="2776" customFormat="false" ht="15.75" hidden="false" customHeight="false" outlineLevel="0" collapsed="false">
      <c r="A2776" s="3" t="n">
        <v>46215</v>
      </c>
      <c r="B2776" s="4" t="s">
        <v>1237</v>
      </c>
      <c r="C2776" s="4" t="n">
        <v>10</v>
      </c>
      <c r="D2776" s="4" t="n">
        <v>5</v>
      </c>
      <c r="E2776" s="4" t="s">
        <v>2651</v>
      </c>
      <c r="F2776" s="4" t="n">
        <v>15</v>
      </c>
      <c r="G2776" s="4" t="n">
        <v>9</v>
      </c>
      <c r="H2776" s="4" t="n">
        <v>2</v>
      </c>
      <c r="I2776" s="4" t="str">
        <v>○</v>
      </c>
      <c r="J2776" s="4" t="n">
        <v>420</v>
      </c>
      <c r="K2776" s="4"/>
      <c r="L2776" s="4"/>
      <c r="M2776" s="5" t="s">
        <v>1871</v>
      </c>
    </row>
    <row r="2777" customFormat="false" ht="15.75" hidden="false" customHeight="false" outlineLevel="0" collapsed="false">
      <c r="A2777" s="3" t="n">
        <v>46215</v>
      </c>
      <c r="B2777" s="4" t="s">
        <v>1237</v>
      </c>
      <c r="C2777" s="4" t="n">
        <v>10</v>
      </c>
      <c r="D2777" s="4" t="n">
        <v>6</v>
      </c>
      <c r="E2777" s="4" t="s">
        <v>2652</v>
      </c>
      <c r="F2777" s="4" t="n">
        <v>31</v>
      </c>
      <c r="G2777" s="4" t="n">
        <v>5</v>
      </c>
      <c r="H2777" s="4" t="n">
        <v>1</v>
      </c>
      <c r="I2777" s="4" t="str">
        <v>○</v>
      </c>
      <c r="J2777" s="4" t="n">
        <v>290</v>
      </c>
      <c r="K2777" s="4"/>
      <c r="L2777" s="4"/>
      <c r="M2777" s="5" t="s">
        <v>1871</v>
      </c>
    </row>
    <row r="2778" customFormat="false" ht="15.75" hidden="false" customHeight="false" outlineLevel="0" collapsed="false">
      <c r="A2778" s="3" t="n">
        <v>46215</v>
      </c>
      <c r="B2778" s="4" t="s">
        <v>1237</v>
      </c>
      <c r="C2778" s="4" t="n">
        <v>10</v>
      </c>
      <c r="D2778" s="4" t="n">
        <v>7</v>
      </c>
      <c r="E2778" s="4" t="s">
        <v>2653</v>
      </c>
      <c r="F2778" s="4" t="n">
        <v>25</v>
      </c>
      <c r="G2778" s="4" t="n">
        <v>7</v>
      </c>
      <c r="H2778" s="4" t="n">
        <v>4</v>
      </c>
      <c r="I2778" s="4" t="str">
        <v>×</v>
      </c>
      <c r="J2778" s="4"/>
      <c r="K2778" s="4"/>
      <c r="L2778" s="4"/>
      <c r="M2778" s="5" t="s">
        <v>1871</v>
      </c>
    </row>
    <row r="2779" customFormat="false" ht="15.75" hidden="false" customHeight="false" outlineLevel="0" collapsed="false">
      <c r="A2779" s="3" t="n">
        <v>46215</v>
      </c>
      <c r="B2779" s="4" t="s">
        <v>1237</v>
      </c>
      <c r="C2779" s="4" t="n">
        <v>10</v>
      </c>
      <c r="D2779" s="4" t="n">
        <v>8</v>
      </c>
      <c r="E2779" s="4" t="s">
        <v>2654</v>
      </c>
      <c r="F2779" s="4" t="n">
        <v>2</v>
      </c>
      <c r="G2779" s="4" t="n">
        <v>12</v>
      </c>
      <c r="H2779" s="4" t="n">
        <v>3</v>
      </c>
      <c r="I2779" s="4" t="str">
        <v>○</v>
      </c>
      <c r="J2779" s="4" t="n">
        <v>510</v>
      </c>
      <c r="K2779" s="4"/>
      <c r="L2779" s="4"/>
      <c r="M2779" s="5" t="s">
        <v>1871</v>
      </c>
    </row>
    <row r="2780" customFormat="false" ht="15.75" hidden="false" customHeight="false" outlineLevel="0" collapsed="false">
      <c r="A2780" s="3" t="n">
        <v>46215</v>
      </c>
      <c r="B2780" s="4" t="s">
        <v>1237</v>
      </c>
      <c r="C2780" s="4" t="n">
        <v>10</v>
      </c>
      <c r="D2780" s="4" t="n">
        <v>9</v>
      </c>
      <c r="E2780" s="4" t="s">
        <v>2655</v>
      </c>
      <c r="F2780" s="4" t="n">
        <v>44</v>
      </c>
      <c r="G2780" s="4" t="n">
        <v>2</v>
      </c>
      <c r="H2780" s="4" t="n">
        <v>4</v>
      </c>
      <c r="I2780" s="4" t="str">
        <v>×</v>
      </c>
      <c r="J2780" s="4"/>
      <c r="K2780" s="4"/>
      <c r="L2780" s="4"/>
      <c r="M2780" s="5" t="s">
        <v>1871</v>
      </c>
    </row>
    <row r="2781" customFormat="false" ht="15.75" hidden="false" customHeight="false" outlineLevel="0" collapsed="false">
      <c r="A2781" s="3" t="n">
        <v>46215</v>
      </c>
      <c r="B2781" s="4" t="s">
        <v>1237</v>
      </c>
      <c r="C2781" s="4" t="n">
        <v>10</v>
      </c>
      <c r="D2781" s="4" t="n">
        <v>10</v>
      </c>
      <c r="E2781" s="4" t="s">
        <v>1350</v>
      </c>
      <c r="F2781" s="4" t="n">
        <v>17</v>
      </c>
      <c r="G2781" s="4" t="n">
        <v>8</v>
      </c>
      <c r="H2781" s="4" t="n">
        <v>4</v>
      </c>
      <c r="I2781" s="4" t="str">
        <v>×</v>
      </c>
      <c r="J2781" s="4"/>
      <c r="K2781" s="4"/>
      <c r="L2781" s="4"/>
      <c r="M2781" s="5" t="s">
        <v>1871</v>
      </c>
    </row>
    <row r="2782" customFormat="false" ht="15.75" hidden="false" customHeight="false" outlineLevel="0" collapsed="false">
      <c r="A2782" s="3" t="n">
        <v>46215</v>
      </c>
      <c r="B2782" s="4" t="s">
        <v>1237</v>
      </c>
      <c r="C2782" s="4" t="n">
        <v>10</v>
      </c>
      <c r="D2782" s="4" t="n">
        <v>11</v>
      </c>
      <c r="E2782" s="4" t="s">
        <v>2656</v>
      </c>
      <c r="F2782" s="4" t="n">
        <v>60</v>
      </c>
      <c r="G2782" s="4" t="n">
        <v>1</v>
      </c>
      <c r="H2782" s="4" t="n">
        <v>4</v>
      </c>
      <c r="I2782" s="4" t="str">
        <v>×</v>
      </c>
      <c r="J2782" s="4"/>
      <c r="K2782" s="4"/>
      <c r="L2782" s="4"/>
      <c r="M2782" s="5" t="s">
        <v>1871</v>
      </c>
    </row>
    <row r="2783" customFormat="false" ht="15.75" hidden="false" customHeight="false" outlineLevel="0" collapsed="false">
      <c r="A2783" s="3" t="n">
        <v>46215</v>
      </c>
      <c r="B2783" s="4" t="s">
        <v>1237</v>
      </c>
      <c r="C2783" s="4" t="n">
        <v>10</v>
      </c>
      <c r="D2783" s="4" t="n">
        <v>12</v>
      </c>
      <c r="E2783" s="4" t="s">
        <v>2657</v>
      </c>
      <c r="F2783" s="4" t="n">
        <v>10</v>
      </c>
      <c r="G2783" s="4" t="n">
        <v>10</v>
      </c>
      <c r="H2783" s="4" t="n">
        <v>4</v>
      </c>
      <c r="I2783" s="4" t="str">
        <v>×</v>
      </c>
      <c r="J2783" s="4"/>
      <c r="K2783" s="4"/>
      <c r="L2783" s="4"/>
      <c r="M2783" s="5" t="s">
        <v>1871</v>
      </c>
    </row>
    <row r="2784" customFormat="false" ht="15.75" hidden="false" customHeight="false" outlineLevel="0" collapsed="false">
      <c r="A2784" s="3" t="n">
        <v>46215</v>
      </c>
      <c r="B2784" s="4" t="s">
        <v>1237</v>
      </c>
      <c r="C2784" s="4" t="n">
        <v>11</v>
      </c>
      <c r="D2784" s="4" t="n">
        <v>1</v>
      </c>
      <c r="E2784" s="4" t="s">
        <v>2658</v>
      </c>
      <c r="F2784" s="4" t="n">
        <v>20</v>
      </c>
      <c r="G2784" s="4" t="n">
        <v>6</v>
      </c>
      <c r="H2784" s="4" t="n">
        <v>4</v>
      </c>
      <c r="I2784" s="4" t="str">
        <v>×</v>
      </c>
      <c r="J2784" s="4"/>
      <c r="K2784" s="4"/>
      <c r="L2784" s="4"/>
      <c r="M2784" s="5" t="s">
        <v>1871</v>
      </c>
    </row>
    <row r="2785" customFormat="false" ht="15.75" hidden="false" customHeight="false" outlineLevel="0" collapsed="false">
      <c r="A2785" s="3" t="n">
        <v>46215</v>
      </c>
      <c r="B2785" s="4" t="s">
        <v>1237</v>
      </c>
      <c r="C2785" s="4" t="n">
        <v>11</v>
      </c>
      <c r="D2785" s="4" t="n">
        <v>2</v>
      </c>
      <c r="E2785" s="4" t="s">
        <v>2659</v>
      </c>
      <c r="F2785" s="4" t="n">
        <v>31</v>
      </c>
      <c r="G2785" s="4" t="n">
        <v>3</v>
      </c>
      <c r="H2785" s="4" t="n">
        <v>4</v>
      </c>
      <c r="I2785" s="4" t="str">
        <v>×</v>
      </c>
      <c r="J2785" s="4"/>
      <c r="K2785" s="4"/>
      <c r="L2785" s="4"/>
      <c r="M2785" s="5" t="s">
        <v>1871</v>
      </c>
    </row>
    <row r="2786" customFormat="false" ht="15.75" hidden="false" customHeight="false" outlineLevel="0" collapsed="false">
      <c r="A2786" s="3" t="n">
        <v>46215</v>
      </c>
      <c r="B2786" s="4" t="s">
        <v>1237</v>
      </c>
      <c r="C2786" s="4" t="n">
        <v>11</v>
      </c>
      <c r="D2786" s="4" t="n">
        <v>3</v>
      </c>
      <c r="E2786" s="4" t="s">
        <v>2660</v>
      </c>
      <c r="F2786" s="4" t="n">
        <v>47</v>
      </c>
      <c r="G2786" s="4" t="n">
        <v>1</v>
      </c>
      <c r="H2786" s="4" t="n">
        <v>4</v>
      </c>
      <c r="I2786" s="4" t="str">
        <v>×</v>
      </c>
      <c r="J2786" s="4"/>
      <c r="K2786" s="4"/>
      <c r="L2786" s="4"/>
      <c r="M2786" s="5" t="s">
        <v>1871</v>
      </c>
    </row>
    <row r="2787" customFormat="false" ht="15.75" hidden="false" customHeight="false" outlineLevel="0" collapsed="false">
      <c r="A2787" s="3" t="n">
        <v>46215</v>
      </c>
      <c r="B2787" s="4" t="s">
        <v>1237</v>
      </c>
      <c r="C2787" s="4" t="n">
        <v>11</v>
      </c>
      <c r="D2787" s="4" t="n">
        <v>4</v>
      </c>
      <c r="E2787" s="4" t="s">
        <v>2661</v>
      </c>
      <c r="F2787" s="4" t="n">
        <v>34</v>
      </c>
      <c r="G2787" s="4" t="n">
        <v>2</v>
      </c>
      <c r="H2787" s="4" t="n">
        <v>3</v>
      </c>
      <c r="I2787" s="4" t="str">
        <v>○</v>
      </c>
      <c r="J2787" s="4" t="n">
        <v>170</v>
      </c>
      <c r="K2787" s="4"/>
      <c r="L2787" s="4"/>
      <c r="M2787" s="5" t="s">
        <v>1871</v>
      </c>
    </row>
    <row r="2788" customFormat="false" ht="15.75" hidden="false" customHeight="false" outlineLevel="0" collapsed="false">
      <c r="A2788" s="3" t="n">
        <v>46215</v>
      </c>
      <c r="B2788" s="4" t="s">
        <v>1237</v>
      </c>
      <c r="C2788" s="4" t="n">
        <v>11</v>
      </c>
      <c r="D2788" s="4" t="n">
        <v>5</v>
      </c>
      <c r="E2788" s="4" t="s">
        <v>2662</v>
      </c>
      <c r="F2788" s="4" t="n">
        <v>7</v>
      </c>
      <c r="G2788" s="4" t="n">
        <v>11</v>
      </c>
      <c r="H2788" s="4" t="n">
        <v>4</v>
      </c>
      <c r="I2788" s="4" t="str">
        <v>×</v>
      </c>
      <c r="J2788" s="4"/>
      <c r="K2788" s="4"/>
      <c r="L2788" s="4"/>
      <c r="M2788" s="5" t="s">
        <v>1871</v>
      </c>
    </row>
    <row r="2789" customFormat="false" ht="15.75" hidden="false" customHeight="false" outlineLevel="0" collapsed="false">
      <c r="A2789" s="3" t="n">
        <v>46215</v>
      </c>
      <c r="B2789" s="4" t="s">
        <v>1237</v>
      </c>
      <c r="C2789" s="4" t="n">
        <v>11</v>
      </c>
      <c r="D2789" s="4" t="n">
        <v>6</v>
      </c>
      <c r="E2789" s="4" t="s">
        <v>2663</v>
      </c>
      <c r="F2789" s="4" t="n">
        <v>17</v>
      </c>
      <c r="G2789" s="4" t="n">
        <v>7</v>
      </c>
      <c r="H2789" s="4" t="n">
        <v>4</v>
      </c>
      <c r="I2789" s="4" t="str">
        <v>×</v>
      </c>
      <c r="J2789" s="4"/>
      <c r="K2789" s="4"/>
      <c r="L2789" s="4"/>
      <c r="M2789" s="5" t="s">
        <v>1871</v>
      </c>
    </row>
    <row r="2790" customFormat="false" ht="15.75" hidden="false" customHeight="false" outlineLevel="0" collapsed="false">
      <c r="A2790" s="3" t="n">
        <v>46215</v>
      </c>
      <c r="B2790" s="4" t="s">
        <v>1237</v>
      </c>
      <c r="C2790" s="4" t="n">
        <v>11</v>
      </c>
      <c r="D2790" s="4" t="n">
        <v>7</v>
      </c>
      <c r="E2790" s="4" t="s">
        <v>2664</v>
      </c>
      <c r="F2790" s="4" t="n">
        <v>3</v>
      </c>
      <c r="G2790" s="4" t="n">
        <v>13</v>
      </c>
      <c r="H2790" s="4" t="n">
        <v>4</v>
      </c>
      <c r="I2790" s="4" t="str">
        <v>×</v>
      </c>
      <c r="J2790" s="4"/>
      <c r="K2790" s="4"/>
      <c r="L2790" s="4"/>
      <c r="M2790" s="5" t="s">
        <v>1871</v>
      </c>
    </row>
    <row r="2791" customFormat="false" ht="15.75" hidden="false" customHeight="false" outlineLevel="0" collapsed="false">
      <c r="A2791" s="3" t="n">
        <v>46215</v>
      </c>
      <c r="B2791" s="4" t="s">
        <v>1237</v>
      </c>
      <c r="C2791" s="4" t="n">
        <v>11</v>
      </c>
      <c r="D2791" s="4" t="n">
        <v>8</v>
      </c>
      <c r="E2791" s="4" t="s">
        <v>2665</v>
      </c>
      <c r="F2791" s="4" t="n">
        <v>31</v>
      </c>
      <c r="G2791" s="4" t="n">
        <v>3</v>
      </c>
      <c r="H2791" s="4" t="n">
        <v>4</v>
      </c>
      <c r="I2791" s="4" t="str">
        <v>×</v>
      </c>
      <c r="J2791" s="4"/>
      <c r="K2791" s="4"/>
      <c r="L2791" s="4"/>
      <c r="M2791" s="5" t="s">
        <v>1871</v>
      </c>
    </row>
    <row r="2792" customFormat="false" ht="15.75" hidden="false" customHeight="false" outlineLevel="0" collapsed="false">
      <c r="A2792" s="3" t="n">
        <v>46215</v>
      </c>
      <c r="B2792" s="4" t="s">
        <v>1237</v>
      </c>
      <c r="C2792" s="4" t="n">
        <v>11</v>
      </c>
      <c r="D2792" s="4" t="n">
        <v>9</v>
      </c>
      <c r="E2792" s="4" t="s">
        <v>2666</v>
      </c>
      <c r="F2792" s="4" t="n">
        <v>31</v>
      </c>
      <c r="G2792" s="4" t="n">
        <v>3</v>
      </c>
      <c r="H2792" s="4" t="n">
        <v>4</v>
      </c>
      <c r="I2792" s="4" t="str">
        <v>×</v>
      </c>
      <c r="J2792" s="4"/>
      <c r="K2792" s="4"/>
      <c r="L2792" s="4"/>
      <c r="M2792" s="5" t="s">
        <v>1871</v>
      </c>
    </row>
    <row r="2793" customFormat="false" ht="15.75" hidden="false" customHeight="false" outlineLevel="0" collapsed="false">
      <c r="A2793" s="3" t="n">
        <v>46215</v>
      </c>
      <c r="B2793" s="4" t="s">
        <v>1237</v>
      </c>
      <c r="C2793" s="4" t="n">
        <v>11</v>
      </c>
      <c r="D2793" s="4" t="n">
        <v>10</v>
      </c>
      <c r="E2793" s="4" t="s">
        <v>2667</v>
      </c>
      <c r="F2793" s="4" t="n">
        <v>13</v>
      </c>
      <c r="G2793" s="4" t="n">
        <v>9</v>
      </c>
      <c r="H2793" s="4" t="n">
        <v>1</v>
      </c>
      <c r="I2793" s="4" t="str">
        <v>○</v>
      </c>
      <c r="J2793" s="4" t="n">
        <v>420</v>
      </c>
      <c r="K2793" s="4"/>
      <c r="L2793" s="4"/>
      <c r="M2793" s="5" t="s">
        <v>1871</v>
      </c>
    </row>
    <row r="2794" customFormat="false" ht="15.75" hidden="false" customHeight="false" outlineLevel="0" collapsed="false">
      <c r="A2794" s="3" t="n">
        <v>46215</v>
      </c>
      <c r="B2794" s="4" t="s">
        <v>1237</v>
      </c>
      <c r="C2794" s="4" t="n">
        <v>11</v>
      </c>
      <c r="D2794" s="4" t="n">
        <v>11</v>
      </c>
      <c r="E2794" s="4" t="s">
        <v>898</v>
      </c>
      <c r="F2794" s="4" t="n">
        <v>4</v>
      </c>
      <c r="G2794" s="4" t="n">
        <v>12</v>
      </c>
      <c r="H2794" s="4" t="n">
        <v>4</v>
      </c>
      <c r="I2794" s="4" t="str">
        <v>×</v>
      </c>
      <c r="J2794" s="4"/>
      <c r="K2794" s="4"/>
      <c r="L2794" s="4"/>
      <c r="M2794" s="5" t="s">
        <v>1871</v>
      </c>
    </row>
    <row r="2795" customFormat="false" ht="15.75" hidden="false" customHeight="false" outlineLevel="0" collapsed="false">
      <c r="A2795" s="3" t="n">
        <v>46215</v>
      </c>
      <c r="B2795" s="4" t="s">
        <v>1237</v>
      </c>
      <c r="C2795" s="4" t="n">
        <v>11</v>
      </c>
      <c r="D2795" s="4" t="n">
        <v>12</v>
      </c>
      <c r="E2795" s="4" t="s">
        <v>2668</v>
      </c>
      <c r="F2795" s="4" t="n">
        <v>10</v>
      </c>
      <c r="G2795" s="4" t="n">
        <v>10</v>
      </c>
      <c r="H2795" s="4" t="n">
        <v>2</v>
      </c>
      <c r="I2795" s="4" t="str">
        <v>○</v>
      </c>
      <c r="J2795" s="4" t="n">
        <v>380</v>
      </c>
      <c r="K2795" s="4"/>
      <c r="L2795" s="4"/>
      <c r="M2795" s="5" t="s">
        <v>1871</v>
      </c>
    </row>
    <row r="2796" customFormat="false" ht="15.75" hidden="false" customHeight="false" outlineLevel="0" collapsed="false">
      <c r="A2796" s="3" t="n">
        <v>46215</v>
      </c>
      <c r="B2796" s="4" t="s">
        <v>1237</v>
      </c>
      <c r="C2796" s="4" t="n">
        <v>11</v>
      </c>
      <c r="D2796" s="4" t="n">
        <v>13</v>
      </c>
      <c r="E2796" s="4" t="s">
        <v>2669</v>
      </c>
      <c r="F2796" s="4" t="n">
        <v>2</v>
      </c>
      <c r="G2796" s="4" t="n">
        <v>14</v>
      </c>
      <c r="H2796" s="4" t="n">
        <v>4</v>
      </c>
      <c r="I2796" s="4" t="str">
        <v>×</v>
      </c>
      <c r="J2796" s="4"/>
      <c r="K2796" s="4"/>
      <c r="L2796" s="4"/>
      <c r="M2796" s="5" t="s">
        <v>1871</v>
      </c>
    </row>
    <row r="2797" customFormat="false" ht="15.75" hidden="false" customHeight="false" outlineLevel="0" collapsed="false">
      <c r="A2797" s="3" t="n">
        <v>46215</v>
      </c>
      <c r="B2797" s="4" t="s">
        <v>1237</v>
      </c>
      <c r="C2797" s="4" t="n">
        <v>11</v>
      </c>
      <c r="D2797" s="4" t="n">
        <v>14</v>
      </c>
      <c r="E2797" s="4" t="s">
        <v>2670</v>
      </c>
      <c r="F2797" s="4" t="n">
        <v>15</v>
      </c>
      <c r="G2797" s="4" t="n">
        <v>8</v>
      </c>
      <c r="H2797" s="4" t="n">
        <v>4</v>
      </c>
      <c r="I2797" s="4" t="str">
        <v>×</v>
      </c>
      <c r="J2797" s="4"/>
      <c r="K2797" s="4"/>
      <c r="L2797" s="4"/>
      <c r="M2797" s="5" t="s">
        <v>1871</v>
      </c>
    </row>
    <row r="2798" customFormat="false" ht="15.75" hidden="false" customHeight="false" outlineLevel="0" collapsed="false">
      <c r="A2798" s="3" t="n">
        <v>46215</v>
      </c>
      <c r="B2798" s="4" t="s">
        <v>1237</v>
      </c>
      <c r="C2798" s="4" t="n">
        <v>12</v>
      </c>
      <c r="D2798" s="4" t="n">
        <v>1</v>
      </c>
      <c r="E2798" s="4" t="s">
        <v>2671</v>
      </c>
      <c r="F2798" s="4" t="n">
        <v>17</v>
      </c>
      <c r="G2798" s="4" t="n">
        <v>6</v>
      </c>
      <c r="H2798" s="4" t="n">
        <v>4</v>
      </c>
      <c r="I2798" s="4" t="str">
        <v>×</v>
      </c>
      <c r="J2798" s="4"/>
      <c r="K2798" s="4"/>
      <c r="L2798" s="4"/>
      <c r="M2798" s="5" t="s">
        <v>1871</v>
      </c>
    </row>
    <row r="2799" customFormat="false" ht="15.75" hidden="false" customHeight="false" outlineLevel="0" collapsed="false">
      <c r="A2799" s="3" t="n">
        <v>46215</v>
      </c>
      <c r="B2799" s="4" t="s">
        <v>1237</v>
      </c>
      <c r="C2799" s="4" t="n">
        <v>12</v>
      </c>
      <c r="D2799" s="4" t="n">
        <v>2</v>
      </c>
      <c r="E2799" s="4" t="s">
        <v>2672</v>
      </c>
      <c r="F2799" s="4" t="n">
        <v>29</v>
      </c>
      <c r="G2799" s="4" t="n">
        <v>3</v>
      </c>
      <c r="H2799" s="4" t="n">
        <v>3</v>
      </c>
      <c r="I2799" s="4" t="str">
        <v>○</v>
      </c>
      <c r="J2799" s="4" t="n">
        <v>94910</v>
      </c>
      <c r="K2799" s="4"/>
      <c r="L2799" s="4"/>
      <c r="M2799" s="5" t="s">
        <v>1871</v>
      </c>
    </row>
    <row r="2800" customFormat="false" ht="15.75" hidden="false" customHeight="false" outlineLevel="0" collapsed="false">
      <c r="A2800" s="3" t="n">
        <v>46215</v>
      </c>
      <c r="B2800" s="4" t="s">
        <v>1237</v>
      </c>
      <c r="C2800" s="4" t="n">
        <v>12</v>
      </c>
      <c r="D2800" s="4" t="n">
        <v>3</v>
      </c>
      <c r="E2800" s="4" t="s">
        <v>2673</v>
      </c>
      <c r="F2800" s="4" t="n">
        <v>66</v>
      </c>
      <c r="G2800" s="4" t="n">
        <v>2</v>
      </c>
      <c r="H2800" s="4" t="n">
        <v>4</v>
      </c>
      <c r="I2800" s="4" t="str">
        <v>×</v>
      </c>
      <c r="J2800" s="4"/>
      <c r="K2800" s="4"/>
      <c r="L2800" s="4"/>
      <c r="M2800" s="5" t="s">
        <v>1871</v>
      </c>
    </row>
    <row r="2801" customFormat="false" ht="15.75" hidden="false" customHeight="false" outlineLevel="0" collapsed="false">
      <c r="A2801" s="3" t="n">
        <v>46215</v>
      </c>
      <c r="B2801" s="4" t="s">
        <v>1237</v>
      </c>
      <c r="C2801" s="4" t="n">
        <v>12</v>
      </c>
      <c r="D2801" s="4" t="n">
        <v>4</v>
      </c>
      <c r="E2801" s="4" t="s">
        <v>1283</v>
      </c>
      <c r="F2801" s="4" t="n">
        <v>1</v>
      </c>
      <c r="G2801" s="4" t="n">
        <v>8</v>
      </c>
      <c r="H2801" s="4" t="n">
        <v>2</v>
      </c>
      <c r="I2801" s="4" t="str">
        <v>○</v>
      </c>
      <c r="J2801" s="4" t="n">
        <v>17400</v>
      </c>
      <c r="K2801" s="4"/>
      <c r="L2801" s="4"/>
      <c r="M2801" s="5" t="s">
        <v>1871</v>
      </c>
    </row>
    <row r="2802" customFormat="false" ht="15.75" hidden="false" customHeight="false" outlineLevel="0" collapsed="false">
      <c r="A2802" s="3" t="n">
        <v>46215</v>
      </c>
      <c r="B2802" s="4" t="s">
        <v>1237</v>
      </c>
      <c r="C2802" s="4" t="n">
        <v>12</v>
      </c>
      <c r="D2802" s="4" t="n">
        <v>5</v>
      </c>
      <c r="E2802" s="4" t="s">
        <v>2674</v>
      </c>
      <c r="F2802" s="4" t="n">
        <v>20</v>
      </c>
      <c r="G2802" s="4" t="n">
        <v>5</v>
      </c>
      <c r="H2802" s="4" t="n">
        <v>1</v>
      </c>
      <c r="I2802" s="4" t="str">
        <v>○</v>
      </c>
      <c r="J2802" s="4" t="n">
        <v>8790</v>
      </c>
      <c r="K2802" s="4"/>
      <c r="L2802" s="4"/>
      <c r="M2802" s="5" t="s">
        <v>1871</v>
      </c>
    </row>
    <row r="2803" customFormat="false" ht="15.75" hidden="false" customHeight="false" outlineLevel="0" collapsed="false">
      <c r="A2803" s="3" t="n">
        <v>46215</v>
      </c>
      <c r="B2803" s="4" t="s">
        <v>1237</v>
      </c>
      <c r="C2803" s="4" t="n">
        <v>12</v>
      </c>
      <c r="D2803" s="4" t="n">
        <v>6</v>
      </c>
      <c r="E2803" s="4" t="s">
        <v>878</v>
      </c>
      <c r="F2803" s="4" t="n">
        <v>4</v>
      </c>
      <c r="G2803" s="4" t="n">
        <v>7</v>
      </c>
      <c r="H2803" s="4" t="n">
        <v>4</v>
      </c>
      <c r="I2803" s="4" t="str">
        <v>×</v>
      </c>
      <c r="J2803" s="4"/>
      <c r="K2803" s="4"/>
      <c r="L2803" s="4"/>
      <c r="M2803" s="5" t="s">
        <v>1871</v>
      </c>
    </row>
    <row r="2804" customFormat="false" ht="15.75" hidden="false" customHeight="false" outlineLevel="0" collapsed="false">
      <c r="A2804" s="3" t="n">
        <v>46215</v>
      </c>
      <c r="B2804" s="4" t="s">
        <v>1237</v>
      </c>
      <c r="C2804" s="4" t="n">
        <v>12</v>
      </c>
      <c r="D2804" s="4" t="n">
        <v>7</v>
      </c>
      <c r="E2804" s="4" t="s">
        <v>396</v>
      </c>
      <c r="F2804" s="4" t="n">
        <v>75</v>
      </c>
      <c r="G2804" s="4" t="n">
        <v>1</v>
      </c>
      <c r="H2804" s="4" t="n">
        <v>4</v>
      </c>
      <c r="I2804" s="4" t="str">
        <v>×</v>
      </c>
      <c r="J2804" s="4"/>
      <c r="K2804" s="4"/>
      <c r="L2804" s="4"/>
      <c r="M2804" s="5" t="s">
        <v>1871</v>
      </c>
    </row>
    <row r="2805" customFormat="false" ht="15.75" hidden="false" customHeight="false" outlineLevel="0" collapsed="false">
      <c r="A2805" s="3" t="n">
        <v>46215</v>
      </c>
      <c r="B2805" s="4" t="s">
        <v>1237</v>
      </c>
      <c r="C2805" s="4" t="n">
        <v>12</v>
      </c>
      <c r="D2805" s="4" t="n">
        <v>8</v>
      </c>
      <c r="E2805" s="4" t="s">
        <v>2675</v>
      </c>
      <c r="F2805" s="4" t="n">
        <v>23</v>
      </c>
      <c r="G2805" s="4" t="n">
        <v>4</v>
      </c>
      <c r="H2805" s="4" t="n">
        <v>4</v>
      </c>
      <c r="I2805" s="4" t="str">
        <v>×</v>
      </c>
      <c r="J2805" s="4"/>
      <c r="K2805" s="4"/>
      <c r="L2805" s="4"/>
      <c r="M2805" s="5" t="s">
        <v>1871</v>
      </c>
    </row>
    <row r="2806" customFormat="false" ht="15.75" hidden="false" customHeight="false" outlineLevel="0" collapsed="false">
      <c r="A2806" s="3" t="n">
        <v>46207</v>
      </c>
      <c r="B2806" s="4" t="s">
        <v>915</v>
      </c>
      <c r="C2806" s="4" t="n">
        <v>1</v>
      </c>
      <c r="D2806" s="4" t="n">
        <v>1</v>
      </c>
      <c r="E2806" s="4" t="s">
        <v>2676</v>
      </c>
      <c r="F2806" s="4" t="n">
        <v>29</v>
      </c>
      <c r="G2806" s="4" t="n">
        <v>3</v>
      </c>
      <c r="H2806" s="4" t="n">
        <v>1</v>
      </c>
      <c r="I2806" s="4" t="str">
        <v>○</v>
      </c>
      <c r="J2806" s="4" t="n">
        <v>130</v>
      </c>
      <c r="K2806" s="4"/>
      <c r="L2806" s="4"/>
      <c r="M2806" s="5" t="s">
        <v>2677</v>
      </c>
    </row>
    <row r="2807" customFormat="false" ht="15.75" hidden="false" customHeight="false" outlineLevel="0" collapsed="false">
      <c r="A2807" s="3" t="n">
        <v>46207</v>
      </c>
      <c r="B2807" s="4" t="s">
        <v>915</v>
      </c>
      <c r="C2807" s="4" t="n">
        <v>1</v>
      </c>
      <c r="D2807" s="4" t="n">
        <v>2</v>
      </c>
      <c r="E2807" s="4" t="s">
        <v>2678</v>
      </c>
      <c r="F2807" s="4" t="n">
        <v>4</v>
      </c>
      <c r="G2807" s="4" t="n">
        <v>7</v>
      </c>
      <c r="H2807" s="4" t="n">
        <v>4</v>
      </c>
      <c r="I2807" s="4" t="str">
        <v>×</v>
      </c>
      <c r="J2807" s="4"/>
      <c r="K2807" s="4"/>
      <c r="L2807" s="4"/>
      <c r="M2807" s="5" t="s">
        <v>2677</v>
      </c>
    </row>
    <row r="2808" customFormat="false" ht="15.75" hidden="false" customHeight="false" outlineLevel="0" collapsed="false">
      <c r="A2808" s="3" t="n">
        <v>46207</v>
      </c>
      <c r="B2808" s="4" t="s">
        <v>915</v>
      </c>
      <c r="C2808" s="4" t="n">
        <v>1</v>
      </c>
      <c r="D2808" s="4" t="n">
        <v>3</v>
      </c>
      <c r="E2808" s="4" t="s">
        <v>2679</v>
      </c>
      <c r="F2808" s="4" t="n">
        <v>81</v>
      </c>
      <c r="G2808" s="4" t="n">
        <v>1</v>
      </c>
      <c r="H2808" s="4" t="n">
        <v>2</v>
      </c>
      <c r="I2808" s="4" t="str">
        <v>○</v>
      </c>
      <c r="J2808" s="4" t="n">
        <v>100</v>
      </c>
      <c r="K2808" s="4" t="n">
        <v>1</v>
      </c>
      <c r="L2808" s="4" t="n">
        <v>1.1</v>
      </c>
      <c r="M2808" s="5" t="s">
        <v>2677</v>
      </c>
    </row>
    <row r="2809" customFormat="false" ht="15.75" hidden="false" customHeight="false" outlineLevel="0" collapsed="false">
      <c r="A2809" s="3" t="n">
        <v>46207</v>
      </c>
      <c r="B2809" s="4" t="s">
        <v>915</v>
      </c>
      <c r="C2809" s="4" t="n">
        <v>1</v>
      </c>
      <c r="D2809" s="4" t="n">
        <v>4</v>
      </c>
      <c r="E2809" s="4" t="s">
        <v>2680</v>
      </c>
      <c r="F2809" s="4" t="n">
        <v>25</v>
      </c>
      <c r="G2809" s="4" t="n">
        <v>4</v>
      </c>
      <c r="H2809" s="4" t="n">
        <v>4</v>
      </c>
      <c r="I2809" s="4" t="str">
        <v>×</v>
      </c>
      <c r="J2809" s="4"/>
      <c r="K2809" s="4"/>
      <c r="L2809" s="4"/>
      <c r="M2809" s="5" t="s">
        <v>2677</v>
      </c>
    </row>
    <row r="2810" customFormat="false" ht="15.75" hidden="false" customHeight="false" outlineLevel="0" collapsed="false">
      <c r="A2810" s="3" t="n">
        <v>46207</v>
      </c>
      <c r="B2810" s="4" t="s">
        <v>915</v>
      </c>
      <c r="C2810" s="4" t="n">
        <v>1</v>
      </c>
      <c r="D2810" s="4" t="n">
        <v>5</v>
      </c>
      <c r="E2810" s="4" t="s">
        <v>24</v>
      </c>
      <c r="F2810" s="4" t="n">
        <v>74</v>
      </c>
      <c r="G2810" s="4" t="n">
        <v>2</v>
      </c>
      <c r="H2810" s="4" t="n">
        <v>3</v>
      </c>
      <c r="I2810" s="4" t="str">
        <v>○</v>
      </c>
      <c r="J2810" s="4" t="n">
        <v>100</v>
      </c>
      <c r="K2810" s="4"/>
      <c r="L2810" s="4"/>
      <c r="M2810" s="5" t="s">
        <v>2677</v>
      </c>
    </row>
    <row r="2811" customFormat="false" ht="15.75" hidden="false" customHeight="false" outlineLevel="0" collapsed="false">
      <c r="A2811" s="3" t="n">
        <v>46207</v>
      </c>
      <c r="B2811" s="4" t="s">
        <v>915</v>
      </c>
      <c r="C2811" s="4" t="n">
        <v>1</v>
      </c>
      <c r="D2811" s="4" t="n">
        <v>6</v>
      </c>
      <c r="E2811" s="4" t="s">
        <v>2681</v>
      </c>
      <c r="F2811" s="4" t="n">
        <v>15</v>
      </c>
      <c r="G2811" s="4" t="n">
        <v>5</v>
      </c>
      <c r="H2811" s="4" t="n">
        <v>4</v>
      </c>
      <c r="I2811" s="4" t="str">
        <v>×</v>
      </c>
      <c r="J2811" s="4"/>
      <c r="K2811" s="4"/>
      <c r="L2811" s="4"/>
      <c r="M2811" s="5" t="s">
        <v>2677</v>
      </c>
    </row>
    <row r="2812" customFormat="false" ht="15.75" hidden="false" customHeight="false" outlineLevel="0" collapsed="false">
      <c r="A2812" s="3" t="n">
        <v>46207</v>
      </c>
      <c r="B2812" s="4" t="s">
        <v>915</v>
      </c>
      <c r="C2812" s="4" t="n">
        <v>1</v>
      </c>
      <c r="D2812" s="4" t="n">
        <v>7</v>
      </c>
      <c r="E2812" s="4" t="s">
        <v>2682</v>
      </c>
      <c r="F2812" s="4" t="n">
        <v>4</v>
      </c>
      <c r="G2812" s="4" t="n">
        <v>7</v>
      </c>
      <c r="H2812" s="4" t="n">
        <v>4</v>
      </c>
      <c r="I2812" s="4" t="str">
        <v>×</v>
      </c>
      <c r="J2812" s="4"/>
      <c r="K2812" s="4"/>
      <c r="L2812" s="4"/>
      <c r="M2812" s="5" t="s">
        <v>2677</v>
      </c>
    </row>
    <row r="2813" customFormat="false" ht="15.75" hidden="false" customHeight="false" outlineLevel="0" collapsed="false">
      <c r="A2813" s="3" t="n">
        <v>46207</v>
      </c>
      <c r="B2813" s="4" t="s">
        <v>915</v>
      </c>
      <c r="C2813" s="4" t="n">
        <v>1</v>
      </c>
      <c r="D2813" s="4" t="n">
        <v>8</v>
      </c>
      <c r="E2813" s="4" t="s">
        <v>2683</v>
      </c>
      <c r="F2813" s="4" t="n">
        <v>13</v>
      </c>
      <c r="G2813" s="4" t="n">
        <v>6</v>
      </c>
      <c r="H2813" s="4" t="n">
        <v>4</v>
      </c>
      <c r="I2813" s="4" t="str">
        <v>×</v>
      </c>
      <c r="J2813" s="4"/>
      <c r="K2813" s="4"/>
      <c r="L2813" s="4"/>
      <c r="M2813" s="5" t="s">
        <v>2677</v>
      </c>
    </row>
    <row r="2814" customFormat="false" ht="15.75" hidden="false" customHeight="false" outlineLevel="0" collapsed="false">
      <c r="A2814" s="3" t="n">
        <v>46207</v>
      </c>
      <c r="B2814" s="4" t="s">
        <v>915</v>
      </c>
      <c r="C2814" s="4" t="n">
        <v>2</v>
      </c>
      <c r="D2814" s="4" t="n">
        <v>1</v>
      </c>
      <c r="E2814" s="4" t="s">
        <v>629</v>
      </c>
      <c r="F2814" s="4" t="n">
        <v>56</v>
      </c>
      <c r="G2814" s="4" t="n">
        <v>1</v>
      </c>
      <c r="H2814" s="4" t="n">
        <v>3</v>
      </c>
      <c r="I2814" s="4" t="str">
        <v>○</v>
      </c>
      <c r="J2814" s="4" t="n">
        <v>190</v>
      </c>
      <c r="K2814" s="4"/>
      <c r="L2814" s="4"/>
      <c r="M2814" s="5" t="s">
        <v>2677</v>
      </c>
    </row>
    <row r="2815" customFormat="false" ht="15.75" hidden="false" customHeight="false" outlineLevel="0" collapsed="false">
      <c r="A2815" s="3" t="n">
        <v>46207</v>
      </c>
      <c r="B2815" s="4" t="s">
        <v>915</v>
      </c>
      <c r="C2815" s="4" t="n">
        <v>2</v>
      </c>
      <c r="D2815" s="4" t="n">
        <v>2</v>
      </c>
      <c r="E2815" s="4" t="s">
        <v>2684</v>
      </c>
      <c r="F2815" s="4" t="n">
        <v>20</v>
      </c>
      <c r="G2815" s="4" t="n">
        <v>5</v>
      </c>
      <c r="H2815" s="4" t="n">
        <v>1</v>
      </c>
      <c r="I2815" s="4" t="str">
        <v>○</v>
      </c>
      <c r="J2815" s="4" t="n">
        <v>400</v>
      </c>
      <c r="K2815" s="4"/>
      <c r="L2815" s="4"/>
      <c r="M2815" s="5" t="s">
        <v>2677</v>
      </c>
    </row>
    <row r="2816" customFormat="false" ht="15.75" hidden="false" customHeight="false" outlineLevel="0" collapsed="false">
      <c r="A2816" s="3" t="n">
        <v>46207</v>
      </c>
      <c r="B2816" s="4" t="s">
        <v>915</v>
      </c>
      <c r="C2816" s="4" t="n">
        <v>2</v>
      </c>
      <c r="D2816" s="4" t="n">
        <v>3</v>
      </c>
      <c r="E2816" s="4" t="s">
        <v>1012</v>
      </c>
      <c r="F2816" s="4" t="n">
        <v>50</v>
      </c>
      <c r="G2816" s="4" t="n">
        <v>2</v>
      </c>
      <c r="H2816" s="4" t="n">
        <v>4</v>
      </c>
      <c r="I2816" s="4" t="str">
        <v>×</v>
      </c>
      <c r="J2816" s="4"/>
      <c r="K2816" s="4"/>
      <c r="L2816" s="4"/>
      <c r="M2816" s="5" t="s">
        <v>2677</v>
      </c>
    </row>
    <row r="2817" customFormat="false" ht="15.75" hidden="false" customHeight="false" outlineLevel="0" collapsed="false">
      <c r="A2817" s="3" t="n">
        <v>46207</v>
      </c>
      <c r="B2817" s="4" t="s">
        <v>915</v>
      </c>
      <c r="C2817" s="4" t="n">
        <v>2</v>
      </c>
      <c r="D2817" s="4" t="n">
        <v>4</v>
      </c>
      <c r="E2817" s="4" t="s">
        <v>655</v>
      </c>
      <c r="F2817" s="4" t="n">
        <v>29</v>
      </c>
      <c r="G2817" s="4" t="n">
        <v>4</v>
      </c>
      <c r="H2817" s="4" t="n">
        <v>4</v>
      </c>
      <c r="I2817" s="4" t="str">
        <v>×</v>
      </c>
      <c r="J2817" s="4"/>
      <c r="K2817" s="4"/>
      <c r="L2817" s="4"/>
      <c r="M2817" s="5" t="s">
        <v>2677</v>
      </c>
    </row>
    <row r="2818" customFormat="false" ht="15.75" hidden="false" customHeight="false" outlineLevel="0" collapsed="false">
      <c r="A2818" s="3" t="n">
        <v>46207</v>
      </c>
      <c r="B2818" s="4" t="s">
        <v>915</v>
      </c>
      <c r="C2818" s="4" t="n">
        <v>2</v>
      </c>
      <c r="D2818" s="4" t="n">
        <v>5</v>
      </c>
      <c r="E2818" s="4" t="s">
        <v>2685</v>
      </c>
      <c r="F2818" s="4" t="n">
        <v>1</v>
      </c>
      <c r="G2818" s="4" t="n">
        <v>12</v>
      </c>
      <c r="H2818" s="4" t="n">
        <v>4</v>
      </c>
      <c r="I2818" s="4" t="str">
        <v>×</v>
      </c>
      <c r="J2818" s="4"/>
      <c r="K2818" s="4"/>
      <c r="L2818" s="4"/>
      <c r="M2818" s="5" t="s">
        <v>2677</v>
      </c>
    </row>
    <row r="2819" customFormat="false" ht="15.75" hidden="false" customHeight="false" outlineLevel="0" collapsed="false">
      <c r="A2819" s="3" t="n">
        <v>46207</v>
      </c>
      <c r="B2819" s="4" t="s">
        <v>915</v>
      </c>
      <c r="C2819" s="4" t="n">
        <v>2</v>
      </c>
      <c r="D2819" s="4" t="n">
        <v>6</v>
      </c>
      <c r="E2819" s="4" t="s">
        <v>2686</v>
      </c>
      <c r="F2819" s="4" t="n">
        <v>17</v>
      </c>
      <c r="G2819" s="4" t="n">
        <v>6</v>
      </c>
      <c r="H2819" s="4" t="n">
        <v>4</v>
      </c>
      <c r="I2819" s="4" t="str">
        <v>×</v>
      </c>
      <c r="J2819" s="4"/>
      <c r="K2819" s="4"/>
      <c r="L2819" s="4"/>
      <c r="M2819" s="5" t="s">
        <v>2677</v>
      </c>
    </row>
    <row r="2820" customFormat="false" ht="15.75" hidden="false" customHeight="false" outlineLevel="0" collapsed="false">
      <c r="A2820" s="3" t="n">
        <v>46207</v>
      </c>
      <c r="B2820" s="4" t="s">
        <v>915</v>
      </c>
      <c r="C2820" s="4" t="n">
        <v>2</v>
      </c>
      <c r="D2820" s="4" t="n">
        <v>7</v>
      </c>
      <c r="E2820" s="4" t="s">
        <v>2687</v>
      </c>
      <c r="F2820" s="4" t="n">
        <v>39</v>
      </c>
      <c r="G2820" s="4" t="n">
        <v>3</v>
      </c>
      <c r="H2820" s="4" t="n">
        <v>2</v>
      </c>
      <c r="I2820" s="4" t="str">
        <v>○</v>
      </c>
      <c r="J2820" s="4" t="n">
        <v>210</v>
      </c>
      <c r="K2820" s="4"/>
      <c r="L2820" s="4"/>
      <c r="M2820" s="5" t="s">
        <v>2677</v>
      </c>
    </row>
    <row r="2821" customFormat="false" ht="15.75" hidden="false" customHeight="false" outlineLevel="0" collapsed="false">
      <c r="A2821" s="3" t="n">
        <v>46207</v>
      </c>
      <c r="B2821" s="4" t="s">
        <v>915</v>
      </c>
      <c r="C2821" s="4" t="n">
        <v>2</v>
      </c>
      <c r="D2821" s="4" t="n">
        <v>8</v>
      </c>
      <c r="E2821" s="4" t="s">
        <v>2688</v>
      </c>
      <c r="F2821" s="4" t="n">
        <v>3</v>
      </c>
      <c r="G2821" s="4" t="n">
        <v>11</v>
      </c>
      <c r="H2821" s="4" t="n">
        <v>4</v>
      </c>
      <c r="I2821" s="4" t="str">
        <v>×</v>
      </c>
      <c r="J2821" s="4"/>
      <c r="K2821" s="4"/>
      <c r="L2821" s="4"/>
      <c r="M2821" s="5" t="s">
        <v>2677</v>
      </c>
    </row>
    <row r="2822" customFormat="false" ht="15.75" hidden="false" customHeight="false" outlineLevel="0" collapsed="false">
      <c r="A2822" s="3" t="n">
        <v>46207</v>
      </c>
      <c r="B2822" s="4" t="s">
        <v>915</v>
      </c>
      <c r="C2822" s="4" t="n">
        <v>2</v>
      </c>
      <c r="D2822" s="4" t="n">
        <v>9</v>
      </c>
      <c r="E2822" s="4" t="s">
        <v>2689</v>
      </c>
      <c r="F2822" s="4" t="n">
        <v>1</v>
      </c>
      <c r="G2822" s="4" t="n">
        <v>12</v>
      </c>
      <c r="H2822" s="4" t="n">
        <v>4</v>
      </c>
      <c r="I2822" s="4" t="str">
        <v>×</v>
      </c>
      <c r="J2822" s="4"/>
      <c r="K2822" s="4"/>
      <c r="L2822" s="4"/>
      <c r="M2822" s="5" t="s">
        <v>2677</v>
      </c>
    </row>
    <row r="2823" customFormat="false" ht="15.75" hidden="false" customHeight="false" outlineLevel="0" collapsed="false">
      <c r="A2823" s="3" t="n">
        <v>46207</v>
      </c>
      <c r="B2823" s="4" t="s">
        <v>915</v>
      </c>
      <c r="C2823" s="4" t="n">
        <v>2</v>
      </c>
      <c r="D2823" s="4" t="n">
        <v>10</v>
      </c>
      <c r="E2823" s="4" t="s">
        <v>2690</v>
      </c>
      <c r="F2823" s="4" t="n">
        <v>3</v>
      </c>
      <c r="G2823" s="4" t="n">
        <v>11</v>
      </c>
      <c r="H2823" s="4" t="n">
        <v>4</v>
      </c>
      <c r="I2823" s="4" t="str">
        <v>×</v>
      </c>
      <c r="J2823" s="4"/>
      <c r="K2823" s="4"/>
      <c r="L2823" s="4"/>
      <c r="M2823" s="5" t="s">
        <v>2677</v>
      </c>
    </row>
    <row r="2824" customFormat="false" ht="15.75" hidden="false" customHeight="false" outlineLevel="0" collapsed="false">
      <c r="A2824" s="3" t="n">
        <v>46207</v>
      </c>
      <c r="B2824" s="4" t="s">
        <v>915</v>
      </c>
      <c r="C2824" s="4" t="n">
        <v>2</v>
      </c>
      <c r="D2824" s="4" t="n">
        <v>11</v>
      </c>
      <c r="E2824" s="4" t="s">
        <v>2691</v>
      </c>
      <c r="F2824" s="4" t="n">
        <v>3</v>
      </c>
      <c r="G2824" s="4" t="n">
        <v>11</v>
      </c>
      <c r="H2824" s="4" t="n">
        <v>4</v>
      </c>
      <c r="I2824" s="4" t="str">
        <v>×</v>
      </c>
      <c r="J2824" s="4"/>
      <c r="K2824" s="4"/>
      <c r="L2824" s="4"/>
      <c r="M2824" s="5" t="s">
        <v>2677</v>
      </c>
    </row>
    <row r="2825" customFormat="false" ht="15.75" hidden="false" customHeight="false" outlineLevel="0" collapsed="false">
      <c r="A2825" s="3" t="n">
        <v>46207</v>
      </c>
      <c r="B2825" s="4" t="s">
        <v>915</v>
      </c>
      <c r="C2825" s="4" t="n">
        <v>2</v>
      </c>
      <c r="D2825" s="4" t="n">
        <v>12</v>
      </c>
      <c r="E2825" s="4" t="s">
        <v>621</v>
      </c>
      <c r="F2825" s="4" t="n">
        <v>6</v>
      </c>
      <c r="G2825" s="4" t="n">
        <v>9</v>
      </c>
      <c r="H2825" s="4" t="n">
        <v>4</v>
      </c>
      <c r="I2825" s="4" t="str">
        <v>×</v>
      </c>
      <c r="J2825" s="4"/>
      <c r="K2825" s="4"/>
      <c r="L2825" s="4"/>
      <c r="M2825" s="5" t="s">
        <v>2677</v>
      </c>
    </row>
    <row r="2826" customFormat="false" ht="15.75" hidden="false" customHeight="false" outlineLevel="0" collapsed="false">
      <c r="A2826" s="3" t="n">
        <v>46207</v>
      </c>
      <c r="B2826" s="4" t="s">
        <v>915</v>
      </c>
      <c r="C2826" s="4" t="n">
        <v>2</v>
      </c>
      <c r="D2826" s="4" t="n">
        <v>13</v>
      </c>
      <c r="E2826" s="4" t="s">
        <v>2692</v>
      </c>
      <c r="F2826" s="4" t="n">
        <v>20</v>
      </c>
      <c r="G2826" s="4" t="n">
        <v>5</v>
      </c>
      <c r="H2826" s="4" t="n">
        <v>4</v>
      </c>
      <c r="I2826" s="4" t="str">
        <v>×</v>
      </c>
      <c r="J2826" s="4"/>
      <c r="K2826" s="4"/>
      <c r="L2826" s="4"/>
      <c r="M2826" s="5" t="s">
        <v>2677</v>
      </c>
    </row>
    <row r="2827" customFormat="false" ht="15.75" hidden="false" customHeight="false" outlineLevel="0" collapsed="false">
      <c r="A2827" s="3" t="n">
        <v>46207</v>
      </c>
      <c r="B2827" s="4" t="s">
        <v>915</v>
      </c>
      <c r="C2827" s="4" t="n">
        <v>2</v>
      </c>
      <c r="D2827" s="4" t="n">
        <v>14</v>
      </c>
      <c r="E2827" s="4" t="s">
        <v>2693</v>
      </c>
      <c r="F2827" s="4" t="n">
        <v>4</v>
      </c>
      <c r="G2827" s="4" t="n">
        <v>10</v>
      </c>
      <c r="H2827" s="4" t="n">
        <v>4</v>
      </c>
      <c r="I2827" s="4" t="str">
        <v>×</v>
      </c>
      <c r="J2827" s="4"/>
      <c r="K2827" s="4"/>
      <c r="L2827" s="4"/>
      <c r="M2827" s="5" t="s">
        <v>2677</v>
      </c>
    </row>
    <row r="2828" customFormat="false" ht="15.75" hidden="false" customHeight="false" outlineLevel="0" collapsed="false">
      <c r="A2828" s="3" t="n">
        <v>46207</v>
      </c>
      <c r="B2828" s="4" t="s">
        <v>915</v>
      </c>
      <c r="C2828" s="4" t="n">
        <v>2</v>
      </c>
      <c r="D2828" s="4" t="n">
        <v>15</v>
      </c>
      <c r="E2828" s="4" t="s">
        <v>631</v>
      </c>
      <c r="F2828" s="4" t="n">
        <v>13</v>
      </c>
      <c r="G2828" s="4" t="n">
        <v>8</v>
      </c>
      <c r="H2828" s="4" t="n">
        <v>4</v>
      </c>
      <c r="I2828" s="4" t="str">
        <v>×</v>
      </c>
      <c r="J2828" s="4"/>
      <c r="K2828" s="4"/>
      <c r="L2828" s="4"/>
      <c r="M2828" s="5" t="s">
        <v>2677</v>
      </c>
    </row>
    <row r="2829" customFormat="false" ht="15.75" hidden="false" customHeight="false" outlineLevel="0" collapsed="false">
      <c r="A2829" s="3" t="n">
        <v>46207</v>
      </c>
      <c r="B2829" s="4" t="s">
        <v>915</v>
      </c>
      <c r="C2829" s="4" t="n">
        <v>2</v>
      </c>
      <c r="D2829" s="4" t="n">
        <v>16</v>
      </c>
      <c r="E2829" s="4" t="s">
        <v>2694</v>
      </c>
      <c r="F2829" s="4" t="n">
        <v>15</v>
      </c>
      <c r="G2829" s="4" t="n">
        <v>7</v>
      </c>
      <c r="H2829" s="4" t="n">
        <v>4</v>
      </c>
      <c r="I2829" s="4" t="str">
        <v>×</v>
      </c>
      <c r="J2829" s="4"/>
      <c r="K2829" s="4"/>
      <c r="L2829" s="4"/>
      <c r="M2829" s="5" t="s">
        <v>2677</v>
      </c>
    </row>
    <row r="2830" customFormat="false" ht="15.75" hidden="false" customHeight="false" outlineLevel="0" collapsed="false">
      <c r="A2830" s="3" t="n">
        <v>46207</v>
      </c>
      <c r="B2830" s="4" t="s">
        <v>915</v>
      </c>
      <c r="C2830" s="4" t="n">
        <v>3</v>
      </c>
      <c r="D2830" s="4" t="n">
        <v>1</v>
      </c>
      <c r="E2830" s="4" t="s">
        <v>1475</v>
      </c>
      <c r="F2830" s="4" t="n">
        <v>4</v>
      </c>
      <c r="G2830" s="4" t="n">
        <v>8</v>
      </c>
      <c r="H2830" s="4" t="n">
        <v>4</v>
      </c>
      <c r="I2830" s="4" t="str">
        <v>×</v>
      </c>
      <c r="J2830" s="4"/>
      <c r="K2830" s="4"/>
      <c r="L2830" s="4"/>
      <c r="M2830" s="5" t="s">
        <v>2677</v>
      </c>
    </row>
    <row r="2831" customFormat="false" ht="15.75" hidden="false" customHeight="false" outlineLevel="0" collapsed="false">
      <c r="A2831" s="3" t="n">
        <v>46207</v>
      </c>
      <c r="B2831" s="4" t="s">
        <v>915</v>
      </c>
      <c r="C2831" s="4" t="n">
        <v>3</v>
      </c>
      <c r="D2831" s="4" t="n">
        <v>2</v>
      </c>
      <c r="E2831" s="4" t="s">
        <v>2695</v>
      </c>
      <c r="F2831" s="4" t="n">
        <v>8</v>
      </c>
      <c r="G2831" s="4" t="n">
        <v>6</v>
      </c>
      <c r="H2831" s="4" t="n">
        <v>4</v>
      </c>
      <c r="I2831" s="4" t="str">
        <v>×</v>
      </c>
      <c r="J2831" s="4"/>
      <c r="K2831" s="4"/>
      <c r="L2831" s="4"/>
      <c r="M2831" s="5" t="s">
        <v>2677</v>
      </c>
    </row>
    <row r="2832" customFormat="false" ht="15.75" hidden="false" customHeight="false" outlineLevel="0" collapsed="false">
      <c r="A2832" s="3" t="n">
        <v>46207</v>
      </c>
      <c r="B2832" s="4" t="s">
        <v>915</v>
      </c>
      <c r="C2832" s="4" t="n">
        <v>3</v>
      </c>
      <c r="D2832" s="4" t="n">
        <v>3</v>
      </c>
      <c r="E2832" s="4" t="s">
        <v>2696</v>
      </c>
      <c r="F2832" s="4" t="n">
        <v>8</v>
      </c>
      <c r="G2832" s="4" t="n">
        <v>6</v>
      </c>
      <c r="H2832" s="4" t="n">
        <v>4</v>
      </c>
      <c r="I2832" s="4" t="str">
        <v>×</v>
      </c>
      <c r="J2832" s="4"/>
      <c r="K2832" s="4"/>
      <c r="L2832" s="4"/>
      <c r="M2832" s="5" t="s">
        <v>2677</v>
      </c>
    </row>
    <row r="2833" customFormat="false" ht="15.75" hidden="false" customHeight="false" outlineLevel="0" collapsed="false">
      <c r="A2833" s="3" t="n">
        <v>46207</v>
      </c>
      <c r="B2833" s="4" t="s">
        <v>915</v>
      </c>
      <c r="C2833" s="4" t="n">
        <v>3</v>
      </c>
      <c r="D2833" s="4" t="n">
        <v>4</v>
      </c>
      <c r="E2833" s="4" t="s">
        <v>2697</v>
      </c>
      <c r="F2833" s="4" t="n">
        <v>3</v>
      </c>
      <c r="G2833" s="4" t="n">
        <v>9</v>
      </c>
      <c r="H2833" s="4" t="n">
        <v>4</v>
      </c>
      <c r="I2833" s="4" t="str">
        <v>×</v>
      </c>
      <c r="J2833" s="4"/>
      <c r="K2833" s="4"/>
      <c r="L2833" s="4"/>
      <c r="M2833" s="5" t="s">
        <v>2677</v>
      </c>
    </row>
    <row r="2834" customFormat="false" ht="15.75" hidden="false" customHeight="false" outlineLevel="0" collapsed="false">
      <c r="A2834" s="3" t="n">
        <v>46207</v>
      </c>
      <c r="B2834" s="4" t="s">
        <v>915</v>
      </c>
      <c r="C2834" s="4" t="n">
        <v>3</v>
      </c>
      <c r="D2834" s="4" t="n">
        <v>5</v>
      </c>
      <c r="E2834" s="4" t="s">
        <v>2698</v>
      </c>
      <c r="F2834" s="4" t="n">
        <v>2</v>
      </c>
      <c r="G2834" s="4" t="n">
        <v>10</v>
      </c>
      <c r="H2834" s="4" t="n">
        <v>4</v>
      </c>
      <c r="I2834" s="4" t="str">
        <v>×</v>
      </c>
      <c r="J2834" s="4"/>
      <c r="K2834" s="4"/>
      <c r="L2834" s="4"/>
      <c r="M2834" s="5" t="s">
        <v>2677</v>
      </c>
    </row>
    <row r="2835" customFormat="false" ht="15.75" hidden="false" customHeight="false" outlineLevel="0" collapsed="false">
      <c r="A2835" s="3" t="n">
        <v>46207</v>
      </c>
      <c r="B2835" s="4" t="s">
        <v>915</v>
      </c>
      <c r="C2835" s="4" t="n">
        <v>3</v>
      </c>
      <c r="D2835" s="4" t="n">
        <v>6</v>
      </c>
      <c r="E2835" s="4" t="s">
        <v>2699</v>
      </c>
      <c r="F2835" s="4" t="n">
        <v>3</v>
      </c>
      <c r="G2835" s="4" t="n">
        <v>9</v>
      </c>
      <c r="H2835" s="4" t="n">
        <v>4</v>
      </c>
      <c r="I2835" s="4" t="str">
        <v>×</v>
      </c>
      <c r="J2835" s="4"/>
      <c r="K2835" s="4"/>
      <c r="L2835" s="4"/>
      <c r="M2835" s="5" t="s">
        <v>2677</v>
      </c>
    </row>
    <row r="2836" customFormat="false" ht="15.75" hidden="false" customHeight="false" outlineLevel="0" collapsed="false">
      <c r="A2836" s="3" t="n">
        <v>46207</v>
      </c>
      <c r="B2836" s="4" t="s">
        <v>915</v>
      </c>
      <c r="C2836" s="4" t="n">
        <v>3</v>
      </c>
      <c r="D2836" s="4" t="n">
        <v>7</v>
      </c>
      <c r="E2836" s="4" t="s">
        <v>2700</v>
      </c>
      <c r="F2836" s="4" t="n">
        <v>4</v>
      </c>
      <c r="G2836" s="4" t="n">
        <v>8</v>
      </c>
      <c r="H2836" s="4" t="n">
        <v>4</v>
      </c>
      <c r="I2836" s="4" t="str">
        <v>×</v>
      </c>
      <c r="J2836" s="4"/>
      <c r="K2836" s="4"/>
      <c r="L2836" s="4"/>
      <c r="M2836" s="5" t="s">
        <v>2677</v>
      </c>
    </row>
    <row r="2837" customFormat="false" ht="15.75" hidden="false" customHeight="false" outlineLevel="0" collapsed="false">
      <c r="A2837" s="3" t="n">
        <v>46207</v>
      </c>
      <c r="B2837" s="4" t="s">
        <v>915</v>
      </c>
      <c r="C2837" s="4" t="n">
        <v>3</v>
      </c>
      <c r="D2837" s="4" t="n">
        <v>8</v>
      </c>
      <c r="E2837" s="4" t="s">
        <v>2701</v>
      </c>
      <c r="F2837" s="4" t="n">
        <v>86</v>
      </c>
      <c r="G2837" s="4" t="n">
        <v>1</v>
      </c>
      <c r="H2837" s="4" t="n">
        <v>2</v>
      </c>
      <c r="I2837" s="4" t="str">
        <v>○</v>
      </c>
      <c r="J2837" s="4" t="n">
        <v>110</v>
      </c>
      <c r="K2837" s="4" t="n">
        <v>1.1</v>
      </c>
      <c r="L2837" s="4" t="n">
        <v>1.1</v>
      </c>
      <c r="M2837" s="5" t="s">
        <v>2677</v>
      </c>
    </row>
    <row r="2838" customFormat="false" ht="15.75" hidden="false" customHeight="false" outlineLevel="0" collapsed="false">
      <c r="A2838" s="3" t="n">
        <v>46207</v>
      </c>
      <c r="B2838" s="4" t="s">
        <v>915</v>
      </c>
      <c r="C2838" s="4" t="n">
        <v>3</v>
      </c>
      <c r="D2838" s="4" t="n">
        <v>9</v>
      </c>
      <c r="E2838" s="4" t="s">
        <v>2702</v>
      </c>
      <c r="F2838" s="4" t="n">
        <v>6</v>
      </c>
      <c r="G2838" s="4" t="n">
        <v>7</v>
      </c>
      <c r="H2838" s="4" t="n">
        <v>1</v>
      </c>
      <c r="I2838" s="4" t="str">
        <v>○</v>
      </c>
      <c r="J2838" s="4" t="n">
        <v>1600</v>
      </c>
      <c r="K2838" s="4"/>
      <c r="L2838" s="4"/>
      <c r="M2838" s="5" t="s">
        <v>2677</v>
      </c>
    </row>
    <row r="2839" customFormat="false" ht="15.75" hidden="false" customHeight="false" outlineLevel="0" collapsed="false">
      <c r="A2839" s="3" t="n">
        <v>46207</v>
      </c>
      <c r="B2839" s="4" t="s">
        <v>915</v>
      </c>
      <c r="C2839" s="4" t="n">
        <v>3</v>
      </c>
      <c r="D2839" s="4" t="n">
        <v>10</v>
      </c>
      <c r="E2839" s="4" t="s">
        <v>2703</v>
      </c>
      <c r="F2839" s="4" t="n">
        <v>13</v>
      </c>
      <c r="G2839" s="4" t="n">
        <v>5</v>
      </c>
      <c r="H2839" s="4" t="n">
        <v>4</v>
      </c>
      <c r="I2839" s="4" t="str">
        <v>×</v>
      </c>
      <c r="J2839" s="4"/>
      <c r="K2839" s="4"/>
      <c r="L2839" s="4"/>
      <c r="M2839" s="5" t="s">
        <v>2677</v>
      </c>
    </row>
    <row r="2840" customFormat="false" ht="15.75" hidden="false" customHeight="false" outlineLevel="0" collapsed="false">
      <c r="A2840" s="3" t="n">
        <v>46207</v>
      </c>
      <c r="B2840" s="4" t="s">
        <v>915</v>
      </c>
      <c r="C2840" s="4" t="n">
        <v>3</v>
      </c>
      <c r="D2840" s="4" t="n">
        <v>11</v>
      </c>
      <c r="E2840" s="4" t="s">
        <v>2704</v>
      </c>
      <c r="F2840" s="4" t="n">
        <v>3</v>
      </c>
      <c r="G2840" s="4" t="n">
        <v>9</v>
      </c>
      <c r="H2840" s="4" t="n">
        <v>4</v>
      </c>
      <c r="I2840" s="4" t="str">
        <v>×</v>
      </c>
      <c r="J2840" s="4"/>
      <c r="K2840" s="4"/>
      <c r="L2840" s="4"/>
      <c r="M2840" s="5" t="s">
        <v>2677</v>
      </c>
    </row>
    <row r="2841" customFormat="false" ht="15.75" hidden="false" customHeight="false" outlineLevel="0" collapsed="false">
      <c r="A2841" s="3" t="n">
        <v>46207</v>
      </c>
      <c r="B2841" s="4" t="s">
        <v>915</v>
      </c>
      <c r="C2841" s="4" t="n">
        <v>3</v>
      </c>
      <c r="D2841" s="4" t="n">
        <v>12</v>
      </c>
      <c r="E2841" s="4" t="s">
        <v>1469</v>
      </c>
      <c r="F2841" s="4" t="n">
        <v>75</v>
      </c>
      <c r="G2841" s="4" t="n">
        <v>2</v>
      </c>
      <c r="H2841" s="4" t="n">
        <v>3</v>
      </c>
      <c r="I2841" s="4" t="str">
        <v>○</v>
      </c>
      <c r="J2841" s="4" t="n">
        <v>110</v>
      </c>
      <c r="K2841" s="4"/>
      <c r="L2841" s="4"/>
      <c r="M2841" s="5" t="s">
        <v>2677</v>
      </c>
    </row>
    <row r="2842" customFormat="false" ht="15.75" hidden="false" customHeight="false" outlineLevel="0" collapsed="false">
      <c r="A2842" s="3" t="n">
        <v>46207</v>
      </c>
      <c r="B2842" s="4" t="s">
        <v>915</v>
      </c>
      <c r="C2842" s="4" t="n">
        <v>3</v>
      </c>
      <c r="D2842" s="4" t="n">
        <v>13</v>
      </c>
      <c r="E2842" s="4" t="s">
        <v>2705</v>
      </c>
      <c r="F2842" s="4" t="n">
        <v>8</v>
      </c>
      <c r="G2842" s="4" t="n">
        <v>6</v>
      </c>
      <c r="H2842" s="4" t="n">
        <v>4</v>
      </c>
      <c r="I2842" s="4" t="str">
        <v>×</v>
      </c>
      <c r="J2842" s="4"/>
      <c r="K2842" s="4"/>
      <c r="L2842" s="4"/>
      <c r="M2842" s="5" t="s">
        <v>2677</v>
      </c>
    </row>
    <row r="2843" customFormat="false" ht="15.75" hidden="false" customHeight="false" outlineLevel="0" collapsed="false">
      <c r="A2843" s="3" t="n">
        <v>46207</v>
      </c>
      <c r="B2843" s="4" t="s">
        <v>915</v>
      </c>
      <c r="C2843" s="4" t="n">
        <v>3</v>
      </c>
      <c r="D2843" s="4" t="n">
        <v>14</v>
      </c>
      <c r="E2843" s="4" t="s">
        <v>828</v>
      </c>
      <c r="F2843" s="4" t="n">
        <v>20</v>
      </c>
      <c r="G2843" s="4" t="n">
        <v>4</v>
      </c>
      <c r="H2843" s="4" t="n">
        <v>4</v>
      </c>
      <c r="I2843" s="4" t="str">
        <v>×</v>
      </c>
      <c r="J2843" s="4"/>
      <c r="K2843" s="4"/>
      <c r="L2843" s="4"/>
      <c r="M2843" s="5" t="s">
        <v>2677</v>
      </c>
    </row>
    <row r="2844" customFormat="false" ht="15.75" hidden="false" customHeight="false" outlineLevel="0" collapsed="false">
      <c r="A2844" s="3" t="n">
        <v>46207</v>
      </c>
      <c r="B2844" s="4" t="s">
        <v>915</v>
      </c>
      <c r="C2844" s="4" t="n">
        <v>3</v>
      </c>
      <c r="D2844" s="4" t="n">
        <v>15</v>
      </c>
      <c r="E2844" s="4" t="s">
        <v>1470</v>
      </c>
      <c r="F2844" s="4" t="n">
        <v>39</v>
      </c>
      <c r="G2844" s="4" t="n">
        <v>3</v>
      </c>
      <c r="H2844" s="4" t="n">
        <v>4</v>
      </c>
      <c r="I2844" s="4" t="str">
        <v>×</v>
      </c>
      <c r="J2844" s="4"/>
      <c r="K2844" s="4"/>
      <c r="L2844" s="4"/>
      <c r="M2844" s="5" t="s">
        <v>2677</v>
      </c>
    </row>
    <row r="2845" customFormat="false" ht="15.75" hidden="false" customHeight="false" outlineLevel="0" collapsed="false">
      <c r="A2845" s="3" t="n">
        <v>46207</v>
      </c>
      <c r="B2845" s="4" t="s">
        <v>915</v>
      </c>
      <c r="C2845" s="4" t="n">
        <v>4</v>
      </c>
      <c r="D2845" s="4" t="n">
        <v>1</v>
      </c>
      <c r="E2845" s="4" t="s">
        <v>2706</v>
      </c>
      <c r="F2845" s="4" t="n">
        <v>15</v>
      </c>
      <c r="G2845" s="4" t="n">
        <v>5</v>
      </c>
      <c r="H2845" s="4" t="n">
        <v>4</v>
      </c>
      <c r="I2845" s="4" t="str">
        <v>×</v>
      </c>
      <c r="J2845" s="4"/>
      <c r="K2845" s="4"/>
      <c r="L2845" s="4"/>
      <c r="M2845" s="5" t="s">
        <v>2677</v>
      </c>
    </row>
    <row r="2846" customFormat="false" ht="15.75" hidden="false" customHeight="false" outlineLevel="0" collapsed="false">
      <c r="A2846" s="3" t="n">
        <v>46207</v>
      </c>
      <c r="B2846" s="4" t="s">
        <v>915</v>
      </c>
      <c r="C2846" s="4" t="n">
        <v>4</v>
      </c>
      <c r="D2846" s="4" t="n">
        <v>2</v>
      </c>
      <c r="E2846" s="4" t="s">
        <v>2707</v>
      </c>
      <c r="F2846" s="4" t="n">
        <v>23</v>
      </c>
      <c r="G2846" s="4" t="n">
        <v>4</v>
      </c>
      <c r="H2846" s="4" t="n">
        <v>4</v>
      </c>
      <c r="I2846" s="4" t="str">
        <v>×</v>
      </c>
      <c r="J2846" s="4"/>
      <c r="K2846" s="4"/>
      <c r="L2846" s="4"/>
      <c r="M2846" s="5" t="s">
        <v>2677</v>
      </c>
    </row>
    <row r="2847" customFormat="false" ht="15.75" hidden="false" customHeight="false" outlineLevel="0" collapsed="false">
      <c r="A2847" s="3" t="n">
        <v>46207</v>
      </c>
      <c r="B2847" s="4" t="s">
        <v>915</v>
      </c>
      <c r="C2847" s="4" t="n">
        <v>4</v>
      </c>
      <c r="D2847" s="4" t="n">
        <v>3</v>
      </c>
      <c r="E2847" s="4" t="s">
        <v>810</v>
      </c>
      <c r="F2847" s="4" t="n">
        <v>13</v>
      </c>
      <c r="G2847" s="4" t="n">
        <v>6</v>
      </c>
      <c r="H2847" s="4" t="n">
        <v>4</v>
      </c>
      <c r="I2847" s="4" t="str">
        <v>×</v>
      </c>
      <c r="J2847" s="4"/>
      <c r="K2847" s="4"/>
      <c r="L2847" s="4"/>
      <c r="M2847" s="5" t="s">
        <v>2677</v>
      </c>
    </row>
    <row r="2848" customFormat="false" ht="15.75" hidden="false" customHeight="false" outlineLevel="0" collapsed="false">
      <c r="A2848" s="3" t="n">
        <v>46207</v>
      </c>
      <c r="B2848" s="4" t="s">
        <v>915</v>
      </c>
      <c r="C2848" s="4" t="n">
        <v>4</v>
      </c>
      <c r="D2848" s="4" t="n">
        <v>4</v>
      </c>
      <c r="E2848" s="4" t="s">
        <v>2708</v>
      </c>
      <c r="F2848" s="4" t="n">
        <v>15</v>
      </c>
      <c r="G2848" s="4" t="n">
        <v>5</v>
      </c>
      <c r="H2848" s="4" t="n">
        <v>4</v>
      </c>
      <c r="I2848" s="4" t="str">
        <v>×</v>
      </c>
      <c r="J2848" s="4"/>
      <c r="K2848" s="4"/>
      <c r="L2848" s="4"/>
      <c r="M2848" s="5" t="s">
        <v>2677</v>
      </c>
    </row>
    <row r="2849" customFormat="false" ht="15.75" hidden="false" customHeight="false" outlineLevel="0" collapsed="false">
      <c r="A2849" s="3" t="n">
        <v>46207</v>
      </c>
      <c r="B2849" s="4" t="s">
        <v>915</v>
      </c>
      <c r="C2849" s="4" t="n">
        <v>4</v>
      </c>
      <c r="D2849" s="4" t="n">
        <v>5</v>
      </c>
      <c r="E2849" s="4" t="s">
        <v>2709</v>
      </c>
      <c r="F2849" s="4" t="n">
        <v>4</v>
      </c>
      <c r="G2849" s="4" t="n">
        <v>8</v>
      </c>
      <c r="H2849" s="4" t="n">
        <v>4</v>
      </c>
      <c r="I2849" s="4" t="str">
        <v>×</v>
      </c>
      <c r="J2849" s="4"/>
      <c r="K2849" s="4"/>
      <c r="L2849" s="4"/>
      <c r="M2849" s="5" t="s">
        <v>2677</v>
      </c>
    </row>
    <row r="2850" customFormat="false" ht="15.75" hidden="false" customHeight="false" outlineLevel="0" collapsed="false">
      <c r="A2850" s="3" t="n">
        <v>46207</v>
      </c>
      <c r="B2850" s="4" t="s">
        <v>915</v>
      </c>
      <c r="C2850" s="4" t="n">
        <v>4</v>
      </c>
      <c r="D2850" s="4" t="n">
        <v>6</v>
      </c>
      <c r="E2850" s="4" t="s">
        <v>2710</v>
      </c>
      <c r="F2850" s="4" t="n">
        <v>13</v>
      </c>
      <c r="G2850" s="4" t="n">
        <v>6</v>
      </c>
      <c r="H2850" s="4" t="n">
        <v>4</v>
      </c>
      <c r="I2850" s="4" t="str">
        <v>×</v>
      </c>
      <c r="J2850" s="4"/>
      <c r="K2850" s="4"/>
      <c r="L2850" s="4"/>
      <c r="M2850" s="5" t="s">
        <v>2677</v>
      </c>
    </row>
    <row r="2851" customFormat="false" ht="15.75" hidden="false" customHeight="false" outlineLevel="0" collapsed="false">
      <c r="A2851" s="3" t="n">
        <v>46207</v>
      </c>
      <c r="B2851" s="4" t="s">
        <v>915</v>
      </c>
      <c r="C2851" s="4" t="n">
        <v>4</v>
      </c>
      <c r="D2851" s="4" t="n">
        <v>7</v>
      </c>
      <c r="E2851" s="4" t="s">
        <v>2711</v>
      </c>
      <c r="F2851" s="4" t="n">
        <v>2</v>
      </c>
      <c r="G2851" s="4" t="n">
        <v>9</v>
      </c>
      <c r="H2851" s="4" t="n">
        <v>4</v>
      </c>
      <c r="I2851" s="4" t="str">
        <v>×</v>
      </c>
      <c r="J2851" s="4"/>
      <c r="K2851" s="4"/>
      <c r="L2851" s="4"/>
      <c r="M2851" s="5" t="s">
        <v>2677</v>
      </c>
    </row>
    <row r="2852" customFormat="false" ht="15.75" hidden="false" customHeight="false" outlineLevel="0" collapsed="false">
      <c r="A2852" s="3" t="n">
        <v>46207</v>
      </c>
      <c r="B2852" s="4" t="s">
        <v>915</v>
      </c>
      <c r="C2852" s="4" t="n">
        <v>4</v>
      </c>
      <c r="D2852" s="4" t="n">
        <v>8</v>
      </c>
      <c r="E2852" s="4" t="s">
        <v>2712</v>
      </c>
      <c r="F2852" s="4" t="n">
        <v>25</v>
      </c>
      <c r="G2852" s="4" t="n">
        <v>3</v>
      </c>
      <c r="H2852" s="4" t="n">
        <v>4</v>
      </c>
      <c r="I2852" s="4" t="str">
        <v>×</v>
      </c>
      <c r="J2852" s="4"/>
      <c r="K2852" s="4"/>
      <c r="L2852" s="4"/>
      <c r="M2852" s="5" t="s">
        <v>2677</v>
      </c>
    </row>
    <row r="2853" customFormat="false" ht="15.75" hidden="false" customHeight="false" outlineLevel="0" collapsed="false">
      <c r="A2853" s="3" t="n">
        <v>46207</v>
      </c>
      <c r="B2853" s="4" t="s">
        <v>915</v>
      </c>
      <c r="C2853" s="4" t="n">
        <v>4</v>
      </c>
      <c r="D2853" s="4" t="n">
        <v>9</v>
      </c>
      <c r="E2853" s="4" t="s">
        <v>2713</v>
      </c>
      <c r="F2853" s="4" t="n">
        <v>75</v>
      </c>
      <c r="G2853" s="4" t="n">
        <v>1</v>
      </c>
      <c r="H2853" s="4" t="n">
        <v>1</v>
      </c>
      <c r="I2853" s="4" t="str">
        <v>○</v>
      </c>
      <c r="J2853" s="4" t="n">
        <v>110</v>
      </c>
      <c r="K2853" s="4"/>
      <c r="L2853" s="4"/>
      <c r="M2853" s="5" t="s">
        <v>2677</v>
      </c>
    </row>
    <row r="2854" customFormat="false" ht="15.75" hidden="false" customHeight="false" outlineLevel="0" collapsed="false">
      <c r="A2854" s="3" t="n">
        <v>46207</v>
      </c>
      <c r="B2854" s="4" t="s">
        <v>915</v>
      </c>
      <c r="C2854" s="4" t="n">
        <v>4</v>
      </c>
      <c r="D2854" s="4" t="n">
        <v>10</v>
      </c>
      <c r="E2854" s="4" t="s">
        <v>2714</v>
      </c>
      <c r="F2854" s="4" t="n">
        <v>4</v>
      </c>
      <c r="G2854" s="4" t="n">
        <v>8</v>
      </c>
      <c r="H2854" s="4" t="n">
        <v>4</v>
      </c>
      <c r="I2854" s="4" t="str">
        <v>×</v>
      </c>
      <c r="J2854" s="4"/>
      <c r="K2854" s="4"/>
      <c r="L2854" s="4"/>
      <c r="M2854" s="5" t="s">
        <v>2677</v>
      </c>
    </row>
    <row r="2855" customFormat="false" ht="15.75" hidden="false" customHeight="false" outlineLevel="0" collapsed="false">
      <c r="A2855" s="3" t="n">
        <v>46207</v>
      </c>
      <c r="B2855" s="4" t="s">
        <v>915</v>
      </c>
      <c r="C2855" s="4" t="n">
        <v>4</v>
      </c>
      <c r="D2855" s="4" t="n">
        <v>11</v>
      </c>
      <c r="E2855" s="4" t="s">
        <v>2715</v>
      </c>
      <c r="F2855" s="4" t="n">
        <v>2</v>
      </c>
      <c r="G2855" s="4" t="n">
        <v>9</v>
      </c>
      <c r="H2855" s="4" t="n">
        <v>4</v>
      </c>
      <c r="I2855" s="4" t="str">
        <v>×</v>
      </c>
      <c r="J2855" s="4"/>
      <c r="K2855" s="4"/>
      <c r="L2855" s="4"/>
      <c r="M2855" s="5" t="s">
        <v>2677</v>
      </c>
    </row>
    <row r="2856" customFormat="false" ht="15.75" hidden="false" customHeight="false" outlineLevel="0" collapsed="false">
      <c r="A2856" s="3" t="n">
        <v>46207</v>
      </c>
      <c r="B2856" s="4" t="s">
        <v>915</v>
      </c>
      <c r="C2856" s="4" t="n">
        <v>4</v>
      </c>
      <c r="D2856" s="4" t="n">
        <v>12</v>
      </c>
      <c r="E2856" s="4" t="s">
        <v>965</v>
      </c>
      <c r="F2856" s="4" t="n">
        <v>25</v>
      </c>
      <c r="G2856" s="4" t="n">
        <v>3</v>
      </c>
      <c r="H2856" s="4" t="n">
        <v>3</v>
      </c>
      <c r="I2856" s="4" t="str">
        <v>○</v>
      </c>
      <c r="J2856" s="4" t="n">
        <v>310</v>
      </c>
      <c r="K2856" s="4"/>
      <c r="L2856" s="4"/>
      <c r="M2856" s="5" t="s">
        <v>2677</v>
      </c>
    </row>
    <row r="2857" customFormat="false" ht="15.75" hidden="false" customHeight="false" outlineLevel="0" collapsed="false">
      <c r="A2857" s="3" t="n">
        <v>46207</v>
      </c>
      <c r="B2857" s="4" t="s">
        <v>915</v>
      </c>
      <c r="C2857" s="4" t="n">
        <v>4</v>
      </c>
      <c r="D2857" s="4" t="n">
        <v>13</v>
      </c>
      <c r="E2857" s="4" t="s">
        <v>2716</v>
      </c>
      <c r="F2857" s="4" t="n">
        <v>6</v>
      </c>
      <c r="G2857" s="4" t="n">
        <v>7</v>
      </c>
      <c r="H2857" s="4" t="n">
        <v>4</v>
      </c>
      <c r="I2857" s="4" t="str">
        <v>×</v>
      </c>
      <c r="J2857" s="4"/>
      <c r="K2857" s="4"/>
      <c r="L2857" s="4"/>
      <c r="M2857" s="5" t="s">
        <v>2677</v>
      </c>
    </row>
    <row r="2858" customFormat="false" ht="15.75" hidden="false" customHeight="false" outlineLevel="0" collapsed="false">
      <c r="A2858" s="3" t="n">
        <v>46207</v>
      </c>
      <c r="B2858" s="4" t="s">
        <v>915</v>
      </c>
      <c r="C2858" s="4" t="n">
        <v>4</v>
      </c>
      <c r="D2858" s="4" t="n">
        <v>14</v>
      </c>
      <c r="E2858" s="4" t="s">
        <v>2717</v>
      </c>
      <c r="F2858" s="4" t="n">
        <v>4</v>
      </c>
      <c r="G2858" s="4" t="n">
        <v>8</v>
      </c>
      <c r="H2858" s="4" t="n">
        <v>4</v>
      </c>
      <c r="I2858" s="4" t="str">
        <v>×</v>
      </c>
      <c r="J2858" s="4"/>
      <c r="K2858" s="4"/>
      <c r="L2858" s="4"/>
      <c r="M2858" s="5" t="s">
        <v>2677</v>
      </c>
    </row>
    <row r="2859" customFormat="false" ht="15.75" hidden="false" customHeight="false" outlineLevel="0" collapsed="false">
      <c r="A2859" s="3" t="n">
        <v>46207</v>
      </c>
      <c r="B2859" s="4" t="s">
        <v>915</v>
      </c>
      <c r="C2859" s="4" t="n">
        <v>4</v>
      </c>
      <c r="D2859" s="4" t="n">
        <v>15</v>
      </c>
      <c r="E2859" s="4" t="s">
        <v>969</v>
      </c>
      <c r="F2859" s="4" t="n">
        <v>4</v>
      </c>
      <c r="G2859" s="4" t="n">
        <v>8</v>
      </c>
      <c r="H2859" s="4" t="n">
        <v>4</v>
      </c>
      <c r="I2859" s="4" t="str">
        <v>×</v>
      </c>
      <c r="J2859" s="4"/>
      <c r="K2859" s="4"/>
      <c r="L2859" s="4"/>
      <c r="M2859" s="5" t="s">
        <v>2677</v>
      </c>
    </row>
    <row r="2860" customFormat="false" ht="15.75" hidden="false" customHeight="false" outlineLevel="0" collapsed="false">
      <c r="A2860" s="3" t="n">
        <v>46207</v>
      </c>
      <c r="B2860" s="4" t="s">
        <v>915</v>
      </c>
      <c r="C2860" s="4" t="n">
        <v>4</v>
      </c>
      <c r="D2860" s="4" t="n">
        <v>16</v>
      </c>
      <c r="E2860" s="4" t="s">
        <v>966</v>
      </c>
      <c r="F2860" s="4" t="n">
        <v>31</v>
      </c>
      <c r="G2860" s="4" t="n">
        <v>2</v>
      </c>
      <c r="H2860" s="4" t="n">
        <v>2</v>
      </c>
      <c r="I2860" s="4" t="str">
        <v>○</v>
      </c>
      <c r="J2860" s="4" t="n">
        <v>170</v>
      </c>
      <c r="K2860" s="4"/>
      <c r="L2860" s="4"/>
      <c r="M2860" s="5" t="s">
        <v>2677</v>
      </c>
    </row>
    <row r="2861" customFormat="false" ht="15.75" hidden="false" customHeight="false" outlineLevel="0" collapsed="false">
      <c r="A2861" s="3" t="n">
        <v>46207</v>
      </c>
      <c r="B2861" s="4" t="s">
        <v>915</v>
      </c>
      <c r="C2861" s="4" t="n">
        <v>5</v>
      </c>
      <c r="D2861" s="4" t="n">
        <v>1</v>
      </c>
      <c r="E2861" s="4" t="s">
        <v>2718</v>
      </c>
      <c r="F2861" s="4" t="n">
        <v>37</v>
      </c>
      <c r="G2861" s="4" t="n">
        <v>1</v>
      </c>
      <c r="H2861" s="4" t="n">
        <v>1</v>
      </c>
      <c r="I2861" s="4" t="str">
        <v>○</v>
      </c>
      <c r="J2861" s="4" t="n">
        <v>170</v>
      </c>
      <c r="K2861" s="4"/>
      <c r="L2861" s="4"/>
      <c r="M2861" s="5" t="s">
        <v>2677</v>
      </c>
    </row>
    <row r="2862" customFormat="false" ht="15.75" hidden="false" customHeight="false" outlineLevel="0" collapsed="false">
      <c r="A2862" s="3" t="n">
        <v>46207</v>
      </c>
      <c r="B2862" s="4" t="s">
        <v>915</v>
      </c>
      <c r="C2862" s="4" t="n">
        <v>5</v>
      </c>
      <c r="D2862" s="4" t="n">
        <v>2</v>
      </c>
      <c r="E2862" s="4" t="s">
        <v>14</v>
      </c>
      <c r="F2862" s="4" t="n">
        <v>12</v>
      </c>
      <c r="G2862" s="4" t="n">
        <v>7</v>
      </c>
      <c r="H2862" s="4" t="n">
        <v>4</v>
      </c>
      <c r="I2862" s="4" t="str">
        <v>×</v>
      </c>
      <c r="J2862" s="4"/>
      <c r="K2862" s="4"/>
      <c r="L2862" s="4"/>
      <c r="M2862" s="5" t="s">
        <v>2677</v>
      </c>
    </row>
    <row r="2863" customFormat="false" ht="15.75" hidden="false" customHeight="false" outlineLevel="0" collapsed="false">
      <c r="A2863" s="3" t="n">
        <v>46207</v>
      </c>
      <c r="B2863" s="4" t="s">
        <v>915</v>
      </c>
      <c r="C2863" s="4" t="n">
        <v>5</v>
      </c>
      <c r="D2863" s="4" t="n">
        <v>3</v>
      </c>
      <c r="E2863" s="4" t="s">
        <v>2719</v>
      </c>
      <c r="F2863" s="4" t="n">
        <v>24</v>
      </c>
      <c r="G2863" s="4" t="n">
        <v>4</v>
      </c>
      <c r="H2863" s="4" t="n">
        <v>4</v>
      </c>
      <c r="I2863" s="4" t="str">
        <v>×</v>
      </c>
      <c r="J2863" s="4"/>
      <c r="K2863" s="4"/>
      <c r="L2863" s="4"/>
      <c r="M2863" s="5" t="s">
        <v>2677</v>
      </c>
    </row>
    <row r="2864" customFormat="false" ht="15.75" hidden="false" customHeight="false" outlineLevel="0" collapsed="false">
      <c r="A2864" s="3" t="n">
        <v>46207</v>
      </c>
      <c r="B2864" s="4" t="s">
        <v>915</v>
      </c>
      <c r="C2864" s="4" t="n">
        <v>5</v>
      </c>
      <c r="D2864" s="4" t="n">
        <v>4</v>
      </c>
      <c r="E2864" s="4" t="s">
        <v>2720</v>
      </c>
      <c r="F2864" s="4" t="n">
        <v>8</v>
      </c>
      <c r="G2864" s="4" t="n">
        <v>8</v>
      </c>
      <c r="H2864" s="4" t="n">
        <v>4</v>
      </c>
      <c r="I2864" s="4" t="str">
        <v>×</v>
      </c>
      <c r="J2864" s="4"/>
      <c r="K2864" s="4"/>
      <c r="L2864" s="4"/>
      <c r="M2864" s="5" t="s">
        <v>2677</v>
      </c>
    </row>
    <row r="2865" customFormat="false" ht="15.75" hidden="false" customHeight="false" outlineLevel="0" collapsed="false">
      <c r="A2865" s="3" t="n">
        <v>46207</v>
      </c>
      <c r="B2865" s="4" t="s">
        <v>915</v>
      </c>
      <c r="C2865" s="4" t="n">
        <v>5</v>
      </c>
      <c r="D2865" s="4" t="n">
        <v>5</v>
      </c>
      <c r="E2865" s="4" t="s">
        <v>18</v>
      </c>
      <c r="F2865" s="4" t="n">
        <v>21</v>
      </c>
      <c r="G2865" s="4" t="n">
        <v>5</v>
      </c>
      <c r="H2865" s="4" t="n">
        <v>4</v>
      </c>
      <c r="I2865" s="4" t="str">
        <v>×</v>
      </c>
      <c r="J2865" s="4"/>
      <c r="K2865" s="4"/>
      <c r="L2865" s="4"/>
      <c r="M2865" s="5" t="s">
        <v>2677</v>
      </c>
    </row>
    <row r="2866" customFormat="false" ht="15.75" hidden="false" customHeight="false" outlineLevel="0" collapsed="false">
      <c r="A2866" s="3" t="n">
        <v>46207</v>
      </c>
      <c r="B2866" s="4" t="s">
        <v>915</v>
      </c>
      <c r="C2866" s="4" t="n">
        <v>5</v>
      </c>
      <c r="D2866" s="4" t="n">
        <v>6</v>
      </c>
      <c r="E2866" s="4" t="s">
        <v>2721</v>
      </c>
      <c r="F2866" s="4" t="n">
        <v>21</v>
      </c>
      <c r="G2866" s="4" t="n">
        <v>5</v>
      </c>
      <c r="H2866" s="4" t="n">
        <v>4</v>
      </c>
      <c r="I2866" s="4" t="str">
        <v>×</v>
      </c>
      <c r="J2866" s="4"/>
      <c r="K2866" s="4"/>
      <c r="L2866" s="4"/>
      <c r="M2866" s="5" t="s">
        <v>2677</v>
      </c>
    </row>
    <row r="2867" customFormat="false" ht="15.75" hidden="false" customHeight="false" outlineLevel="0" collapsed="false">
      <c r="A2867" s="3" t="n">
        <v>46207</v>
      </c>
      <c r="B2867" s="4" t="s">
        <v>915</v>
      </c>
      <c r="C2867" s="4" t="n">
        <v>5</v>
      </c>
      <c r="D2867" s="4" t="n">
        <v>7</v>
      </c>
      <c r="E2867" s="4" t="s">
        <v>2722</v>
      </c>
      <c r="F2867" s="4" t="n">
        <v>16</v>
      </c>
      <c r="G2867" s="4" t="n">
        <v>6</v>
      </c>
      <c r="H2867" s="4" t="n">
        <v>3</v>
      </c>
      <c r="I2867" s="4" t="str">
        <v>○</v>
      </c>
      <c r="J2867" s="4" t="n">
        <v>1650</v>
      </c>
      <c r="K2867" s="4"/>
      <c r="L2867" s="4"/>
      <c r="M2867" s="5" t="s">
        <v>2677</v>
      </c>
    </row>
    <row r="2868" customFormat="false" ht="15.75" hidden="false" customHeight="false" outlineLevel="0" collapsed="false">
      <c r="A2868" s="3" t="n">
        <v>46207</v>
      </c>
      <c r="B2868" s="4" t="s">
        <v>915</v>
      </c>
      <c r="C2868" s="4" t="n">
        <v>5</v>
      </c>
      <c r="D2868" s="4" t="n">
        <v>8</v>
      </c>
      <c r="E2868" s="4" t="s">
        <v>2723</v>
      </c>
      <c r="F2868" s="4" t="n">
        <v>8</v>
      </c>
      <c r="G2868" s="4" t="n">
        <v>8</v>
      </c>
      <c r="H2868" s="4" t="n">
        <v>4</v>
      </c>
      <c r="I2868" s="4" t="str">
        <v>×</v>
      </c>
      <c r="J2868" s="4"/>
      <c r="K2868" s="4"/>
      <c r="L2868" s="4"/>
      <c r="M2868" s="5" t="s">
        <v>2677</v>
      </c>
    </row>
    <row r="2869" customFormat="false" ht="15.75" hidden="false" customHeight="false" outlineLevel="0" collapsed="false">
      <c r="A2869" s="3" t="n">
        <v>46207</v>
      </c>
      <c r="B2869" s="4" t="s">
        <v>915</v>
      </c>
      <c r="C2869" s="4" t="n">
        <v>5</v>
      </c>
      <c r="D2869" s="4" t="n">
        <v>9</v>
      </c>
      <c r="E2869" s="4" t="s">
        <v>2724</v>
      </c>
      <c r="F2869" s="4" t="n">
        <v>27</v>
      </c>
      <c r="G2869" s="4" t="n">
        <v>3</v>
      </c>
      <c r="H2869" s="4" t="n">
        <v>4</v>
      </c>
      <c r="I2869" s="4" t="str">
        <v>×</v>
      </c>
      <c r="J2869" s="4"/>
      <c r="K2869" s="4"/>
      <c r="L2869" s="4"/>
      <c r="M2869" s="5" t="s">
        <v>2677</v>
      </c>
    </row>
    <row r="2870" customFormat="false" ht="15.75" hidden="false" customHeight="false" outlineLevel="0" collapsed="false">
      <c r="A2870" s="3" t="n">
        <v>46207</v>
      </c>
      <c r="B2870" s="4" t="s">
        <v>915</v>
      </c>
      <c r="C2870" s="4" t="n">
        <v>5</v>
      </c>
      <c r="D2870" s="4" t="n">
        <v>10</v>
      </c>
      <c r="E2870" s="4" t="s">
        <v>2725</v>
      </c>
      <c r="F2870" s="4" t="n">
        <v>21</v>
      </c>
      <c r="G2870" s="4" t="n">
        <v>5</v>
      </c>
      <c r="H2870" s="4" t="n">
        <v>2</v>
      </c>
      <c r="I2870" s="4" t="str">
        <v>○</v>
      </c>
      <c r="J2870" s="4" t="n">
        <v>200</v>
      </c>
      <c r="K2870" s="4"/>
      <c r="L2870" s="4"/>
      <c r="M2870" s="5" t="s">
        <v>2677</v>
      </c>
    </row>
    <row r="2871" customFormat="false" ht="15.75" hidden="false" customHeight="false" outlineLevel="0" collapsed="false">
      <c r="A2871" s="3" t="n">
        <v>46207</v>
      </c>
      <c r="B2871" s="4" t="s">
        <v>915</v>
      </c>
      <c r="C2871" s="4" t="n">
        <v>5</v>
      </c>
      <c r="D2871" s="4" t="n">
        <v>11</v>
      </c>
      <c r="E2871" s="4" t="s">
        <v>2726</v>
      </c>
      <c r="F2871" s="4" t="n">
        <v>8</v>
      </c>
      <c r="G2871" s="4" t="n">
        <v>8</v>
      </c>
      <c r="H2871" s="4" t="n">
        <v>4</v>
      </c>
      <c r="I2871" s="4" t="str">
        <v>×</v>
      </c>
      <c r="J2871" s="4"/>
      <c r="K2871" s="4"/>
      <c r="L2871" s="4"/>
      <c r="M2871" s="5" t="s">
        <v>2677</v>
      </c>
    </row>
    <row r="2872" customFormat="false" ht="15.75" hidden="false" customHeight="false" outlineLevel="0" collapsed="false">
      <c r="A2872" s="3" t="n">
        <v>46207</v>
      </c>
      <c r="B2872" s="4" t="s">
        <v>915</v>
      </c>
      <c r="C2872" s="4" t="n">
        <v>5</v>
      </c>
      <c r="D2872" s="4" t="n">
        <v>12</v>
      </c>
      <c r="E2872" s="4" t="s">
        <v>936</v>
      </c>
      <c r="F2872" s="4" t="n">
        <v>8</v>
      </c>
      <c r="G2872" s="4" t="n">
        <v>8</v>
      </c>
      <c r="H2872" s="4" t="n">
        <v>4</v>
      </c>
      <c r="I2872" s="4" t="str">
        <v>×</v>
      </c>
      <c r="J2872" s="4"/>
      <c r="K2872" s="4"/>
      <c r="L2872" s="4"/>
      <c r="M2872" s="5" t="s">
        <v>2677</v>
      </c>
    </row>
    <row r="2873" customFormat="false" ht="15.75" hidden="false" customHeight="false" outlineLevel="0" collapsed="false">
      <c r="A2873" s="3" t="n">
        <v>46207</v>
      </c>
      <c r="B2873" s="4" t="s">
        <v>915</v>
      </c>
      <c r="C2873" s="4" t="n">
        <v>5</v>
      </c>
      <c r="D2873" s="4" t="n">
        <v>13</v>
      </c>
      <c r="E2873" s="4" t="s">
        <v>2727</v>
      </c>
      <c r="F2873" s="4" t="n">
        <v>24</v>
      </c>
      <c r="G2873" s="4" t="n">
        <v>4</v>
      </c>
      <c r="H2873" s="4" t="n">
        <v>4</v>
      </c>
      <c r="I2873" s="4" t="str">
        <v>×</v>
      </c>
      <c r="J2873" s="4"/>
      <c r="K2873" s="4"/>
      <c r="L2873" s="4"/>
      <c r="M2873" s="5" t="s">
        <v>2677</v>
      </c>
    </row>
    <row r="2874" customFormat="false" ht="15.75" hidden="false" customHeight="false" outlineLevel="0" collapsed="false">
      <c r="A2874" s="3" t="n">
        <v>46207</v>
      </c>
      <c r="B2874" s="4" t="s">
        <v>915</v>
      </c>
      <c r="C2874" s="4" t="n">
        <v>5</v>
      </c>
      <c r="D2874" s="4" t="n">
        <v>14</v>
      </c>
      <c r="E2874" s="4" t="s">
        <v>2728</v>
      </c>
      <c r="F2874" s="4" t="n">
        <v>31</v>
      </c>
      <c r="G2874" s="4" t="n">
        <v>2</v>
      </c>
      <c r="H2874" s="4" t="n">
        <v>4</v>
      </c>
      <c r="I2874" s="4" t="str">
        <v>×</v>
      </c>
      <c r="J2874" s="4"/>
      <c r="K2874" s="4"/>
      <c r="L2874" s="4"/>
      <c r="M2874" s="5" t="s">
        <v>2677</v>
      </c>
    </row>
    <row r="2875" customFormat="false" ht="15.75" hidden="false" customHeight="false" outlineLevel="0" collapsed="false">
      <c r="A2875" s="3" t="n">
        <v>46207</v>
      </c>
      <c r="B2875" s="4" t="s">
        <v>915</v>
      </c>
      <c r="C2875" s="4" t="n">
        <v>6</v>
      </c>
      <c r="D2875" s="4" t="n">
        <v>1</v>
      </c>
      <c r="E2875" s="4" t="s">
        <v>2729</v>
      </c>
      <c r="F2875" s="4" t="n">
        <v>24</v>
      </c>
      <c r="G2875" s="4" t="n">
        <v>3</v>
      </c>
      <c r="H2875" s="4" t="n">
        <v>4</v>
      </c>
      <c r="I2875" s="4" t="str">
        <v>×</v>
      </c>
      <c r="J2875" s="4"/>
      <c r="K2875" s="4"/>
      <c r="L2875" s="4"/>
      <c r="M2875" s="5" t="s">
        <v>2677</v>
      </c>
    </row>
    <row r="2876" customFormat="false" ht="15.75" hidden="false" customHeight="false" outlineLevel="0" collapsed="false">
      <c r="A2876" s="3" t="n">
        <v>46207</v>
      </c>
      <c r="B2876" s="4" t="s">
        <v>915</v>
      </c>
      <c r="C2876" s="4" t="n">
        <v>6</v>
      </c>
      <c r="D2876" s="4" t="n">
        <v>2</v>
      </c>
      <c r="E2876" s="4" t="s">
        <v>2730</v>
      </c>
      <c r="F2876" s="4" t="n">
        <v>3</v>
      </c>
      <c r="G2876" s="4" t="n">
        <v>8</v>
      </c>
      <c r="H2876" s="4" t="n">
        <v>4</v>
      </c>
      <c r="I2876" s="4" t="str">
        <v>×</v>
      </c>
      <c r="J2876" s="4"/>
      <c r="K2876" s="4"/>
      <c r="L2876" s="4"/>
      <c r="M2876" s="5" t="s">
        <v>2677</v>
      </c>
    </row>
    <row r="2877" customFormat="false" ht="15.75" hidden="false" customHeight="false" outlineLevel="0" collapsed="false">
      <c r="A2877" s="3" t="n">
        <v>46207</v>
      </c>
      <c r="B2877" s="4" t="s">
        <v>915</v>
      </c>
      <c r="C2877" s="4" t="n">
        <v>6</v>
      </c>
      <c r="D2877" s="4" t="n">
        <v>3</v>
      </c>
      <c r="E2877" s="4" t="s">
        <v>2731</v>
      </c>
      <c r="F2877" s="4" t="n">
        <v>24</v>
      </c>
      <c r="G2877" s="4" t="n">
        <v>3</v>
      </c>
      <c r="H2877" s="4" t="n">
        <v>4</v>
      </c>
      <c r="I2877" s="4" t="str">
        <v>×</v>
      </c>
      <c r="J2877" s="4"/>
      <c r="K2877" s="4"/>
      <c r="L2877" s="4"/>
      <c r="M2877" s="5" t="s">
        <v>2677</v>
      </c>
    </row>
    <row r="2878" customFormat="false" ht="15.75" hidden="false" customHeight="false" outlineLevel="0" collapsed="false">
      <c r="A2878" s="3" t="n">
        <v>46207</v>
      </c>
      <c r="B2878" s="4" t="s">
        <v>915</v>
      </c>
      <c r="C2878" s="4" t="n">
        <v>6</v>
      </c>
      <c r="D2878" s="4" t="n">
        <v>4</v>
      </c>
      <c r="E2878" s="4" t="s">
        <v>2732</v>
      </c>
      <c r="F2878" s="4" t="n">
        <v>31</v>
      </c>
      <c r="G2878" s="4" t="n">
        <v>1</v>
      </c>
      <c r="H2878" s="4" t="n">
        <v>1</v>
      </c>
      <c r="I2878" s="4" t="str">
        <v>○</v>
      </c>
      <c r="J2878" s="4" t="n">
        <v>210</v>
      </c>
      <c r="K2878" s="4"/>
      <c r="L2878" s="4"/>
      <c r="M2878" s="5" t="s">
        <v>2677</v>
      </c>
    </row>
    <row r="2879" customFormat="false" ht="15.75" hidden="false" customHeight="false" outlineLevel="0" collapsed="false">
      <c r="A2879" s="3" t="n">
        <v>46207</v>
      </c>
      <c r="B2879" s="4" t="s">
        <v>915</v>
      </c>
      <c r="C2879" s="4" t="n">
        <v>6</v>
      </c>
      <c r="D2879" s="4" t="n">
        <v>5</v>
      </c>
      <c r="E2879" s="4" t="s">
        <v>2733</v>
      </c>
      <c r="F2879" s="4" t="n">
        <v>6</v>
      </c>
      <c r="G2879" s="4" t="n">
        <v>7</v>
      </c>
      <c r="H2879" s="4" t="n">
        <v>4</v>
      </c>
      <c r="I2879" s="4" t="str">
        <v>×</v>
      </c>
      <c r="J2879" s="4"/>
      <c r="K2879" s="4"/>
      <c r="L2879" s="4"/>
      <c r="M2879" s="5" t="s">
        <v>2677</v>
      </c>
    </row>
    <row r="2880" customFormat="false" ht="15.75" hidden="false" customHeight="false" outlineLevel="0" collapsed="false">
      <c r="A2880" s="3" t="n">
        <v>46207</v>
      </c>
      <c r="B2880" s="4" t="s">
        <v>915</v>
      </c>
      <c r="C2880" s="4" t="n">
        <v>6</v>
      </c>
      <c r="D2880" s="4" t="n">
        <v>6</v>
      </c>
      <c r="E2880" s="4" t="s">
        <v>2734</v>
      </c>
      <c r="F2880" s="4" t="n">
        <v>21</v>
      </c>
      <c r="G2880" s="4" t="n">
        <v>4</v>
      </c>
      <c r="H2880" s="4" t="n">
        <v>4</v>
      </c>
      <c r="I2880" s="4" t="str">
        <v>×</v>
      </c>
      <c r="J2880" s="4"/>
      <c r="K2880" s="4"/>
      <c r="L2880" s="4"/>
      <c r="M2880" s="5" t="s">
        <v>2677</v>
      </c>
    </row>
    <row r="2881" customFormat="false" ht="15.75" hidden="false" customHeight="false" outlineLevel="0" collapsed="false">
      <c r="A2881" s="3" t="n">
        <v>46207</v>
      </c>
      <c r="B2881" s="4" t="s">
        <v>915</v>
      </c>
      <c r="C2881" s="4" t="n">
        <v>6</v>
      </c>
      <c r="D2881" s="4" t="n">
        <v>7</v>
      </c>
      <c r="E2881" s="4" t="s">
        <v>2735</v>
      </c>
      <c r="F2881" s="4" t="n">
        <v>12</v>
      </c>
      <c r="G2881" s="4" t="n">
        <v>6</v>
      </c>
      <c r="H2881" s="4" t="n">
        <v>4</v>
      </c>
      <c r="I2881" s="4" t="str">
        <v>×</v>
      </c>
      <c r="J2881" s="4"/>
      <c r="K2881" s="4"/>
      <c r="L2881" s="4"/>
      <c r="M2881" s="5" t="s">
        <v>2677</v>
      </c>
    </row>
    <row r="2882" customFormat="false" ht="15.75" hidden="false" customHeight="false" outlineLevel="0" collapsed="false">
      <c r="A2882" s="3" t="n">
        <v>46207</v>
      </c>
      <c r="B2882" s="4" t="s">
        <v>915</v>
      </c>
      <c r="C2882" s="4" t="n">
        <v>6</v>
      </c>
      <c r="D2882" s="4" t="n">
        <v>8</v>
      </c>
      <c r="E2882" s="4" t="s">
        <v>2736</v>
      </c>
      <c r="F2882" s="4" t="n">
        <v>31</v>
      </c>
      <c r="G2882" s="4" t="n">
        <v>1</v>
      </c>
      <c r="H2882" s="4" t="n">
        <v>4</v>
      </c>
      <c r="I2882" s="4" t="str">
        <v>×</v>
      </c>
      <c r="J2882" s="4"/>
      <c r="K2882" s="4"/>
      <c r="L2882" s="4"/>
      <c r="M2882" s="5" t="s">
        <v>2677</v>
      </c>
    </row>
    <row r="2883" customFormat="false" ht="15.75" hidden="false" customHeight="false" outlineLevel="0" collapsed="false">
      <c r="A2883" s="3" t="n">
        <v>46207</v>
      </c>
      <c r="B2883" s="4" t="s">
        <v>915</v>
      </c>
      <c r="C2883" s="4" t="n">
        <v>6</v>
      </c>
      <c r="D2883" s="4" t="n">
        <v>9</v>
      </c>
      <c r="E2883" s="4" t="s">
        <v>2737</v>
      </c>
      <c r="F2883" s="4" t="n">
        <v>27</v>
      </c>
      <c r="G2883" s="4" t="n">
        <v>2</v>
      </c>
      <c r="H2883" s="4" t="n">
        <v>4</v>
      </c>
      <c r="I2883" s="4" t="str">
        <v>×</v>
      </c>
      <c r="J2883" s="4"/>
      <c r="K2883" s="4"/>
      <c r="L2883" s="4"/>
      <c r="M2883" s="5" t="s">
        <v>2677</v>
      </c>
    </row>
    <row r="2884" customFormat="false" ht="15.75" hidden="false" customHeight="false" outlineLevel="0" collapsed="false">
      <c r="A2884" s="3" t="n">
        <v>46207</v>
      </c>
      <c r="B2884" s="4" t="s">
        <v>915</v>
      </c>
      <c r="C2884" s="4" t="n">
        <v>6</v>
      </c>
      <c r="D2884" s="4" t="n">
        <v>10</v>
      </c>
      <c r="E2884" s="4" t="s">
        <v>2738</v>
      </c>
      <c r="F2884" s="4" t="n">
        <v>27</v>
      </c>
      <c r="G2884" s="4" t="n">
        <v>2</v>
      </c>
      <c r="H2884" s="4" t="n">
        <v>2</v>
      </c>
      <c r="I2884" s="4" t="str">
        <v>○</v>
      </c>
      <c r="J2884" s="4" t="n">
        <v>130</v>
      </c>
      <c r="K2884" s="4"/>
      <c r="L2884" s="4"/>
      <c r="M2884" s="5" t="s">
        <v>2677</v>
      </c>
    </row>
    <row r="2885" customFormat="false" ht="15.75" hidden="false" customHeight="false" outlineLevel="0" collapsed="false">
      <c r="A2885" s="3" t="n">
        <v>46207</v>
      </c>
      <c r="B2885" s="4" t="s">
        <v>915</v>
      </c>
      <c r="C2885" s="4" t="n">
        <v>6</v>
      </c>
      <c r="D2885" s="4" t="n">
        <v>11</v>
      </c>
      <c r="E2885" s="4" t="s">
        <v>2739</v>
      </c>
      <c r="F2885" s="4" t="n">
        <v>31</v>
      </c>
      <c r="G2885" s="4" t="n">
        <v>1</v>
      </c>
      <c r="H2885" s="4" t="n">
        <v>3</v>
      </c>
      <c r="I2885" s="4" t="str">
        <v>○</v>
      </c>
      <c r="J2885" s="4" t="n">
        <v>480</v>
      </c>
      <c r="K2885" s="4"/>
      <c r="L2885" s="4"/>
      <c r="M2885" s="5" t="s">
        <v>2677</v>
      </c>
    </row>
    <row r="2886" customFormat="false" ht="15.75" hidden="false" customHeight="false" outlineLevel="0" collapsed="false">
      <c r="A2886" s="3" t="n">
        <v>46207</v>
      </c>
      <c r="B2886" s="4" t="s">
        <v>915</v>
      </c>
      <c r="C2886" s="4" t="n">
        <v>6</v>
      </c>
      <c r="D2886" s="4" t="n">
        <v>12</v>
      </c>
      <c r="E2886" s="4" t="s">
        <v>2740</v>
      </c>
      <c r="F2886" s="4" t="n">
        <v>14</v>
      </c>
      <c r="G2886" s="4" t="n">
        <v>5</v>
      </c>
      <c r="H2886" s="4" t="n">
        <v>4</v>
      </c>
      <c r="I2886" s="4" t="str">
        <v>×</v>
      </c>
      <c r="J2886" s="4"/>
      <c r="K2886" s="4"/>
      <c r="L2886" s="4"/>
      <c r="M2886" s="5" t="s">
        <v>2677</v>
      </c>
    </row>
    <row r="2887" customFormat="false" ht="15.75" hidden="false" customHeight="false" outlineLevel="0" collapsed="false">
      <c r="A2887" s="3" t="n">
        <v>46207</v>
      </c>
      <c r="B2887" s="4" t="s">
        <v>915</v>
      </c>
      <c r="C2887" s="4" t="n">
        <v>6</v>
      </c>
      <c r="D2887" s="4" t="n">
        <v>13</v>
      </c>
      <c r="E2887" s="4" t="s">
        <v>2741</v>
      </c>
      <c r="F2887" s="4" t="n">
        <v>24</v>
      </c>
      <c r="G2887" s="4" t="n">
        <v>3</v>
      </c>
      <c r="H2887" s="4" t="n">
        <v>4</v>
      </c>
      <c r="I2887" s="4" t="str">
        <v>×</v>
      </c>
      <c r="J2887" s="4"/>
      <c r="K2887" s="4"/>
      <c r="L2887" s="4"/>
      <c r="M2887" s="5" t="s">
        <v>2677</v>
      </c>
    </row>
    <row r="2888" customFormat="false" ht="15.75" hidden="false" customHeight="false" outlineLevel="0" collapsed="false">
      <c r="A2888" s="3" t="n">
        <v>46207</v>
      </c>
      <c r="B2888" s="4" t="s">
        <v>915</v>
      </c>
      <c r="C2888" s="4" t="n">
        <v>6</v>
      </c>
      <c r="D2888" s="4" t="n">
        <v>14</v>
      </c>
      <c r="E2888" s="4" t="s">
        <v>2742</v>
      </c>
      <c r="F2888" s="4" t="n">
        <v>24</v>
      </c>
      <c r="G2888" s="4" t="n">
        <v>3</v>
      </c>
      <c r="H2888" s="4" t="n">
        <v>4</v>
      </c>
      <c r="I2888" s="4" t="str">
        <v>×</v>
      </c>
      <c r="J2888" s="4"/>
      <c r="K2888" s="4"/>
      <c r="L2888" s="4"/>
      <c r="M2888" s="5" t="s">
        <v>2677</v>
      </c>
    </row>
    <row r="2889" customFormat="false" ht="15.75" hidden="false" customHeight="false" outlineLevel="0" collapsed="false">
      <c r="A2889" s="3" t="n">
        <v>46207</v>
      </c>
      <c r="B2889" s="4" t="s">
        <v>915</v>
      </c>
      <c r="C2889" s="4" t="n">
        <v>6</v>
      </c>
      <c r="D2889" s="4" t="n">
        <v>15</v>
      </c>
      <c r="E2889" s="4" t="s">
        <v>2743</v>
      </c>
      <c r="F2889" s="4" t="n">
        <v>12</v>
      </c>
      <c r="G2889" s="4" t="n">
        <v>6</v>
      </c>
      <c r="H2889" s="4" t="n">
        <v>4</v>
      </c>
      <c r="I2889" s="4" t="str">
        <v>×</v>
      </c>
      <c r="J2889" s="4"/>
      <c r="K2889" s="4"/>
      <c r="L2889" s="4"/>
      <c r="M2889" s="5" t="s">
        <v>2677</v>
      </c>
    </row>
    <row r="2890" customFormat="false" ht="15.75" hidden="false" customHeight="false" outlineLevel="0" collapsed="false">
      <c r="A2890" s="3" t="n">
        <v>46207</v>
      </c>
      <c r="B2890" s="4" t="s">
        <v>915</v>
      </c>
      <c r="C2890" s="4" t="n">
        <v>7</v>
      </c>
      <c r="D2890" s="4" t="n">
        <v>1</v>
      </c>
      <c r="E2890" s="4" t="s">
        <v>2744</v>
      </c>
      <c r="F2890" s="4" t="n">
        <v>2</v>
      </c>
      <c r="G2890" s="4" t="n">
        <v>11</v>
      </c>
      <c r="H2890" s="4" t="n">
        <v>4</v>
      </c>
      <c r="I2890" s="4" t="str">
        <v>×</v>
      </c>
      <c r="J2890" s="4"/>
      <c r="K2890" s="4"/>
      <c r="L2890" s="4"/>
      <c r="M2890" s="5" t="s">
        <v>2677</v>
      </c>
    </row>
    <row r="2891" customFormat="false" ht="15.75" hidden="false" customHeight="false" outlineLevel="0" collapsed="false">
      <c r="A2891" s="3" t="n">
        <v>46207</v>
      </c>
      <c r="B2891" s="4" t="s">
        <v>915</v>
      </c>
      <c r="C2891" s="4" t="n">
        <v>7</v>
      </c>
      <c r="D2891" s="4" t="n">
        <v>2</v>
      </c>
      <c r="E2891" s="4" t="s">
        <v>2745</v>
      </c>
      <c r="F2891" s="4" t="n">
        <v>31</v>
      </c>
      <c r="G2891" s="4" t="n">
        <v>3</v>
      </c>
      <c r="H2891" s="4" t="n">
        <v>4</v>
      </c>
      <c r="I2891" s="4" t="str">
        <v>×</v>
      </c>
      <c r="J2891" s="4"/>
      <c r="K2891" s="4"/>
      <c r="L2891" s="4"/>
      <c r="M2891" s="5" t="s">
        <v>2677</v>
      </c>
    </row>
    <row r="2892" customFormat="false" ht="15.75" hidden="false" customHeight="false" outlineLevel="0" collapsed="false">
      <c r="A2892" s="3" t="n">
        <v>46207</v>
      </c>
      <c r="B2892" s="4" t="s">
        <v>915</v>
      </c>
      <c r="C2892" s="4" t="n">
        <v>7</v>
      </c>
      <c r="D2892" s="4" t="n">
        <v>3</v>
      </c>
      <c r="E2892" s="4" t="s">
        <v>2746</v>
      </c>
      <c r="F2892" s="4" t="n">
        <v>15</v>
      </c>
      <c r="G2892" s="4" t="n">
        <v>6</v>
      </c>
      <c r="H2892" s="4" t="n">
        <v>4</v>
      </c>
      <c r="I2892" s="4" t="str">
        <v>×</v>
      </c>
      <c r="J2892" s="4"/>
      <c r="K2892" s="4"/>
      <c r="L2892" s="4"/>
      <c r="M2892" s="5" t="s">
        <v>2677</v>
      </c>
    </row>
    <row r="2893" customFormat="false" ht="15.75" hidden="false" customHeight="false" outlineLevel="0" collapsed="false">
      <c r="A2893" s="3" t="n">
        <v>46207</v>
      </c>
      <c r="B2893" s="4" t="s">
        <v>915</v>
      </c>
      <c r="C2893" s="4" t="n">
        <v>7</v>
      </c>
      <c r="D2893" s="4" t="n">
        <v>4</v>
      </c>
      <c r="E2893" s="4" t="s">
        <v>2747</v>
      </c>
      <c r="F2893" s="4" t="n">
        <v>4</v>
      </c>
      <c r="G2893" s="4" t="n">
        <v>10</v>
      </c>
      <c r="H2893" s="4" t="n">
        <v>4</v>
      </c>
      <c r="I2893" s="4" t="str">
        <v>×</v>
      </c>
      <c r="J2893" s="4"/>
      <c r="K2893" s="4"/>
      <c r="L2893" s="4"/>
      <c r="M2893" s="5" t="s">
        <v>2677</v>
      </c>
    </row>
    <row r="2894" customFormat="false" ht="15.75" hidden="false" customHeight="false" outlineLevel="0" collapsed="false">
      <c r="A2894" s="3" t="n">
        <v>46207</v>
      </c>
      <c r="B2894" s="4" t="s">
        <v>915</v>
      </c>
      <c r="C2894" s="4" t="n">
        <v>7</v>
      </c>
      <c r="D2894" s="4" t="n">
        <v>5</v>
      </c>
      <c r="E2894" s="4" t="s">
        <v>2748</v>
      </c>
      <c r="F2894" s="4" t="n">
        <v>6</v>
      </c>
      <c r="G2894" s="4" t="n">
        <v>9</v>
      </c>
      <c r="H2894" s="4" t="n">
        <v>4</v>
      </c>
      <c r="I2894" s="4" t="str">
        <v>×</v>
      </c>
      <c r="J2894" s="4"/>
      <c r="K2894" s="4"/>
      <c r="L2894" s="4"/>
      <c r="M2894" s="5" t="s">
        <v>2677</v>
      </c>
    </row>
    <row r="2895" customFormat="false" ht="15.75" hidden="false" customHeight="false" outlineLevel="0" collapsed="false">
      <c r="A2895" s="3" t="n">
        <v>46207</v>
      </c>
      <c r="B2895" s="4" t="s">
        <v>915</v>
      </c>
      <c r="C2895" s="4" t="n">
        <v>7</v>
      </c>
      <c r="D2895" s="4" t="n">
        <v>6</v>
      </c>
      <c r="E2895" s="4" t="s">
        <v>2749</v>
      </c>
      <c r="F2895" s="4" t="n">
        <v>44</v>
      </c>
      <c r="G2895" s="4" t="n">
        <v>2</v>
      </c>
      <c r="H2895" s="4" t="n">
        <v>4</v>
      </c>
      <c r="I2895" s="4" t="str">
        <v>×</v>
      </c>
      <c r="J2895" s="4"/>
      <c r="K2895" s="4"/>
      <c r="L2895" s="4"/>
      <c r="M2895" s="5" t="s">
        <v>2677</v>
      </c>
    </row>
    <row r="2896" customFormat="false" ht="15.75" hidden="false" customHeight="false" outlineLevel="0" collapsed="false">
      <c r="A2896" s="3" t="n">
        <v>46207</v>
      </c>
      <c r="B2896" s="4" t="s">
        <v>915</v>
      </c>
      <c r="C2896" s="4" t="n">
        <v>7</v>
      </c>
      <c r="D2896" s="4" t="n">
        <v>7</v>
      </c>
      <c r="E2896" s="4" t="s">
        <v>2750</v>
      </c>
      <c r="F2896" s="4" t="n">
        <v>65</v>
      </c>
      <c r="G2896" s="4" t="n">
        <v>1</v>
      </c>
      <c r="H2896" s="4" t="n">
        <v>1</v>
      </c>
      <c r="I2896" s="4" t="str">
        <v>○</v>
      </c>
      <c r="J2896" s="4" t="n">
        <v>180</v>
      </c>
      <c r="K2896" s="4"/>
      <c r="L2896" s="4"/>
      <c r="M2896" s="5" t="s">
        <v>2677</v>
      </c>
    </row>
    <row r="2897" customFormat="false" ht="15.75" hidden="false" customHeight="false" outlineLevel="0" collapsed="false">
      <c r="A2897" s="3" t="n">
        <v>46207</v>
      </c>
      <c r="B2897" s="4" t="s">
        <v>915</v>
      </c>
      <c r="C2897" s="4" t="n">
        <v>7</v>
      </c>
      <c r="D2897" s="4" t="n">
        <v>8</v>
      </c>
      <c r="E2897" s="4" t="s">
        <v>2751</v>
      </c>
      <c r="F2897" s="4" t="n">
        <v>13</v>
      </c>
      <c r="G2897" s="4" t="n">
        <v>7</v>
      </c>
      <c r="H2897" s="4" t="n">
        <v>4</v>
      </c>
      <c r="I2897" s="4" t="str">
        <v>×</v>
      </c>
      <c r="J2897" s="4"/>
      <c r="K2897" s="4"/>
      <c r="L2897" s="4"/>
      <c r="M2897" s="5" t="s">
        <v>2677</v>
      </c>
    </row>
    <row r="2898" customFormat="false" ht="15.75" hidden="false" customHeight="false" outlineLevel="0" collapsed="false">
      <c r="A2898" s="3" t="n">
        <v>46207</v>
      </c>
      <c r="B2898" s="4" t="s">
        <v>915</v>
      </c>
      <c r="C2898" s="4" t="n">
        <v>7</v>
      </c>
      <c r="D2898" s="4" t="n">
        <v>9</v>
      </c>
      <c r="E2898" s="4" t="s">
        <v>2752</v>
      </c>
      <c r="F2898" s="4" t="n">
        <v>17</v>
      </c>
      <c r="G2898" s="4" t="n">
        <v>5</v>
      </c>
      <c r="H2898" s="4" t="n">
        <v>2</v>
      </c>
      <c r="I2898" s="4" t="str">
        <v>○</v>
      </c>
      <c r="J2898" s="4" t="n">
        <v>470</v>
      </c>
      <c r="K2898" s="4"/>
      <c r="L2898" s="4"/>
      <c r="M2898" s="5" t="s">
        <v>2677</v>
      </c>
    </row>
    <row r="2899" customFormat="false" ht="15.75" hidden="false" customHeight="false" outlineLevel="0" collapsed="false">
      <c r="A2899" s="3" t="n">
        <v>46207</v>
      </c>
      <c r="B2899" s="4" t="s">
        <v>915</v>
      </c>
      <c r="C2899" s="4" t="n">
        <v>7</v>
      </c>
      <c r="D2899" s="4" t="n">
        <v>10</v>
      </c>
      <c r="E2899" s="4" t="s">
        <v>2753</v>
      </c>
      <c r="F2899" s="4" t="n">
        <v>4</v>
      </c>
      <c r="G2899" s="4" t="n">
        <v>10</v>
      </c>
      <c r="H2899" s="4" t="n">
        <v>4</v>
      </c>
      <c r="I2899" s="4" t="str">
        <v>×</v>
      </c>
      <c r="J2899" s="4"/>
      <c r="K2899" s="4"/>
      <c r="L2899" s="4"/>
      <c r="M2899" s="5" t="s">
        <v>2677</v>
      </c>
    </row>
    <row r="2900" customFormat="false" ht="15.75" hidden="false" customHeight="false" outlineLevel="0" collapsed="false">
      <c r="A2900" s="3" t="n">
        <v>46207</v>
      </c>
      <c r="B2900" s="4" t="s">
        <v>915</v>
      </c>
      <c r="C2900" s="4" t="n">
        <v>7</v>
      </c>
      <c r="D2900" s="4" t="n">
        <v>11</v>
      </c>
      <c r="E2900" s="4" t="s">
        <v>2754</v>
      </c>
      <c r="F2900" s="4" t="n">
        <v>4</v>
      </c>
      <c r="G2900" s="4" t="n">
        <v>10</v>
      </c>
      <c r="H2900" s="4" t="n">
        <v>4</v>
      </c>
      <c r="I2900" s="4" t="str">
        <v>×</v>
      </c>
      <c r="J2900" s="4"/>
      <c r="K2900" s="4"/>
      <c r="L2900" s="4"/>
      <c r="M2900" s="5" t="s">
        <v>2677</v>
      </c>
    </row>
    <row r="2901" customFormat="false" ht="15.75" hidden="false" customHeight="false" outlineLevel="0" collapsed="false">
      <c r="A2901" s="3" t="n">
        <v>46207</v>
      </c>
      <c r="B2901" s="4" t="s">
        <v>915</v>
      </c>
      <c r="C2901" s="4" t="n">
        <v>7</v>
      </c>
      <c r="D2901" s="4" t="n">
        <v>12</v>
      </c>
      <c r="E2901" s="4" t="s">
        <v>2755</v>
      </c>
      <c r="F2901" s="4" t="n">
        <v>1</v>
      </c>
      <c r="G2901" s="4" t="n">
        <v>12</v>
      </c>
      <c r="H2901" s="4" t="n">
        <v>4</v>
      </c>
      <c r="I2901" s="4" t="str">
        <v>×</v>
      </c>
      <c r="J2901" s="4"/>
      <c r="K2901" s="4"/>
      <c r="L2901" s="4"/>
      <c r="M2901" s="5" t="s">
        <v>2677</v>
      </c>
    </row>
    <row r="2902" customFormat="false" ht="15.75" hidden="false" customHeight="false" outlineLevel="0" collapsed="false">
      <c r="A2902" s="3" t="n">
        <v>46207</v>
      </c>
      <c r="B2902" s="4" t="s">
        <v>915</v>
      </c>
      <c r="C2902" s="4" t="n">
        <v>7</v>
      </c>
      <c r="D2902" s="4" t="n">
        <v>13</v>
      </c>
      <c r="E2902" s="4" t="s">
        <v>2756</v>
      </c>
      <c r="F2902" s="4" t="n">
        <v>25</v>
      </c>
      <c r="G2902" s="4" t="n">
        <v>4</v>
      </c>
      <c r="H2902" s="4" t="n">
        <v>4</v>
      </c>
      <c r="I2902" s="4" t="str">
        <v>×</v>
      </c>
      <c r="J2902" s="4"/>
      <c r="K2902" s="4"/>
      <c r="L2902" s="4"/>
      <c r="M2902" s="5" t="s">
        <v>2677</v>
      </c>
    </row>
    <row r="2903" customFormat="false" ht="15.75" hidden="false" customHeight="false" outlineLevel="0" collapsed="false">
      <c r="A2903" s="3" t="n">
        <v>46207</v>
      </c>
      <c r="B2903" s="4" t="s">
        <v>915</v>
      </c>
      <c r="C2903" s="4" t="n">
        <v>7</v>
      </c>
      <c r="D2903" s="4" t="n">
        <v>14</v>
      </c>
      <c r="E2903" s="4" t="s">
        <v>1405</v>
      </c>
      <c r="F2903" s="4" t="n">
        <v>31</v>
      </c>
      <c r="G2903" s="4" t="n">
        <v>3</v>
      </c>
      <c r="H2903" s="4" t="n">
        <v>3</v>
      </c>
      <c r="I2903" s="4" t="str">
        <v>○</v>
      </c>
      <c r="J2903" s="4" t="n">
        <v>200</v>
      </c>
      <c r="K2903" s="4"/>
      <c r="L2903" s="4"/>
      <c r="M2903" s="5" t="s">
        <v>2677</v>
      </c>
    </row>
    <row r="2904" customFormat="false" ht="15.75" hidden="false" customHeight="false" outlineLevel="0" collapsed="false">
      <c r="A2904" s="3" t="n">
        <v>46207</v>
      </c>
      <c r="B2904" s="4" t="s">
        <v>915</v>
      </c>
      <c r="C2904" s="4" t="n">
        <v>7</v>
      </c>
      <c r="D2904" s="4" t="n">
        <v>15</v>
      </c>
      <c r="E2904" s="4" t="s">
        <v>2757</v>
      </c>
      <c r="F2904" s="4" t="n">
        <v>6</v>
      </c>
      <c r="G2904" s="4" t="n">
        <v>9</v>
      </c>
      <c r="H2904" s="4" t="n">
        <v>4</v>
      </c>
      <c r="I2904" s="4" t="str">
        <v>×</v>
      </c>
      <c r="J2904" s="4"/>
      <c r="K2904" s="4"/>
      <c r="L2904" s="4"/>
      <c r="M2904" s="5" t="s">
        <v>2677</v>
      </c>
    </row>
    <row r="2905" customFormat="false" ht="15.75" hidden="false" customHeight="false" outlineLevel="0" collapsed="false">
      <c r="A2905" s="3" t="n">
        <v>46207</v>
      </c>
      <c r="B2905" s="4" t="s">
        <v>915</v>
      </c>
      <c r="C2905" s="4" t="n">
        <v>7</v>
      </c>
      <c r="D2905" s="4" t="n">
        <v>16</v>
      </c>
      <c r="E2905" s="4" t="s">
        <v>2758</v>
      </c>
      <c r="F2905" s="4" t="n">
        <v>8</v>
      </c>
      <c r="G2905" s="4" t="n">
        <v>8</v>
      </c>
      <c r="H2905" s="4" t="n">
        <v>4</v>
      </c>
      <c r="I2905" s="4" t="str">
        <v>×</v>
      </c>
      <c r="J2905" s="4"/>
      <c r="K2905" s="4"/>
      <c r="L2905" s="4"/>
      <c r="M2905" s="5" t="s">
        <v>2677</v>
      </c>
    </row>
    <row r="2906" customFormat="false" ht="15.75" hidden="false" customHeight="false" outlineLevel="0" collapsed="false">
      <c r="A2906" s="3" t="n">
        <v>46207</v>
      </c>
      <c r="B2906" s="4" t="s">
        <v>915</v>
      </c>
      <c r="C2906" s="4" t="n">
        <v>8</v>
      </c>
      <c r="D2906" s="4" t="n">
        <v>1</v>
      </c>
      <c r="E2906" s="4" t="s">
        <v>2759</v>
      </c>
      <c r="F2906" s="4" t="n">
        <v>39</v>
      </c>
      <c r="G2906" s="4" t="n">
        <v>3</v>
      </c>
      <c r="H2906" s="4" t="n">
        <v>4</v>
      </c>
      <c r="I2906" s="4" t="str">
        <v>×</v>
      </c>
      <c r="J2906" s="4"/>
      <c r="K2906" s="4"/>
      <c r="L2906" s="4"/>
      <c r="M2906" s="5" t="s">
        <v>2677</v>
      </c>
    </row>
    <row r="2907" customFormat="false" ht="15.75" hidden="false" customHeight="false" outlineLevel="0" collapsed="false">
      <c r="A2907" s="3" t="n">
        <v>46207</v>
      </c>
      <c r="B2907" s="4" t="s">
        <v>915</v>
      </c>
      <c r="C2907" s="4" t="n">
        <v>8</v>
      </c>
      <c r="D2907" s="4" t="n">
        <v>2</v>
      </c>
      <c r="E2907" s="4" t="s">
        <v>2760</v>
      </c>
      <c r="F2907" s="4" t="n">
        <v>3</v>
      </c>
      <c r="G2907" s="4" t="n">
        <v>11</v>
      </c>
      <c r="H2907" s="4" t="n">
        <v>4</v>
      </c>
      <c r="I2907" s="4" t="str">
        <v>×</v>
      </c>
      <c r="J2907" s="4"/>
      <c r="K2907" s="4"/>
      <c r="L2907" s="4"/>
      <c r="M2907" s="5" t="s">
        <v>2677</v>
      </c>
    </row>
    <row r="2908" customFormat="false" ht="15.75" hidden="false" customHeight="false" outlineLevel="0" collapsed="false">
      <c r="A2908" s="3" t="n">
        <v>46207</v>
      </c>
      <c r="B2908" s="4" t="s">
        <v>915</v>
      </c>
      <c r="C2908" s="4" t="n">
        <v>8</v>
      </c>
      <c r="D2908" s="4" t="n">
        <v>3</v>
      </c>
      <c r="E2908" s="4" t="s">
        <v>2761</v>
      </c>
      <c r="F2908" s="4" t="n">
        <v>20</v>
      </c>
      <c r="G2908" s="4" t="n">
        <v>5</v>
      </c>
      <c r="H2908" s="4" t="n">
        <v>1</v>
      </c>
      <c r="I2908" s="4" t="str">
        <v>○</v>
      </c>
      <c r="J2908" s="4" t="n">
        <v>210</v>
      </c>
      <c r="K2908" s="4"/>
      <c r="L2908" s="4"/>
      <c r="M2908" s="5" t="s">
        <v>2677</v>
      </c>
    </row>
    <row r="2909" customFormat="false" ht="15.75" hidden="false" customHeight="false" outlineLevel="0" collapsed="false">
      <c r="A2909" s="3" t="n">
        <v>46207</v>
      </c>
      <c r="B2909" s="4" t="s">
        <v>915</v>
      </c>
      <c r="C2909" s="4" t="n">
        <v>8</v>
      </c>
      <c r="D2909" s="4" t="n">
        <v>4</v>
      </c>
      <c r="E2909" s="4" t="s">
        <v>1550</v>
      </c>
      <c r="F2909" s="4" t="n">
        <v>8</v>
      </c>
      <c r="G2909" s="4" t="n">
        <v>9</v>
      </c>
      <c r="H2909" s="4" t="n">
        <v>2</v>
      </c>
      <c r="I2909" s="4" t="str">
        <v>○</v>
      </c>
      <c r="J2909" s="4" t="n">
        <v>340</v>
      </c>
      <c r="K2909" s="4"/>
      <c r="L2909" s="4"/>
      <c r="M2909" s="5" t="s">
        <v>2677</v>
      </c>
    </row>
    <row r="2910" customFormat="false" ht="15.75" hidden="false" customHeight="false" outlineLevel="0" collapsed="false">
      <c r="A2910" s="3" t="n">
        <v>46207</v>
      </c>
      <c r="B2910" s="4" t="s">
        <v>915</v>
      </c>
      <c r="C2910" s="4" t="n">
        <v>8</v>
      </c>
      <c r="D2910" s="4" t="n">
        <v>5</v>
      </c>
      <c r="E2910" s="4" t="s">
        <v>2762</v>
      </c>
      <c r="F2910" s="4" t="n">
        <v>10</v>
      </c>
      <c r="G2910" s="4" t="n">
        <v>8</v>
      </c>
      <c r="H2910" s="4" t="n">
        <v>4</v>
      </c>
      <c r="I2910" s="4" t="str">
        <v>×</v>
      </c>
      <c r="J2910" s="4"/>
      <c r="K2910" s="4"/>
      <c r="L2910" s="4"/>
      <c r="M2910" s="5" t="s">
        <v>2677</v>
      </c>
    </row>
    <row r="2911" customFormat="false" ht="15.75" hidden="false" customHeight="false" outlineLevel="0" collapsed="false">
      <c r="A2911" s="3" t="n">
        <v>46207</v>
      </c>
      <c r="B2911" s="4" t="s">
        <v>915</v>
      </c>
      <c r="C2911" s="4" t="n">
        <v>8</v>
      </c>
      <c r="D2911" s="4" t="n">
        <v>6</v>
      </c>
      <c r="E2911" s="4" t="s">
        <v>2763</v>
      </c>
      <c r="F2911" s="4" t="n">
        <v>52</v>
      </c>
      <c r="G2911" s="4" t="n">
        <v>1</v>
      </c>
      <c r="H2911" s="4" t="n">
        <v>4</v>
      </c>
      <c r="I2911" s="4" t="str">
        <v>×</v>
      </c>
      <c r="J2911" s="4"/>
      <c r="K2911" s="4"/>
      <c r="L2911" s="4"/>
      <c r="M2911" s="5" t="s">
        <v>2677</v>
      </c>
    </row>
    <row r="2912" customFormat="false" ht="15.75" hidden="false" customHeight="false" outlineLevel="0" collapsed="false">
      <c r="A2912" s="3" t="n">
        <v>46207</v>
      </c>
      <c r="B2912" s="4" t="s">
        <v>915</v>
      </c>
      <c r="C2912" s="4" t="n">
        <v>8</v>
      </c>
      <c r="D2912" s="4" t="n">
        <v>7</v>
      </c>
      <c r="E2912" s="4" t="s">
        <v>2764</v>
      </c>
      <c r="F2912" s="4" t="n">
        <v>8</v>
      </c>
      <c r="G2912" s="4" t="n">
        <v>9</v>
      </c>
      <c r="H2912" s="4" t="n">
        <v>4</v>
      </c>
      <c r="I2912" s="4" t="str">
        <v>×</v>
      </c>
      <c r="J2912" s="4"/>
      <c r="K2912" s="4"/>
      <c r="L2912" s="4"/>
      <c r="M2912" s="5" t="s">
        <v>2677</v>
      </c>
    </row>
    <row r="2913" customFormat="false" ht="15.75" hidden="false" customHeight="false" outlineLevel="0" collapsed="false">
      <c r="A2913" s="3" t="n">
        <v>46207</v>
      </c>
      <c r="B2913" s="4" t="s">
        <v>915</v>
      </c>
      <c r="C2913" s="4" t="n">
        <v>8</v>
      </c>
      <c r="D2913" s="4" t="n">
        <v>8</v>
      </c>
      <c r="E2913" s="4" t="s">
        <v>2765</v>
      </c>
      <c r="F2913" s="4" t="n">
        <v>39</v>
      </c>
      <c r="G2913" s="4" t="n">
        <v>3</v>
      </c>
      <c r="H2913" s="4" t="n">
        <v>3</v>
      </c>
      <c r="I2913" s="4" t="str">
        <v>○</v>
      </c>
      <c r="J2913" s="4" t="n">
        <v>290</v>
      </c>
      <c r="K2913" s="4"/>
      <c r="L2913" s="4"/>
      <c r="M2913" s="5" t="s">
        <v>2677</v>
      </c>
    </row>
    <row r="2914" customFormat="false" ht="15.75" hidden="false" customHeight="false" outlineLevel="0" collapsed="false">
      <c r="A2914" s="3" t="n">
        <v>46207</v>
      </c>
      <c r="B2914" s="4" t="s">
        <v>915</v>
      </c>
      <c r="C2914" s="4" t="n">
        <v>8</v>
      </c>
      <c r="D2914" s="4" t="n">
        <v>9</v>
      </c>
      <c r="E2914" s="4" t="s">
        <v>2766</v>
      </c>
      <c r="F2914" s="4" t="n">
        <v>6</v>
      </c>
      <c r="G2914" s="4" t="n">
        <v>10</v>
      </c>
      <c r="H2914" s="4" t="n">
        <v>4</v>
      </c>
      <c r="I2914" s="4" t="str">
        <v>×</v>
      </c>
      <c r="J2914" s="4"/>
      <c r="K2914" s="4"/>
      <c r="L2914" s="4"/>
      <c r="M2914" s="5" t="s">
        <v>2677</v>
      </c>
    </row>
    <row r="2915" customFormat="false" ht="15.75" hidden="false" customHeight="false" outlineLevel="0" collapsed="false">
      <c r="A2915" s="3" t="n">
        <v>46207</v>
      </c>
      <c r="B2915" s="4" t="s">
        <v>915</v>
      </c>
      <c r="C2915" s="4" t="n">
        <v>8</v>
      </c>
      <c r="D2915" s="4" t="n">
        <v>10</v>
      </c>
      <c r="E2915" s="4" t="s">
        <v>2767</v>
      </c>
      <c r="F2915" s="4" t="n">
        <v>6</v>
      </c>
      <c r="G2915" s="4" t="n">
        <v>10</v>
      </c>
      <c r="H2915" s="4" t="n">
        <v>4</v>
      </c>
      <c r="I2915" s="4" t="str">
        <v>×</v>
      </c>
      <c r="J2915" s="4"/>
      <c r="K2915" s="4"/>
      <c r="L2915" s="4"/>
      <c r="M2915" s="5" t="s">
        <v>2677</v>
      </c>
    </row>
    <row r="2916" customFormat="false" ht="15.75" hidden="false" customHeight="false" outlineLevel="0" collapsed="false">
      <c r="A2916" s="3" t="n">
        <v>46207</v>
      </c>
      <c r="B2916" s="4" t="s">
        <v>915</v>
      </c>
      <c r="C2916" s="4" t="n">
        <v>8</v>
      </c>
      <c r="D2916" s="4" t="n">
        <v>11</v>
      </c>
      <c r="E2916" s="4" t="s">
        <v>2768</v>
      </c>
      <c r="F2916" s="4" t="n">
        <v>3</v>
      </c>
      <c r="G2916" s="4" t="n">
        <v>11</v>
      </c>
      <c r="H2916" s="4" t="n">
        <v>4</v>
      </c>
      <c r="I2916" s="4" t="str">
        <v>×</v>
      </c>
      <c r="J2916" s="4"/>
      <c r="K2916" s="4"/>
      <c r="L2916" s="4"/>
      <c r="M2916" s="5" t="s">
        <v>2677</v>
      </c>
    </row>
    <row r="2917" customFormat="false" ht="15.75" hidden="false" customHeight="false" outlineLevel="0" collapsed="false">
      <c r="A2917" s="3" t="n">
        <v>46207</v>
      </c>
      <c r="B2917" s="4" t="s">
        <v>915</v>
      </c>
      <c r="C2917" s="4" t="n">
        <v>8</v>
      </c>
      <c r="D2917" s="4" t="n">
        <v>12</v>
      </c>
      <c r="E2917" s="4" t="s">
        <v>2769</v>
      </c>
      <c r="F2917" s="4" t="n">
        <v>23</v>
      </c>
      <c r="G2917" s="4" t="n">
        <v>4</v>
      </c>
      <c r="H2917" s="4" t="n">
        <v>4</v>
      </c>
      <c r="I2917" s="4" t="str">
        <v>×</v>
      </c>
      <c r="J2917" s="4"/>
      <c r="K2917" s="4"/>
      <c r="L2917" s="4"/>
      <c r="M2917" s="5" t="s">
        <v>2677</v>
      </c>
    </row>
    <row r="2918" customFormat="false" ht="15.75" hidden="false" customHeight="false" outlineLevel="0" collapsed="false">
      <c r="A2918" s="3" t="n">
        <v>46207</v>
      </c>
      <c r="B2918" s="4" t="s">
        <v>915</v>
      </c>
      <c r="C2918" s="4" t="n">
        <v>8</v>
      </c>
      <c r="D2918" s="4" t="n">
        <v>13</v>
      </c>
      <c r="E2918" s="4" t="s">
        <v>2770</v>
      </c>
      <c r="F2918" s="4" t="n">
        <v>13</v>
      </c>
      <c r="G2918" s="4" t="n">
        <v>7</v>
      </c>
      <c r="H2918" s="4" t="n">
        <v>4</v>
      </c>
      <c r="I2918" s="4" t="str">
        <v>×</v>
      </c>
      <c r="J2918" s="4"/>
      <c r="K2918" s="4"/>
      <c r="L2918" s="4"/>
      <c r="M2918" s="5" t="s">
        <v>2677</v>
      </c>
    </row>
    <row r="2919" customFormat="false" ht="15.75" hidden="false" customHeight="false" outlineLevel="0" collapsed="false">
      <c r="A2919" s="3" t="n">
        <v>46207</v>
      </c>
      <c r="B2919" s="4" t="s">
        <v>915</v>
      </c>
      <c r="C2919" s="4" t="n">
        <v>8</v>
      </c>
      <c r="D2919" s="4" t="n">
        <v>14</v>
      </c>
      <c r="E2919" s="4" t="s">
        <v>2771</v>
      </c>
      <c r="F2919" s="4" t="n">
        <v>44</v>
      </c>
      <c r="G2919" s="4" t="n">
        <v>2</v>
      </c>
      <c r="H2919" s="4" t="n">
        <v>4</v>
      </c>
      <c r="I2919" s="4" t="str">
        <v>×</v>
      </c>
      <c r="J2919" s="4"/>
      <c r="K2919" s="4"/>
      <c r="L2919" s="4"/>
      <c r="M2919" s="5" t="s">
        <v>2677</v>
      </c>
    </row>
    <row r="2920" customFormat="false" ht="15.75" hidden="false" customHeight="false" outlineLevel="0" collapsed="false">
      <c r="A2920" s="3" t="n">
        <v>46207</v>
      </c>
      <c r="B2920" s="4" t="s">
        <v>915</v>
      </c>
      <c r="C2920" s="4" t="n">
        <v>8</v>
      </c>
      <c r="D2920" s="4" t="n">
        <v>15</v>
      </c>
      <c r="E2920" s="4" t="s">
        <v>2772</v>
      </c>
      <c r="F2920" s="4" t="n">
        <v>15</v>
      </c>
      <c r="G2920" s="4" t="n">
        <v>6</v>
      </c>
      <c r="H2920" s="4" t="n">
        <v>4</v>
      </c>
      <c r="I2920" s="4" t="str">
        <v>×</v>
      </c>
      <c r="J2920" s="4"/>
      <c r="K2920" s="4"/>
      <c r="L2920" s="4"/>
      <c r="M2920" s="5" t="s">
        <v>2677</v>
      </c>
    </row>
    <row r="2921" customFormat="false" ht="15.75" hidden="false" customHeight="false" outlineLevel="0" collapsed="false">
      <c r="A2921" s="3" t="n">
        <v>46207</v>
      </c>
      <c r="B2921" s="4" t="s">
        <v>915</v>
      </c>
      <c r="C2921" s="4" t="n">
        <v>9</v>
      </c>
      <c r="D2921" s="4" t="n">
        <v>1</v>
      </c>
      <c r="E2921" s="4" t="s">
        <v>2773</v>
      </c>
      <c r="F2921" s="4" t="n">
        <v>20</v>
      </c>
      <c r="G2921" s="4" t="n">
        <v>4</v>
      </c>
      <c r="H2921" s="4" t="n">
        <v>4</v>
      </c>
      <c r="I2921" s="4" t="str">
        <v>×</v>
      </c>
      <c r="J2921" s="4"/>
      <c r="K2921" s="4"/>
      <c r="L2921" s="4"/>
      <c r="M2921" s="5" t="s">
        <v>2677</v>
      </c>
    </row>
    <row r="2922" customFormat="false" ht="15.75" hidden="false" customHeight="false" outlineLevel="0" collapsed="false">
      <c r="A2922" s="3" t="n">
        <v>46207</v>
      </c>
      <c r="B2922" s="4" t="s">
        <v>915</v>
      </c>
      <c r="C2922" s="4" t="n">
        <v>9</v>
      </c>
      <c r="D2922" s="4" t="n">
        <v>2</v>
      </c>
      <c r="E2922" s="4" t="s">
        <v>2774</v>
      </c>
      <c r="F2922" s="4" t="n">
        <v>13</v>
      </c>
      <c r="G2922" s="4" t="n">
        <v>6</v>
      </c>
      <c r="H2922" s="4" t="n">
        <v>4</v>
      </c>
      <c r="I2922" s="4" t="str">
        <v>×</v>
      </c>
      <c r="J2922" s="4"/>
      <c r="K2922" s="4"/>
      <c r="L2922" s="4"/>
      <c r="M2922" s="5" t="s">
        <v>2677</v>
      </c>
    </row>
    <row r="2923" customFormat="false" ht="15.75" hidden="false" customHeight="false" outlineLevel="0" collapsed="false">
      <c r="A2923" s="3" t="n">
        <v>46207</v>
      </c>
      <c r="B2923" s="4" t="s">
        <v>915</v>
      </c>
      <c r="C2923" s="4" t="n">
        <v>9</v>
      </c>
      <c r="D2923" s="4" t="n">
        <v>3</v>
      </c>
      <c r="E2923" s="4" t="s">
        <v>1491</v>
      </c>
      <c r="F2923" s="4" t="n">
        <v>8</v>
      </c>
      <c r="G2923" s="4" t="n">
        <v>7</v>
      </c>
      <c r="H2923" s="4" t="n">
        <v>4</v>
      </c>
      <c r="I2923" s="4" t="str">
        <v>×</v>
      </c>
      <c r="J2923" s="4"/>
      <c r="K2923" s="4"/>
      <c r="L2923" s="4"/>
      <c r="M2923" s="5" t="s">
        <v>2677</v>
      </c>
    </row>
    <row r="2924" customFormat="false" ht="15.75" hidden="false" customHeight="false" outlineLevel="0" collapsed="false">
      <c r="A2924" s="3" t="n">
        <v>46207</v>
      </c>
      <c r="B2924" s="4" t="s">
        <v>915</v>
      </c>
      <c r="C2924" s="4" t="n">
        <v>9</v>
      </c>
      <c r="D2924" s="4" t="n">
        <v>4</v>
      </c>
      <c r="E2924" s="4" t="s">
        <v>1496</v>
      </c>
      <c r="F2924" s="4" t="n">
        <v>44</v>
      </c>
      <c r="G2924" s="4" t="n">
        <v>1</v>
      </c>
      <c r="H2924" s="4" t="n">
        <v>4</v>
      </c>
      <c r="I2924" s="4" t="str">
        <v>×</v>
      </c>
      <c r="J2924" s="4"/>
      <c r="K2924" s="4"/>
      <c r="L2924" s="4"/>
      <c r="M2924" s="5" t="s">
        <v>2677</v>
      </c>
    </row>
    <row r="2925" customFormat="false" ht="15.75" hidden="false" customHeight="false" outlineLevel="0" collapsed="false">
      <c r="A2925" s="3" t="n">
        <v>46207</v>
      </c>
      <c r="B2925" s="4" t="s">
        <v>915</v>
      </c>
      <c r="C2925" s="4" t="n">
        <v>9</v>
      </c>
      <c r="D2925" s="4" t="n">
        <v>5</v>
      </c>
      <c r="E2925" s="4" t="s">
        <v>2775</v>
      </c>
      <c r="F2925" s="4" t="n">
        <v>25</v>
      </c>
      <c r="G2925" s="4" t="n">
        <v>3</v>
      </c>
      <c r="H2925" s="4" t="n">
        <v>1</v>
      </c>
      <c r="I2925" s="4" t="str">
        <v>○</v>
      </c>
      <c r="J2925" s="4" t="n">
        <v>720</v>
      </c>
      <c r="K2925" s="4"/>
      <c r="L2925" s="4"/>
      <c r="M2925" s="5" t="s">
        <v>2677</v>
      </c>
    </row>
    <row r="2926" customFormat="false" ht="15.75" hidden="false" customHeight="false" outlineLevel="0" collapsed="false">
      <c r="A2926" s="3" t="n">
        <v>46207</v>
      </c>
      <c r="B2926" s="4" t="s">
        <v>915</v>
      </c>
      <c r="C2926" s="4" t="n">
        <v>9</v>
      </c>
      <c r="D2926" s="4" t="n">
        <v>6</v>
      </c>
      <c r="E2926" s="4" t="s">
        <v>2776</v>
      </c>
      <c r="F2926" s="4" t="n">
        <v>41</v>
      </c>
      <c r="G2926" s="4" t="n">
        <v>2</v>
      </c>
      <c r="H2926" s="4" t="n">
        <v>3</v>
      </c>
      <c r="I2926" s="4" t="str">
        <v>○</v>
      </c>
      <c r="J2926" s="4" t="n">
        <v>540</v>
      </c>
      <c r="K2926" s="4"/>
      <c r="L2926" s="4"/>
      <c r="M2926" s="5" t="s">
        <v>2677</v>
      </c>
    </row>
    <row r="2927" customFormat="false" ht="15.75" hidden="false" customHeight="false" outlineLevel="0" collapsed="false">
      <c r="A2927" s="3" t="n">
        <v>46207</v>
      </c>
      <c r="B2927" s="4" t="s">
        <v>915</v>
      </c>
      <c r="C2927" s="4" t="n">
        <v>9</v>
      </c>
      <c r="D2927" s="4" t="n">
        <v>7</v>
      </c>
      <c r="E2927" s="4" t="s">
        <v>1486</v>
      </c>
      <c r="F2927" s="4" t="n">
        <v>41</v>
      </c>
      <c r="G2927" s="4" t="n">
        <v>2</v>
      </c>
      <c r="H2927" s="4" t="n">
        <v>2</v>
      </c>
      <c r="I2927" s="4" t="str">
        <v>○</v>
      </c>
      <c r="J2927" s="4" t="n">
        <v>650</v>
      </c>
      <c r="K2927" s="4"/>
      <c r="L2927" s="4"/>
      <c r="M2927" s="5" t="s">
        <v>2677</v>
      </c>
    </row>
    <row r="2928" customFormat="false" ht="15.75" hidden="false" customHeight="false" outlineLevel="0" collapsed="false">
      <c r="A2928" s="3" t="n">
        <v>46207</v>
      </c>
      <c r="B2928" s="4" t="s">
        <v>915</v>
      </c>
      <c r="C2928" s="4" t="n">
        <v>9</v>
      </c>
      <c r="D2928" s="4" t="n">
        <v>8</v>
      </c>
      <c r="E2928" s="4" t="s">
        <v>1037</v>
      </c>
      <c r="F2928" s="4" t="n">
        <v>13</v>
      </c>
      <c r="G2928" s="4" t="n">
        <v>6</v>
      </c>
      <c r="H2928" s="4" t="n">
        <v>4</v>
      </c>
      <c r="I2928" s="4" t="str">
        <v>×</v>
      </c>
      <c r="J2928" s="4"/>
      <c r="K2928" s="4"/>
      <c r="L2928" s="4"/>
      <c r="M2928" s="5" t="s">
        <v>2677</v>
      </c>
    </row>
    <row r="2929" customFormat="false" ht="15.75" hidden="false" customHeight="false" outlineLevel="0" collapsed="false">
      <c r="A2929" s="3" t="n">
        <v>46207</v>
      </c>
      <c r="B2929" s="4" t="s">
        <v>915</v>
      </c>
      <c r="C2929" s="4" t="n">
        <v>9</v>
      </c>
      <c r="D2929" s="4" t="n">
        <v>9</v>
      </c>
      <c r="E2929" s="4" t="s">
        <v>2777</v>
      </c>
      <c r="F2929" s="4" t="n">
        <v>44</v>
      </c>
      <c r="G2929" s="4" t="n">
        <v>1</v>
      </c>
      <c r="H2929" s="4" t="n">
        <v>4</v>
      </c>
      <c r="I2929" s="4" t="str">
        <v>×</v>
      </c>
      <c r="J2929" s="4"/>
      <c r="K2929" s="4"/>
      <c r="L2929" s="4"/>
      <c r="M2929" s="5" t="s">
        <v>2677</v>
      </c>
    </row>
    <row r="2930" customFormat="false" ht="15.75" hidden="false" customHeight="false" outlineLevel="0" collapsed="false">
      <c r="A2930" s="3" t="n">
        <v>46207</v>
      </c>
      <c r="B2930" s="4" t="s">
        <v>915</v>
      </c>
      <c r="C2930" s="4" t="n">
        <v>9</v>
      </c>
      <c r="D2930" s="4" t="n">
        <v>10</v>
      </c>
      <c r="E2930" s="4" t="s">
        <v>2778</v>
      </c>
      <c r="F2930" s="4" t="n">
        <v>15</v>
      </c>
      <c r="G2930" s="4" t="n">
        <v>5</v>
      </c>
      <c r="H2930" s="4" t="n">
        <v>4</v>
      </c>
      <c r="I2930" s="4" t="str">
        <v>×</v>
      </c>
      <c r="J2930" s="4"/>
      <c r="K2930" s="4"/>
      <c r="L2930" s="4"/>
      <c r="M2930" s="5" t="s">
        <v>2677</v>
      </c>
    </row>
    <row r="2931" customFormat="false" ht="15.75" hidden="false" customHeight="false" outlineLevel="0" collapsed="false">
      <c r="A2931" s="3" t="n">
        <v>46207</v>
      </c>
      <c r="B2931" s="4" t="s">
        <v>915</v>
      </c>
      <c r="C2931" s="4" t="n">
        <v>10</v>
      </c>
      <c r="D2931" s="4" t="n">
        <v>1</v>
      </c>
      <c r="E2931" s="4" t="s">
        <v>1838</v>
      </c>
      <c r="F2931" s="4" t="n">
        <v>23</v>
      </c>
      <c r="G2931" s="4" t="n">
        <v>5</v>
      </c>
      <c r="H2931" s="4" t="n">
        <v>4</v>
      </c>
      <c r="I2931" s="4" t="str">
        <v>×</v>
      </c>
      <c r="J2931" s="4"/>
      <c r="K2931" s="4"/>
      <c r="L2931" s="4"/>
      <c r="M2931" s="5" t="s">
        <v>2677</v>
      </c>
    </row>
    <row r="2932" customFormat="false" ht="15.75" hidden="false" customHeight="false" outlineLevel="0" collapsed="false">
      <c r="A2932" s="3" t="n">
        <v>46207</v>
      </c>
      <c r="B2932" s="4" t="s">
        <v>915</v>
      </c>
      <c r="C2932" s="4" t="n">
        <v>10</v>
      </c>
      <c r="D2932" s="4" t="n">
        <v>2</v>
      </c>
      <c r="E2932" s="4" t="s">
        <v>2779</v>
      </c>
      <c r="F2932" s="4" t="n">
        <v>13</v>
      </c>
      <c r="G2932" s="4" t="n">
        <v>7</v>
      </c>
      <c r="H2932" s="4" t="n">
        <v>4</v>
      </c>
      <c r="I2932" s="4" t="str">
        <v>×</v>
      </c>
      <c r="J2932" s="4"/>
      <c r="K2932" s="4"/>
      <c r="L2932" s="4"/>
      <c r="M2932" s="5" t="s">
        <v>2677</v>
      </c>
    </row>
    <row r="2933" customFormat="false" ht="15.75" hidden="false" customHeight="false" outlineLevel="0" collapsed="false">
      <c r="A2933" s="3" t="n">
        <v>46207</v>
      </c>
      <c r="B2933" s="4" t="s">
        <v>915</v>
      </c>
      <c r="C2933" s="4" t="n">
        <v>10</v>
      </c>
      <c r="D2933" s="4" t="n">
        <v>3</v>
      </c>
      <c r="E2933" s="4" t="s">
        <v>1049</v>
      </c>
      <c r="F2933" s="4" t="n">
        <v>29</v>
      </c>
      <c r="G2933" s="4" t="n">
        <v>4</v>
      </c>
      <c r="H2933" s="4" t="n">
        <v>3</v>
      </c>
      <c r="I2933" s="4" t="str">
        <v>○</v>
      </c>
      <c r="J2933" s="4" t="n">
        <v>170</v>
      </c>
      <c r="K2933" s="4"/>
      <c r="L2933" s="4"/>
      <c r="M2933" s="5" t="s">
        <v>2677</v>
      </c>
    </row>
    <row r="2934" customFormat="false" ht="15.75" hidden="false" customHeight="false" outlineLevel="0" collapsed="false">
      <c r="A2934" s="3" t="n">
        <v>46207</v>
      </c>
      <c r="B2934" s="4" t="s">
        <v>915</v>
      </c>
      <c r="C2934" s="4" t="n">
        <v>10</v>
      </c>
      <c r="D2934" s="4" t="n">
        <v>4</v>
      </c>
      <c r="E2934" s="4" t="s">
        <v>2780</v>
      </c>
      <c r="F2934" s="4" t="n">
        <v>67</v>
      </c>
      <c r="G2934" s="4" t="n">
        <v>1</v>
      </c>
      <c r="H2934" s="4" t="n">
        <v>1</v>
      </c>
      <c r="I2934" s="4" t="str">
        <v>○</v>
      </c>
      <c r="J2934" s="4" t="n">
        <v>130</v>
      </c>
      <c r="K2934" s="4"/>
      <c r="L2934" s="4"/>
      <c r="M2934" s="5" t="s">
        <v>2677</v>
      </c>
    </row>
    <row r="2935" customFormat="false" ht="15.75" hidden="false" customHeight="false" outlineLevel="0" collapsed="false">
      <c r="A2935" s="3" t="n">
        <v>46207</v>
      </c>
      <c r="B2935" s="4" t="s">
        <v>915</v>
      </c>
      <c r="C2935" s="4" t="n">
        <v>10</v>
      </c>
      <c r="D2935" s="4" t="n">
        <v>5</v>
      </c>
      <c r="E2935" s="4" t="s">
        <v>2781</v>
      </c>
      <c r="F2935" s="4" t="n">
        <v>4</v>
      </c>
      <c r="G2935" s="4" t="n">
        <v>9</v>
      </c>
      <c r="H2935" s="4" t="n">
        <v>4</v>
      </c>
      <c r="I2935" s="4" t="str">
        <v>×</v>
      </c>
      <c r="J2935" s="4"/>
      <c r="K2935" s="4"/>
      <c r="L2935" s="4"/>
      <c r="M2935" s="5" t="s">
        <v>2677</v>
      </c>
    </row>
    <row r="2936" customFormat="false" ht="15.75" hidden="false" customHeight="false" outlineLevel="0" collapsed="false">
      <c r="A2936" s="3" t="n">
        <v>46207</v>
      </c>
      <c r="B2936" s="4" t="s">
        <v>915</v>
      </c>
      <c r="C2936" s="4" t="n">
        <v>10</v>
      </c>
      <c r="D2936" s="4" t="n">
        <v>6</v>
      </c>
      <c r="E2936" s="4" t="s">
        <v>2782</v>
      </c>
      <c r="F2936" s="4" t="n">
        <v>44</v>
      </c>
      <c r="G2936" s="4" t="n">
        <v>2</v>
      </c>
      <c r="H2936" s="4" t="n">
        <v>4</v>
      </c>
      <c r="I2936" s="4" t="str">
        <v>×</v>
      </c>
      <c r="J2936" s="4"/>
      <c r="K2936" s="4"/>
      <c r="L2936" s="4"/>
      <c r="M2936" s="5" t="s">
        <v>2677</v>
      </c>
    </row>
    <row r="2937" customFormat="false" ht="15.75" hidden="false" customHeight="false" outlineLevel="0" collapsed="false">
      <c r="A2937" s="3" t="n">
        <v>46207</v>
      </c>
      <c r="B2937" s="4" t="s">
        <v>915</v>
      </c>
      <c r="C2937" s="4" t="n">
        <v>10</v>
      </c>
      <c r="D2937" s="4" t="n">
        <v>7</v>
      </c>
      <c r="E2937" s="4" t="s">
        <v>2783</v>
      </c>
      <c r="F2937" s="4" t="n">
        <v>13</v>
      </c>
      <c r="G2937" s="4" t="n">
        <v>7</v>
      </c>
      <c r="H2937" s="4" t="n">
        <v>4</v>
      </c>
      <c r="I2937" s="4" t="str">
        <v>×</v>
      </c>
      <c r="J2937" s="4"/>
      <c r="K2937" s="4"/>
      <c r="L2937" s="4"/>
      <c r="M2937" s="5" t="s">
        <v>2677</v>
      </c>
    </row>
    <row r="2938" customFormat="false" ht="15.75" hidden="false" customHeight="false" outlineLevel="0" collapsed="false">
      <c r="A2938" s="3" t="n">
        <v>46207</v>
      </c>
      <c r="B2938" s="4" t="s">
        <v>915</v>
      </c>
      <c r="C2938" s="4" t="n">
        <v>10</v>
      </c>
      <c r="D2938" s="4" t="n">
        <v>8</v>
      </c>
      <c r="E2938" s="4" t="s">
        <v>2784</v>
      </c>
      <c r="F2938" s="4" t="n">
        <v>31</v>
      </c>
      <c r="G2938" s="4" t="n">
        <v>3</v>
      </c>
      <c r="H2938" s="4" t="n">
        <v>4</v>
      </c>
      <c r="I2938" s="4" t="str">
        <v>×</v>
      </c>
      <c r="J2938" s="4"/>
      <c r="K2938" s="4"/>
      <c r="L2938" s="4"/>
      <c r="M2938" s="5" t="s">
        <v>2677</v>
      </c>
    </row>
    <row r="2939" customFormat="false" ht="15.75" hidden="false" customHeight="false" outlineLevel="0" collapsed="false">
      <c r="A2939" s="3" t="n">
        <v>46207</v>
      </c>
      <c r="B2939" s="4" t="s">
        <v>915</v>
      </c>
      <c r="C2939" s="4" t="n">
        <v>10</v>
      </c>
      <c r="D2939" s="4" t="n">
        <v>9</v>
      </c>
      <c r="E2939" s="4" t="s">
        <v>2785</v>
      </c>
      <c r="F2939" s="4" t="n">
        <v>20</v>
      </c>
      <c r="G2939" s="4" t="n">
        <v>6</v>
      </c>
      <c r="H2939" s="4" t="n">
        <v>4</v>
      </c>
      <c r="I2939" s="4" t="str">
        <v>×</v>
      </c>
      <c r="J2939" s="4"/>
      <c r="K2939" s="4"/>
      <c r="L2939" s="4"/>
      <c r="M2939" s="5" t="s">
        <v>2677</v>
      </c>
    </row>
    <row r="2940" customFormat="false" ht="15.75" hidden="false" customHeight="false" outlineLevel="0" collapsed="false">
      <c r="A2940" s="3" t="n">
        <v>46207</v>
      </c>
      <c r="B2940" s="4" t="s">
        <v>915</v>
      </c>
      <c r="C2940" s="4" t="n">
        <v>10</v>
      </c>
      <c r="D2940" s="4" t="n">
        <v>10</v>
      </c>
      <c r="E2940" s="4" t="s">
        <v>2786</v>
      </c>
      <c r="F2940" s="4" t="n">
        <v>8</v>
      </c>
      <c r="G2940" s="4" t="n">
        <v>8</v>
      </c>
      <c r="H2940" s="4" t="n">
        <v>2</v>
      </c>
      <c r="I2940" s="4" t="str">
        <v>○</v>
      </c>
      <c r="J2940" s="4" t="n">
        <v>230</v>
      </c>
      <c r="K2940" s="4"/>
      <c r="L2940" s="4"/>
      <c r="M2940" s="5" t="s">
        <v>2677</v>
      </c>
    </row>
    <row r="2941" customFormat="false" ht="15.75" hidden="false" customHeight="false" outlineLevel="0" collapsed="false">
      <c r="A2941" s="3" t="n">
        <v>46207</v>
      </c>
      <c r="B2941" s="4" t="s">
        <v>915</v>
      </c>
      <c r="C2941" s="4" t="n">
        <v>11</v>
      </c>
      <c r="D2941" s="4" t="n">
        <v>1</v>
      </c>
      <c r="E2941" s="4" t="s">
        <v>2787</v>
      </c>
      <c r="F2941" s="4" t="n">
        <v>17</v>
      </c>
      <c r="G2941" s="4" t="n">
        <v>5</v>
      </c>
      <c r="H2941" s="4" t="n">
        <v>4</v>
      </c>
      <c r="I2941" s="4" t="str">
        <v>×</v>
      </c>
      <c r="J2941" s="4"/>
      <c r="K2941" s="4"/>
      <c r="L2941" s="4"/>
      <c r="M2941" s="5" t="s">
        <v>2677</v>
      </c>
    </row>
    <row r="2942" customFormat="false" ht="15.75" hidden="false" customHeight="false" outlineLevel="0" collapsed="false">
      <c r="A2942" s="3" t="n">
        <v>46207</v>
      </c>
      <c r="B2942" s="4" t="s">
        <v>915</v>
      </c>
      <c r="C2942" s="4" t="n">
        <v>11</v>
      </c>
      <c r="D2942" s="4" t="n">
        <v>2</v>
      </c>
      <c r="E2942" s="4" t="s">
        <v>2393</v>
      </c>
      <c r="F2942" s="4" t="n">
        <v>10</v>
      </c>
      <c r="G2942" s="4" t="n">
        <v>8</v>
      </c>
      <c r="H2942" s="4" t="n">
        <v>4</v>
      </c>
      <c r="I2942" s="4" t="str">
        <v>×</v>
      </c>
      <c r="J2942" s="4"/>
      <c r="K2942" s="4"/>
      <c r="L2942" s="4"/>
      <c r="M2942" s="5" t="s">
        <v>2677</v>
      </c>
    </row>
    <row r="2943" customFormat="false" ht="15.75" hidden="false" customHeight="false" outlineLevel="0" collapsed="false">
      <c r="A2943" s="3" t="n">
        <v>46207</v>
      </c>
      <c r="B2943" s="4" t="s">
        <v>915</v>
      </c>
      <c r="C2943" s="4" t="n">
        <v>11</v>
      </c>
      <c r="D2943" s="4" t="n">
        <v>3</v>
      </c>
      <c r="E2943" s="4" t="s">
        <v>2788</v>
      </c>
      <c r="F2943" s="4" t="n">
        <v>15</v>
      </c>
      <c r="G2943" s="4" t="n">
        <v>6</v>
      </c>
      <c r="H2943" s="4" t="n">
        <v>3</v>
      </c>
      <c r="I2943" s="4" t="str">
        <v>○</v>
      </c>
      <c r="J2943" s="4" t="n">
        <v>310</v>
      </c>
      <c r="K2943" s="4"/>
      <c r="L2943" s="4"/>
      <c r="M2943" s="5" t="s">
        <v>2677</v>
      </c>
    </row>
    <row r="2944" customFormat="false" ht="15.75" hidden="false" customHeight="false" outlineLevel="0" collapsed="false">
      <c r="A2944" s="3" t="n">
        <v>46207</v>
      </c>
      <c r="B2944" s="4" t="s">
        <v>915</v>
      </c>
      <c r="C2944" s="4" t="n">
        <v>11</v>
      </c>
      <c r="D2944" s="4" t="n">
        <v>4</v>
      </c>
      <c r="E2944" s="4" t="s">
        <v>2789</v>
      </c>
      <c r="F2944" s="4" t="n">
        <v>4</v>
      </c>
      <c r="G2944" s="4" t="n">
        <v>9</v>
      </c>
      <c r="H2944" s="4" t="n">
        <v>4</v>
      </c>
      <c r="I2944" s="4" t="str">
        <v>×</v>
      </c>
      <c r="J2944" s="4"/>
      <c r="K2944" s="4"/>
      <c r="L2944" s="4"/>
      <c r="M2944" s="5" t="s">
        <v>2677</v>
      </c>
    </row>
    <row r="2945" customFormat="false" ht="15.75" hidden="false" customHeight="false" outlineLevel="0" collapsed="false">
      <c r="A2945" s="3" t="n">
        <v>46207</v>
      </c>
      <c r="B2945" s="4" t="s">
        <v>915</v>
      </c>
      <c r="C2945" s="4" t="n">
        <v>11</v>
      </c>
      <c r="D2945" s="4" t="n">
        <v>5</v>
      </c>
      <c r="E2945" s="4" t="s">
        <v>2790</v>
      </c>
      <c r="F2945" s="4" t="n">
        <v>10</v>
      </c>
      <c r="G2945" s="4" t="n">
        <v>8</v>
      </c>
      <c r="H2945" s="4" t="n">
        <v>4</v>
      </c>
      <c r="I2945" s="4" t="str">
        <v>×</v>
      </c>
      <c r="J2945" s="4"/>
      <c r="K2945" s="4"/>
      <c r="L2945" s="4"/>
      <c r="M2945" s="5" t="s">
        <v>2677</v>
      </c>
    </row>
    <row r="2946" customFormat="false" ht="15.75" hidden="false" customHeight="false" outlineLevel="0" collapsed="false">
      <c r="A2946" s="3" t="n">
        <v>46207</v>
      </c>
      <c r="B2946" s="4" t="s">
        <v>915</v>
      </c>
      <c r="C2946" s="4" t="n">
        <v>11</v>
      </c>
      <c r="D2946" s="4" t="n">
        <v>6</v>
      </c>
      <c r="E2946" s="4" t="s">
        <v>2791</v>
      </c>
      <c r="F2946" s="4" t="n">
        <v>13</v>
      </c>
      <c r="G2946" s="4" t="n">
        <v>7</v>
      </c>
      <c r="H2946" s="4" t="n">
        <v>4</v>
      </c>
      <c r="I2946" s="4" t="str">
        <v>×</v>
      </c>
      <c r="J2946" s="4"/>
      <c r="K2946" s="4"/>
      <c r="L2946" s="4"/>
      <c r="M2946" s="5" t="s">
        <v>2677</v>
      </c>
    </row>
    <row r="2947" customFormat="false" ht="15.75" hidden="false" customHeight="false" outlineLevel="0" collapsed="false">
      <c r="A2947" s="3" t="n">
        <v>46207</v>
      </c>
      <c r="B2947" s="4" t="s">
        <v>915</v>
      </c>
      <c r="C2947" s="4" t="n">
        <v>11</v>
      </c>
      <c r="D2947" s="4" t="n">
        <v>7</v>
      </c>
      <c r="E2947" s="4" t="s">
        <v>2792</v>
      </c>
      <c r="F2947" s="4" t="n">
        <v>31</v>
      </c>
      <c r="G2947" s="4" t="n">
        <v>4</v>
      </c>
      <c r="H2947" s="4" t="n">
        <v>4</v>
      </c>
      <c r="I2947" s="4" t="str">
        <v>×</v>
      </c>
      <c r="J2947" s="4"/>
      <c r="K2947" s="4"/>
      <c r="L2947" s="4"/>
      <c r="M2947" s="5" t="s">
        <v>2677</v>
      </c>
    </row>
    <row r="2948" customFormat="false" ht="15.75" hidden="false" customHeight="false" outlineLevel="0" collapsed="false">
      <c r="A2948" s="3" t="n">
        <v>46207</v>
      </c>
      <c r="B2948" s="4" t="s">
        <v>915</v>
      </c>
      <c r="C2948" s="4" t="n">
        <v>11</v>
      </c>
      <c r="D2948" s="4" t="n">
        <v>8</v>
      </c>
      <c r="E2948" s="4" t="s">
        <v>2793</v>
      </c>
      <c r="F2948" s="4" t="n">
        <v>50</v>
      </c>
      <c r="G2948" s="4" t="n">
        <v>2</v>
      </c>
      <c r="H2948" s="4" t="n">
        <v>2</v>
      </c>
      <c r="I2948" s="4" t="str">
        <v>○</v>
      </c>
      <c r="J2948" s="4" t="n">
        <v>160</v>
      </c>
      <c r="K2948" s="4"/>
      <c r="L2948" s="4"/>
      <c r="M2948" s="5" t="s">
        <v>2677</v>
      </c>
    </row>
    <row r="2949" customFormat="false" ht="15.75" hidden="false" customHeight="false" outlineLevel="0" collapsed="false">
      <c r="A2949" s="3" t="n">
        <v>46207</v>
      </c>
      <c r="B2949" s="4" t="s">
        <v>915</v>
      </c>
      <c r="C2949" s="4" t="n">
        <v>11</v>
      </c>
      <c r="D2949" s="4" t="n">
        <v>9</v>
      </c>
      <c r="E2949" s="4" t="s">
        <v>2794</v>
      </c>
      <c r="F2949" s="4" t="n">
        <v>81</v>
      </c>
      <c r="G2949" s="4" t="n">
        <v>1</v>
      </c>
      <c r="H2949" s="4" t="n">
        <v>1</v>
      </c>
      <c r="I2949" s="4" t="str">
        <v>○</v>
      </c>
      <c r="J2949" s="4" t="n">
        <v>110</v>
      </c>
      <c r="K2949" s="4" t="n">
        <v>1.1</v>
      </c>
      <c r="L2949" s="4" t="n">
        <v>1.1</v>
      </c>
      <c r="M2949" s="5" t="s">
        <v>2677</v>
      </c>
    </row>
    <row r="2950" customFormat="false" ht="15.75" hidden="false" customHeight="false" outlineLevel="0" collapsed="false">
      <c r="A2950" s="3" t="n">
        <v>46207</v>
      </c>
      <c r="B2950" s="4" t="s">
        <v>915</v>
      </c>
      <c r="C2950" s="4" t="n">
        <v>11</v>
      </c>
      <c r="D2950" s="4" t="n">
        <v>10</v>
      </c>
      <c r="E2950" s="4" t="s">
        <v>2795</v>
      </c>
      <c r="F2950" s="4" t="n">
        <v>39</v>
      </c>
      <c r="G2950" s="4" t="n">
        <v>3</v>
      </c>
      <c r="H2950" s="4" t="n">
        <v>4</v>
      </c>
      <c r="I2950" s="4" t="str">
        <v>×</v>
      </c>
      <c r="J2950" s="4"/>
      <c r="K2950" s="4"/>
      <c r="L2950" s="4"/>
      <c r="M2950" s="5" t="s">
        <v>2677</v>
      </c>
    </row>
    <row r="2951" customFormat="false" ht="15.75" hidden="false" customHeight="false" outlineLevel="0" collapsed="false">
      <c r="A2951" s="3" t="n">
        <v>46207</v>
      </c>
      <c r="B2951" s="4" t="s">
        <v>915</v>
      </c>
      <c r="C2951" s="4" t="n">
        <v>12</v>
      </c>
      <c r="D2951" s="4" t="n">
        <v>1</v>
      </c>
      <c r="E2951" s="4" t="s">
        <v>2796</v>
      </c>
      <c r="F2951" s="4" t="n">
        <v>2</v>
      </c>
      <c r="G2951" s="4" t="n">
        <v>11</v>
      </c>
      <c r="H2951" s="4" t="n">
        <v>4</v>
      </c>
      <c r="I2951" s="4" t="str">
        <v>×</v>
      </c>
      <c r="J2951" s="4"/>
      <c r="K2951" s="4"/>
      <c r="L2951" s="4"/>
      <c r="M2951" s="5" t="s">
        <v>2677</v>
      </c>
    </row>
    <row r="2952" customFormat="false" ht="15.75" hidden="false" customHeight="false" outlineLevel="0" collapsed="false">
      <c r="A2952" s="3" t="n">
        <v>46207</v>
      </c>
      <c r="B2952" s="4" t="s">
        <v>915</v>
      </c>
      <c r="C2952" s="4" t="n">
        <v>12</v>
      </c>
      <c r="D2952" s="4" t="n">
        <v>2</v>
      </c>
      <c r="E2952" s="4" t="s">
        <v>2797</v>
      </c>
      <c r="F2952" s="4" t="n">
        <v>6</v>
      </c>
      <c r="G2952" s="4" t="n">
        <v>8</v>
      </c>
      <c r="H2952" s="4" t="n">
        <v>4</v>
      </c>
      <c r="I2952" s="4" t="str">
        <v>×</v>
      </c>
      <c r="J2952" s="4"/>
      <c r="K2952" s="4"/>
      <c r="L2952" s="4"/>
      <c r="M2952" s="5" t="s">
        <v>2677</v>
      </c>
    </row>
    <row r="2953" customFormat="false" ht="15.75" hidden="false" customHeight="false" outlineLevel="0" collapsed="false">
      <c r="A2953" s="3" t="n">
        <v>46207</v>
      </c>
      <c r="B2953" s="4" t="s">
        <v>915</v>
      </c>
      <c r="C2953" s="4" t="n">
        <v>12</v>
      </c>
      <c r="D2953" s="4" t="n">
        <v>3</v>
      </c>
      <c r="E2953" s="4" t="s">
        <v>1381</v>
      </c>
      <c r="F2953" s="4" t="n">
        <v>6</v>
      </c>
      <c r="G2953" s="4" t="n">
        <v>8</v>
      </c>
      <c r="H2953" s="4" t="n">
        <v>4</v>
      </c>
      <c r="I2953" s="4" t="str">
        <v>×</v>
      </c>
      <c r="J2953" s="4"/>
      <c r="K2953" s="4"/>
      <c r="L2953" s="4"/>
      <c r="M2953" s="5" t="s">
        <v>2677</v>
      </c>
    </row>
    <row r="2954" customFormat="false" ht="15.75" hidden="false" customHeight="false" outlineLevel="0" collapsed="false">
      <c r="A2954" s="3" t="n">
        <v>46207</v>
      </c>
      <c r="B2954" s="4" t="s">
        <v>915</v>
      </c>
      <c r="C2954" s="4" t="n">
        <v>12</v>
      </c>
      <c r="D2954" s="4" t="n">
        <v>4</v>
      </c>
      <c r="E2954" s="4" t="s">
        <v>1030</v>
      </c>
      <c r="F2954" s="4" t="n">
        <v>4</v>
      </c>
      <c r="G2954" s="4" t="n">
        <v>9</v>
      </c>
      <c r="H2954" s="4" t="n">
        <v>4</v>
      </c>
      <c r="I2954" s="4" t="str">
        <v>×</v>
      </c>
      <c r="J2954" s="4"/>
      <c r="K2954" s="4"/>
      <c r="L2954" s="4"/>
      <c r="M2954" s="5" t="s">
        <v>2677</v>
      </c>
    </row>
    <row r="2955" customFormat="false" ht="15.75" hidden="false" customHeight="false" outlineLevel="0" collapsed="false">
      <c r="A2955" s="3" t="n">
        <v>46207</v>
      </c>
      <c r="B2955" s="4" t="s">
        <v>915</v>
      </c>
      <c r="C2955" s="4" t="n">
        <v>12</v>
      </c>
      <c r="D2955" s="4" t="n">
        <v>5</v>
      </c>
      <c r="E2955" s="4" t="s">
        <v>2798</v>
      </c>
      <c r="F2955" s="4" t="n">
        <v>34</v>
      </c>
      <c r="G2955" s="4" t="n">
        <v>3</v>
      </c>
      <c r="H2955" s="4" t="n">
        <v>4</v>
      </c>
      <c r="I2955" s="4" t="str">
        <v>×</v>
      </c>
      <c r="J2955" s="4"/>
      <c r="K2955" s="4"/>
      <c r="L2955" s="4"/>
      <c r="M2955" s="5" t="s">
        <v>2677</v>
      </c>
    </row>
    <row r="2956" customFormat="false" ht="15.75" hidden="false" customHeight="false" outlineLevel="0" collapsed="false">
      <c r="A2956" s="3" t="n">
        <v>46207</v>
      </c>
      <c r="B2956" s="4" t="s">
        <v>915</v>
      </c>
      <c r="C2956" s="4" t="n">
        <v>12</v>
      </c>
      <c r="D2956" s="4" t="n">
        <v>6</v>
      </c>
      <c r="E2956" s="4" t="s">
        <v>2799</v>
      </c>
      <c r="F2956" s="4" t="n">
        <v>39</v>
      </c>
      <c r="G2956" s="4" t="n">
        <v>2</v>
      </c>
      <c r="H2956" s="4" t="n">
        <v>4</v>
      </c>
      <c r="I2956" s="4" t="str">
        <v>×</v>
      </c>
      <c r="J2956" s="4"/>
      <c r="K2956" s="4"/>
      <c r="L2956" s="4"/>
      <c r="M2956" s="5" t="s">
        <v>2677</v>
      </c>
    </row>
    <row r="2957" customFormat="false" ht="15.75" hidden="false" customHeight="false" outlineLevel="0" collapsed="false">
      <c r="A2957" s="3" t="n">
        <v>46207</v>
      </c>
      <c r="B2957" s="4" t="s">
        <v>915</v>
      </c>
      <c r="C2957" s="4" t="n">
        <v>12</v>
      </c>
      <c r="D2957" s="4" t="n">
        <v>7</v>
      </c>
      <c r="E2957" s="4" t="s">
        <v>2365</v>
      </c>
      <c r="F2957" s="4" t="n">
        <v>2</v>
      </c>
      <c r="G2957" s="4" t="n">
        <v>11</v>
      </c>
      <c r="H2957" s="4" t="n">
        <v>4</v>
      </c>
      <c r="I2957" s="4" t="str">
        <v>×</v>
      </c>
      <c r="J2957" s="4"/>
      <c r="K2957" s="4"/>
      <c r="L2957" s="4"/>
      <c r="M2957" s="5" t="s">
        <v>2677</v>
      </c>
    </row>
    <row r="2958" customFormat="false" ht="15.75" hidden="false" customHeight="false" outlineLevel="0" collapsed="false">
      <c r="A2958" s="3" t="n">
        <v>46207</v>
      </c>
      <c r="B2958" s="4" t="s">
        <v>915</v>
      </c>
      <c r="C2958" s="4" t="n">
        <v>12</v>
      </c>
      <c r="D2958" s="4" t="n">
        <v>8</v>
      </c>
      <c r="E2958" s="4" t="s">
        <v>2800</v>
      </c>
      <c r="F2958" s="4" t="n">
        <v>6</v>
      </c>
      <c r="G2958" s="4" t="n">
        <v>8</v>
      </c>
      <c r="H2958" s="4" t="n">
        <v>4</v>
      </c>
      <c r="I2958" s="4" t="str">
        <v>×</v>
      </c>
      <c r="J2958" s="4"/>
      <c r="K2958" s="4"/>
      <c r="L2958" s="4"/>
      <c r="M2958" s="5" t="s">
        <v>2677</v>
      </c>
    </row>
    <row r="2959" customFormat="false" ht="15.75" hidden="false" customHeight="false" outlineLevel="0" collapsed="false">
      <c r="A2959" s="3" t="n">
        <v>46207</v>
      </c>
      <c r="B2959" s="4" t="s">
        <v>915</v>
      </c>
      <c r="C2959" s="4" t="n">
        <v>12</v>
      </c>
      <c r="D2959" s="4" t="n">
        <v>9</v>
      </c>
      <c r="E2959" s="4" t="s">
        <v>2801</v>
      </c>
      <c r="F2959" s="4" t="n">
        <v>31</v>
      </c>
      <c r="G2959" s="4" t="n">
        <v>4</v>
      </c>
      <c r="H2959" s="4" t="n">
        <v>4</v>
      </c>
      <c r="I2959" s="4" t="str">
        <v>×</v>
      </c>
      <c r="J2959" s="4"/>
      <c r="K2959" s="4"/>
      <c r="L2959" s="4"/>
      <c r="M2959" s="5" t="s">
        <v>2677</v>
      </c>
    </row>
    <row r="2960" customFormat="false" ht="15.75" hidden="false" customHeight="false" outlineLevel="0" collapsed="false">
      <c r="A2960" s="3" t="n">
        <v>46207</v>
      </c>
      <c r="B2960" s="4" t="s">
        <v>915</v>
      </c>
      <c r="C2960" s="4" t="n">
        <v>12</v>
      </c>
      <c r="D2960" s="4" t="n">
        <v>10</v>
      </c>
      <c r="E2960" s="4" t="s">
        <v>2802</v>
      </c>
      <c r="F2960" s="4" t="n">
        <v>15</v>
      </c>
      <c r="G2960" s="4" t="n">
        <v>7</v>
      </c>
      <c r="H2960" s="4" t="n">
        <v>2</v>
      </c>
      <c r="I2960" s="4" t="str">
        <v>○</v>
      </c>
      <c r="J2960" s="4" t="n">
        <v>400</v>
      </c>
      <c r="K2960" s="4"/>
      <c r="L2960" s="4"/>
      <c r="M2960" s="5" t="s">
        <v>2677</v>
      </c>
    </row>
    <row r="2961" customFormat="false" ht="15.75" hidden="false" customHeight="false" outlineLevel="0" collapsed="false">
      <c r="A2961" s="3" t="n">
        <v>46207</v>
      </c>
      <c r="B2961" s="4" t="s">
        <v>915</v>
      </c>
      <c r="C2961" s="4" t="n">
        <v>12</v>
      </c>
      <c r="D2961" s="4" t="n">
        <v>11</v>
      </c>
      <c r="E2961" s="4" t="s">
        <v>171</v>
      </c>
      <c r="F2961" s="4" t="n">
        <v>23</v>
      </c>
      <c r="G2961" s="4" t="n">
        <v>5</v>
      </c>
      <c r="H2961" s="4" t="n">
        <v>4</v>
      </c>
      <c r="I2961" s="4" t="str">
        <v>×</v>
      </c>
      <c r="J2961" s="4"/>
      <c r="K2961" s="4"/>
      <c r="L2961" s="4"/>
      <c r="M2961" s="5" t="s">
        <v>2677</v>
      </c>
    </row>
    <row r="2962" customFormat="false" ht="15.75" hidden="false" customHeight="false" outlineLevel="0" collapsed="false">
      <c r="A2962" s="3" t="n">
        <v>46207</v>
      </c>
      <c r="B2962" s="4" t="s">
        <v>915</v>
      </c>
      <c r="C2962" s="4" t="n">
        <v>12</v>
      </c>
      <c r="D2962" s="4" t="n">
        <v>12</v>
      </c>
      <c r="E2962" s="4" t="s">
        <v>2803</v>
      </c>
      <c r="F2962" s="4" t="n">
        <v>3</v>
      </c>
      <c r="G2962" s="4" t="n">
        <v>10</v>
      </c>
      <c r="H2962" s="4" t="n">
        <v>4</v>
      </c>
      <c r="I2962" s="4" t="str">
        <v>×</v>
      </c>
      <c r="J2962" s="4"/>
      <c r="K2962" s="4"/>
      <c r="L2962" s="4"/>
      <c r="M2962" s="5" t="s">
        <v>2677</v>
      </c>
    </row>
    <row r="2963" customFormat="false" ht="15.75" hidden="false" customHeight="false" outlineLevel="0" collapsed="false">
      <c r="A2963" s="3" t="n">
        <v>46207</v>
      </c>
      <c r="B2963" s="4" t="s">
        <v>915</v>
      </c>
      <c r="C2963" s="4" t="n">
        <v>12</v>
      </c>
      <c r="D2963" s="4" t="n">
        <v>13</v>
      </c>
      <c r="E2963" s="4" t="s">
        <v>1507</v>
      </c>
      <c r="F2963" s="4" t="n">
        <v>23</v>
      </c>
      <c r="G2963" s="4" t="n">
        <v>5</v>
      </c>
      <c r="H2963" s="4" t="n">
        <v>1</v>
      </c>
      <c r="I2963" s="4" t="str">
        <v>○</v>
      </c>
      <c r="J2963" s="4" t="n">
        <v>370</v>
      </c>
      <c r="K2963" s="4"/>
      <c r="L2963" s="4"/>
      <c r="M2963" s="5" t="s">
        <v>2677</v>
      </c>
    </row>
    <row r="2964" customFormat="false" ht="15.75" hidden="false" customHeight="false" outlineLevel="0" collapsed="false">
      <c r="A2964" s="3" t="n">
        <v>46207</v>
      </c>
      <c r="B2964" s="4" t="s">
        <v>915</v>
      </c>
      <c r="C2964" s="4" t="n">
        <v>12</v>
      </c>
      <c r="D2964" s="4" t="n">
        <v>14</v>
      </c>
      <c r="E2964" s="4" t="s">
        <v>2804</v>
      </c>
      <c r="F2964" s="4" t="n">
        <v>62</v>
      </c>
      <c r="G2964" s="4" t="n">
        <v>1</v>
      </c>
      <c r="H2964" s="4" t="n">
        <v>4</v>
      </c>
      <c r="I2964" s="4" t="str">
        <v>×</v>
      </c>
      <c r="J2964" s="4"/>
      <c r="K2964" s="4"/>
      <c r="L2964" s="4"/>
      <c r="M2964" s="5" t="s">
        <v>2677</v>
      </c>
    </row>
    <row r="2965" customFormat="false" ht="15.75" hidden="false" customHeight="false" outlineLevel="0" collapsed="false">
      <c r="A2965" s="3" t="n">
        <v>46207</v>
      </c>
      <c r="B2965" s="4" t="s">
        <v>915</v>
      </c>
      <c r="C2965" s="4" t="n">
        <v>12</v>
      </c>
      <c r="D2965" s="4" t="n">
        <v>15</v>
      </c>
      <c r="E2965" s="4" t="s">
        <v>2805</v>
      </c>
      <c r="F2965" s="4" t="n">
        <v>17</v>
      </c>
      <c r="G2965" s="4" t="n">
        <v>6</v>
      </c>
      <c r="H2965" s="4" t="n">
        <v>4</v>
      </c>
      <c r="I2965" s="4" t="str">
        <v>×</v>
      </c>
      <c r="J2965" s="4"/>
      <c r="K2965" s="4"/>
      <c r="L2965" s="4"/>
      <c r="M2965" s="5" t="s">
        <v>2677</v>
      </c>
    </row>
    <row r="2966" customFormat="false" ht="15.75" hidden="false" customHeight="false" outlineLevel="0" collapsed="false">
      <c r="A2966" s="3" t="n">
        <v>46207</v>
      </c>
      <c r="B2966" s="4" t="s">
        <v>915</v>
      </c>
      <c r="C2966" s="4" t="n">
        <v>12</v>
      </c>
      <c r="D2966" s="4" t="n">
        <v>16</v>
      </c>
      <c r="E2966" s="4" t="s">
        <v>1021</v>
      </c>
      <c r="F2966" s="4" t="n">
        <v>23</v>
      </c>
      <c r="G2966" s="4" t="n">
        <v>5</v>
      </c>
      <c r="H2966" s="4" t="n">
        <v>3</v>
      </c>
      <c r="I2966" s="4" t="str">
        <v>○</v>
      </c>
      <c r="J2966" s="4" t="n">
        <v>490</v>
      </c>
      <c r="K2966" s="4"/>
      <c r="L2966" s="4"/>
      <c r="M2966" s="5" t="s">
        <v>2677</v>
      </c>
    </row>
    <row r="2967" customFormat="false" ht="15.75" hidden="false" customHeight="false" outlineLevel="0" collapsed="false">
      <c r="A2967" s="3" t="n">
        <v>46207</v>
      </c>
      <c r="B2967" s="4" t="s">
        <v>1091</v>
      </c>
      <c r="C2967" s="4" t="n">
        <v>1</v>
      </c>
      <c r="D2967" s="4" t="n">
        <v>1</v>
      </c>
      <c r="E2967" s="4" t="s">
        <v>2806</v>
      </c>
      <c r="F2967" s="4" t="n">
        <v>6</v>
      </c>
      <c r="G2967" s="4" t="n">
        <v>6</v>
      </c>
      <c r="H2967" s="4" t="n">
        <v>4</v>
      </c>
      <c r="I2967" s="4" t="str">
        <v>×</v>
      </c>
      <c r="J2967" s="4"/>
      <c r="K2967" s="4"/>
      <c r="L2967" s="4"/>
      <c r="M2967" s="5" t="s">
        <v>2677</v>
      </c>
    </row>
    <row r="2968" customFormat="false" ht="15.75" hidden="false" customHeight="false" outlineLevel="0" collapsed="false">
      <c r="A2968" s="3" t="n">
        <v>46207</v>
      </c>
      <c r="B2968" s="4" t="s">
        <v>1091</v>
      </c>
      <c r="C2968" s="4" t="n">
        <v>1</v>
      </c>
      <c r="D2968" s="4" t="n">
        <v>2</v>
      </c>
      <c r="E2968" s="4" t="s">
        <v>2807</v>
      </c>
      <c r="F2968" s="4" t="n">
        <v>14</v>
      </c>
      <c r="G2968" s="4" t="n">
        <v>3</v>
      </c>
      <c r="H2968" s="4" t="n">
        <v>4</v>
      </c>
      <c r="I2968" s="4" t="str">
        <v>×</v>
      </c>
      <c r="J2968" s="4"/>
      <c r="K2968" s="4"/>
      <c r="L2968" s="4"/>
      <c r="M2968" s="5" t="s">
        <v>2677</v>
      </c>
    </row>
    <row r="2969" customFormat="false" ht="15.75" hidden="false" customHeight="false" outlineLevel="0" collapsed="false">
      <c r="A2969" s="3" t="n">
        <v>46207</v>
      </c>
      <c r="B2969" s="4" t="s">
        <v>1091</v>
      </c>
      <c r="C2969" s="4" t="n">
        <v>1</v>
      </c>
      <c r="D2969" s="4" t="n">
        <v>3</v>
      </c>
      <c r="E2969" s="4" t="s">
        <v>1094</v>
      </c>
      <c r="F2969" s="4" t="n">
        <v>6</v>
      </c>
      <c r="G2969" s="4" t="n">
        <v>6</v>
      </c>
      <c r="H2969" s="4" t="n">
        <v>4</v>
      </c>
      <c r="I2969" s="4" t="str">
        <v>×</v>
      </c>
      <c r="J2969" s="4"/>
      <c r="K2969" s="4"/>
      <c r="L2969" s="4"/>
      <c r="M2969" s="5" t="s">
        <v>2677</v>
      </c>
    </row>
    <row r="2970" customFormat="false" ht="15.75" hidden="false" customHeight="false" outlineLevel="0" collapsed="false">
      <c r="A2970" s="3" t="n">
        <v>46207</v>
      </c>
      <c r="B2970" s="4" t="s">
        <v>1091</v>
      </c>
      <c r="C2970" s="4" t="n">
        <v>1</v>
      </c>
      <c r="D2970" s="4" t="n">
        <v>4</v>
      </c>
      <c r="E2970" s="4" t="s">
        <v>2808</v>
      </c>
      <c r="F2970" s="4" t="n">
        <v>55</v>
      </c>
      <c r="G2970" s="4" t="n">
        <v>1</v>
      </c>
      <c r="H2970" s="4" t="n">
        <v>4</v>
      </c>
      <c r="I2970" s="4" t="str">
        <v>×</v>
      </c>
      <c r="J2970" s="4"/>
      <c r="K2970" s="4"/>
      <c r="L2970" s="4"/>
      <c r="M2970" s="5" t="s">
        <v>2677</v>
      </c>
    </row>
    <row r="2971" customFormat="false" ht="15.75" hidden="false" customHeight="false" outlineLevel="0" collapsed="false">
      <c r="A2971" s="3" t="n">
        <v>46207</v>
      </c>
      <c r="B2971" s="4" t="s">
        <v>1091</v>
      </c>
      <c r="C2971" s="4" t="n">
        <v>1</v>
      </c>
      <c r="D2971" s="4" t="n">
        <v>5</v>
      </c>
      <c r="E2971" s="4" t="s">
        <v>2809</v>
      </c>
      <c r="F2971" s="4" t="n">
        <v>12</v>
      </c>
      <c r="G2971" s="4" t="n">
        <v>4</v>
      </c>
      <c r="H2971" s="4" t="n">
        <v>4</v>
      </c>
      <c r="I2971" s="4" t="str">
        <v>×</v>
      </c>
      <c r="J2971" s="4"/>
      <c r="K2971" s="4"/>
      <c r="L2971" s="4"/>
      <c r="M2971" s="5" t="s">
        <v>2677</v>
      </c>
    </row>
    <row r="2972" customFormat="false" ht="15.75" hidden="false" customHeight="false" outlineLevel="0" collapsed="false">
      <c r="A2972" s="3" t="n">
        <v>46207</v>
      </c>
      <c r="B2972" s="4" t="s">
        <v>1091</v>
      </c>
      <c r="C2972" s="4" t="n">
        <v>1</v>
      </c>
      <c r="D2972" s="4" t="n">
        <v>6</v>
      </c>
      <c r="E2972" s="4" t="s">
        <v>1562</v>
      </c>
      <c r="F2972" s="4" t="n">
        <v>37</v>
      </c>
      <c r="G2972" s="4" t="n">
        <v>2</v>
      </c>
      <c r="H2972" s="4" t="n">
        <v>3</v>
      </c>
      <c r="I2972" s="4" t="str">
        <v>○</v>
      </c>
      <c r="J2972" s="4" t="n">
        <v>280</v>
      </c>
      <c r="K2972" s="4"/>
      <c r="L2972" s="4"/>
      <c r="M2972" s="5" t="s">
        <v>2677</v>
      </c>
    </row>
    <row r="2973" customFormat="false" ht="15.75" hidden="false" customHeight="false" outlineLevel="0" collapsed="false">
      <c r="A2973" s="3" t="n">
        <v>46207</v>
      </c>
      <c r="B2973" s="4" t="s">
        <v>1091</v>
      </c>
      <c r="C2973" s="4" t="n">
        <v>1</v>
      </c>
      <c r="D2973" s="4" t="n">
        <v>7</v>
      </c>
      <c r="E2973" s="4" t="s">
        <v>2810</v>
      </c>
      <c r="F2973" s="4" t="n">
        <v>37</v>
      </c>
      <c r="G2973" s="4" t="n">
        <v>2</v>
      </c>
      <c r="H2973" s="4" t="n">
        <v>2</v>
      </c>
      <c r="I2973" s="4" t="str">
        <v>○</v>
      </c>
      <c r="J2973" s="4" t="n">
        <v>440</v>
      </c>
      <c r="K2973" s="4"/>
      <c r="L2973" s="4"/>
      <c r="M2973" s="5" t="s">
        <v>2677</v>
      </c>
    </row>
    <row r="2974" customFormat="false" ht="15.75" hidden="false" customHeight="false" outlineLevel="0" collapsed="false">
      <c r="A2974" s="3" t="n">
        <v>46207</v>
      </c>
      <c r="B2974" s="4" t="s">
        <v>1091</v>
      </c>
      <c r="C2974" s="4" t="n">
        <v>1</v>
      </c>
      <c r="D2974" s="4" t="n">
        <v>8</v>
      </c>
      <c r="E2974" s="4" t="s">
        <v>2811</v>
      </c>
      <c r="F2974" s="4" t="n">
        <v>37</v>
      </c>
      <c r="G2974" s="4" t="n">
        <v>2</v>
      </c>
      <c r="H2974" s="4" t="n">
        <v>4</v>
      </c>
      <c r="I2974" s="4" t="str">
        <v>×</v>
      </c>
      <c r="J2974" s="4"/>
      <c r="K2974" s="4"/>
      <c r="L2974" s="4"/>
      <c r="M2974" s="5" t="s">
        <v>2677</v>
      </c>
    </row>
    <row r="2975" customFormat="false" ht="15.75" hidden="false" customHeight="false" outlineLevel="0" collapsed="false">
      <c r="A2975" s="3" t="n">
        <v>46207</v>
      </c>
      <c r="B2975" s="4" t="s">
        <v>1091</v>
      </c>
      <c r="C2975" s="4" t="n">
        <v>1</v>
      </c>
      <c r="D2975" s="4" t="n">
        <v>9</v>
      </c>
      <c r="E2975" s="4" t="s">
        <v>1561</v>
      </c>
      <c r="F2975" s="4" t="n">
        <v>6</v>
      </c>
      <c r="G2975" s="4" t="n">
        <v>6</v>
      </c>
      <c r="H2975" s="4" t="n">
        <v>4</v>
      </c>
      <c r="I2975" s="4" t="str">
        <v>×</v>
      </c>
      <c r="J2975" s="4"/>
      <c r="K2975" s="4"/>
      <c r="L2975" s="4"/>
      <c r="M2975" s="5" t="s">
        <v>2677</v>
      </c>
    </row>
    <row r="2976" customFormat="false" ht="15.75" hidden="false" customHeight="false" outlineLevel="0" collapsed="false">
      <c r="A2976" s="3" t="n">
        <v>46207</v>
      </c>
      <c r="B2976" s="4" t="s">
        <v>1091</v>
      </c>
      <c r="C2976" s="4" t="n">
        <v>1</v>
      </c>
      <c r="D2976" s="4" t="n">
        <v>10</v>
      </c>
      <c r="E2976" s="4" t="s">
        <v>2812</v>
      </c>
      <c r="F2976" s="4" t="n">
        <v>14</v>
      </c>
      <c r="G2976" s="4" t="n">
        <v>3</v>
      </c>
      <c r="H2976" s="4" t="n">
        <v>4</v>
      </c>
      <c r="I2976" s="4" t="str">
        <v>×</v>
      </c>
      <c r="J2976" s="4"/>
      <c r="K2976" s="4"/>
      <c r="L2976" s="4"/>
      <c r="M2976" s="5" t="s">
        <v>2677</v>
      </c>
    </row>
    <row r="2977" customFormat="false" ht="15.75" hidden="false" customHeight="false" outlineLevel="0" collapsed="false">
      <c r="A2977" s="3" t="n">
        <v>46207</v>
      </c>
      <c r="B2977" s="4" t="s">
        <v>1091</v>
      </c>
      <c r="C2977" s="4" t="n">
        <v>1</v>
      </c>
      <c r="D2977" s="4" t="n">
        <v>11</v>
      </c>
      <c r="E2977" s="4" t="s">
        <v>2813</v>
      </c>
      <c r="F2977" s="4" t="n">
        <v>7</v>
      </c>
      <c r="G2977" s="4" t="n">
        <v>5</v>
      </c>
      <c r="H2977" s="4" t="n">
        <v>1</v>
      </c>
      <c r="I2977" s="4" t="str">
        <v>○</v>
      </c>
      <c r="J2977" s="4" t="n">
        <v>550</v>
      </c>
      <c r="K2977" s="4"/>
      <c r="L2977" s="4"/>
      <c r="M2977" s="5" t="s">
        <v>2677</v>
      </c>
    </row>
    <row r="2978" customFormat="false" ht="15.75" hidden="false" customHeight="false" outlineLevel="0" collapsed="false">
      <c r="A2978" s="3" t="n">
        <v>46207</v>
      </c>
      <c r="B2978" s="4" t="s">
        <v>1091</v>
      </c>
      <c r="C2978" s="4" t="n">
        <v>1</v>
      </c>
      <c r="D2978" s="4" t="n">
        <v>12</v>
      </c>
      <c r="E2978" s="4" t="s">
        <v>2814</v>
      </c>
      <c r="F2978" s="4" t="n">
        <v>55</v>
      </c>
      <c r="G2978" s="4" t="n">
        <v>1</v>
      </c>
      <c r="H2978" s="4" t="n">
        <v>4</v>
      </c>
      <c r="I2978" s="4" t="str">
        <v>×</v>
      </c>
      <c r="J2978" s="4"/>
      <c r="K2978" s="4"/>
      <c r="L2978" s="4"/>
      <c r="M2978" s="5" t="s">
        <v>2677</v>
      </c>
    </row>
    <row r="2979" customFormat="false" ht="15.75" hidden="false" customHeight="false" outlineLevel="0" collapsed="false">
      <c r="A2979" s="3" t="n">
        <v>46207</v>
      </c>
      <c r="B2979" s="4" t="s">
        <v>1091</v>
      </c>
      <c r="C2979" s="4" t="n">
        <v>2</v>
      </c>
      <c r="D2979" s="4" t="n">
        <v>1</v>
      </c>
      <c r="E2979" s="4" t="s">
        <v>2815</v>
      </c>
      <c r="F2979" s="4" t="n">
        <v>17</v>
      </c>
      <c r="G2979" s="4" t="n">
        <v>5</v>
      </c>
      <c r="H2979" s="4" t="n">
        <v>4</v>
      </c>
      <c r="I2979" s="4" t="str">
        <v>×</v>
      </c>
      <c r="J2979" s="4"/>
      <c r="K2979" s="4"/>
      <c r="L2979" s="4"/>
      <c r="M2979" s="5" t="s">
        <v>2677</v>
      </c>
    </row>
    <row r="2980" customFormat="false" ht="15.75" hidden="false" customHeight="false" outlineLevel="0" collapsed="false">
      <c r="A2980" s="3" t="n">
        <v>46207</v>
      </c>
      <c r="B2980" s="4" t="s">
        <v>1091</v>
      </c>
      <c r="C2980" s="4" t="n">
        <v>2</v>
      </c>
      <c r="D2980" s="4" t="n">
        <v>2</v>
      </c>
      <c r="E2980" s="4" t="s">
        <v>2816</v>
      </c>
      <c r="F2980" s="4" t="n">
        <v>17</v>
      </c>
      <c r="G2980" s="4" t="n">
        <v>5</v>
      </c>
      <c r="H2980" s="4" t="n">
        <v>4</v>
      </c>
      <c r="I2980" s="4" t="str">
        <v>×</v>
      </c>
      <c r="J2980" s="4"/>
      <c r="K2980" s="4"/>
      <c r="L2980" s="4"/>
      <c r="M2980" s="5" t="s">
        <v>2677</v>
      </c>
    </row>
    <row r="2981" customFormat="false" ht="15.75" hidden="false" customHeight="false" outlineLevel="0" collapsed="false">
      <c r="A2981" s="3" t="n">
        <v>46207</v>
      </c>
      <c r="B2981" s="4" t="s">
        <v>1091</v>
      </c>
      <c r="C2981" s="4" t="n">
        <v>2</v>
      </c>
      <c r="D2981" s="4" t="n">
        <v>3</v>
      </c>
      <c r="E2981" s="4" t="s">
        <v>2817</v>
      </c>
      <c r="F2981" s="4" t="n">
        <v>10</v>
      </c>
      <c r="G2981" s="4" t="n">
        <v>8</v>
      </c>
      <c r="H2981" s="4" t="n">
        <v>4</v>
      </c>
      <c r="I2981" s="4" t="str">
        <v>×</v>
      </c>
      <c r="J2981" s="4"/>
      <c r="K2981" s="4"/>
      <c r="L2981" s="4"/>
      <c r="M2981" s="5" t="s">
        <v>2677</v>
      </c>
    </row>
    <row r="2982" customFormat="false" ht="15.75" hidden="false" customHeight="false" outlineLevel="0" collapsed="false">
      <c r="A2982" s="3" t="n">
        <v>46207</v>
      </c>
      <c r="B2982" s="4" t="s">
        <v>1091</v>
      </c>
      <c r="C2982" s="4" t="n">
        <v>2</v>
      </c>
      <c r="D2982" s="4" t="n">
        <v>4</v>
      </c>
      <c r="E2982" s="4" t="s">
        <v>314</v>
      </c>
      <c r="F2982" s="4" t="n">
        <v>10</v>
      </c>
      <c r="G2982" s="4" t="n">
        <v>8</v>
      </c>
      <c r="H2982" s="4" t="n">
        <v>1</v>
      </c>
      <c r="I2982" s="4" t="str">
        <v>○</v>
      </c>
      <c r="J2982" s="4" t="n">
        <v>390</v>
      </c>
      <c r="K2982" s="4"/>
      <c r="L2982" s="4"/>
      <c r="M2982" s="5" t="s">
        <v>2677</v>
      </c>
    </row>
    <row r="2983" customFormat="false" ht="15.75" hidden="false" customHeight="false" outlineLevel="0" collapsed="false">
      <c r="A2983" s="3" t="n">
        <v>46207</v>
      </c>
      <c r="B2983" s="4" t="s">
        <v>1091</v>
      </c>
      <c r="C2983" s="4" t="n">
        <v>2</v>
      </c>
      <c r="D2983" s="4" t="n">
        <v>5</v>
      </c>
      <c r="E2983" s="4" t="s">
        <v>2084</v>
      </c>
      <c r="F2983" s="4" t="n">
        <v>4</v>
      </c>
      <c r="G2983" s="4" t="n">
        <v>11</v>
      </c>
      <c r="H2983" s="4" t="n">
        <v>3</v>
      </c>
      <c r="I2983" s="4" t="str">
        <v>○</v>
      </c>
      <c r="J2983" s="4" t="n">
        <v>1010</v>
      </c>
      <c r="K2983" s="4"/>
      <c r="L2983" s="4"/>
      <c r="M2983" s="5" t="s">
        <v>2677</v>
      </c>
    </row>
    <row r="2984" customFormat="false" ht="15.75" hidden="false" customHeight="false" outlineLevel="0" collapsed="false">
      <c r="A2984" s="3" t="n">
        <v>46207</v>
      </c>
      <c r="B2984" s="4" t="s">
        <v>1091</v>
      </c>
      <c r="C2984" s="4" t="n">
        <v>2</v>
      </c>
      <c r="D2984" s="4" t="n">
        <v>6</v>
      </c>
      <c r="E2984" s="4" t="s">
        <v>2818</v>
      </c>
      <c r="F2984" s="4" t="n">
        <v>56</v>
      </c>
      <c r="G2984" s="4" t="n">
        <v>1</v>
      </c>
      <c r="H2984" s="4" t="n">
        <v>4</v>
      </c>
      <c r="I2984" s="4" t="str">
        <v>×</v>
      </c>
      <c r="J2984" s="4"/>
      <c r="K2984" s="4"/>
      <c r="L2984" s="4"/>
      <c r="M2984" s="5" t="s">
        <v>2677</v>
      </c>
    </row>
    <row r="2985" customFormat="false" ht="15.75" hidden="false" customHeight="false" outlineLevel="0" collapsed="false">
      <c r="A2985" s="3" t="n">
        <v>46207</v>
      </c>
      <c r="B2985" s="4" t="s">
        <v>1091</v>
      </c>
      <c r="C2985" s="4" t="n">
        <v>2</v>
      </c>
      <c r="D2985" s="4" t="n">
        <v>7</v>
      </c>
      <c r="E2985" s="4" t="s">
        <v>2819</v>
      </c>
      <c r="F2985" s="4" t="n">
        <v>8</v>
      </c>
      <c r="G2985" s="4" t="n">
        <v>9</v>
      </c>
      <c r="H2985" s="4" t="n">
        <v>4</v>
      </c>
      <c r="I2985" s="4" t="str">
        <v>×</v>
      </c>
      <c r="J2985" s="4"/>
      <c r="K2985" s="4"/>
      <c r="L2985" s="4"/>
      <c r="M2985" s="5" t="s">
        <v>2677</v>
      </c>
    </row>
    <row r="2986" customFormat="false" ht="15.75" hidden="false" customHeight="false" outlineLevel="0" collapsed="false">
      <c r="A2986" s="3" t="n">
        <v>46207</v>
      </c>
      <c r="B2986" s="4" t="s">
        <v>1091</v>
      </c>
      <c r="C2986" s="4" t="n">
        <v>2</v>
      </c>
      <c r="D2986" s="4" t="n">
        <v>8</v>
      </c>
      <c r="E2986" s="4" t="s">
        <v>1574</v>
      </c>
      <c r="F2986" s="4" t="n">
        <v>8</v>
      </c>
      <c r="G2986" s="4" t="n">
        <v>9</v>
      </c>
      <c r="H2986" s="4" t="n">
        <v>2</v>
      </c>
      <c r="I2986" s="4" t="str">
        <v>○</v>
      </c>
      <c r="J2986" s="4" t="n">
        <v>920</v>
      </c>
      <c r="K2986" s="4"/>
      <c r="L2986" s="4"/>
      <c r="M2986" s="5" t="s">
        <v>2677</v>
      </c>
    </row>
    <row r="2987" customFormat="false" ht="15.75" hidden="false" customHeight="false" outlineLevel="0" collapsed="false">
      <c r="A2987" s="3" t="n">
        <v>46207</v>
      </c>
      <c r="B2987" s="4" t="s">
        <v>1091</v>
      </c>
      <c r="C2987" s="4" t="n">
        <v>2</v>
      </c>
      <c r="D2987" s="4" t="n">
        <v>9</v>
      </c>
      <c r="E2987" s="4" t="s">
        <v>2820</v>
      </c>
      <c r="F2987" s="4" t="n">
        <v>29</v>
      </c>
      <c r="G2987" s="4" t="n">
        <v>3</v>
      </c>
      <c r="H2987" s="4" t="n">
        <v>4</v>
      </c>
      <c r="I2987" s="4" t="str">
        <v>×</v>
      </c>
      <c r="J2987" s="4"/>
      <c r="K2987" s="4"/>
      <c r="L2987" s="4"/>
      <c r="M2987" s="5" t="s">
        <v>2677</v>
      </c>
    </row>
    <row r="2988" customFormat="false" ht="15.75" hidden="false" customHeight="false" outlineLevel="0" collapsed="false">
      <c r="A2988" s="3" t="n">
        <v>46207</v>
      </c>
      <c r="B2988" s="4" t="s">
        <v>1091</v>
      </c>
      <c r="C2988" s="4" t="n">
        <v>2</v>
      </c>
      <c r="D2988" s="4" t="n">
        <v>10</v>
      </c>
      <c r="E2988" s="4" t="s">
        <v>2821</v>
      </c>
      <c r="F2988" s="4" t="n">
        <v>10</v>
      </c>
      <c r="G2988" s="4" t="n">
        <v>8</v>
      </c>
      <c r="H2988" s="4" t="n">
        <v>4</v>
      </c>
      <c r="I2988" s="4" t="str">
        <v>×</v>
      </c>
      <c r="J2988" s="4"/>
      <c r="K2988" s="4"/>
      <c r="L2988" s="4"/>
      <c r="M2988" s="5" t="s">
        <v>2677</v>
      </c>
    </row>
    <row r="2989" customFormat="false" ht="15.75" hidden="false" customHeight="false" outlineLevel="0" collapsed="false">
      <c r="A2989" s="3" t="n">
        <v>46207</v>
      </c>
      <c r="B2989" s="4" t="s">
        <v>1091</v>
      </c>
      <c r="C2989" s="4" t="n">
        <v>2</v>
      </c>
      <c r="D2989" s="4" t="n">
        <v>11</v>
      </c>
      <c r="E2989" s="4" t="s">
        <v>2822</v>
      </c>
      <c r="F2989" s="4" t="n">
        <v>2</v>
      </c>
      <c r="G2989" s="4" t="n">
        <v>12</v>
      </c>
      <c r="H2989" s="4" t="n">
        <v>4</v>
      </c>
      <c r="I2989" s="4" t="str">
        <v>×</v>
      </c>
      <c r="J2989" s="4"/>
      <c r="K2989" s="4"/>
      <c r="L2989" s="4"/>
      <c r="M2989" s="5" t="s">
        <v>2677</v>
      </c>
    </row>
    <row r="2990" customFormat="false" ht="15.75" hidden="false" customHeight="false" outlineLevel="0" collapsed="false">
      <c r="A2990" s="3" t="n">
        <v>46207</v>
      </c>
      <c r="B2990" s="4" t="s">
        <v>1091</v>
      </c>
      <c r="C2990" s="4" t="n">
        <v>2</v>
      </c>
      <c r="D2990" s="4" t="n">
        <v>12</v>
      </c>
      <c r="E2990" s="4" t="s">
        <v>2433</v>
      </c>
      <c r="F2990" s="4" t="n">
        <v>13</v>
      </c>
      <c r="G2990" s="4" t="n">
        <v>7</v>
      </c>
      <c r="H2990" s="4" t="n">
        <v>3</v>
      </c>
      <c r="I2990" s="4" t="str">
        <v>○</v>
      </c>
      <c r="J2990" s="4" t="n">
        <v>420</v>
      </c>
      <c r="K2990" s="4"/>
      <c r="L2990" s="4"/>
      <c r="M2990" s="5" t="s">
        <v>2677</v>
      </c>
    </row>
    <row r="2991" customFormat="false" ht="15.75" hidden="false" customHeight="false" outlineLevel="0" collapsed="false">
      <c r="A2991" s="3" t="n">
        <v>46207</v>
      </c>
      <c r="B2991" s="4" t="s">
        <v>1091</v>
      </c>
      <c r="C2991" s="4" t="n">
        <v>2</v>
      </c>
      <c r="D2991" s="4" t="n">
        <v>13</v>
      </c>
      <c r="E2991" s="4" t="s">
        <v>770</v>
      </c>
      <c r="F2991" s="4" t="n">
        <v>20</v>
      </c>
      <c r="G2991" s="4" t="n">
        <v>4</v>
      </c>
      <c r="H2991" s="4" t="n">
        <v>4</v>
      </c>
      <c r="I2991" s="4" t="str">
        <v>×</v>
      </c>
      <c r="J2991" s="4"/>
      <c r="K2991" s="4"/>
      <c r="L2991" s="4"/>
      <c r="M2991" s="5" t="s">
        <v>2677</v>
      </c>
    </row>
    <row r="2992" customFormat="false" ht="15.75" hidden="false" customHeight="false" outlineLevel="0" collapsed="false">
      <c r="A2992" s="3" t="n">
        <v>46207</v>
      </c>
      <c r="B2992" s="4" t="s">
        <v>1091</v>
      </c>
      <c r="C2992" s="4" t="n">
        <v>2</v>
      </c>
      <c r="D2992" s="4" t="n">
        <v>14</v>
      </c>
      <c r="E2992" s="4" t="s">
        <v>2823</v>
      </c>
      <c r="F2992" s="4" t="n">
        <v>10</v>
      </c>
      <c r="G2992" s="4" t="n">
        <v>8</v>
      </c>
      <c r="H2992" s="4" t="n">
        <v>4</v>
      </c>
      <c r="I2992" s="4" t="str">
        <v>×</v>
      </c>
      <c r="J2992" s="4"/>
      <c r="K2992" s="4"/>
      <c r="L2992" s="4"/>
      <c r="M2992" s="5" t="s">
        <v>2677</v>
      </c>
    </row>
    <row r="2993" customFormat="false" ht="15.75" hidden="false" customHeight="false" outlineLevel="0" collapsed="false">
      <c r="A2993" s="3" t="n">
        <v>46207</v>
      </c>
      <c r="B2993" s="4" t="s">
        <v>1091</v>
      </c>
      <c r="C2993" s="4" t="n">
        <v>2</v>
      </c>
      <c r="D2993" s="4" t="n">
        <v>15</v>
      </c>
      <c r="E2993" s="4" t="s">
        <v>808</v>
      </c>
      <c r="F2993" s="4" t="n">
        <v>39</v>
      </c>
      <c r="G2993" s="4" t="n">
        <v>2</v>
      </c>
      <c r="H2993" s="4" t="n">
        <v>4</v>
      </c>
      <c r="I2993" s="4" t="str">
        <v>×</v>
      </c>
      <c r="J2993" s="4"/>
      <c r="K2993" s="4"/>
      <c r="L2993" s="4"/>
      <c r="M2993" s="5" t="s">
        <v>2677</v>
      </c>
    </row>
    <row r="2994" customFormat="false" ht="15.75" hidden="false" customHeight="false" outlineLevel="0" collapsed="false">
      <c r="A2994" s="3" t="n">
        <v>46207</v>
      </c>
      <c r="B2994" s="4" t="s">
        <v>1091</v>
      </c>
      <c r="C2994" s="4" t="n">
        <v>2</v>
      </c>
      <c r="D2994" s="4" t="n">
        <v>16</v>
      </c>
      <c r="E2994" s="4" t="s">
        <v>2824</v>
      </c>
      <c r="F2994" s="4" t="n">
        <v>6</v>
      </c>
      <c r="G2994" s="4" t="n">
        <v>10</v>
      </c>
      <c r="H2994" s="4" t="n">
        <v>4</v>
      </c>
      <c r="I2994" s="4" t="str">
        <v>×</v>
      </c>
      <c r="J2994" s="4"/>
      <c r="K2994" s="4"/>
      <c r="L2994" s="4"/>
      <c r="M2994" s="5" t="s">
        <v>2677</v>
      </c>
    </row>
    <row r="2995" customFormat="false" ht="15.75" hidden="false" customHeight="false" outlineLevel="0" collapsed="false">
      <c r="A2995" s="3" t="n">
        <v>46207</v>
      </c>
      <c r="B2995" s="4" t="s">
        <v>1091</v>
      </c>
      <c r="C2995" s="4" t="n">
        <v>2</v>
      </c>
      <c r="D2995" s="4" t="n">
        <v>17</v>
      </c>
      <c r="E2995" s="4" t="s">
        <v>2825</v>
      </c>
      <c r="F2995" s="4" t="n">
        <v>15</v>
      </c>
      <c r="G2995" s="4" t="n">
        <v>6</v>
      </c>
      <c r="H2995" s="4" t="n">
        <v>4</v>
      </c>
      <c r="I2995" s="4" t="str">
        <v>×</v>
      </c>
      <c r="J2995" s="4"/>
      <c r="K2995" s="4"/>
      <c r="L2995" s="4"/>
      <c r="M2995" s="5" t="s">
        <v>2677</v>
      </c>
    </row>
    <row r="2996" customFormat="false" ht="15.75" hidden="false" customHeight="false" outlineLevel="0" collapsed="false">
      <c r="A2996" s="3" t="n">
        <v>46207</v>
      </c>
      <c r="B2996" s="4" t="s">
        <v>1091</v>
      </c>
      <c r="C2996" s="4" t="n">
        <v>2</v>
      </c>
      <c r="D2996" s="4" t="n">
        <v>18</v>
      </c>
      <c r="E2996" s="4" t="s">
        <v>2826</v>
      </c>
      <c r="F2996" s="4" t="n">
        <v>8</v>
      </c>
      <c r="G2996" s="4" t="n">
        <v>9</v>
      </c>
      <c r="H2996" s="4" t="n">
        <v>4</v>
      </c>
      <c r="I2996" s="4" t="str">
        <v>×</v>
      </c>
      <c r="J2996" s="4"/>
      <c r="K2996" s="4"/>
      <c r="L2996" s="4"/>
      <c r="M2996" s="5" t="s">
        <v>2677</v>
      </c>
    </row>
    <row r="2997" customFormat="false" ht="15.75" hidden="false" customHeight="false" outlineLevel="0" collapsed="false">
      <c r="A2997" s="3" t="n">
        <v>46207</v>
      </c>
      <c r="B2997" s="4" t="s">
        <v>1091</v>
      </c>
      <c r="C2997" s="4" t="n">
        <v>3</v>
      </c>
      <c r="D2997" s="4" t="n">
        <v>1</v>
      </c>
      <c r="E2997" s="4" t="s">
        <v>2827</v>
      </c>
      <c r="F2997" s="4" t="n">
        <v>8</v>
      </c>
      <c r="G2997" s="4" t="n">
        <v>8</v>
      </c>
      <c r="H2997" s="4" t="n">
        <v>4</v>
      </c>
      <c r="I2997" s="4" t="str">
        <v>×</v>
      </c>
      <c r="J2997" s="4"/>
      <c r="K2997" s="4"/>
      <c r="L2997" s="4"/>
      <c r="M2997" s="5" t="s">
        <v>2677</v>
      </c>
    </row>
    <row r="2998" customFormat="false" ht="15.75" hidden="false" customHeight="false" outlineLevel="0" collapsed="false">
      <c r="A2998" s="3" t="n">
        <v>46207</v>
      </c>
      <c r="B2998" s="4" t="s">
        <v>1091</v>
      </c>
      <c r="C2998" s="4" t="n">
        <v>3</v>
      </c>
      <c r="D2998" s="4" t="n">
        <v>2</v>
      </c>
      <c r="E2998" s="4" t="s">
        <v>2828</v>
      </c>
      <c r="F2998" s="4" t="n">
        <v>4</v>
      </c>
      <c r="G2998" s="4" t="n">
        <v>10</v>
      </c>
      <c r="H2998" s="4" t="n">
        <v>4</v>
      </c>
      <c r="I2998" s="4" t="str">
        <v>×</v>
      </c>
      <c r="J2998" s="4"/>
      <c r="K2998" s="4"/>
      <c r="L2998" s="4"/>
      <c r="M2998" s="5" t="s">
        <v>2677</v>
      </c>
    </row>
    <row r="2999" customFormat="false" ht="15.75" hidden="false" customHeight="false" outlineLevel="0" collapsed="false">
      <c r="A2999" s="3" t="n">
        <v>46207</v>
      </c>
      <c r="B2999" s="4" t="s">
        <v>1091</v>
      </c>
      <c r="C2999" s="4" t="n">
        <v>3</v>
      </c>
      <c r="D2999" s="4" t="n">
        <v>3</v>
      </c>
      <c r="E2999" s="4" t="s">
        <v>2829</v>
      </c>
      <c r="F2999" s="4" t="n">
        <v>4</v>
      </c>
      <c r="G2999" s="4" t="n">
        <v>10</v>
      </c>
      <c r="H2999" s="4" t="n">
        <v>4</v>
      </c>
      <c r="I2999" s="4" t="str">
        <v>×</v>
      </c>
      <c r="J2999" s="4"/>
      <c r="K2999" s="4"/>
      <c r="L2999" s="4"/>
      <c r="M2999" s="5" t="s">
        <v>2677</v>
      </c>
    </row>
    <row r="3000" customFormat="false" ht="15.75" hidden="false" customHeight="false" outlineLevel="0" collapsed="false">
      <c r="A3000" s="3" t="n">
        <v>46207</v>
      </c>
      <c r="B3000" s="4" t="s">
        <v>1091</v>
      </c>
      <c r="C3000" s="4" t="n">
        <v>3</v>
      </c>
      <c r="D3000" s="4" t="n">
        <v>4</v>
      </c>
      <c r="E3000" s="4" t="s">
        <v>2830</v>
      </c>
      <c r="F3000" s="4" t="n">
        <v>6</v>
      </c>
      <c r="G3000" s="4" t="n">
        <v>9</v>
      </c>
      <c r="H3000" s="4" t="n">
        <v>4</v>
      </c>
      <c r="I3000" s="4" t="str">
        <v>×</v>
      </c>
      <c r="J3000" s="4"/>
      <c r="K3000" s="4"/>
      <c r="L3000" s="4"/>
      <c r="M3000" s="5" t="s">
        <v>2677</v>
      </c>
    </row>
    <row r="3001" customFormat="false" ht="15.75" hidden="false" customHeight="false" outlineLevel="0" collapsed="false">
      <c r="A3001" s="3" t="n">
        <v>46207</v>
      </c>
      <c r="B3001" s="4" t="s">
        <v>1091</v>
      </c>
      <c r="C3001" s="4" t="n">
        <v>3</v>
      </c>
      <c r="D3001" s="4" t="n">
        <v>5</v>
      </c>
      <c r="E3001" s="4" t="s">
        <v>650</v>
      </c>
      <c r="F3001" s="4" t="n">
        <v>6</v>
      </c>
      <c r="G3001" s="4" t="n">
        <v>9</v>
      </c>
      <c r="H3001" s="4" t="n">
        <v>4</v>
      </c>
      <c r="I3001" s="4" t="str">
        <v>×</v>
      </c>
      <c r="J3001" s="4"/>
      <c r="K3001" s="4"/>
      <c r="L3001" s="4"/>
      <c r="M3001" s="5" t="s">
        <v>2677</v>
      </c>
    </row>
    <row r="3002" customFormat="false" ht="15.75" hidden="false" customHeight="false" outlineLevel="0" collapsed="false">
      <c r="A3002" s="3" t="n">
        <v>46207</v>
      </c>
      <c r="B3002" s="4" t="s">
        <v>1091</v>
      </c>
      <c r="C3002" s="4" t="n">
        <v>3</v>
      </c>
      <c r="D3002" s="4" t="n">
        <v>6</v>
      </c>
      <c r="E3002" s="4" t="s">
        <v>2831</v>
      </c>
      <c r="F3002" s="4" t="n">
        <v>10</v>
      </c>
      <c r="G3002" s="4" t="n">
        <v>7</v>
      </c>
      <c r="H3002" s="4" t="n">
        <v>4</v>
      </c>
      <c r="I3002" s="4" t="str">
        <v>×</v>
      </c>
      <c r="J3002" s="4"/>
      <c r="K3002" s="4"/>
      <c r="L3002" s="4"/>
      <c r="M3002" s="5" t="s">
        <v>2677</v>
      </c>
    </row>
    <row r="3003" customFormat="false" ht="15.75" hidden="false" customHeight="false" outlineLevel="0" collapsed="false">
      <c r="A3003" s="3" t="n">
        <v>46207</v>
      </c>
      <c r="B3003" s="4" t="s">
        <v>1091</v>
      </c>
      <c r="C3003" s="4" t="n">
        <v>3</v>
      </c>
      <c r="D3003" s="4" t="n">
        <v>7</v>
      </c>
      <c r="E3003" s="4" t="s">
        <v>2832</v>
      </c>
      <c r="F3003" s="4" t="n">
        <v>15</v>
      </c>
      <c r="G3003" s="4" t="n">
        <v>5</v>
      </c>
      <c r="H3003" s="4" t="n">
        <v>4</v>
      </c>
      <c r="I3003" s="4" t="str">
        <v>×</v>
      </c>
      <c r="J3003" s="4"/>
      <c r="K3003" s="4"/>
      <c r="L3003" s="4"/>
      <c r="M3003" s="5" t="s">
        <v>2677</v>
      </c>
    </row>
    <row r="3004" customFormat="false" ht="15.75" hidden="false" customHeight="false" outlineLevel="0" collapsed="false">
      <c r="A3004" s="3" t="n">
        <v>46207</v>
      </c>
      <c r="B3004" s="4" t="s">
        <v>1091</v>
      </c>
      <c r="C3004" s="4" t="n">
        <v>3</v>
      </c>
      <c r="D3004" s="4" t="n">
        <v>8</v>
      </c>
      <c r="E3004" s="4" t="s">
        <v>1036</v>
      </c>
      <c r="F3004" s="4" t="n">
        <v>81</v>
      </c>
      <c r="G3004" s="4" t="n">
        <v>1</v>
      </c>
      <c r="H3004" s="4" t="n">
        <v>1</v>
      </c>
      <c r="I3004" s="4" t="str">
        <v>○</v>
      </c>
      <c r="J3004" s="4" t="n">
        <v>110</v>
      </c>
      <c r="K3004" s="4" t="n">
        <v>1.1</v>
      </c>
      <c r="L3004" s="4" t="n">
        <v>1.4</v>
      </c>
      <c r="M3004" s="5" t="s">
        <v>2677</v>
      </c>
    </row>
    <row r="3005" customFormat="false" ht="15.75" hidden="false" customHeight="false" outlineLevel="0" collapsed="false">
      <c r="A3005" s="3" t="n">
        <v>46207</v>
      </c>
      <c r="B3005" s="4" t="s">
        <v>1091</v>
      </c>
      <c r="C3005" s="4" t="n">
        <v>3</v>
      </c>
      <c r="D3005" s="4" t="n">
        <v>9</v>
      </c>
      <c r="E3005" s="4" t="s">
        <v>1603</v>
      </c>
      <c r="F3005" s="4" t="n">
        <v>4</v>
      </c>
      <c r="G3005" s="4" t="n">
        <v>10</v>
      </c>
      <c r="H3005" s="4" t="n">
        <v>4</v>
      </c>
      <c r="I3005" s="4" t="str">
        <v>×</v>
      </c>
      <c r="J3005" s="4"/>
      <c r="K3005" s="4"/>
      <c r="L3005" s="4"/>
      <c r="M3005" s="5" t="s">
        <v>2677</v>
      </c>
    </row>
    <row r="3006" customFormat="false" ht="15.75" hidden="false" customHeight="false" outlineLevel="0" collapsed="false">
      <c r="A3006" s="3" t="n">
        <v>46207</v>
      </c>
      <c r="B3006" s="4" t="s">
        <v>1091</v>
      </c>
      <c r="C3006" s="4" t="n">
        <v>3</v>
      </c>
      <c r="D3006" s="4" t="n">
        <v>10</v>
      </c>
      <c r="E3006" s="4" t="s">
        <v>2833</v>
      </c>
      <c r="F3006" s="4" t="n">
        <v>4</v>
      </c>
      <c r="G3006" s="4" t="n">
        <v>10</v>
      </c>
      <c r="H3006" s="4" t="n">
        <v>4</v>
      </c>
      <c r="I3006" s="4" t="str">
        <v>×</v>
      </c>
      <c r="J3006" s="4"/>
      <c r="K3006" s="4"/>
      <c r="L3006" s="4"/>
      <c r="M3006" s="5" t="s">
        <v>2677</v>
      </c>
    </row>
    <row r="3007" customFormat="false" ht="15.75" hidden="false" customHeight="false" outlineLevel="0" collapsed="false">
      <c r="A3007" s="3" t="n">
        <v>46207</v>
      </c>
      <c r="B3007" s="4" t="s">
        <v>1091</v>
      </c>
      <c r="C3007" s="4" t="n">
        <v>3</v>
      </c>
      <c r="D3007" s="4" t="n">
        <v>11</v>
      </c>
      <c r="E3007" s="4" t="s">
        <v>2834</v>
      </c>
      <c r="F3007" s="4" t="n">
        <v>71</v>
      </c>
      <c r="G3007" s="4" t="n">
        <v>2</v>
      </c>
      <c r="H3007" s="4" t="n">
        <v>2</v>
      </c>
      <c r="I3007" s="4" t="str">
        <v>○</v>
      </c>
      <c r="J3007" s="4" t="n">
        <v>130</v>
      </c>
      <c r="K3007" s="4"/>
      <c r="L3007" s="4"/>
      <c r="M3007" s="5" t="s">
        <v>2677</v>
      </c>
    </row>
    <row r="3008" customFormat="false" ht="15.75" hidden="false" customHeight="false" outlineLevel="0" collapsed="false">
      <c r="A3008" s="3" t="n">
        <v>46207</v>
      </c>
      <c r="B3008" s="4" t="s">
        <v>1091</v>
      </c>
      <c r="C3008" s="4" t="n">
        <v>3</v>
      </c>
      <c r="D3008" s="4" t="n">
        <v>12</v>
      </c>
      <c r="E3008" s="4" t="s">
        <v>2835</v>
      </c>
      <c r="F3008" s="4" t="n">
        <v>2</v>
      </c>
      <c r="G3008" s="4" t="n">
        <v>11</v>
      </c>
      <c r="H3008" s="4" t="n">
        <v>4</v>
      </c>
      <c r="I3008" s="4" t="str">
        <v>×</v>
      </c>
      <c r="J3008" s="4"/>
      <c r="K3008" s="4"/>
      <c r="L3008" s="4"/>
      <c r="M3008" s="5" t="s">
        <v>2677</v>
      </c>
    </row>
    <row r="3009" customFormat="false" ht="15.75" hidden="false" customHeight="false" outlineLevel="0" collapsed="false">
      <c r="A3009" s="3" t="n">
        <v>46207</v>
      </c>
      <c r="B3009" s="4" t="s">
        <v>1091</v>
      </c>
      <c r="C3009" s="4" t="n">
        <v>3</v>
      </c>
      <c r="D3009" s="4" t="n">
        <v>13</v>
      </c>
      <c r="E3009" s="4" t="s">
        <v>2836</v>
      </c>
      <c r="F3009" s="4" t="n">
        <v>29</v>
      </c>
      <c r="G3009" s="4" t="n">
        <v>4</v>
      </c>
      <c r="H3009" s="4" t="n">
        <v>3</v>
      </c>
      <c r="I3009" s="4" t="str">
        <v>○</v>
      </c>
      <c r="J3009" s="4" t="n">
        <v>220</v>
      </c>
      <c r="K3009" s="4"/>
      <c r="L3009" s="4"/>
      <c r="M3009" s="5" t="s">
        <v>2677</v>
      </c>
    </row>
    <row r="3010" customFormat="false" ht="15.75" hidden="false" customHeight="false" outlineLevel="0" collapsed="false">
      <c r="A3010" s="3" t="n">
        <v>46207</v>
      </c>
      <c r="B3010" s="4" t="s">
        <v>1091</v>
      </c>
      <c r="C3010" s="4" t="n">
        <v>3</v>
      </c>
      <c r="D3010" s="4" t="n">
        <v>14</v>
      </c>
      <c r="E3010" s="4" t="s">
        <v>2837</v>
      </c>
      <c r="F3010" s="4" t="n">
        <v>38</v>
      </c>
      <c r="G3010" s="4" t="n">
        <v>3</v>
      </c>
      <c r="H3010" s="4" t="n">
        <v>4</v>
      </c>
      <c r="I3010" s="4" t="str">
        <v>×</v>
      </c>
      <c r="J3010" s="4"/>
      <c r="K3010" s="4"/>
      <c r="L3010" s="4"/>
      <c r="M3010" s="5" t="s">
        <v>2677</v>
      </c>
    </row>
    <row r="3011" customFormat="false" ht="15.75" hidden="false" customHeight="false" outlineLevel="0" collapsed="false">
      <c r="A3011" s="3" t="n">
        <v>46207</v>
      </c>
      <c r="B3011" s="4" t="s">
        <v>1091</v>
      </c>
      <c r="C3011" s="4" t="n">
        <v>3</v>
      </c>
      <c r="D3011" s="4" t="n">
        <v>15</v>
      </c>
      <c r="E3011" s="4" t="s">
        <v>2838</v>
      </c>
      <c r="F3011" s="4" t="n">
        <v>13</v>
      </c>
      <c r="G3011" s="4" t="n">
        <v>6</v>
      </c>
      <c r="H3011" s="4" t="n">
        <v>4</v>
      </c>
      <c r="I3011" s="4" t="str">
        <v>×</v>
      </c>
      <c r="J3011" s="4"/>
      <c r="K3011" s="4"/>
      <c r="L3011" s="4"/>
      <c r="M3011" s="5" t="s">
        <v>2677</v>
      </c>
    </row>
    <row r="3012" customFormat="false" ht="15.75" hidden="false" customHeight="false" outlineLevel="0" collapsed="false">
      <c r="A3012" s="3" t="n">
        <v>46207</v>
      </c>
      <c r="B3012" s="4" t="s">
        <v>1091</v>
      </c>
      <c r="C3012" s="4" t="n">
        <v>3</v>
      </c>
      <c r="D3012" s="4" t="n">
        <v>16</v>
      </c>
      <c r="E3012" s="4" t="s">
        <v>2839</v>
      </c>
      <c r="F3012" s="4" t="n">
        <v>10</v>
      </c>
      <c r="G3012" s="4" t="n">
        <v>7</v>
      </c>
      <c r="H3012" s="4" t="n">
        <v>4</v>
      </c>
      <c r="I3012" s="4" t="str">
        <v>×</v>
      </c>
      <c r="J3012" s="4"/>
      <c r="K3012" s="4"/>
      <c r="L3012" s="4"/>
      <c r="M3012" s="5" t="s">
        <v>2677</v>
      </c>
    </row>
    <row r="3013" customFormat="false" ht="15.75" hidden="false" customHeight="false" outlineLevel="0" collapsed="false">
      <c r="A3013" s="3" t="n">
        <v>46207</v>
      </c>
      <c r="B3013" s="4" t="s">
        <v>1091</v>
      </c>
      <c r="C3013" s="4" t="n">
        <v>4</v>
      </c>
      <c r="D3013" s="4" t="n">
        <v>1</v>
      </c>
      <c r="E3013" s="4" t="s">
        <v>2840</v>
      </c>
      <c r="F3013" s="4" t="n">
        <v>62</v>
      </c>
      <c r="G3013" s="4" t="n">
        <v>1</v>
      </c>
      <c r="H3013" s="4" t="n">
        <v>2</v>
      </c>
      <c r="I3013" s="4" t="str">
        <v>○</v>
      </c>
      <c r="J3013" s="4" t="n">
        <v>120</v>
      </c>
      <c r="K3013" s="4"/>
      <c r="L3013" s="4"/>
      <c r="M3013" s="5" t="s">
        <v>2677</v>
      </c>
    </row>
    <row r="3014" customFormat="false" ht="15.75" hidden="false" customHeight="false" outlineLevel="0" collapsed="false">
      <c r="A3014" s="3" t="n">
        <v>46207</v>
      </c>
      <c r="B3014" s="4" t="s">
        <v>1091</v>
      </c>
      <c r="C3014" s="4" t="n">
        <v>4</v>
      </c>
      <c r="D3014" s="4" t="n">
        <v>2</v>
      </c>
      <c r="E3014" s="4" t="s">
        <v>1594</v>
      </c>
      <c r="F3014" s="4" t="n">
        <v>3</v>
      </c>
      <c r="G3014" s="4" t="n">
        <v>8</v>
      </c>
      <c r="H3014" s="4" t="n">
        <v>4</v>
      </c>
      <c r="I3014" s="4" t="str">
        <v>×</v>
      </c>
      <c r="J3014" s="4"/>
      <c r="K3014" s="4"/>
      <c r="L3014" s="4"/>
      <c r="M3014" s="5" t="s">
        <v>2677</v>
      </c>
    </row>
    <row r="3015" customFormat="false" ht="15.75" hidden="false" customHeight="false" outlineLevel="0" collapsed="false">
      <c r="A3015" s="3" t="n">
        <v>46207</v>
      </c>
      <c r="B3015" s="4" t="s">
        <v>1091</v>
      </c>
      <c r="C3015" s="4" t="n">
        <v>4</v>
      </c>
      <c r="D3015" s="4" t="n">
        <v>3</v>
      </c>
      <c r="E3015" s="4" t="s">
        <v>2841</v>
      </c>
      <c r="F3015" s="4" t="n">
        <v>44</v>
      </c>
      <c r="G3015" s="4" t="n">
        <v>3</v>
      </c>
      <c r="H3015" s="4" t="n">
        <v>4</v>
      </c>
      <c r="I3015" s="4" t="str">
        <v>×</v>
      </c>
      <c r="J3015" s="4"/>
      <c r="K3015" s="4"/>
      <c r="L3015" s="4"/>
      <c r="M3015" s="5" t="s">
        <v>2677</v>
      </c>
    </row>
    <row r="3016" customFormat="false" ht="15.75" hidden="false" customHeight="false" outlineLevel="0" collapsed="false">
      <c r="A3016" s="3" t="n">
        <v>46207</v>
      </c>
      <c r="B3016" s="4" t="s">
        <v>1091</v>
      </c>
      <c r="C3016" s="4" t="n">
        <v>4</v>
      </c>
      <c r="D3016" s="4" t="n">
        <v>4</v>
      </c>
      <c r="E3016" s="4" t="s">
        <v>2842</v>
      </c>
      <c r="F3016" s="4" t="n">
        <v>1</v>
      </c>
      <c r="G3016" s="4" t="n">
        <v>9</v>
      </c>
      <c r="H3016" s="4" t="n">
        <v>4</v>
      </c>
      <c r="I3016" s="4" t="str">
        <v>×</v>
      </c>
      <c r="J3016" s="4"/>
      <c r="K3016" s="4"/>
      <c r="L3016" s="4"/>
      <c r="M3016" s="5" t="s">
        <v>2677</v>
      </c>
    </row>
    <row r="3017" customFormat="false" ht="15.75" hidden="false" customHeight="false" outlineLevel="0" collapsed="false">
      <c r="A3017" s="3" t="n">
        <v>46207</v>
      </c>
      <c r="B3017" s="4" t="s">
        <v>1091</v>
      </c>
      <c r="C3017" s="4" t="n">
        <v>4</v>
      </c>
      <c r="D3017" s="4" t="n">
        <v>5</v>
      </c>
      <c r="E3017" s="4" t="s">
        <v>331</v>
      </c>
      <c r="F3017" s="4" t="n">
        <v>6</v>
      </c>
      <c r="G3017" s="4" t="n">
        <v>6</v>
      </c>
      <c r="H3017" s="4" t="n">
        <v>4</v>
      </c>
      <c r="I3017" s="4" t="str">
        <v>×</v>
      </c>
      <c r="J3017" s="4"/>
      <c r="K3017" s="4"/>
      <c r="L3017" s="4"/>
      <c r="M3017" s="5" t="s">
        <v>2677</v>
      </c>
    </row>
    <row r="3018" customFormat="false" ht="15.75" hidden="false" customHeight="false" outlineLevel="0" collapsed="false">
      <c r="A3018" s="3" t="n">
        <v>46207</v>
      </c>
      <c r="B3018" s="4" t="s">
        <v>1091</v>
      </c>
      <c r="C3018" s="4" t="n">
        <v>4</v>
      </c>
      <c r="D3018" s="4" t="n">
        <v>6</v>
      </c>
      <c r="E3018" s="4" t="s">
        <v>2843</v>
      </c>
      <c r="F3018" s="4" t="n">
        <v>52</v>
      </c>
      <c r="G3018" s="4" t="n">
        <v>2</v>
      </c>
      <c r="H3018" s="4" t="n">
        <v>1</v>
      </c>
      <c r="I3018" s="4" t="str">
        <v>○</v>
      </c>
      <c r="J3018" s="4" t="n">
        <v>160</v>
      </c>
      <c r="K3018" s="4"/>
      <c r="L3018" s="4"/>
      <c r="M3018" s="5" t="s">
        <v>2677</v>
      </c>
    </row>
    <row r="3019" customFormat="false" ht="15.75" hidden="false" customHeight="false" outlineLevel="0" collapsed="false">
      <c r="A3019" s="3" t="n">
        <v>46207</v>
      </c>
      <c r="B3019" s="4" t="s">
        <v>1091</v>
      </c>
      <c r="C3019" s="4" t="n">
        <v>4</v>
      </c>
      <c r="D3019" s="4" t="n">
        <v>7</v>
      </c>
      <c r="E3019" s="4" t="s">
        <v>2844</v>
      </c>
      <c r="F3019" s="4" t="n">
        <v>3</v>
      </c>
      <c r="G3019" s="4" t="n">
        <v>8</v>
      </c>
      <c r="H3019" s="4" t="n">
        <v>4</v>
      </c>
      <c r="I3019" s="4" t="str">
        <v>×</v>
      </c>
      <c r="J3019" s="4"/>
      <c r="K3019" s="4"/>
      <c r="L3019" s="4"/>
      <c r="M3019" s="5" t="s">
        <v>2677</v>
      </c>
    </row>
    <row r="3020" customFormat="false" ht="15.75" hidden="false" customHeight="false" outlineLevel="0" collapsed="false">
      <c r="A3020" s="3" t="n">
        <v>46207</v>
      </c>
      <c r="B3020" s="4" t="s">
        <v>1091</v>
      </c>
      <c r="C3020" s="4" t="n">
        <v>4</v>
      </c>
      <c r="D3020" s="4" t="n">
        <v>8</v>
      </c>
      <c r="E3020" s="4" t="s">
        <v>2845</v>
      </c>
      <c r="F3020" s="4" t="n">
        <v>8</v>
      </c>
      <c r="G3020" s="4" t="n">
        <v>5</v>
      </c>
      <c r="H3020" s="4" t="n">
        <v>4</v>
      </c>
      <c r="I3020" s="4" t="str">
        <v>×</v>
      </c>
      <c r="J3020" s="4"/>
      <c r="K3020" s="4"/>
      <c r="L3020" s="4"/>
      <c r="M3020" s="5" t="s">
        <v>2677</v>
      </c>
    </row>
    <row r="3021" customFormat="false" ht="15.75" hidden="false" customHeight="false" outlineLevel="0" collapsed="false">
      <c r="A3021" s="3" t="n">
        <v>46207</v>
      </c>
      <c r="B3021" s="4" t="s">
        <v>1091</v>
      </c>
      <c r="C3021" s="4" t="n">
        <v>4</v>
      </c>
      <c r="D3021" s="4" t="n">
        <v>9</v>
      </c>
      <c r="E3021" s="4" t="s">
        <v>2846</v>
      </c>
      <c r="F3021" s="4" t="n">
        <v>6</v>
      </c>
      <c r="G3021" s="4" t="n">
        <v>6</v>
      </c>
      <c r="H3021" s="4" t="n">
        <v>4</v>
      </c>
      <c r="I3021" s="4" t="str">
        <v>×</v>
      </c>
      <c r="J3021" s="4"/>
      <c r="K3021" s="4"/>
      <c r="L3021" s="4"/>
      <c r="M3021" s="5" t="s">
        <v>2677</v>
      </c>
    </row>
    <row r="3022" customFormat="false" ht="15.75" hidden="false" customHeight="false" outlineLevel="0" collapsed="false">
      <c r="A3022" s="3" t="n">
        <v>46207</v>
      </c>
      <c r="B3022" s="4" t="s">
        <v>1091</v>
      </c>
      <c r="C3022" s="4" t="n">
        <v>4</v>
      </c>
      <c r="D3022" s="4" t="n">
        <v>10</v>
      </c>
      <c r="E3022" s="4" t="s">
        <v>2847</v>
      </c>
      <c r="F3022" s="4" t="n">
        <v>8</v>
      </c>
      <c r="G3022" s="4" t="n">
        <v>5</v>
      </c>
      <c r="H3022" s="4" t="n">
        <v>4</v>
      </c>
      <c r="I3022" s="4" t="str">
        <v>×</v>
      </c>
      <c r="J3022" s="4"/>
      <c r="K3022" s="4"/>
      <c r="L3022" s="4"/>
      <c r="M3022" s="5" t="s">
        <v>2677</v>
      </c>
    </row>
    <row r="3023" customFormat="false" ht="15.75" hidden="false" customHeight="false" outlineLevel="0" collapsed="false">
      <c r="A3023" s="3" t="n">
        <v>46207</v>
      </c>
      <c r="B3023" s="4" t="s">
        <v>1091</v>
      </c>
      <c r="C3023" s="4" t="n">
        <v>4</v>
      </c>
      <c r="D3023" s="4" t="n">
        <v>11</v>
      </c>
      <c r="E3023" s="4" t="s">
        <v>681</v>
      </c>
      <c r="F3023" s="4" t="n">
        <v>6</v>
      </c>
      <c r="G3023" s="4" t="n">
        <v>6</v>
      </c>
      <c r="H3023" s="4" t="n">
        <v>4</v>
      </c>
      <c r="I3023" s="4" t="str">
        <v>×</v>
      </c>
      <c r="J3023" s="4"/>
      <c r="K3023" s="4"/>
      <c r="L3023" s="4"/>
      <c r="M3023" s="5" t="s">
        <v>2677</v>
      </c>
    </row>
    <row r="3024" customFormat="false" ht="15.75" hidden="false" customHeight="false" outlineLevel="0" collapsed="false">
      <c r="A3024" s="3" t="n">
        <v>46207</v>
      </c>
      <c r="B3024" s="4" t="s">
        <v>1091</v>
      </c>
      <c r="C3024" s="4" t="n">
        <v>4</v>
      </c>
      <c r="D3024" s="4" t="n">
        <v>12</v>
      </c>
      <c r="E3024" s="4" t="s">
        <v>2848</v>
      </c>
      <c r="F3024" s="4" t="n">
        <v>37</v>
      </c>
      <c r="G3024" s="4" t="n">
        <v>4</v>
      </c>
      <c r="H3024" s="4" t="n">
        <v>4</v>
      </c>
      <c r="I3024" s="4" t="str">
        <v>×</v>
      </c>
      <c r="J3024" s="4"/>
      <c r="K3024" s="4"/>
      <c r="L3024" s="4"/>
      <c r="M3024" s="5" t="s">
        <v>2677</v>
      </c>
    </row>
    <row r="3025" customFormat="false" ht="15.75" hidden="false" customHeight="false" outlineLevel="0" collapsed="false">
      <c r="A3025" s="3" t="n">
        <v>46207</v>
      </c>
      <c r="B3025" s="4" t="s">
        <v>1091</v>
      </c>
      <c r="C3025" s="4" t="n">
        <v>4</v>
      </c>
      <c r="D3025" s="4" t="n">
        <v>13</v>
      </c>
      <c r="E3025" s="4" t="s">
        <v>202</v>
      </c>
      <c r="F3025" s="4" t="n">
        <v>4</v>
      </c>
      <c r="G3025" s="4" t="n">
        <v>7</v>
      </c>
      <c r="H3025" s="4" t="n">
        <v>4</v>
      </c>
      <c r="I3025" s="4" t="str">
        <v>×</v>
      </c>
      <c r="J3025" s="4"/>
      <c r="K3025" s="4"/>
      <c r="L3025" s="4"/>
      <c r="M3025" s="5" t="s">
        <v>2677</v>
      </c>
    </row>
    <row r="3026" customFormat="false" ht="15.75" hidden="false" customHeight="false" outlineLevel="0" collapsed="false">
      <c r="A3026" s="3" t="n">
        <v>46207</v>
      </c>
      <c r="B3026" s="4" t="s">
        <v>1091</v>
      </c>
      <c r="C3026" s="4" t="n">
        <v>4</v>
      </c>
      <c r="D3026" s="4" t="n">
        <v>14</v>
      </c>
      <c r="E3026" s="4" t="s">
        <v>2849</v>
      </c>
      <c r="F3026" s="4" t="n">
        <v>3</v>
      </c>
      <c r="G3026" s="4" t="n">
        <v>8</v>
      </c>
      <c r="H3026" s="4" t="n">
        <v>4</v>
      </c>
      <c r="I3026" s="4" t="str">
        <v>×</v>
      </c>
      <c r="J3026" s="4"/>
      <c r="K3026" s="4"/>
      <c r="L3026" s="4"/>
      <c r="M3026" s="5" t="s">
        <v>2677</v>
      </c>
    </row>
    <row r="3027" customFormat="false" ht="15.75" hidden="false" customHeight="false" outlineLevel="0" collapsed="false">
      <c r="A3027" s="3" t="n">
        <v>46207</v>
      </c>
      <c r="B3027" s="4" t="s">
        <v>1091</v>
      </c>
      <c r="C3027" s="4" t="n">
        <v>4</v>
      </c>
      <c r="D3027" s="4" t="n">
        <v>15</v>
      </c>
      <c r="E3027" s="4" t="s">
        <v>2850</v>
      </c>
      <c r="F3027" s="4" t="n">
        <v>3</v>
      </c>
      <c r="G3027" s="4" t="n">
        <v>8</v>
      </c>
      <c r="H3027" s="4" t="n">
        <v>4</v>
      </c>
      <c r="I3027" s="4" t="str">
        <v>×</v>
      </c>
      <c r="J3027" s="4"/>
      <c r="K3027" s="4"/>
      <c r="L3027" s="4"/>
      <c r="M3027" s="5" t="s">
        <v>2677</v>
      </c>
    </row>
    <row r="3028" customFormat="false" ht="15.75" hidden="false" customHeight="false" outlineLevel="0" collapsed="false">
      <c r="A3028" s="3" t="n">
        <v>46207</v>
      </c>
      <c r="B3028" s="4" t="s">
        <v>1091</v>
      </c>
      <c r="C3028" s="4" t="n">
        <v>4</v>
      </c>
      <c r="D3028" s="4" t="n">
        <v>16</v>
      </c>
      <c r="E3028" s="4" t="s">
        <v>1592</v>
      </c>
      <c r="F3028" s="4" t="n">
        <v>8</v>
      </c>
      <c r="G3028" s="4" t="n">
        <v>5</v>
      </c>
      <c r="H3028" s="4" t="n">
        <v>3</v>
      </c>
      <c r="I3028" s="4" t="str">
        <v>○</v>
      </c>
      <c r="J3028" s="4" t="n">
        <v>470</v>
      </c>
      <c r="K3028" s="4"/>
      <c r="L3028" s="4"/>
      <c r="M3028" s="5" t="s">
        <v>2677</v>
      </c>
    </row>
    <row r="3029" customFormat="false" ht="15.75" hidden="false" customHeight="false" outlineLevel="0" collapsed="false">
      <c r="A3029" s="3" t="n">
        <v>46207</v>
      </c>
      <c r="B3029" s="4" t="s">
        <v>1091</v>
      </c>
      <c r="C3029" s="4" t="n">
        <v>5</v>
      </c>
      <c r="D3029" s="4" t="n">
        <v>1</v>
      </c>
      <c r="E3029" s="4" t="s">
        <v>2851</v>
      </c>
      <c r="F3029" s="4" t="n">
        <v>24</v>
      </c>
      <c r="G3029" s="4" t="n">
        <v>3</v>
      </c>
      <c r="H3029" s="4" t="n">
        <v>4</v>
      </c>
      <c r="I3029" s="4" t="str">
        <v>×</v>
      </c>
      <c r="J3029" s="4"/>
      <c r="K3029" s="4"/>
      <c r="L3029" s="4"/>
      <c r="M3029" s="5" t="s">
        <v>2677</v>
      </c>
    </row>
    <row r="3030" customFormat="false" ht="15.75" hidden="false" customHeight="false" outlineLevel="0" collapsed="false">
      <c r="A3030" s="3" t="n">
        <v>46207</v>
      </c>
      <c r="B3030" s="4" t="s">
        <v>1091</v>
      </c>
      <c r="C3030" s="4" t="n">
        <v>5</v>
      </c>
      <c r="D3030" s="4" t="n">
        <v>2</v>
      </c>
      <c r="E3030" s="4" t="s">
        <v>2852</v>
      </c>
      <c r="F3030" s="4" t="n">
        <v>31</v>
      </c>
      <c r="G3030" s="4" t="n">
        <v>1</v>
      </c>
      <c r="H3030" s="4" t="n">
        <v>2</v>
      </c>
      <c r="I3030" s="4" t="str">
        <v>○</v>
      </c>
      <c r="J3030" s="4" t="n">
        <v>260</v>
      </c>
      <c r="K3030" s="4"/>
      <c r="L3030" s="4"/>
      <c r="M3030" s="5" t="s">
        <v>2677</v>
      </c>
    </row>
    <row r="3031" customFormat="false" ht="15.75" hidden="false" customHeight="false" outlineLevel="0" collapsed="false">
      <c r="A3031" s="3" t="n">
        <v>46207</v>
      </c>
      <c r="B3031" s="4" t="s">
        <v>1091</v>
      </c>
      <c r="C3031" s="4" t="n">
        <v>5</v>
      </c>
      <c r="D3031" s="4" t="n">
        <v>3</v>
      </c>
      <c r="E3031" s="4" t="s">
        <v>2853</v>
      </c>
      <c r="F3031" s="4" t="n">
        <v>27</v>
      </c>
      <c r="G3031" s="4" t="n">
        <v>2</v>
      </c>
      <c r="H3031" s="4" t="n">
        <v>1</v>
      </c>
      <c r="I3031" s="4" t="str">
        <v>○</v>
      </c>
      <c r="J3031" s="4" t="n">
        <v>310</v>
      </c>
      <c r="K3031" s="4"/>
      <c r="L3031" s="4"/>
      <c r="M3031" s="5" t="s">
        <v>2677</v>
      </c>
    </row>
    <row r="3032" customFormat="false" ht="15.75" hidden="false" customHeight="false" outlineLevel="0" collapsed="false">
      <c r="A3032" s="3" t="n">
        <v>46207</v>
      </c>
      <c r="B3032" s="4" t="s">
        <v>1091</v>
      </c>
      <c r="C3032" s="4" t="n">
        <v>5</v>
      </c>
      <c r="D3032" s="4" t="n">
        <v>4</v>
      </c>
      <c r="E3032" s="4" t="s">
        <v>2854</v>
      </c>
      <c r="F3032" s="4" t="n">
        <v>21</v>
      </c>
      <c r="G3032" s="4" t="n">
        <v>4</v>
      </c>
      <c r="H3032" s="4" t="n">
        <v>4</v>
      </c>
      <c r="I3032" s="4" t="str">
        <v>×</v>
      </c>
      <c r="J3032" s="4"/>
      <c r="K3032" s="4"/>
      <c r="L3032" s="4"/>
      <c r="M3032" s="5" t="s">
        <v>2677</v>
      </c>
    </row>
    <row r="3033" customFormat="false" ht="15.75" hidden="false" customHeight="false" outlineLevel="0" collapsed="false">
      <c r="A3033" s="3" t="n">
        <v>46207</v>
      </c>
      <c r="B3033" s="4" t="s">
        <v>1091</v>
      </c>
      <c r="C3033" s="4" t="n">
        <v>5</v>
      </c>
      <c r="D3033" s="4" t="n">
        <v>5</v>
      </c>
      <c r="E3033" s="4" t="s">
        <v>2855</v>
      </c>
      <c r="F3033" s="4" t="n">
        <v>8</v>
      </c>
      <c r="G3033" s="4" t="n">
        <v>6</v>
      </c>
      <c r="H3033" s="4" t="n">
        <v>4</v>
      </c>
      <c r="I3033" s="4" t="str">
        <v>×</v>
      </c>
      <c r="J3033" s="4"/>
      <c r="K3033" s="4"/>
      <c r="L3033" s="4"/>
      <c r="M3033" s="5" t="s">
        <v>2677</v>
      </c>
    </row>
    <row r="3034" customFormat="false" ht="15.75" hidden="false" customHeight="false" outlineLevel="0" collapsed="false">
      <c r="A3034" s="3" t="n">
        <v>46207</v>
      </c>
      <c r="B3034" s="4" t="s">
        <v>1091</v>
      </c>
      <c r="C3034" s="4" t="n">
        <v>5</v>
      </c>
      <c r="D3034" s="4" t="n">
        <v>6</v>
      </c>
      <c r="E3034" s="4" t="s">
        <v>2856</v>
      </c>
      <c r="F3034" s="4" t="n">
        <v>24</v>
      </c>
      <c r="G3034" s="4" t="n">
        <v>3</v>
      </c>
      <c r="H3034" s="4" t="n">
        <v>3</v>
      </c>
      <c r="I3034" s="4" t="str">
        <v>○</v>
      </c>
      <c r="J3034" s="4" t="n">
        <v>470</v>
      </c>
      <c r="K3034" s="4"/>
      <c r="L3034" s="4"/>
      <c r="M3034" s="5" t="s">
        <v>2677</v>
      </c>
    </row>
    <row r="3035" customFormat="false" ht="15.75" hidden="false" customHeight="false" outlineLevel="0" collapsed="false">
      <c r="A3035" s="3" t="n">
        <v>46207</v>
      </c>
      <c r="B3035" s="4" t="s">
        <v>1091</v>
      </c>
      <c r="C3035" s="4" t="n">
        <v>5</v>
      </c>
      <c r="D3035" s="4" t="n">
        <v>7</v>
      </c>
      <c r="E3035" s="4" t="s">
        <v>2857</v>
      </c>
      <c r="F3035" s="4" t="n">
        <v>24</v>
      </c>
      <c r="G3035" s="4" t="n">
        <v>3</v>
      </c>
      <c r="H3035" s="4" t="n">
        <v>4</v>
      </c>
      <c r="I3035" s="4" t="str">
        <v>×</v>
      </c>
      <c r="J3035" s="4"/>
      <c r="K3035" s="4"/>
      <c r="L3035" s="4"/>
      <c r="M3035" s="5" t="s">
        <v>2677</v>
      </c>
    </row>
    <row r="3036" customFormat="false" ht="15.75" hidden="false" customHeight="false" outlineLevel="0" collapsed="false">
      <c r="A3036" s="3" t="n">
        <v>46207</v>
      </c>
      <c r="B3036" s="4" t="s">
        <v>1091</v>
      </c>
      <c r="C3036" s="4" t="n">
        <v>5</v>
      </c>
      <c r="D3036" s="4" t="n">
        <v>8</v>
      </c>
      <c r="E3036" s="4" t="s">
        <v>2858</v>
      </c>
      <c r="F3036" s="4" t="n">
        <v>8</v>
      </c>
      <c r="G3036" s="4" t="n">
        <v>6</v>
      </c>
      <c r="H3036" s="4" t="n">
        <v>4</v>
      </c>
      <c r="I3036" s="4" t="str">
        <v>×</v>
      </c>
      <c r="J3036" s="4"/>
      <c r="K3036" s="4"/>
      <c r="L3036" s="4"/>
      <c r="M3036" s="5" t="s">
        <v>2677</v>
      </c>
    </row>
    <row r="3037" customFormat="false" ht="15.75" hidden="false" customHeight="false" outlineLevel="0" collapsed="false">
      <c r="A3037" s="3" t="n">
        <v>46207</v>
      </c>
      <c r="B3037" s="4" t="s">
        <v>1091</v>
      </c>
      <c r="C3037" s="4" t="n">
        <v>5</v>
      </c>
      <c r="D3037" s="4" t="n">
        <v>9</v>
      </c>
      <c r="E3037" s="4" t="s">
        <v>186</v>
      </c>
      <c r="F3037" s="4" t="n">
        <v>21</v>
      </c>
      <c r="G3037" s="4" t="n">
        <v>4</v>
      </c>
      <c r="H3037" s="4" t="n">
        <v>4</v>
      </c>
      <c r="I3037" s="4" t="str">
        <v>×</v>
      </c>
      <c r="J3037" s="4"/>
      <c r="K3037" s="4"/>
      <c r="L3037" s="4"/>
      <c r="M3037" s="5" t="s">
        <v>2677</v>
      </c>
    </row>
    <row r="3038" customFormat="false" ht="15.75" hidden="false" customHeight="false" outlineLevel="0" collapsed="false">
      <c r="A3038" s="3" t="n">
        <v>46207</v>
      </c>
      <c r="B3038" s="4" t="s">
        <v>1091</v>
      </c>
      <c r="C3038" s="4" t="n">
        <v>5</v>
      </c>
      <c r="D3038" s="4" t="n">
        <v>10</v>
      </c>
      <c r="E3038" s="4" t="s">
        <v>636</v>
      </c>
      <c r="F3038" s="4" t="n">
        <v>31</v>
      </c>
      <c r="G3038" s="4" t="n">
        <v>1</v>
      </c>
      <c r="H3038" s="4" t="n">
        <v>4</v>
      </c>
      <c r="I3038" s="4" t="str">
        <v>×</v>
      </c>
      <c r="J3038" s="4"/>
      <c r="K3038" s="4"/>
      <c r="L3038" s="4"/>
      <c r="M3038" s="5" t="s">
        <v>2677</v>
      </c>
    </row>
    <row r="3039" customFormat="false" ht="15.75" hidden="false" customHeight="false" outlineLevel="0" collapsed="false">
      <c r="A3039" s="3" t="n">
        <v>46207</v>
      </c>
      <c r="B3039" s="4" t="s">
        <v>1091</v>
      </c>
      <c r="C3039" s="4" t="n">
        <v>5</v>
      </c>
      <c r="D3039" s="4" t="n">
        <v>11</v>
      </c>
      <c r="E3039" s="4" t="s">
        <v>2024</v>
      </c>
      <c r="F3039" s="4" t="n">
        <v>16</v>
      </c>
      <c r="G3039" s="4" t="n">
        <v>5</v>
      </c>
      <c r="H3039" s="4" t="n">
        <v>4</v>
      </c>
      <c r="I3039" s="4" t="str">
        <v>×</v>
      </c>
      <c r="J3039" s="4"/>
      <c r="K3039" s="4"/>
      <c r="L3039" s="4"/>
      <c r="M3039" s="5" t="s">
        <v>2677</v>
      </c>
    </row>
    <row r="3040" customFormat="false" ht="15.75" hidden="false" customHeight="false" outlineLevel="0" collapsed="false">
      <c r="A3040" s="3" t="n">
        <v>46207</v>
      </c>
      <c r="B3040" s="4" t="s">
        <v>1091</v>
      </c>
      <c r="C3040" s="4" t="n">
        <v>5</v>
      </c>
      <c r="D3040" s="4" t="n">
        <v>12</v>
      </c>
      <c r="E3040" s="4" t="s">
        <v>2859</v>
      </c>
      <c r="F3040" s="4" t="n">
        <v>21</v>
      </c>
      <c r="G3040" s="4" t="n">
        <v>4</v>
      </c>
      <c r="H3040" s="4" t="n">
        <v>4</v>
      </c>
      <c r="I3040" s="4" t="str">
        <v>×</v>
      </c>
      <c r="J3040" s="4"/>
      <c r="K3040" s="4"/>
      <c r="L3040" s="4"/>
      <c r="M3040" s="5" t="s">
        <v>2677</v>
      </c>
    </row>
    <row r="3041" customFormat="false" ht="15.75" hidden="false" customHeight="false" outlineLevel="0" collapsed="false">
      <c r="A3041" s="3" t="n">
        <v>46207</v>
      </c>
      <c r="B3041" s="4" t="s">
        <v>1091</v>
      </c>
      <c r="C3041" s="4" t="n">
        <v>5</v>
      </c>
      <c r="D3041" s="4" t="n">
        <v>13</v>
      </c>
      <c r="E3041" s="4" t="s">
        <v>2018</v>
      </c>
      <c r="F3041" s="4" t="n">
        <v>21</v>
      </c>
      <c r="G3041" s="4" t="n">
        <v>4</v>
      </c>
      <c r="H3041" s="4" t="n">
        <v>4</v>
      </c>
      <c r="I3041" s="4" t="str">
        <v>×</v>
      </c>
      <c r="J3041" s="4"/>
      <c r="K3041" s="4"/>
      <c r="L3041" s="4"/>
      <c r="M3041" s="5" t="s">
        <v>2677</v>
      </c>
    </row>
    <row r="3042" customFormat="false" ht="15.75" hidden="false" customHeight="false" outlineLevel="0" collapsed="false">
      <c r="A3042" s="3" t="n">
        <v>46207</v>
      </c>
      <c r="B3042" s="4" t="s">
        <v>1091</v>
      </c>
      <c r="C3042" s="4" t="n">
        <v>6</v>
      </c>
      <c r="D3042" s="4" t="n">
        <v>1</v>
      </c>
      <c r="E3042" s="4" t="s">
        <v>2860</v>
      </c>
      <c r="F3042" s="4" t="n">
        <v>6</v>
      </c>
      <c r="G3042" s="4" t="n">
        <v>8</v>
      </c>
      <c r="H3042" s="4" t="n">
        <v>4</v>
      </c>
      <c r="I3042" s="4" t="str">
        <v>×</v>
      </c>
      <c r="J3042" s="4"/>
      <c r="K3042" s="4"/>
      <c r="L3042" s="4"/>
      <c r="M3042" s="5" t="s">
        <v>2677</v>
      </c>
    </row>
    <row r="3043" customFormat="false" ht="15.75" hidden="false" customHeight="false" outlineLevel="0" collapsed="false">
      <c r="A3043" s="3" t="n">
        <v>46207</v>
      </c>
      <c r="B3043" s="4" t="s">
        <v>1091</v>
      </c>
      <c r="C3043" s="4" t="n">
        <v>6</v>
      </c>
      <c r="D3043" s="4" t="n">
        <v>2</v>
      </c>
      <c r="E3043" s="4" t="s">
        <v>215</v>
      </c>
      <c r="F3043" s="4" t="n">
        <v>17</v>
      </c>
      <c r="G3043" s="4" t="n">
        <v>7</v>
      </c>
      <c r="H3043" s="4" t="n">
        <v>2</v>
      </c>
      <c r="I3043" s="4" t="str">
        <v>○</v>
      </c>
      <c r="J3043" s="4" t="n">
        <v>710</v>
      </c>
      <c r="K3043" s="4"/>
      <c r="L3043" s="4"/>
      <c r="M3043" s="5" t="s">
        <v>2677</v>
      </c>
    </row>
    <row r="3044" customFormat="false" ht="15.75" hidden="false" customHeight="false" outlineLevel="0" collapsed="false">
      <c r="A3044" s="3" t="n">
        <v>46207</v>
      </c>
      <c r="B3044" s="4" t="s">
        <v>1091</v>
      </c>
      <c r="C3044" s="4" t="n">
        <v>6</v>
      </c>
      <c r="D3044" s="4" t="n">
        <v>3</v>
      </c>
      <c r="E3044" s="4" t="s">
        <v>2861</v>
      </c>
      <c r="F3044" s="4" t="n">
        <v>3</v>
      </c>
      <c r="G3044" s="4" t="n">
        <v>10</v>
      </c>
      <c r="H3044" s="4" t="n">
        <v>4</v>
      </c>
      <c r="I3044" s="4" t="str">
        <v>×</v>
      </c>
      <c r="J3044" s="4"/>
      <c r="K3044" s="4"/>
      <c r="L3044" s="4"/>
      <c r="M3044" s="5" t="s">
        <v>2677</v>
      </c>
    </row>
    <row r="3045" customFormat="false" ht="15.75" hidden="false" customHeight="false" outlineLevel="0" collapsed="false">
      <c r="A3045" s="3" t="n">
        <v>46207</v>
      </c>
      <c r="B3045" s="4" t="s">
        <v>1091</v>
      </c>
      <c r="C3045" s="4" t="n">
        <v>6</v>
      </c>
      <c r="D3045" s="4" t="n">
        <v>4</v>
      </c>
      <c r="E3045" s="4" t="s">
        <v>2862</v>
      </c>
      <c r="F3045" s="4" t="n">
        <v>34</v>
      </c>
      <c r="G3045" s="4" t="n">
        <v>5</v>
      </c>
      <c r="H3045" s="4" t="n">
        <v>4</v>
      </c>
      <c r="I3045" s="4" t="str">
        <v>×</v>
      </c>
      <c r="J3045" s="4"/>
      <c r="K3045" s="4"/>
      <c r="L3045" s="4"/>
      <c r="M3045" s="5" t="s">
        <v>2677</v>
      </c>
    </row>
    <row r="3046" customFormat="false" ht="15.75" hidden="false" customHeight="false" outlineLevel="0" collapsed="false">
      <c r="A3046" s="3" t="n">
        <v>46207</v>
      </c>
      <c r="B3046" s="4" t="s">
        <v>1091</v>
      </c>
      <c r="C3046" s="4" t="n">
        <v>6</v>
      </c>
      <c r="D3046" s="4" t="n">
        <v>5</v>
      </c>
      <c r="E3046" s="4" t="s">
        <v>2863</v>
      </c>
      <c r="F3046" s="4" t="n">
        <v>47</v>
      </c>
      <c r="G3046" s="4" t="n">
        <v>2</v>
      </c>
      <c r="H3046" s="4" t="n">
        <v>4</v>
      </c>
      <c r="I3046" s="4" t="str">
        <v>×</v>
      </c>
      <c r="J3046" s="4"/>
      <c r="K3046" s="4"/>
      <c r="L3046" s="4"/>
      <c r="M3046" s="5" t="s">
        <v>2677</v>
      </c>
    </row>
    <row r="3047" customFormat="false" ht="15.75" hidden="false" customHeight="false" outlineLevel="0" collapsed="false">
      <c r="A3047" s="3" t="n">
        <v>46207</v>
      </c>
      <c r="B3047" s="4" t="s">
        <v>1091</v>
      </c>
      <c r="C3047" s="4" t="n">
        <v>6</v>
      </c>
      <c r="D3047" s="4" t="n">
        <v>6</v>
      </c>
      <c r="E3047" s="4" t="s">
        <v>670</v>
      </c>
      <c r="F3047" s="4" t="n">
        <v>34</v>
      </c>
      <c r="G3047" s="4" t="n">
        <v>5</v>
      </c>
      <c r="H3047" s="4" t="n">
        <v>4</v>
      </c>
      <c r="I3047" s="4" t="str">
        <v>×</v>
      </c>
      <c r="J3047" s="4"/>
      <c r="K3047" s="4"/>
      <c r="L3047" s="4"/>
      <c r="M3047" s="5" t="s">
        <v>2677</v>
      </c>
    </row>
    <row r="3048" customFormat="false" ht="15.75" hidden="false" customHeight="false" outlineLevel="0" collapsed="false">
      <c r="A3048" s="3" t="n">
        <v>46207</v>
      </c>
      <c r="B3048" s="4" t="s">
        <v>1091</v>
      </c>
      <c r="C3048" s="4" t="n">
        <v>6</v>
      </c>
      <c r="D3048" s="4" t="n">
        <v>7</v>
      </c>
      <c r="E3048" s="4" t="s">
        <v>2864</v>
      </c>
      <c r="F3048" s="4" t="n">
        <v>2</v>
      </c>
      <c r="G3048" s="4" t="n">
        <v>11</v>
      </c>
      <c r="H3048" s="4" t="n">
        <v>4</v>
      </c>
      <c r="I3048" s="4" t="str">
        <v>×</v>
      </c>
      <c r="J3048" s="4"/>
      <c r="K3048" s="4"/>
      <c r="L3048" s="4"/>
      <c r="M3048" s="5" t="s">
        <v>2677</v>
      </c>
    </row>
    <row r="3049" customFormat="false" ht="15.75" hidden="false" customHeight="false" outlineLevel="0" collapsed="false">
      <c r="A3049" s="3" t="n">
        <v>46207</v>
      </c>
      <c r="B3049" s="4" t="s">
        <v>1091</v>
      </c>
      <c r="C3049" s="4" t="n">
        <v>6</v>
      </c>
      <c r="D3049" s="4" t="n">
        <v>8</v>
      </c>
      <c r="E3049" s="4" t="s">
        <v>2865</v>
      </c>
      <c r="F3049" s="4" t="n">
        <v>3</v>
      </c>
      <c r="G3049" s="4" t="n">
        <v>10</v>
      </c>
      <c r="H3049" s="4" t="n">
        <v>4</v>
      </c>
      <c r="I3049" s="4" t="str">
        <v>×</v>
      </c>
      <c r="J3049" s="4"/>
      <c r="K3049" s="4"/>
      <c r="L3049" s="4"/>
      <c r="M3049" s="5" t="s">
        <v>2677</v>
      </c>
    </row>
    <row r="3050" customFormat="false" ht="15.75" hidden="false" customHeight="false" outlineLevel="0" collapsed="false">
      <c r="A3050" s="3" t="n">
        <v>46207</v>
      </c>
      <c r="B3050" s="4" t="s">
        <v>1091</v>
      </c>
      <c r="C3050" s="4" t="n">
        <v>6</v>
      </c>
      <c r="D3050" s="4" t="n">
        <v>9</v>
      </c>
      <c r="E3050" s="4" t="s">
        <v>421</v>
      </c>
      <c r="F3050" s="4" t="n">
        <v>65</v>
      </c>
      <c r="G3050" s="4" t="n">
        <v>1</v>
      </c>
      <c r="H3050" s="4" t="n">
        <v>1</v>
      </c>
      <c r="I3050" s="4" t="str">
        <v>○</v>
      </c>
      <c r="J3050" s="4" t="n">
        <v>170</v>
      </c>
      <c r="K3050" s="4"/>
      <c r="L3050" s="4"/>
      <c r="M3050" s="5" t="s">
        <v>2677</v>
      </c>
    </row>
    <row r="3051" customFormat="false" ht="15.75" hidden="false" customHeight="false" outlineLevel="0" collapsed="false">
      <c r="A3051" s="3" t="n">
        <v>46207</v>
      </c>
      <c r="B3051" s="4" t="s">
        <v>1091</v>
      </c>
      <c r="C3051" s="4" t="n">
        <v>6</v>
      </c>
      <c r="D3051" s="4" t="n">
        <v>10</v>
      </c>
      <c r="E3051" s="4" t="s">
        <v>2866</v>
      </c>
      <c r="F3051" s="4" t="n">
        <v>17</v>
      </c>
      <c r="G3051" s="4" t="n">
        <v>7</v>
      </c>
      <c r="H3051" s="4" t="n">
        <v>4</v>
      </c>
      <c r="I3051" s="4" t="str">
        <v>×</v>
      </c>
      <c r="J3051" s="4"/>
      <c r="K3051" s="4"/>
      <c r="L3051" s="4"/>
      <c r="M3051" s="5" t="s">
        <v>2677</v>
      </c>
    </row>
    <row r="3052" customFormat="false" ht="15.75" hidden="false" customHeight="false" outlineLevel="0" collapsed="false">
      <c r="A3052" s="3" t="n">
        <v>46207</v>
      </c>
      <c r="B3052" s="4" t="s">
        <v>1091</v>
      </c>
      <c r="C3052" s="4" t="n">
        <v>6</v>
      </c>
      <c r="D3052" s="4" t="n">
        <v>11</v>
      </c>
      <c r="E3052" s="4" t="s">
        <v>2867</v>
      </c>
      <c r="F3052" s="4" t="n">
        <v>29</v>
      </c>
      <c r="G3052" s="4" t="n">
        <v>6</v>
      </c>
      <c r="H3052" s="4" t="n">
        <v>4</v>
      </c>
      <c r="I3052" s="4" t="str">
        <v>×</v>
      </c>
      <c r="J3052" s="4"/>
      <c r="K3052" s="4"/>
      <c r="L3052" s="4"/>
      <c r="M3052" s="5" t="s">
        <v>2677</v>
      </c>
    </row>
    <row r="3053" customFormat="false" ht="15.75" hidden="false" customHeight="false" outlineLevel="0" collapsed="false">
      <c r="A3053" s="3" t="n">
        <v>46207</v>
      </c>
      <c r="B3053" s="4" t="s">
        <v>1091</v>
      </c>
      <c r="C3053" s="4" t="n">
        <v>6</v>
      </c>
      <c r="D3053" s="4" t="n">
        <v>12</v>
      </c>
      <c r="E3053" s="4" t="s">
        <v>2868</v>
      </c>
      <c r="F3053" s="4" t="n">
        <v>4</v>
      </c>
      <c r="G3053" s="4" t="n">
        <v>9</v>
      </c>
      <c r="H3053" s="4" t="n">
        <v>4</v>
      </c>
      <c r="I3053" s="4" t="str">
        <v>×</v>
      </c>
      <c r="J3053" s="4"/>
      <c r="K3053" s="4"/>
      <c r="L3053" s="4"/>
      <c r="M3053" s="5" t="s">
        <v>2677</v>
      </c>
    </row>
    <row r="3054" customFormat="false" ht="15.75" hidden="false" customHeight="false" outlineLevel="0" collapsed="false">
      <c r="A3054" s="3" t="n">
        <v>46207</v>
      </c>
      <c r="B3054" s="4" t="s">
        <v>1091</v>
      </c>
      <c r="C3054" s="4" t="n">
        <v>6</v>
      </c>
      <c r="D3054" s="4" t="n">
        <v>13</v>
      </c>
      <c r="E3054" s="4" t="s">
        <v>2869</v>
      </c>
      <c r="F3054" s="4" t="n">
        <v>4</v>
      </c>
      <c r="G3054" s="4" t="n">
        <v>9</v>
      </c>
      <c r="H3054" s="4" t="n">
        <v>4</v>
      </c>
      <c r="I3054" s="4" t="str">
        <v>×</v>
      </c>
      <c r="J3054" s="4"/>
      <c r="K3054" s="4"/>
      <c r="L3054" s="4"/>
      <c r="M3054" s="5" t="s">
        <v>2677</v>
      </c>
    </row>
    <row r="3055" customFormat="false" ht="15.75" hidden="false" customHeight="false" outlineLevel="0" collapsed="false">
      <c r="A3055" s="3" t="n">
        <v>46207</v>
      </c>
      <c r="B3055" s="4" t="s">
        <v>1091</v>
      </c>
      <c r="C3055" s="4" t="n">
        <v>6</v>
      </c>
      <c r="D3055" s="4" t="n">
        <v>14</v>
      </c>
      <c r="E3055" s="4" t="s">
        <v>1149</v>
      </c>
      <c r="F3055" s="4" t="n">
        <v>41</v>
      </c>
      <c r="G3055" s="4" t="n">
        <v>3</v>
      </c>
      <c r="H3055" s="4" t="n">
        <v>4</v>
      </c>
      <c r="I3055" s="4" t="str">
        <v>×</v>
      </c>
      <c r="J3055" s="4"/>
      <c r="K3055" s="4"/>
      <c r="L3055" s="4"/>
      <c r="M3055" s="5" t="s">
        <v>2677</v>
      </c>
    </row>
    <row r="3056" customFormat="false" ht="15.75" hidden="false" customHeight="false" outlineLevel="0" collapsed="false">
      <c r="A3056" s="3" t="n">
        <v>46207</v>
      </c>
      <c r="B3056" s="4" t="s">
        <v>1091</v>
      </c>
      <c r="C3056" s="4" t="n">
        <v>6</v>
      </c>
      <c r="D3056" s="4" t="n">
        <v>15</v>
      </c>
      <c r="E3056" s="4" t="s">
        <v>1155</v>
      </c>
      <c r="F3056" s="4" t="n">
        <v>37</v>
      </c>
      <c r="G3056" s="4" t="n">
        <v>4</v>
      </c>
      <c r="H3056" s="4" t="n">
        <v>3</v>
      </c>
      <c r="I3056" s="4" t="str">
        <v>○</v>
      </c>
      <c r="J3056" s="4" t="n">
        <v>350</v>
      </c>
      <c r="K3056" s="4"/>
      <c r="L3056" s="4"/>
      <c r="M3056" s="5" t="s">
        <v>2677</v>
      </c>
    </row>
    <row r="3057" customFormat="false" ht="15.75" hidden="false" customHeight="false" outlineLevel="0" collapsed="false">
      <c r="A3057" s="3" t="n">
        <v>46207</v>
      </c>
      <c r="B3057" s="4" t="s">
        <v>1091</v>
      </c>
      <c r="C3057" s="4" t="n">
        <v>6</v>
      </c>
      <c r="D3057" s="4" t="n">
        <v>16</v>
      </c>
      <c r="E3057" s="4" t="s">
        <v>2870</v>
      </c>
      <c r="F3057" s="4" t="n">
        <v>2</v>
      </c>
      <c r="G3057" s="4" t="n">
        <v>11</v>
      </c>
      <c r="H3057" s="4" t="n">
        <v>4</v>
      </c>
      <c r="I3057" s="4" t="str">
        <v>×</v>
      </c>
      <c r="J3057" s="4"/>
      <c r="K3057" s="4"/>
      <c r="L3057" s="4"/>
      <c r="M3057" s="5" t="s">
        <v>2677</v>
      </c>
    </row>
    <row r="3058" customFormat="false" ht="15.75" hidden="false" customHeight="false" outlineLevel="0" collapsed="false">
      <c r="A3058" s="3" t="n">
        <v>46207</v>
      </c>
      <c r="B3058" s="4" t="s">
        <v>1091</v>
      </c>
      <c r="C3058" s="4" t="n">
        <v>7</v>
      </c>
      <c r="D3058" s="4" t="n">
        <v>1</v>
      </c>
      <c r="E3058" s="4" t="s">
        <v>2871</v>
      </c>
      <c r="F3058" s="4" t="n">
        <v>6</v>
      </c>
      <c r="G3058" s="4" t="n">
        <v>9</v>
      </c>
      <c r="H3058" s="4" t="n">
        <v>4</v>
      </c>
      <c r="I3058" s="4" t="str">
        <v>×</v>
      </c>
      <c r="J3058" s="4"/>
      <c r="K3058" s="4"/>
      <c r="L3058" s="4"/>
      <c r="M3058" s="5" t="s">
        <v>2677</v>
      </c>
    </row>
    <row r="3059" customFormat="false" ht="15.75" hidden="false" customHeight="false" outlineLevel="0" collapsed="false">
      <c r="A3059" s="3" t="n">
        <v>46207</v>
      </c>
      <c r="B3059" s="4" t="s">
        <v>1091</v>
      </c>
      <c r="C3059" s="4" t="n">
        <v>7</v>
      </c>
      <c r="D3059" s="4" t="n">
        <v>2</v>
      </c>
      <c r="E3059" s="4" t="s">
        <v>2872</v>
      </c>
      <c r="F3059" s="4" t="n">
        <v>3</v>
      </c>
      <c r="G3059" s="4" t="n">
        <v>11</v>
      </c>
      <c r="H3059" s="4" t="n">
        <v>4</v>
      </c>
      <c r="I3059" s="4" t="str">
        <v>×</v>
      </c>
      <c r="J3059" s="4"/>
      <c r="K3059" s="4"/>
      <c r="L3059" s="4"/>
      <c r="M3059" s="5" t="s">
        <v>2677</v>
      </c>
    </row>
    <row r="3060" customFormat="false" ht="15.75" hidden="false" customHeight="false" outlineLevel="0" collapsed="false">
      <c r="A3060" s="3" t="n">
        <v>46207</v>
      </c>
      <c r="B3060" s="4" t="s">
        <v>1091</v>
      </c>
      <c r="C3060" s="4" t="n">
        <v>7</v>
      </c>
      <c r="D3060" s="4" t="n">
        <v>3</v>
      </c>
      <c r="E3060" s="4" t="s">
        <v>2873</v>
      </c>
      <c r="F3060" s="4" t="n">
        <v>15</v>
      </c>
      <c r="G3060" s="4" t="n">
        <v>7</v>
      </c>
      <c r="H3060" s="4" t="n">
        <v>4</v>
      </c>
      <c r="I3060" s="4" t="str">
        <v>×</v>
      </c>
      <c r="J3060" s="4"/>
      <c r="K3060" s="4"/>
      <c r="L3060" s="4"/>
      <c r="M3060" s="5" t="s">
        <v>2677</v>
      </c>
    </row>
    <row r="3061" customFormat="false" ht="15.75" hidden="false" customHeight="false" outlineLevel="0" collapsed="false">
      <c r="A3061" s="3" t="n">
        <v>46207</v>
      </c>
      <c r="B3061" s="4" t="s">
        <v>1091</v>
      </c>
      <c r="C3061" s="4" t="n">
        <v>7</v>
      </c>
      <c r="D3061" s="4" t="n">
        <v>4</v>
      </c>
      <c r="E3061" s="4" t="s">
        <v>1602</v>
      </c>
      <c r="F3061" s="4" t="n">
        <v>67</v>
      </c>
      <c r="G3061" s="4" t="n">
        <v>1</v>
      </c>
      <c r="H3061" s="4" t="n">
        <v>4</v>
      </c>
      <c r="I3061" s="4" t="str">
        <v>×</v>
      </c>
      <c r="J3061" s="4"/>
      <c r="K3061" s="4"/>
      <c r="L3061" s="4"/>
      <c r="M3061" s="5" t="s">
        <v>2677</v>
      </c>
    </row>
    <row r="3062" customFormat="false" ht="15.75" hidden="false" customHeight="false" outlineLevel="0" collapsed="false">
      <c r="A3062" s="3" t="n">
        <v>46207</v>
      </c>
      <c r="B3062" s="4" t="s">
        <v>1091</v>
      </c>
      <c r="C3062" s="4" t="n">
        <v>7</v>
      </c>
      <c r="D3062" s="4" t="n">
        <v>5</v>
      </c>
      <c r="E3062" s="4" t="s">
        <v>205</v>
      </c>
      <c r="F3062" s="4" t="n">
        <v>8</v>
      </c>
      <c r="G3062" s="4" t="n">
        <v>8</v>
      </c>
      <c r="H3062" s="4" t="n">
        <v>4</v>
      </c>
      <c r="I3062" s="4" t="str">
        <v>×</v>
      </c>
      <c r="J3062" s="4"/>
      <c r="K3062" s="4"/>
      <c r="L3062" s="4"/>
      <c r="M3062" s="5" t="s">
        <v>2677</v>
      </c>
    </row>
    <row r="3063" customFormat="false" ht="15.75" hidden="false" customHeight="false" outlineLevel="0" collapsed="false">
      <c r="A3063" s="3" t="n">
        <v>46207</v>
      </c>
      <c r="B3063" s="4" t="s">
        <v>1091</v>
      </c>
      <c r="C3063" s="4" t="n">
        <v>7</v>
      </c>
      <c r="D3063" s="4" t="n">
        <v>6</v>
      </c>
      <c r="E3063" s="4" t="s">
        <v>1158</v>
      </c>
      <c r="F3063" s="4" t="n">
        <v>2</v>
      </c>
      <c r="G3063" s="4" t="n">
        <v>12</v>
      </c>
      <c r="H3063" s="4" t="n">
        <v>4</v>
      </c>
      <c r="I3063" s="4" t="str">
        <v>×</v>
      </c>
      <c r="J3063" s="4"/>
      <c r="K3063" s="4"/>
      <c r="L3063" s="4"/>
      <c r="M3063" s="5" t="s">
        <v>2677</v>
      </c>
    </row>
    <row r="3064" customFormat="false" ht="15.75" hidden="false" customHeight="false" outlineLevel="0" collapsed="false">
      <c r="A3064" s="3" t="n">
        <v>46207</v>
      </c>
      <c r="B3064" s="4" t="s">
        <v>1091</v>
      </c>
      <c r="C3064" s="4" t="n">
        <v>7</v>
      </c>
      <c r="D3064" s="4" t="n">
        <v>7</v>
      </c>
      <c r="E3064" s="4" t="s">
        <v>310</v>
      </c>
      <c r="F3064" s="4" t="n">
        <v>23</v>
      </c>
      <c r="G3064" s="4" t="n">
        <v>6</v>
      </c>
      <c r="H3064" s="4" t="n">
        <v>4</v>
      </c>
      <c r="I3064" s="4" t="str">
        <v>×</v>
      </c>
      <c r="J3064" s="4"/>
      <c r="K3064" s="4"/>
      <c r="L3064" s="4"/>
      <c r="M3064" s="5" t="s">
        <v>2677</v>
      </c>
    </row>
    <row r="3065" customFormat="false" ht="15.75" hidden="false" customHeight="false" outlineLevel="0" collapsed="false">
      <c r="A3065" s="3" t="n">
        <v>46207</v>
      </c>
      <c r="B3065" s="4" t="s">
        <v>1091</v>
      </c>
      <c r="C3065" s="4" t="n">
        <v>7</v>
      </c>
      <c r="D3065" s="4" t="n">
        <v>8</v>
      </c>
      <c r="E3065" s="4" t="s">
        <v>2874</v>
      </c>
      <c r="F3065" s="4" t="n">
        <v>2</v>
      </c>
      <c r="G3065" s="4" t="n">
        <v>12</v>
      </c>
      <c r="H3065" s="4" t="n">
        <v>4</v>
      </c>
      <c r="I3065" s="4" t="str">
        <v>×</v>
      </c>
      <c r="J3065" s="4"/>
      <c r="K3065" s="4"/>
      <c r="L3065" s="4"/>
      <c r="M3065" s="5" t="s">
        <v>2677</v>
      </c>
    </row>
    <row r="3066" customFormat="false" ht="15.75" hidden="false" customHeight="false" outlineLevel="0" collapsed="false">
      <c r="A3066" s="3" t="n">
        <v>46207</v>
      </c>
      <c r="B3066" s="4" t="s">
        <v>1091</v>
      </c>
      <c r="C3066" s="4" t="n">
        <v>7</v>
      </c>
      <c r="D3066" s="4" t="n">
        <v>9</v>
      </c>
      <c r="E3066" s="4" t="s">
        <v>1169</v>
      </c>
      <c r="F3066" s="4" t="n">
        <v>31</v>
      </c>
      <c r="G3066" s="4" t="n">
        <v>5</v>
      </c>
      <c r="H3066" s="4" t="n">
        <v>2</v>
      </c>
      <c r="I3066" s="4" t="str">
        <v>○</v>
      </c>
      <c r="J3066" s="4" t="n">
        <v>240</v>
      </c>
      <c r="K3066" s="4"/>
      <c r="L3066" s="4"/>
      <c r="M3066" s="5" t="s">
        <v>2677</v>
      </c>
    </row>
    <row r="3067" customFormat="false" ht="15.75" hidden="false" customHeight="false" outlineLevel="0" collapsed="false">
      <c r="A3067" s="3" t="n">
        <v>46207</v>
      </c>
      <c r="B3067" s="4" t="s">
        <v>1091</v>
      </c>
      <c r="C3067" s="4" t="n">
        <v>7</v>
      </c>
      <c r="D3067" s="4" t="n">
        <v>10</v>
      </c>
      <c r="E3067" s="4" t="s">
        <v>2875</v>
      </c>
      <c r="F3067" s="4" t="n">
        <v>41</v>
      </c>
      <c r="G3067" s="4" t="n">
        <v>3</v>
      </c>
      <c r="H3067" s="4" t="n">
        <v>1</v>
      </c>
      <c r="I3067" s="4" t="str">
        <v>○</v>
      </c>
      <c r="J3067" s="4" t="n">
        <v>210</v>
      </c>
      <c r="K3067" s="4"/>
      <c r="L3067" s="4"/>
      <c r="M3067" s="5" t="s">
        <v>2677</v>
      </c>
    </row>
    <row r="3068" customFormat="false" ht="15.75" hidden="false" customHeight="false" outlineLevel="0" collapsed="false">
      <c r="A3068" s="3" t="n">
        <v>46207</v>
      </c>
      <c r="B3068" s="4" t="s">
        <v>1091</v>
      </c>
      <c r="C3068" s="4" t="n">
        <v>7</v>
      </c>
      <c r="D3068" s="4" t="n">
        <v>11</v>
      </c>
      <c r="E3068" s="4" t="s">
        <v>2876</v>
      </c>
      <c r="F3068" s="4" t="n">
        <v>23</v>
      </c>
      <c r="G3068" s="4" t="n">
        <v>6</v>
      </c>
      <c r="H3068" s="4" t="n">
        <v>4</v>
      </c>
      <c r="I3068" s="4" t="str">
        <v>×</v>
      </c>
      <c r="J3068" s="4"/>
      <c r="K3068" s="4"/>
      <c r="L3068" s="4"/>
      <c r="M3068" s="5" t="s">
        <v>2677</v>
      </c>
    </row>
    <row r="3069" customFormat="false" ht="15.75" hidden="false" customHeight="false" outlineLevel="0" collapsed="false">
      <c r="A3069" s="3" t="n">
        <v>46207</v>
      </c>
      <c r="B3069" s="4" t="s">
        <v>1091</v>
      </c>
      <c r="C3069" s="4" t="n">
        <v>7</v>
      </c>
      <c r="D3069" s="4" t="n">
        <v>12</v>
      </c>
      <c r="E3069" s="4" t="s">
        <v>1170</v>
      </c>
      <c r="F3069" s="4" t="n">
        <v>35</v>
      </c>
      <c r="G3069" s="4" t="n">
        <v>4</v>
      </c>
      <c r="H3069" s="4" t="n">
        <v>4</v>
      </c>
      <c r="I3069" s="4" t="str">
        <v>×</v>
      </c>
      <c r="J3069" s="4"/>
      <c r="K3069" s="4"/>
      <c r="L3069" s="4"/>
      <c r="M3069" s="5" t="s">
        <v>2677</v>
      </c>
    </row>
    <row r="3070" customFormat="false" ht="15.75" hidden="false" customHeight="false" outlineLevel="0" collapsed="false">
      <c r="A3070" s="3" t="n">
        <v>46207</v>
      </c>
      <c r="B3070" s="4" t="s">
        <v>1091</v>
      </c>
      <c r="C3070" s="4" t="n">
        <v>7</v>
      </c>
      <c r="D3070" s="4" t="n">
        <v>13</v>
      </c>
      <c r="E3070" s="4" t="s">
        <v>325</v>
      </c>
      <c r="F3070" s="4" t="n">
        <v>31</v>
      </c>
      <c r="G3070" s="4" t="n">
        <v>5</v>
      </c>
      <c r="H3070" s="4" t="n">
        <v>3</v>
      </c>
      <c r="I3070" s="4" t="str">
        <v>○</v>
      </c>
      <c r="J3070" s="4" t="n">
        <v>230</v>
      </c>
      <c r="K3070" s="4"/>
      <c r="L3070" s="4"/>
      <c r="M3070" s="5" t="s">
        <v>2677</v>
      </c>
    </row>
    <row r="3071" customFormat="false" ht="15.75" hidden="false" customHeight="false" outlineLevel="0" collapsed="false">
      <c r="A3071" s="3" t="n">
        <v>46207</v>
      </c>
      <c r="B3071" s="4" t="s">
        <v>1091</v>
      </c>
      <c r="C3071" s="4" t="n">
        <v>7</v>
      </c>
      <c r="D3071" s="4" t="n">
        <v>14</v>
      </c>
      <c r="E3071" s="4" t="s">
        <v>2877</v>
      </c>
      <c r="F3071" s="4" t="n">
        <v>6</v>
      </c>
      <c r="G3071" s="4" t="n">
        <v>9</v>
      </c>
      <c r="H3071" s="4" t="n">
        <v>4</v>
      </c>
      <c r="I3071" s="4" t="str">
        <v>×</v>
      </c>
      <c r="J3071" s="4"/>
      <c r="K3071" s="4"/>
      <c r="L3071" s="4"/>
      <c r="M3071" s="5" t="s">
        <v>2677</v>
      </c>
    </row>
    <row r="3072" customFormat="false" ht="15.75" hidden="false" customHeight="false" outlineLevel="0" collapsed="false">
      <c r="A3072" s="3" t="n">
        <v>46207</v>
      </c>
      <c r="B3072" s="4" t="s">
        <v>1091</v>
      </c>
      <c r="C3072" s="4" t="n">
        <v>7</v>
      </c>
      <c r="D3072" s="4" t="n">
        <v>15</v>
      </c>
      <c r="E3072" s="4" t="s">
        <v>2878</v>
      </c>
      <c r="F3072" s="4" t="n">
        <v>4</v>
      </c>
      <c r="G3072" s="4" t="n">
        <v>10</v>
      </c>
      <c r="H3072" s="4" t="n">
        <v>4</v>
      </c>
      <c r="I3072" s="4" t="str">
        <v>×</v>
      </c>
      <c r="J3072" s="4"/>
      <c r="K3072" s="4"/>
      <c r="L3072" s="4"/>
      <c r="M3072" s="5" t="s">
        <v>2677</v>
      </c>
    </row>
    <row r="3073" customFormat="false" ht="15.75" hidden="false" customHeight="false" outlineLevel="0" collapsed="false">
      <c r="A3073" s="3" t="n">
        <v>46207</v>
      </c>
      <c r="B3073" s="4" t="s">
        <v>1091</v>
      </c>
      <c r="C3073" s="4" t="n">
        <v>7</v>
      </c>
      <c r="D3073" s="4" t="n">
        <v>16</v>
      </c>
      <c r="E3073" s="4" t="s">
        <v>2879</v>
      </c>
      <c r="F3073" s="4" t="n">
        <v>50</v>
      </c>
      <c r="G3073" s="4" t="n">
        <v>2</v>
      </c>
      <c r="H3073" s="4" t="n">
        <v>4</v>
      </c>
      <c r="I3073" s="4" t="str">
        <v>×</v>
      </c>
      <c r="J3073" s="4"/>
      <c r="K3073" s="4"/>
      <c r="L3073" s="4"/>
      <c r="M3073" s="5" t="s">
        <v>2677</v>
      </c>
    </row>
    <row r="3074" customFormat="false" ht="15.75" hidden="false" customHeight="false" outlineLevel="0" collapsed="false">
      <c r="A3074" s="3" t="n">
        <v>46207</v>
      </c>
      <c r="B3074" s="4" t="s">
        <v>1091</v>
      </c>
      <c r="C3074" s="4" t="n">
        <v>8</v>
      </c>
      <c r="D3074" s="4" t="n">
        <v>1</v>
      </c>
      <c r="E3074" s="4" t="s">
        <v>1656</v>
      </c>
      <c r="F3074" s="4" t="n">
        <v>20</v>
      </c>
      <c r="G3074" s="4" t="n">
        <v>5</v>
      </c>
      <c r="H3074" s="4" t="n">
        <v>4</v>
      </c>
      <c r="I3074" s="4" t="str">
        <v>×</v>
      </c>
      <c r="J3074" s="4"/>
      <c r="K3074" s="4"/>
      <c r="L3074" s="4"/>
      <c r="M3074" s="5" t="s">
        <v>2677</v>
      </c>
    </row>
    <row r="3075" customFormat="false" ht="15.75" hidden="false" customHeight="false" outlineLevel="0" collapsed="false">
      <c r="A3075" s="3" t="n">
        <v>46207</v>
      </c>
      <c r="B3075" s="4" t="s">
        <v>1091</v>
      </c>
      <c r="C3075" s="4" t="n">
        <v>8</v>
      </c>
      <c r="D3075" s="4" t="n">
        <v>2</v>
      </c>
      <c r="E3075" s="4" t="s">
        <v>2880</v>
      </c>
      <c r="F3075" s="4" t="n">
        <v>52</v>
      </c>
      <c r="G3075" s="4" t="n">
        <v>2</v>
      </c>
      <c r="H3075" s="4" t="n">
        <v>2</v>
      </c>
      <c r="I3075" s="4" t="str">
        <v>○</v>
      </c>
      <c r="J3075" s="4" t="n">
        <v>170</v>
      </c>
      <c r="K3075" s="4"/>
      <c r="L3075" s="4"/>
      <c r="M3075" s="5" t="s">
        <v>2677</v>
      </c>
    </row>
    <row r="3076" customFormat="false" ht="15.75" hidden="false" customHeight="false" outlineLevel="0" collapsed="false">
      <c r="A3076" s="3" t="n">
        <v>46207</v>
      </c>
      <c r="B3076" s="4" t="s">
        <v>1091</v>
      </c>
      <c r="C3076" s="4" t="n">
        <v>8</v>
      </c>
      <c r="D3076" s="4" t="n">
        <v>3</v>
      </c>
      <c r="E3076" s="4" t="s">
        <v>2881</v>
      </c>
      <c r="F3076" s="4" t="n">
        <v>10</v>
      </c>
      <c r="G3076" s="4" t="n">
        <v>8</v>
      </c>
      <c r="H3076" s="4" t="n">
        <v>4</v>
      </c>
      <c r="I3076" s="4" t="str">
        <v>×</v>
      </c>
      <c r="J3076" s="4"/>
      <c r="K3076" s="4"/>
      <c r="L3076" s="4"/>
      <c r="M3076" s="5" t="s">
        <v>2677</v>
      </c>
    </row>
    <row r="3077" customFormat="false" ht="15.75" hidden="false" customHeight="false" outlineLevel="0" collapsed="false">
      <c r="A3077" s="3" t="n">
        <v>46207</v>
      </c>
      <c r="B3077" s="4" t="s">
        <v>1091</v>
      </c>
      <c r="C3077" s="4" t="n">
        <v>8</v>
      </c>
      <c r="D3077" s="4" t="n">
        <v>4</v>
      </c>
      <c r="E3077" s="4" t="s">
        <v>2882</v>
      </c>
      <c r="F3077" s="4" t="n">
        <v>39</v>
      </c>
      <c r="G3077" s="4" t="n">
        <v>3</v>
      </c>
      <c r="H3077" s="4" t="n">
        <v>4</v>
      </c>
      <c r="I3077" s="4" t="str">
        <v>×</v>
      </c>
      <c r="J3077" s="4"/>
      <c r="K3077" s="4"/>
      <c r="L3077" s="4"/>
      <c r="M3077" s="5" t="s">
        <v>2677</v>
      </c>
    </row>
    <row r="3078" customFormat="false" ht="15.75" hidden="false" customHeight="false" outlineLevel="0" collapsed="false">
      <c r="A3078" s="3" t="n">
        <v>46207</v>
      </c>
      <c r="B3078" s="4" t="s">
        <v>1091</v>
      </c>
      <c r="C3078" s="4" t="n">
        <v>8</v>
      </c>
      <c r="D3078" s="4" t="n">
        <v>5</v>
      </c>
      <c r="E3078" s="4" t="s">
        <v>2883</v>
      </c>
      <c r="F3078" s="4" t="n">
        <v>10</v>
      </c>
      <c r="G3078" s="4" t="n">
        <v>8</v>
      </c>
      <c r="H3078" s="4" t="n">
        <v>4</v>
      </c>
      <c r="I3078" s="4" t="str">
        <v>×</v>
      </c>
      <c r="J3078" s="4"/>
      <c r="K3078" s="4"/>
      <c r="L3078" s="4"/>
      <c r="M3078" s="5" t="s">
        <v>2677</v>
      </c>
    </row>
    <row r="3079" customFormat="false" ht="15.75" hidden="false" customHeight="false" outlineLevel="0" collapsed="false">
      <c r="A3079" s="3" t="n">
        <v>46207</v>
      </c>
      <c r="B3079" s="4" t="s">
        <v>1091</v>
      </c>
      <c r="C3079" s="4" t="n">
        <v>8</v>
      </c>
      <c r="D3079" s="4" t="n">
        <v>6</v>
      </c>
      <c r="E3079" s="4" t="s">
        <v>1662</v>
      </c>
      <c r="F3079" s="4" t="n">
        <v>20</v>
      </c>
      <c r="G3079" s="4" t="n">
        <v>5</v>
      </c>
      <c r="H3079" s="4" t="n">
        <v>3</v>
      </c>
      <c r="I3079" s="4" t="str">
        <v>○</v>
      </c>
      <c r="J3079" s="4" t="n">
        <v>350</v>
      </c>
      <c r="K3079" s="4"/>
      <c r="L3079" s="4"/>
      <c r="M3079" s="5" t="s">
        <v>2677</v>
      </c>
    </row>
    <row r="3080" customFormat="false" ht="15.75" hidden="false" customHeight="false" outlineLevel="0" collapsed="false">
      <c r="A3080" s="3" t="n">
        <v>46207</v>
      </c>
      <c r="B3080" s="4" t="s">
        <v>1091</v>
      </c>
      <c r="C3080" s="4" t="n">
        <v>8</v>
      </c>
      <c r="D3080" s="4" t="n">
        <v>7</v>
      </c>
      <c r="E3080" s="4" t="s">
        <v>2884</v>
      </c>
      <c r="F3080" s="4" t="n">
        <v>3</v>
      </c>
      <c r="G3080" s="4" t="n">
        <v>11</v>
      </c>
      <c r="H3080" s="4" t="n">
        <v>4</v>
      </c>
      <c r="I3080" s="4" t="str">
        <v>×</v>
      </c>
      <c r="J3080" s="4"/>
      <c r="K3080" s="4"/>
      <c r="L3080" s="4"/>
      <c r="M3080" s="5" t="s">
        <v>2677</v>
      </c>
    </row>
    <row r="3081" customFormat="false" ht="15.75" hidden="false" customHeight="false" outlineLevel="0" collapsed="false">
      <c r="A3081" s="3" t="n">
        <v>46207</v>
      </c>
      <c r="B3081" s="4" t="s">
        <v>1091</v>
      </c>
      <c r="C3081" s="4" t="n">
        <v>8</v>
      </c>
      <c r="D3081" s="4" t="n">
        <v>8</v>
      </c>
      <c r="E3081" s="4" t="s">
        <v>2885</v>
      </c>
      <c r="F3081" s="4" t="n">
        <v>66</v>
      </c>
      <c r="G3081" s="4" t="n">
        <v>1</v>
      </c>
      <c r="H3081" s="4" t="n">
        <v>1</v>
      </c>
      <c r="I3081" s="4" t="str">
        <v>○</v>
      </c>
      <c r="J3081" s="4" t="n">
        <v>110</v>
      </c>
      <c r="K3081" s="4"/>
      <c r="L3081" s="4"/>
      <c r="M3081" s="5" t="s">
        <v>2677</v>
      </c>
    </row>
    <row r="3082" customFormat="false" ht="15.75" hidden="false" customHeight="false" outlineLevel="0" collapsed="false">
      <c r="A3082" s="3" t="n">
        <v>46207</v>
      </c>
      <c r="B3082" s="4" t="s">
        <v>1091</v>
      </c>
      <c r="C3082" s="4" t="n">
        <v>8</v>
      </c>
      <c r="D3082" s="4" t="n">
        <v>9</v>
      </c>
      <c r="E3082" s="4" t="s">
        <v>1665</v>
      </c>
      <c r="F3082" s="4" t="n">
        <v>8</v>
      </c>
      <c r="G3082" s="4" t="n">
        <v>9</v>
      </c>
      <c r="H3082" s="4" t="n">
        <v>4</v>
      </c>
      <c r="I3082" s="4" t="str">
        <v>×</v>
      </c>
      <c r="J3082" s="4"/>
      <c r="K3082" s="4"/>
      <c r="L3082" s="4"/>
      <c r="M3082" s="5" t="s">
        <v>2677</v>
      </c>
    </row>
    <row r="3083" customFormat="false" ht="15.75" hidden="false" customHeight="false" outlineLevel="0" collapsed="false">
      <c r="A3083" s="3" t="n">
        <v>46207</v>
      </c>
      <c r="B3083" s="4" t="s">
        <v>1091</v>
      </c>
      <c r="C3083" s="4" t="n">
        <v>8</v>
      </c>
      <c r="D3083" s="4" t="n">
        <v>10</v>
      </c>
      <c r="E3083" s="4" t="s">
        <v>2886</v>
      </c>
      <c r="F3083" s="4" t="n">
        <v>15</v>
      </c>
      <c r="G3083" s="4" t="n">
        <v>7</v>
      </c>
      <c r="H3083" s="4" t="n">
        <v>4</v>
      </c>
      <c r="I3083" s="4" t="str">
        <v>×</v>
      </c>
      <c r="J3083" s="4"/>
      <c r="K3083" s="4"/>
      <c r="L3083" s="4"/>
      <c r="M3083" s="5" t="s">
        <v>2677</v>
      </c>
    </row>
    <row r="3084" customFormat="false" ht="15.75" hidden="false" customHeight="false" outlineLevel="0" collapsed="false">
      <c r="A3084" s="3" t="n">
        <v>46207</v>
      </c>
      <c r="B3084" s="4" t="s">
        <v>1091</v>
      </c>
      <c r="C3084" s="4" t="n">
        <v>8</v>
      </c>
      <c r="D3084" s="4" t="n">
        <v>11</v>
      </c>
      <c r="E3084" s="4" t="s">
        <v>2887</v>
      </c>
      <c r="F3084" s="4" t="n">
        <v>31</v>
      </c>
      <c r="G3084" s="4" t="n">
        <v>4</v>
      </c>
      <c r="H3084" s="4" t="n">
        <v>4</v>
      </c>
      <c r="I3084" s="4" t="str">
        <v>×</v>
      </c>
      <c r="J3084" s="4"/>
      <c r="K3084" s="4"/>
      <c r="L3084" s="4"/>
      <c r="M3084" s="5" t="s">
        <v>2677</v>
      </c>
    </row>
    <row r="3085" customFormat="false" ht="15.75" hidden="false" customHeight="false" outlineLevel="0" collapsed="false">
      <c r="A3085" s="3" t="n">
        <v>46207</v>
      </c>
      <c r="B3085" s="4" t="s">
        <v>1091</v>
      </c>
      <c r="C3085" s="4" t="n">
        <v>8</v>
      </c>
      <c r="D3085" s="4" t="n">
        <v>12</v>
      </c>
      <c r="E3085" s="4" t="s">
        <v>2888</v>
      </c>
      <c r="F3085" s="4" t="n">
        <v>6</v>
      </c>
      <c r="G3085" s="4" t="n">
        <v>10</v>
      </c>
      <c r="H3085" s="4" t="n">
        <v>4</v>
      </c>
      <c r="I3085" s="4" t="str">
        <v>×</v>
      </c>
      <c r="J3085" s="4"/>
      <c r="K3085" s="4"/>
      <c r="L3085" s="4"/>
      <c r="M3085" s="5" t="s">
        <v>2677</v>
      </c>
    </row>
    <row r="3086" customFormat="false" ht="15.75" hidden="false" customHeight="false" outlineLevel="0" collapsed="false">
      <c r="A3086" s="3" t="n">
        <v>46207</v>
      </c>
      <c r="B3086" s="4" t="s">
        <v>1091</v>
      </c>
      <c r="C3086" s="4" t="n">
        <v>8</v>
      </c>
      <c r="D3086" s="4" t="n">
        <v>13</v>
      </c>
      <c r="E3086" s="4" t="s">
        <v>1666</v>
      </c>
      <c r="F3086" s="4" t="n">
        <v>17</v>
      </c>
      <c r="G3086" s="4" t="n">
        <v>6</v>
      </c>
      <c r="H3086" s="4" t="n">
        <v>4</v>
      </c>
      <c r="I3086" s="4" t="str">
        <v>×</v>
      </c>
      <c r="J3086" s="4"/>
      <c r="K3086" s="4"/>
      <c r="L3086" s="4"/>
      <c r="M3086" s="5" t="s">
        <v>2677</v>
      </c>
    </row>
    <row r="3087" customFormat="false" ht="15.75" hidden="false" customHeight="false" outlineLevel="0" collapsed="false">
      <c r="A3087" s="3" t="n">
        <v>46207</v>
      </c>
      <c r="B3087" s="4" t="s">
        <v>1091</v>
      </c>
      <c r="C3087" s="4" t="n">
        <v>9</v>
      </c>
      <c r="D3087" s="4" t="n">
        <v>1</v>
      </c>
      <c r="E3087" s="4" t="s">
        <v>2889</v>
      </c>
      <c r="F3087" s="4" t="n">
        <v>41</v>
      </c>
      <c r="G3087" s="4" t="n">
        <v>2</v>
      </c>
      <c r="H3087" s="4" t="n">
        <v>4</v>
      </c>
      <c r="I3087" s="4" t="str">
        <v>×</v>
      </c>
      <c r="J3087" s="4"/>
      <c r="K3087" s="4"/>
      <c r="L3087" s="4"/>
      <c r="M3087" s="5" t="s">
        <v>2677</v>
      </c>
    </row>
    <row r="3088" customFormat="false" ht="15.75" hidden="false" customHeight="false" outlineLevel="0" collapsed="false">
      <c r="A3088" s="3" t="n">
        <v>46207</v>
      </c>
      <c r="B3088" s="4" t="s">
        <v>1091</v>
      </c>
      <c r="C3088" s="4" t="n">
        <v>9</v>
      </c>
      <c r="D3088" s="4" t="n">
        <v>2</v>
      </c>
      <c r="E3088" s="4" t="s">
        <v>2890</v>
      </c>
      <c r="F3088" s="4" t="n">
        <v>8</v>
      </c>
      <c r="G3088" s="4" t="n">
        <v>8</v>
      </c>
      <c r="H3088" s="4" t="n">
        <v>4</v>
      </c>
      <c r="I3088" s="4" t="str">
        <v>×</v>
      </c>
      <c r="J3088" s="4"/>
      <c r="K3088" s="4"/>
      <c r="L3088" s="4"/>
      <c r="M3088" s="5" t="s">
        <v>2677</v>
      </c>
    </row>
    <row r="3089" customFormat="false" ht="15.75" hidden="false" customHeight="false" outlineLevel="0" collapsed="false">
      <c r="A3089" s="3" t="n">
        <v>46207</v>
      </c>
      <c r="B3089" s="4" t="s">
        <v>1091</v>
      </c>
      <c r="C3089" s="4" t="n">
        <v>9</v>
      </c>
      <c r="D3089" s="4" t="n">
        <v>3</v>
      </c>
      <c r="E3089" s="4" t="s">
        <v>2891</v>
      </c>
      <c r="F3089" s="4" t="n">
        <v>34</v>
      </c>
      <c r="G3089" s="4" t="n">
        <v>4</v>
      </c>
      <c r="H3089" s="4" t="n">
        <v>4</v>
      </c>
      <c r="I3089" s="4" t="str">
        <v>×</v>
      </c>
      <c r="J3089" s="4"/>
      <c r="K3089" s="4"/>
      <c r="L3089" s="4"/>
      <c r="M3089" s="5" t="s">
        <v>2677</v>
      </c>
    </row>
    <row r="3090" customFormat="false" ht="15.75" hidden="false" customHeight="false" outlineLevel="0" collapsed="false">
      <c r="A3090" s="3" t="n">
        <v>46207</v>
      </c>
      <c r="B3090" s="4" t="s">
        <v>1091</v>
      </c>
      <c r="C3090" s="4" t="n">
        <v>9</v>
      </c>
      <c r="D3090" s="4" t="n">
        <v>4</v>
      </c>
      <c r="E3090" s="4" t="s">
        <v>1644</v>
      </c>
      <c r="F3090" s="4" t="n">
        <v>37</v>
      </c>
      <c r="G3090" s="4" t="n">
        <v>3</v>
      </c>
      <c r="H3090" s="4" t="n">
        <v>4</v>
      </c>
      <c r="I3090" s="4" t="str">
        <v>×</v>
      </c>
      <c r="J3090" s="4"/>
      <c r="K3090" s="4"/>
      <c r="L3090" s="4"/>
      <c r="M3090" s="5" t="s">
        <v>2677</v>
      </c>
    </row>
    <row r="3091" customFormat="false" ht="15.75" hidden="false" customHeight="false" outlineLevel="0" collapsed="false">
      <c r="A3091" s="3" t="n">
        <v>46207</v>
      </c>
      <c r="B3091" s="4" t="s">
        <v>1091</v>
      </c>
      <c r="C3091" s="4" t="n">
        <v>9</v>
      </c>
      <c r="D3091" s="4" t="n">
        <v>5</v>
      </c>
      <c r="E3091" s="4" t="s">
        <v>2892</v>
      </c>
      <c r="F3091" s="4" t="n">
        <v>23</v>
      </c>
      <c r="G3091" s="4" t="n">
        <v>6</v>
      </c>
      <c r="H3091" s="4" t="n">
        <v>3</v>
      </c>
      <c r="I3091" s="4" t="str">
        <v>○</v>
      </c>
      <c r="J3091" s="4" t="n">
        <v>310</v>
      </c>
      <c r="K3091" s="4"/>
      <c r="L3091" s="4"/>
      <c r="M3091" s="5" t="s">
        <v>2677</v>
      </c>
    </row>
    <row r="3092" customFormat="false" ht="15.75" hidden="false" customHeight="false" outlineLevel="0" collapsed="false">
      <c r="A3092" s="3" t="n">
        <v>46207</v>
      </c>
      <c r="B3092" s="4" t="s">
        <v>1091</v>
      </c>
      <c r="C3092" s="4" t="n">
        <v>9</v>
      </c>
      <c r="D3092" s="4" t="n">
        <v>6</v>
      </c>
      <c r="E3092" s="4" t="s">
        <v>1650</v>
      </c>
      <c r="F3092" s="4" t="n">
        <v>13</v>
      </c>
      <c r="G3092" s="4" t="n">
        <v>7</v>
      </c>
      <c r="H3092" s="4" t="n">
        <v>4</v>
      </c>
      <c r="I3092" s="4" t="str">
        <v>×</v>
      </c>
      <c r="J3092" s="4"/>
      <c r="K3092" s="4"/>
      <c r="L3092" s="4"/>
      <c r="M3092" s="5" t="s">
        <v>2677</v>
      </c>
    </row>
    <row r="3093" customFormat="false" ht="15.75" hidden="false" customHeight="false" outlineLevel="0" collapsed="false">
      <c r="A3093" s="3" t="n">
        <v>46207</v>
      </c>
      <c r="B3093" s="4" t="s">
        <v>1091</v>
      </c>
      <c r="C3093" s="4" t="n">
        <v>9</v>
      </c>
      <c r="D3093" s="4" t="n">
        <v>7</v>
      </c>
      <c r="E3093" s="4" t="s">
        <v>2893</v>
      </c>
      <c r="F3093" s="4" t="n">
        <v>56</v>
      </c>
      <c r="G3093" s="4" t="n">
        <v>1</v>
      </c>
      <c r="H3093" s="4" t="n">
        <v>1</v>
      </c>
      <c r="I3093" s="4" t="str">
        <v>○</v>
      </c>
      <c r="J3093" s="4" t="n">
        <v>130</v>
      </c>
      <c r="K3093" s="4"/>
      <c r="L3093" s="4"/>
      <c r="M3093" s="5" t="s">
        <v>2677</v>
      </c>
    </row>
    <row r="3094" customFormat="false" ht="15.75" hidden="false" customHeight="false" outlineLevel="0" collapsed="false">
      <c r="A3094" s="3" t="n">
        <v>46207</v>
      </c>
      <c r="B3094" s="4" t="s">
        <v>1091</v>
      </c>
      <c r="C3094" s="4" t="n">
        <v>9</v>
      </c>
      <c r="D3094" s="4" t="n">
        <v>8</v>
      </c>
      <c r="E3094" s="4" t="s">
        <v>2549</v>
      </c>
      <c r="F3094" s="4" t="n">
        <v>8</v>
      </c>
      <c r="G3094" s="4" t="n">
        <v>8</v>
      </c>
      <c r="H3094" s="4" t="n">
        <v>4</v>
      </c>
      <c r="I3094" s="4" t="str">
        <v>×</v>
      </c>
      <c r="J3094" s="4"/>
      <c r="K3094" s="4"/>
      <c r="L3094" s="4"/>
      <c r="M3094" s="5" t="s">
        <v>2677</v>
      </c>
    </row>
    <row r="3095" customFormat="false" ht="15.75" hidden="false" customHeight="false" outlineLevel="0" collapsed="false">
      <c r="A3095" s="3" t="n">
        <v>46207</v>
      </c>
      <c r="B3095" s="4" t="s">
        <v>1091</v>
      </c>
      <c r="C3095" s="4" t="n">
        <v>9</v>
      </c>
      <c r="D3095" s="4" t="n">
        <v>9</v>
      </c>
      <c r="E3095" s="4" t="s">
        <v>1648</v>
      </c>
      <c r="F3095" s="4" t="n">
        <v>37</v>
      </c>
      <c r="G3095" s="4" t="n">
        <v>3</v>
      </c>
      <c r="H3095" s="4" t="n">
        <v>4</v>
      </c>
      <c r="I3095" s="4" t="str">
        <v>×</v>
      </c>
      <c r="J3095" s="4"/>
      <c r="K3095" s="4"/>
      <c r="L3095" s="4"/>
      <c r="M3095" s="5" t="s">
        <v>2677</v>
      </c>
    </row>
    <row r="3096" customFormat="false" ht="15.75" hidden="false" customHeight="false" outlineLevel="0" collapsed="false">
      <c r="A3096" s="3" t="n">
        <v>46207</v>
      </c>
      <c r="B3096" s="4" t="s">
        <v>1091</v>
      </c>
      <c r="C3096" s="4" t="n">
        <v>9</v>
      </c>
      <c r="D3096" s="4" t="n">
        <v>10</v>
      </c>
      <c r="E3096" s="4" t="s">
        <v>2543</v>
      </c>
      <c r="F3096" s="4" t="n">
        <v>6</v>
      </c>
      <c r="G3096" s="4" t="n">
        <v>9</v>
      </c>
      <c r="H3096" s="4" t="n">
        <v>4</v>
      </c>
      <c r="I3096" s="4" t="str">
        <v>×</v>
      </c>
      <c r="J3096" s="4"/>
      <c r="K3096" s="4"/>
      <c r="L3096" s="4"/>
      <c r="M3096" s="5" t="s">
        <v>2677</v>
      </c>
    </row>
    <row r="3097" customFormat="false" ht="15.75" hidden="false" customHeight="false" outlineLevel="0" collapsed="false">
      <c r="A3097" s="3" t="n">
        <v>46207</v>
      </c>
      <c r="B3097" s="4" t="s">
        <v>1091</v>
      </c>
      <c r="C3097" s="4" t="n">
        <v>9</v>
      </c>
      <c r="D3097" s="4" t="n">
        <v>11</v>
      </c>
      <c r="E3097" s="4" t="s">
        <v>1646</v>
      </c>
      <c r="F3097" s="4" t="n">
        <v>31</v>
      </c>
      <c r="G3097" s="4" t="n">
        <v>5</v>
      </c>
      <c r="H3097" s="4" t="n">
        <v>2</v>
      </c>
      <c r="I3097" s="4" t="str">
        <v>○</v>
      </c>
      <c r="J3097" s="4" t="n">
        <v>220</v>
      </c>
      <c r="K3097" s="4"/>
      <c r="L3097" s="4"/>
      <c r="M3097" s="5" t="s">
        <v>2677</v>
      </c>
    </row>
    <row r="3098" customFormat="false" ht="15.75" hidden="false" customHeight="false" outlineLevel="0" collapsed="false">
      <c r="A3098" s="3" t="n">
        <v>46207</v>
      </c>
      <c r="B3098" s="4" t="s">
        <v>1091</v>
      </c>
      <c r="C3098" s="4" t="n">
        <v>9</v>
      </c>
      <c r="D3098" s="4" t="n">
        <v>12</v>
      </c>
      <c r="E3098" s="4" t="s">
        <v>1641</v>
      </c>
      <c r="F3098" s="4" t="n">
        <v>8</v>
      </c>
      <c r="G3098" s="4" t="n">
        <v>8</v>
      </c>
      <c r="H3098" s="4" t="n">
        <v>4</v>
      </c>
      <c r="I3098" s="4" t="str">
        <v>×</v>
      </c>
      <c r="J3098" s="4"/>
      <c r="K3098" s="4"/>
      <c r="L3098" s="4"/>
      <c r="M3098" s="5" t="s">
        <v>2677</v>
      </c>
    </row>
    <row r="3099" customFormat="false" ht="15.75" hidden="false" customHeight="false" outlineLevel="0" collapsed="false">
      <c r="A3099" s="3" t="n">
        <v>46207</v>
      </c>
      <c r="B3099" s="4" t="s">
        <v>1091</v>
      </c>
      <c r="C3099" s="4" t="n">
        <v>10</v>
      </c>
      <c r="D3099" s="4" t="n">
        <v>1</v>
      </c>
      <c r="E3099" s="4" t="s">
        <v>2155</v>
      </c>
      <c r="F3099" s="4" t="n">
        <v>4</v>
      </c>
      <c r="G3099" s="4" t="n">
        <v>9</v>
      </c>
      <c r="H3099" s="4" t="n">
        <v>4</v>
      </c>
      <c r="I3099" s="4" t="str">
        <v>×</v>
      </c>
      <c r="J3099" s="4"/>
      <c r="K3099" s="4"/>
      <c r="L3099" s="4"/>
      <c r="M3099" s="5" t="s">
        <v>2677</v>
      </c>
    </row>
    <row r="3100" customFormat="false" ht="15.75" hidden="false" customHeight="false" outlineLevel="0" collapsed="false">
      <c r="A3100" s="3" t="n">
        <v>46207</v>
      </c>
      <c r="B3100" s="4" t="s">
        <v>1091</v>
      </c>
      <c r="C3100" s="4" t="n">
        <v>10</v>
      </c>
      <c r="D3100" s="4" t="n">
        <v>2</v>
      </c>
      <c r="E3100" s="4" t="s">
        <v>2894</v>
      </c>
      <c r="F3100" s="4" t="n">
        <v>6</v>
      </c>
      <c r="G3100" s="4" t="n">
        <v>8</v>
      </c>
      <c r="H3100" s="4" t="n">
        <v>4</v>
      </c>
      <c r="I3100" s="4" t="str">
        <v>×</v>
      </c>
      <c r="J3100" s="4"/>
      <c r="K3100" s="4"/>
      <c r="L3100" s="4"/>
      <c r="M3100" s="5" t="s">
        <v>2677</v>
      </c>
    </row>
    <row r="3101" customFormat="false" ht="15.75" hidden="false" customHeight="false" outlineLevel="0" collapsed="false">
      <c r="A3101" s="3" t="n">
        <v>46207</v>
      </c>
      <c r="B3101" s="4" t="s">
        <v>1091</v>
      </c>
      <c r="C3101" s="4" t="n">
        <v>10</v>
      </c>
      <c r="D3101" s="4" t="n">
        <v>3</v>
      </c>
      <c r="E3101" s="4" t="s">
        <v>2895</v>
      </c>
      <c r="F3101" s="4" t="n">
        <v>13</v>
      </c>
      <c r="G3101" s="4" t="n">
        <v>7</v>
      </c>
      <c r="H3101" s="4" t="n">
        <v>4</v>
      </c>
      <c r="I3101" s="4" t="str">
        <v>×</v>
      </c>
      <c r="J3101" s="4"/>
      <c r="K3101" s="4"/>
      <c r="L3101" s="4"/>
      <c r="M3101" s="5" t="s">
        <v>2677</v>
      </c>
    </row>
    <row r="3102" customFormat="false" ht="15.75" hidden="false" customHeight="false" outlineLevel="0" collapsed="false">
      <c r="A3102" s="3" t="n">
        <v>46207</v>
      </c>
      <c r="B3102" s="4" t="s">
        <v>1091</v>
      </c>
      <c r="C3102" s="4" t="n">
        <v>10</v>
      </c>
      <c r="D3102" s="4" t="n">
        <v>4</v>
      </c>
      <c r="E3102" s="4" t="s">
        <v>2896</v>
      </c>
      <c r="F3102" s="4" t="n">
        <v>34</v>
      </c>
      <c r="G3102" s="4" t="n">
        <v>3</v>
      </c>
      <c r="H3102" s="4" t="n">
        <v>3</v>
      </c>
      <c r="I3102" s="4" t="str">
        <v>○</v>
      </c>
      <c r="J3102" s="4" t="n">
        <v>200</v>
      </c>
      <c r="K3102" s="4"/>
      <c r="L3102" s="4"/>
      <c r="M3102" s="5" t="s">
        <v>2677</v>
      </c>
    </row>
    <row r="3103" customFormat="false" ht="15.75" hidden="false" customHeight="false" outlineLevel="0" collapsed="false">
      <c r="A3103" s="3" t="n">
        <v>46207</v>
      </c>
      <c r="B3103" s="4" t="s">
        <v>1091</v>
      </c>
      <c r="C3103" s="4" t="n">
        <v>10</v>
      </c>
      <c r="D3103" s="4" t="n">
        <v>5</v>
      </c>
      <c r="E3103" s="4" t="s">
        <v>2897</v>
      </c>
      <c r="F3103" s="4" t="n">
        <v>17</v>
      </c>
      <c r="G3103" s="4" t="n">
        <v>6</v>
      </c>
      <c r="H3103" s="4" t="n">
        <v>4</v>
      </c>
      <c r="I3103" s="4" t="str">
        <v>×</v>
      </c>
      <c r="J3103" s="4"/>
      <c r="K3103" s="4"/>
      <c r="L3103" s="4"/>
      <c r="M3103" s="5" t="s">
        <v>2677</v>
      </c>
    </row>
    <row r="3104" customFormat="false" ht="15.75" hidden="false" customHeight="false" outlineLevel="0" collapsed="false">
      <c r="A3104" s="3" t="n">
        <v>46207</v>
      </c>
      <c r="B3104" s="4" t="s">
        <v>1091</v>
      </c>
      <c r="C3104" s="4" t="n">
        <v>10</v>
      </c>
      <c r="D3104" s="4" t="n">
        <v>6</v>
      </c>
      <c r="E3104" s="4" t="s">
        <v>2898</v>
      </c>
      <c r="F3104" s="4" t="n">
        <v>31</v>
      </c>
      <c r="G3104" s="4" t="n">
        <v>4</v>
      </c>
      <c r="H3104" s="4" t="n">
        <v>1</v>
      </c>
      <c r="I3104" s="4" t="str">
        <v>○</v>
      </c>
      <c r="J3104" s="4" t="n">
        <v>180</v>
      </c>
      <c r="K3104" s="4"/>
      <c r="L3104" s="4"/>
      <c r="M3104" s="5" t="s">
        <v>2677</v>
      </c>
    </row>
    <row r="3105" customFormat="false" ht="15.75" hidden="false" customHeight="false" outlineLevel="0" collapsed="false">
      <c r="A3105" s="3" t="n">
        <v>46207</v>
      </c>
      <c r="B3105" s="4" t="s">
        <v>1091</v>
      </c>
      <c r="C3105" s="4" t="n">
        <v>10</v>
      </c>
      <c r="D3105" s="4" t="n">
        <v>7</v>
      </c>
      <c r="E3105" s="4" t="s">
        <v>2899</v>
      </c>
      <c r="F3105" s="4" t="n">
        <v>44</v>
      </c>
      <c r="G3105" s="4" t="n">
        <v>1</v>
      </c>
      <c r="H3105" s="4" t="n">
        <v>4</v>
      </c>
      <c r="I3105" s="4" t="str">
        <v>×</v>
      </c>
      <c r="J3105" s="4"/>
      <c r="K3105" s="4"/>
      <c r="L3105" s="4"/>
      <c r="M3105" s="5" t="s">
        <v>2677</v>
      </c>
    </row>
    <row r="3106" customFormat="false" ht="15.75" hidden="false" customHeight="false" outlineLevel="0" collapsed="false">
      <c r="A3106" s="3" t="n">
        <v>46207</v>
      </c>
      <c r="B3106" s="4" t="s">
        <v>1091</v>
      </c>
      <c r="C3106" s="4" t="n">
        <v>10</v>
      </c>
      <c r="D3106" s="4" t="n">
        <v>8</v>
      </c>
      <c r="E3106" s="4" t="s">
        <v>2900</v>
      </c>
      <c r="F3106" s="4" t="n">
        <v>44</v>
      </c>
      <c r="G3106" s="4" t="n">
        <v>1</v>
      </c>
      <c r="H3106" s="4" t="n">
        <v>2</v>
      </c>
      <c r="I3106" s="4" t="str">
        <v>○</v>
      </c>
      <c r="J3106" s="4" t="n">
        <v>200</v>
      </c>
      <c r="K3106" s="4"/>
      <c r="L3106" s="4"/>
      <c r="M3106" s="5" t="s">
        <v>2677</v>
      </c>
    </row>
    <row r="3107" customFormat="false" ht="15.75" hidden="false" customHeight="false" outlineLevel="0" collapsed="false">
      <c r="A3107" s="3" t="n">
        <v>46207</v>
      </c>
      <c r="B3107" s="4" t="s">
        <v>1091</v>
      </c>
      <c r="C3107" s="4" t="n">
        <v>10</v>
      </c>
      <c r="D3107" s="4" t="n">
        <v>9</v>
      </c>
      <c r="E3107" s="4" t="s">
        <v>2901</v>
      </c>
      <c r="F3107" s="4" t="n">
        <v>20</v>
      </c>
      <c r="G3107" s="4" t="n">
        <v>5</v>
      </c>
      <c r="H3107" s="4" t="n">
        <v>4</v>
      </c>
      <c r="I3107" s="4" t="str">
        <v>×</v>
      </c>
      <c r="J3107" s="4"/>
      <c r="K3107" s="4"/>
      <c r="L3107" s="4"/>
      <c r="M3107" s="5" t="s">
        <v>2677</v>
      </c>
    </row>
    <row r="3108" customFormat="false" ht="15.75" hidden="false" customHeight="false" outlineLevel="0" collapsed="false">
      <c r="A3108" s="3" t="n">
        <v>46207</v>
      </c>
      <c r="B3108" s="4" t="s">
        <v>1091</v>
      </c>
      <c r="C3108" s="4" t="n">
        <v>10</v>
      </c>
      <c r="D3108" s="4" t="n">
        <v>10</v>
      </c>
      <c r="E3108" s="4" t="s">
        <v>2902</v>
      </c>
      <c r="F3108" s="4" t="n">
        <v>44</v>
      </c>
      <c r="G3108" s="4" t="n">
        <v>1</v>
      </c>
      <c r="H3108" s="4" t="n">
        <v>4</v>
      </c>
      <c r="I3108" s="4" t="str">
        <v>×</v>
      </c>
      <c r="J3108" s="4"/>
      <c r="K3108" s="4"/>
      <c r="L3108" s="4"/>
      <c r="M3108" s="5" t="s">
        <v>2677</v>
      </c>
    </row>
    <row r="3109" customFormat="false" ht="15.75" hidden="false" customHeight="false" outlineLevel="0" collapsed="false">
      <c r="A3109" s="3" t="n">
        <v>46207</v>
      </c>
      <c r="B3109" s="4" t="s">
        <v>1091</v>
      </c>
      <c r="C3109" s="4" t="n">
        <v>10</v>
      </c>
      <c r="D3109" s="4" t="n">
        <v>11</v>
      </c>
      <c r="E3109" s="4" t="s">
        <v>2903</v>
      </c>
      <c r="F3109" s="4" t="n">
        <v>17</v>
      </c>
      <c r="G3109" s="4" t="n">
        <v>6</v>
      </c>
      <c r="H3109" s="4" t="n">
        <v>4</v>
      </c>
      <c r="I3109" s="4" t="str">
        <v>×</v>
      </c>
      <c r="J3109" s="4"/>
      <c r="K3109" s="4"/>
      <c r="L3109" s="4"/>
      <c r="M3109" s="5" t="s">
        <v>2677</v>
      </c>
    </row>
    <row r="3110" customFormat="false" ht="15.75" hidden="false" customHeight="false" outlineLevel="0" collapsed="false">
      <c r="A3110" s="3" t="n">
        <v>46207</v>
      </c>
      <c r="B3110" s="4" t="s">
        <v>1091</v>
      </c>
      <c r="C3110" s="4" t="n">
        <v>10</v>
      </c>
      <c r="D3110" s="4" t="n">
        <v>12</v>
      </c>
      <c r="E3110" s="4" t="s">
        <v>2904</v>
      </c>
      <c r="F3110" s="4" t="n">
        <v>37</v>
      </c>
      <c r="G3110" s="4" t="n">
        <v>2</v>
      </c>
      <c r="H3110" s="4" t="n">
        <v>4</v>
      </c>
      <c r="I3110" s="4" t="str">
        <v>×</v>
      </c>
      <c r="J3110" s="4"/>
      <c r="K3110" s="4"/>
      <c r="L3110" s="4"/>
      <c r="M3110" s="5" t="s">
        <v>2677</v>
      </c>
    </row>
    <row r="3111" customFormat="false" ht="15.75" hidden="false" customHeight="false" outlineLevel="0" collapsed="false">
      <c r="A3111" s="3" t="n">
        <v>46207</v>
      </c>
      <c r="B3111" s="4" t="s">
        <v>1091</v>
      </c>
      <c r="C3111" s="4" t="n">
        <v>11</v>
      </c>
      <c r="D3111" s="4" t="n">
        <v>1</v>
      </c>
      <c r="E3111" s="4" t="s">
        <v>2905</v>
      </c>
      <c r="F3111" s="4" t="n">
        <v>4</v>
      </c>
      <c r="G3111" s="4" t="n">
        <v>9</v>
      </c>
      <c r="H3111" s="4" t="n">
        <v>3</v>
      </c>
      <c r="I3111" s="4" t="str">
        <v>○</v>
      </c>
      <c r="J3111" s="4" t="n">
        <v>690</v>
      </c>
      <c r="K3111" s="4"/>
      <c r="L3111" s="4"/>
      <c r="M3111" s="5" t="s">
        <v>2677</v>
      </c>
    </row>
    <row r="3112" customFormat="false" ht="15.75" hidden="false" customHeight="false" outlineLevel="0" collapsed="false">
      <c r="A3112" s="3" t="n">
        <v>46207</v>
      </c>
      <c r="B3112" s="4" t="s">
        <v>1091</v>
      </c>
      <c r="C3112" s="4" t="n">
        <v>11</v>
      </c>
      <c r="D3112" s="4" t="n">
        <v>2</v>
      </c>
      <c r="E3112" s="4" t="s">
        <v>2906</v>
      </c>
      <c r="F3112" s="4" t="n">
        <v>23</v>
      </c>
      <c r="G3112" s="4" t="n">
        <v>4</v>
      </c>
      <c r="H3112" s="4" t="n">
        <v>4</v>
      </c>
      <c r="I3112" s="4" t="str">
        <v>×</v>
      </c>
      <c r="J3112" s="4"/>
      <c r="K3112" s="4"/>
      <c r="L3112" s="4"/>
      <c r="M3112" s="5" t="s">
        <v>2677</v>
      </c>
    </row>
    <row r="3113" customFormat="false" ht="15.75" hidden="false" customHeight="false" outlineLevel="0" collapsed="false">
      <c r="A3113" s="3" t="n">
        <v>46207</v>
      </c>
      <c r="B3113" s="4" t="s">
        <v>1091</v>
      </c>
      <c r="C3113" s="4" t="n">
        <v>11</v>
      </c>
      <c r="D3113" s="4" t="n">
        <v>3</v>
      </c>
      <c r="E3113" s="4" t="s">
        <v>2907</v>
      </c>
      <c r="F3113" s="4" t="n">
        <v>86</v>
      </c>
      <c r="G3113" s="4" t="n">
        <v>1</v>
      </c>
      <c r="H3113" s="4" t="n">
        <v>1</v>
      </c>
      <c r="I3113" s="4" t="str">
        <v>○</v>
      </c>
      <c r="J3113" s="4" t="n">
        <v>120</v>
      </c>
      <c r="K3113" s="4" t="n">
        <v>1.1</v>
      </c>
      <c r="L3113" s="4" t="n">
        <v>1.5</v>
      </c>
      <c r="M3113" s="5" t="s">
        <v>2677</v>
      </c>
    </row>
    <row r="3114" customFormat="false" ht="15.75" hidden="false" customHeight="false" outlineLevel="0" collapsed="false">
      <c r="A3114" s="3" t="n">
        <v>46207</v>
      </c>
      <c r="B3114" s="4" t="s">
        <v>1091</v>
      </c>
      <c r="C3114" s="4" t="n">
        <v>11</v>
      </c>
      <c r="D3114" s="4" t="n">
        <v>4</v>
      </c>
      <c r="E3114" s="4" t="s">
        <v>2908</v>
      </c>
      <c r="F3114" s="4" t="n">
        <v>34</v>
      </c>
      <c r="G3114" s="4" t="n">
        <v>2</v>
      </c>
      <c r="H3114" s="4" t="n">
        <v>2</v>
      </c>
      <c r="I3114" s="4" t="str">
        <v>○</v>
      </c>
      <c r="J3114" s="4" t="n">
        <v>120</v>
      </c>
      <c r="K3114" s="4"/>
      <c r="L3114" s="4"/>
      <c r="M3114" s="5" t="s">
        <v>2677</v>
      </c>
    </row>
    <row r="3115" customFormat="false" ht="15.75" hidden="false" customHeight="false" outlineLevel="0" collapsed="false">
      <c r="A3115" s="3" t="n">
        <v>46207</v>
      </c>
      <c r="B3115" s="4" t="s">
        <v>1091</v>
      </c>
      <c r="C3115" s="4" t="n">
        <v>11</v>
      </c>
      <c r="D3115" s="4" t="n">
        <v>5</v>
      </c>
      <c r="E3115" s="4" t="s">
        <v>2909</v>
      </c>
      <c r="F3115" s="4" t="n">
        <v>23</v>
      </c>
      <c r="G3115" s="4" t="n">
        <v>4</v>
      </c>
      <c r="H3115" s="4" t="n">
        <v>4</v>
      </c>
      <c r="I3115" s="4" t="str">
        <v>×</v>
      </c>
      <c r="J3115" s="4"/>
      <c r="K3115" s="4"/>
      <c r="L3115" s="4"/>
      <c r="M3115" s="5" t="s">
        <v>2677</v>
      </c>
    </row>
    <row r="3116" customFormat="false" ht="15.75" hidden="false" customHeight="false" outlineLevel="0" collapsed="false">
      <c r="A3116" s="3" t="n">
        <v>46207</v>
      </c>
      <c r="B3116" s="4" t="s">
        <v>1091</v>
      </c>
      <c r="C3116" s="4" t="n">
        <v>11</v>
      </c>
      <c r="D3116" s="4" t="n">
        <v>6</v>
      </c>
      <c r="E3116" s="4" t="s">
        <v>1684</v>
      </c>
      <c r="F3116" s="4" t="n">
        <v>20</v>
      </c>
      <c r="G3116" s="4" t="n">
        <v>5</v>
      </c>
      <c r="H3116" s="4" t="n">
        <v>4</v>
      </c>
      <c r="I3116" s="4" t="str">
        <v>×</v>
      </c>
      <c r="J3116" s="4"/>
      <c r="K3116" s="4"/>
      <c r="L3116" s="4"/>
      <c r="M3116" s="5" t="s">
        <v>2677</v>
      </c>
    </row>
    <row r="3117" customFormat="false" ht="15.75" hidden="false" customHeight="false" outlineLevel="0" collapsed="false">
      <c r="A3117" s="3" t="n">
        <v>46207</v>
      </c>
      <c r="B3117" s="4" t="s">
        <v>1091</v>
      </c>
      <c r="C3117" s="4" t="n">
        <v>11</v>
      </c>
      <c r="D3117" s="4" t="n">
        <v>7</v>
      </c>
      <c r="E3117" s="4" t="s">
        <v>2910</v>
      </c>
      <c r="F3117" s="4" t="n">
        <v>6</v>
      </c>
      <c r="G3117" s="4" t="n">
        <v>8</v>
      </c>
      <c r="H3117" s="4" t="n">
        <v>4</v>
      </c>
      <c r="I3117" s="4" t="str">
        <v>×</v>
      </c>
      <c r="J3117" s="4"/>
      <c r="K3117" s="4"/>
      <c r="L3117" s="4"/>
      <c r="M3117" s="5" t="s">
        <v>2677</v>
      </c>
    </row>
    <row r="3118" customFormat="false" ht="15.75" hidden="false" customHeight="false" outlineLevel="0" collapsed="false">
      <c r="A3118" s="3" t="n">
        <v>46207</v>
      </c>
      <c r="B3118" s="4" t="s">
        <v>1091</v>
      </c>
      <c r="C3118" s="4" t="n">
        <v>11</v>
      </c>
      <c r="D3118" s="4" t="n">
        <v>8</v>
      </c>
      <c r="E3118" s="4" t="s">
        <v>2911</v>
      </c>
      <c r="F3118" s="4" t="n">
        <v>8</v>
      </c>
      <c r="G3118" s="4" t="n">
        <v>7</v>
      </c>
      <c r="H3118" s="4" t="n">
        <v>4</v>
      </c>
      <c r="I3118" s="4" t="str">
        <v>×</v>
      </c>
      <c r="J3118" s="4"/>
      <c r="K3118" s="4"/>
      <c r="L3118" s="4"/>
      <c r="M3118" s="5" t="s">
        <v>2677</v>
      </c>
    </row>
    <row r="3119" customFormat="false" ht="15.75" hidden="false" customHeight="false" outlineLevel="0" collapsed="false">
      <c r="A3119" s="3" t="n">
        <v>46207</v>
      </c>
      <c r="B3119" s="4" t="s">
        <v>1091</v>
      </c>
      <c r="C3119" s="4" t="n">
        <v>11</v>
      </c>
      <c r="D3119" s="4" t="n">
        <v>9</v>
      </c>
      <c r="E3119" s="4" t="s">
        <v>2912</v>
      </c>
      <c r="F3119" s="4" t="n">
        <v>10</v>
      </c>
      <c r="G3119" s="4" t="n">
        <v>6</v>
      </c>
      <c r="H3119" s="4" t="n">
        <v>4</v>
      </c>
      <c r="I3119" s="4" t="str">
        <v>×</v>
      </c>
      <c r="J3119" s="4"/>
      <c r="K3119" s="4"/>
      <c r="L3119" s="4"/>
      <c r="M3119" s="5" t="s">
        <v>2677</v>
      </c>
    </row>
    <row r="3120" customFormat="false" ht="15.75" hidden="false" customHeight="false" outlineLevel="0" collapsed="false">
      <c r="A3120" s="3" t="n">
        <v>46207</v>
      </c>
      <c r="B3120" s="4" t="s">
        <v>1091</v>
      </c>
      <c r="C3120" s="4" t="n">
        <v>11</v>
      </c>
      <c r="D3120" s="4" t="n">
        <v>10</v>
      </c>
      <c r="E3120" s="4" t="s">
        <v>2913</v>
      </c>
      <c r="F3120" s="4" t="n">
        <v>6</v>
      </c>
      <c r="G3120" s="4" t="n">
        <v>8</v>
      </c>
      <c r="H3120" s="4" t="n">
        <v>4</v>
      </c>
      <c r="I3120" s="4" t="str">
        <v>×</v>
      </c>
      <c r="J3120" s="4"/>
      <c r="K3120" s="4"/>
      <c r="L3120" s="4"/>
      <c r="M3120" s="5" t="s">
        <v>2677</v>
      </c>
    </row>
    <row r="3121" customFormat="false" ht="15.75" hidden="false" customHeight="false" outlineLevel="0" collapsed="false">
      <c r="A3121" s="3" t="n">
        <v>46207</v>
      </c>
      <c r="B3121" s="4" t="s">
        <v>1091</v>
      </c>
      <c r="C3121" s="4" t="n">
        <v>11</v>
      </c>
      <c r="D3121" s="4" t="n">
        <v>11</v>
      </c>
      <c r="E3121" s="4" t="s">
        <v>2914</v>
      </c>
      <c r="F3121" s="4" t="n">
        <v>34</v>
      </c>
      <c r="G3121" s="4" t="n">
        <v>2</v>
      </c>
      <c r="H3121" s="4" t="n">
        <v>4</v>
      </c>
      <c r="I3121" s="4" t="str">
        <v>×</v>
      </c>
      <c r="J3121" s="4"/>
      <c r="K3121" s="4"/>
      <c r="L3121" s="4"/>
      <c r="M3121" s="5" t="s">
        <v>2677</v>
      </c>
    </row>
    <row r="3122" customFormat="false" ht="15.75" hidden="false" customHeight="false" outlineLevel="0" collapsed="false">
      <c r="A3122" s="3" t="n">
        <v>46207</v>
      </c>
      <c r="B3122" s="4" t="s">
        <v>1091</v>
      </c>
      <c r="C3122" s="4" t="n">
        <v>11</v>
      </c>
      <c r="D3122" s="4" t="n">
        <v>12</v>
      </c>
      <c r="E3122" s="4" t="s">
        <v>2915</v>
      </c>
      <c r="F3122" s="4" t="n">
        <v>31</v>
      </c>
      <c r="G3122" s="4" t="n">
        <v>3</v>
      </c>
      <c r="H3122" s="4" t="n">
        <v>4</v>
      </c>
      <c r="I3122" s="4" t="str">
        <v>×</v>
      </c>
      <c r="J3122" s="4"/>
      <c r="K3122" s="4"/>
      <c r="L3122" s="4"/>
      <c r="M3122" s="5" t="s">
        <v>2677</v>
      </c>
    </row>
    <row r="3123" customFormat="false" ht="15.75" hidden="false" customHeight="false" outlineLevel="0" collapsed="false">
      <c r="A3123" s="3" t="n">
        <v>46207</v>
      </c>
      <c r="B3123" s="4" t="s">
        <v>1091</v>
      </c>
      <c r="C3123" s="4" t="n">
        <v>11</v>
      </c>
      <c r="D3123" s="4" t="n">
        <v>13</v>
      </c>
      <c r="E3123" s="4" t="s">
        <v>2916</v>
      </c>
      <c r="F3123" s="4" t="n">
        <v>8</v>
      </c>
      <c r="G3123" s="4" t="n">
        <v>7</v>
      </c>
      <c r="H3123" s="4" t="n">
        <v>4</v>
      </c>
      <c r="I3123" s="4" t="str">
        <v>×</v>
      </c>
      <c r="J3123" s="4"/>
      <c r="K3123" s="4"/>
      <c r="L3123" s="4"/>
      <c r="M3123" s="5" t="s">
        <v>2677</v>
      </c>
    </row>
    <row r="3124" customFormat="false" ht="15.75" hidden="false" customHeight="false" outlineLevel="0" collapsed="false">
      <c r="A3124" s="3" t="n">
        <v>46207</v>
      </c>
      <c r="B3124" s="4" t="s">
        <v>1091</v>
      </c>
      <c r="C3124" s="4" t="n">
        <v>11</v>
      </c>
      <c r="D3124" s="4" t="n">
        <v>14</v>
      </c>
      <c r="E3124" s="4" t="s">
        <v>2917</v>
      </c>
      <c r="F3124" s="4" t="n">
        <v>20</v>
      </c>
      <c r="G3124" s="4" t="n">
        <v>5</v>
      </c>
      <c r="H3124" s="4" t="n">
        <v>4</v>
      </c>
      <c r="I3124" s="4" t="str">
        <v>×</v>
      </c>
      <c r="J3124" s="4"/>
      <c r="K3124" s="4"/>
      <c r="L3124" s="4"/>
      <c r="M3124" s="5" t="s">
        <v>2677</v>
      </c>
    </row>
    <row r="3125" customFormat="false" ht="15.75" hidden="false" customHeight="false" outlineLevel="0" collapsed="false">
      <c r="A3125" s="3" t="n">
        <v>46207</v>
      </c>
      <c r="B3125" s="4" t="s">
        <v>1091</v>
      </c>
      <c r="C3125" s="4" t="n">
        <v>12</v>
      </c>
      <c r="D3125" s="4" t="n">
        <v>1</v>
      </c>
      <c r="E3125" s="4" t="s">
        <v>2164</v>
      </c>
      <c r="F3125" s="4" t="n">
        <v>58</v>
      </c>
      <c r="G3125" s="4" t="n">
        <v>1</v>
      </c>
      <c r="H3125" s="4" t="n">
        <v>2</v>
      </c>
      <c r="I3125" s="4" t="str">
        <v>○</v>
      </c>
      <c r="J3125" s="4" t="n">
        <v>140</v>
      </c>
      <c r="K3125" s="4"/>
      <c r="L3125" s="4"/>
      <c r="M3125" s="5" t="s">
        <v>2677</v>
      </c>
    </row>
    <row r="3126" customFormat="false" ht="15.75" hidden="false" customHeight="false" outlineLevel="0" collapsed="false">
      <c r="A3126" s="3" t="n">
        <v>46207</v>
      </c>
      <c r="B3126" s="4" t="s">
        <v>1091</v>
      </c>
      <c r="C3126" s="4" t="n">
        <v>12</v>
      </c>
      <c r="D3126" s="4" t="n">
        <v>2</v>
      </c>
      <c r="E3126" s="4" t="s">
        <v>2918</v>
      </c>
      <c r="F3126" s="4" t="n">
        <v>4</v>
      </c>
      <c r="G3126" s="4" t="n">
        <v>9</v>
      </c>
      <c r="H3126" s="4" t="n">
        <v>4</v>
      </c>
      <c r="I3126" s="4" t="str">
        <v>×</v>
      </c>
      <c r="J3126" s="4"/>
      <c r="K3126" s="4"/>
      <c r="L3126" s="4"/>
      <c r="M3126" s="5" t="s">
        <v>2677</v>
      </c>
    </row>
    <row r="3127" customFormat="false" ht="15.75" hidden="false" customHeight="false" outlineLevel="0" collapsed="false">
      <c r="A3127" s="3" t="n">
        <v>46207</v>
      </c>
      <c r="B3127" s="4" t="s">
        <v>1091</v>
      </c>
      <c r="C3127" s="4" t="n">
        <v>12</v>
      </c>
      <c r="D3127" s="4" t="n">
        <v>3</v>
      </c>
      <c r="E3127" s="4" t="s">
        <v>2919</v>
      </c>
      <c r="F3127" s="4" t="n">
        <v>39</v>
      </c>
      <c r="G3127" s="4" t="n">
        <v>2</v>
      </c>
      <c r="H3127" s="4" t="n">
        <v>4</v>
      </c>
      <c r="I3127" s="4" t="str">
        <v>×</v>
      </c>
      <c r="J3127" s="4"/>
      <c r="K3127" s="4"/>
      <c r="L3127" s="4"/>
      <c r="M3127" s="5" t="s">
        <v>2677</v>
      </c>
    </row>
    <row r="3128" customFormat="false" ht="15.75" hidden="false" customHeight="false" outlineLevel="0" collapsed="false">
      <c r="A3128" s="3" t="n">
        <v>46207</v>
      </c>
      <c r="B3128" s="4" t="s">
        <v>1091</v>
      </c>
      <c r="C3128" s="4" t="n">
        <v>12</v>
      </c>
      <c r="D3128" s="4" t="n">
        <v>4</v>
      </c>
      <c r="E3128" s="4" t="s">
        <v>405</v>
      </c>
      <c r="F3128" s="4" t="n">
        <v>29</v>
      </c>
      <c r="G3128" s="4" t="n">
        <v>4</v>
      </c>
      <c r="H3128" s="4" t="n">
        <v>4</v>
      </c>
      <c r="I3128" s="4" t="str">
        <v>×</v>
      </c>
      <c r="J3128" s="4"/>
      <c r="K3128" s="4"/>
      <c r="L3128" s="4"/>
      <c r="M3128" s="5" t="s">
        <v>2677</v>
      </c>
    </row>
    <row r="3129" customFormat="false" ht="15.75" hidden="false" customHeight="false" outlineLevel="0" collapsed="false">
      <c r="A3129" s="3" t="n">
        <v>46207</v>
      </c>
      <c r="B3129" s="4" t="s">
        <v>1091</v>
      </c>
      <c r="C3129" s="4" t="n">
        <v>12</v>
      </c>
      <c r="D3129" s="4" t="n">
        <v>5</v>
      </c>
      <c r="E3129" s="4" t="s">
        <v>2547</v>
      </c>
      <c r="F3129" s="4" t="n">
        <v>8</v>
      </c>
      <c r="G3129" s="4" t="n">
        <v>7</v>
      </c>
      <c r="H3129" s="4" t="n">
        <v>4</v>
      </c>
      <c r="I3129" s="4" t="str">
        <v>×</v>
      </c>
      <c r="J3129" s="4"/>
      <c r="K3129" s="4"/>
      <c r="L3129" s="4"/>
      <c r="M3129" s="5" t="s">
        <v>2677</v>
      </c>
    </row>
    <row r="3130" customFormat="false" ht="15.75" hidden="false" customHeight="false" outlineLevel="0" collapsed="false">
      <c r="A3130" s="3" t="n">
        <v>46207</v>
      </c>
      <c r="B3130" s="4" t="s">
        <v>1091</v>
      </c>
      <c r="C3130" s="4" t="n">
        <v>12</v>
      </c>
      <c r="D3130" s="4" t="n">
        <v>6</v>
      </c>
      <c r="E3130" s="4" t="s">
        <v>2133</v>
      </c>
      <c r="F3130" s="4" t="n">
        <v>37</v>
      </c>
      <c r="G3130" s="4" t="n">
        <v>3</v>
      </c>
      <c r="H3130" s="4" t="n">
        <v>1</v>
      </c>
      <c r="I3130" s="4" t="str">
        <v>○</v>
      </c>
      <c r="J3130" s="4" t="n">
        <v>350</v>
      </c>
      <c r="K3130" s="4"/>
      <c r="L3130" s="4"/>
      <c r="M3130" s="5" t="s">
        <v>2677</v>
      </c>
    </row>
    <row r="3131" customFormat="false" ht="15.75" hidden="false" customHeight="false" outlineLevel="0" collapsed="false">
      <c r="A3131" s="3" t="n">
        <v>46207</v>
      </c>
      <c r="B3131" s="4" t="s">
        <v>1091</v>
      </c>
      <c r="C3131" s="4" t="n">
        <v>12</v>
      </c>
      <c r="D3131" s="4" t="n">
        <v>7</v>
      </c>
      <c r="E3131" s="4" t="s">
        <v>2920</v>
      </c>
      <c r="F3131" s="4" t="n">
        <v>25</v>
      </c>
      <c r="G3131" s="4" t="n">
        <v>5</v>
      </c>
      <c r="H3131" s="4" t="n">
        <v>3</v>
      </c>
      <c r="I3131" s="4" t="str">
        <v>○</v>
      </c>
      <c r="J3131" s="4" t="n">
        <v>250</v>
      </c>
      <c r="K3131" s="4"/>
      <c r="L3131" s="4"/>
      <c r="M3131" s="5" t="s">
        <v>2677</v>
      </c>
    </row>
    <row r="3132" customFormat="false" ht="15.75" hidden="false" customHeight="false" outlineLevel="0" collapsed="false">
      <c r="A3132" s="3" t="n">
        <v>46207</v>
      </c>
      <c r="B3132" s="4" t="s">
        <v>1091</v>
      </c>
      <c r="C3132" s="4" t="n">
        <v>12</v>
      </c>
      <c r="D3132" s="4" t="n">
        <v>8</v>
      </c>
      <c r="E3132" s="4" t="s">
        <v>1639</v>
      </c>
      <c r="F3132" s="4" t="n">
        <v>7</v>
      </c>
      <c r="G3132" s="4" t="n">
        <v>8</v>
      </c>
      <c r="H3132" s="4" t="n">
        <v>4</v>
      </c>
      <c r="I3132" s="4" t="str">
        <v>×</v>
      </c>
      <c r="J3132" s="4"/>
      <c r="K3132" s="4"/>
      <c r="L3132" s="4"/>
      <c r="M3132" s="5" t="s">
        <v>2677</v>
      </c>
    </row>
    <row r="3133" customFormat="false" ht="15.75" hidden="false" customHeight="false" outlineLevel="0" collapsed="false">
      <c r="A3133" s="3" t="n">
        <v>46207</v>
      </c>
      <c r="B3133" s="4" t="s">
        <v>1091</v>
      </c>
      <c r="C3133" s="4" t="n">
        <v>12</v>
      </c>
      <c r="D3133" s="4" t="n">
        <v>9</v>
      </c>
      <c r="E3133" s="4" t="s">
        <v>2921</v>
      </c>
      <c r="F3133" s="4" t="n">
        <v>2</v>
      </c>
      <c r="G3133" s="4" t="n">
        <v>11</v>
      </c>
      <c r="H3133" s="4" t="n">
        <v>4</v>
      </c>
      <c r="I3133" s="4" t="str">
        <v>×</v>
      </c>
      <c r="J3133" s="4"/>
      <c r="K3133" s="4"/>
      <c r="L3133" s="4"/>
      <c r="M3133" s="5" t="s">
        <v>2677</v>
      </c>
    </row>
    <row r="3134" customFormat="false" ht="15.75" hidden="false" customHeight="false" outlineLevel="0" collapsed="false">
      <c r="A3134" s="3" t="n">
        <v>46207</v>
      </c>
      <c r="B3134" s="4" t="s">
        <v>1091</v>
      </c>
      <c r="C3134" s="4" t="n">
        <v>12</v>
      </c>
      <c r="D3134" s="4" t="n">
        <v>10</v>
      </c>
      <c r="E3134" s="4" t="s">
        <v>2162</v>
      </c>
      <c r="F3134" s="4" t="n">
        <v>37</v>
      </c>
      <c r="G3134" s="4" t="n">
        <v>3</v>
      </c>
      <c r="H3134" s="4" t="n">
        <v>4</v>
      </c>
      <c r="I3134" s="4" t="str">
        <v>×</v>
      </c>
      <c r="J3134" s="4"/>
      <c r="K3134" s="4"/>
      <c r="L3134" s="4"/>
      <c r="M3134" s="5" t="s">
        <v>2677</v>
      </c>
    </row>
    <row r="3135" customFormat="false" ht="15.75" hidden="false" customHeight="false" outlineLevel="0" collapsed="false">
      <c r="A3135" s="3" t="n">
        <v>46207</v>
      </c>
      <c r="B3135" s="4" t="s">
        <v>1091</v>
      </c>
      <c r="C3135" s="4" t="n">
        <v>12</v>
      </c>
      <c r="D3135" s="4" t="n">
        <v>11</v>
      </c>
      <c r="E3135" s="4" t="s">
        <v>2922</v>
      </c>
      <c r="F3135" s="4" t="n">
        <v>13</v>
      </c>
      <c r="G3135" s="4" t="n">
        <v>6</v>
      </c>
      <c r="H3135" s="4" t="n">
        <v>4</v>
      </c>
      <c r="I3135" s="4" t="str">
        <v>×</v>
      </c>
      <c r="J3135" s="4"/>
      <c r="K3135" s="4"/>
      <c r="L3135" s="4"/>
      <c r="M3135" s="5" t="s">
        <v>2677</v>
      </c>
    </row>
    <row r="3136" customFormat="false" ht="15.75" hidden="false" customHeight="false" outlineLevel="0" collapsed="false">
      <c r="A3136" s="3" t="n">
        <v>46207</v>
      </c>
      <c r="B3136" s="4" t="s">
        <v>1091</v>
      </c>
      <c r="C3136" s="4" t="n">
        <v>12</v>
      </c>
      <c r="D3136" s="4" t="n">
        <v>12</v>
      </c>
      <c r="E3136" s="4" t="s">
        <v>2163</v>
      </c>
      <c r="F3136" s="4" t="n">
        <v>3</v>
      </c>
      <c r="G3136" s="4" t="n">
        <v>10</v>
      </c>
      <c r="H3136" s="4" t="n">
        <v>4</v>
      </c>
      <c r="I3136" s="4" t="str">
        <v>×</v>
      </c>
      <c r="J3136" s="4"/>
      <c r="K3136" s="4"/>
      <c r="L3136" s="4"/>
      <c r="M3136" s="5" t="s">
        <v>2677</v>
      </c>
    </row>
    <row r="3137" customFormat="false" ht="15.75" hidden="false" customHeight="false" outlineLevel="0" collapsed="false">
      <c r="A3137" s="3" t="n">
        <v>46207</v>
      </c>
      <c r="B3137" s="4" t="s">
        <v>1237</v>
      </c>
      <c r="C3137" s="4" t="n">
        <v>1</v>
      </c>
      <c r="D3137" s="4" t="n">
        <v>1</v>
      </c>
      <c r="E3137" s="4" t="s">
        <v>345</v>
      </c>
      <c r="F3137" s="4" t="n">
        <v>8</v>
      </c>
      <c r="G3137" s="4" t="n">
        <v>6</v>
      </c>
      <c r="H3137" s="4" t="n">
        <v>4</v>
      </c>
      <c r="I3137" s="4" t="str">
        <v>×</v>
      </c>
      <c r="J3137" s="4"/>
      <c r="K3137" s="4"/>
      <c r="L3137" s="4"/>
      <c r="M3137" s="5" t="s">
        <v>2677</v>
      </c>
    </row>
    <row r="3138" customFormat="false" ht="15.75" hidden="false" customHeight="false" outlineLevel="0" collapsed="false">
      <c r="A3138" s="3" t="n">
        <v>46207</v>
      </c>
      <c r="B3138" s="4" t="s">
        <v>1237</v>
      </c>
      <c r="C3138" s="4" t="n">
        <v>1</v>
      </c>
      <c r="D3138" s="4" t="n">
        <v>2</v>
      </c>
      <c r="E3138" s="4" t="s">
        <v>1846</v>
      </c>
      <c r="F3138" s="4" t="n">
        <v>67</v>
      </c>
      <c r="G3138" s="4" t="n">
        <v>1</v>
      </c>
      <c r="H3138" s="4" t="n">
        <v>2</v>
      </c>
      <c r="I3138" s="4" t="str">
        <v>○</v>
      </c>
      <c r="J3138" s="4" t="n">
        <v>110</v>
      </c>
      <c r="K3138" s="4"/>
      <c r="L3138" s="4"/>
      <c r="M3138" s="5" t="s">
        <v>2677</v>
      </c>
    </row>
    <row r="3139" customFormat="false" ht="15.75" hidden="false" customHeight="false" outlineLevel="0" collapsed="false">
      <c r="A3139" s="3" t="n">
        <v>46207</v>
      </c>
      <c r="B3139" s="4" t="s">
        <v>1237</v>
      </c>
      <c r="C3139" s="4" t="n">
        <v>1</v>
      </c>
      <c r="D3139" s="4" t="n">
        <v>3</v>
      </c>
      <c r="E3139" s="4" t="s">
        <v>347</v>
      </c>
      <c r="F3139" s="4" t="n">
        <v>58</v>
      </c>
      <c r="G3139" s="4" t="n">
        <v>2</v>
      </c>
      <c r="H3139" s="4" t="n">
        <v>4</v>
      </c>
      <c r="I3139" s="4" t="str">
        <v>×</v>
      </c>
      <c r="J3139" s="4"/>
      <c r="K3139" s="4"/>
      <c r="L3139" s="4"/>
      <c r="M3139" s="5" t="s">
        <v>2677</v>
      </c>
    </row>
    <row r="3140" customFormat="false" ht="15.75" hidden="false" customHeight="false" outlineLevel="0" collapsed="false">
      <c r="A3140" s="3" t="n">
        <v>46207</v>
      </c>
      <c r="B3140" s="4" t="s">
        <v>1237</v>
      </c>
      <c r="C3140" s="4" t="n">
        <v>1</v>
      </c>
      <c r="D3140" s="4" t="n">
        <v>4</v>
      </c>
      <c r="E3140" s="4" t="s">
        <v>2923</v>
      </c>
      <c r="F3140" s="4" t="n">
        <v>8</v>
      </c>
      <c r="G3140" s="4" t="n">
        <v>6</v>
      </c>
      <c r="H3140" s="4" t="n">
        <v>4</v>
      </c>
      <c r="I3140" s="4" t="str">
        <v>×</v>
      </c>
      <c r="J3140" s="4"/>
      <c r="K3140" s="4"/>
      <c r="L3140" s="4"/>
      <c r="M3140" s="5" t="s">
        <v>2677</v>
      </c>
    </row>
    <row r="3141" customFormat="false" ht="15.75" hidden="false" customHeight="false" outlineLevel="0" collapsed="false">
      <c r="A3141" s="3" t="n">
        <v>46207</v>
      </c>
      <c r="B3141" s="4" t="s">
        <v>1237</v>
      </c>
      <c r="C3141" s="4" t="n">
        <v>1</v>
      </c>
      <c r="D3141" s="4" t="n">
        <v>5</v>
      </c>
      <c r="E3141" s="4" t="s">
        <v>350</v>
      </c>
      <c r="F3141" s="4" t="n">
        <v>31</v>
      </c>
      <c r="G3141" s="4" t="n">
        <v>4</v>
      </c>
      <c r="H3141" s="4" t="n">
        <v>3</v>
      </c>
      <c r="I3141" s="4" t="str">
        <v>○</v>
      </c>
      <c r="J3141" s="4" t="n">
        <v>200</v>
      </c>
      <c r="K3141" s="4"/>
      <c r="L3141" s="4"/>
      <c r="M3141" s="5" t="s">
        <v>2677</v>
      </c>
    </row>
    <row r="3142" customFormat="false" ht="15.75" hidden="false" customHeight="false" outlineLevel="0" collapsed="false">
      <c r="A3142" s="3" t="n">
        <v>46207</v>
      </c>
      <c r="B3142" s="4" t="s">
        <v>1237</v>
      </c>
      <c r="C3142" s="4" t="n">
        <v>1</v>
      </c>
      <c r="D3142" s="4" t="n">
        <v>6</v>
      </c>
      <c r="E3142" s="4" t="s">
        <v>2924</v>
      </c>
      <c r="F3142" s="4" t="n">
        <v>15</v>
      </c>
      <c r="G3142" s="4" t="n">
        <v>5</v>
      </c>
      <c r="H3142" s="4" t="n">
        <v>4</v>
      </c>
      <c r="I3142" s="4" t="str">
        <v>×</v>
      </c>
      <c r="J3142" s="4"/>
      <c r="K3142" s="4"/>
      <c r="L3142" s="4"/>
      <c r="M3142" s="5" t="s">
        <v>2677</v>
      </c>
    </row>
    <row r="3143" customFormat="false" ht="15.75" hidden="false" customHeight="false" outlineLevel="0" collapsed="false">
      <c r="A3143" s="3" t="n">
        <v>46207</v>
      </c>
      <c r="B3143" s="4" t="s">
        <v>1237</v>
      </c>
      <c r="C3143" s="4" t="n">
        <v>1</v>
      </c>
      <c r="D3143" s="4" t="n">
        <v>7</v>
      </c>
      <c r="E3143" s="4" t="s">
        <v>1849</v>
      </c>
      <c r="F3143" s="4" t="n">
        <v>41</v>
      </c>
      <c r="G3143" s="4" t="n">
        <v>3</v>
      </c>
      <c r="H3143" s="4" t="n">
        <v>1</v>
      </c>
      <c r="I3143" s="4" t="str">
        <v>○</v>
      </c>
      <c r="J3143" s="4" t="n">
        <v>160</v>
      </c>
      <c r="K3143" s="4"/>
      <c r="L3143" s="4"/>
      <c r="M3143" s="5" t="s">
        <v>2677</v>
      </c>
    </row>
    <row r="3144" customFormat="false" ht="15.75" hidden="false" customHeight="false" outlineLevel="0" collapsed="false">
      <c r="A3144" s="3" t="n">
        <v>46207</v>
      </c>
      <c r="B3144" s="4" t="s">
        <v>1237</v>
      </c>
      <c r="C3144" s="4" t="n">
        <v>1</v>
      </c>
      <c r="D3144" s="4" t="n">
        <v>8</v>
      </c>
      <c r="E3144" s="4" t="s">
        <v>1723</v>
      </c>
      <c r="F3144" s="4" t="n">
        <v>8</v>
      </c>
      <c r="G3144" s="4" t="n">
        <v>6</v>
      </c>
      <c r="H3144" s="4" t="n">
        <v>4</v>
      </c>
      <c r="I3144" s="4" t="str">
        <v>×</v>
      </c>
      <c r="J3144" s="4"/>
      <c r="K3144" s="4"/>
      <c r="L3144" s="4"/>
      <c r="M3144" s="5" t="s">
        <v>2677</v>
      </c>
    </row>
    <row r="3145" customFormat="false" ht="15.75" hidden="false" customHeight="false" outlineLevel="0" collapsed="false">
      <c r="A3145" s="3" t="n">
        <v>46207</v>
      </c>
      <c r="B3145" s="4" t="s">
        <v>1237</v>
      </c>
      <c r="C3145" s="4" t="n">
        <v>1</v>
      </c>
      <c r="D3145" s="4" t="n">
        <v>9</v>
      </c>
      <c r="E3145" s="4" t="s">
        <v>2925</v>
      </c>
      <c r="F3145" s="4" t="n">
        <v>8</v>
      </c>
      <c r="G3145" s="4" t="n">
        <v>6</v>
      </c>
      <c r="H3145" s="4" t="n">
        <v>4</v>
      </c>
      <c r="I3145" s="4" t="str">
        <v>×</v>
      </c>
      <c r="J3145" s="4"/>
      <c r="K3145" s="4"/>
      <c r="L3145" s="4"/>
      <c r="M3145" s="5" t="s">
        <v>2677</v>
      </c>
    </row>
    <row r="3146" customFormat="false" ht="15.75" hidden="false" customHeight="false" outlineLevel="0" collapsed="false">
      <c r="A3146" s="3" t="n">
        <v>46207</v>
      </c>
      <c r="B3146" s="4" t="s">
        <v>1237</v>
      </c>
      <c r="C3146" s="4" t="n">
        <v>2</v>
      </c>
      <c r="D3146" s="4" t="n">
        <v>1</v>
      </c>
      <c r="E3146" s="4" t="s">
        <v>2926</v>
      </c>
      <c r="F3146" s="4" t="n">
        <v>50</v>
      </c>
      <c r="G3146" s="4" t="n">
        <v>2</v>
      </c>
      <c r="H3146" s="4" t="n">
        <v>4</v>
      </c>
      <c r="I3146" s="4" t="str">
        <v>×</v>
      </c>
      <c r="J3146" s="4"/>
      <c r="K3146" s="4"/>
      <c r="L3146" s="4"/>
      <c r="M3146" s="5" t="s">
        <v>2677</v>
      </c>
    </row>
    <row r="3147" customFormat="false" ht="15.75" hidden="false" customHeight="false" outlineLevel="0" collapsed="false">
      <c r="A3147" s="3" t="n">
        <v>46207</v>
      </c>
      <c r="B3147" s="4" t="s">
        <v>1237</v>
      </c>
      <c r="C3147" s="4" t="n">
        <v>2</v>
      </c>
      <c r="D3147" s="4" t="n">
        <v>2</v>
      </c>
      <c r="E3147" s="4" t="s">
        <v>2595</v>
      </c>
      <c r="F3147" s="4" t="n">
        <v>13</v>
      </c>
      <c r="G3147" s="4" t="n">
        <v>8</v>
      </c>
      <c r="H3147" s="4" t="n">
        <v>4</v>
      </c>
      <c r="I3147" s="4" t="str">
        <v>×</v>
      </c>
      <c r="J3147" s="4"/>
      <c r="K3147" s="4"/>
      <c r="L3147" s="4"/>
      <c r="M3147" s="5" t="s">
        <v>2677</v>
      </c>
    </row>
    <row r="3148" customFormat="false" ht="15.75" hidden="false" customHeight="false" outlineLevel="0" collapsed="false">
      <c r="A3148" s="3" t="n">
        <v>46207</v>
      </c>
      <c r="B3148" s="4" t="s">
        <v>1237</v>
      </c>
      <c r="C3148" s="4" t="n">
        <v>2</v>
      </c>
      <c r="D3148" s="4" t="n">
        <v>3</v>
      </c>
      <c r="E3148" s="4" t="s">
        <v>1300</v>
      </c>
      <c r="F3148" s="4" t="n">
        <v>52</v>
      </c>
      <c r="G3148" s="4" t="n">
        <v>1</v>
      </c>
      <c r="H3148" s="4" t="n">
        <v>2</v>
      </c>
      <c r="I3148" s="4" t="str">
        <v>○</v>
      </c>
      <c r="J3148" s="4" t="n">
        <v>110</v>
      </c>
      <c r="K3148" s="4"/>
      <c r="L3148" s="4"/>
      <c r="M3148" s="5" t="s">
        <v>2677</v>
      </c>
    </row>
    <row r="3149" customFormat="false" ht="15.75" hidden="false" customHeight="false" outlineLevel="0" collapsed="false">
      <c r="A3149" s="3" t="n">
        <v>46207</v>
      </c>
      <c r="B3149" s="4" t="s">
        <v>1237</v>
      </c>
      <c r="C3149" s="4" t="n">
        <v>2</v>
      </c>
      <c r="D3149" s="4" t="n">
        <v>4</v>
      </c>
      <c r="E3149" s="4" t="s">
        <v>1301</v>
      </c>
      <c r="F3149" s="4" t="n">
        <v>4</v>
      </c>
      <c r="G3149" s="4" t="n">
        <v>11</v>
      </c>
      <c r="H3149" s="4" t="n">
        <v>4</v>
      </c>
      <c r="I3149" s="4" t="str">
        <v>×</v>
      </c>
      <c r="J3149" s="4"/>
      <c r="K3149" s="4"/>
      <c r="L3149" s="4"/>
      <c r="M3149" s="5" t="s">
        <v>2677</v>
      </c>
    </row>
    <row r="3150" customFormat="false" ht="15.75" hidden="false" customHeight="false" outlineLevel="0" collapsed="false">
      <c r="A3150" s="3" t="n">
        <v>46207</v>
      </c>
      <c r="B3150" s="4" t="s">
        <v>1237</v>
      </c>
      <c r="C3150" s="4" t="n">
        <v>2</v>
      </c>
      <c r="D3150" s="4" t="n">
        <v>5</v>
      </c>
      <c r="E3150" s="4" t="s">
        <v>390</v>
      </c>
      <c r="F3150" s="4" t="n">
        <v>29</v>
      </c>
      <c r="G3150" s="4" t="n">
        <v>4</v>
      </c>
      <c r="H3150" s="4" t="n">
        <v>3</v>
      </c>
      <c r="I3150" s="4" t="str">
        <v>○</v>
      </c>
      <c r="J3150" s="4" t="n">
        <v>150</v>
      </c>
      <c r="K3150" s="4"/>
      <c r="L3150" s="4"/>
      <c r="M3150" s="5" t="s">
        <v>2677</v>
      </c>
    </row>
    <row r="3151" customFormat="false" ht="15.75" hidden="false" customHeight="false" outlineLevel="0" collapsed="false">
      <c r="A3151" s="3" t="n">
        <v>46207</v>
      </c>
      <c r="B3151" s="4" t="s">
        <v>1237</v>
      </c>
      <c r="C3151" s="4" t="n">
        <v>2</v>
      </c>
      <c r="D3151" s="4" t="n">
        <v>6</v>
      </c>
      <c r="E3151" s="4" t="s">
        <v>1784</v>
      </c>
      <c r="F3151" s="4" t="n">
        <v>10</v>
      </c>
      <c r="G3151" s="4" t="n">
        <v>9</v>
      </c>
      <c r="H3151" s="4" t="n">
        <v>4</v>
      </c>
      <c r="I3151" s="4" t="str">
        <v>×</v>
      </c>
      <c r="J3151" s="4"/>
      <c r="K3151" s="4"/>
      <c r="L3151" s="4"/>
      <c r="M3151" s="5" t="s">
        <v>2677</v>
      </c>
    </row>
    <row r="3152" customFormat="false" ht="15.75" hidden="false" customHeight="false" outlineLevel="0" collapsed="false">
      <c r="A3152" s="3" t="n">
        <v>46207</v>
      </c>
      <c r="B3152" s="4" t="s">
        <v>1237</v>
      </c>
      <c r="C3152" s="4" t="n">
        <v>2</v>
      </c>
      <c r="D3152" s="4" t="n">
        <v>7</v>
      </c>
      <c r="E3152" s="4" t="s">
        <v>2927</v>
      </c>
      <c r="F3152" s="4" t="n">
        <v>13</v>
      </c>
      <c r="G3152" s="4" t="n">
        <v>8</v>
      </c>
      <c r="H3152" s="4" t="n">
        <v>4</v>
      </c>
      <c r="I3152" s="4" t="str">
        <v>×</v>
      </c>
      <c r="J3152" s="4"/>
      <c r="K3152" s="4"/>
      <c r="L3152" s="4"/>
      <c r="M3152" s="5" t="s">
        <v>2677</v>
      </c>
    </row>
    <row r="3153" customFormat="false" ht="15.75" hidden="false" customHeight="false" outlineLevel="0" collapsed="false">
      <c r="A3153" s="3" t="n">
        <v>46207</v>
      </c>
      <c r="B3153" s="4" t="s">
        <v>1237</v>
      </c>
      <c r="C3153" s="4" t="n">
        <v>2</v>
      </c>
      <c r="D3153" s="4" t="n">
        <v>8</v>
      </c>
      <c r="E3153" s="4" t="s">
        <v>2928</v>
      </c>
      <c r="F3153" s="4" t="n">
        <v>8</v>
      </c>
      <c r="G3153" s="4" t="n">
        <v>10</v>
      </c>
      <c r="H3153" s="4" t="n">
        <v>4</v>
      </c>
      <c r="I3153" s="4" t="str">
        <v>×</v>
      </c>
      <c r="J3153" s="4"/>
      <c r="K3153" s="4"/>
      <c r="L3153" s="4"/>
      <c r="M3153" s="5" t="s">
        <v>2677</v>
      </c>
    </row>
    <row r="3154" customFormat="false" ht="15.75" hidden="false" customHeight="false" outlineLevel="0" collapsed="false">
      <c r="A3154" s="3" t="n">
        <v>46207</v>
      </c>
      <c r="B3154" s="4" t="s">
        <v>1237</v>
      </c>
      <c r="C3154" s="4" t="n">
        <v>2</v>
      </c>
      <c r="D3154" s="4" t="n">
        <v>9</v>
      </c>
      <c r="E3154" s="4" t="s">
        <v>2929</v>
      </c>
      <c r="F3154" s="4" t="n">
        <v>3</v>
      </c>
      <c r="G3154" s="4" t="n">
        <v>12</v>
      </c>
      <c r="H3154" s="4" t="n">
        <v>4</v>
      </c>
      <c r="I3154" s="4" t="str">
        <v>×</v>
      </c>
      <c r="J3154" s="4"/>
      <c r="K3154" s="4"/>
      <c r="L3154" s="4"/>
      <c r="M3154" s="5" t="s">
        <v>2677</v>
      </c>
    </row>
    <row r="3155" customFormat="false" ht="15.75" hidden="false" customHeight="false" outlineLevel="0" collapsed="false">
      <c r="A3155" s="3" t="n">
        <v>46207</v>
      </c>
      <c r="B3155" s="4" t="s">
        <v>1237</v>
      </c>
      <c r="C3155" s="4" t="n">
        <v>2</v>
      </c>
      <c r="D3155" s="4" t="n">
        <v>10</v>
      </c>
      <c r="E3155" s="4" t="s">
        <v>2566</v>
      </c>
      <c r="F3155" s="4" t="n">
        <v>23</v>
      </c>
      <c r="G3155" s="4" t="n">
        <v>5</v>
      </c>
      <c r="H3155" s="4" t="n">
        <v>4</v>
      </c>
      <c r="I3155" s="4" t="str">
        <v>×</v>
      </c>
      <c r="J3155" s="4"/>
      <c r="K3155" s="4"/>
      <c r="L3155" s="4"/>
      <c r="M3155" s="5" t="s">
        <v>2677</v>
      </c>
    </row>
    <row r="3156" customFormat="false" ht="15.75" hidden="false" customHeight="false" outlineLevel="0" collapsed="false">
      <c r="A3156" s="3" t="n">
        <v>46207</v>
      </c>
      <c r="B3156" s="4" t="s">
        <v>1237</v>
      </c>
      <c r="C3156" s="4" t="n">
        <v>2</v>
      </c>
      <c r="D3156" s="4" t="n">
        <v>11</v>
      </c>
      <c r="E3156" s="4" t="s">
        <v>823</v>
      </c>
      <c r="F3156" s="4" t="n">
        <v>10</v>
      </c>
      <c r="G3156" s="4" t="n">
        <v>9</v>
      </c>
      <c r="H3156" s="4" t="n">
        <v>4</v>
      </c>
      <c r="I3156" s="4" t="str">
        <v>×</v>
      </c>
      <c r="J3156" s="4"/>
      <c r="K3156" s="4"/>
      <c r="L3156" s="4"/>
      <c r="M3156" s="5" t="s">
        <v>2677</v>
      </c>
    </row>
    <row r="3157" customFormat="false" ht="15.75" hidden="false" customHeight="false" outlineLevel="0" collapsed="false">
      <c r="A3157" s="3" t="n">
        <v>46207</v>
      </c>
      <c r="B3157" s="4" t="s">
        <v>1237</v>
      </c>
      <c r="C3157" s="4" t="n">
        <v>2</v>
      </c>
      <c r="D3157" s="4" t="n">
        <v>12</v>
      </c>
      <c r="E3157" s="4" t="s">
        <v>2930</v>
      </c>
      <c r="F3157" s="4" t="n">
        <v>34</v>
      </c>
      <c r="G3157" s="4" t="n">
        <v>3</v>
      </c>
      <c r="H3157" s="4" t="n">
        <v>4</v>
      </c>
      <c r="I3157" s="4" t="str">
        <v>×</v>
      </c>
      <c r="J3157" s="4"/>
      <c r="K3157" s="4"/>
      <c r="L3157" s="4"/>
      <c r="M3157" s="5" t="s">
        <v>2677</v>
      </c>
    </row>
    <row r="3158" customFormat="false" ht="15.75" hidden="false" customHeight="false" outlineLevel="0" collapsed="false">
      <c r="A3158" s="3" t="n">
        <v>46207</v>
      </c>
      <c r="B3158" s="4" t="s">
        <v>1237</v>
      </c>
      <c r="C3158" s="4" t="n">
        <v>2</v>
      </c>
      <c r="D3158" s="4" t="n">
        <v>13</v>
      </c>
      <c r="E3158" s="4" t="s">
        <v>2931</v>
      </c>
      <c r="F3158" s="4" t="n">
        <v>20</v>
      </c>
      <c r="G3158" s="4" t="n">
        <v>6</v>
      </c>
      <c r="H3158" s="4" t="n">
        <v>4</v>
      </c>
      <c r="I3158" s="4" t="str">
        <v>×</v>
      </c>
      <c r="J3158" s="4"/>
      <c r="K3158" s="4"/>
      <c r="L3158" s="4"/>
      <c r="M3158" s="5" t="s">
        <v>2677</v>
      </c>
    </row>
    <row r="3159" customFormat="false" ht="15.75" hidden="false" customHeight="false" outlineLevel="0" collapsed="false">
      <c r="A3159" s="3" t="n">
        <v>46207</v>
      </c>
      <c r="B3159" s="4" t="s">
        <v>1237</v>
      </c>
      <c r="C3159" s="4" t="n">
        <v>2</v>
      </c>
      <c r="D3159" s="4" t="n">
        <v>14</v>
      </c>
      <c r="E3159" s="4" t="s">
        <v>1755</v>
      </c>
      <c r="F3159" s="4" t="n">
        <v>13</v>
      </c>
      <c r="G3159" s="4" t="n">
        <v>8</v>
      </c>
      <c r="H3159" s="4" t="n">
        <v>4</v>
      </c>
      <c r="I3159" s="4" t="str">
        <v>×</v>
      </c>
      <c r="J3159" s="4"/>
      <c r="K3159" s="4"/>
      <c r="L3159" s="4"/>
      <c r="M3159" s="5" t="s">
        <v>2677</v>
      </c>
    </row>
    <row r="3160" customFormat="false" ht="15.75" hidden="false" customHeight="false" outlineLevel="0" collapsed="false">
      <c r="A3160" s="3" t="n">
        <v>46207</v>
      </c>
      <c r="B3160" s="4" t="s">
        <v>1237</v>
      </c>
      <c r="C3160" s="4" t="n">
        <v>2</v>
      </c>
      <c r="D3160" s="4" t="n">
        <v>15</v>
      </c>
      <c r="E3160" s="4" t="s">
        <v>1302</v>
      </c>
      <c r="F3160" s="4" t="n">
        <v>17</v>
      </c>
      <c r="G3160" s="4" t="n">
        <v>7</v>
      </c>
      <c r="H3160" s="4" t="n">
        <v>4</v>
      </c>
      <c r="I3160" s="4" t="str">
        <v>×</v>
      </c>
      <c r="J3160" s="4"/>
      <c r="K3160" s="4"/>
      <c r="L3160" s="4"/>
      <c r="M3160" s="5" t="s">
        <v>2677</v>
      </c>
    </row>
    <row r="3161" customFormat="false" ht="15.75" hidden="false" customHeight="false" outlineLevel="0" collapsed="false">
      <c r="A3161" s="3" t="n">
        <v>46207</v>
      </c>
      <c r="B3161" s="4" t="s">
        <v>1237</v>
      </c>
      <c r="C3161" s="4" t="n">
        <v>2</v>
      </c>
      <c r="D3161" s="4" t="n">
        <v>16</v>
      </c>
      <c r="E3161" s="4" t="s">
        <v>2932</v>
      </c>
      <c r="F3161" s="4" t="n">
        <v>34</v>
      </c>
      <c r="G3161" s="4" t="n">
        <v>3</v>
      </c>
      <c r="H3161" s="4" t="n">
        <v>1</v>
      </c>
      <c r="I3161" s="4" t="str">
        <v>○</v>
      </c>
      <c r="J3161" s="4" t="n">
        <v>200</v>
      </c>
      <c r="K3161" s="4"/>
      <c r="L3161" s="4"/>
      <c r="M3161" s="5" t="s">
        <v>2677</v>
      </c>
    </row>
    <row r="3162" customFormat="false" ht="15.75" hidden="false" customHeight="false" outlineLevel="0" collapsed="false">
      <c r="A3162" s="3" t="n">
        <v>46207</v>
      </c>
      <c r="B3162" s="4" t="s">
        <v>1237</v>
      </c>
      <c r="C3162" s="4" t="n">
        <v>3</v>
      </c>
      <c r="D3162" s="4" t="n">
        <v>1</v>
      </c>
      <c r="E3162" s="4" t="s">
        <v>800</v>
      </c>
      <c r="F3162" s="4" t="n">
        <v>10</v>
      </c>
      <c r="G3162" s="4" t="n">
        <v>8</v>
      </c>
      <c r="H3162" s="4" t="n">
        <v>4</v>
      </c>
      <c r="I3162" s="4" t="str">
        <v>×</v>
      </c>
      <c r="J3162" s="4"/>
      <c r="K3162" s="4"/>
      <c r="L3162" s="4"/>
      <c r="M3162" s="5" t="s">
        <v>2677</v>
      </c>
    </row>
    <row r="3163" customFormat="false" ht="15.75" hidden="false" customHeight="false" outlineLevel="0" collapsed="false">
      <c r="A3163" s="3" t="n">
        <v>46207</v>
      </c>
      <c r="B3163" s="4" t="s">
        <v>1237</v>
      </c>
      <c r="C3163" s="4" t="n">
        <v>3</v>
      </c>
      <c r="D3163" s="4" t="n">
        <v>2</v>
      </c>
      <c r="E3163" s="4" t="s">
        <v>1740</v>
      </c>
      <c r="F3163" s="4" t="n">
        <v>15</v>
      </c>
      <c r="G3163" s="4" t="n">
        <v>6</v>
      </c>
      <c r="H3163" s="4" t="n">
        <v>4</v>
      </c>
      <c r="I3163" s="4" t="str">
        <v>×</v>
      </c>
      <c r="J3163" s="4"/>
      <c r="K3163" s="4"/>
      <c r="L3163" s="4"/>
      <c r="M3163" s="5" t="s">
        <v>2677</v>
      </c>
    </row>
    <row r="3164" customFormat="false" ht="15.75" hidden="false" customHeight="false" outlineLevel="0" collapsed="false">
      <c r="A3164" s="3" t="n">
        <v>46207</v>
      </c>
      <c r="B3164" s="4" t="s">
        <v>1237</v>
      </c>
      <c r="C3164" s="4" t="n">
        <v>3</v>
      </c>
      <c r="D3164" s="4" t="n">
        <v>3</v>
      </c>
      <c r="E3164" s="4" t="s">
        <v>2933</v>
      </c>
      <c r="F3164" s="4" t="n">
        <v>4</v>
      </c>
      <c r="G3164" s="4" t="n">
        <v>10</v>
      </c>
      <c r="H3164" s="4" t="n">
        <v>4</v>
      </c>
      <c r="I3164" s="4" t="str">
        <v>×</v>
      </c>
      <c r="J3164" s="4"/>
      <c r="K3164" s="4"/>
      <c r="L3164" s="4"/>
      <c r="M3164" s="5" t="s">
        <v>2677</v>
      </c>
    </row>
    <row r="3165" customFormat="false" ht="15.75" hidden="false" customHeight="false" outlineLevel="0" collapsed="false">
      <c r="A3165" s="3" t="n">
        <v>46207</v>
      </c>
      <c r="B3165" s="4" t="s">
        <v>1237</v>
      </c>
      <c r="C3165" s="4" t="n">
        <v>3</v>
      </c>
      <c r="D3165" s="4" t="n">
        <v>4</v>
      </c>
      <c r="E3165" s="4" t="s">
        <v>1293</v>
      </c>
      <c r="F3165" s="4" t="n">
        <v>58</v>
      </c>
      <c r="G3165" s="4" t="n">
        <v>2</v>
      </c>
      <c r="H3165" s="4" t="n">
        <v>4</v>
      </c>
      <c r="I3165" s="4" t="str">
        <v>×</v>
      </c>
      <c r="J3165" s="4"/>
      <c r="K3165" s="4"/>
      <c r="L3165" s="4"/>
      <c r="M3165" s="5" t="s">
        <v>2677</v>
      </c>
    </row>
    <row r="3166" customFormat="false" ht="15.75" hidden="false" customHeight="false" outlineLevel="0" collapsed="false">
      <c r="A3166" s="3" t="n">
        <v>46207</v>
      </c>
      <c r="B3166" s="4" t="s">
        <v>1237</v>
      </c>
      <c r="C3166" s="4" t="n">
        <v>3</v>
      </c>
      <c r="D3166" s="4" t="n">
        <v>5</v>
      </c>
      <c r="E3166" s="4" t="s">
        <v>2934</v>
      </c>
      <c r="F3166" s="4" t="n">
        <v>86</v>
      </c>
      <c r="G3166" s="4" t="n">
        <v>1</v>
      </c>
      <c r="H3166" s="4" t="n">
        <v>4</v>
      </c>
      <c r="I3166" s="4" t="str">
        <v>×</v>
      </c>
      <c r="J3166" s="4"/>
      <c r="K3166" s="4" t="n">
        <v>1.1</v>
      </c>
      <c r="L3166" s="4" t="n">
        <v>1.8</v>
      </c>
      <c r="M3166" s="5" t="s">
        <v>2677</v>
      </c>
    </row>
    <row r="3167" customFormat="false" ht="15.75" hidden="false" customHeight="false" outlineLevel="0" collapsed="false">
      <c r="A3167" s="3" t="n">
        <v>46207</v>
      </c>
      <c r="B3167" s="4" t="s">
        <v>1237</v>
      </c>
      <c r="C3167" s="4" t="n">
        <v>3</v>
      </c>
      <c r="D3167" s="4" t="n">
        <v>6</v>
      </c>
      <c r="E3167" s="4" t="s">
        <v>1738</v>
      </c>
      <c r="F3167" s="4" t="n">
        <v>20</v>
      </c>
      <c r="G3167" s="4" t="n">
        <v>5</v>
      </c>
      <c r="H3167" s="4" t="n">
        <v>2</v>
      </c>
      <c r="I3167" s="4" t="str">
        <v>○</v>
      </c>
      <c r="J3167" s="4" t="n">
        <v>590</v>
      </c>
      <c r="K3167" s="4"/>
      <c r="L3167" s="4"/>
      <c r="M3167" s="5" t="s">
        <v>2677</v>
      </c>
    </row>
    <row r="3168" customFormat="false" ht="15.75" hidden="false" customHeight="false" outlineLevel="0" collapsed="false">
      <c r="A3168" s="3" t="n">
        <v>46207</v>
      </c>
      <c r="B3168" s="4" t="s">
        <v>1237</v>
      </c>
      <c r="C3168" s="4" t="n">
        <v>3</v>
      </c>
      <c r="D3168" s="4" t="n">
        <v>7</v>
      </c>
      <c r="E3168" s="4" t="s">
        <v>2935</v>
      </c>
      <c r="F3168" s="4" t="n">
        <v>8</v>
      </c>
      <c r="G3168" s="4" t="n">
        <v>9</v>
      </c>
      <c r="H3168" s="4" t="n">
        <v>4</v>
      </c>
      <c r="I3168" s="4" t="str">
        <v>×</v>
      </c>
      <c r="J3168" s="4"/>
      <c r="K3168" s="4"/>
      <c r="L3168" s="4"/>
      <c r="M3168" s="5" t="s">
        <v>2677</v>
      </c>
    </row>
    <row r="3169" customFormat="false" ht="15.75" hidden="false" customHeight="false" outlineLevel="0" collapsed="false">
      <c r="A3169" s="3" t="n">
        <v>46207</v>
      </c>
      <c r="B3169" s="4" t="s">
        <v>1237</v>
      </c>
      <c r="C3169" s="4" t="n">
        <v>3</v>
      </c>
      <c r="D3169" s="4" t="n">
        <v>8</v>
      </c>
      <c r="E3169" s="4" t="s">
        <v>801</v>
      </c>
      <c r="F3169" s="4" t="n">
        <v>15</v>
      </c>
      <c r="G3169" s="4" t="n">
        <v>6</v>
      </c>
      <c r="H3169" s="4" t="n">
        <v>4</v>
      </c>
      <c r="I3169" s="4" t="str">
        <v>×</v>
      </c>
      <c r="J3169" s="4"/>
      <c r="K3169" s="4"/>
      <c r="L3169" s="4"/>
      <c r="M3169" s="5" t="s">
        <v>2677</v>
      </c>
    </row>
    <row r="3170" customFormat="false" ht="15.75" hidden="false" customHeight="false" outlineLevel="0" collapsed="false">
      <c r="A3170" s="3" t="n">
        <v>46207</v>
      </c>
      <c r="B3170" s="4" t="s">
        <v>1237</v>
      </c>
      <c r="C3170" s="4" t="n">
        <v>3</v>
      </c>
      <c r="D3170" s="4" t="n">
        <v>9</v>
      </c>
      <c r="E3170" s="4" t="s">
        <v>2936</v>
      </c>
      <c r="F3170" s="4" t="n">
        <v>44</v>
      </c>
      <c r="G3170" s="4" t="n">
        <v>3</v>
      </c>
      <c r="H3170" s="4" t="n">
        <v>1</v>
      </c>
      <c r="I3170" s="4" t="str">
        <v>○</v>
      </c>
      <c r="J3170" s="4" t="n">
        <v>140</v>
      </c>
      <c r="K3170" s="4"/>
      <c r="L3170" s="4"/>
      <c r="M3170" s="5" t="s">
        <v>2677</v>
      </c>
    </row>
    <row r="3171" customFormat="false" ht="15.75" hidden="false" customHeight="false" outlineLevel="0" collapsed="false">
      <c r="A3171" s="3" t="n">
        <v>46207</v>
      </c>
      <c r="B3171" s="4" t="s">
        <v>1237</v>
      </c>
      <c r="C3171" s="4" t="n">
        <v>3</v>
      </c>
      <c r="D3171" s="4" t="n">
        <v>10</v>
      </c>
      <c r="E3171" s="4" t="s">
        <v>2190</v>
      </c>
      <c r="F3171" s="4" t="n">
        <v>25</v>
      </c>
      <c r="G3171" s="4" t="n">
        <v>4</v>
      </c>
      <c r="H3171" s="4" t="n">
        <v>3</v>
      </c>
      <c r="I3171" s="4" t="str">
        <v>○</v>
      </c>
      <c r="J3171" s="4" t="n">
        <v>250</v>
      </c>
      <c r="K3171" s="4"/>
      <c r="L3171" s="4"/>
      <c r="M3171" s="5" t="s">
        <v>2677</v>
      </c>
    </row>
    <row r="3172" customFormat="false" ht="15.75" hidden="false" customHeight="false" outlineLevel="0" collapsed="false">
      <c r="A3172" s="3" t="n">
        <v>46207</v>
      </c>
      <c r="B3172" s="4" t="s">
        <v>1237</v>
      </c>
      <c r="C3172" s="4" t="n">
        <v>3</v>
      </c>
      <c r="D3172" s="4" t="n">
        <v>11</v>
      </c>
      <c r="E3172" s="4" t="s">
        <v>2937</v>
      </c>
      <c r="F3172" s="4" t="n">
        <v>13</v>
      </c>
      <c r="G3172" s="4" t="n">
        <v>7</v>
      </c>
      <c r="H3172" s="4" t="n">
        <v>4</v>
      </c>
      <c r="I3172" s="4" t="str">
        <v>×</v>
      </c>
      <c r="J3172" s="4"/>
      <c r="K3172" s="4"/>
      <c r="L3172" s="4"/>
      <c r="M3172" s="5" t="s">
        <v>2677</v>
      </c>
    </row>
    <row r="3173" customFormat="false" ht="15.75" hidden="false" customHeight="false" outlineLevel="0" collapsed="false">
      <c r="A3173" s="3" t="n">
        <v>46207</v>
      </c>
      <c r="B3173" s="4" t="s">
        <v>1237</v>
      </c>
      <c r="C3173" s="4" t="n">
        <v>3</v>
      </c>
      <c r="D3173" s="4" t="n">
        <v>12</v>
      </c>
      <c r="E3173" s="4" t="s">
        <v>2938</v>
      </c>
      <c r="F3173" s="4" t="n">
        <v>10</v>
      </c>
      <c r="G3173" s="4" t="n">
        <v>8</v>
      </c>
      <c r="H3173" s="4" t="n">
        <v>4</v>
      </c>
      <c r="I3173" s="4" t="str">
        <v>×</v>
      </c>
      <c r="J3173" s="4"/>
      <c r="K3173" s="4"/>
      <c r="L3173" s="4"/>
      <c r="M3173" s="5" t="s">
        <v>2677</v>
      </c>
    </row>
    <row r="3174" customFormat="false" ht="15.75" hidden="false" customHeight="false" outlineLevel="0" collapsed="false">
      <c r="A3174" s="3" t="n">
        <v>46207</v>
      </c>
      <c r="B3174" s="4" t="s">
        <v>1237</v>
      </c>
      <c r="C3174" s="4" t="n">
        <v>4</v>
      </c>
      <c r="D3174" s="4" t="n">
        <v>1</v>
      </c>
      <c r="E3174" s="4" t="s">
        <v>1276</v>
      </c>
      <c r="F3174" s="4" t="n">
        <v>8</v>
      </c>
      <c r="G3174" s="4" t="n">
        <v>7</v>
      </c>
      <c r="H3174" s="4" t="n">
        <v>3</v>
      </c>
      <c r="I3174" s="4" t="str">
        <v>○</v>
      </c>
      <c r="J3174" s="4" t="n">
        <v>430</v>
      </c>
      <c r="K3174" s="4"/>
      <c r="L3174" s="4"/>
      <c r="M3174" s="5" t="s">
        <v>2677</v>
      </c>
    </row>
    <row r="3175" customFormat="false" ht="15.75" hidden="false" customHeight="false" outlineLevel="0" collapsed="false">
      <c r="A3175" s="3" t="n">
        <v>46207</v>
      </c>
      <c r="B3175" s="4" t="s">
        <v>1237</v>
      </c>
      <c r="C3175" s="4" t="n">
        <v>4</v>
      </c>
      <c r="D3175" s="4" t="n">
        <v>2</v>
      </c>
      <c r="E3175" s="4" t="s">
        <v>2617</v>
      </c>
      <c r="F3175" s="4" t="n">
        <v>8</v>
      </c>
      <c r="G3175" s="4" t="n">
        <v>7</v>
      </c>
      <c r="H3175" s="4" t="n">
        <v>2</v>
      </c>
      <c r="I3175" s="4" t="str">
        <v>○</v>
      </c>
      <c r="J3175" s="4" t="n">
        <v>290</v>
      </c>
      <c r="K3175" s="4"/>
      <c r="L3175" s="4"/>
      <c r="M3175" s="5" t="s">
        <v>2677</v>
      </c>
    </row>
    <row r="3176" customFormat="false" ht="15.75" hidden="false" customHeight="false" outlineLevel="0" collapsed="false">
      <c r="A3176" s="3" t="n">
        <v>46207</v>
      </c>
      <c r="B3176" s="4" t="s">
        <v>1237</v>
      </c>
      <c r="C3176" s="4" t="n">
        <v>4</v>
      </c>
      <c r="D3176" s="4" t="n">
        <v>3</v>
      </c>
      <c r="E3176" s="4" t="s">
        <v>2939</v>
      </c>
      <c r="F3176" s="4" t="n">
        <v>13</v>
      </c>
      <c r="G3176" s="4" t="n">
        <v>5</v>
      </c>
      <c r="H3176" s="4" t="n">
        <v>4</v>
      </c>
      <c r="I3176" s="4" t="str">
        <v>×</v>
      </c>
      <c r="J3176" s="4"/>
      <c r="K3176" s="4"/>
      <c r="L3176" s="4"/>
      <c r="M3176" s="5" t="s">
        <v>2677</v>
      </c>
    </row>
    <row r="3177" customFormat="false" ht="15.75" hidden="false" customHeight="false" outlineLevel="0" collapsed="false">
      <c r="A3177" s="3" t="n">
        <v>46207</v>
      </c>
      <c r="B3177" s="4" t="s">
        <v>1237</v>
      </c>
      <c r="C3177" s="4" t="n">
        <v>4</v>
      </c>
      <c r="D3177" s="4" t="n">
        <v>4</v>
      </c>
      <c r="E3177" s="4" t="s">
        <v>2940</v>
      </c>
      <c r="F3177" s="4" t="n">
        <v>50</v>
      </c>
      <c r="G3177" s="4" t="n">
        <v>2</v>
      </c>
      <c r="H3177" s="4" t="n">
        <v>4</v>
      </c>
      <c r="I3177" s="4" t="str">
        <v>×</v>
      </c>
      <c r="J3177" s="4"/>
      <c r="K3177" s="4"/>
      <c r="L3177" s="4"/>
      <c r="M3177" s="5" t="s">
        <v>2677</v>
      </c>
    </row>
    <row r="3178" customFormat="false" ht="15.75" hidden="false" customHeight="false" outlineLevel="0" collapsed="false">
      <c r="A3178" s="3" t="n">
        <v>46207</v>
      </c>
      <c r="B3178" s="4" t="s">
        <v>1237</v>
      </c>
      <c r="C3178" s="4" t="n">
        <v>4</v>
      </c>
      <c r="D3178" s="4" t="n">
        <v>5</v>
      </c>
      <c r="E3178" s="4" t="s">
        <v>1792</v>
      </c>
      <c r="F3178" s="4" t="n">
        <v>13</v>
      </c>
      <c r="G3178" s="4" t="n">
        <v>5</v>
      </c>
      <c r="H3178" s="4" t="n">
        <v>4</v>
      </c>
      <c r="I3178" s="4" t="str">
        <v>×</v>
      </c>
      <c r="J3178" s="4"/>
      <c r="K3178" s="4"/>
      <c r="L3178" s="4"/>
      <c r="M3178" s="5" t="s">
        <v>2677</v>
      </c>
    </row>
    <row r="3179" customFormat="false" ht="15.75" hidden="false" customHeight="false" outlineLevel="0" collapsed="false">
      <c r="A3179" s="3" t="n">
        <v>46207</v>
      </c>
      <c r="B3179" s="4" t="s">
        <v>1237</v>
      </c>
      <c r="C3179" s="4" t="n">
        <v>4</v>
      </c>
      <c r="D3179" s="4" t="n">
        <v>6</v>
      </c>
      <c r="E3179" s="4" t="s">
        <v>2941</v>
      </c>
      <c r="F3179" s="4" t="n">
        <v>8</v>
      </c>
      <c r="G3179" s="4" t="n">
        <v>7</v>
      </c>
      <c r="H3179" s="4" t="n">
        <v>4</v>
      </c>
      <c r="I3179" s="4" t="str">
        <v>×</v>
      </c>
      <c r="J3179" s="4"/>
      <c r="K3179" s="4"/>
      <c r="L3179" s="4"/>
      <c r="M3179" s="5" t="s">
        <v>2677</v>
      </c>
    </row>
    <row r="3180" customFormat="false" ht="15.75" hidden="false" customHeight="false" outlineLevel="0" collapsed="false">
      <c r="A3180" s="3" t="n">
        <v>46207</v>
      </c>
      <c r="B3180" s="4" t="s">
        <v>1237</v>
      </c>
      <c r="C3180" s="4" t="n">
        <v>4</v>
      </c>
      <c r="D3180" s="4" t="n">
        <v>7</v>
      </c>
      <c r="E3180" s="4" t="s">
        <v>2942</v>
      </c>
      <c r="F3180" s="4" t="n">
        <v>4</v>
      </c>
      <c r="G3180" s="4" t="n">
        <v>9</v>
      </c>
      <c r="H3180" s="4" t="n">
        <v>4</v>
      </c>
      <c r="I3180" s="4" t="str">
        <v>×</v>
      </c>
      <c r="J3180" s="4"/>
      <c r="K3180" s="4"/>
      <c r="L3180" s="4"/>
      <c r="M3180" s="5" t="s">
        <v>2677</v>
      </c>
    </row>
    <row r="3181" customFormat="false" ht="15.75" hidden="false" customHeight="false" outlineLevel="0" collapsed="false">
      <c r="A3181" s="3" t="n">
        <v>46207</v>
      </c>
      <c r="B3181" s="4" t="s">
        <v>1237</v>
      </c>
      <c r="C3181" s="4" t="n">
        <v>4</v>
      </c>
      <c r="D3181" s="4" t="n">
        <v>8</v>
      </c>
      <c r="E3181" s="4" t="s">
        <v>2943</v>
      </c>
      <c r="F3181" s="4" t="n">
        <v>29</v>
      </c>
      <c r="G3181" s="4" t="n">
        <v>4</v>
      </c>
      <c r="H3181" s="4" t="n">
        <v>4</v>
      </c>
      <c r="I3181" s="4" t="str">
        <v>×</v>
      </c>
      <c r="J3181" s="4"/>
      <c r="K3181" s="4"/>
      <c r="L3181" s="4"/>
      <c r="M3181" s="5" t="s">
        <v>2677</v>
      </c>
    </row>
    <row r="3182" customFormat="false" ht="15.75" hidden="false" customHeight="false" outlineLevel="0" collapsed="false">
      <c r="A3182" s="3" t="n">
        <v>46207</v>
      </c>
      <c r="B3182" s="4" t="s">
        <v>1237</v>
      </c>
      <c r="C3182" s="4" t="n">
        <v>4</v>
      </c>
      <c r="D3182" s="4" t="n">
        <v>9</v>
      </c>
      <c r="E3182" s="4" t="s">
        <v>2222</v>
      </c>
      <c r="F3182" s="4" t="n">
        <v>3</v>
      </c>
      <c r="G3182" s="4" t="n">
        <v>10</v>
      </c>
      <c r="H3182" s="4" t="n">
        <v>4</v>
      </c>
      <c r="I3182" s="4" t="str">
        <v>×</v>
      </c>
      <c r="J3182" s="4"/>
      <c r="K3182" s="4"/>
      <c r="L3182" s="4"/>
      <c r="M3182" s="5" t="s">
        <v>2677</v>
      </c>
    </row>
    <row r="3183" customFormat="false" ht="15.75" hidden="false" customHeight="false" outlineLevel="0" collapsed="false">
      <c r="A3183" s="3" t="n">
        <v>46207</v>
      </c>
      <c r="B3183" s="4" t="s">
        <v>1237</v>
      </c>
      <c r="C3183" s="4" t="n">
        <v>4</v>
      </c>
      <c r="D3183" s="4" t="n">
        <v>10</v>
      </c>
      <c r="E3183" s="4" t="s">
        <v>2944</v>
      </c>
      <c r="F3183" s="4" t="n">
        <v>6</v>
      </c>
      <c r="G3183" s="4" t="n">
        <v>8</v>
      </c>
      <c r="H3183" s="4" t="n">
        <v>4</v>
      </c>
      <c r="I3183" s="4" t="str">
        <v>×</v>
      </c>
      <c r="J3183" s="4"/>
      <c r="K3183" s="4"/>
      <c r="L3183" s="4"/>
      <c r="M3183" s="5" t="s">
        <v>2677</v>
      </c>
    </row>
    <row r="3184" customFormat="false" ht="15.75" hidden="false" customHeight="false" outlineLevel="0" collapsed="false">
      <c r="A3184" s="3" t="n">
        <v>46207</v>
      </c>
      <c r="B3184" s="4" t="s">
        <v>1237</v>
      </c>
      <c r="C3184" s="4" t="n">
        <v>4</v>
      </c>
      <c r="D3184" s="4" t="n">
        <v>11</v>
      </c>
      <c r="E3184" s="4" t="s">
        <v>2945</v>
      </c>
      <c r="F3184" s="4" t="n">
        <v>52</v>
      </c>
      <c r="G3184" s="4" t="n">
        <v>1</v>
      </c>
      <c r="H3184" s="4" t="n">
        <v>4</v>
      </c>
      <c r="I3184" s="4" t="str">
        <v>×</v>
      </c>
      <c r="J3184" s="4"/>
      <c r="K3184" s="4"/>
      <c r="L3184" s="4"/>
      <c r="M3184" s="5" t="s">
        <v>2677</v>
      </c>
    </row>
    <row r="3185" customFormat="false" ht="15.75" hidden="false" customHeight="false" outlineLevel="0" collapsed="false">
      <c r="A3185" s="3" t="n">
        <v>46207</v>
      </c>
      <c r="B3185" s="4" t="s">
        <v>1237</v>
      </c>
      <c r="C3185" s="4" t="n">
        <v>4</v>
      </c>
      <c r="D3185" s="4" t="n">
        <v>12</v>
      </c>
      <c r="E3185" s="4" t="s">
        <v>1275</v>
      </c>
      <c r="F3185" s="4" t="n">
        <v>8</v>
      </c>
      <c r="G3185" s="4" t="n">
        <v>7</v>
      </c>
      <c r="H3185" s="4" t="n">
        <v>4</v>
      </c>
      <c r="I3185" s="4" t="str">
        <v>×</v>
      </c>
      <c r="J3185" s="4"/>
      <c r="K3185" s="4"/>
      <c r="L3185" s="4"/>
      <c r="M3185" s="5" t="s">
        <v>2677</v>
      </c>
    </row>
    <row r="3186" customFormat="false" ht="15.75" hidden="false" customHeight="false" outlineLevel="0" collapsed="false">
      <c r="A3186" s="3" t="n">
        <v>46207</v>
      </c>
      <c r="B3186" s="4" t="s">
        <v>1237</v>
      </c>
      <c r="C3186" s="4" t="n">
        <v>4</v>
      </c>
      <c r="D3186" s="4" t="n">
        <v>13</v>
      </c>
      <c r="E3186" s="4" t="s">
        <v>1783</v>
      </c>
      <c r="F3186" s="4" t="n">
        <v>10</v>
      </c>
      <c r="G3186" s="4" t="n">
        <v>6</v>
      </c>
      <c r="H3186" s="4" t="n">
        <v>4</v>
      </c>
      <c r="I3186" s="4" t="str">
        <v>×</v>
      </c>
      <c r="J3186" s="4"/>
      <c r="K3186" s="4"/>
      <c r="L3186" s="4"/>
      <c r="M3186" s="5" t="s">
        <v>2677</v>
      </c>
    </row>
    <row r="3187" customFormat="false" ht="15.75" hidden="false" customHeight="false" outlineLevel="0" collapsed="false">
      <c r="A3187" s="3" t="n">
        <v>46207</v>
      </c>
      <c r="B3187" s="4" t="s">
        <v>1237</v>
      </c>
      <c r="C3187" s="4" t="n">
        <v>4</v>
      </c>
      <c r="D3187" s="4" t="n">
        <v>14</v>
      </c>
      <c r="E3187" s="4" t="s">
        <v>1860</v>
      </c>
      <c r="F3187" s="4" t="n">
        <v>3</v>
      </c>
      <c r="G3187" s="4" t="n">
        <v>10</v>
      </c>
      <c r="H3187" s="4" t="n">
        <v>1</v>
      </c>
      <c r="I3187" s="4" t="str">
        <v>○</v>
      </c>
      <c r="J3187" s="4" t="n">
        <v>460</v>
      </c>
      <c r="K3187" s="4"/>
      <c r="L3187" s="4"/>
      <c r="M3187" s="5" t="s">
        <v>2677</v>
      </c>
    </row>
    <row r="3188" customFormat="false" ht="15.75" hidden="false" customHeight="false" outlineLevel="0" collapsed="false">
      <c r="A3188" s="3" t="n">
        <v>46207</v>
      </c>
      <c r="B3188" s="4" t="s">
        <v>1237</v>
      </c>
      <c r="C3188" s="4" t="n">
        <v>4</v>
      </c>
      <c r="D3188" s="4" t="n">
        <v>15</v>
      </c>
      <c r="E3188" s="4" t="s">
        <v>1272</v>
      </c>
      <c r="F3188" s="4" t="n">
        <v>44</v>
      </c>
      <c r="G3188" s="4" t="n">
        <v>3</v>
      </c>
      <c r="H3188" s="4" t="n">
        <v>4</v>
      </c>
      <c r="I3188" s="4" t="str">
        <v>×</v>
      </c>
      <c r="J3188" s="4"/>
      <c r="K3188" s="4"/>
      <c r="L3188" s="4"/>
      <c r="M3188" s="5" t="s">
        <v>2677</v>
      </c>
    </row>
    <row r="3189" customFormat="false" ht="15.75" hidden="false" customHeight="false" outlineLevel="0" collapsed="false">
      <c r="A3189" s="3" t="n">
        <v>46207</v>
      </c>
      <c r="B3189" s="4" t="s">
        <v>1237</v>
      </c>
      <c r="C3189" s="4" t="n">
        <v>4</v>
      </c>
      <c r="D3189" s="4" t="n">
        <v>16</v>
      </c>
      <c r="E3189" s="4" t="s">
        <v>2946</v>
      </c>
      <c r="F3189" s="4" t="n">
        <v>8</v>
      </c>
      <c r="G3189" s="4" t="n">
        <v>7</v>
      </c>
      <c r="H3189" s="4" t="n">
        <v>4</v>
      </c>
      <c r="I3189" s="4" t="str">
        <v>×</v>
      </c>
      <c r="J3189" s="4"/>
      <c r="K3189" s="4"/>
      <c r="L3189" s="4"/>
      <c r="M3189" s="5" t="s">
        <v>2677</v>
      </c>
    </row>
    <row r="3190" customFormat="false" ht="15.75" hidden="false" customHeight="false" outlineLevel="0" collapsed="false">
      <c r="A3190" s="3" t="n">
        <v>46207</v>
      </c>
      <c r="B3190" s="4" t="s">
        <v>1237</v>
      </c>
      <c r="C3190" s="4" t="n">
        <v>5</v>
      </c>
      <c r="D3190" s="4" t="n">
        <v>1</v>
      </c>
      <c r="E3190" s="4" t="s">
        <v>2947</v>
      </c>
      <c r="F3190" s="4" t="n">
        <v>37</v>
      </c>
      <c r="G3190" s="4" t="n">
        <v>2</v>
      </c>
      <c r="H3190" s="4" t="n">
        <v>4</v>
      </c>
      <c r="I3190" s="4" t="str">
        <v>×</v>
      </c>
      <c r="J3190" s="4"/>
      <c r="K3190" s="4"/>
      <c r="L3190" s="4"/>
      <c r="M3190" s="5" t="s">
        <v>2677</v>
      </c>
    </row>
    <row r="3191" customFormat="false" ht="15.75" hidden="false" customHeight="false" outlineLevel="0" collapsed="false">
      <c r="A3191" s="3" t="n">
        <v>46207</v>
      </c>
      <c r="B3191" s="4" t="s">
        <v>1237</v>
      </c>
      <c r="C3191" s="4" t="n">
        <v>5</v>
      </c>
      <c r="D3191" s="4" t="n">
        <v>2</v>
      </c>
      <c r="E3191" s="4" t="s">
        <v>791</v>
      </c>
      <c r="F3191" s="4" t="n">
        <v>37</v>
      </c>
      <c r="G3191" s="4" t="n">
        <v>2</v>
      </c>
      <c r="H3191" s="4" t="n">
        <v>2</v>
      </c>
      <c r="I3191" s="4" t="str">
        <v>○</v>
      </c>
      <c r="J3191" s="4" t="n">
        <v>790</v>
      </c>
      <c r="K3191" s="4"/>
      <c r="L3191" s="4"/>
      <c r="M3191" s="5" t="s">
        <v>2677</v>
      </c>
    </row>
    <row r="3192" customFormat="false" ht="15.75" hidden="false" customHeight="false" outlineLevel="0" collapsed="false">
      <c r="A3192" s="3" t="n">
        <v>46207</v>
      </c>
      <c r="B3192" s="4" t="s">
        <v>1237</v>
      </c>
      <c r="C3192" s="4" t="n">
        <v>5</v>
      </c>
      <c r="D3192" s="4" t="n">
        <v>3</v>
      </c>
      <c r="E3192" s="4" t="s">
        <v>1843</v>
      </c>
      <c r="F3192" s="4" t="n">
        <v>27</v>
      </c>
      <c r="G3192" s="4" t="n">
        <v>4</v>
      </c>
      <c r="H3192" s="4" t="n">
        <v>1</v>
      </c>
      <c r="I3192" s="4" t="str">
        <v>○</v>
      </c>
      <c r="J3192" s="4" t="n">
        <v>110</v>
      </c>
      <c r="K3192" s="4"/>
      <c r="L3192" s="4"/>
      <c r="M3192" s="5" t="s">
        <v>2677</v>
      </c>
    </row>
    <row r="3193" customFormat="false" ht="15.75" hidden="false" customHeight="false" outlineLevel="0" collapsed="false">
      <c r="A3193" s="3" t="n">
        <v>46207</v>
      </c>
      <c r="B3193" s="4" t="s">
        <v>1237</v>
      </c>
      <c r="C3193" s="4" t="n">
        <v>5</v>
      </c>
      <c r="D3193" s="4" t="n">
        <v>4</v>
      </c>
      <c r="E3193" s="4" t="s">
        <v>2179</v>
      </c>
      <c r="F3193" s="4" t="n">
        <v>31</v>
      </c>
      <c r="G3193" s="4" t="n">
        <v>3</v>
      </c>
      <c r="H3193" s="4" t="n">
        <v>4</v>
      </c>
      <c r="I3193" s="4" t="str">
        <v>×</v>
      </c>
      <c r="J3193" s="4"/>
      <c r="K3193" s="4"/>
      <c r="L3193" s="4"/>
      <c r="M3193" s="5" t="s">
        <v>2677</v>
      </c>
    </row>
    <row r="3194" customFormat="false" ht="15.75" hidden="false" customHeight="false" outlineLevel="0" collapsed="false">
      <c r="A3194" s="3" t="n">
        <v>46207</v>
      </c>
      <c r="B3194" s="4" t="s">
        <v>1237</v>
      </c>
      <c r="C3194" s="4" t="n">
        <v>5</v>
      </c>
      <c r="D3194" s="4" t="n">
        <v>5</v>
      </c>
      <c r="E3194" s="4" t="s">
        <v>2948</v>
      </c>
      <c r="F3194" s="4" t="n">
        <v>44</v>
      </c>
      <c r="G3194" s="4" t="n">
        <v>1</v>
      </c>
      <c r="H3194" s="4" t="n">
        <v>3</v>
      </c>
      <c r="I3194" s="4" t="str">
        <v>○</v>
      </c>
      <c r="J3194" s="4"/>
      <c r="K3194" s="4"/>
      <c r="L3194" s="4"/>
      <c r="M3194" s="5" t="s">
        <v>2677</v>
      </c>
    </row>
    <row r="3195" customFormat="false" ht="15.75" hidden="false" customHeight="false" outlineLevel="0" collapsed="false">
      <c r="A3195" s="3" t="n">
        <v>46207</v>
      </c>
      <c r="B3195" s="4" t="s">
        <v>1237</v>
      </c>
      <c r="C3195" s="4" t="n">
        <v>6</v>
      </c>
      <c r="D3195" s="4" t="n">
        <v>1</v>
      </c>
      <c r="E3195" s="4" t="s">
        <v>1298</v>
      </c>
      <c r="F3195" s="4" t="n">
        <v>31</v>
      </c>
      <c r="G3195" s="4" t="n">
        <v>4</v>
      </c>
      <c r="H3195" s="4" t="n">
        <v>4</v>
      </c>
      <c r="I3195" s="4" t="str">
        <v>×</v>
      </c>
      <c r="J3195" s="4"/>
      <c r="K3195" s="4"/>
      <c r="L3195" s="4"/>
      <c r="M3195" s="5" t="s">
        <v>2677</v>
      </c>
    </row>
    <row r="3196" customFormat="false" ht="15.75" hidden="false" customHeight="false" outlineLevel="0" collapsed="false">
      <c r="A3196" s="3" t="n">
        <v>46207</v>
      </c>
      <c r="B3196" s="4" t="s">
        <v>1237</v>
      </c>
      <c r="C3196" s="4" t="n">
        <v>6</v>
      </c>
      <c r="D3196" s="4" t="n">
        <v>2</v>
      </c>
      <c r="E3196" s="4" t="s">
        <v>1744</v>
      </c>
      <c r="F3196" s="4" t="n">
        <v>37</v>
      </c>
      <c r="G3196" s="4" t="n">
        <v>3</v>
      </c>
      <c r="H3196" s="4" t="n">
        <v>3</v>
      </c>
      <c r="I3196" s="4" t="str">
        <v>○</v>
      </c>
      <c r="J3196" s="4" t="n">
        <v>180</v>
      </c>
      <c r="K3196" s="4"/>
      <c r="L3196" s="4"/>
      <c r="M3196" s="5" t="s">
        <v>2677</v>
      </c>
    </row>
    <row r="3197" customFormat="false" ht="15.75" hidden="false" customHeight="false" outlineLevel="0" collapsed="false">
      <c r="A3197" s="3" t="n">
        <v>46207</v>
      </c>
      <c r="B3197" s="4" t="s">
        <v>1237</v>
      </c>
      <c r="C3197" s="4" t="n">
        <v>6</v>
      </c>
      <c r="D3197" s="4" t="n">
        <v>3</v>
      </c>
      <c r="E3197" s="4" t="s">
        <v>1289</v>
      </c>
      <c r="F3197" s="4" t="n">
        <v>4</v>
      </c>
      <c r="G3197" s="4" t="n">
        <v>10</v>
      </c>
      <c r="H3197" s="4" t="n">
        <v>4</v>
      </c>
      <c r="I3197" s="4" t="str">
        <v>×</v>
      </c>
      <c r="J3197" s="4"/>
      <c r="K3197" s="4"/>
      <c r="L3197" s="4"/>
      <c r="M3197" s="5" t="s">
        <v>2677</v>
      </c>
    </row>
    <row r="3198" customFormat="false" ht="15.75" hidden="false" customHeight="false" outlineLevel="0" collapsed="false">
      <c r="A3198" s="3" t="n">
        <v>46207</v>
      </c>
      <c r="B3198" s="4" t="s">
        <v>1237</v>
      </c>
      <c r="C3198" s="4" t="n">
        <v>6</v>
      </c>
      <c r="D3198" s="4" t="n">
        <v>4</v>
      </c>
      <c r="E3198" s="4" t="s">
        <v>2949</v>
      </c>
      <c r="F3198" s="4" t="n">
        <v>2</v>
      </c>
      <c r="G3198" s="4" t="n">
        <v>12</v>
      </c>
      <c r="H3198" s="4" t="n">
        <v>4</v>
      </c>
      <c r="I3198" s="4" t="str">
        <v>×</v>
      </c>
      <c r="J3198" s="4"/>
      <c r="K3198" s="4"/>
      <c r="L3198" s="4"/>
      <c r="M3198" s="5" t="s">
        <v>2677</v>
      </c>
    </row>
    <row r="3199" customFormat="false" ht="15.75" hidden="false" customHeight="false" outlineLevel="0" collapsed="false">
      <c r="A3199" s="3" t="n">
        <v>46207</v>
      </c>
      <c r="B3199" s="4" t="s">
        <v>1237</v>
      </c>
      <c r="C3199" s="4" t="n">
        <v>6</v>
      </c>
      <c r="D3199" s="4" t="n">
        <v>5</v>
      </c>
      <c r="E3199" s="4" t="s">
        <v>2950</v>
      </c>
      <c r="F3199" s="4" t="n">
        <v>65</v>
      </c>
      <c r="G3199" s="4" t="n">
        <v>1</v>
      </c>
      <c r="H3199" s="4" t="n">
        <v>1</v>
      </c>
      <c r="I3199" s="4" t="str">
        <v>○</v>
      </c>
      <c r="J3199" s="4" t="n">
        <v>110</v>
      </c>
      <c r="K3199" s="4"/>
      <c r="L3199" s="4"/>
      <c r="M3199" s="5" t="s">
        <v>2677</v>
      </c>
    </row>
    <row r="3200" customFormat="false" ht="15.75" hidden="false" customHeight="false" outlineLevel="0" collapsed="false">
      <c r="A3200" s="3" t="n">
        <v>46207</v>
      </c>
      <c r="B3200" s="4" t="s">
        <v>1237</v>
      </c>
      <c r="C3200" s="4" t="n">
        <v>6</v>
      </c>
      <c r="D3200" s="4" t="n">
        <v>6</v>
      </c>
      <c r="E3200" s="4" t="s">
        <v>1266</v>
      </c>
      <c r="F3200" s="4" t="n">
        <v>10</v>
      </c>
      <c r="G3200" s="4" t="n">
        <v>9</v>
      </c>
      <c r="H3200" s="4" t="n">
        <v>4</v>
      </c>
      <c r="I3200" s="4" t="str">
        <v>×</v>
      </c>
      <c r="J3200" s="4"/>
      <c r="K3200" s="4"/>
      <c r="L3200" s="4"/>
      <c r="M3200" s="5" t="s">
        <v>2677</v>
      </c>
    </row>
    <row r="3201" customFormat="false" ht="15.75" hidden="false" customHeight="false" outlineLevel="0" collapsed="false">
      <c r="A3201" s="3" t="n">
        <v>46207</v>
      </c>
      <c r="B3201" s="4" t="s">
        <v>1237</v>
      </c>
      <c r="C3201" s="4" t="n">
        <v>6</v>
      </c>
      <c r="D3201" s="4" t="n">
        <v>7</v>
      </c>
      <c r="E3201" s="4" t="s">
        <v>2951</v>
      </c>
      <c r="F3201" s="4" t="n">
        <v>4</v>
      </c>
      <c r="G3201" s="4" t="n">
        <v>10</v>
      </c>
      <c r="H3201" s="4" t="n">
        <v>4</v>
      </c>
      <c r="I3201" s="4" t="str">
        <v>×</v>
      </c>
      <c r="J3201" s="4"/>
      <c r="K3201" s="4"/>
      <c r="L3201" s="4"/>
      <c r="M3201" s="5" t="s">
        <v>2677</v>
      </c>
    </row>
    <row r="3202" customFormat="false" ht="15.75" hidden="false" customHeight="false" outlineLevel="0" collapsed="false">
      <c r="A3202" s="3" t="n">
        <v>46207</v>
      </c>
      <c r="B3202" s="4" t="s">
        <v>1237</v>
      </c>
      <c r="C3202" s="4" t="n">
        <v>6</v>
      </c>
      <c r="D3202" s="4" t="n">
        <v>8</v>
      </c>
      <c r="E3202" s="4" t="s">
        <v>2952</v>
      </c>
      <c r="F3202" s="4" t="n">
        <v>25</v>
      </c>
      <c r="G3202" s="4" t="n">
        <v>5</v>
      </c>
      <c r="H3202" s="4" t="n">
        <v>4</v>
      </c>
      <c r="I3202" s="4" t="str">
        <v>×</v>
      </c>
      <c r="J3202" s="4"/>
      <c r="K3202" s="4"/>
      <c r="L3202" s="4"/>
      <c r="M3202" s="5" t="s">
        <v>2677</v>
      </c>
    </row>
    <row r="3203" customFormat="false" ht="15.75" hidden="false" customHeight="false" outlineLevel="0" collapsed="false">
      <c r="A3203" s="3" t="n">
        <v>46207</v>
      </c>
      <c r="B3203" s="4" t="s">
        <v>1237</v>
      </c>
      <c r="C3203" s="4" t="n">
        <v>6</v>
      </c>
      <c r="D3203" s="4" t="n">
        <v>9</v>
      </c>
      <c r="E3203" s="4" t="s">
        <v>2953</v>
      </c>
      <c r="F3203" s="4" t="n">
        <v>2</v>
      </c>
      <c r="G3203" s="4" t="n">
        <v>12</v>
      </c>
      <c r="H3203" s="4" t="n">
        <v>4</v>
      </c>
      <c r="I3203" s="4" t="str">
        <v>×</v>
      </c>
      <c r="J3203" s="4"/>
      <c r="K3203" s="4"/>
      <c r="L3203" s="4"/>
      <c r="M3203" s="5" t="s">
        <v>2677</v>
      </c>
    </row>
    <row r="3204" customFormat="false" ht="15.75" hidden="false" customHeight="false" outlineLevel="0" collapsed="false">
      <c r="A3204" s="3" t="n">
        <v>46207</v>
      </c>
      <c r="B3204" s="4" t="s">
        <v>1237</v>
      </c>
      <c r="C3204" s="4" t="n">
        <v>6</v>
      </c>
      <c r="D3204" s="4" t="n">
        <v>10</v>
      </c>
      <c r="E3204" s="4" t="s">
        <v>1279</v>
      </c>
      <c r="F3204" s="4" t="n">
        <v>15</v>
      </c>
      <c r="G3204" s="4" t="n">
        <v>8</v>
      </c>
      <c r="H3204" s="4" t="n">
        <v>4</v>
      </c>
      <c r="I3204" s="4" t="str">
        <v>×</v>
      </c>
      <c r="J3204" s="4"/>
      <c r="K3204" s="4"/>
      <c r="L3204" s="4"/>
      <c r="M3204" s="5" t="s">
        <v>2677</v>
      </c>
    </row>
    <row r="3205" customFormat="false" ht="15.75" hidden="false" customHeight="false" outlineLevel="0" collapsed="false">
      <c r="A3205" s="3" t="n">
        <v>46207</v>
      </c>
      <c r="B3205" s="4" t="s">
        <v>1237</v>
      </c>
      <c r="C3205" s="4" t="n">
        <v>6</v>
      </c>
      <c r="D3205" s="4" t="n">
        <v>11</v>
      </c>
      <c r="E3205" s="4" t="s">
        <v>2954</v>
      </c>
      <c r="F3205" s="4" t="n">
        <v>20</v>
      </c>
      <c r="G3205" s="4" t="n">
        <v>7</v>
      </c>
      <c r="H3205" s="4" t="n">
        <v>2</v>
      </c>
      <c r="I3205" s="4" t="str">
        <v>○</v>
      </c>
      <c r="J3205" s="4" t="n">
        <v>300</v>
      </c>
      <c r="K3205" s="4"/>
      <c r="L3205" s="4"/>
      <c r="M3205" s="5" t="s">
        <v>2677</v>
      </c>
    </row>
    <row r="3206" customFormat="false" ht="15.75" hidden="false" customHeight="false" outlineLevel="0" collapsed="false">
      <c r="A3206" s="3" t="n">
        <v>46207</v>
      </c>
      <c r="B3206" s="4" t="s">
        <v>1237</v>
      </c>
      <c r="C3206" s="4" t="n">
        <v>6</v>
      </c>
      <c r="D3206" s="4" t="n">
        <v>12</v>
      </c>
      <c r="E3206" s="4" t="s">
        <v>2955</v>
      </c>
      <c r="F3206" s="4" t="n">
        <v>47</v>
      </c>
      <c r="G3206" s="4" t="n">
        <v>2</v>
      </c>
      <c r="H3206" s="4" t="n">
        <v>4</v>
      </c>
      <c r="I3206" s="4" t="str">
        <v>×</v>
      </c>
      <c r="J3206" s="4"/>
      <c r="K3206" s="4"/>
      <c r="L3206" s="4"/>
      <c r="M3206" s="5" t="s">
        <v>2677</v>
      </c>
    </row>
    <row r="3207" customFormat="false" ht="15.75" hidden="false" customHeight="false" outlineLevel="0" collapsed="false">
      <c r="A3207" s="3" t="n">
        <v>46207</v>
      </c>
      <c r="B3207" s="4" t="s">
        <v>1237</v>
      </c>
      <c r="C3207" s="4" t="n">
        <v>6</v>
      </c>
      <c r="D3207" s="4" t="n">
        <v>13</v>
      </c>
      <c r="E3207" s="4" t="s">
        <v>1287</v>
      </c>
      <c r="F3207" s="4" t="n">
        <v>23</v>
      </c>
      <c r="G3207" s="4" t="n">
        <v>6</v>
      </c>
      <c r="H3207" s="4" t="n">
        <v>4</v>
      </c>
      <c r="I3207" s="4" t="str">
        <v>×</v>
      </c>
      <c r="J3207" s="4"/>
      <c r="K3207" s="4"/>
      <c r="L3207" s="4"/>
      <c r="M3207" s="5" t="s">
        <v>2677</v>
      </c>
    </row>
    <row r="3208" customFormat="false" ht="15.75" hidden="false" customHeight="false" outlineLevel="0" collapsed="false">
      <c r="A3208" s="3" t="n">
        <v>46207</v>
      </c>
      <c r="B3208" s="4" t="s">
        <v>1237</v>
      </c>
      <c r="C3208" s="4" t="n">
        <v>6</v>
      </c>
      <c r="D3208" s="4" t="n">
        <v>14</v>
      </c>
      <c r="E3208" s="4" t="s">
        <v>1735</v>
      </c>
      <c r="F3208" s="4" t="n">
        <v>3</v>
      </c>
      <c r="G3208" s="4" t="n">
        <v>11</v>
      </c>
      <c r="H3208" s="4" t="n">
        <v>4</v>
      </c>
      <c r="I3208" s="4" t="str">
        <v>×</v>
      </c>
      <c r="J3208" s="4"/>
      <c r="K3208" s="4"/>
      <c r="L3208" s="4"/>
      <c r="M3208" s="5" t="s">
        <v>2677</v>
      </c>
    </row>
    <row r="3209" customFormat="false" ht="15.75" hidden="false" customHeight="false" outlineLevel="0" collapsed="false">
      <c r="A3209" s="3" t="n">
        <v>46207</v>
      </c>
      <c r="B3209" s="4" t="s">
        <v>1237</v>
      </c>
      <c r="C3209" s="4" t="n">
        <v>7</v>
      </c>
      <c r="D3209" s="4" t="n">
        <v>1</v>
      </c>
      <c r="E3209" s="4" t="s">
        <v>2956</v>
      </c>
      <c r="F3209" s="4" t="n">
        <v>41</v>
      </c>
      <c r="G3209" s="4" t="n">
        <v>3</v>
      </c>
      <c r="H3209" s="4" t="n">
        <v>4</v>
      </c>
      <c r="I3209" s="4" t="str">
        <v>×</v>
      </c>
      <c r="J3209" s="4"/>
      <c r="K3209" s="4"/>
      <c r="L3209" s="4"/>
      <c r="M3209" s="5" t="s">
        <v>2677</v>
      </c>
    </row>
    <row r="3210" customFormat="false" ht="15.75" hidden="false" customHeight="false" outlineLevel="0" collapsed="false">
      <c r="A3210" s="3" t="n">
        <v>46207</v>
      </c>
      <c r="B3210" s="4" t="s">
        <v>1237</v>
      </c>
      <c r="C3210" s="4" t="n">
        <v>7</v>
      </c>
      <c r="D3210" s="4" t="n">
        <v>2</v>
      </c>
      <c r="E3210" s="4" t="s">
        <v>2957</v>
      </c>
      <c r="F3210" s="4" t="n">
        <v>8</v>
      </c>
      <c r="G3210" s="4" t="n">
        <v>6</v>
      </c>
      <c r="H3210" s="4" t="n">
        <v>4</v>
      </c>
      <c r="I3210" s="4" t="str">
        <v>×</v>
      </c>
      <c r="J3210" s="4"/>
      <c r="K3210" s="4"/>
      <c r="L3210" s="4"/>
      <c r="M3210" s="5" t="s">
        <v>2677</v>
      </c>
    </row>
    <row r="3211" customFormat="false" ht="15.75" hidden="false" customHeight="false" outlineLevel="0" collapsed="false">
      <c r="A3211" s="3" t="n">
        <v>46207</v>
      </c>
      <c r="B3211" s="4" t="s">
        <v>1237</v>
      </c>
      <c r="C3211" s="4" t="n">
        <v>7</v>
      </c>
      <c r="D3211" s="4" t="n">
        <v>3</v>
      </c>
      <c r="E3211" s="4" t="s">
        <v>2958</v>
      </c>
      <c r="F3211" s="4" t="n">
        <v>81</v>
      </c>
      <c r="G3211" s="4" t="n">
        <v>1</v>
      </c>
      <c r="H3211" s="4" t="n">
        <v>2</v>
      </c>
      <c r="I3211" s="4" t="str">
        <v>○</v>
      </c>
      <c r="J3211" s="4" t="n">
        <v>110</v>
      </c>
      <c r="K3211" s="4" t="n">
        <v>1.1</v>
      </c>
      <c r="L3211" s="4" t="n">
        <v>1.1</v>
      </c>
      <c r="M3211" s="5" t="s">
        <v>2677</v>
      </c>
    </row>
    <row r="3212" customFormat="false" ht="15.75" hidden="false" customHeight="false" outlineLevel="0" collapsed="false">
      <c r="A3212" s="3" t="n">
        <v>46207</v>
      </c>
      <c r="B3212" s="4" t="s">
        <v>1237</v>
      </c>
      <c r="C3212" s="4" t="n">
        <v>7</v>
      </c>
      <c r="D3212" s="4" t="n">
        <v>4</v>
      </c>
      <c r="E3212" s="4" t="s">
        <v>1283</v>
      </c>
      <c r="F3212" s="4" t="n">
        <v>4</v>
      </c>
      <c r="G3212" s="4" t="n">
        <v>7</v>
      </c>
      <c r="H3212" s="4" t="n">
        <v>4</v>
      </c>
      <c r="I3212" s="4" t="str">
        <v>×</v>
      </c>
      <c r="J3212" s="4"/>
      <c r="K3212" s="4"/>
      <c r="L3212" s="4"/>
      <c r="M3212" s="5" t="s">
        <v>2677</v>
      </c>
    </row>
    <row r="3213" customFormat="false" ht="15.75" hidden="false" customHeight="false" outlineLevel="0" collapsed="false">
      <c r="A3213" s="3" t="n">
        <v>46207</v>
      </c>
      <c r="B3213" s="4" t="s">
        <v>1237</v>
      </c>
      <c r="C3213" s="4" t="n">
        <v>7</v>
      </c>
      <c r="D3213" s="4" t="n">
        <v>5</v>
      </c>
      <c r="E3213" s="4" t="s">
        <v>2959</v>
      </c>
      <c r="F3213" s="4" t="n">
        <v>17</v>
      </c>
      <c r="G3213" s="4" t="n">
        <v>5</v>
      </c>
      <c r="H3213" s="4" t="n">
        <v>3</v>
      </c>
      <c r="I3213" s="4" t="str">
        <v>○</v>
      </c>
      <c r="J3213" s="4" t="n">
        <v>350</v>
      </c>
      <c r="K3213" s="4"/>
      <c r="L3213" s="4"/>
      <c r="M3213" s="5" t="s">
        <v>2677</v>
      </c>
    </row>
    <row r="3214" customFormat="false" ht="15.75" hidden="false" customHeight="false" outlineLevel="0" collapsed="false">
      <c r="A3214" s="3" t="n">
        <v>46207</v>
      </c>
      <c r="B3214" s="4" t="s">
        <v>1237</v>
      </c>
      <c r="C3214" s="4" t="n">
        <v>7</v>
      </c>
      <c r="D3214" s="4" t="n">
        <v>6</v>
      </c>
      <c r="E3214" s="4" t="s">
        <v>1378</v>
      </c>
      <c r="F3214" s="4" t="n">
        <v>8</v>
      </c>
      <c r="G3214" s="4" t="n">
        <v>6</v>
      </c>
      <c r="H3214" s="4" t="n">
        <v>4</v>
      </c>
      <c r="I3214" s="4" t="str">
        <v>×</v>
      </c>
      <c r="J3214" s="4"/>
      <c r="K3214" s="4"/>
      <c r="L3214" s="4"/>
      <c r="M3214" s="5" t="s">
        <v>2677</v>
      </c>
    </row>
    <row r="3215" customFormat="false" ht="15.75" hidden="false" customHeight="false" outlineLevel="0" collapsed="false">
      <c r="A3215" s="3" t="n">
        <v>46207</v>
      </c>
      <c r="B3215" s="4" t="s">
        <v>1237</v>
      </c>
      <c r="C3215" s="4" t="n">
        <v>7</v>
      </c>
      <c r="D3215" s="4" t="n">
        <v>7</v>
      </c>
      <c r="E3215" s="4" t="s">
        <v>865</v>
      </c>
      <c r="F3215" s="4" t="n">
        <v>50</v>
      </c>
      <c r="G3215" s="4" t="n">
        <v>2</v>
      </c>
      <c r="H3215" s="4" t="n">
        <v>4</v>
      </c>
      <c r="I3215" s="4" t="str">
        <v>×</v>
      </c>
      <c r="J3215" s="4"/>
      <c r="K3215" s="4"/>
      <c r="L3215" s="4"/>
      <c r="M3215" s="5" t="s">
        <v>2677</v>
      </c>
    </row>
    <row r="3216" customFormat="false" ht="15.75" hidden="false" customHeight="false" outlineLevel="0" collapsed="false">
      <c r="A3216" s="3" t="n">
        <v>46207</v>
      </c>
      <c r="B3216" s="4" t="s">
        <v>1237</v>
      </c>
      <c r="C3216" s="4" t="n">
        <v>7</v>
      </c>
      <c r="D3216" s="4" t="n">
        <v>8</v>
      </c>
      <c r="E3216" s="4" t="s">
        <v>2960</v>
      </c>
      <c r="F3216" s="4" t="n">
        <v>20</v>
      </c>
      <c r="G3216" s="4" t="n">
        <v>4</v>
      </c>
      <c r="H3216" s="4" t="n">
        <v>4</v>
      </c>
      <c r="I3216" s="4" t="str">
        <v>×</v>
      </c>
      <c r="J3216" s="4"/>
      <c r="K3216" s="4"/>
      <c r="L3216" s="4"/>
      <c r="M3216" s="5" t="s">
        <v>2677</v>
      </c>
    </row>
    <row r="3217" customFormat="false" ht="15.75" hidden="false" customHeight="false" outlineLevel="0" collapsed="false">
      <c r="A3217" s="3" t="n">
        <v>46207</v>
      </c>
      <c r="B3217" s="4" t="s">
        <v>1237</v>
      </c>
      <c r="C3217" s="4" t="n">
        <v>7</v>
      </c>
      <c r="D3217" s="4" t="n">
        <v>9</v>
      </c>
      <c r="E3217" s="4" t="s">
        <v>1375</v>
      </c>
      <c r="F3217" s="4" t="n">
        <v>20</v>
      </c>
      <c r="G3217" s="4" t="n">
        <v>4</v>
      </c>
      <c r="H3217" s="4" t="n">
        <v>4</v>
      </c>
      <c r="I3217" s="4" t="str">
        <v>×</v>
      </c>
      <c r="J3217" s="4"/>
      <c r="K3217" s="4"/>
      <c r="L3217" s="4"/>
      <c r="M3217" s="5" t="s">
        <v>2677</v>
      </c>
    </row>
    <row r="3218" customFormat="false" ht="15.75" hidden="false" customHeight="false" outlineLevel="0" collapsed="false">
      <c r="A3218" s="3" t="n">
        <v>46207</v>
      </c>
      <c r="B3218" s="4" t="s">
        <v>1237</v>
      </c>
      <c r="C3218" s="4" t="n">
        <v>7</v>
      </c>
      <c r="D3218" s="4" t="n">
        <v>10</v>
      </c>
      <c r="E3218" s="4" t="s">
        <v>2961</v>
      </c>
      <c r="F3218" s="4" t="n">
        <v>20</v>
      </c>
      <c r="G3218" s="4" t="n">
        <v>4</v>
      </c>
      <c r="H3218" s="4" t="n">
        <v>1</v>
      </c>
      <c r="I3218" s="4" t="str">
        <v>○</v>
      </c>
      <c r="J3218" s="4" t="n">
        <v>190</v>
      </c>
      <c r="K3218" s="4"/>
      <c r="L3218" s="4"/>
      <c r="M3218" s="5" t="s">
        <v>2677</v>
      </c>
    </row>
    <row r="3219" customFormat="false" ht="15.75" hidden="false" customHeight="false" outlineLevel="0" collapsed="false">
      <c r="A3219" s="3" t="n">
        <v>46207</v>
      </c>
      <c r="B3219" s="4" t="s">
        <v>1237</v>
      </c>
      <c r="C3219" s="4" t="n">
        <v>8</v>
      </c>
      <c r="D3219" s="4" t="n">
        <v>1</v>
      </c>
      <c r="E3219" s="4" t="s">
        <v>2962</v>
      </c>
      <c r="F3219" s="4" t="n">
        <v>31</v>
      </c>
      <c r="G3219" s="4" t="n">
        <v>3</v>
      </c>
      <c r="H3219" s="4" t="n">
        <v>4</v>
      </c>
      <c r="I3219" s="4" t="str">
        <v>×</v>
      </c>
      <c r="J3219" s="4"/>
      <c r="K3219" s="4"/>
      <c r="L3219" s="4"/>
      <c r="M3219" s="5" t="s">
        <v>2677</v>
      </c>
    </row>
    <row r="3220" customFormat="false" ht="15.75" hidden="false" customHeight="false" outlineLevel="0" collapsed="false">
      <c r="A3220" s="3" t="n">
        <v>46207</v>
      </c>
      <c r="B3220" s="4" t="s">
        <v>1237</v>
      </c>
      <c r="C3220" s="4" t="n">
        <v>8</v>
      </c>
      <c r="D3220" s="4" t="n">
        <v>2</v>
      </c>
      <c r="E3220" s="4" t="s">
        <v>2963</v>
      </c>
      <c r="F3220" s="4" t="n">
        <v>13</v>
      </c>
      <c r="G3220" s="4" t="n">
        <v>6</v>
      </c>
      <c r="H3220" s="4" t="n">
        <v>3</v>
      </c>
      <c r="I3220" s="4" t="str">
        <v>○</v>
      </c>
      <c r="J3220" s="4"/>
      <c r="K3220" s="4"/>
      <c r="L3220" s="4"/>
      <c r="M3220" s="5" t="s">
        <v>2677</v>
      </c>
    </row>
    <row r="3221" customFormat="false" ht="15.75" hidden="false" customHeight="false" outlineLevel="0" collapsed="false">
      <c r="A3221" s="3" t="n">
        <v>46207</v>
      </c>
      <c r="B3221" s="4" t="s">
        <v>1237</v>
      </c>
      <c r="C3221" s="4" t="n">
        <v>8</v>
      </c>
      <c r="D3221" s="4" t="n">
        <v>3</v>
      </c>
      <c r="E3221" s="4" t="s">
        <v>2964</v>
      </c>
      <c r="F3221" s="4" t="n">
        <v>86</v>
      </c>
      <c r="G3221" s="4" t="n">
        <v>1</v>
      </c>
      <c r="H3221" s="4" t="n">
        <v>1</v>
      </c>
      <c r="I3221" s="4" t="str">
        <v>○</v>
      </c>
      <c r="J3221" s="4" t="n">
        <v>150</v>
      </c>
      <c r="K3221" s="4" t="n">
        <v>1.1</v>
      </c>
      <c r="L3221" s="4" t="n">
        <v>1.6</v>
      </c>
      <c r="M3221" s="5" t="s">
        <v>2677</v>
      </c>
    </row>
    <row r="3222" customFormat="false" ht="15.75" hidden="false" customHeight="false" outlineLevel="0" collapsed="false">
      <c r="A3222" s="3" t="n">
        <v>46207</v>
      </c>
      <c r="B3222" s="4" t="s">
        <v>1237</v>
      </c>
      <c r="C3222" s="4" t="n">
        <v>8</v>
      </c>
      <c r="D3222" s="4" t="n">
        <v>4</v>
      </c>
      <c r="E3222" s="4" t="s">
        <v>1331</v>
      </c>
      <c r="F3222" s="4" t="n">
        <v>23</v>
      </c>
      <c r="G3222" s="4" t="n">
        <v>5</v>
      </c>
      <c r="H3222" s="4" t="n">
        <v>2</v>
      </c>
      <c r="I3222" s="4" t="str">
        <v>○</v>
      </c>
      <c r="J3222" s="4" t="n">
        <v>440</v>
      </c>
      <c r="K3222" s="4"/>
      <c r="L3222" s="4"/>
      <c r="M3222" s="5" t="s">
        <v>2677</v>
      </c>
    </row>
    <row r="3223" customFormat="false" ht="15.75" hidden="false" customHeight="false" outlineLevel="0" collapsed="false">
      <c r="A3223" s="3" t="n">
        <v>46207</v>
      </c>
      <c r="B3223" s="4" t="s">
        <v>1237</v>
      </c>
      <c r="C3223" s="4" t="n">
        <v>8</v>
      </c>
      <c r="D3223" s="4" t="n">
        <v>5</v>
      </c>
      <c r="E3223" s="4" t="s">
        <v>2965</v>
      </c>
      <c r="F3223" s="4" t="n">
        <v>10</v>
      </c>
      <c r="G3223" s="4" t="n">
        <v>7</v>
      </c>
      <c r="H3223" s="4" t="n">
        <v>4</v>
      </c>
      <c r="I3223" s="4" t="str">
        <v>×</v>
      </c>
      <c r="J3223" s="4"/>
      <c r="K3223" s="4"/>
      <c r="L3223" s="4"/>
      <c r="M3223" s="5" t="s">
        <v>2677</v>
      </c>
    </row>
    <row r="3224" customFormat="false" ht="15.75" hidden="false" customHeight="false" outlineLevel="0" collapsed="false">
      <c r="A3224" s="3" t="n">
        <v>46207</v>
      </c>
      <c r="B3224" s="4" t="s">
        <v>1237</v>
      </c>
      <c r="C3224" s="4" t="n">
        <v>8</v>
      </c>
      <c r="D3224" s="4" t="n">
        <v>6</v>
      </c>
      <c r="E3224" s="4" t="s">
        <v>2966</v>
      </c>
      <c r="F3224" s="4" t="n">
        <v>67</v>
      </c>
      <c r="G3224" s="4" t="n">
        <v>2</v>
      </c>
      <c r="H3224" s="4" t="n">
        <v>4</v>
      </c>
      <c r="I3224" s="4" t="str">
        <v>×</v>
      </c>
      <c r="J3224" s="4"/>
      <c r="K3224" s="4"/>
      <c r="L3224" s="4"/>
      <c r="M3224" s="5" t="s">
        <v>2677</v>
      </c>
    </row>
    <row r="3225" customFormat="false" ht="15.75" hidden="false" customHeight="false" outlineLevel="0" collapsed="false">
      <c r="A3225" s="3" t="n">
        <v>46207</v>
      </c>
      <c r="B3225" s="4" t="s">
        <v>1237</v>
      </c>
      <c r="C3225" s="4" t="n">
        <v>8</v>
      </c>
      <c r="D3225" s="4" t="n">
        <v>7</v>
      </c>
      <c r="E3225" s="4" t="s">
        <v>1333</v>
      </c>
      <c r="F3225" s="4" t="n">
        <v>29</v>
      </c>
      <c r="G3225" s="4" t="n">
        <v>4</v>
      </c>
      <c r="H3225" s="4" t="n">
        <v>4</v>
      </c>
      <c r="I3225" s="4" t="str">
        <v>×</v>
      </c>
      <c r="J3225" s="4"/>
      <c r="K3225" s="4"/>
      <c r="L3225" s="4"/>
      <c r="M3225" s="5" t="s">
        <v>2677</v>
      </c>
    </row>
    <row r="3226" customFormat="false" ht="15.75" hidden="false" customHeight="false" outlineLevel="0" collapsed="false">
      <c r="A3226" s="3" t="n">
        <v>46207</v>
      </c>
      <c r="B3226" s="4" t="s">
        <v>1237</v>
      </c>
      <c r="C3226" s="4" t="n">
        <v>9</v>
      </c>
      <c r="D3226" s="4" t="n">
        <v>1</v>
      </c>
      <c r="E3226" s="4" t="s">
        <v>1340</v>
      </c>
      <c r="F3226" s="4" t="n">
        <v>65</v>
      </c>
      <c r="G3226" s="4" t="n">
        <v>1</v>
      </c>
      <c r="H3226" s="4" t="n">
        <v>3</v>
      </c>
      <c r="I3226" s="4" t="str">
        <v>○</v>
      </c>
      <c r="J3226" s="4" t="n">
        <v>150</v>
      </c>
      <c r="K3226" s="4"/>
      <c r="L3226" s="4"/>
      <c r="M3226" s="5" t="s">
        <v>2677</v>
      </c>
    </row>
    <row r="3227" customFormat="false" ht="15.75" hidden="false" customHeight="false" outlineLevel="0" collapsed="false">
      <c r="A3227" s="3" t="n">
        <v>46207</v>
      </c>
      <c r="B3227" s="4" t="s">
        <v>1237</v>
      </c>
      <c r="C3227" s="4" t="n">
        <v>9</v>
      </c>
      <c r="D3227" s="4" t="n">
        <v>2</v>
      </c>
      <c r="E3227" s="4" t="s">
        <v>1346</v>
      </c>
      <c r="F3227" s="4" t="n">
        <v>20</v>
      </c>
      <c r="G3227" s="4" t="n">
        <v>7</v>
      </c>
      <c r="H3227" s="4" t="n">
        <v>4</v>
      </c>
      <c r="I3227" s="4" t="str">
        <v>×</v>
      </c>
      <c r="J3227" s="4"/>
      <c r="K3227" s="4"/>
      <c r="L3227" s="4"/>
      <c r="M3227" s="5" t="s">
        <v>2677</v>
      </c>
    </row>
    <row r="3228" customFormat="false" ht="15.75" hidden="false" customHeight="false" outlineLevel="0" collapsed="false">
      <c r="A3228" s="3" t="n">
        <v>46207</v>
      </c>
      <c r="B3228" s="4" t="s">
        <v>1237</v>
      </c>
      <c r="C3228" s="4" t="n">
        <v>9</v>
      </c>
      <c r="D3228" s="4" t="n">
        <v>3</v>
      </c>
      <c r="E3228" s="4" t="s">
        <v>1348</v>
      </c>
      <c r="F3228" s="4" t="n">
        <v>47</v>
      </c>
      <c r="G3228" s="4" t="n">
        <v>2</v>
      </c>
      <c r="H3228" s="4" t="n">
        <v>4</v>
      </c>
      <c r="I3228" s="4" t="str">
        <v>×</v>
      </c>
      <c r="J3228" s="4"/>
      <c r="K3228" s="4"/>
      <c r="L3228" s="4"/>
      <c r="M3228" s="5" t="s">
        <v>2677</v>
      </c>
    </row>
    <row r="3229" customFormat="false" ht="15.75" hidden="false" customHeight="false" outlineLevel="0" collapsed="false">
      <c r="A3229" s="3" t="n">
        <v>46207</v>
      </c>
      <c r="B3229" s="4" t="s">
        <v>1237</v>
      </c>
      <c r="C3229" s="4" t="n">
        <v>9</v>
      </c>
      <c r="D3229" s="4" t="n">
        <v>4</v>
      </c>
      <c r="E3229" s="4" t="s">
        <v>417</v>
      </c>
      <c r="F3229" s="4" t="n">
        <v>41</v>
      </c>
      <c r="G3229" s="4" t="n">
        <v>4</v>
      </c>
      <c r="H3229" s="4" t="n">
        <v>4</v>
      </c>
      <c r="I3229" s="4" t="str">
        <v>×</v>
      </c>
      <c r="J3229" s="4"/>
      <c r="K3229" s="4"/>
      <c r="L3229" s="4"/>
      <c r="M3229" s="5" t="s">
        <v>2677</v>
      </c>
    </row>
    <row r="3230" customFormat="false" ht="15.75" hidden="false" customHeight="false" outlineLevel="0" collapsed="false">
      <c r="A3230" s="3" t="n">
        <v>46207</v>
      </c>
      <c r="B3230" s="4" t="s">
        <v>1237</v>
      </c>
      <c r="C3230" s="4" t="n">
        <v>9</v>
      </c>
      <c r="D3230" s="4" t="n">
        <v>5</v>
      </c>
      <c r="E3230" s="4" t="s">
        <v>2967</v>
      </c>
      <c r="F3230" s="4" t="n">
        <v>44</v>
      </c>
      <c r="G3230" s="4" t="n">
        <v>3</v>
      </c>
      <c r="H3230" s="4" t="n">
        <v>4</v>
      </c>
      <c r="I3230" s="4" t="str">
        <v>×</v>
      </c>
      <c r="J3230" s="4"/>
      <c r="K3230" s="4"/>
      <c r="L3230" s="4"/>
      <c r="M3230" s="5" t="s">
        <v>2677</v>
      </c>
    </row>
    <row r="3231" customFormat="false" ht="15.75" hidden="false" customHeight="false" outlineLevel="0" collapsed="false">
      <c r="A3231" s="3" t="n">
        <v>46207</v>
      </c>
      <c r="B3231" s="4" t="s">
        <v>1237</v>
      </c>
      <c r="C3231" s="4" t="n">
        <v>9</v>
      </c>
      <c r="D3231" s="4" t="n">
        <v>6</v>
      </c>
      <c r="E3231" s="4" t="s">
        <v>2968</v>
      </c>
      <c r="F3231" s="4" t="n">
        <v>34</v>
      </c>
      <c r="G3231" s="4" t="n">
        <v>5</v>
      </c>
      <c r="H3231" s="4" t="n">
        <v>1</v>
      </c>
      <c r="I3231" s="4" t="str">
        <v>○</v>
      </c>
      <c r="J3231" s="4" t="n">
        <v>190</v>
      </c>
      <c r="K3231" s="4"/>
      <c r="L3231" s="4"/>
      <c r="M3231" s="5" t="s">
        <v>2677</v>
      </c>
    </row>
    <row r="3232" customFormat="false" ht="15.75" hidden="false" customHeight="false" outlineLevel="0" collapsed="false">
      <c r="A3232" s="3" t="n">
        <v>46207</v>
      </c>
      <c r="B3232" s="4" t="s">
        <v>1237</v>
      </c>
      <c r="C3232" s="4" t="n">
        <v>9</v>
      </c>
      <c r="D3232" s="4" t="n">
        <v>7</v>
      </c>
      <c r="E3232" s="4" t="s">
        <v>2969</v>
      </c>
      <c r="F3232" s="4" t="n">
        <v>31</v>
      </c>
      <c r="G3232" s="4" t="n">
        <v>6</v>
      </c>
      <c r="H3232" s="4" t="n">
        <v>2</v>
      </c>
      <c r="I3232" s="4" t="str">
        <v>○</v>
      </c>
      <c r="J3232" s="4" t="n">
        <v>140</v>
      </c>
      <c r="K3232" s="4"/>
      <c r="L3232" s="4"/>
      <c r="M3232" s="5" t="s">
        <v>2677</v>
      </c>
    </row>
    <row r="3233" customFormat="false" ht="15.75" hidden="false" customHeight="false" outlineLevel="0" collapsed="false">
      <c r="A3233" s="3" t="n">
        <v>46207</v>
      </c>
      <c r="B3233" s="4" t="s">
        <v>1237</v>
      </c>
      <c r="C3233" s="4" t="n">
        <v>9</v>
      </c>
      <c r="D3233" s="4" t="n">
        <v>8</v>
      </c>
      <c r="E3233" s="4" t="s">
        <v>908</v>
      </c>
      <c r="F3233" s="4" t="n">
        <v>3</v>
      </c>
      <c r="G3233" s="4" t="n">
        <v>9</v>
      </c>
      <c r="H3233" s="4" t="n">
        <v>4</v>
      </c>
      <c r="I3233" s="4" t="str">
        <v>×</v>
      </c>
      <c r="J3233" s="4"/>
      <c r="K3233" s="4"/>
      <c r="L3233" s="4"/>
      <c r="M3233" s="5" t="s">
        <v>2677</v>
      </c>
    </row>
    <row r="3234" customFormat="false" ht="15.75" hidden="false" customHeight="false" outlineLevel="0" collapsed="false">
      <c r="A3234" s="3" t="n">
        <v>46207</v>
      </c>
      <c r="B3234" s="4" t="s">
        <v>1237</v>
      </c>
      <c r="C3234" s="4" t="n">
        <v>9</v>
      </c>
      <c r="D3234" s="4" t="n">
        <v>9</v>
      </c>
      <c r="E3234" s="4" t="s">
        <v>2970</v>
      </c>
      <c r="F3234" s="4" t="n">
        <v>4</v>
      </c>
      <c r="G3234" s="4" t="n">
        <v>8</v>
      </c>
      <c r="H3234" s="4" t="n">
        <v>4</v>
      </c>
      <c r="I3234" s="4" t="str">
        <v>×</v>
      </c>
      <c r="J3234" s="4"/>
      <c r="K3234" s="4"/>
      <c r="L3234" s="4"/>
      <c r="M3234" s="5" t="s">
        <v>2677</v>
      </c>
    </row>
    <row r="3235" customFormat="false" ht="15.75" hidden="false" customHeight="false" outlineLevel="0" collapsed="false">
      <c r="A3235" s="3" t="n">
        <v>46207</v>
      </c>
      <c r="B3235" s="4" t="s">
        <v>1237</v>
      </c>
      <c r="C3235" s="4" t="n">
        <v>10</v>
      </c>
      <c r="D3235" s="4" t="n">
        <v>1</v>
      </c>
      <c r="E3235" s="4" t="s">
        <v>459</v>
      </c>
      <c r="F3235" s="4" t="n">
        <v>32</v>
      </c>
      <c r="G3235" s="4" t="n">
        <v>4</v>
      </c>
      <c r="H3235" s="4" t="n">
        <v>2</v>
      </c>
      <c r="I3235" s="4" t="str">
        <v>○</v>
      </c>
      <c r="J3235" s="4" t="n">
        <v>220</v>
      </c>
      <c r="K3235" s="4"/>
      <c r="L3235" s="4"/>
      <c r="M3235" s="5" t="s">
        <v>2677</v>
      </c>
    </row>
    <row r="3236" customFormat="false" ht="15.75" hidden="false" customHeight="false" outlineLevel="0" collapsed="false">
      <c r="A3236" s="3" t="n">
        <v>46207</v>
      </c>
      <c r="B3236" s="4" t="s">
        <v>1237</v>
      </c>
      <c r="C3236" s="4" t="n">
        <v>10</v>
      </c>
      <c r="D3236" s="4" t="n">
        <v>2</v>
      </c>
      <c r="E3236" s="4" t="s">
        <v>2971</v>
      </c>
      <c r="F3236" s="4" t="n">
        <v>34</v>
      </c>
      <c r="G3236" s="4" t="n">
        <v>3</v>
      </c>
      <c r="H3236" s="4" t="n">
        <v>1</v>
      </c>
      <c r="I3236" s="4" t="str">
        <v>○</v>
      </c>
      <c r="J3236" s="4" t="n">
        <v>120</v>
      </c>
      <c r="K3236" s="4"/>
      <c r="L3236" s="4"/>
      <c r="M3236" s="5" t="s">
        <v>2677</v>
      </c>
    </row>
    <row r="3237" customFormat="false" ht="15.75" hidden="false" customHeight="false" outlineLevel="0" collapsed="false">
      <c r="A3237" s="3" t="n">
        <v>46207</v>
      </c>
      <c r="B3237" s="4" t="s">
        <v>1237</v>
      </c>
      <c r="C3237" s="4" t="n">
        <v>10</v>
      </c>
      <c r="D3237" s="4" t="n">
        <v>3</v>
      </c>
      <c r="E3237" s="4" t="s">
        <v>2972</v>
      </c>
      <c r="F3237" s="4" t="n">
        <v>23</v>
      </c>
      <c r="G3237" s="4" t="n">
        <v>6</v>
      </c>
      <c r="H3237" s="4" t="n">
        <v>4</v>
      </c>
      <c r="I3237" s="4" t="str">
        <v>×</v>
      </c>
      <c r="J3237" s="4"/>
      <c r="K3237" s="4"/>
      <c r="L3237" s="4"/>
      <c r="M3237" s="5" t="s">
        <v>2677</v>
      </c>
    </row>
    <row r="3238" customFormat="false" ht="15.75" hidden="false" customHeight="false" outlineLevel="0" collapsed="false">
      <c r="A3238" s="3" t="n">
        <v>46207</v>
      </c>
      <c r="B3238" s="4" t="s">
        <v>1237</v>
      </c>
      <c r="C3238" s="4" t="n">
        <v>10</v>
      </c>
      <c r="D3238" s="4" t="n">
        <v>4</v>
      </c>
      <c r="E3238" s="4" t="s">
        <v>464</v>
      </c>
      <c r="F3238" s="4" t="n">
        <v>2</v>
      </c>
      <c r="G3238" s="4" t="n">
        <v>11</v>
      </c>
      <c r="H3238" s="4" t="n">
        <v>4</v>
      </c>
      <c r="I3238" s="4" t="str">
        <v>×</v>
      </c>
      <c r="J3238" s="4"/>
      <c r="K3238" s="4"/>
      <c r="L3238" s="4"/>
      <c r="M3238" s="5" t="s">
        <v>2677</v>
      </c>
    </row>
    <row r="3239" customFormat="false" ht="15.75" hidden="false" customHeight="false" outlineLevel="0" collapsed="false">
      <c r="A3239" s="3" t="n">
        <v>46207</v>
      </c>
      <c r="B3239" s="4" t="s">
        <v>1237</v>
      </c>
      <c r="C3239" s="4" t="n">
        <v>10</v>
      </c>
      <c r="D3239" s="4" t="n">
        <v>5</v>
      </c>
      <c r="E3239" s="4" t="s">
        <v>463</v>
      </c>
      <c r="F3239" s="4" t="n">
        <v>60</v>
      </c>
      <c r="G3239" s="4" t="n">
        <v>1</v>
      </c>
      <c r="H3239" s="4" t="n">
        <v>4</v>
      </c>
      <c r="I3239" s="4" t="str">
        <v>×</v>
      </c>
      <c r="J3239" s="4"/>
      <c r="K3239" s="4"/>
      <c r="L3239" s="4"/>
      <c r="M3239" s="5" t="s">
        <v>2677</v>
      </c>
    </row>
    <row r="3240" customFormat="false" ht="15.75" hidden="false" customHeight="false" outlineLevel="0" collapsed="false">
      <c r="A3240" s="3" t="n">
        <v>46207</v>
      </c>
      <c r="B3240" s="4" t="s">
        <v>1237</v>
      </c>
      <c r="C3240" s="4" t="n">
        <v>10</v>
      </c>
      <c r="D3240" s="4" t="n">
        <v>6</v>
      </c>
      <c r="E3240" s="4" t="s">
        <v>2973</v>
      </c>
      <c r="F3240" s="4" t="n">
        <v>3</v>
      </c>
      <c r="G3240" s="4" t="n">
        <v>10</v>
      </c>
      <c r="H3240" s="4" t="n">
        <v>3</v>
      </c>
      <c r="I3240" s="4" t="str">
        <v>○</v>
      </c>
      <c r="J3240" s="4" t="n">
        <v>2510</v>
      </c>
      <c r="K3240" s="4"/>
      <c r="L3240" s="4"/>
      <c r="M3240" s="5" t="s">
        <v>2677</v>
      </c>
    </row>
    <row r="3241" customFormat="false" ht="15.75" hidden="false" customHeight="false" outlineLevel="0" collapsed="false">
      <c r="A3241" s="3" t="n">
        <v>46207</v>
      </c>
      <c r="B3241" s="4" t="s">
        <v>1237</v>
      </c>
      <c r="C3241" s="4" t="n">
        <v>10</v>
      </c>
      <c r="D3241" s="4" t="n">
        <v>7</v>
      </c>
      <c r="E3241" s="4" t="s">
        <v>2258</v>
      </c>
      <c r="F3241" s="4" t="n">
        <v>3</v>
      </c>
      <c r="G3241" s="4" t="n">
        <v>10</v>
      </c>
      <c r="H3241" s="4" t="n">
        <v>4</v>
      </c>
      <c r="I3241" s="4" t="str">
        <v>×</v>
      </c>
      <c r="J3241" s="4"/>
      <c r="K3241" s="4"/>
      <c r="L3241" s="4"/>
      <c r="M3241" s="5" t="s">
        <v>2677</v>
      </c>
    </row>
    <row r="3242" customFormat="false" ht="15.75" hidden="false" customHeight="false" outlineLevel="0" collapsed="false">
      <c r="A3242" s="3" t="n">
        <v>46207</v>
      </c>
      <c r="B3242" s="4" t="s">
        <v>1237</v>
      </c>
      <c r="C3242" s="4" t="n">
        <v>10</v>
      </c>
      <c r="D3242" s="4" t="n">
        <v>8</v>
      </c>
      <c r="E3242" s="4" t="s">
        <v>2974</v>
      </c>
      <c r="F3242" s="4" t="n">
        <v>31</v>
      </c>
      <c r="G3242" s="4" t="n">
        <v>5</v>
      </c>
      <c r="H3242" s="4" t="n">
        <v>4</v>
      </c>
      <c r="I3242" s="4" t="str">
        <v>×</v>
      </c>
      <c r="J3242" s="4"/>
      <c r="K3242" s="4"/>
      <c r="L3242" s="4"/>
      <c r="M3242" s="5" t="s">
        <v>2677</v>
      </c>
    </row>
    <row r="3243" customFormat="false" ht="15.75" hidden="false" customHeight="false" outlineLevel="0" collapsed="false">
      <c r="A3243" s="3" t="n">
        <v>46207</v>
      </c>
      <c r="B3243" s="4" t="s">
        <v>1237</v>
      </c>
      <c r="C3243" s="4" t="n">
        <v>10</v>
      </c>
      <c r="D3243" s="4" t="n">
        <v>9</v>
      </c>
      <c r="E3243" s="4" t="s">
        <v>2975</v>
      </c>
      <c r="F3243" s="4" t="n">
        <v>20</v>
      </c>
      <c r="G3243" s="4" t="n">
        <v>7</v>
      </c>
      <c r="H3243" s="4" t="n">
        <v>4</v>
      </c>
      <c r="I3243" s="4" t="str">
        <v>×</v>
      </c>
      <c r="J3243" s="4"/>
      <c r="K3243" s="4"/>
      <c r="L3243" s="4"/>
      <c r="M3243" s="5" t="s">
        <v>2677</v>
      </c>
    </row>
    <row r="3244" customFormat="false" ht="15.75" hidden="false" customHeight="false" outlineLevel="0" collapsed="false">
      <c r="A3244" s="3" t="n">
        <v>46207</v>
      </c>
      <c r="B3244" s="4" t="s">
        <v>1237</v>
      </c>
      <c r="C3244" s="4" t="n">
        <v>10</v>
      </c>
      <c r="D3244" s="4" t="n">
        <v>10</v>
      </c>
      <c r="E3244" s="4" t="s">
        <v>2976</v>
      </c>
      <c r="F3244" s="4" t="n">
        <v>15</v>
      </c>
      <c r="G3244" s="4" t="n">
        <v>9</v>
      </c>
      <c r="H3244" s="4" t="n">
        <v>4</v>
      </c>
      <c r="I3244" s="4" t="str">
        <v>×</v>
      </c>
      <c r="J3244" s="4"/>
      <c r="K3244" s="4"/>
      <c r="L3244" s="4"/>
      <c r="M3244" s="5" t="s">
        <v>2677</v>
      </c>
    </row>
    <row r="3245" customFormat="false" ht="15.75" hidden="false" customHeight="false" outlineLevel="0" collapsed="false">
      <c r="A3245" s="3" t="n">
        <v>46207</v>
      </c>
      <c r="B3245" s="4" t="s">
        <v>1237</v>
      </c>
      <c r="C3245" s="4" t="n">
        <v>10</v>
      </c>
      <c r="D3245" s="4" t="n">
        <v>11</v>
      </c>
      <c r="E3245" s="4" t="s">
        <v>1839</v>
      </c>
      <c r="F3245" s="4" t="n">
        <v>17</v>
      </c>
      <c r="G3245" s="4" t="n">
        <v>8</v>
      </c>
      <c r="H3245" s="4" t="n">
        <v>4</v>
      </c>
      <c r="I3245" s="4" t="str">
        <v>×</v>
      </c>
      <c r="J3245" s="4"/>
      <c r="K3245" s="4"/>
      <c r="L3245" s="4"/>
      <c r="M3245" s="5" t="s">
        <v>2677</v>
      </c>
    </row>
    <row r="3246" customFormat="false" ht="15.75" hidden="false" customHeight="false" outlineLevel="0" collapsed="false">
      <c r="A3246" s="3" t="n">
        <v>46207</v>
      </c>
      <c r="B3246" s="4" t="s">
        <v>1237</v>
      </c>
      <c r="C3246" s="4" t="n">
        <v>10</v>
      </c>
      <c r="D3246" s="4" t="n">
        <v>12</v>
      </c>
      <c r="E3246" s="4" t="s">
        <v>2977</v>
      </c>
      <c r="F3246" s="4" t="n">
        <v>3</v>
      </c>
      <c r="G3246" s="4" t="n">
        <v>10</v>
      </c>
      <c r="H3246" s="4" t="n">
        <v>4</v>
      </c>
      <c r="I3246" s="4" t="str">
        <v>×</v>
      </c>
      <c r="J3246" s="4"/>
      <c r="K3246" s="4"/>
      <c r="L3246" s="4"/>
      <c r="M3246" s="5" t="s">
        <v>2677</v>
      </c>
    </row>
    <row r="3247" customFormat="false" ht="15.75" hidden="false" customHeight="false" outlineLevel="0" collapsed="false">
      <c r="A3247" s="3" t="n">
        <v>46207</v>
      </c>
      <c r="B3247" s="4" t="s">
        <v>1237</v>
      </c>
      <c r="C3247" s="4" t="n">
        <v>10</v>
      </c>
      <c r="D3247" s="4" t="n">
        <v>13</v>
      </c>
      <c r="E3247" s="4" t="s">
        <v>458</v>
      </c>
      <c r="F3247" s="4" t="n">
        <v>20</v>
      </c>
      <c r="G3247" s="4" t="n">
        <v>7</v>
      </c>
      <c r="H3247" s="4" t="n">
        <v>4</v>
      </c>
      <c r="I3247" s="4" t="str">
        <v>×</v>
      </c>
      <c r="J3247" s="4"/>
      <c r="K3247" s="4"/>
      <c r="L3247" s="4"/>
      <c r="M3247" s="5" t="s">
        <v>2677</v>
      </c>
    </row>
    <row r="3248" customFormat="false" ht="15.75" hidden="false" customHeight="false" outlineLevel="0" collapsed="false">
      <c r="A3248" s="3" t="n">
        <v>46207</v>
      </c>
      <c r="B3248" s="4" t="s">
        <v>1237</v>
      </c>
      <c r="C3248" s="4" t="n">
        <v>10</v>
      </c>
      <c r="D3248" s="4" t="n">
        <v>14</v>
      </c>
      <c r="E3248" s="4" t="s">
        <v>2978</v>
      </c>
      <c r="F3248" s="4" t="n">
        <v>58</v>
      </c>
      <c r="G3248" s="4" t="n">
        <v>2</v>
      </c>
      <c r="H3248" s="4" t="n">
        <v>4</v>
      </c>
      <c r="I3248" s="4" t="str">
        <v>×</v>
      </c>
      <c r="J3248" s="4"/>
      <c r="K3248" s="4"/>
      <c r="L3248" s="4"/>
      <c r="M3248" s="5" t="s">
        <v>2677</v>
      </c>
    </row>
    <row r="3249" customFormat="false" ht="15.75" hidden="false" customHeight="false" outlineLevel="0" collapsed="false">
      <c r="A3249" s="3" t="n">
        <v>46207</v>
      </c>
      <c r="B3249" s="4" t="s">
        <v>1237</v>
      </c>
      <c r="C3249" s="4" t="n">
        <v>11</v>
      </c>
      <c r="D3249" s="4" t="n">
        <v>1</v>
      </c>
      <c r="E3249" s="4" t="s">
        <v>2979</v>
      </c>
      <c r="F3249" s="4" t="n">
        <v>29</v>
      </c>
      <c r="G3249" s="4" t="n">
        <v>5</v>
      </c>
      <c r="H3249" s="4" t="n">
        <v>4</v>
      </c>
      <c r="I3249" s="4" t="str">
        <v>×</v>
      </c>
      <c r="J3249" s="4"/>
      <c r="K3249" s="4"/>
      <c r="L3249" s="4"/>
      <c r="M3249" s="5" t="s">
        <v>2677</v>
      </c>
    </row>
    <row r="3250" customFormat="false" ht="15.75" hidden="false" customHeight="false" outlineLevel="0" collapsed="false">
      <c r="A3250" s="3" t="n">
        <v>46207</v>
      </c>
      <c r="B3250" s="4" t="s">
        <v>1237</v>
      </c>
      <c r="C3250" s="4" t="n">
        <v>11</v>
      </c>
      <c r="D3250" s="4" t="n">
        <v>2</v>
      </c>
      <c r="E3250" s="4" t="s">
        <v>448</v>
      </c>
      <c r="F3250" s="4" t="n">
        <v>17</v>
      </c>
      <c r="G3250" s="4" t="n">
        <v>6</v>
      </c>
      <c r="H3250" s="4" t="n">
        <v>4</v>
      </c>
      <c r="I3250" s="4" t="str">
        <v>×</v>
      </c>
      <c r="J3250" s="4"/>
      <c r="K3250" s="4"/>
      <c r="L3250" s="4"/>
      <c r="M3250" s="5" t="s">
        <v>2677</v>
      </c>
    </row>
    <row r="3251" customFormat="false" ht="15.75" hidden="false" customHeight="false" outlineLevel="0" collapsed="false">
      <c r="A3251" s="3" t="n">
        <v>46207</v>
      </c>
      <c r="B3251" s="4" t="s">
        <v>1237</v>
      </c>
      <c r="C3251" s="4" t="n">
        <v>11</v>
      </c>
      <c r="D3251" s="4" t="n">
        <v>3</v>
      </c>
      <c r="E3251" s="4" t="s">
        <v>2980</v>
      </c>
      <c r="F3251" s="4" t="n">
        <v>8</v>
      </c>
      <c r="G3251" s="4" t="n">
        <v>9</v>
      </c>
      <c r="H3251" s="4" t="n">
        <v>4</v>
      </c>
      <c r="I3251" s="4" t="str">
        <v>×</v>
      </c>
      <c r="J3251" s="4"/>
      <c r="K3251" s="4"/>
      <c r="L3251" s="4"/>
      <c r="M3251" s="5" t="s">
        <v>2677</v>
      </c>
    </row>
    <row r="3252" customFormat="false" ht="15.75" hidden="false" customHeight="false" outlineLevel="0" collapsed="false">
      <c r="A3252" s="3" t="n">
        <v>46207</v>
      </c>
      <c r="B3252" s="4" t="s">
        <v>1237</v>
      </c>
      <c r="C3252" s="4" t="n">
        <v>11</v>
      </c>
      <c r="D3252" s="4" t="n">
        <v>4</v>
      </c>
      <c r="E3252" s="4" t="s">
        <v>2981</v>
      </c>
      <c r="F3252" s="4" t="n">
        <v>15</v>
      </c>
      <c r="G3252" s="4" t="n">
        <v>7</v>
      </c>
      <c r="H3252" s="4" t="n">
        <v>4</v>
      </c>
      <c r="I3252" s="4" t="str">
        <v>×</v>
      </c>
      <c r="J3252" s="4"/>
      <c r="K3252" s="4"/>
      <c r="L3252" s="4"/>
      <c r="M3252" s="5" t="s">
        <v>2677</v>
      </c>
    </row>
    <row r="3253" customFormat="false" ht="15.75" hidden="false" customHeight="false" outlineLevel="0" collapsed="false">
      <c r="A3253" s="3" t="n">
        <v>46207</v>
      </c>
      <c r="B3253" s="4" t="s">
        <v>1237</v>
      </c>
      <c r="C3253" s="4" t="n">
        <v>11</v>
      </c>
      <c r="D3253" s="4" t="n">
        <v>5</v>
      </c>
      <c r="E3253" s="4" t="s">
        <v>445</v>
      </c>
      <c r="F3253" s="4" t="n">
        <v>67</v>
      </c>
      <c r="G3253" s="4" t="n">
        <v>1</v>
      </c>
      <c r="H3253" s="4" t="n">
        <v>4</v>
      </c>
      <c r="I3253" s="4" t="str">
        <v>×</v>
      </c>
      <c r="J3253" s="4"/>
      <c r="K3253" s="4"/>
      <c r="L3253" s="4"/>
      <c r="M3253" s="5" t="s">
        <v>2677</v>
      </c>
    </row>
    <row r="3254" customFormat="false" ht="15.75" hidden="false" customHeight="false" outlineLevel="0" collapsed="false">
      <c r="A3254" s="3" t="n">
        <v>46207</v>
      </c>
      <c r="B3254" s="4" t="s">
        <v>1237</v>
      </c>
      <c r="C3254" s="4" t="n">
        <v>11</v>
      </c>
      <c r="D3254" s="4" t="n">
        <v>6</v>
      </c>
      <c r="E3254" s="4" t="s">
        <v>444</v>
      </c>
      <c r="F3254" s="4" t="n">
        <v>34</v>
      </c>
      <c r="G3254" s="4" t="n">
        <v>3</v>
      </c>
      <c r="H3254" s="4" t="n">
        <v>4</v>
      </c>
      <c r="I3254" s="4" t="str">
        <v>×</v>
      </c>
      <c r="J3254" s="4"/>
      <c r="K3254" s="4"/>
      <c r="L3254" s="4"/>
      <c r="M3254" s="5" t="s">
        <v>2677</v>
      </c>
    </row>
    <row r="3255" customFormat="false" ht="15.75" hidden="false" customHeight="false" outlineLevel="0" collapsed="false">
      <c r="A3255" s="3" t="n">
        <v>46207</v>
      </c>
      <c r="B3255" s="4" t="s">
        <v>1237</v>
      </c>
      <c r="C3255" s="4" t="n">
        <v>11</v>
      </c>
      <c r="D3255" s="4" t="n">
        <v>7</v>
      </c>
      <c r="E3255" s="4" t="s">
        <v>2982</v>
      </c>
      <c r="F3255" s="4" t="n">
        <v>31</v>
      </c>
      <c r="G3255" s="4" t="n">
        <v>4</v>
      </c>
      <c r="H3255" s="4" t="n">
        <v>4</v>
      </c>
      <c r="I3255" s="4" t="str">
        <v>×</v>
      </c>
      <c r="J3255" s="4"/>
      <c r="K3255" s="4"/>
      <c r="L3255" s="4"/>
      <c r="M3255" s="5" t="s">
        <v>2677</v>
      </c>
    </row>
    <row r="3256" customFormat="false" ht="15.75" hidden="false" customHeight="false" outlineLevel="0" collapsed="false">
      <c r="A3256" s="3" t="n">
        <v>46207</v>
      </c>
      <c r="B3256" s="4" t="s">
        <v>1237</v>
      </c>
      <c r="C3256" s="4" t="n">
        <v>11</v>
      </c>
      <c r="D3256" s="4" t="n">
        <v>8</v>
      </c>
      <c r="E3256" s="4" t="s">
        <v>2983</v>
      </c>
      <c r="F3256" s="4" t="n">
        <v>34</v>
      </c>
      <c r="G3256" s="4" t="n">
        <v>3</v>
      </c>
      <c r="H3256" s="4" t="n">
        <v>1</v>
      </c>
      <c r="I3256" s="4" t="str">
        <v>○</v>
      </c>
      <c r="J3256" s="4" t="n">
        <v>220</v>
      </c>
      <c r="K3256" s="4"/>
      <c r="L3256" s="4"/>
      <c r="M3256" s="5" t="s">
        <v>2677</v>
      </c>
    </row>
    <row r="3257" customFormat="false" ht="15.75" hidden="false" customHeight="false" outlineLevel="0" collapsed="false">
      <c r="A3257" s="3" t="n">
        <v>46207</v>
      </c>
      <c r="B3257" s="4" t="s">
        <v>1237</v>
      </c>
      <c r="C3257" s="4" t="n">
        <v>11</v>
      </c>
      <c r="D3257" s="4" t="n">
        <v>9</v>
      </c>
      <c r="E3257" s="4" t="s">
        <v>454</v>
      </c>
      <c r="F3257" s="4" t="n">
        <v>13</v>
      </c>
      <c r="G3257" s="4" t="n">
        <v>8</v>
      </c>
      <c r="H3257" s="4" t="n">
        <v>4</v>
      </c>
      <c r="I3257" s="4" t="str">
        <v>×</v>
      </c>
      <c r="J3257" s="4"/>
      <c r="K3257" s="4"/>
      <c r="L3257" s="4"/>
      <c r="M3257" s="5" t="s">
        <v>2677</v>
      </c>
    </row>
    <row r="3258" customFormat="false" ht="15.75" hidden="false" customHeight="false" outlineLevel="0" collapsed="false">
      <c r="A3258" s="3" t="n">
        <v>46207</v>
      </c>
      <c r="B3258" s="4" t="s">
        <v>1237</v>
      </c>
      <c r="C3258" s="4" t="n">
        <v>11</v>
      </c>
      <c r="D3258" s="4" t="n">
        <v>10</v>
      </c>
      <c r="E3258" s="4" t="s">
        <v>2984</v>
      </c>
      <c r="F3258" s="4" t="n">
        <v>8</v>
      </c>
      <c r="G3258" s="4" t="n">
        <v>9</v>
      </c>
      <c r="H3258" s="4" t="n">
        <v>4</v>
      </c>
      <c r="I3258" s="4" t="str">
        <v>×</v>
      </c>
      <c r="J3258" s="4"/>
      <c r="K3258" s="4"/>
      <c r="L3258" s="4"/>
      <c r="M3258" s="5" t="s">
        <v>2677</v>
      </c>
    </row>
    <row r="3259" customFormat="false" ht="15.75" hidden="false" customHeight="false" outlineLevel="0" collapsed="false">
      <c r="A3259" s="3" t="n">
        <v>46207</v>
      </c>
      <c r="B3259" s="4" t="s">
        <v>1237</v>
      </c>
      <c r="C3259" s="4" t="n">
        <v>11</v>
      </c>
      <c r="D3259" s="4" t="n">
        <v>11</v>
      </c>
      <c r="E3259" s="4" t="s">
        <v>443</v>
      </c>
      <c r="F3259" s="4" t="n">
        <v>17</v>
      </c>
      <c r="G3259" s="4" t="n">
        <v>6</v>
      </c>
      <c r="H3259" s="4" t="n">
        <v>4</v>
      </c>
      <c r="I3259" s="4" t="str">
        <v>×</v>
      </c>
      <c r="J3259" s="4"/>
      <c r="K3259" s="4"/>
      <c r="L3259" s="4"/>
      <c r="M3259" s="5" t="s">
        <v>2677</v>
      </c>
    </row>
    <row r="3260" customFormat="false" ht="15.75" hidden="false" customHeight="false" outlineLevel="0" collapsed="false">
      <c r="A3260" s="3" t="n">
        <v>46207</v>
      </c>
      <c r="B3260" s="4" t="s">
        <v>1237</v>
      </c>
      <c r="C3260" s="4" t="n">
        <v>11</v>
      </c>
      <c r="D3260" s="4" t="n">
        <v>12</v>
      </c>
      <c r="E3260" s="4" t="s">
        <v>447</v>
      </c>
      <c r="F3260" s="4" t="n">
        <v>15</v>
      </c>
      <c r="G3260" s="4" t="n">
        <v>7</v>
      </c>
      <c r="H3260" s="4" t="n">
        <v>2</v>
      </c>
      <c r="I3260" s="4" t="str">
        <v>○</v>
      </c>
      <c r="J3260" s="4" t="n">
        <v>300</v>
      </c>
      <c r="K3260" s="4"/>
      <c r="L3260" s="4"/>
      <c r="M3260" s="5" t="s">
        <v>2677</v>
      </c>
    </row>
    <row r="3261" customFormat="false" ht="15.75" hidden="false" customHeight="false" outlineLevel="0" collapsed="false">
      <c r="A3261" s="3" t="n">
        <v>46207</v>
      </c>
      <c r="B3261" s="4" t="s">
        <v>1237</v>
      </c>
      <c r="C3261" s="4" t="n">
        <v>11</v>
      </c>
      <c r="D3261" s="4" t="n">
        <v>13</v>
      </c>
      <c r="E3261" s="4" t="s">
        <v>2985</v>
      </c>
      <c r="F3261" s="4" t="n">
        <v>13</v>
      </c>
      <c r="G3261" s="4" t="n">
        <v>8</v>
      </c>
      <c r="H3261" s="4" t="n">
        <v>4</v>
      </c>
      <c r="I3261" s="4" t="str">
        <v>×</v>
      </c>
      <c r="J3261" s="4"/>
      <c r="K3261" s="4"/>
      <c r="L3261" s="4"/>
      <c r="M3261" s="5" t="s">
        <v>2677</v>
      </c>
    </row>
    <row r="3262" customFormat="false" ht="15.75" hidden="false" customHeight="false" outlineLevel="0" collapsed="false">
      <c r="A3262" s="3" t="n">
        <v>46207</v>
      </c>
      <c r="B3262" s="4" t="s">
        <v>1237</v>
      </c>
      <c r="C3262" s="4" t="n">
        <v>11</v>
      </c>
      <c r="D3262" s="4" t="n">
        <v>14</v>
      </c>
      <c r="E3262" s="4" t="s">
        <v>446</v>
      </c>
      <c r="F3262" s="4" t="n">
        <v>35</v>
      </c>
      <c r="G3262" s="4" t="n">
        <v>2</v>
      </c>
      <c r="H3262" s="4" t="n">
        <v>3</v>
      </c>
      <c r="I3262" s="4" t="str">
        <v>○</v>
      </c>
      <c r="J3262" s="4" t="n">
        <v>520</v>
      </c>
      <c r="K3262" s="4"/>
      <c r="L3262" s="4"/>
      <c r="M3262" s="5" t="s">
        <v>2677</v>
      </c>
    </row>
    <row r="3263" customFormat="false" ht="15.75" hidden="false" customHeight="false" outlineLevel="0" collapsed="false">
      <c r="A3263" s="3" t="n">
        <v>46207</v>
      </c>
      <c r="B3263" s="4" t="s">
        <v>1237</v>
      </c>
      <c r="C3263" s="4" t="n">
        <v>11</v>
      </c>
      <c r="D3263" s="4" t="n">
        <v>15</v>
      </c>
      <c r="E3263" s="4" t="s">
        <v>1989</v>
      </c>
      <c r="F3263" s="4" t="n">
        <v>4</v>
      </c>
      <c r="G3263" s="4" t="n">
        <v>11</v>
      </c>
      <c r="H3263" s="4" t="n">
        <v>4</v>
      </c>
      <c r="I3263" s="4" t="str">
        <v>×</v>
      </c>
      <c r="J3263" s="4"/>
      <c r="K3263" s="4"/>
      <c r="L3263" s="4"/>
      <c r="M3263" s="5" t="s">
        <v>2677</v>
      </c>
    </row>
    <row r="3264" customFormat="false" ht="15.75" hidden="false" customHeight="false" outlineLevel="0" collapsed="false">
      <c r="A3264" s="3" t="n">
        <v>46207</v>
      </c>
      <c r="B3264" s="4" t="s">
        <v>1237</v>
      </c>
      <c r="C3264" s="4" t="n">
        <v>11</v>
      </c>
      <c r="D3264" s="4" t="n">
        <v>16</v>
      </c>
      <c r="E3264" s="4" t="s">
        <v>453</v>
      </c>
      <c r="F3264" s="4" t="n">
        <v>6</v>
      </c>
      <c r="G3264" s="4" t="n">
        <v>10</v>
      </c>
      <c r="H3264" s="4" t="n">
        <v>4</v>
      </c>
      <c r="I3264" s="4" t="str">
        <v>×</v>
      </c>
      <c r="J3264" s="4"/>
      <c r="K3264" s="4"/>
      <c r="L3264" s="4"/>
      <c r="M3264" s="5" t="s">
        <v>2677</v>
      </c>
    </row>
    <row r="3265" customFormat="false" ht="15.75" hidden="false" customHeight="false" outlineLevel="0" collapsed="false">
      <c r="A3265" s="3" t="n">
        <v>46207</v>
      </c>
      <c r="B3265" s="4" t="s">
        <v>1237</v>
      </c>
      <c r="C3265" s="4" t="n">
        <v>12</v>
      </c>
      <c r="D3265" s="4" t="n">
        <v>1</v>
      </c>
      <c r="E3265" s="4" t="s">
        <v>2986</v>
      </c>
      <c r="F3265" s="4" t="n">
        <v>23</v>
      </c>
      <c r="G3265" s="4" t="n">
        <v>4</v>
      </c>
      <c r="H3265" s="4" t="n">
        <v>4</v>
      </c>
      <c r="I3265" s="4" t="str">
        <v>×</v>
      </c>
      <c r="J3265" s="4"/>
      <c r="K3265" s="4"/>
      <c r="L3265" s="4"/>
      <c r="M3265" s="5" t="s">
        <v>2677</v>
      </c>
    </row>
    <row r="3266" customFormat="false" ht="15.75" hidden="false" customHeight="false" outlineLevel="0" collapsed="false">
      <c r="A3266" s="3" t="n">
        <v>46207</v>
      </c>
      <c r="B3266" s="4" t="s">
        <v>1237</v>
      </c>
      <c r="C3266" s="4" t="n">
        <v>12</v>
      </c>
      <c r="D3266" s="4" t="n">
        <v>2</v>
      </c>
      <c r="E3266" s="4" t="s">
        <v>1313</v>
      </c>
      <c r="F3266" s="4" t="n">
        <v>23</v>
      </c>
      <c r="G3266" s="4" t="n">
        <v>4</v>
      </c>
      <c r="H3266" s="4" t="n">
        <v>4</v>
      </c>
      <c r="I3266" s="4" t="str">
        <v>×</v>
      </c>
      <c r="J3266" s="4"/>
      <c r="K3266" s="4"/>
      <c r="L3266" s="4"/>
      <c r="M3266" s="5" t="s">
        <v>2677</v>
      </c>
    </row>
    <row r="3267" customFormat="false" ht="15.75" hidden="false" customHeight="false" outlineLevel="0" collapsed="false">
      <c r="A3267" s="3" t="n">
        <v>46207</v>
      </c>
      <c r="B3267" s="4" t="s">
        <v>1237</v>
      </c>
      <c r="C3267" s="4" t="n">
        <v>12</v>
      </c>
      <c r="D3267" s="4" t="n">
        <v>3</v>
      </c>
      <c r="E3267" s="4" t="s">
        <v>2987</v>
      </c>
      <c r="F3267" s="4" t="n">
        <v>75</v>
      </c>
      <c r="G3267" s="4" t="n">
        <v>1</v>
      </c>
      <c r="H3267" s="4" t="n">
        <v>3</v>
      </c>
      <c r="I3267" s="4" t="str">
        <v>○</v>
      </c>
      <c r="J3267" s="4"/>
      <c r="K3267" s="4"/>
      <c r="L3267" s="4"/>
      <c r="M3267" s="5" t="s">
        <v>2677</v>
      </c>
    </row>
    <row r="3268" customFormat="false" ht="15.75" hidden="false" customHeight="false" outlineLevel="0" collapsed="false">
      <c r="A3268" s="3" t="n">
        <v>46207</v>
      </c>
      <c r="B3268" s="4" t="s">
        <v>1237</v>
      </c>
      <c r="C3268" s="4" t="n">
        <v>12</v>
      </c>
      <c r="D3268" s="4" t="n">
        <v>4</v>
      </c>
      <c r="E3268" s="4" t="s">
        <v>2988</v>
      </c>
      <c r="F3268" s="4" t="n">
        <v>23</v>
      </c>
      <c r="G3268" s="4" t="n">
        <v>4</v>
      </c>
      <c r="H3268" s="4" t="n">
        <v>2</v>
      </c>
      <c r="I3268" s="4" t="str">
        <v>○</v>
      </c>
      <c r="J3268" s="4" t="n">
        <v>400</v>
      </c>
      <c r="K3268" s="4"/>
      <c r="L3268" s="4"/>
      <c r="M3268" s="5" t="s">
        <v>2677</v>
      </c>
    </row>
    <row r="3269" customFormat="false" ht="15.75" hidden="false" customHeight="false" outlineLevel="0" collapsed="false">
      <c r="A3269" s="3" t="n">
        <v>46207</v>
      </c>
      <c r="B3269" s="4" t="s">
        <v>1237</v>
      </c>
      <c r="C3269" s="4" t="n">
        <v>12</v>
      </c>
      <c r="D3269" s="4" t="n">
        <v>5</v>
      </c>
      <c r="E3269" s="4" t="s">
        <v>2989</v>
      </c>
      <c r="F3269" s="4" t="n">
        <v>34</v>
      </c>
      <c r="G3269" s="4" t="n">
        <v>3</v>
      </c>
      <c r="H3269" s="4" t="n">
        <v>4</v>
      </c>
      <c r="I3269" s="4" t="str">
        <v>×</v>
      </c>
      <c r="J3269" s="4"/>
      <c r="K3269" s="4"/>
      <c r="L3269" s="4"/>
      <c r="M3269" s="5" t="s">
        <v>2677</v>
      </c>
    </row>
    <row r="3270" customFormat="false" ht="15.75" hidden="false" customHeight="false" outlineLevel="0" collapsed="false">
      <c r="A3270" s="3" t="n">
        <v>46207</v>
      </c>
      <c r="B3270" s="4" t="s">
        <v>1237</v>
      </c>
      <c r="C3270" s="4" t="n">
        <v>12</v>
      </c>
      <c r="D3270" s="4" t="n">
        <v>6</v>
      </c>
      <c r="E3270" s="4" t="s">
        <v>1837</v>
      </c>
      <c r="F3270" s="4" t="n">
        <v>67</v>
      </c>
      <c r="G3270" s="4" t="n">
        <v>2</v>
      </c>
      <c r="H3270" s="4" t="n">
        <v>1</v>
      </c>
      <c r="I3270" s="4" t="str">
        <v>○</v>
      </c>
      <c r="J3270" s="4" t="n">
        <v>130</v>
      </c>
      <c r="K3270" s="4"/>
      <c r="L3270" s="4"/>
      <c r="M3270" s="5" t="s">
        <v>2677</v>
      </c>
    </row>
    <row r="3271" customFormat="false" ht="15.75" hidden="false" customHeight="false" outlineLevel="0" collapsed="false">
      <c r="A3271" s="3" t="n">
        <v>46207</v>
      </c>
      <c r="B3271" s="4" t="s">
        <v>1237</v>
      </c>
      <c r="C3271" s="4" t="n">
        <v>12</v>
      </c>
      <c r="D3271" s="4" t="n">
        <v>7</v>
      </c>
      <c r="E3271" s="4" t="s">
        <v>2990</v>
      </c>
      <c r="F3271" s="4" t="n">
        <v>23</v>
      </c>
      <c r="G3271" s="4" t="n">
        <v>4</v>
      </c>
      <c r="H3271" s="4" t="n">
        <v>4</v>
      </c>
      <c r="I3271" s="4" t="str">
        <v>×</v>
      </c>
      <c r="J3271" s="4"/>
      <c r="K3271" s="4"/>
      <c r="L3271" s="4"/>
      <c r="M3271" s="5" t="s">
        <v>2677</v>
      </c>
    </row>
    <row r="3272" customFormat="false" ht="15.75" hidden="false" customHeight="false" outlineLevel="0" collapsed="false">
      <c r="A3272" s="3" t="n">
        <v>46208</v>
      </c>
      <c r="B3272" s="4" t="s">
        <v>915</v>
      </c>
      <c r="C3272" s="4" t="n">
        <v>1</v>
      </c>
      <c r="D3272" s="4" t="n">
        <v>1</v>
      </c>
      <c r="E3272" s="4" t="s">
        <v>2991</v>
      </c>
      <c r="F3272" s="4" t="n">
        <v>4</v>
      </c>
      <c r="G3272" s="4" t="n">
        <v>7</v>
      </c>
      <c r="H3272" s="4" t="n">
        <v>4</v>
      </c>
      <c r="I3272" s="4" t="str">
        <v>×</v>
      </c>
      <c r="J3272" s="4"/>
      <c r="K3272" s="4"/>
      <c r="L3272" s="4"/>
      <c r="M3272" s="5" t="s">
        <v>2677</v>
      </c>
    </row>
    <row r="3273" customFormat="false" ht="15.75" hidden="false" customHeight="false" outlineLevel="0" collapsed="false">
      <c r="A3273" s="3" t="n">
        <v>46208</v>
      </c>
      <c r="B3273" s="4" t="s">
        <v>915</v>
      </c>
      <c r="C3273" s="4" t="n">
        <v>1</v>
      </c>
      <c r="D3273" s="4" t="n">
        <v>2</v>
      </c>
      <c r="E3273" s="4" t="s">
        <v>2992</v>
      </c>
      <c r="F3273" s="4" t="n">
        <v>3</v>
      </c>
      <c r="G3273" s="4" t="n">
        <v>8</v>
      </c>
      <c r="H3273" s="4" t="n">
        <v>4</v>
      </c>
      <c r="I3273" s="4" t="str">
        <v>×</v>
      </c>
      <c r="J3273" s="4"/>
      <c r="K3273" s="4"/>
      <c r="L3273" s="4"/>
      <c r="M3273" s="5" t="s">
        <v>2677</v>
      </c>
    </row>
    <row r="3274" customFormat="false" ht="15.75" hidden="false" customHeight="false" outlineLevel="0" collapsed="false">
      <c r="A3274" s="3" t="n">
        <v>46208</v>
      </c>
      <c r="B3274" s="4" t="s">
        <v>915</v>
      </c>
      <c r="C3274" s="4" t="n">
        <v>1</v>
      </c>
      <c r="D3274" s="4" t="n">
        <v>3</v>
      </c>
      <c r="E3274" s="4" t="s">
        <v>138</v>
      </c>
      <c r="F3274" s="4" t="n">
        <v>8</v>
      </c>
      <c r="G3274" s="4" t="n">
        <v>6</v>
      </c>
      <c r="H3274" s="4" t="n">
        <v>4</v>
      </c>
      <c r="I3274" s="4" t="str">
        <v>×</v>
      </c>
      <c r="J3274" s="4"/>
      <c r="K3274" s="4"/>
      <c r="L3274" s="4"/>
      <c r="M3274" s="5" t="s">
        <v>2677</v>
      </c>
    </row>
    <row r="3275" customFormat="false" ht="15.75" hidden="false" customHeight="false" outlineLevel="0" collapsed="false">
      <c r="A3275" s="3" t="n">
        <v>46208</v>
      </c>
      <c r="B3275" s="4" t="s">
        <v>915</v>
      </c>
      <c r="C3275" s="4" t="n">
        <v>1</v>
      </c>
      <c r="D3275" s="4" t="n">
        <v>4</v>
      </c>
      <c r="E3275" s="4" t="s">
        <v>2993</v>
      </c>
      <c r="F3275" s="4" t="n">
        <v>2</v>
      </c>
      <c r="G3275" s="4" t="n">
        <v>9</v>
      </c>
      <c r="H3275" s="4" t="n">
        <v>4</v>
      </c>
      <c r="I3275" s="4" t="str">
        <v>×</v>
      </c>
      <c r="J3275" s="4"/>
      <c r="K3275" s="4"/>
      <c r="L3275" s="4"/>
      <c r="M3275" s="5" t="s">
        <v>2677</v>
      </c>
    </row>
    <row r="3276" customFormat="false" ht="15.75" hidden="false" customHeight="false" outlineLevel="0" collapsed="false">
      <c r="A3276" s="3" t="n">
        <v>46208</v>
      </c>
      <c r="B3276" s="4" t="s">
        <v>915</v>
      </c>
      <c r="C3276" s="4" t="n">
        <v>1</v>
      </c>
      <c r="D3276" s="4" t="n">
        <v>5</v>
      </c>
      <c r="E3276" s="4" t="s">
        <v>2994</v>
      </c>
      <c r="F3276" s="4" t="n">
        <v>39</v>
      </c>
      <c r="G3276" s="4" t="n">
        <v>2</v>
      </c>
      <c r="H3276" s="4" t="n">
        <v>3</v>
      </c>
      <c r="I3276" s="4" t="str">
        <v>○</v>
      </c>
      <c r="J3276" s="4" t="n">
        <v>200</v>
      </c>
      <c r="K3276" s="4"/>
      <c r="L3276" s="4"/>
      <c r="M3276" s="5" t="s">
        <v>2677</v>
      </c>
    </row>
    <row r="3277" customFormat="false" ht="15.75" hidden="false" customHeight="false" outlineLevel="0" collapsed="false">
      <c r="A3277" s="3" t="n">
        <v>46208</v>
      </c>
      <c r="B3277" s="4" t="s">
        <v>915</v>
      </c>
      <c r="C3277" s="4" t="n">
        <v>1</v>
      </c>
      <c r="D3277" s="4" t="n">
        <v>6</v>
      </c>
      <c r="E3277" s="4" t="s">
        <v>2995</v>
      </c>
      <c r="F3277" s="4" t="n">
        <v>8</v>
      </c>
      <c r="G3277" s="4" t="n">
        <v>6</v>
      </c>
      <c r="H3277" s="4" t="n">
        <v>4</v>
      </c>
      <c r="I3277" s="4" t="str">
        <v>×</v>
      </c>
      <c r="J3277" s="4"/>
      <c r="K3277" s="4"/>
      <c r="L3277" s="4"/>
      <c r="M3277" s="5" t="s">
        <v>2677</v>
      </c>
    </row>
    <row r="3278" customFormat="false" ht="15.75" hidden="false" customHeight="false" outlineLevel="0" collapsed="false">
      <c r="A3278" s="3" t="n">
        <v>46208</v>
      </c>
      <c r="B3278" s="4" t="s">
        <v>915</v>
      </c>
      <c r="C3278" s="4" t="n">
        <v>1</v>
      </c>
      <c r="D3278" s="4" t="n">
        <v>7</v>
      </c>
      <c r="E3278" s="4" t="s">
        <v>2996</v>
      </c>
      <c r="F3278" s="4" t="n">
        <v>3</v>
      </c>
      <c r="G3278" s="4" t="n">
        <v>8</v>
      </c>
      <c r="H3278" s="4" t="n">
        <v>4</v>
      </c>
      <c r="I3278" s="4" t="str">
        <v>×</v>
      </c>
      <c r="J3278" s="4"/>
      <c r="K3278" s="4"/>
      <c r="L3278" s="4"/>
      <c r="M3278" s="5" t="s">
        <v>2677</v>
      </c>
    </row>
    <row r="3279" customFormat="false" ht="15.75" hidden="false" customHeight="false" outlineLevel="0" collapsed="false">
      <c r="A3279" s="3" t="n">
        <v>46208</v>
      </c>
      <c r="B3279" s="4" t="s">
        <v>915</v>
      </c>
      <c r="C3279" s="4" t="n">
        <v>1</v>
      </c>
      <c r="D3279" s="4" t="n">
        <v>8</v>
      </c>
      <c r="E3279" s="4" t="s">
        <v>139</v>
      </c>
      <c r="F3279" s="4" t="n">
        <v>8</v>
      </c>
      <c r="G3279" s="4" t="n">
        <v>6</v>
      </c>
      <c r="H3279" s="4" t="n">
        <v>4</v>
      </c>
      <c r="I3279" s="4" t="str">
        <v>×</v>
      </c>
      <c r="J3279" s="4"/>
      <c r="K3279" s="4"/>
      <c r="L3279" s="4"/>
      <c r="M3279" s="5" t="s">
        <v>2677</v>
      </c>
    </row>
    <row r="3280" customFormat="false" ht="15.75" hidden="false" customHeight="false" outlineLevel="0" collapsed="false">
      <c r="A3280" s="3" t="n">
        <v>46208</v>
      </c>
      <c r="B3280" s="4" t="s">
        <v>915</v>
      </c>
      <c r="C3280" s="4" t="n">
        <v>1</v>
      </c>
      <c r="D3280" s="4" t="n">
        <v>9</v>
      </c>
      <c r="E3280" s="4" t="s">
        <v>2997</v>
      </c>
      <c r="F3280" s="4" t="n">
        <v>8</v>
      </c>
      <c r="G3280" s="4" t="n">
        <v>6</v>
      </c>
      <c r="H3280" s="4" t="n">
        <v>4</v>
      </c>
      <c r="I3280" s="4" t="str">
        <v>×</v>
      </c>
      <c r="J3280" s="4"/>
      <c r="K3280" s="4"/>
      <c r="L3280" s="4"/>
      <c r="M3280" s="5" t="s">
        <v>2677</v>
      </c>
    </row>
    <row r="3281" customFormat="false" ht="15.75" hidden="false" customHeight="false" outlineLevel="0" collapsed="false">
      <c r="A3281" s="3" t="n">
        <v>46208</v>
      </c>
      <c r="B3281" s="4" t="s">
        <v>915</v>
      </c>
      <c r="C3281" s="4" t="n">
        <v>1</v>
      </c>
      <c r="D3281" s="4" t="n">
        <v>10</v>
      </c>
      <c r="E3281" s="4" t="s">
        <v>2998</v>
      </c>
      <c r="F3281" s="4" t="n">
        <v>39</v>
      </c>
      <c r="G3281" s="4" t="n">
        <v>2</v>
      </c>
      <c r="H3281" s="4" t="n">
        <v>1</v>
      </c>
      <c r="I3281" s="4" t="str">
        <v>○</v>
      </c>
      <c r="J3281" s="4" t="n">
        <v>240</v>
      </c>
      <c r="K3281" s="4"/>
      <c r="L3281" s="4"/>
      <c r="M3281" s="5" t="s">
        <v>2677</v>
      </c>
    </row>
    <row r="3282" customFormat="false" ht="15.75" hidden="false" customHeight="false" outlineLevel="0" collapsed="false">
      <c r="A3282" s="3" t="n">
        <v>46208</v>
      </c>
      <c r="B3282" s="4" t="s">
        <v>915</v>
      </c>
      <c r="C3282" s="4" t="n">
        <v>1</v>
      </c>
      <c r="D3282" s="4" t="n">
        <v>11</v>
      </c>
      <c r="E3282" s="4" t="s">
        <v>1426</v>
      </c>
      <c r="F3282" s="4" t="n">
        <v>37</v>
      </c>
      <c r="G3282" s="4" t="n">
        <v>3</v>
      </c>
      <c r="H3282" s="4" t="n">
        <v>2</v>
      </c>
      <c r="I3282" s="4" t="str">
        <v>○</v>
      </c>
      <c r="J3282" s="4" t="n">
        <v>390</v>
      </c>
      <c r="K3282" s="4"/>
      <c r="L3282" s="4"/>
      <c r="M3282" s="5" t="s">
        <v>2677</v>
      </c>
    </row>
    <row r="3283" customFormat="false" ht="15.75" hidden="false" customHeight="false" outlineLevel="0" collapsed="false">
      <c r="A3283" s="3" t="n">
        <v>46208</v>
      </c>
      <c r="B3283" s="4" t="s">
        <v>915</v>
      </c>
      <c r="C3283" s="4" t="n">
        <v>1</v>
      </c>
      <c r="D3283" s="4" t="n">
        <v>12</v>
      </c>
      <c r="E3283" s="4" t="s">
        <v>1477</v>
      </c>
      <c r="F3283" s="4" t="n">
        <v>10</v>
      </c>
      <c r="G3283" s="4" t="n">
        <v>5</v>
      </c>
      <c r="H3283" s="4" t="n">
        <v>4</v>
      </c>
      <c r="I3283" s="4" t="str">
        <v>×</v>
      </c>
      <c r="J3283" s="4"/>
      <c r="K3283" s="4"/>
      <c r="L3283" s="4"/>
      <c r="M3283" s="5" t="s">
        <v>2677</v>
      </c>
    </row>
    <row r="3284" customFormat="false" ht="15.75" hidden="false" customHeight="false" outlineLevel="0" collapsed="false">
      <c r="A3284" s="3" t="n">
        <v>46208</v>
      </c>
      <c r="B3284" s="4" t="s">
        <v>915</v>
      </c>
      <c r="C3284" s="4" t="n">
        <v>1</v>
      </c>
      <c r="D3284" s="4" t="n">
        <v>13</v>
      </c>
      <c r="E3284" s="4" t="s">
        <v>142</v>
      </c>
      <c r="F3284" s="4" t="n">
        <v>39</v>
      </c>
      <c r="G3284" s="4" t="n">
        <v>2</v>
      </c>
      <c r="H3284" s="4" t="n">
        <v>4</v>
      </c>
      <c r="I3284" s="4" t="str">
        <v>×</v>
      </c>
      <c r="J3284" s="4"/>
      <c r="K3284" s="4"/>
      <c r="L3284" s="4"/>
      <c r="M3284" s="5" t="s">
        <v>2677</v>
      </c>
    </row>
    <row r="3285" customFormat="false" ht="15.75" hidden="false" customHeight="false" outlineLevel="0" collapsed="false">
      <c r="A3285" s="3" t="n">
        <v>46208</v>
      </c>
      <c r="B3285" s="4" t="s">
        <v>915</v>
      </c>
      <c r="C3285" s="4" t="n">
        <v>1</v>
      </c>
      <c r="D3285" s="4" t="n">
        <v>14</v>
      </c>
      <c r="E3285" s="4" t="s">
        <v>135</v>
      </c>
      <c r="F3285" s="4" t="n">
        <v>31</v>
      </c>
      <c r="G3285" s="4" t="n">
        <v>4</v>
      </c>
      <c r="H3285" s="4" t="n">
        <v>4</v>
      </c>
      <c r="I3285" s="4" t="str">
        <v>×</v>
      </c>
      <c r="J3285" s="4"/>
      <c r="K3285" s="4"/>
      <c r="L3285" s="4"/>
      <c r="M3285" s="5" t="s">
        <v>2677</v>
      </c>
    </row>
    <row r="3286" customFormat="false" ht="15.75" hidden="false" customHeight="false" outlineLevel="0" collapsed="false">
      <c r="A3286" s="3" t="n">
        <v>46208</v>
      </c>
      <c r="B3286" s="4" t="s">
        <v>915</v>
      </c>
      <c r="C3286" s="4" t="n">
        <v>1</v>
      </c>
      <c r="D3286" s="4" t="n">
        <v>15</v>
      </c>
      <c r="E3286" s="4" t="s">
        <v>2999</v>
      </c>
      <c r="F3286" s="4" t="n">
        <v>44</v>
      </c>
      <c r="G3286" s="4" t="n">
        <v>1</v>
      </c>
      <c r="H3286" s="4" t="n">
        <v>4</v>
      </c>
      <c r="I3286" s="4" t="str">
        <v>×</v>
      </c>
      <c r="J3286" s="4"/>
      <c r="K3286" s="4"/>
      <c r="L3286" s="4"/>
      <c r="M3286" s="5" t="s">
        <v>2677</v>
      </c>
    </row>
    <row r="3287" customFormat="false" ht="15.75" hidden="false" customHeight="false" outlineLevel="0" collapsed="false">
      <c r="A3287" s="3" t="n">
        <v>46208</v>
      </c>
      <c r="B3287" s="4" t="s">
        <v>915</v>
      </c>
      <c r="C3287" s="4" t="n">
        <v>2</v>
      </c>
      <c r="D3287" s="4" t="n">
        <v>1</v>
      </c>
      <c r="E3287" s="4" t="s">
        <v>3000</v>
      </c>
      <c r="F3287" s="4" t="n">
        <v>13</v>
      </c>
      <c r="G3287" s="4" t="n">
        <v>6</v>
      </c>
      <c r="H3287" s="4" t="n">
        <v>4</v>
      </c>
      <c r="I3287" s="4" t="str">
        <v>×</v>
      </c>
      <c r="J3287" s="4"/>
      <c r="K3287" s="4"/>
      <c r="L3287" s="4"/>
      <c r="M3287" s="5" t="s">
        <v>2677</v>
      </c>
    </row>
    <row r="3288" customFormat="false" ht="15.75" hidden="false" customHeight="false" outlineLevel="0" collapsed="false">
      <c r="A3288" s="3" t="n">
        <v>46208</v>
      </c>
      <c r="B3288" s="4" t="s">
        <v>915</v>
      </c>
      <c r="C3288" s="4" t="n">
        <v>2</v>
      </c>
      <c r="D3288" s="4" t="n">
        <v>2</v>
      </c>
      <c r="E3288" s="4" t="s">
        <v>956</v>
      </c>
      <c r="F3288" s="4" t="n">
        <v>20</v>
      </c>
      <c r="G3288" s="4" t="n">
        <v>4</v>
      </c>
      <c r="H3288" s="4" t="n">
        <v>2</v>
      </c>
      <c r="I3288" s="4" t="str">
        <v>○</v>
      </c>
      <c r="J3288" s="4" t="n">
        <v>320</v>
      </c>
      <c r="K3288" s="4"/>
      <c r="L3288" s="4"/>
      <c r="M3288" s="5" t="s">
        <v>2677</v>
      </c>
    </row>
    <row r="3289" customFormat="false" ht="15.75" hidden="false" customHeight="false" outlineLevel="0" collapsed="false">
      <c r="A3289" s="3" t="n">
        <v>46208</v>
      </c>
      <c r="B3289" s="4" t="s">
        <v>915</v>
      </c>
      <c r="C3289" s="4" t="n">
        <v>2</v>
      </c>
      <c r="D3289" s="4" t="n">
        <v>3</v>
      </c>
      <c r="E3289" s="4" t="s">
        <v>3001</v>
      </c>
      <c r="F3289" s="4" t="n">
        <v>23</v>
      </c>
      <c r="G3289" s="4" t="n">
        <v>3</v>
      </c>
      <c r="H3289" s="4" t="n">
        <v>4</v>
      </c>
      <c r="I3289" s="4" t="str">
        <v>×</v>
      </c>
      <c r="J3289" s="4"/>
      <c r="K3289" s="4"/>
      <c r="L3289" s="4"/>
      <c r="M3289" s="5" t="s">
        <v>2677</v>
      </c>
    </row>
    <row r="3290" customFormat="false" ht="15.75" hidden="false" customHeight="false" outlineLevel="0" collapsed="false">
      <c r="A3290" s="3" t="n">
        <v>46208</v>
      </c>
      <c r="B3290" s="4" t="s">
        <v>915</v>
      </c>
      <c r="C3290" s="4" t="n">
        <v>2</v>
      </c>
      <c r="D3290" s="4" t="n">
        <v>4</v>
      </c>
      <c r="E3290" s="4" t="s">
        <v>3002</v>
      </c>
      <c r="F3290" s="4" t="n">
        <v>15</v>
      </c>
      <c r="G3290" s="4" t="n">
        <v>5</v>
      </c>
      <c r="H3290" s="4" t="n">
        <v>4</v>
      </c>
      <c r="I3290" s="4" t="str">
        <v>×</v>
      </c>
      <c r="J3290" s="4"/>
      <c r="K3290" s="4"/>
      <c r="L3290" s="4"/>
      <c r="M3290" s="5" t="s">
        <v>2677</v>
      </c>
    </row>
    <row r="3291" customFormat="false" ht="15.75" hidden="false" customHeight="false" outlineLevel="0" collapsed="false">
      <c r="A3291" s="3" t="n">
        <v>46208</v>
      </c>
      <c r="B3291" s="4" t="s">
        <v>915</v>
      </c>
      <c r="C3291" s="4" t="n">
        <v>2</v>
      </c>
      <c r="D3291" s="4" t="n">
        <v>5</v>
      </c>
      <c r="E3291" s="4" t="s">
        <v>3003</v>
      </c>
      <c r="F3291" s="4" t="n">
        <v>10</v>
      </c>
      <c r="G3291" s="4" t="n">
        <v>7</v>
      </c>
      <c r="H3291" s="4" t="n">
        <v>4</v>
      </c>
      <c r="I3291" s="4" t="str">
        <v>×</v>
      </c>
      <c r="J3291" s="4"/>
      <c r="K3291" s="4"/>
      <c r="L3291" s="4"/>
      <c r="M3291" s="5" t="s">
        <v>2677</v>
      </c>
    </row>
    <row r="3292" customFormat="false" ht="15.75" hidden="false" customHeight="false" outlineLevel="0" collapsed="false">
      <c r="A3292" s="3" t="n">
        <v>46208</v>
      </c>
      <c r="B3292" s="4" t="s">
        <v>915</v>
      </c>
      <c r="C3292" s="4" t="n">
        <v>2</v>
      </c>
      <c r="D3292" s="4" t="n">
        <v>6</v>
      </c>
      <c r="E3292" s="4" t="s">
        <v>3004</v>
      </c>
      <c r="F3292" s="4" t="n">
        <v>6</v>
      </c>
      <c r="G3292" s="4" t="n">
        <v>8</v>
      </c>
      <c r="H3292" s="4" t="n">
        <v>4</v>
      </c>
      <c r="I3292" s="4" t="str">
        <v>×</v>
      </c>
      <c r="J3292" s="4"/>
      <c r="K3292" s="4"/>
      <c r="L3292" s="4"/>
      <c r="M3292" s="5" t="s">
        <v>2677</v>
      </c>
    </row>
    <row r="3293" customFormat="false" ht="15.75" hidden="false" customHeight="false" outlineLevel="0" collapsed="false">
      <c r="A3293" s="3" t="n">
        <v>46208</v>
      </c>
      <c r="B3293" s="4" t="s">
        <v>915</v>
      </c>
      <c r="C3293" s="4" t="n">
        <v>2</v>
      </c>
      <c r="D3293" s="4" t="n">
        <v>7</v>
      </c>
      <c r="E3293" s="4" t="s">
        <v>3005</v>
      </c>
      <c r="F3293" s="4" t="n">
        <v>6</v>
      </c>
      <c r="G3293" s="4" t="n">
        <v>8</v>
      </c>
      <c r="H3293" s="4" t="n">
        <v>4</v>
      </c>
      <c r="I3293" s="4" t="str">
        <v>×</v>
      </c>
      <c r="J3293" s="4"/>
      <c r="K3293" s="4"/>
      <c r="L3293" s="4"/>
      <c r="M3293" s="5" t="s">
        <v>2677</v>
      </c>
    </row>
    <row r="3294" customFormat="false" ht="15.75" hidden="false" customHeight="false" outlineLevel="0" collapsed="false">
      <c r="A3294" s="3" t="n">
        <v>46208</v>
      </c>
      <c r="B3294" s="4" t="s">
        <v>915</v>
      </c>
      <c r="C3294" s="4" t="n">
        <v>2</v>
      </c>
      <c r="D3294" s="4" t="n">
        <v>8</v>
      </c>
      <c r="E3294" s="4" t="s">
        <v>3006</v>
      </c>
      <c r="F3294" s="4" t="n">
        <v>39</v>
      </c>
      <c r="G3294" s="4" t="n">
        <v>2</v>
      </c>
      <c r="H3294" s="4" t="n">
        <v>1</v>
      </c>
      <c r="I3294" s="4" t="str">
        <v>○</v>
      </c>
      <c r="J3294" s="4" t="n">
        <v>190</v>
      </c>
      <c r="K3294" s="4"/>
      <c r="L3294" s="4"/>
      <c r="M3294" s="5" t="s">
        <v>2677</v>
      </c>
    </row>
    <row r="3295" customFormat="false" ht="15.75" hidden="false" customHeight="false" outlineLevel="0" collapsed="false">
      <c r="A3295" s="3" t="n">
        <v>46208</v>
      </c>
      <c r="B3295" s="4" t="s">
        <v>915</v>
      </c>
      <c r="C3295" s="4" t="n">
        <v>2</v>
      </c>
      <c r="D3295" s="4" t="n">
        <v>9</v>
      </c>
      <c r="E3295" s="4" t="s">
        <v>3007</v>
      </c>
      <c r="F3295" s="4" t="n">
        <v>39</v>
      </c>
      <c r="G3295" s="4" t="n">
        <v>2</v>
      </c>
      <c r="H3295" s="4" t="n">
        <v>4</v>
      </c>
      <c r="I3295" s="4" t="str">
        <v>×</v>
      </c>
      <c r="J3295" s="4"/>
      <c r="K3295" s="4"/>
      <c r="L3295" s="4"/>
      <c r="M3295" s="5" t="s">
        <v>2677</v>
      </c>
    </row>
    <row r="3296" customFormat="false" ht="15.75" hidden="false" customHeight="false" outlineLevel="0" collapsed="false">
      <c r="A3296" s="3" t="n">
        <v>46208</v>
      </c>
      <c r="B3296" s="4" t="s">
        <v>915</v>
      </c>
      <c r="C3296" s="4" t="n">
        <v>2</v>
      </c>
      <c r="D3296" s="4" t="n">
        <v>10</v>
      </c>
      <c r="E3296" s="4" t="s">
        <v>963</v>
      </c>
      <c r="F3296" s="4" t="n">
        <v>6</v>
      </c>
      <c r="G3296" s="4" t="n">
        <v>8</v>
      </c>
      <c r="H3296" s="4" t="n">
        <v>4</v>
      </c>
      <c r="I3296" s="4" t="str">
        <v>×</v>
      </c>
      <c r="J3296" s="4"/>
      <c r="K3296" s="4"/>
      <c r="L3296" s="4"/>
      <c r="M3296" s="5" t="s">
        <v>2677</v>
      </c>
    </row>
    <row r="3297" customFormat="false" ht="15.75" hidden="false" customHeight="false" outlineLevel="0" collapsed="false">
      <c r="A3297" s="3" t="n">
        <v>46208</v>
      </c>
      <c r="B3297" s="4" t="s">
        <v>915</v>
      </c>
      <c r="C3297" s="4" t="n">
        <v>2</v>
      </c>
      <c r="D3297" s="4" t="n">
        <v>11</v>
      </c>
      <c r="E3297" s="4" t="s">
        <v>159</v>
      </c>
      <c r="F3297" s="4" t="n">
        <v>47</v>
      </c>
      <c r="G3297" s="4" t="n">
        <v>1</v>
      </c>
      <c r="H3297" s="4" t="n">
        <v>3</v>
      </c>
      <c r="I3297" s="4" t="str">
        <v>○</v>
      </c>
      <c r="J3297" s="4" t="n">
        <v>150</v>
      </c>
      <c r="K3297" s="4"/>
      <c r="L3297" s="4"/>
      <c r="M3297" s="5" t="s">
        <v>2677</v>
      </c>
    </row>
    <row r="3298" customFormat="false" ht="15.75" hidden="false" customHeight="false" outlineLevel="0" collapsed="false">
      <c r="A3298" s="3" t="n">
        <v>46208</v>
      </c>
      <c r="B3298" s="4" t="s">
        <v>915</v>
      </c>
      <c r="C3298" s="4" t="n">
        <v>2</v>
      </c>
      <c r="D3298" s="4" t="n">
        <v>12</v>
      </c>
      <c r="E3298" s="4" t="s">
        <v>3008</v>
      </c>
      <c r="F3298" s="4" t="n">
        <v>3</v>
      </c>
      <c r="G3298" s="4" t="n">
        <v>10</v>
      </c>
      <c r="H3298" s="4" t="n">
        <v>4</v>
      </c>
      <c r="I3298" s="4" t="str">
        <v>×</v>
      </c>
      <c r="J3298" s="4"/>
      <c r="K3298" s="4"/>
      <c r="L3298" s="4"/>
      <c r="M3298" s="5" t="s">
        <v>2677</v>
      </c>
    </row>
    <row r="3299" customFormat="false" ht="15.75" hidden="false" customHeight="false" outlineLevel="0" collapsed="false">
      <c r="A3299" s="3" t="n">
        <v>46208</v>
      </c>
      <c r="B3299" s="4" t="s">
        <v>915</v>
      </c>
      <c r="C3299" s="4" t="n">
        <v>2</v>
      </c>
      <c r="D3299" s="4" t="n">
        <v>13</v>
      </c>
      <c r="E3299" s="4" t="s">
        <v>3009</v>
      </c>
      <c r="F3299" s="4" t="n">
        <v>10</v>
      </c>
      <c r="G3299" s="4" t="n">
        <v>7</v>
      </c>
      <c r="H3299" s="4" t="n">
        <v>4</v>
      </c>
      <c r="I3299" s="4" t="str">
        <v>×</v>
      </c>
      <c r="J3299" s="4"/>
      <c r="K3299" s="4"/>
      <c r="L3299" s="4"/>
      <c r="M3299" s="5" t="s">
        <v>2677</v>
      </c>
    </row>
    <row r="3300" customFormat="false" ht="15.75" hidden="false" customHeight="false" outlineLevel="0" collapsed="false">
      <c r="A3300" s="3" t="n">
        <v>46208</v>
      </c>
      <c r="B3300" s="4" t="s">
        <v>915</v>
      </c>
      <c r="C3300" s="4" t="n">
        <v>2</v>
      </c>
      <c r="D3300" s="4" t="n">
        <v>14</v>
      </c>
      <c r="E3300" s="4" t="s">
        <v>3010</v>
      </c>
      <c r="F3300" s="4" t="n">
        <v>23</v>
      </c>
      <c r="G3300" s="4" t="n">
        <v>3</v>
      </c>
      <c r="H3300" s="4" t="n">
        <v>4</v>
      </c>
      <c r="I3300" s="4" t="str">
        <v>×</v>
      </c>
      <c r="J3300" s="4"/>
      <c r="K3300" s="4"/>
      <c r="L3300" s="4"/>
      <c r="M3300" s="5" t="s">
        <v>2677</v>
      </c>
    </row>
    <row r="3301" customFormat="false" ht="15.75" hidden="false" customHeight="false" outlineLevel="0" collapsed="false">
      <c r="A3301" s="3" t="n">
        <v>46208</v>
      </c>
      <c r="B3301" s="4" t="s">
        <v>915</v>
      </c>
      <c r="C3301" s="4" t="n">
        <v>2</v>
      </c>
      <c r="D3301" s="4" t="n">
        <v>15</v>
      </c>
      <c r="E3301" s="4" t="s">
        <v>3011</v>
      </c>
      <c r="F3301" s="4" t="n">
        <v>4</v>
      </c>
      <c r="G3301" s="4" t="n">
        <v>9</v>
      </c>
      <c r="H3301" s="4" t="n">
        <v>4</v>
      </c>
      <c r="I3301" s="4" t="str">
        <v>×</v>
      </c>
      <c r="J3301" s="4"/>
      <c r="K3301" s="4"/>
      <c r="L3301" s="4"/>
      <c r="M3301" s="5" t="s">
        <v>2677</v>
      </c>
    </row>
    <row r="3302" customFormat="false" ht="15.75" hidden="false" customHeight="false" outlineLevel="0" collapsed="false">
      <c r="A3302" s="3" t="n">
        <v>46208</v>
      </c>
      <c r="B3302" s="4" t="s">
        <v>915</v>
      </c>
      <c r="C3302" s="4" t="n">
        <v>2</v>
      </c>
      <c r="D3302" s="4" t="n">
        <v>16</v>
      </c>
      <c r="E3302" s="4" t="s">
        <v>3012</v>
      </c>
      <c r="F3302" s="4" t="n">
        <v>10</v>
      </c>
      <c r="G3302" s="4" t="n">
        <v>7</v>
      </c>
      <c r="H3302" s="4" t="n">
        <v>4</v>
      </c>
      <c r="I3302" s="4" t="str">
        <v>×</v>
      </c>
      <c r="J3302" s="4"/>
      <c r="K3302" s="4"/>
      <c r="L3302" s="4"/>
      <c r="M3302" s="5" t="s">
        <v>2677</v>
      </c>
    </row>
    <row r="3303" customFormat="false" ht="15.75" hidden="false" customHeight="false" outlineLevel="0" collapsed="false">
      <c r="A3303" s="3" t="n">
        <v>46208</v>
      </c>
      <c r="B3303" s="4" t="s">
        <v>915</v>
      </c>
      <c r="C3303" s="4" t="n">
        <v>3</v>
      </c>
      <c r="D3303" s="4" t="n">
        <v>1</v>
      </c>
      <c r="E3303" s="4" t="s">
        <v>3013</v>
      </c>
      <c r="F3303" s="4" t="n">
        <v>13</v>
      </c>
      <c r="G3303" s="4" t="n">
        <v>8</v>
      </c>
      <c r="H3303" s="4" t="n">
        <v>4</v>
      </c>
      <c r="I3303" s="4" t="str">
        <v>×</v>
      </c>
      <c r="J3303" s="4"/>
      <c r="K3303" s="4"/>
      <c r="L3303" s="4"/>
      <c r="M3303" s="5" t="s">
        <v>2677</v>
      </c>
    </row>
    <row r="3304" customFormat="false" ht="15.75" hidden="false" customHeight="false" outlineLevel="0" collapsed="false">
      <c r="A3304" s="3" t="n">
        <v>46208</v>
      </c>
      <c r="B3304" s="4" t="s">
        <v>915</v>
      </c>
      <c r="C3304" s="4" t="n">
        <v>3</v>
      </c>
      <c r="D3304" s="4" t="n">
        <v>2</v>
      </c>
      <c r="E3304" s="4" t="s">
        <v>3014</v>
      </c>
      <c r="F3304" s="4" t="n">
        <v>6</v>
      </c>
      <c r="G3304" s="4" t="n">
        <v>11</v>
      </c>
      <c r="H3304" s="4" t="n">
        <v>4</v>
      </c>
      <c r="I3304" s="4" t="str">
        <v>×</v>
      </c>
      <c r="J3304" s="4"/>
      <c r="K3304" s="4"/>
      <c r="L3304" s="4"/>
      <c r="M3304" s="5" t="s">
        <v>2677</v>
      </c>
    </row>
    <row r="3305" customFormat="false" ht="15.75" hidden="false" customHeight="false" outlineLevel="0" collapsed="false">
      <c r="A3305" s="3" t="n">
        <v>46208</v>
      </c>
      <c r="B3305" s="4" t="s">
        <v>915</v>
      </c>
      <c r="C3305" s="4" t="n">
        <v>3</v>
      </c>
      <c r="D3305" s="4" t="n">
        <v>3</v>
      </c>
      <c r="E3305" s="4" t="s">
        <v>1418</v>
      </c>
      <c r="F3305" s="4" t="n">
        <v>23</v>
      </c>
      <c r="G3305" s="4" t="n">
        <v>5</v>
      </c>
      <c r="H3305" s="4" t="n">
        <v>3</v>
      </c>
      <c r="I3305" s="4" t="str">
        <v>○</v>
      </c>
      <c r="J3305" s="4" t="n">
        <v>190</v>
      </c>
      <c r="K3305" s="4"/>
      <c r="L3305" s="4"/>
      <c r="M3305" s="5" t="s">
        <v>2677</v>
      </c>
    </row>
    <row r="3306" customFormat="false" ht="15.75" hidden="false" customHeight="false" outlineLevel="0" collapsed="false">
      <c r="A3306" s="3" t="n">
        <v>46208</v>
      </c>
      <c r="B3306" s="4" t="s">
        <v>915</v>
      </c>
      <c r="C3306" s="4" t="n">
        <v>3</v>
      </c>
      <c r="D3306" s="4" t="n">
        <v>4</v>
      </c>
      <c r="E3306" s="4" t="s">
        <v>3015</v>
      </c>
      <c r="F3306" s="4" t="n">
        <v>29</v>
      </c>
      <c r="G3306" s="4" t="n">
        <v>4</v>
      </c>
      <c r="H3306" s="4" t="n">
        <v>4</v>
      </c>
      <c r="I3306" s="4" t="str">
        <v>×</v>
      </c>
      <c r="J3306" s="4"/>
      <c r="K3306" s="4"/>
      <c r="L3306" s="4"/>
      <c r="M3306" s="5" t="s">
        <v>2677</v>
      </c>
    </row>
    <row r="3307" customFormat="false" ht="15.75" hidden="false" customHeight="false" outlineLevel="0" collapsed="false">
      <c r="A3307" s="3" t="n">
        <v>46208</v>
      </c>
      <c r="B3307" s="4" t="s">
        <v>915</v>
      </c>
      <c r="C3307" s="4" t="n">
        <v>3</v>
      </c>
      <c r="D3307" s="4" t="n">
        <v>5</v>
      </c>
      <c r="E3307" s="4" t="s">
        <v>3016</v>
      </c>
      <c r="F3307" s="4" t="n">
        <v>58</v>
      </c>
      <c r="G3307" s="4" t="n">
        <v>1</v>
      </c>
      <c r="H3307" s="4" t="n">
        <v>1</v>
      </c>
      <c r="I3307" s="4" t="str">
        <v>○</v>
      </c>
      <c r="J3307" s="4" t="n">
        <v>150</v>
      </c>
      <c r="K3307" s="4"/>
      <c r="L3307" s="4"/>
      <c r="M3307" s="5" t="s">
        <v>2677</v>
      </c>
    </row>
    <row r="3308" customFormat="false" ht="15.75" hidden="false" customHeight="false" outlineLevel="0" collapsed="false">
      <c r="A3308" s="3" t="n">
        <v>46208</v>
      </c>
      <c r="B3308" s="4" t="s">
        <v>915</v>
      </c>
      <c r="C3308" s="4" t="n">
        <v>3</v>
      </c>
      <c r="D3308" s="4" t="n">
        <v>6</v>
      </c>
      <c r="E3308" s="4" t="s">
        <v>3017</v>
      </c>
      <c r="F3308" s="4" t="n">
        <v>6</v>
      </c>
      <c r="G3308" s="4" t="n">
        <v>11</v>
      </c>
      <c r="H3308" s="4" t="n">
        <v>4</v>
      </c>
      <c r="I3308" s="4" t="str">
        <v>×</v>
      </c>
      <c r="J3308" s="4"/>
      <c r="K3308" s="4"/>
      <c r="L3308" s="4"/>
      <c r="M3308" s="5" t="s">
        <v>2677</v>
      </c>
    </row>
    <row r="3309" customFormat="false" ht="15.75" hidden="false" customHeight="false" outlineLevel="0" collapsed="false">
      <c r="A3309" s="3" t="n">
        <v>46208</v>
      </c>
      <c r="B3309" s="4" t="s">
        <v>915</v>
      </c>
      <c r="C3309" s="4" t="n">
        <v>3</v>
      </c>
      <c r="D3309" s="4" t="n">
        <v>7</v>
      </c>
      <c r="E3309" s="4" t="s">
        <v>3018</v>
      </c>
      <c r="F3309" s="4" t="n">
        <v>8</v>
      </c>
      <c r="G3309" s="4" t="n">
        <v>10</v>
      </c>
      <c r="H3309" s="4" t="n">
        <v>4</v>
      </c>
      <c r="I3309" s="4" t="str">
        <v>×</v>
      </c>
      <c r="J3309" s="4"/>
      <c r="K3309" s="4"/>
      <c r="L3309" s="4"/>
      <c r="M3309" s="5" t="s">
        <v>2677</v>
      </c>
    </row>
    <row r="3310" customFormat="false" ht="15.75" hidden="false" customHeight="false" outlineLevel="0" collapsed="false">
      <c r="A3310" s="3" t="n">
        <v>46208</v>
      </c>
      <c r="B3310" s="4" t="s">
        <v>915</v>
      </c>
      <c r="C3310" s="4" t="n">
        <v>3</v>
      </c>
      <c r="D3310" s="4" t="n">
        <v>8</v>
      </c>
      <c r="E3310" s="4" t="s">
        <v>3019</v>
      </c>
      <c r="F3310" s="4" t="n">
        <v>4</v>
      </c>
      <c r="G3310" s="4" t="n">
        <v>12</v>
      </c>
      <c r="H3310" s="4" t="n">
        <v>4</v>
      </c>
      <c r="I3310" s="4" t="str">
        <v>×</v>
      </c>
      <c r="J3310" s="4"/>
      <c r="K3310" s="4"/>
      <c r="L3310" s="4"/>
      <c r="M3310" s="5" t="s">
        <v>2677</v>
      </c>
    </row>
    <row r="3311" customFormat="false" ht="15.75" hidden="false" customHeight="false" outlineLevel="0" collapsed="false">
      <c r="A3311" s="3" t="n">
        <v>46208</v>
      </c>
      <c r="B3311" s="4" t="s">
        <v>915</v>
      </c>
      <c r="C3311" s="4" t="n">
        <v>3</v>
      </c>
      <c r="D3311" s="4" t="n">
        <v>9</v>
      </c>
      <c r="E3311" s="4" t="s">
        <v>3020</v>
      </c>
      <c r="F3311" s="4" t="n">
        <v>10</v>
      </c>
      <c r="G3311" s="4" t="n">
        <v>9</v>
      </c>
      <c r="H3311" s="4" t="n">
        <v>4</v>
      </c>
      <c r="I3311" s="4" t="str">
        <v>×</v>
      </c>
      <c r="J3311" s="4"/>
      <c r="K3311" s="4"/>
      <c r="L3311" s="4"/>
      <c r="M3311" s="5" t="s">
        <v>2677</v>
      </c>
    </row>
    <row r="3312" customFormat="false" ht="15.75" hidden="false" customHeight="false" outlineLevel="0" collapsed="false">
      <c r="A3312" s="3" t="n">
        <v>46208</v>
      </c>
      <c r="B3312" s="4" t="s">
        <v>915</v>
      </c>
      <c r="C3312" s="4" t="n">
        <v>3</v>
      </c>
      <c r="D3312" s="4" t="n">
        <v>10</v>
      </c>
      <c r="E3312" s="4" t="s">
        <v>3021</v>
      </c>
      <c r="F3312" s="4" t="n">
        <v>15</v>
      </c>
      <c r="G3312" s="4" t="n">
        <v>7</v>
      </c>
      <c r="H3312" s="4" t="n">
        <v>4</v>
      </c>
      <c r="I3312" s="4" t="str">
        <v>×</v>
      </c>
      <c r="J3312" s="4"/>
      <c r="K3312" s="4"/>
      <c r="L3312" s="4"/>
      <c r="M3312" s="5" t="s">
        <v>2677</v>
      </c>
    </row>
    <row r="3313" customFormat="false" ht="15.75" hidden="false" customHeight="false" outlineLevel="0" collapsed="false">
      <c r="A3313" s="3" t="n">
        <v>46208</v>
      </c>
      <c r="B3313" s="4" t="s">
        <v>915</v>
      </c>
      <c r="C3313" s="4" t="n">
        <v>3</v>
      </c>
      <c r="D3313" s="4" t="n">
        <v>11</v>
      </c>
      <c r="E3313" s="4" t="s">
        <v>3022</v>
      </c>
      <c r="F3313" s="4" t="n">
        <v>41</v>
      </c>
      <c r="G3313" s="4" t="n">
        <v>3</v>
      </c>
      <c r="H3313" s="4" t="n">
        <v>4</v>
      </c>
      <c r="I3313" s="4" t="str">
        <v>×</v>
      </c>
      <c r="J3313" s="4"/>
      <c r="K3313" s="4"/>
      <c r="L3313" s="4"/>
      <c r="M3313" s="5" t="s">
        <v>2677</v>
      </c>
    </row>
    <row r="3314" customFormat="false" ht="15.75" hidden="false" customHeight="false" outlineLevel="0" collapsed="false">
      <c r="A3314" s="3" t="n">
        <v>46208</v>
      </c>
      <c r="B3314" s="4" t="s">
        <v>915</v>
      </c>
      <c r="C3314" s="4" t="n">
        <v>3</v>
      </c>
      <c r="D3314" s="4" t="n">
        <v>12</v>
      </c>
      <c r="E3314" s="4" t="s">
        <v>3023</v>
      </c>
      <c r="F3314" s="4" t="n">
        <v>10</v>
      </c>
      <c r="G3314" s="4" t="n">
        <v>9</v>
      </c>
      <c r="H3314" s="4" t="n">
        <v>4</v>
      </c>
      <c r="I3314" s="4" t="str">
        <v>×</v>
      </c>
      <c r="J3314" s="4"/>
      <c r="K3314" s="4"/>
      <c r="L3314" s="4"/>
      <c r="M3314" s="5" t="s">
        <v>2677</v>
      </c>
    </row>
    <row r="3315" customFormat="false" ht="15.75" hidden="false" customHeight="false" outlineLevel="0" collapsed="false">
      <c r="A3315" s="3" t="n">
        <v>46208</v>
      </c>
      <c r="B3315" s="4" t="s">
        <v>915</v>
      </c>
      <c r="C3315" s="4" t="n">
        <v>3</v>
      </c>
      <c r="D3315" s="4" t="n">
        <v>13</v>
      </c>
      <c r="E3315" s="4" t="s">
        <v>3024</v>
      </c>
      <c r="F3315" s="4" t="n">
        <v>4</v>
      </c>
      <c r="G3315" s="4" t="n">
        <v>12</v>
      </c>
      <c r="H3315" s="4" t="n">
        <v>4</v>
      </c>
      <c r="I3315" s="4" t="str">
        <v>×</v>
      </c>
      <c r="J3315" s="4"/>
      <c r="K3315" s="4"/>
      <c r="L3315" s="4"/>
      <c r="M3315" s="5" t="s">
        <v>2677</v>
      </c>
    </row>
    <row r="3316" customFormat="false" ht="15.75" hidden="false" customHeight="false" outlineLevel="0" collapsed="false">
      <c r="A3316" s="3" t="n">
        <v>46208</v>
      </c>
      <c r="B3316" s="4" t="s">
        <v>915</v>
      </c>
      <c r="C3316" s="4" t="n">
        <v>3</v>
      </c>
      <c r="D3316" s="4" t="n">
        <v>14</v>
      </c>
      <c r="E3316" s="4" t="s">
        <v>3025</v>
      </c>
      <c r="F3316" s="4" t="n">
        <v>44</v>
      </c>
      <c r="G3316" s="4" t="n">
        <v>2</v>
      </c>
      <c r="H3316" s="4" t="n">
        <v>2</v>
      </c>
      <c r="I3316" s="4" t="str">
        <v>○</v>
      </c>
      <c r="J3316" s="4" t="n">
        <v>140</v>
      </c>
      <c r="K3316" s="4"/>
      <c r="L3316" s="4"/>
      <c r="M3316" s="5" t="s">
        <v>2677</v>
      </c>
    </row>
    <row r="3317" customFormat="false" ht="15.75" hidden="false" customHeight="false" outlineLevel="0" collapsed="false">
      <c r="A3317" s="3" t="n">
        <v>46208</v>
      </c>
      <c r="B3317" s="4" t="s">
        <v>915</v>
      </c>
      <c r="C3317" s="4" t="n">
        <v>3</v>
      </c>
      <c r="D3317" s="4" t="n">
        <v>15</v>
      </c>
      <c r="E3317" s="4" t="s">
        <v>3026</v>
      </c>
      <c r="F3317" s="4" t="n">
        <v>3</v>
      </c>
      <c r="G3317" s="4" t="n">
        <v>13</v>
      </c>
      <c r="H3317" s="4" t="n">
        <v>4</v>
      </c>
      <c r="I3317" s="4" t="str">
        <v>×</v>
      </c>
      <c r="J3317" s="4"/>
      <c r="K3317" s="4"/>
      <c r="L3317" s="4"/>
      <c r="M3317" s="5" t="s">
        <v>2677</v>
      </c>
    </row>
    <row r="3318" customFormat="false" ht="15.75" hidden="false" customHeight="false" outlineLevel="0" collapsed="false">
      <c r="A3318" s="3" t="n">
        <v>46208</v>
      </c>
      <c r="B3318" s="4" t="s">
        <v>915</v>
      </c>
      <c r="C3318" s="4" t="n">
        <v>3</v>
      </c>
      <c r="D3318" s="4" t="n">
        <v>16</v>
      </c>
      <c r="E3318" s="4" t="s">
        <v>3027</v>
      </c>
      <c r="F3318" s="4" t="n">
        <v>17</v>
      </c>
      <c r="G3318" s="4" t="n">
        <v>6</v>
      </c>
      <c r="H3318" s="4" t="n">
        <v>4</v>
      </c>
      <c r="I3318" s="4" t="str">
        <v>×</v>
      </c>
      <c r="J3318" s="4"/>
      <c r="K3318" s="4"/>
      <c r="L3318" s="4"/>
      <c r="M3318" s="5" t="s">
        <v>2677</v>
      </c>
    </row>
    <row r="3319" customFormat="false" ht="15.75" hidden="false" customHeight="false" outlineLevel="0" collapsed="false">
      <c r="A3319" s="3" t="n">
        <v>46208</v>
      </c>
      <c r="B3319" s="4" t="s">
        <v>915</v>
      </c>
      <c r="C3319" s="4" t="n">
        <v>4</v>
      </c>
      <c r="D3319" s="4" t="n">
        <v>1</v>
      </c>
      <c r="E3319" s="4" t="s">
        <v>3028</v>
      </c>
      <c r="F3319" s="4" t="n">
        <v>10</v>
      </c>
      <c r="G3319" s="4" t="n">
        <v>7</v>
      </c>
      <c r="H3319" s="4" t="n">
        <v>4</v>
      </c>
      <c r="I3319" s="4" t="str">
        <v>×</v>
      </c>
      <c r="J3319" s="4"/>
      <c r="K3319" s="4"/>
      <c r="L3319" s="4"/>
      <c r="M3319" s="5" t="s">
        <v>2677</v>
      </c>
    </row>
    <row r="3320" customFormat="false" ht="15.75" hidden="false" customHeight="false" outlineLevel="0" collapsed="false">
      <c r="A3320" s="3" t="n">
        <v>46208</v>
      </c>
      <c r="B3320" s="4" t="s">
        <v>915</v>
      </c>
      <c r="C3320" s="4" t="n">
        <v>4</v>
      </c>
      <c r="D3320" s="4" t="n">
        <v>2</v>
      </c>
      <c r="E3320" s="4" t="s">
        <v>3029</v>
      </c>
      <c r="F3320" s="4" t="n">
        <v>10</v>
      </c>
      <c r="G3320" s="4" t="n">
        <v>7</v>
      </c>
      <c r="H3320" s="4" t="n">
        <v>4</v>
      </c>
      <c r="I3320" s="4" t="str">
        <v>×</v>
      </c>
      <c r="J3320" s="4"/>
      <c r="K3320" s="4"/>
      <c r="L3320" s="4"/>
      <c r="M3320" s="5" t="s">
        <v>2677</v>
      </c>
    </row>
    <row r="3321" customFormat="false" ht="15.75" hidden="false" customHeight="false" outlineLevel="0" collapsed="false">
      <c r="A3321" s="3" t="n">
        <v>46208</v>
      </c>
      <c r="B3321" s="4" t="s">
        <v>915</v>
      </c>
      <c r="C3321" s="4" t="n">
        <v>4</v>
      </c>
      <c r="D3321" s="4" t="n">
        <v>3</v>
      </c>
      <c r="E3321" s="4" t="s">
        <v>3030</v>
      </c>
      <c r="F3321" s="4" t="n">
        <v>4</v>
      </c>
      <c r="G3321" s="4" t="n">
        <v>9</v>
      </c>
      <c r="H3321" s="4" t="n">
        <v>4</v>
      </c>
      <c r="I3321" s="4" t="str">
        <v>×</v>
      </c>
      <c r="J3321" s="4"/>
      <c r="K3321" s="4"/>
      <c r="L3321" s="4"/>
      <c r="M3321" s="5" t="s">
        <v>2677</v>
      </c>
    </row>
    <row r="3322" customFormat="false" ht="15.75" hidden="false" customHeight="false" outlineLevel="0" collapsed="false">
      <c r="A3322" s="3" t="n">
        <v>46208</v>
      </c>
      <c r="B3322" s="4" t="s">
        <v>915</v>
      </c>
      <c r="C3322" s="4" t="n">
        <v>4</v>
      </c>
      <c r="D3322" s="4" t="n">
        <v>4</v>
      </c>
      <c r="E3322" s="4" t="s">
        <v>3031</v>
      </c>
      <c r="F3322" s="4" t="n">
        <v>34</v>
      </c>
      <c r="G3322" s="4" t="n">
        <v>3</v>
      </c>
      <c r="H3322" s="4" t="n">
        <v>4</v>
      </c>
      <c r="I3322" s="4" t="str">
        <v>×</v>
      </c>
      <c r="J3322" s="4"/>
      <c r="K3322" s="4"/>
      <c r="L3322" s="4"/>
      <c r="M3322" s="5" t="s">
        <v>2677</v>
      </c>
    </row>
    <row r="3323" customFormat="false" ht="15.75" hidden="false" customHeight="false" outlineLevel="0" collapsed="false">
      <c r="A3323" s="3" t="n">
        <v>46208</v>
      </c>
      <c r="B3323" s="4" t="s">
        <v>915</v>
      </c>
      <c r="C3323" s="4" t="n">
        <v>4</v>
      </c>
      <c r="D3323" s="4" t="n">
        <v>5</v>
      </c>
      <c r="E3323" s="4" t="s">
        <v>3032</v>
      </c>
      <c r="F3323" s="4" t="n">
        <v>15</v>
      </c>
      <c r="G3323" s="4" t="n">
        <v>6</v>
      </c>
      <c r="H3323" s="4" t="n">
        <v>4</v>
      </c>
      <c r="I3323" s="4" t="str">
        <v>×</v>
      </c>
      <c r="J3323" s="4"/>
      <c r="K3323" s="4"/>
      <c r="L3323" s="4"/>
      <c r="M3323" s="5" t="s">
        <v>2677</v>
      </c>
    </row>
    <row r="3324" customFormat="false" ht="15.75" hidden="false" customHeight="false" outlineLevel="0" collapsed="false">
      <c r="A3324" s="3" t="n">
        <v>46208</v>
      </c>
      <c r="B3324" s="4" t="s">
        <v>915</v>
      </c>
      <c r="C3324" s="4" t="n">
        <v>4</v>
      </c>
      <c r="D3324" s="4" t="n">
        <v>6</v>
      </c>
      <c r="E3324" s="4" t="s">
        <v>3033</v>
      </c>
      <c r="F3324" s="4" t="n">
        <v>3</v>
      </c>
      <c r="G3324" s="4" t="n">
        <v>10</v>
      </c>
      <c r="H3324" s="4" t="n">
        <v>4</v>
      </c>
      <c r="I3324" s="4" t="str">
        <v>×</v>
      </c>
      <c r="J3324" s="4"/>
      <c r="K3324" s="4"/>
      <c r="L3324" s="4"/>
      <c r="M3324" s="5" t="s">
        <v>2677</v>
      </c>
    </row>
    <row r="3325" customFormat="false" ht="15.75" hidden="false" customHeight="false" outlineLevel="0" collapsed="false">
      <c r="A3325" s="3" t="n">
        <v>46208</v>
      </c>
      <c r="B3325" s="4" t="s">
        <v>915</v>
      </c>
      <c r="C3325" s="4" t="n">
        <v>4</v>
      </c>
      <c r="D3325" s="4" t="n">
        <v>7</v>
      </c>
      <c r="E3325" s="4" t="s">
        <v>3034</v>
      </c>
      <c r="F3325" s="4" t="n">
        <v>74</v>
      </c>
      <c r="G3325" s="4" t="n">
        <v>1</v>
      </c>
      <c r="H3325" s="4" t="n">
        <v>4</v>
      </c>
      <c r="I3325" s="4" t="str">
        <v>×</v>
      </c>
      <c r="J3325" s="4"/>
      <c r="K3325" s="4"/>
      <c r="L3325" s="4"/>
      <c r="M3325" s="5" t="s">
        <v>2677</v>
      </c>
    </row>
    <row r="3326" customFormat="false" ht="15.75" hidden="false" customHeight="false" outlineLevel="0" collapsed="false">
      <c r="A3326" s="3" t="n">
        <v>46208</v>
      </c>
      <c r="B3326" s="4" t="s">
        <v>915</v>
      </c>
      <c r="C3326" s="4" t="n">
        <v>4</v>
      </c>
      <c r="D3326" s="4" t="n">
        <v>8</v>
      </c>
      <c r="E3326" s="4" t="s">
        <v>492</v>
      </c>
      <c r="F3326" s="4" t="n">
        <v>23</v>
      </c>
      <c r="G3326" s="4" t="n">
        <v>5</v>
      </c>
      <c r="H3326" s="4" t="n">
        <v>2</v>
      </c>
      <c r="I3326" s="4" t="str">
        <v>○</v>
      </c>
      <c r="J3326" s="4" t="n">
        <v>420</v>
      </c>
      <c r="K3326" s="4"/>
      <c r="L3326" s="4"/>
      <c r="M3326" s="5" t="s">
        <v>2677</v>
      </c>
    </row>
    <row r="3327" customFormat="false" ht="15.75" hidden="false" customHeight="false" outlineLevel="0" collapsed="false">
      <c r="A3327" s="3" t="n">
        <v>46208</v>
      </c>
      <c r="B3327" s="4" t="s">
        <v>915</v>
      </c>
      <c r="C3327" s="4" t="n">
        <v>4</v>
      </c>
      <c r="D3327" s="4" t="n">
        <v>9</v>
      </c>
      <c r="E3327" s="4" t="s">
        <v>3035</v>
      </c>
      <c r="F3327" s="4" t="n">
        <v>3</v>
      </c>
      <c r="G3327" s="4" t="n">
        <v>10</v>
      </c>
      <c r="H3327" s="4" t="n">
        <v>4</v>
      </c>
      <c r="I3327" s="4" t="str">
        <v>×</v>
      </c>
      <c r="J3327" s="4"/>
      <c r="K3327" s="4"/>
      <c r="L3327" s="4"/>
      <c r="M3327" s="5" t="s">
        <v>2677</v>
      </c>
    </row>
    <row r="3328" customFormat="false" ht="15.75" hidden="false" customHeight="false" outlineLevel="0" collapsed="false">
      <c r="A3328" s="3" t="n">
        <v>46208</v>
      </c>
      <c r="B3328" s="4" t="s">
        <v>915</v>
      </c>
      <c r="C3328" s="4" t="n">
        <v>4</v>
      </c>
      <c r="D3328" s="4" t="n">
        <v>10</v>
      </c>
      <c r="E3328" s="4" t="s">
        <v>3036</v>
      </c>
      <c r="F3328" s="4" t="n">
        <v>66</v>
      </c>
      <c r="G3328" s="4" t="n">
        <v>2</v>
      </c>
      <c r="H3328" s="4" t="n">
        <v>1</v>
      </c>
      <c r="I3328" s="4" t="str">
        <v>○</v>
      </c>
      <c r="J3328" s="4" t="n">
        <v>150</v>
      </c>
      <c r="K3328" s="4"/>
      <c r="L3328" s="4"/>
      <c r="M3328" s="5" t="s">
        <v>2677</v>
      </c>
    </row>
    <row r="3329" customFormat="false" ht="15.75" hidden="false" customHeight="false" outlineLevel="0" collapsed="false">
      <c r="A3329" s="3" t="n">
        <v>46208</v>
      </c>
      <c r="B3329" s="4" t="s">
        <v>915</v>
      </c>
      <c r="C3329" s="4" t="n">
        <v>4</v>
      </c>
      <c r="D3329" s="4" t="n">
        <v>11</v>
      </c>
      <c r="E3329" s="4" t="s">
        <v>3037</v>
      </c>
      <c r="F3329" s="4" t="n">
        <v>8</v>
      </c>
      <c r="G3329" s="4" t="n">
        <v>8</v>
      </c>
      <c r="H3329" s="4" t="n">
        <v>4</v>
      </c>
      <c r="I3329" s="4" t="str">
        <v>×</v>
      </c>
      <c r="J3329" s="4"/>
      <c r="K3329" s="4"/>
      <c r="L3329" s="4"/>
      <c r="M3329" s="5" t="s">
        <v>2677</v>
      </c>
    </row>
    <row r="3330" customFormat="false" ht="15.75" hidden="false" customHeight="false" outlineLevel="0" collapsed="false">
      <c r="A3330" s="3" t="n">
        <v>46208</v>
      </c>
      <c r="B3330" s="4" t="s">
        <v>915</v>
      </c>
      <c r="C3330" s="4" t="n">
        <v>4</v>
      </c>
      <c r="D3330" s="4" t="n">
        <v>12</v>
      </c>
      <c r="E3330" s="4" t="s">
        <v>3038</v>
      </c>
      <c r="F3330" s="4" t="n">
        <v>4</v>
      </c>
      <c r="G3330" s="4" t="n">
        <v>9</v>
      </c>
      <c r="H3330" s="4" t="n">
        <v>4</v>
      </c>
      <c r="I3330" s="4" t="str">
        <v>×</v>
      </c>
      <c r="J3330" s="4"/>
      <c r="K3330" s="4"/>
      <c r="L3330" s="4"/>
      <c r="M3330" s="5" t="s">
        <v>2677</v>
      </c>
    </row>
    <row r="3331" customFormat="false" ht="15.75" hidden="false" customHeight="false" outlineLevel="0" collapsed="false">
      <c r="A3331" s="3" t="n">
        <v>46208</v>
      </c>
      <c r="B3331" s="4" t="s">
        <v>915</v>
      </c>
      <c r="C3331" s="4" t="n">
        <v>4</v>
      </c>
      <c r="D3331" s="4" t="n">
        <v>13</v>
      </c>
      <c r="E3331" s="4" t="s">
        <v>53</v>
      </c>
      <c r="F3331" s="4" t="n">
        <v>23</v>
      </c>
      <c r="G3331" s="4" t="n">
        <v>5</v>
      </c>
      <c r="H3331" s="4" t="n">
        <v>4</v>
      </c>
      <c r="I3331" s="4" t="str">
        <v>×</v>
      </c>
      <c r="J3331" s="4"/>
      <c r="K3331" s="4"/>
      <c r="L3331" s="4"/>
      <c r="M3331" s="5" t="s">
        <v>2677</v>
      </c>
    </row>
    <row r="3332" customFormat="false" ht="15.75" hidden="false" customHeight="false" outlineLevel="0" collapsed="false">
      <c r="A3332" s="3" t="n">
        <v>46208</v>
      </c>
      <c r="B3332" s="4" t="s">
        <v>915</v>
      </c>
      <c r="C3332" s="4" t="n">
        <v>4</v>
      </c>
      <c r="D3332" s="4" t="n">
        <v>14</v>
      </c>
      <c r="E3332" s="4" t="s">
        <v>1466</v>
      </c>
      <c r="F3332" s="4" t="n">
        <v>2</v>
      </c>
      <c r="G3332" s="4" t="n">
        <v>11</v>
      </c>
      <c r="H3332" s="4" t="n">
        <v>4</v>
      </c>
      <c r="I3332" s="4" t="str">
        <v>×</v>
      </c>
      <c r="J3332" s="4"/>
      <c r="K3332" s="4"/>
      <c r="L3332" s="4"/>
      <c r="M3332" s="5" t="s">
        <v>2677</v>
      </c>
    </row>
    <row r="3333" customFormat="false" ht="15.75" hidden="false" customHeight="false" outlineLevel="0" collapsed="false">
      <c r="A3333" s="3" t="n">
        <v>46208</v>
      </c>
      <c r="B3333" s="4" t="s">
        <v>915</v>
      </c>
      <c r="C3333" s="4" t="n">
        <v>4</v>
      </c>
      <c r="D3333" s="4" t="n">
        <v>15</v>
      </c>
      <c r="E3333" s="4" t="s">
        <v>3039</v>
      </c>
      <c r="F3333" s="4" t="n">
        <v>29</v>
      </c>
      <c r="G3333" s="4" t="n">
        <v>4</v>
      </c>
      <c r="H3333" s="4" t="n">
        <v>3</v>
      </c>
      <c r="I3333" s="4" t="str">
        <v>○</v>
      </c>
      <c r="J3333" s="4" t="n">
        <v>190</v>
      </c>
      <c r="K3333" s="4"/>
      <c r="L3333" s="4"/>
      <c r="M3333" s="5" t="s">
        <v>2677</v>
      </c>
    </row>
    <row r="3334" customFormat="false" ht="15.75" hidden="false" customHeight="false" outlineLevel="0" collapsed="false">
      <c r="A3334" s="3" t="n">
        <v>46208</v>
      </c>
      <c r="B3334" s="4" t="s">
        <v>915</v>
      </c>
      <c r="C3334" s="4" t="n">
        <v>4</v>
      </c>
      <c r="D3334" s="4" t="n">
        <v>16</v>
      </c>
      <c r="E3334" s="4" t="s">
        <v>1476</v>
      </c>
      <c r="F3334" s="4" t="n">
        <v>4</v>
      </c>
      <c r="G3334" s="4" t="n">
        <v>9</v>
      </c>
      <c r="H3334" s="4" t="n">
        <v>4</v>
      </c>
      <c r="I3334" s="4" t="str">
        <v>×</v>
      </c>
      <c r="J3334" s="4"/>
      <c r="K3334" s="4"/>
      <c r="L3334" s="4"/>
      <c r="M3334" s="5" t="s">
        <v>2677</v>
      </c>
    </row>
    <row r="3335" customFormat="false" ht="15.75" hidden="false" customHeight="false" outlineLevel="0" collapsed="false">
      <c r="A3335" s="3" t="n">
        <v>46208</v>
      </c>
      <c r="B3335" s="4" t="s">
        <v>915</v>
      </c>
      <c r="C3335" s="4" t="n">
        <v>5</v>
      </c>
      <c r="D3335" s="4" t="n">
        <v>1</v>
      </c>
      <c r="E3335" s="4" t="s">
        <v>21</v>
      </c>
      <c r="F3335" s="4" t="n">
        <v>8</v>
      </c>
      <c r="G3335" s="4" t="n">
        <v>7</v>
      </c>
      <c r="H3335" s="4" t="n">
        <v>4</v>
      </c>
      <c r="I3335" s="4" t="str">
        <v>×</v>
      </c>
      <c r="J3335" s="4"/>
      <c r="K3335" s="4"/>
      <c r="L3335" s="4"/>
      <c r="M3335" s="5" t="s">
        <v>2677</v>
      </c>
    </row>
    <row r="3336" customFormat="false" ht="15.75" hidden="false" customHeight="false" outlineLevel="0" collapsed="false">
      <c r="A3336" s="3" t="n">
        <v>46208</v>
      </c>
      <c r="B3336" s="4" t="s">
        <v>915</v>
      </c>
      <c r="C3336" s="4" t="n">
        <v>5</v>
      </c>
      <c r="D3336" s="4" t="n">
        <v>2</v>
      </c>
      <c r="E3336" s="4" t="s">
        <v>22</v>
      </c>
      <c r="F3336" s="4" t="n">
        <v>21</v>
      </c>
      <c r="G3336" s="4" t="n">
        <v>3</v>
      </c>
      <c r="H3336" s="4" t="n">
        <v>4</v>
      </c>
      <c r="I3336" s="4" t="str">
        <v>×</v>
      </c>
      <c r="J3336" s="4"/>
      <c r="K3336" s="4"/>
      <c r="L3336" s="4"/>
      <c r="M3336" s="5" t="s">
        <v>2677</v>
      </c>
    </row>
    <row r="3337" customFormat="false" ht="15.75" hidden="false" customHeight="false" outlineLevel="0" collapsed="false">
      <c r="A3337" s="3" t="n">
        <v>46208</v>
      </c>
      <c r="B3337" s="4" t="s">
        <v>915</v>
      </c>
      <c r="C3337" s="4" t="n">
        <v>5</v>
      </c>
      <c r="D3337" s="4" t="n">
        <v>3</v>
      </c>
      <c r="E3337" s="4" t="s">
        <v>3040</v>
      </c>
      <c r="F3337" s="4" t="n">
        <v>8</v>
      </c>
      <c r="G3337" s="4" t="n">
        <v>7</v>
      </c>
      <c r="H3337" s="4" t="n">
        <v>4</v>
      </c>
      <c r="I3337" s="4" t="str">
        <v>×</v>
      </c>
      <c r="J3337" s="4"/>
      <c r="K3337" s="4"/>
      <c r="L3337" s="4"/>
      <c r="M3337" s="5" t="s">
        <v>2677</v>
      </c>
    </row>
    <row r="3338" customFormat="false" ht="15.75" hidden="false" customHeight="false" outlineLevel="0" collapsed="false">
      <c r="A3338" s="3" t="n">
        <v>46208</v>
      </c>
      <c r="B3338" s="4" t="s">
        <v>915</v>
      </c>
      <c r="C3338" s="4" t="n">
        <v>5</v>
      </c>
      <c r="D3338" s="4" t="n">
        <v>4</v>
      </c>
      <c r="E3338" s="4" t="s">
        <v>3041</v>
      </c>
      <c r="F3338" s="4" t="n">
        <v>12</v>
      </c>
      <c r="G3338" s="4" t="n">
        <v>6</v>
      </c>
      <c r="H3338" s="4" t="n">
        <v>4</v>
      </c>
      <c r="I3338" s="4" t="str">
        <v>×</v>
      </c>
      <c r="J3338" s="4"/>
      <c r="K3338" s="4"/>
      <c r="L3338" s="4"/>
      <c r="M3338" s="5" t="s">
        <v>2677</v>
      </c>
    </row>
    <row r="3339" customFormat="false" ht="15.75" hidden="false" customHeight="false" outlineLevel="0" collapsed="false">
      <c r="A3339" s="3" t="n">
        <v>46208</v>
      </c>
      <c r="B3339" s="4" t="s">
        <v>915</v>
      </c>
      <c r="C3339" s="4" t="n">
        <v>5</v>
      </c>
      <c r="D3339" s="4" t="n">
        <v>5</v>
      </c>
      <c r="E3339" s="4" t="s">
        <v>3042</v>
      </c>
      <c r="F3339" s="4" t="n">
        <v>31</v>
      </c>
      <c r="G3339" s="4" t="n">
        <v>1</v>
      </c>
      <c r="H3339" s="4" t="n">
        <v>1</v>
      </c>
      <c r="I3339" s="4" t="str">
        <v>○</v>
      </c>
      <c r="J3339" s="4" t="n">
        <v>170</v>
      </c>
      <c r="K3339" s="4"/>
      <c r="L3339" s="4"/>
      <c r="M3339" s="5" t="s">
        <v>2677</v>
      </c>
    </row>
    <row r="3340" customFormat="false" ht="15.75" hidden="false" customHeight="false" outlineLevel="0" collapsed="false">
      <c r="A3340" s="3" t="n">
        <v>46208</v>
      </c>
      <c r="B3340" s="4" t="s">
        <v>915</v>
      </c>
      <c r="C3340" s="4" t="n">
        <v>5</v>
      </c>
      <c r="D3340" s="4" t="n">
        <v>6</v>
      </c>
      <c r="E3340" s="4" t="s">
        <v>3043</v>
      </c>
      <c r="F3340" s="4" t="n">
        <v>24</v>
      </c>
      <c r="G3340" s="4" t="n">
        <v>2</v>
      </c>
      <c r="H3340" s="4" t="n">
        <v>4</v>
      </c>
      <c r="I3340" s="4" t="str">
        <v>×</v>
      </c>
      <c r="J3340" s="4"/>
      <c r="K3340" s="4"/>
      <c r="L3340" s="4"/>
      <c r="M3340" s="5" t="s">
        <v>2677</v>
      </c>
    </row>
    <row r="3341" customFormat="false" ht="15.75" hidden="false" customHeight="false" outlineLevel="0" collapsed="false">
      <c r="A3341" s="3" t="n">
        <v>46208</v>
      </c>
      <c r="B3341" s="4" t="s">
        <v>915</v>
      </c>
      <c r="C3341" s="4" t="n">
        <v>5</v>
      </c>
      <c r="D3341" s="4" t="n">
        <v>7</v>
      </c>
      <c r="E3341" s="4" t="s">
        <v>3044</v>
      </c>
      <c r="F3341" s="4" t="n">
        <v>21</v>
      </c>
      <c r="G3341" s="4" t="n">
        <v>3</v>
      </c>
      <c r="H3341" s="4" t="n">
        <v>4</v>
      </c>
      <c r="I3341" s="4" t="str">
        <v>×</v>
      </c>
      <c r="J3341" s="4"/>
      <c r="K3341" s="4"/>
      <c r="L3341" s="4"/>
      <c r="M3341" s="5" t="s">
        <v>2677</v>
      </c>
    </row>
    <row r="3342" customFormat="false" ht="15.75" hidden="false" customHeight="false" outlineLevel="0" collapsed="false">
      <c r="A3342" s="3" t="n">
        <v>46208</v>
      </c>
      <c r="B3342" s="4" t="s">
        <v>915</v>
      </c>
      <c r="C3342" s="4" t="n">
        <v>5</v>
      </c>
      <c r="D3342" s="4" t="n">
        <v>8</v>
      </c>
      <c r="E3342" s="4" t="s">
        <v>935</v>
      </c>
      <c r="F3342" s="4" t="n">
        <v>16</v>
      </c>
      <c r="G3342" s="4" t="n">
        <v>4</v>
      </c>
      <c r="H3342" s="4" t="n">
        <v>4</v>
      </c>
      <c r="I3342" s="4" t="str">
        <v>×</v>
      </c>
      <c r="J3342" s="4"/>
      <c r="K3342" s="4"/>
      <c r="L3342" s="4"/>
      <c r="M3342" s="5" t="s">
        <v>2677</v>
      </c>
    </row>
    <row r="3343" customFormat="false" ht="15.75" hidden="false" customHeight="false" outlineLevel="0" collapsed="false">
      <c r="A3343" s="3" t="n">
        <v>46208</v>
      </c>
      <c r="B3343" s="4" t="s">
        <v>915</v>
      </c>
      <c r="C3343" s="4" t="n">
        <v>5</v>
      </c>
      <c r="D3343" s="4" t="n">
        <v>9</v>
      </c>
      <c r="E3343" s="4" t="s">
        <v>3045</v>
      </c>
      <c r="F3343" s="4" t="n">
        <v>6</v>
      </c>
      <c r="G3343" s="4" t="n">
        <v>8</v>
      </c>
      <c r="H3343" s="4" t="n">
        <v>4</v>
      </c>
      <c r="I3343" s="4" t="str">
        <v>×</v>
      </c>
      <c r="J3343" s="4"/>
      <c r="K3343" s="4"/>
      <c r="L3343" s="4"/>
      <c r="M3343" s="5" t="s">
        <v>2677</v>
      </c>
    </row>
    <row r="3344" customFormat="false" ht="15.75" hidden="false" customHeight="false" outlineLevel="0" collapsed="false">
      <c r="A3344" s="3" t="n">
        <v>46208</v>
      </c>
      <c r="B3344" s="4" t="s">
        <v>915</v>
      </c>
      <c r="C3344" s="4" t="n">
        <v>5</v>
      </c>
      <c r="D3344" s="4" t="n">
        <v>10</v>
      </c>
      <c r="E3344" s="4" t="s">
        <v>3046</v>
      </c>
      <c r="F3344" s="4" t="n">
        <v>16</v>
      </c>
      <c r="G3344" s="4" t="n">
        <v>4</v>
      </c>
      <c r="H3344" s="4" t="n">
        <v>4</v>
      </c>
      <c r="I3344" s="4" t="str">
        <v>×</v>
      </c>
      <c r="J3344" s="4"/>
      <c r="K3344" s="4"/>
      <c r="L3344" s="4"/>
      <c r="M3344" s="5" t="s">
        <v>2677</v>
      </c>
    </row>
    <row r="3345" customFormat="false" ht="15.75" hidden="false" customHeight="false" outlineLevel="0" collapsed="false">
      <c r="A3345" s="3" t="n">
        <v>46208</v>
      </c>
      <c r="B3345" s="4" t="s">
        <v>915</v>
      </c>
      <c r="C3345" s="4" t="n">
        <v>5</v>
      </c>
      <c r="D3345" s="4" t="n">
        <v>11</v>
      </c>
      <c r="E3345" s="4" t="s">
        <v>3047</v>
      </c>
      <c r="F3345" s="4" t="n">
        <v>14</v>
      </c>
      <c r="G3345" s="4" t="n">
        <v>5</v>
      </c>
      <c r="H3345" s="4" t="n">
        <v>4</v>
      </c>
      <c r="I3345" s="4" t="str">
        <v>×</v>
      </c>
      <c r="J3345" s="4"/>
      <c r="K3345" s="4"/>
      <c r="L3345" s="4"/>
      <c r="M3345" s="5" t="s">
        <v>2677</v>
      </c>
    </row>
    <row r="3346" customFormat="false" ht="15.75" hidden="false" customHeight="false" outlineLevel="0" collapsed="false">
      <c r="A3346" s="3" t="n">
        <v>46208</v>
      </c>
      <c r="B3346" s="4" t="s">
        <v>915</v>
      </c>
      <c r="C3346" s="4" t="n">
        <v>5</v>
      </c>
      <c r="D3346" s="4" t="n">
        <v>12</v>
      </c>
      <c r="E3346" s="4" t="s">
        <v>3048</v>
      </c>
      <c r="F3346" s="4" t="n">
        <v>8</v>
      </c>
      <c r="G3346" s="4" t="n">
        <v>7</v>
      </c>
      <c r="H3346" s="4" t="n">
        <v>2</v>
      </c>
      <c r="I3346" s="4" t="str">
        <v>○</v>
      </c>
      <c r="J3346" s="4" t="n">
        <v>880</v>
      </c>
      <c r="K3346" s="4"/>
      <c r="L3346" s="4"/>
      <c r="M3346" s="5" t="s">
        <v>2677</v>
      </c>
    </row>
    <row r="3347" customFormat="false" ht="15.75" hidden="false" customHeight="false" outlineLevel="0" collapsed="false">
      <c r="A3347" s="3" t="n">
        <v>46208</v>
      </c>
      <c r="B3347" s="4" t="s">
        <v>915</v>
      </c>
      <c r="C3347" s="4" t="n">
        <v>5</v>
      </c>
      <c r="D3347" s="4" t="n">
        <v>13</v>
      </c>
      <c r="E3347" s="4" t="s">
        <v>937</v>
      </c>
      <c r="F3347" s="4" t="n">
        <v>21</v>
      </c>
      <c r="G3347" s="4" t="n">
        <v>3</v>
      </c>
      <c r="H3347" s="4" t="n">
        <v>4</v>
      </c>
      <c r="I3347" s="4" t="str">
        <v>×</v>
      </c>
      <c r="J3347" s="4"/>
      <c r="K3347" s="4"/>
      <c r="L3347" s="4"/>
      <c r="M3347" s="5" t="s">
        <v>2677</v>
      </c>
    </row>
    <row r="3348" customFormat="false" ht="15.75" hidden="false" customHeight="false" outlineLevel="0" collapsed="false">
      <c r="A3348" s="3" t="n">
        <v>46208</v>
      </c>
      <c r="B3348" s="4" t="s">
        <v>915</v>
      </c>
      <c r="C3348" s="4" t="n">
        <v>5</v>
      </c>
      <c r="D3348" s="4" t="n">
        <v>14</v>
      </c>
      <c r="E3348" s="4" t="s">
        <v>3049</v>
      </c>
      <c r="F3348" s="4" t="n">
        <v>24</v>
      </c>
      <c r="G3348" s="4" t="n">
        <v>2</v>
      </c>
      <c r="H3348" s="4" t="n">
        <v>3</v>
      </c>
      <c r="I3348" s="4" t="str">
        <v>○</v>
      </c>
      <c r="J3348" s="4" t="n">
        <v>580</v>
      </c>
      <c r="K3348" s="4"/>
      <c r="L3348" s="4"/>
      <c r="M3348" s="5" t="s">
        <v>2677</v>
      </c>
    </row>
    <row r="3349" customFormat="false" ht="15.75" hidden="false" customHeight="false" outlineLevel="0" collapsed="false">
      <c r="A3349" s="3" t="n">
        <v>46208</v>
      </c>
      <c r="B3349" s="4" t="s">
        <v>915</v>
      </c>
      <c r="C3349" s="4" t="n">
        <v>5</v>
      </c>
      <c r="D3349" s="4" t="n">
        <v>15</v>
      </c>
      <c r="E3349" s="4" t="s">
        <v>3050</v>
      </c>
      <c r="F3349" s="4" t="n">
        <v>8</v>
      </c>
      <c r="G3349" s="4" t="n">
        <v>7</v>
      </c>
      <c r="H3349" s="4" t="n">
        <v>4</v>
      </c>
      <c r="I3349" s="4" t="str">
        <v>×</v>
      </c>
      <c r="J3349" s="4"/>
      <c r="K3349" s="4"/>
      <c r="L3349" s="4"/>
      <c r="M3349" s="5" t="s">
        <v>2677</v>
      </c>
    </row>
    <row r="3350" customFormat="false" ht="15.75" hidden="false" customHeight="false" outlineLevel="0" collapsed="false">
      <c r="A3350" s="3" t="n">
        <v>46208</v>
      </c>
      <c r="B3350" s="4" t="s">
        <v>915</v>
      </c>
      <c r="C3350" s="4" t="n">
        <v>5</v>
      </c>
      <c r="D3350" s="4" t="n">
        <v>16</v>
      </c>
      <c r="E3350" s="4" t="s">
        <v>1114</v>
      </c>
      <c r="F3350" s="4" t="n">
        <v>16</v>
      </c>
      <c r="G3350" s="4" t="n">
        <v>4</v>
      </c>
      <c r="H3350" s="4" t="n">
        <v>4</v>
      </c>
      <c r="I3350" s="4" t="str">
        <v>×</v>
      </c>
      <c r="J3350" s="4"/>
      <c r="K3350" s="4"/>
      <c r="L3350" s="4"/>
      <c r="M3350" s="5" t="s">
        <v>2677</v>
      </c>
    </row>
    <row r="3351" customFormat="false" ht="15.75" hidden="false" customHeight="false" outlineLevel="0" collapsed="false">
      <c r="A3351" s="3" t="n">
        <v>46208</v>
      </c>
      <c r="B3351" s="4" t="s">
        <v>915</v>
      </c>
      <c r="C3351" s="4" t="n">
        <v>6</v>
      </c>
      <c r="D3351" s="4" t="n">
        <v>1</v>
      </c>
      <c r="E3351" s="4" t="s">
        <v>3051</v>
      </c>
      <c r="F3351" s="4" t="n">
        <v>31</v>
      </c>
      <c r="G3351" s="4" t="n">
        <v>2</v>
      </c>
      <c r="H3351" s="4" t="n">
        <v>4</v>
      </c>
      <c r="I3351" s="4" t="str">
        <v>×</v>
      </c>
      <c r="J3351" s="4"/>
      <c r="K3351" s="4"/>
      <c r="L3351" s="4"/>
      <c r="M3351" s="5" t="s">
        <v>2677</v>
      </c>
    </row>
    <row r="3352" customFormat="false" ht="15.75" hidden="false" customHeight="false" outlineLevel="0" collapsed="false">
      <c r="A3352" s="3" t="n">
        <v>46208</v>
      </c>
      <c r="B3352" s="4" t="s">
        <v>915</v>
      </c>
      <c r="C3352" s="4" t="n">
        <v>6</v>
      </c>
      <c r="D3352" s="4" t="n">
        <v>2</v>
      </c>
      <c r="E3352" s="4" t="s">
        <v>916</v>
      </c>
      <c r="F3352" s="4" t="n">
        <v>6</v>
      </c>
      <c r="G3352" s="4" t="n">
        <v>7</v>
      </c>
      <c r="H3352" s="4" t="n">
        <v>4</v>
      </c>
      <c r="I3352" s="4" t="str">
        <v>×</v>
      </c>
      <c r="J3352" s="4"/>
      <c r="K3352" s="4"/>
      <c r="L3352" s="4"/>
      <c r="M3352" s="5" t="s">
        <v>2677</v>
      </c>
    </row>
    <row r="3353" customFormat="false" ht="15.75" hidden="false" customHeight="false" outlineLevel="0" collapsed="false">
      <c r="A3353" s="3" t="n">
        <v>46208</v>
      </c>
      <c r="B3353" s="4" t="s">
        <v>915</v>
      </c>
      <c r="C3353" s="4" t="n">
        <v>6</v>
      </c>
      <c r="D3353" s="4" t="n">
        <v>3</v>
      </c>
      <c r="E3353" s="4" t="s">
        <v>3052</v>
      </c>
      <c r="F3353" s="4" t="n">
        <v>8</v>
      </c>
      <c r="G3353" s="4" t="n">
        <v>6</v>
      </c>
      <c r="H3353" s="4" t="n">
        <v>4</v>
      </c>
      <c r="I3353" s="4" t="str">
        <v>×</v>
      </c>
      <c r="J3353" s="4"/>
      <c r="K3353" s="4"/>
      <c r="L3353" s="4"/>
      <c r="M3353" s="5" t="s">
        <v>2677</v>
      </c>
    </row>
    <row r="3354" customFormat="false" ht="15.75" hidden="false" customHeight="false" outlineLevel="0" collapsed="false">
      <c r="A3354" s="3" t="n">
        <v>46208</v>
      </c>
      <c r="B3354" s="4" t="s">
        <v>915</v>
      </c>
      <c r="C3354" s="4" t="n">
        <v>6</v>
      </c>
      <c r="D3354" s="4" t="n">
        <v>4</v>
      </c>
      <c r="E3354" s="4" t="s">
        <v>3053</v>
      </c>
      <c r="F3354" s="4" t="n">
        <v>8</v>
      </c>
      <c r="G3354" s="4" t="n">
        <v>6</v>
      </c>
      <c r="H3354" s="4" t="n">
        <v>4</v>
      </c>
      <c r="I3354" s="4" t="str">
        <v>×</v>
      </c>
      <c r="J3354" s="4"/>
      <c r="K3354" s="4"/>
      <c r="L3354" s="4"/>
      <c r="M3354" s="5" t="s">
        <v>2677</v>
      </c>
    </row>
    <row r="3355" customFormat="false" ht="15.75" hidden="false" customHeight="false" outlineLevel="0" collapsed="false">
      <c r="A3355" s="3" t="n">
        <v>46208</v>
      </c>
      <c r="B3355" s="4" t="s">
        <v>915</v>
      </c>
      <c r="C3355" s="4" t="n">
        <v>6</v>
      </c>
      <c r="D3355" s="4" t="n">
        <v>5</v>
      </c>
      <c r="E3355" s="4" t="s">
        <v>918</v>
      </c>
      <c r="F3355" s="4" t="n">
        <v>37</v>
      </c>
      <c r="G3355" s="4" t="n">
        <v>1</v>
      </c>
      <c r="H3355" s="4" t="n">
        <v>4</v>
      </c>
      <c r="I3355" s="4" t="str">
        <v>×</v>
      </c>
      <c r="J3355" s="4"/>
      <c r="K3355" s="4"/>
      <c r="L3355" s="4"/>
      <c r="M3355" s="5" t="s">
        <v>2677</v>
      </c>
    </row>
    <row r="3356" customFormat="false" ht="15.75" hidden="false" customHeight="false" outlineLevel="0" collapsed="false">
      <c r="A3356" s="3" t="n">
        <v>46208</v>
      </c>
      <c r="B3356" s="4" t="s">
        <v>915</v>
      </c>
      <c r="C3356" s="4" t="n">
        <v>6</v>
      </c>
      <c r="D3356" s="4" t="n">
        <v>6</v>
      </c>
      <c r="E3356" s="4" t="s">
        <v>3054</v>
      </c>
      <c r="F3356" s="4" t="n">
        <v>21</v>
      </c>
      <c r="G3356" s="4" t="n">
        <v>3</v>
      </c>
      <c r="H3356" s="4" t="n">
        <v>4</v>
      </c>
      <c r="I3356" s="4" t="str">
        <v>×</v>
      </c>
      <c r="J3356" s="4"/>
      <c r="K3356" s="4"/>
      <c r="L3356" s="4"/>
      <c r="M3356" s="5" t="s">
        <v>2677</v>
      </c>
    </row>
    <row r="3357" customFormat="false" ht="15.75" hidden="false" customHeight="false" outlineLevel="0" collapsed="false">
      <c r="A3357" s="3" t="n">
        <v>46208</v>
      </c>
      <c r="B3357" s="4" t="s">
        <v>915</v>
      </c>
      <c r="C3357" s="4" t="n">
        <v>6</v>
      </c>
      <c r="D3357" s="4" t="n">
        <v>7</v>
      </c>
      <c r="E3357" s="4" t="s">
        <v>3055</v>
      </c>
      <c r="F3357" s="4" t="n">
        <v>21</v>
      </c>
      <c r="G3357" s="4" t="n">
        <v>3</v>
      </c>
      <c r="H3357" s="4" t="n">
        <v>4</v>
      </c>
      <c r="I3357" s="4" t="str">
        <v>×</v>
      </c>
      <c r="J3357" s="4"/>
      <c r="K3357" s="4"/>
      <c r="L3357" s="4"/>
      <c r="M3357" s="5" t="s">
        <v>2677</v>
      </c>
    </row>
    <row r="3358" customFormat="false" ht="15.75" hidden="false" customHeight="false" outlineLevel="0" collapsed="false">
      <c r="A3358" s="3" t="n">
        <v>46208</v>
      </c>
      <c r="B3358" s="4" t="s">
        <v>915</v>
      </c>
      <c r="C3358" s="4" t="n">
        <v>6</v>
      </c>
      <c r="D3358" s="4" t="n">
        <v>8</v>
      </c>
      <c r="E3358" s="4" t="s">
        <v>924</v>
      </c>
      <c r="F3358" s="4" t="n">
        <v>12</v>
      </c>
      <c r="G3358" s="4" t="n">
        <v>5</v>
      </c>
      <c r="H3358" s="4" t="n">
        <v>2</v>
      </c>
      <c r="I3358" s="4" t="str">
        <v>○</v>
      </c>
      <c r="J3358" s="4" t="n">
        <v>180</v>
      </c>
      <c r="K3358" s="4"/>
      <c r="L3358" s="4"/>
      <c r="M3358" s="5" t="s">
        <v>2677</v>
      </c>
    </row>
    <row r="3359" customFormat="false" ht="15.75" hidden="false" customHeight="false" outlineLevel="0" collapsed="false">
      <c r="A3359" s="3" t="n">
        <v>46208</v>
      </c>
      <c r="B3359" s="4" t="s">
        <v>915</v>
      </c>
      <c r="C3359" s="4" t="n">
        <v>6</v>
      </c>
      <c r="D3359" s="4" t="n">
        <v>9</v>
      </c>
      <c r="E3359" s="4" t="s">
        <v>3056</v>
      </c>
      <c r="F3359" s="4" t="n">
        <v>14</v>
      </c>
      <c r="G3359" s="4" t="n">
        <v>4</v>
      </c>
      <c r="H3359" s="4" t="n">
        <v>3</v>
      </c>
      <c r="I3359" s="4" t="str">
        <v>○</v>
      </c>
      <c r="J3359" s="4" t="n">
        <v>240</v>
      </c>
      <c r="K3359" s="4"/>
      <c r="L3359" s="4"/>
      <c r="M3359" s="5" t="s">
        <v>2677</v>
      </c>
    </row>
    <row r="3360" customFormat="false" ht="15.75" hidden="false" customHeight="false" outlineLevel="0" collapsed="false">
      <c r="A3360" s="3" t="n">
        <v>46208</v>
      </c>
      <c r="B3360" s="4" t="s">
        <v>915</v>
      </c>
      <c r="C3360" s="4" t="n">
        <v>6</v>
      </c>
      <c r="D3360" s="4" t="n">
        <v>10</v>
      </c>
      <c r="E3360" s="4" t="s">
        <v>3057</v>
      </c>
      <c r="F3360" s="4" t="n">
        <v>21</v>
      </c>
      <c r="G3360" s="4" t="n">
        <v>3</v>
      </c>
      <c r="H3360" s="4" t="n">
        <v>1</v>
      </c>
      <c r="I3360" s="4" t="str">
        <v>○</v>
      </c>
      <c r="J3360" s="4" t="n">
        <v>260</v>
      </c>
      <c r="K3360" s="4"/>
      <c r="L3360" s="4"/>
      <c r="M3360" s="5" t="s">
        <v>2677</v>
      </c>
    </row>
    <row r="3361" customFormat="false" ht="15.75" hidden="false" customHeight="false" outlineLevel="0" collapsed="false">
      <c r="A3361" s="3" t="n">
        <v>46208</v>
      </c>
      <c r="B3361" s="4" t="s">
        <v>915</v>
      </c>
      <c r="C3361" s="4" t="n">
        <v>6</v>
      </c>
      <c r="D3361" s="4" t="n">
        <v>11</v>
      </c>
      <c r="E3361" s="4" t="s">
        <v>3058</v>
      </c>
      <c r="F3361" s="4" t="n">
        <v>21</v>
      </c>
      <c r="G3361" s="4" t="n">
        <v>3</v>
      </c>
      <c r="H3361" s="4" t="n">
        <v>4</v>
      </c>
      <c r="I3361" s="4" t="str">
        <v>×</v>
      </c>
      <c r="J3361" s="4"/>
      <c r="K3361" s="4"/>
      <c r="L3361" s="4"/>
      <c r="M3361" s="5" t="s">
        <v>2677</v>
      </c>
    </row>
    <row r="3362" customFormat="false" ht="15.75" hidden="false" customHeight="false" outlineLevel="0" collapsed="false">
      <c r="A3362" s="3" t="n">
        <v>46208</v>
      </c>
      <c r="B3362" s="4" t="s">
        <v>915</v>
      </c>
      <c r="C3362" s="4" t="n">
        <v>6</v>
      </c>
      <c r="D3362" s="4" t="n">
        <v>12</v>
      </c>
      <c r="E3362" s="4" t="s">
        <v>3059</v>
      </c>
      <c r="F3362" s="4" t="n">
        <v>14</v>
      </c>
      <c r="G3362" s="4" t="n">
        <v>4</v>
      </c>
      <c r="H3362" s="4" t="n">
        <v>4</v>
      </c>
      <c r="I3362" s="4" t="str">
        <v>×</v>
      </c>
      <c r="J3362" s="4"/>
      <c r="K3362" s="4"/>
      <c r="L3362" s="4"/>
      <c r="M3362" s="5" t="s">
        <v>2677</v>
      </c>
    </row>
    <row r="3363" customFormat="false" ht="15.75" hidden="false" customHeight="false" outlineLevel="0" collapsed="false">
      <c r="A3363" s="3" t="n">
        <v>46208</v>
      </c>
      <c r="B3363" s="4" t="s">
        <v>915</v>
      </c>
      <c r="C3363" s="4" t="n">
        <v>6</v>
      </c>
      <c r="D3363" s="4" t="n">
        <v>13</v>
      </c>
      <c r="E3363" s="4" t="s">
        <v>473</v>
      </c>
      <c r="F3363" s="4" t="n">
        <v>12</v>
      </c>
      <c r="G3363" s="4" t="n">
        <v>5</v>
      </c>
      <c r="H3363" s="4" t="n">
        <v>4</v>
      </c>
      <c r="I3363" s="4" t="str">
        <v>×</v>
      </c>
      <c r="J3363" s="4"/>
      <c r="K3363" s="4"/>
      <c r="L3363" s="4"/>
      <c r="M3363" s="5" t="s">
        <v>2677</v>
      </c>
    </row>
    <row r="3364" customFormat="false" ht="15.75" hidden="false" customHeight="false" outlineLevel="0" collapsed="false">
      <c r="A3364" s="3" t="n">
        <v>46208</v>
      </c>
      <c r="B3364" s="4" t="s">
        <v>915</v>
      </c>
      <c r="C3364" s="4" t="n">
        <v>7</v>
      </c>
      <c r="D3364" s="4" t="n">
        <v>1</v>
      </c>
      <c r="E3364" s="4" t="s">
        <v>3060</v>
      </c>
      <c r="F3364" s="4" t="n">
        <v>1</v>
      </c>
      <c r="G3364" s="4" t="n">
        <v>10</v>
      </c>
      <c r="H3364" s="4" t="n">
        <v>4</v>
      </c>
      <c r="I3364" s="4" t="str">
        <v>×</v>
      </c>
      <c r="J3364" s="4"/>
      <c r="K3364" s="4"/>
      <c r="L3364" s="4"/>
      <c r="M3364" s="5" t="s">
        <v>2677</v>
      </c>
    </row>
    <row r="3365" customFormat="false" ht="15.75" hidden="false" customHeight="false" outlineLevel="0" collapsed="false">
      <c r="A3365" s="3" t="n">
        <v>46208</v>
      </c>
      <c r="B3365" s="4" t="s">
        <v>915</v>
      </c>
      <c r="C3365" s="4" t="n">
        <v>7</v>
      </c>
      <c r="D3365" s="4" t="n">
        <v>2</v>
      </c>
      <c r="E3365" s="4" t="s">
        <v>3061</v>
      </c>
      <c r="F3365" s="4" t="n">
        <v>4</v>
      </c>
      <c r="G3365" s="4" t="n">
        <v>9</v>
      </c>
      <c r="H3365" s="4" t="n">
        <v>4</v>
      </c>
      <c r="I3365" s="4" t="str">
        <v>×</v>
      </c>
      <c r="J3365" s="4"/>
      <c r="K3365" s="4"/>
      <c r="L3365" s="4"/>
      <c r="M3365" s="5" t="s">
        <v>2677</v>
      </c>
    </row>
    <row r="3366" customFormat="false" ht="15.75" hidden="false" customHeight="false" outlineLevel="0" collapsed="false">
      <c r="A3366" s="3" t="n">
        <v>46208</v>
      </c>
      <c r="B3366" s="4" t="s">
        <v>915</v>
      </c>
      <c r="C3366" s="4" t="n">
        <v>7</v>
      </c>
      <c r="D3366" s="4" t="n">
        <v>3</v>
      </c>
      <c r="E3366" s="4" t="s">
        <v>3062</v>
      </c>
      <c r="F3366" s="4" t="n">
        <v>52</v>
      </c>
      <c r="G3366" s="4" t="n">
        <v>3</v>
      </c>
      <c r="H3366" s="4" t="n">
        <v>3</v>
      </c>
      <c r="I3366" s="4" t="str">
        <v>○</v>
      </c>
      <c r="J3366" s="4" t="n">
        <v>170</v>
      </c>
      <c r="K3366" s="4"/>
      <c r="L3366" s="4"/>
      <c r="M3366" s="5" t="s">
        <v>2677</v>
      </c>
    </row>
    <row r="3367" customFormat="false" ht="15.75" hidden="false" customHeight="false" outlineLevel="0" collapsed="false">
      <c r="A3367" s="3" t="n">
        <v>46208</v>
      </c>
      <c r="B3367" s="4" t="s">
        <v>915</v>
      </c>
      <c r="C3367" s="4" t="n">
        <v>7</v>
      </c>
      <c r="D3367" s="4" t="n">
        <v>4</v>
      </c>
      <c r="E3367" s="4" t="s">
        <v>3063</v>
      </c>
      <c r="F3367" s="4" t="n">
        <v>10</v>
      </c>
      <c r="G3367" s="4" t="n">
        <v>7</v>
      </c>
      <c r="H3367" s="4" t="n">
        <v>4</v>
      </c>
      <c r="I3367" s="4" t="str">
        <v>×</v>
      </c>
      <c r="J3367" s="4"/>
      <c r="K3367" s="4"/>
      <c r="L3367" s="4"/>
      <c r="M3367" s="5" t="s">
        <v>2677</v>
      </c>
    </row>
    <row r="3368" customFormat="false" ht="15.75" hidden="false" customHeight="false" outlineLevel="0" collapsed="false">
      <c r="A3368" s="3" t="n">
        <v>46208</v>
      </c>
      <c r="B3368" s="4" t="s">
        <v>915</v>
      </c>
      <c r="C3368" s="4" t="n">
        <v>7</v>
      </c>
      <c r="D3368" s="4" t="n">
        <v>5</v>
      </c>
      <c r="E3368" s="4" t="s">
        <v>3064</v>
      </c>
      <c r="F3368" s="4" t="n">
        <v>10</v>
      </c>
      <c r="G3368" s="4" t="n">
        <v>7</v>
      </c>
      <c r="H3368" s="4" t="n">
        <v>4</v>
      </c>
      <c r="I3368" s="4" t="str">
        <v>×</v>
      </c>
      <c r="J3368" s="4"/>
      <c r="K3368" s="4"/>
      <c r="L3368" s="4"/>
      <c r="M3368" s="5" t="s">
        <v>2677</v>
      </c>
    </row>
    <row r="3369" customFormat="false" ht="15.75" hidden="false" customHeight="false" outlineLevel="0" collapsed="false">
      <c r="A3369" s="3" t="n">
        <v>46208</v>
      </c>
      <c r="B3369" s="4" t="s">
        <v>915</v>
      </c>
      <c r="C3369" s="4" t="n">
        <v>7</v>
      </c>
      <c r="D3369" s="4" t="n">
        <v>6</v>
      </c>
      <c r="E3369" s="4" t="s">
        <v>3065</v>
      </c>
      <c r="F3369" s="4" t="n">
        <v>81</v>
      </c>
      <c r="G3369" s="4" t="n">
        <v>1</v>
      </c>
      <c r="H3369" s="4" t="n">
        <v>1</v>
      </c>
      <c r="I3369" s="4" t="str">
        <v>○</v>
      </c>
      <c r="J3369" s="4" t="n">
        <v>150</v>
      </c>
      <c r="K3369" s="4" t="n">
        <v>1.3</v>
      </c>
      <c r="L3369" s="4" t="n">
        <v>1.8</v>
      </c>
      <c r="M3369" s="5" t="s">
        <v>2677</v>
      </c>
    </row>
    <row r="3370" customFormat="false" ht="15.75" hidden="false" customHeight="false" outlineLevel="0" collapsed="false">
      <c r="A3370" s="3" t="n">
        <v>46208</v>
      </c>
      <c r="B3370" s="4" t="s">
        <v>915</v>
      </c>
      <c r="C3370" s="4" t="n">
        <v>7</v>
      </c>
      <c r="D3370" s="4" t="n">
        <v>7</v>
      </c>
      <c r="E3370" s="4" t="s">
        <v>3066</v>
      </c>
      <c r="F3370" s="4" t="n">
        <v>17</v>
      </c>
      <c r="G3370" s="4" t="n">
        <v>6</v>
      </c>
      <c r="H3370" s="4" t="n">
        <v>4</v>
      </c>
      <c r="I3370" s="4" t="str">
        <v>×</v>
      </c>
      <c r="J3370" s="4"/>
      <c r="K3370" s="4"/>
      <c r="L3370" s="4"/>
      <c r="M3370" s="5" t="s">
        <v>2677</v>
      </c>
    </row>
    <row r="3371" customFormat="false" ht="15.75" hidden="false" customHeight="false" outlineLevel="0" collapsed="false">
      <c r="A3371" s="3" t="n">
        <v>46208</v>
      </c>
      <c r="B3371" s="4" t="s">
        <v>915</v>
      </c>
      <c r="C3371" s="4" t="n">
        <v>7</v>
      </c>
      <c r="D3371" s="4" t="n">
        <v>8</v>
      </c>
      <c r="E3371" s="4" t="s">
        <v>3067</v>
      </c>
      <c r="F3371" s="4" t="n">
        <v>10</v>
      </c>
      <c r="G3371" s="4" t="n">
        <v>7</v>
      </c>
      <c r="H3371" s="4" t="n">
        <v>4</v>
      </c>
      <c r="I3371" s="4" t="str">
        <v>×</v>
      </c>
      <c r="J3371" s="4"/>
      <c r="K3371" s="4"/>
      <c r="L3371" s="4"/>
      <c r="M3371" s="5" t="s">
        <v>2677</v>
      </c>
    </row>
    <row r="3372" customFormat="false" ht="15.75" hidden="false" customHeight="false" outlineLevel="0" collapsed="false">
      <c r="A3372" s="3" t="n">
        <v>46208</v>
      </c>
      <c r="B3372" s="4" t="s">
        <v>915</v>
      </c>
      <c r="C3372" s="4" t="n">
        <v>7</v>
      </c>
      <c r="D3372" s="4" t="n">
        <v>9</v>
      </c>
      <c r="E3372" s="4" t="s">
        <v>3068</v>
      </c>
      <c r="F3372" s="4" t="n">
        <v>23</v>
      </c>
      <c r="G3372" s="4" t="n">
        <v>5</v>
      </c>
      <c r="H3372" s="4" t="n">
        <v>4</v>
      </c>
      <c r="I3372" s="4" t="str">
        <v>×</v>
      </c>
      <c r="J3372" s="4"/>
      <c r="K3372" s="4"/>
      <c r="L3372" s="4"/>
      <c r="M3372" s="5" t="s">
        <v>2677</v>
      </c>
    </row>
    <row r="3373" customFormat="false" ht="15.75" hidden="false" customHeight="false" outlineLevel="0" collapsed="false">
      <c r="A3373" s="3" t="n">
        <v>46208</v>
      </c>
      <c r="B3373" s="4" t="s">
        <v>915</v>
      </c>
      <c r="C3373" s="4" t="n">
        <v>7</v>
      </c>
      <c r="D3373" s="4" t="n">
        <v>10</v>
      </c>
      <c r="E3373" s="4" t="s">
        <v>3069</v>
      </c>
      <c r="F3373" s="4" t="n">
        <v>6</v>
      </c>
      <c r="G3373" s="4" t="n">
        <v>8</v>
      </c>
      <c r="H3373" s="4" t="n">
        <v>4</v>
      </c>
      <c r="I3373" s="4" t="str">
        <v>×</v>
      </c>
      <c r="J3373" s="4"/>
      <c r="K3373" s="4"/>
      <c r="L3373" s="4"/>
      <c r="M3373" s="5" t="s">
        <v>2677</v>
      </c>
    </row>
    <row r="3374" customFormat="false" ht="15.75" hidden="false" customHeight="false" outlineLevel="0" collapsed="false">
      <c r="A3374" s="3" t="n">
        <v>46208</v>
      </c>
      <c r="B3374" s="4" t="s">
        <v>915</v>
      </c>
      <c r="C3374" s="4" t="n">
        <v>7</v>
      </c>
      <c r="D3374" s="4" t="n">
        <v>11</v>
      </c>
      <c r="E3374" s="4" t="s">
        <v>3070</v>
      </c>
      <c r="F3374" s="4" t="n">
        <v>56</v>
      </c>
      <c r="G3374" s="4" t="n">
        <v>2</v>
      </c>
      <c r="H3374" s="4" t="n">
        <v>4</v>
      </c>
      <c r="I3374" s="4" t="str">
        <v>×</v>
      </c>
      <c r="J3374" s="4"/>
      <c r="K3374" s="4"/>
      <c r="L3374" s="4"/>
      <c r="M3374" s="5" t="s">
        <v>2677</v>
      </c>
    </row>
    <row r="3375" customFormat="false" ht="15.75" hidden="false" customHeight="false" outlineLevel="0" collapsed="false">
      <c r="A3375" s="3" t="n">
        <v>46208</v>
      </c>
      <c r="B3375" s="4" t="s">
        <v>915</v>
      </c>
      <c r="C3375" s="4" t="n">
        <v>7</v>
      </c>
      <c r="D3375" s="4" t="n">
        <v>12</v>
      </c>
      <c r="E3375" s="4" t="s">
        <v>1553</v>
      </c>
      <c r="F3375" s="4" t="n">
        <v>10</v>
      </c>
      <c r="G3375" s="4" t="n">
        <v>7</v>
      </c>
      <c r="H3375" s="4" t="n">
        <v>2</v>
      </c>
      <c r="I3375" s="4" t="str">
        <v>○</v>
      </c>
      <c r="J3375" s="4" t="n">
        <v>570</v>
      </c>
      <c r="K3375" s="4"/>
      <c r="L3375" s="4"/>
      <c r="M3375" s="5" t="s">
        <v>2677</v>
      </c>
    </row>
    <row r="3376" customFormat="false" ht="15.75" hidden="false" customHeight="false" outlineLevel="0" collapsed="false">
      <c r="A3376" s="3" t="n">
        <v>46208</v>
      </c>
      <c r="B3376" s="4" t="s">
        <v>915</v>
      </c>
      <c r="C3376" s="4" t="n">
        <v>7</v>
      </c>
      <c r="D3376" s="4" t="n">
        <v>13</v>
      </c>
      <c r="E3376" s="4" t="s">
        <v>3071</v>
      </c>
      <c r="F3376" s="4" t="n">
        <v>4</v>
      </c>
      <c r="G3376" s="4" t="n">
        <v>9</v>
      </c>
      <c r="H3376" s="4" t="n">
        <v>4</v>
      </c>
      <c r="I3376" s="4" t="str">
        <v>×</v>
      </c>
      <c r="J3376" s="4"/>
      <c r="K3376" s="4"/>
      <c r="L3376" s="4"/>
      <c r="M3376" s="5" t="s">
        <v>2677</v>
      </c>
    </row>
    <row r="3377" customFormat="false" ht="15.75" hidden="false" customHeight="false" outlineLevel="0" collapsed="false">
      <c r="A3377" s="3" t="n">
        <v>46208</v>
      </c>
      <c r="B3377" s="4" t="s">
        <v>915</v>
      </c>
      <c r="C3377" s="4" t="n">
        <v>7</v>
      </c>
      <c r="D3377" s="4" t="n">
        <v>14</v>
      </c>
      <c r="E3377" s="4" t="s">
        <v>3072</v>
      </c>
      <c r="F3377" s="4" t="n">
        <v>29</v>
      </c>
      <c r="G3377" s="4" t="n">
        <v>4</v>
      </c>
      <c r="H3377" s="4" t="n">
        <v>4</v>
      </c>
      <c r="I3377" s="4" t="str">
        <v>×</v>
      </c>
      <c r="J3377" s="4"/>
      <c r="K3377" s="4"/>
      <c r="L3377" s="4"/>
      <c r="M3377" s="5" t="s">
        <v>2677</v>
      </c>
    </row>
    <row r="3378" customFormat="false" ht="15.75" hidden="false" customHeight="false" outlineLevel="0" collapsed="false">
      <c r="A3378" s="3" t="n">
        <v>46208</v>
      </c>
      <c r="B3378" s="4" t="s">
        <v>915</v>
      </c>
      <c r="C3378" s="4" t="n">
        <v>7</v>
      </c>
      <c r="D3378" s="4" t="n">
        <v>15</v>
      </c>
      <c r="E3378" s="4" t="s">
        <v>3073</v>
      </c>
      <c r="F3378" s="4" t="n">
        <v>29</v>
      </c>
      <c r="G3378" s="4" t="n">
        <v>4</v>
      </c>
      <c r="H3378" s="4" t="n">
        <v>4</v>
      </c>
      <c r="I3378" s="4" t="str">
        <v>×</v>
      </c>
      <c r="J3378" s="4"/>
      <c r="K3378" s="4"/>
      <c r="L3378" s="4"/>
      <c r="M3378" s="5" t="s">
        <v>2677</v>
      </c>
    </row>
    <row r="3379" customFormat="false" ht="15.75" hidden="false" customHeight="false" outlineLevel="0" collapsed="false">
      <c r="A3379" s="3" t="n">
        <v>46208</v>
      </c>
      <c r="B3379" s="4" t="s">
        <v>915</v>
      </c>
      <c r="C3379" s="4" t="n">
        <v>8</v>
      </c>
      <c r="D3379" s="4" t="n">
        <v>1</v>
      </c>
      <c r="E3379" s="4" t="s">
        <v>1492</v>
      </c>
      <c r="F3379" s="4" t="n">
        <v>60</v>
      </c>
      <c r="G3379" s="4" t="n">
        <v>1</v>
      </c>
      <c r="H3379" s="4" t="n">
        <v>3</v>
      </c>
      <c r="I3379" s="4" t="str">
        <v>○</v>
      </c>
      <c r="J3379" s="4" t="n">
        <v>110</v>
      </c>
      <c r="K3379" s="4"/>
      <c r="L3379" s="4"/>
      <c r="M3379" s="5" t="s">
        <v>2677</v>
      </c>
    </row>
    <row r="3380" customFormat="false" ht="15.75" hidden="false" customHeight="false" outlineLevel="0" collapsed="false">
      <c r="A3380" s="3" t="n">
        <v>46208</v>
      </c>
      <c r="B3380" s="4" t="s">
        <v>915</v>
      </c>
      <c r="C3380" s="4" t="n">
        <v>8</v>
      </c>
      <c r="D3380" s="4" t="n">
        <v>2</v>
      </c>
      <c r="E3380" s="4" t="s">
        <v>67</v>
      </c>
      <c r="F3380" s="4" t="n">
        <v>39</v>
      </c>
      <c r="G3380" s="4" t="n">
        <v>2</v>
      </c>
      <c r="H3380" s="4" t="n">
        <v>4</v>
      </c>
      <c r="I3380" s="4" t="str">
        <v>×</v>
      </c>
      <c r="J3380" s="4"/>
      <c r="K3380" s="4"/>
      <c r="L3380" s="4"/>
      <c r="M3380" s="5" t="s">
        <v>2677</v>
      </c>
    </row>
    <row r="3381" customFormat="false" ht="15.75" hidden="false" customHeight="false" outlineLevel="0" collapsed="false">
      <c r="A3381" s="3" t="n">
        <v>46208</v>
      </c>
      <c r="B3381" s="4" t="s">
        <v>915</v>
      </c>
      <c r="C3381" s="4" t="n">
        <v>8</v>
      </c>
      <c r="D3381" s="4" t="n">
        <v>3</v>
      </c>
      <c r="E3381" s="4" t="s">
        <v>3074</v>
      </c>
      <c r="F3381" s="4" t="n">
        <v>25</v>
      </c>
      <c r="G3381" s="4" t="n">
        <v>6</v>
      </c>
      <c r="H3381" s="4" t="n">
        <v>4</v>
      </c>
      <c r="I3381" s="4" t="str">
        <v>×</v>
      </c>
      <c r="J3381" s="4"/>
      <c r="K3381" s="4"/>
      <c r="L3381" s="4"/>
      <c r="M3381" s="5" t="s">
        <v>2677</v>
      </c>
    </row>
    <row r="3382" customFormat="false" ht="15.75" hidden="false" customHeight="false" outlineLevel="0" collapsed="false">
      <c r="A3382" s="3" t="n">
        <v>46208</v>
      </c>
      <c r="B3382" s="4" t="s">
        <v>915</v>
      </c>
      <c r="C3382" s="4" t="n">
        <v>8</v>
      </c>
      <c r="D3382" s="4" t="n">
        <v>4</v>
      </c>
      <c r="E3382" s="4" t="s">
        <v>1484</v>
      </c>
      <c r="F3382" s="4" t="n">
        <v>37</v>
      </c>
      <c r="G3382" s="4" t="n">
        <v>3</v>
      </c>
      <c r="H3382" s="4" t="n">
        <v>2</v>
      </c>
      <c r="I3382" s="4" t="str">
        <v>○</v>
      </c>
      <c r="J3382" s="4" t="n">
        <v>200</v>
      </c>
      <c r="K3382" s="4"/>
      <c r="L3382" s="4"/>
      <c r="M3382" s="5" t="s">
        <v>2677</v>
      </c>
    </row>
    <row r="3383" customFormat="false" ht="15.75" hidden="false" customHeight="false" outlineLevel="0" collapsed="false">
      <c r="A3383" s="3" t="n">
        <v>46208</v>
      </c>
      <c r="B3383" s="4" t="s">
        <v>915</v>
      </c>
      <c r="C3383" s="4" t="n">
        <v>8</v>
      </c>
      <c r="D3383" s="4" t="n">
        <v>5</v>
      </c>
      <c r="E3383" s="4" t="s">
        <v>527</v>
      </c>
      <c r="F3383" s="4" t="n">
        <v>8</v>
      </c>
      <c r="G3383" s="4" t="n">
        <v>10</v>
      </c>
      <c r="H3383" s="4" t="n">
        <v>4</v>
      </c>
      <c r="I3383" s="4" t="str">
        <v>×</v>
      </c>
      <c r="J3383" s="4"/>
      <c r="K3383" s="4"/>
      <c r="L3383" s="4"/>
      <c r="M3383" s="5" t="s">
        <v>2677</v>
      </c>
    </row>
    <row r="3384" customFormat="false" ht="15.75" hidden="false" customHeight="false" outlineLevel="0" collapsed="false">
      <c r="A3384" s="3" t="n">
        <v>46208</v>
      </c>
      <c r="B3384" s="4" t="s">
        <v>915</v>
      </c>
      <c r="C3384" s="4" t="n">
        <v>8</v>
      </c>
      <c r="D3384" s="4" t="n">
        <v>6</v>
      </c>
      <c r="E3384" s="4" t="s">
        <v>3075</v>
      </c>
      <c r="F3384" s="4" t="n">
        <v>34</v>
      </c>
      <c r="G3384" s="4" t="n">
        <v>4</v>
      </c>
      <c r="H3384" s="4" t="n">
        <v>1</v>
      </c>
      <c r="I3384" s="4" t="str">
        <v>○</v>
      </c>
      <c r="J3384" s="4" t="n">
        <v>160</v>
      </c>
      <c r="K3384" s="4"/>
      <c r="L3384" s="4"/>
      <c r="M3384" s="5" t="s">
        <v>2677</v>
      </c>
    </row>
    <row r="3385" customFormat="false" ht="15.75" hidden="false" customHeight="false" outlineLevel="0" collapsed="false">
      <c r="A3385" s="3" t="n">
        <v>46208</v>
      </c>
      <c r="B3385" s="4" t="s">
        <v>915</v>
      </c>
      <c r="C3385" s="4" t="n">
        <v>8</v>
      </c>
      <c r="D3385" s="4" t="n">
        <v>7</v>
      </c>
      <c r="E3385" s="4" t="s">
        <v>3076</v>
      </c>
      <c r="F3385" s="4" t="n">
        <v>10</v>
      </c>
      <c r="G3385" s="4" t="n">
        <v>9</v>
      </c>
      <c r="H3385" s="4" t="n">
        <v>4</v>
      </c>
      <c r="I3385" s="4" t="str">
        <v>×</v>
      </c>
      <c r="J3385" s="4"/>
      <c r="K3385" s="4"/>
      <c r="L3385" s="4"/>
      <c r="M3385" s="5" t="s">
        <v>2677</v>
      </c>
    </row>
    <row r="3386" customFormat="false" ht="15.75" hidden="false" customHeight="false" outlineLevel="0" collapsed="false">
      <c r="A3386" s="3" t="n">
        <v>46208</v>
      </c>
      <c r="B3386" s="4" t="s">
        <v>915</v>
      </c>
      <c r="C3386" s="4" t="n">
        <v>8</v>
      </c>
      <c r="D3386" s="4" t="n">
        <v>8</v>
      </c>
      <c r="E3386" s="4" t="s">
        <v>3077</v>
      </c>
      <c r="F3386" s="4" t="n">
        <v>29</v>
      </c>
      <c r="G3386" s="4" t="n">
        <v>5</v>
      </c>
      <c r="H3386" s="4" t="n">
        <v>4</v>
      </c>
      <c r="I3386" s="4" t="str">
        <v>×</v>
      </c>
      <c r="J3386" s="4"/>
      <c r="K3386" s="4"/>
      <c r="L3386" s="4"/>
      <c r="M3386" s="5" t="s">
        <v>2677</v>
      </c>
    </row>
    <row r="3387" customFormat="false" ht="15.75" hidden="false" customHeight="false" outlineLevel="0" collapsed="false">
      <c r="A3387" s="3" t="n">
        <v>46208</v>
      </c>
      <c r="B3387" s="4" t="s">
        <v>915</v>
      </c>
      <c r="C3387" s="4" t="n">
        <v>8</v>
      </c>
      <c r="D3387" s="4" t="n">
        <v>9</v>
      </c>
      <c r="E3387" s="4" t="s">
        <v>1024</v>
      </c>
      <c r="F3387" s="4" t="n">
        <v>20</v>
      </c>
      <c r="G3387" s="4" t="n">
        <v>8</v>
      </c>
      <c r="H3387" s="4" t="n">
        <v>4</v>
      </c>
      <c r="I3387" s="4" t="str">
        <v>×</v>
      </c>
      <c r="J3387" s="4"/>
      <c r="K3387" s="4"/>
      <c r="L3387" s="4"/>
      <c r="M3387" s="5" t="s">
        <v>2677</v>
      </c>
    </row>
    <row r="3388" customFormat="false" ht="15.75" hidden="false" customHeight="false" outlineLevel="0" collapsed="false">
      <c r="A3388" s="3" t="n">
        <v>46208</v>
      </c>
      <c r="B3388" s="4" t="s">
        <v>915</v>
      </c>
      <c r="C3388" s="4" t="n">
        <v>8</v>
      </c>
      <c r="D3388" s="4" t="n">
        <v>10</v>
      </c>
      <c r="E3388" s="4" t="s">
        <v>3078</v>
      </c>
      <c r="F3388" s="4" t="n">
        <v>8</v>
      </c>
      <c r="G3388" s="4" t="n">
        <v>10</v>
      </c>
      <c r="H3388" s="4" t="n">
        <v>4</v>
      </c>
      <c r="I3388" s="4" t="str">
        <v>×</v>
      </c>
      <c r="J3388" s="4"/>
      <c r="K3388" s="4"/>
      <c r="L3388" s="4"/>
      <c r="M3388" s="5" t="s">
        <v>2677</v>
      </c>
    </row>
    <row r="3389" customFormat="false" ht="15.75" hidden="false" customHeight="false" outlineLevel="0" collapsed="false">
      <c r="A3389" s="3" t="n">
        <v>46208</v>
      </c>
      <c r="B3389" s="4" t="s">
        <v>915</v>
      </c>
      <c r="C3389" s="4" t="n">
        <v>8</v>
      </c>
      <c r="D3389" s="4" t="n">
        <v>11</v>
      </c>
      <c r="E3389" s="4" t="s">
        <v>1031</v>
      </c>
      <c r="F3389" s="4" t="n">
        <v>23</v>
      </c>
      <c r="G3389" s="4" t="n">
        <v>7</v>
      </c>
      <c r="H3389" s="4" t="n">
        <v>4</v>
      </c>
      <c r="I3389" s="4" t="str">
        <v>×</v>
      </c>
      <c r="J3389" s="4"/>
      <c r="K3389" s="4"/>
      <c r="L3389" s="4"/>
      <c r="M3389" s="5" t="s">
        <v>2677</v>
      </c>
    </row>
    <row r="3390" customFormat="false" ht="15.75" hidden="false" customHeight="false" outlineLevel="0" collapsed="false">
      <c r="A3390" s="3" t="n">
        <v>46208</v>
      </c>
      <c r="B3390" s="4" t="s">
        <v>915</v>
      </c>
      <c r="C3390" s="4" t="n">
        <v>8</v>
      </c>
      <c r="D3390" s="4" t="n">
        <v>12</v>
      </c>
      <c r="E3390" s="4" t="s">
        <v>3079</v>
      </c>
      <c r="F3390" s="4" t="n">
        <v>23</v>
      </c>
      <c r="G3390" s="4" t="n">
        <v>7</v>
      </c>
      <c r="H3390" s="4" t="n">
        <v>4</v>
      </c>
      <c r="I3390" s="4" t="str">
        <v>×</v>
      </c>
      <c r="J3390" s="4"/>
      <c r="K3390" s="4"/>
      <c r="L3390" s="4"/>
      <c r="M3390" s="5" t="s">
        <v>2677</v>
      </c>
    </row>
    <row r="3391" customFormat="false" ht="15.75" hidden="false" customHeight="false" outlineLevel="0" collapsed="false">
      <c r="A3391" s="3" t="n">
        <v>46208</v>
      </c>
      <c r="B3391" s="4" t="s">
        <v>915</v>
      </c>
      <c r="C3391" s="4" t="n">
        <v>9</v>
      </c>
      <c r="D3391" s="4" t="n">
        <v>1</v>
      </c>
      <c r="E3391" s="4" t="s">
        <v>3080</v>
      </c>
      <c r="F3391" s="4" t="n">
        <v>25</v>
      </c>
      <c r="G3391" s="4" t="n">
        <v>5</v>
      </c>
      <c r="H3391" s="4" t="n">
        <v>4</v>
      </c>
      <c r="I3391" s="4" t="str">
        <v>×</v>
      </c>
      <c r="J3391" s="4"/>
      <c r="K3391" s="4"/>
      <c r="L3391" s="4"/>
      <c r="M3391" s="5" t="s">
        <v>2677</v>
      </c>
    </row>
    <row r="3392" customFormat="false" ht="15.75" hidden="false" customHeight="false" outlineLevel="0" collapsed="false">
      <c r="A3392" s="3" t="n">
        <v>46208</v>
      </c>
      <c r="B3392" s="4" t="s">
        <v>915</v>
      </c>
      <c r="C3392" s="4" t="n">
        <v>9</v>
      </c>
      <c r="D3392" s="4" t="n">
        <v>2</v>
      </c>
      <c r="E3392" s="4" t="s">
        <v>3081</v>
      </c>
      <c r="F3392" s="4" t="n">
        <v>8</v>
      </c>
      <c r="G3392" s="4" t="n">
        <v>10</v>
      </c>
      <c r="H3392" s="4" t="n">
        <v>4</v>
      </c>
      <c r="I3392" s="4" t="str">
        <v>×</v>
      </c>
      <c r="J3392" s="4"/>
      <c r="K3392" s="4"/>
      <c r="L3392" s="4"/>
      <c r="M3392" s="5" t="s">
        <v>2677</v>
      </c>
    </row>
    <row r="3393" customFormat="false" ht="15.75" hidden="false" customHeight="false" outlineLevel="0" collapsed="false">
      <c r="A3393" s="3" t="n">
        <v>46208</v>
      </c>
      <c r="B3393" s="4" t="s">
        <v>915</v>
      </c>
      <c r="C3393" s="4" t="n">
        <v>9</v>
      </c>
      <c r="D3393" s="4" t="n">
        <v>3</v>
      </c>
      <c r="E3393" s="4" t="s">
        <v>3082</v>
      </c>
      <c r="F3393" s="4" t="n">
        <v>50</v>
      </c>
      <c r="G3393" s="4" t="n">
        <v>1</v>
      </c>
      <c r="H3393" s="4" t="n">
        <v>4</v>
      </c>
      <c r="I3393" s="4" t="str">
        <v>×</v>
      </c>
      <c r="J3393" s="4"/>
      <c r="K3393" s="4"/>
      <c r="L3393" s="4"/>
      <c r="M3393" s="5" t="s">
        <v>2677</v>
      </c>
    </row>
    <row r="3394" customFormat="false" ht="15.75" hidden="false" customHeight="false" outlineLevel="0" collapsed="false">
      <c r="A3394" s="3" t="n">
        <v>46208</v>
      </c>
      <c r="B3394" s="4" t="s">
        <v>915</v>
      </c>
      <c r="C3394" s="4" t="n">
        <v>9</v>
      </c>
      <c r="D3394" s="4" t="n">
        <v>4</v>
      </c>
      <c r="E3394" s="4" t="s">
        <v>3083</v>
      </c>
      <c r="F3394" s="4" t="n">
        <v>17</v>
      </c>
      <c r="G3394" s="4" t="n">
        <v>6</v>
      </c>
      <c r="H3394" s="4" t="n">
        <v>4</v>
      </c>
      <c r="I3394" s="4" t="str">
        <v>×</v>
      </c>
      <c r="J3394" s="4"/>
      <c r="K3394" s="4"/>
      <c r="L3394" s="4"/>
      <c r="M3394" s="5" t="s">
        <v>2677</v>
      </c>
    </row>
    <row r="3395" customFormat="false" ht="15.75" hidden="false" customHeight="false" outlineLevel="0" collapsed="false">
      <c r="A3395" s="3" t="n">
        <v>46208</v>
      </c>
      <c r="B3395" s="4" t="s">
        <v>915</v>
      </c>
      <c r="C3395" s="4" t="n">
        <v>9</v>
      </c>
      <c r="D3395" s="4" t="n">
        <v>5</v>
      </c>
      <c r="E3395" s="4" t="s">
        <v>1503</v>
      </c>
      <c r="F3395" s="4" t="n">
        <v>17</v>
      </c>
      <c r="G3395" s="4" t="n">
        <v>6</v>
      </c>
      <c r="H3395" s="4" t="n">
        <v>4</v>
      </c>
      <c r="I3395" s="4" t="str">
        <v>×</v>
      </c>
      <c r="J3395" s="4"/>
      <c r="K3395" s="4"/>
      <c r="L3395" s="4"/>
      <c r="M3395" s="5" t="s">
        <v>2677</v>
      </c>
    </row>
    <row r="3396" customFormat="false" ht="15.75" hidden="false" customHeight="false" outlineLevel="0" collapsed="false">
      <c r="A3396" s="3" t="n">
        <v>46208</v>
      </c>
      <c r="B3396" s="4" t="s">
        <v>915</v>
      </c>
      <c r="C3396" s="4" t="n">
        <v>9</v>
      </c>
      <c r="D3396" s="4" t="n">
        <v>6</v>
      </c>
      <c r="E3396" s="4" t="s">
        <v>3084</v>
      </c>
      <c r="F3396" s="4" t="n">
        <v>4</v>
      </c>
      <c r="G3396" s="4" t="n">
        <v>11</v>
      </c>
      <c r="H3396" s="4" t="n">
        <v>4</v>
      </c>
      <c r="I3396" s="4" t="str">
        <v>×</v>
      </c>
      <c r="J3396" s="4"/>
      <c r="K3396" s="4"/>
      <c r="L3396" s="4"/>
      <c r="M3396" s="5" t="s">
        <v>2677</v>
      </c>
    </row>
    <row r="3397" customFormat="false" ht="15.75" hidden="false" customHeight="false" outlineLevel="0" collapsed="false">
      <c r="A3397" s="3" t="n">
        <v>46208</v>
      </c>
      <c r="B3397" s="4" t="s">
        <v>915</v>
      </c>
      <c r="C3397" s="4" t="n">
        <v>9</v>
      </c>
      <c r="D3397" s="4" t="n">
        <v>7</v>
      </c>
      <c r="E3397" s="4" t="s">
        <v>3085</v>
      </c>
      <c r="F3397" s="4" t="n">
        <v>8</v>
      </c>
      <c r="G3397" s="4" t="n">
        <v>10</v>
      </c>
      <c r="H3397" s="4" t="n">
        <v>4</v>
      </c>
      <c r="I3397" s="4" t="str">
        <v>×</v>
      </c>
      <c r="J3397" s="4"/>
      <c r="K3397" s="4"/>
      <c r="L3397" s="4"/>
      <c r="M3397" s="5" t="s">
        <v>2677</v>
      </c>
    </row>
    <row r="3398" customFormat="false" ht="15.75" hidden="false" customHeight="false" outlineLevel="0" collapsed="false">
      <c r="A3398" s="3" t="n">
        <v>46208</v>
      </c>
      <c r="B3398" s="4" t="s">
        <v>915</v>
      </c>
      <c r="C3398" s="4" t="n">
        <v>9</v>
      </c>
      <c r="D3398" s="4" t="n">
        <v>8</v>
      </c>
      <c r="E3398" s="4" t="s">
        <v>3086</v>
      </c>
      <c r="F3398" s="4" t="n">
        <v>15</v>
      </c>
      <c r="G3398" s="4" t="n">
        <v>7</v>
      </c>
      <c r="H3398" s="4" t="n">
        <v>4</v>
      </c>
      <c r="I3398" s="4" t="str">
        <v>×</v>
      </c>
      <c r="J3398" s="4"/>
      <c r="K3398" s="4"/>
      <c r="L3398" s="4"/>
      <c r="M3398" s="5" t="s">
        <v>2677</v>
      </c>
    </row>
    <row r="3399" customFormat="false" ht="15.75" hidden="false" customHeight="false" outlineLevel="0" collapsed="false">
      <c r="A3399" s="3" t="n">
        <v>46208</v>
      </c>
      <c r="B3399" s="4" t="s">
        <v>915</v>
      </c>
      <c r="C3399" s="4" t="n">
        <v>9</v>
      </c>
      <c r="D3399" s="4" t="n">
        <v>9</v>
      </c>
      <c r="E3399" s="4" t="s">
        <v>3087</v>
      </c>
      <c r="F3399" s="4" t="n">
        <v>47</v>
      </c>
      <c r="G3399" s="4" t="n">
        <v>2</v>
      </c>
      <c r="H3399" s="4" t="n">
        <v>3</v>
      </c>
      <c r="I3399" s="4" t="str">
        <v>○</v>
      </c>
      <c r="J3399" s="4" t="n">
        <v>180</v>
      </c>
      <c r="K3399" s="4"/>
      <c r="L3399" s="4"/>
      <c r="M3399" s="5" t="s">
        <v>2677</v>
      </c>
    </row>
    <row r="3400" customFormat="false" ht="15.75" hidden="false" customHeight="false" outlineLevel="0" collapsed="false">
      <c r="A3400" s="3" t="n">
        <v>46208</v>
      </c>
      <c r="B3400" s="4" t="s">
        <v>915</v>
      </c>
      <c r="C3400" s="4" t="n">
        <v>9</v>
      </c>
      <c r="D3400" s="4" t="n">
        <v>10</v>
      </c>
      <c r="E3400" s="4" t="s">
        <v>2143</v>
      </c>
      <c r="F3400" s="4" t="n">
        <v>4</v>
      </c>
      <c r="G3400" s="4" t="n">
        <v>11</v>
      </c>
      <c r="H3400" s="4" t="n">
        <v>4</v>
      </c>
      <c r="I3400" s="4" t="str">
        <v>×</v>
      </c>
      <c r="J3400" s="4"/>
      <c r="K3400" s="4"/>
      <c r="L3400" s="4"/>
      <c r="M3400" s="5" t="s">
        <v>2677</v>
      </c>
    </row>
    <row r="3401" customFormat="false" ht="15.75" hidden="false" customHeight="false" outlineLevel="0" collapsed="false">
      <c r="A3401" s="3" t="n">
        <v>46208</v>
      </c>
      <c r="B3401" s="4" t="s">
        <v>915</v>
      </c>
      <c r="C3401" s="4" t="n">
        <v>9</v>
      </c>
      <c r="D3401" s="4" t="n">
        <v>11</v>
      </c>
      <c r="E3401" s="4" t="s">
        <v>3088</v>
      </c>
      <c r="F3401" s="4" t="n">
        <v>37</v>
      </c>
      <c r="G3401" s="4" t="n">
        <v>3</v>
      </c>
      <c r="H3401" s="4" t="n">
        <v>2</v>
      </c>
      <c r="I3401" s="4" t="str">
        <v>○</v>
      </c>
      <c r="J3401" s="4" t="n">
        <v>260</v>
      </c>
      <c r="K3401" s="4"/>
      <c r="L3401" s="4"/>
      <c r="M3401" s="5" t="s">
        <v>2677</v>
      </c>
    </row>
    <row r="3402" customFormat="false" ht="15.75" hidden="false" customHeight="false" outlineLevel="0" collapsed="false">
      <c r="A3402" s="3" t="n">
        <v>46208</v>
      </c>
      <c r="B3402" s="4" t="s">
        <v>915</v>
      </c>
      <c r="C3402" s="4" t="n">
        <v>9</v>
      </c>
      <c r="D3402" s="4" t="n">
        <v>12</v>
      </c>
      <c r="E3402" s="4" t="s">
        <v>886</v>
      </c>
      <c r="F3402" s="4" t="n">
        <v>13</v>
      </c>
      <c r="G3402" s="4" t="n">
        <v>8</v>
      </c>
      <c r="H3402" s="4" t="n">
        <v>4</v>
      </c>
      <c r="I3402" s="4" t="str">
        <v>×</v>
      </c>
      <c r="J3402" s="4"/>
      <c r="K3402" s="4"/>
      <c r="L3402" s="4"/>
      <c r="M3402" s="5" t="s">
        <v>2677</v>
      </c>
    </row>
    <row r="3403" customFormat="false" ht="15.75" hidden="false" customHeight="false" outlineLevel="0" collapsed="false">
      <c r="A3403" s="3" t="n">
        <v>46208</v>
      </c>
      <c r="B3403" s="4" t="s">
        <v>915</v>
      </c>
      <c r="C3403" s="4" t="n">
        <v>9</v>
      </c>
      <c r="D3403" s="4" t="n">
        <v>13</v>
      </c>
      <c r="E3403" s="4" t="s">
        <v>3089</v>
      </c>
      <c r="F3403" s="4" t="n">
        <v>34</v>
      </c>
      <c r="G3403" s="4" t="n">
        <v>4</v>
      </c>
      <c r="H3403" s="4" t="n">
        <v>1</v>
      </c>
      <c r="I3403" s="4" t="str">
        <v>○</v>
      </c>
      <c r="J3403" s="4" t="n">
        <v>240</v>
      </c>
      <c r="K3403" s="4"/>
      <c r="L3403" s="4"/>
      <c r="M3403" s="5" t="s">
        <v>2677</v>
      </c>
    </row>
    <row r="3404" customFormat="false" ht="15.75" hidden="false" customHeight="false" outlineLevel="0" collapsed="false">
      <c r="A3404" s="3" t="n">
        <v>46208</v>
      </c>
      <c r="B3404" s="4" t="s">
        <v>915</v>
      </c>
      <c r="C3404" s="4" t="n">
        <v>9</v>
      </c>
      <c r="D3404" s="4" t="n">
        <v>14</v>
      </c>
      <c r="E3404" s="4" t="s">
        <v>3090</v>
      </c>
      <c r="F3404" s="4" t="n">
        <v>47</v>
      </c>
      <c r="G3404" s="4" t="n">
        <v>2</v>
      </c>
      <c r="H3404" s="4" t="n">
        <v>4</v>
      </c>
      <c r="I3404" s="4" t="str">
        <v>×</v>
      </c>
      <c r="J3404" s="4"/>
      <c r="K3404" s="4"/>
      <c r="L3404" s="4"/>
      <c r="M3404" s="5" t="s">
        <v>2677</v>
      </c>
    </row>
    <row r="3405" customFormat="false" ht="15.75" hidden="false" customHeight="false" outlineLevel="0" collapsed="false">
      <c r="A3405" s="3" t="n">
        <v>46208</v>
      </c>
      <c r="B3405" s="4" t="s">
        <v>915</v>
      </c>
      <c r="C3405" s="4" t="n">
        <v>9</v>
      </c>
      <c r="D3405" s="4" t="n">
        <v>15</v>
      </c>
      <c r="E3405" s="4" t="s">
        <v>3091</v>
      </c>
      <c r="F3405" s="4" t="n">
        <v>15</v>
      </c>
      <c r="G3405" s="4" t="n">
        <v>7</v>
      </c>
      <c r="H3405" s="4" t="n">
        <v>4</v>
      </c>
      <c r="I3405" s="4" t="str">
        <v>×</v>
      </c>
      <c r="J3405" s="4"/>
      <c r="K3405" s="4"/>
      <c r="L3405" s="4"/>
      <c r="M3405" s="5" t="s">
        <v>2677</v>
      </c>
    </row>
    <row r="3406" customFormat="false" ht="15.75" hidden="false" customHeight="false" outlineLevel="0" collapsed="false">
      <c r="A3406" s="3" t="n">
        <v>46208</v>
      </c>
      <c r="B3406" s="4" t="s">
        <v>915</v>
      </c>
      <c r="C3406" s="4" t="n">
        <v>9</v>
      </c>
      <c r="D3406" s="4" t="n">
        <v>16</v>
      </c>
      <c r="E3406" s="4" t="s">
        <v>3092</v>
      </c>
      <c r="F3406" s="4" t="n">
        <v>10</v>
      </c>
      <c r="G3406" s="4" t="n">
        <v>9</v>
      </c>
      <c r="H3406" s="4" t="n">
        <v>4</v>
      </c>
      <c r="I3406" s="4" t="str">
        <v>×</v>
      </c>
      <c r="J3406" s="4"/>
      <c r="K3406" s="4"/>
      <c r="L3406" s="4"/>
      <c r="M3406" s="5" t="s">
        <v>2677</v>
      </c>
    </row>
    <row r="3407" customFormat="false" ht="15.75" hidden="false" customHeight="false" outlineLevel="0" collapsed="false">
      <c r="A3407" s="3" t="n">
        <v>46208</v>
      </c>
      <c r="B3407" s="4" t="s">
        <v>915</v>
      </c>
      <c r="C3407" s="4" t="n">
        <v>10</v>
      </c>
      <c r="D3407" s="4" t="n">
        <v>1</v>
      </c>
      <c r="E3407" s="4" t="s">
        <v>3093</v>
      </c>
      <c r="F3407" s="4" t="n">
        <v>33</v>
      </c>
      <c r="G3407" s="4" t="n">
        <v>2</v>
      </c>
      <c r="H3407" s="4" t="n">
        <v>2</v>
      </c>
      <c r="I3407" s="4" t="str">
        <v>○</v>
      </c>
      <c r="J3407" s="4" t="n">
        <v>210</v>
      </c>
      <c r="K3407" s="4"/>
      <c r="L3407" s="4"/>
      <c r="M3407" s="5" t="s">
        <v>2677</v>
      </c>
    </row>
    <row r="3408" customFormat="false" ht="15.75" hidden="false" customHeight="false" outlineLevel="0" collapsed="false">
      <c r="A3408" s="3" t="n">
        <v>46208</v>
      </c>
      <c r="B3408" s="4" t="s">
        <v>915</v>
      </c>
      <c r="C3408" s="4" t="n">
        <v>10</v>
      </c>
      <c r="D3408" s="4" t="n">
        <v>2</v>
      </c>
      <c r="E3408" s="4" t="s">
        <v>3094</v>
      </c>
      <c r="F3408" s="4" t="n">
        <v>15</v>
      </c>
      <c r="G3408" s="4" t="n">
        <v>7</v>
      </c>
      <c r="H3408" s="4" t="n">
        <v>4</v>
      </c>
      <c r="I3408" s="4" t="str">
        <v>×</v>
      </c>
      <c r="J3408" s="4"/>
      <c r="K3408" s="4"/>
      <c r="L3408" s="4"/>
      <c r="M3408" s="5" t="s">
        <v>2677</v>
      </c>
    </row>
    <row r="3409" customFormat="false" ht="15.75" hidden="false" customHeight="false" outlineLevel="0" collapsed="false">
      <c r="A3409" s="3" t="n">
        <v>46208</v>
      </c>
      <c r="B3409" s="4" t="s">
        <v>915</v>
      </c>
      <c r="C3409" s="4" t="n">
        <v>10</v>
      </c>
      <c r="D3409" s="4" t="n">
        <v>3</v>
      </c>
      <c r="E3409" s="4" t="s">
        <v>3095</v>
      </c>
      <c r="F3409" s="4" t="n">
        <v>8</v>
      </c>
      <c r="G3409" s="4" t="n">
        <v>8</v>
      </c>
      <c r="H3409" s="4" t="n">
        <v>4</v>
      </c>
      <c r="I3409" s="4" t="str">
        <v>×</v>
      </c>
      <c r="J3409" s="4"/>
      <c r="K3409" s="4"/>
      <c r="L3409" s="4"/>
      <c r="M3409" s="5" t="s">
        <v>2677</v>
      </c>
    </row>
    <row r="3410" customFormat="false" ht="15.75" hidden="false" customHeight="false" outlineLevel="0" collapsed="false">
      <c r="A3410" s="3" t="n">
        <v>46208</v>
      </c>
      <c r="B3410" s="4" t="s">
        <v>915</v>
      </c>
      <c r="C3410" s="4" t="n">
        <v>10</v>
      </c>
      <c r="D3410" s="4" t="n">
        <v>4</v>
      </c>
      <c r="E3410" s="4" t="s">
        <v>3096</v>
      </c>
      <c r="F3410" s="4" t="n">
        <v>17</v>
      </c>
      <c r="G3410" s="4" t="n">
        <v>6</v>
      </c>
      <c r="H3410" s="4" t="n">
        <v>3</v>
      </c>
      <c r="I3410" s="4" t="str">
        <v>○</v>
      </c>
      <c r="J3410" s="4" t="n">
        <v>290</v>
      </c>
      <c r="K3410" s="4"/>
      <c r="L3410" s="4"/>
      <c r="M3410" s="5" t="s">
        <v>2677</v>
      </c>
    </row>
    <row r="3411" customFormat="false" ht="15.75" hidden="false" customHeight="false" outlineLevel="0" collapsed="false">
      <c r="A3411" s="3" t="n">
        <v>46208</v>
      </c>
      <c r="B3411" s="4" t="s">
        <v>915</v>
      </c>
      <c r="C3411" s="4" t="n">
        <v>10</v>
      </c>
      <c r="D3411" s="4" t="n">
        <v>5</v>
      </c>
      <c r="E3411" s="4" t="s">
        <v>3097</v>
      </c>
      <c r="F3411" s="4" t="n">
        <v>86</v>
      </c>
      <c r="G3411" s="4" t="n">
        <v>1</v>
      </c>
      <c r="H3411" s="4" t="n">
        <v>1</v>
      </c>
      <c r="I3411" s="4" t="str">
        <v>○</v>
      </c>
      <c r="J3411" s="4" t="n">
        <v>110</v>
      </c>
      <c r="K3411" s="4" t="n">
        <v>1.1</v>
      </c>
      <c r="L3411" s="4" t="n">
        <v>1.1</v>
      </c>
      <c r="M3411" s="5" t="s">
        <v>2677</v>
      </c>
    </row>
    <row r="3412" customFormat="false" ht="15.75" hidden="false" customHeight="false" outlineLevel="0" collapsed="false">
      <c r="A3412" s="3" t="n">
        <v>46208</v>
      </c>
      <c r="B3412" s="4" t="s">
        <v>915</v>
      </c>
      <c r="C3412" s="4" t="n">
        <v>10</v>
      </c>
      <c r="D3412" s="4" t="n">
        <v>6</v>
      </c>
      <c r="E3412" s="4" t="s">
        <v>1522</v>
      </c>
      <c r="F3412" s="4" t="n">
        <v>4</v>
      </c>
      <c r="G3412" s="4" t="n">
        <v>9</v>
      </c>
      <c r="H3412" s="4" t="n">
        <v>4</v>
      </c>
      <c r="I3412" s="4" t="str">
        <v>×</v>
      </c>
      <c r="J3412" s="4"/>
      <c r="K3412" s="4"/>
      <c r="L3412" s="4"/>
      <c r="M3412" s="5" t="s">
        <v>2677</v>
      </c>
    </row>
    <row r="3413" customFormat="false" ht="15.75" hidden="false" customHeight="false" outlineLevel="0" collapsed="false">
      <c r="A3413" s="3" t="n">
        <v>46208</v>
      </c>
      <c r="B3413" s="4" t="s">
        <v>915</v>
      </c>
      <c r="C3413" s="4" t="n">
        <v>10</v>
      </c>
      <c r="D3413" s="4" t="n">
        <v>7</v>
      </c>
      <c r="E3413" s="4" t="s">
        <v>3098</v>
      </c>
      <c r="F3413" s="4" t="n">
        <v>25</v>
      </c>
      <c r="G3413" s="4" t="n">
        <v>3</v>
      </c>
      <c r="H3413" s="4" t="n">
        <v>4</v>
      </c>
      <c r="I3413" s="4" t="str">
        <v>×</v>
      </c>
      <c r="J3413" s="4"/>
      <c r="K3413" s="4"/>
      <c r="L3413" s="4"/>
      <c r="M3413" s="5" t="s">
        <v>2677</v>
      </c>
    </row>
    <row r="3414" customFormat="false" ht="15.75" hidden="false" customHeight="false" outlineLevel="0" collapsed="false">
      <c r="A3414" s="3" t="n">
        <v>46208</v>
      </c>
      <c r="B3414" s="4" t="s">
        <v>915</v>
      </c>
      <c r="C3414" s="4" t="n">
        <v>10</v>
      </c>
      <c r="D3414" s="4" t="n">
        <v>8</v>
      </c>
      <c r="E3414" s="4" t="s">
        <v>885</v>
      </c>
      <c r="F3414" s="4" t="n">
        <v>3</v>
      </c>
      <c r="G3414" s="4" t="n">
        <v>10</v>
      </c>
      <c r="H3414" s="4" t="n">
        <v>4</v>
      </c>
      <c r="I3414" s="4" t="str">
        <v>×</v>
      </c>
      <c r="J3414" s="4"/>
      <c r="K3414" s="4"/>
      <c r="L3414" s="4"/>
      <c r="M3414" s="5" t="s">
        <v>2677</v>
      </c>
    </row>
    <row r="3415" customFormat="false" ht="15.75" hidden="false" customHeight="false" outlineLevel="0" collapsed="false">
      <c r="A3415" s="3" t="n">
        <v>46208</v>
      </c>
      <c r="B3415" s="4" t="s">
        <v>915</v>
      </c>
      <c r="C3415" s="4" t="n">
        <v>10</v>
      </c>
      <c r="D3415" s="4" t="n">
        <v>9</v>
      </c>
      <c r="E3415" s="4" t="s">
        <v>1516</v>
      </c>
      <c r="F3415" s="4" t="n">
        <v>8</v>
      </c>
      <c r="G3415" s="4" t="n">
        <v>8</v>
      </c>
      <c r="H3415" s="4" t="n">
        <v>4</v>
      </c>
      <c r="I3415" s="4" t="str">
        <v>×</v>
      </c>
      <c r="J3415" s="4"/>
      <c r="K3415" s="4"/>
      <c r="L3415" s="4"/>
      <c r="M3415" s="5" t="s">
        <v>2677</v>
      </c>
    </row>
    <row r="3416" customFormat="false" ht="15.75" hidden="false" customHeight="false" outlineLevel="0" collapsed="false">
      <c r="A3416" s="3" t="n">
        <v>46208</v>
      </c>
      <c r="B3416" s="4" t="s">
        <v>915</v>
      </c>
      <c r="C3416" s="4" t="n">
        <v>10</v>
      </c>
      <c r="D3416" s="4" t="n">
        <v>10</v>
      </c>
      <c r="E3416" s="4" t="s">
        <v>3099</v>
      </c>
      <c r="F3416" s="4" t="n">
        <v>23</v>
      </c>
      <c r="G3416" s="4" t="n">
        <v>4</v>
      </c>
      <c r="H3416" s="4" t="n">
        <v>4</v>
      </c>
      <c r="I3416" s="4" t="str">
        <v>×</v>
      </c>
      <c r="J3416" s="4"/>
      <c r="K3416" s="4"/>
      <c r="L3416" s="4"/>
      <c r="M3416" s="5" t="s">
        <v>2677</v>
      </c>
    </row>
    <row r="3417" customFormat="false" ht="15.75" hidden="false" customHeight="false" outlineLevel="0" collapsed="false">
      <c r="A3417" s="3" t="n">
        <v>46208</v>
      </c>
      <c r="B3417" s="4" t="s">
        <v>915</v>
      </c>
      <c r="C3417" s="4" t="n">
        <v>10</v>
      </c>
      <c r="D3417" s="4" t="n">
        <v>11</v>
      </c>
      <c r="E3417" s="4" t="s">
        <v>3100</v>
      </c>
      <c r="F3417" s="4" t="n">
        <v>20</v>
      </c>
      <c r="G3417" s="4" t="n">
        <v>5</v>
      </c>
      <c r="H3417" s="4" t="n">
        <v>4</v>
      </c>
      <c r="I3417" s="4" t="str">
        <v>×</v>
      </c>
      <c r="J3417" s="4"/>
      <c r="K3417" s="4"/>
      <c r="L3417" s="4"/>
      <c r="M3417" s="5" t="s">
        <v>2677</v>
      </c>
    </row>
    <row r="3418" customFormat="false" ht="15.75" hidden="false" customHeight="false" outlineLevel="0" collapsed="false">
      <c r="A3418" s="3" t="n">
        <v>46208</v>
      </c>
      <c r="B3418" s="4" t="s">
        <v>915</v>
      </c>
      <c r="C3418" s="4" t="n">
        <v>10</v>
      </c>
      <c r="D3418" s="4" t="n">
        <v>12</v>
      </c>
      <c r="E3418" s="4" t="s">
        <v>1514</v>
      </c>
      <c r="F3418" s="4" t="n">
        <v>1</v>
      </c>
      <c r="G3418" s="4" t="n">
        <v>11</v>
      </c>
      <c r="H3418" s="4" t="n">
        <v>4</v>
      </c>
      <c r="I3418" s="4" t="str">
        <v>×</v>
      </c>
      <c r="J3418" s="4"/>
      <c r="K3418" s="4"/>
      <c r="L3418" s="4"/>
      <c r="M3418" s="5" t="s">
        <v>2677</v>
      </c>
    </row>
    <row r="3419" customFormat="false" ht="15.75" hidden="false" customHeight="false" outlineLevel="0" collapsed="false">
      <c r="A3419" s="3" t="n">
        <v>46208</v>
      </c>
      <c r="B3419" s="4" t="s">
        <v>915</v>
      </c>
      <c r="C3419" s="4" t="n">
        <v>11</v>
      </c>
      <c r="D3419" s="4" t="n">
        <v>1</v>
      </c>
      <c r="E3419" s="4" t="s">
        <v>3101</v>
      </c>
      <c r="F3419" s="4" t="n">
        <v>39</v>
      </c>
      <c r="G3419" s="4" t="n">
        <v>2</v>
      </c>
      <c r="H3419" s="4" t="n">
        <v>3</v>
      </c>
      <c r="I3419" s="4" t="str">
        <v>○</v>
      </c>
      <c r="J3419" s="4" t="n">
        <v>170</v>
      </c>
      <c r="K3419" s="4"/>
      <c r="L3419" s="4"/>
      <c r="M3419" s="5" t="s">
        <v>2677</v>
      </c>
    </row>
    <row r="3420" customFormat="false" ht="15.75" hidden="false" customHeight="false" outlineLevel="0" collapsed="false">
      <c r="A3420" s="3" t="n">
        <v>46208</v>
      </c>
      <c r="B3420" s="4" t="s">
        <v>915</v>
      </c>
      <c r="C3420" s="4" t="n">
        <v>11</v>
      </c>
      <c r="D3420" s="4" t="n">
        <v>2</v>
      </c>
      <c r="E3420" s="4" t="s">
        <v>3102</v>
      </c>
      <c r="F3420" s="4" t="n">
        <v>23</v>
      </c>
      <c r="G3420" s="4" t="n">
        <v>5</v>
      </c>
      <c r="H3420" s="4" t="n">
        <v>4</v>
      </c>
      <c r="I3420" s="4" t="str">
        <v>×</v>
      </c>
      <c r="J3420" s="4"/>
      <c r="K3420" s="4"/>
      <c r="L3420" s="4"/>
      <c r="M3420" s="5" t="s">
        <v>2677</v>
      </c>
    </row>
    <row r="3421" customFormat="false" ht="15.75" hidden="false" customHeight="false" outlineLevel="0" collapsed="false">
      <c r="A3421" s="3" t="n">
        <v>46208</v>
      </c>
      <c r="B3421" s="4" t="s">
        <v>915</v>
      </c>
      <c r="C3421" s="4" t="n">
        <v>11</v>
      </c>
      <c r="D3421" s="4" t="n">
        <v>3</v>
      </c>
      <c r="E3421" s="4" t="s">
        <v>3103</v>
      </c>
      <c r="F3421" s="4" t="n">
        <v>6</v>
      </c>
      <c r="G3421" s="4" t="n">
        <v>9</v>
      </c>
      <c r="H3421" s="4" t="n">
        <v>4</v>
      </c>
      <c r="I3421" s="4" t="str">
        <v>×</v>
      </c>
      <c r="J3421" s="4"/>
      <c r="K3421" s="4"/>
      <c r="L3421" s="4"/>
      <c r="M3421" s="5" t="s">
        <v>2677</v>
      </c>
    </row>
    <row r="3422" customFormat="false" ht="15.75" hidden="false" customHeight="false" outlineLevel="0" collapsed="false">
      <c r="A3422" s="3" t="n">
        <v>46208</v>
      </c>
      <c r="B3422" s="4" t="s">
        <v>915</v>
      </c>
      <c r="C3422" s="4" t="n">
        <v>11</v>
      </c>
      <c r="D3422" s="4" t="n">
        <v>4</v>
      </c>
      <c r="E3422" s="4" t="s">
        <v>3104</v>
      </c>
      <c r="F3422" s="4" t="n">
        <v>15</v>
      </c>
      <c r="G3422" s="4" t="n">
        <v>6</v>
      </c>
      <c r="H3422" s="4" t="n">
        <v>4</v>
      </c>
      <c r="I3422" s="4" t="str">
        <v>×</v>
      </c>
      <c r="J3422" s="4"/>
      <c r="K3422" s="4"/>
      <c r="L3422" s="4"/>
      <c r="M3422" s="5" t="s">
        <v>2677</v>
      </c>
    </row>
    <row r="3423" customFormat="false" ht="15.75" hidden="false" customHeight="false" outlineLevel="0" collapsed="false">
      <c r="A3423" s="3" t="n">
        <v>46208</v>
      </c>
      <c r="B3423" s="4" t="s">
        <v>915</v>
      </c>
      <c r="C3423" s="4" t="n">
        <v>11</v>
      </c>
      <c r="D3423" s="4" t="n">
        <v>5</v>
      </c>
      <c r="E3423" s="4" t="s">
        <v>3105</v>
      </c>
      <c r="F3423" s="4" t="n">
        <v>34</v>
      </c>
      <c r="G3423" s="4" t="n">
        <v>4</v>
      </c>
      <c r="H3423" s="4" t="n">
        <v>4</v>
      </c>
      <c r="I3423" s="4" t="str">
        <v>×</v>
      </c>
      <c r="J3423" s="4"/>
      <c r="K3423" s="4"/>
      <c r="L3423" s="4"/>
      <c r="M3423" s="5" t="s">
        <v>2677</v>
      </c>
    </row>
    <row r="3424" customFormat="false" ht="15.75" hidden="false" customHeight="false" outlineLevel="0" collapsed="false">
      <c r="A3424" s="3" t="n">
        <v>46208</v>
      </c>
      <c r="B3424" s="4" t="s">
        <v>915</v>
      </c>
      <c r="C3424" s="4" t="n">
        <v>11</v>
      </c>
      <c r="D3424" s="4" t="n">
        <v>6</v>
      </c>
      <c r="E3424" s="4" t="s">
        <v>3106</v>
      </c>
      <c r="F3424" s="4" t="n">
        <v>13</v>
      </c>
      <c r="G3424" s="4" t="n">
        <v>7</v>
      </c>
      <c r="H3424" s="4" t="n">
        <v>4</v>
      </c>
      <c r="I3424" s="4" t="str">
        <v>×</v>
      </c>
      <c r="J3424" s="4"/>
      <c r="K3424" s="4"/>
      <c r="L3424" s="4"/>
      <c r="M3424" s="5" t="s">
        <v>2677</v>
      </c>
    </row>
    <row r="3425" customFormat="false" ht="15.75" hidden="false" customHeight="false" outlineLevel="0" collapsed="false">
      <c r="A3425" s="3" t="n">
        <v>46208</v>
      </c>
      <c r="B3425" s="4" t="s">
        <v>915</v>
      </c>
      <c r="C3425" s="4" t="n">
        <v>11</v>
      </c>
      <c r="D3425" s="4" t="n">
        <v>7</v>
      </c>
      <c r="E3425" s="4" t="s">
        <v>3107</v>
      </c>
      <c r="F3425" s="4" t="n">
        <v>13</v>
      </c>
      <c r="G3425" s="4" t="n">
        <v>7</v>
      </c>
      <c r="H3425" s="4" t="n">
        <v>1</v>
      </c>
      <c r="I3425" s="4" t="str">
        <v>○</v>
      </c>
      <c r="J3425" s="4" t="n">
        <v>320</v>
      </c>
      <c r="K3425" s="4"/>
      <c r="L3425" s="4"/>
      <c r="M3425" s="5" t="s">
        <v>2677</v>
      </c>
    </row>
    <row r="3426" customFormat="false" ht="15.75" hidden="false" customHeight="false" outlineLevel="0" collapsed="false">
      <c r="A3426" s="3" t="n">
        <v>46208</v>
      </c>
      <c r="B3426" s="4" t="s">
        <v>915</v>
      </c>
      <c r="C3426" s="4" t="n">
        <v>11</v>
      </c>
      <c r="D3426" s="4" t="n">
        <v>8</v>
      </c>
      <c r="E3426" s="4" t="s">
        <v>3108</v>
      </c>
      <c r="F3426" s="4" t="n">
        <v>37</v>
      </c>
      <c r="G3426" s="4" t="n">
        <v>3</v>
      </c>
      <c r="H3426" s="4" t="n">
        <v>2</v>
      </c>
      <c r="I3426" s="4" t="str">
        <v>○</v>
      </c>
      <c r="J3426" s="4" t="n">
        <v>260</v>
      </c>
      <c r="K3426" s="4"/>
      <c r="L3426" s="4"/>
      <c r="M3426" s="5" t="s">
        <v>2677</v>
      </c>
    </row>
    <row r="3427" customFormat="false" ht="15.75" hidden="false" customHeight="false" outlineLevel="0" collapsed="false">
      <c r="A3427" s="3" t="n">
        <v>46208</v>
      </c>
      <c r="B3427" s="4" t="s">
        <v>915</v>
      </c>
      <c r="C3427" s="4" t="n">
        <v>11</v>
      </c>
      <c r="D3427" s="4" t="n">
        <v>9</v>
      </c>
      <c r="E3427" s="4" t="s">
        <v>3109</v>
      </c>
      <c r="F3427" s="4" t="n">
        <v>56</v>
      </c>
      <c r="G3427" s="4" t="n">
        <v>1</v>
      </c>
      <c r="H3427" s="4" t="n">
        <v>4</v>
      </c>
      <c r="I3427" s="4" t="str">
        <v>×</v>
      </c>
      <c r="J3427" s="4"/>
      <c r="K3427" s="4"/>
      <c r="L3427" s="4"/>
      <c r="M3427" s="5" t="s">
        <v>2677</v>
      </c>
    </row>
    <row r="3428" customFormat="false" ht="15.75" hidden="false" customHeight="false" outlineLevel="0" collapsed="false">
      <c r="A3428" s="3" t="n">
        <v>46208</v>
      </c>
      <c r="B3428" s="4" t="s">
        <v>915</v>
      </c>
      <c r="C3428" s="4" t="n">
        <v>11</v>
      </c>
      <c r="D3428" s="4" t="n">
        <v>10</v>
      </c>
      <c r="E3428" s="4" t="s">
        <v>3110</v>
      </c>
      <c r="F3428" s="4" t="n">
        <v>10</v>
      </c>
      <c r="G3428" s="4" t="n">
        <v>8</v>
      </c>
      <c r="H3428" s="4" t="n">
        <v>4</v>
      </c>
      <c r="I3428" s="4" t="str">
        <v>×</v>
      </c>
      <c r="J3428" s="4"/>
      <c r="K3428" s="4"/>
      <c r="L3428" s="4"/>
      <c r="M3428" s="5" t="s">
        <v>2677</v>
      </c>
    </row>
    <row r="3429" customFormat="false" ht="15.75" hidden="false" customHeight="false" outlineLevel="0" collapsed="false">
      <c r="A3429" s="3" t="n">
        <v>46208</v>
      </c>
      <c r="B3429" s="4" t="s">
        <v>915</v>
      </c>
      <c r="C3429" s="4" t="n">
        <v>11</v>
      </c>
      <c r="D3429" s="4" t="n">
        <v>11</v>
      </c>
      <c r="E3429" s="4" t="s">
        <v>3111</v>
      </c>
      <c r="F3429" s="4" t="n">
        <v>10</v>
      </c>
      <c r="G3429" s="4" t="n">
        <v>8</v>
      </c>
      <c r="H3429" s="4" t="n">
        <v>4</v>
      </c>
      <c r="I3429" s="4" t="str">
        <v>×</v>
      </c>
      <c r="J3429" s="4"/>
      <c r="K3429" s="4"/>
      <c r="L3429" s="4"/>
      <c r="M3429" s="5" t="s">
        <v>2677</v>
      </c>
    </row>
    <row r="3430" customFormat="false" ht="15.75" hidden="false" customHeight="false" outlineLevel="0" collapsed="false">
      <c r="A3430" s="3" t="n">
        <v>46208</v>
      </c>
      <c r="B3430" s="4" t="s">
        <v>915</v>
      </c>
      <c r="C3430" s="4" t="n">
        <v>11</v>
      </c>
      <c r="D3430" s="4" t="n">
        <v>12</v>
      </c>
      <c r="E3430" s="4" t="s">
        <v>3112</v>
      </c>
      <c r="F3430" s="4" t="n">
        <v>10</v>
      </c>
      <c r="G3430" s="4" t="n">
        <v>8</v>
      </c>
      <c r="H3430" s="4" t="n">
        <v>4</v>
      </c>
      <c r="I3430" s="4" t="str">
        <v>×</v>
      </c>
      <c r="J3430" s="4"/>
      <c r="K3430" s="4"/>
      <c r="L3430" s="4"/>
      <c r="M3430" s="5" t="s">
        <v>2677</v>
      </c>
    </row>
    <row r="3431" customFormat="false" ht="15.75" hidden="false" customHeight="false" outlineLevel="0" collapsed="false">
      <c r="A3431" s="3" t="n">
        <v>46208</v>
      </c>
      <c r="B3431" s="4" t="s">
        <v>915</v>
      </c>
      <c r="C3431" s="4" t="n">
        <v>11</v>
      </c>
      <c r="D3431" s="4" t="n">
        <v>13</v>
      </c>
      <c r="E3431" s="4" t="s">
        <v>3113</v>
      </c>
      <c r="F3431" s="4" t="n">
        <v>4</v>
      </c>
      <c r="G3431" s="4" t="n">
        <v>10</v>
      </c>
      <c r="H3431" s="4" t="n">
        <v>4</v>
      </c>
      <c r="I3431" s="4" t="str">
        <v>×</v>
      </c>
      <c r="J3431" s="4"/>
      <c r="K3431" s="4"/>
      <c r="L3431" s="4"/>
      <c r="M3431" s="5" t="s">
        <v>2677</v>
      </c>
    </row>
    <row r="3432" customFormat="false" ht="15.75" hidden="false" customHeight="false" outlineLevel="0" collapsed="false">
      <c r="A3432" s="3" t="n">
        <v>46208</v>
      </c>
      <c r="B3432" s="4" t="s">
        <v>915</v>
      </c>
      <c r="C3432" s="4" t="n">
        <v>11</v>
      </c>
      <c r="D3432" s="4" t="n">
        <v>14</v>
      </c>
      <c r="E3432" s="4" t="s">
        <v>3114</v>
      </c>
      <c r="F3432" s="4" t="n">
        <v>4</v>
      </c>
      <c r="G3432" s="4" t="n">
        <v>10</v>
      </c>
      <c r="H3432" s="4" t="n">
        <v>4</v>
      </c>
      <c r="I3432" s="4" t="str">
        <v>×</v>
      </c>
      <c r="J3432" s="4"/>
      <c r="K3432" s="4"/>
      <c r="L3432" s="4"/>
      <c r="M3432" s="5" t="s">
        <v>2677</v>
      </c>
    </row>
    <row r="3433" customFormat="false" ht="15.75" hidden="false" customHeight="false" outlineLevel="0" collapsed="false">
      <c r="A3433" s="3" t="n">
        <v>46208</v>
      </c>
      <c r="B3433" s="4" t="s">
        <v>915</v>
      </c>
      <c r="C3433" s="4" t="n">
        <v>11</v>
      </c>
      <c r="D3433" s="4" t="n">
        <v>15</v>
      </c>
      <c r="E3433" s="4" t="s">
        <v>3115</v>
      </c>
      <c r="F3433" s="4" t="n">
        <v>23</v>
      </c>
      <c r="G3433" s="4" t="n">
        <v>5</v>
      </c>
      <c r="H3433" s="4" t="n">
        <v>4</v>
      </c>
      <c r="I3433" s="4" t="str">
        <v>×</v>
      </c>
      <c r="J3433" s="4"/>
      <c r="K3433" s="4"/>
      <c r="L3433" s="4"/>
      <c r="M3433" s="5" t="s">
        <v>2677</v>
      </c>
    </row>
    <row r="3434" customFormat="false" ht="15.75" hidden="false" customHeight="false" outlineLevel="0" collapsed="false">
      <c r="A3434" s="3" t="n">
        <v>46208</v>
      </c>
      <c r="B3434" s="4" t="s">
        <v>915</v>
      </c>
      <c r="C3434" s="4" t="n">
        <v>12</v>
      </c>
      <c r="D3434" s="4" t="n">
        <v>1</v>
      </c>
      <c r="E3434" s="4" t="s">
        <v>3116</v>
      </c>
      <c r="F3434" s="4" t="n">
        <v>75</v>
      </c>
      <c r="G3434" s="4" t="n">
        <v>1</v>
      </c>
      <c r="H3434" s="4" t="n">
        <v>4</v>
      </c>
      <c r="I3434" s="4" t="str">
        <v>×</v>
      </c>
      <c r="J3434" s="4"/>
      <c r="K3434" s="4"/>
      <c r="L3434" s="4"/>
      <c r="M3434" s="5" t="s">
        <v>2677</v>
      </c>
    </row>
    <row r="3435" customFormat="false" ht="15.75" hidden="false" customHeight="false" outlineLevel="0" collapsed="false">
      <c r="A3435" s="3" t="n">
        <v>46208</v>
      </c>
      <c r="B3435" s="4" t="s">
        <v>915</v>
      </c>
      <c r="C3435" s="4" t="n">
        <v>12</v>
      </c>
      <c r="D3435" s="4" t="n">
        <v>2</v>
      </c>
      <c r="E3435" s="4" t="s">
        <v>613</v>
      </c>
      <c r="F3435" s="4" t="n">
        <v>18</v>
      </c>
      <c r="G3435" s="4" t="n">
        <v>5</v>
      </c>
      <c r="H3435" s="4" t="n">
        <v>4</v>
      </c>
      <c r="I3435" s="4" t="str">
        <v>×</v>
      </c>
      <c r="J3435" s="4"/>
      <c r="K3435" s="4"/>
      <c r="L3435" s="4"/>
      <c r="M3435" s="5" t="s">
        <v>2677</v>
      </c>
    </row>
    <row r="3436" customFormat="false" ht="15.75" hidden="false" customHeight="false" outlineLevel="0" collapsed="false">
      <c r="A3436" s="3" t="n">
        <v>46208</v>
      </c>
      <c r="B3436" s="4" t="s">
        <v>915</v>
      </c>
      <c r="C3436" s="4" t="n">
        <v>12</v>
      </c>
      <c r="D3436" s="4" t="n">
        <v>3</v>
      </c>
      <c r="E3436" s="4" t="s">
        <v>3117</v>
      </c>
      <c r="F3436" s="4" t="n">
        <v>13</v>
      </c>
      <c r="G3436" s="4" t="n">
        <v>7</v>
      </c>
      <c r="H3436" s="4" t="n">
        <v>4</v>
      </c>
      <c r="I3436" s="4" t="str">
        <v>×</v>
      </c>
      <c r="J3436" s="4"/>
      <c r="K3436" s="4"/>
      <c r="L3436" s="4"/>
      <c r="M3436" s="5" t="s">
        <v>2677</v>
      </c>
    </row>
    <row r="3437" customFormat="false" ht="15.75" hidden="false" customHeight="false" outlineLevel="0" collapsed="false">
      <c r="A3437" s="3" t="n">
        <v>46208</v>
      </c>
      <c r="B3437" s="4" t="s">
        <v>915</v>
      </c>
      <c r="C3437" s="4" t="n">
        <v>12</v>
      </c>
      <c r="D3437" s="4" t="n">
        <v>4</v>
      </c>
      <c r="E3437" s="4" t="s">
        <v>3118</v>
      </c>
      <c r="F3437" s="4" t="n">
        <v>31</v>
      </c>
      <c r="G3437" s="4" t="n">
        <v>2</v>
      </c>
      <c r="H3437" s="4" t="n">
        <v>4</v>
      </c>
      <c r="I3437" s="4" t="str">
        <v>×</v>
      </c>
      <c r="J3437" s="4"/>
      <c r="K3437" s="4"/>
      <c r="L3437" s="4"/>
      <c r="M3437" s="5" t="s">
        <v>2677</v>
      </c>
    </row>
    <row r="3438" customFormat="false" ht="15.75" hidden="false" customHeight="false" outlineLevel="0" collapsed="false">
      <c r="A3438" s="3" t="n">
        <v>46208</v>
      </c>
      <c r="B3438" s="4" t="s">
        <v>915</v>
      </c>
      <c r="C3438" s="4" t="n">
        <v>12</v>
      </c>
      <c r="D3438" s="4" t="n">
        <v>5</v>
      </c>
      <c r="E3438" s="4" t="s">
        <v>3119</v>
      </c>
      <c r="F3438" s="4" t="n">
        <v>23</v>
      </c>
      <c r="G3438" s="4" t="n">
        <v>4</v>
      </c>
      <c r="H3438" s="4" t="n">
        <v>2</v>
      </c>
      <c r="I3438" s="4" t="str">
        <v>○</v>
      </c>
      <c r="J3438" s="4" t="n">
        <v>210</v>
      </c>
      <c r="K3438" s="4"/>
      <c r="L3438" s="4"/>
      <c r="M3438" s="5" t="s">
        <v>2677</v>
      </c>
    </row>
    <row r="3439" customFormat="false" ht="15.75" hidden="false" customHeight="false" outlineLevel="0" collapsed="false">
      <c r="A3439" s="3" t="n">
        <v>46208</v>
      </c>
      <c r="B3439" s="4" t="s">
        <v>915</v>
      </c>
      <c r="C3439" s="4" t="n">
        <v>12</v>
      </c>
      <c r="D3439" s="4" t="n">
        <v>6</v>
      </c>
      <c r="E3439" s="4" t="s">
        <v>3120</v>
      </c>
      <c r="F3439" s="4" t="n">
        <v>10</v>
      </c>
      <c r="G3439" s="4" t="n">
        <v>8</v>
      </c>
      <c r="H3439" s="4" t="n">
        <v>4</v>
      </c>
      <c r="I3439" s="4" t="str">
        <v>×</v>
      </c>
      <c r="J3439" s="4"/>
      <c r="K3439" s="4"/>
      <c r="L3439" s="4"/>
      <c r="M3439" s="5" t="s">
        <v>2677</v>
      </c>
    </row>
    <row r="3440" customFormat="false" ht="15.75" hidden="false" customHeight="false" outlineLevel="0" collapsed="false">
      <c r="A3440" s="3" t="n">
        <v>46208</v>
      </c>
      <c r="B3440" s="4" t="s">
        <v>915</v>
      </c>
      <c r="C3440" s="4" t="n">
        <v>12</v>
      </c>
      <c r="D3440" s="4" t="n">
        <v>7</v>
      </c>
      <c r="E3440" s="4" t="s">
        <v>3121</v>
      </c>
      <c r="F3440" s="4" t="n">
        <v>3</v>
      </c>
      <c r="G3440" s="4" t="n">
        <v>11</v>
      </c>
      <c r="H3440" s="4" t="n">
        <v>4</v>
      </c>
      <c r="I3440" s="4" t="str">
        <v>×</v>
      </c>
      <c r="J3440" s="4"/>
      <c r="K3440" s="4"/>
      <c r="L3440" s="4"/>
      <c r="M3440" s="5" t="s">
        <v>2677</v>
      </c>
    </row>
    <row r="3441" customFormat="false" ht="15.75" hidden="false" customHeight="false" outlineLevel="0" collapsed="false">
      <c r="A3441" s="3" t="n">
        <v>46208</v>
      </c>
      <c r="B3441" s="4" t="s">
        <v>915</v>
      </c>
      <c r="C3441" s="4" t="n">
        <v>12</v>
      </c>
      <c r="D3441" s="4" t="n">
        <v>8</v>
      </c>
      <c r="E3441" s="4" t="s">
        <v>3122</v>
      </c>
      <c r="F3441" s="4" t="n">
        <v>23</v>
      </c>
      <c r="G3441" s="4" t="n">
        <v>4</v>
      </c>
      <c r="H3441" s="4" t="n">
        <v>1</v>
      </c>
      <c r="I3441" s="4" t="str">
        <v>○</v>
      </c>
      <c r="J3441" s="4" t="n">
        <v>350</v>
      </c>
      <c r="K3441" s="4"/>
      <c r="L3441" s="4"/>
      <c r="M3441" s="5" t="s">
        <v>2677</v>
      </c>
    </row>
    <row r="3442" customFormat="false" ht="15.75" hidden="false" customHeight="false" outlineLevel="0" collapsed="false">
      <c r="A3442" s="3" t="n">
        <v>46208</v>
      </c>
      <c r="B3442" s="4" t="s">
        <v>915</v>
      </c>
      <c r="C3442" s="4" t="n">
        <v>12</v>
      </c>
      <c r="D3442" s="4" t="n">
        <v>9</v>
      </c>
      <c r="E3442" s="4" t="s">
        <v>3123</v>
      </c>
      <c r="F3442" s="4" t="n">
        <v>13</v>
      </c>
      <c r="G3442" s="4" t="n">
        <v>7</v>
      </c>
      <c r="H3442" s="4" t="n">
        <v>4</v>
      </c>
      <c r="I3442" s="4" t="str">
        <v>×</v>
      </c>
      <c r="J3442" s="4"/>
      <c r="K3442" s="4"/>
      <c r="L3442" s="4"/>
      <c r="M3442" s="5" t="s">
        <v>2677</v>
      </c>
    </row>
    <row r="3443" customFormat="false" ht="15.75" hidden="false" customHeight="false" outlineLevel="0" collapsed="false">
      <c r="A3443" s="3" t="n">
        <v>46208</v>
      </c>
      <c r="B3443" s="4" t="s">
        <v>915</v>
      </c>
      <c r="C3443" s="4" t="n">
        <v>12</v>
      </c>
      <c r="D3443" s="4" t="n">
        <v>10</v>
      </c>
      <c r="E3443" s="4" t="s">
        <v>3124</v>
      </c>
      <c r="F3443" s="4" t="n">
        <v>6</v>
      </c>
      <c r="G3443" s="4" t="n">
        <v>10</v>
      </c>
      <c r="H3443" s="4" t="n">
        <v>4</v>
      </c>
      <c r="I3443" s="4" t="str">
        <v>×</v>
      </c>
      <c r="J3443" s="4"/>
      <c r="K3443" s="4"/>
      <c r="L3443" s="4"/>
      <c r="M3443" s="5" t="s">
        <v>2677</v>
      </c>
    </row>
    <row r="3444" customFormat="false" ht="15.75" hidden="false" customHeight="false" outlineLevel="0" collapsed="false">
      <c r="A3444" s="3" t="n">
        <v>46208</v>
      </c>
      <c r="B3444" s="4" t="s">
        <v>915</v>
      </c>
      <c r="C3444" s="4" t="n">
        <v>12</v>
      </c>
      <c r="D3444" s="4" t="n">
        <v>11</v>
      </c>
      <c r="E3444" s="4" t="s">
        <v>1808</v>
      </c>
      <c r="F3444" s="4" t="n">
        <v>8</v>
      </c>
      <c r="G3444" s="4" t="n">
        <v>9</v>
      </c>
      <c r="H3444" s="4" t="n">
        <v>4</v>
      </c>
      <c r="I3444" s="4" t="str">
        <v>×</v>
      </c>
      <c r="J3444" s="4"/>
      <c r="K3444" s="4"/>
      <c r="L3444" s="4"/>
      <c r="M3444" s="5" t="s">
        <v>2677</v>
      </c>
    </row>
    <row r="3445" customFormat="false" ht="15.75" hidden="false" customHeight="false" outlineLevel="0" collapsed="false">
      <c r="A3445" s="3" t="n">
        <v>46208</v>
      </c>
      <c r="B3445" s="4" t="s">
        <v>915</v>
      </c>
      <c r="C3445" s="4" t="n">
        <v>12</v>
      </c>
      <c r="D3445" s="4" t="n">
        <v>12</v>
      </c>
      <c r="E3445" s="4" t="s">
        <v>3125</v>
      </c>
      <c r="F3445" s="4" t="n">
        <v>10</v>
      </c>
      <c r="G3445" s="4" t="n">
        <v>8</v>
      </c>
      <c r="H3445" s="4" t="n">
        <v>4</v>
      </c>
      <c r="I3445" s="4" t="str">
        <v>×</v>
      </c>
      <c r="J3445" s="4"/>
      <c r="K3445" s="4"/>
      <c r="L3445" s="4"/>
      <c r="M3445" s="5" t="s">
        <v>2677</v>
      </c>
    </row>
    <row r="3446" customFormat="false" ht="15.75" hidden="false" customHeight="false" outlineLevel="0" collapsed="false">
      <c r="A3446" s="3" t="n">
        <v>46208</v>
      </c>
      <c r="B3446" s="4" t="s">
        <v>915</v>
      </c>
      <c r="C3446" s="4" t="n">
        <v>12</v>
      </c>
      <c r="D3446" s="4" t="n">
        <v>13</v>
      </c>
      <c r="E3446" s="4" t="s">
        <v>1957</v>
      </c>
      <c r="F3446" s="4" t="n">
        <v>15</v>
      </c>
      <c r="G3446" s="4" t="n">
        <v>6</v>
      </c>
      <c r="H3446" s="4" t="n">
        <v>3</v>
      </c>
      <c r="I3446" s="4" t="str">
        <v>○</v>
      </c>
      <c r="J3446" s="4" t="n">
        <v>410</v>
      </c>
      <c r="K3446" s="4"/>
      <c r="L3446" s="4"/>
      <c r="M3446" s="5" t="s">
        <v>2677</v>
      </c>
    </row>
    <row r="3447" customFormat="false" ht="15.75" hidden="false" customHeight="false" outlineLevel="0" collapsed="false">
      <c r="A3447" s="3" t="n">
        <v>46208</v>
      </c>
      <c r="B3447" s="4" t="s">
        <v>915</v>
      </c>
      <c r="C3447" s="4" t="n">
        <v>12</v>
      </c>
      <c r="D3447" s="4" t="n">
        <v>14</v>
      </c>
      <c r="E3447" s="4" t="s">
        <v>531</v>
      </c>
      <c r="F3447" s="4" t="n">
        <v>29</v>
      </c>
      <c r="G3447" s="4" t="n">
        <v>3</v>
      </c>
      <c r="H3447" s="4" t="n">
        <v>4</v>
      </c>
      <c r="I3447" s="4" t="str">
        <v>×</v>
      </c>
      <c r="J3447" s="4"/>
      <c r="K3447" s="4"/>
      <c r="L3447" s="4"/>
      <c r="M3447" s="5" t="s">
        <v>2677</v>
      </c>
    </row>
    <row r="3448" customFormat="false" ht="15.75" hidden="false" customHeight="false" outlineLevel="0" collapsed="false">
      <c r="A3448" s="3" t="n">
        <v>46208</v>
      </c>
      <c r="B3448" s="4" t="s">
        <v>915</v>
      </c>
      <c r="C3448" s="4" t="n">
        <v>12</v>
      </c>
      <c r="D3448" s="4" t="n">
        <v>15</v>
      </c>
      <c r="E3448" s="4" t="s">
        <v>857</v>
      </c>
      <c r="F3448" s="4" t="n">
        <v>23</v>
      </c>
      <c r="G3448" s="4" t="n">
        <v>4</v>
      </c>
      <c r="H3448" s="4" t="n">
        <v>4</v>
      </c>
      <c r="I3448" s="4" t="str">
        <v>×</v>
      </c>
      <c r="J3448" s="4"/>
      <c r="K3448" s="4"/>
      <c r="L3448" s="4"/>
      <c r="M3448" s="5" t="s">
        <v>2677</v>
      </c>
    </row>
    <row r="3449" customFormat="false" ht="15.75" hidden="false" customHeight="false" outlineLevel="0" collapsed="false">
      <c r="A3449" s="3" t="n">
        <v>46208</v>
      </c>
      <c r="B3449" s="4" t="s">
        <v>1091</v>
      </c>
      <c r="C3449" s="4" t="n">
        <v>1</v>
      </c>
      <c r="D3449" s="4" t="n">
        <v>1</v>
      </c>
      <c r="E3449" s="4" t="s">
        <v>3126</v>
      </c>
      <c r="F3449" s="4" t="n">
        <v>14</v>
      </c>
      <c r="G3449" s="4" t="n">
        <v>4</v>
      </c>
      <c r="H3449" s="4" t="n">
        <v>4</v>
      </c>
      <c r="I3449" s="4" t="str">
        <v>×</v>
      </c>
      <c r="J3449" s="4"/>
      <c r="K3449" s="4"/>
      <c r="L3449" s="4"/>
      <c r="M3449" s="5" t="s">
        <v>2677</v>
      </c>
    </row>
    <row r="3450" customFormat="false" ht="15.75" hidden="false" customHeight="false" outlineLevel="0" collapsed="false">
      <c r="A3450" s="3" t="n">
        <v>46208</v>
      </c>
      <c r="B3450" s="4" t="s">
        <v>1091</v>
      </c>
      <c r="C3450" s="4" t="n">
        <v>1</v>
      </c>
      <c r="D3450" s="4" t="n">
        <v>2</v>
      </c>
      <c r="E3450" s="4" t="s">
        <v>3127</v>
      </c>
      <c r="F3450" s="4" t="n">
        <v>44</v>
      </c>
      <c r="G3450" s="4" t="n">
        <v>1</v>
      </c>
      <c r="H3450" s="4" t="n">
        <v>3</v>
      </c>
      <c r="I3450" s="4" t="str">
        <v>○</v>
      </c>
      <c r="J3450" s="4" t="n">
        <v>250</v>
      </c>
      <c r="K3450" s="4"/>
      <c r="L3450" s="4"/>
      <c r="M3450" s="5" t="s">
        <v>2677</v>
      </c>
    </row>
    <row r="3451" customFormat="false" ht="15.75" hidden="false" customHeight="false" outlineLevel="0" collapsed="false">
      <c r="A3451" s="3" t="n">
        <v>46208</v>
      </c>
      <c r="B3451" s="4" t="s">
        <v>1091</v>
      </c>
      <c r="C3451" s="4" t="n">
        <v>1</v>
      </c>
      <c r="D3451" s="4" t="n">
        <v>3</v>
      </c>
      <c r="E3451" s="4" t="s">
        <v>3128</v>
      </c>
      <c r="F3451" s="4" t="n">
        <v>16</v>
      </c>
      <c r="G3451" s="4" t="n">
        <v>3</v>
      </c>
      <c r="H3451" s="4" t="n">
        <v>2</v>
      </c>
      <c r="I3451" s="4" t="str">
        <v>○</v>
      </c>
      <c r="J3451" s="4" t="n">
        <v>200</v>
      </c>
      <c r="K3451" s="4"/>
      <c r="L3451" s="4"/>
      <c r="M3451" s="5" t="s">
        <v>2677</v>
      </c>
    </row>
    <row r="3452" customFormat="false" ht="15.75" hidden="false" customHeight="false" outlineLevel="0" collapsed="false">
      <c r="A3452" s="3" t="n">
        <v>46208</v>
      </c>
      <c r="B3452" s="4" t="s">
        <v>1091</v>
      </c>
      <c r="C3452" s="4" t="n">
        <v>1</v>
      </c>
      <c r="D3452" s="4" t="n">
        <v>4</v>
      </c>
      <c r="E3452" s="4" t="s">
        <v>3129</v>
      </c>
      <c r="F3452" s="4" t="n">
        <v>44</v>
      </c>
      <c r="G3452" s="4" t="n">
        <v>1</v>
      </c>
      <c r="H3452" s="4" t="n">
        <v>4</v>
      </c>
      <c r="I3452" s="4" t="str">
        <v>×</v>
      </c>
      <c r="J3452" s="4"/>
      <c r="K3452" s="4"/>
      <c r="L3452" s="4"/>
      <c r="M3452" s="5" t="s">
        <v>2677</v>
      </c>
    </row>
    <row r="3453" customFormat="false" ht="15.75" hidden="false" customHeight="false" outlineLevel="0" collapsed="false">
      <c r="A3453" s="3" t="n">
        <v>46208</v>
      </c>
      <c r="B3453" s="4" t="s">
        <v>1091</v>
      </c>
      <c r="C3453" s="4" t="n">
        <v>1</v>
      </c>
      <c r="D3453" s="4" t="n">
        <v>5</v>
      </c>
      <c r="E3453" s="4" t="s">
        <v>3130</v>
      </c>
      <c r="F3453" s="4" t="n">
        <v>16</v>
      </c>
      <c r="G3453" s="4" t="n">
        <v>3</v>
      </c>
      <c r="H3453" s="4" t="n">
        <v>4</v>
      </c>
      <c r="I3453" s="4" t="str">
        <v>×</v>
      </c>
      <c r="J3453" s="4"/>
      <c r="K3453" s="4"/>
      <c r="L3453" s="4"/>
      <c r="M3453" s="5" t="s">
        <v>2677</v>
      </c>
    </row>
    <row r="3454" customFormat="false" ht="15.75" hidden="false" customHeight="false" outlineLevel="0" collapsed="false">
      <c r="A3454" s="3" t="n">
        <v>46208</v>
      </c>
      <c r="B3454" s="4" t="s">
        <v>1091</v>
      </c>
      <c r="C3454" s="4" t="n">
        <v>1</v>
      </c>
      <c r="D3454" s="4" t="n">
        <v>6</v>
      </c>
      <c r="E3454" s="4" t="s">
        <v>1095</v>
      </c>
      <c r="F3454" s="4" t="n">
        <v>14</v>
      </c>
      <c r="G3454" s="4" t="n">
        <v>4</v>
      </c>
      <c r="H3454" s="4" t="n">
        <v>4</v>
      </c>
      <c r="I3454" s="4" t="str">
        <v>×</v>
      </c>
      <c r="J3454" s="4"/>
      <c r="K3454" s="4"/>
      <c r="L3454" s="4"/>
      <c r="M3454" s="5" t="s">
        <v>2677</v>
      </c>
    </row>
    <row r="3455" customFormat="false" ht="15.75" hidden="false" customHeight="false" outlineLevel="0" collapsed="false">
      <c r="A3455" s="3" t="n">
        <v>46208</v>
      </c>
      <c r="B3455" s="4" t="s">
        <v>1091</v>
      </c>
      <c r="C3455" s="4" t="n">
        <v>1</v>
      </c>
      <c r="D3455" s="4" t="n">
        <v>7</v>
      </c>
      <c r="E3455" s="4" t="s">
        <v>3131</v>
      </c>
      <c r="F3455" s="4" t="n">
        <v>6</v>
      </c>
      <c r="G3455" s="4" t="n">
        <v>5</v>
      </c>
      <c r="H3455" s="4" t="n">
        <v>4</v>
      </c>
      <c r="I3455" s="4" t="str">
        <v>×</v>
      </c>
      <c r="J3455" s="4"/>
      <c r="K3455" s="4"/>
      <c r="L3455" s="4"/>
      <c r="M3455" s="5" t="s">
        <v>2677</v>
      </c>
    </row>
    <row r="3456" customFormat="false" ht="15.75" hidden="false" customHeight="false" outlineLevel="0" collapsed="false">
      <c r="A3456" s="3" t="n">
        <v>46208</v>
      </c>
      <c r="B3456" s="4" t="s">
        <v>1091</v>
      </c>
      <c r="C3456" s="4" t="n">
        <v>1</v>
      </c>
      <c r="D3456" s="4" t="n">
        <v>8</v>
      </c>
      <c r="E3456" s="4" t="s">
        <v>3132</v>
      </c>
      <c r="F3456" s="4" t="n">
        <v>44</v>
      </c>
      <c r="G3456" s="4" t="n">
        <v>1</v>
      </c>
      <c r="H3456" s="4" t="n">
        <v>4</v>
      </c>
      <c r="I3456" s="4" t="str">
        <v>×</v>
      </c>
      <c r="J3456" s="4"/>
      <c r="K3456" s="4"/>
      <c r="L3456" s="4"/>
      <c r="M3456" s="5" t="s">
        <v>2677</v>
      </c>
    </row>
    <row r="3457" customFormat="false" ht="15.75" hidden="false" customHeight="false" outlineLevel="0" collapsed="false">
      <c r="A3457" s="3" t="n">
        <v>46208</v>
      </c>
      <c r="B3457" s="4" t="s">
        <v>1091</v>
      </c>
      <c r="C3457" s="4" t="n">
        <v>1</v>
      </c>
      <c r="D3457" s="4" t="n">
        <v>9</v>
      </c>
      <c r="E3457" s="4" t="s">
        <v>299</v>
      </c>
      <c r="F3457" s="4" t="n">
        <v>6</v>
      </c>
      <c r="G3457" s="4" t="n">
        <v>5</v>
      </c>
      <c r="H3457" s="4" t="n">
        <v>4</v>
      </c>
      <c r="I3457" s="4" t="str">
        <v>×</v>
      </c>
      <c r="J3457" s="4"/>
      <c r="K3457" s="4"/>
      <c r="L3457" s="4"/>
      <c r="M3457" s="5" t="s">
        <v>2677</v>
      </c>
    </row>
    <row r="3458" customFormat="false" ht="15.75" hidden="false" customHeight="false" outlineLevel="0" collapsed="false">
      <c r="A3458" s="3" t="n">
        <v>46208</v>
      </c>
      <c r="B3458" s="4" t="s">
        <v>1091</v>
      </c>
      <c r="C3458" s="4" t="n">
        <v>1</v>
      </c>
      <c r="D3458" s="4" t="n">
        <v>10</v>
      </c>
      <c r="E3458" s="4" t="s">
        <v>3133</v>
      </c>
      <c r="F3458" s="4" t="n">
        <v>44</v>
      </c>
      <c r="G3458" s="4" t="n">
        <v>1</v>
      </c>
      <c r="H3458" s="4" t="n">
        <v>4</v>
      </c>
      <c r="I3458" s="4" t="str">
        <v>×</v>
      </c>
      <c r="J3458" s="4"/>
      <c r="K3458" s="4"/>
      <c r="L3458" s="4"/>
      <c r="M3458" s="5" t="s">
        <v>2677</v>
      </c>
    </row>
    <row r="3459" customFormat="false" ht="15.75" hidden="false" customHeight="false" outlineLevel="0" collapsed="false">
      <c r="A3459" s="3" t="n">
        <v>46208</v>
      </c>
      <c r="B3459" s="4" t="s">
        <v>1091</v>
      </c>
      <c r="C3459" s="4" t="n">
        <v>1</v>
      </c>
      <c r="D3459" s="4" t="n">
        <v>11</v>
      </c>
      <c r="E3459" s="4" t="s">
        <v>3134</v>
      </c>
      <c r="F3459" s="4" t="n">
        <v>3</v>
      </c>
      <c r="G3459" s="4" t="n">
        <v>6</v>
      </c>
      <c r="H3459" s="4" t="n">
        <v>4</v>
      </c>
      <c r="I3459" s="4" t="str">
        <v>×</v>
      </c>
      <c r="J3459" s="4"/>
      <c r="K3459" s="4"/>
      <c r="L3459" s="4"/>
      <c r="M3459" s="5" t="s">
        <v>2677</v>
      </c>
    </row>
    <row r="3460" customFormat="false" ht="15.75" hidden="false" customHeight="false" outlineLevel="0" collapsed="false">
      <c r="A3460" s="3" t="n">
        <v>46208</v>
      </c>
      <c r="B3460" s="4" t="s">
        <v>1091</v>
      </c>
      <c r="C3460" s="4" t="n">
        <v>1</v>
      </c>
      <c r="D3460" s="4" t="n">
        <v>12</v>
      </c>
      <c r="E3460" s="4" t="s">
        <v>3135</v>
      </c>
      <c r="F3460" s="4" t="n">
        <v>37</v>
      </c>
      <c r="G3460" s="4" t="n">
        <v>2</v>
      </c>
      <c r="H3460" s="4" t="n">
        <v>1</v>
      </c>
      <c r="I3460" s="4" t="str">
        <v>○</v>
      </c>
      <c r="J3460" s="4" t="n">
        <v>180</v>
      </c>
      <c r="K3460" s="4"/>
      <c r="L3460" s="4"/>
      <c r="M3460" s="5" t="s">
        <v>2677</v>
      </c>
    </row>
    <row r="3461" customFormat="false" ht="15.75" hidden="false" customHeight="false" outlineLevel="0" collapsed="false">
      <c r="A3461" s="3" t="n">
        <v>46208</v>
      </c>
      <c r="B3461" s="4" t="s">
        <v>1091</v>
      </c>
      <c r="C3461" s="4" t="n">
        <v>2</v>
      </c>
      <c r="D3461" s="4" t="n">
        <v>1</v>
      </c>
      <c r="E3461" s="4" t="s">
        <v>1189</v>
      </c>
      <c r="F3461" s="4" t="n">
        <v>47</v>
      </c>
      <c r="G3461" s="4" t="n">
        <v>2</v>
      </c>
      <c r="H3461" s="4" t="n">
        <v>4</v>
      </c>
      <c r="I3461" s="4" t="str">
        <v>×</v>
      </c>
      <c r="J3461" s="4"/>
      <c r="K3461" s="4"/>
      <c r="L3461" s="4"/>
      <c r="M3461" s="5" t="s">
        <v>2677</v>
      </c>
    </row>
    <row r="3462" customFormat="false" ht="15.75" hidden="false" customHeight="false" outlineLevel="0" collapsed="false">
      <c r="A3462" s="3" t="n">
        <v>46208</v>
      </c>
      <c r="B3462" s="4" t="s">
        <v>1091</v>
      </c>
      <c r="C3462" s="4" t="n">
        <v>2</v>
      </c>
      <c r="D3462" s="4" t="n">
        <v>2</v>
      </c>
      <c r="E3462" s="4" t="s">
        <v>1190</v>
      </c>
      <c r="F3462" s="4" t="n">
        <v>23</v>
      </c>
      <c r="G3462" s="4" t="n">
        <v>5</v>
      </c>
      <c r="H3462" s="4" t="n">
        <v>4</v>
      </c>
      <c r="I3462" s="4" t="str">
        <v>×</v>
      </c>
      <c r="J3462" s="4"/>
      <c r="K3462" s="4"/>
      <c r="L3462" s="4"/>
      <c r="M3462" s="5" t="s">
        <v>2677</v>
      </c>
    </row>
    <row r="3463" customFormat="false" ht="15.75" hidden="false" customHeight="false" outlineLevel="0" collapsed="false">
      <c r="A3463" s="3" t="n">
        <v>46208</v>
      </c>
      <c r="B3463" s="4" t="s">
        <v>1091</v>
      </c>
      <c r="C3463" s="4" t="n">
        <v>2</v>
      </c>
      <c r="D3463" s="4" t="n">
        <v>3</v>
      </c>
      <c r="E3463" s="4" t="s">
        <v>1193</v>
      </c>
      <c r="F3463" s="4" t="n">
        <v>13</v>
      </c>
      <c r="G3463" s="4" t="n">
        <v>7</v>
      </c>
      <c r="H3463" s="4" t="n">
        <v>4</v>
      </c>
      <c r="I3463" s="4" t="str">
        <v>×</v>
      </c>
      <c r="J3463" s="4"/>
      <c r="K3463" s="4"/>
      <c r="L3463" s="4"/>
      <c r="M3463" s="5" t="s">
        <v>2677</v>
      </c>
    </row>
    <row r="3464" customFormat="false" ht="15.75" hidden="false" customHeight="false" outlineLevel="0" collapsed="false">
      <c r="A3464" s="3" t="n">
        <v>46208</v>
      </c>
      <c r="B3464" s="4" t="s">
        <v>1091</v>
      </c>
      <c r="C3464" s="4" t="n">
        <v>2</v>
      </c>
      <c r="D3464" s="4" t="n">
        <v>4</v>
      </c>
      <c r="E3464" s="4" t="s">
        <v>1195</v>
      </c>
      <c r="F3464" s="4" t="n">
        <v>8</v>
      </c>
      <c r="G3464" s="4" t="n">
        <v>9</v>
      </c>
      <c r="H3464" s="4" t="n">
        <v>4</v>
      </c>
      <c r="I3464" s="4" t="str">
        <v>×</v>
      </c>
      <c r="J3464" s="4"/>
      <c r="K3464" s="4"/>
      <c r="L3464" s="4"/>
      <c r="M3464" s="5" t="s">
        <v>2677</v>
      </c>
    </row>
    <row r="3465" customFormat="false" ht="15.75" hidden="false" customHeight="false" outlineLevel="0" collapsed="false">
      <c r="A3465" s="3" t="n">
        <v>46208</v>
      </c>
      <c r="B3465" s="4" t="s">
        <v>1091</v>
      </c>
      <c r="C3465" s="4" t="n">
        <v>2</v>
      </c>
      <c r="D3465" s="4" t="n">
        <v>5</v>
      </c>
      <c r="E3465" s="4" t="s">
        <v>1192</v>
      </c>
      <c r="F3465" s="4" t="n">
        <v>34</v>
      </c>
      <c r="G3465" s="4" t="n">
        <v>3</v>
      </c>
      <c r="H3465" s="4" t="n">
        <v>4</v>
      </c>
      <c r="I3465" s="4" t="str">
        <v>×</v>
      </c>
      <c r="J3465" s="4"/>
      <c r="K3465" s="4"/>
      <c r="L3465" s="4"/>
      <c r="M3465" s="5" t="s">
        <v>2677</v>
      </c>
    </row>
    <row r="3466" customFormat="false" ht="15.75" hidden="false" customHeight="false" outlineLevel="0" collapsed="false">
      <c r="A3466" s="3" t="n">
        <v>46208</v>
      </c>
      <c r="B3466" s="4" t="s">
        <v>1091</v>
      </c>
      <c r="C3466" s="4" t="n">
        <v>2</v>
      </c>
      <c r="D3466" s="4" t="n">
        <v>6</v>
      </c>
      <c r="E3466" s="4" t="s">
        <v>1186</v>
      </c>
      <c r="F3466" s="4" t="n">
        <v>3</v>
      </c>
      <c r="G3466" s="4" t="n">
        <v>12</v>
      </c>
      <c r="H3466" s="4" t="n">
        <v>4</v>
      </c>
      <c r="I3466" s="4" t="str">
        <v>×</v>
      </c>
      <c r="J3466" s="4"/>
      <c r="K3466" s="4"/>
      <c r="L3466" s="4"/>
      <c r="M3466" s="5" t="s">
        <v>2677</v>
      </c>
    </row>
    <row r="3467" customFormat="false" ht="15.75" hidden="false" customHeight="false" outlineLevel="0" collapsed="false">
      <c r="A3467" s="3" t="n">
        <v>46208</v>
      </c>
      <c r="B3467" s="4" t="s">
        <v>1091</v>
      </c>
      <c r="C3467" s="4" t="n">
        <v>2</v>
      </c>
      <c r="D3467" s="4" t="n">
        <v>7</v>
      </c>
      <c r="E3467" s="4" t="s">
        <v>1197</v>
      </c>
      <c r="F3467" s="4" t="n">
        <v>25</v>
      </c>
      <c r="G3467" s="4" t="n">
        <v>4</v>
      </c>
      <c r="H3467" s="4" t="n">
        <v>2</v>
      </c>
      <c r="I3467" s="4" t="str">
        <v>○</v>
      </c>
      <c r="J3467" s="4" t="n">
        <v>320</v>
      </c>
      <c r="K3467" s="4"/>
      <c r="L3467" s="4"/>
      <c r="M3467" s="5" t="s">
        <v>2677</v>
      </c>
    </row>
    <row r="3468" customFormat="false" ht="15.75" hidden="false" customHeight="false" outlineLevel="0" collapsed="false">
      <c r="A3468" s="3" t="n">
        <v>46208</v>
      </c>
      <c r="B3468" s="4" t="s">
        <v>1091</v>
      </c>
      <c r="C3468" s="4" t="n">
        <v>2</v>
      </c>
      <c r="D3468" s="4" t="n">
        <v>8</v>
      </c>
      <c r="E3468" s="4" t="s">
        <v>1198</v>
      </c>
      <c r="F3468" s="4" t="n">
        <v>8</v>
      </c>
      <c r="G3468" s="4" t="n">
        <v>9</v>
      </c>
      <c r="H3468" s="4" t="n">
        <v>3</v>
      </c>
      <c r="I3468" s="4" t="str">
        <v>○</v>
      </c>
      <c r="J3468" s="4" t="n">
        <v>450</v>
      </c>
      <c r="K3468" s="4"/>
      <c r="L3468" s="4"/>
      <c r="M3468" s="5" t="s">
        <v>2677</v>
      </c>
    </row>
    <row r="3469" customFormat="false" ht="15.75" hidden="false" customHeight="false" outlineLevel="0" collapsed="false">
      <c r="A3469" s="3" t="n">
        <v>46208</v>
      </c>
      <c r="B3469" s="4" t="s">
        <v>1091</v>
      </c>
      <c r="C3469" s="4" t="n">
        <v>2</v>
      </c>
      <c r="D3469" s="4" t="n">
        <v>9</v>
      </c>
      <c r="E3469" s="4" t="s">
        <v>1182</v>
      </c>
      <c r="F3469" s="4" t="n">
        <v>17</v>
      </c>
      <c r="G3469" s="4" t="n">
        <v>6</v>
      </c>
      <c r="H3469" s="4" t="n">
        <v>4</v>
      </c>
      <c r="I3469" s="4" t="str">
        <v>×</v>
      </c>
      <c r="J3469" s="4"/>
      <c r="K3469" s="4"/>
      <c r="L3469" s="4"/>
      <c r="M3469" s="5" t="s">
        <v>2677</v>
      </c>
    </row>
    <row r="3470" customFormat="false" ht="15.75" hidden="false" customHeight="false" outlineLevel="0" collapsed="false">
      <c r="A3470" s="3" t="n">
        <v>46208</v>
      </c>
      <c r="B3470" s="4" t="s">
        <v>1091</v>
      </c>
      <c r="C3470" s="4" t="n">
        <v>2</v>
      </c>
      <c r="D3470" s="4" t="n">
        <v>10</v>
      </c>
      <c r="E3470" s="4" t="s">
        <v>1183</v>
      </c>
      <c r="F3470" s="4" t="n">
        <v>67</v>
      </c>
      <c r="G3470" s="4" t="n">
        <v>1</v>
      </c>
      <c r="H3470" s="4" t="n">
        <v>1</v>
      </c>
      <c r="I3470" s="4" t="str">
        <v>○</v>
      </c>
      <c r="J3470" s="4" t="n">
        <v>110</v>
      </c>
      <c r="K3470" s="4"/>
      <c r="L3470" s="4"/>
      <c r="M3470" s="5" t="s">
        <v>2677</v>
      </c>
    </row>
    <row r="3471" customFormat="false" ht="15.75" hidden="false" customHeight="false" outlineLevel="0" collapsed="false">
      <c r="A3471" s="3" t="n">
        <v>46208</v>
      </c>
      <c r="B3471" s="4" t="s">
        <v>1091</v>
      </c>
      <c r="C3471" s="4" t="n">
        <v>2</v>
      </c>
      <c r="D3471" s="4" t="n">
        <v>11</v>
      </c>
      <c r="E3471" s="4" t="s">
        <v>1194</v>
      </c>
      <c r="F3471" s="4" t="n">
        <v>3</v>
      </c>
      <c r="G3471" s="4" t="n">
        <v>12</v>
      </c>
      <c r="H3471" s="4" t="n">
        <v>4</v>
      </c>
      <c r="I3471" s="4" t="str">
        <v>×</v>
      </c>
      <c r="J3471" s="4"/>
      <c r="K3471" s="4"/>
      <c r="L3471" s="4"/>
      <c r="M3471" s="5" t="s">
        <v>2677</v>
      </c>
    </row>
    <row r="3472" customFormat="false" ht="15.75" hidden="false" customHeight="false" outlineLevel="0" collapsed="false">
      <c r="A3472" s="3" t="n">
        <v>46208</v>
      </c>
      <c r="B3472" s="4" t="s">
        <v>1091</v>
      </c>
      <c r="C3472" s="4" t="n">
        <v>2</v>
      </c>
      <c r="D3472" s="4" t="n">
        <v>12</v>
      </c>
      <c r="E3472" s="4" t="s">
        <v>2021</v>
      </c>
      <c r="F3472" s="4" t="n">
        <v>10</v>
      </c>
      <c r="G3472" s="4" t="n">
        <v>8</v>
      </c>
      <c r="H3472" s="4" t="n">
        <v>4</v>
      </c>
      <c r="I3472" s="4" t="str">
        <v>×</v>
      </c>
      <c r="J3472" s="4"/>
      <c r="K3472" s="4"/>
      <c r="L3472" s="4"/>
      <c r="M3472" s="5" t="s">
        <v>2677</v>
      </c>
    </row>
    <row r="3473" customFormat="false" ht="15.75" hidden="false" customHeight="false" outlineLevel="0" collapsed="false">
      <c r="A3473" s="3" t="n">
        <v>46208</v>
      </c>
      <c r="B3473" s="4" t="s">
        <v>1091</v>
      </c>
      <c r="C3473" s="4" t="n">
        <v>2</v>
      </c>
      <c r="D3473" s="4" t="n">
        <v>13</v>
      </c>
      <c r="E3473" s="4" t="s">
        <v>1185</v>
      </c>
      <c r="F3473" s="4" t="n">
        <v>8</v>
      </c>
      <c r="G3473" s="4" t="n">
        <v>9</v>
      </c>
      <c r="H3473" s="4" t="n">
        <v>4</v>
      </c>
      <c r="I3473" s="4" t="str">
        <v>×</v>
      </c>
      <c r="J3473" s="4"/>
      <c r="K3473" s="4"/>
      <c r="L3473" s="4"/>
      <c r="M3473" s="5" t="s">
        <v>2677</v>
      </c>
    </row>
    <row r="3474" customFormat="false" ht="15.75" hidden="false" customHeight="false" outlineLevel="0" collapsed="false">
      <c r="A3474" s="3" t="n">
        <v>46208</v>
      </c>
      <c r="B3474" s="4" t="s">
        <v>1091</v>
      </c>
      <c r="C3474" s="4" t="n">
        <v>2</v>
      </c>
      <c r="D3474" s="4" t="n">
        <v>14</v>
      </c>
      <c r="E3474" s="4" t="s">
        <v>1184</v>
      </c>
      <c r="F3474" s="4" t="n">
        <v>4</v>
      </c>
      <c r="G3474" s="4" t="n">
        <v>11</v>
      </c>
      <c r="H3474" s="4" t="n">
        <v>4</v>
      </c>
      <c r="I3474" s="4" t="str">
        <v>×</v>
      </c>
      <c r="J3474" s="4"/>
      <c r="K3474" s="4"/>
      <c r="L3474" s="4"/>
      <c r="M3474" s="5" t="s">
        <v>2677</v>
      </c>
    </row>
    <row r="3475" customFormat="false" ht="15.75" hidden="false" customHeight="false" outlineLevel="0" collapsed="false">
      <c r="A3475" s="3" t="n">
        <v>46208</v>
      </c>
      <c r="B3475" s="4" t="s">
        <v>1091</v>
      </c>
      <c r="C3475" s="4" t="n">
        <v>2</v>
      </c>
      <c r="D3475" s="4" t="n">
        <v>15</v>
      </c>
      <c r="E3475" s="4" t="s">
        <v>3136</v>
      </c>
      <c r="F3475" s="4" t="n">
        <v>6</v>
      </c>
      <c r="G3475" s="4" t="n">
        <v>10</v>
      </c>
      <c r="H3475" s="4" t="n">
        <v>4</v>
      </c>
      <c r="I3475" s="4" t="str">
        <v>×</v>
      </c>
      <c r="J3475" s="4"/>
      <c r="K3475" s="4"/>
      <c r="L3475" s="4"/>
      <c r="M3475" s="5" t="s">
        <v>2677</v>
      </c>
    </row>
    <row r="3476" customFormat="false" ht="15.75" hidden="false" customHeight="false" outlineLevel="0" collapsed="false">
      <c r="A3476" s="3" t="n">
        <v>46208</v>
      </c>
      <c r="B3476" s="4" t="s">
        <v>1091</v>
      </c>
      <c r="C3476" s="4" t="n">
        <v>2</v>
      </c>
      <c r="D3476" s="4" t="n">
        <v>16</v>
      </c>
      <c r="E3476" s="4" t="s">
        <v>1389</v>
      </c>
      <c r="F3476" s="4" t="n">
        <v>2</v>
      </c>
      <c r="G3476" s="4" t="n">
        <v>13</v>
      </c>
      <c r="H3476" s="4" t="n">
        <v>4</v>
      </c>
      <c r="I3476" s="4" t="str">
        <v>×</v>
      </c>
      <c r="J3476" s="4"/>
      <c r="K3476" s="4"/>
      <c r="L3476" s="4"/>
      <c r="M3476" s="5" t="s">
        <v>2677</v>
      </c>
    </row>
    <row r="3477" customFormat="false" ht="15.75" hidden="false" customHeight="false" outlineLevel="0" collapsed="false">
      <c r="A3477" s="3" t="n">
        <v>46208</v>
      </c>
      <c r="B3477" s="4" t="s">
        <v>1091</v>
      </c>
      <c r="C3477" s="4" t="n">
        <v>3</v>
      </c>
      <c r="D3477" s="4" t="n">
        <v>1</v>
      </c>
      <c r="E3477" s="4" t="s">
        <v>3137</v>
      </c>
      <c r="F3477" s="4" t="n">
        <v>6</v>
      </c>
      <c r="G3477" s="4" t="n">
        <v>9</v>
      </c>
      <c r="H3477" s="4" t="n">
        <v>4</v>
      </c>
      <c r="I3477" s="4" t="str">
        <v>×</v>
      </c>
      <c r="J3477" s="4"/>
      <c r="K3477" s="4"/>
      <c r="L3477" s="4"/>
      <c r="M3477" s="5" t="s">
        <v>2677</v>
      </c>
    </row>
    <row r="3478" customFormat="false" ht="15.75" hidden="false" customHeight="false" outlineLevel="0" collapsed="false">
      <c r="A3478" s="3" t="n">
        <v>46208</v>
      </c>
      <c r="B3478" s="4" t="s">
        <v>1091</v>
      </c>
      <c r="C3478" s="4" t="n">
        <v>3</v>
      </c>
      <c r="D3478" s="4" t="n">
        <v>2</v>
      </c>
      <c r="E3478" s="4" t="s">
        <v>3138</v>
      </c>
      <c r="F3478" s="4" t="n">
        <v>10</v>
      </c>
      <c r="G3478" s="4" t="n">
        <v>7</v>
      </c>
      <c r="H3478" s="4" t="n">
        <v>4</v>
      </c>
      <c r="I3478" s="4" t="str">
        <v>×</v>
      </c>
      <c r="J3478" s="4"/>
      <c r="K3478" s="4"/>
      <c r="L3478" s="4"/>
      <c r="M3478" s="5" t="s">
        <v>2677</v>
      </c>
    </row>
    <row r="3479" customFormat="false" ht="15.75" hidden="false" customHeight="false" outlineLevel="0" collapsed="false">
      <c r="A3479" s="3" t="n">
        <v>46208</v>
      </c>
      <c r="B3479" s="4" t="s">
        <v>1091</v>
      </c>
      <c r="C3479" s="4" t="n">
        <v>3</v>
      </c>
      <c r="D3479" s="4" t="n">
        <v>3</v>
      </c>
      <c r="E3479" s="4" t="s">
        <v>3139</v>
      </c>
      <c r="F3479" s="4" t="n">
        <v>17</v>
      </c>
      <c r="G3479" s="4" t="n">
        <v>4</v>
      </c>
      <c r="H3479" s="4" t="n">
        <v>4</v>
      </c>
      <c r="I3479" s="4" t="str">
        <v>×</v>
      </c>
      <c r="J3479" s="4"/>
      <c r="K3479" s="4"/>
      <c r="L3479" s="4"/>
      <c r="M3479" s="5" t="s">
        <v>2677</v>
      </c>
    </row>
    <row r="3480" customFormat="false" ht="15.75" hidden="false" customHeight="false" outlineLevel="0" collapsed="false">
      <c r="A3480" s="3" t="n">
        <v>46208</v>
      </c>
      <c r="B3480" s="4" t="s">
        <v>1091</v>
      </c>
      <c r="C3480" s="4" t="n">
        <v>3</v>
      </c>
      <c r="D3480" s="4" t="n">
        <v>4</v>
      </c>
      <c r="E3480" s="4" t="s">
        <v>3140</v>
      </c>
      <c r="F3480" s="4" t="n">
        <v>39</v>
      </c>
      <c r="G3480" s="4" t="n">
        <v>3</v>
      </c>
      <c r="H3480" s="4" t="n">
        <v>4</v>
      </c>
      <c r="I3480" s="4" t="str">
        <v>×</v>
      </c>
      <c r="J3480" s="4"/>
      <c r="K3480" s="4"/>
      <c r="L3480" s="4"/>
      <c r="M3480" s="5" t="s">
        <v>2677</v>
      </c>
    </row>
    <row r="3481" customFormat="false" ht="15.75" hidden="false" customHeight="false" outlineLevel="0" collapsed="false">
      <c r="A3481" s="3" t="n">
        <v>46208</v>
      </c>
      <c r="B3481" s="4" t="s">
        <v>1091</v>
      </c>
      <c r="C3481" s="4" t="n">
        <v>3</v>
      </c>
      <c r="D3481" s="4" t="n">
        <v>5</v>
      </c>
      <c r="E3481" s="4" t="s">
        <v>3141</v>
      </c>
      <c r="F3481" s="4" t="n">
        <v>8</v>
      </c>
      <c r="G3481" s="4" t="n">
        <v>8</v>
      </c>
      <c r="H3481" s="4" t="n">
        <v>1</v>
      </c>
      <c r="I3481" s="4" t="str">
        <v>○</v>
      </c>
      <c r="J3481" s="4" t="n">
        <v>1330</v>
      </c>
      <c r="K3481" s="4"/>
      <c r="L3481" s="4"/>
      <c r="M3481" s="5" t="s">
        <v>2677</v>
      </c>
    </row>
    <row r="3482" customFormat="false" ht="15.75" hidden="false" customHeight="false" outlineLevel="0" collapsed="false">
      <c r="A3482" s="3" t="n">
        <v>46208</v>
      </c>
      <c r="B3482" s="4" t="s">
        <v>1091</v>
      </c>
      <c r="C3482" s="4" t="n">
        <v>3</v>
      </c>
      <c r="D3482" s="4" t="n">
        <v>6</v>
      </c>
      <c r="E3482" s="4" t="s">
        <v>2053</v>
      </c>
      <c r="F3482" s="4" t="n">
        <v>17</v>
      </c>
      <c r="G3482" s="4" t="n">
        <v>4</v>
      </c>
      <c r="H3482" s="4" t="n">
        <v>3</v>
      </c>
      <c r="I3482" s="4" t="str">
        <v>○</v>
      </c>
      <c r="J3482" s="4" t="n">
        <v>1060</v>
      </c>
      <c r="K3482" s="4"/>
      <c r="L3482" s="4"/>
      <c r="M3482" s="5" t="s">
        <v>2677</v>
      </c>
    </row>
    <row r="3483" customFormat="false" ht="15.75" hidden="false" customHeight="false" outlineLevel="0" collapsed="false">
      <c r="A3483" s="3" t="n">
        <v>46208</v>
      </c>
      <c r="B3483" s="4" t="s">
        <v>1091</v>
      </c>
      <c r="C3483" s="4" t="n">
        <v>3</v>
      </c>
      <c r="D3483" s="4" t="n">
        <v>7</v>
      </c>
      <c r="E3483" s="4" t="s">
        <v>3142</v>
      </c>
      <c r="F3483" s="4" t="n">
        <v>15</v>
      </c>
      <c r="G3483" s="4" t="n">
        <v>5</v>
      </c>
      <c r="H3483" s="4" t="n">
        <v>4</v>
      </c>
      <c r="I3483" s="4" t="str">
        <v>×</v>
      </c>
      <c r="J3483" s="4"/>
      <c r="K3483" s="4"/>
      <c r="L3483" s="4"/>
      <c r="M3483" s="5" t="s">
        <v>2677</v>
      </c>
    </row>
    <row r="3484" customFormat="false" ht="15.75" hidden="false" customHeight="false" outlineLevel="0" collapsed="false">
      <c r="A3484" s="3" t="n">
        <v>46208</v>
      </c>
      <c r="B3484" s="4" t="s">
        <v>1091</v>
      </c>
      <c r="C3484" s="4" t="n">
        <v>3</v>
      </c>
      <c r="D3484" s="4" t="n">
        <v>8</v>
      </c>
      <c r="E3484" s="4" t="s">
        <v>1160</v>
      </c>
      <c r="F3484" s="4" t="n">
        <v>6</v>
      </c>
      <c r="G3484" s="4" t="n">
        <v>9</v>
      </c>
      <c r="H3484" s="4" t="n">
        <v>4</v>
      </c>
      <c r="I3484" s="4" t="str">
        <v>×</v>
      </c>
      <c r="J3484" s="4"/>
      <c r="K3484" s="4"/>
      <c r="L3484" s="4"/>
      <c r="M3484" s="5" t="s">
        <v>2677</v>
      </c>
    </row>
    <row r="3485" customFormat="false" ht="15.75" hidden="false" customHeight="false" outlineLevel="0" collapsed="false">
      <c r="A3485" s="3" t="n">
        <v>46208</v>
      </c>
      <c r="B3485" s="4" t="s">
        <v>1091</v>
      </c>
      <c r="C3485" s="4" t="n">
        <v>3</v>
      </c>
      <c r="D3485" s="4" t="n">
        <v>9</v>
      </c>
      <c r="E3485" s="4" t="s">
        <v>3143</v>
      </c>
      <c r="F3485" s="4" t="n">
        <v>2</v>
      </c>
      <c r="G3485" s="4" t="n">
        <v>11</v>
      </c>
      <c r="H3485" s="4" t="n">
        <v>4</v>
      </c>
      <c r="I3485" s="4" t="str">
        <v>×</v>
      </c>
      <c r="J3485" s="4"/>
      <c r="K3485" s="4"/>
      <c r="L3485" s="4"/>
      <c r="M3485" s="5" t="s">
        <v>2677</v>
      </c>
    </row>
    <row r="3486" customFormat="false" ht="15.75" hidden="false" customHeight="false" outlineLevel="0" collapsed="false">
      <c r="A3486" s="3" t="n">
        <v>46208</v>
      </c>
      <c r="B3486" s="4" t="s">
        <v>1091</v>
      </c>
      <c r="C3486" s="4" t="n">
        <v>3</v>
      </c>
      <c r="D3486" s="4" t="n">
        <v>10</v>
      </c>
      <c r="E3486" s="4" t="s">
        <v>3144</v>
      </c>
      <c r="F3486" s="4" t="n">
        <v>17</v>
      </c>
      <c r="G3486" s="4" t="n">
        <v>4</v>
      </c>
      <c r="H3486" s="4" t="n">
        <v>4</v>
      </c>
      <c r="I3486" s="4" t="str">
        <v>×</v>
      </c>
      <c r="J3486" s="4"/>
      <c r="K3486" s="4"/>
      <c r="L3486" s="4"/>
      <c r="M3486" s="5" t="s">
        <v>2677</v>
      </c>
    </row>
    <row r="3487" customFormat="false" ht="15.75" hidden="false" customHeight="false" outlineLevel="0" collapsed="false">
      <c r="A3487" s="3" t="n">
        <v>46208</v>
      </c>
      <c r="B3487" s="4" t="s">
        <v>1091</v>
      </c>
      <c r="C3487" s="4" t="n">
        <v>3</v>
      </c>
      <c r="D3487" s="4" t="n">
        <v>11</v>
      </c>
      <c r="E3487" s="4" t="s">
        <v>3145</v>
      </c>
      <c r="F3487" s="4" t="n">
        <v>13</v>
      </c>
      <c r="G3487" s="4" t="n">
        <v>6</v>
      </c>
      <c r="H3487" s="4" t="n">
        <v>4</v>
      </c>
      <c r="I3487" s="4" t="str">
        <v>×</v>
      </c>
      <c r="J3487" s="4"/>
      <c r="K3487" s="4"/>
      <c r="L3487" s="4"/>
      <c r="M3487" s="5" t="s">
        <v>2677</v>
      </c>
    </row>
    <row r="3488" customFormat="false" ht="15.75" hidden="false" customHeight="false" outlineLevel="0" collapsed="false">
      <c r="A3488" s="3" t="n">
        <v>46208</v>
      </c>
      <c r="B3488" s="4" t="s">
        <v>1091</v>
      </c>
      <c r="C3488" s="4" t="n">
        <v>3</v>
      </c>
      <c r="D3488" s="4" t="n">
        <v>12</v>
      </c>
      <c r="E3488" s="4" t="s">
        <v>2048</v>
      </c>
      <c r="F3488" s="4" t="n">
        <v>6</v>
      </c>
      <c r="G3488" s="4" t="n">
        <v>9</v>
      </c>
      <c r="H3488" s="4" t="n">
        <v>2</v>
      </c>
      <c r="I3488" s="4" t="str">
        <v>○</v>
      </c>
      <c r="J3488" s="4" t="n">
        <v>2190</v>
      </c>
      <c r="K3488" s="4"/>
      <c r="L3488" s="4"/>
      <c r="M3488" s="5" t="s">
        <v>2677</v>
      </c>
    </row>
    <row r="3489" customFormat="false" ht="15.75" hidden="false" customHeight="false" outlineLevel="0" collapsed="false">
      <c r="A3489" s="3" t="n">
        <v>46208</v>
      </c>
      <c r="B3489" s="4" t="s">
        <v>1091</v>
      </c>
      <c r="C3489" s="4" t="n">
        <v>3</v>
      </c>
      <c r="D3489" s="4" t="n">
        <v>13</v>
      </c>
      <c r="E3489" s="4" t="s">
        <v>3146</v>
      </c>
      <c r="F3489" s="4" t="n">
        <v>3</v>
      </c>
      <c r="G3489" s="4" t="n">
        <v>10</v>
      </c>
      <c r="H3489" s="4" t="n">
        <v>4</v>
      </c>
      <c r="I3489" s="4" t="str">
        <v>×</v>
      </c>
      <c r="J3489" s="4"/>
      <c r="K3489" s="4"/>
      <c r="L3489" s="4"/>
      <c r="M3489" s="5" t="s">
        <v>2677</v>
      </c>
    </row>
    <row r="3490" customFormat="false" ht="15.75" hidden="false" customHeight="false" outlineLevel="0" collapsed="false">
      <c r="A3490" s="3" t="n">
        <v>46208</v>
      </c>
      <c r="B3490" s="4" t="s">
        <v>1091</v>
      </c>
      <c r="C3490" s="4" t="n">
        <v>3</v>
      </c>
      <c r="D3490" s="4" t="n">
        <v>14</v>
      </c>
      <c r="E3490" s="4" t="s">
        <v>3147</v>
      </c>
      <c r="F3490" s="4" t="n">
        <v>6</v>
      </c>
      <c r="G3490" s="4" t="n">
        <v>9</v>
      </c>
      <c r="H3490" s="4" t="n">
        <v>4</v>
      </c>
      <c r="I3490" s="4" t="str">
        <v>×</v>
      </c>
      <c r="J3490" s="4"/>
      <c r="K3490" s="4"/>
      <c r="L3490" s="4"/>
      <c r="M3490" s="5" t="s">
        <v>2677</v>
      </c>
    </row>
    <row r="3491" customFormat="false" ht="15.75" hidden="false" customHeight="false" outlineLevel="0" collapsed="false">
      <c r="A3491" s="3" t="n">
        <v>46208</v>
      </c>
      <c r="B3491" s="4" t="s">
        <v>1091</v>
      </c>
      <c r="C3491" s="4" t="n">
        <v>3</v>
      </c>
      <c r="D3491" s="4" t="n">
        <v>15</v>
      </c>
      <c r="E3491" s="4" t="s">
        <v>3148</v>
      </c>
      <c r="F3491" s="4" t="n">
        <v>3</v>
      </c>
      <c r="G3491" s="4" t="n">
        <v>10</v>
      </c>
      <c r="H3491" s="4" t="n">
        <v>4</v>
      </c>
      <c r="I3491" s="4" t="str">
        <v>×</v>
      </c>
      <c r="J3491" s="4"/>
      <c r="K3491" s="4"/>
      <c r="L3491" s="4"/>
      <c r="M3491" s="5" t="s">
        <v>2677</v>
      </c>
    </row>
    <row r="3492" customFormat="false" ht="15.75" hidden="false" customHeight="false" outlineLevel="0" collapsed="false">
      <c r="A3492" s="3" t="n">
        <v>46208</v>
      </c>
      <c r="B3492" s="4" t="s">
        <v>1091</v>
      </c>
      <c r="C3492" s="4" t="n">
        <v>3</v>
      </c>
      <c r="D3492" s="4" t="n">
        <v>16</v>
      </c>
      <c r="E3492" s="4" t="s">
        <v>3149</v>
      </c>
      <c r="F3492" s="4" t="n">
        <v>50</v>
      </c>
      <c r="G3492" s="4" t="n">
        <v>2</v>
      </c>
      <c r="H3492" s="4" t="n">
        <v>4</v>
      </c>
      <c r="I3492" s="4" t="str">
        <v>×</v>
      </c>
      <c r="J3492" s="4"/>
      <c r="K3492" s="4"/>
      <c r="L3492" s="4"/>
      <c r="M3492" s="5" t="s">
        <v>2677</v>
      </c>
    </row>
    <row r="3493" customFormat="false" ht="15.75" hidden="false" customHeight="false" outlineLevel="0" collapsed="false">
      <c r="A3493" s="3" t="n">
        <v>46208</v>
      </c>
      <c r="B3493" s="4" t="s">
        <v>1091</v>
      </c>
      <c r="C3493" s="4" t="n">
        <v>3</v>
      </c>
      <c r="D3493" s="4" t="n">
        <v>17</v>
      </c>
      <c r="E3493" s="4" t="s">
        <v>3150</v>
      </c>
      <c r="F3493" s="4" t="n">
        <v>62</v>
      </c>
      <c r="G3493" s="4" t="n">
        <v>1</v>
      </c>
      <c r="H3493" s="4" t="n">
        <v>4</v>
      </c>
      <c r="I3493" s="4" t="str">
        <v>×</v>
      </c>
      <c r="J3493" s="4"/>
      <c r="K3493" s="4"/>
      <c r="L3493" s="4"/>
      <c r="M3493" s="5" t="s">
        <v>2677</v>
      </c>
    </row>
    <row r="3494" customFormat="false" ht="15.75" hidden="false" customHeight="false" outlineLevel="0" collapsed="false">
      <c r="A3494" s="3" t="n">
        <v>46208</v>
      </c>
      <c r="B3494" s="4" t="s">
        <v>1091</v>
      </c>
      <c r="C3494" s="4" t="n">
        <v>3</v>
      </c>
      <c r="D3494" s="4" t="n">
        <v>18</v>
      </c>
      <c r="E3494" s="4" t="s">
        <v>3151</v>
      </c>
      <c r="F3494" s="4" t="n">
        <v>10</v>
      </c>
      <c r="G3494" s="4" t="n">
        <v>7</v>
      </c>
      <c r="H3494" s="4" t="n">
        <v>4</v>
      </c>
      <c r="I3494" s="4" t="str">
        <v>×</v>
      </c>
      <c r="J3494" s="4"/>
      <c r="K3494" s="4"/>
      <c r="L3494" s="4"/>
      <c r="M3494" s="5" t="s">
        <v>2677</v>
      </c>
    </row>
    <row r="3495" customFormat="false" ht="15.75" hidden="false" customHeight="false" outlineLevel="0" collapsed="false">
      <c r="A3495" s="3" t="n">
        <v>46208</v>
      </c>
      <c r="B3495" s="4" t="s">
        <v>1091</v>
      </c>
      <c r="C3495" s="4" t="n">
        <v>4</v>
      </c>
      <c r="D3495" s="4" t="n">
        <v>1</v>
      </c>
      <c r="E3495" s="4" t="s">
        <v>3152</v>
      </c>
      <c r="F3495" s="4" t="n">
        <v>4</v>
      </c>
      <c r="G3495" s="4" t="n">
        <v>9</v>
      </c>
      <c r="H3495" s="4" t="n">
        <v>4</v>
      </c>
      <c r="I3495" s="4" t="str">
        <v>×</v>
      </c>
      <c r="J3495" s="4"/>
      <c r="K3495" s="4"/>
      <c r="L3495" s="4"/>
      <c r="M3495" s="5" t="s">
        <v>2677</v>
      </c>
    </row>
    <row r="3496" customFormat="false" ht="15.75" hidden="false" customHeight="false" outlineLevel="0" collapsed="false">
      <c r="A3496" s="3" t="n">
        <v>46208</v>
      </c>
      <c r="B3496" s="4" t="s">
        <v>1091</v>
      </c>
      <c r="C3496" s="4" t="n">
        <v>4</v>
      </c>
      <c r="D3496" s="4" t="n">
        <v>2</v>
      </c>
      <c r="E3496" s="4" t="s">
        <v>680</v>
      </c>
      <c r="F3496" s="4" t="n">
        <v>34</v>
      </c>
      <c r="G3496" s="4" t="n">
        <v>3</v>
      </c>
      <c r="H3496" s="4" t="n">
        <v>4</v>
      </c>
      <c r="I3496" s="4" t="str">
        <v>×</v>
      </c>
      <c r="J3496" s="4"/>
      <c r="K3496" s="4"/>
      <c r="L3496" s="4"/>
      <c r="M3496" s="5" t="s">
        <v>2677</v>
      </c>
    </row>
    <row r="3497" customFormat="false" ht="15.75" hidden="false" customHeight="false" outlineLevel="0" collapsed="false">
      <c r="A3497" s="3" t="n">
        <v>46208</v>
      </c>
      <c r="B3497" s="4" t="s">
        <v>1091</v>
      </c>
      <c r="C3497" s="4" t="n">
        <v>4</v>
      </c>
      <c r="D3497" s="4" t="n">
        <v>3</v>
      </c>
      <c r="E3497" s="4" t="s">
        <v>3153</v>
      </c>
      <c r="F3497" s="4" t="n">
        <v>10</v>
      </c>
      <c r="G3497" s="4" t="n">
        <v>7</v>
      </c>
      <c r="H3497" s="4" t="n">
        <v>4</v>
      </c>
      <c r="I3497" s="4" t="str">
        <v>×</v>
      </c>
      <c r="J3497" s="4"/>
      <c r="K3497" s="4"/>
      <c r="L3497" s="4"/>
      <c r="M3497" s="5" t="s">
        <v>2677</v>
      </c>
    </row>
    <row r="3498" customFormat="false" ht="15.75" hidden="false" customHeight="false" outlineLevel="0" collapsed="false">
      <c r="A3498" s="3" t="n">
        <v>46208</v>
      </c>
      <c r="B3498" s="4" t="s">
        <v>1091</v>
      </c>
      <c r="C3498" s="4" t="n">
        <v>4</v>
      </c>
      <c r="D3498" s="4" t="n">
        <v>4</v>
      </c>
      <c r="E3498" s="4" t="s">
        <v>3154</v>
      </c>
      <c r="F3498" s="4" t="n">
        <v>17</v>
      </c>
      <c r="G3498" s="4" t="n">
        <v>5</v>
      </c>
      <c r="H3498" s="4" t="n">
        <v>3</v>
      </c>
      <c r="I3498" s="4" t="str">
        <v>○</v>
      </c>
      <c r="J3498" s="4" t="n">
        <v>250</v>
      </c>
      <c r="K3498" s="4"/>
      <c r="L3498" s="4"/>
      <c r="M3498" s="5" t="s">
        <v>2677</v>
      </c>
    </row>
    <row r="3499" customFormat="false" ht="15.75" hidden="false" customHeight="false" outlineLevel="0" collapsed="false">
      <c r="A3499" s="3" t="n">
        <v>46208</v>
      </c>
      <c r="B3499" s="4" t="s">
        <v>1091</v>
      </c>
      <c r="C3499" s="4" t="n">
        <v>4</v>
      </c>
      <c r="D3499" s="4" t="n">
        <v>5</v>
      </c>
      <c r="E3499" s="4" t="s">
        <v>1128</v>
      </c>
      <c r="F3499" s="4" t="n">
        <v>17</v>
      </c>
      <c r="G3499" s="4" t="n">
        <v>5</v>
      </c>
      <c r="H3499" s="4" t="n">
        <v>2</v>
      </c>
      <c r="I3499" s="4" t="str">
        <v>○</v>
      </c>
      <c r="J3499" s="4" t="n">
        <v>300</v>
      </c>
      <c r="K3499" s="4"/>
      <c r="L3499" s="4"/>
      <c r="M3499" s="5" t="s">
        <v>2677</v>
      </c>
    </row>
    <row r="3500" customFormat="false" ht="15.75" hidden="false" customHeight="false" outlineLevel="0" collapsed="false">
      <c r="A3500" s="3" t="n">
        <v>46208</v>
      </c>
      <c r="B3500" s="4" t="s">
        <v>1091</v>
      </c>
      <c r="C3500" s="4" t="n">
        <v>4</v>
      </c>
      <c r="D3500" s="4" t="n">
        <v>6</v>
      </c>
      <c r="E3500" s="4" t="s">
        <v>3155</v>
      </c>
      <c r="F3500" s="4" t="n">
        <v>31</v>
      </c>
      <c r="G3500" s="4" t="n">
        <v>4</v>
      </c>
      <c r="H3500" s="4" t="n">
        <v>1</v>
      </c>
      <c r="I3500" s="4" t="str">
        <v>○</v>
      </c>
      <c r="J3500" s="4" t="n">
        <v>350</v>
      </c>
      <c r="K3500" s="4"/>
      <c r="L3500" s="4"/>
      <c r="M3500" s="5" t="s">
        <v>2677</v>
      </c>
    </row>
    <row r="3501" customFormat="false" ht="15.75" hidden="false" customHeight="false" outlineLevel="0" collapsed="false">
      <c r="A3501" s="3" t="n">
        <v>46208</v>
      </c>
      <c r="B3501" s="4" t="s">
        <v>1091</v>
      </c>
      <c r="C3501" s="4" t="n">
        <v>4</v>
      </c>
      <c r="D3501" s="4" t="n">
        <v>7</v>
      </c>
      <c r="E3501" s="4" t="s">
        <v>3156</v>
      </c>
      <c r="F3501" s="4" t="n">
        <v>4</v>
      </c>
      <c r="G3501" s="4" t="n">
        <v>9</v>
      </c>
      <c r="H3501" s="4" t="n">
        <v>4</v>
      </c>
      <c r="I3501" s="4" t="str">
        <v>×</v>
      </c>
      <c r="J3501" s="4"/>
      <c r="K3501" s="4"/>
      <c r="L3501" s="4"/>
      <c r="M3501" s="5" t="s">
        <v>2677</v>
      </c>
    </row>
    <row r="3502" customFormat="false" ht="15.75" hidden="false" customHeight="false" outlineLevel="0" collapsed="false">
      <c r="A3502" s="3" t="n">
        <v>46208</v>
      </c>
      <c r="B3502" s="4" t="s">
        <v>1091</v>
      </c>
      <c r="C3502" s="4" t="n">
        <v>4</v>
      </c>
      <c r="D3502" s="4" t="n">
        <v>8</v>
      </c>
      <c r="E3502" s="4" t="s">
        <v>1116</v>
      </c>
      <c r="F3502" s="4" t="n">
        <v>62</v>
      </c>
      <c r="G3502" s="4" t="n">
        <v>1</v>
      </c>
      <c r="H3502" s="4" t="n">
        <v>4</v>
      </c>
      <c r="I3502" s="4" t="str">
        <v>×</v>
      </c>
      <c r="J3502" s="4"/>
      <c r="K3502" s="4"/>
      <c r="L3502" s="4"/>
      <c r="M3502" s="5" t="s">
        <v>2677</v>
      </c>
    </row>
    <row r="3503" customFormat="false" ht="15.75" hidden="false" customHeight="false" outlineLevel="0" collapsed="false">
      <c r="A3503" s="3" t="n">
        <v>46208</v>
      </c>
      <c r="B3503" s="4" t="s">
        <v>1091</v>
      </c>
      <c r="C3503" s="4" t="n">
        <v>4</v>
      </c>
      <c r="D3503" s="4" t="n">
        <v>9</v>
      </c>
      <c r="E3503" s="4" t="s">
        <v>3157</v>
      </c>
      <c r="F3503" s="4" t="n">
        <v>8</v>
      </c>
      <c r="G3503" s="4" t="n">
        <v>8</v>
      </c>
      <c r="H3503" s="4" t="n">
        <v>4</v>
      </c>
      <c r="I3503" s="4" t="str">
        <v>×</v>
      </c>
      <c r="J3503" s="4"/>
      <c r="K3503" s="4"/>
      <c r="L3503" s="4"/>
      <c r="M3503" s="5" t="s">
        <v>2677</v>
      </c>
    </row>
    <row r="3504" customFormat="false" ht="15.75" hidden="false" customHeight="false" outlineLevel="0" collapsed="false">
      <c r="A3504" s="3" t="n">
        <v>46208</v>
      </c>
      <c r="B3504" s="4" t="s">
        <v>1091</v>
      </c>
      <c r="C3504" s="4" t="n">
        <v>4</v>
      </c>
      <c r="D3504" s="4" t="n">
        <v>10</v>
      </c>
      <c r="E3504" s="4" t="s">
        <v>3158</v>
      </c>
      <c r="F3504" s="4" t="n">
        <v>15</v>
      </c>
      <c r="G3504" s="4" t="n">
        <v>6</v>
      </c>
      <c r="H3504" s="4" t="n">
        <v>4</v>
      </c>
      <c r="I3504" s="4" t="str">
        <v>×</v>
      </c>
      <c r="J3504" s="4"/>
      <c r="K3504" s="4"/>
      <c r="L3504" s="4"/>
      <c r="M3504" s="5" t="s">
        <v>2677</v>
      </c>
    </row>
    <row r="3505" customFormat="false" ht="15.75" hidden="false" customHeight="false" outlineLevel="0" collapsed="false">
      <c r="A3505" s="3" t="n">
        <v>46208</v>
      </c>
      <c r="B3505" s="4" t="s">
        <v>1091</v>
      </c>
      <c r="C3505" s="4" t="n">
        <v>4</v>
      </c>
      <c r="D3505" s="4" t="n">
        <v>11</v>
      </c>
      <c r="E3505" s="4" t="s">
        <v>3159</v>
      </c>
      <c r="F3505" s="4" t="n">
        <v>3</v>
      </c>
      <c r="G3505" s="4" t="n">
        <v>10</v>
      </c>
      <c r="H3505" s="4" t="n">
        <v>4</v>
      </c>
      <c r="I3505" s="4" t="str">
        <v>×</v>
      </c>
      <c r="J3505" s="4"/>
      <c r="K3505" s="4"/>
      <c r="L3505" s="4"/>
      <c r="M3505" s="5" t="s">
        <v>2677</v>
      </c>
    </row>
    <row r="3506" customFormat="false" ht="15.75" hidden="false" customHeight="false" outlineLevel="0" collapsed="false">
      <c r="A3506" s="3" t="n">
        <v>46208</v>
      </c>
      <c r="B3506" s="4" t="s">
        <v>1091</v>
      </c>
      <c r="C3506" s="4" t="n">
        <v>4</v>
      </c>
      <c r="D3506" s="4" t="n">
        <v>12</v>
      </c>
      <c r="E3506" s="4" t="s">
        <v>3160</v>
      </c>
      <c r="F3506" s="4" t="n">
        <v>8</v>
      </c>
      <c r="G3506" s="4" t="n">
        <v>8</v>
      </c>
      <c r="H3506" s="4" t="n">
        <v>4</v>
      </c>
      <c r="I3506" s="4" t="str">
        <v>×</v>
      </c>
      <c r="J3506" s="4"/>
      <c r="K3506" s="4"/>
      <c r="L3506" s="4"/>
      <c r="M3506" s="5" t="s">
        <v>2677</v>
      </c>
    </row>
    <row r="3507" customFormat="false" ht="15.75" hidden="false" customHeight="false" outlineLevel="0" collapsed="false">
      <c r="A3507" s="3" t="n">
        <v>46208</v>
      </c>
      <c r="B3507" s="4" t="s">
        <v>1091</v>
      </c>
      <c r="C3507" s="4" t="n">
        <v>4</v>
      </c>
      <c r="D3507" s="4" t="n">
        <v>13</v>
      </c>
      <c r="E3507" s="4" t="s">
        <v>3161</v>
      </c>
      <c r="F3507" s="4" t="n">
        <v>17</v>
      </c>
      <c r="G3507" s="4" t="n">
        <v>5</v>
      </c>
      <c r="H3507" s="4" t="n">
        <v>4</v>
      </c>
      <c r="I3507" s="4" t="str">
        <v>×</v>
      </c>
      <c r="J3507" s="4"/>
      <c r="K3507" s="4"/>
      <c r="L3507" s="4"/>
      <c r="M3507" s="5" t="s">
        <v>2677</v>
      </c>
    </row>
    <row r="3508" customFormat="false" ht="15.75" hidden="false" customHeight="false" outlineLevel="0" collapsed="false">
      <c r="A3508" s="3" t="n">
        <v>46208</v>
      </c>
      <c r="B3508" s="4" t="s">
        <v>1091</v>
      </c>
      <c r="C3508" s="4" t="n">
        <v>4</v>
      </c>
      <c r="D3508" s="4" t="n">
        <v>14</v>
      </c>
      <c r="E3508" s="4" t="s">
        <v>3162</v>
      </c>
      <c r="F3508" s="4" t="n">
        <v>56</v>
      </c>
      <c r="G3508" s="4" t="n">
        <v>2</v>
      </c>
      <c r="H3508" s="4" t="n">
        <v>4</v>
      </c>
      <c r="I3508" s="4" t="str">
        <v>×</v>
      </c>
      <c r="J3508" s="4"/>
      <c r="K3508" s="4"/>
      <c r="L3508" s="4"/>
      <c r="M3508" s="5" t="s">
        <v>2677</v>
      </c>
    </row>
    <row r="3509" customFormat="false" ht="15.75" hidden="false" customHeight="false" outlineLevel="0" collapsed="false">
      <c r="A3509" s="3" t="n">
        <v>46208</v>
      </c>
      <c r="B3509" s="4" t="s">
        <v>1091</v>
      </c>
      <c r="C3509" s="4" t="n">
        <v>5</v>
      </c>
      <c r="D3509" s="4" t="n">
        <v>1</v>
      </c>
      <c r="E3509" s="4" t="s">
        <v>3163</v>
      </c>
      <c r="F3509" s="4" t="n">
        <v>24</v>
      </c>
      <c r="G3509" s="4" t="n">
        <v>2</v>
      </c>
      <c r="H3509" s="4" t="n">
        <v>1</v>
      </c>
      <c r="I3509" s="4" t="str">
        <v>○</v>
      </c>
      <c r="J3509" s="4" t="n">
        <v>350</v>
      </c>
      <c r="K3509" s="4"/>
      <c r="L3509" s="4"/>
      <c r="M3509" s="5" t="s">
        <v>2677</v>
      </c>
    </row>
    <row r="3510" customFormat="false" ht="15.75" hidden="false" customHeight="false" outlineLevel="0" collapsed="false">
      <c r="A3510" s="3" t="n">
        <v>46208</v>
      </c>
      <c r="B3510" s="4" t="s">
        <v>1091</v>
      </c>
      <c r="C3510" s="4" t="n">
        <v>5</v>
      </c>
      <c r="D3510" s="4" t="n">
        <v>2</v>
      </c>
      <c r="E3510" s="4" t="s">
        <v>3164</v>
      </c>
      <c r="F3510" s="4" t="n">
        <v>12</v>
      </c>
      <c r="G3510" s="4" t="n">
        <v>5</v>
      </c>
      <c r="H3510" s="4" t="n">
        <v>4</v>
      </c>
      <c r="I3510" s="4" t="str">
        <v>×</v>
      </c>
      <c r="J3510" s="4"/>
      <c r="K3510" s="4"/>
      <c r="L3510" s="4"/>
      <c r="M3510" s="5" t="s">
        <v>2677</v>
      </c>
    </row>
    <row r="3511" customFormat="false" ht="15.75" hidden="false" customHeight="false" outlineLevel="0" collapsed="false">
      <c r="A3511" s="3" t="n">
        <v>46208</v>
      </c>
      <c r="B3511" s="4" t="s">
        <v>1091</v>
      </c>
      <c r="C3511" s="4" t="n">
        <v>5</v>
      </c>
      <c r="D3511" s="4" t="n">
        <v>3</v>
      </c>
      <c r="E3511" s="4" t="s">
        <v>1110</v>
      </c>
      <c r="F3511" s="4" t="n">
        <v>16</v>
      </c>
      <c r="G3511" s="4" t="n">
        <v>4</v>
      </c>
      <c r="H3511" s="4" t="n">
        <v>4</v>
      </c>
      <c r="I3511" s="4" t="str">
        <v>×</v>
      </c>
      <c r="J3511" s="4"/>
      <c r="K3511" s="4"/>
      <c r="L3511" s="4"/>
      <c r="M3511" s="5" t="s">
        <v>2677</v>
      </c>
    </row>
    <row r="3512" customFormat="false" ht="15.75" hidden="false" customHeight="false" outlineLevel="0" collapsed="false">
      <c r="A3512" s="3" t="n">
        <v>46208</v>
      </c>
      <c r="B3512" s="4" t="s">
        <v>1091</v>
      </c>
      <c r="C3512" s="4" t="n">
        <v>5</v>
      </c>
      <c r="D3512" s="4" t="n">
        <v>4</v>
      </c>
      <c r="E3512" s="4" t="s">
        <v>3165</v>
      </c>
      <c r="F3512" s="4" t="n">
        <v>24</v>
      </c>
      <c r="G3512" s="4" t="n">
        <v>2</v>
      </c>
      <c r="H3512" s="4" t="n">
        <v>4</v>
      </c>
      <c r="I3512" s="4" t="str">
        <v>×</v>
      </c>
      <c r="J3512" s="4"/>
      <c r="K3512" s="4"/>
      <c r="L3512" s="4"/>
      <c r="M3512" s="5" t="s">
        <v>2677</v>
      </c>
    </row>
    <row r="3513" customFormat="false" ht="15.75" hidden="false" customHeight="false" outlineLevel="0" collapsed="false">
      <c r="A3513" s="3" t="n">
        <v>46208</v>
      </c>
      <c r="B3513" s="4" t="s">
        <v>1091</v>
      </c>
      <c r="C3513" s="4" t="n">
        <v>5</v>
      </c>
      <c r="D3513" s="4" t="n">
        <v>5</v>
      </c>
      <c r="E3513" s="4" t="s">
        <v>3166</v>
      </c>
      <c r="F3513" s="4" t="n">
        <v>12</v>
      </c>
      <c r="G3513" s="4" t="n">
        <v>5</v>
      </c>
      <c r="H3513" s="4" t="n">
        <v>4</v>
      </c>
      <c r="I3513" s="4" t="str">
        <v>×</v>
      </c>
      <c r="J3513" s="4"/>
      <c r="K3513" s="4"/>
      <c r="L3513" s="4"/>
      <c r="M3513" s="5" t="s">
        <v>2677</v>
      </c>
    </row>
    <row r="3514" customFormat="false" ht="15.75" hidden="false" customHeight="false" outlineLevel="0" collapsed="false">
      <c r="A3514" s="3" t="n">
        <v>46208</v>
      </c>
      <c r="B3514" s="4" t="s">
        <v>1091</v>
      </c>
      <c r="C3514" s="4" t="n">
        <v>5</v>
      </c>
      <c r="D3514" s="4" t="n">
        <v>6</v>
      </c>
      <c r="E3514" s="4" t="s">
        <v>3167</v>
      </c>
      <c r="F3514" s="4" t="n">
        <v>24</v>
      </c>
      <c r="G3514" s="4" t="n">
        <v>2</v>
      </c>
      <c r="H3514" s="4" t="n">
        <v>4</v>
      </c>
      <c r="I3514" s="4" t="str">
        <v>×</v>
      </c>
      <c r="J3514" s="4"/>
      <c r="K3514" s="4"/>
      <c r="L3514" s="4"/>
      <c r="M3514" s="5" t="s">
        <v>2677</v>
      </c>
    </row>
    <row r="3515" customFormat="false" ht="15.75" hidden="false" customHeight="false" outlineLevel="0" collapsed="false">
      <c r="A3515" s="3" t="n">
        <v>46208</v>
      </c>
      <c r="B3515" s="4" t="s">
        <v>1091</v>
      </c>
      <c r="C3515" s="4" t="n">
        <v>5</v>
      </c>
      <c r="D3515" s="4" t="n">
        <v>7</v>
      </c>
      <c r="E3515" s="4" t="s">
        <v>3168</v>
      </c>
      <c r="F3515" s="4" t="n">
        <v>16</v>
      </c>
      <c r="G3515" s="4" t="n">
        <v>4</v>
      </c>
      <c r="H3515" s="4" t="n">
        <v>4</v>
      </c>
      <c r="I3515" s="4" t="str">
        <v>×</v>
      </c>
      <c r="J3515" s="4"/>
      <c r="K3515" s="4"/>
      <c r="L3515" s="4"/>
      <c r="M3515" s="5" t="s">
        <v>2677</v>
      </c>
    </row>
    <row r="3516" customFormat="false" ht="15.75" hidden="false" customHeight="false" outlineLevel="0" collapsed="false">
      <c r="A3516" s="3" t="n">
        <v>46208</v>
      </c>
      <c r="B3516" s="4" t="s">
        <v>1091</v>
      </c>
      <c r="C3516" s="4" t="n">
        <v>5</v>
      </c>
      <c r="D3516" s="4" t="n">
        <v>8</v>
      </c>
      <c r="E3516" s="4" t="s">
        <v>3169</v>
      </c>
      <c r="F3516" s="4" t="n">
        <v>24</v>
      </c>
      <c r="G3516" s="4" t="n">
        <v>2</v>
      </c>
      <c r="H3516" s="4" t="n">
        <v>3</v>
      </c>
      <c r="I3516" s="4" t="str">
        <v>○</v>
      </c>
      <c r="J3516" s="4" t="n">
        <v>320</v>
      </c>
      <c r="K3516" s="4"/>
      <c r="L3516" s="4"/>
      <c r="M3516" s="5" t="s">
        <v>2677</v>
      </c>
    </row>
    <row r="3517" customFormat="false" ht="15.75" hidden="false" customHeight="false" outlineLevel="0" collapsed="false">
      <c r="A3517" s="3" t="n">
        <v>46208</v>
      </c>
      <c r="B3517" s="4" t="s">
        <v>1091</v>
      </c>
      <c r="C3517" s="4" t="n">
        <v>5</v>
      </c>
      <c r="D3517" s="4" t="n">
        <v>9</v>
      </c>
      <c r="E3517" s="4" t="s">
        <v>3170</v>
      </c>
      <c r="F3517" s="4" t="n">
        <v>21</v>
      </c>
      <c r="G3517" s="4" t="n">
        <v>3</v>
      </c>
      <c r="H3517" s="4" t="n">
        <v>4</v>
      </c>
      <c r="I3517" s="4" t="str">
        <v>×</v>
      </c>
      <c r="J3517" s="4"/>
      <c r="K3517" s="4"/>
      <c r="L3517" s="4"/>
      <c r="M3517" s="5" t="s">
        <v>2677</v>
      </c>
    </row>
    <row r="3518" customFormat="false" ht="15.75" hidden="false" customHeight="false" outlineLevel="0" collapsed="false">
      <c r="A3518" s="3" t="n">
        <v>46208</v>
      </c>
      <c r="B3518" s="4" t="s">
        <v>1091</v>
      </c>
      <c r="C3518" s="4" t="n">
        <v>5</v>
      </c>
      <c r="D3518" s="4" t="n">
        <v>10</v>
      </c>
      <c r="E3518" s="4" t="s">
        <v>3171</v>
      </c>
      <c r="F3518" s="4" t="n">
        <v>37</v>
      </c>
      <c r="G3518" s="4" t="n">
        <v>1</v>
      </c>
      <c r="H3518" s="4" t="n">
        <v>4</v>
      </c>
      <c r="I3518" s="4" t="str">
        <v>×</v>
      </c>
      <c r="J3518" s="4"/>
      <c r="K3518" s="4"/>
      <c r="L3518" s="4"/>
      <c r="M3518" s="5" t="s">
        <v>2677</v>
      </c>
    </row>
    <row r="3519" customFormat="false" ht="15.75" hidden="false" customHeight="false" outlineLevel="0" collapsed="false">
      <c r="A3519" s="3" t="n">
        <v>46208</v>
      </c>
      <c r="B3519" s="4" t="s">
        <v>1091</v>
      </c>
      <c r="C3519" s="4" t="n">
        <v>5</v>
      </c>
      <c r="D3519" s="4" t="n">
        <v>11</v>
      </c>
      <c r="E3519" s="4" t="s">
        <v>3172</v>
      </c>
      <c r="F3519" s="4" t="n">
        <v>24</v>
      </c>
      <c r="G3519" s="4" t="n">
        <v>2</v>
      </c>
      <c r="H3519" s="4" t="n">
        <v>2</v>
      </c>
      <c r="I3519" s="4" t="str">
        <v>○</v>
      </c>
      <c r="J3519" s="4" t="n">
        <v>530</v>
      </c>
      <c r="K3519" s="4"/>
      <c r="L3519" s="4"/>
      <c r="M3519" s="5" t="s">
        <v>2677</v>
      </c>
    </row>
    <row r="3520" customFormat="false" ht="15.75" hidden="false" customHeight="false" outlineLevel="0" collapsed="false">
      <c r="A3520" s="3" t="n">
        <v>46208</v>
      </c>
      <c r="B3520" s="4" t="s">
        <v>1091</v>
      </c>
      <c r="C3520" s="4" t="n">
        <v>5</v>
      </c>
      <c r="D3520" s="4" t="n">
        <v>12</v>
      </c>
      <c r="E3520" s="4" t="s">
        <v>3173</v>
      </c>
      <c r="F3520" s="4" t="n">
        <v>16</v>
      </c>
      <c r="G3520" s="4" t="n">
        <v>4</v>
      </c>
      <c r="H3520" s="4" t="n">
        <v>4</v>
      </c>
      <c r="I3520" s="4" t="str">
        <v>×</v>
      </c>
      <c r="J3520" s="4"/>
      <c r="K3520" s="4"/>
      <c r="L3520" s="4"/>
      <c r="M3520" s="5" t="s">
        <v>2677</v>
      </c>
    </row>
    <row r="3521" customFormat="false" ht="15.75" hidden="false" customHeight="false" outlineLevel="0" collapsed="false">
      <c r="A3521" s="3" t="n">
        <v>46208</v>
      </c>
      <c r="B3521" s="4" t="s">
        <v>1091</v>
      </c>
      <c r="C3521" s="4" t="n">
        <v>6</v>
      </c>
      <c r="D3521" s="4" t="n">
        <v>1</v>
      </c>
      <c r="E3521" s="4" t="s">
        <v>3174</v>
      </c>
      <c r="F3521" s="4" t="n">
        <v>37</v>
      </c>
      <c r="G3521" s="4" t="n">
        <v>1</v>
      </c>
      <c r="H3521" s="4" t="n">
        <v>1</v>
      </c>
      <c r="I3521" s="4" t="str">
        <v>○</v>
      </c>
      <c r="J3521" s="4" t="n">
        <v>130</v>
      </c>
      <c r="K3521" s="4"/>
      <c r="L3521" s="4"/>
      <c r="M3521" s="5" t="s">
        <v>2677</v>
      </c>
    </row>
    <row r="3522" customFormat="false" ht="15.75" hidden="false" customHeight="false" outlineLevel="0" collapsed="false">
      <c r="A3522" s="3" t="n">
        <v>46208</v>
      </c>
      <c r="B3522" s="4" t="s">
        <v>1091</v>
      </c>
      <c r="C3522" s="4" t="n">
        <v>6</v>
      </c>
      <c r="D3522" s="4" t="n">
        <v>2</v>
      </c>
      <c r="E3522" s="4" t="s">
        <v>640</v>
      </c>
      <c r="F3522" s="4" t="n">
        <v>16</v>
      </c>
      <c r="G3522" s="4" t="n">
        <v>5</v>
      </c>
      <c r="H3522" s="4" t="n">
        <v>4</v>
      </c>
      <c r="I3522" s="4" t="str">
        <v>×</v>
      </c>
      <c r="J3522" s="4"/>
      <c r="K3522" s="4"/>
      <c r="L3522" s="4"/>
      <c r="M3522" s="5" t="s">
        <v>2677</v>
      </c>
    </row>
    <row r="3523" customFormat="false" ht="15.75" hidden="false" customHeight="false" outlineLevel="0" collapsed="false">
      <c r="A3523" s="3" t="n">
        <v>46208</v>
      </c>
      <c r="B3523" s="4" t="s">
        <v>1091</v>
      </c>
      <c r="C3523" s="4" t="n">
        <v>6</v>
      </c>
      <c r="D3523" s="4" t="n">
        <v>3</v>
      </c>
      <c r="E3523" s="4" t="s">
        <v>3175</v>
      </c>
      <c r="F3523" s="4" t="n">
        <v>31</v>
      </c>
      <c r="G3523" s="4" t="n">
        <v>2</v>
      </c>
      <c r="H3523" s="4" t="n">
        <v>4</v>
      </c>
      <c r="I3523" s="4" t="str">
        <v>×</v>
      </c>
      <c r="J3523" s="4"/>
      <c r="K3523" s="4"/>
      <c r="L3523" s="4"/>
      <c r="M3523" s="5" t="s">
        <v>2677</v>
      </c>
    </row>
    <row r="3524" customFormat="false" ht="15.75" hidden="false" customHeight="false" outlineLevel="0" collapsed="false">
      <c r="A3524" s="3" t="n">
        <v>46208</v>
      </c>
      <c r="B3524" s="4" t="s">
        <v>1091</v>
      </c>
      <c r="C3524" s="4" t="n">
        <v>6</v>
      </c>
      <c r="D3524" s="4" t="n">
        <v>4</v>
      </c>
      <c r="E3524" s="4" t="s">
        <v>3176</v>
      </c>
      <c r="F3524" s="4" t="n">
        <v>12</v>
      </c>
      <c r="G3524" s="4" t="n">
        <v>6</v>
      </c>
      <c r="H3524" s="4" t="n">
        <v>4</v>
      </c>
      <c r="I3524" s="4" t="str">
        <v>×</v>
      </c>
      <c r="J3524" s="4"/>
      <c r="K3524" s="4"/>
      <c r="L3524" s="4"/>
      <c r="M3524" s="5" t="s">
        <v>2677</v>
      </c>
    </row>
    <row r="3525" customFormat="false" ht="15.75" hidden="false" customHeight="false" outlineLevel="0" collapsed="false">
      <c r="A3525" s="3" t="n">
        <v>46208</v>
      </c>
      <c r="B3525" s="4" t="s">
        <v>1091</v>
      </c>
      <c r="C3525" s="4" t="n">
        <v>6</v>
      </c>
      <c r="D3525" s="4" t="n">
        <v>5</v>
      </c>
      <c r="E3525" s="4" t="s">
        <v>3177</v>
      </c>
      <c r="F3525" s="4" t="n">
        <v>24</v>
      </c>
      <c r="G3525" s="4" t="n">
        <v>3</v>
      </c>
      <c r="H3525" s="4" t="n">
        <v>4</v>
      </c>
      <c r="I3525" s="4" t="str">
        <v>×</v>
      </c>
      <c r="J3525" s="4"/>
      <c r="K3525" s="4"/>
      <c r="L3525" s="4"/>
      <c r="M3525" s="5" t="s">
        <v>2677</v>
      </c>
    </row>
    <row r="3526" customFormat="false" ht="15.75" hidden="false" customHeight="false" outlineLevel="0" collapsed="false">
      <c r="A3526" s="3" t="n">
        <v>46208</v>
      </c>
      <c r="B3526" s="4" t="s">
        <v>1091</v>
      </c>
      <c r="C3526" s="4" t="n">
        <v>6</v>
      </c>
      <c r="D3526" s="4" t="n">
        <v>6</v>
      </c>
      <c r="E3526" s="4" t="s">
        <v>3178</v>
      </c>
      <c r="F3526" s="4" t="n">
        <v>37</v>
      </c>
      <c r="G3526" s="4" t="n">
        <v>1</v>
      </c>
      <c r="H3526" s="4" t="n">
        <v>4</v>
      </c>
      <c r="I3526" s="4" t="str">
        <v>×</v>
      </c>
      <c r="J3526" s="4"/>
      <c r="K3526" s="4"/>
      <c r="L3526" s="4"/>
      <c r="M3526" s="5" t="s">
        <v>2677</v>
      </c>
    </row>
    <row r="3527" customFormat="false" ht="15.75" hidden="false" customHeight="false" outlineLevel="0" collapsed="false">
      <c r="A3527" s="3" t="n">
        <v>46208</v>
      </c>
      <c r="B3527" s="4" t="s">
        <v>1091</v>
      </c>
      <c r="C3527" s="4" t="n">
        <v>6</v>
      </c>
      <c r="D3527" s="4" t="n">
        <v>7</v>
      </c>
      <c r="E3527" s="4" t="s">
        <v>3179</v>
      </c>
      <c r="F3527" s="4" t="n">
        <v>37</v>
      </c>
      <c r="G3527" s="4" t="n">
        <v>1</v>
      </c>
      <c r="H3527" s="4" t="n">
        <v>2</v>
      </c>
      <c r="I3527" s="4" t="str">
        <v>○</v>
      </c>
      <c r="J3527" s="4" t="n">
        <v>150</v>
      </c>
      <c r="K3527" s="4"/>
      <c r="L3527" s="4"/>
      <c r="M3527" s="5" t="s">
        <v>2677</v>
      </c>
    </row>
    <row r="3528" customFormat="false" ht="15.75" hidden="false" customHeight="false" outlineLevel="0" collapsed="false">
      <c r="A3528" s="3" t="n">
        <v>46208</v>
      </c>
      <c r="B3528" s="4" t="s">
        <v>1091</v>
      </c>
      <c r="C3528" s="4" t="n">
        <v>6</v>
      </c>
      <c r="D3528" s="4" t="n">
        <v>8</v>
      </c>
      <c r="E3528" s="4" t="s">
        <v>1106</v>
      </c>
      <c r="F3528" s="4" t="n">
        <v>31</v>
      </c>
      <c r="G3528" s="4" t="n">
        <v>2</v>
      </c>
      <c r="H3528" s="4" t="n">
        <v>4</v>
      </c>
      <c r="I3528" s="4" t="str">
        <v>×</v>
      </c>
      <c r="J3528" s="4"/>
      <c r="K3528" s="4"/>
      <c r="L3528" s="4"/>
      <c r="M3528" s="5" t="s">
        <v>2677</v>
      </c>
    </row>
    <row r="3529" customFormat="false" ht="15.75" hidden="false" customHeight="false" outlineLevel="0" collapsed="false">
      <c r="A3529" s="3" t="n">
        <v>46208</v>
      </c>
      <c r="B3529" s="4" t="s">
        <v>1091</v>
      </c>
      <c r="C3529" s="4" t="n">
        <v>6</v>
      </c>
      <c r="D3529" s="4" t="n">
        <v>9</v>
      </c>
      <c r="E3529" s="4" t="s">
        <v>3180</v>
      </c>
      <c r="F3529" s="4" t="n">
        <v>31</v>
      </c>
      <c r="G3529" s="4" t="n">
        <v>2</v>
      </c>
      <c r="H3529" s="4" t="n">
        <v>3</v>
      </c>
      <c r="I3529" s="4" t="str">
        <v>○</v>
      </c>
      <c r="J3529" s="4" t="n">
        <v>120</v>
      </c>
      <c r="K3529" s="4"/>
      <c r="L3529" s="4"/>
      <c r="M3529" s="5" t="s">
        <v>2677</v>
      </c>
    </row>
    <row r="3530" customFormat="false" ht="15.75" hidden="false" customHeight="false" outlineLevel="0" collapsed="false">
      <c r="A3530" s="3" t="n">
        <v>46208</v>
      </c>
      <c r="B3530" s="4" t="s">
        <v>1091</v>
      </c>
      <c r="C3530" s="4" t="n">
        <v>6</v>
      </c>
      <c r="D3530" s="4" t="n">
        <v>10</v>
      </c>
      <c r="E3530" s="4" t="s">
        <v>3181</v>
      </c>
      <c r="F3530" s="4" t="n">
        <v>21</v>
      </c>
      <c r="G3530" s="4" t="n">
        <v>4</v>
      </c>
      <c r="H3530" s="4" t="n">
        <v>4</v>
      </c>
      <c r="I3530" s="4" t="str">
        <v>×</v>
      </c>
      <c r="J3530" s="4"/>
      <c r="K3530" s="4"/>
      <c r="L3530" s="4"/>
      <c r="M3530" s="5" t="s">
        <v>2677</v>
      </c>
    </row>
    <row r="3531" customFormat="false" ht="15.75" hidden="false" customHeight="false" outlineLevel="0" collapsed="false">
      <c r="A3531" s="3" t="n">
        <v>46208</v>
      </c>
      <c r="B3531" s="4" t="s">
        <v>1091</v>
      </c>
      <c r="C3531" s="4" t="n">
        <v>6</v>
      </c>
      <c r="D3531" s="4" t="n">
        <v>11</v>
      </c>
      <c r="E3531" s="4" t="s">
        <v>3182</v>
      </c>
      <c r="F3531" s="4" t="n">
        <v>37</v>
      </c>
      <c r="G3531" s="4" t="n">
        <v>1</v>
      </c>
      <c r="H3531" s="4" t="n">
        <v>4</v>
      </c>
      <c r="I3531" s="4" t="str">
        <v>×</v>
      </c>
      <c r="J3531" s="4"/>
      <c r="K3531" s="4"/>
      <c r="L3531" s="4"/>
      <c r="M3531" s="5" t="s">
        <v>2677</v>
      </c>
    </row>
    <row r="3532" customFormat="false" ht="15.75" hidden="false" customHeight="false" outlineLevel="0" collapsed="false">
      <c r="A3532" s="3" t="n">
        <v>46208</v>
      </c>
      <c r="B3532" s="4" t="s">
        <v>1091</v>
      </c>
      <c r="C3532" s="4" t="n">
        <v>7</v>
      </c>
      <c r="D3532" s="4" t="n">
        <v>1</v>
      </c>
      <c r="E3532" s="4" t="s">
        <v>1661</v>
      </c>
      <c r="F3532" s="4" t="n">
        <v>47</v>
      </c>
      <c r="G3532" s="4" t="n">
        <v>2</v>
      </c>
      <c r="H3532" s="4" t="n">
        <v>1</v>
      </c>
      <c r="I3532" s="4" t="str">
        <v>○</v>
      </c>
      <c r="J3532" s="4" t="n">
        <v>200</v>
      </c>
      <c r="K3532" s="4"/>
      <c r="L3532" s="4"/>
      <c r="M3532" s="5" t="s">
        <v>2677</v>
      </c>
    </row>
    <row r="3533" customFormat="false" ht="15.75" hidden="false" customHeight="false" outlineLevel="0" collapsed="false">
      <c r="A3533" s="3" t="n">
        <v>46208</v>
      </c>
      <c r="B3533" s="4" t="s">
        <v>1091</v>
      </c>
      <c r="C3533" s="4" t="n">
        <v>7</v>
      </c>
      <c r="D3533" s="4" t="n">
        <v>2</v>
      </c>
      <c r="E3533" s="4" t="s">
        <v>3183</v>
      </c>
      <c r="F3533" s="4" t="n">
        <v>13</v>
      </c>
      <c r="G3533" s="4" t="n">
        <v>5</v>
      </c>
      <c r="H3533" s="4" t="n">
        <v>4</v>
      </c>
      <c r="I3533" s="4" t="str">
        <v>×</v>
      </c>
      <c r="J3533" s="4"/>
      <c r="K3533" s="4"/>
      <c r="L3533" s="4"/>
      <c r="M3533" s="5" t="s">
        <v>2677</v>
      </c>
    </row>
    <row r="3534" customFormat="false" ht="15.75" hidden="false" customHeight="false" outlineLevel="0" collapsed="false">
      <c r="A3534" s="3" t="n">
        <v>46208</v>
      </c>
      <c r="B3534" s="4" t="s">
        <v>1091</v>
      </c>
      <c r="C3534" s="4" t="n">
        <v>7</v>
      </c>
      <c r="D3534" s="4" t="n">
        <v>3</v>
      </c>
      <c r="E3534" s="4" t="s">
        <v>3184</v>
      </c>
      <c r="F3534" s="4" t="n">
        <v>8</v>
      </c>
      <c r="G3534" s="4" t="n">
        <v>7</v>
      </c>
      <c r="H3534" s="4" t="n">
        <v>4</v>
      </c>
      <c r="I3534" s="4" t="str">
        <v>×</v>
      </c>
      <c r="J3534" s="4"/>
      <c r="K3534" s="4"/>
      <c r="L3534" s="4"/>
      <c r="M3534" s="5" t="s">
        <v>2677</v>
      </c>
    </row>
    <row r="3535" customFormat="false" ht="15.75" hidden="false" customHeight="false" outlineLevel="0" collapsed="false">
      <c r="A3535" s="3" t="n">
        <v>46208</v>
      </c>
      <c r="B3535" s="4" t="s">
        <v>1091</v>
      </c>
      <c r="C3535" s="4" t="n">
        <v>7</v>
      </c>
      <c r="D3535" s="4" t="n">
        <v>4</v>
      </c>
      <c r="E3535" s="4" t="s">
        <v>3185</v>
      </c>
      <c r="F3535" s="4" t="n">
        <v>10</v>
      </c>
      <c r="G3535" s="4" t="n">
        <v>6</v>
      </c>
      <c r="H3535" s="4" t="n">
        <v>4</v>
      </c>
      <c r="I3535" s="4" t="str">
        <v>×</v>
      </c>
      <c r="J3535" s="4"/>
      <c r="K3535" s="4"/>
      <c r="L3535" s="4"/>
      <c r="M3535" s="5" t="s">
        <v>2677</v>
      </c>
    </row>
    <row r="3536" customFormat="false" ht="15.75" hidden="false" customHeight="false" outlineLevel="0" collapsed="false">
      <c r="A3536" s="3" t="n">
        <v>46208</v>
      </c>
      <c r="B3536" s="4" t="s">
        <v>1091</v>
      </c>
      <c r="C3536" s="4" t="n">
        <v>7</v>
      </c>
      <c r="D3536" s="4" t="n">
        <v>5</v>
      </c>
      <c r="E3536" s="4" t="s">
        <v>781</v>
      </c>
      <c r="F3536" s="4" t="n">
        <v>17</v>
      </c>
      <c r="G3536" s="4" t="n">
        <v>4</v>
      </c>
      <c r="H3536" s="4" t="n">
        <v>4</v>
      </c>
      <c r="I3536" s="4" t="str">
        <v>×</v>
      </c>
      <c r="J3536" s="4"/>
      <c r="K3536" s="4"/>
      <c r="L3536" s="4"/>
      <c r="M3536" s="5" t="s">
        <v>2677</v>
      </c>
    </row>
    <row r="3537" customFormat="false" ht="15.75" hidden="false" customHeight="false" outlineLevel="0" collapsed="false">
      <c r="A3537" s="3" t="n">
        <v>46208</v>
      </c>
      <c r="B3537" s="4" t="s">
        <v>1091</v>
      </c>
      <c r="C3537" s="4" t="n">
        <v>7</v>
      </c>
      <c r="D3537" s="4" t="n">
        <v>6</v>
      </c>
      <c r="E3537" s="4" t="s">
        <v>3186</v>
      </c>
      <c r="F3537" s="4" t="n">
        <v>6</v>
      </c>
      <c r="G3537" s="4" t="n">
        <v>8</v>
      </c>
      <c r="H3537" s="4" t="n">
        <v>4</v>
      </c>
      <c r="I3537" s="4" t="str">
        <v>×</v>
      </c>
      <c r="J3537" s="4"/>
      <c r="K3537" s="4"/>
      <c r="L3537" s="4"/>
      <c r="M3537" s="5" t="s">
        <v>2677</v>
      </c>
    </row>
    <row r="3538" customFormat="false" ht="15.75" hidden="false" customHeight="false" outlineLevel="0" collapsed="false">
      <c r="A3538" s="3" t="n">
        <v>46208</v>
      </c>
      <c r="B3538" s="4" t="s">
        <v>1091</v>
      </c>
      <c r="C3538" s="4" t="n">
        <v>7</v>
      </c>
      <c r="D3538" s="4" t="n">
        <v>7</v>
      </c>
      <c r="E3538" s="4" t="s">
        <v>1566</v>
      </c>
      <c r="F3538" s="4" t="n">
        <v>37</v>
      </c>
      <c r="G3538" s="4" t="n">
        <v>3</v>
      </c>
      <c r="H3538" s="4" t="n">
        <v>3</v>
      </c>
      <c r="I3538" s="4" t="str">
        <v>○</v>
      </c>
      <c r="J3538" s="4" t="n">
        <v>230</v>
      </c>
      <c r="K3538" s="4"/>
      <c r="L3538" s="4"/>
      <c r="M3538" s="5" t="s">
        <v>2677</v>
      </c>
    </row>
    <row r="3539" customFormat="false" ht="15.75" hidden="false" customHeight="false" outlineLevel="0" collapsed="false">
      <c r="A3539" s="3" t="n">
        <v>46208</v>
      </c>
      <c r="B3539" s="4" t="s">
        <v>1091</v>
      </c>
      <c r="C3539" s="4" t="n">
        <v>7</v>
      </c>
      <c r="D3539" s="4" t="n">
        <v>8</v>
      </c>
      <c r="E3539" s="4" t="s">
        <v>3187</v>
      </c>
      <c r="F3539" s="4" t="n">
        <v>8</v>
      </c>
      <c r="G3539" s="4" t="n">
        <v>7</v>
      </c>
      <c r="H3539" s="4" t="n">
        <v>4</v>
      </c>
      <c r="I3539" s="4" t="str">
        <v>×</v>
      </c>
      <c r="J3539" s="4"/>
      <c r="K3539" s="4"/>
      <c r="L3539" s="4"/>
      <c r="M3539" s="5" t="s">
        <v>2677</v>
      </c>
    </row>
    <row r="3540" customFormat="false" ht="15.75" hidden="false" customHeight="false" outlineLevel="0" collapsed="false">
      <c r="A3540" s="3" t="n">
        <v>46208</v>
      </c>
      <c r="B3540" s="4" t="s">
        <v>1091</v>
      </c>
      <c r="C3540" s="4" t="n">
        <v>7</v>
      </c>
      <c r="D3540" s="4" t="n">
        <v>9</v>
      </c>
      <c r="E3540" s="4" t="s">
        <v>3188</v>
      </c>
      <c r="F3540" s="4" t="n">
        <v>3</v>
      </c>
      <c r="G3540" s="4" t="n">
        <v>10</v>
      </c>
      <c r="H3540" s="4" t="n">
        <v>4</v>
      </c>
      <c r="I3540" s="4" t="str">
        <v>×</v>
      </c>
      <c r="J3540" s="4"/>
      <c r="K3540" s="4"/>
      <c r="L3540" s="4"/>
      <c r="M3540" s="5" t="s">
        <v>2677</v>
      </c>
    </row>
    <row r="3541" customFormat="false" ht="15.75" hidden="false" customHeight="false" outlineLevel="0" collapsed="false">
      <c r="A3541" s="3" t="n">
        <v>46208</v>
      </c>
      <c r="B3541" s="4" t="s">
        <v>1091</v>
      </c>
      <c r="C3541" s="4" t="n">
        <v>7</v>
      </c>
      <c r="D3541" s="4" t="n">
        <v>10</v>
      </c>
      <c r="E3541" s="4" t="s">
        <v>3189</v>
      </c>
      <c r="F3541" s="4" t="n">
        <v>4</v>
      </c>
      <c r="G3541" s="4" t="n">
        <v>9</v>
      </c>
      <c r="H3541" s="4" t="n">
        <v>4</v>
      </c>
      <c r="I3541" s="4" t="str">
        <v>×</v>
      </c>
      <c r="J3541" s="4"/>
      <c r="K3541" s="4"/>
      <c r="L3541" s="4"/>
      <c r="M3541" s="5" t="s">
        <v>2677</v>
      </c>
    </row>
    <row r="3542" customFormat="false" ht="15.75" hidden="false" customHeight="false" outlineLevel="0" collapsed="false">
      <c r="A3542" s="3" t="n">
        <v>46208</v>
      </c>
      <c r="B3542" s="4" t="s">
        <v>1091</v>
      </c>
      <c r="C3542" s="4" t="n">
        <v>7</v>
      </c>
      <c r="D3542" s="4" t="n">
        <v>11</v>
      </c>
      <c r="E3542" s="4" t="s">
        <v>3190</v>
      </c>
      <c r="F3542" s="4" t="n">
        <v>8</v>
      </c>
      <c r="G3542" s="4" t="n">
        <v>7</v>
      </c>
      <c r="H3542" s="4" t="n">
        <v>4</v>
      </c>
      <c r="I3542" s="4" t="str">
        <v>×</v>
      </c>
      <c r="J3542" s="4"/>
      <c r="K3542" s="4"/>
      <c r="L3542" s="4"/>
      <c r="M3542" s="5" t="s">
        <v>2677</v>
      </c>
    </row>
    <row r="3543" customFormat="false" ht="15.75" hidden="false" customHeight="false" outlineLevel="0" collapsed="false">
      <c r="A3543" s="3" t="n">
        <v>46208</v>
      </c>
      <c r="B3543" s="4" t="s">
        <v>1091</v>
      </c>
      <c r="C3543" s="4" t="n">
        <v>7</v>
      </c>
      <c r="D3543" s="4" t="n">
        <v>12</v>
      </c>
      <c r="E3543" s="4" t="s">
        <v>1572</v>
      </c>
      <c r="F3543" s="4" t="n">
        <v>17</v>
      </c>
      <c r="G3543" s="4" t="n">
        <v>4</v>
      </c>
      <c r="H3543" s="4" t="n">
        <v>4</v>
      </c>
      <c r="I3543" s="4" t="str">
        <v>×</v>
      </c>
      <c r="J3543" s="4"/>
      <c r="K3543" s="4"/>
      <c r="L3543" s="4"/>
      <c r="M3543" s="5" t="s">
        <v>2677</v>
      </c>
    </row>
    <row r="3544" customFormat="false" ht="15.75" hidden="false" customHeight="false" outlineLevel="0" collapsed="false">
      <c r="A3544" s="3" t="n">
        <v>46208</v>
      </c>
      <c r="B3544" s="4" t="s">
        <v>1091</v>
      </c>
      <c r="C3544" s="4" t="n">
        <v>7</v>
      </c>
      <c r="D3544" s="4" t="n">
        <v>13</v>
      </c>
      <c r="E3544" s="4" t="s">
        <v>1579</v>
      </c>
      <c r="F3544" s="4" t="n">
        <v>10</v>
      </c>
      <c r="G3544" s="4" t="n">
        <v>6</v>
      </c>
      <c r="H3544" s="4" t="n">
        <v>2</v>
      </c>
      <c r="I3544" s="4" t="str">
        <v>○</v>
      </c>
      <c r="J3544" s="4" t="n">
        <v>680</v>
      </c>
      <c r="K3544" s="4"/>
      <c r="L3544" s="4"/>
      <c r="M3544" s="5" t="s">
        <v>2677</v>
      </c>
    </row>
    <row r="3545" customFormat="false" ht="15.75" hidden="false" customHeight="false" outlineLevel="0" collapsed="false">
      <c r="A3545" s="3" t="n">
        <v>46208</v>
      </c>
      <c r="B3545" s="4" t="s">
        <v>1091</v>
      </c>
      <c r="C3545" s="4" t="n">
        <v>7</v>
      </c>
      <c r="D3545" s="4" t="n">
        <v>14</v>
      </c>
      <c r="E3545" s="4" t="s">
        <v>3191</v>
      </c>
      <c r="F3545" s="4" t="n">
        <v>62</v>
      </c>
      <c r="G3545" s="4" t="n">
        <v>1</v>
      </c>
      <c r="H3545" s="4" t="n">
        <v>4</v>
      </c>
      <c r="I3545" s="4" t="str">
        <v>×</v>
      </c>
      <c r="J3545" s="4"/>
      <c r="K3545" s="4"/>
      <c r="L3545" s="4"/>
      <c r="M3545" s="5" t="s">
        <v>2677</v>
      </c>
    </row>
    <row r="3546" customFormat="false" ht="15.75" hidden="false" customHeight="false" outlineLevel="0" collapsed="false">
      <c r="A3546" s="3" t="n">
        <v>46208</v>
      </c>
      <c r="B3546" s="4" t="s">
        <v>1091</v>
      </c>
      <c r="C3546" s="4" t="n">
        <v>7</v>
      </c>
      <c r="D3546" s="4" t="n">
        <v>15</v>
      </c>
      <c r="E3546" s="4" t="s">
        <v>3192</v>
      </c>
      <c r="F3546" s="4" t="n">
        <v>6</v>
      </c>
      <c r="G3546" s="4" t="n">
        <v>8</v>
      </c>
      <c r="H3546" s="4" t="n">
        <v>4</v>
      </c>
      <c r="I3546" s="4" t="str">
        <v>×</v>
      </c>
      <c r="J3546" s="4"/>
      <c r="K3546" s="4"/>
      <c r="L3546" s="4"/>
      <c r="M3546" s="5" t="s">
        <v>2677</v>
      </c>
    </row>
    <row r="3547" customFormat="false" ht="15.75" hidden="false" customHeight="false" outlineLevel="0" collapsed="false">
      <c r="A3547" s="3" t="n">
        <v>46208</v>
      </c>
      <c r="B3547" s="4" t="s">
        <v>1091</v>
      </c>
      <c r="C3547" s="4" t="n">
        <v>7</v>
      </c>
      <c r="D3547" s="4" t="n">
        <v>16</v>
      </c>
      <c r="E3547" s="4" t="s">
        <v>3193</v>
      </c>
      <c r="F3547" s="4" t="n">
        <v>4</v>
      </c>
      <c r="G3547" s="4" t="n">
        <v>9</v>
      </c>
      <c r="H3547" s="4" t="n">
        <v>4</v>
      </c>
      <c r="I3547" s="4" t="str">
        <v>×</v>
      </c>
      <c r="J3547" s="4"/>
      <c r="K3547" s="4"/>
      <c r="L3547" s="4"/>
      <c r="M3547" s="5" t="s">
        <v>2677</v>
      </c>
    </row>
    <row r="3548" customFormat="false" ht="15.75" hidden="false" customHeight="false" outlineLevel="0" collapsed="false">
      <c r="A3548" s="3" t="n">
        <v>46208</v>
      </c>
      <c r="B3548" s="4" t="s">
        <v>1091</v>
      </c>
      <c r="C3548" s="4" t="n">
        <v>8</v>
      </c>
      <c r="D3548" s="4" t="n">
        <v>1</v>
      </c>
      <c r="E3548" s="4" t="s">
        <v>3194</v>
      </c>
      <c r="F3548" s="4" t="n">
        <v>65</v>
      </c>
      <c r="G3548" s="4" t="n">
        <v>1</v>
      </c>
      <c r="H3548" s="4" t="n">
        <v>4</v>
      </c>
      <c r="I3548" s="4" t="str">
        <v>×</v>
      </c>
      <c r="J3548" s="4"/>
      <c r="K3548" s="4"/>
      <c r="L3548" s="4"/>
      <c r="M3548" s="5" t="s">
        <v>2677</v>
      </c>
    </row>
    <row r="3549" customFormat="false" ht="15.75" hidden="false" customHeight="false" outlineLevel="0" collapsed="false">
      <c r="A3549" s="3" t="n">
        <v>46208</v>
      </c>
      <c r="B3549" s="4" t="s">
        <v>1091</v>
      </c>
      <c r="C3549" s="4" t="n">
        <v>8</v>
      </c>
      <c r="D3549" s="4" t="n">
        <v>2</v>
      </c>
      <c r="E3549" s="4" t="s">
        <v>3195</v>
      </c>
      <c r="F3549" s="4" t="n">
        <v>3</v>
      </c>
      <c r="G3549" s="4" t="n">
        <v>9</v>
      </c>
      <c r="H3549" s="4" t="n">
        <v>4</v>
      </c>
      <c r="I3549" s="4" t="str">
        <v>×</v>
      </c>
      <c r="J3549" s="4"/>
      <c r="K3549" s="4"/>
      <c r="L3549" s="4"/>
      <c r="M3549" s="5" t="s">
        <v>2677</v>
      </c>
    </row>
    <row r="3550" customFormat="false" ht="15.75" hidden="false" customHeight="false" outlineLevel="0" collapsed="false">
      <c r="A3550" s="3" t="n">
        <v>46208</v>
      </c>
      <c r="B3550" s="4" t="s">
        <v>1091</v>
      </c>
      <c r="C3550" s="4" t="n">
        <v>8</v>
      </c>
      <c r="D3550" s="4" t="n">
        <v>3</v>
      </c>
      <c r="E3550" s="4" t="s">
        <v>3196</v>
      </c>
      <c r="F3550" s="4" t="n">
        <v>29</v>
      </c>
      <c r="G3550" s="4" t="n">
        <v>5</v>
      </c>
      <c r="H3550" s="4" t="n">
        <v>1</v>
      </c>
      <c r="I3550" s="4" t="str">
        <v>○</v>
      </c>
      <c r="J3550" s="4" t="n">
        <v>190</v>
      </c>
      <c r="K3550" s="4"/>
      <c r="L3550" s="4"/>
      <c r="M3550" s="5" t="s">
        <v>2677</v>
      </c>
    </row>
    <row r="3551" customFormat="false" ht="15.75" hidden="false" customHeight="false" outlineLevel="0" collapsed="false">
      <c r="A3551" s="3" t="n">
        <v>46208</v>
      </c>
      <c r="B3551" s="4" t="s">
        <v>1091</v>
      </c>
      <c r="C3551" s="4" t="n">
        <v>8</v>
      </c>
      <c r="D3551" s="4" t="n">
        <v>4</v>
      </c>
      <c r="E3551" s="4" t="s">
        <v>3197</v>
      </c>
      <c r="F3551" s="4" t="n">
        <v>8</v>
      </c>
      <c r="G3551" s="4" t="n">
        <v>8</v>
      </c>
      <c r="H3551" s="4" t="n">
        <v>4</v>
      </c>
      <c r="I3551" s="4" t="str">
        <v>×</v>
      </c>
      <c r="J3551" s="4"/>
      <c r="K3551" s="4"/>
      <c r="L3551" s="4"/>
      <c r="M3551" s="5" t="s">
        <v>2677</v>
      </c>
    </row>
    <row r="3552" customFormat="false" ht="15.75" hidden="false" customHeight="false" outlineLevel="0" collapsed="false">
      <c r="A3552" s="3" t="n">
        <v>46208</v>
      </c>
      <c r="B3552" s="4" t="s">
        <v>1091</v>
      </c>
      <c r="C3552" s="4" t="n">
        <v>8</v>
      </c>
      <c r="D3552" s="4" t="n">
        <v>5</v>
      </c>
      <c r="E3552" s="4" t="s">
        <v>1174</v>
      </c>
      <c r="F3552" s="4" t="n">
        <v>44</v>
      </c>
      <c r="G3552" s="4" t="n">
        <v>3</v>
      </c>
      <c r="H3552" s="4" t="n">
        <v>3</v>
      </c>
      <c r="I3552" s="4" t="str">
        <v>○</v>
      </c>
      <c r="J3552" s="4" t="n">
        <v>150</v>
      </c>
      <c r="K3552" s="4"/>
      <c r="L3552" s="4"/>
      <c r="M3552" s="5" t="s">
        <v>2677</v>
      </c>
    </row>
    <row r="3553" customFormat="false" ht="15.75" hidden="false" customHeight="false" outlineLevel="0" collapsed="false">
      <c r="A3553" s="3" t="n">
        <v>46208</v>
      </c>
      <c r="B3553" s="4" t="s">
        <v>1091</v>
      </c>
      <c r="C3553" s="4" t="n">
        <v>8</v>
      </c>
      <c r="D3553" s="4" t="n">
        <v>6</v>
      </c>
      <c r="E3553" s="4" t="s">
        <v>3198</v>
      </c>
      <c r="F3553" s="4" t="n">
        <v>47</v>
      </c>
      <c r="G3553" s="4" t="n">
        <v>2</v>
      </c>
      <c r="H3553" s="4" t="n">
        <v>4</v>
      </c>
      <c r="I3553" s="4" t="str">
        <v>×</v>
      </c>
      <c r="J3553" s="4"/>
      <c r="K3553" s="4"/>
      <c r="L3553" s="4"/>
      <c r="M3553" s="5" t="s">
        <v>2677</v>
      </c>
    </row>
    <row r="3554" customFormat="false" ht="15.75" hidden="false" customHeight="false" outlineLevel="0" collapsed="false">
      <c r="A3554" s="3" t="n">
        <v>46208</v>
      </c>
      <c r="B3554" s="4" t="s">
        <v>1091</v>
      </c>
      <c r="C3554" s="4" t="n">
        <v>8</v>
      </c>
      <c r="D3554" s="4" t="n">
        <v>7</v>
      </c>
      <c r="E3554" s="4" t="s">
        <v>3199</v>
      </c>
      <c r="F3554" s="4" t="n">
        <v>25</v>
      </c>
      <c r="G3554" s="4" t="n">
        <v>6</v>
      </c>
      <c r="H3554" s="4" t="n">
        <v>4</v>
      </c>
      <c r="I3554" s="4" t="str">
        <v>×</v>
      </c>
      <c r="J3554" s="4"/>
      <c r="K3554" s="4"/>
      <c r="L3554" s="4"/>
      <c r="M3554" s="5" t="s">
        <v>2677</v>
      </c>
    </row>
    <row r="3555" customFormat="false" ht="15.75" hidden="false" customHeight="false" outlineLevel="0" collapsed="false">
      <c r="A3555" s="3" t="n">
        <v>46208</v>
      </c>
      <c r="B3555" s="4" t="s">
        <v>1091</v>
      </c>
      <c r="C3555" s="4" t="n">
        <v>8</v>
      </c>
      <c r="D3555" s="4" t="n">
        <v>8</v>
      </c>
      <c r="E3555" s="4" t="s">
        <v>3200</v>
      </c>
      <c r="F3555" s="4" t="n">
        <v>20</v>
      </c>
      <c r="G3555" s="4" t="n">
        <v>7</v>
      </c>
      <c r="H3555" s="4" t="n">
        <v>4</v>
      </c>
      <c r="I3555" s="4" t="str">
        <v>×</v>
      </c>
      <c r="J3555" s="4"/>
      <c r="K3555" s="4"/>
      <c r="L3555" s="4"/>
      <c r="M3555" s="5" t="s">
        <v>2677</v>
      </c>
    </row>
    <row r="3556" customFormat="false" ht="15.75" hidden="false" customHeight="false" outlineLevel="0" collapsed="false">
      <c r="A3556" s="3" t="n">
        <v>46208</v>
      </c>
      <c r="B3556" s="4" t="s">
        <v>1091</v>
      </c>
      <c r="C3556" s="4" t="n">
        <v>8</v>
      </c>
      <c r="D3556" s="4" t="n">
        <v>9</v>
      </c>
      <c r="E3556" s="4" t="s">
        <v>1176</v>
      </c>
      <c r="F3556" s="4" t="n">
        <v>1</v>
      </c>
      <c r="G3556" s="4" t="n">
        <v>10</v>
      </c>
      <c r="H3556" s="4" t="n">
        <v>2</v>
      </c>
      <c r="I3556" s="4" t="str">
        <v>○</v>
      </c>
      <c r="J3556" s="4" t="n">
        <v>350</v>
      </c>
      <c r="K3556" s="4"/>
      <c r="L3556" s="4"/>
      <c r="M3556" s="5" t="s">
        <v>2677</v>
      </c>
    </row>
    <row r="3557" customFormat="false" ht="15.75" hidden="false" customHeight="false" outlineLevel="0" collapsed="false">
      <c r="A3557" s="3" t="n">
        <v>46208</v>
      </c>
      <c r="B3557" s="4" t="s">
        <v>1091</v>
      </c>
      <c r="C3557" s="4" t="n">
        <v>8</v>
      </c>
      <c r="D3557" s="4" t="n">
        <v>10</v>
      </c>
      <c r="E3557" s="4" t="s">
        <v>1235</v>
      </c>
      <c r="F3557" s="4" t="n">
        <v>41</v>
      </c>
      <c r="G3557" s="4" t="n">
        <v>4</v>
      </c>
      <c r="H3557" s="4" t="n">
        <v>4</v>
      </c>
      <c r="I3557" s="4" t="str">
        <v>×</v>
      </c>
      <c r="J3557" s="4"/>
      <c r="K3557" s="4"/>
      <c r="L3557" s="4"/>
      <c r="M3557" s="5" t="s">
        <v>2677</v>
      </c>
    </row>
    <row r="3558" customFormat="false" ht="15.75" hidden="false" customHeight="false" outlineLevel="0" collapsed="false">
      <c r="A3558" s="3" t="n">
        <v>46208</v>
      </c>
      <c r="B3558" s="4" t="s">
        <v>1091</v>
      </c>
      <c r="C3558" s="4" t="n">
        <v>9</v>
      </c>
      <c r="D3558" s="4" t="n">
        <v>1</v>
      </c>
      <c r="E3558" s="4" t="s">
        <v>3201</v>
      </c>
      <c r="F3558" s="4" t="n">
        <v>15</v>
      </c>
      <c r="G3558" s="4" t="n">
        <v>7</v>
      </c>
      <c r="H3558" s="4" t="n">
        <v>4</v>
      </c>
      <c r="I3558" s="4" t="str">
        <v>×</v>
      </c>
      <c r="J3558" s="4"/>
      <c r="K3558" s="4"/>
      <c r="L3558" s="4"/>
      <c r="M3558" s="5" t="s">
        <v>2677</v>
      </c>
    </row>
    <row r="3559" customFormat="false" ht="15.75" hidden="false" customHeight="false" outlineLevel="0" collapsed="false">
      <c r="A3559" s="3" t="n">
        <v>46208</v>
      </c>
      <c r="B3559" s="4" t="s">
        <v>1091</v>
      </c>
      <c r="C3559" s="4" t="n">
        <v>9</v>
      </c>
      <c r="D3559" s="4" t="n">
        <v>2</v>
      </c>
      <c r="E3559" s="4" t="s">
        <v>3202</v>
      </c>
      <c r="F3559" s="4" t="n">
        <v>50</v>
      </c>
      <c r="G3559" s="4" t="n">
        <v>2</v>
      </c>
      <c r="H3559" s="4" t="n">
        <v>2</v>
      </c>
      <c r="I3559" s="4" t="str">
        <v>○</v>
      </c>
      <c r="J3559" s="4" t="n">
        <v>110</v>
      </c>
      <c r="K3559" s="4"/>
      <c r="L3559" s="4"/>
      <c r="M3559" s="5" t="s">
        <v>2677</v>
      </c>
    </row>
    <row r="3560" customFormat="false" ht="15.75" hidden="false" customHeight="false" outlineLevel="0" collapsed="false">
      <c r="A3560" s="3" t="n">
        <v>46208</v>
      </c>
      <c r="B3560" s="4" t="s">
        <v>1091</v>
      </c>
      <c r="C3560" s="4" t="n">
        <v>9</v>
      </c>
      <c r="D3560" s="4" t="n">
        <v>3</v>
      </c>
      <c r="E3560" s="4" t="s">
        <v>3203</v>
      </c>
      <c r="F3560" s="4" t="n">
        <v>25</v>
      </c>
      <c r="G3560" s="4" t="n">
        <v>5</v>
      </c>
      <c r="H3560" s="4" t="n">
        <v>4</v>
      </c>
      <c r="I3560" s="4" t="str">
        <v>×</v>
      </c>
      <c r="J3560" s="4"/>
      <c r="K3560" s="4"/>
      <c r="L3560" s="4"/>
      <c r="M3560" s="5" t="s">
        <v>2677</v>
      </c>
    </row>
    <row r="3561" customFormat="false" ht="15.75" hidden="false" customHeight="false" outlineLevel="0" collapsed="false">
      <c r="A3561" s="3" t="n">
        <v>46208</v>
      </c>
      <c r="B3561" s="4" t="s">
        <v>1091</v>
      </c>
      <c r="C3561" s="4" t="n">
        <v>9</v>
      </c>
      <c r="D3561" s="4" t="n">
        <v>4</v>
      </c>
      <c r="E3561" s="4" t="s">
        <v>3204</v>
      </c>
      <c r="F3561" s="4" t="n">
        <v>44</v>
      </c>
      <c r="G3561" s="4" t="n">
        <v>3</v>
      </c>
      <c r="H3561" s="4" t="n">
        <v>4</v>
      </c>
      <c r="I3561" s="4" t="str">
        <v>×</v>
      </c>
      <c r="J3561" s="4"/>
      <c r="K3561" s="4"/>
      <c r="L3561" s="4"/>
      <c r="M3561" s="5" t="s">
        <v>2677</v>
      </c>
    </row>
    <row r="3562" customFormat="false" ht="15.75" hidden="false" customHeight="false" outlineLevel="0" collapsed="false">
      <c r="A3562" s="3" t="n">
        <v>46208</v>
      </c>
      <c r="B3562" s="4" t="s">
        <v>1091</v>
      </c>
      <c r="C3562" s="4" t="n">
        <v>9</v>
      </c>
      <c r="D3562" s="4" t="n">
        <v>5</v>
      </c>
      <c r="E3562" s="4" t="s">
        <v>3205</v>
      </c>
      <c r="F3562" s="4" t="n">
        <v>74</v>
      </c>
      <c r="G3562" s="4" t="n">
        <v>1</v>
      </c>
      <c r="H3562" s="4" t="n">
        <v>1</v>
      </c>
      <c r="I3562" s="4" t="str">
        <v>○</v>
      </c>
      <c r="J3562" s="4" t="n">
        <v>110</v>
      </c>
      <c r="K3562" s="4"/>
      <c r="L3562" s="4"/>
      <c r="M3562" s="5" t="s">
        <v>2677</v>
      </c>
    </row>
    <row r="3563" customFormat="false" ht="15.75" hidden="false" customHeight="false" outlineLevel="0" collapsed="false">
      <c r="A3563" s="3" t="n">
        <v>46208</v>
      </c>
      <c r="B3563" s="4" t="s">
        <v>1091</v>
      </c>
      <c r="C3563" s="4" t="n">
        <v>9</v>
      </c>
      <c r="D3563" s="4" t="n">
        <v>6</v>
      </c>
      <c r="E3563" s="4" t="s">
        <v>3206</v>
      </c>
      <c r="F3563" s="4" t="n">
        <v>34</v>
      </c>
      <c r="G3563" s="4" t="n">
        <v>4</v>
      </c>
      <c r="H3563" s="4" t="n">
        <v>3</v>
      </c>
      <c r="I3563" s="4" t="str">
        <v>○</v>
      </c>
      <c r="J3563" s="4" t="n">
        <v>120</v>
      </c>
      <c r="K3563" s="4"/>
      <c r="L3563" s="4"/>
      <c r="M3563" s="5" t="s">
        <v>2677</v>
      </c>
    </row>
    <row r="3564" customFormat="false" ht="15.75" hidden="false" customHeight="false" outlineLevel="0" collapsed="false">
      <c r="A3564" s="3" t="n">
        <v>46208</v>
      </c>
      <c r="B3564" s="4" t="s">
        <v>1091</v>
      </c>
      <c r="C3564" s="4" t="n">
        <v>9</v>
      </c>
      <c r="D3564" s="4" t="n">
        <v>7</v>
      </c>
      <c r="E3564" s="4" t="s">
        <v>3207</v>
      </c>
      <c r="F3564" s="4" t="n">
        <v>17</v>
      </c>
      <c r="G3564" s="4" t="n">
        <v>6</v>
      </c>
      <c r="H3564" s="4" t="n">
        <v>4</v>
      </c>
      <c r="I3564" s="4" t="str">
        <v>×</v>
      </c>
      <c r="J3564" s="4"/>
      <c r="K3564" s="4"/>
      <c r="L3564" s="4"/>
      <c r="M3564" s="5" t="s">
        <v>2677</v>
      </c>
    </row>
    <row r="3565" customFormat="false" ht="15.75" hidden="false" customHeight="false" outlineLevel="0" collapsed="false">
      <c r="A3565" s="3" t="n">
        <v>46208</v>
      </c>
      <c r="B3565" s="4" t="s">
        <v>1091</v>
      </c>
      <c r="C3565" s="4" t="n">
        <v>9</v>
      </c>
      <c r="D3565" s="4" t="n">
        <v>8</v>
      </c>
      <c r="E3565" s="4" t="s">
        <v>2099</v>
      </c>
      <c r="F3565" s="4" t="n">
        <v>8</v>
      </c>
      <c r="G3565" s="4" t="n">
        <v>8</v>
      </c>
      <c r="H3565" s="4" t="n">
        <v>4</v>
      </c>
      <c r="I3565" s="4" t="str">
        <v>×</v>
      </c>
      <c r="J3565" s="4"/>
      <c r="K3565" s="4"/>
      <c r="L3565" s="4"/>
      <c r="M3565" s="5" t="s">
        <v>2677</v>
      </c>
    </row>
    <row r="3566" customFormat="false" ht="15.75" hidden="false" customHeight="false" outlineLevel="0" collapsed="false">
      <c r="A3566" s="3" t="n">
        <v>46208</v>
      </c>
      <c r="B3566" s="4" t="s">
        <v>1091</v>
      </c>
      <c r="C3566" s="4" t="n">
        <v>10</v>
      </c>
      <c r="D3566" s="4" t="n">
        <v>1</v>
      </c>
      <c r="E3566" s="4" t="s">
        <v>2520</v>
      </c>
      <c r="F3566" s="4" t="n">
        <v>8</v>
      </c>
      <c r="G3566" s="4" t="n">
        <v>8</v>
      </c>
      <c r="H3566" s="4" t="n">
        <v>4</v>
      </c>
      <c r="I3566" s="4" t="str">
        <v>×</v>
      </c>
      <c r="J3566" s="4"/>
      <c r="K3566" s="4"/>
      <c r="L3566" s="4"/>
      <c r="M3566" s="5" t="s">
        <v>2677</v>
      </c>
    </row>
    <row r="3567" customFormat="false" ht="15.75" hidden="false" customHeight="false" outlineLevel="0" collapsed="false">
      <c r="A3567" s="3" t="n">
        <v>46208</v>
      </c>
      <c r="B3567" s="4" t="s">
        <v>1091</v>
      </c>
      <c r="C3567" s="4" t="n">
        <v>10</v>
      </c>
      <c r="D3567" s="4" t="n">
        <v>2</v>
      </c>
      <c r="E3567" s="4" t="s">
        <v>1206</v>
      </c>
      <c r="F3567" s="4" t="n">
        <v>44</v>
      </c>
      <c r="G3567" s="4" t="n">
        <v>3</v>
      </c>
      <c r="H3567" s="4" t="n">
        <v>4</v>
      </c>
      <c r="I3567" s="4" t="str">
        <v>×</v>
      </c>
      <c r="J3567" s="4"/>
      <c r="K3567" s="4"/>
      <c r="L3567" s="4"/>
      <c r="M3567" s="5" t="s">
        <v>2677</v>
      </c>
    </row>
    <row r="3568" customFormat="false" ht="15.75" hidden="false" customHeight="false" outlineLevel="0" collapsed="false">
      <c r="A3568" s="3" t="n">
        <v>46208</v>
      </c>
      <c r="B3568" s="4" t="s">
        <v>1091</v>
      </c>
      <c r="C3568" s="4" t="n">
        <v>10</v>
      </c>
      <c r="D3568" s="4" t="n">
        <v>3</v>
      </c>
      <c r="E3568" s="4" t="s">
        <v>3208</v>
      </c>
      <c r="F3568" s="4" t="n">
        <v>29</v>
      </c>
      <c r="G3568" s="4" t="n">
        <v>4</v>
      </c>
      <c r="H3568" s="4" t="n">
        <v>4</v>
      </c>
      <c r="I3568" s="4" t="str">
        <v>×</v>
      </c>
      <c r="J3568" s="4"/>
      <c r="K3568" s="4"/>
      <c r="L3568" s="4"/>
      <c r="M3568" s="5" t="s">
        <v>2677</v>
      </c>
    </row>
    <row r="3569" customFormat="false" ht="15.75" hidden="false" customHeight="false" outlineLevel="0" collapsed="false">
      <c r="A3569" s="3" t="n">
        <v>46208</v>
      </c>
      <c r="B3569" s="4" t="s">
        <v>1091</v>
      </c>
      <c r="C3569" s="4" t="n">
        <v>10</v>
      </c>
      <c r="D3569" s="4" t="n">
        <v>4</v>
      </c>
      <c r="E3569" s="4" t="s">
        <v>1203</v>
      </c>
      <c r="F3569" s="4" t="n">
        <v>15</v>
      </c>
      <c r="G3569" s="4" t="n">
        <v>6</v>
      </c>
      <c r="H3569" s="4" t="n">
        <v>4</v>
      </c>
      <c r="I3569" s="4" t="str">
        <v>×</v>
      </c>
      <c r="J3569" s="4"/>
      <c r="K3569" s="4"/>
      <c r="L3569" s="4"/>
      <c r="M3569" s="5" t="s">
        <v>2677</v>
      </c>
    </row>
    <row r="3570" customFormat="false" ht="15.75" hidden="false" customHeight="false" outlineLevel="0" collapsed="false">
      <c r="A3570" s="3" t="n">
        <v>46208</v>
      </c>
      <c r="B3570" s="4" t="s">
        <v>1091</v>
      </c>
      <c r="C3570" s="4" t="n">
        <v>10</v>
      </c>
      <c r="D3570" s="4" t="n">
        <v>5</v>
      </c>
      <c r="E3570" s="4" t="s">
        <v>721</v>
      </c>
      <c r="F3570" s="4" t="n">
        <v>13</v>
      </c>
      <c r="G3570" s="4" t="n">
        <v>7</v>
      </c>
      <c r="H3570" s="4" t="n">
        <v>4</v>
      </c>
      <c r="I3570" s="4" t="str">
        <v>×</v>
      </c>
      <c r="J3570" s="4"/>
      <c r="K3570" s="4"/>
      <c r="L3570" s="4"/>
      <c r="M3570" s="5" t="s">
        <v>2677</v>
      </c>
    </row>
    <row r="3571" customFormat="false" ht="15.75" hidden="false" customHeight="false" outlineLevel="0" collapsed="false">
      <c r="A3571" s="3" t="n">
        <v>46208</v>
      </c>
      <c r="B3571" s="4" t="s">
        <v>1091</v>
      </c>
      <c r="C3571" s="4" t="n">
        <v>10</v>
      </c>
      <c r="D3571" s="4" t="n">
        <v>6</v>
      </c>
      <c r="E3571" s="4" t="s">
        <v>3209</v>
      </c>
      <c r="F3571" s="4" t="n">
        <v>8</v>
      </c>
      <c r="G3571" s="4" t="n">
        <v>8</v>
      </c>
      <c r="H3571" s="4" t="n">
        <v>4</v>
      </c>
      <c r="I3571" s="4" t="str">
        <v>×</v>
      </c>
      <c r="J3571" s="4"/>
      <c r="K3571" s="4"/>
      <c r="L3571" s="4"/>
      <c r="M3571" s="5" t="s">
        <v>2677</v>
      </c>
    </row>
    <row r="3572" customFormat="false" ht="15.75" hidden="false" customHeight="false" outlineLevel="0" collapsed="false">
      <c r="A3572" s="3" t="n">
        <v>46208</v>
      </c>
      <c r="B3572" s="4" t="s">
        <v>1091</v>
      </c>
      <c r="C3572" s="4" t="n">
        <v>10</v>
      </c>
      <c r="D3572" s="4" t="n">
        <v>7</v>
      </c>
      <c r="E3572" s="4" t="s">
        <v>3210</v>
      </c>
      <c r="F3572" s="4" t="n">
        <v>60</v>
      </c>
      <c r="G3572" s="4" t="n">
        <v>1</v>
      </c>
      <c r="H3572" s="4" t="n">
        <v>4</v>
      </c>
      <c r="I3572" s="4" t="str">
        <v>×</v>
      </c>
      <c r="J3572" s="4"/>
      <c r="K3572" s="4"/>
      <c r="L3572" s="4"/>
      <c r="M3572" s="5" t="s">
        <v>2677</v>
      </c>
    </row>
    <row r="3573" customFormat="false" ht="15.75" hidden="false" customHeight="false" outlineLevel="0" collapsed="false">
      <c r="A3573" s="3" t="n">
        <v>46208</v>
      </c>
      <c r="B3573" s="4" t="s">
        <v>1091</v>
      </c>
      <c r="C3573" s="4" t="n">
        <v>10</v>
      </c>
      <c r="D3573" s="4" t="n">
        <v>8</v>
      </c>
      <c r="E3573" s="4" t="s">
        <v>3211</v>
      </c>
      <c r="F3573" s="4" t="n">
        <v>13</v>
      </c>
      <c r="G3573" s="4" t="n">
        <v>7</v>
      </c>
      <c r="H3573" s="4" t="n">
        <v>4</v>
      </c>
      <c r="I3573" s="4" t="str">
        <v>×</v>
      </c>
      <c r="J3573" s="4"/>
      <c r="K3573" s="4"/>
      <c r="L3573" s="4"/>
      <c r="M3573" s="5" t="s">
        <v>2677</v>
      </c>
    </row>
    <row r="3574" customFormat="false" ht="15.75" hidden="false" customHeight="false" outlineLevel="0" collapsed="false">
      <c r="A3574" s="3" t="n">
        <v>46208</v>
      </c>
      <c r="B3574" s="4" t="s">
        <v>1091</v>
      </c>
      <c r="C3574" s="4" t="n">
        <v>10</v>
      </c>
      <c r="D3574" s="4" t="n">
        <v>9</v>
      </c>
      <c r="E3574" s="4" t="s">
        <v>3212</v>
      </c>
      <c r="F3574" s="4" t="n">
        <v>47</v>
      </c>
      <c r="G3574" s="4" t="n">
        <v>2</v>
      </c>
      <c r="H3574" s="4" t="n">
        <v>1</v>
      </c>
      <c r="I3574" s="4" t="str">
        <v>○</v>
      </c>
      <c r="J3574" s="4" t="n">
        <v>170</v>
      </c>
      <c r="K3574" s="4"/>
      <c r="L3574" s="4"/>
      <c r="M3574" s="5" t="s">
        <v>2677</v>
      </c>
    </row>
    <row r="3575" customFormat="false" ht="15.75" hidden="false" customHeight="false" outlineLevel="0" collapsed="false">
      <c r="A3575" s="3" t="n">
        <v>46208</v>
      </c>
      <c r="B3575" s="4" t="s">
        <v>1091</v>
      </c>
      <c r="C3575" s="4" t="n">
        <v>10</v>
      </c>
      <c r="D3575" s="4" t="n">
        <v>10</v>
      </c>
      <c r="E3575" s="4" t="s">
        <v>3213</v>
      </c>
      <c r="F3575" s="4" t="n">
        <v>4</v>
      </c>
      <c r="G3575" s="4" t="n">
        <v>10</v>
      </c>
      <c r="H3575" s="4" t="n">
        <v>4</v>
      </c>
      <c r="I3575" s="4" t="str">
        <v>×</v>
      </c>
      <c r="J3575" s="4"/>
      <c r="K3575" s="4"/>
      <c r="L3575" s="4"/>
      <c r="M3575" s="5" t="s">
        <v>2677</v>
      </c>
    </row>
    <row r="3576" customFormat="false" ht="15.75" hidden="false" customHeight="false" outlineLevel="0" collapsed="false">
      <c r="A3576" s="3" t="n">
        <v>46208</v>
      </c>
      <c r="B3576" s="4" t="s">
        <v>1091</v>
      </c>
      <c r="C3576" s="4" t="n">
        <v>10</v>
      </c>
      <c r="D3576" s="4" t="n">
        <v>11</v>
      </c>
      <c r="E3576" s="4" t="s">
        <v>3214</v>
      </c>
      <c r="F3576" s="4" t="n">
        <v>6</v>
      </c>
      <c r="G3576" s="4" t="n">
        <v>9</v>
      </c>
      <c r="H3576" s="4" t="n">
        <v>4</v>
      </c>
      <c r="I3576" s="4" t="str">
        <v>×</v>
      </c>
      <c r="J3576" s="4"/>
      <c r="K3576" s="4"/>
      <c r="L3576" s="4"/>
      <c r="M3576" s="5" t="s">
        <v>2677</v>
      </c>
    </row>
    <row r="3577" customFormat="false" ht="15.75" hidden="false" customHeight="false" outlineLevel="0" collapsed="false">
      <c r="A3577" s="3" t="n">
        <v>46208</v>
      </c>
      <c r="B3577" s="4" t="s">
        <v>1091</v>
      </c>
      <c r="C3577" s="4" t="n">
        <v>10</v>
      </c>
      <c r="D3577" s="4" t="n">
        <v>12</v>
      </c>
      <c r="E3577" s="4" t="s">
        <v>1208</v>
      </c>
      <c r="F3577" s="4" t="n">
        <v>2</v>
      </c>
      <c r="G3577" s="4" t="n">
        <v>12</v>
      </c>
      <c r="H3577" s="4" t="n">
        <v>4</v>
      </c>
      <c r="I3577" s="4" t="str">
        <v>×</v>
      </c>
      <c r="J3577" s="4"/>
      <c r="K3577" s="4"/>
      <c r="L3577" s="4"/>
      <c r="M3577" s="5" t="s">
        <v>2677</v>
      </c>
    </row>
    <row r="3578" customFormat="false" ht="15.75" hidden="false" customHeight="false" outlineLevel="0" collapsed="false">
      <c r="A3578" s="3" t="n">
        <v>46208</v>
      </c>
      <c r="B3578" s="4" t="s">
        <v>1091</v>
      </c>
      <c r="C3578" s="4" t="n">
        <v>10</v>
      </c>
      <c r="D3578" s="4" t="n">
        <v>13</v>
      </c>
      <c r="E3578" s="4" t="s">
        <v>3215</v>
      </c>
      <c r="F3578" s="4" t="n">
        <v>8</v>
      </c>
      <c r="G3578" s="4" t="n">
        <v>8</v>
      </c>
      <c r="H3578" s="4" t="n">
        <v>3</v>
      </c>
      <c r="I3578" s="4" t="str">
        <v>○</v>
      </c>
      <c r="J3578" s="4" t="n">
        <v>590</v>
      </c>
      <c r="K3578" s="4"/>
      <c r="L3578" s="4"/>
      <c r="M3578" s="5" t="s">
        <v>2677</v>
      </c>
    </row>
    <row r="3579" customFormat="false" ht="15.75" hidden="false" customHeight="false" outlineLevel="0" collapsed="false">
      <c r="A3579" s="3" t="n">
        <v>46208</v>
      </c>
      <c r="B3579" s="4" t="s">
        <v>1091</v>
      </c>
      <c r="C3579" s="4" t="n">
        <v>10</v>
      </c>
      <c r="D3579" s="4" t="n">
        <v>14</v>
      </c>
      <c r="E3579" s="4" t="s">
        <v>1204</v>
      </c>
      <c r="F3579" s="4" t="n">
        <v>8</v>
      </c>
      <c r="G3579" s="4" t="n">
        <v>8</v>
      </c>
      <c r="H3579" s="4" t="n">
        <v>2</v>
      </c>
      <c r="I3579" s="4" t="str">
        <v>○</v>
      </c>
      <c r="J3579" s="4" t="n">
        <v>1070</v>
      </c>
      <c r="K3579" s="4"/>
      <c r="L3579" s="4"/>
      <c r="M3579" s="5" t="s">
        <v>2677</v>
      </c>
    </row>
    <row r="3580" customFormat="false" ht="15.75" hidden="false" customHeight="false" outlineLevel="0" collapsed="false">
      <c r="A3580" s="3" t="n">
        <v>46208</v>
      </c>
      <c r="B3580" s="4" t="s">
        <v>1091</v>
      </c>
      <c r="C3580" s="4" t="n">
        <v>10</v>
      </c>
      <c r="D3580" s="4" t="n">
        <v>15</v>
      </c>
      <c r="E3580" s="4" t="s">
        <v>3216</v>
      </c>
      <c r="F3580" s="4" t="n">
        <v>3</v>
      </c>
      <c r="G3580" s="4" t="n">
        <v>11</v>
      </c>
      <c r="H3580" s="4" t="n">
        <v>4</v>
      </c>
      <c r="I3580" s="4" t="str">
        <v>×</v>
      </c>
      <c r="J3580" s="4"/>
      <c r="K3580" s="4"/>
      <c r="L3580" s="4"/>
      <c r="M3580" s="5" t="s">
        <v>2677</v>
      </c>
    </row>
    <row r="3581" customFormat="false" ht="15.75" hidden="false" customHeight="false" outlineLevel="0" collapsed="false">
      <c r="A3581" s="3" t="n">
        <v>46208</v>
      </c>
      <c r="B3581" s="4" t="s">
        <v>1091</v>
      </c>
      <c r="C3581" s="4" t="n">
        <v>10</v>
      </c>
      <c r="D3581" s="4" t="n">
        <v>16</v>
      </c>
      <c r="E3581" s="4" t="s">
        <v>3217</v>
      </c>
      <c r="F3581" s="4" t="n">
        <v>23</v>
      </c>
      <c r="G3581" s="4" t="n">
        <v>5</v>
      </c>
      <c r="H3581" s="4" t="n">
        <v>4</v>
      </c>
      <c r="I3581" s="4" t="str">
        <v>×</v>
      </c>
      <c r="J3581" s="4"/>
      <c r="K3581" s="4"/>
      <c r="L3581" s="4"/>
      <c r="M3581" s="5" t="s">
        <v>2677</v>
      </c>
    </row>
    <row r="3582" customFormat="false" ht="15.75" hidden="false" customHeight="false" outlineLevel="0" collapsed="false">
      <c r="A3582" s="3" t="n">
        <v>46208</v>
      </c>
      <c r="B3582" s="4" t="s">
        <v>1091</v>
      </c>
      <c r="C3582" s="4" t="n">
        <v>11</v>
      </c>
      <c r="D3582" s="4" t="n">
        <v>1</v>
      </c>
      <c r="E3582" s="4" t="s">
        <v>3218</v>
      </c>
      <c r="F3582" s="4" t="n">
        <v>25</v>
      </c>
      <c r="G3582" s="4" t="n">
        <v>4</v>
      </c>
      <c r="H3582" s="4" t="n">
        <v>4</v>
      </c>
      <c r="I3582" s="4" t="str">
        <v>×</v>
      </c>
      <c r="J3582" s="4"/>
      <c r="K3582" s="4"/>
      <c r="L3582" s="4"/>
      <c r="M3582" s="5" t="s">
        <v>2677</v>
      </c>
    </row>
    <row r="3583" customFormat="false" ht="15.75" hidden="false" customHeight="false" outlineLevel="0" collapsed="false">
      <c r="A3583" s="3" t="n">
        <v>46208</v>
      </c>
      <c r="B3583" s="4" t="s">
        <v>1091</v>
      </c>
      <c r="C3583" s="4" t="n">
        <v>11</v>
      </c>
      <c r="D3583" s="4" t="n">
        <v>2</v>
      </c>
      <c r="E3583" s="4" t="s">
        <v>3219</v>
      </c>
      <c r="F3583" s="4" t="n">
        <v>15</v>
      </c>
      <c r="G3583" s="4" t="n">
        <v>7</v>
      </c>
      <c r="H3583" s="4" t="n">
        <v>2</v>
      </c>
      <c r="I3583" s="4" t="str">
        <v>○</v>
      </c>
      <c r="J3583" s="4" t="n">
        <v>410</v>
      </c>
      <c r="K3583" s="4"/>
      <c r="L3583" s="4"/>
      <c r="M3583" s="5" t="s">
        <v>2677</v>
      </c>
    </row>
    <row r="3584" customFormat="false" ht="15.75" hidden="false" customHeight="false" outlineLevel="0" collapsed="false">
      <c r="A3584" s="3" t="n">
        <v>46208</v>
      </c>
      <c r="B3584" s="4" t="s">
        <v>1091</v>
      </c>
      <c r="C3584" s="4" t="n">
        <v>11</v>
      </c>
      <c r="D3584" s="4" t="n">
        <v>3</v>
      </c>
      <c r="E3584" s="4" t="s">
        <v>3220</v>
      </c>
      <c r="F3584" s="4" t="n">
        <v>4</v>
      </c>
      <c r="G3584" s="4" t="n">
        <v>8</v>
      </c>
      <c r="H3584" s="4" t="n">
        <v>4</v>
      </c>
      <c r="I3584" s="4" t="str">
        <v>×</v>
      </c>
      <c r="J3584" s="4"/>
      <c r="K3584" s="4"/>
      <c r="L3584" s="4"/>
      <c r="M3584" s="5" t="s">
        <v>2677</v>
      </c>
    </row>
    <row r="3585" customFormat="false" ht="15.75" hidden="false" customHeight="false" outlineLevel="0" collapsed="false">
      <c r="A3585" s="3" t="n">
        <v>46208</v>
      </c>
      <c r="B3585" s="4" t="s">
        <v>1091</v>
      </c>
      <c r="C3585" s="4" t="n">
        <v>11</v>
      </c>
      <c r="D3585" s="4" t="n">
        <v>4</v>
      </c>
      <c r="E3585" s="4" t="s">
        <v>3221</v>
      </c>
      <c r="F3585" s="4" t="n">
        <v>39</v>
      </c>
      <c r="G3585" s="4" t="n">
        <v>2</v>
      </c>
      <c r="H3585" s="4" t="n">
        <v>4</v>
      </c>
      <c r="I3585" s="4" t="str">
        <v>×</v>
      </c>
      <c r="J3585" s="4"/>
      <c r="K3585" s="4"/>
      <c r="L3585" s="4"/>
      <c r="M3585" s="5" t="s">
        <v>2677</v>
      </c>
    </row>
    <row r="3586" customFormat="false" ht="15.75" hidden="false" customHeight="false" outlineLevel="0" collapsed="false">
      <c r="A3586" s="3" t="n">
        <v>46208</v>
      </c>
      <c r="B3586" s="4" t="s">
        <v>1091</v>
      </c>
      <c r="C3586" s="4" t="n">
        <v>11</v>
      </c>
      <c r="D3586" s="4" t="n">
        <v>5</v>
      </c>
      <c r="E3586" s="4" t="s">
        <v>3222</v>
      </c>
      <c r="F3586" s="4" t="n">
        <v>15</v>
      </c>
      <c r="G3586" s="4" t="n">
        <v>7</v>
      </c>
      <c r="H3586" s="4" t="n">
        <v>4</v>
      </c>
      <c r="I3586" s="4" t="str">
        <v>×</v>
      </c>
      <c r="J3586" s="4"/>
      <c r="K3586" s="4"/>
      <c r="L3586" s="4"/>
      <c r="M3586" s="5" t="s">
        <v>2677</v>
      </c>
    </row>
    <row r="3587" customFormat="false" ht="15.75" hidden="false" customHeight="false" outlineLevel="0" collapsed="false">
      <c r="A3587" s="3" t="n">
        <v>46208</v>
      </c>
      <c r="B3587" s="4" t="s">
        <v>1091</v>
      </c>
      <c r="C3587" s="4" t="n">
        <v>11</v>
      </c>
      <c r="D3587" s="4" t="n">
        <v>6</v>
      </c>
      <c r="E3587" s="4" t="s">
        <v>3223</v>
      </c>
      <c r="F3587" s="4" t="n">
        <v>4</v>
      </c>
      <c r="G3587" s="4" t="n">
        <v>8</v>
      </c>
      <c r="H3587" s="4" t="n">
        <v>4</v>
      </c>
      <c r="I3587" s="4" t="str">
        <v>×</v>
      </c>
      <c r="J3587" s="4"/>
      <c r="K3587" s="4"/>
      <c r="L3587" s="4"/>
      <c r="M3587" s="5" t="s">
        <v>2677</v>
      </c>
    </row>
    <row r="3588" customFormat="false" ht="15.75" hidden="false" customHeight="false" outlineLevel="0" collapsed="false">
      <c r="A3588" s="3" t="n">
        <v>46208</v>
      </c>
      <c r="B3588" s="4" t="s">
        <v>1091</v>
      </c>
      <c r="C3588" s="4" t="n">
        <v>11</v>
      </c>
      <c r="D3588" s="4" t="n">
        <v>7</v>
      </c>
      <c r="E3588" s="4" t="s">
        <v>3224</v>
      </c>
      <c r="F3588" s="4" t="n">
        <v>29</v>
      </c>
      <c r="G3588" s="4" t="n">
        <v>3</v>
      </c>
      <c r="H3588" s="4" t="n">
        <v>4</v>
      </c>
      <c r="I3588" s="4" t="str">
        <v>×</v>
      </c>
      <c r="J3588" s="4"/>
      <c r="K3588" s="4"/>
      <c r="L3588" s="4"/>
      <c r="M3588" s="5" t="s">
        <v>2677</v>
      </c>
    </row>
    <row r="3589" customFormat="false" ht="15.75" hidden="false" customHeight="false" outlineLevel="0" collapsed="false">
      <c r="A3589" s="3" t="n">
        <v>46208</v>
      </c>
      <c r="B3589" s="4" t="s">
        <v>1091</v>
      </c>
      <c r="C3589" s="4" t="n">
        <v>11</v>
      </c>
      <c r="D3589" s="4" t="n">
        <v>8</v>
      </c>
      <c r="E3589" s="4" t="s">
        <v>2157</v>
      </c>
      <c r="F3589" s="4" t="n">
        <v>39</v>
      </c>
      <c r="G3589" s="4" t="n">
        <v>2</v>
      </c>
      <c r="H3589" s="4" t="n">
        <v>4</v>
      </c>
      <c r="I3589" s="4" t="str">
        <v>×</v>
      </c>
      <c r="J3589" s="4"/>
      <c r="K3589" s="4"/>
      <c r="L3589" s="4"/>
      <c r="M3589" s="5" t="s">
        <v>2677</v>
      </c>
    </row>
    <row r="3590" customFormat="false" ht="15.75" hidden="false" customHeight="false" outlineLevel="0" collapsed="false">
      <c r="A3590" s="3" t="n">
        <v>46208</v>
      </c>
      <c r="B3590" s="4" t="s">
        <v>1091</v>
      </c>
      <c r="C3590" s="4" t="n">
        <v>11</v>
      </c>
      <c r="D3590" s="4" t="n">
        <v>9</v>
      </c>
      <c r="E3590" s="4" t="s">
        <v>3225</v>
      </c>
      <c r="F3590" s="4" t="n">
        <v>39</v>
      </c>
      <c r="G3590" s="4" t="n">
        <v>2</v>
      </c>
      <c r="H3590" s="4" t="n">
        <v>3</v>
      </c>
      <c r="I3590" s="4" t="str">
        <v>○</v>
      </c>
      <c r="J3590" s="4" t="n">
        <v>230</v>
      </c>
      <c r="K3590" s="4"/>
      <c r="L3590" s="4"/>
      <c r="M3590" s="5" t="s">
        <v>2677</v>
      </c>
    </row>
    <row r="3591" customFormat="false" ht="15.75" hidden="false" customHeight="false" outlineLevel="0" collapsed="false">
      <c r="A3591" s="3" t="n">
        <v>46208</v>
      </c>
      <c r="B3591" s="4" t="s">
        <v>1091</v>
      </c>
      <c r="C3591" s="4" t="n">
        <v>11</v>
      </c>
      <c r="D3591" s="4" t="n">
        <v>10</v>
      </c>
      <c r="E3591" s="4" t="s">
        <v>3226</v>
      </c>
      <c r="F3591" s="4" t="n">
        <v>23</v>
      </c>
      <c r="G3591" s="4" t="n">
        <v>5</v>
      </c>
      <c r="H3591" s="4" t="n">
        <v>4</v>
      </c>
      <c r="I3591" s="4" t="str">
        <v>×</v>
      </c>
      <c r="J3591" s="4"/>
      <c r="K3591" s="4"/>
      <c r="L3591" s="4"/>
      <c r="M3591" s="5" t="s">
        <v>2677</v>
      </c>
    </row>
    <row r="3592" customFormat="false" ht="15.75" hidden="false" customHeight="false" outlineLevel="0" collapsed="false">
      <c r="A3592" s="3" t="n">
        <v>46208</v>
      </c>
      <c r="B3592" s="4" t="s">
        <v>1091</v>
      </c>
      <c r="C3592" s="4" t="n">
        <v>11</v>
      </c>
      <c r="D3592" s="4" t="n">
        <v>11</v>
      </c>
      <c r="E3592" s="4" t="s">
        <v>3227</v>
      </c>
      <c r="F3592" s="4" t="n">
        <v>17</v>
      </c>
      <c r="G3592" s="4" t="n">
        <v>6</v>
      </c>
      <c r="H3592" s="4" t="n">
        <v>4</v>
      </c>
      <c r="I3592" s="4" t="str">
        <v>×</v>
      </c>
      <c r="J3592" s="4"/>
      <c r="K3592" s="4"/>
      <c r="L3592" s="4"/>
      <c r="M3592" s="5" t="s">
        <v>2677</v>
      </c>
    </row>
    <row r="3593" customFormat="false" ht="15.75" hidden="false" customHeight="false" outlineLevel="0" collapsed="false">
      <c r="A3593" s="3" t="n">
        <v>46208</v>
      </c>
      <c r="B3593" s="4" t="s">
        <v>1091</v>
      </c>
      <c r="C3593" s="4" t="n">
        <v>11</v>
      </c>
      <c r="D3593" s="4" t="n">
        <v>12</v>
      </c>
      <c r="E3593" s="4" t="s">
        <v>3228</v>
      </c>
      <c r="F3593" s="4" t="n">
        <v>65</v>
      </c>
      <c r="G3593" s="4" t="n">
        <v>1</v>
      </c>
      <c r="H3593" s="4" t="n">
        <v>1</v>
      </c>
      <c r="I3593" s="4" t="str">
        <v>○</v>
      </c>
      <c r="J3593" s="4" t="n">
        <v>160</v>
      </c>
      <c r="K3593" s="4"/>
      <c r="L3593" s="4"/>
      <c r="M3593" s="5" t="s">
        <v>2677</v>
      </c>
    </row>
    <row r="3594" customFormat="false" ht="15.75" hidden="false" customHeight="false" outlineLevel="0" collapsed="false">
      <c r="A3594" s="3" t="n">
        <v>46208</v>
      </c>
      <c r="B3594" s="4" t="s">
        <v>1091</v>
      </c>
      <c r="C3594" s="4" t="n">
        <v>11</v>
      </c>
      <c r="D3594" s="4" t="n">
        <v>13</v>
      </c>
      <c r="E3594" s="4" t="s">
        <v>3229</v>
      </c>
      <c r="F3594" s="4" t="n">
        <v>4</v>
      </c>
      <c r="G3594" s="4" t="n">
        <v>8</v>
      </c>
      <c r="H3594" s="4" t="n">
        <v>4</v>
      </c>
      <c r="I3594" s="4" t="str">
        <v>×</v>
      </c>
      <c r="J3594" s="4"/>
      <c r="K3594" s="4"/>
      <c r="L3594" s="4"/>
      <c r="M3594" s="5" t="s">
        <v>2677</v>
      </c>
    </row>
    <row r="3595" customFormat="false" ht="15.75" hidden="false" customHeight="false" outlineLevel="0" collapsed="false">
      <c r="A3595" s="3" t="n">
        <v>46208</v>
      </c>
      <c r="B3595" s="4" t="s">
        <v>1091</v>
      </c>
      <c r="C3595" s="4" t="n">
        <v>12</v>
      </c>
      <c r="D3595" s="4" t="n">
        <v>1</v>
      </c>
      <c r="E3595" s="4" t="s">
        <v>1233</v>
      </c>
      <c r="F3595" s="4" t="n">
        <v>10</v>
      </c>
      <c r="G3595" s="4" t="n">
        <v>8</v>
      </c>
      <c r="H3595" s="4" t="n">
        <v>4</v>
      </c>
      <c r="I3595" s="4" t="str">
        <v>×</v>
      </c>
      <c r="J3595" s="4"/>
      <c r="K3595" s="4"/>
      <c r="L3595" s="4"/>
      <c r="M3595" s="5" t="s">
        <v>2677</v>
      </c>
    </row>
    <row r="3596" customFormat="false" ht="15.75" hidden="false" customHeight="false" outlineLevel="0" collapsed="false">
      <c r="A3596" s="3" t="n">
        <v>46208</v>
      </c>
      <c r="B3596" s="4" t="s">
        <v>1091</v>
      </c>
      <c r="C3596" s="4" t="n">
        <v>12</v>
      </c>
      <c r="D3596" s="4" t="n">
        <v>2</v>
      </c>
      <c r="E3596" s="4" t="s">
        <v>309</v>
      </c>
      <c r="F3596" s="4" t="n">
        <v>13</v>
      </c>
      <c r="G3596" s="4" t="n">
        <v>7</v>
      </c>
      <c r="H3596" s="4" t="n">
        <v>2</v>
      </c>
      <c r="I3596" s="4" t="str">
        <v>○</v>
      </c>
      <c r="J3596" s="4" t="n">
        <v>420</v>
      </c>
      <c r="K3596" s="4"/>
      <c r="L3596" s="4"/>
      <c r="M3596" s="5" t="s">
        <v>2677</v>
      </c>
    </row>
    <row r="3597" customFormat="false" ht="15.75" hidden="false" customHeight="false" outlineLevel="0" collapsed="false">
      <c r="A3597" s="3" t="n">
        <v>46208</v>
      </c>
      <c r="B3597" s="4" t="s">
        <v>1091</v>
      </c>
      <c r="C3597" s="4" t="n">
        <v>12</v>
      </c>
      <c r="D3597" s="4" t="n">
        <v>3</v>
      </c>
      <c r="E3597" s="4" t="s">
        <v>3230</v>
      </c>
      <c r="F3597" s="4" t="n">
        <v>4</v>
      </c>
      <c r="G3597" s="4" t="n">
        <v>11</v>
      </c>
      <c r="H3597" s="4" t="n">
        <v>4</v>
      </c>
      <c r="I3597" s="4" t="str">
        <v>×</v>
      </c>
      <c r="J3597" s="4"/>
      <c r="K3597" s="4"/>
      <c r="L3597" s="4"/>
      <c r="M3597" s="5" t="s">
        <v>2677</v>
      </c>
    </row>
    <row r="3598" customFormat="false" ht="15.75" hidden="false" customHeight="false" outlineLevel="0" collapsed="false">
      <c r="A3598" s="3" t="n">
        <v>46208</v>
      </c>
      <c r="B3598" s="4" t="s">
        <v>1091</v>
      </c>
      <c r="C3598" s="4" t="n">
        <v>12</v>
      </c>
      <c r="D3598" s="4" t="n">
        <v>4</v>
      </c>
      <c r="E3598" s="4" t="s">
        <v>308</v>
      </c>
      <c r="F3598" s="4" t="n">
        <v>52</v>
      </c>
      <c r="G3598" s="4" t="n">
        <v>2</v>
      </c>
      <c r="H3598" s="4" t="n">
        <v>4</v>
      </c>
      <c r="I3598" s="4" t="str">
        <v>×</v>
      </c>
      <c r="J3598" s="4"/>
      <c r="K3598" s="4"/>
      <c r="L3598" s="4"/>
      <c r="M3598" s="5" t="s">
        <v>2677</v>
      </c>
    </row>
    <row r="3599" customFormat="false" ht="15.75" hidden="false" customHeight="false" outlineLevel="0" collapsed="false">
      <c r="A3599" s="3" t="n">
        <v>46208</v>
      </c>
      <c r="B3599" s="4" t="s">
        <v>1091</v>
      </c>
      <c r="C3599" s="4" t="n">
        <v>12</v>
      </c>
      <c r="D3599" s="4" t="n">
        <v>5</v>
      </c>
      <c r="E3599" s="4" t="s">
        <v>3231</v>
      </c>
      <c r="F3599" s="4" t="n">
        <v>8</v>
      </c>
      <c r="G3599" s="4" t="n">
        <v>9</v>
      </c>
      <c r="H3599" s="4" t="n">
        <v>4</v>
      </c>
      <c r="I3599" s="4" t="str">
        <v>×</v>
      </c>
      <c r="J3599" s="4"/>
      <c r="K3599" s="4"/>
      <c r="L3599" s="4"/>
      <c r="M3599" s="5" t="s">
        <v>2677</v>
      </c>
    </row>
    <row r="3600" customFormat="false" ht="15.75" hidden="false" customHeight="false" outlineLevel="0" collapsed="false">
      <c r="A3600" s="3" t="n">
        <v>46208</v>
      </c>
      <c r="B3600" s="4" t="s">
        <v>1091</v>
      </c>
      <c r="C3600" s="4" t="n">
        <v>12</v>
      </c>
      <c r="D3600" s="4" t="n">
        <v>6</v>
      </c>
      <c r="E3600" s="4" t="s">
        <v>2111</v>
      </c>
      <c r="F3600" s="4" t="n">
        <v>2</v>
      </c>
      <c r="G3600" s="4" t="n">
        <v>12</v>
      </c>
      <c r="H3600" s="4" t="n">
        <v>4</v>
      </c>
      <c r="I3600" s="4" t="str">
        <v>×</v>
      </c>
      <c r="J3600" s="4"/>
      <c r="K3600" s="4"/>
      <c r="L3600" s="4"/>
      <c r="M3600" s="5" t="s">
        <v>2677</v>
      </c>
    </row>
    <row r="3601" customFormat="false" ht="15.75" hidden="false" customHeight="false" outlineLevel="0" collapsed="false">
      <c r="A3601" s="3" t="n">
        <v>46208</v>
      </c>
      <c r="B3601" s="4" t="s">
        <v>1091</v>
      </c>
      <c r="C3601" s="4" t="n">
        <v>12</v>
      </c>
      <c r="D3601" s="4" t="n">
        <v>7</v>
      </c>
      <c r="E3601" s="4" t="s">
        <v>3232</v>
      </c>
      <c r="F3601" s="4" t="n">
        <v>20</v>
      </c>
      <c r="G3601" s="4" t="n">
        <v>5</v>
      </c>
      <c r="H3601" s="4" t="n">
        <v>4</v>
      </c>
      <c r="I3601" s="4" t="str">
        <v>×</v>
      </c>
      <c r="J3601" s="4"/>
      <c r="K3601" s="4"/>
      <c r="L3601" s="4"/>
      <c r="M3601" s="5" t="s">
        <v>2677</v>
      </c>
    </row>
    <row r="3602" customFormat="false" ht="15.75" hidden="false" customHeight="false" outlineLevel="0" collapsed="false">
      <c r="A3602" s="3" t="n">
        <v>46208</v>
      </c>
      <c r="B3602" s="4" t="s">
        <v>1091</v>
      </c>
      <c r="C3602" s="4" t="n">
        <v>12</v>
      </c>
      <c r="D3602" s="4" t="n">
        <v>8</v>
      </c>
      <c r="E3602" s="4" t="s">
        <v>3233</v>
      </c>
      <c r="F3602" s="4" t="n">
        <v>31</v>
      </c>
      <c r="G3602" s="4" t="n">
        <v>3</v>
      </c>
      <c r="H3602" s="4" t="n">
        <v>4</v>
      </c>
      <c r="I3602" s="4" t="str">
        <v>×</v>
      </c>
      <c r="J3602" s="4"/>
      <c r="K3602" s="4"/>
      <c r="L3602" s="4"/>
      <c r="M3602" s="5" t="s">
        <v>2677</v>
      </c>
    </row>
    <row r="3603" customFormat="false" ht="15.75" hidden="false" customHeight="false" outlineLevel="0" collapsed="false">
      <c r="A3603" s="3" t="n">
        <v>46208</v>
      </c>
      <c r="B3603" s="4" t="s">
        <v>1091</v>
      </c>
      <c r="C3603" s="4" t="n">
        <v>12</v>
      </c>
      <c r="D3603" s="4" t="n">
        <v>9</v>
      </c>
      <c r="E3603" s="4" t="s">
        <v>3234</v>
      </c>
      <c r="F3603" s="4" t="n">
        <v>17</v>
      </c>
      <c r="G3603" s="4" t="n">
        <v>6</v>
      </c>
      <c r="H3603" s="4" t="n">
        <v>4</v>
      </c>
      <c r="I3603" s="4" t="str">
        <v>×</v>
      </c>
      <c r="J3603" s="4"/>
      <c r="K3603" s="4"/>
      <c r="L3603" s="4"/>
      <c r="M3603" s="5" t="s">
        <v>2677</v>
      </c>
    </row>
    <row r="3604" customFormat="false" ht="15.75" hidden="false" customHeight="false" outlineLevel="0" collapsed="false">
      <c r="A3604" s="3" t="n">
        <v>46208</v>
      </c>
      <c r="B3604" s="4" t="s">
        <v>1091</v>
      </c>
      <c r="C3604" s="4" t="n">
        <v>12</v>
      </c>
      <c r="D3604" s="4" t="n">
        <v>10</v>
      </c>
      <c r="E3604" s="4" t="s">
        <v>3235</v>
      </c>
      <c r="F3604" s="4" t="n">
        <v>86</v>
      </c>
      <c r="G3604" s="4" t="n">
        <v>1</v>
      </c>
      <c r="H3604" s="4" t="n">
        <v>1</v>
      </c>
      <c r="I3604" s="4" t="str">
        <v>○</v>
      </c>
      <c r="J3604" s="4" t="n">
        <v>110</v>
      </c>
      <c r="K3604" s="4" t="n">
        <v>1.1</v>
      </c>
      <c r="L3604" s="4" t="n">
        <v>1.2</v>
      </c>
      <c r="M3604" s="5" t="s">
        <v>2677</v>
      </c>
    </row>
    <row r="3605" customFormat="false" ht="15.75" hidden="false" customHeight="false" outlineLevel="0" collapsed="false">
      <c r="A3605" s="3" t="n">
        <v>46208</v>
      </c>
      <c r="B3605" s="4" t="s">
        <v>1091</v>
      </c>
      <c r="C3605" s="4" t="n">
        <v>12</v>
      </c>
      <c r="D3605" s="4" t="n">
        <v>11</v>
      </c>
      <c r="E3605" s="4" t="s">
        <v>3236</v>
      </c>
      <c r="F3605" s="4" t="n">
        <v>10</v>
      </c>
      <c r="G3605" s="4" t="n">
        <v>8</v>
      </c>
      <c r="H3605" s="4" t="n">
        <v>4</v>
      </c>
      <c r="I3605" s="4" t="str">
        <v>×</v>
      </c>
      <c r="J3605" s="4"/>
      <c r="K3605" s="4"/>
      <c r="L3605" s="4"/>
      <c r="M3605" s="5" t="s">
        <v>2677</v>
      </c>
    </row>
    <row r="3606" customFormat="false" ht="15.75" hidden="false" customHeight="false" outlineLevel="0" collapsed="false">
      <c r="A3606" s="3" t="n">
        <v>46208</v>
      </c>
      <c r="B3606" s="4" t="s">
        <v>1091</v>
      </c>
      <c r="C3606" s="4" t="n">
        <v>12</v>
      </c>
      <c r="D3606" s="4" t="n">
        <v>12</v>
      </c>
      <c r="E3606" s="4" t="s">
        <v>3237</v>
      </c>
      <c r="F3606" s="4" t="n">
        <v>29</v>
      </c>
      <c r="G3606" s="4" t="n">
        <v>4</v>
      </c>
      <c r="H3606" s="4" t="n">
        <v>4</v>
      </c>
      <c r="I3606" s="4" t="str">
        <v>×</v>
      </c>
      <c r="J3606" s="4"/>
      <c r="K3606" s="4"/>
      <c r="L3606" s="4"/>
      <c r="M3606" s="5" t="s">
        <v>2677</v>
      </c>
    </row>
    <row r="3607" customFormat="false" ht="15.75" hidden="false" customHeight="false" outlineLevel="0" collapsed="false">
      <c r="A3607" s="3" t="n">
        <v>46208</v>
      </c>
      <c r="B3607" s="4" t="s">
        <v>1091</v>
      </c>
      <c r="C3607" s="4" t="n">
        <v>12</v>
      </c>
      <c r="D3607" s="4" t="n">
        <v>13</v>
      </c>
      <c r="E3607" s="4" t="s">
        <v>3238</v>
      </c>
      <c r="F3607" s="4" t="n">
        <v>1</v>
      </c>
      <c r="G3607" s="4" t="n">
        <v>13</v>
      </c>
      <c r="H3607" s="4" t="n">
        <v>4</v>
      </c>
      <c r="I3607" s="4" t="str">
        <v>×</v>
      </c>
      <c r="J3607" s="4"/>
      <c r="K3607" s="4"/>
      <c r="L3607" s="4"/>
      <c r="M3607" s="5" t="s">
        <v>2677</v>
      </c>
    </row>
    <row r="3608" customFormat="false" ht="15.75" hidden="false" customHeight="false" outlineLevel="0" collapsed="false">
      <c r="A3608" s="3" t="n">
        <v>46208</v>
      </c>
      <c r="B3608" s="4" t="s">
        <v>1091</v>
      </c>
      <c r="C3608" s="4" t="n">
        <v>12</v>
      </c>
      <c r="D3608" s="4" t="n">
        <v>14</v>
      </c>
      <c r="E3608" s="4" t="s">
        <v>3239</v>
      </c>
      <c r="F3608" s="4" t="n">
        <v>6</v>
      </c>
      <c r="G3608" s="4" t="n">
        <v>10</v>
      </c>
      <c r="H3608" s="4" t="n">
        <v>4</v>
      </c>
      <c r="I3608" s="4" t="str">
        <v>×</v>
      </c>
      <c r="J3608" s="4"/>
      <c r="K3608" s="4"/>
      <c r="L3608" s="4"/>
      <c r="M3608" s="5" t="s">
        <v>2677</v>
      </c>
    </row>
    <row r="3609" customFormat="false" ht="15.75" hidden="false" customHeight="false" outlineLevel="0" collapsed="false">
      <c r="A3609" s="3" t="n">
        <v>46208</v>
      </c>
      <c r="B3609" s="4" t="s">
        <v>1091</v>
      </c>
      <c r="C3609" s="4" t="n">
        <v>12</v>
      </c>
      <c r="D3609" s="4" t="n">
        <v>15</v>
      </c>
      <c r="E3609" s="4" t="s">
        <v>3240</v>
      </c>
      <c r="F3609" s="4" t="n">
        <v>10</v>
      </c>
      <c r="G3609" s="4" t="n">
        <v>8</v>
      </c>
      <c r="H3609" s="4" t="n">
        <v>3</v>
      </c>
      <c r="I3609" s="4" t="str">
        <v>○</v>
      </c>
      <c r="J3609" s="4" t="n">
        <v>330</v>
      </c>
      <c r="K3609" s="4"/>
      <c r="L3609" s="4"/>
      <c r="M3609" s="5" t="s">
        <v>2677</v>
      </c>
    </row>
    <row r="3610" customFormat="false" ht="15.75" hidden="false" customHeight="false" outlineLevel="0" collapsed="false">
      <c r="A3610" s="3" t="n">
        <v>46208</v>
      </c>
      <c r="B3610" s="4" t="s">
        <v>1091</v>
      </c>
      <c r="C3610" s="4" t="n">
        <v>12</v>
      </c>
      <c r="D3610" s="4" t="n">
        <v>16</v>
      </c>
      <c r="E3610" s="4" t="s">
        <v>3241</v>
      </c>
      <c r="F3610" s="4" t="n">
        <v>4</v>
      </c>
      <c r="G3610" s="4" t="n">
        <v>11</v>
      </c>
      <c r="H3610" s="4" t="n">
        <v>4</v>
      </c>
      <c r="I3610" s="4" t="str">
        <v>×</v>
      </c>
      <c r="J3610" s="4"/>
      <c r="K3610" s="4"/>
      <c r="L3610" s="4"/>
      <c r="M3610" s="5" t="s">
        <v>2677</v>
      </c>
    </row>
    <row r="3611" customFormat="false" ht="15.75" hidden="false" customHeight="false" outlineLevel="0" collapsed="false">
      <c r="A3611" s="3" t="n">
        <v>46208</v>
      </c>
      <c r="B3611" s="4" t="s">
        <v>1237</v>
      </c>
      <c r="C3611" s="4" t="n">
        <v>1</v>
      </c>
      <c r="D3611" s="4" t="n">
        <v>1</v>
      </c>
      <c r="E3611" s="4" t="s">
        <v>1724</v>
      </c>
      <c r="F3611" s="4" t="n">
        <v>10</v>
      </c>
      <c r="G3611" s="4" t="n">
        <v>9</v>
      </c>
      <c r="H3611" s="4" t="n">
        <v>4</v>
      </c>
      <c r="I3611" s="4" t="str">
        <v>×</v>
      </c>
      <c r="J3611" s="4"/>
      <c r="K3611" s="4"/>
      <c r="L3611" s="4"/>
      <c r="M3611" s="5" t="s">
        <v>2677</v>
      </c>
    </row>
    <row r="3612" customFormat="false" ht="15.75" hidden="false" customHeight="false" outlineLevel="0" collapsed="false">
      <c r="A3612" s="3" t="n">
        <v>46208</v>
      </c>
      <c r="B3612" s="4" t="s">
        <v>1237</v>
      </c>
      <c r="C3612" s="4" t="n">
        <v>1</v>
      </c>
      <c r="D3612" s="4" t="n">
        <v>2</v>
      </c>
      <c r="E3612" s="4" t="s">
        <v>1725</v>
      </c>
      <c r="F3612" s="4" t="n">
        <v>34</v>
      </c>
      <c r="G3612" s="4" t="n">
        <v>4</v>
      </c>
      <c r="H3612" s="4" t="n">
        <v>3</v>
      </c>
      <c r="I3612" s="4" t="str">
        <v>○</v>
      </c>
      <c r="J3612" s="4" t="n">
        <v>300</v>
      </c>
      <c r="K3612" s="4"/>
      <c r="L3612" s="4"/>
      <c r="M3612" s="5" t="s">
        <v>2677</v>
      </c>
    </row>
    <row r="3613" customFormat="false" ht="15.75" hidden="false" customHeight="false" outlineLevel="0" collapsed="false">
      <c r="A3613" s="3" t="n">
        <v>46208</v>
      </c>
      <c r="B3613" s="4" t="s">
        <v>1237</v>
      </c>
      <c r="C3613" s="4" t="n">
        <v>1</v>
      </c>
      <c r="D3613" s="4" t="n">
        <v>3</v>
      </c>
      <c r="E3613" s="4" t="s">
        <v>3242</v>
      </c>
      <c r="F3613" s="4" t="n">
        <v>31</v>
      </c>
      <c r="G3613" s="4" t="n">
        <v>5</v>
      </c>
      <c r="H3613" s="4" t="n">
        <v>4</v>
      </c>
      <c r="I3613" s="4" t="str">
        <v>×</v>
      </c>
      <c r="J3613" s="4"/>
      <c r="K3613" s="4"/>
      <c r="L3613" s="4"/>
      <c r="M3613" s="5" t="s">
        <v>2677</v>
      </c>
    </row>
    <row r="3614" customFormat="false" ht="15.75" hidden="false" customHeight="false" outlineLevel="0" collapsed="false">
      <c r="A3614" s="3" t="n">
        <v>46208</v>
      </c>
      <c r="B3614" s="4" t="s">
        <v>1237</v>
      </c>
      <c r="C3614" s="4" t="n">
        <v>1</v>
      </c>
      <c r="D3614" s="4" t="n">
        <v>4</v>
      </c>
      <c r="E3614" s="4" t="s">
        <v>3243</v>
      </c>
      <c r="F3614" s="4" t="n">
        <v>25</v>
      </c>
      <c r="G3614" s="4" t="n">
        <v>6</v>
      </c>
      <c r="H3614" s="4" t="n">
        <v>1</v>
      </c>
      <c r="I3614" s="4" t="str">
        <v>○</v>
      </c>
      <c r="J3614" s="4" t="n">
        <v>580</v>
      </c>
      <c r="K3614" s="4"/>
      <c r="L3614" s="4"/>
      <c r="M3614" s="5" t="s">
        <v>2677</v>
      </c>
    </row>
    <row r="3615" customFormat="false" ht="15.75" hidden="false" customHeight="false" outlineLevel="0" collapsed="false">
      <c r="A3615" s="3" t="n">
        <v>46208</v>
      </c>
      <c r="B3615" s="4" t="s">
        <v>1237</v>
      </c>
      <c r="C3615" s="4" t="n">
        <v>1</v>
      </c>
      <c r="D3615" s="4" t="n">
        <v>5</v>
      </c>
      <c r="E3615" s="4" t="s">
        <v>3244</v>
      </c>
      <c r="F3615" s="4" t="n">
        <v>41</v>
      </c>
      <c r="G3615" s="4" t="n">
        <v>2</v>
      </c>
      <c r="H3615" s="4" t="n">
        <v>4</v>
      </c>
      <c r="I3615" s="4" t="str">
        <v>×</v>
      </c>
      <c r="J3615" s="4"/>
      <c r="K3615" s="4"/>
      <c r="L3615" s="4"/>
      <c r="M3615" s="5" t="s">
        <v>2677</v>
      </c>
    </row>
    <row r="3616" customFormat="false" ht="15.75" hidden="false" customHeight="false" outlineLevel="0" collapsed="false">
      <c r="A3616" s="3" t="n">
        <v>46208</v>
      </c>
      <c r="B3616" s="4" t="s">
        <v>1237</v>
      </c>
      <c r="C3616" s="4" t="n">
        <v>1</v>
      </c>
      <c r="D3616" s="4" t="n">
        <v>6</v>
      </c>
      <c r="E3616" s="4" t="s">
        <v>3245</v>
      </c>
      <c r="F3616" s="4" t="n">
        <v>81</v>
      </c>
      <c r="G3616" s="4" t="n">
        <v>1</v>
      </c>
      <c r="H3616" s="4" t="n">
        <v>4</v>
      </c>
      <c r="I3616" s="4" t="str">
        <v>×</v>
      </c>
      <c r="J3616" s="4"/>
      <c r="K3616" s="4" t="n">
        <v>1.1</v>
      </c>
      <c r="L3616" s="4" t="n">
        <v>1.1</v>
      </c>
      <c r="M3616" s="5" t="s">
        <v>2677</v>
      </c>
    </row>
    <row r="3617" customFormat="false" ht="15.75" hidden="false" customHeight="false" outlineLevel="0" collapsed="false">
      <c r="A3617" s="3" t="n">
        <v>46208</v>
      </c>
      <c r="B3617" s="4" t="s">
        <v>1237</v>
      </c>
      <c r="C3617" s="4" t="n">
        <v>1</v>
      </c>
      <c r="D3617" s="4" t="n">
        <v>7</v>
      </c>
      <c r="E3617" s="4" t="s">
        <v>3246</v>
      </c>
      <c r="F3617" s="4" t="n">
        <v>39</v>
      </c>
      <c r="G3617" s="4" t="n">
        <v>3</v>
      </c>
      <c r="H3617" s="4" t="n">
        <v>2</v>
      </c>
      <c r="I3617" s="4" t="str">
        <v>○</v>
      </c>
      <c r="J3617" s="4" t="n">
        <v>390</v>
      </c>
      <c r="K3617" s="4"/>
      <c r="L3617" s="4"/>
      <c r="M3617" s="5" t="s">
        <v>2677</v>
      </c>
    </row>
    <row r="3618" customFormat="false" ht="15.75" hidden="false" customHeight="false" outlineLevel="0" collapsed="false">
      <c r="A3618" s="3" t="n">
        <v>46208</v>
      </c>
      <c r="B3618" s="4" t="s">
        <v>1237</v>
      </c>
      <c r="C3618" s="4" t="n">
        <v>1</v>
      </c>
      <c r="D3618" s="4" t="n">
        <v>8</v>
      </c>
      <c r="E3618" s="4" t="s">
        <v>1720</v>
      </c>
      <c r="F3618" s="4" t="n">
        <v>15</v>
      </c>
      <c r="G3618" s="4" t="n">
        <v>7</v>
      </c>
      <c r="H3618" s="4" t="n">
        <v>4</v>
      </c>
      <c r="I3618" s="4" t="str">
        <v>×</v>
      </c>
      <c r="J3618" s="4"/>
      <c r="K3618" s="4"/>
      <c r="L3618" s="4"/>
      <c r="M3618" s="5" t="s">
        <v>2677</v>
      </c>
    </row>
    <row r="3619" customFormat="false" ht="15.75" hidden="false" customHeight="false" outlineLevel="0" collapsed="false">
      <c r="A3619" s="3" t="n">
        <v>46208</v>
      </c>
      <c r="B3619" s="4" t="s">
        <v>1237</v>
      </c>
      <c r="C3619" s="4" t="n">
        <v>1</v>
      </c>
      <c r="D3619" s="4" t="n">
        <v>9</v>
      </c>
      <c r="E3619" s="4" t="s">
        <v>1242</v>
      </c>
      <c r="F3619" s="4" t="n">
        <v>13</v>
      </c>
      <c r="G3619" s="4" t="n">
        <v>8</v>
      </c>
      <c r="H3619" s="4" t="n">
        <v>4</v>
      </c>
      <c r="I3619" s="4" t="str">
        <v>×</v>
      </c>
      <c r="J3619" s="4"/>
      <c r="K3619" s="4"/>
      <c r="L3619" s="4"/>
      <c r="M3619" s="5" t="s">
        <v>2677</v>
      </c>
    </row>
    <row r="3620" customFormat="false" ht="15.75" hidden="false" customHeight="false" outlineLevel="0" collapsed="false">
      <c r="A3620" s="3" t="n">
        <v>46208</v>
      </c>
      <c r="B3620" s="4" t="s">
        <v>1237</v>
      </c>
      <c r="C3620" s="4" t="n">
        <v>2</v>
      </c>
      <c r="D3620" s="4" t="n">
        <v>1</v>
      </c>
      <c r="E3620" s="4" t="s">
        <v>3247</v>
      </c>
      <c r="F3620" s="4" t="n">
        <v>13</v>
      </c>
      <c r="G3620" s="4" t="n">
        <v>6</v>
      </c>
      <c r="H3620" s="4" t="n">
        <v>4</v>
      </c>
      <c r="I3620" s="4" t="str">
        <v>×</v>
      </c>
      <c r="J3620" s="4"/>
      <c r="K3620" s="4"/>
      <c r="L3620" s="4"/>
      <c r="M3620" s="5" t="s">
        <v>2677</v>
      </c>
    </row>
    <row r="3621" customFormat="false" ht="15.75" hidden="false" customHeight="false" outlineLevel="0" collapsed="false">
      <c r="A3621" s="3" t="n">
        <v>46208</v>
      </c>
      <c r="B3621" s="4" t="s">
        <v>1237</v>
      </c>
      <c r="C3621" s="4" t="n">
        <v>2</v>
      </c>
      <c r="D3621" s="4" t="n">
        <v>2</v>
      </c>
      <c r="E3621" s="4" t="s">
        <v>1257</v>
      </c>
      <c r="F3621" s="4" t="n">
        <v>10</v>
      </c>
      <c r="G3621" s="4" t="n">
        <v>7</v>
      </c>
      <c r="H3621" s="4" t="n">
        <v>4</v>
      </c>
      <c r="I3621" s="4" t="str">
        <v>×</v>
      </c>
      <c r="J3621" s="4"/>
      <c r="K3621" s="4"/>
      <c r="L3621" s="4"/>
      <c r="M3621" s="5" t="s">
        <v>2677</v>
      </c>
    </row>
    <row r="3622" customFormat="false" ht="15.75" hidden="false" customHeight="false" outlineLevel="0" collapsed="false">
      <c r="A3622" s="3" t="n">
        <v>46208</v>
      </c>
      <c r="B3622" s="4" t="s">
        <v>1237</v>
      </c>
      <c r="C3622" s="4" t="n">
        <v>2</v>
      </c>
      <c r="D3622" s="4" t="n">
        <v>3</v>
      </c>
      <c r="E3622" s="4" t="s">
        <v>337</v>
      </c>
      <c r="F3622" s="4" t="n">
        <v>39</v>
      </c>
      <c r="G3622" s="4" t="n">
        <v>4</v>
      </c>
      <c r="H3622" s="4" t="n">
        <v>2</v>
      </c>
      <c r="I3622" s="4" t="str">
        <v>○</v>
      </c>
      <c r="J3622" s="4" t="n">
        <v>120</v>
      </c>
      <c r="K3622" s="4"/>
      <c r="L3622" s="4"/>
      <c r="M3622" s="5" t="s">
        <v>2677</v>
      </c>
    </row>
    <row r="3623" customFormat="false" ht="15.75" hidden="false" customHeight="false" outlineLevel="0" collapsed="false">
      <c r="A3623" s="3" t="n">
        <v>46208</v>
      </c>
      <c r="B3623" s="4" t="s">
        <v>1237</v>
      </c>
      <c r="C3623" s="4" t="n">
        <v>2</v>
      </c>
      <c r="D3623" s="4" t="n">
        <v>4</v>
      </c>
      <c r="E3623" s="4" t="s">
        <v>3248</v>
      </c>
      <c r="F3623" s="4" t="n">
        <v>8</v>
      </c>
      <c r="G3623" s="4" t="n">
        <v>8</v>
      </c>
      <c r="H3623" s="4" t="n">
        <v>4</v>
      </c>
      <c r="I3623" s="4" t="str">
        <v>×</v>
      </c>
      <c r="J3623" s="4"/>
      <c r="K3623" s="4"/>
      <c r="L3623" s="4"/>
      <c r="M3623" s="5" t="s">
        <v>2677</v>
      </c>
    </row>
    <row r="3624" customFormat="false" ht="15.75" hidden="false" customHeight="false" outlineLevel="0" collapsed="false">
      <c r="A3624" s="3" t="n">
        <v>46208</v>
      </c>
      <c r="B3624" s="4" t="s">
        <v>1237</v>
      </c>
      <c r="C3624" s="4" t="n">
        <v>2</v>
      </c>
      <c r="D3624" s="4" t="n">
        <v>5</v>
      </c>
      <c r="E3624" s="4" t="s">
        <v>3249</v>
      </c>
      <c r="F3624" s="4" t="n">
        <v>8</v>
      </c>
      <c r="G3624" s="4" t="n">
        <v>8</v>
      </c>
      <c r="H3624" s="4" t="n">
        <v>4</v>
      </c>
      <c r="I3624" s="4" t="str">
        <v>×</v>
      </c>
      <c r="J3624" s="4"/>
      <c r="K3624" s="4"/>
      <c r="L3624" s="4"/>
      <c r="M3624" s="5" t="s">
        <v>2677</v>
      </c>
    </row>
    <row r="3625" customFormat="false" ht="15.75" hidden="false" customHeight="false" outlineLevel="0" collapsed="false">
      <c r="A3625" s="3" t="n">
        <v>46208</v>
      </c>
      <c r="B3625" s="4" t="s">
        <v>1237</v>
      </c>
      <c r="C3625" s="4" t="n">
        <v>2</v>
      </c>
      <c r="D3625" s="4" t="n">
        <v>6</v>
      </c>
      <c r="E3625" s="4" t="s">
        <v>1730</v>
      </c>
      <c r="F3625" s="4" t="n">
        <v>10</v>
      </c>
      <c r="G3625" s="4" t="n">
        <v>7</v>
      </c>
      <c r="H3625" s="4" t="n">
        <v>4</v>
      </c>
      <c r="I3625" s="4" t="str">
        <v>×</v>
      </c>
      <c r="J3625" s="4"/>
      <c r="K3625" s="4"/>
      <c r="L3625" s="4"/>
      <c r="M3625" s="5" t="s">
        <v>2677</v>
      </c>
    </row>
    <row r="3626" customFormat="false" ht="15.75" hidden="false" customHeight="false" outlineLevel="0" collapsed="false">
      <c r="A3626" s="3" t="n">
        <v>46208</v>
      </c>
      <c r="B3626" s="4" t="s">
        <v>1237</v>
      </c>
      <c r="C3626" s="4" t="n">
        <v>2</v>
      </c>
      <c r="D3626" s="4" t="n">
        <v>7</v>
      </c>
      <c r="E3626" s="4" t="s">
        <v>1256</v>
      </c>
      <c r="F3626" s="4" t="n">
        <v>44</v>
      </c>
      <c r="G3626" s="4" t="n">
        <v>3</v>
      </c>
      <c r="H3626" s="4" t="n">
        <v>3</v>
      </c>
      <c r="I3626" s="4" t="str">
        <v>○</v>
      </c>
      <c r="J3626" s="4" t="n">
        <v>130</v>
      </c>
      <c r="K3626" s="4"/>
      <c r="L3626" s="4"/>
      <c r="M3626" s="5" t="s">
        <v>2677</v>
      </c>
    </row>
    <row r="3627" customFormat="false" ht="15.75" hidden="false" customHeight="false" outlineLevel="0" collapsed="false">
      <c r="A3627" s="3" t="n">
        <v>46208</v>
      </c>
      <c r="B3627" s="4" t="s">
        <v>1237</v>
      </c>
      <c r="C3627" s="4" t="n">
        <v>2</v>
      </c>
      <c r="D3627" s="4" t="n">
        <v>8</v>
      </c>
      <c r="E3627" s="4" t="s">
        <v>1726</v>
      </c>
      <c r="F3627" s="4" t="n">
        <v>4</v>
      </c>
      <c r="G3627" s="4" t="n">
        <v>9</v>
      </c>
      <c r="H3627" s="4" t="n">
        <v>4</v>
      </c>
      <c r="I3627" s="4" t="str">
        <v>×</v>
      </c>
      <c r="J3627" s="4"/>
      <c r="K3627" s="4"/>
      <c r="L3627" s="4"/>
      <c r="M3627" s="5" t="s">
        <v>2677</v>
      </c>
    </row>
    <row r="3628" customFormat="false" ht="15.75" hidden="false" customHeight="false" outlineLevel="0" collapsed="false">
      <c r="A3628" s="3" t="n">
        <v>46208</v>
      </c>
      <c r="B3628" s="4" t="s">
        <v>1237</v>
      </c>
      <c r="C3628" s="4" t="n">
        <v>2</v>
      </c>
      <c r="D3628" s="4" t="n">
        <v>9</v>
      </c>
      <c r="E3628" s="4" t="s">
        <v>1254</v>
      </c>
      <c r="F3628" s="4" t="n">
        <v>47</v>
      </c>
      <c r="G3628" s="4" t="n">
        <v>2</v>
      </c>
      <c r="H3628" s="4" t="n">
        <v>4</v>
      </c>
      <c r="I3628" s="4" t="str">
        <v>×</v>
      </c>
      <c r="J3628" s="4"/>
      <c r="K3628" s="4"/>
      <c r="L3628" s="4"/>
      <c r="M3628" s="5" t="s">
        <v>2677</v>
      </c>
    </row>
    <row r="3629" customFormat="false" ht="15.75" hidden="false" customHeight="false" outlineLevel="0" collapsed="false">
      <c r="A3629" s="3" t="n">
        <v>46208</v>
      </c>
      <c r="B3629" s="4" t="s">
        <v>1237</v>
      </c>
      <c r="C3629" s="4" t="n">
        <v>2</v>
      </c>
      <c r="D3629" s="4" t="n">
        <v>10</v>
      </c>
      <c r="E3629" s="4" t="s">
        <v>1811</v>
      </c>
      <c r="F3629" s="4" t="n">
        <v>67</v>
      </c>
      <c r="G3629" s="4" t="n">
        <v>1</v>
      </c>
      <c r="H3629" s="4" t="n">
        <v>1</v>
      </c>
      <c r="I3629" s="4" t="str">
        <v>○</v>
      </c>
      <c r="J3629" s="4" t="n">
        <v>110</v>
      </c>
      <c r="K3629" s="4"/>
      <c r="L3629" s="4"/>
      <c r="M3629" s="5" t="s">
        <v>2677</v>
      </c>
    </row>
    <row r="3630" customFormat="false" ht="15.75" hidden="false" customHeight="false" outlineLevel="0" collapsed="false">
      <c r="A3630" s="3" t="n">
        <v>46208</v>
      </c>
      <c r="B3630" s="4" t="s">
        <v>1237</v>
      </c>
      <c r="C3630" s="4" t="n">
        <v>2</v>
      </c>
      <c r="D3630" s="4" t="n">
        <v>11</v>
      </c>
      <c r="E3630" s="4" t="s">
        <v>3250</v>
      </c>
      <c r="F3630" s="4" t="n">
        <v>17</v>
      </c>
      <c r="G3630" s="4" t="n">
        <v>5</v>
      </c>
      <c r="H3630" s="4" t="n">
        <v>4</v>
      </c>
      <c r="I3630" s="4" t="str">
        <v>×</v>
      </c>
      <c r="J3630" s="4"/>
      <c r="K3630" s="4"/>
      <c r="L3630" s="4"/>
      <c r="M3630" s="5" t="s">
        <v>2677</v>
      </c>
    </row>
    <row r="3631" customFormat="false" ht="15.75" hidden="false" customHeight="false" outlineLevel="0" collapsed="false">
      <c r="A3631" s="3" t="n">
        <v>46208</v>
      </c>
      <c r="B3631" s="4" t="s">
        <v>1237</v>
      </c>
      <c r="C3631" s="4" t="n">
        <v>2</v>
      </c>
      <c r="D3631" s="4" t="n">
        <v>12</v>
      </c>
      <c r="E3631" s="4" t="s">
        <v>1248</v>
      </c>
      <c r="F3631" s="4" t="n">
        <v>17</v>
      </c>
      <c r="G3631" s="4" t="n">
        <v>5</v>
      </c>
      <c r="H3631" s="4" t="n">
        <v>4</v>
      </c>
      <c r="I3631" s="4" t="str">
        <v>×</v>
      </c>
      <c r="J3631" s="4"/>
      <c r="K3631" s="4"/>
      <c r="L3631" s="4"/>
      <c r="M3631" s="5" t="s">
        <v>2677</v>
      </c>
    </row>
    <row r="3632" customFormat="false" ht="15.75" hidden="false" customHeight="false" outlineLevel="0" collapsed="false">
      <c r="A3632" s="3" t="n">
        <v>46208</v>
      </c>
      <c r="B3632" s="4" t="s">
        <v>1237</v>
      </c>
      <c r="C3632" s="4" t="n">
        <v>3</v>
      </c>
      <c r="D3632" s="4" t="n">
        <v>1</v>
      </c>
      <c r="E3632" s="4" t="s">
        <v>1748</v>
      </c>
      <c r="F3632" s="4" t="n">
        <v>60</v>
      </c>
      <c r="G3632" s="4" t="n">
        <v>2</v>
      </c>
      <c r="H3632" s="4" t="n">
        <v>2</v>
      </c>
      <c r="I3632" s="4" t="str">
        <v>○</v>
      </c>
      <c r="J3632" s="4" t="n">
        <v>130</v>
      </c>
      <c r="K3632" s="4"/>
      <c r="L3632" s="4"/>
      <c r="M3632" s="5" t="s">
        <v>2677</v>
      </c>
    </row>
    <row r="3633" customFormat="false" ht="15.75" hidden="false" customHeight="false" outlineLevel="0" collapsed="false">
      <c r="A3633" s="3" t="n">
        <v>46208</v>
      </c>
      <c r="B3633" s="4" t="s">
        <v>1237</v>
      </c>
      <c r="C3633" s="4" t="n">
        <v>3</v>
      </c>
      <c r="D3633" s="4" t="n">
        <v>2</v>
      </c>
      <c r="E3633" s="4" t="s">
        <v>3251</v>
      </c>
      <c r="F3633" s="4" t="n">
        <v>8</v>
      </c>
      <c r="G3633" s="4" t="n">
        <v>7</v>
      </c>
      <c r="H3633" s="4" t="n">
        <v>4</v>
      </c>
      <c r="I3633" s="4" t="str">
        <v>×</v>
      </c>
      <c r="J3633" s="4"/>
      <c r="K3633" s="4"/>
      <c r="L3633" s="4"/>
      <c r="M3633" s="5" t="s">
        <v>2677</v>
      </c>
    </row>
    <row r="3634" customFormat="false" ht="15.75" hidden="false" customHeight="false" outlineLevel="0" collapsed="false">
      <c r="A3634" s="3" t="n">
        <v>46208</v>
      </c>
      <c r="B3634" s="4" t="s">
        <v>1237</v>
      </c>
      <c r="C3634" s="4" t="n">
        <v>3</v>
      </c>
      <c r="D3634" s="4" t="n">
        <v>3</v>
      </c>
      <c r="E3634" s="4" t="s">
        <v>3252</v>
      </c>
      <c r="F3634" s="4" t="n">
        <v>6</v>
      </c>
      <c r="G3634" s="4" t="n">
        <v>9</v>
      </c>
      <c r="H3634" s="4" t="n">
        <v>4</v>
      </c>
      <c r="I3634" s="4" t="str">
        <v>×</v>
      </c>
      <c r="J3634" s="4"/>
      <c r="K3634" s="4"/>
      <c r="L3634" s="4"/>
      <c r="M3634" s="5" t="s">
        <v>2677</v>
      </c>
    </row>
    <row r="3635" customFormat="false" ht="15.75" hidden="false" customHeight="false" outlineLevel="0" collapsed="false">
      <c r="A3635" s="3" t="n">
        <v>46208</v>
      </c>
      <c r="B3635" s="4" t="s">
        <v>1237</v>
      </c>
      <c r="C3635" s="4" t="n">
        <v>3</v>
      </c>
      <c r="D3635" s="4" t="n">
        <v>4</v>
      </c>
      <c r="E3635" s="4" t="s">
        <v>1297</v>
      </c>
      <c r="F3635" s="4" t="n">
        <v>6</v>
      </c>
      <c r="G3635" s="4" t="n">
        <v>9</v>
      </c>
      <c r="H3635" s="4" t="n">
        <v>4</v>
      </c>
      <c r="I3635" s="4" t="str">
        <v>×</v>
      </c>
      <c r="J3635" s="4"/>
      <c r="K3635" s="4"/>
      <c r="L3635" s="4"/>
      <c r="M3635" s="5" t="s">
        <v>2677</v>
      </c>
    </row>
    <row r="3636" customFormat="false" ht="15.75" hidden="false" customHeight="false" outlineLevel="0" collapsed="false">
      <c r="A3636" s="3" t="n">
        <v>46208</v>
      </c>
      <c r="B3636" s="4" t="s">
        <v>1237</v>
      </c>
      <c r="C3636" s="4" t="n">
        <v>3</v>
      </c>
      <c r="D3636" s="4" t="n">
        <v>5</v>
      </c>
      <c r="E3636" s="4" t="s">
        <v>3253</v>
      </c>
      <c r="F3636" s="4" t="n">
        <v>6</v>
      </c>
      <c r="G3636" s="4" t="n">
        <v>9</v>
      </c>
      <c r="H3636" s="4" t="n">
        <v>4</v>
      </c>
      <c r="I3636" s="4" t="str">
        <v>×</v>
      </c>
      <c r="J3636" s="4"/>
      <c r="K3636" s="4"/>
      <c r="L3636" s="4"/>
      <c r="M3636" s="5" t="s">
        <v>2677</v>
      </c>
    </row>
    <row r="3637" customFormat="false" ht="15.75" hidden="false" customHeight="false" outlineLevel="0" collapsed="false">
      <c r="A3637" s="3" t="n">
        <v>46208</v>
      </c>
      <c r="B3637" s="4" t="s">
        <v>1237</v>
      </c>
      <c r="C3637" s="4" t="n">
        <v>3</v>
      </c>
      <c r="D3637" s="4" t="n">
        <v>6</v>
      </c>
      <c r="E3637" s="4" t="s">
        <v>3254</v>
      </c>
      <c r="F3637" s="4" t="n">
        <v>10</v>
      </c>
      <c r="G3637" s="4" t="n">
        <v>6</v>
      </c>
      <c r="H3637" s="4" t="n">
        <v>4</v>
      </c>
      <c r="I3637" s="4" t="str">
        <v>×</v>
      </c>
      <c r="J3637" s="4"/>
      <c r="K3637" s="4"/>
      <c r="L3637" s="4"/>
      <c r="M3637" s="5" t="s">
        <v>2677</v>
      </c>
    </row>
    <row r="3638" customFormat="false" ht="15.75" hidden="false" customHeight="false" outlineLevel="0" collapsed="false">
      <c r="A3638" s="3" t="n">
        <v>46208</v>
      </c>
      <c r="B3638" s="4" t="s">
        <v>1237</v>
      </c>
      <c r="C3638" s="4" t="n">
        <v>3</v>
      </c>
      <c r="D3638" s="4" t="n">
        <v>7</v>
      </c>
      <c r="E3638" s="4" t="s">
        <v>3255</v>
      </c>
      <c r="F3638" s="4" t="n">
        <v>15</v>
      </c>
      <c r="G3638" s="4" t="n">
        <v>5</v>
      </c>
      <c r="H3638" s="4" t="n">
        <v>4</v>
      </c>
      <c r="I3638" s="4" t="str">
        <v>×</v>
      </c>
      <c r="J3638" s="4"/>
      <c r="K3638" s="4"/>
      <c r="L3638" s="4"/>
      <c r="M3638" s="5" t="s">
        <v>2677</v>
      </c>
    </row>
    <row r="3639" customFormat="false" ht="15.75" hidden="false" customHeight="false" outlineLevel="0" collapsed="false">
      <c r="A3639" s="3" t="n">
        <v>46208</v>
      </c>
      <c r="B3639" s="4" t="s">
        <v>1237</v>
      </c>
      <c r="C3639" s="4" t="n">
        <v>3</v>
      </c>
      <c r="D3639" s="4" t="n">
        <v>8</v>
      </c>
      <c r="E3639" s="4" t="s">
        <v>2204</v>
      </c>
      <c r="F3639" s="4" t="n">
        <v>7</v>
      </c>
      <c r="G3639" s="4" t="n">
        <v>8</v>
      </c>
      <c r="H3639" s="4" t="n">
        <v>4</v>
      </c>
      <c r="I3639" s="4" t="str">
        <v>×</v>
      </c>
      <c r="J3639" s="4"/>
      <c r="K3639" s="4"/>
      <c r="L3639" s="4"/>
      <c r="M3639" s="5" t="s">
        <v>2677</v>
      </c>
    </row>
    <row r="3640" customFormat="false" ht="15.75" hidden="false" customHeight="false" outlineLevel="0" collapsed="false">
      <c r="A3640" s="3" t="n">
        <v>46208</v>
      </c>
      <c r="B3640" s="4" t="s">
        <v>1237</v>
      </c>
      <c r="C3640" s="4" t="n">
        <v>3</v>
      </c>
      <c r="D3640" s="4" t="n">
        <v>9</v>
      </c>
      <c r="E3640" s="4" t="s">
        <v>1258</v>
      </c>
      <c r="F3640" s="4" t="n">
        <v>20</v>
      </c>
      <c r="G3640" s="4" t="n">
        <v>4</v>
      </c>
      <c r="H3640" s="4" t="n">
        <v>4</v>
      </c>
      <c r="I3640" s="4" t="str">
        <v>×</v>
      </c>
      <c r="J3640" s="4"/>
      <c r="K3640" s="4"/>
      <c r="L3640" s="4"/>
      <c r="M3640" s="5" t="s">
        <v>2677</v>
      </c>
    </row>
    <row r="3641" customFormat="false" ht="15.75" hidden="false" customHeight="false" outlineLevel="0" collapsed="false">
      <c r="A3641" s="3" t="n">
        <v>46208</v>
      </c>
      <c r="B3641" s="4" t="s">
        <v>1237</v>
      </c>
      <c r="C3641" s="4" t="n">
        <v>3</v>
      </c>
      <c r="D3641" s="4" t="n">
        <v>10</v>
      </c>
      <c r="E3641" s="4" t="s">
        <v>3256</v>
      </c>
      <c r="F3641" s="4" t="n">
        <v>10</v>
      </c>
      <c r="G3641" s="4" t="n">
        <v>6</v>
      </c>
      <c r="H3641" s="4" t="n">
        <v>4</v>
      </c>
      <c r="I3641" s="4" t="str">
        <v>×</v>
      </c>
      <c r="J3641" s="4"/>
      <c r="K3641" s="4"/>
      <c r="L3641" s="4"/>
      <c r="M3641" s="5" t="s">
        <v>2677</v>
      </c>
    </row>
    <row r="3642" customFormat="false" ht="15.75" hidden="false" customHeight="false" outlineLevel="0" collapsed="false">
      <c r="A3642" s="3" t="n">
        <v>46208</v>
      </c>
      <c r="B3642" s="4" t="s">
        <v>1237</v>
      </c>
      <c r="C3642" s="4" t="n">
        <v>3</v>
      </c>
      <c r="D3642" s="4" t="n">
        <v>11</v>
      </c>
      <c r="E3642" s="4" t="s">
        <v>1800</v>
      </c>
      <c r="F3642" s="4" t="n">
        <v>15</v>
      </c>
      <c r="G3642" s="4" t="n">
        <v>5</v>
      </c>
      <c r="H3642" s="4" t="n">
        <v>1</v>
      </c>
      <c r="I3642" s="4" t="str">
        <v>○</v>
      </c>
      <c r="J3642" s="4" t="n">
        <v>420</v>
      </c>
      <c r="K3642" s="4"/>
      <c r="L3642" s="4"/>
      <c r="M3642" s="5" t="s">
        <v>2677</v>
      </c>
    </row>
    <row r="3643" customFormat="false" ht="15.75" hidden="false" customHeight="false" outlineLevel="0" collapsed="false">
      <c r="A3643" s="3" t="n">
        <v>46208</v>
      </c>
      <c r="B3643" s="4" t="s">
        <v>1237</v>
      </c>
      <c r="C3643" s="4" t="n">
        <v>3</v>
      </c>
      <c r="D3643" s="4" t="n">
        <v>12</v>
      </c>
      <c r="E3643" s="4" t="s">
        <v>3257</v>
      </c>
      <c r="F3643" s="4" t="n">
        <v>39</v>
      </c>
      <c r="G3643" s="4" t="n">
        <v>3</v>
      </c>
      <c r="H3643" s="4" t="n">
        <v>4</v>
      </c>
      <c r="I3643" s="4" t="str">
        <v>×</v>
      </c>
      <c r="J3643" s="4"/>
      <c r="K3643" s="4"/>
      <c r="L3643" s="4"/>
      <c r="M3643" s="5" t="s">
        <v>2677</v>
      </c>
    </row>
    <row r="3644" customFormat="false" ht="15.75" hidden="false" customHeight="false" outlineLevel="0" collapsed="false">
      <c r="A3644" s="3" t="n">
        <v>46208</v>
      </c>
      <c r="B3644" s="4" t="s">
        <v>1237</v>
      </c>
      <c r="C3644" s="4" t="n">
        <v>3</v>
      </c>
      <c r="D3644" s="4" t="n">
        <v>13</v>
      </c>
      <c r="E3644" s="4" t="s">
        <v>3258</v>
      </c>
      <c r="F3644" s="4" t="n">
        <v>71</v>
      </c>
      <c r="G3644" s="4" t="n">
        <v>1</v>
      </c>
      <c r="H3644" s="4" t="n">
        <v>3</v>
      </c>
      <c r="I3644" s="4" t="str">
        <v>○</v>
      </c>
      <c r="J3644" s="4" t="n">
        <v>110</v>
      </c>
      <c r="K3644" s="4"/>
      <c r="L3644" s="4"/>
      <c r="M3644" s="5" t="s">
        <v>2677</v>
      </c>
    </row>
    <row r="3645" customFormat="false" ht="15.75" hidden="false" customHeight="false" outlineLevel="0" collapsed="false">
      <c r="A3645" s="3" t="n">
        <v>46208</v>
      </c>
      <c r="B3645" s="4" t="s">
        <v>1237</v>
      </c>
      <c r="C3645" s="4" t="n">
        <v>3</v>
      </c>
      <c r="D3645" s="4" t="n">
        <v>14</v>
      </c>
      <c r="E3645" s="4" t="s">
        <v>3259</v>
      </c>
      <c r="F3645" s="4" t="n">
        <v>3</v>
      </c>
      <c r="G3645" s="4" t="n">
        <v>10</v>
      </c>
      <c r="H3645" s="4" t="n">
        <v>4</v>
      </c>
      <c r="I3645" s="4" t="str">
        <v>×</v>
      </c>
      <c r="J3645" s="4"/>
      <c r="K3645" s="4"/>
      <c r="L3645" s="4"/>
      <c r="M3645" s="5" t="s">
        <v>2677</v>
      </c>
    </row>
    <row r="3646" customFormat="false" ht="15.75" hidden="false" customHeight="false" outlineLevel="0" collapsed="false">
      <c r="A3646" s="3" t="n">
        <v>46208</v>
      </c>
      <c r="B3646" s="4" t="s">
        <v>1237</v>
      </c>
      <c r="C3646" s="4" t="n">
        <v>4</v>
      </c>
      <c r="D3646" s="4" t="n">
        <v>1</v>
      </c>
      <c r="E3646" s="4" t="s">
        <v>3260</v>
      </c>
      <c r="F3646" s="4" t="n">
        <v>8</v>
      </c>
      <c r="G3646" s="4" t="n">
        <v>7</v>
      </c>
      <c r="H3646" s="4" t="n">
        <v>4</v>
      </c>
      <c r="I3646" s="4" t="str">
        <v>×</v>
      </c>
      <c r="J3646" s="4"/>
      <c r="K3646" s="4"/>
      <c r="L3646" s="4"/>
      <c r="M3646" s="5" t="s">
        <v>2677</v>
      </c>
    </row>
    <row r="3647" customFormat="false" ht="15.75" hidden="false" customHeight="false" outlineLevel="0" collapsed="false">
      <c r="A3647" s="3" t="n">
        <v>46208</v>
      </c>
      <c r="B3647" s="4" t="s">
        <v>1237</v>
      </c>
      <c r="C3647" s="4" t="n">
        <v>4</v>
      </c>
      <c r="D3647" s="4" t="n">
        <v>2</v>
      </c>
      <c r="E3647" s="4" t="s">
        <v>1786</v>
      </c>
      <c r="F3647" s="4" t="n">
        <v>29</v>
      </c>
      <c r="G3647" s="4" t="n">
        <v>4</v>
      </c>
      <c r="H3647" s="4" t="n">
        <v>2</v>
      </c>
      <c r="I3647" s="4" t="str">
        <v>○</v>
      </c>
      <c r="J3647" s="4" t="n">
        <v>310</v>
      </c>
      <c r="K3647" s="4"/>
      <c r="L3647" s="4"/>
      <c r="M3647" s="5" t="s">
        <v>2677</v>
      </c>
    </row>
    <row r="3648" customFormat="false" ht="15.75" hidden="false" customHeight="false" outlineLevel="0" collapsed="false">
      <c r="A3648" s="3" t="n">
        <v>46208</v>
      </c>
      <c r="B3648" s="4" t="s">
        <v>1237</v>
      </c>
      <c r="C3648" s="4" t="n">
        <v>4</v>
      </c>
      <c r="D3648" s="4" t="n">
        <v>3</v>
      </c>
      <c r="E3648" s="4" t="s">
        <v>3261</v>
      </c>
      <c r="F3648" s="4" t="n">
        <v>8</v>
      </c>
      <c r="G3648" s="4" t="n">
        <v>7</v>
      </c>
      <c r="H3648" s="4" t="n">
        <v>4</v>
      </c>
      <c r="I3648" s="4" t="str">
        <v>×</v>
      </c>
      <c r="J3648" s="4"/>
      <c r="K3648" s="4"/>
      <c r="L3648" s="4"/>
      <c r="M3648" s="5" t="s">
        <v>2677</v>
      </c>
    </row>
    <row r="3649" customFormat="false" ht="15.75" hidden="false" customHeight="false" outlineLevel="0" collapsed="false">
      <c r="A3649" s="3" t="n">
        <v>46208</v>
      </c>
      <c r="B3649" s="4" t="s">
        <v>1237</v>
      </c>
      <c r="C3649" s="4" t="n">
        <v>4</v>
      </c>
      <c r="D3649" s="4" t="n">
        <v>4</v>
      </c>
      <c r="E3649" s="4" t="s">
        <v>3262</v>
      </c>
      <c r="F3649" s="4" t="n">
        <v>4</v>
      </c>
      <c r="G3649" s="4" t="n">
        <v>8</v>
      </c>
      <c r="H3649" s="4" t="n">
        <v>4</v>
      </c>
      <c r="I3649" s="4" t="str">
        <v>×</v>
      </c>
      <c r="J3649" s="4"/>
      <c r="K3649" s="4"/>
      <c r="L3649" s="4"/>
      <c r="M3649" s="5" t="s">
        <v>2677</v>
      </c>
    </row>
    <row r="3650" customFormat="false" ht="15.75" hidden="false" customHeight="false" outlineLevel="0" collapsed="false">
      <c r="A3650" s="3" t="n">
        <v>46208</v>
      </c>
      <c r="B3650" s="4" t="s">
        <v>1237</v>
      </c>
      <c r="C3650" s="4" t="n">
        <v>4</v>
      </c>
      <c r="D3650" s="4" t="n">
        <v>5</v>
      </c>
      <c r="E3650" s="4" t="s">
        <v>3263</v>
      </c>
      <c r="F3650" s="4" t="n">
        <v>34</v>
      </c>
      <c r="G3650" s="4" t="n">
        <v>3</v>
      </c>
      <c r="H3650" s="4" t="n">
        <v>4</v>
      </c>
      <c r="I3650" s="4" t="str">
        <v>×</v>
      </c>
      <c r="J3650" s="4"/>
      <c r="K3650" s="4"/>
      <c r="L3650" s="4"/>
      <c r="M3650" s="5" t="s">
        <v>2677</v>
      </c>
    </row>
    <row r="3651" customFormat="false" ht="15.75" hidden="false" customHeight="false" outlineLevel="0" collapsed="false">
      <c r="A3651" s="3" t="n">
        <v>46208</v>
      </c>
      <c r="B3651" s="4" t="s">
        <v>1237</v>
      </c>
      <c r="C3651" s="4" t="n">
        <v>4</v>
      </c>
      <c r="D3651" s="4" t="n">
        <v>6</v>
      </c>
      <c r="E3651" s="4" t="s">
        <v>814</v>
      </c>
      <c r="F3651" s="4" t="n">
        <v>29</v>
      </c>
      <c r="G3651" s="4" t="n">
        <v>4</v>
      </c>
      <c r="H3651" s="4" t="n">
        <v>4</v>
      </c>
      <c r="I3651" s="4" t="str">
        <v>×</v>
      </c>
      <c r="J3651" s="4"/>
      <c r="K3651" s="4"/>
      <c r="L3651" s="4"/>
      <c r="M3651" s="5" t="s">
        <v>2677</v>
      </c>
    </row>
    <row r="3652" customFormat="false" ht="15.75" hidden="false" customHeight="false" outlineLevel="0" collapsed="false">
      <c r="A3652" s="3" t="n">
        <v>46208</v>
      </c>
      <c r="B3652" s="4" t="s">
        <v>1237</v>
      </c>
      <c r="C3652" s="4" t="n">
        <v>4</v>
      </c>
      <c r="D3652" s="4" t="n">
        <v>7</v>
      </c>
      <c r="E3652" s="4" t="s">
        <v>2619</v>
      </c>
      <c r="F3652" s="4" t="n">
        <v>8</v>
      </c>
      <c r="G3652" s="4" t="n">
        <v>7</v>
      </c>
      <c r="H3652" s="4" t="n">
        <v>4</v>
      </c>
      <c r="I3652" s="4" t="str">
        <v>×</v>
      </c>
      <c r="J3652" s="4"/>
      <c r="K3652" s="4"/>
      <c r="L3652" s="4"/>
      <c r="M3652" s="5" t="s">
        <v>2677</v>
      </c>
    </row>
    <row r="3653" customFormat="false" ht="15.75" hidden="false" customHeight="false" outlineLevel="0" collapsed="false">
      <c r="A3653" s="3" t="n">
        <v>46208</v>
      </c>
      <c r="B3653" s="4" t="s">
        <v>1237</v>
      </c>
      <c r="C3653" s="4" t="n">
        <v>4</v>
      </c>
      <c r="D3653" s="4" t="n">
        <v>8</v>
      </c>
      <c r="E3653" s="4" t="s">
        <v>3264</v>
      </c>
      <c r="F3653" s="4" t="n">
        <v>4</v>
      </c>
      <c r="G3653" s="4" t="n">
        <v>8</v>
      </c>
      <c r="H3653" s="4" t="n">
        <v>4</v>
      </c>
      <c r="I3653" s="4" t="str">
        <v>×</v>
      </c>
      <c r="J3653" s="4"/>
      <c r="K3653" s="4"/>
      <c r="L3653" s="4"/>
      <c r="M3653" s="5" t="s">
        <v>2677</v>
      </c>
    </row>
    <row r="3654" customFormat="false" ht="15.75" hidden="false" customHeight="false" outlineLevel="0" collapsed="false">
      <c r="A3654" s="3" t="n">
        <v>46208</v>
      </c>
      <c r="B3654" s="4" t="s">
        <v>1237</v>
      </c>
      <c r="C3654" s="4" t="n">
        <v>4</v>
      </c>
      <c r="D3654" s="4" t="n">
        <v>9</v>
      </c>
      <c r="E3654" s="4" t="s">
        <v>3265</v>
      </c>
      <c r="F3654" s="4" t="n">
        <v>1</v>
      </c>
      <c r="G3654" s="4" t="n">
        <v>10</v>
      </c>
      <c r="H3654" s="4" t="n">
        <v>4</v>
      </c>
      <c r="I3654" s="4" t="str">
        <v>×</v>
      </c>
      <c r="J3654" s="4"/>
      <c r="K3654" s="4"/>
      <c r="L3654" s="4"/>
      <c r="M3654" s="5" t="s">
        <v>2677</v>
      </c>
    </row>
    <row r="3655" customFormat="false" ht="15.75" hidden="false" customHeight="false" outlineLevel="0" collapsed="false">
      <c r="A3655" s="3" t="n">
        <v>46208</v>
      </c>
      <c r="B3655" s="4" t="s">
        <v>1237</v>
      </c>
      <c r="C3655" s="4" t="n">
        <v>4</v>
      </c>
      <c r="D3655" s="4" t="n">
        <v>10</v>
      </c>
      <c r="E3655" s="4" t="s">
        <v>3266</v>
      </c>
      <c r="F3655" s="4" t="n">
        <v>37</v>
      </c>
      <c r="G3655" s="4" t="n">
        <v>2</v>
      </c>
      <c r="H3655" s="4" t="n">
        <v>4</v>
      </c>
      <c r="I3655" s="4" t="str">
        <v>×</v>
      </c>
      <c r="J3655" s="4"/>
      <c r="K3655" s="4"/>
      <c r="L3655" s="4"/>
      <c r="M3655" s="5" t="s">
        <v>2677</v>
      </c>
    </row>
    <row r="3656" customFormat="false" ht="15.75" hidden="false" customHeight="false" outlineLevel="0" collapsed="false">
      <c r="A3656" s="3" t="n">
        <v>46208</v>
      </c>
      <c r="B3656" s="4" t="s">
        <v>1237</v>
      </c>
      <c r="C3656" s="4" t="n">
        <v>4</v>
      </c>
      <c r="D3656" s="4" t="n">
        <v>11</v>
      </c>
      <c r="E3656" s="4" t="s">
        <v>1734</v>
      </c>
      <c r="F3656" s="4" t="n">
        <v>2</v>
      </c>
      <c r="G3656" s="4" t="n">
        <v>9</v>
      </c>
      <c r="H3656" s="4" t="n">
        <v>4</v>
      </c>
      <c r="I3656" s="4" t="str">
        <v>×</v>
      </c>
      <c r="J3656" s="4"/>
      <c r="K3656" s="4"/>
      <c r="L3656" s="4"/>
      <c r="M3656" s="5" t="s">
        <v>2677</v>
      </c>
    </row>
    <row r="3657" customFormat="false" ht="15.75" hidden="false" customHeight="false" outlineLevel="0" collapsed="false">
      <c r="A3657" s="3" t="n">
        <v>46208</v>
      </c>
      <c r="B3657" s="4" t="s">
        <v>1237</v>
      </c>
      <c r="C3657" s="4" t="n">
        <v>4</v>
      </c>
      <c r="D3657" s="4" t="n">
        <v>12</v>
      </c>
      <c r="E3657" s="4" t="s">
        <v>1777</v>
      </c>
      <c r="F3657" s="4" t="n">
        <v>41</v>
      </c>
      <c r="G3657" s="4" t="n">
        <v>1</v>
      </c>
      <c r="H3657" s="4" t="n">
        <v>4</v>
      </c>
      <c r="I3657" s="4" t="str">
        <v>×</v>
      </c>
      <c r="J3657" s="4"/>
      <c r="K3657" s="4"/>
      <c r="L3657" s="4"/>
      <c r="M3657" s="5" t="s">
        <v>2677</v>
      </c>
    </row>
    <row r="3658" customFormat="false" ht="15.75" hidden="false" customHeight="false" outlineLevel="0" collapsed="false">
      <c r="A3658" s="3" t="n">
        <v>46208</v>
      </c>
      <c r="B3658" s="4" t="s">
        <v>1237</v>
      </c>
      <c r="C3658" s="4" t="n">
        <v>4</v>
      </c>
      <c r="D3658" s="4" t="n">
        <v>13</v>
      </c>
      <c r="E3658" s="4" t="s">
        <v>2202</v>
      </c>
      <c r="F3658" s="4" t="n">
        <v>20</v>
      </c>
      <c r="G3658" s="4" t="n">
        <v>5</v>
      </c>
      <c r="H3658" s="4" t="n">
        <v>3</v>
      </c>
      <c r="I3658" s="4" t="str">
        <v>○</v>
      </c>
      <c r="J3658" s="4" t="n">
        <v>500</v>
      </c>
      <c r="K3658" s="4"/>
      <c r="L3658" s="4"/>
      <c r="M3658" s="5" t="s">
        <v>2677</v>
      </c>
    </row>
    <row r="3659" customFormat="false" ht="15.75" hidden="false" customHeight="false" outlineLevel="0" collapsed="false">
      <c r="A3659" s="3" t="n">
        <v>46208</v>
      </c>
      <c r="B3659" s="4" t="s">
        <v>1237</v>
      </c>
      <c r="C3659" s="4" t="n">
        <v>4</v>
      </c>
      <c r="D3659" s="4" t="n">
        <v>14</v>
      </c>
      <c r="E3659" s="4" t="s">
        <v>3267</v>
      </c>
      <c r="F3659" s="4" t="n">
        <v>2</v>
      </c>
      <c r="G3659" s="4" t="n">
        <v>9</v>
      </c>
      <c r="H3659" s="4" t="n">
        <v>4</v>
      </c>
      <c r="I3659" s="4" t="str">
        <v>×</v>
      </c>
      <c r="J3659" s="4"/>
      <c r="K3659" s="4"/>
      <c r="L3659" s="4"/>
      <c r="M3659" s="5" t="s">
        <v>2677</v>
      </c>
    </row>
    <row r="3660" customFormat="false" ht="15.75" hidden="false" customHeight="false" outlineLevel="0" collapsed="false">
      <c r="A3660" s="3" t="n">
        <v>46208</v>
      </c>
      <c r="B3660" s="4" t="s">
        <v>1237</v>
      </c>
      <c r="C3660" s="4" t="n">
        <v>4</v>
      </c>
      <c r="D3660" s="4" t="n">
        <v>15</v>
      </c>
      <c r="E3660" s="4" t="s">
        <v>3268</v>
      </c>
      <c r="F3660" s="4" t="n">
        <v>10</v>
      </c>
      <c r="G3660" s="4" t="n">
        <v>6</v>
      </c>
      <c r="H3660" s="4" t="n">
        <v>4</v>
      </c>
      <c r="I3660" s="4" t="str">
        <v>×</v>
      </c>
      <c r="J3660" s="4"/>
      <c r="K3660" s="4"/>
      <c r="L3660" s="4"/>
      <c r="M3660" s="5" t="s">
        <v>2677</v>
      </c>
    </row>
    <row r="3661" customFormat="false" ht="15.75" hidden="false" customHeight="false" outlineLevel="0" collapsed="false">
      <c r="A3661" s="3" t="n">
        <v>46208</v>
      </c>
      <c r="B3661" s="4" t="s">
        <v>1237</v>
      </c>
      <c r="C3661" s="4" t="n">
        <v>4</v>
      </c>
      <c r="D3661" s="4" t="n">
        <v>16</v>
      </c>
      <c r="E3661" s="4" t="s">
        <v>1376</v>
      </c>
      <c r="F3661" s="4" t="n">
        <v>41</v>
      </c>
      <c r="G3661" s="4" t="n">
        <v>1</v>
      </c>
      <c r="H3661" s="4" t="n">
        <v>1</v>
      </c>
      <c r="I3661" s="4" t="str">
        <v>○</v>
      </c>
      <c r="J3661" s="4" t="n">
        <v>250</v>
      </c>
      <c r="K3661" s="4"/>
      <c r="L3661" s="4"/>
      <c r="M3661" s="5" t="s">
        <v>2677</v>
      </c>
    </row>
    <row r="3662" customFormat="false" ht="15.75" hidden="false" customHeight="false" outlineLevel="0" collapsed="false">
      <c r="A3662" s="3" t="n">
        <v>46208</v>
      </c>
      <c r="B3662" s="4" t="s">
        <v>1237</v>
      </c>
      <c r="C3662" s="4" t="n">
        <v>5</v>
      </c>
      <c r="D3662" s="4" t="n">
        <v>1</v>
      </c>
      <c r="E3662" s="4" t="s">
        <v>3269</v>
      </c>
      <c r="F3662" s="4" t="n">
        <v>21</v>
      </c>
      <c r="G3662" s="4" t="n">
        <v>4</v>
      </c>
      <c r="H3662" s="4" t="n">
        <v>1</v>
      </c>
      <c r="I3662" s="4" t="str">
        <v>○</v>
      </c>
      <c r="J3662" s="4" t="n">
        <v>110</v>
      </c>
      <c r="K3662" s="4"/>
      <c r="L3662" s="4"/>
      <c r="M3662" s="5" t="s">
        <v>2677</v>
      </c>
    </row>
    <row r="3663" customFormat="false" ht="15.75" hidden="false" customHeight="false" outlineLevel="0" collapsed="false">
      <c r="A3663" s="3" t="n">
        <v>46208</v>
      </c>
      <c r="B3663" s="4" t="s">
        <v>1237</v>
      </c>
      <c r="C3663" s="4" t="n">
        <v>5</v>
      </c>
      <c r="D3663" s="4" t="n">
        <v>2</v>
      </c>
      <c r="E3663" s="4" t="s">
        <v>3270</v>
      </c>
      <c r="F3663" s="4" t="n">
        <v>37</v>
      </c>
      <c r="G3663" s="4" t="n">
        <v>2</v>
      </c>
      <c r="H3663" s="4" t="n">
        <v>2</v>
      </c>
      <c r="I3663" s="4" t="str">
        <v>○</v>
      </c>
      <c r="J3663" s="4" t="n">
        <v>150</v>
      </c>
      <c r="K3663" s="4"/>
      <c r="L3663" s="4"/>
      <c r="M3663" s="5" t="s">
        <v>2677</v>
      </c>
    </row>
    <row r="3664" customFormat="false" ht="15.75" hidden="false" customHeight="false" outlineLevel="0" collapsed="false">
      <c r="A3664" s="3" t="n">
        <v>46208</v>
      </c>
      <c r="B3664" s="4" t="s">
        <v>1237</v>
      </c>
      <c r="C3664" s="4" t="n">
        <v>5</v>
      </c>
      <c r="D3664" s="4" t="n">
        <v>3</v>
      </c>
      <c r="E3664" s="4" t="s">
        <v>3271</v>
      </c>
      <c r="F3664" s="4" t="n">
        <v>44</v>
      </c>
      <c r="G3664" s="4" t="n">
        <v>1</v>
      </c>
      <c r="H3664" s="4" t="n">
        <v>3</v>
      </c>
      <c r="I3664" s="4" t="str">
        <v>○</v>
      </c>
      <c r="J3664" s="4"/>
      <c r="K3664" s="4"/>
      <c r="L3664" s="4"/>
      <c r="M3664" s="5" t="s">
        <v>2677</v>
      </c>
    </row>
    <row r="3665" customFormat="false" ht="15.75" hidden="false" customHeight="false" outlineLevel="0" collapsed="false">
      <c r="A3665" s="3" t="n">
        <v>46208</v>
      </c>
      <c r="B3665" s="4" t="s">
        <v>1237</v>
      </c>
      <c r="C3665" s="4" t="n">
        <v>5</v>
      </c>
      <c r="D3665" s="4" t="n">
        <v>4</v>
      </c>
      <c r="E3665" s="4" t="s">
        <v>3272</v>
      </c>
      <c r="F3665" s="4" t="n">
        <v>31</v>
      </c>
      <c r="G3665" s="4" t="n">
        <v>3</v>
      </c>
      <c r="H3665" s="4" t="n">
        <v>4</v>
      </c>
      <c r="I3665" s="4" t="str">
        <v>×</v>
      </c>
      <c r="J3665" s="4"/>
      <c r="K3665" s="4"/>
      <c r="L3665" s="4"/>
      <c r="M3665" s="5" t="s">
        <v>2677</v>
      </c>
    </row>
    <row r="3666" customFormat="false" ht="15.75" hidden="false" customHeight="false" outlineLevel="0" collapsed="false">
      <c r="A3666" s="3" t="n">
        <v>46208</v>
      </c>
      <c r="B3666" s="4" t="s">
        <v>1237</v>
      </c>
      <c r="C3666" s="4" t="n">
        <v>5</v>
      </c>
      <c r="D3666" s="4" t="n">
        <v>5</v>
      </c>
      <c r="E3666" s="4" t="s">
        <v>1240</v>
      </c>
      <c r="F3666" s="4" t="n">
        <v>37</v>
      </c>
      <c r="G3666" s="4" t="n">
        <v>2</v>
      </c>
      <c r="H3666" s="4" t="n">
        <v>4</v>
      </c>
      <c r="I3666" s="4" t="str">
        <v>×</v>
      </c>
      <c r="J3666" s="4"/>
      <c r="K3666" s="4"/>
      <c r="L3666" s="4"/>
      <c r="M3666" s="5" t="s">
        <v>2677</v>
      </c>
    </row>
    <row r="3667" customFormat="false" ht="15.75" hidden="false" customHeight="false" outlineLevel="0" collapsed="false">
      <c r="A3667" s="3" t="n">
        <v>46208</v>
      </c>
      <c r="B3667" s="4" t="s">
        <v>1237</v>
      </c>
      <c r="C3667" s="4" t="n">
        <v>6</v>
      </c>
      <c r="D3667" s="4" t="n">
        <v>1</v>
      </c>
      <c r="E3667" s="4" t="s">
        <v>3273</v>
      </c>
      <c r="F3667" s="4" t="n">
        <v>31</v>
      </c>
      <c r="G3667" s="4" t="n">
        <v>4</v>
      </c>
      <c r="H3667" s="4" t="n">
        <v>4</v>
      </c>
      <c r="I3667" s="4" t="str">
        <v>×</v>
      </c>
      <c r="J3667" s="4"/>
      <c r="K3667" s="4"/>
      <c r="L3667" s="4"/>
      <c r="M3667" s="5" t="s">
        <v>2677</v>
      </c>
    </row>
    <row r="3668" customFormat="false" ht="15.75" hidden="false" customHeight="false" outlineLevel="0" collapsed="false">
      <c r="A3668" s="3" t="n">
        <v>46208</v>
      </c>
      <c r="B3668" s="4" t="s">
        <v>1237</v>
      </c>
      <c r="C3668" s="4" t="n">
        <v>6</v>
      </c>
      <c r="D3668" s="4" t="n">
        <v>2</v>
      </c>
      <c r="E3668" s="4" t="s">
        <v>3274</v>
      </c>
      <c r="F3668" s="4" t="n">
        <v>2</v>
      </c>
      <c r="G3668" s="4" t="n">
        <v>11</v>
      </c>
      <c r="H3668" s="4" t="n">
        <v>4</v>
      </c>
      <c r="I3668" s="4" t="str">
        <v>×</v>
      </c>
      <c r="J3668" s="4"/>
      <c r="K3668" s="4"/>
      <c r="L3668" s="4"/>
      <c r="M3668" s="5" t="s">
        <v>2677</v>
      </c>
    </row>
    <row r="3669" customFormat="false" ht="15.75" hidden="false" customHeight="false" outlineLevel="0" collapsed="false">
      <c r="A3669" s="3" t="n">
        <v>46208</v>
      </c>
      <c r="B3669" s="4" t="s">
        <v>1237</v>
      </c>
      <c r="C3669" s="4" t="n">
        <v>6</v>
      </c>
      <c r="D3669" s="4" t="n">
        <v>3</v>
      </c>
      <c r="E3669" s="4" t="s">
        <v>1760</v>
      </c>
      <c r="F3669" s="4" t="n">
        <v>39</v>
      </c>
      <c r="G3669" s="4" t="n">
        <v>3</v>
      </c>
      <c r="H3669" s="4" t="n">
        <v>4</v>
      </c>
      <c r="I3669" s="4" t="str">
        <v>×</v>
      </c>
      <c r="J3669" s="4"/>
      <c r="K3669" s="4"/>
      <c r="L3669" s="4"/>
      <c r="M3669" s="5" t="s">
        <v>2677</v>
      </c>
    </row>
    <row r="3670" customFormat="false" ht="15.75" hidden="false" customHeight="false" outlineLevel="0" collapsed="false">
      <c r="A3670" s="3" t="n">
        <v>46208</v>
      </c>
      <c r="B3670" s="4" t="s">
        <v>1237</v>
      </c>
      <c r="C3670" s="4" t="n">
        <v>6</v>
      </c>
      <c r="D3670" s="4" t="n">
        <v>4</v>
      </c>
      <c r="E3670" s="4" t="s">
        <v>1754</v>
      </c>
      <c r="F3670" s="4" t="n">
        <v>10</v>
      </c>
      <c r="G3670" s="4" t="n">
        <v>6</v>
      </c>
      <c r="H3670" s="4" t="n">
        <v>4</v>
      </c>
      <c r="I3670" s="4" t="str">
        <v>×</v>
      </c>
      <c r="J3670" s="4"/>
      <c r="K3670" s="4"/>
      <c r="L3670" s="4"/>
      <c r="M3670" s="5" t="s">
        <v>2677</v>
      </c>
    </row>
    <row r="3671" customFormat="false" ht="15.75" hidden="false" customHeight="false" outlineLevel="0" collapsed="false">
      <c r="A3671" s="3" t="n">
        <v>46208</v>
      </c>
      <c r="B3671" s="4" t="s">
        <v>1237</v>
      </c>
      <c r="C3671" s="4" t="n">
        <v>6</v>
      </c>
      <c r="D3671" s="4" t="n">
        <v>5</v>
      </c>
      <c r="E3671" s="4" t="s">
        <v>3275</v>
      </c>
      <c r="F3671" s="4" t="n">
        <v>4</v>
      </c>
      <c r="G3671" s="4" t="n">
        <v>9</v>
      </c>
      <c r="H3671" s="4" t="n">
        <v>4</v>
      </c>
      <c r="I3671" s="4" t="str">
        <v>×</v>
      </c>
      <c r="J3671" s="4"/>
      <c r="K3671" s="4"/>
      <c r="L3671" s="4"/>
      <c r="M3671" s="5" t="s">
        <v>2677</v>
      </c>
    </row>
    <row r="3672" customFormat="false" ht="15.75" hidden="false" customHeight="false" outlineLevel="0" collapsed="false">
      <c r="A3672" s="3" t="n">
        <v>46208</v>
      </c>
      <c r="B3672" s="4" t="s">
        <v>1237</v>
      </c>
      <c r="C3672" s="4" t="n">
        <v>6</v>
      </c>
      <c r="D3672" s="4" t="n">
        <v>6</v>
      </c>
      <c r="E3672" s="4" t="s">
        <v>3276</v>
      </c>
      <c r="F3672" s="4" t="n">
        <v>2</v>
      </c>
      <c r="G3672" s="4" t="n">
        <v>11</v>
      </c>
      <c r="H3672" s="4" t="n">
        <v>1</v>
      </c>
      <c r="I3672" s="4" t="str">
        <v>○</v>
      </c>
      <c r="J3672" s="4" t="n">
        <v>160</v>
      </c>
      <c r="K3672" s="4"/>
      <c r="L3672" s="4"/>
      <c r="M3672" s="5" t="s">
        <v>2677</v>
      </c>
    </row>
    <row r="3673" customFormat="false" ht="15.75" hidden="false" customHeight="false" outlineLevel="0" collapsed="false">
      <c r="A3673" s="3" t="n">
        <v>46208</v>
      </c>
      <c r="B3673" s="4" t="s">
        <v>1237</v>
      </c>
      <c r="C3673" s="4" t="n">
        <v>6</v>
      </c>
      <c r="D3673" s="4" t="n">
        <v>7</v>
      </c>
      <c r="E3673" s="4" t="s">
        <v>1752</v>
      </c>
      <c r="F3673" s="4" t="n">
        <v>8</v>
      </c>
      <c r="G3673" s="4" t="n">
        <v>7</v>
      </c>
      <c r="H3673" s="4" t="n">
        <v>4</v>
      </c>
      <c r="I3673" s="4" t="str">
        <v>×</v>
      </c>
      <c r="J3673" s="4"/>
      <c r="K3673" s="4"/>
      <c r="L3673" s="4"/>
      <c r="M3673" s="5" t="s">
        <v>2677</v>
      </c>
    </row>
    <row r="3674" customFormat="false" ht="15.75" hidden="false" customHeight="false" outlineLevel="0" collapsed="false">
      <c r="A3674" s="3" t="n">
        <v>46208</v>
      </c>
      <c r="B3674" s="4" t="s">
        <v>1237</v>
      </c>
      <c r="C3674" s="4" t="n">
        <v>6</v>
      </c>
      <c r="D3674" s="4" t="n">
        <v>8</v>
      </c>
      <c r="E3674" s="4" t="s">
        <v>851</v>
      </c>
      <c r="F3674" s="4" t="n">
        <v>31</v>
      </c>
      <c r="G3674" s="4" t="n">
        <v>4</v>
      </c>
      <c r="H3674" s="4" t="n">
        <v>4</v>
      </c>
      <c r="I3674" s="4" t="str">
        <v>×</v>
      </c>
      <c r="J3674" s="4"/>
      <c r="K3674" s="4"/>
      <c r="L3674" s="4"/>
      <c r="M3674" s="5" t="s">
        <v>2677</v>
      </c>
    </row>
    <row r="3675" customFormat="false" ht="15.75" hidden="false" customHeight="false" outlineLevel="0" collapsed="false">
      <c r="A3675" s="3" t="n">
        <v>46208</v>
      </c>
      <c r="B3675" s="4" t="s">
        <v>1237</v>
      </c>
      <c r="C3675" s="4" t="n">
        <v>6</v>
      </c>
      <c r="D3675" s="4" t="n">
        <v>9</v>
      </c>
      <c r="E3675" s="4" t="s">
        <v>3277</v>
      </c>
      <c r="F3675" s="4" t="n">
        <v>3</v>
      </c>
      <c r="G3675" s="4" t="n">
        <v>10</v>
      </c>
      <c r="H3675" s="4" t="n">
        <v>4</v>
      </c>
      <c r="I3675" s="4" t="str">
        <v>×</v>
      </c>
      <c r="J3675" s="4"/>
      <c r="K3675" s="4"/>
      <c r="L3675" s="4"/>
      <c r="M3675" s="5" t="s">
        <v>2677</v>
      </c>
    </row>
    <row r="3676" customFormat="false" ht="15.75" hidden="false" customHeight="false" outlineLevel="0" collapsed="false">
      <c r="A3676" s="3" t="n">
        <v>46208</v>
      </c>
      <c r="B3676" s="4" t="s">
        <v>1237</v>
      </c>
      <c r="C3676" s="4" t="n">
        <v>6</v>
      </c>
      <c r="D3676" s="4" t="n">
        <v>10</v>
      </c>
      <c r="E3676" s="4" t="s">
        <v>3278</v>
      </c>
      <c r="F3676" s="4" t="n">
        <v>1</v>
      </c>
      <c r="G3676" s="4" t="n">
        <v>12</v>
      </c>
      <c r="H3676" s="4" t="n">
        <v>4</v>
      </c>
      <c r="I3676" s="4" t="str">
        <v>×</v>
      </c>
      <c r="J3676" s="4"/>
      <c r="K3676" s="4"/>
      <c r="L3676" s="4"/>
      <c r="M3676" s="5" t="s">
        <v>2677</v>
      </c>
    </row>
    <row r="3677" customFormat="false" ht="15.75" hidden="false" customHeight="false" outlineLevel="0" collapsed="false">
      <c r="A3677" s="3" t="n">
        <v>46208</v>
      </c>
      <c r="B3677" s="4" t="s">
        <v>1237</v>
      </c>
      <c r="C3677" s="4" t="n">
        <v>6</v>
      </c>
      <c r="D3677" s="4" t="n">
        <v>11</v>
      </c>
      <c r="E3677" s="4" t="s">
        <v>3279</v>
      </c>
      <c r="F3677" s="4" t="n">
        <v>6</v>
      </c>
      <c r="G3677" s="4" t="n">
        <v>8</v>
      </c>
      <c r="H3677" s="4" t="n">
        <v>4</v>
      </c>
      <c r="I3677" s="4" t="str">
        <v>×</v>
      </c>
      <c r="J3677" s="4"/>
      <c r="K3677" s="4"/>
      <c r="L3677" s="4"/>
      <c r="M3677" s="5" t="s">
        <v>2677</v>
      </c>
    </row>
    <row r="3678" customFormat="false" ht="15.75" hidden="false" customHeight="false" outlineLevel="0" collapsed="false">
      <c r="A3678" s="3" t="n">
        <v>46208</v>
      </c>
      <c r="B3678" s="4" t="s">
        <v>1237</v>
      </c>
      <c r="C3678" s="4" t="n">
        <v>6</v>
      </c>
      <c r="D3678" s="4" t="n">
        <v>12</v>
      </c>
      <c r="E3678" s="4" t="s">
        <v>1310</v>
      </c>
      <c r="F3678" s="4" t="n">
        <v>44</v>
      </c>
      <c r="G3678" s="4" t="n">
        <v>2</v>
      </c>
      <c r="H3678" s="4" t="n">
        <v>3</v>
      </c>
      <c r="I3678" s="4" t="str">
        <v>○</v>
      </c>
      <c r="J3678" s="4" t="n">
        <v>120</v>
      </c>
      <c r="K3678" s="4"/>
      <c r="L3678" s="4"/>
      <c r="M3678" s="5" t="s">
        <v>2677</v>
      </c>
    </row>
    <row r="3679" customFormat="false" ht="15.75" hidden="false" customHeight="false" outlineLevel="0" collapsed="false">
      <c r="A3679" s="3" t="n">
        <v>46208</v>
      </c>
      <c r="B3679" s="4" t="s">
        <v>1237</v>
      </c>
      <c r="C3679" s="4" t="n">
        <v>6</v>
      </c>
      <c r="D3679" s="4" t="n">
        <v>13</v>
      </c>
      <c r="E3679" s="4" t="s">
        <v>389</v>
      </c>
      <c r="F3679" s="4" t="n">
        <v>6</v>
      </c>
      <c r="G3679" s="4" t="n">
        <v>8</v>
      </c>
      <c r="H3679" s="4" t="n">
        <v>4</v>
      </c>
      <c r="I3679" s="4" t="str">
        <v>×</v>
      </c>
      <c r="J3679" s="4"/>
      <c r="K3679" s="4"/>
      <c r="L3679" s="4"/>
      <c r="M3679" s="5" t="s">
        <v>2677</v>
      </c>
    </row>
    <row r="3680" customFormat="false" ht="15.75" hidden="false" customHeight="false" outlineLevel="0" collapsed="false">
      <c r="A3680" s="3" t="n">
        <v>46208</v>
      </c>
      <c r="B3680" s="4" t="s">
        <v>1237</v>
      </c>
      <c r="C3680" s="4" t="n">
        <v>6</v>
      </c>
      <c r="D3680" s="4" t="n">
        <v>14</v>
      </c>
      <c r="E3680" s="4" t="s">
        <v>3280</v>
      </c>
      <c r="F3680" s="4" t="n">
        <v>2</v>
      </c>
      <c r="G3680" s="4" t="n">
        <v>11</v>
      </c>
      <c r="H3680" s="4" t="n">
        <v>4</v>
      </c>
      <c r="I3680" s="4" t="str">
        <v>×</v>
      </c>
      <c r="J3680" s="4"/>
      <c r="K3680" s="4"/>
      <c r="L3680" s="4"/>
      <c r="M3680" s="5" t="s">
        <v>2677</v>
      </c>
    </row>
    <row r="3681" customFormat="false" ht="15.75" hidden="false" customHeight="false" outlineLevel="0" collapsed="false">
      <c r="A3681" s="3" t="n">
        <v>46208</v>
      </c>
      <c r="B3681" s="4" t="s">
        <v>1237</v>
      </c>
      <c r="C3681" s="4" t="n">
        <v>6</v>
      </c>
      <c r="D3681" s="4" t="n">
        <v>15</v>
      </c>
      <c r="E3681" s="4" t="s">
        <v>3281</v>
      </c>
      <c r="F3681" s="4" t="n">
        <v>13</v>
      </c>
      <c r="G3681" s="4" t="n">
        <v>5</v>
      </c>
      <c r="H3681" s="4" t="n">
        <v>4</v>
      </c>
      <c r="I3681" s="4" t="str">
        <v>×</v>
      </c>
      <c r="J3681" s="4"/>
      <c r="K3681" s="4"/>
      <c r="L3681" s="4"/>
      <c r="M3681" s="5" t="s">
        <v>2677</v>
      </c>
    </row>
    <row r="3682" customFormat="false" ht="15.75" hidden="false" customHeight="false" outlineLevel="0" collapsed="false">
      <c r="A3682" s="3" t="n">
        <v>46208</v>
      </c>
      <c r="B3682" s="4" t="s">
        <v>1237</v>
      </c>
      <c r="C3682" s="4" t="n">
        <v>6</v>
      </c>
      <c r="D3682" s="4" t="n">
        <v>16</v>
      </c>
      <c r="E3682" s="4" t="s">
        <v>1756</v>
      </c>
      <c r="F3682" s="4" t="n">
        <v>62</v>
      </c>
      <c r="G3682" s="4" t="n">
        <v>1</v>
      </c>
      <c r="H3682" s="4" t="n">
        <v>2</v>
      </c>
      <c r="I3682" s="4" t="str">
        <v>○</v>
      </c>
      <c r="J3682" s="4" t="n">
        <v>140</v>
      </c>
      <c r="K3682" s="4"/>
      <c r="L3682" s="4"/>
      <c r="M3682" s="5" t="s">
        <v>2677</v>
      </c>
    </row>
    <row r="3683" customFormat="false" ht="15.75" hidden="false" customHeight="false" outlineLevel="0" collapsed="false">
      <c r="A3683" s="3" t="n">
        <v>46208</v>
      </c>
      <c r="B3683" s="4" t="s">
        <v>1237</v>
      </c>
      <c r="C3683" s="4" t="n">
        <v>7</v>
      </c>
      <c r="D3683" s="4" t="n">
        <v>1</v>
      </c>
      <c r="E3683" s="4" t="s">
        <v>3282</v>
      </c>
      <c r="F3683" s="4" t="n">
        <v>3</v>
      </c>
      <c r="G3683" s="4" t="n">
        <v>6</v>
      </c>
      <c r="H3683" s="4" t="n">
        <v>4</v>
      </c>
      <c r="I3683" s="4" t="str">
        <v>×</v>
      </c>
      <c r="J3683" s="4"/>
      <c r="K3683" s="4"/>
      <c r="L3683" s="4"/>
      <c r="M3683" s="5" t="s">
        <v>2677</v>
      </c>
    </row>
    <row r="3684" customFormat="false" ht="15.75" hidden="false" customHeight="false" outlineLevel="0" collapsed="false">
      <c r="A3684" s="3" t="n">
        <v>46208</v>
      </c>
      <c r="B3684" s="4" t="s">
        <v>1237</v>
      </c>
      <c r="C3684" s="4" t="n">
        <v>7</v>
      </c>
      <c r="D3684" s="4" t="n">
        <v>2</v>
      </c>
      <c r="E3684" s="4" t="s">
        <v>3283</v>
      </c>
      <c r="F3684" s="4" t="n">
        <v>37</v>
      </c>
      <c r="G3684" s="4" t="n">
        <v>3</v>
      </c>
      <c r="H3684" s="4" t="n">
        <v>3</v>
      </c>
      <c r="I3684" s="4" t="str">
        <v>○</v>
      </c>
      <c r="J3684" s="4" t="n">
        <v>150</v>
      </c>
      <c r="K3684" s="4"/>
      <c r="L3684" s="4"/>
      <c r="M3684" s="5" t="s">
        <v>2677</v>
      </c>
    </row>
    <row r="3685" customFormat="false" ht="15.75" hidden="false" customHeight="false" outlineLevel="0" collapsed="false">
      <c r="A3685" s="3" t="n">
        <v>46208</v>
      </c>
      <c r="B3685" s="4" t="s">
        <v>1237</v>
      </c>
      <c r="C3685" s="4" t="n">
        <v>7</v>
      </c>
      <c r="D3685" s="4" t="n">
        <v>3</v>
      </c>
      <c r="E3685" s="4" t="s">
        <v>3284</v>
      </c>
      <c r="F3685" s="4" t="n">
        <v>60</v>
      </c>
      <c r="G3685" s="4" t="n">
        <v>1</v>
      </c>
      <c r="H3685" s="4" t="n">
        <v>4</v>
      </c>
      <c r="I3685" s="4" t="str">
        <v>×</v>
      </c>
      <c r="J3685" s="4"/>
      <c r="K3685" s="4"/>
      <c r="L3685" s="4"/>
      <c r="M3685" s="5" t="s">
        <v>2677</v>
      </c>
    </row>
    <row r="3686" customFormat="false" ht="15.75" hidden="false" customHeight="false" outlineLevel="0" collapsed="false">
      <c r="A3686" s="3" t="n">
        <v>46208</v>
      </c>
      <c r="B3686" s="4" t="s">
        <v>1237</v>
      </c>
      <c r="C3686" s="4" t="n">
        <v>7</v>
      </c>
      <c r="D3686" s="4" t="n">
        <v>4</v>
      </c>
      <c r="E3686" s="4" t="s">
        <v>3285</v>
      </c>
      <c r="F3686" s="4" t="n">
        <v>34</v>
      </c>
      <c r="G3686" s="4" t="n">
        <v>4</v>
      </c>
      <c r="H3686" s="4" t="n">
        <v>4</v>
      </c>
      <c r="I3686" s="4" t="str">
        <v>×</v>
      </c>
      <c r="J3686" s="4"/>
      <c r="K3686" s="4"/>
      <c r="L3686" s="4"/>
      <c r="M3686" s="5" t="s">
        <v>2677</v>
      </c>
    </row>
    <row r="3687" customFormat="false" ht="15.75" hidden="false" customHeight="false" outlineLevel="0" collapsed="false">
      <c r="A3687" s="3" t="n">
        <v>46208</v>
      </c>
      <c r="B3687" s="4" t="s">
        <v>1237</v>
      </c>
      <c r="C3687" s="4" t="n">
        <v>7</v>
      </c>
      <c r="D3687" s="4" t="n">
        <v>5</v>
      </c>
      <c r="E3687" s="4" t="s">
        <v>878</v>
      </c>
      <c r="F3687" s="4" t="n">
        <v>3</v>
      </c>
      <c r="G3687" s="4" t="n">
        <v>6</v>
      </c>
      <c r="H3687" s="4" t="n">
        <v>4</v>
      </c>
      <c r="I3687" s="4" t="str">
        <v>×</v>
      </c>
      <c r="J3687" s="4"/>
      <c r="K3687" s="4"/>
      <c r="L3687" s="4"/>
      <c r="M3687" s="5" t="s">
        <v>2677</v>
      </c>
    </row>
    <row r="3688" customFormat="false" ht="15.75" hidden="false" customHeight="false" outlineLevel="0" collapsed="false">
      <c r="A3688" s="3" t="n">
        <v>46208</v>
      </c>
      <c r="B3688" s="4" t="s">
        <v>1237</v>
      </c>
      <c r="C3688" s="4" t="n">
        <v>7</v>
      </c>
      <c r="D3688" s="4" t="n">
        <v>6</v>
      </c>
      <c r="E3688" s="4" t="s">
        <v>3286</v>
      </c>
      <c r="F3688" s="4" t="n">
        <v>4</v>
      </c>
      <c r="G3688" s="4" t="n">
        <v>5</v>
      </c>
      <c r="H3688" s="4" t="n">
        <v>4</v>
      </c>
      <c r="I3688" s="4" t="str">
        <v>×</v>
      </c>
      <c r="J3688" s="4"/>
      <c r="K3688" s="4"/>
      <c r="L3688" s="4"/>
      <c r="M3688" s="5" t="s">
        <v>2677</v>
      </c>
    </row>
    <row r="3689" customFormat="false" ht="15.75" hidden="false" customHeight="false" outlineLevel="0" collapsed="false">
      <c r="A3689" s="3" t="n">
        <v>46208</v>
      </c>
      <c r="B3689" s="4" t="s">
        <v>1237</v>
      </c>
      <c r="C3689" s="4" t="n">
        <v>7</v>
      </c>
      <c r="D3689" s="4" t="n">
        <v>7</v>
      </c>
      <c r="E3689" s="4" t="s">
        <v>3287</v>
      </c>
      <c r="F3689" s="4" t="n">
        <v>37</v>
      </c>
      <c r="G3689" s="4" t="n">
        <v>3</v>
      </c>
      <c r="H3689" s="4" t="n">
        <v>1</v>
      </c>
      <c r="I3689" s="4" t="str">
        <v>○</v>
      </c>
      <c r="J3689" s="4" t="n">
        <v>150</v>
      </c>
      <c r="K3689" s="4"/>
      <c r="L3689" s="4"/>
      <c r="M3689" s="5" t="s">
        <v>2677</v>
      </c>
    </row>
    <row r="3690" customFormat="false" ht="15.75" hidden="false" customHeight="false" outlineLevel="0" collapsed="false">
      <c r="A3690" s="3" t="n">
        <v>46208</v>
      </c>
      <c r="B3690" s="4" t="s">
        <v>1237</v>
      </c>
      <c r="C3690" s="4" t="n">
        <v>7</v>
      </c>
      <c r="D3690" s="4" t="n">
        <v>8</v>
      </c>
      <c r="E3690" s="4" t="s">
        <v>1812</v>
      </c>
      <c r="F3690" s="4" t="n">
        <v>47</v>
      </c>
      <c r="G3690" s="4" t="n">
        <v>2</v>
      </c>
      <c r="H3690" s="4" t="n">
        <v>2</v>
      </c>
      <c r="I3690" s="4" t="str">
        <v>○</v>
      </c>
      <c r="J3690" s="4" t="n">
        <v>150</v>
      </c>
      <c r="K3690" s="4"/>
      <c r="L3690" s="4"/>
      <c r="M3690" s="5" t="s">
        <v>2677</v>
      </c>
    </row>
    <row r="3691" customFormat="false" ht="15.75" hidden="false" customHeight="false" outlineLevel="0" collapsed="false">
      <c r="A3691" s="3" t="n">
        <v>46208</v>
      </c>
      <c r="B3691" s="4" t="s">
        <v>1237</v>
      </c>
      <c r="C3691" s="4" t="n">
        <v>7</v>
      </c>
      <c r="D3691" s="4" t="n">
        <v>9</v>
      </c>
      <c r="E3691" s="4" t="s">
        <v>3288</v>
      </c>
      <c r="F3691" s="4" t="n">
        <v>3</v>
      </c>
      <c r="G3691" s="4" t="n">
        <v>6</v>
      </c>
      <c r="H3691" s="4" t="n">
        <v>4</v>
      </c>
      <c r="I3691" s="4" t="str">
        <v>×</v>
      </c>
      <c r="J3691" s="4"/>
      <c r="K3691" s="4"/>
      <c r="L3691" s="4"/>
      <c r="M3691" s="5" t="s">
        <v>2677</v>
      </c>
    </row>
    <row r="3692" customFormat="false" ht="15.75" hidden="false" customHeight="false" outlineLevel="0" collapsed="false">
      <c r="A3692" s="3" t="n">
        <v>46208</v>
      </c>
      <c r="B3692" s="4" t="s">
        <v>1237</v>
      </c>
      <c r="C3692" s="4" t="n">
        <v>8</v>
      </c>
      <c r="D3692" s="4" t="n">
        <v>1</v>
      </c>
      <c r="E3692" s="4" t="s">
        <v>419</v>
      </c>
      <c r="F3692" s="4" t="n">
        <v>58</v>
      </c>
      <c r="G3692" s="4" t="n">
        <v>3</v>
      </c>
      <c r="H3692" s="4" t="n">
        <v>3</v>
      </c>
      <c r="I3692" s="4" t="str">
        <v>○</v>
      </c>
      <c r="J3692" s="4" t="n">
        <v>170</v>
      </c>
      <c r="K3692" s="4"/>
      <c r="L3692" s="4"/>
      <c r="M3692" s="5" t="s">
        <v>2677</v>
      </c>
    </row>
    <row r="3693" customFormat="false" ht="15.75" hidden="false" customHeight="false" outlineLevel="0" collapsed="false">
      <c r="A3693" s="3" t="n">
        <v>46208</v>
      </c>
      <c r="B3693" s="4" t="s">
        <v>1237</v>
      </c>
      <c r="C3693" s="4" t="n">
        <v>8</v>
      </c>
      <c r="D3693" s="4" t="n">
        <v>2</v>
      </c>
      <c r="E3693" s="4" t="s">
        <v>3289</v>
      </c>
      <c r="F3693" s="4" t="n">
        <v>65</v>
      </c>
      <c r="G3693" s="4" t="n">
        <v>1</v>
      </c>
      <c r="H3693" s="4" t="n">
        <v>2</v>
      </c>
      <c r="I3693" s="4" t="str">
        <v>○</v>
      </c>
      <c r="J3693" s="4" t="n">
        <v>140</v>
      </c>
      <c r="K3693" s="4"/>
      <c r="L3693" s="4"/>
      <c r="M3693" s="5" t="s">
        <v>2677</v>
      </c>
    </row>
    <row r="3694" customFormat="false" ht="15.75" hidden="false" customHeight="false" outlineLevel="0" collapsed="false">
      <c r="A3694" s="3" t="n">
        <v>46208</v>
      </c>
      <c r="B3694" s="4" t="s">
        <v>1237</v>
      </c>
      <c r="C3694" s="4" t="n">
        <v>8</v>
      </c>
      <c r="D3694" s="4" t="n">
        <v>3</v>
      </c>
      <c r="E3694" s="4" t="s">
        <v>1805</v>
      </c>
      <c r="F3694" s="4" t="n">
        <v>15</v>
      </c>
      <c r="G3694" s="4" t="n">
        <v>7</v>
      </c>
      <c r="H3694" s="4" t="n">
        <v>4</v>
      </c>
      <c r="I3694" s="4" t="str">
        <v>×</v>
      </c>
      <c r="J3694" s="4"/>
      <c r="K3694" s="4"/>
      <c r="L3694" s="4"/>
      <c r="M3694" s="5" t="s">
        <v>2677</v>
      </c>
    </row>
    <row r="3695" customFormat="false" ht="15.75" hidden="false" customHeight="false" outlineLevel="0" collapsed="false">
      <c r="A3695" s="3" t="n">
        <v>46208</v>
      </c>
      <c r="B3695" s="4" t="s">
        <v>1237</v>
      </c>
      <c r="C3695" s="4" t="n">
        <v>8</v>
      </c>
      <c r="D3695" s="4" t="n">
        <v>4</v>
      </c>
      <c r="E3695" s="4" t="s">
        <v>3290</v>
      </c>
      <c r="F3695" s="4" t="n">
        <v>34</v>
      </c>
      <c r="G3695" s="4" t="n">
        <v>4</v>
      </c>
      <c r="H3695" s="4" t="n">
        <v>1</v>
      </c>
      <c r="I3695" s="4" t="str">
        <v>○</v>
      </c>
      <c r="J3695" s="4" t="n">
        <v>110</v>
      </c>
      <c r="K3695" s="4"/>
      <c r="L3695" s="4"/>
      <c r="M3695" s="5" t="s">
        <v>2677</v>
      </c>
    </row>
    <row r="3696" customFormat="false" ht="15.75" hidden="false" customHeight="false" outlineLevel="0" collapsed="false">
      <c r="A3696" s="3" t="n">
        <v>46208</v>
      </c>
      <c r="B3696" s="4" t="s">
        <v>1237</v>
      </c>
      <c r="C3696" s="4" t="n">
        <v>8</v>
      </c>
      <c r="D3696" s="4" t="n">
        <v>5</v>
      </c>
      <c r="E3696" s="4" t="s">
        <v>2235</v>
      </c>
      <c r="F3696" s="4" t="n">
        <v>17</v>
      </c>
      <c r="G3696" s="4" t="n">
        <v>6</v>
      </c>
      <c r="H3696" s="4" t="n">
        <v>4</v>
      </c>
      <c r="I3696" s="4" t="str">
        <v>×</v>
      </c>
      <c r="J3696" s="4"/>
      <c r="K3696" s="4"/>
      <c r="L3696" s="4"/>
      <c r="M3696" s="5" t="s">
        <v>2677</v>
      </c>
    </row>
    <row r="3697" customFormat="false" ht="15.75" hidden="false" customHeight="false" outlineLevel="0" collapsed="false">
      <c r="A3697" s="3" t="n">
        <v>46208</v>
      </c>
      <c r="B3697" s="4" t="s">
        <v>1237</v>
      </c>
      <c r="C3697" s="4" t="n">
        <v>8</v>
      </c>
      <c r="D3697" s="4" t="n">
        <v>6</v>
      </c>
      <c r="E3697" s="4" t="s">
        <v>1802</v>
      </c>
      <c r="F3697" s="4" t="n">
        <v>23</v>
      </c>
      <c r="G3697" s="4" t="n">
        <v>5</v>
      </c>
      <c r="H3697" s="4" t="n">
        <v>4</v>
      </c>
      <c r="I3697" s="4" t="str">
        <v>×</v>
      </c>
      <c r="J3697" s="4"/>
      <c r="K3697" s="4"/>
      <c r="L3697" s="4"/>
      <c r="M3697" s="5" t="s">
        <v>2677</v>
      </c>
    </row>
    <row r="3698" customFormat="false" ht="15.75" hidden="false" customHeight="false" outlineLevel="0" collapsed="false">
      <c r="A3698" s="3" t="n">
        <v>46208</v>
      </c>
      <c r="B3698" s="4" t="s">
        <v>1237</v>
      </c>
      <c r="C3698" s="4" t="n">
        <v>8</v>
      </c>
      <c r="D3698" s="4" t="n">
        <v>7</v>
      </c>
      <c r="E3698" s="4" t="s">
        <v>866</v>
      </c>
      <c r="F3698" s="4" t="n">
        <v>8</v>
      </c>
      <c r="G3698" s="4" t="n">
        <v>8</v>
      </c>
      <c r="H3698" s="4" t="n">
        <v>4</v>
      </c>
      <c r="I3698" s="4" t="str">
        <v>×</v>
      </c>
      <c r="J3698" s="4"/>
      <c r="K3698" s="4"/>
      <c r="L3698" s="4"/>
      <c r="M3698" s="5" t="s">
        <v>2677</v>
      </c>
    </row>
    <row r="3699" customFormat="false" ht="15.75" hidden="false" customHeight="false" outlineLevel="0" collapsed="false">
      <c r="A3699" s="3" t="n">
        <v>46208</v>
      </c>
      <c r="B3699" s="4" t="s">
        <v>1237</v>
      </c>
      <c r="C3699" s="4" t="n">
        <v>8</v>
      </c>
      <c r="D3699" s="4" t="n">
        <v>8</v>
      </c>
      <c r="E3699" s="4" t="s">
        <v>3291</v>
      </c>
      <c r="F3699" s="4" t="n">
        <v>60</v>
      </c>
      <c r="G3699" s="4" t="n">
        <v>2</v>
      </c>
      <c r="H3699" s="4" t="n">
        <v>4</v>
      </c>
      <c r="I3699" s="4" t="str">
        <v>×</v>
      </c>
      <c r="J3699" s="4"/>
      <c r="K3699" s="4"/>
      <c r="L3699" s="4"/>
      <c r="M3699" s="5" t="s">
        <v>2677</v>
      </c>
    </row>
    <row r="3700" customFormat="false" ht="15.75" hidden="false" customHeight="false" outlineLevel="0" collapsed="false">
      <c r="A3700" s="3" t="n">
        <v>46208</v>
      </c>
      <c r="B3700" s="4" t="s">
        <v>1237</v>
      </c>
      <c r="C3700" s="4" t="n">
        <v>9</v>
      </c>
      <c r="D3700" s="4" t="n">
        <v>1</v>
      </c>
      <c r="E3700" s="4" t="s">
        <v>3292</v>
      </c>
      <c r="F3700" s="4" t="n">
        <v>3</v>
      </c>
      <c r="G3700" s="4" t="n">
        <v>11</v>
      </c>
      <c r="H3700" s="4" t="n">
        <v>4</v>
      </c>
      <c r="I3700" s="4" t="str">
        <v>×</v>
      </c>
      <c r="J3700" s="4"/>
      <c r="K3700" s="4"/>
      <c r="L3700" s="4"/>
      <c r="M3700" s="5" t="s">
        <v>2677</v>
      </c>
    </row>
    <row r="3701" customFormat="false" ht="15.75" hidden="false" customHeight="false" outlineLevel="0" collapsed="false">
      <c r="A3701" s="3" t="n">
        <v>46208</v>
      </c>
      <c r="B3701" s="4" t="s">
        <v>1237</v>
      </c>
      <c r="C3701" s="4" t="n">
        <v>9</v>
      </c>
      <c r="D3701" s="4" t="n">
        <v>2</v>
      </c>
      <c r="E3701" s="4" t="s">
        <v>3293</v>
      </c>
      <c r="F3701" s="4" t="n">
        <v>39</v>
      </c>
      <c r="G3701" s="4" t="n">
        <v>2</v>
      </c>
      <c r="H3701" s="4" t="n">
        <v>4</v>
      </c>
      <c r="I3701" s="4" t="str">
        <v>×</v>
      </c>
      <c r="J3701" s="4"/>
      <c r="K3701" s="4"/>
      <c r="L3701" s="4"/>
      <c r="M3701" s="5" t="s">
        <v>2677</v>
      </c>
    </row>
    <row r="3702" customFormat="false" ht="15.75" hidden="false" customHeight="false" outlineLevel="0" collapsed="false">
      <c r="A3702" s="3" t="n">
        <v>46208</v>
      </c>
      <c r="B3702" s="4" t="s">
        <v>1237</v>
      </c>
      <c r="C3702" s="4" t="n">
        <v>9</v>
      </c>
      <c r="D3702" s="4" t="n">
        <v>3</v>
      </c>
      <c r="E3702" s="4" t="s">
        <v>1356</v>
      </c>
      <c r="F3702" s="4" t="n">
        <v>20</v>
      </c>
      <c r="G3702" s="4" t="n">
        <v>7</v>
      </c>
      <c r="H3702" s="4" t="n">
        <v>2</v>
      </c>
      <c r="I3702" s="4" t="str">
        <v>○</v>
      </c>
      <c r="J3702" s="4" t="n">
        <v>780</v>
      </c>
      <c r="K3702" s="4"/>
      <c r="L3702" s="4"/>
      <c r="M3702" s="5" t="s">
        <v>2677</v>
      </c>
    </row>
    <row r="3703" customFormat="false" ht="15.75" hidden="false" customHeight="false" outlineLevel="0" collapsed="false">
      <c r="A3703" s="3" t="n">
        <v>46208</v>
      </c>
      <c r="B3703" s="4" t="s">
        <v>1237</v>
      </c>
      <c r="C3703" s="4" t="n">
        <v>9</v>
      </c>
      <c r="D3703" s="4" t="n">
        <v>4</v>
      </c>
      <c r="E3703" s="4" t="s">
        <v>3294</v>
      </c>
      <c r="F3703" s="4" t="n">
        <v>2</v>
      </c>
      <c r="G3703" s="4" t="n">
        <v>12</v>
      </c>
      <c r="H3703" s="4" t="n">
        <v>4</v>
      </c>
      <c r="I3703" s="4" t="str">
        <v>×</v>
      </c>
      <c r="J3703" s="4"/>
      <c r="K3703" s="4"/>
      <c r="L3703" s="4"/>
      <c r="M3703" s="5" t="s">
        <v>2677</v>
      </c>
    </row>
    <row r="3704" customFormat="false" ht="15.75" hidden="false" customHeight="false" outlineLevel="0" collapsed="false">
      <c r="A3704" s="3" t="n">
        <v>46208</v>
      </c>
      <c r="B3704" s="4" t="s">
        <v>1237</v>
      </c>
      <c r="C3704" s="4" t="n">
        <v>9</v>
      </c>
      <c r="D3704" s="4" t="n">
        <v>5</v>
      </c>
      <c r="E3704" s="4" t="s">
        <v>3295</v>
      </c>
      <c r="F3704" s="4" t="n">
        <v>2</v>
      </c>
      <c r="G3704" s="4" t="n">
        <v>12</v>
      </c>
      <c r="H3704" s="4" t="n">
        <v>4</v>
      </c>
      <c r="I3704" s="4" t="str">
        <v>×</v>
      </c>
      <c r="J3704" s="4"/>
      <c r="K3704" s="4"/>
      <c r="L3704" s="4"/>
      <c r="M3704" s="5" t="s">
        <v>2677</v>
      </c>
    </row>
    <row r="3705" customFormat="false" ht="15.75" hidden="false" customHeight="false" outlineLevel="0" collapsed="false">
      <c r="A3705" s="3" t="n">
        <v>46208</v>
      </c>
      <c r="B3705" s="4" t="s">
        <v>1237</v>
      </c>
      <c r="C3705" s="4" t="n">
        <v>9</v>
      </c>
      <c r="D3705" s="4" t="n">
        <v>6</v>
      </c>
      <c r="E3705" s="4" t="s">
        <v>1352</v>
      </c>
      <c r="F3705" s="4" t="n">
        <v>60</v>
      </c>
      <c r="G3705" s="4" t="n">
        <v>1</v>
      </c>
      <c r="H3705" s="4" t="n">
        <v>3</v>
      </c>
      <c r="I3705" s="4" t="str">
        <v>○</v>
      </c>
      <c r="J3705" s="4" t="n">
        <v>170</v>
      </c>
      <c r="K3705" s="4"/>
      <c r="L3705" s="4"/>
      <c r="M3705" s="5" t="s">
        <v>2677</v>
      </c>
    </row>
    <row r="3706" customFormat="false" ht="15.75" hidden="false" customHeight="false" outlineLevel="0" collapsed="false">
      <c r="A3706" s="3" t="n">
        <v>46208</v>
      </c>
      <c r="B3706" s="4" t="s">
        <v>1237</v>
      </c>
      <c r="C3706" s="4" t="n">
        <v>9</v>
      </c>
      <c r="D3706" s="4" t="n">
        <v>7</v>
      </c>
      <c r="E3706" s="4" t="s">
        <v>3296</v>
      </c>
      <c r="F3706" s="4" t="n">
        <v>29</v>
      </c>
      <c r="G3706" s="4" t="n">
        <v>5</v>
      </c>
      <c r="H3706" s="4" t="n">
        <v>4</v>
      </c>
      <c r="I3706" s="4" t="str">
        <v>×</v>
      </c>
      <c r="J3706" s="4"/>
      <c r="K3706" s="4"/>
      <c r="L3706" s="4"/>
      <c r="M3706" s="5" t="s">
        <v>2677</v>
      </c>
    </row>
    <row r="3707" customFormat="false" ht="15.75" hidden="false" customHeight="false" outlineLevel="0" collapsed="false">
      <c r="A3707" s="3" t="n">
        <v>46208</v>
      </c>
      <c r="B3707" s="4" t="s">
        <v>1237</v>
      </c>
      <c r="C3707" s="4" t="n">
        <v>9</v>
      </c>
      <c r="D3707" s="4" t="n">
        <v>8</v>
      </c>
      <c r="E3707" s="4" t="s">
        <v>2256</v>
      </c>
      <c r="F3707" s="4" t="n">
        <v>10</v>
      </c>
      <c r="G3707" s="4" t="n">
        <v>9</v>
      </c>
      <c r="H3707" s="4" t="n">
        <v>4</v>
      </c>
      <c r="I3707" s="4" t="str">
        <v>×</v>
      </c>
      <c r="J3707" s="4"/>
      <c r="K3707" s="4"/>
      <c r="L3707" s="4"/>
      <c r="M3707" s="5" t="s">
        <v>2677</v>
      </c>
    </row>
    <row r="3708" customFormat="false" ht="15.75" hidden="false" customHeight="false" outlineLevel="0" collapsed="false">
      <c r="A3708" s="3" t="n">
        <v>46208</v>
      </c>
      <c r="B3708" s="4" t="s">
        <v>1237</v>
      </c>
      <c r="C3708" s="4" t="n">
        <v>9</v>
      </c>
      <c r="D3708" s="4" t="n">
        <v>9</v>
      </c>
      <c r="E3708" s="4" t="s">
        <v>3297</v>
      </c>
      <c r="F3708" s="4" t="n">
        <v>15</v>
      </c>
      <c r="G3708" s="4" t="n">
        <v>8</v>
      </c>
      <c r="H3708" s="4" t="n">
        <v>4</v>
      </c>
      <c r="I3708" s="4" t="str">
        <v>×</v>
      </c>
      <c r="J3708" s="4"/>
      <c r="K3708" s="4"/>
      <c r="L3708" s="4"/>
      <c r="M3708" s="5" t="s">
        <v>2677</v>
      </c>
    </row>
    <row r="3709" customFormat="false" ht="15.75" hidden="false" customHeight="false" outlineLevel="0" collapsed="false">
      <c r="A3709" s="3" t="n">
        <v>46208</v>
      </c>
      <c r="B3709" s="4" t="s">
        <v>1237</v>
      </c>
      <c r="C3709" s="4" t="n">
        <v>9</v>
      </c>
      <c r="D3709" s="4" t="n">
        <v>10</v>
      </c>
      <c r="E3709" s="4" t="s">
        <v>3298</v>
      </c>
      <c r="F3709" s="4" t="n">
        <v>34</v>
      </c>
      <c r="G3709" s="4" t="n">
        <v>4</v>
      </c>
      <c r="H3709" s="4" t="n">
        <v>4</v>
      </c>
      <c r="I3709" s="4" t="str">
        <v>×</v>
      </c>
      <c r="J3709" s="4"/>
      <c r="K3709" s="4"/>
      <c r="L3709" s="4"/>
      <c r="M3709" s="5" t="s">
        <v>2677</v>
      </c>
    </row>
    <row r="3710" customFormat="false" ht="15.75" hidden="false" customHeight="false" outlineLevel="0" collapsed="false">
      <c r="A3710" s="3" t="n">
        <v>46208</v>
      </c>
      <c r="B3710" s="4" t="s">
        <v>1237</v>
      </c>
      <c r="C3710" s="4" t="n">
        <v>9</v>
      </c>
      <c r="D3710" s="4" t="n">
        <v>11</v>
      </c>
      <c r="E3710" s="4" t="s">
        <v>3299</v>
      </c>
      <c r="F3710" s="4" t="n">
        <v>15</v>
      </c>
      <c r="G3710" s="4" t="n">
        <v>8</v>
      </c>
      <c r="H3710" s="4" t="n">
        <v>4</v>
      </c>
      <c r="I3710" s="4" t="str">
        <v>×</v>
      </c>
      <c r="J3710" s="4"/>
      <c r="K3710" s="4"/>
      <c r="L3710" s="4"/>
      <c r="M3710" s="5" t="s">
        <v>2677</v>
      </c>
    </row>
    <row r="3711" customFormat="false" ht="15.75" hidden="false" customHeight="false" outlineLevel="0" collapsed="false">
      <c r="A3711" s="3" t="n">
        <v>46208</v>
      </c>
      <c r="B3711" s="4" t="s">
        <v>1237</v>
      </c>
      <c r="C3711" s="4" t="n">
        <v>9</v>
      </c>
      <c r="D3711" s="4" t="n">
        <v>12</v>
      </c>
      <c r="E3711" s="4" t="s">
        <v>3300</v>
      </c>
      <c r="F3711" s="4" t="n">
        <v>4</v>
      </c>
      <c r="G3711" s="4" t="n">
        <v>10</v>
      </c>
      <c r="H3711" s="4" t="n">
        <v>4</v>
      </c>
      <c r="I3711" s="4" t="str">
        <v>×</v>
      </c>
      <c r="J3711" s="4"/>
      <c r="K3711" s="4"/>
      <c r="L3711" s="4"/>
      <c r="M3711" s="5" t="s">
        <v>2677</v>
      </c>
    </row>
    <row r="3712" customFormat="false" ht="15.75" hidden="false" customHeight="false" outlineLevel="0" collapsed="false">
      <c r="A3712" s="3" t="n">
        <v>46208</v>
      </c>
      <c r="B3712" s="4" t="s">
        <v>1237</v>
      </c>
      <c r="C3712" s="4" t="n">
        <v>9</v>
      </c>
      <c r="D3712" s="4" t="n">
        <v>13</v>
      </c>
      <c r="E3712" s="4" t="s">
        <v>888</v>
      </c>
      <c r="F3712" s="4" t="n">
        <v>34</v>
      </c>
      <c r="G3712" s="4" t="n">
        <v>4</v>
      </c>
      <c r="H3712" s="4" t="n">
        <v>4</v>
      </c>
      <c r="I3712" s="4" t="str">
        <v>×</v>
      </c>
      <c r="J3712" s="4"/>
      <c r="K3712" s="4"/>
      <c r="L3712" s="4"/>
      <c r="M3712" s="5" t="s">
        <v>2677</v>
      </c>
    </row>
    <row r="3713" customFormat="false" ht="15.75" hidden="false" customHeight="false" outlineLevel="0" collapsed="false">
      <c r="A3713" s="3" t="n">
        <v>46208</v>
      </c>
      <c r="B3713" s="4" t="s">
        <v>1237</v>
      </c>
      <c r="C3713" s="4" t="n">
        <v>9</v>
      </c>
      <c r="D3713" s="4" t="n">
        <v>14</v>
      </c>
      <c r="E3713" s="4" t="s">
        <v>3301</v>
      </c>
      <c r="F3713" s="4" t="n">
        <v>23</v>
      </c>
      <c r="G3713" s="4" t="n">
        <v>6</v>
      </c>
      <c r="H3713" s="4" t="n">
        <v>4</v>
      </c>
      <c r="I3713" s="4" t="str">
        <v>×</v>
      </c>
      <c r="J3713" s="4"/>
      <c r="K3713" s="4"/>
      <c r="L3713" s="4"/>
      <c r="M3713" s="5" t="s">
        <v>2677</v>
      </c>
    </row>
    <row r="3714" customFormat="false" ht="15.75" hidden="false" customHeight="false" outlineLevel="0" collapsed="false">
      <c r="A3714" s="3" t="n">
        <v>46208</v>
      </c>
      <c r="B3714" s="4" t="s">
        <v>1237</v>
      </c>
      <c r="C3714" s="4" t="n">
        <v>9</v>
      </c>
      <c r="D3714" s="4" t="n">
        <v>15</v>
      </c>
      <c r="E3714" s="4" t="s">
        <v>3302</v>
      </c>
      <c r="F3714" s="4" t="n">
        <v>10</v>
      </c>
      <c r="G3714" s="4" t="n">
        <v>9</v>
      </c>
      <c r="H3714" s="4" t="n">
        <v>4</v>
      </c>
      <c r="I3714" s="4" t="str">
        <v>×</v>
      </c>
      <c r="J3714" s="4"/>
      <c r="K3714" s="4"/>
      <c r="L3714" s="4"/>
      <c r="M3714" s="5" t="s">
        <v>2677</v>
      </c>
    </row>
    <row r="3715" customFormat="false" ht="15.75" hidden="false" customHeight="false" outlineLevel="0" collapsed="false">
      <c r="A3715" s="3" t="n">
        <v>46208</v>
      </c>
      <c r="B3715" s="4" t="s">
        <v>1237</v>
      </c>
      <c r="C3715" s="4" t="n">
        <v>9</v>
      </c>
      <c r="D3715" s="4" t="n">
        <v>16</v>
      </c>
      <c r="E3715" s="4" t="s">
        <v>3303</v>
      </c>
      <c r="F3715" s="4" t="n">
        <v>37</v>
      </c>
      <c r="G3715" s="4" t="n">
        <v>3</v>
      </c>
      <c r="H3715" s="4" t="n">
        <v>1</v>
      </c>
      <c r="I3715" s="4" t="str">
        <v>○</v>
      </c>
      <c r="J3715" s="4" t="n">
        <v>240</v>
      </c>
      <c r="K3715" s="4"/>
      <c r="L3715" s="4"/>
      <c r="M3715" s="5" t="s">
        <v>2677</v>
      </c>
    </row>
    <row r="3716" customFormat="false" ht="15.75" hidden="false" customHeight="false" outlineLevel="0" collapsed="false">
      <c r="A3716" s="3" t="n">
        <v>46208</v>
      </c>
      <c r="B3716" s="4" t="s">
        <v>1237</v>
      </c>
      <c r="C3716" s="4" t="n">
        <v>10</v>
      </c>
      <c r="D3716" s="4" t="n">
        <v>1</v>
      </c>
      <c r="E3716" s="4" t="s">
        <v>3304</v>
      </c>
      <c r="F3716" s="4" t="n">
        <v>47</v>
      </c>
      <c r="G3716" s="4" t="n">
        <v>1</v>
      </c>
      <c r="H3716" s="4" t="n">
        <v>1</v>
      </c>
      <c r="I3716" s="4" t="str">
        <v>○</v>
      </c>
      <c r="J3716" s="4" t="n">
        <v>110</v>
      </c>
      <c r="K3716" s="4"/>
      <c r="L3716" s="4"/>
      <c r="M3716" s="5" t="s">
        <v>2677</v>
      </c>
    </row>
    <row r="3717" customFormat="false" ht="15.75" hidden="false" customHeight="false" outlineLevel="0" collapsed="false">
      <c r="A3717" s="3" t="n">
        <v>46208</v>
      </c>
      <c r="B3717" s="4" t="s">
        <v>1237</v>
      </c>
      <c r="C3717" s="4" t="n">
        <v>10</v>
      </c>
      <c r="D3717" s="4" t="n">
        <v>2</v>
      </c>
      <c r="E3717" s="4" t="s">
        <v>3305</v>
      </c>
      <c r="F3717" s="4" t="n">
        <v>6</v>
      </c>
      <c r="G3717" s="4" t="n">
        <v>8</v>
      </c>
      <c r="H3717" s="4" t="n">
        <v>4</v>
      </c>
      <c r="I3717" s="4" t="str">
        <v>×</v>
      </c>
      <c r="J3717" s="4"/>
      <c r="K3717" s="4"/>
      <c r="L3717" s="4"/>
      <c r="M3717" s="5" t="s">
        <v>2677</v>
      </c>
    </row>
    <row r="3718" customFormat="false" ht="15.75" hidden="false" customHeight="false" outlineLevel="0" collapsed="false">
      <c r="A3718" s="3" t="n">
        <v>46208</v>
      </c>
      <c r="B3718" s="4" t="s">
        <v>1237</v>
      </c>
      <c r="C3718" s="4" t="n">
        <v>10</v>
      </c>
      <c r="D3718" s="4" t="n">
        <v>3</v>
      </c>
      <c r="E3718" s="4" t="s">
        <v>3306</v>
      </c>
      <c r="F3718" s="4" t="n">
        <v>23</v>
      </c>
      <c r="G3718" s="4" t="n">
        <v>5</v>
      </c>
      <c r="H3718" s="4" t="n">
        <v>4</v>
      </c>
      <c r="I3718" s="4" t="str">
        <v>×</v>
      </c>
      <c r="J3718" s="4"/>
      <c r="K3718" s="4"/>
      <c r="L3718" s="4"/>
      <c r="M3718" s="5" t="s">
        <v>2677</v>
      </c>
    </row>
    <row r="3719" customFormat="false" ht="15.75" hidden="false" customHeight="false" outlineLevel="0" collapsed="false">
      <c r="A3719" s="3" t="n">
        <v>46208</v>
      </c>
      <c r="B3719" s="4" t="s">
        <v>1237</v>
      </c>
      <c r="C3719" s="4" t="n">
        <v>10</v>
      </c>
      <c r="D3719" s="4" t="n">
        <v>4</v>
      </c>
      <c r="E3719" s="4" t="s">
        <v>3307</v>
      </c>
      <c r="F3719" s="4" t="n">
        <v>29</v>
      </c>
      <c r="G3719" s="4" t="n">
        <v>4</v>
      </c>
      <c r="H3719" s="4" t="n">
        <v>4</v>
      </c>
      <c r="I3719" s="4" t="str">
        <v>×</v>
      </c>
      <c r="J3719" s="4"/>
      <c r="K3719" s="4"/>
      <c r="L3719" s="4"/>
      <c r="M3719" s="5" t="s">
        <v>2677</v>
      </c>
    </row>
    <row r="3720" customFormat="false" ht="15.75" hidden="false" customHeight="false" outlineLevel="0" collapsed="false">
      <c r="A3720" s="3" t="n">
        <v>46208</v>
      </c>
      <c r="B3720" s="4" t="s">
        <v>1237</v>
      </c>
      <c r="C3720" s="4" t="n">
        <v>10</v>
      </c>
      <c r="D3720" s="4" t="n">
        <v>5</v>
      </c>
      <c r="E3720" s="4" t="s">
        <v>433</v>
      </c>
      <c r="F3720" s="4" t="n">
        <v>17</v>
      </c>
      <c r="G3720" s="4" t="n">
        <v>6</v>
      </c>
      <c r="H3720" s="4" t="n">
        <v>4</v>
      </c>
      <c r="I3720" s="4" t="str">
        <v>×</v>
      </c>
      <c r="J3720" s="4"/>
      <c r="K3720" s="4"/>
      <c r="L3720" s="4"/>
      <c r="M3720" s="5" t="s">
        <v>2677</v>
      </c>
    </row>
    <row r="3721" customFormat="false" ht="15.75" hidden="false" customHeight="false" outlineLevel="0" collapsed="false">
      <c r="A3721" s="3" t="n">
        <v>46208</v>
      </c>
      <c r="B3721" s="4" t="s">
        <v>1237</v>
      </c>
      <c r="C3721" s="4" t="n">
        <v>10</v>
      </c>
      <c r="D3721" s="4" t="n">
        <v>6</v>
      </c>
      <c r="E3721" s="4" t="s">
        <v>438</v>
      </c>
      <c r="F3721" s="4" t="n">
        <v>29</v>
      </c>
      <c r="G3721" s="4" t="n">
        <v>4</v>
      </c>
      <c r="H3721" s="4" t="n">
        <v>4</v>
      </c>
      <c r="I3721" s="4" t="str">
        <v>×</v>
      </c>
      <c r="J3721" s="4"/>
      <c r="K3721" s="4"/>
      <c r="L3721" s="4"/>
      <c r="M3721" s="5" t="s">
        <v>2677</v>
      </c>
    </row>
    <row r="3722" customFormat="false" ht="15.75" hidden="false" customHeight="false" outlineLevel="0" collapsed="false">
      <c r="A3722" s="3" t="n">
        <v>46208</v>
      </c>
      <c r="B3722" s="4" t="s">
        <v>1237</v>
      </c>
      <c r="C3722" s="4" t="n">
        <v>10</v>
      </c>
      <c r="D3722" s="4" t="n">
        <v>7</v>
      </c>
      <c r="E3722" s="4" t="s">
        <v>437</v>
      </c>
      <c r="F3722" s="4" t="n">
        <v>39</v>
      </c>
      <c r="G3722" s="4" t="n">
        <v>3</v>
      </c>
      <c r="H3722" s="4" t="n">
        <v>2</v>
      </c>
      <c r="I3722" s="4" t="str">
        <v>○</v>
      </c>
      <c r="J3722" s="4" t="n">
        <v>170</v>
      </c>
      <c r="K3722" s="4"/>
      <c r="L3722" s="4"/>
      <c r="M3722" s="5" t="s">
        <v>2677</v>
      </c>
    </row>
    <row r="3723" customFormat="false" ht="15.75" hidden="false" customHeight="false" outlineLevel="0" collapsed="false">
      <c r="A3723" s="3" t="n">
        <v>46208</v>
      </c>
      <c r="B3723" s="4" t="s">
        <v>1237</v>
      </c>
      <c r="C3723" s="4" t="n">
        <v>10</v>
      </c>
      <c r="D3723" s="4" t="n">
        <v>8</v>
      </c>
      <c r="E3723" s="4" t="s">
        <v>3308</v>
      </c>
      <c r="F3723" s="4" t="n">
        <v>44</v>
      </c>
      <c r="G3723" s="4" t="n">
        <v>2</v>
      </c>
      <c r="H3723" s="4" t="n">
        <v>4</v>
      </c>
      <c r="I3723" s="4" t="str">
        <v>×</v>
      </c>
      <c r="J3723" s="4"/>
      <c r="K3723" s="4"/>
      <c r="L3723" s="4"/>
      <c r="M3723" s="5" t="s">
        <v>2677</v>
      </c>
    </row>
    <row r="3724" customFormat="false" ht="15.75" hidden="false" customHeight="false" outlineLevel="0" collapsed="false">
      <c r="A3724" s="3" t="n">
        <v>46208</v>
      </c>
      <c r="B3724" s="4" t="s">
        <v>1237</v>
      </c>
      <c r="C3724" s="4" t="n">
        <v>10</v>
      </c>
      <c r="D3724" s="4" t="n">
        <v>9</v>
      </c>
      <c r="E3724" s="4" t="s">
        <v>3309</v>
      </c>
      <c r="F3724" s="4" t="n">
        <v>6</v>
      </c>
      <c r="G3724" s="4" t="n">
        <v>8</v>
      </c>
      <c r="H3724" s="4" t="n">
        <v>4</v>
      </c>
      <c r="I3724" s="4" t="str">
        <v>×</v>
      </c>
      <c r="J3724" s="4"/>
      <c r="K3724" s="4"/>
      <c r="L3724" s="4"/>
      <c r="M3724" s="5" t="s">
        <v>2677</v>
      </c>
    </row>
    <row r="3725" customFormat="false" ht="15.75" hidden="false" customHeight="false" outlineLevel="0" collapsed="false">
      <c r="A3725" s="3" t="n">
        <v>46208</v>
      </c>
      <c r="B3725" s="4" t="s">
        <v>1237</v>
      </c>
      <c r="C3725" s="4" t="n">
        <v>10</v>
      </c>
      <c r="D3725" s="4" t="n">
        <v>10</v>
      </c>
      <c r="E3725" s="4" t="s">
        <v>434</v>
      </c>
      <c r="F3725" s="4" t="n">
        <v>8</v>
      </c>
      <c r="G3725" s="4" t="n">
        <v>7</v>
      </c>
      <c r="H3725" s="4" t="n">
        <v>4</v>
      </c>
      <c r="I3725" s="4" t="str">
        <v>×</v>
      </c>
      <c r="J3725" s="4"/>
      <c r="K3725" s="4"/>
      <c r="L3725" s="4"/>
      <c r="M3725" s="5" t="s">
        <v>2677</v>
      </c>
    </row>
    <row r="3726" customFormat="false" ht="15.75" hidden="false" customHeight="false" outlineLevel="0" collapsed="false">
      <c r="A3726" s="3" t="n">
        <v>46208</v>
      </c>
      <c r="B3726" s="4" t="s">
        <v>1237</v>
      </c>
      <c r="C3726" s="4" t="n">
        <v>10</v>
      </c>
      <c r="D3726" s="4" t="n">
        <v>11</v>
      </c>
      <c r="E3726" s="4" t="s">
        <v>440</v>
      </c>
      <c r="F3726" s="4" t="n">
        <v>39</v>
      </c>
      <c r="G3726" s="4" t="n">
        <v>3</v>
      </c>
      <c r="H3726" s="4" t="n">
        <v>3</v>
      </c>
      <c r="I3726" s="4" t="str">
        <v>○</v>
      </c>
      <c r="J3726" s="4" t="n">
        <v>230</v>
      </c>
      <c r="K3726" s="4"/>
      <c r="L3726" s="4"/>
      <c r="M3726" s="5" t="s">
        <v>2677</v>
      </c>
    </row>
    <row r="3727" customFormat="false" ht="15.75" hidden="false" customHeight="false" outlineLevel="0" collapsed="false">
      <c r="A3727" s="3" t="n">
        <v>46208</v>
      </c>
      <c r="B3727" s="4" t="s">
        <v>1237</v>
      </c>
      <c r="C3727" s="4" t="n">
        <v>11</v>
      </c>
      <c r="D3727" s="4" t="n">
        <v>1</v>
      </c>
      <c r="E3727" s="4" t="s">
        <v>1361</v>
      </c>
      <c r="F3727" s="4" t="n">
        <v>15</v>
      </c>
      <c r="G3727" s="4" t="n">
        <v>6</v>
      </c>
      <c r="H3727" s="4" t="n">
        <v>4</v>
      </c>
      <c r="I3727" s="4" t="str">
        <v>×</v>
      </c>
      <c r="J3727" s="4"/>
      <c r="K3727" s="4"/>
      <c r="L3727" s="4"/>
      <c r="M3727" s="5" t="s">
        <v>2677</v>
      </c>
    </row>
    <row r="3728" customFormat="false" ht="15.75" hidden="false" customHeight="false" outlineLevel="0" collapsed="false">
      <c r="A3728" s="3" t="n">
        <v>46208</v>
      </c>
      <c r="B3728" s="4" t="s">
        <v>1237</v>
      </c>
      <c r="C3728" s="4" t="n">
        <v>11</v>
      </c>
      <c r="D3728" s="4" t="n">
        <v>2</v>
      </c>
      <c r="E3728" s="4" t="s">
        <v>1365</v>
      </c>
      <c r="F3728" s="4" t="n">
        <v>56</v>
      </c>
      <c r="G3728" s="4" t="n">
        <v>1</v>
      </c>
      <c r="H3728" s="4" t="n">
        <v>4</v>
      </c>
      <c r="I3728" s="4" t="str">
        <v>×</v>
      </c>
      <c r="J3728" s="4"/>
      <c r="K3728" s="4"/>
      <c r="L3728" s="4"/>
      <c r="M3728" s="5" t="s">
        <v>2677</v>
      </c>
    </row>
    <row r="3729" customFormat="false" ht="15.75" hidden="false" customHeight="false" outlineLevel="0" collapsed="false">
      <c r="A3729" s="3" t="n">
        <v>46208</v>
      </c>
      <c r="B3729" s="4" t="s">
        <v>1237</v>
      </c>
      <c r="C3729" s="4" t="n">
        <v>11</v>
      </c>
      <c r="D3729" s="4" t="n">
        <v>3</v>
      </c>
      <c r="E3729" s="4" t="s">
        <v>1364</v>
      </c>
      <c r="F3729" s="4" t="n">
        <v>13</v>
      </c>
      <c r="G3729" s="4" t="n">
        <v>7</v>
      </c>
      <c r="H3729" s="4" t="n">
        <v>4</v>
      </c>
      <c r="I3729" s="4" t="str">
        <v>×</v>
      </c>
      <c r="J3729" s="4"/>
      <c r="K3729" s="4"/>
      <c r="L3729" s="4"/>
      <c r="M3729" s="5" t="s">
        <v>2677</v>
      </c>
    </row>
    <row r="3730" customFormat="false" ht="15.75" hidden="false" customHeight="false" outlineLevel="0" collapsed="false">
      <c r="A3730" s="3" t="n">
        <v>46208</v>
      </c>
      <c r="B3730" s="4" t="s">
        <v>1237</v>
      </c>
      <c r="C3730" s="4" t="n">
        <v>11</v>
      </c>
      <c r="D3730" s="4" t="n">
        <v>4</v>
      </c>
      <c r="E3730" s="4" t="s">
        <v>3310</v>
      </c>
      <c r="F3730" s="4" t="n">
        <v>47</v>
      </c>
      <c r="G3730" s="4" t="n">
        <v>2</v>
      </c>
      <c r="H3730" s="4" t="n">
        <v>4</v>
      </c>
      <c r="I3730" s="4" t="str">
        <v>×</v>
      </c>
      <c r="J3730" s="4"/>
      <c r="K3730" s="4"/>
      <c r="L3730" s="4"/>
      <c r="M3730" s="5" t="s">
        <v>2677</v>
      </c>
    </row>
    <row r="3731" customFormat="false" ht="15.75" hidden="false" customHeight="false" outlineLevel="0" collapsed="false">
      <c r="A3731" s="3" t="n">
        <v>46208</v>
      </c>
      <c r="B3731" s="4" t="s">
        <v>1237</v>
      </c>
      <c r="C3731" s="4" t="n">
        <v>11</v>
      </c>
      <c r="D3731" s="4" t="n">
        <v>5</v>
      </c>
      <c r="E3731" s="4" t="s">
        <v>1362</v>
      </c>
      <c r="F3731" s="4" t="n">
        <v>13</v>
      </c>
      <c r="G3731" s="4" t="n">
        <v>7</v>
      </c>
      <c r="H3731" s="4" t="n">
        <v>4</v>
      </c>
      <c r="I3731" s="4" t="str">
        <v>×</v>
      </c>
      <c r="J3731" s="4"/>
      <c r="K3731" s="4"/>
      <c r="L3731" s="4"/>
      <c r="M3731" s="5" t="s">
        <v>2677</v>
      </c>
    </row>
    <row r="3732" customFormat="false" ht="15.75" hidden="false" customHeight="false" outlineLevel="0" collapsed="false">
      <c r="A3732" s="3" t="n">
        <v>46208</v>
      </c>
      <c r="B3732" s="4" t="s">
        <v>1237</v>
      </c>
      <c r="C3732" s="4" t="n">
        <v>11</v>
      </c>
      <c r="D3732" s="4" t="n">
        <v>6</v>
      </c>
      <c r="E3732" s="4" t="s">
        <v>1370</v>
      </c>
      <c r="F3732" s="4" t="n">
        <v>41</v>
      </c>
      <c r="G3732" s="4" t="n">
        <v>3</v>
      </c>
      <c r="H3732" s="4" t="n">
        <v>2</v>
      </c>
      <c r="I3732" s="4" t="str">
        <v>○</v>
      </c>
      <c r="J3732" s="4" t="n">
        <v>340</v>
      </c>
      <c r="K3732" s="4"/>
      <c r="L3732" s="4"/>
      <c r="M3732" s="5" t="s">
        <v>2677</v>
      </c>
    </row>
    <row r="3733" customFormat="false" ht="15.75" hidden="false" customHeight="false" outlineLevel="0" collapsed="false">
      <c r="A3733" s="3" t="n">
        <v>46208</v>
      </c>
      <c r="B3733" s="4" t="s">
        <v>1237</v>
      </c>
      <c r="C3733" s="4" t="n">
        <v>11</v>
      </c>
      <c r="D3733" s="4" t="n">
        <v>7</v>
      </c>
      <c r="E3733" s="4" t="s">
        <v>1369</v>
      </c>
      <c r="F3733" s="4" t="n">
        <v>3</v>
      </c>
      <c r="G3733" s="4" t="n">
        <v>9</v>
      </c>
      <c r="H3733" s="4" t="n">
        <v>3</v>
      </c>
      <c r="I3733" s="4" t="str">
        <v>○</v>
      </c>
      <c r="J3733" s="4" t="n">
        <v>230</v>
      </c>
      <c r="K3733" s="4"/>
      <c r="L3733" s="4"/>
      <c r="M3733" s="5" t="s">
        <v>2677</v>
      </c>
    </row>
    <row r="3734" customFormat="false" ht="15.75" hidden="false" customHeight="false" outlineLevel="0" collapsed="false">
      <c r="A3734" s="3" t="n">
        <v>46208</v>
      </c>
      <c r="B3734" s="4" t="s">
        <v>1237</v>
      </c>
      <c r="C3734" s="4" t="n">
        <v>11</v>
      </c>
      <c r="D3734" s="4" t="n">
        <v>8</v>
      </c>
      <c r="E3734" s="4" t="s">
        <v>1367</v>
      </c>
      <c r="F3734" s="4" t="n">
        <v>10</v>
      </c>
      <c r="G3734" s="4" t="n">
        <v>8</v>
      </c>
      <c r="H3734" s="4" t="n">
        <v>4</v>
      </c>
      <c r="I3734" s="4" t="str">
        <v>×</v>
      </c>
      <c r="J3734" s="4"/>
      <c r="K3734" s="4"/>
      <c r="L3734" s="4"/>
      <c r="M3734" s="5" t="s">
        <v>2677</v>
      </c>
    </row>
    <row r="3735" customFormat="false" ht="15.75" hidden="false" customHeight="false" outlineLevel="0" collapsed="false">
      <c r="A3735" s="3" t="n">
        <v>46208</v>
      </c>
      <c r="B3735" s="4" t="s">
        <v>1237</v>
      </c>
      <c r="C3735" s="4" t="n">
        <v>11</v>
      </c>
      <c r="D3735" s="4" t="n">
        <v>9</v>
      </c>
      <c r="E3735" s="4" t="s">
        <v>3311</v>
      </c>
      <c r="F3735" s="4" t="n">
        <v>47</v>
      </c>
      <c r="G3735" s="4" t="n">
        <v>2</v>
      </c>
      <c r="H3735" s="4" t="n">
        <v>4</v>
      </c>
      <c r="I3735" s="4" t="str">
        <v>×</v>
      </c>
      <c r="J3735" s="4"/>
      <c r="K3735" s="4"/>
      <c r="L3735" s="4"/>
      <c r="M3735" s="5" t="s">
        <v>2677</v>
      </c>
    </row>
    <row r="3736" customFormat="false" ht="15.75" hidden="false" customHeight="false" outlineLevel="0" collapsed="false">
      <c r="A3736" s="3" t="n">
        <v>46208</v>
      </c>
      <c r="B3736" s="4" t="s">
        <v>1237</v>
      </c>
      <c r="C3736" s="4" t="n">
        <v>11</v>
      </c>
      <c r="D3736" s="4" t="n">
        <v>10</v>
      </c>
      <c r="E3736" s="4" t="s">
        <v>1360</v>
      </c>
      <c r="F3736" s="4" t="n">
        <v>37</v>
      </c>
      <c r="G3736" s="4" t="n">
        <v>4</v>
      </c>
      <c r="H3736" s="4" t="n">
        <v>4</v>
      </c>
      <c r="I3736" s="4" t="str">
        <v>×</v>
      </c>
      <c r="J3736" s="4"/>
      <c r="K3736" s="4"/>
      <c r="L3736" s="4"/>
      <c r="M3736" s="5" t="s">
        <v>2677</v>
      </c>
    </row>
    <row r="3737" customFormat="false" ht="15.75" hidden="false" customHeight="false" outlineLevel="0" collapsed="false">
      <c r="A3737" s="3" t="n">
        <v>46208</v>
      </c>
      <c r="B3737" s="4" t="s">
        <v>1237</v>
      </c>
      <c r="C3737" s="4" t="n">
        <v>11</v>
      </c>
      <c r="D3737" s="4" t="n">
        <v>11</v>
      </c>
      <c r="E3737" s="4" t="s">
        <v>3312</v>
      </c>
      <c r="F3737" s="4" t="n">
        <v>20</v>
      </c>
      <c r="G3737" s="4" t="n">
        <v>5</v>
      </c>
      <c r="H3737" s="4" t="n">
        <v>1</v>
      </c>
      <c r="I3737" s="4" t="str">
        <v>○</v>
      </c>
      <c r="J3737" s="4" t="n">
        <v>210</v>
      </c>
      <c r="K3737" s="4"/>
      <c r="L3737" s="4"/>
      <c r="M3737" s="5" t="s">
        <v>2677</v>
      </c>
    </row>
    <row r="3738" customFormat="false" ht="15.75" hidden="false" customHeight="false" outlineLevel="0" collapsed="false">
      <c r="A3738" s="3" t="n">
        <v>46208</v>
      </c>
      <c r="B3738" s="4" t="s">
        <v>1237</v>
      </c>
      <c r="C3738" s="4" t="n">
        <v>12</v>
      </c>
      <c r="D3738" s="4" t="n">
        <v>1</v>
      </c>
      <c r="E3738" s="4" t="s">
        <v>1867</v>
      </c>
      <c r="F3738" s="4" t="n">
        <v>17</v>
      </c>
      <c r="G3738" s="4" t="n">
        <v>6</v>
      </c>
      <c r="H3738" s="4" t="n">
        <v>4</v>
      </c>
      <c r="I3738" s="4" t="str">
        <v>×</v>
      </c>
      <c r="J3738" s="4"/>
      <c r="K3738" s="4"/>
      <c r="L3738" s="4"/>
      <c r="M3738" s="5" t="s">
        <v>2677</v>
      </c>
    </row>
    <row r="3739" customFormat="false" ht="15.75" hidden="false" customHeight="false" outlineLevel="0" collapsed="false">
      <c r="A3739" s="3" t="n">
        <v>46208</v>
      </c>
      <c r="B3739" s="4" t="s">
        <v>1237</v>
      </c>
      <c r="C3739" s="4" t="n">
        <v>12</v>
      </c>
      <c r="D3739" s="4" t="n">
        <v>2</v>
      </c>
      <c r="E3739" s="4" t="s">
        <v>1865</v>
      </c>
      <c r="F3739" s="4" t="n">
        <v>13</v>
      </c>
      <c r="G3739" s="4" t="n">
        <v>7</v>
      </c>
      <c r="H3739" s="4" t="n">
        <v>4</v>
      </c>
      <c r="I3739" s="4" t="str">
        <v>×</v>
      </c>
      <c r="J3739" s="4"/>
      <c r="K3739" s="4"/>
      <c r="L3739" s="4"/>
      <c r="M3739" s="5" t="s">
        <v>2677</v>
      </c>
    </row>
    <row r="3740" customFormat="false" ht="15.75" hidden="false" customHeight="false" outlineLevel="0" collapsed="false">
      <c r="A3740" s="3" t="n">
        <v>46208</v>
      </c>
      <c r="B3740" s="4" t="s">
        <v>1237</v>
      </c>
      <c r="C3740" s="4" t="n">
        <v>12</v>
      </c>
      <c r="D3740" s="4" t="n">
        <v>3</v>
      </c>
      <c r="E3740" s="4" t="s">
        <v>3313</v>
      </c>
      <c r="F3740" s="4" t="n">
        <v>4</v>
      </c>
      <c r="G3740" s="4" t="n">
        <v>9</v>
      </c>
      <c r="H3740" s="4" t="n">
        <v>4</v>
      </c>
      <c r="I3740" s="4" t="str">
        <v>×</v>
      </c>
      <c r="J3740" s="4"/>
      <c r="K3740" s="4"/>
      <c r="L3740" s="4"/>
      <c r="M3740" s="5" t="s">
        <v>2677</v>
      </c>
    </row>
    <row r="3741" customFormat="false" ht="15.75" hidden="false" customHeight="false" outlineLevel="0" collapsed="false">
      <c r="A3741" s="3" t="n">
        <v>46208</v>
      </c>
      <c r="B3741" s="4" t="s">
        <v>1237</v>
      </c>
      <c r="C3741" s="4" t="n">
        <v>12</v>
      </c>
      <c r="D3741" s="4" t="n">
        <v>4</v>
      </c>
      <c r="E3741" s="4" t="s">
        <v>3314</v>
      </c>
      <c r="F3741" s="4" t="n">
        <v>60</v>
      </c>
      <c r="G3741" s="4" t="n">
        <v>1</v>
      </c>
      <c r="H3741" s="4" t="n">
        <v>1</v>
      </c>
      <c r="I3741" s="4" t="str">
        <v>○</v>
      </c>
      <c r="J3741" s="4" t="n">
        <v>110</v>
      </c>
      <c r="K3741" s="4"/>
      <c r="L3741" s="4"/>
      <c r="M3741" s="5" t="s">
        <v>2677</v>
      </c>
    </row>
    <row r="3742" customFormat="false" ht="15.75" hidden="false" customHeight="false" outlineLevel="0" collapsed="false">
      <c r="A3742" s="3" t="n">
        <v>46208</v>
      </c>
      <c r="B3742" s="4" t="s">
        <v>1237</v>
      </c>
      <c r="C3742" s="4" t="n">
        <v>12</v>
      </c>
      <c r="D3742" s="4" t="n">
        <v>5</v>
      </c>
      <c r="E3742" s="4" t="s">
        <v>1866</v>
      </c>
      <c r="F3742" s="4" t="n">
        <v>13</v>
      </c>
      <c r="G3742" s="4" t="n">
        <v>7</v>
      </c>
      <c r="H3742" s="4" t="n">
        <v>4</v>
      </c>
      <c r="I3742" s="4" t="str">
        <v>×</v>
      </c>
      <c r="J3742" s="4"/>
      <c r="K3742" s="4"/>
      <c r="L3742" s="4"/>
      <c r="M3742" s="5" t="s">
        <v>2677</v>
      </c>
    </row>
    <row r="3743" customFormat="false" ht="15.75" hidden="false" customHeight="false" outlineLevel="0" collapsed="false">
      <c r="A3743" s="3" t="n">
        <v>46208</v>
      </c>
      <c r="B3743" s="4" t="s">
        <v>1237</v>
      </c>
      <c r="C3743" s="4" t="n">
        <v>12</v>
      </c>
      <c r="D3743" s="4" t="n">
        <v>6</v>
      </c>
      <c r="E3743" s="4" t="s">
        <v>3315</v>
      </c>
      <c r="F3743" s="4" t="n">
        <v>41</v>
      </c>
      <c r="G3743" s="4" t="n">
        <v>2</v>
      </c>
      <c r="H3743" s="4" t="n">
        <v>4</v>
      </c>
      <c r="I3743" s="4" t="str">
        <v>×</v>
      </c>
      <c r="J3743" s="4"/>
      <c r="K3743" s="4"/>
      <c r="L3743" s="4"/>
      <c r="M3743" s="5" t="s">
        <v>2677</v>
      </c>
    </row>
    <row r="3744" customFormat="false" ht="15.75" hidden="false" customHeight="false" outlineLevel="0" collapsed="false">
      <c r="A3744" s="3" t="n">
        <v>46208</v>
      </c>
      <c r="B3744" s="4" t="s">
        <v>1237</v>
      </c>
      <c r="C3744" s="4" t="n">
        <v>12</v>
      </c>
      <c r="D3744" s="4" t="n">
        <v>7</v>
      </c>
      <c r="E3744" s="4" t="s">
        <v>1374</v>
      </c>
      <c r="F3744" s="4" t="n">
        <v>39</v>
      </c>
      <c r="G3744" s="4" t="n">
        <v>3</v>
      </c>
      <c r="H3744" s="4" t="n">
        <v>2</v>
      </c>
      <c r="I3744" s="4" t="str">
        <v>○</v>
      </c>
      <c r="J3744" s="4" t="n">
        <v>190</v>
      </c>
      <c r="K3744" s="4"/>
      <c r="L3744" s="4"/>
      <c r="M3744" s="5" t="s">
        <v>2677</v>
      </c>
    </row>
    <row r="3745" customFormat="false" ht="15.75" hidden="false" customHeight="false" outlineLevel="0" collapsed="false">
      <c r="A3745" s="3" t="n">
        <v>46208</v>
      </c>
      <c r="B3745" s="4" t="s">
        <v>1237</v>
      </c>
      <c r="C3745" s="4" t="n">
        <v>12</v>
      </c>
      <c r="D3745" s="4" t="n">
        <v>8</v>
      </c>
      <c r="E3745" s="4" t="s">
        <v>1861</v>
      </c>
      <c r="F3745" s="4" t="n">
        <v>10</v>
      </c>
      <c r="G3745" s="4" t="n">
        <v>8</v>
      </c>
      <c r="H3745" s="4" t="n">
        <v>4</v>
      </c>
      <c r="I3745" s="4" t="str">
        <v>×</v>
      </c>
      <c r="J3745" s="4"/>
      <c r="K3745" s="4"/>
      <c r="L3745" s="4"/>
      <c r="M3745" s="5" t="s">
        <v>2677</v>
      </c>
    </row>
    <row r="3746" customFormat="false" ht="15.75" hidden="false" customHeight="false" outlineLevel="0" collapsed="false">
      <c r="A3746" s="3" t="n">
        <v>46208</v>
      </c>
      <c r="B3746" s="4" t="s">
        <v>1237</v>
      </c>
      <c r="C3746" s="4" t="n">
        <v>12</v>
      </c>
      <c r="D3746" s="4" t="n">
        <v>9</v>
      </c>
      <c r="E3746" s="4" t="s">
        <v>3316</v>
      </c>
      <c r="F3746" s="4" t="n">
        <v>25</v>
      </c>
      <c r="G3746" s="4" t="n">
        <v>5</v>
      </c>
      <c r="H3746" s="4" t="n">
        <v>4</v>
      </c>
      <c r="I3746" s="4" t="str">
        <v>×</v>
      </c>
      <c r="J3746" s="4"/>
      <c r="K3746" s="4"/>
      <c r="L3746" s="4"/>
      <c r="M3746" s="5" t="s">
        <v>2677</v>
      </c>
    </row>
    <row r="3747" customFormat="false" ht="15.75" hidden="false" customHeight="false" outlineLevel="0" collapsed="false">
      <c r="A3747" s="3" t="n">
        <v>46208</v>
      </c>
      <c r="B3747" s="4" t="s">
        <v>1237</v>
      </c>
      <c r="C3747" s="4" t="n">
        <v>12</v>
      </c>
      <c r="D3747" s="4" t="n">
        <v>10</v>
      </c>
      <c r="E3747" s="4" t="s">
        <v>1857</v>
      </c>
      <c r="F3747" s="4" t="n">
        <v>34</v>
      </c>
      <c r="G3747" s="4" t="n">
        <v>4</v>
      </c>
      <c r="H3747" s="4" t="n">
        <v>3</v>
      </c>
      <c r="I3747" s="4" t="str">
        <v>○</v>
      </c>
      <c r="J3747" s="4" t="n">
        <v>190</v>
      </c>
      <c r="K3747" s="4"/>
      <c r="L3747" s="4"/>
      <c r="M3747" s="5" t="s">
        <v>2677</v>
      </c>
    </row>
    <row r="3748" customFormat="false" ht="15.75" hidden="false" customHeight="false" outlineLevel="0" collapsed="false">
      <c r="A3748" s="3" t="n">
        <v>46201</v>
      </c>
      <c r="B3748" s="4" t="s">
        <v>915</v>
      </c>
      <c r="C3748" s="4" t="n">
        <v>1</v>
      </c>
      <c r="D3748" s="4" t="n">
        <v>1</v>
      </c>
      <c r="E3748" s="4" t="s">
        <v>3317</v>
      </c>
      <c r="F3748" s="4" t="n">
        <v>12</v>
      </c>
      <c r="G3748" s="4" t="n">
        <v>8</v>
      </c>
      <c r="H3748" s="4" t="n">
        <v>4</v>
      </c>
      <c r="I3748" s="4" t="str">
        <v>×</v>
      </c>
      <c r="J3748" s="4"/>
      <c r="K3748" s="4"/>
      <c r="L3748" s="4"/>
      <c r="M3748" s="5" t="s">
        <v>2677</v>
      </c>
    </row>
    <row r="3749" customFormat="false" ht="15.75" hidden="false" customHeight="false" outlineLevel="0" collapsed="false">
      <c r="A3749" s="3" t="n">
        <v>46201</v>
      </c>
      <c r="B3749" s="4" t="s">
        <v>915</v>
      </c>
      <c r="C3749" s="4" t="n">
        <v>1</v>
      </c>
      <c r="D3749" s="4" t="n">
        <v>2</v>
      </c>
      <c r="E3749" s="4" t="s">
        <v>1563</v>
      </c>
      <c r="F3749" s="4" t="n">
        <v>55</v>
      </c>
      <c r="G3749" s="4" t="n">
        <v>1</v>
      </c>
      <c r="H3749" s="4" t="n">
        <v>2</v>
      </c>
      <c r="I3749" s="4" t="str">
        <v>○</v>
      </c>
      <c r="J3749" s="4" t="n">
        <v>130</v>
      </c>
      <c r="K3749" s="4"/>
      <c r="L3749" s="4"/>
      <c r="M3749" s="5" t="s">
        <v>2677</v>
      </c>
    </row>
    <row r="3750" customFormat="false" ht="15.75" hidden="false" customHeight="false" outlineLevel="0" collapsed="false">
      <c r="A3750" s="3" t="n">
        <v>46201</v>
      </c>
      <c r="B3750" s="4" t="s">
        <v>915</v>
      </c>
      <c r="C3750" s="4" t="n">
        <v>1</v>
      </c>
      <c r="D3750" s="4" t="n">
        <v>3</v>
      </c>
      <c r="E3750" s="4" t="s">
        <v>3318</v>
      </c>
      <c r="F3750" s="4" t="n">
        <v>6</v>
      </c>
      <c r="G3750" s="4" t="n">
        <v>9</v>
      </c>
      <c r="H3750" s="4" t="n">
        <v>4</v>
      </c>
      <c r="I3750" s="4" t="str">
        <v>×</v>
      </c>
      <c r="J3750" s="4"/>
      <c r="K3750" s="4"/>
      <c r="L3750" s="4"/>
      <c r="M3750" s="5" t="s">
        <v>2677</v>
      </c>
    </row>
    <row r="3751" customFormat="false" ht="15.75" hidden="false" customHeight="false" outlineLevel="0" collapsed="false">
      <c r="A3751" s="3" t="n">
        <v>46201</v>
      </c>
      <c r="B3751" s="4" t="s">
        <v>915</v>
      </c>
      <c r="C3751" s="4" t="n">
        <v>1</v>
      </c>
      <c r="D3751" s="4" t="n">
        <v>4</v>
      </c>
      <c r="E3751" s="4" t="s">
        <v>3319</v>
      </c>
      <c r="F3751" s="4" t="n">
        <v>24</v>
      </c>
      <c r="G3751" s="4" t="n">
        <v>6</v>
      </c>
      <c r="H3751" s="4" t="n">
        <v>1</v>
      </c>
      <c r="I3751" s="4" t="str">
        <v>○</v>
      </c>
      <c r="J3751" s="4" t="n">
        <v>230</v>
      </c>
      <c r="K3751" s="4"/>
      <c r="L3751" s="4"/>
      <c r="M3751" s="5" t="s">
        <v>2677</v>
      </c>
    </row>
    <row r="3752" customFormat="false" ht="15.75" hidden="false" customHeight="false" outlineLevel="0" collapsed="false">
      <c r="A3752" s="3" t="n">
        <v>46201</v>
      </c>
      <c r="B3752" s="4" t="s">
        <v>915</v>
      </c>
      <c r="C3752" s="4" t="n">
        <v>1</v>
      </c>
      <c r="D3752" s="4" t="n">
        <v>5</v>
      </c>
      <c r="E3752" s="4" t="s">
        <v>1559</v>
      </c>
      <c r="F3752" s="4" t="n">
        <v>14</v>
      </c>
      <c r="G3752" s="4" t="n">
        <v>7</v>
      </c>
      <c r="H3752" s="4" t="n">
        <v>4</v>
      </c>
      <c r="I3752" s="4" t="str">
        <v>×</v>
      </c>
      <c r="J3752" s="4"/>
      <c r="K3752" s="4"/>
      <c r="L3752" s="4"/>
      <c r="M3752" s="5" t="s">
        <v>2677</v>
      </c>
    </row>
    <row r="3753" customFormat="false" ht="15.75" hidden="false" customHeight="false" outlineLevel="0" collapsed="false">
      <c r="A3753" s="3" t="n">
        <v>46201</v>
      </c>
      <c r="B3753" s="4" t="s">
        <v>915</v>
      </c>
      <c r="C3753" s="4" t="n">
        <v>1</v>
      </c>
      <c r="D3753" s="4" t="n">
        <v>6</v>
      </c>
      <c r="E3753" s="4" t="s">
        <v>579</v>
      </c>
      <c r="F3753" s="4" t="n">
        <v>44</v>
      </c>
      <c r="G3753" s="4" t="n">
        <v>2</v>
      </c>
      <c r="H3753" s="4" t="n">
        <v>4</v>
      </c>
      <c r="I3753" s="4" t="str">
        <v>×</v>
      </c>
      <c r="J3753" s="4"/>
      <c r="K3753" s="4"/>
      <c r="L3753" s="4"/>
      <c r="M3753" s="5" t="s">
        <v>2677</v>
      </c>
    </row>
    <row r="3754" customFormat="false" ht="15.75" hidden="false" customHeight="false" outlineLevel="0" collapsed="false">
      <c r="A3754" s="3" t="n">
        <v>46201</v>
      </c>
      <c r="B3754" s="4" t="s">
        <v>915</v>
      </c>
      <c r="C3754" s="4" t="n">
        <v>1</v>
      </c>
      <c r="D3754" s="4" t="n">
        <v>7</v>
      </c>
      <c r="E3754" s="4" t="s">
        <v>3320</v>
      </c>
      <c r="F3754" s="4" t="n">
        <v>37</v>
      </c>
      <c r="G3754" s="4" t="n">
        <v>3</v>
      </c>
      <c r="H3754" s="4" t="n">
        <v>4</v>
      </c>
      <c r="I3754" s="4" t="str">
        <v>×</v>
      </c>
      <c r="J3754" s="4"/>
      <c r="K3754" s="4"/>
      <c r="L3754" s="4"/>
      <c r="M3754" s="5" t="s">
        <v>2677</v>
      </c>
    </row>
    <row r="3755" customFormat="false" ht="15.75" hidden="false" customHeight="false" outlineLevel="0" collapsed="false">
      <c r="A3755" s="3" t="n">
        <v>46201</v>
      </c>
      <c r="B3755" s="4" t="s">
        <v>915</v>
      </c>
      <c r="C3755" s="4" t="n">
        <v>1</v>
      </c>
      <c r="D3755" s="4" t="n">
        <v>8</v>
      </c>
      <c r="E3755" s="4" t="s">
        <v>3321</v>
      </c>
      <c r="F3755" s="4" t="n">
        <v>6</v>
      </c>
      <c r="G3755" s="4" t="n">
        <v>9</v>
      </c>
      <c r="H3755" s="4"/>
      <c r="I3755" s="4" t="str">
        <v/>
      </c>
      <c r="J3755" s="4"/>
      <c r="K3755" s="4"/>
      <c r="L3755" s="4"/>
      <c r="M3755" s="5" t="s">
        <v>2677</v>
      </c>
    </row>
    <row r="3756" customFormat="false" ht="15.75" hidden="false" customHeight="false" outlineLevel="0" collapsed="false">
      <c r="A3756" s="3" t="n">
        <v>46201</v>
      </c>
      <c r="B3756" s="4" t="s">
        <v>915</v>
      </c>
      <c r="C3756" s="4" t="n">
        <v>1</v>
      </c>
      <c r="D3756" s="4" t="n">
        <v>9</v>
      </c>
      <c r="E3756" s="4" t="s">
        <v>2279</v>
      </c>
      <c r="F3756" s="4" t="n">
        <v>37</v>
      </c>
      <c r="G3756" s="4" t="n">
        <v>3</v>
      </c>
      <c r="H3756" s="4" t="n">
        <v>3</v>
      </c>
      <c r="I3756" s="4" t="str">
        <v>○</v>
      </c>
      <c r="J3756" s="4" t="n">
        <v>160</v>
      </c>
      <c r="K3756" s="4"/>
      <c r="L3756" s="4"/>
      <c r="M3756" s="5" t="s">
        <v>2677</v>
      </c>
    </row>
    <row r="3757" customFormat="false" ht="15.75" hidden="false" customHeight="false" outlineLevel="0" collapsed="false">
      <c r="A3757" s="3" t="n">
        <v>46201</v>
      </c>
      <c r="B3757" s="4" t="s">
        <v>915</v>
      </c>
      <c r="C3757" s="4" t="n">
        <v>1</v>
      </c>
      <c r="D3757" s="4" t="n">
        <v>10</v>
      </c>
      <c r="E3757" s="4" t="s">
        <v>3322</v>
      </c>
      <c r="F3757" s="4" t="n">
        <v>6</v>
      </c>
      <c r="G3757" s="4" t="n">
        <v>9</v>
      </c>
      <c r="H3757" s="4"/>
      <c r="I3757" s="4" t="str">
        <v/>
      </c>
      <c r="J3757" s="4"/>
      <c r="K3757" s="4"/>
      <c r="L3757" s="4"/>
      <c r="M3757" s="5" t="s">
        <v>2677</v>
      </c>
    </row>
    <row r="3758" customFormat="false" ht="15.75" hidden="false" customHeight="false" outlineLevel="0" collapsed="false">
      <c r="A3758" s="3" t="n">
        <v>46201</v>
      </c>
      <c r="B3758" s="4" t="s">
        <v>915</v>
      </c>
      <c r="C3758" s="4" t="n">
        <v>1</v>
      </c>
      <c r="D3758" s="4" t="n">
        <v>11</v>
      </c>
      <c r="E3758" s="4" t="s">
        <v>3323</v>
      </c>
      <c r="F3758" s="4" t="n">
        <v>6</v>
      </c>
      <c r="G3758" s="4" t="n">
        <v>9</v>
      </c>
      <c r="H3758" s="4" t="n">
        <v>4</v>
      </c>
      <c r="I3758" s="4" t="str">
        <v>×</v>
      </c>
      <c r="J3758" s="4"/>
      <c r="K3758" s="4"/>
      <c r="L3758" s="4"/>
      <c r="M3758" s="5" t="s">
        <v>2677</v>
      </c>
    </row>
    <row r="3759" customFormat="false" ht="15.75" hidden="false" customHeight="false" outlineLevel="0" collapsed="false">
      <c r="A3759" s="3" t="n">
        <v>46201</v>
      </c>
      <c r="B3759" s="4" t="s">
        <v>915</v>
      </c>
      <c r="C3759" s="4" t="n">
        <v>1</v>
      </c>
      <c r="D3759" s="4" t="n">
        <v>12</v>
      </c>
      <c r="E3759" s="4" t="s">
        <v>3324</v>
      </c>
      <c r="F3759" s="4" t="n">
        <v>6</v>
      </c>
      <c r="G3759" s="4" t="n">
        <v>9</v>
      </c>
      <c r="H3759" s="4" t="n">
        <v>4</v>
      </c>
      <c r="I3759" s="4" t="str">
        <v>×</v>
      </c>
      <c r="J3759" s="4"/>
      <c r="K3759" s="4"/>
      <c r="L3759" s="4"/>
      <c r="M3759" s="5" t="s">
        <v>2677</v>
      </c>
    </row>
    <row r="3760" customFormat="false" ht="15.75" hidden="false" customHeight="false" outlineLevel="0" collapsed="false">
      <c r="A3760" s="3" t="n">
        <v>46201</v>
      </c>
      <c r="B3760" s="4" t="s">
        <v>915</v>
      </c>
      <c r="C3760" s="4" t="n">
        <v>1</v>
      </c>
      <c r="D3760" s="4" t="n">
        <v>13</v>
      </c>
      <c r="E3760" s="4" t="s">
        <v>3325</v>
      </c>
      <c r="F3760" s="4" t="n">
        <v>6</v>
      </c>
      <c r="G3760" s="4" t="n">
        <v>9</v>
      </c>
      <c r="H3760" s="4" t="n">
        <v>4</v>
      </c>
      <c r="I3760" s="4" t="str">
        <v>×</v>
      </c>
      <c r="J3760" s="4"/>
      <c r="K3760" s="4"/>
      <c r="L3760" s="4"/>
      <c r="M3760" s="5" t="s">
        <v>2677</v>
      </c>
    </row>
    <row r="3761" customFormat="false" ht="15.75" hidden="false" customHeight="false" outlineLevel="0" collapsed="false">
      <c r="A3761" s="3" t="n">
        <v>46201</v>
      </c>
      <c r="B3761" s="4" t="s">
        <v>915</v>
      </c>
      <c r="C3761" s="4" t="n">
        <v>1</v>
      </c>
      <c r="D3761" s="4" t="n">
        <v>14</v>
      </c>
      <c r="E3761" s="4" t="s">
        <v>3326</v>
      </c>
      <c r="F3761" s="4" t="n">
        <v>37</v>
      </c>
      <c r="G3761" s="4" t="n">
        <v>3</v>
      </c>
      <c r="H3761" s="4" t="n">
        <v>4</v>
      </c>
      <c r="I3761" s="4" t="str">
        <v>×</v>
      </c>
      <c r="J3761" s="4"/>
      <c r="K3761" s="4"/>
      <c r="L3761" s="4"/>
      <c r="M3761" s="5" t="s">
        <v>2677</v>
      </c>
    </row>
    <row r="3762" customFormat="false" ht="15.75" hidden="false" customHeight="false" outlineLevel="0" collapsed="false">
      <c r="A3762" s="3" t="n">
        <v>46201</v>
      </c>
      <c r="B3762" s="4" t="s">
        <v>915</v>
      </c>
      <c r="C3762" s="4" t="n">
        <v>2</v>
      </c>
      <c r="D3762" s="4" t="n">
        <v>1</v>
      </c>
      <c r="E3762" s="4" t="s">
        <v>3327</v>
      </c>
      <c r="F3762" s="4" t="n">
        <v>13</v>
      </c>
      <c r="G3762" s="4" t="n">
        <v>7</v>
      </c>
      <c r="H3762" s="4" t="n">
        <v>4</v>
      </c>
      <c r="I3762" s="4" t="str">
        <v>×</v>
      </c>
      <c r="J3762" s="4"/>
      <c r="K3762" s="4"/>
      <c r="L3762" s="4"/>
      <c r="M3762" s="5" t="s">
        <v>2677</v>
      </c>
    </row>
    <row r="3763" customFormat="false" ht="15.75" hidden="false" customHeight="false" outlineLevel="0" collapsed="false">
      <c r="A3763" s="3" t="n">
        <v>46201</v>
      </c>
      <c r="B3763" s="4" t="s">
        <v>915</v>
      </c>
      <c r="C3763" s="4" t="n">
        <v>2</v>
      </c>
      <c r="D3763" s="4" t="n">
        <v>2</v>
      </c>
      <c r="E3763" s="4" t="s">
        <v>3328</v>
      </c>
      <c r="F3763" s="4" t="n">
        <v>10</v>
      </c>
      <c r="G3763" s="4" t="n">
        <v>9</v>
      </c>
      <c r="H3763" s="4" t="n">
        <v>4</v>
      </c>
      <c r="I3763" s="4" t="str">
        <v>×</v>
      </c>
      <c r="J3763" s="4"/>
      <c r="K3763" s="4"/>
      <c r="L3763" s="4"/>
      <c r="M3763" s="5" t="s">
        <v>2677</v>
      </c>
    </row>
    <row r="3764" customFormat="false" ht="15.75" hidden="false" customHeight="false" outlineLevel="0" collapsed="false">
      <c r="A3764" s="3" t="n">
        <v>46201</v>
      </c>
      <c r="B3764" s="4" t="s">
        <v>915</v>
      </c>
      <c r="C3764" s="4" t="n">
        <v>2</v>
      </c>
      <c r="D3764" s="4" t="n">
        <v>3</v>
      </c>
      <c r="E3764" s="4" t="s">
        <v>999</v>
      </c>
      <c r="F3764" s="4" t="n">
        <v>2</v>
      </c>
      <c r="G3764" s="4" t="n">
        <v>15</v>
      </c>
      <c r="H3764" s="4" t="n">
        <v>4</v>
      </c>
      <c r="I3764" s="4" t="str">
        <v>×</v>
      </c>
      <c r="J3764" s="4"/>
      <c r="K3764" s="4"/>
      <c r="L3764" s="4"/>
      <c r="M3764" s="5" t="s">
        <v>2677</v>
      </c>
    </row>
    <row r="3765" customFormat="false" ht="15.75" hidden="false" customHeight="false" outlineLevel="0" collapsed="false">
      <c r="A3765" s="3" t="n">
        <v>46201</v>
      </c>
      <c r="B3765" s="4" t="s">
        <v>915</v>
      </c>
      <c r="C3765" s="4" t="n">
        <v>2</v>
      </c>
      <c r="D3765" s="4" t="n">
        <v>4</v>
      </c>
      <c r="E3765" s="4" t="s">
        <v>3329</v>
      </c>
      <c r="F3765" s="4" t="n">
        <v>3</v>
      </c>
      <c r="G3765" s="4" t="n">
        <v>14</v>
      </c>
      <c r="H3765" s="4" t="n">
        <v>4</v>
      </c>
      <c r="I3765" s="4" t="str">
        <v>×</v>
      </c>
      <c r="J3765" s="4"/>
      <c r="K3765" s="4"/>
      <c r="L3765" s="4"/>
      <c r="M3765" s="5" t="s">
        <v>2677</v>
      </c>
    </row>
    <row r="3766" customFormat="false" ht="15.75" hidden="false" customHeight="false" outlineLevel="0" collapsed="false">
      <c r="A3766" s="3" t="n">
        <v>46201</v>
      </c>
      <c r="B3766" s="4" t="s">
        <v>915</v>
      </c>
      <c r="C3766" s="4" t="n">
        <v>2</v>
      </c>
      <c r="D3766" s="4" t="n">
        <v>5</v>
      </c>
      <c r="E3766" s="4" t="s">
        <v>1290</v>
      </c>
      <c r="F3766" s="4" t="n">
        <v>56</v>
      </c>
      <c r="G3766" s="4" t="n">
        <v>2</v>
      </c>
      <c r="H3766" s="4" t="n">
        <v>4</v>
      </c>
      <c r="I3766" s="4" t="str">
        <v>×</v>
      </c>
      <c r="J3766" s="4"/>
      <c r="K3766" s="4"/>
      <c r="L3766" s="4"/>
      <c r="M3766" s="5" t="s">
        <v>2677</v>
      </c>
    </row>
    <row r="3767" customFormat="false" ht="15.75" hidden="false" customHeight="false" outlineLevel="0" collapsed="false">
      <c r="A3767" s="3" t="n">
        <v>46201</v>
      </c>
      <c r="B3767" s="4" t="s">
        <v>915</v>
      </c>
      <c r="C3767" s="4" t="n">
        <v>2</v>
      </c>
      <c r="D3767" s="4" t="n">
        <v>6</v>
      </c>
      <c r="E3767" s="4" t="s">
        <v>3330</v>
      </c>
      <c r="F3767" s="4" t="n">
        <v>4</v>
      </c>
      <c r="G3767" s="4" t="n">
        <v>11</v>
      </c>
      <c r="H3767" s="4" t="n">
        <v>4</v>
      </c>
      <c r="I3767" s="4" t="str">
        <v>×</v>
      </c>
      <c r="J3767" s="4"/>
      <c r="K3767" s="4"/>
      <c r="L3767" s="4"/>
      <c r="M3767" s="5" t="s">
        <v>2677</v>
      </c>
    </row>
    <row r="3768" customFormat="false" ht="15.75" hidden="false" customHeight="false" outlineLevel="0" collapsed="false">
      <c r="A3768" s="3" t="n">
        <v>46201</v>
      </c>
      <c r="B3768" s="4" t="s">
        <v>915</v>
      </c>
      <c r="C3768" s="4" t="n">
        <v>2</v>
      </c>
      <c r="D3768" s="4" t="n">
        <v>7</v>
      </c>
      <c r="E3768" s="4" t="s">
        <v>1468</v>
      </c>
      <c r="F3768" s="4" t="n">
        <v>15</v>
      </c>
      <c r="G3768" s="4" t="n">
        <v>5</v>
      </c>
      <c r="H3768" s="4" t="n">
        <v>2</v>
      </c>
      <c r="I3768" s="4" t="str">
        <v>○</v>
      </c>
      <c r="J3768" s="4" t="n">
        <v>280</v>
      </c>
      <c r="K3768" s="4"/>
      <c r="L3768" s="4"/>
      <c r="M3768" s="5" t="s">
        <v>2677</v>
      </c>
    </row>
    <row r="3769" customFormat="false" ht="15.75" hidden="false" customHeight="false" outlineLevel="0" collapsed="false">
      <c r="A3769" s="3" t="n">
        <v>46201</v>
      </c>
      <c r="B3769" s="4" t="s">
        <v>915</v>
      </c>
      <c r="C3769" s="4" t="n">
        <v>2</v>
      </c>
      <c r="D3769" s="4" t="n">
        <v>8</v>
      </c>
      <c r="E3769" s="4" t="s">
        <v>1467</v>
      </c>
      <c r="F3769" s="4" t="n">
        <v>8</v>
      </c>
      <c r="G3769" s="4" t="n">
        <v>10</v>
      </c>
      <c r="H3769" s="4" t="n">
        <v>4</v>
      </c>
      <c r="I3769" s="4" t="str">
        <v>×</v>
      </c>
      <c r="J3769" s="4"/>
      <c r="K3769" s="4"/>
      <c r="L3769" s="4"/>
      <c r="M3769" s="5" t="s">
        <v>2677</v>
      </c>
    </row>
    <row r="3770" customFormat="false" ht="15.75" hidden="false" customHeight="false" outlineLevel="0" collapsed="false">
      <c r="A3770" s="3" t="n">
        <v>46201</v>
      </c>
      <c r="B3770" s="4" t="s">
        <v>915</v>
      </c>
      <c r="C3770" s="4" t="n">
        <v>2</v>
      </c>
      <c r="D3770" s="4" t="n">
        <v>9</v>
      </c>
      <c r="E3770" s="4" t="s">
        <v>594</v>
      </c>
      <c r="F3770" s="4" t="n">
        <v>13</v>
      </c>
      <c r="G3770" s="4" t="n">
        <v>7</v>
      </c>
      <c r="H3770" s="4" t="n">
        <v>4</v>
      </c>
      <c r="I3770" s="4" t="str">
        <v>×</v>
      </c>
      <c r="J3770" s="4"/>
      <c r="K3770" s="4"/>
      <c r="L3770" s="4"/>
      <c r="M3770" s="5" t="s">
        <v>2677</v>
      </c>
    </row>
    <row r="3771" customFormat="false" ht="15.75" hidden="false" customHeight="false" outlineLevel="0" collapsed="false">
      <c r="A3771" s="3" t="n">
        <v>46201</v>
      </c>
      <c r="B3771" s="4" t="s">
        <v>915</v>
      </c>
      <c r="C3771" s="4" t="n">
        <v>2</v>
      </c>
      <c r="D3771" s="4" t="n">
        <v>10</v>
      </c>
      <c r="E3771" s="4" t="s">
        <v>3331</v>
      </c>
      <c r="F3771" s="4" t="n">
        <v>4</v>
      </c>
      <c r="G3771" s="4" t="n">
        <v>11</v>
      </c>
      <c r="H3771" s="4"/>
      <c r="I3771" s="4" t="str">
        <v/>
      </c>
      <c r="J3771" s="4"/>
      <c r="K3771" s="4"/>
      <c r="L3771" s="4"/>
      <c r="M3771" s="5" t="s">
        <v>2677</v>
      </c>
    </row>
    <row r="3772" customFormat="false" ht="15.75" hidden="false" customHeight="false" outlineLevel="0" collapsed="false">
      <c r="A3772" s="3" t="n">
        <v>46201</v>
      </c>
      <c r="B3772" s="4" t="s">
        <v>915</v>
      </c>
      <c r="C3772" s="4" t="n">
        <v>2</v>
      </c>
      <c r="D3772" s="4" t="n">
        <v>11</v>
      </c>
      <c r="E3772" s="4" t="s">
        <v>2578</v>
      </c>
      <c r="F3772" s="4" t="n">
        <v>4</v>
      </c>
      <c r="G3772" s="4" t="n">
        <v>11</v>
      </c>
      <c r="H3772" s="4"/>
      <c r="I3772" s="4" t="str">
        <v/>
      </c>
      <c r="J3772" s="4"/>
      <c r="K3772" s="4"/>
      <c r="L3772" s="4"/>
      <c r="M3772" s="5" t="s">
        <v>2677</v>
      </c>
    </row>
    <row r="3773" customFormat="false" ht="15.75" hidden="false" customHeight="false" outlineLevel="0" collapsed="false">
      <c r="A3773" s="3" t="n">
        <v>46201</v>
      </c>
      <c r="B3773" s="4" t="s">
        <v>915</v>
      </c>
      <c r="C3773" s="4" t="n">
        <v>2</v>
      </c>
      <c r="D3773" s="4" t="n">
        <v>12</v>
      </c>
      <c r="E3773" s="4" t="s">
        <v>3332</v>
      </c>
      <c r="F3773" s="4" t="n">
        <v>86</v>
      </c>
      <c r="G3773" s="4" t="n">
        <v>1</v>
      </c>
      <c r="H3773" s="4" t="n">
        <v>1</v>
      </c>
      <c r="I3773" s="4" t="str">
        <v>○</v>
      </c>
      <c r="J3773" s="4" t="n">
        <v>110</v>
      </c>
      <c r="K3773" s="4"/>
      <c r="L3773" s="4"/>
      <c r="M3773" s="5" t="s">
        <v>2677</v>
      </c>
    </row>
    <row r="3774" customFormat="false" ht="15.75" hidden="false" customHeight="false" outlineLevel="0" collapsed="false">
      <c r="A3774" s="3" t="n">
        <v>46201</v>
      </c>
      <c r="B3774" s="4" t="s">
        <v>915</v>
      </c>
      <c r="C3774" s="4" t="n">
        <v>2</v>
      </c>
      <c r="D3774" s="4" t="n">
        <v>13</v>
      </c>
      <c r="E3774" s="4" t="s">
        <v>990</v>
      </c>
      <c r="F3774" s="4" t="n">
        <v>47</v>
      </c>
      <c r="G3774" s="4" t="n">
        <v>3</v>
      </c>
      <c r="H3774" s="4" t="n">
        <v>3</v>
      </c>
      <c r="I3774" s="4" t="str">
        <v>○</v>
      </c>
      <c r="J3774" s="4" t="n">
        <v>130</v>
      </c>
      <c r="K3774" s="4"/>
      <c r="L3774" s="4"/>
      <c r="M3774" s="5" t="s">
        <v>2677</v>
      </c>
    </row>
    <row r="3775" customFormat="false" ht="15.75" hidden="false" customHeight="false" outlineLevel="0" collapsed="false">
      <c r="A3775" s="3" t="n">
        <v>46201</v>
      </c>
      <c r="B3775" s="4" t="s">
        <v>915</v>
      </c>
      <c r="C3775" s="4" t="n">
        <v>2</v>
      </c>
      <c r="D3775" s="4" t="n">
        <v>14</v>
      </c>
      <c r="E3775" s="4" t="s">
        <v>3333</v>
      </c>
      <c r="F3775" s="4" t="n">
        <v>17</v>
      </c>
      <c r="G3775" s="4" t="n">
        <v>4</v>
      </c>
      <c r="H3775" s="4" t="n">
        <v>4</v>
      </c>
      <c r="I3775" s="4" t="str">
        <v>×</v>
      </c>
      <c r="J3775" s="4"/>
      <c r="K3775" s="4"/>
      <c r="L3775" s="4"/>
      <c r="M3775" s="5" t="s">
        <v>2677</v>
      </c>
    </row>
    <row r="3776" customFormat="false" ht="15.75" hidden="false" customHeight="false" outlineLevel="0" collapsed="false">
      <c r="A3776" s="3" t="n">
        <v>46201</v>
      </c>
      <c r="B3776" s="4" t="s">
        <v>915</v>
      </c>
      <c r="C3776" s="4" t="n">
        <v>2</v>
      </c>
      <c r="D3776" s="4" t="n">
        <v>15</v>
      </c>
      <c r="E3776" s="4" t="s">
        <v>3334</v>
      </c>
      <c r="F3776" s="4" t="n">
        <v>15</v>
      </c>
      <c r="G3776" s="4" t="n">
        <v>5</v>
      </c>
      <c r="H3776" s="4" t="n">
        <v>4</v>
      </c>
      <c r="I3776" s="4" t="str">
        <v>×</v>
      </c>
      <c r="J3776" s="4"/>
      <c r="K3776" s="4"/>
      <c r="L3776" s="4"/>
      <c r="M3776" s="5" t="s">
        <v>2677</v>
      </c>
    </row>
    <row r="3777" customFormat="false" ht="15.75" hidden="false" customHeight="false" outlineLevel="0" collapsed="false">
      <c r="A3777" s="3" t="n">
        <v>46201</v>
      </c>
      <c r="B3777" s="4" t="s">
        <v>915</v>
      </c>
      <c r="C3777" s="4" t="n">
        <v>3</v>
      </c>
      <c r="D3777" s="4" t="n">
        <v>1</v>
      </c>
      <c r="E3777" s="4" t="s">
        <v>466</v>
      </c>
      <c r="F3777" s="4" t="n">
        <v>25</v>
      </c>
      <c r="G3777" s="4" t="n">
        <v>5</v>
      </c>
      <c r="H3777" s="4" t="n">
        <v>2</v>
      </c>
      <c r="I3777" s="4" t="str">
        <v>○</v>
      </c>
      <c r="J3777" s="4" t="n">
        <v>190</v>
      </c>
      <c r="K3777" s="4"/>
      <c r="L3777" s="4"/>
      <c r="M3777" s="5" t="s">
        <v>2677</v>
      </c>
    </row>
    <row r="3778" customFormat="false" ht="15.75" hidden="false" customHeight="false" outlineLevel="0" collapsed="false">
      <c r="A3778" s="3" t="n">
        <v>46201</v>
      </c>
      <c r="B3778" s="4" t="s">
        <v>915</v>
      </c>
      <c r="C3778" s="4" t="n">
        <v>3</v>
      </c>
      <c r="D3778" s="4" t="n">
        <v>2</v>
      </c>
      <c r="E3778" s="4" t="s">
        <v>3335</v>
      </c>
      <c r="F3778" s="4" t="n">
        <v>31</v>
      </c>
      <c r="G3778" s="4" t="n">
        <v>2</v>
      </c>
      <c r="H3778" s="4" t="n">
        <v>3</v>
      </c>
      <c r="I3778" s="4" t="str">
        <v>○</v>
      </c>
      <c r="J3778" s="4"/>
      <c r="K3778" s="4"/>
      <c r="L3778" s="4"/>
      <c r="M3778" s="5" t="s">
        <v>2677</v>
      </c>
    </row>
    <row r="3779" customFormat="false" ht="15.75" hidden="false" customHeight="false" outlineLevel="0" collapsed="false">
      <c r="A3779" s="3" t="n">
        <v>46201</v>
      </c>
      <c r="B3779" s="4" t="s">
        <v>915</v>
      </c>
      <c r="C3779" s="4" t="n">
        <v>3</v>
      </c>
      <c r="D3779" s="4" t="n">
        <v>3</v>
      </c>
      <c r="E3779" s="4" t="s">
        <v>3336</v>
      </c>
      <c r="F3779" s="4" t="n">
        <v>29</v>
      </c>
      <c r="G3779" s="4" t="n">
        <v>3</v>
      </c>
      <c r="H3779" s="4" t="n">
        <v>4</v>
      </c>
      <c r="I3779" s="4" t="str">
        <v>×</v>
      </c>
      <c r="J3779" s="4"/>
      <c r="K3779" s="4"/>
      <c r="L3779" s="4"/>
      <c r="M3779" s="5" t="s">
        <v>2677</v>
      </c>
    </row>
    <row r="3780" customFormat="false" ht="15.75" hidden="false" customHeight="false" outlineLevel="0" collapsed="false">
      <c r="A3780" s="3" t="n">
        <v>46201</v>
      </c>
      <c r="B3780" s="4" t="s">
        <v>915</v>
      </c>
      <c r="C3780" s="4" t="n">
        <v>3</v>
      </c>
      <c r="D3780" s="4" t="n">
        <v>4</v>
      </c>
      <c r="E3780" s="4" t="s">
        <v>2682</v>
      </c>
      <c r="F3780" s="4" t="n">
        <v>29</v>
      </c>
      <c r="G3780" s="4" t="n">
        <v>3</v>
      </c>
      <c r="H3780" s="4" t="n">
        <v>4</v>
      </c>
      <c r="I3780" s="4" t="str">
        <v>×</v>
      </c>
      <c r="J3780" s="4"/>
      <c r="K3780" s="4"/>
      <c r="L3780" s="4"/>
      <c r="M3780" s="5" t="s">
        <v>2677</v>
      </c>
    </row>
    <row r="3781" customFormat="false" ht="15.75" hidden="false" customHeight="false" outlineLevel="0" collapsed="false">
      <c r="A3781" s="3" t="n">
        <v>46201</v>
      </c>
      <c r="B3781" s="4" t="s">
        <v>915</v>
      </c>
      <c r="C3781" s="4" t="n">
        <v>3</v>
      </c>
      <c r="D3781" s="4" t="n">
        <v>5</v>
      </c>
      <c r="E3781" s="4" t="s">
        <v>3337</v>
      </c>
      <c r="F3781" s="4" t="n">
        <v>81</v>
      </c>
      <c r="G3781" s="4" t="n">
        <v>1</v>
      </c>
      <c r="H3781" s="4" t="n">
        <v>1</v>
      </c>
      <c r="I3781" s="4" t="str">
        <v>○</v>
      </c>
      <c r="J3781" s="4" t="n">
        <v>100</v>
      </c>
      <c r="K3781" s="4"/>
      <c r="L3781" s="4"/>
      <c r="M3781" s="5" t="s">
        <v>2677</v>
      </c>
    </row>
    <row r="3782" customFormat="false" ht="15.75" hidden="false" customHeight="false" outlineLevel="0" collapsed="false">
      <c r="A3782" s="3" t="n">
        <v>46201</v>
      </c>
      <c r="B3782" s="4" t="s">
        <v>915</v>
      </c>
      <c r="C3782" s="4" t="n">
        <v>4</v>
      </c>
      <c r="D3782" s="4" t="n">
        <v>1</v>
      </c>
      <c r="E3782" s="4" t="s">
        <v>476</v>
      </c>
      <c r="F3782" s="4" t="n">
        <v>16</v>
      </c>
      <c r="G3782" s="4" t="n">
        <v>7</v>
      </c>
      <c r="H3782" s="4" t="n">
        <v>4</v>
      </c>
      <c r="I3782" s="4" t="str">
        <v>×</v>
      </c>
      <c r="J3782" s="4"/>
      <c r="K3782" s="4"/>
      <c r="L3782" s="4"/>
      <c r="M3782" s="5" t="s">
        <v>2677</v>
      </c>
    </row>
    <row r="3783" customFormat="false" ht="15.75" hidden="false" customHeight="false" outlineLevel="0" collapsed="false">
      <c r="A3783" s="3" t="n">
        <v>46201</v>
      </c>
      <c r="B3783" s="4" t="s">
        <v>915</v>
      </c>
      <c r="C3783" s="4" t="n">
        <v>4</v>
      </c>
      <c r="D3783" s="4" t="n">
        <v>2</v>
      </c>
      <c r="E3783" s="4" t="s">
        <v>934</v>
      </c>
      <c r="F3783" s="4" t="n">
        <v>21</v>
      </c>
      <c r="G3783" s="4" t="n">
        <v>4</v>
      </c>
      <c r="H3783" s="4" t="n">
        <v>4</v>
      </c>
      <c r="I3783" s="4" t="str">
        <v>×</v>
      </c>
      <c r="J3783" s="4"/>
      <c r="K3783" s="4"/>
      <c r="L3783" s="4"/>
      <c r="M3783" s="5" t="s">
        <v>2677</v>
      </c>
    </row>
    <row r="3784" customFormat="false" ht="15.75" hidden="false" customHeight="false" outlineLevel="0" collapsed="false">
      <c r="A3784" s="3" t="n">
        <v>46201</v>
      </c>
      <c r="B3784" s="4" t="s">
        <v>915</v>
      </c>
      <c r="C3784" s="4" t="n">
        <v>4</v>
      </c>
      <c r="D3784" s="4" t="n">
        <v>3</v>
      </c>
      <c r="E3784" s="4" t="s">
        <v>3338</v>
      </c>
      <c r="F3784" s="4" t="n">
        <v>12</v>
      </c>
      <c r="G3784" s="4" t="n">
        <v>11</v>
      </c>
      <c r="H3784" s="4" t="n">
        <v>4</v>
      </c>
      <c r="I3784" s="4" t="str">
        <v>×</v>
      </c>
      <c r="J3784" s="4"/>
      <c r="K3784" s="4"/>
      <c r="L3784" s="4"/>
      <c r="M3784" s="5" t="s">
        <v>2677</v>
      </c>
    </row>
    <row r="3785" customFormat="false" ht="15.75" hidden="false" customHeight="false" outlineLevel="0" collapsed="false">
      <c r="A3785" s="3" t="n">
        <v>46201</v>
      </c>
      <c r="B3785" s="4" t="s">
        <v>915</v>
      </c>
      <c r="C3785" s="4" t="n">
        <v>4</v>
      </c>
      <c r="D3785" s="4" t="n">
        <v>4</v>
      </c>
      <c r="E3785" s="4" t="s">
        <v>1387</v>
      </c>
      <c r="F3785" s="4" t="n">
        <v>24</v>
      </c>
      <c r="G3785" s="4" t="n">
        <v>3</v>
      </c>
      <c r="H3785" s="4" t="n">
        <v>4</v>
      </c>
      <c r="I3785" s="4" t="str">
        <v>×</v>
      </c>
      <c r="J3785" s="4"/>
      <c r="K3785" s="4"/>
      <c r="L3785" s="4"/>
      <c r="M3785" s="5" t="s">
        <v>2677</v>
      </c>
    </row>
    <row r="3786" customFormat="false" ht="15.75" hidden="false" customHeight="false" outlineLevel="0" collapsed="false">
      <c r="A3786" s="3" t="n">
        <v>46201</v>
      </c>
      <c r="B3786" s="4" t="s">
        <v>915</v>
      </c>
      <c r="C3786" s="4" t="n">
        <v>4</v>
      </c>
      <c r="D3786" s="4" t="n">
        <v>5</v>
      </c>
      <c r="E3786" s="4" t="s">
        <v>923</v>
      </c>
      <c r="F3786" s="4" t="n">
        <v>16</v>
      </c>
      <c r="G3786" s="4" t="n">
        <v>7</v>
      </c>
      <c r="H3786" s="4" t="n">
        <v>4</v>
      </c>
      <c r="I3786" s="4" t="str">
        <v>×</v>
      </c>
      <c r="J3786" s="4"/>
      <c r="K3786" s="4"/>
      <c r="L3786" s="4"/>
      <c r="M3786" s="5" t="s">
        <v>2677</v>
      </c>
    </row>
    <row r="3787" customFormat="false" ht="15.75" hidden="false" customHeight="false" outlineLevel="0" collapsed="false">
      <c r="A3787" s="3" t="n">
        <v>46201</v>
      </c>
      <c r="B3787" s="4" t="s">
        <v>915</v>
      </c>
      <c r="C3787" s="4" t="n">
        <v>4</v>
      </c>
      <c r="D3787" s="4" t="n">
        <v>6</v>
      </c>
      <c r="E3787" s="4" t="s">
        <v>927</v>
      </c>
      <c r="F3787" s="4" t="n">
        <v>31</v>
      </c>
      <c r="G3787" s="4" t="n">
        <v>1</v>
      </c>
      <c r="H3787" s="4" t="n">
        <v>4</v>
      </c>
      <c r="I3787" s="4" t="str">
        <v>×</v>
      </c>
      <c r="J3787" s="4"/>
      <c r="K3787" s="4"/>
      <c r="L3787" s="4"/>
      <c r="M3787" s="5" t="s">
        <v>2677</v>
      </c>
    </row>
    <row r="3788" customFormat="false" ht="15.75" hidden="false" customHeight="false" outlineLevel="0" collapsed="false">
      <c r="A3788" s="3" t="n">
        <v>46201</v>
      </c>
      <c r="B3788" s="4" t="s">
        <v>915</v>
      </c>
      <c r="C3788" s="4" t="n">
        <v>4</v>
      </c>
      <c r="D3788" s="4" t="n">
        <v>7</v>
      </c>
      <c r="E3788" s="4" t="s">
        <v>3339</v>
      </c>
      <c r="F3788" s="4" t="n">
        <v>8</v>
      </c>
      <c r="G3788" s="4" t="n">
        <v>12</v>
      </c>
      <c r="H3788" s="4" t="n">
        <v>3</v>
      </c>
      <c r="I3788" s="4" t="str">
        <v>○</v>
      </c>
      <c r="J3788" s="4" t="n">
        <v>550</v>
      </c>
      <c r="K3788" s="4"/>
      <c r="L3788" s="4"/>
      <c r="M3788" s="5" t="s">
        <v>2677</v>
      </c>
    </row>
    <row r="3789" customFormat="false" ht="15.75" hidden="false" customHeight="false" outlineLevel="0" collapsed="false">
      <c r="A3789" s="3" t="n">
        <v>46201</v>
      </c>
      <c r="B3789" s="4" t="s">
        <v>915</v>
      </c>
      <c r="C3789" s="4" t="n">
        <v>4</v>
      </c>
      <c r="D3789" s="4" t="n">
        <v>8</v>
      </c>
      <c r="E3789" s="4" t="s">
        <v>3340</v>
      </c>
      <c r="F3789" s="4" t="n">
        <v>31</v>
      </c>
      <c r="G3789" s="4" t="n">
        <v>1</v>
      </c>
      <c r="H3789" s="4" t="n">
        <v>1</v>
      </c>
      <c r="I3789" s="4" t="str">
        <v>○</v>
      </c>
      <c r="J3789" s="4" t="n">
        <v>120</v>
      </c>
      <c r="K3789" s="4"/>
      <c r="L3789" s="4"/>
      <c r="M3789" s="5" t="s">
        <v>2677</v>
      </c>
    </row>
    <row r="3790" customFormat="false" ht="15.75" hidden="false" customHeight="false" outlineLevel="0" collapsed="false">
      <c r="A3790" s="3" t="n">
        <v>46201</v>
      </c>
      <c r="B3790" s="4" t="s">
        <v>915</v>
      </c>
      <c r="C3790" s="4" t="n">
        <v>4</v>
      </c>
      <c r="D3790" s="4" t="n">
        <v>9</v>
      </c>
      <c r="E3790" s="4" t="s">
        <v>920</v>
      </c>
      <c r="F3790" s="4" t="n">
        <v>14</v>
      </c>
      <c r="G3790" s="4" t="n">
        <v>10</v>
      </c>
      <c r="H3790" s="4" t="n">
        <v>2</v>
      </c>
      <c r="I3790" s="4" t="str">
        <v>○</v>
      </c>
      <c r="J3790" s="4" t="n">
        <v>140</v>
      </c>
      <c r="K3790" s="4"/>
      <c r="L3790" s="4"/>
      <c r="M3790" s="5" t="s">
        <v>2677</v>
      </c>
    </row>
    <row r="3791" customFormat="false" ht="15.75" hidden="false" customHeight="false" outlineLevel="0" collapsed="false">
      <c r="A3791" s="3" t="n">
        <v>46201</v>
      </c>
      <c r="B3791" s="4" t="s">
        <v>915</v>
      </c>
      <c r="C3791" s="4" t="n">
        <v>4</v>
      </c>
      <c r="D3791" s="4" t="n">
        <v>10</v>
      </c>
      <c r="E3791" s="4" t="s">
        <v>1386</v>
      </c>
      <c r="F3791" s="4" t="n">
        <v>21</v>
      </c>
      <c r="G3791" s="4" t="n">
        <v>4</v>
      </c>
      <c r="H3791" s="4" t="n">
        <v>4</v>
      </c>
      <c r="I3791" s="4" t="str">
        <v>×</v>
      </c>
      <c r="J3791" s="4"/>
      <c r="K3791" s="4"/>
      <c r="L3791" s="4"/>
      <c r="M3791" s="5" t="s">
        <v>2677</v>
      </c>
    </row>
    <row r="3792" customFormat="false" ht="15.75" hidden="false" customHeight="false" outlineLevel="0" collapsed="false">
      <c r="A3792" s="3" t="n">
        <v>46201</v>
      </c>
      <c r="B3792" s="4" t="s">
        <v>915</v>
      </c>
      <c r="C3792" s="4" t="n">
        <v>4</v>
      </c>
      <c r="D3792" s="4" t="n">
        <v>11</v>
      </c>
      <c r="E3792" s="4" t="s">
        <v>3341</v>
      </c>
      <c r="F3792" s="4" t="n">
        <v>16</v>
      </c>
      <c r="G3792" s="4" t="n">
        <v>7</v>
      </c>
      <c r="H3792" s="4" t="n">
        <v>4</v>
      </c>
      <c r="I3792" s="4" t="str">
        <v>×</v>
      </c>
      <c r="J3792" s="4"/>
      <c r="K3792" s="4"/>
      <c r="L3792" s="4"/>
      <c r="M3792" s="5" t="s">
        <v>2677</v>
      </c>
    </row>
    <row r="3793" customFormat="false" ht="15.75" hidden="false" customHeight="false" outlineLevel="0" collapsed="false">
      <c r="A3793" s="3" t="n">
        <v>46201</v>
      </c>
      <c r="B3793" s="4" t="s">
        <v>915</v>
      </c>
      <c r="C3793" s="4" t="n">
        <v>4</v>
      </c>
      <c r="D3793" s="4" t="n">
        <v>12</v>
      </c>
      <c r="E3793" s="4" t="s">
        <v>3342</v>
      </c>
      <c r="F3793" s="4" t="n">
        <v>8</v>
      </c>
      <c r="G3793" s="4" t="n">
        <v>12</v>
      </c>
      <c r="H3793" s="4" t="n">
        <v>4</v>
      </c>
      <c r="I3793" s="4" t="str">
        <v>×</v>
      </c>
      <c r="J3793" s="4"/>
      <c r="K3793" s="4"/>
      <c r="L3793" s="4"/>
      <c r="M3793" s="5" t="s">
        <v>2677</v>
      </c>
    </row>
    <row r="3794" customFormat="false" ht="15.75" hidden="false" customHeight="false" outlineLevel="0" collapsed="false">
      <c r="A3794" s="3" t="n">
        <v>46201</v>
      </c>
      <c r="B3794" s="4" t="s">
        <v>915</v>
      </c>
      <c r="C3794" s="4" t="n">
        <v>4</v>
      </c>
      <c r="D3794" s="4" t="n">
        <v>13</v>
      </c>
      <c r="E3794" s="4" t="s">
        <v>919</v>
      </c>
      <c r="F3794" s="4" t="n">
        <v>8</v>
      </c>
      <c r="G3794" s="4" t="n">
        <v>12</v>
      </c>
      <c r="H3794" s="4" t="n">
        <v>4</v>
      </c>
      <c r="I3794" s="4" t="str">
        <v>×</v>
      </c>
      <c r="J3794" s="4"/>
      <c r="K3794" s="4"/>
      <c r="L3794" s="4"/>
      <c r="M3794" s="5" t="s">
        <v>2677</v>
      </c>
    </row>
    <row r="3795" customFormat="false" ht="15.75" hidden="false" customHeight="false" outlineLevel="0" collapsed="false">
      <c r="A3795" s="3" t="n">
        <v>46201</v>
      </c>
      <c r="B3795" s="4" t="s">
        <v>915</v>
      </c>
      <c r="C3795" s="4" t="n">
        <v>4</v>
      </c>
      <c r="D3795" s="4" t="n">
        <v>14</v>
      </c>
      <c r="E3795" s="4" t="s">
        <v>3343</v>
      </c>
      <c r="F3795" s="4" t="n">
        <v>21</v>
      </c>
      <c r="G3795" s="4" t="n">
        <v>4</v>
      </c>
      <c r="H3795" s="4" t="n">
        <v>4</v>
      </c>
      <c r="I3795" s="4" t="str">
        <v>×</v>
      </c>
      <c r="J3795" s="4"/>
      <c r="K3795" s="4"/>
      <c r="L3795" s="4"/>
      <c r="M3795" s="5" t="s">
        <v>2677</v>
      </c>
    </row>
    <row r="3796" customFormat="false" ht="15.75" hidden="false" customHeight="false" outlineLevel="0" collapsed="false">
      <c r="A3796" s="3" t="n">
        <v>46201</v>
      </c>
      <c r="B3796" s="4" t="s">
        <v>915</v>
      </c>
      <c r="C3796" s="4" t="n">
        <v>5</v>
      </c>
      <c r="D3796" s="4" t="n">
        <v>1</v>
      </c>
      <c r="E3796" s="4" t="s">
        <v>932</v>
      </c>
      <c r="F3796" s="4" t="n">
        <v>12</v>
      </c>
      <c r="G3796" s="4" t="n">
        <v>12</v>
      </c>
      <c r="H3796" s="4" t="n">
        <v>4</v>
      </c>
      <c r="I3796" s="4" t="str">
        <v>×</v>
      </c>
      <c r="J3796" s="4"/>
      <c r="K3796" s="4"/>
      <c r="L3796" s="4"/>
      <c r="M3796" s="5" t="s">
        <v>2677</v>
      </c>
    </row>
    <row r="3797" customFormat="false" ht="15.75" hidden="false" customHeight="false" outlineLevel="0" collapsed="false">
      <c r="A3797" s="3" t="n">
        <v>46201</v>
      </c>
      <c r="B3797" s="4" t="s">
        <v>915</v>
      </c>
      <c r="C3797" s="4" t="n">
        <v>5</v>
      </c>
      <c r="D3797" s="4" t="n">
        <v>2</v>
      </c>
      <c r="E3797" s="4" t="s">
        <v>468</v>
      </c>
      <c r="F3797" s="4" t="n">
        <v>16</v>
      </c>
      <c r="G3797" s="4" t="n">
        <v>9</v>
      </c>
      <c r="H3797" s="4" t="n">
        <v>4</v>
      </c>
      <c r="I3797" s="4" t="str">
        <v>×</v>
      </c>
      <c r="J3797" s="4"/>
      <c r="K3797" s="4"/>
      <c r="L3797" s="4"/>
      <c r="M3797" s="5" t="s">
        <v>2677</v>
      </c>
    </row>
    <row r="3798" customFormat="false" ht="15.75" hidden="false" customHeight="false" outlineLevel="0" collapsed="false">
      <c r="A3798" s="3" t="n">
        <v>46201</v>
      </c>
      <c r="B3798" s="4" t="s">
        <v>915</v>
      </c>
      <c r="C3798" s="4" t="n">
        <v>5</v>
      </c>
      <c r="D3798" s="4" t="n">
        <v>3</v>
      </c>
      <c r="E3798" s="4" t="s">
        <v>3344</v>
      </c>
      <c r="F3798" s="4" t="n">
        <v>31</v>
      </c>
      <c r="G3798" s="4" t="n">
        <v>1</v>
      </c>
      <c r="H3798" s="4" t="n">
        <v>3</v>
      </c>
      <c r="I3798" s="4" t="str">
        <v>○</v>
      </c>
      <c r="J3798" s="4" t="n">
        <v>170</v>
      </c>
      <c r="K3798" s="4"/>
      <c r="L3798" s="4"/>
      <c r="M3798" s="5" t="s">
        <v>2677</v>
      </c>
    </row>
    <row r="3799" customFormat="false" ht="15.75" hidden="false" customHeight="false" outlineLevel="0" collapsed="false">
      <c r="A3799" s="3" t="n">
        <v>46201</v>
      </c>
      <c r="B3799" s="4" t="s">
        <v>915</v>
      </c>
      <c r="C3799" s="4" t="n">
        <v>5</v>
      </c>
      <c r="D3799" s="4" t="n">
        <v>4</v>
      </c>
      <c r="E3799" s="4" t="s">
        <v>931</v>
      </c>
      <c r="F3799" s="4" t="n">
        <v>24</v>
      </c>
      <c r="G3799" s="4" t="n">
        <v>6</v>
      </c>
      <c r="H3799" s="4" t="n">
        <v>2</v>
      </c>
      <c r="I3799" s="4" t="str">
        <v>○</v>
      </c>
      <c r="J3799" s="4" t="n">
        <v>350</v>
      </c>
      <c r="K3799" s="4"/>
      <c r="L3799" s="4"/>
      <c r="M3799" s="5" t="s">
        <v>2677</v>
      </c>
    </row>
    <row r="3800" customFormat="false" ht="15.75" hidden="false" customHeight="false" outlineLevel="0" collapsed="false">
      <c r="A3800" s="3" t="n">
        <v>46201</v>
      </c>
      <c r="B3800" s="4" t="s">
        <v>915</v>
      </c>
      <c r="C3800" s="4" t="n">
        <v>5</v>
      </c>
      <c r="D3800" s="4" t="n">
        <v>5</v>
      </c>
      <c r="E3800" s="4" t="s">
        <v>3345</v>
      </c>
      <c r="F3800" s="4" t="n">
        <v>8</v>
      </c>
      <c r="G3800" s="4" t="n">
        <v>13</v>
      </c>
      <c r="H3800" s="4" t="n">
        <v>4</v>
      </c>
      <c r="I3800" s="4" t="str">
        <v>×</v>
      </c>
      <c r="J3800" s="4"/>
      <c r="K3800" s="4"/>
      <c r="L3800" s="4"/>
      <c r="M3800" s="5" t="s">
        <v>2677</v>
      </c>
    </row>
    <row r="3801" customFormat="false" ht="15.75" hidden="false" customHeight="false" outlineLevel="0" collapsed="false">
      <c r="A3801" s="3" t="n">
        <v>46201</v>
      </c>
      <c r="B3801" s="4" t="s">
        <v>915</v>
      </c>
      <c r="C3801" s="4" t="n">
        <v>5</v>
      </c>
      <c r="D3801" s="4" t="n">
        <v>6</v>
      </c>
      <c r="E3801" s="4" t="s">
        <v>1107</v>
      </c>
      <c r="F3801" s="4" t="n">
        <v>21</v>
      </c>
      <c r="G3801" s="4" t="n">
        <v>7</v>
      </c>
      <c r="H3801" s="4" t="n">
        <v>4</v>
      </c>
      <c r="I3801" s="4" t="str">
        <v>×</v>
      </c>
      <c r="J3801" s="4"/>
      <c r="K3801" s="4"/>
      <c r="L3801" s="4"/>
      <c r="M3801" s="5" t="s">
        <v>2677</v>
      </c>
    </row>
    <row r="3802" customFormat="false" ht="15.75" hidden="false" customHeight="false" outlineLevel="0" collapsed="false">
      <c r="A3802" s="3" t="n">
        <v>46201</v>
      </c>
      <c r="B3802" s="4" t="s">
        <v>915</v>
      </c>
      <c r="C3802" s="4" t="n">
        <v>5</v>
      </c>
      <c r="D3802" s="4" t="n">
        <v>7</v>
      </c>
      <c r="E3802" s="4" t="s">
        <v>3346</v>
      </c>
      <c r="F3802" s="4" t="n">
        <v>27</v>
      </c>
      <c r="G3802" s="4" t="n">
        <v>3</v>
      </c>
      <c r="H3802" s="4" t="n">
        <v>4</v>
      </c>
      <c r="I3802" s="4" t="str">
        <v>×</v>
      </c>
      <c r="J3802" s="4"/>
      <c r="K3802" s="4"/>
      <c r="L3802" s="4"/>
      <c r="M3802" s="5" t="s">
        <v>2677</v>
      </c>
    </row>
    <row r="3803" customFormat="false" ht="15.75" hidden="false" customHeight="false" outlineLevel="0" collapsed="false">
      <c r="A3803" s="3" t="n">
        <v>46201</v>
      </c>
      <c r="B3803" s="4" t="s">
        <v>915</v>
      </c>
      <c r="C3803" s="4" t="n">
        <v>5</v>
      </c>
      <c r="D3803" s="4" t="n">
        <v>8</v>
      </c>
      <c r="E3803" s="4" t="s">
        <v>3347</v>
      </c>
      <c r="F3803" s="4" t="n">
        <v>27</v>
      </c>
      <c r="G3803" s="4" t="n">
        <v>3</v>
      </c>
      <c r="H3803" s="4" t="n">
        <v>4</v>
      </c>
      <c r="I3803" s="4" t="str">
        <v>×</v>
      </c>
      <c r="J3803" s="4"/>
      <c r="K3803" s="4"/>
      <c r="L3803" s="4"/>
      <c r="M3803" s="5" t="s">
        <v>2677</v>
      </c>
    </row>
    <row r="3804" customFormat="false" ht="15.75" hidden="false" customHeight="false" outlineLevel="0" collapsed="false">
      <c r="A3804" s="3" t="n">
        <v>46201</v>
      </c>
      <c r="B3804" s="4" t="s">
        <v>915</v>
      </c>
      <c r="C3804" s="4" t="n">
        <v>5</v>
      </c>
      <c r="D3804" s="4" t="n">
        <v>9</v>
      </c>
      <c r="E3804" s="4" t="s">
        <v>3348</v>
      </c>
      <c r="F3804" s="4" t="n">
        <v>27</v>
      </c>
      <c r="G3804" s="4" t="n">
        <v>3</v>
      </c>
      <c r="H3804" s="4" t="n">
        <v>4</v>
      </c>
      <c r="I3804" s="4" t="str">
        <v>×</v>
      </c>
      <c r="J3804" s="4"/>
      <c r="K3804" s="4"/>
      <c r="L3804" s="4"/>
      <c r="M3804" s="5" t="s">
        <v>2677</v>
      </c>
    </row>
    <row r="3805" customFormat="false" ht="15.75" hidden="false" customHeight="false" outlineLevel="0" collapsed="false">
      <c r="A3805" s="3" t="n">
        <v>46201</v>
      </c>
      <c r="B3805" s="4" t="s">
        <v>915</v>
      </c>
      <c r="C3805" s="4" t="n">
        <v>5</v>
      </c>
      <c r="D3805" s="4" t="n">
        <v>10</v>
      </c>
      <c r="E3805" s="4" t="s">
        <v>3349</v>
      </c>
      <c r="F3805" s="4" t="n">
        <v>31</v>
      </c>
      <c r="G3805" s="4" t="n">
        <v>1</v>
      </c>
      <c r="H3805" s="4" t="n">
        <v>4</v>
      </c>
      <c r="I3805" s="4" t="str">
        <v>×</v>
      </c>
      <c r="J3805" s="4"/>
      <c r="K3805" s="4"/>
      <c r="L3805" s="4"/>
      <c r="M3805" s="5" t="s">
        <v>2677</v>
      </c>
    </row>
    <row r="3806" customFormat="false" ht="15.75" hidden="false" customHeight="false" outlineLevel="0" collapsed="false">
      <c r="A3806" s="3" t="n">
        <v>46201</v>
      </c>
      <c r="B3806" s="4" t="s">
        <v>915</v>
      </c>
      <c r="C3806" s="4" t="n">
        <v>5</v>
      </c>
      <c r="D3806" s="4" t="n">
        <v>11</v>
      </c>
      <c r="E3806" s="4" t="s">
        <v>19</v>
      </c>
      <c r="F3806" s="4" t="n">
        <v>8</v>
      </c>
      <c r="G3806" s="4" t="n">
        <v>13</v>
      </c>
      <c r="H3806" s="4" t="n">
        <v>4</v>
      </c>
      <c r="I3806" s="4" t="str">
        <v>×</v>
      </c>
      <c r="J3806" s="4"/>
      <c r="K3806" s="4"/>
      <c r="L3806" s="4"/>
      <c r="M3806" s="5" t="s">
        <v>2677</v>
      </c>
    </row>
    <row r="3807" customFormat="false" ht="15.75" hidden="false" customHeight="false" outlineLevel="0" collapsed="false">
      <c r="A3807" s="3" t="n">
        <v>46201</v>
      </c>
      <c r="B3807" s="4" t="s">
        <v>915</v>
      </c>
      <c r="C3807" s="4" t="n">
        <v>5</v>
      </c>
      <c r="D3807" s="4" t="n">
        <v>12</v>
      </c>
      <c r="E3807" s="4" t="s">
        <v>3350</v>
      </c>
      <c r="F3807" s="4" t="n">
        <v>21</v>
      </c>
      <c r="G3807" s="4" t="n">
        <v>7</v>
      </c>
      <c r="H3807" s="4" t="n">
        <v>4</v>
      </c>
      <c r="I3807" s="4" t="str">
        <v>×</v>
      </c>
      <c r="J3807" s="4"/>
      <c r="K3807" s="4"/>
      <c r="L3807" s="4"/>
      <c r="M3807" s="5" t="s">
        <v>2677</v>
      </c>
    </row>
    <row r="3808" customFormat="false" ht="15.75" hidden="false" customHeight="false" outlineLevel="0" collapsed="false">
      <c r="A3808" s="3" t="n">
        <v>46201</v>
      </c>
      <c r="B3808" s="4" t="s">
        <v>915</v>
      </c>
      <c r="C3808" s="4" t="n">
        <v>5</v>
      </c>
      <c r="D3808" s="4" t="n">
        <v>13</v>
      </c>
      <c r="E3808" s="4" t="s">
        <v>3351</v>
      </c>
      <c r="F3808" s="4" t="n">
        <v>16</v>
      </c>
      <c r="G3808" s="4" t="n">
        <v>9</v>
      </c>
      <c r="H3808" s="4" t="n">
        <v>1</v>
      </c>
      <c r="I3808" s="4" t="str">
        <v>○</v>
      </c>
      <c r="J3808" s="4" t="n">
        <v>240</v>
      </c>
      <c r="K3808" s="4"/>
      <c r="L3808" s="4"/>
      <c r="M3808" s="5" t="s">
        <v>2677</v>
      </c>
    </row>
    <row r="3809" customFormat="false" ht="15.75" hidden="false" customHeight="false" outlineLevel="0" collapsed="false">
      <c r="A3809" s="3" t="n">
        <v>46201</v>
      </c>
      <c r="B3809" s="4" t="s">
        <v>915</v>
      </c>
      <c r="C3809" s="4" t="n">
        <v>5</v>
      </c>
      <c r="D3809" s="4" t="n">
        <v>14</v>
      </c>
      <c r="E3809" s="4" t="s">
        <v>933</v>
      </c>
      <c r="F3809" s="4" t="n">
        <v>16</v>
      </c>
      <c r="G3809" s="4" t="n">
        <v>9</v>
      </c>
      <c r="H3809" s="4" t="n">
        <v>4</v>
      </c>
      <c r="I3809" s="4" t="str">
        <v>×</v>
      </c>
      <c r="J3809" s="4"/>
      <c r="K3809" s="4"/>
      <c r="L3809" s="4"/>
      <c r="M3809" s="5" t="s">
        <v>2677</v>
      </c>
    </row>
    <row r="3810" customFormat="false" ht="15.75" hidden="false" customHeight="false" outlineLevel="0" collapsed="false">
      <c r="A3810" s="3" t="n">
        <v>46201</v>
      </c>
      <c r="B3810" s="4" t="s">
        <v>915</v>
      </c>
      <c r="C3810" s="4" t="n">
        <v>6</v>
      </c>
      <c r="D3810" s="4" t="n">
        <v>1</v>
      </c>
      <c r="E3810" s="4" t="s">
        <v>3352</v>
      </c>
      <c r="F3810" s="4" t="n">
        <v>15</v>
      </c>
      <c r="G3810" s="4" t="n">
        <v>6</v>
      </c>
      <c r="H3810" s="4" t="n">
        <v>4</v>
      </c>
      <c r="I3810" s="4" t="str">
        <v>×</v>
      </c>
      <c r="J3810" s="4"/>
      <c r="K3810" s="4"/>
      <c r="L3810" s="4"/>
      <c r="M3810" s="5" t="s">
        <v>2677</v>
      </c>
    </row>
    <row r="3811" customFormat="false" ht="15.75" hidden="false" customHeight="false" outlineLevel="0" collapsed="false">
      <c r="A3811" s="3" t="n">
        <v>46201</v>
      </c>
      <c r="B3811" s="4" t="s">
        <v>915</v>
      </c>
      <c r="C3811" s="4" t="n">
        <v>6</v>
      </c>
      <c r="D3811" s="4" t="n">
        <v>2</v>
      </c>
      <c r="E3811" s="4" t="s">
        <v>604</v>
      </c>
      <c r="F3811" s="4" t="n">
        <v>47</v>
      </c>
      <c r="G3811" s="4" t="n">
        <v>3</v>
      </c>
      <c r="H3811" s="4" t="n">
        <v>4</v>
      </c>
      <c r="I3811" s="4" t="str">
        <v>×</v>
      </c>
      <c r="J3811" s="4"/>
      <c r="K3811" s="4"/>
      <c r="L3811" s="4"/>
      <c r="M3811" s="5" t="s">
        <v>2677</v>
      </c>
    </row>
    <row r="3812" customFormat="false" ht="15.75" hidden="false" customHeight="false" outlineLevel="0" collapsed="false">
      <c r="A3812" s="3" t="n">
        <v>46201</v>
      </c>
      <c r="B3812" s="4" t="s">
        <v>915</v>
      </c>
      <c r="C3812" s="4" t="n">
        <v>6</v>
      </c>
      <c r="D3812" s="4" t="n">
        <v>3</v>
      </c>
      <c r="E3812" s="4" t="s">
        <v>3353</v>
      </c>
      <c r="F3812" s="4" t="n">
        <v>4</v>
      </c>
      <c r="G3812" s="4" t="n">
        <v>10</v>
      </c>
      <c r="H3812" s="4" t="n">
        <v>4</v>
      </c>
      <c r="I3812" s="4" t="str">
        <v>×</v>
      </c>
      <c r="J3812" s="4"/>
      <c r="K3812" s="4"/>
      <c r="L3812" s="4"/>
      <c r="M3812" s="5" t="s">
        <v>2677</v>
      </c>
    </row>
    <row r="3813" customFormat="false" ht="15.75" hidden="false" customHeight="false" outlineLevel="0" collapsed="false">
      <c r="A3813" s="3" t="n">
        <v>46201</v>
      </c>
      <c r="B3813" s="4" t="s">
        <v>915</v>
      </c>
      <c r="C3813" s="4" t="n">
        <v>6</v>
      </c>
      <c r="D3813" s="4" t="n">
        <v>4</v>
      </c>
      <c r="E3813" s="4" t="s">
        <v>488</v>
      </c>
      <c r="F3813" s="4" t="n">
        <v>15</v>
      </c>
      <c r="G3813" s="4" t="n">
        <v>6</v>
      </c>
      <c r="H3813" s="4" t="n">
        <v>4</v>
      </c>
      <c r="I3813" s="4" t="str">
        <v>×</v>
      </c>
      <c r="J3813" s="4"/>
      <c r="K3813" s="4"/>
      <c r="L3813" s="4"/>
      <c r="M3813" s="5" t="s">
        <v>2677</v>
      </c>
    </row>
    <row r="3814" customFormat="false" ht="15.75" hidden="false" customHeight="false" outlineLevel="0" collapsed="false">
      <c r="A3814" s="3" t="n">
        <v>46201</v>
      </c>
      <c r="B3814" s="4" t="s">
        <v>915</v>
      </c>
      <c r="C3814" s="4" t="n">
        <v>6</v>
      </c>
      <c r="D3814" s="4" t="n">
        <v>5</v>
      </c>
      <c r="E3814" s="4" t="s">
        <v>3121</v>
      </c>
      <c r="F3814" s="4" t="n">
        <v>3</v>
      </c>
      <c r="G3814" s="4" t="n">
        <v>15</v>
      </c>
      <c r="H3814" s="4" t="n">
        <v>4</v>
      </c>
      <c r="I3814" s="4" t="str">
        <v>×</v>
      </c>
      <c r="J3814" s="4"/>
      <c r="K3814" s="4"/>
      <c r="L3814" s="4"/>
      <c r="M3814" s="5" t="s">
        <v>2677</v>
      </c>
    </row>
    <row r="3815" customFormat="false" ht="15.75" hidden="false" customHeight="false" outlineLevel="0" collapsed="false">
      <c r="A3815" s="3" t="n">
        <v>46201</v>
      </c>
      <c r="B3815" s="4" t="s">
        <v>915</v>
      </c>
      <c r="C3815" s="4" t="n">
        <v>6</v>
      </c>
      <c r="D3815" s="4" t="n">
        <v>6</v>
      </c>
      <c r="E3815" s="4" t="s">
        <v>3354</v>
      </c>
      <c r="F3815" s="4" t="n">
        <v>52</v>
      </c>
      <c r="G3815" s="4" t="n">
        <v>2</v>
      </c>
      <c r="H3815" s="4" t="n">
        <v>1</v>
      </c>
      <c r="I3815" s="4" t="str">
        <v>○</v>
      </c>
      <c r="J3815" s="4" t="n">
        <v>170</v>
      </c>
      <c r="K3815" s="4"/>
      <c r="L3815" s="4"/>
      <c r="M3815" s="5" t="s">
        <v>2677</v>
      </c>
    </row>
    <row r="3816" customFormat="false" ht="15.75" hidden="false" customHeight="false" outlineLevel="0" collapsed="false">
      <c r="A3816" s="3" t="n">
        <v>46201</v>
      </c>
      <c r="B3816" s="4" t="s">
        <v>915</v>
      </c>
      <c r="C3816" s="4" t="n">
        <v>6</v>
      </c>
      <c r="D3816" s="4" t="n">
        <v>7</v>
      </c>
      <c r="E3816" s="4" t="s">
        <v>2338</v>
      </c>
      <c r="F3816" s="4" t="n">
        <v>56</v>
      </c>
      <c r="G3816" s="4" t="n">
        <v>1</v>
      </c>
      <c r="H3816" s="4" t="n">
        <v>4</v>
      </c>
      <c r="I3816" s="4" t="str">
        <v>×</v>
      </c>
      <c r="J3816" s="4"/>
      <c r="K3816" s="4"/>
      <c r="L3816" s="4"/>
      <c r="M3816" s="5" t="s">
        <v>2677</v>
      </c>
    </row>
    <row r="3817" customFormat="false" ht="15.75" hidden="false" customHeight="false" outlineLevel="0" collapsed="false">
      <c r="A3817" s="3" t="n">
        <v>46201</v>
      </c>
      <c r="B3817" s="4" t="s">
        <v>915</v>
      </c>
      <c r="C3817" s="4" t="n">
        <v>6</v>
      </c>
      <c r="D3817" s="4" t="n">
        <v>8</v>
      </c>
      <c r="E3817" s="4" t="s">
        <v>3355</v>
      </c>
      <c r="F3817" s="4" t="n">
        <v>4</v>
      </c>
      <c r="G3817" s="4" t="n">
        <v>10</v>
      </c>
      <c r="H3817" s="4" t="n">
        <v>4</v>
      </c>
      <c r="I3817" s="4" t="str">
        <v>×</v>
      </c>
      <c r="J3817" s="4"/>
      <c r="K3817" s="4"/>
      <c r="L3817" s="4"/>
      <c r="M3817" s="5" t="s">
        <v>2677</v>
      </c>
    </row>
    <row r="3818" customFormat="false" ht="15.75" hidden="false" customHeight="false" outlineLevel="0" collapsed="false">
      <c r="A3818" s="3" t="n">
        <v>46201</v>
      </c>
      <c r="B3818" s="4" t="s">
        <v>915</v>
      </c>
      <c r="C3818" s="4" t="n">
        <v>6</v>
      </c>
      <c r="D3818" s="4" t="n">
        <v>9</v>
      </c>
      <c r="E3818" s="4" t="s">
        <v>3356</v>
      </c>
      <c r="F3818" s="4" t="n">
        <v>4</v>
      </c>
      <c r="G3818" s="4" t="n">
        <v>10</v>
      </c>
      <c r="H3818" s="4" t="n">
        <v>4</v>
      </c>
      <c r="I3818" s="4" t="str">
        <v>×</v>
      </c>
      <c r="J3818" s="4"/>
      <c r="K3818" s="4"/>
      <c r="L3818" s="4"/>
      <c r="M3818" s="5" t="s">
        <v>2677</v>
      </c>
    </row>
    <row r="3819" customFormat="false" ht="15.75" hidden="false" customHeight="false" outlineLevel="0" collapsed="false">
      <c r="A3819" s="3" t="n">
        <v>46201</v>
      </c>
      <c r="B3819" s="4" t="s">
        <v>915</v>
      </c>
      <c r="C3819" s="4" t="n">
        <v>6</v>
      </c>
      <c r="D3819" s="4" t="n">
        <v>10</v>
      </c>
      <c r="E3819" s="4" t="s">
        <v>3357</v>
      </c>
      <c r="F3819" s="4" t="n">
        <v>4</v>
      </c>
      <c r="G3819" s="4" t="n">
        <v>10</v>
      </c>
      <c r="H3819" s="4" t="n">
        <v>4</v>
      </c>
      <c r="I3819" s="4" t="str">
        <v>×</v>
      </c>
      <c r="J3819" s="4"/>
      <c r="K3819" s="4"/>
      <c r="L3819" s="4"/>
      <c r="M3819" s="5" t="s">
        <v>2677</v>
      </c>
    </row>
    <row r="3820" customFormat="false" ht="15.75" hidden="false" customHeight="false" outlineLevel="0" collapsed="false">
      <c r="A3820" s="3" t="n">
        <v>46201</v>
      </c>
      <c r="B3820" s="4" t="s">
        <v>915</v>
      </c>
      <c r="C3820" s="4" t="n">
        <v>6</v>
      </c>
      <c r="D3820" s="4" t="n">
        <v>11</v>
      </c>
      <c r="E3820" s="4" t="s">
        <v>2343</v>
      </c>
      <c r="F3820" s="4" t="n">
        <v>29</v>
      </c>
      <c r="G3820" s="4" t="n">
        <v>4</v>
      </c>
      <c r="H3820" s="4" t="n">
        <v>3</v>
      </c>
      <c r="I3820" s="4" t="str">
        <v>○</v>
      </c>
      <c r="J3820" s="4" t="n">
        <v>190</v>
      </c>
      <c r="K3820" s="4"/>
      <c r="L3820" s="4"/>
      <c r="M3820" s="5" t="s">
        <v>2677</v>
      </c>
    </row>
    <row r="3821" customFormat="false" ht="15.75" hidden="false" customHeight="false" outlineLevel="0" collapsed="false">
      <c r="A3821" s="3" t="n">
        <v>46201</v>
      </c>
      <c r="B3821" s="4" t="s">
        <v>915</v>
      </c>
      <c r="C3821" s="4" t="n">
        <v>6</v>
      </c>
      <c r="D3821" s="4" t="n">
        <v>12</v>
      </c>
      <c r="E3821" s="4" t="s">
        <v>3358</v>
      </c>
      <c r="F3821" s="4" t="n">
        <v>13</v>
      </c>
      <c r="G3821" s="4" t="n">
        <v>8</v>
      </c>
      <c r="H3821" s="4" t="n">
        <v>4</v>
      </c>
      <c r="I3821" s="4" t="str">
        <v>×</v>
      </c>
      <c r="J3821" s="4"/>
      <c r="K3821" s="4"/>
      <c r="L3821" s="4"/>
      <c r="M3821" s="5" t="s">
        <v>2677</v>
      </c>
    </row>
    <row r="3822" customFormat="false" ht="15.75" hidden="false" customHeight="false" outlineLevel="0" collapsed="false">
      <c r="A3822" s="3" t="n">
        <v>46201</v>
      </c>
      <c r="B3822" s="4" t="s">
        <v>915</v>
      </c>
      <c r="C3822" s="4" t="n">
        <v>6</v>
      </c>
      <c r="D3822" s="4" t="n">
        <v>13</v>
      </c>
      <c r="E3822" s="4" t="s">
        <v>3359</v>
      </c>
      <c r="F3822" s="4" t="n">
        <v>2</v>
      </c>
      <c r="G3822" s="4" t="n">
        <v>16</v>
      </c>
      <c r="H3822" s="4" t="n">
        <v>4</v>
      </c>
      <c r="I3822" s="4" t="str">
        <v>×</v>
      </c>
      <c r="J3822" s="4"/>
      <c r="K3822" s="4"/>
      <c r="L3822" s="4"/>
      <c r="M3822" s="5" t="s">
        <v>2677</v>
      </c>
    </row>
    <row r="3823" customFormat="false" ht="15.75" hidden="false" customHeight="false" outlineLevel="0" collapsed="false">
      <c r="A3823" s="3" t="n">
        <v>46201</v>
      </c>
      <c r="B3823" s="4" t="s">
        <v>915</v>
      </c>
      <c r="C3823" s="4" t="n">
        <v>6</v>
      </c>
      <c r="D3823" s="4" t="n">
        <v>14</v>
      </c>
      <c r="E3823" s="4" t="s">
        <v>3360</v>
      </c>
      <c r="F3823" s="4" t="n">
        <v>4</v>
      </c>
      <c r="G3823" s="4" t="n">
        <v>10</v>
      </c>
      <c r="H3823" s="4" t="n">
        <v>4</v>
      </c>
      <c r="I3823" s="4" t="str">
        <v>×</v>
      </c>
      <c r="J3823" s="4"/>
      <c r="K3823" s="4"/>
      <c r="L3823" s="4"/>
      <c r="M3823" s="5" t="s">
        <v>2677</v>
      </c>
    </row>
    <row r="3824" customFormat="false" ht="15.75" hidden="false" customHeight="false" outlineLevel="0" collapsed="false">
      <c r="A3824" s="3" t="n">
        <v>46201</v>
      </c>
      <c r="B3824" s="4" t="s">
        <v>915</v>
      </c>
      <c r="C3824" s="4" t="n">
        <v>6</v>
      </c>
      <c r="D3824" s="4" t="n">
        <v>15</v>
      </c>
      <c r="E3824" s="4" t="s">
        <v>3361</v>
      </c>
      <c r="F3824" s="4" t="n">
        <v>6</v>
      </c>
      <c r="G3824" s="4" t="n">
        <v>9</v>
      </c>
      <c r="H3824" s="4" t="n">
        <v>4</v>
      </c>
      <c r="I3824" s="4" t="str">
        <v>×</v>
      </c>
      <c r="J3824" s="4"/>
      <c r="K3824" s="4"/>
      <c r="L3824" s="4"/>
      <c r="M3824" s="5" t="s">
        <v>2677</v>
      </c>
    </row>
    <row r="3825" customFormat="false" ht="15.75" hidden="false" customHeight="false" outlineLevel="0" collapsed="false">
      <c r="A3825" s="3" t="n">
        <v>46201</v>
      </c>
      <c r="B3825" s="4" t="s">
        <v>915</v>
      </c>
      <c r="C3825" s="4" t="n">
        <v>6</v>
      </c>
      <c r="D3825" s="4" t="n">
        <v>16</v>
      </c>
      <c r="E3825" s="4" t="s">
        <v>61</v>
      </c>
      <c r="F3825" s="4" t="n">
        <v>23</v>
      </c>
      <c r="G3825" s="4" t="n">
        <v>5</v>
      </c>
      <c r="H3825" s="4" t="n">
        <v>2</v>
      </c>
      <c r="I3825" s="4" t="str">
        <v>○</v>
      </c>
      <c r="J3825" s="4" t="n">
        <v>190</v>
      </c>
      <c r="K3825" s="4"/>
      <c r="L3825" s="4"/>
      <c r="M3825" s="5" t="s">
        <v>2677</v>
      </c>
    </row>
    <row r="3826" customFormat="false" ht="15.75" hidden="false" customHeight="false" outlineLevel="0" collapsed="false">
      <c r="A3826" s="3" t="n">
        <v>46201</v>
      </c>
      <c r="B3826" s="4" t="s">
        <v>915</v>
      </c>
      <c r="C3826" s="4" t="n">
        <v>7</v>
      </c>
      <c r="D3826" s="4" t="n">
        <v>1</v>
      </c>
      <c r="E3826" s="4" t="s">
        <v>3362</v>
      </c>
      <c r="F3826" s="4" t="n">
        <v>4</v>
      </c>
      <c r="G3826" s="4" t="n">
        <v>9</v>
      </c>
      <c r="H3826" s="4" t="n">
        <v>4</v>
      </c>
      <c r="I3826" s="4" t="str">
        <v>×</v>
      </c>
      <c r="J3826" s="4"/>
      <c r="K3826" s="4"/>
      <c r="L3826" s="4"/>
      <c r="M3826" s="5" t="s">
        <v>2677</v>
      </c>
    </row>
    <row r="3827" customFormat="false" ht="15.75" hidden="false" customHeight="false" outlineLevel="0" collapsed="false">
      <c r="A3827" s="3" t="n">
        <v>46201</v>
      </c>
      <c r="B3827" s="4" t="s">
        <v>915</v>
      </c>
      <c r="C3827" s="4" t="n">
        <v>7</v>
      </c>
      <c r="D3827" s="4" t="n">
        <v>2</v>
      </c>
      <c r="E3827" s="4" t="s">
        <v>3363</v>
      </c>
      <c r="F3827" s="4" t="n">
        <v>8</v>
      </c>
      <c r="G3827" s="4" t="n">
        <v>7</v>
      </c>
      <c r="H3827" s="4" t="n">
        <v>4</v>
      </c>
      <c r="I3827" s="4" t="str">
        <v>×</v>
      </c>
      <c r="J3827" s="4"/>
      <c r="K3827" s="4"/>
      <c r="L3827" s="4"/>
      <c r="M3827" s="5" t="s">
        <v>2677</v>
      </c>
    </row>
    <row r="3828" customFormat="false" ht="15.75" hidden="false" customHeight="false" outlineLevel="0" collapsed="false">
      <c r="A3828" s="3" t="n">
        <v>46201</v>
      </c>
      <c r="B3828" s="4" t="s">
        <v>915</v>
      </c>
      <c r="C3828" s="4" t="n">
        <v>7</v>
      </c>
      <c r="D3828" s="4" t="n">
        <v>3</v>
      </c>
      <c r="E3828" s="4" t="s">
        <v>2356</v>
      </c>
      <c r="F3828" s="4" t="n">
        <v>3</v>
      </c>
      <c r="G3828" s="4" t="n">
        <v>13</v>
      </c>
      <c r="H3828" s="4" t="n">
        <v>4</v>
      </c>
      <c r="I3828" s="4" t="str">
        <v>×</v>
      </c>
      <c r="J3828" s="4"/>
      <c r="K3828" s="4"/>
      <c r="L3828" s="4"/>
      <c r="M3828" s="5" t="s">
        <v>2677</v>
      </c>
    </row>
    <row r="3829" customFormat="false" ht="15.75" hidden="false" customHeight="false" outlineLevel="0" collapsed="false">
      <c r="A3829" s="3" t="n">
        <v>46201</v>
      </c>
      <c r="B3829" s="4" t="s">
        <v>915</v>
      </c>
      <c r="C3829" s="4" t="n">
        <v>7</v>
      </c>
      <c r="D3829" s="4" t="n">
        <v>4</v>
      </c>
      <c r="E3829" s="4" t="s">
        <v>3364</v>
      </c>
      <c r="F3829" s="4" t="n">
        <v>4</v>
      </c>
      <c r="G3829" s="4" t="n">
        <v>9</v>
      </c>
      <c r="H3829" s="4" t="n">
        <v>4</v>
      </c>
      <c r="I3829" s="4" t="str">
        <v>×</v>
      </c>
      <c r="J3829" s="4"/>
      <c r="K3829" s="4"/>
      <c r="L3829" s="4"/>
      <c r="M3829" s="5" t="s">
        <v>2677</v>
      </c>
    </row>
    <row r="3830" customFormat="false" ht="15.75" hidden="false" customHeight="false" outlineLevel="0" collapsed="false">
      <c r="A3830" s="3" t="n">
        <v>46201</v>
      </c>
      <c r="B3830" s="4" t="s">
        <v>915</v>
      </c>
      <c r="C3830" s="4" t="n">
        <v>7</v>
      </c>
      <c r="D3830" s="4" t="n">
        <v>5</v>
      </c>
      <c r="E3830" s="4" t="s">
        <v>153</v>
      </c>
      <c r="F3830" s="4" t="n">
        <v>15</v>
      </c>
      <c r="G3830" s="4" t="n">
        <v>5</v>
      </c>
      <c r="H3830" s="4" t="n">
        <v>3</v>
      </c>
      <c r="I3830" s="4" t="str">
        <v>○</v>
      </c>
      <c r="J3830" s="4" t="n">
        <v>310</v>
      </c>
      <c r="K3830" s="4"/>
      <c r="L3830" s="4"/>
      <c r="M3830" s="5" t="s">
        <v>2677</v>
      </c>
    </row>
    <row r="3831" customFormat="false" ht="15.75" hidden="false" customHeight="false" outlineLevel="0" collapsed="false">
      <c r="A3831" s="3" t="n">
        <v>46201</v>
      </c>
      <c r="B3831" s="4" t="s">
        <v>915</v>
      </c>
      <c r="C3831" s="4" t="n">
        <v>7</v>
      </c>
      <c r="D3831" s="4" t="n">
        <v>6</v>
      </c>
      <c r="E3831" s="4" t="s">
        <v>3365</v>
      </c>
      <c r="F3831" s="4" t="n">
        <v>20</v>
      </c>
      <c r="G3831" s="4" t="n">
        <v>4</v>
      </c>
      <c r="H3831" s="4" t="n">
        <v>4</v>
      </c>
      <c r="I3831" s="4" t="str">
        <v>×</v>
      </c>
      <c r="J3831" s="4"/>
      <c r="K3831" s="4"/>
      <c r="L3831" s="4"/>
      <c r="M3831" s="5" t="s">
        <v>2677</v>
      </c>
    </row>
    <row r="3832" customFormat="false" ht="15.75" hidden="false" customHeight="false" outlineLevel="0" collapsed="false">
      <c r="A3832" s="3" t="n">
        <v>46201</v>
      </c>
      <c r="B3832" s="4" t="s">
        <v>915</v>
      </c>
      <c r="C3832" s="4" t="n">
        <v>7</v>
      </c>
      <c r="D3832" s="4" t="n">
        <v>7</v>
      </c>
      <c r="E3832" s="4" t="s">
        <v>2358</v>
      </c>
      <c r="F3832" s="4" t="n">
        <v>47</v>
      </c>
      <c r="G3832" s="4" t="n">
        <v>2</v>
      </c>
      <c r="H3832" s="4" t="n">
        <v>2</v>
      </c>
      <c r="I3832" s="4" t="str">
        <v>○</v>
      </c>
      <c r="J3832" s="4" t="n">
        <v>120</v>
      </c>
      <c r="K3832" s="4"/>
      <c r="L3832" s="4"/>
      <c r="M3832" s="5" t="s">
        <v>2677</v>
      </c>
    </row>
    <row r="3833" customFormat="false" ht="15.75" hidden="false" customHeight="false" outlineLevel="0" collapsed="false">
      <c r="A3833" s="3" t="n">
        <v>46201</v>
      </c>
      <c r="B3833" s="4" t="s">
        <v>915</v>
      </c>
      <c r="C3833" s="4" t="n">
        <v>7</v>
      </c>
      <c r="D3833" s="4" t="n">
        <v>8</v>
      </c>
      <c r="E3833" s="4" t="s">
        <v>3366</v>
      </c>
      <c r="F3833" s="4" t="n">
        <v>4</v>
      </c>
      <c r="G3833" s="4" t="n">
        <v>9</v>
      </c>
      <c r="H3833" s="4" t="n">
        <v>4</v>
      </c>
      <c r="I3833" s="4" t="str">
        <v>×</v>
      </c>
      <c r="J3833" s="4"/>
      <c r="K3833" s="4"/>
      <c r="L3833" s="4"/>
      <c r="M3833" s="5" t="s">
        <v>2677</v>
      </c>
    </row>
    <row r="3834" customFormat="false" ht="15.75" hidden="false" customHeight="false" outlineLevel="0" collapsed="false">
      <c r="A3834" s="3" t="n">
        <v>46201</v>
      </c>
      <c r="B3834" s="4" t="s">
        <v>915</v>
      </c>
      <c r="C3834" s="4" t="n">
        <v>7</v>
      </c>
      <c r="D3834" s="4" t="n">
        <v>9</v>
      </c>
      <c r="E3834" s="4" t="s">
        <v>3367</v>
      </c>
      <c r="F3834" s="4" t="n">
        <v>10</v>
      </c>
      <c r="G3834" s="4" t="n">
        <v>6</v>
      </c>
      <c r="H3834" s="4" t="n">
        <v>4</v>
      </c>
      <c r="I3834" s="4" t="str">
        <v>×</v>
      </c>
      <c r="J3834" s="4"/>
      <c r="K3834" s="4"/>
      <c r="L3834" s="4"/>
      <c r="M3834" s="5" t="s">
        <v>2677</v>
      </c>
    </row>
    <row r="3835" customFormat="false" ht="15.75" hidden="false" customHeight="false" outlineLevel="0" collapsed="false">
      <c r="A3835" s="3" t="n">
        <v>46201</v>
      </c>
      <c r="B3835" s="4" t="s">
        <v>915</v>
      </c>
      <c r="C3835" s="4" t="n">
        <v>7</v>
      </c>
      <c r="D3835" s="4" t="n">
        <v>10</v>
      </c>
      <c r="E3835" s="4" t="s">
        <v>3368</v>
      </c>
      <c r="F3835" s="4" t="n">
        <v>8</v>
      </c>
      <c r="G3835" s="4" t="n">
        <v>7</v>
      </c>
      <c r="H3835" s="4" t="n">
        <v>4</v>
      </c>
      <c r="I3835" s="4" t="str">
        <v>×</v>
      </c>
      <c r="J3835" s="4"/>
      <c r="K3835" s="4"/>
      <c r="L3835" s="4"/>
      <c r="M3835" s="5" t="s">
        <v>2677</v>
      </c>
    </row>
    <row r="3836" customFormat="false" ht="15.75" hidden="false" customHeight="false" outlineLevel="0" collapsed="false">
      <c r="A3836" s="3" t="n">
        <v>46201</v>
      </c>
      <c r="B3836" s="4" t="s">
        <v>915</v>
      </c>
      <c r="C3836" s="4" t="n">
        <v>7</v>
      </c>
      <c r="D3836" s="4" t="n">
        <v>11</v>
      </c>
      <c r="E3836" s="4" t="s">
        <v>3369</v>
      </c>
      <c r="F3836" s="4" t="n">
        <v>4</v>
      </c>
      <c r="G3836" s="4" t="n">
        <v>9</v>
      </c>
      <c r="H3836" s="4" t="n">
        <v>4</v>
      </c>
      <c r="I3836" s="4" t="str">
        <v>×</v>
      </c>
      <c r="J3836" s="4"/>
      <c r="K3836" s="4"/>
      <c r="L3836" s="4"/>
      <c r="M3836" s="5" t="s">
        <v>2677</v>
      </c>
    </row>
    <row r="3837" customFormat="false" ht="15.75" hidden="false" customHeight="false" outlineLevel="0" collapsed="false">
      <c r="A3837" s="3" t="n">
        <v>46201</v>
      </c>
      <c r="B3837" s="4" t="s">
        <v>915</v>
      </c>
      <c r="C3837" s="4" t="n">
        <v>7</v>
      </c>
      <c r="D3837" s="4" t="n">
        <v>12</v>
      </c>
      <c r="E3837" s="4" t="s">
        <v>3370</v>
      </c>
      <c r="F3837" s="4" t="n">
        <v>3</v>
      </c>
      <c r="G3837" s="4" t="n">
        <v>13</v>
      </c>
      <c r="H3837" s="4"/>
      <c r="I3837" s="4" t="str">
        <v/>
      </c>
      <c r="J3837" s="4"/>
      <c r="K3837" s="4"/>
      <c r="L3837" s="4"/>
      <c r="M3837" s="5" t="s">
        <v>2677</v>
      </c>
    </row>
    <row r="3838" customFormat="false" ht="15.75" hidden="false" customHeight="false" outlineLevel="0" collapsed="false">
      <c r="A3838" s="3" t="n">
        <v>46201</v>
      </c>
      <c r="B3838" s="4" t="s">
        <v>915</v>
      </c>
      <c r="C3838" s="4" t="n">
        <v>7</v>
      </c>
      <c r="D3838" s="4" t="n">
        <v>13</v>
      </c>
      <c r="E3838" s="4" t="s">
        <v>3371</v>
      </c>
      <c r="F3838" s="4" t="n">
        <v>1</v>
      </c>
      <c r="G3838" s="4" t="n">
        <v>16</v>
      </c>
      <c r="H3838" s="4" t="n">
        <v>4</v>
      </c>
      <c r="I3838" s="4" t="str">
        <v>×</v>
      </c>
      <c r="J3838" s="4"/>
      <c r="K3838" s="4"/>
      <c r="L3838" s="4"/>
      <c r="M3838" s="5" t="s">
        <v>2677</v>
      </c>
    </row>
    <row r="3839" customFormat="false" ht="15.75" hidden="false" customHeight="false" outlineLevel="0" collapsed="false">
      <c r="A3839" s="3" t="n">
        <v>46201</v>
      </c>
      <c r="B3839" s="4" t="s">
        <v>915</v>
      </c>
      <c r="C3839" s="4" t="n">
        <v>7</v>
      </c>
      <c r="D3839" s="4" t="n">
        <v>14</v>
      </c>
      <c r="E3839" s="4" t="s">
        <v>2369</v>
      </c>
      <c r="F3839" s="4" t="n">
        <v>71</v>
      </c>
      <c r="G3839" s="4" t="n">
        <v>1</v>
      </c>
      <c r="H3839" s="4" t="n">
        <v>1</v>
      </c>
      <c r="I3839" s="4" t="str">
        <v>○</v>
      </c>
      <c r="J3839" s="4" t="n">
        <v>120</v>
      </c>
      <c r="K3839" s="4"/>
      <c r="L3839" s="4"/>
      <c r="M3839" s="5" t="s">
        <v>2677</v>
      </c>
    </row>
    <row r="3840" customFormat="false" ht="15.75" hidden="false" customHeight="false" outlineLevel="0" collapsed="false">
      <c r="A3840" s="3" t="n">
        <v>46201</v>
      </c>
      <c r="B3840" s="4" t="s">
        <v>915</v>
      </c>
      <c r="C3840" s="4" t="n">
        <v>7</v>
      </c>
      <c r="D3840" s="4" t="n">
        <v>15</v>
      </c>
      <c r="E3840" s="4" t="s">
        <v>961</v>
      </c>
      <c r="F3840" s="4" t="n">
        <v>41</v>
      </c>
      <c r="G3840" s="4" t="n">
        <v>3</v>
      </c>
      <c r="H3840" s="4" t="n">
        <v>4</v>
      </c>
      <c r="I3840" s="4" t="str">
        <v>×</v>
      </c>
      <c r="J3840" s="4"/>
      <c r="K3840" s="4"/>
      <c r="L3840" s="4"/>
      <c r="M3840" s="5" t="s">
        <v>2677</v>
      </c>
    </row>
    <row r="3841" customFormat="false" ht="15.75" hidden="false" customHeight="false" outlineLevel="0" collapsed="false">
      <c r="A3841" s="3" t="n">
        <v>46201</v>
      </c>
      <c r="B3841" s="4" t="s">
        <v>915</v>
      </c>
      <c r="C3841" s="4" t="n">
        <v>7</v>
      </c>
      <c r="D3841" s="4" t="n">
        <v>16</v>
      </c>
      <c r="E3841" s="4" t="s">
        <v>3372</v>
      </c>
      <c r="F3841" s="4" t="n">
        <v>2</v>
      </c>
      <c r="G3841" s="4" t="n">
        <v>15</v>
      </c>
      <c r="H3841" s="4" t="n">
        <v>4</v>
      </c>
      <c r="I3841" s="4" t="str">
        <v>×</v>
      </c>
      <c r="J3841" s="4"/>
      <c r="K3841" s="4"/>
      <c r="L3841" s="4"/>
      <c r="M3841" s="5" t="s">
        <v>2677</v>
      </c>
    </row>
    <row r="3842" customFormat="false" ht="15.75" hidden="false" customHeight="false" outlineLevel="0" collapsed="false">
      <c r="A3842" s="3" t="n">
        <v>46201</v>
      </c>
      <c r="B3842" s="4" t="s">
        <v>915</v>
      </c>
      <c r="C3842" s="4" t="n">
        <v>8</v>
      </c>
      <c r="D3842" s="4" t="n">
        <v>1</v>
      </c>
      <c r="E3842" s="4" t="s">
        <v>3373</v>
      </c>
      <c r="F3842" s="4" t="n">
        <v>37</v>
      </c>
      <c r="G3842" s="4" t="n">
        <v>3</v>
      </c>
      <c r="H3842" s="4" t="n">
        <v>1</v>
      </c>
      <c r="I3842" s="4" t="str">
        <v>○</v>
      </c>
      <c r="J3842" s="4" t="n">
        <v>170</v>
      </c>
      <c r="K3842" s="4"/>
      <c r="L3842" s="4"/>
      <c r="M3842" s="5" t="s">
        <v>2677</v>
      </c>
    </row>
    <row r="3843" customFormat="false" ht="15.75" hidden="false" customHeight="false" outlineLevel="0" collapsed="false">
      <c r="A3843" s="3" t="n">
        <v>46201</v>
      </c>
      <c r="B3843" s="4" t="s">
        <v>915</v>
      </c>
      <c r="C3843" s="4" t="n">
        <v>8</v>
      </c>
      <c r="D3843" s="4" t="n">
        <v>2</v>
      </c>
      <c r="E3843" s="4" t="s">
        <v>3374</v>
      </c>
      <c r="F3843" s="4" t="n">
        <v>17</v>
      </c>
      <c r="G3843" s="4" t="n">
        <v>5</v>
      </c>
      <c r="H3843" s="4" t="n">
        <v>4</v>
      </c>
      <c r="I3843" s="4" t="str">
        <v>×</v>
      </c>
      <c r="J3843" s="4"/>
      <c r="K3843" s="4"/>
      <c r="L3843" s="4"/>
      <c r="M3843" s="5" t="s">
        <v>2677</v>
      </c>
    </row>
    <row r="3844" customFormat="false" ht="15.75" hidden="false" customHeight="false" outlineLevel="0" collapsed="false">
      <c r="A3844" s="3" t="n">
        <v>46201</v>
      </c>
      <c r="B3844" s="4" t="s">
        <v>915</v>
      </c>
      <c r="C3844" s="4" t="n">
        <v>8</v>
      </c>
      <c r="D3844" s="4" t="n">
        <v>3</v>
      </c>
      <c r="E3844" s="4" t="s">
        <v>3375</v>
      </c>
      <c r="F3844" s="4" t="n">
        <v>17</v>
      </c>
      <c r="G3844" s="4" t="n">
        <v>5</v>
      </c>
      <c r="H3844" s="4" t="n">
        <v>2</v>
      </c>
      <c r="I3844" s="4" t="str">
        <v>○</v>
      </c>
      <c r="J3844" s="4" t="n">
        <v>220</v>
      </c>
      <c r="K3844" s="4"/>
      <c r="L3844" s="4"/>
      <c r="M3844" s="5" t="s">
        <v>2677</v>
      </c>
    </row>
    <row r="3845" customFormat="false" ht="15.75" hidden="false" customHeight="false" outlineLevel="0" collapsed="false">
      <c r="A3845" s="3" t="n">
        <v>46201</v>
      </c>
      <c r="B3845" s="4" t="s">
        <v>915</v>
      </c>
      <c r="C3845" s="4" t="n">
        <v>8</v>
      </c>
      <c r="D3845" s="4" t="n">
        <v>4</v>
      </c>
      <c r="E3845" s="4" t="s">
        <v>1032</v>
      </c>
      <c r="F3845" s="4" t="n">
        <v>3</v>
      </c>
      <c r="G3845" s="4" t="n">
        <v>11</v>
      </c>
      <c r="H3845" s="4" t="n">
        <v>4</v>
      </c>
      <c r="I3845" s="4" t="str">
        <v>×</v>
      </c>
      <c r="J3845" s="4"/>
      <c r="K3845" s="4"/>
      <c r="L3845" s="4"/>
      <c r="M3845" s="5" t="s">
        <v>2677</v>
      </c>
    </row>
    <row r="3846" customFormat="false" ht="15.75" hidden="false" customHeight="false" outlineLevel="0" collapsed="false">
      <c r="A3846" s="3" t="n">
        <v>46201</v>
      </c>
      <c r="B3846" s="4" t="s">
        <v>915</v>
      </c>
      <c r="C3846" s="4" t="n">
        <v>8</v>
      </c>
      <c r="D3846" s="4" t="n">
        <v>5</v>
      </c>
      <c r="E3846" s="4" t="s">
        <v>3376</v>
      </c>
      <c r="F3846" s="4" t="n">
        <v>44</v>
      </c>
      <c r="G3846" s="4" t="n">
        <v>2</v>
      </c>
      <c r="H3846" s="4" t="n">
        <v>4</v>
      </c>
      <c r="I3846" s="4" t="str">
        <v>×</v>
      </c>
      <c r="J3846" s="4"/>
      <c r="K3846" s="4"/>
      <c r="L3846" s="4"/>
      <c r="M3846" s="5" t="s">
        <v>2677</v>
      </c>
    </row>
    <row r="3847" customFormat="false" ht="15.75" hidden="false" customHeight="false" outlineLevel="0" collapsed="false">
      <c r="A3847" s="3" t="n">
        <v>46201</v>
      </c>
      <c r="B3847" s="4" t="s">
        <v>915</v>
      </c>
      <c r="C3847" s="4" t="n">
        <v>8</v>
      </c>
      <c r="D3847" s="4" t="n">
        <v>6</v>
      </c>
      <c r="E3847" s="4" t="s">
        <v>1035</v>
      </c>
      <c r="F3847" s="4" t="n">
        <v>10</v>
      </c>
      <c r="G3847" s="4" t="n">
        <v>9</v>
      </c>
      <c r="H3847" s="4" t="n">
        <v>4</v>
      </c>
      <c r="I3847" s="4" t="str">
        <v>×</v>
      </c>
      <c r="J3847" s="4"/>
      <c r="K3847" s="4"/>
      <c r="L3847" s="4"/>
      <c r="M3847" s="5" t="s">
        <v>2677</v>
      </c>
    </row>
    <row r="3848" customFormat="false" ht="15.75" hidden="false" customHeight="false" outlineLevel="0" collapsed="false">
      <c r="A3848" s="3" t="n">
        <v>46201</v>
      </c>
      <c r="B3848" s="4" t="s">
        <v>915</v>
      </c>
      <c r="C3848" s="4" t="n">
        <v>8</v>
      </c>
      <c r="D3848" s="4" t="n">
        <v>7</v>
      </c>
      <c r="E3848" s="4" t="s">
        <v>3377</v>
      </c>
      <c r="F3848" s="4" t="n">
        <v>34</v>
      </c>
      <c r="G3848" s="4" t="n">
        <v>4</v>
      </c>
      <c r="H3848" s="4" t="n">
        <v>4</v>
      </c>
      <c r="I3848" s="4" t="str">
        <v>×</v>
      </c>
      <c r="J3848" s="4"/>
      <c r="K3848" s="4"/>
      <c r="L3848" s="4"/>
      <c r="M3848" s="5" t="s">
        <v>2677</v>
      </c>
    </row>
    <row r="3849" customFormat="false" ht="15.75" hidden="false" customHeight="false" outlineLevel="0" collapsed="false">
      <c r="A3849" s="3" t="n">
        <v>46201</v>
      </c>
      <c r="B3849" s="4" t="s">
        <v>915</v>
      </c>
      <c r="C3849" s="4" t="n">
        <v>8</v>
      </c>
      <c r="D3849" s="4" t="n">
        <v>8</v>
      </c>
      <c r="E3849" s="4" t="s">
        <v>3378</v>
      </c>
      <c r="F3849" s="4" t="n">
        <v>13</v>
      </c>
      <c r="G3849" s="4" t="n">
        <v>7</v>
      </c>
      <c r="H3849" s="4" t="n">
        <v>4</v>
      </c>
      <c r="I3849" s="4" t="str">
        <v>×</v>
      </c>
      <c r="J3849" s="4"/>
      <c r="K3849" s="4"/>
      <c r="L3849" s="4"/>
      <c r="M3849" s="5" t="s">
        <v>2677</v>
      </c>
    </row>
    <row r="3850" customFormat="false" ht="15.75" hidden="false" customHeight="false" outlineLevel="0" collapsed="false">
      <c r="A3850" s="3" t="n">
        <v>46201</v>
      </c>
      <c r="B3850" s="4" t="s">
        <v>915</v>
      </c>
      <c r="C3850" s="4" t="n">
        <v>8</v>
      </c>
      <c r="D3850" s="4" t="n">
        <v>9</v>
      </c>
      <c r="E3850" s="4" t="s">
        <v>1039</v>
      </c>
      <c r="F3850" s="4" t="n">
        <v>13</v>
      </c>
      <c r="G3850" s="4" t="n">
        <v>7</v>
      </c>
      <c r="H3850" s="4" t="n">
        <v>4</v>
      </c>
      <c r="I3850" s="4" t="str">
        <v>×</v>
      </c>
      <c r="J3850" s="4"/>
      <c r="K3850" s="4"/>
      <c r="L3850" s="4"/>
      <c r="M3850" s="5" t="s">
        <v>2677</v>
      </c>
    </row>
    <row r="3851" customFormat="false" ht="15.75" hidden="false" customHeight="false" outlineLevel="0" collapsed="false">
      <c r="A3851" s="3" t="n">
        <v>46201</v>
      </c>
      <c r="B3851" s="4" t="s">
        <v>915</v>
      </c>
      <c r="C3851" s="4" t="n">
        <v>8</v>
      </c>
      <c r="D3851" s="4" t="n">
        <v>10</v>
      </c>
      <c r="E3851" s="4" t="s">
        <v>3379</v>
      </c>
      <c r="F3851" s="4" t="n">
        <v>50</v>
      </c>
      <c r="G3851" s="4" t="n">
        <v>1</v>
      </c>
      <c r="H3851" s="4" t="n">
        <v>3</v>
      </c>
      <c r="I3851" s="4" t="str">
        <v>○</v>
      </c>
      <c r="J3851" s="4" t="n">
        <v>140</v>
      </c>
      <c r="K3851" s="4"/>
      <c r="L3851" s="4"/>
      <c r="M3851" s="5" t="s">
        <v>2677</v>
      </c>
    </row>
    <row r="3852" customFormat="false" ht="15.75" hidden="false" customHeight="false" outlineLevel="0" collapsed="false">
      <c r="A3852" s="3" t="n">
        <v>46201</v>
      </c>
      <c r="B3852" s="4" t="s">
        <v>915</v>
      </c>
      <c r="C3852" s="4" t="n">
        <v>8</v>
      </c>
      <c r="D3852" s="4" t="n">
        <v>11</v>
      </c>
      <c r="E3852" s="4" t="s">
        <v>1038</v>
      </c>
      <c r="F3852" s="4" t="n">
        <v>4</v>
      </c>
      <c r="G3852" s="4" t="n">
        <v>10</v>
      </c>
      <c r="H3852" s="4" t="n">
        <v>4</v>
      </c>
      <c r="I3852" s="4" t="str">
        <v>×</v>
      </c>
      <c r="J3852" s="4"/>
      <c r="K3852" s="4"/>
      <c r="L3852" s="4"/>
      <c r="M3852" s="5" t="s">
        <v>2677</v>
      </c>
    </row>
    <row r="3853" customFormat="false" ht="15.75" hidden="false" customHeight="false" outlineLevel="0" collapsed="false">
      <c r="A3853" s="3" t="n">
        <v>46201</v>
      </c>
      <c r="B3853" s="4" t="s">
        <v>915</v>
      </c>
      <c r="C3853" s="4" t="n">
        <v>8</v>
      </c>
      <c r="D3853" s="4" t="n">
        <v>12</v>
      </c>
      <c r="E3853" s="4" t="s">
        <v>3380</v>
      </c>
      <c r="F3853" s="4" t="n">
        <v>3</v>
      </c>
      <c r="G3853" s="4" t="n">
        <v>11</v>
      </c>
      <c r="H3853" s="4" t="n">
        <v>4</v>
      </c>
      <c r="I3853" s="4" t="str">
        <v>×</v>
      </c>
      <c r="J3853" s="4"/>
      <c r="K3853" s="4"/>
      <c r="L3853" s="4"/>
      <c r="M3853" s="5" t="s">
        <v>2677</v>
      </c>
    </row>
    <row r="3854" customFormat="false" ht="15.75" hidden="false" customHeight="false" outlineLevel="0" collapsed="false">
      <c r="A3854" s="3" t="n">
        <v>46201</v>
      </c>
      <c r="B3854" s="4" t="s">
        <v>915</v>
      </c>
      <c r="C3854" s="4" t="n">
        <v>8</v>
      </c>
      <c r="D3854" s="4" t="n">
        <v>13</v>
      </c>
      <c r="E3854" s="4" t="s">
        <v>3381</v>
      </c>
      <c r="F3854" s="4" t="n">
        <v>1</v>
      </c>
      <c r="G3854" s="4" t="n">
        <v>13</v>
      </c>
      <c r="H3854" s="4" t="n">
        <v>4</v>
      </c>
      <c r="I3854" s="4" t="str">
        <v>×</v>
      </c>
      <c r="J3854" s="4"/>
      <c r="K3854" s="4"/>
      <c r="L3854" s="4"/>
      <c r="M3854" s="5" t="s">
        <v>2677</v>
      </c>
    </row>
    <row r="3855" customFormat="false" ht="15.75" hidden="false" customHeight="false" outlineLevel="0" collapsed="false">
      <c r="A3855" s="3" t="n">
        <v>46201</v>
      </c>
      <c r="B3855" s="4" t="s">
        <v>915</v>
      </c>
      <c r="C3855" s="4" t="n">
        <v>9</v>
      </c>
      <c r="D3855" s="4" t="n">
        <v>1</v>
      </c>
      <c r="E3855" s="4" t="s">
        <v>3382</v>
      </c>
      <c r="F3855" s="4" t="n">
        <v>34</v>
      </c>
      <c r="G3855" s="4" t="n">
        <v>2</v>
      </c>
      <c r="H3855" s="4" t="n">
        <v>2</v>
      </c>
      <c r="I3855" s="4" t="str">
        <v>○</v>
      </c>
      <c r="J3855" s="4" t="n">
        <v>250</v>
      </c>
      <c r="K3855" s="4"/>
      <c r="L3855" s="4"/>
      <c r="M3855" s="5" t="s">
        <v>2677</v>
      </c>
    </row>
    <row r="3856" customFormat="false" ht="15.75" hidden="false" customHeight="false" outlineLevel="0" collapsed="false">
      <c r="A3856" s="3" t="n">
        <v>46201</v>
      </c>
      <c r="B3856" s="4" t="s">
        <v>915</v>
      </c>
      <c r="C3856" s="4" t="n">
        <v>9</v>
      </c>
      <c r="D3856" s="4" t="n">
        <v>2</v>
      </c>
      <c r="E3856" s="4" t="s">
        <v>3383</v>
      </c>
      <c r="F3856" s="4" t="n">
        <v>4</v>
      </c>
      <c r="G3856" s="4" t="n">
        <v>10</v>
      </c>
      <c r="H3856" s="4"/>
      <c r="I3856" s="4" t="str">
        <v/>
      </c>
      <c r="J3856" s="4"/>
      <c r="K3856" s="4"/>
      <c r="L3856" s="4"/>
      <c r="M3856" s="5" t="s">
        <v>2677</v>
      </c>
    </row>
    <row r="3857" customFormat="false" ht="15.75" hidden="false" customHeight="false" outlineLevel="0" collapsed="false">
      <c r="A3857" s="3" t="n">
        <v>46201</v>
      </c>
      <c r="B3857" s="4" t="s">
        <v>915</v>
      </c>
      <c r="C3857" s="4" t="n">
        <v>9</v>
      </c>
      <c r="D3857" s="4" t="n">
        <v>3</v>
      </c>
      <c r="E3857" s="4" t="s">
        <v>75</v>
      </c>
      <c r="F3857" s="4" t="n">
        <v>20</v>
      </c>
      <c r="G3857" s="4" t="n">
        <v>6</v>
      </c>
      <c r="H3857" s="4" t="n">
        <v>4</v>
      </c>
      <c r="I3857" s="4" t="str">
        <v>×</v>
      </c>
      <c r="J3857" s="4"/>
      <c r="K3857" s="4"/>
      <c r="L3857" s="4"/>
      <c r="M3857" s="5" t="s">
        <v>2677</v>
      </c>
    </row>
    <row r="3858" customFormat="false" ht="15.75" hidden="false" customHeight="false" outlineLevel="0" collapsed="false">
      <c r="A3858" s="3" t="n">
        <v>46201</v>
      </c>
      <c r="B3858" s="4" t="s">
        <v>915</v>
      </c>
      <c r="C3858" s="4" t="n">
        <v>9</v>
      </c>
      <c r="D3858" s="4" t="n">
        <v>4</v>
      </c>
      <c r="E3858" s="4" t="s">
        <v>1519</v>
      </c>
      <c r="F3858" s="4" t="n">
        <v>4</v>
      </c>
      <c r="G3858" s="4" t="n">
        <v>10</v>
      </c>
      <c r="H3858" s="4" t="n">
        <v>4</v>
      </c>
      <c r="I3858" s="4" t="str">
        <v>×</v>
      </c>
      <c r="J3858" s="4"/>
      <c r="K3858" s="4"/>
      <c r="L3858" s="4"/>
      <c r="M3858" s="5" t="s">
        <v>2677</v>
      </c>
    </row>
    <row r="3859" customFormat="false" ht="15.75" hidden="false" customHeight="false" outlineLevel="0" collapsed="false">
      <c r="A3859" s="3" t="n">
        <v>46201</v>
      </c>
      <c r="B3859" s="4" t="s">
        <v>915</v>
      </c>
      <c r="C3859" s="4" t="n">
        <v>9</v>
      </c>
      <c r="D3859" s="4" t="n">
        <v>5</v>
      </c>
      <c r="E3859" s="4" t="s">
        <v>1827</v>
      </c>
      <c r="F3859" s="4" t="n">
        <v>4</v>
      </c>
      <c r="G3859" s="4" t="n">
        <v>10</v>
      </c>
      <c r="H3859" s="4" t="n">
        <v>4</v>
      </c>
      <c r="I3859" s="4" t="str">
        <v>×</v>
      </c>
      <c r="J3859" s="4"/>
      <c r="K3859" s="4"/>
      <c r="L3859" s="4"/>
      <c r="M3859" s="5" t="s">
        <v>2677</v>
      </c>
    </row>
    <row r="3860" customFormat="false" ht="15.75" hidden="false" customHeight="false" outlineLevel="0" collapsed="false">
      <c r="A3860" s="3" t="n">
        <v>46201</v>
      </c>
      <c r="B3860" s="4" t="s">
        <v>915</v>
      </c>
      <c r="C3860" s="4" t="n">
        <v>9</v>
      </c>
      <c r="D3860" s="4" t="n">
        <v>6</v>
      </c>
      <c r="E3860" s="4" t="s">
        <v>3384</v>
      </c>
      <c r="F3860" s="4" t="n">
        <v>81</v>
      </c>
      <c r="G3860" s="4" t="n">
        <v>1</v>
      </c>
      <c r="H3860" s="4" t="n">
        <v>4</v>
      </c>
      <c r="I3860" s="4" t="str">
        <v>×</v>
      </c>
      <c r="J3860" s="4"/>
      <c r="K3860" s="4"/>
      <c r="L3860" s="4"/>
      <c r="M3860" s="5" t="s">
        <v>2677</v>
      </c>
    </row>
    <row r="3861" customFormat="false" ht="15.75" hidden="false" customHeight="false" outlineLevel="0" collapsed="false">
      <c r="A3861" s="3" t="n">
        <v>46201</v>
      </c>
      <c r="B3861" s="4" t="s">
        <v>915</v>
      </c>
      <c r="C3861" s="4" t="n">
        <v>9</v>
      </c>
      <c r="D3861" s="4" t="n">
        <v>7</v>
      </c>
      <c r="E3861" s="4" t="s">
        <v>1517</v>
      </c>
      <c r="F3861" s="4" t="n">
        <v>31</v>
      </c>
      <c r="G3861" s="4" t="n">
        <v>4</v>
      </c>
      <c r="H3861" s="4" t="n">
        <v>3</v>
      </c>
      <c r="I3861" s="4" t="str">
        <v>○</v>
      </c>
      <c r="J3861" s="4" t="n">
        <v>250</v>
      </c>
      <c r="K3861" s="4"/>
      <c r="L3861" s="4"/>
      <c r="M3861" s="5" t="s">
        <v>2677</v>
      </c>
    </row>
    <row r="3862" customFormat="false" ht="15.75" hidden="false" customHeight="false" outlineLevel="0" collapsed="false">
      <c r="A3862" s="3" t="n">
        <v>46201</v>
      </c>
      <c r="B3862" s="4" t="s">
        <v>915</v>
      </c>
      <c r="C3862" s="4" t="n">
        <v>9</v>
      </c>
      <c r="D3862" s="4" t="n">
        <v>8</v>
      </c>
      <c r="E3862" s="4" t="s">
        <v>2528</v>
      </c>
      <c r="F3862" s="4" t="n">
        <v>2</v>
      </c>
      <c r="G3862" s="4" t="n">
        <v>14</v>
      </c>
      <c r="H3862" s="4" t="n">
        <v>4</v>
      </c>
      <c r="I3862" s="4" t="str">
        <v>×</v>
      </c>
      <c r="J3862" s="4"/>
      <c r="K3862" s="4"/>
      <c r="L3862" s="4"/>
      <c r="M3862" s="5" t="s">
        <v>2677</v>
      </c>
    </row>
    <row r="3863" customFormat="false" ht="15.75" hidden="false" customHeight="false" outlineLevel="0" collapsed="false">
      <c r="A3863" s="3" t="n">
        <v>46201</v>
      </c>
      <c r="B3863" s="4" t="s">
        <v>915</v>
      </c>
      <c r="C3863" s="4" t="n">
        <v>9</v>
      </c>
      <c r="D3863" s="4" t="n">
        <v>9</v>
      </c>
      <c r="E3863" s="4" t="s">
        <v>3385</v>
      </c>
      <c r="F3863" s="4" t="n">
        <v>20</v>
      </c>
      <c r="G3863" s="4" t="n">
        <v>6</v>
      </c>
      <c r="H3863" s="4" t="n">
        <v>4</v>
      </c>
      <c r="I3863" s="4" t="str">
        <v>×</v>
      </c>
      <c r="J3863" s="4"/>
      <c r="K3863" s="4"/>
      <c r="L3863" s="4"/>
      <c r="M3863" s="5" t="s">
        <v>2677</v>
      </c>
    </row>
    <row r="3864" customFormat="false" ht="15.75" hidden="false" customHeight="false" outlineLevel="0" collapsed="false">
      <c r="A3864" s="3" t="n">
        <v>46201</v>
      </c>
      <c r="B3864" s="4" t="s">
        <v>915</v>
      </c>
      <c r="C3864" s="4" t="n">
        <v>9</v>
      </c>
      <c r="D3864" s="4" t="n">
        <v>10</v>
      </c>
      <c r="E3864" s="4" t="s">
        <v>3386</v>
      </c>
      <c r="F3864" s="4" t="n">
        <v>25</v>
      </c>
      <c r="G3864" s="4" t="n">
        <v>5</v>
      </c>
      <c r="H3864" s="4" t="n">
        <v>4</v>
      </c>
      <c r="I3864" s="4" t="str">
        <v>×</v>
      </c>
      <c r="J3864" s="4"/>
      <c r="K3864" s="4"/>
      <c r="L3864" s="4"/>
      <c r="M3864" s="5" t="s">
        <v>2677</v>
      </c>
    </row>
    <row r="3865" customFormat="false" ht="15.75" hidden="false" customHeight="false" outlineLevel="0" collapsed="false">
      <c r="A3865" s="3" t="n">
        <v>46201</v>
      </c>
      <c r="B3865" s="4" t="s">
        <v>915</v>
      </c>
      <c r="C3865" s="4" t="n">
        <v>9</v>
      </c>
      <c r="D3865" s="4" t="n">
        <v>11</v>
      </c>
      <c r="E3865" s="4" t="s">
        <v>3387</v>
      </c>
      <c r="F3865" s="4" t="n">
        <v>20</v>
      </c>
      <c r="G3865" s="4" t="n">
        <v>6</v>
      </c>
      <c r="H3865" s="4" t="n">
        <v>1</v>
      </c>
      <c r="I3865" s="4" t="str">
        <v>○</v>
      </c>
      <c r="J3865" s="4" t="n">
        <v>480</v>
      </c>
      <c r="K3865" s="4"/>
      <c r="L3865" s="4"/>
      <c r="M3865" s="5" t="s">
        <v>2677</v>
      </c>
    </row>
    <row r="3866" customFormat="false" ht="15.75" hidden="false" customHeight="false" outlineLevel="0" collapsed="false">
      <c r="A3866" s="3" t="n">
        <v>46201</v>
      </c>
      <c r="B3866" s="4" t="s">
        <v>915</v>
      </c>
      <c r="C3866" s="4" t="n">
        <v>9</v>
      </c>
      <c r="D3866" s="4" t="n">
        <v>12</v>
      </c>
      <c r="E3866" s="4" t="s">
        <v>3388</v>
      </c>
      <c r="F3866" s="4" t="n">
        <v>34</v>
      </c>
      <c r="G3866" s="4" t="n">
        <v>2</v>
      </c>
      <c r="H3866" s="4" t="n">
        <v>4</v>
      </c>
      <c r="I3866" s="4" t="str">
        <v>×</v>
      </c>
      <c r="J3866" s="4"/>
      <c r="K3866" s="4"/>
      <c r="L3866" s="4"/>
      <c r="M3866" s="5" t="s">
        <v>2677</v>
      </c>
    </row>
    <row r="3867" customFormat="false" ht="15.75" hidden="false" customHeight="false" outlineLevel="0" collapsed="false">
      <c r="A3867" s="3" t="n">
        <v>46201</v>
      </c>
      <c r="B3867" s="4" t="s">
        <v>915</v>
      </c>
      <c r="C3867" s="4" t="n">
        <v>9</v>
      </c>
      <c r="D3867" s="4" t="n">
        <v>13</v>
      </c>
      <c r="E3867" s="4" t="s">
        <v>3389</v>
      </c>
      <c r="F3867" s="4" t="n">
        <v>8</v>
      </c>
      <c r="G3867" s="4" t="n">
        <v>9</v>
      </c>
      <c r="H3867" s="4" t="n">
        <v>4</v>
      </c>
      <c r="I3867" s="4" t="str">
        <v>×</v>
      </c>
      <c r="J3867" s="4"/>
      <c r="K3867" s="4"/>
      <c r="L3867" s="4"/>
      <c r="M3867" s="5" t="s">
        <v>2677</v>
      </c>
    </row>
    <row r="3868" customFormat="false" ht="15.75" hidden="false" customHeight="false" outlineLevel="0" collapsed="false">
      <c r="A3868" s="3" t="n">
        <v>46201</v>
      </c>
      <c r="B3868" s="4" t="s">
        <v>915</v>
      </c>
      <c r="C3868" s="4" t="n">
        <v>9</v>
      </c>
      <c r="D3868" s="4" t="n">
        <v>14</v>
      </c>
      <c r="E3868" s="4" t="s">
        <v>2527</v>
      </c>
      <c r="F3868" s="4" t="n">
        <v>4</v>
      </c>
      <c r="G3868" s="4" t="n">
        <v>10</v>
      </c>
      <c r="H3868" s="4" t="n">
        <v>4</v>
      </c>
      <c r="I3868" s="4" t="str">
        <v>×</v>
      </c>
      <c r="J3868" s="4"/>
      <c r="K3868" s="4"/>
      <c r="L3868" s="4"/>
      <c r="M3868" s="5" t="s">
        <v>2677</v>
      </c>
    </row>
    <row r="3869" customFormat="false" ht="15.75" hidden="false" customHeight="false" outlineLevel="0" collapsed="false">
      <c r="A3869" s="3" t="n">
        <v>46201</v>
      </c>
      <c r="B3869" s="4" t="s">
        <v>915</v>
      </c>
      <c r="C3869" s="4" t="n">
        <v>10</v>
      </c>
      <c r="D3869" s="4" t="n">
        <v>1</v>
      </c>
      <c r="E3869" s="4" t="s">
        <v>3390</v>
      </c>
      <c r="F3869" s="4" t="n">
        <v>29</v>
      </c>
      <c r="G3869" s="4" t="n">
        <v>4</v>
      </c>
      <c r="H3869" s="4" t="n">
        <v>4</v>
      </c>
      <c r="I3869" s="4" t="str">
        <v>×</v>
      </c>
      <c r="J3869" s="4"/>
      <c r="K3869" s="4"/>
      <c r="L3869" s="4"/>
      <c r="M3869" s="5" t="s">
        <v>2677</v>
      </c>
    </row>
    <row r="3870" customFormat="false" ht="15.75" hidden="false" customHeight="false" outlineLevel="0" collapsed="false">
      <c r="A3870" s="3" t="n">
        <v>46201</v>
      </c>
      <c r="B3870" s="4" t="s">
        <v>915</v>
      </c>
      <c r="C3870" s="4" t="n">
        <v>10</v>
      </c>
      <c r="D3870" s="4" t="n">
        <v>2</v>
      </c>
      <c r="E3870" s="4" t="s">
        <v>3391</v>
      </c>
      <c r="F3870" s="4" t="n">
        <v>13</v>
      </c>
      <c r="G3870" s="4" t="n">
        <v>10</v>
      </c>
      <c r="H3870" s="4" t="n">
        <v>4</v>
      </c>
      <c r="I3870" s="4" t="str">
        <v>×</v>
      </c>
      <c r="J3870" s="4"/>
      <c r="K3870" s="4"/>
      <c r="L3870" s="4"/>
      <c r="M3870" s="5" t="s">
        <v>2677</v>
      </c>
    </row>
    <row r="3871" customFormat="false" ht="15.75" hidden="false" customHeight="false" outlineLevel="0" collapsed="false">
      <c r="A3871" s="3" t="n">
        <v>46201</v>
      </c>
      <c r="B3871" s="4" t="s">
        <v>915</v>
      </c>
      <c r="C3871" s="4" t="n">
        <v>10</v>
      </c>
      <c r="D3871" s="4" t="n">
        <v>3</v>
      </c>
      <c r="E3871" s="4" t="s">
        <v>3392</v>
      </c>
      <c r="F3871" s="4" t="n">
        <v>29</v>
      </c>
      <c r="G3871" s="4" t="n">
        <v>4</v>
      </c>
      <c r="H3871" s="4" t="n">
        <v>4</v>
      </c>
      <c r="I3871" s="4" t="str">
        <v>×</v>
      </c>
      <c r="J3871" s="4"/>
      <c r="K3871" s="4"/>
      <c r="L3871" s="4"/>
      <c r="M3871" s="5" t="s">
        <v>2677</v>
      </c>
    </row>
    <row r="3872" customFormat="false" ht="15.75" hidden="false" customHeight="false" outlineLevel="0" collapsed="false">
      <c r="A3872" s="3" t="n">
        <v>46201</v>
      </c>
      <c r="B3872" s="4" t="s">
        <v>915</v>
      </c>
      <c r="C3872" s="4" t="n">
        <v>10</v>
      </c>
      <c r="D3872" s="4" t="n">
        <v>4</v>
      </c>
      <c r="E3872" s="4" t="s">
        <v>3393</v>
      </c>
      <c r="F3872" s="4" t="n">
        <v>74</v>
      </c>
      <c r="G3872" s="4" t="n">
        <v>1</v>
      </c>
      <c r="H3872" s="4" t="n">
        <v>1</v>
      </c>
      <c r="I3872" s="4" t="str">
        <v>○</v>
      </c>
      <c r="J3872" s="4" t="n">
        <v>110</v>
      </c>
      <c r="K3872" s="4"/>
      <c r="L3872" s="4"/>
      <c r="M3872" s="5" t="s">
        <v>2677</v>
      </c>
    </row>
    <row r="3873" customFormat="false" ht="15.75" hidden="false" customHeight="false" outlineLevel="0" collapsed="false">
      <c r="A3873" s="3" t="n">
        <v>46201</v>
      </c>
      <c r="B3873" s="4" t="s">
        <v>915</v>
      </c>
      <c r="C3873" s="4" t="n">
        <v>10</v>
      </c>
      <c r="D3873" s="4" t="n">
        <v>5</v>
      </c>
      <c r="E3873" s="4" t="s">
        <v>3394</v>
      </c>
      <c r="F3873" s="4" t="n">
        <v>17</v>
      </c>
      <c r="G3873" s="4" t="n">
        <v>7</v>
      </c>
      <c r="H3873" s="4" t="n">
        <v>4</v>
      </c>
      <c r="I3873" s="4" t="str">
        <v>×</v>
      </c>
      <c r="J3873" s="4"/>
      <c r="K3873" s="4"/>
      <c r="L3873" s="4"/>
      <c r="M3873" s="5" t="s">
        <v>2677</v>
      </c>
    </row>
    <row r="3874" customFormat="false" ht="15.75" hidden="false" customHeight="false" outlineLevel="0" collapsed="false">
      <c r="A3874" s="3" t="n">
        <v>46201</v>
      </c>
      <c r="B3874" s="4" t="s">
        <v>915</v>
      </c>
      <c r="C3874" s="4" t="n">
        <v>10</v>
      </c>
      <c r="D3874" s="4" t="n">
        <v>6</v>
      </c>
      <c r="E3874" s="4" t="s">
        <v>3395</v>
      </c>
      <c r="F3874" s="4" t="n">
        <v>23</v>
      </c>
      <c r="G3874" s="4" t="n">
        <v>6</v>
      </c>
      <c r="H3874" s="4" t="n">
        <v>4</v>
      </c>
      <c r="I3874" s="4" t="str">
        <v>×</v>
      </c>
      <c r="J3874" s="4"/>
      <c r="K3874" s="4"/>
      <c r="L3874" s="4"/>
      <c r="M3874" s="5" t="s">
        <v>2677</v>
      </c>
    </row>
    <row r="3875" customFormat="false" ht="15.75" hidden="false" customHeight="false" outlineLevel="0" collapsed="false">
      <c r="A3875" s="3" t="n">
        <v>46201</v>
      </c>
      <c r="B3875" s="4" t="s">
        <v>915</v>
      </c>
      <c r="C3875" s="4" t="n">
        <v>10</v>
      </c>
      <c r="D3875" s="4" t="n">
        <v>7</v>
      </c>
      <c r="E3875" s="4" t="s">
        <v>3396</v>
      </c>
      <c r="F3875" s="4" t="n">
        <v>15</v>
      </c>
      <c r="G3875" s="4" t="n">
        <v>8</v>
      </c>
      <c r="H3875" s="4" t="n">
        <v>4</v>
      </c>
      <c r="I3875" s="4" t="str">
        <v>×</v>
      </c>
      <c r="J3875" s="4"/>
      <c r="K3875" s="4"/>
      <c r="L3875" s="4"/>
      <c r="M3875" s="5" t="s">
        <v>2677</v>
      </c>
    </row>
    <row r="3876" customFormat="false" ht="15.75" hidden="false" customHeight="false" outlineLevel="0" collapsed="false">
      <c r="A3876" s="3" t="n">
        <v>46201</v>
      </c>
      <c r="B3876" s="4" t="s">
        <v>915</v>
      </c>
      <c r="C3876" s="4" t="n">
        <v>10</v>
      </c>
      <c r="D3876" s="4" t="n">
        <v>8</v>
      </c>
      <c r="E3876" s="4" t="s">
        <v>3397</v>
      </c>
      <c r="F3876" s="4" t="n">
        <v>15</v>
      </c>
      <c r="G3876" s="4" t="n">
        <v>8</v>
      </c>
      <c r="H3876" s="4" t="n">
        <v>4</v>
      </c>
      <c r="I3876" s="4" t="str">
        <v>×</v>
      </c>
      <c r="J3876" s="4"/>
      <c r="K3876" s="4"/>
      <c r="L3876" s="4"/>
      <c r="M3876" s="5" t="s">
        <v>2677</v>
      </c>
    </row>
    <row r="3877" customFormat="false" ht="15.75" hidden="false" customHeight="false" outlineLevel="0" collapsed="false">
      <c r="A3877" s="3" t="n">
        <v>46201</v>
      </c>
      <c r="B3877" s="4" t="s">
        <v>915</v>
      </c>
      <c r="C3877" s="4" t="n">
        <v>10</v>
      </c>
      <c r="D3877" s="4" t="n">
        <v>9</v>
      </c>
      <c r="E3877" s="4" t="s">
        <v>2399</v>
      </c>
      <c r="F3877" s="4" t="n">
        <v>50</v>
      </c>
      <c r="G3877" s="4" t="n">
        <v>2</v>
      </c>
      <c r="H3877" s="4" t="n">
        <v>3</v>
      </c>
      <c r="I3877" s="4" t="str">
        <v>○</v>
      </c>
      <c r="J3877" s="4" t="n">
        <v>150</v>
      </c>
      <c r="K3877" s="4"/>
      <c r="L3877" s="4"/>
      <c r="M3877" s="5" t="s">
        <v>2677</v>
      </c>
    </row>
    <row r="3878" customFormat="false" ht="15.75" hidden="false" customHeight="false" outlineLevel="0" collapsed="false">
      <c r="A3878" s="3" t="n">
        <v>46201</v>
      </c>
      <c r="B3878" s="4" t="s">
        <v>915</v>
      </c>
      <c r="C3878" s="4" t="n">
        <v>10</v>
      </c>
      <c r="D3878" s="4" t="n">
        <v>10</v>
      </c>
      <c r="E3878" s="4" t="s">
        <v>3398</v>
      </c>
      <c r="F3878" s="4" t="n">
        <v>34</v>
      </c>
      <c r="G3878" s="4" t="n">
        <v>3</v>
      </c>
      <c r="H3878" s="4" t="n">
        <v>2</v>
      </c>
      <c r="I3878" s="4" t="str">
        <v>○</v>
      </c>
      <c r="J3878" s="4" t="n">
        <v>350</v>
      </c>
      <c r="K3878" s="4"/>
      <c r="L3878" s="4"/>
      <c r="M3878" s="5" t="s">
        <v>2677</v>
      </c>
    </row>
    <row r="3879" customFormat="false" ht="15.75" hidden="false" customHeight="false" outlineLevel="0" collapsed="false">
      <c r="A3879" s="3" t="n">
        <v>46201</v>
      </c>
      <c r="B3879" s="4" t="s">
        <v>915</v>
      </c>
      <c r="C3879" s="4" t="n">
        <v>10</v>
      </c>
      <c r="D3879" s="4" t="n">
        <v>11</v>
      </c>
      <c r="E3879" s="4" t="s">
        <v>3399</v>
      </c>
      <c r="F3879" s="4" t="n">
        <v>10</v>
      </c>
      <c r="G3879" s="4" t="n">
        <v>11</v>
      </c>
      <c r="H3879" s="4" t="n">
        <v>4</v>
      </c>
      <c r="I3879" s="4" t="str">
        <v>×</v>
      </c>
      <c r="J3879" s="4"/>
      <c r="K3879" s="4"/>
      <c r="L3879" s="4"/>
      <c r="M3879" s="5" t="s">
        <v>2677</v>
      </c>
    </row>
    <row r="3880" customFormat="false" ht="15.75" hidden="false" customHeight="false" outlineLevel="0" collapsed="false">
      <c r="A3880" s="3" t="n">
        <v>46201</v>
      </c>
      <c r="B3880" s="4" t="s">
        <v>915</v>
      </c>
      <c r="C3880" s="4" t="n">
        <v>11</v>
      </c>
      <c r="D3880" s="4" t="n">
        <v>1</v>
      </c>
      <c r="E3880" s="4" t="s">
        <v>3400</v>
      </c>
      <c r="F3880" s="4" t="n">
        <v>20</v>
      </c>
      <c r="G3880" s="4" t="n">
        <v>11</v>
      </c>
      <c r="H3880" s="4" t="n">
        <v>4</v>
      </c>
      <c r="I3880" s="4" t="str">
        <v>×</v>
      </c>
      <c r="J3880" s="4"/>
      <c r="K3880" s="4"/>
      <c r="L3880" s="4"/>
      <c r="M3880" s="5" t="s">
        <v>2677</v>
      </c>
    </row>
    <row r="3881" customFormat="false" ht="15.75" hidden="false" customHeight="false" outlineLevel="0" collapsed="false">
      <c r="A3881" s="3" t="n">
        <v>46201</v>
      </c>
      <c r="B3881" s="4" t="s">
        <v>915</v>
      </c>
      <c r="C3881" s="4" t="n">
        <v>11</v>
      </c>
      <c r="D3881" s="4" t="n">
        <v>2</v>
      </c>
      <c r="E3881" s="4" t="s">
        <v>3401</v>
      </c>
      <c r="F3881" s="4" t="n">
        <v>23</v>
      </c>
      <c r="G3881" s="4" t="n">
        <v>8</v>
      </c>
      <c r="H3881" s="4" t="n">
        <v>4</v>
      </c>
      <c r="I3881" s="4" t="str">
        <v>×</v>
      </c>
      <c r="J3881" s="4"/>
      <c r="K3881" s="4"/>
      <c r="L3881" s="4"/>
      <c r="M3881" s="5" t="s">
        <v>2677</v>
      </c>
    </row>
    <row r="3882" customFormat="false" ht="15.75" hidden="false" customHeight="false" outlineLevel="0" collapsed="false">
      <c r="A3882" s="3" t="n">
        <v>46201</v>
      </c>
      <c r="B3882" s="4" t="s">
        <v>915</v>
      </c>
      <c r="C3882" s="4" t="n">
        <v>11</v>
      </c>
      <c r="D3882" s="4" t="n">
        <v>3</v>
      </c>
      <c r="E3882" s="4" t="s">
        <v>81</v>
      </c>
      <c r="F3882" s="4" t="n">
        <v>23</v>
      </c>
      <c r="G3882" s="4" t="n">
        <v>8</v>
      </c>
      <c r="H3882" s="4" t="n">
        <v>4</v>
      </c>
      <c r="I3882" s="4" t="str">
        <v>×</v>
      </c>
      <c r="J3882" s="4"/>
      <c r="K3882" s="4"/>
      <c r="L3882" s="4"/>
      <c r="M3882" s="5" t="s">
        <v>2677</v>
      </c>
    </row>
    <row r="3883" customFormat="false" ht="15.75" hidden="false" customHeight="false" outlineLevel="0" collapsed="false">
      <c r="A3883" s="3" t="n">
        <v>46201</v>
      </c>
      <c r="B3883" s="4" t="s">
        <v>915</v>
      </c>
      <c r="C3883" s="4" t="n">
        <v>11</v>
      </c>
      <c r="D3883" s="4" t="n">
        <v>4</v>
      </c>
      <c r="E3883" s="4" t="s">
        <v>279</v>
      </c>
      <c r="F3883" s="4" t="n">
        <v>10</v>
      </c>
      <c r="G3883" s="4" t="n">
        <v>15</v>
      </c>
      <c r="H3883" s="4" t="n">
        <v>4</v>
      </c>
      <c r="I3883" s="4" t="str">
        <v>×</v>
      </c>
      <c r="J3883" s="4"/>
      <c r="K3883" s="4"/>
      <c r="L3883" s="4"/>
      <c r="M3883" s="5" t="s">
        <v>2677</v>
      </c>
    </row>
    <row r="3884" customFormat="false" ht="15.75" hidden="false" customHeight="false" outlineLevel="0" collapsed="false">
      <c r="A3884" s="3" t="n">
        <v>46201</v>
      </c>
      <c r="B3884" s="4" t="s">
        <v>915</v>
      </c>
      <c r="C3884" s="4" t="n">
        <v>11</v>
      </c>
      <c r="D3884" s="4" t="n">
        <v>5</v>
      </c>
      <c r="E3884" s="4" t="s">
        <v>3402</v>
      </c>
      <c r="F3884" s="4" t="n">
        <v>56</v>
      </c>
      <c r="G3884" s="4" t="n">
        <v>1</v>
      </c>
      <c r="H3884" s="4" t="n">
        <v>3</v>
      </c>
      <c r="I3884" s="4" t="str">
        <v>○</v>
      </c>
      <c r="J3884" s="4" t="n">
        <v>200</v>
      </c>
      <c r="K3884" s="4"/>
      <c r="L3884" s="4"/>
      <c r="M3884" s="5" t="s">
        <v>2677</v>
      </c>
    </row>
    <row r="3885" customFormat="false" ht="15.75" hidden="false" customHeight="false" outlineLevel="0" collapsed="false">
      <c r="A3885" s="3" t="n">
        <v>46201</v>
      </c>
      <c r="B3885" s="4" t="s">
        <v>915</v>
      </c>
      <c r="C3885" s="4" t="n">
        <v>11</v>
      </c>
      <c r="D3885" s="4" t="n">
        <v>6</v>
      </c>
      <c r="E3885" s="4" t="s">
        <v>3403</v>
      </c>
      <c r="F3885" s="4" t="n">
        <v>29</v>
      </c>
      <c r="G3885" s="4" t="n">
        <v>4</v>
      </c>
      <c r="H3885" s="4" t="n">
        <v>4</v>
      </c>
      <c r="I3885" s="4" t="str">
        <v>×</v>
      </c>
      <c r="J3885" s="4"/>
      <c r="K3885" s="4"/>
      <c r="L3885" s="4"/>
      <c r="M3885" s="5" t="s">
        <v>2677</v>
      </c>
    </row>
    <row r="3886" customFormat="false" ht="15.75" hidden="false" customHeight="false" outlineLevel="0" collapsed="false">
      <c r="A3886" s="3" t="n">
        <v>46201</v>
      </c>
      <c r="B3886" s="4" t="s">
        <v>915</v>
      </c>
      <c r="C3886" s="4" t="n">
        <v>11</v>
      </c>
      <c r="D3886" s="4" t="n">
        <v>7</v>
      </c>
      <c r="E3886" s="4" t="s">
        <v>3404</v>
      </c>
      <c r="F3886" s="4" t="n">
        <v>13</v>
      </c>
      <c r="G3886" s="4" t="n">
        <v>14</v>
      </c>
      <c r="H3886" s="4" t="n">
        <v>4</v>
      </c>
      <c r="I3886" s="4" t="str">
        <v>×</v>
      </c>
      <c r="J3886" s="4"/>
      <c r="K3886" s="4"/>
      <c r="L3886" s="4"/>
      <c r="M3886" s="5" t="s">
        <v>2677</v>
      </c>
    </row>
    <row r="3887" customFormat="false" ht="15.75" hidden="false" customHeight="false" outlineLevel="0" collapsed="false">
      <c r="A3887" s="3" t="n">
        <v>46201</v>
      </c>
      <c r="B3887" s="4" t="s">
        <v>915</v>
      </c>
      <c r="C3887" s="4" t="n">
        <v>11</v>
      </c>
      <c r="D3887" s="4" t="n">
        <v>8</v>
      </c>
      <c r="E3887" s="4" t="s">
        <v>3405</v>
      </c>
      <c r="F3887" s="4" t="n">
        <v>44</v>
      </c>
      <c r="G3887" s="4" t="n">
        <v>3</v>
      </c>
      <c r="H3887" s="4" t="n">
        <v>2</v>
      </c>
      <c r="I3887" s="4" t="str">
        <v>○</v>
      </c>
      <c r="J3887" s="4" t="n">
        <v>360</v>
      </c>
      <c r="K3887" s="4"/>
      <c r="L3887" s="4"/>
      <c r="M3887" s="5" t="s">
        <v>2677</v>
      </c>
    </row>
    <row r="3888" customFormat="false" ht="15.75" hidden="false" customHeight="false" outlineLevel="0" collapsed="false">
      <c r="A3888" s="3" t="n">
        <v>46201</v>
      </c>
      <c r="B3888" s="4" t="s">
        <v>915</v>
      </c>
      <c r="C3888" s="4" t="n">
        <v>11</v>
      </c>
      <c r="D3888" s="4" t="n">
        <v>9</v>
      </c>
      <c r="E3888" s="4" t="s">
        <v>1975</v>
      </c>
      <c r="F3888" s="4" t="n">
        <v>17</v>
      </c>
      <c r="G3888" s="4" t="n">
        <v>12</v>
      </c>
      <c r="H3888" s="4" t="n">
        <v>4</v>
      </c>
      <c r="I3888" s="4" t="str">
        <v>×</v>
      </c>
      <c r="J3888" s="4"/>
      <c r="K3888" s="4"/>
      <c r="L3888" s="4"/>
      <c r="M3888" s="5" t="s">
        <v>2677</v>
      </c>
    </row>
    <row r="3889" customFormat="false" ht="15.75" hidden="false" customHeight="false" outlineLevel="0" collapsed="false">
      <c r="A3889" s="3" t="n">
        <v>46201</v>
      </c>
      <c r="B3889" s="4" t="s">
        <v>915</v>
      </c>
      <c r="C3889" s="4" t="n">
        <v>11</v>
      </c>
      <c r="D3889" s="4" t="n">
        <v>10</v>
      </c>
      <c r="E3889" s="4" t="s">
        <v>79</v>
      </c>
      <c r="F3889" s="4" t="n">
        <v>6</v>
      </c>
      <c r="G3889" s="4" t="n">
        <v>16</v>
      </c>
      <c r="H3889" s="4" t="n">
        <v>4</v>
      </c>
      <c r="I3889" s="4" t="str">
        <v>×</v>
      </c>
      <c r="J3889" s="4"/>
      <c r="K3889" s="4"/>
      <c r="L3889" s="4"/>
      <c r="M3889" s="5" t="s">
        <v>2677</v>
      </c>
    </row>
    <row r="3890" customFormat="false" ht="15.75" hidden="false" customHeight="false" outlineLevel="0" collapsed="false">
      <c r="A3890" s="3" t="n">
        <v>46201</v>
      </c>
      <c r="B3890" s="4" t="s">
        <v>915</v>
      </c>
      <c r="C3890" s="4" t="n">
        <v>11</v>
      </c>
      <c r="D3890" s="4" t="n">
        <v>11</v>
      </c>
      <c r="E3890" s="4" t="s">
        <v>3406</v>
      </c>
      <c r="F3890" s="4" t="n">
        <v>29</v>
      </c>
      <c r="G3890" s="4" t="n">
        <v>4</v>
      </c>
      <c r="H3890" s="4" t="n">
        <v>4</v>
      </c>
      <c r="I3890" s="4" t="str">
        <v>×</v>
      </c>
      <c r="J3890" s="4"/>
      <c r="K3890" s="4"/>
      <c r="L3890" s="4"/>
      <c r="M3890" s="5" t="s">
        <v>2677</v>
      </c>
    </row>
    <row r="3891" customFormat="false" ht="15.75" hidden="false" customHeight="false" outlineLevel="0" collapsed="false">
      <c r="A3891" s="3" t="n">
        <v>46201</v>
      </c>
      <c r="B3891" s="4" t="s">
        <v>915</v>
      </c>
      <c r="C3891" s="4" t="n">
        <v>11</v>
      </c>
      <c r="D3891" s="4" t="n">
        <v>12</v>
      </c>
      <c r="E3891" s="4" t="s">
        <v>3407</v>
      </c>
      <c r="F3891" s="4" t="n">
        <v>50</v>
      </c>
      <c r="G3891" s="4" t="n">
        <v>2</v>
      </c>
      <c r="H3891" s="4" t="n">
        <v>4</v>
      </c>
      <c r="I3891" s="4" t="str">
        <v>×</v>
      </c>
      <c r="J3891" s="4"/>
      <c r="K3891" s="4"/>
      <c r="L3891" s="4"/>
      <c r="M3891" s="5" t="s">
        <v>2677</v>
      </c>
    </row>
    <row r="3892" customFormat="false" ht="15.75" hidden="false" customHeight="false" outlineLevel="0" collapsed="false">
      <c r="A3892" s="3" t="n">
        <v>46201</v>
      </c>
      <c r="B3892" s="4" t="s">
        <v>915</v>
      </c>
      <c r="C3892" s="4" t="n">
        <v>11</v>
      </c>
      <c r="D3892" s="4" t="n">
        <v>13</v>
      </c>
      <c r="E3892" s="4" t="s">
        <v>3408</v>
      </c>
      <c r="F3892" s="4" t="n">
        <v>25</v>
      </c>
      <c r="G3892" s="4" t="n">
        <v>7</v>
      </c>
      <c r="H3892" s="4" t="n">
        <v>1</v>
      </c>
      <c r="I3892" s="4" t="str">
        <v>○</v>
      </c>
      <c r="J3892" s="4" t="n">
        <v>200</v>
      </c>
      <c r="K3892" s="4"/>
      <c r="L3892" s="4"/>
      <c r="M3892" s="5" t="s">
        <v>2677</v>
      </c>
    </row>
    <row r="3893" customFormat="false" ht="15.75" hidden="false" customHeight="false" outlineLevel="0" collapsed="false">
      <c r="A3893" s="3" t="n">
        <v>46201</v>
      </c>
      <c r="B3893" s="4" t="s">
        <v>915</v>
      </c>
      <c r="C3893" s="4" t="n">
        <v>11</v>
      </c>
      <c r="D3893" s="4" t="n">
        <v>14</v>
      </c>
      <c r="E3893" s="4" t="s">
        <v>3409</v>
      </c>
      <c r="F3893" s="4" t="n">
        <v>23</v>
      </c>
      <c r="G3893" s="4" t="n">
        <v>8</v>
      </c>
      <c r="H3893" s="4" t="n">
        <v>4</v>
      </c>
      <c r="I3893" s="4" t="str">
        <v>×</v>
      </c>
      <c r="J3893" s="4"/>
      <c r="K3893" s="4"/>
      <c r="L3893" s="4"/>
      <c r="M3893" s="5" t="s">
        <v>2677</v>
      </c>
    </row>
    <row r="3894" customFormat="false" ht="15.75" hidden="false" customHeight="false" outlineLevel="0" collapsed="false">
      <c r="A3894" s="3" t="n">
        <v>46201</v>
      </c>
      <c r="B3894" s="4" t="s">
        <v>915</v>
      </c>
      <c r="C3894" s="4" t="n">
        <v>11</v>
      </c>
      <c r="D3894" s="4" t="n">
        <v>15</v>
      </c>
      <c r="E3894" s="4" t="s">
        <v>3410</v>
      </c>
      <c r="F3894" s="4" t="n">
        <v>29</v>
      </c>
      <c r="G3894" s="4" t="n">
        <v>4</v>
      </c>
      <c r="H3894" s="4" t="n">
        <v>4</v>
      </c>
      <c r="I3894" s="4" t="str">
        <v>×</v>
      </c>
      <c r="J3894" s="4"/>
      <c r="K3894" s="4"/>
      <c r="L3894" s="4"/>
      <c r="M3894" s="5" t="s">
        <v>2677</v>
      </c>
    </row>
    <row r="3895" customFormat="false" ht="15.75" hidden="false" customHeight="false" outlineLevel="0" collapsed="false">
      <c r="A3895" s="3" t="n">
        <v>46201</v>
      </c>
      <c r="B3895" s="4" t="s">
        <v>915</v>
      </c>
      <c r="C3895" s="4" t="n">
        <v>11</v>
      </c>
      <c r="D3895" s="4" t="n">
        <v>16</v>
      </c>
      <c r="E3895" s="4" t="s">
        <v>3411</v>
      </c>
      <c r="F3895" s="4" t="n">
        <v>17</v>
      </c>
      <c r="G3895" s="4" t="n">
        <v>12</v>
      </c>
      <c r="H3895" s="4" t="n">
        <v>4</v>
      </c>
      <c r="I3895" s="4" t="str">
        <v>×</v>
      </c>
      <c r="J3895" s="4"/>
      <c r="K3895" s="4"/>
      <c r="L3895" s="4"/>
      <c r="M3895" s="5" t="s">
        <v>2677</v>
      </c>
    </row>
    <row r="3896" customFormat="false" ht="15.75" hidden="false" customHeight="false" outlineLevel="0" collapsed="false">
      <c r="A3896" s="3" t="n">
        <v>46201</v>
      </c>
      <c r="B3896" s="4" t="s">
        <v>915</v>
      </c>
      <c r="C3896" s="4" t="n">
        <v>12</v>
      </c>
      <c r="D3896" s="4" t="n">
        <v>1</v>
      </c>
      <c r="E3896" s="4" t="s">
        <v>1080</v>
      </c>
      <c r="F3896" s="4" t="n">
        <v>37</v>
      </c>
      <c r="G3896" s="4" t="n">
        <v>8</v>
      </c>
      <c r="H3896" s="4" t="n">
        <v>3</v>
      </c>
      <c r="I3896" s="4" t="str">
        <v>○</v>
      </c>
      <c r="J3896" s="4" t="n">
        <v>270</v>
      </c>
      <c r="K3896" s="4"/>
      <c r="L3896" s="4"/>
      <c r="M3896" s="5" t="s">
        <v>2677</v>
      </c>
    </row>
    <row r="3897" customFormat="false" ht="15.75" hidden="false" customHeight="false" outlineLevel="0" collapsed="false">
      <c r="A3897" s="3" t="n">
        <v>46201</v>
      </c>
      <c r="B3897" s="4" t="s">
        <v>915</v>
      </c>
      <c r="C3897" s="4" t="n">
        <v>12</v>
      </c>
      <c r="D3897" s="4" t="n">
        <v>2</v>
      </c>
      <c r="E3897" s="4" t="s">
        <v>3412</v>
      </c>
      <c r="F3897" s="4" t="n">
        <v>44</v>
      </c>
      <c r="G3897" s="4" t="n">
        <v>1</v>
      </c>
      <c r="H3897" s="4" t="n">
        <v>4</v>
      </c>
      <c r="I3897" s="4" t="str">
        <v>×</v>
      </c>
      <c r="J3897" s="4"/>
      <c r="K3897" s="4"/>
      <c r="L3897" s="4"/>
      <c r="M3897" s="5" t="s">
        <v>2677</v>
      </c>
    </row>
    <row r="3898" customFormat="false" ht="15.75" hidden="false" customHeight="false" outlineLevel="0" collapsed="false">
      <c r="A3898" s="3" t="n">
        <v>46201</v>
      </c>
      <c r="B3898" s="4" t="s">
        <v>915</v>
      </c>
      <c r="C3898" s="4" t="n">
        <v>12</v>
      </c>
      <c r="D3898" s="4" t="n">
        <v>3</v>
      </c>
      <c r="E3898" s="4" t="s">
        <v>603</v>
      </c>
      <c r="F3898" s="4" t="n">
        <v>4</v>
      </c>
      <c r="G3898" s="4" t="n">
        <v>12</v>
      </c>
      <c r="H3898" s="4" t="n">
        <v>4</v>
      </c>
      <c r="I3898" s="4" t="str">
        <v>×</v>
      </c>
      <c r="J3898" s="4"/>
      <c r="K3898" s="4"/>
      <c r="L3898" s="4"/>
      <c r="M3898" s="5" t="s">
        <v>2677</v>
      </c>
    </row>
    <row r="3899" customFormat="false" ht="15.75" hidden="false" customHeight="false" outlineLevel="0" collapsed="false">
      <c r="A3899" s="3" t="n">
        <v>46201</v>
      </c>
      <c r="B3899" s="4" t="s">
        <v>915</v>
      </c>
      <c r="C3899" s="4" t="n">
        <v>12</v>
      </c>
      <c r="D3899" s="4" t="n">
        <v>4</v>
      </c>
      <c r="E3899" s="4" t="s">
        <v>3413</v>
      </c>
      <c r="F3899" s="4" t="n">
        <v>39</v>
      </c>
      <c r="G3899" s="4" t="n">
        <v>5</v>
      </c>
      <c r="H3899" s="4" t="n">
        <v>4</v>
      </c>
      <c r="I3899" s="4" t="str">
        <v>×</v>
      </c>
      <c r="J3899" s="4"/>
      <c r="K3899" s="4"/>
      <c r="L3899" s="4"/>
      <c r="M3899" s="5" t="s">
        <v>2677</v>
      </c>
    </row>
    <row r="3900" customFormat="false" ht="15.75" hidden="false" customHeight="false" outlineLevel="0" collapsed="false">
      <c r="A3900" s="3" t="n">
        <v>46201</v>
      </c>
      <c r="B3900" s="4" t="s">
        <v>915</v>
      </c>
      <c r="C3900" s="4" t="n">
        <v>12</v>
      </c>
      <c r="D3900" s="4" t="n">
        <v>5</v>
      </c>
      <c r="E3900" s="4" t="s">
        <v>3414</v>
      </c>
      <c r="F3900" s="4" t="n">
        <v>41</v>
      </c>
      <c r="G3900" s="4" t="n">
        <v>2</v>
      </c>
      <c r="H3900" s="4" t="n">
        <v>4</v>
      </c>
      <c r="I3900" s="4" t="str">
        <v>×</v>
      </c>
      <c r="J3900" s="4"/>
      <c r="K3900" s="4"/>
      <c r="L3900" s="4"/>
      <c r="M3900" s="5" t="s">
        <v>2677</v>
      </c>
    </row>
    <row r="3901" customFormat="false" ht="15.75" hidden="false" customHeight="false" outlineLevel="0" collapsed="false">
      <c r="A3901" s="3" t="n">
        <v>46201</v>
      </c>
      <c r="B3901" s="4" t="s">
        <v>915</v>
      </c>
      <c r="C3901" s="4" t="n">
        <v>12</v>
      </c>
      <c r="D3901" s="4" t="n">
        <v>6</v>
      </c>
      <c r="E3901" s="4" t="s">
        <v>520</v>
      </c>
      <c r="F3901" s="4" t="n">
        <v>3</v>
      </c>
      <c r="G3901" s="4" t="n">
        <v>14</v>
      </c>
      <c r="H3901" s="4" t="n">
        <v>4</v>
      </c>
      <c r="I3901" s="4" t="str">
        <v>×</v>
      </c>
      <c r="J3901" s="4"/>
      <c r="K3901" s="4"/>
      <c r="L3901" s="4"/>
      <c r="M3901" s="5" t="s">
        <v>2677</v>
      </c>
    </row>
    <row r="3902" customFormat="false" ht="15.75" hidden="false" customHeight="false" outlineLevel="0" collapsed="false">
      <c r="A3902" s="3" t="n">
        <v>46201</v>
      </c>
      <c r="B3902" s="4" t="s">
        <v>915</v>
      </c>
      <c r="C3902" s="4" t="n">
        <v>12</v>
      </c>
      <c r="D3902" s="4" t="n">
        <v>7</v>
      </c>
      <c r="E3902" s="4" t="s">
        <v>1076</v>
      </c>
      <c r="F3902" s="4" t="n">
        <v>41</v>
      </c>
      <c r="G3902" s="4" t="n">
        <v>2</v>
      </c>
      <c r="H3902" s="4" t="n">
        <v>2</v>
      </c>
      <c r="I3902" s="4" t="str">
        <v>○</v>
      </c>
      <c r="J3902" s="4" t="n">
        <v>180</v>
      </c>
      <c r="K3902" s="4"/>
      <c r="L3902" s="4"/>
      <c r="M3902" s="5" t="s">
        <v>2677</v>
      </c>
    </row>
    <row r="3903" customFormat="false" ht="15.75" hidden="false" customHeight="false" outlineLevel="0" collapsed="false">
      <c r="A3903" s="3" t="n">
        <v>46201</v>
      </c>
      <c r="B3903" s="4" t="s">
        <v>915</v>
      </c>
      <c r="C3903" s="4" t="n">
        <v>12</v>
      </c>
      <c r="D3903" s="4" t="n">
        <v>8</v>
      </c>
      <c r="E3903" s="4" t="s">
        <v>3415</v>
      </c>
      <c r="F3903" s="4" t="n">
        <v>39</v>
      </c>
      <c r="G3903" s="4" t="n">
        <v>5</v>
      </c>
      <c r="H3903" s="4" t="n">
        <v>1</v>
      </c>
      <c r="I3903" s="4" t="str">
        <v>○</v>
      </c>
      <c r="J3903" s="4" t="n">
        <v>330</v>
      </c>
      <c r="K3903" s="4"/>
      <c r="L3903" s="4"/>
      <c r="M3903" s="5" t="s">
        <v>2677</v>
      </c>
    </row>
    <row r="3904" customFormat="false" ht="15.75" hidden="false" customHeight="false" outlineLevel="0" collapsed="false">
      <c r="A3904" s="3" t="n">
        <v>46201</v>
      </c>
      <c r="B3904" s="4" t="s">
        <v>915</v>
      </c>
      <c r="C3904" s="4" t="n">
        <v>12</v>
      </c>
      <c r="D3904" s="4" t="n">
        <v>9</v>
      </c>
      <c r="E3904" s="4" t="s">
        <v>420</v>
      </c>
      <c r="F3904" s="4" t="n">
        <v>17</v>
      </c>
      <c r="G3904" s="4" t="n">
        <v>9</v>
      </c>
      <c r="H3904" s="4" t="n">
        <v>4</v>
      </c>
      <c r="I3904" s="4" t="str">
        <v>×</v>
      </c>
      <c r="J3904" s="4"/>
      <c r="K3904" s="4"/>
      <c r="L3904" s="4"/>
      <c r="M3904" s="5" t="s">
        <v>2677</v>
      </c>
    </row>
    <row r="3905" customFormat="false" ht="15.75" hidden="false" customHeight="false" outlineLevel="0" collapsed="false">
      <c r="A3905" s="3" t="n">
        <v>46201</v>
      </c>
      <c r="B3905" s="4" t="s">
        <v>915</v>
      </c>
      <c r="C3905" s="4" t="n">
        <v>12</v>
      </c>
      <c r="D3905" s="4" t="n">
        <v>10</v>
      </c>
      <c r="E3905" s="4" t="s">
        <v>3416</v>
      </c>
      <c r="F3905" s="4" t="n">
        <v>4</v>
      </c>
      <c r="G3905" s="4" t="n">
        <v>12</v>
      </c>
      <c r="H3905" s="4" t="n">
        <v>4</v>
      </c>
      <c r="I3905" s="4" t="str">
        <v>×</v>
      </c>
      <c r="J3905" s="4"/>
      <c r="K3905" s="4"/>
      <c r="L3905" s="4"/>
      <c r="M3905" s="5" t="s">
        <v>2677</v>
      </c>
    </row>
    <row r="3906" customFormat="false" ht="15.75" hidden="false" customHeight="false" outlineLevel="0" collapsed="false">
      <c r="A3906" s="3" t="n">
        <v>46201</v>
      </c>
      <c r="B3906" s="4" t="s">
        <v>915</v>
      </c>
      <c r="C3906" s="4" t="n">
        <v>12</v>
      </c>
      <c r="D3906" s="4" t="n">
        <v>11</v>
      </c>
      <c r="E3906" s="4" t="s">
        <v>3417</v>
      </c>
      <c r="F3906" s="4" t="n">
        <v>8</v>
      </c>
      <c r="G3906" s="4" t="n">
        <v>11</v>
      </c>
      <c r="H3906" s="4" t="n">
        <v>4</v>
      </c>
      <c r="I3906" s="4" t="str">
        <v>×</v>
      </c>
      <c r="J3906" s="4"/>
      <c r="K3906" s="4"/>
      <c r="L3906" s="4"/>
      <c r="M3906" s="5" t="s">
        <v>2677</v>
      </c>
    </row>
    <row r="3907" customFormat="false" ht="15.75" hidden="false" customHeight="false" outlineLevel="0" collapsed="false">
      <c r="A3907" s="3" t="n">
        <v>46201</v>
      </c>
      <c r="B3907" s="4" t="s">
        <v>915</v>
      </c>
      <c r="C3907" s="4" t="n">
        <v>12</v>
      </c>
      <c r="D3907" s="4" t="n">
        <v>12</v>
      </c>
      <c r="E3907" s="4" t="s">
        <v>3076</v>
      </c>
      <c r="F3907" s="4" t="n">
        <v>15</v>
      </c>
      <c r="G3907" s="4" t="n">
        <v>10</v>
      </c>
      <c r="H3907" s="4" t="n">
        <v>4</v>
      </c>
      <c r="I3907" s="4" t="str">
        <v>×</v>
      </c>
      <c r="J3907" s="4"/>
      <c r="K3907" s="4"/>
      <c r="L3907" s="4"/>
      <c r="M3907" s="5" t="s">
        <v>2677</v>
      </c>
    </row>
    <row r="3908" customFormat="false" ht="15.75" hidden="false" customHeight="false" outlineLevel="0" collapsed="false">
      <c r="A3908" s="3" t="n">
        <v>46201</v>
      </c>
      <c r="B3908" s="4" t="s">
        <v>915</v>
      </c>
      <c r="C3908" s="4" t="n">
        <v>12</v>
      </c>
      <c r="D3908" s="4" t="n">
        <v>13</v>
      </c>
      <c r="E3908" s="4" t="s">
        <v>1965</v>
      </c>
      <c r="F3908" s="4" t="n">
        <v>39</v>
      </c>
      <c r="G3908" s="4" t="n">
        <v>5</v>
      </c>
      <c r="H3908" s="4" t="n">
        <v>4</v>
      </c>
      <c r="I3908" s="4" t="str">
        <v>×</v>
      </c>
      <c r="J3908" s="4"/>
      <c r="K3908" s="4"/>
      <c r="L3908" s="4"/>
      <c r="M3908" s="5" t="s">
        <v>2677</v>
      </c>
    </row>
    <row r="3909" customFormat="false" ht="15.75" hidden="false" customHeight="false" outlineLevel="0" collapsed="false">
      <c r="A3909" s="3" t="n">
        <v>46201</v>
      </c>
      <c r="B3909" s="4" t="s">
        <v>915</v>
      </c>
      <c r="C3909" s="4" t="n">
        <v>12</v>
      </c>
      <c r="D3909" s="4" t="n">
        <v>14</v>
      </c>
      <c r="E3909" s="4" t="s">
        <v>3418</v>
      </c>
      <c r="F3909" s="4" t="n">
        <v>41</v>
      </c>
      <c r="G3909" s="4" t="n">
        <v>2</v>
      </c>
      <c r="H3909" s="4" t="n">
        <v>4</v>
      </c>
      <c r="I3909" s="4" t="str">
        <v>×</v>
      </c>
      <c r="J3909" s="4"/>
      <c r="K3909" s="4"/>
      <c r="L3909" s="4"/>
      <c r="M3909" s="5" t="s">
        <v>2677</v>
      </c>
    </row>
    <row r="3910" customFormat="false" ht="15.75" hidden="false" customHeight="false" outlineLevel="0" collapsed="false">
      <c r="A3910" s="3" t="n">
        <v>46201</v>
      </c>
      <c r="B3910" s="4" t="s">
        <v>1091</v>
      </c>
      <c r="C3910" s="4" t="n">
        <v>1</v>
      </c>
      <c r="D3910" s="4" t="n">
        <v>1</v>
      </c>
      <c r="E3910" s="4" t="s">
        <v>2437</v>
      </c>
      <c r="F3910" s="4" t="n">
        <v>25</v>
      </c>
      <c r="G3910" s="4" t="n">
        <v>3</v>
      </c>
      <c r="H3910" s="4" t="n">
        <v>2</v>
      </c>
      <c r="I3910" s="4" t="str">
        <v>○</v>
      </c>
      <c r="J3910" s="4" t="n">
        <v>580</v>
      </c>
      <c r="K3910" s="4"/>
      <c r="L3910" s="4"/>
      <c r="M3910" s="5" t="s">
        <v>2677</v>
      </c>
    </row>
    <row r="3911" customFormat="false" ht="15.75" hidden="false" customHeight="false" outlineLevel="0" collapsed="false">
      <c r="A3911" s="3" t="n">
        <v>46201</v>
      </c>
      <c r="B3911" s="4" t="s">
        <v>1091</v>
      </c>
      <c r="C3911" s="4" t="n">
        <v>1</v>
      </c>
      <c r="D3911" s="4" t="n">
        <v>2</v>
      </c>
      <c r="E3911" s="4" t="s">
        <v>3419</v>
      </c>
      <c r="F3911" s="4" t="n">
        <v>4</v>
      </c>
      <c r="G3911" s="4" t="n">
        <v>13</v>
      </c>
      <c r="H3911" s="4" t="n">
        <v>4</v>
      </c>
      <c r="I3911" s="4" t="str">
        <v>×</v>
      </c>
      <c r="J3911" s="4"/>
      <c r="K3911" s="4"/>
      <c r="L3911" s="4"/>
      <c r="M3911" s="5" t="s">
        <v>2677</v>
      </c>
    </row>
    <row r="3912" customFormat="false" ht="15.75" hidden="false" customHeight="false" outlineLevel="0" collapsed="false">
      <c r="A3912" s="3" t="n">
        <v>46201</v>
      </c>
      <c r="B3912" s="4" t="s">
        <v>1091</v>
      </c>
      <c r="C3912" s="4" t="n">
        <v>1</v>
      </c>
      <c r="D3912" s="4" t="n">
        <v>3</v>
      </c>
      <c r="E3912" s="4" t="s">
        <v>808</v>
      </c>
      <c r="F3912" s="4" t="n">
        <v>8</v>
      </c>
      <c r="G3912" s="4" t="n">
        <v>9</v>
      </c>
      <c r="H3912" s="4" t="n">
        <v>3</v>
      </c>
      <c r="I3912" s="4" t="str">
        <v>○</v>
      </c>
      <c r="J3912" s="4" t="n">
        <v>1320</v>
      </c>
      <c r="K3912" s="4"/>
      <c r="L3912" s="4"/>
      <c r="M3912" s="5" t="s">
        <v>2677</v>
      </c>
    </row>
    <row r="3913" customFormat="false" ht="15.75" hidden="false" customHeight="false" outlineLevel="0" collapsed="false">
      <c r="A3913" s="3" t="n">
        <v>46201</v>
      </c>
      <c r="B3913" s="4" t="s">
        <v>1091</v>
      </c>
      <c r="C3913" s="4" t="n">
        <v>1</v>
      </c>
      <c r="D3913" s="4" t="n">
        <v>4</v>
      </c>
      <c r="E3913" s="4" t="s">
        <v>771</v>
      </c>
      <c r="F3913" s="4" t="n">
        <v>4</v>
      </c>
      <c r="G3913" s="4" t="n">
        <v>13</v>
      </c>
      <c r="H3913" s="4" t="n">
        <v>4</v>
      </c>
      <c r="I3913" s="4" t="str">
        <v>×</v>
      </c>
      <c r="J3913" s="4"/>
      <c r="K3913" s="4"/>
      <c r="L3913" s="4"/>
      <c r="M3913" s="5" t="s">
        <v>2677</v>
      </c>
    </row>
    <row r="3914" customFormat="false" ht="15.75" hidden="false" customHeight="false" outlineLevel="0" collapsed="false">
      <c r="A3914" s="3" t="n">
        <v>46201</v>
      </c>
      <c r="B3914" s="4" t="s">
        <v>1091</v>
      </c>
      <c r="C3914" s="4" t="n">
        <v>1</v>
      </c>
      <c r="D3914" s="4" t="n">
        <v>5</v>
      </c>
      <c r="E3914" s="4" t="s">
        <v>3420</v>
      </c>
      <c r="F3914" s="4" t="n">
        <v>65</v>
      </c>
      <c r="G3914" s="4" t="n">
        <v>1</v>
      </c>
      <c r="H3914" s="4" t="n">
        <v>4</v>
      </c>
      <c r="I3914" s="4" t="str">
        <v>×</v>
      </c>
      <c r="J3914" s="4"/>
      <c r="K3914" s="4"/>
      <c r="L3914" s="4"/>
      <c r="M3914" s="5" t="s">
        <v>2677</v>
      </c>
    </row>
    <row r="3915" customFormat="false" ht="15.75" hidden="false" customHeight="false" outlineLevel="0" collapsed="false">
      <c r="A3915" s="3" t="n">
        <v>46201</v>
      </c>
      <c r="B3915" s="4" t="s">
        <v>1091</v>
      </c>
      <c r="C3915" s="4" t="n">
        <v>1</v>
      </c>
      <c r="D3915" s="4" t="n">
        <v>6</v>
      </c>
      <c r="E3915" s="4" t="s">
        <v>3421</v>
      </c>
      <c r="F3915" s="4" t="n">
        <v>6</v>
      </c>
      <c r="G3915" s="4" t="n">
        <v>11</v>
      </c>
      <c r="H3915" s="4" t="n">
        <v>4</v>
      </c>
      <c r="I3915" s="4" t="str">
        <v>×</v>
      </c>
      <c r="J3915" s="4"/>
      <c r="K3915" s="4"/>
      <c r="L3915" s="4"/>
      <c r="M3915" s="5" t="s">
        <v>2677</v>
      </c>
    </row>
    <row r="3916" customFormat="false" ht="15.75" hidden="false" customHeight="false" outlineLevel="0" collapsed="false">
      <c r="A3916" s="3" t="n">
        <v>46201</v>
      </c>
      <c r="B3916" s="4" t="s">
        <v>1091</v>
      </c>
      <c r="C3916" s="4" t="n">
        <v>1</v>
      </c>
      <c r="D3916" s="4" t="n">
        <v>7</v>
      </c>
      <c r="E3916" s="4" t="s">
        <v>2089</v>
      </c>
      <c r="F3916" s="4" t="n">
        <v>13</v>
      </c>
      <c r="G3916" s="4" t="n">
        <v>5</v>
      </c>
      <c r="H3916" s="4" t="n">
        <v>4</v>
      </c>
      <c r="I3916" s="4" t="str">
        <v>×</v>
      </c>
      <c r="J3916" s="4"/>
      <c r="K3916" s="4"/>
      <c r="L3916" s="4"/>
      <c r="M3916" s="5" t="s">
        <v>2677</v>
      </c>
    </row>
    <row r="3917" customFormat="false" ht="15.75" hidden="false" customHeight="false" outlineLevel="0" collapsed="false">
      <c r="A3917" s="3" t="n">
        <v>46201</v>
      </c>
      <c r="B3917" s="4" t="s">
        <v>1091</v>
      </c>
      <c r="C3917" s="4" t="n">
        <v>1</v>
      </c>
      <c r="D3917" s="4" t="n">
        <v>8</v>
      </c>
      <c r="E3917" s="4" t="s">
        <v>2544</v>
      </c>
      <c r="F3917" s="4" t="n">
        <v>13</v>
      </c>
      <c r="G3917" s="4" t="n">
        <v>5</v>
      </c>
      <c r="H3917" s="4" t="n">
        <v>1</v>
      </c>
      <c r="I3917" s="4" t="str">
        <v>○</v>
      </c>
      <c r="J3917" s="4" t="n">
        <v>660</v>
      </c>
      <c r="K3917" s="4"/>
      <c r="L3917" s="4"/>
      <c r="M3917" s="5" t="s">
        <v>2677</v>
      </c>
    </row>
    <row r="3918" customFormat="false" ht="15.75" hidden="false" customHeight="false" outlineLevel="0" collapsed="false">
      <c r="A3918" s="3" t="n">
        <v>46201</v>
      </c>
      <c r="B3918" s="4" t="s">
        <v>1091</v>
      </c>
      <c r="C3918" s="4" t="n">
        <v>1</v>
      </c>
      <c r="D3918" s="4" t="n">
        <v>9</v>
      </c>
      <c r="E3918" s="4" t="s">
        <v>3422</v>
      </c>
      <c r="F3918" s="4" t="n">
        <v>65</v>
      </c>
      <c r="G3918" s="4" t="n">
        <v>1</v>
      </c>
      <c r="H3918" s="4" t="n">
        <v>4</v>
      </c>
      <c r="I3918" s="4" t="str">
        <v>×</v>
      </c>
      <c r="J3918" s="4"/>
      <c r="K3918" s="4"/>
      <c r="L3918" s="4"/>
      <c r="M3918" s="5" t="s">
        <v>2677</v>
      </c>
    </row>
    <row r="3919" customFormat="false" ht="15.75" hidden="false" customHeight="false" outlineLevel="0" collapsed="false">
      <c r="A3919" s="3" t="n">
        <v>46201</v>
      </c>
      <c r="B3919" s="4" t="s">
        <v>1091</v>
      </c>
      <c r="C3919" s="4" t="n">
        <v>1</v>
      </c>
      <c r="D3919" s="4" t="n">
        <v>10</v>
      </c>
      <c r="E3919" s="4" t="s">
        <v>3423</v>
      </c>
      <c r="F3919" s="4" t="n">
        <v>6</v>
      </c>
      <c r="G3919" s="4" t="n">
        <v>11</v>
      </c>
      <c r="H3919" s="4" t="n">
        <v>4</v>
      </c>
      <c r="I3919" s="4" t="str">
        <v>×</v>
      </c>
      <c r="J3919" s="4"/>
      <c r="K3919" s="4"/>
      <c r="L3919" s="4"/>
      <c r="M3919" s="5" t="s">
        <v>2677</v>
      </c>
    </row>
    <row r="3920" customFormat="false" ht="15.75" hidden="false" customHeight="false" outlineLevel="0" collapsed="false">
      <c r="A3920" s="3" t="n">
        <v>46201</v>
      </c>
      <c r="B3920" s="4" t="s">
        <v>1091</v>
      </c>
      <c r="C3920" s="4" t="n">
        <v>1</v>
      </c>
      <c r="D3920" s="4" t="n">
        <v>11</v>
      </c>
      <c r="E3920" s="4" t="s">
        <v>3424</v>
      </c>
      <c r="F3920" s="4" t="n">
        <v>8</v>
      </c>
      <c r="G3920" s="4" t="n">
        <v>9</v>
      </c>
      <c r="H3920" s="4" t="n">
        <v>4</v>
      </c>
      <c r="I3920" s="4" t="str">
        <v>×</v>
      </c>
      <c r="J3920" s="4"/>
      <c r="K3920" s="4"/>
      <c r="L3920" s="4"/>
      <c r="M3920" s="5" t="s">
        <v>2677</v>
      </c>
    </row>
    <row r="3921" customFormat="false" ht="15.75" hidden="false" customHeight="false" outlineLevel="0" collapsed="false">
      <c r="A3921" s="3" t="n">
        <v>46201</v>
      </c>
      <c r="B3921" s="4" t="s">
        <v>1091</v>
      </c>
      <c r="C3921" s="4" t="n">
        <v>1</v>
      </c>
      <c r="D3921" s="4" t="n">
        <v>12</v>
      </c>
      <c r="E3921" s="4" t="s">
        <v>1604</v>
      </c>
      <c r="F3921" s="4" t="n">
        <v>13</v>
      </c>
      <c r="G3921" s="4" t="n">
        <v>5</v>
      </c>
      <c r="H3921" s="4" t="n">
        <v>4</v>
      </c>
      <c r="I3921" s="4" t="str">
        <v>×</v>
      </c>
      <c r="J3921" s="4"/>
      <c r="K3921" s="4"/>
      <c r="L3921" s="4"/>
      <c r="M3921" s="5" t="s">
        <v>2677</v>
      </c>
    </row>
    <row r="3922" customFormat="false" ht="15.75" hidden="false" customHeight="false" outlineLevel="0" collapsed="false">
      <c r="A3922" s="3" t="n">
        <v>46201</v>
      </c>
      <c r="B3922" s="4" t="s">
        <v>1091</v>
      </c>
      <c r="C3922" s="4" t="n">
        <v>1</v>
      </c>
      <c r="D3922" s="4" t="n">
        <v>13</v>
      </c>
      <c r="E3922" s="4" t="s">
        <v>3425</v>
      </c>
      <c r="F3922" s="4" t="n">
        <v>25</v>
      </c>
      <c r="G3922" s="4" t="n">
        <v>3</v>
      </c>
      <c r="H3922" s="4" t="n">
        <v>4</v>
      </c>
      <c r="I3922" s="4" t="str">
        <v>×</v>
      </c>
      <c r="J3922" s="4"/>
      <c r="K3922" s="4"/>
      <c r="L3922" s="4"/>
      <c r="M3922" s="5" t="s">
        <v>2677</v>
      </c>
    </row>
    <row r="3923" customFormat="false" ht="15.75" hidden="false" customHeight="false" outlineLevel="0" collapsed="false">
      <c r="A3923" s="3" t="n">
        <v>46201</v>
      </c>
      <c r="B3923" s="4" t="s">
        <v>1091</v>
      </c>
      <c r="C3923" s="4" t="n">
        <v>1</v>
      </c>
      <c r="D3923" s="4" t="n">
        <v>14</v>
      </c>
      <c r="E3923" s="4" t="s">
        <v>3426</v>
      </c>
      <c r="F3923" s="4" t="n">
        <v>10</v>
      </c>
      <c r="G3923" s="4" t="n">
        <v>8</v>
      </c>
      <c r="H3923" s="4" t="n">
        <v>4</v>
      </c>
      <c r="I3923" s="4" t="str">
        <v>×</v>
      </c>
      <c r="J3923" s="4"/>
      <c r="K3923" s="4"/>
      <c r="L3923" s="4"/>
      <c r="M3923" s="5" t="s">
        <v>2677</v>
      </c>
    </row>
    <row r="3924" customFormat="false" ht="15.75" hidden="false" customHeight="false" outlineLevel="0" collapsed="false">
      <c r="A3924" s="3" t="n">
        <v>46201</v>
      </c>
      <c r="B3924" s="4" t="s">
        <v>1091</v>
      </c>
      <c r="C3924" s="4" t="n">
        <v>1</v>
      </c>
      <c r="D3924" s="4" t="n">
        <v>15</v>
      </c>
      <c r="E3924" s="4" t="s">
        <v>3427</v>
      </c>
      <c r="F3924" s="4" t="n">
        <v>2</v>
      </c>
      <c r="G3924" s="4" t="n">
        <v>16</v>
      </c>
      <c r="H3924" s="4" t="n">
        <v>4</v>
      </c>
      <c r="I3924" s="4" t="str">
        <v>×</v>
      </c>
      <c r="J3924" s="4"/>
      <c r="K3924" s="4"/>
      <c r="L3924" s="4"/>
      <c r="M3924" s="5" t="s">
        <v>2677</v>
      </c>
    </row>
    <row r="3925" customFormat="false" ht="15.75" hidden="false" customHeight="false" outlineLevel="0" collapsed="false">
      <c r="A3925" s="3" t="n">
        <v>46201</v>
      </c>
      <c r="B3925" s="4" t="s">
        <v>1091</v>
      </c>
      <c r="C3925" s="4" t="n">
        <v>1</v>
      </c>
      <c r="D3925" s="4" t="n">
        <v>16</v>
      </c>
      <c r="E3925" s="4" t="s">
        <v>3428</v>
      </c>
      <c r="F3925" s="4" t="n">
        <v>4</v>
      </c>
      <c r="G3925" s="4" t="n">
        <v>13</v>
      </c>
      <c r="H3925" s="4" t="n">
        <v>4</v>
      </c>
      <c r="I3925" s="4" t="str">
        <v>×</v>
      </c>
      <c r="J3925" s="4"/>
      <c r="K3925" s="4"/>
      <c r="L3925" s="4"/>
      <c r="M3925" s="5" t="s">
        <v>2677</v>
      </c>
    </row>
    <row r="3926" customFormat="false" ht="15.75" hidden="false" customHeight="false" outlineLevel="0" collapsed="false">
      <c r="A3926" s="3" t="n">
        <v>46201</v>
      </c>
      <c r="B3926" s="4" t="s">
        <v>1091</v>
      </c>
      <c r="C3926" s="4" t="n">
        <v>1</v>
      </c>
      <c r="D3926" s="4" t="n">
        <v>17</v>
      </c>
      <c r="E3926" s="4" t="s">
        <v>3429</v>
      </c>
      <c r="F3926" s="4" t="n">
        <v>2</v>
      </c>
      <c r="G3926" s="4" t="n">
        <v>16</v>
      </c>
      <c r="H3926" s="4" t="n">
        <v>4</v>
      </c>
      <c r="I3926" s="4" t="str">
        <v>×</v>
      </c>
      <c r="J3926" s="4"/>
      <c r="K3926" s="4"/>
      <c r="L3926" s="4"/>
      <c r="M3926" s="5" t="s">
        <v>2677</v>
      </c>
    </row>
    <row r="3927" customFormat="false" ht="15.75" hidden="false" customHeight="false" outlineLevel="0" collapsed="false">
      <c r="A3927" s="3" t="n">
        <v>46201</v>
      </c>
      <c r="B3927" s="4" t="s">
        <v>1091</v>
      </c>
      <c r="C3927" s="4" t="n">
        <v>1</v>
      </c>
      <c r="D3927" s="4" t="n">
        <v>18</v>
      </c>
      <c r="E3927" s="4" t="s">
        <v>3430</v>
      </c>
      <c r="F3927" s="4" t="n">
        <v>1</v>
      </c>
      <c r="G3927" s="4" t="n">
        <v>18</v>
      </c>
      <c r="H3927" s="4" t="n">
        <v>4</v>
      </c>
      <c r="I3927" s="4" t="str">
        <v>×</v>
      </c>
      <c r="J3927" s="4"/>
      <c r="K3927" s="4"/>
      <c r="L3927" s="4"/>
      <c r="M3927" s="5" t="s">
        <v>2677</v>
      </c>
    </row>
    <row r="3928" customFormat="false" ht="15.75" hidden="false" customHeight="false" outlineLevel="0" collapsed="false">
      <c r="A3928" s="3" t="n">
        <v>46201</v>
      </c>
      <c r="B3928" s="4" t="s">
        <v>1091</v>
      </c>
      <c r="C3928" s="4" t="n">
        <v>2</v>
      </c>
      <c r="D3928" s="4" t="n">
        <v>1</v>
      </c>
      <c r="E3928" s="4" t="s">
        <v>2474</v>
      </c>
      <c r="F3928" s="4" t="n">
        <v>47</v>
      </c>
      <c r="G3928" s="4" t="n">
        <v>1</v>
      </c>
      <c r="H3928" s="4" t="n">
        <v>2</v>
      </c>
      <c r="I3928" s="4" t="str">
        <v>○</v>
      </c>
      <c r="J3928" s="4" t="n">
        <v>140</v>
      </c>
      <c r="K3928" s="4"/>
      <c r="L3928" s="4"/>
      <c r="M3928" s="5" t="s">
        <v>2677</v>
      </c>
    </row>
    <row r="3929" customFormat="false" ht="15.75" hidden="false" customHeight="false" outlineLevel="0" collapsed="false">
      <c r="A3929" s="3" t="n">
        <v>46201</v>
      </c>
      <c r="B3929" s="4" t="s">
        <v>1091</v>
      </c>
      <c r="C3929" s="4" t="n">
        <v>2</v>
      </c>
      <c r="D3929" s="4" t="n">
        <v>2</v>
      </c>
      <c r="E3929" s="4" t="s">
        <v>3431</v>
      </c>
      <c r="F3929" s="4" t="n">
        <v>10</v>
      </c>
      <c r="G3929" s="4" t="n">
        <v>9</v>
      </c>
      <c r="H3929" s="4" t="n">
        <v>4</v>
      </c>
      <c r="I3929" s="4" t="str">
        <v>×</v>
      </c>
      <c r="J3929" s="4"/>
      <c r="K3929" s="4"/>
      <c r="L3929" s="4"/>
      <c r="M3929" s="5" t="s">
        <v>2677</v>
      </c>
    </row>
    <row r="3930" customFormat="false" ht="15.75" hidden="false" customHeight="false" outlineLevel="0" collapsed="false">
      <c r="A3930" s="3" t="n">
        <v>46201</v>
      </c>
      <c r="B3930" s="4" t="s">
        <v>1091</v>
      </c>
      <c r="C3930" s="4" t="n">
        <v>2</v>
      </c>
      <c r="D3930" s="4" t="n">
        <v>3</v>
      </c>
      <c r="E3930" s="4" t="s">
        <v>3432</v>
      </c>
      <c r="F3930" s="4" t="n">
        <v>6</v>
      </c>
      <c r="G3930" s="4" t="n">
        <v>12</v>
      </c>
      <c r="H3930" s="4" t="n">
        <v>4</v>
      </c>
      <c r="I3930" s="4" t="str">
        <v>×</v>
      </c>
      <c r="J3930" s="4"/>
      <c r="K3930" s="4"/>
      <c r="L3930" s="4"/>
      <c r="M3930" s="5" t="s">
        <v>2677</v>
      </c>
    </row>
    <row r="3931" customFormat="false" ht="15.75" hidden="false" customHeight="false" outlineLevel="0" collapsed="false">
      <c r="A3931" s="3" t="n">
        <v>46201</v>
      </c>
      <c r="B3931" s="4" t="s">
        <v>1091</v>
      </c>
      <c r="C3931" s="4" t="n">
        <v>2</v>
      </c>
      <c r="D3931" s="4" t="n">
        <v>4</v>
      </c>
      <c r="E3931" s="4" t="s">
        <v>3433</v>
      </c>
      <c r="F3931" s="4" t="n">
        <v>6</v>
      </c>
      <c r="G3931" s="4" t="n">
        <v>12</v>
      </c>
      <c r="H3931" s="4" t="n">
        <v>4</v>
      </c>
      <c r="I3931" s="4" t="str">
        <v>×</v>
      </c>
      <c r="J3931" s="4"/>
      <c r="K3931" s="4"/>
      <c r="L3931" s="4"/>
      <c r="M3931" s="5" t="s">
        <v>2677</v>
      </c>
    </row>
    <row r="3932" customFormat="false" ht="15.75" hidden="false" customHeight="false" outlineLevel="0" collapsed="false">
      <c r="A3932" s="3" t="n">
        <v>46201</v>
      </c>
      <c r="B3932" s="4" t="s">
        <v>1091</v>
      </c>
      <c r="C3932" s="4" t="n">
        <v>2</v>
      </c>
      <c r="D3932" s="4" t="n">
        <v>5</v>
      </c>
      <c r="E3932" s="4" t="s">
        <v>1296</v>
      </c>
      <c r="F3932" s="4" t="n">
        <v>44</v>
      </c>
      <c r="G3932" s="4" t="n">
        <v>2</v>
      </c>
      <c r="H3932" s="4" t="n">
        <v>3</v>
      </c>
      <c r="I3932" s="4" t="str">
        <v>○</v>
      </c>
      <c r="J3932" s="4" t="n">
        <v>130</v>
      </c>
      <c r="K3932" s="4"/>
      <c r="L3932" s="4"/>
      <c r="M3932" s="5" t="s">
        <v>2677</v>
      </c>
    </row>
    <row r="3933" customFormat="false" ht="15.75" hidden="false" customHeight="false" outlineLevel="0" collapsed="false">
      <c r="A3933" s="3" t="n">
        <v>46201</v>
      </c>
      <c r="B3933" s="4" t="s">
        <v>1091</v>
      </c>
      <c r="C3933" s="4" t="n">
        <v>2</v>
      </c>
      <c r="D3933" s="4" t="n">
        <v>6</v>
      </c>
      <c r="E3933" s="4" t="s">
        <v>1585</v>
      </c>
      <c r="F3933" s="4" t="n">
        <v>6</v>
      </c>
      <c r="G3933" s="4" t="n">
        <v>12</v>
      </c>
      <c r="H3933" s="4" t="n">
        <v>4</v>
      </c>
      <c r="I3933" s="4" t="str">
        <v>×</v>
      </c>
      <c r="J3933" s="4"/>
      <c r="K3933" s="4"/>
      <c r="L3933" s="4"/>
      <c r="M3933" s="5" t="s">
        <v>2677</v>
      </c>
    </row>
    <row r="3934" customFormat="false" ht="15.75" hidden="false" customHeight="false" outlineLevel="0" collapsed="false">
      <c r="A3934" s="3" t="n">
        <v>46201</v>
      </c>
      <c r="B3934" s="4" t="s">
        <v>1091</v>
      </c>
      <c r="C3934" s="4" t="n">
        <v>2</v>
      </c>
      <c r="D3934" s="4" t="n">
        <v>7</v>
      </c>
      <c r="E3934" s="4" t="s">
        <v>1163</v>
      </c>
      <c r="F3934" s="4" t="n">
        <v>13</v>
      </c>
      <c r="G3934" s="4" t="n">
        <v>7</v>
      </c>
      <c r="H3934" s="4" t="n">
        <v>4</v>
      </c>
      <c r="I3934" s="4" t="str">
        <v>×</v>
      </c>
      <c r="J3934" s="4"/>
      <c r="K3934" s="4"/>
      <c r="L3934" s="4"/>
      <c r="M3934" s="5" t="s">
        <v>2677</v>
      </c>
    </row>
    <row r="3935" customFormat="false" ht="15.75" hidden="false" customHeight="false" outlineLevel="0" collapsed="false">
      <c r="A3935" s="3" t="n">
        <v>46201</v>
      </c>
      <c r="B3935" s="4" t="s">
        <v>1091</v>
      </c>
      <c r="C3935" s="4" t="n">
        <v>2</v>
      </c>
      <c r="D3935" s="4" t="n">
        <v>8</v>
      </c>
      <c r="E3935" s="4" t="s">
        <v>3434</v>
      </c>
      <c r="F3935" s="4" t="n">
        <v>25</v>
      </c>
      <c r="G3935" s="4" t="n">
        <v>4</v>
      </c>
      <c r="H3935" s="4" t="n">
        <v>4</v>
      </c>
      <c r="I3935" s="4" t="str">
        <v>×</v>
      </c>
      <c r="J3935" s="4"/>
      <c r="K3935" s="4"/>
      <c r="L3935" s="4"/>
      <c r="M3935" s="5" t="s">
        <v>2677</v>
      </c>
    </row>
    <row r="3936" customFormat="false" ht="15.75" hidden="false" customHeight="false" outlineLevel="0" collapsed="false">
      <c r="A3936" s="3" t="n">
        <v>46201</v>
      </c>
      <c r="B3936" s="4" t="s">
        <v>1091</v>
      </c>
      <c r="C3936" s="4" t="n">
        <v>2</v>
      </c>
      <c r="D3936" s="4" t="n">
        <v>9</v>
      </c>
      <c r="E3936" s="4" t="s">
        <v>275</v>
      </c>
      <c r="F3936" s="4" t="n">
        <v>31</v>
      </c>
      <c r="G3936" s="4" t="n">
        <v>3</v>
      </c>
      <c r="H3936" s="4" t="n">
        <v>1</v>
      </c>
      <c r="I3936" s="4" t="str">
        <v>○</v>
      </c>
      <c r="J3936" s="4" t="n">
        <v>140</v>
      </c>
      <c r="K3936" s="4"/>
      <c r="L3936" s="4"/>
      <c r="M3936" s="5" t="s">
        <v>2677</v>
      </c>
    </row>
    <row r="3937" customFormat="false" ht="15.75" hidden="false" customHeight="false" outlineLevel="0" collapsed="false">
      <c r="A3937" s="3" t="n">
        <v>46201</v>
      </c>
      <c r="B3937" s="4" t="s">
        <v>1091</v>
      </c>
      <c r="C3937" s="4" t="n">
        <v>2</v>
      </c>
      <c r="D3937" s="4" t="n">
        <v>10</v>
      </c>
      <c r="E3937" s="4" t="s">
        <v>1606</v>
      </c>
      <c r="F3937" s="4" t="n">
        <v>3</v>
      </c>
      <c r="G3937" s="4" t="n">
        <v>15</v>
      </c>
      <c r="H3937" s="4" t="n">
        <v>4</v>
      </c>
      <c r="I3937" s="4" t="str">
        <v>×</v>
      </c>
      <c r="J3937" s="4"/>
      <c r="K3937" s="4"/>
      <c r="L3937" s="4"/>
      <c r="M3937" s="5" t="s">
        <v>2677</v>
      </c>
    </row>
    <row r="3938" customFormat="false" ht="15.75" hidden="false" customHeight="false" outlineLevel="0" collapsed="false">
      <c r="A3938" s="3" t="n">
        <v>46201</v>
      </c>
      <c r="B3938" s="4" t="s">
        <v>1091</v>
      </c>
      <c r="C3938" s="4" t="n">
        <v>2</v>
      </c>
      <c r="D3938" s="4" t="n">
        <v>11</v>
      </c>
      <c r="E3938" s="4" t="s">
        <v>3435</v>
      </c>
      <c r="F3938" s="4" t="n">
        <v>2</v>
      </c>
      <c r="G3938" s="4" t="n">
        <v>16</v>
      </c>
      <c r="H3938" s="4" t="n">
        <v>4</v>
      </c>
      <c r="I3938" s="4" t="str">
        <v>×</v>
      </c>
      <c r="J3938" s="4"/>
      <c r="K3938" s="4"/>
      <c r="L3938" s="4"/>
      <c r="M3938" s="5" t="s">
        <v>2677</v>
      </c>
    </row>
    <row r="3939" customFormat="false" ht="15.75" hidden="false" customHeight="false" outlineLevel="0" collapsed="false">
      <c r="A3939" s="3" t="n">
        <v>46201</v>
      </c>
      <c r="B3939" s="4" t="s">
        <v>1091</v>
      </c>
      <c r="C3939" s="4" t="n">
        <v>2</v>
      </c>
      <c r="D3939" s="4" t="n">
        <v>12</v>
      </c>
      <c r="E3939" s="4" t="s">
        <v>3436</v>
      </c>
      <c r="F3939" s="4" t="n">
        <v>17</v>
      </c>
      <c r="G3939" s="4" t="n">
        <v>6</v>
      </c>
      <c r="H3939" s="4" t="n">
        <v>4</v>
      </c>
      <c r="I3939" s="4" t="str">
        <v>×</v>
      </c>
      <c r="J3939" s="4"/>
      <c r="K3939" s="4"/>
      <c r="L3939" s="4"/>
      <c r="M3939" s="5" t="s">
        <v>2677</v>
      </c>
    </row>
    <row r="3940" customFormat="false" ht="15.75" hidden="false" customHeight="false" outlineLevel="0" collapsed="false">
      <c r="A3940" s="3" t="n">
        <v>46201</v>
      </c>
      <c r="B3940" s="4" t="s">
        <v>1091</v>
      </c>
      <c r="C3940" s="4" t="n">
        <v>2</v>
      </c>
      <c r="D3940" s="4" t="n">
        <v>13</v>
      </c>
      <c r="E3940" s="4" t="s">
        <v>3144</v>
      </c>
      <c r="F3940" s="4" t="n">
        <v>8</v>
      </c>
      <c r="G3940" s="4" t="n">
        <v>11</v>
      </c>
      <c r="H3940" s="4" t="n">
        <v>4</v>
      </c>
      <c r="I3940" s="4" t="str">
        <v>×</v>
      </c>
      <c r="J3940" s="4"/>
      <c r="K3940" s="4"/>
      <c r="L3940" s="4"/>
      <c r="M3940" s="5" t="s">
        <v>2677</v>
      </c>
    </row>
    <row r="3941" customFormat="false" ht="15.75" hidden="false" customHeight="false" outlineLevel="0" collapsed="false">
      <c r="A3941" s="3" t="n">
        <v>46201</v>
      </c>
      <c r="B3941" s="4" t="s">
        <v>1091</v>
      </c>
      <c r="C3941" s="4" t="n">
        <v>2</v>
      </c>
      <c r="D3941" s="4" t="n">
        <v>14</v>
      </c>
      <c r="E3941" s="4" t="s">
        <v>3437</v>
      </c>
      <c r="F3941" s="4" t="n">
        <v>10</v>
      </c>
      <c r="G3941" s="4" t="n">
        <v>9</v>
      </c>
      <c r="H3941" s="4" t="n">
        <v>4</v>
      </c>
      <c r="I3941" s="4" t="str">
        <v>×</v>
      </c>
      <c r="J3941" s="4"/>
      <c r="K3941" s="4"/>
      <c r="L3941" s="4"/>
      <c r="M3941" s="5" t="s">
        <v>2677</v>
      </c>
    </row>
    <row r="3942" customFormat="false" ht="15.75" hidden="false" customHeight="false" outlineLevel="0" collapsed="false">
      <c r="A3942" s="3" t="n">
        <v>46201</v>
      </c>
      <c r="B3942" s="4" t="s">
        <v>1091</v>
      </c>
      <c r="C3942" s="4" t="n">
        <v>2</v>
      </c>
      <c r="D3942" s="4" t="n">
        <v>15</v>
      </c>
      <c r="E3942" s="4" t="s">
        <v>3438</v>
      </c>
      <c r="F3942" s="4" t="n">
        <v>23</v>
      </c>
      <c r="G3942" s="4" t="n">
        <v>5</v>
      </c>
      <c r="H3942" s="4" t="n">
        <v>4</v>
      </c>
      <c r="I3942" s="4" t="str">
        <v>×</v>
      </c>
      <c r="J3942" s="4"/>
      <c r="K3942" s="4"/>
      <c r="L3942" s="4"/>
      <c r="M3942" s="5" t="s">
        <v>2677</v>
      </c>
    </row>
    <row r="3943" customFormat="false" ht="15.75" hidden="false" customHeight="false" outlineLevel="0" collapsed="false">
      <c r="A3943" s="3" t="n">
        <v>46201</v>
      </c>
      <c r="B3943" s="4" t="s">
        <v>1091</v>
      </c>
      <c r="C3943" s="4" t="n">
        <v>2</v>
      </c>
      <c r="D3943" s="4" t="n">
        <v>16</v>
      </c>
      <c r="E3943" s="4" t="s">
        <v>3439</v>
      </c>
      <c r="F3943" s="4" t="n">
        <v>13</v>
      </c>
      <c r="G3943" s="4" t="n">
        <v>7</v>
      </c>
      <c r="H3943" s="4" t="n">
        <v>4</v>
      </c>
      <c r="I3943" s="4" t="str">
        <v>×</v>
      </c>
      <c r="J3943" s="4"/>
      <c r="K3943" s="4"/>
      <c r="L3943" s="4"/>
      <c r="M3943" s="5" t="s">
        <v>2677</v>
      </c>
    </row>
    <row r="3944" customFormat="false" ht="15.75" hidden="false" customHeight="false" outlineLevel="0" collapsed="false">
      <c r="A3944" s="3" t="n">
        <v>46201</v>
      </c>
      <c r="B3944" s="4" t="s">
        <v>1091</v>
      </c>
      <c r="C3944" s="4" t="n">
        <v>3</v>
      </c>
      <c r="D3944" s="4" t="n">
        <v>1</v>
      </c>
      <c r="E3944" s="4" t="s">
        <v>1569</v>
      </c>
      <c r="F3944" s="4" t="n">
        <v>3</v>
      </c>
      <c r="G3944" s="4" t="n">
        <v>15</v>
      </c>
      <c r="H3944" s="4" t="n">
        <v>4</v>
      </c>
      <c r="I3944" s="4" t="str">
        <v>×</v>
      </c>
      <c r="J3944" s="4"/>
      <c r="K3944" s="4"/>
      <c r="L3944" s="4"/>
      <c r="M3944" s="5" t="s">
        <v>2677</v>
      </c>
    </row>
    <row r="3945" customFormat="false" ht="15.75" hidden="false" customHeight="false" outlineLevel="0" collapsed="false">
      <c r="A3945" s="3" t="n">
        <v>46201</v>
      </c>
      <c r="B3945" s="4" t="s">
        <v>1091</v>
      </c>
      <c r="C3945" s="4" t="n">
        <v>3</v>
      </c>
      <c r="D3945" s="4" t="n">
        <v>2</v>
      </c>
      <c r="E3945" s="4" t="s">
        <v>3440</v>
      </c>
      <c r="F3945" s="4" t="n">
        <v>4</v>
      </c>
      <c r="G3945" s="4" t="n">
        <v>10</v>
      </c>
      <c r="H3945" s="4" t="n">
        <v>4</v>
      </c>
      <c r="I3945" s="4" t="str">
        <v>×</v>
      </c>
      <c r="J3945" s="4"/>
      <c r="K3945" s="4"/>
      <c r="L3945" s="4"/>
      <c r="M3945" s="5" t="s">
        <v>2677</v>
      </c>
    </row>
    <row r="3946" customFormat="false" ht="15.75" hidden="false" customHeight="false" outlineLevel="0" collapsed="false">
      <c r="A3946" s="3" t="n">
        <v>46201</v>
      </c>
      <c r="B3946" s="4" t="s">
        <v>1091</v>
      </c>
      <c r="C3946" s="4" t="n">
        <v>3</v>
      </c>
      <c r="D3946" s="4" t="n">
        <v>3</v>
      </c>
      <c r="E3946" s="4" t="s">
        <v>3441</v>
      </c>
      <c r="F3946" s="4" t="n">
        <v>4</v>
      </c>
      <c r="G3946" s="4" t="n">
        <v>10</v>
      </c>
      <c r="H3946" s="4" t="n">
        <v>4</v>
      </c>
      <c r="I3946" s="4" t="str">
        <v>×</v>
      </c>
      <c r="J3946" s="4"/>
      <c r="K3946" s="4"/>
      <c r="L3946" s="4"/>
      <c r="M3946" s="5" t="s">
        <v>2677</v>
      </c>
    </row>
    <row r="3947" customFormat="false" ht="15.75" hidden="false" customHeight="false" outlineLevel="0" collapsed="false">
      <c r="A3947" s="3" t="n">
        <v>46201</v>
      </c>
      <c r="B3947" s="4" t="s">
        <v>1091</v>
      </c>
      <c r="C3947" s="4" t="n">
        <v>3</v>
      </c>
      <c r="D3947" s="4" t="n">
        <v>4</v>
      </c>
      <c r="E3947" s="4" t="s">
        <v>776</v>
      </c>
      <c r="F3947" s="4" t="n">
        <v>74</v>
      </c>
      <c r="G3947" s="4" t="n">
        <v>1</v>
      </c>
      <c r="H3947" s="4" t="n">
        <v>2</v>
      </c>
      <c r="I3947" s="4" t="str">
        <v>○</v>
      </c>
      <c r="J3947" s="4" t="n">
        <v>120</v>
      </c>
      <c r="K3947" s="4"/>
      <c r="L3947" s="4"/>
      <c r="M3947" s="5" t="s">
        <v>2677</v>
      </c>
    </row>
    <row r="3948" customFormat="false" ht="15.75" hidden="false" customHeight="false" outlineLevel="0" collapsed="false">
      <c r="A3948" s="3" t="n">
        <v>46201</v>
      </c>
      <c r="B3948" s="4" t="s">
        <v>1091</v>
      </c>
      <c r="C3948" s="4" t="n">
        <v>3</v>
      </c>
      <c r="D3948" s="4" t="n">
        <v>5</v>
      </c>
      <c r="E3948" s="4" t="s">
        <v>2161</v>
      </c>
      <c r="F3948" s="4" t="n">
        <v>25</v>
      </c>
      <c r="G3948" s="4" t="n">
        <v>5</v>
      </c>
      <c r="H3948" s="4" t="n">
        <v>1</v>
      </c>
      <c r="I3948" s="4" t="str">
        <v>○</v>
      </c>
      <c r="J3948" s="4" t="n">
        <v>260</v>
      </c>
      <c r="K3948" s="4"/>
      <c r="L3948" s="4"/>
      <c r="M3948" s="5" t="s">
        <v>2677</v>
      </c>
    </row>
    <row r="3949" customFormat="false" ht="15.75" hidden="false" customHeight="false" outlineLevel="0" collapsed="false">
      <c r="A3949" s="3" t="n">
        <v>46201</v>
      </c>
      <c r="B3949" s="4" t="s">
        <v>1091</v>
      </c>
      <c r="C3949" s="4" t="n">
        <v>3</v>
      </c>
      <c r="D3949" s="4" t="n">
        <v>6</v>
      </c>
      <c r="E3949" s="4" t="s">
        <v>1661</v>
      </c>
      <c r="F3949" s="4" t="n">
        <v>29</v>
      </c>
      <c r="G3949" s="4" t="n">
        <v>4</v>
      </c>
      <c r="H3949" s="4" t="n">
        <v>4</v>
      </c>
      <c r="I3949" s="4" t="str">
        <v>×</v>
      </c>
      <c r="J3949" s="4"/>
      <c r="K3949" s="4"/>
      <c r="L3949" s="4"/>
      <c r="M3949" s="5" t="s">
        <v>2677</v>
      </c>
    </row>
    <row r="3950" customFormat="false" ht="15.75" hidden="false" customHeight="false" outlineLevel="0" collapsed="false">
      <c r="A3950" s="3" t="n">
        <v>46201</v>
      </c>
      <c r="B3950" s="4" t="s">
        <v>1091</v>
      </c>
      <c r="C3950" s="4" t="n">
        <v>3</v>
      </c>
      <c r="D3950" s="4" t="n">
        <v>7</v>
      </c>
      <c r="E3950" s="4" t="s">
        <v>2092</v>
      </c>
      <c r="F3950" s="4" t="n">
        <v>4</v>
      </c>
      <c r="G3950" s="4" t="n">
        <v>10</v>
      </c>
      <c r="H3950" s="4" t="n">
        <v>4</v>
      </c>
      <c r="I3950" s="4" t="str">
        <v>×</v>
      </c>
      <c r="J3950" s="4"/>
      <c r="K3950" s="4"/>
      <c r="L3950" s="4"/>
      <c r="M3950" s="5" t="s">
        <v>2677</v>
      </c>
    </row>
    <row r="3951" customFormat="false" ht="15.75" hidden="false" customHeight="false" outlineLevel="0" collapsed="false">
      <c r="A3951" s="3" t="n">
        <v>46201</v>
      </c>
      <c r="B3951" s="4" t="s">
        <v>1091</v>
      </c>
      <c r="C3951" s="4" t="n">
        <v>3</v>
      </c>
      <c r="D3951" s="4" t="n">
        <v>8</v>
      </c>
      <c r="E3951" s="4" t="s">
        <v>1570</v>
      </c>
      <c r="F3951" s="4" t="n">
        <v>23</v>
      </c>
      <c r="G3951" s="4" t="n">
        <v>7</v>
      </c>
      <c r="H3951" s="4" t="n">
        <v>3</v>
      </c>
      <c r="I3951" s="4" t="str">
        <v>○</v>
      </c>
      <c r="J3951" s="4" t="n">
        <v>220</v>
      </c>
      <c r="K3951" s="4"/>
      <c r="L3951" s="4"/>
      <c r="M3951" s="5" t="s">
        <v>2677</v>
      </c>
    </row>
    <row r="3952" customFormat="false" ht="15.75" hidden="false" customHeight="false" outlineLevel="0" collapsed="false">
      <c r="A3952" s="3" t="n">
        <v>46201</v>
      </c>
      <c r="B3952" s="4" t="s">
        <v>1091</v>
      </c>
      <c r="C3952" s="4" t="n">
        <v>3</v>
      </c>
      <c r="D3952" s="4" t="n">
        <v>9</v>
      </c>
      <c r="E3952" s="4" t="s">
        <v>3442</v>
      </c>
      <c r="F3952" s="4" t="n">
        <v>2</v>
      </c>
      <c r="G3952" s="4" t="n">
        <v>16</v>
      </c>
      <c r="H3952" s="4" t="n">
        <v>4</v>
      </c>
      <c r="I3952" s="4" t="str">
        <v>×</v>
      </c>
      <c r="J3952" s="4"/>
      <c r="K3952" s="4"/>
      <c r="L3952" s="4"/>
      <c r="M3952" s="5" t="s">
        <v>2677</v>
      </c>
    </row>
    <row r="3953" customFormat="false" ht="15.75" hidden="false" customHeight="false" outlineLevel="0" collapsed="false">
      <c r="A3953" s="3" t="n">
        <v>46201</v>
      </c>
      <c r="B3953" s="4" t="s">
        <v>1091</v>
      </c>
      <c r="C3953" s="4" t="n">
        <v>3</v>
      </c>
      <c r="D3953" s="4" t="n">
        <v>10</v>
      </c>
      <c r="E3953" s="4" t="s">
        <v>3443</v>
      </c>
      <c r="F3953" s="4" t="n">
        <v>1</v>
      </c>
      <c r="G3953" s="4" t="n">
        <v>18</v>
      </c>
      <c r="H3953" s="4" t="n">
        <v>4</v>
      </c>
      <c r="I3953" s="4" t="str">
        <v>×</v>
      </c>
      <c r="J3953" s="4"/>
      <c r="K3953" s="4"/>
      <c r="L3953" s="4"/>
      <c r="M3953" s="5" t="s">
        <v>2677</v>
      </c>
    </row>
    <row r="3954" customFormat="false" ht="15.75" hidden="false" customHeight="false" outlineLevel="0" collapsed="false">
      <c r="A3954" s="3" t="n">
        <v>46201</v>
      </c>
      <c r="B3954" s="4" t="s">
        <v>1091</v>
      </c>
      <c r="C3954" s="4" t="n">
        <v>3</v>
      </c>
      <c r="D3954" s="4" t="n">
        <v>11</v>
      </c>
      <c r="E3954" s="4" t="s">
        <v>3444</v>
      </c>
      <c r="F3954" s="4" t="n">
        <v>20</v>
      </c>
      <c r="G3954" s="4" t="n">
        <v>8</v>
      </c>
      <c r="H3954" s="4" t="n">
        <v>4</v>
      </c>
      <c r="I3954" s="4" t="str">
        <v>×</v>
      </c>
      <c r="J3954" s="4"/>
      <c r="K3954" s="4"/>
      <c r="L3954" s="4"/>
      <c r="M3954" s="5" t="s">
        <v>2677</v>
      </c>
    </row>
    <row r="3955" customFormat="false" ht="15.75" hidden="false" customHeight="false" outlineLevel="0" collapsed="false">
      <c r="A3955" s="3" t="n">
        <v>46201</v>
      </c>
      <c r="B3955" s="4" t="s">
        <v>1091</v>
      </c>
      <c r="C3955" s="4" t="n">
        <v>3</v>
      </c>
      <c r="D3955" s="4" t="n">
        <v>12</v>
      </c>
      <c r="E3955" s="4" t="s">
        <v>3445</v>
      </c>
      <c r="F3955" s="4" t="n">
        <v>4</v>
      </c>
      <c r="G3955" s="4" t="n">
        <v>10</v>
      </c>
      <c r="H3955" s="4" t="n">
        <v>4</v>
      </c>
      <c r="I3955" s="4" t="str">
        <v>×</v>
      </c>
      <c r="J3955" s="4"/>
      <c r="K3955" s="4"/>
      <c r="L3955" s="4"/>
      <c r="M3955" s="5" t="s">
        <v>2677</v>
      </c>
    </row>
    <row r="3956" customFormat="false" ht="15.75" hidden="false" customHeight="false" outlineLevel="0" collapsed="false">
      <c r="A3956" s="3" t="n">
        <v>46201</v>
      </c>
      <c r="B3956" s="4" t="s">
        <v>1091</v>
      </c>
      <c r="C3956" s="4" t="n">
        <v>3</v>
      </c>
      <c r="D3956" s="4" t="n">
        <v>13</v>
      </c>
      <c r="E3956" s="4" t="s">
        <v>820</v>
      </c>
      <c r="F3956" s="4" t="n">
        <v>31</v>
      </c>
      <c r="G3956" s="4" t="n">
        <v>3</v>
      </c>
      <c r="H3956" s="4" t="n">
        <v>4</v>
      </c>
      <c r="I3956" s="4" t="str">
        <v>×</v>
      </c>
      <c r="J3956" s="4"/>
      <c r="K3956" s="4"/>
      <c r="L3956" s="4"/>
      <c r="M3956" s="5" t="s">
        <v>2677</v>
      </c>
    </row>
    <row r="3957" customFormat="false" ht="15.75" hidden="false" customHeight="false" outlineLevel="0" collapsed="false">
      <c r="A3957" s="3" t="n">
        <v>46201</v>
      </c>
      <c r="B3957" s="4" t="s">
        <v>1091</v>
      </c>
      <c r="C3957" s="4" t="n">
        <v>3</v>
      </c>
      <c r="D3957" s="4" t="n">
        <v>14</v>
      </c>
      <c r="E3957" s="4" t="s">
        <v>3446</v>
      </c>
      <c r="F3957" s="4" t="n">
        <v>6</v>
      </c>
      <c r="G3957" s="4" t="n">
        <v>9</v>
      </c>
      <c r="H3957" s="4" t="n">
        <v>4</v>
      </c>
      <c r="I3957" s="4" t="str">
        <v>×</v>
      </c>
      <c r="J3957" s="4"/>
      <c r="K3957" s="4"/>
      <c r="L3957" s="4"/>
      <c r="M3957" s="5" t="s">
        <v>2677</v>
      </c>
    </row>
    <row r="3958" customFormat="false" ht="15.75" hidden="false" customHeight="false" outlineLevel="0" collapsed="false">
      <c r="A3958" s="3" t="n">
        <v>46201</v>
      </c>
      <c r="B3958" s="4" t="s">
        <v>1091</v>
      </c>
      <c r="C3958" s="4" t="n">
        <v>3</v>
      </c>
      <c r="D3958" s="4" t="n">
        <v>15</v>
      </c>
      <c r="E3958" s="4" t="s">
        <v>2088</v>
      </c>
      <c r="F3958" s="4" t="n">
        <v>37</v>
      </c>
      <c r="G3958" s="4" t="n">
        <v>2</v>
      </c>
      <c r="H3958" s="4" t="n">
        <v>4</v>
      </c>
      <c r="I3958" s="4" t="str">
        <v>×</v>
      </c>
      <c r="J3958" s="4"/>
      <c r="K3958" s="4"/>
      <c r="L3958" s="4"/>
      <c r="M3958" s="5" t="s">
        <v>2677</v>
      </c>
    </row>
    <row r="3959" customFormat="false" ht="15.75" hidden="false" customHeight="false" outlineLevel="0" collapsed="false">
      <c r="A3959" s="3" t="n">
        <v>46201</v>
      </c>
      <c r="B3959" s="4" t="s">
        <v>1091</v>
      </c>
      <c r="C3959" s="4" t="n">
        <v>3</v>
      </c>
      <c r="D3959" s="4" t="n">
        <v>16</v>
      </c>
      <c r="E3959" s="4" t="s">
        <v>3153</v>
      </c>
      <c r="F3959" s="4" t="n">
        <v>2</v>
      </c>
      <c r="G3959" s="4" t="n">
        <v>16</v>
      </c>
      <c r="H3959" s="4" t="n">
        <v>4</v>
      </c>
      <c r="I3959" s="4" t="str">
        <v>×</v>
      </c>
      <c r="J3959" s="4"/>
      <c r="K3959" s="4"/>
      <c r="L3959" s="4"/>
      <c r="M3959" s="5" t="s">
        <v>2677</v>
      </c>
    </row>
    <row r="3960" customFormat="false" ht="15.75" hidden="false" customHeight="false" outlineLevel="0" collapsed="false">
      <c r="A3960" s="3" t="n">
        <v>46201</v>
      </c>
      <c r="B3960" s="4" t="s">
        <v>1091</v>
      </c>
      <c r="C3960" s="4" t="n">
        <v>3</v>
      </c>
      <c r="D3960" s="4" t="n">
        <v>17</v>
      </c>
      <c r="E3960" s="4" t="s">
        <v>3447</v>
      </c>
      <c r="F3960" s="4" t="n">
        <v>25</v>
      </c>
      <c r="G3960" s="4" t="n">
        <v>5</v>
      </c>
      <c r="H3960" s="4" t="n">
        <v>4</v>
      </c>
      <c r="I3960" s="4" t="str">
        <v>×</v>
      </c>
      <c r="J3960" s="4"/>
      <c r="K3960" s="4"/>
      <c r="L3960" s="4"/>
      <c r="M3960" s="5" t="s">
        <v>2677</v>
      </c>
    </row>
    <row r="3961" customFormat="false" ht="15.75" hidden="false" customHeight="false" outlineLevel="0" collapsed="false">
      <c r="A3961" s="3" t="n">
        <v>46201</v>
      </c>
      <c r="B3961" s="4" t="s">
        <v>1091</v>
      </c>
      <c r="C3961" s="4" t="n">
        <v>3</v>
      </c>
      <c r="D3961" s="4" t="n">
        <v>18</v>
      </c>
      <c r="E3961" s="4" t="s">
        <v>2093</v>
      </c>
      <c r="F3961" s="4" t="n">
        <v>4</v>
      </c>
      <c r="G3961" s="4" t="n">
        <v>10</v>
      </c>
      <c r="H3961" s="4" t="n">
        <v>4</v>
      </c>
      <c r="I3961" s="4" t="str">
        <v>×</v>
      </c>
      <c r="J3961" s="4"/>
      <c r="K3961" s="4"/>
      <c r="L3961" s="4"/>
      <c r="M3961" s="5" t="s">
        <v>2677</v>
      </c>
    </row>
    <row r="3962" customFormat="false" ht="15.75" hidden="false" customHeight="false" outlineLevel="0" collapsed="false">
      <c r="A3962" s="3" t="n">
        <v>46201</v>
      </c>
      <c r="B3962" s="4" t="s">
        <v>1091</v>
      </c>
      <c r="C3962" s="4" t="n">
        <v>4</v>
      </c>
      <c r="D3962" s="4" t="n">
        <v>1</v>
      </c>
      <c r="E3962" s="4" t="s">
        <v>3448</v>
      </c>
      <c r="F3962" s="4" t="n">
        <v>4</v>
      </c>
      <c r="G3962" s="4" t="n">
        <v>13</v>
      </c>
      <c r="H3962" s="4" t="n">
        <v>4</v>
      </c>
      <c r="I3962" s="4" t="str">
        <v>×</v>
      </c>
      <c r="J3962" s="4"/>
      <c r="K3962" s="4"/>
      <c r="L3962" s="4"/>
      <c r="M3962" s="5" t="s">
        <v>2677</v>
      </c>
    </row>
    <row r="3963" customFormat="false" ht="15.75" hidden="false" customHeight="false" outlineLevel="0" collapsed="false">
      <c r="A3963" s="3" t="n">
        <v>46201</v>
      </c>
      <c r="B3963" s="4" t="s">
        <v>1091</v>
      </c>
      <c r="C3963" s="4" t="n">
        <v>4</v>
      </c>
      <c r="D3963" s="4" t="n">
        <v>2</v>
      </c>
      <c r="E3963" s="4" t="s">
        <v>328</v>
      </c>
      <c r="F3963" s="4" t="n">
        <v>29</v>
      </c>
      <c r="G3963" s="4" t="n">
        <v>3</v>
      </c>
      <c r="H3963" s="4" t="n">
        <v>4</v>
      </c>
      <c r="I3963" s="4" t="str">
        <v>×</v>
      </c>
      <c r="J3963" s="4"/>
      <c r="K3963" s="4"/>
      <c r="L3963" s="4"/>
      <c r="M3963" s="5" t="s">
        <v>2677</v>
      </c>
    </row>
    <row r="3964" customFormat="false" ht="15.75" hidden="false" customHeight="false" outlineLevel="0" collapsed="false">
      <c r="A3964" s="3" t="n">
        <v>46201</v>
      </c>
      <c r="B3964" s="4" t="s">
        <v>1091</v>
      </c>
      <c r="C3964" s="4" t="n">
        <v>4</v>
      </c>
      <c r="D3964" s="4" t="n">
        <v>3</v>
      </c>
      <c r="E3964" s="4" t="s">
        <v>3449</v>
      </c>
      <c r="F3964" s="4" t="n">
        <v>1</v>
      </c>
      <c r="G3964" s="4" t="n">
        <v>15</v>
      </c>
      <c r="H3964" s="4" t="n">
        <v>4</v>
      </c>
      <c r="I3964" s="4" t="str">
        <v>×</v>
      </c>
      <c r="J3964" s="4"/>
      <c r="K3964" s="4"/>
      <c r="L3964" s="4"/>
      <c r="M3964" s="5" t="s">
        <v>2677</v>
      </c>
    </row>
    <row r="3965" customFormat="false" ht="15.75" hidden="false" customHeight="false" outlineLevel="0" collapsed="false">
      <c r="A3965" s="3" t="n">
        <v>46201</v>
      </c>
      <c r="B3965" s="4" t="s">
        <v>1091</v>
      </c>
      <c r="C3965" s="4" t="n">
        <v>4</v>
      </c>
      <c r="D3965" s="4" t="n">
        <v>4</v>
      </c>
      <c r="E3965" s="4" t="s">
        <v>3450</v>
      </c>
      <c r="F3965" s="4" t="n">
        <v>8</v>
      </c>
      <c r="G3965" s="4" t="n">
        <v>10</v>
      </c>
      <c r="H3965" s="4" t="n">
        <v>4</v>
      </c>
      <c r="I3965" s="4" t="str">
        <v>×</v>
      </c>
      <c r="J3965" s="4"/>
      <c r="K3965" s="4"/>
      <c r="L3965" s="4"/>
      <c r="M3965" s="5" t="s">
        <v>2677</v>
      </c>
    </row>
    <row r="3966" customFormat="false" ht="15.75" hidden="false" customHeight="false" outlineLevel="0" collapsed="false">
      <c r="A3966" s="3" t="n">
        <v>46201</v>
      </c>
      <c r="B3966" s="4" t="s">
        <v>1091</v>
      </c>
      <c r="C3966" s="4" t="n">
        <v>4</v>
      </c>
      <c r="D3966" s="4" t="n">
        <v>5</v>
      </c>
      <c r="E3966" s="4" t="s">
        <v>3152</v>
      </c>
      <c r="F3966" s="4" t="n">
        <v>10</v>
      </c>
      <c r="G3966" s="4" t="n">
        <v>8</v>
      </c>
      <c r="H3966" s="4" t="n">
        <v>4</v>
      </c>
      <c r="I3966" s="4" t="str">
        <v>×</v>
      </c>
      <c r="J3966" s="4"/>
      <c r="K3966" s="4"/>
      <c r="L3966" s="4"/>
      <c r="M3966" s="5" t="s">
        <v>2677</v>
      </c>
    </row>
    <row r="3967" customFormat="false" ht="15.75" hidden="false" customHeight="false" outlineLevel="0" collapsed="false">
      <c r="A3967" s="3" t="n">
        <v>46201</v>
      </c>
      <c r="B3967" s="4" t="s">
        <v>1091</v>
      </c>
      <c r="C3967" s="4" t="n">
        <v>4</v>
      </c>
      <c r="D3967" s="4" t="n">
        <v>6</v>
      </c>
      <c r="E3967" s="4" t="s">
        <v>3451</v>
      </c>
      <c r="F3967" s="4" t="n">
        <v>75</v>
      </c>
      <c r="G3967" s="4" t="n">
        <v>1</v>
      </c>
      <c r="H3967" s="4" t="n">
        <v>3</v>
      </c>
      <c r="I3967" s="4" t="str">
        <v>○</v>
      </c>
      <c r="J3967" s="4" t="n">
        <v>110</v>
      </c>
      <c r="K3967" s="4"/>
      <c r="L3967" s="4"/>
      <c r="M3967" s="5" t="s">
        <v>2677</v>
      </c>
    </row>
    <row r="3968" customFormat="false" ht="15.75" hidden="false" customHeight="false" outlineLevel="0" collapsed="false">
      <c r="A3968" s="3" t="n">
        <v>46201</v>
      </c>
      <c r="B3968" s="4" t="s">
        <v>1091</v>
      </c>
      <c r="C3968" s="4" t="n">
        <v>4</v>
      </c>
      <c r="D3968" s="4" t="n">
        <v>7</v>
      </c>
      <c r="E3968" s="4" t="s">
        <v>1267</v>
      </c>
      <c r="F3968" s="4" t="n">
        <v>13</v>
      </c>
      <c r="G3968" s="4" t="n">
        <v>7</v>
      </c>
      <c r="H3968" s="4" t="n">
        <v>4</v>
      </c>
      <c r="I3968" s="4" t="str">
        <v>×</v>
      </c>
      <c r="J3968" s="4"/>
      <c r="K3968" s="4"/>
      <c r="L3968" s="4"/>
      <c r="M3968" s="5" t="s">
        <v>2677</v>
      </c>
    </row>
    <row r="3969" customFormat="false" ht="15.75" hidden="false" customHeight="false" outlineLevel="0" collapsed="false">
      <c r="A3969" s="3" t="n">
        <v>46201</v>
      </c>
      <c r="B3969" s="4" t="s">
        <v>1091</v>
      </c>
      <c r="C3969" s="4" t="n">
        <v>4</v>
      </c>
      <c r="D3969" s="4" t="n">
        <v>8</v>
      </c>
      <c r="E3969" s="4" t="s">
        <v>3452</v>
      </c>
      <c r="F3969" s="4" t="n">
        <v>8</v>
      </c>
      <c r="G3969" s="4" t="n">
        <v>10</v>
      </c>
      <c r="H3969" s="4" t="n">
        <v>4</v>
      </c>
      <c r="I3969" s="4" t="str">
        <v>×</v>
      </c>
      <c r="J3969" s="4"/>
      <c r="K3969" s="4"/>
      <c r="L3969" s="4"/>
      <c r="M3969" s="5" t="s">
        <v>2677</v>
      </c>
    </row>
    <row r="3970" customFormat="false" ht="15.75" hidden="false" customHeight="false" outlineLevel="0" collapsed="false">
      <c r="A3970" s="3" t="n">
        <v>46201</v>
      </c>
      <c r="B3970" s="4" t="s">
        <v>1091</v>
      </c>
      <c r="C3970" s="4" t="n">
        <v>4</v>
      </c>
      <c r="D3970" s="4" t="n">
        <v>9</v>
      </c>
      <c r="E3970" s="4" t="s">
        <v>3453</v>
      </c>
      <c r="F3970" s="4" t="n">
        <v>8</v>
      </c>
      <c r="G3970" s="4" t="n">
        <v>10</v>
      </c>
      <c r="H3970" s="4" t="n">
        <v>4</v>
      </c>
      <c r="I3970" s="4" t="str">
        <v>×</v>
      </c>
      <c r="J3970" s="4"/>
      <c r="K3970" s="4"/>
      <c r="L3970" s="4"/>
      <c r="M3970" s="5" t="s">
        <v>2677</v>
      </c>
    </row>
    <row r="3971" customFormat="false" ht="15.75" hidden="false" customHeight="false" outlineLevel="0" collapsed="false">
      <c r="A3971" s="3" t="n">
        <v>46201</v>
      </c>
      <c r="B3971" s="4" t="s">
        <v>1091</v>
      </c>
      <c r="C3971" s="4" t="n">
        <v>4</v>
      </c>
      <c r="D3971" s="4" t="n">
        <v>10</v>
      </c>
      <c r="E3971" s="4" t="s">
        <v>3454</v>
      </c>
      <c r="F3971" s="4" t="n">
        <v>50</v>
      </c>
      <c r="G3971" s="4" t="n">
        <v>2</v>
      </c>
      <c r="H3971" s="4" t="n">
        <v>1</v>
      </c>
      <c r="I3971" s="4" t="str">
        <v>○</v>
      </c>
      <c r="J3971" s="4" t="n">
        <v>120</v>
      </c>
      <c r="K3971" s="4"/>
      <c r="L3971" s="4"/>
      <c r="M3971" s="5" t="s">
        <v>2677</v>
      </c>
    </row>
    <row r="3972" customFormat="false" ht="15.75" hidden="false" customHeight="false" outlineLevel="0" collapsed="false">
      <c r="A3972" s="3" t="n">
        <v>46201</v>
      </c>
      <c r="B3972" s="4" t="s">
        <v>1091</v>
      </c>
      <c r="C3972" s="4" t="n">
        <v>4</v>
      </c>
      <c r="D3972" s="4" t="n">
        <v>11</v>
      </c>
      <c r="E3972" s="4" t="s">
        <v>1579</v>
      </c>
      <c r="F3972" s="4" t="n">
        <v>1</v>
      </c>
      <c r="G3972" s="4" t="n">
        <v>15</v>
      </c>
      <c r="H3972" s="4" t="n">
        <v>4</v>
      </c>
      <c r="I3972" s="4" t="str">
        <v>×</v>
      </c>
      <c r="J3972" s="4"/>
      <c r="K3972" s="4"/>
      <c r="L3972" s="4"/>
      <c r="M3972" s="5" t="s">
        <v>2677</v>
      </c>
    </row>
    <row r="3973" customFormat="false" ht="15.75" hidden="false" customHeight="false" outlineLevel="0" collapsed="false">
      <c r="A3973" s="3" t="n">
        <v>46201</v>
      </c>
      <c r="B3973" s="4" t="s">
        <v>1091</v>
      </c>
      <c r="C3973" s="4" t="n">
        <v>4</v>
      </c>
      <c r="D3973" s="4" t="n">
        <v>12</v>
      </c>
      <c r="E3973" s="4" t="s">
        <v>1286</v>
      </c>
      <c r="F3973" s="4" t="n">
        <v>23</v>
      </c>
      <c r="G3973" s="4" t="n">
        <v>5</v>
      </c>
      <c r="H3973" s="4" t="n">
        <v>4</v>
      </c>
      <c r="I3973" s="4" t="str">
        <v>×</v>
      </c>
      <c r="J3973" s="4"/>
      <c r="K3973" s="4"/>
      <c r="L3973" s="4"/>
      <c r="M3973" s="5" t="s">
        <v>2677</v>
      </c>
    </row>
    <row r="3974" customFormat="false" ht="15.75" hidden="false" customHeight="false" outlineLevel="0" collapsed="false">
      <c r="A3974" s="3" t="n">
        <v>46201</v>
      </c>
      <c r="B3974" s="4" t="s">
        <v>1091</v>
      </c>
      <c r="C3974" s="4" t="n">
        <v>4</v>
      </c>
      <c r="D3974" s="4" t="n">
        <v>13</v>
      </c>
      <c r="E3974" s="4" t="s">
        <v>2062</v>
      </c>
      <c r="F3974" s="4" t="n">
        <v>25</v>
      </c>
      <c r="G3974" s="4" t="n">
        <v>4</v>
      </c>
      <c r="H3974" s="4" t="n">
        <v>2</v>
      </c>
      <c r="I3974" s="4" t="str">
        <v>○</v>
      </c>
      <c r="J3974" s="4" t="n">
        <v>230</v>
      </c>
      <c r="K3974" s="4"/>
      <c r="L3974" s="4"/>
      <c r="M3974" s="5" t="s">
        <v>2677</v>
      </c>
    </row>
    <row r="3975" customFormat="false" ht="15.75" hidden="false" customHeight="false" outlineLevel="0" collapsed="false">
      <c r="A3975" s="3" t="n">
        <v>46201</v>
      </c>
      <c r="B3975" s="4" t="s">
        <v>1091</v>
      </c>
      <c r="C3975" s="4" t="n">
        <v>4</v>
      </c>
      <c r="D3975" s="4" t="n">
        <v>14</v>
      </c>
      <c r="E3975" s="4" t="s">
        <v>1154</v>
      </c>
      <c r="F3975" s="4" t="n">
        <v>23</v>
      </c>
      <c r="G3975" s="4" t="n">
        <v>5</v>
      </c>
      <c r="H3975" s="4" t="n">
        <v>4</v>
      </c>
      <c r="I3975" s="4" t="str">
        <v>×</v>
      </c>
      <c r="J3975" s="4"/>
      <c r="K3975" s="4"/>
      <c r="L3975" s="4"/>
      <c r="M3975" s="5" t="s">
        <v>2677</v>
      </c>
    </row>
    <row r="3976" customFormat="false" ht="15.75" hidden="false" customHeight="false" outlineLevel="0" collapsed="false">
      <c r="A3976" s="3" t="n">
        <v>46201</v>
      </c>
      <c r="B3976" s="4" t="s">
        <v>1091</v>
      </c>
      <c r="C3976" s="4" t="n">
        <v>4</v>
      </c>
      <c r="D3976" s="4" t="n">
        <v>15</v>
      </c>
      <c r="E3976" s="4" t="s">
        <v>3455</v>
      </c>
      <c r="F3976" s="4" t="n">
        <v>10</v>
      </c>
      <c r="G3976" s="4" t="n">
        <v>8</v>
      </c>
      <c r="H3976" s="4" t="n">
        <v>4</v>
      </c>
      <c r="I3976" s="4" t="str">
        <v>×</v>
      </c>
      <c r="J3976" s="4"/>
      <c r="K3976" s="4"/>
      <c r="L3976" s="4"/>
      <c r="M3976" s="5" t="s">
        <v>2677</v>
      </c>
    </row>
    <row r="3977" customFormat="false" ht="15.75" hidden="false" customHeight="false" outlineLevel="0" collapsed="false">
      <c r="A3977" s="3" t="n">
        <v>46201</v>
      </c>
      <c r="B3977" s="4" t="s">
        <v>1091</v>
      </c>
      <c r="C3977" s="4" t="n">
        <v>4</v>
      </c>
      <c r="D3977" s="4" t="n">
        <v>16</v>
      </c>
      <c r="E3977" s="4" t="s">
        <v>3456</v>
      </c>
      <c r="F3977" s="4" t="n">
        <v>4</v>
      </c>
      <c r="G3977" s="4" t="n">
        <v>13</v>
      </c>
      <c r="H3977" s="4" t="n">
        <v>4</v>
      </c>
      <c r="I3977" s="4" t="str">
        <v>×</v>
      </c>
      <c r="J3977" s="4"/>
      <c r="K3977" s="4"/>
      <c r="L3977" s="4"/>
      <c r="M3977" s="5" t="s">
        <v>2677</v>
      </c>
    </row>
    <row r="3978" customFormat="false" ht="15.75" hidden="false" customHeight="false" outlineLevel="0" collapsed="false">
      <c r="A3978" s="3" t="n">
        <v>46201</v>
      </c>
      <c r="B3978" s="4" t="s">
        <v>1091</v>
      </c>
      <c r="C3978" s="4" t="n">
        <v>5</v>
      </c>
      <c r="D3978" s="4" t="n">
        <v>1</v>
      </c>
      <c r="E3978" s="4" t="s">
        <v>3457</v>
      </c>
      <c r="F3978" s="4" t="n">
        <v>31</v>
      </c>
      <c r="G3978" s="4" t="n">
        <v>1</v>
      </c>
      <c r="H3978" s="4" t="n">
        <v>1</v>
      </c>
      <c r="I3978" s="4" t="str">
        <v>○</v>
      </c>
      <c r="J3978" s="4" t="n">
        <v>190</v>
      </c>
      <c r="K3978" s="4"/>
      <c r="L3978" s="4"/>
      <c r="M3978" s="5" t="s">
        <v>2677</v>
      </c>
    </row>
    <row r="3979" customFormat="false" ht="15.75" hidden="false" customHeight="false" outlineLevel="0" collapsed="false">
      <c r="A3979" s="3" t="n">
        <v>46201</v>
      </c>
      <c r="B3979" s="4" t="s">
        <v>1091</v>
      </c>
      <c r="C3979" s="4" t="n">
        <v>5</v>
      </c>
      <c r="D3979" s="4" t="n">
        <v>2</v>
      </c>
      <c r="E3979" s="4" t="s">
        <v>3458</v>
      </c>
      <c r="F3979" s="4" t="n">
        <v>12</v>
      </c>
      <c r="G3979" s="4" t="n">
        <v>10</v>
      </c>
      <c r="H3979" s="4" t="n">
        <v>4</v>
      </c>
      <c r="I3979" s="4" t="str">
        <v>×</v>
      </c>
      <c r="J3979" s="4"/>
      <c r="K3979" s="4"/>
      <c r="L3979" s="4"/>
      <c r="M3979" s="5" t="s">
        <v>2677</v>
      </c>
    </row>
    <row r="3980" customFormat="false" ht="15.75" hidden="false" customHeight="false" outlineLevel="0" collapsed="false">
      <c r="A3980" s="3" t="n">
        <v>46201</v>
      </c>
      <c r="B3980" s="4" t="s">
        <v>1091</v>
      </c>
      <c r="C3980" s="4" t="n">
        <v>5</v>
      </c>
      <c r="D3980" s="4" t="n">
        <v>3</v>
      </c>
      <c r="E3980" s="4" t="s">
        <v>3459</v>
      </c>
      <c r="F3980" s="4" t="n">
        <v>14</v>
      </c>
      <c r="G3980" s="4" t="n">
        <v>9</v>
      </c>
      <c r="H3980" s="4" t="n">
        <v>4</v>
      </c>
      <c r="I3980" s="4" t="str">
        <v>×</v>
      </c>
      <c r="J3980" s="4"/>
      <c r="K3980" s="4"/>
      <c r="L3980" s="4"/>
      <c r="M3980" s="5" t="s">
        <v>2677</v>
      </c>
    </row>
    <row r="3981" customFormat="false" ht="15.75" hidden="false" customHeight="false" outlineLevel="0" collapsed="false">
      <c r="A3981" s="3" t="n">
        <v>46201</v>
      </c>
      <c r="B3981" s="4" t="s">
        <v>1091</v>
      </c>
      <c r="C3981" s="4" t="n">
        <v>5</v>
      </c>
      <c r="D3981" s="4" t="n">
        <v>4</v>
      </c>
      <c r="E3981" s="4" t="s">
        <v>183</v>
      </c>
      <c r="F3981" s="4" t="n">
        <v>24</v>
      </c>
      <c r="G3981" s="4" t="n">
        <v>3</v>
      </c>
      <c r="H3981" s="4" t="n">
        <v>4</v>
      </c>
      <c r="I3981" s="4" t="str">
        <v>×</v>
      </c>
      <c r="J3981" s="4"/>
      <c r="K3981" s="4"/>
      <c r="L3981" s="4"/>
      <c r="M3981" s="5" t="s">
        <v>2677</v>
      </c>
    </row>
    <row r="3982" customFormat="false" ht="15.75" hidden="false" customHeight="false" outlineLevel="0" collapsed="false">
      <c r="A3982" s="3" t="n">
        <v>46201</v>
      </c>
      <c r="B3982" s="4" t="s">
        <v>1091</v>
      </c>
      <c r="C3982" s="4" t="n">
        <v>5</v>
      </c>
      <c r="D3982" s="4" t="n">
        <v>5</v>
      </c>
      <c r="E3982" s="4" t="s">
        <v>3460</v>
      </c>
      <c r="F3982" s="4" t="n">
        <v>24</v>
      </c>
      <c r="G3982" s="4" t="n">
        <v>3</v>
      </c>
      <c r="H3982" s="4" t="n">
        <v>4</v>
      </c>
      <c r="I3982" s="4" t="str">
        <v>×</v>
      </c>
      <c r="J3982" s="4"/>
      <c r="K3982" s="4"/>
      <c r="L3982" s="4"/>
      <c r="M3982" s="5" t="s">
        <v>2677</v>
      </c>
    </row>
    <row r="3983" customFormat="false" ht="15.75" hidden="false" customHeight="false" outlineLevel="0" collapsed="false">
      <c r="A3983" s="3" t="n">
        <v>46201</v>
      </c>
      <c r="B3983" s="4" t="s">
        <v>1091</v>
      </c>
      <c r="C3983" s="4" t="n">
        <v>5</v>
      </c>
      <c r="D3983" s="4" t="n">
        <v>6</v>
      </c>
      <c r="E3983" s="4" t="s">
        <v>3461</v>
      </c>
      <c r="F3983" s="4" t="n">
        <v>16</v>
      </c>
      <c r="G3983" s="4" t="n">
        <v>8</v>
      </c>
      <c r="H3983" s="4" t="n">
        <v>4</v>
      </c>
      <c r="I3983" s="4" t="str">
        <v>×</v>
      </c>
      <c r="J3983" s="4"/>
      <c r="K3983" s="4"/>
      <c r="L3983" s="4"/>
      <c r="M3983" s="5" t="s">
        <v>2677</v>
      </c>
    </row>
    <row r="3984" customFormat="false" ht="15.75" hidden="false" customHeight="false" outlineLevel="0" collapsed="false">
      <c r="A3984" s="3" t="n">
        <v>46201</v>
      </c>
      <c r="B3984" s="4" t="s">
        <v>1091</v>
      </c>
      <c r="C3984" s="4" t="n">
        <v>5</v>
      </c>
      <c r="D3984" s="4" t="n">
        <v>7</v>
      </c>
      <c r="E3984" s="4" t="s">
        <v>184</v>
      </c>
      <c r="F3984" s="4" t="n">
        <v>24</v>
      </c>
      <c r="G3984" s="4" t="n">
        <v>3</v>
      </c>
      <c r="H3984" s="4" t="n">
        <v>2</v>
      </c>
      <c r="I3984" s="4" t="str">
        <v>○</v>
      </c>
      <c r="J3984" s="4" t="n">
        <v>210</v>
      </c>
      <c r="K3984" s="4"/>
      <c r="L3984" s="4"/>
      <c r="M3984" s="5" t="s">
        <v>2677</v>
      </c>
    </row>
    <row r="3985" customFormat="false" ht="15.75" hidden="false" customHeight="false" outlineLevel="0" collapsed="false">
      <c r="A3985" s="3" t="n">
        <v>46201</v>
      </c>
      <c r="B3985" s="4" t="s">
        <v>1091</v>
      </c>
      <c r="C3985" s="4" t="n">
        <v>5</v>
      </c>
      <c r="D3985" s="4" t="n">
        <v>8</v>
      </c>
      <c r="E3985" s="4" t="s">
        <v>187</v>
      </c>
      <c r="F3985" s="4" t="n">
        <v>21</v>
      </c>
      <c r="G3985" s="4" t="n">
        <v>6</v>
      </c>
      <c r="H3985" s="4" t="n">
        <v>4</v>
      </c>
      <c r="I3985" s="4" t="str">
        <v>×</v>
      </c>
      <c r="J3985" s="4"/>
      <c r="K3985" s="4"/>
      <c r="L3985" s="4"/>
      <c r="M3985" s="5" t="s">
        <v>2677</v>
      </c>
    </row>
    <row r="3986" customFormat="false" ht="15.75" hidden="false" customHeight="false" outlineLevel="0" collapsed="false">
      <c r="A3986" s="3" t="n">
        <v>46201</v>
      </c>
      <c r="B3986" s="4" t="s">
        <v>1091</v>
      </c>
      <c r="C3986" s="4" t="n">
        <v>5</v>
      </c>
      <c r="D3986" s="4" t="n">
        <v>9</v>
      </c>
      <c r="E3986" s="4" t="s">
        <v>2026</v>
      </c>
      <c r="F3986" s="4" t="n">
        <v>21</v>
      </c>
      <c r="G3986" s="4" t="n">
        <v>6</v>
      </c>
      <c r="H3986" s="4" t="n">
        <v>3</v>
      </c>
      <c r="I3986" s="4" t="str">
        <v>○</v>
      </c>
      <c r="J3986" s="4" t="n">
        <v>440</v>
      </c>
      <c r="K3986" s="4"/>
      <c r="L3986" s="4"/>
      <c r="M3986" s="5" t="s">
        <v>2677</v>
      </c>
    </row>
    <row r="3987" customFormat="false" ht="15.75" hidden="false" customHeight="false" outlineLevel="0" collapsed="false">
      <c r="A3987" s="3" t="n">
        <v>46201</v>
      </c>
      <c r="B3987" s="4" t="s">
        <v>1091</v>
      </c>
      <c r="C3987" s="4" t="n">
        <v>5</v>
      </c>
      <c r="D3987" s="4" t="n">
        <v>10</v>
      </c>
      <c r="E3987" s="4" t="s">
        <v>3462</v>
      </c>
      <c r="F3987" s="4" t="n">
        <v>31</v>
      </c>
      <c r="G3987" s="4" t="n">
        <v>1</v>
      </c>
      <c r="H3987" s="4" t="n">
        <v>4</v>
      </c>
      <c r="I3987" s="4" t="str">
        <v>×</v>
      </c>
      <c r="J3987" s="4"/>
      <c r="K3987" s="4"/>
      <c r="L3987" s="4"/>
      <c r="M3987" s="5" t="s">
        <v>2677</v>
      </c>
    </row>
    <row r="3988" customFormat="false" ht="15.75" hidden="false" customHeight="false" outlineLevel="0" collapsed="false">
      <c r="A3988" s="3" t="n">
        <v>46201</v>
      </c>
      <c r="B3988" s="4" t="s">
        <v>1091</v>
      </c>
      <c r="C3988" s="4" t="n">
        <v>6</v>
      </c>
      <c r="D3988" s="4" t="n">
        <v>1</v>
      </c>
      <c r="E3988" s="4" t="s">
        <v>1191</v>
      </c>
      <c r="F3988" s="4" t="n">
        <v>8</v>
      </c>
      <c r="G3988" s="4" t="n">
        <v>7</v>
      </c>
      <c r="H3988" s="4" t="n">
        <v>1</v>
      </c>
      <c r="I3988" s="4" t="str">
        <v>○</v>
      </c>
      <c r="J3988" s="4" t="n">
        <v>130</v>
      </c>
      <c r="K3988" s="4"/>
      <c r="L3988" s="4"/>
      <c r="M3988" s="5" t="s">
        <v>2677</v>
      </c>
    </row>
    <row r="3989" customFormat="false" ht="15.75" hidden="false" customHeight="false" outlineLevel="0" collapsed="false">
      <c r="A3989" s="3" t="n">
        <v>46201</v>
      </c>
      <c r="B3989" s="4" t="s">
        <v>1091</v>
      </c>
      <c r="C3989" s="4" t="n">
        <v>6</v>
      </c>
      <c r="D3989" s="4" t="n">
        <v>2</v>
      </c>
      <c r="E3989" s="4" t="s">
        <v>1192</v>
      </c>
      <c r="F3989" s="4" t="n">
        <v>14</v>
      </c>
      <c r="G3989" s="4" t="n">
        <v>5</v>
      </c>
      <c r="H3989" s="4" t="n">
        <v>3</v>
      </c>
      <c r="I3989" s="4" t="str">
        <v>○</v>
      </c>
      <c r="J3989" s="4" t="n">
        <v>260</v>
      </c>
      <c r="K3989" s="4"/>
      <c r="L3989" s="4"/>
      <c r="M3989" s="5" t="s">
        <v>2677</v>
      </c>
    </row>
    <row r="3990" customFormat="false" ht="15.75" hidden="false" customHeight="false" outlineLevel="0" collapsed="false">
      <c r="A3990" s="3" t="n">
        <v>46201</v>
      </c>
      <c r="B3990" s="4" t="s">
        <v>1091</v>
      </c>
      <c r="C3990" s="4" t="n">
        <v>6</v>
      </c>
      <c r="D3990" s="4" t="n">
        <v>3</v>
      </c>
      <c r="E3990" s="4" t="s">
        <v>1197</v>
      </c>
      <c r="F3990" s="4" t="n">
        <v>16</v>
      </c>
      <c r="G3990" s="4" t="n">
        <v>4</v>
      </c>
      <c r="H3990" s="4" t="n">
        <v>4</v>
      </c>
      <c r="I3990" s="4" t="str">
        <v>×</v>
      </c>
      <c r="J3990" s="4"/>
      <c r="K3990" s="4"/>
      <c r="L3990" s="4"/>
      <c r="M3990" s="5" t="s">
        <v>2677</v>
      </c>
    </row>
    <row r="3991" customFormat="false" ht="15.75" hidden="false" customHeight="false" outlineLevel="0" collapsed="false">
      <c r="A3991" s="3" t="n">
        <v>46201</v>
      </c>
      <c r="B3991" s="4" t="s">
        <v>1091</v>
      </c>
      <c r="C3991" s="4" t="n">
        <v>6</v>
      </c>
      <c r="D3991" s="4" t="n">
        <v>4</v>
      </c>
      <c r="E3991" s="4" t="s">
        <v>1189</v>
      </c>
      <c r="F3991" s="4" t="n">
        <v>37</v>
      </c>
      <c r="G3991" s="4" t="n">
        <v>1</v>
      </c>
      <c r="H3991" s="4" t="n">
        <v>2</v>
      </c>
      <c r="I3991" s="4" t="str">
        <v>○</v>
      </c>
      <c r="J3991" s="4" t="n">
        <v>260</v>
      </c>
      <c r="K3991" s="4"/>
      <c r="L3991" s="4"/>
      <c r="M3991" s="5" t="s">
        <v>2677</v>
      </c>
    </row>
    <row r="3992" customFormat="false" ht="15.75" hidden="false" customHeight="false" outlineLevel="0" collapsed="false">
      <c r="A3992" s="3" t="n">
        <v>46201</v>
      </c>
      <c r="B3992" s="4" t="s">
        <v>1091</v>
      </c>
      <c r="C3992" s="4" t="n">
        <v>6</v>
      </c>
      <c r="D3992" s="4" t="n">
        <v>5</v>
      </c>
      <c r="E3992" s="4" t="s">
        <v>1194</v>
      </c>
      <c r="F3992" s="4" t="n">
        <v>6</v>
      </c>
      <c r="G3992" s="4" t="n">
        <v>8</v>
      </c>
      <c r="H3992" s="4" t="n">
        <v>4</v>
      </c>
      <c r="I3992" s="4" t="str">
        <v>×</v>
      </c>
      <c r="J3992" s="4"/>
      <c r="K3992" s="4"/>
      <c r="L3992" s="4"/>
      <c r="M3992" s="5" t="s">
        <v>2677</v>
      </c>
    </row>
    <row r="3993" customFormat="false" ht="15.75" hidden="false" customHeight="false" outlineLevel="0" collapsed="false">
      <c r="A3993" s="3" t="n">
        <v>46201</v>
      </c>
      <c r="B3993" s="4" t="s">
        <v>1091</v>
      </c>
      <c r="C3993" s="4" t="n">
        <v>6</v>
      </c>
      <c r="D3993" s="4" t="n">
        <v>6</v>
      </c>
      <c r="E3993" s="4" t="s">
        <v>1185</v>
      </c>
      <c r="F3993" s="4" t="n">
        <v>21</v>
      </c>
      <c r="G3993" s="4" t="n">
        <v>3</v>
      </c>
      <c r="H3993" s="4" t="n">
        <v>4</v>
      </c>
      <c r="I3993" s="4" t="str">
        <v>×</v>
      </c>
      <c r="J3993" s="4"/>
      <c r="K3993" s="4"/>
      <c r="L3993" s="4"/>
      <c r="M3993" s="5" t="s">
        <v>2677</v>
      </c>
    </row>
    <row r="3994" customFormat="false" ht="15.75" hidden="false" customHeight="false" outlineLevel="0" collapsed="false">
      <c r="A3994" s="3" t="n">
        <v>46201</v>
      </c>
      <c r="B3994" s="4" t="s">
        <v>1091</v>
      </c>
      <c r="C3994" s="4" t="n">
        <v>6</v>
      </c>
      <c r="D3994" s="4" t="n">
        <v>7</v>
      </c>
      <c r="E3994" s="4" t="s">
        <v>3463</v>
      </c>
      <c r="F3994" s="4" t="n">
        <v>6</v>
      </c>
      <c r="G3994" s="4" t="n">
        <v>8</v>
      </c>
      <c r="H3994" s="4" t="n">
        <v>4</v>
      </c>
      <c r="I3994" s="4" t="str">
        <v>×</v>
      </c>
      <c r="J3994" s="4"/>
      <c r="K3994" s="4"/>
      <c r="L3994" s="4"/>
      <c r="M3994" s="5" t="s">
        <v>2677</v>
      </c>
    </row>
    <row r="3995" customFormat="false" ht="15.75" hidden="false" customHeight="false" outlineLevel="0" collapsed="false">
      <c r="A3995" s="3" t="n">
        <v>46201</v>
      </c>
      <c r="B3995" s="4" t="s">
        <v>1091</v>
      </c>
      <c r="C3995" s="4" t="n">
        <v>6</v>
      </c>
      <c r="D3995" s="4" t="n">
        <v>8</v>
      </c>
      <c r="E3995" s="4" t="s">
        <v>3136</v>
      </c>
      <c r="F3995" s="4" t="n">
        <v>6</v>
      </c>
      <c r="G3995" s="4" t="n">
        <v>8</v>
      </c>
      <c r="H3995" s="4" t="n">
        <v>4</v>
      </c>
      <c r="I3995" s="4" t="str">
        <v>×</v>
      </c>
      <c r="J3995" s="4"/>
      <c r="K3995" s="4"/>
      <c r="L3995" s="4"/>
      <c r="M3995" s="5" t="s">
        <v>2677</v>
      </c>
    </row>
    <row r="3996" customFormat="false" ht="15.75" hidden="false" customHeight="false" outlineLevel="0" collapsed="false">
      <c r="A3996" s="3" t="n">
        <v>46201</v>
      </c>
      <c r="B3996" s="4" t="s">
        <v>1091</v>
      </c>
      <c r="C3996" s="4" t="n">
        <v>6</v>
      </c>
      <c r="D3996" s="4" t="n">
        <v>9</v>
      </c>
      <c r="E3996" s="4" t="s">
        <v>3464</v>
      </c>
      <c r="F3996" s="4" t="n">
        <v>37</v>
      </c>
      <c r="G3996" s="4" t="n">
        <v>1</v>
      </c>
      <c r="H3996" s="4" t="n">
        <v>4</v>
      </c>
      <c r="I3996" s="4" t="str">
        <v>×</v>
      </c>
      <c r="J3996" s="4"/>
      <c r="K3996" s="4"/>
      <c r="L3996" s="4"/>
      <c r="M3996" s="5" t="s">
        <v>2677</v>
      </c>
    </row>
    <row r="3997" customFormat="false" ht="15.75" hidden="false" customHeight="false" outlineLevel="0" collapsed="false">
      <c r="A3997" s="3" t="n">
        <v>46201</v>
      </c>
      <c r="B3997" s="4" t="s">
        <v>1091</v>
      </c>
      <c r="C3997" s="4" t="n">
        <v>6</v>
      </c>
      <c r="D3997" s="4" t="n">
        <v>10</v>
      </c>
      <c r="E3997" s="4" t="s">
        <v>1193</v>
      </c>
      <c r="F3997" s="4" t="n">
        <v>14</v>
      </c>
      <c r="G3997" s="4" t="n">
        <v>5</v>
      </c>
      <c r="H3997" s="4" t="n">
        <v>4</v>
      </c>
      <c r="I3997" s="4" t="str">
        <v>×</v>
      </c>
      <c r="J3997" s="4"/>
      <c r="K3997" s="4"/>
      <c r="L3997" s="4"/>
      <c r="M3997" s="5" t="s">
        <v>2677</v>
      </c>
    </row>
    <row r="3998" customFormat="false" ht="15.75" hidden="false" customHeight="false" outlineLevel="0" collapsed="false">
      <c r="A3998" s="3" t="n">
        <v>46201</v>
      </c>
      <c r="B3998" s="4" t="s">
        <v>1091</v>
      </c>
      <c r="C3998" s="4" t="n">
        <v>6</v>
      </c>
      <c r="D3998" s="4" t="n">
        <v>11</v>
      </c>
      <c r="E3998" s="4" t="s">
        <v>2021</v>
      </c>
      <c r="F3998" s="4" t="n">
        <v>6</v>
      </c>
      <c r="G3998" s="4" t="n">
        <v>8</v>
      </c>
      <c r="H3998" s="4" t="n">
        <v>4</v>
      </c>
      <c r="I3998" s="4" t="str">
        <v>×</v>
      </c>
      <c r="J3998" s="4"/>
      <c r="K3998" s="4"/>
      <c r="L3998" s="4"/>
      <c r="M3998" s="5" t="s">
        <v>2677</v>
      </c>
    </row>
    <row r="3999" customFormat="false" ht="15.75" hidden="false" customHeight="false" outlineLevel="0" collapsed="false">
      <c r="A3999" s="3" t="n">
        <v>46201</v>
      </c>
      <c r="B3999" s="4" t="s">
        <v>1091</v>
      </c>
      <c r="C3999" s="4" t="n">
        <v>7</v>
      </c>
      <c r="D3999" s="4" t="n">
        <v>1</v>
      </c>
      <c r="E3999" s="4" t="s">
        <v>1660</v>
      </c>
      <c r="F3999" s="4" t="n">
        <v>15</v>
      </c>
      <c r="G3999" s="4" t="n">
        <v>5</v>
      </c>
      <c r="H3999" s="4" t="n">
        <v>4</v>
      </c>
      <c r="I3999" s="4" t="str">
        <v>×</v>
      </c>
      <c r="J3999" s="4"/>
      <c r="K3999" s="4"/>
      <c r="L3999" s="4"/>
      <c r="M3999" s="5" t="s">
        <v>2677</v>
      </c>
    </row>
    <row r="4000" customFormat="false" ht="15.75" hidden="false" customHeight="false" outlineLevel="0" collapsed="false">
      <c r="A4000" s="3" t="n">
        <v>46201</v>
      </c>
      <c r="B4000" s="4" t="s">
        <v>1091</v>
      </c>
      <c r="C4000" s="4" t="n">
        <v>7</v>
      </c>
      <c r="D4000" s="4" t="n">
        <v>2</v>
      </c>
      <c r="E4000" s="4" t="s">
        <v>2904</v>
      </c>
      <c r="F4000" s="4" t="n">
        <v>58</v>
      </c>
      <c r="G4000" s="4" t="n">
        <v>2</v>
      </c>
      <c r="H4000" s="4" t="n">
        <v>1</v>
      </c>
      <c r="I4000" s="4" t="str">
        <v>○</v>
      </c>
      <c r="J4000" s="4" t="n">
        <v>160</v>
      </c>
      <c r="K4000" s="4"/>
      <c r="L4000" s="4"/>
      <c r="M4000" s="5" t="s">
        <v>2677</v>
      </c>
    </row>
    <row r="4001" customFormat="false" ht="15.75" hidden="false" customHeight="false" outlineLevel="0" collapsed="false">
      <c r="A4001" s="3" t="n">
        <v>46201</v>
      </c>
      <c r="B4001" s="4" t="s">
        <v>1091</v>
      </c>
      <c r="C4001" s="4" t="n">
        <v>7</v>
      </c>
      <c r="D4001" s="4" t="n">
        <v>3</v>
      </c>
      <c r="E4001" s="4" t="s">
        <v>3465</v>
      </c>
      <c r="F4001" s="4" t="n">
        <v>1</v>
      </c>
      <c r="G4001" s="4" t="n">
        <v>10</v>
      </c>
      <c r="H4001" s="4" t="n">
        <v>4</v>
      </c>
      <c r="I4001" s="4" t="str">
        <v>×</v>
      </c>
      <c r="J4001" s="4"/>
      <c r="K4001" s="4"/>
      <c r="L4001" s="4"/>
      <c r="M4001" s="5" t="s">
        <v>2677</v>
      </c>
    </row>
    <row r="4002" customFormat="false" ht="15.75" hidden="false" customHeight="false" outlineLevel="0" collapsed="false">
      <c r="A4002" s="3" t="n">
        <v>46201</v>
      </c>
      <c r="B4002" s="4" t="s">
        <v>1091</v>
      </c>
      <c r="C4002" s="4" t="n">
        <v>7</v>
      </c>
      <c r="D4002" s="4" t="n">
        <v>4</v>
      </c>
      <c r="E4002" s="4" t="s">
        <v>1653</v>
      </c>
      <c r="F4002" s="4" t="n">
        <v>37</v>
      </c>
      <c r="G4002" s="4" t="n">
        <v>3</v>
      </c>
      <c r="H4002" s="4" t="n">
        <v>2</v>
      </c>
      <c r="I4002" s="4" t="str">
        <v>○</v>
      </c>
      <c r="J4002" s="4" t="n">
        <v>190</v>
      </c>
      <c r="K4002" s="4"/>
      <c r="L4002" s="4"/>
      <c r="M4002" s="5" t="s">
        <v>2677</v>
      </c>
    </row>
    <row r="4003" customFormat="false" ht="15.75" hidden="false" customHeight="false" outlineLevel="0" collapsed="false">
      <c r="A4003" s="3" t="n">
        <v>46201</v>
      </c>
      <c r="B4003" s="4" t="s">
        <v>1091</v>
      </c>
      <c r="C4003" s="4" t="n">
        <v>7</v>
      </c>
      <c r="D4003" s="4" t="n">
        <v>5</v>
      </c>
      <c r="E4003" s="4" t="s">
        <v>3466</v>
      </c>
      <c r="F4003" s="4" t="n">
        <v>10</v>
      </c>
      <c r="G4003" s="4" t="n">
        <v>9</v>
      </c>
      <c r="H4003" s="4" t="n">
        <v>4</v>
      </c>
      <c r="I4003" s="4" t="str">
        <v>×</v>
      </c>
      <c r="J4003" s="4"/>
      <c r="K4003" s="4"/>
      <c r="L4003" s="4"/>
      <c r="M4003" s="5" t="s">
        <v>2677</v>
      </c>
    </row>
    <row r="4004" customFormat="false" ht="15.75" hidden="false" customHeight="false" outlineLevel="0" collapsed="false">
      <c r="A4004" s="3" t="n">
        <v>46201</v>
      </c>
      <c r="B4004" s="4" t="s">
        <v>1091</v>
      </c>
      <c r="C4004" s="4" t="n">
        <v>7</v>
      </c>
      <c r="D4004" s="4" t="n">
        <v>6</v>
      </c>
      <c r="E4004" s="4" t="s">
        <v>2543</v>
      </c>
      <c r="F4004" s="4" t="n">
        <v>15</v>
      </c>
      <c r="G4004" s="4" t="n">
        <v>5</v>
      </c>
      <c r="H4004" s="4" t="n">
        <v>4</v>
      </c>
      <c r="I4004" s="4" t="str">
        <v>×</v>
      </c>
      <c r="J4004" s="4"/>
      <c r="K4004" s="4"/>
      <c r="L4004" s="4"/>
      <c r="M4004" s="5" t="s">
        <v>2677</v>
      </c>
    </row>
    <row r="4005" customFormat="false" ht="15.75" hidden="false" customHeight="false" outlineLevel="0" collapsed="false">
      <c r="A4005" s="3" t="n">
        <v>46201</v>
      </c>
      <c r="B4005" s="4" t="s">
        <v>1091</v>
      </c>
      <c r="C4005" s="4" t="n">
        <v>7</v>
      </c>
      <c r="D4005" s="4" t="n">
        <v>7</v>
      </c>
      <c r="E4005" s="4" t="s">
        <v>1654</v>
      </c>
      <c r="F4005" s="4" t="n">
        <v>15</v>
      </c>
      <c r="G4005" s="4" t="n">
        <v>5</v>
      </c>
      <c r="H4005" s="4" t="n">
        <v>4</v>
      </c>
      <c r="I4005" s="4" t="str">
        <v>×</v>
      </c>
      <c r="J4005" s="4"/>
      <c r="K4005" s="4"/>
      <c r="L4005" s="4"/>
      <c r="M4005" s="5" t="s">
        <v>2677</v>
      </c>
    </row>
    <row r="4006" customFormat="false" ht="15.75" hidden="false" customHeight="false" outlineLevel="0" collapsed="false">
      <c r="A4006" s="3" t="n">
        <v>46201</v>
      </c>
      <c r="B4006" s="4" t="s">
        <v>1091</v>
      </c>
      <c r="C4006" s="4" t="n">
        <v>7</v>
      </c>
      <c r="D4006" s="4" t="n">
        <v>8</v>
      </c>
      <c r="E4006" s="4" t="s">
        <v>1657</v>
      </c>
      <c r="F4006" s="4" t="n">
        <v>23</v>
      </c>
      <c r="G4006" s="4" t="n">
        <v>4</v>
      </c>
      <c r="H4006" s="4" t="n">
        <v>4</v>
      </c>
      <c r="I4006" s="4" t="str">
        <v>×</v>
      </c>
      <c r="J4006" s="4"/>
      <c r="K4006" s="4"/>
      <c r="L4006" s="4"/>
      <c r="M4006" s="5" t="s">
        <v>2677</v>
      </c>
    </row>
    <row r="4007" customFormat="false" ht="15.75" hidden="false" customHeight="false" outlineLevel="0" collapsed="false">
      <c r="A4007" s="3" t="n">
        <v>46201</v>
      </c>
      <c r="B4007" s="4" t="s">
        <v>1091</v>
      </c>
      <c r="C4007" s="4" t="n">
        <v>7</v>
      </c>
      <c r="D4007" s="4" t="n">
        <v>9</v>
      </c>
      <c r="E4007" s="4" t="s">
        <v>1646</v>
      </c>
      <c r="F4007" s="4" t="n">
        <v>62</v>
      </c>
      <c r="G4007" s="4" t="n">
        <v>1</v>
      </c>
      <c r="H4007" s="4" t="n">
        <v>4</v>
      </c>
      <c r="I4007" s="4" t="str">
        <v>×</v>
      </c>
      <c r="J4007" s="4"/>
      <c r="K4007" s="4"/>
      <c r="L4007" s="4"/>
      <c r="M4007" s="5" t="s">
        <v>2677</v>
      </c>
    </row>
    <row r="4008" customFormat="false" ht="15.75" hidden="false" customHeight="false" outlineLevel="0" collapsed="false">
      <c r="A4008" s="3" t="n">
        <v>46201</v>
      </c>
      <c r="B4008" s="4" t="s">
        <v>1091</v>
      </c>
      <c r="C4008" s="4" t="n">
        <v>7</v>
      </c>
      <c r="D4008" s="4" t="n">
        <v>10</v>
      </c>
      <c r="E4008" s="4" t="s">
        <v>1659</v>
      </c>
      <c r="F4008" s="4" t="n">
        <v>13</v>
      </c>
      <c r="G4008" s="4" t="n">
        <v>8</v>
      </c>
      <c r="H4008" s="4" t="n">
        <v>3</v>
      </c>
      <c r="I4008" s="4" t="str">
        <v>○</v>
      </c>
      <c r="J4008" s="4" t="n">
        <v>280</v>
      </c>
      <c r="K4008" s="4"/>
      <c r="L4008" s="4"/>
      <c r="M4008" s="5" t="s">
        <v>2677</v>
      </c>
    </row>
    <row r="4009" customFormat="false" ht="15.75" hidden="false" customHeight="false" outlineLevel="0" collapsed="false">
      <c r="A4009" s="3" t="n">
        <v>46201</v>
      </c>
      <c r="B4009" s="4" t="s">
        <v>1091</v>
      </c>
      <c r="C4009" s="4" t="n">
        <v>8</v>
      </c>
      <c r="D4009" s="4" t="n">
        <v>1</v>
      </c>
      <c r="E4009" s="4" t="s">
        <v>3467</v>
      </c>
      <c r="F4009" s="4" t="n">
        <v>65</v>
      </c>
      <c r="G4009" s="4" t="n">
        <v>1</v>
      </c>
      <c r="H4009" s="4" t="n">
        <v>4</v>
      </c>
      <c r="I4009" s="4" t="str">
        <v>×</v>
      </c>
      <c r="J4009" s="4"/>
      <c r="K4009" s="4"/>
      <c r="L4009" s="4"/>
      <c r="M4009" s="5" t="s">
        <v>2677</v>
      </c>
    </row>
    <row r="4010" customFormat="false" ht="15.75" hidden="false" customHeight="false" outlineLevel="0" collapsed="false">
      <c r="A4010" s="3" t="n">
        <v>46201</v>
      </c>
      <c r="B4010" s="4" t="s">
        <v>1091</v>
      </c>
      <c r="C4010" s="4" t="n">
        <v>8</v>
      </c>
      <c r="D4010" s="4" t="n">
        <v>2</v>
      </c>
      <c r="E4010" s="4" t="s">
        <v>759</v>
      </c>
      <c r="F4010" s="4" t="n">
        <v>23</v>
      </c>
      <c r="G4010" s="4" t="n">
        <v>6</v>
      </c>
      <c r="H4010" s="4" t="n">
        <v>4</v>
      </c>
      <c r="I4010" s="4" t="str">
        <v>×</v>
      </c>
      <c r="J4010" s="4"/>
      <c r="K4010" s="4"/>
      <c r="L4010" s="4"/>
      <c r="M4010" s="5" t="s">
        <v>2677</v>
      </c>
    </row>
    <row r="4011" customFormat="false" ht="15.75" hidden="false" customHeight="false" outlineLevel="0" collapsed="false">
      <c r="A4011" s="3" t="n">
        <v>46201</v>
      </c>
      <c r="B4011" s="4" t="s">
        <v>1091</v>
      </c>
      <c r="C4011" s="4" t="n">
        <v>8</v>
      </c>
      <c r="D4011" s="4" t="n">
        <v>3</v>
      </c>
      <c r="E4011" s="4" t="s">
        <v>2509</v>
      </c>
      <c r="F4011" s="4" t="n">
        <v>34</v>
      </c>
      <c r="G4011" s="4" t="n">
        <v>3</v>
      </c>
      <c r="H4011" s="4" t="n">
        <v>2</v>
      </c>
      <c r="I4011" s="4" t="str">
        <v>○</v>
      </c>
      <c r="J4011" s="4" t="n">
        <v>220</v>
      </c>
      <c r="K4011" s="4"/>
      <c r="L4011" s="4"/>
      <c r="M4011" s="5" t="s">
        <v>2677</v>
      </c>
    </row>
    <row r="4012" customFormat="false" ht="15.75" hidden="false" customHeight="false" outlineLevel="0" collapsed="false">
      <c r="A4012" s="3" t="n">
        <v>46201</v>
      </c>
      <c r="B4012" s="4" t="s">
        <v>1091</v>
      </c>
      <c r="C4012" s="4" t="n">
        <v>8</v>
      </c>
      <c r="D4012" s="4" t="n">
        <v>4</v>
      </c>
      <c r="E4012" s="4" t="s">
        <v>3468</v>
      </c>
      <c r="F4012" s="4" t="n">
        <v>29</v>
      </c>
      <c r="G4012" s="4" t="n">
        <v>5</v>
      </c>
      <c r="H4012" s="4" t="n">
        <v>4</v>
      </c>
      <c r="I4012" s="4" t="str">
        <v>×</v>
      </c>
      <c r="J4012" s="4"/>
      <c r="K4012" s="4"/>
      <c r="L4012" s="4"/>
      <c r="M4012" s="5" t="s">
        <v>2677</v>
      </c>
    </row>
    <row r="4013" customFormat="false" ht="15.75" hidden="false" customHeight="false" outlineLevel="0" collapsed="false">
      <c r="A4013" s="3" t="n">
        <v>46201</v>
      </c>
      <c r="B4013" s="4" t="s">
        <v>1091</v>
      </c>
      <c r="C4013" s="4" t="n">
        <v>8</v>
      </c>
      <c r="D4013" s="4" t="n">
        <v>5</v>
      </c>
      <c r="E4013" s="4" t="s">
        <v>1710</v>
      </c>
      <c r="F4013" s="4" t="n">
        <v>20</v>
      </c>
      <c r="G4013" s="4" t="n">
        <v>7</v>
      </c>
      <c r="H4013" s="4" t="n">
        <v>4</v>
      </c>
      <c r="I4013" s="4" t="str">
        <v>×</v>
      </c>
      <c r="J4013" s="4"/>
      <c r="K4013" s="4"/>
      <c r="L4013" s="4"/>
      <c r="M4013" s="5" t="s">
        <v>2677</v>
      </c>
    </row>
    <row r="4014" customFormat="false" ht="15.75" hidden="false" customHeight="false" outlineLevel="0" collapsed="false">
      <c r="A4014" s="3" t="n">
        <v>46201</v>
      </c>
      <c r="B4014" s="4" t="s">
        <v>1091</v>
      </c>
      <c r="C4014" s="4" t="n">
        <v>8</v>
      </c>
      <c r="D4014" s="4" t="n">
        <v>6</v>
      </c>
      <c r="E4014" s="4" t="s">
        <v>2508</v>
      </c>
      <c r="F4014" s="4" t="n">
        <v>31</v>
      </c>
      <c r="G4014" s="4" t="n">
        <v>4</v>
      </c>
      <c r="H4014" s="4" t="n">
        <v>4</v>
      </c>
      <c r="I4014" s="4" t="str">
        <v>×</v>
      </c>
      <c r="J4014" s="4"/>
      <c r="K4014" s="4"/>
      <c r="L4014" s="4"/>
      <c r="M4014" s="5" t="s">
        <v>2677</v>
      </c>
    </row>
    <row r="4015" customFormat="false" ht="15.75" hidden="false" customHeight="false" outlineLevel="0" collapsed="false">
      <c r="A4015" s="3" t="n">
        <v>46201</v>
      </c>
      <c r="B4015" s="4" t="s">
        <v>1091</v>
      </c>
      <c r="C4015" s="4" t="n">
        <v>8</v>
      </c>
      <c r="D4015" s="4" t="n">
        <v>7</v>
      </c>
      <c r="E4015" s="4" t="s">
        <v>3469</v>
      </c>
      <c r="F4015" s="4" t="n">
        <v>13</v>
      </c>
      <c r="G4015" s="4" t="n">
        <v>8</v>
      </c>
      <c r="H4015" s="4" t="n">
        <v>4</v>
      </c>
      <c r="I4015" s="4" t="str">
        <v>×</v>
      </c>
      <c r="J4015" s="4"/>
      <c r="K4015" s="4"/>
      <c r="L4015" s="4"/>
      <c r="M4015" s="5" t="s">
        <v>2677</v>
      </c>
    </row>
    <row r="4016" customFormat="false" ht="15.75" hidden="false" customHeight="false" outlineLevel="0" collapsed="false">
      <c r="A4016" s="3" t="n">
        <v>46201</v>
      </c>
      <c r="B4016" s="4" t="s">
        <v>1091</v>
      </c>
      <c r="C4016" s="4" t="n">
        <v>8</v>
      </c>
      <c r="D4016" s="4" t="n">
        <v>8</v>
      </c>
      <c r="E4016" s="4" t="s">
        <v>2507</v>
      </c>
      <c r="F4016" s="4" t="n">
        <v>10</v>
      </c>
      <c r="G4016" s="4" t="n">
        <v>9</v>
      </c>
      <c r="H4016" s="4" t="n">
        <v>3</v>
      </c>
      <c r="I4016" s="4" t="str">
        <v>○</v>
      </c>
      <c r="J4016" s="4" t="n">
        <v>740</v>
      </c>
      <c r="K4016" s="4"/>
      <c r="L4016" s="4"/>
      <c r="M4016" s="5" t="s">
        <v>2677</v>
      </c>
    </row>
    <row r="4017" customFormat="false" ht="15.75" hidden="false" customHeight="false" outlineLevel="0" collapsed="false">
      <c r="A4017" s="3" t="n">
        <v>46201</v>
      </c>
      <c r="B4017" s="4" t="s">
        <v>1091</v>
      </c>
      <c r="C4017" s="4" t="n">
        <v>8</v>
      </c>
      <c r="D4017" s="4" t="n">
        <v>9</v>
      </c>
      <c r="E4017" s="4" t="s">
        <v>3470</v>
      </c>
      <c r="F4017" s="4" t="n">
        <v>52</v>
      </c>
      <c r="G4017" s="4" t="n">
        <v>2</v>
      </c>
      <c r="H4017" s="4" t="n">
        <v>1</v>
      </c>
      <c r="I4017" s="4" t="str">
        <v>○</v>
      </c>
      <c r="J4017" s="4" t="n">
        <v>110</v>
      </c>
      <c r="K4017" s="4"/>
      <c r="L4017" s="4"/>
      <c r="M4017" s="5" t="s">
        <v>2677</v>
      </c>
    </row>
    <row r="4018" customFormat="false" ht="15.75" hidden="false" customHeight="false" outlineLevel="0" collapsed="false">
      <c r="A4018" s="3" t="n">
        <v>46201</v>
      </c>
      <c r="B4018" s="4" t="s">
        <v>1091</v>
      </c>
      <c r="C4018" s="4" t="n">
        <v>9</v>
      </c>
      <c r="D4018" s="4" t="n">
        <v>1</v>
      </c>
      <c r="E4018" s="4" t="s">
        <v>1977</v>
      </c>
      <c r="F4018" s="4" t="n">
        <v>15</v>
      </c>
      <c r="G4018" s="4" t="n">
        <v>8</v>
      </c>
      <c r="H4018" s="4" t="n">
        <v>3</v>
      </c>
      <c r="I4018" s="4" t="str">
        <v>○</v>
      </c>
      <c r="J4018" s="4" t="n">
        <v>760</v>
      </c>
      <c r="K4018" s="4"/>
      <c r="L4018" s="4"/>
      <c r="M4018" s="5" t="s">
        <v>2677</v>
      </c>
    </row>
    <row r="4019" customFormat="false" ht="15.75" hidden="false" customHeight="false" outlineLevel="0" collapsed="false">
      <c r="A4019" s="3" t="n">
        <v>46201</v>
      </c>
      <c r="B4019" s="4" t="s">
        <v>1091</v>
      </c>
      <c r="C4019" s="4" t="n">
        <v>9</v>
      </c>
      <c r="D4019" s="4" t="n">
        <v>2</v>
      </c>
      <c r="E4019" s="4" t="s">
        <v>3471</v>
      </c>
      <c r="F4019" s="4" t="n">
        <v>29</v>
      </c>
      <c r="G4019" s="4" t="n">
        <v>6</v>
      </c>
      <c r="H4019" s="4" t="n">
        <v>4</v>
      </c>
      <c r="I4019" s="4" t="str">
        <v>×</v>
      </c>
      <c r="J4019" s="4"/>
      <c r="K4019" s="4"/>
      <c r="L4019" s="4"/>
      <c r="M4019" s="5" t="s">
        <v>2677</v>
      </c>
    </row>
    <row r="4020" customFormat="false" ht="15.75" hidden="false" customHeight="false" outlineLevel="0" collapsed="false">
      <c r="A4020" s="3" t="n">
        <v>46201</v>
      </c>
      <c r="B4020" s="4" t="s">
        <v>1091</v>
      </c>
      <c r="C4020" s="4" t="n">
        <v>9</v>
      </c>
      <c r="D4020" s="4" t="n">
        <v>3</v>
      </c>
      <c r="E4020" s="4" t="s">
        <v>3472</v>
      </c>
      <c r="F4020" s="4" t="n">
        <v>37</v>
      </c>
      <c r="G4020" s="4" t="n">
        <v>3</v>
      </c>
      <c r="H4020" s="4" t="n">
        <v>4</v>
      </c>
      <c r="I4020" s="4" t="str">
        <v>×</v>
      </c>
      <c r="J4020" s="4"/>
      <c r="K4020" s="4"/>
      <c r="L4020" s="4"/>
      <c r="M4020" s="5" t="s">
        <v>2677</v>
      </c>
    </row>
    <row r="4021" customFormat="false" ht="15.75" hidden="false" customHeight="false" outlineLevel="0" collapsed="false">
      <c r="A4021" s="3" t="n">
        <v>46201</v>
      </c>
      <c r="B4021" s="4" t="s">
        <v>1091</v>
      </c>
      <c r="C4021" s="4" t="n">
        <v>9</v>
      </c>
      <c r="D4021" s="4" t="n">
        <v>4</v>
      </c>
      <c r="E4021" s="4" t="s">
        <v>436</v>
      </c>
      <c r="F4021" s="4" t="n">
        <v>31</v>
      </c>
      <c r="G4021" s="4" t="n">
        <v>5</v>
      </c>
      <c r="H4021" s="4" t="n">
        <v>4</v>
      </c>
      <c r="I4021" s="4" t="str">
        <v>×</v>
      </c>
      <c r="J4021" s="4"/>
      <c r="K4021" s="4"/>
      <c r="L4021" s="4"/>
      <c r="M4021" s="5" t="s">
        <v>2677</v>
      </c>
    </row>
    <row r="4022" customFormat="false" ht="15.75" hidden="false" customHeight="false" outlineLevel="0" collapsed="false">
      <c r="A4022" s="3" t="n">
        <v>46201</v>
      </c>
      <c r="B4022" s="4" t="s">
        <v>1091</v>
      </c>
      <c r="C4022" s="4" t="n">
        <v>9</v>
      </c>
      <c r="D4022" s="4" t="n">
        <v>5</v>
      </c>
      <c r="E4022" s="4" t="s">
        <v>3473</v>
      </c>
      <c r="F4022" s="4" t="n">
        <v>52</v>
      </c>
      <c r="G4022" s="4" t="n">
        <v>1</v>
      </c>
      <c r="H4022" s="4" t="n">
        <v>2</v>
      </c>
      <c r="I4022" s="4" t="str">
        <v>○</v>
      </c>
      <c r="J4022" s="4" t="n">
        <v>130</v>
      </c>
      <c r="K4022" s="4"/>
      <c r="L4022" s="4"/>
      <c r="M4022" s="5" t="s">
        <v>2677</v>
      </c>
    </row>
    <row r="4023" customFormat="false" ht="15.75" hidden="false" customHeight="false" outlineLevel="0" collapsed="false">
      <c r="A4023" s="3" t="n">
        <v>46201</v>
      </c>
      <c r="B4023" s="4" t="s">
        <v>1091</v>
      </c>
      <c r="C4023" s="4" t="n">
        <v>9</v>
      </c>
      <c r="D4023" s="4" t="n">
        <v>6</v>
      </c>
      <c r="E4023" s="4" t="s">
        <v>3474</v>
      </c>
      <c r="F4023" s="4" t="n">
        <v>34</v>
      </c>
      <c r="G4023" s="4" t="n">
        <v>4</v>
      </c>
      <c r="H4023" s="4" t="n">
        <v>4</v>
      </c>
      <c r="I4023" s="4" t="str">
        <v>×</v>
      </c>
      <c r="J4023" s="4"/>
      <c r="K4023" s="4"/>
      <c r="L4023" s="4"/>
      <c r="M4023" s="5" t="s">
        <v>2677</v>
      </c>
    </row>
    <row r="4024" customFormat="false" ht="15.75" hidden="false" customHeight="false" outlineLevel="0" collapsed="false">
      <c r="A4024" s="3" t="n">
        <v>46201</v>
      </c>
      <c r="B4024" s="4" t="s">
        <v>1091</v>
      </c>
      <c r="C4024" s="4" t="n">
        <v>9</v>
      </c>
      <c r="D4024" s="4" t="n">
        <v>7</v>
      </c>
      <c r="E4024" s="4" t="s">
        <v>3475</v>
      </c>
      <c r="F4024" s="4" t="n">
        <v>44</v>
      </c>
      <c r="G4024" s="4" t="n">
        <v>2</v>
      </c>
      <c r="H4024" s="4" t="n">
        <v>1</v>
      </c>
      <c r="I4024" s="4" t="str">
        <v>○</v>
      </c>
      <c r="J4024" s="4" t="n">
        <v>130</v>
      </c>
      <c r="K4024" s="4"/>
      <c r="L4024" s="4"/>
      <c r="M4024" s="5" t="s">
        <v>2677</v>
      </c>
    </row>
    <row r="4025" customFormat="false" ht="15.75" hidden="false" customHeight="false" outlineLevel="0" collapsed="false">
      <c r="A4025" s="3" t="n">
        <v>46201</v>
      </c>
      <c r="B4025" s="4" t="s">
        <v>1091</v>
      </c>
      <c r="C4025" s="4" t="n">
        <v>9</v>
      </c>
      <c r="D4025" s="4" t="n">
        <v>8</v>
      </c>
      <c r="E4025" s="4" t="s">
        <v>3476</v>
      </c>
      <c r="F4025" s="4" t="n">
        <v>20</v>
      </c>
      <c r="G4025" s="4" t="n">
        <v>7</v>
      </c>
      <c r="H4025" s="4" t="n">
        <v>4</v>
      </c>
      <c r="I4025" s="4" t="str">
        <v>×</v>
      </c>
      <c r="J4025" s="4"/>
      <c r="K4025" s="4"/>
      <c r="L4025" s="4"/>
      <c r="M4025" s="5" t="s">
        <v>2677</v>
      </c>
    </row>
    <row r="4026" customFormat="false" ht="15.75" hidden="false" customHeight="false" outlineLevel="0" collapsed="false">
      <c r="A4026" s="3" t="n">
        <v>46201</v>
      </c>
      <c r="B4026" s="4" t="s">
        <v>1091</v>
      </c>
      <c r="C4026" s="4" t="n">
        <v>10</v>
      </c>
      <c r="D4026" s="4" t="n">
        <v>1</v>
      </c>
      <c r="E4026" s="4" t="s">
        <v>3477</v>
      </c>
      <c r="F4026" s="4" t="n">
        <v>17</v>
      </c>
      <c r="G4026" s="4" t="n">
        <v>6</v>
      </c>
      <c r="H4026" s="4" t="n">
        <v>4</v>
      </c>
      <c r="I4026" s="4" t="str">
        <v>×</v>
      </c>
      <c r="J4026" s="4"/>
      <c r="K4026" s="4"/>
      <c r="L4026" s="4"/>
      <c r="M4026" s="5" t="s">
        <v>2677</v>
      </c>
    </row>
    <row r="4027" customFormat="false" ht="15.75" hidden="false" customHeight="false" outlineLevel="0" collapsed="false">
      <c r="A4027" s="3" t="n">
        <v>46201</v>
      </c>
      <c r="B4027" s="4" t="s">
        <v>1091</v>
      </c>
      <c r="C4027" s="4" t="n">
        <v>10</v>
      </c>
      <c r="D4027" s="4" t="n">
        <v>2</v>
      </c>
      <c r="E4027" s="4" t="s">
        <v>723</v>
      </c>
      <c r="F4027" s="4" t="n">
        <v>1</v>
      </c>
      <c r="G4027" s="4" t="n">
        <v>15</v>
      </c>
      <c r="H4027" s="4" t="n">
        <v>4</v>
      </c>
      <c r="I4027" s="4" t="str">
        <v>×</v>
      </c>
      <c r="J4027" s="4"/>
      <c r="K4027" s="4"/>
      <c r="L4027" s="4"/>
      <c r="M4027" s="5" t="s">
        <v>2677</v>
      </c>
    </row>
    <row r="4028" customFormat="false" ht="15.75" hidden="false" customHeight="false" outlineLevel="0" collapsed="false">
      <c r="A4028" s="3" t="n">
        <v>46201</v>
      </c>
      <c r="B4028" s="4" t="s">
        <v>1091</v>
      </c>
      <c r="C4028" s="4" t="n">
        <v>10</v>
      </c>
      <c r="D4028" s="4" t="n">
        <v>3</v>
      </c>
      <c r="E4028" s="4" t="s">
        <v>3478</v>
      </c>
      <c r="F4028" s="4" t="n">
        <v>58</v>
      </c>
      <c r="G4028" s="4" t="n">
        <v>1</v>
      </c>
      <c r="H4028" s="4" t="n">
        <v>4</v>
      </c>
      <c r="I4028" s="4" t="str">
        <v>×</v>
      </c>
      <c r="J4028" s="4"/>
      <c r="K4028" s="4"/>
      <c r="L4028" s="4"/>
      <c r="M4028" s="5" t="s">
        <v>2677</v>
      </c>
    </row>
    <row r="4029" customFormat="false" ht="15.75" hidden="false" customHeight="false" outlineLevel="0" collapsed="false">
      <c r="A4029" s="3" t="n">
        <v>46201</v>
      </c>
      <c r="B4029" s="4" t="s">
        <v>1091</v>
      </c>
      <c r="C4029" s="4" t="n">
        <v>10</v>
      </c>
      <c r="D4029" s="4" t="n">
        <v>4</v>
      </c>
      <c r="E4029" s="4" t="s">
        <v>3479</v>
      </c>
      <c r="F4029" s="4" t="n">
        <v>23</v>
      </c>
      <c r="G4029" s="4" t="n">
        <v>4</v>
      </c>
      <c r="H4029" s="4" t="n">
        <v>4</v>
      </c>
      <c r="I4029" s="4" t="str">
        <v>×</v>
      </c>
      <c r="J4029" s="4"/>
      <c r="K4029" s="4"/>
      <c r="L4029" s="4"/>
      <c r="M4029" s="5" t="s">
        <v>2677</v>
      </c>
    </row>
    <row r="4030" customFormat="false" ht="15.75" hidden="false" customHeight="false" outlineLevel="0" collapsed="false">
      <c r="A4030" s="3" t="n">
        <v>46201</v>
      </c>
      <c r="B4030" s="4" t="s">
        <v>1091</v>
      </c>
      <c r="C4030" s="4" t="n">
        <v>10</v>
      </c>
      <c r="D4030" s="4" t="n">
        <v>5</v>
      </c>
      <c r="E4030" s="4" t="s">
        <v>3480</v>
      </c>
      <c r="F4030" s="4" t="n">
        <v>3</v>
      </c>
      <c r="G4030" s="4" t="n">
        <v>12</v>
      </c>
      <c r="H4030" s="4" t="n">
        <v>4</v>
      </c>
      <c r="I4030" s="4" t="str">
        <v>×</v>
      </c>
      <c r="J4030" s="4"/>
      <c r="K4030" s="4"/>
      <c r="L4030" s="4"/>
      <c r="M4030" s="5" t="s">
        <v>2677</v>
      </c>
    </row>
    <row r="4031" customFormat="false" ht="15.75" hidden="false" customHeight="false" outlineLevel="0" collapsed="false">
      <c r="A4031" s="3" t="n">
        <v>46201</v>
      </c>
      <c r="B4031" s="4" t="s">
        <v>1091</v>
      </c>
      <c r="C4031" s="4" t="n">
        <v>10</v>
      </c>
      <c r="D4031" s="4" t="n">
        <v>6</v>
      </c>
      <c r="E4031" s="4" t="s">
        <v>2140</v>
      </c>
      <c r="F4031" s="4" t="n">
        <v>1</v>
      </c>
      <c r="G4031" s="4" t="n">
        <v>15</v>
      </c>
      <c r="H4031" s="4" t="n">
        <v>4</v>
      </c>
      <c r="I4031" s="4" t="str">
        <v>×</v>
      </c>
      <c r="J4031" s="4"/>
      <c r="K4031" s="4"/>
      <c r="L4031" s="4"/>
      <c r="M4031" s="5" t="s">
        <v>2677</v>
      </c>
    </row>
    <row r="4032" customFormat="false" ht="15.75" hidden="false" customHeight="false" outlineLevel="0" collapsed="false">
      <c r="A4032" s="3" t="n">
        <v>46201</v>
      </c>
      <c r="B4032" s="4" t="s">
        <v>1091</v>
      </c>
      <c r="C4032" s="4" t="n">
        <v>10</v>
      </c>
      <c r="D4032" s="4" t="n">
        <v>7</v>
      </c>
      <c r="E4032" s="4" t="s">
        <v>3481</v>
      </c>
      <c r="F4032" s="4" t="n">
        <v>23</v>
      </c>
      <c r="G4032" s="4" t="n">
        <v>4</v>
      </c>
      <c r="H4032" s="4" t="n">
        <v>4</v>
      </c>
      <c r="I4032" s="4" t="str">
        <v>×</v>
      </c>
      <c r="J4032" s="4"/>
      <c r="K4032" s="4"/>
      <c r="L4032" s="4"/>
      <c r="M4032" s="5" t="s">
        <v>2677</v>
      </c>
    </row>
    <row r="4033" customFormat="false" ht="15.75" hidden="false" customHeight="false" outlineLevel="0" collapsed="false">
      <c r="A4033" s="3" t="n">
        <v>46201</v>
      </c>
      <c r="B4033" s="4" t="s">
        <v>1091</v>
      </c>
      <c r="C4033" s="4" t="n">
        <v>10</v>
      </c>
      <c r="D4033" s="4" t="n">
        <v>8</v>
      </c>
      <c r="E4033" s="4" t="s">
        <v>3482</v>
      </c>
      <c r="F4033" s="4" t="n">
        <v>10</v>
      </c>
      <c r="G4033" s="4" t="n">
        <v>9</v>
      </c>
      <c r="H4033" s="4" t="n">
        <v>4</v>
      </c>
      <c r="I4033" s="4" t="str">
        <v>×</v>
      </c>
      <c r="J4033" s="4"/>
      <c r="K4033" s="4"/>
      <c r="L4033" s="4"/>
      <c r="M4033" s="5" t="s">
        <v>2677</v>
      </c>
    </row>
    <row r="4034" customFormat="false" ht="15.75" hidden="false" customHeight="false" outlineLevel="0" collapsed="false">
      <c r="A4034" s="3" t="n">
        <v>46201</v>
      </c>
      <c r="B4034" s="4" t="s">
        <v>1091</v>
      </c>
      <c r="C4034" s="4" t="n">
        <v>10</v>
      </c>
      <c r="D4034" s="4" t="n">
        <v>9</v>
      </c>
      <c r="E4034" s="4" t="s">
        <v>1688</v>
      </c>
      <c r="F4034" s="4" t="n">
        <v>17</v>
      </c>
      <c r="G4034" s="4" t="n">
        <v>6</v>
      </c>
      <c r="H4034" s="4" t="n">
        <v>1</v>
      </c>
      <c r="I4034" s="4" t="str">
        <v>○</v>
      </c>
      <c r="J4034" s="4" t="n">
        <v>470</v>
      </c>
      <c r="K4034" s="4"/>
      <c r="L4034" s="4"/>
      <c r="M4034" s="5" t="s">
        <v>2677</v>
      </c>
    </row>
    <row r="4035" customFormat="false" ht="15.75" hidden="false" customHeight="false" outlineLevel="0" collapsed="false">
      <c r="A4035" s="3" t="n">
        <v>46201</v>
      </c>
      <c r="B4035" s="4" t="s">
        <v>1091</v>
      </c>
      <c r="C4035" s="4" t="n">
        <v>10</v>
      </c>
      <c r="D4035" s="4" t="n">
        <v>10</v>
      </c>
      <c r="E4035" s="4" t="s">
        <v>719</v>
      </c>
      <c r="F4035" s="4" t="n">
        <v>13</v>
      </c>
      <c r="G4035" s="4" t="n">
        <v>8</v>
      </c>
      <c r="H4035" s="4" t="n">
        <v>4</v>
      </c>
      <c r="I4035" s="4" t="str">
        <v>×</v>
      </c>
      <c r="J4035" s="4"/>
      <c r="K4035" s="4"/>
      <c r="L4035" s="4"/>
      <c r="M4035" s="5" t="s">
        <v>2677</v>
      </c>
    </row>
    <row r="4036" customFormat="false" ht="15.75" hidden="false" customHeight="false" outlineLevel="0" collapsed="false">
      <c r="A4036" s="3" t="n">
        <v>46201</v>
      </c>
      <c r="B4036" s="4" t="s">
        <v>1091</v>
      </c>
      <c r="C4036" s="4" t="n">
        <v>10</v>
      </c>
      <c r="D4036" s="4" t="n">
        <v>11</v>
      </c>
      <c r="E4036" s="4" t="s">
        <v>3483</v>
      </c>
      <c r="F4036" s="4" t="n">
        <v>34</v>
      </c>
      <c r="G4036" s="4" t="n">
        <v>2</v>
      </c>
      <c r="H4036" s="4" t="n">
        <v>2</v>
      </c>
      <c r="I4036" s="4" t="str">
        <v>○</v>
      </c>
      <c r="J4036" s="4" t="n">
        <v>270</v>
      </c>
      <c r="K4036" s="4"/>
      <c r="L4036" s="4"/>
      <c r="M4036" s="5" t="s">
        <v>2677</v>
      </c>
    </row>
    <row r="4037" customFormat="false" ht="15.75" hidden="false" customHeight="false" outlineLevel="0" collapsed="false">
      <c r="A4037" s="3" t="n">
        <v>46201</v>
      </c>
      <c r="B4037" s="4" t="s">
        <v>1091</v>
      </c>
      <c r="C4037" s="4" t="n">
        <v>10</v>
      </c>
      <c r="D4037" s="4" t="n">
        <v>12</v>
      </c>
      <c r="E4037" s="4" t="s">
        <v>3484</v>
      </c>
      <c r="F4037" s="4" t="n">
        <v>3</v>
      </c>
      <c r="G4037" s="4" t="n">
        <v>12</v>
      </c>
      <c r="H4037" s="4" t="n">
        <v>4</v>
      </c>
      <c r="I4037" s="4" t="str">
        <v>×</v>
      </c>
      <c r="J4037" s="4"/>
      <c r="K4037" s="4"/>
      <c r="L4037" s="4"/>
      <c r="M4037" s="5" t="s">
        <v>2677</v>
      </c>
    </row>
    <row r="4038" customFormat="false" ht="15.75" hidden="false" customHeight="false" outlineLevel="0" collapsed="false">
      <c r="A4038" s="3" t="n">
        <v>46201</v>
      </c>
      <c r="B4038" s="4" t="s">
        <v>1091</v>
      </c>
      <c r="C4038" s="4" t="n">
        <v>10</v>
      </c>
      <c r="D4038" s="4" t="n">
        <v>13</v>
      </c>
      <c r="E4038" s="4" t="s">
        <v>1199</v>
      </c>
      <c r="F4038" s="4" t="n">
        <v>31</v>
      </c>
      <c r="G4038" s="4" t="n">
        <v>3</v>
      </c>
      <c r="H4038" s="4" t="n">
        <v>3</v>
      </c>
      <c r="I4038" s="4" t="str">
        <v>○</v>
      </c>
      <c r="J4038" s="4" t="n">
        <v>210</v>
      </c>
      <c r="K4038" s="4"/>
      <c r="L4038" s="4"/>
      <c r="M4038" s="5" t="s">
        <v>2677</v>
      </c>
    </row>
    <row r="4039" customFormat="false" ht="15.75" hidden="false" customHeight="false" outlineLevel="0" collapsed="false">
      <c r="A4039" s="3" t="n">
        <v>46201</v>
      </c>
      <c r="B4039" s="4" t="s">
        <v>1091</v>
      </c>
      <c r="C4039" s="4" t="n">
        <v>10</v>
      </c>
      <c r="D4039" s="4" t="n">
        <v>14</v>
      </c>
      <c r="E4039" s="4" t="s">
        <v>3485</v>
      </c>
      <c r="F4039" s="4" t="n">
        <v>3</v>
      </c>
      <c r="G4039" s="4" t="n">
        <v>12</v>
      </c>
      <c r="H4039" s="4" t="n">
        <v>4</v>
      </c>
      <c r="I4039" s="4" t="str">
        <v>×</v>
      </c>
      <c r="J4039" s="4"/>
      <c r="K4039" s="4"/>
      <c r="L4039" s="4"/>
      <c r="M4039" s="5" t="s">
        <v>2677</v>
      </c>
    </row>
    <row r="4040" customFormat="false" ht="15.75" hidden="false" customHeight="false" outlineLevel="0" collapsed="false">
      <c r="A4040" s="3" t="n">
        <v>46201</v>
      </c>
      <c r="B4040" s="4" t="s">
        <v>1091</v>
      </c>
      <c r="C4040" s="4" t="n">
        <v>10</v>
      </c>
      <c r="D4040" s="4" t="n">
        <v>15</v>
      </c>
      <c r="E4040" s="4" t="s">
        <v>1988</v>
      </c>
      <c r="F4040" s="4" t="n">
        <v>8</v>
      </c>
      <c r="G4040" s="4" t="n">
        <v>10</v>
      </c>
      <c r="H4040" s="4" t="n">
        <v>4</v>
      </c>
      <c r="I4040" s="4" t="str">
        <v>×</v>
      </c>
      <c r="J4040" s="4"/>
      <c r="K4040" s="4"/>
      <c r="L4040" s="4"/>
      <c r="M4040" s="5" t="s">
        <v>2677</v>
      </c>
    </row>
    <row r="4041" customFormat="false" ht="15.75" hidden="false" customHeight="false" outlineLevel="0" collapsed="false">
      <c r="A4041" s="3" t="n">
        <v>46201</v>
      </c>
      <c r="B4041" s="4" t="s">
        <v>1091</v>
      </c>
      <c r="C4041" s="4" t="n">
        <v>10</v>
      </c>
      <c r="D4041" s="4" t="n">
        <v>16</v>
      </c>
      <c r="E4041" s="4" t="s">
        <v>3486</v>
      </c>
      <c r="F4041" s="4" t="n">
        <v>6</v>
      </c>
      <c r="G4041" s="4" t="n">
        <v>11</v>
      </c>
      <c r="H4041" s="4" t="n">
        <v>4</v>
      </c>
      <c r="I4041" s="4" t="str">
        <v>×</v>
      </c>
      <c r="J4041" s="4"/>
      <c r="K4041" s="4"/>
      <c r="L4041" s="4"/>
      <c r="M4041" s="5" t="s">
        <v>2677</v>
      </c>
    </row>
    <row r="4042" customFormat="false" ht="15.75" hidden="false" customHeight="false" outlineLevel="0" collapsed="false">
      <c r="A4042" s="3" t="n">
        <v>46201</v>
      </c>
      <c r="B4042" s="4" t="s">
        <v>1091</v>
      </c>
      <c r="C4042" s="4" t="n">
        <v>11</v>
      </c>
      <c r="D4042" s="4" t="n">
        <v>1</v>
      </c>
      <c r="E4042" s="4" t="s">
        <v>1221</v>
      </c>
      <c r="F4042" s="4" t="n">
        <v>23</v>
      </c>
      <c r="G4042" s="4" t="n">
        <v>5</v>
      </c>
      <c r="H4042" s="4" t="n">
        <v>4</v>
      </c>
      <c r="I4042" s="4" t="str">
        <v>×</v>
      </c>
      <c r="J4042" s="4"/>
      <c r="K4042" s="4"/>
      <c r="L4042" s="4"/>
      <c r="M4042" s="5" t="s">
        <v>2677</v>
      </c>
    </row>
    <row r="4043" customFormat="false" ht="15.75" hidden="false" customHeight="false" outlineLevel="0" collapsed="false">
      <c r="A4043" s="3" t="n">
        <v>46201</v>
      </c>
      <c r="B4043" s="4" t="s">
        <v>1091</v>
      </c>
      <c r="C4043" s="4" t="n">
        <v>11</v>
      </c>
      <c r="D4043" s="4" t="n">
        <v>2</v>
      </c>
      <c r="E4043" s="4" t="s">
        <v>1220</v>
      </c>
      <c r="F4043" s="4" t="n">
        <v>20</v>
      </c>
      <c r="G4043" s="4" t="n">
        <v>6</v>
      </c>
      <c r="H4043" s="4" t="n">
        <v>2</v>
      </c>
      <c r="I4043" s="4" t="str">
        <v>○</v>
      </c>
      <c r="J4043" s="4" t="n">
        <v>650</v>
      </c>
      <c r="K4043" s="4"/>
      <c r="L4043" s="4"/>
      <c r="M4043" s="5" t="s">
        <v>2677</v>
      </c>
    </row>
    <row r="4044" customFormat="false" ht="15.75" hidden="false" customHeight="false" outlineLevel="0" collapsed="false">
      <c r="A4044" s="3" t="n">
        <v>46201</v>
      </c>
      <c r="B4044" s="4" t="s">
        <v>1091</v>
      </c>
      <c r="C4044" s="4" t="n">
        <v>11</v>
      </c>
      <c r="D4044" s="4" t="n">
        <v>3</v>
      </c>
      <c r="E4044" s="4" t="s">
        <v>1222</v>
      </c>
      <c r="F4044" s="4" t="n">
        <v>15</v>
      </c>
      <c r="G4044" s="4" t="n">
        <v>8</v>
      </c>
      <c r="H4044" s="4" t="n">
        <v>4</v>
      </c>
      <c r="I4044" s="4" t="str">
        <v>×</v>
      </c>
      <c r="J4044" s="4"/>
      <c r="K4044" s="4"/>
      <c r="L4044" s="4"/>
      <c r="M4044" s="5" t="s">
        <v>2677</v>
      </c>
    </row>
    <row r="4045" customFormat="false" ht="15.75" hidden="false" customHeight="false" outlineLevel="0" collapsed="false">
      <c r="A4045" s="3" t="n">
        <v>46201</v>
      </c>
      <c r="B4045" s="4" t="s">
        <v>1091</v>
      </c>
      <c r="C4045" s="4" t="n">
        <v>11</v>
      </c>
      <c r="D4045" s="4" t="n">
        <v>4</v>
      </c>
      <c r="E4045" s="4" t="s">
        <v>1211</v>
      </c>
      <c r="F4045" s="4" t="n">
        <v>39</v>
      </c>
      <c r="G4045" s="4" t="n">
        <v>3</v>
      </c>
      <c r="H4045" s="4" t="n">
        <v>4</v>
      </c>
      <c r="I4045" s="4" t="str">
        <v>×</v>
      </c>
      <c r="J4045" s="4"/>
      <c r="K4045" s="4"/>
      <c r="L4045" s="4"/>
      <c r="M4045" s="5" t="s">
        <v>2677</v>
      </c>
    </row>
    <row r="4046" customFormat="false" ht="15.75" hidden="false" customHeight="false" outlineLevel="0" collapsed="false">
      <c r="A4046" s="3" t="n">
        <v>46201</v>
      </c>
      <c r="B4046" s="4" t="s">
        <v>1091</v>
      </c>
      <c r="C4046" s="4" t="n">
        <v>11</v>
      </c>
      <c r="D4046" s="4" t="n">
        <v>5</v>
      </c>
      <c r="E4046" s="4" t="s">
        <v>3487</v>
      </c>
      <c r="F4046" s="4" t="n">
        <v>29</v>
      </c>
      <c r="G4046" s="4" t="n">
        <v>4</v>
      </c>
      <c r="H4046" s="4" t="n">
        <v>1</v>
      </c>
      <c r="I4046" s="4" t="str">
        <v>○</v>
      </c>
      <c r="J4046" s="4" t="n">
        <v>640</v>
      </c>
      <c r="K4046" s="4"/>
      <c r="L4046" s="4"/>
      <c r="M4046" s="5" t="s">
        <v>2677</v>
      </c>
    </row>
    <row r="4047" customFormat="false" ht="15.75" hidden="false" customHeight="false" outlineLevel="0" collapsed="false">
      <c r="A4047" s="3" t="n">
        <v>46201</v>
      </c>
      <c r="B4047" s="4" t="s">
        <v>1091</v>
      </c>
      <c r="C4047" s="4" t="n">
        <v>11</v>
      </c>
      <c r="D4047" s="4" t="n">
        <v>6</v>
      </c>
      <c r="E4047" s="4" t="s">
        <v>3488</v>
      </c>
      <c r="F4047" s="4" t="n">
        <v>41</v>
      </c>
      <c r="G4047" s="4" t="n">
        <v>2</v>
      </c>
      <c r="H4047" s="4" t="n">
        <v>4</v>
      </c>
      <c r="I4047" s="4" t="str">
        <v>×</v>
      </c>
      <c r="J4047" s="4"/>
      <c r="K4047" s="4"/>
      <c r="L4047" s="4"/>
      <c r="M4047" s="5" t="s">
        <v>2677</v>
      </c>
    </row>
    <row r="4048" customFormat="false" ht="15.75" hidden="false" customHeight="false" outlineLevel="0" collapsed="false">
      <c r="A4048" s="3" t="n">
        <v>46201</v>
      </c>
      <c r="B4048" s="4" t="s">
        <v>1091</v>
      </c>
      <c r="C4048" s="4" t="n">
        <v>11</v>
      </c>
      <c r="D4048" s="4" t="n">
        <v>7</v>
      </c>
      <c r="E4048" s="4" t="s">
        <v>1217</v>
      </c>
      <c r="F4048" s="4" t="n">
        <v>17</v>
      </c>
      <c r="G4048" s="4" t="n">
        <v>7</v>
      </c>
      <c r="H4048" s="4" t="n">
        <v>4</v>
      </c>
      <c r="I4048" s="4" t="str">
        <v>×</v>
      </c>
      <c r="J4048" s="4"/>
      <c r="K4048" s="4"/>
      <c r="L4048" s="4"/>
      <c r="M4048" s="5" t="s">
        <v>2677</v>
      </c>
    </row>
    <row r="4049" customFormat="false" ht="15.75" hidden="false" customHeight="false" outlineLevel="0" collapsed="false">
      <c r="A4049" s="3" t="n">
        <v>46201</v>
      </c>
      <c r="B4049" s="4" t="s">
        <v>1091</v>
      </c>
      <c r="C4049" s="4" t="n">
        <v>11</v>
      </c>
      <c r="D4049" s="4" t="n">
        <v>8</v>
      </c>
      <c r="E4049" s="4" t="s">
        <v>3489</v>
      </c>
      <c r="F4049" s="4" t="n">
        <v>67</v>
      </c>
      <c r="G4049" s="4" t="n">
        <v>1</v>
      </c>
      <c r="H4049" s="4" t="n">
        <v>3</v>
      </c>
      <c r="I4049" s="4" t="str">
        <v>○</v>
      </c>
      <c r="J4049" s="4" t="n">
        <v>260</v>
      </c>
      <c r="K4049" s="4"/>
      <c r="L4049" s="4"/>
      <c r="M4049" s="5" t="s">
        <v>2677</v>
      </c>
    </row>
    <row r="4050" customFormat="false" ht="15.75" hidden="false" customHeight="false" outlineLevel="0" collapsed="false">
      <c r="A4050" s="3" t="n">
        <v>46201</v>
      </c>
      <c r="B4050" s="4" t="s">
        <v>1091</v>
      </c>
      <c r="C4050" s="4" t="n">
        <v>12</v>
      </c>
      <c r="D4050" s="4" t="n">
        <v>1</v>
      </c>
      <c r="E4050" s="4" t="s">
        <v>297</v>
      </c>
      <c r="F4050" s="4" t="n">
        <v>15</v>
      </c>
      <c r="G4050" s="4" t="n">
        <v>7</v>
      </c>
      <c r="H4050" s="4" t="n">
        <v>4</v>
      </c>
      <c r="I4050" s="4" t="str">
        <v>×</v>
      </c>
      <c r="J4050" s="4"/>
      <c r="K4050" s="4"/>
      <c r="L4050" s="4"/>
      <c r="M4050" s="5" t="s">
        <v>2677</v>
      </c>
    </row>
    <row r="4051" customFormat="false" ht="15.75" hidden="false" customHeight="false" outlineLevel="0" collapsed="false">
      <c r="A4051" s="3" t="n">
        <v>46201</v>
      </c>
      <c r="B4051" s="4" t="s">
        <v>1091</v>
      </c>
      <c r="C4051" s="4" t="n">
        <v>12</v>
      </c>
      <c r="D4051" s="4" t="n">
        <v>2</v>
      </c>
      <c r="E4051" s="4" t="s">
        <v>3490</v>
      </c>
      <c r="F4051" s="4" t="n">
        <v>8</v>
      </c>
      <c r="G4051" s="4" t="n">
        <v>12</v>
      </c>
      <c r="H4051" s="4" t="n">
        <v>4</v>
      </c>
      <c r="I4051" s="4" t="str">
        <v>×</v>
      </c>
      <c r="J4051" s="4"/>
      <c r="K4051" s="4"/>
      <c r="L4051" s="4"/>
      <c r="M4051" s="5" t="s">
        <v>2677</v>
      </c>
    </row>
    <row r="4052" customFormat="false" ht="15.75" hidden="false" customHeight="false" outlineLevel="0" collapsed="false">
      <c r="A4052" s="3" t="n">
        <v>46201</v>
      </c>
      <c r="B4052" s="4" t="s">
        <v>1091</v>
      </c>
      <c r="C4052" s="4" t="n">
        <v>12</v>
      </c>
      <c r="D4052" s="4" t="n">
        <v>3</v>
      </c>
      <c r="E4052" s="4" t="s">
        <v>3491</v>
      </c>
      <c r="F4052" s="4" t="n">
        <v>29</v>
      </c>
      <c r="G4052" s="4" t="n">
        <v>2</v>
      </c>
      <c r="H4052" s="4" t="n">
        <v>4</v>
      </c>
      <c r="I4052" s="4" t="str">
        <v>×</v>
      </c>
      <c r="J4052" s="4"/>
      <c r="K4052" s="4"/>
      <c r="L4052" s="4"/>
      <c r="M4052" s="5" t="s">
        <v>2677</v>
      </c>
    </row>
    <row r="4053" customFormat="false" ht="15.75" hidden="false" customHeight="false" outlineLevel="0" collapsed="false">
      <c r="A4053" s="3" t="n">
        <v>46201</v>
      </c>
      <c r="B4053" s="4" t="s">
        <v>1091</v>
      </c>
      <c r="C4053" s="4" t="n">
        <v>12</v>
      </c>
      <c r="D4053" s="4" t="n">
        <v>4</v>
      </c>
      <c r="E4053" s="4" t="s">
        <v>3492</v>
      </c>
      <c r="F4053" s="4" t="n">
        <v>13</v>
      </c>
      <c r="G4053" s="4" t="n">
        <v>9</v>
      </c>
      <c r="H4053" s="4" t="n">
        <v>4</v>
      </c>
      <c r="I4053" s="4" t="str">
        <v>×</v>
      </c>
      <c r="J4053" s="4"/>
      <c r="K4053" s="4"/>
      <c r="L4053" s="4"/>
      <c r="M4053" s="5" t="s">
        <v>2677</v>
      </c>
    </row>
    <row r="4054" customFormat="false" ht="15.75" hidden="false" customHeight="false" outlineLevel="0" collapsed="false">
      <c r="A4054" s="3" t="n">
        <v>46201</v>
      </c>
      <c r="B4054" s="4" t="s">
        <v>1091</v>
      </c>
      <c r="C4054" s="4" t="n">
        <v>12</v>
      </c>
      <c r="D4054" s="4" t="n">
        <v>5</v>
      </c>
      <c r="E4054" s="4" t="s">
        <v>3493</v>
      </c>
      <c r="F4054" s="4" t="n">
        <v>8</v>
      </c>
      <c r="G4054" s="4" t="n">
        <v>12</v>
      </c>
      <c r="H4054" s="4" t="n">
        <v>4</v>
      </c>
      <c r="I4054" s="4" t="str">
        <v>×</v>
      </c>
      <c r="J4054" s="4"/>
      <c r="K4054" s="4"/>
      <c r="L4054" s="4"/>
      <c r="M4054" s="5" t="s">
        <v>2677</v>
      </c>
    </row>
    <row r="4055" customFormat="false" ht="15.75" hidden="false" customHeight="false" outlineLevel="0" collapsed="false">
      <c r="A4055" s="3" t="n">
        <v>46201</v>
      </c>
      <c r="B4055" s="4" t="s">
        <v>1091</v>
      </c>
      <c r="C4055" s="4" t="n">
        <v>12</v>
      </c>
      <c r="D4055" s="4" t="n">
        <v>6</v>
      </c>
      <c r="E4055" s="4" t="s">
        <v>1226</v>
      </c>
      <c r="F4055" s="4" t="n">
        <v>29</v>
      </c>
      <c r="G4055" s="4" t="n">
        <v>2</v>
      </c>
      <c r="H4055" s="4" t="n">
        <v>4</v>
      </c>
      <c r="I4055" s="4" t="str">
        <v>×</v>
      </c>
      <c r="J4055" s="4"/>
      <c r="K4055" s="4"/>
      <c r="L4055" s="4"/>
      <c r="M4055" s="5" t="s">
        <v>2677</v>
      </c>
    </row>
    <row r="4056" customFormat="false" ht="15.75" hidden="false" customHeight="false" outlineLevel="0" collapsed="false">
      <c r="A4056" s="3" t="n">
        <v>46201</v>
      </c>
      <c r="B4056" s="4" t="s">
        <v>1091</v>
      </c>
      <c r="C4056" s="4" t="n">
        <v>12</v>
      </c>
      <c r="D4056" s="4" t="n">
        <v>7</v>
      </c>
      <c r="E4056" s="4" t="s">
        <v>3494</v>
      </c>
      <c r="F4056" s="4" t="n">
        <v>58</v>
      </c>
      <c r="G4056" s="4" t="n">
        <v>1</v>
      </c>
      <c r="H4056" s="4" t="n">
        <v>1</v>
      </c>
      <c r="I4056" s="4" t="str">
        <v>○</v>
      </c>
      <c r="J4056" s="4" t="n">
        <v>200</v>
      </c>
      <c r="K4056" s="4"/>
      <c r="L4056" s="4"/>
      <c r="M4056" s="5" t="s">
        <v>2677</v>
      </c>
    </row>
    <row r="4057" customFormat="false" ht="15.75" hidden="false" customHeight="false" outlineLevel="0" collapsed="false">
      <c r="A4057" s="3" t="n">
        <v>46201</v>
      </c>
      <c r="B4057" s="4" t="s">
        <v>1091</v>
      </c>
      <c r="C4057" s="4" t="n">
        <v>12</v>
      </c>
      <c r="D4057" s="4" t="n">
        <v>8</v>
      </c>
      <c r="E4057" s="4" t="s">
        <v>2500</v>
      </c>
      <c r="F4057" s="4" t="n">
        <v>15</v>
      </c>
      <c r="G4057" s="4" t="n">
        <v>7</v>
      </c>
      <c r="H4057" s="4" t="n">
        <v>4</v>
      </c>
      <c r="I4057" s="4" t="str">
        <v>×</v>
      </c>
      <c r="J4057" s="4"/>
      <c r="K4057" s="4"/>
      <c r="L4057" s="4"/>
      <c r="M4057" s="5" t="s">
        <v>2677</v>
      </c>
    </row>
    <row r="4058" customFormat="false" ht="15.75" hidden="false" customHeight="false" outlineLevel="0" collapsed="false">
      <c r="A4058" s="3" t="n">
        <v>46201</v>
      </c>
      <c r="B4058" s="4" t="s">
        <v>1091</v>
      </c>
      <c r="C4058" s="4" t="n">
        <v>12</v>
      </c>
      <c r="D4058" s="4" t="n">
        <v>9</v>
      </c>
      <c r="E4058" s="4" t="s">
        <v>3495</v>
      </c>
      <c r="F4058" s="4" t="n">
        <v>6</v>
      </c>
      <c r="G4058" s="4" t="n">
        <v>15</v>
      </c>
      <c r="H4058" s="4" t="n">
        <v>4</v>
      </c>
      <c r="I4058" s="4" t="str">
        <v>×</v>
      </c>
      <c r="J4058" s="4"/>
      <c r="K4058" s="4"/>
      <c r="L4058" s="4"/>
      <c r="M4058" s="5" t="s">
        <v>2677</v>
      </c>
    </row>
    <row r="4059" customFormat="false" ht="15.75" hidden="false" customHeight="false" outlineLevel="0" collapsed="false">
      <c r="A4059" s="3" t="n">
        <v>46201</v>
      </c>
      <c r="B4059" s="4" t="s">
        <v>1091</v>
      </c>
      <c r="C4059" s="4" t="n">
        <v>12</v>
      </c>
      <c r="D4059" s="4" t="n">
        <v>10</v>
      </c>
      <c r="E4059" s="4" t="s">
        <v>3496</v>
      </c>
      <c r="F4059" s="4" t="n">
        <v>10</v>
      </c>
      <c r="G4059" s="4" t="n">
        <v>11</v>
      </c>
      <c r="H4059" s="4" t="n">
        <v>4</v>
      </c>
      <c r="I4059" s="4" t="str">
        <v>×</v>
      </c>
      <c r="J4059" s="4"/>
      <c r="K4059" s="4"/>
      <c r="L4059" s="4"/>
      <c r="M4059" s="5" t="s">
        <v>2677</v>
      </c>
    </row>
    <row r="4060" customFormat="false" ht="15.75" hidden="false" customHeight="false" outlineLevel="0" collapsed="false">
      <c r="A4060" s="3" t="n">
        <v>46201</v>
      </c>
      <c r="B4060" s="4" t="s">
        <v>1091</v>
      </c>
      <c r="C4060" s="4" t="n">
        <v>12</v>
      </c>
      <c r="D4060" s="4" t="n">
        <v>11</v>
      </c>
      <c r="E4060" s="4" t="s">
        <v>3497</v>
      </c>
      <c r="F4060" s="4" t="n">
        <v>8</v>
      </c>
      <c r="G4060" s="4" t="n">
        <v>12</v>
      </c>
      <c r="H4060" s="4" t="n">
        <v>4</v>
      </c>
      <c r="I4060" s="4" t="str">
        <v>×</v>
      </c>
      <c r="J4060" s="4"/>
      <c r="K4060" s="4"/>
      <c r="L4060" s="4"/>
      <c r="M4060" s="5" t="s">
        <v>2677</v>
      </c>
    </row>
    <row r="4061" customFormat="false" ht="15.75" hidden="false" customHeight="false" outlineLevel="0" collapsed="false">
      <c r="A4061" s="3" t="n">
        <v>46201</v>
      </c>
      <c r="B4061" s="4" t="s">
        <v>1091</v>
      </c>
      <c r="C4061" s="4" t="n">
        <v>12</v>
      </c>
      <c r="D4061" s="4" t="n">
        <v>12</v>
      </c>
      <c r="E4061" s="4" t="s">
        <v>1229</v>
      </c>
      <c r="F4061" s="4" t="n">
        <v>29</v>
      </c>
      <c r="G4061" s="4" t="n">
        <v>2</v>
      </c>
      <c r="H4061" s="4" t="n">
        <v>3</v>
      </c>
      <c r="I4061" s="4" t="str">
        <v>○</v>
      </c>
      <c r="J4061" s="4" t="n">
        <v>160</v>
      </c>
      <c r="K4061" s="4"/>
      <c r="L4061" s="4"/>
      <c r="M4061" s="5" t="s">
        <v>2677</v>
      </c>
    </row>
    <row r="4062" customFormat="false" ht="15.75" hidden="false" customHeight="false" outlineLevel="0" collapsed="false">
      <c r="A4062" s="3" t="n">
        <v>46201</v>
      </c>
      <c r="B4062" s="4" t="s">
        <v>1091</v>
      </c>
      <c r="C4062" s="4" t="n">
        <v>12</v>
      </c>
      <c r="D4062" s="4" t="n">
        <v>13</v>
      </c>
      <c r="E4062" s="4" t="s">
        <v>1236</v>
      </c>
      <c r="F4062" s="4" t="n">
        <v>17</v>
      </c>
      <c r="G4062" s="4" t="n">
        <v>6</v>
      </c>
      <c r="H4062" s="4" t="n">
        <v>2</v>
      </c>
      <c r="I4062" s="4" t="str">
        <v>○</v>
      </c>
      <c r="J4062" s="4" t="n">
        <v>360</v>
      </c>
      <c r="K4062" s="4"/>
      <c r="L4062" s="4"/>
      <c r="M4062" s="5" t="s">
        <v>2677</v>
      </c>
    </row>
    <row r="4063" customFormat="false" ht="15.75" hidden="false" customHeight="false" outlineLevel="0" collapsed="false">
      <c r="A4063" s="3" t="n">
        <v>46201</v>
      </c>
      <c r="B4063" s="4" t="s">
        <v>1091</v>
      </c>
      <c r="C4063" s="4" t="n">
        <v>12</v>
      </c>
      <c r="D4063" s="4" t="n">
        <v>14</v>
      </c>
      <c r="E4063" s="4" t="s">
        <v>1794</v>
      </c>
      <c r="F4063" s="4" t="n">
        <v>4</v>
      </c>
      <c r="G4063" s="4" t="n">
        <v>16</v>
      </c>
      <c r="H4063" s="4" t="n">
        <v>4</v>
      </c>
      <c r="I4063" s="4" t="str">
        <v>×</v>
      </c>
      <c r="J4063" s="4"/>
      <c r="K4063" s="4"/>
      <c r="L4063" s="4"/>
      <c r="M4063" s="5" t="s">
        <v>2677</v>
      </c>
    </row>
    <row r="4064" customFormat="false" ht="15.75" hidden="false" customHeight="false" outlineLevel="0" collapsed="false">
      <c r="A4064" s="3" t="n">
        <v>46201</v>
      </c>
      <c r="B4064" s="4" t="s">
        <v>1091</v>
      </c>
      <c r="C4064" s="4" t="n">
        <v>12</v>
      </c>
      <c r="D4064" s="4" t="n">
        <v>15</v>
      </c>
      <c r="E4064" s="4" t="s">
        <v>3498</v>
      </c>
      <c r="F4064" s="4" t="n">
        <v>20</v>
      </c>
      <c r="G4064" s="4" t="n">
        <v>5</v>
      </c>
      <c r="H4064" s="4" t="n">
        <v>4</v>
      </c>
      <c r="I4064" s="4" t="str">
        <v>×</v>
      </c>
      <c r="J4064" s="4"/>
      <c r="K4064" s="4"/>
      <c r="L4064" s="4"/>
      <c r="M4064" s="5" t="s">
        <v>2677</v>
      </c>
    </row>
    <row r="4065" customFormat="false" ht="15.75" hidden="false" customHeight="false" outlineLevel="0" collapsed="false">
      <c r="A4065" s="3" t="n">
        <v>46201</v>
      </c>
      <c r="B4065" s="4" t="s">
        <v>1091</v>
      </c>
      <c r="C4065" s="4" t="n">
        <v>12</v>
      </c>
      <c r="D4065" s="4" t="n">
        <v>16</v>
      </c>
      <c r="E4065" s="4" t="s">
        <v>3499</v>
      </c>
      <c r="F4065" s="4" t="n">
        <v>13</v>
      </c>
      <c r="G4065" s="4" t="n">
        <v>9</v>
      </c>
      <c r="H4065" s="4" t="n">
        <v>4</v>
      </c>
      <c r="I4065" s="4" t="str">
        <v>×</v>
      </c>
      <c r="J4065" s="4"/>
      <c r="K4065" s="4"/>
      <c r="L4065" s="4"/>
      <c r="M4065" s="5" t="s">
        <v>2677</v>
      </c>
    </row>
    <row r="4066" customFormat="false" ht="15.75" hidden="false" customHeight="false" outlineLevel="0" collapsed="false">
      <c r="A4066" s="3" t="n">
        <v>46201</v>
      </c>
      <c r="B4066" s="4" t="s">
        <v>1237</v>
      </c>
      <c r="C4066" s="4" t="n">
        <v>1</v>
      </c>
      <c r="D4066" s="4" t="n">
        <v>1</v>
      </c>
      <c r="E4066" s="4" t="s">
        <v>3246</v>
      </c>
      <c r="F4066" s="4" t="n">
        <v>37</v>
      </c>
      <c r="G4066" s="4" t="n">
        <v>3</v>
      </c>
      <c r="H4066" s="4" t="n">
        <v>2</v>
      </c>
      <c r="I4066" s="4" t="str">
        <v>○</v>
      </c>
      <c r="J4066" s="4" t="n">
        <v>210</v>
      </c>
      <c r="K4066" s="4"/>
      <c r="L4066" s="4"/>
      <c r="M4066" s="5" t="s">
        <v>2677</v>
      </c>
    </row>
    <row r="4067" customFormat="false" ht="15.75" hidden="false" customHeight="false" outlineLevel="0" collapsed="false">
      <c r="A4067" s="3" t="n">
        <v>46201</v>
      </c>
      <c r="B4067" s="4" t="s">
        <v>1237</v>
      </c>
      <c r="C4067" s="4" t="n">
        <v>1</v>
      </c>
      <c r="D4067" s="4" t="n">
        <v>2</v>
      </c>
      <c r="E4067" s="4" t="s">
        <v>3500</v>
      </c>
      <c r="F4067" s="4" t="n">
        <v>34</v>
      </c>
      <c r="G4067" s="4" t="n">
        <v>5</v>
      </c>
      <c r="H4067" s="4" t="n">
        <v>4</v>
      </c>
      <c r="I4067" s="4" t="str">
        <v>×</v>
      </c>
      <c r="J4067" s="4"/>
      <c r="K4067" s="4"/>
      <c r="L4067" s="4"/>
      <c r="M4067" s="5" t="s">
        <v>2677</v>
      </c>
    </row>
    <row r="4068" customFormat="false" ht="15.75" hidden="false" customHeight="false" outlineLevel="0" collapsed="false">
      <c r="A4068" s="3" t="n">
        <v>46201</v>
      </c>
      <c r="B4068" s="4" t="s">
        <v>1237</v>
      </c>
      <c r="C4068" s="4" t="n">
        <v>1</v>
      </c>
      <c r="D4068" s="4" t="n">
        <v>3</v>
      </c>
      <c r="E4068" s="4" t="s">
        <v>3501</v>
      </c>
      <c r="F4068" s="4" t="n">
        <v>8</v>
      </c>
      <c r="G4068" s="4" t="n">
        <v>7</v>
      </c>
      <c r="H4068" s="4" t="n">
        <v>4</v>
      </c>
      <c r="I4068" s="4" t="str">
        <v>×</v>
      </c>
      <c r="J4068" s="4"/>
      <c r="K4068" s="4"/>
      <c r="L4068" s="4"/>
      <c r="M4068" s="5" t="s">
        <v>2677</v>
      </c>
    </row>
    <row r="4069" customFormat="false" ht="15.75" hidden="false" customHeight="false" outlineLevel="0" collapsed="false">
      <c r="A4069" s="3" t="n">
        <v>46201</v>
      </c>
      <c r="B4069" s="4" t="s">
        <v>1237</v>
      </c>
      <c r="C4069" s="4" t="n">
        <v>1</v>
      </c>
      <c r="D4069" s="4" t="n">
        <v>4</v>
      </c>
      <c r="E4069" s="4" t="s">
        <v>3502</v>
      </c>
      <c r="F4069" s="4" t="n">
        <v>71</v>
      </c>
      <c r="G4069" s="4" t="n">
        <v>1</v>
      </c>
      <c r="H4069" s="4" t="n">
        <v>4</v>
      </c>
      <c r="I4069" s="4" t="str">
        <v>×</v>
      </c>
      <c r="J4069" s="4"/>
      <c r="K4069" s="4"/>
      <c r="L4069" s="4"/>
      <c r="M4069" s="5" t="s">
        <v>2677</v>
      </c>
    </row>
    <row r="4070" customFormat="false" ht="15.75" hidden="false" customHeight="false" outlineLevel="0" collapsed="false">
      <c r="A4070" s="3" t="n">
        <v>46201</v>
      </c>
      <c r="B4070" s="4" t="s">
        <v>1237</v>
      </c>
      <c r="C4070" s="4" t="n">
        <v>1</v>
      </c>
      <c r="D4070" s="4" t="n">
        <v>5</v>
      </c>
      <c r="E4070" s="4" t="s">
        <v>3503</v>
      </c>
      <c r="F4070" s="4" t="n">
        <v>37</v>
      </c>
      <c r="G4070" s="4" t="n">
        <v>3</v>
      </c>
      <c r="H4070" s="4" t="n">
        <v>4</v>
      </c>
      <c r="I4070" s="4" t="str">
        <v>×</v>
      </c>
      <c r="J4070" s="4"/>
      <c r="K4070" s="4"/>
      <c r="L4070" s="4"/>
      <c r="M4070" s="5" t="s">
        <v>2677</v>
      </c>
    </row>
    <row r="4071" customFormat="false" ht="15.75" hidden="false" customHeight="false" outlineLevel="0" collapsed="false">
      <c r="A4071" s="3" t="n">
        <v>46201</v>
      </c>
      <c r="B4071" s="4" t="s">
        <v>1237</v>
      </c>
      <c r="C4071" s="4" t="n">
        <v>1</v>
      </c>
      <c r="D4071" s="4" t="n">
        <v>6</v>
      </c>
      <c r="E4071" s="4" t="s">
        <v>1245</v>
      </c>
      <c r="F4071" s="4" t="n">
        <v>4</v>
      </c>
      <c r="G4071" s="4" t="n">
        <v>8</v>
      </c>
      <c r="H4071" s="4" t="n">
        <v>3</v>
      </c>
      <c r="I4071" s="4" t="str">
        <v>○</v>
      </c>
      <c r="J4071" s="4" t="n">
        <v>1790</v>
      </c>
      <c r="K4071" s="4"/>
      <c r="L4071" s="4"/>
      <c r="M4071" s="5" t="s">
        <v>2677</v>
      </c>
    </row>
    <row r="4072" customFormat="false" ht="15.75" hidden="false" customHeight="false" outlineLevel="0" collapsed="false">
      <c r="A4072" s="3" t="n">
        <v>46201</v>
      </c>
      <c r="B4072" s="4" t="s">
        <v>1237</v>
      </c>
      <c r="C4072" s="4" t="n">
        <v>1</v>
      </c>
      <c r="D4072" s="4" t="n">
        <v>7</v>
      </c>
      <c r="E4072" s="4" t="s">
        <v>1844</v>
      </c>
      <c r="F4072" s="4" t="n">
        <v>67</v>
      </c>
      <c r="G4072" s="4" t="n">
        <v>2</v>
      </c>
      <c r="H4072" s="4" t="n">
        <v>1</v>
      </c>
      <c r="I4072" s="4" t="str">
        <v>○</v>
      </c>
      <c r="J4072" s="4" t="n">
        <v>120</v>
      </c>
      <c r="K4072" s="4"/>
      <c r="L4072" s="4"/>
      <c r="M4072" s="5" t="s">
        <v>2677</v>
      </c>
    </row>
    <row r="4073" customFormat="false" ht="15.75" hidden="false" customHeight="false" outlineLevel="0" collapsed="false">
      <c r="A4073" s="3" t="n">
        <v>46201</v>
      </c>
      <c r="B4073" s="4" t="s">
        <v>1237</v>
      </c>
      <c r="C4073" s="4" t="n">
        <v>1</v>
      </c>
      <c r="D4073" s="4" t="n">
        <v>8</v>
      </c>
      <c r="E4073" s="4" t="s">
        <v>1724</v>
      </c>
      <c r="F4073" s="4" t="n">
        <v>23</v>
      </c>
      <c r="G4073" s="4" t="n">
        <v>6</v>
      </c>
      <c r="H4073" s="4" t="n">
        <v>4</v>
      </c>
      <c r="I4073" s="4" t="str">
        <v>×</v>
      </c>
      <c r="J4073" s="4"/>
      <c r="K4073" s="4"/>
      <c r="L4073" s="4"/>
      <c r="M4073" s="5" t="s">
        <v>2677</v>
      </c>
    </row>
    <row r="4074" customFormat="false" ht="15.75" hidden="false" customHeight="false" outlineLevel="0" collapsed="false">
      <c r="A4074" s="3" t="n">
        <v>46201</v>
      </c>
      <c r="B4074" s="4" t="s">
        <v>1237</v>
      </c>
      <c r="C4074" s="4" t="n">
        <v>2</v>
      </c>
      <c r="D4074" s="4" t="n">
        <v>1</v>
      </c>
      <c r="E4074" s="4" t="s">
        <v>827</v>
      </c>
      <c r="F4074" s="4" t="n">
        <v>34</v>
      </c>
      <c r="G4074" s="4" t="n">
        <v>3</v>
      </c>
      <c r="H4074" s="4" t="n">
        <v>4</v>
      </c>
      <c r="I4074" s="4" t="str">
        <v>×</v>
      </c>
      <c r="J4074" s="4"/>
      <c r="K4074" s="4"/>
      <c r="L4074" s="4"/>
      <c r="M4074" s="5" t="s">
        <v>2677</v>
      </c>
    </row>
    <row r="4075" customFormat="false" ht="15.75" hidden="false" customHeight="false" outlineLevel="0" collapsed="false">
      <c r="A4075" s="3" t="n">
        <v>46201</v>
      </c>
      <c r="B4075" s="4" t="s">
        <v>1237</v>
      </c>
      <c r="C4075" s="4" t="n">
        <v>2</v>
      </c>
      <c r="D4075" s="4" t="n">
        <v>2</v>
      </c>
      <c r="E4075" s="4" t="s">
        <v>1739</v>
      </c>
      <c r="F4075" s="4" t="n">
        <v>10</v>
      </c>
      <c r="G4075" s="4" t="n">
        <v>11</v>
      </c>
      <c r="H4075" s="4" t="n">
        <v>4</v>
      </c>
      <c r="I4075" s="4" t="str">
        <v>×</v>
      </c>
      <c r="J4075" s="4"/>
      <c r="K4075" s="4"/>
      <c r="L4075" s="4"/>
      <c r="M4075" s="5" t="s">
        <v>2677</v>
      </c>
    </row>
    <row r="4076" customFormat="false" ht="15.75" hidden="false" customHeight="false" outlineLevel="0" collapsed="false">
      <c r="A4076" s="3" t="n">
        <v>46201</v>
      </c>
      <c r="B4076" s="4" t="s">
        <v>1237</v>
      </c>
      <c r="C4076" s="4" t="n">
        <v>2</v>
      </c>
      <c r="D4076" s="4" t="n">
        <v>3</v>
      </c>
      <c r="E4076" s="4" t="s">
        <v>3504</v>
      </c>
      <c r="F4076" s="4" t="n">
        <v>41</v>
      </c>
      <c r="G4076" s="4" t="n">
        <v>2</v>
      </c>
      <c r="H4076" s="4" t="n">
        <v>1</v>
      </c>
      <c r="I4076" s="4" t="str">
        <v>○</v>
      </c>
      <c r="J4076" s="4" t="n">
        <v>160</v>
      </c>
      <c r="K4076" s="4"/>
      <c r="L4076" s="4"/>
      <c r="M4076" s="5" t="s">
        <v>2677</v>
      </c>
    </row>
    <row r="4077" customFormat="false" ht="15.75" hidden="false" customHeight="false" outlineLevel="0" collapsed="false">
      <c r="A4077" s="3" t="n">
        <v>46201</v>
      </c>
      <c r="B4077" s="4" t="s">
        <v>1237</v>
      </c>
      <c r="C4077" s="4" t="n">
        <v>2</v>
      </c>
      <c r="D4077" s="4" t="n">
        <v>4</v>
      </c>
      <c r="E4077" s="4" t="s">
        <v>217</v>
      </c>
      <c r="F4077" s="4" t="n">
        <v>20</v>
      </c>
      <c r="G4077" s="4" t="n">
        <v>7</v>
      </c>
      <c r="H4077" s="4" t="n">
        <v>4</v>
      </c>
      <c r="I4077" s="4" t="str">
        <v>×</v>
      </c>
      <c r="J4077" s="4"/>
      <c r="K4077" s="4"/>
      <c r="L4077" s="4"/>
      <c r="M4077" s="5" t="s">
        <v>2677</v>
      </c>
    </row>
    <row r="4078" customFormat="false" ht="15.75" hidden="false" customHeight="false" outlineLevel="0" collapsed="false">
      <c r="A4078" s="3" t="n">
        <v>46201</v>
      </c>
      <c r="B4078" s="4" t="s">
        <v>1237</v>
      </c>
      <c r="C4078" s="4" t="n">
        <v>2</v>
      </c>
      <c r="D4078" s="4" t="n">
        <v>5</v>
      </c>
      <c r="E4078" s="4" t="s">
        <v>3505</v>
      </c>
      <c r="F4078" s="4" t="n">
        <v>65</v>
      </c>
      <c r="G4078" s="4" t="n">
        <v>1</v>
      </c>
      <c r="H4078" s="4" t="n">
        <v>3</v>
      </c>
      <c r="I4078" s="4" t="str">
        <v>○</v>
      </c>
      <c r="J4078" s="4" t="n">
        <v>120</v>
      </c>
      <c r="K4078" s="4"/>
      <c r="L4078" s="4"/>
      <c r="M4078" s="5" t="s">
        <v>2677</v>
      </c>
    </row>
    <row r="4079" customFormat="false" ht="15.75" hidden="false" customHeight="false" outlineLevel="0" collapsed="false">
      <c r="A4079" s="3" t="n">
        <v>46201</v>
      </c>
      <c r="B4079" s="4" t="s">
        <v>1237</v>
      </c>
      <c r="C4079" s="4" t="n">
        <v>2</v>
      </c>
      <c r="D4079" s="4" t="n">
        <v>6</v>
      </c>
      <c r="E4079" s="4" t="s">
        <v>3506</v>
      </c>
      <c r="F4079" s="4" t="n">
        <v>17</v>
      </c>
      <c r="G4079" s="4" t="n">
        <v>9</v>
      </c>
      <c r="H4079" s="4" t="n">
        <v>4</v>
      </c>
      <c r="I4079" s="4" t="str">
        <v>×</v>
      </c>
      <c r="J4079" s="4"/>
      <c r="K4079" s="4"/>
      <c r="L4079" s="4"/>
      <c r="M4079" s="5" t="s">
        <v>2677</v>
      </c>
    </row>
    <row r="4080" customFormat="false" ht="15.75" hidden="false" customHeight="false" outlineLevel="0" collapsed="false">
      <c r="A4080" s="3" t="n">
        <v>46201</v>
      </c>
      <c r="B4080" s="4" t="s">
        <v>1237</v>
      </c>
      <c r="C4080" s="4" t="n">
        <v>2</v>
      </c>
      <c r="D4080" s="4" t="n">
        <v>7</v>
      </c>
      <c r="E4080" s="4" t="s">
        <v>3507</v>
      </c>
      <c r="F4080" s="4" t="n">
        <v>23</v>
      </c>
      <c r="G4080" s="4" t="n">
        <v>5</v>
      </c>
      <c r="H4080" s="4" t="n">
        <v>4</v>
      </c>
      <c r="I4080" s="4" t="str">
        <v>×</v>
      </c>
      <c r="J4080" s="4"/>
      <c r="K4080" s="4"/>
      <c r="L4080" s="4"/>
      <c r="M4080" s="5" t="s">
        <v>2677</v>
      </c>
    </row>
    <row r="4081" customFormat="false" ht="15.75" hidden="false" customHeight="false" outlineLevel="0" collapsed="false">
      <c r="A4081" s="3" t="n">
        <v>46201</v>
      </c>
      <c r="B4081" s="4" t="s">
        <v>1237</v>
      </c>
      <c r="C4081" s="4" t="n">
        <v>2</v>
      </c>
      <c r="D4081" s="4" t="n">
        <v>8</v>
      </c>
      <c r="E4081" s="4" t="s">
        <v>1285</v>
      </c>
      <c r="F4081" s="4" t="n">
        <v>23</v>
      </c>
      <c r="G4081" s="4" t="n">
        <v>5</v>
      </c>
      <c r="H4081" s="4" t="n">
        <v>2</v>
      </c>
      <c r="I4081" s="4" t="str">
        <v>○</v>
      </c>
      <c r="J4081" s="4" t="n">
        <v>500</v>
      </c>
      <c r="K4081" s="4"/>
      <c r="L4081" s="4"/>
      <c r="M4081" s="5" t="s">
        <v>2677</v>
      </c>
    </row>
    <row r="4082" customFormat="false" ht="15.75" hidden="false" customHeight="false" outlineLevel="0" collapsed="false">
      <c r="A4082" s="3" t="n">
        <v>46201</v>
      </c>
      <c r="B4082" s="4" t="s">
        <v>1237</v>
      </c>
      <c r="C4082" s="4" t="n">
        <v>2</v>
      </c>
      <c r="D4082" s="4" t="n">
        <v>9</v>
      </c>
      <c r="E4082" s="4" t="s">
        <v>3508</v>
      </c>
      <c r="F4082" s="4" t="n">
        <v>3</v>
      </c>
      <c r="G4082" s="4" t="n">
        <v>13</v>
      </c>
      <c r="H4082" s="4" t="n">
        <v>4</v>
      </c>
      <c r="I4082" s="4" t="str">
        <v>×</v>
      </c>
      <c r="J4082" s="4"/>
      <c r="K4082" s="4"/>
      <c r="L4082" s="4"/>
      <c r="M4082" s="5" t="s">
        <v>2677</v>
      </c>
    </row>
    <row r="4083" customFormat="false" ht="15.75" hidden="false" customHeight="false" outlineLevel="0" collapsed="false">
      <c r="A4083" s="3" t="n">
        <v>46201</v>
      </c>
      <c r="B4083" s="4" t="s">
        <v>1237</v>
      </c>
      <c r="C4083" s="4" t="n">
        <v>2</v>
      </c>
      <c r="D4083" s="4" t="n">
        <v>10</v>
      </c>
      <c r="E4083" s="4" t="s">
        <v>3509</v>
      </c>
      <c r="F4083" s="4" t="n">
        <v>29</v>
      </c>
      <c r="G4083" s="4" t="n">
        <v>4</v>
      </c>
      <c r="H4083" s="4" t="n">
        <v>4</v>
      </c>
      <c r="I4083" s="4" t="str">
        <v>×</v>
      </c>
      <c r="J4083" s="4"/>
      <c r="K4083" s="4"/>
      <c r="L4083" s="4"/>
      <c r="M4083" s="5" t="s">
        <v>2677</v>
      </c>
    </row>
    <row r="4084" customFormat="false" ht="15.75" hidden="false" customHeight="false" outlineLevel="0" collapsed="false">
      <c r="A4084" s="3" t="n">
        <v>46201</v>
      </c>
      <c r="B4084" s="4" t="s">
        <v>1237</v>
      </c>
      <c r="C4084" s="4" t="n">
        <v>2</v>
      </c>
      <c r="D4084" s="4" t="n">
        <v>11</v>
      </c>
      <c r="E4084" s="4" t="s">
        <v>812</v>
      </c>
      <c r="F4084" s="4" t="n">
        <v>2</v>
      </c>
      <c r="G4084" s="4" t="n">
        <v>14</v>
      </c>
      <c r="H4084" s="4" t="n">
        <v>4</v>
      </c>
      <c r="I4084" s="4" t="str">
        <v>×</v>
      </c>
      <c r="J4084" s="4"/>
      <c r="K4084" s="4"/>
      <c r="L4084" s="4"/>
      <c r="M4084" s="5" t="s">
        <v>2677</v>
      </c>
    </row>
    <row r="4085" customFormat="false" ht="15.75" hidden="false" customHeight="false" outlineLevel="0" collapsed="false">
      <c r="A4085" s="3" t="n">
        <v>46201</v>
      </c>
      <c r="B4085" s="4" t="s">
        <v>1237</v>
      </c>
      <c r="C4085" s="4" t="n">
        <v>2</v>
      </c>
      <c r="D4085" s="4" t="n">
        <v>12</v>
      </c>
      <c r="E4085" s="4" t="s">
        <v>829</v>
      </c>
      <c r="F4085" s="4" t="n">
        <v>17</v>
      </c>
      <c r="G4085" s="4" t="n">
        <v>9</v>
      </c>
      <c r="H4085" s="4" t="n">
        <v>4</v>
      </c>
      <c r="I4085" s="4" t="str">
        <v>×</v>
      </c>
      <c r="J4085" s="4"/>
      <c r="K4085" s="4"/>
      <c r="L4085" s="4"/>
      <c r="M4085" s="5" t="s">
        <v>2677</v>
      </c>
    </row>
    <row r="4086" customFormat="false" ht="15.75" hidden="false" customHeight="false" outlineLevel="0" collapsed="false">
      <c r="A4086" s="3" t="n">
        <v>46201</v>
      </c>
      <c r="B4086" s="4" t="s">
        <v>1237</v>
      </c>
      <c r="C4086" s="4" t="n">
        <v>2</v>
      </c>
      <c r="D4086" s="4" t="n">
        <v>13</v>
      </c>
      <c r="E4086" s="4" t="s">
        <v>3259</v>
      </c>
      <c r="F4086" s="4" t="n">
        <v>4</v>
      </c>
      <c r="G4086" s="4" t="n">
        <v>12</v>
      </c>
      <c r="H4086" s="4" t="n">
        <v>4</v>
      </c>
      <c r="I4086" s="4" t="str">
        <v>×</v>
      </c>
      <c r="J4086" s="4"/>
      <c r="K4086" s="4"/>
      <c r="L4086" s="4"/>
      <c r="M4086" s="5" t="s">
        <v>2677</v>
      </c>
    </row>
    <row r="4087" customFormat="false" ht="15.75" hidden="false" customHeight="false" outlineLevel="0" collapsed="false">
      <c r="A4087" s="3" t="n">
        <v>46201</v>
      </c>
      <c r="B4087" s="4" t="s">
        <v>1237</v>
      </c>
      <c r="C4087" s="4" t="n">
        <v>2</v>
      </c>
      <c r="D4087" s="4" t="n">
        <v>14</v>
      </c>
      <c r="E4087" s="4" t="s">
        <v>353</v>
      </c>
      <c r="F4087" s="4" t="n">
        <v>20</v>
      </c>
      <c r="G4087" s="4" t="n">
        <v>7</v>
      </c>
      <c r="H4087" s="4" t="n">
        <v>4</v>
      </c>
      <c r="I4087" s="4" t="str">
        <v>×</v>
      </c>
      <c r="J4087" s="4"/>
      <c r="K4087" s="4"/>
      <c r="L4087" s="4"/>
      <c r="M4087" s="5" t="s">
        <v>2677</v>
      </c>
    </row>
    <row r="4088" customFormat="false" ht="15.75" hidden="false" customHeight="false" outlineLevel="0" collapsed="false">
      <c r="A4088" s="3" t="n">
        <v>46201</v>
      </c>
      <c r="B4088" s="4" t="s">
        <v>1237</v>
      </c>
      <c r="C4088" s="4" t="n">
        <v>3</v>
      </c>
      <c r="D4088" s="4" t="n">
        <v>1</v>
      </c>
      <c r="E4088" s="4" t="s">
        <v>1733</v>
      </c>
      <c r="F4088" s="4" t="n">
        <v>29</v>
      </c>
      <c r="G4088" s="4" t="n">
        <v>4</v>
      </c>
      <c r="H4088" s="4" t="n">
        <v>3</v>
      </c>
      <c r="I4088" s="4" t="str">
        <v>○</v>
      </c>
      <c r="J4088" s="4" t="n">
        <v>150</v>
      </c>
      <c r="K4088" s="4"/>
      <c r="L4088" s="4"/>
      <c r="M4088" s="5" t="s">
        <v>2677</v>
      </c>
    </row>
    <row r="4089" customFormat="false" ht="15.75" hidden="false" customHeight="false" outlineLevel="0" collapsed="false">
      <c r="A4089" s="3" t="n">
        <v>46201</v>
      </c>
      <c r="B4089" s="4" t="s">
        <v>1237</v>
      </c>
      <c r="C4089" s="4" t="n">
        <v>3</v>
      </c>
      <c r="D4089" s="4" t="n">
        <v>2</v>
      </c>
      <c r="E4089" s="4" t="s">
        <v>2562</v>
      </c>
      <c r="F4089" s="4" t="n">
        <v>6</v>
      </c>
      <c r="G4089" s="4" t="n">
        <v>10</v>
      </c>
      <c r="H4089" s="4" t="n">
        <v>4</v>
      </c>
      <c r="I4089" s="4" t="str">
        <v>×</v>
      </c>
      <c r="J4089" s="4"/>
      <c r="K4089" s="4"/>
      <c r="L4089" s="4"/>
      <c r="M4089" s="5" t="s">
        <v>2677</v>
      </c>
    </row>
    <row r="4090" customFormat="false" ht="15.75" hidden="false" customHeight="false" outlineLevel="0" collapsed="false">
      <c r="A4090" s="3" t="n">
        <v>46201</v>
      </c>
      <c r="B4090" s="4" t="s">
        <v>1237</v>
      </c>
      <c r="C4090" s="4" t="n">
        <v>3</v>
      </c>
      <c r="D4090" s="4" t="n">
        <v>3</v>
      </c>
      <c r="E4090" s="4" t="s">
        <v>3510</v>
      </c>
      <c r="F4090" s="4" t="n">
        <v>4</v>
      </c>
      <c r="G4090" s="4" t="n">
        <v>11</v>
      </c>
      <c r="H4090" s="4" t="n">
        <v>4</v>
      </c>
      <c r="I4090" s="4" t="str">
        <v>×</v>
      </c>
      <c r="J4090" s="4"/>
      <c r="K4090" s="4"/>
      <c r="L4090" s="4"/>
      <c r="M4090" s="5" t="s">
        <v>2677</v>
      </c>
    </row>
    <row r="4091" customFormat="false" ht="15.75" hidden="false" customHeight="false" outlineLevel="0" collapsed="false">
      <c r="A4091" s="3" t="n">
        <v>46201</v>
      </c>
      <c r="B4091" s="4" t="s">
        <v>1237</v>
      </c>
      <c r="C4091" s="4" t="n">
        <v>3</v>
      </c>
      <c r="D4091" s="4" t="n">
        <v>4</v>
      </c>
      <c r="E4091" s="4" t="s">
        <v>3511</v>
      </c>
      <c r="F4091" s="4" t="n">
        <v>8</v>
      </c>
      <c r="G4091" s="4" t="n">
        <v>8</v>
      </c>
      <c r="H4091" s="4" t="n">
        <v>4</v>
      </c>
      <c r="I4091" s="4" t="str">
        <v>×</v>
      </c>
      <c r="J4091" s="4"/>
      <c r="K4091" s="4"/>
      <c r="L4091" s="4"/>
      <c r="M4091" s="5" t="s">
        <v>2677</v>
      </c>
    </row>
    <row r="4092" customFormat="false" ht="15.75" hidden="false" customHeight="false" outlineLevel="0" collapsed="false">
      <c r="A4092" s="3" t="n">
        <v>46201</v>
      </c>
      <c r="B4092" s="4" t="s">
        <v>1237</v>
      </c>
      <c r="C4092" s="4" t="n">
        <v>3</v>
      </c>
      <c r="D4092" s="4" t="n">
        <v>5</v>
      </c>
      <c r="E4092" s="4" t="s">
        <v>1731</v>
      </c>
      <c r="F4092" s="4" t="n">
        <v>4</v>
      </c>
      <c r="G4092" s="4" t="n">
        <v>11</v>
      </c>
      <c r="H4092" s="4" t="n">
        <v>4</v>
      </c>
      <c r="I4092" s="4" t="str">
        <v>×</v>
      </c>
      <c r="J4092" s="4"/>
      <c r="K4092" s="4"/>
      <c r="L4092" s="4"/>
      <c r="M4092" s="5" t="s">
        <v>2677</v>
      </c>
    </row>
    <row r="4093" customFormat="false" ht="15.75" hidden="false" customHeight="false" outlineLevel="0" collapsed="false">
      <c r="A4093" s="3" t="n">
        <v>46201</v>
      </c>
      <c r="B4093" s="4" t="s">
        <v>1237</v>
      </c>
      <c r="C4093" s="4" t="n">
        <v>3</v>
      </c>
      <c r="D4093" s="4" t="n">
        <v>6</v>
      </c>
      <c r="E4093" s="4" t="s">
        <v>2612</v>
      </c>
      <c r="F4093" s="4" t="n">
        <v>23</v>
      </c>
      <c r="G4093" s="4" t="n">
        <v>6</v>
      </c>
      <c r="H4093" s="4" t="n">
        <v>4</v>
      </c>
      <c r="I4093" s="4" t="str">
        <v>×</v>
      </c>
      <c r="J4093" s="4"/>
      <c r="K4093" s="4"/>
      <c r="L4093" s="4"/>
      <c r="M4093" s="5" t="s">
        <v>2677</v>
      </c>
    </row>
    <row r="4094" customFormat="false" ht="15.75" hidden="false" customHeight="false" outlineLevel="0" collapsed="false">
      <c r="A4094" s="3" t="n">
        <v>46201</v>
      </c>
      <c r="B4094" s="4" t="s">
        <v>1237</v>
      </c>
      <c r="C4094" s="4" t="n">
        <v>3</v>
      </c>
      <c r="D4094" s="4" t="n">
        <v>7</v>
      </c>
      <c r="E4094" s="4" t="s">
        <v>1809</v>
      </c>
      <c r="F4094" s="4" t="n">
        <v>65</v>
      </c>
      <c r="G4094" s="4" t="n">
        <v>1</v>
      </c>
      <c r="H4094" s="4" t="n">
        <v>1</v>
      </c>
      <c r="I4094" s="4" t="str">
        <v>○</v>
      </c>
      <c r="J4094" s="4" t="n">
        <v>110</v>
      </c>
      <c r="K4094" s="4"/>
      <c r="L4094" s="4"/>
      <c r="M4094" s="5" t="s">
        <v>2677</v>
      </c>
    </row>
    <row r="4095" customFormat="false" ht="15.75" hidden="false" customHeight="false" outlineLevel="0" collapsed="false">
      <c r="A4095" s="3" t="n">
        <v>46201</v>
      </c>
      <c r="B4095" s="4" t="s">
        <v>1237</v>
      </c>
      <c r="C4095" s="4" t="n">
        <v>3</v>
      </c>
      <c r="D4095" s="4" t="n">
        <v>8</v>
      </c>
      <c r="E4095" s="4" t="s">
        <v>860</v>
      </c>
      <c r="F4095" s="4" t="n">
        <v>56</v>
      </c>
      <c r="G4095" s="4" t="n">
        <v>3</v>
      </c>
      <c r="H4095" s="4" t="n">
        <v>2</v>
      </c>
      <c r="I4095" s="4" t="str">
        <v>○</v>
      </c>
      <c r="J4095" s="4" t="n">
        <v>130</v>
      </c>
      <c r="K4095" s="4"/>
      <c r="L4095" s="4"/>
      <c r="M4095" s="5" t="s">
        <v>2677</v>
      </c>
    </row>
    <row r="4096" customFormat="false" ht="15.75" hidden="false" customHeight="false" outlineLevel="0" collapsed="false">
      <c r="A4096" s="3" t="n">
        <v>46201</v>
      </c>
      <c r="B4096" s="4" t="s">
        <v>1237</v>
      </c>
      <c r="C4096" s="4" t="n">
        <v>3</v>
      </c>
      <c r="D4096" s="4" t="n">
        <v>9</v>
      </c>
      <c r="E4096" s="4" t="s">
        <v>1729</v>
      </c>
      <c r="F4096" s="4" t="n">
        <v>60</v>
      </c>
      <c r="G4096" s="4" t="n">
        <v>2</v>
      </c>
      <c r="H4096" s="4"/>
      <c r="I4096" s="4" t="str">
        <v/>
      </c>
      <c r="J4096" s="4"/>
      <c r="K4096" s="4"/>
      <c r="L4096" s="4"/>
      <c r="M4096" s="5" t="s">
        <v>2677</v>
      </c>
    </row>
    <row r="4097" customFormat="false" ht="15.75" hidden="false" customHeight="false" outlineLevel="0" collapsed="false">
      <c r="A4097" s="3" t="n">
        <v>46201</v>
      </c>
      <c r="B4097" s="4" t="s">
        <v>1237</v>
      </c>
      <c r="C4097" s="4" t="n">
        <v>3</v>
      </c>
      <c r="D4097" s="4" t="n">
        <v>10</v>
      </c>
      <c r="E4097" s="4" t="s">
        <v>3512</v>
      </c>
      <c r="F4097" s="4" t="n">
        <v>23</v>
      </c>
      <c r="G4097" s="4" t="n">
        <v>6</v>
      </c>
      <c r="H4097" s="4" t="n">
        <v>4</v>
      </c>
      <c r="I4097" s="4" t="str">
        <v>×</v>
      </c>
      <c r="J4097" s="4"/>
      <c r="K4097" s="4"/>
      <c r="L4097" s="4"/>
      <c r="M4097" s="5" t="s">
        <v>2677</v>
      </c>
    </row>
    <row r="4098" customFormat="false" ht="15.75" hidden="false" customHeight="false" outlineLevel="0" collapsed="false">
      <c r="A4098" s="3" t="n">
        <v>46201</v>
      </c>
      <c r="B4098" s="4" t="s">
        <v>1237</v>
      </c>
      <c r="C4098" s="4" t="n">
        <v>3</v>
      </c>
      <c r="D4098" s="4" t="n">
        <v>11</v>
      </c>
      <c r="E4098" s="4" t="s">
        <v>1255</v>
      </c>
      <c r="F4098" s="4" t="n">
        <v>8</v>
      </c>
      <c r="G4098" s="4" t="n">
        <v>8</v>
      </c>
      <c r="H4098" s="4" t="n">
        <v>4</v>
      </c>
      <c r="I4098" s="4" t="str">
        <v>×</v>
      </c>
      <c r="J4098" s="4"/>
      <c r="K4098" s="4"/>
      <c r="L4098" s="4"/>
      <c r="M4098" s="5" t="s">
        <v>2677</v>
      </c>
    </row>
    <row r="4099" customFormat="false" ht="15.75" hidden="false" customHeight="false" outlineLevel="0" collapsed="false">
      <c r="A4099" s="3" t="n">
        <v>46201</v>
      </c>
      <c r="B4099" s="4" t="s">
        <v>1237</v>
      </c>
      <c r="C4099" s="4" t="n">
        <v>3</v>
      </c>
      <c r="D4099" s="4" t="n">
        <v>12</v>
      </c>
      <c r="E4099" s="4" t="s">
        <v>3513</v>
      </c>
      <c r="F4099" s="4" t="n">
        <v>25</v>
      </c>
      <c r="G4099" s="4" t="n">
        <v>5</v>
      </c>
      <c r="H4099" s="4" t="n">
        <v>4</v>
      </c>
      <c r="I4099" s="4" t="str">
        <v>×</v>
      </c>
      <c r="J4099" s="4"/>
      <c r="K4099" s="4"/>
      <c r="L4099" s="4"/>
      <c r="M4099" s="5" t="s">
        <v>2677</v>
      </c>
    </row>
    <row r="4100" customFormat="false" ht="15.75" hidden="false" customHeight="false" outlineLevel="0" collapsed="false">
      <c r="A4100" s="3" t="n">
        <v>46201</v>
      </c>
      <c r="B4100" s="4" t="s">
        <v>1237</v>
      </c>
      <c r="C4100" s="4" t="n">
        <v>4</v>
      </c>
      <c r="D4100" s="4" t="n">
        <v>1</v>
      </c>
      <c r="E4100" s="4" t="s">
        <v>2584</v>
      </c>
      <c r="F4100" s="4" t="n">
        <v>2</v>
      </c>
      <c r="G4100" s="4" t="n">
        <v>15</v>
      </c>
      <c r="H4100" s="4" t="n">
        <v>4</v>
      </c>
      <c r="I4100" s="4" t="str">
        <v>×</v>
      </c>
      <c r="J4100" s="4"/>
      <c r="K4100" s="4"/>
      <c r="L4100" s="4"/>
      <c r="M4100" s="5" t="s">
        <v>2677</v>
      </c>
    </row>
    <row r="4101" customFormat="false" ht="15.75" hidden="false" customHeight="false" outlineLevel="0" collapsed="false">
      <c r="A4101" s="3" t="n">
        <v>46201</v>
      </c>
      <c r="B4101" s="4" t="s">
        <v>1237</v>
      </c>
      <c r="C4101" s="4" t="n">
        <v>4</v>
      </c>
      <c r="D4101" s="4" t="n">
        <v>2</v>
      </c>
      <c r="E4101" s="4" t="s">
        <v>2590</v>
      </c>
      <c r="F4101" s="4" t="n">
        <v>6</v>
      </c>
      <c r="G4101" s="4" t="n">
        <v>10</v>
      </c>
      <c r="H4101" s="4" t="n">
        <v>4</v>
      </c>
      <c r="I4101" s="4" t="str">
        <v>×</v>
      </c>
      <c r="J4101" s="4"/>
      <c r="K4101" s="4"/>
      <c r="L4101" s="4"/>
      <c r="M4101" s="5" t="s">
        <v>2677</v>
      </c>
    </row>
    <row r="4102" customFormat="false" ht="15.75" hidden="false" customHeight="false" outlineLevel="0" collapsed="false">
      <c r="A4102" s="3" t="n">
        <v>46201</v>
      </c>
      <c r="B4102" s="4" t="s">
        <v>1237</v>
      </c>
      <c r="C4102" s="4" t="n">
        <v>4</v>
      </c>
      <c r="D4102" s="4" t="n">
        <v>3</v>
      </c>
      <c r="E4102" s="4" t="s">
        <v>3514</v>
      </c>
      <c r="F4102" s="4" t="n">
        <v>47</v>
      </c>
      <c r="G4102" s="4" t="n">
        <v>1</v>
      </c>
      <c r="H4102" s="4" t="n">
        <v>4</v>
      </c>
      <c r="I4102" s="4" t="str">
        <v>×</v>
      </c>
      <c r="J4102" s="4"/>
      <c r="K4102" s="4"/>
      <c r="L4102" s="4"/>
      <c r="M4102" s="5" t="s">
        <v>2677</v>
      </c>
    </row>
    <row r="4103" customFormat="false" ht="15.75" hidden="false" customHeight="false" outlineLevel="0" collapsed="false">
      <c r="A4103" s="3" t="n">
        <v>46201</v>
      </c>
      <c r="B4103" s="4" t="s">
        <v>1237</v>
      </c>
      <c r="C4103" s="4" t="n">
        <v>4</v>
      </c>
      <c r="D4103" s="4" t="n">
        <v>4</v>
      </c>
      <c r="E4103" s="4" t="s">
        <v>2588</v>
      </c>
      <c r="F4103" s="4" t="n">
        <v>6</v>
      </c>
      <c r="G4103" s="4" t="n">
        <v>10</v>
      </c>
      <c r="H4103" s="4" t="n">
        <v>4</v>
      </c>
      <c r="I4103" s="4" t="str">
        <v>×</v>
      </c>
      <c r="J4103" s="4"/>
      <c r="K4103" s="4"/>
      <c r="L4103" s="4"/>
      <c r="M4103" s="5" t="s">
        <v>2677</v>
      </c>
    </row>
    <row r="4104" customFormat="false" ht="15.75" hidden="false" customHeight="false" outlineLevel="0" collapsed="false">
      <c r="A4104" s="3" t="n">
        <v>46201</v>
      </c>
      <c r="B4104" s="4" t="s">
        <v>1237</v>
      </c>
      <c r="C4104" s="4" t="n">
        <v>4</v>
      </c>
      <c r="D4104" s="4" t="n">
        <v>5</v>
      </c>
      <c r="E4104" s="4" t="s">
        <v>3515</v>
      </c>
      <c r="F4104" s="4" t="n">
        <v>2</v>
      </c>
      <c r="G4104" s="4" t="n">
        <v>15</v>
      </c>
      <c r="H4104" s="4" t="n">
        <v>4</v>
      </c>
      <c r="I4104" s="4" t="str">
        <v>×</v>
      </c>
      <c r="J4104" s="4"/>
      <c r="K4104" s="4"/>
      <c r="L4104" s="4"/>
      <c r="M4104" s="5" t="s">
        <v>2677</v>
      </c>
    </row>
    <row r="4105" customFormat="false" ht="15.75" hidden="false" customHeight="false" outlineLevel="0" collapsed="false">
      <c r="A4105" s="3" t="n">
        <v>46201</v>
      </c>
      <c r="B4105" s="4" t="s">
        <v>1237</v>
      </c>
      <c r="C4105" s="4" t="n">
        <v>4</v>
      </c>
      <c r="D4105" s="4" t="n">
        <v>6</v>
      </c>
      <c r="E4105" s="4" t="s">
        <v>3279</v>
      </c>
      <c r="F4105" s="4" t="n">
        <v>4</v>
      </c>
      <c r="G4105" s="4" t="n">
        <v>12</v>
      </c>
      <c r="H4105" s="4" t="n">
        <v>4</v>
      </c>
      <c r="I4105" s="4" t="str">
        <v>×</v>
      </c>
      <c r="J4105" s="4"/>
      <c r="K4105" s="4"/>
      <c r="L4105" s="4"/>
      <c r="M4105" s="5" t="s">
        <v>2677</v>
      </c>
    </row>
    <row r="4106" customFormat="false" ht="15.75" hidden="false" customHeight="false" outlineLevel="0" collapsed="false">
      <c r="A4106" s="3" t="n">
        <v>46201</v>
      </c>
      <c r="B4106" s="4" t="s">
        <v>1237</v>
      </c>
      <c r="C4106" s="4" t="n">
        <v>4</v>
      </c>
      <c r="D4106" s="4" t="n">
        <v>7</v>
      </c>
      <c r="E4106" s="4" t="s">
        <v>3516</v>
      </c>
      <c r="F4106" s="4" t="n">
        <v>3</v>
      </c>
      <c r="G4106" s="4" t="n">
        <v>14</v>
      </c>
      <c r="H4106" s="4" t="n">
        <v>4</v>
      </c>
      <c r="I4106" s="4" t="str">
        <v>×</v>
      </c>
      <c r="J4106" s="4"/>
      <c r="K4106" s="4"/>
      <c r="L4106" s="4"/>
      <c r="M4106" s="5" t="s">
        <v>2677</v>
      </c>
    </row>
    <row r="4107" customFormat="false" ht="15.75" hidden="false" customHeight="false" outlineLevel="0" collapsed="false">
      <c r="A4107" s="3" t="n">
        <v>46201</v>
      </c>
      <c r="B4107" s="4" t="s">
        <v>1237</v>
      </c>
      <c r="C4107" s="4" t="n">
        <v>4</v>
      </c>
      <c r="D4107" s="4" t="n">
        <v>8</v>
      </c>
      <c r="E4107" s="4" t="s">
        <v>3517</v>
      </c>
      <c r="F4107" s="4" t="n">
        <v>31</v>
      </c>
      <c r="G4107" s="4" t="n">
        <v>5</v>
      </c>
      <c r="H4107" s="4" t="n">
        <v>4</v>
      </c>
      <c r="I4107" s="4" t="str">
        <v>×</v>
      </c>
      <c r="J4107" s="4"/>
      <c r="K4107" s="4"/>
      <c r="L4107" s="4"/>
      <c r="M4107" s="5" t="s">
        <v>2677</v>
      </c>
    </row>
    <row r="4108" customFormat="false" ht="15.75" hidden="false" customHeight="false" outlineLevel="0" collapsed="false">
      <c r="A4108" s="3" t="n">
        <v>46201</v>
      </c>
      <c r="B4108" s="4" t="s">
        <v>1237</v>
      </c>
      <c r="C4108" s="4" t="n">
        <v>4</v>
      </c>
      <c r="D4108" s="4" t="n">
        <v>9</v>
      </c>
      <c r="E4108" s="4" t="s">
        <v>3518</v>
      </c>
      <c r="F4108" s="4" t="n">
        <v>8</v>
      </c>
      <c r="G4108" s="4" t="n">
        <v>8</v>
      </c>
      <c r="H4108" s="4" t="n">
        <v>4</v>
      </c>
      <c r="I4108" s="4" t="str">
        <v>×</v>
      </c>
      <c r="J4108" s="4"/>
      <c r="K4108" s="4"/>
      <c r="L4108" s="4"/>
      <c r="M4108" s="5" t="s">
        <v>2677</v>
      </c>
    </row>
    <row r="4109" customFormat="false" ht="15.75" hidden="false" customHeight="false" outlineLevel="0" collapsed="false">
      <c r="A4109" s="3" t="n">
        <v>46201</v>
      </c>
      <c r="B4109" s="4" t="s">
        <v>1237</v>
      </c>
      <c r="C4109" s="4" t="n">
        <v>4</v>
      </c>
      <c r="D4109" s="4" t="n">
        <v>10</v>
      </c>
      <c r="E4109" s="4" t="s">
        <v>3519</v>
      </c>
      <c r="F4109" s="4" t="n">
        <v>44</v>
      </c>
      <c r="G4109" s="4" t="n">
        <v>2</v>
      </c>
      <c r="H4109" s="4" t="n">
        <v>4</v>
      </c>
      <c r="I4109" s="4" t="str">
        <v>×</v>
      </c>
      <c r="J4109" s="4"/>
      <c r="K4109" s="4"/>
      <c r="L4109" s="4"/>
      <c r="M4109" s="5" t="s">
        <v>2677</v>
      </c>
    </row>
    <row r="4110" customFormat="false" ht="15.75" hidden="false" customHeight="false" outlineLevel="0" collapsed="false">
      <c r="A4110" s="3" t="n">
        <v>46201</v>
      </c>
      <c r="B4110" s="4" t="s">
        <v>1237</v>
      </c>
      <c r="C4110" s="4" t="n">
        <v>4</v>
      </c>
      <c r="D4110" s="4" t="n">
        <v>11</v>
      </c>
      <c r="E4110" s="4" t="s">
        <v>2596</v>
      </c>
      <c r="F4110" s="4" t="n">
        <v>20</v>
      </c>
      <c r="G4110" s="4" t="n">
        <v>6</v>
      </c>
      <c r="H4110" s="4" t="n">
        <v>2</v>
      </c>
      <c r="I4110" s="4" t="str">
        <v>○</v>
      </c>
      <c r="J4110" s="4" t="n">
        <v>340</v>
      </c>
      <c r="K4110" s="4"/>
      <c r="L4110" s="4"/>
      <c r="M4110" s="5" t="s">
        <v>2677</v>
      </c>
    </row>
    <row r="4111" customFormat="false" ht="15.75" hidden="false" customHeight="false" outlineLevel="0" collapsed="false">
      <c r="A4111" s="3" t="n">
        <v>46201</v>
      </c>
      <c r="B4111" s="4" t="s">
        <v>1237</v>
      </c>
      <c r="C4111" s="4" t="n">
        <v>4</v>
      </c>
      <c r="D4111" s="4" t="n">
        <v>12</v>
      </c>
      <c r="E4111" s="4" t="s">
        <v>3520</v>
      </c>
      <c r="F4111" s="4" t="n">
        <v>13</v>
      </c>
      <c r="G4111" s="4" t="n">
        <v>7</v>
      </c>
      <c r="H4111" s="4" t="n">
        <v>3</v>
      </c>
      <c r="I4111" s="4" t="str">
        <v>○</v>
      </c>
      <c r="J4111" s="4" t="n">
        <v>220</v>
      </c>
      <c r="K4111" s="4"/>
      <c r="L4111" s="4"/>
      <c r="M4111" s="5" t="s">
        <v>2677</v>
      </c>
    </row>
    <row r="4112" customFormat="false" ht="15.75" hidden="false" customHeight="false" outlineLevel="0" collapsed="false">
      <c r="A4112" s="3" t="n">
        <v>46201</v>
      </c>
      <c r="B4112" s="4" t="s">
        <v>1237</v>
      </c>
      <c r="C4112" s="4" t="n">
        <v>4</v>
      </c>
      <c r="D4112" s="4" t="n">
        <v>13</v>
      </c>
      <c r="E4112" s="4" t="s">
        <v>854</v>
      </c>
      <c r="F4112" s="4" t="n">
        <v>34</v>
      </c>
      <c r="G4112" s="4" t="n">
        <v>4</v>
      </c>
      <c r="H4112" s="4" t="n">
        <v>4</v>
      </c>
      <c r="I4112" s="4" t="str">
        <v>×</v>
      </c>
      <c r="J4112" s="4"/>
      <c r="K4112" s="4"/>
      <c r="L4112" s="4"/>
      <c r="M4112" s="5" t="s">
        <v>2677</v>
      </c>
    </row>
    <row r="4113" customFormat="false" ht="15.75" hidden="false" customHeight="false" outlineLevel="0" collapsed="false">
      <c r="A4113" s="3" t="n">
        <v>46201</v>
      </c>
      <c r="B4113" s="4" t="s">
        <v>1237</v>
      </c>
      <c r="C4113" s="4" t="n">
        <v>4</v>
      </c>
      <c r="D4113" s="4" t="n">
        <v>14</v>
      </c>
      <c r="E4113" s="4" t="s">
        <v>1042</v>
      </c>
      <c r="F4113" s="4" t="n">
        <v>39</v>
      </c>
      <c r="G4113" s="4" t="n">
        <v>3</v>
      </c>
      <c r="H4113" s="4" t="n">
        <v>1</v>
      </c>
      <c r="I4113" s="4" t="str">
        <v>○</v>
      </c>
      <c r="J4113" s="4" t="n">
        <v>320</v>
      </c>
      <c r="K4113" s="4"/>
      <c r="L4113" s="4"/>
      <c r="M4113" s="5" t="s">
        <v>2677</v>
      </c>
    </row>
    <row r="4114" customFormat="false" ht="15.75" hidden="false" customHeight="false" outlineLevel="0" collapsed="false">
      <c r="A4114" s="3" t="n">
        <v>46201</v>
      </c>
      <c r="B4114" s="4" t="s">
        <v>1237</v>
      </c>
      <c r="C4114" s="4" t="n">
        <v>4</v>
      </c>
      <c r="D4114" s="4" t="n">
        <v>15</v>
      </c>
      <c r="E4114" s="4" t="s">
        <v>3275</v>
      </c>
      <c r="F4114" s="4" t="n">
        <v>4</v>
      </c>
      <c r="G4114" s="4" t="n">
        <v>12</v>
      </c>
      <c r="H4114" s="4" t="n">
        <v>4</v>
      </c>
      <c r="I4114" s="4" t="str">
        <v>×</v>
      </c>
      <c r="J4114" s="4"/>
      <c r="K4114" s="4"/>
      <c r="L4114" s="4"/>
      <c r="M4114" s="5" t="s">
        <v>2677</v>
      </c>
    </row>
    <row r="4115" customFormat="false" ht="15.75" hidden="false" customHeight="false" outlineLevel="0" collapsed="false">
      <c r="A4115" s="3" t="n">
        <v>46201</v>
      </c>
      <c r="B4115" s="4" t="s">
        <v>1237</v>
      </c>
      <c r="C4115" s="4" t="n">
        <v>4</v>
      </c>
      <c r="D4115" s="4" t="n">
        <v>16</v>
      </c>
      <c r="E4115" s="4" t="s">
        <v>2585</v>
      </c>
      <c r="F4115" s="4" t="n">
        <v>8</v>
      </c>
      <c r="G4115" s="4" t="n">
        <v>8</v>
      </c>
      <c r="H4115" s="4" t="n">
        <v>4</v>
      </c>
      <c r="I4115" s="4" t="str">
        <v>×</v>
      </c>
      <c r="J4115" s="4"/>
      <c r="K4115" s="4"/>
      <c r="L4115" s="4"/>
      <c r="M4115" s="5" t="s">
        <v>2677</v>
      </c>
    </row>
    <row r="4116" customFormat="false" ht="15.75" hidden="false" customHeight="false" outlineLevel="0" collapsed="false">
      <c r="A4116" s="3" t="n">
        <v>46201</v>
      </c>
      <c r="B4116" s="4" t="s">
        <v>1237</v>
      </c>
      <c r="C4116" s="4" t="n">
        <v>5</v>
      </c>
      <c r="D4116" s="4" t="n">
        <v>1</v>
      </c>
      <c r="E4116" s="4" t="s">
        <v>1721</v>
      </c>
      <c r="F4116" s="4" t="n">
        <v>37</v>
      </c>
      <c r="G4116" s="4" t="n">
        <v>1</v>
      </c>
      <c r="H4116" s="4" t="n">
        <v>2</v>
      </c>
      <c r="I4116" s="4" t="str">
        <v>○</v>
      </c>
      <c r="J4116" s="4" t="n">
        <v>120</v>
      </c>
      <c r="K4116" s="4"/>
      <c r="L4116" s="4"/>
      <c r="M4116" s="5" t="s">
        <v>2677</v>
      </c>
    </row>
    <row r="4117" customFormat="false" ht="15.75" hidden="false" customHeight="false" outlineLevel="0" collapsed="false">
      <c r="A4117" s="3" t="n">
        <v>46201</v>
      </c>
      <c r="B4117" s="4" t="s">
        <v>1237</v>
      </c>
      <c r="C4117" s="4" t="n">
        <v>5</v>
      </c>
      <c r="D4117" s="4" t="n">
        <v>2</v>
      </c>
      <c r="E4117" s="4" t="s">
        <v>1853</v>
      </c>
      <c r="F4117" s="4" t="n">
        <v>37</v>
      </c>
      <c r="G4117" s="4" t="n">
        <v>1</v>
      </c>
      <c r="H4117" s="4" t="n">
        <v>1</v>
      </c>
      <c r="I4117" s="4" t="str">
        <v>○</v>
      </c>
      <c r="J4117" s="4" t="n">
        <v>100</v>
      </c>
      <c r="K4117" s="4"/>
      <c r="L4117" s="4"/>
      <c r="M4117" s="5" t="s">
        <v>2677</v>
      </c>
    </row>
    <row r="4118" customFormat="false" ht="15.75" hidden="false" customHeight="false" outlineLevel="0" collapsed="false">
      <c r="A4118" s="3" t="n">
        <v>46201</v>
      </c>
      <c r="B4118" s="4" t="s">
        <v>1237</v>
      </c>
      <c r="C4118" s="4" t="n">
        <v>5</v>
      </c>
      <c r="D4118" s="4" t="n">
        <v>3</v>
      </c>
      <c r="E4118" s="4" t="s">
        <v>2177</v>
      </c>
      <c r="F4118" s="4" t="n">
        <v>24</v>
      </c>
      <c r="G4118" s="4" t="n">
        <v>4</v>
      </c>
      <c r="H4118" s="4" t="n">
        <v>3</v>
      </c>
      <c r="I4118" s="4" t="str">
        <v>○</v>
      </c>
      <c r="J4118" s="4"/>
      <c r="K4118" s="4"/>
      <c r="L4118" s="4"/>
      <c r="M4118" s="5" t="s">
        <v>2677</v>
      </c>
    </row>
    <row r="4119" customFormat="false" ht="15.75" hidden="false" customHeight="false" outlineLevel="0" collapsed="false">
      <c r="A4119" s="3" t="n">
        <v>46201</v>
      </c>
      <c r="B4119" s="4" t="s">
        <v>1237</v>
      </c>
      <c r="C4119" s="4" t="n">
        <v>5</v>
      </c>
      <c r="D4119" s="4" t="n">
        <v>4</v>
      </c>
      <c r="E4119" s="4" t="s">
        <v>3521</v>
      </c>
      <c r="F4119" s="4" t="n">
        <v>27</v>
      </c>
      <c r="G4119" s="4" t="n">
        <v>3</v>
      </c>
      <c r="H4119" s="4" t="n">
        <v>4</v>
      </c>
      <c r="I4119" s="4" t="str">
        <v>×</v>
      </c>
      <c r="J4119" s="4"/>
      <c r="K4119" s="4"/>
      <c r="L4119" s="4"/>
      <c r="M4119" s="5" t="s">
        <v>2677</v>
      </c>
    </row>
    <row r="4120" customFormat="false" ht="15.75" hidden="false" customHeight="false" outlineLevel="0" collapsed="false">
      <c r="A4120" s="3" t="n">
        <v>46201</v>
      </c>
      <c r="B4120" s="4" t="s">
        <v>1237</v>
      </c>
      <c r="C4120" s="4" t="n">
        <v>5</v>
      </c>
      <c r="D4120" s="4" t="n">
        <v>5</v>
      </c>
      <c r="E4120" s="4" t="s">
        <v>2924</v>
      </c>
      <c r="F4120" s="4" t="n">
        <v>24</v>
      </c>
      <c r="G4120" s="4" t="n">
        <v>4</v>
      </c>
      <c r="H4120" s="4" t="n">
        <v>4</v>
      </c>
      <c r="I4120" s="4" t="str">
        <v>×</v>
      </c>
      <c r="J4120" s="4"/>
      <c r="K4120" s="4"/>
      <c r="L4120" s="4"/>
      <c r="M4120" s="5" t="s">
        <v>2677</v>
      </c>
    </row>
    <row r="4121" customFormat="false" ht="15.75" hidden="false" customHeight="false" outlineLevel="0" collapsed="false">
      <c r="A4121" s="3" t="n">
        <v>46201</v>
      </c>
      <c r="B4121" s="4" t="s">
        <v>1237</v>
      </c>
      <c r="C4121" s="4" t="n">
        <v>5</v>
      </c>
      <c r="D4121" s="4" t="n">
        <v>6</v>
      </c>
      <c r="E4121" s="4" t="s">
        <v>3522</v>
      </c>
      <c r="F4121" s="4" t="n">
        <v>16</v>
      </c>
      <c r="G4121" s="4" t="n">
        <v>6</v>
      </c>
      <c r="H4121" s="4" t="n">
        <v>4</v>
      </c>
      <c r="I4121" s="4" t="str">
        <v>×</v>
      </c>
      <c r="J4121" s="4"/>
      <c r="K4121" s="4"/>
      <c r="L4121" s="4"/>
      <c r="M4121" s="5" t="s">
        <v>2677</v>
      </c>
    </row>
    <row r="4122" customFormat="false" ht="15.75" hidden="false" customHeight="false" outlineLevel="0" collapsed="false">
      <c r="A4122" s="3" t="n">
        <v>46201</v>
      </c>
      <c r="B4122" s="4" t="s">
        <v>1237</v>
      </c>
      <c r="C4122" s="4" t="n">
        <v>6</v>
      </c>
      <c r="D4122" s="4" t="n">
        <v>1</v>
      </c>
      <c r="E4122" s="4" t="s">
        <v>3523</v>
      </c>
      <c r="F4122" s="4" t="n">
        <v>20</v>
      </c>
      <c r="G4122" s="4" t="n">
        <v>5</v>
      </c>
      <c r="H4122" s="4" t="n">
        <v>4</v>
      </c>
      <c r="I4122" s="4" t="str">
        <v>×</v>
      </c>
      <c r="J4122" s="4"/>
      <c r="K4122" s="4"/>
      <c r="L4122" s="4"/>
      <c r="M4122" s="5" t="s">
        <v>2677</v>
      </c>
    </row>
    <row r="4123" customFormat="false" ht="15.75" hidden="false" customHeight="false" outlineLevel="0" collapsed="false">
      <c r="A4123" s="3" t="n">
        <v>46201</v>
      </c>
      <c r="B4123" s="4" t="s">
        <v>1237</v>
      </c>
      <c r="C4123" s="4" t="n">
        <v>6</v>
      </c>
      <c r="D4123" s="4" t="n">
        <v>2</v>
      </c>
      <c r="E4123" s="4" t="s">
        <v>2580</v>
      </c>
      <c r="F4123" s="4" t="n">
        <v>13</v>
      </c>
      <c r="G4123" s="4" t="n">
        <v>8</v>
      </c>
      <c r="H4123" s="4" t="n">
        <v>4</v>
      </c>
      <c r="I4123" s="4" t="str">
        <v>×</v>
      </c>
      <c r="J4123" s="4"/>
      <c r="K4123" s="4"/>
      <c r="L4123" s="4"/>
      <c r="M4123" s="5" t="s">
        <v>2677</v>
      </c>
    </row>
    <row r="4124" customFormat="false" ht="15.75" hidden="false" customHeight="false" outlineLevel="0" collapsed="false">
      <c r="A4124" s="3" t="n">
        <v>46201</v>
      </c>
      <c r="B4124" s="4" t="s">
        <v>1237</v>
      </c>
      <c r="C4124" s="4" t="n">
        <v>6</v>
      </c>
      <c r="D4124" s="4" t="n">
        <v>3</v>
      </c>
      <c r="E4124" s="4" t="s">
        <v>394</v>
      </c>
      <c r="F4124" s="4" t="n">
        <v>8</v>
      </c>
      <c r="G4124" s="4" t="n">
        <v>13</v>
      </c>
      <c r="H4124" s="4" t="n">
        <v>4</v>
      </c>
      <c r="I4124" s="4" t="str">
        <v>×</v>
      </c>
      <c r="J4124" s="4"/>
      <c r="K4124" s="4"/>
      <c r="L4124" s="4"/>
      <c r="M4124" s="5" t="s">
        <v>2677</v>
      </c>
    </row>
    <row r="4125" customFormat="false" ht="15.75" hidden="false" customHeight="false" outlineLevel="0" collapsed="false">
      <c r="A4125" s="3" t="n">
        <v>46201</v>
      </c>
      <c r="B4125" s="4" t="s">
        <v>1237</v>
      </c>
      <c r="C4125" s="4" t="n">
        <v>6</v>
      </c>
      <c r="D4125" s="4" t="n">
        <v>4</v>
      </c>
      <c r="E4125" s="4" t="s">
        <v>3524</v>
      </c>
      <c r="F4125" s="4" t="n">
        <v>13</v>
      </c>
      <c r="G4125" s="4" t="n">
        <v>8</v>
      </c>
      <c r="H4125" s="4" t="n">
        <v>4</v>
      </c>
      <c r="I4125" s="4" t="str">
        <v>×</v>
      </c>
      <c r="J4125" s="4"/>
      <c r="K4125" s="4"/>
      <c r="L4125" s="4"/>
      <c r="M4125" s="5" t="s">
        <v>2677</v>
      </c>
    </row>
    <row r="4126" customFormat="false" ht="15.75" hidden="false" customHeight="false" outlineLevel="0" collapsed="false">
      <c r="A4126" s="3" t="n">
        <v>46201</v>
      </c>
      <c r="B4126" s="4" t="s">
        <v>1237</v>
      </c>
      <c r="C4126" s="4" t="n">
        <v>6</v>
      </c>
      <c r="D4126" s="4" t="n">
        <v>5</v>
      </c>
      <c r="E4126" s="4" t="s">
        <v>367</v>
      </c>
      <c r="F4126" s="4" t="n">
        <v>6</v>
      </c>
      <c r="G4126" s="4" t="n">
        <v>15</v>
      </c>
      <c r="H4126" s="4" t="n">
        <v>4</v>
      </c>
      <c r="I4126" s="4" t="str">
        <v>×</v>
      </c>
      <c r="J4126" s="4"/>
      <c r="K4126" s="4"/>
      <c r="L4126" s="4"/>
      <c r="M4126" s="5" t="s">
        <v>2677</v>
      </c>
    </row>
    <row r="4127" customFormat="false" ht="15.75" hidden="false" customHeight="false" outlineLevel="0" collapsed="false">
      <c r="A4127" s="3" t="n">
        <v>46201</v>
      </c>
      <c r="B4127" s="4" t="s">
        <v>1237</v>
      </c>
      <c r="C4127" s="4" t="n">
        <v>6</v>
      </c>
      <c r="D4127" s="4" t="n">
        <v>6</v>
      </c>
      <c r="E4127" s="4" t="s">
        <v>855</v>
      </c>
      <c r="F4127" s="4" t="n">
        <v>17</v>
      </c>
      <c r="G4127" s="4" t="n">
        <v>7</v>
      </c>
      <c r="H4127" s="4" t="n">
        <v>4</v>
      </c>
      <c r="I4127" s="4" t="str">
        <v>×</v>
      </c>
      <c r="J4127" s="4"/>
      <c r="K4127" s="4"/>
      <c r="L4127" s="4"/>
      <c r="M4127" s="5" t="s">
        <v>2677</v>
      </c>
    </row>
    <row r="4128" customFormat="false" ht="15.75" hidden="false" customHeight="false" outlineLevel="0" collapsed="false">
      <c r="A4128" s="3" t="n">
        <v>46201</v>
      </c>
      <c r="B4128" s="4" t="s">
        <v>1237</v>
      </c>
      <c r="C4128" s="4" t="n">
        <v>6</v>
      </c>
      <c r="D4128" s="4" t="n">
        <v>7</v>
      </c>
      <c r="E4128" s="4" t="s">
        <v>1761</v>
      </c>
      <c r="F4128" s="4" t="n">
        <v>20</v>
      </c>
      <c r="G4128" s="4" t="n">
        <v>5</v>
      </c>
      <c r="H4128" s="4" t="n">
        <v>3</v>
      </c>
      <c r="I4128" s="4" t="str">
        <v>○</v>
      </c>
      <c r="J4128" s="4" t="n">
        <v>420</v>
      </c>
      <c r="K4128" s="4"/>
      <c r="L4128" s="4"/>
      <c r="M4128" s="5" t="s">
        <v>2677</v>
      </c>
    </row>
    <row r="4129" customFormat="false" ht="15.75" hidden="false" customHeight="false" outlineLevel="0" collapsed="false">
      <c r="A4129" s="3" t="n">
        <v>46201</v>
      </c>
      <c r="B4129" s="4" t="s">
        <v>1237</v>
      </c>
      <c r="C4129" s="4" t="n">
        <v>6</v>
      </c>
      <c r="D4129" s="4" t="n">
        <v>8</v>
      </c>
      <c r="E4129" s="4" t="s">
        <v>1762</v>
      </c>
      <c r="F4129" s="4" t="n">
        <v>8</v>
      </c>
      <c r="G4129" s="4" t="n">
        <v>13</v>
      </c>
      <c r="H4129" s="4" t="n">
        <v>4</v>
      </c>
      <c r="I4129" s="4" t="str">
        <v>×</v>
      </c>
      <c r="J4129" s="4"/>
      <c r="K4129" s="4"/>
      <c r="L4129" s="4"/>
      <c r="M4129" s="5" t="s">
        <v>2677</v>
      </c>
    </row>
    <row r="4130" customFormat="false" ht="15.75" hidden="false" customHeight="false" outlineLevel="0" collapsed="false">
      <c r="A4130" s="3" t="n">
        <v>46201</v>
      </c>
      <c r="B4130" s="4" t="s">
        <v>1237</v>
      </c>
      <c r="C4130" s="4" t="n">
        <v>6</v>
      </c>
      <c r="D4130" s="4" t="n">
        <v>9</v>
      </c>
      <c r="E4130" s="4" t="s">
        <v>389</v>
      </c>
      <c r="F4130" s="4" t="n">
        <v>2</v>
      </c>
      <c r="G4130" s="4" t="n">
        <v>16</v>
      </c>
      <c r="H4130" s="4" t="n">
        <v>4</v>
      </c>
      <c r="I4130" s="4" t="str">
        <v>×</v>
      </c>
      <c r="J4130" s="4"/>
      <c r="K4130" s="4"/>
      <c r="L4130" s="4"/>
      <c r="M4130" s="5" t="s">
        <v>2677</v>
      </c>
    </row>
    <row r="4131" customFormat="false" ht="15.75" hidden="false" customHeight="false" outlineLevel="0" collapsed="false">
      <c r="A4131" s="3" t="n">
        <v>46201</v>
      </c>
      <c r="B4131" s="4" t="s">
        <v>1237</v>
      </c>
      <c r="C4131" s="4" t="n">
        <v>6</v>
      </c>
      <c r="D4131" s="4" t="n">
        <v>10</v>
      </c>
      <c r="E4131" s="4" t="s">
        <v>2569</v>
      </c>
      <c r="F4131" s="4" t="n">
        <v>13</v>
      </c>
      <c r="G4131" s="4" t="n">
        <v>8</v>
      </c>
      <c r="H4131" s="4" t="n">
        <v>2</v>
      </c>
      <c r="I4131" s="4" t="str">
        <v>○</v>
      </c>
      <c r="J4131" s="4" t="n">
        <v>370</v>
      </c>
      <c r="K4131" s="4"/>
      <c r="L4131" s="4"/>
      <c r="M4131" s="5" t="s">
        <v>2677</v>
      </c>
    </row>
    <row r="4132" customFormat="false" ht="15.75" hidden="false" customHeight="false" outlineLevel="0" collapsed="false">
      <c r="A4132" s="3" t="n">
        <v>46201</v>
      </c>
      <c r="B4132" s="4" t="s">
        <v>1237</v>
      </c>
      <c r="C4132" s="4" t="n">
        <v>6</v>
      </c>
      <c r="D4132" s="4" t="n">
        <v>11</v>
      </c>
      <c r="E4132" s="4" t="s">
        <v>3525</v>
      </c>
      <c r="F4132" s="4" t="n">
        <v>23</v>
      </c>
      <c r="G4132" s="4" t="n">
        <v>3</v>
      </c>
      <c r="H4132" s="4" t="n">
        <v>4</v>
      </c>
      <c r="I4132" s="4" t="str">
        <v>×</v>
      </c>
      <c r="J4132" s="4"/>
      <c r="K4132" s="4"/>
      <c r="L4132" s="4"/>
      <c r="M4132" s="5" t="s">
        <v>2677</v>
      </c>
    </row>
    <row r="4133" customFormat="false" ht="15.75" hidden="false" customHeight="false" outlineLevel="0" collapsed="false">
      <c r="A4133" s="3" t="n">
        <v>46201</v>
      </c>
      <c r="B4133" s="4" t="s">
        <v>1237</v>
      </c>
      <c r="C4133" s="4" t="n">
        <v>6</v>
      </c>
      <c r="D4133" s="4" t="n">
        <v>12</v>
      </c>
      <c r="E4133" s="4" t="s">
        <v>387</v>
      </c>
      <c r="F4133" s="4" t="n">
        <v>10</v>
      </c>
      <c r="G4133" s="4" t="n">
        <v>11</v>
      </c>
      <c r="H4133" s="4" t="n">
        <v>4</v>
      </c>
      <c r="I4133" s="4" t="str">
        <v>×</v>
      </c>
      <c r="J4133" s="4"/>
      <c r="K4133" s="4"/>
      <c r="L4133" s="4"/>
      <c r="M4133" s="5" t="s">
        <v>2677</v>
      </c>
    </row>
    <row r="4134" customFormat="false" ht="15.75" hidden="false" customHeight="false" outlineLevel="0" collapsed="false">
      <c r="A4134" s="3" t="n">
        <v>46201</v>
      </c>
      <c r="B4134" s="4" t="s">
        <v>1237</v>
      </c>
      <c r="C4134" s="4" t="n">
        <v>6</v>
      </c>
      <c r="D4134" s="4" t="n">
        <v>13</v>
      </c>
      <c r="E4134" s="4" t="s">
        <v>2589</v>
      </c>
      <c r="F4134" s="4" t="n">
        <v>23</v>
      </c>
      <c r="G4134" s="4" t="n">
        <v>3</v>
      </c>
      <c r="H4134" s="4" t="n">
        <v>4</v>
      </c>
      <c r="I4134" s="4" t="str">
        <v>×</v>
      </c>
      <c r="J4134" s="4"/>
      <c r="K4134" s="4"/>
      <c r="L4134" s="4"/>
      <c r="M4134" s="5" t="s">
        <v>2677</v>
      </c>
    </row>
    <row r="4135" customFormat="false" ht="15.75" hidden="false" customHeight="false" outlineLevel="0" collapsed="false">
      <c r="A4135" s="3" t="n">
        <v>46201</v>
      </c>
      <c r="B4135" s="4" t="s">
        <v>1237</v>
      </c>
      <c r="C4135" s="4" t="n">
        <v>6</v>
      </c>
      <c r="D4135" s="4" t="n">
        <v>14</v>
      </c>
      <c r="E4135" s="4" t="s">
        <v>1336</v>
      </c>
      <c r="F4135" s="4" t="n">
        <v>74</v>
      </c>
      <c r="G4135" s="4" t="n">
        <v>1</v>
      </c>
      <c r="H4135" s="4" t="n">
        <v>1</v>
      </c>
      <c r="I4135" s="4" t="str">
        <v>○</v>
      </c>
      <c r="J4135" s="4" t="n">
        <v>110</v>
      </c>
      <c r="K4135" s="4"/>
      <c r="L4135" s="4"/>
      <c r="M4135" s="5" t="s">
        <v>2677</v>
      </c>
    </row>
    <row r="4136" customFormat="false" ht="15.75" hidden="false" customHeight="false" outlineLevel="0" collapsed="false">
      <c r="A4136" s="3" t="n">
        <v>46201</v>
      </c>
      <c r="B4136" s="4" t="s">
        <v>1237</v>
      </c>
      <c r="C4136" s="4" t="n">
        <v>6</v>
      </c>
      <c r="D4136" s="4" t="n">
        <v>15</v>
      </c>
      <c r="E4136" s="4" t="s">
        <v>2597</v>
      </c>
      <c r="F4136" s="4" t="n">
        <v>44</v>
      </c>
      <c r="G4136" s="4" t="n">
        <v>2</v>
      </c>
      <c r="H4136" s="4" t="n">
        <v>4</v>
      </c>
      <c r="I4136" s="4" t="str">
        <v>×</v>
      </c>
      <c r="J4136" s="4"/>
      <c r="K4136" s="4"/>
      <c r="L4136" s="4"/>
      <c r="M4136" s="5" t="s">
        <v>2677</v>
      </c>
    </row>
    <row r="4137" customFormat="false" ht="15.75" hidden="false" customHeight="false" outlineLevel="0" collapsed="false">
      <c r="A4137" s="3" t="n">
        <v>46201</v>
      </c>
      <c r="B4137" s="4" t="s">
        <v>1237</v>
      </c>
      <c r="C4137" s="4" t="n">
        <v>6</v>
      </c>
      <c r="D4137" s="4" t="n">
        <v>16</v>
      </c>
      <c r="E4137" s="4" t="s">
        <v>3526</v>
      </c>
      <c r="F4137" s="4" t="n">
        <v>10</v>
      </c>
      <c r="G4137" s="4" t="n">
        <v>11</v>
      </c>
      <c r="H4137" s="4" t="n">
        <v>4</v>
      </c>
      <c r="I4137" s="4" t="str">
        <v>×</v>
      </c>
      <c r="J4137" s="4"/>
      <c r="K4137" s="4"/>
      <c r="L4137" s="4"/>
      <c r="M4137" s="5" t="s">
        <v>2677</v>
      </c>
    </row>
    <row r="4138" customFormat="false" ht="15.75" hidden="false" customHeight="false" outlineLevel="0" collapsed="false">
      <c r="A4138" s="3" t="n">
        <v>46201</v>
      </c>
      <c r="B4138" s="4" t="s">
        <v>1237</v>
      </c>
      <c r="C4138" s="4" t="n">
        <v>7</v>
      </c>
      <c r="D4138" s="4" t="n">
        <v>1</v>
      </c>
      <c r="E4138" s="4" t="s">
        <v>2622</v>
      </c>
      <c r="F4138" s="4" t="n">
        <v>13</v>
      </c>
      <c r="G4138" s="4" t="n">
        <v>7</v>
      </c>
      <c r="H4138" s="4" t="n">
        <v>4</v>
      </c>
      <c r="I4138" s="4" t="str">
        <v>×</v>
      </c>
      <c r="J4138" s="4"/>
      <c r="K4138" s="4"/>
      <c r="L4138" s="4"/>
      <c r="M4138" s="5" t="s">
        <v>2677</v>
      </c>
    </row>
    <row r="4139" customFormat="false" ht="15.75" hidden="false" customHeight="false" outlineLevel="0" collapsed="false">
      <c r="A4139" s="3" t="n">
        <v>46201</v>
      </c>
      <c r="B4139" s="4" t="s">
        <v>1237</v>
      </c>
      <c r="C4139" s="4" t="n">
        <v>7</v>
      </c>
      <c r="D4139" s="4" t="n">
        <v>2</v>
      </c>
      <c r="E4139" s="4" t="s">
        <v>1798</v>
      </c>
      <c r="F4139" s="4" t="n">
        <v>23</v>
      </c>
      <c r="G4139" s="4" t="n">
        <v>5</v>
      </c>
      <c r="H4139" s="4" t="n">
        <v>2</v>
      </c>
      <c r="I4139" s="4" t="str">
        <v>○</v>
      </c>
      <c r="J4139" s="4" t="n">
        <v>170</v>
      </c>
      <c r="K4139" s="4"/>
      <c r="L4139" s="4"/>
      <c r="M4139" s="5" t="s">
        <v>2677</v>
      </c>
    </row>
    <row r="4140" customFormat="false" ht="15.75" hidden="false" customHeight="false" outlineLevel="0" collapsed="false">
      <c r="A4140" s="3" t="n">
        <v>46201</v>
      </c>
      <c r="B4140" s="4" t="s">
        <v>1237</v>
      </c>
      <c r="C4140" s="4" t="n">
        <v>7</v>
      </c>
      <c r="D4140" s="4" t="n">
        <v>3</v>
      </c>
      <c r="E4140" s="4" t="s">
        <v>430</v>
      </c>
      <c r="F4140" s="4" t="n">
        <v>8</v>
      </c>
      <c r="G4140" s="4" t="n">
        <v>10</v>
      </c>
      <c r="H4140" s="4" t="n">
        <v>4</v>
      </c>
      <c r="I4140" s="4" t="str">
        <v>×</v>
      </c>
      <c r="J4140" s="4"/>
      <c r="K4140" s="4"/>
      <c r="L4140" s="4"/>
      <c r="M4140" s="5" t="s">
        <v>2677</v>
      </c>
    </row>
    <row r="4141" customFormat="false" ht="15.75" hidden="false" customHeight="false" outlineLevel="0" collapsed="false">
      <c r="A4141" s="3" t="n">
        <v>46201</v>
      </c>
      <c r="B4141" s="4" t="s">
        <v>1237</v>
      </c>
      <c r="C4141" s="4" t="n">
        <v>7</v>
      </c>
      <c r="D4141" s="4" t="n">
        <v>4</v>
      </c>
      <c r="E4141" s="4" t="s">
        <v>3527</v>
      </c>
      <c r="F4141" s="4" t="n">
        <v>44</v>
      </c>
      <c r="G4141" s="4" t="n">
        <v>2</v>
      </c>
      <c r="H4141" s="4" t="n">
        <v>1</v>
      </c>
      <c r="I4141" s="4" t="str">
        <v>○</v>
      </c>
      <c r="J4141" s="4" t="n">
        <v>210</v>
      </c>
      <c r="K4141" s="4"/>
      <c r="L4141" s="4"/>
      <c r="M4141" s="5" t="s">
        <v>2677</v>
      </c>
    </row>
    <row r="4142" customFormat="false" ht="15.75" hidden="false" customHeight="false" outlineLevel="0" collapsed="false">
      <c r="A4142" s="3" t="n">
        <v>46201</v>
      </c>
      <c r="B4142" s="4" t="s">
        <v>1237</v>
      </c>
      <c r="C4142" s="4" t="n">
        <v>7</v>
      </c>
      <c r="D4142" s="4" t="n">
        <v>5</v>
      </c>
      <c r="E4142" s="4" t="s">
        <v>2624</v>
      </c>
      <c r="F4142" s="4" t="n">
        <v>41</v>
      </c>
      <c r="G4142" s="4" t="n">
        <v>3</v>
      </c>
      <c r="H4142" s="4" t="n">
        <v>4</v>
      </c>
      <c r="I4142" s="4" t="str">
        <v>×</v>
      </c>
      <c r="J4142" s="4"/>
      <c r="K4142" s="4"/>
      <c r="L4142" s="4"/>
      <c r="M4142" s="5" t="s">
        <v>2677</v>
      </c>
    </row>
    <row r="4143" customFormat="false" ht="15.75" hidden="false" customHeight="false" outlineLevel="0" collapsed="false">
      <c r="A4143" s="3" t="n">
        <v>46201</v>
      </c>
      <c r="B4143" s="4" t="s">
        <v>1237</v>
      </c>
      <c r="C4143" s="4" t="n">
        <v>7</v>
      </c>
      <c r="D4143" s="4" t="n">
        <v>6</v>
      </c>
      <c r="E4143" s="4" t="s">
        <v>422</v>
      </c>
      <c r="F4143" s="4" t="n">
        <v>20</v>
      </c>
      <c r="G4143" s="4" t="n">
        <v>6</v>
      </c>
      <c r="H4143" s="4" t="n">
        <v>4</v>
      </c>
      <c r="I4143" s="4" t="str">
        <v>×</v>
      </c>
      <c r="J4143" s="4"/>
      <c r="K4143" s="4"/>
      <c r="L4143" s="4"/>
      <c r="M4143" s="5" t="s">
        <v>2677</v>
      </c>
    </row>
    <row r="4144" customFormat="false" ht="15.75" hidden="false" customHeight="false" outlineLevel="0" collapsed="false">
      <c r="A4144" s="3" t="n">
        <v>46201</v>
      </c>
      <c r="B4144" s="4" t="s">
        <v>1237</v>
      </c>
      <c r="C4144" s="4" t="n">
        <v>7</v>
      </c>
      <c r="D4144" s="4" t="n">
        <v>7</v>
      </c>
      <c r="E4144" s="4" t="s">
        <v>2626</v>
      </c>
      <c r="F4144" s="4" t="n">
        <v>56</v>
      </c>
      <c r="G4144" s="4" t="n">
        <v>1</v>
      </c>
      <c r="H4144" s="4" t="n">
        <v>4</v>
      </c>
      <c r="I4144" s="4" t="str">
        <v>×</v>
      </c>
      <c r="J4144" s="4"/>
      <c r="K4144" s="4"/>
      <c r="L4144" s="4"/>
      <c r="M4144" s="5" t="s">
        <v>2677</v>
      </c>
    </row>
    <row r="4145" customFormat="false" ht="15.75" hidden="false" customHeight="false" outlineLevel="0" collapsed="false">
      <c r="A4145" s="3" t="n">
        <v>46201</v>
      </c>
      <c r="B4145" s="4" t="s">
        <v>1237</v>
      </c>
      <c r="C4145" s="4" t="n">
        <v>7</v>
      </c>
      <c r="D4145" s="4" t="n">
        <v>8</v>
      </c>
      <c r="E4145" s="4" t="s">
        <v>876</v>
      </c>
      <c r="F4145" s="4" t="n">
        <v>37</v>
      </c>
      <c r="G4145" s="4" t="n">
        <v>4</v>
      </c>
      <c r="H4145" s="4" t="n">
        <v>4</v>
      </c>
      <c r="I4145" s="4" t="str">
        <v>×</v>
      </c>
      <c r="J4145" s="4"/>
      <c r="K4145" s="4"/>
      <c r="L4145" s="4"/>
      <c r="M4145" s="5" t="s">
        <v>2677</v>
      </c>
    </row>
    <row r="4146" customFormat="false" ht="15.75" hidden="false" customHeight="false" outlineLevel="0" collapsed="false">
      <c r="A4146" s="3" t="n">
        <v>46201</v>
      </c>
      <c r="B4146" s="4" t="s">
        <v>1237</v>
      </c>
      <c r="C4146" s="4" t="n">
        <v>7</v>
      </c>
      <c r="D4146" s="4" t="n">
        <v>9</v>
      </c>
      <c r="E4146" s="4" t="s">
        <v>1795</v>
      </c>
      <c r="F4146" s="4" t="n">
        <v>10</v>
      </c>
      <c r="G4146" s="4" t="n">
        <v>8</v>
      </c>
      <c r="H4146" s="4" t="n">
        <v>3</v>
      </c>
      <c r="I4146" s="4" t="str">
        <v>○</v>
      </c>
      <c r="J4146" s="4" t="n">
        <v>1060</v>
      </c>
      <c r="K4146" s="4"/>
      <c r="L4146" s="4"/>
      <c r="M4146" s="5" t="s">
        <v>2677</v>
      </c>
    </row>
    <row r="4147" customFormat="false" ht="15.75" hidden="false" customHeight="false" outlineLevel="0" collapsed="false">
      <c r="A4147" s="3" t="n">
        <v>46201</v>
      </c>
      <c r="B4147" s="4" t="s">
        <v>1237</v>
      </c>
      <c r="C4147" s="4" t="n">
        <v>7</v>
      </c>
      <c r="D4147" s="4" t="n">
        <v>10</v>
      </c>
      <c r="E4147" s="4" t="s">
        <v>3528</v>
      </c>
      <c r="F4147" s="4" t="n">
        <v>10</v>
      </c>
      <c r="G4147" s="4" t="n">
        <v>8</v>
      </c>
      <c r="H4147" s="4" t="n">
        <v>4</v>
      </c>
      <c r="I4147" s="4" t="str">
        <v>×</v>
      </c>
      <c r="J4147" s="4"/>
      <c r="K4147" s="4"/>
      <c r="L4147" s="4"/>
      <c r="M4147" s="5" t="s">
        <v>2677</v>
      </c>
    </row>
    <row r="4148" customFormat="false" ht="15.75" hidden="false" customHeight="false" outlineLevel="0" collapsed="false">
      <c r="A4148" s="3" t="n">
        <v>46201</v>
      </c>
      <c r="B4148" s="4" t="s">
        <v>1237</v>
      </c>
      <c r="C4148" s="4" t="n">
        <v>8</v>
      </c>
      <c r="D4148" s="4" t="n">
        <v>1</v>
      </c>
      <c r="E4148" s="4" t="s">
        <v>3529</v>
      </c>
      <c r="F4148" s="4" t="n">
        <v>8</v>
      </c>
      <c r="G4148" s="4" t="n">
        <v>12</v>
      </c>
      <c r="H4148" s="4" t="n">
        <v>4</v>
      </c>
      <c r="I4148" s="4" t="str">
        <v>×</v>
      </c>
      <c r="J4148" s="4"/>
      <c r="K4148" s="4"/>
      <c r="L4148" s="4"/>
      <c r="M4148" s="5" t="s">
        <v>2677</v>
      </c>
    </row>
    <row r="4149" customFormat="false" ht="15.75" hidden="false" customHeight="false" outlineLevel="0" collapsed="false">
      <c r="A4149" s="3" t="n">
        <v>46201</v>
      </c>
      <c r="B4149" s="4" t="s">
        <v>1237</v>
      </c>
      <c r="C4149" s="4" t="n">
        <v>8</v>
      </c>
      <c r="D4149" s="4" t="n">
        <v>2</v>
      </c>
      <c r="E4149" s="4" t="s">
        <v>2961</v>
      </c>
      <c r="F4149" s="4" t="n">
        <v>20</v>
      </c>
      <c r="G4149" s="4" t="n">
        <v>9</v>
      </c>
      <c r="H4149" s="4" t="n">
        <v>4</v>
      </c>
      <c r="I4149" s="4" t="str">
        <v>×</v>
      </c>
      <c r="J4149" s="4"/>
      <c r="K4149" s="4"/>
      <c r="L4149" s="4"/>
      <c r="M4149" s="5" t="s">
        <v>2677</v>
      </c>
    </row>
    <row r="4150" customFormat="false" ht="15.75" hidden="false" customHeight="false" outlineLevel="0" collapsed="false">
      <c r="A4150" s="3" t="n">
        <v>46201</v>
      </c>
      <c r="B4150" s="4" t="s">
        <v>1237</v>
      </c>
      <c r="C4150" s="4" t="n">
        <v>8</v>
      </c>
      <c r="D4150" s="4" t="n">
        <v>3</v>
      </c>
      <c r="E4150" s="4" t="s">
        <v>3530</v>
      </c>
      <c r="F4150" s="4" t="n">
        <v>6</v>
      </c>
      <c r="G4150" s="4" t="n">
        <v>13</v>
      </c>
      <c r="H4150" s="4" t="n">
        <v>4</v>
      </c>
      <c r="I4150" s="4" t="str">
        <v>×</v>
      </c>
      <c r="J4150" s="4"/>
      <c r="K4150" s="4"/>
      <c r="L4150" s="4"/>
      <c r="M4150" s="5" t="s">
        <v>2677</v>
      </c>
    </row>
    <row r="4151" customFormat="false" ht="15.75" hidden="false" customHeight="false" outlineLevel="0" collapsed="false">
      <c r="A4151" s="3" t="n">
        <v>46201</v>
      </c>
      <c r="B4151" s="4" t="s">
        <v>1237</v>
      </c>
      <c r="C4151" s="4" t="n">
        <v>8</v>
      </c>
      <c r="D4151" s="4" t="n">
        <v>4</v>
      </c>
      <c r="E4151" s="4" t="s">
        <v>3531</v>
      </c>
      <c r="F4151" s="4" t="n">
        <v>29</v>
      </c>
      <c r="G4151" s="4" t="n">
        <v>4</v>
      </c>
      <c r="H4151" s="4" t="n">
        <v>4</v>
      </c>
      <c r="I4151" s="4" t="str">
        <v>×</v>
      </c>
      <c r="J4151" s="4"/>
      <c r="K4151" s="4"/>
      <c r="L4151" s="4"/>
      <c r="M4151" s="5" t="s">
        <v>2677</v>
      </c>
    </row>
    <row r="4152" customFormat="false" ht="15.75" hidden="false" customHeight="false" outlineLevel="0" collapsed="false">
      <c r="A4152" s="3" t="n">
        <v>46201</v>
      </c>
      <c r="B4152" s="4" t="s">
        <v>1237</v>
      </c>
      <c r="C4152" s="4" t="n">
        <v>8</v>
      </c>
      <c r="D4152" s="4" t="n">
        <v>5</v>
      </c>
      <c r="E4152" s="4" t="s">
        <v>1858</v>
      </c>
      <c r="F4152" s="4" t="n">
        <v>29</v>
      </c>
      <c r="G4152" s="4" t="n">
        <v>4</v>
      </c>
      <c r="H4152" s="4" t="n">
        <v>2</v>
      </c>
      <c r="I4152" s="4" t="str">
        <v>○</v>
      </c>
      <c r="J4152" s="4" t="n">
        <v>980</v>
      </c>
      <c r="K4152" s="4"/>
      <c r="L4152" s="4"/>
      <c r="M4152" s="5" t="s">
        <v>2677</v>
      </c>
    </row>
    <row r="4153" customFormat="false" ht="15.75" hidden="false" customHeight="false" outlineLevel="0" collapsed="false">
      <c r="A4153" s="3" t="n">
        <v>46201</v>
      </c>
      <c r="B4153" s="4" t="s">
        <v>1237</v>
      </c>
      <c r="C4153" s="4" t="n">
        <v>8</v>
      </c>
      <c r="D4153" s="4" t="n">
        <v>6</v>
      </c>
      <c r="E4153" s="4" t="s">
        <v>3532</v>
      </c>
      <c r="F4153" s="4" t="n">
        <v>34</v>
      </c>
      <c r="G4153" s="4" t="n">
        <v>3</v>
      </c>
      <c r="H4153" s="4" t="n">
        <v>3</v>
      </c>
      <c r="I4153" s="4" t="str">
        <v>○</v>
      </c>
      <c r="J4153" s="4" t="n">
        <v>200</v>
      </c>
      <c r="K4153" s="4"/>
      <c r="L4153" s="4"/>
      <c r="M4153" s="5" t="s">
        <v>2677</v>
      </c>
    </row>
    <row r="4154" customFormat="false" ht="15.75" hidden="false" customHeight="false" outlineLevel="0" collapsed="false">
      <c r="A4154" s="3" t="n">
        <v>46201</v>
      </c>
      <c r="B4154" s="4" t="s">
        <v>1237</v>
      </c>
      <c r="C4154" s="4" t="n">
        <v>8</v>
      </c>
      <c r="D4154" s="4" t="n">
        <v>7</v>
      </c>
      <c r="E4154" s="4" t="s">
        <v>3533</v>
      </c>
      <c r="F4154" s="4" t="n">
        <v>20</v>
      </c>
      <c r="G4154" s="4" t="n">
        <v>9</v>
      </c>
      <c r="H4154" s="4" t="n">
        <v>4</v>
      </c>
      <c r="I4154" s="4" t="str">
        <v>×</v>
      </c>
      <c r="J4154" s="4"/>
      <c r="K4154" s="4"/>
      <c r="L4154" s="4"/>
      <c r="M4154" s="5" t="s">
        <v>2677</v>
      </c>
    </row>
    <row r="4155" customFormat="false" ht="15.75" hidden="false" customHeight="false" outlineLevel="0" collapsed="false">
      <c r="A4155" s="3" t="n">
        <v>46201</v>
      </c>
      <c r="B4155" s="4" t="s">
        <v>1237</v>
      </c>
      <c r="C4155" s="4" t="n">
        <v>8</v>
      </c>
      <c r="D4155" s="4" t="n">
        <v>8</v>
      </c>
      <c r="E4155" s="4" t="s">
        <v>3534</v>
      </c>
      <c r="F4155" s="4" t="n">
        <v>56</v>
      </c>
      <c r="G4155" s="4" t="n">
        <v>2</v>
      </c>
      <c r="H4155" s="4" t="n">
        <v>4</v>
      </c>
      <c r="I4155" s="4" t="str">
        <v>×</v>
      </c>
      <c r="J4155" s="4"/>
      <c r="K4155" s="4"/>
      <c r="L4155" s="4"/>
      <c r="M4155" s="5" t="s">
        <v>2677</v>
      </c>
    </row>
    <row r="4156" customFormat="false" ht="15.75" hidden="false" customHeight="false" outlineLevel="0" collapsed="false">
      <c r="A4156" s="3" t="n">
        <v>46201</v>
      </c>
      <c r="B4156" s="4" t="s">
        <v>1237</v>
      </c>
      <c r="C4156" s="4" t="n">
        <v>8</v>
      </c>
      <c r="D4156" s="4" t="n">
        <v>9</v>
      </c>
      <c r="E4156" s="4" t="s">
        <v>3535</v>
      </c>
      <c r="F4156" s="4" t="n">
        <v>25</v>
      </c>
      <c r="G4156" s="4" t="n">
        <v>6</v>
      </c>
      <c r="H4156" s="4" t="n">
        <v>1</v>
      </c>
      <c r="I4156" s="4" t="str">
        <v>○</v>
      </c>
      <c r="J4156" s="4" t="n">
        <v>210</v>
      </c>
      <c r="K4156" s="4"/>
      <c r="L4156" s="4"/>
      <c r="M4156" s="5" t="s">
        <v>2677</v>
      </c>
    </row>
    <row r="4157" customFormat="false" ht="15.75" hidden="false" customHeight="false" outlineLevel="0" collapsed="false">
      <c r="A4157" s="3" t="n">
        <v>46201</v>
      </c>
      <c r="B4157" s="4" t="s">
        <v>1237</v>
      </c>
      <c r="C4157" s="4" t="n">
        <v>8</v>
      </c>
      <c r="D4157" s="4" t="n">
        <v>10</v>
      </c>
      <c r="E4157" s="4" t="s">
        <v>1867</v>
      </c>
      <c r="F4157" s="4" t="n">
        <v>25</v>
      </c>
      <c r="G4157" s="4" t="n">
        <v>6</v>
      </c>
      <c r="H4157" s="4" t="n">
        <v>4</v>
      </c>
      <c r="I4157" s="4" t="str">
        <v>×</v>
      </c>
      <c r="J4157" s="4"/>
      <c r="K4157" s="4"/>
      <c r="L4157" s="4"/>
      <c r="M4157" s="5" t="s">
        <v>2677</v>
      </c>
    </row>
    <row r="4158" customFormat="false" ht="15.75" hidden="false" customHeight="false" outlineLevel="0" collapsed="false">
      <c r="A4158" s="3" t="n">
        <v>46201</v>
      </c>
      <c r="B4158" s="4" t="s">
        <v>1237</v>
      </c>
      <c r="C4158" s="4" t="n">
        <v>8</v>
      </c>
      <c r="D4158" s="4" t="n">
        <v>11</v>
      </c>
      <c r="E4158" s="4" t="s">
        <v>3536</v>
      </c>
      <c r="F4158" s="4" t="n">
        <v>10</v>
      </c>
      <c r="G4158" s="4" t="n">
        <v>11</v>
      </c>
      <c r="H4158" s="4" t="n">
        <v>4</v>
      </c>
      <c r="I4158" s="4" t="str">
        <v>×</v>
      </c>
      <c r="J4158" s="4"/>
      <c r="K4158" s="4"/>
      <c r="L4158" s="4"/>
      <c r="M4158" s="5" t="s">
        <v>2677</v>
      </c>
    </row>
    <row r="4159" customFormat="false" ht="15.75" hidden="false" customHeight="false" outlineLevel="0" collapsed="false">
      <c r="A4159" s="3" t="n">
        <v>46201</v>
      </c>
      <c r="B4159" s="4" t="s">
        <v>1237</v>
      </c>
      <c r="C4159" s="4" t="n">
        <v>8</v>
      </c>
      <c r="D4159" s="4" t="n">
        <v>12</v>
      </c>
      <c r="E4159" s="4" t="s">
        <v>3537</v>
      </c>
      <c r="F4159" s="4" t="n">
        <v>58</v>
      </c>
      <c r="G4159" s="4" t="n">
        <v>1</v>
      </c>
      <c r="H4159" s="4" t="n">
        <v>4</v>
      </c>
      <c r="I4159" s="4" t="str">
        <v>×</v>
      </c>
      <c r="J4159" s="4"/>
      <c r="K4159" s="4"/>
      <c r="L4159" s="4"/>
      <c r="M4159" s="5" t="s">
        <v>2677</v>
      </c>
    </row>
    <row r="4160" customFormat="false" ht="15.75" hidden="false" customHeight="false" outlineLevel="0" collapsed="false">
      <c r="A4160" s="3" t="n">
        <v>46201</v>
      </c>
      <c r="B4160" s="4" t="s">
        <v>1237</v>
      </c>
      <c r="C4160" s="4" t="n">
        <v>8</v>
      </c>
      <c r="D4160" s="4" t="n">
        <v>13</v>
      </c>
      <c r="E4160" s="4" t="s">
        <v>867</v>
      </c>
      <c r="F4160" s="4" t="n">
        <v>23</v>
      </c>
      <c r="G4160" s="4" t="n">
        <v>8</v>
      </c>
      <c r="H4160" s="4" t="n">
        <v>4</v>
      </c>
      <c r="I4160" s="4" t="str">
        <v>×</v>
      </c>
      <c r="J4160" s="4"/>
      <c r="K4160" s="4"/>
      <c r="L4160" s="4"/>
      <c r="M4160" s="5" t="s">
        <v>2677</v>
      </c>
    </row>
    <row r="4161" customFormat="false" ht="15.75" hidden="false" customHeight="false" outlineLevel="0" collapsed="false">
      <c r="A4161" s="3" t="n">
        <v>46201</v>
      </c>
      <c r="B4161" s="4" t="s">
        <v>1237</v>
      </c>
      <c r="C4161" s="4" t="n">
        <v>9</v>
      </c>
      <c r="D4161" s="4" t="n">
        <v>1</v>
      </c>
      <c r="E4161" s="4" t="s">
        <v>3538</v>
      </c>
      <c r="F4161" s="4" t="n">
        <v>65</v>
      </c>
      <c r="G4161" s="4" t="n">
        <v>1</v>
      </c>
      <c r="H4161" s="4" t="n">
        <v>1</v>
      </c>
      <c r="I4161" s="4" t="str">
        <v>○</v>
      </c>
      <c r="J4161" s="4" t="n">
        <v>110</v>
      </c>
      <c r="K4161" s="4"/>
      <c r="L4161" s="4"/>
      <c r="M4161" s="5" t="s">
        <v>2677</v>
      </c>
    </row>
    <row r="4162" customFormat="false" ht="15.75" hidden="false" customHeight="false" outlineLevel="0" collapsed="false">
      <c r="A4162" s="3" t="n">
        <v>46201</v>
      </c>
      <c r="B4162" s="4" t="s">
        <v>1237</v>
      </c>
      <c r="C4162" s="4" t="n">
        <v>9</v>
      </c>
      <c r="D4162" s="4" t="n">
        <v>2</v>
      </c>
      <c r="E4162" s="4" t="s">
        <v>431</v>
      </c>
      <c r="F4162" s="4" t="n">
        <v>23</v>
      </c>
      <c r="G4162" s="4" t="n">
        <v>6</v>
      </c>
      <c r="H4162" s="4" t="n">
        <v>4</v>
      </c>
      <c r="I4162" s="4" t="str">
        <v>×</v>
      </c>
      <c r="J4162" s="4"/>
      <c r="K4162" s="4"/>
      <c r="L4162" s="4"/>
      <c r="M4162" s="5" t="s">
        <v>2677</v>
      </c>
    </row>
    <row r="4163" customFormat="false" ht="15.75" hidden="false" customHeight="false" outlineLevel="0" collapsed="false">
      <c r="A4163" s="3" t="n">
        <v>46201</v>
      </c>
      <c r="B4163" s="4" t="s">
        <v>1237</v>
      </c>
      <c r="C4163" s="4" t="n">
        <v>9</v>
      </c>
      <c r="D4163" s="4" t="n">
        <v>3</v>
      </c>
      <c r="E4163" s="4" t="s">
        <v>1348</v>
      </c>
      <c r="F4163" s="4" t="n">
        <v>58</v>
      </c>
      <c r="G4163" s="4" t="n">
        <v>2</v>
      </c>
      <c r="H4163" s="4" t="n">
        <v>3</v>
      </c>
      <c r="I4163" s="4" t="str">
        <v>○</v>
      </c>
      <c r="J4163" s="4" t="n">
        <v>170</v>
      </c>
      <c r="K4163" s="4"/>
      <c r="L4163" s="4"/>
      <c r="M4163" s="5" t="s">
        <v>2677</v>
      </c>
    </row>
    <row r="4164" customFormat="false" ht="15.75" hidden="false" customHeight="false" outlineLevel="0" collapsed="false">
      <c r="A4164" s="3" t="n">
        <v>46201</v>
      </c>
      <c r="B4164" s="4" t="s">
        <v>1237</v>
      </c>
      <c r="C4164" s="4" t="n">
        <v>9</v>
      </c>
      <c r="D4164" s="4" t="n">
        <v>4</v>
      </c>
      <c r="E4164" s="4" t="s">
        <v>1341</v>
      </c>
      <c r="F4164" s="4" t="n">
        <v>41</v>
      </c>
      <c r="G4164" s="4" t="n">
        <v>3</v>
      </c>
      <c r="H4164" s="4" t="n">
        <v>2</v>
      </c>
      <c r="I4164" s="4" t="str">
        <v>○</v>
      </c>
      <c r="J4164" s="4" t="n">
        <v>130</v>
      </c>
      <c r="K4164" s="4"/>
      <c r="L4164" s="4"/>
      <c r="M4164" s="5" t="s">
        <v>2677</v>
      </c>
    </row>
    <row r="4165" customFormat="false" ht="15.75" hidden="false" customHeight="false" outlineLevel="0" collapsed="false">
      <c r="A4165" s="3" t="n">
        <v>46201</v>
      </c>
      <c r="B4165" s="4" t="s">
        <v>1237</v>
      </c>
      <c r="C4165" s="4" t="n">
        <v>9</v>
      </c>
      <c r="D4165" s="4" t="n">
        <v>5</v>
      </c>
      <c r="E4165" s="4" t="s">
        <v>3539</v>
      </c>
      <c r="F4165" s="4" t="n">
        <v>34</v>
      </c>
      <c r="G4165" s="4" t="n">
        <v>4</v>
      </c>
      <c r="H4165" s="4" t="n">
        <v>4</v>
      </c>
      <c r="I4165" s="4" t="str">
        <v>×</v>
      </c>
      <c r="J4165" s="4"/>
      <c r="K4165" s="4"/>
      <c r="L4165" s="4"/>
      <c r="M4165" s="5" t="s">
        <v>2677</v>
      </c>
    </row>
    <row r="4166" customFormat="false" ht="15.75" hidden="false" customHeight="false" outlineLevel="0" collapsed="false">
      <c r="A4166" s="3" t="n">
        <v>46201</v>
      </c>
      <c r="B4166" s="4" t="s">
        <v>1237</v>
      </c>
      <c r="C4166" s="4" t="n">
        <v>9</v>
      </c>
      <c r="D4166" s="4" t="n">
        <v>6</v>
      </c>
      <c r="E4166" s="4" t="s">
        <v>2241</v>
      </c>
      <c r="F4166" s="4" t="n">
        <v>2</v>
      </c>
      <c r="G4166" s="4" t="n">
        <v>9</v>
      </c>
      <c r="H4166" s="4" t="n">
        <v>4</v>
      </c>
      <c r="I4166" s="4" t="str">
        <v>×</v>
      </c>
      <c r="J4166" s="4"/>
      <c r="K4166" s="4"/>
      <c r="L4166" s="4"/>
      <c r="M4166" s="5" t="s">
        <v>2677</v>
      </c>
    </row>
    <row r="4167" customFormat="false" ht="15.75" hidden="false" customHeight="false" outlineLevel="0" collapsed="false">
      <c r="A4167" s="3" t="n">
        <v>46201</v>
      </c>
      <c r="B4167" s="4" t="s">
        <v>1237</v>
      </c>
      <c r="C4167" s="4" t="n">
        <v>9</v>
      </c>
      <c r="D4167" s="4" t="n">
        <v>7</v>
      </c>
      <c r="E4167" s="4" t="s">
        <v>2243</v>
      </c>
      <c r="F4167" s="4" t="n">
        <v>34</v>
      </c>
      <c r="G4167" s="4" t="n">
        <v>4</v>
      </c>
      <c r="H4167" s="4" t="n">
        <v>4</v>
      </c>
      <c r="I4167" s="4" t="str">
        <v>×</v>
      </c>
      <c r="J4167" s="4"/>
      <c r="K4167" s="4"/>
      <c r="L4167" s="4"/>
      <c r="M4167" s="5" t="s">
        <v>2677</v>
      </c>
    </row>
    <row r="4168" customFormat="false" ht="15.75" hidden="false" customHeight="false" outlineLevel="0" collapsed="false">
      <c r="A4168" s="3" t="n">
        <v>46201</v>
      </c>
      <c r="B4168" s="4" t="s">
        <v>1237</v>
      </c>
      <c r="C4168" s="4" t="n">
        <v>9</v>
      </c>
      <c r="D4168" s="4" t="n">
        <v>8</v>
      </c>
      <c r="E4168" s="4" t="s">
        <v>1343</v>
      </c>
      <c r="F4168" s="4" t="n">
        <v>15</v>
      </c>
      <c r="G4168" s="4" t="n">
        <v>7</v>
      </c>
      <c r="H4168" s="4" t="n">
        <v>4</v>
      </c>
      <c r="I4168" s="4" t="str">
        <v>×</v>
      </c>
      <c r="J4168" s="4"/>
      <c r="K4168" s="4"/>
      <c r="L4168" s="4"/>
      <c r="M4168" s="5" t="s">
        <v>2677</v>
      </c>
    </row>
    <row r="4169" customFormat="false" ht="15.75" hidden="false" customHeight="false" outlineLevel="0" collapsed="false">
      <c r="A4169" s="3" t="n">
        <v>46201</v>
      </c>
      <c r="B4169" s="4" t="s">
        <v>1237</v>
      </c>
      <c r="C4169" s="4" t="n">
        <v>9</v>
      </c>
      <c r="D4169" s="4" t="n">
        <v>9</v>
      </c>
      <c r="E4169" s="4" t="s">
        <v>3540</v>
      </c>
      <c r="F4169" s="4" t="n">
        <v>4</v>
      </c>
      <c r="G4169" s="4" t="n">
        <v>8</v>
      </c>
      <c r="H4169" s="4" t="n">
        <v>4</v>
      </c>
      <c r="I4169" s="4" t="str">
        <v>×</v>
      </c>
      <c r="J4169" s="4"/>
      <c r="K4169" s="4"/>
      <c r="L4169" s="4"/>
      <c r="M4169" s="5" t="s">
        <v>2677</v>
      </c>
    </row>
    <row r="4170" customFormat="false" ht="15.75" hidden="false" customHeight="false" outlineLevel="0" collapsed="false">
      <c r="A4170" s="3" t="n">
        <v>46201</v>
      </c>
      <c r="B4170" s="4" t="s">
        <v>1237</v>
      </c>
      <c r="C4170" s="4" t="n">
        <v>9</v>
      </c>
      <c r="D4170" s="4" t="n">
        <v>10</v>
      </c>
      <c r="E4170" s="4" t="s">
        <v>907</v>
      </c>
      <c r="F4170" s="4" t="n">
        <v>1</v>
      </c>
      <c r="G4170" s="4" t="n">
        <v>10</v>
      </c>
      <c r="H4170" s="4" t="n">
        <v>4</v>
      </c>
      <c r="I4170" s="4" t="str">
        <v>×</v>
      </c>
      <c r="J4170" s="4"/>
      <c r="K4170" s="4"/>
      <c r="L4170" s="4"/>
      <c r="M4170" s="5" t="s">
        <v>2677</v>
      </c>
    </row>
    <row r="4171" customFormat="false" ht="15.75" hidden="false" customHeight="false" outlineLevel="0" collapsed="false">
      <c r="A4171" s="3" t="n">
        <v>46201</v>
      </c>
      <c r="B4171" s="4" t="s">
        <v>1237</v>
      </c>
      <c r="C4171" s="4" t="n">
        <v>10</v>
      </c>
      <c r="D4171" s="4" t="n">
        <v>1</v>
      </c>
      <c r="E4171" s="4" t="s">
        <v>3541</v>
      </c>
      <c r="F4171" s="4" t="n">
        <v>56</v>
      </c>
      <c r="G4171" s="4" t="n">
        <v>2</v>
      </c>
      <c r="H4171" s="4" t="n">
        <v>1</v>
      </c>
      <c r="I4171" s="4" t="str">
        <v>○</v>
      </c>
      <c r="J4171" s="4" t="n">
        <v>150</v>
      </c>
      <c r="K4171" s="4"/>
      <c r="L4171" s="4"/>
      <c r="M4171" s="5" t="s">
        <v>2677</v>
      </c>
    </row>
    <row r="4172" customFormat="false" ht="15.75" hidden="false" customHeight="false" outlineLevel="0" collapsed="false">
      <c r="A4172" s="3" t="n">
        <v>46201</v>
      </c>
      <c r="B4172" s="4" t="s">
        <v>1237</v>
      </c>
      <c r="C4172" s="4" t="n">
        <v>10</v>
      </c>
      <c r="D4172" s="4" t="n">
        <v>2</v>
      </c>
      <c r="E4172" s="4" t="s">
        <v>3542</v>
      </c>
      <c r="F4172" s="4" t="n">
        <v>10</v>
      </c>
      <c r="G4172" s="4" t="n">
        <v>10</v>
      </c>
      <c r="H4172" s="4" t="n">
        <v>4</v>
      </c>
      <c r="I4172" s="4" t="str">
        <v>×</v>
      </c>
      <c r="J4172" s="4"/>
      <c r="K4172" s="4"/>
      <c r="L4172" s="4"/>
      <c r="M4172" s="5" t="s">
        <v>2677</v>
      </c>
    </row>
    <row r="4173" customFormat="false" ht="15.75" hidden="false" customHeight="false" outlineLevel="0" collapsed="false">
      <c r="A4173" s="3" t="n">
        <v>46201</v>
      </c>
      <c r="B4173" s="4" t="s">
        <v>1237</v>
      </c>
      <c r="C4173" s="4" t="n">
        <v>10</v>
      </c>
      <c r="D4173" s="4" t="n">
        <v>3</v>
      </c>
      <c r="E4173" s="4" t="s">
        <v>3543</v>
      </c>
      <c r="F4173" s="4" t="n">
        <v>6</v>
      </c>
      <c r="G4173" s="4" t="n">
        <v>11</v>
      </c>
      <c r="H4173" s="4" t="n">
        <v>4</v>
      </c>
      <c r="I4173" s="4" t="str">
        <v>×</v>
      </c>
      <c r="J4173" s="4"/>
      <c r="K4173" s="4"/>
      <c r="L4173" s="4"/>
      <c r="M4173" s="5" t="s">
        <v>2677</v>
      </c>
    </row>
    <row r="4174" customFormat="false" ht="15.75" hidden="false" customHeight="false" outlineLevel="0" collapsed="false">
      <c r="A4174" s="3" t="n">
        <v>46201</v>
      </c>
      <c r="B4174" s="4" t="s">
        <v>1237</v>
      </c>
      <c r="C4174" s="4" t="n">
        <v>10</v>
      </c>
      <c r="D4174" s="4" t="n">
        <v>4</v>
      </c>
      <c r="E4174" s="4" t="s">
        <v>3544</v>
      </c>
      <c r="F4174" s="4" t="n">
        <v>34</v>
      </c>
      <c r="G4174" s="4" t="n">
        <v>4</v>
      </c>
      <c r="H4174" s="4" t="n">
        <v>4</v>
      </c>
      <c r="I4174" s="4" t="str">
        <v>×</v>
      </c>
      <c r="J4174" s="4"/>
      <c r="K4174" s="4"/>
      <c r="L4174" s="4"/>
      <c r="M4174" s="5" t="s">
        <v>2677</v>
      </c>
    </row>
    <row r="4175" customFormat="false" ht="15.75" hidden="false" customHeight="false" outlineLevel="0" collapsed="false">
      <c r="A4175" s="3" t="n">
        <v>46201</v>
      </c>
      <c r="B4175" s="4" t="s">
        <v>1237</v>
      </c>
      <c r="C4175" s="4" t="n">
        <v>10</v>
      </c>
      <c r="D4175" s="4" t="n">
        <v>5</v>
      </c>
      <c r="E4175" s="4" t="s">
        <v>3545</v>
      </c>
      <c r="F4175" s="4" t="n">
        <v>15</v>
      </c>
      <c r="G4175" s="4" t="n">
        <v>6</v>
      </c>
      <c r="H4175" s="4" t="n">
        <v>4</v>
      </c>
      <c r="I4175" s="4" t="str">
        <v>×</v>
      </c>
      <c r="J4175" s="4"/>
      <c r="K4175" s="4"/>
      <c r="L4175" s="4"/>
      <c r="M4175" s="5" t="s">
        <v>2677</v>
      </c>
    </row>
    <row r="4176" customFormat="false" ht="15.75" hidden="false" customHeight="false" outlineLevel="0" collapsed="false">
      <c r="A4176" s="3" t="n">
        <v>46201</v>
      </c>
      <c r="B4176" s="4" t="s">
        <v>1237</v>
      </c>
      <c r="C4176" s="4" t="n">
        <v>10</v>
      </c>
      <c r="D4176" s="4" t="n">
        <v>6</v>
      </c>
      <c r="E4176" s="4" t="s">
        <v>3546</v>
      </c>
      <c r="F4176" s="4" t="n">
        <v>37</v>
      </c>
      <c r="G4176" s="4" t="n">
        <v>3</v>
      </c>
      <c r="H4176" s="4" t="n">
        <v>3</v>
      </c>
      <c r="I4176" s="4" t="str">
        <v>○</v>
      </c>
      <c r="J4176" s="4" t="n">
        <v>160</v>
      </c>
      <c r="K4176" s="4"/>
      <c r="L4176" s="4"/>
      <c r="M4176" s="5" t="s">
        <v>2677</v>
      </c>
    </row>
    <row r="4177" customFormat="false" ht="15.75" hidden="false" customHeight="false" outlineLevel="0" collapsed="false">
      <c r="A4177" s="3" t="n">
        <v>46201</v>
      </c>
      <c r="B4177" s="4" t="s">
        <v>1237</v>
      </c>
      <c r="C4177" s="4" t="n">
        <v>10</v>
      </c>
      <c r="D4177" s="4" t="n">
        <v>7</v>
      </c>
      <c r="E4177" s="4" t="s">
        <v>1833</v>
      </c>
      <c r="F4177" s="4" t="n">
        <v>15</v>
      </c>
      <c r="G4177" s="4" t="n">
        <v>6</v>
      </c>
      <c r="H4177" s="4" t="n">
        <v>4</v>
      </c>
      <c r="I4177" s="4" t="str">
        <v>×</v>
      </c>
      <c r="J4177" s="4"/>
      <c r="K4177" s="4"/>
      <c r="L4177" s="4"/>
      <c r="M4177" s="5" t="s">
        <v>2677</v>
      </c>
    </row>
    <row r="4178" customFormat="false" ht="15.75" hidden="false" customHeight="false" outlineLevel="0" collapsed="false">
      <c r="A4178" s="3" t="n">
        <v>46201</v>
      </c>
      <c r="B4178" s="4" t="s">
        <v>1237</v>
      </c>
      <c r="C4178" s="4" t="n">
        <v>10</v>
      </c>
      <c r="D4178" s="4" t="n">
        <v>8</v>
      </c>
      <c r="E4178" s="4" t="s">
        <v>3547</v>
      </c>
      <c r="F4178" s="4" t="n">
        <v>13</v>
      </c>
      <c r="G4178" s="4" t="n">
        <v>8</v>
      </c>
      <c r="H4178" s="4" t="n">
        <v>4</v>
      </c>
      <c r="I4178" s="4" t="str">
        <v>×</v>
      </c>
      <c r="J4178" s="4"/>
      <c r="K4178" s="4"/>
      <c r="L4178" s="4"/>
      <c r="M4178" s="5" t="s">
        <v>2677</v>
      </c>
    </row>
    <row r="4179" customFormat="false" ht="15.75" hidden="false" customHeight="false" outlineLevel="0" collapsed="false">
      <c r="A4179" s="3" t="n">
        <v>46201</v>
      </c>
      <c r="B4179" s="4" t="s">
        <v>1237</v>
      </c>
      <c r="C4179" s="4" t="n">
        <v>10</v>
      </c>
      <c r="D4179" s="4" t="n">
        <v>9</v>
      </c>
      <c r="E4179" s="4" t="s">
        <v>3548</v>
      </c>
      <c r="F4179" s="4" t="n">
        <v>25</v>
      </c>
      <c r="G4179" s="4" t="n">
        <v>5</v>
      </c>
      <c r="H4179" s="4" t="n">
        <v>4</v>
      </c>
      <c r="I4179" s="4" t="str">
        <v>×</v>
      </c>
      <c r="J4179" s="4"/>
      <c r="K4179" s="4"/>
      <c r="L4179" s="4"/>
      <c r="M4179" s="5" t="s">
        <v>2677</v>
      </c>
    </row>
    <row r="4180" customFormat="false" ht="15.75" hidden="false" customHeight="false" outlineLevel="0" collapsed="false">
      <c r="A4180" s="3" t="n">
        <v>46201</v>
      </c>
      <c r="B4180" s="4" t="s">
        <v>1237</v>
      </c>
      <c r="C4180" s="4" t="n">
        <v>10</v>
      </c>
      <c r="D4180" s="4" t="n">
        <v>10</v>
      </c>
      <c r="E4180" s="4" t="s">
        <v>1830</v>
      </c>
      <c r="F4180" s="4" t="n">
        <v>71</v>
      </c>
      <c r="G4180" s="4" t="n">
        <v>1</v>
      </c>
      <c r="H4180" s="4" t="n">
        <v>2</v>
      </c>
      <c r="I4180" s="4" t="str">
        <v>○</v>
      </c>
      <c r="J4180" s="4" t="n">
        <v>130</v>
      </c>
      <c r="K4180" s="4"/>
      <c r="L4180" s="4"/>
      <c r="M4180" s="5" t="s">
        <v>2677</v>
      </c>
    </row>
    <row r="4181" customFormat="false" ht="15.75" hidden="false" customHeight="false" outlineLevel="0" collapsed="false">
      <c r="A4181" s="3" t="n">
        <v>46201</v>
      </c>
      <c r="B4181" s="4" t="s">
        <v>1237</v>
      </c>
      <c r="C4181" s="4" t="n">
        <v>10</v>
      </c>
      <c r="D4181" s="4" t="n">
        <v>11</v>
      </c>
      <c r="E4181" s="4" t="s">
        <v>3549</v>
      </c>
      <c r="F4181" s="4" t="n">
        <v>13</v>
      </c>
      <c r="G4181" s="4" t="n">
        <v>8</v>
      </c>
      <c r="H4181" s="4" t="n">
        <v>4</v>
      </c>
      <c r="I4181" s="4" t="str">
        <v>×</v>
      </c>
      <c r="J4181" s="4"/>
      <c r="K4181" s="4"/>
      <c r="L4181" s="4"/>
      <c r="M4181" s="5" t="s">
        <v>2677</v>
      </c>
    </row>
    <row r="4182" customFormat="false" ht="15.75" hidden="false" customHeight="false" outlineLevel="0" collapsed="false">
      <c r="A4182" s="3" t="n">
        <v>46201</v>
      </c>
      <c r="B4182" s="4" t="s">
        <v>1237</v>
      </c>
      <c r="C4182" s="4" t="n">
        <v>11</v>
      </c>
      <c r="D4182" s="4" t="n">
        <v>1</v>
      </c>
      <c r="E4182" s="4" t="s">
        <v>902</v>
      </c>
      <c r="F4182" s="4" t="n">
        <v>20</v>
      </c>
      <c r="G4182" s="4" t="n">
        <v>9</v>
      </c>
      <c r="H4182" s="4" t="n">
        <v>4</v>
      </c>
      <c r="I4182" s="4" t="str">
        <v>×</v>
      </c>
      <c r="J4182" s="4"/>
      <c r="K4182" s="4"/>
      <c r="L4182" s="4"/>
      <c r="M4182" s="5" t="s">
        <v>2677</v>
      </c>
    </row>
    <row r="4183" customFormat="false" ht="15.75" hidden="false" customHeight="false" outlineLevel="0" collapsed="false">
      <c r="A4183" s="3" t="n">
        <v>46201</v>
      </c>
      <c r="B4183" s="4" t="s">
        <v>1237</v>
      </c>
      <c r="C4183" s="4" t="n">
        <v>11</v>
      </c>
      <c r="D4183" s="4" t="n">
        <v>2</v>
      </c>
      <c r="E4183" s="4" t="s">
        <v>3550</v>
      </c>
      <c r="F4183" s="4" t="n">
        <v>15</v>
      </c>
      <c r="G4183" s="4" t="n">
        <v>11</v>
      </c>
      <c r="H4183" s="4" t="n">
        <v>1</v>
      </c>
      <c r="I4183" s="4" t="str">
        <v>○</v>
      </c>
      <c r="J4183" s="4" t="n">
        <v>540</v>
      </c>
      <c r="K4183" s="4"/>
      <c r="L4183" s="4"/>
      <c r="M4183" s="5" t="s">
        <v>2677</v>
      </c>
    </row>
    <row r="4184" customFormat="false" ht="15.75" hidden="false" customHeight="false" outlineLevel="0" collapsed="false">
      <c r="A4184" s="3" t="n">
        <v>46201</v>
      </c>
      <c r="B4184" s="4" t="s">
        <v>1237</v>
      </c>
      <c r="C4184" s="4" t="n">
        <v>11</v>
      </c>
      <c r="D4184" s="4" t="n">
        <v>3</v>
      </c>
      <c r="E4184" s="4" t="s">
        <v>3551</v>
      </c>
      <c r="F4184" s="4" t="n">
        <v>29</v>
      </c>
      <c r="G4184" s="4" t="n">
        <v>3</v>
      </c>
      <c r="H4184" s="4" t="n">
        <v>3</v>
      </c>
      <c r="I4184" s="4" t="str">
        <v>○</v>
      </c>
      <c r="J4184" s="4" t="n">
        <v>540</v>
      </c>
      <c r="K4184" s="4"/>
      <c r="L4184" s="4"/>
      <c r="M4184" s="5" t="s">
        <v>2677</v>
      </c>
    </row>
    <row r="4185" customFormat="false" ht="15.75" hidden="false" customHeight="false" outlineLevel="0" collapsed="false">
      <c r="A4185" s="3" t="n">
        <v>46201</v>
      </c>
      <c r="B4185" s="4" t="s">
        <v>1237</v>
      </c>
      <c r="C4185" s="4" t="n">
        <v>11</v>
      </c>
      <c r="D4185" s="4" t="n">
        <v>4</v>
      </c>
      <c r="E4185" s="4" t="s">
        <v>3552</v>
      </c>
      <c r="F4185" s="4" t="n">
        <v>37</v>
      </c>
      <c r="G4185" s="4" t="n">
        <v>2</v>
      </c>
      <c r="H4185" s="4" t="n">
        <v>4</v>
      </c>
      <c r="I4185" s="4" t="str">
        <v>×</v>
      </c>
      <c r="J4185" s="4"/>
      <c r="K4185" s="4"/>
      <c r="L4185" s="4"/>
      <c r="M4185" s="5" t="s">
        <v>2677</v>
      </c>
    </row>
    <row r="4186" customFormat="false" ht="15.75" hidden="false" customHeight="false" outlineLevel="0" collapsed="false">
      <c r="A4186" s="3" t="n">
        <v>46201</v>
      </c>
      <c r="B4186" s="4" t="s">
        <v>1237</v>
      </c>
      <c r="C4186" s="4" t="n">
        <v>11</v>
      </c>
      <c r="D4186" s="4" t="n">
        <v>5</v>
      </c>
      <c r="E4186" s="4" t="s">
        <v>1363</v>
      </c>
      <c r="F4186" s="4" t="n">
        <v>23</v>
      </c>
      <c r="G4186" s="4" t="n">
        <v>5</v>
      </c>
      <c r="H4186" s="4" t="n">
        <v>4</v>
      </c>
      <c r="I4186" s="4" t="str">
        <v>×</v>
      </c>
      <c r="J4186" s="4"/>
      <c r="K4186" s="4"/>
      <c r="L4186" s="4"/>
      <c r="M4186" s="5" t="s">
        <v>2677</v>
      </c>
    </row>
    <row r="4187" customFormat="false" ht="15.75" hidden="false" customHeight="false" outlineLevel="0" collapsed="false">
      <c r="A4187" s="3" t="n">
        <v>46201</v>
      </c>
      <c r="B4187" s="4" t="s">
        <v>1237</v>
      </c>
      <c r="C4187" s="4" t="n">
        <v>11</v>
      </c>
      <c r="D4187" s="4" t="n">
        <v>6</v>
      </c>
      <c r="E4187" s="4" t="s">
        <v>3553</v>
      </c>
      <c r="F4187" s="4" t="n">
        <v>13</v>
      </c>
      <c r="G4187" s="4" t="n">
        <v>13</v>
      </c>
      <c r="H4187" s="4" t="n">
        <v>4</v>
      </c>
      <c r="I4187" s="4" t="str">
        <v>×</v>
      </c>
      <c r="J4187" s="4"/>
      <c r="K4187" s="4"/>
      <c r="L4187" s="4"/>
      <c r="M4187" s="5" t="s">
        <v>2677</v>
      </c>
    </row>
    <row r="4188" customFormat="false" ht="15.75" hidden="false" customHeight="false" outlineLevel="0" collapsed="false">
      <c r="A4188" s="3" t="n">
        <v>46201</v>
      </c>
      <c r="B4188" s="4" t="s">
        <v>1237</v>
      </c>
      <c r="C4188" s="4" t="n">
        <v>11</v>
      </c>
      <c r="D4188" s="4" t="n">
        <v>7</v>
      </c>
      <c r="E4188" s="4" t="s">
        <v>3554</v>
      </c>
      <c r="F4188" s="4" t="n">
        <v>23</v>
      </c>
      <c r="G4188" s="4" t="n">
        <v>5</v>
      </c>
      <c r="H4188" s="4" t="n">
        <v>4</v>
      </c>
      <c r="I4188" s="4" t="str">
        <v>×</v>
      </c>
      <c r="J4188" s="4"/>
      <c r="K4188" s="4"/>
      <c r="L4188" s="4"/>
      <c r="M4188" s="5" t="s">
        <v>2677</v>
      </c>
    </row>
    <row r="4189" customFormat="false" ht="15.75" hidden="false" customHeight="false" outlineLevel="0" collapsed="false">
      <c r="A4189" s="3" t="n">
        <v>46201</v>
      </c>
      <c r="B4189" s="4" t="s">
        <v>1237</v>
      </c>
      <c r="C4189" s="4" t="n">
        <v>11</v>
      </c>
      <c r="D4189" s="4" t="n">
        <v>8</v>
      </c>
      <c r="E4189" s="4" t="s">
        <v>3555</v>
      </c>
      <c r="F4189" s="4" t="n">
        <v>23</v>
      </c>
      <c r="G4189" s="4" t="n">
        <v>5</v>
      </c>
      <c r="H4189" s="4" t="n">
        <v>4</v>
      </c>
      <c r="I4189" s="4" t="str">
        <v>×</v>
      </c>
      <c r="J4189" s="4"/>
      <c r="K4189" s="4"/>
      <c r="L4189" s="4"/>
      <c r="M4189" s="5" t="s">
        <v>2677</v>
      </c>
    </row>
    <row r="4190" customFormat="false" ht="15.75" hidden="false" customHeight="false" outlineLevel="0" collapsed="false">
      <c r="A4190" s="3" t="n">
        <v>46201</v>
      </c>
      <c r="B4190" s="4" t="s">
        <v>1237</v>
      </c>
      <c r="C4190" s="4" t="n">
        <v>11</v>
      </c>
      <c r="D4190" s="4" t="n">
        <v>9</v>
      </c>
      <c r="E4190" s="4" t="s">
        <v>2408</v>
      </c>
      <c r="F4190" s="4" t="n">
        <v>6</v>
      </c>
      <c r="G4190" s="4" t="n">
        <v>15</v>
      </c>
      <c r="H4190" s="4" t="n">
        <v>4</v>
      </c>
      <c r="I4190" s="4" t="str">
        <v>×</v>
      </c>
      <c r="J4190" s="4"/>
      <c r="K4190" s="4"/>
      <c r="L4190" s="4"/>
      <c r="M4190" s="5" t="s">
        <v>2677</v>
      </c>
    </row>
    <row r="4191" customFormat="false" ht="15.75" hidden="false" customHeight="false" outlineLevel="0" collapsed="false">
      <c r="A4191" s="3" t="n">
        <v>46201</v>
      </c>
      <c r="B4191" s="4" t="s">
        <v>1237</v>
      </c>
      <c r="C4191" s="4" t="n">
        <v>11</v>
      </c>
      <c r="D4191" s="4" t="n">
        <v>10</v>
      </c>
      <c r="E4191" s="4" t="s">
        <v>3556</v>
      </c>
      <c r="F4191" s="4" t="n">
        <v>20</v>
      </c>
      <c r="G4191" s="4" t="n">
        <v>9</v>
      </c>
      <c r="H4191" s="4" t="n">
        <v>2</v>
      </c>
      <c r="I4191" s="4" t="str">
        <v>○</v>
      </c>
      <c r="J4191" s="4" t="n">
        <v>410</v>
      </c>
      <c r="K4191" s="4"/>
      <c r="L4191" s="4"/>
      <c r="M4191" s="5" t="s">
        <v>2677</v>
      </c>
    </row>
    <row r="4192" customFormat="false" ht="15.75" hidden="false" customHeight="false" outlineLevel="0" collapsed="false">
      <c r="A4192" s="3" t="n">
        <v>46201</v>
      </c>
      <c r="B4192" s="4" t="s">
        <v>1237</v>
      </c>
      <c r="C4192" s="4" t="n">
        <v>11</v>
      </c>
      <c r="D4192" s="4" t="n">
        <v>11</v>
      </c>
      <c r="E4192" s="4" t="s">
        <v>3557</v>
      </c>
      <c r="F4192" s="4" t="n">
        <v>29</v>
      </c>
      <c r="G4192" s="4" t="n">
        <v>3</v>
      </c>
      <c r="H4192" s="4" t="n">
        <v>4</v>
      </c>
      <c r="I4192" s="4" t="str">
        <v>×</v>
      </c>
      <c r="J4192" s="4"/>
      <c r="K4192" s="4"/>
      <c r="L4192" s="4"/>
      <c r="M4192" s="5" t="s">
        <v>2677</v>
      </c>
    </row>
    <row r="4193" customFormat="false" ht="15.75" hidden="false" customHeight="false" outlineLevel="0" collapsed="false">
      <c r="A4193" s="3" t="n">
        <v>46201</v>
      </c>
      <c r="B4193" s="4" t="s">
        <v>1237</v>
      </c>
      <c r="C4193" s="4" t="n">
        <v>11</v>
      </c>
      <c r="D4193" s="4" t="n">
        <v>12</v>
      </c>
      <c r="E4193" s="4" t="s">
        <v>3558</v>
      </c>
      <c r="F4193" s="4" t="n">
        <v>23</v>
      </c>
      <c r="G4193" s="4" t="n">
        <v>5</v>
      </c>
      <c r="H4193" s="4" t="n">
        <v>4</v>
      </c>
      <c r="I4193" s="4" t="str">
        <v>×</v>
      </c>
      <c r="J4193" s="4"/>
      <c r="K4193" s="4"/>
      <c r="L4193" s="4"/>
      <c r="M4193" s="5" t="s">
        <v>2677</v>
      </c>
    </row>
    <row r="4194" customFormat="false" ht="15.75" hidden="false" customHeight="false" outlineLevel="0" collapsed="false">
      <c r="A4194" s="3" t="n">
        <v>46201</v>
      </c>
      <c r="B4194" s="4" t="s">
        <v>1237</v>
      </c>
      <c r="C4194" s="4" t="n">
        <v>11</v>
      </c>
      <c r="D4194" s="4" t="n">
        <v>13</v>
      </c>
      <c r="E4194" s="4" t="s">
        <v>3559</v>
      </c>
      <c r="F4194" s="4" t="n">
        <v>8</v>
      </c>
      <c r="G4194" s="4" t="n">
        <v>14</v>
      </c>
      <c r="H4194" s="4" t="n">
        <v>4</v>
      </c>
      <c r="I4194" s="4" t="str">
        <v>×</v>
      </c>
      <c r="J4194" s="4"/>
      <c r="K4194" s="4"/>
      <c r="L4194" s="4"/>
      <c r="M4194" s="5" t="s">
        <v>2677</v>
      </c>
    </row>
    <row r="4195" customFormat="false" ht="15.75" hidden="false" customHeight="false" outlineLevel="0" collapsed="false">
      <c r="A4195" s="3" t="n">
        <v>46201</v>
      </c>
      <c r="B4195" s="4" t="s">
        <v>1237</v>
      </c>
      <c r="C4195" s="4" t="n">
        <v>11</v>
      </c>
      <c r="D4195" s="4" t="n">
        <v>14</v>
      </c>
      <c r="E4195" s="4" t="s">
        <v>3560</v>
      </c>
      <c r="F4195" s="4" t="n">
        <v>15</v>
      </c>
      <c r="G4195" s="4" t="n">
        <v>11</v>
      </c>
      <c r="H4195" s="4" t="n">
        <v>4</v>
      </c>
      <c r="I4195" s="4" t="str">
        <v>×</v>
      </c>
      <c r="J4195" s="4"/>
      <c r="K4195" s="4"/>
      <c r="L4195" s="4"/>
      <c r="M4195" s="5" t="s">
        <v>2677</v>
      </c>
    </row>
    <row r="4196" customFormat="false" ht="15.75" hidden="false" customHeight="false" outlineLevel="0" collapsed="false">
      <c r="A4196" s="3" t="n">
        <v>46201</v>
      </c>
      <c r="B4196" s="4" t="s">
        <v>1237</v>
      </c>
      <c r="C4196" s="4" t="n">
        <v>11</v>
      </c>
      <c r="D4196" s="4" t="n">
        <v>15</v>
      </c>
      <c r="E4196" s="4" t="s">
        <v>3561</v>
      </c>
      <c r="F4196" s="4" t="n">
        <v>47</v>
      </c>
      <c r="G4196" s="4" t="n">
        <v>1</v>
      </c>
      <c r="H4196" s="4" t="n">
        <v>4</v>
      </c>
      <c r="I4196" s="4" t="str">
        <v>×</v>
      </c>
      <c r="J4196" s="4"/>
      <c r="K4196" s="4"/>
      <c r="L4196" s="4"/>
      <c r="M4196" s="5" t="s">
        <v>2677</v>
      </c>
    </row>
    <row r="4197" customFormat="false" ht="15.75" hidden="false" customHeight="false" outlineLevel="0" collapsed="false">
      <c r="A4197" s="3" t="n">
        <v>46201</v>
      </c>
      <c r="B4197" s="4" t="s">
        <v>1237</v>
      </c>
      <c r="C4197" s="4" t="n">
        <v>12</v>
      </c>
      <c r="D4197" s="4" t="n">
        <v>1</v>
      </c>
      <c r="E4197" s="4" t="s">
        <v>3562</v>
      </c>
      <c r="F4197" s="4" t="n">
        <v>15</v>
      </c>
      <c r="G4197" s="4" t="n">
        <v>9</v>
      </c>
      <c r="H4197" s="4" t="n">
        <v>4</v>
      </c>
      <c r="I4197" s="4" t="str">
        <v>×</v>
      </c>
      <c r="J4197" s="4"/>
      <c r="K4197" s="4"/>
      <c r="L4197" s="4"/>
      <c r="M4197" s="5" t="s">
        <v>2677</v>
      </c>
    </row>
    <row r="4198" customFormat="false" ht="15.75" hidden="false" customHeight="false" outlineLevel="0" collapsed="false">
      <c r="A4198" s="3" t="n">
        <v>46201</v>
      </c>
      <c r="B4198" s="4" t="s">
        <v>1237</v>
      </c>
      <c r="C4198" s="4" t="n">
        <v>12</v>
      </c>
      <c r="D4198" s="4" t="n">
        <v>2</v>
      </c>
      <c r="E4198" s="4" t="s">
        <v>2255</v>
      </c>
      <c r="F4198" s="4" t="n">
        <v>31</v>
      </c>
      <c r="G4198" s="4" t="n">
        <v>4</v>
      </c>
      <c r="H4198" s="4" t="n">
        <v>4</v>
      </c>
      <c r="I4198" s="4" t="str">
        <v>×</v>
      </c>
      <c r="J4198" s="4"/>
      <c r="K4198" s="4"/>
      <c r="L4198" s="4"/>
      <c r="M4198" s="5" t="s">
        <v>2677</v>
      </c>
    </row>
    <row r="4199" customFormat="false" ht="15.75" hidden="false" customHeight="false" outlineLevel="0" collapsed="false">
      <c r="A4199" s="3" t="n">
        <v>46201</v>
      </c>
      <c r="B4199" s="4" t="s">
        <v>1237</v>
      </c>
      <c r="C4199" s="4" t="n">
        <v>12</v>
      </c>
      <c r="D4199" s="4" t="n">
        <v>3</v>
      </c>
      <c r="E4199" s="4" t="s">
        <v>1355</v>
      </c>
      <c r="F4199" s="4" t="n">
        <v>2</v>
      </c>
      <c r="G4199" s="4" t="n">
        <v>13</v>
      </c>
      <c r="H4199" s="4" t="n">
        <v>4</v>
      </c>
      <c r="I4199" s="4" t="str">
        <v>×</v>
      </c>
      <c r="J4199" s="4"/>
      <c r="K4199" s="4"/>
      <c r="L4199" s="4"/>
      <c r="M4199" s="5" t="s">
        <v>2677</v>
      </c>
    </row>
    <row r="4200" customFormat="false" ht="15.75" hidden="false" customHeight="false" outlineLevel="0" collapsed="false">
      <c r="A4200" s="3" t="n">
        <v>46201</v>
      </c>
      <c r="B4200" s="4" t="s">
        <v>1237</v>
      </c>
      <c r="C4200" s="4" t="n">
        <v>12</v>
      </c>
      <c r="D4200" s="4" t="n">
        <v>4</v>
      </c>
      <c r="E4200" s="4" t="s">
        <v>3563</v>
      </c>
      <c r="F4200" s="4" t="n">
        <v>37</v>
      </c>
      <c r="G4200" s="4" t="n">
        <v>2</v>
      </c>
      <c r="H4200" s="4" t="n">
        <v>4</v>
      </c>
      <c r="I4200" s="4" t="str">
        <v>×</v>
      </c>
      <c r="J4200" s="4"/>
      <c r="K4200" s="4"/>
      <c r="L4200" s="4"/>
      <c r="M4200" s="5" t="s">
        <v>2677</v>
      </c>
    </row>
    <row r="4201" customFormat="false" ht="15.75" hidden="false" customHeight="false" outlineLevel="0" collapsed="false">
      <c r="A4201" s="3" t="n">
        <v>46201</v>
      </c>
      <c r="B4201" s="4" t="s">
        <v>1237</v>
      </c>
      <c r="C4201" s="4" t="n">
        <v>12</v>
      </c>
      <c r="D4201" s="4" t="n">
        <v>5</v>
      </c>
      <c r="E4201" s="4" t="s">
        <v>2253</v>
      </c>
      <c r="F4201" s="4" t="n">
        <v>41</v>
      </c>
      <c r="G4201" s="4" t="n">
        <v>1</v>
      </c>
      <c r="H4201" s="4" t="n">
        <v>4</v>
      </c>
      <c r="I4201" s="4" t="str">
        <v>×</v>
      </c>
      <c r="J4201" s="4"/>
      <c r="K4201" s="4"/>
      <c r="L4201" s="4"/>
      <c r="M4201" s="5" t="s">
        <v>2677</v>
      </c>
    </row>
    <row r="4202" customFormat="false" ht="15.75" hidden="false" customHeight="false" outlineLevel="0" collapsed="false">
      <c r="A4202" s="3" t="n">
        <v>46201</v>
      </c>
      <c r="B4202" s="4" t="s">
        <v>1237</v>
      </c>
      <c r="C4202" s="4" t="n">
        <v>12</v>
      </c>
      <c r="D4202" s="4" t="n">
        <v>6</v>
      </c>
      <c r="E4202" s="4" t="s">
        <v>2257</v>
      </c>
      <c r="F4202" s="4" t="n">
        <v>31</v>
      </c>
      <c r="G4202" s="4" t="n">
        <v>4</v>
      </c>
      <c r="H4202" s="4" t="n">
        <v>4</v>
      </c>
      <c r="I4202" s="4" t="str">
        <v>×</v>
      </c>
      <c r="J4202" s="4"/>
      <c r="K4202" s="4"/>
      <c r="L4202" s="4"/>
      <c r="M4202" s="5" t="s">
        <v>2677</v>
      </c>
    </row>
    <row r="4203" customFormat="false" ht="15.75" hidden="false" customHeight="false" outlineLevel="0" collapsed="false">
      <c r="A4203" s="3" t="n">
        <v>46201</v>
      </c>
      <c r="B4203" s="4" t="s">
        <v>1237</v>
      </c>
      <c r="C4203" s="4" t="n">
        <v>12</v>
      </c>
      <c r="D4203" s="4" t="n">
        <v>7</v>
      </c>
      <c r="E4203" s="4" t="s">
        <v>3564</v>
      </c>
      <c r="F4203" s="4" t="n">
        <v>13</v>
      </c>
      <c r="G4203" s="4" t="n">
        <v>11</v>
      </c>
      <c r="H4203" s="4" t="n">
        <v>3</v>
      </c>
      <c r="I4203" s="4" t="str">
        <v>○</v>
      </c>
      <c r="J4203" s="4" t="n">
        <v>2520</v>
      </c>
      <c r="K4203" s="4"/>
      <c r="L4203" s="4"/>
      <c r="M4203" s="5" t="s">
        <v>2677</v>
      </c>
    </row>
    <row r="4204" customFormat="false" ht="15.75" hidden="false" customHeight="false" outlineLevel="0" collapsed="false">
      <c r="A4204" s="3" t="n">
        <v>46201</v>
      </c>
      <c r="B4204" s="4" t="s">
        <v>1237</v>
      </c>
      <c r="C4204" s="4" t="n">
        <v>12</v>
      </c>
      <c r="D4204" s="4" t="n">
        <v>8</v>
      </c>
      <c r="E4204" s="4" t="s">
        <v>3565</v>
      </c>
      <c r="F4204" s="4" t="n">
        <v>1</v>
      </c>
      <c r="G4204" s="4" t="n">
        <v>14</v>
      </c>
      <c r="H4204" s="4" t="n">
        <v>4</v>
      </c>
      <c r="I4204" s="4" t="str">
        <v>×</v>
      </c>
      <c r="J4204" s="4"/>
      <c r="K4204" s="4"/>
      <c r="L4204" s="4"/>
      <c r="M4204" s="5" t="s">
        <v>2677</v>
      </c>
    </row>
    <row r="4205" customFormat="false" ht="15.75" hidden="false" customHeight="false" outlineLevel="0" collapsed="false">
      <c r="A4205" s="3" t="n">
        <v>46201</v>
      </c>
      <c r="B4205" s="4" t="s">
        <v>1237</v>
      </c>
      <c r="C4205" s="4" t="n">
        <v>12</v>
      </c>
      <c r="D4205" s="4" t="n">
        <v>9</v>
      </c>
      <c r="E4205" s="4" t="s">
        <v>1357</v>
      </c>
      <c r="F4205" s="4" t="n">
        <v>29</v>
      </c>
      <c r="G4205" s="4" t="n">
        <v>7</v>
      </c>
      <c r="H4205" s="4" t="n">
        <v>4</v>
      </c>
      <c r="I4205" s="4" t="str">
        <v>×</v>
      </c>
      <c r="J4205" s="4"/>
      <c r="K4205" s="4"/>
      <c r="L4205" s="4"/>
      <c r="M4205" s="5" t="s">
        <v>2677</v>
      </c>
    </row>
    <row r="4206" customFormat="false" ht="15.75" hidden="false" customHeight="false" outlineLevel="0" collapsed="false">
      <c r="A4206" s="3" t="n">
        <v>46201</v>
      </c>
      <c r="B4206" s="4" t="s">
        <v>1237</v>
      </c>
      <c r="C4206" s="4" t="n">
        <v>12</v>
      </c>
      <c r="D4206" s="4" t="n">
        <v>10</v>
      </c>
      <c r="E4206" s="4" t="s">
        <v>3566</v>
      </c>
      <c r="F4206" s="4" t="n">
        <v>31</v>
      </c>
      <c r="G4206" s="4" t="n">
        <v>4</v>
      </c>
      <c r="H4206" s="4" t="n">
        <v>4</v>
      </c>
      <c r="I4206" s="4" t="str">
        <v>×</v>
      </c>
      <c r="J4206" s="4"/>
      <c r="K4206" s="4"/>
      <c r="L4206" s="4"/>
      <c r="M4206" s="5" t="s">
        <v>2677</v>
      </c>
    </row>
    <row r="4207" customFormat="false" ht="15.75" hidden="false" customHeight="false" outlineLevel="0" collapsed="false">
      <c r="A4207" s="3" t="n">
        <v>46201</v>
      </c>
      <c r="B4207" s="4" t="s">
        <v>1237</v>
      </c>
      <c r="C4207" s="4" t="n">
        <v>12</v>
      </c>
      <c r="D4207" s="4" t="n">
        <v>11</v>
      </c>
      <c r="E4207" s="4" t="s">
        <v>2250</v>
      </c>
      <c r="F4207" s="4" t="n">
        <v>25</v>
      </c>
      <c r="G4207" s="4" t="n">
        <v>8</v>
      </c>
      <c r="H4207" s="4" t="n">
        <v>4</v>
      </c>
      <c r="I4207" s="4" t="str">
        <v>×</v>
      </c>
      <c r="J4207" s="4"/>
      <c r="K4207" s="4"/>
      <c r="L4207" s="4"/>
      <c r="M4207" s="5" t="s">
        <v>2677</v>
      </c>
    </row>
    <row r="4208" customFormat="false" ht="15.75" hidden="false" customHeight="false" outlineLevel="0" collapsed="false">
      <c r="A4208" s="3" t="n">
        <v>46201</v>
      </c>
      <c r="B4208" s="4" t="s">
        <v>1237</v>
      </c>
      <c r="C4208" s="4" t="n">
        <v>12</v>
      </c>
      <c r="D4208" s="4" t="n">
        <v>12</v>
      </c>
      <c r="E4208" s="4" t="s">
        <v>1997</v>
      </c>
      <c r="F4208" s="4" t="n">
        <v>15</v>
      </c>
      <c r="G4208" s="4" t="n">
        <v>9</v>
      </c>
      <c r="H4208" s="4" t="n">
        <v>1</v>
      </c>
      <c r="I4208" s="4" t="str">
        <v>○</v>
      </c>
      <c r="J4208" s="4" t="n">
        <v>470</v>
      </c>
      <c r="K4208" s="4"/>
      <c r="L4208" s="4"/>
      <c r="M4208" s="5" t="s">
        <v>2677</v>
      </c>
    </row>
    <row r="4209" customFormat="false" ht="15.75" hidden="false" customHeight="false" outlineLevel="0" collapsed="false">
      <c r="A4209" s="3" t="n">
        <v>46201</v>
      </c>
      <c r="B4209" s="4" t="s">
        <v>1237</v>
      </c>
      <c r="C4209" s="4" t="n">
        <v>12</v>
      </c>
      <c r="D4209" s="4" t="n">
        <v>13</v>
      </c>
      <c r="E4209" s="4" t="s">
        <v>3295</v>
      </c>
      <c r="F4209" s="4" t="n">
        <v>8</v>
      </c>
      <c r="G4209" s="4" t="n">
        <v>12</v>
      </c>
      <c r="H4209" s="4" t="n">
        <v>4</v>
      </c>
      <c r="I4209" s="4" t="str">
        <v>×</v>
      </c>
      <c r="J4209" s="4"/>
      <c r="K4209" s="4"/>
      <c r="L4209" s="4"/>
      <c r="M4209" s="5" t="s">
        <v>2677</v>
      </c>
    </row>
    <row r="4210" customFormat="false" ht="15.75" hidden="false" customHeight="false" outlineLevel="0" collapsed="false">
      <c r="A4210" s="3" t="n">
        <v>46201</v>
      </c>
      <c r="B4210" s="4" t="s">
        <v>1237</v>
      </c>
      <c r="C4210" s="4" t="n">
        <v>12</v>
      </c>
      <c r="D4210" s="4" t="n">
        <v>14</v>
      </c>
      <c r="E4210" s="4" t="s">
        <v>3567</v>
      </c>
      <c r="F4210" s="4" t="n">
        <v>37</v>
      </c>
      <c r="G4210" s="4" t="n">
        <v>2</v>
      </c>
      <c r="H4210" s="4" t="n">
        <v>2</v>
      </c>
      <c r="I4210" s="4" t="str">
        <v>○</v>
      </c>
      <c r="J4210" s="4" t="n">
        <v>200</v>
      </c>
      <c r="K4210" s="4"/>
      <c r="L4210" s="4"/>
      <c r="M4210" s="5" t="s">
        <v>2677</v>
      </c>
    </row>
    <row r="4211" customFormat="false" ht="15.75" hidden="false" customHeight="false" outlineLevel="0" collapsed="false">
      <c r="A4211" s="6" t="n">
        <f aca="false">DATE(2026,8,2)</f>
        <v>46236</v>
      </c>
      <c r="B4211" s="4" t="s">
        <v>334</v>
      </c>
      <c r="C4211" s="4" t="n">
        <v>10</v>
      </c>
      <c r="D4211" s="4" t="n">
        <v>8</v>
      </c>
      <c r="E4211" s="4" t="s">
        <v>3568</v>
      </c>
      <c r="F4211" s="4" t="n">
        <v>75</v>
      </c>
      <c r="G4211" s="4" t="n">
        <v>1</v>
      </c>
      <c r="H4211" s="4" t="n">
        <v>1</v>
      </c>
      <c r="I4211" s="4" t="str">
        <v>○</v>
      </c>
      <c r="J4211" s="4" t="n">
        <v>110</v>
      </c>
      <c r="K4211" s="4" t="n">
        <v>1.1</v>
      </c>
      <c r="L4211" s="4" t="n">
        <v>1.1</v>
      </c>
      <c r="M4211" s="5" t="s">
        <v>3569</v>
      </c>
    </row>
    <row r="4212" customFormat="false" ht="15.75" hidden="false" customHeight="false" outlineLevel="0" collapsed="false">
      <c r="A4212" s="6" t="n">
        <f aca="false">DATE(2026,8,2)</f>
        <v>46236</v>
      </c>
      <c r="B4212" s="4" t="s">
        <v>13</v>
      </c>
      <c r="C4212" s="4" t="n">
        <v>5</v>
      </c>
      <c r="D4212" s="4" t="n">
        <v>7</v>
      </c>
      <c r="E4212" s="4" t="s">
        <v>3570</v>
      </c>
      <c r="F4212" s="4" t="n">
        <v>75</v>
      </c>
      <c r="G4212" s="4" t="n">
        <v>1</v>
      </c>
      <c r="H4212" s="4" t="n">
        <v>3</v>
      </c>
      <c r="I4212" s="4" t="str">
        <v>○</v>
      </c>
      <c r="J4212" s="4" t="n">
        <v>140</v>
      </c>
      <c r="K4212" s="4" t="n">
        <v>1.4</v>
      </c>
      <c r="L4212" s="4" t="n">
        <v>1.4</v>
      </c>
      <c r="M4212" s="5" t="s">
        <v>3571</v>
      </c>
    </row>
    <row r="4213" customFormat="false" ht="15.75" hidden="false" customHeight="false" outlineLevel="0" collapsed="false">
      <c r="A4213" s="6" t="n">
        <f aca="false">DATE(2026,8,2)</f>
        <v>46236</v>
      </c>
      <c r="B4213" s="4" t="s">
        <v>179</v>
      </c>
      <c r="C4213" s="4" t="n">
        <v>11</v>
      </c>
      <c r="D4213" s="4" t="n">
        <v>4</v>
      </c>
      <c r="E4213" s="4" t="s">
        <v>2130</v>
      </c>
      <c r="F4213" s="4" t="n">
        <v>74</v>
      </c>
      <c r="G4213" s="4" t="n">
        <v>1</v>
      </c>
      <c r="H4213" s="4" t="n">
        <v>4</v>
      </c>
      <c r="I4213" s="4" t="str">
        <v>×</v>
      </c>
      <c r="J4213" s="4"/>
      <c r="K4213" s="4"/>
      <c r="L4213" s="4"/>
      <c r="M4213" s="5" t="s">
        <v>3572</v>
      </c>
    </row>
    <row r="4214" customFormat="false" ht="15.75" hidden="false" customHeight="false" outlineLevel="0" collapsed="false">
      <c r="A4214" s="6" t="n">
        <f aca="false">DATE(2026,8,2)</f>
        <v>46236</v>
      </c>
      <c r="B4214" s="4" t="s">
        <v>13</v>
      </c>
      <c r="C4214" s="4" t="n">
        <v>1</v>
      </c>
      <c r="D4214" s="4" t="n">
        <v>4</v>
      </c>
      <c r="E4214" s="4" t="s">
        <v>930</v>
      </c>
      <c r="F4214" s="4" t="n">
        <v>74</v>
      </c>
      <c r="G4214" s="4" t="n">
        <v>1</v>
      </c>
      <c r="H4214" s="4" t="n">
        <v>3</v>
      </c>
      <c r="I4214" s="4" t="str">
        <v>○</v>
      </c>
      <c r="J4214" s="4" t="n">
        <v>120</v>
      </c>
      <c r="K4214" s="4" t="n">
        <v>1.2</v>
      </c>
      <c r="L4214" s="4" t="n">
        <v>1.2</v>
      </c>
      <c r="M4214" s="5" t="s">
        <v>3573</v>
      </c>
    </row>
    <row r="4215" customFormat="false" ht="15.75" hidden="false" customHeight="false" outlineLevel="0" collapsed="false">
      <c r="A4215" s="6" t="n">
        <f aca="false">DATE(2026,8,2)</f>
        <v>46236</v>
      </c>
      <c r="B4215" s="4" t="s">
        <v>13</v>
      </c>
      <c r="C4215" s="4" t="n">
        <v>10</v>
      </c>
      <c r="D4215" s="4" t="n">
        <v>10</v>
      </c>
      <c r="E4215" s="4" t="s">
        <v>3119</v>
      </c>
      <c r="F4215" s="4" t="n">
        <v>67</v>
      </c>
      <c r="G4215" s="4" t="n">
        <v>1</v>
      </c>
      <c r="H4215" s="4" t="n">
        <v>4</v>
      </c>
      <c r="I4215" s="4" t="str">
        <v>×</v>
      </c>
      <c r="J4215" s="4"/>
      <c r="K4215" s="4"/>
      <c r="L4215" s="4"/>
      <c r="M4215" s="5" t="s">
        <v>3574</v>
      </c>
    </row>
    <row r="4216" customFormat="false" ht="15.75" hidden="false" customHeight="false" outlineLevel="0" collapsed="false">
      <c r="A4216" s="6" t="n">
        <f aca="false">DATE(2026,8,2)</f>
        <v>46236</v>
      </c>
      <c r="B4216" s="4" t="s">
        <v>334</v>
      </c>
      <c r="C4216" s="4" t="n">
        <v>3</v>
      </c>
      <c r="D4216" s="4" t="n">
        <v>3</v>
      </c>
      <c r="E4216" s="4" t="s">
        <v>2701</v>
      </c>
      <c r="F4216" s="4" t="n">
        <v>71</v>
      </c>
      <c r="G4216" s="4" t="n">
        <v>1</v>
      </c>
      <c r="H4216" s="4" t="n">
        <v>1</v>
      </c>
      <c r="I4216" s="4" t="str">
        <v>○</v>
      </c>
      <c r="J4216" s="4" t="n">
        <v>110</v>
      </c>
      <c r="K4216" s="4" t="n">
        <v>1.1</v>
      </c>
      <c r="L4216" s="4" t="n">
        <v>1.1</v>
      </c>
      <c r="M4216" s="5" t="s">
        <v>3575</v>
      </c>
    </row>
    <row r="4217" customFormat="false" ht="15.75" hidden="false" customHeight="false" outlineLevel="0" collapsed="false">
      <c r="A4217" s="6" t="n">
        <f aca="false">DATE(2026,8,2)</f>
        <v>46236</v>
      </c>
      <c r="B4217" s="4" t="s">
        <v>334</v>
      </c>
      <c r="C4217" s="4" t="n">
        <v>3</v>
      </c>
      <c r="D4217" s="4" t="n">
        <v>8</v>
      </c>
      <c r="E4217" s="4" t="s">
        <v>3258</v>
      </c>
      <c r="F4217" s="4" t="n">
        <v>71</v>
      </c>
      <c r="G4217" s="4" t="n">
        <v>1</v>
      </c>
      <c r="H4217" s="4" t="n">
        <v>2</v>
      </c>
      <c r="I4217" s="4" t="str">
        <v>○</v>
      </c>
      <c r="J4217" s="4" t="n">
        <v>110</v>
      </c>
      <c r="K4217" s="4" t="n">
        <v>1.1</v>
      </c>
      <c r="L4217" s="4" t="n">
        <v>1.1</v>
      </c>
      <c r="M4217" s="5" t="s">
        <v>3576</v>
      </c>
    </row>
    <row r="4218" customFormat="false" ht="15.75" hidden="false" customHeight="false" outlineLevel="0" collapsed="false">
      <c r="A4218" s="3" t="n">
        <v>46235</v>
      </c>
      <c r="B4218" s="4" t="s">
        <v>179</v>
      </c>
      <c r="C4218" s="4" t="n">
        <v>1</v>
      </c>
      <c r="D4218" s="4" t="n">
        <v>1</v>
      </c>
      <c r="E4218" s="4" t="s">
        <v>3164</v>
      </c>
      <c r="F4218" s="4" t="n">
        <v>17</v>
      </c>
      <c r="G4218" s="4" t="n">
        <v>7</v>
      </c>
      <c r="H4218" s="4" t="n">
        <v>4</v>
      </c>
      <c r="I4218" s="4" t="str">
        <v>×</v>
      </c>
      <c r="J4218" s="4"/>
      <c r="K4218" s="4"/>
      <c r="L4218" s="4"/>
      <c r="M4218" s="7" t="s">
        <v>3577</v>
      </c>
    </row>
    <row r="4219" customFormat="false" ht="15.75" hidden="false" customHeight="false" outlineLevel="0" collapsed="false">
      <c r="A4219" s="3" t="n">
        <v>46235</v>
      </c>
      <c r="B4219" s="4" t="s">
        <v>179</v>
      </c>
      <c r="C4219" s="4" t="n">
        <v>1</v>
      </c>
      <c r="D4219" s="4" t="n">
        <v>2</v>
      </c>
      <c r="E4219" s="4" t="s">
        <v>1905</v>
      </c>
      <c r="F4219" s="4" t="n">
        <v>29</v>
      </c>
      <c r="G4219" s="4" t="n">
        <v>5</v>
      </c>
      <c r="H4219" s="4" t="n">
        <v>4</v>
      </c>
      <c r="I4219" s="4" t="str">
        <v>×</v>
      </c>
      <c r="J4219" s="4"/>
      <c r="K4219" s="4"/>
      <c r="L4219" s="4"/>
      <c r="M4219" s="7" t="s">
        <v>3577</v>
      </c>
    </row>
    <row r="4220" customFormat="false" ht="15.75" hidden="false" customHeight="false" outlineLevel="0" collapsed="false">
      <c r="A4220" s="3" t="n">
        <v>46235</v>
      </c>
      <c r="B4220" s="4" t="s">
        <v>179</v>
      </c>
      <c r="C4220" s="4" t="n">
        <v>1</v>
      </c>
      <c r="D4220" s="4" t="n">
        <v>3</v>
      </c>
      <c r="E4220" s="4" t="s">
        <v>3578</v>
      </c>
      <c r="F4220" s="4" t="n">
        <v>65</v>
      </c>
      <c r="G4220" s="4" t="n">
        <v>1</v>
      </c>
      <c r="H4220" s="4" t="n">
        <v>4</v>
      </c>
      <c r="I4220" s="4" t="str">
        <v>×</v>
      </c>
      <c r="J4220" s="4"/>
      <c r="K4220" s="4"/>
      <c r="L4220" s="4"/>
      <c r="M4220" s="7" t="s">
        <v>3577</v>
      </c>
    </row>
    <row r="4221" customFormat="false" ht="15.75" hidden="false" customHeight="false" outlineLevel="0" collapsed="false">
      <c r="A4221" s="3" t="n">
        <v>46235</v>
      </c>
      <c r="B4221" s="4" t="s">
        <v>179</v>
      </c>
      <c r="C4221" s="4" t="n">
        <v>1</v>
      </c>
      <c r="D4221" s="4" t="n">
        <v>4</v>
      </c>
      <c r="E4221" s="4" t="s">
        <v>3171</v>
      </c>
      <c r="F4221" s="4" t="n">
        <v>23</v>
      </c>
      <c r="G4221" s="4" t="n">
        <v>6</v>
      </c>
      <c r="H4221" s="4" t="n">
        <v>4</v>
      </c>
      <c r="I4221" s="4" t="str">
        <v>×</v>
      </c>
      <c r="J4221" s="4"/>
      <c r="K4221" s="4"/>
      <c r="L4221" s="4"/>
      <c r="M4221" s="7" t="s">
        <v>3577</v>
      </c>
    </row>
    <row r="4222" customFormat="false" ht="15.75" hidden="false" customHeight="false" outlineLevel="0" collapsed="false">
      <c r="A4222" s="3" t="n">
        <v>46235</v>
      </c>
      <c r="B4222" s="4" t="s">
        <v>179</v>
      </c>
      <c r="C4222" s="4" t="n">
        <v>1</v>
      </c>
      <c r="D4222" s="4" t="n">
        <v>5</v>
      </c>
      <c r="E4222" s="4" t="s">
        <v>3579</v>
      </c>
      <c r="F4222" s="4" t="n">
        <v>13</v>
      </c>
      <c r="G4222" s="4" t="n">
        <v>10</v>
      </c>
      <c r="H4222" s="4" t="n">
        <v>4</v>
      </c>
      <c r="I4222" s="4" t="str">
        <v>×</v>
      </c>
      <c r="J4222" s="4"/>
      <c r="K4222" s="4"/>
      <c r="L4222" s="4"/>
      <c r="M4222" s="7" t="s">
        <v>3577</v>
      </c>
    </row>
    <row r="4223" customFormat="false" ht="15.75" hidden="false" customHeight="false" outlineLevel="0" collapsed="false">
      <c r="A4223" s="3" t="n">
        <v>46235</v>
      </c>
      <c r="B4223" s="4" t="s">
        <v>179</v>
      </c>
      <c r="C4223" s="4" t="n">
        <v>1</v>
      </c>
      <c r="D4223" s="4" t="n">
        <v>6</v>
      </c>
      <c r="E4223" s="4" t="s">
        <v>2484</v>
      </c>
      <c r="F4223" s="4" t="n">
        <v>17</v>
      </c>
      <c r="G4223" s="4" t="n">
        <v>7</v>
      </c>
      <c r="H4223" s="4" t="n">
        <v>4</v>
      </c>
      <c r="I4223" s="4" t="str">
        <v>×</v>
      </c>
      <c r="J4223" s="4"/>
      <c r="K4223" s="4"/>
      <c r="L4223" s="4"/>
      <c r="M4223" s="7" t="s">
        <v>3577</v>
      </c>
    </row>
    <row r="4224" customFormat="false" ht="15.75" hidden="false" customHeight="false" outlineLevel="0" collapsed="false">
      <c r="A4224" s="3" t="n">
        <v>46235</v>
      </c>
      <c r="B4224" s="4" t="s">
        <v>179</v>
      </c>
      <c r="C4224" s="4" t="n">
        <v>1</v>
      </c>
      <c r="D4224" s="4" t="n">
        <v>7</v>
      </c>
      <c r="E4224" s="4" t="s">
        <v>3172</v>
      </c>
      <c r="F4224" s="4" t="n">
        <v>34</v>
      </c>
      <c r="G4224" s="4" t="n">
        <v>3</v>
      </c>
      <c r="H4224" s="4" t="n">
        <v>1</v>
      </c>
      <c r="I4224" s="4" t="str">
        <v>○</v>
      </c>
      <c r="J4224" s="4" t="n">
        <v>180</v>
      </c>
      <c r="K4224" s="4"/>
      <c r="L4224" s="4"/>
      <c r="M4224" s="7" t="s">
        <v>3577</v>
      </c>
    </row>
    <row r="4225" customFormat="false" ht="15.75" hidden="false" customHeight="false" outlineLevel="0" collapsed="false">
      <c r="A4225" s="3" t="n">
        <v>46235</v>
      </c>
      <c r="B4225" s="4" t="s">
        <v>179</v>
      </c>
      <c r="C4225" s="4" t="n">
        <v>1</v>
      </c>
      <c r="D4225" s="4" t="n">
        <v>8</v>
      </c>
      <c r="E4225" s="4" t="s">
        <v>2480</v>
      </c>
      <c r="F4225" s="4" t="n">
        <v>37</v>
      </c>
      <c r="G4225" s="4" t="n">
        <v>2</v>
      </c>
      <c r="H4225" s="4" t="n">
        <v>2</v>
      </c>
      <c r="I4225" s="4" t="str">
        <v>○</v>
      </c>
      <c r="J4225" s="4" t="n">
        <v>140</v>
      </c>
      <c r="K4225" s="4"/>
      <c r="L4225" s="4"/>
      <c r="M4225" s="7" t="s">
        <v>3577</v>
      </c>
    </row>
    <row r="4226" customFormat="false" ht="15.75" hidden="false" customHeight="false" outlineLevel="0" collapsed="false">
      <c r="A4226" s="3" t="n">
        <v>46235</v>
      </c>
      <c r="B4226" s="4" t="s">
        <v>179</v>
      </c>
      <c r="C4226" s="4" t="n">
        <v>1</v>
      </c>
      <c r="D4226" s="4" t="n">
        <v>9</v>
      </c>
      <c r="E4226" s="4" t="s">
        <v>3580</v>
      </c>
      <c r="F4226" s="4" t="n">
        <v>17</v>
      </c>
      <c r="G4226" s="4" t="n">
        <v>7</v>
      </c>
      <c r="H4226" s="4" t="n">
        <v>4</v>
      </c>
      <c r="I4226" s="4" t="str">
        <v>×</v>
      </c>
      <c r="J4226" s="4"/>
      <c r="K4226" s="4"/>
      <c r="L4226" s="4"/>
      <c r="M4226" s="7" t="s">
        <v>3577</v>
      </c>
    </row>
    <row r="4227" customFormat="false" ht="15.75" hidden="false" customHeight="false" outlineLevel="0" collapsed="false">
      <c r="A4227" s="3" t="n">
        <v>46235</v>
      </c>
      <c r="B4227" s="4" t="s">
        <v>179</v>
      </c>
      <c r="C4227" s="4" t="n">
        <v>1</v>
      </c>
      <c r="D4227" s="4" t="n">
        <v>10</v>
      </c>
      <c r="E4227" s="4" t="s">
        <v>2080</v>
      </c>
      <c r="F4227" s="4" t="n">
        <v>32</v>
      </c>
      <c r="G4227" s="4" t="n">
        <v>4</v>
      </c>
      <c r="H4227" s="4" t="n">
        <v>3</v>
      </c>
      <c r="I4227" s="4" t="str">
        <v>○</v>
      </c>
      <c r="J4227" s="4" t="n">
        <v>400</v>
      </c>
      <c r="K4227" s="4"/>
      <c r="L4227" s="4"/>
      <c r="M4227" s="7" t="s">
        <v>3577</v>
      </c>
    </row>
    <row r="4228" customFormat="false" ht="15.75" hidden="false" customHeight="false" outlineLevel="0" collapsed="false">
      <c r="A4228" s="3" t="n">
        <v>46235</v>
      </c>
      <c r="B4228" s="4" t="s">
        <v>179</v>
      </c>
      <c r="C4228" s="4" t="n">
        <v>2</v>
      </c>
      <c r="D4228" s="4" t="n">
        <v>1</v>
      </c>
      <c r="E4228" s="4" t="s">
        <v>3581</v>
      </c>
      <c r="F4228" s="4" t="n">
        <v>21</v>
      </c>
      <c r="G4228" s="4" t="n">
        <v>4</v>
      </c>
      <c r="H4228" s="4" t="n">
        <v>4</v>
      </c>
      <c r="I4228" s="4" t="str">
        <v>×</v>
      </c>
      <c r="J4228" s="4"/>
      <c r="K4228" s="4"/>
      <c r="L4228" s="4"/>
      <c r="M4228" s="7" t="s">
        <v>3577</v>
      </c>
    </row>
    <row r="4229" customFormat="false" ht="15.75" hidden="false" customHeight="false" outlineLevel="0" collapsed="false">
      <c r="A4229" s="3" t="n">
        <v>46235</v>
      </c>
      <c r="B4229" s="4" t="s">
        <v>179</v>
      </c>
      <c r="C4229" s="4" t="n">
        <v>2</v>
      </c>
      <c r="D4229" s="4" t="n">
        <v>2</v>
      </c>
      <c r="E4229" s="4" t="s">
        <v>3582</v>
      </c>
      <c r="F4229" s="4" t="n">
        <v>8</v>
      </c>
      <c r="G4229" s="4" t="n">
        <v>12</v>
      </c>
      <c r="H4229" s="4" t="n">
        <v>4</v>
      </c>
      <c r="I4229" s="4" t="str">
        <v>×</v>
      </c>
      <c r="J4229" s="4"/>
      <c r="K4229" s="4"/>
      <c r="L4229" s="4"/>
      <c r="M4229" s="7" t="s">
        <v>3577</v>
      </c>
    </row>
    <row r="4230" customFormat="false" ht="15.75" hidden="false" customHeight="false" outlineLevel="0" collapsed="false">
      <c r="A4230" s="3" t="n">
        <v>46235</v>
      </c>
      <c r="B4230" s="4" t="s">
        <v>179</v>
      </c>
      <c r="C4230" s="4" t="n">
        <v>2</v>
      </c>
      <c r="D4230" s="4" t="n">
        <v>3</v>
      </c>
      <c r="E4230" s="4" t="s">
        <v>3583</v>
      </c>
      <c r="F4230" s="4" t="n">
        <v>16</v>
      </c>
      <c r="G4230" s="4" t="n">
        <v>6</v>
      </c>
      <c r="H4230" s="4" t="n">
        <v>4</v>
      </c>
      <c r="I4230" s="4" t="str">
        <v>×</v>
      </c>
      <c r="J4230" s="4"/>
      <c r="K4230" s="4"/>
      <c r="L4230" s="4"/>
      <c r="M4230" s="7" t="s">
        <v>3577</v>
      </c>
    </row>
    <row r="4231" customFormat="false" ht="15.75" hidden="false" customHeight="false" outlineLevel="0" collapsed="false">
      <c r="A4231" s="3" t="n">
        <v>46235</v>
      </c>
      <c r="B4231" s="4" t="s">
        <v>179</v>
      </c>
      <c r="C4231" s="4" t="n">
        <v>2</v>
      </c>
      <c r="D4231" s="4" t="n">
        <v>4</v>
      </c>
      <c r="E4231" s="4" t="s">
        <v>3584</v>
      </c>
      <c r="F4231" s="4" t="n">
        <v>16</v>
      </c>
      <c r="G4231" s="4" t="n">
        <v>6</v>
      </c>
      <c r="H4231" s="4" t="n">
        <v>4</v>
      </c>
      <c r="I4231" s="4" t="str">
        <v>×</v>
      </c>
      <c r="J4231" s="4"/>
      <c r="K4231" s="4"/>
      <c r="L4231" s="4"/>
      <c r="M4231" s="7" t="s">
        <v>3577</v>
      </c>
    </row>
    <row r="4232" customFormat="false" ht="15.75" hidden="false" customHeight="false" outlineLevel="0" collapsed="false">
      <c r="A4232" s="3" t="n">
        <v>46235</v>
      </c>
      <c r="B4232" s="4" t="s">
        <v>179</v>
      </c>
      <c r="C4232" s="4" t="n">
        <v>2</v>
      </c>
      <c r="D4232" s="4" t="n">
        <v>5</v>
      </c>
      <c r="E4232" s="4" t="s">
        <v>3585</v>
      </c>
      <c r="F4232" s="4" t="n">
        <v>16</v>
      </c>
      <c r="G4232" s="4" t="n">
        <v>6</v>
      </c>
      <c r="H4232" s="4" t="n">
        <v>4</v>
      </c>
      <c r="I4232" s="4" t="str">
        <v>×</v>
      </c>
      <c r="J4232" s="4"/>
      <c r="K4232" s="4"/>
      <c r="L4232" s="4"/>
      <c r="M4232" s="7" t="s">
        <v>3577</v>
      </c>
    </row>
    <row r="4233" customFormat="false" ht="15.75" hidden="false" customHeight="false" outlineLevel="0" collapsed="false">
      <c r="A4233" s="3" t="n">
        <v>46235</v>
      </c>
      <c r="B4233" s="4" t="s">
        <v>179</v>
      </c>
      <c r="C4233" s="4" t="n">
        <v>2</v>
      </c>
      <c r="D4233" s="4" t="n">
        <v>6</v>
      </c>
      <c r="E4233" s="4" t="s">
        <v>3586</v>
      </c>
      <c r="F4233" s="4" t="n">
        <v>21</v>
      </c>
      <c r="G4233" s="4" t="n">
        <v>4</v>
      </c>
      <c r="H4233" s="4" t="n">
        <v>3</v>
      </c>
      <c r="I4233" s="4" t="str">
        <v>○</v>
      </c>
      <c r="J4233" s="4" t="n">
        <v>190</v>
      </c>
      <c r="K4233" s="4"/>
      <c r="L4233" s="4"/>
      <c r="M4233" s="7" t="s">
        <v>3577</v>
      </c>
    </row>
    <row r="4234" customFormat="false" ht="15.75" hidden="false" customHeight="false" outlineLevel="0" collapsed="false">
      <c r="A4234" s="3" t="n">
        <v>46235</v>
      </c>
      <c r="B4234" s="4" t="s">
        <v>179</v>
      </c>
      <c r="C4234" s="4" t="n">
        <v>2</v>
      </c>
      <c r="D4234" s="4" t="n">
        <v>7</v>
      </c>
      <c r="E4234" s="4" t="s">
        <v>3587</v>
      </c>
      <c r="F4234" s="4" t="n">
        <v>24</v>
      </c>
      <c r="G4234" s="4" t="n">
        <v>3</v>
      </c>
      <c r="H4234" s="4" t="n">
        <v>4</v>
      </c>
      <c r="I4234" s="4" t="str">
        <v>×</v>
      </c>
      <c r="J4234" s="4"/>
      <c r="K4234" s="4"/>
      <c r="L4234" s="4"/>
      <c r="M4234" s="7" t="s">
        <v>3577</v>
      </c>
    </row>
    <row r="4235" customFormat="false" ht="15.75" hidden="false" customHeight="false" outlineLevel="0" collapsed="false">
      <c r="A4235" s="3" t="n">
        <v>46235</v>
      </c>
      <c r="B4235" s="4" t="s">
        <v>179</v>
      </c>
      <c r="C4235" s="4" t="n">
        <v>2</v>
      </c>
      <c r="D4235" s="4" t="n">
        <v>8</v>
      </c>
      <c r="E4235" s="4" t="s">
        <v>3588</v>
      </c>
      <c r="F4235" s="4" t="n">
        <v>8</v>
      </c>
      <c r="G4235" s="4" t="n">
        <v>12</v>
      </c>
      <c r="H4235" s="4" t="n">
        <v>1</v>
      </c>
      <c r="I4235" s="4" t="str">
        <v>○</v>
      </c>
      <c r="J4235" s="4" t="n">
        <v>150</v>
      </c>
      <c r="K4235" s="4"/>
      <c r="L4235" s="4"/>
      <c r="M4235" s="7" t="s">
        <v>3577</v>
      </c>
    </row>
    <row r="4236" customFormat="false" ht="15.75" hidden="false" customHeight="false" outlineLevel="0" collapsed="false">
      <c r="A4236" s="3" t="n">
        <v>46235</v>
      </c>
      <c r="B4236" s="4" t="s">
        <v>179</v>
      </c>
      <c r="C4236" s="4" t="n">
        <v>2</v>
      </c>
      <c r="D4236" s="4" t="n">
        <v>9</v>
      </c>
      <c r="E4236" s="4" t="s">
        <v>3589</v>
      </c>
      <c r="F4236" s="4" t="n">
        <v>16</v>
      </c>
      <c r="G4236" s="4" t="n">
        <v>6</v>
      </c>
      <c r="H4236" s="4" t="n">
        <v>4</v>
      </c>
      <c r="I4236" s="4" t="str">
        <v>×</v>
      </c>
      <c r="J4236" s="4"/>
      <c r="K4236" s="4"/>
      <c r="L4236" s="4"/>
      <c r="M4236" s="7" t="s">
        <v>3577</v>
      </c>
    </row>
    <row r="4237" customFormat="false" ht="15.75" hidden="false" customHeight="false" outlineLevel="0" collapsed="false">
      <c r="A4237" s="3" t="n">
        <v>46235</v>
      </c>
      <c r="B4237" s="4" t="s">
        <v>179</v>
      </c>
      <c r="C4237" s="4" t="n">
        <v>2</v>
      </c>
      <c r="D4237" s="4" t="n">
        <v>10</v>
      </c>
      <c r="E4237" s="4" t="s">
        <v>3590</v>
      </c>
      <c r="F4237" s="4" t="n">
        <v>27</v>
      </c>
      <c r="G4237" s="4" t="n">
        <v>2</v>
      </c>
      <c r="H4237" s="4" t="n">
        <v>4</v>
      </c>
      <c r="I4237" s="4" t="str">
        <v>×</v>
      </c>
      <c r="J4237" s="4"/>
      <c r="K4237" s="4"/>
      <c r="L4237" s="4"/>
      <c r="M4237" s="7" t="s">
        <v>3577</v>
      </c>
    </row>
    <row r="4238" customFormat="false" ht="15.75" hidden="false" customHeight="false" outlineLevel="0" collapsed="false">
      <c r="A4238" s="3" t="n">
        <v>46235</v>
      </c>
      <c r="B4238" s="4" t="s">
        <v>179</v>
      </c>
      <c r="C4238" s="4" t="n">
        <v>2</v>
      </c>
      <c r="D4238" s="4" t="n">
        <v>11</v>
      </c>
      <c r="E4238" s="4" t="s">
        <v>3591</v>
      </c>
      <c r="F4238" s="4" t="n">
        <v>16</v>
      </c>
      <c r="G4238" s="4" t="n">
        <v>6</v>
      </c>
      <c r="H4238" s="4" t="n">
        <v>4</v>
      </c>
      <c r="I4238" s="4" t="str">
        <v>×</v>
      </c>
      <c r="J4238" s="4"/>
      <c r="K4238" s="4"/>
      <c r="L4238" s="4"/>
      <c r="M4238" s="7" t="s">
        <v>3577</v>
      </c>
    </row>
    <row r="4239" customFormat="false" ht="15.75" hidden="false" customHeight="false" outlineLevel="0" collapsed="false">
      <c r="A4239" s="3" t="n">
        <v>46235</v>
      </c>
      <c r="B4239" s="4" t="s">
        <v>179</v>
      </c>
      <c r="C4239" s="4" t="n">
        <v>2</v>
      </c>
      <c r="D4239" s="4" t="n">
        <v>12</v>
      </c>
      <c r="E4239" s="4" t="s">
        <v>3592</v>
      </c>
      <c r="F4239" s="4" t="n">
        <v>12</v>
      </c>
      <c r="G4239" s="4" t="n">
        <v>11</v>
      </c>
      <c r="H4239" s="4" t="n">
        <v>4</v>
      </c>
      <c r="I4239" s="4" t="str">
        <v>×</v>
      </c>
      <c r="J4239" s="4"/>
      <c r="K4239" s="4"/>
      <c r="L4239" s="4"/>
      <c r="M4239" s="7" t="s">
        <v>3577</v>
      </c>
    </row>
    <row r="4240" customFormat="false" ht="15.75" hidden="false" customHeight="false" outlineLevel="0" collapsed="false">
      <c r="A4240" s="3" t="n">
        <v>46235</v>
      </c>
      <c r="B4240" s="4" t="s">
        <v>179</v>
      </c>
      <c r="C4240" s="4" t="n">
        <v>2</v>
      </c>
      <c r="D4240" s="4" t="n">
        <v>13</v>
      </c>
      <c r="E4240" s="4" t="s">
        <v>3593</v>
      </c>
      <c r="F4240" s="4" t="n">
        <v>31</v>
      </c>
      <c r="G4240" s="4" t="n">
        <v>1</v>
      </c>
      <c r="H4240" s="4" t="n">
        <v>2</v>
      </c>
      <c r="I4240" s="4" t="str">
        <v>○</v>
      </c>
      <c r="J4240" s="4" t="n">
        <v>130</v>
      </c>
      <c r="K4240" s="4"/>
      <c r="L4240" s="4"/>
      <c r="M4240" s="7" t="s">
        <v>3577</v>
      </c>
    </row>
    <row r="4241" customFormat="false" ht="15.75" hidden="false" customHeight="false" outlineLevel="0" collapsed="false">
      <c r="A4241" s="3" t="n">
        <v>46235</v>
      </c>
      <c r="B4241" s="4" t="s">
        <v>179</v>
      </c>
      <c r="C4241" s="4" t="n">
        <v>3</v>
      </c>
      <c r="D4241" s="4" t="n">
        <v>1</v>
      </c>
      <c r="E4241" s="4" t="s">
        <v>2463</v>
      </c>
      <c r="F4241" s="4" t="n">
        <v>23</v>
      </c>
      <c r="G4241" s="4" t="n">
        <v>5</v>
      </c>
      <c r="H4241" s="4" t="n">
        <v>4</v>
      </c>
      <c r="I4241" s="4" t="str">
        <v>×</v>
      </c>
      <c r="J4241" s="4"/>
      <c r="K4241" s="4"/>
      <c r="L4241" s="4"/>
      <c r="M4241" s="7" t="s">
        <v>3577</v>
      </c>
    </row>
    <row r="4242" customFormat="false" ht="15.75" hidden="false" customHeight="false" outlineLevel="0" collapsed="false">
      <c r="A4242" s="3" t="n">
        <v>46235</v>
      </c>
      <c r="B4242" s="4" t="s">
        <v>179</v>
      </c>
      <c r="C4242" s="4" t="n">
        <v>3</v>
      </c>
      <c r="D4242" s="4" t="n">
        <v>2</v>
      </c>
      <c r="E4242" s="4" t="s">
        <v>3594</v>
      </c>
      <c r="F4242" s="4" t="n">
        <v>8</v>
      </c>
      <c r="G4242" s="4" t="n">
        <v>9</v>
      </c>
      <c r="H4242" s="4" t="n">
        <v>2</v>
      </c>
      <c r="I4242" s="4" t="str">
        <v>○</v>
      </c>
      <c r="J4242" s="4" t="n">
        <v>230</v>
      </c>
      <c r="K4242" s="4"/>
      <c r="L4242" s="4"/>
      <c r="M4242" s="7" t="s">
        <v>3577</v>
      </c>
    </row>
    <row r="4243" customFormat="false" ht="15.75" hidden="false" customHeight="false" outlineLevel="0" collapsed="false">
      <c r="A4243" s="3" t="n">
        <v>46235</v>
      </c>
      <c r="B4243" s="4" t="s">
        <v>179</v>
      </c>
      <c r="C4243" s="4" t="n">
        <v>3</v>
      </c>
      <c r="D4243" s="4" t="n">
        <v>3</v>
      </c>
      <c r="E4243" s="4" t="s">
        <v>2459</v>
      </c>
      <c r="F4243" s="4" t="n">
        <v>8</v>
      </c>
      <c r="G4243" s="4" t="n">
        <v>9</v>
      </c>
      <c r="H4243" s="4" t="n">
        <v>4</v>
      </c>
      <c r="I4243" s="4" t="str">
        <v>×</v>
      </c>
      <c r="J4243" s="4"/>
      <c r="K4243" s="4"/>
      <c r="L4243" s="4"/>
      <c r="M4243" s="7" t="s">
        <v>3577</v>
      </c>
    </row>
    <row r="4244" customFormat="false" ht="15.75" hidden="false" customHeight="false" outlineLevel="0" collapsed="false">
      <c r="A4244" s="3" t="n">
        <v>46235</v>
      </c>
      <c r="B4244" s="4" t="s">
        <v>179</v>
      </c>
      <c r="C4244" s="4" t="n">
        <v>3</v>
      </c>
      <c r="D4244" s="4" t="n">
        <v>4</v>
      </c>
      <c r="E4244" s="4" t="s">
        <v>1604</v>
      </c>
      <c r="F4244" s="4" t="n">
        <v>15</v>
      </c>
      <c r="G4244" s="4" t="n">
        <v>7</v>
      </c>
      <c r="H4244" s="4" t="n">
        <v>4</v>
      </c>
      <c r="I4244" s="4" t="str">
        <v>×</v>
      </c>
      <c r="J4244" s="4"/>
      <c r="K4244" s="4"/>
      <c r="L4244" s="4"/>
      <c r="M4244" s="7" t="s">
        <v>3577</v>
      </c>
    </row>
    <row r="4245" customFormat="false" ht="15.75" hidden="false" customHeight="false" outlineLevel="0" collapsed="false">
      <c r="A4245" s="3" t="n">
        <v>46235</v>
      </c>
      <c r="B4245" s="4" t="s">
        <v>179</v>
      </c>
      <c r="C4245" s="4" t="n">
        <v>3</v>
      </c>
      <c r="D4245" s="4" t="n">
        <v>5</v>
      </c>
      <c r="E4245" s="4" t="s">
        <v>3273</v>
      </c>
      <c r="F4245" s="4" t="n">
        <v>29</v>
      </c>
      <c r="G4245" s="4" t="n">
        <v>4</v>
      </c>
      <c r="H4245" s="4" t="n">
        <v>3</v>
      </c>
      <c r="I4245" s="4" t="str">
        <v>○</v>
      </c>
      <c r="J4245" s="4" t="n">
        <v>200</v>
      </c>
      <c r="K4245" s="4"/>
      <c r="L4245" s="4"/>
      <c r="M4245" s="7" t="s">
        <v>3577</v>
      </c>
    </row>
    <row r="4246" customFormat="false" ht="15.75" hidden="false" customHeight="false" outlineLevel="0" collapsed="false">
      <c r="A4246" s="3" t="n">
        <v>46235</v>
      </c>
      <c r="B4246" s="4" t="s">
        <v>179</v>
      </c>
      <c r="C4246" s="4" t="n">
        <v>3</v>
      </c>
      <c r="D4246" s="4" t="n">
        <v>6</v>
      </c>
      <c r="E4246" s="4" t="s">
        <v>2479</v>
      </c>
      <c r="F4246" s="4" t="n">
        <v>15</v>
      </c>
      <c r="G4246" s="4" t="n">
        <v>7</v>
      </c>
      <c r="H4246" s="4" t="n">
        <v>4</v>
      </c>
      <c r="I4246" s="4" t="str">
        <v>×</v>
      </c>
      <c r="J4246" s="4"/>
      <c r="K4246" s="4"/>
      <c r="L4246" s="4"/>
      <c r="M4246" s="7" t="s">
        <v>3577</v>
      </c>
    </row>
    <row r="4247" customFormat="false" ht="15.75" hidden="false" customHeight="false" outlineLevel="0" collapsed="false">
      <c r="A4247" s="3" t="n">
        <v>46235</v>
      </c>
      <c r="B4247" s="4" t="s">
        <v>179</v>
      </c>
      <c r="C4247" s="4" t="n">
        <v>3</v>
      </c>
      <c r="D4247" s="4" t="n">
        <v>7</v>
      </c>
      <c r="E4247" s="4" t="s">
        <v>3595</v>
      </c>
      <c r="F4247" s="4" t="n">
        <v>34</v>
      </c>
      <c r="G4247" s="4" t="n">
        <v>2</v>
      </c>
      <c r="H4247" s="4" t="n">
        <v>4</v>
      </c>
      <c r="I4247" s="4" t="str">
        <v>×</v>
      </c>
      <c r="J4247" s="4"/>
      <c r="K4247" s="4"/>
      <c r="L4247" s="4"/>
      <c r="M4247" s="7" t="s">
        <v>3577</v>
      </c>
    </row>
    <row r="4248" customFormat="false" ht="15.75" hidden="false" customHeight="false" outlineLevel="0" collapsed="false">
      <c r="A4248" s="3" t="n">
        <v>46235</v>
      </c>
      <c r="B4248" s="4" t="s">
        <v>179</v>
      </c>
      <c r="C4248" s="4" t="n">
        <v>3</v>
      </c>
      <c r="D4248" s="4" t="n">
        <v>8</v>
      </c>
      <c r="E4248" s="4" t="s">
        <v>2028</v>
      </c>
      <c r="F4248" s="4" t="n">
        <v>17</v>
      </c>
      <c r="G4248" s="4" t="n">
        <v>6</v>
      </c>
      <c r="H4248" s="4" t="n">
        <v>4</v>
      </c>
      <c r="I4248" s="4" t="str">
        <v>×</v>
      </c>
      <c r="J4248" s="4"/>
      <c r="K4248" s="4"/>
      <c r="L4248" s="4"/>
      <c r="M4248" s="7" t="s">
        <v>3577</v>
      </c>
    </row>
    <row r="4249" customFormat="false" ht="15.75" hidden="false" customHeight="false" outlineLevel="0" collapsed="false">
      <c r="A4249" s="3" t="n">
        <v>46235</v>
      </c>
      <c r="B4249" s="4" t="s">
        <v>179</v>
      </c>
      <c r="C4249" s="4" t="n">
        <v>3</v>
      </c>
      <c r="D4249" s="4" t="n">
        <v>9</v>
      </c>
      <c r="E4249" s="4" t="s">
        <v>1606</v>
      </c>
      <c r="F4249" s="4" t="n">
        <v>6</v>
      </c>
      <c r="G4249" s="4" t="n">
        <v>11</v>
      </c>
      <c r="H4249" s="4" t="n">
        <v>4</v>
      </c>
      <c r="I4249" s="4" t="str">
        <v>×</v>
      </c>
      <c r="J4249" s="4"/>
      <c r="K4249" s="4"/>
      <c r="L4249" s="4"/>
      <c r="M4249" s="7" t="s">
        <v>3577</v>
      </c>
    </row>
    <row r="4250" customFormat="false" ht="15.75" hidden="false" customHeight="false" outlineLevel="0" collapsed="false">
      <c r="A4250" s="3" t="n">
        <v>46235</v>
      </c>
      <c r="B4250" s="4" t="s">
        <v>179</v>
      </c>
      <c r="C4250" s="4" t="n">
        <v>3</v>
      </c>
      <c r="D4250" s="4" t="n">
        <v>10</v>
      </c>
      <c r="E4250" s="4" t="s">
        <v>2838</v>
      </c>
      <c r="F4250" s="4" t="n">
        <v>31</v>
      </c>
      <c r="G4250" s="4" t="n">
        <v>3</v>
      </c>
      <c r="H4250" s="4" t="n">
        <v>4</v>
      </c>
      <c r="I4250" s="4" t="str">
        <v>×</v>
      </c>
      <c r="J4250" s="4"/>
      <c r="K4250" s="4"/>
      <c r="L4250" s="4"/>
      <c r="M4250" s="7" t="s">
        <v>3577</v>
      </c>
    </row>
    <row r="4251" customFormat="false" ht="15.75" hidden="false" customHeight="false" outlineLevel="0" collapsed="false">
      <c r="A4251" s="3" t="n">
        <v>46235</v>
      </c>
      <c r="B4251" s="4" t="s">
        <v>179</v>
      </c>
      <c r="C4251" s="4" t="n">
        <v>3</v>
      </c>
      <c r="D4251" s="4" t="n">
        <v>11</v>
      </c>
      <c r="E4251" s="4" t="s">
        <v>2460</v>
      </c>
      <c r="F4251" s="4" t="n">
        <v>86</v>
      </c>
      <c r="G4251" s="4" t="n">
        <v>1</v>
      </c>
      <c r="H4251" s="4" t="n">
        <v>1</v>
      </c>
      <c r="I4251" s="4" t="str">
        <v>○</v>
      </c>
      <c r="J4251" s="4" t="n">
        <v>110</v>
      </c>
      <c r="K4251" s="4"/>
      <c r="L4251" s="4"/>
      <c r="M4251" s="7" t="s">
        <v>3577</v>
      </c>
    </row>
    <row r="4252" customFormat="false" ht="15.75" hidden="false" customHeight="false" outlineLevel="0" collapsed="false">
      <c r="A4252" s="3" t="n">
        <v>46235</v>
      </c>
      <c r="B4252" s="4" t="s">
        <v>179</v>
      </c>
      <c r="C4252" s="4" t="n">
        <v>3</v>
      </c>
      <c r="D4252" s="4" t="n">
        <v>12</v>
      </c>
      <c r="E4252" s="4" t="s">
        <v>2044</v>
      </c>
      <c r="F4252" s="4" t="n">
        <v>6</v>
      </c>
      <c r="G4252" s="4" t="n">
        <v>11</v>
      </c>
      <c r="H4252" s="4" t="n">
        <v>4</v>
      </c>
      <c r="I4252" s="4" t="str">
        <v>×</v>
      </c>
      <c r="J4252" s="4"/>
      <c r="K4252" s="4"/>
      <c r="L4252" s="4"/>
      <c r="M4252" s="7" t="s">
        <v>3577</v>
      </c>
    </row>
    <row r="4253" customFormat="false" ht="15.75" hidden="false" customHeight="false" outlineLevel="0" collapsed="false">
      <c r="A4253" s="3" t="n">
        <v>46235</v>
      </c>
      <c r="B4253" s="4" t="s">
        <v>179</v>
      </c>
      <c r="C4253" s="4" t="n">
        <v>3</v>
      </c>
      <c r="D4253" s="4" t="n">
        <v>13</v>
      </c>
      <c r="E4253" s="4" t="s">
        <v>1631</v>
      </c>
      <c r="F4253" s="4" t="n">
        <v>2</v>
      </c>
      <c r="G4253" s="4" t="n">
        <v>16</v>
      </c>
      <c r="H4253" s="4" t="n">
        <v>4</v>
      </c>
      <c r="I4253" s="4" t="str">
        <v>×</v>
      </c>
      <c r="J4253" s="4"/>
      <c r="K4253" s="4"/>
      <c r="L4253" s="4"/>
      <c r="M4253" s="7" t="s">
        <v>3577</v>
      </c>
    </row>
    <row r="4254" customFormat="false" ht="15.75" hidden="false" customHeight="false" outlineLevel="0" collapsed="false">
      <c r="A4254" s="3" t="n">
        <v>46235</v>
      </c>
      <c r="B4254" s="4" t="s">
        <v>179</v>
      </c>
      <c r="C4254" s="4" t="n">
        <v>3</v>
      </c>
      <c r="D4254" s="4" t="n">
        <v>14</v>
      </c>
      <c r="E4254" s="4" t="s">
        <v>1585</v>
      </c>
      <c r="F4254" s="4" t="n">
        <v>3</v>
      </c>
      <c r="G4254" s="4" t="n">
        <v>14</v>
      </c>
      <c r="H4254" s="4" t="n">
        <v>4</v>
      </c>
      <c r="I4254" s="4" t="str">
        <v>×</v>
      </c>
      <c r="J4254" s="4"/>
      <c r="K4254" s="4"/>
      <c r="L4254" s="4"/>
      <c r="M4254" s="7" t="s">
        <v>3577</v>
      </c>
    </row>
    <row r="4255" customFormat="false" ht="15.75" hidden="false" customHeight="false" outlineLevel="0" collapsed="false">
      <c r="A4255" s="3" t="n">
        <v>46235</v>
      </c>
      <c r="B4255" s="4" t="s">
        <v>179</v>
      </c>
      <c r="C4255" s="4" t="n">
        <v>3</v>
      </c>
      <c r="D4255" s="4" t="n">
        <v>15</v>
      </c>
      <c r="E4255" s="4" t="s">
        <v>3596</v>
      </c>
      <c r="F4255" s="4" t="n">
        <v>3</v>
      </c>
      <c r="G4255" s="4" t="n">
        <v>14</v>
      </c>
      <c r="H4255" s="4" t="n">
        <v>4</v>
      </c>
      <c r="I4255" s="4" t="str">
        <v>×</v>
      </c>
      <c r="J4255" s="4"/>
      <c r="K4255" s="4"/>
      <c r="L4255" s="4"/>
      <c r="M4255" s="7" t="s">
        <v>3577</v>
      </c>
    </row>
    <row r="4256" customFormat="false" ht="15.75" hidden="false" customHeight="false" outlineLevel="0" collapsed="false">
      <c r="A4256" s="3" t="n">
        <v>46235</v>
      </c>
      <c r="B4256" s="4" t="s">
        <v>179</v>
      </c>
      <c r="C4256" s="4" t="n">
        <v>3</v>
      </c>
      <c r="D4256" s="4" t="n">
        <v>16</v>
      </c>
      <c r="E4256" s="4" t="s">
        <v>3597</v>
      </c>
      <c r="F4256" s="4" t="n">
        <v>6</v>
      </c>
      <c r="G4256" s="4" t="n">
        <v>11</v>
      </c>
      <c r="H4256" s="4" t="n">
        <v>4</v>
      </c>
      <c r="I4256" s="4" t="str">
        <v>×</v>
      </c>
      <c r="J4256" s="4"/>
      <c r="K4256" s="4"/>
      <c r="L4256" s="4"/>
      <c r="M4256" s="7" t="s">
        <v>3577</v>
      </c>
    </row>
    <row r="4257" customFormat="false" ht="15.75" hidden="false" customHeight="false" outlineLevel="0" collapsed="false">
      <c r="A4257" s="3" t="n">
        <v>46235</v>
      </c>
      <c r="B4257" s="4" t="s">
        <v>179</v>
      </c>
      <c r="C4257" s="4" t="n">
        <v>4</v>
      </c>
      <c r="D4257" s="4" t="n">
        <v>1</v>
      </c>
      <c r="E4257" s="4" t="s">
        <v>3598</v>
      </c>
      <c r="F4257" s="4" t="n">
        <v>3</v>
      </c>
      <c r="G4257" s="4" t="n">
        <v>16</v>
      </c>
      <c r="H4257" s="4" t="n">
        <v>4</v>
      </c>
      <c r="I4257" s="4" t="str">
        <v>×</v>
      </c>
      <c r="J4257" s="4"/>
      <c r="K4257" s="4"/>
      <c r="L4257" s="4"/>
      <c r="M4257" s="7" t="s">
        <v>3577</v>
      </c>
    </row>
    <row r="4258" customFormat="false" ht="15.75" hidden="false" customHeight="false" outlineLevel="0" collapsed="false">
      <c r="A4258" s="3" t="n">
        <v>46235</v>
      </c>
      <c r="B4258" s="4" t="s">
        <v>179</v>
      </c>
      <c r="C4258" s="4" t="n">
        <v>4</v>
      </c>
      <c r="D4258" s="4" t="n">
        <v>2</v>
      </c>
      <c r="E4258" s="4" t="s">
        <v>3599</v>
      </c>
      <c r="F4258" s="4" t="n">
        <v>17</v>
      </c>
      <c r="G4258" s="4" t="n">
        <v>8</v>
      </c>
      <c r="H4258" s="4" t="n">
        <v>4</v>
      </c>
      <c r="I4258" s="4" t="str">
        <v>×</v>
      </c>
      <c r="J4258" s="4"/>
      <c r="K4258" s="4"/>
      <c r="L4258" s="4"/>
      <c r="M4258" s="7" t="s">
        <v>3577</v>
      </c>
    </row>
    <row r="4259" customFormat="false" ht="15.75" hidden="false" customHeight="false" outlineLevel="0" collapsed="false">
      <c r="A4259" s="3" t="n">
        <v>46235</v>
      </c>
      <c r="B4259" s="4" t="s">
        <v>179</v>
      </c>
      <c r="C4259" s="4" t="n">
        <v>4</v>
      </c>
      <c r="D4259" s="4" t="n">
        <v>3</v>
      </c>
      <c r="E4259" s="4" t="s">
        <v>1590</v>
      </c>
      <c r="F4259" s="4" t="n">
        <v>41</v>
      </c>
      <c r="G4259" s="4" t="n">
        <v>2</v>
      </c>
      <c r="H4259" s="4" t="n">
        <v>4</v>
      </c>
      <c r="I4259" s="4" t="str">
        <v>×</v>
      </c>
      <c r="J4259" s="4"/>
      <c r="K4259" s="4"/>
      <c r="L4259" s="4"/>
      <c r="M4259" s="7" t="s">
        <v>3577</v>
      </c>
    </row>
    <row r="4260" customFormat="false" ht="15.75" hidden="false" customHeight="false" outlineLevel="0" collapsed="false">
      <c r="A4260" s="3" t="n">
        <v>46235</v>
      </c>
      <c r="B4260" s="4" t="s">
        <v>179</v>
      </c>
      <c r="C4260" s="4" t="n">
        <v>4</v>
      </c>
      <c r="D4260" s="4" t="n">
        <v>4</v>
      </c>
      <c r="E4260" s="4" t="s">
        <v>3600</v>
      </c>
      <c r="F4260" s="4" t="n">
        <v>4</v>
      </c>
      <c r="G4260" s="4" t="n">
        <v>15</v>
      </c>
      <c r="H4260" s="4" t="n">
        <v>4</v>
      </c>
      <c r="I4260" s="4" t="str">
        <v>×</v>
      </c>
      <c r="J4260" s="4"/>
      <c r="K4260" s="4"/>
      <c r="L4260" s="4"/>
      <c r="M4260" s="7" t="s">
        <v>3577</v>
      </c>
    </row>
    <row r="4261" customFormat="false" ht="15.75" hidden="false" customHeight="false" outlineLevel="0" collapsed="false">
      <c r="A4261" s="3" t="n">
        <v>46235</v>
      </c>
      <c r="B4261" s="4" t="s">
        <v>179</v>
      </c>
      <c r="C4261" s="4" t="n">
        <v>4</v>
      </c>
      <c r="D4261" s="4" t="n">
        <v>5</v>
      </c>
      <c r="E4261" s="4" t="s">
        <v>3601</v>
      </c>
      <c r="F4261" s="4" t="n">
        <v>6</v>
      </c>
      <c r="G4261" s="4" t="n">
        <v>14</v>
      </c>
      <c r="H4261" s="4" t="n">
        <v>4</v>
      </c>
      <c r="I4261" s="4" t="str">
        <v>×</v>
      </c>
      <c r="J4261" s="4"/>
      <c r="K4261" s="4"/>
      <c r="L4261" s="4"/>
      <c r="M4261" s="7" t="s">
        <v>3577</v>
      </c>
    </row>
    <row r="4262" customFormat="false" ht="15.75" hidden="false" customHeight="false" outlineLevel="0" collapsed="false">
      <c r="A4262" s="3" t="n">
        <v>46235</v>
      </c>
      <c r="B4262" s="4" t="s">
        <v>179</v>
      </c>
      <c r="C4262" s="4" t="n">
        <v>4</v>
      </c>
      <c r="D4262" s="4" t="n">
        <v>6</v>
      </c>
      <c r="E4262" s="4" t="s">
        <v>3602</v>
      </c>
      <c r="F4262" s="4" t="n">
        <v>10</v>
      </c>
      <c r="G4262" s="4" t="n">
        <v>9</v>
      </c>
      <c r="H4262" s="4" t="n">
        <v>4</v>
      </c>
      <c r="I4262" s="4" t="str">
        <v>×</v>
      </c>
      <c r="J4262" s="4"/>
      <c r="K4262" s="4"/>
      <c r="L4262" s="4"/>
      <c r="M4262" s="7" t="s">
        <v>3577</v>
      </c>
    </row>
    <row r="4263" customFormat="false" ht="15.75" hidden="false" customHeight="false" outlineLevel="0" collapsed="false">
      <c r="A4263" s="3" t="n">
        <v>46235</v>
      </c>
      <c r="B4263" s="4" t="s">
        <v>179</v>
      </c>
      <c r="C4263" s="4" t="n">
        <v>4</v>
      </c>
      <c r="D4263" s="4" t="n">
        <v>7</v>
      </c>
      <c r="E4263" s="4" t="s">
        <v>3603</v>
      </c>
      <c r="F4263" s="4" t="n">
        <v>10</v>
      </c>
      <c r="G4263" s="4" t="n">
        <v>9</v>
      </c>
      <c r="H4263" s="4" t="n">
        <v>4</v>
      </c>
      <c r="I4263" s="4" t="str">
        <v>×</v>
      </c>
      <c r="J4263" s="4"/>
      <c r="K4263" s="4"/>
      <c r="L4263" s="4"/>
      <c r="M4263" s="7" t="s">
        <v>3577</v>
      </c>
    </row>
    <row r="4264" customFormat="false" ht="15.75" hidden="false" customHeight="false" outlineLevel="0" collapsed="false">
      <c r="A4264" s="3" t="n">
        <v>46235</v>
      </c>
      <c r="B4264" s="4" t="s">
        <v>179</v>
      </c>
      <c r="C4264" s="4" t="n">
        <v>4</v>
      </c>
      <c r="D4264" s="4" t="n">
        <v>8</v>
      </c>
      <c r="E4264" s="4" t="s">
        <v>3449</v>
      </c>
      <c r="F4264" s="4" t="n">
        <v>8</v>
      </c>
      <c r="G4264" s="4" t="n">
        <v>12</v>
      </c>
      <c r="H4264" s="4" t="n">
        <v>2</v>
      </c>
      <c r="I4264" s="4" t="str">
        <v>○</v>
      </c>
      <c r="J4264" s="4" t="n">
        <v>2580</v>
      </c>
      <c r="K4264" s="4"/>
      <c r="L4264" s="4"/>
      <c r="M4264" s="7" t="s">
        <v>3577</v>
      </c>
    </row>
    <row r="4265" customFormat="false" ht="15.75" hidden="false" customHeight="false" outlineLevel="0" collapsed="false">
      <c r="A4265" s="3" t="n">
        <v>46235</v>
      </c>
      <c r="B4265" s="4" t="s">
        <v>179</v>
      </c>
      <c r="C4265" s="4" t="n">
        <v>4</v>
      </c>
      <c r="D4265" s="4" t="n">
        <v>9</v>
      </c>
      <c r="E4265" s="4" t="s">
        <v>3604</v>
      </c>
      <c r="F4265" s="4" t="n">
        <v>66</v>
      </c>
      <c r="G4265" s="4" t="n">
        <v>1</v>
      </c>
      <c r="H4265" s="4" t="n">
        <v>1</v>
      </c>
      <c r="I4265" s="4" t="str">
        <v>○</v>
      </c>
      <c r="J4265" s="4" t="n">
        <v>160</v>
      </c>
      <c r="K4265" s="4"/>
      <c r="L4265" s="4"/>
      <c r="M4265" s="7" t="s">
        <v>3577</v>
      </c>
    </row>
    <row r="4266" customFormat="false" ht="15.75" hidden="false" customHeight="false" outlineLevel="0" collapsed="false">
      <c r="A4266" s="3" t="n">
        <v>46235</v>
      </c>
      <c r="B4266" s="4" t="s">
        <v>179</v>
      </c>
      <c r="C4266" s="4" t="n">
        <v>4</v>
      </c>
      <c r="D4266" s="4" t="n">
        <v>10</v>
      </c>
      <c r="E4266" s="4" t="s">
        <v>3605</v>
      </c>
      <c r="F4266" s="4" t="n">
        <v>29</v>
      </c>
      <c r="G4266" s="4" t="n">
        <v>6</v>
      </c>
      <c r="H4266" s="4" t="n">
        <v>4</v>
      </c>
      <c r="I4266" s="4" t="str">
        <v>×</v>
      </c>
      <c r="J4266" s="4"/>
      <c r="K4266" s="4"/>
      <c r="L4266" s="4"/>
      <c r="M4266" s="7" t="s">
        <v>3577</v>
      </c>
    </row>
    <row r="4267" customFormat="false" ht="15.75" hidden="false" customHeight="false" outlineLevel="0" collapsed="false">
      <c r="A4267" s="3" t="n">
        <v>46235</v>
      </c>
      <c r="B4267" s="4" t="s">
        <v>179</v>
      </c>
      <c r="C4267" s="4" t="n">
        <v>4</v>
      </c>
      <c r="D4267" s="4" t="n">
        <v>11</v>
      </c>
      <c r="E4267" s="4" t="s">
        <v>3606</v>
      </c>
      <c r="F4267" s="4" t="n">
        <v>8</v>
      </c>
      <c r="G4267" s="4" t="n">
        <v>12</v>
      </c>
      <c r="H4267" s="4" t="n">
        <v>4</v>
      </c>
      <c r="I4267" s="4" t="str">
        <v>×</v>
      </c>
      <c r="J4267" s="4"/>
      <c r="K4267" s="4"/>
      <c r="L4267" s="4"/>
      <c r="M4267" s="7" t="s">
        <v>3577</v>
      </c>
    </row>
    <row r="4268" customFormat="false" ht="15.75" hidden="false" customHeight="false" outlineLevel="0" collapsed="false">
      <c r="A4268" s="3" t="n">
        <v>46235</v>
      </c>
      <c r="B4268" s="4" t="s">
        <v>179</v>
      </c>
      <c r="C4268" s="4" t="n">
        <v>4</v>
      </c>
      <c r="D4268" s="4" t="n">
        <v>12</v>
      </c>
      <c r="E4268" s="4" t="s">
        <v>3607</v>
      </c>
      <c r="F4268" s="4" t="n">
        <v>34</v>
      </c>
      <c r="G4268" s="4" t="n">
        <v>5</v>
      </c>
      <c r="H4268" s="4" t="n">
        <v>4</v>
      </c>
      <c r="I4268" s="4" t="str">
        <v>×</v>
      </c>
      <c r="J4268" s="4"/>
      <c r="K4268" s="4"/>
      <c r="L4268" s="4"/>
      <c r="M4268" s="7" t="s">
        <v>3577</v>
      </c>
    </row>
    <row r="4269" customFormat="false" ht="15.75" hidden="false" customHeight="false" outlineLevel="0" collapsed="false">
      <c r="A4269" s="3" t="n">
        <v>46235</v>
      </c>
      <c r="B4269" s="4" t="s">
        <v>179</v>
      </c>
      <c r="C4269" s="4" t="n">
        <v>4</v>
      </c>
      <c r="D4269" s="4" t="n">
        <v>13</v>
      </c>
      <c r="E4269" s="4" t="s">
        <v>3608</v>
      </c>
      <c r="F4269" s="4" t="n">
        <v>20</v>
      </c>
      <c r="G4269" s="4" t="n">
        <v>7</v>
      </c>
      <c r="H4269" s="4" t="n">
        <v>3</v>
      </c>
      <c r="I4269" s="4" t="str">
        <v>○</v>
      </c>
      <c r="J4269" s="4" t="n">
        <v>410</v>
      </c>
      <c r="K4269" s="4"/>
      <c r="L4269" s="4"/>
      <c r="M4269" s="7" t="s">
        <v>3577</v>
      </c>
    </row>
    <row r="4270" customFormat="false" ht="15.75" hidden="false" customHeight="false" outlineLevel="0" collapsed="false">
      <c r="A4270" s="3" t="n">
        <v>46235</v>
      </c>
      <c r="B4270" s="4" t="s">
        <v>179</v>
      </c>
      <c r="C4270" s="4" t="n">
        <v>4</v>
      </c>
      <c r="D4270" s="4" t="n">
        <v>14</v>
      </c>
      <c r="E4270" s="4" t="s">
        <v>1589</v>
      </c>
      <c r="F4270" s="4" t="n">
        <v>41</v>
      </c>
      <c r="G4270" s="4" t="n">
        <v>2</v>
      </c>
      <c r="H4270" s="4" t="n">
        <v>4</v>
      </c>
      <c r="I4270" s="4" t="str">
        <v>×</v>
      </c>
      <c r="J4270" s="4"/>
      <c r="K4270" s="4"/>
      <c r="L4270" s="4"/>
      <c r="M4270" s="7" t="s">
        <v>3577</v>
      </c>
    </row>
    <row r="4271" customFormat="false" ht="15.75" hidden="false" customHeight="false" outlineLevel="0" collapsed="false">
      <c r="A4271" s="3" t="n">
        <v>46235</v>
      </c>
      <c r="B4271" s="4" t="s">
        <v>179</v>
      </c>
      <c r="C4271" s="4" t="n">
        <v>4</v>
      </c>
      <c r="D4271" s="4" t="n">
        <v>15</v>
      </c>
      <c r="E4271" s="4" t="s">
        <v>3609</v>
      </c>
      <c r="F4271" s="4" t="n">
        <v>39</v>
      </c>
      <c r="G4271" s="4" t="n">
        <v>4</v>
      </c>
      <c r="H4271" s="4" t="n">
        <v>4</v>
      </c>
      <c r="I4271" s="4" t="str">
        <v>×</v>
      </c>
      <c r="J4271" s="4"/>
      <c r="K4271" s="4"/>
      <c r="L4271" s="4"/>
      <c r="M4271" s="7" t="s">
        <v>3577</v>
      </c>
    </row>
    <row r="4272" customFormat="false" ht="15.75" hidden="false" customHeight="false" outlineLevel="0" collapsed="false">
      <c r="A4272" s="3" t="n">
        <v>46235</v>
      </c>
      <c r="B4272" s="4" t="s">
        <v>179</v>
      </c>
      <c r="C4272" s="4" t="n">
        <v>4</v>
      </c>
      <c r="D4272" s="4" t="n">
        <v>16</v>
      </c>
      <c r="E4272" s="4" t="s">
        <v>2070</v>
      </c>
      <c r="F4272" s="4" t="n">
        <v>10</v>
      </c>
      <c r="G4272" s="4" t="n">
        <v>9</v>
      </c>
      <c r="H4272" s="4" t="n">
        <v>4</v>
      </c>
      <c r="I4272" s="4" t="str">
        <v>×</v>
      </c>
      <c r="J4272" s="4"/>
      <c r="K4272" s="4"/>
      <c r="L4272" s="4"/>
      <c r="M4272" s="7" t="s">
        <v>3577</v>
      </c>
    </row>
    <row r="4273" customFormat="false" ht="15.75" hidden="false" customHeight="false" outlineLevel="0" collapsed="false">
      <c r="A4273" s="3" t="n">
        <v>46235</v>
      </c>
      <c r="B4273" s="4" t="s">
        <v>179</v>
      </c>
      <c r="C4273" s="4" t="n">
        <v>5</v>
      </c>
      <c r="D4273" s="4" t="n">
        <v>1</v>
      </c>
      <c r="E4273" s="4" t="s">
        <v>2058</v>
      </c>
      <c r="F4273" s="4" t="n">
        <v>58</v>
      </c>
      <c r="G4273" s="4" t="n">
        <v>2</v>
      </c>
      <c r="H4273" s="4" t="n">
        <v>4</v>
      </c>
      <c r="I4273" s="4" t="str">
        <v>×</v>
      </c>
      <c r="J4273" s="4"/>
      <c r="K4273" s="4"/>
      <c r="L4273" s="4"/>
      <c r="M4273" s="7" t="s">
        <v>3577</v>
      </c>
    </row>
    <row r="4274" customFormat="false" ht="15.75" hidden="false" customHeight="false" outlineLevel="0" collapsed="false">
      <c r="A4274" s="3" t="n">
        <v>46235</v>
      </c>
      <c r="B4274" s="4" t="s">
        <v>179</v>
      </c>
      <c r="C4274" s="4" t="n">
        <v>5</v>
      </c>
      <c r="D4274" s="4" t="n">
        <v>2</v>
      </c>
      <c r="E4274" s="4" t="s">
        <v>2062</v>
      </c>
      <c r="F4274" s="4" t="n">
        <v>52</v>
      </c>
      <c r="G4274" s="4" t="n">
        <v>3</v>
      </c>
      <c r="H4274" s="4" t="n">
        <v>3</v>
      </c>
      <c r="I4274" s="4" t="str">
        <v>○</v>
      </c>
      <c r="J4274" s="4" t="n">
        <v>190</v>
      </c>
      <c r="K4274" s="4"/>
      <c r="L4274" s="4"/>
      <c r="M4274" s="7" t="s">
        <v>3577</v>
      </c>
    </row>
    <row r="4275" customFormat="false" ht="15.75" hidden="false" customHeight="false" outlineLevel="0" collapsed="false">
      <c r="A4275" s="3" t="n">
        <v>46235</v>
      </c>
      <c r="B4275" s="4" t="s">
        <v>179</v>
      </c>
      <c r="C4275" s="4" t="n">
        <v>5</v>
      </c>
      <c r="D4275" s="4" t="n">
        <v>3</v>
      </c>
      <c r="E4275" s="4" t="s">
        <v>3610</v>
      </c>
      <c r="F4275" s="4" t="n">
        <v>13</v>
      </c>
      <c r="G4275" s="4" t="n">
        <v>6</v>
      </c>
      <c r="H4275" s="4" t="n">
        <v>4</v>
      </c>
      <c r="I4275" s="4" t="str">
        <v>×</v>
      </c>
      <c r="J4275" s="4"/>
      <c r="K4275" s="4"/>
      <c r="L4275" s="4"/>
      <c r="M4275" s="7" t="s">
        <v>3577</v>
      </c>
    </row>
    <row r="4276" customFormat="false" ht="15.75" hidden="false" customHeight="false" outlineLevel="0" collapsed="false">
      <c r="A4276" s="3" t="n">
        <v>46235</v>
      </c>
      <c r="B4276" s="4" t="s">
        <v>179</v>
      </c>
      <c r="C4276" s="4" t="n">
        <v>5</v>
      </c>
      <c r="D4276" s="4" t="n">
        <v>4</v>
      </c>
      <c r="E4276" s="4" t="s">
        <v>1627</v>
      </c>
      <c r="F4276" s="4" t="n">
        <v>34</v>
      </c>
      <c r="G4276" s="4" t="n">
        <v>4</v>
      </c>
      <c r="H4276" s="4" t="n">
        <v>4</v>
      </c>
      <c r="I4276" s="4" t="str">
        <v>×</v>
      </c>
      <c r="J4276" s="4"/>
      <c r="K4276" s="4"/>
      <c r="L4276" s="4"/>
      <c r="M4276" s="7" t="s">
        <v>3577</v>
      </c>
    </row>
    <row r="4277" customFormat="false" ht="15.75" hidden="false" customHeight="false" outlineLevel="0" collapsed="false">
      <c r="A4277" s="3" t="n">
        <v>46235</v>
      </c>
      <c r="B4277" s="4" t="s">
        <v>179</v>
      </c>
      <c r="C4277" s="4" t="n">
        <v>5</v>
      </c>
      <c r="D4277" s="4" t="n">
        <v>5</v>
      </c>
      <c r="E4277" s="4" t="s">
        <v>3611</v>
      </c>
      <c r="F4277" s="4" t="n">
        <v>4</v>
      </c>
      <c r="G4277" s="4" t="n">
        <v>12</v>
      </c>
      <c r="H4277" s="4" t="n">
        <v>4</v>
      </c>
      <c r="I4277" s="4" t="str">
        <v>×</v>
      </c>
      <c r="J4277" s="4"/>
      <c r="K4277" s="4"/>
      <c r="L4277" s="4"/>
      <c r="M4277" s="7" t="s">
        <v>3577</v>
      </c>
    </row>
    <row r="4278" customFormat="false" ht="15.75" hidden="false" customHeight="false" outlineLevel="0" collapsed="false">
      <c r="A4278" s="3" t="n">
        <v>46235</v>
      </c>
      <c r="B4278" s="4" t="s">
        <v>179</v>
      </c>
      <c r="C4278" s="4" t="n">
        <v>5</v>
      </c>
      <c r="D4278" s="4" t="n">
        <v>6</v>
      </c>
      <c r="E4278" s="4" t="s">
        <v>3612</v>
      </c>
      <c r="F4278" s="4" t="n">
        <v>6</v>
      </c>
      <c r="G4278" s="4" t="n">
        <v>11</v>
      </c>
      <c r="H4278" s="4" t="n">
        <v>4</v>
      </c>
      <c r="I4278" s="4" t="str">
        <v>×</v>
      </c>
      <c r="J4278" s="4"/>
      <c r="K4278" s="4"/>
      <c r="L4278" s="4"/>
      <c r="M4278" s="7" t="s">
        <v>3577</v>
      </c>
    </row>
    <row r="4279" customFormat="false" ht="15.75" hidden="false" customHeight="false" outlineLevel="0" collapsed="false">
      <c r="A4279" s="3" t="n">
        <v>46235</v>
      </c>
      <c r="B4279" s="4" t="s">
        <v>179</v>
      </c>
      <c r="C4279" s="4" t="n">
        <v>5</v>
      </c>
      <c r="D4279" s="4" t="n">
        <v>7</v>
      </c>
      <c r="E4279" s="4" t="s">
        <v>3613</v>
      </c>
      <c r="F4279" s="4" t="n">
        <v>4</v>
      </c>
      <c r="G4279" s="4" t="n">
        <v>12</v>
      </c>
      <c r="H4279" s="4" t="n">
        <v>4</v>
      </c>
      <c r="I4279" s="4" t="str">
        <v>×</v>
      </c>
      <c r="J4279" s="4"/>
      <c r="K4279" s="4"/>
      <c r="L4279" s="4"/>
      <c r="M4279" s="7" t="s">
        <v>3577</v>
      </c>
    </row>
    <row r="4280" customFormat="false" ht="15.75" hidden="false" customHeight="false" outlineLevel="0" collapsed="false">
      <c r="A4280" s="3" t="n">
        <v>46235</v>
      </c>
      <c r="B4280" s="4" t="s">
        <v>179</v>
      </c>
      <c r="C4280" s="4" t="n">
        <v>5</v>
      </c>
      <c r="D4280" s="4" t="n">
        <v>8</v>
      </c>
      <c r="E4280" s="4" t="s">
        <v>3614</v>
      </c>
      <c r="F4280" s="4" t="n">
        <v>4</v>
      </c>
      <c r="G4280" s="4" t="n">
        <v>12</v>
      </c>
      <c r="H4280" s="4" t="n">
        <v>4</v>
      </c>
      <c r="I4280" s="4" t="str">
        <v>×</v>
      </c>
      <c r="J4280" s="4"/>
      <c r="K4280" s="4"/>
      <c r="L4280" s="4"/>
      <c r="M4280" s="7" t="s">
        <v>3577</v>
      </c>
    </row>
    <row r="4281" customFormat="false" ht="15.75" hidden="false" customHeight="false" outlineLevel="0" collapsed="false">
      <c r="A4281" s="3" t="n">
        <v>46235</v>
      </c>
      <c r="B4281" s="4" t="s">
        <v>179</v>
      </c>
      <c r="C4281" s="4" t="n">
        <v>5</v>
      </c>
      <c r="D4281" s="4" t="n">
        <v>9</v>
      </c>
      <c r="E4281" s="4" t="s">
        <v>3615</v>
      </c>
      <c r="F4281" s="4" t="n">
        <v>65</v>
      </c>
      <c r="G4281" s="4" t="n">
        <v>1</v>
      </c>
      <c r="H4281" s="4" t="n">
        <v>2</v>
      </c>
      <c r="I4281" s="4" t="str">
        <v>○</v>
      </c>
      <c r="J4281" s="4" t="n">
        <v>130</v>
      </c>
      <c r="K4281" s="4"/>
      <c r="L4281" s="4"/>
      <c r="M4281" s="7" t="s">
        <v>3577</v>
      </c>
    </row>
    <row r="4282" customFormat="false" ht="15.75" hidden="false" customHeight="false" outlineLevel="0" collapsed="false">
      <c r="A4282" s="3" t="n">
        <v>46235</v>
      </c>
      <c r="B4282" s="4" t="s">
        <v>179</v>
      </c>
      <c r="C4282" s="4" t="n">
        <v>5</v>
      </c>
      <c r="D4282" s="4" t="n">
        <v>10</v>
      </c>
      <c r="E4282" s="4" t="s">
        <v>3616</v>
      </c>
      <c r="F4282" s="4" t="n">
        <v>8</v>
      </c>
      <c r="G4282" s="4" t="n">
        <v>8</v>
      </c>
      <c r="H4282" s="4" t="n">
        <v>4</v>
      </c>
      <c r="I4282" s="4" t="str">
        <v>×</v>
      </c>
      <c r="J4282" s="4"/>
      <c r="K4282" s="4"/>
      <c r="L4282" s="4"/>
      <c r="M4282" s="7" t="s">
        <v>3577</v>
      </c>
    </row>
    <row r="4283" customFormat="false" ht="15.75" hidden="false" customHeight="false" outlineLevel="0" collapsed="false">
      <c r="A4283" s="3" t="n">
        <v>46235</v>
      </c>
      <c r="B4283" s="4" t="s">
        <v>179</v>
      </c>
      <c r="C4283" s="4" t="n">
        <v>5</v>
      </c>
      <c r="D4283" s="4" t="n">
        <v>11</v>
      </c>
      <c r="E4283" s="4" t="s">
        <v>3617</v>
      </c>
      <c r="F4283" s="4" t="n">
        <v>8</v>
      </c>
      <c r="G4283" s="4" t="n">
        <v>8</v>
      </c>
      <c r="H4283" s="4" t="n">
        <v>4</v>
      </c>
      <c r="I4283" s="4" t="str">
        <v>×</v>
      </c>
      <c r="J4283" s="4"/>
      <c r="K4283" s="4"/>
      <c r="L4283" s="4"/>
      <c r="M4283" s="7" t="s">
        <v>3577</v>
      </c>
    </row>
    <row r="4284" customFormat="false" ht="15.75" hidden="false" customHeight="false" outlineLevel="0" collapsed="false">
      <c r="A4284" s="3" t="n">
        <v>46235</v>
      </c>
      <c r="B4284" s="4" t="s">
        <v>179</v>
      </c>
      <c r="C4284" s="4" t="n">
        <v>5</v>
      </c>
      <c r="D4284" s="4" t="n">
        <v>12</v>
      </c>
      <c r="E4284" s="4" t="s">
        <v>3618</v>
      </c>
      <c r="F4284" s="4" t="n">
        <v>3</v>
      </c>
      <c r="G4284" s="4" t="n">
        <v>15</v>
      </c>
      <c r="H4284" s="4" t="n">
        <v>4</v>
      </c>
      <c r="I4284" s="4" t="str">
        <v>×</v>
      </c>
      <c r="J4284" s="4"/>
      <c r="K4284" s="4"/>
      <c r="L4284" s="4"/>
      <c r="M4284" s="7" t="s">
        <v>3577</v>
      </c>
    </row>
    <row r="4285" customFormat="false" ht="15.75" hidden="false" customHeight="false" outlineLevel="0" collapsed="false">
      <c r="A4285" s="3" t="n">
        <v>46235</v>
      </c>
      <c r="B4285" s="4" t="s">
        <v>179</v>
      </c>
      <c r="C4285" s="4" t="n">
        <v>5</v>
      </c>
      <c r="D4285" s="4" t="n">
        <v>13</v>
      </c>
      <c r="E4285" s="4" t="s">
        <v>3619</v>
      </c>
      <c r="F4285" s="4" t="n">
        <v>8</v>
      </c>
      <c r="G4285" s="4" t="n">
        <v>8</v>
      </c>
      <c r="H4285" s="4" t="n">
        <v>4</v>
      </c>
      <c r="I4285" s="4" t="str">
        <v>×</v>
      </c>
      <c r="J4285" s="4"/>
      <c r="K4285" s="4"/>
      <c r="L4285" s="4"/>
      <c r="M4285" s="7" t="s">
        <v>3577</v>
      </c>
    </row>
    <row r="4286" customFormat="false" ht="15.75" hidden="false" customHeight="false" outlineLevel="0" collapsed="false">
      <c r="A4286" s="3" t="n">
        <v>46235</v>
      </c>
      <c r="B4286" s="4" t="s">
        <v>179</v>
      </c>
      <c r="C4286" s="4" t="n">
        <v>5</v>
      </c>
      <c r="D4286" s="4" t="n">
        <v>14</v>
      </c>
      <c r="E4286" s="4" t="s">
        <v>2034</v>
      </c>
      <c r="F4286" s="4" t="n">
        <v>29</v>
      </c>
      <c r="G4286" s="4" t="n">
        <v>5</v>
      </c>
      <c r="H4286" s="4" t="n">
        <v>1</v>
      </c>
      <c r="I4286" s="4" t="str">
        <v>○</v>
      </c>
      <c r="J4286" s="4" t="n">
        <v>150</v>
      </c>
      <c r="K4286" s="4"/>
      <c r="L4286" s="4"/>
      <c r="M4286" s="7" t="s">
        <v>3577</v>
      </c>
    </row>
    <row r="4287" customFormat="false" ht="15.75" hidden="false" customHeight="false" outlineLevel="0" collapsed="false">
      <c r="A4287" s="3" t="n">
        <v>46235</v>
      </c>
      <c r="B4287" s="4" t="s">
        <v>179</v>
      </c>
      <c r="C4287" s="4" t="n">
        <v>5</v>
      </c>
      <c r="D4287" s="4" t="n">
        <v>15</v>
      </c>
      <c r="E4287" s="4" t="s">
        <v>3620</v>
      </c>
      <c r="F4287" s="4" t="n">
        <v>2</v>
      </c>
      <c r="G4287" s="4" t="n">
        <v>16</v>
      </c>
      <c r="H4287" s="4" t="n">
        <v>4</v>
      </c>
      <c r="I4287" s="4" t="str">
        <v>×</v>
      </c>
      <c r="J4287" s="4"/>
      <c r="K4287" s="4"/>
      <c r="L4287" s="4"/>
      <c r="M4287" s="7" t="s">
        <v>3577</v>
      </c>
    </row>
    <row r="4288" customFormat="false" ht="15.75" hidden="false" customHeight="false" outlineLevel="0" collapsed="false">
      <c r="A4288" s="3" t="n">
        <v>46235</v>
      </c>
      <c r="B4288" s="4" t="s">
        <v>179</v>
      </c>
      <c r="C4288" s="4" t="n">
        <v>5</v>
      </c>
      <c r="D4288" s="4" t="n">
        <v>16</v>
      </c>
      <c r="E4288" s="4" t="s">
        <v>3621</v>
      </c>
      <c r="F4288" s="4" t="n">
        <v>10</v>
      </c>
      <c r="G4288" s="4" t="n">
        <v>7</v>
      </c>
      <c r="H4288" s="4" t="n">
        <v>4</v>
      </c>
      <c r="I4288" s="4" t="str">
        <v>×</v>
      </c>
      <c r="J4288" s="4"/>
      <c r="K4288" s="4"/>
      <c r="L4288" s="4"/>
      <c r="M4288" s="7" t="s">
        <v>3577</v>
      </c>
    </row>
    <row r="4289" customFormat="false" ht="15.75" hidden="false" customHeight="false" outlineLevel="0" collapsed="false">
      <c r="A4289" s="3" t="n">
        <v>46235</v>
      </c>
      <c r="B4289" s="4" t="s">
        <v>179</v>
      </c>
      <c r="C4289" s="4" t="n">
        <v>6</v>
      </c>
      <c r="D4289" s="4" t="n">
        <v>1</v>
      </c>
      <c r="E4289" s="4" t="s">
        <v>3622</v>
      </c>
      <c r="F4289" s="4" t="n">
        <v>6</v>
      </c>
      <c r="G4289" s="4" t="n">
        <v>11</v>
      </c>
      <c r="H4289" s="4" t="n">
        <v>4</v>
      </c>
      <c r="I4289" s="4" t="str">
        <v>×</v>
      </c>
      <c r="J4289" s="4"/>
      <c r="K4289" s="4"/>
      <c r="L4289" s="4"/>
      <c r="M4289" s="7" t="s">
        <v>3577</v>
      </c>
    </row>
    <row r="4290" customFormat="false" ht="15.75" hidden="false" customHeight="false" outlineLevel="0" collapsed="false">
      <c r="A4290" s="3" t="n">
        <v>46235</v>
      </c>
      <c r="B4290" s="4" t="s">
        <v>179</v>
      </c>
      <c r="C4290" s="4" t="n">
        <v>6</v>
      </c>
      <c r="D4290" s="4" t="n">
        <v>2</v>
      </c>
      <c r="E4290" s="4" t="s">
        <v>3623</v>
      </c>
      <c r="F4290" s="4" t="n">
        <v>2</v>
      </c>
      <c r="G4290" s="4" t="n">
        <v>13</v>
      </c>
      <c r="H4290" s="4" t="n">
        <v>4</v>
      </c>
      <c r="I4290" s="4" t="str">
        <v>×</v>
      </c>
      <c r="J4290" s="4"/>
      <c r="K4290" s="4"/>
      <c r="L4290" s="4"/>
      <c r="M4290" s="7" t="s">
        <v>3577</v>
      </c>
    </row>
    <row r="4291" customFormat="false" ht="15.75" hidden="false" customHeight="false" outlineLevel="0" collapsed="false">
      <c r="A4291" s="3" t="n">
        <v>46235</v>
      </c>
      <c r="B4291" s="4" t="s">
        <v>179</v>
      </c>
      <c r="C4291" s="4" t="n">
        <v>6</v>
      </c>
      <c r="D4291" s="4" t="n">
        <v>3</v>
      </c>
      <c r="E4291" s="4" t="s">
        <v>3624</v>
      </c>
      <c r="F4291" s="4" t="n">
        <v>86</v>
      </c>
      <c r="G4291" s="4" t="n">
        <v>1</v>
      </c>
      <c r="H4291" s="4" t="n">
        <v>1</v>
      </c>
      <c r="I4291" s="4" t="str">
        <v>○</v>
      </c>
      <c r="J4291" s="4" t="n">
        <v>110</v>
      </c>
      <c r="K4291" s="4"/>
      <c r="L4291" s="4"/>
      <c r="M4291" s="7" t="s">
        <v>3577</v>
      </c>
    </row>
    <row r="4292" customFormat="false" ht="15.75" hidden="false" customHeight="false" outlineLevel="0" collapsed="false">
      <c r="A4292" s="3" t="n">
        <v>46235</v>
      </c>
      <c r="B4292" s="4" t="s">
        <v>179</v>
      </c>
      <c r="C4292" s="4" t="n">
        <v>6</v>
      </c>
      <c r="D4292" s="4" t="n">
        <v>4</v>
      </c>
      <c r="E4292" s="4" t="s">
        <v>3625</v>
      </c>
      <c r="F4292" s="4" t="n">
        <v>8</v>
      </c>
      <c r="G4292" s="4" t="n">
        <v>9</v>
      </c>
      <c r="H4292" s="4" t="n">
        <v>4</v>
      </c>
      <c r="I4292" s="4" t="str">
        <v>×</v>
      </c>
      <c r="J4292" s="4"/>
      <c r="K4292" s="4"/>
      <c r="L4292" s="4"/>
      <c r="M4292" s="7" t="s">
        <v>3577</v>
      </c>
    </row>
    <row r="4293" customFormat="false" ht="15.75" hidden="false" customHeight="false" outlineLevel="0" collapsed="false">
      <c r="A4293" s="3" t="n">
        <v>46235</v>
      </c>
      <c r="B4293" s="4" t="s">
        <v>179</v>
      </c>
      <c r="C4293" s="4" t="n">
        <v>6</v>
      </c>
      <c r="D4293" s="4" t="n">
        <v>5</v>
      </c>
      <c r="E4293" s="4" t="s">
        <v>3626</v>
      </c>
      <c r="F4293" s="4" t="n">
        <v>3</v>
      </c>
      <c r="G4293" s="4" t="n">
        <v>12</v>
      </c>
      <c r="H4293" s="4" t="n">
        <v>4</v>
      </c>
      <c r="I4293" s="4" t="str">
        <v>×</v>
      </c>
      <c r="J4293" s="4"/>
      <c r="K4293" s="4"/>
      <c r="L4293" s="4"/>
      <c r="M4293" s="7" t="s">
        <v>3577</v>
      </c>
    </row>
    <row r="4294" customFormat="false" ht="15.75" hidden="false" customHeight="false" outlineLevel="0" collapsed="false">
      <c r="A4294" s="3" t="n">
        <v>46235</v>
      </c>
      <c r="B4294" s="4" t="s">
        <v>179</v>
      </c>
      <c r="C4294" s="4" t="n">
        <v>6</v>
      </c>
      <c r="D4294" s="4" t="n">
        <v>6</v>
      </c>
      <c r="E4294" s="4" t="s">
        <v>3627</v>
      </c>
      <c r="F4294" s="4" t="n">
        <v>1</v>
      </c>
      <c r="G4294" s="4" t="n">
        <v>15</v>
      </c>
      <c r="H4294" s="4" t="n">
        <v>4</v>
      </c>
      <c r="I4294" s="4" t="str">
        <v>×</v>
      </c>
      <c r="J4294" s="4"/>
      <c r="K4294" s="4"/>
      <c r="L4294" s="4"/>
      <c r="M4294" s="7" t="s">
        <v>3577</v>
      </c>
    </row>
    <row r="4295" customFormat="false" ht="15.75" hidden="false" customHeight="false" outlineLevel="0" collapsed="false">
      <c r="A4295" s="3" t="n">
        <v>46235</v>
      </c>
      <c r="B4295" s="4" t="s">
        <v>179</v>
      </c>
      <c r="C4295" s="4" t="n">
        <v>6</v>
      </c>
      <c r="D4295" s="4" t="n">
        <v>7</v>
      </c>
      <c r="E4295" s="4" t="s">
        <v>3628</v>
      </c>
      <c r="F4295" s="4" t="n">
        <v>17</v>
      </c>
      <c r="G4295" s="4" t="n">
        <v>5</v>
      </c>
      <c r="H4295" s="4" t="n">
        <v>4</v>
      </c>
      <c r="I4295" s="4" t="str">
        <v>×</v>
      </c>
      <c r="J4295" s="4"/>
      <c r="K4295" s="4"/>
      <c r="L4295" s="4"/>
      <c r="M4295" s="7" t="s">
        <v>3577</v>
      </c>
    </row>
    <row r="4296" customFormat="false" ht="15.75" hidden="false" customHeight="false" outlineLevel="0" collapsed="false">
      <c r="A4296" s="3" t="n">
        <v>46235</v>
      </c>
      <c r="B4296" s="4" t="s">
        <v>179</v>
      </c>
      <c r="C4296" s="4" t="n">
        <v>6</v>
      </c>
      <c r="D4296" s="4" t="n">
        <v>8</v>
      </c>
      <c r="E4296" s="4" t="s">
        <v>3629</v>
      </c>
      <c r="F4296" s="4" t="n">
        <v>52</v>
      </c>
      <c r="G4296" s="4" t="n">
        <v>2</v>
      </c>
      <c r="H4296" s="4" t="n">
        <v>3</v>
      </c>
      <c r="I4296" s="4" t="str">
        <v>○</v>
      </c>
      <c r="J4296" s="4" t="n">
        <v>150</v>
      </c>
      <c r="K4296" s="4"/>
      <c r="L4296" s="4"/>
      <c r="M4296" s="7" t="s">
        <v>3577</v>
      </c>
    </row>
    <row r="4297" customFormat="false" ht="15.75" hidden="false" customHeight="false" outlineLevel="0" collapsed="false">
      <c r="A4297" s="3" t="n">
        <v>46235</v>
      </c>
      <c r="B4297" s="4" t="s">
        <v>179</v>
      </c>
      <c r="C4297" s="4" t="n">
        <v>6</v>
      </c>
      <c r="D4297" s="4" t="n">
        <v>9</v>
      </c>
      <c r="E4297" s="4" t="s">
        <v>3630</v>
      </c>
      <c r="F4297" s="4" t="n">
        <v>15</v>
      </c>
      <c r="G4297" s="4" t="n">
        <v>8</v>
      </c>
      <c r="H4297" s="4" t="n">
        <v>4</v>
      </c>
      <c r="I4297" s="4" t="str">
        <v>×</v>
      </c>
      <c r="J4297" s="4"/>
      <c r="K4297" s="4"/>
      <c r="L4297" s="4"/>
      <c r="M4297" s="7" t="s">
        <v>3577</v>
      </c>
    </row>
    <row r="4298" customFormat="false" ht="15.75" hidden="false" customHeight="false" outlineLevel="0" collapsed="false">
      <c r="A4298" s="3" t="n">
        <v>46235</v>
      </c>
      <c r="B4298" s="4" t="s">
        <v>179</v>
      </c>
      <c r="C4298" s="4" t="n">
        <v>6</v>
      </c>
      <c r="D4298" s="4" t="n">
        <v>10</v>
      </c>
      <c r="E4298" s="4" t="s">
        <v>3631</v>
      </c>
      <c r="F4298" s="4" t="n">
        <v>17</v>
      </c>
      <c r="G4298" s="4" t="n">
        <v>5</v>
      </c>
      <c r="H4298" s="4" t="n">
        <v>4</v>
      </c>
      <c r="I4298" s="4" t="str">
        <v>×</v>
      </c>
      <c r="J4298" s="4"/>
      <c r="K4298" s="4"/>
      <c r="L4298" s="4"/>
      <c r="M4298" s="7" t="s">
        <v>3577</v>
      </c>
    </row>
    <row r="4299" customFormat="false" ht="15.75" hidden="false" customHeight="false" outlineLevel="0" collapsed="false">
      <c r="A4299" s="3" t="n">
        <v>46235</v>
      </c>
      <c r="B4299" s="4" t="s">
        <v>179</v>
      </c>
      <c r="C4299" s="4" t="n">
        <v>6</v>
      </c>
      <c r="D4299" s="4" t="n">
        <v>11</v>
      </c>
      <c r="E4299" s="4" t="s">
        <v>3632</v>
      </c>
      <c r="F4299" s="4" t="n">
        <v>8</v>
      </c>
      <c r="G4299" s="4" t="n">
        <v>9</v>
      </c>
      <c r="H4299" s="4" t="n">
        <v>4</v>
      </c>
      <c r="I4299" s="4" t="str">
        <v>×</v>
      </c>
      <c r="J4299" s="4"/>
      <c r="K4299" s="4"/>
      <c r="L4299" s="4"/>
      <c r="M4299" s="7" t="s">
        <v>3577</v>
      </c>
    </row>
    <row r="4300" customFormat="false" ht="15.75" hidden="false" customHeight="false" outlineLevel="0" collapsed="false">
      <c r="A4300" s="3" t="n">
        <v>46235</v>
      </c>
      <c r="B4300" s="4" t="s">
        <v>179</v>
      </c>
      <c r="C4300" s="4" t="n">
        <v>6</v>
      </c>
      <c r="D4300" s="4" t="n">
        <v>12</v>
      </c>
      <c r="E4300" s="4" t="s">
        <v>3633</v>
      </c>
      <c r="F4300" s="4" t="n">
        <v>2</v>
      </c>
      <c r="G4300" s="4" t="n">
        <v>13</v>
      </c>
      <c r="H4300" s="4" t="n">
        <v>4</v>
      </c>
      <c r="I4300" s="4" t="str">
        <v>×</v>
      </c>
      <c r="J4300" s="4"/>
      <c r="K4300" s="4"/>
      <c r="L4300" s="4"/>
      <c r="M4300" s="7" t="s">
        <v>3577</v>
      </c>
    </row>
    <row r="4301" customFormat="false" ht="15.75" hidden="false" customHeight="false" outlineLevel="0" collapsed="false">
      <c r="A4301" s="3" t="n">
        <v>46235</v>
      </c>
      <c r="B4301" s="4" t="s">
        <v>179</v>
      </c>
      <c r="C4301" s="4" t="n">
        <v>6</v>
      </c>
      <c r="D4301" s="4" t="n">
        <v>13</v>
      </c>
      <c r="E4301" s="4" t="s">
        <v>3634</v>
      </c>
      <c r="F4301" s="4" t="n">
        <v>37</v>
      </c>
      <c r="G4301" s="4" t="n">
        <v>3</v>
      </c>
      <c r="H4301" s="4" t="n">
        <v>2</v>
      </c>
      <c r="I4301" s="4" t="str">
        <v>○</v>
      </c>
      <c r="J4301" s="4" t="n">
        <v>290</v>
      </c>
      <c r="K4301" s="4"/>
      <c r="L4301" s="4"/>
      <c r="M4301" s="7" t="s">
        <v>3577</v>
      </c>
    </row>
    <row r="4302" customFormat="false" ht="15.75" hidden="false" customHeight="false" outlineLevel="0" collapsed="false">
      <c r="A4302" s="3" t="n">
        <v>46235</v>
      </c>
      <c r="B4302" s="4" t="s">
        <v>179</v>
      </c>
      <c r="C4302" s="4" t="n">
        <v>6</v>
      </c>
      <c r="D4302" s="4" t="n">
        <v>14</v>
      </c>
      <c r="E4302" s="4" t="s">
        <v>3635</v>
      </c>
      <c r="F4302" s="4" t="n">
        <v>17</v>
      </c>
      <c r="G4302" s="4" t="n">
        <v>5</v>
      </c>
      <c r="H4302" s="4" t="n">
        <v>4</v>
      </c>
      <c r="I4302" s="4" t="str">
        <v>×</v>
      </c>
      <c r="J4302" s="4"/>
      <c r="K4302" s="4"/>
      <c r="L4302" s="4"/>
      <c r="M4302" s="7" t="s">
        <v>3577</v>
      </c>
    </row>
    <row r="4303" customFormat="false" ht="15.75" hidden="false" customHeight="false" outlineLevel="0" collapsed="false">
      <c r="A4303" s="3" t="n">
        <v>46235</v>
      </c>
      <c r="B4303" s="4" t="s">
        <v>179</v>
      </c>
      <c r="C4303" s="4" t="n">
        <v>6</v>
      </c>
      <c r="D4303" s="4" t="n">
        <v>15</v>
      </c>
      <c r="E4303" s="4" t="s">
        <v>3636</v>
      </c>
      <c r="F4303" s="4" t="n">
        <v>34</v>
      </c>
      <c r="G4303" s="4" t="n">
        <v>4</v>
      </c>
      <c r="H4303" s="4" t="n">
        <v>4</v>
      </c>
      <c r="I4303" s="4" t="str">
        <v>×</v>
      </c>
      <c r="J4303" s="4"/>
      <c r="K4303" s="4"/>
      <c r="L4303" s="4"/>
      <c r="M4303" s="7" t="s">
        <v>3577</v>
      </c>
    </row>
    <row r="4304" customFormat="false" ht="15.75" hidden="false" customHeight="false" outlineLevel="0" collapsed="false">
      <c r="A4304" s="3" t="n">
        <v>46235</v>
      </c>
      <c r="B4304" s="4" t="s">
        <v>179</v>
      </c>
      <c r="C4304" s="4" t="n">
        <v>6</v>
      </c>
      <c r="D4304" s="4" t="n">
        <v>16</v>
      </c>
      <c r="E4304" s="4" t="s">
        <v>3637</v>
      </c>
      <c r="F4304" s="4" t="n">
        <v>1</v>
      </c>
      <c r="G4304" s="4" t="n">
        <v>15</v>
      </c>
      <c r="H4304" s="4" t="n">
        <v>4</v>
      </c>
      <c r="I4304" s="4" t="str">
        <v>×</v>
      </c>
      <c r="J4304" s="4"/>
      <c r="K4304" s="4"/>
      <c r="L4304" s="4"/>
      <c r="M4304" s="7" t="s">
        <v>3577</v>
      </c>
    </row>
    <row r="4305" customFormat="false" ht="15.75" hidden="false" customHeight="false" outlineLevel="0" collapsed="false">
      <c r="A4305" s="3" t="n">
        <v>46235</v>
      </c>
      <c r="B4305" s="4" t="s">
        <v>179</v>
      </c>
      <c r="C4305" s="4" t="n">
        <v>7</v>
      </c>
      <c r="D4305" s="4" t="n">
        <v>1</v>
      </c>
      <c r="E4305" s="4" t="s">
        <v>3638</v>
      </c>
      <c r="F4305" s="4" t="n">
        <v>31</v>
      </c>
      <c r="G4305" s="4" t="n">
        <v>4</v>
      </c>
      <c r="H4305" s="4" t="n">
        <v>3</v>
      </c>
      <c r="I4305" s="4" t="str">
        <v>○</v>
      </c>
      <c r="J4305" s="4" t="n">
        <v>270</v>
      </c>
      <c r="K4305" s="4"/>
      <c r="L4305" s="4"/>
      <c r="M4305" s="7" t="s">
        <v>3577</v>
      </c>
    </row>
    <row r="4306" customFormat="false" ht="15.75" hidden="false" customHeight="false" outlineLevel="0" collapsed="false">
      <c r="A4306" s="3" t="n">
        <v>46235</v>
      </c>
      <c r="B4306" s="4" t="s">
        <v>179</v>
      </c>
      <c r="C4306" s="4" t="n">
        <v>7</v>
      </c>
      <c r="D4306" s="4" t="n">
        <v>2</v>
      </c>
      <c r="E4306" s="4" t="s">
        <v>3639</v>
      </c>
      <c r="F4306" s="4" t="n">
        <v>44</v>
      </c>
      <c r="G4306" s="4" t="n">
        <v>1</v>
      </c>
      <c r="H4306" s="4" t="n">
        <v>4</v>
      </c>
      <c r="I4306" s="4" t="str">
        <v>×</v>
      </c>
      <c r="J4306" s="4"/>
      <c r="K4306" s="4"/>
      <c r="L4306" s="4"/>
      <c r="M4306" s="7" t="s">
        <v>3577</v>
      </c>
    </row>
    <row r="4307" customFormat="false" ht="15.75" hidden="false" customHeight="false" outlineLevel="0" collapsed="false">
      <c r="A4307" s="3" t="n">
        <v>46235</v>
      </c>
      <c r="B4307" s="4" t="s">
        <v>179</v>
      </c>
      <c r="C4307" s="4" t="n">
        <v>7</v>
      </c>
      <c r="D4307" s="4" t="n">
        <v>3</v>
      </c>
      <c r="E4307" s="4" t="s">
        <v>3640</v>
      </c>
      <c r="F4307" s="4" t="n">
        <v>35</v>
      </c>
      <c r="G4307" s="4" t="n">
        <v>2</v>
      </c>
      <c r="H4307" s="4" t="n">
        <v>4</v>
      </c>
      <c r="I4307" s="4" t="str">
        <v>×</v>
      </c>
      <c r="J4307" s="4"/>
      <c r="K4307" s="4"/>
      <c r="L4307" s="4"/>
      <c r="M4307" s="7" t="s">
        <v>3577</v>
      </c>
    </row>
    <row r="4308" customFormat="false" ht="15.75" hidden="false" customHeight="false" outlineLevel="0" collapsed="false">
      <c r="A4308" s="3" t="n">
        <v>46235</v>
      </c>
      <c r="B4308" s="4" t="s">
        <v>179</v>
      </c>
      <c r="C4308" s="4" t="n">
        <v>7</v>
      </c>
      <c r="D4308" s="4" t="n">
        <v>4</v>
      </c>
      <c r="E4308" s="4" t="s">
        <v>3641</v>
      </c>
      <c r="F4308" s="4" t="n">
        <v>31</v>
      </c>
      <c r="G4308" s="4" t="n">
        <v>4</v>
      </c>
      <c r="H4308" s="4" t="n">
        <v>4</v>
      </c>
      <c r="I4308" s="4" t="str">
        <v>×</v>
      </c>
      <c r="J4308" s="4"/>
      <c r="K4308" s="4"/>
      <c r="L4308" s="4"/>
      <c r="M4308" s="7" t="s">
        <v>3577</v>
      </c>
    </row>
    <row r="4309" customFormat="false" ht="15.75" hidden="false" customHeight="false" outlineLevel="0" collapsed="false">
      <c r="A4309" s="3" t="n">
        <v>46235</v>
      </c>
      <c r="B4309" s="4" t="s">
        <v>179</v>
      </c>
      <c r="C4309" s="4" t="n">
        <v>7</v>
      </c>
      <c r="D4309" s="4" t="n">
        <v>5</v>
      </c>
      <c r="E4309" s="4" t="s">
        <v>3642</v>
      </c>
      <c r="F4309" s="4" t="n">
        <v>31</v>
      </c>
      <c r="G4309" s="4" t="n">
        <v>4</v>
      </c>
      <c r="H4309" s="4" t="n">
        <v>4</v>
      </c>
      <c r="I4309" s="4" t="str">
        <v>×</v>
      </c>
      <c r="J4309" s="4"/>
      <c r="K4309" s="4"/>
      <c r="L4309" s="4"/>
      <c r="M4309" s="7" t="s">
        <v>3577</v>
      </c>
    </row>
    <row r="4310" customFormat="false" ht="15.75" hidden="false" customHeight="false" outlineLevel="0" collapsed="false">
      <c r="A4310" s="3" t="n">
        <v>46235</v>
      </c>
      <c r="B4310" s="4" t="s">
        <v>179</v>
      </c>
      <c r="C4310" s="4" t="n">
        <v>7</v>
      </c>
      <c r="D4310" s="4" t="n">
        <v>6</v>
      </c>
      <c r="E4310" s="4" t="s">
        <v>3643</v>
      </c>
      <c r="F4310" s="4" t="n">
        <v>23</v>
      </c>
      <c r="G4310" s="4" t="n">
        <v>9</v>
      </c>
      <c r="H4310" s="4" t="n">
        <v>1</v>
      </c>
      <c r="I4310" s="4" t="str">
        <v>○</v>
      </c>
      <c r="J4310" s="4" t="n">
        <v>460</v>
      </c>
      <c r="K4310" s="4"/>
      <c r="L4310" s="4"/>
      <c r="M4310" s="7" t="s">
        <v>3577</v>
      </c>
    </row>
    <row r="4311" customFormat="false" ht="15.75" hidden="false" customHeight="false" outlineLevel="0" collapsed="false">
      <c r="A4311" s="3" t="n">
        <v>46235</v>
      </c>
      <c r="B4311" s="4" t="s">
        <v>179</v>
      </c>
      <c r="C4311" s="4" t="n">
        <v>7</v>
      </c>
      <c r="D4311" s="4" t="n">
        <v>7</v>
      </c>
      <c r="E4311" s="4" t="s">
        <v>99</v>
      </c>
      <c r="F4311" s="4" t="n">
        <v>20</v>
      </c>
      <c r="G4311" s="4" t="n">
        <v>11</v>
      </c>
      <c r="H4311" s="4" t="n">
        <v>4</v>
      </c>
      <c r="I4311" s="4" t="str">
        <v>×</v>
      </c>
      <c r="J4311" s="4"/>
      <c r="K4311" s="4"/>
      <c r="L4311" s="4"/>
      <c r="M4311" s="7" t="s">
        <v>3577</v>
      </c>
    </row>
    <row r="4312" customFormat="false" ht="15.75" hidden="false" customHeight="false" outlineLevel="0" collapsed="false">
      <c r="A4312" s="3" t="n">
        <v>46235</v>
      </c>
      <c r="B4312" s="4" t="s">
        <v>179</v>
      </c>
      <c r="C4312" s="4" t="n">
        <v>7</v>
      </c>
      <c r="D4312" s="4" t="n">
        <v>8</v>
      </c>
      <c r="E4312" s="4" t="s">
        <v>3644</v>
      </c>
      <c r="F4312" s="4" t="n">
        <v>34</v>
      </c>
      <c r="G4312" s="4" t="n">
        <v>3</v>
      </c>
      <c r="H4312" s="4" t="n">
        <v>2</v>
      </c>
      <c r="I4312" s="4" t="str">
        <v>○</v>
      </c>
      <c r="J4312" s="4" t="n">
        <v>240</v>
      </c>
      <c r="K4312" s="4"/>
      <c r="L4312" s="4"/>
      <c r="M4312" s="7" t="s">
        <v>3577</v>
      </c>
    </row>
    <row r="4313" customFormat="false" ht="15.75" hidden="false" customHeight="false" outlineLevel="0" collapsed="false">
      <c r="A4313" s="3" t="n">
        <v>46235</v>
      </c>
      <c r="B4313" s="4" t="s">
        <v>179</v>
      </c>
      <c r="C4313" s="4" t="n">
        <v>7</v>
      </c>
      <c r="D4313" s="4" t="n">
        <v>9</v>
      </c>
      <c r="E4313" s="4" t="s">
        <v>3645</v>
      </c>
      <c r="F4313" s="4" t="n">
        <v>29</v>
      </c>
      <c r="G4313" s="4" t="n">
        <v>8</v>
      </c>
      <c r="H4313" s="4" t="n">
        <v>4</v>
      </c>
      <c r="I4313" s="4" t="str">
        <v>×</v>
      </c>
      <c r="J4313" s="4"/>
      <c r="K4313" s="4"/>
      <c r="L4313" s="4"/>
      <c r="M4313" s="7" t="s">
        <v>3577</v>
      </c>
    </row>
    <row r="4314" customFormat="false" ht="15.75" hidden="false" customHeight="false" outlineLevel="0" collapsed="false">
      <c r="A4314" s="3" t="n">
        <v>46235</v>
      </c>
      <c r="B4314" s="4" t="s">
        <v>179</v>
      </c>
      <c r="C4314" s="4" t="n">
        <v>7</v>
      </c>
      <c r="D4314" s="4" t="n">
        <v>10</v>
      </c>
      <c r="E4314" s="4" t="s">
        <v>3646</v>
      </c>
      <c r="F4314" s="4" t="n">
        <v>23</v>
      </c>
      <c r="G4314" s="4" t="n">
        <v>9</v>
      </c>
      <c r="H4314" s="4" t="n">
        <v>4</v>
      </c>
      <c r="I4314" s="4" t="str">
        <v>×</v>
      </c>
      <c r="J4314" s="4"/>
      <c r="K4314" s="4"/>
      <c r="L4314" s="4"/>
      <c r="M4314" s="7" t="s">
        <v>3577</v>
      </c>
    </row>
    <row r="4315" customFormat="false" ht="15.75" hidden="false" customHeight="false" outlineLevel="0" collapsed="false">
      <c r="A4315" s="3" t="n">
        <v>46235</v>
      </c>
      <c r="B4315" s="4" t="s">
        <v>179</v>
      </c>
      <c r="C4315" s="4" t="n">
        <v>7</v>
      </c>
      <c r="D4315" s="4" t="n">
        <v>11</v>
      </c>
      <c r="E4315" s="4" t="s">
        <v>1213</v>
      </c>
      <c r="F4315" s="4" t="n">
        <v>31</v>
      </c>
      <c r="G4315" s="4" t="n">
        <v>4</v>
      </c>
      <c r="H4315" s="4" t="n">
        <v>4</v>
      </c>
      <c r="I4315" s="4" t="str">
        <v>×</v>
      </c>
      <c r="J4315" s="4"/>
      <c r="K4315" s="4"/>
      <c r="L4315" s="4"/>
      <c r="M4315" s="7" t="s">
        <v>3577</v>
      </c>
    </row>
    <row r="4316" customFormat="false" ht="15.75" hidden="false" customHeight="false" outlineLevel="0" collapsed="false">
      <c r="A4316" s="3" t="n">
        <v>46235</v>
      </c>
      <c r="B4316" s="4" t="s">
        <v>179</v>
      </c>
      <c r="C4316" s="4" t="n">
        <v>8</v>
      </c>
      <c r="D4316" s="4" t="n">
        <v>1</v>
      </c>
      <c r="E4316" s="4" t="s">
        <v>3479</v>
      </c>
      <c r="F4316" s="4" t="n">
        <v>23</v>
      </c>
      <c r="G4316" s="4" t="n">
        <v>4</v>
      </c>
      <c r="H4316" s="4" t="n">
        <v>4</v>
      </c>
      <c r="I4316" s="4" t="str">
        <v>×</v>
      </c>
      <c r="J4316" s="4"/>
      <c r="K4316" s="4"/>
      <c r="L4316" s="4"/>
      <c r="M4316" s="7" t="s">
        <v>3577</v>
      </c>
    </row>
    <row r="4317" customFormat="false" ht="15.75" hidden="false" customHeight="false" outlineLevel="0" collapsed="false">
      <c r="A4317" s="3" t="n">
        <v>46235</v>
      </c>
      <c r="B4317" s="4" t="s">
        <v>179</v>
      </c>
      <c r="C4317" s="4" t="n">
        <v>8</v>
      </c>
      <c r="D4317" s="4" t="n">
        <v>2</v>
      </c>
      <c r="E4317" s="4" t="s">
        <v>1054</v>
      </c>
      <c r="F4317" s="4" t="n">
        <v>1</v>
      </c>
      <c r="G4317" s="4" t="n">
        <v>13</v>
      </c>
      <c r="H4317" s="4" t="n">
        <v>4</v>
      </c>
      <c r="I4317" s="4" t="str">
        <v>×</v>
      </c>
      <c r="J4317" s="4"/>
      <c r="K4317" s="4"/>
      <c r="L4317" s="4"/>
      <c r="M4317" s="7" t="s">
        <v>3577</v>
      </c>
    </row>
    <row r="4318" customFormat="false" ht="15.75" hidden="false" customHeight="false" outlineLevel="0" collapsed="false">
      <c r="A4318" s="3" t="n">
        <v>46235</v>
      </c>
      <c r="B4318" s="4" t="s">
        <v>179</v>
      </c>
      <c r="C4318" s="4" t="n">
        <v>8</v>
      </c>
      <c r="D4318" s="4" t="n">
        <v>3</v>
      </c>
      <c r="E4318" s="4" t="s">
        <v>3647</v>
      </c>
      <c r="F4318" s="4" t="n">
        <v>23</v>
      </c>
      <c r="G4318" s="4" t="n">
        <v>4</v>
      </c>
      <c r="H4318" s="4" t="n">
        <v>4</v>
      </c>
      <c r="I4318" s="4" t="str">
        <v>×</v>
      </c>
      <c r="J4318" s="4"/>
      <c r="K4318" s="4"/>
      <c r="L4318" s="4"/>
      <c r="M4318" s="7" t="s">
        <v>3577</v>
      </c>
    </row>
    <row r="4319" customFormat="false" ht="15.75" hidden="false" customHeight="false" outlineLevel="0" collapsed="false">
      <c r="A4319" s="3" t="n">
        <v>46235</v>
      </c>
      <c r="B4319" s="4" t="s">
        <v>179</v>
      </c>
      <c r="C4319" s="4" t="n">
        <v>8</v>
      </c>
      <c r="D4319" s="4" t="n">
        <v>4</v>
      </c>
      <c r="E4319" s="4" t="s">
        <v>3648</v>
      </c>
      <c r="F4319" s="4" t="n">
        <v>47</v>
      </c>
      <c r="G4319" s="4" t="n">
        <v>2</v>
      </c>
      <c r="H4319" s="4" t="n">
        <v>3</v>
      </c>
      <c r="I4319" s="4" t="str">
        <v>○</v>
      </c>
      <c r="J4319" s="4" t="n">
        <v>130</v>
      </c>
      <c r="K4319" s="4"/>
      <c r="L4319" s="4"/>
      <c r="M4319" s="7" t="s">
        <v>3577</v>
      </c>
    </row>
    <row r="4320" customFormat="false" ht="15.75" hidden="false" customHeight="false" outlineLevel="0" collapsed="false">
      <c r="A4320" s="3" t="n">
        <v>46235</v>
      </c>
      <c r="B4320" s="4" t="s">
        <v>179</v>
      </c>
      <c r="C4320" s="4" t="n">
        <v>8</v>
      </c>
      <c r="D4320" s="4" t="n">
        <v>5</v>
      </c>
      <c r="E4320" s="4" t="s">
        <v>3649</v>
      </c>
      <c r="F4320" s="4" t="n">
        <v>8</v>
      </c>
      <c r="G4320" s="4" t="n">
        <v>9</v>
      </c>
      <c r="H4320" s="4" t="n">
        <v>4</v>
      </c>
      <c r="I4320" s="4" t="str">
        <v>×</v>
      </c>
      <c r="J4320" s="4"/>
      <c r="K4320" s="4"/>
      <c r="L4320" s="4"/>
      <c r="M4320" s="7" t="s">
        <v>3577</v>
      </c>
    </row>
    <row r="4321" customFormat="false" ht="15.75" hidden="false" customHeight="false" outlineLevel="0" collapsed="false">
      <c r="A4321" s="3" t="n">
        <v>46235</v>
      </c>
      <c r="B4321" s="4" t="s">
        <v>179</v>
      </c>
      <c r="C4321" s="4" t="n">
        <v>8</v>
      </c>
      <c r="D4321" s="4" t="n">
        <v>6</v>
      </c>
      <c r="E4321" s="4" t="s">
        <v>2512</v>
      </c>
      <c r="F4321" s="4" t="n">
        <v>6</v>
      </c>
      <c r="G4321" s="4" t="n">
        <v>10</v>
      </c>
      <c r="H4321" s="4" t="n">
        <v>4</v>
      </c>
      <c r="I4321" s="4" t="str">
        <v>×</v>
      </c>
      <c r="J4321" s="4"/>
      <c r="K4321" s="4"/>
      <c r="L4321" s="4"/>
      <c r="M4321" s="7" t="s">
        <v>3577</v>
      </c>
    </row>
    <row r="4322" customFormat="false" ht="15.75" hidden="false" customHeight="false" outlineLevel="0" collapsed="false">
      <c r="A4322" s="3" t="n">
        <v>46235</v>
      </c>
      <c r="B4322" s="4" t="s">
        <v>179</v>
      </c>
      <c r="C4322" s="4" t="n">
        <v>8</v>
      </c>
      <c r="D4322" s="4" t="n">
        <v>7</v>
      </c>
      <c r="E4322" s="4" t="s">
        <v>2515</v>
      </c>
      <c r="F4322" s="4" t="n">
        <v>6</v>
      </c>
      <c r="G4322" s="4" t="n">
        <v>10</v>
      </c>
      <c r="H4322" s="4" t="n">
        <v>4</v>
      </c>
      <c r="I4322" s="4" t="str">
        <v>×</v>
      </c>
      <c r="J4322" s="4"/>
      <c r="K4322" s="4"/>
      <c r="L4322" s="4"/>
      <c r="M4322" s="7" t="s">
        <v>3577</v>
      </c>
    </row>
    <row r="4323" customFormat="false" ht="15.75" hidden="false" customHeight="false" outlineLevel="0" collapsed="false">
      <c r="A4323" s="3" t="n">
        <v>46235</v>
      </c>
      <c r="B4323" s="4" t="s">
        <v>179</v>
      </c>
      <c r="C4323" s="4" t="n">
        <v>8</v>
      </c>
      <c r="D4323" s="4" t="n">
        <v>8</v>
      </c>
      <c r="E4323" s="4" t="s">
        <v>3650</v>
      </c>
      <c r="F4323" s="4" t="n">
        <v>41</v>
      </c>
      <c r="G4323" s="4" t="n">
        <v>3</v>
      </c>
      <c r="H4323" s="4" t="n">
        <v>2</v>
      </c>
      <c r="I4323" s="4" t="str">
        <v>○</v>
      </c>
      <c r="J4323" s="4" t="n">
        <v>220</v>
      </c>
      <c r="K4323" s="4"/>
      <c r="L4323" s="4"/>
      <c r="M4323" s="7" t="s">
        <v>3577</v>
      </c>
    </row>
    <row r="4324" customFormat="false" ht="15.75" hidden="false" customHeight="false" outlineLevel="0" collapsed="false">
      <c r="A4324" s="3" t="n">
        <v>46235</v>
      </c>
      <c r="B4324" s="4" t="s">
        <v>179</v>
      </c>
      <c r="C4324" s="4" t="n">
        <v>8</v>
      </c>
      <c r="D4324" s="4" t="n">
        <v>9</v>
      </c>
      <c r="E4324" s="4" t="s">
        <v>3651</v>
      </c>
      <c r="F4324" s="4" t="n">
        <v>10</v>
      </c>
      <c r="G4324" s="4" t="n">
        <v>8</v>
      </c>
      <c r="H4324" s="4" t="n">
        <v>4</v>
      </c>
      <c r="I4324" s="4" t="str">
        <v>×</v>
      </c>
      <c r="J4324" s="4"/>
      <c r="K4324" s="4"/>
      <c r="L4324" s="4"/>
      <c r="M4324" s="7" t="s">
        <v>3577</v>
      </c>
    </row>
    <row r="4325" customFormat="false" ht="15.75" hidden="false" customHeight="false" outlineLevel="0" collapsed="false">
      <c r="A4325" s="3" t="n">
        <v>46235</v>
      </c>
      <c r="B4325" s="4" t="s">
        <v>179</v>
      </c>
      <c r="C4325" s="4" t="n">
        <v>8</v>
      </c>
      <c r="D4325" s="4" t="n">
        <v>10</v>
      </c>
      <c r="E4325" s="4" t="s">
        <v>3652</v>
      </c>
      <c r="F4325" s="4" t="n">
        <v>74</v>
      </c>
      <c r="G4325" s="4" t="n">
        <v>1</v>
      </c>
      <c r="H4325" s="4" t="n">
        <v>1</v>
      </c>
      <c r="I4325" s="4" t="str">
        <v>○</v>
      </c>
      <c r="J4325" s="4" t="n">
        <v>100</v>
      </c>
      <c r="K4325" s="4"/>
      <c r="L4325" s="4"/>
      <c r="M4325" s="7" t="s">
        <v>3577</v>
      </c>
    </row>
    <row r="4326" customFormat="false" ht="15.75" hidden="false" customHeight="false" outlineLevel="0" collapsed="false">
      <c r="A4326" s="3" t="n">
        <v>46235</v>
      </c>
      <c r="B4326" s="4" t="s">
        <v>179</v>
      </c>
      <c r="C4326" s="4" t="n">
        <v>8</v>
      </c>
      <c r="D4326" s="4" t="n">
        <v>11</v>
      </c>
      <c r="E4326" s="4" t="s">
        <v>3653</v>
      </c>
      <c r="F4326" s="4" t="n">
        <v>20</v>
      </c>
      <c r="G4326" s="4" t="n">
        <v>6</v>
      </c>
      <c r="H4326" s="4" t="n">
        <v>4</v>
      </c>
      <c r="I4326" s="4" t="str">
        <v>×</v>
      </c>
      <c r="J4326" s="4"/>
      <c r="K4326" s="4"/>
      <c r="L4326" s="4"/>
      <c r="M4326" s="7" t="s">
        <v>3577</v>
      </c>
    </row>
    <row r="4327" customFormat="false" ht="15.75" hidden="false" customHeight="false" outlineLevel="0" collapsed="false">
      <c r="A4327" s="3" t="n">
        <v>46235</v>
      </c>
      <c r="B4327" s="4" t="s">
        <v>179</v>
      </c>
      <c r="C4327" s="4" t="n">
        <v>8</v>
      </c>
      <c r="D4327" s="4" t="n">
        <v>12</v>
      </c>
      <c r="E4327" s="4" t="s">
        <v>3654</v>
      </c>
      <c r="F4327" s="4" t="n">
        <v>20</v>
      </c>
      <c r="G4327" s="4" t="n">
        <v>6</v>
      </c>
      <c r="H4327" s="4" t="n">
        <v>4</v>
      </c>
      <c r="I4327" s="4" t="str">
        <v>×</v>
      </c>
      <c r="J4327" s="4"/>
      <c r="K4327" s="4"/>
      <c r="L4327" s="4"/>
      <c r="M4327" s="7" t="s">
        <v>3577</v>
      </c>
    </row>
    <row r="4328" customFormat="false" ht="15.75" hidden="false" customHeight="false" outlineLevel="0" collapsed="false">
      <c r="A4328" s="3" t="n">
        <v>46235</v>
      </c>
      <c r="B4328" s="4" t="s">
        <v>179</v>
      </c>
      <c r="C4328" s="4" t="n">
        <v>8</v>
      </c>
      <c r="D4328" s="4" t="n">
        <v>13</v>
      </c>
      <c r="E4328" s="4" t="s">
        <v>1207</v>
      </c>
      <c r="F4328" s="4" t="n">
        <v>2</v>
      </c>
      <c r="G4328" s="4" t="n">
        <v>12</v>
      </c>
      <c r="H4328" s="4" t="n">
        <v>4</v>
      </c>
      <c r="I4328" s="4" t="str">
        <v>×</v>
      </c>
      <c r="J4328" s="4"/>
      <c r="K4328" s="4"/>
      <c r="L4328" s="4"/>
      <c r="M4328" s="7" t="s">
        <v>3577</v>
      </c>
    </row>
    <row r="4329" customFormat="false" ht="15.75" hidden="false" customHeight="false" outlineLevel="0" collapsed="false">
      <c r="A4329" s="3" t="n">
        <v>46235</v>
      </c>
      <c r="B4329" s="4" t="s">
        <v>179</v>
      </c>
      <c r="C4329" s="4" t="n">
        <v>9</v>
      </c>
      <c r="D4329" s="4" t="n">
        <v>1</v>
      </c>
      <c r="E4329" s="4" t="s">
        <v>3655</v>
      </c>
      <c r="F4329" s="4" t="n">
        <v>21</v>
      </c>
      <c r="G4329" s="4" t="n">
        <v>6</v>
      </c>
      <c r="H4329" s="4" t="n">
        <v>4</v>
      </c>
      <c r="I4329" s="4" t="str">
        <v>×</v>
      </c>
      <c r="J4329" s="4"/>
      <c r="K4329" s="4"/>
      <c r="L4329" s="4"/>
      <c r="M4329" s="7" t="s">
        <v>3577</v>
      </c>
    </row>
    <row r="4330" customFormat="false" ht="15.75" hidden="false" customHeight="false" outlineLevel="0" collapsed="false">
      <c r="A4330" s="3" t="n">
        <v>46235</v>
      </c>
      <c r="B4330" s="4" t="s">
        <v>179</v>
      </c>
      <c r="C4330" s="4" t="n">
        <v>9</v>
      </c>
      <c r="D4330" s="4" t="n">
        <v>2</v>
      </c>
      <c r="E4330" s="4" t="s">
        <v>3326</v>
      </c>
      <c r="F4330" s="4" t="n">
        <v>37</v>
      </c>
      <c r="G4330" s="4" t="n">
        <v>4</v>
      </c>
      <c r="H4330" s="4" t="n">
        <v>3</v>
      </c>
      <c r="I4330" s="4" t="str">
        <v>○</v>
      </c>
      <c r="J4330" s="4" t="n">
        <v>150</v>
      </c>
      <c r="K4330" s="4"/>
      <c r="L4330" s="4"/>
      <c r="M4330" s="7" t="s">
        <v>3577</v>
      </c>
    </row>
    <row r="4331" customFormat="false" ht="15.75" hidden="false" customHeight="false" outlineLevel="0" collapsed="false">
      <c r="A4331" s="3" t="n">
        <v>46235</v>
      </c>
      <c r="B4331" s="4" t="s">
        <v>179</v>
      </c>
      <c r="C4331" s="4" t="n">
        <v>9</v>
      </c>
      <c r="D4331" s="4" t="n">
        <v>3</v>
      </c>
      <c r="E4331" s="4" t="s">
        <v>2808</v>
      </c>
      <c r="F4331" s="4" t="n">
        <v>55</v>
      </c>
      <c r="G4331" s="4" t="n">
        <v>1</v>
      </c>
      <c r="H4331" s="4" t="n">
        <v>4</v>
      </c>
      <c r="I4331" s="4" t="str">
        <v>×</v>
      </c>
      <c r="J4331" s="4"/>
      <c r="K4331" s="4"/>
      <c r="L4331" s="4"/>
      <c r="M4331" s="7" t="s">
        <v>3577</v>
      </c>
    </row>
    <row r="4332" customFormat="false" ht="15.75" hidden="false" customHeight="false" outlineLevel="0" collapsed="false">
      <c r="A4332" s="3" t="n">
        <v>46235</v>
      </c>
      <c r="B4332" s="4" t="s">
        <v>179</v>
      </c>
      <c r="C4332" s="4" t="n">
        <v>9</v>
      </c>
      <c r="D4332" s="4" t="n">
        <v>4</v>
      </c>
      <c r="E4332" s="4" t="s">
        <v>3133</v>
      </c>
      <c r="F4332" s="4" t="n">
        <v>27</v>
      </c>
      <c r="G4332" s="4" t="n">
        <v>5</v>
      </c>
      <c r="H4332" s="4" t="n">
        <v>4</v>
      </c>
      <c r="I4332" s="4" t="str">
        <v>×</v>
      </c>
      <c r="J4332" s="4"/>
      <c r="K4332" s="4"/>
      <c r="L4332" s="4"/>
      <c r="M4332" s="7" t="s">
        <v>3577</v>
      </c>
    </row>
    <row r="4333" customFormat="false" ht="15.75" hidden="false" customHeight="false" outlineLevel="0" collapsed="false">
      <c r="A4333" s="3" t="n">
        <v>46235</v>
      </c>
      <c r="B4333" s="4" t="s">
        <v>179</v>
      </c>
      <c r="C4333" s="4" t="n">
        <v>9</v>
      </c>
      <c r="D4333" s="4" t="n">
        <v>5</v>
      </c>
      <c r="E4333" s="4" t="s">
        <v>3656</v>
      </c>
      <c r="F4333" s="4" t="n">
        <v>8</v>
      </c>
      <c r="G4333" s="4" t="n">
        <v>9</v>
      </c>
      <c r="H4333" s="4" t="n">
        <v>4</v>
      </c>
      <c r="I4333" s="4" t="str">
        <v>×</v>
      </c>
      <c r="J4333" s="4"/>
      <c r="K4333" s="4"/>
      <c r="L4333" s="4"/>
      <c r="M4333" s="7" t="s">
        <v>3577</v>
      </c>
    </row>
    <row r="4334" customFormat="false" ht="15.75" hidden="false" customHeight="false" outlineLevel="0" collapsed="false">
      <c r="A4334" s="3" t="n">
        <v>46235</v>
      </c>
      <c r="B4334" s="4" t="s">
        <v>179</v>
      </c>
      <c r="C4334" s="4" t="n">
        <v>9</v>
      </c>
      <c r="D4334" s="4" t="n">
        <v>6</v>
      </c>
      <c r="E4334" s="4" t="s">
        <v>3657</v>
      </c>
      <c r="F4334" s="4" t="n">
        <v>8</v>
      </c>
      <c r="G4334" s="4" t="n">
        <v>9</v>
      </c>
      <c r="H4334" s="4" t="n">
        <v>4</v>
      </c>
      <c r="I4334" s="4" t="str">
        <v>×</v>
      </c>
      <c r="J4334" s="4"/>
      <c r="K4334" s="4"/>
      <c r="L4334" s="4"/>
      <c r="M4334" s="7" t="s">
        <v>3577</v>
      </c>
    </row>
    <row r="4335" customFormat="false" ht="15.75" hidden="false" customHeight="false" outlineLevel="0" collapsed="false">
      <c r="A4335" s="3" t="n">
        <v>46235</v>
      </c>
      <c r="B4335" s="4" t="s">
        <v>179</v>
      </c>
      <c r="C4335" s="4" t="n">
        <v>9</v>
      </c>
      <c r="D4335" s="4" t="n">
        <v>7</v>
      </c>
      <c r="E4335" s="4" t="s">
        <v>3658</v>
      </c>
      <c r="F4335" s="4" t="n">
        <v>55</v>
      </c>
      <c r="G4335" s="4" t="n">
        <v>1</v>
      </c>
      <c r="H4335" s="4" t="n">
        <v>1</v>
      </c>
      <c r="I4335" s="4" t="str">
        <v>○</v>
      </c>
      <c r="J4335" s="4" t="n">
        <v>160</v>
      </c>
      <c r="K4335" s="4"/>
      <c r="L4335" s="4"/>
      <c r="M4335" s="7" t="s">
        <v>3577</v>
      </c>
    </row>
    <row r="4336" customFormat="false" ht="15.75" hidden="false" customHeight="false" outlineLevel="0" collapsed="false">
      <c r="A4336" s="3" t="n">
        <v>46235</v>
      </c>
      <c r="B4336" s="4" t="s">
        <v>179</v>
      </c>
      <c r="C4336" s="4" t="n">
        <v>9</v>
      </c>
      <c r="D4336" s="4" t="n">
        <v>8</v>
      </c>
      <c r="E4336" s="4" t="s">
        <v>3659</v>
      </c>
      <c r="F4336" s="4" t="n">
        <v>44</v>
      </c>
      <c r="G4336" s="4" t="n">
        <v>3</v>
      </c>
      <c r="H4336" s="4" t="n">
        <v>2</v>
      </c>
      <c r="I4336" s="4" t="str">
        <v>○</v>
      </c>
      <c r="J4336" s="4" t="n">
        <v>130</v>
      </c>
      <c r="K4336" s="4"/>
      <c r="L4336" s="4"/>
      <c r="M4336" s="7" t="s">
        <v>3577</v>
      </c>
    </row>
    <row r="4337" customFormat="false" ht="15.75" hidden="false" customHeight="false" outlineLevel="0" collapsed="false">
      <c r="A4337" s="3" t="n">
        <v>46235</v>
      </c>
      <c r="B4337" s="4" t="s">
        <v>179</v>
      </c>
      <c r="C4337" s="4" t="n">
        <v>9</v>
      </c>
      <c r="D4337" s="4" t="n">
        <v>9</v>
      </c>
      <c r="E4337" s="4" t="s">
        <v>3660</v>
      </c>
      <c r="F4337" s="4" t="n">
        <v>6</v>
      </c>
      <c r="G4337" s="4" t="n">
        <v>11</v>
      </c>
      <c r="H4337" s="4" t="n">
        <v>4</v>
      </c>
      <c r="I4337" s="4" t="str">
        <v>×</v>
      </c>
      <c r="J4337" s="4"/>
      <c r="K4337" s="4"/>
      <c r="L4337" s="4"/>
      <c r="M4337" s="7" t="s">
        <v>3577</v>
      </c>
    </row>
    <row r="4338" customFormat="false" ht="15.75" hidden="false" customHeight="false" outlineLevel="0" collapsed="false">
      <c r="A4338" s="3" t="n">
        <v>46235</v>
      </c>
      <c r="B4338" s="4" t="s">
        <v>179</v>
      </c>
      <c r="C4338" s="4" t="n">
        <v>9</v>
      </c>
      <c r="D4338" s="4" t="n">
        <v>10</v>
      </c>
      <c r="E4338" s="4" t="s">
        <v>3661</v>
      </c>
      <c r="F4338" s="4" t="n">
        <v>21</v>
      </c>
      <c r="G4338" s="4" t="n">
        <v>6</v>
      </c>
      <c r="H4338" s="4" t="n">
        <v>4</v>
      </c>
      <c r="I4338" s="4" t="str">
        <v>×</v>
      </c>
      <c r="J4338" s="4"/>
      <c r="K4338" s="4"/>
      <c r="L4338" s="4"/>
      <c r="M4338" s="7" t="s">
        <v>3577</v>
      </c>
    </row>
    <row r="4339" customFormat="false" ht="15.75" hidden="false" customHeight="false" outlineLevel="0" collapsed="false">
      <c r="A4339" s="3" t="n">
        <v>46235</v>
      </c>
      <c r="B4339" s="4" t="s">
        <v>179</v>
      </c>
      <c r="C4339" s="4" t="n">
        <v>9</v>
      </c>
      <c r="D4339" s="4" t="n">
        <v>11</v>
      </c>
      <c r="E4339" s="4" t="s">
        <v>3662</v>
      </c>
      <c r="F4339" s="4" t="n">
        <v>12</v>
      </c>
      <c r="G4339" s="4" t="n">
        <v>8</v>
      </c>
      <c r="H4339" s="4" t="n">
        <v>4</v>
      </c>
      <c r="I4339" s="4" t="str">
        <v>×</v>
      </c>
      <c r="J4339" s="4"/>
      <c r="K4339" s="4"/>
      <c r="L4339" s="4"/>
      <c r="M4339" s="7" t="s">
        <v>3577</v>
      </c>
    </row>
    <row r="4340" customFormat="false" ht="15.75" hidden="false" customHeight="false" outlineLevel="0" collapsed="false">
      <c r="A4340" s="3" t="n">
        <v>46235</v>
      </c>
      <c r="B4340" s="4" t="s">
        <v>179</v>
      </c>
      <c r="C4340" s="4" t="n">
        <v>10</v>
      </c>
      <c r="D4340" s="4" t="n">
        <v>1</v>
      </c>
      <c r="E4340" s="4" t="s">
        <v>3663</v>
      </c>
      <c r="F4340" s="4" t="n">
        <v>6</v>
      </c>
      <c r="G4340" s="4" t="n">
        <v>13</v>
      </c>
      <c r="H4340" s="4" t="n">
        <v>4</v>
      </c>
      <c r="I4340" s="4" t="str">
        <v>×</v>
      </c>
      <c r="J4340" s="4"/>
      <c r="K4340" s="4"/>
      <c r="L4340" s="4"/>
      <c r="M4340" s="7" t="s">
        <v>3577</v>
      </c>
    </row>
    <row r="4341" customFormat="false" ht="15.75" hidden="false" customHeight="false" outlineLevel="0" collapsed="false">
      <c r="A4341" s="3" t="n">
        <v>46235</v>
      </c>
      <c r="B4341" s="4" t="s">
        <v>179</v>
      </c>
      <c r="C4341" s="4" t="n">
        <v>10</v>
      </c>
      <c r="D4341" s="4" t="n">
        <v>2</v>
      </c>
      <c r="E4341" s="4" t="s">
        <v>3664</v>
      </c>
      <c r="F4341" s="4" t="n">
        <v>47</v>
      </c>
      <c r="G4341" s="4" t="n">
        <v>2</v>
      </c>
      <c r="H4341" s="4" t="n">
        <v>4</v>
      </c>
      <c r="I4341" s="4" t="str">
        <v>×</v>
      </c>
      <c r="J4341" s="4"/>
      <c r="K4341" s="4"/>
      <c r="L4341" s="4"/>
      <c r="M4341" s="7" t="s">
        <v>3577</v>
      </c>
    </row>
    <row r="4342" customFormat="false" ht="15.75" hidden="false" customHeight="false" outlineLevel="0" collapsed="false">
      <c r="A4342" s="3" t="n">
        <v>46235</v>
      </c>
      <c r="B4342" s="4" t="s">
        <v>179</v>
      </c>
      <c r="C4342" s="4" t="n">
        <v>10</v>
      </c>
      <c r="D4342" s="4" t="n">
        <v>3</v>
      </c>
      <c r="E4342" s="4" t="s">
        <v>3665</v>
      </c>
      <c r="F4342" s="4" t="n">
        <v>23</v>
      </c>
      <c r="G4342" s="4" t="n">
        <v>5</v>
      </c>
      <c r="H4342" s="4" t="n">
        <v>4</v>
      </c>
      <c r="I4342" s="4" t="str">
        <v>×</v>
      </c>
      <c r="J4342" s="4"/>
      <c r="K4342" s="4"/>
      <c r="L4342" s="4"/>
      <c r="M4342" s="7" t="s">
        <v>3577</v>
      </c>
    </row>
    <row r="4343" customFormat="false" ht="15.75" hidden="false" customHeight="false" outlineLevel="0" collapsed="false">
      <c r="A4343" s="3" t="n">
        <v>46235</v>
      </c>
      <c r="B4343" s="4" t="s">
        <v>179</v>
      </c>
      <c r="C4343" s="4" t="n">
        <v>10</v>
      </c>
      <c r="D4343" s="4" t="n">
        <v>4</v>
      </c>
      <c r="E4343" s="4" t="s">
        <v>3666</v>
      </c>
      <c r="F4343" s="4" t="n">
        <v>28</v>
      </c>
      <c r="G4343" s="4" t="n">
        <v>4</v>
      </c>
      <c r="H4343" s="4" t="n">
        <v>4</v>
      </c>
      <c r="I4343" s="4" t="str">
        <v>×</v>
      </c>
      <c r="J4343" s="4"/>
      <c r="K4343" s="4"/>
      <c r="L4343" s="4"/>
      <c r="M4343" s="7" t="s">
        <v>3577</v>
      </c>
    </row>
    <row r="4344" customFormat="false" ht="15.75" hidden="false" customHeight="false" outlineLevel="0" collapsed="false">
      <c r="A4344" s="3" t="n">
        <v>46235</v>
      </c>
      <c r="B4344" s="4" t="s">
        <v>179</v>
      </c>
      <c r="C4344" s="4" t="n">
        <v>10</v>
      </c>
      <c r="D4344" s="4" t="n">
        <v>5</v>
      </c>
      <c r="E4344" s="4" t="s">
        <v>2107</v>
      </c>
      <c r="F4344" s="4" t="n">
        <v>15</v>
      </c>
      <c r="G4344" s="4" t="n">
        <v>9</v>
      </c>
      <c r="H4344" s="4" t="n">
        <v>4</v>
      </c>
      <c r="I4344" s="4" t="str">
        <v>×</v>
      </c>
      <c r="J4344" s="4"/>
      <c r="K4344" s="4"/>
      <c r="L4344" s="4"/>
      <c r="M4344" s="7" t="s">
        <v>3577</v>
      </c>
    </row>
    <row r="4345" customFormat="false" ht="15.75" hidden="false" customHeight="false" outlineLevel="0" collapsed="false">
      <c r="A4345" s="3" t="n">
        <v>46235</v>
      </c>
      <c r="B4345" s="4" t="s">
        <v>179</v>
      </c>
      <c r="C4345" s="4" t="n">
        <v>10</v>
      </c>
      <c r="D4345" s="4" t="n">
        <v>6</v>
      </c>
      <c r="E4345" s="4" t="s">
        <v>3667</v>
      </c>
      <c r="F4345" s="4" t="n">
        <v>4</v>
      </c>
      <c r="G4345" s="4" t="n">
        <v>15</v>
      </c>
      <c r="H4345" s="4" t="n">
        <v>4</v>
      </c>
      <c r="I4345" s="4" t="str">
        <v>×</v>
      </c>
      <c r="J4345" s="4"/>
      <c r="K4345" s="4"/>
      <c r="L4345" s="4"/>
      <c r="M4345" s="7" t="s">
        <v>3577</v>
      </c>
    </row>
    <row r="4346" customFormat="false" ht="15.75" hidden="false" customHeight="false" outlineLevel="0" collapsed="false">
      <c r="A4346" s="3" t="n">
        <v>46235</v>
      </c>
      <c r="B4346" s="4" t="s">
        <v>179</v>
      </c>
      <c r="C4346" s="4" t="n">
        <v>10</v>
      </c>
      <c r="D4346" s="4" t="n">
        <v>7</v>
      </c>
      <c r="E4346" s="4" t="s">
        <v>3668</v>
      </c>
      <c r="F4346" s="4" t="n">
        <v>6</v>
      </c>
      <c r="G4346" s="4" t="n">
        <v>13</v>
      </c>
      <c r="H4346" s="4" t="n">
        <v>2</v>
      </c>
      <c r="I4346" s="4" t="str">
        <v>○</v>
      </c>
      <c r="J4346" s="4" t="n">
        <v>230</v>
      </c>
      <c r="K4346" s="4"/>
      <c r="L4346" s="4"/>
      <c r="M4346" s="7" t="s">
        <v>3577</v>
      </c>
    </row>
    <row r="4347" customFormat="false" ht="15.75" hidden="false" customHeight="false" outlineLevel="0" collapsed="false">
      <c r="A4347" s="3" t="n">
        <v>46235</v>
      </c>
      <c r="B4347" s="4" t="s">
        <v>179</v>
      </c>
      <c r="C4347" s="4" t="n">
        <v>10</v>
      </c>
      <c r="D4347" s="4" t="n">
        <v>8</v>
      </c>
      <c r="E4347" s="4" t="s">
        <v>3669</v>
      </c>
      <c r="F4347" s="4" t="n">
        <v>17</v>
      </c>
      <c r="G4347" s="4" t="n">
        <v>7</v>
      </c>
      <c r="H4347" s="4" t="n">
        <v>4</v>
      </c>
      <c r="I4347" s="4" t="str">
        <v>×</v>
      </c>
      <c r="J4347" s="4"/>
      <c r="K4347" s="4"/>
      <c r="L4347" s="4"/>
      <c r="M4347" s="7" t="s">
        <v>3577</v>
      </c>
    </row>
    <row r="4348" customFormat="false" ht="15.75" hidden="false" customHeight="false" outlineLevel="0" collapsed="false">
      <c r="A4348" s="3" t="n">
        <v>46235</v>
      </c>
      <c r="B4348" s="4" t="s">
        <v>179</v>
      </c>
      <c r="C4348" s="4" t="n">
        <v>10</v>
      </c>
      <c r="D4348" s="4" t="n">
        <v>9</v>
      </c>
      <c r="E4348" s="4" t="s">
        <v>3670</v>
      </c>
      <c r="F4348" s="4" t="n">
        <v>17</v>
      </c>
      <c r="G4348" s="4" t="n">
        <v>7</v>
      </c>
      <c r="H4348" s="4" t="n">
        <v>4</v>
      </c>
      <c r="I4348" s="4" t="str">
        <v>×</v>
      </c>
      <c r="J4348" s="4"/>
      <c r="K4348" s="4"/>
      <c r="L4348" s="4"/>
      <c r="M4348" s="7" t="s">
        <v>3577</v>
      </c>
    </row>
    <row r="4349" customFormat="false" ht="15.75" hidden="false" customHeight="false" outlineLevel="0" collapsed="false">
      <c r="A4349" s="3" t="n">
        <v>46235</v>
      </c>
      <c r="B4349" s="4" t="s">
        <v>179</v>
      </c>
      <c r="C4349" s="4" t="n">
        <v>10</v>
      </c>
      <c r="D4349" s="4" t="n">
        <v>10</v>
      </c>
      <c r="E4349" s="4" t="s">
        <v>3671</v>
      </c>
      <c r="F4349" s="4" t="n">
        <v>20</v>
      </c>
      <c r="G4349" s="4" t="n">
        <v>6</v>
      </c>
      <c r="H4349" s="4" t="n">
        <v>3</v>
      </c>
      <c r="I4349" s="4" t="str">
        <v>○</v>
      </c>
      <c r="J4349" s="4" t="n">
        <v>160</v>
      </c>
      <c r="K4349" s="4"/>
      <c r="L4349" s="4"/>
      <c r="M4349" s="7" t="s">
        <v>3577</v>
      </c>
    </row>
    <row r="4350" customFormat="false" ht="15.75" hidden="false" customHeight="false" outlineLevel="0" collapsed="false">
      <c r="A4350" s="3" t="n">
        <v>46235</v>
      </c>
      <c r="B4350" s="4" t="s">
        <v>179</v>
      </c>
      <c r="C4350" s="4" t="n">
        <v>10</v>
      </c>
      <c r="D4350" s="4" t="n">
        <v>11</v>
      </c>
      <c r="E4350" s="4" t="s">
        <v>2550</v>
      </c>
      <c r="F4350" s="4" t="n">
        <v>29</v>
      </c>
      <c r="G4350" s="4" t="n">
        <v>3</v>
      </c>
      <c r="H4350" s="4" t="n">
        <v>4</v>
      </c>
      <c r="I4350" s="4" t="str">
        <v>×</v>
      </c>
      <c r="J4350" s="4"/>
      <c r="K4350" s="4"/>
      <c r="L4350" s="4"/>
      <c r="M4350" s="7" t="s">
        <v>3577</v>
      </c>
    </row>
    <row r="4351" customFormat="false" ht="15.75" hidden="false" customHeight="false" outlineLevel="0" collapsed="false">
      <c r="A4351" s="3" t="n">
        <v>46235</v>
      </c>
      <c r="B4351" s="4" t="s">
        <v>179</v>
      </c>
      <c r="C4351" s="4" t="n">
        <v>10</v>
      </c>
      <c r="D4351" s="4" t="n">
        <v>12</v>
      </c>
      <c r="E4351" s="4" t="s">
        <v>3672</v>
      </c>
      <c r="F4351" s="4" t="n">
        <v>12</v>
      </c>
      <c r="G4351" s="4" t="n">
        <v>11</v>
      </c>
      <c r="H4351" s="4" t="n">
        <v>4</v>
      </c>
      <c r="I4351" s="4" t="str">
        <v>×</v>
      </c>
      <c r="J4351" s="4"/>
      <c r="K4351" s="4"/>
      <c r="L4351" s="4"/>
      <c r="M4351" s="7" t="s">
        <v>3577</v>
      </c>
    </row>
    <row r="4352" customFormat="false" ht="15.75" hidden="false" customHeight="false" outlineLevel="0" collapsed="false">
      <c r="A4352" s="3" t="n">
        <v>46235</v>
      </c>
      <c r="B4352" s="4" t="s">
        <v>179</v>
      </c>
      <c r="C4352" s="4" t="n">
        <v>10</v>
      </c>
      <c r="D4352" s="4" t="n">
        <v>13</v>
      </c>
      <c r="E4352" s="4" t="s">
        <v>3673</v>
      </c>
      <c r="F4352" s="4" t="n">
        <v>8</v>
      </c>
      <c r="G4352" s="4" t="n">
        <v>12</v>
      </c>
      <c r="H4352" s="4" t="n">
        <v>4</v>
      </c>
      <c r="I4352" s="4" t="str">
        <v>×</v>
      </c>
      <c r="J4352" s="4"/>
      <c r="K4352" s="4"/>
      <c r="L4352" s="4"/>
      <c r="M4352" s="7" t="s">
        <v>3577</v>
      </c>
    </row>
    <row r="4353" customFormat="false" ht="15.75" hidden="false" customHeight="false" outlineLevel="0" collapsed="false">
      <c r="A4353" s="3" t="n">
        <v>46235</v>
      </c>
      <c r="B4353" s="4" t="s">
        <v>179</v>
      </c>
      <c r="C4353" s="4" t="n">
        <v>10</v>
      </c>
      <c r="D4353" s="4" t="n">
        <v>14</v>
      </c>
      <c r="E4353" s="4" t="s">
        <v>3674</v>
      </c>
      <c r="F4353" s="4" t="n">
        <v>60</v>
      </c>
      <c r="G4353" s="4" t="n">
        <v>1</v>
      </c>
      <c r="H4353" s="4" t="n">
        <v>1</v>
      </c>
      <c r="I4353" s="4" t="str">
        <v>○</v>
      </c>
      <c r="J4353" s="4" t="n">
        <v>120</v>
      </c>
      <c r="K4353" s="4"/>
      <c r="L4353" s="4"/>
      <c r="M4353" s="7" t="s">
        <v>3577</v>
      </c>
    </row>
    <row r="4354" customFormat="false" ht="15.75" hidden="false" customHeight="false" outlineLevel="0" collapsed="false">
      <c r="A4354" s="3" t="n">
        <v>46235</v>
      </c>
      <c r="B4354" s="4" t="s">
        <v>179</v>
      </c>
      <c r="C4354" s="4" t="n">
        <v>10</v>
      </c>
      <c r="D4354" s="4" t="n">
        <v>15</v>
      </c>
      <c r="E4354" s="4" t="s">
        <v>3675</v>
      </c>
      <c r="F4354" s="4" t="n">
        <v>13</v>
      </c>
      <c r="G4354" s="4" t="n">
        <v>10</v>
      </c>
      <c r="H4354" s="4" t="n">
        <v>4</v>
      </c>
      <c r="I4354" s="4" t="str">
        <v>×</v>
      </c>
      <c r="J4354" s="4"/>
      <c r="K4354" s="4"/>
      <c r="L4354" s="4"/>
      <c r="M4354" s="7" t="s">
        <v>3577</v>
      </c>
    </row>
    <row r="4355" customFormat="false" ht="15.75" hidden="false" customHeight="false" outlineLevel="0" collapsed="false">
      <c r="A4355" s="3" t="n">
        <v>46235</v>
      </c>
      <c r="B4355" s="4" t="s">
        <v>179</v>
      </c>
      <c r="C4355" s="4" t="n">
        <v>10</v>
      </c>
      <c r="D4355" s="4" t="n">
        <v>16</v>
      </c>
      <c r="E4355" s="4" t="s">
        <v>3676</v>
      </c>
      <c r="F4355" s="4" t="n">
        <v>4</v>
      </c>
      <c r="G4355" s="4" t="n">
        <v>15</v>
      </c>
      <c r="H4355" s="4" t="n">
        <v>4</v>
      </c>
      <c r="I4355" s="4" t="str">
        <v>×</v>
      </c>
      <c r="J4355" s="4"/>
      <c r="K4355" s="4"/>
      <c r="L4355" s="4"/>
      <c r="M4355" s="7" t="s">
        <v>3577</v>
      </c>
    </row>
    <row r="4356" customFormat="false" ht="15.75" hidden="false" customHeight="false" outlineLevel="0" collapsed="false">
      <c r="A4356" s="3" t="n">
        <v>46235</v>
      </c>
      <c r="B4356" s="4" t="s">
        <v>179</v>
      </c>
      <c r="C4356" s="4" t="n">
        <v>11</v>
      </c>
      <c r="D4356" s="4" t="n">
        <v>1</v>
      </c>
      <c r="E4356" s="4" t="s">
        <v>3677</v>
      </c>
      <c r="F4356" s="4" t="n">
        <v>34</v>
      </c>
      <c r="G4356" s="4" t="n">
        <v>4</v>
      </c>
      <c r="H4356" s="4" t="n">
        <v>4</v>
      </c>
      <c r="I4356" s="4" t="str">
        <v>×</v>
      </c>
      <c r="J4356" s="4"/>
      <c r="K4356" s="4"/>
      <c r="L4356" s="4"/>
      <c r="M4356" s="7" t="s">
        <v>3577</v>
      </c>
    </row>
    <row r="4357" customFormat="false" ht="15.75" hidden="false" customHeight="false" outlineLevel="0" collapsed="false">
      <c r="A4357" s="3" t="n">
        <v>46235</v>
      </c>
      <c r="B4357" s="4" t="s">
        <v>179</v>
      </c>
      <c r="C4357" s="4" t="n">
        <v>11</v>
      </c>
      <c r="D4357" s="4" t="n">
        <v>2</v>
      </c>
      <c r="E4357" s="4" t="s">
        <v>3678</v>
      </c>
      <c r="F4357" s="4" t="n">
        <v>39</v>
      </c>
      <c r="G4357" s="4" t="n">
        <v>2</v>
      </c>
      <c r="H4357" s="4" t="n">
        <v>4</v>
      </c>
      <c r="I4357" s="4" t="str">
        <v>×</v>
      </c>
      <c r="J4357" s="4"/>
      <c r="K4357" s="4"/>
      <c r="L4357" s="4"/>
      <c r="M4357" s="7" t="s">
        <v>3577</v>
      </c>
    </row>
    <row r="4358" customFormat="false" ht="15.75" hidden="false" customHeight="false" outlineLevel="0" collapsed="false">
      <c r="A4358" s="3" t="n">
        <v>46235</v>
      </c>
      <c r="B4358" s="4" t="s">
        <v>179</v>
      </c>
      <c r="C4358" s="4" t="n">
        <v>11</v>
      </c>
      <c r="D4358" s="4" t="n">
        <v>3</v>
      </c>
      <c r="E4358" s="4" t="s">
        <v>3679</v>
      </c>
      <c r="F4358" s="4" t="n">
        <v>29</v>
      </c>
      <c r="G4358" s="4" t="n">
        <v>6</v>
      </c>
      <c r="H4358" s="4" t="n">
        <v>1</v>
      </c>
      <c r="I4358" s="4" t="str">
        <v>○</v>
      </c>
      <c r="J4358" s="4" t="n">
        <v>150</v>
      </c>
      <c r="K4358" s="4"/>
      <c r="L4358" s="4"/>
      <c r="M4358" s="7" t="s">
        <v>3577</v>
      </c>
    </row>
    <row r="4359" customFormat="false" ht="15.75" hidden="false" customHeight="false" outlineLevel="0" collapsed="false">
      <c r="A4359" s="3" t="n">
        <v>46235</v>
      </c>
      <c r="B4359" s="4" t="s">
        <v>179</v>
      </c>
      <c r="C4359" s="4" t="n">
        <v>11</v>
      </c>
      <c r="D4359" s="4" t="n">
        <v>4</v>
      </c>
      <c r="E4359" s="4" t="s">
        <v>3680</v>
      </c>
      <c r="F4359" s="4" t="n">
        <v>8</v>
      </c>
      <c r="G4359" s="4" t="n">
        <v>9</v>
      </c>
      <c r="H4359" s="4" t="n">
        <v>4</v>
      </c>
      <c r="I4359" s="4" t="str">
        <v>×</v>
      </c>
      <c r="J4359" s="4"/>
      <c r="K4359" s="4"/>
      <c r="L4359" s="4"/>
      <c r="M4359" s="7" t="s">
        <v>3577</v>
      </c>
    </row>
    <row r="4360" customFormat="false" ht="15.75" hidden="false" customHeight="false" outlineLevel="0" collapsed="false">
      <c r="A4360" s="3" t="n">
        <v>46235</v>
      </c>
      <c r="B4360" s="4" t="s">
        <v>179</v>
      </c>
      <c r="C4360" s="4" t="n">
        <v>11</v>
      </c>
      <c r="D4360" s="4" t="n">
        <v>5</v>
      </c>
      <c r="E4360" s="4" t="s">
        <v>3681</v>
      </c>
      <c r="F4360" s="4" t="n">
        <v>37</v>
      </c>
      <c r="G4360" s="4" t="n">
        <v>3</v>
      </c>
      <c r="H4360" s="4" t="n">
        <v>2</v>
      </c>
      <c r="I4360" s="4" t="str">
        <v>○</v>
      </c>
      <c r="J4360" s="4" t="n">
        <v>270</v>
      </c>
      <c r="K4360" s="4"/>
      <c r="L4360" s="4"/>
      <c r="M4360" s="7" t="s">
        <v>3577</v>
      </c>
    </row>
    <row r="4361" customFormat="false" ht="15.75" hidden="false" customHeight="false" outlineLevel="0" collapsed="false">
      <c r="A4361" s="3" t="n">
        <v>46235</v>
      </c>
      <c r="B4361" s="4" t="s">
        <v>179</v>
      </c>
      <c r="C4361" s="4" t="n">
        <v>11</v>
      </c>
      <c r="D4361" s="4" t="n">
        <v>6</v>
      </c>
      <c r="E4361" s="4" t="s">
        <v>3682</v>
      </c>
      <c r="F4361" s="4" t="n">
        <v>31</v>
      </c>
      <c r="G4361" s="4" t="n">
        <v>5</v>
      </c>
      <c r="H4361" s="4" t="n">
        <v>4</v>
      </c>
      <c r="I4361" s="4" t="str">
        <v>×</v>
      </c>
      <c r="J4361" s="4"/>
      <c r="K4361" s="4"/>
      <c r="L4361" s="4"/>
      <c r="M4361" s="7" t="s">
        <v>3577</v>
      </c>
    </row>
    <row r="4362" customFormat="false" ht="15.75" hidden="false" customHeight="false" outlineLevel="0" collapsed="false">
      <c r="A4362" s="3" t="n">
        <v>46235</v>
      </c>
      <c r="B4362" s="4" t="s">
        <v>179</v>
      </c>
      <c r="C4362" s="4" t="n">
        <v>11</v>
      </c>
      <c r="D4362" s="4" t="n">
        <v>7</v>
      </c>
      <c r="E4362" s="4" t="s">
        <v>3683</v>
      </c>
      <c r="F4362" s="4" t="n">
        <v>55</v>
      </c>
      <c r="G4362" s="4" t="n">
        <v>1</v>
      </c>
      <c r="H4362" s="4" t="n">
        <v>3</v>
      </c>
      <c r="I4362" s="4" t="str">
        <v>○</v>
      </c>
      <c r="J4362" s="4" t="n">
        <v>110</v>
      </c>
      <c r="K4362" s="4"/>
      <c r="L4362" s="4"/>
      <c r="M4362" s="7" t="s">
        <v>3577</v>
      </c>
    </row>
    <row r="4363" customFormat="false" ht="15.75" hidden="false" customHeight="false" outlineLevel="0" collapsed="false">
      <c r="A4363" s="3" t="n">
        <v>46235</v>
      </c>
      <c r="B4363" s="4" t="s">
        <v>179</v>
      </c>
      <c r="C4363" s="4" t="n">
        <v>11</v>
      </c>
      <c r="D4363" s="4" t="n">
        <v>8</v>
      </c>
      <c r="E4363" s="4" t="s">
        <v>3684</v>
      </c>
      <c r="F4363" s="4" t="n">
        <v>25</v>
      </c>
      <c r="G4363" s="4" t="n">
        <v>8</v>
      </c>
      <c r="H4363" s="4" t="n">
        <v>4</v>
      </c>
      <c r="I4363" s="4" t="str">
        <v>×</v>
      </c>
      <c r="J4363" s="4"/>
      <c r="K4363" s="4"/>
      <c r="L4363" s="4"/>
      <c r="M4363" s="7" t="s">
        <v>3577</v>
      </c>
    </row>
    <row r="4364" customFormat="false" ht="15.75" hidden="false" customHeight="false" outlineLevel="0" collapsed="false">
      <c r="A4364" s="3" t="n">
        <v>46235</v>
      </c>
      <c r="B4364" s="4" t="s">
        <v>179</v>
      </c>
      <c r="C4364" s="4" t="n">
        <v>11</v>
      </c>
      <c r="D4364" s="4" t="n">
        <v>9</v>
      </c>
      <c r="E4364" s="4" t="s">
        <v>3685</v>
      </c>
      <c r="F4364" s="4" t="n">
        <v>29</v>
      </c>
      <c r="G4364" s="4" t="n">
        <v>6</v>
      </c>
      <c r="H4364" s="4" t="n">
        <v>4</v>
      </c>
      <c r="I4364" s="4" t="str">
        <v>×</v>
      </c>
      <c r="J4364" s="4"/>
      <c r="K4364" s="4"/>
      <c r="L4364" s="4"/>
      <c r="M4364" s="7" t="s">
        <v>3577</v>
      </c>
    </row>
    <row r="4365" customFormat="false" ht="15.75" hidden="false" customHeight="false" outlineLevel="0" collapsed="false">
      <c r="A4365" s="3" t="n">
        <v>46235</v>
      </c>
      <c r="B4365" s="4" t="s">
        <v>179</v>
      </c>
      <c r="C4365" s="4" t="n">
        <v>12</v>
      </c>
      <c r="D4365" s="4" t="n">
        <v>1</v>
      </c>
      <c r="E4365" s="4" t="s">
        <v>3686</v>
      </c>
      <c r="F4365" s="4" t="n">
        <v>52</v>
      </c>
      <c r="G4365" s="4" t="n">
        <v>1</v>
      </c>
      <c r="H4365" s="4" t="n">
        <v>1</v>
      </c>
      <c r="I4365" s="4" t="str">
        <v>○</v>
      </c>
      <c r="J4365" s="4" t="n">
        <v>170</v>
      </c>
      <c r="K4365" s="4"/>
      <c r="L4365" s="4"/>
      <c r="M4365" s="7" t="s">
        <v>3577</v>
      </c>
    </row>
    <row r="4366" customFormat="false" ht="15.75" hidden="false" customHeight="false" outlineLevel="0" collapsed="false">
      <c r="A4366" s="3" t="n">
        <v>46235</v>
      </c>
      <c r="B4366" s="4" t="s">
        <v>179</v>
      </c>
      <c r="C4366" s="4" t="n">
        <v>12</v>
      </c>
      <c r="D4366" s="4" t="n">
        <v>2</v>
      </c>
      <c r="E4366" s="4" t="s">
        <v>3207</v>
      </c>
      <c r="F4366" s="4" t="n">
        <v>8</v>
      </c>
      <c r="G4366" s="4" t="n">
        <v>11</v>
      </c>
      <c r="H4366" s="4" t="n">
        <v>4</v>
      </c>
      <c r="I4366" s="4" t="str">
        <v>×</v>
      </c>
      <c r="J4366" s="4"/>
      <c r="K4366" s="4"/>
      <c r="L4366" s="4"/>
      <c r="M4366" s="7" t="s">
        <v>3577</v>
      </c>
    </row>
    <row r="4367" customFormat="false" ht="15.75" hidden="false" customHeight="false" outlineLevel="0" collapsed="false">
      <c r="A4367" s="3" t="n">
        <v>46235</v>
      </c>
      <c r="B4367" s="4" t="s">
        <v>179</v>
      </c>
      <c r="C4367" s="4" t="n">
        <v>12</v>
      </c>
      <c r="D4367" s="4" t="n">
        <v>3</v>
      </c>
      <c r="E4367" s="4" t="s">
        <v>3687</v>
      </c>
      <c r="F4367" s="4" t="n">
        <v>37</v>
      </c>
      <c r="G4367" s="4" t="n">
        <v>5</v>
      </c>
      <c r="H4367" s="4" t="n">
        <v>3</v>
      </c>
      <c r="I4367" s="4" t="str">
        <v>○</v>
      </c>
      <c r="J4367" s="4" t="n">
        <v>170</v>
      </c>
      <c r="K4367" s="4"/>
      <c r="L4367" s="4"/>
      <c r="M4367" s="7" t="s">
        <v>3577</v>
      </c>
    </row>
    <row r="4368" customFormat="false" ht="15.75" hidden="false" customHeight="false" outlineLevel="0" collapsed="false">
      <c r="A4368" s="3" t="n">
        <v>46235</v>
      </c>
      <c r="B4368" s="4" t="s">
        <v>179</v>
      </c>
      <c r="C4368" s="4" t="n">
        <v>12</v>
      </c>
      <c r="D4368" s="4" t="n">
        <v>4</v>
      </c>
      <c r="E4368" s="4" t="s">
        <v>3688</v>
      </c>
      <c r="F4368" s="4" t="n">
        <v>39</v>
      </c>
      <c r="G4368" s="4" t="n">
        <v>3</v>
      </c>
      <c r="H4368" s="4" t="n">
        <v>4</v>
      </c>
      <c r="I4368" s="4" t="str">
        <v>×</v>
      </c>
      <c r="J4368" s="4"/>
      <c r="K4368" s="4"/>
      <c r="L4368" s="4"/>
      <c r="M4368" s="7" t="s">
        <v>3577</v>
      </c>
    </row>
    <row r="4369" customFormat="false" ht="15.75" hidden="false" customHeight="false" outlineLevel="0" collapsed="false">
      <c r="A4369" s="3" t="n">
        <v>46235</v>
      </c>
      <c r="B4369" s="4" t="s">
        <v>179</v>
      </c>
      <c r="C4369" s="4" t="n">
        <v>12</v>
      </c>
      <c r="D4369" s="4" t="n">
        <v>5</v>
      </c>
      <c r="E4369" s="4" t="s">
        <v>3689</v>
      </c>
      <c r="F4369" s="4" t="n">
        <v>34</v>
      </c>
      <c r="G4369" s="4" t="n">
        <v>6</v>
      </c>
      <c r="H4369" s="4" t="n">
        <v>4</v>
      </c>
      <c r="I4369" s="4" t="str">
        <v>×</v>
      </c>
      <c r="J4369" s="4"/>
      <c r="K4369" s="4"/>
      <c r="L4369" s="4"/>
      <c r="M4369" s="7" t="s">
        <v>3577</v>
      </c>
    </row>
    <row r="4370" customFormat="false" ht="15.75" hidden="false" customHeight="false" outlineLevel="0" collapsed="false">
      <c r="A4370" s="3" t="n">
        <v>46235</v>
      </c>
      <c r="B4370" s="4" t="s">
        <v>179</v>
      </c>
      <c r="C4370" s="4" t="n">
        <v>12</v>
      </c>
      <c r="D4370" s="4" t="n">
        <v>6</v>
      </c>
      <c r="E4370" s="4" t="s">
        <v>3690</v>
      </c>
      <c r="F4370" s="4" t="n">
        <v>47</v>
      </c>
      <c r="G4370" s="4" t="n">
        <v>2</v>
      </c>
      <c r="H4370" s="4" t="n">
        <v>2</v>
      </c>
      <c r="I4370" s="4" t="str">
        <v>○</v>
      </c>
      <c r="J4370" s="4" t="n">
        <v>230</v>
      </c>
      <c r="K4370" s="4"/>
      <c r="L4370" s="4"/>
      <c r="M4370" s="7" t="s">
        <v>3577</v>
      </c>
    </row>
    <row r="4371" customFormat="false" ht="15.75" hidden="false" customHeight="false" outlineLevel="0" collapsed="false">
      <c r="A4371" s="3" t="n">
        <v>46235</v>
      </c>
      <c r="B4371" s="4" t="s">
        <v>179</v>
      </c>
      <c r="C4371" s="4" t="n">
        <v>12</v>
      </c>
      <c r="D4371" s="4" t="n">
        <v>7</v>
      </c>
      <c r="E4371" s="4" t="s">
        <v>3691</v>
      </c>
      <c r="F4371" s="4" t="n">
        <v>20</v>
      </c>
      <c r="G4371" s="4" t="n">
        <v>8</v>
      </c>
      <c r="H4371" s="4" t="n">
        <v>4</v>
      </c>
      <c r="I4371" s="4" t="str">
        <v>×</v>
      </c>
      <c r="J4371" s="4"/>
      <c r="K4371" s="4"/>
      <c r="L4371" s="4"/>
      <c r="M4371" s="7" t="s">
        <v>3577</v>
      </c>
    </row>
    <row r="4372" customFormat="false" ht="15.75" hidden="false" customHeight="false" outlineLevel="0" collapsed="false">
      <c r="A4372" s="3" t="n">
        <v>46235</v>
      </c>
      <c r="B4372" s="4" t="s">
        <v>179</v>
      </c>
      <c r="C4372" s="4" t="n">
        <v>12</v>
      </c>
      <c r="D4372" s="4" t="n">
        <v>8</v>
      </c>
      <c r="E4372" s="4" t="s">
        <v>3692</v>
      </c>
      <c r="F4372" s="4" t="n">
        <v>15</v>
      </c>
      <c r="G4372" s="4" t="n">
        <v>9</v>
      </c>
      <c r="H4372" s="4" t="n">
        <v>4</v>
      </c>
      <c r="I4372" s="4" t="str">
        <v>×</v>
      </c>
      <c r="J4372" s="4"/>
      <c r="K4372" s="4"/>
      <c r="L4372" s="4"/>
      <c r="M4372" s="7" t="s">
        <v>3577</v>
      </c>
    </row>
    <row r="4373" customFormat="false" ht="15.75" hidden="false" customHeight="false" outlineLevel="0" collapsed="false">
      <c r="A4373" s="3" t="n">
        <v>46235</v>
      </c>
      <c r="B4373" s="4" t="s">
        <v>179</v>
      </c>
      <c r="C4373" s="4" t="n">
        <v>12</v>
      </c>
      <c r="D4373" s="4" t="n">
        <v>9</v>
      </c>
      <c r="E4373" s="4" t="s">
        <v>3693</v>
      </c>
      <c r="F4373" s="4" t="n">
        <v>34</v>
      </c>
      <c r="G4373" s="4" t="n">
        <v>6</v>
      </c>
      <c r="H4373" s="4" t="n">
        <v>4</v>
      </c>
      <c r="I4373" s="4" t="str">
        <v>×</v>
      </c>
      <c r="J4373" s="4"/>
      <c r="K4373" s="4"/>
      <c r="L4373" s="4"/>
      <c r="M4373" s="7" t="s">
        <v>3577</v>
      </c>
    </row>
    <row r="4374" customFormat="false" ht="15.75" hidden="false" customHeight="false" outlineLevel="0" collapsed="false">
      <c r="A4374" s="3" t="n">
        <v>46235</v>
      </c>
      <c r="B4374" s="4" t="s">
        <v>179</v>
      </c>
      <c r="C4374" s="4" t="n">
        <v>12</v>
      </c>
      <c r="D4374" s="4" t="n">
        <v>10</v>
      </c>
      <c r="E4374" s="4" t="s">
        <v>3694</v>
      </c>
      <c r="F4374" s="4" t="n">
        <v>10</v>
      </c>
      <c r="G4374" s="4" t="n">
        <v>10</v>
      </c>
      <c r="H4374" s="4" t="n">
        <v>4</v>
      </c>
      <c r="I4374" s="4" t="str">
        <v>×</v>
      </c>
      <c r="J4374" s="4"/>
      <c r="K4374" s="4"/>
      <c r="L4374" s="4"/>
      <c r="M4374" s="7" t="s">
        <v>3577</v>
      </c>
    </row>
    <row r="4375" customFormat="false" ht="15.75" hidden="false" customHeight="false" outlineLevel="0" collapsed="false">
      <c r="A4375" s="3" t="n">
        <v>46235</v>
      </c>
      <c r="B4375" s="4" t="s">
        <v>179</v>
      </c>
      <c r="C4375" s="4" t="n">
        <v>12</v>
      </c>
      <c r="D4375" s="4" t="n">
        <v>11</v>
      </c>
      <c r="E4375" s="4" t="s">
        <v>2108</v>
      </c>
      <c r="F4375" s="4" t="n">
        <v>39</v>
      </c>
      <c r="G4375" s="4" t="n">
        <v>3</v>
      </c>
      <c r="H4375" s="4" t="n">
        <v>4</v>
      </c>
      <c r="I4375" s="4" t="str">
        <v>×</v>
      </c>
      <c r="J4375" s="4"/>
      <c r="K4375" s="4"/>
      <c r="L4375" s="4"/>
      <c r="M4375" s="7" t="s">
        <v>3577</v>
      </c>
    </row>
    <row r="4376" customFormat="false" ht="15.75" hidden="false" customHeight="false" outlineLevel="0" collapsed="false">
      <c r="A4376" s="3" t="n">
        <v>46235</v>
      </c>
      <c r="B4376" s="4" t="s">
        <v>13</v>
      </c>
      <c r="C4376" s="4" t="n">
        <v>1</v>
      </c>
      <c r="D4376" s="4" t="n">
        <v>1</v>
      </c>
      <c r="E4376" s="4" t="s">
        <v>1930</v>
      </c>
      <c r="F4376" s="4" t="n">
        <v>60</v>
      </c>
      <c r="G4376" s="4" t="n">
        <v>1</v>
      </c>
      <c r="H4376" s="4" t="n">
        <v>4</v>
      </c>
      <c r="I4376" s="4" t="str">
        <v>×</v>
      </c>
      <c r="J4376" s="4"/>
      <c r="K4376" s="4"/>
      <c r="L4376" s="4"/>
      <c r="M4376" s="7" t="s">
        <v>3577</v>
      </c>
    </row>
    <row r="4377" customFormat="false" ht="15.75" hidden="false" customHeight="false" outlineLevel="0" collapsed="false">
      <c r="A4377" s="3" t="n">
        <v>46235</v>
      </c>
      <c r="B4377" s="4" t="s">
        <v>13</v>
      </c>
      <c r="C4377" s="4" t="n">
        <v>1</v>
      </c>
      <c r="D4377" s="4" t="n">
        <v>2</v>
      </c>
      <c r="E4377" s="4" t="s">
        <v>1464</v>
      </c>
      <c r="F4377" s="4" t="n">
        <v>31</v>
      </c>
      <c r="G4377" s="4" t="n">
        <v>3</v>
      </c>
      <c r="H4377" s="4" t="n">
        <v>4</v>
      </c>
      <c r="I4377" s="4" t="str">
        <v>×</v>
      </c>
      <c r="J4377" s="4"/>
      <c r="K4377" s="4"/>
      <c r="L4377" s="4"/>
      <c r="M4377" s="7" t="s">
        <v>3577</v>
      </c>
    </row>
    <row r="4378" customFormat="false" ht="15.75" hidden="false" customHeight="false" outlineLevel="0" collapsed="false">
      <c r="A4378" s="3" t="n">
        <v>46235</v>
      </c>
      <c r="B4378" s="4" t="s">
        <v>13</v>
      </c>
      <c r="C4378" s="4" t="n">
        <v>1</v>
      </c>
      <c r="D4378" s="4" t="n">
        <v>3</v>
      </c>
      <c r="E4378" s="4" t="s">
        <v>3054</v>
      </c>
      <c r="F4378" s="4" t="n">
        <v>4</v>
      </c>
      <c r="G4378" s="4" t="n">
        <v>11</v>
      </c>
      <c r="H4378" s="4" t="n">
        <v>4</v>
      </c>
      <c r="I4378" s="4" t="str">
        <v>×</v>
      </c>
      <c r="J4378" s="4"/>
      <c r="K4378" s="4"/>
      <c r="L4378" s="4"/>
      <c r="M4378" s="7" t="s">
        <v>3577</v>
      </c>
    </row>
    <row r="4379" customFormat="false" ht="15.75" hidden="false" customHeight="false" outlineLevel="0" collapsed="false">
      <c r="A4379" s="3" t="n">
        <v>46235</v>
      </c>
      <c r="B4379" s="4" t="s">
        <v>13</v>
      </c>
      <c r="C4379" s="4" t="n">
        <v>1</v>
      </c>
      <c r="D4379" s="4" t="n">
        <v>4</v>
      </c>
      <c r="E4379" s="4" t="s">
        <v>3695</v>
      </c>
      <c r="F4379" s="4" t="n">
        <v>10</v>
      </c>
      <c r="G4379" s="4" t="n">
        <v>8</v>
      </c>
      <c r="H4379" s="4" t="n">
        <v>2</v>
      </c>
      <c r="I4379" s="4" t="str">
        <v>○</v>
      </c>
      <c r="J4379" s="4" t="n">
        <v>380</v>
      </c>
      <c r="K4379" s="4"/>
      <c r="L4379" s="4"/>
      <c r="M4379" s="7" t="s">
        <v>3577</v>
      </c>
    </row>
    <row r="4380" customFormat="false" ht="15.75" hidden="false" customHeight="false" outlineLevel="0" collapsed="false">
      <c r="A4380" s="3" t="n">
        <v>46235</v>
      </c>
      <c r="B4380" s="4" t="s">
        <v>13</v>
      </c>
      <c r="C4380" s="4" t="n">
        <v>1</v>
      </c>
      <c r="D4380" s="4" t="n">
        <v>5</v>
      </c>
      <c r="E4380" s="4" t="s">
        <v>31</v>
      </c>
      <c r="F4380" s="4" t="n">
        <v>17</v>
      </c>
      <c r="G4380" s="4" t="n">
        <v>6</v>
      </c>
      <c r="H4380" s="4" t="n">
        <v>4</v>
      </c>
      <c r="I4380" s="4" t="str">
        <v>×</v>
      </c>
      <c r="J4380" s="4"/>
      <c r="K4380" s="4"/>
      <c r="L4380" s="4"/>
      <c r="M4380" s="7" t="s">
        <v>3577</v>
      </c>
    </row>
    <row r="4381" customFormat="false" ht="15.75" hidden="false" customHeight="false" outlineLevel="0" collapsed="false">
      <c r="A4381" s="3" t="n">
        <v>46235</v>
      </c>
      <c r="B4381" s="4" t="s">
        <v>13</v>
      </c>
      <c r="C4381" s="4" t="n">
        <v>1</v>
      </c>
      <c r="D4381" s="4" t="n">
        <v>6</v>
      </c>
      <c r="E4381" s="4" t="s">
        <v>3696</v>
      </c>
      <c r="F4381" s="4" t="n">
        <v>17</v>
      </c>
      <c r="G4381" s="4" t="n">
        <v>6</v>
      </c>
      <c r="H4381" s="4" t="n">
        <v>4</v>
      </c>
      <c r="I4381" s="4" t="str">
        <v>×</v>
      </c>
      <c r="J4381" s="4"/>
      <c r="K4381" s="4"/>
      <c r="L4381" s="4"/>
      <c r="M4381" s="7" t="s">
        <v>3577</v>
      </c>
    </row>
    <row r="4382" customFormat="false" ht="15.75" hidden="false" customHeight="false" outlineLevel="0" collapsed="false">
      <c r="A4382" s="3" t="n">
        <v>46235</v>
      </c>
      <c r="B4382" s="4" t="s">
        <v>13</v>
      </c>
      <c r="C4382" s="4" t="n">
        <v>1</v>
      </c>
      <c r="D4382" s="4" t="n">
        <v>7</v>
      </c>
      <c r="E4382" s="4" t="s">
        <v>1453</v>
      </c>
      <c r="F4382" s="4" t="n">
        <v>10</v>
      </c>
      <c r="G4382" s="4" t="n">
        <v>8</v>
      </c>
      <c r="H4382" s="4" t="n">
        <v>3</v>
      </c>
      <c r="I4382" s="4" t="str">
        <v>○</v>
      </c>
      <c r="J4382" s="4" t="n">
        <v>430</v>
      </c>
      <c r="K4382" s="4"/>
      <c r="L4382" s="4"/>
      <c r="M4382" s="7" t="s">
        <v>3577</v>
      </c>
    </row>
    <row r="4383" customFormat="false" ht="15.75" hidden="false" customHeight="false" outlineLevel="0" collapsed="false">
      <c r="A4383" s="3" t="n">
        <v>46235</v>
      </c>
      <c r="B4383" s="4" t="s">
        <v>13</v>
      </c>
      <c r="C4383" s="4" t="n">
        <v>1</v>
      </c>
      <c r="D4383" s="4" t="n">
        <v>8</v>
      </c>
      <c r="E4383" s="4" t="s">
        <v>3697</v>
      </c>
      <c r="F4383" s="4" t="n">
        <v>29</v>
      </c>
      <c r="G4383" s="4" t="n">
        <v>4</v>
      </c>
      <c r="H4383" s="4" t="n">
        <v>4</v>
      </c>
      <c r="I4383" s="4" t="str">
        <v>×</v>
      </c>
      <c r="J4383" s="4"/>
      <c r="K4383" s="4"/>
      <c r="L4383" s="4"/>
      <c r="M4383" s="7" t="s">
        <v>3577</v>
      </c>
    </row>
    <row r="4384" customFormat="false" ht="15.75" hidden="false" customHeight="false" outlineLevel="0" collapsed="false">
      <c r="A4384" s="3" t="n">
        <v>46235</v>
      </c>
      <c r="B4384" s="4" t="s">
        <v>13</v>
      </c>
      <c r="C4384" s="4" t="n">
        <v>1</v>
      </c>
      <c r="D4384" s="4" t="n">
        <v>9</v>
      </c>
      <c r="E4384" s="4" t="s">
        <v>3339</v>
      </c>
      <c r="F4384" s="4" t="n">
        <v>29</v>
      </c>
      <c r="G4384" s="4" t="n">
        <v>4</v>
      </c>
      <c r="H4384" s="4" t="n">
        <v>4</v>
      </c>
      <c r="I4384" s="4" t="str">
        <v>×</v>
      </c>
      <c r="J4384" s="4"/>
      <c r="K4384" s="4"/>
      <c r="L4384" s="4"/>
      <c r="M4384" s="7" t="s">
        <v>3577</v>
      </c>
    </row>
    <row r="4385" customFormat="false" ht="15.75" hidden="false" customHeight="false" outlineLevel="0" collapsed="false">
      <c r="A4385" s="3" t="n">
        <v>46235</v>
      </c>
      <c r="B4385" s="4" t="s">
        <v>13</v>
      </c>
      <c r="C4385" s="4" t="n">
        <v>1</v>
      </c>
      <c r="D4385" s="4" t="n">
        <v>10</v>
      </c>
      <c r="E4385" s="4" t="s">
        <v>3056</v>
      </c>
      <c r="F4385" s="4" t="n">
        <v>60</v>
      </c>
      <c r="G4385" s="4" t="n">
        <v>1</v>
      </c>
      <c r="H4385" s="4" t="n">
        <v>1</v>
      </c>
      <c r="I4385" s="4" t="str">
        <v>○</v>
      </c>
      <c r="J4385" s="4" t="n">
        <v>130</v>
      </c>
      <c r="K4385" s="4"/>
      <c r="L4385" s="4"/>
      <c r="M4385" s="7" t="s">
        <v>3577</v>
      </c>
    </row>
    <row r="4386" customFormat="false" ht="15.75" hidden="false" customHeight="false" outlineLevel="0" collapsed="false">
      <c r="A4386" s="3" t="n">
        <v>46235</v>
      </c>
      <c r="B4386" s="4" t="s">
        <v>13</v>
      </c>
      <c r="C4386" s="4" t="n">
        <v>1</v>
      </c>
      <c r="D4386" s="4" t="n">
        <v>11</v>
      </c>
      <c r="E4386" s="4" t="s">
        <v>3698</v>
      </c>
      <c r="F4386" s="4" t="n">
        <v>6</v>
      </c>
      <c r="G4386" s="4" t="n">
        <v>10</v>
      </c>
      <c r="H4386" s="4" t="n">
        <v>4</v>
      </c>
      <c r="I4386" s="4" t="str">
        <v>×</v>
      </c>
      <c r="J4386" s="4"/>
      <c r="K4386" s="4"/>
      <c r="L4386" s="4"/>
      <c r="M4386" s="7" t="s">
        <v>3577</v>
      </c>
    </row>
    <row r="4387" customFormat="false" ht="15.75" hidden="false" customHeight="false" outlineLevel="0" collapsed="false">
      <c r="A4387" s="3" t="n">
        <v>46235</v>
      </c>
      <c r="B4387" s="4" t="s">
        <v>13</v>
      </c>
      <c r="C4387" s="4" t="n">
        <v>2</v>
      </c>
      <c r="D4387" s="4" t="n">
        <v>1</v>
      </c>
      <c r="E4387" s="4" t="s">
        <v>3699</v>
      </c>
      <c r="F4387" s="4" t="n">
        <v>21</v>
      </c>
      <c r="G4387" s="4" t="n">
        <v>5</v>
      </c>
      <c r="H4387" s="4" t="n">
        <v>4</v>
      </c>
      <c r="I4387" s="4" t="str">
        <v>×</v>
      </c>
      <c r="J4387" s="4"/>
      <c r="K4387" s="4"/>
      <c r="L4387" s="4"/>
      <c r="M4387" s="7" t="s">
        <v>3577</v>
      </c>
    </row>
    <row r="4388" customFormat="false" ht="15.75" hidden="false" customHeight="false" outlineLevel="0" collapsed="false">
      <c r="A4388" s="3" t="n">
        <v>46235</v>
      </c>
      <c r="B4388" s="4" t="s">
        <v>13</v>
      </c>
      <c r="C4388" s="4" t="n">
        <v>2</v>
      </c>
      <c r="D4388" s="4" t="n">
        <v>2</v>
      </c>
      <c r="E4388" s="4" t="s">
        <v>3700</v>
      </c>
      <c r="F4388" s="4" t="n">
        <v>37</v>
      </c>
      <c r="G4388" s="4" t="n">
        <v>1</v>
      </c>
      <c r="H4388" s="4" t="n">
        <v>3</v>
      </c>
      <c r="I4388" s="4" t="str">
        <v>○</v>
      </c>
      <c r="J4388" s="4" t="n">
        <v>120</v>
      </c>
      <c r="K4388" s="4"/>
      <c r="L4388" s="4"/>
      <c r="M4388" s="7" t="s">
        <v>3577</v>
      </c>
    </row>
    <row r="4389" customFormat="false" ht="15.75" hidden="false" customHeight="false" outlineLevel="0" collapsed="false">
      <c r="A4389" s="3" t="n">
        <v>46235</v>
      </c>
      <c r="B4389" s="4" t="s">
        <v>13</v>
      </c>
      <c r="C4389" s="4" t="n">
        <v>2</v>
      </c>
      <c r="D4389" s="4" t="n">
        <v>3</v>
      </c>
      <c r="E4389" s="4" t="s">
        <v>3701</v>
      </c>
      <c r="F4389" s="4" t="n">
        <v>37</v>
      </c>
      <c r="G4389" s="4" t="n">
        <v>1</v>
      </c>
      <c r="H4389" s="4" t="n">
        <v>1</v>
      </c>
      <c r="I4389" s="4" t="str">
        <v>○</v>
      </c>
      <c r="J4389" s="4" t="n">
        <v>110</v>
      </c>
      <c r="K4389" s="4"/>
      <c r="L4389" s="4"/>
      <c r="M4389" s="7" t="s">
        <v>3577</v>
      </c>
    </row>
    <row r="4390" customFormat="false" ht="15.75" hidden="false" customHeight="false" outlineLevel="0" collapsed="false">
      <c r="A4390" s="3" t="n">
        <v>46235</v>
      </c>
      <c r="B4390" s="4" t="s">
        <v>13</v>
      </c>
      <c r="C4390" s="4" t="n">
        <v>2</v>
      </c>
      <c r="D4390" s="4" t="n">
        <v>4</v>
      </c>
      <c r="E4390" s="4" t="s">
        <v>3702</v>
      </c>
      <c r="F4390" s="4" t="n">
        <v>14</v>
      </c>
      <c r="G4390" s="4" t="n">
        <v>8</v>
      </c>
      <c r="H4390" s="4" t="n">
        <v>2</v>
      </c>
      <c r="I4390" s="4" t="str">
        <v>○</v>
      </c>
      <c r="J4390" s="4" t="n">
        <v>160</v>
      </c>
      <c r="K4390" s="4"/>
      <c r="L4390" s="4"/>
      <c r="M4390" s="7" t="s">
        <v>3577</v>
      </c>
    </row>
    <row r="4391" customFormat="false" ht="15.75" hidden="false" customHeight="false" outlineLevel="0" collapsed="false">
      <c r="A4391" s="3" t="n">
        <v>46235</v>
      </c>
      <c r="B4391" s="4" t="s">
        <v>13</v>
      </c>
      <c r="C4391" s="4" t="n">
        <v>2</v>
      </c>
      <c r="D4391" s="4" t="n">
        <v>5</v>
      </c>
      <c r="E4391" s="4" t="s">
        <v>3703</v>
      </c>
      <c r="F4391" s="4" t="n">
        <v>21</v>
      </c>
      <c r="G4391" s="4" t="n">
        <v>5</v>
      </c>
      <c r="H4391" s="4" t="n">
        <v>4</v>
      </c>
      <c r="I4391" s="4" t="str">
        <v>×</v>
      </c>
      <c r="J4391" s="4"/>
      <c r="K4391" s="4"/>
      <c r="L4391" s="4"/>
      <c r="M4391" s="7" t="s">
        <v>3577</v>
      </c>
    </row>
    <row r="4392" customFormat="false" ht="15.75" hidden="false" customHeight="false" outlineLevel="0" collapsed="false">
      <c r="A4392" s="3" t="n">
        <v>46235</v>
      </c>
      <c r="B4392" s="4" t="s">
        <v>13</v>
      </c>
      <c r="C4392" s="4" t="n">
        <v>2</v>
      </c>
      <c r="D4392" s="4" t="n">
        <v>6</v>
      </c>
      <c r="E4392" s="4" t="s">
        <v>3704</v>
      </c>
      <c r="F4392" s="4" t="n">
        <v>24</v>
      </c>
      <c r="G4392" s="4" t="n">
        <v>3</v>
      </c>
      <c r="H4392" s="4" t="n">
        <v>4</v>
      </c>
      <c r="I4392" s="4" t="str">
        <v>×</v>
      </c>
      <c r="J4392" s="4"/>
      <c r="K4392" s="4"/>
      <c r="L4392" s="4"/>
      <c r="M4392" s="7" t="s">
        <v>3577</v>
      </c>
    </row>
    <row r="4393" customFormat="false" ht="15.75" hidden="false" customHeight="false" outlineLevel="0" collapsed="false">
      <c r="A4393" s="3" t="n">
        <v>46235</v>
      </c>
      <c r="B4393" s="4" t="s">
        <v>13</v>
      </c>
      <c r="C4393" s="4" t="n">
        <v>2</v>
      </c>
      <c r="D4393" s="4" t="n">
        <v>7</v>
      </c>
      <c r="E4393" s="4" t="s">
        <v>3705</v>
      </c>
      <c r="F4393" s="4" t="n">
        <v>24</v>
      </c>
      <c r="G4393" s="4" t="n">
        <v>3</v>
      </c>
      <c r="H4393" s="4" t="n">
        <v>4</v>
      </c>
      <c r="I4393" s="4" t="str">
        <v>×</v>
      </c>
      <c r="J4393" s="4"/>
      <c r="K4393" s="4"/>
      <c r="L4393" s="4"/>
      <c r="M4393" s="7" t="s">
        <v>3577</v>
      </c>
    </row>
    <row r="4394" customFormat="false" ht="15.75" hidden="false" customHeight="false" outlineLevel="0" collapsed="false">
      <c r="A4394" s="3" t="n">
        <v>46235</v>
      </c>
      <c r="B4394" s="4" t="s">
        <v>13</v>
      </c>
      <c r="C4394" s="4" t="n">
        <v>2</v>
      </c>
      <c r="D4394" s="4" t="n">
        <v>8</v>
      </c>
      <c r="E4394" s="4" t="s">
        <v>3706</v>
      </c>
      <c r="F4394" s="4" t="n">
        <v>16</v>
      </c>
      <c r="G4394" s="4" t="n">
        <v>7</v>
      </c>
      <c r="H4394" s="4" t="n">
        <v>4</v>
      </c>
      <c r="I4394" s="4" t="str">
        <v>×</v>
      </c>
      <c r="J4394" s="4"/>
      <c r="K4394" s="4"/>
      <c r="L4394" s="4"/>
      <c r="M4394" s="7" t="s">
        <v>3577</v>
      </c>
    </row>
    <row r="4395" customFormat="false" ht="15.75" hidden="false" customHeight="false" outlineLevel="0" collapsed="false">
      <c r="A4395" s="3" t="n">
        <v>46235</v>
      </c>
      <c r="B4395" s="4" t="s">
        <v>13</v>
      </c>
      <c r="C4395" s="4" t="n">
        <v>3</v>
      </c>
      <c r="D4395" s="4" t="n">
        <v>1</v>
      </c>
      <c r="E4395" s="4" t="s">
        <v>3707</v>
      </c>
      <c r="F4395" s="4" t="n">
        <v>21</v>
      </c>
      <c r="G4395" s="4" t="n">
        <v>4</v>
      </c>
      <c r="H4395" s="4" t="n">
        <v>4</v>
      </c>
      <c r="I4395" s="4" t="str">
        <v>×</v>
      </c>
      <c r="J4395" s="4"/>
      <c r="K4395" s="4"/>
      <c r="L4395" s="4"/>
      <c r="M4395" s="7" t="s">
        <v>3577</v>
      </c>
    </row>
    <row r="4396" customFormat="false" ht="15.75" hidden="false" customHeight="false" outlineLevel="0" collapsed="false">
      <c r="A4396" s="3" t="n">
        <v>46235</v>
      </c>
      <c r="B4396" s="4" t="s">
        <v>13</v>
      </c>
      <c r="C4396" s="4" t="n">
        <v>3</v>
      </c>
      <c r="D4396" s="4" t="n">
        <v>2</v>
      </c>
      <c r="E4396" s="4" t="s">
        <v>3708</v>
      </c>
      <c r="F4396" s="4" t="n">
        <v>6</v>
      </c>
      <c r="G4396" s="4" t="n">
        <v>18</v>
      </c>
      <c r="H4396" s="4" t="n">
        <v>4</v>
      </c>
      <c r="I4396" s="4" t="str">
        <v>×</v>
      </c>
      <c r="J4396" s="4"/>
      <c r="K4396" s="4"/>
      <c r="L4396" s="4"/>
      <c r="M4396" s="7" t="s">
        <v>3577</v>
      </c>
    </row>
    <row r="4397" customFormat="false" ht="15.75" hidden="false" customHeight="false" outlineLevel="0" collapsed="false">
      <c r="A4397" s="3" t="n">
        <v>46235</v>
      </c>
      <c r="B4397" s="4" t="s">
        <v>13</v>
      </c>
      <c r="C4397" s="4" t="n">
        <v>3</v>
      </c>
      <c r="D4397" s="4" t="n">
        <v>3</v>
      </c>
      <c r="E4397" s="4" t="s">
        <v>3709</v>
      </c>
      <c r="F4397" s="4" t="n">
        <v>14</v>
      </c>
      <c r="G4397" s="4" t="n">
        <v>12</v>
      </c>
      <c r="H4397" s="4" t="n">
        <v>1</v>
      </c>
      <c r="I4397" s="4" t="str">
        <v>○</v>
      </c>
      <c r="J4397" s="4" t="n">
        <v>160</v>
      </c>
      <c r="K4397" s="4"/>
      <c r="L4397" s="4"/>
      <c r="M4397" s="7" t="s">
        <v>3577</v>
      </c>
    </row>
    <row r="4398" customFormat="false" ht="15.75" hidden="false" customHeight="false" outlineLevel="0" collapsed="false">
      <c r="A4398" s="3" t="n">
        <v>46235</v>
      </c>
      <c r="B4398" s="4" t="s">
        <v>13</v>
      </c>
      <c r="C4398" s="4" t="n">
        <v>3</v>
      </c>
      <c r="D4398" s="4" t="n">
        <v>4</v>
      </c>
      <c r="E4398" s="4" t="s">
        <v>3710</v>
      </c>
      <c r="F4398" s="4" t="n">
        <v>21</v>
      </c>
      <c r="G4398" s="4" t="n">
        <v>4</v>
      </c>
      <c r="H4398" s="4" t="n">
        <v>4</v>
      </c>
      <c r="I4398" s="4" t="str">
        <v>×</v>
      </c>
      <c r="J4398" s="4"/>
      <c r="K4398" s="4"/>
      <c r="L4398" s="4"/>
      <c r="M4398" s="7" t="s">
        <v>3577</v>
      </c>
    </row>
    <row r="4399" customFormat="false" ht="15.75" hidden="false" customHeight="false" outlineLevel="0" collapsed="false">
      <c r="A4399" s="3" t="n">
        <v>46235</v>
      </c>
      <c r="B4399" s="4" t="s">
        <v>13</v>
      </c>
      <c r="C4399" s="4" t="n">
        <v>3</v>
      </c>
      <c r="D4399" s="4" t="n">
        <v>5</v>
      </c>
      <c r="E4399" s="4" t="s">
        <v>3711</v>
      </c>
      <c r="F4399" s="4" t="n">
        <v>16</v>
      </c>
      <c r="G4399" s="4" t="n">
        <v>9</v>
      </c>
      <c r="H4399" s="4" t="n">
        <v>4</v>
      </c>
      <c r="I4399" s="4" t="str">
        <v>×</v>
      </c>
      <c r="J4399" s="4"/>
      <c r="K4399" s="4"/>
      <c r="L4399" s="4"/>
      <c r="M4399" s="7" t="s">
        <v>3577</v>
      </c>
    </row>
    <row r="4400" customFormat="false" ht="15.75" hidden="false" customHeight="false" outlineLevel="0" collapsed="false">
      <c r="A4400" s="3" t="n">
        <v>46235</v>
      </c>
      <c r="B4400" s="4" t="s">
        <v>13</v>
      </c>
      <c r="C4400" s="4" t="n">
        <v>3</v>
      </c>
      <c r="D4400" s="4" t="n">
        <v>6</v>
      </c>
      <c r="E4400" s="4" t="s">
        <v>3712</v>
      </c>
      <c r="F4400" s="4" t="n">
        <v>31</v>
      </c>
      <c r="G4400" s="4" t="n">
        <v>2</v>
      </c>
      <c r="H4400" s="4" t="n">
        <v>3</v>
      </c>
      <c r="I4400" s="4" t="str">
        <v>○</v>
      </c>
      <c r="J4400" s="4" t="n">
        <v>200</v>
      </c>
      <c r="K4400" s="4"/>
      <c r="L4400" s="4"/>
      <c r="M4400" s="7" t="s">
        <v>3577</v>
      </c>
    </row>
    <row r="4401" customFormat="false" ht="15.75" hidden="false" customHeight="false" outlineLevel="0" collapsed="false">
      <c r="A4401" s="3" t="n">
        <v>46235</v>
      </c>
      <c r="B4401" s="4" t="s">
        <v>13</v>
      </c>
      <c r="C4401" s="4" t="n">
        <v>3</v>
      </c>
      <c r="D4401" s="4" t="n">
        <v>7</v>
      </c>
      <c r="E4401" s="4" t="s">
        <v>3713</v>
      </c>
      <c r="F4401" s="4" t="n">
        <v>21</v>
      </c>
      <c r="G4401" s="4" t="n">
        <v>4</v>
      </c>
      <c r="H4401" s="4" t="n">
        <v>4</v>
      </c>
      <c r="I4401" s="4" t="str">
        <v>×</v>
      </c>
      <c r="J4401" s="4"/>
      <c r="K4401" s="4"/>
      <c r="L4401" s="4"/>
      <c r="M4401" s="7" t="s">
        <v>3577</v>
      </c>
    </row>
    <row r="4402" customFormat="false" ht="15.75" hidden="false" customHeight="false" outlineLevel="0" collapsed="false">
      <c r="A4402" s="3" t="n">
        <v>46235</v>
      </c>
      <c r="B4402" s="4" t="s">
        <v>13</v>
      </c>
      <c r="C4402" s="4" t="n">
        <v>3</v>
      </c>
      <c r="D4402" s="4" t="n">
        <v>8</v>
      </c>
      <c r="E4402" s="4" t="s">
        <v>3714</v>
      </c>
      <c r="F4402" s="4" t="n">
        <v>12</v>
      </c>
      <c r="G4402" s="4" t="n">
        <v>13</v>
      </c>
      <c r="H4402" s="4" t="n">
        <v>4</v>
      </c>
      <c r="I4402" s="4" t="str">
        <v>×</v>
      </c>
      <c r="J4402" s="4"/>
      <c r="K4402" s="4"/>
      <c r="L4402" s="4"/>
      <c r="M4402" s="7" t="s">
        <v>3577</v>
      </c>
    </row>
    <row r="4403" customFormat="false" ht="15.75" hidden="false" customHeight="false" outlineLevel="0" collapsed="false">
      <c r="A4403" s="3" t="n">
        <v>46235</v>
      </c>
      <c r="B4403" s="4" t="s">
        <v>13</v>
      </c>
      <c r="C4403" s="4" t="n">
        <v>3</v>
      </c>
      <c r="D4403" s="4" t="n">
        <v>9</v>
      </c>
      <c r="E4403" s="4" t="s">
        <v>3715</v>
      </c>
      <c r="F4403" s="4" t="n">
        <v>21</v>
      </c>
      <c r="G4403" s="4" t="n">
        <v>4</v>
      </c>
      <c r="H4403" s="4" t="n">
        <v>4</v>
      </c>
      <c r="I4403" s="4" t="str">
        <v>×</v>
      </c>
      <c r="J4403" s="4"/>
      <c r="K4403" s="4"/>
      <c r="L4403" s="4"/>
      <c r="M4403" s="7" t="s">
        <v>3577</v>
      </c>
    </row>
    <row r="4404" customFormat="false" ht="15.75" hidden="false" customHeight="false" outlineLevel="0" collapsed="false">
      <c r="A4404" s="3" t="n">
        <v>46235</v>
      </c>
      <c r="B4404" s="4" t="s">
        <v>13</v>
      </c>
      <c r="C4404" s="4" t="n">
        <v>3</v>
      </c>
      <c r="D4404" s="4" t="n">
        <v>10</v>
      </c>
      <c r="E4404" s="4" t="s">
        <v>3716</v>
      </c>
      <c r="F4404" s="4" t="n">
        <v>8</v>
      </c>
      <c r="G4404" s="4" t="n">
        <v>15</v>
      </c>
      <c r="H4404" s="4" t="n">
        <v>4</v>
      </c>
      <c r="I4404" s="4" t="str">
        <v>×</v>
      </c>
      <c r="J4404" s="4"/>
      <c r="K4404" s="4"/>
      <c r="L4404" s="4"/>
      <c r="M4404" s="7" t="s">
        <v>3577</v>
      </c>
    </row>
    <row r="4405" customFormat="false" ht="15.75" hidden="false" customHeight="false" outlineLevel="0" collapsed="false">
      <c r="A4405" s="3" t="n">
        <v>46235</v>
      </c>
      <c r="B4405" s="4" t="s">
        <v>13</v>
      </c>
      <c r="C4405" s="4" t="n">
        <v>3</v>
      </c>
      <c r="D4405" s="4" t="n">
        <v>11</v>
      </c>
      <c r="E4405" s="4" t="s">
        <v>3717</v>
      </c>
      <c r="F4405" s="4" t="n">
        <v>12</v>
      </c>
      <c r="G4405" s="4" t="n">
        <v>13</v>
      </c>
      <c r="H4405" s="4" t="n">
        <v>4</v>
      </c>
      <c r="I4405" s="4" t="str">
        <v>×</v>
      </c>
      <c r="J4405" s="4"/>
      <c r="K4405" s="4"/>
      <c r="L4405" s="4"/>
      <c r="M4405" s="7" t="s">
        <v>3577</v>
      </c>
    </row>
    <row r="4406" customFormat="false" ht="15.75" hidden="false" customHeight="false" outlineLevel="0" collapsed="false">
      <c r="A4406" s="3" t="n">
        <v>46235</v>
      </c>
      <c r="B4406" s="4" t="s">
        <v>13</v>
      </c>
      <c r="C4406" s="4" t="n">
        <v>3</v>
      </c>
      <c r="D4406" s="4" t="n">
        <v>12</v>
      </c>
      <c r="E4406" s="4" t="s">
        <v>3718</v>
      </c>
      <c r="F4406" s="4" t="n">
        <v>27</v>
      </c>
      <c r="G4406" s="4" t="n">
        <v>3</v>
      </c>
      <c r="H4406" s="4" t="n">
        <v>4</v>
      </c>
      <c r="I4406" s="4" t="str">
        <v>×</v>
      </c>
      <c r="J4406" s="4"/>
      <c r="K4406" s="4"/>
      <c r="L4406" s="4"/>
      <c r="M4406" s="7" t="s">
        <v>3577</v>
      </c>
    </row>
    <row r="4407" customFormat="false" ht="15.75" hidden="false" customHeight="false" outlineLevel="0" collapsed="false">
      <c r="A4407" s="3" t="n">
        <v>46235</v>
      </c>
      <c r="B4407" s="4" t="s">
        <v>13</v>
      </c>
      <c r="C4407" s="4" t="n">
        <v>3</v>
      </c>
      <c r="D4407" s="4" t="n">
        <v>13</v>
      </c>
      <c r="E4407" s="4" t="s">
        <v>3719</v>
      </c>
      <c r="F4407" s="4" t="n">
        <v>21</v>
      </c>
      <c r="G4407" s="4" t="n">
        <v>4</v>
      </c>
      <c r="H4407" s="4" t="n">
        <v>2</v>
      </c>
      <c r="I4407" s="4" t="str">
        <v>○</v>
      </c>
      <c r="J4407" s="4" t="n">
        <v>160</v>
      </c>
      <c r="K4407" s="4"/>
      <c r="L4407" s="4"/>
      <c r="M4407" s="7" t="s">
        <v>3577</v>
      </c>
    </row>
    <row r="4408" customFormat="false" ht="15.75" hidden="false" customHeight="false" outlineLevel="0" collapsed="false">
      <c r="A4408" s="3" t="n">
        <v>46235</v>
      </c>
      <c r="B4408" s="4" t="s">
        <v>13</v>
      </c>
      <c r="C4408" s="4" t="n">
        <v>3</v>
      </c>
      <c r="D4408" s="4" t="n">
        <v>14</v>
      </c>
      <c r="E4408" s="4" t="s">
        <v>3720</v>
      </c>
      <c r="F4408" s="4" t="n">
        <v>16</v>
      </c>
      <c r="G4408" s="4" t="n">
        <v>9</v>
      </c>
      <c r="H4408" s="4" t="n">
        <v>4</v>
      </c>
      <c r="I4408" s="4" t="str">
        <v>×</v>
      </c>
      <c r="J4408" s="4"/>
      <c r="K4408" s="4"/>
      <c r="L4408" s="4"/>
      <c r="M4408" s="7" t="s">
        <v>3577</v>
      </c>
    </row>
    <row r="4409" customFormat="false" ht="15.75" hidden="false" customHeight="false" outlineLevel="0" collapsed="false">
      <c r="A4409" s="3" t="n">
        <v>46235</v>
      </c>
      <c r="B4409" s="4" t="s">
        <v>13</v>
      </c>
      <c r="C4409" s="4" t="n">
        <v>3</v>
      </c>
      <c r="D4409" s="4" t="n">
        <v>15</v>
      </c>
      <c r="E4409" s="4" t="s">
        <v>3721</v>
      </c>
      <c r="F4409" s="4" t="n">
        <v>8</v>
      </c>
      <c r="G4409" s="4" t="n">
        <v>15</v>
      </c>
      <c r="H4409" s="4" t="n">
        <v>4</v>
      </c>
      <c r="I4409" s="4" t="str">
        <v>×</v>
      </c>
      <c r="J4409" s="4"/>
      <c r="K4409" s="4"/>
      <c r="L4409" s="4"/>
      <c r="M4409" s="7" t="s">
        <v>3577</v>
      </c>
    </row>
    <row r="4410" customFormat="false" ht="15.75" hidden="false" customHeight="false" outlineLevel="0" collapsed="false">
      <c r="A4410" s="3" t="n">
        <v>46235</v>
      </c>
      <c r="B4410" s="4" t="s">
        <v>13</v>
      </c>
      <c r="C4410" s="4" t="n">
        <v>3</v>
      </c>
      <c r="D4410" s="4" t="n">
        <v>16</v>
      </c>
      <c r="E4410" s="4" t="s">
        <v>3722</v>
      </c>
      <c r="F4410" s="4" t="n">
        <v>16</v>
      </c>
      <c r="G4410" s="4" t="n">
        <v>9</v>
      </c>
      <c r="H4410" s="4" t="n">
        <v>4</v>
      </c>
      <c r="I4410" s="4" t="str">
        <v>×</v>
      </c>
      <c r="J4410" s="4"/>
      <c r="K4410" s="4"/>
      <c r="L4410" s="4"/>
      <c r="M4410" s="7" t="s">
        <v>3577</v>
      </c>
    </row>
    <row r="4411" customFormat="false" ht="15.75" hidden="false" customHeight="false" outlineLevel="0" collapsed="false">
      <c r="A4411" s="3" t="n">
        <v>46235</v>
      </c>
      <c r="B4411" s="4" t="s">
        <v>13</v>
      </c>
      <c r="C4411" s="4" t="n">
        <v>3</v>
      </c>
      <c r="D4411" s="4" t="n">
        <v>17</v>
      </c>
      <c r="E4411" s="4" t="s">
        <v>3723</v>
      </c>
      <c r="F4411" s="4" t="n">
        <v>8</v>
      </c>
      <c r="G4411" s="4" t="n">
        <v>15</v>
      </c>
      <c r="H4411" s="4" t="n">
        <v>4</v>
      </c>
      <c r="I4411" s="4" t="str">
        <v>×</v>
      </c>
      <c r="J4411" s="4"/>
      <c r="K4411" s="4"/>
      <c r="L4411" s="4"/>
      <c r="M4411" s="7" t="s">
        <v>3577</v>
      </c>
    </row>
    <row r="4412" customFormat="false" ht="15.75" hidden="false" customHeight="false" outlineLevel="0" collapsed="false">
      <c r="A4412" s="3" t="n">
        <v>46235</v>
      </c>
      <c r="B4412" s="4" t="s">
        <v>13</v>
      </c>
      <c r="C4412" s="4" t="n">
        <v>3</v>
      </c>
      <c r="D4412" s="4" t="n">
        <v>18</v>
      </c>
      <c r="E4412" s="4" t="s">
        <v>3724</v>
      </c>
      <c r="F4412" s="4" t="n">
        <v>37</v>
      </c>
      <c r="G4412" s="4" t="n">
        <v>1</v>
      </c>
      <c r="H4412" s="4" t="n">
        <v>4</v>
      </c>
      <c r="I4412" s="4" t="str">
        <v>×</v>
      </c>
      <c r="J4412" s="4"/>
      <c r="K4412" s="4"/>
      <c r="L4412" s="4"/>
      <c r="M4412" s="7" t="s">
        <v>3577</v>
      </c>
    </row>
    <row r="4413" customFormat="false" ht="15.75" hidden="false" customHeight="false" outlineLevel="0" collapsed="false">
      <c r="A4413" s="3" t="n">
        <v>46235</v>
      </c>
      <c r="B4413" s="4" t="s">
        <v>13</v>
      </c>
      <c r="C4413" s="4" t="n">
        <v>4</v>
      </c>
      <c r="D4413" s="4" t="n">
        <v>1</v>
      </c>
      <c r="E4413" s="4" t="s">
        <v>136</v>
      </c>
      <c r="F4413" s="4" t="n">
        <v>25</v>
      </c>
      <c r="G4413" s="4" t="n">
        <v>4</v>
      </c>
      <c r="H4413" s="4" t="n">
        <v>4</v>
      </c>
      <c r="I4413" s="4" t="str">
        <v>×</v>
      </c>
      <c r="J4413" s="4"/>
      <c r="K4413" s="4"/>
      <c r="L4413" s="4"/>
      <c r="M4413" s="7" t="s">
        <v>3577</v>
      </c>
    </row>
    <row r="4414" customFormat="false" ht="15.75" hidden="false" customHeight="false" outlineLevel="0" collapsed="false">
      <c r="A4414" s="3" t="n">
        <v>46235</v>
      </c>
      <c r="B4414" s="4" t="s">
        <v>13</v>
      </c>
      <c r="C4414" s="4" t="n">
        <v>4</v>
      </c>
      <c r="D4414" s="4" t="n">
        <v>2</v>
      </c>
      <c r="E4414" s="4" t="s">
        <v>3725</v>
      </c>
      <c r="F4414" s="4" t="n">
        <v>8</v>
      </c>
      <c r="G4414" s="4" t="n">
        <v>12</v>
      </c>
      <c r="H4414" s="4" t="n">
        <v>4</v>
      </c>
      <c r="I4414" s="4" t="str">
        <v>×</v>
      </c>
      <c r="J4414" s="4"/>
      <c r="K4414" s="4"/>
      <c r="L4414" s="4"/>
      <c r="M4414" s="7" t="s">
        <v>3577</v>
      </c>
    </row>
    <row r="4415" customFormat="false" ht="15.75" hidden="false" customHeight="false" outlineLevel="0" collapsed="false">
      <c r="A4415" s="3" t="n">
        <v>46235</v>
      </c>
      <c r="B4415" s="4" t="s">
        <v>13</v>
      </c>
      <c r="C4415" s="4" t="n">
        <v>4</v>
      </c>
      <c r="D4415" s="4" t="n">
        <v>3</v>
      </c>
      <c r="E4415" s="4" t="s">
        <v>1430</v>
      </c>
      <c r="F4415" s="4" t="n">
        <v>67</v>
      </c>
      <c r="G4415" s="4" t="n">
        <v>1</v>
      </c>
      <c r="H4415" s="4" t="n">
        <v>4</v>
      </c>
      <c r="I4415" s="4" t="str">
        <v>×</v>
      </c>
      <c r="J4415" s="4"/>
      <c r="K4415" s="4"/>
      <c r="L4415" s="4"/>
      <c r="M4415" s="7" t="s">
        <v>3577</v>
      </c>
    </row>
    <row r="4416" customFormat="false" ht="15.75" hidden="false" customHeight="false" outlineLevel="0" collapsed="false">
      <c r="A4416" s="3" t="n">
        <v>46235</v>
      </c>
      <c r="B4416" s="4" t="s">
        <v>13</v>
      </c>
      <c r="C4416" s="4" t="n">
        <v>4</v>
      </c>
      <c r="D4416" s="4" t="n">
        <v>4</v>
      </c>
      <c r="E4416" s="4" t="s">
        <v>3726</v>
      </c>
      <c r="F4416" s="4" t="n">
        <v>6</v>
      </c>
      <c r="G4416" s="4" t="n">
        <v>13</v>
      </c>
      <c r="H4416" s="4" t="n">
        <v>4</v>
      </c>
      <c r="I4416" s="4" t="str">
        <v>×</v>
      </c>
      <c r="J4416" s="4"/>
      <c r="K4416" s="4"/>
      <c r="L4416" s="4"/>
      <c r="M4416" s="7" t="s">
        <v>3577</v>
      </c>
    </row>
    <row r="4417" customFormat="false" ht="15.75" hidden="false" customHeight="false" outlineLevel="0" collapsed="false">
      <c r="A4417" s="3" t="n">
        <v>46235</v>
      </c>
      <c r="B4417" s="4" t="s">
        <v>13</v>
      </c>
      <c r="C4417" s="4" t="n">
        <v>4</v>
      </c>
      <c r="D4417" s="4" t="n">
        <v>5</v>
      </c>
      <c r="E4417" s="4" t="s">
        <v>3330</v>
      </c>
      <c r="F4417" s="4" t="n">
        <v>15</v>
      </c>
      <c r="G4417" s="4" t="n">
        <v>9</v>
      </c>
      <c r="H4417" s="4" t="n">
        <v>2</v>
      </c>
      <c r="I4417" s="4" t="str">
        <v>○</v>
      </c>
      <c r="J4417" s="4" t="n">
        <v>330</v>
      </c>
      <c r="K4417" s="4"/>
      <c r="L4417" s="4"/>
      <c r="M4417" s="7" t="s">
        <v>3577</v>
      </c>
    </row>
    <row r="4418" customFormat="false" ht="15.75" hidden="false" customHeight="false" outlineLevel="0" collapsed="false">
      <c r="A4418" s="3" t="n">
        <v>46235</v>
      </c>
      <c r="B4418" s="4" t="s">
        <v>13</v>
      </c>
      <c r="C4418" s="4" t="n">
        <v>4</v>
      </c>
      <c r="D4418" s="4" t="n">
        <v>6</v>
      </c>
      <c r="E4418" s="4" t="s">
        <v>1884</v>
      </c>
      <c r="F4418" s="4" t="n">
        <v>60</v>
      </c>
      <c r="G4418" s="4" t="n">
        <v>2</v>
      </c>
      <c r="H4418" s="4" t="n">
        <v>1</v>
      </c>
      <c r="I4418" s="4" t="str">
        <v>○</v>
      </c>
      <c r="J4418" s="4" t="n">
        <v>150</v>
      </c>
      <c r="K4418" s="4"/>
      <c r="L4418" s="4"/>
      <c r="M4418" s="7" t="s">
        <v>3577</v>
      </c>
    </row>
    <row r="4419" customFormat="false" ht="15.75" hidden="false" customHeight="false" outlineLevel="0" collapsed="false">
      <c r="A4419" s="3" t="n">
        <v>46235</v>
      </c>
      <c r="B4419" s="4" t="s">
        <v>13</v>
      </c>
      <c r="C4419" s="4" t="n">
        <v>4</v>
      </c>
      <c r="D4419" s="4" t="n">
        <v>7</v>
      </c>
      <c r="E4419" s="4" t="s">
        <v>3727</v>
      </c>
      <c r="F4419" s="4" t="n">
        <v>4</v>
      </c>
      <c r="G4419" s="4" t="n">
        <v>14</v>
      </c>
      <c r="H4419" s="4" t="n">
        <v>4</v>
      </c>
      <c r="I4419" s="4" t="str">
        <v>×</v>
      </c>
      <c r="J4419" s="4"/>
      <c r="K4419" s="4"/>
      <c r="L4419" s="4"/>
      <c r="M4419" s="7" t="s">
        <v>3577</v>
      </c>
    </row>
    <row r="4420" customFormat="false" ht="15.75" hidden="false" customHeight="false" outlineLevel="0" collapsed="false">
      <c r="A4420" s="3" t="n">
        <v>46235</v>
      </c>
      <c r="B4420" s="4" t="s">
        <v>13</v>
      </c>
      <c r="C4420" s="4" t="n">
        <v>4</v>
      </c>
      <c r="D4420" s="4" t="n">
        <v>8</v>
      </c>
      <c r="E4420" s="4" t="s">
        <v>2992</v>
      </c>
      <c r="F4420" s="4" t="n">
        <v>20</v>
      </c>
      <c r="G4420" s="4" t="n">
        <v>5</v>
      </c>
      <c r="H4420" s="4" t="n">
        <v>4</v>
      </c>
      <c r="I4420" s="4" t="str">
        <v>×</v>
      </c>
      <c r="J4420" s="4"/>
      <c r="K4420" s="4"/>
      <c r="L4420" s="4"/>
      <c r="M4420" s="7" t="s">
        <v>3577</v>
      </c>
    </row>
    <row r="4421" customFormat="false" ht="15.75" hidden="false" customHeight="false" outlineLevel="0" collapsed="false">
      <c r="A4421" s="3" t="n">
        <v>46235</v>
      </c>
      <c r="B4421" s="4" t="s">
        <v>13</v>
      </c>
      <c r="C4421" s="4" t="n">
        <v>4</v>
      </c>
      <c r="D4421" s="4" t="n">
        <v>9</v>
      </c>
      <c r="E4421" s="4" t="s">
        <v>3728</v>
      </c>
      <c r="F4421" s="4" t="n">
        <v>3</v>
      </c>
      <c r="G4421" s="4" t="n">
        <v>15</v>
      </c>
      <c r="H4421" s="4" t="n">
        <v>4</v>
      </c>
      <c r="I4421" s="4" t="str">
        <v>×</v>
      </c>
      <c r="J4421" s="4"/>
      <c r="K4421" s="4"/>
      <c r="L4421" s="4"/>
      <c r="M4421" s="7" t="s">
        <v>3577</v>
      </c>
    </row>
    <row r="4422" customFormat="false" ht="15.75" hidden="false" customHeight="false" outlineLevel="0" collapsed="false">
      <c r="A4422" s="3" t="n">
        <v>46235</v>
      </c>
      <c r="B4422" s="4" t="s">
        <v>13</v>
      </c>
      <c r="C4422" s="4" t="n">
        <v>4</v>
      </c>
      <c r="D4422" s="4" t="n">
        <v>10</v>
      </c>
      <c r="E4422" s="4" t="s">
        <v>3729</v>
      </c>
      <c r="F4422" s="4" t="n">
        <v>20</v>
      </c>
      <c r="G4422" s="4" t="n">
        <v>5</v>
      </c>
      <c r="H4422" s="4" t="n">
        <v>4</v>
      </c>
      <c r="I4422" s="4" t="str">
        <v>×</v>
      </c>
      <c r="J4422" s="4"/>
      <c r="K4422" s="4"/>
      <c r="L4422" s="4"/>
      <c r="M4422" s="7" t="s">
        <v>3577</v>
      </c>
    </row>
    <row r="4423" customFormat="false" ht="15.75" hidden="false" customHeight="false" outlineLevel="0" collapsed="false">
      <c r="A4423" s="3" t="n">
        <v>46235</v>
      </c>
      <c r="B4423" s="4" t="s">
        <v>13</v>
      </c>
      <c r="C4423" s="4" t="n">
        <v>4</v>
      </c>
      <c r="D4423" s="4" t="n">
        <v>11</v>
      </c>
      <c r="E4423" s="4" t="s">
        <v>1893</v>
      </c>
      <c r="F4423" s="4" t="n">
        <v>20</v>
      </c>
      <c r="G4423" s="4" t="n">
        <v>5</v>
      </c>
      <c r="H4423" s="4" t="n">
        <v>4</v>
      </c>
      <c r="I4423" s="4" t="str">
        <v>×</v>
      </c>
      <c r="J4423" s="4"/>
      <c r="K4423" s="4"/>
      <c r="L4423" s="4"/>
      <c r="M4423" s="7" t="s">
        <v>3577</v>
      </c>
    </row>
    <row r="4424" customFormat="false" ht="15.75" hidden="false" customHeight="false" outlineLevel="0" collapsed="false">
      <c r="A4424" s="3" t="n">
        <v>46235</v>
      </c>
      <c r="B4424" s="4" t="s">
        <v>13</v>
      </c>
      <c r="C4424" s="4" t="n">
        <v>4</v>
      </c>
      <c r="D4424" s="4" t="n">
        <v>12</v>
      </c>
      <c r="E4424" s="4" t="s">
        <v>3730</v>
      </c>
      <c r="F4424" s="4" t="n">
        <v>13</v>
      </c>
      <c r="G4424" s="4" t="n">
        <v>10</v>
      </c>
      <c r="H4424" s="4" t="n">
        <v>4</v>
      </c>
      <c r="I4424" s="4" t="str">
        <v>×</v>
      </c>
      <c r="J4424" s="4"/>
      <c r="K4424" s="4"/>
      <c r="L4424" s="4"/>
      <c r="M4424" s="7" t="s">
        <v>3577</v>
      </c>
    </row>
    <row r="4425" customFormat="false" ht="15.75" hidden="false" customHeight="false" outlineLevel="0" collapsed="false">
      <c r="A4425" s="3" t="n">
        <v>46235</v>
      </c>
      <c r="B4425" s="4" t="s">
        <v>13</v>
      </c>
      <c r="C4425" s="4" t="n">
        <v>4</v>
      </c>
      <c r="D4425" s="4" t="n">
        <v>13</v>
      </c>
      <c r="E4425" s="4" t="s">
        <v>3731</v>
      </c>
      <c r="F4425" s="4" t="n">
        <v>17</v>
      </c>
      <c r="G4425" s="4" t="n">
        <v>8</v>
      </c>
      <c r="H4425" s="4" t="n">
        <v>4</v>
      </c>
      <c r="I4425" s="4" t="str">
        <v>×</v>
      </c>
      <c r="J4425" s="4"/>
      <c r="K4425" s="4"/>
      <c r="L4425" s="4"/>
      <c r="M4425" s="7" t="s">
        <v>3577</v>
      </c>
    </row>
    <row r="4426" customFormat="false" ht="15.75" hidden="false" customHeight="false" outlineLevel="0" collapsed="false">
      <c r="A4426" s="3" t="n">
        <v>46235</v>
      </c>
      <c r="B4426" s="4" t="s">
        <v>13</v>
      </c>
      <c r="C4426" s="4" t="n">
        <v>4</v>
      </c>
      <c r="D4426" s="4" t="n">
        <v>14</v>
      </c>
      <c r="E4426" s="4" t="s">
        <v>3732</v>
      </c>
      <c r="F4426" s="4" t="n">
        <v>13</v>
      </c>
      <c r="G4426" s="4" t="n">
        <v>10</v>
      </c>
      <c r="H4426" s="4" t="n">
        <v>4</v>
      </c>
      <c r="I4426" s="4" t="str">
        <v>×</v>
      </c>
      <c r="J4426" s="4"/>
      <c r="K4426" s="4"/>
      <c r="L4426" s="4"/>
      <c r="M4426" s="7" t="s">
        <v>3577</v>
      </c>
    </row>
    <row r="4427" customFormat="false" ht="15.75" hidden="false" customHeight="false" outlineLevel="0" collapsed="false">
      <c r="A4427" s="3" t="n">
        <v>46235</v>
      </c>
      <c r="B4427" s="4" t="s">
        <v>13</v>
      </c>
      <c r="C4427" s="4" t="n">
        <v>4</v>
      </c>
      <c r="D4427" s="4" t="n">
        <v>15</v>
      </c>
      <c r="E4427" s="4" t="s">
        <v>3733</v>
      </c>
      <c r="F4427" s="4" t="n">
        <v>50</v>
      </c>
      <c r="G4427" s="4" t="n">
        <v>3</v>
      </c>
      <c r="H4427" s="4" t="n">
        <v>3</v>
      </c>
      <c r="I4427" s="4" t="str">
        <v>○</v>
      </c>
      <c r="J4427" s="4" t="n">
        <v>200</v>
      </c>
      <c r="K4427" s="4"/>
      <c r="L4427" s="4"/>
      <c r="M4427" s="7" t="s">
        <v>3577</v>
      </c>
    </row>
    <row r="4428" customFormat="false" ht="15.75" hidden="false" customHeight="false" outlineLevel="0" collapsed="false">
      <c r="A4428" s="3" t="n">
        <v>46235</v>
      </c>
      <c r="B4428" s="4" t="s">
        <v>13</v>
      </c>
      <c r="C4428" s="4" t="n">
        <v>5</v>
      </c>
      <c r="D4428" s="4" t="n">
        <v>1</v>
      </c>
      <c r="E4428" s="4" t="s">
        <v>3734</v>
      </c>
      <c r="F4428" s="4" t="n">
        <v>4</v>
      </c>
      <c r="G4428" s="4" t="n">
        <v>12</v>
      </c>
      <c r="H4428" s="4" t="n">
        <v>4</v>
      </c>
      <c r="I4428" s="4" t="str">
        <v>×</v>
      </c>
      <c r="J4428" s="4"/>
      <c r="K4428" s="4"/>
      <c r="L4428" s="4"/>
      <c r="M4428" s="7" t="s">
        <v>3577</v>
      </c>
    </row>
    <row r="4429" customFormat="false" ht="15.75" hidden="false" customHeight="false" outlineLevel="0" collapsed="false">
      <c r="A4429" s="3" t="n">
        <v>46235</v>
      </c>
      <c r="B4429" s="4" t="s">
        <v>13</v>
      </c>
      <c r="C4429" s="4" t="n">
        <v>5</v>
      </c>
      <c r="D4429" s="4" t="n">
        <v>2</v>
      </c>
      <c r="E4429" s="4" t="s">
        <v>3735</v>
      </c>
      <c r="F4429" s="4" t="n">
        <v>50</v>
      </c>
      <c r="G4429" s="4" t="n">
        <v>2</v>
      </c>
      <c r="H4429" s="4" t="n">
        <v>3</v>
      </c>
      <c r="I4429" s="4" t="str">
        <v>○</v>
      </c>
      <c r="J4429" s="4" t="n">
        <v>220</v>
      </c>
      <c r="K4429" s="4"/>
      <c r="L4429" s="4"/>
      <c r="M4429" s="7" t="s">
        <v>3577</v>
      </c>
    </row>
    <row r="4430" customFormat="false" ht="15.75" hidden="false" customHeight="false" outlineLevel="0" collapsed="false">
      <c r="A4430" s="3" t="n">
        <v>46235</v>
      </c>
      <c r="B4430" s="4" t="s">
        <v>13</v>
      </c>
      <c r="C4430" s="4" t="n">
        <v>5</v>
      </c>
      <c r="D4430" s="4" t="n">
        <v>3</v>
      </c>
      <c r="E4430" s="4" t="s">
        <v>3031</v>
      </c>
      <c r="F4430" s="4" t="n">
        <v>37</v>
      </c>
      <c r="G4430" s="4" t="n">
        <v>5</v>
      </c>
      <c r="H4430" s="4" t="n">
        <v>4</v>
      </c>
      <c r="I4430" s="4" t="str">
        <v>×</v>
      </c>
      <c r="J4430" s="4"/>
      <c r="K4430" s="4"/>
      <c r="L4430" s="4"/>
      <c r="M4430" s="7" t="s">
        <v>3577</v>
      </c>
    </row>
    <row r="4431" customFormat="false" ht="15.75" hidden="false" customHeight="false" outlineLevel="0" collapsed="false">
      <c r="A4431" s="3" t="n">
        <v>46235</v>
      </c>
      <c r="B4431" s="4" t="s">
        <v>13</v>
      </c>
      <c r="C4431" s="4" t="n">
        <v>5</v>
      </c>
      <c r="D4431" s="4" t="n">
        <v>4</v>
      </c>
      <c r="E4431" s="4" t="s">
        <v>3736</v>
      </c>
      <c r="F4431" s="4" t="n">
        <v>37</v>
      </c>
      <c r="G4431" s="4" t="n">
        <v>5</v>
      </c>
      <c r="H4431" s="4" t="n">
        <v>4</v>
      </c>
      <c r="I4431" s="4" t="str">
        <v>×</v>
      </c>
      <c r="J4431" s="4"/>
      <c r="K4431" s="4"/>
      <c r="L4431" s="4"/>
      <c r="M4431" s="7" t="s">
        <v>3577</v>
      </c>
    </row>
    <row r="4432" customFormat="false" ht="15.75" hidden="false" customHeight="false" outlineLevel="0" collapsed="false">
      <c r="A4432" s="3" t="n">
        <v>46235</v>
      </c>
      <c r="B4432" s="4" t="s">
        <v>13</v>
      </c>
      <c r="C4432" s="4" t="n">
        <v>5</v>
      </c>
      <c r="D4432" s="4" t="n">
        <v>5</v>
      </c>
      <c r="E4432" s="4" t="s">
        <v>3737</v>
      </c>
      <c r="F4432" s="4" t="n">
        <v>13</v>
      </c>
      <c r="G4432" s="4" t="n">
        <v>9</v>
      </c>
      <c r="H4432" s="4" t="n">
        <v>2</v>
      </c>
      <c r="I4432" s="4" t="str">
        <v>○</v>
      </c>
      <c r="J4432" s="4" t="n">
        <v>1050</v>
      </c>
      <c r="K4432" s="4"/>
      <c r="L4432" s="4"/>
      <c r="M4432" s="7" t="s">
        <v>3577</v>
      </c>
    </row>
    <row r="4433" customFormat="false" ht="15.75" hidden="false" customHeight="false" outlineLevel="0" collapsed="false">
      <c r="A4433" s="3" t="n">
        <v>46235</v>
      </c>
      <c r="B4433" s="4" t="s">
        <v>13</v>
      </c>
      <c r="C4433" s="4" t="n">
        <v>5</v>
      </c>
      <c r="D4433" s="4" t="n">
        <v>6</v>
      </c>
      <c r="E4433" s="4" t="s">
        <v>3039</v>
      </c>
      <c r="F4433" s="4" t="n">
        <v>56</v>
      </c>
      <c r="G4433" s="4" t="n">
        <v>1</v>
      </c>
      <c r="H4433" s="4" t="n">
        <v>1</v>
      </c>
      <c r="I4433" s="4" t="str">
        <v>○</v>
      </c>
      <c r="J4433" s="4" t="n">
        <v>210</v>
      </c>
      <c r="K4433" s="4"/>
      <c r="L4433" s="4"/>
      <c r="M4433" s="7" t="s">
        <v>3577</v>
      </c>
    </row>
    <row r="4434" customFormat="false" ht="15.75" hidden="false" customHeight="false" outlineLevel="0" collapsed="false">
      <c r="A4434" s="3" t="n">
        <v>46235</v>
      </c>
      <c r="B4434" s="4" t="s">
        <v>13</v>
      </c>
      <c r="C4434" s="4" t="n">
        <v>5</v>
      </c>
      <c r="D4434" s="4" t="n">
        <v>7</v>
      </c>
      <c r="E4434" s="4" t="s">
        <v>3738</v>
      </c>
      <c r="F4434" s="4" t="n">
        <v>4</v>
      </c>
      <c r="G4434" s="4" t="n">
        <v>12</v>
      </c>
      <c r="H4434" s="4" t="n">
        <v>4</v>
      </c>
      <c r="I4434" s="4" t="str">
        <v>×</v>
      </c>
      <c r="J4434" s="4"/>
      <c r="K4434" s="4"/>
      <c r="L4434" s="4"/>
      <c r="M4434" s="7" t="s">
        <v>3577</v>
      </c>
    </row>
    <row r="4435" customFormat="false" ht="15.75" hidden="false" customHeight="false" outlineLevel="0" collapsed="false">
      <c r="A4435" s="3" t="n">
        <v>46235</v>
      </c>
      <c r="B4435" s="4" t="s">
        <v>13</v>
      </c>
      <c r="C4435" s="4" t="n">
        <v>5</v>
      </c>
      <c r="D4435" s="4" t="n">
        <v>8</v>
      </c>
      <c r="E4435" s="4" t="s">
        <v>3739</v>
      </c>
      <c r="F4435" s="4" t="n">
        <v>8</v>
      </c>
      <c r="G4435" s="4" t="n">
        <v>11</v>
      </c>
      <c r="H4435" s="4" t="n">
        <v>4</v>
      </c>
      <c r="I4435" s="4" t="str">
        <v>×</v>
      </c>
      <c r="J4435" s="4"/>
      <c r="K4435" s="4"/>
      <c r="L4435" s="4"/>
      <c r="M4435" s="7" t="s">
        <v>3577</v>
      </c>
    </row>
    <row r="4436" customFormat="false" ht="15.75" hidden="false" customHeight="false" outlineLevel="0" collapsed="false">
      <c r="A4436" s="3" t="n">
        <v>46235</v>
      </c>
      <c r="B4436" s="4" t="s">
        <v>13</v>
      </c>
      <c r="C4436" s="4" t="n">
        <v>5</v>
      </c>
      <c r="D4436" s="4" t="n">
        <v>9</v>
      </c>
      <c r="E4436" s="4" t="s">
        <v>3740</v>
      </c>
      <c r="F4436" s="4" t="n">
        <v>23</v>
      </c>
      <c r="G4436" s="4" t="n">
        <v>7</v>
      </c>
      <c r="H4436" s="4" t="n">
        <v>4</v>
      </c>
      <c r="I4436" s="4" t="str">
        <v>×</v>
      </c>
      <c r="J4436" s="4"/>
      <c r="K4436" s="4"/>
      <c r="L4436" s="4"/>
      <c r="M4436" s="7" t="s">
        <v>3577</v>
      </c>
    </row>
    <row r="4437" customFormat="false" ht="15.75" hidden="false" customHeight="false" outlineLevel="0" collapsed="false">
      <c r="A4437" s="3" t="n">
        <v>46235</v>
      </c>
      <c r="B4437" s="4" t="s">
        <v>13</v>
      </c>
      <c r="C4437" s="4" t="n">
        <v>5</v>
      </c>
      <c r="D4437" s="4" t="n">
        <v>10</v>
      </c>
      <c r="E4437" s="4" t="s">
        <v>3741</v>
      </c>
      <c r="F4437" s="4" t="n">
        <v>4</v>
      </c>
      <c r="G4437" s="4" t="n">
        <v>12</v>
      </c>
      <c r="H4437" s="4" t="n">
        <v>4</v>
      </c>
      <c r="I4437" s="4" t="str">
        <v>×</v>
      </c>
      <c r="J4437" s="4"/>
      <c r="K4437" s="4"/>
      <c r="L4437" s="4"/>
      <c r="M4437" s="7" t="s">
        <v>3577</v>
      </c>
    </row>
    <row r="4438" customFormat="false" ht="15.75" hidden="false" customHeight="false" outlineLevel="0" collapsed="false">
      <c r="A4438" s="3" t="n">
        <v>46235</v>
      </c>
      <c r="B4438" s="4" t="s">
        <v>13</v>
      </c>
      <c r="C4438" s="4" t="n">
        <v>5</v>
      </c>
      <c r="D4438" s="4" t="n">
        <v>11</v>
      </c>
      <c r="E4438" s="4" t="s">
        <v>3742</v>
      </c>
      <c r="F4438" s="4" t="n">
        <v>3</v>
      </c>
      <c r="G4438" s="4" t="n">
        <v>15</v>
      </c>
      <c r="H4438" s="4" t="n">
        <v>4</v>
      </c>
      <c r="I4438" s="4" t="str">
        <v>×</v>
      </c>
      <c r="J4438" s="4"/>
      <c r="K4438" s="4"/>
      <c r="L4438" s="4"/>
      <c r="M4438" s="7" t="s">
        <v>3577</v>
      </c>
    </row>
    <row r="4439" customFormat="false" ht="15.75" hidden="false" customHeight="false" outlineLevel="0" collapsed="false">
      <c r="A4439" s="3" t="n">
        <v>46235</v>
      </c>
      <c r="B4439" s="4" t="s">
        <v>13</v>
      </c>
      <c r="C4439" s="4" t="n">
        <v>5</v>
      </c>
      <c r="D4439" s="4" t="n">
        <v>12</v>
      </c>
      <c r="E4439" s="4" t="s">
        <v>3743</v>
      </c>
      <c r="F4439" s="4" t="n">
        <v>50</v>
      </c>
      <c r="G4439" s="4" t="n">
        <v>2</v>
      </c>
      <c r="H4439" s="4" t="n">
        <v>4</v>
      </c>
      <c r="I4439" s="4" t="str">
        <v>×</v>
      </c>
      <c r="J4439" s="4"/>
      <c r="K4439" s="4"/>
      <c r="L4439" s="4"/>
      <c r="M4439" s="7" t="s">
        <v>3577</v>
      </c>
    </row>
    <row r="4440" customFormat="false" ht="15.75" hidden="false" customHeight="false" outlineLevel="0" collapsed="false">
      <c r="A4440" s="3" t="n">
        <v>46235</v>
      </c>
      <c r="B4440" s="4" t="s">
        <v>13</v>
      </c>
      <c r="C4440" s="4" t="n">
        <v>5</v>
      </c>
      <c r="D4440" s="4" t="n">
        <v>13</v>
      </c>
      <c r="E4440" s="4" t="s">
        <v>3744</v>
      </c>
      <c r="F4440" s="4" t="n">
        <v>23</v>
      </c>
      <c r="G4440" s="4" t="n">
        <v>7</v>
      </c>
      <c r="H4440" s="4" t="n">
        <v>4</v>
      </c>
      <c r="I4440" s="4" t="str">
        <v>×</v>
      </c>
      <c r="J4440" s="4"/>
      <c r="K4440" s="4"/>
      <c r="L4440" s="4"/>
      <c r="M4440" s="7" t="s">
        <v>3577</v>
      </c>
    </row>
    <row r="4441" customFormat="false" ht="15.75" hidden="false" customHeight="false" outlineLevel="0" collapsed="false">
      <c r="A4441" s="3" t="n">
        <v>46235</v>
      </c>
      <c r="B4441" s="4" t="s">
        <v>13</v>
      </c>
      <c r="C4441" s="4" t="n">
        <v>5</v>
      </c>
      <c r="D4441" s="4" t="n">
        <v>14</v>
      </c>
      <c r="E4441" s="4" t="s">
        <v>2338</v>
      </c>
      <c r="F4441" s="4" t="n">
        <v>41</v>
      </c>
      <c r="G4441" s="4" t="n">
        <v>4</v>
      </c>
      <c r="H4441" s="4" t="n">
        <v>4</v>
      </c>
      <c r="I4441" s="4" t="str">
        <v>×</v>
      </c>
      <c r="J4441" s="4"/>
      <c r="K4441" s="4"/>
      <c r="L4441" s="4"/>
      <c r="M4441" s="7" t="s">
        <v>3577</v>
      </c>
    </row>
    <row r="4442" customFormat="false" ht="15.75" hidden="false" customHeight="false" outlineLevel="0" collapsed="false">
      <c r="A4442" s="3" t="n">
        <v>46235</v>
      </c>
      <c r="B4442" s="4" t="s">
        <v>13</v>
      </c>
      <c r="C4442" s="4" t="n">
        <v>5</v>
      </c>
      <c r="D4442" s="4" t="n">
        <v>15</v>
      </c>
      <c r="E4442" s="4" t="s">
        <v>941</v>
      </c>
      <c r="F4442" s="4" t="n">
        <v>13</v>
      </c>
      <c r="G4442" s="4" t="n">
        <v>9</v>
      </c>
      <c r="H4442" s="4" t="n">
        <v>4</v>
      </c>
      <c r="I4442" s="4" t="str">
        <v>×</v>
      </c>
      <c r="J4442" s="4"/>
      <c r="K4442" s="4"/>
      <c r="L4442" s="4"/>
      <c r="M4442" s="7" t="s">
        <v>3577</v>
      </c>
    </row>
    <row r="4443" customFormat="false" ht="15.75" hidden="false" customHeight="false" outlineLevel="0" collapsed="false">
      <c r="A4443" s="3" t="n">
        <v>46235</v>
      </c>
      <c r="B4443" s="4" t="s">
        <v>13</v>
      </c>
      <c r="C4443" s="4" t="n">
        <v>6</v>
      </c>
      <c r="D4443" s="4" t="n">
        <v>1</v>
      </c>
      <c r="E4443" s="4" t="s">
        <v>3745</v>
      </c>
      <c r="F4443" s="4" t="n">
        <v>34</v>
      </c>
      <c r="G4443" s="4" t="n">
        <v>4</v>
      </c>
      <c r="H4443" s="4" t="n">
        <v>1</v>
      </c>
      <c r="I4443" s="4" t="str">
        <v>○</v>
      </c>
      <c r="J4443" s="4" t="n">
        <v>210</v>
      </c>
      <c r="K4443" s="4"/>
      <c r="L4443" s="4"/>
      <c r="M4443" s="7" t="s">
        <v>3577</v>
      </c>
    </row>
    <row r="4444" customFormat="false" ht="15.75" hidden="false" customHeight="false" outlineLevel="0" collapsed="false">
      <c r="A4444" s="3" t="n">
        <v>46235</v>
      </c>
      <c r="B4444" s="4" t="s">
        <v>13</v>
      </c>
      <c r="C4444" s="4" t="n">
        <v>6</v>
      </c>
      <c r="D4444" s="4" t="n">
        <v>2</v>
      </c>
      <c r="E4444" s="4" t="s">
        <v>3746</v>
      </c>
      <c r="F4444" s="4" t="n">
        <v>34</v>
      </c>
      <c r="G4444" s="4" t="n">
        <v>4</v>
      </c>
      <c r="H4444" s="4" t="n">
        <v>4</v>
      </c>
      <c r="I4444" s="4" t="str">
        <v>×</v>
      </c>
      <c r="J4444" s="4"/>
      <c r="K4444" s="4"/>
      <c r="L4444" s="4"/>
      <c r="M4444" s="7" t="s">
        <v>3577</v>
      </c>
    </row>
    <row r="4445" customFormat="false" ht="15.75" hidden="false" customHeight="false" outlineLevel="0" collapsed="false">
      <c r="A4445" s="3" t="n">
        <v>46235</v>
      </c>
      <c r="B4445" s="4" t="s">
        <v>13</v>
      </c>
      <c r="C4445" s="4" t="n">
        <v>6</v>
      </c>
      <c r="D4445" s="4" t="n">
        <v>3</v>
      </c>
      <c r="E4445" s="4" t="s">
        <v>3747</v>
      </c>
      <c r="F4445" s="4" t="n">
        <v>44</v>
      </c>
      <c r="G4445" s="4" t="n">
        <v>2</v>
      </c>
      <c r="H4445" s="4" t="n">
        <v>4</v>
      </c>
      <c r="I4445" s="4" t="str">
        <v>×</v>
      </c>
      <c r="J4445" s="4"/>
      <c r="K4445" s="4"/>
      <c r="L4445" s="4"/>
      <c r="M4445" s="7" t="s">
        <v>3577</v>
      </c>
    </row>
    <row r="4446" customFormat="false" ht="15.75" hidden="false" customHeight="false" outlineLevel="0" collapsed="false">
      <c r="A4446" s="3" t="n">
        <v>46235</v>
      </c>
      <c r="B4446" s="4" t="s">
        <v>13</v>
      </c>
      <c r="C4446" s="4" t="n">
        <v>6</v>
      </c>
      <c r="D4446" s="4" t="n">
        <v>4</v>
      </c>
      <c r="E4446" s="4" t="s">
        <v>3748</v>
      </c>
      <c r="F4446" s="4" t="n">
        <v>29</v>
      </c>
      <c r="G4446" s="4" t="n">
        <v>6</v>
      </c>
      <c r="H4446" s="4" t="n">
        <v>4</v>
      </c>
      <c r="I4446" s="4" t="str">
        <v>×</v>
      </c>
      <c r="J4446" s="4"/>
      <c r="K4446" s="4"/>
      <c r="L4446" s="4"/>
      <c r="M4446" s="7" t="s">
        <v>3577</v>
      </c>
    </row>
    <row r="4447" customFormat="false" ht="15.75" hidden="false" customHeight="false" outlineLevel="0" collapsed="false">
      <c r="A4447" s="3" t="n">
        <v>46235</v>
      </c>
      <c r="B4447" s="4" t="s">
        <v>13</v>
      </c>
      <c r="C4447" s="4" t="n">
        <v>6</v>
      </c>
      <c r="D4447" s="4" t="n">
        <v>5</v>
      </c>
      <c r="E4447" s="4" t="s">
        <v>3749</v>
      </c>
      <c r="F4447" s="4" t="n">
        <v>3</v>
      </c>
      <c r="G4447" s="4" t="n">
        <v>12</v>
      </c>
      <c r="H4447" s="4" t="n">
        <v>4</v>
      </c>
      <c r="I4447" s="4" t="str">
        <v>×</v>
      </c>
      <c r="J4447" s="4"/>
      <c r="K4447" s="4"/>
      <c r="L4447" s="4"/>
      <c r="M4447" s="7" t="s">
        <v>3577</v>
      </c>
    </row>
    <row r="4448" customFormat="false" ht="15.75" hidden="false" customHeight="false" outlineLevel="0" collapsed="false">
      <c r="A4448" s="3" t="n">
        <v>46235</v>
      </c>
      <c r="B4448" s="4" t="s">
        <v>13</v>
      </c>
      <c r="C4448" s="4" t="n">
        <v>6</v>
      </c>
      <c r="D4448" s="4" t="n">
        <v>6</v>
      </c>
      <c r="E4448" s="4" t="s">
        <v>3750</v>
      </c>
      <c r="F4448" s="4" t="n">
        <v>37</v>
      </c>
      <c r="G4448" s="4" t="n">
        <v>3</v>
      </c>
      <c r="H4448" s="4" t="n">
        <v>4</v>
      </c>
      <c r="I4448" s="4" t="str">
        <v>×</v>
      </c>
      <c r="J4448" s="4"/>
      <c r="K4448" s="4"/>
      <c r="L4448" s="4"/>
      <c r="M4448" s="7" t="s">
        <v>3577</v>
      </c>
    </row>
    <row r="4449" customFormat="false" ht="15.75" hidden="false" customHeight="false" outlineLevel="0" collapsed="false">
      <c r="A4449" s="3" t="n">
        <v>46235</v>
      </c>
      <c r="B4449" s="4" t="s">
        <v>13</v>
      </c>
      <c r="C4449" s="4" t="n">
        <v>6</v>
      </c>
      <c r="D4449" s="4" t="n">
        <v>7</v>
      </c>
      <c r="E4449" s="4" t="s">
        <v>3751</v>
      </c>
      <c r="F4449" s="4" t="n">
        <v>17</v>
      </c>
      <c r="G4449" s="4" t="n">
        <v>9</v>
      </c>
      <c r="H4449" s="4" t="n">
        <v>4</v>
      </c>
      <c r="I4449" s="4" t="str">
        <v>×</v>
      </c>
      <c r="J4449" s="4"/>
      <c r="K4449" s="4"/>
      <c r="L4449" s="4"/>
      <c r="M4449" s="7" t="s">
        <v>3577</v>
      </c>
    </row>
    <row r="4450" customFormat="false" ht="15.75" hidden="false" customHeight="false" outlineLevel="0" collapsed="false">
      <c r="A4450" s="3" t="n">
        <v>46235</v>
      </c>
      <c r="B4450" s="4" t="s">
        <v>13</v>
      </c>
      <c r="C4450" s="4" t="n">
        <v>6</v>
      </c>
      <c r="D4450" s="4" t="n">
        <v>8</v>
      </c>
      <c r="E4450" s="4" t="s">
        <v>1667</v>
      </c>
      <c r="F4450" s="4" t="n">
        <v>4</v>
      </c>
      <c r="G4450" s="4" t="n">
        <v>11</v>
      </c>
      <c r="H4450" s="4" t="n">
        <v>4</v>
      </c>
      <c r="I4450" s="4" t="str">
        <v>×</v>
      </c>
      <c r="J4450" s="4"/>
      <c r="K4450" s="4"/>
      <c r="L4450" s="4"/>
      <c r="M4450" s="7" t="s">
        <v>3577</v>
      </c>
    </row>
    <row r="4451" customFormat="false" ht="15.75" hidden="false" customHeight="false" outlineLevel="0" collapsed="false">
      <c r="A4451" s="3" t="n">
        <v>46235</v>
      </c>
      <c r="B4451" s="4" t="s">
        <v>13</v>
      </c>
      <c r="C4451" s="4" t="n">
        <v>6</v>
      </c>
      <c r="D4451" s="4" t="n">
        <v>9</v>
      </c>
      <c r="E4451" s="4" t="s">
        <v>3752</v>
      </c>
      <c r="F4451" s="4" t="n">
        <v>25</v>
      </c>
      <c r="G4451" s="4" t="n">
        <v>7</v>
      </c>
      <c r="H4451" s="4" t="n">
        <v>3</v>
      </c>
      <c r="I4451" s="4" t="str">
        <v>○</v>
      </c>
      <c r="J4451" s="4" t="n">
        <v>380</v>
      </c>
      <c r="K4451" s="4"/>
      <c r="L4451" s="4"/>
      <c r="M4451" s="7" t="s">
        <v>3577</v>
      </c>
    </row>
    <row r="4452" customFormat="false" ht="15.75" hidden="false" customHeight="false" outlineLevel="0" collapsed="false">
      <c r="A4452" s="3" t="n">
        <v>46235</v>
      </c>
      <c r="B4452" s="4" t="s">
        <v>13</v>
      </c>
      <c r="C4452" s="4" t="n">
        <v>6</v>
      </c>
      <c r="D4452" s="4" t="n">
        <v>10</v>
      </c>
      <c r="E4452" s="4" t="s">
        <v>3753</v>
      </c>
      <c r="F4452" s="4" t="n">
        <v>62</v>
      </c>
      <c r="G4452" s="4" t="n">
        <v>1</v>
      </c>
      <c r="H4452" s="4" t="n">
        <v>2</v>
      </c>
      <c r="I4452" s="4" t="str">
        <v>○</v>
      </c>
      <c r="J4452" s="4" t="n">
        <v>120</v>
      </c>
      <c r="K4452" s="4"/>
      <c r="L4452" s="4"/>
      <c r="M4452" s="7" t="s">
        <v>3577</v>
      </c>
    </row>
    <row r="4453" customFormat="false" ht="15.75" hidden="false" customHeight="false" outlineLevel="0" collapsed="false">
      <c r="A4453" s="3" t="n">
        <v>46235</v>
      </c>
      <c r="B4453" s="4" t="s">
        <v>13</v>
      </c>
      <c r="C4453" s="4" t="n">
        <v>6</v>
      </c>
      <c r="D4453" s="4" t="n">
        <v>11</v>
      </c>
      <c r="E4453" s="4" t="s">
        <v>3754</v>
      </c>
      <c r="F4453" s="4" t="n">
        <v>8</v>
      </c>
      <c r="G4453" s="4" t="n">
        <v>10</v>
      </c>
      <c r="H4453" s="4" t="n">
        <v>4</v>
      </c>
      <c r="I4453" s="4" t="str">
        <v>×</v>
      </c>
      <c r="J4453" s="4"/>
      <c r="K4453" s="4"/>
      <c r="L4453" s="4"/>
      <c r="M4453" s="7" t="s">
        <v>3577</v>
      </c>
    </row>
    <row r="4454" customFormat="false" ht="15.75" hidden="false" customHeight="false" outlineLevel="0" collapsed="false">
      <c r="A4454" s="3" t="n">
        <v>46235</v>
      </c>
      <c r="B4454" s="4" t="s">
        <v>13</v>
      </c>
      <c r="C4454" s="4" t="n">
        <v>6</v>
      </c>
      <c r="D4454" s="4" t="n">
        <v>12</v>
      </c>
      <c r="E4454" s="4" t="s">
        <v>3755</v>
      </c>
      <c r="F4454" s="4" t="n">
        <v>23</v>
      </c>
      <c r="G4454" s="4" t="n">
        <v>8</v>
      </c>
      <c r="H4454" s="4" t="n">
        <v>4</v>
      </c>
      <c r="I4454" s="4" t="str">
        <v>×</v>
      </c>
      <c r="J4454" s="4"/>
      <c r="K4454" s="4"/>
      <c r="L4454" s="4"/>
      <c r="M4454" s="7" t="s">
        <v>3577</v>
      </c>
    </row>
    <row r="4455" customFormat="false" ht="15.75" hidden="false" customHeight="false" outlineLevel="0" collapsed="false">
      <c r="A4455" s="3" t="n">
        <v>46235</v>
      </c>
      <c r="B4455" s="4" t="s">
        <v>13</v>
      </c>
      <c r="C4455" s="4" t="n">
        <v>7</v>
      </c>
      <c r="D4455" s="4" t="n">
        <v>1</v>
      </c>
      <c r="E4455" s="4" t="s">
        <v>3756</v>
      </c>
      <c r="F4455" s="4" t="n">
        <v>4</v>
      </c>
      <c r="G4455" s="4" t="n">
        <v>13</v>
      </c>
      <c r="H4455" s="4" t="n">
        <v>4</v>
      </c>
      <c r="I4455" s="4" t="str">
        <v>×</v>
      </c>
      <c r="J4455" s="4"/>
      <c r="K4455" s="4"/>
      <c r="L4455" s="4"/>
      <c r="M4455" s="7" t="s">
        <v>3577</v>
      </c>
    </row>
    <row r="4456" customFormat="false" ht="15.75" hidden="false" customHeight="false" outlineLevel="0" collapsed="false">
      <c r="A4456" s="3" t="n">
        <v>46235</v>
      </c>
      <c r="B4456" s="4" t="s">
        <v>13</v>
      </c>
      <c r="C4456" s="4" t="n">
        <v>7</v>
      </c>
      <c r="D4456" s="4" t="n">
        <v>2</v>
      </c>
      <c r="E4456" s="4" t="s">
        <v>3757</v>
      </c>
      <c r="F4456" s="4" t="n">
        <v>29</v>
      </c>
      <c r="G4456" s="4" t="n">
        <v>5</v>
      </c>
      <c r="H4456" s="4" t="n">
        <v>2</v>
      </c>
      <c r="I4456" s="4" t="str">
        <v>○</v>
      </c>
      <c r="J4456" s="4" t="n">
        <v>230</v>
      </c>
      <c r="K4456" s="4"/>
      <c r="L4456" s="4"/>
      <c r="M4456" s="7" t="s">
        <v>3577</v>
      </c>
    </row>
    <row r="4457" customFormat="false" ht="15.75" hidden="false" customHeight="false" outlineLevel="0" collapsed="false">
      <c r="A4457" s="3" t="n">
        <v>46235</v>
      </c>
      <c r="B4457" s="4" t="s">
        <v>13</v>
      </c>
      <c r="C4457" s="4" t="n">
        <v>7</v>
      </c>
      <c r="D4457" s="4" t="n">
        <v>3</v>
      </c>
      <c r="E4457" s="4" t="s">
        <v>3758</v>
      </c>
      <c r="F4457" s="4" t="n">
        <v>6</v>
      </c>
      <c r="G4457" s="4" t="n">
        <v>11</v>
      </c>
      <c r="H4457" s="4" t="n">
        <v>4</v>
      </c>
      <c r="I4457" s="4" t="str">
        <v>×</v>
      </c>
      <c r="J4457" s="4"/>
      <c r="K4457" s="4"/>
      <c r="L4457" s="4"/>
      <c r="M4457" s="7" t="s">
        <v>3577</v>
      </c>
    </row>
    <row r="4458" customFormat="false" ht="15.75" hidden="false" customHeight="false" outlineLevel="0" collapsed="false">
      <c r="A4458" s="3" t="n">
        <v>46235</v>
      </c>
      <c r="B4458" s="4" t="s">
        <v>13</v>
      </c>
      <c r="C4458" s="4" t="n">
        <v>7</v>
      </c>
      <c r="D4458" s="4" t="n">
        <v>4</v>
      </c>
      <c r="E4458" s="4" t="s">
        <v>3759</v>
      </c>
      <c r="F4458" s="4" t="n">
        <v>10</v>
      </c>
      <c r="G4458" s="4" t="n">
        <v>6</v>
      </c>
      <c r="H4458" s="4" t="n">
        <v>4</v>
      </c>
      <c r="I4458" s="4" t="str">
        <v>×</v>
      </c>
      <c r="J4458" s="4"/>
      <c r="K4458" s="4"/>
      <c r="L4458" s="4"/>
      <c r="M4458" s="7" t="s">
        <v>3577</v>
      </c>
    </row>
    <row r="4459" customFormat="false" ht="15.75" hidden="false" customHeight="false" outlineLevel="0" collapsed="false">
      <c r="A4459" s="3" t="n">
        <v>46235</v>
      </c>
      <c r="B4459" s="4" t="s">
        <v>13</v>
      </c>
      <c r="C4459" s="4" t="n">
        <v>7</v>
      </c>
      <c r="D4459" s="4" t="n">
        <v>5</v>
      </c>
      <c r="E4459" s="4" t="s">
        <v>3760</v>
      </c>
      <c r="F4459" s="4" t="n">
        <v>4</v>
      </c>
      <c r="G4459" s="4" t="n">
        <v>13</v>
      </c>
      <c r="H4459" s="4" t="n">
        <v>4</v>
      </c>
      <c r="I4459" s="4" t="str">
        <v>×</v>
      </c>
      <c r="J4459" s="4"/>
      <c r="K4459" s="4"/>
      <c r="L4459" s="4"/>
      <c r="M4459" s="7" t="s">
        <v>3577</v>
      </c>
    </row>
    <row r="4460" customFormat="false" ht="15.75" hidden="false" customHeight="false" outlineLevel="0" collapsed="false">
      <c r="A4460" s="3" t="n">
        <v>46235</v>
      </c>
      <c r="B4460" s="4" t="s">
        <v>13</v>
      </c>
      <c r="C4460" s="4" t="n">
        <v>7</v>
      </c>
      <c r="D4460" s="4" t="n">
        <v>6</v>
      </c>
      <c r="E4460" s="4" t="s">
        <v>3761</v>
      </c>
      <c r="F4460" s="4" t="n">
        <v>52</v>
      </c>
      <c r="G4460" s="4" t="n">
        <v>1</v>
      </c>
      <c r="H4460" s="4" t="n">
        <v>4</v>
      </c>
      <c r="I4460" s="4" t="str">
        <v>×</v>
      </c>
      <c r="J4460" s="4"/>
      <c r="K4460" s="4"/>
      <c r="L4460" s="4"/>
      <c r="M4460" s="7" t="s">
        <v>3577</v>
      </c>
    </row>
    <row r="4461" customFormat="false" ht="15.75" hidden="false" customHeight="false" outlineLevel="0" collapsed="false">
      <c r="A4461" s="3" t="n">
        <v>46235</v>
      </c>
      <c r="B4461" s="4" t="s">
        <v>13</v>
      </c>
      <c r="C4461" s="4" t="n">
        <v>7</v>
      </c>
      <c r="D4461" s="4" t="n">
        <v>7</v>
      </c>
      <c r="E4461" s="4" t="s">
        <v>3762</v>
      </c>
      <c r="F4461" s="4" t="n">
        <v>3</v>
      </c>
      <c r="G4461" s="4" t="n">
        <v>15</v>
      </c>
      <c r="H4461" s="4" t="n">
        <v>4</v>
      </c>
      <c r="I4461" s="4" t="str">
        <v>×</v>
      </c>
      <c r="J4461" s="4"/>
      <c r="K4461" s="4"/>
      <c r="L4461" s="4"/>
      <c r="M4461" s="7" t="s">
        <v>3577</v>
      </c>
    </row>
    <row r="4462" customFormat="false" ht="15.75" hidden="false" customHeight="false" outlineLevel="0" collapsed="false">
      <c r="A4462" s="3" t="n">
        <v>46235</v>
      </c>
      <c r="B4462" s="4" t="s">
        <v>13</v>
      </c>
      <c r="C4462" s="4" t="n">
        <v>7</v>
      </c>
      <c r="D4462" s="4" t="n">
        <v>8</v>
      </c>
      <c r="E4462" s="4" t="s">
        <v>3396</v>
      </c>
      <c r="F4462" s="4" t="n">
        <v>10</v>
      </c>
      <c r="G4462" s="4" t="n">
        <v>6</v>
      </c>
      <c r="H4462" s="4" t="n">
        <v>4</v>
      </c>
      <c r="I4462" s="4" t="str">
        <v>×</v>
      </c>
      <c r="J4462" s="4"/>
      <c r="K4462" s="4"/>
      <c r="L4462" s="4"/>
      <c r="M4462" s="7" t="s">
        <v>3577</v>
      </c>
    </row>
    <row r="4463" customFormat="false" ht="15.75" hidden="false" customHeight="false" outlineLevel="0" collapsed="false">
      <c r="A4463" s="3" t="n">
        <v>46235</v>
      </c>
      <c r="B4463" s="4" t="s">
        <v>13</v>
      </c>
      <c r="C4463" s="4" t="n">
        <v>7</v>
      </c>
      <c r="D4463" s="4" t="n">
        <v>9</v>
      </c>
      <c r="E4463" s="4" t="s">
        <v>3763</v>
      </c>
      <c r="F4463" s="4" t="n">
        <v>31</v>
      </c>
      <c r="G4463" s="4" t="n">
        <v>4</v>
      </c>
      <c r="H4463" s="4" t="n">
        <v>4</v>
      </c>
      <c r="I4463" s="4" t="str">
        <v>×</v>
      </c>
      <c r="J4463" s="4"/>
      <c r="K4463" s="4"/>
      <c r="L4463" s="4"/>
      <c r="M4463" s="7" t="s">
        <v>3577</v>
      </c>
    </row>
    <row r="4464" customFormat="false" ht="15.75" hidden="false" customHeight="false" outlineLevel="0" collapsed="false">
      <c r="A4464" s="3" t="n">
        <v>46235</v>
      </c>
      <c r="B4464" s="4" t="s">
        <v>13</v>
      </c>
      <c r="C4464" s="4" t="n">
        <v>7</v>
      </c>
      <c r="D4464" s="4" t="n">
        <v>10</v>
      </c>
      <c r="E4464" s="4" t="s">
        <v>1875</v>
      </c>
      <c r="F4464" s="4" t="n">
        <v>8</v>
      </c>
      <c r="G4464" s="4" t="n">
        <v>9</v>
      </c>
      <c r="H4464" s="4" t="n">
        <v>4</v>
      </c>
      <c r="I4464" s="4" t="str">
        <v>×</v>
      </c>
      <c r="J4464" s="4"/>
      <c r="K4464" s="4"/>
      <c r="L4464" s="4"/>
      <c r="M4464" s="7" t="s">
        <v>3577</v>
      </c>
    </row>
    <row r="4465" customFormat="false" ht="15.75" hidden="false" customHeight="false" outlineLevel="0" collapsed="false">
      <c r="A4465" s="3" t="n">
        <v>46235</v>
      </c>
      <c r="B4465" s="4" t="s">
        <v>13</v>
      </c>
      <c r="C4465" s="4" t="n">
        <v>7</v>
      </c>
      <c r="D4465" s="4" t="n">
        <v>11</v>
      </c>
      <c r="E4465" s="4" t="s">
        <v>3764</v>
      </c>
      <c r="F4465" s="4" t="n">
        <v>39</v>
      </c>
      <c r="G4465" s="4" t="n">
        <v>2</v>
      </c>
      <c r="H4465" s="4" t="n">
        <v>1</v>
      </c>
      <c r="I4465" s="4" t="str">
        <v>○</v>
      </c>
      <c r="J4465" s="4" t="n">
        <v>180</v>
      </c>
      <c r="K4465" s="4"/>
      <c r="L4465" s="4"/>
      <c r="M4465" s="7" t="s">
        <v>3577</v>
      </c>
    </row>
    <row r="4466" customFormat="false" ht="15.75" hidden="false" customHeight="false" outlineLevel="0" collapsed="false">
      <c r="A4466" s="3" t="n">
        <v>46235</v>
      </c>
      <c r="B4466" s="4" t="s">
        <v>13</v>
      </c>
      <c r="C4466" s="4" t="n">
        <v>7</v>
      </c>
      <c r="D4466" s="4" t="n">
        <v>12</v>
      </c>
      <c r="E4466" s="4" t="s">
        <v>3765</v>
      </c>
      <c r="F4466" s="4" t="n">
        <v>8</v>
      </c>
      <c r="G4466" s="4" t="n">
        <v>9</v>
      </c>
      <c r="H4466" s="4" t="n">
        <v>3</v>
      </c>
      <c r="I4466" s="4" t="str">
        <v>○</v>
      </c>
      <c r="J4466" s="4" t="n">
        <v>390</v>
      </c>
      <c r="K4466" s="4"/>
      <c r="L4466" s="4"/>
      <c r="M4466" s="7" t="s">
        <v>3577</v>
      </c>
    </row>
    <row r="4467" customFormat="false" ht="15.75" hidden="false" customHeight="false" outlineLevel="0" collapsed="false">
      <c r="A4467" s="3" t="n">
        <v>46235</v>
      </c>
      <c r="B4467" s="4" t="s">
        <v>13</v>
      </c>
      <c r="C4467" s="4" t="n">
        <v>7</v>
      </c>
      <c r="D4467" s="4" t="n">
        <v>13</v>
      </c>
      <c r="E4467" s="4" t="s">
        <v>3766</v>
      </c>
      <c r="F4467" s="4" t="n">
        <v>6</v>
      </c>
      <c r="G4467" s="4" t="n">
        <v>11</v>
      </c>
      <c r="H4467" s="4" t="n">
        <v>4</v>
      </c>
      <c r="I4467" s="4" t="str">
        <v>×</v>
      </c>
      <c r="J4467" s="4"/>
      <c r="K4467" s="4"/>
      <c r="L4467" s="4"/>
      <c r="M4467" s="7" t="s">
        <v>3577</v>
      </c>
    </row>
    <row r="4468" customFormat="false" ht="15.75" hidden="false" customHeight="false" outlineLevel="0" collapsed="false">
      <c r="A4468" s="3" t="n">
        <v>46235</v>
      </c>
      <c r="B4468" s="4" t="s">
        <v>13</v>
      </c>
      <c r="C4468" s="4" t="n">
        <v>7</v>
      </c>
      <c r="D4468" s="4" t="n">
        <v>14</v>
      </c>
      <c r="E4468" s="4" t="s">
        <v>3767</v>
      </c>
      <c r="F4468" s="4" t="n">
        <v>37</v>
      </c>
      <c r="G4468" s="4" t="n">
        <v>3</v>
      </c>
      <c r="H4468" s="4" t="n">
        <v>4</v>
      </c>
      <c r="I4468" s="4" t="str">
        <v>×</v>
      </c>
      <c r="J4468" s="4"/>
      <c r="K4468" s="4"/>
      <c r="L4468" s="4"/>
      <c r="M4468" s="7" t="s">
        <v>3577</v>
      </c>
    </row>
    <row r="4469" customFormat="false" ht="15.75" hidden="false" customHeight="false" outlineLevel="0" collapsed="false">
      <c r="A4469" s="3" t="n">
        <v>46235</v>
      </c>
      <c r="B4469" s="4" t="s">
        <v>13</v>
      </c>
      <c r="C4469" s="4" t="n">
        <v>7</v>
      </c>
      <c r="D4469" s="4" t="n">
        <v>15</v>
      </c>
      <c r="E4469" s="4" t="s">
        <v>3768</v>
      </c>
      <c r="F4469" s="4" t="n">
        <v>10</v>
      </c>
      <c r="G4469" s="4" t="n">
        <v>6</v>
      </c>
      <c r="H4469" s="4" t="n">
        <v>4</v>
      </c>
      <c r="I4469" s="4" t="str">
        <v>×</v>
      </c>
      <c r="J4469" s="4"/>
      <c r="K4469" s="4"/>
      <c r="L4469" s="4"/>
      <c r="M4469" s="7" t="s">
        <v>3577</v>
      </c>
    </row>
    <row r="4470" customFormat="false" ht="15.75" hidden="false" customHeight="false" outlineLevel="0" collapsed="false">
      <c r="A4470" s="3" t="n">
        <v>46235</v>
      </c>
      <c r="B4470" s="4" t="s">
        <v>13</v>
      </c>
      <c r="C4470" s="4" t="n">
        <v>8</v>
      </c>
      <c r="D4470" s="4" t="n">
        <v>1</v>
      </c>
      <c r="E4470" s="4" t="s">
        <v>2377</v>
      </c>
      <c r="F4470" s="4" t="n">
        <v>13</v>
      </c>
      <c r="G4470" s="4" t="n">
        <v>9</v>
      </c>
      <c r="H4470" s="4" t="n">
        <v>4</v>
      </c>
      <c r="I4470" s="4" t="str">
        <v>×</v>
      </c>
      <c r="J4470" s="4"/>
      <c r="K4470" s="4"/>
      <c r="L4470" s="4"/>
      <c r="M4470" s="7" t="s">
        <v>3577</v>
      </c>
    </row>
    <row r="4471" customFormat="false" ht="15.75" hidden="false" customHeight="false" outlineLevel="0" collapsed="false">
      <c r="A4471" s="3" t="n">
        <v>46235</v>
      </c>
      <c r="B4471" s="4" t="s">
        <v>13</v>
      </c>
      <c r="C4471" s="4" t="n">
        <v>8</v>
      </c>
      <c r="D4471" s="4" t="n">
        <v>2</v>
      </c>
      <c r="E4471" s="4" t="s">
        <v>3769</v>
      </c>
      <c r="F4471" s="4" t="n">
        <v>15</v>
      </c>
      <c r="G4471" s="4" t="n">
        <v>8</v>
      </c>
      <c r="H4471" s="4" t="n">
        <v>4</v>
      </c>
      <c r="I4471" s="4" t="str">
        <v>×</v>
      </c>
      <c r="J4471" s="4"/>
      <c r="K4471" s="4"/>
      <c r="L4471" s="4"/>
      <c r="M4471" s="7" t="s">
        <v>3577</v>
      </c>
    </row>
    <row r="4472" customFormat="false" ht="15.75" hidden="false" customHeight="false" outlineLevel="0" collapsed="false">
      <c r="A4472" s="3" t="n">
        <v>46235</v>
      </c>
      <c r="B4472" s="4" t="s">
        <v>13</v>
      </c>
      <c r="C4472" s="4" t="n">
        <v>8</v>
      </c>
      <c r="D4472" s="4" t="n">
        <v>3</v>
      </c>
      <c r="E4472" s="4" t="s">
        <v>3074</v>
      </c>
      <c r="F4472" s="4" t="n">
        <v>6</v>
      </c>
      <c r="G4472" s="4" t="n">
        <v>12</v>
      </c>
      <c r="H4472" s="4" t="n">
        <v>4</v>
      </c>
      <c r="I4472" s="4" t="str">
        <v>×</v>
      </c>
      <c r="J4472" s="4"/>
      <c r="K4472" s="4"/>
      <c r="L4472" s="4"/>
      <c r="M4472" s="7" t="s">
        <v>3577</v>
      </c>
    </row>
    <row r="4473" customFormat="false" ht="15.75" hidden="false" customHeight="false" outlineLevel="0" collapsed="false">
      <c r="A4473" s="3" t="n">
        <v>46235</v>
      </c>
      <c r="B4473" s="4" t="s">
        <v>13</v>
      </c>
      <c r="C4473" s="4" t="n">
        <v>8</v>
      </c>
      <c r="D4473" s="4" t="n">
        <v>4</v>
      </c>
      <c r="E4473" s="4" t="s">
        <v>3770</v>
      </c>
      <c r="F4473" s="4" t="n">
        <v>10</v>
      </c>
      <c r="G4473" s="4" t="n">
        <v>11</v>
      </c>
      <c r="H4473" s="4" t="n">
        <v>4</v>
      </c>
      <c r="I4473" s="4" t="str">
        <v>×</v>
      </c>
      <c r="J4473" s="4"/>
      <c r="K4473" s="4"/>
      <c r="L4473" s="4"/>
      <c r="M4473" s="7" t="s">
        <v>3577</v>
      </c>
    </row>
    <row r="4474" customFormat="false" ht="15.75" hidden="false" customHeight="false" outlineLevel="0" collapsed="false">
      <c r="A4474" s="3" t="n">
        <v>46235</v>
      </c>
      <c r="B4474" s="4" t="s">
        <v>13</v>
      </c>
      <c r="C4474" s="4" t="n">
        <v>8</v>
      </c>
      <c r="D4474" s="4" t="n">
        <v>5</v>
      </c>
      <c r="E4474" s="4" t="s">
        <v>1956</v>
      </c>
      <c r="F4474" s="4" t="n">
        <v>13</v>
      </c>
      <c r="G4474" s="4" t="n">
        <v>9</v>
      </c>
      <c r="H4474" s="4" t="n">
        <v>4</v>
      </c>
      <c r="I4474" s="4" t="str">
        <v>×</v>
      </c>
      <c r="J4474" s="4"/>
      <c r="K4474" s="4"/>
      <c r="L4474" s="4"/>
      <c r="M4474" s="7" t="s">
        <v>3577</v>
      </c>
    </row>
    <row r="4475" customFormat="false" ht="15.75" hidden="false" customHeight="false" outlineLevel="0" collapsed="false">
      <c r="A4475" s="3" t="n">
        <v>46235</v>
      </c>
      <c r="B4475" s="4" t="s">
        <v>13</v>
      </c>
      <c r="C4475" s="4" t="n">
        <v>8</v>
      </c>
      <c r="D4475" s="4" t="n">
        <v>6</v>
      </c>
      <c r="E4475" s="4" t="s">
        <v>3771</v>
      </c>
      <c r="F4475" s="4" t="n">
        <v>25</v>
      </c>
      <c r="G4475" s="4" t="n">
        <v>5</v>
      </c>
      <c r="H4475" s="4" t="n">
        <v>2</v>
      </c>
      <c r="I4475" s="4" t="str">
        <v>○</v>
      </c>
      <c r="J4475" s="4" t="n">
        <v>260</v>
      </c>
      <c r="K4475" s="4"/>
      <c r="L4475" s="4"/>
      <c r="M4475" s="7" t="s">
        <v>3577</v>
      </c>
    </row>
    <row r="4476" customFormat="false" ht="15.75" hidden="false" customHeight="false" outlineLevel="0" collapsed="false">
      <c r="A4476" s="3" t="n">
        <v>46235</v>
      </c>
      <c r="B4476" s="4" t="s">
        <v>13</v>
      </c>
      <c r="C4476" s="4" t="n">
        <v>8</v>
      </c>
      <c r="D4476" s="4" t="n">
        <v>7</v>
      </c>
      <c r="E4476" s="4" t="s">
        <v>3772</v>
      </c>
      <c r="F4476" s="4" t="n">
        <v>37</v>
      </c>
      <c r="G4476" s="4" t="n">
        <v>3</v>
      </c>
      <c r="H4476" s="4" t="n">
        <v>4</v>
      </c>
      <c r="I4476" s="4" t="str">
        <v>×</v>
      </c>
      <c r="J4476" s="4"/>
      <c r="K4476" s="4"/>
      <c r="L4476" s="4"/>
      <c r="M4476" s="7" t="s">
        <v>3577</v>
      </c>
    </row>
    <row r="4477" customFormat="false" ht="15.75" hidden="false" customHeight="false" outlineLevel="0" collapsed="false">
      <c r="A4477" s="3" t="n">
        <v>46235</v>
      </c>
      <c r="B4477" s="4" t="s">
        <v>13</v>
      </c>
      <c r="C4477" s="4" t="n">
        <v>8</v>
      </c>
      <c r="D4477" s="4" t="n">
        <v>8</v>
      </c>
      <c r="E4477" s="4" t="s">
        <v>2775</v>
      </c>
      <c r="F4477" s="4" t="n">
        <v>23</v>
      </c>
      <c r="G4477" s="4" t="n">
        <v>6</v>
      </c>
      <c r="H4477" s="4" t="n">
        <v>4</v>
      </c>
      <c r="I4477" s="4" t="str">
        <v>×</v>
      </c>
      <c r="J4477" s="4"/>
      <c r="K4477" s="4"/>
      <c r="L4477" s="4"/>
      <c r="M4477" s="7" t="s">
        <v>3577</v>
      </c>
    </row>
    <row r="4478" customFormat="false" ht="15.75" hidden="false" customHeight="false" outlineLevel="0" collapsed="false">
      <c r="A4478" s="3" t="n">
        <v>46235</v>
      </c>
      <c r="B4478" s="4" t="s">
        <v>13</v>
      </c>
      <c r="C4478" s="4" t="n">
        <v>8</v>
      </c>
      <c r="D4478" s="4" t="n">
        <v>9</v>
      </c>
      <c r="E4478" s="4" t="s">
        <v>1489</v>
      </c>
      <c r="F4478" s="4" t="n">
        <v>34</v>
      </c>
      <c r="G4478" s="4" t="n">
        <v>4</v>
      </c>
      <c r="H4478" s="4" t="n">
        <v>4</v>
      </c>
      <c r="I4478" s="4" t="str">
        <v>×</v>
      </c>
      <c r="J4478" s="4"/>
      <c r="K4478" s="4"/>
      <c r="L4478" s="4"/>
      <c r="M4478" s="7" t="s">
        <v>3577</v>
      </c>
    </row>
    <row r="4479" customFormat="false" ht="15.75" hidden="false" customHeight="false" outlineLevel="0" collapsed="false">
      <c r="A4479" s="3" t="n">
        <v>46235</v>
      </c>
      <c r="B4479" s="4" t="s">
        <v>13</v>
      </c>
      <c r="C4479" s="4" t="n">
        <v>8</v>
      </c>
      <c r="D4479" s="4" t="n">
        <v>10</v>
      </c>
      <c r="E4479" s="4" t="s">
        <v>1483</v>
      </c>
      <c r="F4479" s="4" t="n">
        <v>41</v>
      </c>
      <c r="G4479" s="4" t="n">
        <v>2</v>
      </c>
      <c r="H4479" s="4" t="n">
        <v>1</v>
      </c>
      <c r="I4479" s="4" t="str">
        <v>○</v>
      </c>
      <c r="J4479" s="4" t="n">
        <v>220</v>
      </c>
      <c r="K4479" s="4"/>
      <c r="L4479" s="4"/>
      <c r="M4479" s="7" t="s">
        <v>3577</v>
      </c>
    </row>
    <row r="4480" customFormat="false" ht="15.75" hidden="false" customHeight="false" outlineLevel="0" collapsed="false">
      <c r="A4480" s="3" t="n">
        <v>46235</v>
      </c>
      <c r="B4480" s="4" t="s">
        <v>13</v>
      </c>
      <c r="C4480" s="4" t="n">
        <v>8</v>
      </c>
      <c r="D4480" s="4" t="n">
        <v>11</v>
      </c>
      <c r="E4480" s="4" t="s">
        <v>3773</v>
      </c>
      <c r="F4480" s="4" t="n">
        <v>75</v>
      </c>
      <c r="G4480" s="4" t="n">
        <v>1</v>
      </c>
      <c r="H4480" s="4" t="n">
        <v>3</v>
      </c>
      <c r="I4480" s="4" t="str">
        <v>○</v>
      </c>
      <c r="J4480" s="4" t="n">
        <v>110</v>
      </c>
      <c r="K4480" s="4"/>
      <c r="L4480" s="4"/>
      <c r="M4480" s="7" t="s">
        <v>3577</v>
      </c>
    </row>
    <row r="4481" customFormat="false" ht="15.75" hidden="false" customHeight="false" outlineLevel="0" collapsed="false">
      <c r="A4481" s="3" t="n">
        <v>46235</v>
      </c>
      <c r="B4481" s="4" t="s">
        <v>13</v>
      </c>
      <c r="C4481" s="4" t="n">
        <v>8</v>
      </c>
      <c r="D4481" s="4" t="n">
        <v>12</v>
      </c>
      <c r="E4481" s="4" t="s">
        <v>3774</v>
      </c>
      <c r="F4481" s="4" t="n">
        <v>17</v>
      </c>
      <c r="G4481" s="4" t="n">
        <v>7</v>
      </c>
      <c r="H4481" s="4" t="n">
        <v>4</v>
      </c>
      <c r="I4481" s="4" t="str">
        <v>×</v>
      </c>
      <c r="J4481" s="4"/>
      <c r="K4481" s="4"/>
      <c r="L4481" s="4"/>
      <c r="M4481" s="7" t="s">
        <v>3577</v>
      </c>
    </row>
    <row r="4482" customFormat="false" ht="15.75" hidden="false" customHeight="false" outlineLevel="0" collapsed="false">
      <c r="A4482" s="3" t="n">
        <v>46235</v>
      </c>
      <c r="B4482" s="4" t="s">
        <v>13</v>
      </c>
      <c r="C4482" s="4" t="n">
        <v>8</v>
      </c>
      <c r="D4482" s="4" t="n">
        <v>13</v>
      </c>
      <c r="E4482" s="4" t="s">
        <v>1037</v>
      </c>
      <c r="F4482" s="4" t="n">
        <v>4</v>
      </c>
      <c r="G4482" s="4" t="n">
        <v>13</v>
      </c>
      <c r="H4482" s="4" t="n">
        <v>4</v>
      </c>
      <c r="I4482" s="4" t="str">
        <v>×</v>
      </c>
      <c r="J4482" s="4"/>
      <c r="K4482" s="4"/>
      <c r="L4482" s="4"/>
      <c r="M4482" s="7" t="s">
        <v>3577</v>
      </c>
    </row>
    <row r="4483" customFormat="false" ht="15.75" hidden="false" customHeight="false" outlineLevel="0" collapsed="false">
      <c r="A4483" s="3" t="n">
        <v>46235</v>
      </c>
      <c r="B4483" s="4" t="s">
        <v>13</v>
      </c>
      <c r="C4483" s="4" t="n">
        <v>9</v>
      </c>
      <c r="D4483" s="4" t="n">
        <v>1</v>
      </c>
      <c r="E4483" s="4" t="s">
        <v>3775</v>
      </c>
      <c r="F4483" s="4" t="n">
        <v>41</v>
      </c>
      <c r="G4483" s="4" t="n">
        <v>3</v>
      </c>
      <c r="H4483" s="4" t="n">
        <v>4</v>
      </c>
      <c r="I4483" s="4" t="str">
        <v>×</v>
      </c>
      <c r="J4483" s="4"/>
      <c r="K4483" s="4"/>
      <c r="L4483" s="4"/>
      <c r="M4483" s="7" t="s">
        <v>3577</v>
      </c>
    </row>
    <row r="4484" customFormat="false" ht="15.75" hidden="false" customHeight="false" outlineLevel="0" collapsed="false">
      <c r="A4484" s="3" t="n">
        <v>46235</v>
      </c>
      <c r="B4484" s="4" t="s">
        <v>13</v>
      </c>
      <c r="C4484" s="4" t="n">
        <v>9</v>
      </c>
      <c r="D4484" s="4" t="n">
        <v>2</v>
      </c>
      <c r="E4484" s="4" t="s">
        <v>3776</v>
      </c>
      <c r="F4484" s="4" t="n">
        <v>17</v>
      </c>
      <c r="G4484" s="4" t="n">
        <v>7</v>
      </c>
      <c r="H4484" s="4" t="n">
        <v>4</v>
      </c>
      <c r="I4484" s="4" t="str">
        <v>×</v>
      </c>
      <c r="J4484" s="4"/>
      <c r="K4484" s="4"/>
      <c r="L4484" s="4"/>
      <c r="M4484" s="7" t="s">
        <v>3577</v>
      </c>
    </row>
    <row r="4485" customFormat="false" ht="15.75" hidden="false" customHeight="false" outlineLevel="0" collapsed="false">
      <c r="A4485" s="3" t="n">
        <v>46235</v>
      </c>
      <c r="B4485" s="4" t="s">
        <v>13</v>
      </c>
      <c r="C4485" s="4" t="n">
        <v>9</v>
      </c>
      <c r="D4485" s="4" t="n">
        <v>3</v>
      </c>
      <c r="E4485" s="4" t="s">
        <v>3777</v>
      </c>
      <c r="F4485" s="4" t="n">
        <v>50</v>
      </c>
      <c r="G4485" s="4" t="n">
        <v>2</v>
      </c>
      <c r="H4485" s="4" t="n">
        <v>3</v>
      </c>
      <c r="I4485" s="4" t="str">
        <v>○</v>
      </c>
      <c r="J4485" s="4" t="n">
        <v>230</v>
      </c>
      <c r="K4485" s="4"/>
      <c r="L4485" s="4"/>
      <c r="M4485" s="7" t="s">
        <v>3577</v>
      </c>
    </row>
    <row r="4486" customFormat="false" ht="15.75" hidden="false" customHeight="false" outlineLevel="0" collapsed="false">
      <c r="A4486" s="3" t="n">
        <v>46235</v>
      </c>
      <c r="B4486" s="4" t="s">
        <v>13</v>
      </c>
      <c r="C4486" s="4" t="n">
        <v>9</v>
      </c>
      <c r="D4486" s="4" t="n">
        <v>4</v>
      </c>
      <c r="E4486" s="4" t="s">
        <v>3778</v>
      </c>
      <c r="F4486" s="4" t="n">
        <v>25</v>
      </c>
      <c r="G4486" s="4" t="n">
        <v>5</v>
      </c>
      <c r="H4486" s="4" t="n">
        <v>4</v>
      </c>
      <c r="I4486" s="4" t="str">
        <v>×</v>
      </c>
      <c r="J4486" s="4"/>
      <c r="K4486" s="4"/>
      <c r="L4486" s="4"/>
      <c r="M4486" s="7" t="s">
        <v>3577</v>
      </c>
    </row>
    <row r="4487" customFormat="false" ht="15.75" hidden="false" customHeight="false" outlineLevel="0" collapsed="false">
      <c r="A4487" s="3" t="n">
        <v>46235</v>
      </c>
      <c r="B4487" s="4" t="s">
        <v>13</v>
      </c>
      <c r="C4487" s="4" t="n">
        <v>9</v>
      </c>
      <c r="D4487" s="4" t="n">
        <v>5</v>
      </c>
      <c r="E4487" s="4" t="s">
        <v>3779</v>
      </c>
      <c r="F4487" s="4" t="n">
        <v>4</v>
      </c>
      <c r="G4487" s="4" t="n">
        <v>12</v>
      </c>
      <c r="H4487" s="4" t="n">
        <v>4</v>
      </c>
      <c r="I4487" s="4" t="str">
        <v>×</v>
      </c>
      <c r="J4487" s="4"/>
      <c r="K4487" s="4"/>
      <c r="L4487" s="4"/>
      <c r="M4487" s="7" t="s">
        <v>3577</v>
      </c>
    </row>
    <row r="4488" customFormat="false" ht="15.75" hidden="false" customHeight="false" outlineLevel="0" collapsed="false">
      <c r="A4488" s="3" t="n">
        <v>46235</v>
      </c>
      <c r="B4488" s="4" t="s">
        <v>13</v>
      </c>
      <c r="C4488" s="4" t="n">
        <v>9</v>
      </c>
      <c r="D4488" s="4" t="n">
        <v>6</v>
      </c>
      <c r="E4488" s="4" t="s">
        <v>3780</v>
      </c>
      <c r="F4488" s="4" t="n">
        <v>25</v>
      </c>
      <c r="G4488" s="4" t="n">
        <v>5</v>
      </c>
      <c r="H4488" s="4" t="n">
        <v>4</v>
      </c>
      <c r="I4488" s="4" t="str">
        <v>×</v>
      </c>
      <c r="J4488" s="4"/>
      <c r="K4488" s="4"/>
      <c r="L4488" s="4"/>
      <c r="M4488" s="7" t="s">
        <v>3577</v>
      </c>
    </row>
    <row r="4489" customFormat="false" ht="15.75" hidden="false" customHeight="false" outlineLevel="0" collapsed="false">
      <c r="A4489" s="3" t="n">
        <v>46235</v>
      </c>
      <c r="B4489" s="4" t="s">
        <v>13</v>
      </c>
      <c r="C4489" s="4" t="n">
        <v>9</v>
      </c>
      <c r="D4489" s="4" t="n">
        <v>7</v>
      </c>
      <c r="E4489" s="4" t="s">
        <v>3781</v>
      </c>
      <c r="F4489" s="4" t="n">
        <v>29</v>
      </c>
      <c r="G4489" s="4" t="n">
        <v>4</v>
      </c>
      <c r="H4489" s="4" t="n">
        <v>1</v>
      </c>
      <c r="I4489" s="4" t="str">
        <v>○</v>
      </c>
      <c r="J4489" s="4" t="n">
        <v>190</v>
      </c>
      <c r="K4489" s="4"/>
      <c r="L4489" s="4"/>
      <c r="M4489" s="7" t="s">
        <v>3577</v>
      </c>
    </row>
    <row r="4490" customFormat="false" ht="15.75" hidden="false" customHeight="false" outlineLevel="0" collapsed="false">
      <c r="A4490" s="3" t="n">
        <v>46235</v>
      </c>
      <c r="B4490" s="4" t="s">
        <v>13</v>
      </c>
      <c r="C4490" s="4" t="n">
        <v>9</v>
      </c>
      <c r="D4490" s="4" t="n">
        <v>8</v>
      </c>
      <c r="E4490" s="4" t="s">
        <v>3782</v>
      </c>
      <c r="F4490" s="4" t="n">
        <v>1</v>
      </c>
      <c r="G4490" s="4" t="n">
        <v>15</v>
      </c>
      <c r="H4490" s="4" t="n">
        <v>4</v>
      </c>
      <c r="I4490" s="4" t="str">
        <v>×</v>
      </c>
      <c r="J4490" s="4"/>
      <c r="K4490" s="4"/>
      <c r="L4490" s="4"/>
      <c r="M4490" s="7" t="s">
        <v>3577</v>
      </c>
    </row>
    <row r="4491" customFormat="false" ht="15.75" hidden="false" customHeight="false" outlineLevel="0" collapsed="false">
      <c r="A4491" s="3" t="n">
        <v>46235</v>
      </c>
      <c r="B4491" s="4" t="s">
        <v>13</v>
      </c>
      <c r="C4491" s="4" t="n">
        <v>9</v>
      </c>
      <c r="D4491" s="4" t="n">
        <v>9</v>
      </c>
      <c r="E4491" s="4" t="s">
        <v>3783</v>
      </c>
      <c r="F4491" s="4" t="n">
        <v>8</v>
      </c>
      <c r="G4491" s="4" t="n">
        <v>10</v>
      </c>
      <c r="H4491" s="4" t="n">
        <v>4</v>
      </c>
      <c r="I4491" s="4" t="str">
        <v>×</v>
      </c>
      <c r="J4491" s="4"/>
      <c r="K4491" s="4"/>
      <c r="L4491" s="4"/>
      <c r="M4491" s="7" t="s">
        <v>3577</v>
      </c>
    </row>
    <row r="4492" customFormat="false" ht="15.75" hidden="false" customHeight="false" outlineLevel="0" collapsed="false">
      <c r="A4492" s="3" t="n">
        <v>46235</v>
      </c>
      <c r="B4492" s="4" t="s">
        <v>13</v>
      </c>
      <c r="C4492" s="4" t="n">
        <v>9</v>
      </c>
      <c r="D4492" s="4" t="n">
        <v>10</v>
      </c>
      <c r="E4492" s="4" t="s">
        <v>3784</v>
      </c>
      <c r="F4492" s="4" t="n">
        <v>71</v>
      </c>
      <c r="G4492" s="4" t="n">
        <v>1</v>
      </c>
      <c r="H4492" s="4" t="n">
        <v>4</v>
      </c>
      <c r="I4492" s="4" t="str">
        <v>×</v>
      </c>
      <c r="J4492" s="4"/>
      <c r="K4492" s="4"/>
      <c r="L4492" s="4"/>
      <c r="M4492" s="7" t="s">
        <v>3577</v>
      </c>
    </row>
    <row r="4493" customFormat="false" ht="15.75" hidden="false" customHeight="false" outlineLevel="0" collapsed="false">
      <c r="A4493" s="3" t="n">
        <v>46235</v>
      </c>
      <c r="B4493" s="4" t="s">
        <v>13</v>
      </c>
      <c r="C4493" s="4" t="n">
        <v>9</v>
      </c>
      <c r="D4493" s="4" t="n">
        <v>11</v>
      </c>
      <c r="E4493" s="4" t="s">
        <v>3785</v>
      </c>
      <c r="F4493" s="4" t="n">
        <v>2</v>
      </c>
      <c r="G4493" s="4" t="n">
        <v>14</v>
      </c>
      <c r="H4493" s="4" t="n">
        <v>4</v>
      </c>
      <c r="I4493" s="4" t="str">
        <v>×</v>
      </c>
      <c r="J4493" s="4"/>
      <c r="K4493" s="4"/>
      <c r="L4493" s="4"/>
      <c r="M4493" s="7" t="s">
        <v>3577</v>
      </c>
    </row>
    <row r="4494" customFormat="false" ht="15.75" hidden="false" customHeight="false" outlineLevel="0" collapsed="false">
      <c r="A4494" s="3" t="n">
        <v>46235</v>
      </c>
      <c r="B4494" s="4" t="s">
        <v>13</v>
      </c>
      <c r="C4494" s="4" t="n">
        <v>9</v>
      </c>
      <c r="D4494" s="4" t="n">
        <v>12</v>
      </c>
      <c r="E4494" s="4" t="s">
        <v>3786</v>
      </c>
      <c r="F4494" s="4" t="n">
        <v>8</v>
      </c>
      <c r="G4494" s="4" t="n">
        <v>10</v>
      </c>
      <c r="H4494" s="4" t="n">
        <v>2</v>
      </c>
      <c r="I4494" s="4" t="str">
        <v>○</v>
      </c>
      <c r="J4494" s="4" t="n">
        <v>990</v>
      </c>
      <c r="K4494" s="4"/>
      <c r="L4494" s="4"/>
      <c r="M4494" s="7" t="s">
        <v>3577</v>
      </c>
    </row>
    <row r="4495" customFormat="false" ht="15.75" hidden="false" customHeight="false" outlineLevel="0" collapsed="false">
      <c r="A4495" s="3" t="n">
        <v>46235</v>
      </c>
      <c r="B4495" s="4" t="s">
        <v>13</v>
      </c>
      <c r="C4495" s="4" t="n">
        <v>9</v>
      </c>
      <c r="D4495" s="4" t="n">
        <v>13</v>
      </c>
      <c r="E4495" s="4" t="s">
        <v>3120</v>
      </c>
      <c r="F4495" s="4" t="n">
        <v>15</v>
      </c>
      <c r="G4495" s="4" t="n">
        <v>8</v>
      </c>
      <c r="H4495" s="4" t="n">
        <v>4</v>
      </c>
      <c r="I4495" s="4" t="str">
        <v>×</v>
      </c>
      <c r="J4495" s="4"/>
      <c r="K4495" s="4"/>
      <c r="L4495" s="4"/>
      <c r="M4495" s="7" t="s">
        <v>3577</v>
      </c>
    </row>
    <row r="4496" customFormat="false" ht="15.75" hidden="false" customHeight="false" outlineLevel="0" collapsed="false">
      <c r="A4496" s="3" t="n">
        <v>46235</v>
      </c>
      <c r="B4496" s="4" t="s">
        <v>13</v>
      </c>
      <c r="C4496" s="4" t="n">
        <v>9</v>
      </c>
      <c r="D4496" s="4" t="n">
        <v>14</v>
      </c>
      <c r="E4496" s="4" t="s">
        <v>3787</v>
      </c>
      <c r="F4496" s="4" t="n">
        <v>10</v>
      </c>
      <c r="G4496" s="4" t="n">
        <v>9</v>
      </c>
      <c r="H4496" s="4" t="n">
        <v>4</v>
      </c>
      <c r="I4496" s="4" t="str">
        <v>×</v>
      </c>
      <c r="J4496" s="4"/>
      <c r="K4496" s="4"/>
      <c r="L4496" s="4"/>
      <c r="M4496" s="7" t="s">
        <v>3577</v>
      </c>
    </row>
    <row r="4497" customFormat="false" ht="15.75" hidden="false" customHeight="false" outlineLevel="0" collapsed="false">
      <c r="A4497" s="3" t="n">
        <v>46235</v>
      </c>
      <c r="B4497" s="4" t="s">
        <v>13</v>
      </c>
      <c r="C4497" s="4" t="n">
        <v>9</v>
      </c>
      <c r="D4497" s="4" t="n">
        <v>15</v>
      </c>
      <c r="E4497" s="4" t="s">
        <v>3788</v>
      </c>
      <c r="F4497" s="4" t="n">
        <v>4</v>
      </c>
      <c r="G4497" s="4" t="n">
        <v>12</v>
      </c>
      <c r="H4497" s="4" t="n">
        <v>4</v>
      </c>
      <c r="I4497" s="4" t="str">
        <v>×</v>
      </c>
      <c r="J4497" s="4"/>
      <c r="K4497" s="4"/>
      <c r="L4497" s="4"/>
      <c r="M4497" s="7" t="s">
        <v>3577</v>
      </c>
    </row>
    <row r="4498" customFormat="false" ht="15.75" hidden="false" customHeight="false" outlineLevel="0" collapsed="false">
      <c r="A4498" s="3" t="n">
        <v>46235</v>
      </c>
      <c r="B4498" s="4" t="s">
        <v>13</v>
      </c>
      <c r="C4498" s="4" t="n">
        <v>10</v>
      </c>
      <c r="D4498" s="4" t="n">
        <v>1</v>
      </c>
      <c r="E4498" s="4" t="s">
        <v>3789</v>
      </c>
      <c r="F4498" s="4" t="n">
        <v>20</v>
      </c>
      <c r="G4498" s="4" t="n">
        <v>3</v>
      </c>
      <c r="H4498" s="4" t="n">
        <v>2</v>
      </c>
      <c r="I4498" s="4" t="str">
        <v>○</v>
      </c>
      <c r="J4498" s="4" t="n">
        <v>280</v>
      </c>
      <c r="K4498" s="4"/>
      <c r="L4498" s="4"/>
      <c r="M4498" s="7" t="s">
        <v>3577</v>
      </c>
    </row>
    <row r="4499" customFormat="false" ht="15.75" hidden="false" customHeight="false" outlineLevel="0" collapsed="false">
      <c r="A4499" s="3" t="n">
        <v>46235</v>
      </c>
      <c r="B4499" s="4" t="s">
        <v>13</v>
      </c>
      <c r="C4499" s="4" t="n">
        <v>10</v>
      </c>
      <c r="D4499" s="4" t="n">
        <v>2</v>
      </c>
      <c r="E4499" s="4" t="s">
        <v>1475</v>
      </c>
      <c r="F4499" s="4" t="n">
        <v>10</v>
      </c>
      <c r="G4499" s="4" t="n">
        <v>10</v>
      </c>
      <c r="H4499" s="4" t="n">
        <v>4</v>
      </c>
      <c r="I4499" s="4" t="str">
        <v>×</v>
      </c>
      <c r="J4499" s="4"/>
      <c r="K4499" s="4"/>
      <c r="L4499" s="4"/>
      <c r="M4499" s="7" t="s">
        <v>3577</v>
      </c>
    </row>
    <row r="4500" customFormat="false" ht="15.75" hidden="false" customHeight="false" outlineLevel="0" collapsed="false">
      <c r="A4500" s="3" t="n">
        <v>46235</v>
      </c>
      <c r="B4500" s="4" t="s">
        <v>13</v>
      </c>
      <c r="C4500" s="4" t="n">
        <v>10</v>
      </c>
      <c r="D4500" s="4" t="n">
        <v>3</v>
      </c>
      <c r="E4500" s="4" t="s">
        <v>2703</v>
      </c>
      <c r="F4500" s="4" t="n">
        <v>10</v>
      </c>
      <c r="G4500" s="4" t="n">
        <v>10</v>
      </c>
      <c r="H4500" s="4" t="n">
        <v>4</v>
      </c>
      <c r="I4500" s="4" t="str">
        <v>×</v>
      </c>
      <c r="J4500" s="4"/>
      <c r="K4500" s="4"/>
      <c r="L4500" s="4"/>
      <c r="M4500" s="7" t="s">
        <v>3577</v>
      </c>
    </row>
    <row r="4501" customFormat="false" ht="15.75" hidden="false" customHeight="false" outlineLevel="0" collapsed="false">
      <c r="A4501" s="3" t="n">
        <v>46235</v>
      </c>
      <c r="B4501" s="4" t="s">
        <v>13</v>
      </c>
      <c r="C4501" s="4" t="n">
        <v>10</v>
      </c>
      <c r="D4501" s="4" t="n">
        <v>4</v>
      </c>
      <c r="E4501" s="4" t="s">
        <v>3790</v>
      </c>
      <c r="F4501" s="4" t="n">
        <v>10</v>
      </c>
      <c r="G4501" s="4" t="n">
        <v>10</v>
      </c>
      <c r="H4501" s="4" t="n">
        <v>4</v>
      </c>
      <c r="I4501" s="4" t="str">
        <v>×</v>
      </c>
      <c r="J4501" s="4"/>
      <c r="K4501" s="4"/>
      <c r="L4501" s="4"/>
      <c r="M4501" s="7" t="s">
        <v>3577</v>
      </c>
    </row>
    <row r="4502" customFormat="false" ht="15.75" hidden="false" customHeight="false" outlineLevel="0" collapsed="false">
      <c r="A4502" s="3" t="n">
        <v>46235</v>
      </c>
      <c r="B4502" s="4" t="s">
        <v>13</v>
      </c>
      <c r="C4502" s="4" t="n">
        <v>10</v>
      </c>
      <c r="D4502" s="4" t="n">
        <v>5</v>
      </c>
      <c r="E4502" s="4" t="s">
        <v>1908</v>
      </c>
      <c r="F4502" s="4" t="n">
        <v>62</v>
      </c>
      <c r="G4502" s="4" t="n">
        <v>2</v>
      </c>
      <c r="H4502" s="4" t="n">
        <v>4</v>
      </c>
      <c r="I4502" s="4" t="str">
        <v>×</v>
      </c>
      <c r="J4502" s="4"/>
      <c r="K4502" s="4"/>
      <c r="L4502" s="4"/>
      <c r="M4502" s="7" t="s">
        <v>3577</v>
      </c>
    </row>
    <row r="4503" customFormat="false" ht="15.75" hidden="false" customHeight="false" outlineLevel="0" collapsed="false">
      <c r="A4503" s="3" t="n">
        <v>46235</v>
      </c>
      <c r="B4503" s="4" t="s">
        <v>13</v>
      </c>
      <c r="C4503" s="4" t="n">
        <v>10</v>
      </c>
      <c r="D4503" s="4" t="n">
        <v>6</v>
      </c>
      <c r="E4503" s="4" t="s">
        <v>3791</v>
      </c>
      <c r="F4503" s="4" t="n">
        <v>15</v>
      </c>
      <c r="G4503" s="4" t="n">
        <v>6</v>
      </c>
      <c r="H4503" s="4" t="n">
        <v>4</v>
      </c>
      <c r="I4503" s="4" t="str">
        <v>×</v>
      </c>
      <c r="J4503" s="4"/>
      <c r="K4503" s="4"/>
      <c r="L4503" s="4"/>
      <c r="M4503" s="7" t="s">
        <v>3577</v>
      </c>
    </row>
    <row r="4504" customFormat="false" ht="15.75" hidden="false" customHeight="false" outlineLevel="0" collapsed="false">
      <c r="A4504" s="3" t="n">
        <v>46235</v>
      </c>
      <c r="B4504" s="4" t="s">
        <v>13</v>
      </c>
      <c r="C4504" s="4" t="n">
        <v>10</v>
      </c>
      <c r="D4504" s="4" t="n">
        <v>7</v>
      </c>
      <c r="E4504" s="4" t="s">
        <v>3792</v>
      </c>
      <c r="F4504" s="4" t="n">
        <v>8</v>
      </c>
      <c r="G4504" s="4" t="n">
        <v>13</v>
      </c>
      <c r="H4504" s="4" t="n">
        <v>4</v>
      </c>
      <c r="I4504" s="4" t="str">
        <v>×</v>
      </c>
      <c r="J4504" s="4"/>
      <c r="K4504" s="4"/>
      <c r="L4504" s="4"/>
      <c r="M4504" s="7" t="s">
        <v>3577</v>
      </c>
    </row>
    <row r="4505" customFormat="false" ht="15.75" hidden="false" customHeight="false" outlineLevel="0" collapsed="false">
      <c r="A4505" s="3" t="n">
        <v>46235</v>
      </c>
      <c r="B4505" s="4" t="s">
        <v>13</v>
      </c>
      <c r="C4505" s="4" t="n">
        <v>10</v>
      </c>
      <c r="D4505" s="4" t="n">
        <v>8</v>
      </c>
      <c r="E4505" s="4" t="s">
        <v>1921</v>
      </c>
      <c r="F4505" s="4" t="n">
        <v>4</v>
      </c>
      <c r="G4505" s="4" t="n">
        <v>14</v>
      </c>
      <c r="H4505" s="4" t="n">
        <v>4</v>
      </c>
      <c r="I4505" s="4" t="str">
        <v>×</v>
      </c>
      <c r="J4505" s="4"/>
      <c r="K4505" s="4"/>
      <c r="L4505" s="4"/>
      <c r="M4505" s="7" t="s">
        <v>3577</v>
      </c>
    </row>
    <row r="4506" customFormat="false" ht="15.75" hidden="false" customHeight="false" outlineLevel="0" collapsed="false">
      <c r="A4506" s="3" t="n">
        <v>46235</v>
      </c>
      <c r="B4506" s="4" t="s">
        <v>13</v>
      </c>
      <c r="C4506" s="4" t="n">
        <v>10</v>
      </c>
      <c r="D4506" s="4" t="n">
        <v>9</v>
      </c>
      <c r="E4506" s="4" t="s">
        <v>3793</v>
      </c>
      <c r="F4506" s="4" t="n">
        <v>17</v>
      </c>
      <c r="G4506" s="4" t="n">
        <v>4</v>
      </c>
      <c r="H4506" s="4" t="n">
        <v>4</v>
      </c>
      <c r="I4506" s="4" t="str">
        <v>×</v>
      </c>
      <c r="J4506" s="4"/>
      <c r="K4506" s="4"/>
      <c r="L4506" s="4"/>
      <c r="M4506" s="7" t="s">
        <v>3577</v>
      </c>
    </row>
    <row r="4507" customFormat="false" ht="15.75" hidden="false" customHeight="false" outlineLevel="0" collapsed="false">
      <c r="A4507" s="3" t="n">
        <v>46235</v>
      </c>
      <c r="B4507" s="4" t="s">
        <v>13</v>
      </c>
      <c r="C4507" s="4" t="n">
        <v>10</v>
      </c>
      <c r="D4507" s="4" t="n">
        <v>10</v>
      </c>
      <c r="E4507" s="4" t="s">
        <v>3794</v>
      </c>
      <c r="F4507" s="4" t="n">
        <v>17</v>
      </c>
      <c r="G4507" s="4" t="n">
        <v>4</v>
      </c>
      <c r="H4507" s="4" t="n">
        <v>4</v>
      </c>
      <c r="I4507" s="4" t="str">
        <v>×</v>
      </c>
      <c r="J4507" s="4"/>
      <c r="K4507" s="4"/>
      <c r="L4507" s="4"/>
      <c r="M4507" s="7" t="s">
        <v>3577</v>
      </c>
    </row>
    <row r="4508" customFormat="false" ht="15.75" hidden="false" customHeight="false" outlineLevel="0" collapsed="false">
      <c r="A4508" s="3" t="n">
        <v>46235</v>
      </c>
      <c r="B4508" s="4" t="s">
        <v>13</v>
      </c>
      <c r="C4508" s="4" t="n">
        <v>10</v>
      </c>
      <c r="D4508" s="4" t="n">
        <v>11</v>
      </c>
      <c r="E4508" s="4" t="s">
        <v>2220</v>
      </c>
      <c r="F4508" s="4" t="n">
        <v>13</v>
      </c>
      <c r="G4508" s="4" t="n">
        <v>9</v>
      </c>
      <c r="H4508" s="4" t="n">
        <v>1</v>
      </c>
      <c r="I4508" s="4" t="str">
        <v>○</v>
      </c>
      <c r="J4508" s="4" t="n">
        <v>330</v>
      </c>
      <c r="K4508" s="4"/>
      <c r="L4508" s="4"/>
      <c r="M4508" s="7" t="s">
        <v>3577</v>
      </c>
    </row>
    <row r="4509" customFormat="false" ht="15.75" hidden="false" customHeight="false" outlineLevel="0" collapsed="false">
      <c r="A4509" s="3" t="n">
        <v>46235</v>
      </c>
      <c r="B4509" s="4" t="s">
        <v>13</v>
      </c>
      <c r="C4509" s="4" t="n">
        <v>10</v>
      </c>
      <c r="D4509" s="4" t="n">
        <v>12</v>
      </c>
      <c r="E4509" s="4" t="s">
        <v>3795</v>
      </c>
      <c r="F4509" s="4" t="n">
        <v>15</v>
      </c>
      <c r="G4509" s="4" t="n">
        <v>6</v>
      </c>
      <c r="H4509" s="4" t="n">
        <v>4</v>
      </c>
      <c r="I4509" s="4" t="str">
        <v>×</v>
      </c>
      <c r="J4509" s="4"/>
      <c r="K4509" s="4"/>
      <c r="L4509" s="4"/>
      <c r="M4509" s="7" t="s">
        <v>3577</v>
      </c>
    </row>
    <row r="4510" customFormat="false" ht="15.75" hidden="false" customHeight="false" outlineLevel="0" collapsed="false">
      <c r="A4510" s="3" t="n">
        <v>46235</v>
      </c>
      <c r="B4510" s="4" t="s">
        <v>13</v>
      </c>
      <c r="C4510" s="4" t="n">
        <v>10</v>
      </c>
      <c r="D4510" s="4" t="n">
        <v>13</v>
      </c>
      <c r="E4510" s="4" t="s">
        <v>1911</v>
      </c>
      <c r="F4510" s="4" t="n">
        <v>81</v>
      </c>
      <c r="G4510" s="4" t="n">
        <v>1</v>
      </c>
      <c r="H4510" s="4" t="n">
        <v>3</v>
      </c>
      <c r="I4510" s="4" t="str">
        <v>○</v>
      </c>
      <c r="J4510" s="4" t="n">
        <v>110</v>
      </c>
      <c r="K4510" s="4"/>
      <c r="L4510" s="4"/>
      <c r="M4510" s="7" t="s">
        <v>3577</v>
      </c>
    </row>
    <row r="4511" customFormat="false" ht="15.75" hidden="false" customHeight="false" outlineLevel="0" collapsed="false">
      <c r="A4511" s="3" t="n">
        <v>46235</v>
      </c>
      <c r="B4511" s="4" t="s">
        <v>13</v>
      </c>
      <c r="C4511" s="4" t="n">
        <v>10</v>
      </c>
      <c r="D4511" s="4" t="n">
        <v>14</v>
      </c>
      <c r="E4511" s="4" t="s">
        <v>3796</v>
      </c>
      <c r="F4511" s="4" t="n">
        <v>15</v>
      </c>
      <c r="G4511" s="4" t="n">
        <v>6</v>
      </c>
      <c r="H4511" s="4" t="n">
        <v>4</v>
      </c>
      <c r="I4511" s="4" t="str">
        <v>×</v>
      </c>
      <c r="J4511" s="4"/>
      <c r="K4511" s="4"/>
      <c r="L4511" s="4"/>
      <c r="M4511" s="7" t="s">
        <v>3577</v>
      </c>
    </row>
    <row r="4512" customFormat="false" ht="15.75" hidden="false" customHeight="false" outlineLevel="0" collapsed="false">
      <c r="A4512" s="3" t="n">
        <v>46235</v>
      </c>
      <c r="B4512" s="4" t="s">
        <v>13</v>
      </c>
      <c r="C4512" s="4" t="n">
        <v>10</v>
      </c>
      <c r="D4512" s="4" t="n">
        <v>15</v>
      </c>
      <c r="E4512" s="4" t="s">
        <v>3797</v>
      </c>
      <c r="F4512" s="4" t="n">
        <v>2</v>
      </c>
      <c r="G4512" s="4" t="n">
        <v>15</v>
      </c>
      <c r="H4512" s="4" t="n">
        <v>4</v>
      </c>
      <c r="I4512" s="4" t="str">
        <v>×</v>
      </c>
      <c r="J4512" s="4"/>
      <c r="K4512" s="4"/>
      <c r="L4512" s="4"/>
      <c r="M4512" s="7" t="s">
        <v>3577</v>
      </c>
    </row>
    <row r="4513" customFormat="false" ht="15.75" hidden="false" customHeight="false" outlineLevel="0" collapsed="false">
      <c r="A4513" s="3" t="n">
        <v>46235</v>
      </c>
      <c r="B4513" s="4" t="s">
        <v>13</v>
      </c>
      <c r="C4513" s="4" t="n">
        <v>11</v>
      </c>
      <c r="D4513" s="4" t="n">
        <v>1</v>
      </c>
      <c r="E4513" s="4" t="s">
        <v>3798</v>
      </c>
      <c r="F4513" s="4" t="n">
        <v>31</v>
      </c>
      <c r="G4513" s="4" t="n">
        <v>3</v>
      </c>
      <c r="H4513" s="4" t="n">
        <v>4</v>
      </c>
      <c r="I4513" s="4" t="str">
        <v>×</v>
      </c>
      <c r="J4513" s="4"/>
      <c r="K4513" s="4"/>
      <c r="L4513" s="4"/>
      <c r="M4513" s="7" t="s">
        <v>3577</v>
      </c>
    </row>
    <row r="4514" customFormat="false" ht="15.75" hidden="false" customHeight="false" outlineLevel="0" collapsed="false">
      <c r="A4514" s="3" t="n">
        <v>46235</v>
      </c>
      <c r="B4514" s="4" t="s">
        <v>13</v>
      </c>
      <c r="C4514" s="4" t="n">
        <v>11</v>
      </c>
      <c r="D4514" s="4" t="n">
        <v>2</v>
      </c>
      <c r="E4514" s="4" t="s">
        <v>3799</v>
      </c>
      <c r="F4514" s="4" t="n">
        <v>29</v>
      </c>
      <c r="G4514" s="4" t="n">
        <v>5</v>
      </c>
      <c r="H4514" s="4" t="n">
        <v>1</v>
      </c>
      <c r="I4514" s="4" t="str">
        <v>○</v>
      </c>
      <c r="J4514" s="4" t="n">
        <v>180</v>
      </c>
      <c r="K4514" s="4"/>
      <c r="L4514" s="4"/>
      <c r="M4514" s="7" t="s">
        <v>3577</v>
      </c>
    </row>
    <row r="4515" customFormat="false" ht="15.75" hidden="false" customHeight="false" outlineLevel="0" collapsed="false">
      <c r="A4515" s="3" t="n">
        <v>46235</v>
      </c>
      <c r="B4515" s="4" t="s">
        <v>13</v>
      </c>
      <c r="C4515" s="4" t="n">
        <v>11</v>
      </c>
      <c r="D4515" s="4" t="n">
        <v>3</v>
      </c>
      <c r="E4515" s="4" t="s">
        <v>1007</v>
      </c>
      <c r="F4515" s="4" t="n">
        <v>31</v>
      </c>
      <c r="G4515" s="4" t="n">
        <v>3</v>
      </c>
      <c r="H4515" s="4" t="n">
        <v>4</v>
      </c>
      <c r="I4515" s="4" t="str">
        <v>×</v>
      </c>
      <c r="J4515" s="4"/>
      <c r="K4515" s="4"/>
      <c r="L4515" s="4"/>
      <c r="M4515" s="7" t="s">
        <v>3577</v>
      </c>
    </row>
    <row r="4516" customFormat="false" ht="15.75" hidden="false" customHeight="false" outlineLevel="0" collapsed="false">
      <c r="A4516" s="3" t="n">
        <v>46235</v>
      </c>
      <c r="B4516" s="4" t="s">
        <v>13</v>
      </c>
      <c r="C4516" s="4" t="n">
        <v>11</v>
      </c>
      <c r="D4516" s="4" t="n">
        <v>4</v>
      </c>
      <c r="E4516" s="4" t="s">
        <v>1398</v>
      </c>
      <c r="F4516" s="4" t="n">
        <v>15</v>
      </c>
      <c r="G4516" s="4" t="n">
        <v>7</v>
      </c>
      <c r="H4516" s="4" t="n">
        <v>4</v>
      </c>
      <c r="I4516" s="4" t="str">
        <v>×</v>
      </c>
      <c r="J4516" s="4"/>
      <c r="K4516" s="4"/>
      <c r="L4516" s="4"/>
      <c r="M4516" s="7" t="s">
        <v>3577</v>
      </c>
    </row>
    <row r="4517" customFormat="false" ht="15.75" hidden="false" customHeight="false" outlineLevel="0" collapsed="false">
      <c r="A4517" s="3" t="n">
        <v>46235</v>
      </c>
      <c r="B4517" s="4" t="s">
        <v>13</v>
      </c>
      <c r="C4517" s="4" t="n">
        <v>11</v>
      </c>
      <c r="D4517" s="4" t="n">
        <v>5</v>
      </c>
      <c r="E4517" s="4" t="s">
        <v>2313</v>
      </c>
      <c r="F4517" s="4" t="n">
        <v>41</v>
      </c>
      <c r="G4517" s="4" t="n">
        <v>2</v>
      </c>
      <c r="H4517" s="4" t="n">
        <v>3</v>
      </c>
      <c r="I4517" s="4" t="str">
        <v>○</v>
      </c>
      <c r="J4517" s="4" t="n">
        <v>230</v>
      </c>
      <c r="K4517" s="4"/>
      <c r="L4517" s="4"/>
      <c r="M4517" s="7" t="s">
        <v>3577</v>
      </c>
    </row>
    <row r="4518" customFormat="false" ht="15.75" hidden="false" customHeight="false" outlineLevel="0" collapsed="false">
      <c r="A4518" s="3" t="n">
        <v>46235</v>
      </c>
      <c r="B4518" s="4" t="s">
        <v>13</v>
      </c>
      <c r="C4518" s="4" t="n">
        <v>11</v>
      </c>
      <c r="D4518" s="4" t="n">
        <v>6</v>
      </c>
      <c r="E4518" s="4" t="s">
        <v>2746</v>
      </c>
      <c r="F4518" s="4" t="n">
        <v>10</v>
      </c>
      <c r="G4518" s="4" t="n">
        <v>9</v>
      </c>
      <c r="H4518" s="4" t="n">
        <v>4</v>
      </c>
      <c r="I4518" s="4" t="str">
        <v>×</v>
      </c>
      <c r="J4518" s="4"/>
      <c r="K4518" s="4"/>
      <c r="L4518" s="4"/>
      <c r="M4518" s="7" t="s">
        <v>3577</v>
      </c>
    </row>
    <row r="4519" customFormat="false" ht="15.75" hidden="false" customHeight="false" outlineLevel="0" collapsed="false">
      <c r="A4519" s="3" t="n">
        <v>46235</v>
      </c>
      <c r="B4519" s="4" t="s">
        <v>13</v>
      </c>
      <c r="C4519" s="4" t="n">
        <v>11</v>
      </c>
      <c r="D4519" s="4" t="n">
        <v>7</v>
      </c>
      <c r="E4519" s="4" t="s">
        <v>3800</v>
      </c>
      <c r="F4519" s="4" t="n">
        <v>6</v>
      </c>
      <c r="G4519" s="4" t="n">
        <v>12</v>
      </c>
      <c r="H4519" s="4" t="n">
        <v>4</v>
      </c>
      <c r="I4519" s="4" t="str">
        <v>×</v>
      </c>
      <c r="J4519" s="4"/>
      <c r="K4519" s="4"/>
      <c r="L4519" s="4"/>
      <c r="M4519" s="7" t="s">
        <v>3577</v>
      </c>
    </row>
    <row r="4520" customFormat="false" ht="15.75" hidden="false" customHeight="false" outlineLevel="0" collapsed="false">
      <c r="A4520" s="3" t="n">
        <v>46235</v>
      </c>
      <c r="B4520" s="4" t="s">
        <v>13</v>
      </c>
      <c r="C4520" s="4" t="n">
        <v>11</v>
      </c>
      <c r="D4520" s="4" t="n">
        <v>8</v>
      </c>
      <c r="E4520" s="4" t="s">
        <v>3801</v>
      </c>
      <c r="F4520" s="4" t="n">
        <v>8</v>
      </c>
      <c r="G4520" s="4" t="n">
        <v>10</v>
      </c>
      <c r="H4520" s="4" t="n">
        <v>4</v>
      </c>
      <c r="I4520" s="4" t="str">
        <v>×</v>
      </c>
      <c r="J4520" s="4"/>
      <c r="K4520" s="4"/>
      <c r="L4520" s="4"/>
      <c r="M4520" s="7" t="s">
        <v>3577</v>
      </c>
    </row>
    <row r="4521" customFormat="false" ht="15.75" hidden="false" customHeight="false" outlineLevel="0" collapsed="false">
      <c r="A4521" s="3" t="n">
        <v>46235</v>
      </c>
      <c r="B4521" s="4" t="s">
        <v>13</v>
      </c>
      <c r="C4521" s="4" t="n">
        <v>11</v>
      </c>
      <c r="D4521" s="4" t="n">
        <v>9</v>
      </c>
      <c r="E4521" s="4" t="s">
        <v>3802</v>
      </c>
      <c r="F4521" s="4" t="n">
        <v>2</v>
      </c>
      <c r="G4521" s="4" t="n">
        <v>16</v>
      </c>
      <c r="H4521" s="4" t="n">
        <v>4</v>
      </c>
      <c r="I4521" s="4" t="str">
        <v>×</v>
      </c>
      <c r="J4521" s="4"/>
      <c r="K4521" s="4"/>
      <c r="L4521" s="4"/>
      <c r="M4521" s="7" t="s">
        <v>3577</v>
      </c>
    </row>
    <row r="4522" customFormat="false" ht="15.75" hidden="false" customHeight="false" outlineLevel="0" collapsed="false">
      <c r="A4522" s="3" t="n">
        <v>46235</v>
      </c>
      <c r="B4522" s="4" t="s">
        <v>13</v>
      </c>
      <c r="C4522" s="4" t="n">
        <v>11</v>
      </c>
      <c r="D4522" s="4" t="n">
        <v>10</v>
      </c>
      <c r="E4522" s="4" t="s">
        <v>3803</v>
      </c>
      <c r="F4522" s="4" t="n">
        <v>3</v>
      </c>
      <c r="G4522" s="4" t="n">
        <v>13</v>
      </c>
      <c r="H4522" s="4" t="n">
        <v>4</v>
      </c>
      <c r="I4522" s="4" t="str">
        <v>×</v>
      </c>
      <c r="J4522" s="4"/>
      <c r="K4522" s="4"/>
      <c r="L4522" s="4"/>
      <c r="M4522" s="7" t="s">
        <v>3577</v>
      </c>
    </row>
    <row r="4523" customFormat="false" ht="15.75" hidden="false" customHeight="false" outlineLevel="0" collapsed="false">
      <c r="A4523" s="3" t="n">
        <v>46235</v>
      </c>
      <c r="B4523" s="4" t="s">
        <v>13</v>
      </c>
      <c r="C4523" s="4" t="n">
        <v>11</v>
      </c>
      <c r="D4523" s="4" t="n">
        <v>11</v>
      </c>
      <c r="E4523" s="4" t="s">
        <v>1406</v>
      </c>
      <c r="F4523" s="4" t="n">
        <v>52</v>
      </c>
      <c r="G4523" s="4" t="n">
        <v>1</v>
      </c>
      <c r="H4523" s="4" t="n">
        <v>2</v>
      </c>
      <c r="I4523" s="4" t="str">
        <v>○</v>
      </c>
      <c r="J4523" s="4" t="n">
        <v>140</v>
      </c>
      <c r="K4523" s="4"/>
      <c r="L4523" s="4"/>
      <c r="M4523" s="7" t="s">
        <v>3577</v>
      </c>
    </row>
    <row r="4524" customFormat="false" ht="15.75" hidden="false" customHeight="false" outlineLevel="0" collapsed="false">
      <c r="A4524" s="3" t="n">
        <v>46235</v>
      </c>
      <c r="B4524" s="4" t="s">
        <v>13</v>
      </c>
      <c r="C4524" s="4" t="n">
        <v>11</v>
      </c>
      <c r="D4524" s="4" t="n">
        <v>12</v>
      </c>
      <c r="E4524" s="4" t="s">
        <v>3804</v>
      </c>
      <c r="F4524" s="4" t="n">
        <v>13</v>
      </c>
      <c r="G4524" s="4" t="n">
        <v>8</v>
      </c>
      <c r="H4524" s="4" t="n">
        <v>4</v>
      </c>
      <c r="I4524" s="4" t="str">
        <v>×</v>
      </c>
      <c r="J4524" s="4"/>
      <c r="K4524" s="4"/>
      <c r="L4524" s="4"/>
      <c r="M4524" s="7" t="s">
        <v>3577</v>
      </c>
    </row>
    <row r="4525" customFormat="false" ht="15.75" hidden="false" customHeight="false" outlineLevel="0" collapsed="false">
      <c r="A4525" s="3" t="n">
        <v>46235</v>
      </c>
      <c r="B4525" s="4" t="s">
        <v>13</v>
      </c>
      <c r="C4525" s="4" t="n">
        <v>11</v>
      </c>
      <c r="D4525" s="4" t="n">
        <v>13</v>
      </c>
      <c r="E4525" s="4" t="s">
        <v>3805</v>
      </c>
      <c r="F4525" s="4" t="n">
        <v>3</v>
      </c>
      <c r="G4525" s="4" t="n">
        <v>13</v>
      </c>
      <c r="H4525" s="4" t="n">
        <v>4</v>
      </c>
      <c r="I4525" s="4" t="str">
        <v>×</v>
      </c>
      <c r="J4525" s="4"/>
      <c r="K4525" s="4"/>
      <c r="L4525" s="4"/>
      <c r="M4525" s="7" t="s">
        <v>3577</v>
      </c>
    </row>
    <row r="4526" customFormat="false" ht="15.75" hidden="false" customHeight="false" outlineLevel="0" collapsed="false">
      <c r="A4526" s="3" t="n">
        <v>46235</v>
      </c>
      <c r="B4526" s="4" t="s">
        <v>13</v>
      </c>
      <c r="C4526" s="4" t="n">
        <v>11</v>
      </c>
      <c r="D4526" s="4" t="n">
        <v>14</v>
      </c>
      <c r="E4526" s="4" t="s">
        <v>1393</v>
      </c>
      <c r="F4526" s="4" t="n">
        <v>17</v>
      </c>
      <c r="G4526" s="4" t="n">
        <v>6</v>
      </c>
      <c r="H4526" s="4" t="n">
        <v>4</v>
      </c>
      <c r="I4526" s="4" t="str">
        <v>×</v>
      </c>
      <c r="J4526" s="4"/>
      <c r="K4526" s="4"/>
      <c r="L4526" s="4"/>
      <c r="M4526" s="7" t="s">
        <v>3577</v>
      </c>
    </row>
    <row r="4527" customFormat="false" ht="15.75" hidden="false" customHeight="false" outlineLevel="0" collapsed="false">
      <c r="A4527" s="3" t="n">
        <v>46235</v>
      </c>
      <c r="B4527" s="4" t="s">
        <v>13</v>
      </c>
      <c r="C4527" s="4" t="n">
        <v>11</v>
      </c>
      <c r="D4527" s="4" t="n">
        <v>15</v>
      </c>
      <c r="E4527" s="4" t="s">
        <v>3806</v>
      </c>
      <c r="F4527" s="4" t="n">
        <v>1</v>
      </c>
      <c r="G4527" s="4" t="n">
        <v>18</v>
      </c>
      <c r="H4527" s="4" t="n">
        <v>4</v>
      </c>
      <c r="I4527" s="4" t="str">
        <v>×</v>
      </c>
      <c r="J4527" s="4"/>
      <c r="K4527" s="4"/>
      <c r="L4527" s="4"/>
      <c r="M4527" s="7" t="s">
        <v>3577</v>
      </c>
    </row>
    <row r="4528" customFormat="false" ht="15.75" hidden="false" customHeight="false" outlineLevel="0" collapsed="false">
      <c r="A4528" s="3" t="n">
        <v>46235</v>
      </c>
      <c r="B4528" s="4" t="s">
        <v>13</v>
      </c>
      <c r="C4528" s="4" t="n">
        <v>11</v>
      </c>
      <c r="D4528" s="4" t="n">
        <v>16</v>
      </c>
      <c r="E4528" s="4" t="s">
        <v>1409</v>
      </c>
      <c r="F4528" s="4" t="n">
        <v>3</v>
      </c>
      <c r="G4528" s="4" t="n">
        <v>13</v>
      </c>
      <c r="H4528" s="4" t="n">
        <v>4</v>
      </c>
      <c r="I4528" s="4" t="str">
        <v>×</v>
      </c>
      <c r="J4528" s="4"/>
      <c r="K4528" s="4"/>
      <c r="L4528" s="4"/>
      <c r="M4528" s="7" t="s">
        <v>3577</v>
      </c>
    </row>
    <row r="4529" customFormat="false" ht="15.75" hidden="false" customHeight="false" outlineLevel="0" collapsed="false">
      <c r="A4529" s="3" t="n">
        <v>46235</v>
      </c>
      <c r="B4529" s="4" t="s">
        <v>13</v>
      </c>
      <c r="C4529" s="4" t="n">
        <v>11</v>
      </c>
      <c r="D4529" s="4" t="n">
        <v>17</v>
      </c>
      <c r="E4529" s="4" t="s">
        <v>3807</v>
      </c>
      <c r="F4529" s="4" t="n">
        <v>2</v>
      </c>
      <c r="G4529" s="4" t="n">
        <v>16</v>
      </c>
      <c r="H4529" s="4" t="n">
        <v>4</v>
      </c>
      <c r="I4529" s="4" t="str">
        <v>×</v>
      </c>
      <c r="J4529" s="4"/>
      <c r="K4529" s="4"/>
      <c r="L4529" s="4"/>
      <c r="M4529" s="7" t="s">
        <v>3577</v>
      </c>
    </row>
    <row r="4530" customFormat="false" ht="15.75" hidden="false" customHeight="false" outlineLevel="0" collapsed="false">
      <c r="A4530" s="3" t="n">
        <v>46235</v>
      </c>
      <c r="B4530" s="4" t="s">
        <v>13</v>
      </c>
      <c r="C4530" s="4" t="n">
        <v>11</v>
      </c>
      <c r="D4530" s="4" t="n">
        <v>18</v>
      </c>
      <c r="E4530" s="4" t="s">
        <v>3808</v>
      </c>
      <c r="F4530" s="4" t="n">
        <v>8</v>
      </c>
      <c r="G4530" s="4" t="n">
        <v>10</v>
      </c>
      <c r="H4530" s="4" t="n">
        <v>4</v>
      </c>
      <c r="I4530" s="4" t="str">
        <v>×</v>
      </c>
      <c r="J4530" s="4"/>
      <c r="K4530" s="4"/>
      <c r="L4530" s="4"/>
      <c r="M4530" s="7" t="s">
        <v>3577</v>
      </c>
    </row>
    <row r="4531" customFormat="false" ht="15.75" hidden="false" customHeight="false" outlineLevel="0" collapsed="false">
      <c r="A4531" s="3" t="n">
        <v>46235</v>
      </c>
      <c r="B4531" s="4" t="s">
        <v>13</v>
      </c>
      <c r="C4531" s="4" t="n">
        <v>12</v>
      </c>
      <c r="D4531" s="4" t="n">
        <v>1</v>
      </c>
      <c r="E4531" s="4" t="s">
        <v>1638</v>
      </c>
      <c r="F4531" s="4" t="n">
        <v>6</v>
      </c>
      <c r="G4531" s="4" t="n">
        <v>12</v>
      </c>
      <c r="H4531" s="4" t="n">
        <v>4</v>
      </c>
      <c r="I4531" s="4" t="str">
        <v>×</v>
      </c>
      <c r="J4531" s="4"/>
      <c r="K4531" s="4"/>
      <c r="L4531" s="4"/>
      <c r="M4531" s="7" t="s">
        <v>3577</v>
      </c>
    </row>
    <row r="4532" customFormat="false" ht="15.75" hidden="false" customHeight="false" outlineLevel="0" collapsed="false">
      <c r="A4532" s="3" t="n">
        <v>46235</v>
      </c>
      <c r="B4532" s="4" t="s">
        <v>13</v>
      </c>
      <c r="C4532" s="4" t="n">
        <v>12</v>
      </c>
      <c r="D4532" s="4" t="n">
        <v>2</v>
      </c>
      <c r="E4532" s="4" t="s">
        <v>3809</v>
      </c>
      <c r="F4532" s="4" t="n">
        <v>37</v>
      </c>
      <c r="G4532" s="4" t="n">
        <v>3</v>
      </c>
      <c r="H4532" s="4" t="n">
        <v>4</v>
      </c>
      <c r="I4532" s="4" t="str">
        <v>×</v>
      </c>
      <c r="J4532" s="4"/>
      <c r="K4532" s="4"/>
      <c r="L4532" s="4"/>
      <c r="M4532" s="7" t="s">
        <v>3577</v>
      </c>
    </row>
    <row r="4533" customFormat="false" ht="15.75" hidden="false" customHeight="false" outlineLevel="0" collapsed="false">
      <c r="A4533" s="3" t="n">
        <v>46235</v>
      </c>
      <c r="B4533" s="4" t="s">
        <v>13</v>
      </c>
      <c r="C4533" s="4" t="n">
        <v>12</v>
      </c>
      <c r="D4533" s="4" t="n">
        <v>3</v>
      </c>
      <c r="E4533" s="4" t="s">
        <v>1542</v>
      </c>
      <c r="F4533" s="4" t="n">
        <v>13</v>
      </c>
      <c r="G4533" s="4" t="n">
        <v>8</v>
      </c>
      <c r="H4533" s="4" t="n">
        <v>4</v>
      </c>
      <c r="I4533" s="4" t="str">
        <v>×</v>
      </c>
      <c r="J4533" s="4"/>
      <c r="K4533" s="4"/>
      <c r="L4533" s="4"/>
      <c r="M4533" s="7" t="s">
        <v>3577</v>
      </c>
    </row>
    <row r="4534" customFormat="false" ht="15.75" hidden="false" customHeight="false" outlineLevel="0" collapsed="false">
      <c r="A4534" s="3" t="n">
        <v>46235</v>
      </c>
      <c r="B4534" s="4" t="s">
        <v>13</v>
      </c>
      <c r="C4534" s="4" t="n">
        <v>12</v>
      </c>
      <c r="D4534" s="4" t="n">
        <v>4</v>
      </c>
      <c r="E4534" s="4" t="s">
        <v>956</v>
      </c>
      <c r="F4534" s="4" t="n">
        <v>13</v>
      </c>
      <c r="G4534" s="4" t="n">
        <v>8</v>
      </c>
      <c r="H4534" s="4" t="n">
        <v>4</v>
      </c>
      <c r="I4534" s="4" t="str">
        <v>×</v>
      </c>
      <c r="J4534" s="4"/>
      <c r="K4534" s="4"/>
      <c r="L4534" s="4"/>
      <c r="M4534" s="7" t="s">
        <v>3577</v>
      </c>
    </row>
    <row r="4535" customFormat="false" ht="15.75" hidden="false" customHeight="false" outlineLevel="0" collapsed="false">
      <c r="A4535" s="3" t="n">
        <v>46235</v>
      </c>
      <c r="B4535" s="4" t="s">
        <v>13</v>
      </c>
      <c r="C4535" s="4" t="n">
        <v>12</v>
      </c>
      <c r="D4535" s="4" t="n">
        <v>5</v>
      </c>
      <c r="E4535" s="4" t="s">
        <v>1020</v>
      </c>
      <c r="F4535" s="4" t="n">
        <v>10</v>
      </c>
      <c r="G4535" s="4" t="n">
        <v>11</v>
      </c>
      <c r="H4535" s="4" t="n">
        <v>4</v>
      </c>
      <c r="I4535" s="4" t="str">
        <v>×</v>
      </c>
      <c r="J4535" s="4"/>
      <c r="K4535" s="4"/>
      <c r="L4535" s="4"/>
      <c r="M4535" s="7" t="s">
        <v>3577</v>
      </c>
    </row>
    <row r="4536" customFormat="false" ht="15.75" hidden="false" customHeight="false" outlineLevel="0" collapsed="false">
      <c r="A4536" s="3" t="n">
        <v>46235</v>
      </c>
      <c r="B4536" s="4" t="s">
        <v>13</v>
      </c>
      <c r="C4536" s="4" t="n">
        <v>12</v>
      </c>
      <c r="D4536" s="4" t="n">
        <v>6</v>
      </c>
      <c r="E4536" s="4" t="s">
        <v>2372</v>
      </c>
      <c r="F4536" s="4" t="n">
        <v>47</v>
      </c>
      <c r="G4536" s="4" t="n">
        <v>1</v>
      </c>
      <c r="H4536" s="4" t="n">
        <v>2</v>
      </c>
      <c r="I4536" s="4" t="str">
        <v>○</v>
      </c>
      <c r="J4536" s="4" t="n">
        <v>310</v>
      </c>
      <c r="K4536" s="4"/>
      <c r="L4536" s="4"/>
      <c r="M4536" s="7" t="s">
        <v>3577</v>
      </c>
    </row>
    <row r="4537" customFormat="false" ht="15.75" hidden="false" customHeight="false" outlineLevel="0" collapsed="false">
      <c r="A4537" s="3" t="n">
        <v>46235</v>
      </c>
      <c r="B4537" s="4" t="s">
        <v>13</v>
      </c>
      <c r="C4537" s="4" t="n">
        <v>12</v>
      </c>
      <c r="D4537" s="4" t="n">
        <v>7</v>
      </c>
      <c r="E4537" s="4" t="s">
        <v>2805</v>
      </c>
      <c r="F4537" s="4" t="n">
        <v>23</v>
      </c>
      <c r="G4537" s="4" t="n">
        <v>7</v>
      </c>
      <c r="H4537" s="4" t="n">
        <v>1</v>
      </c>
      <c r="I4537" s="4" t="str">
        <v>○</v>
      </c>
      <c r="J4537" s="4" t="n">
        <v>210</v>
      </c>
      <c r="K4537" s="4"/>
      <c r="L4537" s="4"/>
      <c r="M4537" s="7" t="s">
        <v>3577</v>
      </c>
    </row>
    <row r="4538" customFormat="false" ht="15.75" hidden="false" customHeight="false" outlineLevel="0" collapsed="false">
      <c r="A4538" s="3" t="n">
        <v>46235</v>
      </c>
      <c r="B4538" s="4" t="s">
        <v>13</v>
      </c>
      <c r="C4538" s="4" t="n">
        <v>12</v>
      </c>
      <c r="D4538" s="4" t="n">
        <v>8</v>
      </c>
      <c r="E4538" s="4" t="s">
        <v>3810</v>
      </c>
      <c r="F4538" s="4" t="n">
        <v>41</v>
      </c>
      <c r="G4538" s="4" t="n">
        <v>2</v>
      </c>
      <c r="H4538" s="4" t="n">
        <v>3</v>
      </c>
      <c r="I4538" s="4" t="str">
        <v>○</v>
      </c>
      <c r="J4538" s="4" t="n">
        <v>290</v>
      </c>
      <c r="K4538" s="4"/>
      <c r="L4538" s="4"/>
      <c r="M4538" s="7" t="s">
        <v>3577</v>
      </c>
    </row>
    <row r="4539" customFormat="false" ht="15.75" hidden="false" customHeight="false" outlineLevel="0" collapsed="false">
      <c r="A4539" s="3" t="n">
        <v>46235</v>
      </c>
      <c r="B4539" s="4" t="s">
        <v>13</v>
      </c>
      <c r="C4539" s="4" t="n">
        <v>12</v>
      </c>
      <c r="D4539" s="4" t="n">
        <v>9</v>
      </c>
      <c r="E4539" s="4" t="s">
        <v>607</v>
      </c>
      <c r="F4539" s="4" t="n">
        <v>4</v>
      </c>
      <c r="G4539" s="4" t="n">
        <v>14</v>
      </c>
      <c r="H4539" s="4" t="n">
        <v>4</v>
      </c>
      <c r="I4539" s="4" t="str">
        <v>×</v>
      </c>
      <c r="J4539" s="4"/>
      <c r="K4539" s="4"/>
      <c r="L4539" s="4"/>
      <c r="M4539" s="7" t="s">
        <v>3577</v>
      </c>
    </row>
    <row r="4540" customFormat="false" ht="15.75" hidden="false" customHeight="false" outlineLevel="0" collapsed="false">
      <c r="A4540" s="3" t="n">
        <v>46235</v>
      </c>
      <c r="B4540" s="4" t="s">
        <v>13</v>
      </c>
      <c r="C4540" s="4" t="n">
        <v>12</v>
      </c>
      <c r="D4540" s="4" t="n">
        <v>10</v>
      </c>
      <c r="E4540" s="4" t="s">
        <v>950</v>
      </c>
      <c r="F4540" s="4" t="n">
        <v>1</v>
      </c>
      <c r="G4540" s="4" t="n">
        <v>15</v>
      </c>
      <c r="H4540" s="4" t="n">
        <v>4</v>
      </c>
      <c r="I4540" s="4" t="str">
        <v>×</v>
      </c>
      <c r="J4540" s="4"/>
      <c r="K4540" s="4"/>
      <c r="L4540" s="4"/>
      <c r="M4540" s="7" t="s">
        <v>3577</v>
      </c>
    </row>
    <row r="4541" customFormat="false" ht="15.75" hidden="false" customHeight="false" outlineLevel="0" collapsed="false">
      <c r="A4541" s="3" t="n">
        <v>46235</v>
      </c>
      <c r="B4541" s="4" t="s">
        <v>13</v>
      </c>
      <c r="C4541" s="4" t="n">
        <v>12</v>
      </c>
      <c r="D4541" s="4" t="n">
        <v>11</v>
      </c>
      <c r="E4541" s="4" t="s">
        <v>3811</v>
      </c>
      <c r="F4541" s="4" t="n">
        <v>37</v>
      </c>
      <c r="G4541" s="4" t="n">
        <v>3</v>
      </c>
      <c r="H4541" s="4" t="n">
        <v>4</v>
      </c>
      <c r="I4541" s="4" t="str">
        <v>×</v>
      </c>
      <c r="J4541" s="4"/>
      <c r="K4541" s="4"/>
      <c r="L4541" s="4"/>
      <c r="M4541" s="7" t="s">
        <v>3577</v>
      </c>
    </row>
    <row r="4542" customFormat="false" ht="15.75" hidden="false" customHeight="false" outlineLevel="0" collapsed="false">
      <c r="A4542" s="3" t="n">
        <v>46235</v>
      </c>
      <c r="B4542" s="4" t="s">
        <v>13</v>
      </c>
      <c r="C4542" s="4" t="n">
        <v>12</v>
      </c>
      <c r="D4542" s="4" t="n">
        <v>12</v>
      </c>
      <c r="E4542" s="4" t="s">
        <v>502</v>
      </c>
      <c r="F4542" s="4" t="n">
        <v>13</v>
      </c>
      <c r="G4542" s="4" t="n">
        <v>8</v>
      </c>
      <c r="H4542" s="4" t="n">
        <v>4</v>
      </c>
      <c r="I4542" s="4" t="str">
        <v>×</v>
      </c>
      <c r="J4542" s="4"/>
      <c r="K4542" s="4"/>
      <c r="L4542" s="4"/>
      <c r="M4542" s="7" t="s">
        <v>3577</v>
      </c>
    </row>
    <row r="4543" customFormat="false" ht="15.75" hidden="false" customHeight="false" outlineLevel="0" collapsed="false">
      <c r="A4543" s="3" t="n">
        <v>46235</v>
      </c>
      <c r="B4543" s="4" t="s">
        <v>13</v>
      </c>
      <c r="C4543" s="4" t="n">
        <v>12</v>
      </c>
      <c r="D4543" s="4" t="n">
        <v>13</v>
      </c>
      <c r="E4543" s="4" t="s">
        <v>3812</v>
      </c>
      <c r="F4543" s="4" t="n">
        <v>6</v>
      </c>
      <c r="G4543" s="4" t="n">
        <v>12</v>
      </c>
      <c r="H4543" s="4" t="n">
        <v>4</v>
      </c>
      <c r="I4543" s="4" t="str">
        <v>×</v>
      </c>
      <c r="J4543" s="4"/>
      <c r="K4543" s="4"/>
      <c r="L4543" s="4"/>
      <c r="M4543" s="7" t="s">
        <v>3577</v>
      </c>
    </row>
    <row r="4544" customFormat="false" ht="15.75" hidden="false" customHeight="false" outlineLevel="0" collapsed="false">
      <c r="A4544" s="3" t="n">
        <v>46235</v>
      </c>
      <c r="B4544" s="4" t="s">
        <v>13</v>
      </c>
      <c r="C4544" s="4" t="n">
        <v>12</v>
      </c>
      <c r="D4544" s="4" t="n">
        <v>14</v>
      </c>
      <c r="E4544" s="4" t="s">
        <v>3813</v>
      </c>
      <c r="F4544" s="4" t="n">
        <v>25</v>
      </c>
      <c r="G4544" s="4" t="n">
        <v>5</v>
      </c>
      <c r="H4544" s="4" t="n">
        <v>4</v>
      </c>
      <c r="I4544" s="4" t="str">
        <v>×</v>
      </c>
      <c r="J4544" s="4"/>
      <c r="K4544" s="4"/>
      <c r="L4544" s="4"/>
      <c r="M4544" s="7" t="s">
        <v>3577</v>
      </c>
    </row>
    <row r="4545" customFormat="false" ht="15.75" hidden="false" customHeight="false" outlineLevel="0" collapsed="false">
      <c r="A4545" s="3" t="n">
        <v>46235</v>
      </c>
      <c r="B4545" s="4" t="s">
        <v>13</v>
      </c>
      <c r="C4545" s="4" t="n">
        <v>12</v>
      </c>
      <c r="D4545" s="4" t="n">
        <v>15</v>
      </c>
      <c r="E4545" s="4" t="s">
        <v>2616</v>
      </c>
      <c r="F4545" s="4" t="n">
        <v>1</v>
      </c>
      <c r="G4545" s="4" t="n">
        <v>15</v>
      </c>
      <c r="H4545" s="4" t="n">
        <v>4</v>
      </c>
      <c r="I4545" s="4" t="str">
        <v>×</v>
      </c>
      <c r="J4545" s="4"/>
      <c r="K4545" s="4"/>
      <c r="L4545" s="4"/>
      <c r="M4545" s="7" t="s">
        <v>3577</v>
      </c>
    </row>
    <row r="4546" customFormat="false" ht="15.75" hidden="false" customHeight="false" outlineLevel="0" collapsed="false">
      <c r="A4546" s="3" t="n">
        <v>46235</v>
      </c>
      <c r="B4546" s="4" t="s">
        <v>13</v>
      </c>
      <c r="C4546" s="4" t="n">
        <v>12</v>
      </c>
      <c r="D4546" s="4" t="n">
        <v>16</v>
      </c>
      <c r="E4546" s="4" t="s">
        <v>3006</v>
      </c>
      <c r="F4546" s="4" t="n">
        <v>25</v>
      </c>
      <c r="G4546" s="4" t="n">
        <v>5</v>
      </c>
      <c r="H4546" s="4" t="n">
        <v>4</v>
      </c>
      <c r="I4546" s="4" t="str">
        <v>×</v>
      </c>
      <c r="J4546" s="4"/>
      <c r="K4546" s="4"/>
      <c r="L4546" s="4"/>
      <c r="M4546" s="7" t="s">
        <v>3577</v>
      </c>
    </row>
    <row r="4547" customFormat="false" ht="15.75" hidden="false" customHeight="false" outlineLevel="0" collapsed="false">
      <c r="A4547" s="3" t="n">
        <v>46235</v>
      </c>
      <c r="B4547" s="4" t="s">
        <v>13</v>
      </c>
      <c r="C4547" s="4" t="n">
        <v>12</v>
      </c>
      <c r="D4547" s="4" t="n">
        <v>17</v>
      </c>
      <c r="E4547" s="4" t="s">
        <v>2949</v>
      </c>
      <c r="F4547" s="4" t="n">
        <v>1</v>
      </c>
      <c r="G4547" s="4" t="n">
        <v>15</v>
      </c>
      <c r="H4547" s="4" t="n">
        <v>4</v>
      </c>
      <c r="I4547" s="4" t="str">
        <v>×</v>
      </c>
      <c r="J4547" s="4"/>
      <c r="K4547" s="4"/>
      <c r="L4547" s="4"/>
      <c r="M4547" s="7" t="s">
        <v>3577</v>
      </c>
    </row>
    <row r="4548" customFormat="false" ht="15.75" hidden="false" customHeight="false" outlineLevel="0" collapsed="false">
      <c r="A4548" s="3" t="n">
        <v>46235</v>
      </c>
      <c r="B4548" s="4" t="s">
        <v>334</v>
      </c>
      <c r="C4548" s="4" t="n">
        <v>1</v>
      </c>
      <c r="D4548" s="4" t="n">
        <v>1</v>
      </c>
      <c r="E4548" s="4" t="s">
        <v>2565</v>
      </c>
      <c r="F4548" s="4" t="n">
        <v>44</v>
      </c>
      <c r="G4548" s="4" t="n">
        <v>4</v>
      </c>
      <c r="H4548" s="4" t="n">
        <v>4</v>
      </c>
      <c r="I4548" s="4" t="str">
        <v>×</v>
      </c>
      <c r="J4548" s="4"/>
      <c r="K4548" s="4"/>
      <c r="L4548" s="4"/>
      <c r="M4548" s="7" t="s">
        <v>3577</v>
      </c>
    </row>
    <row r="4549" customFormat="false" ht="15.75" hidden="false" customHeight="false" outlineLevel="0" collapsed="false">
      <c r="A4549" s="3" t="n">
        <v>46235</v>
      </c>
      <c r="B4549" s="4" t="s">
        <v>334</v>
      </c>
      <c r="C4549" s="4" t="n">
        <v>1</v>
      </c>
      <c r="D4549" s="4" t="n">
        <v>2</v>
      </c>
      <c r="E4549" s="4" t="s">
        <v>3814</v>
      </c>
      <c r="F4549" s="4" t="n">
        <v>20</v>
      </c>
      <c r="G4549" s="4" t="n">
        <v>5</v>
      </c>
      <c r="H4549" s="4" t="n">
        <v>4</v>
      </c>
      <c r="I4549" s="4" t="str">
        <v>×</v>
      </c>
      <c r="J4549" s="4"/>
      <c r="K4549" s="4"/>
      <c r="L4549" s="4"/>
      <c r="M4549" s="7" t="s">
        <v>3577</v>
      </c>
    </row>
    <row r="4550" customFormat="false" ht="15.75" hidden="false" customHeight="false" outlineLevel="0" collapsed="false">
      <c r="A4550" s="3" t="n">
        <v>46235</v>
      </c>
      <c r="B4550" s="4" t="s">
        <v>334</v>
      </c>
      <c r="C4550" s="4" t="n">
        <v>1</v>
      </c>
      <c r="D4550" s="4" t="n">
        <v>3</v>
      </c>
      <c r="E4550" s="4" t="s">
        <v>2451</v>
      </c>
      <c r="F4550" s="4" t="n">
        <v>56</v>
      </c>
      <c r="G4550" s="4" t="n">
        <v>2</v>
      </c>
      <c r="H4550" s="4" t="n">
        <v>3</v>
      </c>
      <c r="I4550" s="4" t="str">
        <v>○</v>
      </c>
      <c r="J4550" s="4" t="n">
        <v>200</v>
      </c>
      <c r="K4550" s="4"/>
      <c r="L4550" s="4"/>
      <c r="M4550" s="7" t="s">
        <v>3577</v>
      </c>
    </row>
    <row r="4551" customFormat="false" ht="15.75" hidden="false" customHeight="false" outlineLevel="0" collapsed="false">
      <c r="A4551" s="3" t="n">
        <v>46235</v>
      </c>
      <c r="B4551" s="4" t="s">
        <v>334</v>
      </c>
      <c r="C4551" s="4" t="n">
        <v>1</v>
      </c>
      <c r="D4551" s="4" t="n">
        <v>4</v>
      </c>
      <c r="E4551" s="4" t="s">
        <v>1257</v>
      </c>
      <c r="F4551" s="4" t="n">
        <v>15</v>
      </c>
      <c r="G4551" s="4" t="n">
        <v>8</v>
      </c>
      <c r="H4551" s="4" t="n">
        <v>4</v>
      </c>
      <c r="I4551" s="4" t="str">
        <v>×</v>
      </c>
      <c r="J4551" s="4"/>
      <c r="K4551" s="4"/>
      <c r="L4551" s="4"/>
      <c r="M4551" s="7" t="s">
        <v>3577</v>
      </c>
    </row>
    <row r="4552" customFormat="false" ht="15.75" hidden="false" customHeight="false" outlineLevel="0" collapsed="false">
      <c r="A4552" s="3" t="n">
        <v>46235</v>
      </c>
      <c r="B4552" s="4" t="s">
        <v>334</v>
      </c>
      <c r="C4552" s="4" t="n">
        <v>1</v>
      </c>
      <c r="D4552" s="4" t="n">
        <v>5</v>
      </c>
      <c r="E4552" s="4" t="s">
        <v>3815</v>
      </c>
      <c r="F4552" s="4" t="n">
        <v>10</v>
      </c>
      <c r="G4552" s="4" t="n">
        <v>9</v>
      </c>
      <c r="H4552" s="4" t="n">
        <v>2</v>
      </c>
      <c r="I4552" s="4" t="str">
        <v>○</v>
      </c>
      <c r="J4552" s="4" t="n">
        <v>420</v>
      </c>
      <c r="K4552" s="4"/>
      <c r="L4552" s="4"/>
      <c r="M4552" s="7" t="s">
        <v>3577</v>
      </c>
    </row>
    <row r="4553" customFormat="false" ht="15.75" hidden="false" customHeight="false" outlineLevel="0" collapsed="false">
      <c r="A4553" s="3" t="n">
        <v>46235</v>
      </c>
      <c r="B4553" s="4" t="s">
        <v>334</v>
      </c>
      <c r="C4553" s="4" t="n">
        <v>1</v>
      </c>
      <c r="D4553" s="4" t="n">
        <v>6</v>
      </c>
      <c r="E4553" s="4" t="s">
        <v>2559</v>
      </c>
      <c r="F4553" s="4" t="n">
        <v>17</v>
      </c>
      <c r="G4553" s="4" t="n">
        <v>7</v>
      </c>
      <c r="H4553" s="4" t="n">
        <v>4</v>
      </c>
      <c r="I4553" s="4" t="str">
        <v>×</v>
      </c>
      <c r="J4553" s="4"/>
      <c r="K4553" s="4"/>
      <c r="L4553" s="4"/>
      <c r="M4553" s="7" t="s">
        <v>3577</v>
      </c>
    </row>
    <row r="4554" customFormat="false" ht="15.75" hidden="false" customHeight="false" outlineLevel="0" collapsed="false">
      <c r="A4554" s="3" t="n">
        <v>46235</v>
      </c>
      <c r="B4554" s="4" t="s">
        <v>334</v>
      </c>
      <c r="C4554" s="4" t="n">
        <v>1</v>
      </c>
      <c r="D4554" s="4" t="n">
        <v>7</v>
      </c>
      <c r="E4554" s="4" t="s">
        <v>1252</v>
      </c>
      <c r="F4554" s="4" t="n">
        <v>47</v>
      </c>
      <c r="G4554" s="4" t="n">
        <v>3</v>
      </c>
      <c r="H4554" s="4" t="n">
        <v>1</v>
      </c>
      <c r="I4554" s="4" t="str">
        <v>○</v>
      </c>
      <c r="J4554" s="4" t="n">
        <v>150</v>
      </c>
      <c r="K4554" s="4"/>
      <c r="L4554" s="4"/>
      <c r="M4554" s="7" t="s">
        <v>3577</v>
      </c>
    </row>
    <row r="4555" customFormat="false" ht="15.75" hidden="false" customHeight="false" outlineLevel="0" collapsed="false">
      <c r="A4555" s="3" t="n">
        <v>46235</v>
      </c>
      <c r="B4555" s="4" t="s">
        <v>334</v>
      </c>
      <c r="C4555" s="4" t="n">
        <v>1</v>
      </c>
      <c r="D4555" s="4" t="n">
        <v>8</v>
      </c>
      <c r="E4555" s="4" t="s">
        <v>3816</v>
      </c>
      <c r="F4555" s="4" t="n">
        <v>8</v>
      </c>
      <c r="G4555" s="4" t="n">
        <v>10</v>
      </c>
      <c r="H4555" s="4" t="n">
        <v>4</v>
      </c>
      <c r="I4555" s="4" t="str">
        <v>×</v>
      </c>
      <c r="J4555" s="4"/>
      <c r="K4555" s="4"/>
      <c r="L4555" s="4"/>
      <c r="M4555" s="7" t="s">
        <v>3577</v>
      </c>
    </row>
    <row r="4556" customFormat="false" ht="15.75" hidden="false" customHeight="false" outlineLevel="0" collapsed="false">
      <c r="A4556" s="3" t="n">
        <v>46235</v>
      </c>
      <c r="B4556" s="4" t="s">
        <v>334</v>
      </c>
      <c r="C4556" s="4" t="n">
        <v>1</v>
      </c>
      <c r="D4556" s="4" t="n">
        <v>9</v>
      </c>
      <c r="E4556" s="4" t="s">
        <v>1255</v>
      </c>
      <c r="F4556" s="4" t="n">
        <v>20</v>
      </c>
      <c r="G4556" s="4" t="n">
        <v>5</v>
      </c>
      <c r="H4556" s="4" t="n">
        <v>4</v>
      </c>
      <c r="I4556" s="4" t="str">
        <v>×</v>
      </c>
      <c r="J4556" s="4"/>
      <c r="K4556" s="4"/>
      <c r="L4556" s="4"/>
      <c r="M4556" s="7" t="s">
        <v>3577</v>
      </c>
    </row>
    <row r="4557" customFormat="false" ht="15.75" hidden="false" customHeight="false" outlineLevel="0" collapsed="false">
      <c r="A4557" s="3" t="n">
        <v>46235</v>
      </c>
      <c r="B4557" s="4" t="s">
        <v>334</v>
      </c>
      <c r="C4557" s="4" t="n">
        <v>1</v>
      </c>
      <c r="D4557" s="4" t="n">
        <v>10</v>
      </c>
      <c r="E4557" s="4" t="s">
        <v>3817</v>
      </c>
      <c r="F4557" s="4" t="n">
        <v>3</v>
      </c>
      <c r="G4557" s="4" t="n">
        <v>11</v>
      </c>
      <c r="H4557" s="4" t="n">
        <v>4</v>
      </c>
      <c r="I4557" s="4" t="str">
        <v>×</v>
      </c>
      <c r="J4557" s="4"/>
      <c r="K4557" s="4"/>
      <c r="L4557" s="4"/>
      <c r="M4557" s="7" t="s">
        <v>3577</v>
      </c>
    </row>
    <row r="4558" customFormat="false" ht="15.75" hidden="false" customHeight="false" outlineLevel="0" collapsed="false">
      <c r="A4558" s="3" t="n">
        <v>46235</v>
      </c>
      <c r="B4558" s="4" t="s">
        <v>334</v>
      </c>
      <c r="C4558" s="4" t="n">
        <v>1</v>
      </c>
      <c r="D4558" s="4" t="n">
        <v>11</v>
      </c>
      <c r="E4558" s="4" t="s">
        <v>1729</v>
      </c>
      <c r="F4558" s="4" t="n">
        <v>60</v>
      </c>
      <c r="G4558" s="4" t="n">
        <v>1</v>
      </c>
      <c r="H4558" s="4" t="n">
        <v>4</v>
      </c>
      <c r="I4558" s="4" t="str">
        <v>×</v>
      </c>
      <c r="J4558" s="4"/>
      <c r="K4558" s="4"/>
      <c r="L4558" s="4"/>
      <c r="M4558" s="7" t="s">
        <v>3577</v>
      </c>
    </row>
    <row r="4559" customFormat="false" ht="15.75" hidden="false" customHeight="false" outlineLevel="0" collapsed="false">
      <c r="A4559" s="3" t="n">
        <v>46235</v>
      </c>
      <c r="B4559" s="4" t="s">
        <v>334</v>
      </c>
      <c r="C4559" s="4" t="n">
        <v>1</v>
      </c>
      <c r="D4559" s="4" t="n">
        <v>12</v>
      </c>
      <c r="E4559" s="4" t="s">
        <v>3818</v>
      </c>
      <c r="F4559" s="4" t="n">
        <v>2</v>
      </c>
      <c r="G4559" s="4" t="n">
        <v>12</v>
      </c>
      <c r="H4559" s="4" t="n">
        <v>4</v>
      </c>
      <c r="I4559" s="4" t="str">
        <v>×</v>
      </c>
      <c r="J4559" s="4"/>
      <c r="K4559" s="4"/>
      <c r="L4559" s="4"/>
      <c r="M4559" s="7" t="s">
        <v>3577</v>
      </c>
    </row>
    <row r="4560" customFormat="false" ht="15.75" hidden="false" customHeight="false" outlineLevel="0" collapsed="false">
      <c r="A4560" s="3" t="n">
        <v>46235</v>
      </c>
      <c r="B4560" s="4" t="s">
        <v>334</v>
      </c>
      <c r="C4560" s="4" t="n">
        <v>2</v>
      </c>
      <c r="D4560" s="4" t="n">
        <v>1</v>
      </c>
      <c r="E4560" s="4" t="s">
        <v>1776</v>
      </c>
      <c r="F4560" s="4" t="n">
        <v>12</v>
      </c>
      <c r="G4560" s="4" t="n">
        <v>9</v>
      </c>
      <c r="H4560" s="4" t="n">
        <v>4</v>
      </c>
      <c r="I4560" s="4" t="str">
        <v>×</v>
      </c>
      <c r="J4560" s="4"/>
      <c r="K4560" s="4"/>
      <c r="L4560" s="4"/>
      <c r="M4560" s="7" t="s">
        <v>3577</v>
      </c>
    </row>
    <row r="4561" customFormat="false" ht="15.75" hidden="false" customHeight="false" outlineLevel="0" collapsed="false">
      <c r="A4561" s="3" t="n">
        <v>46235</v>
      </c>
      <c r="B4561" s="4" t="s">
        <v>334</v>
      </c>
      <c r="C4561" s="4" t="n">
        <v>2</v>
      </c>
      <c r="D4561" s="4" t="n">
        <v>2</v>
      </c>
      <c r="E4561" s="4" t="s">
        <v>1898</v>
      </c>
      <c r="F4561" s="4" t="n">
        <v>58</v>
      </c>
      <c r="G4561" s="4" t="n">
        <v>1</v>
      </c>
      <c r="H4561" s="4" t="n">
        <v>3</v>
      </c>
      <c r="I4561" s="4" t="str">
        <v>○</v>
      </c>
      <c r="J4561" s="4" t="n">
        <v>140</v>
      </c>
      <c r="K4561" s="4"/>
      <c r="L4561" s="4"/>
      <c r="M4561" s="7" t="s">
        <v>3577</v>
      </c>
    </row>
    <row r="4562" customFormat="false" ht="15.75" hidden="false" customHeight="false" outlineLevel="0" collapsed="false">
      <c r="A4562" s="3" t="n">
        <v>46235</v>
      </c>
      <c r="B4562" s="4" t="s">
        <v>334</v>
      </c>
      <c r="C4562" s="4" t="n">
        <v>2</v>
      </c>
      <c r="D4562" s="4" t="n">
        <v>3</v>
      </c>
      <c r="E4562" s="4" t="s">
        <v>1771</v>
      </c>
      <c r="F4562" s="4" t="n">
        <v>23</v>
      </c>
      <c r="G4562" s="4" t="n">
        <v>6</v>
      </c>
      <c r="H4562" s="4" t="n">
        <v>4</v>
      </c>
      <c r="I4562" s="4" t="str">
        <v>×</v>
      </c>
      <c r="J4562" s="4"/>
      <c r="K4562" s="4"/>
      <c r="L4562" s="4"/>
      <c r="M4562" s="7" t="s">
        <v>3577</v>
      </c>
    </row>
    <row r="4563" customFormat="false" ht="15.75" hidden="false" customHeight="false" outlineLevel="0" collapsed="false">
      <c r="A4563" s="3" t="n">
        <v>46235</v>
      </c>
      <c r="B4563" s="4" t="s">
        <v>334</v>
      </c>
      <c r="C4563" s="4" t="n">
        <v>2</v>
      </c>
      <c r="D4563" s="4" t="n">
        <v>4</v>
      </c>
      <c r="E4563" s="4" t="s">
        <v>2605</v>
      </c>
      <c r="F4563" s="4" t="n">
        <v>47</v>
      </c>
      <c r="G4563" s="4" t="n">
        <v>2</v>
      </c>
      <c r="H4563" s="4" t="n">
        <v>2</v>
      </c>
      <c r="I4563" s="4" t="str">
        <v>○</v>
      </c>
      <c r="J4563" s="4" t="n">
        <v>140</v>
      </c>
      <c r="K4563" s="4"/>
      <c r="L4563" s="4"/>
      <c r="M4563" s="7" t="s">
        <v>3577</v>
      </c>
    </row>
    <row r="4564" customFormat="false" ht="15.75" hidden="false" customHeight="false" outlineLevel="0" collapsed="false">
      <c r="A4564" s="3" t="n">
        <v>46235</v>
      </c>
      <c r="B4564" s="4" t="s">
        <v>334</v>
      </c>
      <c r="C4564" s="4" t="n">
        <v>2</v>
      </c>
      <c r="D4564" s="4" t="n">
        <v>5</v>
      </c>
      <c r="E4564" s="4" t="s">
        <v>1241</v>
      </c>
      <c r="F4564" s="4" t="n">
        <v>25</v>
      </c>
      <c r="G4564" s="4" t="n">
        <v>5</v>
      </c>
      <c r="H4564" s="4" t="n">
        <v>4</v>
      </c>
      <c r="I4564" s="4" t="str">
        <v>×</v>
      </c>
      <c r="J4564" s="4"/>
      <c r="K4564" s="4"/>
      <c r="L4564" s="4"/>
      <c r="M4564" s="7" t="s">
        <v>3577</v>
      </c>
    </row>
    <row r="4565" customFormat="false" ht="15.75" hidden="false" customHeight="false" outlineLevel="0" collapsed="false">
      <c r="A4565" s="3" t="n">
        <v>46235</v>
      </c>
      <c r="B4565" s="4" t="s">
        <v>334</v>
      </c>
      <c r="C4565" s="4" t="n">
        <v>2</v>
      </c>
      <c r="D4565" s="4" t="n">
        <v>6</v>
      </c>
      <c r="E4565" s="4" t="s">
        <v>2599</v>
      </c>
      <c r="F4565" s="4" t="n">
        <v>29</v>
      </c>
      <c r="G4565" s="4" t="n">
        <v>4</v>
      </c>
      <c r="H4565" s="4" t="n">
        <v>1</v>
      </c>
      <c r="I4565" s="4" t="str">
        <v>○</v>
      </c>
      <c r="J4565" s="4" t="n">
        <v>170</v>
      </c>
      <c r="K4565" s="4"/>
      <c r="L4565" s="4"/>
      <c r="M4565" s="7" t="s">
        <v>3577</v>
      </c>
    </row>
    <row r="4566" customFormat="false" ht="15.75" hidden="false" customHeight="false" outlineLevel="0" collapsed="false">
      <c r="A4566" s="3" t="n">
        <v>46235</v>
      </c>
      <c r="B4566" s="4" t="s">
        <v>334</v>
      </c>
      <c r="C4566" s="4" t="n">
        <v>2</v>
      </c>
      <c r="D4566" s="4" t="n">
        <v>7</v>
      </c>
      <c r="E4566" s="4" t="s">
        <v>3040</v>
      </c>
      <c r="F4566" s="4" t="n">
        <v>20</v>
      </c>
      <c r="G4566" s="4" t="n">
        <v>7</v>
      </c>
      <c r="H4566" s="4" t="n">
        <v>4</v>
      </c>
      <c r="I4566" s="4" t="str">
        <v>×</v>
      </c>
      <c r="J4566" s="4"/>
      <c r="K4566" s="4"/>
      <c r="L4566" s="4"/>
      <c r="M4566" s="7" t="s">
        <v>3577</v>
      </c>
    </row>
    <row r="4567" customFormat="false" ht="15.75" hidden="false" customHeight="false" outlineLevel="0" collapsed="false">
      <c r="A4567" s="3" t="n">
        <v>46235</v>
      </c>
      <c r="B4567" s="4" t="s">
        <v>334</v>
      </c>
      <c r="C4567" s="4" t="n">
        <v>2</v>
      </c>
      <c r="D4567" s="4" t="n">
        <v>8</v>
      </c>
      <c r="E4567" s="4" t="s">
        <v>2321</v>
      </c>
      <c r="F4567" s="4" t="n">
        <v>13</v>
      </c>
      <c r="G4567" s="4" t="n">
        <v>8</v>
      </c>
      <c r="H4567" s="4" t="n">
        <v>4</v>
      </c>
      <c r="I4567" s="4" t="str">
        <v>×</v>
      </c>
      <c r="J4567" s="4"/>
      <c r="K4567" s="4"/>
      <c r="L4567" s="4"/>
      <c r="M4567" s="7" t="s">
        <v>3577</v>
      </c>
    </row>
    <row r="4568" customFormat="false" ht="15.75" hidden="false" customHeight="false" outlineLevel="0" collapsed="false">
      <c r="A4568" s="3" t="n">
        <v>46235</v>
      </c>
      <c r="B4568" s="4" t="s">
        <v>334</v>
      </c>
      <c r="C4568" s="4" t="n">
        <v>2</v>
      </c>
      <c r="D4568" s="4" t="n">
        <v>9</v>
      </c>
      <c r="E4568" s="4" t="s">
        <v>2607</v>
      </c>
      <c r="F4568" s="4" t="n">
        <v>39</v>
      </c>
      <c r="G4568" s="4" t="n">
        <v>3</v>
      </c>
      <c r="H4568" s="4" t="n">
        <v>4</v>
      </c>
      <c r="I4568" s="4" t="str">
        <v>×</v>
      </c>
      <c r="J4568" s="4"/>
      <c r="K4568" s="4"/>
      <c r="L4568" s="4"/>
      <c r="M4568" s="7" t="s">
        <v>3577</v>
      </c>
    </row>
    <row r="4569" customFormat="false" ht="15.75" hidden="false" customHeight="false" outlineLevel="0" collapsed="false">
      <c r="A4569" s="3" t="n">
        <v>46235</v>
      </c>
      <c r="B4569" s="4" t="s">
        <v>334</v>
      </c>
      <c r="C4569" s="4" t="n">
        <v>3</v>
      </c>
      <c r="D4569" s="4" t="n">
        <v>1</v>
      </c>
      <c r="E4569" s="4" t="s">
        <v>3819</v>
      </c>
      <c r="F4569" s="4" t="n">
        <v>8</v>
      </c>
      <c r="G4569" s="4" t="n">
        <v>9</v>
      </c>
      <c r="H4569" s="4" t="n">
        <v>4</v>
      </c>
      <c r="I4569" s="4" t="str">
        <v>×</v>
      </c>
      <c r="J4569" s="4"/>
      <c r="K4569" s="4"/>
      <c r="L4569" s="4"/>
      <c r="M4569" s="7" t="s">
        <v>3577</v>
      </c>
    </row>
    <row r="4570" customFormat="false" ht="15.75" hidden="false" customHeight="false" outlineLevel="0" collapsed="false">
      <c r="A4570" s="3" t="n">
        <v>46235</v>
      </c>
      <c r="B4570" s="4" t="s">
        <v>334</v>
      </c>
      <c r="C4570" s="4" t="n">
        <v>3</v>
      </c>
      <c r="D4570" s="4" t="n">
        <v>2</v>
      </c>
      <c r="E4570" s="4" t="s">
        <v>3820</v>
      </c>
      <c r="F4570" s="4" t="n">
        <v>13</v>
      </c>
      <c r="G4570" s="4" t="n">
        <v>7</v>
      </c>
      <c r="H4570" s="4" t="n">
        <v>4</v>
      </c>
      <c r="I4570" s="4" t="str">
        <v>×</v>
      </c>
      <c r="J4570" s="4"/>
      <c r="K4570" s="4"/>
      <c r="L4570" s="4"/>
      <c r="M4570" s="7" t="s">
        <v>3577</v>
      </c>
    </row>
    <row r="4571" customFormat="false" ht="15.75" hidden="false" customHeight="false" outlineLevel="0" collapsed="false">
      <c r="A4571" s="3" t="n">
        <v>46235</v>
      </c>
      <c r="B4571" s="4" t="s">
        <v>334</v>
      </c>
      <c r="C4571" s="4" t="n">
        <v>3</v>
      </c>
      <c r="D4571" s="4" t="n">
        <v>3</v>
      </c>
      <c r="E4571" s="4" t="s">
        <v>2032</v>
      </c>
      <c r="F4571" s="4" t="n">
        <v>13</v>
      </c>
      <c r="G4571" s="4" t="n">
        <v>7</v>
      </c>
      <c r="H4571" s="4" t="n">
        <v>4</v>
      </c>
      <c r="I4571" s="4" t="str">
        <v>×</v>
      </c>
      <c r="J4571" s="4"/>
      <c r="K4571" s="4"/>
      <c r="L4571" s="4"/>
      <c r="M4571" s="7" t="s">
        <v>3577</v>
      </c>
    </row>
    <row r="4572" customFormat="false" ht="15.75" hidden="false" customHeight="false" outlineLevel="0" collapsed="false">
      <c r="A4572" s="3" t="n">
        <v>46235</v>
      </c>
      <c r="B4572" s="4" t="s">
        <v>334</v>
      </c>
      <c r="C4572" s="4" t="n">
        <v>3</v>
      </c>
      <c r="D4572" s="4" t="n">
        <v>4</v>
      </c>
      <c r="E4572" s="4" t="s">
        <v>2576</v>
      </c>
      <c r="F4572" s="4" t="n">
        <v>15</v>
      </c>
      <c r="G4572" s="4" t="n">
        <v>6</v>
      </c>
      <c r="H4572" s="4" t="n">
        <v>4</v>
      </c>
      <c r="I4572" s="4" t="str">
        <v>×</v>
      </c>
      <c r="J4572" s="4"/>
      <c r="K4572" s="4"/>
      <c r="L4572" s="4"/>
      <c r="M4572" s="7" t="s">
        <v>3577</v>
      </c>
    </row>
    <row r="4573" customFormat="false" ht="15.75" hidden="false" customHeight="false" outlineLevel="0" collapsed="false">
      <c r="A4573" s="3" t="n">
        <v>46235</v>
      </c>
      <c r="B4573" s="4" t="s">
        <v>334</v>
      </c>
      <c r="C4573" s="4" t="n">
        <v>3</v>
      </c>
      <c r="D4573" s="4" t="n">
        <v>5</v>
      </c>
      <c r="E4573" s="4" t="s">
        <v>3821</v>
      </c>
      <c r="F4573" s="4" t="n">
        <v>23</v>
      </c>
      <c r="G4573" s="4" t="n">
        <v>4</v>
      </c>
      <c r="H4573" s="4" t="n">
        <v>3</v>
      </c>
      <c r="I4573" s="4" t="str">
        <v>○</v>
      </c>
      <c r="J4573" s="4" t="n">
        <v>130</v>
      </c>
      <c r="K4573" s="4"/>
      <c r="L4573" s="4"/>
      <c r="M4573" s="7" t="s">
        <v>3577</v>
      </c>
    </row>
    <row r="4574" customFormat="false" ht="15.75" hidden="false" customHeight="false" outlineLevel="0" collapsed="false">
      <c r="A4574" s="3" t="n">
        <v>46235</v>
      </c>
      <c r="B4574" s="4" t="s">
        <v>334</v>
      </c>
      <c r="C4574" s="4" t="n">
        <v>3</v>
      </c>
      <c r="D4574" s="4" t="n">
        <v>6</v>
      </c>
      <c r="E4574" s="4" t="s">
        <v>2579</v>
      </c>
      <c r="F4574" s="4" t="n">
        <v>47</v>
      </c>
      <c r="G4574" s="4" t="n">
        <v>3</v>
      </c>
      <c r="H4574" s="4" t="n">
        <v>4</v>
      </c>
      <c r="I4574" s="4" t="str">
        <v>×</v>
      </c>
      <c r="J4574" s="4"/>
      <c r="K4574" s="4"/>
      <c r="L4574" s="4"/>
      <c r="M4574" s="7" t="s">
        <v>3577</v>
      </c>
    </row>
    <row r="4575" customFormat="false" ht="15.75" hidden="false" customHeight="false" outlineLevel="0" collapsed="false">
      <c r="A4575" s="3" t="n">
        <v>46235</v>
      </c>
      <c r="B4575" s="4" t="s">
        <v>334</v>
      </c>
      <c r="C4575" s="4" t="n">
        <v>3</v>
      </c>
      <c r="D4575" s="4" t="n">
        <v>7</v>
      </c>
      <c r="E4575" s="4" t="s">
        <v>360</v>
      </c>
      <c r="F4575" s="4" t="n">
        <v>6</v>
      </c>
      <c r="G4575" s="4" t="n">
        <v>11</v>
      </c>
      <c r="H4575" s="4" t="n">
        <v>4</v>
      </c>
      <c r="I4575" s="4" t="str">
        <v>×</v>
      </c>
      <c r="J4575" s="4"/>
      <c r="K4575" s="4"/>
      <c r="L4575" s="4"/>
      <c r="M4575" s="7" t="s">
        <v>3577</v>
      </c>
    </row>
    <row r="4576" customFormat="false" ht="15.75" hidden="false" customHeight="false" outlineLevel="0" collapsed="false">
      <c r="A4576" s="3" t="n">
        <v>46235</v>
      </c>
      <c r="B4576" s="4" t="s">
        <v>334</v>
      </c>
      <c r="C4576" s="4" t="n">
        <v>3</v>
      </c>
      <c r="D4576" s="4" t="n">
        <v>8</v>
      </c>
      <c r="E4576" s="4" t="s">
        <v>1146</v>
      </c>
      <c r="F4576" s="4" t="n">
        <v>71</v>
      </c>
      <c r="G4576" s="4" t="n">
        <v>1</v>
      </c>
      <c r="H4576" s="4" t="n">
        <v>1</v>
      </c>
      <c r="I4576" s="4" t="str">
        <v>○</v>
      </c>
      <c r="J4576" s="4" t="n">
        <v>170</v>
      </c>
      <c r="K4576" s="4"/>
      <c r="L4576" s="4"/>
      <c r="M4576" s="7" t="s">
        <v>3577</v>
      </c>
    </row>
    <row r="4577" customFormat="false" ht="15.75" hidden="false" customHeight="false" outlineLevel="0" collapsed="false">
      <c r="A4577" s="3" t="n">
        <v>46235</v>
      </c>
      <c r="B4577" s="4" t="s">
        <v>334</v>
      </c>
      <c r="C4577" s="4" t="n">
        <v>3</v>
      </c>
      <c r="D4577" s="4" t="n">
        <v>9</v>
      </c>
      <c r="E4577" s="4" t="s">
        <v>3822</v>
      </c>
      <c r="F4577" s="4" t="n">
        <v>8</v>
      </c>
      <c r="G4577" s="4" t="n">
        <v>9</v>
      </c>
      <c r="H4577" s="4" t="n">
        <v>4</v>
      </c>
      <c r="I4577" s="4" t="str">
        <v>×</v>
      </c>
      <c r="J4577" s="4"/>
      <c r="K4577" s="4"/>
      <c r="L4577" s="4"/>
      <c r="M4577" s="7" t="s">
        <v>3577</v>
      </c>
    </row>
    <row r="4578" customFormat="false" ht="15.75" hidden="false" customHeight="false" outlineLevel="0" collapsed="false">
      <c r="A4578" s="3" t="n">
        <v>46235</v>
      </c>
      <c r="B4578" s="4" t="s">
        <v>334</v>
      </c>
      <c r="C4578" s="4" t="n">
        <v>3</v>
      </c>
      <c r="D4578" s="4" t="n">
        <v>10</v>
      </c>
      <c r="E4578" s="4" t="s">
        <v>1914</v>
      </c>
      <c r="F4578" s="4" t="n">
        <v>23</v>
      </c>
      <c r="G4578" s="4" t="n">
        <v>4</v>
      </c>
      <c r="H4578" s="4" t="n">
        <v>4</v>
      </c>
      <c r="I4578" s="4" t="str">
        <v>×</v>
      </c>
      <c r="J4578" s="4"/>
      <c r="K4578" s="4"/>
      <c r="L4578" s="4"/>
      <c r="M4578" s="7" t="s">
        <v>3577</v>
      </c>
    </row>
    <row r="4579" customFormat="false" ht="15.75" hidden="false" customHeight="false" outlineLevel="0" collapsed="false">
      <c r="A4579" s="3" t="n">
        <v>46235</v>
      </c>
      <c r="B4579" s="4" t="s">
        <v>334</v>
      </c>
      <c r="C4579" s="4" t="n">
        <v>3</v>
      </c>
      <c r="D4579" s="4" t="n">
        <v>11</v>
      </c>
      <c r="E4579" s="4" t="s">
        <v>1286</v>
      </c>
      <c r="F4579" s="4" t="n">
        <v>52</v>
      </c>
      <c r="G4579" s="4" t="n">
        <v>2</v>
      </c>
      <c r="H4579" s="4" t="n">
        <v>2</v>
      </c>
      <c r="I4579" s="4" t="str">
        <v>○</v>
      </c>
      <c r="J4579" s="4" t="n">
        <v>170</v>
      </c>
      <c r="K4579" s="4"/>
      <c r="L4579" s="4"/>
      <c r="M4579" s="7" t="s">
        <v>3577</v>
      </c>
    </row>
    <row r="4580" customFormat="false" ht="15.75" hidden="false" customHeight="false" outlineLevel="0" collapsed="false">
      <c r="A4580" s="3" t="n">
        <v>46235</v>
      </c>
      <c r="B4580" s="4" t="s">
        <v>334</v>
      </c>
      <c r="C4580" s="4" t="n">
        <v>4</v>
      </c>
      <c r="D4580" s="4" t="n">
        <v>1</v>
      </c>
      <c r="E4580" s="4" t="s">
        <v>2227</v>
      </c>
      <c r="F4580" s="4" t="n">
        <v>50</v>
      </c>
      <c r="G4580" s="4" t="n">
        <v>1</v>
      </c>
      <c r="H4580" s="4" t="n">
        <v>2</v>
      </c>
      <c r="I4580" s="4" t="str">
        <v>○</v>
      </c>
      <c r="J4580" s="4" t="n">
        <v>110</v>
      </c>
      <c r="K4580" s="4"/>
      <c r="L4580" s="4"/>
      <c r="M4580" s="7" t="s">
        <v>3577</v>
      </c>
    </row>
    <row r="4581" customFormat="false" ht="15.75" hidden="false" customHeight="false" outlineLevel="0" collapsed="false">
      <c r="A4581" s="3" t="n">
        <v>46235</v>
      </c>
      <c r="B4581" s="4" t="s">
        <v>334</v>
      </c>
      <c r="C4581" s="4" t="n">
        <v>4</v>
      </c>
      <c r="D4581" s="4" t="n">
        <v>2</v>
      </c>
      <c r="E4581" s="4" t="s">
        <v>3823</v>
      </c>
      <c r="F4581" s="4" t="n">
        <v>34</v>
      </c>
      <c r="G4581" s="4" t="n">
        <v>3</v>
      </c>
      <c r="H4581" s="4" t="n">
        <v>4</v>
      </c>
      <c r="I4581" s="4" t="str">
        <v>×</v>
      </c>
      <c r="J4581" s="4"/>
      <c r="K4581" s="4"/>
      <c r="L4581" s="4"/>
      <c r="M4581" s="7" t="s">
        <v>3577</v>
      </c>
    </row>
    <row r="4582" customFormat="false" ht="15.75" hidden="false" customHeight="false" outlineLevel="0" collapsed="false">
      <c r="A4582" s="3" t="n">
        <v>46235</v>
      </c>
      <c r="B4582" s="4" t="s">
        <v>334</v>
      </c>
      <c r="C4582" s="4" t="n">
        <v>4</v>
      </c>
      <c r="D4582" s="4" t="n">
        <v>3</v>
      </c>
      <c r="E4582" s="4" t="s">
        <v>3824</v>
      </c>
      <c r="F4582" s="4" t="n">
        <v>10</v>
      </c>
      <c r="G4582" s="4" t="n">
        <v>9</v>
      </c>
      <c r="H4582" s="4" t="n">
        <v>4</v>
      </c>
      <c r="I4582" s="4" t="str">
        <v>×</v>
      </c>
      <c r="J4582" s="4"/>
      <c r="K4582" s="4"/>
      <c r="L4582" s="4"/>
      <c r="M4582" s="7" t="s">
        <v>3577</v>
      </c>
    </row>
    <row r="4583" customFormat="false" ht="15.75" hidden="false" customHeight="false" outlineLevel="0" collapsed="false">
      <c r="A4583" s="3" t="n">
        <v>46235</v>
      </c>
      <c r="B4583" s="4" t="s">
        <v>334</v>
      </c>
      <c r="C4583" s="4" t="n">
        <v>4</v>
      </c>
      <c r="D4583" s="4" t="n">
        <v>4</v>
      </c>
      <c r="E4583" s="4" t="s">
        <v>3825</v>
      </c>
      <c r="F4583" s="4" t="n">
        <v>31</v>
      </c>
      <c r="G4583" s="4" t="n">
        <v>4</v>
      </c>
      <c r="H4583" s="4" t="n">
        <v>4</v>
      </c>
      <c r="I4583" s="4" t="str">
        <v>×</v>
      </c>
      <c r="J4583" s="4"/>
      <c r="K4583" s="4"/>
      <c r="L4583" s="4"/>
      <c r="M4583" s="7" t="s">
        <v>3577</v>
      </c>
    </row>
    <row r="4584" customFormat="false" ht="15.75" hidden="false" customHeight="false" outlineLevel="0" collapsed="false">
      <c r="A4584" s="3" t="n">
        <v>46235</v>
      </c>
      <c r="B4584" s="4" t="s">
        <v>334</v>
      </c>
      <c r="C4584" s="4" t="n">
        <v>4</v>
      </c>
      <c r="D4584" s="4" t="n">
        <v>5</v>
      </c>
      <c r="E4584" s="4" t="s">
        <v>1346</v>
      </c>
      <c r="F4584" s="4" t="n">
        <v>15</v>
      </c>
      <c r="G4584" s="4" t="n">
        <v>7</v>
      </c>
      <c r="H4584" s="4" t="n">
        <v>4</v>
      </c>
      <c r="I4584" s="4" t="str">
        <v>×</v>
      </c>
      <c r="J4584" s="4"/>
      <c r="K4584" s="4"/>
      <c r="L4584" s="4"/>
      <c r="M4584" s="7" t="s">
        <v>3577</v>
      </c>
    </row>
    <row r="4585" customFormat="false" ht="15.75" hidden="false" customHeight="false" outlineLevel="0" collapsed="false">
      <c r="A4585" s="3" t="n">
        <v>46235</v>
      </c>
      <c r="B4585" s="4" t="s">
        <v>334</v>
      </c>
      <c r="C4585" s="4" t="n">
        <v>4</v>
      </c>
      <c r="D4585" s="4" t="n">
        <v>6</v>
      </c>
      <c r="E4585" s="4" t="s">
        <v>3826</v>
      </c>
      <c r="F4585" s="4" t="n">
        <v>29</v>
      </c>
      <c r="G4585" s="4" t="n">
        <v>5</v>
      </c>
      <c r="H4585" s="4" t="n">
        <v>4</v>
      </c>
      <c r="I4585" s="4" t="str">
        <v>×</v>
      </c>
      <c r="J4585" s="4"/>
      <c r="K4585" s="4"/>
      <c r="L4585" s="4"/>
      <c r="M4585" s="7" t="s">
        <v>3577</v>
      </c>
    </row>
    <row r="4586" customFormat="false" ht="15.75" hidden="false" customHeight="false" outlineLevel="0" collapsed="false">
      <c r="A4586" s="3" t="n">
        <v>46235</v>
      </c>
      <c r="B4586" s="4" t="s">
        <v>334</v>
      </c>
      <c r="C4586" s="4" t="n">
        <v>4</v>
      </c>
      <c r="D4586" s="4" t="n">
        <v>7</v>
      </c>
      <c r="E4586" s="4" t="s">
        <v>3827</v>
      </c>
      <c r="F4586" s="4" t="n">
        <v>13</v>
      </c>
      <c r="G4586" s="4" t="n">
        <v>8</v>
      </c>
      <c r="H4586" s="4" t="n">
        <v>1</v>
      </c>
      <c r="I4586" s="4" t="str">
        <v>○</v>
      </c>
      <c r="J4586" s="4" t="n">
        <v>200</v>
      </c>
      <c r="K4586" s="4"/>
      <c r="L4586" s="4"/>
      <c r="M4586" s="7" t="s">
        <v>3577</v>
      </c>
    </row>
    <row r="4587" customFormat="false" ht="15.75" hidden="false" customHeight="false" outlineLevel="0" collapsed="false">
      <c r="A4587" s="3" t="n">
        <v>46235</v>
      </c>
      <c r="B4587" s="4" t="s">
        <v>334</v>
      </c>
      <c r="C4587" s="4" t="n">
        <v>4</v>
      </c>
      <c r="D4587" s="4" t="n">
        <v>8</v>
      </c>
      <c r="E4587" s="4" t="s">
        <v>2224</v>
      </c>
      <c r="F4587" s="4" t="n">
        <v>8</v>
      </c>
      <c r="G4587" s="4" t="n">
        <v>10</v>
      </c>
      <c r="H4587" s="4" t="n">
        <v>4</v>
      </c>
      <c r="I4587" s="4" t="str">
        <v>×</v>
      </c>
      <c r="J4587" s="4"/>
      <c r="K4587" s="4"/>
      <c r="L4587" s="4"/>
      <c r="M4587" s="7" t="s">
        <v>3577</v>
      </c>
    </row>
    <row r="4588" customFormat="false" ht="15.75" hidden="false" customHeight="false" outlineLevel="0" collapsed="false">
      <c r="A4588" s="3" t="n">
        <v>46235</v>
      </c>
      <c r="B4588" s="4" t="s">
        <v>334</v>
      </c>
      <c r="C4588" s="4" t="n">
        <v>4</v>
      </c>
      <c r="D4588" s="4" t="n">
        <v>9</v>
      </c>
      <c r="E4588" s="4" t="s">
        <v>3828</v>
      </c>
      <c r="F4588" s="4" t="n">
        <v>8</v>
      </c>
      <c r="G4588" s="4" t="n">
        <v>10</v>
      </c>
      <c r="H4588" s="4" t="n">
        <v>4</v>
      </c>
      <c r="I4588" s="4" t="str">
        <v>×</v>
      </c>
      <c r="J4588" s="4"/>
      <c r="K4588" s="4"/>
      <c r="L4588" s="4"/>
      <c r="M4588" s="7" t="s">
        <v>3577</v>
      </c>
    </row>
    <row r="4589" customFormat="false" ht="15.75" hidden="false" customHeight="false" outlineLevel="0" collapsed="false">
      <c r="A4589" s="3" t="n">
        <v>46235</v>
      </c>
      <c r="B4589" s="4" t="s">
        <v>334</v>
      </c>
      <c r="C4589" s="4" t="n">
        <v>4</v>
      </c>
      <c r="D4589" s="4" t="n">
        <v>10</v>
      </c>
      <c r="E4589" s="4" t="s">
        <v>3829</v>
      </c>
      <c r="F4589" s="4" t="n">
        <v>17</v>
      </c>
      <c r="G4589" s="4" t="n">
        <v>6</v>
      </c>
      <c r="H4589" s="4" t="n">
        <v>4</v>
      </c>
      <c r="I4589" s="4" t="str">
        <v>×</v>
      </c>
      <c r="J4589" s="4"/>
      <c r="K4589" s="4"/>
      <c r="L4589" s="4"/>
      <c r="M4589" s="7" t="s">
        <v>3577</v>
      </c>
    </row>
    <row r="4590" customFormat="false" ht="15.75" hidden="false" customHeight="false" outlineLevel="0" collapsed="false">
      <c r="A4590" s="3" t="n">
        <v>46235</v>
      </c>
      <c r="B4590" s="4" t="s">
        <v>334</v>
      </c>
      <c r="C4590" s="4" t="n">
        <v>4</v>
      </c>
      <c r="D4590" s="4" t="n">
        <v>11</v>
      </c>
      <c r="E4590" s="4" t="s">
        <v>1338</v>
      </c>
      <c r="F4590" s="4" t="n">
        <v>47</v>
      </c>
      <c r="G4590" s="4" t="n">
        <v>2</v>
      </c>
      <c r="H4590" s="4" t="n">
        <v>3</v>
      </c>
      <c r="I4590" s="4" t="str">
        <v>○</v>
      </c>
      <c r="J4590" s="4" t="n">
        <v>150</v>
      </c>
      <c r="K4590" s="4"/>
      <c r="L4590" s="4"/>
      <c r="M4590" s="7" t="s">
        <v>3577</v>
      </c>
    </row>
    <row r="4591" customFormat="false" ht="15.75" hidden="false" customHeight="false" outlineLevel="0" collapsed="false">
      <c r="A4591" s="3" t="n">
        <v>46235</v>
      </c>
      <c r="B4591" s="4" t="s">
        <v>334</v>
      </c>
      <c r="C4591" s="4" t="n">
        <v>5</v>
      </c>
      <c r="D4591" s="4" t="n">
        <v>1</v>
      </c>
      <c r="E4591" s="4" t="s">
        <v>3830</v>
      </c>
      <c r="F4591" s="4" t="n">
        <v>27</v>
      </c>
      <c r="G4591" s="4" t="n">
        <v>3</v>
      </c>
      <c r="H4591" s="4" t="n">
        <v>4</v>
      </c>
      <c r="I4591" s="4" t="str">
        <v>×</v>
      </c>
      <c r="J4591" s="4"/>
      <c r="K4591" s="4"/>
      <c r="L4591" s="4"/>
      <c r="M4591" s="7" t="s">
        <v>3577</v>
      </c>
    </row>
    <row r="4592" customFormat="false" ht="15.75" hidden="false" customHeight="false" outlineLevel="0" collapsed="false">
      <c r="A4592" s="3" t="n">
        <v>46235</v>
      </c>
      <c r="B4592" s="4" t="s">
        <v>334</v>
      </c>
      <c r="C4592" s="4" t="n">
        <v>5</v>
      </c>
      <c r="D4592" s="4" t="n">
        <v>2</v>
      </c>
      <c r="E4592" s="4" t="s">
        <v>3831</v>
      </c>
      <c r="F4592" s="4" t="n">
        <v>21</v>
      </c>
      <c r="G4592" s="4" t="n">
        <v>6</v>
      </c>
      <c r="H4592" s="4" t="n">
        <v>4</v>
      </c>
      <c r="I4592" s="4" t="str">
        <v>×</v>
      </c>
      <c r="J4592" s="4"/>
      <c r="K4592" s="4"/>
      <c r="L4592" s="4"/>
      <c r="M4592" s="7" t="s">
        <v>3577</v>
      </c>
    </row>
    <row r="4593" customFormat="false" ht="15.75" hidden="false" customHeight="false" outlineLevel="0" collapsed="false">
      <c r="A4593" s="3" t="n">
        <v>46235</v>
      </c>
      <c r="B4593" s="4" t="s">
        <v>334</v>
      </c>
      <c r="C4593" s="4" t="n">
        <v>5</v>
      </c>
      <c r="D4593" s="4" t="n">
        <v>3</v>
      </c>
      <c r="E4593" s="4" t="s">
        <v>3832</v>
      </c>
      <c r="F4593" s="4" t="n">
        <v>21</v>
      </c>
      <c r="G4593" s="4" t="n">
        <v>6</v>
      </c>
      <c r="H4593" s="4" t="n">
        <v>3</v>
      </c>
      <c r="I4593" s="4" t="str">
        <v>○</v>
      </c>
      <c r="J4593" s="4" t="n">
        <v>130</v>
      </c>
      <c r="K4593" s="4"/>
      <c r="L4593" s="4"/>
      <c r="M4593" s="7" t="s">
        <v>3577</v>
      </c>
    </row>
    <row r="4594" customFormat="false" ht="15.75" hidden="false" customHeight="false" outlineLevel="0" collapsed="false">
      <c r="A4594" s="3" t="n">
        <v>46235</v>
      </c>
      <c r="B4594" s="4" t="s">
        <v>334</v>
      </c>
      <c r="C4594" s="4" t="n">
        <v>5</v>
      </c>
      <c r="D4594" s="4" t="n">
        <v>4</v>
      </c>
      <c r="E4594" s="4" t="s">
        <v>3833</v>
      </c>
      <c r="F4594" s="4" t="n">
        <v>31</v>
      </c>
      <c r="G4594" s="4" t="n">
        <v>1</v>
      </c>
      <c r="H4594" s="4" t="n">
        <v>4</v>
      </c>
      <c r="I4594" s="4" t="str">
        <v>×</v>
      </c>
      <c r="J4594" s="4"/>
      <c r="K4594" s="4"/>
      <c r="L4594" s="4"/>
      <c r="M4594" s="7" t="s">
        <v>3577</v>
      </c>
    </row>
    <row r="4595" customFormat="false" ht="15.75" hidden="false" customHeight="false" outlineLevel="0" collapsed="false">
      <c r="A4595" s="3" t="n">
        <v>46235</v>
      </c>
      <c r="B4595" s="4" t="s">
        <v>334</v>
      </c>
      <c r="C4595" s="4" t="n">
        <v>5</v>
      </c>
      <c r="D4595" s="4" t="n">
        <v>5</v>
      </c>
      <c r="E4595" s="4" t="s">
        <v>3834</v>
      </c>
      <c r="F4595" s="4" t="n">
        <v>31</v>
      </c>
      <c r="G4595" s="4" t="n">
        <v>1</v>
      </c>
      <c r="H4595" s="4" t="n">
        <v>2</v>
      </c>
      <c r="I4595" s="4" t="str">
        <v>○</v>
      </c>
      <c r="J4595" s="4" t="n">
        <v>120</v>
      </c>
      <c r="K4595" s="4"/>
      <c r="L4595" s="4"/>
      <c r="M4595" s="7" t="s">
        <v>3577</v>
      </c>
    </row>
    <row r="4596" customFormat="false" ht="15.75" hidden="false" customHeight="false" outlineLevel="0" collapsed="false">
      <c r="A4596" s="3" t="n">
        <v>46235</v>
      </c>
      <c r="B4596" s="4" t="s">
        <v>334</v>
      </c>
      <c r="C4596" s="4" t="n">
        <v>5</v>
      </c>
      <c r="D4596" s="4" t="n">
        <v>6</v>
      </c>
      <c r="E4596" s="4" t="s">
        <v>3835</v>
      </c>
      <c r="F4596" s="4" t="n">
        <v>12</v>
      </c>
      <c r="G4596" s="4" t="n">
        <v>9</v>
      </c>
      <c r="H4596" s="4" t="n">
        <v>4</v>
      </c>
      <c r="I4596" s="4" t="str">
        <v>×</v>
      </c>
      <c r="J4596" s="4"/>
      <c r="K4596" s="4"/>
      <c r="L4596" s="4"/>
      <c r="M4596" s="7" t="s">
        <v>3577</v>
      </c>
    </row>
    <row r="4597" customFormat="false" ht="15.75" hidden="false" customHeight="false" outlineLevel="0" collapsed="false">
      <c r="A4597" s="3" t="n">
        <v>46235</v>
      </c>
      <c r="B4597" s="4" t="s">
        <v>334</v>
      </c>
      <c r="C4597" s="4" t="n">
        <v>5</v>
      </c>
      <c r="D4597" s="4" t="n">
        <v>7</v>
      </c>
      <c r="E4597" s="4" t="s">
        <v>3836</v>
      </c>
      <c r="F4597" s="4" t="n">
        <v>24</v>
      </c>
      <c r="G4597" s="4" t="n">
        <v>4</v>
      </c>
      <c r="H4597" s="4" t="n">
        <v>1</v>
      </c>
      <c r="I4597" s="4" t="str">
        <v>○</v>
      </c>
      <c r="J4597" s="4" t="n">
        <v>110</v>
      </c>
      <c r="K4597" s="4"/>
      <c r="L4597" s="4"/>
      <c r="M4597" s="7" t="s">
        <v>3577</v>
      </c>
    </row>
    <row r="4598" customFormat="false" ht="15.75" hidden="false" customHeight="false" outlineLevel="0" collapsed="false">
      <c r="A4598" s="3" t="n">
        <v>46235</v>
      </c>
      <c r="B4598" s="4" t="s">
        <v>334</v>
      </c>
      <c r="C4598" s="4" t="n">
        <v>5</v>
      </c>
      <c r="D4598" s="4" t="n">
        <v>8</v>
      </c>
      <c r="E4598" s="4" t="s">
        <v>3837</v>
      </c>
      <c r="F4598" s="4" t="n">
        <v>12</v>
      </c>
      <c r="G4598" s="4" t="n">
        <v>9</v>
      </c>
      <c r="H4598" s="4" t="n">
        <v>4</v>
      </c>
      <c r="I4598" s="4" t="str">
        <v>×</v>
      </c>
      <c r="J4598" s="4"/>
      <c r="K4598" s="4"/>
      <c r="L4598" s="4"/>
      <c r="M4598" s="7" t="s">
        <v>3577</v>
      </c>
    </row>
    <row r="4599" customFormat="false" ht="15.75" hidden="false" customHeight="false" outlineLevel="0" collapsed="false">
      <c r="A4599" s="3" t="n">
        <v>46235</v>
      </c>
      <c r="B4599" s="4" t="s">
        <v>334</v>
      </c>
      <c r="C4599" s="4" t="n">
        <v>5</v>
      </c>
      <c r="D4599" s="4" t="n">
        <v>9</v>
      </c>
      <c r="E4599" s="4" t="s">
        <v>3838</v>
      </c>
      <c r="F4599" s="4" t="n">
        <v>6</v>
      </c>
      <c r="G4599" s="4" t="n">
        <v>13</v>
      </c>
      <c r="H4599" s="4" t="n">
        <v>4</v>
      </c>
      <c r="I4599" s="4" t="str">
        <v>×</v>
      </c>
      <c r="J4599" s="4"/>
      <c r="K4599" s="4"/>
      <c r="L4599" s="4"/>
      <c r="M4599" s="7" t="s">
        <v>3577</v>
      </c>
    </row>
    <row r="4600" customFormat="false" ht="15.75" hidden="false" customHeight="false" outlineLevel="0" collapsed="false">
      <c r="A4600" s="3" t="n">
        <v>46235</v>
      </c>
      <c r="B4600" s="4" t="s">
        <v>334</v>
      </c>
      <c r="C4600" s="4" t="n">
        <v>5</v>
      </c>
      <c r="D4600" s="4" t="n">
        <v>10</v>
      </c>
      <c r="E4600" s="4" t="s">
        <v>3839</v>
      </c>
      <c r="F4600" s="4" t="n">
        <v>24</v>
      </c>
      <c r="G4600" s="4" t="n">
        <v>4</v>
      </c>
      <c r="H4600" s="4" t="n">
        <v>4</v>
      </c>
      <c r="I4600" s="4" t="str">
        <v>×</v>
      </c>
      <c r="J4600" s="4"/>
      <c r="K4600" s="4"/>
      <c r="L4600" s="4"/>
      <c r="M4600" s="7" t="s">
        <v>3577</v>
      </c>
    </row>
    <row r="4601" customFormat="false" ht="15.75" hidden="false" customHeight="false" outlineLevel="0" collapsed="false">
      <c r="A4601" s="3" t="n">
        <v>46235</v>
      </c>
      <c r="B4601" s="4" t="s">
        <v>334</v>
      </c>
      <c r="C4601" s="4" t="n">
        <v>5</v>
      </c>
      <c r="D4601" s="4" t="n">
        <v>11</v>
      </c>
      <c r="E4601" s="4" t="s">
        <v>3840</v>
      </c>
      <c r="F4601" s="4" t="n">
        <v>21</v>
      </c>
      <c r="G4601" s="4" t="n">
        <v>6</v>
      </c>
      <c r="H4601" s="4" t="n">
        <v>4</v>
      </c>
      <c r="I4601" s="4" t="str">
        <v>×</v>
      </c>
      <c r="J4601" s="4"/>
      <c r="K4601" s="4"/>
      <c r="L4601" s="4"/>
      <c r="M4601" s="7" t="s">
        <v>3577</v>
      </c>
    </row>
    <row r="4602" customFormat="false" ht="15.75" hidden="false" customHeight="false" outlineLevel="0" collapsed="false">
      <c r="A4602" s="3" t="n">
        <v>46235</v>
      </c>
      <c r="B4602" s="4" t="s">
        <v>334</v>
      </c>
      <c r="C4602" s="4" t="n">
        <v>5</v>
      </c>
      <c r="D4602" s="4" t="n">
        <v>12</v>
      </c>
      <c r="E4602" s="4" t="s">
        <v>3841</v>
      </c>
      <c r="F4602" s="4" t="n">
        <v>12</v>
      </c>
      <c r="G4602" s="4" t="n">
        <v>9</v>
      </c>
      <c r="H4602" s="4" t="n">
        <v>4</v>
      </c>
      <c r="I4602" s="4" t="str">
        <v>×</v>
      </c>
      <c r="J4602" s="4"/>
      <c r="K4602" s="4"/>
      <c r="L4602" s="4"/>
      <c r="M4602" s="7" t="s">
        <v>3577</v>
      </c>
    </row>
    <row r="4603" customFormat="false" ht="15.75" hidden="false" customHeight="false" outlineLevel="0" collapsed="false">
      <c r="A4603" s="3" t="n">
        <v>46235</v>
      </c>
      <c r="B4603" s="4" t="s">
        <v>334</v>
      </c>
      <c r="C4603" s="4" t="n">
        <v>5</v>
      </c>
      <c r="D4603" s="4" t="n">
        <v>13</v>
      </c>
      <c r="E4603" s="4" t="s">
        <v>3842</v>
      </c>
      <c r="F4603" s="4" t="n">
        <v>8</v>
      </c>
      <c r="G4603" s="4" t="n">
        <v>12</v>
      </c>
      <c r="H4603" s="4" t="n">
        <v>4</v>
      </c>
      <c r="I4603" s="4" t="str">
        <v>×</v>
      </c>
      <c r="J4603" s="4"/>
      <c r="K4603" s="4"/>
      <c r="L4603" s="4"/>
      <c r="M4603" s="7" t="s">
        <v>3577</v>
      </c>
    </row>
    <row r="4604" customFormat="false" ht="15.75" hidden="false" customHeight="false" outlineLevel="0" collapsed="false">
      <c r="A4604" s="3" t="n">
        <v>46235</v>
      </c>
      <c r="B4604" s="4" t="s">
        <v>334</v>
      </c>
      <c r="C4604" s="4" t="n">
        <v>6</v>
      </c>
      <c r="D4604" s="4" t="n">
        <v>1</v>
      </c>
      <c r="E4604" s="4" t="s">
        <v>3843</v>
      </c>
      <c r="F4604" s="4" t="n">
        <v>31</v>
      </c>
      <c r="G4604" s="4" t="n">
        <v>3</v>
      </c>
      <c r="H4604" s="4" t="n">
        <v>4</v>
      </c>
      <c r="I4604" s="4" t="str">
        <v>×</v>
      </c>
      <c r="J4604" s="4"/>
      <c r="K4604" s="4"/>
      <c r="L4604" s="4"/>
      <c r="M4604" s="7" t="s">
        <v>3577</v>
      </c>
    </row>
    <row r="4605" customFormat="false" ht="15.75" hidden="false" customHeight="false" outlineLevel="0" collapsed="false">
      <c r="A4605" s="3" t="n">
        <v>46235</v>
      </c>
      <c r="B4605" s="4" t="s">
        <v>334</v>
      </c>
      <c r="C4605" s="4" t="n">
        <v>6</v>
      </c>
      <c r="D4605" s="4" t="n">
        <v>2</v>
      </c>
      <c r="E4605" s="4" t="s">
        <v>1813</v>
      </c>
      <c r="F4605" s="4" t="n">
        <v>20</v>
      </c>
      <c r="G4605" s="4" t="n">
        <v>6</v>
      </c>
      <c r="H4605" s="4" t="n">
        <v>4</v>
      </c>
      <c r="I4605" s="4" t="str">
        <v>×</v>
      </c>
      <c r="J4605" s="4"/>
      <c r="K4605" s="4"/>
      <c r="L4605" s="4"/>
      <c r="M4605" s="7" t="s">
        <v>3577</v>
      </c>
    </row>
    <row r="4606" customFormat="false" ht="15.75" hidden="false" customHeight="false" outlineLevel="0" collapsed="false">
      <c r="A4606" s="3" t="n">
        <v>46235</v>
      </c>
      <c r="B4606" s="4" t="s">
        <v>334</v>
      </c>
      <c r="C4606" s="4" t="n">
        <v>6</v>
      </c>
      <c r="D4606" s="4" t="n">
        <v>3</v>
      </c>
      <c r="E4606" s="4" t="s">
        <v>3466</v>
      </c>
      <c r="F4606" s="4" t="n">
        <v>13</v>
      </c>
      <c r="G4606" s="4" t="n">
        <v>8</v>
      </c>
      <c r="H4606" s="4" t="n">
        <v>4</v>
      </c>
      <c r="I4606" s="4" t="str">
        <v>×</v>
      </c>
      <c r="J4606" s="4"/>
      <c r="K4606" s="4"/>
      <c r="L4606" s="4"/>
      <c r="M4606" s="7" t="s">
        <v>3577</v>
      </c>
    </row>
    <row r="4607" customFormat="false" ht="15.75" hidden="false" customHeight="false" outlineLevel="0" collapsed="false">
      <c r="A4607" s="3" t="n">
        <v>46235</v>
      </c>
      <c r="B4607" s="4" t="s">
        <v>334</v>
      </c>
      <c r="C4607" s="4" t="n">
        <v>6</v>
      </c>
      <c r="D4607" s="4" t="n">
        <v>4</v>
      </c>
      <c r="E4607" s="4" t="s">
        <v>400</v>
      </c>
      <c r="F4607" s="4" t="n">
        <v>62</v>
      </c>
      <c r="G4607" s="4" t="n">
        <v>1</v>
      </c>
      <c r="H4607" s="4" t="n">
        <v>3</v>
      </c>
      <c r="I4607" s="4" t="str">
        <v>○</v>
      </c>
      <c r="J4607" s="4" t="n">
        <v>150</v>
      </c>
      <c r="K4607" s="4"/>
      <c r="L4607" s="4"/>
      <c r="M4607" s="7" t="s">
        <v>3577</v>
      </c>
    </row>
    <row r="4608" customFormat="false" ht="15.75" hidden="false" customHeight="false" outlineLevel="0" collapsed="false">
      <c r="A4608" s="3" t="n">
        <v>46235</v>
      </c>
      <c r="B4608" s="4" t="s">
        <v>334</v>
      </c>
      <c r="C4608" s="4" t="n">
        <v>6</v>
      </c>
      <c r="D4608" s="4" t="n">
        <v>5</v>
      </c>
      <c r="E4608" s="4" t="s">
        <v>1247</v>
      </c>
      <c r="F4608" s="4" t="n">
        <v>15</v>
      </c>
      <c r="G4608" s="4" t="n">
        <v>7</v>
      </c>
      <c r="H4608" s="4" t="n">
        <v>4</v>
      </c>
      <c r="I4608" s="4" t="str">
        <v>×</v>
      </c>
      <c r="J4608" s="4"/>
      <c r="K4608" s="4"/>
      <c r="L4608" s="4"/>
      <c r="M4608" s="7" t="s">
        <v>3577</v>
      </c>
    </row>
    <row r="4609" customFormat="false" ht="15.75" hidden="false" customHeight="false" outlineLevel="0" collapsed="false">
      <c r="A4609" s="3" t="n">
        <v>46235</v>
      </c>
      <c r="B4609" s="4" t="s">
        <v>334</v>
      </c>
      <c r="C4609" s="4" t="n">
        <v>6</v>
      </c>
      <c r="D4609" s="4" t="n">
        <v>6</v>
      </c>
      <c r="E4609" s="4" t="s">
        <v>1319</v>
      </c>
      <c r="F4609" s="4" t="n">
        <v>10</v>
      </c>
      <c r="G4609" s="4" t="n">
        <v>9</v>
      </c>
      <c r="H4609" s="4" t="n">
        <v>4</v>
      </c>
      <c r="I4609" s="4" t="str">
        <v>×</v>
      </c>
      <c r="J4609" s="4"/>
      <c r="K4609" s="4"/>
      <c r="L4609" s="4"/>
      <c r="M4609" s="7" t="s">
        <v>3577</v>
      </c>
    </row>
    <row r="4610" customFormat="false" ht="15.75" hidden="false" customHeight="false" outlineLevel="0" collapsed="false">
      <c r="A4610" s="3" t="n">
        <v>46235</v>
      </c>
      <c r="B4610" s="4" t="s">
        <v>334</v>
      </c>
      <c r="C4610" s="4" t="n">
        <v>6</v>
      </c>
      <c r="D4610" s="4" t="n">
        <v>7</v>
      </c>
      <c r="E4610" s="4" t="s">
        <v>2276</v>
      </c>
      <c r="F4610" s="4" t="n">
        <v>29</v>
      </c>
      <c r="G4610" s="4" t="n">
        <v>5</v>
      </c>
      <c r="H4610" s="4" t="n">
        <v>2</v>
      </c>
      <c r="I4610" s="4" t="str">
        <v>○</v>
      </c>
      <c r="J4610" s="4" t="n">
        <v>160</v>
      </c>
      <c r="K4610" s="4"/>
      <c r="L4610" s="4"/>
      <c r="M4610" s="7" t="s">
        <v>3577</v>
      </c>
    </row>
    <row r="4611" customFormat="false" ht="15.75" hidden="false" customHeight="false" outlineLevel="0" collapsed="false">
      <c r="A4611" s="3" t="n">
        <v>46235</v>
      </c>
      <c r="B4611" s="4" t="s">
        <v>334</v>
      </c>
      <c r="C4611" s="4" t="n">
        <v>6</v>
      </c>
      <c r="D4611" s="4" t="n">
        <v>8</v>
      </c>
      <c r="E4611" s="4" t="s">
        <v>3844</v>
      </c>
      <c r="F4611" s="4" t="n">
        <v>39</v>
      </c>
      <c r="G4611" s="4" t="n">
        <v>2</v>
      </c>
      <c r="H4611" s="4" t="n">
        <v>1</v>
      </c>
      <c r="I4611" s="4" t="str">
        <v>○</v>
      </c>
      <c r="J4611" s="4" t="n">
        <v>110</v>
      </c>
      <c r="K4611" s="4"/>
      <c r="L4611" s="4"/>
      <c r="M4611" s="7" t="s">
        <v>3577</v>
      </c>
    </row>
    <row r="4612" customFormat="false" ht="15.75" hidden="false" customHeight="false" outlineLevel="0" collapsed="false">
      <c r="A4612" s="3" t="n">
        <v>46235</v>
      </c>
      <c r="B4612" s="4" t="s">
        <v>334</v>
      </c>
      <c r="C4612" s="4" t="n">
        <v>6</v>
      </c>
      <c r="D4612" s="4" t="n">
        <v>9</v>
      </c>
      <c r="E4612" s="4" t="s">
        <v>2886</v>
      </c>
      <c r="F4612" s="4" t="n">
        <v>31</v>
      </c>
      <c r="G4612" s="4" t="n">
        <v>3</v>
      </c>
      <c r="H4612" s="4" t="n">
        <v>4</v>
      </c>
      <c r="I4612" s="4" t="str">
        <v>×</v>
      </c>
      <c r="J4612" s="4"/>
      <c r="K4612" s="4"/>
      <c r="L4612" s="4"/>
      <c r="M4612" s="7" t="s">
        <v>3577</v>
      </c>
    </row>
    <row r="4613" customFormat="false" ht="15.75" hidden="false" customHeight="false" outlineLevel="0" collapsed="false">
      <c r="A4613" s="3" t="n">
        <v>46235</v>
      </c>
      <c r="B4613" s="4" t="s">
        <v>334</v>
      </c>
      <c r="C4613" s="4" t="n">
        <v>7</v>
      </c>
      <c r="D4613" s="4" t="n">
        <v>1</v>
      </c>
      <c r="E4613" s="4" t="s">
        <v>3845</v>
      </c>
      <c r="F4613" s="4" t="n">
        <v>29</v>
      </c>
      <c r="G4613" s="4" t="n">
        <v>8</v>
      </c>
      <c r="H4613" s="4" t="n">
        <v>4</v>
      </c>
      <c r="I4613" s="4" t="str">
        <v>×</v>
      </c>
      <c r="J4613" s="4"/>
      <c r="K4613" s="4"/>
      <c r="L4613" s="4"/>
      <c r="M4613" s="7" t="s">
        <v>3577</v>
      </c>
    </row>
    <row r="4614" customFormat="false" ht="15.75" hidden="false" customHeight="false" outlineLevel="0" collapsed="false">
      <c r="A4614" s="3" t="n">
        <v>46235</v>
      </c>
      <c r="B4614" s="4" t="s">
        <v>334</v>
      </c>
      <c r="C4614" s="4" t="n">
        <v>7</v>
      </c>
      <c r="D4614" s="4" t="n">
        <v>2</v>
      </c>
      <c r="E4614" s="4" t="s">
        <v>1289</v>
      </c>
      <c r="F4614" s="4" t="n">
        <v>4</v>
      </c>
      <c r="G4614" s="4" t="n">
        <v>12</v>
      </c>
      <c r="H4614" s="4" t="n">
        <v>4</v>
      </c>
      <c r="I4614" s="4" t="str">
        <v>×</v>
      </c>
      <c r="J4614" s="4"/>
      <c r="K4614" s="4"/>
      <c r="L4614" s="4"/>
      <c r="M4614" s="7" t="s">
        <v>3577</v>
      </c>
    </row>
    <row r="4615" customFormat="false" ht="15.75" hidden="false" customHeight="false" outlineLevel="0" collapsed="false">
      <c r="A4615" s="3" t="n">
        <v>46235</v>
      </c>
      <c r="B4615" s="4" t="s">
        <v>334</v>
      </c>
      <c r="C4615" s="4" t="n">
        <v>7</v>
      </c>
      <c r="D4615" s="4" t="n">
        <v>3</v>
      </c>
      <c r="E4615" s="4" t="s">
        <v>3846</v>
      </c>
      <c r="F4615" s="4" t="n">
        <v>39</v>
      </c>
      <c r="G4615" s="4" t="n">
        <v>2</v>
      </c>
      <c r="H4615" s="4" t="n">
        <v>1</v>
      </c>
      <c r="I4615" s="4" t="str">
        <v>○</v>
      </c>
      <c r="J4615" s="4" t="n">
        <v>260</v>
      </c>
      <c r="K4615" s="4"/>
      <c r="L4615" s="4"/>
      <c r="M4615" s="7" t="s">
        <v>3577</v>
      </c>
    </row>
    <row r="4616" customFormat="false" ht="15.75" hidden="false" customHeight="false" outlineLevel="0" collapsed="false">
      <c r="A4616" s="3" t="n">
        <v>46235</v>
      </c>
      <c r="B4616" s="4" t="s">
        <v>334</v>
      </c>
      <c r="C4616" s="4" t="n">
        <v>7</v>
      </c>
      <c r="D4616" s="4" t="n">
        <v>4</v>
      </c>
      <c r="E4616" s="4" t="s">
        <v>2566</v>
      </c>
      <c r="F4616" s="4" t="n">
        <v>25</v>
      </c>
      <c r="G4616" s="4" t="n">
        <v>9</v>
      </c>
      <c r="H4616" s="4" t="n">
        <v>4</v>
      </c>
      <c r="I4616" s="4" t="str">
        <v>×</v>
      </c>
      <c r="J4616" s="4"/>
      <c r="K4616" s="4"/>
      <c r="L4616" s="4"/>
      <c r="M4616" s="7" t="s">
        <v>3577</v>
      </c>
    </row>
    <row r="4617" customFormat="false" ht="15.75" hidden="false" customHeight="false" outlineLevel="0" collapsed="false">
      <c r="A4617" s="3" t="n">
        <v>46235</v>
      </c>
      <c r="B4617" s="4" t="s">
        <v>334</v>
      </c>
      <c r="C4617" s="4" t="n">
        <v>7</v>
      </c>
      <c r="D4617" s="4" t="n">
        <v>5</v>
      </c>
      <c r="E4617" s="4" t="s">
        <v>2572</v>
      </c>
      <c r="F4617" s="4" t="n">
        <v>37</v>
      </c>
      <c r="G4617" s="4" t="n">
        <v>3</v>
      </c>
      <c r="H4617" s="4" t="n">
        <v>3</v>
      </c>
      <c r="I4617" s="4" t="str">
        <v>○</v>
      </c>
      <c r="J4617" s="4" t="n">
        <v>390</v>
      </c>
      <c r="K4617" s="4"/>
      <c r="L4617" s="4"/>
      <c r="M4617" s="7" t="s">
        <v>3577</v>
      </c>
    </row>
    <row r="4618" customFormat="false" ht="15.75" hidden="false" customHeight="false" outlineLevel="0" collapsed="false">
      <c r="A4618" s="3" t="n">
        <v>46235</v>
      </c>
      <c r="B4618" s="4" t="s">
        <v>334</v>
      </c>
      <c r="C4618" s="4" t="n">
        <v>7</v>
      </c>
      <c r="D4618" s="4" t="n">
        <v>6</v>
      </c>
      <c r="E4618" s="4" t="s">
        <v>3847</v>
      </c>
      <c r="F4618" s="4" t="n">
        <v>31</v>
      </c>
      <c r="G4618" s="4" t="n">
        <v>6</v>
      </c>
      <c r="H4618" s="4" t="n">
        <v>4</v>
      </c>
      <c r="I4618" s="4" t="str">
        <v>×</v>
      </c>
      <c r="J4618" s="4"/>
      <c r="K4618" s="4"/>
      <c r="L4618" s="4"/>
      <c r="M4618" s="7" t="s">
        <v>3577</v>
      </c>
    </row>
    <row r="4619" customFormat="false" ht="15.75" hidden="false" customHeight="false" outlineLevel="0" collapsed="false">
      <c r="A4619" s="3" t="n">
        <v>46235</v>
      </c>
      <c r="B4619" s="4" t="s">
        <v>334</v>
      </c>
      <c r="C4619" s="4" t="n">
        <v>7</v>
      </c>
      <c r="D4619" s="4" t="n">
        <v>7</v>
      </c>
      <c r="E4619" s="4" t="s">
        <v>1296</v>
      </c>
      <c r="F4619" s="4" t="n">
        <v>34</v>
      </c>
      <c r="G4619" s="4" t="n">
        <v>4</v>
      </c>
      <c r="H4619" s="4" t="n">
        <v>4</v>
      </c>
      <c r="I4619" s="4" t="str">
        <v>×</v>
      </c>
      <c r="J4619" s="4"/>
      <c r="K4619" s="4"/>
      <c r="L4619" s="4"/>
      <c r="M4619" s="7" t="s">
        <v>3577</v>
      </c>
    </row>
    <row r="4620" customFormat="false" ht="15.75" hidden="false" customHeight="false" outlineLevel="0" collapsed="false">
      <c r="A4620" s="3" t="n">
        <v>46235</v>
      </c>
      <c r="B4620" s="4" t="s">
        <v>334</v>
      </c>
      <c r="C4620" s="4" t="n">
        <v>7</v>
      </c>
      <c r="D4620" s="4" t="n">
        <v>8</v>
      </c>
      <c r="E4620" s="4" t="s">
        <v>1782</v>
      </c>
      <c r="F4620" s="4" t="n">
        <v>15</v>
      </c>
      <c r="G4620" s="4" t="n">
        <v>11</v>
      </c>
      <c r="H4620" s="4" t="n">
        <v>4</v>
      </c>
      <c r="I4620" s="4" t="str">
        <v>×</v>
      </c>
      <c r="J4620" s="4"/>
      <c r="K4620" s="4"/>
      <c r="L4620" s="4"/>
      <c r="M4620" s="7" t="s">
        <v>3577</v>
      </c>
    </row>
    <row r="4621" customFormat="false" ht="15.75" hidden="false" customHeight="false" outlineLevel="0" collapsed="false">
      <c r="A4621" s="3" t="n">
        <v>46235</v>
      </c>
      <c r="B4621" s="4" t="s">
        <v>334</v>
      </c>
      <c r="C4621" s="4" t="n">
        <v>7</v>
      </c>
      <c r="D4621" s="4" t="n">
        <v>9</v>
      </c>
      <c r="E4621" s="4" t="s">
        <v>382</v>
      </c>
      <c r="F4621" s="4" t="n">
        <v>17</v>
      </c>
      <c r="G4621" s="4" t="n">
        <v>10</v>
      </c>
      <c r="H4621" s="4" t="n">
        <v>4</v>
      </c>
      <c r="I4621" s="4" t="str">
        <v>×</v>
      </c>
      <c r="J4621" s="4"/>
      <c r="K4621" s="4"/>
      <c r="L4621" s="4"/>
      <c r="M4621" s="7" t="s">
        <v>3577</v>
      </c>
    </row>
    <row r="4622" customFormat="false" ht="15.75" hidden="false" customHeight="false" outlineLevel="0" collapsed="false">
      <c r="A4622" s="3" t="n">
        <v>46235</v>
      </c>
      <c r="B4622" s="4" t="s">
        <v>334</v>
      </c>
      <c r="C4622" s="4" t="n">
        <v>7</v>
      </c>
      <c r="D4622" s="4" t="n">
        <v>10</v>
      </c>
      <c r="E4622" s="4" t="s">
        <v>2926</v>
      </c>
      <c r="F4622" s="4" t="n">
        <v>94</v>
      </c>
      <c r="G4622" s="4" t="n">
        <v>1</v>
      </c>
      <c r="H4622" s="4" t="n">
        <v>4</v>
      </c>
      <c r="I4622" s="4" t="str">
        <v>×</v>
      </c>
      <c r="J4622" s="4"/>
      <c r="K4622" s="4"/>
      <c r="L4622" s="4"/>
      <c r="M4622" s="7" t="s">
        <v>3577</v>
      </c>
    </row>
    <row r="4623" customFormat="false" ht="15.75" hidden="false" customHeight="false" outlineLevel="0" collapsed="false">
      <c r="A4623" s="3" t="n">
        <v>46235</v>
      </c>
      <c r="B4623" s="4" t="s">
        <v>334</v>
      </c>
      <c r="C4623" s="4" t="n">
        <v>7</v>
      </c>
      <c r="D4623" s="4" t="n">
        <v>11</v>
      </c>
      <c r="E4623" s="4" t="s">
        <v>1304</v>
      </c>
      <c r="F4623" s="4" t="n">
        <v>31</v>
      </c>
      <c r="G4623" s="4" t="n">
        <v>6</v>
      </c>
      <c r="H4623" s="4" t="n">
        <v>2</v>
      </c>
      <c r="I4623" s="4" t="str">
        <v>○</v>
      </c>
      <c r="J4623" s="4" t="n">
        <v>320</v>
      </c>
      <c r="K4623" s="4"/>
      <c r="L4623" s="4"/>
      <c r="M4623" s="7" t="s">
        <v>3577</v>
      </c>
    </row>
    <row r="4624" customFormat="false" ht="15.75" hidden="false" customHeight="false" outlineLevel="0" collapsed="false">
      <c r="A4624" s="3" t="n">
        <v>46235</v>
      </c>
      <c r="B4624" s="4" t="s">
        <v>334</v>
      </c>
      <c r="C4624" s="4" t="n">
        <v>7</v>
      </c>
      <c r="D4624" s="4" t="n">
        <v>12</v>
      </c>
      <c r="E4624" s="4" t="s">
        <v>2210</v>
      </c>
      <c r="F4624" s="4" t="n">
        <v>34</v>
      </c>
      <c r="G4624" s="4" t="n">
        <v>4</v>
      </c>
      <c r="H4624" s="4" t="n">
        <v>4</v>
      </c>
      <c r="I4624" s="4" t="str">
        <v>×</v>
      </c>
      <c r="J4624" s="4"/>
      <c r="K4624" s="4"/>
      <c r="L4624" s="4"/>
      <c r="M4624" s="7" t="s">
        <v>3577</v>
      </c>
    </row>
    <row r="4625" customFormat="false" ht="15.75" hidden="false" customHeight="false" outlineLevel="0" collapsed="false">
      <c r="A4625" s="3" t="n">
        <v>46235</v>
      </c>
      <c r="B4625" s="4" t="s">
        <v>334</v>
      </c>
      <c r="C4625" s="4" t="n">
        <v>8</v>
      </c>
      <c r="D4625" s="4" t="n">
        <v>1</v>
      </c>
      <c r="E4625" s="4" t="s">
        <v>3848</v>
      </c>
      <c r="F4625" s="4" t="n">
        <v>20</v>
      </c>
      <c r="G4625" s="4" t="n">
        <v>7</v>
      </c>
      <c r="H4625" s="4" t="n">
        <v>4</v>
      </c>
      <c r="I4625" s="4" t="str">
        <v>×</v>
      </c>
      <c r="J4625" s="4"/>
      <c r="K4625" s="4"/>
      <c r="L4625" s="4"/>
      <c r="M4625" s="7" t="s">
        <v>3577</v>
      </c>
    </row>
    <row r="4626" customFormat="false" ht="15.75" hidden="false" customHeight="false" outlineLevel="0" collapsed="false">
      <c r="A4626" s="3" t="n">
        <v>46235</v>
      </c>
      <c r="B4626" s="4" t="s">
        <v>334</v>
      </c>
      <c r="C4626" s="4" t="n">
        <v>8</v>
      </c>
      <c r="D4626" s="4" t="n">
        <v>2</v>
      </c>
      <c r="E4626" s="4" t="s">
        <v>1315</v>
      </c>
      <c r="F4626" s="4" t="n">
        <v>15</v>
      </c>
      <c r="G4626" s="4" t="n">
        <v>9</v>
      </c>
      <c r="H4626" s="4" t="n">
        <v>4</v>
      </c>
      <c r="I4626" s="4" t="str">
        <v>×</v>
      </c>
      <c r="J4626" s="4"/>
      <c r="K4626" s="4"/>
      <c r="L4626" s="4"/>
      <c r="M4626" s="7" t="s">
        <v>3577</v>
      </c>
    </row>
    <row r="4627" customFormat="false" ht="15.75" hidden="false" customHeight="false" outlineLevel="0" collapsed="false">
      <c r="A4627" s="3" t="n">
        <v>46235</v>
      </c>
      <c r="B4627" s="4" t="s">
        <v>334</v>
      </c>
      <c r="C4627" s="4" t="n">
        <v>8</v>
      </c>
      <c r="D4627" s="4" t="n">
        <v>3</v>
      </c>
      <c r="E4627" s="4" t="s">
        <v>3849</v>
      </c>
      <c r="F4627" s="4" t="n">
        <v>6</v>
      </c>
      <c r="G4627" s="4" t="n">
        <v>11</v>
      </c>
      <c r="H4627" s="4" t="n">
        <v>4</v>
      </c>
      <c r="I4627" s="4" t="str">
        <v>×</v>
      </c>
      <c r="J4627" s="4"/>
      <c r="K4627" s="4"/>
      <c r="L4627" s="4"/>
      <c r="M4627" s="7" t="s">
        <v>3577</v>
      </c>
    </row>
    <row r="4628" customFormat="false" ht="15.75" hidden="false" customHeight="false" outlineLevel="0" collapsed="false">
      <c r="A4628" s="3" t="n">
        <v>46235</v>
      </c>
      <c r="B4628" s="4" t="s">
        <v>334</v>
      </c>
      <c r="C4628" s="4" t="n">
        <v>8</v>
      </c>
      <c r="D4628" s="4" t="n">
        <v>4</v>
      </c>
      <c r="E4628" s="4" t="s">
        <v>3850</v>
      </c>
      <c r="F4628" s="4" t="n">
        <v>66</v>
      </c>
      <c r="G4628" s="4" t="n">
        <v>1</v>
      </c>
      <c r="H4628" s="4" t="n">
        <v>1</v>
      </c>
      <c r="I4628" s="4" t="str">
        <v>○</v>
      </c>
      <c r="J4628" s="4" t="n">
        <v>110</v>
      </c>
      <c r="K4628" s="4"/>
      <c r="L4628" s="4"/>
      <c r="M4628" s="7" t="s">
        <v>3577</v>
      </c>
    </row>
    <row r="4629" customFormat="false" ht="15.75" hidden="false" customHeight="false" outlineLevel="0" collapsed="false">
      <c r="A4629" s="3" t="n">
        <v>46235</v>
      </c>
      <c r="B4629" s="4" t="s">
        <v>334</v>
      </c>
      <c r="C4629" s="4" t="n">
        <v>8</v>
      </c>
      <c r="D4629" s="4" t="n">
        <v>5</v>
      </c>
      <c r="E4629" s="4" t="s">
        <v>2631</v>
      </c>
      <c r="F4629" s="4" t="n">
        <v>31</v>
      </c>
      <c r="G4629" s="4" t="n">
        <v>4</v>
      </c>
      <c r="H4629" s="4" t="n">
        <v>4</v>
      </c>
      <c r="I4629" s="4" t="str">
        <v>×</v>
      </c>
      <c r="J4629" s="4"/>
      <c r="K4629" s="4"/>
      <c r="L4629" s="4"/>
      <c r="M4629" s="7" t="s">
        <v>3577</v>
      </c>
    </row>
    <row r="4630" customFormat="false" ht="15.75" hidden="false" customHeight="false" outlineLevel="0" collapsed="false">
      <c r="A4630" s="3" t="n">
        <v>46235</v>
      </c>
      <c r="B4630" s="4" t="s">
        <v>334</v>
      </c>
      <c r="C4630" s="4" t="n">
        <v>8</v>
      </c>
      <c r="D4630" s="4" t="n">
        <v>6</v>
      </c>
      <c r="E4630" s="4" t="s">
        <v>3851</v>
      </c>
      <c r="F4630" s="4" t="n">
        <v>13</v>
      </c>
      <c r="G4630" s="4" t="n">
        <v>10</v>
      </c>
      <c r="H4630" s="4" t="n">
        <v>4</v>
      </c>
      <c r="I4630" s="4" t="str">
        <v>×</v>
      </c>
      <c r="J4630" s="4"/>
      <c r="K4630" s="4"/>
      <c r="L4630" s="4"/>
      <c r="M4630" s="7" t="s">
        <v>3577</v>
      </c>
    </row>
    <row r="4631" customFormat="false" ht="15.75" hidden="false" customHeight="false" outlineLevel="0" collapsed="false">
      <c r="A4631" s="3" t="n">
        <v>46235</v>
      </c>
      <c r="B4631" s="4" t="s">
        <v>334</v>
      </c>
      <c r="C4631" s="4" t="n">
        <v>8</v>
      </c>
      <c r="D4631" s="4" t="n">
        <v>7</v>
      </c>
      <c r="E4631" s="4" t="s">
        <v>2495</v>
      </c>
      <c r="F4631" s="4" t="n">
        <v>20</v>
      </c>
      <c r="G4631" s="4" t="n">
        <v>7</v>
      </c>
      <c r="H4631" s="4" t="n">
        <v>4</v>
      </c>
      <c r="I4631" s="4" t="str">
        <v>×</v>
      </c>
      <c r="J4631" s="4"/>
      <c r="K4631" s="4"/>
      <c r="L4631" s="4"/>
      <c r="M4631" s="7" t="s">
        <v>3577</v>
      </c>
    </row>
    <row r="4632" customFormat="false" ht="15.75" hidden="false" customHeight="false" outlineLevel="0" collapsed="false">
      <c r="A4632" s="3" t="n">
        <v>46235</v>
      </c>
      <c r="B4632" s="4" t="s">
        <v>334</v>
      </c>
      <c r="C4632" s="4" t="n">
        <v>8</v>
      </c>
      <c r="D4632" s="4" t="n">
        <v>8</v>
      </c>
      <c r="E4632" s="4" t="s">
        <v>3852</v>
      </c>
      <c r="F4632" s="4" t="n">
        <v>37</v>
      </c>
      <c r="G4632" s="4" t="n">
        <v>3</v>
      </c>
      <c r="H4632" s="4" t="n">
        <v>3</v>
      </c>
      <c r="I4632" s="4" t="str">
        <v>○</v>
      </c>
      <c r="J4632" s="4" t="n">
        <v>230</v>
      </c>
      <c r="K4632" s="4"/>
      <c r="L4632" s="4"/>
      <c r="M4632" s="7" t="s">
        <v>3577</v>
      </c>
    </row>
    <row r="4633" customFormat="false" ht="15.75" hidden="false" customHeight="false" outlineLevel="0" collapsed="false">
      <c r="A4633" s="3" t="n">
        <v>46235</v>
      </c>
      <c r="B4633" s="4" t="s">
        <v>334</v>
      </c>
      <c r="C4633" s="4" t="n">
        <v>8</v>
      </c>
      <c r="D4633" s="4" t="n">
        <v>9</v>
      </c>
      <c r="E4633" s="4" t="s">
        <v>2986</v>
      </c>
      <c r="F4633" s="4" t="n">
        <v>23</v>
      </c>
      <c r="G4633" s="4" t="n">
        <v>6</v>
      </c>
      <c r="H4633" s="4" t="n">
        <v>4</v>
      </c>
      <c r="I4633" s="4" t="str">
        <v>×</v>
      </c>
      <c r="J4633" s="4"/>
      <c r="K4633" s="4"/>
      <c r="L4633" s="4"/>
      <c r="M4633" s="7" t="s">
        <v>3577</v>
      </c>
    </row>
    <row r="4634" customFormat="false" ht="15.75" hidden="false" customHeight="false" outlineLevel="0" collapsed="false">
      <c r="A4634" s="3" t="n">
        <v>46235</v>
      </c>
      <c r="B4634" s="4" t="s">
        <v>334</v>
      </c>
      <c r="C4634" s="4" t="n">
        <v>8</v>
      </c>
      <c r="D4634" s="4" t="n">
        <v>10</v>
      </c>
      <c r="E4634" s="4" t="s">
        <v>3853</v>
      </c>
      <c r="F4634" s="4" t="n">
        <v>29</v>
      </c>
      <c r="G4634" s="4" t="n">
        <v>5</v>
      </c>
      <c r="H4634" s="4" t="n">
        <v>2</v>
      </c>
      <c r="I4634" s="4" t="str">
        <v>○</v>
      </c>
      <c r="J4634" s="4" t="n">
        <v>410</v>
      </c>
      <c r="K4634" s="4"/>
      <c r="L4634" s="4"/>
      <c r="M4634" s="7" t="s">
        <v>3577</v>
      </c>
    </row>
    <row r="4635" customFormat="false" ht="15.75" hidden="false" customHeight="false" outlineLevel="0" collapsed="false">
      <c r="A4635" s="3" t="n">
        <v>46235</v>
      </c>
      <c r="B4635" s="4" t="s">
        <v>334</v>
      </c>
      <c r="C4635" s="4" t="n">
        <v>8</v>
      </c>
      <c r="D4635" s="4" t="n">
        <v>11</v>
      </c>
      <c r="E4635" s="4" t="s">
        <v>3854</v>
      </c>
      <c r="F4635" s="4" t="n">
        <v>39</v>
      </c>
      <c r="G4635" s="4" t="n">
        <v>2</v>
      </c>
      <c r="H4635" s="4" t="n">
        <v>4</v>
      </c>
      <c r="I4635" s="4" t="str">
        <v>×</v>
      </c>
      <c r="J4635" s="4"/>
      <c r="K4635" s="4"/>
      <c r="L4635" s="4"/>
      <c r="M4635" s="7" t="s">
        <v>3577</v>
      </c>
    </row>
    <row r="4636" customFormat="false" ht="15.75" hidden="false" customHeight="false" outlineLevel="0" collapsed="false">
      <c r="A4636" s="3" t="n">
        <v>46235</v>
      </c>
      <c r="B4636" s="4" t="s">
        <v>334</v>
      </c>
      <c r="C4636" s="4" t="n">
        <v>9</v>
      </c>
      <c r="D4636" s="4" t="n">
        <v>1</v>
      </c>
      <c r="E4636" s="4" t="s">
        <v>2639</v>
      </c>
      <c r="F4636" s="4" t="n">
        <v>29</v>
      </c>
      <c r="G4636" s="4" t="n">
        <v>5</v>
      </c>
      <c r="H4636" s="4" t="n">
        <v>3</v>
      </c>
      <c r="I4636" s="4" t="str">
        <v>○</v>
      </c>
      <c r="J4636" s="4"/>
      <c r="K4636" s="4"/>
      <c r="L4636" s="4"/>
      <c r="M4636" s="7" t="s">
        <v>3577</v>
      </c>
    </row>
    <row r="4637" customFormat="false" ht="15.75" hidden="false" customHeight="false" outlineLevel="0" collapsed="false">
      <c r="A4637" s="3" t="n">
        <v>46235</v>
      </c>
      <c r="B4637" s="4" t="s">
        <v>334</v>
      </c>
      <c r="C4637" s="4" t="n">
        <v>9</v>
      </c>
      <c r="D4637" s="4" t="n">
        <v>2</v>
      </c>
      <c r="E4637" s="4" t="s">
        <v>2640</v>
      </c>
      <c r="F4637" s="4" t="n">
        <v>60</v>
      </c>
      <c r="G4637" s="4" t="n">
        <v>2</v>
      </c>
      <c r="H4637" s="4" t="n">
        <v>4</v>
      </c>
      <c r="I4637" s="4" t="str">
        <v>×</v>
      </c>
      <c r="J4637" s="4"/>
      <c r="K4637" s="4"/>
      <c r="L4637" s="4"/>
      <c r="M4637" s="7" t="s">
        <v>3577</v>
      </c>
    </row>
    <row r="4638" customFormat="false" ht="15.75" hidden="false" customHeight="false" outlineLevel="0" collapsed="false">
      <c r="A4638" s="3" t="n">
        <v>46235</v>
      </c>
      <c r="B4638" s="4" t="s">
        <v>334</v>
      </c>
      <c r="C4638" s="4" t="n">
        <v>9</v>
      </c>
      <c r="D4638" s="4" t="n">
        <v>3</v>
      </c>
      <c r="E4638" s="4" t="s">
        <v>2644</v>
      </c>
      <c r="F4638" s="4" t="n">
        <v>31</v>
      </c>
      <c r="G4638" s="4" t="n">
        <v>4</v>
      </c>
      <c r="H4638" s="4" t="n">
        <v>4</v>
      </c>
      <c r="I4638" s="4" t="str">
        <v>×</v>
      </c>
      <c r="J4638" s="4"/>
      <c r="K4638" s="4"/>
      <c r="L4638" s="4"/>
      <c r="M4638" s="7" t="s">
        <v>3577</v>
      </c>
    </row>
    <row r="4639" customFormat="false" ht="15.75" hidden="false" customHeight="false" outlineLevel="0" collapsed="false">
      <c r="A4639" s="3" t="n">
        <v>46235</v>
      </c>
      <c r="B4639" s="4" t="s">
        <v>334</v>
      </c>
      <c r="C4639" s="4" t="n">
        <v>9</v>
      </c>
      <c r="D4639" s="4" t="n">
        <v>4</v>
      </c>
      <c r="E4639" s="4" t="s">
        <v>3855</v>
      </c>
      <c r="F4639" s="4" t="n">
        <v>15</v>
      </c>
      <c r="G4639" s="4" t="n">
        <v>7</v>
      </c>
      <c r="H4639" s="4" t="n">
        <v>4</v>
      </c>
      <c r="I4639" s="4" t="str">
        <v>×</v>
      </c>
      <c r="J4639" s="4"/>
      <c r="K4639" s="4"/>
      <c r="L4639" s="4"/>
      <c r="M4639" s="7" t="s">
        <v>3577</v>
      </c>
    </row>
    <row r="4640" customFormat="false" ht="15.75" hidden="false" customHeight="false" outlineLevel="0" collapsed="false">
      <c r="A4640" s="3" t="n">
        <v>46235</v>
      </c>
      <c r="B4640" s="4" t="s">
        <v>334</v>
      </c>
      <c r="C4640" s="4" t="n">
        <v>9</v>
      </c>
      <c r="D4640" s="4" t="n">
        <v>5</v>
      </c>
      <c r="E4640" s="4" t="s">
        <v>2968</v>
      </c>
      <c r="F4640" s="4" t="n">
        <v>20</v>
      </c>
      <c r="G4640" s="4" t="n">
        <v>6</v>
      </c>
      <c r="H4640" s="4" t="n">
        <v>2</v>
      </c>
      <c r="I4640" s="4" t="str">
        <v>○</v>
      </c>
      <c r="J4640" s="4" t="n">
        <v>790</v>
      </c>
      <c r="K4640" s="4"/>
      <c r="L4640" s="4"/>
      <c r="M4640" s="7" t="s">
        <v>3577</v>
      </c>
    </row>
    <row r="4641" customFormat="false" ht="15.75" hidden="false" customHeight="false" outlineLevel="0" collapsed="false">
      <c r="A4641" s="3" t="n">
        <v>46235</v>
      </c>
      <c r="B4641" s="4" t="s">
        <v>334</v>
      </c>
      <c r="C4641" s="4" t="n">
        <v>9</v>
      </c>
      <c r="D4641" s="4" t="n">
        <v>6</v>
      </c>
      <c r="E4641" s="4" t="s">
        <v>3856</v>
      </c>
      <c r="F4641" s="4" t="n">
        <v>67</v>
      </c>
      <c r="G4641" s="4" t="n">
        <v>1</v>
      </c>
      <c r="H4641" s="4" t="n">
        <v>4</v>
      </c>
      <c r="I4641" s="4" t="str">
        <v>×</v>
      </c>
      <c r="J4641" s="4"/>
      <c r="K4641" s="4"/>
      <c r="L4641" s="4"/>
      <c r="M4641" s="7" t="s">
        <v>3577</v>
      </c>
    </row>
    <row r="4642" customFormat="false" ht="15.75" hidden="false" customHeight="false" outlineLevel="0" collapsed="false">
      <c r="A4642" s="3" t="n">
        <v>46235</v>
      </c>
      <c r="B4642" s="4" t="s">
        <v>334</v>
      </c>
      <c r="C4642" s="4" t="n">
        <v>9</v>
      </c>
      <c r="D4642" s="4" t="n">
        <v>7</v>
      </c>
      <c r="E4642" s="4" t="s">
        <v>2642</v>
      </c>
      <c r="F4642" s="4" t="n">
        <v>47</v>
      </c>
      <c r="G4642" s="4" t="n">
        <v>3</v>
      </c>
      <c r="H4642" s="4" t="n">
        <v>1</v>
      </c>
      <c r="I4642" s="4" t="str">
        <v>○</v>
      </c>
      <c r="J4642" s="4" t="n">
        <v>300</v>
      </c>
      <c r="K4642" s="4"/>
      <c r="L4642" s="4"/>
      <c r="M4642" s="7" t="s">
        <v>3577</v>
      </c>
    </row>
    <row r="4643" customFormat="false" ht="15.75" hidden="false" customHeight="false" outlineLevel="0" collapsed="false">
      <c r="A4643" s="3" t="n">
        <v>46235</v>
      </c>
      <c r="B4643" s="4" t="s">
        <v>334</v>
      </c>
      <c r="C4643" s="4" t="n">
        <v>10</v>
      </c>
      <c r="D4643" s="4" t="n">
        <v>1</v>
      </c>
      <c r="E4643" s="4" t="s">
        <v>3857</v>
      </c>
      <c r="F4643" s="4" t="n">
        <v>56</v>
      </c>
      <c r="G4643" s="4" t="n">
        <v>1</v>
      </c>
      <c r="H4643" s="4" t="n">
        <v>1</v>
      </c>
      <c r="I4643" s="4" t="str">
        <v>○</v>
      </c>
      <c r="J4643" s="4" t="n">
        <v>140</v>
      </c>
      <c r="K4643" s="4"/>
      <c r="L4643" s="4"/>
      <c r="M4643" s="7" t="s">
        <v>3577</v>
      </c>
    </row>
    <row r="4644" customFormat="false" ht="15.75" hidden="false" customHeight="false" outlineLevel="0" collapsed="false">
      <c r="A4644" s="3" t="n">
        <v>46235</v>
      </c>
      <c r="B4644" s="4" t="s">
        <v>334</v>
      </c>
      <c r="C4644" s="4" t="n">
        <v>10</v>
      </c>
      <c r="D4644" s="4" t="n">
        <v>2</v>
      </c>
      <c r="E4644" s="4" t="s">
        <v>1373</v>
      </c>
      <c r="F4644" s="4" t="n">
        <v>6</v>
      </c>
      <c r="G4644" s="4" t="n">
        <v>12</v>
      </c>
      <c r="H4644" s="4" t="n">
        <v>4</v>
      </c>
      <c r="I4644" s="4" t="str">
        <v>×</v>
      </c>
      <c r="J4644" s="4"/>
      <c r="K4644" s="4"/>
      <c r="L4644" s="4"/>
      <c r="M4644" s="7" t="s">
        <v>3577</v>
      </c>
    </row>
    <row r="4645" customFormat="false" ht="15.75" hidden="false" customHeight="false" outlineLevel="0" collapsed="false">
      <c r="A4645" s="3" t="n">
        <v>46235</v>
      </c>
      <c r="B4645" s="4" t="s">
        <v>334</v>
      </c>
      <c r="C4645" s="4" t="n">
        <v>10</v>
      </c>
      <c r="D4645" s="4" t="n">
        <v>3</v>
      </c>
      <c r="E4645" s="4" t="s">
        <v>3858</v>
      </c>
      <c r="F4645" s="4" t="n">
        <v>44</v>
      </c>
      <c r="G4645" s="4" t="n">
        <v>3</v>
      </c>
      <c r="H4645" s="4" t="n">
        <v>4</v>
      </c>
      <c r="I4645" s="4" t="str">
        <v>×</v>
      </c>
      <c r="J4645" s="4"/>
      <c r="K4645" s="4"/>
      <c r="L4645" s="4"/>
      <c r="M4645" s="7" t="s">
        <v>3577</v>
      </c>
    </row>
    <row r="4646" customFormat="false" ht="15.75" hidden="false" customHeight="false" outlineLevel="0" collapsed="false">
      <c r="A4646" s="3" t="n">
        <v>46235</v>
      </c>
      <c r="B4646" s="4" t="s">
        <v>334</v>
      </c>
      <c r="C4646" s="4" t="n">
        <v>10</v>
      </c>
      <c r="D4646" s="4" t="n">
        <v>4</v>
      </c>
      <c r="E4646" s="4" t="s">
        <v>3859</v>
      </c>
      <c r="F4646" s="4" t="n">
        <v>8</v>
      </c>
      <c r="G4646" s="4" t="n">
        <v>11</v>
      </c>
      <c r="H4646" s="4" t="n">
        <v>4</v>
      </c>
      <c r="I4646" s="4" t="str">
        <v>×</v>
      </c>
      <c r="J4646" s="4"/>
      <c r="K4646" s="4"/>
      <c r="L4646" s="4"/>
      <c r="M4646" s="7" t="s">
        <v>3577</v>
      </c>
    </row>
    <row r="4647" customFormat="false" ht="15.75" hidden="false" customHeight="false" outlineLevel="0" collapsed="false">
      <c r="A4647" s="3" t="n">
        <v>46235</v>
      </c>
      <c r="B4647" s="4" t="s">
        <v>334</v>
      </c>
      <c r="C4647" s="4" t="n">
        <v>10</v>
      </c>
      <c r="D4647" s="4" t="n">
        <v>5</v>
      </c>
      <c r="E4647" s="4" t="s">
        <v>3860</v>
      </c>
      <c r="F4647" s="4" t="n">
        <v>37</v>
      </c>
      <c r="G4647" s="4" t="n">
        <v>4</v>
      </c>
      <c r="H4647" s="4" t="n">
        <v>3</v>
      </c>
      <c r="I4647" s="4" t="str">
        <v>○</v>
      </c>
      <c r="J4647" s="4" t="n">
        <v>150</v>
      </c>
      <c r="K4647" s="4"/>
      <c r="L4647" s="4"/>
      <c r="M4647" s="7" t="s">
        <v>3577</v>
      </c>
    </row>
    <row r="4648" customFormat="false" ht="15.75" hidden="false" customHeight="false" outlineLevel="0" collapsed="false">
      <c r="A4648" s="3" t="n">
        <v>46235</v>
      </c>
      <c r="B4648" s="4" t="s">
        <v>334</v>
      </c>
      <c r="C4648" s="4" t="n">
        <v>10</v>
      </c>
      <c r="D4648" s="4" t="n">
        <v>6</v>
      </c>
      <c r="E4648" s="4" t="s">
        <v>2967</v>
      </c>
      <c r="F4648" s="4" t="n">
        <v>23</v>
      </c>
      <c r="G4648" s="4" t="n">
        <v>6</v>
      </c>
      <c r="H4648" s="4" t="n">
        <v>4</v>
      </c>
      <c r="I4648" s="4" t="str">
        <v>×</v>
      </c>
      <c r="J4648" s="4"/>
      <c r="K4648" s="4"/>
      <c r="L4648" s="4"/>
      <c r="M4648" s="7" t="s">
        <v>3577</v>
      </c>
    </row>
    <row r="4649" customFormat="false" ht="15.75" hidden="false" customHeight="false" outlineLevel="0" collapsed="false">
      <c r="A4649" s="3" t="n">
        <v>46235</v>
      </c>
      <c r="B4649" s="4" t="s">
        <v>334</v>
      </c>
      <c r="C4649" s="4" t="n">
        <v>10</v>
      </c>
      <c r="D4649" s="4" t="n">
        <v>7</v>
      </c>
      <c r="E4649" s="4" t="s">
        <v>3861</v>
      </c>
      <c r="F4649" s="4" t="n">
        <v>25</v>
      </c>
      <c r="G4649" s="4" t="n">
        <v>5</v>
      </c>
      <c r="H4649" s="4" t="n">
        <v>4</v>
      </c>
      <c r="I4649" s="4" t="str">
        <v>×</v>
      </c>
      <c r="J4649" s="4"/>
      <c r="K4649" s="4"/>
      <c r="L4649" s="4"/>
      <c r="M4649" s="7" t="s">
        <v>3577</v>
      </c>
    </row>
    <row r="4650" customFormat="false" ht="15.75" hidden="false" customHeight="false" outlineLevel="0" collapsed="false">
      <c r="A4650" s="3" t="n">
        <v>46235</v>
      </c>
      <c r="B4650" s="4" t="s">
        <v>334</v>
      </c>
      <c r="C4650" s="4" t="n">
        <v>10</v>
      </c>
      <c r="D4650" s="4" t="n">
        <v>8</v>
      </c>
      <c r="E4650" s="4" t="s">
        <v>3862</v>
      </c>
      <c r="F4650" s="4" t="n">
        <v>52</v>
      </c>
      <c r="G4650" s="4" t="n">
        <v>2</v>
      </c>
      <c r="H4650" s="4" t="n">
        <v>2</v>
      </c>
      <c r="I4650" s="4" t="str">
        <v>○</v>
      </c>
      <c r="J4650" s="4" t="n">
        <v>130</v>
      </c>
      <c r="K4650" s="4"/>
      <c r="L4650" s="4"/>
      <c r="M4650" s="7" t="s">
        <v>3577</v>
      </c>
    </row>
    <row r="4651" customFormat="false" ht="15.75" hidden="false" customHeight="false" outlineLevel="0" collapsed="false">
      <c r="A4651" s="3" t="n">
        <v>46235</v>
      </c>
      <c r="B4651" s="4" t="s">
        <v>334</v>
      </c>
      <c r="C4651" s="4" t="n">
        <v>10</v>
      </c>
      <c r="D4651" s="4" t="n">
        <v>9</v>
      </c>
      <c r="E4651" s="4" t="s">
        <v>1793</v>
      </c>
      <c r="F4651" s="4" t="n">
        <v>3</v>
      </c>
      <c r="G4651" s="4" t="n">
        <v>14</v>
      </c>
      <c r="H4651" s="4" t="n">
        <v>4</v>
      </c>
      <c r="I4651" s="4" t="str">
        <v>×</v>
      </c>
      <c r="J4651" s="4"/>
      <c r="K4651" s="4"/>
      <c r="L4651" s="4"/>
      <c r="M4651" s="7" t="s">
        <v>3577</v>
      </c>
    </row>
    <row r="4652" customFormat="false" ht="15.75" hidden="false" customHeight="false" outlineLevel="0" collapsed="false">
      <c r="A4652" s="3" t="n">
        <v>46235</v>
      </c>
      <c r="B4652" s="4" t="s">
        <v>334</v>
      </c>
      <c r="C4652" s="4" t="n">
        <v>10</v>
      </c>
      <c r="D4652" s="4" t="n">
        <v>10</v>
      </c>
      <c r="E4652" s="4" t="s">
        <v>3863</v>
      </c>
      <c r="F4652" s="4" t="n">
        <v>17</v>
      </c>
      <c r="G4652" s="4" t="n">
        <v>8</v>
      </c>
      <c r="H4652" s="4" t="n">
        <v>4</v>
      </c>
      <c r="I4652" s="4" t="str">
        <v>×</v>
      </c>
      <c r="J4652" s="4"/>
      <c r="K4652" s="4"/>
      <c r="L4652" s="4"/>
      <c r="M4652" s="7" t="s">
        <v>3577</v>
      </c>
    </row>
    <row r="4653" customFormat="false" ht="15.75" hidden="false" customHeight="false" outlineLevel="0" collapsed="false">
      <c r="A4653" s="3" t="n">
        <v>46235</v>
      </c>
      <c r="B4653" s="4" t="s">
        <v>334</v>
      </c>
      <c r="C4653" s="4" t="n">
        <v>10</v>
      </c>
      <c r="D4653" s="4" t="n">
        <v>11</v>
      </c>
      <c r="E4653" s="4" t="s">
        <v>3864</v>
      </c>
      <c r="F4653" s="4" t="n">
        <v>10</v>
      </c>
      <c r="G4653" s="4" t="n">
        <v>10</v>
      </c>
      <c r="H4653" s="4" t="n">
        <v>4</v>
      </c>
      <c r="I4653" s="4" t="str">
        <v>×</v>
      </c>
      <c r="J4653" s="4"/>
      <c r="K4653" s="4"/>
      <c r="L4653" s="4"/>
      <c r="M4653" s="7" t="s">
        <v>3577</v>
      </c>
    </row>
    <row r="4654" customFormat="false" ht="15.75" hidden="false" customHeight="false" outlineLevel="0" collapsed="false">
      <c r="A4654" s="3" t="n">
        <v>46235</v>
      </c>
      <c r="B4654" s="4" t="s">
        <v>334</v>
      </c>
      <c r="C4654" s="4" t="n">
        <v>10</v>
      </c>
      <c r="D4654" s="4" t="n">
        <v>12</v>
      </c>
      <c r="E4654" s="4" t="s">
        <v>3865</v>
      </c>
      <c r="F4654" s="4" t="n">
        <v>20</v>
      </c>
      <c r="G4654" s="4" t="n">
        <v>7</v>
      </c>
      <c r="H4654" s="4" t="n">
        <v>4</v>
      </c>
      <c r="I4654" s="4" t="str">
        <v>×</v>
      </c>
      <c r="J4654" s="4"/>
      <c r="K4654" s="4"/>
      <c r="L4654" s="4"/>
      <c r="M4654" s="7" t="s">
        <v>3577</v>
      </c>
    </row>
    <row r="4655" customFormat="false" ht="15.75" hidden="false" customHeight="false" outlineLevel="0" collapsed="false">
      <c r="A4655" s="3" t="n">
        <v>46235</v>
      </c>
      <c r="B4655" s="4" t="s">
        <v>334</v>
      </c>
      <c r="C4655" s="4" t="n">
        <v>10</v>
      </c>
      <c r="D4655" s="4" t="n">
        <v>13</v>
      </c>
      <c r="E4655" s="4" t="s">
        <v>3866</v>
      </c>
      <c r="F4655" s="4" t="n">
        <v>17</v>
      </c>
      <c r="G4655" s="4" t="n">
        <v>8</v>
      </c>
      <c r="H4655" s="4" t="n">
        <v>4</v>
      </c>
      <c r="I4655" s="4" t="str">
        <v>×</v>
      </c>
      <c r="J4655" s="4"/>
      <c r="K4655" s="4"/>
      <c r="L4655" s="4"/>
      <c r="M4655" s="7" t="s">
        <v>3577</v>
      </c>
    </row>
    <row r="4656" customFormat="false" ht="15.75" hidden="false" customHeight="false" outlineLevel="0" collapsed="false">
      <c r="A4656" s="3" t="n">
        <v>46235</v>
      </c>
      <c r="B4656" s="4" t="s">
        <v>334</v>
      </c>
      <c r="C4656" s="4" t="n">
        <v>10</v>
      </c>
      <c r="D4656" s="4" t="n">
        <v>14</v>
      </c>
      <c r="E4656" s="4" t="s">
        <v>1271</v>
      </c>
      <c r="F4656" s="4" t="n">
        <v>4</v>
      </c>
      <c r="G4656" s="4" t="n">
        <v>13</v>
      </c>
      <c r="H4656" s="4" t="n">
        <v>4</v>
      </c>
      <c r="I4656" s="4" t="str">
        <v>×</v>
      </c>
      <c r="J4656" s="4"/>
      <c r="K4656" s="4"/>
      <c r="L4656" s="4"/>
      <c r="M4656" s="7" t="s">
        <v>3577</v>
      </c>
    </row>
    <row r="4657" customFormat="false" ht="15.75" hidden="false" customHeight="false" outlineLevel="0" collapsed="false">
      <c r="A4657" s="3" t="n">
        <v>46235</v>
      </c>
      <c r="B4657" s="4" t="s">
        <v>334</v>
      </c>
      <c r="C4657" s="4" t="n">
        <v>11</v>
      </c>
      <c r="D4657" s="4" t="n">
        <v>1</v>
      </c>
      <c r="E4657" s="4" t="s">
        <v>3867</v>
      </c>
      <c r="F4657" s="4" t="n">
        <v>3</v>
      </c>
      <c r="G4657" s="4" t="n">
        <v>15</v>
      </c>
      <c r="H4657" s="4" t="n">
        <v>4</v>
      </c>
      <c r="I4657" s="4" t="str">
        <v>×</v>
      </c>
      <c r="J4657" s="4"/>
      <c r="K4657" s="4"/>
      <c r="L4657" s="4"/>
      <c r="M4657" s="7" t="s">
        <v>3577</v>
      </c>
    </row>
    <row r="4658" customFormat="false" ht="15.75" hidden="false" customHeight="false" outlineLevel="0" collapsed="false">
      <c r="A4658" s="3" t="n">
        <v>46235</v>
      </c>
      <c r="B4658" s="4" t="s">
        <v>334</v>
      </c>
      <c r="C4658" s="4" t="n">
        <v>11</v>
      </c>
      <c r="D4658" s="4" t="n">
        <v>2</v>
      </c>
      <c r="E4658" s="4" t="s">
        <v>2529</v>
      </c>
      <c r="F4658" s="4" t="n">
        <v>17</v>
      </c>
      <c r="G4658" s="4" t="n">
        <v>9</v>
      </c>
      <c r="H4658" s="4" t="n">
        <v>4</v>
      </c>
      <c r="I4658" s="4" t="str">
        <v>×</v>
      </c>
      <c r="J4658" s="4"/>
      <c r="K4658" s="4"/>
      <c r="L4658" s="4"/>
      <c r="M4658" s="7" t="s">
        <v>3577</v>
      </c>
    </row>
    <row r="4659" customFormat="false" ht="15.75" hidden="false" customHeight="false" outlineLevel="0" collapsed="false">
      <c r="A4659" s="3" t="n">
        <v>46235</v>
      </c>
      <c r="B4659" s="4" t="s">
        <v>334</v>
      </c>
      <c r="C4659" s="4" t="n">
        <v>11</v>
      </c>
      <c r="D4659" s="4" t="n">
        <v>3</v>
      </c>
      <c r="E4659" s="4" t="s">
        <v>2260</v>
      </c>
      <c r="F4659" s="4" t="n">
        <v>25</v>
      </c>
      <c r="G4659" s="4" t="n">
        <v>5</v>
      </c>
      <c r="H4659" s="4" t="n">
        <v>4</v>
      </c>
      <c r="I4659" s="4" t="str">
        <v>×</v>
      </c>
      <c r="J4659" s="4"/>
      <c r="K4659" s="4"/>
      <c r="L4659" s="4"/>
      <c r="M4659" s="7" t="s">
        <v>3577</v>
      </c>
    </row>
    <row r="4660" customFormat="false" ht="15.75" hidden="false" customHeight="false" outlineLevel="0" collapsed="false">
      <c r="A4660" s="3" t="n">
        <v>46235</v>
      </c>
      <c r="B4660" s="4" t="s">
        <v>334</v>
      </c>
      <c r="C4660" s="4" t="n">
        <v>11</v>
      </c>
      <c r="D4660" s="4" t="n">
        <v>4</v>
      </c>
      <c r="E4660" s="4" t="s">
        <v>3868</v>
      </c>
      <c r="F4660" s="4" t="n">
        <v>23</v>
      </c>
      <c r="G4660" s="4" t="n">
        <v>8</v>
      </c>
      <c r="H4660" s="4" t="n">
        <v>4</v>
      </c>
      <c r="I4660" s="4" t="str">
        <v>×</v>
      </c>
      <c r="J4660" s="4"/>
      <c r="K4660" s="4"/>
      <c r="L4660" s="4"/>
      <c r="M4660" s="7" t="s">
        <v>3577</v>
      </c>
    </row>
    <row r="4661" customFormat="false" ht="15.75" hidden="false" customHeight="false" outlineLevel="0" collapsed="false">
      <c r="A4661" s="3" t="n">
        <v>46235</v>
      </c>
      <c r="B4661" s="4" t="s">
        <v>334</v>
      </c>
      <c r="C4661" s="4" t="n">
        <v>11</v>
      </c>
      <c r="D4661" s="4" t="n">
        <v>5</v>
      </c>
      <c r="E4661" s="4" t="s">
        <v>3869</v>
      </c>
      <c r="F4661" s="4" t="n">
        <v>2</v>
      </c>
      <c r="G4661" s="4" t="n">
        <v>16</v>
      </c>
      <c r="H4661" s="4" t="n">
        <v>4</v>
      </c>
      <c r="I4661" s="4" t="str">
        <v>×</v>
      </c>
      <c r="J4661" s="4"/>
      <c r="K4661" s="4"/>
      <c r="L4661" s="4"/>
      <c r="M4661" s="7" t="s">
        <v>3577</v>
      </c>
    </row>
    <row r="4662" customFormat="false" ht="15.75" hidden="false" customHeight="false" outlineLevel="0" collapsed="false">
      <c r="A4662" s="3" t="n">
        <v>46235</v>
      </c>
      <c r="B4662" s="4" t="s">
        <v>334</v>
      </c>
      <c r="C4662" s="4" t="n">
        <v>11</v>
      </c>
      <c r="D4662" s="4" t="n">
        <v>6</v>
      </c>
      <c r="E4662" s="4" t="s">
        <v>1062</v>
      </c>
      <c r="F4662" s="4" t="n">
        <v>29</v>
      </c>
      <c r="G4662" s="4" t="n">
        <v>4</v>
      </c>
      <c r="H4662" s="4" t="n">
        <v>4</v>
      </c>
      <c r="I4662" s="4" t="str">
        <v>×</v>
      </c>
      <c r="J4662" s="4"/>
      <c r="K4662" s="4"/>
      <c r="L4662" s="4"/>
      <c r="M4662" s="7" t="s">
        <v>3577</v>
      </c>
    </row>
    <row r="4663" customFormat="false" ht="15.75" hidden="false" customHeight="false" outlineLevel="0" collapsed="false">
      <c r="A4663" s="3" t="n">
        <v>46235</v>
      </c>
      <c r="B4663" s="4" t="s">
        <v>334</v>
      </c>
      <c r="C4663" s="4" t="n">
        <v>11</v>
      </c>
      <c r="D4663" s="4" t="n">
        <v>7</v>
      </c>
      <c r="E4663" s="4" t="s">
        <v>3870</v>
      </c>
      <c r="F4663" s="4" t="n">
        <v>39</v>
      </c>
      <c r="G4663" s="4" t="n">
        <v>3</v>
      </c>
      <c r="H4663" s="4" t="n">
        <v>4</v>
      </c>
      <c r="I4663" s="4" t="str">
        <v>×</v>
      </c>
      <c r="J4663" s="4"/>
      <c r="K4663" s="4"/>
      <c r="L4663" s="4"/>
      <c r="M4663" s="7" t="s">
        <v>3577</v>
      </c>
    </row>
    <row r="4664" customFormat="false" ht="15.75" hidden="false" customHeight="false" outlineLevel="0" collapsed="false">
      <c r="A4664" s="3" t="n">
        <v>46235</v>
      </c>
      <c r="B4664" s="4" t="s">
        <v>334</v>
      </c>
      <c r="C4664" s="4" t="n">
        <v>11</v>
      </c>
      <c r="D4664" s="4" t="n">
        <v>8</v>
      </c>
      <c r="E4664" s="4" t="s">
        <v>3871</v>
      </c>
      <c r="F4664" s="4" t="n">
        <v>47</v>
      </c>
      <c r="G4664" s="4" t="n">
        <v>1</v>
      </c>
      <c r="H4664" s="4" t="n">
        <v>4</v>
      </c>
      <c r="I4664" s="4" t="str">
        <v>×</v>
      </c>
      <c r="J4664" s="4"/>
      <c r="K4664" s="4"/>
      <c r="L4664" s="4"/>
      <c r="M4664" s="7" t="s">
        <v>3577</v>
      </c>
    </row>
    <row r="4665" customFormat="false" ht="15.75" hidden="false" customHeight="false" outlineLevel="0" collapsed="false">
      <c r="A4665" s="3" t="n">
        <v>46235</v>
      </c>
      <c r="B4665" s="4" t="s">
        <v>334</v>
      </c>
      <c r="C4665" s="4" t="n">
        <v>11</v>
      </c>
      <c r="D4665" s="4" t="n">
        <v>9</v>
      </c>
      <c r="E4665" s="4" t="s">
        <v>2637</v>
      </c>
      <c r="F4665" s="4" t="n">
        <v>17</v>
      </c>
      <c r="G4665" s="4" t="n">
        <v>9</v>
      </c>
      <c r="H4665" s="4" t="n">
        <v>4</v>
      </c>
      <c r="I4665" s="4" t="str">
        <v>×</v>
      </c>
      <c r="J4665" s="4"/>
      <c r="K4665" s="4"/>
      <c r="L4665" s="4"/>
      <c r="M4665" s="7" t="s">
        <v>3577</v>
      </c>
    </row>
    <row r="4666" customFormat="false" ht="15.75" hidden="false" customHeight="false" outlineLevel="0" collapsed="false">
      <c r="A4666" s="3" t="n">
        <v>46235</v>
      </c>
      <c r="B4666" s="4" t="s">
        <v>334</v>
      </c>
      <c r="C4666" s="4" t="n">
        <v>11</v>
      </c>
      <c r="D4666" s="4" t="n">
        <v>10</v>
      </c>
      <c r="E4666" s="4" t="s">
        <v>3872</v>
      </c>
      <c r="F4666" s="4" t="n">
        <v>25</v>
      </c>
      <c r="G4666" s="4" t="n">
        <v>5</v>
      </c>
      <c r="H4666" s="4" t="n">
        <v>1</v>
      </c>
      <c r="I4666" s="4" t="str">
        <v>○</v>
      </c>
      <c r="J4666" s="4" t="n">
        <v>240</v>
      </c>
      <c r="K4666" s="4"/>
      <c r="L4666" s="4"/>
      <c r="M4666" s="7" t="s">
        <v>3577</v>
      </c>
    </row>
    <row r="4667" customFormat="false" ht="15.75" hidden="false" customHeight="false" outlineLevel="0" collapsed="false">
      <c r="A4667" s="3" t="n">
        <v>46235</v>
      </c>
      <c r="B4667" s="4" t="s">
        <v>334</v>
      </c>
      <c r="C4667" s="4" t="n">
        <v>11</v>
      </c>
      <c r="D4667" s="4" t="n">
        <v>11</v>
      </c>
      <c r="E4667" s="4" t="s">
        <v>2264</v>
      </c>
      <c r="F4667" s="4" t="n">
        <v>13</v>
      </c>
      <c r="G4667" s="4" t="n">
        <v>13</v>
      </c>
      <c r="H4667" s="4" t="n">
        <v>3</v>
      </c>
      <c r="I4667" s="4" t="str">
        <v>○</v>
      </c>
      <c r="J4667" s="4" t="n">
        <v>190</v>
      </c>
      <c r="K4667" s="4"/>
      <c r="L4667" s="4"/>
      <c r="M4667" s="7" t="s">
        <v>3577</v>
      </c>
    </row>
    <row r="4668" customFormat="false" ht="15.75" hidden="false" customHeight="false" outlineLevel="0" collapsed="false">
      <c r="A4668" s="3" t="n">
        <v>46235</v>
      </c>
      <c r="B4668" s="4" t="s">
        <v>334</v>
      </c>
      <c r="C4668" s="4" t="n">
        <v>11</v>
      </c>
      <c r="D4668" s="4" t="n">
        <v>12</v>
      </c>
      <c r="E4668" s="4" t="s">
        <v>3304</v>
      </c>
      <c r="F4668" s="4" t="n">
        <v>47</v>
      </c>
      <c r="G4668" s="4" t="n">
        <v>1</v>
      </c>
      <c r="H4668" s="4" t="n">
        <v>2</v>
      </c>
      <c r="I4668" s="4" t="str">
        <v>○</v>
      </c>
      <c r="J4668" s="4" t="n">
        <v>180</v>
      </c>
      <c r="K4668" s="4"/>
      <c r="L4668" s="4"/>
      <c r="M4668" s="7" t="s">
        <v>3577</v>
      </c>
    </row>
    <row r="4669" customFormat="false" ht="15.75" hidden="false" customHeight="false" outlineLevel="0" collapsed="false">
      <c r="A4669" s="3" t="n">
        <v>46235</v>
      </c>
      <c r="B4669" s="4" t="s">
        <v>334</v>
      </c>
      <c r="C4669" s="4" t="n">
        <v>11</v>
      </c>
      <c r="D4669" s="4" t="n">
        <v>13</v>
      </c>
      <c r="E4669" s="4" t="s">
        <v>3873</v>
      </c>
      <c r="F4669" s="4" t="n">
        <v>17</v>
      </c>
      <c r="G4669" s="4" t="n">
        <v>9</v>
      </c>
      <c r="H4669" s="4" t="n">
        <v>4</v>
      </c>
      <c r="I4669" s="4" t="str">
        <v>×</v>
      </c>
      <c r="J4669" s="4"/>
      <c r="K4669" s="4"/>
      <c r="L4669" s="4"/>
      <c r="M4669" s="7" t="s">
        <v>3577</v>
      </c>
    </row>
    <row r="4670" customFormat="false" ht="15.75" hidden="false" customHeight="false" outlineLevel="0" collapsed="false">
      <c r="A4670" s="3" t="n">
        <v>46235</v>
      </c>
      <c r="B4670" s="4" t="s">
        <v>334</v>
      </c>
      <c r="C4670" s="4" t="n">
        <v>11</v>
      </c>
      <c r="D4670" s="4" t="n">
        <v>14</v>
      </c>
      <c r="E4670" s="4" t="s">
        <v>3874</v>
      </c>
      <c r="F4670" s="4" t="n">
        <v>17</v>
      </c>
      <c r="G4670" s="4" t="n">
        <v>9</v>
      </c>
      <c r="H4670" s="4" t="n">
        <v>4</v>
      </c>
      <c r="I4670" s="4" t="str">
        <v>×</v>
      </c>
      <c r="J4670" s="4"/>
      <c r="K4670" s="4"/>
      <c r="L4670" s="4"/>
      <c r="M4670" s="7" t="s">
        <v>3577</v>
      </c>
    </row>
    <row r="4671" customFormat="false" ht="15.75" hidden="false" customHeight="false" outlineLevel="0" collapsed="false">
      <c r="A4671" s="3" t="n">
        <v>46235</v>
      </c>
      <c r="B4671" s="4" t="s">
        <v>334</v>
      </c>
      <c r="C4671" s="4" t="n">
        <v>11</v>
      </c>
      <c r="D4671" s="4" t="n">
        <v>15</v>
      </c>
      <c r="E4671" s="4" t="s">
        <v>3875</v>
      </c>
      <c r="F4671" s="4" t="n">
        <v>8</v>
      </c>
      <c r="G4671" s="4" t="n">
        <v>14</v>
      </c>
      <c r="H4671" s="4" t="n">
        <v>4</v>
      </c>
      <c r="I4671" s="4" t="str">
        <v>×</v>
      </c>
      <c r="J4671" s="4"/>
      <c r="K4671" s="4"/>
      <c r="L4671" s="4"/>
      <c r="M4671" s="7" t="s">
        <v>3577</v>
      </c>
    </row>
    <row r="4672" customFormat="false" ht="15.75" hidden="false" customHeight="false" outlineLevel="0" collapsed="false">
      <c r="A4672" s="3" t="n">
        <v>46235</v>
      </c>
      <c r="B4672" s="4" t="s">
        <v>334</v>
      </c>
      <c r="C4672" s="4" t="n">
        <v>11</v>
      </c>
      <c r="D4672" s="4" t="n">
        <v>16</v>
      </c>
      <c r="E4672" s="4" t="s">
        <v>3876</v>
      </c>
      <c r="F4672" s="4" t="n">
        <v>25</v>
      </c>
      <c r="G4672" s="4" t="n">
        <v>5</v>
      </c>
      <c r="H4672" s="4" t="n">
        <v>4</v>
      </c>
      <c r="I4672" s="4" t="str">
        <v>×</v>
      </c>
      <c r="J4672" s="4"/>
      <c r="K4672" s="4"/>
      <c r="L4672" s="4"/>
      <c r="M4672" s="7" t="s">
        <v>3577</v>
      </c>
    </row>
    <row r="4673" customFormat="false" ht="15.75" hidden="false" customHeight="false" outlineLevel="0" collapsed="false">
      <c r="A4673" s="3" t="n">
        <v>46235</v>
      </c>
      <c r="B4673" s="4" t="s">
        <v>334</v>
      </c>
      <c r="C4673" s="4" t="n">
        <v>12</v>
      </c>
      <c r="D4673" s="4" t="n">
        <v>1</v>
      </c>
      <c r="E4673" s="4" t="s">
        <v>3527</v>
      </c>
      <c r="F4673" s="4" t="n">
        <v>31</v>
      </c>
      <c r="G4673" s="4" t="n">
        <v>3</v>
      </c>
      <c r="H4673" s="4" t="n">
        <v>1</v>
      </c>
      <c r="I4673" s="4" t="str">
        <v>○</v>
      </c>
      <c r="J4673" s="4" t="n">
        <v>210</v>
      </c>
      <c r="K4673" s="4"/>
      <c r="L4673" s="4"/>
      <c r="M4673" s="7" t="s">
        <v>3577</v>
      </c>
    </row>
    <row r="4674" customFormat="false" ht="15.75" hidden="false" customHeight="false" outlineLevel="0" collapsed="false">
      <c r="A4674" s="3" t="n">
        <v>46235</v>
      </c>
      <c r="B4674" s="4" t="s">
        <v>334</v>
      </c>
      <c r="C4674" s="4" t="n">
        <v>12</v>
      </c>
      <c r="D4674" s="4" t="n">
        <v>2</v>
      </c>
      <c r="E4674" s="4" t="s">
        <v>2977</v>
      </c>
      <c r="F4674" s="4" t="n">
        <v>23</v>
      </c>
      <c r="G4674" s="4" t="n">
        <v>6</v>
      </c>
      <c r="H4674" s="4" t="n">
        <v>4</v>
      </c>
      <c r="I4674" s="4" t="str">
        <v>×</v>
      </c>
      <c r="J4674" s="4"/>
      <c r="K4674" s="4"/>
      <c r="L4674" s="4"/>
      <c r="M4674" s="7" t="s">
        <v>3577</v>
      </c>
    </row>
    <row r="4675" customFormat="false" ht="15.75" hidden="false" customHeight="false" outlineLevel="0" collapsed="false">
      <c r="A4675" s="3" t="n">
        <v>46235</v>
      </c>
      <c r="B4675" s="4" t="s">
        <v>334</v>
      </c>
      <c r="C4675" s="4" t="n">
        <v>12</v>
      </c>
      <c r="D4675" s="4" t="n">
        <v>3</v>
      </c>
      <c r="E4675" s="4" t="s">
        <v>2975</v>
      </c>
      <c r="F4675" s="4" t="n">
        <v>52</v>
      </c>
      <c r="G4675" s="4" t="n">
        <v>2</v>
      </c>
      <c r="H4675" s="4" t="n">
        <v>2</v>
      </c>
      <c r="I4675" s="4" t="str">
        <v>○</v>
      </c>
      <c r="J4675" s="4" t="n">
        <v>130</v>
      </c>
      <c r="K4675" s="4"/>
      <c r="L4675" s="4"/>
      <c r="M4675" s="7" t="s">
        <v>3577</v>
      </c>
    </row>
    <row r="4676" customFormat="false" ht="15.75" hidden="false" customHeight="false" outlineLevel="0" collapsed="false">
      <c r="A4676" s="3" t="n">
        <v>46235</v>
      </c>
      <c r="B4676" s="4" t="s">
        <v>334</v>
      </c>
      <c r="C4676" s="4" t="n">
        <v>12</v>
      </c>
      <c r="D4676" s="4" t="n">
        <v>4</v>
      </c>
      <c r="E4676" s="4" t="s">
        <v>3548</v>
      </c>
      <c r="F4676" s="4" t="n">
        <v>25</v>
      </c>
      <c r="G4676" s="4" t="n">
        <v>4</v>
      </c>
      <c r="H4676" s="4" t="n">
        <v>4</v>
      </c>
      <c r="I4676" s="4" t="str">
        <v>×</v>
      </c>
      <c r="J4676" s="4"/>
      <c r="K4676" s="4"/>
      <c r="L4676" s="4"/>
      <c r="M4676" s="7" t="s">
        <v>3577</v>
      </c>
    </row>
    <row r="4677" customFormat="false" ht="15.75" hidden="false" customHeight="false" outlineLevel="0" collapsed="false">
      <c r="A4677" s="3" t="n">
        <v>46235</v>
      </c>
      <c r="B4677" s="4" t="s">
        <v>334</v>
      </c>
      <c r="C4677" s="4" t="n">
        <v>12</v>
      </c>
      <c r="D4677" s="4" t="n">
        <v>5</v>
      </c>
      <c r="E4677" s="4" t="s">
        <v>3877</v>
      </c>
      <c r="F4677" s="4" t="n">
        <v>25</v>
      </c>
      <c r="G4677" s="4" t="n">
        <v>4</v>
      </c>
      <c r="H4677" s="4" t="n">
        <v>4</v>
      </c>
      <c r="I4677" s="4" t="str">
        <v>×</v>
      </c>
      <c r="J4677" s="4"/>
      <c r="K4677" s="4"/>
      <c r="L4677" s="4"/>
      <c r="M4677" s="7" t="s">
        <v>3577</v>
      </c>
    </row>
    <row r="4678" customFormat="false" ht="15.75" hidden="false" customHeight="false" outlineLevel="0" collapsed="false">
      <c r="A4678" s="3" t="n">
        <v>46235</v>
      </c>
      <c r="B4678" s="4" t="s">
        <v>334</v>
      </c>
      <c r="C4678" s="4" t="n">
        <v>12</v>
      </c>
      <c r="D4678" s="4" t="n">
        <v>6</v>
      </c>
      <c r="E4678" s="4" t="s">
        <v>3878</v>
      </c>
      <c r="F4678" s="4" t="n">
        <v>20</v>
      </c>
      <c r="G4678" s="4" t="n">
        <v>7</v>
      </c>
      <c r="H4678" s="4" t="n">
        <v>3</v>
      </c>
      <c r="I4678" s="4" t="str">
        <v>○</v>
      </c>
      <c r="J4678" s="4" t="n">
        <v>320</v>
      </c>
      <c r="K4678" s="4"/>
      <c r="L4678" s="4"/>
      <c r="M4678" s="7" t="s">
        <v>3577</v>
      </c>
    </row>
    <row r="4679" customFormat="false" ht="15.75" hidden="false" customHeight="false" outlineLevel="0" collapsed="false">
      <c r="A4679" s="3" t="n">
        <v>46235</v>
      </c>
      <c r="B4679" s="4" t="s">
        <v>334</v>
      </c>
      <c r="C4679" s="4" t="n">
        <v>12</v>
      </c>
      <c r="D4679" s="4" t="n">
        <v>7</v>
      </c>
      <c r="E4679" s="4" t="s">
        <v>3546</v>
      </c>
      <c r="F4679" s="4" t="n">
        <v>56</v>
      </c>
      <c r="G4679" s="4" t="n">
        <v>1</v>
      </c>
      <c r="H4679" s="4" t="n">
        <v>4</v>
      </c>
      <c r="I4679" s="4" t="str">
        <v>×</v>
      </c>
      <c r="J4679" s="4"/>
      <c r="K4679" s="4"/>
      <c r="L4679" s="4"/>
      <c r="M4679" s="7" t="s">
        <v>3577</v>
      </c>
    </row>
    <row r="4680" customFormat="false" ht="15.75" hidden="false" customHeight="false" outlineLevel="0" collapsed="false">
      <c r="A4680" s="3" t="n">
        <v>46235</v>
      </c>
      <c r="B4680" s="4" t="s">
        <v>334</v>
      </c>
      <c r="C4680" s="4" t="n">
        <v>12</v>
      </c>
      <c r="D4680" s="4" t="n">
        <v>8</v>
      </c>
      <c r="E4680" s="4" t="s">
        <v>3879</v>
      </c>
      <c r="F4680" s="4" t="n">
        <v>20</v>
      </c>
      <c r="G4680" s="4" t="n">
        <v>7</v>
      </c>
      <c r="H4680" s="4" t="n">
        <v>4</v>
      </c>
      <c r="I4680" s="4" t="str">
        <v>×</v>
      </c>
      <c r="J4680" s="4"/>
      <c r="K4680" s="4"/>
      <c r="L4680" s="4"/>
      <c r="M4680" s="7" t="s">
        <v>3577</v>
      </c>
    </row>
    <row r="4681" customFormat="false" ht="15.75" hidden="false" customHeight="false" outlineLevel="0" collapsed="false">
      <c r="A4681" s="3" t="n">
        <v>46236</v>
      </c>
      <c r="B4681" s="4" t="s">
        <v>179</v>
      </c>
      <c r="C4681" s="4" t="n">
        <v>1</v>
      </c>
      <c r="D4681" s="4" t="n">
        <v>1</v>
      </c>
      <c r="E4681" s="4" t="s">
        <v>3880</v>
      </c>
      <c r="F4681" s="4" t="n">
        <v>1</v>
      </c>
      <c r="G4681" s="4" t="n">
        <v>18</v>
      </c>
      <c r="H4681" s="4" t="n">
        <v>4</v>
      </c>
      <c r="I4681" s="4" t="str">
        <v>×</v>
      </c>
      <c r="J4681" s="4"/>
      <c r="K4681" s="4"/>
      <c r="L4681" s="4"/>
      <c r="M4681" s="7" t="s">
        <v>3577</v>
      </c>
    </row>
    <row r="4682" customFormat="false" ht="15.75" hidden="false" customHeight="false" outlineLevel="0" collapsed="false">
      <c r="A4682" s="3" t="n">
        <v>46236</v>
      </c>
      <c r="B4682" s="4" t="s">
        <v>179</v>
      </c>
      <c r="C4682" s="4" t="n">
        <v>1</v>
      </c>
      <c r="D4682" s="4" t="n">
        <v>2</v>
      </c>
      <c r="E4682" s="4" t="s">
        <v>3881</v>
      </c>
      <c r="F4682" s="4" t="n">
        <v>10</v>
      </c>
      <c r="G4682" s="4" t="n">
        <v>5</v>
      </c>
      <c r="H4682" s="4" t="n">
        <v>4</v>
      </c>
      <c r="I4682" s="4" t="str">
        <v>×</v>
      </c>
      <c r="J4682" s="4"/>
      <c r="K4682" s="4"/>
      <c r="L4682" s="4"/>
      <c r="M4682" s="7" t="s">
        <v>3577</v>
      </c>
    </row>
    <row r="4683" customFormat="false" ht="15.75" hidden="false" customHeight="false" outlineLevel="0" collapsed="false">
      <c r="A4683" s="3" t="n">
        <v>46236</v>
      </c>
      <c r="B4683" s="4" t="s">
        <v>179</v>
      </c>
      <c r="C4683" s="4" t="n">
        <v>1</v>
      </c>
      <c r="D4683" s="4" t="n">
        <v>3</v>
      </c>
      <c r="E4683" s="4" t="s">
        <v>3882</v>
      </c>
      <c r="F4683" s="4" t="n">
        <v>20</v>
      </c>
      <c r="G4683" s="4" t="n">
        <v>4</v>
      </c>
      <c r="H4683" s="4" t="n">
        <v>4</v>
      </c>
      <c r="I4683" s="4" t="str">
        <v>×</v>
      </c>
      <c r="J4683" s="4"/>
      <c r="K4683" s="4"/>
      <c r="L4683" s="4"/>
      <c r="M4683" s="7" t="s">
        <v>3577</v>
      </c>
    </row>
    <row r="4684" customFormat="false" ht="15.75" hidden="false" customHeight="false" outlineLevel="0" collapsed="false">
      <c r="A4684" s="3" t="n">
        <v>46236</v>
      </c>
      <c r="B4684" s="4" t="s">
        <v>179</v>
      </c>
      <c r="C4684" s="4" t="n">
        <v>1</v>
      </c>
      <c r="D4684" s="4" t="n">
        <v>4</v>
      </c>
      <c r="E4684" s="4" t="s">
        <v>3883</v>
      </c>
      <c r="F4684" s="4" t="n">
        <v>65</v>
      </c>
      <c r="G4684" s="4" t="n">
        <v>1</v>
      </c>
      <c r="H4684" s="4" t="n">
        <v>2</v>
      </c>
      <c r="I4684" s="4" t="str">
        <v>○</v>
      </c>
      <c r="J4684" s="4" t="n">
        <v>120</v>
      </c>
      <c r="K4684" s="4"/>
      <c r="L4684" s="4"/>
      <c r="M4684" s="7" t="s">
        <v>3577</v>
      </c>
    </row>
    <row r="4685" customFormat="false" ht="15.75" hidden="false" customHeight="false" outlineLevel="0" collapsed="false">
      <c r="A4685" s="3" t="n">
        <v>46236</v>
      </c>
      <c r="B4685" s="4" t="s">
        <v>179</v>
      </c>
      <c r="C4685" s="4" t="n">
        <v>1</v>
      </c>
      <c r="D4685" s="4" t="n">
        <v>5</v>
      </c>
      <c r="E4685" s="4" t="s">
        <v>2055</v>
      </c>
      <c r="F4685" s="4" t="n">
        <v>10</v>
      </c>
      <c r="G4685" s="4" t="n">
        <v>5</v>
      </c>
      <c r="H4685" s="4" t="n">
        <v>4</v>
      </c>
      <c r="I4685" s="4" t="str">
        <v>×</v>
      </c>
      <c r="J4685" s="4"/>
      <c r="K4685" s="4"/>
      <c r="L4685" s="4"/>
      <c r="M4685" s="7" t="s">
        <v>3577</v>
      </c>
    </row>
    <row r="4686" customFormat="false" ht="15.75" hidden="false" customHeight="false" outlineLevel="0" collapsed="false">
      <c r="A4686" s="3" t="n">
        <v>46236</v>
      </c>
      <c r="B4686" s="4" t="s">
        <v>179</v>
      </c>
      <c r="C4686" s="4" t="n">
        <v>1</v>
      </c>
      <c r="D4686" s="4" t="n">
        <v>6</v>
      </c>
      <c r="E4686" s="4" t="s">
        <v>3884</v>
      </c>
      <c r="F4686" s="4" t="n">
        <v>4</v>
      </c>
      <c r="G4686" s="4" t="n">
        <v>13</v>
      </c>
      <c r="H4686" s="4" t="n">
        <v>4</v>
      </c>
      <c r="I4686" s="4" t="str">
        <v>×</v>
      </c>
      <c r="J4686" s="4"/>
      <c r="K4686" s="4"/>
      <c r="L4686" s="4"/>
      <c r="M4686" s="7" t="s">
        <v>3577</v>
      </c>
    </row>
    <row r="4687" customFormat="false" ht="15.75" hidden="false" customHeight="false" outlineLevel="0" collapsed="false">
      <c r="A4687" s="3" t="n">
        <v>46236</v>
      </c>
      <c r="B4687" s="4" t="s">
        <v>179</v>
      </c>
      <c r="C4687" s="4" t="n">
        <v>1</v>
      </c>
      <c r="D4687" s="4" t="n">
        <v>7</v>
      </c>
      <c r="E4687" s="4" t="s">
        <v>3885</v>
      </c>
      <c r="F4687" s="4" t="n">
        <v>10</v>
      </c>
      <c r="G4687" s="4" t="n">
        <v>5</v>
      </c>
      <c r="H4687" s="4" t="n">
        <v>4</v>
      </c>
      <c r="I4687" s="4" t="str">
        <v>×</v>
      </c>
      <c r="J4687" s="4"/>
      <c r="K4687" s="4"/>
      <c r="L4687" s="4"/>
      <c r="M4687" s="7" t="s">
        <v>3577</v>
      </c>
    </row>
    <row r="4688" customFormat="false" ht="15.75" hidden="false" customHeight="false" outlineLevel="0" collapsed="false">
      <c r="A4688" s="3" t="n">
        <v>46236</v>
      </c>
      <c r="B4688" s="4" t="s">
        <v>179</v>
      </c>
      <c r="C4688" s="4" t="n">
        <v>1</v>
      </c>
      <c r="D4688" s="4" t="n">
        <v>8</v>
      </c>
      <c r="E4688" s="4" t="s">
        <v>2053</v>
      </c>
      <c r="F4688" s="4" t="n">
        <v>50</v>
      </c>
      <c r="G4688" s="4" t="n">
        <v>3</v>
      </c>
      <c r="H4688" s="4" t="n">
        <v>1</v>
      </c>
      <c r="I4688" s="4" t="str">
        <v>○</v>
      </c>
      <c r="J4688" s="4" t="n">
        <v>160</v>
      </c>
      <c r="K4688" s="4"/>
      <c r="L4688" s="4"/>
      <c r="M4688" s="7" t="s">
        <v>3577</v>
      </c>
    </row>
    <row r="4689" customFormat="false" ht="15.75" hidden="false" customHeight="false" outlineLevel="0" collapsed="false">
      <c r="A4689" s="3" t="n">
        <v>46236</v>
      </c>
      <c r="B4689" s="4" t="s">
        <v>179</v>
      </c>
      <c r="C4689" s="4" t="n">
        <v>1</v>
      </c>
      <c r="D4689" s="4" t="n">
        <v>9</v>
      </c>
      <c r="E4689" s="4" t="s">
        <v>1164</v>
      </c>
      <c r="F4689" s="4" t="n">
        <v>62</v>
      </c>
      <c r="G4689" s="4" t="n">
        <v>2</v>
      </c>
      <c r="H4689" s="4" t="n">
        <v>4</v>
      </c>
      <c r="I4689" s="4" t="str">
        <v>×</v>
      </c>
      <c r="J4689" s="4"/>
      <c r="K4689" s="4"/>
      <c r="L4689" s="4"/>
      <c r="M4689" s="7" t="s">
        <v>3577</v>
      </c>
    </row>
    <row r="4690" customFormat="false" ht="15.75" hidden="false" customHeight="false" outlineLevel="0" collapsed="false">
      <c r="A4690" s="3" t="n">
        <v>46236</v>
      </c>
      <c r="B4690" s="4" t="s">
        <v>179</v>
      </c>
      <c r="C4690" s="4" t="n">
        <v>1</v>
      </c>
      <c r="D4690" s="4" t="n">
        <v>10</v>
      </c>
      <c r="E4690" s="4" t="s">
        <v>3886</v>
      </c>
      <c r="F4690" s="4" t="n">
        <v>8</v>
      </c>
      <c r="G4690" s="4" t="n">
        <v>11</v>
      </c>
      <c r="H4690" s="4" t="n">
        <v>4</v>
      </c>
      <c r="I4690" s="4" t="str">
        <v>×</v>
      </c>
      <c r="J4690" s="4"/>
      <c r="K4690" s="4"/>
      <c r="L4690" s="4"/>
      <c r="M4690" s="7" t="s">
        <v>3577</v>
      </c>
    </row>
    <row r="4691" customFormat="false" ht="15.75" hidden="false" customHeight="false" outlineLevel="0" collapsed="false">
      <c r="A4691" s="3" t="n">
        <v>46236</v>
      </c>
      <c r="B4691" s="4" t="s">
        <v>179</v>
      </c>
      <c r="C4691" s="4" t="n">
        <v>1</v>
      </c>
      <c r="D4691" s="4" t="n">
        <v>11</v>
      </c>
      <c r="E4691" s="4" t="s">
        <v>2846</v>
      </c>
      <c r="F4691" s="4" t="n">
        <v>2</v>
      </c>
      <c r="G4691" s="4" t="n">
        <v>15</v>
      </c>
      <c r="H4691" s="4" t="n">
        <v>4</v>
      </c>
      <c r="I4691" s="4" t="str">
        <v>×</v>
      </c>
      <c r="J4691" s="4"/>
      <c r="K4691" s="4"/>
      <c r="L4691" s="4"/>
      <c r="M4691" s="7" t="s">
        <v>3577</v>
      </c>
    </row>
    <row r="4692" customFormat="false" ht="15.75" hidden="false" customHeight="false" outlineLevel="0" collapsed="false">
      <c r="A4692" s="3" t="n">
        <v>46236</v>
      </c>
      <c r="B4692" s="4" t="s">
        <v>179</v>
      </c>
      <c r="C4692" s="4" t="n">
        <v>1</v>
      </c>
      <c r="D4692" s="4" t="n">
        <v>12</v>
      </c>
      <c r="E4692" s="4" t="s">
        <v>3887</v>
      </c>
      <c r="F4692" s="4" t="n">
        <v>4</v>
      </c>
      <c r="G4692" s="4" t="n">
        <v>13</v>
      </c>
      <c r="H4692" s="4" t="n">
        <v>4</v>
      </c>
      <c r="I4692" s="4" t="str">
        <v>×</v>
      </c>
      <c r="J4692" s="4"/>
      <c r="K4692" s="4"/>
      <c r="L4692" s="4"/>
      <c r="M4692" s="7" t="s">
        <v>3577</v>
      </c>
    </row>
    <row r="4693" customFormat="false" ht="15.75" hidden="false" customHeight="false" outlineLevel="0" collapsed="false">
      <c r="A4693" s="3" t="n">
        <v>46236</v>
      </c>
      <c r="B4693" s="4" t="s">
        <v>179</v>
      </c>
      <c r="C4693" s="4" t="n">
        <v>1</v>
      </c>
      <c r="D4693" s="4" t="n">
        <v>13</v>
      </c>
      <c r="E4693" s="4" t="s">
        <v>3888</v>
      </c>
      <c r="F4693" s="4" t="n">
        <v>10</v>
      </c>
      <c r="G4693" s="4" t="n">
        <v>5</v>
      </c>
      <c r="H4693" s="4" t="n">
        <v>4</v>
      </c>
      <c r="I4693" s="4" t="str">
        <v>×</v>
      </c>
      <c r="J4693" s="4"/>
      <c r="K4693" s="4"/>
      <c r="L4693" s="4"/>
      <c r="M4693" s="7" t="s">
        <v>3577</v>
      </c>
    </row>
    <row r="4694" customFormat="false" ht="15.75" hidden="false" customHeight="false" outlineLevel="0" collapsed="false">
      <c r="A4694" s="3" t="n">
        <v>46236</v>
      </c>
      <c r="B4694" s="4" t="s">
        <v>179</v>
      </c>
      <c r="C4694" s="4" t="n">
        <v>1</v>
      </c>
      <c r="D4694" s="4" t="n">
        <v>14</v>
      </c>
      <c r="E4694" s="4" t="s">
        <v>3889</v>
      </c>
      <c r="F4694" s="4" t="n">
        <v>2</v>
      </c>
      <c r="G4694" s="4" t="n">
        <v>15</v>
      </c>
      <c r="H4694" s="4" t="n">
        <v>4</v>
      </c>
      <c r="I4694" s="4" t="str">
        <v>×</v>
      </c>
      <c r="J4694" s="4"/>
      <c r="K4694" s="4"/>
      <c r="L4694" s="4"/>
      <c r="M4694" s="7" t="s">
        <v>3577</v>
      </c>
    </row>
    <row r="4695" customFormat="false" ht="15.75" hidden="false" customHeight="false" outlineLevel="0" collapsed="false">
      <c r="A4695" s="3" t="n">
        <v>46236</v>
      </c>
      <c r="B4695" s="4" t="s">
        <v>179</v>
      </c>
      <c r="C4695" s="4" t="n">
        <v>1</v>
      </c>
      <c r="D4695" s="4" t="n">
        <v>15</v>
      </c>
      <c r="E4695" s="4" t="s">
        <v>3144</v>
      </c>
      <c r="F4695" s="4" t="n">
        <v>8</v>
      </c>
      <c r="G4695" s="4" t="n">
        <v>11</v>
      </c>
      <c r="H4695" s="4" t="n">
        <v>4</v>
      </c>
      <c r="I4695" s="4" t="str">
        <v>×</v>
      </c>
      <c r="J4695" s="4"/>
      <c r="K4695" s="4"/>
      <c r="L4695" s="4"/>
      <c r="M4695" s="7" t="s">
        <v>3577</v>
      </c>
    </row>
    <row r="4696" customFormat="false" ht="15.75" hidden="false" customHeight="false" outlineLevel="0" collapsed="false">
      <c r="A4696" s="3" t="n">
        <v>46236</v>
      </c>
      <c r="B4696" s="4" t="s">
        <v>179</v>
      </c>
      <c r="C4696" s="4" t="n">
        <v>1</v>
      </c>
      <c r="D4696" s="4" t="n">
        <v>16</v>
      </c>
      <c r="E4696" s="4" t="s">
        <v>3890</v>
      </c>
      <c r="F4696" s="4" t="n">
        <v>10</v>
      </c>
      <c r="G4696" s="4" t="n">
        <v>5</v>
      </c>
      <c r="H4696" s="4" t="n">
        <v>4</v>
      </c>
      <c r="I4696" s="4" t="str">
        <v>×</v>
      </c>
      <c r="J4696" s="4"/>
      <c r="K4696" s="4"/>
      <c r="L4696" s="4"/>
      <c r="M4696" s="7" t="s">
        <v>3577</v>
      </c>
    </row>
    <row r="4697" customFormat="false" ht="15.75" hidden="false" customHeight="false" outlineLevel="0" collapsed="false">
      <c r="A4697" s="3" t="n">
        <v>46236</v>
      </c>
      <c r="B4697" s="4" t="s">
        <v>179</v>
      </c>
      <c r="C4697" s="4" t="n">
        <v>1</v>
      </c>
      <c r="D4697" s="4" t="n">
        <v>17</v>
      </c>
      <c r="E4697" s="4" t="s">
        <v>3891</v>
      </c>
      <c r="F4697" s="4" t="n">
        <v>10</v>
      </c>
      <c r="G4697" s="4" t="n">
        <v>5</v>
      </c>
      <c r="H4697" s="4" t="n">
        <v>3</v>
      </c>
      <c r="I4697" s="4" t="str">
        <v>○</v>
      </c>
      <c r="J4697" s="4" t="n">
        <v>130</v>
      </c>
      <c r="K4697" s="4"/>
      <c r="L4697" s="4"/>
      <c r="M4697" s="7" t="s">
        <v>3577</v>
      </c>
    </row>
    <row r="4698" customFormat="false" ht="15.75" hidden="false" customHeight="false" outlineLevel="0" collapsed="false">
      <c r="A4698" s="3" t="n">
        <v>46236</v>
      </c>
      <c r="B4698" s="4" t="s">
        <v>179</v>
      </c>
      <c r="C4698" s="4" t="n">
        <v>1</v>
      </c>
      <c r="D4698" s="4" t="n">
        <v>18</v>
      </c>
      <c r="E4698" s="4" t="s">
        <v>3433</v>
      </c>
      <c r="F4698" s="4" t="n">
        <v>2</v>
      </c>
      <c r="G4698" s="4" t="n">
        <v>15</v>
      </c>
      <c r="H4698" s="4" t="n">
        <v>4</v>
      </c>
      <c r="I4698" s="4" t="str">
        <v>×</v>
      </c>
      <c r="J4698" s="4"/>
      <c r="K4698" s="4"/>
      <c r="L4698" s="4"/>
      <c r="M4698" s="7" t="s">
        <v>3577</v>
      </c>
    </row>
    <row r="4699" customFormat="false" ht="15.75" hidden="false" customHeight="false" outlineLevel="0" collapsed="false">
      <c r="A4699" s="3" t="n">
        <v>46236</v>
      </c>
      <c r="B4699" s="4" t="s">
        <v>179</v>
      </c>
      <c r="C4699" s="4" t="n">
        <v>2</v>
      </c>
      <c r="D4699" s="4" t="n">
        <v>1</v>
      </c>
      <c r="E4699" s="4" t="s">
        <v>3892</v>
      </c>
      <c r="F4699" s="4" t="n">
        <v>16</v>
      </c>
      <c r="G4699" s="4" t="n">
        <v>6</v>
      </c>
      <c r="H4699" s="4" t="n">
        <v>3</v>
      </c>
      <c r="I4699" s="4" t="str">
        <v>○</v>
      </c>
      <c r="J4699" s="4" t="n">
        <v>150</v>
      </c>
      <c r="K4699" s="4"/>
      <c r="L4699" s="4"/>
      <c r="M4699" s="7" t="s">
        <v>3577</v>
      </c>
    </row>
    <row r="4700" customFormat="false" ht="15.75" hidden="false" customHeight="false" outlineLevel="0" collapsed="false">
      <c r="A4700" s="3" t="n">
        <v>46236</v>
      </c>
      <c r="B4700" s="4" t="s">
        <v>179</v>
      </c>
      <c r="C4700" s="4" t="n">
        <v>2</v>
      </c>
      <c r="D4700" s="4" t="n">
        <v>2</v>
      </c>
      <c r="E4700" s="4" t="s">
        <v>3893</v>
      </c>
      <c r="F4700" s="4" t="n">
        <v>21</v>
      </c>
      <c r="G4700" s="4" t="n">
        <v>5</v>
      </c>
      <c r="H4700" s="4" t="n">
        <v>4</v>
      </c>
      <c r="I4700" s="4" t="str">
        <v>×</v>
      </c>
      <c r="J4700" s="4"/>
      <c r="K4700" s="4"/>
      <c r="L4700" s="4"/>
      <c r="M4700" s="7" t="s">
        <v>3577</v>
      </c>
    </row>
    <row r="4701" customFormat="false" ht="15.75" hidden="false" customHeight="false" outlineLevel="0" collapsed="false">
      <c r="A4701" s="3" t="n">
        <v>46236</v>
      </c>
      <c r="B4701" s="4" t="s">
        <v>179</v>
      </c>
      <c r="C4701" s="4" t="n">
        <v>2</v>
      </c>
      <c r="D4701" s="4" t="n">
        <v>3</v>
      </c>
      <c r="E4701" s="4" t="s">
        <v>3894</v>
      </c>
      <c r="F4701" s="4" t="n">
        <v>14</v>
      </c>
      <c r="G4701" s="4" t="n">
        <v>7</v>
      </c>
      <c r="H4701" s="4" t="n">
        <v>4</v>
      </c>
      <c r="I4701" s="4" t="str">
        <v>×</v>
      </c>
      <c r="J4701" s="4"/>
      <c r="K4701" s="4"/>
      <c r="L4701" s="4"/>
      <c r="M4701" s="7" t="s">
        <v>3577</v>
      </c>
    </row>
    <row r="4702" customFormat="false" ht="15.75" hidden="false" customHeight="false" outlineLevel="0" collapsed="false">
      <c r="A4702" s="3" t="n">
        <v>46236</v>
      </c>
      <c r="B4702" s="4" t="s">
        <v>179</v>
      </c>
      <c r="C4702" s="4" t="n">
        <v>2</v>
      </c>
      <c r="D4702" s="4" t="n">
        <v>4</v>
      </c>
      <c r="E4702" s="4" t="s">
        <v>3895</v>
      </c>
      <c r="F4702" s="4" t="n">
        <v>44</v>
      </c>
      <c r="G4702" s="4" t="n">
        <v>1</v>
      </c>
      <c r="H4702" s="4" t="n">
        <v>1</v>
      </c>
      <c r="I4702" s="4" t="str">
        <v>○</v>
      </c>
      <c r="J4702" s="4" t="n">
        <v>120</v>
      </c>
      <c r="K4702" s="4"/>
      <c r="L4702" s="4"/>
      <c r="M4702" s="7" t="s">
        <v>3577</v>
      </c>
    </row>
    <row r="4703" customFormat="false" ht="15.75" hidden="false" customHeight="false" outlineLevel="0" collapsed="false">
      <c r="A4703" s="3" t="n">
        <v>46236</v>
      </c>
      <c r="B4703" s="4" t="s">
        <v>179</v>
      </c>
      <c r="C4703" s="4" t="n">
        <v>2</v>
      </c>
      <c r="D4703" s="4" t="n">
        <v>5</v>
      </c>
      <c r="E4703" s="4" t="s">
        <v>3896</v>
      </c>
      <c r="F4703" s="4" t="n">
        <v>37</v>
      </c>
      <c r="G4703" s="4" t="n">
        <v>2</v>
      </c>
      <c r="H4703" s="4" t="n">
        <v>2</v>
      </c>
      <c r="I4703" s="4" t="str">
        <v>○</v>
      </c>
      <c r="J4703" s="4" t="n">
        <v>230</v>
      </c>
      <c r="K4703" s="4"/>
      <c r="L4703" s="4"/>
      <c r="M4703" s="7" t="s">
        <v>3577</v>
      </c>
    </row>
    <row r="4704" customFormat="false" ht="15.75" hidden="false" customHeight="false" outlineLevel="0" collapsed="false">
      <c r="A4704" s="3" t="n">
        <v>46236</v>
      </c>
      <c r="B4704" s="4" t="s">
        <v>179</v>
      </c>
      <c r="C4704" s="4" t="n">
        <v>2</v>
      </c>
      <c r="D4704" s="4" t="n">
        <v>6</v>
      </c>
      <c r="E4704" s="4" t="s">
        <v>3897</v>
      </c>
      <c r="F4704" s="4" t="n">
        <v>14</v>
      </c>
      <c r="G4704" s="4" t="n">
        <v>7</v>
      </c>
      <c r="H4704" s="4" t="n">
        <v>4</v>
      </c>
      <c r="I4704" s="4" t="str">
        <v>×</v>
      </c>
      <c r="J4704" s="4"/>
      <c r="K4704" s="4"/>
      <c r="L4704" s="4"/>
      <c r="M4704" s="7" t="s">
        <v>3577</v>
      </c>
    </row>
    <row r="4705" customFormat="false" ht="15.75" hidden="false" customHeight="false" outlineLevel="0" collapsed="false">
      <c r="A4705" s="3" t="n">
        <v>46236</v>
      </c>
      <c r="B4705" s="4" t="s">
        <v>179</v>
      </c>
      <c r="C4705" s="4" t="n">
        <v>2</v>
      </c>
      <c r="D4705" s="4" t="n">
        <v>7</v>
      </c>
      <c r="E4705" s="4" t="s">
        <v>3898</v>
      </c>
      <c r="F4705" s="4" t="n">
        <v>24</v>
      </c>
      <c r="G4705" s="4" t="n">
        <v>4</v>
      </c>
      <c r="H4705" s="4" t="n">
        <v>4</v>
      </c>
      <c r="I4705" s="4" t="str">
        <v>×</v>
      </c>
      <c r="J4705" s="4"/>
      <c r="K4705" s="4"/>
      <c r="L4705" s="4"/>
      <c r="M4705" s="7" t="s">
        <v>3577</v>
      </c>
    </row>
    <row r="4706" customFormat="false" ht="15.75" hidden="false" customHeight="false" outlineLevel="0" collapsed="false">
      <c r="A4706" s="3" t="n">
        <v>46236</v>
      </c>
      <c r="B4706" s="4" t="s">
        <v>179</v>
      </c>
      <c r="C4706" s="4" t="n">
        <v>2</v>
      </c>
      <c r="D4706" s="4" t="n">
        <v>8</v>
      </c>
      <c r="E4706" s="4" t="s">
        <v>3899</v>
      </c>
      <c r="F4706" s="4" t="n">
        <v>37</v>
      </c>
      <c r="G4706" s="4" t="n">
        <v>2</v>
      </c>
      <c r="H4706" s="4" t="n">
        <v>4</v>
      </c>
      <c r="I4706" s="4" t="str">
        <v>×</v>
      </c>
      <c r="J4706" s="4"/>
      <c r="K4706" s="4"/>
      <c r="L4706" s="4"/>
      <c r="M4706" s="7" t="s">
        <v>3577</v>
      </c>
    </row>
    <row r="4707" customFormat="false" ht="15.75" hidden="false" customHeight="false" outlineLevel="0" collapsed="false">
      <c r="A4707" s="3" t="n">
        <v>46236</v>
      </c>
      <c r="B4707" s="4" t="s">
        <v>179</v>
      </c>
      <c r="C4707" s="4" t="n">
        <v>3</v>
      </c>
      <c r="D4707" s="4" t="n">
        <v>1</v>
      </c>
      <c r="E4707" s="4" t="s">
        <v>3900</v>
      </c>
      <c r="F4707" s="4" t="n">
        <v>24</v>
      </c>
      <c r="G4707" s="4" t="n">
        <v>3</v>
      </c>
      <c r="H4707" s="4" t="n">
        <v>4</v>
      </c>
      <c r="I4707" s="4" t="str">
        <v>×</v>
      </c>
      <c r="J4707" s="4"/>
      <c r="K4707" s="4"/>
      <c r="L4707" s="4"/>
      <c r="M4707" s="7" t="s">
        <v>3577</v>
      </c>
    </row>
    <row r="4708" customFormat="false" ht="15.75" hidden="false" customHeight="false" outlineLevel="0" collapsed="false">
      <c r="A4708" s="3" t="n">
        <v>46236</v>
      </c>
      <c r="B4708" s="4" t="s">
        <v>179</v>
      </c>
      <c r="C4708" s="4" t="n">
        <v>3</v>
      </c>
      <c r="D4708" s="4" t="n">
        <v>2</v>
      </c>
      <c r="E4708" s="4" t="s">
        <v>3901</v>
      </c>
      <c r="F4708" s="4" t="n">
        <v>37</v>
      </c>
      <c r="G4708" s="4" t="n">
        <v>1</v>
      </c>
      <c r="H4708" s="4" t="n">
        <v>2</v>
      </c>
      <c r="I4708" s="4" t="str">
        <v>○</v>
      </c>
      <c r="J4708" s="4" t="n">
        <v>150</v>
      </c>
      <c r="K4708" s="4"/>
      <c r="L4708" s="4"/>
      <c r="M4708" s="7" t="s">
        <v>3577</v>
      </c>
    </row>
    <row r="4709" customFormat="false" ht="15.75" hidden="false" customHeight="false" outlineLevel="0" collapsed="false">
      <c r="A4709" s="3" t="n">
        <v>46236</v>
      </c>
      <c r="B4709" s="4" t="s">
        <v>179</v>
      </c>
      <c r="C4709" s="4" t="n">
        <v>3</v>
      </c>
      <c r="D4709" s="4" t="n">
        <v>3</v>
      </c>
      <c r="E4709" s="4" t="s">
        <v>3902</v>
      </c>
      <c r="F4709" s="4" t="n">
        <v>16</v>
      </c>
      <c r="G4709" s="4" t="n">
        <v>8</v>
      </c>
      <c r="H4709" s="4" t="n">
        <v>4</v>
      </c>
      <c r="I4709" s="4" t="str">
        <v>×</v>
      </c>
      <c r="J4709" s="4"/>
      <c r="K4709" s="4"/>
      <c r="L4709" s="4"/>
      <c r="M4709" s="7" t="s">
        <v>3577</v>
      </c>
    </row>
    <row r="4710" customFormat="false" ht="15.75" hidden="false" customHeight="false" outlineLevel="0" collapsed="false">
      <c r="A4710" s="3" t="n">
        <v>46236</v>
      </c>
      <c r="B4710" s="4" t="s">
        <v>179</v>
      </c>
      <c r="C4710" s="4" t="n">
        <v>3</v>
      </c>
      <c r="D4710" s="4" t="n">
        <v>4</v>
      </c>
      <c r="E4710" s="4" t="s">
        <v>3903</v>
      </c>
      <c r="F4710" s="4" t="n">
        <v>21</v>
      </c>
      <c r="G4710" s="4" t="n">
        <v>6</v>
      </c>
      <c r="H4710" s="4" t="n">
        <v>4</v>
      </c>
      <c r="I4710" s="4" t="str">
        <v>×</v>
      </c>
      <c r="J4710" s="4"/>
      <c r="K4710" s="4"/>
      <c r="L4710" s="4"/>
      <c r="M4710" s="7" t="s">
        <v>3577</v>
      </c>
    </row>
    <row r="4711" customFormat="false" ht="15.75" hidden="false" customHeight="false" outlineLevel="0" collapsed="false">
      <c r="A4711" s="3" t="n">
        <v>46236</v>
      </c>
      <c r="B4711" s="4" t="s">
        <v>179</v>
      </c>
      <c r="C4711" s="4" t="n">
        <v>3</v>
      </c>
      <c r="D4711" s="4" t="n">
        <v>5</v>
      </c>
      <c r="E4711" s="4" t="s">
        <v>3904</v>
      </c>
      <c r="F4711" s="4" t="n">
        <v>21</v>
      </c>
      <c r="G4711" s="4" t="n">
        <v>6</v>
      </c>
      <c r="H4711" s="4" t="n">
        <v>4</v>
      </c>
      <c r="I4711" s="4" t="str">
        <v>×</v>
      </c>
      <c r="J4711" s="4"/>
      <c r="K4711" s="4"/>
      <c r="L4711" s="4"/>
      <c r="M4711" s="7" t="s">
        <v>3577</v>
      </c>
    </row>
    <row r="4712" customFormat="false" ht="15.75" hidden="false" customHeight="false" outlineLevel="0" collapsed="false">
      <c r="A4712" s="3" t="n">
        <v>46236</v>
      </c>
      <c r="B4712" s="4" t="s">
        <v>179</v>
      </c>
      <c r="C4712" s="4" t="n">
        <v>3</v>
      </c>
      <c r="D4712" s="4" t="n">
        <v>6</v>
      </c>
      <c r="E4712" s="4" t="s">
        <v>3905</v>
      </c>
      <c r="F4712" s="4" t="n">
        <v>37</v>
      </c>
      <c r="G4712" s="4" t="n">
        <v>1</v>
      </c>
      <c r="H4712" s="4" t="n">
        <v>3</v>
      </c>
      <c r="I4712" s="4" t="str">
        <v>○</v>
      </c>
      <c r="J4712" s="4" t="n">
        <v>180</v>
      </c>
      <c r="K4712" s="4"/>
      <c r="L4712" s="4"/>
      <c r="M4712" s="7" t="s">
        <v>3577</v>
      </c>
    </row>
    <row r="4713" customFormat="false" ht="15.75" hidden="false" customHeight="false" outlineLevel="0" collapsed="false">
      <c r="A4713" s="3" t="n">
        <v>46236</v>
      </c>
      <c r="B4713" s="4" t="s">
        <v>179</v>
      </c>
      <c r="C4713" s="4" t="n">
        <v>3</v>
      </c>
      <c r="D4713" s="4" t="n">
        <v>7</v>
      </c>
      <c r="E4713" s="4" t="s">
        <v>3906</v>
      </c>
      <c r="F4713" s="4" t="n">
        <v>24</v>
      </c>
      <c r="G4713" s="4" t="n">
        <v>3</v>
      </c>
      <c r="H4713" s="4" t="n">
        <v>4</v>
      </c>
      <c r="I4713" s="4" t="str">
        <v>×</v>
      </c>
      <c r="J4713" s="4"/>
      <c r="K4713" s="4"/>
      <c r="L4713" s="4"/>
      <c r="M4713" s="7" t="s">
        <v>3577</v>
      </c>
    </row>
    <row r="4714" customFormat="false" ht="15.75" hidden="false" customHeight="false" outlineLevel="0" collapsed="false">
      <c r="A4714" s="3" t="n">
        <v>46236</v>
      </c>
      <c r="B4714" s="4" t="s">
        <v>179</v>
      </c>
      <c r="C4714" s="4" t="n">
        <v>3</v>
      </c>
      <c r="D4714" s="4" t="n">
        <v>8</v>
      </c>
      <c r="E4714" s="4" t="s">
        <v>3907</v>
      </c>
      <c r="F4714" s="4" t="n">
        <v>12</v>
      </c>
      <c r="G4714" s="4" t="n">
        <v>10</v>
      </c>
      <c r="H4714" s="4" t="n">
        <v>1</v>
      </c>
      <c r="I4714" s="4" t="str">
        <v>○</v>
      </c>
      <c r="J4714" s="4" t="n">
        <v>790</v>
      </c>
      <c r="K4714" s="4"/>
      <c r="L4714" s="4"/>
      <c r="M4714" s="7" t="s">
        <v>3577</v>
      </c>
    </row>
    <row r="4715" customFormat="false" ht="15.75" hidden="false" customHeight="false" outlineLevel="0" collapsed="false">
      <c r="A4715" s="3" t="n">
        <v>46236</v>
      </c>
      <c r="B4715" s="4" t="s">
        <v>179</v>
      </c>
      <c r="C4715" s="4" t="n">
        <v>3</v>
      </c>
      <c r="D4715" s="4" t="n">
        <v>9</v>
      </c>
      <c r="E4715" s="4" t="s">
        <v>3908</v>
      </c>
      <c r="F4715" s="4" t="n">
        <v>16</v>
      </c>
      <c r="G4715" s="4" t="n">
        <v>8</v>
      </c>
      <c r="H4715" s="4" t="n">
        <v>4</v>
      </c>
      <c r="I4715" s="4" t="str">
        <v>×</v>
      </c>
      <c r="J4715" s="4"/>
      <c r="K4715" s="4"/>
      <c r="L4715" s="4"/>
      <c r="M4715" s="7" t="s">
        <v>3577</v>
      </c>
    </row>
    <row r="4716" customFormat="false" ht="15.75" hidden="false" customHeight="false" outlineLevel="0" collapsed="false">
      <c r="A4716" s="3" t="n">
        <v>46236</v>
      </c>
      <c r="B4716" s="4" t="s">
        <v>179</v>
      </c>
      <c r="C4716" s="4" t="n">
        <v>3</v>
      </c>
      <c r="D4716" s="4" t="n">
        <v>10</v>
      </c>
      <c r="E4716" s="4" t="s">
        <v>3909</v>
      </c>
      <c r="F4716" s="4" t="n">
        <v>24</v>
      </c>
      <c r="G4716" s="4" t="n">
        <v>3</v>
      </c>
      <c r="H4716" s="4" t="n">
        <v>4</v>
      </c>
      <c r="I4716" s="4" t="str">
        <v>×</v>
      </c>
      <c r="J4716" s="4"/>
      <c r="K4716" s="4"/>
      <c r="L4716" s="4"/>
      <c r="M4716" s="7" t="s">
        <v>3577</v>
      </c>
    </row>
    <row r="4717" customFormat="false" ht="15.75" hidden="false" customHeight="false" outlineLevel="0" collapsed="false">
      <c r="A4717" s="3" t="n">
        <v>46236</v>
      </c>
      <c r="B4717" s="4" t="s">
        <v>179</v>
      </c>
      <c r="C4717" s="4" t="n">
        <v>4</v>
      </c>
      <c r="D4717" s="4" t="n">
        <v>1</v>
      </c>
      <c r="E4717" s="4" t="s">
        <v>2088</v>
      </c>
      <c r="F4717" s="4" t="n">
        <v>34</v>
      </c>
      <c r="G4717" s="4" t="n">
        <v>3</v>
      </c>
      <c r="H4717" s="4" t="n">
        <v>4</v>
      </c>
      <c r="I4717" s="4" t="str">
        <v>×</v>
      </c>
      <c r="J4717" s="4"/>
      <c r="K4717" s="4"/>
      <c r="L4717" s="4"/>
      <c r="M4717" s="7" t="s">
        <v>3577</v>
      </c>
    </row>
    <row r="4718" customFormat="false" ht="15.75" hidden="false" customHeight="false" outlineLevel="0" collapsed="false">
      <c r="A4718" s="3" t="n">
        <v>46236</v>
      </c>
      <c r="B4718" s="4" t="s">
        <v>179</v>
      </c>
      <c r="C4718" s="4" t="n">
        <v>4</v>
      </c>
      <c r="D4718" s="4" t="n">
        <v>2</v>
      </c>
      <c r="E4718" s="4" t="s">
        <v>3910</v>
      </c>
      <c r="F4718" s="4" t="n">
        <v>2</v>
      </c>
      <c r="G4718" s="4" t="n">
        <v>16</v>
      </c>
      <c r="H4718" s="4" t="n">
        <v>4</v>
      </c>
      <c r="I4718" s="4" t="str">
        <v>×</v>
      </c>
      <c r="J4718" s="4"/>
      <c r="K4718" s="4"/>
      <c r="L4718" s="4"/>
      <c r="M4718" s="7" t="s">
        <v>3577</v>
      </c>
    </row>
    <row r="4719" customFormat="false" ht="15.75" hidden="false" customHeight="false" outlineLevel="0" collapsed="false">
      <c r="A4719" s="3" t="n">
        <v>46236</v>
      </c>
      <c r="B4719" s="4" t="s">
        <v>179</v>
      </c>
      <c r="C4719" s="4" t="n">
        <v>4</v>
      </c>
      <c r="D4719" s="4" t="n">
        <v>3</v>
      </c>
      <c r="E4719" s="4" t="s">
        <v>3911</v>
      </c>
      <c r="F4719" s="4" t="n">
        <v>8</v>
      </c>
      <c r="G4719" s="4" t="n">
        <v>12</v>
      </c>
      <c r="H4719" s="4" t="n">
        <v>4</v>
      </c>
      <c r="I4719" s="4" t="str">
        <v>×</v>
      </c>
      <c r="J4719" s="4"/>
      <c r="K4719" s="4"/>
      <c r="L4719" s="4"/>
      <c r="M4719" s="7" t="s">
        <v>3577</v>
      </c>
    </row>
    <row r="4720" customFormat="false" ht="15.75" hidden="false" customHeight="false" outlineLevel="0" collapsed="false">
      <c r="A4720" s="3" t="n">
        <v>46236</v>
      </c>
      <c r="B4720" s="4" t="s">
        <v>179</v>
      </c>
      <c r="C4720" s="4" t="n">
        <v>4</v>
      </c>
      <c r="D4720" s="4" t="n">
        <v>4</v>
      </c>
      <c r="E4720" s="4" t="s">
        <v>3912</v>
      </c>
      <c r="F4720" s="4" t="n">
        <v>25</v>
      </c>
      <c r="G4720" s="4" t="n">
        <v>6</v>
      </c>
      <c r="H4720" s="4" t="n">
        <v>4</v>
      </c>
      <c r="I4720" s="4" t="str">
        <v>×</v>
      </c>
      <c r="J4720" s="4"/>
      <c r="K4720" s="4"/>
      <c r="L4720" s="4"/>
      <c r="M4720" s="7" t="s">
        <v>3577</v>
      </c>
    </row>
    <row r="4721" customFormat="false" ht="15.75" hidden="false" customHeight="false" outlineLevel="0" collapsed="false">
      <c r="A4721" s="3" t="n">
        <v>46236</v>
      </c>
      <c r="B4721" s="4" t="s">
        <v>179</v>
      </c>
      <c r="C4721" s="4" t="n">
        <v>4</v>
      </c>
      <c r="D4721" s="4" t="n">
        <v>5</v>
      </c>
      <c r="E4721" s="4" t="s">
        <v>3154</v>
      </c>
      <c r="F4721" s="4" t="n">
        <v>25</v>
      </c>
      <c r="G4721" s="4" t="n">
        <v>6</v>
      </c>
      <c r="H4721" s="4" t="n">
        <v>4</v>
      </c>
      <c r="I4721" s="4" t="str">
        <v>×</v>
      </c>
      <c r="J4721" s="4"/>
      <c r="K4721" s="4"/>
      <c r="L4721" s="4"/>
      <c r="M4721" s="7" t="s">
        <v>3577</v>
      </c>
    </row>
    <row r="4722" customFormat="false" ht="15.75" hidden="false" customHeight="false" outlineLevel="0" collapsed="false">
      <c r="A4722" s="3" t="n">
        <v>46236</v>
      </c>
      <c r="B4722" s="4" t="s">
        <v>179</v>
      </c>
      <c r="C4722" s="4" t="n">
        <v>4</v>
      </c>
      <c r="D4722" s="4" t="n">
        <v>6</v>
      </c>
      <c r="E4722" s="4" t="s">
        <v>3913</v>
      </c>
      <c r="F4722" s="4" t="n">
        <v>31</v>
      </c>
      <c r="G4722" s="4" t="n">
        <v>5</v>
      </c>
      <c r="H4722" s="4" t="n">
        <v>4</v>
      </c>
      <c r="I4722" s="4" t="str">
        <v>×</v>
      </c>
      <c r="J4722" s="4"/>
      <c r="K4722" s="4"/>
      <c r="L4722" s="4"/>
      <c r="M4722" s="7" t="s">
        <v>3577</v>
      </c>
    </row>
    <row r="4723" customFormat="false" ht="15.75" hidden="false" customHeight="false" outlineLevel="0" collapsed="false">
      <c r="A4723" s="3" t="n">
        <v>46236</v>
      </c>
      <c r="B4723" s="4" t="s">
        <v>179</v>
      </c>
      <c r="C4723" s="4" t="n">
        <v>4</v>
      </c>
      <c r="D4723" s="4" t="n">
        <v>7</v>
      </c>
      <c r="E4723" s="4" t="s">
        <v>1127</v>
      </c>
      <c r="F4723" s="4" t="n">
        <v>3</v>
      </c>
      <c r="G4723" s="4" t="n">
        <v>13</v>
      </c>
      <c r="H4723" s="4" t="n">
        <v>4</v>
      </c>
      <c r="I4723" s="4" t="str">
        <v>×</v>
      </c>
      <c r="J4723" s="4"/>
      <c r="K4723" s="4"/>
      <c r="L4723" s="4"/>
      <c r="M4723" s="7" t="s">
        <v>3577</v>
      </c>
    </row>
    <row r="4724" customFormat="false" ht="15.75" hidden="false" customHeight="false" outlineLevel="0" collapsed="false">
      <c r="A4724" s="3" t="n">
        <v>46236</v>
      </c>
      <c r="B4724" s="4" t="s">
        <v>179</v>
      </c>
      <c r="C4724" s="4" t="n">
        <v>4</v>
      </c>
      <c r="D4724" s="4" t="n">
        <v>8</v>
      </c>
      <c r="E4724" s="4" t="s">
        <v>3914</v>
      </c>
      <c r="F4724" s="4" t="n">
        <v>15</v>
      </c>
      <c r="G4724" s="4" t="n">
        <v>10</v>
      </c>
      <c r="H4724" s="4" t="n">
        <v>4</v>
      </c>
      <c r="I4724" s="4" t="str">
        <v>×</v>
      </c>
      <c r="J4724" s="4"/>
      <c r="K4724" s="4"/>
      <c r="L4724" s="4"/>
      <c r="M4724" s="7" t="s">
        <v>3577</v>
      </c>
    </row>
    <row r="4725" customFormat="false" ht="15.75" hidden="false" customHeight="false" outlineLevel="0" collapsed="false">
      <c r="A4725" s="3" t="n">
        <v>46236</v>
      </c>
      <c r="B4725" s="4" t="s">
        <v>179</v>
      </c>
      <c r="C4725" s="4" t="n">
        <v>4</v>
      </c>
      <c r="D4725" s="4" t="n">
        <v>9</v>
      </c>
      <c r="E4725" s="4" t="s">
        <v>2447</v>
      </c>
      <c r="F4725" s="4" t="n">
        <v>47</v>
      </c>
      <c r="G4725" s="4" t="n">
        <v>2</v>
      </c>
      <c r="H4725" s="4" t="n">
        <v>4</v>
      </c>
      <c r="I4725" s="4" t="str">
        <v>×</v>
      </c>
      <c r="J4725" s="4"/>
      <c r="K4725" s="4"/>
      <c r="L4725" s="4"/>
      <c r="M4725" s="7" t="s">
        <v>3577</v>
      </c>
    </row>
    <row r="4726" customFormat="false" ht="15.75" hidden="false" customHeight="false" outlineLevel="0" collapsed="false">
      <c r="A4726" s="3" t="n">
        <v>46236</v>
      </c>
      <c r="B4726" s="4" t="s">
        <v>179</v>
      </c>
      <c r="C4726" s="4" t="n">
        <v>4</v>
      </c>
      <c r="D4726" s="4" t="n">
        <v>10</v>
      </c>
      <c r="E4726" s="4" t="s">
        <v>3915</v>
      </c>
      <c r="F4726" s="4" t="n">
        <v>15</v>
      </c>
      <c r="G4726" s="4" t="n">
        <v>10</v>
      </c>
      <c r="H4726" s="4" t="n">
        <v>3</v>
      </c>
      <c r="I4726" s="4" t="str">
        <v>○</v>
      </c>
      <c r="J4726" s="4" t="n">
        <v>1170</v>
      </c>
      <c r="K4726" s="4"/>
      <c r="L4726" s="4"/>
      <c r="M4726" s="7" t="s">
        <v>3577</v>
      </c>
    </row>
    <row r="4727" customFormat="false" ht="15.75" hidden="false" customHeight="false" outlineLevel="0" collapsed="false">
      <c r="A4727" s="3" t="n">
        <v>46236</v>
      </c>
      <c r="B4727" s="4" t="s">
        <v>179</v>
      </c>
      <c r="C4727" s="4" t="n">
        <v>4</v>
      </c>
      <c r="D4727" s="4" t="n">
        <v>11</v>
      </c>
      <c r="E4727" s="4" t="s">
        <v>3916</v>
      </c>
      <c r="F4727" s="4" t="n">
        <v>25</v>
      </c>
      <c r="G4727" s="4" t="n">
        <v>6</v>
      </c>
      <c r="H4727" s="4" t="n">
        <v>1</v>
      </c>
      <c r="I4727" s="4" t="str">
        <v>○</v>
      </c>
      <c r="J4727" s="4" t="n">
        <v>240</v>
      </c>
      <c r="K4727" s="4"/>
      <c r="L4727" s="4"/>
      <c r="M4727" s="7" t="s">
        <v>3577</v>
      </c>
    </row>
    <row r="4728" customFormat="false" ht="15.75" hidden="false" customHeight="false" outlineLevel="0" collapsed="false">
      <c r="A4728" s="3" t="n">
        <v>46236</v>
      </c>
      <c r="B4728" s="4" t="s">
        <v>179</v>
      </c>
      <c r="C4728" s="4" t="n">
        <v>4</v>
      </c>
      <c r="D4728" s="4" t="n">
        <v>12</v>
      </c>
      <c r="E4728" s="4" t="s">
        <v>3917</v>
      </c>
      <c r="F4728" s="4" t="n">
        <v>34</v>
      </c>
      <c r="G4728" s="4" t="n">
        <v>3</v>
      </c>
      <c r="H4728" s="4" t="n">
        <v>4</v>
      </c>
      <c r="I4728" s="4" t="str">
        <v>×</v>
      </c>
      <c r="J4728" s="4"/>
      <c r="K4728" s="4"/>
      <c r="L4728" s="4"/>
      <c r="M4728" s="7" t="s">
        <v>3577</v>
      </c>
    </row>
    <row r="4729" customFormat="false" ht="15.75" hidden="false" customHeight="false" outlineLevel="0" collapsed="false">
      <c r="A4729" s="3" t="n">
        <v>46236</v>
      </c>
      <c r="B4729" s="4" t="s">
        <v>179</v>
      </c>
      <c r="C4729" s="4" t="n">
        <v>4</v>
      </c>
      <c r="D4729" s="4" t="n">
        <v>13</v>
      </c>
      <c r="E4729" s="4" t="s">
        <v>3918</v>
      </c>
      <c r="F4729" s="4" t="n">
        <v>25</v>
      </c>
      <c r="G4729" s="4" t="n">
        <v>6</v>
      </c>
      <c r="H4729" s="4" t="n">
        <v>4</v>
      </c>
      <c r="I4729" s="4" t="str">
        <v>×</v>
      </c>
      <c r="J4729" s="4"/>
      <c r="K4729" s="4"/>
      <c r="L4729" s="4"/>
      <c r="M4729" s="7" t="s">
        <v>3577</v>
      </c>
    </row>
    <row r="4730" customFormat="false" ht="15.75" hidden="false" customHeight="false" outlineLevel="0" collapsed="false">
      <c r="A4730" s="3" t="n">
        <v>46236</v>
      </c>
      <c r="B4730" s="4" t="s">
        <v>179</v>
      </c>
      <c r="C4730" s="4" t="n">
        <v>4</v>
      </c>
      <c r="D4730" s="4" t="n">
        <v>14</v>
      </c>
      <c r="E4730" s="4" t="s">
        <v>3919</v>
      </c>
      <c r="F4730" s="4" t="n">
        <v>3</v>
      </c>
      <c r="G4730" s="4" t="n">
        <v>13</v>
      </c>
      <c r="H4730" s="4" t="n">
        <v>4</v>
      </c>
      <c r="I4730" s="4" t="str">
        <v>×</v>
      </c>
      <c r="J4730" s="4"/>
      <c r="K4730" s="4"/>
      <c r="L4730" s="4"/>
      <c r="M4730" s="7" t="s">
        <v>3577</v>
      </c>
    </row>
    <row r="4731" customFormat="false" ht="15.75" hidden="false" customHeight="false" outlineLevel="0" collapsed="false">
      <c r="A4731" s="3" t="n">
        <v>46236</v>
      </c>
      <c r="B4731" s="4" t="s">
        <v>179</v>
      </c>
      <c r="C4731" s="4" t="n">
        <v>4</v>
      </c>
      <c r="D4731" s="4" t="n">
        <v>15</v>
      </c>
      <c r="E4731" s="4" t="s">
        <v>3920</v>
      </c>
      <c r="F4731" s="4" t="n">
        <v>56</v>
      </c>
      <c r="G4731" s="4" t="n">
        <v>1</v>
      </c>
      <c r="H4731" s="4" t="n">
        <v>2</v>
      </c>
      <c r="I4731" s="4" t="str">
        <v>○</v>
      </c>
      <c r="J4731" s="4" t="n">
        <v>180</v>
      </c>
      <c r="K4731" s="4"/>
      <c r="L4731" s="4"/>
      <c r="M4731" s="7" t="s">
        <v>3577</v>
      </c>
    </row>
    <row r="4732" customFormat="false" ht="15.75" hidden="false" customHeight="false" outlineLevel="0" collapsed="false">
      <c r="A4732" s="3" t="n">
        <v>46236</v>
      </c>
      <c r="B4732" s="4" t="s">
        <v>179</v>
      </c>
      <c r="C4732" s="4" t="n">
        <v>4</v>
      </c>
      <c r="D4732" s="4" t="n">
        <v>16</v>
      </c>
      <c r="E4732" s="4" t="s">
        <v>3921</v>
      </c>
      <c r="F4732" s="4" t="n">
        <v>3</v>
      </c>
      <c r="G4732" s="4" t="n">
        <v>13</v>
      </c>
      <c r="H4732" s="4" t="n">
        <v>4</v>
      </c>
      <c r="I4732" s="4" t="str">
        <v>×</v>
      </c>
      <c r="J4732" s="4"/>
      <c r="K4732" s="4"/>
      <c r="L4732" s="4"/>
      <c r="M4732" s="7" t="s">
        <v>3577</v>
      </c>
    </row>
    <row r="4733" customFormat="false" ht="15.75" hidden="false" customHeight="false" outlineLevel="0" collapsed="false">
      <c r="A4733" s="3" t="n">
        <v>46236</v>
      </c>
      <c r="B4733" s="4" t="s">
        <v>179</v>
      </c>
      <c r="C4733" s="4" t="n">
        <v>5</v>
      </c>
      <c r="D4733" s="4" t="n">
        <v>1</v>
      </c>
      <c r="E4733" s="4" t="s">
        <v>2120</v>
      </c>
      <c r="F4733" s="4" t="n">
        <v>34</v>
      </c>
      <c r="G4733" s="4" t="n">
        <v>4</v>
      </c>
      <c r="H4733" s="4" t="n">
        <v>4</v>
      </c>
      <c r="I4733" s="4" t="str">
        <v>×</v>
      </c>
      <c r="J4733" s="4"/>
      <c r="K4733" s="4"/>
      <c r="L4733" s="4"/>
      <c r="M4733" s="7" t="s">
        <v>3577</v>
      </c>
    </row>
    <row r="4734" customFormat="false" ht="15.75" hidden="false" customHeight="false" outlineLevel="0" collapsed="false">
      <c r="A4734" s="3" t="n">
        <v>46236</v>
      </c>
      <c r="B4734" s="4" t="s">
        <v>179</v>
      </c>
      <c r="C4734" s="4" t="n">
        <v>5</v>
      </c>
      <c r="D4734" s="4" t="n">
        <v>2</v>
      </c>
      <c r="E4734" s="4" t="s">
        <v>3922</v>
      </c>
      <c r="F4734" s="4" t="n">
        <v>37</v>
      </c>
      <c r="G4734" s="4" t="n">
        <v>3</v>
      </c>
      <c r="H4734" s="4" t="n">
        <v>3</v>
      </c>
      <c r="I4734" s="4" t="str">
        <v>○</v>
      </c>
      <c r="J4734" s="4" t="n">
        <v>180</v>
      </c>
      <c r="K4734" s="4"/>
      <c r="L4734" s="4"/>
      <c r="M4734" s="7" t="s">
        <v>3577</v>
      </c>
    </row>
    <row r="4735" customFormat="false" ht="15.75" hidden="false" customHeight="false" outlineLevel="0" collapsed="false">
      <c r="A4735" s="3" t="n">
        <v>46236</v>
      </c>
      <c r="B4735" s="4" t="s">
        <v>179</v>
      </c>
      <c r="C4735" s="4" t="n">
        <v>5</v>
      </c>
      <c r="D4735" s="4" t="n">
        <v>3</v>
      </c>
      <c r="E4735" s="4" t="s">
        <v>2843</v>
      </c>
      <c r="F4735" s="4" t="n">
        <v>47</v>
      </c>
      <c r="G4735" s="4" t="n">
        <v>2</v>
      </c>
      <c r="H4735" s="4" t="n">
        <v>1</v>
      </c>
      <c r="I4735" s="4" t="str">
        <v>○</v>
      </c>
      <c r="J4735" s="4" t="n">
        <v>130</v>
      </c>
      <c r="K4735" s="4"/>
      <c r="L4735" s="4"/>
      <c r="M4735" s="7" t="s">
        <v>3577</v>
      </c>
    </row>
    <row r="4736" customFormat="false" ht="15.75" hidden="false" customHeight="false" outlineLevel="0" collapsed="false">
      <c r="A4736" s="3" t="n">
        <v>46236</v>
      </c>
      <c r="B4736" s="4" t="s">
        <v>179</v>
      </c>
      <c r="C4736" s="4" t="n">
        <v>5</v>
      </c>
      <c r="D4736" s="4" t="n">
        <v>4</v>
      </c>
      <c r="E4736" s="4" t="s">
        <v>3923</v>
      </c>
      <c r="F4736" s="4" t="n">
        <v>25</v>
      </c>
      <c r="G4736" s="4" t="n">
        <v>6</v>
      </c>
      <c r="H4736" s="4" t="n">
        <v>4</v>
      </c>
      <c r="I4736" s="4" t="str">
        <v>×</v>
      </c>
      <c r="J4736" s="4"/>
      <c r="K4736" s="4"/>
      <c r="L4736" s="4"/>
      <c r="M4736" s="7" t="s">
        <v>3577</v>
      </c>
    </row>
    <row r="4737" customFormat="false" ht="15.75" hidden="false" customHeight="false" outlineLevel="0" collapsed="false">
      <c r="A4737" s="3" t="n">
        <v>46236</v>
      </c>
      <c r="B4737" s="4" t="s">
        <v>179</v>
      </c>
      <c r="C4737" s="4" t="n">
        <v>5</v>
      </c>
      <c r="D4737" s="4" t="n">
        <v>5</v>
      </c>
      <c r="E4737" s="4" t="s">
        <v>3924</v>
      </c>
      <c r="F4737" s="4" t="n">
        <v>62</v>
      </c>
      <c r="G4737" s="4" t="n">
        <v>1</v>
      </c>
      <c r="H4737" s="4" t="n">
        <v>4</v>
      </c>
      <c r="I4737" s="4" t="str">
        <v>×</v>
      </c>
      <c r="J4737" s="4"/>
      <c r="K4737" s="4"/>
      <c r="L4737" s="4"/>
      <c r="M4737" s="7" t="s">
        <v>3577</v>
      </c>
    </row>
    <row r="4738" customFormat="false" ht="15.75" hidden="false" customHeight="false" outlineLevel="0" collapsed="false">
      <c r="A4738" s="3" t="n">
        <v>46236</v>
      </c>
      <c r="B4738" s="4" t="s">
        <v>179</v>
      </c>
      <c r="C4738" s="4" t="n">
        <v>5</v>
      </c>
      <c r="D4738" s="4" t="n">
        <v>6</v>
      </c>
      <c r="E4738" s="4" t="s">
        <v>3925</v>
      </c>
      <c r="F4738" s="4" t="n">
        <v>29</v>
      </c>
      <c r="G4738" s="4" t="n">
        <v>5</v>
      </c>
      <c r="H4738" s="4" t="n">
        <v>4</v>
      </c>
      <c r="I4738" s="4" t="str">
        <v>×</v>
      </c>
      <c r="J4738" s="4"/>
      <c r="K4738" s="4"/>
      <c r="L4738" s="4"/>
      <c r="M4738" s="7" t="s">
        <v>3577</v>
      </c>
    </row>
    <row r="4739" customFormat="false" ht="15.75" hidden="false" customHeight="false" outlineLevel="0" collapsed="false">
      <c r="A4739" s="3" t="n">
        <v>46236</v>
      </c>
      <c r="B4739" s="4" t="s">
        <v>179</v>
      </c>
      <c r="C4739" s="4" t="n">
        <v>5</v>
      </c>
      <c r="D4739" s="4" t="n">
        <v>7</v>
      </c>
      <c r="E4739" s="4" t="s">
        <v>3926</v>
      </c>
      <c r="F4739" s="4" t="n">
        <v>23</v>
      </c>
      <c r="G4739" s="4" t="n">
        <v>7</v>
      </c>
      <c r="H4739" s="4" t="n">
        <v>4</v>
      </c>
      <c r="I4739" s="4" t="str">
        <v>×</v>
      </c>
      <c r="J4739" s="4"/>
      <c r="K4739" s="4"/>
      <c r="L4739" s="4"/>
      <c r="M4739" s="7" t="s">
        <v>3577</v>
      </c>
    </row>
    <row r="4740" customFormat="false" ht="15.75" hidden="false" customHeight="false" outlineLevel="0" collapsed="false">
      <c r="A4740" s="3" t="n">
        <v>46236</v>
      </c>
      <c r="B4740" s="4" t="s">
        <v>179</v>
      </c>
      <c r="C4740" s="4" t="n">
        <v>5</v>
      </c>
      <c r="D4740" s="4" t="n">
        <v>8</v>
      </c>
      <c r="E4740" s="4" t="s">
        <v>3927</v>
      </c>
      <c r="F4740" s="4" t="n">
        <v>17</v>
      </c>
      <c r="G4740" s="4" t="n">
        <v>8</v>
      </c>
      <c r="H4740" s="4" t="n">
        <v>4</v>
      </c>
      <c r="I4740" s="4" t="str">
        <v>×</v>
      </c>
      <c r="J4740" s="4"/>
      <c r="K4740" s="4"/>
      <c r="L4740" s="4"/>
      <c r="M4740" s="7" t="s">
        <v>3577</v>
      </c>
    </row>
    <row r="4741" customFormat="false" ht="15.75" hidden="false" customHeight="false" outlineLevel="0" collapsed="false">
      <c r="A4741" s="3" t="n">
        <v>46236</v>
      </c>
      <c r="B4741" s="4" t="s">
        <v>179</v>
      </c>
      <c r="C4741" s="4" t="n">
        <v>5</v>
      </c>
      <c r="D4741" s="4" t="n">
        <v>9</v>
      </c>
      <c r="E4741" s="4" t="s">
        <v>3241</v>
      </c>
      <c r="F4741" s="4" t="n">
        <v>15</v>
      </c>
      <c r="G4741" s="4" t="n">
        <v>9</v>
      </c>
      <c r="H4741" s="4" t="n">
        <v>2</v>
      </c>
      <c r="I4741" s="4" t="str">
        <v>○</v>
      </c>
      <c r="J4741" s="4" t="n">
        <v>700</v>
      </c>
      <c r="K4741" s="4"/>
      <c r="L4741" s="4"/>
      <c r="M4741" s="7" t="s">
        <v>3577</v>
      </c>
    </row>
    <row r="4742" customFormat="false" ht="15.75" hidden="false" customHeight="false" outlineLevel="0" collapsed="false">
      <c r="A4742" s="3" t="n">
        <v>46236</v>
      </c>
      <c r="B4742" s="4" t="s">
        <v>179</v>
      </c>
      <c r="C4742" s="4" t="n">
        <v>6</v>
      </c>
      <c r="D4742" s="4" t="n">
        <v>1</v>
      </c>
      <c r="E4742" s="4" t="s">
        <v>3928</v>
      </c>
      <c r="F4742" s="4" t="n">
        <v>23</v>
      </c>
      <c r="G4742" s="4" t="n">
        <v>7</v>
      </c>
      <c r="H4742" s="4" t="n">
        <v>4</v>
      </c>
      <c r="I4742" s="4" t="str">
        <v>×</v>
      </c>
      <c r="J4742" s="4"/>
      <c r="K4742" s="4"/>
      <c r="L4742" s="4"/>
      <c r="M4742" s="7" t="s">
        <v>3577</v>
      </c>
    </row>
    <row r="4743" customFormat="false" ht="15.75" hidden="false" customHeight="false" outlineLevel="0" collapsed="false">
      <c r="A4743" s="3" t="n">
        <v>46236</v>
      </c>
      <c r="B4743" s="4" t="s">
        <v>179</v>
      </c>
      <c r="C4743" s="4" t="n">
        <v>6</v>
      </c>
      <c r="D4743" s="4" t="n">
        <v>2</v>
      </c>
      <c r="E4743" s="4" t="s">
        <v>3929</v>
      </c>
      <c r="F4743" s="4" t="n">
        <v>15</v>
      </c>
      <c r="G4743" s="4" t="n">
        <v>8</v>
      </c>
      <c r="H4743" s="4" t="n">
        <v>4</v>
      </c>
      <c r="I4743" s="4" t="str">
        <v>×</v>
      </c>
      <c r="J4743" s="4"/>
      <c r="K4743" s="4"/>
      <c r="L4743" s="4"/>
      <c r="M4743" s="7" t="s">
        <v>3577</v>
      </c>
    </row>
    <row r="4744" customFormat="false" ht="15.75" hidden="false" customHeight="false" outlineLevel="0" collapsed="false">
      <c r="A4744" s="3" t="n">
        <v>46236</v>
      </c>
      <c r="B4744" s="4" t="s">
        <v>179</v>
      </c>
      <c r="C4744" s="4" t="n">
        <v>6</v>
      </c>
      <c r="D4744" s="4" t="n">
        <v>3</v>
      </c>
      <c r="E4744" s="4" t="s">
        <v>3930</v>
      </c>
      <c r="F4744" s="4" t="n">
        <v>31</v>
      </c>
      <c r="G4744" s="4" t="n">
        <v>5</v>
      </c>
      <c r="H4744" s="4" t="n">
        <v>4</v>
      </c>
      <c r="I4744" s="4" t="str">
        <v>×</v>
      </c>
      <c r="J4744" s="4"/>
      <c r="K4744" s="4"/>
      <c r="L4744" s="4"/>
      <c r="M4744" s="7" t="s">
        <v>3577</v>
      </c>
    </row>
    <row r="4745" customFormat="false" ht="15.75" hidden="false" customHeight="false" outlineLevel="0" collapsed="false">
      <c r="A4745" s="3" t="n">
        <v>46236</v>
      </c>
      <c r="B4745" s="4" t="s">
        <v>179</v>
      </c>
      <c r="C4745" s="4" t="n">
        <v>6</v>
      </c>
      <c r="D4745" s="4" t="n">
        <v>4</v>
      </c>
      <c r="E4745" s="4" t="s">
        <v>3931</v>
      </c>
      <c r="F4745" s="4" t="n">
        <v>66</v>
      </c>
      <c r="G4745" s="4" t="n">
        <v>1</v>
      </c>
      <c r="H4745" s="4" t="n">
        <v>2</v>
      </c>
      <c r="I4745" s="4" t="str">
        <v>○</v>
      </c>
      <c r="J4745" s="4" t="n">
        <v>110</v>
      </c>
      <c r="K4745" s="4"/>
      <c r="L4745" s="4"/>
      <c r="M4745" s="7" t="s">
        <v>3577</v>
      </c>
    </row>
    <row r="4746" customFormat="false" ht="15.75" hidden="false" customHeight="false" outlineLevel="0" collapsed="false">
      <c r="A4746" s="3" t="n">
        <v>46236</v>
      </c>
      <c r="B4746" s="4" t="s">
        <v>179</v>
      </c>
      <c r="C4746" s="4" t="n">
        <v>6</v>
      </c>
      <c r="D4746" s="4" t="n">
        <v>5</v>
      </c>
      <c r="E4746" s="4" t="s">
        <v>3932</v>
      </c>
      <c r="F4746" s="4" t="n">
        <v>41</v>
      </c>
      <c r="G4746" s="4" t="n">
        <v>4</v>
      </c>
      <c r="H4746" s="4" t="n">
        <v>3</v>
      </c>
      <c r="I4746" s="4" t="str">
        <v>○</v>
      </c>
      <c r="J4746" s="4" t="n">
        <v>150</v>
      </c>
      <c r="K4746" s="4"/>
      <c r="L4746" s="4"/>
      <c r="M4746" s="7" t="s">
        <v>3577</v>
      </c>
    </row>
    <row r="4747" customFormat="false" ht="15.75" hidden="false" customHeight="false" outlineLevel="0" collapsed="false">
      <c r="A4747" s="3" t="n">
        <v>46236</v>
      </c>
      <c r="B4747" s="4" t="s">
        <v>179</v>
      </c>
      <c r="C4747" s="4" t="n">
        <v>6</v>
      </c>
      <c r="D4747" s="4" t="n">
        <v>6</v>
      </c>
      <c r="E4747" s="4" t="s">
        <v>3933</v>
      </c>
      <c r="F4747" s="4" t="n">
        <v>66</v>
      </c>
      <c r="G4747" s="4" t="n">
        <v>1</v>
      </c>
      <c r="H4747" s="4" t="n">
        <v>1</v>
      </c>
      <c r="I4747" s="4" t="str">
        <v>○</v>
      </c>
      <c r="J4747" s="4" t="n">
        <v>110</v>
      </c>
      <c r="K4747" s="4"/>
      <c r="L4747" s="4"/>
      <c r="M4747" s="7" t="s">
        <v>3577</v>
      </c>
    </row>
    <row r="4748" customFormat="false" ht="15.75" hidden="false" customHeight="false" outlineLevel="0" collapsed="false">
      <c r="A4748" s="3" t="n">
        <v>46236</v>
      </c>
      <c r="B4748" s="4" t="s">
        <v>179</v>
      </c>
      <c r="C4748" s="4" t="n">
        <v>6</v>
      </c>
      <c r="D4748" s="4" t="n">
        <v>7</v>
      </c>
      <c r="E4748" s="4" t="s">
        <v>3484</v>
      </c>
      <c r="F4748" s="4" t="n">
        <v>8</v>
      </c>
      <c r="G4748" s="4" t="n">
        <v>9</v>
      </c>
      <c r="H4748" s="4" t="n">
        <v>4</v>
      </c>
      <c r="I4748" s="4" t="str">
        <v>×</v>
      </c>
      <c r="J4748" s="4"/>
      <c r="K4748" s="4"/>
      <c r="L4748" s="4"/>
      <c r="M4748" s="7" t="s">
        <v>3577</v>
      </c>
    </row>
    <row r="4749" customFormat="false" ht="15.75" hidden="false" customHeight="false" outlineLevel="0" collapsed="false">
      <c r="A4749" s="3" t="n">
        <v>46236</v>
      </c>
      <c r="B4749" s="4" t="s">
        <v>179</v>
      </c>
      <c r="C4749" s="4" t="n">
        <v>6</v>
      </c>
      <c r="D4749" s="4" t="n">
        <v>8</v>
      </c>
      <c r="E4749" s="4" t="s">
        <v>3934</v>
      </c>
      <c r="F4749" s="4" t="n">
        <v>47</v>
      </c>
      <c r="G4749" s="4" t="n">
        <v>3</v>
      </c>
      <c r="H4749" s="4" t="n">
        <v>4</v>
      </c>
      <c r="I4749" s="4" t="str">
        <v>×</v>
      </c>
      <c r="J4749" s="4"/>
      <c r="K4749" s="4"/>
      <c r="L4749" s="4"/>
      <c r="M4749" s="7" t="s">
        <v>3577</v>
      </c>
    </row>
    <row r="4750" customFormat="false" ht="15.75" hidden="false" customHeight="false" outlineLevel="0" collapsed="false">
      <c r="A4750" s="3" t="n">
        <v>46236</v>
      </c>
      <c r="B4750" s="4" t="s">
        <v>179</v>
      </c>
      <c r="C4750" s="4" t="n">
        <v>6</v>
      </c>
      <c r="D4750" s="4" t="n">
        <v>9</v>
      </c>
      <c r="E4750" s="4" t="s">
        <v>3935</v>
      </c>
      <c r="F4750" s="4" t="n">
        <v>25</v>
      </c>
      <c r="G4750" s="4" t="n">
        <v>6</v>
      </c>
      <c r="H4750" s="4" t="n">
        <v>4</v>
      </c>
      <c r="I4750" s="4" t="str">
        <v>×</v>
      </c>
      <c r="J4750" s="4"/>
      <c r="K4750" s="4"/>
      <c r="L4750" s="4"/>
      <c r="M4750" s="7" t="s">
        <v>3577</v>
      </c>
    </row>
    <row r="4751" customFormat="false" ht="15.75" hidden="false" customHeight="false" outlineLevel="0" collapsed="false">
      <c r="A4751" s="3" t="n">
        <v>46236</v>
      </c>
      <c r="B4751" s="4" t="s">
        <v>179</v>
      </c>
      <c r="C4751" s="4" t="n">
        <v>7</v>
      </c>
      <c r="D4751" s="4" t="n">
        <v>1</v>
      </c>
      <c r="E4751" s="4" t="s">
        <v>3936</v>
      </c>
      <c r="F4751" s="4" t="n">
        <v>41</v>
      </c>
      <c r="G4751" s="4" t="n">
        <v>3</v>
      </c>
      <c r="H4751" s="4" t="n">
        <v>4</v>
      </c>
      <c r="I4751" s="4" t="str">
        <v>×</v>
      </c>
      <c r="J4751" s="4"/>
      <c r="K4751" s="4"/>
      <c r="L4751" s="4"/>
      <c r="M4751" s="7" t="s">
        <v>3577</v>
      </c>
    </row>
    <row r="4752" customFormat="false" ht="15.75" hidden="false" customHeight="false" outlineLevel="0" collapsed="false">
      <c r="A4752" s="3" t="n">
        <v>46236</v>
      </c>
      <c r="B4752" s="4" t="s">
        <v>179</v>
      </c>
      <c r="C4752" s="4" t="n">
        <v>7</v>
      </c>
      <c r="D4752" s="4" t="n">
        <v>2</v>
      </c>
      <c r="E4752" s="4" t="s">
        <v>3937</v>
      </c>
      <c r="F4752" s="4" t="n">
        <v>13</v>
      </c>
      <c r="G4752" s="4" t="n">
        <v>8</v>
      </c>
      <c r="H4752" s="4" t="n">
        <v>4</v>
      </c>
      <c r="I4752" s="4" t="str">
        <v>×</v>
      </c>
      <c r="J4752" s="4"/>
      <c r="K4752" s="4"/>
      <c r="L4752" s="4"/>
      <c r="M4752" s="7" t="s">
        <v>3577</v>
      </c>
    </row>
    <row r="4753" customFormat="false" ht="15.75" hidden="false" customHeight="false" outlineLevel="0" collapsed="false">
      <c r="A4753" s="3" t="n">
        <v>46236</v>
      </c>
      <c r="B4753" s="4" t="s">
        <v>179</v>
      </c>
      <c r="C4753" s="4" t="n">
        <v>7</v>
      </c>
      <c r="D4753" s="4" t="n">
        <v>3</v>
      </c>
      <c r="E4753" s="4" t="s">
        <v>3938</v>
      </c>
      <c r="F4753" s="4" t="n">
        <v>44</v>
      </c>
      <c r="G4753" s="4" t="n">
        <v>2</v>
      </c>
      <c r="H4753" s="4" t="n">
        <v>4</v>
      </c>
      <c r="I4753" s="4" t="str">
        <v>×</v>
      </c>
      <c r="J4753" s="4"/>
      <c r="K4753" s="4"/>
      <c r="L4753" s="4"/>
      <c r="M4753" s="7" t="s">
        <v>3577</v>
      </c>
    </row>
    <row r="4754" customFormat="false" ht="15.75" hidden="false" customHeight="false" outlineLevel="0" collapsed="false">
      <c r="A4754" s="3" t="n">
        <v>46236</v>
      </c>
      <c r="B4754" s="4" t="s">
        <v>179</v>
      </c>
      <c r="C4754" s="4" t="n">
        <v>7</v>
      </c>
      <c r="D4754" s="4" t="n">
        <v>4</v>
      </c>
      <c r="E4754" s="4" t="s">
        <v>3115</v>
      </c>
      <c r="F4754" s="4" t="n">
        <v>37</v>
      </c>
      <c r="G4754" s="4" t="n">
        <v>4</v>
      </c>
      <c r="H4754" s="4" t="n">
        <v>4</v>
      </c>
      <c r="I4754" s="4" t="str">
        <v>×</v>
      </c>
      <c r="J4754" s="4"/>
      <c r="K4754" s="4"/>
      <c r="L4754" s="4"/>
      <c r="M4754" s="7" t="s">
        <v>3577</v>
      </c>
    </row>
    <row r="4755" customFormat="false" ht="15.75" hidden="false" customHeight="false" outlineLevel="0" collapsed="false">
      <c r="A4755" s="3" t="n">
        <v>46236</v>
      </c>
      <c r="B4755" s="4" t="s">
        <v>179</v>
      </c>
      <c r="C4755" s="4" t="n">
        <v>7</v>
      </c>
      <c r="D4755" s="4" t="n">
        <v>5</v>
      </c>
      <c r="E4755" s="4" t="s">
        <v>3939</v>
      </c>
      <c r="F4755" s="4" t="n">
        <v>23</v>
      </c>
      <c r="G4755" s="4" t="n">
        <v>6</v>
      </c>
      <c r="H4755" s="4" t="n">
        <v>4</v>
      </c>
      <c r="I4755" s="4" t="str">
        <v>×</v>
      </c>
      <c r="J4755" s="4"/>
      <c r="K4755" s="4"/>
      <c r="L4755" s="4"/>
      <c r="M4755" s="7" t="s">
        <v>3577</v>
      </c>
    </row>
    <row r="4756" customFormat="false" ht="15.75" hidden="false" customHeight="false" outlineLevel="0" collapsed="false">
      <c r="A4756" s="3" t="n">
        <v>46236</v>
      </c>
      <c r="B4756" s="4" t="s">
        <v>179</v>
      </c>
      <c r="C4756" s="4" t="n">
        <v>7</v>
      </c>
      <c r="D4756" s="4" t="n">
        <v>6</v>
      </c>
      <c r="E4756" s="4" t="s">
        <v>3105</v>
      </c>
      <c r="F4756" s="4" t="n">
        <v>29</v>
      </c>
      <c r="G4756" s="4" t="n">
        <v>5</v>
      </c>
      <c r="H4756" s="4" t="n">
        <v>4</v>
      </c>
      <c r="I4756" s="4" t="str">
        <v>×</v>
      </c>
      <c r="J4756" s="4"/>
      <c r="K4756" s="4"/>
      <c r="L4756" s="4"/>
      <c r="M4756" s="7" t="s">
        <v>3577</v>
      </c>
    </row>
    <row r="4757" customFormat="false" ht="15.75" hidden="false" customHeight="false" outlineLevel="0" collapsed="false">
      <c r="A4757" s="3" t="n">
        <v>46236</v>
      </c>
      <c r="B4757" s="4" t="s">
        <v>179</v>
      </c>
      <c r="C4757" s="4" t="n">
        <v>7</v>
      </c>
      <c r="D4757" s="4" t="n">
        <v>7</v>
      </c>
      <c r="E4757" s="4" t="s">
        <v>3940</v>
      </c>
      <c r="F4757" s="4" t="n">
        <v>13</v>
      </c>
      <c r="G4757" s="4" t="n">
        <v>8</v>
      </c>
      <c r="H4757" s="4" t="n">
        <v>3</v>
      </c>
      <c r="I4757" s="4" t="str">
        <v>○</v>
      </c>
      <c r="J4757" s="4" t="n">
        <v>310</v>
      </c>
      <c r="K4757" s="4"/>
      <c r="L4757" s="4"/>
      <c r="M4757" s="7" t="s">
        <v>3577</v>
      </c>
    </row>
    <row r="4758" customFormat="false" ht="15.75" hidden="false" customHeight="false" outlineLevel="0" collapsed="false">
      <c r="A4758" s="3" t="n">
        <v>46236</v>
      </c>
      <c r="B4758" s="4" t="s">
        <v>179</v>
      </c>
      <c r="C4758" s="4" t="n">
        <v>7</v>
      </c>
      <c r="D4758" s="4" t="n">
        <v>8</v>
      </c>
      <c r="E4758" s="4" t="s">
        <v>3941</v>
      </c>
      <c r="F4758" s="4" t="n">
        <v>23</v>
      </c>
      <c r="G4758" s="4" t="n">
        <v>6</v>
      </c>
      <c r="H4758" s="4" t="n">
        <v>2</v>
      </c>
      <c r="I4758" s="4" t="str">
        <v>○</v>
      </c>
      <c r="J4758" s="4" t="n">
        <v>210</v>
      </c>
      <c r="K4758" s="4"/>
      <c r="L4758" s="4"/>
      <c r="M4758" s="7" t="s">
        <v>3577</v>
      </c>
    </row>
    <row r="4759" customFormat="false" ht="15.75" hidden="false" customHeight="false" outlineLevel="0" collapsed="false">
      <c r="A4759" s="3" t="n">
        <v>46236</v>
      </c>
      <c r="B4759" s="4" t="s">
        <v>179</v>
      </c>
      <c r="C4759" s="4" t="n">
        <v>7</v>
      </c>
      <c r="D4759" s="4" t="n">
        <v>9</v>
      </c>
      <c r="E4759" s="4" t="s">
        <v>3942</v>
      </c>
      <c r="F4759" s="4" t="n">
        <v>62</v>
      </c>
      <c r="G4759" s="4" t="n">
        <v>1</v>
      </c>
      <c r="H4759" s="4" t="n">
        <v>1</v>
      </c>
      <c r="I4759" s="4" t="str">
        <v>○</v>
      </c>
      <c r="J4759" s="4" t="n">
        <v>170</v>
      </c>
      <c r="K4759" s="4"/>
      <c r="L4759" s="4"/>
      <c r="M4759" s="7" t="s">
        <v>3577</v>
      </c>
    </row>
    <row r="4760" customFormat="false" ht="15.75" hidden="false" customHeight="false" outlineLevel="0" collapsed="false">
      <c r="A4760" s="3" t="n">
        <v>46236</v>
      </c>
      <c r="B4760" s="4" t="s">
        <v>179</v>
      </c>
      <c r="C4760" s="4" t="n">
        <v>8</v>
      </c>
      <c r="D4760" s="4" t="n">
        <v>1</v>
      </c>
      <c r="E4760" s="4" t="s">
        <v>3943</v>
      </c>
      <c r="F4760" s="4" t="n">
        <v>44</v>
      </c>
      <c r="G4760" s="4" t="n">
        <v>2</v>
      </c>
      <c r="H4760" s="4" t="n">
        <v>4</v>
      </c>
      <c r="I4760" s="4" t="str">
        <v>×</v>
      </c>
      <c r="J4760" s="4"/>
      <c r="K4760" s="4"/>
      <c r="L4760" s="4"/>
      <c r="M4760" s="7" t="s">
        <v>3577</v>
      </c>
    </row>
    <row r="4761" customFormat="false" ht="15.75" hidden="false" customHeight="false" outlineLevel="0" collapsed="false">
      <c r="A4761" s="3" t="n">
        <v>46236</v>
      </c>
      <c r="B4761" s="4" t="s">
        <v>179</v>
      </c>
      <c r="C4761" s="4" t="n">
        <v>8</v>
      </c>
      <c r="D4761" s="4" t="n">
        <v>2</v>
      </c>
      <c r="E4761" s="4" t="s">
        <v>3944</v>
      </c>
      <c r="F4761" s="4" t="n">
        <v>20</v>
      </c>
      <c r="G4761" s="4" t="n">
        <v>7</v>
      </c>
      <c r="H4761" s="4" t="n">
        <v>4</v>
      </c>
      <c r="I4761" s="4" t="str">
        <v>×</v>
      </c>
      <c r="J4761" s="4"/>
      <c r="K4761" s="4"/>
      <c r="L4761" s="4"/>
      <c r="M4761" s="7" t="s">
        <v>3577</v>
      </c>
    </row>
    <row r="4762" customFormat="false" ht="15.75" hidden="false" customHeight="false" outlineLevel="0" collapsed="false">
      <c r="A4762" s="3" t="n">
        <v>46236</v>
      </c>
      <c r="B4762" s="4" t="s">
        <v>179</v>
      </c>
      <c r="C4762" s="4" t="n">
        <v>8</v>
      </c>
      <c r="D4762" s="4" t="n">
        <v>3</v>
      </c>
      <c r="E4762" s="4" t="s">
        <v>3945</v>
      </c>
      <c r="F4762" s="4" t="n">
        <v>41</v>
      </c>
      <c r="G4762" s="4" t="n">
        <v>4</v>
      </c>
      <c r="H4762" s="4" t="n">
        <v>3</v>
      </c>
      <c r="I4762" s="4" t="str">
        <v>○</v>
      </c>
      <c r="J4762" s="4" t="n">
        <v>140</v>
      </c>
      <c r="K4762" s="4"/>
      <c r="L4762" s="4"/>
      <c r="M4762" s="7" t="s">
        <v>3577</v>
      </c>
    </row>
    <row r="4763" customFormat="false" ht="15.75" hidden="false" customHeight="false" outlineLevel="0" collapsed="false">
      <c r="A4763" s="3" t="n">
        <v>46236</v>
      </c>
      <c r="B4763" s="4" t="s">
        <v>179</v>
      </c>
      <c r="C4763" s="4" t="n">
        <v>8</v>
      </c>
      <c r="D4763" s="4" t="n">
        <v>4</v>
      </c>
      <c r="E4763" s="4" t="s">
        <v>3215</v>
      </c>
      <c r="F4763" s="4" t="n">
        <v>44</v>
      </c>
      <c r="G4763" s="4" t="n">
        <v>2</v>
      </c>
      <c r="H4763" s="4" t="n">
        <v>4</v>
      </c>
      <c r="I4763" s="4" t="str">
        <v>×</v>
      </c>
      <c r="J4763" s="4"/>
      <c r="K4763" s="4"/>
      <c r="L4763" s="4"/>
      <c r="M4763" s="7" t="s">
        <v>3577</v>
      </c>
    </row>
    <row r="4764" customFormat="false" ht="15.75" hidden="false" customHeight="false" outlineLevel="0" collapsed="false">
      <c r="A4764" s="3" t="n">
        <v>46236</v>
      </c>
      <c r="B4764" s="4" t="s">
        <v>179</v>
      </c>
      <c r="C4764" s="4" t="n">
        <v>8</v>
      </c>
      <c r="D4764" s="4" t="n">
        <v>5</v>
      </c>
      <c r="E4764" s="4" t="s">
        <v>2423</v>
      </c>
      <c r="F4764" s="4" t="n">
        <v>50</v>
      </c>
      <c r="G4764" s="4" t="n">
        <v>1</v>
      </c>
      <c r="H4764" s="4" t="n">
        <v>1</v>
      </c>
      <c r="I4764" s="4" t="str">
        <v>○</v>
      </c>
      <c r="J4764" s="4" t="n">
        <v>120</v>
      </c>
      <c r="K4764" s="4"/>
      <c r="L4764" s="4"/>
      <c r="M4764" s="7" t="s">
        <v>3577</v>
      </c>
    </row>
    <row r="4765" customFormat="false" ht="15.75" hidden="false" customHeight="false" outlineLevel="0" collapsed="false">
      <c r="A4765" s="3" t="n">
        <v>46236</v>
      </c>
      <c r="B4765" s="4" t="s">
        <v>179</v>
      </c>
      <c r="C4765" s="4" t="n">
        <v>8</v>
      </c>
      <c r="D4765" s="4" t="n">
        <v>6</v>
      </c>
      <c r="E4765" s="4" t="s">
        <v>2896</v>
      </c>
      <c r="F4765" s="4" t="n">
        <v>23</v>
      </c>
      <c r="G4765" s="4" t="n">
        <v>6</v>
      </c>
      <c r="H4765" s="4" t="n">
        <v>4</v>
      </c>
      <c r="I4765" s="4" t="str">
        <v>×</v>
      </c>
      <c r="J4765" s="4"/>
      <c r="K4765" s="4"/>
      <c r="L4765" s="4"/>
      <c r="M4765" s="7" t="s">
        <v>3577</v>
      </c>
    </row>
    <row r="4766" customFormat="false" ht="15.75" hidden="false" customHeight="false" outlineLevel="0" collapsed="false">
      <c r="A4766" s="3" t="n">
        <v>46236</v>
      </c>
      <c r="B4766" s="4" t="s">
        <v>179</v>
      </c>
      <c r="C4766" s="4" t="n">
        <v>8</v>
      </c>
      <c r="D4766" s="4" t="n">
        <v>7</v>
      </c>
      <c r="E4766" s="4" t="s">
        <v>3946</v>
      </c>
      <c r="F4766" s="4" t="n">
        <v>29</v>
      </c>
      <c r="G4766" s="4" t="n">
        <v>5</v>
      </c>
      <c r="H4766" s="4" t="n">
        <v>2</v>
      </c>
      <c r="I4766" s="4" t="str">
        <v>○</v>
      </c>
      <c r="J4766" s="4" t="n">
        <v>200</v>
      </c>
      <c r="K4766" s="4"/>
      <c r="L4766" s="4"/>
      <c r="M4766" s="7" t="s">
        <v>3577</v>
      </c>
    </row>
    <row r="4767" customFormat="false" ht="15.75" hidden="false" customHeight="false" outlineLevel="0" collapsed="false">
      <c r="A4767" s="3" t="n">
        <v>46236</v>
      </c>
      <c r="B4767" s="4" t="s">
        <v>179</v>
      </c>
      <c r="C4767" s="4" t="n">
        <v>8</v>
      </c>
      <c r="D4767" s="4" t="n">
        <v>8</v>
      </c>
      <c r="E4767" s="4" t="s">
        <v>2894</v>
      </c>
      <c r="F4767" s="4" t="n">
        <v>6</v>
      </c>
      <c r="G4767" s="4" t="n">
        <v>11</v>
      </c>
      <c r="H4767" s="4" t="n">
        <v>4</v>
      </c>
      <c r="I4767" s="4" t="str">
        <v>×</v>
      </c>
      <c r="J4767" s="4"/>
      <c r="K4767" s="4"/>
      <c r="L4767" s="4"/>
      <c r="M4767" s="7" t="s">
        <v>3577</v>
      </c>
    </row>
    <row r="4768" customFormat="false" ht="15.75" hidden="false" customHeight="false" outlineLevel="0" collapsed="false">
      <c r="A4768" s="3" t="n">
        <v>46236</v>
      </c>
      <c r="B4768" s="4" t="s">
        <v>179</v>
      </c>
      <c r="C4768" s="4" t="n">
        <v>8</v>
      </c>
      <c r="D4768" s="4" t="n">
        <v>9</v>
      </c>
      <c r="E4768" s="4" t="s">
        <v>3947</v>
      </c>
      <c r="F4768" s="4" t="n">
        <v>10</v>
      </c>
      <c r="G4768" s="4" t="n">
        <v>10</v>
      </c>
      <c r="H4768" s="4" t="n">
        <v>4</v>
      </c>
      <c r="I4768" s="4" t="str">
        <v>×</v>
      </c>
      <c r="J4768" s="4"/>
      <c r="K4768" s="4"/>
      <c r="L4768" s="4"/>
      <c r="M4768" s="7" t="s">
        <v>3577</v>
      </c>
    </row>
    <row r="4769" customFormat="false" ht="15.75" hidden="false" customHeight="false" outlineLevel="0" collapsed="false">
      <c r="A4769" s="3" t="n">
        <v>46236</v>
      </c>
      <c r="B4769" s="4" t="s">
        <v>179</v>
      </c>
      <c r="C4769" s="4" t="n">
        <v>8</v>
      </c>
      <c r="D4769" s="4" t="n">
        <v>10</v>
      </c>
      <c r="E4769" s="4" t="s">
        <v>3948</v>
      </c>
      <c r="F4769" s="4" t="n">
        <v>13</v>
      </c>
      <c r="G4769" s="4" t="n">
        <v>9</v>
      </c>
      <c r="H4769" s="4" t="n">
        <v>4</v>
      </c>
      <c r="I4769" s="4" t="str">
        <v>×</v>
      </c>
      <c r="J4769" s="4"/>
      <c r="K4769" s="4"/>
      <c r="L4769" s="4"/>
      <c r="M4769" s="7" t="s">
        <v>3577</v>
      </c>
    </row>
    <row r="4770" customFormat="false" ht="15.75" hidden="false" customHeight="false" outlineLevel="0" collapsed="false">
      <c r="A4770" s="3" t="n">
        <v>46236</v>
      </c>
      <c r="B4770" s="4" t="s">
        <v>179</v>
      </c>
      <c r="C4770" s="4" t="n">
        <v>8</v>
      </c>
      <c r="D4770" s="4" t="n">
        <v>11</v>
      </c>
      <c r="E4770" s="4" t="s">
        <v>1664</v>
      </c>
      <c r="F4770" s="4" t="n">
        <v>15</v>
      </c>
      <c r="G4770" s="4" t="n">
        <v>8</v>
      </c>
      <c r="H4770" s="4" t="n">
        <v>4</v>
      </c>
      <c r="I4770" s="4" t="str">
        <v>×</v>
      </c>
      <c r="J4770" s="4"/>
      <c r="K4770" s="4"/>
      <c r="L4770" s="4"/>
      <c r="M4770" s="7" t="s">
        <v>3577</v>
      </c>
    </row>
    <row r="4771" customFormat="false" ht="15.75" hidden="false" customHeight="false" outlineLevel="0" collapsed="false">
      <c r="A4771" s="3" t="n">
        <v>46236</v>
      </c>
      <c r="B4771" s="4" t="s">
        <v>179</v>
      </c>
      <c r="C4771" s="4" t="n">
        <v>9</v>
      </c>
      <c r="D4771" s="4" t="n">
        <v>1</v>
      </c>
      <c r="E4771" s="4" t="s">
        <v>2288</v>
      </c>
      <c r="F4771" s="4" t="n">
        <v>14</v>
      </c>
      <c r="G4771" s="4" t="n">
        <v>8</v>
      </c>
      <c r="H4771" s="4" t="n">
        <v>4</v>
      </c>
      <c r="I4771" s="4" t="str">
        <v>×</v>
      </c>
      <c r="J4771" s="4"/>
      <c r="K4771" s="4"/>
      <c r="L4771" s="4"/>
      <c r="M4771" s="7" t="s">
        <v>3577</v>
      </c>
    </row>
    <row r="4772" customFormat="false" ht="15.75" hidden="false" customHeight="false" outlineLevel="0" collapsed="false">
      <c r="A4772" s="3" t="n">
        <v>46236</v>
      </c>
      <c r="B4772" s="4" t="s">
        <v>179</v>
      </c>
      <c r="C4772" s="4" t="n">
        <v>9</v>
      </c>
      <c r="D4772" s="4" t="n">
        <v>2</v>
      </c>
      <c r="E4772" s="4" t="s">
        <v>3482</v>
      </c>
      <c r="F4772" s="4" t="n">
        <v>24</v>
      </c>
      <c r="G4772" s="4" t="n">
        <v>5</v>
      </c>
      <c r="H4772" s="4" t="n">
        <v>4</v>
      </c>
      <c r="I4772" s="4" t="str">
        <v>×</v>
      </c>
      <c r="J4772" s="4"/>
      <c r="K4772" s="4"/>
      <c r="L4772" s="4"/>
      <c r="M4772" s="7" t="s">
        <v>3577</v>
      </c>
    </row>
    <row r="4773" customFormat="false" ht="15.75" hidden="false" customHeight="false" outlineLevel="0" collapsed="false">
      <c r="A4773" s="3" t="n">
        <v>46236</v>
      </c>
      <c r="B4773" s="4" t="s">
        <v>179</v>
      </c>
      <c r="C4773" s="4" t="n">
        <v>9</v>
      </c>
      <c r="D4773" s="4" t="n">
        <v>3</v>
      </c>
      <c r="E4773" s="4" t="s">
        <v>3949</v>
      </c>
      <c r="F4773" s="4" t="n">
        <v>6</v>
      </c>
      <c r="G4773" s="4" t="n">
        <v>10</v>
      </c>
      <c r="H4773" s="4" t="n">
        <v>4</v>
      </c>
      <c r="I4773" s="4" t="str">
        <v>×</v>
      </c>
      <c r="J4773" s="4"/>
      <c r="K4773" s="4"/>
      <c r="L4773" s="4"/>
      <c r="M4773" s="7" t="s">
        <v>3577</v>
      </c>
    </row>
    <row r="4774" customFormat="false" ht="15.75" hidden="false" customHeight="false" outlineLevel="0" collapsed="false">
      <c r="A4774" s="3" t="n">
        <v>46236</v>
      </c>
      <c r="B4774" s="4" t="s">
        <v>179</v>
      </c>
      <c r="C4774" s="4" t="n">
        <v>9</v>
      </c>
      <c r="D4774" s="4" t="n">
        <v>4</v>
      </c>
      <c r="E4774" s="4" t="s">
        <v>3127</v>
      </c>
      <c r="F4774" s="4" t="n">
        <v>55</v>
      </c>
      <c r="G4774" s="4" t="n">
        <v>1</v>
      </c>
      <c r="H4774" s="4" t="n">
        <v>1</v>
      </c>
      <c r="I4774" s="4" t="str">
        <v>○</v>
      </c>
      <c r="J4774" s="4" t="n">
        <v>120</v>
      </c>
      <c r="K4774" s="4"/>
      <c r="L4774" s="4"/>
      <c r="M4774" s="7" t="s">
        <v>3577</v>
      </c>
    </row>
    <row r="4775" customFormat="false" ht="15.75" hidden="false" customHeight="false" outlineLevel="0" collapsed="false">
      <c r="A4775" s="3" t="n">
        <v>46236</v>
      </c>
      <c r="B4775" s="4" t="s">
        <v>179</v>
      </c>
      <c r="C4775" s="4" t="n">
        <v>9</v>
      </c>
      <c r="D4775" s="4" t="n">
        <v>5</v>
      </c>
      <c r="E4775" s="4" t="s">
        <v>3950</v>
      </c>
      <c r="F4775" s="4" t="n">
        <v>16</v>
      </c>
      <c r="G4775" s="4" t="n">
        <v>7</v>
      </c>
      <c r="H4775" s="4" t="n">
        <v>4</v>
      </c>
      <c r="I4775" s="4" t="str">
        <v>×</v>
      </c>
      <c r="J4775" s="4"/>
      <c r="K4775" s="4"/>
      <c r="L4775" s="4"/>
      <c r="M4775" s="7" t="s">
        <v>3577</v>
      </c>
    </row>
    <row r="4776" customFormat="false" ht="15.75" hidden="false" customHeight="false" outlineLevel="0" collapsed="false">
      <c r="A4776" s="3" t="n">
        <v>46236</v>
      </c>
      <c r="B4776" s="4" t="s">
        <v>179</v>
      </c>
      <c r="C4776" s="4" t="n">
        <v>9</v>
      </c>
      <c r="D4776" s="4" t="n">
        <v>6</v>
      </c>
      <c r="E4776" s="4" t="s">
        <v>1100</v>
      </c>
      <c r="F4776" s="4" t="n">
        <v>44</v>
      </c>
      <c r="G4776" s="4" t="n">
        <v>4</v>
      </c>
      <c r="H4776" s="4" t="n">
        <v>3</v>
      </c>
      <c r="I4776" s="4" t="str">
        <v>○</v>
      </c>
      <c r="J4776" s="4" t="n">
        <v>160</v>
      </c>
      <c r="K4776" s="4"/>
      <c r="L4776" s="4"/>
      <c r="M4776" s="7" t="s">
        <v>3577</v>
      </c>
    </row>
    <row r="4777" customFormat="false" ht="15.75" hidden="false" customHeight="false" outlineLevel="0" collapsed="false">
      <c r="A4777" s="3" t="n">
        <v>46236</v>
      </c>
      <c r="B4777" s="4" t="s">
        <v>179</v>
      </c>
      <c r="C4777" s="4" t="n">
        <v>9</v>
      </c>
      <c r="D4777" s="4" t="n">
        <v>7</v>
      </c>
      <c r="E4777" s="4" t="s">
        <v>3951</v>
      </c>
      <c r="F4777" s="4" t="n">
        <v>24</v>
      </c>
      <c r="G4777" s="4" t="n">
        <v>5</v>
      </c>
      <c r="H4777" s="4" t="n">
        <v>4</v>
      </c>
      <c r="I4777" s="4" t="str">
        <v>×</v>
      </c>
      <c r="J4777" s="4"/>
      <c r="K4777" s="4"/>
      <c r="L4777" s="4"/>
      <c r="M4777" s="7" t="s">
        <v>3577</v>
      </c>
    </row>
    <row r="4778" customFormat="false" ht="15.75" hidden="false" customHeight="false" outlineLevel="0" collapsed="false">
      <c r="A4778" s="3" t="n">
        <v>46236</v>
      </c>
      <c r="B4778" s="4" t="s">
        <v>179</v>
      </c>
      <c r="C4778" s="4" t="n">
        <v>9</v>
      </c>
      <c r="D4778" s="4" t="n">
        <v>8</v>
      </c>
      <c r="E4778" s="4" t="s">
        <v>3952</v>
      </c>
      <c r="F4778" s="4" t="n">
        <v>55</v>
      </c>
      <c r="G4778" s="4" t="n">
        <v>1</v>
      </c>
      <c r="H4778" s="4" t="n">
        <v>2</v>
      </c>
      <c r="I4778" s="4" t="str">
        <v>○</v>
      </c>
      <c r="J4778" s="4" t="n">
        <v>120</v>
      </c>
      <c r="K4778" s="4"/>
      <c r="L4778" s="4"/>
      <c r="M4778" s="7" t="s">
        <v>3577</v>
      </c>
    </row>
    <row r="4779" customFormat="false" ht="15.75" hidden="false" customHeight="false" outlineLevel="0" collapsed="false">
      <c r="A4779" s="3" t="n">
        <v>46236</v>
      </c>
      <c r="B4779" s="4" t="s">
        <v>179</v>
      </c>
      <c r="C4779" s="4" t="n">
        <v>9</v>
      </c>
      <c r="D4779" s="4" t="n">
        <v>9</v>
      </c>
      <c r="E4779" s="4" t="s">
        <v>3953</v>
      </c>
      <c r="F4779" s="4" t="n">
        <v>12</v>
      </c>
      <c r="G4779" s="4" t="n">
        <v>9</v>
      </c>
      <c r="H4779" s="4" t="n">
        <v>4</v>
      </c>
      <c r="I4779" s="4" t="str">
        <v>×</v>
      </c>
      <c r="J4779" s="4"/>
      <c r="K4779" s="4"/>
      <c r="L4779" s="4"/>
      <c r="M4779" s="7" t="s">
        <v>3577</v>
      </c>
    </row>
    <row r="4780" customFormat="false" ht="15.75" hidden="false" customHeight="false" outlineLevel="0" collapsed="false">
      <c r="A4780" s="3" t="n">
        <v>46236</v>
      </c>
      <c r="B4780" s="4" t="s">
        <v>179</v>
      </c>
      <c r="C4780" s="4" t="n">
        <v>9</v>
      </c>
      <c r="D4780" s="4" t="n">
        <v>10</v>
      </c>
      <c r="E4780" s="4" t="s">
        <v>3954</v>
      </c>
      <c r="F4780" s="4" t="n">
        <v>55</v>
      </c>
      <c r="G4780" s="4" t="n">
        <v>1</v>
      </c>
      <c r="H4780" s="4" t="n">
        <v>4</v>
      </c>
      <c r="I4780" s="4" t="str">
        <v>×</v>
      </c>
      <c r="J4780" s="4"/>
      <c r="K4780" s="4"/>
      <c r="L4780" s="4"/>
      <c r="M4780" s="7" t="s">
        <v>3577</v>
      </c>
    </row>
    <row r="4781" customFormat="false" ht="15.75" hidden="false" customHeight="false" outlineLevel="0" collapsed="false">
      <c r="A4781" s="3" t="n">
        <v>46236</v>
      </c>
      <c r="B4781" s="4" t="s">
        <v>179</v>
      </c>
      <c r="C4781" s="4" t="n">
        <v>10</v>
      </c>
      <c r="D4781" s="4" t="n">
        <v>1</v>
      </c>
      <c r="E4781" s="4" t="s">
        <v>3955</v>
      </c>
      <c r="F4781" s="4" t="n">
        <v>6</v>
      </c>
      <c r="G4781" s="4" t="n">
        <v>14</v>
      </c>
      <c r="H4781" s="4" t="n">
        <v>4</v>
      </c>
      <c r="I4781" s="4" t="str">
        <v>×</v>
      </c>
      <c r="J4781" s="4"/>
      <c r="K4781" s="4"/>
      <c r="L4781" s="4"/>
      <c r="M4781" s="7" t="s">
        <v>3577</v>
      </c>
    </row>
    <row r="4782" customFormat="false" ht="15.75" hidden="false" customHeight="false" outlineLevel="0" collapsed="false">
      <c r="A4782" s="3" t="n">
        <v>46236</v>
      </c>
      <c r="B4782" s="4" t="s">
        <v>179</v>
      </c>
      <c r="C4782" s="4" t="n">
        <v>10</v>
      </c>
      <c r="D4782" s="4" t="n">
        <v>2</v>
      </c>
      <c r="E4782" s="4" t="s">
        <v>3956</v>
      </c>
      <c r="F4782" s="4" t="n">
        <v>15</v>
      </c>
      <c r="G4782" s="4" t="n">
        <v>8</v>
      </c>
      <c r="H4782" s="4" t="n">
        <v>4</v>
      </c>
      <c r="I4782" s="4" t="str">
        <v>×</v>
      </c>
      <c r="J4782" s="4"/>
      <c r="K4782" s="4"/>
      <c r="L4782" s="4"/>
      <c r="M4782" s="7" t="s">
        <v>3577</v>
      </c>
    </row>
    <row r="4783" customFormat="false" ht="15.75" hidden="false" customHeight="false" outlineLevel="0" collapsed="false">
      <c r="A4783" s="3" t="n">
        <v>46236</v>
      </c>
      <c r="B4783" s="4" t="s">
        <v>179</v>
      </c>
      <c r="C4783" s="4" t="n">
        <v>10</v>
      </c>
      <c r="D4783" s="4" t="n">
        <v>3</v>
      </c>
      <c r="E4783" s="4" t="s">
        <v>3957</v>
      </c>
      <c r="F4783" s="4" t="n">
        <v>28</v>
      </c>
      <c r="G4783" s="4" t="n">
        <v>5</v>
      </c>
      <c r="H4783" s="4" t="n">
        <v>4</v>
      </c>
      <c r="I4783" s="4" t="str">
        <v>×</v>
      </c>
      <c r="J4783" s="4"/>
      <c r="K4783" s="4"/>
      <c r="L4783" s="4"/>
      <c r="M4783" s="7" t="s">
        <v>3577</v>
      </c>
    </row>
    <row r="4784" customFormat="false" ht="15.75" hidden="false" customHeight="false" outlineLevel="0" collapsed="false">
      <c r="A4784" s="3" t="n">
        <v>46236</v>
      </c>
      <c r="B4784" s="4" t="s">
        <v>179</v>
      </c>
      <c r="C4784" s="4" t="n">
        <v>10</v>
      </c>
      <c r="D4784" s="4" t="n">
        <v>4</v>
      </c>
      <c r="E4784" s="4" t="s">
        <v>3958</v>
      </c>
      <c r="F4784" s="4" t="n">
        <v>52</v>
      </c>
      <c r="G4784" s="4" t="n">
        <v>2</v>
      </c>
      <c r="H4784" s="4" t="n">
        <v>1</v>
      </c>
      <c r="I4784" s="4" t="str">
        <v>○</v>
      </c>
      <c r="J4784" s="4" t="n">
        <v>160</v>
      </c>
      <c r="K4784" s="4"/>
      <c r="L4784" s="4"/>
      <c r="M4784" s="7" t="s">
        <v>3577</v>
      </c>
    </row>
    <row r="4785" customFormat="false" ht="15.75" hidden="false" customHeight="false" outlineLevel="0" collapsed="false">
      <c r="A4785" s="3" t="n">
        <v>46236</v>
      </c>
      <c r="B4785" s="4" t="s">
        <v>179</v>
      </c>
      <c r="C4785" s="4" t="n">
        <v>10</v>
      </c>
      <c r="D4785" s="4" t="n">
        <v>5</v>
      </c>
      <c r="E4785" s="4" t="s">
        <v>3959</v>
      </c>
      <c r="F4785" s="4" t="n">
        <v>10</v>
      </c>
      <c r="G4785" s="4" t="n">
        <v>12</v>
      </c>
      <c r="H4785" s="4" t="n">
        <v>4</v>
      </c>
      <c r="I4785" s="4" t="str">
        <v>×</v>
      </c>
      <c r="J4785" s="4"/>
      <c r="K4785" s="4"/>
      <c r="L4785" s="4"/>
      <c r="M4785" s="7" t="s">
        <v>3577</v>
      </c>
    </row>
    <row r="4786" customFormat="false" ht="15.75" hidden="false" customHeight="false" outlineLevel="0" collapsed="false">
      <c r="A4786" s="3" t="n">
        <v>46236</v>
      </c>
      <c r="B4786" s="4" t="s">
        <v>179</v>
      </c>
      <c r="C4786" s="4" t="n">
        <v>10</v>
      </c>
      <c r="D4786" s="4" t="n">
        <v>6</v>
      </c>
      <c r="E4786" s="4" t="s">
        <v>3498</v>
      </c>
      <c r="F4786" s="4" t="n">
        <v>23</v>
      </c>
      <c r="G4786" s="4" t="n">
        <v>6</v>
      </c>
      <c r="H4786" s="4" t="n">
        <v>4</v>
      </c>
      <c r="I4786" s="4" t="str">
        <v>×</v>
      </c>
      <c r="J4786" s="4"/>
      <c r="K4786" s="4"/>
      <c r="L4786" s="4"/>
      <c r="M4786" s="7" t="s">
        <v>3577</v>
      </c>
    </row>
    <row r="4787" customFormat="false" ht="15.75" hidden="false" customHeight="false" outlineLevel="0" collapsed="false">
      <c r="A4787" s="3" t="n">
        <v>46236</v>
      </c>
      <c r="B4787" s="4" t="s">
        <v>179</v>
      </c>
      <c r="C4787" s="4" t="n">
        <v>10</v>
      </c>
      <c r="D4787" s="4" t="n">
        <v>7</v>
      </c>
      <c r="E4787" s="4" t="s">
        <v>3960</v>
      </c>
      <c r="F4787" s="4" t="n">
        <v>10</v>
      </c>
      <c r="G4787" s="4" t="n">
        <v>12</v>
      </c>
      <c r="H4787" s="4" t="n">
        <v>2</v>
      </c>
      <c r="I4787" s="4" t="str">
        <v>○</v>
      </c>
      <c r="J4787" s="4" t="n">
        <v>2760</v>
      </c>
      <c r="K4787" s="4"/>
      <c r="L4787" s="4"/>
      <c r="M4787" s="7" t="s">
        <v>3577</v>
      </c>
    </row>
    <row r="4788" customFormat="false" ht="15.75" hidden="false" customHeight="false" outlineLevel="0" collapsed="false">
      <c r="A4788" s="3" t="n">
        <v>46236</v>
      </c>
      <c r="B4788" s="4" t="s">
        <v>179</v>
      </c>
      <c r="C4788" s="4" t="n">
        <v>10</v>
      </c>
      <c r="D4788" s="4" t="n">
        <v>8</v>
      </c>
      <c r="E4788" s="4" t="s">
        <v>3961</v>
      </c>
      <c r="F4788" s="4" t="n">
        <v>15</v>
      </c>
      <c r="G4788" s="4" t="n">
        <v>8</v>
      </c>
      <c r="H4788" s="4" t="n">
        <v>4</v>
      </c>
      <c r="I4788" s="4" t="str">
        <v>×</v>
      </c>
      <c r="J4788" s="4"/>
      <c r="K4788" s="4"/>
      <c r="L4788" s="4"/>
      <c r="M4788" s="7" t="s">
        <v>3577</v>
      </c>
    </row>
    <row r="4789" customFormat="false" ht="15.75" hidden="false" customHeight="false" outlineLevel="0" collapsed="false">
      <c r="A4789" s="3" t="n">
        <v>46236</v>
      </c>
      <c r="B4789" s="4" t="s">
        <v>179</v>
      </c>
      <c r="C4789" s="4" t="n">
        <v>10</v>
      </c>
      <c r="D4789" s="4" t="n">
        <v>9</v>
      </c>
      <c r="E4789" s="4" t="s">
        <v>3962</v>
      </c>
      <c r="F4789" s="4" t="n">
        <v>39</v>
      </c>
      <c r="G4789" s="4" t="n">
        <v>3</v>
      </c>
      <c r="H4789" s="4" t="n">
        <v>4</v>
      </c>
      <c r="I4789" s="4" t="str">
        <v>×</v>
      </c>
      <c r="J4789" s="4"/>
      <c r="K4789" s="4"/>
      <c r="L4789" s="4"/>
      <c r="M4789" s="7" t="s">
        <v>3577</v>
      </c>
    </row>
    <row r="4790" customFormat="false" ht="15.75" hidden="false" customHeight="false" outlineLevel="0" collapsed="false">
      <c r="A4790" s="3" t="n">
        <v>46236</v>
      </c>
      <c r="B4790" s="4" t="s">
        <v>179</v>
      </c>
      <c r="C4790" s="4" t="n">
        <v>10</v>
      </c>
      <c r="D4790" s="4" t="n">
        <v>10</v>
      </c>
      <c r="E4790" s="4" t="s">
        <v>3963</v>
      </c>
      <c r="F4790" s="4" t="n">
        <v>66</v>
      </c>
      <c r="G4790" s="4" t="n">
        <v>1</v>
      </c>
      <c r="H4790" s="4" t="n">
        <v>4</v>
      </c>
      <c r="I4790" s="4" t="str">
        <v>×</v>
      </c>
      <c r="J4790" s="4"/>
      <c r="K4790" s="4"/>
      <c r="L4790" s="4"/>
      <c r="M4790" s="7" t="s">
        <v>3577</v>
      </c>
    </row>
    <row r="4791" customFormat="false" ht="15.75" hidden="false" customHeight="false" outlineLevel="0" collapsed="false">
      <c r="A4791" s="3" t="n">
        <v>46236</v>
      </c>
      <c r="B4791" s="4" t="s">
        <v>179</v>
      </c>
      <c r="C4791" s="4" t="n">
        <v>10</v>
      </c>
      <c r="D4791" s="4" t="n">
        <v>11</v>
      </c>
      <c r="E4791" s="4" t="s">
        <v>3964</v>
      </c>
      <c r="F4791" s="4" t="n">
        <v>37</v>
      </c>
      <c r="G4791" s="4" t="n">
        <v>4</v>
      </c>
      <c r="H4791" s="4" t="n">
        <v>3</v>
      </c>
      <c r="I4791" s="4" t="str">
        <v>○</v>
      </c>
      <c r="J4791" s="4" t="n">
        <v>220</v>
      </c>
      <c r="K4791" s="4"/>
      <c r="L4791" s="4"/>
      <c r="M4791" s="7" t="s">
        <v>3577</v>
      </c>
    </row>
    <row r="4792" customFormat="false" ht="15.75" hidden="false" customHeight="false" outlineLevel="0" collapsed="false">
      <c r="A4792" s="3" t="n">
        <v>46236</v>
      </c>
      <c r="B4792" s="4" t="s">
        <v>179</v>
      </c>
      <c r="C4792" s="4" t="n">
        <v>10</v>
      </c>
      <c r="D4792" s="4" t="n">
        <v>12</v>
      </c>
      <c r="E4792" s="4" t="s">
        <v>2505</v>
      </c>
      <c r="F4792" s="4" t="n">
        <v>13</v>
      </c>
      <c r="G4792" s="4" t="n">
        <v>11</v>
      </c>
      <c r="H4792" s="4" t="n">
        <v>4</v>
      </c>
      <c r="I4792" s="4" t="str">
        <v>×</v>
      </c>
      <c r="J4792" s="4"/>
      <c r="K4792" s="4"/>
      <c r="L4792" s="4"/>
      <c r="M4792" s="7" t="s">
        <v>3577</v>
      </c>
    </row>
    <row r="4793" customFormat="false" ht="15.75" hidden="false" customHeight="false" outlineLevel="0" collapsed="false">
      <c r="A4793" s="3" t="n">
        <v>46236</v>
      </c>
      <c r="B4793" s="4" t="s">
        <v>179</v>
      </c>
      <c r="C4793" s="4" t="n">
        <v>10</v>
      </c>
      <c r="D4793" s="4" t="n">
        <v>13</v>
      </c>
      <c r="E4793" s="4" t="s">
        <v>3965</v>
      </c>
      <c r="F4793" s="4" t="n">
        <v>15</v>
      </c>
      <c r="G4793" s="4" t="n">
        <v>8</v>
      </c>
      <c r="H4793" s="4" t="n">
        <v>4</v>
      </c>
      <c r="I4793" s="4" t="str">
        <v>×</v>
      </c>
      <c r="J4793" s="4"/>
      <c r="K4793" s="4"/>
      <c r="L4793" s="4"/>
      <c r="M4793" s="7" t="s">
        <v>3577</v>
      </c>
    </row>
    <row r="4794" customFormat="false" ht="15.75" hidden="false" customHeight="false" outlineLevel="0" collapsed="false">
      <c r="A4794" s="3" t="n">
        <v>46236</v>
      </c>
      <c r="B4794" s="4" t="s">
        <v>179</v>
      </c>
      <c r="C4794" s="4" t="n">
        <v>10</v>
      </c>
      <c r="D4794" s="4" t="n">
        <v>14</v>
      </c>
      <c r="E4794" s="4" t="s">
        <v>3966</v>
      </c>
      <c r="F4794" s="4" t="n">
        <v>20</v>
      </c>
      <c r="G4794" s="4" t="n">
        <v>7</v>
      </c>
      <c r="H4794" s="4" t="n">
        <v>4</v>
      </c>
      <c r="I4794" s="4" t="str">
        <v>×</v>
      </c>
      <c r="J4794" s="4"/>
      <c r="K4794" s="4"/>
      <c r="L4794" s="4"/>
      <c r="M4794" s="7" t="s">
        <v>3577</v>
      </c>
    </row>
    <row r="4795" customFormat="false" ht="15.75" hidden="false" customHeight="false" outlineLevel="0" collapsed="false">
      <c r="A4795" s="3" t="n">
        <v>46236</v>
      </c>
      <c r="B4795" s="4" t="s">
        <v>179</v>
      </c>
      <c r="C4795" s="4" t="n">
        <v>11</v>
      </c>
      <c r="D4795" s="4" t="n">
        <v>1</v>
      </c>
      <c r="E4795" s="4" t="s">
        <v>2125</v>
      </c>
      <c r="F4795" s="4" t="n">
        <v>39</v>
      </c>
      <c r="G4795" s="4" t="n">
        <v>3</v>
      </c>
      <c r="H4795" s="4" t="n">
        <v>4</v>
      </c>
      <c r="I4795" s="4" t="str">
        <v>×</v>
      </c>
      <c r="J4795" s="4"/>
      <c r="K4795" s="4"/>
      <c r="L4795" s="4"/>
      <c r="M4795" s="7" t="s">
        <v>3577</v>
      </c>
    </row>
    <row r="4796" customFormat="false" ht="15.75" hidden="false" customHeight="false" outlineLevel="0" collapsed="false">
      <c r="A4796" s="3" t="n">
        <v>46236</v>
      </c>
      <c r="B4796" s="4" t="s">
        <v>179</v>
      </c>
      <c r="C4796" s="4" t="n">
        <v>11</v>
      </c>
      <c r="D4796" s="4" t="n">
        <v>2</v>
      </c>
      <c r="E4796" s="4" t="s">
        <v>3967</v>
      </c>
      <c r="F4796" s="4" t="n">
        <v>31</v>
      </c>
      <c r="G4796" s="4" t="n">
        <v>4</v>
      </c>
      <c r="H4796" s="4" t="n">
        <v>2</v>
      </c>
      <c r="I4796" s="4" t="str">
        <v>○</v>
      </c>
      <c r="J4796" s="4" t="n">
        <v>630</v>
      </c>
      <c r="K4796" s="4"/>
      <c r="L4796" s="4"/>
      <c r="M4796" s="7" t="s">
        <v>3577</v>
      </c>
    </row>
    <row r="4797" customFormat="false" ht="15.75" hidden="false" customHeight="false" outlineLevel="0" collapsed="false">
      <c r="A4797" s="3" t="n">
        <v>46236</v>
      </c>
      <c r="B4797" s="4" t="s">
        <v>179</v>
      </c>
      <c r="C4797" s="4" t="n">
        <v>11</v>
      </c>
      <c r="D4797" s="4" t="n">
        <v>3</v>
      </c>
      <c r="E4797" s="4" t="s">
        <v>2502</v>
      </c>
      <c r="F4797" s="4" t="n">
        <v>25</v>
      </c>
      <c r="G4797" s="4" t="n">
        <v>5</v>
      </c>
      <c r="H4797" s="4" t="n">
        <v>4</v>
      </c>
      <c r="I4797" s="4" t="str">
        <v>×</v>
      </c>
      <c r="J4797" s="4"/>
      <c r="K4797" s="4"/>
      <c r="L4797" s="4"/>
      <c r="M4797" s="7" t="s">
        <v>3577</v>
      </c>
    </row>
    <row r="4798" customFormat="false" ht="15.75" hidden="false" customHeight="false" outlineLevel="0" collapsed="false">
      <c r="A4798" s="3" t="n">
        <v>46236</v>
      </c>
      <c r="B4798" s="4" t="s">
        <v>179</v>
      </c>
      <c r="C4798" s="4" t="n">
        <v>11</v>
      </c>
      <c r="D4798" s="4" t="n">
        <v>5</v>
      </c>
      <c r="E4798" s="4" t="s">
        <v>3968</v>
      </c>
      <c r="F4798" s="4" t="n">
        <v>44</v>
      </c>
      <c r="G4798" s="4" t="n">
        <v>2</v>
      </c>
      <c r="H4798" s="4" t="n">
        <v>3</v>
      </c>
      <c r="I4798" s="4" t="str">
        <v>○</v>
      </c>
      <c r="J4798" s="4"/>
      <c r="K4798" s="4"/>
      <c r="L4798" s="4"/>
      <c r="M4798" s="7" t="s">
        <v>3577</v>
      </c>
    </row>
    <row r="4799" customFormat="false" ht="15.75" hidden="false" customHeight="false" outlineLevel="0" collapsed="false">
      <c r="A4799" s="3" t="n">
        <v>46236</v>
      </c>
      <c r="B4799" s="4" t="s">
        <v>179</v>
      </c>
      <c r="C4799" s="4" t="n">
        <v>11</v>
      </c>
      <c r="D4799" s="4" t="n">
        <v>6</v>
      </c>
      <c r="E4799" s="4" t="s">
        <v>3969</v>
      </c>
      <c r="F4799" s="4" t="n">
        <v>25</v>
      </c>
      <c r="G4799" s="4" t="n">
        <v>5</v>
      </c>
      <c r="H4799" s="4" t="n">
        <v>1</v>
      </c>
      <c r="I4799" s="4" t="str">
        <v>○</v>
      </c>
      <c r="J4799" s="4" t="n">
        <v>240</v>
      </c>
      <c r="K4799" s="4"/>
      <c r="L4799" s="4"/>
      <c r="M4799" s="7" t="s">
        <v>3577</v>
      </c>
    </row>
    <row r="4800" customFormat="false" ht="15.75" hidden="false" customHeight="false" outlineLevel="0" collapsed="false">
      <c r="A4800" s="3" t="n">
        <v>46236</v>
      </c>
      <c r="B4800" s="4" t="s">
        <v>179</v>
      </c>
      <c r="C4800" s="4" t="n">
        <v>12</v>
      </c>
      <c r="D4800" s="4" t="n">
        <v>1</v>
      </c>
      <c r="E4800" s="4" t="s">
        <v>3450</v>
      </c>
      <c r="F4800" s="4" t="n">
        <v>8</v>
      </c>
      <c r="G4800" s="4" t="n">
        <v>11</v>
      </c>
      <c r="H4800" s="4" t="n">
        <v>4</v>
      </c>
      <c r="I4800" s="4" t="str">
        <v>×</v>
      </c>
      <c r="J4800" s="4"/>
      <c r="K4800" s="4"/>
      <c r="L4800" s="4"/>
      <c r="M4800" s="7" t="s">
        <v>3577</v>
      </c>
    </row>
    <row r="4801" customFormat="false" ht="15.75" hidden="false" customHeight="false" outlineLevel="0" collapsed="false">
      <c r="A4801" s="3" t="n">
        <v>46236</v>
      </c>
      <c r="B4801" s="4" t="s">
        <v>179</v>
      </c>
      <c r="C4801" s="4" t="n">
        <v>12</v>
      </c>
      <c r="D4801" s="4" t="n">
        <v>2</v>
      </c>
      <c r="E4801" s="4" t="s">
        <v>1163</v>
      </c>
      <c r="F4801" s="4" t="n">
        <v>13</v>
      </c>
      <c r="G4801" s="4" t="n">
        <v>7</v>
      </c>
      <c r="H4801" s="4" t="n">
        <v>4</v>
      </c>
      <c r="I4801" s="4" t="str">
        <v>×</v>
      </c>
      <c r="J4801" s="4"/>
      <c r="K4801" s="4"/>
      <c r="L4801" s="4"/>
      <c r="M4801" s="7" t="s">
        <v>3577</v>
      </c>
    </row>
    <row r="4802" customFormat="false" ht="15.75" hidden="false" customHeight="false" outlineLevel="0" collapsed="false">
      <c r="A4802" s="3" t="n">
        <v>46236</v>
      </c>
      <c r="B4802" s="4" t="s">
        <v>179</v>
      </c>
      <c r="C4802" s="4" t="n">
        <v>12</v>
      </c>
      <c r="D4802" s="4" t="n">
        <v>3</v>
      </c>
      <c r="E4802" s="4" t="s">
        <v>3970</v>
      </c>
      <c r="F4802" s="4" t="n">
        <v>25</v>
      </c>
      <c r="G4802" s="4" t="n">
        <v>4</v>
      </c>
      <c r="H4802" s="4" t="n">
        <v>4</v>
      </c>
      <c r="I4802" s="4" t="str">
        <v>×</v>
      </c>
      <c r="J4802" s="4"/>
      <c r="K4802" s="4"/>
      <c r="L4802" s="4"/>
      <c r="M4802" s="7" t="s">
        <v>3577</v>
      </c>
    </row>
    <row r="4803" customFormat="false" ht="15.75" hidden="false" customHeight="false" outlineLevel="0" collapsed="false">
      <c r="A4803" s="3" t="n">
        <v>46236</v>
      </c>
      <c r="B4803" s="4" t="s">
        <v>179</v>
      </c>
      <c r="C4803" s="4" t="n">
        <v>12</v>
      </c>
      <c r="D4803" s="4" t="n">
        <v>4</v>
      </c>
      <c r="E4803" s="4" t="s">
        <v>3971</v>
      </c>
      <c r="F4803" s="4" t="n">
        <v>10</v>
      </c>
      <c r="G4803" s="4" t="n">
        <v>8</v>
      </c>
      <c r="H4803" s="4" t="n">
        <v>4</v>
      </c>
      <c r="I4803" s="4" t="str">
        <v>×</v>
      </c>
      <c r="J4803" s="4"/>
      <c r="K4803" s="4"/>
      <c r="L4803" s="4"/>
      <c r="M4803" s="7" t="s">
        <v>3577</v>
      </c>
    </row>
    <row r="4804" customFormat="false" ht="15.75" hidden="false" customHeight="false" outlineLevel="0" collapsed="false">
      <c r="A4804" s="3" t="n">
        <v>46236</v>
      </c>
      <c r="B4804" s="4" t="s">
        <v>179</v>
      </c>
      <c r="C4804" s="4" t="n">
        <v>12</v>
      </c>
      <c r="D4804" s="4" t="n">
        <v>5</v>
      </c>
      <c r="E4804" s="4" t="s">
        <v>3972</v>
      </c>
      <c r="F4804" s="4" t="n">
        <v>4</v>
      </c>
      <c r="G4804" s="4" t="n">
        <v>14</v>
      </c>
      <c r="H4804" s="4" t="n">
        <v>4</v>
      </c>
      <c r="I4804" s="4" t="str">
        <v>×</v>
      </c>
      <c r="J4804" s="4"/>
      <c r="K4804" s="4"/>
      <c r="L4804" s="4"/>
      <c r="M4804" s="7" t="s">
        <v>3577</v>
      </c>
    </row>
    <row r="4805" customFormat="false" ht="15.75" hidden="false" customHeight="false" outlineLevel="0" collapsed="false">
      <c r="A4805" s="3" t="n">
        <v>46236</v>
      </c>
      <c r="B4805" s="4" t="s">
        <v>179</v>
      </c>
      <c r="C4805" s="4" t="n">
        <v>12</v>
      </c>
      <c r="D4805" s="4" t="n">
        <v>6</v>
      </c>
      <c r="E4805" s="4" t="s">
        <v>3973</v>
      </c>
      <c r="F4805" s="4" t="n">
        <v>17</v>
      </c>
      <c r="G4805" s="4" t="n">
        <v>5</v>
      </c>
      <c r="H4805" s="4" t="n">
        <v>4</v>
      </c>
      <c r="I4805" s="4" t="str">
        <v>×</v>
      </c>
      <c r="J4805" s="4"/>
      <c r="K4805" s="4"/>
      <c r="L4805" s="4"/>
      <c r="M4805" s="7" t="s">
        <v>3577</v>
      </c>
    </row>
    <row r="4806" customFormat="false" ht="15.75" hidden="false" customHeight="false" outlineLevel="0" collapsed="false">
      <c r="A4806" s="3" t="n">
        <v>46236</v>
      </c>
      <c r="B4806" s="4" t="s">
        <v>179</v>
      </c>
      <c r="C4806" s="4" t="n">
        <v>12</v>
      </c>
      <c r="D4806" s="4" t="n">
        <v>7</v>
      </c>
      <c r="E4806" s="4" t="s">
        <v>2470</v>
      </c>
      <c r="F4806" s="4" t="n">
        <v>3</v>
      </c>
      <c r="G4806" s="4" t="n">
        <v>16</v>
      </c>
      <c r="H4806" s="4" t="n">
        <v>4</v>
      </c>
      <c r="I4806" s="4" t="str">
        <v>×</v>
      </c>
      <c r="J4806" s="4"/>
      <c r="K4806" s="4"/>
      <c r="L4806" s="4"/>
      <c r="M4806" s="7" t="s">
        <v>3577</v>
      </c>
    </row>
    <row r="4807" customFormat="false" ht="15.75" hidden="false" customHeight="false" outlineLevel="0" collapsed="false">
      <c r="A4807" s="3" t="n">
        <v>46236</v>
      </c>
      <c r="B4807" s="4" t="s">
        <v>179</v>
      </c>
      <c r="C4807" s="4" t="n">
        <v>12</v>
      </c>
      <c r="D4807" s="4" t="n">
        <v>8</v>
      </c>
      <c r="E4807" s="4" t="s">
        <v>3974</v>
      </c>
      <c r="F4807" s="4" t="n">
        <v>10</v>
      </c>
      <c r="G4807" s="4" t="n">
        <v>8</v>
      </c>
      <c r="H4807" s="4" t="n">
        <v>4</v>
      </c>
      <c r="I4807" s="4" t="str">
        <v>×</v>
      </c>
      <c r="J4807" s="4"/>
      <c r="K4807" s="4"/>
      <c r="L4807" s="4"/>
      <c r="M4807" s="7" t="s">
        <v>3577</v>
      </c>
    </row>
    <row r="4808" customFormat="false" ht="15.75" hidden="false" customHeight="false" outlineLevel="0" collapsed="false">
      <c r="A4808" s="3" t="n">
        <v>46236</v>
      </c>
      <c r="B4808" s="4" t="s">
        <v>179</v>
      </c>
      <c r="C4808" s="4" t="n">
        <v>12</v>
      </c>
      <c r="D4808" s="4" t="n">
        <v>9</v>
      </c>
      <c r="E4808" s="4" t="s">
        <v>3975</v>
      </c>
      <c r="F4808" s="4" t="n">
        <v>3</v>
      </c>
      <c r="G4808" s="4" t="n">
        <v>16</v>
      </c>
      <c r="H4808" s="4" t="n">
        <v>4</v>
      </c>
      <c r="I4808" s="4" t="str">
        <v>×</v>
      </c>
      <c r="J4808" s="4"/>
      <c r="K4808" s="4"/>
      <c r="L4808" s="4"/>
      <c r="M4808" s="7" t="s">
        <v>3577</v>
      </c>
    </row>
    <row r="4809" customFormat="false" ht="15.75" hidden="false" customHeight="false" outlineLevel="0" collapsed="false">
      <c r="A4809" s="3" t="n">
        <v>46236</v>
      </c>
      <c r="B4809" s="4" t="s">
        <v>179</v>
      </c>
      <c r="C4809" s="4" t="n">
        <v>12</v>
      </c>
      <c r="D4809" s="4" t="n">
        <v>10</v>
      </c>
      <c r="E4809" s="4" t="s">
        <v>3976</v>
      </c>
      <c r="F4809" s="4" t="n">
        <v>15</v>
      </c>
      <c r="G4809" s="4" t="n">
        <v>6</v>
      </c>
      <c r="H4809" s="4" t="n">
        <v>4</v>
      </c>
      <c r="I4809" s="4" t="str">
        <v>×</v>
      </c>
      <c r="J4809" s="4"/>
      <c r="K4809" s="4"/>
      <c r="L4809" s="4"/>
      <c r="M4809" s="7" t="s">
        <v>3577</v>
      </c>
    </row>
    <row r="4810" customFormat="false" ht="15.75" hidden="false" customHeight="false" outlineLevel="0" collapsed="false">
      <c r="A4810" s="3" t="n">
        <v>46236</v>
      </c>
      <c r="B4810" s="4" t="s">
        <v>179</v>
      </c>
      <c r="C4810" s="4" t="n">
        <v>12</v>
      </c>
      <c r="D4810" s="4" t="n">
        <v>11</v>
      </c>
      <c r="E4810" s="4" t="s">
        <v>2086</v>
      </c>
      <c r="F4810" s="4" t="n">
        <v>6</v>
      </c>
      <c r="G4810" s="4" t="n">
        <v>12</v>
      </c>
      <c r="H4810" s="4" t="n">
        <v>4</v>
      </c>
      <c r="I4810" s="4" t="str">
        <v>×</v>
      </c>
      <c r="J4810" s="4"/>
      <c r="K4810" s="4"/>
      <c r="L4810" s="4"/>
      <c r="M4810" s="7" t="s">
        <v>3577</v>
      </c>
    </row>
    <row r="4811" customFormat="false" ht="15.75" hidden="false" customHeight="false" outlineLevel="0" collapsed="false">
      <c r="A4811" s="3" t="n">
        <v>46236</v>
      </c>
      <c r="B4811" s="4" t="s">
        <v>179</v>
      </c>
      <c r="C4811" s="4" t="n">
        <v>12</v>
      </c>
      <c r="D4811" s="4" t="n">
        <v>12</v>
      </c>
      <c r="E4811" s="4" t="s">
        <v>330</v>
      </c>
      <c r="F4811" s="4" t="n">
        <v>58</v>
      </c>
      <c r="G4811" s="4" t="n">
        <v>2</v>
      </c>
      <c r="H4811" s="4" t="n">
        <v>3</v>
      </c>
      <c r="I4811" s="4" t="str">
        <v>○</v>
      </c>
      <c r="J4811" s="4" t="n">
        <v>130</v>
      </c>
      <c r="K4811" s="4"/>
      <c r="L4811" s="4"/>
      <c r="M4811" s="7" t="s">
        <v>3577</v>
      </c>
    </row>
    <row r="4812" customFormat="false" ht="15.75" hidden="false" customHeight="false" outlineLevel="0" collapsed="false">
      <c r="A4812" s="3" t="n">
        <v>46236</v>
      </c>
      <c r="B4812" s="4" t="s">
        <v>179</v>
      </c>
      <c r="C4812" s="4" t="n">
        <v>12</v>
      </c>
      <c r="D4812" s="4" t="n">
        <v>13</v>
      </c>
      <c r="E4812" s="4" t="s">
        <v>2820</v>
      </c>
      <c r="F4812" s="4" t="n">
        <v>6</v>
      </c>
      <c r="G4812" s="4" t="n">
        <v>12</v>
      </c>
      <c r="H4812" s="4" t="n">
        <v>4</v>
      </c>
      <c r="I4812" s="4" t="str">
        <v>×</v>
      </c>
      <c r="J4812" s="4"/>
      <c r="K4812" s="4"/>
      <c r="L4812" s="4"/>
      <c r="M4812" s="7" t="s">
        <v>3577</v>
      </c>
    </row>
    <row r="4813" customFormat="false" ht="15.75" hidden="false" customHeight="false" outlineLevel="0" collapsed="false">
      <c r="A4813" s="3" t="n">
        <v>46236</v>
      </c>
      <c r="B4813" s="4" t="s">
        <v>179</v>
      </c>
      <c r="C4813" s="4" t="n">
        <v>12</v>
      </c>
      <c r="D4813" s="4" t="n">
        <v>14</v>
      </c>
      <c r="E4813" s="4" t="s">
        <v>3977</v>
      </c>
      <c r="F4813" s="4" t="n">
        <v>37</v>
      </c>
      <c r="G4813" s="4" t="n">
        <v>3</v>
      </c>
      <c r="H4813" s="4" t="n">
        <v>1</v>
      </c>
      <c r="I4813" s="4" t="str">
        <v>○</v>
      </c>
      <c r="J4813" s="4" t="n">
        <v>150</v>
      </c>
      <c r="K4813" s="4"/>
      <c r="L4813" s="4"/>
      <c r="M4813" s="7" t="s">
        <v>3577</v>
      </c>
    </row>
    <row r="4814" customFormat="false" ht="15.75" hidden="false" customHeight="false" outlineLevel="0" collapsed="false">
      <c r="A4814" s="3" t="n">
        <v>46236</v>
      </c>
      <c r="B4814" s="4" t="s">
        <v>179</v>
      </c>
      <c r="C4814" s="4" t="n">
        <v>12</v>
      </c>
      <c r="D4814" s="4" t="n">
        <v>15</v>
      </c>
      <c r="E4814" s="4" t="s">
        <v>1147</v>
      </c>
      <c r="F4814" s="4" t="n">
        <v>1</v>
      </c>
      <c r="G4814" s="4" t="n">
        <v>18</v>
      </c>
      <c r="H4814" s="4" t="n">
        <v>4</v>
      </c>
      <c r="I4814" s="4" t="str">
        <v>×</v>
      </c>
      <c r="J4814" s="4"/>
      <c r="K4814" s="4"/>
      <c r="L4814" s="4"/>
      <c r="M4814" s="7" t="s">
        <v>3577</v>
      </c>
    </row>
    <row r="4815" customFormat="false" ht="15.75" hidden="false" customHeight="false" outlineLevel="0" collapsed="false">
      <c r="A4815" s="3" t="n">
        <v>46236</v>
      </c>
      <c r="B4815" s="4" t="s">
        <v>179</v>
      </c>
      <c r="C4815" s="4" t="n">
        <v>12</v>
      </c>
      <c r="D4815" s="4" t="n">
        <v>16</v>
      </c>
      <c r="E4815" s="4" t="s">
        <v>3978</v>
      </c>
      <c r="F4815" s="4" t="n">
        <v>4</v>
      </c>
      <c r="G4815" s="4" t="n">
        <v>14</v>
      </c>
      <c r="H4815" s="4" t="n">
        <v>4</v>
      </c>
      <c r="I4815" s="4" t="str">
        <v>×</v>
      </c>
      <c r="J4815" s="4"/>
      <c r="K4815" s="4"/>
      <c r="L4815" s="4"/>
      <c r="M4815" s="7" t="s">
        <v>3577</v>
      </c>
    </row>
    <row r="4816" customFormat="false" ht="15.75" hidden="false" customHeight="false" outlineLevel="0" collapsed="false">
      <c r="A4816" s="3" t="n">
        <v>46236</v>
      </c>
      <c r="B4816" s="4" t="s">
        <v>179</v>
      </c>
      <c r="C4816" s="4" t="n">
        <v>12</v>
      </c>
      <c r="D4816" s="4" t="n">
        <v>17</v>
      </c>
      <c r="E4816" s="4" t="s">
        <v>1572</v>
      </c>
      <c r="F4816" s="4" t="n">
        <v>10</v>
      </c>
      <c r="G4816" s="4" t="n">
        <v>8</v>
      </c>
      <c r="H4816" s="4" t="n">
        <v>4</v>
      </c>
      <c r="I4816" s="4" t="str">
        <v>×</v>
      </c>
      <c r="J4816" s="4"/>
      <c r="K4816" s="4"/>
      <c r="L4816" s="4"/>
      <c r="M4816" s="7" t="s">
        <v>3577</v>
      </c>
    </row>
    <row r="4817" customFormat="false" ht="15.75" hidden="false" customHeight="false" outlineLevel="0" collapsed="false">
      <c r="A4817" s="3" t="n">
        <v>46236</v>
      </c>
      <c r="B4817" s="4" t="s">
        <v>179</v>
      </c>
      <c r="C4817" s="4" t="n">
        <v>12</v>
      </c>
      <c r="D4817" s="4" t="n">
        <v>18</v>
      </c>
      <c r="E4817" s="4" t="s">
        <v>3979</v>
      </c>
      <c r="F4817" s="4" t="n">
        <v>66</v>
      </c>
      <c r="G4817" s="4" t="n">
        <v>1</v>
      </c>
      <c r="H4817" s="4" t="n">
        <v>2</v>
      </c>
      <c r="I4817" s="4" t="str">
        <v>○</v>
      </c>
      <c r="J4817" s="4" t="n">
        <v>130</v>
      </c>
      <c r="K4817" s="4"/>
      <c r="L4817" s="4"/>
      <c r="M4817" s="7" t="s">
        <v>3577</v>
      </c>
    </row>
    <row r="4818" customFormat="false" ht="15.75" hidden="false" customHeight="false" outlineLevel="0" collapsed="false">
      <c r="A4818" s="3" t="n">
        <v>46236</v>
      </c>
      <c r="B4818" s="4" t="s">
        <v>13</v>
      </c>
      <c r="C4818" s="4" t="n">
        <v>1</v>
      </c>
      <c r="D4818" s="4" t="n">
        <v>1</v>
      </c>
      <c r="E4818" s="4" t="s">
        <v>3980</v>
      </c>
      <c r="F4818" s="4" t="n">
        <v>12</v>
      </c>
      <c r="G4818" s="4" t="n">
        <v>9</v>
      </c>
      <c r="H4818" s="4" t="n">
        <v>4</v>
      </c>
      <c r="I4818" s="4" t="str">
        <v>×</v>
      </c>
      <c r="J4818" s="4"/>
      <c r="K4818" s="4"/>
      <c r="L4818" s="4"/>
      <c r="M4818" s="7" t="s">
        <v>3577</v>
      </c>
    </row>
    <row r="4819" customFormat="false" ht="15.75" hidden="false" customHeight="false" outlineLevel="0" collapsed="false">
      <c r="A4819" s="3" t="n">
        <v>46236</v>
      </c>
      <c r="B4819" s="4" t="s">
        <v>13</v>
      </c>
      <c r="C4819" s="4" t="n">
        <v>1</v>
      </c>
      <c r="D4819" s="4" t="n">
        <v>2</v>
      </c>
      <c r="E4819" s="4" t="s">
        <v>3052</v>
      </c>
      <c r="F4819" s="4" t="n">
        <v>4</v>
      </c>
      <c r="G4819" s="4" t="n">
        <v>11</v>
      </c>
      <c r="H4819" s="4" t="n">
        <v>4</v>
      </c>
      <c r="I4819" s="4" t="str">
        <v>×</v>
      </c>
      <c r="J4819" s="4"/>
      <c r="K4819" s="4"/>
      <c r="L4819" s="4"/>
      <c r="M4819" s="7" t="s">
        <v>3577</v>
      </c>
    </row>
    <row r="4820" customFormat="false" ht="15.75" hidden="false" customHeight="false" outlineLevel="0" collapsed="false">
      <c r="A4820" s="3" t="n">
        <v>46236</v>
      </c>
      <c r="B4820" s="4" t="s">
        <v>13</v>
      </c>
      <c r="C4820" s="4" t="n">
        <v>1</v>
      </c>
      <c r="D4820" s="4" t="n">
        <v>3</v>
      </c>
      <c r="E4820" s="4" t="s">
        <v>2317</v>
      </c>
      <c r="F4820" s="4" t="n">
        <v>17</v>
      </c>
      <c r="G4820" s="4" t="n">
        <v>5</v>
      </c>
      <c r="H4820" s="4" t="n">
        <v>4</v>
      </c>
      <c r="I4820" s="4" t="str">
        <v>×</v>
      </c>
      <c r="J4820" s="4"/>
      <c r="K4820" s="4"/>
      <c r="L4820" s="4"/>
      <c r="M4820" s="7" t="s">
        <v>3577</v>
      </c>
    </row>
    <row r="4821" customFormat="false" ht="15.75" hidden="false" customHeight="false" outlineLevel="0" collapsed="false">
      <c r="A4821" s="3" t="n">
        <v>46236</v>
      </c>
      <c r="B4821" s="4" t="s">
        <v>13</v>
      </c>
      <c r="C4821" s="4" t="n">
        <v>1</v>
      </c>
      <c r="D4821" s="4" t="n">
        <v>5</v>
      </c>
      <c r="E4821" s="4" t="s">
        <v>3981</v>
      </c>
      <c r="F4821" s="4" t="n">
        <v>39</v>
      </c>
      <c r="G4821" s="4" t="n">
        <v>4</v>
      </c>
      <c r="H4821" s="4" t="n">
        <v>2</v>
      </c>
      <c r="I4821" s="4" t="str">
        <v>○</v>
      </c>
      <c r="J4821" s="4" t="n">
        <v>160</v>
      </c>
      <c r="K4821" s="4"/>
      <c r="L4821" s="4"/>
      <c r="M4821" s="7" t="s">
        <v>3577</v>
      </c>
    </row>
    <row r="4822" customFormat="false" ht="15.75" hidden="false" customHeight="false" outlineLevel="0" collapsed="false">
      <c r="A4822" s="3" t="n">
        <v>46236</v>
      </c>
      <c r="B4822" s="4" t="s">
        <v>13</v>
      </c>
      <c r="C4822" s="4" t="n">
        <v>1</v>
      </c>
      <c r="D4822" s="4" t="n">
        <v>6</v>
      </c>
      <c r="E4822" s="4" t="s">
        <v>924</v>
      </c>
      <c r="F4822" s="4" t="n">
        <v>50</v>
      </c>
      <c r="G4822" s="4" t="n">
        <v>2</v>
      </c>
      <c r="H4822" s="4" t="n">
        <v>4</v>
      </c>
      <c r="I4822" s="4" t="str">
        <v>×</v>
      </c>
      <c r="J4822" s="4"/>
      <c r="K4822" s="4"/>
      <c r="L4822" s="4"/>
      <c r="M4822" s="7" t="s">
        <v>3577</v>
      </c>
    </row>
    <row r="4823" customFormat="false" ht="15.75" hidden="false" customHeight="false" outlineLevel="0" collapsed="false">
      <c r="A4823" s="3" t="n">
        <v>46236</v>
      </c>
      <c r="B4823" s="4" t="s">
        <v>13</v>
      </c>
      <c r="C4823" s="4" t="n">
        <v>1</v>
      </c>
      <c r="D4823" s="4" t="n">
        <v>7</v>
      </c>
      <c r="E4823" s="4" t="s">
        <v>3982</v>
      </c>
      <c r="F4823" s="4" t="n">
        <v>17</v>
      </c>
      <c r="G4823" s="4" t="n">
        <v>5</v>
      </c>
      <c r="H4823" s="4" t="n">
        <v>1</v>
      </c>
      <c r="I4823" s="4" t="str">
        <v>○</v>
      </c>
      <c r="J4823" s="4" t="n">
        <v>170</v>
      </c>
      <c r="K4823" s="4"/>
      <c r="L4823" s="4"/>
      <c r="M4823" s="7" t="s">
        <v>3577</v>
      </c>
    </row>
    <row r="4824" customFormat="false" ht="15.75" hidden="false" customHeight="false" outlineLevel="0" collapsed="false">
      <c r="A4824" s="3" t="n">
        <v>46236</v>
      </c>
      <c r="B4824" s="4" t="s">
        <v>13</v>
      </c>
      <c r="C4824" s="4" t="n">
        <v>1</v>
      </c>
      <c r="D4824" s="4" t="n">
        <v>8</v>
      </c>
      <c r="E4824" s="4" t="s">
        <v>1928</v>
      </c>
      <c r="F4824" s="4" t="n">
        <v>3</v>
      </c>
      <c r="G4824" s="4" t="n">
        <v>12</v>
      </c>
      <c r="H4824" s="4" t="n">
        <v>4</v>
      </c>
      <c r="I4824" s="4" t="str">
        <v>×</v>
      </c>
      <c r="J4824" s="4"/>
      <c r="K4824" s="4"/>
      <c r="L4824" s="4"/>
      <c r="M4824" s="7" t="s">
        <v>3577</v>
      </c>
    </row>
    <row r="4825" customFormat="false" ht="15.75" hidden="false" customHeight="false" outlineLevel="0" collapsed="false">
      <c r="A4825" s="3" t="n">
        <v>46236</v>
      </c>
      <c r="B4825" s="4" t="s">
        <v>13</v>
      </c>
      <c r="C4825" s="4" t="n">
        <v>1</v>
      </c>
      <c r="D4825" s="4" t="n">
        <v>9</v>
      </c>
      <c r="E4825" s="4" t="s">
        <v>3983</v>
      </c>
      <c r="F4825" s="4" t="n">
        <v>44</v>
      </c>
      <c r="G4825" s="4" t="n">
        <v>3</v>
      </c>
      <c r="H4825" s="4" t="n">
        <v>4</v>
      </c>
      <c r="I4825" s="4" t="str">
        <v>×</v>
      </c>
      <c r="J4825" s="4"/>
      <c r="K4825" s="4"/>
      <c r="L4825" s="4"/>
      <c r="M4825" s="7" t="s">
        <v>3577</v>
      </c>
    </row>
    <row r="4826" customFormat="false" ht="15.75" hidden="false" customHeight="false" outlineLevel="0" collapsed="false">
      <c r="A4826" s="3" t="n">
        <v>46236</v>
      </c>
      <c r="B4826" s="4" t="s">
        <v>13</v>
      </c>
      <c r="C4826" s="4" t="n">
        <v>1</v>
      </c>
      <c r="D4826" s="4" t="n">
        <v>10</v>
      </c>
      <c r="E4826" s="4" t="s">
        <v>3984</v>
      </c>
      <c r="F4826" s="4" t="n">
        <v>15</v>
      </c>
      <c r="G4826" s="4" t="n">
        <v>8</v>
      </c>
      <c r="H4826" s="4" t="n">
        <v>4</v>
      </c>
      <c r="I4826" s="4" t="str">
        <v>×</v>
      </c>
      <c r="J4826" s="4"/>
      <c r="K4826" s="4"/>
      <c r="L4826" s="4"/>
      <c r="M4826" s="7" t="s">
        <v>3577</v>
      </c>
    </row>
    <row r="4827" customFormat="false" ht="15.75" hidden="false" customHeight="false" outlineLevel="0" collapsed="false">
      <c r="A4827" s="3" t="n">
        <v>46236</v>
      </c>
      <c r="B4827" s="4" t="s">
        <v>13</v>
      </c>
      <c r="C4827" s="4" t="n">
        <v>1</v>
      </c>
      <c r="D4827" s="4" t="n">
        <v>11</v>
      </c>
      <c r="E4827" s="4" t="s">
        <v>3167</v>
      </c>
      <c r="F4827" s="4" t="n">
        <v>17</v>
      </c>
      <c r="G4827" s="4" t="n">
        <v>5</v>
      </c>
      <c r="H4827" s="4" t="n">
        <v>4</v>
      </c>
      <c r="I4827" s="4" t="str">
        <v>×</v>
      </c>
      <c r="J4827" s="4"/>
      <c r="K4827" s="4"/>
      <c r="L4827" s="4"/>
      <c r="M4827" s="7" t="s">
        <v>3577</v>
      </c>
    </row>
    <row r="4828" customFormat="false" ht="15.75" hidden="false" customHeight="false" outlineLevel="0" collapsed="false">
      <c r="A4828" s="3" t="n">
        <v>46236</v>
      </c>
      <c r="B4828" s="4" t="s">
        <v>13</v>
      </c>
      <c r="C4828" s="4" t="n">
        <v>1</v>
      </c>
      <c r="D4828" s="4" t="n">
        <v>12</v>
      </c>
      <c r="E4828" s="4" t="s">
        <v>1458</v>
      </c>
      <c r="F4828" s="4" t="n">
        <v>8</v>
      </c>
      <c r="G4828" s="4" t="n">
        <v>10</v>
      </c>
      <c r="H4828" s="4" t="n">
        <v>4</v>
      </c>
      <c r="I4828" s="4" t="str">
        <v>×</v>
      </c>
      <c r="J4828" s="4"/>
      <c r="K4828" s="4"/>
      <c r="L4828" s="4"/>
      <c r="M4828" s="7" t="s">
        <v>3577</v>
      </c>
    </row>
    <row r="4829" customFormat="false" ht="15.75" hidden="false" customHeight="false" outlineLevel="0" collapsed="false">
      <c r="A4829" s="3" t="n">
        <v>46236</v>
      </c>
      <c r="B4829" s="4" t="s">
        <v>13</v>
      </c>
      <c r="C4829" s="4" t="n">
        <v>2</v>
      </c>
      <c r="D4829" s="4" t="n">
        <v>1</v>
      </c>
      <c r="E4829" s="4" t="s">
        <v>3985</v>
      </c>
      <c r="F4829" s="4" t="n">
        <v>31</v>
      </c>
      <c r="G4829" s="4" t="n">
        <v>4</v>
      </c>
      <c r="H4829" s="4" t="n">
        <v>4</v>
      </c>
      <c r="I4829" s="4" t="str">
        <v>×</v>
      </c>
      <c r="J4829" s="4"/>
      <c r="K4829" s="4"/>
      <c r="L4829" s="4"/>
      <c r="M4829" s="7" t="s">
        <v>3577</v>
      </c>
    </row>
    <row r="4830" customFormat="false" ht="15.75" hidden="false" customHeight="false" outlineLevel="0" collapsed="false">
      <c r="A4830" s="3" t="n">
        <v>46236</v>
      </c>
      <c r="B4830" s="4" t="s">
        <v>13</v>
      </c>
      <c r="C4830" s="4" t="n">
        <v>2</v>
      </c>
      <c r="D4830" s="4" t="n">
        <v>2</v>
      </c>
      <c r="E4830" s="4" t="s">
        <v>3986</v>
      </c>
      <c r="F4830" s="4" t="n">
        <v>6</v>
      </c>
      <c r="G4830" s="4" t="n">
        <v>11</v>
      </c>
      <c r="H4830" s="4" t="n">
        <v>4</v>
      </c>
      <c r="I4830" s="4" t="str">
        <v>×</v>
      </c>
      <c r="J4830" s="4"/>
      <c r="K4830" s="4"/>
      <c r="L4830" s="4"/>
      <c r="M4830" s="7" t="s">
        <v>3577</v>
      </c>
    </row>
    <row r="4831" customFormat="false" ht="15.75" hidden="false" customHeight="false" outlineLevel="0" collapsed="false">
      <c r="A4831" s="3" t="n">
        <v>46236</v>
      </c>
      <c r="B4831" s="4" t="s">
        <v>13</v>
      </c>
      <c r="C4831" s="4" t="n">
        <v>2</v>
      </c>
      <c r="D4831" s="4" t="n">
        <v>3</v>
      </c>
      <c r="E4831" s="4" t="s">
        <v>3987</v>
      </c>
      <c r="F4831" s="4" t="n">
        <v>37</v>
      </c>
      <c r="G4831" s="4" t="n">
        <v>1</v>
      </c>
      <c r="H4831" s="4" t="n">
        <v>4</v>
      </c>
      <c r="I4831" s="4" t="str">
        <v>×</v>
      </c>
      <c r="J4831" s="4"/>
      <c r="K4831" s="4"/>
      <c r="L4831" s="4"/>
      <c r="M4831" s="7" t="s">
        <v>3577</v>
      </c>
    </row>
    <row r="4832" customFormat="false" ht="15.75" hidden="false" customHeight="false" outlineLevel="0" collapsed="false">
      <c r="A4832" s="3" t="n">
        <v>46236</v>
      </c>
      <c r="B4832" s="4" t="s">
        <v>13</v>
      </c>
      <c r="C4832" s="4" t="n">
        <v>2</v>
      </c>
      <c r="D4832" s="4" t="n">
        <v>4</v>
      </c>
      <c r="E4832" s="4" t="s">
        <v>3988</v>
      </c>
      <c r="F4832" s="4" t="n">
        <v>27</v>
      </c>
      <c r="G4832" s="4" t="n">
        <v>6</v>
      </c>
      <c r="H4832" s="4" t="n">
        <v>4</v>
      </c>
      <c r="I4832" s="4" t="str">
        <v>×</v>
      </c>
      <c r="J4832" s="4"/>
      <c r="K4832" s="4"/>
      <c r="L4832" s="4"/>
      <c r="M4832" s="7" t="s">
        <v>3577</v>
      </c>
    </row>
    <row r="4833" customFormat="false" ht="15.75" hidden="false" customHeight="false" outlineLevel="0" collapsed="false">
      <c r="A4833" s="3" t="n">
        <v>46236</v>
      </c>
      <c r="B4833" s="4" t="s">
        <v>13</v>
      </c>
      <c r="C4833" s="4" t="n">
        <v>2</v>
      </c>
      <c r="D4833" s="4" t="n">
        <v>5</v>
      </c>
      <c r="E4833" s="4" t="s">
        <v>3989</v>
      </c>
      <c r="F4833" s="4" t="n">
        <v>12</v>
      </c>
      <c r="G4833" s="4" t="n">
        <v>10</v>
      </c>
      <c r="H4833" s="4" t="n">
        <v>1</v>
      </c>
      <c r="I4833" s="4" t="str">
        <v>○</v>
      </c>
      <c r="J4833" s="4" t="n">
        <v>200</v>
      </c>
      <c r="K4833" s="4"/>
      <c r="L4833" s="4"/>
      <c r="M4833" s="7" t="s">
        <v>3577</v>
      </c>
    </row>
    <row r="4834" customFormat="false" ht="15.75" hidden="false" customHeight="false" outlineLevel="0" collapsed="false">
      <c r="A4834" s="3" t="n">
        <v>46236</v>
      </c>
      <c r="B4834" s="4" t="s">
        <v>13</v>
      </c>
      <c r="C4834" s="4" t="n">
        <v>2</v>
      </c>
      <c r="D4834" s="4" t="n">
        <v>6</v>
      </c>
      <c r="E4834" s="4" t="s">
        <v>3990</v>
      </c>
      <c r="F4834" s="4" t="n">
        <v>37</v>
      </c>
      <c r="G4834" s="4" t="n">
        <v>1</v>
      </c>
      <c r="H4834" s="4" t="n">
        <v>3</v>
      </c>
      <c r="I4834" s="4" t="str">
        <v>○</v>
      </c>
      <c r="J4834" s="4" t="n">
        <v>440</v>
      </c>
      <c r="K4834" s="4"/>
      <c r="L4834" s="4"/>
      <c r="M4834" s="7" t="s">
        <v>3577</v>
      </c>
    </row>
    <row r="4835" customFormat="false" ht="15.75" hidden="false" customHeight="false" outlineLevel="0" collapsed="false">
      <c r="A4835" s="3" t="n">
        <v>46236</v>
      </c>
      <c r="B4835" s="4" t="s">
        <v>13</v>
      </c>
      <c r="C4835" s="4" t="n">
        <v>2</v>
      </c>
      <c r="D4835" s="4" t="n">
        <v>7</v>
      </c>
      <c r="E4835" s="4" t="s">
        <v>3991</v>
      </c>
      <c r="F4835" s="4" t="n">
        <v>6</v>
      </c>
      <c r="G4835" s="4" t="n">
        <v>11</v>
      </c>
      <c r="H4835" s="4" t="n">
        <v>4</v>
      </c>
      <c r="I4835" s="4" t="str">
        <v>×</v>
      </c>
      <c r="J4835" s="4"/>
      <c r="K4835" s="4"/>
      <c r="L4835" s="4"/>
      <c r="M4835" s="7" t="s">
        <v>3577</v>
      </c>
    </row>
    <row r="4836" customFormat="false" ht="15.75" hidden="false" customHeight="false" outlineLevel="0" collapsed="false">
      <c r="A4836" s="3" t="n">
        <v>46236</v>
      </c>
      <c r="B4836" s="4" t="s">
        <v>13</v>
      </c>
      <c r="C4836" s="4" t="n">
        <v>2</v>
      </c>
      <c r="D4836" s="4" t="n">
        <v>8</v>
      </c>
      <c r="E4836" s="4" t="s">
        <v>3992</v>
      </c>
      <c r="F4836" s="4" t="n">
        <v>27</v>
      </c>
      <c r="G4836" s="4" t="n">
        <v>6</v>
      </c>
      <c r="H4836" s="4" t="n">
        <v>4</v>
      </c>
      <c r="I4836" s="4" t="str">
        <v>×</v>
      </c>
      <c r="J4836" s="4"/>
      <c r="K4836" s="4"/>
      <c r="L4836" s="4"/>
      <c r="M4836" s="7" t="s">
        <v>3577</v>
      </c>
    </row>
    <row r="4837" customFormat="false" ht="15.75" hidden="false" customHeight="false" outlineLevel="0" collapsed="false">
      <c r="A4837" s="3" t="n">
        <v>46236</v>
      </c>
      <c r="B4837" s="4" t="s">
        <v>13</v>
      </c>
      <c r="C4837" s="4" t="n">
        <v>2</v>
      </c>
      <c r="D4837" s="4" t="n">
        <v>9</v>
      </c>
      <c r="E4837" s="4" t="s">
        <v>3993</v>
      </c>
      <c r="F4837" s="4" t="n">
        <v>27</v>
      </c>
      <c r="G4837" s="4" t="n">
        <v>6</v>
      </c>
      <c r="H4837" s="4" t="n">
        <v>4</v>
      </c>
      <c r="I4837" s="4" t="str">
        <v>×</v>
      </c>
      <c r="J4837" s="4"/>
      <c r="K4837" s="4"/>
      <c r="L4837" s="4"/>
      <c r="M4837" s="7" t="s">
        <v>3577</v>
      </c>
    </row>
    <row r="4838" customFormat="false" ht="15.75" hidden="false" customHeight="false" outlineLevel="0" collapsed="false">
      <c r="A4838" s="3" t="n">
        <v>46236</v>
      </c>
      <c r="B4838" s="4" t="s">
        <v>13</v>
      </c>
      <c r="C4838" s="4" t="n">
        <v>2</v>
      </c>
      <c r="D4838" s="4" t="n">
        <v>10</v>
      </c>
      <c r="E4838" s="4" t="s">
        <v>3994</v>
      </c>
      <c r="F4838" s="4" t="n">
        <v>31</v>
      </c>
      <c r="G4838" s="4" t="n">
        <v>4</v>
      </c>
      <c r="H4838" s="4" t="n">
        <v>2</v>
      </c>
      <c r="I4838" s="4" t="str">
        <v>○</v>
      </c>
      <c r="J4838" s="4" t="n">
        <v>190</v>
      </c>
      <c r="K4838" s="4"/>
      <c r="L4838" s="4"/>
      <c r="M4838" s="7" t="s">
        <v>3577</v>
      </c>
    </row>
    <row r="4839" customFormat="false" ht="15.75" hidden="false" customHeight="false" outlineLevel="0" collapsed="false">
      <c r="A4839" s="3" t="n">
        <v>46236</v>
      </c>
      <c r="B4839" s="4" t="s">
        <v>13</v>
      </c>
      <c r="C4839" s="4" t="n">
        <v>2</v>
      </c>
      <c r="D4839" s="4" t="n">
        <v>11</v>
      </c>
      <c r="E4839" s="4" t="s">
        <v>3995</v>
      </c>
      <c r="F4839" s="4" t="n">
        <v>14</v>
      </c>
      <c r="G4839" s="4" t="n">
        <v>9</v>
      </c>
      <c r="H4839" s="4" t="n">
        <v>4</v>
      </c>
      <c r="I4839" s="4" t="str">
        <v>×</v>
      </c>
      <c r="J4839" s="4"/>
      <c r="K4839" s="4"/>
      <c r="L4839" s="4"/>
      <c r="M4839" s="7" t="s">
        <v>3577</v>
      </c>
    </row>
    <row r="4840" customFormat="false" ht="15.75" hidden="false" customHeight="false" outlineLevel="0" collapsed="false">
      <c r="A4840" s="3" t="n">
        <v>46236</v>
      </c>
      <c r="B4840" s="4" t="s">
        <v>13</v>
      </c>
      <c r="C4840" s="4" t="n">
        <v>2</v>
      </c>
      <c r="D4840" s="4" t="n">
        <v>12</v>
      </c>
      <c r="E4840" s="4" t="s">
        <v>3996</v>
      </c>
      <c r="F4840" s="4" t="n">
        <v>37</v>
      </c>
      <c r="G4840" s="4" t="n">
        <v>1</v>
      </c>
      <c r="H4840" s="4" t="n">
        <v>4</v>
      </c>
      <c r="I4840" s="4" t="str">
        <v>×</v>
      </c>
      <c r="J4840" s="4"/>
      <c r="K4840" s="4"/>
      <c r="L4840" s="4"/>
      <c r="M4840" s="7" t="s">
        <v>3577</v>
      </c>
    </row>
    <row r="4841" customFormat="false" ht="15.75" hidden="false" customHeight="false" outlineLevel="0" collapsed="false">
      <c r="A4841" s="3" t="n">
        <v>46236</v>
      </c>
      <c r="B4841" s="4" t="s">
        <v>13</v>
      </c>
      <c r="C4841" s="4" t="n">
        <v>3</v>
      </c>
      <c r="D4841" s="4" t="n">
        <v>1</v>
      </c>
      <c r="E4841" s="4" t="s">
        <v>3997</v>
      </c>
      <c r="F4841" s="4" t="n">
        <v>8</v>
      </c>
      <c r="G4841" s="4" t="n">
        <v>10</v>
      </c>
      <c r="H4841" s="4" t="n">
        <v>4</v>
      </c>
      <c r="I4841" s="4" t="str">
        <v>×</v>
      </c>
      <c r="J4841" s="4"/>
      <c r="K4841" s="4"/>
      <c r="L4841" s="4"/>
      <c r="M4841" s="7" t="s">
        <v>3577</v>
      </c>
    </row>
    <row r="4842" customFormat="false" ht="15.75" hidden="false" customHeight="false" outlineLevel="0" collapsed="false">
      <c r="A4842" s="3" t="n">
        <v>46236</v>
      </c>
      <c r="B4842" s="4" t="s">
        <v>13</v>
      </c>
      <c r="C4842" s="4" t="n">
        <v>3</v>
      </c>
      <c r="D4842" s="4" t="n">
        <v>2</v>
      </c>
      <c r="E4842" s="4" t="s">
        <v>3998</v>
      </c>
      <c r="F4842" s="4" t="n">
        <v>21</v>
      </c>
      <c r="G4842" s="4" t="n">
        <v>5</v>
      </c>
      <c r="H4842" s="4" t="n">
        <v>4</v>
      </c>
      <c r="I4842" s="4" t="str">
        <v>×</v>
      </c>
      <c r="J4842" s="4"/>
      <c r="K4842" s="4"/>
      <c r="L4842" s="4"/>
      <c r="M4842" s="7" t="s">
        <v>3577</v>
      </c>
    </row>
    <row r="4843" customFormat="false" ht="15.75" hidden="false" customHeight="false" outlineLevel="0" collapsed="false">
      <c r="A4843" s="3" t="n">
        <v>46236</v>
      </c>
      <c r="B4843" s="4" t="s">
        <v>13</v>
      </c>
      <c r="C4843" s="4" t="n">
        <v>3</v>
      </c>
      <c r="D4843" s="4" t="n">
        <v>3</v>
      </c>
      <c r="E4843" s="4" t="s">
        <v>3999</v>
      </c>
      <c r="F4843" s="4" t="n">
        <v>21</v>
      </c>
      <c r="G4843" s="4" t="n">
        <v>5</v>
      </c>
      <c r="H4843" s="4" t="n">
        <v>4</v>
      </c>
      <c r="I4843" s="4" t="str">
        <v>×</v>
      </c>
      <c r="J4843" s="4"/>
      <c r="K4843" s="4"/>
      <c r="L4843" s="4"/>
      <c r="M4843" s="7" t="s">
        <v>3577</v>
      </c>
    </row>
    <row r="4844" customFormat="false" ht="15.75" hidden="false" customHeight="false" outlineLevel="0" collapsed="false">
      <c r="A4844" s="3" t="n">
        <v>46236</v>
      </c>
      <c r="B4844" s="4" t="s">
        <v>13</v>
      </c>
      <c r="C4844" s="4" t="n">
        <v>3</v>
      </c>
      <c r="D4844" s="4" t="n">
        <v>4</v>
      </c>
      <c r="E4844" s="4" t="s">
        <v>4000</v>
      </c>
      <c r="F4844" s="4" t="n">
        <v>37</v>
      </c>
      <c r="G4844" s="4" t="n">
        <v>1</v>
      </c>
      <c r="H4844" s="4" t="n">
        <v>4</v>
      </c>
      <c r="I4844" s="4" t="str">
        <v>×</v>
      </c>
      <c r="J4844" s="4"/>
      <c r="K4844" s="4"/>
      <c r="L4844" s="4"/>
      <c r="M4844" s="7" t="s">
        <v>3577</v>
      </c>
    </row>
    <row r="4845" customFormat="false" ht="15.75" hidden="false" customHeight="false" outlineLevel="0" collapsed="false">
      <c r="A4845" s="3" t="n">
        <v>46236</v>
      </c>
      <c r="B4845" s="4" t="s">
        <v>13</v>
      </c>
      <c r="C4845" s="4" t="n">
        <v>3</v>
      </c>
      <c r="D4845" s="4" t="n">
        <v>5</v>
      </c>
      <c r="E4845" s="4" t="s">
        <v>4001</v>
      </c>
      <c r="F4845" s="4" t="n">
        <v>27</v>
      </c>
      <c r="G4845" s="4" t="n">
        <v>2</v>
      </c>
      <c r="H4845" s="4" t="n">
        <v>2</v>
      </c>
      <c r="I4845" s="4" t="str">
        <v>○</v>
      </c>
      <c r="J4845" s="4" t="n">
        <v>140</v>
      </c>
      <c r="K4845" s="4"/>
      <c r="L4845" s="4"/>
      <c r="M4845" s="7" t="s">
        <v>3577</v>
      </c>
    </row>
    <row r="4846" customFormat="false" ht="15.75" hidden="false" customHeight="false" outlineLevel="0" collapsed="false">
      <c r="A4846" s="3" t="n">
        <v>46236</v>
      </c>
      <c r="B4846" s="4" t="s">
        <v>13</v>
      </c>
      <c r="C4846" s="4" t="n">
        <v>3</v>
      </c>
      <c r="D4846" s="4" t="n">
        <v>6</v>
      </c>
      <c r="E4846" s="4" t="s">
        <v>4002</v>
      </c>
      <c r="F4846" s="4" t="n">
        <v>14</v>
      </c>
      <c r="G4846" s="4" t="n">
        <v>9</v>
      </c>
      <c r="H4846" s="4" t="n">
        <v>4</v>
      </c>
      <c r="I4846" s="4" t="str">
        <v>×</v>
      </c>
      <c r="J4846" s="4"/>
      <c r="K4846" s="4"/>
      <c r="L4846" s="4"/>
      <c r="M4846" s="7" t="s">
        <v>3577</v>
      </c>
    </row>
    <row r="4847" customFormat="false" ht="15.75" hidden="false" customHeight="false" outlineLevel="0" collapsed="false">
      <c r="A4847" s="3" t="n">
        <v>46236</v>
      </c>
      <c r="B4847" s="4" t="s">
        <v>13</v>
      </c>
      <c r="C4847" s="4" t="n">
        <v>3</v>
      </c>
      <c r="D4847" s="4" t="n">
        <v>7</v>
      </c>
      <c r="E4847" s="4" t="s">
        <v>4003</v>
      </c>
      <c r="F4847" s="4" t="n">
        <v>27</v>
      </c>
      <c r="G4847" s="4" t="n">
        <v>2</v>
      </c>
      <c r="H4847" s="4" t="n">
        <v>4</v>
      </c>
      <c r="I4847" s="4" t="str">
        <v>×</v>
      </c>
      <c r="J4847" s="4"/>
      <c r="K4847" s="4"/>
      <c r="L4847" s="4"/>
      <c r="M4847" s="7" t="s">
        <v>3577</v>
      </c>
    </row>
    <row r="4848" customFormat="false" ht="15.75" hidden="false" customHeight="false" outlineLevel="0" collapsed="false">
      <c r="A4848" s="3" t="n">
        <v>46236</v>
      </c>
      <c r="B4848" s="4" t="s">
        <v>13</v>
      </c>
      <c r="C4848" s="4" t="n">
        <v>3</v>
      </c>
      <c r="D4848" s="4" t="n">
        <v>8</v>
      </c>
      <c r="E4848" s="4" t="s">
        <v>4004</v>
      </c>
      <c r="F4848" s="4" t="n">
        <v>21</v>
      </c>
      <c r="G4848" s="4" t="n">
        <v>5</v>
      </c>
      <c r="H4848" s="4" t="n">
        <v>4</v>
      </c>
      <c r="I4848" s="4" t="str">
        <v>×</v>
      </c>
      <c r="J4848" s="4"/>
      <c r="K4848" s="4"/>
      <c r="L4848" s="4"/>
      <c r="M4848" s="7" t="s">
        <v>3577</v>
      </c>
    </row>
    <row r="4849" customFormat="false" ht="15.75" hidden="false" customHeight="false" outlineLevel="0" collapsed="false">
      <c r="A4849" s="3" t="n">
        <v>46236</v>
      </c>
      <c r="B4849" s="4" t="s">
        <v>13</v>
      </c>
      <c r="C4849" s="4" t="n">
        <v>3</v>
      </c>
      <c r="D4849" s="4" t="n">
        <v>9</v>
      </c>
      <c r="E4849" s="4" t="s">
        <v>4005</v>
      </c>
      <c r="F4849" s="4" t="n">
        <v>6</v>
      </c>
      <c r="G4849" s="4" t="n">
        <v>12</v>
      </c>
      <c r="H4849" s="4" t="n">
        <v>4</v>
      </c>
      <c r="I4849" s="4" t="str">
        <v>×</v>
      </c>
      <c r="J4849" s="4"/>
      <c r="K4849" s="4"/>
      <c r="L4849" s="4"/>
      <c r="M4849" s="7" t="s">
        <v>3577</v>
      </c>
    </row>
    <row r="4850" customFormat="false" ht="15.75" hidden="false" customHeight="false" outlineLevel="0" collapsed="false">
      <c r="A4850" s="3" t="n">
        <v>46236</v>
      </c>
      <c r="B4850" s="4" t="s">
        <v>13</v>
      </c>
      <c r="C4850" s="4" t="n">
        <v>3</v>
      </c>
      <c r="D4850" s="4" t="n">
        <v>10</v>
      </c>
      <c r="E4850" s="4" t="s">
        <v>4006</v>
      </c>
      <c r="F4850" s="4" t="n">
        <v>6</v>
      </c>
      <c r="G4850" s="4" t="n">
        <v>12</v>
      </c>
      <c r="H4850" s="4" t="n">
        <v>4</v>
      </c>
      <c r="I4850" s="4" t="str">
        <v>×</v>
      </c>
      <c r="J4850" s="4"/>
      <c r="K4850" s="4"/>
      <c r="L4850" s="4"/>
      <c r="M4850" s="7" t="s">
        <v>3577</v>
      </c>
    </row>
    <row r="4851" customFormat="false" ht="15.75" hidden="false" customHeight="false" outlineLevel="0" collapsed="false">
      <c r="A4851" s="3" t="n">
        <v>46236</v>
      </c>
      <c r="B4851" s="4" t="s">
        <v>13</v>
      </c>
      <c r="C4851" s="4" t="n">
        <v>3</v>
      </c>
      <c r="D4851" s="4" t="n">
        <v>11</v>
      </c>
      <c r="E4851" s="4" t="s">
        <v>4007</v>
      </c>
      <c r="F4851" s="4" t="n">
        <v>24</v>
      </c>
      <c r="G4851" s="4" t="n">
        <v>4</v>
      </c>
      <c r="H4851" s="4" t="n">
        <v>3</v>
      </c>
      <c r="I4851" s="4" t="str">
        <v>○</v>
      </c>
      <c r="J4851" s="4" t="n">
        <v>180</v>
      </c>
      <c r="K4851" s="4"/>
      <c r="L4851" s="4"/>
      <c r="M4851" s="7" t="s">
        <v>3577</v>
      </c>
    </row>
    <row r="4852" customFormat="false" ht="15.75" hidden="false" customHeight="false" outlineLevel="0" collapsed="false">
      <c r="A4852" s="3" t="n">
        <v>46236</v>
      </c>
      <c r="B4852" s="4" t="s">
        <v>13</v>
      </c>
      <c r="C4852" s="4" t="n">
        <v>3</v>
      </c>
      <c r="D4852" s="4" t="n">
        <v>12</v>
      </c>
      <c r="E4852" s="4" t="s">
        <v>4008</v>
      </c>
      <c r="F4852" s="4" t="n">
        <v>8</v>
      </c>
      <c r="G4852" s="4" t="n">
        <v>10</v>
      </c>
      <c r="H4852" s="4" t="n">
        <v>4</v>
      </c>
      <c r="I4852" s="4" t="str">
        <v>×</v>
      </c>
      <c r="J4852" s="4"/>
      <c r="K4852" s="4"/>
      <c r="L4852" s="4"/>
      <c r="M4852" s="7" t="s">
        <v>3577</v>
      </c>
    </row>
    <row r="4853" customFormat="false" ht="15.75" hidden="false" customHeight="false" outlineLevel="0" collapsed="false">
      <c r="A4853" s="3" t="n">
        <v>46236</v>
      </c>
      <c r="B4853" s="4" t="s">
        <v>13</v>
      </c>
      <c r="C4853" s="4" t="n">
        <v>3</v>
      </c>
      <c r="D4853" s="4" t="n">
        <v>13</v>
      </c>
      <c r="E4853" s="4" t="s">
        <v>4009</v>
      </c>
      <c r="F4853" s="4" t="n">
        <v>21</v>
      </c>
      <c r="G4853" s="4" t="n">
        <v>5</v>
      </c>
      <c r="H4853" s="4" t="n">
        <v>1</v>
      </c>
      <c r="I4853" s="4" t="str">
        <v>○</v>
      </c>
      <c r="J4853" s="4" t="n">
        <v>680</v>
      </c>
      <c r="K4853" s="4"/>
      <c r="L4853" s="4"/>
      <c r="M4853" s="7" t="s">
        <v>3577</v>
      </c>
    </row>
    <row r="4854" customFormat="false" ht="15.75" hidden="false" customHeight="false" outlineLevel="0" collapsed="false">
      <c r="A4854" s="3" t="n">
        <v>46236</v>
      </c>
      <c r="B4854" s="4" t="s">
        <v>13</v>
      </c>
      <c r="C4854" s="4" t="n">
        <v>4</v>
      </c>
      <c r="D4854" s="4" t="n">
        <v>1</v>
      </c>
      <c r="E4854" s="4" t="s">
        <v>4010</v>
      </c>
      <c r="F4854" s="4" t="n">
        <v>2</v>
      </c>
      <c r="G4854" s="4" t="n">
        <v>15</v>
      </c>
      <c r="H4854" s="4" t="n">
        <v>4</v>
      </c>
      <c r="I4854" s="4" t="str">
        <v>×</v>
      </c>
      <c r="J4854" s="4"/>
      <c r="K4854" s="4"/>
      <c r="L4854" s="4"/>
      <c r="M4854" s="7" t="s">
        <v>3577</v>
      </c>
    </row>
    <row r="4855" customFormat="false" ht="15.75" hidden="false" customHeight="false" outlineLevel="0" collapsed="false">
      <c r="A4855" s="3" t="n">
        <v>46236</v>
      </c>
      <c r="B4855" s="4" t="s">
        <v>13</v>
      </c>
      <c r="C4855" s="4" t="n">
        <v>4</v>
      </c>
      <c r="D4855" s="4" t="n">
        <v>2</v>
      </c>
      <c r="E4855" s="4" t="s">
        <v>4011</v>
      </c>
      <c r="F4855" s="4" t="n">
        <v>6</v>
      </c>
      <c r="G4855" s="4" t="n">
        <v>13</v>
      </c>
      <c r="H4855" s="4" t="n">
        <v>4</v>
      </c>
      <c r="I4855" s="4" t="str">
        <v>×</v>
      </c>
      <c r="J4855" s="4"/>
      <c r="K4855" s="4"/>
      <c r="L4855" s="4"/>
      <c r="M4855" s="7" t="s">
        <v>3577</v>
      </c>
    </row>
    <row r="4856" customFormat="false" ht="15.75" hidden="false" customHeight="false" outlineLevel="0" collapsed="false">
      <c r="A4856" s="3" t="n">
        <v>46236</v>
      </c>
      <c r="B4856" s="4" t="s">
        <v>13</v>
      </c>
      <c r="C4856" s="4" t="n">
        <v>4</v>
      </c>
      <c r="D4856" s="4" t="n">
        <v>3</v>
      </c>
      <c r="E4856" s="4" t="s">
        <v>4012</v>
      </c>
      <c r="F4856" s="4" t="n">
        <v>34</v>
      </c>
      <c r="G4856" s="4" t="n">
        <v>5</v>
      </c>
      <c r="H4856" s="4" t="n">
        <v>4</v>
      </c>
      <c r="I4856" s="4" t="str">
        <v>×</v>
      </c>
      <c r="J4856" s="4"/>
      <c r="K4856" s="4"/>
      <c r="L4856" s="4"/>
      <c r="M4856" s="7" t="s">
        <v>3577</v>
      </c>
    </row>
    <row r="4857" customFormat="false" ht="15.75" hidden="false" customHeight="false" outlineLevel="0" collapsed="false">
      <c r="A4857" s="3" t="n">
        <v>46236</v>
      </c>
      <c r="B4857" s="4" t="s">
        <v>13</v>
      </c>
      <c r="C4857" s="4" t="n">
        <v>4</v>
      </c>
      <c r="D4857" s="4" t="n">
        <v>4</v>
      </c>
      <c r="E4857" s="4" t="s">
        <v>4013</v>
      </c>
      <c r="F4857" s="4" t="n">
        <v>10</v>
      </c>
      <c r="G4857" s="4" t="n">
        <v>9</v>
      </c>
      <c r="H4857" s="4" t="n">
        <v>4</v>
      </c>
      <c r="I4857" s="4" t="str">
        <v>×</v>
      </c>
      <c r="J4857" s="4"/>
      <c r="K4857" s="4"/>
      <c r="L4857" s="4"/>
      <c r="M4857" s="7" t="s">
        <v>3577</v>
      </c>
    </row>
    <row r="4858" customFormat="false" ht="15.75" hidden="false" customHeight="false" outlineLevel="0" collapsed="false">
      <c r="A4858" s="3" t="n">
        <v>46236</v>
      </c>
      <c r="B4858" s="4" t="s">
        <v>13</v>
      </c>
      <c r="C4858" s="4" t="n">
        <v>4</v>
      </c>
      <c r="D4858" s="4" t="n">
        <v>5</v>
      </c>
      <c r="E4858" s="4" t="s">
        <v>1915</v>
      </c>
      <c r="F4858" s="4" t="n">
        <v>13</v>
      </c>
      <c r="G4858" s="4" t="n">
        <v>8</v>
      </c>
      <c r="H4858" s="4" t="n">
        <v>4</v>
      </c>
      <c r="I4858" s="4" t="str">
        <v>×</v>
      </c>
      <c r="J4858" s="4"/>
      <c r="K4858" s="4"/>
      <c r="L4858" s="4"/>
      <c r="M4858" s="7" t="s">
        <v>3577</v>
      </c>
    </row>
    <row r="4859" customFormat="false" ht="15.75" hidden="false" customHeight="false" outlineLevel="0" collapsed="false">
      <c r="A4859" s="3" t="n">
        <v>46236</v>
      </c>
      <c r="B4859" s="4" t="s">
        <v>13</v>
      </c>
      <c r="C4859" s="4" t="n">
        <v>4</v>
      </c>
      <c r="D4859" s="4" t="n">
        <v>6</v>
      </c>
      <c r="E4859" s="4" t="s">
        <v>2951</v>
      </c>
      <c r="F4859" s="4" t="n">
        <v>4</v>
      </c>
      <c r="G4859" s="4" t="n">
        <v>14</v>
      </c>
      <c r="H4859" s="4" t="n">
        <v>4</v>
      </c>
      <c r="I4859" s="4" t="str">
        <v>×</v>
      </c>
      <c r="J4859" s="4"/>
      <c r="K4859" s="4"/>
      <c r="L4859" s="4"/>
      <c r="M4859" s="7" t="s">
        <v>3577</v>
      </c>
    </row>
    <row r="4860" customFormat="false" ht="15.75" hidden="false" customHeight="false" outlineLevel="0" collapsed="false">
      <c r="A4860" s="3" t="n">
        <v>46236</v>
      </c>
      <c r="B4860" s="4" t="s">
        <v>13</v>
      </c>
      <c r="C4860" s="4" t="n">
        <v>4</v>
      </c>
      <c r="D4860" s="4" t="n">
        <v>7</v>
      </c>
      <c r="E4860" s="4" t="s">
        <v>4014</v>
      </c>
      <c r="F4860" s="4" t="n">
        <v>25</v>
      </c>
      <c r="G4860" s="4" t="n">
        <v>6</v>
      </c>
      <c r="H4860" s="4" t="n">
        <v>4</v>
      </c>
      <c r="I4860" s="4" t="str">
        <v>×</v>
      </c>
      <c r="J4860" s="4"/>
      <c r="K4860" s="4"/>
      <c r="L4860" s="4"/>
      <c r="M4860" s="7" t="s">
        <v>3577</v>
      </c>
    </row>
    <row r="4861" customFormat="false" ht="15.75" hidden="false" customHeight="false" outlineLevel="0" collapsed="false">
      <c r="A4861" s="3" t="n">
        <v>46236</v>
      </c>
      <c r="B4861" s="4" t="s">
        <v>13</v>
      </c>
      <c r="C4861" s="4" t="n">
        <v>4</v>
      </c>
      <c r="D4861" s="4" t="n">
        <v>8</v>
      </c>
      <c r="E4861" s="4" t="s">
        <v>2302</v>
      </c>
      <c r="F4861" s="4" t="n">
        <v>66</v>
      </c>
      <c r="G4861" s="4" t="n">
        <v>1</v>
      </c>
      <c r="H4861" s="4" t="n">
        <v>2</v>
      </c>
      <c r="I4861" s="4" t="str">
        <v>○</v>
      </c>
      <c r="J4861" s="4" t="n">
        <v>180</v>
      </c>
      <c r="K4861" s="4"/>
      <c r="L4861" s="4"/>
      <c r="M4861" s="7" t="s">
        <v>3577</v>
      </c>
    </row>
    <row r="4862" customFormat="false" ht="15.75" hidden="false" customHeight="false" outlineLevel="0" collapsed="false">
      <c r="A4862" s="3" t="n">
        <v>46236</v>
      </c>
      <c r="B4862" s="4" t="s">
        <v>13</v>
      </c>
      <c r="C4862" s="4" t="n">
        <v>4</v>
      </c>
      <c r="D4862" s="4" t="n">
        <v>9</v>
      </c>
      <c r="E4862" s="4" t="s">
        <v>4015</v>
      </c>
      <c r="F4862" s="4" t="n">
        <v>39</v>
      </c>
      <c r="G4862" s="4" t="n">
        <v>3</v>
      </c>
      <c r="H4862" s="4" t="n">
        <v>1</v>
      </c>
      <c r="I4862" s="4" t="str">
        <v>○</v>
      </c>
      <c r="J4862" s="4" t="n">
        <v>160</v>
      </c>
      <c r="K4862" s="4"/>
      <c r="L4862" s="4"/>
      <c r="M4862" s="7" t="s">
        <v>3577</v>
      </c>
    </row>
    <row r="4863" customFormat="false" ht="15.75" hidden="false" customHeight="false" outlineLevel="0" collapsed="false">
      <c r="A4863" s="3" t="n">
        <v>46236</v>
      </c>
      <c r="B4863" s="4" t="s">
        <v>13</v>
      </c>
      <c r="C4863" s="4" t="n">
        <v>4</v>
      </c>
      <c r="D4863" s="4" t="n">
        <v>10</v>
      </c>
      <c r="E4863" s="4" t="s">
        <v>4016</v>
      </c>
      <c r="F4863" s="4" t="n">
        <v>37</v>
      </c>
      <c r="G4863" s="4" t="n">
        <v>4</v>
      </c>
      <c r="H4863" s="4" t="n">
        <v>3</v>
      </c>
      <c r="I4863" s="4" t="str">
        <v>○</v>
      </c>
      <c r="J4863" s="4" t="n">
        <v>260</v>
      </c>
      <c r="K4863" s="4"/>
      <c r="L4863" s="4"/>
      <c r="M4863" s="7" t="s">
        <v>3577</v>
      </c>
    </row>
    <row r="4864" customFormat="false" ht="15.75" hidden="false" customHeight="false" outlineLevel="0" collapsed="false">
      <c r="A4864" s="3" t="n">
        <v>46236</v>
      </c>
      <c r="B4864" s="4" t="s">
        <v>13</v>
      </c>
      <c r="C4864" s="4" t="n">
        <v>4</v>
      </c>
      <c r="D4864" s="4" t="n">
        <v>11</v>
      </c>
      <c r="E4864" s="4" t="s">
        <v>4017</v>
      </c>
      <c r="F4864" s="4" t="n">
        <v>10</v>
      </c>
      <c r="G4864" s="4" t="n">
        <v>9</v>
      </c>
      <c r="H4864" s="4" t="n">
        <v>4</v>
      </c>
      <c r="I4864" s="4" t="str">
        <v>×</v>
      </c>
      <c r="J4864" s="4"/>
      <c r="K4864" s="4"/>
      <c r="L4864" s="4"/>
      <c r="M4864" s="7" t="s">
        <v>3577</v>
      </c>
    </row>
    <row r="4865" customFormat="false" ht="15.75" hidden="false" customHeight="false" outlineLevel="0" collapsed="false">
      <c r="A4865" s="3" t="n">
        <v>46236</v>
      </c>
      <c r="B4865" s="4" t="s">
        <v>13</v>
      </c>
      <c r="C4865" s="4" t="n">
        <v>4</v>
      </c>
      <c r="D4865" s="4" t="n">
        <v>12</v>
      </c>
      <c r="E4865" s="4" t="s">
        <v>1473</v>
      </c>
      <c r="F4865" s="4" t="n">
        <v>17</v>
      </c>
      <c r="G4865" s="4" t="n">
        <v>7</v>
      </c>
      <c r="H4865" s="4" t="n">
        <v>4</v>
      </c>
      <c r="I4865" s="4" t="str">
        <v>×</v>
      </c>
      <c r="J4865" s="4"/>
      <c r="K4865" s="4"/>
      <c r="L4865" s="4"/>
      <c r="M4865" s="7" t="s">
        <v>3577</v>
      </c>
    </row>
    <row r="4866" customFormat="false" ht="15.75" hidden="false" customHeight="false" outlineLevel="0" collapsed="false">
      <c r="A4866" s="3" t="n">
        <v>46236</v>
      </c>
      <c r="B4866" s="4" t="s">
        <v>13</v>
      </c>
      <c r="C4866" s="4" t="n">
        <v>4</v>
      </c>
      <c r="D4866" s="4" t="n">
        <v>13</v>
      </c>
      <c r="E4866" s="4" t="s">
        <v>4018</v>
      </c>
      <c r="F4866" s="4" t="n">
        <v>47</v>
      </c>
      <c r="G4866" s="4" t="n">
        <v>2</v>
      </c>
      <c r="H4866" s="4" t="n">
        <v>4</v>
      </c>
      <c r="I4866" s="4" t="str">
        <v>×</v>
      </c>
      <c r="J4866" s="4"/>
      <c r="K4866" s="4"/>
      <c r="L4866" s="4"/>
      <c r="M4866" s="7" t="s">
        <v>3577</v>
      </c>
    </row>
    <row r="4867" customFormat="false" ht="15.75" hidden="false" customHeight="false" outlineLevel="0" collapsed="false">
      <c r="A4867" s="3" t="n">
        <v>46236</v>
      </c>
      <c r="B4867" s="4" t="s">
        <v>13</v>
      </c>
      <c r="C4867" s="4" t="n">
        <v>4</v>
      </c>
      <c r="D4867" s="4" t="n">
        <v>14</v>
      </c>
      <c r="E4867" s="4" t="s">
        <v>4019</v>
      </c>
      <c r="F4867" s="4" t="n">
        <v>8</v>
      </c>
      <c r="G4867" s="4" t="n">
        <v>12</v>
      </c>
      <c r="H4867" s="4" t="n">
        <v>4</v>
      </c>
      <c r="I4867" s="4" t="str">
        <v>×</v>
      </c>
      <c r="J4867" s="4"/>
      <c r="K4867" s="4"/>
      <c r="L4867" s="4"/>
      <c r="M4867" s="7" t="s">
        <v>3577</v>
      </c>
    </row>
    <row r="4868" customFormat="false" ht="15.75" hidden="false" customHeight="false" outlineLevel="0" collapsed="false">
      <c r="A4868" s="3" t="n">
        <v>46236</v>
      </c>
      <c r="B4868" s="4" t="s">
        <v>13</v>
      </c>
      <c r="C4868" s="4" t="n">
        <v>4</v>
      </c>
      <c r="D4868" s="4" t="n">
        <v>15</v>
      </c>
      <c r="E4868" s="4" t="s">
        <v>954</v>
      </c>
      <c r="F4868" s="4" t="n">
        <v>10</v>
      </c>
      <c r="G4868" s="4" t="n">
        <v>9</v>
      </c>
      <c r="H4868" s="4" t="n">
        <v>4</v>
      </c>
      <c r="I4868" s="4" t="str">
        <v>×</v>
      </c>
      <c r="J4868" s="4"/>
      <c r="K4868" s="4"/>
      <c r="L4868" s="4"/>
      <c r="M4868" s="7" t="s">
        <v>3577</v>
      </c>
    </row>
    <row r="4869" customFormat="false" ht="15.75" hidden="false" customHeight="false" outlineLevel="0" collapsed="false">
      <c r="A4869" s="3" t="n">
        <v>46236</v>
      </c>
      <c r="B4869" s="4" t="s">
        <v>13</v>
      </c>
      <c r="C4869" s="4" t="n">
        <v>5</v>
      </c>
      <c r="D4869" s="4" t="n">
        <v>1</v>
      </c>
      <c r="E4869" s="4" t="s">
        <v>4020</v>
      </c>
      <c r="F4869" s="4" t="n">
        <v>23</v>
      </c>
      <c r="G4869" s="4" t="n">
        <v>6</v>
      </c>
      <c r="H4869" s="4" t="n">
        <v>4</v>
      </c>
      <c r="I4869" s="4" t="str">
        <v>×</v>
      </c>
      <c r="J4869" s="4"/>
      <c r="K4869" s="4"/>
      <c r="L4869" s="4"/>
      <c r="M4869" s="7" t="s">
        <v>3577</v>
      </c>
    </row>
    <row r="4870" customFormat="false" ht="15.75" hidden="false" customHeight="false" outlineLevel="0" collapsed="false">
      <c r="A4870" s="3" t="n">
        <v>46236</v>
      </c>
      <c r="B4870" s="4" t="s">
        <v>13</v>
      </c>
      <c r="C4870" s="4" t="n">
        <v>5</v>
      </c>
      <c r="D4870" s="4" t="n">
        <v>2</v>
      </c>
      <c r="E4870" s="4" t="s">
        <v>4021</v>
      </c>
      <c r="F4870" s="4" t="n">
        <v>17</v>
      </c>
      <c r="G4870" s="4" t="n">
        <v>8</v>
      </c>
      <c r="H4870" s="4" t="n">
        <v>4</v>
      </c>
      <c r="I4870" s="4" t="str">
        <v>×</v>
      </c>
      <c r="J4870" s="4"/>
      <c r="K4870" s="4"/>
      <c r="L4870" s="4"/>
      <c r="M4870" s="7" t="s">
        <v>3577</v>
      </c>
    </row>
    <row r="4871" customFormat="false" ht="15.75" hidden="false" customHeight="false" outlineLevel="0" collapsed="false">
      <c r="A4871" s="3" t="n">
        <v>46236</v>
      </c>
      <c r="B4871" s="4" t="s">
        <v>13</v>
      </c>
      <c r="C4871" s="4" t="n">
        <v>5</v>
      </c>
      <c r="D4871" s="4" t="n">
        <v>3</v>
      </c>
      <c r="E4871" s="4" t="s">
        <v>1937</v>
      </c>
      <c r="F4871" s="4" t="n">
        <v>29</v>
      </c>
      <c r="G4871" s="4" t="n">
        <v>4</v>
      </c>
      <c r="H4871" s="4" t="n">
        <v>1</v>
      </c>
      <c r="I4871" s="4" t="str">
        <v>○</v>
      </c>
      <c r="J4871" s="4" t="n">
        <v>310</v>
      </c>
      <c r="K4871" s="4"/>
      <c r="L4871" s="4"/>
      <c r="M4871" s="7" t="s">
        <v>3577</v>
      </c>
    </row>
    <row r="4872" customFormat="false" ht="15.75" hidden="false" customHeight="false" outlineLevel="0" collapsed="false">
      <c r="A4872" s="3" t="n">
        <v>46236</v>
      </c>
      <c r="B4872" s="4" t="s">
        <v>13</v>
      </c>
      <c r="C4872" s="4" t="n">
        <v>5</v>
      </c>
      <c r="D4872" s="4" t="n">
        <v>4</v>
      </c>
      <c r="E4872" s="4" t="s">
        <v>2744</v>
      </c>
      <c r="F4872" s="4" t="n">
        <v>6</v>
      </c>
      <c r="G4872" s="4" t="n">
        <v>15</v>
      </c>
      <c r="H4872" s="4" t="n">
        <v>2</v>
      </c>
      <c r="I4872" s="4" t="str">
        <v>○</v>
      </c>
      <c r="J4872" s="4" t="n">
        <v>5430</v>
      </c>
      <c r="K4872" s="4"/>
      <c r="L4872" s="4"/>
      <c r="M4872" s="7" t="s">
        <v>3577</v>
      </c>
    </row>
    <row r="4873" customFormat="false" ht="15.75" hidden="false" customHeight="false" outlineLevel="0" collapsed="false">
      <c r="A4873" s="3" t="n">
        <v>46236</v>
      </c>
      <c r="B4873" s="4" t="s">
        <v>13</v>
      </c>
      <c r="C4873" s="4" t="n">
        <v>5</v>
      </c>
      <c r="D4873" s="4" t="n">
        <v>5</v>
      </c>
      <c r="E4873" s="4" t="s">
        <v>4022</v>
      </c>
      <c r="F4873" s="4" t="n">
        <v>39</v>
      </c>
      <c r="G4873" s="4" t="n">
        <v>2</v>
      </c>
      <c r="H4873" s="4" t="n">
        <v>4</v>
      </c>
      <c r="I4873" s="4" t="str">
        <v>×</v>
      </c>
      <c r="J4873" s="4"/>
      <c r="K4873" s="4"/>
      <c r="L4873" s="4"/>
      <c r="M4873" s="7" t="s">
        <v>3577</v>
      </c>
    </row>
    <row r="4874" customFormat="false" ht="15.75" hidden="false" customHeight="false" outlineLevel="0" collapsed="false">
      <c r="A4874" s="3" t="n">
        <v>46236</v>
      </c>
      <c r="B4874" s="4" t="s">
        <v>13</v>
      </c>
      <c r="C4874" s="4" t="n">
        <v>5</v>
      </c>
      <c r="D4874" s="4" t="n">
        <v>6</v>
      </c>
      <c r="E4874" s="4" t="s">
        <v>4023</v>
      </c>
      <c r="F4874" s="4" t="n">
        <v>10</v>
      </c>
      <c r="G4874" s="4" t="n">
        <v>9</v>
      </c>
      <c r="H4874" s="4" t="n">
        <v>4</v>
      </c>
      <c r="I4874" s="4" t="str">
        <v>×</v>
      </c>
      <c r="J4874" s="4"/>
      <c r="K4874" s="4"/>
      <c r="L4874" s="4"/>
      <c r="M4874" s="7" t="s">
        <v>3577</v>
      </c>
    </row>
    <row r="4875" customFormat="false" ht="15.75" hidden="false" customHeight="false" outlineLevel="0" collapsed="false">
      <c r="A4875" s="3" t="n">
        <v>46236</v>
      </c>
      <c r="B4875" s="4" t="s">
        <v>13</v>
      </c>
      <c r="C4875" s="4" t="n">
        <v>5</v>
      </c>
      <c r="D4875" s="4" t="n">
        <v>8</v>
      </c>
      <c r="E4875" s="4" t="s">
        <v>1395</v>
      </c>
      <c r="F4875" s="4" t="n">
        <v>2</v>
      </c>
      <c r="G4875" s="4" t="n">
        <v>17</v>
      </c>
      <c r="H4875" s="4" t="n">
        <v>4</v>
      </c>
      <c r="I4875" s="4" t="str">
        <v>×</v>
      </c>
      <c r="J4875" s="4"/>
      <c r="K4875" s="4"/>
      <c r="L4875" s="4"/>
      <c r="M4875" s="7" t="s">
        <v>3577</v>
      </c>
    </row>
    <row r="4876" customFormat="false" ht="15.75" hidden="false" customHeight="false" outlineLevel="0" collapsed="false">
      <c r="A4876" s="3" t="n">
        <v>46236</v>
      </c>
      <c r="B4876" s="4" t="s">
        <v>13</v>
      </c>
      <c r="C4876" s="4" t="n">
        <v>5</v>
      </c>
      <c r="D4876" s="4" t="n">
        <v>9</v>
      </c>
      <c r="E4876" s="4" t="s">
        <v>4024</v>
      </c>
      <c r="F4876" s="4" t="n">
        <v>2</v>
      </c>
      <c r="G4876" s="4" t="n">
        <v>17</v>
      </c>
      <c r="H4876" s="4" t="n">
        <v>4</v>
      </c>
      <c r="I4876" s="4" t="str">
        <v>×</v>
      </c>
      <c r="J4876" s="4"/>
      <c r="K4876" s="4"/>
      <c r="L4876" s="4"/>
      <c r="M4876" s="7" t="s">
        <v>3577</v>
      </c>
    </row>
    <row r="4877" customFormat="false" ht="15.75" hidden="false" customHeight="false" outlineLevel="0" collapsed="false">
      <c r="A4877" s="3" t="n">
        <v>46236</v>
      </c>
      <c r="B4877" s="4" t="s">
        <v>13</v>
      </c>
      <c r="C4877" s="4" t="n">
        <v>5</v>
      </c>
      <c r="D4877" s="4" t="n">
        <v>10</v>
      </c>
      <c r="E4877" s="4" t="s">
        <v>4025</v>
      </c>
      <c r="F4877" s="4" t="n">
        <v>8</v>
      </c>
      <c r="G4877" s="4" t="n">
        <v>12</v>
      </c>
      <c r="H4877" s="4" t="n">
        <v>4</v>
      </c>
      <c r="I4877" s="4" t="str">
        <v>×</v>
      </c>
      <c r="J4877" s="4"/>
      <c r="K4877" s="4"/>
      <c r="L4877" s="4"/>
      <c r="M4877" s="7" t="s">
        <v>3577</v>
      </c>
    </row>
    <row r="4878" customFormat="false" ht="15.75" hidden="false" customHeight="false" outlineLevel="0" collapsed="false">
      <c r="A4878" s="3" t="n">
        <v>46236</v>
      </c>
      <c r="B4878" s="4" t="s">
        <v>13</v>
      </c>
      <c r="C4878" s="4" t="n">
        <v>5</v>
      </c>
      <c r="D4878" s="4" t="n">
        <v>11</v>
      </c>
      <c r="E4878" s="4" t="s">
        <v>4026</v>
      </c>
      <c r="F4878" s="4" t="n">
        <v>10</v>
      </c>
      <c r="G4878" s="4" t="n">
        <v>9</v>
      </c>
      <c r="H4878" s="4" t="n">
        <v>4</v>
      </c>
      <c r="I4878" s="4" t="str">
        <v>×</v>
      </c>
      <c r="J4878" s="4"/>
      <c r="K4878" s="4"/>
      <c r="L4878" s="4"/>
      <c r="M4878" s="7" t="s">
        <v>3577</v>
      </c>
    </row>
    <row r="4879" customFormat="false" ht="15.75" hidden="false" customHeight="false" outlineLevel="0" collapsed="false">
      <c r="A4879" s="3" t="n">
        <v>46236</v>
      </c>
      <c r="B4879" s="4" t="s">
        <v>13</v>
      </c>
      <c r="C4879" s="4" t="n">
        <v>5</v>
      </c>
      <c r="D4879" s="4" t="n">
        <v>12</v>
      </c>
      <c r="E4879" s="4" t="s">
        <v>4027</v>
      </c>
      <c r="F4879" s="4" t="n">
        <v>34</v>
      </c>
      <c r="G4879" s="4" t="n">
        <v>3</v>
      </c>
      <c r="H4879" s="4" t="n">
        <v>4</v>
      </c>
      <c r="I4879" s="4" t="str">
        <v>×</v>
      </c>
      <c r="J4879" s="4"/>
      <c r="K4879" s="4"/>
      <c r="L4879" s="4"/>
      <c r="M4879" s="7" t="s">
        <v>3577</v>
      </c>
    </row>
    <row r="4880" customFormat="false" ht="15.75" hidden="false" customHeight="false" outlineLevel="0" collapsed="false">
      <c r="A4880" s="3" t="n">
        <v>46236</v>
      </c>
      <c r="B4880" s="4" t="s">
        <v>13</v>
      </c>
      <c r="C4880" s="4" t="n">
        <v>5</v>
      </c>
      <c r="D4880" s="4" t="n">
        <v>13</v>
      </c>
      <c r="E4880" s="4" t="s">
        <v>4028</v>
      </c>
      <c r="F4880" s="4" t="n">
        <v>8</v>
      </c>
      <c r="G4880" s="4" t="n">
        <v>12</v>
      </c>
      <c r="H4880" s="4" t="n">
        <v>4</v>
      </c>
      <c r="I4880" s="4" t="str">
        <v>×</v>
      </c>
      <c r="J4880" s="4"/>
      <c r="K4880" s="4"/>
      <c r="L4880" s="4"/>
      <c r="M4880" s="7" t="s">
        <v>3577</v>
      </c>
    </row>
    <row r="4881" customFormat="false" ht="15.75" hidden="false" customHeight="false" outlineLevel="0" collapsed="false">
      <c r="A4881" s="3" t="n">
        <v>46236</v>
      </c>
      <c r="B4881" s="4" t="s">
        <v>13</v>
      </c>
      <c r="C4881" s="4" t="n">
        <v>5</v>
      </c>
      <c r="D4881" s="4" t="n">
        <v>14</v>
      </c>
      <c r="E4881" s="4" t="s">
        <v>2757</v>
      </c>
      <c r="F4881" s="4" t="n">
        <v>3</v>
      </c>
      <c r="G4881" s="4" t="n">
        <v>16</v>
      </c>
      <c r="H4881" s="4" t="n">
        <v>4</v>
      </c>
      <c r="I4881" s="4" t="str">
        <v>×</v>
      </c>
      <c r="J4881" s="4"/>
      <c r="K4881" s="4"/>
      <c r="L4881" s="4"/>
      <c r="M4881" s="7" t="s">
        <v>3577</v>
      </c>
    </row>
    <row r="4882" customFormat="false" ht="15.75" hidden="false" customHeight="false" outlineLevel="0" collapsed="false">
      <c r="A4882" s="3" t="n">
        <v>46236</v>
      </c>
      <c r="B4882" s="4" t="s">
        <v>13</v>
      </c>
      <c r="C4882" s="4" t="n">
        <v>5</v>
      </c>
      <c r="D4882" s="4" t="n">
        <v>15</v>
      </c>
      <c r="E4882" s="4" t="s">
        <v>4029</v>
      </c>
      <c r="F4882" s="4" t="n">
        <v>8</v>
      </c>
      <c r="G4882" s="4" t="n">
        <v>12</v>
      </c>
      <c r="H4882" s="4" t="n">
        <v>4</v>
      </c>
      <c r="I4882" s="4" t="str">
        <v>×</v>
      </c>
      <c r="J4882" s="4"/>
      <c r="K4882" s="4"/>
      <c r="L4882" s="4"/>
      <c r="M4882" s="7" t="s">
        <v>3577</v>
      </c>
    </row>
    <row r="4883" customFormat="false" ht="15.75" hidden="false" customHeight="false" outlineLevel="0" collapsed="false">
      <c r="A4883" s="3" t="n">
        <v>46236</v>
      </c>
      <c r="B4883" s="4" t="s">
        <v>13</v>
      </c>
      <c r="C4883" s="4" t="n">
        <v>5</v>
      </c>
      <c r="D4883" s="4" t="n">
        <v>16</v>
      </c>
      <c r="E4883" s="4" t="s">
        <v>3020</v>
      </c>
      <c r="F4883" s="4" t="n">
        <v>25</v>
      </c>
      <c r="G4883" s="4" t="n">
        <v>5</v>
      </c>
      <c r="H4883" s="4" t="n">
        <v>4</v>
      </c>
      <c r="I4883" s="4" t="str">
        <v>×</v>
      </c>
      <c r="J4883" s="4"/>
      <c r="K4883" s="4"/>
      <c r="L4883" s="4"/>
      <c r="M4883" s="7" t="s">
        <v>3577</v>
      </c>
    </row>
    <row r="4884" customFormat="false" ht="15.75" hidden="false" customHeight="false" outlineLevel="0" collapsed="false">
      <c r="A4884" s="3" t="n">
        <v>46236</v>
      </c>
      <c r="B4884" s="4" t="s">
        <v>13</v>
      </c>
      <c r="C4884" s="4" t="n">
        <v>5</v>
      </c>
      <c r="D4884" s="4" t="n">
        <v>17</v>
      </c>
      <c r="E4884" s="4" t="s">
        <v>4030</v>
      </c>
      <c r="F4884" s="4" t="n">
        <v>23</v>
      </c>
      <c r="G4884" s="4" t="n">
        <v>6</v>
      </c>
      <c r="H4884" s="4" t="n">
        <v>4</v>
      </c>
      <c r="I4884" s="4" t="str">
        <v>×</v>
      </c>
      <c r="J4884" s="4"/>
      <c r="K4884" s="4"/>
      <c r="L4884" s="4"/>
      <c r="M4884" s="7" t="s">
        <v>3577</v>
      </c>
    </row>
    <row r="4885" customFormat="false" ht="15.75" hidden="false" customHeight="false" outlineLevel="0" collapsed="false">
      <c r="A4885" s="3" t="n">
        <v>46236</v>
      </c>
      <c r="B4885" s="4" t="s">
        <v>13</v>
      </c>
      <c r="C4885" s="4" t="n">
        <v>5</v>
      </c>
      <c r="D4885" s="4" t="n">
        <v>18</v>
      </c>
      <c r="E4885" s="4" t="s">
        <v>1400</v>
      </c>
      <c r="F4885" s="4" t="n">
        <v>10</v>
      </c>
      <c r="G4885" s="4" t="n">
        <v>9</v>
      </c>
      <c r="H4885" s="4" t="n">
        <v>4</v>
      </c>
      <c r="I4885" s="4" t="str">
        <v>×</v>
      </c>
      <c r="J4885" s="4"/>
      <c r="K4885" s="4"/>
      <c r="L4885" s="4"/>
      <c r="M4885" s="7" t="s">
        <v>3577</v>
      </c>
    </row>
    <row r="4886" customFormat="false" ht="15.75" hidden="false" customHeight="false" outlineLevel="0" collapsed="false">
      <c r="A4886" s="3" t="n">
        <v>46236</v>
      </c>
      <c r="B4886" s="4" t="s">
        <v>13</v>
      </c>
      <c r="C4886" s="4" t="n">
        <v>6</v>
      </c>
      <c r="D4886" s="4" t="n">
        <v>1</v>
      </c>
      <c r="E4886" s="4" t="s">
        <v>4031</v>
      </c>
      <c r="F4886" s="4" t="n">
        <v>20</v>
      </c>
      <c r="G4886" s="4" t="n">
        <v>6</v>
      </c>
      <c r="H4886" s="4" t="n">
        <v>1</v>
      </c>
      <c r="I4886" s="4" t="str">
        <v>○</v>
      </c>
      <c r="J4886" s="4" t="n">
        <v>170</v>
      </c>
      <c r="K4886" s="4"/>
      <c r="L4886" s="4"/>
      <c r="M4886" s="7" t="s">
        <v>3577</v>
      </c>
    </row>
    <row r="4887" customFormat="false" ht="15.75" hidden="false" customHeight="false" outlineLevel="0" collapsed="false">
      <c r="A4887" s="3" t="n">
        <v>46236</v>
      </c>
      <c r="B4887" s="4" t="s">
        <v>13</v>
      </c>
      <c r="C4887" s="4" t="n">
        <v>6</v>
      </c>
      <c r="D4887" s="4" t="n">
        <v>2</v>
      </c>
      <c r="E4887" s="4" t="s">
        <v>4032</v>
      </c>
      <c r="F4887" s="4" t="n">
        <v>8</v>
      </c>
      <c r="G4887" s="4" t="n">
        <v>9</v>
      </c>
      <c r="H4887" s="4" t="n">
        <v>4</v>
      </c>
      <c r="I4887" s="4" t="str">
        <v>×</v>
      </c>
      <c r="J4887" s="4"/>
      <c r="K4887" s="4"/>
      <c r="L4887" s="4"/>
      <c r="M4887" s="7" t="s">
        <v>3577</v>
      </c>
    </row>
    <row r="4888" customFormat="false" ht="15.75" hidden="false" customHeight="false" outlineLevel="0" collapsed="false">
      <c r="A4888" s="3" t="n">
        <v>46236</v>
      </c>
      <c r="B4888" s="4" t="s">
        <v>13</v>
      </c>
      <c r="C4888" s="4" t="n">
        <v>6</v>
      </c>
      <c r="D4888" s="4" t="n">
        <v>3</v>
      </c>
      <c r="E4888" s="4" t="s">
        <v>4033</v>
      </c>
      <c r="F4888" s="4" t="n">
        <v>3</v>
      </c>
      <c r="G4888" s="4" t="n">
        <v>13</v>
      </c>
      <c r="H4888" s="4" t="n">
        <v>4</v>
      </c>
      <c r="I4888" s="4" t="str">
        <v>×</v>
      </c>
      <c r="J4888" s="4"/>
      <c r="K4888" s="4"/>
      <c r="L4888" s="4"/>
      <c r="M4888" s="7" t="s">
        <v>3577</v>
      </c>
    </row>
    <row r="4889" customFormat="false" ht="15.75" hidden="false" customHeight="false" outlineLevel="0" collapsed="false">
      <c r="A4889" s="3" t="n">
        <v>46236</v>
      </c>
      <c r="B4889" s="4" t="s">
        <v>13</v>
      </c>
      <c r="C4889" s="4" t="n">
        <v>6</v>
      </c>
      <c r="D4889" s="4" t="n">
        <v>4</v>
      </c>
      <c r="E4889" s="4" t="s">
        <v>4034</v>
      </c>
      <c r="F4889" s="4" t="n">
        <v>31</v>
      </c>
      <c r="G4889" s="4" t="n">
        <v>3</v>
      </c>
      <c r="H4889" s="4" t="n">
        <v>4</v>
      </c>
      <c r="I4889" s="4" t="str">
        <v>×</v>
      </c>
      <c r="J4889" s="4"/>
      <c r="K4889" s="4"/>
      <c r="L4889" s="4"/>
      <c r="M4889" s="7" t="s">
        <v>3577</v>
      </c>
    </row>
    <row r="4890" customFormat="false" ht="15.75" hidden="false" customHeight="false" outlineLevel="0" collapsed="false">
      <c r="A4890" s="3" t="n">
        <v>46236</v>
      </c>
      <c r="B4890" s="4" t="s">
        <v>13</v>
      </c>
      <c r="C4890" s="4" t="n">
        <v>6</v>
      </c>
      <c r="D4890" s="4" t="n">
        <v>5</v>
      </c>
      <c r="E4890" s="4" t="s">
        <v>4035</v>
      </c>
      <c r="F4890" s="4" t="n">
        <v>31</v>
      </c>
      <c r="G4890" s="4" t="n">
        <v>3</v>
      </c>
      <c r="H4890" s="4" t="n">
        <v>3</v>
      </c>
      <c r="I4890" s="4" t="str">
        <v>○</v>
      </c>
      <c r="J4890" s="4" t="n">
        <v>240</v>
      </c>
      <c r="K4890" s="4"/>
      <c r="L4890" s="4"/>
      <c r="M4890" s="7" t="s">
        <v>3577</v>
      </c>
    </row>
    <row r="4891" customFormat="false" ht="15.75" hidden="false" customHeight="false" outlineLevel="0" collapsed="false">
      <c r="A4891" s="3" t="n">
        <v>46236</v>
      </c>
      <c r="B4891" s="4" t="s">
        <v>13</v>
      </c>
      <c r="C4891" s="4" t="n">
        <v>6</v>
      </c>
      <c r="D4891" s="4" t="n">
        <v>6</v>
      </c>
      <c r="E4891" s="4" t="s">
        <v>4036</v>
      </c>
      <c r="F4891" s="4" t="n">
        <v>62</v>
      </c>
      <c r="G4891" s="4" t="n">
        <v>1</v>
      </c>
      <c r="H4891" s="4" t="n">
        <v>4</v>
      </c>
      <c r="I4891" s="4" t="str">
        <v>×</v>
      </c>
      <c r="J4891" s="4"/>
      <c r="K4891" s="4"/>
      <c r="L4891" s="4"/>
      <c r="M4891" s="7" t="s">
        <v>3577</v>
      </c>
    </row>
    <row r="4892" customFormat="false" ht="15.75" hidden="false" customHeight="false" outlineLevel="0" collapsed="false">
      <c r="A4892" s="3" t="n">
        <v>46236</v>
      </c>
      <c r="B4892" s="4" t="s">
        <v>13</v>
      </c>
      <c r="C4892" s="4" t="n">
        <v>6</v>
      </c>
      <c r="D4892" s="4" t="n">
        <v>7</v>
      </c>
      <c r="E4892" s="4" t="s">
        <v>4037</v>
      </c>
      <c r="F4892" s="4" t="n">
        <v>3</v>
      </c>
      <c r="G4892" s="4" t="n">
        <v>13</v>
      </c>
      <c r="H4892" s="4" t="n">
        <v>4</v>
      </c>
      <c r="I4892" s="4" t="str">
        <v>×</v>
      </c>
      <c r="J4892" s="4"/>
      <c r="K4892" s="4"/>
      <c r="L4892" s="4"/>
      <c r="M4892" s="7" t="s">
        <v>3577</v>
      </c>
    </row>
    <row r="4893" customFormat="false" ht="15.75" hidden="false" customHeight="false" outlineLevel="0" collapsed="false">
      <c r="A4893" s="3" t="n">
        <v>46236</v>
      </c>
      <c r="B4893" s="4" t="s">
        <v>13</v>
      </c>
      <c r="C4893" s="4" t="n">
        <v>6</v>
      </c>
      <c r="D4893" s="4" t="n">
        <v>8</v>
      </c>
      <c r="E4893" s="4" t="s">
        <v>4038</v>
      </c>
      <c r="F4893" s="4" t="n">
        <v>6</v>
      </c>
      <c r="G4893" s="4" t="n">
        <v>10</v>
      </c>
      <c r="H4893" s="4" t="n">
        <v>4</v>
      </c>
      <c r="I4893" s="4" t="str">
        <v>×</v>
      </c>
      <c r="J4893" s="4"/>
      <c r="K4893" s="4"/>
      <c r="L4893" s="4"/>
      <c r="M4893" s="7" t="s">
        <v>3577</v>
      </c>
    </row>
    <row r="4894" customFormat="false" ht="15.75" hidden="false" customHeight="false" outlineLevel="0" collapsed="false">
      <c r="A4894" s="3" t="n">
        <v>46236</v>
      </c>
      <c r="B4894" s="4" t="s">
        <v>13</v>
      </c>
      <c r="C4894" s="4" t="n">
        <v>6</v>
      </c>
      <c r="D4894" s="4" t="n">
        <v>9</v>
      </c>
      <c r="E4894" s="4" t="s">
        <v>4039</v>
      </c>
      <c r="F4894" s="4" t="n">
        <v>6</v>
      </c>
      <c r="G4894" s="4" t="n">
        <v>10</v>
      </c>
      <c r="H4894" s="4" t="n">
        <v>4</v>
      </c>
      <c r="I4894" s="4" t="str">
        <v>×</v>
      </c>
      <c r="J4894" s="4"/>
      <c r="K4894" s="4"/>
      <c r="L4894" s="4"/>
      <c r="M4894" s="7" t="s">
        <v>3577</v>
      </c>
    </row>
    <row r="4895" customFormat="false" ht="15.75" hidden="false" customHeight="false" outlineLevel="0" collapsed="false">
      <c r="A4895" s="3" t="n">
        <v>46236</v>
      </c>
      <c r="B4895" s="4" t="s">
        <v>13</v>
      </c>
      <c r="C4895" s="4" t="n">
        <v>6</v>
      </c>
      <c r="D4895" s="4" t="n">
        <v>10</v>
      </c>
      <c r="E4895" s="4" t="s">
        <v>4040</v>
      </c>
      <c r="F4895" s="4" t="n">
        <v>29</v>
      </c>
      <c r="G4895" s="4" t="n">
        <v>5</v>
      </c>
      <c r="H4895" s="4" t="n">
        <v>2</v>
      </c>
      <c r="I4895" s="4" t="str">
        <v>○</v>
      </c>
      <c r="J4895" s="4" t="n">
        <v>170</v>
      </c>
      <c r="K4895" s="4"/>
      <c r="L4895" s="4"/>
      <c r="M4895" s="7" t="s">
        <v>3577</v>
      </c>
    </row>
    <row r="4896" customFormat="false" ht="15.75" hidden="false" customHeight="false" outlineLevel="0" collapsed="false">
      <c r="A4896" s="3" t="n">
        <v>46236</v>
      </c>
      <c r="B4896" s="4" t="s">
        <v>13</v>
      </c>
      <c r="C4896" s="4" t="n">
        <v>6</v>
      </c>
      <c r="D4896" s="4" t="n">
        <v>11</v>
      </c>
      <c r="E4896" s="4" t="s">
        <v>4041</v>
      </c>
      <c r="F4896" s="4" t="n">
        <v>17</v>
      </c>
      <c r="G4896" s="4" t="n">
        <v>7</v>
      </c>
      <c r="H4896" s="4" t="n">
        <v>4</v>
      </c>
      <c r="I4896" s="4" t="str">
        <v>×</v>
      </c>
      <c r="J4896" s="4"/>
      <c r="K4896" s="4"/>
      <c r="L4896" s="4"/>
      <c r="M4896" s="7" t="s">
        <v>3577</v>
      </c>
    </row>
    <row r="4897" customFormat="false" ht="15.75" hidden="false" customHeight="false" outlineLevel="0" collapsed="false">
      <c r="A4897" s="3" t="n">
        <v>46236</v>
      </c>
      <c r="B4897" s="4" t="s">
        <v>13</v>
      </c>
      <c r="C4897" s="4" t="n">
        <v>6</v>
      </c>
      <c r="D4897" s="4" t="n">
        <v>12</v>
      </c>
      <c r="E4897" s="4" t="s">
        <v>2786</v>
      </c>
      <c r="F4897" s="4" t="n">
        <v>39</v>
      </c>
      <c r="G4897" s="4" t="n">
        <v>2</v>
      </c>
      <c r="H4897" s="4" t="n">
        <v>4</v>
      </c>
      <c r="I4897" s="4" t="str">
        <v>×</v>
      </c>
      <c r="J4897" s="4"/>
      <c r="K4897" s="4"/>
      <c r="L4897" s="4"/>
      <c r="M4897" s="7" t="s">
        <v>3577</v>
      </c>
    </row>
    <row r="4898" customFormat="false" ht="15.75" hidden="false" customHeight="false" outlineLevel="0" collapsed="false">
      <c r="A4898" s="3" t="n">
        <v>46236</v>
      </c>
      <c r="B4898" s="4" t="s">
        <v>13</v>
      </c>
      <c r="C4898" s="4" t="n">
        <v>6</v>
      </c>
      <c r="D4898" s="4" t="n">
        <v>13</v>
      </c>
      <c r="E4898" s="4" t="s">
        <v>4042</v>
      </c>
      <c r="F4898" s="4" t="n">
        <v>4</v>
      </c>
      <c r="G4898" s="4" t="n">
        <v>12</v>
      </c>
      <c r="H4898" s="4" t="n">
        <v>4</v>
      </c>
      <c r="I4898" s="4" t="str">
        <v>×</v>
      </c>
      <c r="J4898" s="4"/>
      <c r="K4898" s="4"/>
      <c r="L4898" s="4"/>
      <c r="M4898" s="7" t="s">
        <v>3577</v>
      </c>
    </row>
    <row r="4899" customFormat="false" ht="15.75" hidden="false" customHeight="false" outlineLevel="0" collapsed="false">
      <c r="A4899" s="3" t="n">
        <v>46236</v>
      </c>
      <c r="B4899" s="4" t="s">
        <v>13</v>
      </c>
      <c r="C4899" s="4" t="n">
        <v>6</v>
      </c>
      <c r="D4899" s="4" t="n">
        <v>14</v>
      </c>
      <c r="E4899" s="4" t="s">
        <v>4043</v>
      </c>
      <c r="F4899" s="4" t="n">
        <v>2</v>
      </c>
      <c r="G4899" s="4" t="n">
        <v>15</v>
      </c>
      <c r="H4899" s="4" t="n">
        <v>4</v>
      </c>
      <c r="I4899" s="4" t="str">
        <v>×</v>
      </c>
      <c r="J4899" s="4"/>
      <c r="K4899" s="4"/>
      <c r="L4899" s="4"/>
      <c r="M4899" s="7" t="s">
        <v>3577</v>
      </c>
    </row>
    <row r="4900" customFormat="false" ht="15.75" hidden="false" customHeight="false" outlineLevel="0" collapsed="false">
      <c r="A4900" s="3" t="n">
        <v>46236</v>
      </c>
      <c r="B4900" s="4" t="s">
        <v>13</v>
      </c>
      <c r="C4900" s="4" t="n">
        <v>6</v>
      </c>
      <c r="D4900" s="4" t="n">
        <v>15</v>
      </c>
      <c r="E4900" s="4" t="s">
        <v>4044</v>
      </c>
      <c r="F4900" s="4" t="n">
        <v>15</v>
      </c>
      <c r="G4900" s="4" t="n">
        <v>8</v>
      </c>
      <c r="H4900" s="4" t="n">
        <v>4</v>
      </c>
      <c r="I4900" s="4" t="str">
        <v>×</v>
      </c>
      <c r="J4900" s="4"/>
      <c r="K4900" s="4"/>
      <c r="L4900" s="4"/>
      <c r="M4900" s="7" t="s">
        <v>3577</v>
      </c>
    </row>
    <row r="4901" customFormat="false" ht="15.75" hidden="false" customHeight="false" outlineLevel="0" collapsed="false">
      <c r="A4901" s="3" t="n">
        <v>46236</v>
      </c>
      <c r="B4901" s="4" t="s">
        <v>13</v>
      </c>
      <c r="C4901" s="4" t="n">
        <v>7</v>
      </c>
      <c r="D4901" s="4" t="n">
        <v>1</v>
      </c>
      <c r="E4901" s="4" t="s">
        <v>4045</v>
      </c>
      <c r="F4901" s="4" t="n">
        <v>16</v>
      </c>
      <c r="G4901" s="4" t="n">
        <v>7</v>
      </c>
      <c r="H4901" s="4" t="n">
        <v>4</v>
      </c>
      <c r="I4901" s="4" t="str">
        <v>×</v>
      </c>
      <c r="J4901" s="4"/>
      <c r="K4901" s="4"/>
      <c r="L4901" s="4"/>
      <c r="M4901" s="7" t="s">
        <v>3577</v>
      </c>
    </row>
    <row r="4902" customFormat="false" ht="15.75" hidden="false" customHeight="false" outlineLevel="0" collapsed="false">
      <c r="A4902" s="3" t="n">
        <v>46236</v>
      </c>
      <c r="B4902" s="4" t="s">
        <v>13</v>
      </c>
      <c r="C4902" s="4" t="n">
        <v>7</v>
      </c>
      <c r="D4902" s="4" t="n">
        <v>2</v>
      </c>
      <c r="E4902" s="4" t="s">
        <v>4046</v>
      </c>
      <c r="F4902" s="4" t="n">
        <v>13</v>
      </c>
      <c r="G4902" s="4" t="n">
        <v>9</v>
      </c>
      <c r="H4902" s="4" t="n">
        <v>4</v>
      </c>
      <c r="I4902" s="4" t="str">
        <v>×</v>
      </c>
      <c r="J4902" s="4"/>
      <c r="K4902" s="4"/>
      <c r="L4902" s="4"/>
      <c r="M4902" s="7" t="s">
        <v>3577</v>
      </c>
    </row>
    <row r="4903" customFormat="false" ht="15.75" hidden="false" customHeight="false" outlineLevel="0" collapsed="false">
      <c r="A4903" s="3" t="n">
        <v>46236</v>
      </c>
      <c r="B4903" s="4" t="s">
        <v>13</v>
      </c>
      <c r="C4903" s="4" t="n">
        <v>7</v>
      </c>
      <c r="D4903" s="4" t="n">
        <v>3</v>
      </c>
      <c r="E4903" s="4" t="s">
        <v>4047</v>
      </c>
      <c r="F4903" s="4" t="n">
        <v>1</v>
      </c>
      <c r="G4903" s="4" t="n">
        <v>15</v>
      </c>
      <c r="H4903" s="4" t="n">
        <v>4</v>
      </c>
      <c r="I4903" s="4" t="str">
        <v>×</v>
      </c>
      <c r="J4903" s="4"/>
      <c r="K4903" s="4"/>
      <c r="L4903" s="4"/>
      <c r="M4903" s="7" t="s">
        <v>3577</v>
      </c>
    </row>
    <row r="4904" customFormat="false" ht="15.75" hidden="false" customHeight="false" outlineLevel="0" collapsed="false">
      <c r="A4904" s="3" t="n">
        <v>46236</v>
      </c>
      <c r="B4904" s="4" t="s">
        <v>13</v>
      </c>
      <c r="C4904" s="4" t="n">
        <v>7</v>
      </c>
      <c r="D4904" s="4" t="n">
        <v>4</v>
      </c>
      <c r="E4904" s="4" t="s">
        <v>4048</v>
      </c>
      <c r="F4904" s="4" t="n">
        <v>29</v>
      </c>
      <c r="G4904" s="4" t="n">
        <v>4</v>
      </c>
      <c r="H4904" s="4" t="n">
        <v>3</v>
      </c>
      <c r="I4904" s="4" t="str">
        <v>○</v>
      </c>
      <c r="J4904" s="4" t="n">
        <v>720</v>
      </c>
      <c r="K4904" s="4"/>
      <c r="L4904" s="4"/>
      <c r="M4904" s="7" t="s">
        <v>3577</v>
      </c>
    </row>
    <row r="4905" customFormat="false" ht="15.75" hidden="false" customHeight="false" outlineLevel="0" collapsed="false">
      <c r="A4905" s="3" t="n">
        <v>46236</v>
      </c>
      <c r="B4905" s="4" t="s">
        <v>13</v>
      </c>
      <c r="C4905" s="4" t="n">
        <v>7</v>
      </c>
      <c r="D4905" s="4" t="n">
        <v>5</v>
      </c>
      <c r="E4905" s="4" t="s">
        <v>2154</v>
      </c>
      <c r="F4905" s="4" t="n">
        <v>29</v>
      </c>
      <c r="G4905" s="4" t="n">
        <v>4</v>
      </c>
      <c r="H4905" s="4" t="n">
        <v>4</v>
      </c>
      <c r="I4905" s="4" t="str">
        <v>×</v>
      </c>
      <c r="J4905" s="4"/>
      <c r="K4905" s="4"/>
      <c r="L4905" s="4"/>
      <c r="M4905" s="7" t="s">
        <v>3577</v>
      </c>
    </row>
    <row r="4906" customFormat="false" ht="15.75" hidden="false" customHeight="false" outlineLevel="0" collapsed="false">
      <c r="A4906" s="3" t="n">
        <v>46236</v>
      </c>
      <c r="B4906" s="4" t="s">
        <v>13</v>
      </c>
      <c r="C4906" s="4" t="n">
        <v>7</v>
      </c>
      <c r="D4906" s="4" t="n">
        <v>6</v>
      </c>
      <c r="E4906" s="4" t="s">
        <v>4049</v>
      </c>
      <c r="F4906" s="4" t="n">
        <v>47</v>
      </c>
      <c r="G4906" s="4" t="n">
        <v>2</v>
      </c>
      <c r="H4906" s="4" t="n">
        <v>1</v>
      </c>
      <c r="I4906" s="4" t="str">
        <v>○</v>
      </c>
      <c r="J4906" s="4" t="n">
        <v>160</v>
      </c>
      <c r="K4906" s="4"/>
      <c r="L4906" s="4"/>
      <c r="M4906" s="7" t="s">
        <v>3577</v>
      </c>
    </row>
    <row r="4907" customFormat="false" ht="15.75" hidden="false" customHeight="false" outlineLevel="0" collapsed="false">
      <c r="A4907" s="3" t="n">
        <v>46236</v>
      </c>
      <c r="B4907" s="4" t="s">
        <v>13</v>
      </c>
      <c r="C4907" s="4" t="n">
        <v>7</v>
      </c>
      <c r="D4907" s="4" t="n">
        <v>7</v>
      </c>
      <c r="E4907" s="4" t="s">
        <v>4050</v>
      </c>
      <c r="F4907" s="4" t="n">
        <v>1</v>
      </c>
      <c r="G4907" s="4" t="n">
        <v>15</v>
      </c>
      <c r="H4907" s="4" t="n">
        <v>4</v>
      </c>
      <c r="I4907" s="4" t="str">
        <v>×</v>
      </c>
      <c r="J4907" s="4"/>
      <c r="K4907" s="4"/>
      <c r="L4907" s="4"/>
      <c r="M4907" s="7" t="s">
        <v>3577</v>
      </c>
    </row>
    <row r="4908" customFormat="false" ht="15.75" hidden="false" customHeight="false" outlineLevel="0" collapsed="false">
      <c r="A4908" s="3" t="n">
        <v>46236</v>
      </c>
      <c r="B4908" s="4" t="s">
        <v>13</v>
      </c>
      <c r="C4908" s="4" t="n">
        <v>7</v>
      </c>
      <c r="D4908" s="4" t="n">
        <v>8</v>
      </c>
      <c r="E4908" s="4" t="s">
        <v>4051</v>
      </c>
      <c r="F4908" s="4" t="n">
        <v>4</v>
      </c>
      <c r="G4908" s="4" t="n">
        <v>14</v>
      </c>
      <c r="H4908" s="4" t="n">
        <v>4</v>
      </c>
      <c r="I4908" s="4" t="str">
        <v>×</v>
      </c>
      <c r="J4908" s="4"/>
      <c r="K4908" s="4"/>
      <c r="L4908" s="4"/>
      <c r="M4908" s="7" t="s">
        <v>3577</v>
      </c>
    </row>
    <row r="4909" customFormat="false" ht="15.75" hidden="false" customHeight="false" outlineLevel="0" collapsed="false">
      <c r="A4909" s="3" t="n">
        <v>46236</v>
      </c>
      <c r="B4909" s="4" t="s">
        <v>13</v>
      </c>
      <c r="C4909" s="4" t="n">
        <v>7</v>
      </c>
      <c r="D4909" s="4" t="n">
        <v>9</v>
      </c>
      <c r="E4909" s="4" t="s">
        <v>2000</v>
      </c>
      <c r="F4909" s="4" t="n">
        <v>13</v>
      </c>
      <c r="G4909" s="4" t="n">
        <v>9</v>
      </c>
      <c r="H4909" s="4" t="n">
        <v>4</v>
      </c>
      <c r="I4909" s="4" t="str">
        <v>×</v>
      </c>
      <c r="J4909" s="4"/>
      <c r="K4909" s="4"/>
      <c r="L4909" s="4"/>
      <c r="M4909" s="7" t="s">
        <v>3577</v>
      </c>
    </row>
    <row r="4910" customFormat="false" ht="15.75" hidden="false" customHeight="false" outlineLevel="0" collapsed="false">
      <c r="A4910" s="3" t="n">
        <v>46236</v>
      </c>
      <c r="B4910" s="4" t="s">
        <v>13</v>
      </c>
      <c r="C4910" s="4" t="n">
        <v>7</v>
      </c>
      <c r="D4910" s="4" t="n">
        <v>10</v>
      </c>
      <c r="E4910" s="4" t="s">
        <v>4052</v>
      </c>
      <c r="F4910" s="4" t="n">
        <v>20</v>
      </c>
      <c r="G4910" s="4" t="n">
        <v>6</v>
      </c>
      <c r="H4910" s="4" t="n">
        <v>4</v>
      </c>
      <c r="I4910" s="4" t="str">
        <v>×</v>
      </c>
      <c r="J4910" s="4"/>
      <c r="K4910" s="4"/>
      <c r="L4910" s="4"/>
      <c r="M4910" s="7" t="s">
        <v>3577</v>
      </c>
    </row>
    <row r="4911" customFormat="false" ht="15.75" hidden="false" customHeight="false" outlineLevel="0" collapsed="false">
      <c r="A4911" s="3" t="n">
        <v>46236</v>
      </c>
      <c r="B4911" s="4" t="s">
        <v>13</v>
      </c>
      <c r="C4911" s="4" t="n">
        <v>7</v>
      </c>
      <c r="D4911" s="4" t="n">
        <v>11</v>
      </c>
      <c r="E4911" s="4" t="s">
        <v>1211</v>
      </c>
      <c r="F4911" s="4" t="n">
        <v>6</v>
      </c>
      <c r="G4911" s="4" t="n">
        <v>11</v>
      </c>
      <c r="H4911" s="4" t="n">
        <v>2</v>
      </c>
      <c r="I4911" s="4" t="str">
        <v>○</v>
      </c>
      <c r="J4911" s="4" t="n">
        <v>1280</v>
      </c>
      <c r="K4911" s="4"/>
      <c r="L4911" s="4"/>
      <c r="M4911" s="7" t="s">
        <v>3577</v>
      </c>
    </row>
    <row r="4912" customFormat="false" ht="15.75" hidden="false" customHeight="false" outlineLevel="0" collapsed="false">
      <c r="A4912" s="3" t="n">
        <v>46236</v>
      </c>
      <c r="B4912" s="4" t="s">
        <v>13</v>
      </c>
      <c r="C4912" s="4" t="n">
        <v>7</v>
      </c>
      <c r="D4912" s="4" t="n">
        <v>12</v>
      </c>
      <c r="E4912" s="4" t="s">
        <v>1998</v>
      </c>
      <c r="F4912" s="4" t="n">
        <v>15</v>
      </c>
      <c r="G4912" s="4" t="n">
        <v>8</v>
      </c>
      <c r="H4912" s="4" t="n">
        <v>4</v>
      </c>
      <c r="I4912" s="4" t="str">
        <v>×</v>
      </c>
      <c r="J4912" s="4"/>
      <c r="K4912" s="4"/>
      <c r="L4912" s="4"/>
      <c r="M4912" s="7" t="s">
        <v>3577</v>
      </c>
    </row>
    <row r="4913" customFormat="false" ht="15.75" hidden="false" customHeight="false" outlineLevel="0" collapsed="false">
      <c r="A4913" s="3" t="n">
        <v>46236</v>
      </c>
      <c r="B4913" s="4" t="s">
        <v>13</v>
      </c>
      <c r="C4913" s="4" t="n">
        <v>7</v>
      </c>
      <c r="D4913" s="4" t="n">
        <v>13</v>
      </c>
      <c r="E4913" s="4" t="s">
        <v>4053</v>
      </c>
      <c r="F4913" s="4" t="n">
        <v>6</v>
      </c>
      <c r="G4913" s="4" t="n">
        <v>11</v>
      </c>
      <c r="H4913" s="4" t="n">
        <v>4</v>
      </c>
      <c r="I4913" s="4" t="str">
        <v>×</v>
      </c>
      <c r="J4913" s="4"/>
      <c r="K4913" s="4"/>
      <c r="L4913" s="4"/>
      <c r="M4913" s="7" t="s">
        <v>3577</v>
      </c>
    </row>
    <row r="4914" customFormat="false" ht="15.75" hidden="false" customHeight="false" outlineLevel="0" collapsed="false">
      <c r="A4914" s="3" t="n">
        <v>46236</v>
      </c>
      <c r="B4914" s="4" t="s">
        <v>13</v>
      </c>
      <c r="C4914" s="4" t="n">
        <v>7</v>
      </c>
      <c r="D4914" s="4" t="n">
        <v>14</v>
      </c>
      <c r="E4914" s="4" t="s">
        <v>4054</v>
      </c>
      <c r="F4914" s="4" t="n">
        <v>1</v>
      </c>
      <c r="G4914" s="4" t="n">
        <v>15</v>
      </c>
      <c r="H4914" s="4" t="n">
        <v>4</v>
      </c>
      <c r="I4914" s="4" t="str">
        <v>×</v>
      </c>
      <c r="J4914" s="4"/>
      <c r="K4914" s="4"/>
      <c r="L4914" s="4"/>
      <c r="M4914" s="7" t="s">
        <v>3577</v>
      </c>
    </row>
    <row r="4915" customFormat="false" ht="15.75" hidden="false" customHeight="false" outlineLevel="0" collapsed="false">
      <c r="A4915" s="3" t="n">
        <v>46236</v>
      </c>
      <c r="B4915" s="4" t="s">
        <v>13</v>
      </c>
      <c r="C4915" s="4" t="n">
        <v>7</v>
      </c>
      <c r="D4915" s="4" t="n">
        <v>15</v>
      </c>
      <c r="E4915" s="4" t="s">
        <v>1986</v>
      </c>
      <c r="F4915" s="4" t="n">
        <v>6</v>
      </c>
      <c r="G4915" s="4" t="n">
        <v>11</v>
      </c>
      <c r="H4915" s="4" t="n">
        <v>4</v>
      </c>
      <c r="I4915" s="4" t="str">
        <v>×</v>
      </c>
      <c r="J4915" s="4"/>
      <c r="K4915" s="4"/>
      <c r="L4915" s="4"/>
      <c r="M4915" s="7" t="s">
        <v>3577</v>
      </c>
    </row>
    <row r="4916" customFormat="false" ht="15.75" hidden="false" customHeight="false" outlineLevel="0" collapsed="false">
      <c r="A4916" s="3" t="n">
        <v>46236</v>
      </c>
      <c r="B4916" s="4" t="s">
        <v>13</v>
      </c>
      <c r="C4916" s="4" t="n">
        <v>7</v>
      </c>
      <c r="D4916" s="4" t="n">
        <v>16</v>
      </c>
      <c r="E4916" s="4" t="s">
        <v>4055</v>
      </c>
      <c r="F4916" s="4" t="n">
        <v>55</v>
      </c>
      <c r="G4916" s="4" t="n">
        <v>1</v>
      </c>
      <c r="H4916" s="4" t="n">
        <v>4</v>
      </c>
      <c r="I4916" s="4" t="str">
        <v>×</v>
      </c>
      <c r="J4916" s="4"/>
      <c r="K4916" s="4"/>
      <c r="L4916" s="4"/>
      <c r="M4916" s="7" t="s">
        <v>3577</v>
      </c>
    </row>
    <row r="4917" customFormat="false" ht="15.75" hidden="false" customHeight="false" outlineLevel="0" collapsed="false">
      <c r="A4917" s="3" t="n">
        <v>46236</v>
      </c>
      <c r="B4917" s="4" t="s">
        <v>13</v>
      </c>
      <c r="C4917" s="4" t="n">
        <v>7</v>
      </c>
      <c r="D4917" s="4" t="n">
        <v>17</v>
      </c>
      <c r="E4917" s="4" t="s">
        <v>4056</v>
      </c>
      <c r="F4917" s="4" t="n">
        <v>37</v>
      </c>
      <c r="G4917" s="4" t="n">
        <v>3</v>
      </c>
      <c r="H4917" s="4" t="n">
        <v>4</v>
      </c>
      <c r="I4917" s="4" t="str">
        <v>×</v>
      </c>
      <c r="J4917" s="4"/>
      <c r="K4917" s="4"/>
      <c r="L4917" s="4"/>
      <c r="M4917" s="7" t="s">
        <v>3577</v>
      </c>
    </row>
    <row r="4918" customFormat="false" ht="15.75" hidden="false" customHeight="false" outlineLevel="0" collapsed="false">
      <c r="A4918" s="3" t="n">
        <v>46236</v>
      </c>
      <c r="B4918" s="4" t="s">
        <v>13</v>
      </c>
      <c r="C4918" s="4" t="n">
        <v>8</v>
      </c>
      <c r="D4918" s="4" t="n">
        <v>1</v>
      </c>
      <c r="E4918" s="4" t="s">
        <v>4057</v>
      </c>
      <c r="F4918" s="4" t="n">
        <v>60</v>
      </c>
      <c r="G4918" s="4" t="n">
        <v>1</v>
      </c>
      <c r="H4918" s="4" t="n">
        <v>2</v>
      </c>
      <c r="I4918" s="4" t="str">
        <v>○</v>
      </c>
      <c r="J4918" s="4" t="n">
        <v>350</v>
      </c>
      <c r="K4918" s="4"/>
      <c r="L4918" s="4"/>
      <c r="M4918" s="7" t="s">
        <v>3577</v>
      </c>
    </row>
    <row r="4919" customFormat="false" ht="15.75" hidden="false" customHeight="false" outlineLevel="0" collapsed="false">
      <c r="A4919" s="3" t="n">
        <v>46236</v>
      </c>
      <c r="B4919" s="4" t="s">
        <v>13</v>
      </c>
      <c r="C4919" s="4" t="n">
        <v>8</v>
      </c>
      <c r="D4919" s="4" t="n">
        <v>2</v>
      </c>
      <c r="E4919" s="4" t="s">
        <v>4058</v>
      </c>
      <c r="F4919" s="4" t="n">
        <v>34</v>
      </c>
      <c r="G4919" s="4" t="n">
        <v>3</v>
      </c>
      <c r="H4919" s="4" t="n">
        <v>4</v>
      </c>
      <c r="I4919" s="4" t="str">
        <v>×</v>
      </c>
      <c r="J4919" s="4"/>
      <c r="K4919" s="4"/>
      <c r="L4919" s="4"/>
      <c r="M4919" s="7" t="s">
        <v>3577</v>
      </c>
    </row>
    <row r="4920" customFormat="false" ht="15.75" hidden="false" customHeight="false" outlineLevel="0" collapsed="false">
      <c r="A4920" s="3" t="n">
        <v>46236</v>
      </c>
      <c r="B4920" s="4" t="s">
        <v>13</v>
      </c>
      <c r="C4920" s="4" t="n">
        <v>8</v>
      </c>
      <c r="D4920" s="4" t="n">
        <v>3</v>
      </c>
      <c r="E4920" s="4" t="s">
        <v>4059</v>
      </c>
      <c r="F4920" s="4" t="n">
        <v>25</v>
      </c>
      <c r="G4920" s="4" t="n">
        <v>8</v>
      </c>
      <c r="H4920" s="4" t="n">
        <v>4</v>
      </c>
      <c r="I4920" s="4" t="str">
        <v>×</v>
      </c>
      <c r="J4920" s="4"/>
      <c r="K4920" s="4"/>
      <c r="L4920" s="4"/>
      <c r="M4920" s="7" t="s">
        <v>3577</v>
      </c>
    </row>
    <row r="4921" customFormat="false" ht="15.75" hidden="false" customHeight="false" outlineLevel="0" collapsed="false">
      <c r="A4921" s="3" t="n">
        <v>46236</v>
      </c>
      <c r="B4921" s="4" t="s">
        <v>13</v>
      </c>
      <c r="C4921" s="4" t="n">
        <v>8</v>
      </c>
      <c r="D4921" s="4" t="n">
        <v>4</v>
      </c>
      <c r="E4921" s="4" t="s">
        <v>4060</v>
      </c>
      <c r="F4921" s="4" t="n">
        <v>29</v>
      </c>
      <c r="G4921" s="4" t="n">
        <v>5</v>
      </c>
      <c r="H4921" s="4" t="n">
        <v>1</v>
      </c>
      <c r="I4921" s="4" t="str">
        <v>○</v>
      </c>
      <c r="J4921" s="4" t="n">
        <v>580</v>
      </c>
      <c r="K4921" s="4"/>
      <c r="L4921" s="4"/>
      <c r="M4921" s="7" t="s">
        <v>3577</v>
      </c>
    </row>
    <row r="4922" customFormat="false" ht="15.75" hidden="false" customHeight="false" outlineLevel="0" collapsed="false">
      <c r="A4922" s="3" t="n">
        <v>46236</v>
      </c>
      <c r="B4922" s="4" t="s">
        <v>13</v>
      </c>
      <c r="C4922" s="4" t="n">
        <v>8</v>
      </c>
      <c r="D4922" s="4" t="n">
        <v>5</v>
      </c>
      <c r="E4922" s="4" t="s">
        <v>4061</v>
      </c>
      <c r="F4922" s="4" t="n">
        <v>34</v>
      </c>
      <c r="G4922" s="4" t="n">
        <v>3</v>
      </c>
      <c r="H4922" s="4" t="n">
        <v>4</v>
      </c>
      <c r="I4922" s="4" t="str">
        <v>×</v>
      </c>
      <c r="J4922" s="4"/>
      <c r="K4922" s="4"/>
      <c r="L4922" s="4"/>
      <c r="M4922" s="7" t="s">
        <v>3577</v>
      </c>
    </row>
    <row r="4923" customFormat="false" ht="15.75" hidden="false" customHeight="false" outlineLevel="0" collapsed="false">
      <c r="A4923" s="3" t="n">
        <v>46236</v>
      </c>
      <c r="B4923" s="4" t="s">
        <v>13</v>
      </c>
      <c r="C4923" s="4" t="n">
        <v>8</v>
      </c>
      <c r="D4923" s="4" t="n">
        <v>6</v>
      </c>
      <c r="E4923" s="4" t="s">
        <v>2387</v>
      </c>
      <c r="F4923" s="4" t="n">
        <v>8</v>
      </c>
      <c r="G4923" s="4" t="n">
        <v>14</v>
      </c>
      <c r="H4923" s="4" t="n">
        <v>4</v>
      </c>
      <c r="I4923" s="4" t="str">
        <v>×</v>
      </c>
      <c r="J4923" s="4"/>
      <c r="K4923" s="4"/>
      <c r="L4923" s="4"/>
      <c r="M4923" s="7" t="s">
        <v>3577</v>
      </c>
    </row>
    <row r="4924" customFormat="false" ht="15.75" hidden="false" customHeight="false" outlineLevel="0" collapsed="false">
      <c r="A4924" s="3" t="n">
        <v>46236</v>
      </c>
      <c r="B4924" s="4" t="s">
        <v>13</v>
      </c>
      <c r="C4924" s="4" t="n">
        <v>8</v>
      </c>
      <c r="D4924" s="4" t="n">
        <v>7</v>
      </c>
      <c r="E4924" s="4" t="s">
        <v>4062</v>
      </c>
      <c r="F4924" s="4" t="n">
        <v>29</v>
      </c>
      <c r="G4924" s="4" t="n">
        <v>5</v>
      </c>
      <c r="H4924" s="4" t="n">
        <v>4</v>
      </c>
      <c r="I4924" s="4" t="str">
        <v>×</v>
      </c>
      <c r="J4924" s="4"/>
      <c r="K4924" s="4"/>
      <c r="L4924" s="4"/>
      <c r="M4924" s="7" t="s">
        <v>3577</v>
      </c>
    </row>
    <row r="4925" customFormat="false" ht="15.75" hidden="false" customHeight="false" outlineLevel="0" collapsed="false">
      <c r="A4925" s="3" t="n">
        <v>46236</v>
      </c>
      <c r="B4925" s="4" t="s">
        <v>13</v>
      </c>
      <c r="C4925" s="4" t="n">
        <v>8</v>
      </c>
      <c r="D4925" s="4" t="n">
        <v>8</v>
      </c>
      <c r="E4925" s="4" t="s">
        <v>4063</v>
      </c>
      <c r="F4925" s="4" t="n">
        <v>44</v>
      </c>
      <c r="G4925" s="4" t="n">
        <v>2</v>
      </c>
      <c r="H4925" s="4" t="n">
        <v>3</v>
      </c>
      <c r="I4925" s="4" t="str">
        <v>○</v>
      </c>
      <c r="J4925" s="4" t="n">
        <v>180</v>
      </c>
      <c r="K4925" s="4"/>
      <c r="L4925" s="4"/>
      <c r="M4925" s="7" t="s">
        <v>3577</v>
      </c>
    </row>
    <row r="4926" customFormat="false" ht="15.75" hidden="false" customHeight="false" outlineLevel="0" collapsed="false">
      <c r="A4926" s="3" t="n">
        <v>46236</v>
      </c>
      <c r="B4926" s="4" t="s">
        <v>13</v>
      </c>
      <c r="C4926" s="4" t="n">
        <v>8</v>
      </c>
      <c r="D4926" s="4" t="n">
        <v>9</v>
      </c>
      <c r="E4926" s="4" t="s">
        <v>2380</v>
      </c>
      <c r="F4926" s="4" t="n">
        <v>23</v>
      </c>
      <c r="G4926" s="4" t="n">
        <v>9</v>
      </c>
      <c r="H4926" s="4" t="n">
        <v>4</v>
      </c>
      <c r="I4926" s="4" t="str">
        <v>×</v>
      </c>
      <c r="J4926" s="4"/>
      <c r="K4926" s="4"/>
      <c r="L4926" s="4"/>
      <c r="M4926" s="7" t="s">
        <v>3577</v>
      </c>
    </row>
    <row r="4927" customFormat="false" ht="15.75" hidden="false" customHeight="false" outlineLevel="0" collapsed="false">
      <c r="A4927" s="3" t="n">
        <v>46236</v>
      </c>
      <c r="B4927" s="4" t="s">
        <v>13</v>
      </c>
      <c r="C4927" s="4" t="n">
        <v>8</v>
      </c>
      <c r="D4927" s="4" t="n">
        <v>10</v>
      </c>
      <c r="E4927" s="4" t="s">
        <v>2385</v>
      </c>
      <c r="F4927" s="4" t="n">
        <v>13</v>
      </c>
      <c r="G4927" s="4" t="n">
        <v>12</v>
      </c>
      <c r="H4927" s="4" t="n">
        <v>4</v>
      </c>
      <c r="I4927" s="4" t="str">
        <v>×</v>
      </c>
      <c r="J4927" s="4"/>
      <c r="K4927" s="4"/>
      <c r="L4927" s="4"/>
      <c r="M4927" s="7" t="s">
        <v>3577</v>
      </c>
    </row>
    <row r="4928" customFormat="false" ht="15.75" hidden="false" customHeight="false" outlineLevel="0" collapsed="false">
      <c r="A4928" s="3" t="n">
        <v>46236</v>
      </c>
      <c r="B4928" s="4" t="s">
        <v>13</v>
      </c>
      <c r="C4928" s="4" t="n">
        <v>8</v>
      </c>
      <c r="D4928" s="4" t="n">
        <v>11</v>
      </c>
      <c r="E4928" s="4" t="s">
        <v>1940</v>
      </c>
      <c r="F4928" s="4" t="n">
        <v>17</v>
      </c>
      <c r="G4928" s="4" t="n">
        <v>11</v>
      </c>
      <c r="H4928" s="4" t="n">
        <v>4</v>
      </c>
      <c r="I4928" s="4" t="str">
        <v>×</v>
      </c>
      <c r="J4928" s="4"/>
      <c r="K4928" s="4"/>
      <c r="L4928" s="4"/>
      <c r="M4928" s="7" t="s">
        <v>3577</v>
      </c>
    </row>
    <row r="4929" customFormat="false" ht="15.75" hidden="false" customHeight="false" outlineLevel="0" collapsed="false">
      <c r="A4929" s="3" t="n">
        <v>46236</v>
      </c>
      <c r="B4929" s="4" t="s">
        <v>13</v>
      </c>
      <c r="C4929" s="4" t="n">
        <v>8</v>
      </c>
      <c r="D4929" s="4" t="n">
        <v>12</v>
      </c>
      <c r="E4929" s="4" t="s">
        <v>4064</v>
      </c>
      <c r="F4929" s="4" t="n">
        <v>20</v>
      </c>
      <c r="G4929" s="4" t="n">
        <v>10</v>
      </c>
      <c r="H4929" s="4" t="n">
        <v>4</v>
      </c>
      <c r="I4929" s="4" t="str">
        <v>×</v>
      </c>
      <c r="J4929" s="4"/>
      <c r="K4929" s="4"/>
      <c r="L4929" s="4"/>
      <c r="M4929" s="7" t="s">
        <v>3577</v>
      </c>
    </row>
    <row r="4930" customFormat="false" ht="15.75" hidden="false" customHeight="false" outlineLevel="0" collapsed="false">
      <c r="A4930" s="3" t="n">
        <v>46236</v>
      </c>
      <c r="B4930" s="4" t="s">
        <v>13</v>
      </c>
      <c r="C4930" s="4" t="n">
        <v>8</v>
      </c>
      <c r="D4930" s="4" t="n">
        <v>13</v>
      </c>
      <c r="E4930" s="4" t="s">
        <v>4065</v>
      </c>
      <c r="F4930" s="4" t="n">
        <v>29</v>
      </c>
      <c r="G4930" s="4" t="n">
        <v>5</v>
      </c>
      <c r="H4930" s="4" t="n">
        <v>4</v>
      </c>
      <c r="I4930" s="4" t="str">
        <v>×</v>
      </c>
      <c r="J4930" s="4"/>
      <c r="K4930" s="4"/>
      <c r="L4930" s="4"/>
      <c r="M4930" s="7" t="s">
        <v>3577</v>
      </c>
    </row>
    <row r="4931" customFormat="false" ht="15.75" hidden="false" customHeight="false" outlineLevel="0" collapsed="false">
      <c r="A4931" s="3" t="n">
        <v>46236</v>
      </c>
      <c r="B4931" s="4" t="s">
        <v>13</v>
      </c>
      <c r="C4931" s="4" t="n">
        <v>8</v>
      </c>
      <c r="D4931" s="4" t="n">
        <v>14</v>
      </c>
      <c r="E4931" s="4" t="s">
        <v>2383</v>
      </c>
      <c r="F4931" s="4" t="n">
        <v>13</v>
      </c>
      <c r="G4931" s="4" t="n">
        <v>12</v>
      </c>
      <c r="H4931" s="4" t="n">
        <v>4</v>
      </c>
      <c r="I4931" s="4" t="str">
        <v>×</v>
      </c>
      <c r="J4931" s="4"/>
      <c r="K4931" s="4"/>
      <c r="L4931" s="4"/>
      <c r="M4931" s="7" t="s">
        <v>3577</v>
      </c>
    </row>
    <row r="4932" customFormat="false" ht="15.75" hidden="false" customHeight="false" outlineLevel="0" collapsed="false">
      <c r="A4932" s="3" t="n">
        <v>46236</v>
      </c>
      <c r="B4932" s="4" t="s">
        <v>13</v>
      </c>
      <c r="C4932" s="4" t="n">
        <v>9</v>
      </c>
      <c r="D4932" s="4" t="n">
        <v>1</v>
      </c>
      <c r="E4932" s="4" t="s">
        <v>1547</v>
      </c>
      <c r="F4932" s="4" t="n">
        <v>2</v>
      </c>
      <c r="G4932" s="4" t="n">
        <v>14</v>
      </c>
      <c r="H4932" s="4" t="n">
        <v>4</v>
      </c>
      <c r="I4932" s="4" t="str">
        <v>×</v>
      </c>
      <c r="J4932" s="4"/>
      <c r="K4932" s="4"/>
      <c r="L4932" s="4"/>
      <c r="M4932" s="7" t="s">
        <v>3577</v>
      </c>
    </row>
    <row r="4933" customFormat="false" ht="15.75" hidden="false" customHeight="false" outlineLevel="0" collapsed="false">
      <c r="A4933" s="3" t="n">
        <v>46236</v>
      </c>
      <c r="B4933" s="4" t="s">
        <v>13</v>
      </c>
      <c r="C4933" s="4" t="n">
        <v>9</v>
      </c>
      <c r="D4933" s="4" t="n">
        <v>2</v>
      </c>
      <c r="E4933" s="4" t="s">
        <v>4066</v>
      </c>
      <c r="F4933" s="4" t="n">
        <v>56</v>
      </c>
      <c r="G4933" s="4" t="n">
        <v>1</v>
      </c>
      <c r="H4933" s="4" t="n">
        <v>3</v>
      </c>
      <c r="I4933" s="4" t="str">
        <v>○</v>
      </c>
      <c r="J4933" s="4" t="n">
        <v>180</v>
      </c>
      <c r="K4933" s="4"/>
      <c r="L4933" s="4"/>
      <c r="M4933" s="7" t="s">
        <v>3577</v>
      </c>
    </row>
    <row r="4934" customFormat="false" ht="15.75" hidden="false" customHeight="false" outlineLevel="0" collapsed="false">
      <c r="A4934" s="3" t="n">
        <v>46236</v>
      </c>
      <c r="B4934" s="4" t="s">
        <v>13</v>
      </c>
      <c r="C4934" s="4" t="n">
        <v>9</v>
      </c>
      <c r="D4934" s="4" t="n">
        <v>3</v>
      </c>
      <c r="E4934" s="4" t="s">
        <v>4067</v>
      </c>
      <c r="F4934" s="4" t="n">
        <v>4</v>
      </c>
      <c r="G4934" s="4" t="n">
        <v>13</v>
      </c>
      <c r="H4934" s="4" t="n">
        <v>4</v>
      </c>
      <c r="I4934" s="4" t="str">
        <v>×</v>
      </c>
      <c r="J4934" s="4"/>
      <c r="K4934" s="4"/>
      <c r="L4934" s="4"/>
      <c r="M4934" s="7" t="s">
        <v>3577</v>
      </c>
    </row>
    <row r="4935" customFormat="false" ht="15.75" hidden="false" customHeight="false" outlineLevel="0" collapsed="false">
      <c r="A4935" s="3" t="n">
        <v>46236</v>
      </c>
      <c r="B4935" s="4" t="s">
        <v>13</v>
      </c>
      <c r="C4935" s="4" t="n">
        <v>9</v>
      </c>
      <c r="D4935" s="4" t="n">
        <v>4</v>
      </c>
      <c r="E4935" s="4" t="s">
        <v>1946</v>
      </c>
      <c r="F4935" s="4" t="n">
        <v>6</v>
      </c>
      <c r="G4935" s="4" t="n">
        <v>12</v>
      </c>
      <c r="H4935" s="4" t="n">
        <v>4</v>
      </c>
      <c r="I4935" s="4" t="str">
        <v>×</v>
      </c>
      <c r="J4935" s="4"/>
      <c r="K4935" s="4"/>
      <c r="L4935" s="4"/>
      <c r="M4935" s="7" t="s">
        <v>3577</v>
      </c>
    </row>
    <row r="4936" customFormat="false" ht="15.75" hidden="false" customHeight="false" outlineLevel="0" collapsed="false">
      <c r="A4936" s="3" t="n">
        <v>46236</v>
      </c>
      <c r="B4936" s="4" t="s">
        <v>13</v>
      </c>
      <c r="C4936" s="4" t="n">
        <v>9</v>
      </c>
      <c r="D4936" s="4" t="n">
        <v>5</v>
      </c>
      <c r="E4936" s="4" t="s">
        <v>4068</v>
      </c>
      <c r="F4936" s="4" t="n">
        <v>31</v>
      </c>
      <c r="G4936" s="4" t="n">
        <v>4</v>
      </c>
      <c r="H4936" s="4" t="n">
        <v>4</v>
      </c>
      <c r="I4936" s="4" t="str">
        <v>×</v>
      </c>
      <c r="J4936" s="4"/>
      <c r="K4936" s="4"/>
      <c r="L4936" s="4"/>
      <c r="M4936" s="7" t="s">
        <v>3577</v>
      </c>
    </row>
    <row r="4937" customFormat="false" ht="15.75" hidden="false" customHeight="false" outlineLevel="0" collapsed="false">
      <c r="A4937" s="3" t="n">
        <v>46236</v>
      </c>
      <c r="B4937" s="4" t="s">
        <v>13</v>
      </c>
      <c r="C4937" s="4" t="n">
        <v>9</v>
      </c>
      <c r="D4937" s="4" t="n">
        <v>6</v>
      </c>
      <c r="E4937" s="4" t="s">
        <v>2002</v>
      </c>
      <c r="F4937" s="4" t="n">
        <v>8</v>
      </c>
      <c r="G4937" s="4" t="n">
        <v>11</v>
      </c>
      <c r="H4937" s="4" t="n">
        <v>1</v>
      </c>
      <c r="I4937" s="4" t="str">
        <v>○</v>
      </c>
      <c r="J4937" s="4" t="n">
        <v>490</v>
      </c>
      <c r="K4937" s="4"/>
      <c r="L4937" s="4"/>
      <c r="M4937" s="7" t="s">
        <v>3577</v>
      </c>
    </row>
    <row r="4938" customFormat="false" ht="15.75" hidden="false" customHeight="false" outlineLevel="0" collapsed="false">
      <c r="A4938" s="3" t="n">
        <v>46236</v>
      </c>
      <c r="B4938" s="4" t="s">
        <v>13</v>
      </c>
      <c r="C4938" s="4" t="n">
        <v>9</v>
      </c>
      <c r="D4938" s="4" t="n">
        <v>7</v>
      </c>
      <c r="E4938" s="4" t="s">
        <v>4069</v>
      </c>
      <c r="F4938" s="4" t="n">
        <v>17</v>
      </c>
      <c r="G4938" s="4" t="n">
        <v>6</v>
      </c>
      <c r="H4938" s="4" t="n">
        <v>4</v>
      </c>
      <c r="I4938" s="4" t="str">
        <v>×</v>
      </c>
      <c r="J4938" s="4"/>
      <c r="K4938" s="4"/>
      <c r="L4938" s="4"/>
      <c r="M4938" s="7" t="s">
        <v>3577</v>
      </c>
    </row>
    <row r="4939" customFormat="false" ht="15.75" hidden="false" customHeight="false" outlineLevel="0" collapsed="false">
      <c r="A4939" s="3" t="n">
        <v>46236</v>
      </c>
      <c r="B4939" s="4" t="s">
        <v>13</v>
      </c>
      <c r="C4939" s="4" t="n">
        <v>9</v>
      </c>
      <c r="D4939" s="4" t="n">
        <v>8</v>
      </c>
      <c r="E4939" s="4" t="s">
        <v>4070</v>
      </c>
      <c r="F4939" s="4" t="n">
        <v>17</v>
      </c>
      <c r="G4939" s="4" t="n">
        <v>6</v>
      </c>
      <c r="H4939" s="4" t="n">
        <v>4</v>
      </c>
      <c r="I4939" s="4" t="str">
        <v>×</v>
      </c>
      <c r="J4939" s="4"/>
      <c r="K4939" s="4"/>
      <c r="L4939" s="4"/>
      <c r="M4939" s="7" t="s">
        <v>3577</v>
      </c>
    </row>
    <row r="4940" customFormat="false" ht="15.75" hidden="false" customHeight="false" outlineLevel="0" collapsed="false">
      <c r="A4940" s="3" t="n">
        <v>46236</v>
      </c>
      <c r="B4940" s="4" t="s">
        <v>13</v>
      </c>
      <c r="C4940" s="4" t="n">
        <v>9</v>
      </c>
      <c r="D4940" s="4" t="n">
        <v>9</v>
      </c>
      <c r="E4940" s="4" t="s">
        <v>4071</v>
      </c>
      <c r="F4940" s="4" t="n">
        <v>23</v>
      </c>
      <c r="G4940" s="4" t="n">
        <v>5</v>
      </c>
      <c r="H4940" s="4" t="n">
        <v>4</v>
      </c>
      <c r="I4940" s="4" t="str">
        <v>×</v>
      </c>
      <c r="J4940" s="4"/>
      <c r="K4940" s="4"/>
      <c r="L4940" s="4"/>
      <c r="M4940" s="7" t="s">
        <v>3577</v>
      </c>
    </row>
    <row r="4941" customFormat="false" ht="15.75" hidden="false" customHeight="false" outlineLevel="0" collapsed="false">
      <c r="A4941" s="3" t="n">
        <v>46236</v>
      </c>
      <c r="B4941" s="4" t="s">
        <v>13</v>
      </c>
      <c r="C4941" s="4" t="n">
        <v>9</v>
      </c>
      <c r="D4941" s="4" t="n">
        <v>10</v>
      </c>
      <c r="E4941" s="4" t="s">
        <v>4072</v>
      </c>
      <c r="F4941" s="4" t="n">
        <v>17</v>
      </c>
      <c r="G4941" s="4" t="n">
        <v>6</v>
      </c>
      <c r="H4941" s="4" t="n">
        <v>4</v>
      </c>
      <c r="I4941" s="4" t="str">
        <v>×</v>
      </c>
      <c r="J4941" s="4"/>
      <c r="K4941" s="4"/>
      <c r="L4941" s="4"/>
      <c r="M4941" s="7" t="s">
        <v>3577</v>
      </c>
    </row>
    <row r="4942" customFormat="false" ht="15.75" hidden="false" customHeight="false" outlineLevel="0" collapsed="false">
      <c r="A4942" s="3" t="n">
        <v>46236</v>
      </c>
      <c r="B4942" s="4" t="s">
        <v>13</v>
      </c>
      <c r="C4942" s="4" t="n">
        <v>9</v>
      </c>
      <c r="D4942" s="4" t="n">
        <v>11</v>
      </c>
      <c r="E4942" s="4" t="s">
        <v>4073</v>
      </c>
      <c r="F4942" s="4" t="n">
        <v>39</v>
      </c>
      <c r="G4942" s="4" t="n">
        <v>3</v>
      </c>
      <c r="H4942" s="4" t="n">
        <v>4</v>
      </c>
      <c r="I4942" s="4" t="str">
        <v>×</v>
      </c>
      <c r="J4942" s="4"/>
      <c r="K4942" s="4"/>
      <c r="L4942" s="4"/>
      <c r="M4942" s="7" t="s">
        <v>3577</v>
      </c>
    </row>
    <row r="4943" customFormat="false" ht="15.75" hidden="false" customHeight="false" outlineLevel="0" collapsed="false">
      <c r="A4943" s="3" t="n">
        <v>46236</v>
      </c>
      <c r="B4943" s="4" t="s">
        <v>13</v>
      </c>
      <c r="C4943" s="4" t="n">
        <v>9</v>
      </c>
      <c r="D4943" s="4" t="n">
        <v>12</v>
      </c>
      <c r="E4943" s="4" t="s">
        <v>4074</v>
      </c>
      <c r="F4943" s="4" t="n">
        <v>13</v>
      </c>
      <c r="G4943" s="4" t="n">
        <v>9</v>
      </c>
      <c r="H4943" s="4" t="n">
        <v>4</v>
      </c>
      <c r="I4943" s="4" t="str">
        <v>×</v>
      </c>
      <c r="J4943" s="4"/>
      <c r="K4943" s="4"/>
      <c r="L4943" s="4"/>
      <c r="M4943" s="7" t="s">
        <v>3577</v>
      </c>
    </row>
    <row r="4944" customFormat="false" ht="15.75" hidden="false" customHeight="false" outlineLevel="0" collapsed="false">
      <c r="A4944" s="3" t="n">
        <v>46236</v>
      </c>
      <c r="B4944" s="4" t="s">
        <v>13</v>
      </c>
      <c r="C4944" s="4" t="n">
        <v>9</v>
      </c>
      <c r="D4944" s="4" t="n">
        <v>13</v>
      </c>
      <c r="E4944" s="4" t="s">
        <v>2013</v>
      </c>
      <c r="F4944" s="4" t="n">
        <v>52</v>
      </c>
      <c r="G4944" s="4" t="n">
        <v>2</v>
      </c>
      <c r="H4944" s="4" t="n">
        <v>2</v>
      </c>
      <c r="I4944" s="4" t="str">
        <v>○</v>
      </c>
      <c r="J4944" s="4" t="n">
        <v>140</v>
      </c>
      <c r="K4944" s="4"/>
      <c r="L4944" s="4"/>
      <c r="M4944" s="7" t="s">
        <v>3577</v>
      </c>
    </row>
    <row r="4945" customFormat="false" ht="15.75" hidden="false" customHeight="false" outlineLevel="0" collapsed="false">
      <c r="A4945" s="3" t="n">
        <v>46236</v>
      </c>
      <c r="B4945" s="4" t="s">
        <v>13</v>
      </c>
      <c r="C4945" s="4" t="n">
        <v>9</v>
      </c>
      <c r="D4945" s="4" t="n">
        <v>14</v>
      </c>
      <c r="E4945" s="4" t="s">
        <v>4075</v>
      </c>
      <c r="F4945" s="4" t="n">
        <v>10</v>
      </c>
      <c r="G4945" s="4" t="n">
        <v>10</v>
      </c>
      <c r="H4945" s="4" t="n">
        <v>4</v>
      </c>
      <c r="I4945" s="4" t="str">
        <v>×</v>
      </c>
      <c r="J4945" s="4"/>
      <c r="K4945" s="4"/>
      <c r="L4945" s="4"/>
      <c r="M4945" s="7" t="s">
        <v>3577</v>
      </c>
    </row>
    <row r="4946" customFormat="false" ht="15.75" hidden="false" customHeight="false" outlineLevel="0" collapsed="false">
      <c r="A4946" s="3" t="n">
        <v>46236</v>
      </c>
      <c r="B4946" s="4" t="s">
        <v>13</v>
      </c>
      <c r="C4946" s="4" t="n">
        <v>9</v>
      </c>
      <c r="D4946" s="4" t="n">
        <v>15</v>
      </c>
      <c r="E4946" s="4" t="s">
        <v>4076</v>
      </c>
      <c r="F4946" s="4" t="n">
        <v>2</v>
      </c>
      <c r="G4946" s="4" t="n">
        <v>14</v>
      </c>
      <c r="H4946" s="4" t="n">
        <v>4</v>
      </c>
      <c r="I4946" s="4" t="str">
        <v>×</v>
      </c>
      <c r="J4946" s="4"/>
      <c r="K4946" s="4"/>
      <c r="L4946" s="4"/>
      <c r="M4946" s="7" t="s">
        <v>3577</v>
      </c>
    </row>
    <row r="4947" customFormat="false" ht="15.75" hidden="false" customHeight="false" outlineLevel="0" collapsed="false">
      <c r="A4947" s="3" t="n">
        <v>46236</v>
      </c>
      <c r="B4947" s="4" t="s">
        <v>13</v>
      </c>
      <c r="C4947" s="4" t="n">
        <v>10</v>
      </c>
      <c r="D4947" s="4" t="n">
        <v>1</v>
      </c>
      <c r="E4947" s="4" t="s">
        <v>4077</v>
      </c>
      <c r="F4947" s="4" t="n">
        <v>60</v>
      </c>
      <c r="G4947" s="4" t="n">
        <v>2</v>
      </c>
      <c r="H4947" s="4" t="n">
        <v>4</v>
      </c>
      <c r="I4947" s="4" t="str">
        <v>×</v>
      </c>
      <c r="J4947" s="4"/>
      <c r="K4947" s="4"/>
      <c r="L4947" s="4"/>
      <c r="M4947" s="7" t="s">
        <v>3577</v>
      </c>
    </row>
    <row r="4948" customFormat="false" ht="15.75" hidden="false" customHeight="false" outlineLevel="0" collapsed="false">
      <c r="A4948" s="3" t="n">
        <v>46236</v>
      </c>
      <c r="B4948" s="4" t="s">
        <v>13</v>
      </c>
      <c r="C4948" s="4" t="n">
        <v>10</v>
      </c>
      <c r="D4948" s="4" t="n">
        <v>2</v>
      </c>
      <c r="E4948" s="4" t="s">
        <v>4078</v>
      </c>
      <c r="F4948" s="4" t="n">
        <v>17</v>
      </c>
      <c r="G4948" s="4" t="n">
        <v>7</v>
      </c>
      <c r="H4948" s="4" t="n">
        <v>4</v>
      </c>
      <c r="I4948" s="4" t="str">
        <v>×</v>
      </c>
      <c r="J4948" s="4"/>
      <c r="K4948" s="4"/>
      <c r="L4948" s="4"/>
      <c r="M4948" s="7" t="s">
        <v>3577</v>
      </c>
    </row>
    <row r="4949" customFormat="false" ht="15.75" hidden="false" customHeight="false" outlineLevel="0" collapsed="false">
      <c r="A4949" s="3" t="n">
        <v>46236</v>
      </c>
      <c r="B4949" s="4" t="s">
        <v>13</v>
      </c>
      <c r="C4949" s="4" t="n">
        <v>10</v>
      </c>
      <c r="D4949" s="4" t="n">
        <v>3</v>
      </c>
      <c r="E4949" s="4" t="s">
        <v>4079</v>
      </c>
      <c r="F4949" s="4" t="n">
        <v>23</v>
      </c>
      <c r="G4949" s="4" t="n">
        <v>6</v>
      </c>
      <c r="H4949" s="4" t="n">
        <v>3</v>
      </c>
      <c r="I4949" s="4" t="str">
        <v>○</v>
      </c>
      <c r="J4949" s="4" t="n">
        <v>510</v>
      </c>
      <c r="K4949" s="4"/>
      <c r="L4949" s="4"/>
      <c r="M4949" s="7" t="s">
        <v>3577</v>
      </c>
    </row>
    <row r="4950" customFormat="false" ht="15.75" hidden="false" customHeight="false" outlineLevel="0" collapsed="false">
      <c r="A4950" s="3" t="n">
        <v>46236</v>
      </c>
      <c r="B4950" s="4" t="s">
        <v>13</v>
      </c>
      <c r="C4950" s="4" t="n">
        <v>10</v>
      </c>
      <c r="D4950" s="4" t="n">
        <v>4</v>
      </c>
      <c r="E4950" s="4" t="s">
        <v>4080</v>
      </c>
      <c r="F4950" s="4" t="n">
        <v>17</v>
      </c>
      <c r="G4950" s="4" t="n">
        <v>7</v>
      </c>
      <c r="H4950" s="4" t="n">
        <v>1</v>
      </c>
      <c r="I4950" s="4" t="str">
        <v>○</v>
      </c>
      <c r="J4950" s="4" t="n">
        <v>470</v>
      </c>
      <c r="K4950" s="4"/>
      <c r="L4950" s="4"/>
      <c r="M4950" s="7" t="s">
        <v>3577</v>
      </c>
    </row>
    <row r="4951" customFormat="false" ht="15.75" hidden="false" customHeight="false" outlineLevel="0" collapsed="false">
      <c r="A4951" s="3" t="n">
        <v>46236</v>
      </c>
      <c r="B4951" s="4" t="s">
        <v>13</v>
      </c>
      <c r="C4951" s="4" t="n">
        <v>10</v>
      </c>
      <c r="D4951" s="4" t="n">
        <v>5</v>
      </c>
      <c r="E4951" s="4" t="s">
        <v>4081</v>
      </c>
      <c r="F4951" s="4" t="n">
        <v>15</v>
      </c>
      <c r="G4951" s="4" t="n">
        <v>9</v>
      </c>
      <c r="H4951" s="4" t="n">
        <v>4</v>
      </c>
      <c r="I4951" s="4" t="str">
        <v>×</v>
      </c>
      <c r="J4951" s="4"/>
      <c r="K4951" s="4"/>
      <c r="L4951" s="4"/>
      <c r="M4951" s="7" t="s">
        <v>3577</v>
      </c>
    </row>
    <row r="4952" customFormat="false" ht="15.75" hidden="false" customHeight="false" outlineLevel="0" collapsed="false">
      <c r="A4952" s="3" t="n">
        <v>46236</v>
      </c>
      <c r="B4952" s="4" t="s">
        <v>13</v>
      </c>
      <c r="C4952" s="4" t="n">
        <v>10</v>
      </c>
      <c r="D4952" s="4" t="n">
        <v>6</v>
      </c>
      <c r="E4952" s="4" t="s">
        <v>4082</v>
      </c>
      <c r="F4952" s="4" t="n">
        <v>29</v>
      </c>
      <c r="G4952" s="4" t="n">
        <v>4</v>
      </c>
      <c r="H4952" s="4" t="n">
        <v>4</v>
      </c>
      <c r="I4952" s="4" t="str">
        <v>×</v>
      </c>
      <c r="J4952" s="4"/>
      <c r="K4952" s="4"/>
      <c r="L4952" s="4"/>
      <c r="M4952" s="7" t="s">
        <v>3577</v>
      </c>
    </row>
    <row r="4953" customFormat="false" ht="15.75" hidden="false" customHeight="false" outlineLevel="0" collapsed="false">
      <c r="A4953" s="3" t="n">
        <v>46236</v>
      </c>
      <c r="B4953" s="4" t="s">
        <v>13</v>
      </c>
      <c r="C4953" s="4" t="n">
        <v>10</v>
      </c>
      <c r="D4953" s="4" t="n">
        <v>7</v>
      </c>
      <c r="E4953" s="4" t="s">
        <v>4083</v>
      </c>
      <c r="F4953" s="4" t="n">
        <v>15</v>
      </c>
      <c r="G4953" s="4" t="n">
        <v>9</v>
      </c>
      <c r="H4953" s="4" t="n">
        <v>4</v>
      </c>
      <c r="I4953" s="4" t="str">
        <v>×</v>
      </c>
      <c r="J4953" s="4"/>
      <c r="K4953" s="4"/>
      <c r="L4953" s="4"/>
      <c r="M4953" s="7" t="s">
        <v>3577</v>
      </c>
    </row>
    <row r="4954" customFormat="false" ht="15.75" hidden="false" customHeight="false" outlineLevel="0" collapsed="false">
      <c r="A4954" s="3" t="n">
        <v>46236</v>
      </c>
      <c r="B4954" s="4" t="s">
        <v>13</v>
      </c>
      <c r="C4954" s="4" t="n">
        <v>10</v>
      </c>
      <c r="D4954" s="4" t="n">
        <v>8</v>
      </c>
      <c r="E4954" s="4" t="s">
        <v>4084</v>
      </c>
      <c r="F4954" s="4" t="n">
        <v>10</v>
      </c>
      <c r="G4954" s="4" t="n">
        <v>12</v>
      </c>
      <c r="H4954" s="4" t="n">
        <v>4</v>
      </c>
      <c r="I4954" s="4" t="str">
        <v>×</v>
      </c>
      <c r="J4954" s="4"/>
      <c r="K4954" s="4"/>
      <c r="L4954" s="4"/>
      <c r="M4954" s="7" t="s">
        <v>3577</v>
      </c>
    </row>
    <row r="4955" customFormat="false" ht="15.75" hidden="false" customHeight="false" outlineLevel="0" collapsed="false">
      <c r="A4955" s="3" t="n">
        <v>46236</v>
      </c>
      <c r="B4955" s="4" t="s">
        <v>13</v>
      </c>
      <c r="C4955" s="4" t="n">
        <v>10</v>
      </c>
      <c r="D4955" s="4" t="n">
        <v>9</v>
      </c>
      <c r="E4955" s="4" t="s">
        <v>4085</v>
      </c>
      <c r="F4955" s="4" t="n">
        <v>34</v>
      </c>
      <c r="G4955" s="4" t="n">
        <v>3</v>
      </c>
      <c r="H4955" s="4" t="n">
        <v>4</v>
      </c>
      <c r="I4955" s="4" t="str">
        <v>×</v>
      </c>
      <c r="J4955" s="4"/>
      <c r="K4955" s="4"/>
      <c r="L4955" s="4"/>
      <c r="M4955" s="7" t="s">
        <v>3577</v>
      </c>
    </row>
    <row r="4956" customFormat="false" ht="15.75" hidden="false" customHeight="false" outlineLevel="0" collapsed="false">
      <c r="A4956" s="3" t="n">
        <v>46236</v>
      </c>
      <c r="B4956" s="4" t="s">
        <v>13</v>
      </c>
      <c r="C4956" s="4" t="n">
        <v>10</v>
      </c>
      <c r="D4956" s="4" t="n">
        <v>11</v>
      </c>
      <c r="E4956" s="4" t="s">
        <v>3118</v>
      </c>
      <c r="F4956" s="4" t="n">
        <v>25</v>
      </c>
      <c r="G4956" s="4" t="n">
        <v>5</v>
      </c>
      <c r="H4956" s="4" t="n">
        <v>2</v>
      </c>
      <c r="I4956" s="4" t="str">
        <v>○</v>
      </c>
      <c r="J4956" s="4" t="n">
        <v>530</v>
      </c>
      <c r="K4956" s="4"/>
      <c r="L4956" s="4"/>
      <c r="M4956" s="7" t="s">
        <v>3577</v>
      </c>
    </row>
    <row r="4957" customFormat="false" ht="15.75" hidden="false" customHeight="false" outlineLevel="0" collapsed="false">
      <c r="A4957" s="3" t="n">
        <v>46236</v>
      </c>
      <c r="B4957" s="4" t="s">
        <v>13</v>
      </c>
      <c r="C4957" s="4" t="n">
        <v>10</v>
      </c>
      <c r="D4957" s="4" t="n">
        <v>12</v>
      </c>
      <c r="E4957" s="4" t="s">
        <v>4086</v>
      </c>
      <c r="F4957" s="4" t="n">
        <v>10</v>
      </c>
      <c r="G4957" s="4" t="n">
        <v>12</v>
      </c>
      <c r="H4957" s="4" t="n">
        <v>4</v>
      </c>
      <c r="I4957" s="4" t="str">
        <v>×</v>
      </c>
      <c r="J4957" s="4"/>
      <c r="K4957" s="4"/>
      <c r="L4957" s="4"/>
      <c r="M4957" s="7" t="s">
        <v>3577</v>
      </c>
    </row>
    <row r="4958" customFormat="false" ht="15.75" hidden="false" customHeight="false" outlineLevel="0" collapsed="false">
      <c r="A4958" s="3" t="n">
        <v>46236</v>
      </c>
      <c r="B4958" s="4" t="s">
        <v>13</v>
      </c>
      <c r="C4958" s="4" t="n">
        <v>10</v>
      </c>
      <c r="D4958" s="4" t="n">
        <v>13</v>
      </c>
      <c r="E4958" s="4" t="s">
        <v>4087</v>
      </c>
      <c r="F4958" s="4" t="n">
        <v>13</v>
      </c>
      <c r="G4958" s="4" t="n">
        <v>11</v>
      </c>
      <c r="H4958" s="4" t="n">
        <v>4</v>
      </c>
      <c r="I4958" s="4" t="str">
        <v>×</v>
      </c>
      <c r="J4958" s="4"/>
      <c r="K4958" s="4"/>
      <c r="L4958" s="4"/>
      <c r="M4958" s="7" t="s">
        <v>3577</v>
      </c>
    </row>
    <row r="4959" customFormat="false" ht="15.75" hidden="false" customHeight="false" outlineLevel="0" collapsed="false">
      <c r="A4959" s="3" t="n">
        <v>46236</v>
      </c>
      <c r="B4959" s="4" t="s">
        <v>13</v>
      </c>
      <c r="C4959" s="4" t="n">
        <v>10</v>
      </c>
      <c r="D4959" s="4" t="n">
        <v>14</v>
      </c>
      <c r="E4959" s="4" t="s">
        <v>4088</v>
      </c>
      <c r="F4959" s="4" t="n">
        <v>6</v>
      </c>
      <c r="G4959" s="4" t="n">
        <v>14</v>
      </c>
      <c r="H4959" s="4" t="n">
        <v>4</v>
      </c>
      <c r="I4959" s="4" t="str">
        <v>×</v>
      </c>
      <c r="J4959" s="4"/>
      <c r="K4959" s="4"/>
      <c r="L4959" s="4"/>
      <c r="M4959" s="7" t="s">
        <v>3577</v>
      </c>
    </row>
    <row r="4960" customFormat="false" ht="15.75" hidden="false" customHeight="false" outlineLevel="0" collapsed="false">
      <c r="A4960" s="3" t="n">
        <v>46236</v>
      </c>
      <c r="B4960" s="4" t="s">
        <v>13</v>
      </c>
      <c r="C4960" s="4" t="n">
        <v>11</v>
      </c>
      <c r="D4960" s="4" t="n">
        <v>1</v>
      </c>
      <c r="E4960" s="4" t="s">
        <v>4089</v>
      </c>
      <c r="F4960" s="4" t="n">
        <v>34</v>
      </c>
      <c r="G4960" s="4" t="n">
        <v>3</v>
      </c>
      <c r="H4960" s="4" t="n">
        <v>4</v>
      </c>
      <c r="I4960" s="4" t="str">
        <v>×</v>
      </c>
      <c r="J4960" s="4"/>
      <c r="K4960" s="4"/>
      <c r="L4960" s="4"/>
      <c r="M4960" s="7" t="s">
        <v>3577</v>
      </c>
    </row>
    <row r="4961" customFormat="false" ht="15.75" hidden="false" customHeight="false" outlineLevel="0" collapsed="false">
      <c r="A4961" s="3" t="n">
        <v>46236</v>
      </c>
      <c r="B4961" s="4" t="s">
        <v>13</v>
      </c>
      <c r="C4961" s="4" t="n">
        <v>11</v>
      </c>
      <c r="D4961" s="4" t="n">
        <v>2</v>
      </c>
      <c r="E4961" s="4" t="s">
        <v>4090</v>
      </c>
      <c r="F4961" s="4" t="n">
        <v>13</v>
      </c>
      <c r="G4961" s="4" t="n">
        <v>8</v>
      </c>
      <c r="H4961" s="4" t="n">
        <v>4</v>
      </c>
      <c r="I4961" s="4" t="str">
        <v>×</v>
      </c>
      <c r="J4961" s="4"/>
      <c r="K4961" s="4"/>
      <c r="L4961" s="4"/>
      <c r="M4961" s="7" t="s">
        <v>3577</v>
      </c>
    </row>
    <row r="4962" customFormat="false" ht="15.75" hidden="false" customHeight="false" outlineLevel="0" collapsed="false">
      <c r="A4962" s="3" t="n">
        <v>46236</v>
      </c>
      <c r="B4962" s="4" t="s">
        <v>13</v>
      </c>
      <c r="C4962" s="4" t="n">
        <v>11</v>
      </c>
      <c r="D4962" s="4" t="n">
        <v>3</v>
      </c>
      <c r="E4962" s="4" t="s">
        <v>959</v>
      </c>
      <c r="F4962" s="4" t="n">
        <v>3</v>
      </c>
      <c r="G4962" s="4" t="n">
        <v>14</v>
      </c>
      <c r="H4962" s="4" t="n">
        <v>4</v>
      </c>
      <c r="I4962" s="4" t="str">
        <v>×</v>
      </c>
      <c r="J4962" s="4"/>
      <c r="K4962" s="4"/>
      <c r="L4962" s="4"/>
      <c r="M4962" s="7" t="s">
        <v>3577</v>
      </c>
    </row>
    <row r="4963" customFormat="false" ht="15.75" hidden="false" customHeight="false" outlineLevel="0" collapsed="false">
      <c r="A4963" s="3" t="n">
        <v>46236</v>
      </c>
      <c r="B4963" s="4" t="s">
        <v>13</v>
      </c>
      <c r="C4963" s="4" t="n">
        <v>11</v>
      </c>
      <c r="D4963" s="4" t="n">
        <v>4</v>
      </c>
      <c r="E4963" s="4" t="s">
        <v>1014</v>
      </c>
      <c r="F4963" s="4" t="n">
        <v>15</v>
      </c>
      <c r="G4963" s="4" t="n">
        <v>7</v>
      </c>
      <c r="H4963" s="4" t="n">
        <v>3</v>
      </c>
      <c r="I4963" s="4" t="str">
        <v>○</v>
      </c>
      <c r="J4963" s="4" t="n">
        <v>570</v>
      </c>
      <c r="K4963" s="4"/>
      <c r="L4963" s="4"/>
      <c r="M4963" s="7" t="s">
        <v>3577</v>
      </c>
    </row>
    <row r="4964" customFormat="false" ht="15.75" hidden="false" customHeight="false" outlineLevel="0" collapsed="false">
      <c r="A4964" s="3" t="n">
        <v>46236</v>
      </c>
      <c r="B4964" s="4" t="s">
        <v>13</v>
      </c>
      <c r="C4964" s="4" t="n">
        <v>11</v>
      </c>
      <c r="D4964" s="4" t="n">
        <v>5</v>
      </c>
      <c r="E4964" s="4" t="s">
        <v>4091</v>
      </c>
      <c r="F4964" s="4" t="n">
        <v>13</v>
      </c>
      <c r="G4964" s="4" t="n">
        <v>8</v>
      </c>
      <c r="H4964" s="4" t="n">
        <v>4</v>
      </c>
      <c r="I4964" s="4" t="str">
        <v>×</v>
      </c>
      <c r="J4964" s="4"/>
      <c r="K4964" s="4"/>
      <c r="L4964" s="4"/>
      <c r="M4964" s="7" t="s">
        <v>3577</v>
      </c>
    </row>
    <row r="4965" customFormat="false" ht="15.75" hidden="false" customHeight="false" outlineLevel="0" collapsed="false">
      <c r="A4965" s="3" t="n">
        <v>46236</v>
      </c>
      <c r="B4965" s="4" t="s">
        <v>13</v>
      </c>
      <c r="C4965" s="4" t="n">
        <v>11</v>
      </c>
      <c r="D4965" s="4" t="n">
        <v>6</v>
      </c>
      <c r="E4965" s="4" t="s">
        <v>4092</v>
      </c>
      <c r="F4965" s="4" t="n">
        <v>10</v>
      </c>
      <c r="G4965" s="4" t="n">
        <v>11</v>
      </c>
      <c r="H4965" s="4" t="n">
        <v>4</v>
      </c>
      <c r="I4965" s="4" t="str">
        <v>×</v>
      </c>
      <c r="J4965" s="4"/>
      <c r="K4965" s="4"/>
      <c r="L4965" s="4"/>
      <c r="M4965" s="7" t="s">
        <v>3577</v>
      </c>
    </row>
    <row r="4966" customFormat="false" ht="15.75" hidden="false" customHeight="false" outlineLevel="0" collapsed="false">
      <c r="A4966" s="3" t="n">
        <v>46236</v>
      </c>
      <c r="B4966" s="4" t="s">
        <v>13</v>
      </c>
      <c r="C4966" s="4" t="n">
        <v>11</v>
      </c>
      <c r="D4966" s="4" t="n">
        <v>7</v>
      </c>
      <c r="E4966" s="4" t="s">
        <v>1421</v>
      </c>
      <c r="F4966" s="4" t="n">
        <v>17</v>
      </c>
      <c r="G4966" s="4" t="n">
        <v>6</v>
      </c>
      <c r="H4966" s="4" t="n">
        <v>4</v>
      </c>
      <c r="I4966" s="4" t="str">
        <v>×</v>
      </c>
      <c r="J4966" s="4"/>
      <c r="K4966" s="4"/>
      <c r="L4966" s="4"/>
      <c r="M4966" s="7" t="s">
        <v>3577</v>
      </c>
    </row>
    <row r="4967" customFormat="false" ht="15.75" hidden="false" customHeight="false" outlineLevel="0" collapsed="false">
      <c r="A4967" s="3" t="n">
        <v>46236</v>
      </c>
      <c r="B4967" s="4" t="s">
        <v>13</v>
      </c>
      <c r="C4967" s="4" t="n">
        <v>11</v>
      </c>
      <c r="D4967" s="4" t="n">
        <v>8</v>
      </c>
      <c r="E4967" s="4" t="s">
        <v>1005</v>
      </c>
      <c r="F4967" s="4" t="n">
        <v>25</v>
      </c>
      <c r="G4967" s="4" t="n">
        <v>4</v>
      </c>
      <c r="H4967" s="4" t="n">
        <v>4</v>
      </c>
      <c r="I4967" s="4" t="str">
        <v>×</v>
      </c>
      <c r="J4967" s="4"/>
      <c r="K4967" s="4"/>
      <c r="L4967" s="4"/>
      <c r="M4967" s="7" t="s">
        <v>3577</v>
      </c>
    </row>
    <row r="4968" customFormat="false" ht="15.75" hidden="false" customHeight="false" outlineLevel="0" collapsed="false">
      <c r="A4968" s="3" t="n">
        <v>46236</v>
      </c>
      <c r="B4968" s="4" t="s">
        <v>13</v>
      </c>
      <c r="C4968" s="4" t="n">
        <v>11</v>
      </c>
      <c r="D4968" s="4" t="n">
        <v>9</v>
      </c>
      <c r="E4968" s="4" t="s">
        <v>4093</v>
      </c>
      <c r="F4968" s="4" t="n">
        <v>8</v>
      </c>
      <c r="G4968" s="4" t="n">
        <v>12</v>
      </c>
      <c r="H4968" s="4" t="n">
        <v>4</v>
      </c>
      <c r="I4968" s="4" t="str">
        <v>×</v>
      </c>
      <c r="J4968" s="4"/>
      <c r="K4968" s="4"/>
      <c r="L4968" s="4"/>
      <c r="M4968" s="7" t="s">
        <v>3577</v>
      </c>
    </row>
    <row r="4969" customFormat="false" ht="15.75" hidden="false" customHeight="false" outlineLevel="0" collapsed="false">
      <c r="A4969" s="3" t="n">
        <v>46236</v>
      </c>
      <c r="B4969" s="4" t="s">
        <v>13</v>
      </c>
      <c r="C4969" s="4" t="n">
        <v>11</v>
      </c>
      <c r="D4969" s="4" t="n">
        <v>10</v>
      </c>
      <c r="E4969" s="4" t="s">
        <v>4094</v>
      </c>
      <c r="F4969" s="4" t="n">
        <v>4</v>
      </c>
      <c r="G4969" s="4" t="n">
        <v>13</v>
      </c>
      <c r="H4969" s="4" t="n">
        <v>4</v>
      </c>
      <c r="I4969" s="4" t="str">
        <v>×</v>
      </c>
      <c r="J4969" s="4"/>
      <c r="K4969" s="4"/>
      <c r="L4969" s="4"/>
      <c r="M4969" s="7" t="s">
        <v>3577</v>
      </c>
    </row>
    <row r="4970" customFormat="false" ht="15.75" hidden="false" customHeight="false" outlineLevel="0" collapsed="false">
      <c r="A4970" s="3" t="n">
        <v>46236</v>
      </c>
      <c r="B4970" s="4" t="s">
        <v>13</v>
      </c>
      <c r="C4970" s="4" t="n">
        <v>11</v>
      </c>
      <c r="D4970" s="4" t="n">
        <v>11</v>
      </c>
      <c r="E4970" s="4" t="s">
        <v>3021</v>
      </c>
      <c r="F4970" s="4" t="n">
        <v>20</v>
      </c>
      <c r="G4970" s="4" t="n">
        <v>5</v>
      </c>
      <c r="H4970" s="4" t="n">
        <v>4</v>
      </c>
      <c r="I4970" s="4" t="str">
        <v>×</v>
      </c>
      <c r="J4970" s="4"/>
      <c r="K4970" s="4"/>
      <c r="L4970" s="4"/>
      <c r="M4970" s="7" t="s">
        <v>3577</v>
      </c>
    </row>
    <row r="4971" customFormat="false" ht="15.75" hidden="false" customHeight="false" outlineLevel="0" collapsed="false">
      <c r="A4971" s="3" t="n">
        <v>46236</v>
      </c>
      <c r="B4971" s="4" t="s">
        <v>13</v>
      </c>
      <c r="C4971" s="4" t="n">
        <v>11</v>
      </c>
      <c r="D4971" s="4" t="n">
        <v>12</v>
      </c>
      <c r="E4971" s="4" t="s">
        <v>3025</v>
      </c>
      <c r="F4971" s="4" t="n">
        <v>56</v>
      </c>
      <c r="G4971" s="4" t="n">
        <v>2</v>
      </c>
      <c r="H4971" s="4" t="n">
        <v>2</v>
      </c>
      <c r="I4971" s="4" t="str">
        <v>○</v>
      </c>
      <c r="J4971" s="4" t="n">
        <v>130</v>
      </c>
      <c r="K4971" s="4"/>
      <c r="L4971" s="4"/>
      <c r="M4971" s="7" t="s">
        <v>3577</v>
      </c>
    </row>
    <row r="4972" customFormat="false" ht="15.75" hidden="false" customHeight="false" outlineLevel="0" collapsed="false">
      <c r="A4972" s="3" t="n">
        <v>46236</v>
      </c>
      <c r="B4972" s="4" t="s">
        <v>13</v>
      </c>
      <c r="C4972" s="4" t="n">
        <v>11</v>
      </c>
      <c r="D4972" s="4" t="n">
        <v>13</v>
      </c>
      <c r="E4972" s="4" t="s">
        <v>2687</v>
      </c>
      <c r="F4972" s="4" t="n">
        <v>60</v>
      </c>
      <c r="G4972" s="4" t="n">
        <v>1</v>
      </c>
      <c r="H4972" s="4" t="n">
        <v>1</v>
      </c>
      <c r="I4972" s="4" t="str">
        <v>○</v>
      </c>
      <c r="J4972" s="4" t="n">
        <v>140</v>
      </c>
      <c r="K4972" s="4"/>
      <c r="L4972" s="4"/>
      <c r="M4972" s="7" t="s">
        <v>3577</v>
      </c>
    </row>
    <row r="4973" customFormat="false" ht="15.75" hidden="false" customHeight="false" outlineLevel="0" collapsed="false">
      <c r="A4973" s="3" t="n">
        <v>46236</v>
      </c>
      <c r="B4973" s="4" t="s">
        <v>13</v>
      </c>
      <c r="C4973" s="4" t="n">
        <v>11</v>
      </c>
      <c r="D4973" s="4" t="n">
        <v>14</v>
      </c>
      <c r="E4973" s="4" t="s">
        <v>4095</v>
      </c>
      <c r="F4973" s="4" t="n">
        <v>13</v>
      </c>
      <c r="G4973" s="4" t="n">
        <v>8</v>
      </c>
      <c r="H4973" s="4" t="n">
        <v>4</v>
      </c>
      <c r="I4973" s="4" t="str">
        <v>×</v>
      </c>
      <c r="J4973" s="4"/>
      <c r="K4973" s="4"/>
      <c r="L4973" s="4"/>
      <c r="M4973" s="7" t="s">
        <v>3577</v>
      </c>
    </row>
    <row r="4974" customFormat="false" ht="15.75" hidden="false" customHeight="false" outlineLevel="0" collapsed="false">
      <c r="A4974" s="3" t="n">
        <v>46236</v>
      </c>
      <c r="B4974" s="4" t="s">
        <v>13</v>
      </c>
      <c r="C4974" s="4" t="n">
        <v>12</v>
      </c>
      <c r="D4974" s="4" t="n">
        <v>1</v>
      </c>
      <c r="E4974" s="4" t="s">
        <v>4096</v>
      </c>
      <c r="F4974" s="4" t="n">
        <v>8</v>
      </c>
      <c r="G4974" s="4" t="n">
        <v>11</v>
      </c>
      <c r="H4974" s="4" t="n">
        <v>4</v>
      </c>
      <c r="I4974" s="4" t="str">
        <v>×</v>
      </c>
      <c r="J4974" s="4"/>
      <c r="K4974" s="4"/>
      <c r="L4974" s="4"/>
      <c r="M4974" s="7" t="s">
        <v>3577</v>
      </c>
    </row>
    <row r="4975" customFormat="false" ht="15.75" hidden="false" customHeight="false" outlineLevel="0" collapsed="false">
      <c r="A4975" s="3" t="n">
        <v>46236</v>
      </c>
      <c r="B4975" s="4" t="s">
        <v>13</v>
      </c>
      <c r="C4975" s="4" t="n">
        <v>12</v>
      </c>
      <c r="D4975" s="4" t="n">
        <v>2</v>
      </c>
      <c r="E4975" s="4" t="s">
        <v>4097</v>
      </c>
      <c r="F4975" s="4" t="n">
        <v>8</v>
      </c>
      <c r="G4975" s="4" t="n">
        <v>11</v>
      </c>
      <c r="H4975" s="4" t="n">
        <v>4</v>
      </c>
      <c r="I4975" s="4" t="str">
        <v>×</v>
      </c>
      <c r="J4975" s="4"/>
      <c r="K4975" s="4"/>
      <c r="L4975" s="4"/>
      <c r="M4975" s="7" t="s">
        <v>3577</v>
      </c>
    </row>
    <row r="4976" customFormat="false" ht="15.75" hidden="false" customHeight="false" outlineLevel="0" collapsed="false">
      <c r="A4976" s="3" t="n">
        <v>46236</v>
      </c>
      <c r="B4976" s="4" t="s">
        <v>13</v>
      </c>
      <c r="C4976" s="4" t="n">
        <v>12</v>
      </c>
      <c r="D4976" s="4" t="n">
        <v>3</v>
      </c>
      <c r="E4976" s="4" t="s">
        <v>4098</v>
      </c>
      <c r="F4976" s="4" t="n">
        <v>13</v>
      </c>
      <c r="G4976" s="4" t="n">
        <v>7</v>
      </c>
      <c r="H4976" s="4" t="n">
        <v>4</v>
      </c>
      <c r="I4976" s="4" t="str">
        <v>×</v>
      </c>
      <c r="J4976" s="4"/>
      <c r="K4976" s="4"/>
      <c r="L4976" s="4"/>
      <c r="M4976" s="7" t="s">
        <v>3577</v>
      </c>
    </row>
    <row r="4977" customFormat="false" ht="15.75" hidden="false" customHeight="false" outlineLevel="0" collapsed="false">
      <c r="A4977" s="3" t="n">
        <v>46236</v>
      </c>
      <c r="B4977" s="4" t="s">
        <v>13</v>
      </c>
      <c r="C4977" s="4" t="n">
        <v>12</v>
      </c>
      <c r="D4977" s="4" t="n">
        <v>4</v>
      </c>
      <c r="E4977" s="4" t="s">
        <v>4099</v>
      </c>
      <c r="F4977" s="4" t="n">
        <v>10</v>
      </c>
      <c r="G4977" s="4" t="n">
        <v>9</v>
      </c>
      <c r="H4977" s="4" t="n">
        <v>4</v>
      </c>
      <c r="I4977" s="4" t="str">
        <v>×</v>
      </c>
      <c r="J4977" s="4"/>
      <c r="K4977" s="4"/>
      <c r="L4977" s="4"/>
      <c r="M4977" s="7" t="s">
        <v>3577</v>
      </c>
    </row>
    <row r="4978" customFormat="false" ht="15.75" hidden="false" customHeight="false" outlineLevel="0" collapsed="false">
      <c r="A4978" s="3" t="n">
        <v>46236</v>
      </c>
      <c r="B4978" s="4" t="s">
        <v>13</v>
      </c>
      <c r="C4978" s="4" t="n">
        <v>12</v>
      </c>
      <c r="D4978" s="4" t="n">
        <v>5</v>
      </c>
      <c r="E4978" s="4" t="s">
        <v>4100</v>
      </c>
      <c r="F4978" s="4" t="n">
        <v>8</v>
      </c>
      <c r="G4978" s="4" t="n">
        <v>11</v>
      </c>
      <c r="H4978" s="4" t="n">
        <v>4</v>
      </c>
      <c r="I4978" s="4" t="str">
        <v>×</v>
      </c>
      <c r="J4978" s="4"/>
      <c r="K4978" s="4"/>
      <c r="L4978" s="4"/>
      <c r="M4978" s="7" t="s">
        <v>3577</v>
      </c>
    </row>
    <row r="4979" customFormat="false" ht="15.75" hidden="false" customHeight="false" outlineLevel="0" collapsed="false">
      <c r="A4979" s="3" t="n">
        <v>46236</v>
      </c>
      <c r="B4979" s="4" t="s">
        <v>13</v>
      </c>
      <c r="C4979" s="4" t="n">
        <v>12</v>
      </c>
      <c r="D4979" s="4" t="n">
        <v>6</v>
      </c>
      <c r="E4979" s="4" t="s">
        <v>4101</v>
      </c>
      <c r="F4979" s="4" t="n">
        <v>23</v>
      </c>
      <c r="G4979" s="4" t="n">
        <v>4</v>
      </c>
      <c r="H4979" s="4" t="n">
        <v>4</v>
      </c>
      <c r="I4979" s="4" t="str">
        <v>×</v>
      </c>
      <c r="J4979" s="4"/>
      <c r="K4979" s="4"/>
      <c r="L4979" s="4"/>
      <c r="M4979" s="7" t="s">
        <v>3577</v>
      </c>
    </row>
    <row r="4980" customFormat="false" ht="15.75" hidden="false" customHeight="false" outlineLevel="0" collapsed="false">
      <c r="A4980" s="3" t="n">
        <v>46236</v>
      </c>
      <c r="B4980" s="4" t="s">
        <v>13</v>
      </c>
      <c r="C4980" s="4" t="n">
        <v>12</v>
      </c>
      <c r="D4980" s="4" t="n">
        <v>7</v>
      </c>
      <c r="E4980" s="4" t="s">
        <v>4102</v>
      </c>
      <c r="F4980" s="4" t="n">
        <v>4</v>
      </c>
      <c r="G4980" s="4" t="n">
        <v>15</v>
      </c>
      <c r="H4980" s="4" t="n">
        <v>4</v>
      </c>
      <c r="I4980" s="4" t="str">
        <v>×</v>
      </c>
      <c r="J4980" s="4"/>
      <c r="K4980" s="4"/>
      <c r="L4980" s="4"/>
      <c r="M4980" s="7" t="s">
        <v>3577</v>
      </c>
    </row>
    <row r="4981" customFormat="false" ht="15.75" hidden="false" customHeight="false" outlineLevel="0" collapsed="false">
      <c r="A4981" s="3" t="n">
        <v>46236</v>
      </c>
      <c r="B4981" s="4" t="s">
        <v>13</v>
      </c>
      <c r="C4981" s="4" t="n">
        <v>12</v>
      </c>
      <c r="D4981" s="4" t="n">
        <v>8</v>
      </c>
      <c r="E4981" s="4" t="s">
        <v>3001</v>
      </c>
      <c r="F4981" s="4" t="n">
        <v>15</v>
      </c>
      <c r="G4981" s="4" t="n">
        <v>6</v>
      </c>
      <c r="H4981" s="4" t="n">
        <v>4</v>
      </c>
      <c r="I4981" s="4" t="str">
        <v>×</v>
      </c>
      <c r="J4981" s="4"/>
      <c r="K4981" s="4"/>
      <c r="L4981" s="4"/>
      <c r="M4981" s="7" t="s">
        <v>3577</v>
      </c>
    </row>
    <row r="4982" customFormat="false" ht="15.75" hidden="false" customHeight="false" outlineLevel="0" collapsed="false">
      <c r="A4982" s="3" t="n">
        <v>46236</v>
      </c>
      <c r="B4982" s="4" t="s">
        <v>13</v>
      </c>
      <c r="C4982" s="4" t="n">
        <v>12</v>
      </c>
      <c r="D4982" s="4" t="n">
        <v>9</v>
      </c>
      <c r="E4982" s="4" t="s">
        <v>4103</v>
      </c>
      <c r="F4982" s="4" t="n">
        <v>10</v>
      </c>
      <c r="G4982" s="4" t="n">
        <v>9</v>
      </c>
      <c r="H4982" s="4" t="n">
        <v>4</v>
      </c>
      <c r="I4982" s="4" t="str">
        <v>×</v>
      </c>
      <c r="J4982" s="4"/>
      <c r="K4982" s="4"/>
      <c r="L4982" s="4"/>
      <c r="M4982" s="7" t="s">
        <v>3577</v>
      </c>
    </row>
    <row r="4983" customFormat="false" ht="15.75" hidden="false" customHeight="false" outlineLevel="0" collapsed="false">
      <c r="A4983" s="3" t="n">
        <v>46236</v>
      </c>
      <c r="B4983" s="4" t="s">
        <v>13</v>
      </c>
      <c r="C4983" s="4" t="n">
        <v>12</v>
      </c>
      <c r="D4983" s="4" t="n">
        <v>10</v>
      </c>
      <c r="E4983" s="4" t="s">
        <v>4104</v>
      </c>
      <c r="F4983" s="4" t="n">
        <v>4</v>
      </c>
      <c r="G4983" s="4" t="n">
        <v>15</v>
      </c>
      <c r="H4983" s="4" t="n">
        <v>4</v>
      </c>
      <c r="I4983" s="4" t="str">
        <v>×</v>
      </c>
      <c r="J4983" s="4"/>
      <c r="K4983" s="4"/>
      <c r="L4983" s="4"/>
      <c r="M4983" s="7" t="s">
        <v>3577</v>
      </c>
    </row>
    <row r="4984" customFormat="false" ht="15.75" hidden="false" customHeight="false" outlineLevel="0" collapsed="false">
      <c r="A4984" s="3" t="n">
        <v>46236</v>
      </c>
      <c r="B4984" s="4" t="s">
        <v>13</v>
      </c>
      <c r="C4984" s="4" t="n">
        <v>12</v>
      </c>
      <c r="D4984" s="4" t="n">
        <v>11</v>
      </c>
      <c r="E4984" s="4" t="s">
        <v>4105</v>
      </c>
      <c r="F4984" s="4" t="n">
        <v>6</v>
      </c>
      <c r="G4984" s="4" t="n">
        <v>14</v>
      </c>
      <c r="H4984" s="4" t="n">
        <v>4</v>
      </c>
      <c r="I4984" s="4" t="str">
        <v>×</v>
      </c>
      <c r="J4984" s="4"/>
      <c r="K4984" s="4"/>
      <c r="L4984" s="4"/>
      <c r="M4984" s="7" t="s">
        <v>3577</v>
      </c>
    </row>
    <row r="4985" customFormat="false" ht="15.75" hidden="false" customHeight="false" outlineLevel="0" collapsed="false">
      <c r="A4985" s="3" t="n">
        <v>46236</v>
      </c>
      <c r="B4985" s="4" t="s">
        <v>13</v>
      </c>
      <c r="C4985" s="4" t="n">
        <v>12</v>
      </c>
      <c r="D4985" s="4" t="n">
        <v>12</v>
      </c>
      <c r="E4985" s="4" t="s">
        <v>2360</v>
      </c>
      <c r="F4985" s="4" t="n">
        <v>17</v>
      </c>
      <c r="G4985" s="4" t="n">
        <v>5</v>
      </c>
      <c r="H4985" s="4" t="n">
        <v>4</v>
      </c>
      <c r="I4985" s="4" t="str">
        <v>×</v>
      </c>
      <c r="J4985" s="4"/>
      <c r="K4985" s="4"/>
      <c r="L4985" s="4"/>
      <c r="M4985" s="7" t="s">
        <v>3577</v>
      </c>
    </row>
    <row r="4986" customFormat="false" ht="15.75" hidden="false" customHeight="false" outlineLevel="0" collapsed="false">
      <c r="A4986" s="3" t="n">
        <v>46236</v>
      </c>
      <c r="B4986" s="4" t="s">
        <v>13</v>
      </c>
      <c r="C4986" s="4" t="n">
        <v>12</v>
      </c>
      <c r="D4986" s="4" t="n">
        <v>13</v>
      </c>
      <c r="E4986" s="4" t="s">
        <v>2357</v>
      </c>
      <c r="F4986" s="4" t="n">
        <v>34</v>
      </c>
      <c r="G4986" s="4" t="n">
        <v>3</v>
      </c>
      <c r="H4986" s="4" t="n">
        <v>1</v>
      </c>
      <c r="I4986" s="4" t="str">
        <v>○</v>
      </c>
      <c r="J4986" s="4" t="n">
        <v>190</v>
      </c>
      <c r="K4986" s="4"/>
      <c r="L4986" s="4"/>
      <c r="M4986" s="7" t="s">
        <v>3577</v>
      </c>
    </row>
    <row r="4987" customFormat="false" ht="15.75" hidden="false" customHeight="false" outlineLevel="0" collapsed="false">
      <c r="A4987" s="3" t="n">
        <v>46236</v>
      </c>
      <c r="B4987" s="4" t="s">
        <v>13</v>
      </c>
      <c r="C4987" s="4" t="n">
        <v>12</v>
      </c>
      <c r="D4987" s="4" t="n">
        <v>14</v>
      </c>
      <c r="E4987" s="4" t="s">
        <v>4106</v>
      </c>
      <c r="F4987" s="4" t="n">
        <v>60</v>
      </c>
      <c r="G4987" s="4" t="n">
        <v>1</v>
      </c>
      <c r="H4987" s="4" t="n">
        <v>2</v>
      </c>
      <c r="I4987" s="4" t="str">
        <v>○</v>
      </c>
      <c r="J4987" s="4" t="n">
        <v>110</v>
      </c>
      <c r="K4987" s="4"/>
      <c r="L4987" s="4"/>
      <c r="M4987" s="7" t="s">
        <v>3577</v>
      </c>
    </row>
    <row r="4988" customFormat="false" ht="15.75" hidden="false" customHeight="false" outlineLevel="0" collapsed="false">
      <c r="A4988" s="3" t="n">
        <v>46236</v>
      </c>
      <c r="B4988" s="4" t="s">
        <v>13</v>
      </c>
      <c r="C4988" s="4" t="n">
        <v>12</v>
      </c>
      <c r="D4988" s="4" t="n">
        <v>15</v>
      </c>
      <c r="E4988" s="4" t="s">
        <v>1939</v>
      </c>
      <c r="F4988" s="4" t="n">
        <v>60</v>
      </c>
      <c r="G4988" s="4" t="n">
        <v>1</v>
      </c>
      <c r="H4988" s="4" t="n">
        <v>3</v>
      </c>
      <c r="I4988" s="4" t="str">
        <v>○</v>
      </c>
      <c r="J4988" s="4" t="n">
        <v>130</v>
      </c>
      <c r="K4988" s="4"/>
      <c r="L4988" s="4"/>
      <c r="M4988" s="7" t="s">
        <v>3577</v>
      </c>
    </row>
    <row r="4989" customFormat="false" ht="15.75" hidden="false" customHeight="false" outlineLevel="0" collapsed="false">
      <c r="A4989" s="3" t="n">
        <v>46236</v>
      </c>
      <c r="B4989" s="4" t="s">
        <v>13</v>
      </c>
      <c r="C4989" s="4" t="n">
        <v>12</v>
      </c>
      <c r="D4989" s="4" t="n">
        <v>16</v>
      </c>
      <c r="E4989" s="4" t="s">
        <v>4107</v>
      </c>
      <c r="F4989" s="4" t="n">
        <v>13</v>
      </c>
      <c r="G4989" s="4" t="n">
        <v>7</v>
      </c>
      <c r="H4989" s="4" t="n">
        <v>4</v>
      </c>
      <c r="I4989" s="4" t="str">
        <v>×</v>
      </c>
      <c r="J4989" s="4"/>
      <c r="K4989" s="4"/>
      <c r="L4989" s="4"/>
      <c r="M4989" s="7" t="s">
        <v>3577</v>
      </c>
    </row>
    <row r="4990" customFormat="false" ht="15.75" hidden="false" customHeight="false" outlineLevel="0" collapsed="false">
      <c r="A4990" s="3" t="n">
        <v>46236</v>
      </c>
      <c r="B4990" s="4" t="s">
        <v>13</v>
      </c>
      <c r="C4990" s="4" t="n">
        <v>12</v>
      </c>
      <c r="D4990" s="4" t="n">
        <v>17</v>
      </c>
      <c r="E4990" s="4" t="s">
        <v>4108</v>
      </c>
      <c r="F4990" s="4" t="n">
        <v>2</v>
      </c>
      <c r="G4990" s="4" t="n">
        <v>18</v>
      </c>
      <c r="H4990" s="4" t="n">
        <v>4</v>
      </c>
      <c r="I4990" s="4" t="str">
        <v>×</v>
      </c>
      <c r="J4990" s="4"/>
      <c r="K4990" s="4"/>
      <c r="L4990" s="4"/>
      <c r="M4990" s="7" t="s">
        <v>3577</v>
      </c>
    </row>
    <row r="4991" customFormat="false" ht="15.75" hidden="false" customHeight="false" outlineLevel="0" collapsed="false">
      <c r="A4991" s="3" t="n">
        <v>46236</v>
      </c>
      <c r="B4991" s="4" t="s">
        <v>13</v>
      </c>
      <c r="C4991" s="4" t="n">
        <v>12</v>
      </c>
      <c r="D4991" s="4" t="n">
        <v>18</v>
      </c>
      <c r="E4991" s="4" t="s">
        <v>4109</v>
      </c>
      <c r="F4991" s="4" t="n">
        <v>4</v>
      </c>
      <c r="G4991" s="4" t="n">
        <v>15</v>
      </c>
      <c r="H4991" s="4" t="n">
        <v>4</v>
      </c>
      <c r="I4991" s="4" t="str">
        <v>×</v>
      </c>
      <c r="J4991" s="4"/>
      <c r="K4991" s="4"/>
      <c r="L4991" s="4"/>
      <c r="M4991" s="7" t="s">
        <v>3577</v>
      </c>
    </row>
    <row r="4992" customFormat="false" ht="15.75" hidden="false" customHeight="false" outlineLevel="0" collapsed="false">
      <c r="A4992" s="3" t="n">
        <v>46236</v>
      </c>
      <c r="B4992" s="4" t="s">
        <v>334</v>
      </c>
      <c r="C4992" s="4" t="n">
        <v>1</v>
      </c>
      <c r="D4992" s="4" t="n">
        <v>1</v>
      </c>
      <c r="E4992" s="4" t="s">
        <v>2183</v>
      </c>
      <c r="F4992" s="4" t="n">
        <v>60</v>
      </c>
      <c r="G4992" s="4" t="n">
        <v>2</v>
      </c>
      <c r="H4992" s="4" t="n">
        <v>2</v>
      </c>
      <c r="I4992" s="4" t="str">
        <v>○</v>
      </c>
      <c r="J4992" s="4" t="n">
        <v>130</v>
      </c>
      <c r="K4992" s="4"/>
      <c r="L4992" s="4"/>
      <c r="M4992" s="7" t="s">
        <v>3577</v>
      </c>
    </row>
    <row r="4993" customFormat="false" ht="15.75" hidden="false" customHeight="false" outlineLevel="0" collapsed="false">
      <c r="A4993" s="3" t="n">
        <v>46236</v>
      </c>
      <c r="B4993" s="4" t="s">
        <v>334</v>
      </c>
      <c r="C4993" s="4" t="n">
        <v>1</v>
      </c>
      <c r="D4993" s="4" t="n">
        <v>2</v>
      </c>
      <c r="E4993" s="4" t="s">
        <v>4110</v>
      </c>
      <c r="F4993" s="4" t="n">
        <v>3</v>
      </c>
      <c r="G4993" s="4" t="n">
        <v>14</v>
      </c>
      <c r="H4993" s="4" t="n">
        <v>4</v>
      </c>
      <c r="I4993" s="4" t="str">
        <v>×</v>
      </c>
      <c r="J4993" s="4"/>
      <c r="K4993" s="4"/>
      <c r="L4993" s="4"/>
      <c r="M4993" s="7" t="s">
        <v>3577</v>
      </c>
    </row>
    <row r="4994" customFormat="false" ht="15.75" hidden="false" customHeight="false" outlineLevel="0" collapsed="false">
      <c r="A4994" s="3" t="n">
        <v>46236</v>
      </c>
      <c r="B4994" s="4" t="s">
        <v>334</v>
      </c>
      <c r="C4994" s="4" t="n">
        <v>1</v>
      </c>
      <c r="D4994" s="4" t="n">
        <v>3</v>
      </c>
      <c r="E4994" s="4" t="s">
        <v>2182</v>
      </c>
      <c r="F4994" s="4" t="n">
        <v>31</v>
      </c>
      <c r="G4994" s="4" t="n">
        <v>4</v>
      </c>
      <c r="H4994" s="4" t="n">
        <v>4</v>
      </c>
      <c r="I4994" s="4" t="str">
        <v>×</v>
      </c>
      <c r="J4994" s="4"/>
      <c r="K4994" s="4"/>
      <c r="L4994" s="4"/>
      <c r="M4994" s="7" t="s">
        <v>3577</v>
      </c>
    </row>
    <row r="4995" customFormat="false" ht="15.75" hidden="false" customHeight="false" outlineLevel="0" collapsed="false">
      <c r="A4995" s="3" t="n">
        <v>46236</v>
      </c>
      <c r="B4995" s="4" t="s">
        <v>334</v>
      </c>
      <c r="C4995" s="4" t="n">
        <v>1</v>
      </c>
      <c r="D4995" s="4" t="n">
        <v>4</v>
      </c>
      <c r="E4995" s="4" t="s">
        <v>2197</v>
      </c>
      <c r="F4995" s="4" t="n">
        <v>17</v>
      </c>
      <c r="G4995" s="4" t="n">
        <v>5</v>
      </c>
      <c r="H4995" s="4" t="n">
        <v>4</v>
      </c>
      <c r="I4995" s="4" t="str">
        <v>×</v>
      </c>
      <c r="J4995" s="4"/>
      <c r="K4995" s="4"/>
      <c r="L4995" s="4"/>
      <c r="M4995" s="7" t="s">
        <v>3577</v>
      </c>
    </row>
    <row r="4996" customFormat="false" ht="15.75" hidden="false" customHeight="false" outlineLevel="0" collapsed="false">
      <c r="A4996" s="3" t="n">
        <v>46236</v>
      </c>
      <c r="B4996" s="4" t="s">
        <v>334</v>
      </c>
      <c r="C4996" s="4" t="n">
        <v>1</v>
      </c>
      <c r="D4996" s="4" t="n">
        <v>5</v>
      </c>
      <c r="E4996" s="4" t="s">
        <v>4111</v>
      </c>
      <c r="F4996" s="4" t="n">
        <v>6</v>
      </c>
      <c r="G4996" s="4" t="n">
        <v>11</v>
      </c>
      <c r="H4996" s="4" t="n">
        <v>1</v>
      </c>
      <c r="I4996" s="4" t="str">
        <v>○</v>
      </c>
      <c r="J4996" s="4" t="n">
        <v>570</v>
      </c>
      <c r="K4996" s="4"/>
      <c r="L4996" s="4"/>
      <c r="M4996" s="7" t="s">
        <v>3577</v>
      </c>
    </row>
    <row r="4997" customFormat="false" ht="15.75" hidden="false" customHeight="false" outlineLevel="0" collapsed="false">
      <c r="A4997" s="3" t="n">
        <v>46236</v>
      </c>
      <c r="B4997" s="4" t="s">
        <v>334</v>
      </c>
      <c r="C4997" s="4" t="n">
        <v>1</v>
      </c>
      <c r="D4997" s="4" t="n">
        <v>6</v>
      </c>
      <c r="E4997" s="4" t="s">
        <v>2184</v>
      </c>
      <c r="F4997" s="4" t="n">
        <v>39</v>
      </c>
      <c r="G4997" s="4" t="n">
        <v>3</v>
      </c>
      <c r="H4997" s="4" t="n">
        <v>4</v>
      </c>
      <c r="I4997" s="4" t="str">
        <v>×</v>
      </c>
      <c r="J4997" s="4"/>
      <c r="K4997" s="4"/>
      <c r="L4997" s="4"/>
      <c r="M4997" s="7" t="s">
        <v>3577</v>
      </c>
    </row>
    <row r="4998" customFormat="false" ht="15.75" hidden="false" customHeight="false" outlineLevel="0" collapsed="false">
      <c r="A4998" s="3" t="n">
        <v>46236</v>
      </c>
      <c r="B4998" s="4" t="s">
        <v>334</v>
      </c>
      <c r="C4998" s="4" t="n">
        <v>1</v>
      </c>
      <c r="D4998" s="4" t="n">
        <v>7</v>
      </c>
      <c r="E4998" s="4" t="s">
        <v>2700</v>
      </c>
      <c r="F4998" s="4" t="n">
        <v>15</v>
      </c>
      <c r="G4998" s="4" t="n">
        <v>6</v>
      </c>
      <c r="H4998" s="4" t="n">
        <v>4</v>
      </c>
      <c r="I4998" s="4" t="str">
        <v>×</v>
      </c>
      <c r="J4998" s="4"/>
      <c r="K4998" s="4"/>
      <c r="L4998" s="4"/>
      <c r="M4998" s="7" t="s">
        <v>3577</v>
      </c>
    </row>
    <row r="4999" customFormat="false" ht="15.75" hidden="false" customHeight="false" outlineLevel="0" collapsed="false">
      <c r="A4999" s="3" t="n">
        <v>46236</v>
      </c>
      <c r="B4999" s="4" t="s">
        <v>334</v>
      </c>
      <c r="C4999" s="4" t="n">
        <v>1</v>
      </c>
      <c r="D4999" s="4" t="n">
        <v>8</v>
      </c>
      <c r="E4999" s="4" t="s">
        <v>2954</v>
      </c>
      <c r="F4999" s="4" t="n">
        <v>62</v>
      </c>
      <c r="G4999" s="4" t="n">
        <v>1</v>
      </c>
      <c r="H4999" s="4" t="n">
        <v>3</v>
      </c>
      <c r="I4999" s="4" t="str">
        <v>○</v>
      </c>
      <c r="J4999" s="4" t="n">
        <v>130</v>
      </c>
      <c r="K4999" s="4"/>
      <c r="L4999" s="4"/>
      <c r="M4999" s="7" t="s">
        <v>3577</v>
      </c>
    </row>
    <row r="5000" customFormat="false" ht="15.75" hidden="false" customHeight="false" outlineLevel="0" collapsed="false">
      <c r="A5000" s="3" t="n">
        <v>46236</v>
      </c>
      <c r="B5000" s="4" t="s">
        <v>334</v>
      </c>
      <c r="C5000" s="4" t="n">
        <v>1</v>
      </c>
      <c r="D5000" s="4" t="n">
        <v>9</v>
      </c>
      <c r="E5000" s="4" t="s">
        <v>1745</v>
      </c>
      <c r="F5000" s="4" t="n">
        <v>4</v>
      </c>
      <c r="G5000" s="4" t="n">
        <v>12</v>
      </c>
      <c r="H5000" s="4" t="n">
        <v>4</v>
      </c>
      <c r="I5000" s="4" t="str">
        <v>×</v>
      </c>
      <c r="J5000" s="4"/>
      <c r="K5000" s="4"/>
      <c r="L5000" s="4"/>
      <c r="M5000" s="7" t="s">
        <v>3577</v>
      </c>
    </row>
    <row r="5001" customFormat="false" ht="15.75" hidden="false" customHeight="false" outlineLevel="0" collapsed="false">
      <c r="A5001" s="3" t="n">
        <v>46236</v>
      </c>
      <c r="B5001" s="4" t="s">
        <v>334</v>
      </c>
      <c r="C5001" s="4" t="n">
        <v>1</v>
      </c>
      <c r="D5001" s="4" t="n">
        <v>10</v>
      </c>
      <c r="E5001" s="4" t="s">
        <v>1888</v>
      </c>
      <c r="F5001" s="4" t="n">
        <v>15</v>
      </c>
      <c r="G5001" s="4" t="n">
        <v>6</v>
      </c>
      <c r="H5001" s="4" t="n">
        <v>4</v>
      </c>
      <c r="I5001" s="4" t="str">
        <v>×</v>
      </c>
      <c r="J5001" s="4"/>
      <c r="K5001" s="4"/>
      <c r="L5001" s="4"/>
      <c r="M5001" s="7" t="s">
        <v>3577</v>
      </c>
    </row>
    <row r="5002" customFormat="false" ht="15.75" hidden="false" customHeight="false" outlineLevel="0" collapsed="false">
      <c r="A5002" s="3" t="n">
        <v>46236</v>
      </c>
      <c r="B5002" s="4" t="s">
        <v>334</v>
      </c>
      <c r="C5002" s="4" t="n">
        <v>1</v>
      </c>
      <c r="D5002" s="4" t="n">
        <v>11</v>
      </c>
      <c r="E5002" s="4" t="s">
        <v>4112</v>
      </c>
      <c r="F5002" s="4" t="n">
        <v>10</v>
      </c>
      <c r="G5002" s="4" t="n">
        <v>9</v>
      </c>
      <c r="H5002" s="4" t="n">
        <v>4</v>
      </c>
      <c r="I5002" s="4" t="str">
        <v>×</v>
      </c>
      <c r="J5002" s="4"/>
      <c r="K5002" s="4"/>
      <c r="L5002" s="4"/>
      <c r="M5002" s="7" t="s">
        <v>3577</v>
      </c>
    </row>
    <row r="5003" customFormat="false" ht="15.75" hidden="false" customHeight="false" outlineLevel="0" collapsed="false">
      <c r="A5003" s="3" t="n">
        <v>46236</v>
      </c>
      <c r="B5003" s="4" t="s">
        <v>334</v>
      </c>
      <c r="C5003" s="4" t="n">
        <v>1</v>
      </c>
      <c r="D5003" s="4" t="n">
        <v>12</v>
      </c>
      <c r="E5003" s="4" t="s">
        <v>1284</v>
      </c>
      <c r="F5003" s="4" t="n">
        <v>13</v>
      </c>
      <c r="G5003" s="4" t="n">
        <v>8</v>
      </c>
      <c r="H5003" s="4" t="n">
        <v>4</v>
      </c>
      <c r="I5003" s="4" t="str">
        <v>×</v>
      </c>
      <c r="J5003" s="4"/>
      <c r="K5003" s="4"/>
      <c r="L5003" s="4"/>
      <c r="M5003" s="7" t="s">
        <v>3577</v>
      </c>
    </row>
    <row r="5004" customFormat="false" ht="15.75" hidden="false" customHeight="false" outlineLevel="0" collapsed="false">
      <c r="A5004" s="3" t="n">
        <v>46236</v>
      </c>
      <c r="B5004" s="4" t="s">
        <v>334</v>
      </c>
      <c r="C5004" s="4" t="n">
        <v>1</v>
      </c>
      <c r="D5004" s="4" t="n">
        <v>13</v>
      </c>
      <c r="E5004" s="4" t="s">
        <v>4113</v>
      </c>
      <c r="F5004" s="4" t="n">
        <v>4</v>
      </c>
      <c r="G5004" s="4" t="n">
        <v>12</v>
      </c>
      <c r="H5004" s="4" t="n">
        <v>4</v>
      </c>
      <c r="I5004" s="4" t="str">
        <v>×</v>
      </c>
      <c r="J5004" s="4"/>
      <c r="K5004" s="4"/>
      <c r="L5004" s="4"/>
      <c r="M5004" s="7" t="s">
        <v>3577</v>
      </c>
    </row>
    <row r="5005" customFormat="false" ht="15.75" hidden="false" customHeight="false" outlineLevel="0" collapsed="false">
      <c r="A5005" s="3" t="n">
        <v>46236</v>
      </c>
      <c r="B5005" s="4" t="s">
        <v>334</v>
      </c>
      <c r="C5005" s="4" t="n">
        <v>1</v>
      </c>
      <c r="D5005" s="4" t="n">
        <v>14</v>
      </c>
      <c r="E5005" s="4" t="s">
        <v>2933</v>
      </c>
      <c r="F5005" s="4" t="n">
        <v>10</v>
      </c>
      <c r="G5005" s="4" t="n">
        <v>9</v>
      </c>
      <c r="H5005" s="4" t="n">
        <v>4</v>
      </c>
      <c r="I5005" s="4" t="str">
        <v>×</v>
      </c>
      <c r="J5005" s="4"/>
      <c r="K5005" s="4"/>
      <c r="L5005" s="4"/>
      <c r="M5005" s="7" t="s">
        <v>3577</v>
      </c>
    </row>
    <row r="5006" customFormat="false" ht="15.75" hidden="false" customHeight="false" outlineLevel="0" collapsed="false">
      <c r="A5006" s="3" t="n">
        <v>46236</v>
      </c>
      <c r="B5006" s="4" t="s">
        <v>334</v>
      </c>
      <c r="C5006" s="4" t="n">
        <v>2</v>
      </c>
      <c r="D5006" s="4" t="n">
        <v>1</v>
      </c>
      <c r="E5006" s="4" t="s">
        <v>4114</v>
      </c>
      <c r="F5006" s="4" t="n">
        <v>15</v>
      </c>
      <c r="G5006" s="4" t="n">
        <v>7</v>
      </c>
      <c r="H5006" s="4" t="n">
        <v>4</v>
      </c>
      <c r="I5006" s="4" t="str">
        <v>×</v>
      </c>
      <c r="J5006" s="4"/>
      <c r="K5006" s="4"/>
      <c r="L5006" s="4"/>
      <c r="M5006" s="7" t="s">
        <v>3577</v>
      </c>
    </row>
    <row r="5007" customFormat="false" ht="15.75" hidden="false" customHeight="false" outlineLevel="0" collapsed="false">
      <c r="A5007" s="3" t="n">
        <v>46236</v>
      </c>
      <c r="B5007" s="4" t="s">
        <v>334</v>
      </c>
      <c r="C5007" s="4" t="n">
        <v>2</v>
      </c>
      <c r="D5007" s="4" t="n">
        <v>2</v>
      </c>
      <c r="E5007" s="4" t="s">
        <v>4115</v>
      </c>
      <c r="F5007" s="4" t="n">
        <v>38</v>
      </c>
      <c r="G5007" s="4" t="n">
        <v>3</v>
      </c>
      <c r="H5007" s="4" t="n">
        <v>4</v>
      </c>
      <c r="I5007" s="4" t="str">
        <v>×</v>
      </c>
      <c r="J5007" s="4"/>
      <c r="K5007" s="4"/>
      <c r="L5007" s="4"/>
      <c r="M5007" s="7" t="s">
        <v>3577</v>
      </c>
    </row>
    <row r="5008" customFormat="false" ht="15.75" hidden="false" customHeight="false" outlineLevel="0" collapsed="false">
      <c r="A5008" s="3" t="n">
        <v>46236</v>
      </c>
      <c r="B5008" s="4" t="s">
        <v>334</v>
      </c>
      <c r="C5008" s="4" t="n">
        <v>2</v>
      </c>
      <c r="D5008" s="4" t="n">
        <v>3</v>
      </c>
      <c r="E5008" s="4" t="s">
        <v>366</v>
      </c>
      <c r="F5008" s="4" t="n">
        <v>58</v>
      </c>
      <c r="G5008" s="4" t="n">
        <v>1</v>
      </c>
      <c r="H5008" s="4" t="n">
        <v>4</v>
      </c>
      <c r="I5008" s="4" t="str">
        <v>×</v>
      </c>
      <c r="J5008" s="4"/>
      <c r="K5008" s="4"/>
      <c r="L5008" s="4"/>
      <c r="M5008" s="7" t="s">
        <v>3577</v>
      </c>
    </row>
    <row r="5009" customFormat="false" ht="15.75" hidden="false" customHeight="false" outlineLevel="0" collapsed="false">
      <c r="A5009" s="3" t="n">
        <v>46236</v>
      </c>
      <c r="B5009" s="4" t="s">
        <v>334</v>
      </c>
      <c r="C5009" s="4" t="n">
        <v>2</v>
      </c>
      <c r="D5009" s="4" t="n">
        <v>4</v>
      </c>
      <c r="E5009" s="4" t="s">
        <v>4116</v>
      </c>
      <c r="F5009" s="4" t="n">
        <v>8</v>
      </c>
      <c r="G5009" s="4" t="n">
        <v>11</v>
      </c>
      <c r="H5009" s="4" t="n">
        <v>4</v>
      </c>
      <c r="I5009" s="4" t="str">
        <v>×</v>
      </c>
      <c r="J5009" s="4"/>
      <c r="K5009" s="4"/>
      <c r="L5009" s="4"/>
      <c r="M5009" s="7" t="s">
        <v>3577</v>
      </c>
    </row>
    <row r="5010" customFormat="false" ht="15.75" hidden="false" customHeight="false" outlineLevel="0" collapsed="false">
      <c r="A5010" s="3" t="n">
        <v>46236</v>
      </c>
      <c r="B5010" s="4" t="s">
        <v>334</v>
      </c>
      <c r="C5010" s="4" t="n">
        <v>2</v>
      </c>
      <c r="D5010" s="4" t="n">
        <v>5</v>
      </c>
      <c r="E5010" s="4" t="s">
        <v>4117</v>
      </c>
      <c r="F5010" s="4" t="n">
        <v>10</v>
      </c>
      <c r="G5010" s="4" t="n">
        <v>9</v>
      </c>
      <c r="H5010" s="4" t="n">
        <v>4</v>
      </c>
      <c r="I5010" s="4" t="str">
        <v>×</v>
      </c>
      <c r="J5010" s="4"/>
      <c r="K5010" s="4"/>
      <c r="L5010" s="4"/>
      <c r="M5010" s="7" t="s">
        <v>3577</v>
      </c>
    </row>
    <row r="5011" customFormat="false" ht="15.75" hidden="false" customHeight="false" outlineLevel="0" collapsed="false">
      <c r="A5011" s="3" t="n">
        <v>46236</v>
      </c>
      <c r="B5011" s="4" t="s">
        <v>334</v>
      </c>
      <c r="C5011" s="4" t="n">
        <v>2</v>
      </c>
      <c r="D5011" s="4" t="n">
        <v>6</v>
      </c>
      <c r="E5011" s="4" t="s">
        <v>4118</v>
      </c>
      <c r="F5011" s="4" t="n">
        <v>4</v>
      </c>
      <c r="G5011" s="4" t="n">
        <v>14</v>
      </c>
      <c r="H5011" s="4" t="n">
        <v>4</v>
      </c>
      <c r="I5011" s="4" t="str">
        <v>×</v>
      </c>
      <c r="J5011" s="4"/>
      <c r="K5011" s="4"/>
      <c r="L5011" s="4"/>
      <c r="M5011" s="7" t="s">
        <v>3577</v>
      </c>
    </row>
    <row r="5012" customFormat="false" ht="15.75" hidden="false" customHeight="false" outlineLevel="0" collapsed="false">
      <c r="A5012" s="3" t="n">
        <v>46236</v>
      </c>
      <c r="B5012" s="4" t="s">
        <v>334</v>
      </c>
      <c r="C5012" s="4" t="n">
        <v>2</v>
      </c>
      <c r="D5012" s="4" t="n">
        <v>7</v>
      </c>
      <c r="E5012" s="4" t="s">
        <v>4119</v>
      </c>
      <c r="F5012" s="4" t="n">
        <v>13</v>
      </c>
      <c r="G5012" s="4" t="n">
        <v>8</v>
      </c>
      <c r="H5012" s="4" t="n">
        <v>4</v>
      </c>
      <c r="I5012" s="4" t="str">
        <v>×</v>
      </c>
      <c r="J5012" s="4"/>
      <c r="K5012" s="4"/>
      <c r="L5012" s="4"/>
      <c r="M5012" s="7" t="s">
        <v>3577</v>
      </c>
    </row>
    <row r="5013" customFormat="false" ht="15.75" hidden="false" customHeight="false" outlineLevel="0" collapsed="false">
      <c r="A5013" s="3" t="n">
        <v>46236</v>
      </c>
      <c r="B5013" s="4" t="s">
        <v>334</v>
      </c>
      <c r="C5013" s="4" t="n">
        <v>2</v>
      </c>
      <c r="D5013" s="4" t="n">
        <v>8</v>
      </c>
      <c r="E5013" s="4" t="s">
        <v>2205</v>
      </c>
      <c r="F5013" s="4" t="n">
        <v>58</v>
      </c>
      <c r="G5013" s="4" t="n">
        <v>1</v>
      </c>
      <c r="H5013" s="4" t="n">
        <v>1</v>
      </c>
      <c r="I5013" s="4" t="str">
        <v>○</v>
      </c>
      <c r="J5013" s="4" t="n">
        <v>160</v>
      </c>
      <c r="K5013" s="4"/>
      <c r="L5013" s="4"/>
      <c r="M5013" s="7" t="s">
        <v>3577</v>
      </c>
    </row>
    <row r="5014" customFormat="false" ht="15.75" hidden="false" customHeight="false" outlineLevel="0" collapsed="false">
      <c r="A5014" s="3" t="n">
        <v>46236</v>
      </c>
      <c r="B5014" s="4" t="s">
        <v>334</v>
      </c>
      <c r="C5014" s="4" t="n">
        <v>2</v>
      </c>
      <c r="D5014" s="4" t="n">
        <v>9</v>
      </c>
      <c r="E5014" s="4" t="s">
        <v>4120</v>
      </c>
      <c r="F5014" s="4" t="n">
        <v>8</v>
      </c>
      <c r="G5014" s="4" t="n">
        <v>11</v>
      </c>
      <c r="H5014" s="4" t="n">
        <v>4</v>
      </c>
      <c r="I5014" s="4" t="str">
        <v>×</v>
      </c>
      <c r="J5014" s="4"/>
      <c r="K5014" s="4"/>
      <c r="L5014" s="4"/>
      <c r="M5014" s="7" t="s">
        <v>3577</v>
      </c>
    </row>
    <row r="5015" customFormat="false" ht="15.75" hidden="false" customHeight="false" outlineLevel="0" collapsed="false">
      <c r="A5015" s="3" t="n">
        <v>46236</v>
      </c>
      <c r="B5015" s="4" t="s">
        <v>334</v>
      </c>
      <c r="C5015" s="4" t="n">
        <v>2</v>
      </c>
      <c r="D5015" s="4" t="n">
        <v>10</v>
      </c>
      <c r="E5015" s="4" t="s">
        <v>1308</v>
      </c>
      <c r="F5015" s="4" t="n">
        <v>20</v>
      </c>
      <c r="G5015" s="4" t="n">
        <v>6</v>
      </c>
      <c r="H5015" s="4" t="n">
        <v>3</v>
      </c>
      <c r="I5015" s="4" t="str">
        <v>○</v>
      </c>
      <c r="J5015" s="4" t="n">
        <v>500</v>
      </c>
      <c r="K5015" s="4"/>
      <c r="L5015" s="4"/>
      <c r="M5015" s="7" t="s">
        <v>3577</v>
      </c>
    </row>
    <row r="5016" customFormat="false" ht="15.75" hidden="false" customHeight="false" outlineLevel="0" collapsed="false">
      <c r="A5016" s="3" t="n">
        <v>46236</v>
      </c>
      <c r="B5016" s="4" t="s">
        <v>334</v>
      </c>
      <c r="C5016" s="4" t="n">
        <v>2</v>
      </c>
      <c r="D5016" s="4" t="n">
        <v>11</v>
      </c>
      <c r="E5016" s="4" t="s">
        <v>4121</v>
      </c>
      <c r="F5016" s="4" t="n">
        <v>37</v>
      </c>
      <c r="G5016" s="4" t="n">
        <v>4</v>
      </c>
      <c r="H5016" s="4" t="n">
        <v>2</v>
      </c>
      <c r="I5016" s="4" t="str">
        <v>○</v>
      </c>
      <c r="J5016" s="4" t="n">
        <v>190</v>
      </c>
      <c r="K5016" s="4"/>
      <c r="L5016" s="4"/>
      <c r="M5016" s="7" t="s">
        <v>3577</v>
      </c>
    </row>
    <row r="5017" customFormat="false" ht="15.75" hidden="false" customHeight="false" outlineLevel="0" collapsed="false">
      <c r="A5017" s="3" t="n">
        <v>46236</v>
      </c>
      <c r="B5017" s="4" t="s">
        <v>334</v>
      </c>
      <c r="C5017" s="4" t="n">
        <v>2</v>
      </c>
      <c r="D5017" s="4" t="n">
        <v>12</v>
      </c>
      <c r="E5017" s="4" t="s">
        <v>3263</v>
      </c>
      <c r="F5017" s="4" t="n">
        <v>29</v>
      </c>
      <c r="G5017" s="4" t="n">
        <v>5</v>
      </c>
      <c r="H5017" s="4" t="n">
        <v>4</v>
      </c>
      <c r="I5017" s="4" t="str">
        <v>×</v>
      </c>
      <c r="J5017" s="4"/>
      <c r="K5017" s="4"/>
      <c r="L5017" s="4"/>
      <c r="M5017" s="7" t="s">
        <v>3577</v>
      </c>
    </row>
    <row r="5018" customFormat="false" ht="15.75" hidden="false" customHeight="false" outlineLevel="0" collapsed="false">
      <c r="A5018" s="3" t="n">
        <v>46236</v>
      </c>
      <c r="B5018" s="4" t="s">
        <v>334</v>
      </c>
      <c r="C5018" s="4" t="n">
        <v>2</v>
      </c>
      <c r="D5018" s="4" t="n">
        <v>13</v>
      </c>
      <c r="E5018" s="4" t="s">
        <v>4122</v>
      </c>
      <c r="F5018" s="4" t="n">
        <v>10</v>
      </c>
      <c r="G5018" s="4" t="n">
        <v>9</v>
      </c>
      <c r="H5018" s="4" t="n">
        <v>4</v>
      </c>
      <c r="I5018" s="4" t="str">
        <v>×</v>
      </c>
      <c r="J5018" s="4"/>
      <c r="K5018" s="4"/>
      <c r="L5018" s="4"/>
      <c r="M5018" s="7" t="s">
        <v>3577</v>
      </c>
    </row>
    <row r="5019" customFormat="false" ht="15.75" hidden="false" customHeight="false" outlineLevel="0" collapsed="false">
      <c r="A5019" s="3" t="n">
        <v>46236</v>
      </c>
      <c r="B5019" s="4" t="s">
        <v>334</v>
      </c>
      <c r="C5019" s="4" t="n">
        <v>2</v>
      </c>
      <c r="D5019" s="4" t="n">
        <v>14</v>
      </c>
      <c r="E5019" s="4" t="s">
        <v>4123</v>
      </c>
      <c r="F5019" s="4" t="n">
        <v>6</v>
      </c>
      <c r="G5019" s="4" t="n">
        <v>13</v>
      </c>
      <c r="H5019" s="4" t="n">
        <v>4</v>
      </c>
      <c r="I5019" s="4" t="str">
        <v>×</v>
      </c>
      <c r="J5019" s="4"/>
      <c r="K5019" s="4"/>
      <c r="L5019" s="4"/>
      <c r="M5019" s="7" t="s">
        <v>3577</v>
      </c>
    </row>
    <row r="5020" customFormat="false" ht="15.75" hidden="false" customHeight="false" outlineLevel="0" collapsed="false">
      <c r="A5020" s="3" t="n">
        <v>46236</v>
      </c>
      <c r="B5020" s="4" t="s">
        <v>334</v>
      </c>
      <c r="C5020" s="4" t="n">
        <v>3</v>
      </c>
      <c r="D5020" s="4" t="n">
        <v>1</v>
      </c>
      <c r="E5020" s="4" t="s">
        <v>820</v>
      </c>
      <c r="F5020" s="4" t="n">
        <v>31</v>
      </c>
      <c r="G5020" s="4" t="n">
        <v>4</v>
      </c>
      <c r="H5020" s="4" t="n">
        <v>4</v>
      </c>
      <c r="I5020" s="4" t="str">
        <v>×</v>
      </c>
      <c r="J5020" s="4"/>
      <c r="K5020" s="4"/>
      <c r="L5020" s="4"/>
      <c r="M5020" s="7" t="s">
        <v>3577</v>
      </c>
    </row>
    <row r="5021" customFormat="false" ht="15.75" hidden="false" customHeight="false" outlineLevel="0" collapsed="false">
      <c r="A5021" s="3" t="n">
        <v>46236</v>
      </c>
      <c r="B5021" s="4" t="s">
        <v>334</v>
      </c>
      <c r="C5021" s="4" t="n">
        <v>3</v>
      </c>
      <c r="D5021" s="4" t="n">
        <v>2</v>
      </c>
      <c r="E5021" s="4" t="s">
        <v>359</v>
      </c>
      <c r="F5021" s="4" t="n">
        <v>10</v>
      </c>
      <c r="G5021" s="4" t="n">
        <v>7</v>
      </c>
      <c r="H5021" s="4" t="n">
        <v>4</v>
      </c>
      <c r="I5021" s="4" t="str">
        <v>×</v>
      </c>
      <c r="J5021" s="4"/>
      <c r="K5021" s="4"/>
      <c r="L5021" s="4"/>
      <c r="M5021" s="7" t="s">
        <v>3577</v>
      </c>
    </row>
    <row r="5022" customFormat="false" ht="15.75" hidden="false" customHeight="false" outlineLevel="0" collapsed="false">
      <c r="A5022" s="3" t="n">
        <v>46236</v>
      </c>
      <c r="B5022" s="4" t="s">
        <v>334</v>
      </c>
      <c r="C5022" s="4" t="n">
        <v>3</v>
      </c>
      <c r="D5022" s="4" t="n">
        <v>4</v>
      </c>
      <c r="E5022" s="4" t="s">
        <v>1269</v>
      </c>
      <c r="F5022" s="4" t="n">
        <v>10</v>
      </c>
      <c r="G5022" s="4" t="n">
        <v>7</v>
      </c>
      <c r="H5022" s="4" t="n">
        <v>4</v>
      </c>
      <c r="I5022" s="4" t="str">
        <v>×</v>
      </c>
      <c r="J5022" s="4"/>
      <c r="K5022" s="4"/>
      <c r="L5022" s="4"/>
      <c r="M5022" s="7" t="s">
        <v>3577</v>
      </c>
    </row>
    <row r="5023" customFormat="false" ht="15.75" hidden="false" customHeight="false" outlineLevel="0" collapsed="false">
      <c r="A5023" s="3" t="n">
        <v>46236</v>
      </c>
      <c r="B5023" s="4" t="s">
        <v>334</v>
      </c>
      <c r="C5023" s="4" t="n">
        <v>3</v>
      </c>
      <c r="D5023" s="4" t="n">
        <v>5</v>
      </c>
      <c r="E5023" s="4" t="s">
        <v>1307</v>
      </c>
      <c r="F5023" s="4" t="n">
        <v>15</v>
      </c>
      <c r="G5023" s="4" t="n">
        <v>5</v>
      </c>
      <c r="H5023" s="4" t="n">
        <v>3</v>
      </c>
      <c r="I5023" s="4" t="str">
        <v>○</v>
      </c>
      <c r="J5023" s="4" t="n">
        <v>200</v>
      </c>
      <c r="K5023" s="4"/>
      <c r="L5023" s="4"/>
      <c r="M5023" s="7" t="s">
        <v>3577</v>
      </c>
    </row>
    <row r="5024" customFormat="false" ht="15.75" hidden="false" customHeight="false" outlineLevel="0" collapsed="false">
      <c r="A5024" s="3" t="n">
        <v>46236</v>
      </c>
      <c r="B5024" s="4" t="s">
        <v>334</v>
      </c>
      <c r="C5024" s="4" t="n">
        <v>3</v>
      </c>
      <c r="D5024" s="4" t="n">
        <v>6</v>
      </c>
      <c r="E5024" s="4" t="s">
        <v>4124</v>
      </c>
      <c r="F5024" s="4" t="n">
        <v>3</v>
      </c>
      <c r="G5024" s="4" t="n">
        <v>11</v>
      </c>
      <c r="H5024" s="4" t="n">
        <v>4</v>
      </c>
      <c r="I5024" s="4" t="str">
        <v>×</v>
      </c>
      <c r="J5024" s="4"/>
      <c r="K5024" s="4"/>
      <c r="L5024" s="4"/>
      <c r="M5024" s="7" t="s">
        <v>3577</v>
      </c>
    </row>
    <row r="5025" customFormat="false" ht="15.75" hidden="false" customHeight="false" outlineLevel="0" collapsed="false">
      <c r="A5025" s="3" t="n">
        <v>46236</v>
      </c>
      <c r="B5025" s="4" t="s">
        <v>334</v>
      </c>
      <c r="C5025" s="4" t="n">
        <v>3</v>
      </c>
      <c r="D5025" s="4" t="n">
        <v>7</v>
      </c>
      <c r="E5025" s="4" t="s">
        <v>4125</v>
      </c>
      <c r="F5025" s="4" t="n">
        <v>4</v>
      </c>
      <c r="G5025" s="4" t="n">
        <v>10</v>
      </c>
      <c r="H5025" s="4" t="n">
        <v>4</v>
      </c>
      <c r="I5025" s="4" t="str">
        <v>×</v>
      </c>
      <c r="J5025" s="4"/>
      <c r="K5025" s="4"/>
      <c r="L5025" s="4"/>
      <c r="M5025" s="7" t="s">
        <v>3577</v>
      </c>
    </row>
    <row r="5026" customFormat="false" ht="15.75" hidden="false" customHeight="false" outlineLevel="0" collapsed="false">
      <c r="A5026" s="3" t="n">
        <v>46236</v>
      </c>
      <c r="B5026" s="4" t="s">
        <v>334</v>
      </c>
      <c r="C5026" s="4" t="n">
        <v>3</v>
      </c>
      <c r="D5026" s="4" t="n">
        <v>9</v>
      </c>
      <c r="E5026" s="4" t="s">
        <v>1262</v>
      </c>
      <c r="F5026" s="4" t="n">
        <v>41</v>
      </c>
      <c r="G5026" s="4" t="n">
        <v>3</v>
      </c>
      <c r="H5026" s="4" t="n">
        <v>4</v>
      </c>
      <c r="I5026" s="4" t="str">
        <v>×</v>
      </c>
      <c r="J5026" s="4"/>
      <c r="K5026" s="4"/>
      <c r="L5026" s="4"/>
      <c r="M5026" s="7" t="s">
        <v>3577</v>
      </c>
    </row>
    <row r="5027" customFormat="false" ht="15.75" hidden="false" customHeight="false" outlineLevel="0" collapsed="false">
      <c r="A5027" s="3" t="n">
        <v>46236</v>
      </c>
      <c r="B5027" s="4" t="s">
        <v>334</v>
      </c>
      <c r="C5027" s="4" t="n">
        <v>3</v>
      </c>
      <c r="D5027" s="4" t="n">
        <v>10</v>
      </c>
      <c r="E5027" s="4" t="s">
        <v>3252</v>
      </c>
      <c r="F5027" s="4" t="n">
        <v>10</v>
      </c>
      <c r="G5027" s="4" t="n">
        <v>7</v>
      </c>
      <c r="H5027" s="4" t="n">
        <v>4</v>
      </c>
      <c r="I5027" s="4" t="str">
        <v>×</v>
      </c>
      <c r="J5027" s="4"/>
      <c r="K5027" s="4"/>
      <c r="L5027" s="4"/>
      <c r="M5027" s="7" t="s">
        <v>3577</v>
      </c>
    </row>
    <row r="5028" customFormat="false" ht="15.75" hidden="false" customHeight="false" outlineLevel="0" collapsed="false">
      <c r="A5028" s="3" t="n">
        <v>46236</v>
      </c>
      <c r="B5028" s="4" t="s">
        <v>334</v>
      </c>
      <c r="C5028" s="4" t="n">
        <v>3</v>
      </c>
      <c r="D5028" s="4" t="n">
        <v>11</v>
      </c>
      <c r="E5028" s="4" t="s">
        <v>2581</v>
      </c>
      <c r="F5028" s="4" t="n">
        <v>15</v>
      </c>
      <c r="G5028" s="4" t="n">
        <v>5</v>
      </c>
      <c r="H5028" s="4" t="n">
        <v>4</v>
      </c>
      <c r="I5028" s="4" t="str">
        <v>×</v>
      </c>
      <c r="J5028" s="4"/>
      <c r="K5028" s="4"/>
      <c r="L5028" s="4"/>
      <c r="M5028" s="7" t="s">
        <v>3577</v>
      </c>
    </row>
    <row r="5029" customFormat="false" ht="15.75" hidden="false" customHeight="false" outlineLevel="0" collapsed="false">
      <c r="A5029" s="3" t="n">
        <v>46236</v>
      </c>
      <c r="B5029" s="4" t="s">
        <v>334</v>
      </c>
      <c r="C5029" s="4" t="n">
        <v>4</v>
      </c>
      <c r="D5029" s="4" t="n">
        <v>1</v>
      </c>
      <c r="E5029" s="4" t="s">
        <v>4126</v>
      </c>
      <c r="F5029" s="4" t="n">
        <v>17</v>
      </c>
      <c r="G5029" s="4" t="n">
        <v>6</v>
      </c>
      <c r="H5029" s="4" t="n">
        <v>4</v>
      </c>
      <c r="I5029" s="4" t="str">
        <v>×</v>
      </c>
      <c r="J5029" s="4"/>
      <c r="K5029" s="4"/>
      <c r="L5029" s="4"/>
      <c r="M5029" s="7" t="s">
        <v>3577</v>
      </c>
    </row>
    <row r="5030" customFormat="false" ht="15.75" hidden="false" customHeight="false" outlineLevel="0" collapsed="false">
      <c r="A5030" s="3" t="n">
        <v>46236</v>
      </c>
      <c r="B5030" s="4" t="s">
        <v>334</v>
      </c>
      <c r="C5030" s="4" t="n">
        <v>4</v>
      </c>
      <c r="D5030" s="4" t="n">
        <v>2</v>
      </c>
      <c r="E5030" s="4" t="s">
        <v>1325</v>
      </c>
      <c r="F5030" s="4" t="n">
        <v>67</v>
      </c>
      <c r="G5030" s="4" t="n">
        <v>1</v>
      </c>
      <c r="H5030" s="4" t="n">
        <v>4</v>
      </c>
      <c r="I5030" s="4" t="str">
        <v>×</v>
      </c>
      <c r="J5030" s="4"/>
      <c r="K5030" s="4"/>
      <c r="L5030" s="4"/>
      <c r="M5030" s="7" t="s">
        <v>3577</v>
      </c>
    </row>
    <row r="5031" customFormat="false" ht="15.75" hidden="false" customHeight="false" outlineLevel="0" collapsed="false">
      <c r="A5031" s="3" t="n">
        <v>46236</v>
      </c>
      <c r="B5031" s="4" t="s">
        <v>334</v>
      </c>
      <c r="C5031" s="4" t="n">
        <v>4</v>
      </c>
      <c r="D5031" s="4" t="n">
        <v>3</v>
      </c>
      <c r="E5031" s="4" t="s">
        <v>1332</v>
      </c>
      <c r="F5031" s="4" t="n">
        <v>3</v>
      </c>
      <c r="G5031" s="4" t="n">
        <v>12</v>
      </c>
      <c r="H5031" s="4" t="n">
        <v>4</v>
      </c>
      <c r="I5031" s="4" t="str">
        <v>×</v>
      </c>
      <c r="J5031" s="4"/>
      <c r="K5031" s="4"/>
      <c r="L5031" s="4"/>
      <c r="M5031" s="7" t="s">
        <v>3577</v>
      </c>
    </row>
    <row r="5032" customFormat="false" ht="15.75" hidden="false" customHeight="false" outlineLevel="0" collapsed="false">
      <c r="A5032" s="3" t="n">
        <v>46236</v>
      </c>
      <c r="B5032" s="4" t="s">
        <v>334</v>
      </c>
      <c r="C5032" s="4" t="n">
        <v>4</v>
      </c>
      <c r="D5032" s="4" t="n">
        <v>4</v>
      </c>
      <c r="E5032" s="4" t="s">
        <v>2962</v>
      </c>
      <c r="F5032" s="4" t="n">
        <v>23</v>
      </c>
      <c r="G5032" s="4" t="n">
        <v>5</v>
      </c>
      <c r="H5032" s="4" t="n">
        <v>4</v>
      </c>
      <c r="I5032" s="4" t="str">
        <v>×</v>
      </c>
      <c r="J5032" s="4"/>
      <c r="K5032" s="4"/>
      <c r="L5032" s="4"/>
      <c r="M5032" s="7" t="s">
        <v>3577</v>
      </c>
    </row>
    <row r="5033" customFormat="false" ht="15.75" hidden="false" customHeight="false" outlineLevel="0" collapsed="false">
      <c r="A5033" s="3" t="n">
        <v>46236</v>
      </c>
      <c r="B5033" s="4" t="s">
        <v>334</v>
      </c>
      <c r="C5033" s="4" t="n">
        <v>4</v>
      </c>
      <c r="D5033" s="4" t="n">
        <v>5</v>
      </c>
      <c r="E5033" s="4" t="s">
        <v>4127</v>
      </c>
      <c r="F5033" s="4" t="n">
        <v>50</v>
      </c>
      <c r="G5033" s="4" t="n">
        <v>2</v>
      </c>
      <c r="H5033" s="4" t="n">
        <v>2</v>
      </c>
      <c r="I5033" s="4" t="str">
        <v>○</v>
      </c>
      <c r="J5033" s="4" t="n">
        <v>110</v>
      </c>
      <c r="K5033" s="4"/>
      <c r="L5033" s="4"/>
      <c r="M5033" s="7" t="s">
        <v>3577</v>
      </c>
    </row>
    <row r="5034" customFormat="false" ht="15.75" hidden="false" customHeight="false" outlineLevel="0" collapsed="false">
      <c r="A5034" s="3" t="n">
        <v>46236</v>
      </c>
      <c r="B5034" s="4" t="s">
        <v>334</v>
      </c>
      <c r="C5034" s="4" t="n">
        <v>4</v>
      </c>
      <c r="D5034" s="4" t="n">
        <v>6</v>
      </c>
      <c r="E5034" s="4" t="s">
        <v>2587</v>
      </c>
      <c r="F5034" s="4" t="n">
        <v>33</v>
      </c>
      <c r="G5034" s="4" t="n">
        <v>3</v>
      </c>
      <c r="H5034" s="4" t="n">
        <v>3</v>
      </c>
      <c r="I5034" s="4" t="str">
        <v>○</v>
      </c>
      <c r="J5034" s="4" t="n">
        <v>240</v>
      </c>
      <c r="K5034" s="4"/>
      <c r="L5034" s="4"/>
      <c r="M5034" s="7" t="s">
        <v>3577</v>
      </c>
    </row>
    <row r="5035" customFormat="false" ht="15.75" hidden="false" customHeight="false" outlineLevel="0" collapsed="false">
      <c r="A5035" s="3" t="n">
        <v>46236</v>
      </c>
      <c r="B5035" s="4" t="s">
        <v>334</v>
      </c>
      <c r="C5035" s="4" t="n">
        <v>4</v>
      </c>
      <c r="D5035" s="4" t="n">
        <v>7</v>
      </c>
      <c r="E5035" s="4" t="s">
        <v>1333</v>
      </c>
      <c r="F5035" s="4" t="n">
        <v>3</v>
      </c>
      <c r="G5035" s="4" t="n">
        <v>12</v>
      </c>
      <c r="H5035" s="4" t="n">
        <v>4</v>
      </c>
      <c r="I5035" s="4" t="str">
        <v>×</v>
      </c>
      <c r="J5035" s="4"/>
      <c r="K5035" s="4"/>
      <c r="L5035" s="4"/>
      <c r="M5035" s="7" t="s">
        <v>3577</v>
      </c>
    </row>
    <row r="5036" customFormat="false" ht="15.75" hidden="false" customHeight="false" outlineLevel="0" collapsed="false">
      <c r="A5036" s="3" t="n">
        <v>46236</v>
      </c>
      <c r="B5036" s="4" t="s">
        <v>334</v>
      </c>
      <c r="C5036" s="4" t="n">
        <v>4</v>
      </c>
      <c r="D5036" s="4" t="n">
        <v>8</v>
      </c>
      <c r="E5036" s="4" t="s">
        <v>4128</v>
      </c>
      <c r="F5036" s="4" t="n">
        <v>8</v>
      </c>
      <c r="G5036" s="4" t="n">
        <v>8</v>
      </c>
      <c r="H5036" s="4" t="n">
        <v>4</v>
      </c>
      <c r="I5036" s="4" t="str">
        <v>×</v>
      </c>
      <c r="J5036" s="4"/>
      <c r="K5036" s="4"/>
      <c r="L5036" s="4"/>
      <c r="M5036" s="7" t="s">
        <v>3577</v>
      </c>
    </row>
    <row r="5037" customFormat="false" ht="15.75" hidden="false" customHeight="false" outlineLevel="0" collapsed="false">
      <c r="A5037" s="3" t="n">
        <v>46236</v>
      </c>
      <c r="B5037" s="4" t="s">
        <v>334</v>
      </c>
      <c r="C5037" s="4" t="n">
        <v>4</v>
      </c>
      <c r="D5037" s="4" t="n">
        <v>9</v>
      </c>
      <c r="E5037" s="4" t="s">
        <v>4129</v>
      </c>
      <c r="F5037" s="4" t="n">
        <v>17</v>
      </c>
      <c r="G5037" s="4" t="n">
        <v>6</v>
      </c>
      <c r="H5037" s="4" t="n">
        <v>4</v>
      </c>
      <c r="I5037" s="4" t="str">
        <v>×</v>
      </c>
      <c r="J5037" s="4"/>
      <c r="K5037" s="4"/>
      <c r="L5037" s="4"/>
      <c r="M5037" s="7" t="s">
        <v>3577</v>
      </c>
    </row>
    <row r="5038" customFormat="false" ht="15.75" hidden="false" customHeight="false" outlineLevel="0" collapsed="false">
      <c r="A5038" s="3" t="n">
        <v>46236</v>
      </c>
      <c r="B5038" s="4" t="s">
        <v>334</v>
      </c>
      <c r="C5038" s="4" t="n">
        <v>4</v>
      </c>
      <c r="D5038" s="4" t="n">
        <v>10</v>
      </c>
      <c r="E5038" s="4" t="s">
        <v>3199</v>
      </c>
      <c r="F5038" s="4" t="n">
        <v>8</v>
      </c>
      <c r="G5038" s="4" t="n">
        <v>8</v>
      </c>
      <c r="H5038" s="4" t="n">
        <v>1</v>
      </c>
      <c r="I5038" s="4" t="str">
        <v>○</v>
      </c>
      <c r="J5038" s="4" t="n">
        <v>490</v>
      </c>
      <c r="K5038" s="4"/>
      <c r="L5038" s="4"/>
      <c r="M5038" s="7" t="s">
        <v>3577</v>
      </c>
    </row>
    <row r="5039" customFormat="false" ht="15.75" hidden="false" customHeight="false" outlineLevel="0" collapsed="false">
      <c r="A5039" s="3" t="n">
        <v>46236</v>
      </c>
      <c r="B5039" s="4" t="s">
        <v>334</v>
      </c>
      <c r="C5039" s="4" t="n">
        <v>4</v>
      </c>
      <c r="D5039" s="4" t="n">
        <v>11</v>
      </c>
      <c r="E5039" s="4" t="s">
        <v>2963</v>
      </c>
      <c r="F5039" s="4" t="n">
        <v>4</v>
      </c>
      <c r="G5039" s="4" t="n">
        <v>11</v>
      </c>
      <c r="H5039" s="4" t="n">
        <v>4</v>
      </c>
      <c r="I5039" s="4" t="str">
        <v>×</v>
      </c>
      <c r="J5039" s="4"/>
      <c r="K5039" s="4"/>
      <c r="L5039" s="4"/>
      <c r="M5039" s="7" t="s">
        <v>3577</v>
      </c>
    </row>
    <row r="5040" customFormat="false" ht="15.75" hidden="false" customHeight="false" outlineLevel="0" collapsed="false">
      <c r="A5040" s="3" t="n">
        <v>46236</v>
      </c>
      <c r="B5040" s="4" t="s">
        <v>334</v>
      </c>
      <c r="C5040" s="4" t="n">
        <v>4</v>
      </c>
      <c r="D5040" s="4" t="n">
        <v>12</v>
      </c>
      <c r="E5040" s="4" t="s">
        <v>1328</v>
      </c>
      <c r="F5040" s="4" t="n">
        <v>25</v>
      </c>
      <c r="G5040" s="4" t="n">
        <v>4</v>
      </c>
      <c r="H5040" s="4" t="n">
        <v>4</v>
      </c>
      <c r="I5040" s="4" t="str">
        <v>×</v>
      </c>
      <c r="J5040" s="4"/>
      <c r="K5040" s="4"/>
      <c r="L5040" s="4"/>
      <c r="M5040" s="7" t="s">
        <v>3577</v>
      </c>
    </row>
    <row r="5041" customFormat="false" ht="15.75" hidden="false" customHeight="false" outlineLevel="0" collapsed="false">
      <c r="A5041" s="3" t="n">
        <v>46236</v>
      </c>
      <c r="B5041" s="4" t="s">
        <v>334</v>
      </c>
      <c r="C5041" s="4" t="n">
        <v>4</v>
      </c>
      <c r="D5041" s="4" t="n">
        <v>13</v>
      </c>
      <c r="E5041" s="4" t="s">
        <v>1326</v>
      </c>
      <c r="F5041" s="4" t="n">
        <v>6</v>
      </c>
      <c r="G5041" s="4" t="n">
        <v>10</v>
      </c>
      <c r="H5041" s="4" t="n">
        <v>4</v>
      </c>
      <c r="I5041" s="4" t="str">
        <v>×</v>
      </c>
      <c r="J5041" s="4"/>
      <c r="K5041" s="4"/>
      <c r="L5041" s="4"/>
      <c r="M5041" s="7" t="s">
        <v>3577</v>
      </c>
    </row>
    <row r="5042" customFormat="false" ht="15.75" hidden="false" customHeight="false" outlineLevel="0" collapsed="false">
      <c r="A5042" s="3" t="n">
        <v>46236</v>
      </c>
      <c r="B5042" s="4" t="s">
        <v>334</v>
      </c>
      <c r="C5042" s="4" t="n">
        <v>5</v>
      </c>
      <c r="D5042" s="4" t="n">
        <v>1</v>
      </c>
      <c r="E5042" s="4" t="s">
        <v>4130</v>
      </c>
      <c r="F5042" s="4" t="n">
        <v>12</v>
      </c>
      <c r="G5042" s="4" t="n">
        <v>8</v>
      </c>
      <c r="H5042" s="4" t="n">
        <v>4</v>
      </c>
      <c r="I5042" s="4" t="str">
        <v>×</v>
      </c>
      <c r="J5042" s="4"/>
      <c r="K5042" s="4"/>
      <c r="L5042" s="4"/>
      <c r="M5042" s="7" t="s">
        <v>3577</v>
      </c>
    </row>
    <row r="5043" customFormat="false" ht="15.75" hidden="false" customHeight="false" outlineLevel="0" collapsed="false">
      <c r="A5043" s="3" t="n">
        <v>46236</v>
      </c>
      <c r="B5043" s="4" t="s">
        <v>334</v>
      </c>
      <c r="C5043" s="4" t="n">
        <v>5</v>
      </c>
      <c r="D5043" s="4" t="n">
        <v>2</v>
      </c>
      <c r="E5043" s="4" t="s">
        <v>4131</v>
      </c>
      <c r="F5043" s="4" t="n">
        <v>27</v>
      </c>
      <c r="G5043" s="4" t="n">
        <v>3</v>
      </c>
      <c r="H5043" s="4" t="n">
        <v>1</v>
      </c>
      <c r="I5043" s="4" t="str">
        <v>○</v>
      </c>
      <c r="J5043" s="4" t="n">
        <v>130</v>
      </c>
      <c r="K5043" s="4"/>
      <c r="L5043" s="4"/>
      <c r="M5043" s="7" t="s">
        <v>3577</v>
      </c>
    </row>
    <row r="5044" customFormat="false" ht="15.75" hidden="false" customHeight="false" outlineLevel="0" collapsed="false">
      <c r="A5044" s="3" t="n">
        <v>46236</v>
      </c>
      <c r="B5044" s="4" t="s">
        <v>334</v>
      </c>
      <c r="C5044" s="4" t="n">
        <v>5</v>
      </c>
      <c r="D5044" s="4" t="n">
        <v>3</v>
      </c>
      <c r="E5044" s="4" t="s">
        <v>4132</v>
      </c>
      <c r="F5044" s="4" t="n">
        <v>27</v>
      </c>
      <c r="G5044" s="4" t="n">
        <v>3</v>
      </c>
      <c r="H5044" s="4" t="n">
        <v>3</v>
      </c>
      <c r="I5044" s="4" t="str">
        <v>○</v>
      </c>
      <c r="J5044" s="4" t="n">
        <v>150</v>
      </c>
      <c r="K5044" s="4"/>
      <c r="L5044" s="4"/>
      <c r="M5044" s="7" t="s">
        <v>3577</v>
      </c>
    </row>
    <row r="5045" customFormat="false" ht="15.75" hidden="false" customHeight="false" outlineLevel="0" collapsed="false">
      <c r="A5045" s="3" t="n">
        <v>46236</v>
      </c>
      <c r="B5045" s="4" t="s">
        <v>334</v>
      </c>
      <c r="C5045" s="4" t="n">
        <v>5</v>
      </c>
      <c r="D5045" s="4" t="n">
        <v>4</v>
      </c>
      <c r="E5045" s="4" t="s">
        <v>4133</v>
      </c>
      <c r="F5045" s="4" t="n">
        <v>31</v>
      </c>
      <c r="G5045" s="4" t="n">
        <v>2</v>
      </c>
      <c r="H5045" s="4" t="n">
        <v>4</v>
      </c>
      <c r="I5045" s="4" t="str">
        <v>×</v>
      </c>
      <c r="J5045" s="4"/>
      <c r="K5045" s="4"/>
      <c r="L5045" s="4"/>
      <c r="M5045" s="7" t="s">
        <v>3577</v>
      </c>
    </row>
    <row r="5046" customFormat="false" ht="15.75" hidden="false" customHeight="false" outlineLevel="0" collapsed="false">
      <c r="A5046" s="3" t="n">
        <v>46236</v>
      </c>
      <c r="B5046" s="4" t="s">
        <v>334</v>
      </c>
      <c r="C5046" s="4" t="n">
        <v>5</v>
      </c>
      <c r="D5046" s="4" t="n">
        <v>5</v>
      </c>
      <c r="E5046" s="4" t="s">
        <v>4134</v>
      </c>
      <c r="F5046" s="4" t="n">
        <v>12</v>
      </c>
      <c r="G5046" s="4" t="n">
        <v>8</v>
      </c>
      <c r="H5046" s="4" t="n">
        <v>4</v>
      </c>
      <c r="I5046" s="4" t="str">
        <v>×</v>
      </c>
      <c r="J5046" s="4"/>
      <c r="K5046" s="4"/>
      <c r="L5046" s="4"/>
      <c r="M5046" s="7" t="s">
        <v>3577</v>
      </c>
    </row>
    <row r="5047" customFormat="false" ht="15.75" hidden="false" customHeight="false" outlineLevel="0" collapsed="false">
      <c r="A5047" s="3" t="n">
        <v>46236</v>
      </c>
      <c r="B5047" s="4" t="s">
        <v>334</v>
      </c>
      <c r="C5047" s="4" t="n">
        <v>5</v>
      </c>
      <c r="D5047" s="4" t="n">
        <v>6</v>
      </c>
      <c r="E5047" s="4" t="s">
        <v>4135</v>
      </c>
      <c r="F5047" s="4" t="n">
        <v>37</v>
      </c>
      <c r="G5047" s="4" t="n">
        <v>1</v>
      </c>
      <c r="H5047" s="4" t="n">
        <v>4</v>
      </c>
      <c r="I5047" s="4" t="str">
        <v>×</v>
      </c>
      <c r="J5047" s="4"/>
      <c r="K5047" s="4"/>
      <c r="L5047" s="4"/>
      <c r="M5047" s="7" t="s">
        <v>3577</v>
      </c>
    </row>
    <row r="5048" customFormat="false" ht="15.75" hidden="false" customHeight="false" outlineLevel="0" collapsed="false">
      <c r="A5048" s="3" t="n">
        <v>46236</v>
      </c>
      <c r="B5048" s="4" t="s">
        <v>334</v>
      </c>
      <c r="C5048" s="4" t="n">
        <v>5</v>
      </c>
      <c r="D5048" s="4" t="n">
        <v>7</v>
      </c>
      <c r="E5048" s="4" t="s">
        <v>4136</v>
      </c>
      <c r="F5048" s="4" t="n">
        <v>24</v>
      </c>
      <c r="G5048" s="4" t="n">
        <v>5</v>
      </c>
      <c r="H5048" s="4" t="n">
        <v>2</v>
      </c>
      <c r="I5048" s="4" t="str">
        <v>○</v>
      </c>
      <c r="J5048" s="4" t="n">
        <v>210</v>
      </c>
      <c r="K5048" s="4"/>
      <c r="L5048" s="4"/>
      <c r="M5048" s="7" t="s">
        <v>3577</v>
      </c>
    </row>
    <row r="5049" customFormat="false" ht="15.75" hidden="false" customHeight="false" outlineLevel="0" collapsed="false">
      <c r="A5049" s="3" t="n">
        <v>46236</v>
      </c>
      <c r="B5049" s="4" t="s">
        <v>334</v>
      </c>
      <c r="C5049" s="4" t="n">
        <v>5</v>
      </c>
      <c r="D5049" s="4" t="n">
        <v>8</v>
      </c>
      <c r="E5049" s="4" t="s">
        <v>4137</v>
      </c>
      <c r="F5049" s="4" t="n">
        <v>21</v>
      </c>
      <c r="G5049" s="4" t="n">
        <v>6</v>
      </c>
      <c r="H5049" s="4" t="n">
        <v>4</v>
      </c>
      <c r="I5049" s="4" t="str">
        <v>×</v>
      </c>
      <c r="J5049" s="4"/>
      <c r="K5049" s="4"/>
      <c r="L5049" s="4"/>
      <c r="M5049" s="7" t="s">
        <v>3577</v>
      </c>
    </row>
    <row r="5050" customFormat="false" ht="15.75" hidden="false" customHeight="false" outlineLevel="0" collapsed="false">
      <c r="A5050" s="3" t="n">
        <v>46236</v>
      </c>
      <c r="B5050" s="4" t="s">
        <v>334</v>
      </c>
      <c r="C5050" s="4" t="n">
        <v>5</v>
      </c>
      <c r="D5050" s="4" t="n">
        <v>9</v>
      </c>
      <c r="E5050" s="4" t="s">
        <v>4138</v>
      </c>
      <c r="F5050" s="4" t="n">
        <v>8</v>
      </c>
      <c r="G5050" s="4" t="n">
        <v>10</v>
      </c>
      <c r="H5050" s="4" t="n">
        <v>4</v>
      </c>
      <c r="I5050" s="4" t="str">
        <v>×</v>
      </c>
      <c r="J5050" s="4"/>
      <c r="K5050" s="4"/>
      <c r="L5050" s="4"/>
      <c r="M5050" s="7" t="s">
        <v>3577</v>
      </c>
    </row>
    <row r="5051" customFormat="false" ht="15.75" hidden="false" customHeight="false" outlineLevel="0" collapsed="false">
      <c r="A5051" s="3" t="n">
        <v>46236</v>
      </c>
      <c r="B5051" s="4" t="s">
        <v>334</v>
      </c>
      <c r="C5051" s="4" t="n">
        <v>5</v>
      </c>
      <c r="D5051" s="4" t="n">
        <v>10</v>
      </c>
      <c r="E5051" s="4" t="s">
        <v>4139</v>
      </c>
      <c r="F5051" s="4" t="n">
        <v>21</v>
      </c>
      <c r="G5051" s="4" t="n">
        <v>6</v>
      </c>
      <c r="H5051" s="4" t="n">
        <v>4</v>
      </c>
      <c r="I5051" s="4" t="str">
        <v>×</v>
      </c>
      <c r="J5051" s="4"/>
      <c r="K5051" s="4"/>
      <c r="L5051" s="4"/>
      <c r="M5051" s="7" t="s">
        <v>3577</v>
      </c>
    </row>
    <row r="5052" customFormat="false" ht="15.75" hidden="false" customHeight="false" outlineLevel="0" collapsed="false">
      <c r="A5052" s="3" t="n">
        <v>46236</v>
      </c>
      <c r="B5052" s="4" t="s">
        <v>334</v>
      </c>
      <c r="C5052" s="4" t="n">
        <v>6</v>
      </c>
      <c r="D5052" s="4" t="n">
        <v>1</v>
      </c>
      <c r="E5052" s="4" t="s">
        <v>2632</v>
      </c>
      <c r="F5052" s="4" t="n">
        <v>20</v>
      </c>
      <c r="G5052" s="4" t="n">
        <v>8</v>
      </c>
      <c r="H5052" s="4" t="n">
        <v>2</v>
      </c>
      <c r="I5052" s="4" t="str">
        <v>○</v>
      </c>
      <c r="J5052" s="4" t="n">
        <v>960</v>
      </c>
      <c r="K5052" s="4"/>
      <c r="L5052" s="4"/>
      <c r="M5052" s="7" t="s">
        <v>3577</v>
      </c>
    </row>
    <row r="5053" customFormat="false" ht="15.75" hidden="false" customHeight="false" outlineLevel="0" collapsed="false">
      <c r="A5053" s="3" t="n">
        <v>46236</v>
      </c>
      <c r="B5053" s="4" t="s">
        <v>334</v>
      </c>
      <c r="C5053" s="4" t="n">
        <v>6</v>
      </c>
      <c r="D5053" s="4" t="n">
        <v>2</v>
      </c>
      <c r="E5053" s="4" t="s">
        <v>4140</v>
      </c>
      <c r="F5053" s="4" t="n">
        <v>25</v>
      </c>
      <c r="G5053" s="4" t="n">
        <v>7</v>
      </c>
      <c r="H5053" s="4" t="n">
        <v>3</v>
      </c>
      <c r="I5053" s="4" t="str">
        <v>○</v>
      </c>
      <c r="J5053" s="4" t="n">
        <v>250</v>
      </c>
      <c r="K5053" s="4"/>
      <c r="L5053" s="4"/>
      <c r="M5053" s="7" t="s">
        <v>3577</v>
      </c>
    </row>
    <row r="5054" customFormat="false" ht="15.75" hidden="false" customHeight="false" outlineLevel="0" collapsed="false">
      <c r="A5054" s="3" t="n">
        <v>46236</v>
      </c>
      <c r="B5054" s="4" t="s">
        <v>334</v>
      </c>
      <c r="C5054" s="4" t="n">
        <v>6</v>
      </c>
      <c r="D5054" s="4" t="n">
        <v>3</v>
      </c>
      <c r="E5054" s="4" t="s">
        <v>4141</v>
      </c>
      <c r="F5054" s="4" t="n">
        <v>44</v>
      </c>
      <c r="G5054" s="4" t="n">
        <v>4</v>
      </c>
      <c r="H5054" s="4" t="n">
        <v>4</v>
      </c>
      <c r="I5054" s="4" t="str">
        <v>×</v>
      </c>
      <c r="J5054" s="4"/>
      <c r="K5054" s="4"/>
      <c r="L5054" s="4"/>
      <c r="M5054" s="7" t="s">
        <v>3577</v>
      </c>
    </row>
    <row r="5055" customFormat="false" ht="15.75" hidden="false" customHeight="false" outlineLevel="0" collapsed="false">
      <c r="A5055" s="3" t="n">
        <v>46236</v>
      </c>
      <c r="B5055" s="4" t="s">
        <v>334</v>
      </c>
      <c r="C5055" s="4" t="n">
        <v>6</v>
      </c>
      <c r="D5055" s="4" t="n">
        <v>4</v>
      </c>
      <c r="E5055" s="4" t="s">
        <v>2238</v>
      </c>
      <c r="F5055" s="4" t="n">
        <v>60</v>
      </c>
      <c r="G5055" s="4" t="n">
        <v>1</v>
      </c>
      <c r="H5055" s="4" t="n">
        <v>4</v>
      </c>
      <c r="I5055" s="4" t="str">
        <v>×</v>
      </c>
      <c r="J5055" s="4"/>
      <c r="K5055" s="4"/>
      <c r="L5055" s="4"/>
      <c r="M5055" s="7" t="s">
        <v>3577</v>
      </c>
    </row>
    <row r="5056" customFormat="false" ht="15.75" hidden="false" customHeight="false" outlineLevel="0" collapsed="false">
      <c r="A5056" s="3" t="n">
        <v>46236</v>
      </c>
      <c r="B5056" s="4" t="s">
        <v>334</v>
      </c>
      <c r="C5056" s="4" t="n">
        <v>6</v>
      </c>
      <c r="D5056" s="4" t="n">
        <v>5</v>
      </c>
      <c r="E5056" s="4" t="s">
        <v>4142</v>
      </c>
      <c r="F5056" s="4" t="n">
        <v>44</v>
      </c>
      <c r="G5056" s="4" t="n">
        <v>4</v>
      </c>
      <c r="H5056" s="4" t="n">
        <v>4</v>
      </c>
      <c r="I5056" s="4" t="str">
        <v>×</v>
      </c>
      <c r="J5056" s="4"/>
      <c r="K5056" s="4"/>
      <c r="L5056" s="4"/>
      <c r="M5056" s="7" t="s">
        <v>3577</v>
      </c>
    </row>
    <row r="5057" customFormat="false" ht="15.75" hidden="false" customHeight="false" outlineLevel="0" collapsed="false">
      <c r="A5057" s="3" t="n">
        <v>46236</v>
      </c>
      <c r="B5057" s="4" t="s">
        <v>334</v>
      </c>
      <c r="C5057" s="4" t="n">
        <v>6</v>
      </c>
      <c r="D5057" s="4" t="n">
        <v>6</v>
      </c>
      <c r="E5057" s="4" t="s">
        <v>1317</v>
      </c>
      <c r="F5057" s="4" t="n">
        <v>52</v>
      </c>
      <c r="G5057" s="4" t="n">
        <v>2</v>
      </c>
      <c r="H5057" s="4" t="n">
        <v>4</v>
      </c>
      <c r="I5057" s="4" t="str">
        <v>×</v>
      </c>
      <c r="J5057" s="4"/>
      <c r="K5057" s="4"/>
      <c r="L5057" s="4"/>
      <c r="M5057" s="7" t="s">
        <v>3577</v>
      </c>
    </row>
    <row r="5058" customFormat="false" ht="15.75" hidden="false" customHeight="false" outlineLevel="0" collapsed="false">
      <c r="A5058" s="3" t="n">
        <v>46236</v>
      </c>
      <c r="B5058" s="4" t="s">
        <v>334</v>
      </c>
      <c r="C5058" s="4" t="n">
        <v>6</v>
      </c>
      <c r="D5058" s="4" t="n">
        <v>7</v>
      </c>
      <c r="E5058" s="4" t="s">
        <v>4143</v>
      </c>
      <c r="F5058" s="4" t="n">
        <v>47</v>
      </c>
      <c r="G5058" s="4" t="n">
        <v>3</v>
      </c>
      <c r="H5058" s="4" t="n">
        <v>4</v>
      </c>
      <c r="I5058" s="4" t="str">
        <v>×</v>
      </c>
      <c r="J5058" s="4"/>
      <c r="K5058" s="4"/>
      <c r="L5058" s="4"/>
      <c r="M5058" s="7" t="s">
        <v>3577</v>
      </c>
    </row>
    <row r="5059" customFormat="false" ht="15.75" hidden="false" customHeight="false" outlineLevel="0" collapsed="false">
      <c r="A5059" s="3" t="n">
        <v>46236</v>
      </c>
      <c r="B5059" s="4" t="s">
        <v>334</v>
      </c>
      <c r="C5059" s="4" t="n">
        <v>6</v>
      </c>
      <c r="D5059" s="4" t="n">
        <v>8</v>
      </c>
      <c r="E5059" s="4" t="s">
        <v>3233</v>
      </c>
      <c r="F5059" s="4" t="n">
        <v>31</v>
      </c>
      <c r="G5059" s="4" t="n">
        <v>6</v>
      </c>
      <c r="H5059" s="4" t="n">
        <v>4</v>
      </c>
      <c r="I5059" s="4" t="str">
        <v>×</v>
      </c>
      <c r="J5059" s="4"/>
      <c r="K5059" s="4"/>
      <c r="L5059" s="4"/>
      <c r="M5059" s="7" t="s">
        <v>3577</v>
      </c>
    </row>
    <row r="5060" customFormat="false" ht="15.75" hidden="false" customHeight="false" outlineLevel="0" collapsed="false">
      <c r="A5060" s="3" t="n">
        <v>46236</v>
      </c>
      <c r="B5060" s="4" t="s">
        <v>334</v>
      </c>
      <c r="C5060" s="4" t="n">
        <v>6</v>
      </c>
      <c r="D5060" s="4" t="n">
        <v>9</v>
      </c>
      <c r="E5060" s="4" t="s">
        <v>4144</v>
      </c>
      <c r="F5060" s="4" t="n">
        <v>15</v>
      </c>
      <c r="G5060" s="4" t="n">
        <v>9</v>
      </c>
      <c r="H5060" s="4" t="n">
        <v>4</v>
      </c>
      <c r="I5060" s="4" t="str">
        <v>×</v>
      </c>
      <c r="J5060" s="4"/>
      <c r="K5060" s="4"/>
      <c r="L5060" s="4"/>
      <c r="M5060" s="7" t="s">
        <v>3577</v>
      </c>
    </row>
    <row r="5061" customFormat="false" ht="15.75" hidden="false" customHeight="false" outlineLevel="0" collapsed="false">
      <c r="A5061" s="3" t="n">
        <v>46236</v>
      </c>
      <c r="B5061" s="4" t="s">
        <v>334</v>
      </c>
      <c r="C5061" s="4" t="n">
        <v>6</v>
      </c>
      <c r="D5061" s="4" t="n">
        <v>10</v>
      </c>
      <c r="E5061" s="4" t="s">
        <v>4145</v>
      </c>
      <c r="F5061" s="4" t="n">
        <v>15</v>
      </c>
      <c r="G5061" s="4" t="n">
        <v>9</v>
      </c>
      <c r="H5061" s="4" t="n">
        <v>1</v>
      </c>
      <c r="I5061" s="4" t="str">
        <v>○</v>
      </c>
      <c r="J5061" s="4" t="n">
        <v>280</v>
      </c>
      <c r="K5061" s="4"/>
      <c r="L5061" s="4"/>
      <c r="M5061" s="7" t="s">
        <v>3577</v>
      </c>
    </row>
    <row r="5062" customFormat="false" ht="15.75" hidden="false" customHeight="false" outlineLevel="0" collapsed="false">
      <c r="A5062" s="3" t="n">
        <v>46236</v>
      </c>
      <c r="B5062" s="4" t="s">
        <v>334</v>
      </c>
      <c r="C5062" s="4" t="n">
        <v>6</v>
      </c>
      <c r="D5062" s="4" t="n">
        <v>11</v>
      </c>
      <c r="E5062" s="4" t="s">
        <v>4146</v>
      </c>
      <c r="F5062" s="4" t="n">
        <v>15</v>
      </c>
      <c r="G5062" s="4" t="n">
        <v>9</v>
      </c>
      <c r="H5062" s="4" t="n">
        <v>4</v>
      </c>
      <c r="I5062" s="4" t="str">
        <v>×</v>
      </c>
      <c r="J5062" s="4"/>
      <c r="K5062" s="4"/>
      <c r="L5062" s="4"/>
      <c r="M5062" s="7" t="s">
        <v>3577</v>
      </c>
    </row>
    <row r="5063" customFormat="false" ht="15.75" hidden="false" customHeight="false" outlineLevel="0" collapsed="false">
      <c r="A5063" s="3" t="n">
        <v>46236</v>
      </c>
      <c r="B5063" s="4" t="s">
        <v>334</v>
      </c>
      <c r="C5063" s="4" t="n">
        <v>7</v>
      </c>
      <c r="D5063" s="4" t="n">
        <v>1</v>
      </c>
      <c r="E5063" s="4" t="s">
        <v>2749</v>
      </c>
      <c r="F5063" s="4" t="n">
        <v>56</v>
      </c>
      <c r="G5063" s="4" t="n">
        <v>1</v>
      </c>
      <c r="H5063" s="4" t="n">
        <v>4</v>
      </c>
      <c r="I5063" s="4" t="str">
        <v>×</v>
      </c>
      <c r="J5063" s="4"/>
      <c r="K5063" s="4"/>
      <c r="L5063" s="4"/>
      <c r="M5063" s="7" t="s">
        <v>3577</v>
      </c>
    </row>
    <row r="5064" customFormat="false" ht="15.75" hidden="false" customHeight="false" outlineLevel="0" collapsed="false">
      <c r="A5064" s="3" t="n">
        <v>46236</v>
      </c>
      <c r="B5064" s="4" t="s">
        <v>334</v>
      </c>
      <c r="C5064" s="4" t="n">
        <v>7</v>
      </c>
      <c r="D5064" s="4" t="n">
        <v>2</v>
      </c>
      <c r="E5064" s="4" t="s">
        <v>1750</v>
      </c>
      <c r="F5064" s="4" t="n">
        <v>23</v>
      </c>
      <c r="G5064" s="4" t="n">
        <v>6</v>
      </c>
      <c r="H5064" s="4" t="n">
        <v>4</v>
      </c>
      <c r="I5064" s="4" t="str">
        <v>×</v>
      </c>
      <c r="J5064" s="4"/>
      <c r="K5064" s="4"/>
      <c r="L5064" s="4"/>
      <c r="M5064" s="7" t="s">
        <v>3577</v>
      </c>
    </row>
    <row r="5065" customFormat="false" ht="15.75" hidden="false" customHeight="false" outlineLevel="0" collapsed="false">
      <c r="A5065" s="3" t="n">
        <v>46236</v>
      </c>
      <c r="B5065" s="4" t="s">
        <v>334</v>
      </c>
      <c r="C5065" s="4" t="n">
        <v>7</v>
      </c>
      <c r="D5065" s="4" t="n">
        <v>3</v>
      </c>
      <c r="E5065" s="4" t="s">
        <v>4147</v>
      </c>
      <c r="F5065" s="4" t="n">
        <v>8</v>
      </c>
      <c r="G5065" s="4" t="n">
        <v>11</v>
      </c>
      <c r="H5065" s="4" t="n">
        <v>4</v>
      </c>
      <c r="I5065" s="4" t="str">
        <v>×</v>
      </c>
      <c r="J5065" s="4"/>
      <c r="K5065" s="4"/>
      <c r="L5065" s="4"/>
      <c r="M5065" s="7" t="s">
        <v>3577</v>
      </c>
    </row>
    <row r="5066" customFormat="false" ht="15.75" hidden="false" customHeight="false" outlineLevel="0" collapsed="false">
      <c r="A5066" s="3" t="n">
        <v>46236</v>
      </c>
      <c r="B5066" s="4" t="s">
        <v>334</v>
      </c>
      <c r="C5066" s="4" t="n">
        <v>7</v>
      </c>
      <c r="D5066" s="4" t="n">
        <v>4</v>
      </c>
      <c r="E5066" s="4" t="s">
        <v>2305</v>
      </c>
      <c r="F5066" s="4" t="n">
        <v>15</v>
      </c>
      <c r="G5066" s="4" t="n">
        <v>7</v>
      </c>
      <c r="H5066" s="4" t="n">
        <v>1</v>
      </c>
      <c r="I5066" s="4" t="str">
        <v>○</v>
      </c>
      <c r="J5066" s="4" t="n">
        <v>810</v>
      </c>
      <c r="K5066" s="4"/>
      <c r="L5066" s="4"/>
      <c r="M5066" s="7" t="s">
        <v>3577</v>
      </c>
    </row>
    <row r="5067" customFormat="false" ht="15.75" hidden="false" customHeight="false" outlineLevel="0" collapsed="false">
      <c r="A5067" s="3" t="n">
        <v>46236</v>
      </c>
      <c r="B5067" s="4" t="s">
        <v>334</v>
      </c>
      <c r="C5067" s="4" t="n">
        <v>7</v>
      </c>
      <c r="D5067" s="4" t="n">
        <v>5</v>
      </c>
      <c r="E5067" s="4" t="s">
        <v>1267</v>
      </c>
      <c r="F5067" s="4" t="n">
        <v>10</v>
      </c>
      <c r="G5067" s="4" t="n">
        <v>10</v>
      </c>
      <c r="H5067" s="4" t="n">
        <v>4</v>
      </c>
      <c r="I5067" s="4" t="str">
        <v>×</v>
      </c>
      <c r="J5067" s="4"/>
      <c r="K5067" s="4"/>
      <c r="L5067" s="4"/>
      <c r="M5067" s="7" t="s">
        <v>3577</v>
      </c>
    </row>
    <row r="5068" customFormat="false" ht="15.75" hidden="false" customHeight="false" outlineLevel="0" collapsed="false">
      <c r="A5068" s="3" t="n">
        <v>46236</v>
      </c>
      <c r="B5068" s="4" t="s">
        <v>334</v>
      </c>
      <c r="C5068" s="4" t="n">
        <v>7</v>
      </c>
      <c r="D5068" s="4" t="n">
        <v>6</v>
      </c>
      <c r="E5068" s="4" t="s">
        <v>1281</v>
      </c>
      <c r="F5068" s="4" t="n">
        <v>4</v>
      </c>
      <c r="G5068" s="4" t="n">
        <v>12</v>
      </c>
      <c r="H5068" s="4" t="n">
        <v>4</v>
      </c>
      <c r="I5068" s="4" t="str">
        <v>×</v>
      </c>
      <c r="J5068" s="4"/>
      <c r="K5068" s="4"/>
      <c r="L5068" s="4"/>
      <c r="M5068" s="7" t="s">
        <v>3577</v>
      </c>
    </row>
    <row r="5069" customFormat="false" ht="15.75" hidden="false" customHeight="false" outlineLevel="0" collapsed="false">
      <c r="A5069" s="3" t="n">
        <v>46236</v>
      </c>
      <c r="B5069" s="4" t="s">
        <v>334</v>
      </c>
      <c r="C5069" s="4" t="n">
        <v>7</v>
      </c>
      <c r="D5069" s="4" t="n">
        <v>7</v>
      </c>
      <c r="E5069" s="4" t="s">
        <v>1755</v>
      </c>
      <c r="F5069" s="4" t="n">
        <v>31</v>
      </c>
      <c r="G5069" s="4" t="n">
        <v>3</v>
      </c>
      <c r="H5069" s="4" t="n">
        <v>4</v>
      </c>
      <c r="I5069" s="4" t="str">
        <v>×</v>
      </c>
      <c r="J5069" s="4"/>
      <c r="K5069" s="4"/>
      <c r="L5069" s="4"/>
      <c r="M5069" s="7" t="s">
        <v>3577</v>
      </c>
    </row>
    <row r="5070" customFormat="false" ht="15.75" hidden="false" customHeight="false" outlineLevel="0" collapsed="false">
      <c r="A5070" s="3" t="n">
        <v>46236</v>
      </c>
      <c r="B5070" s="4" t="s">
        <v>334</v>
      </c>
      <c r="C5070" s="4" t="n">
        <v>7</v>
      </c>
      <c r="D5070" s="4" t="n">
        <v>8</v>
      </c>
      <c r="E5070" s="4" t="s">
        <v>2567</v>
      </c>
      <c r="F5070" s="4" t="n">
        <v>31</v>
      </c>
      <c r="G5070" s="4" t="n">
        <v>3</v>
      </c>
      <c r="H5070" s="4" t="n">
        <v>4</v>
      </c>
      <c r="I5070" s="4" t="str">
        <v>×</v>
      </c>
      <c r="J5070" s="4"/>
      <c r="K5070" s="4"/>
      <c r="L5070" s="4"/>
      <c r="M5070" s="7" t="s">
        <v>3577</v>
      </c>
    </row>
    <row r="5071" customFormat="false" ht="15.75" hidden="false" customHeight="false" outlineLevel="0" collapsed="false">
      <c r="A5071" s="3" t="n">
        <v>46236</v>
      </c>
      <c r="B5071" s="4" t="s">
        <v>334</v>
      </c>
      <c r="C5071" s="4" t="n">
        <v>7</v>
      </c>
      <c r="D5071" s="4" t="n">
        <v>9</v>
      </c>
      <c r="E5071" s="4" t="s">
        <v>2930</v>
      </c>
      <c r="F5071" s="4" t="n">
        <v>41</v>
      </c>
      <c r="G5071" s="4" t="n">
        <v>2</v>
      </c>
      <c r="H5071" s="4" t="n">
        <v>2</v>
      </c>
      <c r="I5071" s="4" t="str">
        <v>○</v>
      </c>
      <c r="J5071" s="4" t="n">
        <v>290</v>
      </c>
      <c r="K5071" s="4"/>
      <c r="L5071" s="4"/>
      <c r="M5071" s="7" t="s">
        <v>3577</v>
      </c>
    </row>
    <row r="5072" customFormat="false" ht="15.75" hidden="false" customHeight="false" outlineLevel="0" collapsed="false">
      <c r="A5072" s="3" t="n">
        <v>46236</v>
      </c>
      <c r="B5072" s="4" t="s">
        <v>334</v>
      </c>
      <c r="C5072" s="4" t="n">
        <v>7</v>
      </c>
      <c r="D5072" s="4" t="n">
        <v>10</v>
      </c>
      <c r="E5072" s="4" t="s">
        <v>4148</v>
      </c>
      <c r="F5072" s="4" t="n">
        <v>13</v>
      </c>
      <c r="G5072" s="4" t="n">
        <v>9</v>
      </c>
      <c r="H5072" s="4" t="n">
        <v>4</v>
      </c>
      <c r="I5072" s="4" t="str">
        <v>×</v>
      </c>
      <c r="J5072" s="4"/>
      <c r="K5072" s="4"/>
      <c r="L5072" s="4"/>
      <c r="M5072" s="7" t="s">
        <v>3577</v>
      </c>
    </row>
    <row r="5073" customFormat="false" ht="15.75" hidden="false" customHeight="false" outlineLevel="0" collapsed="false">
      <c r="A5073" s="3" t="n">
        <v>46236</v>
      </c>
      <c r="B5073" s="4" t="s">
        <v>334</v>
      </c>
      <c r="C5073" s="4" t="n">
        <v>7</v>
      </c>
      <c r="D5073" s="4" t="n">
        <v>11</v>
      </c>
      <c r="E5073" s="4" t="s">
        <v>2595</v>
      </c>
      <c r="F5073" s="4" t="n">
        <v>29</v>
      </c>
      <c r="G5073" s="4" t="n">
        <v>5</v>
      </c>
      <c r="H5073" s="4" t="n">
        <v>4</v>
      </c>
      <c r="I5073" s="4" t="str">
        <v>×</v>
      </c>
      <c r="J5073" s="4"/>
      <c r="K5073" s="4"/>
      <c r="L5073" s="4"/>
      <c r="M5073" s="7" t="s">
        <v>3577</v>
      </c>
    </row>
    <row r="5074" customFormat="false" ht="15.75" hidden="false" customHeight="false" outlineLevel="0" collapsed="false">
      <c r="A5074" s="3" t="n">
        <v>46236</v>
      </c>
      <c r="B5074" s="4" t="s">
        <v>334</v>
      </c>
      <c r="C5074" s="4" t="n">
        <v>7</v>
      </c>
      <c r="D5074" s="4" t="n">
        <v>12</v>
      </c>
      <c r="E5074" s="4" t="s">
        <v>1754</v>
      </c>
      <c r="F5074" s="4" t="n">
        <v>15</v>
      </c>
      <c r="G5074" s="4" t="n">
        <v>7</v>
      </c>
      <c r="H5074" s="4" t="n">
        <v>3</v>
      </c>
      <c r="I5074" s="4" t="str">
        <v>○</v>
      </c>
      <c r="J5074" s="4" t="n">
        <v>920</v>
      </c>
      <c r="K5074" s="4"/>
      <c r="L5074" s="4"/>
      <c r="M5074" s="7" t="s">
        <v>3577</v>
      </c>
    </row>
    <row r="5075" customFormat="false" ht="15.75" hidden="false" customHeight="false" outlineLevel="0" collapsed="false">
      <c r="A5075" s="3" t="n">
        <v>46236</v>
      </c>
      <c r="B5075" s="4" t="s">
        <v>334</v>
      </c>
      <c r="C5075" s="4" t="n">
        <v>8</v>
      </c>
      <c r="D5075" s="4" t="n">
        <v>1</v>
      </c>
      <c r="E5075" s="4" t="s">
        <v>1379</v>
      </c>
      <c r="F5075" s="4" t="n">
        <v>39</v>
      </c>
      <c r="G5075" s="4" t="n">
        <v>3</v>
      </c>
      <c r="H5075" s="4" t="n">
        <v>2</v>
      </c>
      <c r="I5075" s="4" t="str">
        <v>○</v>
      </c>
      <c r="J5075" s="4" t="n">
        <v>240</v>
      </c>
      <c r="K5075" s="4"/>
      <c r="L5075" s="4"/>
      <c r="M5075" s="7" t="s">
        <v>3577</v>
      </c>
    </row>
    <row r="5076" customFormat="false" ht="15.75" hidden="false" customHeight="false" outlineLevel="0" collapsed="false">
      <c r="A5076" s="3" t="n">
        <v>46236</v>
      </c>
      <c r="B5076" s="4" t="s">
        <v>334</v>
      </c>
      <c r="C5076" s="4" t="n">
        <v>8</v>
      </c>
      <c r="D5076" s="4" t="n">
        <v>2</v>
      </c>
      <c r="E5076" s="4" t="s">
        <v>3354</v>
      </c>
      <c r="F5076" s="4" t="n">
        <v>37</v>
      </c>
      <c r="G5076" s="4" t="n">
        <v>4</v>
      </c>
      <c r="H5076" s="4" t="n">
        <v>1</v>
      </c>
      <c r="I5076" s="4" t="str">
        <v>○</v>
      </c>
      <c r="J5076" s="4" t="n">
        <v>170</v>
      </c>
      <c r="K5076" s="4"/>
      <c r="L5076" s="4"/>
      <c r="M5076" s="7" t="s">
        <v>3577</v>
      </c>
    </row>
    <row r="5077" customFormat="false" ht="15.75" hidden="false" customHeight="false" outlineLevel="0" collapsed="false">
      <c r="A5077" s="3" t="n">
        <v>46236</v>
      </c>
      <c r="B5077" s="4" t="s">
        <v>334</v>
      </c>
      <c r="C5077" s="4" t="n">
        <v>8</v>
      </c>
      <c r="D5077" s="4" t="n">
        <v>3</v>
      </c>
      <c r="E5077" s="4" t="s">
        <v>3315</v>
      </c>
      <c r="F5077" s="4" t="n">
        <v>20</v>
      </c>
      <c r="G5077" s="4" t="n">
        <v>7</v>
      </c>
      <c r="H5077" s="4" t="n">
        <v>4</v>
      </c>
      <c r="I5077" s="4" t="str">
        <v>×</v>
      </c>
      <c r="J5077" s="4"/>
      <c r="K5077" s="4"/>
      <c r="L5077" s="4"/>
      <c r="M5077" s="7" t="s">
        <v>3577</v>
      </c>
    </row>
    <row r="5078" customFormat="false" ht="15.75" hidden="false" customHeight="false" outlineLevel="0" collapsed="false">
      <c r="A5078" s="3" t="n">
        <v>46236</v>
      </c>
      <c r="B5078" s="4" t="s">
        <v>334</v>
      </c>
      <c r="C5078" s="4" t="n">
        <v>8</v>
      </c>
      <c r="D5078" s="4" t="n">
        <v>4</v>
      </c>
      <c r="E5078" s="4" t="s">
        <v>4149</v>
      </c>
      <c r="F5078" s="4" t="n">
        <v>8</v>
      </c>
      <c r="G5078" s="4" t="n">
        <v>10</v>
      </c>
      <c r="H5078" s="4" t="n">
        <v>4</v>
      </c>
      <c r="I5078" s="4" t="str">
        <v>×</v>
      </c>
      <c r="J5078" s="4"/>
      <c r="K5078" s="4"/>
      <c r="L5078" s="4"/>
      <c r="M5078" s="7" t="s">
        <v>3577</v>
      </c>
    </row>
    <row r="5079" customFormat="false" ht="15.75" hidden="false" customHeight="false" outlineLevel="0" collapsed="false">
      <c r="A5079" s="3" t="n">
        <v>46236</v>
      </c>
      <c r="B5079" s="4" t="s">
        <v>334</v>
      </c>
      <c r="C5079" s="4" t="n">
        <v>8</v>
      </c>
      <c r="D5079" s="4" t="n">
        <v>5</v>
      </c>
      <c r="E5079" s="4" t="s">
        <v>1856</v>
      </c>
      <c r="F5079" s="4" t="n">
        <v>47</v>
      </c>
      <c r="G5079" s="4" t="n">
        <v>2</v>
      </c>
      <c r="H5079" s="4" t="n">
        <v>4</v>
      </c>
      <c r="I5079" s="4" t="str">
        <v>×</v>
      </c>
      <c r="J5079" s="4"/>
      <c r="K5079" s="4"/>
      <c r="L5079" s="4"/>
      <c r="M5079" s="7" t="s">
        <v>3577</v>
      </c>
    </row>
    <row r="5080" customFormat="false" ht="15.75" hidden="false" customHeight="false" outlineLevel="0" collapsed="false">
      <c r="A5080" s="3" t="n">
        <v>46236</v>
      </c>
      <c r="B5080" s="4" t="s">
        <v>334</v>
      </c>
      <c r="C5080" s="4" t="n">
        <v>8</v>
      </c>
      <c r="D5080" s="4" t="n">
        <v>6</v>
      </c>
      <c r="E5080" s="4" t="s">
        <v>1860</v>
      </c>
      <c r="F5080" s="4" t="n">
        <v>31</v>
      </c>
      <c r="G5080" s="4" t="n">
        <v>6</v>
      </c>
      <c r="H5080" s="4" t="n">
        <v>4</v>
      </c>
      <c r="I5080" s="4" t="str">
        <v>×</v>
      </c>
      <c r="J5080" s="4"/>
      <c r="K5080" s="4"/>
      <c r="L5080" s="4"/>
      <c r="M5080" s="7" t="s">
        <v>3577</v>
      </c>
    </row>
    <row r="5081" customFormat="false" ht="15.75" hidden="false" customHeight="false" outlineLevel="0" collapsed="false">
      <c r="A5081" s="3" t="n">
        <v>46236</v>
      </c>
      <c r="B5081" s="4" t="s">
        <v>334</v>
      </c>
      <c r="C5081" s="4" t="n">
        <v>8</v>
      </c>
      <c r="D5081" s="4" t="n">
        <v>7</v>
      </c>
      <c r="E5081" s="4" t="s">
        <v>4150</v>
      </c>
      <c r="F5081" s="4" t="n">
        <v>8</v>
      </c>
      <c r="G5081" s="4" t="n">
        <v>10</v>
      </c>
      <c r="H5081" s="4" t="n">
        <v>4</v>
      </c>
      <c r="I5081" s="4" t="str">
        <v>×</v>
      </c>
      <c r="J5081" s="4"/>
      <c r="K5081" s="4"/>
      <c r="L5081" s="4"/>
      <c r="M5081" s="7" t="s">
        <v>3577</v>
      </c>
    </row>
    <row r="5082" customFormat="false" ht="15.75" hidden="false" customHeight="false" outlineLevel="0" collapsed="false">
      <c r="A5082" s="3" t="n">
        <v>46236</v>
      </c>
      <c r="B5082" s="4" t="s">
        <v>334</v>
      </c>
      <c r="C5082" s="4" t="n">
        <v>8</v>
      </c>
      <c r="D5082" s="4" t="n">
        <v>8</v>
      </c>
      <c r="E5082" s="4" t="s">
        <v>4151</v>
      </c>
      <c r="F5082" s="4" t="n">
        <v>10</v>
      </c>
      <c r="G5082" s="4" t="n">
        <v>9</v>
      </c>
      <c r="H5082" s="4" t="n">
        <v>4</v>
      </c>
      <c r="I5082" s="4" t="str">
        <v>×</v>
      </c>
      <c r="J5082" s="4"/>
      <c r="K5082" s="4"/>
      <c r="L5082" s="4"/>
      <c r="M5082" s="7" t="s">
        <v>3577</v>
      </c>
    </row>
    <row r="5083" customFormat="false" ht="15.75" hidden="false" customHeight="false" outlineLevel="0" collapsed="false">
      <c r="A5083" s="3" t="n">
        <v>46236</v>
      </c>
      <c r="B5083" s="4" t="s">
        <v>334</v>
      </c>
      <c r="C5083" s="4" t="n">
        <v>8</v>
      </c>
      <c r="D5083" s="4" t="n">
        <v>9</v>
      </c>
      <c r="E5083" s="4" t="s">
        <v>3529</v>
      </c>
      <c r="F5083" s="4" t="n">
        <v>4</v>
      </c>
      <c r="G5083" s="4" t="n">
        <v>14</v>
      </c>
      <c r="H5083" s="4" t="n">
        <v>4</v>
      </c>
      <c r="I5083" s="4" t="str">
        <v>×</v>
      </c>
      <c r="J5083" s="4"/>
      <c r="K5083" s="4"/>
      <c r="L5083" s="4"/>
      <c r="M5083" s="7" t="s">
        <v>3577</v>
      </c>
    </row>
    <row r="5084" customFormat="false" ht="15.75" hidden="false" customHeight="false" outlineLevel="0" collapsed="false">
      <c r="A5084" s="3" t="n">
        <v>46236</v>
      </c>
      <c r="B5084" s="4" t="s">
        <v>334</v>
      </c>
      <c r="C5084" s="4" t="n">
        <v>8</v>
      </c>
      <c r="D5084" s="4" t="n">
        <v>10</v>
      </c>
      <c r="E5084" s="4" t="s">
        <v>1864</v>
      </c>
      <c r="F5084" s="4" t="n">
        <v>8</v>
      </c>
      <c r="G5084" s="4" t="n">
        <v>10</v>
      </c>
      <c r="H5084" s="4" t="n">
        <v>4</v>
      </c>
      <c r="I5084" s="4" t="str">
        <v>×</v>
      </c>
      <c r="J5084" s="4"/>
      <c r="K5084" s="4"/>
      <c r="L5084" s="4"/>
      <c r="M5084" s="7" t="s">
        <v>3577</v>
      </c>
    </row>
    <row r="5085" customFormat="false" ht="15.75" hidden="false" customHeight="false" outlineLevel="0" collapsed="false">
      <c r="A5085" s="3" t="n">
        <v>46236</v>
      </c>
      <c r="B5085" s="4" t="s">
        <v>334</v>
      </c>
      <c r="C5085" s="4" t="n">
        <v>8</v>
      </c>
      <c r="D5085" s="4" t="n">
        <v>11</v>
      </c>
      <c r="E5085" s="4" t="s">
        <v>2672</v>
      </c>
      <c r="F5085" s="4" t="n">
        <v>17</v>
      </c>
      <c r="G5085" s="4" t="n">
        <v>8</v>
      </c>
      <c r="H5085" s="4" t="n">
        <v>4</v>
      </c>
      <c r="I5085" s="4" t="str">
        <v>×</v>
      </c>
      <c r="J5085" s="4"/>
      <c r="K5085" s="4"/>
      <c r="L5085" s="4"/>
      <c r="M5085" s="7" t="s">
        <v>3577</v>
      </c>
    </row>
    <row r="5086" customFormat="false" ht="15.75" hidden="false" customHeight="false" outlineLevel="0" collapsed="false">
      <c r="A5086" s="3" t="n">
        <v>46236</v>
      </c>
      <c r="B5086" s="4" t="s">
        <v>334</v>
      </c>
      <c r="C5086" s="4" t="n">
        <v>8</v>
      </c>
      <c r="D5086" s="4" t="n">
        <v>12</v>
      </c>
      <c r="E5086" s="4" t="s">
        <v>2365</v>
      </c>
      <c r="F5086" s="4" t="n">
        <v>8</v>
      </c>
      <c r="G5086" s="4" t="n">
        <v>10</v>
      </c>
      <c r="H5086" s="4" t="n">
        <v>4</v>
      </c>
      <c r="I5086" s="4" t="str">
        <v>×</v>
      </c>
      <c r="J5086" s="4"/>
      <c r="K5086" s="4"/>
      <c r="L5086" s="4"/>
      <c r="M5086" s="7" t="s">
        <v>3577</v>
      </c>
    </row>
    <row r="5087" customFormat="false" ht="15.75" hidden="false" customHeight="false" outlineLevel="0" collapsed="false">
      <c r="A5087" s="3" t="n">
        <v>46236</v>
      </c>
      <c r="B5087" s="4" t="s">
        <v>334</v>
      </c>
      <c r="C5087" s="4" t="n">
        <v>8</v>
      </c>
      <c r="D5087" s="4" t="n">
        <v>13</v>
      </c>
      <c r="E5087" s="4" t="s">
        <v>3532</v>
      </c>
      <c r="F5087" s="4" t="n">
        <v>37</v>
      </c>
      <c r="G5087" s="4" t="n">
        <v>4</v>
      </c>
      <c r="H5087" s="4" t="n">
        <v>4</v>
      </c>
      <c r="I5087" s="4" t="str">
        <v>×</v>
      </c>
      <c r="J5087" s="4"/>
      <c r="K5087" s="4"/>
      <c r="L5087" s="4"/>
      <c r="M5087" s="7" t="s">
        <v>3577</v>
      </c>
    </row>
    <row r="5088" customFormat="false" ht="15.75" hidden="false" customHeight="false" outlineLevel="0" collapsed="false">
      <c r="A5088" s="3" t="n">
        <v>46236</v>
      </c>
      <c r="B5088" s="4" t="s">
        <v>334</v>
      </c>
      <c r="C5088" s="4" t="n">
        <v>8</v>
      </c>
      <c r="D5088" s="4" t="n">
        <v>14</v>
      </c>
      <c r="E5088" s="4" t="s">
        <v>406</v>
      </c>
      <c r="F5088" s="4" t="n">
        <v>60</v>
      </c>
      <c r="G5088" s="4" t="n">
        <v>1</v>
      </c>
      <c r="H5088" s="4" t="n">
        <v>3</v>
      </c>
      <c r="I5088" s="4" t="str">
        <v>○</v>
      </c>
      <c r="J5088" s="4" t="n">
        <v>150</v>
      </c>
      <c r="K5088" s="4"/>
      <c r="L5088" s="4"/>
      <c r="M5088" s="7" t="s">
        <v>3577</v>
      </c>
    </row>
    <row r="5089" customFormat="false" ht="15.75" hidden="false" customHeight="false" outlineLevel="0" collapsed="false">
      <c r="A5089" s="3" t="n">
        <v>46236</v>
      </c>
      <c r="B5089" s="4" t="s">
        <v>334</v>
      </c>
      <c r="C5089" s="4" t="n">
        <v>9</v>
      </c>
      <c r="D5089" s="4" t="n">
        <v>1</v>
      </c>
      <c r="E5089" s="4" t="s">
        <v>2651</v>
      </c>
      <c r="F5089" s="4" t="n">
        <v>44</v>
      </c>
      <c r="G5089" s="4" t="n">
        <v>3</v>
      </c>
      <c r="H5089" s="4" t="n">
        <v>4</v>
      </c>
      <c r="I5089" s="4" t="str">
        <v>×</v>
      </c>
      <c r="J5089" s="4"/>
      <c r="K5089" s="4"/>
      <c r="L5089" s="4"/>
      <c r="M5089" s="7" t="s">
        <v>3577</v>
      </c>
    </row>
    <row r="5090" customFormat="false" ht="15.75" hidden="false" customHeight="false" outlineLevel="0" collapsed="false">
      <c r="A5090" s="3" t="n">
        <v>46236</v>
      </c>
      <c r="B5090" s="4" t="s">
        <v>334</v>
      </c>
      <c r="C5090" s="4" t="n">
        <v>9</v>
      </c>
      <c r="D5090" s="4" t="n">
        <v>2</v>
      </c>
      <c r="E5090" s="4" t="s">
        <v>2649</v>
      </c>
      <c r="F5090" s="4" t="n">
        <v>47</v>
      </c>
      <c r="G5090" s="4" t="n">
        <v>2</v>
      </c>
      <c r="H5090" s="4" t="n">
        <v>4</v>
      </c>
      <c r="I5090" s="4" t="str">
        <v>×</v>
      </c>
      <c r="J5090" s="4"/>
      <c r="K5090" s="4"/>
      <c r="L5090" s="4"/>
      <c r="M5090" s="7" t="s">
        <v>3577</v>
      </c>
    </row>
    <row r="5091" customFormat="false" ht="15.75" hidden="false" customHeight="false" outlineLevel="0" collapsed="false">
      <c r="A5091" s="3" t="n">
        <v>46236</v>
      </c>
      <c r="B5091" s="4" t="s">
        <v>334</v>
      </c>
      <c r="C5091" s="4" t="n">
        <v>9</v>
      </c>
      <c r="D5091" s="4" t="n">
        <v>3</v>
      </c>
      <c r="E5091" s="4" t="s">
        <v>2650</v>
      </c>
      <c r="F5091" s="4" t="n">
        <v>18</v>
      </c>
      <c r="G5091" s="4" t="n">
        <v>9</v>
      </c>
      <c r="H5091" s="4" t="n">
        <v>4</v>
      </c>
      <c r="I5091" s="4" t="str">
        <v>×</v>
      </c>
      <c r="J5091" s="4"/>
      <c r="K5091" s="4"/>
      <c r="L5091" s="4"/>
      <c r="M5091" s="7" t="s">
        <v>3577</v>
      </c>
    </row>
    <row r="5092" customFormat="false" ht="15.75" hidden="false" customHeight="false" outlineLevel="0" collapsed="false">
      <c r="A5092" s="3" t="n">
        <v>46236</v>
      </c>
      <c r="B5092" s="4" t="s">
        <v>334</v>
      </c>
      <c r="C5092" s="4" t="n">
        <v>9</v>
      </c>
      <c r="D5092" s="4" t="n">
        <v>4</v>
      </c>
      <c r="E5092" s="4" t="s">
        <v>4152</v>
      </c>
      <c r="F5092" s="4" t="n">
        <v>8</v>
      </c>
      <c r="G5092" s="4" t="n">
        <v>10</v>
      </c>
      <c r="H5092" s="4" t="n">
        <v>4</v>
      </c>
      <c r="I5092" s="4" t="str">
        <v>×</v>
      </c>
      <c r="J5092" s="4"/>
      <c r="K5092" s="4"/>
      <c r="L5092" s="4"/>
      <c r="M5092" s="7" t="s">
        <v>3577</v>
      </c>
    </row>
    <row r="5093" customFormat="false" ht="15.75" hidden="false" customHeight="false" outlineLevel="0" collapsed="false">
      <c r="A5093" s="3" t="n">
        <v>46236</v>
      </c>
      <c r="B5093" s="4" t="s">
        <v>334</v>
      </c>
      <c r="C5093" s="4" t="n">
        <v>9</v>
      </c>
      <c r="D5093" s="4" t="n">
        <v>5</v>
      </c>
      <c r="E5093" s="4" t="s">
        <v>2900</v>
      </c>
      <c r="F5093" s="4" t="n">
        <v>52</v>
      </c>
      <c r="G5093" s="4" t="n">
        <v>1</v>
      </c>
      <c r="H5093" s="4" t="n">
        <v>2</v>
      </c>
      <c r="I5093" s="4" t="str">
        <v>○</v>
      </c>
      <c r="J5093" s="4" t="n">
        <v>170</v>
      </c>
      <c r="K5093" s="4"/>
      <c r="L5093" s="4"/>
      <c r="M5093" s="7" t="s">
        <v>3577</v>
      </c>
    </row>
    <row r="5094" customFormat="false" ht="15.75" hidden="false" customHeight="false" outlineLevel="0" collapsed="false">
      <c r="A5094" s="3" t="n">
        <v>46236</v>
      </c>
      <c r="B5094" s="4" t="s">
        <v>334</v>
      </c>
      <c r="C5094" s="4" t="n">
        <v>9</v>
      </c>
      <c r="D5094" s="4" t="n">
        <v>6</v>
      </c>
      <c r="E5094" s="4" t="s">
        <v>2657</v>
      </c>
      <c r="F5094" s="4" t="n">
        <v>4</v>
      </c>
      <c r="G5094" s="4" t="n">
        <v>11</v>
      </c>
      <c r="H5094" s="4" t="n">
        <v>4</v>
      </c>
      <c r="I5094" s="4" t="str">
        <v>×</v>
      </c>
      <c r="J5094" s="4"/>
      <c r="K5094" s="4"/>
      <c r="L5094" s="4"/>
      <c r="M5094" s="7" t="s">
        <v>3577</v>
      </c>
    </row>
    <row r="5095" customFormat="false" ht="15.75" hidden="false" customHeight="false" outlineLevel="0" collapsed="false">
      <c r="A5095" s="3" t="n">
        <v>46236</v>
      </c>
      <c r="B5095" s="4" t="s">
        <v>334</v>
      </c>
      <c r="C5095" s="4" t="n">
        <v>9</v>
      </c>
      <c r="D5095" s="4" t="n">
        <v>7</v>
      </c>
      <c r="E5095" s="4" t="s">
        <v>4153</v>
      </c>
      <c r="F5095" s="4" t="n">
        <v>31</v>
      </c>
      <c r="G5095" s="4" t="n">
        <v>5</v>
      </c>
      <c r="H5095" s="4" t="n">
        <v>4</v>
      </c>
      <c r="I5095" s="4" t="str">
        <v>×</v>
      </c>
      <c r="J5095" s="4"/>
      <c r="K5095" s="4"/>
      <c r="L5095" s="4"/>
      <c r="M5095" s="7" t="s">
        <v>3577</v>
      </c>
    </row>
    <row r="5096" customFormat="false" ht="15.75" hidden="false" customHeight="false" outlineLevel="0" collapsed="false">
      <c r="A5096" s="3" t="n">
        <v>46236</v>
      </c>
      <c r="B5096" s="4" t="s">
        <v>334</v>
      </c>
      <c r="C5096" s="4" t="n">
        <v>9</v>
      </c>
      <c r="D5096" s="4" t="n">
        <v>8</v>
      </c>
      <c r="E5096" s="4" t="s">
        <v>4154</v>
      </c>
      <c r="F5096" s="4" t="n">
        <v>29</v>
      </c>
      <c r="G5096" s="4" t="n">
        <v>6</v>
      </c>
      <c r="H5096" s="4" t="n">
        <v>1</v>
      </c>
      <c r="I5096" s="4" t="str">
        <v>○</v>
      </c>
      <c r="J5096" s="4" t="n">
        <v>430</v>
      </c>
      <c r="K5096" s="4"/>
      <c r="L5096" s="4"/>
      <c r="M5096" s="7" t="s">
        <v>3577</v>
      </c>
    </row>
    <row r="5097" customFormat="false" ht="15.75" hidden="false" customHeight="false" outlineLevel="0" collapsed="false">
      <c r="A5097" s="3" t="n">
        <v>46236</v>
      </c>
      <c r="B5097" s="4" t="s">
        <v>334</v>
      </c>
      <c r="C5097" s="4" t="n">
        <v>9</v>
      </c>
      <c r="D5097" s="4" t="n">
        <v>9</v>
      </c>
      <c r="E5097" s="4" t="s">
        <v>2653</v>
      </c>
      <c r="F5097" s="4" t="n">
        <v>3</v>
      </c>
      <c r="G5097" s="4" t="n">
        <v>12</v>
      </c>
      <c r="H5097" s="4" t="n">
        <v>4</v>
      </c>
      <c r="I5097" s="4" t="str">
        <v>×</v>
      </c>
      <c r="J5097" s="4"/>
      <c r="K5097" s="4"/>
      <c r="L5097" s="4"/>
      <c r="M5097" s="7" t="s">
        <v>3577</v>
      </c>
    </row>
    <row r="5098" customFormat="false" ht="15.75" hidden="false" customHeight="false" outlineLevel="0" collapsed="false">
      <c r="A5098" s="3" t="n">
        <v>46236</v>
      </c>
      <c r="B5098" s="4" t="s">
        <v>334</v>
      </c>
      <c r="C5098" s="4" t="n">
        <v>9</v>
      </c>
      <c r="D5098" s="4" t="n">
        <v>10</v>
      </c>
      <c r="E5098" s="4" t="s">
        <v>4155</v>
      </c>
      <c r="F5098" s="4" t="n">
        <v>23</v>
      </c>
      <c r="G5098" s="4" t="n">
        <v>8</v>
      </c>
      <c r="H5098" s="4" t="n">
        <v>3</v>
      </c>
      <c r="I5098" s="4" t="str">
        <v>○</v>
      </c>
      <c r="J5098" s="4" t="n">
        <v>770</v>
      </c>
      <c r="K5098" s="4"/>
      <c r="L5098" s="4"/>
      <c r="M5098" s="7" t="s">
        <v>3577</v>
      </c>
    </row>
    <row r="5099" customFormat="false" ht="15.75" hidden="false" customHeight="false" outlineLevel="0" collapsed="false">
      <c r="A5099" s="3" t="n">
        <v>46236</v>
      </c>
      <c r="B5099" s="4" t="s">
        <v>334</v>
      </c>
      <c r="C5099" s="4" t="n">
        <v>9</v>
      </c>
      <c r="D5099" s="4" t="n">
        <v>11</v>
      </c>
      <c r="E5099" s="4" t="s">
        <v>2252</v>
      </c>
      <c r="F5099" s="4" t="n">
        <v>29</v>
      </c>
      <c r="G5099" s="4" t="n">
        <v>6</v>
      </c>
      <c r="H5099" s="4" t="n">
        <v>4</v>
      </c>
      <c r="I5099" s="4" t="str">
        <v>×</v>
      </c>
      <c r="J5099" s="4"/>
      <c r="K5099" s="4"/>
      <c r="L5099" s="4"/>
      <c r="M5099" s="7" t="s">
        <v>3577</v>
      </c>
    </row>
    <row r="5100" customFormat="false" ht="15.75" hidden="false" customHeight="false" outlineLevel="0" collapsed="false">
      <c r="A5100" s="3" t="n">
        <v>46236</v>
      </c>
      <c r="B5100" s="4" t="s">
        <v>334</v>
      </c>
      <c r="C5100" s="4" t="n">
        <v>9</v>
      </c>
      <c r="D5100" s="4" t="n">
        <v>12</v>
      </c>
      <c r="E5100" s="4" t="s">
        <v>2654</v>
      </c>
      <c r="F5100" s="4" t="n">
        <v>39</v>
      </c>
      <c r="G5100" s="4" t="n">
        <v>4</v>
      </c>
      <c r="H5100" s="4" t="n">
        <v>4</v>
      </c>
      <c r="I5100" s="4" t="str">
        <v>×</v>
      </c>
      <c r="J5100" s="4"/>
      <c r="K5100" s="4"/>
      <c r="L5100" s="4"/>
      <c r="M5100" s="7" t="s">
        <v>3577</v>
      </c>
    </row>
    <row r="5101" customFormat="false" ht="15.75" hidden="false" customHeight="false" outlineLevel="0" collapsed="false">
      <c r="A5101" s="3" t="n">
        <v>46236</v>
      </c>
      <c r="B5101" s="4" t="s">
        <v>334</v>
      </c>
      <c r="C5101" s="4" t="n">
        <v>10</v>
      </c>
      <c r="D5101" s="4" t="n">
        <v>1</v>
      </c>
      <c r="E5101" s="4" t="s">
        <v>4156</v>
      </c>
      <c r="F5101" s="4" t="n">
        <v>67</v>
      </c>
      <c r="G5101" s="4" t="n">
        <v>2</v>
      </c>
      <c r="H5101" s="4" t="n">
        <v>2</v>
      </c>
      <c r="I5101" s="4" t="str">
        <v>○</v>
      </c>
      <c r="J5101" s="4" t="n">
        <v>130</v>
      </c>
      <c r="K5101" s="4"/>
      <c r="L5101" s="4"/>
      <c r="M5101" s="7" t="s">
        <v>3577</v>
      </c>
    </row>
    <row r="5102" customFormat="false" ht="15.75" hidden="false" customHeight="false" outlineLevel="0" collapsed="false">
      <c r="A5102" s="3" t="n">
        <v>46236</v>
      </c>
      <c r="B5102" s="4" t="s">
        <v>334</v>
      </c>
      <c r="C5102" s="4" t="n">
        <v>10</v>
      </c>
      <c r="D5102" s="4" t="n">
        <v>2</v>
      </c>
      <c r="E5102" s="4" t="s">
        <v>4157</v>
      </c>
      <c r="F5102" s="4" t="n">
        <v>3</v>
      </c>
      <c r="G5102" s="4" t="n">
        <v>10</v>
      </c>
      <c r="H5102" s="4" t="n">
        <v>4</v>
      </c>
      <c r="I5102" s="4" t="str">
        <v>×</v>
      </c>
      <c r="J5102" s="4"/>
      <c r="K5102" s="4"/>
      <c r="L5102" s="4"/>
      <c r="M5102" s="7" t="s">
        <v>3577</v>
      </c>
    </row>
    <row r="5103" customFormat="false" ht="15.75" hidden="false" customHeight="false" outlineLevel="0" collapsed="false">
      <c r="A5103" s="3" t="n">
        <v>46236</v>
      </c>
      <c r="B5103" s="4" t="s">
        <v>334</v>
      </c>
      <c r="C5103" s="4" t="n">
        <v>10</v>
      </c>
      <c r="D5103" s="4" t="n">
        <v>3</v>
      </c>
      <c r="E5103" s="4" t="s">
        <v>3395</v>
      </c>
      <c r="F5103" s="4" t="n">
        <v>10</v>
      </c>
      <c r="G5103" s="4" t="n">
        <v>7</v>
      </c>
      <c r="H5103" s="4" t="n">
        <v>4</v>
      </c>
      <c r="I5103" s="4" t="str">
        <v>×</v>
      </c>
      <c r="J5103" s="4"/>
      <c r="K5103" s="4"/>
      <c r="L5103" s="4"/>
      <c r="M5103" s="7" t="s">
        <v>3577</v>
      </c>
    </row>
    <row r="5104" customFormat="false" ht="15.75" hidden="false" customHeight="false" outlineLevel="0" collapsed="false">
      <c r="A5104" s="3" t="n">
        <v>46236</v>
      </c>
      <c r="B5104" s="4" t="s">
        <v>334</v>
      </c>
      <c r="C5104" s="4" t="n">
        <v>10</v>
      </c>
      <c r="D5104" s="4" t="n">
        <v>4</v>
      </c>
      <c r="E5104" s="4" t="s">
        <v>2398</v>
      </c>
      <c r="F5104" s="4" t="n">
        <v>6</v>
      </c>
      <c r="G5104" s="4" t="n">
        <v>9</v>
      </c>
      <c r="H5104" s="4" t="n">
        <v>4</v>
      </c>
      <c r="I5104" s="4" t="str">
        <v>×</v>
      </c>
      <c r="J5104" s="4"/>
      <c r="K5104" s="4"/>
      <c r="L5104" s="4"/>
      <c r="M5104" s="7" t="s">
        <v>3577</v>
      </c>
    </row>
    <row r="5105" customFormat="false" ht="15.75" hidden="false" customHeight="false" outlineLevel="0" collapsed="false">
      <c r="A5105" s="3" t="n">
        <v>46236</v>
      </c>
      <c r="B5105" s="4" t="s">
        <v>334</v>
      </c>
      <c r="C5105" s="4" t="n">
        <v>10</v>
      </c>
      <c r="D5105" s="4" t="n">
        <v>5</v>
      </c>
      <c r="E5105" s="4" t="s">
        <v>1837</v>
      </c>
      <c r="F5105" s="4" t="n">
        <v>31</v>
      </c>
      <c r="G5105" s="4" t="n">
        <v>4</v>
      </c>
      <c r="H5105" s="4" t="n">
        <v>4</v>
      </c>
      <c r="I5105" s="4" t="str">
        <v>×</v>
      </c>
      <c r="J5105" s="4"/>
      <c r="K5105" s="4"/>
      <c r="L5105" s="4"/>
      <c r="M5105" s="7" t="s">
        <v>3577</v>
      </c>
    </row>
    <row r="5106" customFormat="false" ht="15.75" hidden="false" customHeight="false" outlineLevel="0" collapsed="false">
      <c r="A5106" s="3" t="n">
        <v>46236</v>
      </c>
      <c r="B5106" s="4" t="s">
        <v>334</v>
      </c>
      <c r="C5106" s="4" t="n">
        <v>10</v>
      </c>
      <c r="D5106" s="4" t="n">
        <v>6</v>
      </c>
      <c r="E5106" s="4" t="s">
        <v>4158</v>
      </c>
      <c r="F5106" s="4" t="n">
        <v>56</v>
      </c>
      <c r="G5106" s="4" t="n">
        <v>3</v>
      </c>
      <c r="H5106" s="4" t="n">
        <v>4</v>
      </c>
      <c r="I5106" s="4" t="str">
        <v>×</v>
      </c>
      <c r="J5106" s="4"/>
      <c r="K5106" s="4"/>
      <c r="L5106" s="4"/>
      <c r="M5106" s="7" t="s">
        <v>3577</v>
      </c>
    </row>
    <row r="5107" customFormat="false" ht="15.75" hidden="false" customHeight="false" outlineLevel="0" collapsed="false">
      <c r="A5107" s="3" t="n">
        <v>46236</v>
      </c>
      <c r="B5107" s="4" t="s">
        <v>334</v>
      </c>
      <c r="C5107" s="4" t="n">
        <v>10</v>
      </c>
      <c r="D5107" s="4" t="n">
        <v>7</v>
      </c>
      <c r="E5107" s="4" t="s">
        <v>4159</v>
      </c>
      <c r="F5107" s="4" t="n">
        <v>15</v>
      </c>
      <c r="G5107" s="4" t="n">
        <v>6</v>
      </c>
      <c r="H5107" s="4" t="n">
        <v>4</v>
      </c>
      <c r="I5107" s="4" t="str">
        <v>×</v>
      </c>
      <c r="J5107" s="4"/>
      <c r="K5107" s="4"/>
      <c r="L5107" s="4"/>
      <c r="M5107" s="7" t="s">
        <v>3577</v>
      </c>
    </row>
    <row r="5108" customFormat="false" ht="15.75" hidden="false" customHeight="false" outlineLevel="0" collapsed="false">
      <c r="A5108" s="3" t="n">
        <v>46236</v>
      </c>
      <c r="B5108" s="4" t="s">
        <v>334</v>
      </c>
      <c r="C5108" s="4" t="n">
        <v>10</v>
      </c>
      <c r="D5108" s="4" t="n">
        <v>9</v>
      </c>
      <c r="E5108" s="4" t="s">
        <v>3397</v>
      </c>
      <c r="F5108" s="4" t="n">
        <v>23</v>
      </c>
      <c r="G5108" s="4" t="n">
        <v>5</v>
      </c>
      <c r="H5108" s="4" t="n">
        <v>3</v>
      </c>
      <c r="I5108" s="4" t="str">
        <v>○</v>
      </c>
      <c r="J5108" s="4" t="n">
        <v>290</v>
      </c>
      <c r="K5108" s="4"/>
      <c r="L5108" s="4"/>
      <c r="M5108" s="7" t="s">
        <v>3577</v>
      </c>
    </row>
    <row r="5109" customFormat="false" ht="15.75" hidden="false" customHeight="false" outlineLevel="0" collapsed="false">
      <c r="A5109" s="3" t="n">
        <v>46236</v>
      </c>
      <c r="B5109" s="4" t="s">
        <v>334</v>
      </c>
      <c r="C5109" s="4" t="n">
        <v>10</v>
      </c>
      <c r="D5109" s="4" t="n">
        <v>10</v>
      </c>
      <c r="E5109" s="4" t="s">
        <v>4160</v>
      </c>
      <c r="F5109" s="4" t="n">
        <v>10</v>
      </c>
      <c r="G5109" s="4" t="n">
        <v>7</v>
      </c>
      <c r="H5109" s="4" t="n">
        <v>4</v>
      </c>
      <c r="I5109" s="4" t="str">
        <v>×</v>
      </c>
      <c r="J5109" s="4"/>
      <c r="K5109" s="4"/>
      <c r="L5109" s="4"/>
      <c r="M5109" s="7" t="s">
        <v>3577</v>
      </c>
    </row>
    <row r="5110" customFormat="false" ht="15.75" hidden="false" customHeight="false" outlineLevel="0" collapsed="false">
      <c r="A5110" s="3" t="n">
        <v>46236</v>
      </c>
      <c r="B5110" s="4" t="s">
        <v>334</v>
      </c>
      <c r="C5110" s="4" t="n">
        <v>11</v>
      </c>
      <c r="D5110" s="4" t="n">
        <v>1</v>
      </c>
      <c r="E5110" s="4" t="s">
        <v>4161</v>
      </c>
      <c r="F5110" s="4" t="n">
        <v>8</v>
      </c>
      <c r="G5110" s="4" t="n">
        <v>12</v>
      </c>
      <c r="H5110" s="4" t="n">
        <v>4</v>
      </c>
      <c r="I5110" s="4" t="str">
        <v>×</v>
      </c>
      <c r="J5110" s="4"/>
      <c r="K5110" s="4"/>
      <c r="L5110" s="4"/>
      <c r="M5110" s="7" t="s">
        <v>3577</v>
      </c>
    </row>
    <row r="5111" customFormat="false" ht="15.75" hidden="false" customHeight="false" outlineLevel="0" collapsed="false">
      <c r="A5111" s="3" t="n">
        <v>46236</v>
      </c>
      <c r="B5111" s="4" t="s">
        <v>334</v>
      </c>
      <c r="C5111" s="4" t="n">
        <v>11</v>
      </c>
      <c r="D5111" s="4" t="n">
        <v>2</v>
      </c>
      <c r="E5111" s="4" t="s">
        <v>3556</v>
      </c>
      <c r="F5111" s="4" t="n">
        <v>39</v>
      </c>
      <c r="G5111" s="4" t="n">
        <v>2</v>
      </c>
      <c r="H5111" s="4" t="n">
        <v>4</v>
      </c>
      <c r="I5111" s="4" t="str">
        <v>×</v>
      </c>
      <c r="J5111" s="4"/>
      <c r="K5111" s="4"/>
      <c r="L5111" s="4"/>
      <c r="M5111" s="7" t="s">
        <v>3577</v>
      </c>
    </row>
    <row r="5112" customFormat="false" ht="15.75" hidden="false" customHeight="false" outlineLevel="0" collapsed="false">
      <c r="A5112" s="3" t="n">
        <v>46236</v>
      </c>
      <c r="B5112" s="4" t="s">
        <v>334</v>
      </c>
      <c r="C5112" s="4" t="n">
        <v>11</v>
      </c>
      <c r="D5112" s="4" t="n">
        <v>3</v>
      </c>
      <c r="E5112" s="4" t="s">
        <v>2259</v>
      </c>
      <c r="F5112" s="4" t="n">
        <v>20</v>
      </c>
      <c r="G5112" s="4" t="n">
        <v>6</v>
      </c>
      <c r="H5112" s="4" t="n">
        <v>4</v>
      </c>
      <c r="I5112" s="4" t="str">
        <v>×</v>
      </c>
      <c r="J5112" s="4"/>
      <c r="K5112" s="4"/>
      <c r="L5112" s="4"/>
      <c r="M5112" s="7" t="s">
        <v>3577</v>
      </c>
    </row>
    <row r="5113" customFormat="false" ht="15.75" hidden="false" customHeight="false" outlineLevel="0" collapsed="false">
      <c r="A5113" s="3" t="n">
        <v>46236</v>
      </c>
      <c r="B5113" s="4" t="s">
        <v>334</v>
      </c>
      <c r="C5113" s="4" t="n">
        <v>11</v>
      </c>
      <c r="D5113" s="4" t="n">
        <v>4</v>
      </c>
      <c r="E5113" s="4" t="s">
        <v>2670</v>
      </c>
      <c r="F5113" s="4" t="n">
        <v>8</v>
      </c>
      <c r="G5113" s="4" t="n">
        <v>12</v>
      </c>
      <c r="H5113" s="4" t="n">
        <v>4</v>
      </c>
      <c r="I5113" s="4" t="str">
        <v>×</v>
      </c>
      <c r="J5113" s="4"/>
      <c r="K5113" s="4"/>
      <c r="L5113" s="4"/>
      <c r="M5113" s="7" t="s">
        <v>3577</v>
      </c>
    </row>
    <row r="5114" customFormat="false" ht="15.75" hidden="false" customHeight="false" outlineLevel="0" collapsed="false">
      <c r="A5114" s="3" t="n">
        <v>46236</v>
      </c>
      <c r="B5114" s="4" t="s">
        <v>334</v>
      </c>
      <c r="C5114" s="4" t="n">
        <v>11</v>
      </c>
      <c r="D5114" s="4" t="n">
        <v>5</v>
      </c>
      <c r="E5114" s="4" t="s">
        <v>4162</v>
      </c>
      <c r="F5114" s="4" t="n">
        <v>20</v>
      </c>
      <c r="G5114" s="4" t="n">
        <v>6</v>
      </c>
      <c r="H5114" s="4" t="n">
        <v>4</v>
      </c>
      <c r="I5114" s="4" t="str">
        <v>×</v>
      </c>
      <c r="J5114" s="4"/>
      <c r="K5114" s="4"/>
      <c r="L5114" s="4"/>
      <c r="M5114" s="7" t="s">
        <v>3577</v>
      </c>
    </row>
    <row r="5115" customFormat="false" ht="15.75" hidden="false" customHeight="false" outlineLevel="0" collapsed="false">
      <c r="A5115" s="3" t="n">
        <v>46236</v>
      </c>
      <c r="B5115" s="4" t="s">
        <v>334</v>
      </c>
      <c r="C5115" s="4" t="n">
        <v>11</v>
      </c>
      <c r="D5115" s="4" t="n">
        <v>6</v>
      </c>
      <c r="E5115" s="4" t="s">
        <v>4163</v>
      </c>
      <c r="F5115" s="4" t="n">
        <v>3</v>
      </c>
      <c r="G5115" s="4" t="n">
        <v>14</v>
      </c>
      <c r="H5115" s="4" t="n">
        <v>4</v>
      </c>
      <c r="I5115" s="4" t="str">
        <v>×</v>
      </c>
      <c r="J5115" s="4"/>
      <c r="K5115" s="4"/>
      <c r="L5115" s="4"/>
      <c r="M5115" s="7" t="s">
        <v>3577</v>
      </c>
    </row>
    <row r="5116" customFormat="false" ht="15.75" hidden="false" customHeight="false" outlineLevel="0" collapsed="false">
      <c r="A5116" s="3" t="n">
        <v>46236</v>
      </c>
      <c r="B5116" s="4" t="s">
        <v>334</v>
      </c>
      <c r="C5116" s="4" t="n">
        <v>11</v>
      </c>
      <c r="D5116" s="4" t="n">
        <v>7</v>
      </c>
      <c r="E5116" s="4" t="s">
        <v>4164</v>
      </c>
      <c r="F5116" s="4" t="n">
        <v>23</v>
      </c>
      <c r="G5116" s="4" t="n">
        <v>5</v>
      </c>
      <c r="H5116" s="4" t="n">
        <v>1</v>
      </c>
      <c r="I5116" s="4" t="str">
        <v>○</v>
      </c>
      <c r="J5116" s="4" t="n">
        <v>130</v>
      </c>
      <c r="K5116" s="4"/>
      <c r="L5116" s="4"/>
      <c r="M5116" s="7" t="s">
        <v>3577</v>
      </c>
    </row>
    <row r="5117" customFormat="false" ht="15.75" hidden="false" customHeight="false" outlineLevel="0" collapsed="false">
      <c r="A5117" s="3" t="n">
        <v>46236</v>
      </c>
      <c r="B5117" s="4" t="s">
        <v>334</v>
      </c>
      <c r="C5117" s="4" t="n">
        <v>11</v>
      </c>
      <c r="D5117" s="4" t="n">
        <v>8</v>
      </c>
      <c r="E5117" s="4" t="s">
        <v>2658</v>
      </c>
      <c r="F5117" s="4" t="n">
        <v>10</v>
      </c>
      <c r="G5117" s="4" t="n">
        <v>11</v>
      </c>
      <c r="H5117" s="4" t="n">
        <v>4</v>
      </c>
      <c r="I5117" s="4" t="str">
        <v>×</v>
      </c>
      <c r="J5117" s="4"/>
      <c r="K5117" s="4"/>
      <c r="L5117" s="4"/>
      <c r="M5117" s="7" t="s">
        <v>3577</v>
      </c>
    </row>
    <row r="5118" customFormat="false" ht="15.75" hidden="false" customHeight="false" outlineLevel="0" collapsed="false">
      <c r="A5118" s="3" t="n">
        <v>46236</v>
      </c>
      <c r="B5118" s="4" t="s">
        <v>334</v>
      </c>
      <c r="C5118" s="4" t="n">
        <v>11</v>
      </c>
      <c r="D5118" s="4" t="n">
        <v>9</v>
      </c>
      <c r="E5118" s="4" t="s">
        <v>4165</v>
      </c>
      <c r="F5118" s="4" t="n">
        <v>56</v>
      </c>
      <c r="G5118" s="4" t="n">
        <v>1</v>
      </c>
      <c r="H5118" s="4" t="n">
        <v>4</v>
      </c>
      <c r="I5118" s="4" t="str">
        <v>×</v>
      </c>
      <c r="J5118" s="4"/>
      <c r="K5118" s="4"/>
      <c r="L5118" s="4"/>
      <c r="M5118" s="7" t="s">
        <v>3577</v>
      </c>
    </row>
    <row r="5119" customFormat="false" ht="15.75" hidden="false" customHeight="false" outlineLevel="0" collapsed="false">
      <c r="A5119" s="3" t="n">
        <v>46236</v>
      </c>
      <c r="B5119" s="4" t="s">
        <v>334</v>
      </c>
      <c r="C5119" s="4" t="n">
        <v>11</v>
      </c>
      <c r="D5119" s="4" t="n">
        <v>10</v>
      </c>
      <c r="E5119" s="4" t="s">
        <v>4166</v>
      </c>
      <c r="F5119" s="4" t="n">
        <v>15</v>
      </c>
      <c r="G5119" s="4" t="n">
        <v>9</v>
      </c>
      <c r="H5119" s="4" t="n">
        <v>4</v>
      </c>
      <c r="I5119" s="4" t="str">
        <v>×</v>
      </c>
      <c r="J5119" s="4"/>
      <c r="K5119" s="4"/>
      <c r="L5119" s="4"/>
      <c r="M5119" s="7" t="s">
        <v>3577</v>
      </c>
    </row>
    <row r="5120" customFormat="false" ht="15.75" hidden="false" customHeight="false" outlineLevel="0" collapsed="false">
      <c r="A5120" s="3" t="n">
        <v>46236</v>
      </c>
      <c r="B5120" s="4" t="s">
        <v>334</v>
      </c>
      <c r="C5120" s="4" t="n">
        <v>11</v>
      </c>
      <c r="D5120" s="4" t="n">
        <v>11</v>
      </c>
      <c r="E5120" s="4" t="s">
        <v>4167</v>
      </c>
      <c r="F5120" s="4" t="n">
        <v>37</v>
      </c>
      <c r="G5120" s="4" t="n">
        <v>4</v>
      </c>
      <c r="H5120" s="4" t="n">
        <v>2</v>
      </c>
      <c r="I5120" s="4" t="str">
        <v>○</v>
      </c>
      <c r="J5120" s="4" t="n">
        <v>230</v>
      </c>
      <c r="K5120" s="4"/>
      <c r="L5120" s="4"/>
      <c r="M5120" s="7" t="s">
        <v>3577</v>
      </c>
    </row>
    <row r="5121" customFormat="false" ht="15.75" hidden="false" customHeight="false" outlineLevel="0" collapsed="false">
      <c r="A5121" s="3" t="n">
        <v>46236</v>
      </c>
      <c r="B5121" s="4" t="s">
        <v>334</v>
      </c>
      <c r="C5121" s="4" t="n">
        <v>11</v>
      </c>
      <c r="D5121" s="4" t="n">
        <v>12</v>
      </c>
      <c r="E5121" s="4" t="s">
        <v>4168</v>
      </c>
      <c r="F5121" s="4" t="n">
        <v>15</v>
      </c>
      <c r="G5121" s="4" t="n">
        <v>9</v>
      </c>
      <c r="H5121" s="4" t="n">
        <v>4</v>
      </c>
      <c r="I5121" s="4" t="str">
        <v>×</v>
      </c>
      <c r="J5121" s="4"/>
      <c r="K5121" s="4"/>
      <c r="L5121" s="4"/>
      <c r="M5121" s="7" t="s">
        <v>3577</v>
      </c>
    </row>
    <row r="5122" customFormat="false" ht="15.75" hidden="false" customHeight="false" outlineLevel="0" collapsed="false">
      <c r="A5122" s="3" t="n">
        <v>46236</v>
      </c>
      <c r="B5122" s="4" t="s">
        <v>334</v>
      </c>
      <c r="C5122" s="4" t="n">
        <v>11</v>
      </c>
      <c r="D5122" s="4" t="n">
        <v>13</v>
      </c>
      <c r="E5122" s="4" t="s">
        <v>4169</v>
      </c>
      <c r="F5122" s="4" t="n">
        <v>17</v>
      </c>
      <c r="G5122" s="4" t="n">
        <v>8</v>
      </c>
      <c r="H5122" s="4" t="n">
        <v>4</v>
      </c>
      <c r="I5122" s="4" t="str">
        <v>×</v>
      </c>
      <c r="J5122" s="4"/>
      <c r="K5122" s="4"/>
      <c r="L5122" s="4"/>
      <c r="M5122" s="7" t="s">
        <v>3577</v>
      </c>
    </row>
    <row r="5123" customFormat="false" ht="15.75" hidden="false" customHeight="false" outlineLevel="0" collapsed="false">
      <c r="A5123" s="3" t="n">
        <v>46236</v>
      </c>
      <c r="B5123" s="4" t="s">
        <v>334</v>
      </c>
      <c r="C5123" s="4" t="n">
        <v>11</v>
      </c>
      <c r="D5123" s="4" t="n">
        <v>14</v>
      </c>
      <c r="E5123" s="4" t="s">
        <v>2667</v>
      </c>
      <c r="F5123" s="4" t="n">
        <v>39</v>
      </c>
      <c r="G5123" s="4" t="n">
        <v>2</v>
      </c>
      <c r="H5123" s="4" t="n">
        <v>3</v>
      </c>
      <c r="I5123" s="4" t="str">
        <v>○</v>
      </c>
      <c r="J5123" s="4" t="n">
        <v>320</v>
      </c>
      <c r="K5123" s="4"/>
      <c r="L5123" s="4"/>
      <c r="M5123" s="7" t="s">
        <v>3577</v>
      </c>
    </row>
    <row r="5124" customFormat="false" ht="15.75" hidden="false" customHeight="false" outlineLevel="0" collapsed="false">
      <c r="A5124" s="3" t="n">
        <v>46236</v>
      </c>
      <c r="B5124" s="4" t="s">
        <v>334</v>
      </c>
      <c r="C5124" s="4" t="n">
        <v>12</v>
      </c>
      <c r="D5124" s="4" t="n">
        <v>1</v>
      </c>
      <c r="E5124" s="4" t="s">
        <v>2248</v>
      </c>
      <c r="F5124" s="4" t="n">
        <v>29</v>
      </c>
      <c r="G5124" s="4" t="n">
        <v>4</v>
      </c>
      <c r="H5124" s="4" t="n">
        <v>4</v>
      </c>
      <c r="I5124" s="4" t="str">
        <v>×</v>
      </c>
      <c r="J5124" s="4"/>
      <c r="K5124" s="4"/>
      <c r="L5124" s="4"/>
      <c r="M5124" s="7" t="s">
        <v>3577</v>
      </c>
    </row>
    <row r="5125" customFormat="false" ht="15.75" hidden="false" customHeight="false" outlineLevel="0" collapsed="false">
      <c r="A5125" s="3" t="n">
        <v>46236</v>
      </c>
      <c r="B5125" s="4" t="s">
        <v>334</v>
      </c>
      <c r="C5125" s="4" t="n">
        <v>12</v>
      </c>
      <c r="D5125" s="4" t="n">
        <v>2</v>
      </c>
      <c r="E5125" s="4" t="s">
        <v>2375</v>
      </c>
      <c r="F5125" s="4" t="n">
        <v>44</v>
      </c>
      <c r="G5125" s="4" t="n">
        <v>2</v>
      </c>
      <c r="H5125" s="4" t="n">
        <v>2</v>
      </c>
      <c r="I5125" s="4" t="str">
        <v>○</v>
      </c>
      <c r="J5125" s="4" t="n">
        <v>160</v>
      </c>
      <c r="K5125" s="4"/>
      <c r="L5125" s="4"/>
      <c r="M5125" s="7" t="s">
        <v>3577</v>
      </c>
    </row>
    <row r="5126" customFormat="false" ht="15.75" hidden="false" customHeight="false" outlineLevel="0" collapsed="false">
      <c r="A5126" s="3" t="n">
        <v>46236</v>
      </c>
      <c r="B5126" s="4" t="s">
        <v>334</v>
      </c>
      <c r="C5126" s="4" t="n">
        <v>12</v>
      </c>
      <c r="D5126" s="4" t="n">
        <v>3</v>
      </c>
      <c r="E5126" s="4" t="s">
        <v>1355</v>
      </c>
      <c r="F5126" s="4" t="n">
        <v>17</v>
      </c>
      <c r="G5126" s="4" t="n">
        <v>10</v>
      </c>
      <c r="H5126" s="4" t="n">
        <v>4</v>
      </c>
      <c r="I5126" s="4" t="str">
        <v>×</v>
      </c>
      <c r="J5126" s="4"/>
      <c r="K5126" s="4"/>
      <c r="L5126" s="4"/>
      <c r="M5126" s="7" t="s">
        <v>3577</v>
      </c>
    </row>
    <row r="5127" customFormat="false" ht="15.75" hidden="false" customHeight="false" outlineLevel="0" collapsed="false">
      <c r="A5127" s="3" t="n">
        <v>46236</v>
      </c>
      <c r="B5127" s="4" t="s">
        <v>334</v>
      </c>
      <c r="C5127" s="4" t="n">
        <v>12</v>
      </c>
      <c r="D5127" s="4" t="n">
        <v>4</v>
      </c>
      <c r="E5127" s="4" t="s">
        <v>1859</v>
      </c>
      <c r="F5127" s="4" t="n">
        <v>47</v>
      </c>
      <c r="G5127" s="4" t="n">
        <v>1</v>
      </c>
      <c r="H5127" s="4" t="n">
        <v>4</v>
      </c>
      <c r="I5127" s="4" t="str">
        <v>×</v>
      </c>
      <c r="J5127" s="4"/>
      <c r="K5127" s="4"/>
      <c r="L5127" s="4"/>
      <c r="M5127" s="7" t="s">
        <v>3577</v>
      </c>
    </row>
    <row r="5128" customFormat="false" ht="15.75" hidden="false" customHeight="false" outlineLevel="0" collapsed="false">
      <c r="A5128" s="3" t="n">
        <v>46236</v>
      </c>
      <c r="B5128" s="4" t="s">
        <v>334</v>
      </c>
      <c r="C5128" s="4" t="n">
        <v>12</v>
      </c>
      <c r="D5128" s="4" t="n">
        <v>5</v>
      </c>
      <c r="E5128" s="4" t="s">
        <v>4170</v>
      </c>
      <c r="F5128" s="4" t="n">
        <v>29</v>
      </c>
      <c r="G5128" s="4" t="n">
        <v>4</v>
      </c>
      <c r="H5128" s="4" t="n">
        <v>1</v>
      </c>
      <c r="I5128" s="4" t="str">
        <v>○</v>
      </c>
      <c r="J5128" s="4" t="n">
        <v>230</v>
      </c>
      <c r="K5128" s="4"/>
      <c r="L5128" s="4"/>
      <c r="M5128" s="7" t="s">
        <v>3577</v>
      </c>
    </row>
    <row r="5129" customFormat="false" ht="15.75" hidden="false" customHeight="false" outlineLevel="0" collapsed="false">
      <c r="A5129" s="3" t="n">
        <v>46236</v>
      </c>
      <c r="B5129" s="4" t="s">
        <v>334</v>
      </c>
      <c r="C5129" s="4" t="n">
        <v>12</v>
      </c>
      <c r="D5129" s="4" t="n">
        <v>6</v>
      </c>
      <c r="E5129" s="4" t="s">
        <v>2135</v>
      </c>
      <c r="F5129" s="4" t="n">
        <v>20</v>
      </c>
      <c r="G5129" s="4" t="n">
        <v>9</v>
      </c>
      <c r="H5129" s="4" t="n">
        <v>4</v>
      </c>
      <c r="I5129" s="4" t="str">
        <v>×</v>
      </c>
      <c r="J5129" s="4"/>
      <c r="K5129" s="4"/>
      <c r="L5129" s="4"/>
      <c r="M5129" s="7" t="s">
        <v>3577</v>
      </c>
    </row>
    <row r="5130" customFormat="false" ht="15.75" hidden="false" customHeight="false" outlineLevel="0" collapsed="false">
      <c r="A5130" s="3" t="n">
        <v>46236</v>
      </c>
      <c r="B5130" s="4" t="s">
        <v>334</v>
      </c>
      <c r="C5130" s="4" t="n">
        <v>12</v>
      </c>
      <c r="D5130" s="4" t="n">
        <v>7</v>
      </c>
      <c r="E5130" s="4" t="s">
        <v>2250</v>
      </c>
      <c r="F5130" s="4" t="n">
        <v>23</v>
      </c>
      <c r="G5130" s="4" t="n">
        <v>7</v>
      </c>
      <c r="H5130" s="4" t="n">
        <v>4</v>
      </c>
      <c r="I5130" s="4" t="str">
        <v>×</v>
      </c>
      <c r="J5130" s="4"/>
      <c r="K5130" s="4"/>
      <c r="L5130" s="4"/>
      <c r="M5130" s="7" t="s">
        <v>3577</v>
      </c>
    </row>
    <row r="5131" customFormat="false" ht="15.75" hidden="false" customHeight="false" outlineLevel="0" collapsed="false">
      <c r="A5131" s="3" t="n">
        <v>46236</v>
      </c>
      <c r="B5131" s="4" t="s">
        <v>334</v>
      </c>
      <c r="C5131" s="4" t="n">
        <v>12</v>
      </c>
      <c r="D5131" s="4" t="n">
        <v>8</v>
      </c>
      <c r="E5131" s="4" t="s">
        <v>3299</v>
      </c>
      <c r="F5131" s="4" t="n">
        <v>23</v>
      </c>
      <c r="G5131" s="4" t="n">
        <v>7</v>
      </c>
      <c r="H5131" s="4" t="n">
        <v>4</v>
      </c>
      <c r="I5131" s="4" t="str">
        <v>×</v>
      </c>
      <c r="J5131" s="4"/>
      <c r="K5131" s="4"/>
      <c r="L5131" s="4"/>
      <c r="M5131" s="7" t="s">
        <v>3577</v>
      </c>
    </row>
    <row r="5132" customFormat="false" ht="15.75" hidden="false" customHeight="false" outlineLevel="0" collapsed="false">
      <c r="A5132" s="3" t="n">
        <v>46236</v>
      </c>
      <c r="B5132" s="4" t="s">
        <v>334</v>
      </c>
      <c r="C5132" s="4" t="n">
        <v>12</v>
      </c>
      <c r="D5132" s="4" t="n">
        <v>9</v>
      </c>
      <c r="E5132" s="4" t="s">
        <v>4171</v>
      </c>
      <c r="F5132" s="4" t="n">
        <v>2</v>
      </c>
      <c r="G5132" s="4" t="n">
        <v>14</v>
      </c>
      <c r="H5132" s="4" t="n">
        <v>4</v>
      </c>
      <c r="I5132" s="4" t="str">
        <v>×</v>
      </c>
      <c r="J5132" s="4"/>
      <c r="K5132" s="4"/>
      <c r="L5132" s="4"/>
      <c r="M5132" s="7" t="s">
        <v>3577</v>
      </c>
    </row>
    <row r="5133" customFormat="false" ht="15.75" hidden="false" customHeight="false" outlineLevel="0" collapsed="false">
      <c r="A5133" s="3" t="n">
        <v>46236</v>
      </c>
      <c r="B5133" s="4" t="s">
        <v>334</v>
      </c>
      <c r="C5133" s="4" t="n">
        <v>12</v>
      </c>
      <c r="D5133" s="4" t="n">
        <v>10</v>
      </c>
      <c r="E5133" s="4" t="s">
        <v>3298</v>
      </c>
      <c r="F5133" s="4" t="n">
        <v>25</v>
      </c>
      <c r="G5133" s="4" t="n">
        <v>6</v>
      </c>
      <c r="H5133" s="4" t="n">
        <v>4</v>
      </c>
      <c r="I5133" s="4" t="str">
        <v>×</v>
      </c>
      <c r="J5133" s="4"/>
      <c r="K5133" s="4"/>
      <c r="L5133" s="4"/>
      <c r="M5133" s="7" t="s">
        <v>3577</v>
      </c>
    </row>
    <row r="5134" customFormat="false" ht="15.75" hidden="false" customHeight="false" outlineLevel="0" collapsed="false">
      <c r="A5134" s="3" t="n">
        <v>46236</v>
      </c>
      <c r="B5134" s="4" t="s">
        <v>334</v>
      </c>
      <c r="C5134" s="4" t="n">
        <v>12</v>
      </c>
      <c r="D5134" s="4" t="n">
        <v>11</v>
      </c>
      <c r="E5134" s="4" t="s">
        <v>1354</v>
      </c>
      <c r="F5134" s="4" t="n">
        <v>8</v>
      </c>
      <c r="G5134" s="4" t="n">
        <v>12</v>
      </c>
      <c r="H5134" s="4" t="n">
        <v>3</v>
      </c>
      <c r="I5134" s="4" t="str">
        <v>○</v>
      </c>
      <c r="J5134" s="4" t="n">
        <v>1140</v>
      </c>
      <c r="K5134" s="4"/>
      <c r="L5134" s="4"/>
      <c r="M5134" s="7" t="s">
        <v>3577</v>
      </c>
    </row>
    <row r="5135" customFormat="false" ht="15.75" hidden="false" customHeight="false" outlineLevel="0" collapsed="false">
      <c r="A5135" s="3" t="n">
        <v>46236</v>
      </c>
      <c r="B5135" s="4" t="s">
        <v>334</v>
      </c>
      <c r="C5135" s="4" t="n">
        <v>12</v>
      </c>
      <c r="D5135" s="4" t="n">
        <v>12</v>
      </c>
      <c r="E5135" s="4" t="s">
        <v>2674</v>
      </c>
      <c r="F5135" s="4" t="n">
        <v>10</v>
      </c>
      <c r="G5135" s="4" t="n">
        <v>11</v>
      </c>
      <c r="H5135" s="4" t="n">
        <v>4</v>
      </c>
      <c r="I5135" s="4" t="str">
        <v>×</v>
      </c>
      <c r="J5135" s="4"/>
      <c r="K5135" s="4"/>
      <c r="L5135" s="4"/>
      <c r="M5135" s="7" t="s">
        <v>3577</v>
      </c>
    </row>
    <row r="5136" customFormat="false" ht="15.75" hidden="false" customHeight="false" outlineLevel="0" collapsed="false">
      <c r="A5136" s="3" t="n">
        <v>46236</v>
      </c>
      <c r="B5136" s="4" t="s">
        <v>334</v>
      </c>
      <c r="C5136" s="4" t="n">
        <v>12</v>
      </c>
      <c r="D5136" s="4" t="n">
        <v>13</v>
      </c>
      <c r="E5136" s="4" t="s">
        <v>3292</v>
      </c>
      <c r="F5136" s="4" t="n">
        <v>6</v>
      </c>
      <c r="G5136" s="4" t="n">
        <v>13</v>
      </c>
      <c r="H5136" s="4" t="n">
        <v>4</v>
      </c>
      <c r="I5136" s="4" t="str">
        <v>×</v>
      </c>
      <c r="J5136" s="4"/>
      <c r="K5136" s="4"/>
      <c r="L5136" s="4"/>
      <c r="M5136" s="7" t="s">
        <v>3577</v>
      </c>
    </row>
    <row r="5137" customFormat="false" ht="15.75" hidden="false" customHeight="false" outlineLevel="0" collapsed="false">
      <c r="A5137" s="3" t="n">
        <v>46236</v>
      </c>
      <c r="B5137" s="4" t="s">
        <v>334</v>
      </c>
      <c r="C5137" s="4" t="n">
        <v>12</v>
      </c>
      <c r="D5137" s="4" t="n">
        <v>14</v>
      </c>
      <c r="E5137" s="4" t="s">
        <v>2134</v>
      </c>
      <c r="F5137" s="4" t="n">
        <v>41</v>
      </c>
      <c r="G5137" s="4" t="n">
        <v>3</v>
      </c>
      <c r="H5137" s="4" t="n">
        <v>4</v>
      </c>
      <c r="I5137" s="4" t="str">
        <v>×</v>
      </c>
      <c r="J5137" s="4"/>
      <c r="K5137" s="4"/>
      <c r="L5137" s="4"/>
      <c r="M5137" s="7" t="s">
        <v>3577</v>
      </c>
    </row>
    <row r="5138" customFormat="false" ht="15.75" hidden="false" customHeight="false" outlineLevel="0" collapsed="false">
      <c r="A5138" s="6" t="n">
        <v>46194</v>
      </c>
      <c r="B5138" s="4" t="s">
        <v>4172</v>
      </c>
      <c r="C5138" s="4" t="n">
        <v>7</v>
      </c>
      <c r="D5138" s="4" t="n">
        <v>8</v>
      </c>
      <c r="E5138" s="4" t="s">
        <v>4173</v>
      </c>
      <c r="F5138" s="4" t="n">
        <v>1</v>
      </c>
      <c r="G5138" s="4" t="n">
        <v>10</v>
      </c>
      <c r="H5138" s="4" t="n">
        <v>4</v>
      </c>
      <c r="I5138" s="4" t="str">
        <v>×</v>
      </c>
      <c r="J5138" s="4"/>
      <c r="K5138" s="4"/>
      <c r="L5138" s="4"/>
      <c r="M5138" s="5" t="s">
        <v>4174</v>
      </c>
    </row>
    <row r="5139" customFormat="false" ht="15.75" hidden="false" customHeight="false" outlineLevel="0" collapsed="false">
      <c r="A5139" s="6" t="n">
        <v>46194</v>
      </c>
      <c r="B5139" s="4" t="s">
        <v>4172</v>
      </c>
      <c r="C5139" s="4" t="n">
        <v>7</v>
      </c>
      <c r="D5139" s="4" t="n">
        <v>9</v>
      </c>
      <c r="E5139" s="4" t="s">
        <v>4175</v>
      </c>
      <c r="F5139" s="4" t="n">
        <v>3</v>
      </c>
      <c r="G5139" s="4" t="n">
        <v>9</v>
      </c>
      <c r="H5139" s="4" t="n">
        <v>4</v>
      </c>
      <c r="I5139" s="4" t="str">
        <v>×</v>
      </c>
      <c r="J5139" s="4"/>
      <c r="K5139" s="4"/>
      <c r="L5139" s="4"/>
      <c r="M5139" s="5" t="s">
        <v>4174</v>
      </c>
    </row>
    <row r="5140" customFormat="false" ht="15.75" hidden="false" customHeight="false" outlineLevel="0" collapsed="false">
      <c r="A5140" s="6" t="n">
        <v>46194</v>
      </c>
      <c r="B5140" s="4" t="s">
        <v>4172</v>
      </c>
      <c r="C5140" s="4" t="n">
        <v>7</v>
      </c>
      <c r="D5140" s="4" t="n">
        <v>10</v>
      </c>
      <c r="E5140" s="4" t="s">
        <v>4176</v>
      </c>
      <c r="F5140" s="4" t="n">
        <v>13</v>
      </c>
      <c r="G5140" s="4" t="n">
        <v>5</v>
      </c>
      <c r="H5140" s="4" t="n">
        <v>3</v>
      </c>
      <c r="I5140" s="4" t="str">
        <v>○</v>
      </c>
      <c r="J5140" s="4" t="n">
        <v>520</v>
      </c>
      <c r="K5140" s="4"/>
      <c r="L5140" s="4"/>
      <c r="M5140" s="5" t="s">
        <v>4174</v>
      </c>
    </row>
    <row r="5141" customFormat="false" ht="15.75" hidden="false" customHeight="false" outlineLevel="0" collapsed="false">
      <c r="A5141" s="6" t="n">
        <v>46194</v>
      </c>
      <c r="B5141" s="4" t="s">
        <v>4172</v>
      </c>
      <c r="C5141" s="4" t="n">
        <v>7</v>
      </c>
      <c r="D5141" s="4" t="n">
        <v>11</v>
      </c>
      <c r="E5141" s="4" t="s">
        <v>2501</v>
      </c>
      <c r="F5141" s="4" t="n">
        <v>4</v>
      </c>
      <c r="G5141" s="4" t="n">
        <v>8</v>
      </c>
      <c r="H5141" s="4" t="n">
        <v>4</v>
      </c>
      <c r="I5141" s="4" t="str">
        <v>×</v>
      </c>
      <c r="J5141" s="4"/>
      <c r="K5141" s="4"/>
      <c r="L5141" s="4"/>
      <c r="M5141" s="5" t="s">
        <v>4174</v>
      </c>
    </row>
    <row r="5142" customFormat="false" ht="15.75" hidden="false" customHeight="false" outlineLevel="0" collapsed="false">
      <c r="A5142" s="6" t="n">
        <v>46194</v>
      </c>
      <c r="B5142" s="4" t="s">
        <v>4172</v>
      </c>
      <c r="C5142" s="4" t="n">
        <v>7</v>
      </c>
      <c r="D5142" s="4" t="n">
        <v>12</v>
      </c>
      <c r="E5142" s="4" t="s">
        <v>4177</v>
      </c>
      <c r="F5142" s="4" t="n">
        <v>39</v>
      </c>
      <c r="G5142" s="4" t="n">
        <v>3</v>
      </c>
      <c r="H5142" s="4" t="n">
        <v>2</v>
      </c>
      <c r="I5142" s="4" t="str">
        <v>○</v>
      </c>
      <c r="J5142" s="4" t="n">
        <v>240</v>
      </c>
      <c r="K5142" s="4"/>
      <c r="L5142" s="4"/>
      <c r="M5142" s="5" t="s">
        <v>4174</v>
      </c>
    </row>
    <row r="5143" customFormat="false" ht="15.75" hidden="false" customHeight="false" outlineLevel="0" collapsed="false">
      <c r="A5143" s="6" t="n">
        <v>46194</v>
      </c>
      <c r="B5143" s="4" t="s">
        <v>4172</v>
      </c>
      <c r="C5143" s="4" t="n">
        <v>7</v>
      </c>
      <c r="D5143" s="4" t="n">
        <v>13</v>
      </c>
      <c r="E5143" s="4" t="s">
        <v>4178</v>
      </c>
      <c r="F5143" s="4" t="n">
        <v>13</v>
      </c>
      <c r="G5143" s="4" t="n">
        <v>5</v>
      </c>
      <c r="H5143" s="4" t="n">
        <v>4</v>
      </c>
      <c r="I5143" s="4" t="str">
        <v>×</v>
      </c>
      <c r="J5143" s="4"/>
      <c r="K5143" s="4"/>
      <c r="L5143" s="4"/>
      <c r="M5143" s="5" t="s">
        <v>4174</v>
      </c>
    </row>
    <row r="5144" customFormat="false" ht="15.75" hidden="false" customHeight="false" outlineLevel="0" collapsed="false">
      <c r="A5144" s="6" t="n">
        <v>46194</v>
      </c>
      <c r="B5144" s="4" t="s">
        <v>4172</v>
      </c>
      <c r="C5144" s="4" t="n">
        <v>7</v>
      </c>
      <c r="D5144" s="4" t="n">
        <v>14</v>
      </c>
      <c r="E5144" s="4" t="s">
        <v>4179</v>
      </c>
      <c r="F5144" s="4" t="n">
        <v>3</v>
      </c>
      <c r="G5144" s="4" t="n">
        <v>9</v>
      </c>
      <c r="H5144" s="4" t="n">
        <v>4</v>
      </c>
      <c r="I5144" s="4" t="str">
        <v>×</v>
      </c>
      <c r="J5144" s="4"/>
      <c r="K5144" s="4"/>
      <c r="L5144" s="4"/>
      <c r="M5144" s="5" t="s">
        <v>4174</v>
      </c>
    </row>
    <row r="5145" customFormat="false" ht="15.75" hidden="false" customHeight="false" outlineLevel="0" collapsed="false">
      <c r="A5145" s="6" t="n">
        <v>46194</v>
      </c>
      <c r="B5145" s="4" t="s">
        <v>4172</v>
      </c>
      <c r="C5145" s="4" t="n">
        <v>7</v>
      </c>
      <c r="D5145" s="4" t="n">
        <v>15</v>
      </c>
      <c r="E5145" s="4" t="s">
        <v>4180</v>
      </c>
      <c r="F5145" s="4" t="n">
        <v>17</v>
      </c>
      <c r="G5145" s="4" t="n">
        <v>4</v>
      </c>
      <c r="H5145" s="4" t="n">
        <v>4</v>
      </c>
      <c r="I5145" s="4" t="str">
        <v>×</v>
      </c>
      <c r="J5145" s="4"/>
      <c r="K5145" s="4"/>
      <c r="L5145" s="4"/>
      <c r="M5145" s="5" t="s">
        <v>4174</v>
      </c>
    </row>
    <row r="5146" customFormat="false" ht="15.75" hidden="false" customHeight="false" outlineLevel="0" collapsed="false">
      <c r="A5146" s="6" t="n">
        <v>46194</v>
      </c>
      <c r="B5146" s="4" t="s">
        <v>4172</v>
      </c>
      <c r="C5146" s="4" t="n">
        <v>7</v>
      </c>
      <c r="D5146" s="4" t="n">
        <v>16</v>
      </c>
      <c r="E5146" s="4" t="s">
        <v>4181</v>
      </c>
      <c r="F5146" s="4" t="n">
        <v>13</v>
      </c>
      <c r="G5146" s="4" t="n">
        <v>5</v>
      </c>
      <c r="H5146" s="4" t="n">
        <v>4</v>
      </c>
      <c r="I5146" s="4" t="str">
        <v>×</v>
      </c>
      <c r="J5146" s="4"/>
      <c r="K5146" s="4"/>
      <c r="L5146" s="4"/>
      <c r="M5146" s="5" t="s">
        <v>4174</v>
      </c>
    </row>
    <row r="5147" customFormat="false" ht="15.75" hidden="false" customHeight="false" outlineLevel="0" collapsed="false">
      <c r="A5147" s="6" t="n">
        <v>46194</v>
      </c>
      <c r="B5147" s="4" t="s">
        <v>4172</v>
      </c>
      <c r="C5147" s="4" t="n">
        <v>8</v>
      </c>
      <c r="D5147" s="4" t="n">
        <v>1</v>
      </c>
      <c r="E5147" s="4" t="s">
        <v>4182</v>
      </c>
      <c r="F5147" s="4" t="n">
        <v>6</v>
      </c>
      <c r="G5147" s="4" t="n">
        <v>8</v>
      </c>
      <c r="H5147" s="4" t="n">
        <v>4</v>
      </c>
      <c r="I5147" s="4" t="str">
        <v>×</v>
      </c>
      <c r="J5147" s="4"/>
      <c r="K5147" s="4"/>
      <c r="L5147" s="4"/>
      <c r="M5147" s="5" t="s">
        <v>4174</v>
      </c>
    </row>
    <row r="5148" customFormat="false" ht="15.75" hidden="false" customHeight="false" outlineLevel="0" collapsed="false">
      <c r="A5148" s="6" t="n">
        <v>46194</v>
      </c>
      <c r="B5148" s="4" t="s">
        <v>4172</v>
      </c>
      <c r="C5148" s="4" t="n">
        <v>8</v>
      </c>
      <c r="D5148" s="4" t="n">
        <v>2</v>
      </c>
      <c r="E5148" s="4" t="s">
        <v>4183</v>
      </c>
      <c r="F5148" s="4" t="n">
        <v>17</v>
      </c>
      <c r="G5148" s="4" t="n">
        <v>7</v>
      </c>
      <c r="H5148" s="4" t="n">
        <v>4</v>
      </c>
      <c r="I5148" s="4" t="str">
        <v>×</v>
      </c>
      <c r="J5148" s="4"/>
      <c r="K5148" s="4"/>
      <c r="L5148" s="4"/>
      <c r="M5148" s="5" t="s">
        <v>4174</v>
      </c>
    </row>
    <row r="5149" customFormat="false" ht="15.75" hidden="false" customHeight="false" outlineLevel="0" collapsed="false">
      <c r="A5149" s="6" t="n">
        <v>46194</v>
      </c>
      <c r="B5149" s="4" t="s">
        <v>4172</v>
      </c>
      <c r="C5149" s="4" t="n">
        <v>8</v>
      </c>
      <c r="D5149" s="4" t="n">
        <v>3</v>
      </c>
      <c r="E5149" s="4" t="s">
        <v>4184</v>
      </c>
      <c r="F5149" s="4" t="n">
        <v>47</v>
      </c>
      <c r="G5149" s="4" t="n">
        <v>2</v>
      </c>
      <c r="H5149" s="4" t="n">
        <v>1</v>
      </c>
      <c r="I5149" s="4" t="str">
        <v>○</v>
      </c>
      <c r="J5149" s="4" t="n">
        <v>180</v>
      </c>
      <c r="K5149" s="4"/>
      <c r="L5149" s="4"/>
      <c r="M5149" s="5" t="s">
        <v>4174</v>
      </c>
    </row>
    <row r="5150" customFormat="false" ht="15.75" hidden="false" customHeight="false" outlineLevel="0" collapsed="false">
      <c r="A5150" s="6" t="n">
        <v>46194</v>
      </c>
      <c r="B5150" s="4" t="s">
        <v>4172</v>
      </c>
      <c r="C5150" s="4" t="n">
        <v>8</v>
      </c>
      <c r="D5150" s="4" t="n">
        <v>4</v>
      </c>
      <c r="E5150" s="4" t="s">
        <v>2509</v>
      </c>
      <c r="F5150" s="4" t="n">
        <v>29</v>
      </c>
      <c r="G5150" s="4" t="n">
        <v>5</v>
      </c>
      <c r="H5150" s="4" t="n">
        <v>2</v>
      </c>
      <c r="I5150" s="4" t="str">
        <v>○</v>
      </c>
      <c r="J5150" s="4" t="n">
        <v>400</v>
      </c>
      <c r="K5150" s="4"/>
      <c r="L5150" s="4"/>
      <c r="M5150" s="5" t="s">
        <v>4174</v>
      </c>
    </row>
    <row r="5151" customFormat="false" ht="15.75" hidden="false" customHeight="false" outlineLevel="0" collapsed="false">
      <c r="A5151" s="6" t="n">
        <v>46194</v>
      </c>
      <c r="B5151" s="4" t="s">
        <v>4172</v>
      </c>
      <c r="C5151" s="4" t="n">
        <v>8</v>
      </c>
      <c r="D5151" s="4" t="n">
        <v>5</v>
      </c>
      <c r="E5151" s="4" t="s">
        <v>3685</v>
      </c>
      <c r="F5151" s="4" t="n">
        <v>41</v>
      </c>
      <c r="G5151" s="4" t="n">
        <v>3</v>
      </c>
      <c r="H5151" s="4" t="n">
        <v>4</v>
      </c>
      <c r="I5151" s="4" t="str">
        <v>×</v>
      </c>
      <c r="J5151" s="4"/>
      <c r="K5151" s="4"/>
      <c r="L5151" s="4"/>
      <c r="M5151" s="5" t="s">
        <v>4174</v>
      </c>
    </row>
    <row r="5152" customFormat="false" ht="15.75" hidden="false" customHeight="false" outlineLevel="0" collapsed="false">
      <c r="A5152" s="6" t="n">
        <v>46194</v>
      </c>
      <c r="B5152" s="4" t="s">
        <v>4172</v>
      </c>
      <c r="C5152" s="4" t="n">
        <v>8</v>
      </c>
      <c r="D5152" s="4" t="n">
        <v>6</v>
      </c>
      <c r="E5152" s="4" t="s">
        <v>4185</v>
      </c>
      <c r="F5152" s="4" t="n">
        <v>65</v>
      </c>
      <c r="G5152" s="4" t="n">
        <v>1</v>
      </c>
      <c r="H5152" s="4" t="n">
        <v>3</v>
      </c>
      <c r="I5152" s="4" t="str">
        <v>○</v>
      </c>
      <c r="J5152" s="4" t="n">
        <v>160</v>
      </c>
      <c r="K5152" s="4"/>
      <c r="L5152" s="4"/>
      <c r="M5152" s="5" t="s">
        <v>4174</v>
      </c>
    </row>
    <row r="5153" customFormat="false" ht="15.75" hidden="false" customHeight="false" outlineLevel="0" collapsed="false">
      <c r="A5153" s="6" t="n">
        <v>46194</v>
      </c>
      <c r="B5153" s="4" t="s">
        <v>4172</v>
      </c>
      <c r="C5153" s="4" t="n">
        <v>8</v>
      </c>
      <c r="D5153" s="4" t="n">
        <v>7</v>
      </c>
      <c r="E5153" s="4" t="s">
        <v>4186</v>
      </c>
      <c r="F5153" s="4" t="n">
        <v>23</v>
      </c>
      <c r="G5153" s="4" t="n">
        <v>6</v>
      </c>
      <c r="H5153" s="4" t="n">
        <v>4</v>
      </c>
      <c r="I5153" s="4" t="str">
        <v>×</v>
      </c>
      <c r="J5153" s="4"/>
      <c r="K5153" s="4"/>
      <c r="L5153" s="4"/>
      <c r="M5153" s="5" t="s">
        <v>4174</v>
      </c>
    </row>
    <row r="5154" customFormat="false" ht="15.75" hidden="false" customHeight="false" outlineLevel="0" collapsed="false">
      <c r="A5154" s="6" t="n">
        <v>46194</v>
      </c>
      <c r="B5154" s="4" t="s">
        <v>4172</v>
      </c>
      <c r="C5154" s="4" t="n">
        <v>8</v>
      </c>
      <c r="D5154" s="4" t="n">
        <v>8</v>
      </c>
      <c r="E5154" s="4" t="s">
        <v>4187</v>
      </c>
      <c r="F5154" s="4" t="n">
        <v>31</v>
      </c>
      <c r="G5154" s="4" t="n">
        <v>4</v>
      </c>
      <c r="H5154" s="4" t="n">
        <v>4</v>
      </c>
      <c r="I5154" s="4" t="str">
        <v>×</v>
      </c>
      <c r="J5154" s="4"/>
      <c r="K5154" s="4"/>
      <c r="L5154" s="4"/>
      <c r="M5154" s="5" t="s">
        <v>4174</v>
      </c>
    </row>
    <row r="5155" customFormat="false" ht="15.75" hidden="false" customHeight="false" outlineLevel="0" collapsed="false">
      <c r="A5155" s="6" t="n">
        <v>46194</v>
      </c>
      <c r="B5155" s="4" t="s">
        <v>4172</v>
      </c>
      <c r="C5155" s="4" t="n">
        <v>9</v>
      </c>
      <c r="D5155" s="4" t="n">
        <v>1</v>
      </c>
      <c r="E5155" s="4" t="s">
        <v>4188</v>
      </c>
      <c r="F5155" s="4" t="n">
        <v>56</v>
      </c>
      <c r="G5155" s="4" t="n">
        <v>3</v>
      </c>
      <c r="H5155" s="4" t="n">
        <v>2</v>
      </c>
      <c r="I5155" s="4" t="str">
        <v>○</v>
      </c>
      <c r="J5155" s="4" t="n">
        <v>150</v>
      </c>
      <c r="K5155" s="4"/>
      <c r="L5155" s="4"/>
      <c r="M5155" s="5" t="s">
        <v>4174</v>
      </c>
    </row>
    <row r="5156" customFormat="false" ht="15.75" hidden="false" customHeight="false" outlineLevel="0" collapsed="false">
      <c r="A5156" s="6" t="n">
        <v>46194</v>
      </c>
      <c r="B5156" s="4" t="s">
        <v>4172</v>
      </c>
      <c r="C5156" s="4" t="n">
        <v>9</v>
      </c>
      <c r="D5156" s="4" t="n">
        <v>2</v>
      </c>
      <c r="E5156" s="4" t="s">
        <v>4189</v>
      </c>
      <c r="F5156" s="4" t="n">
        <v>66</v>
      </c>
      <c r="G5156" s="4" t="n">
        <v>1</v>
      </c>
      <c r="H5156" s="4" t="n">
        <v>1</v>
      </c>
      <c r="I5156" s="4" t="str">
        <v>○</v>
      </c>
      <c r="J5156" s="4" t="n">
        <v>210</v>
      </c>
      <c r="K5156" s="4"/>
      <c r="L5156" s="4"/>
      <c r="M5156" s="5" t="s">
        <v>4174</v>
      </c>
    </row>
    <row r="5157" customFormat="false" ht="15.75" hidden="false" customHeight="false" outlineLevel="0" collapsed="false">
      <c r="A5157" s="6" t="n">
        <v>46194</v>
      </c>
      <c r="B5157" s="4" t="s">
        <v>4172</v>
      </c>
      <c r="C5157" s="4" t="n">
        <v>9</v>
      </c>
      <c r="D5157" s="4" t="n">
        <v>3</v>
      </c>
      <c r="E5157" s="4" t="s">
        <v>2522</v>
      </c>
      <c r="F5157" s="4" t="n">
        <v>17</v>
      </c>
      <c r="G5157" s="4" t="n">
        <v>4</v>
      </c>
      <c r="H5157" s="4" t="n">
        <v>4</v>
      </c>
      <c r="I5157" s="4" t="str">
        <v>×</v>
      </c>
      <c r="J5157" s="4"/>
      <c r="K5157" s="4"/>
      <c r="L5157" s="4"/>
      <c r="M5157" s="5" t="s">
        <v>4174</v>
      </c>
    </row>
    <row r="5158" customFormat="false" ht="15.75" hidden="false" customHeight="false" outlineLevel="0" collapsed="false">
      <c r="A5158" s="6" t="n">
        <v>46194</v>
      </c>
      <c r="B5158" s="4" t="s">
        <v>4172</v>
      </c>
      <c r="C5158" s="4" t="n">
        <v>9</v>
      </c>
      <c r="D5158" s="4" t="n">
        <v>4</v>
      </c>
      <c r="E5158" s="4" t="s">
        <v>4190</v>
      </c>
      <c r="F5158" s="4" t="n">
        <v>17</v>
      </c>
      <c r="G5158" s="4" t="n">
        <v>4</v>
      </c>
      <c r="H5158" s="4" t="n">
        <v>4</v>
      </c>
      <c r="I5158" s="4" t="str">
        <v>×</v>
      </c>
      <c r="J5158" s="4"/>
      <c r="K5158" s="4"/>
      <c r="L5158" s="4"/>
      <c r="M5158" s="5" t="s">
        <v>4174</v>
      </c>
    </row>
    <row r="5159" customFormat="false" ht="15.75" hidden="false" customHeight="false" outlineLevel="0" collapsed="false">
      <c r="A5159" s="6" t="n">
        <v>46194</v>
      </c>
      <c r="B5159" s="4" t="s">
        <v>4172</v>
      </c>
      <c r="C5159" s="4" t="n">
        <v>9</v>
      </c>
      <c r="D5159" s="4" t="n">
        <v>5</v>
      </c>
      <c r="E5159" s="4" t="s">
        <v>4191</v>
      </c>
      <c r="F5159" s="4" t="n">
        <v>60</v>
      </c>
      <c r="G5159" s="4" t="n">
        <v>2</v>
      </c>
      <c r="H5159" s="4" t="n">
        <v>3</v>
      </c>
      <c r="I5159" s="4" t="str">
        <v>○</v>
      </c>
      <c r="J5159" s="4"/>
      <c r="K5159" s="4"/>
      <c r="L5159" s="4"/>
      <c r="M5159" s="5" t="s">
        <v>4174</v>
      </c>
    </row>
    <row r="5160" customFormat="false" ht="15.75" hidden="false" customHeight="false" outlineLevel="0" collapsed="false">
      <c r="A5160" s="6" t="n">
        <v>46194</v>
      </c>
      <c r="B5160" s="4" t="s">
        <v>4172</v>
      </c>
      <c r="C5160" s="4" t="n">
        <v>9</v>
      </c>
      <c r="D5160" s="4" t="n">
        <v>6</v>
      </c>
      <c r="E5160" s="4" t="s">
        <v>4192</v>
      </c>
      <c r="F5160" s="4" t="n">
        <v>3</v>
      </c>
      <c r="G5160" s="4" t="n">
        <v>5</v>
      </c>
      <c r="H5160" s="4" t="n">
        <v>4</v>
      </c>
      <c r="I5160" s="4" t="str">
        <v>×</v>
      </c>
      <c r="J5160" s="4"/>
      <c r="K5160" s="4"/>
      <c r="L5160" s="4"/>
      <c r="M5160" s="5" t="s">
        <v>4174</v>
      </c>
    </row>
    <row r="5161" customFormat="false" ht="15.75" hidden="false" customHeight="false" outlineLevel="0" collapsed="false">
      <c r="A5161" s="6" t="n">
        <v>46194</v>
      </c>
      <c r="B5161" s="4" t="s">
        <v>4172</v>
      </c>
      <c r="C5161" s="4" t="n">
        <v>9</v>
      </c>
      <c r="D5161" s="4" t="n">
        <v>7</v>
      </c>
      <c r="E5161" s="4" t="s">
        <v>4193</v>
      </c>
      <c r="F5161" s="4" t="n">
        <v>17</v>
      </c>
      <c r="G5161" s="4" t="n">
        <v>4</v>
      </c>
      <c r="H5161" s="4" t="n">
        <v>4</v>
      </c>
      <c r="I5161" s="4" t="str">
        <v>×</v>
      </c>
      <c r="J5161" s="4"/>
      <c r="K5161" s="4"/>
      <c r="L5161" s="4"/>
      <c r="M5161" s="5" t="s">
        <v>4174</v>
      </c>
    </row>
    <row r="5162" customFormat="false" ht="15.75" hidden="false" customHeight="false" outlineLevel="0" collapsed="false">
      <c r="A5162" s="6" t="n">
        <v>46194</v>
      </c>
      <c r="B5162" s="4" t="s">
        <v>4172</v>
      </c>
      <c r="C5162" s="4" t="n">
        <v>10</v>
      </c>
      <c r="D5162" s="4" t="n">
        <v>1</v>
      </c>
      <c r="E5162" s="4" t="s">
        <v>4194</v>
      </c>
      <c r="F5162" s="4" t="n">
        <v>4</v>
      </c>
      <c r="G5162" s="4" t="n">
        <v>13</v>
      </c>
      <c r="H5162" s="4" t="n">
        <v>4</v>
      </c>
      <c r="I5162" s="4" t="str">
        <v>×</v>
      </c>
      <c r="J5162" s="4"/>
      <c r="K5162" s="4"/>
      <c r="L5162" s="4"/>
      <c r="M5162" s="5" t="s">
        <v>4174</v>
      </c>
    </row>
    <row r="5163" customFormat="false" ht="15.75" hidden="false" customHeight="false" outlineLevel="0" collapsed="false">
      <c r="A5163" s="6" t="n">
        <v>46194</v>
      </c>
      <c r="B5163" s="4" t="s">
        <v>4172</v>
      </c>
      <c r="C5163" s="4" t="n">
        <v>10</v>
      </c>
      <c r="D5163" s="4" t="n">
        <v>2</v>
      </c>
      <c r="E5163" s="4" t="s">
        <v>1676</v>
      </c>
      <c r="F5163" s="4" t="n">
        <v>13</v>
      </c>
      <c r="G5163" s="4" t="n">
        <v>10</v>
      </c>
      <c r="H5163" s="4" t="n">
        <v>4</v>
      </c>
      <c r="I5163" s="4" t="str">
        <v>×</v>
      </c>
      <c r="J5163" s="4"/>
      <c r="K5163" s="4"/>
      <c r="L5163" s="4"/>
      <c r="M5163" s="5" t="s">
        <v>4174</v>
      </c>
    </row>
    <row r="5164" customFormat="false" ht="15.75" hidden="false" customHeight="false" outlineLevel="0" collapsed="false">
      <c r="A5164" s="6" t="n">
        <v>46194</v>
      </c>
      <c r="B5164" s="4" t="s">
        <v>4172</v>
      </c>
      <c r="C5164" s="4" t="n">
        <v>10</v>
      </c>
      <c r="D5164" s="4" t="n">
        <v>3</v>
      </c>
      <c r="E5164" s="4" t="s">
        <v>4195</v>
      </c>
      <c r="F5164" s="4" t="n">
        <v>6</v>
      </c>
      <c r="G5164" s="4" t="n">
        <v>12</v>
      </c>
      <c r="H5164" s="4" t="n">
        <v>4</v>
      </c>
      <c r="I5164" s="4" t="str">
        <v>×</v>
      </c>
      <c r="J5164" s="4"/>
      <c r="K5164" s="4"/>
      <c r="L5164" s="4"/>
      <c r="M5164" s="5" t="s">
        <v>4174</v>
      </c>
    </row>
    <row r="5165" customFormat="false" ht="15.75" hidden="false" customHeight="false" outlineLevel="0" collapsed="false">
      <c r="A5165" s="6" t="n">
        <v>46194</v>
      </c>
      <c r="B5165" s="4" t="s">
        <v>4172</v>
      </c>
      <c r="C5165" s="4" t="n">
        <v>10</v>
      </c>
      <c r="D5165" s="4" t="n">
        <v>4</v>
      </c>
      <c r="E5165" s="4" t="s">
        <v>2395</v>
      </c>
      <c r="F5165" s="4" t="n">
        <v>15</v>
      </c>
      <c r="G5165" s="4" t="n">
        <v>9</v>
      </c>
      <c r="H5165" s="4" t="n">
        <v>4</v>
      </c>
      <c r="I5165" s="4" t="str">
        <v>×</v>
      </c>
      <c r="J5165" s="4"/>
      <c r="K5165" s="4"/>
      <c r="L5165" s="4"/>
      <c r="M5165" s="5" t="s">
        <v>4174</v>
      </c>
    </row>
    <row r="5166" customFormat="false" ht="15.75" hidden="false" customHeight="false" outlineLevel="0" collapsed="false">
      <c r="A5166" s="6" t="n">
        <v>46194</v>
      </c>
      <c r="B5166" s="4" t="s">
        <v>4172</v>
      </c>
      <c r="C5166" s="4" t="n">
        <v>10</v>
      </c>
      <c r="D5166" s="4" t="n">
        <v>5</v>
      </c>
      <c r="E5166" s="4" t="s">
        <v>4196</v>
      </c>
      <c r="F5166" s="4" t="n">
        <v>20</v>
      </c>
      <c r="G5166" s="4" t="n">
        <v>7</v>
      </c>
      <c r="H5166" s="4" t="n">
        <v>4</v>
      </c>
      <c r="I5166" s="4" t="str">
        <v>×</v>
      </c>
      <c r="J5166" s="4"/>
      <c r="K5166" s="4"/>
      <c r="L5166" s="4"/>
      <c r="M5166" s="5" t="s">
        <v>4174</v>
      </c>
    </row>
    <row r="5167" customFormat="false" ht="15.75" hidden="false" customHeight="false" outlineLevel="0" collapsed="false">
      <c r="A5167" s="6" t="n">
        <v>46194</v>
      </c>
      <c r="B5167" s="4" t="s">
        <v>4172</v>
      </c>
      <c r="C5167" s="4" t="n">
        <v>10</v>
      </c>
      <c r="D5167" s="4" t="n">
        <v>6</v>
      </c>
      <c r="E5167" s="4" t="s">
        <v>4197</v>
      </c>
      <c r="F5167" s="4" t="n">
        <v>23</v>
      </c>
      <c r="G5167" s="4" t="n">
        <v>6</v>
      </c>
      <c r="H5167" s="4" t="n">
        <v>4</v>
      </c>
      <c r="I5167" s="4" t="str">
        <v>×</v>
      </c>
      <c r="J5167" s="4"/>
      <c r="K5167" s="4"/>
      <c r="L5167" s="4"/>
      <c r="M5167" s="5" t="s">
        <v>4174</v>
      </c>
    </row>
    <row r="5168" customFormat="false" ht="15.75" hidden="false" customHeight="false" outlineLevel="0" collapsed="false">
      <c r="A5168" s="6" t="n">
        <v>46194</v>
      </c>
      <c r="B5168" s="4" t="s">
        <v>4172</v>
      </c>
      <c r="C5168" s="4" t="n">
        <v>10</v>
      </c>
      <c r="D5168" s="4" t="n">
        <v>7</v>
      </c>
      <c r="E5168" s="4" t="s">
        <v>4198</v>
      </c>
      <c r="F5168" s="4" t="n">
        <v>10</v>
      </c>
      <c r="G5168" s="4" t="n">
        <v>11</v>
      </c>
      <c r="H5168" s="4" t="n">
        <v>3</v>
      </c>
      <c r="I5168" s="4" t="str">
        <v>○</v>
      </c>
      <c r="J5168" s="4" t="n">
        <v>960</v>
      </c>
      <c r="K5168" s="4"/>
      <c r="L5168" s="4"/>
      <c r="M5168" s="5" t="s">
        <v>4174</v>
      </c>
    </row>
    <row r="5169" customFormat="false" ht="15.75" hidden="false" customHeight="false" outlineLevel="0" collapsed="false">
      <c r="A5169" s="6" t="n">
        <v>46194</v>
      </c>
      <c r="B5169" s="4" t="s">
        <v>4172</v>
      </c>
      <c r="C5169" s="4" t="n">
        <v>10</v>
      </c>
      <c r="D5169" s="4" t="n">
        <v>8</v>
      </c>
      <c r="E5169" s="4" t="s">
        <v>4199</v>
      </c>
      <c r="F5169" s="4" t="n">
        <v>50</v>
      </c>
      <c r="G5169" s="4" t="n">
        <v>2</v>
      </c>
      <c r="H5169" s="4" t="n">
        <v>2</v>
      </c>
      <c r="I5169" s="4" t="str">
        <v>○</v>
      </c>
      <c r="J5169" s="4" t="n">
        <v>290</v>
      </c>
      <c r="K5169" s="4"/>
      <c r="L5169" s="4"/>
      <c r="M5169" s="5" t="s">
        <v>4174</v>
      </c>
    </row>
    <row r="5170" customFormat="false" ht="15.75" hidden="false" customHeight="false" outlineLevel="0" collapsed="false">
      <c r="A5170" s="6" t="n">
        <v>46194</v>
      </c>
      <c r="B5170" s="4" t="s">
        <v>4172</v>
      </c>
      <c r="C5170" s="4" t="n">
        <v>10</v>
      </c>
      <c r="D5170" s="4" t="n">
        <v>9</v>
      </c>
      <c r="E5170" s="4" t="s">
        <v>4200</v>
      </c>
      <c r="F5170" s="4" t="n">
        <v>74</v>
      </c>
      <c r="G5170" s="4" t="n">
        <v>1</v>
      </c>
      <c r="H5170" s="4" t="n">
        <v>4</v>
      </c>
      <c r="I5170" s="4" t="str">
        <v>×</v>
      </c>
      <c r="J5170" s="4"/>
      <c r="K5170" s="4"/>
      <c r="L5170" s="4"/>
      <c r="M5170" s="5" t="s">
        <v>4174</v>
      </c>
    </row>
    <row r="5171" customFormat="false" ht="15.75" hidden="false" customHeight="false" outlineLevel="0" collapsed="false">
      <c r="A5171" s="6" t="n">
        <v>46194</v>
      </c>
      <c r="B5171" s="4" t="s">
        <v>4172</v>
      </c>
      <c r="C5171" s="4" t="n">
        <v>10</v>
      </c>
      <c r="D5171" s="4" t="n">
        <v>10</v>
      </c>
      <c r="E5171" s="4" t="s">
        <v>4201</v>
      </c>
      <c r="F5171" s="4" t="n">
        <v>29</v>
      </c>
      <c r="G5171" s="4" t="n">
        <v>5</v>
      </c>
      <c r="H5171" s="4" t="n">
        <v>4</v>
      </c>
      <c r="I5171" s="4" t="str">
        <v>×</v>
      </c>
      <c r="J5171" s="4"/>
      <c r="K5171" s="4"/>
      <c r="L5171" s="4"/>
      <c r="M5171" s="5" t="s">
        <v>4174</v>
      </c>
    </row>
    <row r="5172" customFormat="false" ht="15.75" hidden="false" customHeight="false" outlineLevel="0" collapsed="false">
      <c r="A5172" s="6" t="n">
        <v>46194</v>
      </c>
      <c r="B5172" s="4" t="s">
        <v>4172</v>
      </c>
      <c r="C5172" s="4" t="n">
        <v>10</v>
      </c>
      <c r="D5172" s="4" t="n">
        <v>11</v>
      </c>
      <c r="E5172" s="4" t="s">
        <v>4202</v>
      </c>
      <c r="F5172" s="4" t="n">
        <v>6</v>
      </c>
      <c r="G5172" s="4" t="n">
        <v>12</v>
      </c>
      <c r="H5172" s="4" t="n">
        <v>4</v>
      </c>
      <c r="I5172" s="4" t="str">
        <v>×</v>
      </c>
      <c r="J5172" s="4"/>
      <c r="K5172" s="4"/>
      <c r="L5172" s="4"/>
      <c r="M5172" s="5" t="s">
        <v>4174</v>
      </c>
    </row>
    <row r="5173" customFormat="false" ht="15.75" hidden="false" customHeight="false" outlineLevel="0" collapsed="false">
      <c r="A5173" s="6" t="n">
        <v>46194</v>
      </c>
      <c r="B5173" s="4" t="s">
        <v>4172</v>
      </c>
      <c r="C5173" s="4" t="n">
        <v>10</v>
      </c>
      <c r="D5173" s="4" t="n">
        <v>12</v>
      </c>
      <c r="E5173" s="4" t="s">
        <v>4157</v>
      </c>
      <c r="F5173" s="4" t="n">
        <v>2</v>
      </c>
      <c r="G5173" s="4" t="n">
        <v>14</v>
      </c>
      <c r="H5173" s="4" t="n">
        <v>4</v>
      </c>
      <c r="I5173" s="4" t="str">
        <v>×</v>
      </c>
      <c r="J5173" s="4"/>
      <c r="K5173" s="4"/>
      <c r="L5173" s="4"/>
      <c r="M5173" s="5" t="s">
        <v>4174</v>
      </c>
    </row>
    <row r="5174" customFormat="false" ht="15.75" hidden="false" customHeight="false" outlineLevel="0" collapsed="false">
      <c r="A5174" s="6" t="n">
        <v>46194</v>
      </c>
      <c r="B5174" s="4" t="s">
        <v>4172</v>
      </c>
      <c r="C5174" s="4" t="n">
        <v>10</v>
      </c>
      <c r="D5174" s="4" t="n">
        <v>13</v>
      </c>
      <c r="E5174" s="4" t="s">
        <v>4203</v>
      </c>
      <c r="F5174" s="4" t="n">
        <v>6</v>
      </c>
      <c r="G5174" s="4" t="n">
        <v>12</v>
      </c>
      <c r="H5174" s="4" t="n">
        <v>1</v>
      </c>
      <c r="I5174" s="4" t="str">
        <v>○</v>
      </c>
      <c r="J5174" s="4" t="n">
        <v>2380</v>
      </c>
      <c r="K5174" s="4"/>
      <c r="L5174" s="4"/>
      <c r="M5174" s="5" t="s">
        <v>4174</v>
      </c>
    </row>
    <row r="5175" customFormat="false" ht="15.75" hidden="false" customHeight="false" outlineLevel="0" collapsed="false">
      <c r="A5175" s="6" t="n">
        <v>46194</v>
      </c>
      <c r="B5175" s="4" t="s">
        <v>4172</v>
      </c>
      <c r="C5175" s="4" t="n">
        <v>10</v>
      </c>
      <c r="D5175" s="4" t="n">
        <v>14</v>
      </c>
      <c r="E5175" s="4" t="s">
        <v>1687</v>
      </c>
      <c r="F5175" s="4" t="n">
        <v>34</v>
      </c>
      <c r="G5175" s="4" t="n">
        <v>3</v>
      </c>
      <c r="H5175" s="4" t="n">
        <v>4</v>
      </c>
      <c r="I5175" s="4" t="str">
        <v>×</v>
      </c>
      <c r="J5175" s="4"/>
      <c r="K5175" s="4"/>
      <c r="L5175" s="4"/>
      <c r="M5175" s="5" t="s">
        <v>4174</v>
      </c>
    </row>
    <row r="5176" customFormat="false" ht="15.75" hidden="false" customHeight="false" outlineLevel="0" collapsed="false">
      <c r="A5176" s="6" t="n">
        <v>46194</v>
      </c>
      <c r="B5176" s="4" t="s">
        <v>4172</v>
      </c>
      <c r="C5176" s="4" t="n">
        <v>10</v>
      </c>
      <c r="D5176" s="4" t="n">
        <v>15</v>
      </c>
      <c r="E5176" s="4" t="s">
        <v>4204</v>
      </c>
      <c r="F5176" s="4" t="n">
        <v>31</v>
      </c>
      <c r="G5176" s="4" t="n">
        <v>4</v>
      </c>
      <c r="H5176" s="4" t="n">
        <v>4</v>
      </c>
      <c r="I5176" s="4" t="str">
        <v>×</v>
      </c>
      <c r="J5176" s="4"/>
      <c r="K5176" s="4"/>
      <c r="L5176" s="4"/>
      <c r="M5176" s="5" t="s">
        <v>4174</v>
      </c>
    </row>
    <row r="5177" customFormat="false" ht="15.75" hidden="false" customHeight="false" outlineLevel="0" collapsed="false">
      <c r="A5177" s="6" t="n">
        <v>46194</v>
      </c>
      <c r="B5177" s="4" t="s">
        <v>4172</v>
      </c>
      <c r="C5177" s="4" t="n">
        <v>10</v>
      </c>
      <c r="D5177" s="4" t="n">
        <v>16</v>
      </c>
      <c r="E5177" s="4" t="s">
        <v>4205</v>
      </c>
      <c r="F5177" s="4" t="n">
        <v>17</v>
      </c>
      <c r="G5177" s="4" t="n">
        <v>8</v>
      </c>
      <c r="H5177" s="4" t="n">
        <v>4</v>
      </c>
      <c r="I5177" s="4" t="str">
        <v>×</v>
      </c>
      <c r="J5177" s="4"/>
      <c r="K5177" s="4"/>
      <c r="L5177" s="4"/>
      <c r="M5177" s="5" t="s">
        <v>4174</v>
      </c>
    </row>
    <row r="5178" customFormat="false" ht="15.75" hidden="false" customHeight="false" outlineLevel="0" collapsed="false">
      <c r="A5178" s="6" t="n">
        <v>46194</v>
      </c>
      <c r="B5178" s="4" t="s">
        <v>4172</v>
      </c>
      <c r="C5178" s="4" t="n">
        <v>11</v>
      </c>
      <c r="D5178" s="4" t="n">
        <v>1</v>
      </c>
      <c r="E5178" s="4" t="s">
        <v>4206</v>
      </c>
      <c r="F5178" s="4" t="n">
        <v>34</v>
      </c>
      <c r="G5178" s="4" t="n">
        <v>3</v>
      </c>
      <c r="H5178" s="4" t="n">
        <v>4</v>
      </c>
      <c r="I5178" s="4" t="str">
        <v>×</v>
      </c>
      <c r="J5178" s="4"/>
      <c r="K5178" s="4"/>
      <c r="L5178" s="4"/>
      <c r="M5178" s="5" t="s">
        <v>4174</v>
      </c>
    </row>
    <row r="5179" customFormat="false" ht="15.75" hidden="false" customHeight="false" outlineLevel="0" collapsed="false">
      <c r="A5179" s="6" t="n">
        <v>46194</v>
      </c>
      <c r="B5179" s="4" t="s">
        <v>4172</v>
      </c>
      <c r="C5179" s="4" t="n">
        <v>11</v>
      </c>
      <c r="D5179" s="4" t="n">
        <v>2</v>
      </c>
      <c r="E5179" s="4" t="s">
        <v>4207</v>
      </c>
      <c r="F5179" s="4" t="n">
        <v>8</v>
      </c>
      <c r="G5179" s="4" t="n">
        <v>10</v>
      </c>
      <c r="H5179" s="4" t="n">
        <v>4</v>
      </c>
      <c r="I5179" s="4" t="str">
        <v>×</v>
      </c>
      <c r="J5179" s="4"/>
      <c r="K5179" s="4"/>
      <c r="L5179" s="4"/>
      <c r="M5179" s="5" t="s">
        <v>4174</v>
      </c>
    </row>
    <row r="5180" customFormat="false" ht="15.75" hidden="false" customHeight="false" outlineLevel="0" collapsed="false">
      <c r="A5180" s="6" t="n">
        <v>46194</v>
      </c>
      <c r="B5180" s="4" t="s">
        <v>4172</v>
      </c>
      <c r="C5180" s="4" t="n">
        <v>11</v>
      </c>
      <c r="D5180" s="4" t="n">
        <v>3</v>
      </c>
      <c r="E5180" s="4" t="s">
        <v>4208</v>
      </c>
      <c r="F5180" s="4" t="n">
        <v>1</v>
      </c>
      <c r="G5180" s="4" t="n">
        <v>13</v>
      </c>
      <c r="H5180" s="4" t="n">
        <v>4</v>
      </c>
      <c r="I5180" s="4" t="str">
        <v>×</v>
      </c>
      <c r="J5180" s="4"/>
      <c r="K5180" s="4"/>
      <c r="L5180" s="4"/>
      <c r="M5180" s="5" t="s">
        <v>4174</v>
      </c>
    </row>
    <row r="5181" customFormat="false" ht="15.75" hidden="false" customHeight="false" outlineLevel="0" collapsed="false">
      <c r="A5181" s="6" t="n">
        <v>46194</v>
      </c>
      <c r="B5181" s="4" t="s">
        <v>4172</v>
      </c>
      <c r="C5181" s="4" t="n">
        <v>11</v>
      </c>
      <c r="D5181" s="4" t="n">
        <v>4</v>
      </c>
      <c r="E5181" s="4" t="s">
        <v>557</v>
      </c>
      <c r="F5181" s="4" t="n">
        <v>20</v>
      </c>
      <c r="G5181" s="4" t="n">
        <v>8</v>
      </c>
      <c r="H5181" s="4" t="n">
        <v>4</v>
      </c>
      <c r="I5181" s="4" t="str">
        <v>×</v>
      </c>
      <c r="J5181" s="4"/>
      <c r="K5181" s="4"/>
      <c r="L5181" s="4"/>
      <c r="M5181" s="5" t="s">
        <v>4174</v>
      </c>
    </row>
    <row r="5182" customFormat="false" ht="15.75" hidden="false" customHeight="false" outlineLevel="0" collapsed="false">
      <c r="A5182" s="6" t="n">
        <v>46194</v>
      </c>
      <c r="B5182" s="4" t="s">
        <v>4172</v>
      </c>
      <c r="C5182" s="4" t="n">
        <v>11</v>
      </c>
      <c r="D5182" s="4" t="n">
        <v>5</v>
      </c>
      <c r="E5182" s="4" t="s">
        <v>545</v>
      </c>
      <c r="F5182" s="4" t="n">
        <v>39</v>
      </c>
      <c r="G5182" s="4" t="n">
        <v>2</v>
      </c>
      <c r="H5182" s="4" t="n">
        <v>4</v>
      </c>
      <c r="I5182" s="4" t="str">
        <v>×</v>
      </c>
      <c r="J5182" s="4"/>
      <c r="K5182" s="4"/>
      <c r="L5182" s="4"/>
      <c r="M5182" s="5" t="s">
        <v>4174</v>
      </c>
    </row>
    <row r="5183" customFormat="false" ht="15.75" hidden="false" customHeight="false" outlineLevel="0" collapsed="false">
      <c r="A5183" s="6" t="n">
        <v>46194</v>
      </c>
      <c r="B5183" s="4" t="s">
        <v>4172</v>
      </c>
      <c r="C5183" s="4" t="n">
        <v>11</v>
      </c>
      <c r="D5183" s="4" t="n">
        <v>6</v>
      </c>
      <c r="E5183" s="4" t="s">
        <v>4209</v>
      </c>
      <c r="F5183" s="4" t="n">
        <v>3</v>
      </c>
      <c r="G5183" s="4" t="n">
        <v>12</v>
      </c>
      <c r="H5183" s="4" t="n">
        <v>4</v>
      </c>
      <c r="I5183" s="4" t="str">
        <v>×</v>
      </c>
      <c r="J5183" s="4"/>
      <c r="K5183" s="4"/>
      <c r="L5183" s="4"/>
      <c r="M5183" s="5" t="s">
        <v>4174</v>
      </c>
    </row>
    <row r="5184" customFormat="false" ht="15.75" hidden="false" customHeight="false" outlineLevel="0" collapsed="false">
      <c r="A5184" s="6" t="n">
        <v>46194</v>
      </c>
      <c r="B5184" s="4" t="s">
        <v>4172</v>
      </c>
      <c r="C5184" s="4" t="n">
        <v>11</v>
      </c>
      <c r="D5184" s="4" t="n">
        <v>7</v>
      </c>
      <c r="E5184" s="4" t="s">
        <v>4210</v>
      </c>
      <c r="F5184" s="4" t="n">
        <v>20</v>
      </c>
      <c r="G5184" s="4" t="n">
        <v>8</v>
      </c>
      <c r="H5184" s="4" t="n">
        <v>2</v>
      </c>
      <c r="I5184" s="4" t="str">
        <v>○</v>
      </c>
      <c r="J5184" s="4" t="n">
        <v>380</v>
      </c>
      <c r="K5184" s="4"/>
      <c r="L5184" s="4"/>
      <c r="M5184" s="5" t="s">
        <v>4174</v>
      </c>
    </row>
    <row r="5185" customFormat="false" ht="15.75" hidden="false" customHeight="false" outlineLevel="0" collapsed="false">
      <c r="A5185" s="6" t="n">
        <v>46194</v>
      </c>
      <c r="B5185" s="4" t="s">
        <v>4172</v>
      </c>
      <c r="C5185" s="4" t="n">
        <v>11</v>
      </c>
      <c r="D5185" s="4" t="n">
        <v>8</v>
      </c>
      <c r="E5185" s="4" t="s">
        <v>4211</v>
      </c>
      <c r="F5185" s="4" t="n">
        <v>39</v>
      </c>
      <c r="G5185" s="4" t="n">
        <v>2</v>
      </c>
      <c r="H5185" s="4" t="n">
        <v>4</v>
      </c>
      <c r="I5185" s="4" t="str">
        <v>×</v>
      </c>
      <c r="J5185" s="4"/>
      <c r="K5185" s="4"/>
      <c r="L5185" s="4"/>
      <c r="M5185" s="5" t="s">
        <v>4174</v>
      </c>
    </row>
    <row r="5186" customFormat="false" ht="15.75" hidden="false" customHeight="false" outlineLevel="0" collapsed="false">
      <c r="A5186" s="6" t="n">
        <v>46194</v>
      </c>
      <c r="B5186" s="4" t="s">
        <v>4172</v>
      </c>
      <c r="C5186" s="4" t="n">
        <v>11</v>
      </c>
      <c r="D5186" s="4" t="n">
        <v>9</v>
      </c>
      <c r="E5186" s="4" t="s">
        <v>4212</v>
      </c>
      <c r="F5186" s="4" t="n">
        <v>31</v>
      </c>
      <c r="G5186" s="4" t="n">
        <v>4</v>
      </c>
      <c r="H5186" s="4" t="n">
        <v>4</v>
      </c>
      <c r="I5186" s="4" t="str">
        <v>×</v>
      </c>
      <c r="J5186" s="4"/>
      <c r="K5186" s="4"/>
      <c r="L5186" s="4"/>
      <c r="M5186" s="5" t="s">
        <v>4174</v>
      </c>
    </row>
    <row r="5187" customFormat="false" ht="15.75" hidden="false" customHeight="false" outlineLevel="0" collapsed="false">
      <c r="A5187" s="6" t="n">
        <v>46194</v>
      </c>
      <c r="B5187" s="4" t="s">
        <v>4172</v>
      </c>
      <c r="C5187" s="4" t="n">
        <v>11</v>
      </c>
      <c r="D5187" s="4" t="n">
        <v>10</v>
      </c>
      <c r="E5187" s="4" t="s">
        <v>551</v>
      </c>
      <c r="F5187" s="4" t="n">
        <v>31</v>
      </c>
      <c r="G5187" s="4" t="n">
        <v>4</v>
      </c>
      <c r="H5187" s="4" t="n">
        <v>1</v>
      </c>
      <c r="I5187" s="4" t="str">
        <v>○</v>
      </c>
      <c r="J5187" s="4" t="n">
        <v>340</v>
      </c>
      <c r="K5187" s="4"/>
      <c r="L5187" s="4"/>
      <c r="M5187" s="5" t="s">
        <v>4174</v>
      </c>
    </row>
    <row r="5188" customFormat="false" ht="15.75" hidden="false" customHeight="false" outlineLevel="0" collapsed="false">
      <c r="A5188" s="6" t="n">
        <v>46194</v>
      </c>
      <c r="B5188" s="4" t="s">
        <v>4172</v>
      </c>
      <c r="C5188" s="4" t="n">
        <v>11</v>
      </c>
      <c r="D5188" s="4" t="n">
        <v>11</v>
      </c>
      <c r="E5188" s="4" t="s">
        <v>4213</v>
      </c>
      <c r="F5188" s="4" t="n">
        <v>29</v>
      </c>
      <c r="G5188" s="4" t="n">
        <v>5</v>
      </c>
      <c r="H5188" s="4" t="n">
        <v>3</v>
      </c>
      <c r="I5188" s="4" t="str">
        <v>○</v>
      </c>
      <c r="J5188" s="4" t="n">
        <v>160</v>
      </c>
      <c r="K5188" s="4"/>
      <c r="L5188" s="4"/>
      <c r="M5188" s="5" t="s">
        <v>4174</v>
      </c>
    </row>
    <row r="5189" customFormat="false" ht="15.75" hidden="false" customHeight="false" outlineLevel="0" collapsed="false">
      <c r="A5189" s="6" t="n">
        <v>46194</v>
      </c>
      <c r="B5189" s="4" t="s">
        <v>4172</v>
      </c>
      <c r="C5189" s="4" t="n">
        <v>11</v>
      </c>
      <c r="D5189" s="4" t="n">
        <v>12</v>
      </c>
      <c r="E5189" s="4" t="s">
        <v>4214</v>
      </c>
      <c r="F5189" s="4" t="n">
        <v>23</v>
      </c>
      <c r="G5189" s="4" t="n">
        <v>7</v>
      </c>
      <c r="H5189" s="4" t="n">
        <v>4</v>
      </c>
      <c r="I5189" s="4" t="str">
        <v>×</v>
      </c>
      <c r="J5189" s="4"/>
      <c r="K5189" s="4"/>
      <c r="L5189" s="4"/>
      <c r="M5189" s="5" t="s">
        <v>4174</v>
      </c>
    </row>
    <row r="5190" customFormat="false" ht="15.75" hidden="false" customHeight="false" outlineLevel="0" collapsed="false">
      <c r="A5190" s="6" t="n">
        <v>46194</v>
      </c>
      <c r="B5190" s="4" t="s">
        <v>4172</v>
      </c>
      <c r="C5190" s="4" t="n">
        <v>11</v>
      </c>
      <c r="D5190" s="4" t="n">
        <v>13</v>
      </c>
      <c r="E5190" s="4" t="s">
        <v>558</v>
      </c>
      <c r="F5190" s="4" t="n">
        <v>6</v>
      </c>
      <c r="G5190" s="4" t="n">
        <v>11</v>
      </c>
      <c r="H5190" s="4" t="n">
        <v>4</v>
      </c>
      <c r="I5190" s="4" t="str">
        <v>×</v>
      </c>
      <c r="J5190" s="4"/>
      <c r="K5190" s="4"/>
      <c r="L5190" s="4"/>
      <c r="M5190" s="5" t="s">
        <v>4174</v>
      </c>
    </row>
    <row r="5191" customFormat="false" ht="15.75" hidden="false" customHeight="false" outlineLevel="0" collapsed="false">
      <c r="A5191" s="6" t="n">
        <v>46194</v>
      </c>
      <c r="B5191" s="4" t="s">
        <v>4172</v>
      </c>
      <c r="C5191" s="4" t="n">
        <v>11</v>
      </c>
      <c r="D5191" s="4" t="n">
        <v>14</v>
      </c>
      <c r="E5191" s="4" t="s">
        <v>4215</v>
      </c>
      <c r="F5191" s="4" t="n">
        <v>47</v>
      </c>
      <c r="G5191" s="4" t="n">
        <v>1</v>
      </c>
      <c r="H5191" s="4" t="n">
        <v>4</v>
      </c>
      <c r="I5191" s="4" t="str">
        <v>×</v>
      </c>
      <c r="J5191" s="4"/>
      <c r="K5191" s="4"/>
      <c r="L5191" s="4"/>
      <c r="M5191" s="5" t="s">
        <v>4174</v>
      </c>
    </row>
    <row r="5192" customFormat="false" ht="15.75" hidden="false" customHeight="false" outlineLevel="0" collapsed="false">
      <c r="A5192" s="6" t="n">
        <v>46194</v>
      </c>
      <c r="B5192" s="4" t="s">
        <v>4172</v>
      </c>
      <c r="C5192" s="4" t="n">
        <v>11</v>
      </c>
      <c r="D5192" s="4" t="n">
        <v>15</v>
      </c>
      <c r="E5192" s="4" t="s">
        <v>4216</v>
      </c>
      <c r="F5192" s="4" t="n">
        <v>25</v>
      </c>
      <c r="G5192" s="4" t="n">
        <v>6</v>
      </c>
      <c r="H5192" s="4" t="n">
        <v>4</v>
      </c>
      <c r="I5192" s="4" t="str">
        <v>×</v>
      </c>
      <c r="J5192" s="4"/>
      <c r="K5192" s="4"/>
      <c r="L5192" s="4"/>
      <c r="M5192" s="5" t="s">
        <v>4174</v>
      </c>
    </row>
    <row r="5193" customFormat="false" ht="15.75" hidden="false" customHeight="false" outlineLevel="0" collapsed="false">
      <c r="A5193" s="6" t="n">
        <v>46194</v>
      </c>
      <c r="B5193" s="4" t="s">
        <v>4172</v>
      </c>
      <c r="C5193" s="4" t="n">
        <v>11</v>
      </c>
      <c r="D5193" s="4" t="n">
        <v>16</v>
      </c>
      <c r="E5193" s="4" t="s">
        <v>4217</v>
      </c>
      <c r="F5193" s="4" t="n">
        <v>15</v>
      </c>
      <c r="G5193" s="4" t="n">
        <v>9</v>
      </c>
      <c r="H5193" s="4" t="n">
        <v>4</v>
      </c>
      <c r="I5193" s="4" t="str">
        <v>×</v>
      </c>
      <c r="J5193" s="4"/>
      <c r="K5193" s="4"/>
      <c r="L5193" s="4"/>
      <c r="M5193" s="5" t="s">
        <v>4174</v>
      </c>
    </row>
    <row r="5194" customFormat="false" ht="15.75" hidden="false" customHeight="false" outlineLevel="0" collapsed="false">
      <c r="A5194" s="6" t="n">
        <v>46194</v>
      </c>
      <c r="B5194" s="4" t="s">
        <v>4172</v>
      </c>
      <c r="C5194" s="4" t="n">
        <v>11</v>
      </c>
      <c r="D5194" s="4" t="n">
        <v>17</v>
      </c>
      <c r="E5194" s="4" t="s">
        <v>4218</v>
      </c>
      <c r="F5194" s="4" t="n">
        <v>8</v>
      </c>
      <c r="G5194" s="4" t="n">
        <v>10</v>
      </c>
      <c r="H5194" s="4" t="n">
        <v>4</v>
      </c>
      <c r="I5194" s="4" t="str">
        <v>×</v>
      </c>
      <c r="J5194" s="4"/>
      <c r="K5194" s="4"/>
      <c r="L5194" s="4"/>
      <c r="M5194" s="5" t="s">
        <v>4174</v>
      </c>
    </row>
    <row r="5195" customFormat="false" ht="15.75" hidden="false" customHeight="false" outlineLevel="0" collapsed="false">
      <c r="A5195" s="6" t="n">
        <v>46194</v>
      </c>
      <c r="B5195" s="4" t="s">
        <v>4172</v>
      </c>
      <c r="C5195" s="4" t="n">
        <v>11</v>
      </c>
      <c r="D5195" s="4" t="n">
        <v>18</v>
      </c>
      <c r="E5195" s="4" t="s">
        <v>4219</v>
      </c>
      <c r="F5195" s="4" t="n">
        <v>39</v>
      </c>
      <c r="G5195" s="4" t="n">
        <v>2</v>
      </c>
      <c r="H5195" s="4" t="n">
        <v>4</v>
      </c>
      <c r="I5195" s="4" t="str">
        <v>×</v>
      </c>
      <c r="J5195" s="4"/>
      <c r="K5195" s="4"/>
      <c r="L5195" s="4"/>
      <c r="M5195" s="5" t="s">
        <v>4174</v>
      </c>
    </row>
    <row r="5196" customFormat="false" ht="15.75" hidden="false" customHeight="false" outlineLevel="0" collapsed="false">
      <c r="A5196" s="6" t="n">
        <v>46194</v>
      </c>
      <c r="B5196" s="4" t="s">
        <v>4172</v>
      </c>
      <c r="C5196" s="4" t="n">
        <v>12</v>
      </c>
      <c r="D5196" s="4" t="n">
        <v>1</v>
      </c>
      <c r="E5196" s="4" t="s">
        <v>4220</v>
      </c>
      <c r="F5196" s="4" t="n">
        <v>3</v>
      </c>
      <c r="G5196" s="4" t="n">
        <v>10</v>
      </c>
      <c r="H5196" s="4" t="n">
        <v>4</v>
      </c>
      <c r="I5196" s="4" t="str">
        <v>×</v>
      </c>
      <c r="J5196" s="4"/>
      <c r="K5196" s="4"/>
      <c r="L5196" s="4"/>
      <c r="M5196" s="5" t="s">
        <v>4174</v>
      </c>
    </row>
    <row r="5197" customFormat="false" ht="15.75" hidden="false" customHeight="false" outlineLevel="0" collapsed="false">
      <c r="A5197" s="6" t="n">
        <v>46194</v>
      </c>
      <c r="B5197" s="4" t="s">
        <v>4172</v>
      </c>
      <c r="C5197" s="4" t="n">
        <v>12</v>
      </c>
      <c r="D5197" s="4" t="n">
        <v>2</v>
      </c>
      <c r="E5197" s="4" t="s">
        <v>4221</v>
      </c>
      <c r="F5197" s="4" t="n">
        <v>34</v>
      </c>
      <c r="G5197" s="4" t="n">
        <v>3</v>
      </c>
      <c r="H5197" s="4" t="n">
        <v>4</v>
      </c>
      <c r="I5197" s="4" t="str">
        <v>×</v>
      </c>
      <c r="J5197" s="4"/>
      <c r="K5197" s="4"/>
      <c r="L5197" s="4"/>
      <c r="M5197" s="5" t="s">
        <v>4174</v>
      </c>
    </row>
    <row r="5198" customFormat="false" ht="15.75" hidden="false" customHeight="false" outlineLevel="0" collapsed="false">
      <c r="A5198" s="6" t="n">
        <v>46194</v>
      </c>
      <c r="B5198" s="4" t="s">
        <v>4172</v>
      </c>
      <c r="C5198" s="4" t="n">
        <v>12</v>
      </c>
      <c r="D5198" s="4" t="n">
        <v>3</v>
      </c>
      <c r="E5198" s="4" t="s">
        <v>3650</v>
      </c>
      <c r="F5198" s="4" t="n">
        <v>29</v>
      </c>
      <c r="G5198" s="4" t="n">
        <v>4</v>
      </c>
      <c r="H5198" s="4" t="n">
        <v>2</v>
      </c>
      <c r="I5198" s="4" t="str">
        <v>○</v>
      </c>
      <c r="J5198" s="4" t="n">
        <v>250</v>
      </c>
      <c r="K5198" s="4"/>
      <c r="L5198" s="4"/>
      <c r="M5198" s="5" t="s">
        <v>4174</v>
      </c>
    </row>
    <row r="5199" customFormat="false" ht="15.75" hidden="false" customHeight="false" outlineLevel="0" collapsed="false">
      <c r="A5199" s="6" t="n">
        <v>46194</v>
      </c>
      <c r="B5199" s="4" t="s">
        <v>4172</v>
      </c>
      <c r="C5199" s="4" t="n">
        <v>12</v>
      </c>
      <c r="D5199" s="4" t="n">
        <v>4</v>
      </c>
      <c r="E5199" s="4" t="s">
        <v>4222</v>
      </c>
      <c r="F5199" s="4" t="n">
        <v>29</v>
      </c>
      <c r="G5199" s="4" t="n">
        <v>4</v>
      </c>
      <c r="H5199" s="4" t="n">
        <v>3</v>
      </c>
      <c r="I5199" s="4" t="str">
        <v>○</v>
      </c>
      <c r="J5199" s="4" t="n">
        <v>160</v>
      </c>
      <c r="K5199" s="4"/>
      <c r="L5199" s="4"/>
      <c r="M5199" s="5" t="s">
        <v>4174</v>
      </c>
    </row>
    <row r="5200" customFormat="false" ht="15.75" hidden="false" customHeight="false" outlineLevel="0" collapsed="false">
      <c r="A5200" s="6" t="n">
        <v>46194</v>
      </c>
      <c r="B5200" s="4" t="s">
        <v>4172</v>
      </c>
      <c r="C5200" s="4" t="n">
        <v>12</v>
      </c>
      <c r="D5200" s="4" t="n">
        <v>5</v>
      </c>
      <c r="E5200" s="4" t="s">
        <v>4223</v>
      </c>
      <c r="F5200" s="4" t="n">
        <v>6</v>
      </c>
      <c r="G5200" s="4" t="n">
        <v>8</v>
      </c>
      <c r="H5200" s="4" t="n">
        <v>4</v>
      </c>
      <c r="I5200" s="4" t="str">
        <v>×</v>
      </c>
      <c r="J5200" s="4"/>
      <c r="K5200" s="4"/>
      <c r="L5200" s="4"/>
      <c r="M5200" s="5" t="s">
        <v>4174</v>
      </c>
    </row>
    <row r="5201" customFormat="false" ht="15.75" hidden="false" customHeight="false" outlineLevel="0" collapsed="false">
      <c r="A5201" s="6" t="n">
        <v>46194</v>
      </c>
      <c r="B5201" s="4" t="s">
        <v>4172</v>
      </c>
      <c r="C5201" s="4" t="n">
        <v>12</v>
      </c>
      <c r="D5201" s="4" t="n">
        <v>6</v>
      </c>
      <c r="E5201" s="4" t="s">
        <v>4042</v>
      </c>
      <c r="F5201" s="4" t="n">
        <v>8</v>
      </c>
      <c r="G5201" s="4" t="n">
        <v>7</v>
      </c>
      <c r="H5201" s="4" t="n">
        <v>4</v>
      </c>
      <c r="I5201" s="4" t="str">
        <v>×</v>
      </c>
      <c r="J5201" s="4"/>
      <c r="K5201" s="4"/>
      <c r="L5201" s="4"/>
      <c r="M5201" s="5" t="s">
        <v>4174</v>
      </c>
    </row>
    <row r="5202" customFormat="false" ht="15.75" hidden="false" customHeight="false" outlineLevel="0" collapsed="false">
      <c r="A5202" s="6" t="n">
        <v>46194</v>
      </c>
      <c r="B5202" s="4" t="s">
        <v>4172</v>
      </c>
      <c r="C5202" s="4" t="n">
        <v>12</v>
      </c>
      <c r="D5202" s="4" t="n">
        <v>7</v>
      </c>
      <c r="E5202" s="4" t="s">
        <v>4224</v>
      </c>
      <c r="F5202" s="4" t="n">
        <v>6</v>
      </c>
      <c r="G5202" s="4" t="n">
        <v>8</v>
      </c>
      <c r="H5202" s="4" t="n">
        <v>4</v>
      </c>
      <c r="I5202" s="4" t="str">
        <v>×</v>
      </c>
      <c r="J5202" s="4"/>
      <c r="K5202" s="4"/>
      <c r="L5202" s="4"/>
      <c r="M5202" s="5" t="s">
        <v>4174</v>
      </c>
    </row>
    <row r="5203" customFormat="false" ht="15.75" hidden="false" customHeight="false" outlineLevel="0" collapsed="false">
      <c r="A5203" s="6" t="n">
        <v>46194</v>
      </c>
      <c r="B5203" s="4" t="s">
        <v>4172</v>
      </c>
      <c r="C5203" s="4" t="n">
        <v>12</v>
      </c>
      <c r="D5203" s="4" t="n">
        <v>8</v>
      </c>
      <c r="E5203" s="4" t="s">
        <v>4225</v>
      </c>
      <c r="F5203" s="4" t="n">
        <v>18</v>
      </c>
      <c r="G5203" s="4" t="n">
        <v>5</v>
      </c>
      <c r="H5203" s="4" t="n">
        <v>4</v>
      </c>
      <c r="I5203" s="4" t="str">
        <v>×</v>
      </c>
      <c r="J5203" s="4"/>
      <c r="K5203" s="4"/>
      <c r="L5203" s="4"/>
      <c r="M5203" s="5" t="s">
        <v>4174</v>
      </c>
    </row>
    <row r="5204" customFormat="false" ht="15.75" hidden="false" customHeight="false" outlineLevel="0" collapsed="false">
      <c r="A5204" s="6" t="n">
        <v>46194</v>
      </c>
      <c r="B5204" s="4" t="s">
        <v>4172</v>
      </c>
      <c r="C5204" s="4" t="n">
        <v>12</v>
      </c>
      <c r="D5204" s="4" t="n">
        <v>9</v>
      </c>
      <c r="E5204" s="4" t="s">
        <v>2515</v>
      </c>
      <c r="F5204" s="4" t="n">
        <v>10</v>
      </c>
      <c r="G5204" s="4" t="n">
        <v>6</v>
      </c>
      <c r="H5204" s="4" t="n">
        <v>4</v>
      </c>
      <c r="I5204" s="4" t="str">
        <v>×</v>
      </c>
      <c r="J5204" s="4"/>
      <c r="K5204" s="4"/>
      <c r="L5204" s="4"/>
      <c r="M5204" s="5" t="s">
        <v>4174</v>
      </c>
    </row>
    <row r="5205" customFormat="false" ht="15.75" hidden="false" customHeight="false" outlineLevel="0" collapsed="false">
      <c r="A5205" s="6" t="n">
        <v>46194</v>
      </c>
      <c r="B5205" s="4" t="s">
        <v>4172</v>
      </c>
      <c r="C5205" s="4" t="n">
        <v>12</v>
      </c>
      <c r="D5205" s="4" t="n">
        <v>10</v>
      </c>
      <c r="E5205" s="4" t="s">
        <v>2781</v>
      </c>
      <c r="F5205" s="4" t="n">
        <v>6</v>
      </c>
      <c r="G5205" s="4" t="n">
        <v>8</v>
      </c>
      <c r="H5205" s="4" t="n">
        <v>4</v>
      </c>
      <c r="I5205" s="4" t="str">
        <v>×</v>
      </c>
      <c r="J5205" s="4"/>
      <c r="K5205" s="4"/>
      <c r="L5205" s="4"/>
      <c r="M5205" s="5" t="s">
        <v>4174</v>
      </c>
    </row>
    <row r="5206" customFormat="false" ht="15.75" hidden="false" customHeight="false" outlineLevel="0" collapsed="false">
      <c r="A5206" s="6" t="n">
        <v>46194</v>
      </c>
      <c r="B5206" s="4" t="s">
        <v>4172</v>
      </c>
      <c r="C5206" s="4" t="n">
        <v>12</v>
      </c>
      <c r="D5206" s="4" t="n">
        <v>11</v>
      </c>
      <c r="E5206" s="4" t="s">
        <v>691</v>
      </c>
      <c r="F5206" s="4" t="n">
        <v>4</v>
      </c>
      <c r="G5206" s="4" t="n">
        <v>9</v>
      </c>
      <c r="H5206" s="4" t="n">
        <v>4</v>
      </c>
      <c r="I5206" s="4" t="str">
        <v>×</v>
      </c>
      <c r="J5206" s="4"/>
      <c r="K5206" s="4"/>
      <c r="L5206" s="4"/>
      <c r="M5206" s="5" t="s">
        <v>4174</v>
      </c>
    </row>
    <row r="5207" customFormat="false" ht="15.75" hidden="false" customHeight="false" outlineLevel="0" collapsed="false">
      <c r="A5207" s="6" t="n">
        <v>46194</v>
      </c>
      <c r="B5207" s="4" t="s">
        <v>4172</v>
      </c>
      <c r="C5207" s="4" t="n">
        <v>12</v>
      </c>
      <c r="D5207" s="4" t="n">
        <v>12</v>
      </c>
      <c r="E5207" s="4" t="s">
        <v>4226</v>
      </c>
      <c r="F5207" s="4" t="n">
        <v>37</v>
      </c>
      <c r="G5207" s="4" t="n">
        <v>2</v>
      </c>
      <c r="H5207" s="4" t="n">
        <v>1</v>
      </c>
      <c r="I5207" s="4" t="str">
        <v>○</v>
      </c>
      <c r="J5207" s="4" t="n">
        <v>110</v>
      </c>
      <c r="K5207" s="4"/>
      <c r="L5207" s="4"/>
      <c r="M5207" s="5" t="s">
        <v>4174</v>
      </c>
    </row>
    <row r="5208" customFormat="false" ht="15.75" hidden="false" customHeight="false" outlineLevel="0" collapsed="false">
      <c r="A5208" s="6" t="n">
        <v>46194</v>
      </c>
      <c r="B5208" s="4" t="s">
        <v>4172</v>
      </c>
      <c r="C5208" s="4" t="n">
        <v>12</v>
      </c>
      <c r="D5208" s="4" t="n">
        <v>13</v>
      </c>
      <c r="E5208" s="4" t="s">
        <v>4227</v>
      </c>
      <c r="F5208" s="4" t="n">
        <v>56</v>
      </c>
      <c r="G5208" s="4" t="n">
        <v>1</v>
      </c>
      <c r="H5208" s="4" t="n">
        <v>4</v>
      </c>
      <c r="I5208" s="4" t="str">
        <v>×</v>
      </c>
      <c r="J5208" s="4"/>
      <c r="K5208" s="4"/>
      <c r="L5208" s="4"/>
      <c r="M5208" s="5" t="s">
        <v>4174</v>
      </c>
    </row>
    <row r="5209" customFormat="false" ht="15.75" hidden="false" customHeight="false" outlineLevel="0" collapsed="false">
      <c r="A5209" s="6" t="n">
        <v>46194</v>
      </c>
      <c r="B5209" s="4" t="s">
        <v>1237</v>
      </c>
      <c r="C5209" s="4" t="n">
        <v>1</v>
      </c>
      <c r="D5209" s="4" t="n">
        <v>1</v>
      </c>
      <c r="E5209" s="4" t="s">
        <v>4228</v>
      </c>
      <c r="F5209" s="4" t="n">
        <v>52</v>
      </c>
      <c r="G5209" s="4" t="n">
        <v>1</v>
      </c>
      <c r="H5209" s="4" t="n">
        <v>4</v>
      </c>
      <c r="I5209" s="4" t="str">
        <v>×</v>
      </c>
      <c r="J5209" s="4"/>
      <c r="K5209" s="4"/>
      <c r="L5209" s="4"/>
      <c r="M5209" s="5" t="s">
        <v>4174</v>
      </c>
    </row>
    <row r="5210" customFormat="false" ht="15.75" hidden="false" customHeight="false" outlineLevel="0" collapsed="false">
      <c r="A5210" s="6" t="n">
        <v>46194</v>
      </c>
      <c r="B5210" s="4" t="s">
        <v>1237</v>
      </c>
      <c r="C5210" s="4" t="n">
        <v>1</v>
      </c>
      <c r="D5210" s="4" t="n">
        <v>2</v>
      </c>
      <c r="E5210" s="4" t="s">
        <v>2957</v>
      </c>
      <c r="F5210" s="4" t="n">
        <v>13</v>
      </c>
      <c r="G5210" s="4" t="n">
        <v>7</v>
      </c>
      <c r="H5210" s="4" t="n">
        <v>4</v>
      </c>
      <c r="I5210" s="4" t="str">
        <v>×</v>
      </c>
      <c r="J5210" s="4"/>
      <c r="K5210" s="4"/>
      <c r="L5210" s="4"/>
      <c r="M5210" s="5" t="s">
        <v>4174</v>
      </c>
    </row>
    <row r="5211" customFormat="false" ht="15.75" hidden="false" customHeight="false" outlineLevel="0" collapsed="false">
      <c r="A5211" s="6" t="n">
        <v>46194</v>
      </c>
      <c r="B5211" s="4" t="s">
        <v>1237</v>
      </c>
      <c r="C5211" s="4" t="n">
        <v>1</v>
      </c>
      <c r="D5211" s="4" t="n">
        <v>3</v>
      </c>
      <c r="E5211" s="4" t="s">
        <v>1376</v>
      </c>
      <c r="F5211" s="4" t="n">
        <v>50</v>
      </c>
      <c r="G5211" s="4" t="n">
        <v>2</v>
      </c>
      <c r="H5211" s="4" t="n">
        <v>3</v>
      </c>
      <c r="I5211" s="4" t="str">
        <v>○</v>
      </c>
      <c r="J5211" s="4" t="n">
        <v>130</v>
      </c>
      <c r="K5211" s="4"/>
      <c r="L5211" s="4"/>
      <c r="M5211" s="5" t="s">
        <v>4174</v>
      </c>
    </row>
    <row r="5212" customFormat="false" ht="15.75" hidden="false" customHeight="false" outlineLevel="0" collapsed="false">
      <c r="A5212" s="6" t="n">
        <v>46194</v>
      </c>
      <c r="B5212" s="4" t="s">
        <v>1237</v>
      </c>
      <c r="C5212" s="4" t="n">
        <v>1</v>
      </c>
      <c r="D5212" s="4" t="n">
        <v>4</v>
      </c>
      <c r="E5212" s="4" t="s">
        <v>2927</v>
      </c>
      <c r="F5212" s="4" t="n">
        <v>20</v>
      </c>
      <c r="G5212" s="4" t="n">
        <v>5</v>
      </c>
      <c r="H5212" s="4" t="n">
        <v>4</v>
      </c>
      <c r="I5212" s="4" t="str">
        <v>×</v>
      </c>
      <c r="J5212" s="4"/>
      <c r="K5212" s="4"/>
      <c r="L5212" s="4"/>
      <c r="M5212" s="5" t="s">
        <v>4174</v>
      </c>
    </row>
    <row r="5213" customFormat="false" ht="15.75" hidden="false" customHeight="false" outlineLevel="0" collapsed="false">
      <c r="A5213" s="6" t="n">
        <v>46194</v>
      </c>
      <c r="B5213" s="4" t="s">
        <v>1237</v>
      </c>
      <c r="C5213" s="4" t="n">
        <v>1</v>
      </c>
      <c r="D5213" s="4" t="n">
        <v>5</v>
      </c>
      <c r="E5213" s="4" t="s">
        <v>1909</v>
      </c>
      <c r="F5213" s="4" t="n">
        <v>3</v>
      </c>
      <c r="G5213" s="4" t="n">
        <v>10</v>
      </c>
      <c r="H5213" s="4" t="n">
        <v>4</v>
      </c>
      <c r="I5213" s="4" t="str">
        <v>×</v>
      </c>
      <c r="J5213" s="4"/>
      <c r="K5213" s="4"/>
      <c r="L5213" s="4"/>
      <c r="M5213" s="5" t="s">
        <v>4174</v>
      </c>
    </row>
    <row r="5214" customFormat="false" ht="15.75" hidden="false" customHeight="false" outlineLevel="0" collapsed="false">
      <c r="A5214" s="6" t="n">
        <v>46194</v>
      </c>
      <c r="B5214" s="4" t="s">
        <v>1237</v>
      </c>
      <c r="C5214" s="4" t="n">
        <v>1</v>
      </c>
      <c r="D5214" s="4" t="n">
        <v>6</v>
      </c>
      <c r="E5214" s="4" t="s">
        <v>1253</v>
      </c>
      <c r="F5214" s="4" t="n">
        <v>4</v>
      </c>
      <c r="G5214" s="4" t="n">
        <v>9</v>
      </c>
      <c r="H5214" s="4" t="n">
        <v>4</v>
      </c>
      <c r="I5214" s="4" t="str">
        <v>×</v>
      </c>
      <c r="J5214" s="4"/>
      <c r="K5214" s="4"/>
      <c r="L5214" s="4"/>
      <c r="M5214" s="5" t="s">
        <v>4174</v>
      </c>
    </row>
    <row r="5215" customFormat="false" ht="15.75" hidden="false" customHeight="false" outlineLevel="0" collapsed="false">
      <c r="A5215" s="6" t="n">
        <v>46194</v>
      </c>
      <c r="B5215" s="4" t="s">
        <v>1237</v>
      </c>
      <c r="C5215" s="4" t="n">
        <v>1</v>
      </c>
      <c r="D5215" s="4" t="n">
        <v>7</v>
      </c>
      <c r="E5215" s="4" t="s">
        <v>2202</v>
      </c>
      <c r="F5215" s="4" t="n">
        <v>15</v>
      </c>
      <c r="G5215" s="4" t="n">
        <v>6</v>
      </c>
      <c r="H5215" s="4" t="n">
        <v>4</v>
      </c>
      <c r="I5215" s="4" t="str">
        <v>×</v>
      </c>
      <c r="J5215" s="4"/>
      <c r="K5215" s="4"/>
      <c r="L5215" s="4"/>
      <c r="M5215" s="5" t="s">
        <v>4174</v>
      </c>
    </row>
    <row r="5216" customFormat="false" ht="15.75" hidden="false" customHeight="false" outlineLevel="0" collapsed="false">
      <c r="A5216" s="6" t="n">
        <v>46194</v>
      </c>
      <c r="B5216" s="4" t="s">
        <v>1237</v>
      </c>
      <c r="C5216" s="4" t="n">
        <v>1</v>
      </c>
      <c r="D5216" s="4" t="n">
        <v>8</v>
      </c>
      <c r="E5216" s="4" t="s">
        <v>4229</v>
      </c>
      <c r="F5216" s="4" t="n">
        <v>20</v>
      </c>
      <c r="G5216" s="4" t="n">
        <v>5</v>
      </c>
      <c r="H5216" s="4" t="n">
        <v>1</v>
      </c>
      <c r="I5216" s="4" t="str">
        <v>○</v>
      </c>
      <c r="J5216" s="4" t="n">
        <v>180</v>
      </c>
      <c r="K5216" s="4"/>
      <c r="L5216" s="4"/>
      <c r="M5216" s="5" t="s">
        <v>4174</v>
      </c>
    </row>
    <row r="5217" customFormat="false" ht="15.75" hidden="false" customHeight="false" outlineLevel="0" collapsed="false">
      <c r="A5217" s="6" t="n">
        <v>46194</v>
      </c>
      <c r="B5217" s="4" t="s">
        <v>1237</v>
      </c>
      <c r="C5217" s="4" t="n">
        <v>1</v>
      </c>
      <c r="D5217" s="4" t="n">
        <v>9</v>
      </c>
      <c r="E5217" s="4" t="s">
        <v>4230</v>
      </c>
      <c r="F5217" s="4" t="n">
        <v>31</v>
      </c>
      <c r="G5217" s="4" t="n">
        <v>4</v>
      </c>
      <c r="H5217" s="4" t="n">
        <v>4</v>
      </c>
      <c r="I5217" s="4" t="str">
        <v>×</v>
      </c>
      <c r="J5217" s="4"/>
      <c r="K5217" s="4"/>
      <c r="L5217" s="4"/>
      <c r="M5217" s="5" t="s">
        <v>4174</v>
      </c>
    </row>
    <row r="5218" customFormat="false" ht="15.75" hidden="false" customHeight="false" outlineLevel="0" collapsed="false">
      <c r="A5218" s="6" t="n">
        <v>46194</v>
      </c>
      <c r="B5218" s="4" t="s">
        <v>1237</v>
      </c>
      <c r="C5218" s="4" t="n">
        <v>1</v>
      </c>
      <c r="D5218" s="4" t="n">
        <v>10</v>
      </c>
      <c r="E5218" s="4" t="s">
        <v>2563</v>
      </c>
      <c r="F5218" s="4" t="n">
        <v>1</v>
      </c>
      <c r="G5218" s="4" t="n">
        <v>11</v>
      </c>
      <c r="H5218" s="4" t="n">
        <v>4</v>
      </c>
      <c r="I5218" s="4" t="str">
        <v>×</v>
      </c>
      <c r="J5218" s="4"/>
      <c r="K5218" s="4"/>
      <c r="L5218" s="4"/>
      <c r="M5218" s="5" t="s">
        <v>4174</v>
      </c>
    </row>
    <row r="5219" customFormat="false" ht="15.75" hidden="false" customHeight="false" outlineLevel="0" collapsed="false">
      <c r="A5219" s="6" t="n">
        <v>46194</v>
      </c>
      <c r="B5219" s="4" t="s">
        <v>1237</v>
      </c>
      <c r="C5219" s="4" t="n">
        <v>1</v>
      </c>
      <c r="D5219" s="4" t="n">
        <v>11</v>
      </c>
      <c r="E5219" s="4" t="s">
        <v>814</v>
      </c>
      <c r="F5219" s="4" t="n">
        <v>39</v>
      </c>
      <c r="G5219" s="4" t="n">
        <v>3</v>
      </c>
      <c r="H5219" s="4" t="n">
        <v>2</v>
      </c>
      <c r="I5219" s="4" t="str">
        <v>○</v>
      </c>
      <c r="J5219" s="4" t="n">
        <v>160</v>
      </c>
      <c r="K5219" s="4"/>
      <c r="L5219" s="4"/>
      <c r="M5219" s="5" t="s">
        <v>4174</v>
      </c>
    </row>
    <row r="5220" customFormat="false" ht="15.75" hidden="false" customHeight="false" outlineLevel="0" collapsed="false">
      <c r="A5220" s="6" t="n">
        <v>46194</v>
      </c>
      <c r="B5220" s="4" t="s">
        <v>1237</v>
      </c>
      <c r="C5220" s="4" t="n">
        <v>1</v>
      </c>
      <c r="D5220" s="4" t="n">
        <v>12</v>
      </c>
      <c r="E5220" s="4" t="s">
        <v>2618</v>
      </c>
      <c r="F5220" s="4" t="n">
        <v>4</v>
      </c>
      <c r="G5220" s="4" t="n">
        <v>9</v>
      </c>
      <c r="H5220" s="4" t="n">
        <v>4</v>
      </c>
      <c r="I5220" s="4" t="str">
        <v>×</v>
      </c>
      <c r="J5220" s="4"/>
      <c r="K5220" s="4"/>
      <c r="L5220" s="4"/>
      <c r="M5220" s="5" t="s">
        <v>4174</v>
      </c>
    </row>
    <row r="5221" customFormat="false" ht="15.75" hidden="false" customHeight="false" outlineLevel="0" collapsed="false">
      <c r="A5221" s="6" t="n">
        <v>46194</v>
      </c>
      <c r="B5221" s="4" t="s">
        <v>1237</v>
      </c>
      <c r="C5221" s="4" t="n">
        <v>1</v>
      </c>
      <c r="D5221" s="4" t="n">
        <v>13</v>
      </c>
      <c r="E5221" s="4" t="s">
        <v>2558</v>
      </c>
      <c r="F5221" s="4" t="n">
        <v>4</v>
      </c>
      <c r="G5221" s="4" t="n">
        <v>9</v>
      </c>
      <c r="H5221" s="4" t="n">
        <v>4</v>
      </c>
      <c r="I5221" s="4" t="str">
        <v>×</v>
      </c>
      <c r="J5221" s="4"/>
      <c r="K5221" s="4"/>
      <c r="L5221" s="4"/>
      <c r="M5221" s="5" t="s">
        <v>4174</v>
      </c>
    </row>
    <row r="5222" customFormat="false" ht="15.75" hidden="false" customHeight="false" outlineLevel="0" collapsed="false">
      <c r="A5222" s="6" t="n">
        <v>46194</v>
      </c>
      <c r="B5222" s="4" t="s">
        <v>1237</v>
      </c>
      <c r="C5222" s="4" t="n">
        <v>1</v>
      </c>
      <c r="D5222" s="4" t="n">
        <v>14</v>
      </c>
      <c r="E5222" s="4" t="s">
        <v>2610</v>
      </c>
      <c r="F5222" s="4" t="n">
        <v>13</v>
      </c>
      <c r="G5222" s="4" t="n">
        <v>7</v>
      </c>
      <c r="H5222" s="4" t="n">
        <v>4</v>
      </c>
      <c r="I5222" s="4" t="str">
        <v>×</v>
      </c>
      <c r="J5222" s="4"/>
      <c r="K5222" s="4"/>
      <c r="L5222" s="4"/>
      <c r="M5222" s="5" t="s">
        <v>4174</v>
      </c>
    </row>
    <row r="5223" customFormat="false" ht="15.75" hidden="false" customHeight="false" outlineLevel="0" collapsed="false">
      <c r="A5223" s="6" t="n">
        <v>46194</v>
      </c>
      <c r="B5223" s="4" t="s">
        <v>1237</v>
      </c>
      <c r="C5223" s="4" t="n">
        <v>1</v>
      </c>
      <c r="D5223" s="4" t="n">
        <v>15</v>
      </c>
      <c r="E5223" s="4" t="s">
        <v>848</v>
      </c>
      <c r="F5223" s="4" t="n">
        <v>4</v>
      </c>
      <c r="G5223" s="4" t="n">
        <v>9</v>
      </c>
      <c r="H5223" s="4" t="n">
        <v>4</v>
      </c>
      <c r="I5223" s="4" t="str">
        <v>×</v>
      </c>
      <c r="J5223" s="4"/>
      <c r="K5223" s="4"/>
      <c r="L5223" s="4"/>
      <c r="M5223" s="5" t="s">
        <v>4174</v>
      </c>
    </row>
    <row r="5224" customFormat="false" ht="15.75" hidden="false" customHeight="false" outlineLevel="0" collapsed="false">
      <c r="A5224" s="6" t="n">
        <v>46194</v>
      </c>
      <c r="B5224" s="4" t="s">
        <v>1237</v>
      </c>
      <c r="C5224" s="4" t="n">
        <v>1</v>
      </c>
      <c r="D5224" s="4" t="n">
        <v>16</v>
      </c>
      <c r="E5224" s="4" t="s">
        <v>3268</v>
      </c>
      <c r="F5224" s="4" t="n">
        <v>8</v>
      </c>
      <c r="G5224" s="4" t="n">
        <v>8</v>
      </c>
      <c r="H5224" s="4" t="n">
        <v>4</v>
      </c>
      <c r="I5224" s="4" t="str">
        <v>×</v>
      </c>
      <c r="J5224" s="4"/>
      <c r="K5224" s="4"/>
      <c r="L5224" s="4"/>
      <c r="M5224" s="5" t="s">
        <v>4174</v>
      </c>
    </row>
    <row r="5225" customFormat="false" ht="15.75" hidden="false" customHeight="false" outlineLevel="0" collapsed="false">
      <c r="A5225" s="6" t="n">
        <v>46194</v>
      </c>
      <c r="B5225" s="4" t="s">
        <v>1237</v>
      </c>
      <c r="C5225" s="4" t="n">
        <v>2</v>
      </c>
      <c r="D5225" s="4" t="n">
        <v>1</v>
      </c>
      <c r="E5225" s="4" t="s">
        <v>2635</v>
      </c>
      <c r="F5225" s="4" t="n">
        <v>31</v>
      </c>
      <c r="G5225" s="4" t="n">
        <v>4</v>
      </c>
      <c r="H5225" s="4" t="n">
        <v>1</v>
      </c>
      <c r="I5225" s="4" t="str">
        <v>○</v>
      </c>
      <c r="J5225" s="4" t="n">
        <v>230</v>
      </c>
      <c r="K5225" s="4"/>
      <c r="L5225" s="4"/>
      <c r="M5225" s="5" t="s">
        <v>4174</v>
      </c>
    </row>
    <row r="5226" customFormat="false" ht="15.75" hidden="false" customHeight="false" outlineLevel="0" collapsed="false">
      <c r="A5226" s="6" t="n">
        <v>46194</v>
      </c>
      <c r="B5226" s="4" t="s">
        <v>1237</v>
      </c>
      <c r="C5226" s="4" t="n">
        <v>2</v>
      </c>
      <c r="D5226" s="4" t="n">
        <v>2</v>
      </c>
      <c r="E5226" s="4" t="s">
        <v>1268</v>
      </c>
      <c r="F5226" s="4" t="n">
        <v>39</v>
      </c>
      <c r="G5226" s="4" t="n">
        <v>3</v>
      </c>
      <c r="H5226" s="4" t="n">
        <v>2</v>
      </c>
      <c r="I5226" s="4" t="str">
        <v>○</v>
      </c>
      <c r="J5226" s="4" t="n">
        <v>160</v>
      </c>
      <c r="K5226" s="4"/>
      <c r="L5226" s="4"/>
      <c r="M5226" s="5" t="s">
        <v>4174</v>
      </c>
    </row>
    <row r="5227" customFormat="false" ht="15.75" hidden="false" customHeight="false" outlineLevel="0" collapsed="false">
      <c r="A5227" s="6" t="n">
        <v>46194</v>
      </c>
      <c r="B5227" s="4" t="s">
        <v>1237</v>
      </c>
      <c r="C5227" s="4" t="n">
        <v>2</v>
      </c>
      <c r="D5227" s="4" t="n">
        <v>3</v>
      </c>
      <c r="E5227" s="4" t="s">
        <v>4231</v>
      </c>
      <c r="F5227" s="4" t="n">
        <v>31</v>
      </c>
      <c r="G5227" s="4" t="n">
        <v>4</v>
      </c>
      <c r="H5227" s="4" t="n">
        <v>4</v>
      </c>
      <c r="I5227" s="4" t="str">
        <v>×</v>
      </c>
      <c r="J5227" s="4"/>
      <c r="K5227" s="4"/>
      <c r="L5227" s="4"/>
      <c r="M5227" s="5" t="s">
        <v>4174</v>
      </c>
    </row>
    <row r="5228" customFormat="false" ht="15.75" hidden="false" customHeight="false" outlineLevel="0" collapsed="false">
      <c r="A5228" s="6" t="n">
        <v>46194</v>
      </c>
      <c r="B5228" s="4" t="s">
        <v>1237</v>
      </c>
      <c r="C5228" s="4" t="n">
        <v>2</v>
      </c>
      <c r="D5228" s="4" t="n">
        <v>4</v>
      </c>
      <c r="E5228" s="4" t="s">
        <v>1741</v>
      </c>
      <c r="F5228" s="4" t="n">
        <v>44</v>
      </c>
      <c r="G5228" s="4" t="n">
        <v>2</v>
      </c>
      <c r="H5228" s="4" t="n">
        <v>4</v>
      </c>
      <c r="I5228" s="4" t="str">
        <v>×</v>
      </c>
      <c r="J5228" s="4"/>
      <c r="K5228" s="4"/>
      <c r="L5228" s="4"/>
      <c r="M5228" s="5" t="s">
        <v>4174</v>
      </c>
    </row>
    <row r="5229" customFormat="false" ht="15.75" hidden="false" customHeight="false" outlineLevel="0" collapsed="false">
      <c r="A5229" s="6" t="n">
        <v>46194</v>
      </c>
      <c r="B5229" s="4" t="s">
        <v>1237</v>
      </c>
      <c r="C5229" s="4" t="n">
        <v>2</v>
      </c>
      <c r="D5229" s="4" t="n">
        <v>5</v>
      </c>
      <c r="E5229" s="4" t="s">
        <v>4232</v>
      </c>
      <c r="F5229" s="4" t="n">
        <v>20</v>
      </c>
      <c r="G5229" s="4" t="n">
        <v>5</v>
      </c>
      <c r="H5229" s="4" t="n">
        <v>4</v>
      </c>
      <c r="I5229" s="4" t="str">
        <v>×</v>
      </c>
      <c r="J5229" s="4"/>
      <c r="K5229" s="4"/>
      <c r="L5229" s="4"/>
      <c r="M5229" s="5" t="s">
        <v>4174</v>
      </c>
    </row>
    <row r="5230" customFormat="false" ht="15.75" hidden="false" customHeight="false" outlineLevel="0" collapsed="false">
      <c r="A5230" s="6" t="n">
        <v>46194</v>
      </c>
      <c r="B5230" s="4" t="s">
        <v>1237</v>
      </c>
      <c r="C5230" s="4" t="n">
        <v>2</v>
      </c>
      <c r="D5230" s="4" t="n">
        <v>6</v>
      </c>
      <c r="E5230" s="4" t="s">
        <v>1260</v>
      </c>
      <c r="F5230" s="4" t="n">
        <v>10</v>
      </c>
      <c r="G5230" s="4" t="n">
        <v>7</v>
      </c>
      <c r="H5230" s="4" t="n">
        <v>4</v>
      </c>
      <c r="I5230" s="4" t="str">
        <v>×</v>
      </c>
      <c r="J5230" s="4"/>
      <c r="K5230" s="4"/>
      <c r="L5230" s="4"/>
      <c r="M5230" s="5" t="s">
        <v>4174</v>
      </c>
    </row>
    <row r="5231" customFormat="false" ht="15.75" hidden="false" customHeight="false" outlineLevel="0" collapsed="false">
      <c r="A5231" s="6" t="n">
        <v>46194</v>
      </c>
      <c r="B5231" s="4" t="s">
        <v>1237</v>
      </c>
      <c r="C5231" s="4" t="n">
        <v>2</v>
      </c>
      <c r="D5231" s="4" t="n">
        <v>7</v>
      </c>
      <c r="E5231" s="4" t="s">
        <v>4233</v>
      </c>
      <c r="F5231" s="4" t="n">
        <v>8</v>
      </c>
      <c r="G5231" s="4" t="n">
        <v>8</v>
      </c>
      <c r="H5231" s="4"/>
      <c r="I5231" s="4" t="str">
        <v/>
      </c>
      <c r="J5231" s="4"/>
      <c r="K5231" s="4"/>
      <c r="L5231" s="4"/>
      <c r="M5231" s="5" t="s">
        <v>4174</v>
      </c>
    </row>
    <row r="5232" customFormat="false" ht="15.75" hidden="false" customHeight="false" outlineLevel="0" collapsed="false">
      <c r="A5232" s="6" t="n">
        <v>46194</v>
      </c>
      <c r="B5232" s="4" t="s">
        <v>1237</v>
      </c>
      <c r="C5232" s="4" t="n">
        <v>2</v>
      </c>
      <c r="D5232" s="4" t="n">
        <v>8</v>
      </c>
      <c r="E5232" s="4" t="s">
        <v>4234</v>
      </c>
      <c r="F5232" s="4" t="n">
        <v>58</v>
      </c>
      <c r="G5232" s="4" t="n">
        <v>1</v>
      </c>
      <c r="H5232" s="4" t="n">
        <v>4</v>
      </c>
      <c r="I5232" s="4" t="str">
        <v>×</v>
      </c>
      <c r="J5232" s="4"/>
      <c r="K5232" s="4"/>
      <c r="L5232" s="4"/>
      <c r="M5232" s="5" t="s">
        <v>4174</v>
      </c>
    </row>
    <row r="5233" customFormat="false" ht="15.75" hidden="false" customHeight="false" outlineLevel="0" collapsed="false">
      <c r="A5233" s="6" t="n">
        <v>46194</v>
      </c>
      <c r="B5233" s="4" t="s">
        <v>1237</v>
      </c>
      <c r="C5233" s="4" t="n">
        <v>2</v>
      </c>
      <c r="D5233" s="4" t="n">
        <v>9</v>
      </c>
      <c r="E5233" s="4" t="s">
        <v>1258</v>
      </c>
      <c r="F5233" s="4" t="n">
        <v>15</v>
      </c>
      <c r="G5233" s="4" t="n">
        <v>6</v>
      </c>
      <c r="H5233" s="4" t="n">
        <v>3</v>
      </c>
      <c r="I5233" s="4" t="str">
        <v>○</v>
      </c>
      <c r="J5233" s="4" t="n">
        <v>470</v>
      </c>
      <c r="K5233" s="4"/>
      <c r="L5233" s="4"/>
      <c r="M5233" s="5" t="s">
        <v>4174</v>
      </c>
    </row>
    <row r="5234" customFormat="false" ht="15.75" hidden="false" customHeight="false" outlineLevel="0" collapsed="false">
      <c r="A5234" s="6" t="n">
        <v>46194</v>
      </c>
      <c r="B5234" s="4" t="s">
        <v>1237</v>
      </c>
      <c r="C5234" s="4" t="n">
        <v>2</v>
      </c>
      <c r="D5234" s="4" t="n">
        <v>10</v>
      </c>
      <c r="E5234" s="4" t="s">
        <v>4235</v>
      </c>
      <c r="F5234" s="4" t="n">
        <v>10</v>
      </c>
      <c r="G5234" s="4" t="n">
        <v>7</v>
      </c>
      <c r="H5234" s="4" t="n">
        <v>4</v>
      </c>
      <c r="I5234" s="4" t="str">
        <v>×</v>
      </c>
      <c r="J5234" s="4"/>
      <c r="K5234" s="4"/>
      <c r="L5234" s="4"/>
      <c r="M5234" s="5" t="s">
        <v>4174</v>
      </c>
    </row>
    <row r="5235" customFormat="false" ht="15.75" hidden="false" customHeight="false" outlineLevel="0" collapsed="false">
      <c r="A5235" s="6" t="n">
        <v>46194</v>
      </c>
      <c r="B5235" s="4" t="s">
        <v>1237</v>
      </c>
      <c r="C5235" s="4" t="n">
        <v>2</v>
      </c>
      <c r="D5235" s="4" t="n">
        <v>11</v>
      </c>
      <c r="E5235" s="4" t="s">
        <v>1750</v>
      </c>
      <c r="F5235" s="4" t="n">
        <v>6</v>
      </c>
      <c r="G5235" s="4" t="n">
        <v>9</v>
      </c>
      <c r="H5235" s="4" t="n">
        <v>4</v>
      </c>
      <c r="I5235" s="4" t="str">
        <v>×</v>
      </c>
      <c r="J5235" s="4"/>
      <c r="K5235" s="4"/>
      <c r="L5235" s="4"/>
      <c r="M5235" s="5" t="s">
        <v>4174</v>
      </c>
    </row>
    <row r="5236" customFormat="false" ht="15.75" hidden="false" customHeight="false" outlineLevel="0" collapsed="false">
      <c r="A5236" s="6" t="n">
        <v>46194</v>
      </c>
      <c r="B5236" s="4" t="s">
        <v>1237</v>
      </c>
      <c r="C5236" s="4" t="n">
        <v>3</v>
      </c>
      <c r="D5236" s="4" t="n">
        <v>1</v>
      </c>
      <c r="E5236" s="4" t="s">
        <v>2949</v>
      </c>
      <c r="F5236" s="4" t="n">
        <v>10</v>
      </c>
      <c r="G5236" s="4" t="n">
        <v>7</v>
      </c>
      <c r="H5236" s="4" t="n">
        <v>4</v>
      </c>
      <c r="I5236" s="4" t="str">
        <v>×</v>
      </c>
      <c r="J5236" s="4"/>
      <c r="K5236" s="4"/>
      <c r="L5236" s="4"/>
      <c r="M5236" s="5" t="s">
        <v>4174</v>
      </c>
    </row>
    <row r="5237" customFormat="false" ht="15.75" hidden="false" customHeight="false" outlineLevel="0" collapsed="false">
      <c r="A5237" s="6" t="n">
        <v>46194</v>
      </c>
      <c r="B5237" s="4" t="s">
        <v>1237</v>
      </c>
      <c r="C5237" s="4" t="n">
        <v>3</v>
      </c>
      <c r="D5237" s="4" t="n">
        <v>2</v>
      </c>
      <c r="E5237" s="4" t="s">
        <v>3313</v>
      </c>
      <c r="F5237" s="4" t="n">
        <v>10</v>
      </c>
      <c r="G5237" s="4" t="n">
        <v>7</v>
      </c>
      <c r="H5237" s="4" t="n">
        <v>4</v>
      </c>
      <c r="I5237" s="4" t="str">
        <v>×</v>
      </c>
      <c r="J5237" s="4"/>
      <c r="K5237" s="4"/>
      <c r="L5237" s="4"/>
      <c r="M5237" s="5" t="s">
        <v>4174</v>
      </c>
    </row>
    <row r="5238" customFormat="false" ht="15.75" hidden="false" customHeight="false" outlineLevel="0" collapsed="false">
      <c r="A5238" s="6" t="n">
        <v>46194</v>
      </c>
      <c r="B5238" s="4" t="s">
        <v>1237</v>
      </c>
      <c r="C5238" s="4" t="n">
        <v>3</v>
      </c>
      <c r="D5238" s="4" t="n">
        <v>3</v>
      </c>
      <c r="E5238" s="4" t="s">
        <v>1277</v>
      </c>
      <c r="F5238" s="4" t="n">
        <v>13</v>
      </c>
      <c r="G5238" s="4" t="n">
        <v>6</v>
      </c>
      <c r="H5238" s="4" t="n">
        <v>4</v>
      </c>
      <c r="I5238" s="4" t="str">
        <v>×</v>
      </c>
      <c r="J5238" s="4"/>
      <c r="K5238" s="4"/>
      <c r="L5238" s="4"/>
      <c r="M5238" s="5" t="s">
        <v>4174</v>
      </c>
    </row>
    <row r="5239" customFormat="false" ht="15.75" hidden="false" customHeight="false" outlineLevel="0" collapsed="false">
      <c r="A5239" s="6" t="n">
        <v>46194</v>
      </c>
      <c r="B5239" s="4" t="s">
        <v>1237</v>
      </c>
      <c r="C5239" s="4" t="n">
        <v>3</v>
      </c>
      <c r="D5239" s="4" t="n">
        <v>4</v>
      </c>
      <c r="E5239" s="4" t="s">
        <v>1256</v>
      </c>
      <c r="F5239" s="4" t="n">
        <v>37</v>
      </c>
      <c r="G5239" s="4" t="n">
        <v>3</v>
      </c>
      <c r="H5239" s="4" t="n">
        <v>4</v>
      </c>
      <c r="I5239" s="4" t="str">
        <v>×</v>
      </c>
      <c r="J5239" s="4"/>
      <c r="K5239" s="4"/>
      <c r="L5239" s="4"/>
      <c r="M5239" s="5" t="s">
        <v>4174</v>
      </c>
    </row>
    <row r="5240" customFormat="false" ht="15.75" hidden="false" customHeight="false" outlineLevel="0" collapsed="false">
      <c r="A5240" s="6" t="n">
        <v>46194</v>
      </c>
      <c r="B5240" s="4" t="s">
        <v>1237</v>
      </c>
      <c r="C5240" s="4" t="n">
        <v>3</v>
      </c>
      <c r="D5240" s="4" t="n">
        <v>5</v>
      </c>
      <c r="E5240" s="4" t="s">
        <v>4236</v>
      </c>
      <c r="F5240" s="4" t="n">
        <v>8</v>
      </c>
      <c r="G5240" s="4" t="n">
        <v>8</v>
      </c>
      <c r="H5240" s="4" t="n">
        <v>4</v>
      </c>
      <c r="I5240" s="4" t="str">
        <v>×</v>
      </c>
      <c r="J5240" s="4"/>
      <c r="K5240" s="4"/>
      <c r="L5240" s="4"/>
      <c r="M5240" s="5" t="s">
        <v>4174</v>
      </c>
    </row>
    <row r="5241" customFormat="false" ht="15.75" hidden="false" customHeight="false" outlineLevel="0" collapsed="false">
      <c r="A5241" s="6" t="n">
        <v>46194</v>
      </c>
      <c r="B5241" s="4" t="s">
        <v>1237</v>
      </c>
      <c r="C5241" s="4" t="n">
        <v>3</v>
      </c>
      <c r="D5241" s="4" t="n">
        <v>6</v>
      </c>
      <c r="E5241" s="4" t="s">
        <v>4237</v>
      </c>
      <c r="F5241" s="4" t="n">
        <v>44</v>
      </c>
      <c r="G5241" s="4" t="n">
        <v>9</v>
      </c>
      <c r="H5241" s="4" t="n">
        <v>4</v>
      </c>
      <c r="I5241" s="4" t="str">
        <v>×</v>
      </c>
      <c r="J5241" s="4"/>
      <c r="K5241" s="4"/>
      <c r="L5241" s="4"/>
      <c r="M5241" s="5" t="s">
        <v>4174</v>
      </c>
    </row>
    <row r="5242" customFormat="false" ht="15.75" hidden="false" customHeight="false" outlineLevel="0" collapsed="false">
      <c r="A5242" s="6" t="n">
        <v>46194</v>
      </c>
      <c r="B5242" s="4" t="s">
        <v>1237</v>
      </c>
      <c r="C5242" s="4" t="n">
        <v>3</v>
      </c>
      <c r="D5242" s="4" t="n">
        <v>7</v>
      </c>
      <c r="E5242" s="4" t="s">
        <v>337</v>
      </c>
      <c r="F5242" s="4" t="n">
        <v>23</v>
      </c>
      <c r="G5242" s="4" t="n">
        <v>4</v>
      </c>
      <c r="H5242" s="4" t="n">
        <v>2</v>
      </c>
      <c r="I5242" s="4" t="str">
        <v>○</v>
      </c>
      <c r="J5242" s="4" t="n">
        <v>440</v>
      </c>
      <c r="K5242" s="4"/>
      <c r="L5242" s="4"/>
      <c r="M5242" s="5" t="s">
        <v>4174</v>
      </c>
    </row>
    <row r="5243" customFormat="false" ht="15.75" hidden="false" customHeight="false" outlineLevel="0" collapsed="false">
      <c r="A5243" s="6" t="n">
        <v>46194</v>
      </c>
      <c r="B5243" s="4" t="s">
        <v>1237</v>
      </c>
      <c r="C5243" s="4" t="n">
        <v>3</v>
      </c>
      <c r="D5243" s="4" t="n">
        <v>8</v>
      </c>
      <c r="E5243" s="4" t="s">
        <v>4238</v>
      </c>
      <c r="F5243" s="4" t="n">
        <v>39</v>
      </c>
      <c r="G5243" s="4" t="n">
        <v>2</v>
      </c>
      <c r="H5243" s="4" t="n">
        <v>1</v>
      </c>
      <c r="I5243" s="4" t="str">
        <v>○</v>
      </c>
      <c r="J5243" s="4" t="n">
        <v>180</v>
      </c>
      <c r="K5243" s="4"/>
      <c r="L5243" s="4"/>
      <c r="M5243" s="5" t="s">
        <v>4174</v>
      </c>
    </row>
    <row r="5244" customFormat="false" ht="15.75" hidden="false" customHeight="false" outlineLevel="0" collapsed="false">
      <c r="A5244" s="6" t="n">
        <v>46194</v>
      </c>
      <c r="B5244" s="4" t="s">
        <v>1237</v>
      </c>
      <c r="C5244" s="4" t="n">
        <v>3</v>
      </c>
      <c r="D5244" s="4" t="n">
        <v>9</v>
      </c>
      <c r="E5244" s="4" t="s">
        <v>1779</v>
      </c>
      <c r="F5244" s="4" t="n">
        <v>15</v>
      </c>
      <c r="G5244" s="4" t="n">
        <v>5</v>
      </c>
      <c r="H5244" s="4" t="n">
        <v>4</v>
      </c>
      <c r="I5244" s="4" t="str">
        <v>×</v>
      </c>
      <c r="J5244" s="4"/>
      <c r="K5244" s="4"/>
      <c r="L5244" s="4"/>
      <c r="M5244" s="5" t="s">
        <v>4174</v>
      </c>
    </row>
    <row r="5245" customFormat="false" ht="15.75" hidden="false" customHeight="false" outlineLevel="0" collapsed="false">
      <c r="A5245" s="6" t="n">
        <v>46194</v>
      </c>
      <c r="B5245" s="4" t="s">
        <v>1237</v>
      </c>
      <c r="C5245" s="4" t="n">
        <v>3</v>
      </c>
      <c r="D5245" s="4" t="n">
        <v>10</v>
      </c>
      <c r="E5245" s="4" t="s">
        <v>2614</v>
      </c>
      <c r="F5245" s="4" t="n">
        <v>10</v>
      </c>
      <c r="G5245" s="4" t="n">
        <v>7</v>
      </c>
      <c r="H5245" s="4" t="n">
        <v>4</v>
      </c>
      <c r="I5245" s="4" t="str">
        <v>×</v>
      </c>
      <c r="J5245" s="4"/>
      <c r="K5245" s="4"/>
      <c r="L5245" s="4"/>
      <c r="M5245" s="5" t="s">
        <v>4174</v>
      </c>
    </row>
    <row r="5246" customFormat="false" ht="15.75" hidden="false" customHeight="false" outlineLevel="0" collapsed="false">
      <c r="A5246" s="6" t="n">
        <v>46194</v>
      </c>
      <c r="B5246" s="4" t="s">
        <v>1237</v>
      </c>
      <c r="C5246" s="4" t="n">
        <v>3</v>
      </c>
      <c r="D5246" s="4" t="n">
        <v>11</v>
      </c>
      <c r="E5246" s="4" t="s">
        <v>1727</v>
      </c>
      <c r="F5246" s="4" t="n">
        <v>10</v>
      </c>
      <c r="G5246" s="4" t="n">
        <v>7</v>
      </c>
      <c r="H5246" s="4" t="n">
        <v>4</v>
      </c>
      <c r="I5246" s="4" t="str">
        <v>×</v>
      </c>
      <c r="J5246" s="4"/>
      <c r="K5246" s="4"/>
      <c r="L5246" s="4"/>
      <c r="M5246" s="5" t="s">
        <v>4174</v>
      </c>
    </row>
    <row r="5247" customFormat="false" ht="15.75" hidden="false" customHeight="false" outlineLevel="0" collapsed="false">
      <c r="A5247" s="6" t="n">
        <v>46194</v>
      </c>
      <c r="B5247" s="4" t="s">
        <v>1237</v>
      </c>
      <c r="C5247" s="4" t="n">
        <v>3</v>
      </c>
      <c r="D5247" s="4" t="n">
        <v>12</v>
      </c>
      <c r="E5247" s="4" t="s">
        <v>1811</v>
      </c>
      <c r="F5247" s="4" t="n">
        <v>86</v>
      </c>
      <c r="G5247" s="4" t="n">
        <v>1</v>
      </c>
      <c r="H5247" s="4" t="n">
        <v>3</v>
      </c>
      <c r="I5247" s="4" t="str">
        <v>○</v>
      </c>
      <c r="J5247" s="4" t="n">
        <v>110</v>
      </c>
      <c r="K5247" s="4"/>
      <c r="L5247" s="4"/>
      <c r="M5247" s="5" t="s">
        <v>4174</v>
      </c>
    </row>
    <row r="5248" customFormat="false" ht="15.75" hidden="false" customHeight="false" outlineLevel="0" collapsed="false">
      <c r="A5248" s="6" t="n">
        <v>46194</v>
      </c>
      <c r="B5248" s="4" t="s">
        <v>1237</v>
      </c>
      <c r="C5248" s="4" t="n">
        <v>4</v>
      </c>
      <c r="D5248" s="4" t="n">
        <v>1</v>
      </c>
      <c r="E5248" s="4" t="s">
        <v>2233</v>
      </c>
      <c r="F5248" s="4" t="n">
        <v>39</v>
      </c>
      <c r="G5248" s="4" t="n">
        <v>4</v>
      </c>
      <c r="H5248" s="4" t="n">
        <v>1</v>
      </c>
      <c r="I5248" s="4" t="str">
        <v>○</v>
      </c>
      <c r="J5248" s="4" t="n">
        <v>200</v>
      </c>
      <c r="K5248" s="4"/>
      <c r="L5248" s="4"/>
      <c r="M5248" s="5" t="s">
        <v>4174</v>
      </c>
    </row>
    <row r="5249" customFormat="false" ht="15.75" hidden="false" customHeight="false" outlineLevel="0" collapsed="false">
      <c r="A5249" s="6" t="n">
        <v>46194</v>
      </c>
      <c r="B5249" s="4" t="s">
        <v>1237</v>
      </c>
      <c r="C5249" s="4" t="n">
        <v>4</v>
      </c>
      <c r="D5249" s="4" t="n">
        <v>2</v>
      </c>
      <c r="E5249" s="4" t="s">
        <v>1755</v>
      </c>
      <c r="F5249" s="4" t="n">
        <v>10</v>
      </c>
      <c r="G5249" s="4" t="n">
        <v>8</v>
      </c>
      <c r="H5249" s="4" t="n">
        <v>4</v>
      </c>
      <c r="I5249" s="4" t="str">
        <v>×</v>
      </c>
      <c r="J5249" s="4"/>
      <c r="K5249" s="4"/>
      <c r="L5249" s="4"/>
      <c r="M5249" s="5" t="s">
        <v>4174</v>
      </c>
    </row>
    <row r="5250" customFormat="false" ht="15.75" hidden="false" customHeight="false" outlineLevel="0" collapsed="false">
      <c r="A5250" s="6" t="n">
        <v>46194</v>
      </c>
      <c r="B5250" s="4" t="s">
        <v>1237</v>
      </c>
      <c r="C5250" s="4" t="n">
        <v>4</v>
      </c>
      <c r="D5250" s="4" t="n">
        <v>3</v>
      </c>
      <c r="E5250" s="4" t="s">
        <v>1304</v>
      </c>
      <c r="F5250" s="4" t="n">
        <v>13</v>
      </c>
      <c r="G5250" s="4" t="n">
        <v>7</v>
      </c>
      <c r="H5250" s="4" t="n">
        <v>3</v>
      </c>
      <c r="I5250" s="4" t="str">
        <v>○</v>
      </c>
      <c r="J5250" s="4" t="n">
        <v>740</v>
      </c>
      <c r="K5250" s="4"/>
      <c r="L5250" s="4"/>
      <c r="M5250" s="5" t="s">
        <v>4174</v>
      </c>
    </row>
    <row r="5251" customFormat="false" ht="15.75" hidden="false" customHeight="false" outlineLevel="0" collapsed="false">
      <c r="A5251" s="6" t="n">
        <v>46194</v>
      </c>
      <c r="B5251" s="4" t="s">
        <v>1237</v>
      </c>
      <c r="C5251" s="4" t="n">
        <v>4</v>
      </c>
      <c r="D5251" s="4" t="n">
        <v>4</v>
      </c>
      <c r="E5251" s="4" t="s">
        <v>3276</v>
      </c>
      <c r="F5251" s="4" t="n">
        <v>25</v>
      </c>
      <c r="G5251" s="4" t="n">
        <v>5</v>
      </c>
      <c r="H5251" s="4" t="n">
        <v>4</v>
      </c>
      <c r="I5251" s="4" t="str">
        <v>×</v>
      </c>
      <c r="J5251" s="4"/>
      <c r="K5251" s="4"/>
      <c r="L5251" s="4"/>
      <c r="M5251" s="5" t="s">
        <v>4174</v>
      </c>
    </row>
    <row r="5252" customFormat="false" ht="15.75" hidden="false" customHeight="false" outlineLevel="0" collapsed="false">
      <c r="A5252" s="6" t="n">
        <v>46194</v>
      </c>
      <c r="B5252" s="4" t="s">
        <v>1237</v>
      </c>
      <c r="C5252" s="4" t="n">
        <v>4</v>
      </c>
      <c r="D5252" s="4" t="n">
        <v>5</v>
      </c>
      <c r="E5252" s="4" t="s">
        <v>2221</v>
      </c>
      <c r="F5252" s="4" t="n">
        <v>4</v>
      </c>
      <c r="G5252" s="4" t="n">
        <v>11</v>
      </c>
      <c r="H5252" s="4" t="n">
        <v>4</v>
      </c>
      <c r="I5252" s="4" t="str">
        <v>×</v>
      </c>
      <c r="J5252" s="4"/>
      <c r="K5252" s="4"/>
      <c r="L5252" s="4"/>
      <c r="M5252" s="5" t="s">
        <v>4174</v>
      </c>
    </row>
    <row r="5253" customFormat="false" ht="15.75" hidden="false" customHeight="false" outlineLevel="0" collapsed="false">
      <c r="A5253" s="6" t="n">
        <v>46194</v>
      </c>
      <c r="B5253" s="4" t="s">
        <v>1237</v>
      </c>
      <c r="C5253" s="4" t="n">
        <v>4</v>
      </c>
      <c r="D5253" s="4" t="n">
        <v>6</v>
      </c>
      <c r="E5253" s="4" t="s">
        <v>4239</v>
      </c>
      <c r="F5253" s="4" t="n">
        <v>25</v>
      </c>
      <c r="G5253" s="4" t="n">
        <v>5</v>
      </c>
      <c r="H5253" s="4" t="n">
        <v>4</v>
      </c>
      <c r="I5253" s="4" t="str">
        <v>×</v>
      </c>
      <c r="J5253" s="4"/>
      <c r="K5253" s="4"/>
      <c r="L5253" s="4"/>
      <c r="M5253" s="5" t="s">
        <v>4174</v>
      </c>
    </row>
    <row r="5254" customFormat="false" ht="15.75" hidden="false" customHeight="false" outlineLevel="0" collapsed="false">
      <c r="A5254" s="6" t="n">
        <v>46194</v>
      </c>
      <c r="B5254" s="4" t="s">
        <v>1237</v>
      </c>
      <c r="C5254" s="4" t="n">
        <v>4</v>
      </c>
      <c r="D5254" s="4" t="n">
        <v>7</v>
      </c>
      <c r="E5254" s="4" t="s">
        <v>1735</v>
      </c>
      <c r="F5254" s="4" t="n">
        <v>13</v>
      </c>
      <c r="G5254" s="4" t="n">
        <v>7</v>
      </c>
      <c r="H5254" s="4" t="n">
        <v>4</v>
      </c>
      <c r="I5254" s="4" t="str">
        <v>×</v>
      </c>
      <c r="J5254" s="4"/>
      <c r="K5254" s="4"/>
      <c r="L5254" s="4"/>
      <c r="M5254" s="5" t="s">
        <v>4174</v>
      </c>
    </row>
    <row r="5255" customFormat="false" ht="15.75" hidden="false" customHeight="false" outlineLevel="0" collapsed="false">
      <c r="A5255" s="6" t="n">
        <v>46194</v>
      </c>
      <c r="B5255" s="4" t="s">
        <v>1237</v>
      </c>
      <c r="C5255" s="4" t="n">
        <v>4</v>
      </c>
      <c r="D5255" s="4" t="n">
        <v>8</v>
      </c>
      <c r="E5255" s="4" t="s">
        <v>3273</v>
      </c>
      <c r="F5255" s="4" t="n">
        <v>60</v>
      </c>
      <c r="G5255" s="4" t="n">
        <v>1</v>
      </c>
      <c r="H5255" s="4" t="n">
        <v>4</v>
      </c>
      <c r="I5255" s="4" t="str">
        <v>×</v>
      </c>
      <c r="J5255" s="4"/>
      <c r="K5255" s="4"/>
      <c r="L5255" s="4"/>
      <c r="M5255" s="5" t="s">
        <v>4174</v>
      </c>
    </row>
    <row r="5256" customFormat="false" ht="15.75" hidden="false" customHeight="false" outlineLevel="0" collapsed="false">
      <c r="A5256" s="6" t="n">
        <v>46194</v>
      </c>
      <c r="B5256" s="4" t="s">
        <v>1237</v>
      </c>
      <c r="C5256" s="4" t="n">
        <v>4</v>
      </c>
      <c r="D5256" s="4" t="n">
        <v>9</v>
      </c>
      <c r="E5256" s="4" t="s">
        <v>386</v>
      </c>
      <c r="F5256" s="4" t="n">
        <v>25</v>
      </c>
      <c r="G5256" s="4" t="n">
        <v>5</v>
      </c>
      <c r="H5256" s="4" t="n">
        <v>4</v>
      </c>
      <c r="I5256" s="4" t="str">
        <v>×</v>
      </c>
      <c r="J5256" s="4"/>
      <c r="K5256" s="4"/>
      <c r="L5256" s="4"/>
      <c r="M5256" s="5" t="s">
        <v>4174</v>
      </c>
    </row>
    <row r="5257" customFormat="false" ht="15.75" hidden="false" customHeight="false" outlineLevel="0" collapsed="false">
      <c r="A5257" s="6" t="n">
        <v>46194</v>
      </c>
      <c r="B5257" s="4" t="s">
        <v>1237</v>
      </c>
      <c r="C5257" s="4" t="n">
        <v>4</v>
      </c>
      <c r="D5257" s="4" t="n">
        <v>10</v>
      </c>
      <c r="E5257" s="4" t="s">
        <v>2928</v>
      </c>
      <c r="F5257" s="4" t="n">
        <v>8</v>
      </c>
      <c r="G5257" s="4" t="n">
        <v>10</v>
      </c>
      <c r="H5257" s="4" t="n">
        <v>4</v>
      </c>
      <c r="I5257" s="4" t="str">
        <v>×</v>
      </c>
      <c r="J5257" s="4"/>
      <c r="K5257" s="4"/>
      <c r="L5257" s="4"/>
      <c r="M5257" s="5" t="s">
        <v>4174</v>
      </c>
    </row>
    <row r="5258" customFormat="false" ht="15.75" hidden="false" customHeight="false" outlineLevel="0" collapsed="false">
      <c r="A5258" s="6" t="n">
        <v>46194</v>
      </c>
      <c r="B5258" s="4" t="s">
        <v>1237</v>
      </c>
      <c r="C5258" s="4" t="n">
        <v>4</v>
      </c>
      <c r="D5258" s="4" t="n">
        <v>11</v>
      </c>
      <c r="E5258" s="4" t="s">
        <v>4240</v>
      </c>
      <c r="F5258" s="4" t="n">
        <v>41</v>
      </c>
      <c r="G5258" s="4" t="n">
        <v>2</v>
      </c>
      <c r="H5258" s="4" t="n">
        <v>4</v>
      </c>
      <c r="I5258" s="4" t="str">
        <v>×</v>
      </c>
      <c r="J5258" s="4"/>
      <c r="K5258" s="4"/>
      <c r="L5258" s="4"/>
      <c r="M5258" s="5" t="s">
        <v>4174</v>
      </c>
    </row>
    <row r="5259" customFormat="false" ht="15.75" hidden="false" customHeight="false" outlineLevel="0" collapsed="false">
      <c r="A5259" s="6" t="n">
        <v>46194</v>
      </c>
      <c r="B5259" s="4" t="s">
        <v>1237</v>
      </c>
      <c r="C5259" s="4" t="n">
        <v>4</v>
      </c>
      <c r="D5259" s="4" t="n">
        <v>12</v>
      </c>
      <c r="E5259" s="4" t="s">
        <v>2209</v>
      </c>
      <c r="F5259" s="4" t="n">
        <v>17</v>
      </c>
      <c r="G5259" s="4" t="n">
        <v>6</v>
      </c>
      <c r="H5259" s="4" t="n">
        <v>2</v>
      </c>
      <c r="I5259" s="4" t="str">
        <v>○</v>
      </c>
      <c r="J5259" s="4" t="n">
        <v>360</v>
      </c>
      <c r="K5259" s="4"/>
      <c r="L5259" s="4"/>
      <c r="M5259" s="5" t="s">
        <v>4174</v>
      </c>
    </row>
    <row r="5260" customFormat="false" ht="15.75" hidden="false" customHeight="false" outlineLevel="0" collapsed="false">
      <c r="A5260" s="6" t="n">
        <v>46194</v>
      </c>
      <c r="B5260" s="4" t="s">
        <v>1237</v>
      </c>
      <c r="C5260" s="4" t="n">
        <v>4</v>
      </c>
      <c r="D5260" s="4" t="n">
        <v>13</v>
      </c>
      <c r="E5260" s="4" t="s">
        <v>385</v>
      </c>
      <c r="F5260" s="4" t="n">
        <v>8</v>
      </c>
      <c r="G5260" s="4" t="n">
        <v>9</v>
      </c>
      <c r="H5260" s="4" t="n">
        <v>4</v>
      </c>
      <c r="I5260" s="4" t="str">
        <v>×</v>
      </c>
      <c r="J5260" s="4"/>
      <c r="K5260" s="4"/>
      <c r="L5260" s="4"/>
      <c r="M5260" s="5" t="s">
        <v>4174</v>
      </c>
    </row>
    <row r="5261" customFormat="false" ht="15.75" hidden="false" customHeight="false" outlineLevel="0" collapsed="false">
      <c r="A5261" s="6" t="n">
        <v>46194</v>
      </c>
      <c r="B5261" s="4" t="s">
        <v>1237</v>
      </c>
      <c r="C5261" s="4" t="n">
        <v>4</v>
      </c>
      <c r="D5261" s="4" t="n">
        <v>14</v>
      </c>
      <c r="E5261" s="4" t="s">
        <v>2591</v>
      </c>
      <c r="F5261" s="4" t="n">
        <v>4</v>
      </c>
      <c r="G5261" s="4" t="n">
        <v>11</v>
      </c>
      <c r="H5261" s="4" t="n">
        <v>4</v>
      </c>
      <c r="I5261" s="4" t="str">
        <v>×</v>
      </c>
      <c r="J5261" s="4"/>
      <c r="K5261" s="4"/>
      <c r="L5261" s="4"/>
      <c r="M5261" s="5" t="s">
        <v>4174</v>
      </c>
    </row>
    <row r="5262" customFormat="false" ht="15.75" hidden="false" customHeight="false" outlineLevel="0" collapsed="false">
      <c r="A5262" s="6" t="n">
        <v>46194</v>
      </c>
      <c r="B5262" s="4" t="s">
        <v>1237</v>
      </c>
      <c r="C5262" s="4" t="n">
        <v>4</v>
      </c>
      <c r="D5262" s="4" t="n">
        <v>15</v>
      </c>
      <c r="E5262" s="4" t="s">
        <v>3280</v>
      </c>
      <c r="F5262" s="4" t="n">
        <v>4</v>
      </c>
      <c r="G5262" s="4" t="n">
        <v>11</v>
      </c>
      <c r="H5262" s="4" t="n">
        <v>4</v>
      </c>
      <c r="I5262" s="4" t="str">
        <v>×</v>
      </c>
      <c r="J5262" s="4"/>
      <c r="K5262" s="4"/>
      <c r="L5262" s="4"/>
      <c r="M5262" s="5" t="s">
        <v>4174</v>
      </c>
    </row>
    <row r="5263" customFormat="false" ht="15.75" hidden="false" customHeight="false" outlineLevel="0" collapsed="false">
      <c r="A5263" s="6" t="n">
        <v>46194</v>
      </c>
      <c r="B5263" s="4" t="s">
        <v>1237</v>
      </c>
      <c r="C5263" s="4" t="n">
        <v>4</v>
      </c>
      <c r="D5263" s="4" t="n">
        <v>16</v>
      </c>
      <c r="E5263" s="4" t="s">
        <v>390</v>
      </c>
      <c r="F5263" s="4" t="n">
        <v>34</v>
      </c>
      <c r="G5263" s="4" t="n">
        <v>3</v>
      </c>
      <c r="H5263" s="4" t="n">
        <v>4</v>
      </c>
      <c r="I5263" s="4" t="str">
        <v>×</v>
      </c>
      <c r="J5263" s="4"/>
      <c r="K5263" s="4"/>
      <c r="L5263" s="4"/>
      <c r="M5263" s="5" t="s">
        <v>4174</v>
      </c>
    </row>
    <row r="5264" customFormat="false" ht="15.75" hidden="false" customHeight="false" outlineLevel="0" collapsed="false">
      <c r="A5264" s="6" t="n">
        <v>46194</v>
      </c>
      <c r="B5264" s="4" t="s">
        <v>1237</v>
      </c>
      <c r="C5264" s="4" t="n">
        <v>5</v>
      </c>
      <c r="D5264" s="4" t="n">
        <v>1</v>
      </c>
      <c r="E5264" s="4" t="s">
        <v>1847</v>
      </c>
      <c r="F5264" s="4" t="n">
        <v>27</v>
      </c>
      <c r="G5264" s="4" t="n">
        <v>4</v>
      </c>
      <c r="H5264" s="4" t="n">
        <v>1</v>
      </c>
      <c r="I5264" s="4" t="str">
        <v>○</v>
      </c>
      <c r="J5264" s="4" t="n">
        <v>150</v>
      </c>
      <c r="K5264" s="4"/>
      <c r="L5264" s="4"/>
      <c r="M5264" s="5" t="s">
        <v>4174</v>
      </c>
    </row>
    <row r="5265" customFormat="false" ht="15.75" hidden="false" customHeight="false" outlineLevel="0" collapsed="false">
      <c r="A5265" s="6" t="n">
        <v>46194</v>
      </c>
      <c r="B5265" s="4" t="s">
        <v>1237</v>
      </c>
      <c r="C5265" s="4" t="n">
        <v>5</v>
      </c>
      <c r="D5265" s="4" t="n">
        <v>2</v>
      </c>
      <c r="E5265" s="4" t="s">
        <v>789</v>
      </c>
      <c r="F5265" s="4" t="n">
        <v>27</v>
      </c>
      <c r="G5265" s="4" t="n">
        <v>2</v>
      </c>
      <c r="H5265" s="4" t="n">
        <v>4</v>
      </c>
      <c r="I5265" s="4" t="str">
        <v>×</v>
      </c>
      <c r="J5265" s="4"/>
      <c r="K5265" s="4"/>
      <c r="L5265" s="4"/>
      <c r="M5265" s="5" t="s">
        <v>4174</v>
      </c>
    </row>
    <row r="5266" customFormat="false" ht="15.75" hidden="false" customHeight="false" outlineLevel="0" collapsed="false">
      <c r="A5266" s="6" t="n">
        <v>46194</v>
      </c>
      <c r="B5266" s="4" t="s">
        <v>1237</v>
      </c>
      <c r="C5266" s="4" t="n">
        <v>5</v>
      </c>
      <c r="D5266" s="4" t="n">
        <v>3</v>
      </c>
      <c r="E5266" s="4" t="s">
        <v>3245</v>
      </c>
      <c r="F5266" s="4" t="n">
        <v>31</v>
      </c>
      <c r="G5266" s="4" t="n">
        <v>1</v>
      </c>
      <c r="H5266" s="4" t="n">
        <v>2</v>
      </c>
      <c r="I5266" s="4" t="str">
        <v>○</v>
      </c>
      <c r="J5266" s="4" t="n">
        <v>110</v>
      </c>
      <c r="K5266" s="4"/>
      <c r="L5266" s="4"/>
      <c r="M5266" s="5" t="s">
        <v>4174</v>
      </c>
    </row>
    <row r="5267" customFormat="false" ht="15.75" hidden="false" customHeight="false" outlineLevel="0" collapsed="false">
      <c r="A5267" s="6" t="n">
        <v>46194</v>
      </c>
      <c r="B5267" s="4" t="s">
        <v>1237</v>
      </c>
      <c r="C5267" s="4" t="n">
        <v>5</v>
      </c>
      <c r="D5267" s="4" t="n">
        <v>4</v>
      </c>
      <c r="E5267" s="4" t="s">
        <v>1242</v>
      </c>
      <c r="F5267" s="4" t="n">
        <v>24</v>
      </c>
      <c r="G5267" s="4" t="n">
        <v>5</v>
      </c>
      <c r="H5267" s="4" t="n">
        <v>4</v>
      </c>
      <c r="I5267" s="4" t="str">
        <v>×</v>
      </c>
      <c r="J5267" s="4"/>
      <c r="K5267" s="4"/>
      <c r="L5267" s="4"/>
      <c r="M5267" s="5" t="s">
        <v>4174</v>
      </c>
    </row>
    <row r="5268" customFormat="false" ht="15.75" hidden="false" customHeight="false" outlineLevel="0" collapsed="false">
      <c r="A5268" s="6" t="n">
        <v>46194</v>
      </c>
      <c r="B5268" s="4" t="s">
        <v>1237</v>
      </c>
      <c r="C5268" s="4" t="n">
        <v>5</v>
      </c>
      <c r="D5268" s="4" t="n">
        <v>5</v>
      </c>
      <c r="E5268" s="4" t="s">
        <v>1723</v>
      </c>
      <c r="F5268" s="4" t="n">
        <v>8</v>
      </c>
      <c r="G5268" s="4" t="n">
        <v>5</v>
      </c>
      <c r="H5268" s="4" t="n">
        <v>4</v>
      </c>
      <c r="I5268" s="4" t="str">
        <v>×</v>
      </c>
      <c r="J5268" s="4"/>
      <c r="K5268" s="4"/>
      <c r="L5268" s="4"/>
      <c r="M5268" s="5" t="s">
        <v>4174</v>
      </c>
    </row>
    <row r="5269" customFormat="false" ht="15.75" hidden="false" customHeight="false" outlineLevel="0" collapsed="false">
      <c r="A5269" s="6" t="n">
        <v>46194</v>
      </c>
      <c r="B5269" s="4" t="s">
        <v>1237</v>
      </c>
      <c r="C5269" s="4" t="n">
        <v>5</v>
      </c>
      <c r="D5269" s="4" t="n">
        <v>6</v>
      </c>
      <c r="E5269" s="4" t="s">
        <v>1725</v>
      </c>
      <c r="F5269" s="4" t="n">
        <v>21</v>
      </c>
      <c r="G5269" s="4" t="n">
        <v>6</v>
      </c>
      <c r="H5269" s="4" t="n">
        <v>3</v>
      </c>
      <c r="I5269" s="4" t="str">
        <v>○</v>
      </c>
      <c r="J5269" s="4" t="n">
        <v>530</v>
      </c>
      <c r="K5269" s="4"/>
      <c r="L5269" s="4"/>
      <c r="M5269" s="5" t="s">
        <v>4174</v>
      </c>
    </row>
    <row r="5270" customFormat="false" ht="15.75" hidden="false" customHeight="false" outlineLevel="0" collapsed="false">
      <c r="A5270" s="6" t="n">
        <v>46194</v>
      </c>
      <c r="B5270" s="4" t="s">
        <v>1237</v>
      </c>
      <c r="C5270" s="4" t="n">
        <v>5</v>
      </c>
      <c r="D5270" s="4" t="n">
        <v>7</v>
      </c>
      <c r="E5270" s="4" t="s">
        <v>1720</v>
      </c>
      <c r="F5270" s="4" t="n">
        <v>24</v>
      </c>
      <c r="G5270" s="4" t="n">
        <v>3</v>
      </c>
      <c r="H5270" s="4" t="n">
        <v>4</v>
      </c>
      <c r="I5270" s="4" t="str">
        <v>×</v>
      </c>
      <c r="J5270" s="4"/>
      <c r="K5270" s="4"/>
      <c r="L5270" s="4"/>
      <c r="M5270" s="5" t="s">
        <v>4174</v>
      </c>
    </row>
    <row r="5271" customFormat="false" ht="15.75" hidden="false" customHeight="false" outlineLevel="0" collapsed="false">
      <c r="A5271" s="6" t="n">
        <v>46194</v>
      </c>
      <c r="B5271" s="4" t="s">
        <v>1237</v>
      </c>
      <c r="C5271" s="4" t="n">
        <v>5</v>
      </c>
      <c r="D5271" s="4" t="n">
        <v>8</v>
      </c>
      <c r="E5271" s="4" t="s">
        <v>3244</v>
      </c>
      <c r="F5271" s="4" t="n">
        <v>24</v>
      </c>
      <c r="G5271" s="4" t="n">
        <v>5</v>
      </c>
      <c r="H5271" s="4" t="n">
        <v>4</v>
      </c>
      <c r="I5271" s="4" t="str">
        <v>×</v>
      </c>
      <c r="J5271" s="4"/>
      <c r="K5271" s="4"/>
      <c r="L5271" s="4"/>
      <c r="M5271" s="5" t="s">
        <v>4174</v>
      </c>
    </row>
    <row r="5272" customFormat="false" ht="15.75" hidden="false" customHeight="false" outlineLevel="0" collapsed="false">
      <c r="A5272" s="6" t="n">
        <v>46194</v>
      </c>
      <c r="B5272" s="4" t="s">
        <v>1237</v>
      </c>
      <c r="C5272" s="4" t="n">
        <v>5</v>
      </c>
      <c r="D5272" s="4" t="n">
        <v>9</v>
      </c>
      <c r="E5272" s="4" t="s">
        <v>350</v>
      </c>
      <c r="F5272" s="4" t="n">
        <v>24</v>
      </c>
      <c r="G5272" s="4" t="n">
        <v>3</v>
      </c>
      <c r="H5272" s="4" t="n">
        <v>4</v>
      </c>
      <c r="I5272" s="4" t="str">
        <v>×</v>
      </c>
      <c r="J5272" s="4"/>
      <c r="K5272" s="4"/>
      <c r="L5272" s="4"/>
      <c r="M5272" s="5" t="s">
        <v>4174</v>
      </c>
    </row>
    <row r="5273" customFormat="false" ht="15.75" hidden="false" customHeight="false" outlineLevel="0" collapsed="false">
      <c r="A5273" s="6" t="n">
        <v>46194</v>
      </c>
      <c r="B5273" s="4" t="s">
        <v>1237</v>
      </c>
      <c r="C5273" s="4" t="n">
        <v>5</v>
      </c>
      <c r="D5273" s="4" t="n">
        <v>10</v>
      </c>
      <c r="E5273" s="4" t="s">
        <v>3696</v>
      </c>
      <c r="F5273" s="4" t="n">
        <v>27</v>
      </c>
      <c r="G5273" s="4" t="n">
        <v>2</v>
      </c>
      <c r="H5273" s="4" t="n">
        <v>4</v>
      </c>
      <c r="I5273" s="4" t="str">
        <v>×</v>
      </c>
      <c r="J5273" s="4"/>
      <c r="K5273" s="4"/>
      <c r="L5273" s="4"/>
      <c r="M5273" s="5" t="s">
        <v>4174</v>
      </c>
    </row>
    <row r="5274" customFormat="false" ht="15.75" hidden="false" customHeight="false" outlineLevel="0" collapsed="false">
      <c r="A5274" s="6" t="n">
        <v>46194</v>
      </c>
      <c r="B5274" s="4" t="s">
        <v>1237</v>
      </c>
      <c r="C5274" s="4" t="n">
        <v>6</v>
      </c>
      <c r="D5274" s="4" t="n">
        <v>1</v>
      </c>
      <c r="E5274" s="4" t="s">
        <v>4241</v>
      </c>
      <c r="F5274" s="4" t="n">
        <v>10</v>
      </c>
      <c r="G5274" s="4" t="n">
        <v>8</v>
      </c>
      <c r="H5274" s="4" t="n">
        <v>1</v>
      </c>
      <c r="I5274" s="4" t="str">
        <v>○</v>
      </c>
      <c r="J5274" s="4" t="n">
        <v>380</v>
      </c>
      <c r="K5274" s="4"/>
      <c r="L5274" s="4"/>
      <c r="M5274" s="5" t="s">
        <v>4174</v>
      </c>
    </row>
    <row r="5275" customFormat="false" ht="15.75" hidden="false" customHeight="false" outlineLevel="0" collapsed="false">
      <c r="A5275" s="6" t="n">
        <v>46194</v>
      </c>
      <c r="B5275" s="4" t="s">
        <v>1237</v>
      </c>
      <c r="C5275" s="4" t="n">
        <v>6</v>
      </c>
      <c r="D5275" s="4" t="n">
        <v>2</v>
      </c>
      <c r="E5275" s="4" t="s">
        <v>1298</v>
      </c>
      <c r="F5275" s="4" t="n">
        <v>25</v>
      </c>
      <c r="G5275" s="4" t="n">
        <v>4</v>
      </c>
      <c r="H5275" s="4" t="n">
        <v>2</v>
      </c>
      <c r="I5275" s="4" t="str">
        <v>○</v>
      </c>
      <c r="J5275" s="4" t="n">
        <v>340</v>
      </c>
      <c r="K5275" s="4"/>
      <c r="L5275" s="4"/>
      <c r="M5275" s="5" t="s">
        <v>4174</v>
      </c>
    </row>
    <row r="5276" customFormat="false" ht="15.75" hidden="false" customHeight="false" outlineLevel="0" collapsed="false">
      <c r="A5276" s="6" t="n">
        <v>46194</v>
      </c>
      <c r="B5276" s="4" t="s">
        <v>1237</v>
      </c>
      <c r="C5276" s="4" t="n">
        <v>6</v>
      </c>
      <c r="D5276" s="4" t="n">
        <v>3</v>
      </c>
      <c r="E5276" s="4" t="s">
        <v>2953</v>
      </c>
      <c r="F5276" s="4" t="n">
        <v>4</v>
      </c>
      <c r="G5276" s="4" t="n">
        <v>9</v>
      </c>
      <c r="H5276" s="4" t="n">
        <v>4</v>
      </c>
      <c r="I5276" s="4" t="str">
        <v>×</v>
      </c>
      <c r="J5276" s="4"/>
      <c r="K5276" s="4"/>
      <c r="L5276" s="4"/>
      <c r="M5276" s="5" t="s">
        <v>4174</v>
      </c>
    </row>
    <row r="5277" customFormat="false" ht="15.75" hidden="false" customHeight="false" outlineLevel="0" collapsed="false">
      <c r="A5277" s="6" t="n">
        <v>46194</v>
      </c>
      <c r="B5277" s="4" t="s">
        <v>1237</v>
      </c>
      <c r="C5277" s="4" t="n">
        <v>6</v>
      </c>
      <c r="D5277" s="4" t="n">
        <v>4</v>
      </c>
      <c r="E5277" s="4" t="s">
        <v>2219</v>
      </c>
      <c r="F5277" s="4" t="n">
        <v>71</v>
      </c>
      <c r="G5277" s="4" t="n">
        <v>1</v>
      </c>
      <c r="H5277" s="4" t="n">
        <v>4</v>
      </c>
      <c r="I5277" s="4" t="str">
        <v>×</v>
      </c>
      <c r="J5277" s="4"/>
      <c r="K5277" s="4"/>
      <c r="L5277" s="4"/>
      <c r="M5277" s="5" t="s">
        <v>4174</v>
      </c>
    </row>
    <row r="5278" customFormat="false" ht="15.75" hidden="false" customHeight="false" outlineLevel="0" collapsed="false">
      <c r="A5278" s="6" t="n">
        <v>46194</v>
      </c>
      <c r="B5278" s="4" t="s">
        <v>1237</v>
      </c>
      <c r="C5278" s="4" t="n">
        <v>6</v>
      </c>
      <c r="D5278" s="4" t="n">
        <v>5</v>
      </c>
      <c r="E5278" s="4" t="s">
        <v>1287</v>
      </c>
      <c r="F5278" s="4" t="n">
        <v>31</v>
      </c>
      <c r="G5278" s="4" t="n">
        <v>3</v>
      </c>
      <c r="H5278" s="4" t="n">
        <v>4</v>
      </c>
      <c r="I5278" s="4" t="str">
        <v>×</v>
      </c>
      <c r="J5278" s="4"/>
      <c r="K5278" s="4"/>
      <c r="L5278" s="4"/>
      <c r="M5278" s="5" t="s">
        <v>4174</v>
      </c>
    </row>
    <row r="5279" customFormat="false" ht="15.75" hidden="false" customHeight="false" outlineLevel="0" collapsed="false">
      <c r="A5279" s="6" t="n">
        <v>46194</v>
      </c>
      <c r="B5279" s="4" t="s">
        <v>1237</v>
      </c>
      <c r="C5279" s="4" t="n">
        <v>6</v>
      </c>
      <c r="D5279" s="4" t="n">
        <v>6</v>
      </c>
      <c r="E5279" s="4" t="s">
        <v>1752</v>
      </c>
      <c r="F5279" s="4" t="n">
        <v>25</v>
      </c>
      <c r="G5279" s="4" t="n">
        <v>4</v>
      </c>
      <c r="H5279" s="4" t="n">
        <v>4</v>
      </c>
      <c r="I5279" s="4" t="str">
        <v>×</v>
      </c>
      <c r="J5279" s="4"/>
      <c r="K5279" s="4"/>
      <c r="L5279" s="4"/>
      <c r="M5279" s="5" t="s">
        <v>4174</v>
      </c>
    </row>
    <row r="5280" customFormat="false" ht="15.75" hidden="false" customHeight="false" outlineLevel="0" collapsed="false">
      <c r="A5280" s="6" t="n">
        <v>46194</v>
      </c>
      <c r="B5280" s="4" t="s">
        <v>1237</v>
      </c>
      <c r="C5280" s="4" t="n">
        <v>6</v>
      </c>
      <c r="D5280" s="4" t="n">
        <v>7</v>
      </c>
      <c r="E5280" s="4" t="s">
        <v>1279</v>
      </c>
      <c r="F5280" s="4" t="n">
        <v>52</v>
      </c>
      <c r="G5280" s="4" t="n">
        <v>2</v>
      </c>
      <c r="H5280" s="4" t="n">
        <v>4</v>
      </c>
      <c r="I5280" s="4" t="str">
        <v>×</v>
      </c>
      <c r="J5280" s="4"/>
      <c r="K5280" s="4"/>
      <c r="L5280" s="4"/>
      <c r="M5280" s="5" t="s">
        <v>4174</v>
      </c>
    </row>
    <row r="5281" customFormat="false" ht="15.75" hidden="false" customHeight="false" outlineLevel="0" collapsed="false">
      <c r="A5281" s="6" t="n">
        <v>46194</v>
      </c>
      <c r="B5281" s="4" t="s">
        <v>1237</v>
      </c>
      <c r="C5281" s="4" t="n">
        <v>6</v>
      </c>
      <c r="D5281" s="4" t="n">
        <v>8</v>
      </c>
      <c r="E5281" s="4" t="s">
        <v>4242</v>
      </c>
      <c r="F5281" s="4" t="n">
        <v>13</v>
      </c>
      <c r="G5281" s="4" t="n">
        <v>7</v>
      </c>
      <c r="H5281" s="4" t="n">
        <v>4</v>
      </c>
      <c r="I5281" s="4" t="str">
        <v>×</v>
      </c>
      <c r="J5281" s="4"/>
      <c r="K5281" s="4"/>
      <c r="L5281" s="4"/>
      <c r="M5281" s="5" t="s">
        <v>4174</v>
      </c>
    </row>
    <row r="5282" customFormat="false" ht="15.75" hidden="false" customHeight="false" outlineLevel="0" collapsed="false">
      <c r="A5282" s="6" t="n">
        <v>46194</v>
      </c>
      <c r="B5282" s="4" t="s">
        <v>1237</v>
      </c>
      <c r="C5282" s="4" t="n">
        <v>6</v>
      </c>
      <c r="D5282" s="4" t="n">
        <v>9</v>
      </c>
      <c r="E5282" s="4" t="s">
        <v>4243</v>
      </c>
      <c r="F5282" s="4" t="n">
        <v>20</v>
      </c>
      <c r="G5282" s="4" t="n">
        <v>5</v>
      </c>
      <c r="H5282" s="4" t="n">
        <v>4</v>
      </c>
      <c r="I5282" s="4" t="str">
        <v>×</v>
      </c>
      <c r="J5282" s="4"/>
      <c r="K5282" s="4"/>
      <c r="L5282" s="4"/>
      <c r="M5282" s="5" t="s">
        <v>4174</v>
      </c>
    </row>
    <row r="5283" customFormat="false" ht="15.75" hidden="false" customHeight="false" outlineLevel="0" collapsed="false">
      <c r="A5283" s="6" t="n">
        <v>46194</v>
      </c>
      <c r="B5283" s="4" t="s">
        <v>1237</v>
      </c>
      <c r="C5283" s="4" t="n">
        <v>6</v>
      </c>
      <c r="D5283" s="4" t="n">
        <v>10</v>
      </c>
      <c r="E5283" s="4" t="s">
        <v>3258</v>
      </c>
      <c r="F5283" s="4" t="n">
        <v>10</v>
      </c>
      <c r="G5283" s="4" t="n">
        <v>8</v>
      </c>
      <c r="H5283" s="4" t="n">
        <v>3</v>
      </c>
      <c r="I5283" s="4" t="str">
        <v>○</v>
      </c>
      <c r="J5283" s="4" t="n">
        <v>520</v>
      </c>
      <c r="K5283" s="4"/>
      <c r="L5283" s="4"/>
      <c r="M5283" s="5" t="s">
        <v>4174</v>
      </c>
    </row>
    <row r="5284" customFormat="false" ht="15.75" hidden="false" customHeight="false" outlineLevel="0" collapsed="false">
      <c r="A5284" s="6" t="n">
        <v>46194</v>
      </c>
      <c r="B5284" s="4" t="s">
        <v>1237</v>
      </c>
      <c r="C5284" s="4" t="n">
        <v>6</v>
      </c>
      <c r="D5284" s="4" t="n">
        <v>11</v>
      </c>
      <c r="E5284" s="4" t="s">
        <v>4244</v>
      </c>
      <c r="F5284" s="4" t="n">
        <v>3</v>
      </c>
      <c r="G5284" s="4" t="n">
        <v>10</v>
      </c>
      <c r="H5284" s="4" t="n">
        <v>4</v>
      </c>
      <c r="I5284" s="4" t="str">
        <v>×</v>
      </c>
      <c r="J5284" s="4"/>
      <c r="K5284" s="4"/>
      <c r="L5284" s="4"/>
      <c r="M5284" s="5" t="s">
        <v>4174</v>
      </c>
    </row>
    <row r="5285" customFormat="false" ht="15.75" hidden="false" customHeight="false" outlineLevel="0" collapsed="false">
      <c r="A5285" s="6" t="n">
        <v>46194</v>
      </c>
      <c r="B5285" s="4" t="s">
        <v>1237</v>
      </c>
      <c r="C5285" s="4" t="n">
        <v>6</v>
      </c>
      <c r="D5285" s="4" t="n">
        <v>12</v>
      </c>
      <c r="E5285" s="4" t="s">
        <v>4245</v>
      </c>
      <c r="F5285" s="4" t="n">
        <v>15</v>
      </c>
      <c r="G5285" s="4" t="n">
        <v>6</v>
      </c>
      <c r="H5285" s="4" t="n">
        <v>4</v>
      </c>
      <c r="I5285" s="4" t="str">
        <v>×</v>
      </c>
      <c r="J5285" s="4"/>
      <c r="K5285" s="4"/>
      <c r="L5285" s="4"/>
      <c r="M5285" s="5" t="s">
        <v>4174</v>
      </c>
    </row>
    <row r="5286" customFormat="false" ht="15.75" hidden="false" customHeight="false" outlineLevel="0" collapsed="false">
      <c r="A5286" s="6" t="n">
        <v>46194</v>
      </c>
      <c r="B5286" s="4" t="s">
        <v>1237</v>
      </c>
      <c r="C5286" s="4" t="n">
        <v>6</v>
      </c>
      <c r="D5286" s="4" t="n">
        <v>13</v>
      </c>
      <c r="E5286" s="4" t="s">
        <v>3254</v>
      </c>
      <c r="F5286" s="4" t="n">
        <v>4</v>
      </c>
      <c r="G5286" s="4" t="n">
        <v>9</v>
      </c>
      <c r="H5286" s="4" t="n">
        <v>4</v>
      </c>
      <c r="I5286" s="4" t="str">
        <v>×</v>
      </c>
      <c r="J5286" s="4"/>
      <c r="K5286" s="4"/>
      <c r="L5286" s="4"/>
      <c r="M5286" s="5" t="s">
        <v>4174</v>
      </c>
    </row>
    <row r="5287" customFormat="false" ht="15.75" hidden="false" customHeight="false" outlineLevel="0" collapsed="false">
      <c r="A5287" s="6" t="n">
        <v>46194</v>
      </c>
      <c r="B5287" s="4" t="s">
        <v>1237</v>
      </c>
      <c r="C5287" s="4" t="n">
        <v>7</v>
      </c>
      <c r="D5287" s="4" t="n">
        <v>1</v>
      </c>
      <c r="E5287" s="4" t="s">
        <v>407</v>
      </c>
      <c r="F5287" s="4" t="n">
        <v>29</v>
      </c>
      <c r="G5287" s="4" t="n">
        <v>3</v>
      </c>
      <c r="H5287" s="4" t="n">
        <v>4</v>
      </c>
      <c r="I5287" s="4" t="str">
        <v>×</v>
      </c>
      <c r="J5287" s="4"/>
      <c r="K5287" s="4"/>
      <c r="L5287" s="4"/>
      <c r="M5287" s="5" t="s">
        <v>4174</v>
      </c>
    </row>
    <row r="5288" customFormat="false" ht="15.75" hidden="false" customHeight="false" outlineLevel="0" collapsed="false">
      <c r="A5288" s="6" t="n">
        <v>46194</v>
      </c>
      <c r="B5288" s="4" t="s">
        <v>1237</v>
      </c>
      <c r="C5288" s="4" t="n">
        <v>7</v>
      </c>
      <c r="D5288" s="4" t="n">
        <v>2</v>
      </c>
      <c r="E5288" s="4" t="s">
        <v>1970</v>
      </c>
      <c r="F5288" s="4" t="n">
        <v>47</v>
      </c>
      <c r="G5288" s="4" t="n">
        <v>7</v>
      </c>
      <c r="H5288" s="4" t="n">
        <v>4</v>
      </c>
      <c r="I5288" s="4" t="str">
        <v>×</v>
      </c>
      <c r="J5288" s="4"/>
      <c r="K5288" s="4"/>
      <c r="L5288" s="4"/>
      <c r="M5288" s="5" t="s">
        <v>4174</v>
      </c>
    </row>
    <row r="5289" customFormat="false" ht="15.75" hidden="false" customHeight="false" outlineLevel="0" collapsed="false">
      <c r="A5289" s="6" t="n">
        <v>46194</v>
      </c>
      <c r="B5289" s="4" t="s">
        <v>1237</v>
      </c>
      <c r="C5289" s="4" t="n">
        <v>7</v>
      </c>
      <c r="D5289" s="4" t="n">
        <v>3</v>
      </c>
      <c r="E5289" s="4" t="s">
        <v>4246</v>
      </c>
      <c r="F5289" s="4" t="n">
        <v>15</v>
      </c>
      <c r="G5289" s="4" t="n">
        <v>5</v>
      </c>
      <c r="H5289" s="4" t="n">
        <v>4</v>
      </c>
      <c r="I5289" s="4" t="str">
        <v>×</v>
      </c>
      <c r="J5289" s="4"/>
      <c r="K5289" s="4"/>
      <c r="L5289" s="4"/>
      <c r="M5289" s="5" t="s">
        <v>4174</v>
      </c>
    </row>
    <row r="5290" customFormat="false" ht="15.75" hidden="false" customHeight="false" outlineLevel="0" collapsed="false">
      <c r="A5290" s="6" t="n">
        <v>46194</v>
      </c>
      <c r="B5290" s="4" t="s">
        <v>1237</v>
      </c>
      <c r="C5290" s="4" t="n">
        <v>7</v>
      </c>
      <c r="D5290" s="4" t="n">
        <v>4</v>
      </c>
      <c r="E5290" s="4" t="s">
        <v>2672</v>
      </c>
      <c r="F5290" s="4" t="n">
        <v>10</v>
      </c>
      <c r="G5290" s="4" t="n">
        <v>6</v>
      </c>
      <c r="H5290" s="4" t="n">
        <v>4</v>
      </c>
      <c r="I5290" s="4" t="str">
        <v>×</v>
      </c>
      <c r="J5290" s="4"/>
      <c r="K5290" s="4"/>
      <c r="L5290" s="4"/>
      <c r="M5290" s="5" t="s">
        <v>4174</v>
      </c>
    </row>
    <row r="5291" customFormat="false" ht="15.75" hidden="false" customHeight="false" outlineLevel="0" collapsed="false">
      <c r="A5291" s="6" t="n">
        <v>46194</v>
      </c>
      <c r="B5291" s="4" t="s">
        <v>1237</v>
      </c>
      <c r="C5291" s="4" t="n">
        <v>7</v>
      </c>
      <c r="D5291" s="4" t="n">
        <v>5</v>
      </c>
      <c r="E5291" s="4" t="s">
        <v>2960</v>
      </c>
      <c r="F5291" s="4" t="n">
        <v>13</v>
      </c>
      <c r="G5291" s="4" t="n">
        <v>8</v>
      </c>
      <c r="H5291" s="4" t="n">
        <v>4</v>
      </c>
      <c r="I5291" s="4" t="str">
        <v>×</v>
      </c>
      <c r="J5291" s="4"/>
      <c r="K5291" s="4"/>
      <c r="L5291" s="4"/>
      <c r="M5291" s="5" t="s">
        <v>4174</v>
      </c>
    </row>
    <row r="5292" customFormat="false" ht="15.75" hidden="false" customHeight="false" outlineLevel="0" collapsed="false">
      <c r="A5292" s="6" t="n">
        <v>46194</v>
      </c>
      <c r="B5292" s="4" t="s">
        <v>1237</v>
      </c>
      <c r="C5292" s="4" t="n">
        <v>7</v>
      </c>
      <c r="D5292" s="4" t="n">
        <v>6</v>
      </c>
      <c r="E5292" s="4" t="s">
        <v>2956</v>
      </c>
      <c r="F5292" s="4" t="n">
        <v>23</v>
      </c>
      <c r="G5292" s="4" t="n">
        <v>4</v>
      </c>
      <c r="H5292" s="4" t="n">
        <v>2</v>
      </c>
      <c r="I5292" s="4" t="str">
        <v>○</v>
      </c>
      <c r="J5292" s="4" t="n">
        <v>280</v>
      </c>
      <c r="K5292" s="4"/>
      <c r="L5292" s="4"/>
      <c r="M5292" s="5" t="s">
        <v>4174</v>
      </c>
    </row>
    <row r="5293" customFormat="false" ht="15.75" hidden="false" customHeight="false" outlineLevel="0" collapsed="false">
      <c r="A5293" s="6" t="n">
        <v>46194</v>
      </c>
      <c r="B5293" s="4" t="s">
        <v>1237</v>
      </c>
      <c r="C5293" s="4" t="n">
        <v>7</v>
      </c>
      <c r="D5293" s="4" t="n">
        <v>7</v>
      </c>
      <c r="E5293" s="4" t="s">
        <v>1352</v>
      </c>
      <c r="F5293" s="4" t="n">
        <v>65</v>
      </c>
      <c r="G5293" s="4" t="n">
        <v>1</v>
      </c>
      <c r="H5293" s="4" t="n">
        <v>1</v>
      </c>
      <c r="I5293" s="4" t="str">
        <v>○</v>
      </c>
      <c r="J5293" s="4" t="n">
        <v>150</v>
      </c>
      <c r="K5293" s="4"/>
      <c r="L5293" s="4"/>
      <c r="M5293" s="5" t="s">
        <v>4174</v>
      </c>
    </row>
    <row r="5294" customFormat="false" ht="15.75" hidden="false" customHeight="false" outlineLevel="0" collapsed="false">
      <c r="A5294" s="6" t="n">
        <v>46194</v>
      </c>
      <c r="B5294" s="4" t="s">
        <v>1237</v>
      </c>
      <c r="C5294" s="4" t="n">
        <v>7</v>
      </c>
      <c r="D5294" s="4" t="n">
        <v>8</v>
      </c>
      <c r="E5294" s="4" t="s">
        <v>1378</v>
      </c>
      <c r="F5294" s="4" t="n">
        <v>23</v>
      </c>
      <c r="G5294" s="4" t="n">
        <v>9</v>
      </c>
      <c r="H5294" s="4" t="n">
        <v>4</v>
      </c>
      <c r="I5294" s="4" t="str">
        <v>×</v>
      </c>
      <c r="J5294" s="4"/>
      <c r="K5294" s="4"/>
      <c r="L5294" s="4"/>
      <c r="M5294" s="5" t="s">
        <v>4174</v>
      </c>
    </row>
    <row r="5295" customFormat="false" ht="15.75" hidden="false" customHeight="false" outlineLevel="0" collapsed="false">
      <c r="A5295" s="6" t="n">
        <v>46194</v>
      </c>
      <c r="B5295" s="4" t="s">
        <v>1237</v>
      </c>
      <c r="C5295" s="4" t="n">
        <v>7</v>
      </c>
      <c r="D5295" s="4" t="n">
        <v>9</v>
      </c>
      <c r="E5295" s="4" t="s">
        <v>4247</v>
      </c>
      <c r="F5295" s="4" t="n">
        <v>58</v>
      </c>
      <c r="G5295" s="4" t="n">
        <v>2</v>
      </c>
      <c r="H5295" s="4" t="n">
        <v>4</v>
      </c>
      <c r="I5295" s="4" t="str">
        <v>×</v>
      </c>
      <c r="J5295" s="4"/>
      <c r="K5295" s="4"/>
      <c r="L5295" s="4"/>
      <c r="M5295" s="5" t="s">
        <v>4174</v>
      </c>
    </row>
    <row r="5296" customFormat="false" ht="15.75" hidden="false" customHeight="false" outlineLevel="0" collapsed="false">
      <c r="A5296" s="6" t="n">
        <v>46194</v>
      </c>
      <c r="B5296" s="4" t="s">
        <v>1237</v>
      </c>
      <c r="C5296" s="4" t="n">
        <v>7</v>
      </c>
      <c r="D5296" s="4" t="n">
        <v>10</v>
      </c>
      <c r="E5296" s="4" t="s">
        <v>2671</v>
      </c>
      <c r="F5296" s="4" t="n">
        <v>13</v>
      </c>
      <c r="G5296" s="4" t="n">
        <v>8</v>
      </c>
      <c r="H5296" s="4" t="n">
        <v>4</v>
      </c>
      <c r="I5296" s="4" t="str">
        <v>×</v>
      </c>
      <c r="J5296" s="4"/>
      <c r="K5296" s="4"/>
      <c r="L5296" s="4"/>
      <c r="M5296" s="5" t="s">
        <v>4174</v>
      </c>
    </row>
    <row r="5297" customFormat="false" ht="15.75" hidden="false" customHeight="false" outlineLevel="0" collapsed="false">
      <c r="A5297" s="6" t="n">
        <v>46194</v>
      </c>
      <c r="B5297" s="4" t="s">
        <v>1237</v>
      </c>
      <c r="C5297" s="4" t="n">
        <v>7</v>
      </c>
      <c r="D5297" s="4" t="n">
        <v>11</v>
      </c>
      <c r="E5297" s="4" t="s">
        <v>3865</v>
      </c>
      <c r="F5297" s="4" t="n">
        <v>23</v>
      </c>
      <c r="G5297" s="4" t="n">
        <v>8</v>
      </c>
      <c r="H5297" s="4" t="n">
        <v>3</v>
      </c>
      <c r="I5297" s="4" t="str">
        <v>○</v>
      </c>
      <c r="J5297" s="4" t="n">
        <v>320</v>
      </c>
      <c r="K5297" s="4"/>
      <c r="L5297" s="4"/>
      <c r="M5297" s="5" t="s">
        <v>4174</v>
      </c>
    </row>
    <row r="5298" customFormat="false" ht="15.75" hidden="false" customHeight="false" outlineLevel="0" collapsed="false">
      <c r="A5298" s="6" t="n">
        <v>46194</v>
      </c>
      <c r="B5298" s="4" t="s">
        <v>1237</v>
      </c>
      <c r="C5298" s="4" t="n">
        <v>8</v>
      </c>
      <c r="D5298" s="4" t="n">
        <v>1</v>
      </c>
      <c r="E5298" s="4" t="s">
        <v>4248</v>
      </c>
      <c r="F5298" s="4" t="n">
        <v>13</v>
      </c>
      <c r="G5298" s="4" t="n">
        <v>6</v>
      </c>
      <c r="H5298" s="4" t="n">
        <v>4</v>
      </c>
      <c r="I5298" s="4" t="str">
        <v>×</v>
      </c>
      <c r="J5298" s="4"/>
      <c r="K5298" s="4"/>
      <c r="L5298" s="4"/>
      <c r="M5298" s="5" t="s">
        <v>4174</v>
      </c>
    </row>
    <row r="5299" customFormat="false" ht="15.75" hidden="false" customHeight="false" outlineLevel="0" collapsed="false">
      <c r="A5299" s="6" t="n">
        <v>46194</v>
      </c>
      <c r="B5299" s="4" t="s">
        <v>1237</v>
      </c>
      <c r="C5299" s="4" t="n">
        <v>8</v>
      </c>
      <c r="D5299" s="4" t="n">
        <v>2</v>
      </c>
      <c r="E5299" s="4" t="s">
        <v>1324</v>
      </c>
      <c r="F5299" s="4" t="n">
        <v>34</v>
      </c>
      <c r="G5299" s="4" t="n">
        <v>7</v>
      </c>
      <c r="H5299" s="4" t="n">
        <v>4</v>
      </c>
      <c r="I5299" s="4" t="str">
        <v>×</v>
      </c>
      <c r="J5299" s="4"/>
      <c r="K5299" s="4"/>
      <c r="L5299" s="4"/>
      <c r="M5299" s="5" t="s">
        <v>4174</v>
      </c>
    </row>
    <row r="5300" customFormat="false" ht="15.75" hidden="false" customHeight="false" outlineLevel="0" collapsed="false">
      <c r="A5300" s="6" t="n">
        <v>46194</v>
      </c>
      <c r="B5300" s="4" t="s">
        <v>1237</v>
      </c>
      <c r="C5300" s="4" t="n">
        <v>8</v>
      </c>
      <c r="D5300" s="4" t="n">
        <v>3</v>
      </c>
      <c r="E5300" s="4" t="s">
        <v>2234</v>
      </c>
      <c r="F5300" s="4" t="n">
        <v>44</v>
      </c>
      <c r="G5300" s="4" t="n">
        <v>7</v>
      </c>
      <c r="H5300" s="4" t="n">
        <v>4</v>
      </c>
      <c r="I5300" s="4" t="str">
        <v>×</v>
      </c>
      <c r="J5300" s="4"/>
      <c r="K5300" s="4"/>
      <c r="L5300" s="4"/>
      <c r="M5300" s="5" t="s">
        <v>4174</v>
      </c>
    </row>
    <row r="5301" customFormat="false" ht="15.75" hidden="false" customHeight="false" outlineLevel="0" collapsed="false">
      <c r="A5301" s="6" t="n">
        <v>46194</v>
      </c>
      <c r="B5301" s="4" t="s">
        <v>1237</v>
      </c>
      <c r="C5301" s="4" t="n">
        <v>8</v>
      </c>
      <c r="D5301" s="4" t="n">
        <v>4</v>
      </c>
      <c r="E5301" s="4" t="s">
        <v>3286</v>
      </c>
      <c r="F5301" s="4" t="n">
        <v>1</v>
      </c>
      <c r="G5301" s="4" t="n">
        <v>8</v>
      </c>
      <c r="H5301" s="4" t="n">
        <v>4</v>
      </c>
      <c r="I5301" s="4" t="str">
        <v>×</v>
      </c>
      <c r="J5301" s="4"/>
      <c r="K5301" s="4"/>
      <c r="L5301" s="4"/>
      <c r="M5301" s="5" t="s">
        <v>4174</v>
      </c>
    </row>
    <row r="5302" customFormat="false" ht="15.75" hidden="false" customHeight="false" outlineLevel="0" collapsed="false">
      <c r="A5302" s="6" t="n">
        <v>46194</v>
      </c>
      <c r="B5302" s="4" t="s">
        <v>1237</v>
      </c>
      <c r="C5302" s="4" t="n">
        <v>8</v>
      </c>
      <c r="D5302" s="4" t="n">
        <v>5</v>
      </c>
      <c r="E5302" s="4" t="s">
        <v>4140</v>
      </c>
      <c r="F5302" s="4" t="n">
        <v>41</v>
      </c>
      <c r="G5302" s="4" t="n">
        <v>1</v>
      </c>
      <c r="H5302" s="4" t="n">
        <v>4</v>
      </c>
      <c r="I5302" s="4" t="str">
        <v>×</v>
      </c>
      <c r="J5302" s="4"/>
      <c r="K5302" s="4"/>
      <c r="L5302" s="4"/>
      <c r="M5302" s="5" t="s">
        <v>4174</v>
      </c>
    </row>
    <row r="5303" customFormat="false" ht="15.75" hidden="false" customHeight="false" outlineLevel="0" collapsed="false">
      <c r="A5303" s="6" t="n">
        <v>46194</v>
      </c>
      <c r="B5303" s="4" t="s">
        <v>1237</v>
      </c>
      <c r="C5303" s="4" t="n">
        <v>8</v>
      </c>
      <c r="D5303" s="4" t="n">
        <v>6</v>
      </c>
      <c r="E5303" s="4" t="s">
        <v>2630</v>
      </c>
      <c r="F5303" s="4" t="n">
        <v>20</v>
      </c>
      <c r="G5303" s="4" t="n">
        <v>4</v>
      </c>
      <c r="H5303" s="4" t="n">
        <v>4</v>
      </c>
      <c r="I5303" s="4" t="str">
        <v>×</v>
      </c>
      <c r="J5303" s="4"/>
      <c r="K5303" s="4"/>
      <c r="L5303" s="4"/>
      <c r="M5303" s="5" t="s">
        <v>4174</v>
      </c>
    </row>
    <row r="5304" customFormat="false" ht="15.75" hidden="false" customHeight="false" outlineLevel="0" collapsed="false">
      <c r="A5304" s="6" t="n">
        <v>46194</v>
      </c>
      <c r="B5304" s="4" t="s">
        <v>1237</v>
      </c>
      <c r="C5304" s="4" t="n">
        <v>8</v>
      </c>
      <c r="D5304" s="4" t="n">
        <v>7</v>
      </c>
      <c r="E5304" s="4" t="s">
        <v>1837</v>
      </c>
      <c r="F5304" s="4" t="n">
        <v>41</v>
      </c>
      <c r="G5304" s="4" t="n">
        <v>1</v>
      </c>
      <c r="H5304" s="4" t="n">
        <v>2</v>
      </c>
      <c r="I5304" s="4" t="str">
        <v>○</v>
      </c>
      <c r="J5304" s="4" t="n">
        <v>150</v>
      </c>
      <c r="K5304" s="4"/>
      <c r="L5304" s="4"/>
      <c r="M5304" s="5" t="s">
        <v>4174</v>
      </c>
    </row>
    <row r="5305" customFormat="false" ht="15.75" hidden="false" customHeight="false" outlineLevel="0" collapsed="false">
      <c r="A5305" s="6" t="n">
        <v>46194</v>
      </c>
      <c r="B5305" s="4" t="s">
        <v>1237</v>
      </c>
      <c r="C5305" s="4" t="n">
        <v>8</v>
      </c>
      <c r="D5305" s="4" t="n">
        <v>8</v>
      </c>
      <c r="E5305" s="4" t="s">
        <v>4249</v>
      </c>
      <c r="F5305" s="4" t="n">
        <v>29</v>
      </c>
      <c r="G5305" s="4" t="n">
        <v>3</v>
      </c>
      <c r="H5305" s="4" t="n">
        <v>4</v>
      </c>
      <c r="I5305" s="4" t="str">
        <v>×</v>
      </c>
      <c r="J5305" s="4"/>
      <c r="K5305" s="4"/>
      <c r="L5305" s="4"/>
      <c r="M5305" s="5" t="s">
        <v>4174</v>
      </c>
    </row>
    <row r="5306" customFormat="false" ht="15.75" hidden="false" customHeight="false" outlineLevel="0" collapsed="false">
      <c r="A5306" s="6" t="n">
        <v>46194</v>
      </c>
      <c r="B5306" s="4" t="s">
        <v>1237</v>
      </c>
      <c r="C5306" s="4" t="n">
        <v>8</v>
      </c>
      <c r="D5306" s="4" t="n">
        <v>9</v>
      </c>
      <c r="E5306" s="4" t="s">
        <v>3291</v>
      </c>
      <c r="F5306" s="4" t="n">
        <v>34</v>
      </c>
      <c r="G5306" s="4" t="n">
        <v>2</v>
      </c>
      <c r="H5306" s="4" t="n">
        <v>1</v>
      </c>
      <c r="I5306" s="4" t="str">
        <v>○</v>
      </c>
      <c r="J5306" s="4" t="n">
        <v>230</v>
      </c>
      <c r="K5306" s="4"/>
      <c r="L5306" s="4"/>
      <c r="M5306" s="5" t="s">
        <v>4174</v>
      </c>
    </row>
    <row r="5307" customFormat="false" ht="15.75" hidden="false" customHeight="false" outlineLevel="0" collapsed="false">
      <c r="A5307" s="6" t="n">
        <v>46194</v>
      </c>
      <c r="B5307" s="4" t="s">
        <v>1237</v>
      </c>
      <c r="C5307" s="4" t="n">
        <v>8</v>
      </c>
      <c r="D5307" s="4" t="n">
        <v>10</v>
      </c>
      <c r="E5307" s="4" t="s">
        <v>4250</v>
      </c>
      <c r="F5307" s="4" t="n">
        <v>8</v>
      </c>
      <c r="G5307" s="4" t="n">
        <v>7</v>
      </c>
      <c r="H5307" s="4" t="n">
        <v>3</v>
      </c>
      <c r="I5307" s="4" t="str">
        <v>○</v>
      </c>
      <c r="J5307" s="4" t="n">
        <v>2070</v>
      </c>
      <c r="K5307" s="4"/>
      <c r="L5307" s="4"/>
      <c r="M5307" s="5" t="s">
        <v>4174</v>
      </c>
    </row>
    <row r="5308" customFormat="false" ht="15.75" hidden="false" customHeight="false" outlineLevel="0" collapsed="false">
      <c r="A5308" s="6" t="n">
        <v>46194</v>
      </c>
      <c r="B5308" s="4" t="s">
        <v>1237</v>
      </c>
      <c r="C5308" s="4" t="n">
        <v>8</v>
      </c>
      <c r="D5308" s="4" t="n">
        <v>11</v>
      </c>
      <c r="E5308" s="4" t="s">
        <v>1793</v>
      </c>
      <c r="F5308" s="4" t="n">
        <v>17</v>
      </c>
      <c r="G5308" s="4" t="n">
        <v>6</v>
      </c>
      <c r="H5308" s="4" t="n">
        <v>4</v>
      </c>
      <c r="I5308" s="4" t="str">
        <v>×</v>
      </c>
      <c r="J5308" s="4"/>
      <c r="K5308" s="4"/>
      <c r="L5308" s="4"/>
      <c r="M5308" s="5" t="s">
        <v>4174</v>
      </c>
    </row>
    <row r="5309" customFormat="false" ht="15.75" hidden="false" customHeight="false" outlineLevel="0" collapsed="false">
      <c r="A5309" s="6" t="n">
        <v>46194</v>
      </c>
      <c r="B5309" s="4" t="s">
        <v>1237</v>
      </c>
      <c r="C5309" s="4" t="n">
        <v>8</v>
      </c>
      <c r="D5309" s="4" t="n">
        <v>12</v>
      </c>
      <c r="E5309" s="4" t="s">
        <v>1313</v>
      </c>
      <c r="F5309" s="4" t="n">
        <v>15</v>
      </c>
      <c r="G5309" s="4" t="n">
        <v>5</v>
      </c>
      <c r="H5309" s="4" t="n">
        <v>4</v>
      </c>
      <c r="I5309" s="4" t="str">
        <v>×</v>
      </c>
      <c r="J5309" s="4"/>
      <c r="K5309" s="4"/>
      <c r="L5309" s="4"/>
      <c r="M5309" s="5" t="s">
        <v>4174</v>
      </c>
    </row>
    <row r="5310" customFormat="false" ht="15.75" hidden="false" customHeight="false" outlineLevel="0" collapsed="false">
      <c r="A5310" s="6" t="n">
        <v>46194</v>
      </c>
      <c r="B5310" s="4" t="s">
        <v>1237</v>
      </c>
      <c r="C5310" s="4" t="n">
        <v>9</v>
      </c>
      <c r="D5310" s="4" t="n">
        <v>1</v>
      </c>
      <c r="E5310" s="4" t="s">
        <v>4251</v>
      </c>
      <c r="F5310" s="4" t="n">
        <v>23</v>
      </c>
      <c r="G5310" s="4" t="n">
        <v>7</v>
      </c>
      <c r="H5310" s="4" t="n">
        <v>4</v>
      </c>
      <c r="I5310" s="4" t="str">
        <v>×</v>
      </c>
      <c r="J5310" s="4"/>
      <c r="K5310" s="4"/>
      <c r="L5310" s="4"/>
      <c r="M5310" s="5" t="s">
        <v>4174</v>
      </c>
    </row>
    <row r="5311" customFormat="false" ht="15.75" hidden="false" customHeight="false" outlineLevel="0" collapsed="false">
      <c r="A5311" s="6" t="n">
        <v>46194</v>
      </c>
      <c r="B5311" s="4" t="s">
        <v>1237</v>
      </c>
      <c r="C5311" s="4" t="n">
        <v>9</v>
      </c>
      <c r="D5311" s="4" t="n">
        <v>2</v>
      </c>
      <c r="E5311" s="4" t="s">
        <v>2228</v>
      </c>
      <c r="F5311" s="4" t="n">
        <v>47</v>
      </c>
      <c r="G5311" s="4" t="n">
        <v>2</v>
      </c>
      <c r="H5311" s="4" t="n">
        <v>4</v>
      </c>
      <c r="I5311" s="4" t="str">
        <v>×</v>
      </c>
      <c r="J5311" s="4"/>
      <c r="K5311" s="4"/>
      <c r="L5311" s="4"/>
      <c r="M5311" s="5" t="s">
        <v>4174</v>
      </c>
    </row>
    <row r="5312" customFormat="false" ht="15.75" hidden="false" customHeight="false" outlineLevel="0" collapsed="false">
      <c r="A5312" s="6" t="n">
        <v>46194</v>
      </c>
      <c r="B5312" s="4" t="s">
        <v>1237</v>
      </c>
      <c r="C5312" s="4" t="n">
        <v>9</v>
      </c>
      <c r="D5312" s="4" t="n">
        <v>3</v>
      </c>
      <c r="E5312" s="4" t="s">
        <v>2967</v>
      </c>
      <c r="F5312" s="4" t="n">
        <v>23</v>
      </c>
      <c r="G5312" s="4" t="n">
        <v>7</v>
      </c>
      <c r="H5312" s="4" t="n">
        <v>4</v>
      </c>
      <c r="I5312" s="4" t="str">
        <v>×</v>
      </c>
      <c r="J5312" s="4"/>
      <c r="K5312" s="4"/>
      <c r="L5312" s="4"/>
      <c r="M5312" s="5" t="s">
        <v>4174</v>
      </c>
    </row>
    <row r="5313" customFormat="false" ht="15.75" hidden="false" customHeight="false" outlineLevel="0" collapsed="false">
      <c r="A5313" s="6" t="n">
        <v>46194</v>
      </c>
      <c r="B5313" s="4" t="s">
        <v>1237</v>
      </c>
      <c r="C5313" s="4" t="n">
        <v>9</v>
      </c>
      <c r="D5313" s="4" t="n">
        <v>4</v>
      </c>
      <c r="E5313" s="4" t="s">
        <v>4252</v>
      </c>
      <c r="F5313" s="4" t="n">
        <v>44</v>
      </c>
      <c r="G5313" s="4" t="n">
        <v>3</v>
      </c>
      <c r="H5313" s="4" t="n">
        <v>4</v>
      </c>
      <c r="I5313" s="4" t="str">
        <v>×</v>
      </c>
      <c r="J5313" s="4"/>
      <c r="K5313" s="4"/>
      <c r="L5313" s="4"/>
      <c r="M5313" s="5" t="s">
        <v>4174</v>
      </c>
    </row>
    <row r="5314" customFormat="false" ht="15.75" hidden="false" customHeight="false" outlineLevel="0" collapsed="false">
      <c r="A5314" s="6" t="n">
        <v>46194</v>
      </c>
      <c r="B5314" s="4" t="s">
        <v>1237</v>
      </c>
      <c r="C5314" s="4" t="n">
        <v>9</v>
      </c>
      <c r="D5314" s="4" t="n">
        <v>5</v>
      </c>
      <c r="E5314" s="4" t="s">
        <v>4253</v>
      </c>
      <c r="F5314" s="4" t="n">
        <v>44</v>
      </c>
      <c r="G5314" s="4" t="n">
        <v>3</v>
      </c>
      <c r="H5314" s="4" t="n">
        <v>4</v>
      </c>
      <c r="I5314" s="4" t="str">
        <v>×</v>
      </c>
      <c r="J5314" s="4"/>
      <c r="K5314" s="4"/>
      <c r="L5314" s="4"/>
      <c r="M5314" s="5" t="s">
        <v>4174</v>
      </c>
    </row>
    <row r="5315" customFormat="false" ht="15.75" hidden="false" customHeight="false" outlineLevel="0" collapsed="false">
      <c r="A5315" s="6" t="n">
        <v>46194</v>
      </c>
      <c r="B5315" s="4" t="s">
        <v>1237</v>
      </c>
      <c r="C5315" s="4" t="n">
        <v>9</v>
      </c>
      <c r="D5315" s="4" t="n">
        <v>6</v>
      </c>
      <c r="E5315" s="4" t="s">
        <v>906</v>
      </c>
      <c r="F5315" s="4" t="n">
        <v>39</v>
      </c>
      <c r="G5315" s="4" t="n">
        <v>4</v>
      </c>
      <c r="H5315" s="4" t="n">
        <v>2</v>
      </c>
      <c r="I5315" s="4" t="str">
        <v>○</v>
      </c>
      <c r="J5315" s="4" t="n">
        <v>220</v>
      </c>
      <c r="K5315" s="4"/>
      <c r="L5315" s="4"/>
      <c r="M5315" s="5" t="s">
        <v>4174</v>
      </c>
    </row>
    <row r="5316" customFormat="false" ht="15.75" hidden="false" customHeight="false" outlineLevel="0" collapsed="false">
      <c r="A5316" s="6" t="n">
        <v>46194</v>
      </c>
      <c r="B5316" s="4" t="s">
        <v>1237</v>
      </c>
      <c r="C5316" s="4" t="n">
        <v>9</v>
      </c>
      <c r="D5316" s="4" t="n">
        <v>7</v>
      </c>
      <c r="E5316" s="4" t="s">
        <v>1820</v>
      </c>
      <c r="F5316" s="4" t="n">
        <v>31</v>
      </c>
      <c r="G5316" s="4" t="n">
        <v>5</v>
      </c>
      <c r="H5316" s="4" t="n">
        <v>1</v>
      </c>
      <c r="I5316" s="4" t="str">
        <v>○</v>
      </c>
      <c r="J5316" s="4" t="n">
        <v>210</v>
      </c>
      <c r="K5316" s="4"/>
      <c r="L5316" s="4"/>
      <c r="M5316" s="5" t="s">
        <v>4174</v>
      </c>
    </row>
    <row r="5317" customFormat="false" ht="15.75" hidden="false" customHeight="false" outlineLevel="0" collapsed="false">
      <c r="A5317" s="6" t="n">
        <v>46194</v>
      </c>
      <c r="B5317" s="4" t="s">
        <v>1237</v>
      </c>
      <c r="C5317" s="4" t="n">
        <v>9</v>
      </c>
      <c r="D5317" s="4" t="n">
        <v>8</v>
      </c>
      <c r="E5317" s="4" t="s">
        <v>2224</v>
      </c>
      <c r="F5317" s="4" t="n">
        <v>3</v>
      </c>
      <c r="G5317" s="4" t="n">
        <v>9</v>
      </c>
      <c r="H5317" s="4" t="n">
        <v>4</v>
      </c>
      <c r="I5317" s="4" t="str">
        <v>×</v>
      </c>
      <c r="J5317" s="4"/>
      <c r="K5317" s="4"/>
      <c r="L5317" s="4"/>
      <c r="M5317" s="5" t="s">
        <v>4174</v>
      </c>
    </row>
    <row r="5318" customFormat="false" ht="15.75" hidden="false" customHeight="false" outlineLevel="0" collapsed="false">
      <c r="A5318" s="6" t="n">
        <v>46194</v>
      </c>
      <c r="B5318" s="4" t="s">
        <v>1237</v>
      </c>
      <c r="C5318" s="4" t="n">
        <v>9</v>
      </c>
      <c r="D5318" s="4" t="n">
        <v>9</v>
      </c>
      <c r="E5318" s="4" t="s">
        <v>2246</v>
      </c>
      <c r="F5318" s="4" t="n">
        <v>8</v>
      </c>
      <c r="G5318" s="4" t="n">
        <v>8</v>
      </c>
      <c r="H5318" s="4" t="n">
        <v>3</v>
      </c>
      <c r="I5318" s="4" t="str">
        <v>○</v>
      </c>
      <c r="J5318" s="4" t="n">
        <v>1050</v>
      </c>
      <c r="K5318" s="4"/>
      <c r="L5318" s="4"/>
      <c r="M5318" s="5" t="s">
        <v>4174</v>
      </c>
    </row>
    <row r="5319" customFormat="false" ht="15.75" hidden="false" customHeight="false" outlineLevel="0" collapsed="false">
      <c r="A5319" s="6" t="n">
        <v>46194</v>
      </c>
      <c r="B5319" s="4" t="s">
        <v>1237</v>
      </c>
      <c r="C5319" s="4" t="n">
        <v>9</v>
      </c>
      <c r="D5319" s="4" t="n">
        <v>10</v>
      </c>
      <c r="E5319" s="4" t="s">
        <v>4254</v>
      </c>
      <c r="F5319" s="4" t="n">
        <v>52</v>
      </c>
      <c r="G5319" s="4" t="n">
        <v>1</v>
      </c>
      <c r="H5319" s="4" t="n">
        <v>4</v>
      </c>
      <c r="I5319" s="4" t="str">
        <v>×</v>
      </c>
      <c r="J5319" s="4"/>
      <c r="K5319" s="4"/>
      <c r="L5319" s="4"/>
      <c r="M5319" s="5" t="s">
        <v>4174</v>
      </c>
    </row>
    <row r="5320" customFormat="false" ht="15.75" hidden="false" customHeight="false" outlineLevel="0" collapsed="false">
      <c r="A5320" s="6" t="n">
        <v>46194</v>
      </c>
      <c r="B5320" s="4" t="s">
        <v>1237</v>
      </c>
      <c r="C5320" s="4" t="n">
        <v>9</v>
      </c>
      <c r="D5320" s="4" t="n">
        <v>11</v>
      </c>
      <c r="E5320" s="4" t="s">
        <v>2230</v>
      </c>
      <c r="F5320" s="4" t="n">
        <v>3</v>
      </c>
      <c r="G5320" s="4" t="n">
        <v>9</v>
      </c>
      <c r="H5320" s="4" t="n">
        <v>4</v>
      </c>
      <c r="I5320" s="4" t="str">
        <v>×</v>
      </c>
      <c r="J5320" s="4"/>
      <c r="K5320" s="4"/>
      <c r="L5320" s="4"/>
      <c r="M5320" s="5" t="s">
        <v>4174</v>
      </c>
    </row>
    <row r="5321" customFormat="false" ht="15.75" hidden="false" customHeight="false" outlineLevel="0" collapsed="false">
      <c r="A5321" s="6" t="n">
        <v>46194</v>
      </c>
      <c r="B5321" s="4" t="s">
        <v>1237</v>
      </c>
      <c r="C5321" s="4" t="n">
        <v>9</v>
      </c>
      <c r="D5321" s="4" t="n">
        <v>12</v>
      </c>
      <c r="E5321" s="4" t="s">
        <v>4255</v>
      </c>
      <c r="F5321" s="4" t="n">
        <v>29</v>
      </c>
      <c r="G5321" s="4" t="n">
        <v>6</v>
      </c>
      <c r="H5321" s="4" t="n">
        <v>4</v>
      </c>
      <c r="I5321" s="4" t="str">
        <v>×</v>
      </c>
      <c r="J5321" s="4"/>
      <c r="K5321" s="4"/>
      <c r="L5321" s="4"/>
      <c r="M5321" s="5" t="s">
        <v>4174</v>
      </c>
    </row>
    <row r="5322" customFormat="false" ht="15.75" hidden="false" customHeight="false" outlineLevel="0" collapsed="false">
      <c r="A5322" s="6" t="n">
        <v>46194</v>
      </c>
      <c r="B5322" s="4" t="s">
        <v>1237</v>
      </c>
      <c r="C5322" s="4" t="n">
        <v>10</v>
      </c>
      <c r="D5322" s="4" t="n">
        <v>1</v>
      </c>
      <c r="E5322" s="4" t="s">
        <v>458</v>
      </c>
      <c r="F5322" s="4" t="n">
        <v>52</v>
      </c>
      <c r="G5322" s="4" t="n">
        <v>5</v>
      </c>
      <c r="H5322" s="4" t="n">
        <v>4</v>
      </c>
      <c r="I5322" s="4" t="str">
        <v>×</v>
      </c>
      <c r="J5322" s="4"/>
      <c r="K5322" s="4"/>
      <c r="L5322" s="4"/>
      <c r="M5322" s="5" t="s">
        <v>4174</v>
      </c>
    </row>
    <row r="5323" customFormat="false" ht="15.75" hidden="false" customHeight="false" outlineLevel="0" collapsed="false">
      <c r="A5323" s="6" t="n">
        <v>46194</v>
      </c>
      <c r="B5323" s="4" t="s">
        <v>1237</v>
      </c>
      <c r="C5323" s="4" t="n">
        <v>10</v>
      </c>
      <c r="D5323" s="4" t="n">
        <v>2</v>
      </c>
      <c r="E5323" s="4" t="s">
        <v>2972</v>
      </c>
      <c r="F5323" s="4" t="n">
        <v>34</v>
      </c>
      <c r="G5323" s="4" t="n">
        <v>4</v>
      </c>
      <c r="H5323" s="4" t="n">
        <v>3</v>
      </c>
      <c r="I5323" s="4" t="str">
        <v>○</v>
      </c>
      <c r="J5323" s="4" t="n">
        <v>150</v>
      </c>
      <c r="K5323" s="4"/>
      <c r="L5323" s="4"/>
      <c r="M5323" s="5" t="s">
        <v>4174</v>
      </c>
    </row>
    <row r="5324" customFormat="false" ht="15.75" hidden="false" customHeight="false" outlineLevel="0" collapsed="false">
      <c r="A5324" s="6" t="n">
        <v>46194</v>
      </c>
      <c r="B5324" s="4" t="s">
        <v>1237</v>
      </c>
      <c r="C5324" s="4" t="n">
        <v>10</v>
      </c>
      <c r="D5324" s="4" t="n">
        <v>3</v>
      </c>
      <c r="E5324" s="4" t="s">
        <v>460</v>
      </c>
      <c r="F5324" s="4" t="n">
        <v>37</v>
      </c>
      <c r="G5324" s="4" t="n">
        <v>8</v>
      </c>
      <c r="H5324" s="4" t="n">
        <v>4</v>
      </c>
      <c r="I5324" s="4" t="str">
        <v>×</v>
      </c>
      <c r="J5324" s="4"/>
      <c r="K5324" s="4"/>
      <c r="L5324" s="4"/>
      <c r="M5324" s="5" t="s">
        <v>4174</v>
      </c>
    </row>
    <row r="5325" customFormat="false" ht="15.75" hidden="false" customHeight="false" outlineLevel="0" collapsed="false">
      <c r="A5325" s="6" t="n">
        <v>46194</v>
      </c>
      <c r="B5325" s="4" t="s">
        <v>1237</v>
      </c>
      <c r="C5325" s="4" t="n">
        <v>10</v>
      </c>
      <c r="D5325" s="4" t="n">
        <v>4</v>
      </c>
      <c r="E5325" s="4" t="s">
        <v>1821</v>
      </c>
      <c r="F5325" s="4" t="n">
        <v>6</v>
      </c>
      <c r="G5325" s="4" t="n">
        <v>9</v>
      </c>
      <c r="H5325" s="4" t="n">
        <v>4</v>
      </c>
      <c r="I5325" s="4" t="str">
        <v>×</v>
      </c>
      <c r="J5325" s="4"/>
      <c r="K5325" s="4"/>
      <c r="L5325" s="4"/>
      <c r="M5325" s="5" t="s">
        <v>4174</v>
      </c>
    </row>
    <row r="5326" customFormat="false" ht="15.75" hidden="false" customHeight="false" outlineLevel="0" collapsed="false">
      <c r="A5326" s="6" t="n">
        <v>46194</v>
      </c>
      <c r="B5326" s="4" t="s">
        <v>1237</v>
      </c>
      <c r="C5326" s="4" t="n">
        <v>10</v>
      </c>
      <c r="D5326" s="4" t="n">
        <v>5</v>
      </c>
      <c r="E5326" s="4" t="s">
        <v>4256</v>
      </c>
      <c r="F5326" s="4" t="n">
        <v>15</v>
      </c>
      <c r="G5326" s="4" t="n">
        <v>6</v>
      </c>
      <c r="H5326" s="4" t="n">
        <v>4</v>
      </c>
      <c r="I5326" s="4" t="str">
        <v>×</v>
      </c>
      <c r="J5326" s="4"/>
      <c r="K5326" s="4"/>
      <c r="L5326" s="4"/>
      <c r="M5326" s="5" t="s">
        <v>4174</v>
      </c>
    </row>
    <row r="5327" customFormat="false" ht="15.75" hidden="false" customHeight="false" outlineLevel="0" collapsed="false">
      <c r="A5327" s="6" t="n">
        <v>46194</v>
      </c>
      <c r="B5327" s="4" t="s">
        <v>1237</v>
      </c>
      <c r="C5327" s="4" t="n">
        <v>10</v>
      </c>
      <c r="D5327" s="4" t="n">
        <v>6</v>
      </c>
      <c r="E5327" s="4" t="s">
        <v>4158</v>
      </c>
      <c r="F5327" s="4" t="n">
        <v>60</v>
      </c>
      <c r="G5327" s="4" t="n">
        <v>1</v>
      </c>
      <c r="H5327" s="4" t="n">
        <v>1</v>
      </c>
      <c r="I5327" s="4" t="str">
        <v>○</v>
      </c>
      <c r="J5327" s="4" t="n">
        <v>110</v>
      </c>
      <c r="K5327" s="4"/>
      <c r="L5327" s="4"/>
      <c r="M5327" s="5" t="s">
        <v>4174</v>
      </c>
    </row>
    <row r="5328" customFormat="false" ht="15.75" hidden="false" customHeight="false" outlineLevel="0" collapsed="false">
      <c r="A5328" s="6" t="n">
        <v>46194</v>
      </c>
      <c r="B5328" s="4" t="s">
        <v>1237</v>
      </c>
      <c r="C5328" s="4" t="n">
        <v>10</v>
      </c>
      <c r="D5328" s="4" t="n">
        <v>7</v>
      </c>
      <c r="E5328" s="4" t="s">
        <v>4257</v>
      </c>
      <c r="F5328" s="4" t="n">
        <v>13</v>
      </c>
      <c r="G5328" s="4" t="n">
        <v>7</v>
      </c>
      <c r="H5328" s="4" t="n">
        <v>4</v>
      </c>
      <c r="I5328" s="4" t="str">
        <v>×</v>
      </c>
      <c r="J5328" s="4"/>
      <c r="K5328" s="4"/>
      <c r="L5328" s="4"/>
      <c r="M5328" s="5" t="s">
        <v>4174</v>
      </c>
    </row>
    <row r="5329" customFormat="false" ht="15.75" hidden="false" customHeight="false" outlineLevel="0" collapsed="false">
      <c r="A5329" s="6" t="n">
        <v>46194</v>
      </c>
      <c r="B5329" s="4" t="s">
        <v>1237</v>
      </c>
      <c r="C5329" s="4" t="n">
        <v>10</v>
      </c>
      <c r="D5329" s="4" t="n">
        <v>8</v>
      </c>
      <c r="E5329" s="4" t="s">
        <v>4258</v>
      </c>
      <c r="F5329" s="4" t="n">
        <v>23</v>
      </c>
      <c r="G5329" s="4" t="n">
        <v>2</v>
      </c>
      <c r="H5329" s="4" t="n">
        <v>4</v>
      </c>
      <c r="I5329" s="4" t="str">
        <v>×</v>
      </c>
      <c r="J5329" s="4"/>
      <c r="K5329" s="4"/>
      <c r="L5329" s="4"/>
      <c r="M5329" s="5" t="s">
        <v>4174</v>
      </c>
    </row>
    <row r="5330" customFormat="false" ht="15.75" hidden="false" customHeight="false" outlineLevel="0" collapsed="false">
      <c r="A5330" s="6" t="n">
        <v>46194</v>
      </c>
      <c r="B5330" s="4" t="s">
        <v>1237</v>
      </c>
      <c r="C5330" s="4" t="n">
        <v>10</v>
      </c>
      <c r="D5330" s="4" t="n">
        <v>9</v>
      </c>
      <c r="E5330" s="4" t="s">
        <v>463</v>
      </c>
      <c r="F5330" s="4" t="n">
        <v>37</v>
      </c>
      <c r="G5330" s="4" t="n">
        <v>3</v>
      </c>
      <c r="H5330" s="4" t="n">
        <v>2</v>
      </c>
      <c r="I5330" s="4" t="str">
        <v>○</v>
      </c>
      <c r="J5330" s="4" t="n">
        <v>130</v>
      </c>
      <c r="K5330" s="4"/>
      <c r="L5330" s="4"/>
      <c r="M5330" s="5" t="s">
        <v>4174</v>
      </c>
    </row>
    <row r="5331" customFormat="false" ht="15.75" hidden="false" customHeight="false" outlineLevel="0" collapsed="false">
      <c r="A5331" s="6" t="n">
        <v>46194</v>
      </c>
      <c r="B5331" s="4" t="s">
        <v>1237</v>
      </c>
      <c r="C5331" s="4" t="n">
        <v>11</v>
      </c>
      <c r="D5331" s="4" t="n">
        <v>1</v>
      </c>
      <c r="E5331" s="4" t="s">
        <v>4259</v>
      </c>
      <c r="F5331" s="4" t="n">
        <v>13</v>
      </c>
      <c r="G5331" s="4" t="n">
        <v>7</v>
      </c>
      <c r="H5331" s="4" t="n">
        <v>4</v>
      </c>
      <c r="I5331" s="4" t="str">
        <v>×</v>
      </c>
      <c r="J5331" s="4"/>
      <c r="K5331" s="4"/>
      <c r="L5331" s="4"/>
      <c r="M5331" s="5" t="s">
        <v>4174</v>
      </c>
    </row>
    <row r="5332" customFormat="false" ht="15.75" hidden="false" customHeight="false" outlineLevel="0" collapsed="false">
      <c r="A5332" s="6" t="n">
        <v>46194</v>
      </c>
      <c r="B5332" s="4" t="s">
        <v>1237</v>
      </c>
      <c r="C5332" s="4" t="n">
        <v>11</v>
      </c>
      <c r="D5332" s="4" t="n">
        <v>2</v>
      </c>
      <c r="E5332" s="4" t="s">
        <v>447</v>
      </c>
      <c r="F5332" s="4" t="n">
        <v>25</v>
      </c>
      <c r="G5332" s="4" t="n">
        <v>4</v>
      </c>
      <c r="H5332" s="4" t="n">
        <v>4</v>
      </c>
      <c r="I5332" s="4" t="str">
        <v>×</v>
      </c>
      <c r="J5332" s="4"/>
      <c r="K5332" s="4"/>
      <c r="L5332" s="4"/>
      <c r="M5332" s="5" t="s">
        <v>4174</v>
      </c>
    </row>
    <row r="5333" customFormat="false" ht="15.75" hidden="false" customHeight="false" outlineLevel="0" collapsed="false">
      <c r="A5333" s="6" t="n">
        <v>46194</v>
      </c>
      <c r="B5333" s="4" t="s">
        <v>1237</v>
      </c>
      <c r="C5333" s="4" t="n">
        <v>11</v>
      </c>
      <c r="D5333" s="4" t="n">
        <v>3</v>
      </c>
      <c r="E5333" s="4" t="s">
        <v>443</v>
      </c>
      <c r="F5333" s="4" t="n">
        <v>10</v>
      </c>
      <c r="G5333" s="4" t="n">
        <v>8</v>
      </c>
      <c r="H5333" s="4" t="n">
        <v>4</v>
      </c>
      <c r="I5333" s="4" t="str">
        <v>×</v>
      </c>
      <c r="J5333" s="4"/>
      <c r="K5333" s="4"/>
      <c r="L5333" s="4"/>
      <c r="M5333" s="5" t="s">
        <v>4174</v>
      </c>
    </row>
    <row r="5334" customFormat="false" ht="15.75" hidden="false" customHeight="false" outlineLevel="0" collapsed="false">
      <c r="A5334" s="6" t="n">
        <v>46194</v>
      </c>
      <c r="B5334" s="4" t="s">
        <v>1237</v>
      </c>
      <c r="C5334" s="4" t="n">
        <v>11</v>
      </c>
      <c r="D5334" s="4" t="n">
        <v>4</v>
      </c>
      <c r="E5334" s="4" t="s">
        <v>454</v>
      </c>
      <c r="F5334" s="4" t="n">
        <v>6</v>
      </c>
      <c r="G5334" s="4" t="n">
        <v>10</v>
      </c>
      <c r="H5334" s="4" t="n">
        <v>2</v>
      </c>
      <c r="I5334" s="4" t="str">
        <v>○</v>
      </c>
      <c r="J5334" s="4" t="n">
        <v>540</v>
      </c>
      <c r="K5334" s="4"/>
      <c r="L5334" s="4"/>
      <c r="M5334" s="5" t="s">
        <v>4174</v>
      </c>
    </row>
    <row r="5335" customFormat="false" ht="15.75" hidden="false" customHeight="false" outlineLevel="0" collapsed="false">
      <c r="A5335" s="6" t="n">
        <v>46194</v>
      </c>
      <c r="B5335" s="4" t="s">
        <v>1237</v>
      </c>
      <c r="C5335" s="4" t="n">
        <v>11</v>
      </c>
      <c r="D5335" s="4" t="n">
        <v>5</v>
      </c>
      <c r="E5335" s="4" t="s">
        <v>4260</v>
      </c>
      <c r="F5335" s="4" t="n">
        <v>23</v>
      </c>
      <c r="G5335" s="4" t="n">
        <v>6</v>
      </c>
      <c r="H5335" s="4" t="n">
        <v>4</v>
      </c>
      <c r="I5335" s="4" t="str">
        <v>×</v>
      </c>
      <c r="J5335" s="4"/>
      <c r="K5335" s="4"/>
      <c r="L5335" s="4"/>
      <c r="M5335" s="5" t="s">
        <v>4174</v>
      </c>
    </row>
    <row r="5336" customFormat="false" ht="15.75" hidden="false" customHeight="false" outlineLevel="0" collapsed="false">
      <c r="A5336" s="6" t="n">
        <v>46194</v>
      </c>
      <c r="B5336" s="4" t="s">
        <v>1237</v>
      </c>
      <c r="C5336" s="4" t="n">
        <v>11</v>
      </c>
      <c r="D5336" s="4" t="n">
        <v>6</v>
      </c>
      <c r="E5336" s="4" t="s">
        <v>444</v>
      </c>
      <c r="F5336" s="4" t="n">
        <v>34</v>
      </c>
      <c r="G5336" s="4" t="n">
        <v>5</v>
      </c>
      <c r="H5336" s="4" t="n">
        <v>4</v>
      </c>
      <c r="I5336" s="4" t="str">
        <v>×</v>
      </c>
      <c r="J5336" s="4"/>
      <c r="K5336" s="4"/>
      <c r="L5336" s="4"/>
      <c r="M5336" s="5" t="s">
        <v>4174</v>
      </c>
    </row>
    <row r="5337" customFormat="false" ht="15.75" hidden="false" customHeight="false" outlineLevel="0" collapsed="false">
      <c r="A5337" s="6" t="n">
        <v>46194</v>
      </c>
      <c r="B5337" s="4" t="s">
        <v>1237</v>
      </c>
      <c r="C5337" s="4" t="n">
        <v>11</v>
      </c>
      <c r="D5337" s="4" t="n">
        <v>7</v>
      </c>
      <c r="E5337" s="4" t="s">
        <v>1214</v>
      </c>
      <c r="F5337" s="4" t="n">
        <v>13</v>
      </c>
      <c r="G5337" s="4" t="n">
        <v>7</v>
      </c>
      <c r="H5337" s="4" t="n">
        <v>4</v>
      </c>
      <c r="I5337" s="4" t="str">
        <v>×</v>
      </c>
      <c r="J5337" s="4"/>
      <c r="K5337" s="4"/>
      <c r="L5337" s="4"/>
      <c r="M5337" s="5" t="s">
        <v>4174</v>
      </c>
    </row>
    <row r="5338" customFormat="false" ht="15.75" hidden="false" customHeight="false" outlineLevel="0" collapsed="false">
      <c r="A5338" s="6" t="n">
        <v>46194</v>
      </c>
      <c r="B5338" s="4" t="s">
        <v>1237</v>
      </c>
      <c r="C5338" s="4" t="n">
        <v>11</v>
      </c>
      <c r="D5338" s="4" t="n">
        <v>8</v>
      </c>
      <c r="E5338" s="4" t="s">
        <v>2980</v>
      </c>
      <c r="F5338" s="4" t="n">
        <v>8</v>
      </c>
      <c r="G5338" s="4" t="n">
        <v>9</v>
      </c>
      <c r="H5338" s="4" t="n">
        <v>3</v>
      </c>
      <c r="I5338" s="4" t="str">
        <v>○</v>
      </c>
      <c r="J5338" s="4" t="n">
        <v>1080</v>
      </c>
      <c r="K5338" s="4"/>
      <c r="L5338" s="4"/>
      <c r="M5338" s="5" t="s">
        <v>4174</v>
      </c>
    </row>
    <row r="5339" customFormat="false" ht="15.75" hidden="false" customHeight="false" outlineLevel="0" collapsed="false">
      <c r="A5339" s="6" t="n">
        <v>46194</v>
      </c>
      <c r="B5339" s="4" t="s">
        <v>1237</v>
      </c>
      <c r="C5339" s="4" t="n">
        <v>11</v>
      </c>
      <c r="D5339" s="4" t="n">
        <v>9</v>
      </c>
      <c r="E5339" s="4" t="s">
        <v>446</v>
      </c>
      <c r="F5339" s="4" t="n">
        <v>23</v>
      </c>
      <c r="G5339" s="4" t="n">
        <v>6</v>
      </c>
      <c r="H5339" s="4" t="n">
        <v>4</v>
      </c>
      <c r="I5339" s="4" t="str">
        <v>×</v>
      </c>
      <c r="J5339" s="4"/>
      <c r="K5339" s="4"/>
      <c r="L5339" s="4"/>
      <c r="M5339" s="5" t="s">
        <v>4174</v>
      </c>
    </row>
    <row r="5340" customFormat="false" ht="15.75" hidden="false" customHeight="false" outlineLevel="0" collapsed="false">
      <c r="A5340" s="6" t="n">
        <v>46194</v>
      </c>
      <c r="B5340" s="4" t="s">
        <v>1237</v>
      </c>
      <c r="C5340" s="4" t="n">
        <v>11</v>
      </c>
      <c r="D5340" s="4" t="n">
        <v>10</v>
      </c>
      <c r="E5340" s="4" t="s">
        <v>2981</v>
      </c>
      <c r="F5340" s="4" t="n">
        <v>25</v>
      </c>
      <c r="G5340" s="4" t="n">
        <v>4</v>
      </c>
      <c r="H5340" s="4" t="n">
        <v>4</v>
      </c>
      <c r="I5340" s="4" t="str">
        <v>×</v>
      </c>
      <c r="J5340" s="4"/>
      <c r="K5340" s="4"/>
      <c r="L5340" s="4"/>
      <c r="M5340" s="5" t="s">
        <v>4174</v>
      </c>
    </row>
    <row r="5341" customFormat="false" ht="15.75" hidden="false" customHeight="false" outlineLevel="0" collapsed="false">
      <c r="A5341" s="6" t="n">
        <v>46194</v>
      </c>
      <c r="B5341" s="4" t="s">
        <v>1237</v>
      </c>
      <c r="C5341" s="4" t="n">
        <v>11</v>
      </c>
      <c r="D5341" s="4" t="n">
        <v>11</v>
      </c>
      <c r="E5341" s="4" t="s">
        <v>98</v>
      </c>
      <c r="F5341" s="4" t="n">
        <v>41</v>
      </c>
      <c r="G5341" s="4" t="n">
        <v>1</v>
      </c>
      <c r="H5341" s="4" t="n">
        <v>4</v>
      </c>
      <c r="I5341" s="4" t="str">
        <v>×</v>
      </c>
      <c r="J5341" s="4"/>
      <c r="K5341" s="4"/>
      <c r="L5341" s="4"/>
      <c r="M5341" s="5" t="s">
        <v>4174</v>
      </c>
    </row>
    <row r="5342" customFormat="false" ht="15.75" hidden="false" customHeight="false" outlineLevel="0" collapsed="false">
      <c r="A5342" s="6" t="n">
        <v>46194</v>
      </c>
      <c r="B5342" s="4" t="s">
        <v>1237</v>
      </c>
      <c r="C5342" s="4" t="n">
        <v>11</v>
      </c>
      <c r="D5342" s="4" t="n">
        <v>12</v>
      </c>
      <c r="E5342" s="4" t="s">
        <v>2979</v>
      </c>
      <c r="F5342" s="4" t="n">
        <v>39</v>
      </c>
      <c r="G5342" s="4" t="n">
        <v>2</v>
      </c>
      <c r="H5342" s="4" t="n">
        <v>4</v>
      </c>
      <c r="I5342" s="4" t="str">
        <v>×</v>
      </c>
      <c r="J5342" s="4"/>
      <c r="K5342" s="4"/>
      <c r="L5342" s="4"/>
      <c r="M5342" s="5" t="s">
        <v>4174</v>
      </c>
    </row>
    <row r="5343" customFormat="false" ht="15.75" hidden="false" customHeight="false" outlineLevel="0" collapsed="false">
      <c r="A5343" s="6" t="n">
        <v>46194</v>
      </c>
      <c r="B5343" s="4" t="s">
        <v>1237</v>
      </c>
      <c r="C5343" s="4" t="n">
        <v>11</v>
      </c>
      <c r="D5343" s="4" t="n">
        <v>13</v>
      </c>
      <c r="E5343" s="4" t="s">
        <v>4261</v>
      </c>
      <c r="F5343" s="4" t="n">
        <v>2</v>
      </c>
      <c r="G5343" s="4" t="n">
        <v>11</v>
      </c>
      <c r="H5343" s="4" t="n">
        <v>4</v>
      </c>
      <c r="I5343" s="4" t="str">
        <v>×</v>
      </c>
      <c r="J5343" s="4"/>
      <c r="K5343" s="4"/>
      <c r="L5343" s="4"/>
      <c r="M5343" s="5" t="s">
        <v>4174</v>
      </c>
    </row>
    <row r="5344" customFormat="false" ht="15.75" hidden="false" customHeight="false" outlineLevel="0" collapsed="false">
      <c r="A5344" s="6" t="n">
        <v>46194</v>
      </c>
      <c r="B5344" s="4" t="s">
        <v>1237</v>
      </c>
      <c r="C5344" s="4" t="n">
        <v>11</v>
      </c>
      <c r="D5344" s="4" t="n">
        <v>14</v>
      </c>
      <c r="E5344" s="4" t="s">
        <v>4262</v>
      </c>
      <c r="F5344" s="4" t="n">
        <v>29</v>
      </c>
      <c r="G5344" s="4" t="n">
        <v>3</v>
      </c>
      <c r="H5344" s="4" t="n">
        <v>1</v>
      </c>
      <c r="I5344" s="4" t="str">
        <v>○</v>
      </c>
      <c r="J5344" s="4" t="n">
        <v>380</v>
      </c>
      <c r="K5344" s="4"/>
      <c r="L5344" s="4"/>
      <c r="M5344" s="5" t="s">
        <v>4174</v>
      </c>
    </row>
    <row r="5345" customFormat="false" ht="15.75" hidden="false" customHeight="false" outlineLevel="0" collapsed="false">
      <c r="A5345" s="6" t="n">
        <v>46194</v>
      </c>
      <c r="B5345" s="4" t="s">
        <v>1237</v>
      </c>
      <c r="C5345" s="4" t="n">
        <v>11</v>
      </c>
      <c r="D5345" s="4" t="n">
        <v>15</v>
      </c>
      <c r="E5345" s="4" t="s">
        <v>453</v>
      </c>
      <c r="F5345" s="4" t="n">
        <v>10</v>
      </c>
      <c r="G5345" s="4" t="n">
        <v>8</v>
      </c>
      <c r="H5345" s="4" t="n">
        <v>4</v>
      </c>
      <c r="I5345" s="4" t="str">
        <v>×</v>
      </c>
      <c r="J5345" s="4"/>
      <c r="K5345" s="4"/>
      <c r="L5345" s="4"/>
      <c r="M5345" s="5" t="s">
        <v>4174</v>
      </c>
    </row>
    <row r="5346" customFormat="false" ht="15.75" hidden="false" customHeight="false" outlineLevel="0" collapsed="false">
      <c r="A5346" s="6" t="n">
        <v>46194</v>
      </c>
      <c r="B5346" s="4" t="s">
        <v>1237</v>
      </c>
      <c r="C5346" s="4" t="n">
        <v>12</v>
      </c>
      <c r="D5346" s="4" t="n">
        <v>1</v>
      </c>
      <c r="E5346" s="4" t="s">
        <v>417</v>
      </c>
      <c r="F5346" s="4" t="n">
        <v>34</v>
      </c>
      <c r="G5346" s="4" t="n">
        <v>4</v>
      </c>
      <c r="H5346" s="4" t="n">
        <v>4</v>
      </c>
      <c r="I5346" s="4" t="str">
        <v>×</v>
      </c>
      <c r="J5346" s="4"/>
      <c r="K5346" s="4"/>
      <c r="L5346" s="4"/>
      <c r="M5346" s="5" t="s">
        <v>4174</v>
      </c>
    </row>
    <row r="5347" customFormat="false" ht="15.75" hidden="false" customHeight="false" outlineLevel="0" collapsed="false">
      <c r="A5347" s="6" t="n">
        <v>46194</v>
      </c>
      <c r="B5347" s="4" t="s">
        <v>1237</v>
      </c>
      <c r="C5347" s="4" t="n">
        <v>12</v>
      </c>
      <c r="D5347" s="4" t="n">
        <v>2</v>
      </c>
      <c r="E5347" s="4" t="s">
        <v>2643</v>
      </c>
      <c r="F5347" s="4" t="n">
        <v>60</v>
      </c>
      <c r="G5347" s="4" t="n">
        <v>7</v>
      </c>
      <c r="H5347" s="4" t="n">
        <v>1</v>
      </c>
      <c r="I5347" s="4" t="str">
        <v>○</v>
      </c>
      <c r="J5347" s="4" t="n">
        <v>110</v>
      </c>
      <c r="K5347" s="4"/>
      <c r="L5347" s="4"/>
      <c r="M5347" s="5" t="s">
        <v>4174</v>
      </c>
    </row>
    <row r="5348" customFormat="false" ht="15.75" hidden="false" customHeight="false" outlineLevel="0" collapsed="false">
      <c r="A5348" s="6" t="n">
        <v>46194</v>
      </c>
      <c r="B5348" s="4" t="s">
        <v>1237</v>
      </c>
      <c r="C5348" s="4" t="n">
        <v>12</v>
      </c>
      <c r="D5348" s="4" t="n">
        <v>3</v>
      </c>
      <c r="E5348" s="4" t="s">
        <v>2968</v>
      </c>
      <c r="F5348" s="4" t="n">
        <v>34</v>
      </c>
      <c r="G5348" s="4" t="n">
        <v>4</v>
      </c>
      <c r="H5348" s="4" t="n">
        <v>4</v>
      </c>
      <c r="I5348" s="4" t="str">
        <v>×</v>
      </c>
      <c r="J5348" s="4"/>
      <c r="K5348" s="4"/>
      <c r="L5348" s="4"/>
      <c r="M5348" s="5" t="s">
        <v>4174</v>
      </c>
    </row>
    <row r="5349" customFormat="false" ht="15.75" hidden="false" customHeight="false" outlineLevel="0" collapsed="false">
      <c r="A5349" s="6" t="n">
        <v>46194</v>
      </c>
      <c r="B5349" s="4" t="s">
        <v>1237</v>
      </c>
      <c r="C5349" s="4" t="n">
        <v>12</v>
      </c>
      <c r="D5349" s="4" t="n">
        <v>4</v>
      </c>
      <c r="E5349" s="4" t="s">
        <v>4263</v>
      </c>
      <c r="F5349" s="4" t="n">
        <v>29</v>
      </c>
      <c r="G5349" s="4" t="n">
        <v>2</v>
      </c>
      <c r="H5349" s="4" t="n">
        <v>4</v>
      </c>
      <c r="I5349" s="4" t="str">
        <v>×</v>
      </c>
      <c r="J5349" s="4"/>
      <c r="K5349" s="4"/>
      <c r="L5349" s="4"/>
      <c r="M5349" s="5" t="s">
        <v>4174</v>
      </c>
    </row>
    <row r="5350" customFormat="false" ht="15.75" hidden="false" customHeight="false" outlineLevel="0" collapsed="false">
      <c r="A5350" s="6" t="n">
        <v>46194</v>
      </c>
      <c r="B5350" s="4" t="s">
        <v>1237</v>
      </c>
      <c r="C5350" s="4" t="n">
        <v>12</v>
      </c>
      <c r="D5350" s="4" t="n">
        <v>5</v>
      </c>
      <c r="E5350" s="4" t="s">
        <v>1954</v>
      </c>
      <c r="F5350" s="4" t="n">
        <v>50</v>
      </c>
      <c r="G5350" s="4" t="n">
        <v>1</v>
      </c>
      <c r="H5350" s="4" t="n">
        <v>4</v>
      </c>
      <c r="I5350" s="4" t="str">
        <v>×</v>
      </c>
      <c r="J5350" s="4"/>
      <c r="K5350" s="4"/>
      <c r="L5350" s="4"/>
      <c r="M5350" s="5" t="s">
        <v>4174</v>
      </c>
    </row>
    <row r="5351" customFormat="false" ht="15.75" hidden="false" customHeight="false" outlineLevel="0" collapsed="false">
      <c r="A5351" s="6" t="n">
        <v>46194</v>
      </c>
      <c r="B5351" s="4" t="s">
        <v>1237</v>
      </c>
      <c r="C5351" s="4" t="n">
        <v>12</v>
      </c>
      <c r="D5351" s="4" t="n">
        <v>6</v>
      </c>
      <c r="E5351" s="4" t="s">
        <v>2969</v>
      </c>
      <c r="F5351" s="4" t="n">
        <v>15</v>
      </c>
      <c r="G5351" s="4" t="n">
        <v>8</v>
      </c>
      <c r="H5351" s="4" t="n">
        <v>2</v>
      </c>
      <c r="I5351" s="4" t="str">
        <v>○</v>
      </c>
      <c r="J5351" s="4" t="n">
        <v>700</v>
      </c>
      <c r="K5351" s="4"/>
      <c r="L5351" s="4"/>
      <c r="M5351" s="5" t="s">
        <v>4174</v>
      </c>
    </row>
    <row r="5352" customFormat="false" ht="15.75" hidden="false" customHeight="false" outlineLevel="0" collapsed="false">
      <c r="A5352" s="6" t="n">
        <v>46194</v>
      </c>
      <c r="B5352" s="4" t="s">
        <v>1237</v>
      </c>
      <c r="C5352" s="4" t="n">
        <v>12</v>
      </c>
      <c r="D5352" s="4" t="n">
        <v>7</v>
      </c>
      <c r="E5352" s="4" t="s">
        <v>1346</v>
      </c>
      <c r="F5352" s="4" t="n">
        <v>15</v>
      </c>
      <c r="G5352" s="4" t="n">
        <v>6</v>
      </c>
      <c r="H5352" s="4" t="n">
        <v>3</v>
      </c>
      <c r="I5352" s="4" t="str">
        <v>○</v>
      </c>
      <c r="J5352" s="4" t="n">
        <v>800</v>
      </c>
      <c r="K5352" s="4"/>
      <c r="L5352" s="4"/>
      <c r="M5352" s="5" t="s">
        <v>4174</v>
      </c>
    </row>
    <row r="5353" customFormat="false" ht="15.75" hidden="false" customHeight="false" outlineLevel="0" collapsed="false">
      <c r="A5353" s="6" t="n">
        <v>46194</v>
      </c>
      <c r="B5353" s="4" t="s">
        <v>1237</v>
      </c>
      <c r="C5353" s="4" t="n">
        <v>12</v>
      </c>
      <c r="D5353" s="4" t="n">
        <v>8</v>
      </c>
      <c r="E5353" s="4" t="s">
        <v>2970</v>
      </c>
      <c r="F5353" s="4" t="n">
        <v>6</v>
      </c>
      <c r="G5353" s="4" t="n">
        <v>7</v>
      </c>
      <c r="H5353" s="4" t="n">
        <v>4</v>
      </c>
      <c r="I5353" s="4" t="str">
        <v>×</v>
      </c>
      <c r="J5353" s="4"/>
      <c r="K5353" s="4"/>
      <c r="L5353" s="4"/>
      <c r="M5353" s="5" t="s">
        <v>4174</v>
      </c>
    </row>
    <row r="5354" customFormat="false" ht="15.75" hidden="false" customHeight="false" outlineLevel="0" collapsed="false">
      <c r="A5354" s="6" t="n">
        <v>46194</v>
      </c>
      <c r="B5354" s="4" t="s">
        <v>1237</v>
      </c>
      <c r="C5354" s="4" t="n">
        <v>12</v>
      </c>
      <c r="D5354" s="4" t="n">
        <v>9</v>
      </c>
      <c r="E5354" s="4" t="s">
        <v>2225</v>
      </c>
      <c r="F5354" s="4" t="n">
        <v>44</v>
      </c>
      <c r="G5354" s="4" t="n">
        <v>3</v>
      </c>
      <c r="H5354" s="4" t="n">
        <v>4</v>
      </c>
      <c r="I5354" s="4" t="str">
        <v>×</v>
      </c>
      <c r="J5354" s="4"/>
      <c r="K5354" s="4"/>
      <c r="L5354" s="4"/>
      <c r="M5354" s="5" t="s">
        <v>4174</v>
      </c>
    </row>
    <row r="5355" customFormat="false" ht="15.75" hidden="false" customHeight="false" outlineLevel="0" collapsed="false">
      <c r="A5355" s="6" t="n">
        <v>46194</v>
      </c>
      <c r="B5355" s="4" t="s">
        <v>1237</v>
      </c>
      <c r="C5355" s="4" t="n">
        <v>12</v>
      </c>
      <c r="D5355" s="4" t="n">
        <v>10</v>
      </c>
      <c r="E5355" s="4" t="s">
        <v>3539</v>
      </c>
      <c r="F5355" s="4" t="n">
        <v>29</v>
      </c>
      <c r="G5355" s="4" t="n">
        <v>5</v>
      </c>
      <c r="H5355" s="4" t="n">
        <v>4</v>
      </c>
      <c r="I5355" s="4" t="str">
        <v>×</v>
      </c>
      <c r="J5355" s="4"/>
      <c r="K5355" s="4"/>
      <c r="L5355" s="4"/>
      <c r="M5355" s="5" t="s">
        <v>4174</v>
      </c>
    </row>
    <row r="5356" customFormat="false" ht="15.75" hidden="false" customHeight="false" outlineLevel="0" collapsed="false">
      <c r="A5356" s="6" t="n">
        <v>46200</v>
      </c>
      <c r="B5356" s="4" t="s">
        <v>915</v>
      </c>
      <c r="C5356" s="4" t="n">
        <v>1</v>
      </c>
      <c r="D5356" s="4" t="n">
        <v>1</v>
      </c>
      <c r="E5356" s="4" t="s">
        <v>4264</v>
      </c>
      <c r="F5356" s="4" t="n">
        <v>8</v>
      </c>
      <c r="G5356" s="4" t="n">
        <v>9</v>
      </c>
      <c r="H5356" s="4" t="n">
        <v>4</v>
      </c>
      <c r="I5356" s="4" t="str">
        <v>×</v>
      </c>
      <c r="J5356" s="4"/>
      <c r="K5356" s="4"/>
      <c r="L5356" s="4"/>
      <c r="M5356" s="5" t="s">
        <v>4174</v>
      </c>
    </row>
    <row r="5357" customFormat="false" ht="15.75" hidden="false" customHeight="false" outlineLevel="0" collapsed="false">
      <c r="A5357" s="6" t="n">
        <v>46200</v>
      </c>
      <c r="B5357" s="4" t="s">
        <v>915</v>
      </c>
      <c r="C5357" s="4" t="n">
        <v>1</v>
      </c>
      <c r="D5357" s="4" t="n">
        <v>2</v>
      </c>
      <c r="E5357" s="4" t="s">
        <v>4265</v>
      </c>
      <c r="F5357" s="4" t="n">
        <v>8</v>
      </c>
      <c r="G5357" s="4" t="n">
        <v>9</v>
      </c>
      <c r="H5357" s="4" t="n">
        <v>4</v>
      </c>
      <c r="I5357" s="4" t="str">
        <v>×</v>
      </c>
      <c r="J5357" s="4"/>
      <c r="K5357" s="4"/>
      <c r="L5357" s="4"/>
      <c r="M5357" s="5" t="s">
        <v>4174</v>
      </c>
    </row>
    <row r="5358" customFormat="false" ht="15.75" hidden="false" customHeight="false" outlineLevel="0" collapsed="false">
      <c r="A5358" s="6" t="n">
        <v>46200</v>
      </c>
      <c r="B5358" s="4" t="s">
        <v>915</v>
      </c>
      <c r="C5358" s="4" t="n">
        <v>1</v>
      </c>
      <c r="D5358" s="4" t="n">
        <v>3</v>
      </c>
      <c r="E5358" s="4" t="s">
        <v>4266</v>
      </c>
      <c r="F5358" s="4" t="n">
        <v>6</v>
      </c>
      <c r="G5358" s="4" t="n">
        <v>12</v>
      </c>
      <c r="H5358" s="4" t="n">
        <v>4</v>
      </c>
      <c r="I5358" s="4" t="str">
        <v>×</v>
      </c>
      <c r="J5358" s="4"/>
      <c r="K5358" s="4"/>
      <c r="L5358" s="4"/>
      <c r="M5358" s="5" t="s">
        <v>4174</v>
      </c>
    </row>
    <row r="5359" customFormat="false" ht="15.75" hidden="false" customHeight="false" outlineLevel="0" collapsed="false">
      <c r="A5359" s="6" t="n">
        <v>46200</v>
      </c>
      <c r="B5359" s="4" t="s">
        <v>915</v>
      </c>
      <c r="C5359" s="4" t="n">
        <v>1</v>
      </c>
      <c r="D5359" s="4" t="n">
        <v>4</v>
      </c>
      <c r="E5359" s="4" t="s">
        <v>585</v>
      </c>
      <c r="F5359" s="4" t="n">
        <v>37</v>
      </c>
      <c r="G5359" s="4" t="n">
        <v>3</v>
      </c>
      <c r="H5359" s="4" t="n">
        <v>4</v>
      </c>
      <c r="I5359" s="4" t="str">
        <v>×</v>
      </c>
      <c r="J5359" s="4"/>
      <c r="K5359" s="4"/>
      <c r="L5359" s="4"/>
      <c r="M5359" s="5" t="s">
        <v>4174</v>
      </c>
    </row>
    <row r="5360" customFormat="false" ht="15.75" hidden="false" customHeight="false" outlineLevel="0" collapsed="false">
      <c r="A5360" s="6" t="n">
        <v>46200</v>
      </c>
      <c r="B5360" s="4" t="s">
        <v>915</v>
      </c>
      <c r="C5360" s="4" t="n">
        <v>1</v>
      </c>
      <c r="D5360" s="4" t="n">
        <v>5</v>
      </c>
      <c r="E5360" s="4" t="s">
        <v>4267</v>
      </c>
      <c r="F5360" s="4" t="n">
        <v>44</v>
      </c>
      <c r="G5360" s="4" t="n">
        <v>2</v>
      </c>
      <c r="H5360" s="4" t="n">
        <v>1</v>
      </c>
      <c r="I5360" s="4" t="str">
        <v>○</v>
      </c>
      <c r="J5360" s="4" t="n">
        <v>180</v>
      </c>
      <c r="K5360" s="4"/>
      <c r="L5360" s="4"/>
      <c r="M5360" s="5" t="s">
        <v>4174</v>
      </c>
    </row>
    <row r="5361" customFormat="false" ht="15.75" hidden="false" customHeight="false" outlineLevel="0" collapsed="false">
      <c r="A5361" s="6" t="n">
        <v>46200</v>
      </c>
      <c r="B5361" s="4" t="s">
        <v>915</v>
      </c>
      <c r="C5361" s="4" t="n">
        <v>1</v>
      </c>
      <c r="D5361" s="4" t="n">
        <v>6</v>
      </c>
      <c r="E5361" s="4" t="s">
        <v>4268</v>
      </c>
      <c r="F5361" s="4" t="n">
        <v>37</v>
      </c>
      <c r="G5361" s="4" t="n">
        <v>3</v>
      </c>
      <c r="H5361" s="4" t="n">
        <v>4</v>
      </c>
      <c r="I5361" s="4" t="str">
        <v>×</v>
      </c>
      <c r="J5361" s="4"/>
      <c r="K5361" s="4"/>
      <c r="L5361" s="4"/>
      <c r="M5361" s="5" t="s">
        <v>4174</v>
      </c>
    </row>
    <row r="5362" customFormat="false" ht="15.75" hidden="false" customHeight="false" outlineLevel="0" collapsed="false">
      <c r="A5362" s="6" t="n">
        <v>46200</v>
      </c>
      <c r="B5362" s="4" t="s">
        <v>915</v>
      </c>
      <c r="C5362" s="4" t="n">
        <v>1</v>
      </c>
      <c r="D5362" s="4" t="n">
        <v>7</v>
      </c>
      <c r="E5362" s="4" t="s">
        <v>3657</v>
      </c>
      <c r="F5362" s="4" t="n">
        <v>6</v>
      </c>
      <c r="G5362" s="4" t="n">
        <v>12</v>
      </c>
      <c r="H5362" s="4" t="n">
        <v>4</v>
      </c>
      <c r="I5362" s="4" t="str">
        <v>×</v>
      </c>
      <c r="J5362" s="4"/>
      <c r="K5362" s="4"/>
      <c r="L5362" s="4"/>
      <c r="M5362" s="5" t="s">
        <v>4174</v>
      </c>
    </row>
    <row r="5363" customFormat="false" ht="15.75" hidden="false" customHeight="false" outlineLevel="0" collapsed="false">
      <c r="A5363" s="6" t="n">
        <v>46200</v>
      </c>
      <c r="B5363" s="4" t="s">
        <v>915</v>
      </c>
      <c r="C5363" s="4" t="n">
        <v>1</v>
      </c>
      <c r="D5363" s="4" t="n">
        <v>8</v>
      </c>
      <c r="E5363" s="4" t="s">
        <v>4269</v>
      </c>
      <c r="F5363" s="4" t="n">
        <v>24</v>
      </c>
      <c r="G5363" s="4" t="n">
        <v>7</v>
      </c>
      <c r="H5363" s="4" t="n">
        <v>4</v>
      </c>
      <c r="I5363" s="4" t="str">
        <v>×</v>
      </c>
      <c r="J5363" s="4"/>
      <c r="K5363" s="4"/>
      <c r="L5363" s="4"/>
      <c r="M5363" s="5" t="s">
        <v>4174</v>
      </c>
    </row>
    <row r="5364" customFormat="false" ht="15.75" hidden="false" customHeight="false" outlineLevel="0" collapsed="false">
      <c r="A5364" s="6" t="n">
        <v>46200</v>
      </c>
      <c r="B5364" s="4" t="s">
        <v>915</v>
      </c>
      <c r="C5364" s="4" t="n">
        <v>1</v>
      </c>
      <c r="D5364" s="4" t="n">
        <v>9</v>
      </c>
      <c r="E5364" s="4" t="s">
        <v>4270</v>
      </c>
      <c r="F5364" s="4" t="n">
        <v>37</v>
      </c>
      <c r="G5364" s="4" t="n">
        <v>3</v>
      </c>
      <c r="H5364" s="4" t="n">
        <v>4</v>
      </c>
      <c r="I5364" s="4" t="str">
        <v>×</v>
      </c>
      <c r="J5364" s="4"/>
      <c r="K5364" s="4"/>
      <c r="L5364" s="4"/>
      <c r="M5364" s="5" t="s">
        <v>4174</v>
      </c>
    </row>
    <row r="5365" customFormat="false" ht="15.75" hidden="false" customHeight="false" outlineLevel="0" collapsed="false">
      <c r="A5365" s="6" t="n">
        <v>46200</v>
      </c>
      <c r="B5365" s="4" t="s">
        <v>915</v>
      </c>
      <c r="C5365" s="4" t="n">
        <v>1</v>
      </c>
      <c r="D5365" s="4" t="n">
        <v>10</v>
      </c>
      <c r="E5365" s="4" t="s">
        <v>2284</v>
      </c>
      <c r="F5365" s="4" t="n">
        <v>14</v>
      </c>
      <c r="G5365" s="4" t="n">
        <v>8</v>
      </c>
      <c r="H5365" s="4" t="n">
        <v>2</v>
      </c>
      <c r="I5365" s="4" t="str">
        <v>○</v>
      </c>
      <c r="J5365" s="4" t="n">
        <v>2670</v>
      </c>
      <c r="K5365" s="4"/>
      <c r="L5365" s="4"/>
      <c r="M5365" s="5" t="s">
        <v>4174</v>
      </c>
    </row>
    <row r="5366" customFormat="false" ht="15.75" hidden="false" customHeight="false" outlineLevel="0" collapsed="false">
      <c r="A5366" s="6" t="n">
        <v>46200</v>
      </c>
      <c r="B5366" s="4" t="s">
        <v>915</v>
      </c>
      <c r="C5366" s="4" t="n">
        <v>1</v>
      </c>
      <c r="D5366" s="4" t="n">
        <v>11</v>
      </c>
      <c r="E5366" s="4" t="s">
        <v>1099</v>
      </c>
      <c r="F5366" s="4" t="n">
        <v>6</v>
      </c>
      <c r="G5366" s="4" t="n">
        <v>12</v>
      </c>
      <c r="H5366" s="4"/>
      <c r="I5366" s="4" t="str">
        <v/>
      </c>
      <c r="J5366" s="4"/>
      <c r="K5366" s="4"/>
      <c r="L5366" s="4"/>
      <c r="M5366" s="5" t="s">
        <v>4174</v>
      </c>
    </row>
    <row r="5367" customFormat="false" ht="15.75" hidden="false" customHeight="false" outlineLevel="0" collapsed="false">
      <c r="A5367" s="6" t="n">
        <v>46200</v>
      </c>
      <c r="B5367" s="4" t="s">
        <v>915</v>
      </c>
      <c r="C5367" s="4" t="n">
        <v>1</v>
      </c>
      <c r="D5367" s="4" t="n">
        <v>12</v>
      </c>
      <c r="E5367" s="4" t="s">
        <v>587</v>
      </c>
      <c r="F5367" s="4" t="n">
        <v>8</v>
      </c>
      <c r="G5367" s="4" t="n">
        <v>9</v>
      </c>
      <c r="H5367" s="4" t="n">
        <v>3</v>
      </c>
      <c r="I5367" s="4" t="str">
        <v>○</v>
      </c>
      <c r="J5367" s="4" t="n">
        <v>200</v>
      </c>
      <c r="K5367" s="4"/>
      <c r="L5367" s="4"/>
      <c r="M5367" s="5" t="s">
        <v>4174</v>
      </c>
    </row>
    <row r="5368" customFormat="false" ht="15.75" hidden="false" customHeight="false" outlineLevel="0" collapsed="false">
      <c r="A5368" s="6" t="n">
        <v>46200</v>
      </c>
      <c r="B5368" s="4" t="s">
        <v>915</v>
      </c>
      <c r="C5368" s="4" t="n">
        <v>1</v>
      </c>
      <c r="D5368" s="4" t="n">
        <v>13</v>
      </c>
      <c r="E5368" s="4" t="s">
        <v>4271</v>
      </c>
      <c r="F5368" s="4" t="n">
        <v>55</v>
      </c>
      <c r="G5368" s="4" t="n">
        <v>1</v>
      </c>
      <c r="H5368" s="4"/>
      <c r="I5368" s="4" t="str">
        <v/>
      </c>
      <c r="J5368" s="4"/>
      <c r="K5368" s="4"/>
      <c r="L5368" s="4"/>
      <c r="M5368" s="5" t="s">
        <v>4174</v>
      </c>
    </row>
    <row r="5369" customFormat="false" ht="15.75" hidden="false" customHeight="false" outlineLevel="0" collapsed="false">
      <c r="A5369" s="6" t="n">
        <v>46200</v>
      </c>
      <c r="B5369" s="4" t="s">
        <v>915</v>
      </c>
      <c r="C5369" s="4" t="n">
        <v>1</v>
      </c>
      <c r="D5369" s="4" t="n">
        <v>14</v>
      </c>
      <c r="E5369" s="4" t="s">
        <v>4272</v>
      </c>
      <c r="F5369" s="4" t="n">
        <v>37</v>
      </c>
      <c r="G5369" s="4" t="n">
        <v>3</v>
      </c>
      <c r="H5369" s="4" t="n">
        <v>4</v>
      </c>
      <c r="I5369" s="4" t="str">
        <v>×</v>
      </c>
      <c r="J5369" s="4"/>
      <c r="K5369" s="4"/>
      <c r="L5369" s="4"/>
      <c r="M5369" s="5" t="s">
        <v>4174</v>
      </c>
    </row>
    <row r="5370" customFormat="false" ht="15.75" hidden="false" customHeight="false" outlineLevel="0" collapsed="false">
      <c r="A5370" s="6" t="n">
        <v>46200</v>
      </c>
      <c r="B5370" s="4" t="s">
        <v>915</v>
      </c>
      <c r="C5370" s="4" t="n">
        <v>2</v>
      </c>
      <c r="D5370" s="4" t="n">
        <v>1</v>
      </c>
      <c r="E5370" s="4" t="s">
        <v>4273</v>
      </c>
      <c r="F5370" s="4" t="n">
        <v>3</v>
      </c>
      <c r="G5370" s="4" t="n">
        <v>13</v>
      </c>
      <c r="H5370" s="4" t="n">
        <v>4</v>
      </c>
      <c r="I5370" s="4" t="str">
        <v>×</v>
      </c>
      <c r="J5370" s="4"/>
      <c r="K5370" s="4"/>
      <c r="L5370" s="4"/>
      <c r="M5370" s="5" t="s">
        <v>4174</v>
      </c>
    </row>
    <row r="5371" customFormat="false" ht="15.75" hidden="false" customHeight="false" outlineLevel="0" collapsed="false">
      <c r="A5371" s="6" t="n">
        <v>46200</v>
      </c>
      <c r="B5371" s="4" t="s">
        <v>915</v>
      </c>
      <c r="C5371" s="4" t="n">
        <v>2</v>
      </c>
      <c r="D5371" s="4" t="n">
        <v>2</v>
      </c>
      <c r="E5371" s="4" t="s">
        <v>4274</v>
      </c>
      <c r="F5371" s="4" t="n">
        <v>3</v>
      </c>
      <c r="G5371" s="4" t="n">
        <v>13</v>
      </c>
      <c r="H5371" s="4" t="n">
        <v>4</v>
      </c>
      <c r="I5371" s="4" t="str">
        <v>×</v>
      </c>
      <c r="J5371" s="4"/>
      <c r="K5371" s="4"/>
      <c r="L5371" s="4"/>
      <c r="M5371" s="5" t="s">
        <v>4174</v>
      </c>
    </row>
    <row r="5372" customFormat="false" ht="15.75" hidden="false" customHeight="false" outlineLevel="0" collapsed="false">
      <c r="A5372" s="6" t="n">
        <v>46200</v>
      </c>
      <c r="B5372" s="4" t="s">
        <v>915</v>
      </c>
      <c r="C5372" s="4" t="n">
        <v>2</v>
      </c>
      <c r="D5372" s="4" t="n">
        <v>3</v>
      </c>
      <c r="E5372" s="4" t="s">
        <v>356</v>
      </c>
      <c r="F5372" s="4" t="n">
        <v>50</v>
      </c>
      <c r="G5372" s="4" t="n">
        <v>2</v>
      </c>
      <c r="H5372" s="4" t="n">
        <v>4</v>
      </c>
      <c r="I5372" s="4" t="str">
        <v>×</v>
      </c>
      <c r="J5372" s="4"/>
      <c r="K5372" s="4"/>
      <c r="L5372" s="4"/>
      <c r="M5372" s="5" t="s">
        <v>4174</v>
      </c>
    </row>
    <row r="5373" customFormat="false" ht="15.75" hidden="false" customHeight="false" outlineLevel="0" collapsed="false">
      <c r="A5373" s="6" t="n">
        <v>46200</v>
      </c>
      <c r="B5373" s="4" t="s">
        <v>915</v>
      </c>
      <c r="C5373" s="4" t="n">
        <v>2</v>
      </c>
      <c r="D5373" s="4" t="n">
        <v>4</v>
      </c>
      <c r="E5373" s="4" t="s">
        <v>992</v>
      </c>
      <c r="F5373" s="4" t="n">
        <v>13</v>
      </c>
      <c r="G5373" s="4" t="n">
        <v>6</v>
      </c>
      <c r="H5373" s="4" t="n">
        <v>4</v>
      </c>
      <c r="I5373" s="4" t="str">
        <v>×</v>
      </c>
      <c r="J5373" s="4"/>
      <c r="K5373" s="4"/>
      <c r="L5373" s="4"/>
      <c r="M5373" s="5" t="s">
        <v>4174</v>
      </c>
    </row>
    <row r="5374" customFormat="false" ht="15.75" hidden="false" customHeight="false" outlineLevel="0" collapsed="false">
      <c r="A5374" s="6" t="n">
        <v>46200</v>
      </c>
      <c r="B5374" s="4" t="s">
        <v>915</v>
      </c>
      <c r="C5374" s="4" t="n">
        <v>2</v>
      </c>
      <c r="D5374" s="4" t="n">
        <v>5</v>
      </c>
      <c r="E5374" s="4" t="s">
        <v>4275</v>
      </c>
      <c r="F5374" s="4" t="n">
        <v>2</v>
      </c>
      <c r="G5374" s="4" t="n">
        <v>15</v>
      </c>
      <c r="H5374" s="4" t="n">
        <v>4</v>
      </c>
      <c r="I5374" s="4" t="str">
        <v>×</v>
      </c>
      <c r="J5374" s="4"/>
      <c r="K5374" s="4"/>
      <c r="L5374" s="4"/>
      <c r="M5374" s="5" t="s">
        <v>4174</v>
      </c>
    </row>
    <row r="5375" customFormat="false" ht="15.75" hidden="false" customHeight="false" outlineLevel="0" collapsed="false">
      <c r="A5375" s="6" t="n">
        <v>46200</v>
      </c>
      <c r="B5375" s="4" t="s">
        <v>915</v>
      </c>
      <c r="C5375" s="4" t="n">
        <v>2</v>
      </c>
      <c r="D5375" s="4" t="n">
        <v>6</v>
      </c>
      <c r="E5375" s="4" t="s">
        <v>4276</v>
      </c>
      <c r="F5375" s="4" t="n">
        <v>4</v>
      </c>
      <c r="G5375" s="4" t="n">
        <v>10</v>
      </c>
      <c r="H5375" s="4" t="n">
        <v>4</v>
      </c>
      <c r="I5375" s="4" t="str">
        <v>×</v>
      </c>
      <c r="J5375" s="4"/>
      <c r="K5375" s="4"/>
      <c r="L5375" s="4"/>
      <c r="M5375" s="5" t="s">
        <v>4174</v>
      </c>
    </row>
    <row r="5376" customFormat="false" ht="15.75" hidden="false" customHeight="false" outlineLevel="0" collapsed="false">
      <c r="A5376" s="6" t="n">
        <v>46200</v>
      </c>
      <c r="B5376" s="4" t="s">
        <v>915</v>
      </c>
      <c r="C5376" s="4" t="n">
        <v>2</v>
      </c>
      <c r="D5376" s="4" t="n">
        <v>7</v>
      </c>
      <c r="E5376" s="4" t="s">
        <v>2294</v>
      </c>
      <c r="F5376" s="4" t="n">
        <v>10</v>
      </c>
      <c r="G5376" s="4" t="n">
        <v>7</v>
      </c>
      <c r="H5376" s="4" t="n">
        <v>3</v>
      </c>
      <c r="I5376" s="4" t="str">
        <v>○</v>
      </c>
      <c r="J5376" s="4" t="n">
        <v>500</v>
      </c>
      <c r="K5376" s="4"/>
      <c r="L5376" s="4"/>
      <c r="M5376" s="5" t="s">
        <v>4174</v>
      </c>
    </row>
    <row r="5377" customFormat="false" ht="15.75" hidden="false" customHeight="false" outlineLevel="0" collapsed="false">
      <c r="A5377" s="6" t="n">
        <v>46200</v>
      </c>
      <c r="B5377" s="4" t="s">
        <v>915</v>
      </c>
      <c r="C5377" s="4" t="n">
        <v>2</v>
      </c>
      <c r="D5377" s="4" t="n">
        <v>8</v>
      </c>
      <c r="E5377" s="4" t="s">
        <v>987</v>
      </c>
      <c r="F5377" s="4" t="n">
        <v>37</v>
      </c>
      <c r="G5377" s="4" t="n">
        <v>4</v>
      </c>
      <c r="H5377" s="4" t="n">
        <v>4</v>
      </c>
      <c r="I5377" s="4" t="str">
        <v>×</v>
      </c>
      <c r="J5377" s="4"/>
      <c r="K5377" s="4"/>
      <c r="L5377" s="4"/>
      <c r="M5377" s="5" t="s">
        <v>4174</v>
      </c>
    </row>
    <row r="5378" customFormat="false" ht="15.75" hidden="false" customHeight="false" outlineLevel="0" collapsed="false">
      <c r="A5378" s="6" t="n">
        <v>46200</v>
      </c>
      <c r="B5378" s="4" t="s">
        <v>915</v>
      </c>
      <c r="C5378" s="4" t="n">
        <v>2</v>
      </c>
      <c r="D5378" s="4" t="n">
        <v>9</v>
      </c>
      <c r="E5378" s="4" t="s">
        <v>4277</v>
      </c>
      <c r="F5378" s="4" t="n">
        <v>17</v>
      </c>
      <c r="G5378" s="4" t="n">
        <v>5</v>
      </c>
      <c r="H5378" s="4" t="n">
        <v>4</v>
      </c>
      <c r="I5378" s="4" t="str">
        <v>×</v>
      </c>
      <c r="J5378" s="4"/>
      <c r="K5378" s="4"/>
      <c r="L5378" s="4"/>
      <c r="M5378" s="5" t="s">
        <v>4174</v>
      </c>
    </row>
    <row r="5379" customFormat="false" ht="15.75" hidden="false" customHeight="false" outlineLevel="0" collapsed="false">
      <c r="A5379" s="6" t="n">
        <v>46200</v>
      </c>
      <c r="B5379" s="4" t="s">
        <v>915</v>
      </c>
      <c r="C5379" s="4" t="n">
        <v>2</v>
      </c>
      <c r="D5379" s="4" t="n">
        <v>10</v>
      </c>
      <c r="E5379" s="4" t="s">
        <v>593</v>
      </c>
      <c r="F5379" s="4" t="n">
        <v>10</v>
      </c>
      <c r="G5379" s="4" t="n">
        <v>7</v>
      </c>
      <c r="H5379" s="4" t="n">
        <v>4</v>
      </c>
      <c r="I5379" s="4" t="str">
        <v>×</v>
      </c>
      <c r="J5379" s="4"/>
      <c r="K5379" s="4"/>
      <c r="L5379" s="4"/>
      <c r="M5379" s="5" t="s">
        <v>4174</v>
      </c>
    </row>
    <row r="5380" customFormat="false" ht="15.75" hidden="false" customHeight="false" outlineLevel="0" collapsed="false">
      <c r="A5380" s="6" t="n">
        <v>46200</v>
      </c>
      <c r="B5380" s="4" t="s">
        <v>915</v>
      </c>
      <c r="C5380" s="4" t="n">
        <v>2</v>
      </c>
      <c r="D5380" s="4" t="n">
        <v>11</v>
      </c>
      <c r="E5380" s="4" t="s">
        <v>133</v>
      </c>
      <c r="F5380" s="4" t="n">
        <v>4</v>
      </c>
      <c r="G5380" s="4" t="n">
        <v>10</v>
      </c>
      <c r="H5380" s="4" t="n">
        <v>4</v>
      </c>
      <c r="I5380" s="4" t="str">
        <v>×</v>
      </c>
      <c r="J5380" s="4"/>
      <c r="K5380" s="4"/>
      <c r="L5380" s="4"/>
      <c r="M5380" s="5" t="s">
        <v>4174</v>
      </c>
    </row>
    <row r="5381" customFormat="false" ht="15.75" hidden="false" customHeight="false" outlineLevel="0" collapsed="false">
      <c r="A5381" s="6" t="n">
        <v>46200</v>
      </c>
      <c r="B5381" s="4" t="s">
        <v>915</v>
      </c>
      <c r="C5381" s="4" t="n">
        <v>2</v>
      </c>
      <c r="D5381" s="4" t="n">
        <v>12</v>
      </c>
      <c r="E5381" s="4" t="s">
        <v>4278</v>
      </c>
      <c r="F5381" s="4" t="n">
        <v>4</v>
      </c>
      <c r="G5381" s="4" t="n">
        <v>10</v>
      </c>
      <c r="H5381" s="4" t="n">
        <v>4</v>
      </c>
      <c r="I5381" s="4" t="str">
        <v>×</v>
      </c>
      <c r="J5381" s="4"/>
      <c r="K5381" s="4"/>
      <c r="L5381" s="4"/>
      <c r="M5381" s="5" t="s">
        <v>4174</v>
      </c>
    </row>
    <row r="5382" customFormat="false" ht="15.75" hidden="false" customHeight="false" outlineLevel="0" collapsed="false">
      <c r="A5382" s="6" t="n">
        <v>46200</v>
      </c>
      <c r="B5382" s="4" t="s">
        <v>915</v>
      </c>
      <c r="C5382" s="4" t="n">
        <v>2</v>
      </c>
      <c r="D5382" s="4" t="n">
        <v>13</v>
      </c>
      <c r="E5382" s="4" t="s">
        <v>4279</v>
      </c>
      <c r="F5382" s="4" t="n">
        <v>6</v>
      </c>
      <c r="G5382" s="4" t="n">
        <v>9</v>
      </c>
      <c r="H5382" s="4" t="n">
        <v>4</v>
      </c>
      <c r="I5382" s="4" t="str">
        <v>×</v>
      </c>
      <c r="J5382" s="4"/>
      <c r="K5382" s="4"/>
      <c r="L5382" s="4"/>
      <c r="M5382" s="5" t="s">
        <v>4174</v>
      </c>
    </row>
    <row r="5383" customFormat="false" ht="15.75" hidden="false" customHeight="false" outlineLevel="0" collapsed="false">
      <c r="A5383" s="6" t="n">
        <v>46200</v>
      </c>
      <c r="B5383" s="4" t="s">
        <v>915</v>
      </c>
      <c r="C5383" s="4" t="n">
        <v>2</v>
      </c>
      <c r="D5383" s="4" t="n">
        <v>14</v>
      </c>
      <c r="E5383" s="4" t="s">
        <v>986</v>
      </c>
      <c r="F5383" s="4" t="n">
        <v>65</v>
      </c>
      <c r="G5383" s="4" t="n">
        <v>1</v>
      </c>
      <c r="H5383" s="4" t="n">
        <v>2</v>
      </c>
      <c r="I5383" s="4" t="str">
        <v>○</v>
      </c>
      <c r="J5383" s="4" t="n">
        <v>130</v>
      </c>
      <c r="K5383" s="4"/>
      <c r="L5383" s="4"/>
      <c r="M5383" s="5" t="s">
        <v>4174</v>
      </c>
    </row>
    <row r="5384" customFormat="false" ht="15.75" hidden="false" customHeight="false" outlineLevel="0" collapsed="false">
      <c r="A5384" s="6" t="n">
        <v>46200</v>
      </c>
      <c r="B5384" s="4" t="s">
        <v>915</v>
      </c>
      <c r="C5384" s="4" t="n">
        <v>2</v>
      </c>
      <c r="D5384" s="4" t="n">
        <v>15</v>
      </c>
      <c r="E5384" s="4" t="s">
        <v>4280</v>
      </c>
      <c r="F5384" s="4" t="n">
        <v>44</v>
      </c>
      <c r="G5384" s="4" t="n">
        <v>3</v>
      </c>
      <c r="H5384" s="4" t="n">
        <v>1</v>
      </c>
      <c r="I5384" s="4" t="str">
        <v>○</v>
      </c>
      <c r="J5384" s="4" t="n">
        <v>170</v>
      </c>
      <c r="K5384" s="4"/>
      <c r="L5384" s="4"/>
      <c r="M5384" s="5" t="s">
        <v>4174</v>
      </c>
    </row>
    <row r="5385" customFormat="false" ht="15.75" hidden="false" customHeight="false" outlineLevel="0" collapsed="false">
      <c r="A5385" s="6" t="n">
        <v>46200</v>
      </c>
      <c r="B5385" s="4" t="s">
        <v>915</v>
      </c>
      <c r="C5385" s="4" t="n">
        <v>3</v>
      </c>
      <c r="D5385" s="4" t="n">
        <v>1</v>
      </c>
      <c r="E5385" s="4" t="s">
        <v>4281</v>
      </c>
      <c r="F5385" s="4" t="n">
        <v>10</v>
      </c>
      <c r="G5385" s="4" t="n">
        <v>11</v>
      </c>
      <c r="H5385" s="4" t="n">
        <v>4</v>
      </c>
      <c r="I5385" s="4" t="str">
        <v>×</v>
      </c>
      <c r="J5385" s="4"/>
      <c r="K5385" s="4"/>
      <c r="L5385" s="4"/>
      <c r="M5385" s="5" t="s">
        <v>4174</v>
      </c>
    </row>
    <row r="5386" customFormat="false" ht="15.75" hidden="false" customHeight="false" outlineLevel="0" collapsed="false">
      <c r="A5386" s="6" t="n">
        <v>46200</v>
      </c>
      <c r="B5386" s="4" t="s">
        <v>915</v>
      </c>
      <c r="C5386" s="4" t="n">
        <v>3</v>
      </c>
      <c r="D5386" s="4" t="n">
        <v>2</v>
      </c>
      <c r="E5386" s="4" t="s">
        <v>4282</v>
      </c>
      <c r="F5386" s="4" t="n">
        <v>25</v>
      </c>
      <c r="G5386" s="4" t="n">
        <v>5</v>
      </c>
      <c r="H5386" s="4" t="n">
        <v>4</v>
      </c>
      <c r="I5386" s="4" t="str">
        <v>×</v>
      </c>
      <c r="J5386" s="4"/>
      <c r="K5386" s="4"/>
      <c r="L5386" s="4"/>
      <c r="M5386" s="5" t="s">
        <v>4174</v>
      </c>
    </row>
    <row r="5387" customFormat="false" ht="15.75" hidden="false" customHeight="false" outlineLevel="0" collapsed="false">
      <c r="A5387" s="6" t="n">
        <v>46200</v>
      </c>
      <c r="B5387" s="4" t="s">
        <v>915</v>
      </c>
      <c r="C5387" s="4" t="n">
        <v>3</v>
      </c>
      <c r="D5387" s="4" t="n">
        <v>3</v>
      </c>
      <c r="E5387" s="4" t="s">
        <v>414</v>
      </c>
      <c r="F5387" s="4" t="n">
        <v>34</v>
      </c>
      <c r="G5387" s="4" t="n">
        <v>4</v>
      </c>
      <c r="H5387" s="4" t="n">
        <v>4</v>
      </c>
      <c r="I5387" s="4" t="str">
        <v>×</v>
      </c>
      <c r="J5387" s="4"/>
      <c r="K5387" s="4"/>
      <c r="L5387" s="4"/>
      <c r="M5387" s="5" t="s">
        <v>4174</v>
      </c>
    </row>
    <row r="5388" customFormat="false" ht="15.75" hidden="false" customHeight="false" outlineLevel="0" collapsed="false">
      <c r="A5388" s="6" t="n">
        <v>46200</v>
      </c>
      <c r="B5388" s="4" t="s">
        <v>915</v>
      </c>
      <c r="C5388" s="4" t="n">
        <v>3</v>
      </c>
      <c r="D5388" s="4" t="n">
        <v>4</v>
      </c>
      <c r="E5388" s="4" t="s">
        <v>1320</v>
      </c>
      <c r="F5388" s="4" t="n">
        <v>20</v>
      </c>
      <c r="G5388" s="4" t="n">
        <v>6</v>
      </c>
      <c r="H5388" s="4" t="n">
        <v>4</v>
      </c>
      <c r="I5388" s="4" t="str">
        <v>×</v>
      </c>
      <c r="J5388" s="4"/>
      <c r="K5388" s="4"/>
      <c r="L5388" s="4"/>
      <c r="M5388" s="5" t="s">
        <v>4174</v>
      </c>
    </row>
    <row r="5389" customFormat="false" ht="15.75" hidden="false" customHeight="false" outlineLevel="0" collapsed="false">
      <c r="A5389" s="6" t="n">
        <v>46200</v>
      </c>
      <c r="B5389" s="4" t="s">
        <v>915</v>
      </c>
      <c r="C5389" s="4" t="n">
        <v>3</v>
      </c>
      <c r="D5389" s="4" t="n">
        <v>5</v>
      </c>
      <c r="E5389" s="4" t="s">
        <v>4283</v>
      </c>
      <c r="F5389" s="4" t="n">
        <v>8</v>
      </c>
      <c r="G5389" s="4" t="n">
        <v>13</v>
      </c>
      <c r="H5389" s="4" t="n">
        <v>3</v>
      </c>
      <c r="I5389" s="4" t="str">
        <v>○</v>
      </c>
      <c r="J5389" s="4" t="n">
        <v>380</v>
      </c>
      <c r="K5389" s="4"/>
      <c r="L5389" s="4"/>
      <c r="M5389" s="5" t="s">
        <v>4174</v>
      </c>
    </row>
    <row r="5390" customFormat="false" ht="15.75" hidden="false" customHeight="false" outlineLevel="0" collapsed="false">
      <c r="A5390" s="6" t="n">
        <v>46200</v>
      </c>
      <c r="B5390" s="4" t="s">
        <v>915</v>
      </c>
      <c r="C5390" s="4" t="n">
        <v>3</v>
      </c>
      <c r="D5390" s="4" t="n">
        <v>6</v>
      </c>
      <c r="E5390" s="4" t="s">
        <v>1545</v>
      </c>
      <c r="F5390" s="4" t="n">
        <v>17</v>
      </c>
      <c r="G5390" s="4" t="n">
        <v>7</v>
      </c>
      <c r="H5390" s="4" t="n">
        <v>2</v>
      </c>
      <c r="I5390" s="4" t="str">
        <v>○</v>
      </c>
      <c r="J5390" s="4" t="n">
        <v>420</v>
      </c>
      <c r="K5390" s="4"/>
      <c r="L5390" s="4"/>
      <c r="M5390" s="5" t="s">
        <v>4174</v>
      </c>
    </row>
    <row r="5391" customFormat="false" ht="15.75" hidden="false" customHeight="false" outlineLevel="0" collapsed="false">
      <c r="A5391" s="6" t="n">
        <v>46200</v>
      </c>
      <c r="B5391" s="4" t="s">
        <v>915</v>
      </c>
      <c r="C5391" s="4" t="n">
        <v>3</v>
      </c>
      <c r="D5391" s="4" t="n">
        <v>7</v>
      </c>
      <c r="E5391" s="4" t="s">
        <v>4284</v>
      </c>
      <c r="F5391" s="4" t="n">
        <v>4</v>
      </c>
      <c r="G5391" s="4" t="n">
        <v>15</v>
      </c>
      <c r="H5391" s="4" t="n">
        <v>4</v>
      </c>
      <c r="I5391" s="4" t="str">
        <v>×</v>
      </c>
      <c r="J5391" s="4"/>
      <c r="K5391" s="4"/>
      <c r="L5391" s="4"/>
      <c r="M5391" s="5" t="s">
        <v>4174</v>
      </c>
    </row>
    <row r="5392" customFormat="false" ht="15.75" hidden="false" customHeight="false" outlineLevel="0" collapsed="false">
      <c r="A5392" s="6" t="n">
        <v>46200</v>
      </c>
      <c r="B5392" s="4" t="s">
        <v>915</v>
      </c>
      <c r="C5392" s="4" t="n">
        <v>3</v>
      </c>
      <c r="D5392" s="4" t="n">
        <v>8</v>
      </c>
      <c r="E5392" s="4" t="s">
        <v>4285</v>
      </c>
      <c r="F5392" s="4" t="n">
        <v>15</v>
      </c>
      <c r="G5392" s="4" t="n">
        <v>9</v>
      </c>
      <c r="H5392" s="4" t="n">
        <v>4</v>
      </c>
      <c r="I5392" s="4" t="str">
        <v>×</v>
      </c>
      <c r="J5392" s="4"/>
      <c r="K5392" s="4"/>
      <c r="L5392" s="4"/>
      <c r="M5392" s="5" t="s">
        <v>4174</v>
      </c>
    </row>
    <row r="5393" customFormat="false" ht="15.75" hidden="false" customHeight="false" outlineLevel="0" collapsed="false">
      <c r="A5393" s="6" t="n">
        <v>46200</v>
      </c>
      <c r="B5393" s="4" t="s">
        <v>915</v>
      </c>
      <c r="C5393" s="4" t="n">
        <v>3</v>
      </c>
      <c r="D5393" s="4" t="n">
        <v>9</v>
      </c>
      <c r="E5393" s="4" t="s">
        <v>4286</v>
      </c>
      <c r="F5393" s="4" t="n">
        <v>60</v>
      </c>
      <c r="G5393" s="4" t="n">
        <v>1</v>
      </c>
      <c r="H5393" s="4" t="n">
        <v>4</v>
      </c>
      <c r="I5393" s="4" t="str">
        <v>×</v>
      </c>
      <c r="J5393" s="4"/>
      <c r="K5393" s="4"/>
      <c r="L5393" s="4"/>
      <c r="M5393" s="5" t="s">
        <v>4174</v>
      </c>
    </row>
    <row r="5394" customFormat="false" ht="15.75" hidden="false" customHeight="false" outlineLevel="0" collapsed="false">
      <c r="A5394" s="6" t="n">
        <v>46200</v>
      </c>
      <c r="B5394" s="4" t="s">
        <v>915</v>
      </c>
      <c r="C5394" s="4" t="n">
        <v>3</v>
      </c>
      <c r="D5394" s="4" t="n">
        <v>10</v>
      </c>
      <c r="E5394" s="4" t="s">
        <v>4287</v>
      </c>
      <c r="F5394" s="4" t="n">
        <v>44</v>
      </c>
      <c r="G5394" s="4" t="n">
        <v>3</v>
      </c>
      <c r="H5394" s="4" t="n">
        <v>1</v>
      </c>
      <c r="I5394" s="4" t="str">
        <v>○</v>
      </c>
      <c r="J5394" s="4" t="n">
        <v>150</v>
      </c>
      <c r="K5394" s="4"/>
      <c r="L5394" s="4"/>
      <c r="M5394" s="5" t="s">
        <v>4174</v>
      </c>
    </row>
    <row r="5395" customFormat="false" ht="15.75" hidden="false" customHeight="false" outlineLevel="0" collapsed="false">
      <c r="A5395" s="6" t="n">
        <v>46200</v>
      </c>
      <c r="B5395" s="4" t="s">
        <v>915</v>
      </c>
      <c r="C5395" s="4" t="n">
        <v>3</v>
      </c>
      <c r="D5395" s="4" t="n">
        <v>11</v>
      </c>
      <c r="E5395" s="4" t="s">
        <v>4288</v>
      </c>
      <c r="F5395" s="4" t="n">
        <v>10</v>
      </c>
      <c r="G5395" s="4" t="n">
        <v>11</v>
      </c>
      <c r="H5395" s="4" t="n">
        <v>4</v>
      </c>
      <c r="I5395" s="4" t="str">
        <v>×</v>
      </c>
      <c r="J5395" s="4"/>
      <c r="K5395" s="4"/>
      <c r="L5395" s="4"/>
      <c r="M5395" s="5" t="s">
        <v>4174</v>
      </c>
    </row>
    <row r="5396" customFormat="false" ht="15.75" hidden="false" customHeight="false" outlineLevel="0" collapsed="false">
      <c r="A5396" s="6" t="n">
        <v>46200</v>
      </c>
      <c r="B5396" s="4" t="s">
        <v>915</v>
      </c>
      <c r="C5396" s="4" t="n">
        <v>3</v>
      </c>
      <c r="D5396" s="4" t="n">
        <v>12</v>
      </c>
      <c r="E5396" s="4" t="s">
        <v>4289</v>
      </c>
      <c r="F5396" s="4" t="n">
        <v>52</v>
      </c>
      <c r="G5396" s="4" t="n">
        <v>2</v>
      </c>
      <c r="H5396" s="4" t="n">
        <v>4</v>
      </c>
      <c r="I5396" s="4" t="str">
        <v>×</v>
      </c>
      <c r="J5396" s="4"/>
      <c r="K5396" s="4"/>
      <c r="L5396" s="4"/>
      <c r="M5396" s="5" t="s">
        <v>4174</v>
      </c>
    </row>
    <row r="5397" customFormat="false" ht="15.75" hidden="false" customHeight="false" outlineLevel="0" collapsed="false">
      <c r="A5397" s="6" t="n">
        <v>46200</v>
      </c>
      <c r="B5397" s="4" t="s">
        <v>915</v>
      </c>
      <c r="C5397" s="4" t="n">
        <v>3</v>
      </c>
      <c r="D5397" s="4" t="n">
        <v>13</v>
      </c>
      <c r="E5397" s="4" t="s">
        <v>4290</v>
      </c>
      <c r="F5397" s="4" t="n">
        <v>8</v>
      </c>
      <c r="G5397" s="4" t="n">
        <v>13</v>
      </c>
      <c r="H5397" s="4" t="n">
        <v>4</v>
      </c>
      <c r="I5397" s="4" t="str">
        <v>×</v>
      </c>
      <c r="J5397" s="4"/>
      <c r="K5397" s="4"/>
      <c r="L5397" s="4"/>
      <c r="M5397" s="5" t="s">
        <v>4174</v>
      </c>
    </row>
    <row r="5398" customFormat="false" ht="15.75" hidden="false" customHeight="false" outlineLevel="0" collapsed="false">
      <c r="A5398" s="6" t="n">
        <v>46200</v>
      </c>
      <c r="B5398" s="4" t="s">
        <v>915</v>
      </c>
      <c r="C5398" s="4" t="n">
        <v>3</v>
      </c>
      <c r="D5398" s="4" t="n">
        <v>14</v>
      </c>
      <c r="E5398" s="4" t="s">
        <v>2009</v>
      </c>
      <c r="F5398" s="4" t="n">
        <v>17</v>
      </c>
      <c r="G5398" s="4" t="n">
        <v>7</v>
      </c>
      <c r="H5398" s="4" t="n">
        <v>4</v>
      </c>
      <c r="I5398" s="4" t="str">
        <v>×</v>
      </c>
      <c r="J5398" s="4"/>
      <c r="K5398" s="4"/>
      <c r="L5398" s="4"/>
      <c r="M5398" s="5" t="s">
        <v>4174</v>
      </c>
    </row>
    <row r="5399" customFormat="false" ht="15.75" hidden="false" customHeight="false" outlineLevel="0" collapsed="false">
      <c r="A5399" s="6" t="n">
        <v>46200</v>
      </c>
      <c r="B5399" s="4" t="s">
        <v>915</v>
      </c>
      <c r="C5399" s="4" t="n">
        <v>3</v>
      </c>
      <c r="D5399" s="4" t="n">
        <v>15</v>
      </c>
      <c r="E5399" s="4" t="s">
        <v>4291</v>
      </c>
      <c r="F5399" s="4" t="n">
        <v>15</v>
      </c>
      <c r="G5399" s="4" t="n">
        <v>9</v>
      </c>
      <c r="H5399" s="4" t="n">
        <v>4</v>
      </c>
      <c r="I5399" s="4" t="str">
        <v>×</v>
      </c>
      <c r="J5399" s="4"/>
      <c r="K5399" s="4"/>
      <c r="L5399" s="4"/>
      <c r="M5399" s="5" t="s">
        <v>4174</v>
      </c>
    </row>
    <row r="5400" customFormat="false" ht="15.75" hidden="false" customHeight="false" outlineLevel="0" collapsed="false">
      <c r="A5400" s="6" t="n">
        <v>46200</v>
      </c>
      <c r="B5400" s="4" t="s">
        <v>915</v>
      </c>
      <c r="C5400" s="4" t="n">
        <v>4</v>
      </c>
      <c r="D5400" s="4" t="n">
        <v>1</v>
      </c>
      <c r="E5400" s="4" t="s">
        <v>4292</v>
      </c>
      <c r="F5400" s="4" t="n">
        <v>44</v>
      </c>
      <c r="G5400" s="4" t="n">
        <v>2</v>
      </c>
      <c r="H5400" s="4" t="n">
        <v>4</v>
      </c>
      <c r="I5400" s="4" t="str">
        <v>×</v>
      </c>
      <c r="J5400" s="4"/>
      <c r="K5400" s="4"/>
      <c r="L5400" s="4"/>
      <c r="M5400" s="5" t="s">
        <v>4174</v>
      </c>
    </row>
    <row r="5401" customFormat="false" ht="15.75" hidden="false" customHeight="false" outlineLevel="0" collapsed="false">
      <c r="A5401" s="6" t="n">
        <v>46200</v>
      </c>
      <c r="B5401" s="4" t="s">
        <v>915</v>
      </c>
      <c r="C5401" s="4" t="n">
        <v>4</v>
      </c>
      <c r="D5401" s="4" t="n">
        <v>2</v>
      </c>
      <c r="E5401" s="4" t="s">
        <v>4293</v>
      </c>
      <c r="F5401" s="4" t="n">
        <v>55</v>
      </c>
      <c r="G5401" s="4" t="n">
        <v>1</v>
      </c>
      <c r="H5401" s="4" t="n">
        <v>3</v>
      </c>
      <c r="I5401" s="4" t="str">
        <v>○</v>
      </c>
      <c r="J5401" s="4" t="n">
        <v>140</v>
      </c>
      <c r="K5401" s="4"/>
      <c r="L5401" s="4"/>
      <c r="M5401" s="5" t="s">
        <v>4174</v>
      </c>
    </row>
    <row r="5402" customFormat="false" ht="15.75" hidden="false" customHeight="false" outlineLevel="0" collapsed="false">
      <c r="A5402" s="6" t="n">
        <v>46200</v>
      </c>
      <c r="B5402" s="4" t="s">
        <v>915</v>
      </c>
      <c r="C5402" s="4" t="n">
        <v>4</v>
      </c>
      <c r="D5402" s="4" t="n">
        <v>3</v>
      </c>
      <c r="E5402" s="4" t="s">
        <v>4294</v>
      </c>
      <c r="F5402" s="4" t="n">
        <v>37</v>
      </c>
      <c r="G5402" s="4" t="n">
        <v>3</v>
      </c>
      <c r="H5402" s="4" t="n">
        <v>1</v>
      </c>
      <c r="I5402" s="4" t="str">
        <v>○</v>
      </c>
      <c r="J5402" s="4" t="n">
        <v>230</v>
      </c>
      <c r="K5402" s="4"/>
      <c r="L5402" s="4"/>
      <c r="M5402" s="5" t="s">
        <v>4174</v>
      </c>
    </row>
    <row r="5403" customFormat="false" ht="15.75" hidden="false" customHeight="false" outlineLevel="0" collapsed="false">
      <c r="A5403" s="6" t="n">
        <v>46200</v>
      </c>
      <c r="B5403" s="4" t="s">
        <v>915</v>
      </c>
      <c r="C5403" s="4" t="n">
        <v>4</v>
      </c>
      <c r="D5403" s="4" t="n">
        <v>4</v>
      </c>
      <c r="E5403" s="4" t="s">
        <v>4295</v>
      </c>
      <c r="F5403" s="4" t="n">
        <v>37</v>
      </c>
      <c r="G5403" s="4" t="n">
        <v>3</v>
      </c>
      <c r="H5403" s="4" t="n">
        <v>4</v>
      </c>
      <c r="I5403" s="4" t="str">
        <v>×</v>
      </c>
      <c r="J5403" s="4"/>
      <c r="K5403" s="4"/>
      <c r="L5403" s="4"/>
      <c r="M5403" s="5" t="s">
        <v>4174</v>
      </c>
    </row>
    <row r="5404" customFormat="false" ht="15.75" hidden="false" customHeight="false" outlineLevel="0" collapsed="false">
      <c r="A5404" s="6" t="n">
        <v>46200</v>
      </c>
      <c r="B5404" s="4" t="s">
        <v>915</v>
      </c>
      <c r="C5404" s="4" t="n">
        <v>4</v>
      </c>
      <c r="D5404" s="4" t="n">
        <v>5</v>
      </c>
      <c r="E5404" s="4" t="s">
        <v>4296</v>
      </c>
      <c r="F5404" s="4" t="n">
        <v>12</v>
      </c>
      <c r="G5404" s="4" t="n">
        <v>10</v>
      </c>
      <c r="H5404" s="4" t="n">
        <v>4</v>
      </c>
      <c r="I5404" s="4" t="str">
        <v>×</v>
      </c>
      <c r="J5404" s="4"/>
      <c r="K5404" s="4"/>
      <c r="L5404" s="4"/>
      <c r="M5404" s="5" t="s">
        <v>4174</v>
      </c>
    </row>
    <row r="5405" customFormat="false" ht="15.75" hidden="false" customHeight="false" outlineLevel="0" collapsed="false">
      <c r="A5405" s="6" t="n">
        <v>46200</v>
      </c>
      <c r="B5405" s="4" t="s">
        <v>915</v>
      </c>
      <c r="C5405" s="4" t="n">
        <v>4</v>
      </c>
      <c r="D5405" s="4" t="n">
        <v>6</v>
      </c>
      <c r="E5405" s="4" t="s">
        <v>4297</v>
      </c>
      <c r="F5405" s="4" t="n">
        <v>37</v>
      </c>
      <c r="G5405" s="4" t="n">
        <v>3</v>
      </c>
      <c r="H5405" s="4" t="n">
        <v>4</v>
      </c>
      <c r="I5405" s="4" t="str">
        <v>×</v>
      </c>
      <c r="J5405" s="4"/>
      <c r="K5405" s="4"/>
      <c r="L5405" s="4"/>
      <c r="M5405" s="5" t="s">
        <v>4174</v>
      </c>
    </row>
    <row r="5406" customFormat="false" ht="15.75" hidden="false" customHeight="false" outlineLevel="0" collapsed="false">
      <c r="A5406" s="6" t="n">
        <v>46200</v>
      </c>
      <c r="B5406" s="4" t="s">
        <v>915</v>
      </c>
      <c r="C5406" s="4" t="n">
        <v>4</v>
      </c>
      <c r="D5406" s="4" t="n">
        <v>7</v>
      </c>
      <c r="E5406" s="4" t="s">
        <v>4298</v>
      </c>
      <c r="F5406" s="4" t="n">
        <v>37</v>
      </c>
      <c r="G5406" s="4" t="n">
        <v>3</v>
      </c>
      <c r="H5406" s="4" t="n">
        <v>4</v>
      </c>
      <c r="I5406" s="4" t="str">
        <v>×</v>
      </c>
      <c r="J5406" s="4"/>
      <c r="K5406" s="4"/>
      <c r="L5406" s="4"/>
      <c r="M5406" s="5" t="s">
        <v>4174</v>
      </c>
    </row>
    <row r="5407" customFormat="false" ht="15.75" hidden="false" customHeight="false" outlineLevel="0" collapsed="false">
      <c r="A5407" s="6" t="n">
        <v>46200</v>
      </c>
      <c r="B5407" s="4" t="s">
        <v>915</v>
      </c>
      <c r="C5407" s="4" t="n">
        <v>4</v>
      </c>
      <c r="D5407" s="4" t="n">
        <v>8</v>
      </c>
      <c r="E5407" s="4" t="s">
        <v>4299</v>
      </c>
      <c r="F5407" s="4" t="n">
        <v>27</v>
      </c>
      <c r="G5407" s="4" t="n">
        <v>7</v>
      </c>
      <c r="H5407" s="4" t="n">
        <v>2</v>
      </c>
      <c r="I5407" s="4" t="str">
        <v>○</v>
      </c>
      <c r="J5407" s="4" t="n">
        <v>190</v>
      </c>
      <c r="K5407" s="4"/>
      <c r="L5407" s="4"/>
      <c r="M5407" s="5" t="s">
        <v>4174</v>
      </c>
    </row>
    <row r="5408" customFormat="false" ht="15.75" hidden="false" customHeight="false" outlineLevel="0" collapsed="false">
      <c r="A5408" s="6" t="n">
        <v>46200</v>
      </c>
      <c r="B5408" s="4" t="s">
        <v>915</v>
      </c>
      <c r="C5408" s="4" t="n">
        <v>4</v>
      </c>
      <c r="D5408" s="4" t="n">
        <v>9</v>
      </c>
      <c r="E5408" s="4" t="s">
        <v>128</v>
      </c>
      <c r="F5408" s="4" t="n">
        <v>24</v>
      </c>
      <c r="G5408" s="4" t="n">
        <v>8</v>
      </c>
      <c r="H5408" s="4" t="n">
        <v>4</v>
      </c>
      <c r="I5408" s="4" t="str">
        <v>×</v>
      </c>
      <c r="J5408" s="4"/>
      <c r="K5408" s="4"/>
      <c r="L5408" s="4"/>
      <c r="M5408" s="5" t="s">
        <v>4174</v>
      </c>
    </row>
    <row r="5409" customFormat="false" ht="15.75" hidden="false" customHeight="false" outlineLevel="0" collapsed="false">
      <c r="A5409" s="6" t="n">
        <v>46200</v>
      </c>
      <c r="B5409" s="4" t="s">
        <v>915</v>
      </c>
      <c r="C5409" s="4" t="n">
        <v>4</v>
      </c>
      <c r="D5409" s="4" t="n">
        <v>10</v>
      </c>
      <c r="E5409" s="4" t="s">
        <v>127</v>
      </c>
      <c r="F5409" s="4" t="n">
        <v>16</v>
      </c>
      <c r="G5409" s="4" t="n">
        <v>9</v>
      </c>
      <c r="H5409" s="4" t="n">
        <v>4</v>
      </c>
      <c r="I5409" s="4" t="str">
        <v>×</v>
      </c>
      <c r="J5409" s="4"/>
      <c r="K5409" s="4"/>
      <c r="L5409" s="4"/>
      <c r="M5409" s="5" t="s">
        <v>4174</v>
      </c>
    </row>
    <row r="5410" customFormat="false" ht="15.75" hidden="false" customHeight="false" outlineLevel="0" collapsed="false">
      <c r="A5410" s="6" t="n">
        <v>46200</v>
      </c>
      <c r="B5410" s="4" t="s">
        <v>915</v>
      </c>
      <c r="C5410" s="4" t="n">
        <v>5</v>
      </c>
      <c r="D5410" s="4" t="n">
        <v>1</v>
      </c>
      <c r="E5410" s="4" t="s">
        <v>3698</v>
      </c>
      <c r="F5410" s="4" t="n">
        <v>27</v>
      </c>
      <c r="G5410" s="4" t="n">
        <v>2</v>
      </c>
      <c r="H5410" s="4" t="n">
        <v>4</v>
      </c>
      <c r="I5410" s="4" t="str">
        <v>×</v>
      </c>
      <c r="J5410" s="4"/>
      <c r="K5410" s="4"/>
      <c r="L5410" s="4"/>
      <c r="M5410" s="5" t="s">
        <v>4174</v>
      </c>
    </row>
    <row r="5411" customFormat="false" ht="15.75" hidden="false" customHeight="false" outlineLevel="0" collapsed="false">
      <c r="A5411" s="6" t="n">
        <v>46200</v>
      </c>
      <c r="B5411" s="4" t="s">
        <v>915</v>
      </c>
      <c r="C5411" s="4" t="n">
        <v>5</v>
      </c>
      <c r="D5411" s="4" t="n">
        <v>2</v>
      </c>
      <c r="E5411" s="4" t="s">
        <v>4300</v>
      </c>
      <c r="F5411" s="4" t="n">
        <v>21</v>
      </c>
      <c r="G5411" s="4" t="n">
        <v>5</v>
      </c>
      <c r="H5411" s="4" t="n">
        <v>4</v>
      </c>
      <c r="I5411" s="4" t="str">
        <v>×</v>
      </c>
      <c r="J5411" s="4"/>
      <c r="K5411" s="4"/>
      <c r="L5411" s="4"/>
      <c r="M5411" s="5" t="s">
        <v>4174</v>
      </c>
    </row>
    <row r="5412" customFormat="false" ht="15.75" hidden="false" customHeight="false" outlineLevel="0" collapsed="false">
      <c r="A5412" s="6" t="n">
        <v>46200</v>
      </c>
      <c r="B5412" s="4" t="s">
        <v>915</v>
      </c>
      <c r="C5412" s="4" t="n">
        <v>5</v>
      </c>
      <c r="D5412" s="4" t="n">
        <v>3</v>
      </c>
      <c r="E5412" s="4" t="s">
        <v>4301</v>
      </c>
      <c r="F5412" s="4" t="n">
        <v>37</v>
      </c>
      <c r="G5412" s="4" t="n">
        <v>1</v>
      </c>
      <c r="H5412" s="4" t="n">
        <v>1</v>
      </c>
      <c r="I5412" s="4" t="str">
        <v>○</v>
      </c>
      <c r="J5412" s="4" t="n">
        <v>110</v>
      </c>
      <c r="K5412" s="4"/>
      <c r="L5412" s="4"/>
      <c r="M5412" s="5" t="s">
        <v>4174</v>
      </c>
    </row>
    <row r="5413" customFormat="false" ht="15.75" hidden="false" customHeight="false" outlineLevel="0" collapsed="false">
      <c r="A5413" s="6" t="n">
        <v>46200</v>
      </c>
      <c r="B5413" s="4" t="s">
        <v>915</v>
      </c>
      <c r="C5413" s="4" t="n">
        <v>5</v>
      </c>
      <c r="D5413" s="4" t="n">
        <v>4</v>
      </c>
      <c r="E5413" s="4" t="s">
        <v>925</v>
      </c>
      <c r="F5413" s="4" t="n">
        <v>21</v>
      </c>
      <c r="G5413" s="4" t="n">
        <v>5</v>
      </c>
      <c r="H5413" s="4" t="n">
        <v>4</v>
      </c>
      <c r="I5413" s="4" t="str">
        <v>×</v>
      </c>
      <c r="J5413" s="4"/>
      <c r="K5413" s="4"/>
      <c r="L5413" s="4"/>
      <c r="M5413" s="5" t="s">
        <v>4174</v>
      </c>
    </row>
    <row r="5414" customFormat="false" ht="15.75" hidden="false" customHeight="false" outlineLevel="0" collapsed="false">
      <c r="A5414" s="6" t="n">
        <v>46200</v>
      </c>
      <c r="B5414" s="4" t="s">
        <v>915</v>
      </c>
      <c r="C5414" s="4" t="n">
        <v>5</v>
      </c>
      <c r="D5414" s="4" t="n">
        <v>5</v>
      </c>
      <c r="E5414" s="4" t="s">
        <v>1384</v>
      </c>
      <c r="F5414" s="4" t="n">
        <v>21</v>
      </c>
      <c r="G5414" s="4" t="n">
        <v>5</v>
      </c>
      <c r="H5414" s="4" t="n">
        <v>4</v>
      </c>
      <c r="I5414" s="4" t="str">
        <v>×</v>
      </c>
      <c r="J5414" s="4"/>
      <c r="K5414" s="4"/>
      <c r="L5414" s="4"/>
      <c r="M5414" s="5" t="s">
        <v>4174</v>
      </c>
    </row>
    <row r="5415" customFormat="false" ht="15.75" hidden="false" customHeight="false" outlineLevel="0" collapsed="false">
      <c r="A5415" s="6" t="n">
        <v>46200</v>
      </c>
      <c r="B5415" s="4" t="s">
        <v>915</v>
      </c>
      <c r="C5415" s="4" t="n">
        <v>5</v>
      </c>
      <c r="D5415" s="4" t="n">
        <v>6</v>
      </c>
      <c r="E5415" s="4" t="s">
        <v>921</v>
      </c>
      <c r="F5415" s="4" t="n">
        <v>24</v>
      </c>
      <c r="G5415" s="4" t="n">
        <v>3</v>
      </c>
      <c r="H5415" s="4" t="n">
        <v>2</v>
      </c>
      <c r="I5415" s="4" t="str">
        <v>○</v>
      </c>
      <c r="J5415" s="4" t="n">
        <v>130</v>
      </c>
      <c r="K5415" s="4"/>
      <c r="L5415" s="4"/>
      <c r="M5415" s="5" t="s">
        <v>4174</v>
      </c>
    </row>
    <row r="5416" customFormat="false" ht="15.75" hidden="false" customHeight="false" outlineLevel="0" collapsed="false">
      <c r="A5416" s="6" t="n">
        <v>46200</v>
      </c>
      <c r="B5416" s="4" t="s">
        <v>915</v>
      </c>
      <c r="C5416" s="4" t="n">
        <v>5</v>
      </c>
      <c r="D5416" s="4" t="n">
        <v>7</v>
      </c>
      <c r="E5416" s="4" t="s">
        <v>4302</v>
      </c>
      <c r="F5416" s="4" t="n">
        <v>21</v>
      </c>
      <c r="G5416" s="4" t="n">
        <v>5</v>
      </c>
      <c r="H5416" s="4" t="n">
        <v>4</v>
      </c>
      <c r="I5416" s="4" t="str">
        <v>×</v>
      </c>
      <c r="J5416" s="4"/>
      <c r="K5416" s="4"/>
      <c r="L5416" s="4"/>
      <c r="M5416" s="5" t="s">
        <v>4174</v>
      </c>
    </row>
    <row r="5417" customFormat="false" ht="15.75" hidden="false" customHeight="false" outlineLevel="0" collapsed="false">
      <c r="A5417" s="6" t="n">
        <v>46200</v>
      </c>
      <c r="B5417" s="4" t="s">
        <v>915</v>
      </c>
      <c r="C5417" s="4" t="n">
        <v>5</v>
      </c>
      <c r="D5417" s="4" t="n">
        <v>8</v>
      </c>
      <c r="E5417" s="4" t="s">
        <v>4303</v>
      </c>
      <c r="F5417" s="4" t="n">
        <v>12</v>
      </c>
      <c r="G5417" s="4" t="n">
        <v>11</v>
      </c>
      <c r="H5417" s="4" t="n">
        <v>4</v>
      </c>
      <c r="I5417" s="4" t="str">
        <v>×</v>
      </c>
      <c r="J5417" s="4"/>
      <c r="K5417" s="4"/>
      <c r="L5417" s="4"/>
      <c r="M5417" s="5" t="s">
        <v>4174</v>
      </c>
    </row>
    <row r="5418" customFormat="false" ht="15.75" hidden="false" customHeight="false" outlineLevel="0" collapsed="false">
      <c r="A5418" s="6" t="n">
        <v>46200</v>
      </c>
      <c r="B5418" s="4" t="s">
        <v>915</v>
      </c>
      <c r="C5418" s="4" t="n">
        <v>5</v>
      </c>
      <c r="D5418" s="4" t="n">
        <v>9</v>
      </c>
      <c r="E5418" s="4" t="s">
        <v>928</v>
      </c>
      <c r="F5418" s="4" t="n">
        <v>24</v>
      </c>
      <c r="G5418" s="4" t="n">
        <v>3</v>
      </c>
      <c r="H5418" s="4" t="n">
        <v>3</v>
      </c>
      <c r="I5418" s="4" t="str">
        <v>○</v>
      </c>
      <c r="J5418" s="4" t="n">
        <v>140</v>
      </c>
      <c r="K5418" s="4"/>
      <c r="L5418" s="4"/>
      <c r="M5418" s="5" t="s">
        <v>4174</v>
      </c>
    </row>
    <row r="5419" customFormat="false" ht="15.75" hidden="false" customHeight="false" outlineLevel="0" collapsed="false">
      <c r="A5419" s="6" t="n">
        <v>46200</v>
      </c>
      <c r="B5419" s="4" t="s">
        <v>915</v>
      </c>
      <c r="C5419" s="4" t="n">
        <v>5</v>
      </c>
      <c r="D5419" s="4" t="n">
        <v>10</v>
      </c>
      <c r="E5419" s="4" t="s">
        <v>1906</v>
      </c>
      <c r="F5419" s="4" t="n">
        <v>21</v>
      </c>
      <c r="G5419" s="4" t="n">
        <v>5</v>
      </c>
      <c r="H5419" s="4" t="n">
        <v>4</v>
      </c>
      <c r="I5419" s="4" t="str">
        <v>×</v>
      </c>
      <c r="J5419" s="4"/>
      <c r="K5419" s="4"/>
      <c r="L5419" s="4"/>
      <c r="M5419" s="5" t="s">
        <v>4174</v>
      </c>
    </row>
    <row r="5420" customFormat="false" ht="15.75" hidden="false" customHeight="false" outlineLevel="0" collapsed="false">
      <c r="A5420" s="6" t="n">
        <v>46200</v>
      </c>
      <c r="B5420" s="4" t="s">
        <v>915</v>
      </c>
      <c r="C5420" s="4" t="n">
        <v>5</v>
      </c>
      <c r="D5420" s="4" t="n">
        <v>11</v>
      </c>
      <c r="E5420" s="4" t="s">
        <v>4304</v>
      </c>
      <c r="F5420" s="4" t="n">
        <v>16</v>
      </c>
      <c r="G5420" s="4" t="n">
        <v>10</v>
      </c>
      <c r="H5420" s="4" t="n">
        <v>4</v>
      </c>
      <c r="I5420" s="4" t="str">
        <v>×</v>
      </c>
      <c r="J5420" s="4"/>
      <c r="K5420" s="4"/>
      <c r="L5420" s="4"/>
      <c r="M5420" s="5" t="s">
        <v>4174</v>
      </c>
    </row>
    <row r="5421" customFormat="false" ht="15.75" hidden="false" customHeight="false" outlineLevel="0" collapsed="false">
      <c r="A5421" s="6" t="n">
        <v>46200</v>
      </c>
      <c r="B5421" s="4" t="s">
        <v>915</v>
      </c>
      <c r="C5421" s="4" t="n">
        <v>6</v>
      </c>
      <c r="D5421" s="4" t="n">
        <v>1</v>
      </c>
      <c r="E5421" s="4" t="s">
        <v>1390</v>
      </c>
      <c r="F5421" s="4" t="n">
        <v>27</v>
      </c>
      <c r="G5421" s="4" t="n">
        <v>5</v>
      </c>
      <c r="H5421" s="4" t="n">
        <v>4</v>
      </c>
      <c r="I5421" s="4" t="str">
        <v>×</v>
      </c>
      <c r="J5421" s="4"/>
      <c r="K5421" s="4"/>
      <c r="L5421" s="4"/>
      <c r="M5421" s="5" t="s">
        <v>4174</v>
      </c>
    </row>
    <row r="5422" customFormat="false" ht="15.75" hidden="false" customHeight="false" outlineLevel="0" collapsed="false">
      <c r="A5422" s="6" t="n">
        <v>46200</v>
      </c>
      <c r="B5422" s="4" t="s">
        <v>915</v>
      </c>
      <c r="C5422" s="4" t="n">
        <v>6</v>
      </c>
      <c r="D5422" s="4" t="n">
        <v>2</v>
      </c>
      <c r="E5422" s="4" t="s">
        <v>4305</v>
      </c>
      <c r="F5422" s="4" t="n">
        <v>37</v>
      </c>
      <c r="G5422" s="4" t="n">
        <v>1</v>
      </c>
      <c r="H5422" s="4" t="n">
        <v>1</v>
      </c>
      <c r="I5422" s="4" t="str">
        <v>○</v>
      </c>
      <c r="J5422" s="4" t="n">
        <v>120</v>
      </c>
      <c r="K5422" s="4"/>
      <c r="L5422" s="4"/>
      <c r="M5422" s="5" t="s">
        <v>4174</v>
      </c>
    </row>
    <row r="5423" customFormat="false" ht="15.75" hidden="false" customHeight="false" outlineLevel="0" collapsed="false">
      <c r="A5423" s="6" t="n">
        <v>46200</v>
      </c>
      <c r="B5423" s="4" t="s">
        <v>915</v>
      </c>
      <c r="C5423" s="4" t="n">
        <v>6</v>
      </c>
      <c r="D5423" s="4" t="n">
        <v>3</v>
      </c>
      <c r="E5423" s="4" t="s">
        <v>4306</v>
      </c>
      <c r="F5423" s="4" t="n">
        <v>27</v>
      </c>
      <c r="G5423" s="4" t="n">
        <v>5</v>
      </c>
      <c r="H5423" s="4" t="n">
        <v>4</v>
      </c>
      <c r="I5423" s="4" t="str">
        <v>×</v>
      </c>
      <c r="J5423" s="4"/>
      <c r="K5423" s="4"/>
      <c r="L5423" s="4"/>
      <c r="M5423" s="5" t="s">
        <v>4174</v>
      </c>
    </row>
    <row r="5424" customFormat="false" ht="15.75" hidden="false" customHeight="false" outlineLevel="0" collapsed="false">
      <c r="A5424" s="6" t="n">
        <v>46200</v>
      </c>
      <c r="B5424" s="4" t="s">
        <v>915</v>
      </c>
      <c r="C5424" s="4" t="n">
        <v>6</v>
      </c>
      <c r="D5424" s="4" t="n">
        <v>4</v>
      </c>
      <c r="E5424" s="4" t="s">
        <v>4307</v>
      </c>
      <c r="F5424" s="4" t="n">
        <v>31</v>
      </c>
      <c r="G5424" s="4" t="n">
        <v>3</v>
      </c>
      <c r="H5424" s="4" t="n">
        <v>4</v>
      </c>
      <c r="I5424" s="4" t="str">
        <v>×</v>
      </c>
      <c r="J5424" s="4"/>
      <c r="K5424" s="4"/>
      <c r="L5424" s="4"/>
      <c r="M5424" s="5" t="s">
        <v>4174</v>
      </c>
    </row>
    <row r="5425" customFormat="false" ht="15.75" hidden="false" customHeight="false" outlineLevel="0" collapsed="false">
      <c r="A5425" s="6" t="n">
        <v>46200</v>
      </c>
      <c r="B5425" s="4" t="s">
        <v>915</v>
      </c>
      <c r="C5425" s="4" t="n">
        <v>6</v>
      </c>
      <c r="D5425" s="4" t="n">
        <v>5</v>
      </c>
      <c r="E5425" s="4" t="s">
        <v>185</v>
      </c>
      <c r="F5425" s="4" t="n">
        <v>37</v>
      </c>
      <c r="G5425" s="4" t="n">
        <v>1</v>
      </c>
      <c r="H5425" s="4" t="n">
        <v>3</v>
      </c>
      <c r="I5425" s="4" t="str">
        <v>○</v>
      </c>
      <c r="J5425" s="4" t="n">
        <v>130</v>
      </c>
      <c r="K5425" s="4"/>
      <c r="L5425" s="4"/>
      <c r="M5425" s="5" t="s">
        <v>4174</v>
      </c>
    </row>
    <row r="5426" customFormat="false" ht="15.75" hidden="false" customHeight="false" outlineLevel="0" collapsed="false">
      <c r="A5426" s="6" t="n">
        <v>46200</v>
      </c>
      <c r="B5426" s="4" t="s">
        <v>915</v>
      </c>
      <c r="C5426" s="4" t="n">
        <v>6</v>
      </c>
      <c r="D5426" s="4" t="n">
        <v>6</v>
      </c>
      <c r="E5426" s="4" t="s">
        <v>929</v>
      </c>
      <c r="F5426" s="4" t="n">
        <v>16</v>
      </c>
      <c r="G5426" s="4" t="n">
        <v>9</v>
      </c>
      <c r="H5426" s="4" t="n">
        <v>4</v>
      </c>
      <c r="I5426" s="4" t="str">
        <v>×</v>
      </c>
      <c r="J5426" s="4"/>
      <c r="K5426" s="4"/>
      <c r="L5426" s="4"/>
      <c r="M5426" s="5" t="s">
        <v>4174</v>
      </c>
    </row>
    <row r="5427" customFormat="false" ht="15.75" hidden="false" customHeight="false" outlineLevel="0" collapsed="false">
      <c r="A5427" s="6" t="n">
        <v>46200</v>
      </c>
      <c r="B5427" s="4" t="s">
        <v>915</v>
      </c>
      <c r="C5427" s="4" t="n">
        <v>6</v>
      </c>
      <c r="D5427" s="4" t="n">
        <v>7</v>
      </c>
      <c r="E5427" s="4" t="s">
        <v>4308</v>
      </c>
      <c r="F5427" s="4" t="n">
        <v>21</v>
      </c>
      <c r="G5427" s="4" t="n">
        <v>8</v>
      </c>
      <c r="H5427" s="4" t="n">
        <v>4</v>
      </c>
      <c r="I5427" s="4" t="str">
        <v>×</v>
      </c>
      <c r="J5427" s="4"/>
      <c r="K5427" s="4"/>
      <c r="L5427" s="4"/>
      <c r="M5427" s="5" t="s">
        <v>4174</v>
      </c>
    </row>
    <row r="5428" customFormat="false" ht="15.75" hidden="false" customHeight="false" outlineLevel="0" collapsed="false">
      <c r="A5428" s="6" t="n">
        <v>46200</v>
      </c>
      <c r="B5428" s="4" t="s">
        <v>915</v>
      </c>
      <c r="C5428" s="4" t="n">
        <v>6</v>
      </c>
      <c r="D5428" s="4" t="n">
        <v>8</v>
      </c>
      <c r="E5428" s="4" t="s">
        <v>4309</v>
      </c>
      <c r="F5428" s="4" t="n">
        <v>27</v>
      </c>
      <c r="G5428" s="4" t="n">
        <v>5</v>
      </c>
      <c r="H5428" s="4" t="n">
        <v>4</v>
      </c>
      <c r="I5428" s="4" t="str">
        <v>×</v>
      </c>
      <c r="J5428" s="4"/>
      <c r="K5428" s="4"/>
      <c r="L5428" s="4"/>
      <c r="M5428" s="5" t="s">
        <v>4174</v>
      </c>
    </row>
    <row r="5429" customFormat="false" ht="15.75" hidden="false" customHeight="false" outlineLevel="0" collapsed="false">
      <c r="A5429" s="6" t="n">
        <v>46200</v>
      </c>
      <c r="B5429" s="4" t="s">
        <v>915</v>
      </c>
      <c r="C5429" s="4" t="n">
        <v>6</v>
      </c>
      <c r="D5429" s="4" t="n">
        <v>9</v>
      </c>
      <c r="E5429" s="4" t="s">
        <v>1382</v>
      </c>
      <c r="F5429" s="4" t="n">
        <v>31</v>
      </c>
      <c r="G5429" s="4" t="n">
        <v>3</v>
      </c>
      <c r="H5429" s="4" t="n">
        <v>2</v>
      </c>
      <c r="I5429" s="4" t="str">
        <v>○</v>
      </c>
      <c r="J5429" s="4" t="n">
        <v>110</v>
      </c>
      <c r="K5429" s="4"/>
      <c r="L5429" s="4"/>
      <c r="M5429" s="5" t="s">
        <v>4174</v>
      </c>
    </row>
    <row r="5430" customFormat="false" ht="15.75" hidden="false" customHeight="false" outlineLevel="0" collapsed="false">
      <c r="A5430" s="6" t="n">
        <v>46200</v>
      </c>
      <c r="B5430" s="4" t="s">
        <v>915</v>
      </c>
      <c r="C5430" s="4" t="n">
        <v>6</v>
      </c>
      <c r="D5430" s="4" t="n">
        <v>10</v>
      </c>
      <c r="E5430" s="4" t="s">
        <v>4310</v>
      </c>
      <c r="F5430" s="4" t="n">
        <v>16</v>
      </c>
      <c r="G5430" s="4" t="n">
        <v>9</v>
      </c>
      <c r="H5430" s="4" t="n">
        <v>4</v>
      </c>
      <c r="I5430" s="4" t="str">
        <v>×</v>
      </c>
      <c r="J5430" s="4"/>
      <c r="K5430" s="4"/>
      <c r="L5430" s="4"/>
      <c r="M5430" s="5" t="s">
        <v>4174</v>
      </c>
    </row>
    <row r="5431" customFormat="false" ht="15.75" hidden="false" customHeight="false" outlineLevel="0" collapsed="false">
      <c r="A5431" s="6" t="n">
        <v>46200</v>
      </c>
      <c r="B5431" s="4" t="s">
        <v>915</v>
      </c>
      <c r="C5431" s="4" t="n">
        <v>7</v>
      </c>
      <c r="D5431" s="4" t="n">
        <v>1</v>
      </c>
      <c r="E5431" s="4" t="s">
        <v>516</v>
      </c>
      <c r="F5431" s="4" t="n">
        <v>29</v>
      </c>
      <c r="G5431" s="4" t="n">
        <v>4</v>
      </c>
      <c r="H5431" s="4" t="n">
        <v>4</v>
      </c>
      <c r="I5431" s="4" t="str">
        <v>×</v>
      </c>
      <c r="J5431" s="4"/>
      <c r="K5431" s="4"/>
      <c r="L5431" s="4"/>
      <c r="M5431" s="5" t="s">
        <v>4174</v>
      </c>
    </row>
    <row r="5432" customFormat="false" ht="15.75" hidden="false" customHeight="false" outlineLevel="0" collapsed="false">
      <c r="A5432" s="6" t="n">
        <v>46200</v>
      </c>
      <c r="B5432" s="4" t="s">
        <v>915</v>
      </c>
      <c r="C5432" s="4" t="n">
        <v>7</v>
      </c>
      <c r="D5432" s="4" t="n">
        <v>2</v>
      </c>
      <c r="E5432" s="4" t="s">
        <v>4311</v>
      </c>
      <c r="F5432" s="4" t="n">
        <v>10</v>
      </c>
      <c r="G5432" s="4" t="n">
        <v>6</v>
      </c>
      <c r="H5432" s="4" t="n">
        <v>4</v>
      </c>
      <c r="I5432" s="4" t="str">
        <v>×</v>
      </c>
      <c r="J5432" s="4"/>
      <c r="K5432" s="4"/>
      <c r="L5432" s="4"/>
      <c r="M5432" s="5" t="s">
        <v>4174</v>
      </c>
    </row>
    <row r="5433" customFormat="false" ht="15.75" hidden="false" customHeight="false" outlineLevel="0" collapsed="false">
      <c r="A5433" s="6" t="n">
        <v>46200</v>
      </c>
      <c r="B5433" s="4" t="s">
        <v>915</v>
      </c>
      <c r="C5433" s="4" t="n">
        <v>7</v>
      </c>
      <c r="D5433" s="4" t="n">
        <v>3</v>
      </c>
      <c r="E5433" s="4" t="s">
        <v>4312</v>
      </c>
      <c r="F5433" s="4" t="n">
        <v>52</v>
      </c>
      <c r="G5433" s="4" t="n">
        <v>2</v>
      </c>
      <c r="H5433" s="4" t="n">
        <v>1</v>
      </c>
      <c r="I5433" s="4" t="str">
        <v>○</v>
      </c>
      <c r="J5433" s="4" t="n">
        <v>160</v>
      </c>
      <c r="K5433" s="4"/>
      <c r="L5433" s="4"/>
      <c r="M5433" s="5" t="s">
        <v>4174</v>
      </c>
    </row>
    <row r="5434" customFormat="false" ht="15.75" hidden="false" customHeight="false" outlineLevel="0" collapsed="false">
      <c r="A5434" s="6" t="n">
        <v>46200</v>
      </c>
      <c r="B5434" s="4" t="s">
        <v>915</v>
      </c>
      <c r="C5434" s="4" t="n">
        <v>7</v>
      </c>
      <c r="D5434" s="4" t="n">
        <v>4</v>
      </c>
      <c r="E5434" s="4" t="s">
        <v>1397</v>
      </c>
      <c r="F5434" s="4" t="n">
        <v>13</v>
      </c>
      <c r="G5434" s="4" t="n">
        <v>5</v>
      </c>
      <c r="H5434" s="4" t="n">
        <v>3</v>
      </c>
      <c r="I5434" s="4" t="str">
        <v>○</v>
      </c>
      <c r="J5434" s="4" t="n">
        <v>590</v>
      </c>
      <c r="K5434" s="4"/>
      <c r="L5434" s="4"/>
      <c r="M5434" s="5" t="s">
        <v>4174</v>
      </c>
    </row>
    <row r="5435" customFormat="false" ht="15.75" hidden="false" customHeight="false" outlineLevel="0" collapsed="false">
      <c r="A5435" s="6" t="n">
        <v>46200</v>
      </c>
      <c r="B5435" s="4" t="s">
        <v>915</v>
      </c>
      <c r="C5435" s="4" t="n">
        <v>7</v>
      </c>
      <c r="D5435" s="4" t="n">
        <v>5</v>
      </c>
      <c r="E5435" s="4" t="s">
        <v>4313</v>
      </c>
      <c r="F5435" s="4" t="n">
        <v>71</v>
      </c>
      <c r="G5435" s="4" t="n">
        <v>1</v>
      </c>
      <c r="H5435" s="4" t="n">
        <v>4</v>
      </c>
      <c r="I5435" s="4" t="str">
        <v>×</v>
      </c>
      <c r="J5435" s="4"/>
      <c r="K5435" s="4"/>
      <c r="L5435" s="4"/>
      <c r="M5435" s="5" t="s">
        <v>4174</v>
      </c>
    </row>
    <row r="5436" customFormat="false" ht="15.75" hidden="false" customHeight="false" outlineLevel="0" collapsed="false">
      <c r="A5436" s="6" t="n">
        <v>46200</v>
      </c>
      <c r="B5436" s="4" t="s">
        <v>915</v>
      </c>
      <c r="C5436" s="4" t="n">
        <v>7</v>
      </c>
      <c r="D5436" s="4" t="n">
        <v>6</v>
      </c>
      <c r="E5436" s="4" t="s">
        <v>4024</v>
      </c>
      <c r="F5436" s="4" t="n">
        <v>8</v>
      </c>
      <c r="G5436" s="4" t="n">
        <v>7</v>
      </c>
      <c r="H5436" s="4" t="n">
        <v>4</v>
      </c>
      <c r="I5436" s="4" t="str">
        <v>×</v>
      </c>
      <c r="J5436" s="4"/>
      <c r="K5436" s="4"/>
      <c r="L5436" s="4"/>
      <c r="M5436" s="5" t="s">
        <v>4174</v>
      </c>
    </row>
    <row r="5437" customFormat="false" ht="15.75" hidden="false" customHeight="false" outlineLevel="0" collapsed="false">
      <c r="A5437" s="6" t="n">
        <v>46200</v>
      </c>
      <c r="B5437" s="4" t="s">
        <v>915</v>
      </c>
      <c r="C5437" s="4" t="n">
        <v>7</v>
      </c>
      <c r="D5437" s="4" t="n">
        <v>7</v>
      </c>
      <c r="E5437" s="4" t="s">
        <v>4021</v>
      </c>
      <c r="F5437" s="4" t="n">
        <v>37</v>
      </c>
      <c r="G5437" s="4" t="n">
        <v>3</v>
      </c>
      <c r="H5437" s="4" t="n">
        <v>4</v>
      </c>
      <c r="I5437" s="4" t="str">
        <v>×</v>
      </c>
      <c r="J5437" s="4"/>
      <c r="K5437" s="4"/>
      <c r="L5437" s="4"/>
      <c r="M5437" s="5" t="s">
        <v>4174</v>
      </c>
    </row>
    <row r="5438" customFormat="false" ht="15.75" hidden="false" customHeight="false" outlineLevel="0" collapsed="false">
      <c r="A5438" s="6" t="n">
        <v>46200</v>
      </c>
      <c r="B5438" s="4" t="s">
        <v>915</v>
      </c>
      <c r="C5438" s="4" t="n">
        <v>7</v>
      </c>
      <c r="D5438" s="4" t="n">
        <v>8</v>
      </c>
      <c r="E5438" s="4" t="s">
        <v>4314</v>
      </c>
      <c r="F5438" s="4" t="n">
        <v>3</v>
      </c>
      <c r="G5438" s="4" t="n">
        <v>12</v>
      </c>
      <c r="H5438" s="4" t="n">
        <v>4</v>
      </c>
      <c r="I5438" s="4" t="str">
        <v>×</v>
      </c>
      <c r="J5438" s="4"/>
      <c r="K5438" s="4"/>
      <c r="L5438" s="4"/>
      <c r="M5438" s="5" t="s">
        <v>4174</v>
      </c>
    </row>
    <row r="5439" customFormat="false" ht="15.75" hidden="false" customHeight="false" outlineLevel="0" collapsed="false">
      <c r="A5439" s="6" t="n">
        <v>46200</v>
      </c>
      <c r="B5439" s="4" t="s">
        <v>915</v>
      </c>
      <c r="C5439" s="4" t="n">
        <v>7</v>
      </c>
      <c r="D5439" s="4" t="n">
        <v>9</v>
      </c>
      <c r="E5439" s="4" t="s">
        <v>4315</v>
      </c>
      <c r="F5439" s="4" t="n">
        <v>6</v>
      </c>
      <c r="G5439" s="4" t="n">
        <v>9</v>
      </c>
      <c r="H5439" s="4" t="n">
        <v>4</v>
      </c>
      <c r="I5439" s="4" t="str">
        <v>×</v>
      </c>
      <c r="J5439" s="4"/>
      <c r="K5439" s="4"/>
      <c r="L5439" s="4"/>
      <c r="M5439" s="5" t="s">
        <v>4174</v>
      </c>
    </row>
    <row r="5440" customFormat="false" ht="15.75" hidden="false" customHeight="false" outlineLevel="0" collapsed="false">
      <c r="A5440" s="6" t="n">
        <v>46200</v>
      </c>
      <c r="B5440" s="4" t="s">
        <v>915</v>
      </c>
      <c r="C5440" s="4" t="n">
        <v>7</v>
      </c>
      <c r="D5440" s="4" t="n">
        <v>10</v>
      </c>
      <c r="E5440" s="4" t="s">
        <v>4316</v>
      </c>
      <c r="F5440" s="4" t="n">
        <v>3</v>
      </c>
      <c r="G5440" s="4" t="n">
        <v>12</v>
      </c>
      <c r="H5440" s="4" t="n">
        <v>4</v>
      </c>
      <c r="I5440" s="4" t="str">
        <v>×</v>
      </c>
      <c r="J5440" s="4"/>
      <c r="K5440" s="4"/>
      <c r="L5440" s="4"/>
      <c r="M5440" s="5" t="s">
        <v>4174</v>
      </c>
    </row>
    <row r="5441" customFormat="false" ht="15.75" hidden="false" customHeight="false" outlineLevel="0" collapsed="false">
      <c r="A5441" s="6" t="n">
        <v>46200</v>
      </c>
      <c r="B5441" s="4" t="s">
        <v>915</v>
      </c>
      <c r="C5441" s="4" t="n">
        <v>7</v>
      </c>
      <c r="D5441" s="4" t="n">
        <v>11</v>
      </c>
      <c r="E5441" s="4" t="s">
        <v>361</v>
      </c>
      <c r="F5441" s="4" t="n">
        <v>1</v>
      </c>
      <c r="G5441" s="4" t="n">
        <v>16</v>
      </c>
      <c r="H5441" s="4" t="n">
        <v>4</v>
      </c>
      <c r="I5441" s="4" t="str">
        <v>×</v>
      </c>
      <c r="J5441" s="4"/>
      <c r="K5441" s="4"/>
      <c r="L5441" s="4"/>
      <c r="M5441" s="5" t="s">
        <v>4174</v>
      </c>
    </row>
    <row r="5442" customFormat="false" ht="15.75" hidden="false" customHeight="false" outlineLevel="0" collapsed="false">
      <c r="A5442" s="6" t="n">
        <v>46200</v>
      </c>
      <c r="B5442" s="4" t="s">
        <v>915</v>
      </c>
      <c r="C5442" s="4" t="n">
        <v>7</v>
      </c>
      <c r="D5442" s="4" t="n">
        <v>12</v>
      </c>
      <c r="E5442" s="4" t="s">
        <v>4317</v>
      </c>
      <c r="F5442" s="4" t="n">
        <v>6</v>
      </c>
      <c r="G5442" s="4" t="n">
        <v>9</v>
      </c>
      <c r="H5442" s="4" t="n">
        <v>4</v>
      </c>
      <c r="I5442" s="4" t="str">
        <v>×</v>
      </c>
      <c r="J5442" s="4"/>
      <c r="K5442" s="4"/>
      <c r="L5442" s="4"/>
      <c r="M5442" s="5" t="s">
        <v>4174</v>
      </c>
    </row>
    <row r="5443" customFormat="false" ht="15.75" hidden="false" customHeight="false" outlineLevel="0" collapsed="false">
      <c r="A5443" s="6" t="n">
        <v>46200</v>
      </c>
      <c r="B5443" s="4" t="s">
        <v>915</v>
      </c>
      <c r="C5443" s="4" t="n">
        <v>7</v>
      </c>
      <c r="D5443" s="4" t="n">
        <v>13</v>
      </c>
      <c r="E5443" s="4" t="s">
        <v>4318</v>
      </c>
      <c r="F5443" s="4" t="n">
        <v>4</v>
      </c>
      <c r="G5443" s="4" t="n">
        <v>11</v>
      </c>
      <c r="H5443" s="4" t="n">
        <v>4</v>
      </c>
      <c r="I5443" s="4" t="str">
        <v>×</v>
      </c>
      <c r="J5443" s="4"/>
      <c r="K5443" s="4"/>
      <c r="L5443" s="4"/>
      <c r="M5443" s="5" t="s">
        <v>4174</v>
      </c>
    </row>
    <row r="5444" customFormat="false" ht="15.75" hidden="false" customHeight="false" outlineLevel="0" collapsed="false">
      <c r="A5444" s="6" t="n">
        <v>46200</v>
      </c>
      <c r="B5444" s="4" t="s">
        <v>915</v>
      </c>
      <c r="C5444" s="4" t="n">
        <v>7</v>
      </c>
      <c r="D5444" s="4" t="n">
        <v>14</v>
      </c>
      <c r="E5444" s="4" t="s">
        <v>4319</v>
      </c>
      <c r="F5444" s="4" t="n">
        <v>8</v>
      </c>
      <c r="G5444" s="4" t="n">
        <v>7</v>
      </c>
      <c r="H5444" s="4" t="n">
        <v>4</v>
      </c>
      <c r="I5444" s="4" t="str">
        <v>×</v>
      </c>
      <c r="J5444" s="4"/>
      <c r="K5444" s="4"/>
      <c r="L5444" s="4"/>
      <c r="M5444" s="5" t="s">
        <v>4174</v>
      </c>
    </row>
    <row r="5445" customFormat="false" ht="15.75" hidden="false" customHeight="false" outlineLevel="0" collapsed="false">
      <c r="A5445" s="6" t="n">
        <v>46200</v>
      </c>
      <c r="B5445" s="4" t="s">
        <v>915</v>
      </c>
      <c r="C5445" s="4" t="n">
        <v>7</v>
      </c>
      <c r="D5445" s="4" t="n">
        <v>15</v>
      </c>
      <c r="E5445" s="4" t="s">
        <v>4320</v>
      </c>
      <c r="F5445" s="4" t="n">
        <v>3</v>
      </c>
      <c r="G5445" s="4" t="n">
        <v>12</v>
      </c>
      <c r="H5445" s="4" t="n">
        <v>4</v>
      </c>
      <c r="I5445" s="4" t="str">
        <v>×</v>
      </c>
      <c r="J5445" s="4"/>
      <c r="K5445" s="4"/>
      <c r="L5445" s="4"/>
      <c r="M5445" s="5" t="s">
        <v>4174</v>
      </c>
    </row>
    <row r="5446" customFormat="false" ht="15.75" hidden="false" customHeight="false" outlineLevel="0" collapsed="false">
      <c r="A5446" s="6" t="n">
        <v>46200</v>
      </c>
      <c r="B5446" s="4" t="s">
        <v>915</v>
      </c>
      <c r="C5446" s="4" t="n">
        <v>7</v>
      </c>
      <c r="D5446" s="4" t="n">
        <v>16</v>
      </c>
      <c r="E5446" s="4" t="s">
        <v>1932</v>
      </c>
      <c r="F5446" s="4" t="n">
        <v>2</v>
      </c>
      <c r="G5446" s="4" t="n">
        <v>15</v>
      </c>
      <c r="H5446" s="4" t="n">
        <v>2</v>
      </c>
      <c r="I5446" s="4" t="str">
        <v>○</v>
      </c>
      <c r="J5446" s="4" t="n">
        <v>1070</v>
      </c>
      <c r="K5446" s="4"/>
      <c r="L5446" s="4"/>
      <c r="M5446" s="5" t="s">
        <v>4174</v>
      </c>
    </row>
    <row r="5447" customFormat="false" ht="15.75" hidden="false" customHeight="false" outlineLevel="0" collapsed="false">
      <c r="A5447" s="6" t="n">
        <v>46200</v>
      </c>
      <c r="B5447" s="4" t="s">
        <v>915</v>
      </c>
      <c r="C5447" s="4" t="n">
        <v>8</v>
      </c>
      <c r="D5447" s="4" t="n">
        <v>1</v>
      </c>
      <c r="E5447" s="4" t="s">
        <v>995</v>
      </c>
      <c r="F5447" s="4" t="n">
        <v>10</v>
      </c>
      <c r="G5447" s="4" t="n">
        <v>8</v>
      </c>
      <c r="H5447" s="4" t="n">
        <v>4</v>
      </c>
      <c r="I5447" s="4" t="str">
        <v>×</v>
      </c>
      <c r="J5447" s="4"/>
      <c r="K5447" s="4"/>
      <c r="L5447" s="4"/>
      <c r="M5447" s="5" t="s">
        <v>4174</v>
      </c>
    </row>
    <row r="5448" customFormat="false" ht="15.75" hidden="false" customHeight="false" outlineLevel="0" collapsed="false">
      <c r="A5448" s="6" t="n">
        <v>46200</v>
      </c>
      <c r="B5448" s="4" t="s">
        <v>915</v>
      </c>
      <c r="C5448" s="4" t="n">
        <v>8</v>
      </c>
      <c r="D5448" s="4" t="n">
        <v>2</v>
      </c>
      <c r="E5448" s="4" t="s">
        <v>4321</v>
      </c>
      <c r="F5448" s="4" t="n">
        <v>58</v>
      </c>
      <c r="G5448" s="4" t="n">
        <v>1</v>
      </c>
      <c r="H5448" s="4" t="n">
        <v>1</v>
      </c>
      <c r="I5448" s="4" t="str">
        <v>○</v>
      </c>
      <c r="J5448" s="4" t="n">
        <v>150</v>
      </c>
      <c r="K5448" s="4"/>
      <c r="L5448" s="4"/>
      <c r="M5448" s="5" t="s">
        <v>4174</v>
      </c>
    </row>
    <row r="5449" customFormat="false" ht="15.75" hidden="false" customHeight="false" outlineLevel="0" collapsed="false">
      <c r="A5449" s="6" t="n">
        <v>46200</v>
      </c>
      <c r="B5449" s="4" t="s">
        <v>915</v>
      </c>
      <c r="C5449" s="4" t="n">
        <v>8</v>
      </c>
      <c r="D5449" s="4" t="n">
        <v>3</v>
      </c>
      <c r="E5449" s="4" t="s">
        <v>4322</v>
      </c>
      <c r="F5449" s="4" t="n">
        <v>3</v>
      </c>
      <c r="G5449" s="4" t="n">
        <v>13</v>
      </c>
      <c r="H5449" s="4" t="n">
        <v>4</v>
      </c>
      <c r="I5449" s="4" t="str">
        <v>×</v>
      </c>
      <c r="J5449" s="4"/>
      <c r="K5449" s="4"/>
      <c r="L5449" s="4"/>
      <c r="M5449" s="5" t="s">
        <v>4174</v>
      </c>
    </row>
    <row r="5450" customFormat="false" ht="15.75" hidden="false" customHeight="false" outlineLevel="0" collapsed="false">
      <c r="A5450" s="6" t="n">
        <v>46200</v>
      </c>
      <c r="B5450" s="4" t="s">
        <v>915</v>
      </c>
      <c r="C5450" s="4" t="n">
        <v>8</v>
      </c>
      <c r="D5450" s="4" t="n">
        <v>4</v>
      </c>
      <c r="E5450" s="4" t="s">
        <v>1015</v>
      </c>
      <c r="F5450" s="4" t="n">
        <v>6</v>
      </c>
      <c r="G5450" s="4" t="n">
        <v>10</v>
      </c>
      <c r="H5450" s="4" t="n">
        <v>4</v>
      </c>
      <c r="I5450" s="4" t="str">
        <v>×</v>
      </c>
      <c r="J5450" s="4"/>
      <c r="K5450" s="4"/>
      <c r="L5450" s="4"/>
      <c r="M5450" s="5" t="s">
        <v>4174</v>
      </c>
    </row>
    <row r="5451" customFormat="false" ht="15.75" hidden="false" customHeight="false" outlineLevel="0" collapsed="false">
      <c r="A5451" s="6" t="n">
        <v>46200</v>
      </c>
      <c r="B5451" s="4" t="s">
        <v>915</v>
      </c>
      <c r="C5451" s="4" t="n">
        <v>8</v>
      </c>
      <c r="D5451" s="4" t="n">
        <v>5</v>
      </c>
      <c r="E5451" s="4" t="s">
        <v>4323</v>
      </c>
      <c r="F5451" s="4" t="n">
        <v>6</v>
      </c>
      <c r="G5451" s="4" t="n">
        <v>10</v>
      </c>
      <c r="H5451" s="4" t="n">
        <v>4</v>
      </c>
      <c r="I5451" s="4" t="str">
        <v>×</v>
      </c>
      <c r="J5451" s="4"/>
      <c r="K5451" s="4"/>
      <c r="L5451" s="4"/>
      <c r="M5451" s="5" t="s">
        <v>4174</v>
      </c>
    </row>
    <row r="5452" customFormat="false" ht="15.75" hidden="false" customHeight="false" outlineLevel="0" collapsed="false">
      <c r="A5452" s="6" t="n">
        <v>46200</v>
      </c>
      <c r="B5452" s="4" t="s">
        <v>915</v>
      </c>
      <c r="C5452" s="4" t="n">
        <v>8</v>
      </c>
      <c r="D5452" s="4" t="n">
        <v>6</v>
      </c>
      <c r="E5452" s="4" t="s">
        <v>4029</v>
      </c>
      <c r="F5452" s="4" t="n">
        <v>3</v>
      </c>
      <c r="G5452" s="4" t="n">
        <v>13</v>
      </c>
      <c r="H5452" s="4" t="n">
        <v>4</v>
      </c>
      <c r="I5452" s="4" t="str">
        <v>×</v>
      </c>
      <c r="J5452" s="4"/>
      <c r="K5452" s="4"/>
      <c r="L5452" s="4"/>
      <c r="M5452" s="5" t="s">
        <v>4174</v>
      </c>
    </row>
    <row r="5453" customFormat="false" ht="15.75" hidden="false" customHeight="false" outlineLevel="0" collapsed="false">
      <c r="A5453" s="6" t="n">
        <v>46200</v>
      </c>
      <c r="B5453" s="4" t="s">
        <v>915</v>
      </c>
      <c r="C5453" s="4" t="n">
        <v>8</v>
      </c>
      <c r="D5453" s="4" t="n">
        <v>7</v>
      </c>
      <c r="E5453" s="4" t="s">
        <v>617</v>
      </c>
      <c r="F5453" s="4" t="n">
        <v>37</v>
      </c>
      <c r="G5453" s="4" t="n">
        <v>5</v>
      </c>
      <c r="H5453" s="4" t="n">
        <v>4</v>
      </c>
      <c r="I5453" s="4" t="str">
        <v>×</v>
      </c>
      <c r="J5453" s="4"/>
      <c r="K5453" s="4"/>
      <c r="L5453" s="4"/>
      <c r="M5453" s="5" t="s">
        <v>4174</v>
      </c>
    </row>
    <row r="5454" customFormat="false" ht="15.75" hidden="false" customHeight="false" outlineLevel="0" collapsed="false">
      <c r="A5454" s="6" t="n">
        <v>46200</v>
      </c>
      <c r="B5454" s="4" t="s">
        <v>915</v>
      </c>
      <c r="C5454" s="4" t="n">
        <v>8</v>
      </c>
      <c r="D5454" s="4" t="n">
        <v>8</v>
      </c>
      <c r="E5454" s="4" t="s">
        <v>849</v>
      </c>
      <c r="F5454" s="4" t="n">
        <v>10</v>
      </c>
      <c r="G5454" s="4" t="n">
        <v>8</v>
      </c>
      <c r="H5454" s="4" t="n">
        <v>4</v>
      </c>
      <c r="I5454" s="4" t="str">
        <v>×</v>
      </c>
      <c r="J5454" s="4"/>
      <c r="K5454" s="4"/>
      <c r="L5454" s="4"/>
      <c r="M5454" s="5" t="s">
        <v>4174</v>
      </c>
    </row>
    <row r="5455" customFormat="false" ht="15.75" hidden="false" customHeight="false" outlineLevel="0" collapsed="false">
      <c r="A5455" s="6" t="n">
        <v>46200</v>
      </c>
      <c r="B5455" s="4" t="s">
        <v>915</v>
      </c>
      <c r="C5455" s="4" t="n">
        <v>8</v>
      </c>
      <c r="D5455" s="4" t="n">
        <v>9</v>
      </c>
      <c r="E5455" s="4" t="s">
        <v>1406</v>
      </c>
      <c r="F5455" s="4" t="n">
        <v>41</v>
      </c>
      <c r="G5455" s="4" t="n">
        <v>3</v>
      </c>
      <c r="H5455" s="4" t="n">
        <v>2</v>
      </c>
      <c r="I5455" s="4" t="str">
        <v>○</v>
      </c>
      <c r="J5455" s="4" t="n">
        <v>200</v>
      </c>
      <c r="K5455" s="4"/>
      <c r="L5455" s="4"/>
      <c r="M5455" s="5" t="s">
        <v>4174</v>
      </c>
    </row>
    <row r="5456" customFormat="false" ht="15.75" hidden="false" customHeight="false" outlineLevel="0" collapsed="false">
      <c r="A5456" s="6" t="n">
        <v>46200</v>
      </c>
      <c r="B5456" s="4" t="s">
        <v>915</v>
      </c>
      <c r="C5456" s="4" t="n">
        <v>8</v>
      </c>
      <c r="D5456" s="4" t="n">
        <v>10</v>
      </c>
      <c r="E5456" s="4" t="s">
        <v>1005</v>
      </c>
      <c r="F5456" s="4" t="n">
        <v>6</v>
      </c>
      <c r="G5456" s="4" t="n">
        <v>10</v>
      </c>
      <c r="H5456" s="4" t="n">
        <v>4</v>
      </c>
      <c r="I5456" s="4" t="str">
        <v>×</v>
      </c>
      <c r="J5456" s="4"/>
      <c r="K5456" s="4"/>
      <c r="L5456" s="4"/>
      <c r="M5456" s="5" t="s">
        <v>4174</v>
      </c>
    </row>
    <row r="5457" customFormat="false" ht="15.75" hidden="false" customHeight="false" outlineLevel="0" collapsed="false">
      <c r="A5457" s="6" t="n">
        <v>46200</v>
      </c>
      <c r="B5457" s="4" t="s">
        <v>915</v>
      </c>
      <c r="C5457" s="4" t="n">
        <v>8</v>
      </c>
      <c r="D5457" s="4" t="n">
        <v>11</v>
      </c>
      <c r="E5457" s="4" t="s">
        <v>2692</v>
      </c>
      <c r="F5457" s="4" t="n">
        <v>17</v>
      </c>
      <c r="G5457" s="4" t="n">
        <v>7</v>
      </c>
      <c r="H5457" s="4" t="n">
        <v>4</v>
      </c>
      <c r="I5457" s="4" t="str">
        <v>×</v>
      </c>
      <c r="J5457" s="4"/>
      <c r="K5457" s="4"/>
      <c r="L5457" s="4"/>
      <c r="M5457" s="5" t="s">
        <v>4174</v>
      </c>
    </row>
    <row r="5458" customFormat="false" ht="15.75" hidden="false" customHeight="false" outlineLevel="0" collapsed="false">
      <c r="A5458" s="6" t="n">
        <v>46200</v>
      </c>
      <c r="B5458" s="4" t="s">
        <v>915</v>
      </c>
      <c r="C5458" s="4" t="n">
        <v>8</v>
      </c>
      <c r="D5458" s="4" t="n">
        <v>12</v>
      </c>
      <c r="E5458" s="4" t="s">
        <v>4091</v>
      </c>
      <c r="F5458" s="4" t="n">
        <v>25</v>
      </c>
      <c r="G5458" s="4" t="n">
        <v>6</v>
      </c>
      <c r="H5458" s="4" t="n">
        <v>4</v>
      </c>
      <c r="I5458" s="4" t="str">
        <v>×</v>
      </c>
      <c r="J5458" s="4"/>
      <c r="K5458" s="4"/>
      <c r="L5458" s="4"/>
      <c r="M5458" s="5" t="s">
        <v>4174</v>
      </c>
    </row>
    <row r="5459" customFormat="false" ht="15.75" hidden="false" customHeight="false" outlineLevel="0" collapsed="false">
      <c r="A5459" s="6" t="n">
        <v>46200</v>
      </c>
      <c r="B5459" s="4" t="s">
        <v>915</v>
      </c>
      <c r="C5459" s="4" t="n">
        <v>8</v>
      </c>
      <c r="D5459" s="4" t="n">
        <v>13</v>
      </c>
      <c r="E5459" s="4" t="s">
        <v>1004</v>
      </c>
      <c r="F5459" s="4" t="n">
        <v>50</v>
      </c>
      <c r="G5459" s="4" t="n">
        <v>2</v>
      </c>
      <c r="H5459" s="4" t="n">
        <v>3</v>
      </c>
      <c r="I5459" s="4" t="str">
        <v>○</v>
      </c>
      <c r="J5459" s="4" t="n">
        <v>130</v>
      </c>
      <c r="K5459" s="4"/>
      <c r="L5459" s="4"/>
      <c r="M5459" s="5" t="s">
        <v>4174</v>
      </c>
    </row>
    <row r="5460" customFormat="false" ht="15.75" hidden="false" customHeight="false" outlineLevel="0" collapsed="false">
      <c r="A5460" s="6" t="n">
        <v>46200</v>
      </c>
      <c r="B5460" s="4" t="s">
        <v>915</v>
      </c>
      <c r="C5460" s="4" t="n">
        <v>8</v>
      </c>
      <c r="D5460" s="4" t="n">
        <v>14</v>
      </c>
      <c r="E5460" s="4" t="s">
        <v>998</v>
      </c>
      <c r="F5460" s="4" t="n">
        <v>41</v>
      </c>
      <c r="G5460" s="4" t="n">
        <v>3</v>
      </c>
      <c r="H5460" s="4" t="n">
        <v>4</v>
      </c>
      <c r="I5460" s="4" t="str">
        <v>×</v>
      </c>
      <c r="J5460" s="4"/>
      <c r="K5460" s="4"/>
      <c r="L5460" s="4"/>
      <c r="M5460" s="5" t="s">
        <v>4174</v>
      </c>
    </row>
    <row r="5461" customFormat="false" ht="15.75" hidden="false" customHeight="false" outlineLevel="0" collapsed="false">
      <c r="A5461" s="6" t="n">
        <v>46200</v>
      </c>
      <c r="B5461" s="4" t="s">
        <v>915</v>
      </c>
      <c r="C5461" s="4" t="n">
        <v>8</v>
      </c>
      <c r="D5461" s="4" t="n">
        <v>15</v>
      </c>
      <c r="E5461" s="4" t="s">
        <v>993</v>
      </c>
      <c r="F5461" s="4" t="n">
        <v>1</v>
      </c>
      <c r="G5461" s="4" t="n">
        <v>16</v>
      </c>
      <c r="H5461" s="4" t="n">
        <v>4</v>
      </c>
      <c r="I5461" s="4" t="str">
        <v>×</v>
      </c>
      <c r="J5461" s="4"/>
      <c r="K5461" s="4"/>
      <c r="L5461" s="4"/>
      <c r="M5461" s="5" t="s">
        <v>4174</v>
      </c>
    </row>
    <row r="5462" customFormat="false" ht="15.75" hidden="false" customHeight="false" outlineLevel="0" collapsed="false">
      <c r="A5462" s="6" t="n">
        <v>46200</v>
      </c>
      <c r="B5462" s="4" t="s">
        <v>915</v>
      </c>
      <c r="C5462" s="4" t="n">
        <v>8</v>
      </c>
      <c r="D5462" s="4" t="n">
        <v>16</v>
      </c>
      <c r="E5462" s="4" t="s">
        <v>4324</v>
      </c>
      <c r="F5462" s="4" t="n">
        <v>3</v>
      </c>
      <c r="G5462" s="4" t="n">
        <v>13</v>
      </c>
      <c r="H5462" s="4" t="n">
        <v>4</v>
      </c>
      <c r="I5462" s="4" t="str">
        <v>×</v>
      </c>
      <c r="J5462" s="4"/>
      <c r="K5462" s="4"/>
      <c r="L5462" s="4"/>
      <c r="M5462" s="5" t="s">
        <v>4174</v>
      </c>
    </row>
    <row r="5463" customFormat="false" ht="15.75" hidden="false" customHeight="false" outlineLevel="0" collapsed="false">
      <c r="A5463" s="6" t="n">
        <v>46200</v>
      </c>
      <c r="B5463" s="4" t="s">
        <v>915</v>
      </c>
      <c r="C5463" s="4" t="n">
        <v>9</v>
      </c>
      <c r="D5463" s="4" t="n">
        <v>1</v>
      </c>
      <c r="E5463" s="4" t="s">
        <v>4325</v>
      </c>
      <c r="F5463" s="4" t="n">
        <v>3</v>
      </c>
      <c r="G5463" s="4" t="n">
        <v>14</v>
      </c>
      <c r="H5463" s="4" t="n">
        <v>4</v>
      </c>
      <c r="I5463" s="4" t="str">
        <v>×</v>
      </c>
      <c r="J5463" s="4"/>
      <c r="K5463" s="4"/>
      <c r="L5463" s="4"/>
      <c r="M5463" s="5" t="s">
        <v>4174</v>
      </c>
    </row>
    <row r="5464" customFormat="false" ht="15.75" hidden="false" customHeight="false" outlineLevel="0" collapsed="false">
      <c r="A5464" s="6" t="n">
        <v>46200</v>
      </c>
      <c r="B5464" s="4" t="s">
        <v>915</v>
      </c>
      <c r="C5464" s="4" t="n">
        <v>9</v>
      </c>
      <c r="D5464" s="4" t="n">
        <v>2</v>
      </c>
      <c r="E5464" s="4" t="s">
        <v>536</v>
      </c>
      <c r="F5464" s="4" t="n">
        <v>23</v>
      </c>
      <c r="G5464" s="4" t="n">
        <v>5</v>
      </c>
      <c r="H5464" s="4" t="n">
        <v>4</v>
      </c>
      <c r="I5464" s="4" t="str">
        <v>×</v>
      </c>
      <c r="J5464" s="4"/>
      <c r="K5464" s="4"/>
      <c r="L5464" s="4"/>
      <c r="M5464" s="5" t="s">
        <v>4174</v>
      </c>
    </row>
    <row r="5465" customFormat="false" ht="15.75" hidden="false" customHeight="false" outlineLevel="0" collapsed="false">
      <c r="A5465" s="6" t="n">
        <v>46200</v>
      </c>
      <c r="B5465" s="4" t="s">
        <v>915</v>
      </c>
      <c r="C5465" s="4" t="n">
        <v>9</v>
      </c>
      <c r="D5465" s="4" t="n">
        <v>3</v>
      </c>
      <c r="E5465" s="4" t="s">
        <v>4326</v>
      </c>
      <c r="F5465" s="4" t="n">
        <v>2</v>
      </c>
      <c r="G5465" s="4" t="n">
        <v>15</v>
      </c>
      <c r="H5465" s="4" t="n">
        <v>4</v>
      </c>
      <c r="I5465" s="4" t="str">
        <v>×</v>
      </c>
      <c r="J5465" s="4"/>
      <c r="K5465" s="4"/>
      <c r="L5465" s="4"/>
      <c r="M5465" s="5" t="s">
        <v>4174</v>
      </c>
    </row>
    <row r="5466" customFormat="false" ht="15.75" hidden="false" customHeight="false" outlineLevel="0" collapsed="false">
      <c r="A5466" s="6" t="n">
        <v>46200</v>
      </c>
      <c r="B5466" s="4" t="s">
        <v>915</v>
      </c>
      <c r="C5466" s="4" t="n">
        <v>9</v>
      </c>
      <c r="D5466" s="4" t="n">
        <v>4</v>
      </c>
      <c r="E5466" s="4" t="s">
        <v>1055</v>
      </c>
      <c r="F5466" s="4" t="n">
        <v>20</v>
      </c>
      <c r="G5466" s="4" t="n">
        <v>8</v>
      </c>
      <c r="H5466" s="4" t="n">
        <v>4</v>
      </c>
      <c r="I5466" s="4" t="str">
        <v>×</v>
      </c>
      <c r="J5466" s="4"/>
      <c r="K5466" s="4"/>
      <c r="L5466" s="4"/>
      <c r="M5466" s="5" t="s">
        <v>4174</v>
      </c>
    </row>
    <row r="5467" customFormat="false" ht="15.75" hidden="false" customHeight="false" outlineLevel="0" collapsed="false">
      <c r="A5467" s="6" t="n">
        <v>46200</v>
      </c>
      <c r="B5467" s="4" t="s">
        <v>915</v>
      </c>
      <c r="C5467" s="4" t="n">
        <v>9</v>
      </c>
      <c r="D5467" s="4" t="n">
        <v>5</v>
      </c>
      <c r="E5467" s="4" t="s">
        <v>4327</v>
      </c>
      <c r="F5467" s="4" t="n">
        <v>8</v>
      </c>
      <c r="G5467" s="4" t="n">
        <v>9</v>
      </c>
      <c r="H5467" s="4" t="n">
        <v>4</v>
      </c>
      <c r="I5467" s="4" t="str">
        <v>×</v>
      </c>
      <c r="J5467" s="4"/>
      <c r="K5467" s="4"/>
      <c r="L5467" s="4"/>
      <c r="M5467" s="5" t="s">
        <v>4174</v>
      </c>
    </row>
    <row r="5468" customFormat="false" ht="15.75" hidden="false" customHeight="false" outlineLevel="0" collapsed="false">
      <c r="A5468" s="6" t="n">
        <v>46200</v>
      </c>
      <c r="B5468" s="4" t="s">
        <v>915</v>
      </c>
      <c r="C5468" s="4" t="n">
        <v>9</v>
      </c>
      <c r="D5468" s="4" t="n">
        <v>6</v>
      </c>
      <c r="E5468" s="4" t="s">
        <v>4328</v>
      </c>
      <c r="F5468" s="4" t="n">
        <v>71</v>
      </c>
      <c r="G5468" s="4" t="n">
        <v>1</v>
      </c>
      <c r="H5468" s="4" t="n">
        <v>2</v>
      </c>
      <c r="I5468" s="4" t="str">
        <v>○</v>
      </c>
      <c r="J5468" s="4" t="n">
        <v>130</v>
      </c>
      <c r="K5468" s="4"/>
      <c r="L5468" s="4"/>
      <c r="M5468" s="5" t="s">
        <v>4174</v>
      </c>
    </row>
    <row r="5469" customFormat="false" ht="15.75" hidden="false" customHeight="false" outlineLevel="0" collapsed="false">
      <c r="A5469" s="6" t="n">
        <v>46200</v>
      </c>
      <c r="B5469" s="4" t="s">
        <v>915</v>
      </c>
      <c r="C5469" s="4" t="n">
        <v>9</v>
      </c>
      <c r="D5469" s="4" t="n">
        <v>7</v>
      </c>
      <c r="E5469" s="4" t="s">
        <v>4329</v>
      </c>
      <c r="F5469" s="4" t="n">
        <v>44</v>
      </c>
      <c r="G5469" s="4" t="n">
        <v>2</v>
      </c>
      <c r="H5469" s="4" t="n">
        <v>4</v>
      </c>
      <c r="I5469" s="4" t="str">
        <v>×</v>
      </c>
      <c r="J5469" s="4"/>
      <c r="K5469" s="4"/>
      <c r="L5469" s="4"/>
      <c r="M5469" s="5" t="s">
        <v>4174</v>
      </c>
    </row>
    <row r="5470" customFormat="false" ht="15.75" hidden="false" customHeight="false" outlineLevel="0" collapsed="false">
      <c r="A5470" s="6" t="n">
        <v>46200</v>
      </c>
      <c r="B5470" s="4" t="s">
        <v>915</v>
      </c>
      <c r="C5470" s="4" t="n">
        <v>9</v>
      </c>
      <c r="D5470" s="4" t="n">
        <v>8</v>
      </c>
      <c r="E5470" s="4" t="s">
        <v>4330</v>
      </c>
      <c r="F5470" s="4" t="n">
        <v>8</v>
      </c>
      <c r="G5470" s="4" t="n">
        <v>9</v>
      </c>
      <c r="H5470" s="4" t="n">
        <v>4</v>
      </c>
      <c r="I5470" s="4" t="str">
        <v>×</v>
      </c>
      <c r="J5470" s="4"/>
      <c r="K5470" s="4"/>
      <c r="L5470" s="4"/>
      <c r="M5470" s="5" t="s">
        <v>4174</v>
      </c>
    </row>
    <row r="5471" customFormat="false" ht="15.75" hidden="false" customHeight="false" outlineLevel="0" collapsed="false">
      <c r="A5471" s="6" t="n">
        <v>46200</v>
      </c>
      <c r="B5471" s="4" t="s">
        <v>915</v>
      </c>
      <c r="C5471" s="4" t="n">
        <v>9</v>
      </c>
      <c r="D5471" s="4" t="n">
        <v>9</v>
      </c>
      <c r="E5471" s="4" t="s">
        <v>4331</v>
      </c>
      <c r="F5471" s="4" t="n">
        <v>8</v>
      </c>
      <c r="G5471" s="4" t="n">
        <v>9</v>
      </c>
      <c r="H5471" s="4" t="n">
        <v>1</v>
      </c>
      <c r="I5471" s="4" t="str">
        <v>○</v>
      </c>
      <c r="J5471" s="4" t="n">
        <v>1050</v>
      </c>
      <c r="K5471" s="4"/>
      <c r="L5471" s="4"/>
      <c r="M5471" s="5" t="s">
        <v>4174</v>
      </c>
    </row>
    <row r="5472" customFormat="false" ht="15.75" hidden="false" customHeight="false" outlineLevel="0" collapsed="false">
      <c r="A5472" s="6" t="n">
        <v>46200</v>
      </c>
      <c r="B5472" s="4" t="s">
        <v>915</v>
      </c>
      <c r="C5472" s="4" t="n">
        <v>9</v>
      </c>
      <c r="D5472" s="4" t="n">
        <v>10</v>
      </c>
      <c r="E5472" s="4" t="s">
        <v>4332</v>
      </c>
      <c r="F5472" s="4" t="n">
        <v>23</v>
      </c>
      <c r="G5472" s="4" t="n">
        <v>5</v>
      </c>
      <c r="H5472" s="4" t="n">
        <v>4</v>
      </c>
      <c r="I5472" s="4" t="str">
        <v>×</v>
      </c>
      <c r="J5472" s="4"/>
      <c r="K5472" s="4"/>
      <c r="L5472" s="4"/>
      <c r="M5472" s="5" t="s">
        <v>4174</v>
      </c>
    </row>
    <row r="5473" customFormat="false" ht="15.75" hidden="false" customHeight="false" outlineLevel="0" collapsed="false">
      <c r="A5473" s="6" t="n">
        <v>46200</v>
      </c>
      <c r="B5473" s="4" t="s">
        <v>915</v>
      </c>
      <c r="C5473" s="4" t="n">
        <v>9</v>
      </c>
      <c r="D5473" s="4" t="n">
        <v>11</v>
      </c>
      <c r="E5473" s="4" t="s">
        <v>1045</v>
      </c>
      <c r="F5473" s="4" t="n">
        <v>2</v>
      </c>
      <c r="G5473" s="4" t="n">
        <v>15</v>
      </c>
      <c r="H5473" s="4" t="n">
        <v>4</v>
      </c>
      <c r="I5473" s="4" t="str">
        <v>×</v>
      </c>
      <c r="J5473" s="4"/>
      <c r="K5473" s="4"/>
      <c r="L5473" s="4"/>
      <c r="M5473" s="5" t="s">
        <v>4174</v>
      </c>
    </row>
    <row r="5474" customFormat="false" ht="15.75" hidden="false" customHeight="false" outlineLevel="0" collapsed="false">
      <c r="A5474" s="6" t="n">
        <v>46200</v>
      </c>
      <c r="B5474" s="4" t="s">
        <v>915</v>
      </c>
      <c r="C5474" s="4" t="n">
        <v>9</v>
      </c>
      <c r="D5474" s="4" t="n">
        <v>12</v>
      </c>
      <c r="E5474" s="4" t="s">
        <v>4333</v>
      </c>
      <c r="F5474" s="4" t="n">
        <v>25</v>
      </c>
      <c r="G5474" s="4" t="n">
        <v>3</v>
      </c>
      <c r="H5474" s="4" t="n">
        <v>4</v>
      </c>
      <c r="I5474" s="4" t="str">
        <v>×</v>
      </c>
      <c r="J5474" s="4"/>
      <c r="K5474" s="4"/>
      <c r="L5474" s="4"/>
      <c r="M5474" s="5" t="s">
        <v>4174</v>
      </c>
    </row>
    <row r="5475" customFormat="false" ht="15.75" hidden="false" customHeight="false" outlineLevel="0" collapsed="false">
      <c r="A5475" s="6" t="n">
        <v>46200</v>
      </c>
      <c r="B5475" s="4" t="s">
        <v>915</v>
      </c>
      <c r="C5475" s="4" t="n">
        <v>9</v>
      </c>
      <c r="D5475" s="4" t="n">
        <v>13</v>
      </c>
      <c r="E5475" s="4" t="s">
        <v>4334</v>
      </c>
      <c r="F5475" s="4" t="n">
        <v>4</v>
      </c>
      <c r="G5475" s="4" t="n">
        <v>12</v>
      </c>
      <c r="H5475" s="4" t="n">
        <v>4</v>
      </c>
      <c r="I5475" s="4" t="str">
        <v>×</v>
      </c>
      <c r="J5475" s="4"/>
      <c r="K5475" s="4"/>
      <c r="L5475" s="4"/>
      <c r="M5475" s="5" t="s">
        <v>4174</v>
      </c>
    </row>
    <row r="5476" customFormat="false" ht="15.75" hidden="false" customHeight="false" outlineLevel="0" collapsed="false">
      <c r="A5476" s="6" t="n">
        <v>46200</v>
      </c>
      <c r="B5476" s="4" t="s">
        <v>915</v>
      </c>
      <c r="C5476" s="4" t="n">
        <v>9</v>
      </c>
      <c r="D5476" s="4" t="n">
        <v>14</v>
      </c>
      <c r="E5476" s="4" t="s">
        <v>534</v>
      </c>
      <c r="F5476" s="4" t="n">
        <v>25</v>
      </c>
      <c r="G5476" s="4" t="n">
        <v>3</v>
      </c>
      <c r="H5476" s="4" t="n">
        <v>3</v>
      </c>
      <c r="I5476" s="4" t="str">
        <v>○</v>
      </c>
      <c r="J5476" s="4" t="n">
        <v>340</v>
      </c>
      <c r="K5476" s="4"/>
      <c r="L5476" s="4"/>
      <c r="M5476" s="5" t="s">
        <v>4174</v>
      </c>
    </row>
    <row r="5477" customFormat="false" ht="15.75" hidden="false" customHeight="false" outlineLevel="0" collapsed="false">
      <c r="A5477" s="6" t="n">
        <v>46200</v>
      </c>
      <c r="B5477" s="4" t="s">
        <v>915</v>
      </c>
      <c r="C5477" s="4" t="n">
        <v>9</v>
      </c>
      <c r="D5477" s="4" t="n">
        <v>15</v>
      </c>
      <c r="E5477" s="4" t="s">
        <v>3945</v>
      </c>
      <c r="F5477" s="4" t="n">
        <v>23</v>
      </c>
      <c r="G5477" s="4" t="n">
        <v>5</v>
      </c>
      <c r="H5477" s="4" t="n">
        <v>4</v>
      </c>
      <c r="I5477" s="4" t="str">
        <v>×</v>
      </c>
      <c r="J5477" s="4"/>
      <c r="K5477" s="4"/>
      <c r="L5477" s="4"/>
      <c r="M5477" s="5" t="s">
        <v>4174</v>
      </c>
    </row>
    <row r="5478" customFormat="false" ht="15.75" hidden="false" customHeight="false" outlineLevel="0" collapsed="false">
      <c r="A5478" s="6" t="n">
        <v>46200</v>
      </c>
      <c r="B5478" s="4" t="s">
        <v>915</v>
      </c>
      <c r="C5478" s="4" t="n">
        <v>9</v>
      </c>
      <c r="D5478" s="4" t="n">
        <v>16</v>
      </c>
      <c r="E5478" s="4" t="s">
        <v>4335</v>
      </c>
      <c r="F5478" s="4" t="n">
        <v>4</v>
      </c>
      <c r="G5478" s="4" t="n">
        <v>12</v>
      </c>
      <c r="H5478" s="4" t="n">
        <v>4</v>
      </c>
      <c r="I5478" s="4" t="str">
        <v>×</v>
      </c>
      <c r="J5478" s="4"/>
      <c r="K5478" s="4"/>
      <c r="L5478" s="4"/>
      <c r="M5478" s="5" t="s">
        <v>4174</v>
      </c>
    </row>
    <row r="5479" customFormat="false" ht="15.75" hidden="false" customHeight="false" outlineLevel="0" collapsed="false">
      <c r="A5479" s="6" t="n">
        <v>46200</v>
      </c>
      <c r="B5479" s="4" t="s">
        <v>915</v>
      </c>
      <c r="C5479" s="4" t="n">
        <v>10</v>
      </c>
      <c r="D5479" s="4" t="n">
        <v>1</v>
      </c>
      <c r="E5479" s="4" t="s">
        <v>461</v>
      </c>
      <c r="F5479" s="4" t="n">
        <v>50</v>
      </c>
      <c r="G5479" s="4" t="n">
        <v>2</v>
      </c>
      <c r="H5479" s="4" t="n">
        <v>2</v>
      </c>
      <c r="I5479" s="4" t="str">
        <v>○</v>
      </c>
      <c r="J5479" s="4" t="n">
        <v>130</v>
      </c>
      <c r="K5479" s="4"/>
      <c r="L5479" s="4"/>
      <c r="M5479" s="5" t="s">
        <v>4174</v>
      </c>
    </row>
    <row r="5480" customFormat="false" ht="15.75" hidden="false" customHeight="false" outlineLevel="0" collapsed="false">
      <c r="A5480" s="6" t="n">
        <v>46200</v>
      </c>
      <c r="B5480" s="4" t="s">
        <v>915</v>
      </c>
      <c r="C5480" s="4" t="n">
        <v>10</v>
      </c>
      <c r="D5480" s="4" t="n">
        <v>2</v>
      </c>
      <c r="E5480" s="4" t="s">
        <v>4336</v>
      </c>
      <c r="F5480" s="4" t="n">
        <v>41</v>
      </c>
      <c r="G5480" s="4" t="n">
        <v>3</v>
      </c>
      <c r="H5480" s="4" t="n">
        <v>4</v>
      </c>
      <c r="I5480" s="4" t="str">
        <v>×</v>
      </c>
      <c r="J5480" s="4"/>
      <c r="K5480" s="4"/>
      <c r="L5480" s="4"/>
      <c r="M5480" s="5" t="s">
        <v>4174</v>
      </c>
    </row>
    <row r="5481" customFormat="false" ht="15.75" hidden="false" customHeight="false" outlineLevel="0" collapsed="false">
      <c r="A5481" s="6" t="n">
        <v>46200</v>
      </c>
      <c r="B5481" s="4" t="s">
        <v>915</v>
      </c>
      <c r="C5481" s="4" t="n">
        <v>10</v>
      </c>
      <c r="D5481" s="4" t="n">
        <v>3</v>
      </c>
      <c r="E5481" s="4" t="s">
        <v>2391</v>
      </c>
      <c r="F5481" s="4" t="n">
        <v>23</v>
      </c>
      <c r="G5481" s="4" t="n">
        <v>4</v>
      </c>
      <c r="H5481" s="4" t="n">
        <v>1</v>
      </c>
      <c r="I5481" s="4" t="str">
        <v>○</v>
      </c>
      <c r="J5481" s="4" t="n">
        <v>140</v>
      </c>
      <c r="K5481" s="4"/>
      <c r="L5481" s="4"/>
      <c r="M5481" s="5" t="s">
        <v>4174</v>
      </c>
    </row>
    <row r="5482" customFormat="false" ht="15.75" hidden="false" customHeight="false" outlineLevel="0" collapsed="false">
      <c r="A5482" s="6" t="n">
        <v>46200</v>
      </c>
      <c r="B5482" s="4" t="s">
        <v>915</v>
      </c>
      <c r="C5482" s="4" t="n">
        <v>10</v>
      </c>
      <c r="D5482" s="4" t="n">
        <v>4</v>
      </c>
      <c r="E5482" s="4" t="s">
        <v>4337</v>
      </c>
      <c r="F5482" s="4" t="n">
        <v>13</v>
      </c>
      <c r="G5482" s="4" t="n">
        <v>8</v>
      </c>
      <c r="H5482" s="4" t="n">
        <v>4</v>
      </c>
      <c r="I5482" s="4" t="str">
        <v>×</v>
      </c>
      <c r="J5482" s="4"/>
      <c r="K5482" s="4"/>
      <c r="L5482" s="4"/>
      <c r="M5482" s="5" t="s">
        <v>4174</v>
      </c>
    </row>
    <row r="5483" customFormat="false" ht="15.75" hidden="false" customHeight="false" outlineLevel="0" collapsed="false">
      <c r="A5483" s="6" t="n">
        <v>46200</v>
      </c>
      <c r="B5483" s="4" t="s">
        <v>915</v>
      </c>
      <c r="C5483" s="4" t="n">
        <v>10</v>
      </c>
      <c r="D5483" s="4" t="n">
        <v>5</v>
      </c>
      <c r="E5483" s="4" t="s">
        <v>4338</v>
      </c>
      <c r="F5483" s="4" t="n">
        <v>15</v>
      </c>
      <c r="G5483" s="4" t="n">
        <v>7</v>
      </c>
      <c r="H5483" s="4" t="n">
        <v>4</v>
      </c>
      <c r="I5483" s="4" t="str">
        <v>×</v>
      </c>
      <c r="J5483" s="4"/>
      <c r="K5483" s="4"/>
      <c r="L5483" s="4"/>
      <c r="M5483" s="5" t="s">
        <v>4174</v>
      </c>
    </row>
    <row r="5484" customFormat="false" ht="15.75" hidden="false" customHeight="false" outlineLevel="0" collapsed="false">
      <c r="A5484" s="6" t="n">
        <v>46200</v>
      </c>
      <c r="B5484" s="4" t="s">
        <v>915</v>
      </c>
      <c r="C5484" s="4" t="n">
        <v>10</v>
      </c>
      <c r="D5484" s="4" t="n">
        <v>6</v>
      </c>
      <c r="E5484" s="4" t="s">
        <v>4339</v>
      </c>
      <c r="F5484" s="4" t="n">
        <v>17</v>
      </c>
      <c r="G5484" s="4" t="n">
        <v>5</v>
      </c>
      <c r="H5484" s="4"/>
      <c r="I5484" s="4" t="str">
        <v/>
      </c>
      <c r="J5484" s="4"/>
      <c r="K5484" s="4"/>
      <c r="L5484" s="4"/>
      <c r="M5484" s="5" t="s">
        <v>4174</v>
      </c>
    </row>
    <row r="5485" customFormat="false" ht="15.75" hidden="false" customHeight="false" outlineLevel="0" collapsed="false">
      <c r="A5485" s="6" t="n">
        <v>46200</v>
      </c>
      <c r="B5485" s="4" t="s">
        <v>915</v>
      </c>
      <c r="C5485" s="4" t="n">
        <v>10</v>
      </c>
      <c r="D5485" s="4" t="n">
        <v>7</v>
      </c>
      <c r="E5485" s="4" t="s">
        <v>4340</v>
      </c>
      <c r="F5485" s="4" t="n">
        <v>17</v>
      </c>
      <c r="G5485" s="4" t="n">
        <v>5</v>
      </c>
      <c r="H5485" s="4" t="n">
        <v>4</v>
      </c>
      <c r="I5485" s="4" t="str">
        <v>×</v>
      </c>
      <c r="J5485" s="4"/>
      <c r="K5485" s="4"/>
      <c r="L5485" s="4"/>
      <c r="M5485" s="5" t="s">
        <v>4174</v>
      </c>
    </row>
    <row r="5486" customFormat="false" ht="15.75" hidden="false" customHeight="false" outlineLevel="0" collapsed="false">
      <c r="A5486" s="6" t="n">
        <v>46200</v>
      </c>
      <c r="B5486" s="4" t="s">
        <v>915</v>
      </c>
      <c r="C5486" s="4" t="n">
        <v>10</v>
      </c>
      <c r="D5486" s="4" t="n">
        <v>8</v>
      </c>
      <c r="E5486" s="4" t="s">
        <v>4341</v>
      </c>
      <c r="F5486" s="4" t="n">
        <v>13</v>
      </c>
      <c r="G5486" s="4" t="n">
        <v>8</v>
      </c>
      <c r="H5486" s="4" t="n">
        <v>4</v>
      </c>
      <c r="I5486" s="4" t="str">
        <v>×</v>
      </c>
      <c r="J5486" s="4"/>
      <c r="K5486" s="4"/>
      <c r="L5486" s="4"/>
      <c r="M5486" s="5" t="s">
        <v>4174</v>
      </c>
    </row>
    <row r="5487" customFormat="false" ht="15.75" hidden="false" customHeight="false" outlineLevel="0" collapsed="false">
      <c r="A5487" s="6" t="n">
        <v>46200</v>
      </c>
      <c r="B5487" s="4" t="s">
        <v>915</v>
      </c>
      <c r="C5487" s="4" t="n">
        <v>10</v>
      </c>
      <c r="D5487" s="4" t="n">
        <v>9</v>
      </c>
      <c r="E5487" s="4" t="s">
        <v>4342</v>
      </c>
      <c r="F5487" s="4" t="n">
        <v>58</v>
      </c>
      <c r="G5487" s="4" t="n">
        <v>1</v>
      </c>
      <c r="H5487" s="4" t="n">
        <v>3</v>
      </c>
      <c r="I5487" s="4" t="str">
        <v>○</v>
      </c>
      <c r="J5487" s="4" t="n">
        <v>110</v>
      </c>
      <c r="K5487" s="4"/>
      <c r="L5487" s="4"/>
      <c r="M5487" s="5" t="s">
        <v>4174</v>
      </c>
    </row>
    <row r="5488" customFormat="false" ht="15.75" hidden="false" customHeight="false" outlineLevel="0" collapsed="false">
      <c r="A5488" s="6" t="n">
        <v>46200</v>
      </c>
      <c r="B5488" s="4" t="s">
        <v>915</v>
      </c>
      <c r="C5488" s="4" t="n">
        <v>10</v>
      </c>
      <c r="D5488" s="4" t="n">
        <v>10</v>
      </c>
      <c r="E5488" s="4" t="s">
        <v>4343</v>
      </c>
      <c r="F5488" s="4" t="n">
        <v>8</v>
      </c>
      <c r="G5488" s="4" t="n">
        <v>10</v>
      </c>
      <c r="H5488" s="4" t="n">
        <v>4</v>
      </c>
      <c r="I5488" s="4" t="str">
        <v>×</v>
      </c>
      <c r="J5488" s="4"/>
      <c r="K5488" s="4"/>
      <c r="L5488" s="4"/>
      <c r="M5488" s="5" t="s">
        <v>4174</v>
      </c>
    </row>
    <row r="5489" customFormat="false" ht="15.75" hidden="false" customHeight="false" outlineLevel="0" collapsed="false">
      <c r="A5489" s="6" t="n">
        <v>46200</v>
      </c>
      <c r="B5489" s="4" t="s">
        <v>915</v>
      </c>
      <c r="C5489" s="4" t="n">
        <v>10</v>
      </c>
      <c r="D5489" s="4" t="n">
        <v>11</v>
      </c>
      <c r="E5489" s="4" t="s">
        <v>1057</v>
      </c>
      <c r="F5489" s="4" t="n">
        <v>4</v>
      </c>
      <c r="G5489" s="4" t="n">
        <v>11</v>
      </c>
      <c r="H5489" s="4" t="n">
        <v>4</v>
      </c>
      <c r="I5489" s="4" t="str">
        <v>×</v>
      </c>
      <c r="J5489" s="4"/>
      <c r="K5489" s="4"/>
      <c r="L5489" s="4"/>
      <c r="M5489" s="5" t="s">
        <v>4174</v>
      </c>
    </row>
    <row r="5490" customFormat="false" ht="15.75" hidden="false" customHeight="false" outlineLevel="0" collapsed="false">
      <c r="A5490" s="6" t="n">
        <v>46200</v>
      </c>
      <c r="B5490" s="4" t="s">
        <v>915</v>
      </c>
      <c r="C5490" s="4" t="n">
        <v>11</v>
      </c>
      <c r="D5490" s="4" t="n">
        <v>1</v>
      </c>
      <c r="E5490" s="4" t="s">
        <v>4344</v>
      </c>
      <c r="F5490" s="4" t="n">
        <v>17</v>
      </c>
      <c r="G5490" s="4" t="n">
        <v>6</v>
      </c>
      <c r="H5490" s="4" t="n">
        <v>4</v>
      </c>
      <c r="I5490" s="4" t="str">
        <v>×</v>
      </c>
      <c r="J5490" s="4"/>
      <c r="K5490" s="4"/>
      <c r="L5490" s="4"/>
      <c r="M5490" s="5" t="s">
        <v>4174</v>
      </c>
    </row>
    <row r="5491" customFormat="false" ht="15.75" hidden="false" customHeight="false" outlineLevel="0" collapsed="false">
      <c r="A5491" s="6" t="n">
        <v>46200</v>
      </c>
      <c r="B5491" s="4" t="s">
        <v>915</v>
      </c>
      <c r="C5491" s="4" t="n">
        <v>11</v>
      </c>
      <c r="D5491" s="4" t="n">
        <v>2</v>
      </c>
      <c r="E5491" s="4" t="s">
        <v>1706</v>
      </c>
      <c r="F5491" s="4" t="n">
        <v>13</v>
      </c>
      <c r="G5491" s="4" t="n">
        <v>8</v>
      </c>
      <c r="H5491" s="4" t="n">
        <v>4</v>
      </c>
      <c r="I5491" s="4" t="str">
        <v>×</v>
      </c>
      <c r="J5491" s="4"/>
      <c r="K5491" s="4"/>
      <c r="L5491" s="4"/>
      <c r="M5491" s="5" t="s">
        <v>4174</v>
      </c>
    </row>
    <row r="5492" customFormat="false" ht="15.75" hidden="false" customHeight="false" outlineLevel="0" collapsed="false">
      <c r="A5492" s="6" t="n">
        <v>46200</v>
      </c>
      <c r="B5492" s="4" t="s">
        <v>915</v>
      </c>
      <c r="C5492" s="4" t="n">
        <v>11</v>
      </c>
      <c r="D5492" s="4" t="n">
        <v>3</v>
      </c>
      <c r="E5492" s="4" t="s">
        <v>3870</v>
      </c>
      <c r="F5492" s="4" t="n">
        <v>44</v>
      </c>
      <c r="G5492" s="4" t="n">
        <v>2</v>
      </c>
      <c r="H5492" s="4" t="n">
        <v>3</v>
      </c>
      <c r="I5492" s="4" t="str">
        <v>○</v>
      </c>
      <c r="J5492" s="4" t="n">
        <v>160</v>
      </c>
      <c r="K5492" s="4"/>
      <c r="L5492" s="4"/>
      <c r="M5492" s="5" t="s">
        <v>4174</v>
      </c>
    </row>
    <row r="5493" customFormat="false" ht="15.75" hidden="false" customHeight="false" outlineLevel="0" collapsed="false">
      <c r="A5493" s="6" t="n">
        <v>46200</v>
      </c>
      <c r="B5493" s="4" t="s">
        <v>915</v>
      </c>
      <c r="C5493" s="4" t="n">
        <v>11</v>
      </c>
      <c r="D5493" s="4" t="n">
        <v>4</v>
      </c>
      <c r="E5493" s="4" t="s">
        <v>4345</v>
      </c>
      <c r="F5493" s="4" t="n">
        <v>66</v>
      </c>
      <c r="G5493" s="4" t="n">
        <v>1</v>
      </c>
      <c r="H5493" s="4" t="n">
        <v>1</v>
      </c>
      <c r="I5493" s="4" t="str">
        <v>○</v>
      </c>
      <c r="J5493" s="4" t="n">
        <v>110</v>
      </c>
      <c r="K5493" s="4"/>
      <c r="L5493" s="4"/>
      <c r="M5493" s="5" t="s">
        <v>4174</v>
      </c>
    </row>
    <row r="5494" customFormat="false" ht="15.75" hidden="false" customHeight="false" outlineLevel="0" collapsed="false">
      <c r="A5494" s="6" t="n">
        <v>46200</v>
      </c>
      <c r="B5494" s="4" t="s">
        <v>915</v>
      </c>
      <c r="C5494" s="4" t="n">
        <v>11</v>
      </c>
      <c r="D5494" s="4" t="n">
        <v>5</v>
      </c>
      <c r="E5494" s="4" t="s">
        <v>1066</v>
      </c>
      <c r="F5494" s="4" t="n">
        <v>25</v>
      </c>
      <c r="G5494" s="4" t="n">
        <v>5</v>
      </c>
      <c r="H5494" s="4" t="n">
        <v>4</v>
      </c>
      <c r="I5494" s="4" t="str">
        <v>×</v>
      </c>
      <c r="J5494" s="4"/>
      <c r="K5494" s="4"/>
      <c r="L5494" s="4"/>
      <c r="M5494" s="5" t="s">
        <v>4174</v>
      </c>
    </row>
    <row r="5495" customFormat="false" ht="15.75" hidden="false" customHeight="false" outlineLevel="0" collapsed="false">
      <c r="A5495" s="6" t="n">
        <v>46200</v>
      </c>
      <c r="B5495" s="4" t="s">
        <v>915</v>
      </c>
      <c r="C5495" s="4" t="n">
        <v>11</v>
      </c>
      <c r="D5495" s="4" t="n">
        <v>6</v>
      </c>
      <c r="E5495" s="4" t="s">
        <v>4346</v>
      </c>
      <c r="F5495" s="4" t="n">
        <v>15</v>
      </c>
      <c r="G5495" s="4" t="n">
        <v>7</v>
      </c>
      <c r="H5495" s="4" t="n">
        <v>4</v>
      </c>
      <c r="I5495" s="4" t="str">
        <v>×</v>
      </c>
      <c r="J5495" s="4"/>
      <c r="K5495" s="4"/>
      <c r="L5495" s="4"/>
      <c r="M5495" s="5" t="s">
        <v>4174</v>
      </c>
    </row>
    <row r="5496" customFormat="false" ht="15.75" hidden="false" customHeight="false" outlineLevel="0" collapsed="false">
      <c r="A5496" s="6" t="n">
        <v>46200</v>
      </c>
      <c r="B5496" s="4" t="s">
        <v>915</v>
      </c>
      <c r="C5496" s="4" t="n">
        <v>11</v>
      </c>
      <c r="D5496" s="4" t="n">
        <v>7</v>
      </c>
      <c r="E5496" s="4" t="s">
        <v>4347</v>
      </c>
      <c r="F5496" s="4" t="n">
        <v>39</v>
      </c>
      <c r="G5496" s="4" t="n">
        <v>3</v>
      </c>
      <c r="H5496" s="4" t="n">
        <v>4</v>
      </c>
      <c r="I5496" s="4" t="str">
        <v>×</v>
      </c>
      <c r="J5496" s="4"/>
      <c r="K5496" s="4"/>
      <c r="L5496" s="4"/>
      <c r="M5496" s="5" t="s">
        <v>4174</v>
      </c>
    </row>
    <row r="5497" customFormat="false" ht="15.75" hidden="false" customHeight="false" outlineLevel="0" collapsed="false">
      <c r="A5497" s="6" t="n">
        <v>46200</v>
      </c>
      <c r="B5497" s="4" t="s">
        <v>915</v>
      </c>
      <c r="C5497" s="4" t="n">
        <v>11</v>
      </c>
      <c r="D5497" s="4" t="n">
        <v>8</v>
      </c>
      <c r="E5497" s="4" t="s">
        <v>4348</v>
      </c>
      <c r="F5497" s="4" t="n">
        <v>37</v>
      </c>
      <c r="G5497" s="4" t="n">
        <v>4</v>
      </c>
      <c r="H5497" s="4" t="n">
        <v>2</v>
      </c>
      <c r="I5497" s="4" t="str">
        <v>○</v>
      </c>
      <c r="J5497" s="4" t="n">
        <v>150</v>
      </c>
      <c r="K5497" s="4"/>
      <c r="L5497" s="4"/>
      <c r="M5497" s="5" t="s">
        <v>4174</v>
      </c>
    </row>
    <row r="5498" customFormat="false" ht="15.75" hidden="false" customHeight="false" outlineLevel="0" collapsed="false">
      <c r="A5498" s="6" t="n">
        <v>46200</v>
      </c>
      <c r="B5498" s="4" t="s">
        <v>915</v>
      </c>
      <c r="C5498" s="4" t="n">
        <v>11</v>
      </c>
      <c r="D5498" s="4" t="n">
        <v>9</v>
      </c>
      <c r="E5498" s="4" t="s">
        <v>1061</v>
      </c>
      <c r="F5498" s="4" t="n">
        <v>13</v>
      </c>
      <c r="G5498" s="4" t="n">
        <v>8</v>
      </c>
      <c r="H5498" s="4" t="n">
        <v>4</v>
      </c>
      <c r="I5498" s="4" t="str">
        <v>×</v>
      </c>
      <c r="J5498" s="4"/>
      <c r="K5498" s="4"/>
      <c r="L5498" s="4"/>
      <c r="M5498" s="5" t="s">
        <v>4174</v>
      </c>
    </row>
    <row r="5499" customFormat="false" ht="15.75" hidden="false" customHeight="false" outlineLevel="0" collapsed="false">
      <c r="A5499" s="6" t="n">
        <v>46200</v>
      </c>
      <c r="B5499" s="4" t="s">
        <v>915</v>
      </c>
      <c r="C5499" s="4" t="n">
        <v>12</v>
      </c>
      <c r="D5499" s="4" t="n">
        <v>1</v>
      </c>
      <c r="E5499" s="4" t="s">
        <v>602</v>
      </c>
      <c r="F5499" s="4" t="n">
        <v>1</v>
      </c>
      <c r="G5499" s="4" t="n">
        <v>16</v>
      </c>
      <c r="H5499" s="4" t="n">
        <v>4</v>
      </c>
      <c r="I5499" s="4" t="str">
        <v>×</v>
      </c>
      <c r="J5499" s="4"/>
      <c r="K5499" s="4"/>
      <c r="L5499" s="4"/>
      <c r="M5499" s="5" t="s">
        <v>4174</v>
      </c>
    </row>
    <row r="5500" customFormat="false" ht="15.75" hidden="false" customHeight="false" outlineLevel="0" collapsed="false">
      <c r="A5500" s="6" t="n">
        <v>46200</v>
      </c>
      <c r="B5500" s="4" t="s">
        <v>915</v>
      </c>
      <c r="C5500" s="4" t="n">
        <v>12</v>
      </c>
      <c r="D5500" s="4" t="n">
        <v>2</v>
      </c>
      <c r="E5500" s="4" t="s">
        <v>1029</v>
      </c>
      <c r="F5500" s="4" t="n">
        <v>20</v>
      </c>
      <c r="G5500" s="4" t="n">
        <v>6</v>
      </c>
      <c r="H5500" s="4" t="n">
        <v>2</v>
      </c>
      <c r="I5500" s="4" t="str">
        <v>○</v>
      </c>
      <c r="J5500" s="4" t="n">
        <v>550</v>
      </c>
      <c r="K5500" s="4"/>
      <c r="L5500" s="4"/>
      <c r="M5500" s="5" t="s">
        <v>4174</v>
      </c>
    </row>
    <row r="5501" customFormat="false" ht="15.75" hidden="false" customHeight="false" outlineLevel="0" collapsed="false">
      <c r="A5501" s="6" t="n">
        <v>46200</v>
      </c>
      <c r="B5501" s="4" t="s">
        <v>915</v>
      </c>
      <c r="C5501" s="4" t="n">
        <v>12</v>
      </c>
      <c r="D5501" s="4" t="n">
        <v>3</v>
      </c>
      <c r="E5501" s="4" t="s">
        <v>1020</v>
      </c>
      <c r="F5501" s="4" t="n">
        <v>8</v>
      </c>
      <c r="G5501" s="4" t="n">
        <v>12</v>
      </c>
      <c r="H5501" s="4" t="n">
        <v>4</v>
      </c>
      <c r="I5501" s="4" t="str">
        <v>×</v>
      </c>
      <c r="J5501" s="4"/>
      <c r="K5501" s="4"/>
      <c r="L5501" s="4"/>
      <c r="M5501" s="5" t="s">
        <v>4174</v>
      </c>
    </row>
    <row r="5502" customFormat="false" ht="15.75" hidden="false" customHeight="false" outlineLevel="0" collapsed="false">
      <c r="A5502" s="6" t="n">
        <v>46200</v>
      </c>
      <c r="B5502" s="4" t="s">
        <v>915</v>
      </c>
      <c r="C5502" s="4" t="n">
        <v>12</v>
      </c>
      <c r="D5502" s="4" t="n">
        <v>4</v>
      </c>
      <c r="E5502" s="4" t="s">
        <v>2368</v>
      </c>
      <c r="F5502" s="4" t="n">
        <v>15</v>
      </c>
      <c r="G5502" s="4" t="n">
        <v>8</v>
      </c>
      <c r="H5502" s="4" t="n">
        <v>4</v>
      </c>
      <c r="I5502" s="4" t="str">
        <v>×</v>
      </c>
      <c r="J5502" s="4"/>
      <c r="K5502" s="4"/>
      <c r="L5502" s="4"/>
      <c r="M5502" s="5" t="s">
        <v>4174</v>
      </c>
    </row>
    <row r="5503" customFormat="false" ht="15.75" hidden="false" customHeight="false" outlineLevel="0" collapsed="false">
      <c r="A5503" s="6" t="n">
        <v>46200</v>
      </c>
      <c r="B5503" s="4" t="s">
        <v>915</v>
      </c>
      <c r="C5503" s="4" t="n">
        <v>12</v>
      </c>
      <c r="D5503" s="4" t="n">
        <v>5</v>
      </c>
      <c r="E5503" s="4" t="s">
        <v>4349</v>
      </c>
      <c r="F5503" s="4" t="n">
        <v>8</v>
      </c>
      <c r="G5503" s="4" t="n">
        <v>12</v>
      </c>
      <c r="H5503" s="4" t="n">
        <v>4</v>
      </c>
      <c r="I5503" s="4" t="str">
        <v>×</v>
      </c>
      <c r="J5503" s="4"/>
      <c r="K5503" s="4"/>
      <c r="L5503" s="4"/>
      <c r="M5503" s="5" t="s">
        <v>4174</v>
      </c>
    </row>
    <row r="5504" customFormat="false" ht="15.75" hidden="false" customHeight="false" outlineLevel="0" collapsed="false">
      <c r="A5504" s="6" t="n">
        <v>46200</v>
      </c>
      <c r="B5504" s="4" t="s">
        <v>915</v>
      </c>
      <c r="C5504" s="4" t="n">
        <v>12</v>
      </c>
      <c r="D5504" s="4" t="n">
        <v>6</v>
      </c>
      <c r="E5504" s="4" t="s">
        <v>4350</v>
      </c>
      <c r="F5504" s="4" t="n">
        <v>23</v>
      </c>
      <c r="G5504" s="4" t="n">
        <v>5</v>
      </c>
      <c r="H5504" s="4" t="n">
        <v>1</v>
      </c>
      <c r="I5504" s="4" t="str">
        <v>○</v>
      </c>
      <c r="J5504" s="4" t="n">
        <v>420</v>
      </c>
      <c r="K5504" s="4"/>
      <c r="L5504" s="4"/>
      <c r="M5504" s="5" t="s">
        <v>4174</v>
      </c>
    </row>
    <row r="5505" customFormat="false" ht="15.75" hidden="false" customHeight="false" outlineLevel="0" collapsed="false">
      <c r="A5505" s="6" t="n">
        <v>46200</v>
      </c>
      <c r="B5505" s="4" t="s">
        <v>915</v>
      </c>
      <c r="C5505" s="4" t="n">
        <v>12</v>
      </c>
      <c r="D5505" s="4" t="n">
        <v>7</v>
      </c>
      <c r="E5505" s="4" t="s">
        <v>2366</v>
      </c>
      <c r="F5505" s="4" t="n">
        <v>29</v>
      </c>
      <c r="G5505" s="4" t="n">
        <v>4</v>
      </c>
      <c r="H5505" s="4" t="n">
        <v>3</v>
      </c>
      <c r="I5505" s="4" t="str">
        <v>○</v>
      </c>
      <c r="J5505" s="4" t="n">
        <v>450</v>
      </c>
      <c r="K5505" s="4"/>
      <c r="L5505" s="4"/>
      <c r="M5505" s="5" t="s">
        <v>4174</v>
      </c>
    </row>
    <row r="5506" customFormat="false" ht="15.75" hidden="false" customHeight="false" outlineLevel="0" collapsed="false">
      <c r="A5506" s="6" t="n">
        <v>46200</v>
      </c>
      <c r="B5506" s="4" t="s">
        <v>915</v>
      </c>
      <c r="C5506" s="4" t="n">
        <v>12</v>
      </c>
      <c r="D5506" s="4" t="n">
        <v>8</v>
      </c>
      <c r="E5506" s="4" t="s">
        <v>1023</v>
      </c>
      <c r="F5506" s="4" t="n">
        <v>8</v>
      </c>
      <c r="G5506" s="4" t="n">
        <v>12</v>
      </c>
      <c r="H5506" s="4" t="n">
        <v>4</v>
      </c>
      <c r="I5506" s="4" t="str">
        <v>×</v>
      </c>
      <c r="J5506" s="4"/>
      <c r="K5506" s="4"/>
      <c r="L5506" s="4"/>
      <c r="M5506" s="5" t="s">
        <v>4174</v>
      </c>
    </row>
    <row r="5507" customFormat="false" ht="15.75" hidden="false" customHeight="false" outlineLevel="0" collapsed="false">
      <c r="A5507" s="6" t="n">
        <v>46200</v>
      </c>
      <c r="B5507" s="4" t="s">
        <v>915</v>
      </c>
      <c r="C5507" s="4" t="n">
        <v>12</v>
      </c>
      <c r="D5507" s="4" t="n">
        <v>9</v>
      </c>
      <c r="E5507" s="4" t="s">
        <v>1017</v>
      </c>
      <c r="F5507" s="4" t="n">
        <v>17</v>
      </c>
      <c r="G5507" s="4" t="n">
        <v>7</v>
      </c>
      <c r="H5507" s="4" t="n">
        <v>4</v>
      </c>
      <c r="I5507" s="4" t="str">
        <v>×</v>
      </c>
      <c r="J5507" s="4"/>
      <c r="K5507" s="4"/>
      <c r="L5507" s="4"/>
      <c r="M5507" s="5" t="s">
        <v>4174</v>
      </c>
    </row>
    <row r="5508" customFormat="false" ht="15.75" hidden="false" customHeight="false" outlineLevel="0" collapsed="false">
      <c r="A5508" s="6" t="n">
        <v>46200</v>
      </c>
      <c r="B5508" s="4" t="s">
        <v>915</v>
      </c>
      <c r="C5508" s="4" t="n">
        <v>12</v>
      </c>
      <c r="D5508" s="4" t="n">
        <v>10</v>
      </c>
      <c r="E5508" s="4" t="s">
        <v>3282</v>
      </c>
      <c r="F5508" s="4" t="n">
        <v>10</v>
      </c>
      <c r="G5508" s="4" t="n">
        <v>10</v>
      </c>
      <c r="H5508" s="4" t="n">
        <v>4</v>
      </c>
      <c r="I5508" s="4" t="str">
        <v>×</v>
      </c>
      <c r="J5508" s="4"/>
      <c r="K5508" s="4"/>
      <c r="L5508" s="4"/>
      <c r="M5508" s="5" t="s">
        <v>4174</v>
      </c>
    </row>
    <row r="5509" customFormat="false" ht="15.75" hidden="false" customHeight="false" outlineLevel="0" collapsed="false">
      <c r="A5509" s="6" t="n">
        <v>46200</v>
      </c>
      <c r="B5509" s="4" t="s">
        <v>915</v>
      </c>
      <c r="C5509" s="4" t="n">
        <v>12</v>
      </c>
      <c r="D5509" s="4" t="n">
        <v>11</v>
      </c>
      <c r="E5509" s="4" t="s">
        <v>4351</v>
      </c>
      <c r="F5509" s="4" t="n">
        <v>31</v>
      </c>
      <c r="G5509" s="4" t="n">
        <v>3</v>
      </c>
      <c r="H5509" s="4" t="n">
        <v>4</v>
      </c>
      <c r="I5509" s="4" t="str">
        <v>×</v>
      </c>
      <c r="J5509" s="4"/>
      <c r="K5509" s="4"/>
      <c r="L5509" s="4"/>
      <c r="M5509" s="5" t="s">
        <v>4174</v>
      </c>
    </row>
    <row r="5510" customFormat="false" ht="15.75" hidden="false" customHeight="false" outlineLevel="0" collapsed="false">
      <c r="A5510" s="6" t="n">
        <v>46200</v>
      </c>
      <c r="B5510" s="4" t="s">
        <v>915</v>
      </c>
      <c r="C5510" s="4" t="n">
        <v>12</v>
      </c>
      <c r="D5510" s="4" t="n">
        <v>12</v>
      </c>
      <c r="E5510" s="4" t="s">
        <v>2370</v>
      </c>
      <c r="F5510" s="4" t="n">
        <v>41</v>
      </c>
      <c r="G5510" s="4" t="n">
        <v>2</v>
      </c>
      <c r="H5510" s="4" t="n">
        <v>4</v>
      </c>
      <c r="I5510" s="4" t="str">
        <v>×</v>
      </c>
      <c r="J5510" s="4"/>
      <c r="K5510" s="4"/>
      <c r="L5510" s="4"/>
      <c r="M5510" s="5" t="s">
        <v>4174</v>
      </c>
    </row>
    <row r="5511" customFormat="false" ht="15.75" hidden="false" customHeight="false" outlineLevel="0" collapsed="false">
      <c r="A5511" s="6" t="n">
        <v>46200</v>
      </c>
      <c r="B5511" s="4" t="s">
        <v>915</v>
      </c>
      <c r="C5511" s="4" t="n">
        <v>12</v>
      </c>
      <c r="D5511" s="4" t="n">
        <v>13</v>
      </c>
      <c r="E5511" s="4" t="s">
        <v>4352</v>
      </c>
      <c r="F5511" s="4" t="n">
        <v>10</v>
      </c>
      <c r="G5511" s="4" t="n">
        <v>10</v>
      </c>
      <c r="H5511" s="4" t="n">
        <v>4</v>
      </c>
      <c r="I5511" s="4" t="str">
        <v>×</v>
      </c>
      <c r="J5511" s="4"/>
      <c r="K5511" s="4"/>
      <c r="L5511" s="4"/>
      <c r="M5511" s="5" t="s">
        <v>4174</v>
      </c>
    </row>
    <row r="5512" customFormat="false" ht="15.75" hidden="false" customHeight="false" outlineLevel="0" collapsed="false">
      <c r="A5512" s="6" t="n">
        <v>46200</v>
      </c>
      <c r="B5512" s="4" t="s">
        <v>915</v>
      </c>
      <c r="C5512" s="4" t="n">
        <v>12</v>
      </c>
      <c r="D5512" s="4" t="n">
        <v>14</v>
      </c>
      <c r="E5512" s="4" t="s">
        <v>4353</v>
      </c>
      <c r="F5512" s="4" t="n">
        <v>6</v>
      </c>
      <c r="G5512" s="4" t="n">
        <v>15</v>
      </c>
      <c r="H5512" s="4" t="n">
        <v>4</v>
      </c>
      <c r="I5512" s="4" t="str">
        <v>×</v>
      </c>
      <c r="J5512" s="4"/>
      <c r="K5512" s="4"/>
      <c r="L5512" s="4"/>
      <c r="M5512" s="5" t="s">
        <v>4174</v>
      </c>
    </row>
    <row r="5513" customFormat="false" ht="15.75" hidden="false" customHeight="false" outlineLevel="0" collapsed="false">
      <c r="A5513" s="6" t="n">
        <v>46200</v>
      </c>
      <c r="B5513" s="4" t="s">
        <v>915</v>
      </c>
      <c r="C5513" s="4" t="n">
        <v>12</v>
      </c>
      <c r="D5513" s="4" t="n">
        <v>15</v>
      </c>
      <c r="E5513" s="4" t="s">
        <v>4354</v>
      </c>
      <c r="F5513" s="4" t="n">
        <v>66</v>
      </c>
      <c r="G5513" s="4" t="n">
        <v>1</v>
      </c>
      <c r="H5513" s="4" t="n">
        <v>4</v>
      </c>
      <c r="I5513" s="4" t="str">
        <v>×</v>
      </c>
      <c r="J5513" s="4"/>
      <c r="K5513" s="4"/>
      <c r="L5513" s="4"/>
      <c r="M5513" s="5" t="s">
        <v>4174</v>
      </c>
    </row>
    <row r="5514" customFormat="false" ht="15.75" hidden="false" customHeight="false" outlineLevel="0" collapsed="false">
      <c r="A5514" s="6" t="n">
        <v>46200</v>
      </c>
      <c r="B5514" s="4" t="s">
        <v>915</v>
      </c>
      <c r="C5514" s="4" t="n">
        <v>12</v>
      </c>
      <c r="D5514" s="4" t="n">
        <v>16</v>
      </c>
      <c r="E5514" s="4" t="s">
        <v>1028</v>
      </c>
      <c r="F5514" s="4" t="n">
        <v>13</v>
      </c>
      <c r="G5514" s="4" t="n">
        <v>9</v>
      </c>
      <c r="H5514" s="4" t="n">
        <v>4</v>
      </c>
      <c r="I5514" s="4" t="str">
        <v>×</v>
      </c>
      <c r="J5514" s="4"/>
      <c r="K5514" s="4"/>
      <c r="L5514" s="4"/>
      <c r="M5514" s="5" t="s">
        <v>4174</v>
      </c>
    </row>
    <row r="5515" customFormat="false" ht="15.75" hidden="false" customHeight="false" outlineLevel="0" collapsed="false">
      <c r="A5515" s="6" t="n">
        <v>46200</v>
      </c>
      <c r="B5515" s="4" t="s">
        <v>1091</v>
      </c>
      <c r="C5515" s="4" t="n">
        <v>1</v>
      </c>
      <c r="D5515" s="4" t="n">
        <v>1</v>
      </c>
      <c r="E5515" s="4" t="s">
        <v>4355</v>
      </c>
      <c r="F5515" s="4" t="n">
        <v>86</v>
      </c>
      <c r="G5515" s="4" t="n">
        <v>1</v>
      </c>
      <c r="H5515" s="4" t="n">
        <v>1</v>
      </c>
      <c r="I5515" s="4" t="str">
        <v>○</v>
      </c>
      <c r="J5515" s="4" t="n">
        <v>110</v>
      </c>
      <c r="K5515" s="4"/>
      <c r="L5515" s="4"/>
      <c r="M5515" s="5" t="s">
        <v>4174</v>
      </c>
    </row>
    <row r="5516" customFormat="false" ht="15.75" hidden="false" customHeight="false" outlineLevel="0" collapsed="false">
      <c r="A5516" s="6" t="n">
        <v>46200</v>
      </c>
      <c r="B5516" s="4" t="s">
        <v>1091</v>
      </c>
      <c r="C5516" s="4" t="n">
        <v>1</v>
      </c>
      <c r="D5516" s="4" t="n">
        <v>2</v>
      </c>
      <c r="E5516" s="4" t="s">
        <v>4356</v>
      </c>
      <c r="F5516" s="4" t="n">
        <v>34</v>
      </c>
      <c r="G5516" s="4" t="n">
        <v>2</v>
      </c>
      <c r="H5516" s="4" t="n">
        <v>2</v>
      </c>
      <c r="I5516" s="4" t="str">
        <v>○</v>
      </c>
      <c r="J5516" s="4" t="n">
        <v>170</v>
      </c>
      <c r="K5516" s="4"/>
      <c r="L5516" s="4"/>
      <c r="M5516" s="5" t="s">
        <v>4174</v>
      </c>
    </row>
    <row r="5517" customFormat="false" ht="15.75" hidden="false" customHeight="false" outlineLevel="0" collapsed="false">
      <c r="A5517" s="6" t="n">
        <v>46200</v>
      </c>
      <c r="B5517" s="4" t="s">
        <v>1091</v>
      </c>
      <c r="C5517" s="4" t="n">
        <v>1</v>
      </c>
      <c r="D5517" s="4" t="n">
        <v>3</v>
      </c>
      <c r="E5517" s="4" t="s">
        <v>4357</v>
      </c>
      <c r="F5517" s="4" t="n">
        <v>29</v>
      </c>
      <c r="G5517" s="4" t="n">
        <v>3</v>
      </c>
      <c r="H5517" s="4" t="n">
        <v>4</v>
      </c>
      <c r="I5517" s="4" t="str">
        <v>×</v>
      </c>
      <c r="J5517" s="4"/>
      <c r="K5517" s="4"/>
      <c r="L5517" s="4"/>
      <c r="M5517" s="5" t="s">
        <v>4174</v>
      </c>
    </row>
    <row r="5518" customFormat="false" ht="15.75" hidden="false" customHeight="false" outlineLevel="0" collapsed="false">
      <c r="A5518" s="6" t="n">
        <v>46200</v>
      </c>
      <c r="B5518" s="4" t="s">
        <v>1091</v>
      </c>
      <c r="C5518" s="4" t="n">
        <v>1</v>
      </c>
      <c r="D5518" s="4" t="n">
        <v>4</v>
      </c>
      <c r="E5518" s="4" t="s">
        <v>1105</v>
      </c>
      <c r="F5518" s="4" t="n">
        <v>20</v>
      </c>
      <c r="G5518" s="4" t="n">
        <v>5</v>
      </c>
      <c r="H5518" s="4" t="n">
        <v>4</v>
      </c>
      <c r="I5518" s="4" t="str">
        <v>×</v>
      </c>
      <c r="J5518" s="4"/>
      <c r="K5518" s="4"/>
      <c r="L5518" s="4"/>
      <c r="M5518" s="5" t="s">
        <v>4174</v>
      </c>
    </row>
    <row r="5519" customFormat="false" ht="15.75" hidden="false" customHeight="false" outlineLevel="0" collapsed="false">
      <c r="A5519" s="6" t="n">
        <v>46200</v>
      </c>
      <c r="B5519" s="4" t="s">
        <v>1091</v>
      </c>
      <c r="C5519" s="4" t="n">
        <v>1</v>
      </c>
      <c r="D5519" s="4" t="n">
        <v>5</v>
      </c>
      <c r="E5519" s="4" t="s">
        <v>2020</v>
      </c>
      <c r="F5519" s="4" t="n">
        <v>29</v>
      </c>
      <c r="G5519" s="4" t="n">
        <v>3</v>
      </c>
      <c r="H5519" s="4" t="n">
        <v>3</v>
      </c>
      <c r="I5519" s="4" t="str">
        <v>○</v>
      </c>
      <c r="J5519" s="4"/>
      <c r="K5519" s="4"/>
      <c r="L5519" s="4"/>
      <c r="M5519" s="5" t="s">
        <v>4174</v>
      </c>
    </row>
    <row r="5520" customFormat="false" ht="15.75" hidden="false" customHeight="false" outlineLevel="0" collapsed="false">
      <c r="A5520" s="6" t="n">
        <v>46200</v>
      </c>
      <c r="B5520" s="4" t="s">
        <v>1091</v>
      </c>
      <c r="C5520" s="4" t="n">
        <v>1</v>
      </c>
      <c r="D5520" s="4" t="n">
        <v>6</v>
      </c>
      <c r="E5520" s="4" t="s">
        <v>4358</v>
      </c>
      <c r="F5520" s="4" t="n">
        <v>15</v>
      </c>
      <c r="G5520" s="4" t="n">
        <v>6</v>
      </c>
      <c r="H5520" s="4" t="n">
        <v>4</v>
      </c>
      <c r="I5520" s="4" t="str">
        <v>×</v>
      </c>
      <c r="J5520" s="4"/>
      <c r="K5520" s="4"/>
      <c r="L5520" s="4"/>
      <c r="M5520" s="5" t="s">
        <v>4174</v>
      </c>
    </row>
    <row r="5521" customFormat="false" ht="15.75" hidden="false" customHeight="false" outlineLevel="0" collapsed="false">
      <c r="A5521" s="6" t="n">
        <v>46200</v>
      </c>
      <c r="B5521" s="4" t="s">
        <v>1091</v>
      </c>
      <c r="C5521" s="4" t="n">
        <v>2</v>
      </c>
      <c r="D5521" s="4" t="n">
        <v>1</v>
      </c>
      <c r="E5521" s="4" t="s">
        <v>4359</v>
      </c>
      <c r="F5521" s="4" t="n">
        <v>23</v>
      </c>
      <c r="G5521" s="4" t="n">
        <v>6</v>
      </c>
      <c r="H5521" s="4" t="n">
        <v>4</v>
      </c>
      <c r="I5521" s="4" t="str">
        <v>×</v>
      </c>
      <c r="J5521" s="4"/>
      <c r="K5521" s="4"/>
      <c r="L5521" s="4"/>
      <c r="M5521" s="5" t="s">
        <v>4174</v>
      </c>
    </row>
    <row r="5522" customFormat="false" ht="15.75" hidden="false" customHeight="false" outlineLevel="0" collapsed="false">
      <c r="A5522" s="6" t="n">
        <v>46200</v>
      </c>
      <c r="B5522" s="4" t="s">
        <v>1091</v>
      </c>
      <c r="C5522" s="4" t="n">
        <v>2</v>
      </c>
      <c r="D5522" s="4" t="n">
        <v>2</v>
      </c>
      <c r="E5522" s="4" t="s">
        <v>4360</v>
      </c>
      <c r="F5522" s="4" t="n">
        <v>3</v>
      </c>
      <c r="G5522" s="4" t="n">
        <v>12</v>
      </c>
      <c r="H5522" s="4" t="n">
        <v>4</v>
      </c>
      <c r="I5522" s="4" t="str">
        <v>×</v>
      </c>
      <c r="J5522" s="4"/>
      <c r="K5522" s="4"/>
      <c r="L5522" s="4"/>
      <c r="M5522" s="5" t="s">
        <v>4174</v>
      </c>
    </row>
    <row r="5523" customFormat="false" ht="15.75" hidden="false" customHeight="false" outlineLevel="0" collapsed="false">
      <c r="A5523" s="6" t="n">
        <v>46200</v>
      </c>
      <c r="B5523" s="4" t="s">
        <v>1091</v>
      </c>
      <c r="C5523" s="4" t="n">
        <v>2</v>
      </c>
      <c r="D5523" s="4" t="n">
        <v>3</v>
      </c>
      <c r="E5523" s="4" t="s">
        <v>1121</v>
      </c>
      <c r="F5523" s="4" t="n">
        <v>6</v>
      </c>
      <c r="G5523" s="4" t="n">
        <v>10</v>
      </c>
      <c r="H5523" s="4" t="n">
        <v>2</v>
      </c>
      <c r="I5523" s="4" t="str">
        <v>○</v>
      </c>
      <c r="J5523" s="4" t="n">
        <v>1310</v>
      </c>
      <c r="K5523" s="4"/>
      <c r="L5523" s="4"/>
      <c r="M5523" s="5" t="s">
        <v>4174</v>
      </c>
    </row>
    <row r="5524" customFormat="false" ht="15.75" hidden="false" customHeight="false" outlineLevel="0" collapsed="false">
      <c r="A5524" s="6" t="n">
        <v>46200</v>
      </c>
      <c r="B5524" s="4" t="s">
        <v>1091</v>
      </c>
      <c r="C5524" s="4" t="n">
        <v>2</v>
      </c>
      <c r="D5524" s="4" t="n">
        <v>4</v>
      </c>
      <c r="E5524" s="4" t="s">
        <v>4361</v>
      </c>
      <c r="F5524" s="4" t="n">
        <v>34</v>
      </c>
      <c r="G5524" s="4" t="n">
        <v>4</v>
      </c>
      <c r="H5524" s="4" t="n">
        <v>4</v>
      </c>
      <c r="I5524" s="4" t="str">
        <v>×</v>
      </c>
      <c r="J5524" s="4"/>
      <c r="K5524" s="4"/>
      <c r="L5524" s="4"/>
      <c r="M5524" s="5" t="s">
        <v>4174</v>
      </c>
    </row>
    <row r="5525" customFormat="false" ht="15.75" hidden="false" customHeight="false" outlineLevel="0" collapsed="false">
      <c r="A5525" s="6" t="n">
        <v>46200</v>
      </c>
      <c r="B5525" s="4" t="s">
        <v>1091</v>
      </c>
      <c r="C5525" s="4" t="n">
        <v>2</v>
      </c>
      <c r="D5525" s="4" t="n">
        <v>5</v>
      </c>
      <c r="E5525" s="4" t="s">
        <v>817</v>
      </c>
      <c r="F5525" s="4" t="n">
        <v>34</v>
      </c>
      <c r="G5525" s="4" t="n">
        <v>4</v>
      </c>
      <c r="H5525" s="4" t="n">
        <v>4</v>
      </c>
      <c r="I5525" s="4" t="str">
        <v>×</v>
      </c>
      <c r="J5525" s="4"/>
      <c r="K5525" s="4"/>
      <c r="L5525" s="4"/>
      <c r="M5525" s="5" t="s">
        <v>4174</v>
      </c>
    </row>
    <row r="5526" customFormat="false" ht="15.75" hidden="false" customHeight="false" outlineLevel="0" collapsed="false">
      <c r="A5526" s="6" t="n">
        <v>46200</v>
      </c>
      <c r="B5526" s="4" t="s">
        <v>1091</v>
      </c>
      <c r="C5526" s="4" t="n">
        <v>2</v>
      </c>
      <c r="D5526" s="4" t="n">
        <v>6</v>
      </c>
      <c r="E5526" s="4" t="s">
        <v>4362</v>
      </c>
      <c r="F5526" s="4" t="n">
        <v>3</v>
      </c>
      <c r="G5526" s="4" t="n">
        <v>12</v>
      </c>
      <c r="H5526" s="4" t="n">
        <v>4</v>
      </c>
      <c r="I5526" s="4" t="str">
        <v>×</v>
      </c>
      <c r="J5526" s="4"/>
      <c r="K5526" s="4"/>
      <c r="L5526" s="4"/>
      <c r="M5526" s="5" t="s">
        <v>4174</v>
      </c>
    </row>
    <row r="5527" customFormat="false" ht="15.75" hidden="false" customHeight="false" outlineLevel="0" collapsed="false">
      <c r="A5527" s="6" t="n">
        <v>46200</v>
      </c>
      <c r="B5527" s="4" t="s">
        <v>1091</v>
      </c>
      <c r="C5527" s="4" t="n">
        <v>2</v>
      </c>
      <c r="D5527" s="4" t="n">
        <v>7</v>
      </c>
      <c r="E5527" s="4" t="s">
        <v>1125</v>
      </c>
      <c r="F5527" s="4" t="n">
        <v>56</v>
      </c>
      <c r="G5527" s="4" t="n">
        <v>2</v>
      </c>
      <c r="H5527" s="4" t="n">
        <v>4</v>
      </c>
      <c r="I5527" s="4" t="str">
        <v>×</v>
      </c>
      <c r="J5527" s="4"/>
      <c r="K5527" s="4"/>
      <c r="L5527" s="4"/>
      <c r="M5527" s="5" t="s">
        <v>4174</v>
      </c>
    </row>
    <row r="5528" customFormat="false" ht="15.75" hidden="false" customHeight="false" outlineLevel="0" collapsed="false">
      <c r="A5528" s="6" t="n">
        <v>46200</v>
      </c>
      <c r="B5528" s="4" t="s">
        <v>1091</v>
      </c>
      <c r="C5528" s="4" t="n">
        <v>2</v>
      </c>
      <c r="D5528" s="4" t="n">
        <v>8</v>
      </c>
      <c r="E5528" s="4" t="s">
        <v>3154</v>
      </c>
      <c r="F5528" s="4" t="n">
        <v>15</v>
      </c>
      <c r="G5528" s="4" t="n">
        <v>7</v>
      </c>
      <c r="H5528" s="4" t="n">
        <v>4</v>
      </c>
      <c r="I5528" s="4" t="str">
        <v>×</v>
      </c>
      <c r="J5528" s="4"/>
      <c r="K5528" s="4"/>
      <c r="L5528" s="4"/>
      <c r="M5528" s="5" t="s">
        <v>4174</v>
      </c>
    </row>
    <row r="5529" customFormat="false" ht="15.75" hidden="false" customHeight="false" outlineLevel="0" collapsed="false">
      <c r="A5529" s="6" t="n">
        <v>46200</v>
      </c>
      <c r="B5529" s="4" t="s">
        <v>1091</v>
      </c>
      <c r="C5529" s="4" t="n">
        <v>2</v>
      </c>
      <c r="D5529" s="4" t="n">
        <v>9</v>
      </c>
      <c r="E5529" s="4" t="s">
        <v>1128</v>
      </c>
      <c r="F5529" s="4" t="n">
        <v>8</v>
      </c>
      <c r="G5529" s="4" t="n">
        <v>9</v>
      </c>
      <c r="H5529" s="4" t="n">
        <v>3</v>
      </c>
      <c r="I5529" s="4" t="str">
        <v>○</v>
      </c>
      <c r="J5529" s="4" t="n">
        <v>1570</v>
      </c>
      <c r="K5529" s="4"/>
      <c r="L5529" s="4"/>
      <c r="M5529" s="5" t="s">
        <v>4174</v>
      </c>
    </row>
    <row r="5530" customFormat="false" ht="15.75" hidden="false" customHeight="false" outlineLevel="0" collapsed="false">
      <c r="A5530" s="6" t="n">
        <v>46200</v>
      </c>
      <c r="B5530" s="4" t="s">
        <v>1091</v>
      </c>
      <c r="C5530" s="4" t="n">
        <v>2</v>
      </c>
      <c r="D5530" s="4" t="n">
        <v>10</v>
      </c>
      <c r="E5530" s="4" t="s">
        <v>4363</v>
      </c>
      <c r="F5530" s="4" t="n">
        <v>71</v>
      </c>
      <c r="G5530" s="4" t="n">
        <v>1</v>
      </c>
      <c r="H5530" s="4" t="n">
        <v>4</v>
      </c>
      <c r="I5530" s="4" t="str">
        <v>×</v>
      </c>
      <c r="J5530" s="4"/>
      <c r="K5530" s="4"/>
      <c r="L5530" s="4"/>
      <c r="M5530" s="5" t="s">
        <v>4174</v>
      </c>
    </row>
    <row r="5531" customFormat="false" ht="15.75" hidden="false" customHeight="false" outlineLevel="0" collapsed="false">
      <c r="A5531" s="6" t="n">
        <v>46200</v>
      </c>
      <c r="B5531" s="4" t="s">
        <v>1091</v>
      </c>
      <c r="C5531" s="4" t="n">
        <v>2</v>
      </c>
      <c r="D5531" s="4" t="n">
        <v>11</v>
      </c>
      <c r="E5531" s="4" t="s">
        <v>4364</v>
      </c>
      <c r="F5531" s="4" t="n">
        <v>6</v>
      </c>
      <c r="G5531" s="4" t="n">
        <v>10</v>
      </c>
      <c r="H5531" s="4" t="n">
        <v>4</v>
      </c>
      <c r="I5531" s="4" t="str">
        <v>×</v>
      </c>
      <c r="J5531" s="4"/>
      <c r="K5531" s="4"/>
      <c r="L5531" s="4"/>
      <c r="M5531" s="5" t="s">
        <v>4174</v>
      </c>
    </row>
    <row r="5532" customFormat="false" ht="15.75" hidden="false" customHeight="false" outlineLevel="0" collapsed="false">
      <c r="A5532" s="6" t="n">
        <v>46200</v>
      </c>
      <c r="B5532" s="4" t="s">
        <v>1091</v>
      </c>
      <c r="C5532" s="4" t="n">
        <v>2</v>
      </c>
      <c r="D5532" s="4" t="n">
        <v>12</v>
      </c>
      <c r="E5532" s="4" t="s">
        <v>4365</v>
      </c>
      <c r="F5532" s="4" t="n">
        <v>15</v>
      </c>
      <c r="G5532" s="4" t="n">
        <v>7</v>
      </c>
      <c r="H5532" s="4" t="n">
        <v>4</v>
      </c>
      <c r="I5532" s="4" t="str">
        <v>×</v>
      </c>
      <c r="J5532" s="4"/>
      <c r="K5532" s="4"/>
      <c r="L5532" s="4"/>
      <c r="M5532" s="5" t="s">
        <v>4174</v>
      </c>
    </row>
    <row r="5533" customFormat="false" ht="15.75" hidden="false" customHeight="false" outlineLevel="0" collapsed="false">
      <c r="A5533" s="6" t="n">
        <v>46200</v>
      </c>
      <c r="B5533" s="4" t="s">
        <v>1091</v>
      </c>
      <c r="C5533" s="4" t="n">
        <v>2</v>
      </c>
      <c r="D5533" s="4" t="n">
        <v>13</v>
      </c>
      <c r="E5533" s="4" t="s">
        <v>1153</v>
      </c>
      <c r="F5533" s="4" t="n">
        <v>3</v>
      </c>
      <c r="G5533" s="4" t="n">
        <v>12</v>
      </c>
      <c r="H5533" s="4" t="n">
        <v>4</v>
      </c>
      <c r="I5533" s="4" t="str">
        <v>×</v>
      </c>
      <c r="J5533" s="4"/>
      <c r="K5533" s="4"/>
      <c r="L5533" s="4"/>
      <c r="M5533" s="5" t="s">
        <v>4174</v>
      </c>
    </row>
    <row r="5534" customFormat="false" ht="15.75" hidden="false" customHeight="false" outlineLevel="0" collapsed="false">
      <c r="A5534" s="6" t="n">
        <v>46200</v>
      </c>
      <c r="B5534" s="4" t="s">
        <v>1091</v>
      </c>
      <c r="C5534" s="4" t="n">
        <v>2</v>
      </c>
      <c r="D5534" s="4" t="n">
        <v>14</v>
      </c>
      <c r="E5534" s="4" t="s">
        <v>1655</v>
      </c>
      <c r="F5534" s="4" t="n">
        <v>56</v>
      </c>
      <c r="G5534" s="4" t="n">
        <v>2</v>
      </c>
      <c r="H5534" s="4" t="n">
        <v>1</v>
      </c>
      <c r="I5534" s="4" t="str">
        <v>○</v>
      </c>
      <c r="J5534" s="4" t="n">
        <v>180</v>
      </c>
      <c r="K5534" s="4"/>
      <c r="L5534" s="4"/>
      <c r="M5534" s="5" t="s">
        <v>4174</v>
      </c>
    </row>
    <row r="5535" customFormat="false" ht="15.75" hidden="false" customHeight="false" outlineLevel="0" collapsed="false">
      <c r="A5535" s="6" t="n">
        <v>46200</v>
      </c>
      <c r="B5535" s="4" t="s">
        <v>1091</v>
      </c>
      <c r="C5535" s="4" t="n">
        <v>3</v>
      </c>
      <c r="D5535" s="4" t="n">
        <v>1</v>
      </c>
      <c r="E5535" s="4" t="s">
        <v>1167</v>
      </c>
      <c r="F5535" s="4" t="n">
        <v>15</v>
      </c>
      <c r="G5535" s="4" t="n">
        <v>6</v>
      </c>
      <c r="H5535" s="4" t="n">
        <v>4</v>
      </c>
      <c r="I5535" s="4" t="str">
        <v>×</v>
      </c>
      <c r="J5535" s="4"/>
      <c r="K5535" s="4"/>
      <c r="L5535" s="4"/>
      <c r="M5535" s="5" t="s">
        <v>4174</v>
      </c>
    </row>
    <row r="5536" customFormat="false" ht="15.75" hidden="false" customHeight="false" outlineLevel="0" collapsed="false">
      <c r="A5536" s="6" t="n">
        <v>46200</v>
      </c>
      <c r="B5536" s="4" t="s">
        <v>1091</v>
      </c>
      <c r="C5536" s="4" t="n">
        <v>3</v>
      </c>
      <c r="D5536" s="4" t="n">
        <v>2</v>
      </c>
      <c r="E5536" s="4" t="s">
        <v>2506</v>
      </c>
      <c r="F5536" s="4" t="n">
        <v>4</v>
      </c>
      <c r="G5536" s="4" t="n">
        <v>13</v>
      </c>
      <c r="H5536" s="4" t="n">
        <v>1</v>
      </c>
      <c r="I5536" s="4" t="str">
        <v>○</v>
      </c>
      <c r="J5536" s="4" t="n">
        <v>460</v>
      </c>
      <c r="K5536" s="4"/>
      <c r="L5536" s="4"/>
      <c r="M5536" s="5" t="s">
        <v>4174</v>
      </c>
    </row>
    <row r="5537" customFormat="false" ht="15.75" hidden="false" customHeight="false" outlineLevel="0" collapsed="false">
      <c r="A5537" s="6" t="n">
        <v>46200</v>
      </c>
      <c r="B5537" s="4" t="s">
        <v>1091</v>
      </c>
      <c r="C5537" s="4" t="n">
        <v>3</v>
      </c>
      <c r="D5537" s="4" t="n">
        <v>3</v>
      </c>
      <c r="E5537" s="4" t="s">
        <v>1164</v>
      </c>
      <c r="F5537" s="4" t="n">
        <v>15</v>
      </c>
      <c r="G5537" s="4" t="n">
        <v>6</v>
      </c>
      <c r="H5537" s="4" t="n">
        <v>2</v>
      </c>
      <c r="I5537" s="4" t="str">
        <v>○</v>
      </c>
      <c r="J5537" s="4" t="n">
        <v>710</v>
      </c>
      <c r="K5537" s="4"/>
      <c r="L5537" s="4"/>
      <c r="M5537" s="5" t="s">
        <v>4174</v>
      </c>
    </row>
    <row r="5538" customFormat="false" ht="15.75" hidden="false" customHeight="false" outlineLevel="0" collapsed="false">
      <c r="A5538" s="6" t="n">
        <v>46200</v>
      </c>
      <c r="B5538" s="4" t="s">
        <v>1091</v>
      </c>
      <c r="C5538" s="4" t="n">
        <v>3</v>
      </c>
      <c r="D5538" s="4" t="n">
        <v>4</v>
      </c>
      <c r="E5538" s="4" t="s">
        <v>1162</v>
      </c>
      <c r="F5538" s="4" t="n">
        <v>20</v>
      </c>
      <c r="G5538" s="4" t="n">
        <v>5</v>
      </c>
      <c r="H5538" s="4" t="n">
        <v>3</v>
      </c>
      <c r="I5538" s="4" t="str">
        <v>○</v>
      </c>
      <c r="J5538" s="4" t="n">
        <v>700</v>
      </c>
      <c r="K5538" s="4"/>
      <c r="L5538" s="4"/>
      <c r="M5538" s="5" t="s">
        <v>4174</v>
      </c>
    </row>
    <row r="5539" customFormat="false" ht="15.75" hidden="false" customHeight="false" outlineLevel="0" collapsed="false">
      <c r="A5539" s="6" t="n">
        <v>46200</v>
      </c>
      <c r="B5539" s="4" t="s">
        <v>1091</v>
      </c>
      <c r="C5539" s="4" t="n">
        <v>3</v>
      </c>
      <c r="D5539" s="4" t="n">
        <v>5</v>
      </c>
      <c r="E5539" s="4" t="s">
        <v>1166</v>
      </c>
      <c r="F5539" s="4" t="n">
        <v>4</v>
      </c>
      <c r="G5539" s="4" t="n">
        <v>13</v>
      </c>
      <c r="H5539" s="4" t="n">
        <v>4</v>
      </c>
      <c r="I5539" s="4" t="str">
        <v>×</v>
      </c>
      <c r="J5539" s="4"/>
      <c r="K5539" s="4"/>
      <c r="L5539" s="4"/>
      <c r="M5539" s="5" t="s">
        <v>4174</v>
      </c>
    </row>
    <row r="5540" customFormat="false" ht="15.75" hidden="false" customHeight="false" outlineLevel="0" collapsed="false">
      <c r="A5540" s="6" t="n">
        <v>46200</v>
      </c>
      <c r="B5540" s="4" t="s">
        <v>1091</v>
      </c>
      <c r="C5540" s="4" t="n">
        <v>3</v>
      </c>
      <c r="D5540" s="4" t="n">
        <v>6</v>
      </c>
      <c r="E5540" s="4" t="s">
        <v>4366</v>
      </c>
      <c r="F5540" s="4" t="n">
        <v>10</v>
      </c>
      <c r="G5540" s="4" t="n">
        <v>8</v>
      </c>
      <c r="H5540" s="4" t="n">
        <v>4</v>
      </c>
      <c r="I5540" s="4" t="str">
        <v>×</v>
      </c>
      <c r="J5540" s="4"/>
      <c r="K5540" s="4"/>
      <c r="L5540" s="4"/>
      <c r="M5540" s="5" t="s">
        <v>4174</v>
      </c>
    </row>
    <row r="5541" customFormat="false" ht="15.75" hidden="false" customHeight="false" outlineLevel="0" collapsed="false">
      <c r="A5541" s="6" t="n">
        <v>46200</v>
      </c>
      <c r="B5541" s="4" t="s">
        <v>1091</v>
      </c>
      <c r="C5541" s="4" t="n">
        <v>3</v>
      </c>
      <c r="D5541" s="4" t="n">
        <v>7</v>
      </c>
      <c r="E5541" s="4" t="s">
        <v>363</v>
      </c>
      <c r="F5541" s="4" t="n">
        <v>50</v>
      </c>
      <c r="G5541" s="4" t="n">
        <v>2</v>
      </c>
      <c r="H5541" s="4" t="n">
        <v>4</v>
      </c>
      <c r="I5541" s="4" t="str">
        <v>×</v>
      </c>
      <c r="J5541" s="4"/>
      <c r="K5541" s="4"/>
      <c r="L5541" s="4"/>
      <c r="M5541" s="5" t="s">
        <v>4174</v>
      </c>
    </row>
    <row r="5542" customFormat="false" ht="15.75" hidden="false" customHeight="false" outlineLevel="0" collapsed="false">
      <c r="A5542" s="6" t="n">
        <v>46200</v>
      </c>
      <c r="B5542" s="4" t="s">
        <v>1091</v>
      </c>
      <c r="C5542" s="4" t="n">
        <v>3</v>
      </c>
      <c r="D5542" s="4" t="n">
        <v>8</v>
      </c>
      <c r="E5542" s="4" t="s">
        <v>4367</v>
      </c>
      <c r="F5542" s="4" t="n">
        <v>25</v>
      </c>
      <c r="G5542" s="4" t="n">
        <v>4</v>
      </c>
      <c r="H5542" s="4" t="n">
        <v>4</v>
      </c>
      <c r="I5542" s="4" t="str">
        <v>×</v>
      </c>
      <c r="J5542" s="4"/>
      <c r="K5542" s="4"/>
      <c r="L5542" s="4"/>
      <c r="M5542" s="5" t="s">
        <v>4174</v>
      </c>
    </row>
    <row r="5543" customFormat="false" ht="15.75" hidden="false" customHeight="false" outlineLevel="0" collapsed="false">
      <c r="A5543" s="6" t="n">
        <v>46200</v>
      </c>
      <c r="B5543" s="4" t="s">
        <v>1091</v>
      </c>
      <c r="C5543" s="4" t="n">
        <v>3</v>
      </c>
      <c r="D5543" s="4" t="n">
        <v>9</v>
      </c>
      <c r="E5543" s="4" t="s">
        <v>4368</v>
      </c>
      <c r="F5543" s="4" t="n">
        <v>8</v>
      </c>
      <c r="G5543" s="4" t="n">
        <v>10</v>
      </c>
      <c r="H5543" s="4" t="n">
        <v>4</v>
      </c>
      <c r="I5543" s="4" t="str">
        <v>×</v>
      </c>
      <c r="J5543" s="4"/>
      <c r="K5543" s="4"/>
      <c r="L5543" s="4"/>
      <c r="M5543" s="5" t="s">
        <v>4174</v>
      </c>
    </row>
    <row r="5544" customFormat="false" ht="15.75" hidden="false" customHeight="false" outlineLevel="0" collapsed="false">
      <c r="A5544" s="6" t="n">
        <v>46200</v>
      </c>
      <c r="B5544" s="4" t="s">
        <v>1091</v>
      </c>
      <c r="C5544" s="4" t="n">
        <v>3</v>
      </c>
      <c r="D5544" s="4" t="n">
        <v>10</v>
      </c>
      <c r="E5544" s="4" t="s">
        <v>4369</v>
      </c>
      <c r="F5544" s="4" t="n">
        <v>29</v>
      </c>
      <c r="G5544" s="4" t="n">
        <v>3</v>
      </c>
      <c r="H5544" s="4" t="n">
        <v>4</v>
      </c>
      <c r="I5544" s="4" t="str">
        <v>×</v>
      </c>
      <c r="J5544" s="4"/>
      <c r="K5544" s="4"/>
      <c r="L5544" s="4"/>
      <c r="M5544" s="5" t="s">
        <v>4174</v>
      </c>
    </row>
    <row r="5545" customFormat="false" ht="15.75" hidden="false" customHeight="false" outlineLevel="0" collapsed="false">
      <c r="A5545" s="6" t="n">
        <v>46200</v>
      </c>
      <c r="B5545" s="4" t="s">
        <v>1091</v>
      </c>
      <c r="C5545" s="4" t="n">
        <v>3</v>
      </c>
      <c r="D5545" s="4" t="n">
        <v>11</v>
      </c>
      <c r="E5545" s="4" t="s">
        <v>4370</v>
      </c>
      <c r="F5545" s="4" t="n">
        <v>10</v>
      </c>
      <c r="G5545" s="4" t="n">
        <v>8</v>
      </c>
      <c r="H5545" s="4" t="n">
        <v>4</v>
      </c>
      <c r="I5545" s="4" t="str">
        <v>×</v>
      </c>
      <c r="J5545" s="4"/>
      <c r="K5545" s="4"/>
      <c r="L5545" s="4"/>
      <c r="M5545" s="5" t="s">
        <v>4174</v>
      </c>
    </row>
    <row r="5546" customFormat="false" ht="15.75" hidden="false" customHeight="false" outlineLevel="0" collapsed="false">
      <c r="A5546" s="6" t="n">
        <v>46200</v>
      </c>
      <c r="B5546" s="4" t="s">
        <v>1091</v>
      </c>
      <c r="C5546" s="4" t="n">
        <v>3</v>
      </c>
      <c r="D5546" s="4" t="n">
        <v>12</v>
      </c>
      <c r="E5546" s="4" t="s">
        <v>2083</v>
      </c>
      <c r="F5546" s="4" t="n">
        <v>4</v>
      </c>
      <c r="G5546" s="4" t="n">
        <v>13</v>
      </c>
      <c r="H5546" s="4" t="n">
        <v>4</v>
      </c>
      <c r="I5546" s="4" t="str">
        <v>×</v>
      </c>
      <c r="J5546" s="4"/>
      <c r="K5546" s="4"/>
      <c r="L5546" s="4"/>
      <c r="M5546" s="5" t="s">
        <v>4174</v>
      </c>
    </row>
    <row r="5547" customFormat="false" ht="15.75" hidden="false" customHeight="false" outlineLevel="0" collapsed="false">
      <c r="A5547" s="6" t="n">
        <v>46200</v>
      </c>
      <c r="B5547" s="4" t="s">
        <v>1091</v>
      </c>
      <c r="C5547" s="4" t="n">
        <v>3</v>
      </c>
      <c r="D5547" s="4" t="n">
        <v>13</v>
      </c>
      <c r="E5547" s="4" t="s">
        <v>4371</v>
      </c>
      <c r="F5547" s="4" t="n">
        <v>2</v>
      </c>
      <c r="G5547" s="4" t="n">
        <v>16</v>
      </c>
      <c r="H5547" s="4" t="n">
        <v>4</v>
      </c>
      <c r="I5547" s="4" t="str">
        <v>×</v>
      </c>
      <c r="J5547" s="4"/>
      <c r="K5547" s="4"/>
      <c r="L5547" s="4"/>
      <c r="M5547" s="5" t="s">
        <v>4174</v>
      </c>
    </row>
    <row r="5548" customFormat="false" ht="15.75" hidden="false" customHeight="false" outlineLevel="0" collapsed="false">
      <c r="A5548" s="6" t="n">
        <v>46200</v>
      </c>
      <c r="B5548" s="4" t="s">
        <v>1091</v>
      </c>
      <c r="C5548" s="4" t="n">
        <v>3</v>
      </c>
      <c r="D5548" s="4" t="n">
        <v>14</v>
      </c>
      <c r="E5548" s="4" t="s">
        <v>845</v>
      </c>
      <c r="F5548" s="4" t="n">
        <v>8</v>
      </c>
      <c r="G5548" s="4" t="n">
        <v>10</v>
      </c>
      <c r="H5548" s="4" t="n">
        <v>4</v>
      </c>
      <c r="I5548" s="4" t="str">
        <v>×</v>
      </c>
      <c r="J5548" s="4"/>
      <c r="K5548" s="4"/>
      <c r="L5548" s="4"/>
      <c r="M5548" s="5" t="s">
        <v>4174</v>
      </c>
    </row>
    <row r="5549" customFormat="false" ht="15.75" hidden="false" customHeight="false" outlineLevel="0" collapsed="false">
      <c r="A5549" s="6" t="n">
        <v>46200</v>
      </c>
      <c r="B5549" s="4" t="s">
        <v>1091</v>
      </c>
      <c r="C5549" s="4" t="n">
        <v>3</v>
      </c>
      <c r="D5549" s="4" t="n">
        <v>15</v>
      </c>
      <c r="E5549" s="4" t="s">
        <v>4372</v>
      </c>
      <c r="F5549" s="4" t="n">
        <v>8</v>
      </c>
      <c r="G5549" s="4" t="n">
        <v>10</v>
      </c>
      <c r="H5549" s="4" t="n">
        <v>4</v>
      </c>
      <c r="I5549" s="4" t="str">
        <v>×</v>
      </c>
      <c r="J5549" s="4"/>
      <c r="K5549" s="4"/>
      <c r="L5549" s="4"/>
      <c r="M5549" s="5" t="s">
        <v>4174</v>
      </c>
    </row>
    <row r="5550" customFormat="false" ht="15.75" hidden="false" customHeight="false" outlineLevel="0" collapsed="false">
      <c r="A5550" s="6" t="n">
        <v>46200</v>
      </c>
      <c r="B5550" s="4" t="s">
        <v>1091</v>
      </c>
      <c r="C5550" s="4" t="n">
        <v>3</v>
      </c>
      <c r="D5550" s="4" t="n">
        <v>16</v>
      </c>
      <c r="E5550" s="4" t="s">
        <v>4373</v>
      </c>
      <c r="F5550" s="4" t="n">
        <v>60</v>
      </c>
      <c r="G5550" s="4" t="n">
        <v>1</v>
      </c>
      <c r="H5550" s="4" t="n">
        <v>4</v>
      </c>
      <c r="I5550" s="4" t="str">
        <v>×</v>
      </c>
      <c r="J5550" s="4"/>
      <c r="K5550" s="4"/>
      <c r="L5550" s="4"/>
      <c r="M5550" s="5" t="s">
        <v>4174</v>
      </c>
    </row>
    <row r="5551" customFormat="false" ht="15.75" hidden="false" customHeight="false" outlineLevel="0" collapsed="false">
      <c r="A5551" s="6" t="n">
        <v>46200</v>
      </c>
      <c r="B5551" s="4" t="s">
        <v>1091</v>
      </c>
      <c r="C5551" s="4" t="n">
        <v>4</v>
      </c>
      <c r="D5551" s="4" t="n">
        <v>1</v>
      </c>
      <c r="E5551" s="4" t="s">
        <v>1635</v>
      </c>
      <c r="F5551" s="4" t="n">
        <v>2</v>
      </c>
      <c r="G5551" s="4" t="n">
        <v>16</v>
      </c>
      <c r="H5551" s="4" t="n">
        <v>4</v>
      </c>
      <c r="I5551" s="4" t="str">
        <v>×</v>
      </c>
      <c r="J5551" s="4"/>
      <c r="K5551" s="4"/>
      <c r="L5551" s="4"/>
      <c r="M5551" s="5" t="s">
        <v>4174</v>
      </c>
    </row>
    <row r="5552" customFormat="false" ht="15.75" hidden="false" customHeight="false" outlineLevel="0" collapsed="false">
      <c r="A5552" s="6" t="n">
        <v>46200</v>
      </c>
      <c r="B5552" s="4" t="s">
        <v>1091</v>
      </c>
      <c r="C5552" s="4" t="n">
        <v>4</v>
      </c>
      <c r="D5552" s="4" t="n">
        <v>2</v>
      </c>
      <c r="E5552" s="4" t="s">
        <v>2069</v>
      </c>
      <c r="F5552" s="4" t="n">
        <v>3</v>
      </c>
      <c r="G5552" s="4" t="n">
        <v>14</v>
      </c>
      <c r="H5552" s="4" t="n">
        <v>4</v>
      </c>
      <c r="I5552" s="4" t="str">
        <v>×</v>
      </c>
      <c r="J5552" s="4"/>
      <c r="K5552" s="4"/>
      <c r="L5552" s="4"/>
      <c r="M5552" s="5" t="s">
        <v>4174</v>
      </c>
    </row>
    <row r="5553" customFormat="false" ht="15.75" hidden="false" customHeight="false" outlineLevel="0" collapsed="false">
      <c r="A5553" s="6" t="n">
        <v>46200</v>
      </c>
      <c r="B5553" s="4" t="s">
        <v>1091</v>
      </c>
      <c r="C5553" s="4" t="n">
        <v>4</v>
      </c>
      <c r="D5553" s="4" t="n">
        <v>3</v>
      </c>
      <c r="E5553" s="4" t="s">
        <v>4374</v>
      </c>
      <c r="F5553" s="4" t="n">
        <v>6</v>
      </c>
      <c r="G5553" s="4" t="n">
        <v>10</v>
      </c>
      <c r="H5553" s="4" t="n">
        <v>4</v>
      </c>
      <c r="I5553" s="4" t="str">
        <v>×</v>
      </c>
      <c r="J5553" s="4"/>
      <c r="K5553" s="4"/>
      <c r="L5553" s="4"/>
      <c r="M5553" s="5" t="s">
        <v>4174</v>
      </c>
    </row>
    <row r="5554" customFormat="false" ht="15.75" hidden="false" customHeight="false" outlineLevel="0" collapsed="false">
      <c r="A5554" s="6" t="n">
        <v>46200</v>
      </c>
      <c r="B5554" s="4" t="s">
        <v>1091</v>
      </c>
      <c r="C5554" s="4" t="n">
        <v>4</v>
      </c>
      <c r="D5554" s="4" t="n">
        <v>4</v>
      </c>
      <c r="E5554" s="4" t="s">
        <v>2495</v>
      </c>
      <c r="F5554" s="4" t="n">
        <v>13</v>
      </c>
      <c r="G5554" s="4" t="n">
        <v>6</v>
      </c>
      <c r="H5554" s="4" t="n">
        <v>1</v>
      </c>
      <c r="I5554" s="4" t="str">
        <v>○</v>
      </c>
      <c r="J5554" s="4" t="n">
        <v>260</v>
      </c>
      <c r="K5554" s="4"/>
      <c r="L5554" s="4"/>
      <c r="M5554" s="5" t="s">
        <v>4174</v>
      </c>
    </row>
    <row r="5555" customFormat="false" ht="15.75" hidden="false" customHeight="false" outlineLevel="0" collapsed="false">
      <c r="A5555" s="6" t="n">
        <v>46200</v>
      </c>
      <c r="B5555" s="4" t="s">
        <v>1091</v>
      </c>
      <c r="C5555" s="4" t="n">
        <v>4</v>
      </c>
      <c r="D5555" s="4" t="n">
        <v>5</v>
      </c>
      <c r="E5555" s="4" t="s">
        <v>2028</v>
      </c>
      <c r="F5555" s="4" t="n">
        <v>15</v>
      </c>
      <c r="G5555" s="4" t="n">
        <v>5</v>
      </c>
      <c r="H5555" s="4" t="n">
        <v>3</v>
      </c>
      <c r="I5555" s="4" t="str">
        <v>○</v>
      </c>
      <c r="J5555" s="4" t="n">
        <v>390</v>
      </c>
      <c r="K5555" s="4"/>
      <c r="L5555" s="4"/>
      <c r="M5555" s="5" t="s">
        <v>4174</v>
      </c>
    </row>
    <row r="5556" customFormat="false" ht="15.75" hidden="false" customHeight="false" outlineLevel="0" collapsed="false">
      <c r="A5556" s="6" t="n">
        <v>46200</v>
      </c>
      <c r="B5556" s="4" t="s">
        <v>1091</v>
      </c>
      <c r="C5556" s="4" t="n">
        <v>4</v>
      </c>
      <c r="D5556" s="4" t="n">
        <v>6</v>
      </c>
      <c r="E5556" s="4" t="s">
        <v>3923</v>
      </c>
      <c r="F5556" s="4" t="n">
        <v>44</v>
      </c>
      <c r="G5556" s="4" t="n">
        <v>3</v>
      </c>
      <c r="H5556" s="4" t="n">
        <v>4</v>
      </c>
      <c r="I5556" s="4" t="str">
        <v>×</v>
      </c>
      <c r="J5556" s="4"/>
      <c r="K5556" s="4"/>
      <c r="L5556" s="4"/>
      <c r="M5556" s="5" t="s">
        <v>4174</v>
      </c>
    </row>
    <row r="5557" customFormat="false" ht="15.75" hidden="false" customHeight="false" outlineLevel="0" collapsed="false">
      <c r="A5557" s="6" t="n">
        <v>46200</v>
      </c>
      <c r="B5557" s="4" t="s">
        <v>1091</v>
      </c>
      <c r="C5557" s="4" t="n">
        <v>4</v>
      </c>
      <c r="D5557" s="4" t="n">
        <v>7</v>
      </c>
      <c r="E5557" s="4" t="s">
        <v>2476</v>
      </c>
      <c r="F5557" s="4" t="n">
        <v>10</v>
      </c>
      <c r="G5557" s="4" t="n">
        <v>7</v>
      </c>
      <c r="H5557" s="4" t="n">
        <v>4</v>
      </c>
      <c r="I5557" s="4" t="str">
        <v>×</v>
      </c>
      <c r="J5557" s="4"/>
      <c r="K5557" s="4"/>
      <c r="L5557" s="4"/>
      <c r="M5557" s="5" t="s">
        <v>4174</v>
      </c>
    </row>
    <row r="5558" customFormat="false" ht="15.75" hidden="false" customHeight="false" outlineLevel="0" collapsed="false">
      <c r="A5558" s="6" t="n">
        <v>46200</v>
      </c>
      <c r="B5558" s="4" t="s">
        <v>1091</v>
      </c>
      <c r="C5558" s="4" t="n">
        <v>4</v>
      </c>
      <c r="D5558" s="4" t="n">
        <v>8</v>
      </c>
      <c r="E5558" s="4" t="s">
        <v>657</v>
      </c>
      <c r="F5558" s="4" t="n">
        <v>56</v>
      </c>
      <c r="G5558" s="4" t="n">
        <v>1</v>
      </c>
      <c r="H5558" s="4" t="n">
        <v>2</v>
      </c>
      <c r="I5558" s="4" t="str">
        <v>○</v>
      </c>
      <c r="J5558" s="4" t="n">
        <v>150</v>
      </c>
      <c r="K5558" s="4"/>
      <c r="L5558" s="4"/>
      <c r="M5558" s="5" t="s">
        <v>4174</v>
      </c>
    </row>
    <row r="5559" customFormat="false" ht="15.75" hidden="false" customHeight="false" outlineLevel="0" collapsed="false">
      <c r="A5559" s="6" t="n">
        <v>46200</v>
      </c>
      <c r="B5559" s="4" t="s">
        <v>1091</v>
      </c>
      <c r="C5559" s="4" t="n">
        <v>4</v>
      </c>
      <c r="D5559" s="4" t="n">
        <v>9</v>
      </c>
      <c r="E5559" s="4" t="s">
        <v>4375</v>
      </c>
      <c r="F5559" s="4" t="n">
        <v>6</v>
      </c>
      <c r="G5559" s="4" t="n">
        <v>10</v>
      </c>
      <c r="H5559" s="4" t="n">
        <v>4</v>
      </c>
      <c r="I5559" s="4" t="str">
        <v>×</v>
      </c>
      <c r="J5559" s="4"/>
      <c r="K5559" s="4"/>
      <c r="L5559" s="4"/>
      <c r="M5559" s="5" t="s">
        <v>4174</v>
      </c>
    </row>
    <row r="5560" customFormat="false" ht="15.75" hidden="false" customHeight="false" outlineLevel="0" collapsed="false">
      <c r="A5560" s="6" t="n">
        <v>46200</v>
      </c>
      <c r="B5560" s="4" t="s">
        <v>1091</v>
      </c>
      <c r="C5560" s="4" t="n">
        <v>4</v>
      </c>
      <c r="D5560" s="4" t="n">
        <v>10</v>
      </c>
      <c r="E5560" s="4" t="s">
        <v>4376</v>
      </c>
      <c r="F5560" s="4" t="n">
        <v>10</v>
      </c>
      <c r="G5560" s="4" t="n">
        <v>7</v>
      </c>
      <c r="H5560" s="4" t="n">
        <v>4</v>
      </c>
      <c r="I5560" s="4" t="str">
        <v>×</v>
      </c>
      <c r="J5560" s="4"/>
      <c r="K5560" s="4"/>
      <c r="L5560" s="4"/>
      <c r="M5560" s="5" t="s">
        <v>4174</v>
      </c>
    </row>
    <row r="5561" customFormat="false" ht="15.75" hidden="false" customHeight="false" outlineLevel="0" collapsed="false">
      <c r="A5561" s="6" t="n">
        <v>46200</v>
      </c>
      <c r="B5561" s="4" t="s">
        <v>1091</v>
      </c>
      <c r="C5561" s="4" t="n">
        <v>4</v>
      </c>
      <c r="D5561" s="4" t="n">
        <v>11</v>
      </c>
      <c r="E5561" s="4" t="s">
        <v>4377</v>
      </c>
      <c r="F5561" s="4" t="n">
        <v>4</v>
      </c>
      <c r="G5561" s="4" t="n">
        <v>12</v>
      </c>
      <c r="H5561" s="4" t="n">
        <v>4</v>
      </c>
      <c r="I5561" s="4" t="str">
        <v>×</v>
      </c>
      <c r="J5561" s="4"/>
      <c r="K5561" s="4"/>
      <c r="L5561" s="4"/>
      <c r="M5561" s="5" t="s">
        <v>4174</v>
      </c>
    </row>
    <row r="5562" customFormat="false" ht="15.75" hidden="false" customHeight="false" outlineLevel="0" collapsed="false">
      <c r="A5562" s="6" t="n">
        <v>46200</v>
      </c>
      <c r="B5562" s="4" t="s">
        <v>1091</v>
      </c>
      <c r="C5562" s="4" t="n">
        <v>4</v>
      </c>
      <c r="D5562" s="4" t="n">
        <v>12</v>
      </c>
      <c r="E5562" s="4" t="s">
        <v>4378</v>
      </c>
      <c r="F5562" s="4" t="n">
        <v>3</v>
      </c>
      <c r="G5562" s="4" t="n">
        <v>14</v>
      </c>
      <c r="H5562" s="4" t="n">
        <v>4</v>
      </c>
      <c r="I5562" s="4" t="str">
        <v>×</v>
      </c>
      <c r="J5562" s="4"/>
      <c r="K5562" s="4"/>
      <c r="L5562" s="4"/>
      <c r="M5562" s="5" t="s">
        <v>4174</v>
      </c>
    </row>
    <row r="5563" customFormat="false" ht="15.75" hidden="false" customHeight="false" outlineLevel="0" collapsed="false">
      <c r="A5563" s="6" t="n">
        <v>46200</v>
      </c>
      <c r="B5563" s="4" t="s">
        <v>1091</v>
      </c>
      <c r="C5563" s="4" t="n">
        <v>4</v>
      </c>
      <c r="D5563" s="4" t="n">
        <v>13</v>
      </c>
      <c r="E5563" s="4" t="s">
        <v>2040</v>
      </c>
      <c r="F5563" s="4" t="n">
        <v>29</v>
      </c>
      <c r="G5563" s="4" t="n">
        <v>4</v>
      </c>
      <c r="H5563" s="4" t="n">
        <v>4</v>
      </c>
      <c r="I5563" s="4" t="str">
        <v>×</v>
      </c>
      <c r="J5563" s="4"/>
      <c r="K5563" s="4"/>
      <c r="L5563" s="4"/>
      <c r="M5563" s="5" t="s">
        <v>4174</v>
      </c>
    </row>
    <row r="5564" customFormat="false" ht="15.75" hidden="false" customHeight="false" outlineLevel="0" collapsed="false">
      <c r="A5564" s="6" t="n">
        <v>46200</v>
      </c>
      <c r="B5564" s="4" t="s">
        <v>1091</v>
      </c>
      <c r="C5564" s="4" t="n">
        <v>4</v>
      </c>
      <c r="D5564" s="4" t="n">
        <v>14</v>
      </c>
      <c r="E5564" s="4" t="s">
        <v>4379</v>
      </c>
      <c r="F5564" s="4" t="n">
        <v>10</v>
      </c>
      <c r="G5564" s="4" t="n">
        <v>7</v>
      </c>
      <c r="H5564" s="4" t="n">
        <v>4</v>
      </c>
      <c r="I5564" s="4" t="str">
        <v>×</v>
      </c>
      <c r="J5564" s="4"/>
      <c r="K5564" s="4"/>
      <c r="L5564" s="4"/>
      <c r="M5564" s="5" t="s">
        <v>4174</v>
      </c>
    </row>
    <row r="5565" customFormat="false" ht="15.75" hidden="false" customHeight="false" outlineLevel="0" collapsed="false">
      <c r="A5565" s="6" t="n">
        <v>46200</v>
      </c>
      <c r="B5565" s="4" t="s">
        <v>1091</v>
      </c>
      <c r="C5565" s="4" t="n">
        <v>4</v>
      </c>
      <c r="D5565" s="4" t="n">
        <v>15</v>
      </c>
      <c r="E5565" s="4" t="s">
        <v>4380</v>
      </c>
      <c r="F5565" s="4" t="n">
        <v>4</v>
      </c>
      <c r="G5565" s="4" t="n">
        <v>12</v>
      </c>
      <c r="H5565" s="4" t="n">
        <v>4</v>
      </c>
      <c r="I5565" s="4" t="str">
        <v>×</v>
      </c>
      <c r="J5565" s="4"/>
      <c r="K5565" s="4"/>
      <c r="L5565" s="4"/>
      <c r="M5565" s="5" t="s">
        <v>4174</v>
      </c>
    </row>
    <row r="5566" customFormat="false" ht="15.75" hidden="false" customHeight="false" outlineLevel="0" collapsed="false">
      <c r="A5566" s="6" t="n">
        <v>46200</v>
      </c>
      <c r="B5566" s="4" t="s">
        <v>1091</v>
      </c>
      <c r="C5566" s="4" t="n">
        <v>4</v>
      </c>
      <c r="D5566" s="4" t="n">
        <v>16</v>
      </c>
      <c r="E5566" s="4" t="s">
        <v>3976</v>
      </c>
      <c r="F5566" s="4" t="n">
        <v>47</v>
      </c>
      <c r="G5566" s="4" t="n">
        <v>2</v>
      </c>
      <c r="H5566" s="4" t="n">
        <v>4</v>
      </c>
      <c r="I5566" s="4" t="str">
        <v>×</v>
      </c>
      <c r="J5566" s="4"/>
      <c r="K5566" s="4"/>
      <c r="L5566" s="4"/>
      <c r="M5566" s="5" t="s">
        <v>4174</v>
      </c>
    </row>
    <row r="5567" customFormat="false" ht="15.75" hidden="false" customHeight="false" outlineLevel="0" collapsed="false">
      <c r="A5567" s="6" t="n">
        <v>46200</v>
      </c>
      <c r="B5567" s="4" t="s">
        <v>1091</v>
      </c>
      <c r="C5567" s="4" t="n">
        <v>5</v>
      </c>
      <c r="D5567" s="4" t="n">
        <v>1</v>
      </c>
      <c r="E5567" s="4" t="s">
        <v>1184</v>
      </c>
      <c r="F5567" s="4" t="n">
        <v>24</v>
      </c>
      <c r="G5567" s="4" t="n">
        <v>3</v>
      </c>
      <c r="H5567" s="4" t="n">
        <v>4</v>
      </c>
      <c r="I5567" s="4" t="str">
        <v>×</v>
      </c>
      <c r="J5567" s="4"/>
      <c r="K5567" s="4"/>
      <c r="L5567" s="4"/>
      <c r="M5567" s="5" t="s">
        <v>4174</v>
      </c>
    </row>
    <row r="5568" customFormat="false" ht="15.75" hidden="false" customHeight="false" outlineLevel="0" collapsed="false">
      <c r="A5568" s="6" t="n">
        <v>46200</v>
      </c>
      <c r="B5568" s="4" t="s">
        <v>1091</v>
      </c>
      <c r="C5568" s="4" t="n">
        <v>5</v>
      </c>
      <c r="D5568" s="4" t="n">
        <v>2</v>
      </c>
      <c r="E5568" s="4" t="s">
        <v>1183</v>
      </c>
      <c r="F5568" s="4" t="n">
        <v>27</v>
      </c>
      <c r="G5568" s="4" t="n">
        <v>2</v>
      </c>
      <c r="H5568" s="4" t="n">
        <v>2</v>
      </c>
      <c r="I5568" s="4" t="str">
        <v>○</v>
      </c>
      <c r="J5568" s="4" t="n">
        <v>150</v>
      </c>
      <c r="K5568" s="4"/>
      <c r="L5568" s="4"/>
      <c r="M5568" s="5" t="s">
        <v>4174</v>
      </c>
    </row>
    <row r="5569" customFormat="false" ht="15.75" hidden="false" customHeight="false" outlineLevel="0" collapsed="false">
      <c r="A5569" s="6" t="n">
        <v>46200</v>
      </c>
      <c r="B5569" s="4" t="s">
        <v>1091</v>
      </c>
      <c r="C5569" s="4" t="n">
        <v>5</v>
      </c>
      <c r="D5569" s="4" t="n">
        <v>3</v>
      </c>
      <c r="E5569" s="4" t="s">
        <v>1198</v>
      </c>
      <c r="F5569" s="4" t="n">
        <v>12</v>
      </c>
      <c r="G5569" s="4" t="n">
        <v>8</v>
      </c>
      <c r="H5569" s="4" t="n">
        <v>4</v>
      </c>
      <c r="I5569" s="4" t="str">
        <v>×</v>
      </c>
      <c r="J5569" s="4"/>
      <c r="K5569" s="4"/>
      <c r="L5569" s="4"/>
      <c r="M5569" s="5" t="s">
        <v>4174</v>
      </c>
    </row>
    <row r="5570" customFormat="false" ht="15.75" hidden="false" customHeight="false" outlineLevel="0" collapsed="false">
      <c r="A5570" s="6" t="n">
        <v>46200</v>
      </c>
      <c r="B5570" s="4" t="s">
        <v>1091</v>
      </c>
      <c r="C5570" s="4" t="n">
        <v>5</v>
      </c>
      <c r="D5570" s="4" t="n">
        <v>4</v>
      </c>
      <c r="E5570" s="4" t="s">
        <v>1195</v>
      </c>
      <c r="F5570" s="4" t="n">
        <v>6</v>
      </c>
      <c r="G5570" s="4" t="n">
        <v>10</v>
      </c>
      <c r="H5570" s="4" t="n">
        <v>4</v>
      </c>
      <c r="I5570" s="4" t="str">
        <v>×</v>
      </c>
      <c r="J5570" s="4"/>
      <c r="K5570" s="4"/>
      <c r="L5570" s="4"/>
      <c r="M5570" s="5" t="s">
        <v>4174</v>
      </c>
    </row>
    <row r="5571" customFormat="false" ht="15.75" hidden="false" customHeight="false" outlineLevel="0" collapsed="false">
      <c r="A5571" s="6" t="n">
        <v>46200</v>
      </c>
      <c r="B5571" s="4" t="s">
        <v>1091</v>
      </c>
      <c r="C5571" s="4" t="n">
        <v>5</v>
      </c>
      <c r="D5571" s="4" t="n">
        <v>5</v>
      </c>
      <c r="E5571" s="4" t="s">
        <v>1182</v>
      </c>
      <c r="F5571" s="4" t="n">
        <v>8</v>
      </c>
      <c r="G5571" s="4" t="n">
        <v>9</v>
      </c>
      <c r="H5571" s="4" t="n">
        <v>3</v>
      </c>
      <c r="I5571" s="4" t="str">
        <v>○</v>
      </c>
      <c r="J5571" s="4" t="n">
        <v>440</v>
      </c>
      <c r="K5571" s="4"/>
      <c r="L5571" s="4"/>
      <c r="M5571" s="5" t="s">
        <v>4174</v>
      </c>
    </row>
    <row r="5572" customFormat="false" ht="15.75" hidden="false" customHeight="false" outlineLevel="0" collapsed="false">
      <c r="A5572" s="6" t="n">
        <v>46200</v>
      </c>
      <c r="B5572" s="4" t="s">
        <v>1091</v>
      </c>
      <c r="C5572" s="4" t="n">
        <v>5</v>
      </c>
      <c r="D5572" s="4" t="n">
        <v>6</v>
      </c>
      <c r="E5572" s="4" t="s">
        <v>1196</v>
      </c>
      <c r="F5572" s="4" t="n">
        <v>37</v>
      </c>
      <c r="G5572" s="4" t="n">
        <v>1</v>
      </c>
      <c r="H5572" s="4" t="n">
        <v>1</v>
      </c>
      <c r="I5572" s="4" t="str">
        <v>○</v>
      </c>
      <c r="J5572" s="4" t="n">
        <v>130</v>
      </c>
      <c r="K5572" s="4"/>
      <c r="L5572" s="4"/>
      <c r="M5572" s="5" t="s">
        <v>4174</v>
      </c>
    </row>
    <row r="5573" customFormat="false" ht="15.75" hidden="false" customHeight="false" outlineLevel="0" collapsed="false">
      <c r="A5573" s="6" t="n">
        <v>46200</v>
      </c>
      <c r="B5573" s="4" t="s">
        <v>1091</v>
      </c>
      <c r="C5573" s="4" t="n">
        <v>5</v>
      </c>
      <c r="D5573" s="4" t="n">
        <v>7</v>
      </c>
      <c r="E5573" s="4" t="s">
        <v>4381</v>
      </c>
      <c r="F5573" s="4" t="n">
        <v>21</v>
      </c>
      <c r="G5573" s="4" t="n">
        <v>5</v>
      </c>
      <c r="H5573" s="4" t="n">
        <v>4</v>
      </c>
      <c r="I5573" s="4" t="str">
        <v>×</v>
      </c>
      <c r="J5573" s="4"/>
      <c r="K5573" s="4"/>
      <c r="L5573" s="4"/>
      <c r="M5573" s="5" t="s">
        <v>4174</v>
      </c>
    </row>
    <row r="5574" customFormat="false" ht="15.75" hidden="false" customHeight="false" outlineLevel="0" collapsed="false">
      <c r="A5574" s="6" t="n">
        <v>46200</v>
      </c>
      <c r="B5574" s="4" t="s">
        <v>1091</v>
      </c>
      <c r="C5574" s="4" t="n">
        <v>5</v>
      </c>
      <c r="D5574" s="4" t="n">
        <v>8</v>
      </c>
      <c r="E5574" s="4" t="s">
        <v>1186</v>
      </c>
      <c r="F5574" s="4" t="n">
        <v>16</v>
      </c>
      <c r="G5574" s="4" t="n">
        <v>6</v>
      </c>
      <c r="H5574" s="4" t="n">
        <v>4</v>
      </c>
      <c r="I5574" s="4" t="str">
        <v>×</v>
      </c>
      <c r="J5574" s="4"/>
      <c r="K5574" s="4"/>
      <c r="L5574" s="4"/>
      <c r="M5574" s="5" t="s">
        <v>4174</v>
      </c>
    </row>
    <row r="5575" customFormat="false" ht="15.75" hidden="false" customHeight="false" outlineLevel="0" collapsed="false">
      <c r="A5575" s="6" t="n">
        <v>46200</v>
      </c>
      <c r="B5575" s="4" t="s">
        <v>1091</v>
      </c>
      <c r="C5575" s="4" t="n">
        <v>5</v>
      </c>
      <c r="D5575" s="4" t="n">
        <v>9</v>
      </c>
      <c r="E5575" s="4" t="s">
        <v>1190</v>
      </c>
      <c r="F5575" s="4" t="n">
        <v>24</v>
      </c>
      <c r="G5575" s="4" t="n">
        <v>3</v>
      </c>
      <c r="H5575" s="4" t="n">
        <v>4</v>
      </c>
      <c r="I5575" s="4" t="str">
        <v>×</v>
      </c>
      <c r="J5575" s="4"/>
      <c r="K5575" s="4"/>
      <c r="L5575" s="4"/>
      <c r="M5575" s="5" t="s">
        <v>4174</v>
      </c>
    </row>
    <row r="5576" customFormat="false" ht="15.75" hidden="false" customHeight="false" outlineLevel="0" collapsed="false">
      <c r="A5576" s="6" t="n">
        <v>46200</v>
      </c>
      <c r="B5576" s="4" t="s">
        <v>1091</v>
      </c>
      <c r="C5576" s="4" t="n">
        <v>5</v>
      </c>
      <c r="D5576" s="4" t="n">
        <v>10</v>
      </c>
      <c r="E5576" s="4" t="s">
        <v>1187</v>
      </c>
      <c r="F5576" s="4" t="n">
        <v>14</v>
      </c>
      <c r="G5576" s="4" t="n">
        <v>7</v>
      </c>
      <c r="H5576" s="4" t="n">
        <v>4</v>
      </c>
      <c r="I5576" s="4" t="str">
        <v>×</v>
      </c>
      <c r="J5576" s="4"/>
      <c r="K5576" s="4"/>
      <c r="L5576" s="4"/>
      <c r="M5576" s="5" t="s">
        <v>4174</v>
      </c>
    </row>
    <row r="5577" customFormat="false" ht="15.75" hidden="false" customHeight="false" outlineLevel="0" collapsed="false">
      <c r="A5577" s="6" t="n">
        <v>46200</v>
      </c>
      <c r="B5577" s="4" t="s">
        <v>1091</v>
      </c>
      <c r="C5577" s="4" t="n">
        <v>6</v>
      </c>
      <c r="D5577" s="4" t="n">
        <v>1</v>
      </c>
      <c r="E5577" s="4" t="s">
        <v>1625</v>
      </c>
      <c r="F5577" s="4" t="n">
        <v>50</v>
      </c>
      <c r="G5577" s="4" t="n">
        <v>1</v>
      </c>
      <c r="H5577" s="4" t="n">
        <v>4</v>
      </c>
      <c r="I5577" s="4" t="str">
        <v>×</v>
      </c>
      <c r="J5577" s="4"/>
      <c r="K5577" s="4"/>
      <c r="L5577" s="4"/>
      <c r="M5577" s="5" t="s">
        <v>4174</v>
      </c>
    </row>
    <row r="5578" customFormat="false" ht="15.75" hidden="false" customHeight="false" outlineLevel="0" collapsed="false">
      <c r="A5578" s="6" t="n">
        <v>46200</v>
      </c>
      <c r="B5578" s="4" t="s">
        <v>1091</v>
      </c>
      <c r="C5578" s="4" t="n">
        <v>6</v>
      </c>
      <c r="D5578" s="4" t="n">
        <v>2</v>
      </c>
      <c r="E5578" s="4" t="s">
        <v>4382</v>
      </c>
      <c r="F5578" s="4" t="n">
        <v>44</v>
      </c>
      <c r="G5578" s="4" t="n">
        <v>3</v>
      </c>
      <c r="H5578" s="4" t="n">
        <v>4</v>
      </c>
      <c r="I5578" s="4" t="str">
        <v>×</v>
      </c>
      <c r="J5578" s="4"/>
      <c r="K5578" s="4"/>
      <c r="L5578" s="4"/>
      <c r="M5578" s="5" t="s">
        <v>4174</v>
      </c>
    </row>
    <row r="5579" customFormat="false" ht="15.75" hidden="false" customHeight="false" outlineLevel="0" collapsed="false">
      <c r="A5579" s="6" t="n">
        <v>46200</v>
      </c>
      <c r="B5579" s="4" t="s">
        <v>1091</v>
      </c>
      <c r="C5579" s="4" t="n">
        <v>6</v>
      </c>
      <c r="D5579" s="4" t="n">
        <v>3</v>
      </c>
      <c r="E5579" s="4" t="s">
        <v>4383</v>
      </c>
      <c r="F5579" s="4" t="n">
        <v>13</v>
      </c>
      <c r="G5579" s="4" t="n">
        <v>8</v>
      </c>
      <c r="H5579" s="4" t="n">
        <v>4</v>
      </c>
      <c r="I5579" s="4" t="str">
        <v>×</v>
      </c>
      <c r="J5579" s="4"/>
      <c r="K5579" s="4"/>
      <c r="L5579" s="4"/>
      <c r="M5579" s="5" t="s">
        <v>4174</v>
      </c>
    </row>
    <row r="5580" customFormat="false" ht="15.75" hidden="false" customHeight="false" outlineLevel="0" collapsed="false">
      <c r="A5580" s="6" t="n">
        <v>46200</v>
      </c>
      <c r="B5580" s="4" t="s">
        <v>1091</v>
      </c>
      <c r="C5580" s="4" t="n">
        <v>6</v>
      </c>
      <c r="D5580" s="4" t="n">
        <v>4</v>
      </c>
      <c r="E5580" s="4" t="s">
        <v>2456</v>
      </c>
      <c r="F5580" s="4" t="n">
        <v>4</v>
      </c>
      <c r="G5580" s="4" t="n">
        <v>13</v>
      </c>
      <c r="H5580" s="4" t="n">
        <v>4</v>
      </c>
      <c r="I5580" s="4" t="str">
        <v>×</v>
      </c>
      <c r="J5580" s="4"/>
      <c r="K5580" s="4"/>
      <c r="L5580" s="4"/>
      <c r="M5580" s="5" t="s">
        <v>4174</v>
      </c>
    </row>
    <row r="5581" customFormat="false" ht="15.75" hidden="false" customHeight="false" outlineLevel="0" collapsed="false">
      <c r="A5581" s="6" t="n">
        <v>46200</v>
      </c>
      <c r="B5581" s="4" t="s">
        <v>1091</v>
      </c>
      <c r="C5581" s="4" t="n">
        <v>6</v>
      </c>
      <c r="D5581" s="4" t="n">
        <v>5</v>
      </c>
      <c r="E5581" s="4" t="s">
        <v>4384</v>
      </c>
      <c r="F5581" s="4" t="n">
        <v>2</v>
      </c>
      <c r="G5581" s="4" t="n">
        <v>16</v>
      </c>
      <c r="H5581" s="4" t="n">
        <v>4</v>
      </c>
      <c r="I5581" s="4" t="str">
        <v>×</v>
      </c>
      <c r="J5581" s="4"/>
      <c r="K5581" s="4"/>
      <c r="L5581" s="4"/>
      <c r="M5581" s="5" t="s">
        <v>4174</v>
      </c>
    </row>
    <row r="5582" customFormat="false" ht="15.75" hidden="false" customHeight="false" outlineLevel="0" collapsed="false">
      <c r="A5582" s="6" t="n">
        <v>46200</v>
      </c>
      <c r="B5582" s="4" t="s">
        <v>1091</v>
      </c>
      <c r="C5582" s="4" t="n">
        <v>6</v>
      </c>
      <c r="D5582" s="4" t="n">
        <v>6</v>
      </c>
      <c r="E5582" s="4" t="s">
        <v>4385</v>
      </c>
      <c r="F5582" s="4" t="n">
        <v>20</v>
      </c>
      <c r="G5582" s="4" t="n">
        <v>6</v>
      </c>
      <c r="H5582" s="4" t="n">
        <v>4</v>
      </c>
      <c r="I5582" s="4" t="str">
        <v>×</v>
      </c>
      <c r="J5582" s="4"/>
      <c r="K5582" s="4"/>
      <c r="L5582" s="4"/>
      <c r="M5582" s="5" t="s">
        <v>4174</v>
      </c>
    </row>
    <row r="5583" customFormat="false" ht="15.75" hidden="false" customHeight="false" outlineLevel="0" collapsed="false">
      <c r="A5583" s="6" t="n">
        <v>46200</v>
      </c>
      <c r="B5583" s="4" t="s">
        <v>1091</v>
      </c>
      <c r="C5583" s="4" t="n">
        <v>6</v>
      </c>
      <c r="D5583" s="4" t="n">
        <v>7</v>
      </c>
      <c r="E5583" s="4" t="s">
        <v>4386</v>
      </c>
      <c r="F5583" s="4" t="n">
        <v>2</v>
      </c>
      <c r="G5583" s="4" t="n">
        <v>16</v>
      </c>
      <c r="H5583" s="4" t="n">
        <v>4</v>
      </c>
      <c r="I5583" s="4" t="str">
        <v>×</v>
      </c>
      <c r="J5583" s="4"/>
      <c r="K5583" s="4"/>
      <c r="L5583" s="4"/>
      <c r="M5583" s="5" t="s">
        <v>4174</v>
      </c>
    </row>
    <row r="5584" customFormat="false" ht="15.75" hidden="false" customHeight="false" outlineLevel="0" collapsed="false">
      <c r="A5584" s="6" t="n">
        <v>46200</v>
      </c>
      <c r="B5584" s="4" t="s">
        <v>1091</v>
      </c>
      <c r="C5584" s="4" t="n">
        <v>6</v>
      </c>
      <c r="D5584" s="4" t="n">
        <v>8</v>
      </c>
      <c r="E5584" s="4" t="s">
        <v>4387</v>
      </c>
      <c r="F5584" s="4" t="n">
        <v>47</v>
      </c>
      <c r="G5584" s="4" t="n">
        <v>2</v>
      </c>
      <c r="H5584" s="4" t="n">
        <v>3</v>
      </c>
      <c r="I5584" s="4" t="str">
        <v>○</v>
      </c>
      <c r="J5584" s="4" t="n">
        <v>180</v>
      </c>
      <c r="K5584" s="4"/>
      <c r="L5584" s="4"/>
      <c r="M5584" s="5" t="s">
        <v>4174</v>
      </c>
    </row>
    <row r="5585" customFormat="false" ht="15.75" hidden="false" customHeight="false" outlineLevel="0" collapsed="false">
      <c r="A5585" s="6" t="n">
        <v>46200</v>
      </c>
      <c r="B5585" s="4" t="s">
        <v>1091</v>
      </c>
      <c r="C5585" s="4" t="n">
        <v>6</v>
      </c>
      <c r="D5585" s="4" t="n">
        <v>9</v>
      </c>
      <c r="E5585" s="4" t="s">
        <v>3968</v>
      </c>
      <c r="F5585" s="4" t="n">
        <v>34</v>
      </c>
      <c r="G5585" s="4" t="n">
        <v>4</v>
      </c>
      <c r="H5585" s="4" t="n">
        <v>1</v>
      </c>
      <c r="I5585" s="4" t="str">
        <v>○</v>
      </c>
      <c r="J5585" s="4" t="n">
        <v>180</v>
      </c>
      <c r="K5585" s="4"/>
      <c r="L5585" s="4"/>
      <c r="M5585" s="5" t="s">
        <v>4174</v>
      </c>
    </row>
    <row r="5586" customFormat="false" ht="15.75" hidden="false" customHeight="false" outlineLevel="0" collapsed="false">
      <c r="A5586" s="6" t="n">
        <v>46200</v>
      </c>
      <c r="B5586" s="4" t="s">
        <v>1091</v>
      </c>
      <c r="C5586" s="4" t="n">
        <v>6</v>
      </c>
      <c r="D5586" s="4" t="n">
        <v>10</v>
      </c>
      <c r="E5586" s="4" t="s">
        <v>4388</v>
      </c>
      <c r="F5586" s="4" t="n">
        <v>3</v>
      </c>
      <c r="G5586" s="4" t="n">
        <v>15</v>
      </c>
      <c r="H5586" s="4" t="n">
        <v>4</v>
      </c>
      <c r="I5586" s="4" t="str">
        <v>×</v>
      </c>
      <c r="J5586" s="4"/>
      <c r="K5586" s="4"/>
      <c r="L5586" s="4"/>
      <c r="M5586" s="5" t="s">
        <v>4174</v>
      </c>
    </row>
    <row r="5587" customFormat="false" ht="15.75" hidden="false" customHeight="false" outlineLevel="0" collapsed="false">
      <c r="A5587" s="6" t="n">
        <v>46200</v>
      </c>
      <c r="B5587" s="4" t="s">
        <v>1091</v>
      </c>
      <c r="C5587" s="4" t="n">
        <v>6</v>
      </c>
      <c r="D5587" s="4" t="n">
        <v>11</v>
      </c>
      <c r="E5587" s="4" t="s">
        <v>2466</v>
      </c>
      <c r="F5587" s="4" t="n">
        <v>10</v>
      </c>
      <c r="G5587" s="4" t="n">
        <v>9</v>
      </c>
      <c r="H5587" s="4" t="n">
        <v>4</v>
      </c>
      <c r="I5587" s="4" t="str">
        <v>×</v>
      </c>
      <c r="J5587" s="4"/>
      <c r="K5587" s="4"/>
      <c r="L5587" s="4"/>
      <c r="M5587" s="5" t="s">
        <v>4174</v>
      </c>
    </row>
    <row r="5588" customFormat="false" ht="15.75" hidden="false" customHeight="false" outlineLevel="0" collapsed="false">
      <c r="A5588" s="6" t="n">
        <v>46200</v>
      </c>
      <c r="B5588" s="4" t="s">
        <v>1091</v>
      </c>
      <c r="C5588" s="4" t="n">
        <v>6</v>
      </c>
      <c r="D5588" s="4" t="n">
        <v>12</v>
      </c>
      <c r="E5588" s="4" t="s">
        <v>4389</v>
      </c>
      <c r="F5588" s="4" t="n">
        <v>4</v>
      </c>
      <c r="G5588" s="4" t="n">
        <v>13</v>
      </c>
      <c r="H5588" s="4" t="n">
        <v>4</v>
      </c>
      <c r="I5588" s="4" t="str">
        <v>×</v>
      </c>
      <c r="J5588" s="4"/>
      <c r="K5588" s="4"/>
      <c r="L5588" s="4"/>
      <c r="M5588" s="5" t="s">
        <v>4174</v>
      </c>
    </row>
    <row r="5589" customFormat="false" ht="15.75" hidden="false" customHeight="false" outlineLevel="0" collapsed="false">
      <c r="A5589" s="6" t="n">
        <v>46200</v>
      </c>
      <c r="B5589" s="4" t="s">
        <v>1091</v>
      </c>
      <c r="C5589" s="4" t="n">
        <v>6</v>
      </c>
      <c r="D5589" s="4" t="n">
        <v>13</v>
      </c>
      <c r="E5589" s="4" t="s">
        <v>4390</v>
      </c>
      <c r="F5589" s="4" t="n">
        <v>15</v>
      </c>
      <c r="G5589" s="4" t="n">
        <v>7</v>
      </c>
      <c r="H5589" s="4" t="n">
        <v>4</v>
      </c>
      <c r="I5589" s="4" t="str">
        <v>×</v>
      </c>
      <c r="J5589" s="4"/>
      <c r="K5589" s="4"/>
      <c r="L5589" s="4"/>
      <c r="M5589" s="5" t="s">
        <v>4174</v>
      </c>
    </row>
    <row r="5590" customFormat="false" ht="15.75" hidden="false" customHeight="false" outlineLevel="0" collapsed="false">
      <c r="A5590" s="6" t="n">
        <v>46200</v>
      </c>
      <c r="B5590" s="4" t="s">
        <v>1091</v>
      </c>
      <c r="C5590" s="4" t="n">
        <v>6</v>
      </c>
      <c r="D5590" s="4" t="n">
        <v>14</v>
      </c>
      <c r="E5590" s="4" t="s">
        <v>1151</v>
      </c>
      <c r="F5590" s="4" t="n">
        <v>23</v>
      </c>
      <c r="G5590" s="4" t="n">
        <v>5</v>
      </c>
      <c r="H5590" s="4" t="n">
        <v>4</v>
      </c>
      <c r="I5590" s="4" t="str">
        <v>×</v>
      </c>
      <c r="J5590" s="4"/>
      <c r="K5590" s="4"/>
      <c r="L5590" s="4"/>
      <c r="M5590" s="5" t="s">
        <v>4174</v>
      </c>
    </row>
    <row r="5591" customFormat="false" ht="15.75" hidden="false" customHeight="false" outlineLevel="0" collapsed="false">
      <c r="A5591" s="6" t="n">
        <v>46200</v>
      </c>
      <c r="B5591" s="4" t="s">
        <v>1091</v>
      </c>
      <c r="C5591" s="4" t="n">
        <v>6</v>
      </c>
      <c r="D5591" s="4" t="n">
        <v>15</v>
      </c>
      <c r="E5591" s="4" t="s">
        <v>4391</v>
      </c>
      <c r="F5591" s="4" t="n">
        <v>10</v>
      </c>
      <c r="G5591" s="4" t="n">
        <v>9</v>
      </c>
      <c r="H5591" s="4" t="n">
        <v>4</v>
      </c>
      <c r="I5591" s="4" t="str">
        <v>×</v>
      </c>
      <c r="J5591" s="4"/>
      <c r="K5591" s="4"/>
      <c r="L5591" s="4"/>
      <c r="M5591" s="5" t="s">
        <v>4174</v>
      </c>
    </row>
    <row r="5592" customFormat="false" ht="15.75" hidden="false" customHeight="false" outlineLevel="0" collapsed="false">
      <c r="A5592" s="6" t="n">
        <v>46200</v>
      </c>
      <c r="B5592" s="4" t="s">
        <v>1091</v>
      </c>
      <c r="C5592" s="4" t="n">
        <v>6</v>
      </c>
      <c r="D5592" s="4" t="n">
        <v>16</v>
      </c>
      <c r="E5592" s="4" t="s">
        <v>2047</v>
      </c>
      <c r="F5592" s="4" t="n">
        <v>10</v>
      </c>
      <c r="G5592" s="4" t="n">
        <v>9</v>
      </c>
      <c r="H5592" s="4" t="n">
        <v>2</v>
      </c>
      <c r="I5592" s="4" t="str">
        <v>○</v>
      </c>
      <c r="J5592" s="4" t="n">
        <v>620</v>
      </c>
      <c r="K5592" s="4"/>
      <c r="L5592" s="4"/>
      <c r="M5592" s="5" t="s">
        <v>4174</v>
      </c>
    </row>
    <row r="5593" customFormat="false" ht="15.75" hidden="false" customHeight="false" outlineLevel="0" collapsed="false">
      <c r="A5593" s="6" t="n">
        <v>46200</v>
      </c>
      <c r="B5593" s="4" t="s">
        <v>1091</v>
      </c>
      <c r="C5593" s="4" t="n">
        <v>6</v>
      </c>
      <c r="D5593" s="4" t="n">
        <v>17</v>
      </c>
      <c r="E5593" s="4"/>
      <c r="F5593" s="4" t="n">
        <v>8</v>
      </c>
      <c r="G5593" s="4" t="n">
        <v>12</v>
      </c>
      <c r="H5593" s="4"/>
      <c r="I5593" s="4" t="str">
        <v/>
      </c>
      <c r="J5593" s="4"/>
      <c r="K5593" s="4"/>
      <c r="L5593" s="4"/>
      <c r="M5593" s="5" t="s">
        <v>4174</v>
      </c>
    </row>
    <row r="5594" customFormat="false" ht="15.75" hidden="false" customHeight="false" outlineLevel="0" collapsed="false">
      <c r="A5594" s="6" t="n">
        <v>46200</v>
      </c>
      <c r="B5594" s="4" t="s">
        <v>1091</v>
      </c>
      <c r="C5594" s="4" t="n">
        <v>7</v>
      </c>
      <c r="D5594" s="4" t="n">
        <v>1</v>
      </c>
      <c r="E5594" s="4" t="s">
        <v>3673</v>
      </c>
      <c r="F5594" s="4" t="n">
        <v>10</v>
      </c>
      <c r="G5594" s="4" t="n">
        <v>9</v>
      </c>
      <c r="H5594" s="4" t="n">
        <v>4</v>
      </c>
      <c r="I5594" s="4" t="str">
        <v>×</v>
      </c>
      <c r="J5594" s="4"/>
      <c r="K5594" s="4"/>
      <c r="L5594" s="4"/>
      <c r="M5594" s="5" t="s">
        <v>4174</v>
      </c>
    </row>
    <row r="5595" customFormat="false" ht="15.75" hidden="false" customHeight="false" outlineLevel="0" collapsed="false">
      <c r="A5595" s="6" t="n">
        <v>46200</v>
      </c>
      <c r="B5595" s="4" t="s">
        <v>1091</v>
      </c>
      <c r="C5595" s="4" t="n">
        <v>7</v>
      </c>
      <c r="D5595" s="4" t="n">
        <v>2</v>
      </c>
      <c r="E5595" s="4" t="s">
        <v>2112</v>
      </c>
      <c r="F5595" s="4" t="n">
        <v>20</v>
      </c>
      <c r="G5595" s="4" t="n">
        <v>5</v>
      </c>
      <c r="H5595" s="4" t="n">
        <v>2</v>
      </c>
      <c r="I5595" s="4" t="str">
        <v>○</v>
      </c>
      <c r="J5595" s="4" t="n">
        <v>200</v>
      </c>
      <c r="K5595" s="4"/>
      <c r="L5595" s="4"/>
      <c r="M5595" s="5" t="s">
        <v>4174</v>
      </c>
    </row>
    <row r="5596" customFormat="false" ht="15.75" hidden="false" customHeight="false" outlineLevel="0" collapsed="false">
      <c r="A5596" s="6" t="n">
        <v>46200</v>
      </c>
      <c r="B5596" s="4" t="s">
        <v>1091</v>
      </c>
      <c r="C5596" s="4" t="n">
        <v>7</v>
      </c>
      <c r="D5596" s="4" t="n">
        <v>3</v>
      </c>
      <c r="E5596" s="4" t="s">
        <v>4392</v>
      </c>
      <c r="F5596" s="4" t="n">
        <v>6</v>
      </c>
      <c r="G5596" s="4" t="n">
        <v>11</v>
      </c>
      <c r="H5596" s="4" t="n">
        <v>4</v>
      </c>
      <c r="I5596" s="4" t="str">
        <v>×</v>
      </c>
      <c r="J5596" s="4"/>
      <c r="K5596" s="4"/>
      <c r="L5596" s="4"/>
      <c r="M5596" s="5" t="s">
        <v>4174</v>
      </c>
    </row>
    <row r="5597" customFormat="false" ht="15.75" hidden="false" customHeight="false" outlineLevel="0" collapsed="false">
      <c r="A5597" s="6" t="n">
        <v>46200</v>
      </c>
      <c r="B5597" s="4" t="s">
        <v>1091</v>
      </c>
      <c r="C5597" s="4" t="n">
        <v>7</v>
      </c>
      <c r="D5597" s="4" t="n">
        <v>4</v>
      </c>
      <c r="E5597" s="4" t="s">
        <v>2118</v>
      </c>
      <c r="F5597" s="4" t="n">
        <v>15</v>
      </c>
      <c r="G5597" s="4" t="n">
        <v>6</v>
      </c>
      <c r="H5597" s="4" t="n">
        <v>4</v>
      </c>
      <c r="I5597" s="4" t="str">
        <v>×</v>
      </c>
      <c r="J5597" s="4"/>
      <c r="K5597" s="4"/>
      <c r="L5597" s="4"/>
      <c r="M5597" s="5" t="s">
        <v>4174</v>
      </c>
    </row>
    <row r="5598" customFormat="false" ht="15.75" hidden="false" customHeight="false" outlineLevel="0" collapsed="false">
      <c r="A5598" s="6" t="n">
        <v>46200</v>
      </c>
      <c r="B5598" s="4" t="s">
        <v>1091</v>
      </c>
      <c r="C5598" s="4" t="n">
        <v>7</v>
      </c>
      <c r="D5598" s="4" t="n">
        <v>5</v>
      </c>
      <c r="E5598" s="4" t="s">
        <v>4393</v>
      </c>
      <c r="F5598" s="4" t="n">
        <v>15</v>
      </c>
      <c r="G5598" s="4" t="n">
        <v>6</v>
      </c>
      <c r="H5598" s="4" t="n">
        <v>4</v>
      </c>
      <c r="I5598" s="4" t="str">
        <v>×</v>
      </c>
      <c r="J5598" s="4"/>
      <c r="K5598" s="4"/>
      <c r="L5598" s="4"/>
      <c r="M5598" s="5" t="s">
        <v>4174</v>
      </c>
    </row>
    <row r="5599" customFormat="false" ht="15.75" hidden="false" customHeight="false" outlineLevel="0" collapsed="false">
      <c r="A5599" s="6" t="n">
        <v>46200</v>
      </c>
      <c r="B5599" s="4" t="s">
        <v>1091</v>
      </c>
      <c r="C5599" s="4" t="n">
        <v>7</v>
      </c>
      <c r="D5599" s="4" t="n">
        <v>6</v>
      </c>
      <c r="E5599" s="4" t="s">
        <v>4394</v>
      </c>
      <c r="F5599" s="4" t="n">
        <v>6</v>
      </c>
      <c r="G5599" s="4" t="n">
        <v>11</v>
      </c>
      <c r="H5599" s="4" t="n">
        <v>4</v>
      </c>
      <c r="I5599" s="4" t="str">
        <v>×</v>
      </c>
      <c r="J5599" s="4"/>
      <c r="K5599" s="4"/>
      <c r="L5599" s="4"/>
      <c r="M5599" s="5" t="s">
        <v>4174</v>
      </c>
    </row>
    <row r="5600" customFormat="false" ht="15.75" hidden="false" customHeight="false" outlineLevel="0" collapsed="false">
      <c r="A5600" s="6" t="n">
        <v>46200</v>
      </c>
      <c r="B5600" s="4" t="s">
        <v>1091</v>
      </c>
      <c r="C5600" s="4" t="n">
        <v>7</v>
      </c>
      <c r="D5600" s="4" t="n">
        <v>7</v>
      </c>
      <c r="E5600" s="4" t="s">
        <v>4395</v>
      </c>
      <c r="F5600" s="4" t="n">
        <v>1</v>
      </c>
      <c r="G5600" s="4" t="n">
        <v>16</v>
      </c>
      <c r="H5600" s="4" t="n">
        <v>4</v>
      </c>
      <c r="I5600" s="4" t="str">
        <v>×</v>
      </c>
      <c r="J5600" s="4"/>
      <c r="K5600" s="4"/>
      <c r="L5600" s="4"/>
      <c r="M5600" s="5" t="s">
        <v>4174</v>
      </c>
    </row>
    <row r="5601" customFormat="false" ht="15.75" hidden="false" customHeight="false" outlineLevel="0" collapsed="false">
      <c r="A5601" s="6" t="n">
        <v>46200</v>
      </c>
      <c r="B5601" s="4" t="s">
        <v>1091</v>
      </c>
      <c r="C5601" s="4" t="n">
        <v>7</v>
      </c>
      <c r="D5601" s="4" t="n">
        <v>8</v>
      </c>
      <c r="E5601" s="4" t="s">
        <v>1231</v>
      </c>
      <c r="F5601" s="4" t="n">
        <v>6</v>
      </c>
      <c r="G5601" s="4" t="n">
        <v>11</v>
      </c>
      <c r="H5601" s="4" t="n">
        <v>4</v>
      </c>
      <c r="I5601" s="4" t="str">
        <v>×</v>
      </c>
      <c r="J5601" s="4"/>
      <c r="K5601" s="4"/>
      <c r="L5601" s="4"/>
      <c r="M5601" s="5" t="s">
        <v>4174</v>
      </c>
    </row>
    <row r="5602" customFormat="false" ht="15.75" hidden="false" customHeight="false" outlineLevel="0" collapsed="false">
      <c r="A5602" s="6" t="n">
        <v>46200</v>
      </c>
      <c r="B5602" s="4" t="s">
        <v>1091</v>
      </c>
      <c r="C5602" s="4" t="n">
        <v>7</v>
      </c>
      <c r="D5602" s="4" t="n">
        <v>9</v>
      </c>
      <c r="E5602" s="4" t="s">
        <v>4396</v>
      </c>
      <c r="F5602" s="4" t="n">
        <v>2</v>
      </c>
      <c r="G5602" s="4" t="n">
        <v>15</v>
      </c>
      <c r="H5602" s="4" t="n">
        <v>4</v>
      </c>
      <c r="I5602" s="4" t="str">
        <v>×</v>
      </c>
      <c r="J5602" s="4"/>
      <c r="K5602" s="4"/>
      <c r="L5602" s="4"/>
      <c r="M5602" s="5" t="s">
        <v>4174</v>
      </c>
    </row>
    <row r="5603" customFormat="false" ht="15.75" hidden="false" customHeight="false" outlineLevel="0" collapsed="false">
      <c r="A5603" s="6" t="n">
        <v>46200</v>
      </c>
      <c r="B5603" s="4" t="s">
        <v>1091</v>
      </c>
      <c r="C5603" s="4" t="n">
        <v>7</v>
      </c>
      <c r="D5603" s="4" t="n">
        <v>10</v>
      </c>
      <c r="E5603" s="4" t="s">
        <v>3926</v>
      </c>
      <c r="F5603" s="4" t="n">
        <v>15</v>
      </c>
      <c r="G5603" s="4" t="n">
        <v>6</v>
      </c>
      <c r="H5603" s="4" t="n">
        <v>4</v>
      </c>
      <c r="I5603" s="4" t="str">
        <v>×</v>
      </c>
      <c r="J5603" s="4"/>
      <c r="K5603" s="4"/>
      <c r="L5603" s="4"/>
      <c r="M5603" s="5" t="s">
        <v>4174</v>
      </c>
    </row>
    <row r="5604" customFormat="false" ht="15.75" hidden="false" customHeight="false" outlineLevel="0" collapsed="false">
      <c r="A5604" s="6" t="n">
        <v>46200</v>
      </c>
      <c r="B5604" s="4" t="s">
        <v>1091</v>
      </c>
      <c r="C5604" s="4" t="n">
        <v>7</v>
      </c>
      <c r="D5604" s="4" t="n">
        <v>11</v>
      </c>
      <c r="E5604" s="4" t="s">
        <v>4397</v>
      </c>
      <c r="F5604" s="4" t="n">
        <v>37</v>
      </c>
      <c r="G5604" s="4" t="n">
        <v>2</v>
      </c>
      <c r="H5604" s="4" t="n">
        <v>4</v>
      </c>
      <c r="I5604" s="4" t="str">
        <v>×</v>
      </c>
      <c r="J5604" s="4"/>
      <c r="K5604" s="4"/>
      <c r="L5604" s="4"/>
      <c r="M5604" s="5" t="s">
        <v>4174</v>
      </c>
    </row>
    <row r="5605" customFormat="false" ht="15.75" hidden="false" customHeight="false" outlineLevel="0" collapsed="false">
      <c r="A5605" s="6" t="n">
        <v>46200</v>
      </c>
      <c r="B5605" s="4" t="s">
        <v>1091</v>
      </c>
      <c r="C5605" s="4" t="n">
        <v>7</v>
      </c>
      <c r="D5605" s="4" t="n">
        <v>12</v>
      </c>
      <c r="E5605" s="4" t="s">
        <v>4398</v>
      </c>
      <c r="F5605" s="4" t="n">
        <v>65</v>
      </c>
      <c r="G5605" s="4" t="n">
        <v>1</v>
      </c>
      <c r="H5605" s="4" t="n">
        <v>3</v>
      </c>
      <c r="I5605" s="4" t="str">
        <v>○</v>
      </c>
      <c r="J5605" s="4" t="n">
        <v>110</v>
      </c>
      <c r="K5605" s="4"/>
      <c r="L5605" s="4"/>
      <c r="M5605" s="5" t="s">
        <v>4174</v>
      </c>
    </row>
    <row r="5606" customFormat="false" ht="15.75" hidden="false" customHeight="false" outlineLevel="0" collapsed="false">
      <c r="A5606" s="6" t="n">
        <v>46200</v>
      </c>
      <c r="B5606" s="4" t="s">
        <v>1091</v>
      </c>
      <c r="C5606" s="4" t="n">
        <v>7</v>
      </c>
      <c r="D5606" s="4" t="n">
        <v>13</v>
      </c>
      <c r="E5606" s="4" t="s">
        <v>2517</v>
      </c>
      <c r="F5606" s="4" t="n">
        <v>31</v>
      </c>
      <c r="G5606" s="4" t="n">
        <v>3</v>
      </c>
      <c r="H5606" s="4" t="n">
        <v>1</v>
      </c>
      <c r="I5606" s="4" t="str">
        <v>○</v>
      </c>
      <c r="J5606" s="4" t="n">
        <v>170</v>
      </c>
      <c r="K5606" s="4"/>
      <c r="L5606" s="4"/>
      <c r="M5606" s="5" t="s">
        <v>4174</v>
      </c>
    </row>
    <row r="5607" customFormat="false" ht="15.75" hidden="false" customHeight="false" outlineLevel="0" collapsed="false">
      <c r="A5607" s="6" t="n">
        <v>46200</v>
      </c>
      <c r="B5607" s="4" t="s">
        <v>1091</v>
      </c>
      <c r="C5607" s="4" t="n">
        <v>7</v>
      </c>
      <c r="D5607" s="4" t="n">
        <v>14</v>
      </c>
      <c r="E5607" s="4" t="s">
        <v>4399</v>
      </c>
      <c r="F5607" s="4" t="n">
        <v>8</v>
      </c>
      <c r="G5607" s="4" t="n">
        <v>10</v>
      </c>
      <c r="H5607" s="4" t="n">
        <v>4</v>
      </c>
      <c r="I5607" s="4" t="str">
        <v>×</v>
      </c>
      <c r="J5607" s="4"/>
      <c r="K5607" s="4"/>
      <c r="L5607" s="4"/>
      <c r="M5607" s="5" t="s">
        <v>4174</v>
      </c>
    </row>
    <row r="5608" customFormat="false" ht="15.75" hidden="false" customHeight="false" outlineLevel="0" collapsed="false">
      <c r="A5608" s="6" t="n">
        <v>46200</v>
      </c>
      <c r="B5608" s="4" t="s">
        <v>1091</v>
      </c>
      <c r="C5608" s="4" t="n">
        <v>7</v>
      </c>
      <c r="D5608" s="4" t="n">
        <v>15</v>
      </c>
      <c r="E5608" s="4" t="s">
        <v>2117</v>
      </c>
      <c r="F5608" s="4" t="n">
        <v>29</v>
      </c>
      <c r="G5608" s="4" t="n">
        <v>4</v>
      </c>
      <c r="H5608" s="4" t="n">
        <v>4</v>
      </c>
      <c r="I5608" s="4" t="str">
        <v>×</v>
      </c>
      <c r="J5608" s="4"/>
      <c r="K5608" s="4"/>
      <c r="L5608" s="4"/>
      <c r="M5608" s="5" t="s">
        <v>4174</v>
      </c>
    </row>
    <row r="5609" customFormat="false" ht="15.75" hidden="false" customHeight="false" outlineLevel="0" collapsed="false">
      <c r="A5609" s="6" t="n">
        <v>46200</v>
      </c>
      <c r="B5609" s="4" t="s">
        <v>1091</v>
      </c>
      <c r="C5609" s="4" t="n">
        <v>7</v>
      </c>
      <c r="D5609" s="4" t="n">
        <v>16</v>
      </c>
      <c r="E5609" s="4" t="s">
        <v>4400</v>
      </c>
      <c r="F5609" s="4" t="n">
        <v>4</v>
      </c>
      <c r="G5609" s="4" t="n">
        <v>14</v>
      </c>
      <c r="H5609" s="4" t="n">
        <v>4</v>
      </c>
      <c r="I5609" s="4" t="str">
        <v>×</v>
      </c>
      <c r="J5609" s="4"/>
      <c r="K5609" s="4"/>
      <c r="L5609" s="4"/>
      <c r="M5609" s="5" t="s">
        <v>4174</v>
      </c>
    </row>
    <row r="5610" customFormat="false" ht="15.75" hidden="false" customHeight="false" outlineLevel="0" collapsed="false">
      <c r="A5610" s="6" t="n">
        <v>46200</v>
      </c>
      <c r="B5610" s="4" t="s">
        <v>1091</v>
      </c>
      <c r="C5610" s="4" t="n">
        <v>8</v>
      </c>
      <c r="D5610" s="4" t="n">
        <v>1</v>
      </c>
      <c r="E5610" s="4" t="s">
        <v>2542</v>
      </c>
      <c r="F5610" s="4" t="n">
        <v>25</v>
      </c>
      <c r="G5610" s="4" t="n">
        <v>5</v>
      </c>
      <c r="H5610" s="4" t="n">
        <v>2</v>
      </c>
      <c r="I5610" s="4" t="str">
        <v>○</v>
      </c>
      <c r="J5610" s="4" t="n">
        <v>160</v>
      </c>
      <c r="K5610" s="4"/>
      <c r="L5610" s="4"/>
      <c r="M5610" s="5" t="s">
        <v>4174</v>
      </c>
    </row>
    <row r="5611" customFormat="false" ht="15.75" hidden="false" customHeight="false" outlineLevel="0" collapsed="false">
      <c r="A5611" s="6" t="n">
        <v>46200</v>
      </c>
      <c r="B5611" s="4" t="s">
        <v>1091</v>
      </c>
      <c r="C5611" s="4" t="n">
        <v>8</v>
      </c>
      <c r="D5611" s="4" t="n">
        <v>2</v>
      </c>
      <c r="E5611" s="4" t="s">
        <v>1018</v>
      </c>
      <c r="F5611" s="4" t="n">
        <v>37</v>
      </c>
      <c r="G5611" s="4" t="n">
        <v>3</v>
      </c>
      <c r="H5611" s="4" t="n">
        <v>3</v>
      </c>
      <c r="I5611" s="4" t="str">
        <v>○</v>
      </c>
      <c r="J5611" s="4" t="n">
        <v>230</v>
      </c>
      <c r="K5611" s="4"/>
      <c r="L5611" s="4"/>
      <c r="M5611" s="5" t="s">
        <v>4174</v>
      </c>
    </row>
    <row r="5612" customFormat="false" ht="15.75" hidden="false" customHeight="false" outlineLevel="0" collapsed="false">
      <c r="A5612" s="6" t="n">
        <v>46200</v>
      </c>
      <c r="B5612" s="4" t="s">
        <v>1091</v>
      </c>
      <c r="C5612" s="4" t="n">
        <v>8</v>
      </c>
      <c r="D5612" s="4" t="n">
        <v>3</v>
      </c>
      <c r="E5612" s="4" t="s">
        <v>2136</v>
      </c>
      <c r="F5612" s="4" t="n">
        <v>58</v>
      </c>
      <c r="G5612" s="4" t="n">
        <v>1</v>
      </c>
      <c r="H5612" s="4" t="n">
        <v>1</v>
      </c>
      <c r="I5612" s="4" t="str">
        <v>○</v>
      </c>
      <c r="J5612" s="4" t="n">
        <v>130</v>
      </c>
      <c r="K5612" s="4"/>
      <c r="L5612" s="4"/>
      <c r="M5612" s="5" t="s">
        <v>4174</v>
      </c>
    </row>
    <row r="5613" customFormat="false" ht="15.75" hidden="false" customHeight="false" outlineLevel="0" collapsed="false">
      <c r="A5613" s="6" t="n">
        <v>46200</v>
      </c>
      <c r="B5613" s="4" t="s">
        <v>1091</v>
      </c>
      <c r="C5613" s="4" t="n">
        <v>8</v>
      </c>
      <c r="D5613" s="4" t="n">
        <v>4</v>
      </c>
      <c r="E5613" s="4" t="s">
        <v>2551</v>
      </c>
      <c r="F5613" s="4" t="n">
        <v>20</v>
      </c>
      <c r="G5613" s="4" t="n">
        <v>6</v>
      </c>
      <c r="H5613" s="4" t="n">
        <v>4</v>
      </c>
      <c r="I5613" s="4" t="str">
        <v>×</v>
      </c>
      <c r="J5613" s="4"/>
      <c r="K5613" s="4"/>
      <c r="L5613" s="4"/>
      <c r="M5613" s="5" t="s">
        <v>4174</v>
      </c>
    </row>
    <row r="5614" customFormat="false" ht="15.75" hidden="false" customHeight="false" outlineLevel="0" collapsed="false">
      <c r="A5614" s="6" t="n">
        <v>46200</v>
      </c>
      <c r="B5614" s="4" t="s">
        <v>1091</v>
      </c>
      <c r="C5614" s="4" t="n">
        <v>8</v>
      </c>
      <c r="D5614" s="4" t="n">
        <v>5</v>
      </c>
      <c r="E5614" s="4" t="s">
        <v>2167</v>
      </c>
      <c r="F5614" s="4" t="n">
        <v>8</v>
      </c>
      <c r="G5614" s="4" t="n">
        <v>9</v>
      </c>
      <c r="H5614" s="4" t="n">
        <v>4</v>
      </c>
      <c r="I5614" s="4" t="str">
        <v>×</v>
      </c>
      <c r="J5614" s="4"/>
      <c r="K5614" s="4"/>
      <c r="L5614" s="4"/>
      <c r="M5614" s="5" t="s">
        <v>4174</v>
      </c>
    </row>
    <row r="5615" customFormat="false" ht="15.75" hidden="false" customHeight="false" outlineLevel="0" collapsed="false">
      <c r="A5615" s="6" t="n">
        <v>46200</v>
      </c>
      <c r="B5615" s="4" t="s">
        <v>1091</v>
      </c>
      <c r="C5615" s="4" t="n">
        <v>8</v>
      </c>
      <c r="D5615" s="4" t="n">
        <v>6</v>
      </c>
      <c r="E5615" s="4" t="s">
        <v>2170</v>
      </c>
      <c r="F5615" s="4" t="n">
        <v>31</v>
      </c>
      <c r="G5615" s="4" t="n">
        <v>4</v>
      </c>
      <c r="H5615" s="4" t="n">
        <v>4</v>
      </c>
      <c r="I5615" s="4" t="str">
        <v>×</v>
      </c>
      <c r="J5615" s="4"/>
      <c r="K5615" s="4"/>
      <c r="L5615" s="4"/>
      <c r="M5615" s="5" t="s">
        <v>4174</v>
      </c>
    </row>
    <row r="5616" customFormat="false" ht="15.75" hidden="false" customHeight="false" outlineLevel="0" collapsed="false">
      <c r="A5616" s="6" t="n">
        <v>46200</v>
      </c>
      <c r="B5616" s="4" t="s">
        <v>1091</v>
      </c>
      <c r="C5616" s="4" t="n">
        <v>8</v>
      </c>
      <c r="D5616" s="4" t="n">
        <v>7</v>
      </c>
      <c r="E5616" s="4" t="s">
        <v>2172</v>
      </c>
      <c r="F5616" s="4" t="n">
        <v>10</v>
      </c>
      <c r="G5616" s="4" t="n">
        <v>8</v>
      </c>
      <c r="H5616" s="4" t="n">
        <v>4</v>
      </c>
      <c r="I5616" s="4" t="str">
        <v>×</v>
      </c>
      <c r="J5616" s="4"/>
      <c r="K5616" s="4"/>
      <c r="L5616" s="4"/>
      <c r="M5616" s="5" t="s">
        <v>4174</v>
      </c>
    </row>
    <row r="5617" customFormat="false" ht="15.75" hidden="false" customHeight="false" outlineLevel="0" collapsed="false">
      <c r="A5617" s="6" t="n">
        <v>46200</v>
      </c>
      <c r="B5617" s="4" t="s">
        <v>1091</v>
      </c>
      <c r="C5617" s="4" t="n">
        <v>8</v>
      </c>
      <c r="D5617" s="4" t="n">
        <v>8</v>
      </c>
      <c r="E5617" s="4" t="s">
        <v>1649</v>
      </c>
      <c r="F5617" s="4" t="n">
        <v>41</v>
      </c>
      <c r="G5617" s="4" t="n">
        <v>2</v>
      </c>
      <c r="H5617" s="4" t="n">
        <v>4</v>
      </c>
      <c r="I5617" s="4" t="str">
        <v>×</v>
      </c>
      <c r="J5617" s="4"/>
      <c r="K5617" s="4"/>
      <c r="L5617" s="4"/>
      <c r="M5617" s="5" t="s">
        <v>4174</v>
      </c>
    </row>
    <row r="5618" customFormat="false" ht="15.75" hidden="false" customHeight="false" outlineLevel="0" collapsed="false">
      <c r="A5618" s="6" t="n">
        <v>46200</v>
      </c>
      <c r="B5618" s="4" t="s">
        <v>1091</v>
      </c>
      <c r="C5618" s="4" t="n">
        <v>8</v>
      </c>
      <c r="D5618" s="4" t="n">
        <v>9</v>
      </c>
      <c r="E5618" s="4" t="s">
        <v>317</v>
      </c>
      <c r="F5618" s="4" t="n">
        <v>20</v>
      </c>
      <c r="G5618" s="4" t="n">
        <v>6</v>
      </c>
      <c r="H5618" s="4" t="n">
        <v>4</v>
      </c>
      <c r="I5618" s="4" t="str">
        <v>×</v>
      </c>
      <c r="J5618" s="4"/>
      <c r="K5618" s="4"/>
      <c r="L5618" s="4"/>
      <c r="M5618" s="5" t="s">
        <v>4174</v>
      </c>
    </row>
    <row r="5619" customFormat="false" ht="15.75" hidden="false" customHeight="false" outlineLevel="0" collapsed="false">
      <c r="A5619" s="6" t="n">
        <v>46200</v>
      </c>
      <c r="B5619" s="4" t="s">
        <v>1091</v>
      </c>
      <c r="C5619" s="4" t="n">
        <v>9</v>
      </c>
      <c r="D5619" s="4" t="n">
        <v>1</v>
      </c>
      <c r="E5619" s="4" t="s">
        <v>1171</v>
      </c>
      <c r="F5619" s="4" t="n">
        <v>31</v>
      </c>
      <c r="G5619" s="4" t="n">
        <v>6</v>
      </c>
      <c r="H5619" s="4" t="n">
        <v>4</v>
      </c>
      <c r="I5619" s="4" t="str">
        <v>×</v>
      </c>
      <c r="J5619" s="4"/>
      <c r="K5619" s="4"/>
      <c r="L5619" s="4"/>
      <c r="M5619" s="5" t="s">
        <v>4174</v>
      </c>
    </row>
    <row r="5620" customFormat="false" ht="15.75" hidden="false" customHeight="false" outlineLevel="0" collapsed="false">
      <c r="A5620" s="6" t="n">
        <v>46200</v>
      </c>
      <c r="B5620" s="4" t="s">
        <v>1091</v>
      </c>
      <c r="C5620" s="4" t="n">
        <v>9</v>
      </c>
      <c r="D5620" s="4" t="n">
        <v>2</v>
      </c>
      <c r="E5620" s="4" t="s">
        <v>1175</v>
      </c>
      <c r="F5620" s="4" t="n">
        <v>34</v>
      </c>
      <c r="G5620" s="4" t="n">
        <v>3</v>
      </c>
      <c r="H5620" s="4" t="n">
        <v>2</v>
      </c>
      <c r="I5620" s="4" t="str">
        <v>○</v>
      </c>
      <c r="J5620" s="4" t="n">
        <v>180</v>
      </c>
      <c r="K5620" s="4"/>
      <c r="L5620" s="4"/>
      <c r="M5620" s="5" t="s">
        <v>4174</v>
      </c>
    </row>
    <row r="5621" customFormat="false" ht="15.75" hidden="false" customHeight="false" outlineLevel="0" collapsed="false">
      <c r="A5621" s="6" t="n">
        <v>46200</v>
      </c>
      <c r="B5621" s="4" t="s">
        <v>1091</v>
      </c>
      <c r="C5621" s="4" t="n">
        <v>9</v>
      </c>
      <c r="D5621" s="4" t="n">
        <v>3</v>
      </c>
      <c r="E5621" s="4" t="s">
        <v>913</v>
      </c>
      <c r="F5621" s="4" t="n">
        <v>10</v>
      </c>
      <c r="G5621" s="4" t="n">
        <v>7</v>
      </c>
      <c r="H5621" s="4" t="n">
        <v>3</v>
      </c>
      <c r="I5621" s="4" t="str">
        <v>○</v>
      </c>
      <c r="J5621" s="4" t="n">
        <v>610</v>
      </c>
      <c r="K5621" s="4"/>
      <c r="L5621" s="4"/>
      <c r="M5621" s="5" t="s">
        <v>4174</v>
      </c>
    </row>
    <row r="5622" customFormat="false" ht="15.75" hidden="false" customHeight="false" outlineLevel="0" collapsed="false">
      <c r="A5622" s="6" t="n">
        <v>46200</v>
      </c>
      <c r="B5622" s="4" t="s">
        <v>1091</v>
      </c>
      <c r="C5622" s="4" t="n">
        <v>9</v>
      </c>
      <c r="D5622" s="4" t="n">
        <v>4</v>
      </c>
      <c r="E5622" s="4" t="s">
        <v>688</v>
      </c>
      <c r="F5622" s="4" t="n">
        <v>86</v>
      </c>
      <c r="G5622" s="4" t="n">
        <v>1</v>
      </c>
      <c r="H5622" s="4" t="n">
        <v>1</v>
      </c>
      <c r="I5622" s="4" t="str">
        <v>○</v>
      </c>
      <c r="J5622" s="4" t="n">
        <v>110</v>
      </c>
      <c r="K5622" s="4"/>
      <c r="L5622" s="4"/>
      <c r="M5622" s="5" t="s">
        <v>4174</v>
      </c>
    </row>
    <row r="5623" customFormat="false" ht="15.75" hidden="false" customHeight="false" outlineLevel="0" collapsed="false">
      <c r="A5623" s="6" t="n">
        <v>46200</v>
      </c>
      <c r="B5623" s="4" t="s">
        <v>1091</v>
      </c>
      <c r="C5623" s="4" t="n">
        <v>9</v>
      </c>
      <c r="D5623" s="4" t="n">
        <v>5</v>
      </c>
      <c r="E5623" s="4" t="s">
        <v>3207</v>
      </c>
      <c r="F5623" s="4" t="n">
        <v>10</v>
      </c>
      <c r="G5623" s="4" t="n">
        <v>7</v>
      </c>
      <c r="H5623" s="4" t="n">
        <v>4</v>
      </c>
      <c r="I5623" s="4" t="str">
        <v>×</v>
      </c>
      <c r="J5623" s="4"/>
      <c r="K5623" s="4"/>
      <c r="L5623" s="4"/>
      <c r="M5623" s="5" t="s">
        <v>4174</v>
      </c>
    </row>
    <row r="5624" customFormat="false" ht="15.75" hidden="false" customHeight="false" outlineLevel="0" collapsed="false">
      <c r="A5624" s="6" t="n">
        <v>46200</v>
      </c>
      <c r="B5624" s="4" t="s">
        <v>1091</v>
      </c>
      <c r="C5624" s="4" t="n">
        <v>9</v>
      </c>
      <c r="D5624" s="4" t="n">
        <v>6</v>
      </c>
      <c r="E5624" s="4" t="s">
        <v>115</v>
      </c>
      <c r="F5624" s="4" t="n">
        <v>34</v>
      </c>
      <c r="G5624" s="4" t="n">
        <v>3</v>
      </c>
      <c r="H5624" s="4" t="n">
        <v>4</v>
      </c>
      <c r="I5624" s="4" t="str">
        <v>×</v>
      </c>
      <c r="J5624" s="4"/>
      <c r="K5624" s="4"/>
      <c r="L5624" s="4"/>
      <c r="M5624" s="5" t="s">
        <v>4174</v>
      </c>
    </row>
    <row r="5625" customFormat="false" ht="15.75" hidden="false" customHeight="false" outlineLevel="0" collapsed="false">
      <c r="A5625" s="6" t="n">
        <v>46200</v>
      </c>
      <c r="B5625" s="4" t="s">
        <v>1091</v>
      </c>
      <c r="C5625" s="4" t="n">
        <v>9</v>
      </c>
      <c r="D5625" s="4" t="n">
        <v>7</v>
      </c>
      <c r="E5625" s="4" t="s">
        <v>1672</v>
      </c>
      <c r="F5625" s="4" t="n">
        <v>39</v>
      </c>
      <c r="G5625" s="4" t="n">
        <v>2</v>
      </c>
      <c r="H5625" s="4" t="n">
        <v>4</v>
      </c>
      <c r="I5625" s="4" t="str">
        <v>×</v>
      </c>
      <c r="J5625" s="4"/>
      <c r="K5625" s="4"/>
      <c r="L5625" s="4"/>
      <c r="M5625" s="5" t="s">
        <v>4174</v>
      </c>
    </row>
    <row r="5626" customFormat="false" ht="15.75" hidden="false" customHeight="false" outlineLevel="0" collapsed="false">
      <c r="A5626" s="6" t="n">
        <v>46200</v>
      </c>
      <c r="B5626" s="4" t="s">
        <v>1091</v>
      </c>
      <c r="C5626" s="4" t="n">
        <v>9</v>
      </c>
      <c r="D5626" s="4" t="n">
        <v>8</v>
      </c>
      <c r="E5626" s="4" t="s">
        <v>4401</v>
      </c>
      <c r="F5626" s="4" t="n">
        <v>34</v>
      </c>
      <c r="G5626" s="4" t="n">
        <v>3</v>
      </c>
      <c r="H5626" s="4" t="n">
        <v>4</v>
      </c>
      <c r="I5626" s="4" t="str">
        <v>×</v>
      </c>
      <c r="J5626" s="4"/>
      <c r="K5626" s="4"/>
      <c r="L5626" s="4"/>
      <c r="M5626" s="5" t="s">
        <v>4174</v>
      </c>
    </row>
    <row r="5627" customFormat="false" ht="15.75" hidden="false" customHeight="false" outlineLevel="0" collapsed="false">
      <c r="A5627" s="6" t="n">
        <v>46200</v>
      </c>
      <c r="B5627" s="4" t="s">
        <v>1091</v>
      </c>
      <c r="C5627" s="4" t="n">
        <v>10</v>
      </c>
      <c r="D5627" s="4" t="n">
        <v>1</v>
      </c>
      <c r="E5627" s="4" t="s">
        <v>2134</v>
      </c>
      <c r="F5627" s="4" t="n">
        <v>8</v>
      </c>
      <c r="G5627" s="4" t="n">
        <v>11</v>
      </c>
      <c r="H5627" s="4" t="n">
        <v>4</v>
      </c>
      <c r="I5627" s="4" t="str">
        <v>×</v>
      </c>
      <c r="J5627" s="4"/>
      <c r="K5627" s="4"/>
      <c r="L5627" s="4"/>
      <c r="M5627" s="5" t="s">
        <v>4174</v>
      </c>
    </row>
    <row r="5628" customFormat="false" ht="15.75" hidden="false" customHeight="false" outlineLevel="0" collapsed="false">
      <c r="A5628" s="6" t="n">
        <v>46200</v>
      </c>
      <c r="B5628" s="4" t="s">
        <v>1091</v>
      </c>
      <c r="C5628" s="4" t="n">
        <v>10</v>
      </c>
      <c r="D5628" s="4" t="n">
        <v>2</v>
      </c>
      <c r="E5628" s="4" t="s">
        <v>2137</v>
      </c>
      <c r="F5628" s="4" t="n">
        <v>50</v>
      </c>
      <c r="G5628" s="4" t="n">
        <v>1</v>
      </c>
      <c r="H5628" s="4" t="n">
        <v>4</v>
      </c>
      <c r="I5628" s="4" t="str">
        <v>×</v>
      </c>
      <c r="J5628" s="4"/>
      <c r="K5628" s="4"/>
      <c r="L5628" s="4"/>
      <c r="M5628" s="5" t="s">
        <v>4174</v>
      </c>
    </row>
    <row r="5629" customFormat="false" ht="15.75" hidden="false" customHeight="false" outlineLevel="0" collapsed="false">
      <c r="A5629" s="6" t="n">
        <v>46200</v>
      </c>
      <c r="B5629" s="4" t="s">
        <v>1091</v>
      </c>
      <c r="C5629" s="4" t="n">
        <v>10</v>
      </c>
      <c r="D5629" s="4" t="n">
        <v>3</v>
      </c>
      <c r="E5629" s="4" t="s">
        <v>4402</v>
      </c>
      <c r="F5629" s="4" t="n">
        <v>17</v>
      </c>
      <c r="G5629" s="4" t="n">
        <v>7</v>
      </c>
      <c r="H5629" s="4" t="n">
        <v>4</v>
      </c>
      <c r="I5629" s="4" t="str">
        <v>×</v>
      </c>
      <c r="J5629" s="4"/>
      <c r="K5629" s="4"/>
      <c r="L5629" s="4"/>
      <c r="M5629" s="5" t="s">
        <v>4174</v>
      </c>
    </row>
    <row r="5630" customFormat="false" ht="15.75" hidden="false" customHeight="false" outlineLevel="0" collapsed="false">
      <c r="A5630" s="6" t="n">
        <v>46200</v>
      </c>
      <c r="B5630" s="4" t="s">
        <v>1091</v>
      </c>
      <c r="C5630" s="4" t="n">
        <v>10</v>
      </c>
      <c r="D5630" s="4" t="n">
        <v>4</v>
      </c>
      <c r="E5630" s="4" t="s">
        <v>3219</v>
      </c>
      <c r="F5630" s="4" t="n">
        <v>34</v>
      </c>
      <c r="G5630" s="4" t="n">
        <v>3</v>
      </c>
      <c r="H5630" s="4" t="n">
        <v>1</v>
      </c>
      <c r="I5630" s="4" t="str">
        <v>○</v>
      </c>
      <c r="J5630" s="4" t="n">
        <v>370</v>
      </c>
      <c r="K5630" s="4"/>
      <c r="L5630" s="4"/>
      <c r="M5630" s="5" t="s">
        <v>4174</v>
      </c>
    </row>
    <row r="5631" customFormat="false" ht="15.75" hidden="false" customHeight="false" outlineLevel="0" collapsed="false">
      <c r="A5631" s="6" t="n">
        <v>46200</v>
      </c>
      <c r="B5631" s="4" t="s">
        <v>1091</v>
      </c>
      <c r="C5631" s="4" t="n">
        <v>10</v>
      </c>
      <c r="D5631" s="4" t="n">
        <v>5</v>
      </c>
      <c r="E5631" s="4" t="s">
        <v>2132</v>
      </c>
      <c r="F5631" s="4" t="n">
        <v>34</v>
      </c>
      <c r="G5631" s="4" t="n">
        <v>3</v>
      </c>
      <c r="H5631" s="4" t="n">
        <v>4</v>
      </c>
      <c r="I5631" s="4" t="str">
        <v>×</v>
      </c>
      <c r="J5631" s="4"/>
      <c r="K5631" s="4"/>
      <c r="L5631" s="4"/>
      <c r="M5631" s="5" t="s">
        <v>4174</v>
      </c>
    </row>
    <row r="5632" customFormat="false" ht="15.75" hidden="false" customHeight="false" outlineLevel="0" collapsed="false">
      <c r="A5632" s="6" t="n">
        <v>46200</v>
      </c>
      <c r="B5632" s="4" t="s">
        <v>1091</v>
      </c>
      <c r="C5632" s="4" t="n">
        <v>10</v>
      </c>
      <c r="D5632" s="4" t="n">
        <v>6</v>
      </c>
      <c r="E5632" s="4" t="s">
        <v>4403</v>
      </c>
      <c r="F5632" s="4" t="n">
        <v>13</v>
      </c>
      <c r="G5632" s="4" t="n">
        <v>9</v>
      </c>
      <c r="H5632" s="4" t="n">
        <v>4</v>
      </c>
      <c r="I5632" s="4" t="str">
        <v>×</v>
      </c>
      <c r="J5632" s="4"/>
      <c r="K5632" s="4"/>
      <c r="L5632" s="4"/>
      <c r="M5632" s="5" t="s">
        <v>4174</v>
      </c>
    </row>
    <row r="5633" customFormat="false" ht="15.75" hidden="false" customHeight="false" outlineLevel="0" collapsed="false">
      <c r="A5633" s="6" t="n">
        <v>46200</v>
      </c>
      <c r="B5633" s="4" t="s">
        <v>1091</v>
      </c>
      <c r="C5633" s="4" t="n">
        <v>10</v>
      </c>
      <c r="D5633" s="4" t="n">
        <v>7</v>
      </c>
      <c r="E5633" s="4" t="s">
        <v>2142</v>
      </c>
      <c r="F5633" s="4" t="n">
        <v>23</v>
      </c>
      <c r="G5633" s="4" t="n">
        <v>6</v>
      </c>
      <c r="H5633" s="4" t="n">
        <v>3</v>
      </c>
      <c r="I5633" s="4" t="str">
        <v>○</v>
      </c>
      <c r="J5633" s="4" t="n">
        <v>290</v>
      </c>
      <c r="K5633" s="4"/>
      <c r="L5633" s="4"/>
      <c r="M5633" s="5" t="s">
        <v>4174</v>
      </c>
    </row>
    <row r="5634" customFormat="false" ht="15.75" hidden="false" customHeight="false" outlineLevel="0" collapsed="false">
      <c r="A5634" s="6" t="n">
        <v>46200</v>
      </c>
      <c r="B5634" s="4" t="s">
        <v>1091</v>
      </c>
      <c r="C5634" s="4" t="n">
        <v>10</v>
      </c>
      <c r="D5634" s="4" t="n">
        <v>8</v>
      </c>
      <c r="E5634" s="4" t="s">
        <v>1510</v>
      </c>
      <c r="F5634" s="4" t="n">
        <v>34</v>
      </c>
      <c r="G5634" s="4" t="n">
        <v>3</v>
      </c>
      <c r="H5634" s="4" t="n">
        <v>2</v>
      </c>
      <c r="I5634" s="4" t="str">
        <v>○</v>
      </c>
      <c r="J5634" s="4" t="n">
        <v>240</v>
      </c>
      <c r="K5634" s="4"/>
      <c r="L5634" s="4"/>
      <c r="M5634" s="5" t="s">
        <v>4174</v>
      </c>
    </row>
    <row r="5635" customFormat="false" ht="15.75" hidden="false" customHeight="false" outlineLevel="0" collapsed="false">
      <c r="A5635" s="6" t="n">
        <v>46200</v>
      </c>
      <c r="B5635" s="4" t="s">
        <v>1091</v>
      </c>
      <c r="C5635" s="4" t="n">
        <v>10</v>
      </c>
      <c r="D5635" s="4" t="n">
        <v>9</v>
      </c>
      <c r="E5635" s="4" t="s">
        <v>4404</v>
      </c>
      <c r="F5635" s="4" t="n">
        <v>3</v>
      </c>
      <c r="G5635" s="4" t="n">
        <v>12</v>
      </c>
      <c r="H5635" s="4" t="n">
        <v>4</v>
      </c>
      <c r="I5635" s="4" t="str">
        <v>×</v>
      </c>
      <c r="J5635" s="4"/>
      <c r="K5635" s="4"/>
      <c r="L5635" s="4"/>
      <c r="M5635" s="5" t="s">
        <v>4174</v>
      </c>
    </row>
    <row r="5636" customFormat="false" ht="15.75" hidden="false" customHeight="false" outlineLevel="0" collapsed="false">
      <c r="A5636" s="6" t="n">
        <v>46200</v>
      </c>
      <c r="B5636" s="4" t="s">
        <v>1091</v>
      </c>
      <c r="C5636" s="4" t="n">
        <v>10</v>
      </c>
      <c r="D5636" s="4" t="n">
        <v>10</v>
      </c>
      <c r="E5636" s="4" t="s">
        <v>2138</v>
      </c>
      <c r="F5636" s="4" t="n">
        <v>1</v>
      </c>
      <c r="G5636" s="4" t="n">
        <v>13</v>
      </c>
      <c r="H5636" s="4" t="n">
        <v>4</v>
      </c>
      <c r="I5636" s="4" t="str">
        <v>×</v>
      </c>
      <c r="J5636" s="4"/>
      <c r="K5636" s="4"/>
      <c r="L5636" s="4"/>
      <c r="M5636" s="5" t="s">
        <v>4174</v>
      </c>
    </row>
    <row r="5637" customFormat="false" ht="15.75" hidden="false" customHeight="false" outlineLevel="0" collapsed="false">
      <c r="A5637" s="6" t="n">
        <v>46200</v>
      </c>
      <c r="B5637" s="4" t="s">
        <v>1091</v>
      </c>
      <c r="C5637" s="4" t="n">
        <v>10</v>
      </c>
      <c r="D5637" s="4" t="n">
        <v>11</v>
      </c>
      <c r="E5637" s="4" t="s">
        <v>2147</v>
      </c>
      <c r="F5637" s="4" t="n">
        <v>50</v>
      </c>
      <c r="G5637" s="4" t="n">
        <v>1</v>
      </c>
      <c r="H5637" s="4" t="n">
        <v>4</v>
      </c>
      <c r="I5637" s="4" t="str">
        <v>×</v>
      </c>
      <c r="J5637" s="4"/>
      <c r="K5637" s="4"/>
      <c r="L5637" s="4"/>
      <c r="M5637" s="5" t="s">
        <v>4174</v>
      </c>
    </row>
    <row r="5638" customFormat="false" ht="15.75" hidden="false" customHeight="false" outlineLevel="0" collapsed="false">
      <c r="A5638" s="6" t="n">
        <v>46200</v>
      </c>
      <c r="B5638" s="4" t="s">
        <v>1091</v>
      </c>
      <c r="C5638" s="4" t="n">
        <v>10</v>
      </c>
      <c r="D5638" s="4" t="n">
        <v>12</v>
      </c>
      <c r="E5638" s="4" t="s">
        <v>4405</v>
      </c>
      <c r="F5638" s="4" t="n">
        <v>13</v>
      </c>
      <c r="G5638" s="4" t="n">
        <v>9</v>
      </c>
      <c r="H5638" s="4" t="n">
        <v>4</v>
      </c>
      <c r="I5638" s="4" t="str">
        <v>×</v>
      </c>
      <c r="J5638" s="4"/>
      <c r="K5638" s="4"/>
      <c r="L5638" s="4"/>
      <c r="M5638" s="5" t="s">
        <v>4174</v>
      </c>
    </row>
    <row r="5639" customFormat="false" ht="15.75" hidden="false" customHeight="false" outlineLevel="0" collapsed="false">
      <c r="A5639" s="6" t="n">
        <v>46200</v>
      </c>
      <c r="B5639" s="4" t="s">
        <v>1091</v>
      </c>
      <c r="C5639" s="4" t="n">
        <v>10</v>
      </c>
      <c r="D5639" s="4" t="n">
        <v>13</v>
      </c>
      <c r="E5639" s="4" t="s">
        <v>2146</v>
      </c>
      <c r="F5639" s="4" t="n">
        <v>15</v>
      </c>
      <c r="G5639" s="4" t="n">
        <v>8</v>
      </c>
      <c r="H5639" s="4" t="n">
        <v>4</v>
      </c>
      <c r="I5639" s="4" t="str">
        <v>×</v>
      </c>
      <c r="J5639" s="4"/>
      <c r="K5639" s="4"/>
      <c r="L5639" s="4"/>
      <c r="M5639" s="5" t="s">
        <v>4174</v>
      </c>
    </row>
    <row r="5640" customFormat="false" ht="15.75" hidden="false" customHeight="false" outlineLevel="0" collapsed="false">
      <c r="A5640" s="6" t="n">
        <v>46200</v>
      </c>
      <c r="B5640" s="4" t="s">
        <v>1091</v>
      </c>
      <c r="C5640" s="4" t="n">
        <v>11</v>
      </c>
      <c r="D5640" s="4" t="n">
        <v>1</v>
      </c>
      <c r="E5640" s="4" t="s">
        <v>4406</v>
      </c>
      <c r="F5640" s="4" t="n">
        <v>4</v>
      </c>
      <c r="G5640" s="4" t="n">
        <v>14</v>
      </c>
      <c r="H5640" s="4" t="n">
        <v>4</v>
      </c>
      <c r="I5640" s="4" t="str">
        <v>×</v>
      </c>
      <c r="J5640" s="4"/>
      <c r="K5640" s="4"/>
      <c r="L5640" s="4"/>
      <c r="M5640" s="5" t="s">
        <v>4174</v>
      </c>
    </row>
    <row r="5641" customFormat="false" ht="15.75" hidden="false" customHeight="false" outlineLevel="0" collapsed="false">
      <c r="A5641" s="6" t="n">
        <v>46200</v>
      </c>
      <c r="B5641" s="4" t="s">
        <v>1091</v>
      </c>
      <c r="C5641" s="4" t="n">
        <v>11</v>
      </c>
      <c r="D5641" s="4" t="n">
        <v>2</v>
      </c>
      <c r="E5641" s="4" t="s">
        <v>1675</v>
      </c>
      <c r="F5641" s="4" t="n">
        <v>10</v>
      </c>
      <c r="G5641" s="4" t="n">
        <v>9</v>
      </c>
      <c r="H5641" s="4" t="n">
        <v>3</v>
      </c>
      <c r="I5641" s="4" t="str">
        <v>○</v>
      </c>
      <c r="J5641" s="4" t="n">
        <v>250</v>
      </c>
      <c r="K5641" s="4"/>
      <c r="L5641" s="4"/>
      <c r="M5641" s="5" t="s">
        <v>4174</v>
      </c>
    </row>
    <row r="5642" customFormat="false" ht="15.75" hidden="false" customHeight="false" outlineLevel="0" collapsed="false">
      <c r="A5642" s="6" t="n">
        <v>46200</v>
      </c>
      <c r="B5642" s="4" t="s">
        <v>1091</v>
      </c>
      <c r="C5642" s="4" t="n">
        <v>11</v>
      </c>
      <c r="D5642" s="4" t="n">
        <v>3</v>
      </c>
      <c r="E5642" s="4" t="s">
        <v>1679</v>
      </c>
      <c r="F5642" s="4" t="n">
        <v>6</v>
      </c>
      <c r="G5642" s="4" t="n">
        <v>13</v>
      </c>
      <c r="H5642" s="4" t="n">
        <v>4</v>
      </c>
      <c r="I5642" s="4" t="str">
        <v>×</v>
      </c>
      <c r="J5642" s="4"/>
      <c r="K5642" s="4"/>
      <c r="L5642" s="4"/>
      <c r="M5642" s="5" t="s">
        <v>4174</v>
      </c>
    </row>
    <row r="5643" customFormat="false" ht="15.75" hidden="false" customHeight="false" outlineLevel="0" collapsed="false">
      <c r="A5643" s="6" t="n">
        <v>46200</v>
      </c>
      <c r="B5643" s="4" t="s">
        <v>1091</v>
      </c>
      <c r="C5643" s="4" t="n">
        <v>11</v>
      </c>
      <c r="D5643" s="4" t="n">
        <v>4</v>
      </c>
      <c r="E5643" s="4" t="s">
        <v>4407</v>
      </c>
      <c r="F5643" s="4" t="n">
        <v>31</v>
      </c>
      <c r="G5643" s="4" t="n">
        <v>3</v>
      </c>
      <c r="H5643" s="4" t="n">
        <v>4</v>
      </c>
      <c r="I5643" s="4" t="str">
        <v>×</v>
      </c>
      <c r="J5643" s="4"/>
      <c r="K5643" s="4"/>
      <c r="L5643" s="4"/>
      <c r="M5643" s="5" t="s">
        <v>4174</v>
      </c>
    </row>
    <row r="5644" customFormat="false" ht="15.75" hidden="false" customHeight="false" outlineLevel="0" collapsed="false">
      <c r="A5644" s="6" t="n">
        <v>46200</v>
      </c>
      <c r="B5644" s="4" t="s">
        <v>1091</v>
      </c>
      <c r="C5644" s="4" t="n">
        <v>11</v>
      </c>
      <c r="D5644" s="4" t="n">
        <v>5</v>
      </c>
      <c r="E5644" s="4" t="s">
        <v>1678</v>
      </c>
      <c r="F5644" s="4" t="n">
        <v>10</v>
      </c>
      <c r="G5644" s="4" t="n">
        <v>9</v>
      </c>
      <c r="H5644" s="4" t="n">
        <v>4</v>
      </c>
      <c r="I5644" s="4" t="str">
        <v>×</v>
      </c>
      <c r="J5644" s="4"/>
      <c r="K5644" s="4"/>
      <c r="L5644" s="4"/>
      <c r="M5644" s="5" t="s">
        <v>4174</v>
      </c>
    </row>
    <row r="5645" customFormat="false" ht="15.75" hidden="false" customHeight="false" outlineLevel="0" collapsed="false">
      <c r="A5645" s="6" t="n">
        <v>46200</v>
      </c>
      <c r="B5645" s="4" t="s">
        <v>1091</v>
      </c>
      <c r="C5645" s="4" t="n">
        <v>11</v>
      </c>
      <c r="D5645" s="4" t="n">
        <v>6</v>
      </c>
      <c r="E5645" s="4" t="s">
        <v>4408</v>
      </c>
      <c r="F5645" s="4" t="n">
        <v>13</v>
      </c>
      <c r="G5645" s="4" t="n">
        <v>8</v>
      </c>
      <c r="H5645" s="4" t="n">
        <v>4</v>
      </c>
      <c r="I5645" s="4" t="str">
        <v>×</v>
      </c>
      <c r="J5645" s="4"/>
      <c r="K5645" s="4"/>
      <c r="L5645" s="4"/>
      <c r="M5645" s="5" t="s">
        <v>4174</v>
      </c>
    </row>
    <row r="5646" customFormat="false" ht="15.75" hidden="false" customHeight="false" outlineLevel="0" collapsed="false">
      <c r="A5646" s="6" t="n">
        <v>46200</v>
      </c>
      <c r="B5646" s="4" t="s">
        <v>1091</v>
      </c>
      <c r="C5646" s="4" t="n">
        <v>11</v>
      </c>
      <c r="D5646" s="4" t="n">
        <v>7</v>
      </c>
      <c r="E5646" s="4" t="s">
        <v>4409</v>
      </c>
      <c r="F5646" s="4" t="n">
        <v>20</v>
      </c>
      <c r="G5646" s="4" t="n">
        <v>6</v>
      </c>
      <c r="H5646" s="4" t="n">
        <v>4</v>
      </c>
      <c r="I5646" s="4" t="str">
        <v>×</v>
      </c>
      <c r="J5646" s="4"/>
      <c r="K5646" s="4"/>
      <c r="L5646" s="4"/>
      <c r="M5646" s="5" t="s">
        <v>4174</v>
      </c>
    </row>
    <row r="5647" customFormat="false" ht="15.75" hidden="false" customHeight="false" outlineLevel="0" collapsed="false">
      <c r="A5647" s="6" t="n">
        <v>46200</v>
      </c>
      <c r="B5647" s="4" t="s">
        <v>1091</v>
      </c>
      <c r="C5647" s="4" t="n">
        <v>11</v>
      </c>
      <c r="D5647" s="4" t="n">
        <v>8</v>
      </c>
      <c r="E5647" s="4" t="s">
        <v>1681</v>
      </c>
      <c r="F5647" s="4" t="n">
        <v>10</v>
      </c>
      <c r="G5647" s="4" t="n">
        <v>9</v>
      </c>
      <c r="H5647" s="4" t="n">
        <v>4</v>
      </c>
      <c r="I5647" s="4" t="str">
        <v>×</v>
      </c>
      <c r="J5647" s="4"/>
      <c r="K5647" s="4"/>
      <c r="L5647" s="4"/>
      <c r="M5647" s="5" t="s">
        <v>4174</v>
      </c>
    </row>
    <row r="5648" customFormat="false" ht="15.75" hidden="false" customHeight="false" outlineLevel="0" collapsed="false">
      <c r="A5648" s="6" t="n">
        <v>46200</v>
      </c>
      <c r="B5648" s="4" t="s">
        <v>1091</v>
      </c>
      <c r="C5648" s="4" t="n">
        <v>11</v>
      </c>
      <c r="D5648" s="4" t="n">
        <v>9</v>
      </c>
      <c r="E5648" s="4" t="s">
        <v>2532</v>
      </c>
      <c r="F5648" s="4" t="n">
        <v>23</v>
      </c>
      <c r="G5648" s="4" t="n">
        <v>5</v>
      </c>
      <c r="H5648" s="4" t="n">
        <v>1</v>
      </c>
      <c r="I5648" s="4" t="str">
        <v>○</v>
      </c>
      <c r="J5648" s="4" t="n">
        <v>170</v>
      </c>
      <c r="K5648" s="4"/>
      <c r="L5648" s="4"/>
      <c r="M5648" s="5" t="s">
        <v>4174</v>
      </c>
    </row>
    <row r="5649" customFormat="false" ht="15.75" hidden="false" customHeight="false" outlineLevel="0" collapsed="false">
      <c r="A5649" s="6" t="n">
        <v>46200</v>
      </c>
      <c r="B5649" s="4" t="s">
        <v>1091</v>
      </c>
      <c r="C5649" s="4" t="n">
        <v>11</v>
      </c>
      <c r="D5649" s="4" t="n">
        <v>10</v>
      </c>
      <c r="E5649" s="4" t="s">
        <v>1683</v>
      </c>
      <c r="F5649" s="4" t="n">
        <v>8</v>
      </c>
      <c r="G5649" s="4" t="n">
        <v>12</v>
      </c>
      <c r="H5649" s="4" t="n">
        <v>4</v>
      </c>
      <c r="I5649" s="4" t="str">
        <v>×</v>
      </c>
      <c r="J5649" s="4"/>
      <c r="K5649" s="4"/>
      <c r="L5649" s="4"/>
      <c r="M5649" s="5" t="s">
        <v>4174</v>
      </c>
    </row>
    <row r="5650" customFormat="false" ht="15.75" hidden="false" customHeight="false" outlineLevel="0" collapsed="false">
      <c r="A5650" s="6" t="n">
        <v>46200</v>
      </c>
      <c r="B5650" s="4" t="s">
        <v>1091</v>
      </c>
      <c r="C5650" s="4" t="n">
        <v>11</v>
      </c>
      <c r="D5650" s="4" t="n">
        <v>11</v>
      </c>
      <c r="E5650" s="4" t="s">
        <v>4410</v>
      </c>
      <c r="F5650" s="4" t="n">
        <v>52</v>
      </c>
      <c r="G5650" s="4" t="n">
        <v>2</v>
      </c>
      <c r="H5650" s="4" t="n">
        <v>4</v>
      </c>
      <c r="I5650" s="4" t="str">
        <v>×</v>
      </c>
      <c r="J5650" s="4"/>
      <c r="K5650" s="4"/>
      <c r="L5650" s="4"/>
      <c r="M5650" s="5" t="s">
        <v>4174</v>
      </c>
    </row>
    <row r="5651" customFormat="false" ht="15.75" hidden="false" customHeight="false" outlineLevel="0" collapsed="false">
      <c r="A5651" s="6" t="n">
        <v>46200</v>
      </c>
      <c r="B5651" s="4" t="s">
        <v>1091</v>
      </c>
      <c r="C5651" s="4" t="n">
        <v>11</v>
      </c>
      <c r="D5651" s="4" t="n">
        <v>12</v>
      </c>
      <c r="E5651" s="4" t="s">
        <v>1690</v>
      </c>
      <c r="F5651" s="4" t="n">
        <v>31</v>
      </c>
      <c r="G5651" s="4" t="n">
        <v>3</v>
      </c>
      <c r="H5651" s="4" t="n">
        <v>4</v>
      </c>
      <c r="I5651" s="4" t="str">
        <v>×</v>
      </c>
      <c r="J5651" s="4"/>
      <c r="K5651" s="4"/>
      <c r="L5651" s="4"/>
      <c r="M5651" s="5" t="s">
        <v>4174</v>
      </c>
    </row>
    <row r="5652" customFormat="false" ht="15.75" hidden="false" customHeight="false" outlineLevel="0" collapsed="false">
      <c r="A5652" s="6" t="n">
        <v>46200</v>
      </c>
      <c r="B5652" s="4" t="s">
        <v>1091</v>
      </c>
      <c r="C5652" s="4" t="n">
        <v>11</v>
      </c>
      <c r="D5652" s="4" t="n">
        <v>13</v>
      </c>
      <c r="E5652" s="4" t="s">
        <v>4411</v>
      </c>
      <c r="F5652" s="4" t="n">
        <v>56</v>
      </c>
      <c r="G5652" s="4" t="n">
        <v>1</v>
      </c>
      <c r="H5652" s="4" t="n">
        <v>2</v>
      </c>
      <c r="I5652" s="4" t="str">
        <v>○</v>
      </c>
      <c r="J5652" s="4" t="n">
        <v>200</v>
      </c>
      <c r="K5652" s="4"/>
      <c r="L5652" s="4"/>
      <c r="M5652" s="5" t="s">
        <v>4174</v>
      </c>
    </row>
    <row r="5653" customFormat="false" ht="15.75" hidden="false" customHeight="false" outlineLevel="0" collapsed="false">
      <c r="A5653" s="6" t="n">
        <v>46200</v>
      </c>
      <c r="B5653" s="4" t="s">
        <v>1091</v>
      </c>
      <c r="C5653" s="4" t="n">
        <v>11</v>
      </c>
      <c r="D5653" s="4" t="n">
        <v>14</v>
      </c>
      <c r="E5653" s="4" t="s">
        <v>4412</v>
      </c>
      <c r="F5653" s="4" t="n">
        <v>4</v>
      </c>
      <c r="G5653" s="4" t="n">
        <v>14</v>
      </c>
      <c r="H5653" s="4" t="n">
        <v>4</v>
      </c>
      <c r="I5653" s="4" t="str">
        <v>×</v>
      </c>
      <c r="J5653" s="4"/>
      <c r="K5653" s="4"/>
      <c r="L5653" s="4"/>
      <c r="M5653" s="5" t="s">
        <v>4174</v>
      </c>
    </row>
    <row r="5654" customFormat="false" ht="15.75" hidden="false" customHeight="false" outlineLevel="0" collapsed="false">
      <c r="A5654" s="6" t="n">
        <v>46200</v>
      </c>
      <c r="B5654" s="4" t="s">
        <v>1091</v>
      </c>
      <c r="C5654" s="4" t="n">
        <v>11</v>
      </c>
      <c r="D5654" s="4" t="n">
        <v>15</v>
      </c>
      <c r="E5654" s="4" t="s">
        <v>4413</v>
      </c>
      <c r="F5654" s="4" t="n">
        <v>17</v>
      </c>
      <c r="G5654" s="4" t="n">
        <v>7</v>
      </c>
      <c r="H5654" s="4" t="n">
        <v>4</v>
      </c>
      <c r="I5654" s="4" t="str">
        <v>×</v>
      </c>
      <c r="J5654" s="4"/>
      <c r="K5654" s="4"/>
      <c r="L5654" s="4"/>
      <c r="M5654" s="5" t="s">
        <v>4174</v>
      </c>
    </row>
    <row r="5655" customFormat="false" ht="15.75" hidden="false" customHeight="false" outlineLevel="0" collapsed="false">
      <c r="A5655" s="6" t="n">
        <v>46200</v>
      </c>
      <c r="B5655" s="4" t="s">
        <v>1091</v>
      </c>
      <c r="C5655" s="4" t="n">
        <v>12</v>
      </c>
      <c r="D5655" s="4" t="n">
        <v>1</v>
      </c>
      <c r="E5655" s="4" t="s">
        <v>616</v>
      </c>
      <c r="F5655" s="4" t="n">
        <v>29</v>
      </c>
      <c r="G5655" s="4" t="n">
        <v>5</v>
      </c>
      <c r="H5655" s="4" t="n">
        <v>4</v>
      </c>
      <c r="I5655" s="4" t="str">
        <v>×</v>
      </c>
      <c r="J5655" s="4"/>
      <c r="K5655" s="4"/>
      <c r="L5655" s="4"/>
      <c r="M5655" s="5" t="s">
        <v>4174</v>
      </c>
    </row>
    <row r="5656" customFormat="false" ht="15.75" hidden="false" customHeight="false" outlineLevel="0" collapsed="false">
      <c r="A5656" s="6" t="n">
        <v>46200</v>
      </c>
      <c r="B5656" s="4" t="s">
        <v>1091</v>
      </c>
      <c r="C5656" s="4" t="n">
        <v>12</v>
      </c>
      <c r="D5656" s="4" t="n">
        <v>2</v>
      </c>
      <c r="E5656" s="4" t="s">
        <v>1636</v>
      </c>
      <c r="F5656" s="4" t="n">
        <v>66</v>
      </c>
      <c r="G5656" s="4" t="n">
        <v>1</v>
      </c>
      <c r="H5656" s="4" t="n">
        <v>2</v>
      </c>
      <c r="I5656" s="4" t="str">
        <v>○</v>
      </c>
      <c r="J5656" s="4" t="n">
        <v>110</v>
      </c>
      <c r="K5656" s="4"/>
      <c r="L5656" s="4"/>
      <c r="M5656" s="5" t="s">
        <v>4174</v>
      </c>
    </row>
    <row r="5657" customFormat="false" ht="15.75" hidden="false" customHeight="false" outlineLevel="0" collapsed="false">
      <c r="A5657" s="6" t="n">
        <v>46200</v>
      </c>
      <c r="B5657" s="4" t="s">
        <v>1091</v>
      </c>
      <c r="C5657" s="4" t="n">
        <v>12</v>
      </c>
      <c r="D5657" s="4" t="n">
        <v>3</v>
      </c>
      <c r="E5657" s="4" t="s">
        <v>4414</v>
      </c>
      <c r="F5657" s="4" t="n">
        <v>15</v>
      </c>
      <c r="G5657" s="4" t="n">
        <v>7</v>
      </c>
      <c r="H5657" s="4" t="n">
        <v>4</v>
      </c>
      <c r="I5657" s="4" t="str">
        <v>×</v>
      </c>
      <c r="J5657" s="4"/>
      <c r="K5657" s="4"/>
      <c r="L5657" s="4"/>
      <c r="M5657" s="5" t="s">
        <v>4174</v>
      </c>
    </row>
    <row r="5658" customFormat="false" ht="15.75" hidden="false" customHeight="false" outlineLevel="0" collapsed="false">
      <c r="A5658" s="6" t="n">
        <v>46200</v>
      </c>
      <c r="B5658" s="4" t="s">
        <v>1091</v>
      </c>
      <c r="C5658" s="4" t="n">
        <v>12</v>
      </c>
      <c r="D5658" s="4" t="n">
        <v>4</v>
      </c>
      <c r="E5658" s="4" t="s">
        <v>2165</v>
      </c>
      <c r="F5658" s="4" t="n">
        <v>25</v>
      </c>
      <c r="G5658" s="4" t="n">
        <v>6</v>
      </c>
      <c r="H5658" s="4" t="n">
        <v>4</v>
      </c>
      <c r="I5658" s="4" t="str">
        <v>×</v>
      </c>
      <c r="J5658" s="4"/>
      <c r="K5658" s="4"/>
      <c r="L5658" s="4"/>
      <c r="M5658" s="5" t="s">
        <v>4174</v>
      </c>
    </row>
    <row r="5659" customFormat="false" ht="15.75" hidden="false" customHeight="false" outlineLevel="0" collapsed="false">
      <c r="A5659" s="6" t="n">
        <v>46200</v>
      </c>
      <c r="B5659" s="4" t="s">
        <v>1091</v>
      </c>
      <c r="C5659" s="4" t="n">
        <v>12</v>
      </c>
      <c r="D5659" s="4" t="n">
        <v>5</v>
      </c>
      <c r="E5659" s="4" t="s">
        <v>1663</v>
      </c>
      <c r="F5659" s="4" t="n">
        <v>37</v>
      </c>
      <c r="G5659" s="4" t="n">
        <v>3</v>
      </c>
      <c r="H5659" s="4" t="n">
        <v>4</v>
      </c>
      <c r="I5659" s="4" t="str">
        <v>×</v>
      </c>
      <c r="J5659" s="4"/>
      <c r="K5659" s="4"/>
      <c r="L5659" s="4"/>
      <c r="M5659" s="5" t="s">
        <v>4174</v>
      </c>
    </row>
    <row r="5660" customFormat="false" ht="15.75" hidden="false" customHeight="false" outlineLevel="0" collapsed="false">
      <c r="A5660" s="6" t="n">
        <v>46200</v>
      </c>
      <c r="B5660" s="4" t="s">
        <v>1091</v>
      </c>
      <c r="C5660" s="4" t="n">
        <v>12</v>
      </c>
      <c r="D5660" s="4" t="n">
        <v>6</v>
      </c>
      <c r="E5660" s="4" t="s">
        <v>4415</v>
      </c>
      <c r="F5660" s="4" t="n">
        <v>56</v>
      </c>
      <c r="G5660" s="4" t="n">
        <v>2</v>
      </c>
      <c r="H5660" s="4" t="n">
        <v>3</v>
      </c>
      <c r="I5660" s="4" t="str">
        <v>○</v>
      </c>
      <c r="J5660" s="4" t="n">
        <v>130</v>
      </c>
      <c r="K5660" s="4"/>
      <c r="L5660" s="4"/>
      <c r="M5660" s="5" t="s">
        <v>4174</v>
      </c>
    </row>
    <row r="5661" customFormat="false" ht="15.75" hidden="false" customHeight="false" outlineLevel="0" collapsed="false">
      <c r="A5661" s="6" t="n">
        <v>46200</v>
      </c>
      <c r="B5661" s="4" t="s">
        <v>1091</v>
      </c>
      <c r="C5661" s="4" t="n">
        <v>12</v>
      </c>
      <c r="D5661" s="4" t="n">
        <v>7</v>
      </c>
      <c r="E5661" s="4" t="s">
        <v>4416</v>
      </c>
      <c r="F5661" s="4" t="n">
        <v>8</v>
      </c>
      <c r="G5661" s="4" t="n">
        <v>8</v>
      </c>
      <c r="H5661" s="4" t="n">
        <v>4</v>
      </c>
      <c r="I5661" s="4" t="str">
        <v>×</v>
      </c>
      <c r="J5661" s="4"/>
      <c r="K5661" s="4"/>
      <c r="L5661" s="4"/>
      <c r="M5661" s="5" t="s">
        <v>4174</v>
      </c>
    </row>
    <row r="5662" customFormat="false" ht="15.75" hidden="false" customHeight="false" outlineLevel="0" collapsed="false">
      <c r="A5662" s="6" t="n">
        <v>46200</v>
      </c>
      <c r="B5662" s="4" t="s">
        <v>1091</v>
      </c>
      <c r="C5662" s="4" t="n">
        <v>12</v>
      </c>
      <c r="D5662" s="4" t="n">
        <v>8</v>
      </c>
      <c r="E5662" s="4" t="s">
        <v>2148</v>
      </c>
      <c r="F5662" s="4" t="n">
        <v>34</v>
      </c>
      <c r="G5662" s="4" t="n">
        <v>4</v>
      </c>
      <c r="H5662" s="4" t="n">
        <v>1</v>
      </c>
      <c r="I5662" s="4" t="str">
        <v>○</v>
      </c>
      <c r="J5662" s="4" t="n">
        <v>110</v>
      </c>
      <c r="K5662" s="4"/>
      <c r="L5662" s="4"/>
      <c r="M5662" s="5" t="s">
        <v>4174</v>
      </c>
    </row>
    <row r="5663" customFormat="false" ht="15.75" hidden="false" customHeight="false" outlineLevel="0" collapsed="false">
      <c r="A5663" s="6" t="n">
        <v>46200</v>
      </c>
      <c r="B5663" s="4" t="s">
        <v>1237</v>
      </c>
      <c r="C5663" s="4" t="n">
        <v>1</v>
      </c>
      <c r="D5663" s="4" t="n">
        <v>1</v>
      </c>
      <c r="E5663" s="4" t="s">
        <v>2568</v>
      </c>
      <c r="F5663" s="4" t="n">
        <v>10</v>
      </c>
      <c r="G5663" s="4" t="n">
        <v>9</v>
      </c>
      <c r="H5663" s="4" t="n">
        <v>4</v>
      </c>
      <c r="I5663" s="4" t="str">
        <v>×</v>
      </c>
      <c r="J5663" s="4"/>
      <c r="K5663" s="4"/>
      <c r="L5663" s="4"/>
      <c r="M5663" s="5" t="s">
        <v>4174</v>
      </c>
    </row>
    <row r="5664" customFormat="false" ht="15.75" hidden="false" customHeight="false" outlineLevel="0" collapsed="false">
      <c r="A5664" s="6" t="n">
        <v>46200</v>
      </c>
      <c r="B5664" s="4" t="s">
        <v>1237</v>
      </c>
      <c r="C5664" s="4" t="n">
        <v>1</v>
      </c>
      <c r="D5664" s="4" t="n">
        <v>2</v>
      </c>
      <c r="E5664" s="4" t="s">
        <v>2195</v>
      </c>
      <c r="F5664" s="4" t="n">
        <v>71</v>
      </c>
      <c r="G5664" s="4" t="n">
        <v>1</v>
      </c>
      <c r="H5664" s="4" t="n">
        <v>3</v>
      </c>
      <c r="I5664" s="4" t="str">
        <v>○</v>
      </c>
      <c r="J5664" s="4" t="n">
        <v>120</v>
      </c>
      <c r="K5664" s="4"/>
      <c r="L5664" s="4"/>
      <c r="M5664" s="5" t="s">
        <v>4174</v>
      </c>
    </row>
    <row r="5665" customFormat="false" ht="15.75" hidden="false" customHeight="false" outlineLevel="0" collapsed="false">
      <c r="A5665" s="6" t="n">
        <v>46200</v>
      </c>
      <c r="B5665" s="4" t="s">
        <v>1237</v>
      </c>
      <c r="C5665" s="4" t="n">
        <v>1</v>
      </c>
      <c r="D5665" s="4" t="n">
        <v>3</v>
      </c>
      <c r="E5665" s="4" t="s">
        <v>2613</v>
      </c>
      <c r="F5665" s="4" t="n">
        <v>4</v>
      </c>
      <c r="G5665" s="4" t="n">
        <v>14</v>
      </c>
      <c r="H5665" s="4" t="n">
        <v>4</v>
      </c>
      <c r="I5665" s="4" t="str">
        <v>×</v>
      </c>
      <c r="J5665" s="4"/>
      <c r="K5665" s="4"/>
      <c r="L5665" s="4"/>
      <c r="M5665" s="5" t="s">
        <v>4174</v>
      </c>
    </row>
    <row r="5666" customFormat="false" ht="15.75" hidden="false" customHeight="false" outlineLevel="0" collapsed="false">
      <c r="A5666" s="6" t="n">
        <v>46200</v>
      </c>
      <c r="B5666" s="4" t="s">
        <v>1237</v>
      </c>
      <c r="C5666" s="4" t="n">
        <v>1</v>
      </c>
      <c r="D5666" s="4" t="n">
        <v>4</v>
      </c>
      <c r="E5666" s="4" t="s">
        <v>4417</v>
      </c>
      <c r="F5666" s="4" t="n">
        <v>3</v>
      </c>
      <c r="G5666" s="4" t="n">
        <v>15</v>
      </c>
      <c r="H5666" s="4" t="n">
        <v>4</v>
      </c>
      <c r="I5666" s="4" t="str">
        <v>×</v>
      </c>
      <c r="J5666" s="4"/>
      <c r="K5666" s="4"/>
      <c r="L5666" s="4"/>
      <c r="M5666" s="5" t="s">
        <v>4174</v>
      </c>
    </row>
    <row r="5667" customFormat="false" ht="15.75" hidden="false" customHeight="false" outlineLevel="0" collapsed="false">
      <c r="A5667" s="6" t="n">
        <v>46200</v>
      </c>
      <c r="B5667" s="4" t="s">
        <v>1237</v>
      </c>
      <c r="C5667" s="4" t="n">
        <v>1</v>
      </c>
      <c r="D5667" s="4" t="n">
        <v>5</v>
      </c>
      <c r="E5667" s="4" t="s">
        <v>4418</v>
      </c>
      <c r="F5667" s="4" t="n">
        <v>3</v>
      </c>
      <c r="G5667" s="4" t="n">
        <v>15</v>
      </c>
      <c r="H5667" s="4" t="n">
        <v>4</v>
      </c>
      <c r="I5667" s="4" t="str">
        <v>×</v>
      </c>
      <c r="J5667" s="4"/>
      <c r="K5667" s="4"/>
      <c r="L5667" s="4"/>
      <c r="M5667" s="5" t="s">
        <v>4174</v>
      </c>
    </row>
    <row r="5668" customFormat="false" ht="15.75" hidden="false" customHeight="false" outlineLevel="0" collapsed="false">
      <c r="A5668" s="6" t="n">
        <v>46200</v>
      </c>
      <c r="B5668" s="4" t="s">
        <v>1237</v>
      </c>
      <c r="C5668" s="4" t="n">
        <v>1</v>
      </c>
      <c r="D5668" s="4" t="n">
        <v>6</v>
      </c>
      <c r="E5668" s="4" t="s">
        <v>1785</v>
      </c>
      <c r="F5668" s="4" t="n">
        <v>23</v>
      </c>
      <c r="G5668" s="4" t="n">
        <v>6</v>
      </c>
      <c r="H5668" s="4" t="n">
        <v>4</v>
      </c>
      <c r="I5668" s="4" t="str">
        <v>×</v>
      </c>
      <c r="J5668" s="4"/>
      <c r="K5668" s="4"/>
      <c r="L5668" s="4"/>
      <c r="M5668" s="5" t="s">
        <v>4174</v>
      </c>
    </row>
    <row r="5669" customFormat="false" ht="15.75" hidden="false" customHeight="false" outlineLevel="0" collapsed="false">
      <c r="A5669" s="6" t="n">
        <v>46200</v>
      </c>
      <c r="B5669" s="4" t="s">
        <v>1237</v>
      </c>
      <c r="C5669" s="4" t="n">
        <v>1</v>
      </c>
      <c r="D5669" s="4" t="n">
        <v>7</v>
      </c>
      <c r="E5669" s="4" t="s">
        <v>813</v>
      </c>
      <c r="F5669" s="4" t="n">
        <v>17</v>
      </c>
      <c r="G5669" s="4" t="n">
        <v>7</v>
      </c>
      <c r="H5669" s="4" t="n">
        <v>4</v>
      </c>
      <c r="I5669" s="4" t="str">
        <v>×</v>
      </c>
      <c r="J5669" s="4"/>
      <c r="K5669" s="4"/>
      <c r="L5669" s="4"/>
      <c r="M5669" s="5" t="s">
        <v>4174</v>
      </c>
    </row>
    <row r="5670" customFormat="false" ht="15.75" hidden="false" customHeight="false" outlineLevel="0" collapsed="false">
      <c r="A5670" s="6" t="n">
        <v>46200</v>
      </c>
      <c r="B5670" s="4" t="s">
        <v>1237</v>
      </c>
      <c r="C5670" s="4" t="n">
        <v>1</v>
      </c>
      <c r="D5670" s="4" t="n">
        <v>8</v>
      </c>
      <c r="E5670" s="4" t="s">
        <v>1282</v>
      </c>
      <c r="F5670" s="4" t="n">
        <v>10</v>
      </c>
      <c r="G5670" s="4" t="n">
        <v>9</v>
      </c>
      <c r="H5670" s="4" t="n">
        <v>4</v>
      </c>
      <c r="I5670" s="4" t="str">
        <v>×</v>
      </c>
      <c r="J5670" s="4"/>
      <c r="K5670" s="4"/>
      <c r="L5670" s="4"/>
      <c r="M5670" s="5" t="s">
        <v>4174</v>
      </c>
    </row>
    <row r="5671" customFormat="false" ht="15.75" hidden="false" customHeight="false" outlineLevel="0" collapsed="false">
      <c r="A5671" s="6" t="n">
        <v>46200</v>
      </c>
      <c r="B5671" s="4" t="s">
        <v>1237</v>
      </c>
      <c r="C5671" s="4" t="n">
        <v>1</v>
      </c>
      <c r="D5671" s="4" t="n">
        <v>9</v>
      </c>
      <c r="E5671" s="4" t="s">
        <v>1297</v>
      </c>
      <c r="F5671" s="4" t="n">
        <v>10</v>
      </c>
      <c r="G5671" s="4" t="n">
        <v>9</v>
      </c>
      <c r="H5671" s="4" t="n">
        <v>4</v>
      </c>
      <c r="I5671" s="4" t="str">
        <v>×</v>
      </c>
      <c r="J5671" s="4"/>
      <c r="K5671" s="4"/>
      <c r="L5671" s="4"/>
      <c r="M5671" s="5" t="s">
        <v>4174</v>
      </c>
    </row>
    <row r="5672" customFormat="false" ht="15.75" hidden="false" customHeight="false" outlineLevel="0" collapsed="false">
      <c r="A5672" s="6" t="n">
        <v>46200</v>
      </c>
      <c r="B5672" s="4" t="s">
        <v>1237</v>
      </c>
      <c r="C5672" s="4" t="n">
        <v>1</v>
      </c>
      <c r="D5672" s="4" t="n">
        <v>10</v>
      </c>
      <c r="E5672" s="4" t="s">
        <v>1270</v>
      </c>
      <c r="F5672" s="4" t="n">
        <v>39</v>
      </c>
      <c r="G5672" s="4" t="n">
        <v>2</v>
      </c>
      <c r="H5672" s="4" t="n">
        <v>2</v>
      </c>
      <c r="I5672" s="4" t="str">
        <v>○</v>
      </c>
      <c r="J5672" s="4" t="n">
        <v>190</v>
      </c>
      <c r="K5672" s="4"/>
      <c r="L5672" s="4"/>
      <c r="M5672" s="5" t="s">
        <v>4174</v>
      </c>
    </row>
    <row r="5673" customFormat="false" ht="15.75" hidden="false" customHeight="false" outlineLevel="0" collapsed="false">
      <c r="A5673" s="6" t="n">
        <v>46200</v>
      </c>
      <c r="B5673" s="4" t="s">
        <v>1237</v>
      </c>
      <c r="C5673" s="4" t="n">
        <v>1</v>
      </c>
      <c r="D5673" s="4" t="n">
        <v>11</v>
      </c>
      <c r="E5673" s="4" t="s">
        <v>4419</v>
      </c>
      <c r="F5673" s="4" t="n">
        <v>13</v>
      </c>
      <c r="G5673" s="4" t="n">
        <v>8</v>
      </c>
      <c r="H5673" s="4" t="n">
        <v>4</v>
      </c>
      <c r="I5673" s="4" t="str">
        <v>×</v>
      </c>
      <c r="J5673" s="4"/>
      <c r="K5673" s="4"/>
      <c r="L5673" s="4"/>
      <c r="M5673" s="5" t="s">
        <v>4174</v>
      </c>
    </row>
    <row r="5674" customFormat="false" ht="15.75" hidden="false" customHeight="false" outlineLevel="0" collapsed="false">
      <c r="A5674" s="6" t="n">
        <v>46200</v>
      </c>
      <c r="B5674" s="4" t="s">
        <v>1237</v>
      </c>
      <c r="C5674" s="4" t="n">
        <v>1</v>
      </c>
      <c r="D5674" s="4" t="n">
        <v>12</v>
      </c>
      <c r="E5674" s="4" t="s">
        <v>607</v>
      </c>
      <c r="F5674" s="4" t="n">
        <v>6</v>
      </c>
      <c r="G5674" s="4" t="n">
        <v>12</v>
      </c>
      <c r="H5674" s="4" t="n">
        <v>4</v>
      </c>
      <c r="I5674" s="4" t="str">
        <v>×</v>
      </c>
      <c r="J5674" s="4"/>
      <c r="K5674" s="4"/>
      <c r="L5674" s="4"/>
      <c r="M5674" s="5" t="s">
        <v>4174</v>
      </c>
    </row>
    <row r="5675" customFormat="false" ht="15.75" hidden="false" customHeight="false" outlineLevel="0" collapsed="false">
      <c r="A5675" s="6" t="n">
        <v>46200</v>
      </c>
      <c r="B5675" s="4" t="s">
        <v>1237</v>
      </c>
      <c r="C5675" s="4" t="n">
        <v>1</v>
      </c>
      <c r="D5675" s="4" t="n">
        <v>13</v>
      </c>
      <c r="E5675" s="4" t="s">
        <v>4420</v>
      </c>
      <c r="F5675" s="4" t="n">
        <v>6</v>
      </c>
      <c r="G5675" s="4" t="n">
        <v>12</v>
      </c>
      <c r="H5675" s="4" t="n">
        <v>4</v>
      </c>
      <c r="I5675" s="4" t="str">
        <v>×</v>
      </c>
      <c r="J5675" s="4"/>
      <c r="K5675" s="4"/>
      <c r="L5675" s="4"/>
      <c r="M5675" s="5" t="s">
        <v>4174</v>
      </c>
    </row>
    <row r="5676" customFormat="false" ht="15.75" hidden="false" customHeight="false" outlineLevel="0" collapsed="false">
      <c r="A5676" s="6" t="n">
        <v>46200</v>
      </c>
      <c r="B5676" s="4" t="s">
        <v>1237</v>
      </c>
      <c r="C5676" s="4" t="n">
        <v>1</v>
      </c>
      <c r="D5676" s="4" t="n">
        <v>14</v>
      </c>
      <c r="E5676" s="4" t="s">
        <v>4421</v>
      </c>
      <c r="F5676" s="4" t="n">
        <v>29</v>
      </c>
      <c r="G5676" s="4" t="n">
        <v>5</v>
      </c>
      <c r="H5676" s="4" t="n">
        <v>4</v>
      </c>
      <c r="I5676" s="4" t="str">
        <v>×</v>
      </c>
      <c r="J5676" s="4"/>
      <c r="K5676" s="4"/>
      <c r="L5676" s="4"/>
      <c r="M5676" s="5" t="s">
        <v>4174</v>
      </c>
    </row>
    <row r="5677" customFormat="false" ht="15.75" hidden="false" customHeight="false" outlineLevel="0" collapsed="false">
      <c r="A5677" s="6" t="n">
        <v>46200</v>
      </c>
      <c r="B5677" s="4" t="s">
        <v>1237</v>
      </c>
      <c r="C5677" s="4" t="n">
        <v>1</v>
      </c>
      <c r="D5677" s="4" t="n">
        <v>15</v>
      </c>
      <c r="E5677" s="4" t="s">
        <v>4422</v>
      </c>
      <c r="F5677" s="4" t="n">
        <v>37</v>
      </c>
      <c r="G5677" s="4" t="n">
        <v>4</v>
      </c>
      <c r="H5677" s="4" t="n">
        <v>1</v>
      </c>
      <c r="I5677" s="4" t="str">
        <v>○</v>
      </c>
      <c r="J5677" s="4" t="n">
        <v>140</v>
      </c>
      <c r="K5677" s="4"/>
      <c r="L5677" s="4"/>
      <c r="M5677" s="5" t="s">
        <v>4174</v>
      </c>
    </row>
    <row r="5678" customFormat="false" ht="15.75" hidden="false" customHeight="false" outlineLevel="0" collapsed="false">
      <c r="A5678" s="6" t="n">
        <v>46200</v>
      </c>
      <c r="B5678" s="4" t="s">
        <v>1237</v>
      </c>
      <c r="C5678" s="4" t="n">
        <v>1</v>
      </c>
      <c r="D5678" s="4" t="n">
        <v>16</v>
      </c>
      <c r="E5678" s="4" t="s">
        <v>4423</v>
      </c>
      <c r="F5678" s="4" t="n">
        <v>39</v>
      </c>
      <c r="G5678" s="4" t="n">
        <v>2</v>
      </c>
      <c r="H5678" s="4" t="n">
        <v>4</v>
      </c>
      <c r="I5678" s="4" t="str">
        <v>×</v>
      </c>
      <c r="J5678" s="4"/>
      <c r="K5678" s="4"/>
      <c r="L5678" s="4"/>
      <c r="M5678" s="5" t="s">
        <v>4174</v>
      </c>
    </row>
    <row r="5679" customFormat="false" ht="15.75" hidden="false" customHeight="false" outlineLevel="0" collapsed="false">
      <c r="A5679" s="6" t="n">
        <v>46200</v>
      </c>
      <c r="B5679" s="4" t="s">
        <v>1237</v>
      </c>
      <c r="C5679" s="4" t="n">
        <v>2</v>
      </c>
      <c r="D5679" s="4" t="n">
        <v>1</v>
      </c>
      <c r="E5679" s="4" t="s">
        <v>3817</v>
      </c>
      <c r="F5679" s="4" t="n">
        <v>8</v>
      </c>
      <c r="G5679" s="4" t="n">
        <v>11</v>
      </c>
      <c r="H5679" s="4" t="n">
        <v>4</v>
      </c>
      <c r="I5679" s="4" t="str">
        <v>×</v>
      </c>
      <c r="J5679" s="4"/>
      <c r="K5679" s="4"/>
      <c r="L5679" s="4"/>
      <c r="M5679" s="5" t="s">
        <v>4174</v>
      </c>
    </row>
    <row r="5680" customFormat="false" ht="15.75" hidden="false" customHeight="false" outlineLevel="0" collapsed="false">
      <c r="A5680" s="6" t="n">
        <v>46200</v>
      </c>
      <c r="B5680" s="4" t="s">
        <v>1237</v>
      </c>
      <c r="C5680" s="4" t="n">
        <v>2</v>
      </c>
      <c r="D5680" s="4" t="n">
        <v>2</v>
      </c>
      <c r="E5680" s="4" t="s">
        <v>2560</v>
      </c>
      <c r="F5680" s="4" t="n">
        <v>37</v>
      </c>
      <c r="G5680" s="4" t="n">
        <v>4</v>
      </c>
      <c r="H5680" s="4" t="n">
        <v>2</v>
      </c>
      <c r="I5680" s="4" t="str">
        <v>○</v>
      </c>
      <c r="J5680" s="4" t="n">
        <v>130</v>
      </c>
      <c r="K5680" s="4"/>
      <c r="L5680" s="4"/>
      <c r="M5680" s="5" t="s">
        <v>4174</v>
      </c>
    </row>
    <row r="5681" customFormat="false" ht="15.75" hidden="false" customHeight="false" outlineLevel="0" collapsed="false">
      <c r="A5681" s="6" t="n">
        <v>46200</v>
      </c>
      <c r="B5681" s="4" t="s">
        <v>1237</v>
      </c>
      <c r="C5681" s="4" t="n">
        <v>2</v>
      </c>
      <c r="D5681" s="4" t="n">
        <v>3</v>
      </c>
      <c r="E5681" s="4" t="s">
        <v>2181</v>
      </c>
      <c r="F5681" s="4" t="n">
        <v>8</v>
      </c>
      <c r="G5681" s="4" t="n">
        <v>11</v>
      </c>
      <c r="H5681" s="4" t="n">
        <v>4</v>
      </c>
      <c r="I5681" s="4" t="str">
        <v>×</v>
      </c>
      <c r="J5681" s="4"/>
      <c r="K5681" s="4"/>
      <c r="L5681" s="4"/>
      <c r="M5681" s="5" t="s">
        <v>4174</v>
      </c>
    </row>
    <row r="5682" customFormat="false" ht="15.75" hidden="false" customHeight="false" outlineLevel="0" collapsed="false">
      <c r="A5682" s="6" t="n">
        <v>46200</v>
      </c>
      <c r="B5682" s="4" t="s">
        <v>1237</v>
      </c>
      <c r="C5682" s="4" t="n">
        <v>2</v>
      </c>
      <c r="D5682" s="4" t="n">
        <v>4</v>
      </c>
      <c r="E5682" s="4" t="s">
        <v>340</v>
      </c>
      <c r="F5682" s="4" t="n">
        <v>15</v>
      </c>
      <c r="G5682" s="4" t="n">
        <v>9</v>
      </c>
      <c r="H5682" s="4" t="n">
        <v>4</v>
      </c>
      <c r="I5682" s="4" t="str">
        <v>×</v>
      </c>
      <c r="J5682" s="4"/>
      <c r="K5682" s="4"/>
      <c r="L5682" s="4"/>
      <c r="M5682" s="5" t="s">
        <v>4174</v>
      </c>
    </row>
    <row r="5683" customFormat="false" ht="15.75" hidden="false" customHeight="false" outlineLevel="0" collapsed="false">
      <c r="A5683" s="6" t="n">
        <v>46200</v>
      </c>
      <c r="B5683" s="4" t="s">
        <v>1237</v>
      </c>
      <c r="C5683" s="4" t="n">
        <v>2</v>
      </c>
      <c r="D5683" s="4" t="n">
        <v>5</v>
      </c>
      <c r="E5683" s="4" t="s">
        <v>339</v>
      </c>
      <c r="F5683" s="4" t="n">
        <v>50</v>
      </c>
      <c r="G5683" s="4" t="n">
        <v>2</v>
      </c>
      <c r="H5683" s="4" t="n">
        <v>4</v>
      </c>
      <c r="I5683" s="4" t="str">
        <v>×</v>
      </c>
      <c r="J5683" s="4"/>
      <c r="K5683" s="4"/>
      <c r="L5683" s="4"/>
      <c r="M5683" s="5" t="s">
        <v>4174</v>
      </c>
    </row>
    <row r="5684" customFormat="false" ht="15.75" hidden="false" customHeight="false" outlineLevel="0" collapsed="false">
      <c r="A5684" s="6" t="n">
        <v>46200</v>
      </c>
      <c r="B5684" s="4" t="s">
        <v>1237</v>
      </c>
      <c r="C5684" s="4" t="n">
        <v>2</v>
      </c>
      <c r="D5684" s="4" t="n">
        <v>6</v>
      </c>
      <c r="E5684" s="4" t="s">
        <v>4424</v>
      </c>
      <c r="F5684" s="4" t="n">
        <v>29</v>
      </c>
      <c r="G5684" s="4" t="n">
        <v>5</v>
      </c>
      <c r="H5684" s="4" t="n">
        <v>4</v>
      </c>
      <c r="I5684" s="4" t="str">
        <v>×</v>
      </c>
      <c r="J5684" s="4"/>
      <c r="K5684" s="4"/>
      <c r="L5684" s="4"/>
      <c r="M5684" s="5" t="s">
        <v>4174</v>
      </c>
    </row>
    <row r="5685" customFormat="false" ht="15.75" hidden="false" customHeight="false" outlineLevel="0" collapsed="false">
      <c r="A5685" s="6" t="n">
        <v>46200</v>
      </c>
      <c r="B5685" s="4" t="s">
        <v>1237</v>
      </c>
      <c r="C5685" s="4" t="n">
        <v>2</v>
      </c>
      <c r="D5685" s="4" t="n">
        <v>7</v>
      </c>
      <c r="E5685" s="4" t="s">
        <v>1252</v>
      </c>
      <c r="F5685" s="4" t="n">
        <v>39</v>
      </c>
      <c r="G5685" s="4" t="n">
        <v>3</v>
      </c>
      <c r="H5685" s="4" t="n">
        <v>3</v>
      </c>
      <c r="I5685" s="4" t="str">
        <v>○</v>
      </c>
      <c r="J5685" s="4" t="n">
        <v>160</v>
      </c>
      <c r="K5685" s="4"/>
      <c r="L5685" s="4"/>
      <c r="M5685" s="5" t="s">
        <v>4174</v>
      </c>
    </row>
    <row r="5686" customFormat="false" ht="15.75" hidden="false" customHeight="false" outlineLevel="0" collapsed="false">
      <c r="A5686" s="6" t="n">
        <v>46200</v>
      </c>
      <c r="B5686" s="4" t="s">
        <v>1237</v>
      </c>
      <c r="C5686" s="4" t="n">
        <v>2</v>
      </c>
      <c r="D5686" s="4" t="n">
        <v>8</v>
      </c>
      <c r="E5686" s="4" t="s">
        <v>341</v>
      </c>
      <c r="F5686" s="4" t="n">
        <v>23</v>
      </c>
      <c r="G5686" s="4" t="n">
        <v>7</v>
      </c>
      <c r="H5686" s="4" t="n">
        <v>4</v>
      </c>
      <c r="I5686" s="4" t="str">
        <v>×</v>
      </c>
      <c r="J5686" s="4"/>
      <c r="K5686" s="4"/>
      <c r="L5686" s="4"/>
      <c r="M5686" s="5" t="s">
        <v>4174</v>
      </c>
    </row>
    <row r="5687" customFormat="false" ht="15.75" hidden="false" customHeight="false" outlineLevel="0" collapsed="false">
      <c r="A5687" s="6" t="n">
        <v>46200</v>
      </c>
      <c r="B5687" s="4" t="s">
        <v>1237</v>
      </c>
      <c r="C5687" s="4" t="n">
        <v>2</v>
      </c>
      <c r="D5687" s="4" t="n">
        <v>9</v>
      </c>
      <c r="E5687" s="4" t="s">
        <v>1250</v>
      </c>
      <c r="F5687" s="4" t="n">
        <v>17</v>
      </c>
      <c r="G5687" s="4" t="n">
        <v>8</v>
      </c>
      <c r="H5687" s="4" t="n">
        <v>4</v>
      </c>
      <c r="I5687" s="4" t="str">
        <v>×</v>
      </c>
      <c r="J5687" s="4"/>
      <c r="K5687" s="4"/>
      <c r="L5687" s="4"/>
      <c r="M5687" s="5" t="s">
        <v>4174</v>
      </c>
    </row>
    <row r="5688" customFormat="false" ht="15.75" hidden="false" customHeight="false" outlineLevel="0" collapsed="false">
      <c r="A5688" s="6" t="n">
        <v>46200</v>
      </c>
      <c r="B5688" s="4" t="s">
        <v>1237</v>
      </c>
      <c r="C5688" s="4" t="n">
        <v>2</v>
      </c>
      <c r="D5688" s="4" t="n">
        <v>10</v>
      </c>
      <c r="E5688" s="4" t="s">
        <v>2623</v>
      </c>
      <c r="F5688" s="4" t="n">
        <v>66</v>
      </c>
      <c r="G5688" s="4" t="n">
        <v>1</v>
      </c>
      <c r="H5688" s="4" t="n">
        <v>1</v>
      </c>
      <c r="I5688" s="4" t="str">
        <v>○</v>
      </c>
      <c r="J5688" s="4" t="n">
        <v>130</v>
      </c>
      <c r="K5688" s="4"/>
      <c r="L5688" s="4"/>
      <c r="M5688" s="5" t="s">
        <v>4174</v>
      </c>
    </row>
    <row r="5689" customFormat="false" ht="15.75" hidden="false" customHeight="false" outlineLevel="0" collapsed="false">
      <c r="A5689" s="6" t="n">
        <v>46200</v>
      </c>
      <c r="B5689" s="4" t="s">
        <v>1237</v>
      </c>
      <c r="C5689" s="4" t="n">
        <v>2</v>
      </c>
      <c r="D5689" s="4" t="n">
        <v>11</v>
      </c>
      <c r="E5689" s="4" t="s">
        <v>141</v>
      </c>
      <c r="F5689" s="4" t="n">
        <v>13</v>
      </c>
      <c r="G5689" s="4" t="n">
        <v>10</v>
      </c>
      <c r="H5689" s="4" t="n">
        <v>4</v>
      </c>
      <c r="I5689" s="4" t="str">
        <v>×</v>
      </c>
      <c r="J5689" s="4"/>
      <c r="K5689" s="4"/>
      <c r="L5689" s="4"/>
      <c r="M5689" s="5" t="s">
        <v>4174</v>
      </c>
    </row>
    <row r="5690" customFormat="false" ht="15.75" hidden="false" customHeight="false" outlineLevel="0" collapsed="false">
      <c r="A5690" s="6" t="n">
        <v>46200</v>
      </c>
      <c r="B5690" s="4" t="s">
        <v>1237</v>
      </c>
      <c r="C5690" s="4" t="n">
        <v>2</v>
      </c>
      <c r="D5690" s="4" t="n">
        <v>12</v>
      </c>
      <c r="E5690" s="4" t="s">
        <v>832</v>
      </c>
      <c r="F5690" s="4" t="n">
        <v>29</v>
      </c>
      <c r="G5690" s="4" t="n">
        <v>5</v>
      </c>
      <c r="H5690" s="4" t="n">
        <v>4</v>
      </c>
      <c r="I5690" s="4" t="str">
        <v>×</v>
      </c>
      <c r="J5690" s="4"/>
      <c r="K5690" s="4"/>
      <c r="L5690" s="4"/>
      <c r="M5690" s="5" t="s">
        <v>4174</v>
      </c>
    </row>
    <row r="5691" customFormat="false" ht="15.75" hidden="false" customHeight="false" outlineLevel="0" collapsed="false">
      <c r="A5691" s="6" t="n">
        <v>46200</v>
      </c>
      <c r="B5691" s="4" t="s">
        <v>1237</v>
      </c>
      <c r="C5691" s="4" t="n">
        <v>3</v>
      </c>
      <c r="D5691" s="4" t="n">
        <v>1</v>
      </c>
      <c r="E5691" s="4" t="s">
        <v>1742</v>
      </c>
      <c r="F5691" s="4" t="n">
        <v>23</v>
      </c>
      <c r="G5691" s="4" t="n">
        <v>3</v>
      </c>
      <c r="H5691" s="4" t="n">
        <v>4</v>
      </c>
      <c r="I5691" s="4" t="str">
        <v>×</v>
      </c>
      <c r="J5691" s="4"/>
      <c r="K5691" s="4"/>
      <c r="L5691" s="4"/>
      <c r="M5691" s="5" t="s">
        <v>4174</v>
      </c>
    </row>
    <row r="5692" customFormat="false" ht="15.75" hidden="false" customHeight="false" outlineLevel="0" collapsed="false">
      <c r="A5692" s="6" t="n">
        <v>46200</v>
      </c>
      <c r="B5692" s="4" t="s">
        <v>1237</v>
      </c>
      <c r="C5692" s="4" t="n">
        <v>3</v>
      </c>
      <c r="D5692" s="4" t="n">
        <v>2</v>
      </c>
      <c r="E5692" s="4" t="s">
        <v>2216</v>
      </c>
      <c r="F5692" s="4" t="n">
        <v>3</v>
      </c>
      <c r="G5692" s="4" t="n">
        <v>11</v>
      </c>
      <c r="H5692" s="4" t="n">
        <v>4</v>
      </c>
      <c r="I5692" s="4" t="str">
        <v>×</v>
      </c>
      <c r="J5692" s="4"/>
      <c r="K5692" s="4"/>
      <c r="L5692" s="4"/>
      <c r="M5692" s="5" t="s">
        <v>4174</v>
      </c>
    </row>
    <row r="5693" customFormat="false" ht="15.75" hidden="false" customHeight="false" outlineLevel="0" collapsed="false">
      <c r="A5693" s="6" t="n">
        <v>46200</v>
      </c>
      <c r="B5693" s="4" t="s">
        <v>1237</v>
      </c>
      <c r="C5693" s="4" t="n">
        <v>3</v>
      </c>
      <c r="D5693" s="4" t="n">
        <v>3</v>
      </c>
      <c r="E5693" s="4" t="s">
        <v>1262</v>
      </c>
      <c r="F5693" s="4" t="n">
        <v>8</v>
      </c>
      <c r="G5693" s="4" t="n">
        <v>7</v>
      </c>
      <c r="H5693" s="4" t="n">
        <v>4</v>
      </c>
      <c r="I5693" s="4" t="str">
        <v>×</v>
      </c>
      <c r="J5693" s="4"/>
      <c r="K5693" s="4"/>
      <c r="L5693" s="4"/>
      <c r="M5693" s="5" t="s">
        <v>4174</v>
      </c>
    </row>
    <row r="5694" customFormat="false" ht="15.75" hidden="false" customHeight="false" outlineLevel="0" collapsed="false">
      <c r="A5694" s="6" t="n">
        <v>46200</v>
      </c>
      <c r="B5694" s="4" t="s">
        <v>1237</v>
      </c>
      <c r="C5694" s="4" t="n">
        <v>3</v>
      </c>
      <c r="D5694" s="4" t="n">
        <v>4</v>
      </c>
      <c r="E5694" s="4" t="s">
        <v>1746</v>
      </c>
      <c r="F5694" s="4" t="n">
        <v>13</v>
      </c>
      <c r="G5694" s="4" t="n">
        <v>6</v>
      </c>
      <c r="H5694" s="4" t="n">
        <v>3</v>
      </c>
      <c r="I5694" s="4" t="str">
        <v>○</v>
      </c>
      <c r="J5694" s="4" t="n">
        <v>380</v>
      </c>
      <c r="K5694" s="4"/>
      <c r="L5694" s="4"/>
      <c r="M5694" s="5" t="s">
        <v>4174</v>
      </c>
    </row>
    <row r="5695" customFormat="false" ht="15.75" hidden="false" customHeight="false" outlineLevel="0" collapsed="false">
      <c r="A5695" s="6" t="n">
        <v>46200</v>
      </c>
      <c r="B5695" s="4" t="s">
        <v>1237</v>
      </c>
      <c r="C5695" s="4" t="n">
        <v>3</v>
      </c>
      <c r="D5695" s="4" t="n">
        <v>5</v>
      </c>
      <c r="E5695" s="4" t="s">
        <v>1743</v>
      </c>
      <c r="F5695" s="4" t="n">
        <v>6</v>
      </c>
      <c r="G5695" s="4" t="n">
        <v>10</v>
      </c>
      <c r="H5695" s="4" t="n">
        <v>4</v>
      </c>
      <c r="I5695" s="4" t="str">
        <v>×</v>
      </c>
      <c r="J5695" s="4"/>
      <c r="K5695" s="4"/>
      <c r="L5695" s="4"/>
      <c r="M5695" s="5" t="s">
        <v>4174</v>
      </c>
    </row>
    <row r="5696" customFormat="false" ht="15.75" hidden="false" customHeight="false" outlineLevel="0" collapsed="false">
      <c r="A5696" s="6" t="n">
        <v>46200</v>
      </c>
      <c r="B5696" s="4" t="s">
        <v>1237</v>
      </c>
      <c r="C5696" s="4" t="n">
        <v>3</v>
      </c>
      <c r="D5696" s="4" t="n">
        <v>6</v>
      </c>
      <c r="E5696" s="4" t="s">
        <v>4230</v>
      </c>
      <c r="F5696" s="4" t="n">
        <v>17</v>
      </c>
      <c r="G5696" s="4" t="n">
        <v>4</v>
      </c>
      <c r="H5696" s="4" t="n">
        <v>4</v>
      </c>
      <c r="I5696" s="4" t="str">
        <v>×</v>
      </c>
      <c r="J5696" s="4"/>
      <c r="K5696" s="4"/>
      <c r="L5696" s="4"/>
      <c r="M5696" s="5" t="s">
        <v>4174</v>
      </c>
    </row>
    <row r="5697" customFormat="false" ht="15.75" hidden="false" customHeight="false" outlineLevel="0" collapsed="false">
      <c r="A5697" s="6" t="n">
        <v>46200</v>
      </c>
      <c r="B5697" s="4" t="s">
        <v>1237</v>
      </c>
      <c r="C5697" s="4" t="n">
        <v>3</v>
      </c>
      <c r="D5697" s="4" t="n">
        <v>7</v>
      </c>
      <c r="E5697" s="4" t="s">
        <v>1732</v>
      </c>
      <c r="F5697" s="4" t="n">
        <v>8</v>
      </c>
      <c r="G5697" s="4" t="n">
        <v>7</v>
      </c>
      <c r="H5697" s="4" t="n">
        <v>4</v>
      </c>
      <c r="I5697" s="4" t="str">
        <v>×</v>
      </c>
      <c r="J5697" s="4"/>
      <c r="K5697" s="4"/>
      <c r="L5697" s="4"/>
      <c r="M5697" s="5" t="s">
        <v>4174</v>
      </c>
    </row>
    <row r="5698" customFormat="false" ht="15.75" hidden="false" customHeight="false" outlineLevel="0" collapsed="false">
      <c r="A5698" s="6" t="n">
        <v>46200</v>
      </c>
      <c r="B5698" s="4" t="s">
        <v>1237</v>
      </c>
      <c r="C5698" s="4" t="n">
        <v>3</v>
      </c>
      <c r="D5698" s="4" t="n">
        <v>8</v>
      </c>
      <c r="E5698" s="4" t="s">
        <v>393</v>
      </c>
      <c r="F5698" s="4" t="n">
        <v>17</v>
      </c>
      <c r="G5698" s="4" t="n">
        <v>4</v>
      </c>
      <c r="H5698" s="4" t="n">
        <v>4</v>
      </c>
      <c r="I5698" s="4" t="str">
        <v>×</v>
      </c>
      <c r="J5698" s="4"/>
      <c r="K5698" s="4"/>
      <c r="L5698" s="4"/>
      <c r="M5698" s="5" t="s">
        <v>4174</v>
      </c>
    </row>
    <row r="5699" customFormat="false" ht="15.75" hidden="false" customHeight="false" outlineLevel="0" collapsed="false">
      <c r="A5699" s="6" t="n">
        <v>46200</v>
      </c>
      <c r="B5699" s="4" t="s">
        <v>1237</v>
      </c>
      <c r="C5699" s="4" t="n">
        <v>3</v>
      </c>
      <c r="D5699" s="4" t="n">
        <v>9</v>
      </c>
      <c r="E5699" s="4" t="s">
        <v>4425</v>
      </c>
      <c r="F5699" s="4" t="n">
        <v>86</v>
      </c>
      <c r="G5699" s="4" t="n">
        <v>1</v>
      </c>
      <c r="H5699" s="4" t="n">
        <v>1</v>
      </c>
      <c r="I5699" s="4" t="str">
        <v>○</v>
      </c>
      <c r="J5699" s="4" t="n">
        <v>110</v>
      </c>
      <c r="K5699" s="4"/>
      <c r="L5699" s="4"/>
      <c r="M5699" s="5" t="s">
        <v>4174</v>
      </c>
    </row>
    <row r="5700" customFormat="false" ht="15.75" hidden="false" customHeight="false" outlineLevel="0" collapsed="false">
      <c r="A5700" s="6" t="n">
        <v>46200</v>
      </c>
      <c r="B5700" s="4" t="s">
        <v>1237</v>
      </c>
      <c r="C5700" s="4" t="n">
        <v>3</v>
      </c>
      <c r="D5700" s="4" t="n">
        <v>10</v>
      </c>
      <c r="E5700" s="4" t="s">
        <v>2221</v>
      </c>
      <c r="F5700" s="4" t="n">
        <v>8</v>
      </c>
      <c r="G5700" s="4" t="n">
        <v>7</v>
      </c>
      <c r="H5700" s="4" t="n">
        <v>2</v>
      </c>
      <c r="I5700" s="4" t="str">
        <v>○</v>
      </c>
      <c r="J5700" s="4" t="n">
        <v>520</v>
      </c>
      <c r="K5700" s="4"/>
      <c r="L5700" s="4"/>
      <c r="M5700" s="5" t="s">
        <v>4174</v>
      </c>
    </row>
    <row r="5701" customFormat="false" ht="15.75" hidden="false" customHeight="false" outlineLevel="0" collapsed="false">
      <c r="A5701" s="6" t="n">
        <v>46200</v>
      </c>
      <c r="B5701" s="4" t="s">
        <v>1237</v>
      </c>
      <c r="C5701" s="4" t="n">
        <v>3</v>
      </c>
      <c r="D5701" s="4" t="n">
        <v>11</v>
      </c>
      <c r="E5701" s="4" t="s">
        <v>4426</v>
      </c>
      <c r="F5701" s="4" t="n">
        <v>3</v>
      </c>
      <c r="G5701" s="4" t="n">
        <v>11</v>
      </c>
      <c r="H5701" s="4" t="n">
        <v>4</v>
      </c>
      <c r="I5701" s="4" t="str">
        <v>×</v>
      </c>
      <c r="J5701" s="4"/>
      <c r="K5701" s="4"/>
      <c r="L5701" s="4"/>
      <c r="M5701" s="5" t="s">
        <v>4174</v>
      </c>
    </row>
    <row r="5702" customFormat="false" ht="15.75" hidden="false" customHeight="false" outlineLevel="0" collapsed="false">
      <c r="A5702" s="6" t="n">
        <v>46200</v>
      </c>
      <c r="B5702" s="4" t="s">
        <v>1237</v>
      </c>
      <c r="C5702" s="4" t="n">
        <v>3</v>
      </c>
      <c r="D5702" s="4" t="n">
        <v>12</v>
      </c>
      <c r="E5702" s="4" t="s">
        <v>831</v>
      </c>
      <c r="F5702" s="4" t="n">
        <v>41</v>
      </c>
      <c r="G5702" s="4" t="n">
        <v>2</v>
      </c>
      <c r="H5702" s="4" t="n">
        <v>4</v>
      </c>
      <c r="I5702" s="4" t="str">
        <v>×</v>
      </c>
      <c r="J5702" s="4"/>
      <c r="K5702" s="4"/>
      <c r="L5702" s="4"/>
      <c r="M5702" s="5" t="s">
        <v>4174</v>
      </c>
    </row>
    <row r="5703" customFormat="false" ht="15.75" hidden="false" customHeight="false" outlineLevel="0" collapsed="false">
      <c r="A5703" s="6" t="n">
        <v>46200</v>
      </c>
      <c r="B5703" s="4" t="s">
        <v>1237</v>
      </c>
      <c r="C5703" s="4" t="n">
        <v>4</v>
      </c>
      <c r="D5703" s="4" t="n">
        <v>1</v>
      </c>
      <c r="E5703" s="4" t="s">
        <v>381</v>
      </c>
      <c r="F5703" s="4" t="n">
        <v>23</v>
      </c>
      <c r="G5703" s="4" t="n">
        <v>7</v>
      </c>
      <c r="H5703" s="4" t="n">
        <v>4</v>
      </c>
      <c r="I5703" s="4" t="str">
        <v>×</v>
      </c>
      <c r="J5703" s="4"/>
      <c r="K5703" s="4"/>
      <c r="L5703" s="4"/>
      <c r="M5703" s="5" t="s">
        <v>4174</v>
      </c>
    </row>
    <row r="5704" customFormat="false" ht="15.75" hidden="false" customHeight="false" outlineLevel="0" collapsed="false">
      <c r="A5704" s="6" t="n">
        <v>46200</v>
      </c>
      <c r="B5704" s="4" t="s">
        <v>1237</v>
      </c>
      <c r="C5704" s="4" t="n">
        <v>4</v>
      </c>
      <c r="D5704" s="4" t="n">
        <v>2</v>
      </c>
      <c r="E5704" s="4" t="s">
        <v>2955</v>
      </c>
      <c r="F5704" s="4" t="n">
        <v>44</v>
      </c>
      <c r="G5704" s="4" t="n">
        <v>3</v>
      </c>
      <c r="H5704" s="4" t="n">
        <v>4</v>
      </c>
      <c r="I5704" s="4" t="str">
        <v>×</v>
      </c>
      <c r="J5704" s="4"/>
      <c r="K5704" s="4"/>
      <c r="L5704" s="4"/>
      <c r="M5704" s="5" t="s">
        <v>4174</v>
      </c>
    </row>
    <row r="5705" customFormat="false" ht="15.75" hidden="false" customHeight="false" outlineLevel="0" collapsed="false">
      <c r="A5705" s="6" t="n">
        <v>46200</v>
      </c>
      <c r="B5705" s="4" t="s">
        <v>1237</v>
      </c>
      <c r="C5705" s="4" t="n">
        <v>4</v>
      </c>
      <c r="D5705" s="4" t="n">
        <v>3</v>
      </c>
      <c r="E5705" s="4" t="s">
        <v>4427</v>
      </c>
      <c r="F5705" s="4" t="n">
        <v>6</v>
      </c>
      <c r="G5705" s="4" t="n">
        <v>14</v>
      </c>
      <c r="H5705" s="4" t="n">
        <v>4</v>
      </c>
      <c r="I5705" s="4" t="str">
        <v>×</v>
      </c>
      <c r="J5705" s="4"/>
      <c r="K5705" s="4"/>
      <c r="L5705" s="4"/>
      <c r="M5705" s="5" t="s">
        <v>4174</v>
      </c>
    </row>
    <row r="5706" customFormat="false" ht="15.75" hidden="false" customHeight="false" outlineLevel="0" collapsed="false">
      <c r="A5706" s="6" t="n">
        <v>46200</v>
      </c>
      <c r="B5706" s="4" t="s">
        <v>1237</v>
      </c>
      <c r="C5706" s="4" t="n">
        <v>4</v>
      </c>
      <c r="D5706" s="4" t="n">
        <v>4</v>
      </c>
      <c r="E5706" s="4" t="s">
        <v>2205</v>
      </c>
      <c r="F5706" s="4" t="n">
        <v>31</v>
      </c>
      <c r="G5706" s="4" t="n">
        <v>5</v>
      </c>
      <c r="H5706" s="4" t="n">
        <v>4</v>
      </c>
      <c r="I5706" s="4" t="str">
        <v>×</v>
      </c>
      <c r="J5706" s="4"/>
      <c r="K5706" s="4"/>
      <c r="L5706" s="4"/>
      <c r="M5706" s="5" t="s">
        <v>4174</v>
      </c>
    </row>
    <row r="5707" customFormat="false" ht="15.75" hidden="false" customHeight="false" outlineLevel="0" collapsed="false">
      <c r="A5707" s="6" t="n">
        <v>46200</v>
      </c>
      <c r="B5707" s="4" t="s">
        <v>1237</v>
      </c>
      <c r="C5707" s="4" t="n">
        <v>4</v>
      </c>
      <c r="D5707" s="4" t="n">
        <v>5</v>
      </c>
      <c r="E5707" s="4" t="s">
        <v>4428</v>
      </c>
      <c r="F5707" s="4" t="n">
        <v>23</v>
      </c>
      <c r="G5707" s="4" t="n">
        <v>7</v>
      </c>
      <c r="H5707" s="4" t="n">
        <v>4</v>
      </c>
      <c r="I5707" s="4" t="str">
        <v>×</v>
      </c>
      <c r="J5707" s="4"/>
      <c r="K5707" s="4"/>
      <c r="L5707" s="4"/>
      <c r="M5707" s="5" t="s">
        <v>4174</v>
      </c>
    </row>
    <row r="5708" customFormat="false" ht="15.75" hidden="false" customHeight="false" outlineLevel="0" collapsed="false">
      <c r="A5708" s="6" t="n">
        <v>46200</v>
      </c>
      <c r="B5708" s="4" t="s">
        <v>1237</v>
      </c>
      <c r="C5708" s="4" t="n">
        <v>4</v>
      </c>
      <c r="D5708" s="4" t="n">
        <v>6</v>
      </c>
      <c r="E5708" s="4" t="s">
        <v>3255</v>
      </c>
      <c r="F5708" s="4" t="n">
        <v>8</v>
      </c>
      <c r="G5708" s="4" t="n">
        <v>12</v>
      </c>
      <c r="H5708" s="4" t="n">
        <v>4</v>
      </c>
      <c r="I5708" s="4" t="str">
        <v>×</v>
      </c>
      <c r="J5708" s="4"/>
      <c r="K5708" s="4"/>
      <c r="L5708" s="4"/>
      <c r="M5708" s="5" t="s">
        <v>4174</v>
      </c>
    </row>
    <row r="5709" customFormat="false" ht="15.75" hidden="false" customHeight="false" outlineLevel="0" collapsed="false">
      <c r="A5709" s="6" t="n">
        <v>46200</v>
      </c>
      <c r="B5709" s="4" t="s">
        <v>1237</v>
      </c>
      <c r="C5709" s="4" t="n">
        <v>4</v>
      </c>
      <c r="D5709" s="4" t="n">
        <v>7</v>
      </c>
      <c r="E5709" s="4" t="s">
        <v>4429</v>
      </c>
      <c r="F5709" s="4" t="n">
        <v>17</v>
      </c>
      <c r="G5709" s="4" t="n">
        <v>9</v>
      </c>
      <c r="H5709" s="4" t="n">
        <v>4</v>
      </c>
      <c r="I5709" s="4" t="str">
        <v>×</v>
      </c>
      <c r="J5709" s="4"/>
      <c r="K5709" s="4"/>
      <c r="L5709" s="4"/>
      <c r="M5709" s="5" t="s">
        <v>4174</v>
      </c>
    </row>
    <row r="5710" customFormat="false" ht="15.75" hidden="false" customHeight="false" outlineLevel="0" collapsed="false">
      <c r="A5710" s="6" t="n">
        <v>46200</v>
      </c>
      <c r="B5710" s="4" t="s">
        <v>1237</v>
      </c>
      <c r="C5710" s="4" t="n">
        <v>4</v>
      </c>
      <c r="D5710" s="4" t="n">
        <v>8</v>
      </c>
      <c r="E5710" s="4" t="s">
        <v>2210</v>
      </c>
      <c r="F5710" s="4" t="n">
        <v>29</v>
      </c>
      <c r="G5710" s="4" t="n">
        <v>6</v>
      </c>
      <c r="H5710" s="4" t="n">
        <v>3</v>
      </c>
      <c r="I5710" s="4" t="str">
        <v>○</v>
      </c>
      <c r="J5710" s="4" t="n">
        <v>260</v>
      </c>
      <c r="K5710" s="4"/>
      <c r="L5710" s="4"/>
      <c r="M5710" s="5" t="s">
        <v>4174</v>
      </c>
    </row>
    <row r="5711" customFormat="false" ht="15.75" hidden="false" customHeight="false" outlineLevel="0" collapsed="false">
      <c r="A5711" s="6" t="n">
        <v>46200</v>
      </c>
      <c r="B5711" s="4" t="s">
        <v>1237</v>
      </c>
      <c r="C5711" s="4" t="n">
        <v>4</v>
      </c>
      <c r="D5711" s="4" t="n">
        <v>9</v>
      </c>
      <c r="E5711" s="4" t="s">
        <v>4430</v>
      </c>
      <c r="F5711" s="4" t="n">
        <v>6</v>
      </c>
      <c r="G5711" s="4" t="n">
        <v>14</v>
      </c>
      <c r="H5711" s="4" t="n">
        <v>4</v>
      </c>
      <c r="I5711" s="4" t="str">
        <v>×</v>
      </c>
      <c r="J5711" s="4"/>
      <c r="K5711" s="4"/>
      <c r="L5711" s="4"/>
      <c r="M5711" s="5" t="s">
        <v>4174</v>
      </c>
    </row>
    <row r="5712" customFormat="false" ht="15.75" hidden="false" customHeight="false" outlineLevel="0" collapsed="false">
      <c r="A5712" s="6" t="n">
        <v>46200</v>
      </c>
      <c r="B5712" s="4" t="s">
        <v>1237</v>
      </c>
      <c r="C5712" s="4" t="n">
        <v>4</v>
      </c>
      <c r="D5712" s="4" t="n">
        <v>10</v>
      </c>
      <c r="E5712" s="4" t="s">
        <v>2570</v>
      </c>
      <c r="F5712" s="4" t="n">
        <v>10</v>
      </c>
      <c r="G5712" s="4" t="n">
        <v>11</v>
      </c>
      <c r="H5712" s="4" t="n">
        <v>4</v>
      </c>
      <c r="I5712" s="4" t="str">
        <v>×</v>
      </c>
      <c r="J5712" s="4"/>
      <c r="K5712" s="4"/>
      <c r="L5712" s="4"/>
      <c r="M5712" s="5" t="s">
        <v>4174</v>
      </c>
    </row>
    <row r="5713" customFormat="false" ht="15.75" hidden="false" customHeight="false" outlineLevel="0" collapsed="false">
      <c r="A5713" s="6" t="n">
        <v>46200</v>
      </c>
      <c r="B5713" s="4" t="s">
        <v>1237</v>
      </c>
      <c r="C5713" s="4" t="n">
        <v>4</v>
      </c>
      <c r="D5713" s="4" t="n">
        <v>11</v>
      </c>
      <c r="E5713" s="4" t="s">
        <v>364</v>
      </c>
      <c r="F5713" s="4" t="n">
        <v>52</v>
      </c>
      <c r="G5713" s="4" t="n">
        <v>1</v>
      </c>
      <c r="H5713" s="4" t="n">
        <v>4</v>
      </c>
      <c r="I5713" s="4" t="str">
        <v>×</v>
      </c>
      <c r="J5713" s="4"/>
      <c r="K5713" s="4"/>
      <c r="L5713" s="4"/>
      <c r="M5713" s="5" t="s">
        <v>4174</v>
      </c>
    </row>
    <row r="5714" customFormat="false" ht="15.75" hidden="false" customHeight="false" outlineLevel="0" collapsed="false">
      <c r="A5714" s="6" t="n">
        <v>46200</v>
      </c>
      <c r="B5714" s="4" t="s">
        <v>1237</v>
      </c>
      <c r="C5714" s="4" t="n">
        <v>4</v>
      </c>
      <c r="D5714" s="4" t="n">
        <v>12</v>
      </c>
      <c r="E5714" s="4" t="s">
        <v>4431</v>
      </c>
      <c r="F5714" s="4" t="n">
        <v>17</v>
      </c>
      <c r="G5714" s="4" t="n">
        <v>9</v>
      </c>
      <c r="H5714" s="4" t="n">
        <v>4</v>
      </c>
      <c r="I5714" s="4" t="str">
        <v>×</v>
      </c>
      <c r="J5714" s="4"/>
      <c r="K5714" s="4"/>
      <c r="L5714" s="4"/>
      <c r="M5714" s="5" t="s">
        <v>4174</v>
      </c>
    </row>
    <row r="5715" customFormat="false" ht="15.75" hidden="false" customHeight="false" outlineLevel="0" collapsed="false">
      <c r="A5715" s="6" t="n">
        <v>46200</v>
      </c>
      <c r="B5715" s="4" t="s">
        <v>1237</v>
      </c>
      <c r="C5715" s="4" t="n">
        <v>4</v>
      </c>
      <c r="D5715" s="4" t="n">
        <v>13</v>
      </c>
      <c r="E5715" s="4" t="s">
        <v>384</v>
      </c>
      <c r="F5715" s="4" t="n">
        <v>6</v>
      </c>
      <c r="G5715" s="4" t="n">
        <v>14</v>
      </c>
      <c r="H5715" s="4" t="n">
        <v>2</v>
      </c>
      <c r="I5715" s="4" t="str">
        <v>○</v>
      </c>
      <c r="J5715" s="4" t="n">
        <v>1640</v>
      </c>
      <c r="K5715" s="4"/>
      <c r="L5715" s="4"/>
      <c r="M5715" s="5" t="s">
        <v>4174</v>
      </c>
    </row>
    <row r="5716" customFormat="false" ht="15.75" hidden="false" customHeight="false" outlineLevel="0" collapsed="false">
      <c r="A5716" s="6" t="n">
        <v>46200</v>
      </c>
      <c r="B5716" s="4" t="s">
        <v>1237</v>
      </c>
      <c r="C5716" s="4" t="n">
        <v>4</v>
      </c>
      <c r="D5716" s="4" t="n">
        <v>14</v>
      </c>
      <c r="E5716" s="4" t="s">
        <v>4432</v>
      </c>
      <c r="F5716" s="4" t="n">
        <v>47</v>
      </c>
      <c r="G5716" s="4" t="n">
        <v>2</v>
      </c>
      <c r="H5716" s="4" t="n">
        <v>1</v>
      </c>
      <c r="I5716" s="4" t="str">
        <v>○</v>
      </c>
      <c r="J5716" s="4" t="n">
        <v>190</v>
      </c>
      <c r="K5716" s="4"/>
      <c r="L5716" s="4"/>
      <c r="M5716" s="5" t="s">
        <v>4174</v>
      </c>
    </row>
    <row r="5717" customFormat="false" ht="15.75" hidden="false" customHeight="false" outlineLevel="0" collapsed="false">
      <c r="A5717" s="6" t="n">
        <v>46200</v>
      </c>
      <c r="B5717" s="4" t="s">
        <v>1237</v>
      </c>
      <c r="C5717" s="4" t="n">
        <v>4</v>
      </c>
      <c r="D5717" s="4" t="n">
        <v>15</v>
      </c>
      <c r="E5717" s="4" t="s">
        <v>4433</v>
      </c>
      <c r="F5717" s="4" t="n">
        <v>37</v>
      </c>
      <c r="G5717" s="4" t="n">
        <v>4</v>
      </c>
      <c r="H5717" s="4" t="n">
        <v>4</v>
      </c>
      <c r="I5717" s="4" t="str">
        <v>×</v>
      </c>
      <c r="J5717" s="4"/>
      <c r="K5717" s="4"/>
      <c r="L5717" s="4"/>
      <c r="M5717" s="5" t="s">
        <v>4174</v>
      </c>
    </row>
    <row r="5718" customFormat="false" ht="15.75" hidden="false" customHeight="false" outlineLevel="0" collapsed="false">
      <c r="A5718" s="6" t="n">
        <v>46200</v>
      </c>
      <c r="B5718" s="4" t="s">
        <v>1237</v>
      </c>
      <c r="C5718" s="4" t="n">
        <v>4</v>
      </c>
      <c r="D5718" s="4" t="n">
        <v>16</v>
      </c>
      <c r="E5718" s="4" t="s">
        <v>354</v>
      </c>
      <c r="F5718" s="4" t="n">
        <v>8</v>
      </c>
      <c r="G5718" s="4" t="n">
        <v>12</v>
      </c>
      <c r="H5718" s="4" t="n">
        <v>4</v>
      </c>
      <c r="I5718" s="4" t="str">
        <v>×</v>
      </c>
      <c r="J5718" s="4"/>
      <c r="K5718" s="4"/>
      <c r="L5718" s="4"/>
      <c r="M5718" s="5" t="s">
        <v>4174</v>
      </c>
    </row>
    <row r="5719" customFormat="false" ht="15.75" hidden="false" customHeight="false" outlineLevel="0" collapsed="false">
      <c r="A5719" s="6" t="n">
        <v>46200</v>
      </c>
      <c r="B5719" s="4" t="s">
        <v>1237</v>
      </c>
      <c r="C5719" s="4" t="n">
        <v>5</v>
      </c>
      <c r="D5719" s="4" t="n">
        <v>1</v>
      </c>
      <c r="E5719" s="4" t="s">
        <v>1718</v>
      </c>
      <c r="F5719" s="4" t="n">
        <v>27</v>
      </c>
      <c r="G5719" s="4" t="n">
        <v>3</v>
      </c>
      <c r="H5719" s="4" t="n">
        <v>2</v>
      </c>
      <c r="I5719" s="4" t="str">
        <v>○</v>
      </c>
      <c r="J5719" s="4" t="n">
        <v>110</v>
      </c>
      <c r="K5719" s="4"/>
      <c r="L5719" s="4"/>
      <c r="M5719" s="5" t="s">
        <v>4174</v>
      </c>
    </row>
    <row r="5720" customFormat="false" ht="15.75" hidden="false" customHeight="false" outlineLevel="0" collapsed="false">
      <c r="A5720" s="6" t="n">
        <v>46200</v>
      </c>
      <c r="B5720" s="4" t="s">
        <v>1237</v>
      </c>
      <c r="C5720" s="4" t="n">
        <v>5</v>
      </c>
      <c r="D5720" s="4" t="n">
        <v>2</v>
      </c>
      <c r="E5720" s="4" t="s">
        <v>4434</v>
      </c>
      <c r="F5720" s="4" t="n">
        <v>24</v>
      </c>
      <c r="G5720" s="4" t="n">
        <v>5</v>
      </c>
      <c r="H5720" s="4" t="n">
        <v>4</v>
      </c>
      <c r="I5720" s="4" t="str">
        <v>×</v>
      </c>
      <c r="J5720" s="4"/>
      <c r="K5720" s="4"/>
      <c r="L5720" s="4"/>
      <c r="M5720" s="5" t="s">
        <v>4174</v>
      </c>
    </row>
    <row r="5721" customFormat="false" ht="15.75" hidden="false" customHeight="false" outlineLevel="0" collapsed="false">
      <c r="A5721" s="6" t="n">
        <v>46200</v>
      </c>
      <c r="B5721" s="4" t="s">
        <v>1237</v>
      </c>
      <c r="C5721" s="4" t="n">
        <v>5</v>
      </c>
      <c r="D5721" s="4" t="n">
        <v>3</v>
      </c>
      <c r="E5721" s="4" t="s">
        <v>3243</v>
      </c>
      <c r="F5721" s="4" t="n">
        <v>21</v>
      </c>
      <c r="G5721" s="4" t="n">
        <v>7</v>
      </c>
      <c r="H5721" s="4" t="n">
        <v>4</v>
      </c>
      <c r="I5721" s="4" t="str">
        <v>×</v>
      </c>
      <c r="J5721" s="4"/>
      <c r="K5721" s="4"/>
      <c r="L5721" s="4"/>
      <c r="M5721" s="5" t="s">
        <v>4174</v>
      </c>
    </row>
    <row r="5722" customFormat="false" ht="15.75" hidden="false" customHeight="false" outlineLevel="0" collapsed="false">
      <c r="A5722" s="6" t="n">
        <v>46200</v>
      </c>
      <c r="B5722" s="4" t="s">
        <v>1237</v>
      </c>
      <c r="C5722" s="4" t="n">
        <v>5</v>
      </c>
      <c r="D5722" s="4" t="n">
        <v>4</v>
      </c>
      <c r="E5722" s="4" t="s">
        <v>788</v>
      </c>
      <c r="F5722" s="4" t="n">
        <v>24</v>
      </c>
      <c r="G5722" s="4" t="n">
        <v>5</v>
      </c>
      <c r="H5722" s="4" t="n">
        <v>4</v>
      </c>
      <c r="I5722" s="4" t="str">
        <v>×</v>
      </c>
      <c r="J5722" s="4"/>
      <c r="K5722" s="4"/>
      <c r="L5722" s="4"/>
      <c r="M5722" s="5" t="s">
        <v>4174</v>
      </c>
    </row>
    <row r="5723" customFormat="false" ht="15.75" hidden="false" customHeight="false" outlineLevel="0" collapsed="false">
      <c r="A5723" s="6" t="n">
        <v>46200</v>
      </c>
      <c r="B5723" s="4" t="s">
        <v>1237</v>
      </c>
      <c r="C5723" s="4" t="n">
        <v>5</v>
      </c>
      <c r="D5723" s="4" t="n">
        <v>5</v>
      </c>
      <c r="E5723" s="4" t="s">
        <v>4435</v>
      </c>
      <c r="F5723" s="4" t="n">
        <v>27</v>
      </c>
      <c r="G5723" s="4" t="n">
        <v>3</v>
      </c>
      <c r="H5723" s="4" t="n">
        <v>1</v>
      </c>
      <c r="I5723" s="4" t="str">
        <v>○</v>
      </c>
      <c r="J5723" s="4" t="n">
        <v>110</v>
      </c>
      <c r="K5723" s="4"/>
      <c r="L5723" s="4"/>
      <c r="M5723" s="5" t="s">
        <v>4174</v>
      </c>
    </row>
    <row r="5724" customFormat="false" ht="15.75" hidden="false" customHeight="false" outlineLevel="0" collapsed="false">
      <c r="A5724" s="6" t="n">
        <v>46200</v>
      </c>
      <c r="B5724" s="4" t="s">
        <v>1237</v>
      </c>
      <c r="C5724" s="4" t="n">
        <v>5</v>
      </c>
      <c r="D5724" s="4" t="n">
        <v>6</v>
      </c>
      <c r="E5724" s="4" t="s">
        <v>4436</v>
      </c>
      <c r="F5724" s="4" t="n">
        <v>31</v>
      </c>
      <c r="G5724" s="4" t="n">
        <v>2</v>
      </c>
      <c r="H5724" s="4" t="n">
        <v>4</v>
      </c>
      <c r="I5724" s="4" t="str">
        <v>×</v>
      </c>
      <c r="J5724" s="4"/>
      <c r="K5724" s="4"/>
      <c r="L5724" s="4"/>
      <c r="M5724" s="5" t="s">
        <v>4174</v>
      </c>
    </row>
    <row r="5725" customFormat="false" ht="15.75" hidden="false" customHeight="false" outlineLevel="0" collapsed="false">
      <c r="A5725" s="6" t="n">
        <v>46200</v>
      </c>
      <c r="B5725" s="4" t="s">
        <v>1237</v>
      </c>
      <c r="C5725" s="4" t="n">
        <v>5</v>
      </c>
      <c r="D5725" s="4" t="n">
        <v>7</v>
      </c>
      <c r="E5725" s="4" t="s">
        <v>347</v>
      </c>
      <c r="F5725" s="4" t="n">
        <v>37</v>
      </c>
      <c r="G5725" s="4" t="n">
        <v>1</v>
      </c>
      <c r="H5725" s="4" t="n">
        <v>3</v>
      </c>
      <c r="I5725" s="4" t="str">
        <v>○</v>
      </c>
      <c r="J5725" s="4" t="n">
        <v>110</v>
      </c>
      <c r="K5725" s="4"/>
      <c r="L5725" s="4"/>
      <c r="M5725" s="5" t="s">
        <v>4174</v>
      </c>
    </row>
    <row r="5726" customFormat="false" ht="15.75" hidden="false" customHeight="false" outlineLevel="0" collapsed="false">
      <c r="A5726" s="6" t="n">
        <v>46200</v>
      </c>
      <c r="B5726" s="4" t="s">
        <v>1237</v>
      </c>
      <c r="C5726" s="4" t="n">
        <v>5</v>
      </c>
      <c r="D5726" s="4" t="n">
        <v>8</v>
      </c>
      <c r="E5726" s="4" t="s">
        <v>3242</v>
      </c>
      <c r="F5726" s="4" t="n">
        <v>4</v>
      </c>
      <c r="G5726" s="4" t="n">
        <v>8</v>
      </c>
      <c r="H5726" s="4" t="n">
        <v>4</v>
      </c>
      <c r="I5726" s="4" t="str">
        <v>×</v>
      </c>
      <c r="J5726" s="4"/>
      <c r="K5726" s="4"/>
      <c r="L5726" s="4"/>
      <c r="M5726" s="5" t="s">
        <v>4174</v>
      </c>
    </row>
    <row r="5727" customFormat="false" ht="15.75" hidden="false" customHeight="false" outlineLevel="0" collapsed="false">
      <c r="A5727" s="6" t="n">
        <v>46200</v>
      </c>
      <c r="B5727" s="4" t="s">
        <v>1237</v>
      </c>
      <c r="C5727" s="4" t="n">
        <v>6</v>
      </c>
      <c r="D5727" s="4" t="n">
        <v>1</v>
      </c>
      <c r="E5727" s="4" t="s">
        <v>2582</v>
      </c>
      <c r="F5727" s="4" t="n">
        <v>20</v>
      </c>
      <c r="G5727" s="4" t="n">
        <v>6</v>
      </c>
      <c r="H5727" s="4" t="n">
        <v>4</v>
      </c>
      <c r="I5727" s="4" t="str">
        <v>×</v>
      </c>
      <c r="J5727" s="4"/>
      <c r="K5727" s="4"/>
      <c r="L5727" s="4"/>
      <c r="M5727" s="5" t="s">
        <v>4174</v>
      </c>
    </row>
    <row r="5728" customFormat="false" ht="15.75" hidden="false" customHeight="false" outlineLevel="0" collapsed="false">
      <c r="A5728" s="6" t="n">
        <v>46200</v>
      </c>
      <c r="B5728" s="4" t="s">
        <v>1237</v>
      </c>
      <c r="C5728" s="4" t="n">
        <v>6</v>
      </c>
      <c r="D5728" s="4" t="n">
        <v>2</v>
      </c>
      <c r="E5728" s="4" t="s">
        <v>4437</v>
      </c>
      <c r="F5728" s="4" t="n">
        <v>29</v>
      </c>
      <c r="G5728" s="4" t="n">
        <v>4</v>
      </c>
      <c r="H5728" s="4" t="n">
        <v>4</v>
      </c>
      <c r="I5728" s="4" t="str">
        <v>×</v>
      </c>
      <c r="J5728" s="4"/>
      <c r="K5728" s="4"/>
      <c r="L5728" s="4"/>
      <c r="M5728" s="5" t="s">
        <v>4174</v>
      </c>
    </row>
    <row r="5729" customFormat="false" ht="15.75" hidden="false" customHeight="false" outlineLevel="0" collapsed="false">
      <c r="A5729" s="6" t="n">
        <v>46200</v>
      </c>
      <c r="B5729" s="4" t="s">
        <v>1237</v>
      </c>
      <c r="C5729" s="4" t="n">
        <v>6</v>
      </c>
      <c r="D5729" s="4" t="n">
        <v>3</v>
      </c>
      <c r="E5729" s="4" t="s">
        <v>4438</v>
      </c>
      <c r="F5729" s="4" t="n">
        <v>58</v>
      </c>
      <c r="G5729" s="4" t="n">
        <v>2</v>
      </c>
      <c r="H5729" s="4" t="n">
        <v>4</v>
      </c>
      <c r="I5729" s="4" t="str">
        <v>×</v>
      </c>
      <c r="J5729" s="4"/>
      <c r="K5729" s="4"/>
      <c r="L5729" s="4"/>
      <c r="M5729" s="5" t="s">
        <v>4174</v>
      </c>
    </row>
    <row r="5730" customFormat="false" ht="15.75" hidden="false" customHeight="false" outlineLevel="0" collapsed="false">
      <c r="A5730" s="6" t="n">
        <v>46200</v>
      </c>
      <c r="B5730" s="4" t="s">
        <v>1237</v>
      </c>
      <c r="C5730" s="4" t="n">
        <v>6</v>
      </c>
      <c r="D5730" s="4" t="n">
        <v>4</v>
      </c>
      <c r="E5730" s="4" t="s">
        <v>362</v>
      </c>
      <c r="F5730" s="4" t="n">
        <v>20</v>
      </c>
      <c r="G5730" s="4" t="n">
        <v>6</v>
      </c>
      <c r="H5730" s="4" t="n">
        <v>4</v>
      </c>
      <c r="I5730" s="4" t="str">
        <v>×</v>
      </c>
      <c r="J5730" s="4"/>
      <c r="K5730" s="4"/>
      <c r="L5730" s="4"/>
      <c r="M5730" s="5" t="s">
        <v>4174</v>
      </c>
    </row>
    <row r="5731" customFormat="false" ht="15.75" hidden="false" customHeight="false" outlineLevel="0" collapsed="false">
      <c r="A5731" s="6" t="n">
        <v>46200</v>
      </c>
      <c r="B5731" s="4" t="s">
        <v>1237</v>
      </c>
      <c r="C5731" s="4" t="n">
        <v>6</v>
      </c>
      <c r="D5731" s="4" t="n">
        <v>5</v>
      </c>
      <c r="E5731" s="4" t="s">
        <v>1796</v>
      </c>
      <c r="F5731" s="4" t="n">
        <v>71</v>
      </c>
      <c r="G5731" s="4" t="n">
        <v>1</v>
      </c>
      <c r="H5731" s="4" t="n">
        <v>1</v>
      </c>
      <c r="I5731" s="4" t="str">
        <v>○</v>
      </c>
      <c r="J5731" s="4" t="n">
        <v>170</v>
      </c>
      <c r="K5731" s="4"/>
      <c r="L5731" s="4"/>
      <c r="M5731" s="5" t="s">
        <v>4174</v>
      </c>
    </row>
    <row r="5732" customFormat="false" ht="15.75" hidden="false" customHeight="false" outlineLevel="0" collapsed="false">
      <c r="A5732" s="6" t="n">
        <v>46200</v>
      </c>
      <c r="B5732" s="4" t="s">
        <v>1237</v>
      </c>
      <c r="C5732" s="4" t="n">
        <v>6</v>
      </c>
      <c r="D5732" s="4" t="n">
        <v>6</v>
      </c>
      <c r="E5732" s="4" t="s">
        <v>1288</v>
      </c>
      <c r="F5732" s="4" t="n">
        <v>29</v>
      </c>
      <c r="G5732" s="4" t="n">
        <v>4</v>
      </c>
      <c r="H5732" s="4" t="n">
        <v>4</v>
      </c>
      <c r="I5732" s="4" t="str">
        <v>×</v>
      </c>
      <c r="J5732" s="4"/>
      <c r="K5732" s="4"/>
      <c r="L5732" s="4"/>
      <c r="M5732" s="5" t="s">
        <v>4174</v>
      </c>
    </row>
    <row r="5733" customFormat="false" ht="15.75" hidden="false" customHeight="false" outlineLevel="0" collapsed="false">
      <c r="A5733" s="6" t="n">
        <v>46200</v>
      </c>
      <c r="B5733" s="4" t="s">
        <v>1237</v>
      </c>
      <c r="C5733" s="4" t="n">
        <v>6</v>
      </c>
      <c r="D5733" s="4" t="n">
        <v>7</v>
      </c>
      <c r="E5733" s="4" t="s">
        <v>2576</v>
      </c>
      <c r="F5733" s="4" t="n">
        <v>20</v>
      </c>
      <c r="G5733" s="4" t="n">
        <v>6</v>
      </c>
      <c r="H5733" s="4" t="n">
        <v>4</v>
      </c>
      <c r="I5733" s="4" t="str">
        <v>×</v>
      </c>
      <c r="J5733" s="4"/>
      <c r="K5733" s="4"/>
      <c r="L5733" s="4"/>
      <c r="M5733" s="5" t="s">
        <v>4174</v>
      </c>
    </row>
    <row r="5734" customFormat="false" ht="15.75" hidden="false" customHeight="false" outlineLevel="0" collapsed="false">
      <c r="A5734" s="6" t="n">
        <v>46200</v>
      </c>
      <c r="B5734" s="4" t="s">
        <v>1237</v>
      </c>
      <c r="C5734" s="4" t="n">
        <v>6</v>
      </c>
      <c r="D5734" s="4" t="n">
        <v>8</v>
      </c>
      <c r="E5734" s="4" t="s">
        <v>2182</v>
      </c>
      <c r="F5734" s="4" t="n">
        <v>13</v>
      </c>
      <c r="G5734" s="4" t="n">
        <v>10</v>
      </c>
      <c r="H5734" s="4" t="n">
        <v>3</v>
      </c>
      <c r="I5734" s="4" t="str">
        <v>○</v>
      </c>
      <c r="J5734" s="4" t="n">
        <v>970</v>
      </c>
      <c r="K5734" s="4"/>
      <c r="L5734" s="4"/>
      <c r="M5734" s="5" t="s">
        <v>4174</v>
      </c>
    </row>
    <row r="5735" customFormat="false" ht="15.75" hidden="false" customHeight="false" outlineLevel="0" collapsed="false">
      <c r="A5735" s="6" t="n">
        <v>46200</v>
      </c>
      <c r="B5735" s="4" t="s">
        <v>1237</v>
      </c>
      <c r="C5735" s="4" t="n">
        <v>6</v>
      </c>
      <c r="D5735" s="4" t="n">
        <v>9</v>
      </c>
      <c r="E5735" s="4" t="s">
        <v>802</v>
      </c>
      <c r="F5735" s="4" t="n">
        <v>47</v>
      </c>
      <c r="G5735" s="4" t="n">
        <v>3</v>
      </c>
      <c r="H5735" s="4" t="n">
        <v>2</v>
      </c>
      <c r="I5735" s="4" t="str">
        <v>○</v>
      </c>
      <c r="J5735" s="4" t="n">
        <v>330</v>
      </c>
      <c r="K5735" s="4"/>
      <c r="L5735" s="4"/>
      <c r="M5735" s="5" t="s">
        <v>4174</v>
      </c>
    </row>
    <row r="5736" customFormat="false" ht="15.75" hidden="false" customHeight="false" outlineLevel="0" collapsed="false">
      <c r="A5736" s="6" t="n">
        <v>46200</v>
      </c>
      <c r="B5736" s="4" t="s">
        <v>1237</v>
      </c>
      <c r="C5736" s="4" t="n">
        <v>6</v>
      </c>
      <c r="D5736" s="4" t="n">
        <v>10</v>
      </c>
      <c r="E5736" s="4" t="s">
        <v>4439</v>
      </c>
      <c r="F5736" s="4" t="n">
        <v>17</v>
      </c>
      <c r="G5736" s="4" t="n">
        <v>9</v>
      </c>
      <c r="H5736" s="4" t="n">
        <v>4</v>
      </c>
      <c r="I5736" s="4" t="str">
        <v>×</v>
      </c>
      <c r="J5736" s="4"/>
      <c r="K5736" s="4"/>
      <c r="L5736" s="4"/>
      <c r="M5736" s="5" t="s">
        <v>4174</v>
      </c>
    </row>
    <row r="5737" customFormat="false" ht="15.75" hidden="false" customHeight="false" outlineLevel="0" collapsed="false">
      <c r="A5737" s="6" t="n">
        <v>46200</v>
      </c>
      <c r="B5737" s="4" t="s">
        <v>1237</v>
      </c>
      <c r="C5737" s="4" t="n">
        <v>6</v>
      </c>
      <c r="D5737" s="4" t="n">
        <v>11</v>
      </c>
      <c r="E5737" s="4" t="s">
        <v>2575</v>
      </c>
      <c r="F5737" s="4" t="n">
        <v>10</v>
      </c>
      <c r="G5737" s="4" t="n">
        <v>11</v>
      </c>
      <c r="H5737" s="4" t="n">
        <v>4</v>
      </c>
      <c r="I5737" s="4" t="str">
        <v>×</v>
      </c>
      <c r="J5737" s="4"/>
      <c r="K5737" s="4"/>
      <c r="L5737" s="4"/>
      <c r="M5737" s="5" t="s">
        <v>4174</v>
      </c>
    </row>
    <row r="5738" customFormat="false" ht="15.75" hidden="false" customHeight="false" outlineLevel="0" collapsed="false">
      <c r="A5738" s="6" t="n">
        <v>46200</v>
      </c>
      <c r="B5738" s="4" t="s">
        <v>1237</v>
      </c>
      <c r="C5738" s="4" t="n">
        <v>7</v>
      </c>
      <c r="D5738" s="4" t="n">
        <v>1</v>
      </c>
      <c r="E5738" s="4" t="s">
        <v>4440</v>
      </c>
      <c r="F5738" s="4" t="n">
        <v>17</v>
      </c>
      <c r="G5738" s="4" t="n">
        <v>5</v>
      </c>
      <c r="H5738" s="4" t="n">
        <v>4</v>
      </c>
      <c r="I5738" s="4" t="str">
        <v>×</v>
      </c>
      <c r="J5738" s="4"/>
      <c r="K5738" s="4"/>
      <c r="L5738" s="4"/>
      <c r="M5738" s="5" t="s">
        <v>4174</v>
      </c>
    </row>
    <row r="5739" customFormat="false" ht="15.75" hidden="false" customHeight="false" outlineLevel="0" collapsed="false">
      <c r="A5739" s="6" t="n">
        <v>46200</v>
      </c>
      <c r="B5739" s="4" t="s">
        <v>1237</v>
      </c>
      <c r="C5739" s="4" t="n">
        <v>7</v>
      </c>
      <c r="D5739" s="4" t="n">
        <v>2</v>
      </c>
      <c r="E5739" s="4" t="s">
        <v>63</v>
      </c>
      <c r="F5739" s="4" t="n">
        <v>23</v>
      </c>
      <c r="G5739" s="4" t="n">
        <v>4</v>
      </c>
      <c r="H5739" s="4" t="n">
        <v>4</v>
      </c>
      <c r="I5739" s="4" t="str">
        <v>×</v>
      </c>
      <c r="J5739" s="4"/>
      <c r="K5739" s="4"/>
      <c r="L5739" s="4"/>
      <c r="M5739" s="5" t="s">
        <v>4174</v>
      </c>
    </row>
    <row r="5740" customFormat="false" ht="15.75" hidden="false" customHeight="false" outlineLevel="0" collapsed="false">
      <c r="A5740" s="6" t="n">
        <v>46200</v>
      </c>
      <c r="B5740" s="4" t="s">
        <v>1237</v>
      </c>
      <c r="C5740" s="4" t="n">
        <v>7</v>
      </c>
      <c r="D5740" s="4" t="n">
        <v>3</v>
      </c>
      <c r="E5740" s="4" t="s">
        <v>2962</v>
      </c>
      <c r="F5740" s="4" t="n">
        <v>17</v>
      </c>
      <c r="G5740" s="4" t="n">
        <v>5</v>
      </c>
      <c r="H5740" s="4" t="n">
        <v>4</v>
      </c>
      <c r="I5740" s="4" t="str">
        <v>×</v>
      </c>
      <c r="J5740" s="4"/>
      <c r="K5740" s="4"/>
      <c r="L5740" s="4"/>
      <c r="M5740" s="5" t="s">
        <v>4174</v>
      </c>
    </row>
    <row r="5741" customFormat="false" ht="15.75" hidden="false" customHeight="false" outlineLevel="0" collapsed="false">
      <c r="A5741" s="6" t="n">
        <v>46200</v>
      </c>
      <c r="B5741" s="4" t="s">
        <v>1237</v>
      </c>
      <c r="C5741" s="4" t="n">
        <v>7</v>
      </c>
      <c r="D5741" s="4" t="n">
        <v>4</v>
      </c>
      <c r="E5741" s="4" t="s">
        <v>1334</v>
      </c>
      <c r="F5741" s="4" t="n">
        <v>58</v>
      </c>
      <c r="G5741" s="4" t="n">
        <v>2</v>
      </c>
      <c r="H5741" s="4" t="n">
        <v>4</v>
      </c>
      <c r="I5741" s="4" t="str">
        <v>×</v>
      </c>
      <c r="J5741" s="4"/>
      <c r="K5741" s="4"/>
      <c r="L5741" s="4"/>
      <c r="M5741" s="5" t="s">
        <v>4174</v>
      </c>
    </row>
    <row r="5742" customFormat="false" ht="15.75" hidden="false" customHeight="false" outlineLevel="0" collapsed="false">
      <c r="A5742" s="6" t="n">
        <v>46200</v>
      </c>
      <c r="B5742" s="4" t="s">
        <v>1237</v>
      </c>
      <c r="C5742" s="4" t="n">
        <v>7</v>
      </c>
      <c r="D5742" s="4" t="n">
        <v>5</v>
      </c>
      <c r="E5742" s="4" t="s">
        <v>1345</v>
      </c>
      <c r="F5742" s="4" t="n">
        <v>17</v>
      </c>
      <c r="G5742" s="4" t="n">
        <v>5</v>
      </c>
      <c r="H5742" s="4" t="n">
        <v>3</v>
      </c>
      <c r="I5742" s="4" t="str">
        <v>○</v>
      </c>
      <c r="J5742" s="4" t="n">
        <v>350</v>
      </c>
      <c r="K5742" s="4"/>
      <c r="L5742" s="4"/>
      <c r="M5742" s="5" t="s">
        <v>4174</v>
      </c>
    </row>
    <row r="5743" customFormat="false" ht="15.75" hidden="false" customHeight="false" outlineLevel="0" collapsed="false">
      <c r="A5743" s="6" t="n">
        <v>46200</v>
      </c>
      <c r="B5743" s="4" t="s">
        <v>1237</v>
      </c>
      <c r="C5743" s="4" t="n">
        <v>7</v>
      </c>
      <c r="D5743" s="4" t="n">
        <v>6</v>
      </c>
      <c r="E5743" s="4" t="s">
        <v>1337</v>
      </c>
      <c r="F5743" s="4" t="n">
        <v>41</v>
      </c>
      <c r="G5743" s="4" t="n">
        <v>3</v>
      </c>
      <c r="H5743" s="4" t="n">
        <v>4</v>
      </c>
      <c r="I5743" s="4" t="str">
        <v>×</v>
      </c>
      <c r="J5743" s="4"/>
      <c r="K5743" s="4"/>
      <c r="L5743" s="4"/>
      <c r="M5743" s="5" t="s">
        <v>4174</v>
      </c>
    </row>
    <row r="5744" customFormat="false" ht="15.75" hidden="false" customHeight="false" outlineLevel="0" collapsed="false">
      <c r="A5744" s="6" t="n">
        <v>46200</v>
      </c>
      <c r="B5744" s="4" t="s">
        <v>1237</v>
      </c>
      <c r="C5744" s="4" t="n">
        <v>7</v>
      </c>
      <c r="D5744" s="4" t="n">
        <v>7</v>
      </c>
      <c r="E5744" s="4" t="s">
        <v>4441</v>
      </c>
      <c r="F5744" s="4" t="n">
        <v>17</v>
      </c>
      <c r="G5744" s="4" t="n">
        <v>5</v>
      </c>
      <c r="H5744" s="4" t="n">
        <v>4</v>
      </c>
      <c r="I5744" s="4" t="str">
        <v>×</v>
      </c>
      <c r="J5744" s="4"/>
      <c r="K5744" s="4"/>
      <c r="L5744" s="4"/>
      <c r="M5744" s="5" t="s">
        <v>4174</v>
      </c>
    </row>
    <row r="5745" customFormat="false" ht="15.75" hidden="false" customHeight="false" outlineLevel="0" collapsed="false">
      <c r="A5745" s="6" t="n">
        <v>46200</v>
      </c>
      <c r="B5745" s="4" t="s">
        <v>1237</v>
      </c>
      <c r="C5745" s="4" t="n">
        <v>7</v>
      </c>
      <c r="D5745" s="4" t="n">
        <v>8</v>
      </c>
      <c r="E5745" s="4" t="s">
        <v>2227</v>
      </c>
      <c r="F5745" s="4" t="n">
        <v>10</v>
      </c>
      <c r="G5745" s="4" t="n">
        <v>10</v>
      </c>
      <c r="H5745" s="4" t="n">
        <v>2</v>
      </c>
      <c r="I5745" s="4" t="str">
        <v>○</v>
      </c>
      <c r="J5745" s="4" t="n">
        <v>320</v>
      </c>
      <c r="K5745" s="4"/>
      <c r="L5745" s="4"/>
      <c r="M5745" s="5" t="s">
        <v>4174</v>
      </c>
    </row>
    <row r="5746" customFormat="false" ht="15.75" hidden="false" customHeight="false" outlineLevel="0" collapsed="false">
      <c r="A5746" s="6" t="n">
        <v>46200</v>
      </c>
      <c r="B5746" s="4" t="s">
        <v>1237</v>
      </c>
      <c r="C5746" s="4" t="n">
        <v>7</v>
      </c>
      <c r="D5746" s="4" t="n">
        <v>9</v>
      </c>
      <c r="E5746" s="4" t="s">
        <v>2242</v>
      </c>
      <c r="F5746" s="4" t="n">
        <v>17</v>
      </c>
      <c r="G5746" s="4" t="n">
        <v>5</v>
      </c>
      <c r="H5746" s="4" t="n">
        <v>4</v>
      </c>
      <c r="I5746" s="4" t="str">
        <v>×</v>
      </c>
      <c r="J5746" s="4"/>
      <c r="K5746" s="4"/>
      <c r="L5746" s="4"/>
      <c r="M5746" s="5" t="s">
        <v>4174</v>
      </c>
    </row>
    <row r="5747" customFormat="false" ht="15.75" hidden="false" customHeight="false" outlineLevel="0" collapsed="false">
      <c r="A5747" s="6" t="n">
        <v>46200</v>
      </c>
      <c r="B5747" s="4" t="s">
        <v>1237</v>
      </c>
      <c r="C5747" s="4" t="n">
        <v>7</v>
      </c>
      <c r="D5747" s="4" t="n">
        <v>10</v>
      </c>
      <c r="E5747" s="4" t="s">
        <v>4442</v>
      </c>
      <c r="F5747" s="4" t="n">
        <v>8</v>
      </c>
      <c r="G5747" s="4" t="n">
        <v>11</v>
      </c>
      <c r="H5747" s="4" t="n">
        <v>4</v>
      </c>
      <c r="I5747" s="4" t="str">
        <v>×</v>
      </c>
      <c r="J5747" s="4"/>
      <c r="K5747" s="4"/>
      <c r="L5747" s="4"/>
      <c r="M5747" s="5" t="s">
        <v>4174</v>
      </c>
    </row>
    <row r="5748" customFormat="false" ht="15.75" hidden="false" customHeight="false" outlineLevel="0" collapsed="false">
      <c r="A5748" s="6" t="n">
        <v>46200</v>
      </c>
      <c r="B5748" s="4" t="s">
        <v>1237</v>
      </c>
      <c r="C5748" s="4" t="n">
        <v>7</v>
      </c>
      <c r="D5748" s="4" t="n">
        <v>11</v>
      </c>
      <c r="E5748" s="4" t="s">
        <v>4443</v>
      </c>
      <c r="F5748" s="4" t="n">
        <v>67</v>
      </c>
      <c r="G5748" s="4" t="n">
        <v>1</v>
      </c>
      <c r="H5748" s="4" t="n">
        <v>1</v>
      </c>
      <c r="I5748" s="4" t="str">
        <v>○</v>
      </c>
      <c r="J5748" s="4" t="n">
        <v>130</v>
      </c>
      <c r="K5748" s="4"/>
      <c r="L5748" s="4"/>
      <c r="M5748" s="5" t="s">
        <v>4174</v>
      </c>
    </row>
    <row r="5749" customFormat="false" ht="15.75" hidden="false" customHeight="false" outlineLevel="0" collapsed="false">
      <c r="A5749" s="6" t="n">
        <v>46200</v>
      </c>
      <c r="B5749" s="4" t="s">
        <v>1237</v>
      </c>
      <c r="C5749" s="4" t="n">
        <v>8</v>
      </c>
      <c r="D5749" s="4" t="n">
        <v>1</v>
      </c>
      <c r="E5749" s="4" t="s">
        <v>2655</v>
      </c>
      <c r="F5749" s="4" t="n">
        <v>86</v>
      </c>
      <c r="G5749" s="4" t="n">
        <v>1</v>
      </c>
      <c r="H5749" s="4" t="n">
        <v>1</v>
      </c>
      <c r="I5749" s="4" t="str">
        <v>○</v>
      </c>
      <c r="J5749" s="4" t="n">
        <v>140</v>
      </c>
      <c r="K5749" s="4"/>
      <c r="L5749" s="4"/>
      <c r="M5749" s="5" t="s">
        <v>4174</v>
      </c>
    </row>
    <row r="5750" customFormat="false" ht="15.75" hidden="false" customHeight="false" outlineLevel="0" collapsed="false">
      <c r="A5750" s="6" t="n">
        <v>46200</v>
      </c>
      <c r="B5750" s="4" t="s">
        <v>1237</v>
      </c>
      <c r="C5750" s="4" t="n">
        <v>8</v>
      </c>
      <c r="D5750" s="4" t="n">
        <v>2</v>
      </c>
      <c r="E5750" s="4" t="s">
        <v>1814</v>
      </c>
      <c r="F5750" s="4" t="n">
        <v>31</v>
      </c>
      <c r="G5750" s="4" t="n">
        <v>4</v>
      </c>
      <c r="H5750" s="4" t="n">
        <v>3</v>
      </c>
      <c r="I5750" s="4" t="str">
        <v>○</v>
      </c>
      <c r="J5750" s="4" t="n">
        <v>220</v>
      </c>
      <c r="K5750" s="4"/>
      <c r="L5750" s="4"/>
      <c r="M5750" s="5" t="s">
        <v>4174</v>
      </c>
    </row>
    <row r="5751" customFormat="false" ht="15.75" hidden="false" customHeight="false" outlineLevel="0" collapsed="false">
      <c r="A5751" s="6" t="n">
        <v>46200</v>
      </c>
      <c r="B5751" s="4" t="s">
        <v>1237</v>
      </c>
      <c r="C5751" s="4" t="n">
        <v>8</v>
      </c>
      <c r="D5751" s="4" t="n">
        <v>3</v>
      </c>
      <c r="E5751" s="4" t="s">
        <v>4444</v>
      </c>
      <c r="F5751" s="4" t="n">
        <v>6</v>
      </c>
      <c r="G5751" s="4" t="n">
        <v>10</v>
      </c>
      <c r="H5751" s="4" t="n">
        <v>4</v>
      </c>
      <c r="I5751" s="4" t="str">
        <v>×</v>
      </c>
      <c r="J5751" s="4"/>
      <c r="K5751" s="4"/>
      <c r="L5751" s="4"/>
      <c r="M5751" s="5" t="s">
        <v>4174</v>
      </c>
    </row>
    <row r="5752" customFormat="false" ht="15.75" hidden="false" customHeight="false" outlineLevel="0" collapsed="false">
      <c r="A5752" s="6" t="n">
        <v>46200</v>
      </c>
      <c r="B5752" s="4" t="s">
        <v>1237</v>
      </c>
      <c r="C5752" s="4" t="n">
        <v>8</v>
      </c>
      <c r="D5752" s="4" t="n">
        <v>4</v>
      </c>
      <c r="E5752" s="4" t="s">
        <v>4445</v>
      </c>
      <c r="F5752" s="4" t="n">
        <v>15</v>
      </c>
      <c r="G5752" s="4" t="n">
        <v>7</v>
      </c>
      <c r="H5752" s="4" t="n">
        <v>2</v>
      </c>
      <c r="I5752" s="4" t="str">
        <v>○</v>
      </c>
      <c r="J5752" s="4" t="n">
        <v>270</v>
      </c>
      <c r="K5752" s="4"/>
      <c r="L5752" s="4"/>
      <c r="M5752" s="5" t="s">
        <v>4174</v>
      </c>
    </row>
    <row r="5753" customFormat="false" ht="15.75" hidden="false" customHeight="false" outlineLevel="0" collapsed="false">
      <c r="A5753" s="6" t="n">
        <v>46200</v>
      </c>
      <c r="B5753" s="4" t="s">
        <v>1237</v>
      </c>
      <c r="C5753" s="4" t="n">
        <v>8</v>
      </c>
      <c r="D5753" s="4" t="n">
        <v>5</v>
      </c>
      <c r="E5753" s="4" t="s">
        <v>4446</v>
      </c>
      <c r="F5753" s="4" t="n">
        <v>4</v>
      </c>
      <c r="G5753" s="4" t="n">
        <v>11</v>
      </c>
      <c r="H5753" s="4" t="n">
        <v>4</v>
      </c>
      <c r="I5753" s="4" t="str">
        <v>×</v>
      </c>
      <c r="J5753" s="4"/>
      <c r="K5753" s="4"/>
      <c r="L5753" s="4"/>
      <c r="M5753" s="5" t="s">
        <v>4174</v>
      </c>
    </row>
    <row r="5754" customFormat="false" ht="15.75" hidden="false" customHeight="false" outlineLevel="0" collapsed="false">
      <c r="A5754" s="6" t="n">
        <v>46200</v>
      </c>
      <c r="B5754" s="4" t="s">
        <v>1237</v>
      </c>
      <c r="C5754" s="4" t="n">
        <v>8</v>
      </c>
      <c r="D5754" s="4" t="n">
        <v>6</v>
      </c>
      <c r="E5754" s="4" t="s">
        <v>2273</v>
      </c>
      <c r="F5754" s="4" t="n">
        <v>10</v>
      </c>
      <c r="G5754" s="4" t="n">
        <v>8</v>
      </c>
      <c r="H5754" s="4" t="n">
        <v>4</v>
      </c>
      <c r="I5754" s="4" t="str">
        <v>×</v>
      </c>
      <c r="J5754" s="4"/>
      <c r="K5754" s="4"/>
      <c r="L5754" s="4"/>
      <c r="M5754" s="5" t="s">
        <v>4174</v>
      </c>
    </row>
    <row r="5755" customFormat="false" ht="15.75" hidden="false" customHeight="false" outlineLevel="0" collapsed="false">
      <c r="A5755" s="6" t="n">
        <v>46200</v>
      </c>
      <c r="B5755" s="4" t="s">
        <v>1237</v>
      </c>
      <c r="C5755" s="4" t="n">
        <v>8</v>
      </c>
      <c r="D5755" s="4" t="n">
        <v>7</v>
      </c>
      <c r="E5755" s="4" t="s">
        <v>4447</v>
      </c>
      <c r="F5755" s="4" t="n">
        <v>50</v>
      </c>
      <c r="G5755" s="4" t="n">
        <v>2</v>
      </c>
      <c r="H5755" s="4" t="n">
        <v>4</v>
      </c>
      <c r="I5755" s="4" t="str">
        <v>×</v>
      </c>
      <c r="J5755" s="4"/>
      <c r="K5755" s="4"/>
      <c r="L5755" s="4"/>
      <c r="M5755" s="5" t="s">
        <v>4174</v>
      </c>
    </row>
    <row r="5756" customFormat="false" ht="15.75" hidden="false" customHeight="false" outlineLevel="0" collapsed="false">
      <c r="A5756" s="6" t="n">
        <v>46200</v>
      </c>
      <c r="B5756" s="4" t="s">
        <v>1237</v>
      </c>
      <c r="C5756" s="4" t="n">
        <v>8</v>
      </c>
      <c r="D5756" s="4" t="n">
        <v>8</v>
      </c>
      <c r="E5756" s="4" t="s">
        <v>4448</v>
      </c>
      <c r="F5756" s="4" t="n">
        <v>8</v>
      </c>
      <c r="G5756" s="4" t="n">
        <v>9</v>
      </c>
      <c r="H5756" s="4" t="n">
        <v>4</v>
      </c>
      <c r="I5756" s="4" t="str">
        <v>×</v>
      </c>
      <c r="J5756" s="4"/>
      <c r="K5756" s="4"/>
      <c r="L5756" s="4"/>
      <c r="M5756" s="5" t="s">
        <v>4174</v>
      </c>
    </row>
    <row r="5757" customFormat="false" ht="15.75" hidden="false" customHeight="false" outlineLevel="0" collapsed="false">
      <c r="A5757" s="6" t="n">
        <v>46200</v>
      </c>
      <c r="B5757" s="4" t="s">
        <v>1237</v>
      </c>
      <c r="C5757" s="4" t="n">
        <v>8</v>
      </c>
      <c r="D5757" s="4" t="n">
        <v>9</v>
      </c>
      <c r="E5757" s="4" t="s">
        <v>2275</v>
      </c>
      <c r="F5757" s="4" t="n">
        <v>31</v>
      </c>
      <c r="G5757" s="4" t="n">
        <v>4</v>
      </c>
      <c r="H5757" s="4" t="n">
        <v>4</v>
      </c>
      <c r="I5757" s="4" t="str">
        <v>×</v>
      </c>
      <c r="J5757" s="4"/>
      <c r="K5757" s="4"/>
      <c r="L5757" s="4"/>
      <c r="M5757" s="5" t="s">
        <v>4174</v>
      </c>
    </row>
    <row r="5758" customFormat="false" ht="15.75" hidden="false" customHeight="false" outlineLevel="0" collapsed="false">
      <c r="A5758" s="6" t="n">
        <v>46200</v>
      </c>
      <c r="B5758" s="4" t="s">
        <v>1237</v>
      </c>
      <c r="C5758" s="4" t="n">
        <v>8</v>
      </c>
      <c r="D5758" s="4" t="n">
        <v>10</v>
      </c>
      <c r="E5758" s="4" t="s">
        <v>4449</v>
      </c>
      <c r="F5758" s="4" t="n">
        <v>25</v>
      </c>
      <c r="G5758" s="4" t="n">
        <v>6</v>
      </c>
      <c r="H5758" s="4" t="n">
        <v>4</v>
      </c>
      <c r="I5758" s="4" t="str">
        <v>×</v>
      </c>
      <c r="J5758" s="4"/>
      <c r="K5758" s="4"/>
      <c r="L5758" s="4"/>
      <c r="M5758" s="5" t="s">
        <v>4174</v>
      </c>
    </row>
    <row r="5759" customFormat="false" ht="15.75" hidden="false" customHeight="false" outlineLevel="0" collapsed="false">
      <c r="A5759" s="6" t="n">
        <v>46200</v>
      </c>
      <c r="B5759" s="4" t="s">
        <v>1237</v>
      </c>
      <c r="C5759" s="4" t="n">
        <v>8</v>
      </c>
      <c r="D5759" s="4" t="n">
        <v>11</v>
      </c>
      <c r="E5759" s="4" t="s">
        <v>2276</v>
      </c>
      <c r="F5759" s="4" t="n">
        <v>37</v>
      </c>
      <c r="G5759" s="4" t="n">
        <v>3</v>
      </c>
      <c r="H5759" s="4" t="n">
        <v>4</v>
      </c>
      <c r="I5759" s="4" t="str">
        <v>×</v>
      </c>
      <c r="J5759" s="4"/>
      <c r="K5759" s="4"/>
      <c r="L5759" s="4"/>
      <c r="M5759" s="5" t="s">
        <v>4174</v>
      </c>
    </row>
    <row r="5760" customFormat="false" ht="15.75" hidden="false" customHeight="false" outlineLevel="0" collapsed="false">
      <c r="A5760" s="6" t="n">
        <v>46200</v>
      </c>
      <c r="B5760" s="4" t="s">
        <v>1237</v>
      </c>
      <c r="C5760" s="4" t="n">
        <v>9</v>
      </c>
      <c r="D5760" s="4" t="n">
        <v>1</v>
      </c>
      <c r="E5760" s="4" t="s">
        <v>4450</v>
      </c>
      <c r="F5760" s="4" t="n">
        <v>13</v>
      </c>
      <c r="G5760" s="4" t="n">
        <v>6</v>
      </c>
      <c r="H5760" s="4" t="n">
        <v>4</v>
      </c>
      <c r="I5760" s="4" t="str">
        <v>×</v>
      </c>
      <c r="J5760" s="4"/>
      <c r="K5760" s="4"/>
      <c r="L5760" s="4"/>
      <c r="M5760" s="5" t="s">
        <v>4174</v>
      </c>
    </row>
    <row r="5761" customFormat="false" ht="15.75" hidden="false" customHeight="false" outlineLevel="0" collapsed="false">
      <c r="A5761" s="6" t="n">
        <v>46200</v>
      </c>
      <c r="B5761" s="4" t="s">
        <v>1237</v>
      </c>
      <c r="C5761" s="4" t="n">
        <v>9</v>
      </c>
      <c r="D5761" s="4" t="n">
        <v>2</v>
      </c>
      <c r="E5761" s="4" t="s">
        <v>4150</v>
      </c>
      <c r="F5761" s="4" t="n">
        <v>8</v>
      </c>
      <c r="G5761" s="4" t="n">
        <v>8</v>
      </c>
      <c r="H5761" s="4" t="n">
        <v>4</v>
      </c>
      <c r="I5761" s="4" t="str">
        <v>×</v>
      </c>
      <c r="J5761" s="4"/>
      <c r="K5761" s="4"/>
      <c r="L5761" s="4"/>
      <c r="M5761" s="5" t="s">
        <v>4174</v>
      </c>
    </row>
    <row r="5762" customFormat="false" ht="15.75" hidden="false" customHeight="false" outlineLevel="0" collapsed="false">
      <c r="A5762" s="6" t="n">
        <v>46200</v>
      </c>
      <c r="B5762" s="4" t="s">
        <v>1237</v>
      </c>
      <c r="C5762" s="4" t="n">
        <v>9</v>
      </c>
      <c r="D5762" s="4" t="n">
        <v>3</v>
      </c>
      <c r="E5762" s="4" t="s">
        <v>4451</v>
      </c>
      <c r="F5762" s="4" t="n">
        <v>25</v>
      </c>
      <c r="G5762" s="4" t="n">
        <v>5</v>
      </c>
      <c r="H5762" s="4" t="n">
        <v>3</v>
      </c>
      <c r="I5762" s="4" t="str">
        <v>○</v>
      </c>
      <c r="J5762" s="4" t="n">
        <v>150</v>
      </c>
      <c r="K5762" s="4"/>
      <c r="L5762" s="4"/>
      <c r="M5762" s="5" t="s">
        <v>4174</v>
      </c>
    </row>
    <row r="5763" customFormat="false" ht="15.75" hidden="false" customHeight="false" outlineLevel="0" collapsed="false">
      <c r="A5763" s="6" t="n">
        <v>46200</v>
      </c>
      <c r="B5763" s="4" t="s">
        <v>1237</v>
      </c>
      <c r="C5763" s="4" t="n">
        <v>9</v>
      </c>
      <c r="D5763" s="4" t="n">
        <v>4</v>
      </c>
      <c r="E5763" s="4" t="s">
        <v>3314</v>
      </c>
      <c r="F5763" s="4" t="n">
        <v>58</v>
      </c>
      <c r="G5763" s="4" t="n">
        <v>1</v>
      </c>
      <c r="H5763" s="4" t="n">
        <v>2</v>
      </c>
      <c r="I5763" s="4" t="str">
        <v>○</v>
      </c>
      <c r="J5763" s="4" t="n">
        <v>120</v>
      </c>
      <c r="K5763" s="4"/>
      <c r="L5763" s="4"/>
      <c r="M5763" s="5" t="s">
        <v>4174</v>
      </c>
    </row>
    <row r="5764" customFormat="false" ht="15.75" hidden="false" customHeight="false" outlineLevel="0" collapsed="false">
      <c r="A5764" s="6" t="n">
        <v>46200</v>
      </c>
      <c r="B5764" s="4" t="s">
        <v>1237</v>
      </c>
      <c r="C5764" s="4" t="n">
        <v>9</v>
      </c>
      <c r="D5764" s="4" t="n">
        <v>5</v>
      </c>
      <c r="E5764" s="4" t="s">
        <v>868</v>
      </c>
      <c r="F5764" s="4" t="n">
        <v>4</v>
      </c>
      <c r="G5764" s="4" t="n">
        <v>9</v>
      </c>
      <c r="H5764" s="4" t="n">
        <v>4</v>
      </c>
      <c r="I5764" s="4" t="str">
        <v>×</v>
      </c>
      <c r="J5764" s="4"/>
      <c r="K5764" s="4"/>
      <c r="L5764" s="4"/>
      <c r="M5764" s="5" t="s">
        <v>4174</v>
      </c>
    </row>
    <row r="5765" customFormat="false" ht="15.75" hidden="false" customHeight="false" outlineLevel="0" collapsed="false">
      <c r="A5765" s="6" t="n">
        <v>46200</v>
      </c>
      <c r="B5765" s="4" t="s">
        <v>1237</v>
      </c>
      <c r="C5765" s="4" t="n">
        <v>9</v>
      </c>
      <c r="D5765" s="4" t="n">
        <v>6</v>
      </c>
      <c r="E5765" s="4" t="s">
        <v>4247</v>
      </c>
      <c r="F5765" s="4" t="n">
        <v>44</v>
      </c>
      <c r="G5765" s="4" t="n">
        <v>3</v>
      </c>
      <c r="H5765" s="4" t="n">
        <v>4</v>
      </c>
      <c r="I5765" s="4" t="str">
        <v>×</v>
      </c>
      <c r="J5765" s="4"/>
      <c r="K5765" s="4"/>
      <c r="L5765" s="4"/>
      <c r="M5765" s="5" t="s">
        <v>4174</v>
      </c>
    </row>
    <row r="5766" customFormat="false" ht="15.75" hidden="false" customHeight="false" outlineLevel="0" collapsed="false">
      <c r="A5766" s="6" t="n">
        <v>46200</v>
      </c>
      <c r="B5766" s="4" t="s">
        <v>1237</v>
      </c>
      <c r="C5766" s="4" t="n">
        <v>9</v>
      </c>
      <c r="D5766" s="4" t="n">
        <v>7</v>
      </c>
      <c r="E5766" s="4" t="s">
        <v>4452</v>
      </c>
      <c r="F5766" s="4" t="n">
        <v>50</v>
      </c>
      <c r="G5766" s="4" t="n">
        <v>2</v>
      </c>
      <c r="H5766" s="4" t="n">
        <v>1</v>
      </c>
      <c r="I5766" s="4" t="str">
        <v>○</v>
      </c>
      <c r="J5766" s="4" t="n">
        <v>120</v>
      </c>
      <c r="K5766" s="4"/>
      <c r="L5766" s="4"/>
      <c r="M5766" s="5" t="s">
        <v>4174</v>
      </c>
    </row>
    <row r="5767" customFormat="false" ht="15.75" hidden="false" customHeight="false" outlineLevel="0" collapsed="false">
      <c r="A5767" s="6" t="n">
        <v>46200</v>
      </c>
      <c r="B5767" s="4" t="s">
        <v>1237</v>
      </c>
      <c r="C5767" s="4" t="n">
        <v>9</v>
      </c>
      <c r="D5767" s="4" t="n">
        <v>8</v>
      </c>
      <c r="E5767" s="4" t="s">
        <v>398</v>
      </c>
      <c r="F5767" s="4" t="n">
        <v>41</v>
      </c>
      <c r="G5767" s="4" t="n">
        <v>4</v>
      </c>
      <c r="H5767" s="4" t="n">
        <v>4</v>
      </c>
      <c r="I5767" s="4" t="str">
        <v>×</v>
      </c>
      <c r="J5767" s="4"/>
      <c r="K5767" s="4"/>
      <c r="L5767" s="4"/>
      <c r="M5767" s="5" t="s">
        <v>4174</v>
      </c>
    </row>
    <row r="5768" customFormat="false" ht="15.75" hidden="false" customHeight="false" outlineLevel="0" collapsed="false">
      <c r="A5768" s="6" t="n">
        <v>46200</v>
      </c>
      <c r="B5768" s="4" t="s">
        <v>1237</v>
      </c>
      <c r="C5768" s="4" t="n">
        <v>9</v>
      </c>
      <c r="D5768" s="4" t="n">
        <v>9</v>
      </c>
      <c r="E5768" s="4" t="s">
        <v>2671</v>
      </c>
      <c r="F5768" s="4" t="n">
        <v>13</v>
      </c>
      <c r="G5768" s="4" t="n">
        <v>6</v>
      </c>
      <c r="H5768" s="4" t="n">
        <v>4</v>
      </c>
      <c r="I5768" s="4" t="str">
        <v>×</v>
      </c>
      <c r="J5768" s="4"/>
      <c r="K5768" s="4"/>
      <c r="L5768" s="4"/>
      <c r="M5768" s="5" t="s">
        <v>4174</v>
      </c>
    </row>
    <row r="5769" customFormat="false" ht="15.75" hidden="false" customHeight="false" outlineLevel="0" collapsed="false">
      <c r="A5769" s="6" t="n">
        <v>46200</v>
      </c>
      <c r="B5769" s="4" t="s">
        <v>1237</v>
      </c>
      <c r="C5769" s="4" t="n">
        <v>10</v>
      </c>
      <c r="D5769" s="4" t="n">
        <v>1</v>
      </c>
      <c r="E5769" s="4" t="s">
        <v>1824</v>
      </c>
      <c r="F5769" s="4" t="n">
        <v>58</v>
      </c>
      <c r="G5769" s="4" t="n">
        <v>1</v>
      </c>
      <c r="H5769" s="4" t="n">
        <v>4</v>
      </c>
      <c r="I5769" s="4" t="str">
        <v>×</v>
      </c>
      <c r="J5769" s="4"/>
      <c r="K5769" s="4"/>
      <c r="L5769" s="4"/>
      <c r="M5769" s="5" t="s">
        <v>4174</v>
      </c>
    </row>
    <row r="5770" customFormat="false" ht="15.75" hidden="false" customHeight="false" outlineLevel="0" collapsed="false">
      <c r="A5770" s="6" t="n">
        <v>46200</v>
      </c>
      <c r="B5770" s="4" t="s">
        <v>1237</v>
      </c>
      <c r="C5770" s="4" t="n">
        <v>10</v>
      </c>
      <c r="D5770" s="4" t="n">
        <v>2</v>
      </c>
      <c r="E5770" s="4" t="s">
        <v>2646</v>
      </c>
      <c r="F5770" s="4" t="n">
        <v>23</v>
      </c>
      <c r="G5770" s="4" t="n">
        <v>4</v>
      </c>
      <c r="H5770" s="4" t="n">
        <v>2</v>
      </c>
      <c r="I5770" s="4" t="str">
        <v>○</v>
      </c>
      <c r="J5770" s="4" t="n">
        <v>450</v>
      </c>
      <c r="K5770" s="4"/>
      <c r="L5770" s="4"/>
      <c r="M5770" s="5" t="s">
        <v>4174</v>
      </c>
    </row>
    <row r="5771" customFormat="false" ht="15.75" hidden="false" customHeight="false" outlineLevel="0" collapsed="false">
      <c r="A5771" s="6" t="n">
        <v>46200</v>
      </c>
      <c r="B5771" s="4" t="s">
        <v>1237</v>
      </c>
      <c r="C5771" s="4" t="n">
        <v>10</v>
      </c>
      <c r="D5771" s="4" t="n">
        <v>3</v>
      </c>
      <c r="E5771" s="4" t="s">
        <v>3872</v>
      </c>
      <c r="F5771" s="4" t="n">
        <v>17</v>
      </c>
      <c r="G5771" s="4" t="n">
        <v>5</v>
      </c>
      <c r="H5771" s="4" t="n">
        <v>1</v>
      </c>
      <c r="I5771" s="4" t="str">
        <v>○</v>
      </c>
      <c r="J5771" s="4" t="n">
        <v>210</v>
      </c>
      <c r="K5771" s="4"/>
      <c r="L5771" s="4"/>
      <c r="M5771" s="5" t="s">
        <v>4174</v>
      </c>
    </row>
    <row r="5772" customFormat="false" ht="15.75" hidden="false" customHeight="false" outlineLevel="0" collapsed="false">
      <c r="A5772" s="6" t="n">
        <v>46200</v>
      </c>
      <c r="B5772" s="4" t="s">
        <v>1237</v>
      </c>
      <c r="C5772" s="4" t="n">
        <v>10</v>
      </c>
      <c r="D5772" s="4" t="n">
        <v>4</v>
      </c>
      <c r="E5772" s="4" t="s">
        <v>2639</v>
      </c>
      <c r="F5772" s="4" t="n">
        <v>50</v>
      </c>
      <c r="G5772" s="4" t="n">
        <v>2</v>
      </c>
      <c r="H5772" s="4" t="n">
        <v>4</v>
      </c>
      <c r="I5772" s="4" t="str">
        <v>×</v>
      </c>
      <c r="J5772" s="4"/>
      <c r="K5772" s="4"/>
      <c r="L5772" s="4"/>
      <c r="M5772" s="5" t="s">
        <v>4174</v>
      </c>
    </row>
    <row r="5773" customFormat="false" ht="15.75" hidden="false" customHeight="false" outlineLevel="0" collapsed="false">
      <c r="A5773" s="6" t="n">
        <v>46200</v>
      </c>
      <c r="B5773" s="4" t="s">
        <v>1237</v>
      </c>
      <c r="C5773" s="4" t="n">
        <v>10</v>
      </c>
      <c r="D5773" s="4" t="n">
        <v>5</v>
      </c>
      <c r="E5773" s="4" t="s">
        <v>4453</v>
      </c>
      <c r="F5773" s="4" t="n">
        <v>1</v>
      </c>
      <c r="G5773" s="4" t="n">
        <v>10</v>
      </c>
      <c r="H5773" s="4" t="n">
        <v>4</v>
      </c>
      <c r="I5773" s="4" t="str">
        <v>×</v>
      </c>
      <c r="J5773" s="4"/>
      <c r="K5773" s="4"/>
      <c r="L5773" s="4"/>
      <c r="M5773" s="5" t="s">
        <v>4174</v>
      </c>
    </row>
    <row r="5774" customFormat="false" ht="15.75" hidden="false" customHeight="false" outlineLevel="0" collapsed="false">
      <c r="A5774" s="6" t="n">
        <v>46200</v>
      </c>
      <c r="B5774" s="4" t="s">
        <v>1237</v>
      </c>
      <c r="C5774" s="4" t="n">
        <v>10</v>
      </c>
      <c r="D5774" s="4" t="n">
        <v>6</v>
      </c>
      <c r="E5774" s="4" t="s">
        <v>2641</v>
      </c>
      <c r="F5774" s="4" t="n">
        <v>31</v>
      </c>
      <c r="G5774" s="4" t="n">
        <v>3</v>
      </c>
      <c r="H5774" s="4" t="n">
        <v>4</v>
      </c>
      <c r="I5774" s="4" t="str">
        <v>×</v>
      </c>
      <c r="J5774" s="4"/>
      <c r="K5774" s="4"/>
      <c r="L5774" s="4"/>
      <c r="M5774" s="5" t="s">
        <v>4174</v>
      </c>
    </row>
    <row r="5775" customFormat="false" ht="15.75" hidden="false" customHeight="false" outlineLevel="0" collapsed="false">
      <c r="A5775" s="6" t="n">
        <v>46200</v>
      </c>
      <c r="B5775" s="4" t="s">
        <v>1237</v>
      </c>
      <c r="C5775" s="4" t="n">
        <v>10</v>
      </c>
      <c r="D5775" s="4" t="n">
        <v>7</v>
      </c>
      <c r="E5775" s="4" t="s">
        <v>439</v>
      </c>
      <c r="F5775" s="4" t="n">
        <v>17</v>
      </c>
      <c r="G5775" s="4" t="n">
        <v>5</v>
      </c>
      <c r="H5775" s="4" t="n">
        <v>4</v>
      </c>
      <c r="I5775" s="4" t="str">
        <v>×</v>
      </c>
      <c r="J5775" s="4"/>
      <c r="K5775" s="4"/>
      <c r="L5775" s="4"/>
      <c r="M5775" s="5" t="s">
        <v>4174</v>
      </c>
    </row>
    <row r="5776" customFormat="false" ht="15.75" hidden="false" customHeight="false" outlineLevel="0" collapsed="false">
      <c r="A5776" s="6" t="n">
        <v>46200</v>
      </c>
      <c r="B5776" s="4" t="s">
        <v>1237</v>
      </c>
      <c r="C5776" s="4" t="n">
        <v>10</v>
      </c>
      <c r="D5776" s="4" t="n">
        <v>8</v>
      </c>
      <c r="E5776" s="4" t="s">
        <v>2638</v>
      </c>
      <c r="F5776" s="4" t="n">
        <v>1</v>
      </c>
      <c r="G5776" s="4" t="n">
        <v>10</v>
      </c>
      <c r="H5776" s="4" t="n">
        <v>3</v>
      </c>
      <c r="I5776" s="4" t="str">
        <v>○</v>
      </c>
      <c r="J5776" s="4" t="n">
        <v>270</v>
      </c>
      <c r="K5776" s="4"/>
      <c r="L5776" s="4"/>
      <c r="M5776" s="5" t="s">
        <v>4174</v>
      </c>
    </row>
    <row r="5777" customFormat="false" ht="15.75" hidden="false" customHeight="false" outlineLevel="0" collapsed="false">
      <c r="A5777" s="6" t="n">
        <v>46200</v>
      </c>
      <c r="B5777" s="4" t="s">
        <v>1237</v>
      </c>
      <c r="C5777" s="4" t="n">
        <v>10</v>
      </c>
      <c r="D5777" s="4" t="n">
        <v>9</v>
      </c>
      <c r="E5777" s="4" t="s">
        <v>3855</v>
      </c>
      <c r="F5777" s="4" t="n">
        <v>13</v>
      </c>
      <c r="G5777" s="4" t="n">
        <v>7</v>
      </c>
      <c r="H5777" s="4" t="n">
        <v>4</v>
      </c>
      <c r="I5777" s="4" t="str">
        <v>×</v>
      </c>
      <c r="J5777" s="4"/>
      <c r="K5777" s="4"/>
      <c r="L5777" s="4"/>
      <c r="M5777" s="5" t="s">
        <v>4174</v>
      </c>
    </row>
    <row r="5778" customFormat="false" ht="15.75" hidden="false" customHeight="false" outlineLevel="0" collapsed="false">
      <c r="A5778" s="6" t="n">
        <v>46200</v>
      </c>
      <c r="B5778" s="4" t="s">
        <v>1237</v>
      </c>
      <c r="C5778" s="4" t="n">
        <v>10</v>
      </c>
      <c r="D5778" s="4" t="n">
        <v>10</v>
      </c>
      <c r="E5778" s="4" t="s">
        <v>3305</v>
      </c>
      <c r="F5778" s="4" t="n">
        <v>10</v>
      </c>
      <c r="G5778" s="4" t="n">
        <v>8</v>
      </c>
      <c r="H5778" s="4" t="n">
        <v>4</v>
      </c>
      <c r="I5778" s="4" t="str">
        <v>×</v>
      </c>
      <c r="J5778" s="4"/>
      <c r="K5778" s="4"/>
      <c r="L5778" s="4"/>
      <c r="M5778" s="5" t="s">
        <v>4174</v>
      </c>
    </row>
    <row r="5779" customFormat="false" ht="15.75" hidden="false" customHeight="false" outlineLevel="0" collapsed="false">
      <c r="A5779" s="6" t="n">
        <v>46200</v>
      </c>
      <c r="B5779" s="4" t="s">
        <v>1237</v>
      </c>
      <c r="C5779" s="4" t="n">
        <v>10</v>
      </c>
      <c r="D5779" s="4" t="n">
        <v>11</v>
      </c>
      <c r="E5779" s="4" t="s">
        <v>4454</v>
      </c>
      <c r="F5779" s="4" t="n">
        <v>4</v>
      </c>
      <c r="G5779" s="4" t="n">
        <v>9</v>
      </c>
      <c r="H5779" s="4" t="n">
        <v>4</v>
      </c>
      <c r="I5779" s="4" t="str">
        <v>×</v>
      </c>
      <c r="J5779" s="4"/>
      <c r="K5779" s="4"/>
      <c r="L5779" s="4"/>
      <c r="M5779" s="5" t="s">
        <v>4174</v>
      </c>
    </row>
    <row r="5780" customFormat="false" ht="15.75" hidden="false" customHeight="false" outlineLevel="0" collapsed="false">
      <c r="A5780" s="6" t="n">
        <v>46200</v>
      </c>
      <c r="B5780" s="4" t="s">
        <v>1237</v>
      </c>
      <c r="C5780" s="4" t="n">
        <v>11</v>
      </c>
      <c r="D5780" s="4" t="n">
        <v>1</v>
      </c>
      <c r="E5780" s="4" t="s">
        <v>4455</v>
      </c>
      <c r="F5780" s="4" t="n">
        <v>4</v>
      </c>
      <c r="G5780" s="4" t="n">
        <v>14</v>
      </c>
      <c r="H5780" s="4" t="n">
        <v>4</v>
      </c>
      <c r="I5780" s="4" t="str">
        <v>×</v>
      </c>
      <c r="J5780" s="4"/>
      <c r="K5780" s="4"/>
      <c r="L5780" s="4"/>
      <c r="M5780" s="5" t="s">
        <v>4174</v>
      </c>
    </row>
    <row r="5781" customFormat="false" ht="15.75" hidden="false" customHeight="false" outlineLevel="0" collapsed="false">
      <c r="A5781" s="6" t="n">
        <v>46200</v>
      </c>
      <c r="B5781" s="4" t="s">
        <v>1237</v>
      </c>
      <c r="C5781" s="4" t="n">
        <v>11</v>
      </c>
      <c r="D5781" s="4" t="n">
        <v>2</v>
      </c>
      <c r="E5781" s="4" t="s">
        <v>4456</v>
      </c>
      <c r="F5781" s="4" t="n">
        <v>17</v>
      </c>
      <c r="G5781" s="4" t="n">
        <v>5</v>
      </c>
      <c r="H5781" s="4" t="n">
        <v>1</v>
      </c>
      <c r="I5781" s="4" t="str">
        <v>○</v>
      </c>
      <c r="J5781" s="4" t="n">
        <v>160</v>
      </c>
      <c r="K5781" s="4"/>
      <c r="L5781" s="4"/>
      <c r="M5781" s="5" t="s">
        <v>4174</v>
      </c>
    </row>
    <row r="5782" customFormat="false" ht="15.75" hidden="false" customHeight="false" outlineLevel="0" collapsed="false">
      <c r="A5782" s="6" t="n">
        <v>46200</v>
      </c>
      <c r="B5782" s="4" t="s">
        <v>1237</v>
      </c>
      <c r="C5782" s="4" t="n">
        <v>11</v>
      </c>
      <c r="D5782" s="4" t="n">
        <v>3</v>
      </c>
      <c r="E5782" s="4" t="s">
        <v>4457</v>
      </c>
      <c r="F5782" s="4" t="n">
        <v>17</v>
      </c>
      <c r="G5782" s="4" t="n">
        <v>5</v>
      </c>
      <c r="H5782" s="4" t="n">
        <v>4</v>
      </c>
      <c r="I5782" s="4" t="str">
        <v>×</v>
      </c>
      <c r="J5782" s="4"/>
      <c r="K5782" s="4"/>
      <c r="L5782" s="4"/>
      <c r="M5782" s="5" t="s">
        <v>4174</v>
      </c>
    </row>
    <row r="5783" customFormat="false" ht="15.75" hidden="false" customHeight="false" outlineLevel="0" collapsed="false">
      <c r="A5783" s="6" t="n">
        <v>46200</v>
      </c>
      <c r="B5783" s="4" t="s">
        <v>1237</v>
      </c>
      <c r="C5783" s="4" t="n">
        <v>11</v>
      </c>
      <c r="D5783" s="4" t="n">
        <v>4</v>
      </c>
      <c r="E5783" s="4" t="s">
        <v>4458</v>
      </c>
      <c r="F5783" s="4" t="n">
        <v>8</v>
      </c>
      <c r="G5783" s="4" t="n">
        <v>11</v>
      </c>
      <c r="H5783" s="4" t="n">
        <v>4</v>
      </c>
      <c r="I5783" s="4" t="str">
        <v>×</v>
      </c>
      <c r="J5783" s="4"/>
      <c r="K5783" s="4"/>
      <c r="L5783" s="4"/>
      <c r="M5783" s="5" t="s">
        <v>4174</v>
      </c>
    </row>
    <row r="5784" customFormat="false" ht="15.75" hidden="false" customHeight="false" outlineLevel="0" collapsed="false">
      <c r="A5784" s="6" t="n">
        <v>46200</v>
      </c>
      <c r="B5784" s="4" t="s">
        <v>1237</v>
      </c>
      <c r="C5784" s="4" t="n">
        <v>11</v>
      </c>
      <c r="D5784" s="4" t="n">
        <v>5</v>
      </c>
      <c r="E5784" s="4" t="s">
        <v>4459</v>
      </c>
      <c r="F5784" s="4" t="n">
        <v>15</v>
      </c>
      <c r="G5784" s="4" t="n">
        <v>8</v>
      </c>
      <c r="H5784" s="4" t="n">
        <v>4</v>
      </c>
      <c r="I5784" s="4" t="str">
        <v>×</v>
      </c>
      <c r="J5784" s="4"/>
      <c r="K5784" s="4"/>
      <c r="L5784" s="4"/>
      <c r="M5784" s="5" t="s">
        <v>4174</v>
      </c>
    </row>
    <row r="5785" customFormat="false" ht="15.75" hidden="false" customHeight="false" outlineLevel="0" collapsed="false">
      <c r="A5785" s="6" t="n">
        <v>46200</v>
      </c>
      <c r="B5785" s="4" t="s">
        <v>1237</v>
      </c>
      <c r="C5785" s="4" t="n">
        <v>11</v>
      </c>
      <c r="D5785" s="4" t="n">
        <v>6</v>
      </c>
      <c r="E5785" s="4" t="s">
        <v>4460</v>
      </c>
      <c r="F5785" s="4" t="n">
        <v>8</v>
      </c>
      <c r="G5785" s="4" t="n">
        <v>11</v>
      </c>
      <c r="H5785" s="4" t="n">
        <v>4</v>
      </c>
      <c r="I5785" s="4" t="str">
        <v>×</v>
      </c>
      <c r="J5785" s="4"/>
      <c r="K5785" s="4"/>
      <c r="L5785" s="4"/>
      <c r="M5785" s="5" t="s">
        <v>4174</v>
      </c>
    </row>
    <row r="5786" customFormat="false" ht="15.75" hidden="false" customHeight="false" outlineLevel="0" collapsed="false">
      <c r="A5786" s="6" t="n">
        <v>46200</v>
      </c>
      <c r="B5786" s="4" t="s">
        <v>1237</v>
      </c>
      <c r="C5786" s="4" t="n">
        <v>11</v>
      </c>
      <c r="D5786" s="4" t="n">
        <v>7</v>
      </c>
      <c r="E5786" s="4" t="s">
        <v>4461</v>
      </c>
      <c r="F5786" s="4" t="n">
        <v>15</v>
      </c>
      <c r="G5786" s="4" t="n">
        <v>8</v>
      </c>
      <c r="H5786" s="4" t="n">
        <v>4</v>
      </c>
      <c r="I5786" s="4" t="str">
        <v>×</v>
      </c>
      <c r="J5786" s="4"/>
      <c r="K5786" s="4"/>
      <c r="L5786" s="4"/>
      <c r="M5786" s="5" t="s">
        <v>4174</v>
      </c>
    </row>
    <row r="5787" customFormat="false" ht="15.75" hidden="false" customHeight="false" outlineLevel="0" collapsed="false">
      <c r="A5787" s="6" t="n">
        <v>46200</v>
      </c>
      <c r="B5787" s="4" t="s">
        <v>1237</v>
      </c>
      <c r="C5787" s="4" t="n">
        <v>11</v>
      </c>
      <c r="D5787" s="4" t="n">
        <v>8</v>
      </c>
      <c r="E5787" s="4" t="s">
        <v>4462</v>
      </c>
      <c r="F5787" s="4" t="n">
        <v>6</v>
      </c>
      <c r="G5787" s="4" t="n">
        <v>13</v>
      </c>
      <c r="H5787" s="4" t="n">
        <v>4</v>
      </c>
      <c r="I5787" s="4" t="str">
        <v>×</v>
      </c>
      <c r="J5787" s="4"/>
      <c r="K5787" s="4"/>
      <c r="L5787" s="4"/>
      <c r="M5787" s="5" t="s">
        <v>4174</v>
      </c>
    </row>
    <row r="5788" customFormat="false" ht="15.75" hidden="false" customHeight="false" outlineLevel="0" collapsed="false">
      <c r="A5788" s="6" t="n">
        <v>46200</v>
      </c>
      <c r="B5788" s="4" t="s">
        <v>1237</v>
      </c>
      <c r="C5788" s="4" t="n">
        <v>11</v>
      </c>
      <c r="D5788" s="4" t="n">
        <v>9</v>
      </c>
      <c r="E5788" s="4" t="s">
        <v>4463</v>
      </c>
      <c r="F5788" s="4" t="n">
        <v>10</v>
      </c>
      <c r="G5788" s="4" t="n">
        <v>10</v>
      </c>
      <c r="H5788" s="4" t="n">
        <v>4</v>
      </c>
      <c r="I5788" s="4" t="str">
        <v>×</v>
      </c>
      <c r="J5788" s="4"/>
      <c r="K5788" s="4"/>
      <c r="L5788" s="4"/>
      <c r="M5788" s="5" t="s">
        <v>4174</v>
      </c>
    </row>
    <row r="5789" customFormat="false" ht="15.75" hidden="false" customHeight="false" outlineLevel="0" collapsed="false">
      <c r="A5789" s="6" t="n">
        <v>46200</v>
      </c>
      <c r="B5789" s="4" t="s">
        <v>1237</v>
      </c>
      <c r="C5789" s="4" t="n">
        <v>11</v>
      </c>
      <c r="D5789" s="4" t="n">
        <v>10</v>
      </c>
      <c r="E5789" s="4" t="s">
        <v>4464</v>
      </c>
      <c r="F5789" s="4" t="n">
        <v>17</v>
      </c>
      <c r="G5789" s="4" t="n">
        <v>5</v>
      </c>
      <c r="H5789" s="4" t="n">
        <v>4</v>
      </c>
      <c r="I5789" s="4" t="str">
        <v>×</v>
      </c>
      <c r="J5789" s="4"/>
      <c r="K5789" s="4"/>
      <c r="L5789" s="4"/>
      <c r="M5789" s="5" t="s">
        <v>4174</v>
      </c>
    </row>
    <row r="5790" customFormat="false" ht="15.75" hidden="false" customHeight="false" outlineLevel="0" collapsed="false">
      <c r="A5790" s="6" t="n">
        <v>46200</v>
      </c>
      <c r="B5790" s="4" t="s">
        <v>1237</v>
      </c>
      <c r="C5790" s="4" t="n">
        <v>11</v>
      </c>
      <c r="D5790" s="4" t="n">
        <v>11</v>
      </c>
      <c r="E5790" s="4" t="s">
        <v>4465</v>
      </c>
      <c r="F5790" s="4" t="n">
        <v>39</v>
      </c>
      <c r="G5790" s="4" t="n">
        <v>2</v>
      </c>
      <c r="H5790" s="4" t="n">
        <v>2</v>
      </c>
      <c r="I5790" s="4" t="str">
        <v>○</v>
      </c>
      <c r="J5790" s="4" t="n">
        <v>230</v>
      </c>
      <c r="K5790" s="4"/>
      <c r="L5790" s="4"/>
      <c r="M5790" s="5" t="s">
        <v>4174</v>
      </c>
    </row>
    <row r="5791" customFormat="false" ht="15.75" hidden="false" customHeight="false" outlineLevel="0" collapsed="false">
      <c r="A5791" s="6" t="n">
        <v>46200</v>
      </c>
      <c r="B5791" s="4" t="s">
        <v>1237</v>
      </c>
      <c r="C5791" s="4" t="n">
        <v>11</v>
      </c>
      <c r="D5791" s="4" t="n">
        <v>12</v>
      </c>
      <c r="E5791" s="4" t="s">
        <v>4055</v>
      </c>
      <c r="F5791" s="4" t="n">
        <v>65</v>
      </c>
      <c r="G5791" s="4" t="n">
        <v>1</v>
      </c>
      <c r="H5791" s="4" t="n">
        <v>3</v>
      </c>
      <c r="I5791" s="4" t="str">
        <v>○</v>
      </c>
      <c r="J5791" s="4" t="n">
        <v>190</v>
      </c>
      <c r="K5791" s="4"/>
      <c r="L5791" s="4"/>
      <c r="M5791" s="5" t="s">
        <v>4174</v>
      </c>
    </row>
    <row r="5792" customFormat="false" ht="15.75" hidden="false" customHeight="false" outlineLevel="0" collapsed="false">
      <c r="A5792" s="6" t="n">
        <v>46200</v>
      </c>
      <c r="B5792" s="4" t="s">
        <v>1237</v>
      </c>
      <c r="C5792" s="4" t="n">
        <v>11</v>
      </c>
      <c r="D5792" s="4" t="n">
        <v>13</v>
      </c>
      <c r="E5792" s="4" t="s">
        <v>4466</v>
      </c>
      <c r="F5792" s="4" t="n">
        <v>31</v>
      </c>
      <c r="G5792" s="4" t="n">
        <v>4</v>
      </c>
      <c r="H5792" s="4" t="n">
        <v>4</v>
      </c>
      <c r="I5792" s="4" t="str">
        <v>×</v>
      </c>
      <c r="J5792" s="4"/>
      <c r="K5792" s="4"/>
      <c r="L5792" s="4"/>
      <c r="M5792" s="5" t="s">
        <v>4174</v>
      </c>
    </row>
    <row r="5793" customFormat="false" ht="15.75" hidden="false" customHeight="false" outlineLevel="0" collapsed="false">
      <c r="A5793" s="6" t="n">
        <v>46200</v>
      </c>
      <c r="B5793" s="4" t="s">
        <v>1237</v>
      </c>
      <c r="C5793" s="4" t="n">
        <v>11</v>
      </c>
      <c r="D5793" s="4" t="n">
        <v>14</v>
      </c>
      <c r="E5793" s="4" t="s">
        <v>4467</v>
      </c>
      <c r="F5793" s="4" t="n">
        <v>39</v>
      </c>
      <c r="G5793" s="4" t="n">
        <v>2</v>
      </c>
      <c r="H5793" s="4" t="n">
        <v>4</v>
      </c>
      <c r="I5793" s="4" t="str">
        <v>×</v>
      </c>
      <c r="J5793" s="4"/>
      <c r="K5793" s="4"/>
      <c r="L5793" s="4"/>
      <c r="M5793" s="5" t="s">
        <v>4174</v>
      </c>
    </row>
    <row r="5794" customFormat="false" ht="15.75" hidden="false" customHeight="false" outlineLevel="0" collapsed="false">
      <c r="A5794" s="6" t="n">
        <v>46200</v>
      </c>
      <c r="B5794" s="4" t="s">
        <v>1237</v>
      </c>
      <c r="C5794" s="4" t="n">
        <v>12</v>
      </c>
      <c r="D5794" s="4" t="n">
        <v>1</v>
      </c>
      <c r="E5794" s="4" t="s">
        <v>4468</v>
      </c>
      <c r="F5794" s="4" t="n">
        <v>37</v>
      </c>
      <c r="G5794" s="4" t="n">
        <v>4</v>
      </c>
      <c r="H5794" s="4" t="n">
        <v>4</v>
      </c>
      <c r="I5794" s="4" t="str">
        <v>×</v>
      </c>
      <c r="J5794" s="4"/>
      <c r="K5794" s="4"/>
      <c r="L5794" s="4"/>
      <c r="M5794" s="5" t="s">
        <v>4174</v>
      </c>
    </row>
    <row r="5795" customFormat="false" ht="15.75" hidden="false" customHeight="false" outlineLevel="0" collapsed="false">
      <c r="A5795" s="6" t="n">
        <v>46200</v>
      </c>
      <c r="B5795" s="4" t="s">
        <v>1237</v>
      </c>
      <c r="C5795" s="4" t="n">
        <v>12</v>
      </c>
      <c r="D5795" s="4" t="n">
        <v>2</v>
      </c>
      <c r="E5795" s="4" t="s">
        <v>4469</v>
      </c>
      <c r="F5795" s="4" t="n">
        <v>62</v>
      </c>
      <c r="G5795" s="4" t="n">
        <v>1</v>
      </c>
      <c r="H5795" s="4" t="n">
        <v>1</v>
      </c>
      <c r="I5795" s="4" t="str">
        <v>○</v>
      </c>
      <c r="J5795" s="4" t="n">
        <v>130</v>
      </c>
      <c r="K5795" s="4"/>
      <c r="L5795" s="4"/>
      <c r="M5795" s="5" t="s">
        <v>4174</v>
      </c>
    </row>
    <row r="5796" customFormat="false" ht="15.75" hidden="false" customHeight="false" outlineLevel="0" collapsed="false">
      <c r="A5796" s="6" t="n">
        <v>46200</v>
      </c>
      <c r="B5796" s="4" t="s">
        <v>1237</v>
      </c>
      <c r="C5796" s="4" t="n">
        <v>12</v>
      </c>
      <c r="D5796" s="4" t="n">
        <v>3</v>
      </c>
      <c r="E5796" s="4" t="s">
        <v>4241</v>
      </c>
      <c r="F5796" s="4" t="n">
        <v>13</v>
      </c>
      <c r="G5796" s="4" t="n">
        <v>8</v>
      </c>
      <c r="H5796" s="4" t="n">
        <v>4</v>
      </c>
      <c r="I5796" s="4" t="str">
        <v>×</v>
      </c>
      <c r="J5796" s="4"/>
      <c r="K5796" s="4"/>
      <c r="L5796" s="4"/>
      <c r="M5796" s="5" t="s">
        <v>4174</v>
      </c>
    </row>
    <row r="5797" customFormat="false" ht="15.75" hidden="false" customHeight="false" outlineLevel="0" collapsed="false">
      <c r="A5797" s="6" t="n">
        <v>46200</v>
      </c>
      <c r="B5797" s="4" t="s">
        <v>1237</v>
      </c>
      <c r="C5797" s="4" t="n">
        <v>12</v>
      </c>
      <c r="D5797" s="4" t="n">
        <v>4</v>
      </c>
      <c r="E5797" s="4" t="s">
        <v>1321</v>
      </c>
      <c r="F5797" s="4" t="n">
        <v>31</v>
      </c>
      <c r="G5797" s="4" t="n">
        <v>6</v>
      </c>
      <c r="H5797" s="4" t="n">
        <v>4</v>
      </c>
      <c r="I5797" s="4" t="str">
        <v>×</v>
      </c>
      <c r="J5797" s="4"/>
      <c r="K5797" s="4"/>
      <c r="L5797" s="4"/>
      <c r="M5797" s="5" t="s">
        <v>4174</v>
      </c>
    </row>
    <row r="5798" customFormat="false" ht="15.75" hidden="false" customHeight="false" outlineLevel="0" collapsed="false">
      <c r="A5798" s="6" t="n">
        <v>46200</v>
      </c>
      <c r="B5798" s="4" t="s">
        <v>1237</v>
      </c>
      <c r="C5798" s="4" t="n">
        <v>12</v>
      </c>
      <c r="D5798" s="4" t="n">
        <v>5</v>
      </c>
      <c r="E5798" s="4" t="s">
        <v>4470</v>
      </c>
      <c r="F5798" s="4" t="n">
        <v>1</v>
      </c>
      <c r="G5798" s="4" t="n">
        <v>10</v>
      </c>
      <c r="H5798" s="4" t="n">
        <v>2</v>
      </c>
      <c r="I5798" s="4" t="str">
        <v>○</v>
      </c>
      <c r="J5798" s="4" t="n">
        <v>220</v>
      </c>
      <c r="K5798" s="4"/>
      <c r="L5798" s="4"/>
      <c r="M5798" s="5" t="s">
        <v>4174</v>
      </c>
    </row>
    <row r="5799" customFormat="false" ht="15.75" hidden="false" customHeight="false" outlineLevel="0" collapsed="false">
      <c r="A5799" s="6" t="n">
        <v>46200</v>
      </c>
      <c r="B5799" s="4" t="s">
        <v>1237</v>
      </c>
      <c r="C5799" s="4" t="n">
        <v>12</v>
      </c>
      <c r="D5799" s="4" t="n">
        <v>6</v>
      </c>
      <c r="E5799" s="4" t="s">
        <v>2237</v>
      </c>
      <c r="F5799" s="4" t="n">
        <v>23</v>
      </c>
      <c r="G5799" s="4" t="n">
        <v>7</v>
      </c>
      <c r="H5799" s="4" t="n">
        <v>3</v>
      </c>
      <c r="I5799" s="4" t="str">
        <v>○</v>
      </c>
      <c r="J5799" s="4" t="n">
        <v>1070</v>
      </c>
      <c r="K5799" s="4"/>
      <c r="L5799" s="4"/>
      <c r="M5799" s="5" t="s">
        <v>4174</v>
      </c>
    </row>
    <row r="5800" customFormat="false" ht="15.75" hidden="false" customHeight="false" outlineLevel="0" collapsed="false">
      <c r="A5800" s="6" t="n">
        <v>46200</v>
      </c>
      <c r="B5800" s="4" t="s">
        <v>1237</v>
      </c>
      <c r="C5800" s="4" t="n">
        <v>12</v>
      </c>
      <c r="D5800" s="4" t="n">
        <v>7</v>
      </c>
      <c r="E5800" s="4" t="s">
        <v>4471</v>
      </c>
      <c r="F5800" s="4" t="n">
        <v>37</v>
      </c>
      <c r="G5800" s="4" t="n">
        <v>4</v>
      </c>
      <c r="H5800" s="4" t="n">
        <v>4</v>
      </c>
      <c r="I5800" s="4" t="str">
        <v>×</v>
      </c>
      <c r="J5800" s="4"/>
      <c r="K5800" s="4"/>
      <c r="L5800" s="4"/>
      <c r="M5800" s="5" t="s">
        <v>4174</v>
      </c>
    </row>
    <row r="5801" customFormat="false" ht="15.75" hidden="false" customHeight="false" outlineLevel="0" collapsed="false">
      <c r="A5801" s="6" t="n">
        <v>46200</v>
      </c>
      <c r="B5801" s="4" t="s">
        <v>1237</v>
      </c>
      <c r="C5801" s="4" t="n">
        <v>12</v>
      </c>
      <c r="D5801" s="4" t="n">
        <v>8</v>
      </c>
      <c r="E5801" s="4" t="s">
        <v>2240</v>
      </c>
      <c r="F5801" s="4" t="n">
        <v>6</v>
      </c>
      <c r="G5801" s="4" t="n">
        <v>9</v>
      </c>
      <c r="H5801" s="4" t="n">
        <v>4</v>
      </c>
      <c r="I5801" s="4" t="str">
        <v>×</v>
      </c>
      <c r="J5801" s="4"/>
      <c r="K5801" s="4"/>
      <c r="L5801" s="4"/>
      <c r="M5801" s="5" t="s">
        <v>4174</v>
      </c>
    </row>
    <row r="5802" customFormat="false" ht="15.75" hidden="false" customHeight="false" outlineLevel="0" collapsed="false">
      <c r="A5802" s="6" t="n">
        <v>46200</v>
      </c>
      <c r="B5802" s="4" t="s">
        <v>1237</v>
      </c>
      <c r="C5802" s="4" t="n">
        <v>12</v>
      </c>
      <c r="D5802" s="4" t="n">
        <v>9</v>
      </c>
      <c r="E5802" s="4" t="s">
        <v>4472</v>
      </c>
      <c r="F5802" s="4" t="n">
        <v>47</v>
      </c>
      <c r="G5802" s="4" t="n">
        <v>2</v>
      </c>
      <c r="H5802" s="4" t="n">
        <v>4</v>
      </c>
      <c r="I5802" s="4" t="str">
        <v>×</v>
      </c>
      <c r="J5802" s="4"/>
      <c r="K5802" s="4"/>
      <c r="L5802" s="4"/>
      <c r="M5802" s="5" t="s">
        <v>4174</v>
      </c>
    </row>
    <row r="5803" customFormat="false" ht="15.75" hidden="false" customHeight="false" outlineLevel="0" collapsed="false">
      <c r="A5803" s="6" t="n">
        <v>46200</v>
      </c>
      <c r="B5803" s="4" t="s">
        <v>1237</v>
      </c>
      <c r="C5803" s="4" t="n">
        <v>12</v>
      </c>
      <c r="D5803" s="4" t="n">
        <v>10</v>
      </c>
      <c r="E5803" s="4" t="s">
        <v>2244</v>
      </c>
      <c r="F5803" s="4" t="n">
        <v>41</v>
      </c>
      <c r="G5803" s="4" t="n">
        <v>3</v>
      </c>
      <c r="H5803" s="4" t="n">
        <v>4</v>
      </c>
      <c r="I5803" s="4" t="str">
        <v>×</v>
      </c>
      <c r="J5803" s="4"/>
      <c r="K5803" s="4"/>
      <c r="L5803" s="4"/>
      <c r="M5803" s="5" t="s">
        <v>4174</v>
      </c>
    </row>
    <row r="5804" customFormat="false" ht="15.75" hidden="false" customHeight="false" outlineLevel="0" collapsed="false">
      <c r="A5804" s="6" t="n">
        <v>46179</v>
      </c>
      <c r="B5804" s="4" t="s">
        <v>4473</v>
      </c>
      <c r="C5804" s="4" t="n">
        <v>1</v>
      </c>
      <c r="D5804" s="4" t="n">
        <v>1</v>
      </c>
      <c r="E5804" s="4" t="s">
        <v>4474</v>
      </c>
      <c r="F5804" s="4" t="n">
        <v>37</v>
      </c>
      <c r="G5804" s="4" t="n">
        <v>3</v>
      </c>
      <c r="H5804" s="4" t="n">
        <v>2</v>
      </c>
      <c r="I5804" s="4" t="str">
        <v>○</v>
      </c>
      <c r="J5804" s="4" t="n">
        <v>140</v>
      </c>
      <c r="K5804" s="4"/>
      <c r="L5804" s="4"/>
      <c r="M5804" s="5" t="s">
        <v>4475</v>
      </c>
    </row>
    <row r="5805" customFormat="false" ht="15.75" hidden="false" customHeight="false" outlineLevel="0" collapsed="false">
      <c r="A5805" s="6" t="n">
        <v>46179</v>
      </c>
      <c r="B5805" s="4" t="s">
        <v>4473</v>
      </c>
      <c r="C5805" s="4" t="n">
        <v>1</v>
      </c>
      <c r="D5805" s="4" t="n">
        <v>2</v>
      </c>
      <c r="E5805" s="4" t="s">
        <v>4476</v>
      </c>
      <c r="F5805" s="4" t="n">
        <v>2</v>
      </c>
      <c r="G5805" s="4" t="n">
        <v>10</v>
      </c>
      <c r="H5805" s="4" t="n">
        <v>4</v>
      </c>
      <c r="I5805" s="4" t="str">
        <v>×</v>
      </c>
      <c r="J5805" s="4"/>
      <c r="K5805" s="4"/>
      <c r="L5805" s="4"/>
      <c r="M5805" s="5" t="s">
        <v>4475</v>
      </c>
    </row>
    <row r="5806" customFormat="false" ht="15.75" hidden="false" customHeight="false" outlineLevel="0" collapsed="false">
      <c r="A5806" s="6" t="n">
        <v>46179</v>
      </c>
      <c r="B5806" s="4" t="s">
        <v>4473</v>
      </c>
      <c r="C5806" s="4" t="n">
        <v>1</v>
      </c>
      <c r="D5806" s="4" t="n">
        <v>3</v>
      </c>
      <c r="E5806" s="4" t="s">
        <v>4477</v>
      </c>
      <c r="F5806" s="4" t="n">
        <v>12</v>
      </c>
      <c r="G5806" s="4" t="n">
        <v>7</v>
      </c>
      <c r="H5806" s="4" t="n">
        <v>4</v>
      </c>
      <c r="I5806" s="4" t="str">
        <v>×</v>
      </c>
      <c r="J5806" s="4"/>
      <c r="K5806" s="4"/>
      <c r="L5806" s="4"/>
      <c r="M5806" s="5" t="s">
        <v>4475</v>
      </c>
    </row>
    <row r="5807" customFormat="false" ht="15.75" hidden="false" customHeight="false" outlineLevel="0" collapsed="false">
      <c r="A5807" s="6" t="n">
        <v>46179</v>
      </c>
      <c r="B5807" s="4" t="s">
        <v>4473</v>
      </c>
      <c r="C5807" s="4" t="n">
        <v>1</v>
      </c>
      <c r="D5807" s="4" t="n">
        <v>4</v>
      </c>
      <c r="E5807" s="4" t="s">
        <v>4478</v>
      </c>
      <c r="F5807" s="4" t="n">
        <v>6</v>
      </c>
      <c r="G5807" s="4" t="n">
        <v>9</v>
      </c>
      <c r="H5807" s="4" t="n">
        <v>4</v>
      </c>
      <c r="I5807" s="4" t="str">
        <v>×</v>
      </c>
      <c r="J5807" s="4"/>
      <c r="K5807" s="4"/>
      <c r="L5807" s="4"/>
      <c r="M5807" s="5" t="s">
        <v>4475</v>
      </c>
    </row>
    <row r="5808" customFormat="false" ht="15.75" hidden="false" customHeight="false" outlineLevel="0" collapsed="false">
      <c r="A5808" s="6" t="n">
        <v>46179</v>
      </c>
      <c r="B5808" s="4" t="s">
        <v>4473</v>
      </c>
      <c r="C5808" s="4" t="n">
        <v>1</v>
      </c>
      <c r="D5808" s="4" t="n">
        <v>5</v>
      </c>
      <c r="E5808" s="4" t="s">
        <v>3655</v>
      </c>
      <c r="F5808" s="4" t="n">
        <v>21</v>
      </c>
      <c r="G5808" s="4" t="n">
        <v>6</v>
      </c>
      <c r="H5808" s="4" t="n">
        <v>4</v>
      </c>
      <c r="I5808" s="4" t="str">
        <v>×</v>
      </c>
      <c r="J5808" s="4"/>
      <c r="K5808" s="4"/>
      <c r="L5808" s="4"/>
      <c r="M5808" s="5" t="s">
        <v>4475</v>
      </c>
    </row>
    <row r="5809" customFormat="false" ht="15.75" hidden="false" customHeight="false" outlineLevel="0" collapsed="false">
      <c r="A5809" s="6" t="n">
        <v>46179</v>
      </c>
      <c r="B5809" s="4" t="s">
        <v>4473</v>
      </c>
      <c r="C5809" s="4" t="n">
        <v>1</v>
      </c>
      <c r="D5809" s="4" t="n">
        <v>6</v>
      </c>
      <c r="E5809" s="4" t="s">
        <v>3127</v>
      </c>
      <c r="F5809" s="4" t="n">
        <v>12</v>
      </c>
      <c r="G5809" s="4" t="n">
        <v>7</v>
      </c>
      <c r="H5809" s="4" t="n">
        <v>4</v>
      </c>
      <c r="I5809" s="4" t="str">
        <v>×</v>
      </c>
      <c r="J5809" s="4"/>
      <c r="K5809" s="4"/>
      <c r="L5809" s="4"/>
      <c r="M5809" s="5" t="s">
        <v>4475</v>
      </c>
    </row>
    <row r="5810" customFormat="false" ht="15.75" hidden="false" customHeight="false" outlineLevel="0" collapsed="false">
      <c r="A5810" s="6" t="n">
        <v>46179</v>
      </c>
      <c r="B5810" s="4" t="s">
        <v>4473</v>
      </c>
      <c r="C5810" s="4" t="n">
        <v>1</v>
      </c>
      <c r="D5810" s="4" t="n">
        <v>7</v>
      </c>
      <c r="E5810" s="4" t="s">
        <v>4479</v>
      </c>
      <c r="F5810" s="4" t="n">
        <v>44</v>
      </c>
      <c r="G5810" s="4" t="n">
        <v>2</v>
      </c>
      <c r="H5810" s="4" t="n">
        <v>4</v>
      </c>
      <c r="I5810" s="4" t="str">
        <v>×</v>
      </c>
      <c r="J5810" s="4"/>
      <c r="K5810" s="4"/>
      <c r="L5810" s="4"/>
      <c r="M5810" s="5" t="s">
        <v>4475</v>
      </c>
    </row>
    <row r="5811" customFormat="false" ht="15.75" hidden="false" customHeight="false" outlineLevel="0" collapsed="false">
      <c r="A5811" s="6" t="n">
        <v>46179</v>
      </c>
      <c r="B5811" s="4" t="s">
        <v>4473</v>
      </c>
      <c r="C5811" s="4" t="n">
        <v>1</v>
      </c>
      <c r="D5811" s="4" t="n">
        <v>8</v>
      </c>
      <c r="E5811" s="4" t="s">
        <v>3201</v>
      </c>
      <c r="F5811" s="4" t="n">
        <v>8</v>
      </c>
      <c r="G5811" s="4" t="n">
        <v>8</v>
      </c>
      <c r="H5811" s="4" t="n">
        <v>4</v>
      </c>
      <c r="I5811" s="4" t="str">
        <v>×</v>
      </c>
      <c r="J5811" s="4"/>
      <c r="K5811" s="4"/>
      <c r="L5811" s="4"/>
      <c r="M5811" s="5" t="s">
        <v>4475</v>
      </c>
    </row>
    <row r="5812" customFormat="false" ht="15.75" hidden="false" customHeight="false" outlineLevel="0" collapsed="false">
      <c r="A5812" s="6" t="n">
        <v>46179</v>
      </c>
      <c r="B5812" s="4" t="s">
        <v>4473</v>
      </c>
      <c r="C5812" s="4" t="n">
        <v>1</v>
      </c>
      <c r="D5812" s="4" t="n">
        <v>9</v>
      </c>
      <c r="E5812" s="4" t="s">
        <v>1563</v>
      </c>
      <c r="F5812" s="4" t="n">
        <v>24</v>
      </c>
      <c r="G5812" s="4" t="n">
        <v>5</v>
      </c>
      <c r="H5812" s="4" t="n">
        <v>4</v>
      </c>
      <c r="I5812" s="4" t="str">
        <v>×</v>
      </c>
      <c r="J5812" s="4"/>
      <c r="K5812" s="4"/>
      <c r="L5812" s="4"/>
      <c r="M5812" s="5" t="s">
        <v>4475</v>
      </c>
    </row>
    <row r="5813" customFormat="false" ht="15.75" hidden="false" customHeight="false" outlineLevel="0" collapsed="false">
      <c r="A5813" s="6" t="n">
        <v>46179</v>
      </c>
      <c r="B5813" s="4" t="s">
        <v>4473</v>
      </c>
      <c r="C5813" s="4" t="n">
        <v>1</v>
      </c>
      <c r="D5813" s="4" t="n">
        <v>10</v>
      </c>
      <c r="E5813" s="4" t="s">
        <v>4480</v>
      </c>
      <c r="F5813" s="4" t="n">
        <v>55</v>
      </c>
      <c r="G5813" s="4" t="n">
        <v>1</v>
      </c>
      <c r="H5813" s="4" t="n">
        <v>4</v>
      </c>
      <c r="I5813" s="4" t="str">
        <v>×</v>
      </c>
      <c r="J5813" s="4"/>
      <c r="K5813" s="4"/>
      <c r="L5813" s="4"/>
      <c r="M5813" s="5" t="s">
        <v>4475</v>
      </c>
    </row>
    <row r="5814" customFormat="false" ht="15.75" hidden="false" customHeight="false" outlineLevel="0" collapsed="false">
      <c r="A5814" s="6" t="n">
        <v>46179</v>
      </c>
      <c r="B5814" s="4" t="s">
        <v>4473</v>
      </c>
      <c r="C5814" s="4" t="n">
        <v>1</v>
      </c>
      <c r="D5814" s="4" t="n">
        <v>11</v>
      </c>
      <c r="E5814" s="4" t="s">
        <v>4481</v>
      </c>
      <c r="F5814" s="4" t="n">
        <v>6</v>
      </c>
      <c r="G5814" s="4" t="n">
        <v>9</v>
      </c>
      <c r="H5814" s="4" t="n">
        <v>4</v>
      </c>
      <c r="I5814" s="4" t="str">
        <v>×</v>
      </c>
      <c r="J5814" s="4"/>
      <c r="K5814" s="4"/>
      <c r="L5814" s="4"/>
      <c r="M5814" s="5" t="s">
        <v>4475</v>
      </c>
    </row>
    <row r="5815" customFormat="false" ht="15.75" hidden="false" customHeight="false" outlineLevel="0" collapsed="false">
      <c r="A5815" s="6" t="n">
        <v>46179</v>
      </c>
      <c r="B5815" s="4" t="s">
        <v>4473</v>
      </c>
      <c r="C5815" s="4" t="n">
        <v>1</v>
      </c>
      <c r="D5815" s="4" t="n">
        <v>12</v>
      </c>
      <c r="E5815" s="4" t="s">
        <v>3132</v>
      </c>
      <c r="F5815" s="4" t="n">
        <v>31</v>
      </c>
      <c r="G5815" s="4" t="n">
        <v>4</v>
      </c>
      <c r="H5815" s="4" t="n">
        <v>3</v>
      </c>
      <c r="I5815" s="4" t="str">
        <v>○</v>
      </c>
      <c r="J5815" s="4" t="n">
        <v>290</v>
      </c>
      <c r="K5815" s="4"/>
      <c r="L5815" s="4"/>
      <c r="M5815" s="5" t="s">
        <v>4475</v>
      </c>
    </row>
    <row r="5816" customFormat="false" ht="15.75" hidden="false" customHeight="false" outlineLevel="0" collapsed="false">
      <c r="A5816" s="6" t="n">
        <v>46179</v>
      </c>
      <c r="B5816" s="4" t="s">
        <v>4473</v>
      </c>
      <c r="C5816" s="4" t="n">
        <v>1</v>
      </c>
      <c r="D5816" s="4" t="n">
        <v>13</v>
      </c>
      <c r="E5816" s="4" t="s">
        <v>580</v>
      </c>
      <c r="F5816" s="4" t="n">
        <v>6</v>
      </c>
      <c r="G5816" s="4" t="n">
        <v>9</v>
      </c>
      <c r="H5816" s="4" t="n">
        <v>4</v>
      </c>
      <c r="I5816" s="4" t="str">
        <v>×</v>
      </c>
      <c r="J5816" s="4"/>
      <c r="K5816" s="4"/>
      <c r="L5816" s="4"/>
      <c r="M5816" s="5" t="s">
        <v>4475</v>
      </c>
    </row>
    <row r="5817" customFormat="false" ht="15.75" hidden="false" customHeight="false" outlineLevel="0" collapsed="false">
      <c r="A5817" s="6" t="n">
        <v>46179</v>
      </c>
      <c r="B5817" s="4" t="s">
        <v>4473</v>
      </c>
      <c r="C5817" s="4" t="n">
        <v>1</v>
      </c>
      <c r="D5817" s="4" t="n">
        <v>14</v>
      </c>
      <c r="E5817" s="4" t="s">
        <v>4482</v>
      </c>
      <c r="F5817" s="4" t="n">
        <v>31</v>
      </c>
      <c r="G5817" s="4" t="n">
        <v>4</v>
      </c>
      <c r="H5817" s="4" t="n">
        <v>1</v>
      </c>
      <c r="I5817" s="4" t="str">
        <v>○</v>
      </c>
      <c r="J5817" s="4" t="n">
        <v>150</v>
      </c>
      <c r="K5817" s="4"/>
      <c r="L5817" s="4"/>
      <c r="M5817" s="5" t="s">
        <v>4475</v>
      </c>
    </row>
    <row r="5818" customFormat="false" ht="15.75" hidden="false" customHeight="false" outlineLevel="0" collapsed="false">
      <c r="A5818" s="6" t="n">
        <v>46179</v>
      </c>
      <c r="B5818" s="4" t="s">
        <v>4473</v>
      </c>
      <c r="C5818" s="4" t="n">
        <v>2</v>
      </c>
      <c r="D5818" s="4" t="n">
        <v>1</v>
      </c>
      <c r="E5818" s="4" t="s">
        <v>2934</v>
      </c>
      <c r="F5818" s="4" t="n">
        <v>81</v>
      </c>
      <c r="G5818" s="4" t="n">
        <v>1</v>
      </c>
      <c r="H5818" s="4" t="n">
        <v>3</v>
      </c>
      <c r="I5818" s="4" t="str">
        <v>○</v>
      </c>
      <c r="J5818" s="4" t="n">
        <v>110</v>
      </c>
      <c r="K5818" s="4"/>
      <c r="L5818" s="4"/>
      <c r="M5818" s="5" t="s">
        <v>4475</v>
      </c>
    </row>
    <row r="5819" customFormat="false" ht="15.75" hidden="false" customHeight="false" outlineLevel="0" collapsed="false">
      <c r="A5819" s="6" t="n">
        <v>46179</v>
      </c>
      <c r="B5819" s="4" t="s">
        <v>4473</v>
      </c>
      <c r="C5819" s="4" t="n">
        <v>2</v>
      </c>
      <c r="D5819" s="4" t="n">
        <v>2</v>
      </c>
      <c r="E5819" s="4" t="s">
        <v>798</v>
      </c>
      <c r="F5819" s="4" t="n">
        <v>25</v>
      </c>
      <c r="G5819" s="4" t="n">
        <v>4</v>
      </c>
      <c r="H5819" s="4" t="n">
        <v>4</v>
      </c>
      <c r="I5819" s="4" t="str">
        <v>×</v>
      </c>
      <c r="J5819" s="4"/>
      <c r="K5819" s="4"/>
      <c r="L5819" s="4"/>
      <c r="M5819" s="5" t="s">
        <v>4475</v>
      </c>
    </row>
    <row r="5820" customFormat="false" ht="15.75" hidden="false" customHeight="false" outlineLevel="0" collapsed="false">
      <c r="A5820" s="6" t="n">
        <v>46179</v>
      </c>
      <c r="B5820" s="4" t="s">
        <v>4473</v>
      </c>
      <c r="C5820" s="4" t="n">
        <v>2</v>
      </c>
      <c r="D5820" s="4" t="n">
        <v>3</v>
      </c>
      <c r="E5820" s="4" t="s">
        <v>1893</v>
      </c>
      <c r="F5820" s="4" t="n">
        <v>23</v>
      </c>
      <c r="G5820" s="4" t="n">
        <v>5</v>
      </c>
      <c r="H5820" s="4" t="n">
        <v>4</v>
      </c>
      <c r="I5820" s="4" t="str">
        <v>×</v>
      </c>
      <c r="J5820" s="4"/>
      <c r="K5820" s="4"/>
      <c r="L5820" s="4"/>
      <c r="M5820" s="5" t="s">
        <v>4475</v>
      </c>
    </row>
    <row r="5821" customFormat="false" ht="15.75" hidden="false" customHeight="false" outlineLevel="0" collapsed="false">
      <c r="A5821" s="6" t="n">
        <v>46179</v>
      </c>
      <c r="B5821" s="4" t="s">
        <v>4473</v>
      </c>
      <c r="C5821" s="4" t="n">
        <v>2</v>
      </c>
      <c r="D5821" s="4" t="n">
        <v>4</v>
      </c>
      <c r="E5821" s="4" t="s">
        <v>4483</v>
      </c>
      <c r="F5821" s="4" t="n">
        <v>13</v>
      </c>
      <c r="G5821" s="4" t="n">
        <v>6</v>
      </c>
      <c r="H5821" s="4" t="n">
        <v>4</v>
      </c>
      <c r="I5821" s="4" t="str">
        <v>×</v>
      </c>
      <c r="J5821" s="4"/>
      <c r="K5821" s="4"/>
      <c r="L5821" s="4"/>
      <c r="M5821" s="5" t="s">
        <v>4475</v>
      </c>
    </row>
    <row r="5822" customFormat="false" ht="15.75" hidden="false" customHeight="false" outlineLevel="0" collapsed="false">
      <c r="A5822" s="6" t="n">
        <v>46179</v>
      </c>
      <c r="B5822" s="4" t="s">
        <v>4473</v>
      </c>
      <c r="C5822" s="4" t="n">
        <v>2</v>
      </c>
      <c r="D5822" s="4" t="n">
        <v>5</v>
      </c>
      <c r="E5822" s="4" t="s">
        <v>2576</v>
      </c>
      <c r="F5822" s="4" t="n">
        <v>13</v>
      </c>
      <c r="G5822" s="4" t="n">
        <v>6</v>
      </c>
      <c r="H5822" s="4" t="n">
        <v>4</v>
      </c>
      <c r="I5822" s="4" t="str">
        <v>×</v>
      </c>
      <c r="J5822" s="4"/>
      <c r="K5822" s="4"/>
      <c r="L5822" s="4"/>
      <c r="M5822" s="5" t="s">
        <v>4475</v>
      </c>
    </row>
    <row r="5823" customFormat="false" ht="15.75" hidden="false" customHeight="false" outlineLevel="0" collapsed="false">
      <c r="A5823" s="6" t="n">
        <v>46179</v>
      </c>
      <c r="B5823" s="4" t="s">
        <v>4473</v>
      </c>
      <c r="C5823" s="4" t="n">
        <v>2</v>
      </c>
      <c r="D5823" s="4" t="n">
        <v>6</v>
      </c>
      <c r="E5823" s="4" t="s">
        <v>4484</v>
      </c>
      <c r="F5823" s="4" t="n">
        <v>4</v>
      </c>
      <c r="G5823" s="4" t="n">
        <v>9</v>
      </c>
      <c r="H5823" s="4" t="n">
        <v>4</v>
      </c>
      <c r="I5823" s="4" t="str">
        <v>×</v>
      </c>
      <c r="J5823" s="4"/>
      <c r="K5823" s="4"/>
      <c r="L5823" s="4"/>
      <c r="M5823" s="5" t="s">
        <v>4475</v>
      </c>
    </row>
    <row r="5824" customFormat="false" ht="15.75" hidden="false" customHeight="false" outlineLevel="0" collapsed="false">
      <c r="A5824" s="6" t="n">
        <v>46179</v>
      </c>
      <c r="B5824" s="4" t="s">
        <v>4473</v>
      </c>
      <c r="C5824" s="4" t="n">
        <v>2</v>
      </c>
      <c r="D5824" s="4" t="n">
        <v>7</v>
      </c>
      <c r="E5824" s="4" t="s">
        <v>1426</v>
      </c>
      <c r="F5824" s="4" t="n">
        <v>6</v>
      </c>
      <c r="G5824" s="4" t="n">
        <v>8</v>
      </c>
      <c r="H5824" s="4" t="n">
        <v>4</v>
      </c>
      <c r="I5824" s="4" t="str">
        <v>×</v>
      </c>
      <c r="J5824" s="4"/>
      <c r="K5824" s="4"/>
      <c r="L5824" s="4"/>
      <c r="M5824" s="5" t="s">
        <v>4475</v>
      </c>
    </row>
    <row r="5825" customFormat="false" ht="15.75" hidden="false" customHeight="false" outlineLevel="0" collapsed="false">
      <c r="A5825" s="6" t="n">
        <v>46179</v>
      </c>
      <c r="B5825" s="4" t="s">
        <v>4473</v>
      </c>
      <c r="C5825" s="4" t="n">
        <v>2</v>
      </c>
      <c r="D5825" s="4" t="n">
        <v>8</v>
      </c>
      <c r="E5825" s="4" t="s">
        <v>4485</v>
      </c>
      <c r="F5825" s="4" t="n">
        <v>10</v>
      </c>
      <c r="G5825" s="4" t="n">
        <v>7</v>
      </c>
      <c r="H5825" s="4" t="n">
        <v>4</v>
      </c>
      <c r="I5825" s="4" t="str">
        <v>×</v>
      </c>
      <c r="J5825" s="4"/>
      <c r="K5825" s="4"/>
      <c r="L5825" s="4"/>
      <c r="M5825" s="5" t="s">
        <v>4475</v>
      </c>
    </row>
    <row r="5826" customFormat="false" ht="15.75" hidden="false" customHeight="false" outlineLevel="0" collapsed="false">
      <c r="A5826" s="6" t="n">
        <v>46179</v>
      </c>
      <c r="B5826" s="4" t="s">
        <v>4473</v>
      </c>
      <c r="C5826" s="4" t="n">
        <v>2</v>
      </c>
      <c r="D5826" s="4" t="n">
        <v>9</v>
      </c>
      <c r="E5826" s="4" t="s">
        <v>2369</v>
      </c>
      <c r="F5826" s="4" t="n">
        <v>58</v>
      </c>
      <c r="G5826" s="4" t="n">
        <v>2</v>
      </c>
      <c r="H5826" s="4" t="n">
        <v>2</v>
      </c>
      <c r="I5826" s="4" t="str">
        <v>○</v>
      </c>
      <c r="J5826" s="4" t="n">
        <v>120</v>
      </c>
      <c r="K5826" s="4"/>
      <c r="L5826" s="4"/>
      <c r="M5826" s="5" t="s">
        <v>4475</v>
      </c>
    </row>
    <row r="5827" customFormat="false" ht="15.75" hidden="false" customHeight="false" outlineLevel="0" collapsed="false">
      <c r="A5827" s="6" t="n">
        <v>46179</v>
      </c>
      <c r="B5827" s="4" t="s">
        <v>4473</v>
      </c>
      <c r="C5827" s="4" t="n">
        <v>2</v>
      </c>
      <c r="D5827" s="4" t="n">
        <v>10</v>
      </c>
      <c r="E5827" s="4" t="s">
        <v>4486</v>
      </c>
      <c r="F5827" s="4" t="n">
        <v>4</v>
      </c>
      <c r="G5827" s="4" t="n">
        <v>9</v>
      </c>
      <c r="H5827" s="4" t="n">
        <v>4</v>
      </c>
      <c r="I5827" s="4" t="str">
        <v>×</v>
      </c>
      <c r="J5827" s="4"/>
      <c r="K5827" s="4"/>
      <c r="L5827" s="4"/>
      <c r="M5827" s="5" t="s">
        <v>4475</v>
      </c>
    </row>
    <row r="5828" customFormat="false" ht="15.75" hidden="false" customHeight="false" outlineLevel="0" collapsed="false">
      <c r="A5828" s="6" t="n">
        <v>46179</v>
      </c>
      <c r="B5828" s="4" t="s">
        <v>4473</v>
      </c>
      <c r="C5828" s="4" t="n">
        <v>2</v>
      </c>
      <c r="D5828" s="4" t="n">
        <v>11</v>
      </c>
      <c r="E5828" s="4" t="s">
        <v>4487</v>
      </c>
      <c r="F5828" s="4" t="n">
        <v>6</v>
      </c>
      <c r="G5828" s="4" t="n">
        <v>8</v>
      </c>
      <c r="H5828" s="4" t="n">
        <v>4</v>
      </c>
      <c r="I5828" s="4" t="str">
        <v>×</v>
      </c>
      <c r="J5828" s="4"/>
      <c r="K5828" s="4"/>
      <c r="L5828" s="4"/>
      <c r="M5828" s="5" t="s">
        <v>4475</v>
      </c>
    </row>
    <row r="5829" customFormat="false" ht="15.75" hidden="false" customHeight="false" outlineLevel="0" collapsed="false">
      <c r="A5829" s="6" t="n">
        <v>46179</v>
      </c>
      <c r="B5829" s="4" t="s">
        <v>4473</v>
      </c>
      <c r="C5829" s="4" t="n">
        <v>2</v>
      </c>
      <c r="D5829" s="4" t="n">
        <v>12</v>
      </c>
      <c r="E5829" s="4" t="s">
        <v>4488</v>
      </c>
      <c r="F5829" s="4" t="n">
        <v>6</v>
      </c>
      <c r="G5829" s="4" t="n">
        <v>8</v>
      </c>
      <c r="H5829" s="4" t="n">
        <v>4</v>
      </c>
      <c r="I5829" s="4" t="str">
        <v>×</v>
      </c>
      <c r="J5829" s="4"/>
      <c r="K5829" s="4"/>
      <c r="L5829" s="4"/>
      <c r="M5829" s="5" t="s">
        <v>4475</v>
      </c>
    </row>
    <row r="5830" customFormat="false" ht="15.75" hidden="false" customHeight="false" outlineLevel="0" collapsed="false">
      <c r="A5830" s="6" t="n">
        <v>46179</v>
      </c>
      <c r="B5830" s="4" t="s">
        <v>4473</v>
      </c>
      <c r="C5830" s="4" t="n">
        <v>2</v>
      </c>
      <c r="D5830" s="4" t="n">
        <v>13</v>
      </c>
      <c r="E5830" s="4" t="s">
        <v>823</v>
      </c>
      <c r="F5830" s="4" t="n">
        <v>31</v>
      </c>
      <c r="G5830" s="4" t="n">
        <v>3</v>
      </c>
      <c r="H5830" s="4" t="n">
        <v>4</v>
      </c>
      <c r="I5830" s="4" t="str">
        <v>×</v>
      </c>
      <c r="J5830" s="4"/>
      <c r="K5830" s="4"/>
      <c r="L5830" s="4"/>
      <c r="M5830" s="5" t="s">
        <v>4475</v>
      </c>
    </row>
    <row r="5831" customFormat="false" ht="15.75" hidden="false" customHeight="false" outlineLevel="0" collapsed="false">
      <c r="A5831" s="6" t="n">
        <v>46179</v>
      </c>
      <c r="B5831" s="4" t="s">
        <v>4473</v>
      </c>
      <c r="C5831" s="4" t="n">
        <v>2</v>
      </c>
      <c r="D5831" s="4" t="n">
        <v>14</v>
      </c>
      <c r="E5831" s="4" t="s">
        <v>4489</v>
      </c>
      <c r="F5831" s="4" t="n">
        <v>6</v>
      </c>
      <c r="G5831" s="4" t="n">
        <v>8</v>
      </c>
      <c r="H5831" s="4" t="n">
        <v>4</v>
      </c>
      <c r="I5831" s="4" t="str">
        <v>×</v>
      </c>
      <c r="J5831" s="4"/>
      <c r="K5831" s="4"/>
      <c r="L5831" s="4"/>
      <c r="M5831" s="5" t="s">
        <v>4475</v>
      </c>
    </row>
    <row r="5832" customFormat="false" ht="15.75" hidden="false" customHeight="false" outlineLevel="0" collapsed="false">
      <c r="A5832" s="6" t="n">
        <v>46179</v>
      </c>
      <c r="B5832" s="4" t="s">
        <v>4473</v>
      </c>
      <c r="C5832" s="4" t="n">
        <v>2</v>
      </c>
      <c r="D5832" s="4" t="n">
        <v>15</v>
      </c>
      <c r="E5832" s="4" t="s">
        <v>4490</v>
      </c>
      <c r="F5832" s="4" t="n">
        <v>10</v>
      </c>
      <c r="G5832" s="4" t="n">
        <v>7</v>
      </c>
      <c r="H5832" s="4" t="n">
        <v>1</v>
      </c>
      <c r="I5832" s="4" t="str">
        <v>○</v>
      </c>
      <c r="J5832" s="4" t="n">
        <v>570</v>
      </c>
      <c r="K5832" s="4"/>
      <c r="L5832" s="4"/>
      <c r="M5832" s="5" t="s">
        <v>4475</v>
      </c>
    </row>
    <row r="5833" customFormat="false" ht="15.75" hidden="false" customHeight="false" outlineLevel="0" collapsed="false">
      <c r="A5833" s="6" t="n">
        <v>46179</v>
      </c>
      <c r="B5833" s="4" t="s">
        <v>4473</v>
      </c>
      <c r="C5833" s="4" t="n">
        <v>2</v>
      </c>
      <c r="D5833" s="4" t="n">
        <v>16</v>
      </c>
      <c r="E5833" s="4" t="s">
        <v>4491</v>
      </c>
      <c r="F5833" s="4" t="n">
        <v>3</v>
      </c>
      <c r="G5833" s="4" t="n">
        <v>10</v>
      </c>
      <c r="H5833" s="4" t="n">
        <v>4</v>
      </c>
      <c r="I5833" s="4" t="str">
        <v>×</v>
      </c>
      <c r="J5833" s="4"/>
      <c r="K5833" s="4"/>
      <c r="L5833" s="4"/>
      <c r="M5833" s="5" t="s">
        <v>4475</v>
      </c>
    </row>
    <row r="5834" customFormat="false" ht="15.75" hidden="false" customHeight="false" outlineLevel="0" collapsed="false">
      <c r="A5834" s="6" t="n">
        <v>46179</v>
      </c>
      <c r="B5834" s="4" t="s">
        <v>4473</v>
      </c>
      <c r="C5834" s="4" t="n">
        <v>3</v>
      </c>
      <c r="D5834" s="4" t="n">
        <v>1</v>
      </c>
      <c r="E5834" s="4" t="s">
        <v>4492</v>
      </c>
      <c r="F5834" s="4" t="n">
        <v>8</v>
      </c>
      <c r="G5834" s="4" t="n">
        <v>6</v>
      </c>
      <c r="H5834" s="4" t="n">
        <v>4</v>
      </c>
      <c r="I5834" s="4" t="str">
        <v>×</v>
      </c>
      <c r="J5834" s="4"/>
      <c r="K5834" s="4"/>
      <c r="L5834" s="4"/>
      <c r="M5834" s="5" t="s">
        <v>4475</v>
      </c>
    </row>
    <row r="5835" customFormat="false" ht="15.75" hidden="false" customHeight="false" outlineLevel="0" collapsed="false">
      <c r="A5835" s="6" t="n">
        <v>46179</v>
      </c>
      <c r="B5835" s="4" t="s">
        <v>4473</v>
      </c>
      <c r="C5835" s="4" t="n">
        <v>3</v>
      </c>
      <c r="D5835" s="4" t="n">
        <v>2</v>
      </c>
      <c r="E5835" s="4" t="s">
        <v>4493</v>
      </c>
      <c r="F5835" s="4" t="n">
        <v>1</v>
      </c>
      <c r="G5835" s="4" t="n">
        <v>11</v>
      </c>
      <c r="H5835" s="4" t="n">
        <v>4</v>
      </c>
      <c r="I5835" s="4" t="str">
        <v>×</v>
      </c>
      <c r="J5835" s="4"/>
      <c r="K5835" s="4"/>
      <c r="L5835" s="4"/>
      <c r="M5835" s="5" t="s">
        <v>4475</v>
      </c>
    </row>
    <row r="5836" customFormat="false" ht="15.75" hidden="false" customHeight="false" outlineLevel="0" collapsed="false">
      <c r="A5836" s="6" t="n">
        <v>46179</v>
      </c>
      <c r="B5836" s="4" t="s">
        <v>4473</v>
      </c>
      <c r="C5836" s="4" t="n">
        <v>3</v>
      </c>
      <c r="D5836" s="4" t="n">
        <v>3</v>
      </c>
      <c r="E5836" s="4" t="s">
        <v>4494</v>
      </c>
      <c r="F5836" s="4" t="n">
        <v>25</v>
      </c>
      <c r="G5836" s="4" t="n">
        <v>3</v>
      </c>
      <c r="H5836" s="4" t="n">
        <v>4</v>
      </c>
      <c r="I5836" s="4" t="str">
        <v>×</v>
      </c>
      <c r="J5836" s="4"/>
      <c r="K5836" s="4"/>
      <c r="L5836" s="4"/>
      <c r="M5836" s="5" t="s">
        <v>4475</v>
      </c>
    </row>
    <row r="5837" customFormat="false" ht="15.75" hidden="false" customHeight="false" outlineLevel="0" collapsed="false">
      <c r="A5837" s="6" t="n">
        <v>46179</v>
      </c>
      <c r="B5837" s="4" t="s">
        <v>4473</v>
      </c>
      <c r="C5837" s="4" t="n">
        <v>3</v>
      </c>
      <c r="D5837" s="4" t="n">
        <v>4</v>
      </c>
      <c r="E5837" s="4" t="s">
        <v>3358</v>
      </c>
      <c r="F5837" s="4" t="n">
        <v>6</v>
      </c>
      <c r="G5837" s="4" t="n">
        <v>7</v>
      </c>
      <c r="H5837" s="4" t="n">
        <v>4</v>
      </c>
      <c r="I5837" s="4" t="str">
        <v>×</v>
      </c>
      <c r="J5837" s="4"/>
      <c r="K5837" s="4"/>
      <c r="L5837" s="4"/>
      <c r="M5837" s="5" t="s">
        <v>4475</v>
      </c>
    </row>
    <row r="5838" customFormat="false" ht="15.75" hidden="false" customHeight="false" outlineLevel="0" collapsed="false">
      <c r="A5838" s="6" t="n">
        <v>46179</v>
      </c>
      <c r="B5838" s="4" t="s">
        <v>4473</v>
      </c>
      <c r="C5838" s="4" t="n">
        <v>3</v>
      </c>
      <c r="D5838" s="4" t="n">
        <v>5</v>
      </c>
      <c r="E5838" s="4" t="s">
        <v>4013</v>
      </c>
      <c r="F5838" s="4" t="n">
        <v>15</v>
      </c>
      <c r="G5838" s="4" t="n">
        <v>4</v>
      </c>
      <c r="H5838" s="4" t="n">
        <v>4</v>
      </c>
      <c r="I5838" s="4" t="str">
        <v>×</v>
      </c>
      <c r="J5838" s="4"/>
      <c r="K5838" s="4"/>
      <c r="L5838" s="4"/>
      <c r="M5838" s="5" t="s">
        <v>4475</v>
      </c>
    </row>
    <row r="5839" customFormat="false" ht="15.75" hidden="false" customHeight="false" outlineLevel="0" collapsed="false">
      <c r="A5839" s="6" t="n">
        <v>46179</v>
      </c>
      <c r="B5839" s="4" t="s">
        <v>4473</v>
      </c>
      <c r="C5839" s="4" t="n">
        <v>3</v>
      </c>
      <c r="D5839" s="4" t="n">
        <v>6</v>
      </c>
      <c r="E5839" s="4" t="s">
        <v>4495</v>
      </c>
      <c r="F5839" s="4" t="n">
        <v>4</v>
      </c>
      <c r="G5839" s="4" t="n">
        <v>8</v>
      </c>
      <c r="H5839" s="4" t="n">
        <v>4</v>
      </c>
      <c r="I5839" s="4" t="str">
        <v>×</v>
      </c>
      <c r="J5839" s="4"/>
      <c r="K5839" s="4"/>
      <c r="L5839" s="4"/>
      <c r="M5839" s="5" t="s">
        <v>4475</v>
      </c>
    </row>
    <row r="5840" customFormat="false" ht="15.75" hidden="false" customHeight="false" outlineLevel="0" collapsed="false">
      <c r="A5840" s="6" t="n">
        <v>46179</v>
      </c>
      <c r="B5840" s="4" t="s">
        <v>4473</v>
      </c>
      <c r="C5840" s="4" t="n">
        <v>3</v>
      </c>
      <c r="D5840" s="4" t="n">
        <v>7</v>
      </c>
      <c r="E5840" s="4" t="s">
        <v>939</v>
      </c>
      <c r="F5840" s="4" t="n">
        <v>4</v>
      </c>
      <c r="G5840" s="4" t="n">
        <v>8</v>
      </c>
      <c r="H5840" s="4" t="n">
        <v>4</v>
      </c>
      <c r="I5840" s="4" t="str">
        <v>×</v>
      </c>
      <c r="J5840" s="4"/>
      <c r="K5840" s="4"/>
      <c r="L5840" s="4"/>
      <c r="M5840" s="5" t="s">
        <v>4475</v>
      </c>
    </row>
    <row r="5841" customFormat="false" ht="15.75" hidden="false" customHeight="false" outlineLevel="0" collapsed="false">
      <c r="A5841" s="6" t="n">
        <v>46179</v>
      </c>
      <c r="B5841" s="4" t="s">
        <v>4473</v>
      </c>
      <c r="C5841" s="4" t="n">
        <v>3</v>
      </c>
      <c r="D5841" s="4" t="n">
        <v>8</v>
      </c>
      <c r="E5841" s="4" t="s">
        <v>4496</v>
      </c>
      <c r="F5841" s="4" t="n">
        <v>3</v>
      </c>
      <c r="G5841" s="4" t="n">
        <v>9</v>
      </c>
      <c r="H5841" s="4" t="n">
        <v>4</v>
      </c>
      <c r="I5841" s="4" t="str">
        <v>×</v>
      </c>
      <c r="J5841" s="4"/>
      <c r="K5841" s="4"/>
      <c r="L5841" s="4"/>
      <c r="M5841" s="5" t="s">
        <v>4475</v>
      </c>
    </row>
    <row r="5842" customFormat="false" ht="15.75" hidden="false" customHeight="false" outlineLevel="0" collapsed="false">
      <c r="A5842" s="6" t="n">
        <v>46179</v>
      </c>
      <c r="B5842" s="4" t="s">
        <v>4473</v>
      </c>
      <c r="C5842" s="4" t="n">
        <v>3</v>
      </c>
      <c r="D5842" s="4" t="n">
        <v>9</v>
      </c>
      <c r="E5842" s="4" t="s">
        <v>3735</v>
      </c>
      <c r="F5842" s="4" t="n">
        <v>50</v>
      </c>
      <c r="G5842" s="4" t="n">
        <v>2</v>
      </c>
      <c r="H5842" s="4" t="n">
        <v>2</v>
      </c>
      <c r="I5842" s="4" t="str">
        <v>○</v>
      </c>
      <c r="J5842" s="4" t="n">
        <v>130</v>
      </c>
      <c r="K5842" s="4"/>
      <c r="L5842" s="4"/>
      <c r="M5842" s="5" t="s">
        <v>4475</v>
      </c>
    </row>
    <row r="5843" customFormat="false" ht="15.75" hidden="false" customHeight="false" outlineLevel="0" collapsed="false">
      <c r="A5843" s="6" t="n">
        <v>46179</v>
      </c>
      <c r="B5843" s="4" t="s">
        <v>4473</v>
      </c>
      <c r="C5843" s="4" t="n">
        <v>3</v>
      </c>
      <c r="D5843" s="4" t="n">
        <v>10</v>
      </c>
      <c r="E5843" s="4" t="s">
        <v>495</v>
      </c>
      <c r="F5843" s="4" t="n">
        <v>13</v>
      </c>
      <c r="G5843" s="4" t="n">
        <v>5</v>
      </c>
      <c r="H5843" s="4" t="n">
        <v>4</v>
      </c>
      <c r="I5843" s="4" t="str">
        <v>×</v>
      </c>
      <c r="J5843" s="4"/>
      <c r="K5843" s="4"/>
      <c r="L5843" s="4"/>
      <c r="M5843" s="5" t="s">
        <v>4475</v>
      </c>
    </row>
    <row r="5844" customFormat="false" ht="15.75" hidden="false" customHeight="false" outlineLevel="0" collapsed="false">
      <c r="A5844" s="6" t="n">
        <v>46179</v>
      </c>
      <c r="B5844" s="4" t="s">
        <v>4473</v>
      </c>
      <c r="C5844" s="4" t="n">
        <v>3</v>
      </c>
      <c r="D5844" s="4" t="n">
        <v>11</v>
      </c>
      <c r="E5844" s="4" t="s">
        <v>1474</v>
      </c>
      <c r="F5844" s="4" t="n">
        <v>4</v>
      </c>
      <c r="G5844" s="4" t="n">
        <v>8</v>
      </c>
      <c r="H5844" s="4" t="n">
        <v>4</v>
      </c>
      <c r="I5844" s="4" t="str">
        <v>×</v>
      </c>
      <c r="J5844" s="4"/>
      <c r="K5844" s="4"/>
      <c r="L5844" s="4"/>
      <c r="M5844" s="5" t="s">
        <v>4475</v>
      </c>
    </row>
    <row r="5845" customFormat="false" ht="15.75" hidden="false" customHeight="false" outlineLevel="0" collapsed="false">
      <c r="A5845" s="6" t="n">
        <v>46179</v>
      </c>
      <c r="B5845" s="4" t="s">
        <v>4473</v>
      </c>
      <c r="C5845" s="4" t="n">
        <v>3</v>
      </c>
      <c r="D5845" s="4" t="n">
        <v>12</v>
      </c>
      <c r="E5845" s="4" t="s">
        <v>3354</v>
      </c>
      <c r="F5845" s="4" t="n">
        <v>58</v>
      </c>
      <c r="G5845" s="4" t="n">
        <v>1</v>
      </c>
      <c r="H5845" s="4" t="n">
        <v>3</v>
      </c>
      <c r="I5845" s="4" t="str">
        <v>○</v>
      </c>
      <c r="J5845" s="4" t="n">
        <v>120</v>
      </c>
      <c r="K5845" s="4"/>
      <c r="L5845" s="4"/>
      <c r="M5845" s="5" t="s">
        <v>4475</v>
      </c>
    </row>
    <row r="5846" customFormat="false" ht="15.75" hidden="false" customHeight="false" outlineLevel="0" collapsed="false">
      <c r="A5846" s="6" t="n">
        <v>46179</v>
      </c>
      <c r="B5846" s="4" t="s">
        <v>4473</v>
      </c>
      <c r="C5846" s="4" t="n">
        <v>3</v>
      </c>
      <c r="D5846" s="4" t="n">
        <v>13</v>
      </c>
      <c r="E5846" s="4" t="s">
        <v>4497</v>
      </c>
      <c r="F5846" s="4" t="n">
        <v>2</v>
      </c>
      <c r="G5846" s="4" t="n">
        <v>10</v>
      </c>
      <c r="H5846" s="4" t="n">
        <v>4</v>
      </c>
      <c r="I5846" s="4" t="str">
        <v>×</v>
      </c>
      <c r="J5846" s="4"/>
      <c r="K5846" s="4"/>
      <c r="L5846" s="4"/>
      <c r="M5846" s="5" t="s">
        <v>4475</v>
      </c>
    </row>
    <row r="5847" customFormat="false" ht="15.75" hidden="false" customHeight="false" outlineLevel="0" collapsed="false">
      <c r="A5847" s="6" t="n">
        <v>46179</v>
      </c>
      <c r="B5847" s="4" t="s">
        <v>4473</v>
      </c>
      <c r="C5847" s="4" t="n">
        <v>3</v>
      </c>
      <c r="D5847" s="4" t="n">
        <v>14</v>
      </c>
      <c r="E5847" s="4" t="s">
        <v>598</v>
      </c>
      <c r="F5847" s="4" t="n">
        <v>13</v>
      </c>
      <c r="G5847" s="4" t="n">
        <v>5</v>
      </c>
      <c r="H5847" s="4" t="n">
        <v>4</v>
      </c>
      <c r="I5847" s="4" t="str">
        <v>×</v>
      </c>
      <c r="J5847" s="4"/>
      <c r="K5847" s="4"/>
      <c r="L5847" s="4"/>
      <c r="M5847" s="5" t="s">
        <v>4475</v>
      </c>
    </row>
    <row r="5848" customFormat="false" ht="15.75" hidden="false" customHeight="false" outlineLevel="0" collapsed="false">
      <c r="A5848" s="6" t="n">
        <v>46179</v>
      </c>
      <c r="B5848" s="4" t="s">
        <v>4473</v>
      </c>
      <c r="C5848" s="4" t="n">
        <v>3</v>
      </c>
      <c r="D5848" s="4" t="n">
        <v>15</v>
      </c>
      <c r="E5848" s="4" t="s">
        <v>4498</v>
      </c>
      <c r="F5848" s="4" t="n">
        <v>6</v>
      </c>
      <c r="G5848" s="4" t="n">
        <v>7</v>
      </c>
      <c r="H5848" s="4" t="n">
        <v>1</v>
      </c>
      <c r="I5848" s="4" t="str">
        <v>○</v>
      </c>
      <c r="J5848" s="4" t="n">
        <v>110</v>
      </c>
      <c r="K5848" s="4"/>
      <c r="L5848" s="4"/>
      <c r="M5848" s="5" t="s">
        <v>4475</v>
      </c>
    </row>
    <row r="5849" customFormat="false" ht="15.75" hidden="false" customHeight="false" outlineLevel="0" collapsed="false">
      <c r="A5849" s="6" t="n">
        <v>46179</v>
      </c>
      <c r="B5849" s="4" t="s">
        <v>4473</v>
      </c>
      <c r="C5849" s="4" t="n">
        <v>3</v>
      </c>
      <c r="D5849" s="4" t="n">
        <v>16</v>
      </c>
      <c r="E5849" s="4" t="s">
        <v>4499</v>
      </c>
      <c r="F5849" s="4" t="n">
        <v>3</v>
      </c>
      <c r="G5849" s="4" t="n">
        <v>9</v>
      </c>
      <c r="H5849" s="4" t="n">
        <v>4</v>
      </c>
      <c r="I5849" s="4" t="str">
        <v>×</v>
      </c>
      <c r="J5849" s="4"/>
      <c r="K5849" s="4"/>
      <c r="L5849" s="4"/>
      <c r="M5849" s="5" t="s">
        <v>4475</v>
      </c>
    </row>
    <row r="5850" customFormat="false" ht="15.75" hidden="false" customHeight="false" outlineLevel="0" collapsed="false">
      <c r="A5850" s="6" t="n">
        <v>46179</v>
      </c>
      <c r="B5850" s="4" t="s">
        <v>4473</v>
      </c>
      <c r="C5850" s="4" t="n">
        <v>4</v>
      </c>
      <c r="D5850" s="4" t="n">
        <v>1</v>
      </c>
      <c r="E5850" s="4" t="s">
        <v>4500</v>
      </c>
      <c r="F5850" s="4" t="n">
        <v>24</v>
      </c>
      <c r="G5850" s="4" t="n">
        <v>3</v>
      </c>
      <c r="H5850" s="4" t="n">
        <v>4</v>
      </c>
      <c r="I5850" s="4" t="str">
        <v>×</v>
      </c>
      <c r="J5850" s="4"/>
      <c r="K5850" s="4"/>
      <c r="L5850" s="4"/>
      <c r="M5850" s="5" t="s">
        <v>4475</v>
      </c>
    </row>
    <row r="5851" customFormat="false" ht="15.75" hidden="false" customHeight="false" outlineLevel="0" collapsed="false">
      <c r="A5851" s="6" t="n">
        <v>46179</v>
      </c>
      <c r="B5851" s="4" t="s">
        <v>4473</v>
      </c>
      <c r="C5851" s="4" t="n">
        <v>4</v>
      </c>
      <c r="D5851" s="4" t="n">
        <v>2</v>
      </c>
      <c r="E5851" s="4" t="s">
        <v>4501</v>
      </c>
      <c r="F5851" s="4" t="n">
        <v>37</v>
      </c>
      <c r="G5851" s="4" t="n">
        <v>1</v>
      </c>
      <c r="H5851" s="4" t="n">
        <v>1</v>
      </c>
      <c r="I5851" s="4" t="str">
        <v>○</v>
      </c>
      <c r="J5851" s="4" t="n">
        <v>170</v>
      </c>
      <c r="K5851" s="4"/>
      <c r="L5851" s="4"/>
      <c r="M5851" s="5" t="s">
        <v>4475</v>
      </c>
    </row>
    <row r="5852" customFormat="false" ht="15.75" hidden="false" customHeight="false" outlineLevel="0" collapsed="false">
      <c r="A5852" s="6" t="n">
        <v>46179</v>
      </c>
      <c r="B5852" s="4" t="s">
        <v>4473</v>
      </c>
      <c r="C5852" s="4" t="n">
        <v>4</v>
      </c>
      <c r="D5852" s="4" t="n">
        <v>3</v>
      </c>
      <c r="E5852" s="4" t="s">
        <v>466</v>
      </c>
      <c r="F5852" s="4" t="n">
        <v>24</v>
      </c>
      <c r="G5852" s="4" t="n">
        <v>3</v>
      </c>
      <c r="H5852" s="4" t="n">
        <v>4</v>
      </c>
      <c r="I5852" s="4" t="str">
        <v>×</v>
      </c>
      <c r="J5852" s="4"/>
      <c r="K5852" s="4"/>
      <c r="L5852" s="4"/>
      <c r="M5852" s="5" t="s">
        <v>4475</v>
      </c>
    </row>
    <row r="5853" customFormat="false" ht="15.75" hidden="false" customHeight="false" outlineLevel="0" collapsed="false">
      <c r="A5853" s="6" t="n">
        <v>46179</v>
      </c>
      <c r="B5853" s="4" t="s">
        <v>4473</v>
      </c>
      <c r="C5853" s="4" t="n">
        <v>4</v>
      </c>
      <c r="D5853" s="4" t="n">
        <v>4</v>
      </c>
      <c r="E5853" s="4" t="s">
        <v>472</v>
      </c>
      <c r="F5853" s="4" t="n">
        <v>24</v>
      </c>
      <c r="G5853" s="4" t="n">
        <v>3</v>
      </c>
      <c r="H5853" s="4" t="n">
        <v>2</v>
      </c>
      <c r="I5853" s="4" t="str">
        <v>○</v>
      </c>
      <c r="J5853" s="4" t="n">
        <v>140</v>
      </c>
      <c r="K5853" s="4"/>
      <c r="L5853" s="4"/>
      <c r="M5853" s="5" t="s">
        <v>4475</v>
      </c>
    </row>
    <row r="5854" customFormat="false" ht="15.75" hidden="false" customHeight="false" outlineLevel="0" collapsed="false">
      <c r="A5854" s="6" t="n">
        <v>46179</v>
      </c>
      <c r="B5854" s="4" t="s">
        <v>4473</v>
      </c>
      <c r="C5854" s="4" t="n">
        <v>4</v>
      </c>
      <c r="D5854" s="4" t="n">
        <v>5</v>
      </c>
      <c r="E5854" s="4" t="s">
        <v>3337</v>
      </c>
      <c r="F5854" s="4" t="n">
        <v>31</v>
      </c>
      <c r="G5854" s="4" t="n">
        <v>2</v>
      </c>
      <c r="H5854" s="4" t="n">
        <v>3</v>
      </c>
      <c r="I5854" s="4" t="str">
        <v>○</v>
      </c>
      <c r="J5854" s="4"/>
      <c r="K5854" s="4"/>
      <c r="L5854" s="4"/>
      <c r="M5854" s="5" t="s">
        <v>4475</v>
      </c>
    </row>
    <row r="5855" customFormat="false" ht="15.75" hidden="false" customHeight="false" outlineLevel="0" collapsed="false">
      <c r="A5855" s="6" t="n">
        <v>46179</v>
      </c>
      <c r="B5855" s="4" t="s">
        <v>4473</v>
      </c>
      <c r="C5855" s="4" t="n">
        <v>4</v>
      </c>
      <c r="D5855" s="4" t="n">
        <v>6</v>
      </c>
      <c r="E5855" s="4" t="s">
        <v>2680</v>
      </c>
      <c r="F5855" s="4" t="n">
        <v>24</v>
      </c>
      <c r="G5855" s="4" t="n">
        <v>3</v>
      </c>
      <c r="H5855" s="4" t="n">
        <v>4</v>
      </c>
      <c r="I5855" s="4" t="str">
        <v>×</v>
      </c>
      <c r="J5855" s="4"/>
      <c r="K5855" s="4"/>
      <c r="L5855" s="4"/>
      <c r="M5855" s="5" t="s">
        <v>4475</v>
      </c>
    </row>
    <row r="5856" customFormat="false" ht="15.75" hidden="false" customHeight="false" outlineLevel="0" collapsed="false">
      <c r="A5856" s="6" t="n">
        <v>46179</v>
      </c>
      <c r="B5856" s="4" t="s">
        <v>4473</v>
      </c>
      <c r="C5856" s="4" t="n">
        <v>4</v>
      </c>
      <c r="D5856" s="4" t="n">
        <v>7</v>
      </c>
      <c r="E5856" s="4" t="s">
        <v>3336</v>
      </c>
      <c r="F5856" s="4" t="n">
        <v>14</v>
      </c>
      <c r="G5856" s="4" t="n">
        <v>4</v>
      </c>
      <c r="H5856" s="4" t="n">
        <v>4</v>
      </c>
      <c r="I5856" s="4" t="str">
        <v>×</v>
      </c>
      <c r="J5856" s="4"/>
      <c r="K5856" s="4"/>
      <c r="L5856" s="4"/>
      <c r="M5856" s="5" t="s">
        <v>4475</v>
      </c>
    </row>
    <row r="5857" customFormat="false" ht="15.75" hidden="false" customHeight="false" outlineLevel="0" collapsed="false">
      <c r="A5857" s="6" t="n">
        <v>46179</v>
      </c>
      <c r="B5857" s="4" t="s">
        <v>4473</v>
      </c>
      <c r="C5857" s="4" t="n">
        <v>5</v>
      </c>
      <c r="D5857" s="4" t="n">
        <v>1</v>
      </c>
      <c r="E5857" s="4" t="s">
        <v>2679</v>
      </c>
      <c r="F5857" s="4" t="n">
        <v>24</v>
      </c>
      <c r="G5857" s="4" t="n">
        <v>4</v>
      </c>
      <c r="H5857" s="4" t="n">
        <v>2</v>
      </c>
      <c r="I5857" s="4" t="str">
        <v>○</v>
      </c>
      <c r="J5857" s="4" t="n">
        <v>120</v>
      </c>
      <c r="K5857" s="4"/>
      <c r="L5857" s="4"/>
      <c r="M5857" s="5" t="s">
        <v>4475</v>
      </c>
    </row>
    <row r="5858" customFormat="false" ht="15.75" hidden="false" customHeight="false" outlineLevel="0" collapsed="false">
      <c r="A5858" s="6" t="n">
        <v>46179</v>
      </c>
      <c r="B5858" s="4" t="s">
        <v>4473</v>
      </c>
      <c r="C5858" s="4" t="n">
        <v>5</v>
      </c>
      <c r="D5858" s="4" t="n">
        <v>2</v>
      </c>
      <c r="E5858" s="4" t="s">
        <v>4502</v>
      </c>
      <c r="F5858" s="4" t="n">
        <v>37</v>
      </c>
      <c r="G5858" s="4" t="n">
        <v>1</v>
      </c>
      <c r="H5858" s="4" t="n">
        <v>1</v>
      </c>
      <c r="I5858" s="4" t="str">
        <v>○</v>
      </c>
      <c r="J5858" s="4" t="n">
        <v>110</v>
      </c>
      <c r="K5858" s="4"/>
      <c r="L5858" s="4"/>
      <c r="M5858" s="5" t="s">
        <v>4475</v>
      </c>
    </row>
    <row r="5859" customFormat="false" ht="15.75" hidden="false" customHeight="false" outlineLevel="0" collapsed="false">
      <c r="A5859" s="6" t="n">
        <v>46179</v>
      </c>
      <c r="B5859" s="4" t="s">
        <v>4473</v>
      </c>
      <c r="C5859" s="4" t="n">
        <v>5</v>
      </c>
      <c r="D5859" s="4" t="n">
        <v>3</v>
      </c>
      <c r="E5859" s="4" t="s">
        <v>4503</v>
      </c>
      <c r="F5859" s="4" t="n">
        <v>24</v>
      </c>
      <c r="G5859" s="4" t="n">
        <v>4</v>
      </c>
      <c r="H5859" s="4" t="n">
        <v>4</v>
      </c>
      <c r="I5859" s="4" t="str">
        <v>×</v>
      </c>
      <c r="J5859" s="4"/>
      <c r="K5859" s="4"/>
      <c r="L5859" s="4"/>
      <c r="M5859" s="5" t="s">
        <v>4475</v>
      </c>
    </row>
    <row r="5860" customFormat="false" ht="15.75" hidden="false" customHeight="false" outlineLevel="0" collapsed="false">
      <c r="A5860" s="6" t="n">
        <v>46179</v>
      </c>
      <c r="B5860" s="4" t="s">
        <v>4473</v>
      </c>
      <c r="C5860" s="4" t="n">
        <v>5</v>
      </c>
      <c r="D5860" s="4" t="n">
        <v>4</v>
      </c>
      <c r="E5860" s="4" t="s">
        <v>470</v>
      </c>
      <c r="F5860" s="4" t="n">
        <v>27</v>
      </c>
      <c r="G5860" s="4" t="n">
        <v>3</v>
      </c>
      <c r="H5860" s="4" t="n">
        <v>4</v>
      </c>
      <c r="I5860" s="4" t="str">
        <v>×</v>
      </c>
      <c r="J5860" s="4"/>
      <c r="K5860" s="4"/>
      <c r="L5860" s="4"/>
      <c r="M5860" s="5" t="s">
        <v>4475</v>
      </c>
    </row>
    <row r="5861" customFormat="false" ht="15.75" hidden="false" customHeight="false" outlineLevel="0" collapsed="false">
      <c r="A5861" s="6" t="n">
        <v>46179</v>
      </c>
      <c r="B5861" s="4" t="s">
        <v>4473</v>
      </c>
      <c r="C5861" s="4" t="n">
        <v>5</v>
      </c>
      <c r="D5861" s="4" t="n">
        <v>5</v>
      </c>
      <c r="E5861" s="4" t="s">
        <v>938</v>
      </c>
      <c r="F5861" s="4" t="n">
        <v>24</v>
      </c>
      <c r="G5861" s="4" t="n">
        <v>4</v>
      </c>
      <c r="H5861" s="4" t="n">
        <v>4</v>
      </c>
      <c r="I5861" s="4" t="str">
        <v>×</v>
      </c>
      <c r="J5861" s="4"/>
      <c r="K5861" s="4"/>
      <c r="L5861" s="4"/>
      <c r="M5861" s="5" t="s">
        <v>4475</v>
      </c>
    </row>
    <row r="5862" customFormat="false" ht="15.75" hidden="false" customHeight="false" outlineLevel="0" collapsed="false">
      <c r="A5862" s="6" t="n">
        <v>46179</v>
      </c>
      <c r="B5862" s="4" t="s">
        <v>4473</v>
      </c>
      <c r="C5862" s="4" t="n">
        <v>5</v>
      </c>
      <c r="D5862" s="4" t="n">
        <v>6</v>
      </c>
      <c r="E5862" s="4" t="s">
        <v>4504</v>
      </c>
      <c r="F5862" s="4" t="n">
        <v>31</v>
      </c>
      <c r="G5862" s="4" t="n">
        <v>2</v>
      </c>
      <c r="H5862" s="4" t="n">
        <v>3</v>
      </c>
      <c r="I5862" s="4" t="str">
        <v>○</v>
      </c>
      <c r="J5862" s="4" t="n">
        <v>110</v>
      </c>
      <c r="K5862" s="4"/>
      <c r="L5862" s="4"/>
      <c r="M5862" s="5" t="s">
        <v>4475</v>
      </c>
    </row>
    <row r="5863" customFormat="false" ht="15.75" hidden="false" customHeight="false" outlineLevel="0" collapsed="false">
      <c r="A5863" s="6" t="n">
        <v>46179</v>
      </c>
      <c r="B5863" s="4" t="s">
        <v>4473</v>
      </c>
      <c r="C5863" s="4" t="n">
        <v>5</v>
      </c>
      <c r="D5863" s="4" t="n">
        <v>7</v>
      </c>
      <c r="E5863" s="4" t="s">
        <v>4505</v>
      </c>
      <c r="F5863" s="4" t="n">
        <v>21</v>
      </c>
      <c r="G5863" s="4" t="n">
        <v>5</v>
      </c>
      <c r="H5863" s="4" t="n">
        <v>4</v>
      </c>
      <c r="I5863" s="4" t="str">
        <v>×</v>
      </c>
      <c r="J5863" s="4"/>
      <c r="K5863" s="4"/>
      <c r="L5863" s="4"/>
      <c r="M5863" s="5" t="s">
        <v>4475</v>
      </c>
    </row>
    <row r="5864" customFormat="false" ht="15.75" hidden="false" customHeight="false" outlineLevel="0" collapsed="false">
      <c r="A5864" s="6" t="n">
        <v>46179</v>
      </c>
      <c r="B5864" s="4" t="s">
        <v>4473</v>
      </c>
      <c r="C5864" s="4" t="n">
        <v>5</v>
      </c>
      <c r="D5864" s="4" t="n">
        <v>8</v>
      </c>
      <c r="E5864" s="4" t="s">
        <v>926</v>
      </c>
      <c r="F5864" s="4" t="n">
        <v>8</v>
      </c>
      <c r="G5864" s="4" t="n">
        <v>7</v>
      </c>
      <c r="H5864" s="4" t="n">
        <v>4</v>
      </c>
      <c r="I5864" s="4" t="str">
        <v>×</v>
      </c>
      <c r="J5864" s="4"/>
      <c r="K5864" s="4"/>
      <c r="L5864" s="4"/>
      <c r="M5864" s="5" t="s">
        <v>4475</v>
      </c>
    </row>
    <row r="5865" customFormat="false" ht="15.75" hidden="false" customHeight="false" outlineLevel="0" collapsed="false">
      <c r="A5865" s="6" t="n">
        <v>46179</v>
      </c>
      <c r="B5865" s="4" t="s">
        <v>4473</v>
      </c>
      <c r="C5865" s="4" t="n">
        <v>5</v>
      </c>
      <c r="D5865" s="4" t="n">
        <v>9</v>
      </c>
      <c r="E5865" s="4" t="s">
        <v>4506</v>
      </c>
      <c r="F5865" s="4" t="n">
        <v>12</v>
      </c>
      <c r="G5865" s="4" t="n">
        <v>6</v>
      </c>
      <c r="H5865" s="4" t="n">
        <v>4</v>
      </c>
      <c r="I5865" s="4" t="str">
        <v>×</v>
      </c>
      <c r="J5865" s="4"/>
      <c r="K5865" s="4"/>
      <c r="L5865" s="4"/>
      <c r="M5865" s="5" t="s">
        <v>4475</v>
      </c>
    </row>
    <row r="5866" customFormat="false" ht="15.75" hidden="false" customHeight="false" outlineLevel="0" collapsed="false">
      <c r="A5866" s="6" t="n">
        <v>46179</v>
      </c>
      <c r="B5866" s="4" t="s">
        <v>4473</v>
      </c>
      <c r="C5866" s="4" t="n">
        <v>6</v>
      </c>
      <c r="D5866" s="4" t="n">
        <v>1</v>
      </c>
      <c r="E5866" s="4" t="s">
        <v>1266</v>
      </c>
      <c r="F5866" s="4" t="n">
        <v>20</v>
      </c>
      <c r="G5866" s="4" t="n">
        <v>4</v>
      </c>
      <c r="H5866" s="4" t="n">
        <v>4</v>
      </c>
      <c r="I5866" s="4" t="str">
        <v>×</v>
      </c>
      <c r="J5866" s="4"/>
      <c r="K5866" s="4"/>
      <c r="L5866" s="4"/>
      <c r="M5866" s="5" t="s">
        <v>4475</v>
      </c>
    </row>
    <row r="5867" customFormat="false" ht="15.75" hidden="false" customHeight="false" outlineLevel="0" collapsed="false">
      <c r="A5867" s="6" t="n">
        <v>46179</v>
      </c>
      <c r="B5867" s="4" t="s">
        <v>4473</v>
      </c>
      <c r="C5867" s="4" t="n">
        <v>6</v>
      </c>
      <c r="D5867" s="4" t="n">
        <v>2</v>
      </c>
      <c r="E5867" s="4" t="s">
        <v>1746</v>
      </c>
      <c r="F5867" s="4" t="n">
        <v>6</v>
      </c>
      <c r="G5867" s="4" t="n">
        <v>9</v>
      </c>
      <c r="H5867" s="4" t="n">
        <v>4</v>
      </c>
      <c r="I5867" s="4" t="str">
        <v>×</v>
      </c>
      <c r="J5867" s="4"/>
      <c r="K5867" s="4"/>
      <c r="L5867" s="4"/>
      <c r="M5867" s="5" t="s">
        <v>4475</v>
      </c>
    </row>
    <row r="5868" customFormat="false" ht="15.75" hidden="false" customHeight="false" outlineLevel="0" collapsed="false">
      <c r="A5868" s="6" t="n">
        <v>46179</v>
      </c>
      <c r="B5868" s="4" t="s">
        <v>4473</v>
      </c>
      <c r="C5868" s="4" t="n">
        <v>6</v>
      </c>
      <c r="D5868" s="4" t="n">
        <v>3</v>
      </c>
      <c r="E5868" s="4" t="s">
        <v>3281</v>
      </c>
      <c r="F5868" s="4" t="n">
        <v>58</v>
      </c>
      <c r="G5868" s="4" t="n">
        <v>1</v>
      </c>
      <c r="H5868" s="4" t="n">
        <v>4</v>
      </c>
      <c r="I5868" s="4" t="str">
        <v>×</v>
      </c>
      <c r="J5868" s="4"/>
      <c r="K5868" s="4"/>
      <c r="L5868" s="4"/>
      <c r="M5868" s="5" t="s">
        <v>4475</v>
      </c>
    </row>
    <row r="5869" customFormat="false" ht="15.75" hidden="false" customHeight="false" outlineLevel="0" collapsed="false">
      <c r="A5869" s="6" t="n">
        <v>46179</v>
      </c>
      <c r="B5869" s="4" t="s">
        <v>4473</v>
      </c>
      <c r="C5869" s="4" t="n">
        <v>6</v>
      </c>
      <c r="D5869" s="4" t="n">
        <v>4</v>
      </c>
      <c r="E5869" s="4" t="s">
        <v>4507</v>
      </c>
      <c r="F5869" s="4" t="n">
        <v>25</v>
      </c>
      <c r="G5869" s="4" t="n">
        <v>3</v>
      </c>
      <c r="H5869" s="4" t="n">
        <v>1</v>
      </c>
      <c r="I5869" s="4" t="str">
        <v>○</v>
      </c>
      <c r="J5869" s="4" t="n">
        <v>360</v>
      </c>
      <c r="K5869" s="4"/>
      <c r="L5869" s="4"/>
      <c r="M5869" s="5" t="s">
        <v>4475</v>
      </c>
    </row>
    <row r="5870" customFormat="false" ht="15.75" hidden="false" customHeight="false" outlineLevel="0" collapsed="false">
      <c r="A5870" s="6" t="n">
        <v>46179</v>
      </c>
      <c r="B5870" s="4" t="s">
        <v>4473</v>
      </c>
      <c r="C5870" s="4" t="n">
        <v>6</v>
      </c>
      <c r="D5870" s="4" t="n">
        <v>5</v>
      </c>
      <c r="E5870" s="4" t="s">
        <v>588</v>
      </c>
      <c r="F5870" s="4" t="n">
        <v>8</v>
      </c>
      <c r="G5870" s="4" t="n">
        <v>8</v>
      </c>
      <c r="H5870" s="4" t="n">
        <v>4</v>
      </c>
      <c r="I5870" s="4" t="str">
        <v>×</v>
      </c>
      <c r="J5870" s="4"/>
      <c r="K5870" s="4"/>
      <c r="L5870" s="4"/>
      <c r="M5870" s="5" t="s">
        <v>4475</v>
      </c>
    </row>
    <row r="5871" customFormat="false" ht="15.75" hidden="false" customHeight="false" outlineLevel="0" collapsed="false">
      <c r="A5871" s="6" t="n">
        <v>46179</v>
      </c>
      <c r="B5871" s="4" t="s">
        <v>4473</v>
      </c>
      <c r="C5871" s="4" t="n">
        <v>6</v>
      </c>
      <c r="D5871" s="4" t="n">
        <v>6</v>
      </c>
      <c r="E5871" s="4" t="s">
        <v>4508</v>
      </c>
      <c r="F5871" s="4" t="n">
        <v>4</v>
      </c>
      <c r="G5871" s="4" t="n">
        <v>10</v>
      </c>
      <c r="H5871" s="4" t="n">
        <v>3</v>
      </c>
      <c r="I5871" s="4" t="str">
        <v>○</v>
      </c>
      <c r="J5871" s="4" t="n">
        <v>620</v>
      </c>
      <c r="K5871" s="4"/>
      <c r="L5871" s="4"/>
      <c r="M5871" s="5" t="s">
        <v>4475</v>
      </c>
    </row>
    <row r="5872" customFormat="false" ht="15.75" hidden="false" customHeight="false" outlineLevel="0" collapsed="false">
      <c r="A5872" s="6" t="n">
        <v>46179</v>
      </c>
      <c r="B5872" s="4" t="s">
        <v>4473</v>
      </c>
      <c r="C5872" s="4" t="n">
        <v>6</v>
      </c>
      <c r="D5872" s="4" t="n">
        <v>7</v>
      </c>
      <c r="E5872" s="4" t="s">
        <v>4509</v>
      </c>
      <c r="F5872" s="4" t="n">
        <v>6</v>
      </c>
      <c r="G5872" s="4" t="n">
        <v>9</v>
      </c>
      <c r="H5872" s="4" t="n">
        <v>4</v>
      </c>
      <c r="I5872" s="4" t="str">
        <v>×</v>
      </c>
      <c r="J5872" s="4"/>
      <c r="K5872" s="4"/>
      <c r="L5872" s="4"/>
      <c r="M5872" s="5" t="s">
        <v>4475</v>
      </c>
    </row>
    <row r="5873" customFormat="false" ht="15.75" hidden="false" customHeight="false" outlineLevel="0" collapsed="false">
      <c r="A5873" s="6" t="n">
        <v>46179</v>
      </c>
      <c r="B5873" s="4" t="s">
        <v>4473</v>
      </c>
      <c r="C5873" s="4" t="n">
        <v>6</v>
      </c>
      <c r="D5873" s="4" t="n">
        <v>8</v>
      </c>
      <c r="E5873" s="4" t="s">
        <v>356</v>
      </c>
      <c r="F5873" s="4" t="n">
        <v>56</v>
      </c>
      <c r="G5873" s="4" t="n">
        <v>2</v>
      </c>
      <c r="H5873" s="4" t="n">
        <v>4</v>
      </c>
      <c r="I5873" s="4" t="str">
        <v>×</v>
      </c>
      <c r="J5873" s="4"/>
      <c r="K5873" s="4"/>
      <c r="L5873" s="4"/>
      <c r="M5873" s="5" t="s">
        <v>4475</v>
      </c>
    </row>
    <row r="5874" customFormat="false" ht="15.75" hidden="false" customHeight="false" outlineLevel="0" collapsed="false">
      <c r="A5874" s="6" t="n">
        <v>46179</v>
      </c>
      <c r="B5874" s="4" t="s">
        <v>4473</v>
      </c>
      <c r="C5874" s="4" t="n">
        <v>6</v>
      </c>
      <c r="D5874" s="4" t="n">
        <v>9</v>
      </c>
      <c r="E5874" s="4" t="s">
        <v>1913</v>
      </c>
      <c r="F5874" s="4" t="n">
        <v>17</v>
      </c>
      <c r="G5874" s="4" t="n">
        <v>5</v>
      </c>
      <c r="H5874" s="4" t="n">
        <v>4</v>
      </c>
      <c r="I5874" s="4" t="str">
        <v>×</v>
      </c>
      <c r="J5874" s="4"/>
      <c r="K5874" s="4"/>
      <c r="L5874" s="4"/>
      <c r="M5874" s="5" t="s">
        <v>4475</v>
      </c>
    </row>
    <row r="5875" customFormat="false" ht="15.75" hidden="false" customHeight="false" outlineLevel="0" collapsed="false">
      <c r="A5875" s="6" t="n">
        <v>46179</v>
      </c>
      <c r="B5875" s="4" t="s">
        <v>4473</v>
      </c>
      <c r="C5875" s="4" t="n">
        <v>6</v>
      </c>
      <c r="D5875" s="4" t="n">
        <v>10</v>
      </c>
      <c r="E5875" s="4" t="s">
        <v>4510</v>
      </c>
      <c r="F5875" s="4" t="n">
        <v>20</v>
      </c>
      <c r="G5875" s="4" t="n">
        <v>4</v>
      </c>
      <c r="H5875" s="4" t="n">
        <v>4</v>
      </c>
      <c r="I5875" s="4" t="str">
        <v>×</v>
      </c>
      <c r="J5875" s="4"/>
      <c r="K5875" s="4"/>
      <c r="L5875" s="4"/>
      <c r="M5875" s="5" t="s">
        <v>4475</v>
      </c>
    </row>
    <row r="5876" customFormat="false" ht="15.75" hidden="false" customHeight="false" outlineLevel="0" collapsed="false">
      <c r="A5876" s="6" t="n">
        <v>46179</v>
      </c>
      <c r="B5876" s="4" t="s">
        <v>4473</v>
      </c>
      <c r="C5876" s="4" t="n">
        <v>6</v>
      </c>
      <c r="D5876" s="4" t="n">
        <v>11</v>
      </c>
      <c r="E5876" s="4" t="s">
        <v>1009</v>
      </c>
      <c r="F5876" s="4" t="n">
        <v>58</v>
      </c>
      <c r="G5876" s="4" t="n">
        <v>1</v>
      </c>
      <c r="H5876" s="4" t="n">
        <v>4</v>
      </c>
      <c r="I5876" s="4" t="str">
        <v>×</v>
      </c>
      <c r="J5876" s="4"/>
      <c r="K5876" s="4"/>
      <c r="L5876" s="4"/>
      <c r="M5876" s="5" t="s">
        <v>4475</v>
      </c>
    </row>
    <row r="5877" customFormat="false" ht="15.75" hidden="false" customHeight="false" outlineLevel="0" collapsed="false">
      <c r="A5877" s="6" t="n">
        <v>46179</v>
      </c>
      <c r="B5877" s="4" t="s">
        <v>4473</v>
      </c>
      <c r="C5877" s="4" t="n">
        <v>6</v>
      </c>
      <c r="D5877" s="4" t="n">
        <v>12</v>
      </c>
      <c r="E5877" s="4" t="s">
        <v>4511</v>
      </c>
      <c r="F5877" s="4" t="n">
        <v>4</v>
      </c>
      <c r="G5877" s="4" t="n">
        <v>10</v>
      </c>
      <c r="H5877" s="4" t="n">
        <v>4</v>
      </c>
      <c r="I5877" s="4" t="str">
        <v>×</v>
      </c>
      <c r="J5877" s="4"/>
      <c r="K5877" s="4"/>
      <c r="L5877" s="4"/>
      <c r="M5877" s="5" t="s">
        <v>4475</v>
      </c>
    </row>
    <row r="5878" customFormat="false" ht="15.75" hidden="false" customHeight="false" outlineLevel="0" collapsed="false">
      <c r="A5878" s="6" t="n">
        <v>46179</v>
      </c>
      <c r="B5878" s="4" t="s">
        <v>4473</v>
      </c>
      <c r="C5878" s="4" t="n">
        <v>6</v>
      </c>
      <c r="D5878" s="4" t="n">
        <v>13</v>
      </c>
      <c r="E5878" s="4" t="s">
        <v>986</v>
      </c>
      <c r="F5878" s="4" t="n">
        <v>13</v>
      </c>
      <c r="G5878" s="4" t="n">
        <v>6</v>
      </c>
      <c r="H5878" s="4" t="n">
        <v>2</v>
      </c>
      <c r="I5878" s="4" t="str">
        <v>○</v>
      </c>
      <c r="J5878" s="4" t="n">
        <v>510</v>
      </c>
      <c r="K5878" s="4"/>
      <c r="L5878" s="4"/>
      <c r="M5878" s="5" t="s">
        <v>4475</v>
      </c>
    </row>
    <row r="5879" customFormat="false" ht="15.75" hidden="false" customHeight="false" outlineLevel="0" collapsed="false">
      <c r="A5879" s="6" t="n">
        <v>46179</v>
      </c>
      <c r="B5879" s="4" t="s">
        <v>4473</v>
      </c>
      <c r="C5879" s="4" t="n">
        <v>6</v>
      </c>
      <c r="D5879" s="4" t="n">
        <v>14</v>
      </c>
      <c r="E5879" s="4" t="s">
        <v>4512</v>
      </c>
      <c r="F5879" s="4" t="n">
        <v>10</v>
      </c>
      <c r="G5879" s="4" t="n">
        <v>7</v>
      </c>
      <c r="H5879" s="4" t="n">
        <v>4</v>
      </c>
      <c r="I5879" s="4" t="str">
        <v>×</v>
      </c>
      <c r="J5879" s="4"/>
      <c r="K5879" s="4"/>
      <c r="L5879" s="4"/>
      <c r="M5879" s="5" t="s">
        <v>4475</v>
      </c>
    </row>
    <row r="5880" customFormat="false" ht="15.75" hidden="false" customHeight="false" outlineLevel="0" collapsed="false">
      <c r="A5880" s="6" t="n">
        <v>46179</v>
      </c>
      <c r="B5880" s="4" t="s">
        <v>4473</v>
      </c>
      <c r="C5880" s="4" t="n">
        <v>6</v>
      </c>
      <c r="D5880" s="4" t="n">
        <v>15</v>
      </c>
      <c r="E5880" s="4" t="s">
        <v>3789</v>
      </c>
      <c r="F5880" s="4" t="n">
        <v>8</v>
      </c>
      <c r="G5880" s="4" t="n">
        <v>8</v>
      </c>
      <c r="H5880" s="4" t="n">
        <v>4</v>
      </c>
      <c r="I5880" s="4" t="str">
        <v>×</v>
      </c>
      <c r="J5880" s="4"/>
      <c r="K5880" s="4"/>
      <c r="L5880" s="4"/>
      <c r="M5880" s="5" t="s">
        <v>4475</v>
      </c>
    </row>
    <row r="5881" customFormat="false" ht="15.75" hidden="false" customHeight="false" outlineLevel="0" collapsed="false">
      <c r="A5881" s="6" t="n">
        <v>46179</v>
      </c>
      <c r="B5881" s="4" t="s">
        <v>4473</v>
      </c>
      <c r="C5881" s="4" t="n">
        <v>6</v>
      </c>
      <c r="D5881" s="4" t="n">
        <v>16</v>
      </c>
      <c r="E5881" s="4" t="s">
        <v>3790</v>
      </c>
      <c r="F5881" s="4" t="n">
        <v>8</v>
      </c>
      <c r="G5881" s="4" t="n">
        <v>8</v>
      </c>
      <c r="H5881" s="4" t="n">
        <v>4</v>
      </c>
      <c r="I5881" s="4" t="str">
        <v>×</v>
      </c>
      <c r="J5881" s="4"/>
      <c r="K5881" s="4"/>
      <c r="L5881" s="4"/>
      <c r="M5881" s="5" t="s">
        <v>4475</v>
      </c>
    </row>
    <row r="5882" customFormat="false" ht="15.75" hidden="false" customHeight="false" outlineLevel="0" collapsed="false">
      <c r="A5882" s="6" t="n">
        <v>46179</v>
      </c>
      <c r="B5882" s="4" t="s">
        <v>4473</v>
      </c>
      <c r="C5882" s="4" t="n">
        <v>7</v>
      </c>
      <c r="D5882" s="4" t="n">
        <v>1</v>
      </c>
      <c r="E5882" s="4" t="s">
        <v>2313</v>
      </c>
      <c r="F5882" s="4" t="n">
        <v>4</v>
      </c>
      <c r="G5882" s="4" t="n">
        <v>7</v>
      </c>
      <c r="H5882" s="4" t="n">
        <v>4</v>
      </c>
      <c r="I5882" s="4" t="str">
        <v>×</v>
      </c>
      <c r="J5882" s="4"/>
      <c r="K5882" s="4"/>
      <c r="L5882" s="4"/>
      <c r="M5882" s="5" t="s">
        <v>4475</v>
      </c>
    </row>
    <row r="5883" customFormat="false" ht="15.75" hidden="false" customHeight="false" outlineLevel="0" collapsed="false">
      <c r="A5883" s="6" t="n">
        <v>46179</v>
      </c>
      <c r="B5883" s="4" t="s">
        <v>4473</v>
      </c>
      <c r="C5883" s="4" t="n">
        <v>7</v>
      </c>
      <c r="D5883" s="4" t="n">
        <v>2</v>
      </c>
      <c r="E5883" s="4" t="s">
        <v>2749</v>
      </c>
      <c r="F5883" s="4" t="n">
        <v>3</v>
      </c>
      <c r="G5883" s="4" t="n">
        <v>8</v>
      </c>
      <c r="H5883" s="4" t="n">
        <v>3</v>
      </c>
      <c r="I5883" s="4" t="str">
        <v>○</v>
      </c>
      <c r="J5883" s="4" t="n">
        <v>230</v>
      </c>
      <c r="K5883" s="4"/>
      <c r="L5883" s="4"/>
      <c r="M5883" s="5" t="s">
        <v>4475</v>
      </c>
    </row>
    <row r="5884" customFormat="false" ht="15.75" hidden="false" customHeight="false" outlineLevel="0" collapsed="false">
      <c r="A5884" s="6" t="n">
        <v>46179</v>
      </c>
      <c r="B5884" s="4" t="s">
        <v>4473</v>
      </c>
      <c r="C5884" s="4" t="n">
        <v>7</v>
      </c>
      <c r="D5884" s="4" t="n">
        <v>3</v>
      </c>
      <c r="E5884" s="4" t="s">
        <v>2208</v>
      </c>
      <c r="F5884" s="4" t="n">
        <v>3</v>
      </c>
      <c r="G5884" s="4" t="n">
        <v>8</v>
      </c>
      <c r="H5884" s="4" t="n">
        <v>4</v>
      </c>
      <c r="I5884" s="4" t="str">
        <v>×</v>
      </c>
      <c r="J5884" s="4"/>
      <c r="K5884" s="4"/>
      <c r="L5884" s="4"/>
      <c r="M5884" s="5" t="s">
        <v>4475</v>
      </c>
    </row>
    <row r="5885" customFormat="false" ht="15.75" hidden="false" customHeight="false" outlineLevel="0" collapsed="false">
      <c r="A5885" s="6" t="n">
        <v>46179</v>
      </c>
      <c r="B5885" s="4" t="s">
        <v>4473</v>
      </c>
      <c r="C5885" s="4" t="n">
        <v>7</v>
      </c>
      <c r="D5885" s="4" t="n">
        <v>4</v>
      </c>
      <c r="E5885" s="4" t="s">
        <v>4513</v>
      </c>
      <c r="F5885" s="4" t="n">
        <v>10</v>
      </c>
      <c r="G5885" s="4" t="n">
        <v>5</v>
      </c>
      <c r="H5885" s="4" t="n">
        <v>4</v>
      </c>
      <c r="I5885" s="4" t="str">
        <v>×</v>
      </c>
      <c r="J5885" s="4"/>
      <c r="K5885" s="4"/>
      <c r="L5885" s="4"/>
      <c r="M5885" s="5" t="s">
        <v>4475</v>
      </c>
    </row>
    <row r="5886" customFormat="false" ht="15.75" hidden="false" customHeight="false" outlineLevel="0" collapsed="false">
      <c r="A5886" s="6" t="n">
        <v>46179</v>
      </c>
      <c r="B5886" s="4" t="s">
        <v>4473</v>
      </c>
      <c r="C5886" s="4" t="n">
        <v>7</v>
      </c>
      <c r="D5886" s="4" t="n">
        <v>5</v>
      </c>
      <c r="E5886" s="4" t="s">
        <v>4514</v>
      </c>
      <c r="F5886" s="4" t="n">
        <v>4</v>
      </c>
      <c r="G5886" s="4" t="n">
        <v>7</v>
      </c>
      <c r="H5886" s="4" t="n">
        <v>4</v>
      </c>
      <c r="I5886" s="4" t="str">
        <v>×</v>
      </c>
      <c r="J5886" s="4"/>
      <c r="K5886" s="4"/>
      <c r="L5886" s="4"/>
      <c r="M5886" s="5" t="s">
        <v>4475</v>
      </c>
    </row>
    <row r="5887" customFormat="false" ht="15.75" hidden="false" customHeight="false" outlineLevel="0" collapsed="false">
      <c r="A5887" s="6" t="n">
        <v>46179</v>
      </c>
      <c r="B5887" s="4" t="s">
        <v>4473</v>
      </c>
      <c r="C5887" s="4" t="n">
        <v>7</v>
      </c>
      <c r="D5887" s="4" t="n">
        <v>6</v>
      </c>
      <c r="E5887" s="4" t="s">
        <v>1310</v>
      </c>
      <c r="F5887" s="4" t="n">
        <v>67</v>
      </c>
      <c r="G5887" s="4" t="n">
        <v>1</v>
      </c>
      <c r="H5887" s="4" t="n">
        <v>2</v>
      </c>
      <c r="I5887" s="4" t="str">
        <v>○</v>
      </c>
      <c r="J5887" s="4" t="n">
        <v>110</v>
      </c>
      <c r="K5887" s="4"/>
      <c r="L5887" s="4"/>
      <c r="M5887" s="5" t="s">
        <v>4475</v>
      </c>
    </row>
    <row r="5888" customFormat="false" ht="15.75" hidden="false" customHeight="false" outlineLevel="0" collapsed="false">
      <c r="A5888" s="6" t="n">
        <v>46179</v>
      </c>
      <c r="B5888" s="4" t="s">
        <v>4473</v>
      </c>
      <c r="C5888" s="4" t="n">
        <v>7</v>
      </c>
      <c r="D5888" s="4" t="n">
        <v>7</v>
      </c>
      <c r="E5888" s="4" t="s">
        <v>1759</v>
      </c>
      <c r="F5888" s="4" t="n">
        <v>4</v>
      </c>
      <c r="G5888" s="4" t="n">
        <v>7</v>
      </c>
      <c r="H5888" s="4" t="n">
        <v>4</v>
      </c>
      <c r="I5888" s="4" t="str">
        <v>×</v>
      </c>
      <c r="J5888" s="4"/>
      <c r="K5888" s="4"/>
      <c r="L5888" s="4"/>
      <c r="M5888" s="5" t="s">
        <v>4475</v>
      </c>
    </row>
    <row r="5889" customFormat="false" ht="15.75" hidden="false" customHeight="false" outlineLevel="0" collapsed="false">
      <c r="A5889" s="6" t="n">
        <v>46179</v>
      </c>
      <c r="B5889" s="4" t="s">
        <v>4473</v>
      </c>
      <c r="C5889" s="4" t="n">
        <v>7</v>
      </c>
      <c r="D5889" s="4" t="n">
        <v>8</v>
      </c>
      <c r="E5889" s="4" t="s">
        <v>3025</v>
      </c>
      <c r="F5889" s="4" t="n">
        <v>58</v>
      </c>
      <c r="G5889" s="4" t="n">
        <v>2</v>
      </c>
      <c r="H5889" s="4" t="n">
        <v>4</v>
      </c>
      <c r="I5889" s="4" t="str">
        <v>×</v>
      </c>
      <c r="J5889" s="4"/>
      <c r="K5889" s="4"/>
      <c r="L5889" s="4"/>
      <c r="M5889" s="5" t="s">
        <v>4475</v>
      </c>
    </row>
    <row r="5890" customFormat="false" ht="15.75" hidden="false" customHeight="false" outlineLevel="0" collapsed="false">
      <c r="A5890" s="6" t="n">
        <v>46179</v>
      </c>
      <c r="B5890" s="4" t="s">
        <v>4473</v>
      </c>
      <c r="C5890" s="4" t="n">
        <v>7</v>
      </c>
      <c r="D5890" s="4" t="n">
        <v>9</v>
      </c>
      <c r="E5890" s="4" t="s">
        <v>4515</v>
      </c>
      <c r="F5890" s="4" t="n">
        <v>29</v>
      </c>
      <c r="G5890" s="4" t="n">
        <v>4</v>
      </c>
      <c r="H5890" s="4" t="n">
        <v>1</v>
      </c>
      <c r="I5890" s="4" t="str">
        <v>○</v>
      </c>
      <c r="J5890" s="4" t="n">
        <v>130</v>
      </c>
      <c r="K5890" s="4"/>
      <c r="L5890" s="4"/>
      <c r="M5890" s="5" t="s">
        <v>4475</v>
      </c>
    </row>
    <row r="5891" customFormat="false" ht="15.75" hidden="false" customHeight="false" outlineLevel="0" collapsed="false">
      <c r="A5891" s="6" t="n">
        <v>46179</v>
      </c>
      <c r="B5891" s="4" t="s">
        <v>4473</v>
      </c>
      <c r="C5891" s="4" t="n">
        <v>7</v>
      </c>
      <c r="D5891" s="4" t="n">
        <v>10</v>
      </c>
      <c r="E5891" s="4" t="s">
        <v>1011</v>
      </c>
      <c r="F5891" s="4" t="n">
        <v>50</v>
      </c>
      <c r="G5891" s="4" t="n">
        <v>3</v>
      </c>
      <c r="H5891" s="4" t="n">
        <v>4</v>
      </c>
      <c r="I5891" s="4" t="str">
        <v>×</v>
      </c>
      <c r="J5891" s="4"/>
      <c r="K5891" s="4"/>
      <c r="L5891" s="4"/>
      <c r="M5891" s="5" t="s">
        <v>4475</v>
      </c>
    </row>
    <row r="5892" customFormat="false" ht="15.75" hidden="false" customHeight="false" outlineLevel="0" collapsed="false">
      <c r="A5892" s="6" t="n">
        <v>46179</v>
      </c>
      <c r="B5892" s="4" t="s">
        <v>4473</v>
      </c>
      <c r="C5892" s="4" t="n">
        <v>7</v>
      </c>
      <c r="D5892" s="4" t="n">
        <v>11</v>
      </c>
      <c r="E5892" s="4" t="s">
        <v>4516</v>
      </c>
      <c r="F5892" s="4" t="n">
        <v>2</v>
      </c>
      <c r="G5892" s="4" t="n">
        <v>9</v>
      </c>
      <c r="H5892" s="4" t="n">
        <v>4</v>
      </c>
      <c r="I5892" s="4" t="str">
        <v>×</v>
      </c>
      <c r="J5892" s="4"/>
      <c r="K5892" s="4"/>
      <c r="L5892" s="4"/>
      <c r="M5892" s="5" t="s">
        <v>4475</v>
      </c>
    </row>
    <row r="5893" customFormat="false" ht="15.75" hidden="false" customHeight="false" outlineLevel="0" collapsed="false">
      <c r="A5893" s="6" t="n">
        <v>46179</v>
      </c>
      <c r="B5893" s="4" t="s">
        <v>4473</v>
      </c>
      <c r="C5893" s="4" t="n">
        <v>7</v>
      </c>
      <c r="D5893" s="4" t="n">
        <v>12</v>
      </c>
      <c r="E5893" s="4" t="s">
        <v>1003</v>
      </c>
      <c r="F5893" s="4" t="n">
        <v>10</v>
      </c>
      <c r="G5893" s="4" t="n">
        <v>5</v>
      </c>
      <c r="H5893" s="4" t="n">
        <v>4</v>
      </c>
      <c r="I5893" s="4" t="str">
        <v>×</v>
      </c>
      <c r="J5893" s="4"/>
      <c r="K5893" s="4"/>
      <c r="L5893" s="4"/>
      <c r="M5893" s="5" t="s">
        <v>4475</v>
      </c>
    </row>
    <row r="5894" customFormat="false" ht="15.75" hidden="false" customHeight="false" outlineLevel="0" collapsed="false">
      <c r="A5894" s="6" t="n">
        <v>46179</v>
      </c>
      <c r="B5894" s="4" t="s">
        <v>4473</v>
      </c>
      <c r="C5894" s="4" t="n">
        <v>7</v>
      </c>
      <c r="D5894" s="4" t="n">
        <v>13</v>
      </c>
      <c r="E5894" s="4" t="s">
        <v>4517</v>
      </c>
      <c r="F5894" s="4" t="n">
        <v>8</v>
      </c>
      <c r="G5894" s="4" t="n">
        <v>6</v>
      </c>
      <c r="H5894" s="4" t="n">
        <v>4</v>
      </c>
      <c r="I5894" s="4" t="str">
        <v>×</v>
      </c>
      <c r="J5894" s="4"/>
      <c r="K5894" s="4"/>
      <c r="L5894" s="4"/>
      <c r="M5894" s="5" t="s">
        <v>4475</v>
      </c>
    </row>
    <row r="5895" customFormat="false" ht="15.75" hidden="false" customHeight="false" outlineLevel="0" collapsed="false">
      <c r="A5895" s="6" t="n">
        <v>46179</v>
      </c>
      <c r="B5895" s="4" t="s">
        <v>4473</v>
      </c>
      <c r="C5895" s="4" t="n">
        <v>7</v>
      </c>
      <c r="D5895" s="4" t="n">
        <v>14</v>
      </c>
      <c r="E5895" s="4" t="s">
        <v>1887</v>
      </c>
      <c r="F5895" s="4" t="n">
        <v>4</v>
      </c>
      <c r="G5895" s="4" t="n">
        <v>7</v>
      </c>
      <c r="H5895" s="4" t="n">
        <v>4</v>
      </c>
      <c r="I5895" s="4" t="str">
        <v>×</v>
      </c>
      <c r="J5895" s="4"/>
      <c r="K5895" s="4"/>
      <c r="L5895" s="4"/>
      <c r="M5895" s="5" t="s">
        <v>4475</v>
      </c>
    </row>
    <row r="5896" customFormat="false" ht="15.75" hidden="false" customHeight="false" outlineLevel="0" collapsed="false">
      <c r="A5896" s="6" t="n">
        <v>46179</v>
      </c>
      <c r="B5896" s="4" t="s">
        <v>4473</v>
      </c>
      <c r="C5896" s="4" t="n">
        <v>7</v>
      </c>
      <c r="D5896" s="4" t="n">
        <v>15</v>
      </c>
      <c r="E5896" s="4" t="s">
        <v>800</v>
      </c>
      <c r="F5896" s="4" t="n">
        <v>8</v>
      </c>
      <c r="G5896" s="4" t="n">
        <v>6</v>
      </c>
      <c r="H5896" s="4" t="n">
        <v>4</v>
      </c>
      <c r="I5896" s="4" t="str">
        <v>×</v>
      </c>
      <c r="J5896" s="4"/>
      <c r="K5896" s="4"/>
      <c r="L5896" s="4"/>
      <c r="M5896" s="5" t="s">
        <v>4475</v>
      </c>
    </row>
    <row r="5897" customFormat="false" ht="15.75" hidden="false" customHeight="false" outlineLevel="0" collapsed="false">
      <c r="A5897" s="6" t="n">
        <v>46179</v>
      </c>
      <c r="B5897" s="4" t="s">
        <v>4473</v>
      </c>
      <c r="C5897" s="4" t="n">
        <v>7</v>
      </c>
      <c r="D5897" s="4" t="n">
        <v>16</v>
      </c>
      <c r="E5897" s="4" t="s">
        <v>590</v>
      </c>
      <c r="F5897" s="4" t="n">
        <v>1</v>
      </c>
      <c r="G5897" s="4" t="n">
        <v>10</v>
      </c>
      <c r="H5897" s="4" t="n">
        <v>4</v>
      </c>
      <c r="I5897" s="4" t="str">
        <v>×</v>
      </c>
      <c r="J5897" s="4"/>
      <c r="K5897" s="4"/>
      <c r="L5897" s="4"/>
      <c r="M5897" s="5" t="s">
        <v>4475</v>
      </c>
    </row>
    <row r="5898" customFormat="false" ht="15.75" hidden="false" customHeight="false" outlineLevel="0" collapsed="false">
      <c r="A5898" s="6" t="n">
        <v>46179</v>
      </c>
      <c r="B5898" s="4" t="s">
        <v>4473</v>
      </c>
      <c r="C5898" s="4" t="n">
        <v>8</v>
      </c>
      <c r="D5898" s="4" t="n">
        <v>1</v>
      </c>
      <c r="E5898" s="4" t="s">
        <v>4518</v>
      </c>
      <c r="F5898" s="4" t="n">
        <v>20</v>
      </c>
      <c r="G5898" s="4" t="n">
        <v>6</v>
      </c>
      <c r="H5898" s="4" t="n">
        <v>4</v>
      </c>
      <c r="I5898" s="4" t="str">
        <v>×</v>
      </c>
      <c r="J5898" s="4"/>
      <c r="K5898" s="4"/>
      <c r="L5898" s="4"/>
      <c r="M5898" s="5" t="s">
        <v>4475</v>
      </c>
    </row>
    <row r="5899" customFormat="false" ht="15.75" hidden="false" customHeight="false" outlineLevel="0" collapsed="false">
      <c r="A5899" s="6" t="n">
        <v>46179</v>
      </c>
      <c r="B5899" s="4" t="s">
        <v>4473</v>
      </c>
      <c r="C5899" s="4" t="n">
        <v>8</v>
      </c>
      <c r="D5899" s="4" t="n">
        <v>2</v>
      </c>
      <c r="E5899" s="4" t="s">
        <v>4519</v>
      </c>
      <c r="F5899" s="4" t="n">
        <v>23</v>
      </c>
      <c r="G5899" s="4" t="n">
        <v>5</v>
      </c>
      <c r="H5899" s="4" t="n">
        <v>1</v>
      </c>
      <c r="I5899" s="4" t="str">
        <v>○</v>
      </c>
      <c r="J5899" s="4" t="n">
        <v>4940</v>
      </c>
      <c r="K5899" s="4"/>
      <c r="L5899" s="4"/>
      <c r="M5899" s="5" t="s">
        <v>4475</v>
      </c>
    </row>
    <row r="5900" customFormat="false" ht="15.75" hidden="false" customHeight="false" outlineLevel="0" collapsed="false">
      <c r="A5900" s="6" t="n">
        <v>46179</v>
      </c>
      <c r="B5900" s="4" t="s">
        <v>4473</v>
      </c>
      <c r="C5900" s="4" t="n">
        <v>8</v>
      </c>
      <c r="D5900" s="4" t="n">
        <v>3</v>
      </c>
      <c r="E5900" s="4" t="s">
        <v>3065</v>
      </c>
      <c r="F5900" s="4" t="n">
        <v>81</v>
      </c>
      <c r="G5900" s="4" t="n">
        <v>1</v>
      </c>
      <c r="H5900" s="4" t="n">
        <v>4</v>
      </c>
      <c r="I5900" s="4" t="str">
        <v>×</v>
      </c>
      <c r="J5900" s="4"/>
      <c r="K5900" s="4"/>
      <c r="L5900" s="4"/>
      <c r="M5900" s="5" t="s">
        <v>4475</v>
      </c>
    </row>
    <row r="5901" customFormat="false" ht="15.75" hidden="false" customHeight="false" outlineLevel="0" collapsed="false">
      <c r="A5901" s="6" t="n">
        <v>46179</v>
      </c>
      <c r="B5901" s="4" t="s">
        <v>4473</v>
      </c>
      <c r="C5901" s="4" t="n">
        <v>8</v>
      </c>
      <c r="D5901" s="4" t="n">
        <v>4</v>
      </c>
      <c r="E5901" s="4" t="s">
        <v>4520</v>
      </c>
      <c r="F5901" s="4" t="n">
        <v>15</v>
      </c>
      <c r="G5901" s="4" t="n">
        <v>8</v>
      </c>
      <c r="H5901" s="4" t="n">
        <v>3</v>
      </c>
      <c r="I5901" s="4" t="str">
        <v>○</v>
      </c>
      <c r="J5901" s="4" t="n">
        <v>950</v>
      </c>
      <c r="K5901" s="4"/>
      <c r="L5901" s="4"/>
      <c r="M5901" s="5" t="s">
        <v>4475</v>
      </c>
    </row>
    <row r="5902" customFormat="false" ht="15.75" hidden="false" customHeight="false" outlineLevel="0" collapsed="false">
      <c r="A5902" s="6" t="n">
        <v>46179</v>
      </c>
      <c r="B5902" s="4" t="s">
        <v>4473</v>
      </c>
      <c r="C5902" s="4" t="n">
        <v>8</v>
      </c>
      <c r="D5902" s="4" t="n">
        <v>5</v>
      </c>
      <c r="E5902" s="4" t="s">
        <v>1043</v>
      </c>
      <c r="F5902" s="4" t="n">
        <v>8</v>
      </c>
      <c r="G5902" s="4" t="n">
        <v>11</v>
      </c>
      <c r="H5902" s="4" t="n">
        <v>4</v>
      </c>
      <c r="I5902" s="4" t="str">
        <v>×</v>
      </c>
      <c r="J5902" s="4"/>
      <c r="K5902" s="4"/>
      <c r="L5902" s="4"/>
      <c r="M5902" s="5" t="s">
        <v>4475</v>
      </c>
    </row>
    <row r="5903" customFormat="false" ht="15.75" hidden="false" customHeight="false" outlineLevel="0" collapsed="false">
      <c r="A5903" s="6" t="n">
        <v>46179</v>
      </c>
      <c r="B5903" s="4" t="s">
        <v>4473</v>
      </c>
      <c r="C5903" s="4" t="n">
        <v>8</v>
      </c>
      <c r="D5903" s="4" t="n">
        <v>6</v>
      </c>
      <c r="E5903" s="4" t="s">
        <v>4521</v>
      </c>
      <c r="F5903" s="4" t="n">
        <v>23</v>
      </c>
      <c r="G5903" s="4" t="n">
        <v>5</v>
      </c>
      <c r="H5903" s="4" t="n">
        <v>4</v>
      </c>
      <c r="I5903" s="4" t="str">
        <v>×</v>
      </c>
      <c r="J5903" s="4"/>
      <c r="K5903" s="4"/>
      <c r="L5903" s="4"/>
      <c r="M5903" s="5" t="s">
        <v>4475</v>
      </c>
    </row>
    <row r="5904" customFormat="false" ht="15.75" hidden="false" customHeight="false" outlineLevel="0" collapsed="false">
      <c r="A5904" s="6" t="n">
        <v>46179</v>
      </c>
      <c r="B5904" s="4" t="s">
        <v>4473</v>
      </c>
      <c r="C5904" s="4" t="n">
        <v>8</v>
      </c>
      <c r="D5904" s="4" t="n">
        <v>7</v>
      </c>
      <c r="E5904" s="4" t="s">
        <v>4522</v>
      </c>
      <c r="F5904" s="4" t="n">
        <v>25</v>
      </c>
      <c r="G5904" s="4" t="n">
        <v>4</v>
      </c>
      <c r="H5904" s="4" t="n">
        <v>4</v>
      </c>
      <c r="I5904" s="4" t="str">
        <v>×</v>
      </c>
      <c r="J5904" s="4"/>
      <c r="K5904" s="4"/>
      <c r="L5904" s="4"/>
      <c r="M5904" s="5" t="s">
        <v>4475</v>
      </c>
    </row>
    <row r="5905" customFormat="false" ht="15.75" hidden="false" customHeight="false" outlineLevel="0" collapsed="false">
      <c r="A5905" s="6" t="n">
        <v>46179</v>
      </c>
      <c r="B5905" s="4" t="s">
        <v>4473</v>
      </c>
      <c r="C5905" s="4" t="n">
        <v>8</v>
      </c>
      <c r="D5905" s="4" t="n">
        <v>8</v>
      </c>
      <c r="E5905" s="4" t="s">
        <v>4523</v>
      </c>
      <c r="F5905" s="4" t="n">
        <v>37</v>
      </c>
      <c r="G5905" s="4" t="n">
        <v>2</v>
      </c>
      <c r="H5905" s="4" t="n">
        <v>4</v>
      </c>
      <c r="I5905" s="4" t="str">
        <v>×</v>
      </c>
      <c r="J5905" s="4"/>
      <c r="K5905" s="4"/>
      <c r="L5905" s="4"/>
      <c r="M5905" s="5" t="s">
        <v>4475</v>
      </c>
    </row>
    <row r="5906" customFormat="false" ht="15.75" hidden="false" customHeight="false" outlineLevel="0" collapsed="false">
      <c r="A5906" s="6" t="n">
        <v>46179</v>
      </c>
      <c r="B5906" s="4" t="s">
        <v>4473</v>
      </c>
      <c r="C5906" s="4" t="n">
        <v>8</v>
      </c>
      <c r="D5906" s="4" t="n">
        <v>9</v>
      </c>
      <c r="E5906" s="4" t="s">
        <v>4524</v>
      </c>
      <c r="F5906" s="4" t="n">
        <v>13</v>
      </c>
      <c r="G5906" s="4" t="n">
        <v>9</v>
      </c>
      <c r="H5906" s="4" t="n">
        <v>4</v>
      </c>
      <c r="I5906" s="4" t="str">
        <v>×</v>
      </c>
      <c r="J5906" s="4"/>
      <c r="K5906" s="4"/>
      <c r="L5906" s="4"/>
      <c r="M5906" s="5" t="s">
        <v>4475</v>
      </c>
    </row>
    <row r="5907" customFormat="false" ht="15.75" hidden="false" customHeight="false" outlineLevel="0" collapsed="false">
      <c r="A5907" s="6" t="n">
        <v>46179</v>
      </c>
      <c r="B5907" s="4" t="s">
        <v>4473</v>
      </c>
      <c r="C5907" s="4" t="n">
        <v>8</v>
      </c>
      <c r="D5907" s="4" t="n">
        <v>10</v>
      </c>
      <c r="E5907" s="4" t="s">
        <v>4525</v>
      </c>
      <c r="F5907" s="4" t="n">
        <v>17</v>
      </c>
      <c r="G5907" s="4" t="n">
        <v>7</v>
      </c>
      <c r="H5907" s="4" t="n">
        <v>4</v>
      </c>
      <c r="I5907" s="4" t="str">
        <v>×</v>
      </c>
      <c r="J5907" s="4"/>
      <c r="K5907" s="4"/>
      <c r="L5907" s="4"/>
      <c r="M5907" s="5" t="s">
        <v>4475</v>
      </c>
    </row>
    <row r="5908" customFormat="false" ht="15.75" hidden="false" customHeight="false" outlineLevel="0" collapsed="false">
      <c r="A5908" s="6" t="n">
        <v>46179</v>
      </c>
      <c r="B5908" s="4" t="s">
        <v>4473</v>
      </c>
      <c r="C5908" s="4" t="n">
        <v>8</v>
      </c>
      <c r="D5908" s="4" t="n">
        <v>11</v>
      </c>
      <c r="E5908" s="4" t="s">
        <v>4526</v>
      </c>
      <c r="F5908" s="4" t="n">
        <v>29</v>
      </c>
      <c r="G5908" s="4" t="n">
        <v>3</v>
      </c>
      <c r="H5908" s="4" t="n">
        <v>4</v>
      </c>
      <c r="I5908" s="4" t="str">
        <v>×</v>
      </c>
      <c r="J5908" s="4"/>
      <c r="K5908" s="4"/>
      <c r="L5908" s="4"/>
      <c r="M5908" s="5" t="s">
        <v>4475</v>
      </c>
    </row>
    <row r="5909" customFormat="false" ht="15.75" hidden="false" customHeight="false" outlineLevel="0" collapsed="false">
      <c r="A5909" s="6" t="n">
        <v>46179</v>
      </c>
      <c r="B5909" s="4" t="s">
        <v>4473</v>
      </c>
      <c r="C5909" s="4" t="n">
        <v>8</v>
      </c>
      <c r="D5909" s="4" t="n">
        <v>12</v>
      </c>
      <c r="E5909" s="4" t="s">
        <v>4527</v>
      </c>
      <c r="F5909" s="4" t="n">
        <v>17</v>
      </c>
      <c r="G5909" s="4" t="n">
        <v>7</v>
      </c>
      <c r="H5909" s="4" t="n">
        <v>4</v>
      </c>
      <c r="I5909" s="4" t="str">
        <v>×</v>
      </c>
      <c r="J5909" s="4"/>
      <c r="K5909" s="4"/>
      <c r="L5909" s="4"/>
      <c r="M5909" s="5" t="s">
        <v>4475</v>
      </c>
    </row>
    <row r="5910" customFormat="false" ht="15.75" hidden="false" customHeight="false" outlineLevel="0" collapsed="false">
      <c r="A5910" s="6" t="n">
        <v>46179</v>
      </c>
      <c r="B5910" s="4" t="s">
        <v>4473</v>
      </c>
      <c r="C5910" s="4" t="n">
        <v>8</v>
      </c>
      <c r="D5910" s="4" t="n">
        <v>13</v>
      </c>
      <c r="E5910" s="4" t="s">
        <v>4528</v>
      </c>
      <c r="F5910" s="4" t="n">
        <v>3</v>
      </c>
      <c r="G5910" s="4" t="n">
        <v>12</v>
      </c>
      <c r="H5910" s="4" t="n">
        <v>4</v>
      </c>
      <c r="I5910" s="4" t="str">
        <v>×</v>
      </c>
      <c r="J5910" s="4"/>
      <c r="K5910" s="4"/>
      <c r="L5910" s="4"/>
      <c r="M5910" s="5" t="s">
        <v>4475</v>
      </c>
    </row>
    <row r="5911" customFormat="false" ht="15.75" hidden="false" customHeight="false" outlineLevel="0" collapsed="false">
      <c r="A5911" s="6" t="n">
        <v>46179</v>
      </c>
      <c r="B5911" s="4" t="s">
        <v>4473</v>
      </c>
      <c r="C5911" s="4" t="n">
        <v>8</v>
      </c>
      <c r="D5911" s="4" t="n">
        <v>14</v>
      </c>
      <c r="E5911" s="4" t="s">
        <v>1550</v>
      </c>
      <c r="F5911" s="4" t="n">
        <v>20</v>
      </c>
      <c r="G5911" s="4" t="n">
        <v>6</v>
      </c>
      <c r="H5911" s="4" t="n">
        <v>4</v>
      </c>
      <c r="I5911" s="4" t="str">
        <v>×</v>
      </c>
      <c r="J5911" s="4"/>
      <c r="K5911" s="4"/>
      <c r="L5911" s="4"/>
      <c r="M5911" s="5" t="s">
        <v>4475</v>
      </c>
    </row>
    <row r="5912" customFormat="false" ht="15.75" hidden="false" customHeight="false" outlineLevel="0" collapsed="false">
      <c r="A5912" s="6" t="n">
        <v>46179</v>
      </c>
      <c r="B5912" s="4" t="s">
        <v>4473</v>
      </c>
      <c r="C5912" s="4" t="n">
        <v>8</v>
      </c>
      <c r="D5912" s="4" t="n">
        <v>15</v>
      </c>
      <c r="E5912" s="4" t="s">
        <v>4529</v>
      </c>
      <c r="F5912" s="4" t="n">
        <v>10</v>
      </c>
      <c r="G5912" s="4" t="n">
        <v>10</v>
      </c>
      <c r="H5912" s="4" t="n">
        <v>4</v>
      </c>
      <c r="I5912" s="4" t="str">
        <v>×</v>
      </c>
      <c r="J5912" s="4"/>
      <c r="K5912" s="4"/>
      <c r="L5912" s="4"/>
      <c r="M5912" s="5" t="s">
        <v>4475</v>
      </c>
    </row>
    <row r="5913" customFormat="false" ht="15.75" hidden="false" customHeight="false" outlineLevel="0" collapsed="false">
      <c r="A5913" s="6" t="n">
        <v>46179</v>
      </c>
      <c r="B5913" s="4" t="s">
        <v>4473</v>
      </c>
      <c r="C5913" s="4" t="n">
        <v>8</v>
      </c>
      <c r="D5913" s="4" t="n">
        <v>16</v>
      </c>
      <c r="E5913" s="4" t="s">
        <v>4530</v>
      </c>
      <c r="F5913" s="4" t="n">
        <v>25</v>
      </c>
      <c r="G5913" s="4" t="n">
        <v>4</v>
      </c>
      <c r="H5913" s="4" t="n">
        <v>2</v>
      </c>
      <c r="I5913" s="4" t="str">
        <v>○</v>
      </c>
      <c r="J5913" s="4" t="n">
        <v>520</v>
      </c>
      <c r="K5913" s="4"/>
      <c r="L5913" s="4"/>
      <c r="M5913" s="5" t="s">
        <v>4475</v>
      </c>
    </row>
    <row r="5914" customFormat="false" ht="15.75" hidden="false" customHeight="false" outlineLevel="0" collapsed="false">
      <c r="A5914" s="6" t="n">
        <v>46179</v>
      </c>
      <c r="B5914" s="4" t="s">
        <v>4473</v>
      </c>
      <c r="C5914" s="4" t="n">
        <v>9</v>
      </c>
      <c r="D5914" s="4" t="n">
        <v>1</v>
      </c>
      <c r="E5914" s="4" t="s">
        <v>4531</v>
      </c>
      <c r="F5914" s="4" t="n">
        <v>20</v>
      </c>
      <c r="G5914" s="4" t="n">
        <v>6</v>
      </c>
      <c r="H5914" s="4" t="n">
        <v>4</v>
      </c>
      <c r="I5914" s="4" t="str">
        <v>×</v>
      </c>
      <c r="J5914" s="4"/>
      <c r="K5914" s="4"/>
      <c r="L5914" s="4"/>
      <c r="M5914" s="5" t="s">
        <v>4475</v>
      </c>
    </row>
    <row r="5915" customFormat="false" ht="15.75" hidden="false" customHeight="false" outlineLevel="0" collapsed="false">
      <c r="A5915" s="6" t="n">
        <v>46179</v>
      </c>
      <c r="B5915" s="4" t="s">
        <v>4473</v>
      </c>
      <c r="C5915" s="4" t="n">
        <v>9</v>
      </c>
      <c r="D5915" s="4" t="n">
        <v>2</v>
      </c>
      <c r="E5915" s="4" t="s">
        <v>4532</v>
      </c>
      <c r="F5915" s="4" t="n">
        <v>37</v>
      </c>
      <c r="G5915" s="4" t="n">
        <v>3</v>
      </c>
      <c r="H5915" s="4" t="n">
        <v>4</v>
      </c>
      <c r="I5915" s="4" t="str">
        <v>×</v>
      </c>
      <c r="J5915" s="4"/>
      <c r="K5915" s="4"/>
      <c r="L5915" s="4"/>
      <c r="M5915" s="5" t="s">
        <v>4475</v>
      </c>
    </row>
    <row r="5916" customFormat="false" ht="15.75" hidden="false" customHeight="false" outlineLevel="0" collapsed="false">
      <c r="A5916" s="6" t="n">
        <v>46179</v>
      </c>
      <c r="B5916" s="4" t="s">
        <v>4473</v>
      </c>
      <c r="C5916" s="4" t="n">
        <v>9</v>
      </c>
      <c r="D5916" s="4" t="n">
        <v>3</v>
      </c>
      <c r="E5916" s="4" t="s">
        <v>4533</v>
      </c>
      <c r="F5916" s="4" t="n">
        <v>15</v>
      </c>
      <c r="G5916" s="4" t="n">
        <v>8</v>
      </c>
      <c r="H5916" s="4" t="n">
        <v>4</v>
      </c>
      <c r="I5916" s="4" t="str">
        <v>×</v>
      </c>
      <c r="J5916" s="4"/>
      <c r="K5916" s="4"/>
      <c r="L5916" s="4"/>
      <c r="M5916" s="5" t="s">
        <v>4475</v>
      </c>
    </row>
    <row r="5917" customFormat="false" ht="15.75" hidden="false" customHeight="false" outlineLevel="0" collapsed="false">
      <c r="A5917" s="6" t="n">
        <v>46179</v>
      </c>
      <c r="B5917" s="4" t="s">
        <v>4473</v>
      </c>
      <c r="C5917" s="4" t="n">
        <v>9</v>
      </c>
      <c r="D5917" s="4" t="n">
        <v>4</v>
      </c>
      <c r="E5917" s="4" t="s">
        <v>4534</v>
      </c>
      <c r="F5917" s="4" t="n">
        <v>17</v>
      </c>
      <c r="G5917" s="4" t="n">
        <v>7</v>
      </c>
      <c r="H5917" s="4" t="n">
        <v>4</v>
      </c>
      <c r="I5917" s="4" t="str">
        <v>×</v>
      </c>
      <c r="J5917" s="4"/>
      <c r="K5917" s="4"/>
      <c r="L5917" s="4"/>
      <c r="M5917" s="5" t="s">
        <v>4475</v>
      </c>
    </row>
    <row r="5918" customFormat="false" ht="15.75" hidden="false" customHeight="false" outlineLevel="0" collapsed="false">
      <c r="A5918" s="6" t="n">
        <v>46179</v>
      </c>
      <c r="B5918" s="4" t="s">
        <v>4473</v>
      </c>
      <c r="C5918" s="4" t="n">
        <v>9</v>
      </c>
      <c r="D5918" s="4" t="n">
        <v>5</v>
      </c>
      <c r="E5918" s="4" t="s">
        <v>3373</v>
      </c>
      <c r="F5918" s="4" t="n">
        <v>44</v>
      </c>
      <c r="G5918" s="4" t="n">
        <v>1</v>
      </c>
      <c r="H5918" s="4" t="n">
        <v>4</v>
      </c>
      <c r="I5918" s="4" t="str">
        <v>×</v>
      </c>
      <c r="J5918" s="4"/>
      <c r="K5918" s="4"/>
      <c r="L5918" s="4"/>
      <c r="M5918" s="5" t="s">
        <v>4475</v>
      </c>
    </row>
    <row r="5919" customFormat="false" ht="15.75" hidden="false" customHeight="false" outlineLevel="0" collapsed="false">
      <c r="A5919" s="6" t="n">
        <v>46179</v>
      </c>
      <c r="B5919" s="4" t="s">
        <v>4473</v>
      </c>
      <c r="C5919" s="4" t="n">
        <v>9</v>
      </c>
      <c r="D5919" s="4" t="n">
        <v>6</v>
      </c>
      <c r="E5919" s="4" t="s">
        <v>1032</v>
      </c>
      <c r="F5919" s="4" t="n">
        <v>8</v>
      </c>
      <c r="G5919" s="4" t="n">
        <v>9</v>
      </c>
      <c r="H5919" s="4" t="n">
        <v>4</v>
      </c>
      <c r="I5919" s="4" t="str">
        <v>×</v>
      </c>
      <c r="J5919" s="4"/>
      <c r="K5919" s="4"/>
      <c r="L5919" s="4"/>
      <c r="M5919" s="5" t="s">
        <v>4475</v>
      </c>
    </row>
    <row r="5920" customFormat="false" ht="15.75" hidden="false" customHeight="false" outlineLevel="0" collapsed="false">
      <c r="A5920" s="6" t="n">
        <v>46179</v>
      </c>
      <c r="B5920" s="4" t="s">
        <v>4473</v>
      </c>
      <c r="C5920" s="4" t="n">
        <v>9</v>
      </c>
      <c r="D5920" s="4" t="n">
        <v>7</v>
      </c>
      <c r="E5920" s="4" t="s">
        <v>4535</v>
      </c>
      <c r="F5920" s="4" t="n">
        <v>39</v>
      </c>
      <c r="G5920" s="4" t="n">
        <v>2</v>
      </c>
      <c r="H5920" s="4" t="n">
        <v>4</v>
      </c>
      <c r="I5920" s="4" t="str">
        <v>×</v>
      </c>
      <c r="J5920" s="4"/>
      <c r="K5920" s="4"/>
      <c r="L5920" s="4"/>
      <c r="M5920" s="5" t="s">
        <v>4475</v>
      </c>
    </row>
    <row r="5921" customFormat="false" ht="15.75" hidden="false" customHeight="false" outlineLevel="0" collapsed="false">
      <c r="A5921" s="6" t="n">
        <v>46179</v>
      </c>
      <c r="B5921" s="4" t="s">
        <v>4473</v>
      </c>
      <c r="C5921" s="4" t="n">
        <v>9</v>
      </c>
      <c r="D5921" s="4" t="n">
        <v>8</v>
      </c>
      <c r="E5921" s="4" t="s">
        <v>4536</v>
      </c>
      <c r="F5921" s="4" t="n">
        <v>39</v>
      </c>
      <c r="G5921" s="4" t="n">
        <v>2</v>
      </c>
      <c r="H5921" s="4" t="n">
        <v>1</v>
      </c>
      <c r="I5921" s="4" t="str">
        <v>○</v>
      </c>
      <c r="J5921" s="4" t="n">
        <v>160</v>
      </c>
      <c r="K5921" s="4"/>
      <c r="L5921" s="4"/>
      <c r="M5921" s="5" t="s">
        <v>4475</v>
      </c>
    </row>
    <row r="5922" customFormat="false" ht="15.75" hidden="false" customHeight="false" outlineLevel="0" collapsed="false">
      <c r="A5922" s="6" t="n">
        <v>46179</v>
      </c>
      <c r="B5922" s="4" t="s">
        <v>4473</v>
      </c>
      <c r="C5922" s="4" t="n">
        <v>9</v>
      </c>
      <c r="D5922" s="4" t="n">
        <v>9</v>
      </c>
      <c r="E5922" s="4" t="s">
        <v>4537</v>
      </c>
      <c r="F5922" s="4" t="n">
        <v>31</v>
      </c>
      <c r="G5922" s="4" t="n">
        <v>4</v>
      </c>
      <c r="H5922" s="4" t="n">
        <v>3</v>
      </c>
      <c r="I5922" s="4" t="str">
        <v>○</v>
      </c>
      <c r="J5922" s="4" t="n">
        <v>300</v>
      </c>
      <c r="K5922" s="4"/>
      <c r="L5922" s="4"/>
      <c r="M5922" s="5" t="s">
        <v>4475</v>
      </c>
    </row>
    <row r="5923" customFormat="false" ht="15.75" hidden="false" customHeight="false" outlineLevel="0" collapsed="false">
      <c r="A5923" s="6" t="n">
        <v>46179</v>
      </c>
      <c r="B5923" s="4" t="s">
        <v>4473</v>
      </c>
      <c r="C5923" s="4" t="n">
        <v>9</v>
      </c>
      <c r="D5923" s="4" t="n">
        <v>10</v>
      </c>
      <c r="E5923" s="4" t="s">
        <v>4538</v>
      </c>
      <c r="F5923" s="4" t="n">
        <v>37</v>
      </c>
      <c r="G5923" s="4" t="n">
        <v>3</v>
      </c>
      <c r="H5923" s="4" t="n">
        <v>2</v>
      </c>
      <c r="I5923" s="4" t="str">
        <v>○</v>
      </c>
      <c r="J5923" s="4" t="n">
        <v>110</v>
      </c>
      <c r="K5923" s="4"/>
      <c r="L5923" s="4"/>
      <c r="M5923" s="5" t="s">
        <v>4475</v>
      </c>
    </row>
    <row r="5924" customFormat="false" ht="15.75" hidden="false" customHeight="false" outlineLevel="0" collapsed="false">
      <c r="A5924" s="6" t="n">
        <v>46179</v>
      </c>
      <c r="B5924" s="4" t="s">
        <v>4473</v>
      </c>
      <c r="C5924" s="4" t="n">
        <v>9</v>
      </c>
      <c r="D5924" s="4" t="n">
        <v>11</v>
      </c>
      <c r="E5924" s="4" t="s">
        <v>4539</v>
      </c>
      <c r="F5924" s="4" t="n">
        <v>25</v>
      </c>
      <c r="G5924" s="4" t="n">
        <v>5</v>
      </c>
      <c r="H5924" s="4" t="n">
        <v>4</v>
      </c>
      <c r="I5924" s="4" t="str">
        <v>×</v>
      </c>
      <c r="J5924" s="4"/>
      <c r="K5924" s="4"/>
      <c r="L5924" s="4"/>
      <c r="M5924" s="5" t="s">
        <v>4475</v>
      </c>
    </row>
    <row r="5925" customFormat="false" ht="15.75" hidden="false" customHeight="false" outlineLevel="0" collapsed="false">
      <c r="A5925" s="6" t="n">
        <v>46179</v>
      </c>
      <c r="B5925" s="4" t="s">
        <v>4473</v>
      </c>
      <c r="C5925" s="4" t="n">
        <v>9</v>
      </c>
      <c r="D5925" s="4" t="n">
        <v>12</v>
      </c>
      <c r="E5925" s="4" t="s">
        <v>4540</v>
      </c>
      <c r="F5925" s="4" t="n">
        <v>31</v>
      </c>
      <c r="G5925" s="4" t="n">
        <v>4</v>
      </c>
      <c r="H5925" s="4" t="n">
        <v>4</v>
      </c>
      <c r="I5925" s="4" t="str">
        <v>×</v>
      </c>
      <c r="J5925" s="4"/>
      <c r="K5925" s="4"/>
      <c r="L5925" s="4"/>
      <c r="M5925" s="5" t="s">
        <v>4475</v>
      </c>
    </row>
    <row r="5926" customFormat="false" ht="15.75" hidden="false" customHeight="false" outlineLevel="0" collapsed="false">
      <c r="A5926" s="6" t="n">
        <v>46179</v>
      </c>
      <c r="B5926" s="4" t="s">
        <v>4473</v>
      </c>
      <c r="C5926" s="4" t="n">
        <v>10</v>
      </c>
      <c r="D5926" s="4" t="n">
        <v>1</v>
      </c>
      <c r="E5926" s="4" t="s">
        <v>3303</v>
      </c>
      <c r="F5926" s="4" t="n">
        <v>37</v>
      </c>
      <c r="G5926" s="4" t="n">
        <v>3</v>
      </c>
      <c r="H5926" s="4" t="n">
        <v>4</v>
      </c>
      <c r="I5926" s="4" t="str">
        <v>×</v>
      </c>
      <c r="J5926" s="4"/>
      <c r="K5926" s="4"/>
      <c r="L5926" s="4"/>
      <c r="M5926" s="5" t="s">
        <v>4475</v>
      </c>
    </row>
    <row r="5927" customFormat="false" ht="15.75" hidden="false" customHeight="false" outlineLevel="0" collapsed="false">
      <c r="A5927" s="6" t="n">
        <v>46179</v>
      </c>
      <c r="B5927" s="4" t="s">
        <v>4473</v>
      </c>
      <c r="C5927" s="4" t="n">
        <v>10</v>
      </c>
      <c r="D5927" s="4" t="n">
        <v>2</v>
      </c>
      <c r="E5927" s="4" t="s">
        <v>4541</v>
      </c>
      <c r="F5927" s="4" t="n">
        <v>3</v>
      </c>
      <c r="G5927" s="4" t="n">
        <v>10</v>
      </c>
      <c r="H5927" s="4" t="n">
        <v>3</v>
      </c>
      <c r="I5927" s="4" t="str">
        <v>○</v>
      </c>
      <c r="J5927" s="4" t="n">
        <v>3180</v>
      </c>
      <c r="K5927" s="4"/>
      <c r="L5927" s="4"/>
      <c r="M5927" s="5" t="s">
        <v>4475</v>
      </c>
    </row>
    <row r="5928" customFormat="false" ht="15.75" hidden="false" customHeight="false" outlineLevel="0" collapsed="false">
      <c r="A5928" s="6" t="n">
        <v>46179</v>
      </c>
      <c r="B5928" s="4" t="s">
        <v>4473</v>
      </c>
      <c r="C5928" s="4" t="n">
        <v>10</v>
      </c>
      <c r="D5928" s="4" t="n">
        <v>3</v>
      </c>
      <c r="E5928" s="4" t="s">
        <v>1511</v>
      </c>
      <c r="F5928" s="4" t="n">
        <v>10</v>
      </c>
      <c r="G5928" s="4" t="n">
        <v>6</v>
      </c>
      <c r="H5928" s="4" t="n">
        <v>4</v>
      </c>
      <c r="I5928" s="4" t="str">
        <v>×</v>
      </c>
      <c r="J5928" s="4"/>
      <c r="K5928" s="4"/>
      <c r="L5928" s="4"/>
      <c r="M5928" s="5" t="s">
        <v>4475</v>
      </c>
    </row>
    <row r="5929" customFormat="false" ht="15.75" hidden="false" customHeight="false" outlineLevel="0" collapsed="false">
      <c r="A5929" s="6" t="n">
        <v>46179</v>
      </c>
      <c r="B5929" s="4" t="s">
        <v>4473</v>
      </c>
      <c r="C5929" s="4" t="n">
        <v>10</v>
      </c>
      <c r="D5929" s="4" t="n">
        <v>4</v>
      </c>
      <c r="E5929" s="4" t="s">
        <v>4542</v>
      </c>
      <c r="F5929" s="4" t="n">
        <v>66</v>
      </c>
      <c r="G5929" s="4" t="n">
        <v>1</v>
      </c>
      <c r="H5929" s="4" t="n">
        <v>2</v>
      </c>
      <c r="I5929" s="4" t="str">
        <v>○</v>
      </c>
      <c r="J5929" s="4" t="n">
        <v>130</v>
      </c>
      <c r="K5929" s="4"/>
      <c r="L5929" s="4"/>
      <c r="M5929" s="5" t="s">
        <v>4475</v>
      </c>
    </row>
    <row r="5930" customFormat="false" ht="15.75" hidden="false" customHeight="false" outlineLevel="0" collapsed="false">
      <c r="A5930" s="6" t="n">
        <v>46179</v>
      </c>
      <c r="B5930" s="4" t="s">
        <v>4473</v>
      </c>
      <c r="C5930" s="4" t="n">
        <v>10</v>
      </c>
      <c r="D5930" s="4" t="n">
        <v>5</v>
      </c>
      <c r="E5930" s="4" t="s">
        <v>2256</v>
      </c>
      <c r="F5930" s="4" t="n">
        <v>13</v>
      </c>
      <c r="G5930" s="4" t="n">
        <v>5</v>
      </c>
      <c r="H5930" s="4" t="n">
        <v>4</v>
      </c>
      <c r="I5930" s="4" t="str">
        <v>×</v>
      </c>
      <c r="J5930" s="4"/>
      <c r="K5930" s="4"/>
      <c r="L5930" s="4"/>
      <c r="M5930" s="5" t="s">
        <v>4475</v>
      </c>
    </row>
    <row r="5931" customFormat="false" ht="15.75" hidden="false" customHeight="false" outlineLevel="0" collapsed="false">
      <c r="A5931" s="6" t="n">
        <v>46179</v>
      </c>
      <c r="B5931" s="4" t="s">
        <v>4473</v>
      </c>
      <c r="C5931" s="4" t="n">
        <v>10</v>
      </c>
      <c r="D5931" s="4" t="n">
        <v>6</v>
      </c>
      <c r="E5931" s="4" t="s">
        <v>449</v>
      </c>
      <c r="F5931" s="4" t="n">
        <v>41</v>
      </c>
      <c r="G5931" s="4" t="n">
        <v>2</v>
      </c>
      <c r="H5931" s="4" t="n">
        <v>1</v>
      </c>
      <c r="I5931" s="4" t="str">
        <v>○</v>
      </c>
      <c r="J5931" s="4" t="n">
        <v>260</v>
      </c>
      <c r="K5931" s="4"/>
      <c r="L5931" s="4"/>
      <c r="M5931" s="5" t="s">
        <v>4475</v>
      </c>
    </row>
    <row r="5932" customFormat="false" ht="15.75" hidden="false" customHeight="false" outlineLevel="0" collapsed="false">
      <c r="A5932" s="6" t="n">
        <v>46179</v>
      </c>
      <c r="B5932" s="4" t="s">
        <v>4473</v>
      </c>
      <c r="C5932" s="4" t="n">
        <v>10</v>
      </c>
      <c r="D5932" s="4" t="n">
        <v>7</v>
      </c>
      <c r="E5932" s="4" t="s">
        <v>582</v>
      </c>
      <c r="F5932" s="4" t="n">
        <v>3</v>
      </c>
      <c r="G5932" s="4" t="n">
        <v>10</v>
      </c>
      <c r="H5932" s="4" t="n">
        <v>4</v>
      </c>
      <c r="I5932" s="4" t="str">
        <v>×</v>
      </c>
      <c r="J5932" s="4"/>
      <c r="K5932" s="4"/>
      <c r="L5932" s="4"/>
      <c r="M5932" s="5" t="s">
        <v>4475</v>
      </c>
    </row>
    <row r="5933" customFormat="false" ht="15.75" hidden="false" customHeight="false" outlineLevel="0" collapsed="false">
      <c r="A5933" s="6" t="n">
        <v>46179</v>
      </c>
      <c r="B5933" s="4" t="s">
        <v>4473</v>
      </c>
      <c r="C5933" s="4" t="n">
        <v>10</v>
      </c>
      <c r="D5933" s="4" t="n">
        <v>8</v>
      </c>
      <c r="E5933" s="4" t="s">
        <v>884</v>
      </c>
      <c r="F5933" s="4" t="n">
        <v>6</v>
      </c>
      <c r="G5933" s="4" t="n">
        <v>8</v>
      </c>
      <c r="H5933" s="4" t="n">
        <v>4</v>
      </c>
      <c r="I5933" s="4" t="str">
        <v>×</v>
      </c>
      <c r="J5933" s="4"/>
      <c r="K5933" s="4"/>
      <c r="L5933" s="4"/>
      <c r="M5933" s="5" t="s">
        <v>4475</v>
      </c>
    </row>
    <row r="5934" customFormat="false" ht="15.75" hidden="false" customHeight="false" outlineLevel="0" collapsed="false">
      <c r="A5934" s="6" t="n">
        <v>46179</v>
      </c>
      <c r="B5934" s="4" t="s">
        <v>4473</v>
      </c>
      <c r="C5934" s="4" t="n">
        <v>10</v>
      </c>
      <c r="D5934" s="4" t="n">
        <v>9</v>
      </c>
      <c r="E5934" s="4" t="s">
        <v>4543</v>
      </c>
      <c r="F5934" s="4" t="n">
        <v>41</v>
      </c>
      <c r="G5934" s="4" t="n">
        <v>2</v>
      </c>
      <c r="H5934" s="4" t="n">
        <v>4</v>
      </c>
      <c r="I5934" s="4" t="str">
        <v>×</v>
      </c>
      <c r="J5934" s="4"/>
      <c r="K5934" s="4"/>
      <c r="L5934" s="4"/>
      <c r="M5934" s="5" t="s">
        <v>4475</v>
      </c>
    </row>
    <row r="5935" customFormat="false" ht="15.75" hidden="false" customHeight="false" outlineLevel="0" collapsed="false">
      <c r="A5935" s="6" t="n">
        <v>46179</v>
      </c>
      <c r="B5935" s="4" t="s">
        <v>4473</v>
      </c>
      <c r="C5935" s="4" t="n">
        <v>10</v>
      </c>
      <c r="D5935" s="4" t="n">
        <v>10</v>
      </c>
      <c r="E5935" s="4" t="s">
        <v>4544</v>
      </c>
      <c r="F5935" s="4" t="n">
        <v>8</v>
      </c>
      <c r="G5935" s="4" t="n">
        <v>7</v>
      </c>
      <c r="H5935" s="4" t="n">
        <v>4</v>
      </c>
      <c r="I5935" s="4" t="str">
        <v>×</v>
      </c>
      <c r="J5935" s="4"/>
      <c r="K5935" s="4"/>
      <c r="L5935" s="4"/>
      <c r="M5935" s="5" t="s">
        <v>4475</v>
      </c>
    </row>
    <row r="5936" customFormat="false" ht="15.75" hidden="false" customHeight="false" outlineLevel="0" collapsed="false">
      <c r="A5936" s="6" t="n">
        <v>46179</v>
      </c>
      <c r="B5936" s="4" t="s">
        <v>4473</v>
      </c>
      <c r="C5936" s="4" t="n">
        <v>10</v>
      </c>
      <c r="D5936" s="4" t="n">
        <v>11</v>
      </c>
      <c r="E5936" s="4" t="s">
        <v>4545</v>
      </c>
      <c r="F5936" s="4" t="n">
        <v>37</v>
      </c>
      <c r="G5936" s="4" t="n">
        <v>3</v>
      </c>
      <c r="H5936" s="4" t="n">
        <v>4</v>
      </c>
      <c r="I5936" s="4" t="str">
        <v>×</v>
      </c>
      <c r="J5936" s="4"/>
      <c r="K5936" s="4"/>
      <c r="L5936" s="4"/>
      <c r="M5936" s="5" t="s">
        <v>4475</v>
      </c>
    </row>
    <row r="5937" customFormat="false" ht="15.75" hidden="false" customHeight="false" outlineLevel="0" collapsed="false">
      <c r="A5937" s="6" t="n">
        <v>46179</v>
      </c>
      <c r="B5937" s="4" t="s">
        <v>4473</v>
      </c>
      <c r="C5937" s="4" t="n">
        <v>10</v>
      </c>
      <c r="D5937" s="4" t="n">
        <v>12</v>
      </c>
      <c r="E5937" s="4" t="s">
        <v>4546</v>
      </c>
      <c r="F5937" s="4" t="n">
        <v>13</v>
      </c>
      <c r="G5937" s="4" t="n">
        <v>5</v>
      </c>
      <c r="H5937" s="4" t="n">
        <v>4</v>
      </c>
      <c r="I5937" s="4" t="str">
        <v>×</v>
      </c>
      <c r="J5937" s="4"/>
      <c r="K5937" s="4"/>
      <c r="L5937" s="4"/>
      <c r="M5937" s="5" t="s">
        <v>4475</v>
      </c>
    </row>
    <row r="5938" customFormat="false" ht="15.75" hidden="false" customHeight="false" outlineLevel="0" collapsed="false">
      <c r="A5938" s="6" t="n">
        <v>46179</v>
      </c>
      <c r="B5938" s="4" t="s">
        <v>4473</v>
      </c>
      <c r="C5938" s="4" t="n">
        <v>10</v>
      </c>
      <c r="D5938" s="4" t="n">
        <v>13</v>
      </c>
      <c r="E5938" s="4" t="s">
        <v>4547</v>
      </c>
      <c r="F5938" s="4" t="n">
        <v>10</v>
      </c>
      <c r="G5938" s="4" t="n">
        <v>6</v>
      </c>
      <c r="H5938" s="4" t="n">
        <v>4</v>
      </c>
      <c r="I5938" s="4" t="str">
        <v>×</v>
      </c>
      <c r="J5938" s="4"/>
      <c r="K5938" s="4"/>
      <c r="L5938" s="4"/>
      <c r="M5938" s="5" t="s">
        <v>4475</v>
      </c>
    </row>
    <row r="5939" customFormat="false" ht="15.75" hidden="false" customHeight="false" outlineLevel="0" collapsed="false">
      <c r="A5939" s="6" t="n">
        <v>46179</v>
      </c>
      <c r="B5939" s="4" t="s">
        <v>4473</v>
      </c>
      <c r="C5939" s="4" t="n">
        <v>10</v>
      </c>
      <c r="D5939" s="4" t="n">
        <v>14</v>
      </c>
      <c r="E5939" s="4" t="s">
        <v>4548</v>
      </c>
      <c r="F5939" s="4" t="n">
        <v>4</v>
      </c>
      <c r="G5939" s="4" t="n">
        <v>9</v>
      </c>
      <c r="H5939" s="4" t="n">
        <v>4</v>
      </c>
      <c r="I5939" s="4" t="str">
        <v>×</v>
      </c>
      <c r="J5939" s="4"/>
      <c r="K5939" s="4"/>
      <c r="L5939" s="4"/>
      <c r="M5939" s="5" t="s">
        <v>4475</v>
      </c>
    </row>
    <row r="5940" customFormat="false" ht="15.75" hidden="false" customHeight="false" outlineLevel="0" collapsed="false">
      <c r="A5940" s="6" t="n">
        <v>46179</v>
      </c>
      <c r="B5940" s="4" t="s">
        <v>4473</v>
      </c>
      <c r="C5940" s="4" t="n">
        <v>10</v>
      </c>
      <c r="D5940" s="4" t="n">
        <v>15</v>
      </c>
      <c r="E5940" s="4" t="s">
        <v>3928</v>
      </c>
      <c r="F5940" s="4" t="n">
        <v>17</v>
      </c>
      <c r="G5940" s="4" t="n">
        <v>4</v>
      </c>
      <c r="H5940" s="4" t="n">
        <v>4</v>
      </c>
      <c r="I5940" s="4" t="str">
        <v>×</v>
      </c>
      <c r="J5940" s="4"/>
      <c r="K5940" s="4"/>
      <c r="L5940" s="4"/>
      <c r="M5940" s="5" t="s">
        <v>4475</v>
      </c>
    </row>
    <row r="5941" customFormat="false" ht="15.75" hidden="false" customHeight="false" outlineLevel="0" collapsed="false">
      <c r="A5941" s="6" t="n">
        <v>46179</v>
      </c>
      <c r="B5941" s="4" t="s">
        <v>4473</v>
      </c>
      <c r="C5941" s="4" t="n">
        <v>10</v>
      </c>
      <c r="D5941" s="4" t="n">
        <v>16</v>
      </c>
      <c r="E5941" s="4" t="s">
        <v>3088</v>
      </c>
      <c r="F5941" s="4" t="n">
        <v>37</v>
      </c>
      <c r="G5941" s="4" t="n">
        <v>3</v>
      </c>
      <c r="H5941" s="4" t="n">
        <v>4</v>
      </c>
      <c r="I5941" s="4" t="str">
        <v>×</v>
      </c>
      <c r="J5941" s="4"/>
      <c r="K5941" s="4"/>
      <c r="L5941" s="4"/>
      <c r="M5941" s="5" t="s">
        <v>4475</v>
      </c>
    </row>
    <row r="5942" customFormat="false" ht="15.75" hidden="false" customHeight="false" outlineLevel="0" collapsed="false">
      <c r="A5942" s="6" t="n">
        <v>46179</v>
      </c>
      <c r="B5942" s="4" t="s">
        <v>4473</v>
      </c>
      <c r="C5942" s="4" t="n">
        <v>10</v>
      </c>
      <c r="D5942" s="4" t="n">
        <v>17</v>
      </c>
      <c r="E5942" s="4" t="s">
        <v>4549</v>
      </c>
      <c r="F5942" s="4" t="n">
        <v>17</v>
      </c>
      <c r="G5942" s="4" t="n">
        <v>4</v>
      </c>
      <c r="H5942" s="4" t="n">
        <v>4</v>
      </c>
      <c r="I5942" s="4" t="str">
        <v>×</v>
      </c>
      <c r="J5942" s="4"/>
      <c r="K5942" s="4"/>
      <c r="L5942" s="4"/>
      <c r="M5942" s="5" t="s">
        <v>4475</v>
      </c>
    </row>
    <row r="5943" customFormat="false" ht="15.75" hidden="false" customHeight="false" outlineLevel="0" collapsed="false">
      <c r="A5943" s="6" t="n">
        <v>46179</v>
      </c>
      <c r="B5943" s="4" t="s">
        <v>4473</v>
      </c>
      <c r="C5943" s="4" t="n">
        <v>11</v>
      </c>
      <c r="D5943" s="4" t="n">
        <v>1</v>
      </c>
      <c r="E5943" s="4" t="s">
        <v>4550</v>
      </c>
      <c r="F5943" s="4" t="n">
        <v>25</v>
      </c>
      <c r="G5943" s="4" t="n">
        <v>4</v>
      </c>
      <c r="H5943" s="4" t="n">
        <v>4</v>
      </c>
      <c r="I5943" s="4" t="str">
        <v>×</v>
      </c>
      <c r="J5943" s="4"/>
      <c r="K5943" s="4"/>
      <c r="L5943" s="4"/>
      <c r="M5943" s="5" t="s">
        <v>4475</v>
      </c>
    </row>
    <row r="5944" customFormat="false" ht="15.75" hidden="false" customHeight="false" outlineLevel="0" collapsed="false">
      <c r="A5944" s="6" t="n">
        <v>46179</v>
      </c>
      <c r="B5944" s="4" t="s">
        <v>4473</v>
      </c>
      <c r="C5944" s="4" t="n">
        <v>11</v>
      </c>
      <c r="D5944" s="4" t="n">
        <v>2</v>
      </c>
      <c r="E5944" s="4"/>
      <c r="F5944" s="4" t="n">
        <v>3</v>
      </c>
      <c r="G5944" s="4" t="n">
        <v>11</v>
      </c>
      <c r="H5944" s="4"/>
      <c r="I5944" s="4" t="str">
        <v/>
      </c>
      <c r="J5944" s="4"/>
      <c r="K5944" s="4"/>
      <c r="L5944" s="4"/>
      <c r="M5944" s="5" t="s">
        <v>4475</v>
      </c>
    </row>
    <row r="5945" customFormat="false" ht="15.75" hidden="false" customHeight="false" outlineLevel="0" collapsed="false">
      <c r="A5945" s="6" t="n">
        <v>46179</v>
      </c>
      <c r="B5945" s="4" t="s">
        <v>4473</v>
      </c>
      <c r="C5945" s="4" t="n">
        <v>11</v>
      </c>
      <c r="D5945" s="4" t="n">
        <v>3</v>
      </c>
      <c r="E5945" s="4" t="s">
        <v>4551</v>
      </c>
      <c r="F5945" s="4" t="n">
        <v>8</v>
      </c>
      <c r="G5945" s="4" t="n">
        <v>9</v>
      </c>
      <c r="H5945" s="4" t="n">
        <v>4</v>
      </c>
      <c r="I5945" s="4" t="str">
        <v>×</v>
      </c>
      <c r="J5945" s="4"/>
      <c r="K5945" s="4"/>
      <c r="L5945" s="4"/>
      <c r="M5945" s="5" t="s">
        <v>4475</v>
      </c>
    </row>
    <row r="5946" customFormat="false" ht="15.75" hidden="false" customHeight="false" outlineLevel="0" collapsed="false">
      <c r="A5946" s="6" t="n">
        <v>46179</v>
      </c>
      <c r="B5946" s="4" t="s">
        <v>4473</v>
      </c>
      <c r="C5946" s="4" t="n">
        <v>11</v>
      </c>
      <c r="D5946" s="4" t="n">
        <v>4</v>
      </c>
      <c r="E5946" s="4" t="s">
        <v>4552</v>
      </c>
      <c r="F5946" s="4" t="n">
        <v>6</v>
      </c>
      <c r="G5946" s="4" t="n">
        <v>10</v>
      </c>
      <c r="H5946" s="4" t="n">
        <v>4</v>
      </c>
      <c r="I5946" s="4" t="str">
        <v>×</v>
      </c>
      <c r="J5946" s="4"/>
      <c r="K5946" s="4"/>
      <c r="L5946" s="4"/>
      <c r="M5946" s="5" t="s">
        <v>4475</v>
      </c>
    </row>
    <row r="5947" customFormat="false" ht="15.75" hidden="false" customHeight="false" outlineLevel="0" collapsed="false">
      <c r="A5947" s="6" t="n">
        <v>46179</v>
      </c>
      <c r="B5947" s="4" t="s">
        <v>4473</v>
      </c>
      <c r="C5947" s="4" t="n">
        <v>11</v>
      </c>
      <c r="D5947" s="4" t="n">
        <v>5</v>
      </c>
      <c r="E5947" s="4" t="s">
        <v>4553</v>
      </c>
      <c r="F5947" s="4" t="n">
        <v>20</v>
      </c>
      <c r="G5947" s="4" t="n">
        <v>6</v>
      </c>
      <c r="H5947" s="4" t="n">
        <v>4</v>
      </c>
      <c r="I5947" s="4" t="str">
        <v>×</v>
      </c>
      <c r="J5947" s="4"/>
      <c r="K5947" s="4"/>
      <c r="L5947" s="4"/>
      <c r="M5947" s="5" t="s">
        <v>4475</v>
      </c>
    </row>
    <row r="5948" customFormat="false" ht="15.75" hidden="false" customHeight="false" outlineLevel="0" collapsed="false">
      <c r="A5948" s="6" t="n">
        <v>46179</v>
      </c>
      <c r="B5948" s="4" t="s">
        <v>4473</v>
      </c>
      <c r="C5948" s="4" t="n">
        <v>11</v>
      </c>
      <c r="D5948" s="4" t="n">
        <v>6</v>
      </c>
      <c r="E5948" s="4" t="s">
        <v>4554</v>
      </c>
      <c r="F5948" s="4" t="n">
        <v>17</v>
      </c>
      <c r="G5948" s="4" t="n">
        <v>7</v>
      </c>
      <c r="H5948" s="4" t="n">
        <v>4</v>
      </c>
      <c r="I5948" s="4" t="str">
        <v>×</v>
      </c>
      <c r="J5948" s="4"/>
      <c r="K5948" s="4"/>
      <c r="L5948" s="4"/>
      <c r="M5948" s="5" t="s">
        <v>4475</v>
      </c>
    </row>
    <row r="5949" customFormat="false" ht="15.75" hidden="false" customHeight="false" outlineLevel="0" collapsed="false">
      <c r="A5949" s="6" t="n">
        <v>46179</v>
      </c>
      <c r="B5949" s="4" t="s">
        <v>4473</v>
      </c>
      <c r="C5949" s="4" t="n">
        <v>11</v>
      </c>
      <c r="D5949" s="4" t="n">
        <v>7</v>
      </c>
      <c r="E5949" s="4" t="s">
        <v>4555</v>
      </c>
      <c r="F5949" s="4" t="n">
        <v>23</v>
      </c>
      <c r="G5949" s="4" t="n">
        <v>5</v>
      </c>
      <c r="H5949" s="4" t="n">
        <v>4</v>
      </c>
      <c r="I5949" s="4" t="str">
        <v>×</v>
      </c>
      <c r="J5949" s="4"/>
      <c r="K5949" s="4"/>
      <c r="L5949" s="4"/>
      <c r="M5949" s="5" t="s">
        <v>4475</v>
      </c>
    </row>
    <row r="5950" customFormat="false" ht="15.75" hidden="false" customHeight="false" outlineLevel="0" collapsed="false">
      <c r="A5950" s="6" t="n">
        <v>46179</v>
      </c>
      <c r="B5950" s="4" t="s">
        <v>4473</v>
      </c>
      <c r="C5950" s="4" t="n">
        <v>11</v>
      </c>
      <c r="D5950" s="4" t="n">
        <v>8</v>
      </c>
      <c r="E5950" s="4" t="s">
        <v>3634</v>
      </c>
      <c r="F5950" s="4" t="n">
        <v>39</v>
      </c>
      <c r="G5950" s="4" t="n">
        <v>3</v>
      </c>
      <c r="H5950" s="4" t="n">
        <v>3</v>
      </c>
      <c r="I5950" s="4" t="str">
        <v>○</v>
      </c>
      <c r="J5950" s="4" t="n">
        <v>340</v>
      </c>
      <c r="K5950" s="4"/>
      <c r="L5950" s="4"/>
      <c r="M5950" s="5" t="s">
        <v>4475</v>
      </c>
    </row>
    <row r="5951" customFormat="false" ht="15.75" hidden="false" customHeight="false" outlineLevel="0" collapsed="false">
      <c r="A5951" s="6" t="n">
        <v>46179</v>
      </c>
      <c r="B5951" s="4" t="s">
        <v>4473</v>
      </c>
      <c r="C5951" s="4" t="n">
        <v>11</v>
      </c>
      <c r="D5951" s="4" t="n">
        <v>9</v>
      </c>
      <c r="E5951" s="4" t="s">
        <v>4556</v>
      </c>
      <c r="F5951" s="4" t="n">
        <v>41</v>
      </c>
      <c r="G5951" s="4" t="n">
        <v>2</v>
      </c>
      <c r="H5951" s="4" t="n">
        <v>1</v>
      </c>
      <c r="I5951" s="4" t="str">
        <v>○</v>
      </c>
      <c r="J5951" s="4" t="n">
        <v>130</v>
      </c>
      <c r="K5951" s="4"/>
      <c r="L5951" s="4"/>
      <c r="M5951" s="5" t="s">
        <v>4475</v>
      </c>
    </row>
    <row r="5952" customFormat="false" ht="15.75" hidden="false" customHeight="false" outlineLevel="0" collapsed="false">
      <c r="A5952" s="6" t="n">
        <v>46179</v>
      </c>
      <c r="B5952" s="4" t="s">
        <v>4473</v>
      </c>
      <c r="C5952" s="4" t="n">
        <v>11</v>
      </c>
      <c r="D5952" s="4" t="n">
        <v>10</v>
      </c>
      <c r="E5952" s="4" t="s">
        <v>4557</v>
      </c>
      <c r="F5952" s="4" t="n">
        <v>10</v>
      </c>
      <c r="G5952" s="4" t="n">
        <v>8</v>
      </c>
      <c r="H5952" s="4" t="n">
        <v>4</v>
      </c>
      <c r="I5952" s="4" t="str">
        <v>×</v>
      </c>
      <c r="J5952" s="4"/>
      <c r="K5952" s="4"/>
      <c r="L5952" s="4"/>
      <c r="M5952" s="5" t="s">
        <v>4475</v>
      </c>
    </row>
    <row r="5953" customFormat="false" ht="15.75" hidden="false" customHeight="false" outlineLevel="0" collapsed="false">
      <c r="A5953" s="6" t="n">
        <v>46179</v>
      </c>
      <c r="B5953" s="4" t="s">
        <v>4473</v>
      </c>
      <c r="C5953" s="4" t="n">
        <v>11</v>
      </c>
      <c r="D5953" s="4" t="n">
        <v>11</v>
      </c>
      <c r="E5953" s="4" t="s">
        <v>4558</v>
      </c>
      <c r="F5953" s="4" t="n">
        <v>6</v>
      </c>
      <c r="G5953" s="4" t="n">
        <v>10</v>
      </c>
      <c r="H5953" s="4" t="n">
        <v>4</v>
      </c>
      <c r="I5953" s="4" t="str">
        <v>×</v>
      </c>
      <c r="J5953" s="4"/>
      <c r="K5953" s="4"/>
      <c r="L5953" s="4"/>
      <c r="M5953" s="5" t="s">
        <v>4475</v>
      </c>
    </row>
    <row r="5954" customFormat="false" ht="15.75" hidden="false" customHeight="false" outlineLevel="0" collapsed="false">
      <c r="A5954" s="6" t="n">
        <v>46179</v>
      </c>
      <c r="B5954" s="4" t="s">
        <v>4473</v>
      </c>
      <c r="C5954" s="4" t="n">
        <v>11</v>
      </c>
      <c r="D5954" s="4" t="n">
        <v>12</v>
      </c>
      <c r="E5954" s="4" t="s">
        <v>3624</v>
      </c>
      <c r="F5954" s="4" t="n">
        <v>58</v>
      </c>
      <c r="G5954" s="4" t="n">
        <v>1</v>
      </c>
      <c r="H5954" s="4" t="n">
        <v>2</v>
      </c>
      <c r="I5954" s="4" t="str">
        <v>○</v>
      </c>
      <c r="J5954" s="4" t="n">
        <v>110</v>
      </c>
      <c r="K5954" s="4"/>
      <c r="L5954" s="4"/>
      <c r="M5954" s="5" t="s">
        <v>4475</v>
      </c>
    </row>
    <row r="5955" customFormat="false" ht="15.75" hidden="false" customHeight="false" outlineLevel="0" collapsed="false">
      <c r="A5955" s="6" t="n">
        <v>46179</v>
      </c>
      <c r="B5955" s="4" t="s">
        <v>4473</v>
      </c>
      <c r="C5955" s="4" t="n">
        <v>11</v>
      </c>
      <c r="D5955" s="4" t="n">
        <v>13</v>
      </c>
      <c r="E5955" s="4" t="s">
        <v>4559</v>
      </c>
      <c r="F5955" s="4" t="n">
        <v>10</v>
      </c>
      <c r="G5955" s="4" t="n">
        <v>8</v>
      </c>
      <c r="H5955" s="4" t="n">
        <v>4</v>
      </c>
      <c r="I5955" s="4" t="str">
        <v>×</v>
      </c>
      <c r="J5955" s="4"/>
      <c r="K5955" s="4"/>
      <c r="L5955" s="4"/>
      <c r="M5955" s="5" t="s">
        <v>4475</v>
      </c>
    </row>
    <row r="5956" customFormat="false" ht="15.75" hidden="false" customHeight="false" outlineLevel="0" collapsed="false">
      <c r="A5956" s="6" t="n">
        <v>46179</v>
      </c>
      <c r="B5956" s="4" t="s">
        <v>4473</v>
      </c>
      <c r="C5956" s="4" t="n">
        <v>11</v>
      </c>
      <c r="D5956" s="4" t="n">
        <v>14</v>
      </c>
      <c r="E5956" s="4" t="s">
        <v>4560</v>
      </c>
      <c r="F5956" s="4" t="n">
        <v>23</v>
      </c>
      <c r="G5956" s="4" t="n">
        <v>5</v>
      </c>
      <c r="H5956" s="4" t="n">
        <v>4</v>
      </c>
      <c r="I5956" s="4" t="str">
        <v>×</v>
      </c>
      <c r="J5956" s="4"/>
      <c r="K5956" s="4"/>
      <c r="L5956" s="4"/>
      <c r="M5956" s="5" t="s">
        <v>4475</v>
      </c>
    </row>
    <row r="5957" customFormat="false" ht="15.75" hidden="false" customHeight="false" outlineLevel="0" collapsed="false">
      <c r="A5957" s="6" t="n">
        <v>46179</v>
      </c>
      <c r="B5957" s="4" t="s">
        <v>4473</v>
      </c>
      <c r="C5957" s="4" t="n">
        <v>11</v>
      </c>
      <c r="D5957" s="4" t="n">
        <v>15</v>
      </c>
      <c r="E5957" s="4" t="s">
        <v>4561</v>
      </c>
      <c r="F5957" s="4" t="n">
        <v>8</v>
      </c>
      <c r="G5957" s="4" t="n">
        <v>9</v>
      </c>
      <c r="H5957" s="4" t="n">
        <v>4</v>
      </c>
      <c r="I5957" s="4" t="str">
        <v>×</v>
      </c>
      <c r="J5957" s="4"/>
      <c r="K5957" s="4"/>
      <c r="L5957" s="4"/>
      <c r="M5957" s="5" t="s">
        <v>4475</v>
      </c>
    </row>
    <row r="5958" customFormat="false" ht="15.75" hidden="false" customHeight="false" outlineLevel="0" collapsed="false">
      <c r="A5958" s="6" t="n">
        <v>46179</v>
      </c>
      <c r="B5958" s="4" t="s">
        <v>4473</v>
      </c>
      <c r="C5958" s="4" t="n">
        <v>11</v>
      </c>
      <c r="D5958" s="4" t="n">
        <v>16</v>
      </c>
      <c r="E5958" s="4" t="s">
        <v>4562</v>
      </c>
      <c r="F5958" s="4" t="n">
        <v>20</v>
      </c>
      <c r="G5958" s="4" t="n">
        <v>6</v>
      </c>
      <c r="H5958" s="4" t="n">
        <v>4</v>
      </c>
      <c r="I5958" s="4" t="str">
        <v>×</v>
      </c>
      <c r="J5958" s="4"/>
      <c r="K5958" s="4"/>
      <c r="L5958" s="4"/>
      <c r="M5958" s="5" t="s">
        <v>4475</v>
      </c>
    </row>
    <row r="5959" customFormat="false" ht="15.75" hidden="false" customHeight="false" outlineLevel="0" collapsed="false">
      <c r="A5959" s="6" t="n">
        <v>46179</v>
      </c>
      <c r="B5959" s="4" t="s">
        <v>4473</v>
      </c>
      <c r="C5959" s="4" t="n">
        <v>12</v>
      </c>
      <c r="D5959" s="4" t="n">
        <v>1</v>
      </c>
      <c r="E5959" s="4" t="s">
        <v>4563</v>
      </c>
      <c r="F5959" s="4" t="n">
        <v>2</v>
      </c>
      <c r="G5959" s="4" t="n">
        <v>8</v>
      </c>
      <c r="H5959" s="4" t="n">
        <v>4</v>
      </c>
      <c r="I5959" s="4" t="str">
        <v>×</v>
      </c>
      <c r="J5959" s="4"/>
      <c r="K5959" s="4"/>
      <c r="L5959" s="4"/>
      <c r="M5959" s="5" t="s">
        <v>4475</v>
      </c>
    </row>
    <row r="5960" customFormat="false" ht="15.75" hidden="false" customHeight="false" outlineLevel="0" collapsed="false">
      <c r="A5960" s="6" t="n">
        <v>46179</v>
      </c>
      <c r="B5960" s="4" t="s">
        <v>4473</v>
      </c>
      <c r="C5960" s="4" t="n">
        <v>12</v>
      </c>
      <c r="D5960" s="4" t="n">
        <v>2</v>
      </c>
      <c r="E5960" s="4" t="s">
        <v>4564</v>
      </c>
      <c r="F5960" s="4" t="n">
        <v>15</v>
      </c>
      <c r="G5960" s="4" t="n">
        <v>4</v>
      </c>
      <c r="H5960" s="4" t="n">
        <v>4</v>
      </c>
      <c r="I5960" s="4" t="str">
        <v>×</v>
      </c>
      <c r="J5960" s="4"/>
      <c r="K5960" s="4"/>
      <c r="L5960" s="4"/>
      <c r="M5960" s="5" t="s">
        <v>4475</v>
      </c>
    </row>
    <row r="5961" customFormat="false" ht="15.75" hidden="false" customHeight="false" outlineLevel="0" collapsed="false">
      <c r="A5961" s="6" t="n">
        <v>46179</v>
      </c>
      <c r="B5961" s="4" t="s">
        <v>4473</v>
      </c>
      <c r="C5961" s="4" t="n">
        <v>12</v>
      </c>
      <c r="D5961" s="4" t="n">
        <v>3</v>
      </c>
      <c r="E5961" s="4" t="s">
        <v>4565</v>
      </c>
      <c r="F5961" s="4" t="n">
        <v>17</v>
      </c>
      <c r="G5961" s="4" t="n">
        <v>3</v>
      </c>
      <c r="H5961" s="4" t="n">
        <v>4</v>
      </c>
      <c r="I5961" s="4" t="str">
        <v>×</v>
      </c>
      <c r="J5961" s="4"/>
      <c r="K5961" s="4"/>
      <c r="L5961" s="4"/>
      <c r="M5961" s="5" t="s">
        <v>4475</v>
      </c>
    </row>
    <row r="5962" customFormat="false" ht="15.75" hidden="false" customHeight="false" outlineLevel="0" collapsed="false">
      <c r="A5962" s="6" t="n">
        <v>46179</v>
      </c>
      <c r="B5962" s="4" t="s">
        <v>4473</v>
      </c>
      <c r="C5962" s="4" t="n">
        <v>12</v>
      </c>
      <c r="D5962" s="4" t="n">
        <v>4</v>
      </c>
      <c r="E5962" s="4" t="s">
        <v>4566</v>
      </c>
      <c r="F5962" s="4" t="n">
        <v>15</v>
      </c>
      <c r="G5962" s="4" t="n">
        <v>4</v>
      </c>
      <c r="H5962" s="4" t="n">
        <v>4</v>
      </c>
      <c r="I5962" s="4" t="str">
        <v>×</v>
      </c>
      <c r="J5962" s="4"/>
      <c r="K5962" s="4"/>
      <c r="L5962" s="4"/>
      <c r="M5962" s="5" t="s">
        <v>4475</v>
      </c>
    </row>
    <row r="5963" customFormat="false" ht="15.75" hidden="false" customHeight="false" outlineLevel="0" collapsed="false">
      <c r="A5963" s="6" t="n">
        <v>46179</v>
      </c>
      <c r="B5963" s="4" t="s">
        <v>4473</v>
      </c>
      <c r="C5963" s="4" t="n">
        <v>12</v>
      </c>
      <c r="D5963" s="4" t="n">
        <v>5</v>
      </c>
      <c r="E5963" s="4" t="s">
        <v>419</v>
      </c>
      <c r="F5963" s="4" t="n">
        <v>39</v>
      </c>
      <c r="G5963" s="4" t="n">
        <v>2</v>
      </c>
      <c r="H5963" s="4" t="n">
        <v>4</v>
      </c>
      <c r="I5963" s="4" t="str">
        <v>×</v>
      </c>
      <c r="J5963" s="4"/>
      <c r="K5963" s="4"/>
      <c r="L5963" s="4"/>
      <c r="M5963" s="5" t="s">
        <v>4475</v>
      </c>
    </row>
    <row r="5964" customFormat="false" ht="15.75" hidden="false" customHeight="false" outlineLevel="0" collapsed="false">
      <c r="A5964" s="6" t="n">
        <v>46179</v>
      </c>
      <c r="B5964" s="4" t="s">
        <v>4473</v>
      </c>
      <c r="C5964" s="4" t="n">
        <v>12</v>
      </c>
      <c r="D5964" s="4" t="n">
        <v>6</v>
      </c>
      <c r="E5964" s="4" t="s">
        <v>4567</v>
      </c>
      <c r="F5964" s="4" t="n">
        <v>4</v>
      </c>
      <c r="G5964" s="4" t="n">
        <v>7</v>
      </c>
      <c r="H5964" s="4" t="n">
        <v>3</v>
      </c>
      <c r="I5964" s="4" t="str">
        <v>○</v>
      </c>
      <c r="J5964" s="4" t="n">
        <v>180</v>
      </c>
      <c r="K5964" s="4"/>
      <c r="L5964" s="4"/>
      <c r="M5964" s="5" t="s">
        <v>4475</v>
      </c>
    </row>
    <row r="5965" customFormat="false" ht="15.75" hidden="false" customHeight="false" outlineLevel="0" collapsed="false">
      <c r="A5965" s="6" t="n">
        <v>46179</v>
      </c>
      <c r="B5965" s="4" t="s">
        <v>4473</v>
      </c>
      <c r="C5965" s="4" t="n">
        <v>12</v>
      </c>
      <c r="D5965" s="4" t="n">
        <v>7</v>
      </c>
      <c r="E5965" s="4" t="s">
        <v>4568</v>
      </c>
      <c r="F5965" s="4" t="n">
        <v>1</v>
      </c>
      <c r="G5965" s="4" t="n">
        <v>9</v>
      </c>
      <c r="H5965" s="4" t="n">
        <v>4</v>
      </c>
      <c r="I5965" s="4" t="str">
        <v>×</v>
      </c>
      <c r="J5965" s="4"/>
      <c r="K5965" s="4"/>
      <c r="L5965" s="4"/>
      <c r="M5965" s="5" t="s">
        <v>4475</v>
      </c>
    </row>
    <row r="5966" customFormat="false" ht="15.75" hidden="false" customHeight="false" outlineLevel="0" collapsed="false">
      <c r="A5966" s="6" t="n">
        <v>46179</v>
      </c>
      <c r="B5966" s="4" t="s">
        <v>4473</v>
      </c>
      <c r="C5966" s="4" t="n">
        <v>12</v>
      </c>
      <c r="D5966" s="4" t="n">
        <v>8</v>
      </c>
      <c r="E5966" s="4" t="s">
        <v>4569</v>
      </c>
      <c r="F5966" s="4" t="n">
        <v>4</v>
      </c>
      <c r="G5966" s="4" t="n">
        <v>7</v>
      </c>
      <c r="H5966" s="4" t="n">
        <v>4</v>
      </c>
      <c r="I5966" s="4" t="str">
        <v>×</v>
      </c>
      <c r="J5966" s="4"/>
      <c r="K5966" s="4"/>
      <c r="L5966" s="4"/>
      <c r="M5966" s="5" t="s">
        <v>4475</v>
      </c>
    </row>
    <row r="5967" customFormat="false" ht="15.75" hidden="false" customHeight="false" outlineLevel="0" collapsed="false">
      <c r="A5967" s="6" t="n">
        <v>46179</v>
      </c>
      <c r="B5967" s="4" t="s">
        <v>4473</v>
      </c>
      <c r="C5967" s="4" t="n">
        <v>12</v>
      </c>
      <c r="D5967" s="4" t="n">
        <v>9</v>
      </c>
      <c r="E5967" s="4" t="s">
        <v>4570</v>
      </c>
      <c r="F5967" s="4" t="n">
        <v>17</v>
      </c>
      <c r="G5967" s="4" t="n">
        <v>3</v>
      </c>
      <c r="H5967" s="4" t="n">
        <v>4</v>
      </c>
      <c r="I5967" s="4" t="str">
        <v>×</v>
      </c>
      <c r="J5967" s="4"/>
      <c r="K5967" s="4"/>
      <c r="L5967" s="4"/>
      <c r="M5967" s="5" t="s">
        <v>4475</v>
      </c>
    </row>
    <row r="5968" customFormat="false" ht="15.75" hidden="false" customHeight="false" outlineLevel="0" collapsed="false">
      <c r="A5968" s="6" t="n">
        <v>46179</v>
      </c>
      <c r="B5968" s="4" t="s">
        <v>4473</v>
      </c>
      <c r="C5968" s="4" t="n">
        <v>12</v>
      </c>
      <c r="D5968" s="4" t="n">
        <v>10</v>
      </c>
      <c r="E5968" s="4" t="s">
        <v>4571</v>
      </c>
      <c r="F5968" s="4" t="n">
        <v>86</v>
      </c>
      <c r="G5968" s="4" t="n">
        <v>1</v>
      </c>
      <c r="H5968" s="4" t="n">
        <v>1</v>
      </c>
      <c r="I5968" s="4" t="str">
        <v>○</v>
      </c>
      <c r="J5968" s="4" t="n">
        <v>110</v>
      </c>
      <c r="K5968" s="4"/>
      <c r="L5968" s="4"/>
      <c r="M5968" s="5" t="s">
        <v>4475</v>
      </c>
    </row>
    <row r="5969" customFormat="false" ht="15.75" hidden="false" customHeight="false" outlineLevel="0" collapsed="false">
      <c r="A5969" s="6" t="n">
        <v>46179</v>
      </c>
      <c r="B5969" s="4" t="s">
        <v>4473</v>
      </c>
      <c r="C5969" s="4" t="n">
        <v>12</v>
      </c>
      <c r="D5969" s="4" t="n">
        <v>11</v>
      </c>
      <c r="E5969" s="4" t="s">
        <v>4572</v>
      </c>
      <c r="F5969" s="4" t="n">
        <v>4</v>
      </c>
      <c r="G5969" s="4" t="n">
        <v>7</v>
      </c>
      <c r="H5969" s="4" t="n">
        <v>4</v>
      </c>
      <c r="I5969" s="4" t="str">
        <v>×</v>
      </c>
      <c r="J5969" s="4"/>
      <c r="K5969" s="4"/>
      <c r="L5969" s="4"/>
      <c r="M5969" s="5" t="s">
        <v>4475</v>
      </c>
    </row>
    <row r="5970" customFormat="false" ht="15.75" hidden="false" customHeight="false" outlineLevel="0" collapsed="false">
      <c r="A5970" s="6" t="n">
        <v>46179</v>
      </c>
      <c r="B5970" s="4" t="s">
        <v>4473</v>
      </c>
      <c r="C5970" s="4" t="n">
        <v>12</v>
      </c>
      <c r="D5970" s="4" t="n">
        <v>12</v>
      </c>
      <c r="E5970" s="4" t="s">
        <v>2760</v>
      </c>
      <c r="F5970" s="4" t="n">
        <v>2</v>
      </c>
      <c r="G5970" s="4" t="n">
        <v>8</v>
      </c>
      <c r="H5970" s="4" t="n">
        <v>4</v>
      </c>
      <c r="I5970" s="4" t="str">
        <v>×</v>
      </c>
      <c r="J5970" s="4"/>
      <c r="K5970" s="4"/>
      <c r="L5970" s="4"/>
      <c r="M5970" s="5" t="s">
        <v>4475</v>
      </c>
    </row>
    <row r="5971" customFormat="false" ht="15.75" hidden="false" customHeight="false" outlineLevel="0" collapsed="false">
      <c r="A5971" s="6" t="n">
        <v>46179</v>
      </c>
      <c r="B5971" s="4" t="s">
        <v>4473</v>
      </c>
      <c r="C5971" s="4" t="n">
        <v>12</v>
      </c>
      <c r="D5971" s="4" t="n">
        <v>13</v>
      </c>
      <c r="E5971" s="4" t="s">
        <v>4573</v>
      </c>
      <c r="F5971" s="4" t="n">
        <v>10</v>
      </c>
      <c r="G5971" s="4" t="n">
        <v>5</v>
      </c>
      <c r="H5971" s="4" t="n">
        <v>4</v>
      </c>
      <c r="I5971" s="4" t="str">
        <v>×</v>
      </c>
      <c r="J5971" s="4"/>
      <c r="K5971" s="4"/>
      <c r="L5971" s="4"/>
      <c r="M5971" s="5" t="s">
        <v>4475</v>
      </c>
    </row>
    <row r="5972" customFormat="false" ht="15.75" hidden="false" customHeight="false" outlineLevel="0" collapsed="false">
      <c r="A5972" s="6" t="n">
        <v>46179</v>
      </c>
      <c r="B5972" s="4" t="s">
        <v>4473</v>
      </c>
      <c r="C5972" s="4" t="n">
        <v>12</v>
      </c>
      <c r="D5972" s="4" t="n">
        <v>14</v>
      </c>
      <c r="E5972" s="4" t="s">
        <v>4574</v>
      </c>
      <c r="F5972" s="4" t="n">
        <v>8</v>
      </c>
      <c r="G5972" s="4" t="n">
        <v>6</v>
      </c>
      <c r="H5972" s="4" t="n">
        <v>4</v>
      </c>
      <c r="I5972" s="4" t="str">
        <v>×</v>
      </c>
      <c r="J5972" s="4"/>
      <c r="K5972" s="4"/>
      <c r="L5972" s="4"/>
      <c r="M5972" s="5" t="s">
        <v>4475</v>
      </c>
    </row>
    <row r="5973" customFormat="false" ht="15.75" hidden="false" customHeight="false" outlineLevel="0" collapsed="false">
      <c r="A5973" s="6" t="n">
        <v>46179</v>
      </c>
      <c r="B5973" s="4" t="s">
        <v>4473</v>
      </c>
      <c r="C5973" s="4" t="n">
        <v>12</v>
      </c>
      <c r="D5973" s="4" t="n">
        <v>15</v>
      </c>
      <c r="E5973" s="4" t="s">
        <v>4575</v>
      </c>
      <c r="F5973" s="4" t="n">
        <v>2</v>
      </c>
      <c r="G5973" s="4" t="n">
        <v>8</v>
      </c>
      <c r="H5973" s="4" t="n">
        <v>4</v>
      </c>
      <c r="I5973" s="4" t="str">
        <v>×</v>
      </c>
      <c r="J5973" s="4"/>
      <c r="K5973" s="4"/>
      <c r="L5973" s="4"/>
      <c r="M5973" s="5" t="s">
        <v>4475</v>
      </c>
    </row>
    <row r="5974" customFormat="false" ht="15.75" hidden="false" customHeight="false" outlineLevel="0" collapsed="false">
      <c r="A5974" s="6" t="n">
        <v>46179</v>
      </c>
      <c r="B5974" s="4" t="s">
        <v>4473</v>
      </c>
      <c r="C5974" s="4" t="n">
        <v>12</v>
      </c>
      <c r="D5974" s="4" t="n">
        <v>16</v>
      </c>
      <c r="E5974" s="4" t="s">
        <v>4576</v>
      </c>
      <c r="F5974" s="4" t="n">
        <v>17</v>
      </c>
      <c r="G5974" s="4" t="n">
        <v>3</v>
      </c>
      <c r="H5974" s="4" t="n">
        <v>2</v>
      </c>
      <c r="I5974" s="4" t="str">
        <v>○</v>
      </c>
      <c r="J5974" s="4" t="n">
        <v>240</v>
      </c>
      <c r="K5974" s="4"/>
      <c r="L5974" s="4"/>
      <c r="M5974" s="5" t="s">
        <v>4475</v>
      </c>
    </row>
    <row r="5975" customFormat="false" ht="15.75" hidden="false" customHeight="false" outlineLevel="0" collapsed="false">
      <c r="A5975" s="6" t="n">
        <v>46179</v>
      </c>
      <c r="B5975" s="4" t="s">
        <v>4172</v>
      </c>
      <c r="C5975" s="4" t="n">
        <v>1</v>
      </c>
      <c r="D5975" s="4" t="n">
        <v>1</v>
      </c>
      <c r="E5975" s="4" t="s">
        <v>2185</v>
      </c>
      <c r="F5975" s="4" t="n">
        <v>20</v>
      </c>
      <c r="G5975" s="4" t="n">
        <v>3</v>
      </c>
      <c r="H5975" s="4" t="n">
        <v>4</v>
      </c>
      <c r="I5975" s="4" t="str">
        <v>×</v>
      </c>
      <c r="J5975" s="4"/>
      <c r="K5975" s="4"/>
      <c r="L5975" s="4"/>
      <c r="M5975" s="5" t="s">
        <v>4475</v>
      </c>
    </row>
    <row r="5976" customFormat="false" ht="15.75" hidden="false" customHeight="false" outlineLevel="0" collapsed="false">
      <c r="A5976" s="6" t="n">
        <v>46179</v>
      </c>
      <c r="B5976" s="4" t="s">
        <v>4172</v>
      </c>
      <c r="C5976" s="4" t="n">
        <v>1</v>
      </c>
      <c r="D5976" s="4" t="n">
        <v>2</v>
      </c>
      <c r="E5976" s="4" t="s">
        <v>4577</v>
      </c>
      <c r="F5976" s="4" t="n">
        <v>15</v>
      </c>
      <c r="G5976" s="4" t="n">
        <v>5</v>
      </c>
      <c r="H5976" s="4" t="n">
        <v>3</v>
      </c>
      <c r="I5976" s="4" t="str">
        <v>○</v>
      </c>
      <c r="J5976" s="4" t="n">
        <v>570</v>
      </c>
      <c r="K5976" s="4"/>
      <c r="L5976" s="4"/>
      <c r="M5976" s="5" t="s">
        <v>4475</v>
      </c>
    </row>
    <row r="5977" customFormat="false" ht="15.75" hidden="false" customHeight="false" outlineLevel="0" collapsed="false">
      <c r="A5977" s="6" t="n">
        <v>46179</v>
      </c>
      <c r="B5977" s="4" t="s">
        <v>4172</v>
      </c>
      <c r="C5977" s="4" t="n">
        <v>1</v>
      </c>
      <c r="D5977" s="4" t="n">
        <v>3</v>
      </c>
      <c r="E5977" s="4" t="s">
        <v>4578</v>
      </c>
      <c r="F5977" s="4" t="n">
        <v>8</v>
      </c>
      <c r="G5977" s="4" t="n">
        <v>6</v>
      </c>
      <c r="H5977" s="4" t="n">
        <v>4</v>
      </c>
      <c r="I5977" s="4" t="str">
        <v>×</v>
      </c>
      <c r="J5977" s="4"/>
      <c r="K5977" s="4"/>
      <c r="L5977" s="4"/>
      <c r="M5977" s="5" t="s">
        <v>4475</v>
      </c>
    </row>
    <row r="5978" customFormat="false" ht="15.75" hidden="false" customHeight="false" outlineLevel="0" collapsed="false">
      <c r="A5978" s="6" t="n">
        <v>46179</v>
      </c>
      <c r="B5978" s="4" t="s">
        <v>4172</v>
      </c>
      <c r="C5978" s="4" t="n">
        <v>1</v>
      </c>
      <c r="D5978" s="4" t="n">
        <v>4</v>
      </c>
      <c r="E5978" s="4" t="s">
        <v>2843</v>
      </c>
      <c r="F5978" s="4" t="n">
        <v>17</v>
      </c>
      <c r="G5978" s="4" t="n">
        <v>4</v>
      </c>
      <c r="H5978" s="4" t="n">
        <v>2</v>
      </c>
      <c r="I5978" s="4" t="str">
        <v>○</v>
      </c>
      <c r="J5978" s="4" t="n">
        <v>270</v>
      </c>
      <c r="K5978" s="4"/>
      <c r="L5978" s="4"/>
      <c r="M5978" s="5" t="s">
        <v>4475</v>
      </c>
    </row>
    <row r="5979" customFormat="false" ht="15.75" hidden="false" customHeight="false" outlineLevel="0" collapsed="false">
      <c r="A5979" s="6" t="n">
        <v>46179</v>
      </c>
      <c r="B5979" s="4" t="s">
        <v>4172</v>
      </c>
      <c r="C5979" s="4" t="n">
        <v>1</v>
      </c>
      <c r="D5979" s="4" t="n">
        <v>5</v>
      </c>
      <c r="E5979" s="4" t="s">
        <v>4579</v>
      </c>
      <c r="F5979" s="4" t="n">
        <v>6</v>
      </c>
      <c r="G5979" s="4" t="n">
        <v>7</v>
      </c>
      <c r="H5979" s="4" t="n">
        <v>4</v>
      </c>
      <c r="I5979" s="4" t="str">
        <v>×</v>
      </c>
      <c r="J5979" s="4"/>
      <c r="K5979" s="4"/>
      <c r="L5979" s="4"/>
      <c r="M5979" s="5" t="s">
        <v>4475</v>
      </c>
    </row>
    <row r="5980" customFormat="false" ht="15.75" hidden="false" customHeight="false" outlineLevel="0" collapsed="false">
      <c r="A5980" s="6" t="n">
        <v>46179</v>
      </c>
      <c r="B5980" s="4" t="s">
        <v>4172</v>
      </c>
      <c r="C5980" s="4" t="n">
        <v>1</v>
      </c>
      <c r="D5980" s="4" t="n">
        <v>6</v>
      </c>
      <c r="E5980" s="4" t="s">
        <v>4580</v>
      </c>
      <c r="F5980" s="4" t="n">
        <v>50</v>
      </c>
      <c r="G5980" s="4" t="n">
        <v>2</v>
      </c>
      <c r="H5980" s="4" t="n">
        <v>4</v>
      </c>
      <c r="I5980" s="4" t="str">
        <v>×</v>
      </c>
      <c r="J5980" s="4"/>
      <c r="K5980" s="4"/>
      <c r="L5980" s="4"/>
      <c r="M5980" s="5" t="s">
        <v>4475</v>
      </c>
    </row>
    <row r="5981" customFormat="false" ht="15.75" hidden="false" customHeight="false" outlineLevel="0" collapsed="false">
      <c r="A5981" s="6" t="n">
        <v>46179</v>
      </c>
      <c r="B5981" s="4" t="s">
        <v>4172</v>
      </c>
      <c r="C5981" s="4" t="n">
        <v>1</v>
      </c>
      <c r="D5981" s="4" t="n">
        <v>7</v>
      </c>
      <c r="E5981" s="4" t="s">
        <v>780</v>
      </c>
      <c r="F5981" s="4" t="n">
        <v>2</v>
      </c>
      <c r="G5981" s="4" t="n">
        <v>9</v>
      </c>
      <c r="H5981" s="4" t="n">
        <v>4</v>
      </c>
      <c r="I5981" s="4" t="str">
        <v>×</v>
      </c>
      <c r="J5981" s="4"/>
      <c r="K5981" s="4"/>
      <c r="L5981" s="4"/>
      <c r="M5981" s="5" t="s">
        <v>4475</v>
      </c>
    </row>
    <row r="5982" customFormat="false" ht="15.75" hidden="false" customHeight="false" outlineLevel="0" collapsed="false">
      <c r="A5982" s="6" t="n">
        <v>46179</v>
      </c>
      <c r="B5982" s="4" t="s">
        <v>4172</v>
      </c>
      <c r="C5982" s="4" t="n">
        <v>1</v>
      </c>
      <c r="D5982" s="4" t="n">
        <v>8</v>
      </c>
      <c r="E5982" s="4" t="s">
        <v>3976</v>
      </c>
      <c r="F5982" s="4" t="n">
        <v>17</v>
      </c>
      <c r="G5982" s="4" t="n">
        <v>4</v>
      </c>
      <c r="H5982" s="4" t="n">
        <v>4</v>
      </c>
      <c r="I5982" s="4" t="str">
        <v>×</v>
      </c>
      <c r="J5982" s="4"/>
      <c r="K5982" s="4"/>
      <c r="L5982" s="4"/>
      <c r="M5982" s="5" t="s">
        <v>4475</v>
      </c>
    </row>
    <row r="5983" customFormat="false" ht="15.75" hidden="false" customHeight="false" outlineLevel="0" collapsed="false">
      <c r="A5983" s="6" t="n">
        <v>46179</v>
      </c>
      <c r="B5983" s="4" t="s">
        <v>4172</v>
      </c>
      <c r="C5983" s="4" t="n">
        <v>1</v>
      </c>
      <c r="D5983" s="4" t="n">
        <v>9</v>
      </c>
      <c r="E5983" s="4" t="s">
        <v>4581</v>
      </c>
      <c r="F5983" s="4" t="n">
        <v>4</v>
      </c>
      <c r="G5983" s="4" t="n">
        <v>8</v>
      </c>
      <c r="H5983" s="4" t="n">
        <v>4</v>
      </c>
      <c r="I5983" s="4" t="str">
        <v>×</v>
      </c>
      <c r="J5983" s="4"/>
      <c r="K5983" s="4"/>
      <c r="L5983" s="4"/>
      <c r="M5983" s="5" t="s">
        <v>4475</v>
      </c>
    </row>
    <row r="5984" customFormat="false" ht="15.75" hidden="false" customHeight="false" outlineLevel="0" collapsed="false">
      <c r="A5984" s="6" t="n">
        <v>46179</v>
      </c>
      <c r="B5984" s="4" t="s">
        <v>4172</v>
      </c>
      <c r="C5984" s="4" t="n">
        <v>1</v>
      </c>
      <c r="D5984" s="4" t="n">
        <v>10</v>
      </c>
      <c r="E5984" s="4" t="s">
        <v>4582</v>
      </c>
      <c r="F5984" s="4" t="n">
        <v>20</v>
      </c>
      <c r="G5984" s="4" t="n">
        <v>3</v>
      </c>
      <c r="H5984" s="4" t="n">
        <v>4</v>
      </c>
      <c r="I5984" s="4" t="str">
        <v>×</v>
      </c>
      <c r="J5984" s="4"/>
      <c r="K5984" s="4"/>
      <c r="L5984" s="4"/>
      <c r="M5984" s="5" t="s">
        <v>4475</v>
      </c>
    </row>
    <row r="5985" customFormat="false" ht="15.75" hidden="false" customHeight="false" outlineLevel="0" collapsed="false">
      <c r="A5985" s="6" t="n">
        <v>46179</v>
      </c>
      <c r="B5985" s="4" t="s">
        <v>4172</v>
      </c>
      <c r="C5985" s="4" t="n">
        <v>1</v>
      </c>
      <c r="D5985" s="4" t="n">
        <v>11</v>
      </c>
      <c r="E5985" s="4" t="s">
        <v>4583</v>
      </c>
      <c r="F5985" s="4" t="n">
        <v>71</v>
      </c>
      <c r="G5985" s="4" t="n">
        <v>1</v>
      </c>
      <c r="H5985" s="4" t="n">
        <v>1</v>
      </c>
      <c r="I5985" s="4" t="str">
        <v>○</v>
      </c>
      <c r="J5985" s="4" t="n">
        <v>110</v>
      </c>
      <c r="K5985" s="4"/>
      <c r="L5985" s="4"/>
      <c r="M5985" s="5" t="s">
        <v>4475</v>
      </c>
    </row>
    <row r="5986" customFormat="false" ht="15.75" hidden="false" customHeight="false" outlineLevel="0" collapsed="false">
      <c r="A5986" s="6" t="n">
        <v>46179</v>
      </c>
      <c r="B5986" s="4" t="s">
        <v>4172</v>
      </c>
      <c r="C5986" s="4" t="n">
        <v>1</v>
      </c>
      <c r="D5986" s="4" t="n">
        <v>12</v>
      </c>
      <c r="E5986" s="4" t="s">
        <v>1789</v>
      </c>
      <c r="F5986" s="4" t="n">
        <v>20</v>
      </c>
      <c r="G5986" s="4" t="n">
        <v>3</v>
      </c>
      <c r="H5986" s="4" t="n">
        <v>4</v>
      </c>
      <c r="I5986" s="4" t="str">
        <v>×</v>
      </c>
      <c r="J5986" s="4"/>
      <c r="K5986" s="4"/>
      <c r="L5986" s="4"/>
      <c r="M5986" s="5" t="s">
        <v>4475</v>
      </c>
    </row>
    <row r="5987" customFormat="false" ht="15.75" hidden="false" customHeight="false" outlineLevel="0" collapsed="false">
      <c r="A5987" s="6" t="n">
        <v>46179</v>
      </c>
      <c r="B5987" s="4" t="s">
        <v>4172</v>
      </c>
      <c r="C5987" s="4" t="n">
        <v>1</v>
      </c>
      <c r="D5987" s="4" t="n">
        <v>13</v>
      </c>
      <c r="E5987" s="4" t="s">
        <v>4584</v>
      </c>
      <c r="F5987" s="4" t="n">
        <v>15</v>
      </c>
      <c r="G5987" s="4" t="n">
        <v>5</v>
      </c>
      <c r="H5987" s="4" t="n">
        <v>4</v>
      </c>
      <c r="I5987" s="4" t="str">
        <v>×</v>
      </c>
      <c r="J5987" s="4"/>
      <c r="K5987" s="4"/>
      <c r="L5987" s="4"/>
      <c r="M5987" s="5" t="s">
        <v>4475</v>
      </c>
    </row>
    <row r="5988" customFormat="false" ht="15.75" hidden="false" customHeight="false" outlineLevel="0" collapsed="false">
      <c r="A5988" s="6" t="n">
        <v>46179</v>
      </c>
      <c r="B5988" s="4" t="s">
        <v>4172</v>
      </c>
      <c r="C5988" s="4" t="n">
        <v>1</v>
      </c>
      <c r="D5988" s="4" t="n">
        <v>14</v>
      </c>
      <c r="E5988" s="4" t="s">
        <v>4585</v>
      </c>
      <c r="F5988" s="4" t="n">
        <v>8</v>
      </c>
      <c r="G5988" s="4" t="n">
        <v>6</v>
      </c>
      <c r="H5988" s="4" t="n">
        <v>4</v>
      </c>
      <c r="I5988" s="4" t="str">
        <v>×</v>
      </c>
      <c r="J5988" s="4"/>
      <c r="K5988" s="4"/>
      <c r="L5988" s="4"/>
      <c r="M5988" s="5" t="s">
        <v>4475</v>
      </c>
    </row>
    <row r="5989" customFormat="false" ht="15.75" hidden="false" customHeight="false" outlineLevel="0" collapsed="false">
      <c r="A5989" s="6" t="n">
        <v>46179</v>
      </c>
      <c r="B5989" s="4" t="s">
        <v>4172</v>
      </c>
      <c r="C5989" s="4" t="n">
        <v>1</v>
      </c>
      <c r="D5989" s="4" t="n">
        <v>15</v>
      </c>
      <c r="E5989" s="4" t="s">
        <v>4586</v>
      </c>
      <c r="F5989" s="4" t="n">
        <v>15</v>
      </c>
      <c r="G5989" s="4" t="n">
        <v>5</v>
      </c>
      <c r="H5989" s="4" t="n">
        <v>4</v>
      </c>
      <c r="I5989" s="4" t="str">
        <v>×</v>
      </c>
      <c r="J5989" s="4"/>
      <c r="K5989" s="4"/>
      <c r="L5989" s="4"/>
      <c r="M5989" s="5" t="s">
        <v>4475</v>
      </c>
    </row>
    <row r="5990" customFormat="false" ht="15.75" hidden="false" customHeight="false" outlineLevel="0" collapsed="false">
      <c r="A5990" s="6" t="n">
        <v>46179</v>
      </c>
      <c r="B5990" s="4" t="s">
        <v>4172</v>
      </c>
      <c r="C5990" s="4" t="n">
        <v>1</v>
      </c>
      <c r="D5990" s="4" t="n">
        <v>16</v>
      </c>
      <c r="E5990" s="4" t="s">
        <v>4587</v>
      </c>
      <c r="F5990" s="4" t="n">
        <v>4</v>
      </c>
      <c r="G5990" s="4" t="n">
        <v>8</v>
      </c>
      <c r="H5990" s="4" t="n">
        <v>4</v>
      </c>
      <c r="I5990" s="4" t="str">
        <v>×</v>
      </c>
      <c r="J5990" s="4"/>
      <c r="K5990" s="4"/>
      <c r="L5990" s="4"/>
      <c r="M5990" s="5" t="s">
        <v>4475</v>
      </c>
    </row>
    <row r="5991" customFormat="false" ht="15.75" hidden="false" customHeight="false" outlineLevel="0" collapsed="false">
      <c r="A5991" s="6" t="n">
        <v>46179</v>
      </c>
      <c r="B5991" s="4" t="s">
        <v>4172</v>
      </c>
      <c r="C5991" s="4" t="n">
        <v>2</v>
      </c>
      <c r="D5991" s="4" t="n">
        <v>1</v>
      </c>
      <c r="E5991" s="4" t="s">
        <v>4588</v>
      </c>
      <c r="F5991" s="4" t="n">
        <v>25</v>
      </c>
      <c r="G5991" s="4" t="n">
        <v>5</v>
      </c>
      <c r="H5991" s="4" t="n">
        <v>4</v>
      </c>
      <c r="I5991" s="4" t="str">
        <v>×</v>
      </c>
      <c r="J5991" s="4"/>
      <c r="K5991" s="4"/>
      <c r="L5991" s="4"/>
      <c r="M5991" s="5" t="s">
        <v>4475</v>
      </c>
    </row>
    <row r="5992" customFormat="false" ht="15.75" hidden="false" customHeight="false" outlineLevel="0" collapsed="false">
      <c r="A5992" s="6" t="n">
        <v>46179</v>
      </c>
      <c r="B5992" s="4" t="s">
        <v>4172</v>
      </c>
      <c r="C5992" s="4" t="n">
        <v>2</v>
      </c>
      <c r="D5992" s="4" t="n">
        <v>2</v>
      </c>
      <c r="E5992" s="4" t="s">
        <v>3157</v>
      </c>
      <c r="F5992" s="4" t="n">
        <v>8</v>
      </c>
      <c r="G5992" s="4" t="n">
        <v>9</v>
      </c>
      <c r="H5992" s="4" t="n">
        <v>4</v>
      </c>
      <c r="I5992" s="4" t="str">
        <v>×</v>
      </c>
      <c r="J5992" s="4"/>
      <c r="K5992" s="4"/>
      <c r="L5992" s="4"/>
      <c r="M5992" s="5" t="s">
        <v>4475</v>
      </c>
    </row>
    <row r="5993" customFormat="false" ht="15.75" hidden="false" customHeight="false" outlineLevel="0" collapsed="false">
      <c r="A5993" s="6" t="n">
        <v>46179</v>
      </c>
      <c r="B5993" s="4" t="s">
        <v>4172</v>
      </c>
      <c r="C5993" s="4" t="n">
        <v>2</v>
      </c>
      <c r="D5993" s="4" t="n">
        <v>3</v>
      </c>
      <c r="E5993" s="4" t="s">
        <v>4589</v>
      </c>
      <c r="F5993" s="4" t="n">
        <v>2</v>
      </c>
      <c r="G5993" s="4" t="n">
        <v>13</v>
      </c>
      <c r="H5993" s="4" t="n">
        <v>4</v>
      </c>
      <c r="I5993" s="4" t="str">
        <v>×</v>
      </c>
      <c r="J5993" s="4"/>
      <c r="K5993" s="4"/>
      <c r="L5993" s="4"/>
      <c r="M5993" s="5" t="s">
        <v>4475</v>
      </c>
    </row>
    <row r="5994" customFormat="false" ht="15.75" hidden="false" customHeight="false" outlineLevel="0" collapsed="false">
      <c r="A5994" s="6" t="n">
        <v>46179</v>
      </c>
      <c r="B5994" s="4" t="s">
        <v>4172</v>
      </c>
      <c r="C5994" s="4" t="n">
        <v>2</v>
      </c>
      <c r="D5994" s="4" t="n">
        <v>4</v>
      </c>
      <c r="E5994" s="4" t="s">
        <v>4590</v>
      </c>
      <c r="F5994" s="4" t="n">
        <v>4</v>
      </c>
      <c r="G5994" s="4" t="n">
        <v>11</v>
      </c>
      <c r="H5994" s="4" t="n">
        <v>4</v>
      </c>
      <c r="I5994" s="4" t="str">
        <v>×</v>
      </c>
      <c r="J5994" s="4"/>
      <c r="K5994" s="4"/>
      <c r="L5994" s="4"/>
      <c r="M5994" s="5" t="s">
        <v>4475</v>
      </c>
    </row>
    <row r="5995" customFormat="false" ht="15.75" hidden="false" customHeight="false" outlineLevel="0" collapsed="false">
      <c r="A5995" s="6" t="n">
        <v>46179</v>
      </c>
      <c r="B5995" s="4" t="s">
        <v>4172</v>
      </c>
      <c r="C5995" s="4" t="n">
        <v>2</v>
      </c>
      <c r="D5995" s="4" t="n">
        <v>5</v>
      </c>
      <c r="E5995" s="4" t="s">
        <v>4176</v>
      </c>
      <c r="F5995" s="4" t="n">
        <v>23</v>
      </c>
      <c r="G5995" s="4" t="n">
        <v>6</v>
      </c>
      <c r="H5995" s="4" t="n">
        <v>1</v>
      </c>
      <c r="I5995" s="4" t="str">
        <v>○</v>
      </c>
      <c r="J5995" s="4" t="n">
        <v>160</v>
      </c>
      <c r="K5995" s="4"/>
      <c r="L5995" s="4"/>
      <c r="M5995" s="5" t="s">
        <v>4475</v>
      </c>
    </row>
    <row r="5996" customFormat="false" ht="15.75" hidden="false" customHeight="false" outlineLevel="0" collapsed="false">
      <c r="A5996" s="6" t="n">
        <v>46179</v>
      </c>
      <c r="B5996" s="4" t="s">
        <v>4172</v>
      </c>
      <c r="C5996" s="4" t="n">
        <v>2</v>
      </c>
      <c r="D5996" s="4" t="n">
        <v>6</v>
      </c>
      <c r="E5996" s="4" t="s">
        <v>4363</v>
      </c>
      <c r="F5996" s="4" t="n">
        <v>10</v>
      </c>
      <c r="G5996" s="4" t="n">
        <v>8</v>
      </c>
      <c r="H5996" s="4" t="n">
        <v>2</v>
      </c>
      <c r="I5996" s="4" t="str">
        <v>○</v>
      </c>
      <c r="J5996" s="4" t="n">
        <v>370</v>
      </c>
      <c r="K5996" s="4"/>
      <c r="L5996" s="4"/>
      <c r="M5996" s="5" t="s">
        <v>4475</v>
      </c>
    </row>
    <row r="5997" customFormat="false" ht="15.75" hidden="false" customHeight="false" outlineLevel="0" collapsed="false">
      <c r="A5997" s="6" t="n">
        <v>46179</v>
      </c>
      <c r="B5997" s="4" t="s">
        <v>4172</v>
      </c>
      <c r="C5997" s="4" t="n">
        <v>2</v>
      </c>
      <c r="D5997" s="4" t="n">
        <v>7</v>
      </c>
      <c r="E5997" s="4" t="s">
        <v>3913</v>
      </c>
      <c r="F5997" s="4" t="n">
        <v>41</v>
      </c>
      <c r="G5997" s="4" t="n">
        <v>3</v>
      </c>
      <c r="H5997" s="4" t="n">
        <v>4</v>
      </c>
      <c r="I5997" s="4" t="str">
        <v>×</v>
      </c>
      <c r="J5997" s="4"/>
      <c r="K5997" s="4"/>
      <c r="L5997" s="4"/>
      <c r="M5997" s="5" t="s">
        <v>4475</v>
      </c>
    </row>
    <row r="5998" customFormat="false" ht="15.75" hidden="false" customHeight="false" outlineLevel="0" collapsed="false">
      <c r="A5998" s="6" t="n">
        <v>46179</v>
      </c>
      <c r="B5998" s="4" t="s">
        <v>4172</v>
      </c>
      <c r="C5998" s="4" t="n">
        <v>2</v>
      </c>
      <c r="D5998" s="4" t="n">
        <v>8</v>
      </c>
      <c r="E5998" s="4" t="s">
        <v>4113</v>
      </c>
      <c r="F5998" s="4" t="n">
        <v>3</v>
      </c>
      <c r="G5998" s="4" t="n">
        <v>12</v>
      </c>
      <c r="H5998" s="4" t="n">
        <v>4</v>
      </c>
      <c r="I5998" s="4" t="str">
        <v>×</v>
      </c>
      <c r="J5998" s="4"/>
      <c r="K5998" s="4"/>
      <c r="L5998" s="4"/>
      <c r="M5998" s="5" t="s">
        <v>4475</v>
      </c>
    </row>
    <row r="5999" customFormat="false" ht="15.75" hidden="false" customHeight="false" outlineLevel="0" collapsed="false">
      <c r="A5999" s="6" t="n">
        <v>46179</v>
      </c>
      <c r="B5999" s="4" t="s">
        <v>4172</v>
      </c>
      <c r="C5999" s="4" t="n">
        <v>2</v>
      </c>
      <c r="D5999" s="4" t="n">
        <v>9</v>
      </c>
      <c r="E5999" s="4" t="s">
        <v>4591</v>
      </c>
      <c r="F5999" s="4" t="n">
        <v>4</v>
      </c>
      <c r="G5999" s="4" t="n">
        <v>11</v>
      </c>
      <c r="H5999" s="4" t="n">
        <v>4</v>
      </c>
      <c r="I5999" s="4" t="str">
        <v>×</v>
      </c>
      <c r="J5999" s="4"/>
      <c r="K5999" s="4"/>
      <c r="L5999" s="4"/>
      <c r="M5999" s="5" t="s">
        <v>4475</v>
      </c>
    </row>
    <row r="6000" customFormat="false" ht="15.75" hidden="false" customHeight="false" outlineLevel="0" collapsed="false">
      <c r="A6000" s="6" t="n">
        <v>46179</v>
      </c>
      <c r="B6000" s="4" t="s">
        <v>4172</v>
      </c>
      <c r="C6000" s="4" t="n">
        <v>2</v>
      </c>
      <c r="D6000" s="4" t="n">
        <v>10</v>
      </c>
      <c r="E6000" s="4" t="s">
        <v>3920</v>
      </c>
      <c r="F6000" s="4" t="n">
        <v>66</v>
      </c>
      <c r="G6000" s="4" t="n">
        <v>1</v>
      </c>
      <c r="H6000" s="4" t="n">
        <v>4</v>
      </c>
      <c r="I6000" s="4" t="str">
        <v>×</v>
      </c>
      <c r="J6000" s="4"/>
      <c r="K6000" s="4"/>
      <c r="L6000" s="4"/>
      <c r="M6000" s="5" t="s">
        <v>4475</v>
      </c>
    </row>
    <row r="6001" customFormat="false" ht="15.75" hidden="false" customHeight="false" outlineLevel="0" collapsed="false">
      <c r="A6001" s="6" t="n">
        <v>46179</v>
      </c>
      <c r="B6001" s="4" t="s">
        <v>4172</v>
      </c>
      <c r="C6001" s="4" t="n">
        <v>2</v>
      </c>
      <c r="D6001" s="4" t="n">
        <v>11</v>
      </c>
      <c r="E6001" s="4" t="s">
        <v>4592</v>
      </c>
      <c r="F6001" s="4" t="n">
        <v>6</v>
      </c>
      <c r="G6001" s="4" t="n">
        <v>10</v>
      </c>
      <c r="H6001" s="4" t="n">
        <v>4</v>
      </c>
      <c r="I6001" s="4" t="str">
        <v>×</v>
      </c>
      <c r="J6001" s="4"/>
      <c r="K6001" s="4"/>
      <c r="L6001" s="4"/>
      <c r="M6001" s="5" t="s">
        <v>4475</v>
      </c>
    </row>
    <row r="6002" customFormat="false" ht="15.75" hidden="false" customHeight="false" outlineLevel="0" collapsed="false">
      <c r="A6002" s="6" t="n">
        <v>46179</v>
      </c>
      <c r="B6002" s="4" t="s">
        <v>4172</v>
      </c>
      <c r="C6002" s="4" t="n">
        <v>2</v>
      </c>
      <c r="D6002" s="4" t="n">
        <v>12</v>
      </c>
      <c r="E6002" s="4" t="s">
        <v>4593</v>
      </c>
      <c r="F6002" s="4" t="n">
        <v>31</v>
      </c>
      <c r="G6002" s="4" t="n">
        <v>4</v>
      </c>
      <c r="H6002" s="4" t="n">
        <v>4</v>
      </c>
      <c r="I6002" s="4" t="str">
        <v>×</v>
      </c>
      <c r="J6002" s="4"/>
      <c r="K6002" s="4"/>
      <c r="L6002" s="4"/>
      <c r="M6002" s="5" t="s">
        <v>4475</v>
      </c>
    </row>
    <row r="6003" customFormat="false" ht="15.75" hidden="false" customHeight="false" outlineLevel="0" collapsed="false">
      <c r="A6003" s="6" t="n">
        <v>46179</v>
      </c>
      <c r="B6003" s="4" t="s">
        <v>4172</v>
      </c>
      <c r="C6003" s="4" t="n">
        <v>2</v>
      </c>
      <c r="D6003" s="4" t="n">
        <v>13</v>
      </c>
      <c r="E6003" s="4" t="s">
        <v>4594</v>
      </c>
      <c r="F6003" s="4" t="n">
        <v>13</v>
      </c>
      <c r="G6003" s="4" t="n">
        <v>7</v>
      </c>
      <c r="H6003" s="4" t="n">
        <v>4</v>
      </c>
      <c r="I6003" s="4" t="str">
        <v>×</v>
      </c>
      <c r="J6003" s="4"/>
      <c r="K6003" s="4"/>
      <c r="L6003" s="4"/>
      <c r="M6003" s="5" t="s">
        <v>4475</v>
      </c>
    </row>
    <row r="6004" customFormat="false" ht="15.75" hidden="false" customHeight="false" outlineLevel="0" collapsed="false">
      <c r="A6004" s="6" t="n">
        <v>46179</v>
      </c>
      <c r="B6004" s="4" t="s">
        <v>4172</v>
      </c>
      <c r="C6004" s="4" t="n">
        <v>2</v>
      </c>
      <c r="D6004" s="4" t="n">
        <v>14</v>
      </c>
      <c r="E6004" s="4" t="s">
        <v>4595</v>
      </c>
      <c r="F6004" s="4" t="n">
        <v>13</v>
      </c>
      <c r="G6004" s="4" t="n">
        <v>7</v>
      </c>
      <c r="H6004" s="4" t="n">
        <v>4</v>
      </c>
      <c r="I6004" s="4" t="str">
        <v>×</v>
      </c>
      <c r="J6004" s="4"/>
      <c r="K6004" s="4"/>
      <c r="L6004" s="4"/>
      <c r="M6004" s="5" t="s">
        <v>4475</v>
      </c>
    </row>
    <row r="6005" customFormat="false" ht="15.75" hidden="false" customHeight="false" outlineLevel="0" collapsed="false">
      <c r="A6005" s="6" t="n">
        <v>46179</v>
      </c>
      <c r="B6005" s="4" t="s">
        <v>4172</v>
      </c>
      <c r="C6005" s="4" t="n">
        <v>2</v>
      </c>
      <c r="D6005" s="4" t="n">
        <v>15</v>
      </c>
      <c r="E6005" s="4" t="s">
        <v>1125</v>
      </c>
      <c r="F6005" s="4" t="n">
        <v>52</v>
      </c>
      <c r="G6005" s="4" t="n">
        <v>2</v>
      </c>
      <c r="H6005" s="4" t="n">
        <v>3</v>
      </c>
      <c r="I6005" s="4" t="str">
        <v>○</v>
      </c>
      <c r="J6005" s="4" t="n">
        <v>130</v>
      </c>
      <c r="K6005" s="4"/>
      <c r="L6005" s="4"/>
      <c r="M6005" s="5" t="s">
        <v>4475</v>
      </c>
    </row>
    <row r="6006" customFormat="false" ht="15.75" hidden="false" customHeight="false" outlineLevel="0" collapsed="false">
      <c r="A6006" s="6" t="n">
        <v>46179</v>
      </c>
      <c r="B6006" s="4" t="s">
        <v>4172</v>
      </c>
      <c r="C6006" s="4" t="n">
        <v>2</v>
      </c>
      <c r="D6006" s="4" t="n">
        <v>16</v>
      </c>
      <c r="E6006" s="4" t="s">
        <v>3153</v>
      </c>
      <c r="F6006" s="4" t="n">
        <v>4</v>
      </c>
      <c r="G6006" s="4" t="n">
        <v>11</v>
      </c>
      <c r="H6006" s="4" t="n">
        <v>4</v>
      </c>
      <c r="I6006" s="4" t="str">
        <v>×</v>
      </c>
      <c r="J6006" s="4"/>
      <c r="K6006" s="4"/>
      <c r="L6006" s="4"/>
      <c r="M6006" s="5" t="s">
        <v>4475</v>
      </c>
    </row>
    <row r="6007" customFormat="false" ht="15.75" hidden="false" customHeight="false" outlineLevel="0" collapsed="false">
      <c r="A6007" s="6" t="n">
        <v>46179</v>
      </c>
      <c r="B6007" s="4" t="s">
        <v>4172</v>
      </c>
      <c r="C6007" s="4" t="n">
        <v>3</v>
      </c>
      <c r="D6007" s="4" t="n">
        <v>1</v>
      </c>
      <c r="E6007" s="4" t="s">
        <v>4596</v>
      </c>
      <c r="F6007" s="4" t="n">
        <v>8</v>
      </c>
      <c r="G6007" s="4" t="n">
        <v>8</v>
      </c>
      <c r="H6007" s="4" t="n">
        <v>4</v>
      </c>
      <c r="I6007" s="4" t="str">
        <v>×</v>
      </c>
      <c r="J6007" s="4"/>
      <c r="K6007" s="4"/>
      <c r="L6007" s="4"/>
      <c r="M6007" s="5" t="s">
        <v>4475</v>
      </c>
    </row>
    <row r="6008" customFormat="false" ht="15.75" hidden="false" customHeight="false" outlineLevel="0" collapsed="false">
      <c r="A6008" s="6" t="n">
        <v>46179</v>
      </c>
      <c r="B6008" s="4" t="s">
        <v>4172</v>
      </c>
      <c r="C6008" s="4" t="n">
        <v>3</v>
      </c>
      <c r="D6008" s="4" t="n">
        <v>2</v>
      </c>
      <c r="E6008" s="4" t="s">
        <v>4597</v>
      </c>
      <c r="F6008" s="4" t="n">
        <v>47</v>
      </c>
      <c r="G6008" s="4" t="n">
        <v>2</v>
      </c>
      <c r="H6008" s="4" t="n">
        <v>2</v>
      </c>
      <c r="I6008" s="4" t="str">
        <v>○</v>
      </c>
      <c r="J6008" s="4" t="n">
        <v>160</v>
      </c>
      <c r="K6008" s="4"/>
      <c r="L6008" s="4"/>
      <c r="M6008" s="5" t="s">
        <v>4475</v>
      </c>
    </row>
    <row r="6009" customFormat="false" ht="15.75" hidden="false" customHeight="false" outlineLevel="0" collapsed="false">
      <c r="A6009" s="6" t="n">
        <v>46179</v>
      </c>
      <c r="B6009" s="4" t="s">
        <v>4172</v>
      </c>
      <c r="C6009" s="4" t="n">
        <v>3</v>
      </c>
      <c r="D6009" s="4" t="n">
        <v>3</v>
      </c>
      <c r="E6009" s="4" t="s">
        <v>2573</v>
      </c>
      <c r="F6009" s="4" t="n">
        <v>10</v>
      </c>
      <c r="G6009" s="4" t="n">
        <v>7</v>
      </c>
      <c r="H6009" s="4" t="n">
        <v>4</v>
      </c>
      <c r="I6009" s="4" t="str">
        <v>×</v>
      </c>
      <c r="J6009" s="4"/>
      <c r="K6009" s="4"/>
      <c r="L6009" s="4"/>
      <c r="M6009" s="5" t="s">
        <v>4475</v>
      </c>
    </row>
    <row r="6010" customFormat="false" ht="15.75" hidden="false" customHeight="false" outlineLevel="0" collapsed="false">
      <c r="A6010" s="6" t="n">
        <v>46179</v>
      </c>
      <c r="B6010" s="4" t="s">
        <v>4172</v>
      </c>
      <c r="C6010" s="4" t="n">
        <v>3</v>
      </c>
      <c r="D6010" s="4" t="n">
        <v>4</v>
      </c>
      <c r="E6010" s="4" t="s">
        <v>3599</v>
      </c>
      <c r="F6010" s="4" t="n">
        <v>25</v>
      </c>
      <c r="G6010" s="4" t="n">
        <v>4</v>
      </c>
      <c r="H6010" s="4" t="n">
        <v>4</v>
      </c>
      <c r="I6010" s="4" t="str">
        <v>×</v>
      </c>
      <c r="J6010" s="4"/>
      <c r="K6010" s="4"/>
      <c r="L6010" s="4"/>
      <c r="M6010" s="5" t="s">
        <v>4475</v>
      </c>
    </row>
    <row r="6011" customFormat="false" ht="15.75" hidden="false" customHeight="false" outlineLevel="0" collapsed="false">
      <c r="A6011" s="6" t="n">
        <v>46179</v>
      </c>
      <c r="B6011" s="4" t="s">
        <v>4172</v>
      </c>
      <c r="C6011" s="4" t="n">
        <v>3</v>
      </c>
      <c r="D6011" s="4" t="n">
        <v>5</v>
      </c>
      <c r="E6011" s="4" t="s">
        <v>4598</v>
      </c>
      <c r="F6011" s="4" t="n">
        <v>8</v>
      </c>
      <c r="G6011" s="4" t="n">
        <v>8</v>
      </c>
      <c r="H6011" s="4" t="n">
        <v>4</v>
      </c>
      <c r="I6011" s="4" t="str">
        <v>×</v>
      </c>
      <c r="J6011" s="4"/>
      <c r="K6011" s="4"/>
      <c r="L6011" s="4"/>
      <c r="M6011" s="5" t="s">
        <v>4475</v>
      </c>
    </row>
    <row r="6012" customFormat="false" ht="15.75" hidden="false" customHeight="false" outlineLevel="0" collapsed="false">
      <c r="A6012" s="6" t="n">
        <v>46179</v>
      </c>
      <c r="B6012" s="4" t="s">
        <v>4172</v>
      </c>
      <c r="C6012" s="4" t="n">
        <v>3</v>
      </c>
      <c r="D6012" s="4" t="n">
        <v>6</v>
      </c>
      <c r="E6012" s="4" t="s">
        <v>1157</v>
      </c>
      <c r="F6012" s="4" t="n">
        <v>2</v>
      </c>
      <c r="G6012" s="4" t="n">
        <v>9</v>
      </c>
      <c r="H6012" s="4" t="n">
        <v>4</v>
      </c>
      <c r="I6012" s="4" t="str">
        <v>×</v>
      </c>
      <c r="J6012" s="4"/>
      <c r="K6012" s="4"/>
      <c r="L6012" s="4"/>
      <c r="M6012" s="5" t="s">
        <v>4475</v>
      </c>
    </row>
    <row r="6013" customFormat="false" ht="15.75" hidden="false" customHeight="false" outlineLevel="0" collapsed="false">
      <c r="A6013" s="6" t="n">
        <v>46179</v>
      </c>
      <c r="B6013" s="4" t="s">
        <v>4172</v>
      </c>
      <c r="C6013" s="4" t="n">
        <v>3</v>
      </c>
      <c r="D6013" s="4" t="n">
        <v>7</v>
      </c>
      <c r="E6013" s="4" t="s">
        <v>4599</v>
      </c>
      <c r="F6013" s="4" t="n">
        <v>10</v>
      </c>
      <c r="G6013" s="4" t="n">
        <v>7</v>
      </c>
      <c r="H6013" s="4" t="n">
        <v>4</v>
      </c>
      <c r="I6013" s="4" t="str">
        <v>×</v>
      </c>
      <c r="J6013" s="4"/>
      <c r="K6013" s="4"/>
      <c r="L6013" s="4"/>
      <c r="M6013" s="5" t="s">
        <v>4475</v>
      </c>
    </row>
    <row r="6014" customFormat="false" ht="15.75" hidden="false" customHeight="false" outlineLevel="0" collapsed="false">
      <c r="A6014" s="6" t="n">
        <v>46179</v>
      </c>
      <c r="B6014" s="4" t="s">
        <v>4172</v>
      </c>
      <c r="C6014" s="4" t="n">
        <v>3</v>
      </c>
      <c r="D6014" s="4" t="n">
        <v>8</v>
      </c>
      <c r="E6014" s="4" t="s">
        <v>4600</v>
      </c>
      <c r="F6014" s="4" t="n">
        <v>29</v>
      </c>
      <c r="G6014" s="4" t="n">
        <v>3</v>
      </c>
      <c r="H6014" s="4" t="n">
        <v>4</v>
      </c>
      <c r="I6014" s="4" t="str">
        <v>×</v>
      </c>
      <c r="J6014" s="4"/>
      <c r="K6014" s="4"/>
      <c r="L6014" s="4"/>
      <c r="M6014" s="5" t="s">
        <v>4475</v>
      </c>
    </row>
    <row r="6015" customFormat="false" ht="15.75" hidden="false" customHeight="false" outlineLevel="0" collapsed="false">
      <c r="A6015" s="6" t="n">
        <v>46179</v>
      </c>
      <c r="B6015" s="4" t="s">
        <v>4172</v>
      </c>
      <c r="C6015" s="4" t="n">
        <v>3</v>
      </c>
      <c r="D6015" s="4" t="n">
        <v>9</v>
      </c>
      <c r="E6015" s="4" t="s">
        <v>4601</v>
      </c>
      <c r="F6015" s="4" t="n">
        <v>20</v>
      </c>
      <c r="G6015" s="4" t="n">
        <v>5</v>
      </c>
      <c r="H6015" s="4" t="n">
        <v>4</v>
      </c>
      <c r="I6015" s="4" t="str">
        <v>×</v>
      </c>
      <c r="J6015" s="4"/>
      <c r="K6015" s="4"/>
      <c r="L6015" s="4"/>
      <c r="M6015" s="5" t="s">
        <v>4475</v>
      </c>
    </row>
    <row r="6016" customFormat="false" ht="15.75" hidden="false" customHeight="false" outlineLevel="0" collapsed="false">
      <c r="A6016" s="6" t="n">
        <v>46179</v>
      </c>
      <c r="B6016" s="4" t="s">
        <v>4172</v>
      </c>
      <c r="C6016" s="4" t="n">
        <v>3</v>
      </c>
      <c r="D6016" s="4" t="n">
        <v>10</v>
      </c>
      <c r="E6016" s="4" t="s">
        <v>4602</v>
      </c>
      <c r="F6016" s="4" t="n">
        <v>50</v>
      </c>
      <c r="G6016" s="4" t="n">
        <v>1</v>
      </c>
      <c r="H6016" s="4" t="n">
        <v>1</v>
      </c>
      <c r="I6016" s="4" t="str">
        <v>○</v>
      </c>
      <c r="J6016" s="4" t="n">
        <v>190</v>
      </c>
      <c r="K6016" s="4"/>
      <c r="L6016" s="4"/>
      <c r="M6016" s="5" t="s">
        <v>4475</v>
      </c>
    </row>
    <row r="6017" customFormat="false" ht="15.75" hidden="false" customHeight="false" outlineLevel="0" collapsed="false">
      <c r="A6017" s="6" t="n">
        <v>46179</v>
      </c>
      <c r="B6017" s="4" t="s">
        <v>4172</v>
      </c>
      <c r="C6017" s="4" t="n">
        <v>3</v>
      </c>
      <c r="D6017" s="4" t="n">
        <v>11</v>
      </c>
      <c r="E6017" s="4" t="s">
        <v>4603</v>
      </c>
      <c r="F6017" s="4" t="n">
        <v>8</v>
      </c>
      <c r="G6017" s="4" t="n">
        <v>8</v>
      </c>
      <c r="H6017" s="4" t="n">
        <v>4</v>
      </c>
      <c r="I6017" s="4" t="str">
        <v>×</v>
      </c>
      <c r="J6017" s="4"/>
      <c r="K6017" s="4"/>
      <c r="L6017" s="4"/>
      <c r="M6017" s="5" t="s">
        <v>4475</v>
      </c>
    </row>
    <row r="6018" customFormat="false" ht="15.75" hidden="false" customHeight="false" outlineLevel="0" collapsed="false">
      <c r="A6018" s="6" t="n">
        <v>46179</v>
      </c>
      <c r="B6018" s="4" t="s">
        <v>4172</v>
      </c>
      <c r="C6018" s="4" t="n">
        <v>3</v>
      </c>
      <c r="D6018" s="4" t="n">
        <v>12</v>
      </c>
      <c r="E6018" s="4" t="s">
        <v>4604</v>
      </c>
      <c r="F6018" s="4" t="n">
        <v>47</v>
      </c>
      <c r="G6018" s="4" t="n">
        <v>2</v>
      </c>
      <c r="H6018" s="4" t="n">
        <v>4</v>
      </c>
      <c r="I6018" s="4" t="str">
        <v>×</v>
      </c>
      <c r="J6018" s="4"/>
      <c r="K6018" s="4"/>
      <c r="L6018" s="4"/>
      <c r="M6018" s="5" t="s">
        <v>4475</v>
      </c>
    </row>
    <row r="6019" customFormat="false" ht="15.75" hidden="false" customHeight="false" outlineLevel="0" collapsed="false">
      <c r="A6019" s="6" t="n">
        <v>46179</v>
      </c>
      <c r="B6019" s="4" t="s">
        <v>4172</v>
      </c>
      <c r="C6019" s="4" t="n">
        <v>3</v>
      </c>
      <c r="D6019" s="4" t="n">
        <v>13</v>
      </c>
      <c r="E6019" s="4" t="s">
        <v>4605</v>
      </c>
      <c r="F6019" s="4" t="n">
        <v>8</v>
      </c>
      <c r="G6019" s="4" t="n">
        <v>8</v>
      </c>
      <c r="H6019" s="4" t="n">
        <v>4</v>
      </c>
      <c r="I6019" s="4" t="str">
        <v>×</v>
      </c>
      <c r="J6019" s="4"/>
      <c r="K6019" s="4"/>
      <c r="L6019" s="4"/>
      <c r="M6019" s="5" t="s">
        <v>4475</v>
      </c>
    </row>
    <row r="6020" customFormat="false" ht="15.75" hidden="false" customHeight="false" outlineLevel="0" collapsed="false">
      <c r="A6020" s="6" t="n">
        <v>46179</v>
      </c>
      <c r="B6020" s="4" t="s">
        <v>4172</v>
      </c>
      <c r="C6020" s="4" t="n">
        <v>3</v>
      </c>
      <c r="D6020" s="4" t="n">
        <v>14</v>
      </c>
      <c r="E6020" s="4" t="s">
        <v>2575</v>
      </c>
      <c r="F6020" s="4" t="n">
        <v>8</v>
      </c>
      <c r="G6020" s="4" t="n">
        <v>8</v>
      </c>
      <c r="H6020" s="4" t="n">
        <v>4</v>
      </c>
      <c r="I6020" s="4" t="str">
        <v>×</v>
      </c>
      <c r="J6020" s="4"/>
      <c r="K6020" s="4"/>
      <c r="L6020" s="4"/>
      <c r="M6020" s="5" t="s">
        <v>4475</v>
      </c>
    </row>
    <row r="6021" customFormat="false" ht="15.75" hidden="false" customHeight="false" outlineLevel="0" collapsed="false">
      <c r="A6021" s="6" t="n">
        <v>46179</v>
      </c>
      <c r="B6021" s="4" t="s">
        <v>4172</v>
      </c>
      <c r="C6021" s="4" t="n">
        <v>3</v>
      </c>
      <c r="D6021" s="4" t="n">
        <v>15</v>
      </c>
      <c r="E6021" s="4" t="s">
        <v>2848</v>
      </c>
      <c r="F6021" s="4" t="n">
        <v>15</v>
      </c>
      <c r="G6021" s="4" t="n">
        <v>6</v>
      </c>
      <c r="H6021" s="4" t="n">
        <v>3</v>
      </c>
      <c r="I6021" s="4" t="str">
        <v>○</v>
      </c>
      <c r="J6021" s="4" t="n">
        <v>500</v>
      </c>
      <c r="K6021" s="4"/>
      <c r="L6021" s="4"/>
      <c r="M6021" s="5" t="s">
        <v>4475</v>
      </c>
    </row>
    <row r="6022" customFormat="false" ht="15.75" hidden="false" customHeight="false" outlineLevel="0" collapsed="false">
      <c r="A6022" s="6" t="n">
        <v>46179</v>
      </c>
      <c r="B6022" s="4" t="s">
        <v>4172</v>
      </c>
      <c r="C6022" s="4" t="n">
        <v>3</v>
      </c>
      <c r="D6022" s="4" t="n">
        <v>16</v>
      </c>
      <c r="E6022" s="4" t="s">
        <v>2028</v>
      </c>
      <c r="F6022" s="4" t="n">
        <v>29</v>
      </c>
      <c r="G6022" s="4" t="n">
        <v>3</v>
      </c>
      <c r="H6022" s="4" t="n">
        <v>4</v>
      </c>
      <c r="I6022" s="4" t="str">
        <v>×</v>
      </c>
      <c r="J6022" s="4"/>
      <c r="K6022" s="4"/>
      <c r="L6022" s="4"/>
      <c r="M6022" s="5" t="s">
        <v>4475</v>
      </c>
    </row>
    <row r="6023" customFormat="false" ht="15.75" hidden="false" customHeight="false" outlineLevel="0" collapsed="false">
      <c r="A6023" s="6" t="n">
        <v>46179</v>
      </c>
      <c r="B6023" s="4" t="s">
        <v>4172</v>
      </c>
      <c r="C6023" s="4" t="n">
        <v>4</v>
      </c>
      <c r="D6023" s="4" t="n">
        <v>1</v>
      </c>
      <c r="E6023" s="4" t="s">
        <v>4606</v>
      </c>
      <c r="F6023" s="4" t="n">
        <v>3</v>
      </c>
      <c r="G6023" s="4" t="n">
        <v>12</v>
      </c>
      <c r="H6023" s="4" t="n">
        <v>4</v>
      </c>
      <c r="I6023" s="4" t="str">
        <v>×</v>
      </c>
      <c r="J6023" s="4"/>
      <c r="K6023" s="4"/>
      <c r="L6023" s="4"/>
      <c r="M6023" s="5" t="s">
        <v>4475</v>
      </c>
    </row>
    <row r="6024" customFormat="false" ht="15.75" hidden="false" customHeight="false" outlineLevel="0" collapsed="false">
      <c r="A6024" s="6" t="n">
        <v>46179</v>
      </c>
      <c r="B6024" s="4" t="s">
        <v>4172</v>
      </c>
      <c r="C6024" s="4" t="n">
        <v>4</v>
      </c>
      <c r="D6024" s="4" t="n">
        <v>2</v>
      </c>
      <c r="E6024" s="4" t="s">
        <v>1582</v>
      </c>
      <c r="F6024" s="4" t="n">
        <v>20</v>
      </c>
      <c r="G6024" s="4" t="n">
        <v>5</v>
      </c>
      <c r="H6024" s="4" t="n">
        <v>4</v>
      </c>
      <c r="I6024" s="4" t="str">
        <v>×</v>
      </c>
      <c r="J6024" s="4"/>
      <c r="K6024" s="4"/>
      <c r="L6024" s="4"/>
      <c r="M6024" s="5" t="s">
        <v>4475</v>
      </c>
    </row>
    <row r="6025" customFormat="false" ht="15.75" hidden="false" customHeight="false" outlineLevel="0" collapsed="false">
      <c r="A6025" s="6" t="n">
        <v>46179</v>
      </c>
      <c r="B6025" s="4" t="s">
        <v>4172</v>
      </c>
      <c r="C6025" s="4" t="n">
        <v>4</v>
      </c>
      <c r="D6025" s="4" t="n">
        <v>3</v>
      </c>
      <c r="E6025" s="4" t="s">
        <v>4607</v>
      </c>
      <c r="F6025" s="4" t="n">
        <v>56</v>
      </c>
      <c r="G6025" s="4" t="n">
        <v>2</v>
      </c>
      <c r="H6025" s="4" t="n">
        <v>1</v>
      </c>
      <c r="I6025" s="4" t="str">
        <v>○</v>
      </c>
      <c r="J6025" s="4" t="n">
        <v>110</v>
      </c>
      <c r="K6025" s="4"/>
      <c r="L6025" s="4"/>
      <c r="M6025" s="5" t="s">
        <v>4475</v>
      </c>
    </row>
    <row r="6026" customFormat="false" ht="15.75" hidden="false" customHeight="false" outlineLevel="0" collapsed="false">
      <c r="A6026" s="6" t="n">
        <v>46179</v>
      </c>
      <c r="B6026" s="4" t="s">
        <v>4172</v>
      </c>
      <c r="C6026" s="4" t="n">
        <v>4</v>
      </c>
      <c r="D6026" s="4" t="n">
        <v>4</v>
      </c>
      <c r="E6026" s="4" t="s">
        <v>3444</v>
      </c>
      <c r="F6026" s="4" t="n">
        <v>8</v>
      </c>
      <c r="G6026" s="4" t="n">
        <v>9</v>
      </c>
      <c r="H6026" s="4" t="n">
        <v>4</v>
      </c>
      <c r="I6026" s="4" t="str">
        <v>×</v>
      </c>
      <c r="J6026" s="4"/>
      <c r="K6026" s="4"/>
      <c r="L6026" s="4"/>
      <c r="M6026" s="5" t="s">
        <v>4475</v>
      </c>
    </row>
    <row r="6027" customFormat="false" ht="15.75" hidden="false" customHeight="false" outlineLevel="0" collapsed="false">
      <c r="A6027" s="6" t="n">
        <v>46179</v>
      </c>
      <c r="B6027" s="4" t="s">
        <v>4172</v>
      </c>
      <c r="C6027" s="4" t="n">
        <v>4</v>
      </c>
      <c r="D6027" s="4" t="n">
        <v>5</v>
      </c>
      <c r="E6027" s="4" t="s">
        <v>1567</v>
      </c>
      <c r="F6027" s="4" t="n">
        <v>17</v>
      </c>
      <c r="G6027" s="4" t="n">
        <v>6</v>
      </c>
      <c r="H6027" s="4" t="n">
        <v>4</v>
      </c>
      <c r="I6027" s="4" t="str">
        <v>×</v>
      </c>
      <c r="J6027" s="4"/>
      <c r="K6027" s="4"/>
      <c r="L6027" s="4"/>
      <c r="M6027" s="5" t="s">
        <v>4475</v>
      </c>
    </row>
    <row r="6028" customFormat="false" ht="15.75" hidden="false" customHeight="false" outlineLevel="0" collapsed="false">
      <c r="A6028" s="6" t="n">
        <v>46179</v>
      </c>
      <c r="B6028" s="4" t="s">
        <v>4172</v>
      </c>
      <c r="C6028" s="4" t="n">
        <v>4</v>
      </c>
      <c r="D6028" s="4" t="n">
        <v>6</v>
      </c>
      <c r="E6028" s="4" t="s">
        <v>3265</v>
      </c>
      <c r="F6028" s="4" t="n">
        <v>39</v>
      </c>
      <c r="G6028" s="4" t="n">
        <v>4</v>
      </c>
      <c r="H6028" s="4" t="n">
        <v>4</v>
      </c>
      <c r="I6028" s="4" t="str">
        <v>×</v>
      </c>
      <c r="J6028" s="4"/>
      <c r="K6028" s="4"/>
      <c r="L6028" s="4"/>
      <c r="M6028" s="5" t="s">
        <v>4475</v>
      </c>
    </row>
    <row r="6029" customFormat="false" ht="15.75" hidden="false" customHeight="false" outlineLevel="0" collapsed="false">
      <c r="A6029" s="6" t="n">
        <v>46179</v>
      </c>
      <c r="B6029" s="4" t="s">
        <v>4172</v>
      </c>
      <c r="C6029" s="4" t="n">
        <v>4</v>
      </c>
      <c r="D6029" s="4" t="n">
        <v>7</v>
      </c>
      <c r="E6029" s="4" t="s">
        <v>4608</v>
      </c>
      <c r="F6029" s="4" t="n">
        <v>4</v>
      </c>
      <c r="G6029" s="4" t="n">
        <v>11</v>
      </c>
      <c r="H6029" s="4" t="n">
        <v>4</v>
      </c>
      <c r="I6029" s="4" t="str">
        <v>×</v>
      </c>
      <c r="J6029" s="4"/>
      <c r="K6029" s="4"/>
      <c r="L6029" s="4"/>
      <c r="M6029" s="5" t="s">
        <v>4475</v>
      </c>
    </row>
    <row r="6030" customFormat="false" ht="15.75" hidden="false" customHeight="false" outlineLevel="0" collapsed="false">
      <c r="A6030" s="6" t="n">
        <v>46179</v>
      </c>
      <c r="B6030" s="4" t="s">
        <v>4172</v>
      </c>
      <c r="C6030" s="4" t="n">
        <v>4</v>
      </c>
      <c r="D6030" s="4" t="n">
        <v>8</v>
      </c>
      <c r="E6030" s="4" t="s">
        <v>3884</v>
      </c>
      <c r="F6030" s="4" t="n">
        <v>4</v>
      </c>
      <c r="G6030" s="4" t="n">
        <v>11</v>
      </c>
      <c r="H6030" s="4" t="n">
        <v>4</v>
      </c>
      <c r="I6030" s="4" t="str">
        <v>×</v>
      </c>
      <c r="J6030" s="4"/>
      <c r="K6030" s="4"/>
      <c r="L6030" s="4"/>
      <c r="M6030" s="5" t="s">
        <v>4475</v>
      </c>
    </row>
    <row r="6031" customFormat="false" ht="15.75" hidden="false" customHeight="false" outlineLevel="0" collapsed="false">
      <c r="A6031" s="6" t="n">
        <v>46179</v>
      </c>
      <c r="B6031" s="4" t="s">
        <v>4172</v>
      </c>
      <c r="C6031" s="4" t="n">
        <v>4</v>
      </c>
      <c r="D6031" s="4" t="n">
        <v>9</v>
      </c>
      <c r="E6031" s="4" t="s">
        <v>4609</v>
      </c>
      <c r="F6031" s="4" t="n">
        <v>10</v>
      </c>
      <c r="G6031" s="4" t="n">
        <v>8</v>
      </c>
      <c r="H6031" s="4" t="n">
        <v>4</v>
      </c>
      <c r="I6031" s="4" t="str">
        <v>×</v>
      </c>
      <c r="J6031" s="4"/>
      <c r="K6031" s="4"/>
      <c r="L6031" s="4"/>
      <c r="M6031" s="5" t="s">
        <v>4475</v>
      </c>
    </row>
    <row r="6032" customFormat="false" ht="15.75" hidden="false" customHeight="false" outlineLevel="0" collapsed="false">
      <c r="A6032" s="6" t="n">
        <v>46179</v>
      </c>
      <c r="B6032" s="4" t="s">
        <v>4172</v>
      </c>
      <c r="C6032" s="4" t="n">
        <v>4</v>
      </c>
      <c r="D6032" s="4" t="n">
        <v>10</v>
      </c>
      <c r="E6032" s="4" t="s">
        <v>4610</v>
      </c>
      <c r="F6032" s="4" t="n">
        <v>6</v>
      </c>
      <c r="G6032" s="4" t="n">
        <v>10</v>
      </c>
      <c r="H6032" s="4" t="n">
        <v>4</v>
      </c>
      <c r="I6032" s="4" t="str">
        <v>×</v>
      </c>
      <c r="J6032" s="4"/>
      <c r="K6032" s="4"/>
      <c r="L6032" s="4"/>
      <c r="M6032" s="5" t="s">
        <v>4475</v>
      </c>
    </row>
    <row r="6033" customFormat="false" ht="15.75" hidden="false" customHeight="false" outlineLevel="0" collapsed="false">
      <c r="A6033" s="6" t="n">
        <v>46179</v>
      </c>
      <c r="B6033" s="4" t="s">
        <v>4172</v>
      </c>
      <c r="C6033" s="4" t="n">
        <v>4</v>
      </c>
      <c r="D6033" s="4" t="n">
        <v>11</v>
      </c>
      <c r="E6033" s="4" t="s">
        <v>4611</v>
      </c>
      <c r="F6033" s="4" t="n">
        <v>8</v>
      </c>
      <c r="G6033" s="4" t="n">
        <v>9</v>
      </c>
      <c r="H6033" s="4" t="n">
        <v>4</v>
      </c>
      <c r="I6033" s="4" t="str">
        <v>×</v>
      </c>
      <c r="J6033" s="4"/>
      <c r="K6033" s="4"/>
      <c r="L6033" s="4"/>
      <c r="M6033" s="5" t="s">
        <v>4475</v>
      </c>
    </row>
    <row r="6034" customFormat="false" ht="15.75" hidden="false" customHeight="false" outlineLevel="0" collapsed="false">
      <c r="A6034" s="6" t="n">
        <v>46179</v>
      </c>
      <c r="B6034" s="4" t="s">
        <v>4172</v>
      </c>
      <c r="C6034" s="4" t="n">
        <v>4</v>
      </c>
      <c r="D6034" s="4" t="n">
        <v>12</v>
      </c>
      <c r="E6034" s="4" t="s">
        <v>3422</v>
      </c>
      <c r="F6034" s="4" t="n">
        <v>62</v>
      </c>
      <c r="G6034" s="4" t="n">
        <v>1</v>
      </c>
      <c r="H6034" s="4" t="n">
        <v>2</v>
      </c>
      <c r="I6034" s="4" t="str">
        <v>○</v>
      </c>
      <c r="J6034" s="4" t="n">
        <v>150</v>
      </c>
      <c r="K6034" s="4"/>
      <c r="L6034" s="4"/>
      <c r="M6034" s="5" t="s">
        <v>4475</v>
      </c>
    </row>
    <row r="6035" customFormat="false" ht="15.75" hidden="false" customHeight="false" outlineLevel="0" collapsed="false">
      <c r="A6035" s="6" t="n">
        <v>46179</v>
      </c>
      <c r="B6035" s="4" t="s">
        <v>4172</v>
      </c>
      <c r="C6035" s="4" t="n">
        <v>4</v>
      </c>
      <c r="D6035" s="4" t="n">
        <v>13</v>
      </c>
      <c r="E6035" s="4" t="s">
        <v>4612</v>
      </c>
      <c r="F6035" s="4" t="n">
        <v>13</v>
      </c>
      <c r="G6035" s="4" t="n">
        <v>7</v>
      </c>
      <c r="H6035" s="4" t="n">
        <v>4</v>
      </c>
      <c r="I6035" s="4" t="str">
        <v>×</v>
      </c>
      <c r="J6035" s="4"/>
      <c r="K6035" s="4"/>
      <c r="L6035" s="4"/>
      <c r="M6035" s="5" t="s">
        <v>4475</v>
      </c>
    </row>
    <row r="6036" customFormat="false" ht="15.75" hidden="false" customHeight="false" outlineLevel="0" collapsed="false">
      <c r="A6036" s="6" t="n">
        <v>46179</v>
      </c>
      <c r="B6036" s="4" t="s">
        <v>4172</v>
      </c>
      <c r="C6036" s="4" t="n">
        <v>4</v>
      </c>
      <c r="D6036" s="4" t="n">
        <v>14</v>
      </c>
      <c r="E6036" s="4" t="s">
        <v>1580</v>
      </c>
      <c r="F6036" s="4" t="n">
        <v>4</v>
      </c>
      <c r="G6036" s="4" t="n">
        <v>11</v>
      </c>
      <c r="H6036" s="4" t="n">
        <v>4</v>
      </c>
      <c r="I6036" s="4" t="str">
        <v>×</v>
      </c>
      <c r="J6036" s="4"/>
      <c r="K6036" s="4"/>
      <c r="L6036" s="4"/>
      <c r="M6036" s="5" t="s">
        <v>4475</v>
      </c>
    </row>
    <row r="6037" customFormat="false" ht="15.75" hidden="false" customHeight="false" outlineLevel="0" collapsed="false">
      <c r="A6037" s="6" t="n">
        <v>46179</v>
      </c>
      <c r="B6037" s="4" t="s">
        <v>4172</v>
      </c>
      <c r="C6037" s="4" t="n">
        <v>4</v>
      </c>
      <c r="D6037" s="4" t="n">
        <v>15</v>
      </c>
      <c r="E6037" s="4" t="s">
        <v>1571</v>
      </c>
      <c r="F6037" s="4" t="n">
        <v>44</v>
      </c>
      <c r="G6037" s="4" t="n">
        <v>3</v>
      </c>
      <c r="H6037" s="4" t="n">
        <v>3</v>
      </c>
      <c r="I6037" s="4" t="str">
        <v>○</v>
      </c>
      <c r="J6037" s="4" t="n">
        <v>140</v>
      </c>
      <c r="K6037" s="4"/>
      <c r="L6037" s="4"/>
      <c r="M6037" s="5" t="s">
        <v>4475</v>
      </c>
    </row>
    <row r="6038" customFormat="false" ht="15.75" hidden="false" customHeight="false" outlineLevel="0" collapsed="false">
      <c r="A6038" s="6" t="n">
        <v>46179</v>
      </c>
      <c r="B6038" s="4" t="s">
        <v>4172</v>
      </c>
      <c r="C6038" s="4" t="n">
        <v>4</v>
      </c>
      <c r="D6038" s="4" t="n">
        <v>16</v>
      </c>
      <c r="E6038" s="4" t="s">
        <v>4613</v>
      </c>
      <c r="F6038" s="4" t="n">
        <v>4</v>
      </c>
      <c r="G6038" s="4" t="n">
        <v>11</v>
      </c>
      <c r="H6038" s="4" t="n">
        <v>4</v>
      </c>
      <c r="I6038" s="4" t="str">
        <v>×</v>
      </c>
      <c r="J6038" s="4"/>
      <c r="K6038" s="4"/>
      <c r="L6038" s="4"/>
      <c r="M6038" s="5" t="s">
        <v>4475</v>
      </c>
    </row>
    <row r="6039" customFormat="false" ht="15.75" hidden="false" customHeight="false" outlineLevel="0" collapsed="false">
      <c r="A6039" s="6" t="n">
        <v>46179</v>
      </c>
      <c r="B6039" s="4" t="s">
        <v>4172</v>
      </c>
      <c r="C6039" s="4" t="n">
        <v>5</v>
      </c>
      <c r="D6039" s="4" t="n">
        <v>1</v>
      </c>
      <c r="E6039" s="4" t="s">
        <v>4614</v>
      </c>
      <c r="F6039" s="4" t="n">
        <v>37</v>
      </c>
      <c r="G6039" s="4" t="n">
        <v>1</v>
      </c>
      <c r="H6039" s="4" t="n">
        <v>4</v>
      </c>
      <c r="I6039" s="4" t="str">
        <v>×</v>
      </c>
      <c r="J6039" s="4"/>
      <c r="K6039" s="4"/>
      <c r="L6039" s="4"/>
      <c r="M6039" s="5" t="s">
        <v>4475</v>
      </c>
    </row>
    <row r="6040" customFormat="false" ht="15.75" hidden="false" customHeight="false" outlineLevel="0" collapsed="false">
      <c r="A6040" s="6" t="n">
        <v>46179</v>
      </c>
      <c r="B6040" s="4" t="s">
        <v>4172</v>
      </c>
      <c r="C6040" s="4" t="n">
        <v>5</v>
      </c>
      <c r="D6040" s="4" t="n">
        <v>2</v>
      </c>
      <c r="E6040" s="4" t="s">
        <v>4615</v>
      </c>
      <c r="F6040" s="4" t="n">
        <v>37</v>
      </c>
      <c r="G6040" s="4" t="n">
        <v>1</v>
      </c>
      <c r="H6040" s="4" t="n">
        <v>4</v>
      </c>
      <c r="I6040" s="4" t="str">
        <v>×</v>
      </c>
      <c r="J6040" s="4"/>
      <c r="K6040" s="4"/>
      <c r="L6040" s="4"/>
      <c r="M6040" s="5" t="s">
        <v>4475</v>
      </c>
    </row>
    <row r="6041" customFormat="false" ht="15.75" hidden="false" customHeight="false" outlineLevel="0" collapsed="false">
      <c r="A6041" s="6" t="n">
        <v>46179</v>
      </c>
      <c r="B6041" s="4" t="s">
        <v>4172</v>
      </c>
      <c r="C6041" s="4" t="n">
        <v>5</v>
      </c>
      <c r="D6041" s="4" t="n">
        <v>3</v>
      </c>
      <c r="E6041" s="4" t="s">
        <v>1239</v>
      </c>
      <c r="F6041" s="4" t="n">
        <v>31</v>
      </c>
      <c r="G6041" s="4" t="n">
        <v>2</v>
      </c>
      <c r="H6041" s="4" t="n">
        <v>2</v>
      </c>
      <c r="I6041" s="4" t="str">
        <v>○</v>
      </c>
      <c r="J6041" s="4" t="n">
        <v>110</v>
      </c>
      <c r="K6041" s="4"/>
      <c r="L6041" s="4"/>
      <c r="M6041" s="5" t="s">
        <v>4475</v>
      </c>
    </row>
    <row r="6042" customFormat="false" ht="15.75" hidden="false" customHeight="false" outlineLevel="0" collapsed="false">
      <c r="A6042" s="6" t="n">
        <v>46179</v>
      </c>
      <c r="B6042" s="4" t="s">
        <v>4172</v>
      </c>
      <c r="C6042" s="4" t="n">
        <v>5</v>
      </c>
      <c r="D6042" s="4" t="n">
        <v>4</v>
      </c>
      <c r="E6042" s="4" t="s">
        <v>1905</v>
      </c>
      <c r="F6042" s="4" t="n">
        <v>24</v>
      </c>
      <c r="G6042" s="4" t="n">
        <v>3</v>
      </c>
      <c r="H6042" s="4" t="n">
        <v>4</v>
      </c>
      <c r="I6042" s="4" t="str">
        <v>×</v>
      </c>
      <c r="J6042" s="4"/>
      <c r="K6042" s="4"/>
      <c r="L6042" s="4"/>
      <c r="M6042" s="5" t="s">
        <v>4475</v>
      </c>
    </row>
    <row r="6043" customFormat="false" ht="15.75" hidden="false" customHeight="false" outlineLevel="0" collapsed="false">
      <c r="A6043" s="6" t="n">
        <v>46179</v>
      </c>
      <c r="B6043" s="4" t="s">
        <v>4172</v>
      </c>
      <c r="C6043" s="4" t="n">
        <v>5</v>
      </c>
      <c r="D6043" s="4" t="n">
        <v>5</v>
      </c>
      <c r="E6043" s="4" t="s">
        <v>4616</v>
      </c>
      <c r="F6043" s="4" t="n">
        <v>16</v>
      </c>
      <c r="G6043" s="4" t="n">
        <v>4</v>
      </c>
      <c r="H6043" s="4" t="n">
        <v>1</v>
      </c>
      <c r="I6043" s="4" t="str">
        <v>○</v>
      </c>
      <c r="J6043" s="4" t="n">
        <v>120</v>
      </c>
      <c r="K6043" s="4"/>
      <c r="L6043" s="4"/>
      <c r="M6043" s="5" t="s">
        <v>4475</v>
      </c>
    </row>
    <row r="6044" customFormat="false" ht="15.75" hidden="false" customHeight="false" outlineLevel="0" collapsed="false">
      <c r="A6044" s="6" t="n">
        <v>46179</v>
      </c>
      <c r="B6044" s="4" t="s">
        <v>4172</v>
      </c>
      <c r="C6044" s="4" t="n">
        <v>5</v>
      </c>
      <c r="D6044" s="4" t="n">
        <v>6</v>
      </c>
      <c r="E6044" s="4" t="s">
        <v>4617</v>
      </c>
      <c r="F6044" s="4" t="n">
        <v>31</v>
      </c>
      <c r="G6044" s="4" t="n">
        <v>2</v>
      </c>
      <c r="H6044" s="4" t="n">
        <v>3</v>
      </c>
      <c r="I6044" s="4" t="str">
        <v>○</v>
      </c>
      <c r="J6044" s="4"/>
      <c r="K6044" s="4"/>
      <c r="L6044" s="4"/>
      <c r="M6044" s="5" t="s">
        <v>4475</v>
      </c>
    </row>
    <row r="6045" customFormat="false" ht="15.75" hidden="false" customHeight="false" outlineLevel="0" collapsed="false">
      <c r="A6045" s="6" t="n">
        <v>46179</v>
      </c>
      <c r="B6045" s="4" t="s">
        <v>4172</v>
      </c>
      <c r="C6045" s="4" t="n">
        <v>6</v>
      </c>
      <c r="D6045" s="4" t="n">
        <v>1</v>
      </c>
      <c r="E6045" s="4" t="s">
        <v>4618</v>
      </c>
      <c r="F6045" s="4" t="n">
        <v>13</v>
      </c>
      <c r="G6045" s="4" t="n">
        <v>5</v>
      </c>
      <c r="H6045" s="4" t="n">
        <v>4</v>
      </c>
      <c r="I6045" s="4" t="str">
        <v>×</v>
      </c>
      <c r="J6045" s="4"/>
      <c r="K6045" s="4"/>
      <c r="L6045" s="4"/>
      <c r="M6045" s="5" t="s">
        <v>4475</v>
      </c>
    </row>
    <row r="6046" customFormat="false" ht="15.75" hidden="false" customHeight="false" outlineLevel="0" collapsed="false">
      <c r="A6046" s="6" t="n">
        <v>46179</v>
      </c>
      <c r="B6046" s="4" t="s">
        <v>4172</v>
      </c>
      <c r="C6046" s="4" t="n">
        <v>6</v>
      </c>
      <c r="D6046" s="4" t="n">
        <v>2</v>
      </c>
      <c r="E6046" s="4" t="s">
        <v>4619</v>
      </c>
      <c r="F6046" s="4" t="n">
        <v>2</v>
      </c>
      <c r="G6046" s="4" t="n">
        <v>10</v>
      </c>
      <c r="H6046" s="4" t="n">
        <v>4</v>
      </c>
      <c r="I6046" s="4" t="str">
        <v>×</v>
      </c>
      <c r="J6046" s="4"/>
      <c r="K6046" s="4"/>
      <c r="L6046" s="4"/>
      <c r="M6046" s="5" t="s">
        <v>4475</v>
      </c>
    </row>
    <row r="6047" customFormat="false" ht="15.75" hidden="false" customHeight="false" outlineLevel="0" collapsed="false">
      <c r="A6047" s="6" t="n">
        <v>46179</v>
      </c>
      <c r="B6047" s="4" t="s">
        <v>4172</v>
      </c>
      <c r="C6047" s="4" t="n">
        <v>6</v>
      </c>
      <c r="D6047" s="4" t="n">
        <v>3</v>
      </c>
      <c r="E6047" s="4" t="s">
        <v>4620</v>
      </c>
      <c r="F6047" s="4" t="n">
        <v>23</v>
      </c>
      <c r="G6047" s="4" t="n">
        <v>3</v>
      </c>
      <c r="H6047" s="4" t="n">
        <v>4</v>
      </c>
      <c r="I6047" s="4" t="str">
        <v>×</v>
      </c>
      <c r="J6047" s="4"/>
      <c r="K6047" s="4"/>
      <c r="L6047" s="4"/>
      <c r="M6047" s="5" t="s">
        <v>4475</v>
      </c>
    </row>
    <row r="6048" customFormat="false" ht="15.75" hidden="false" customHeight="false" outlineLevel="0" collapsed="false">
      <c r="A6048" s="6" t="n">
        <v>46179</v>
      </c>
      <c r="B6048" s="4" t="s">
        <v>4172</v>
      </c>
      <c r="C6048" s="4" t="n">
        <v>6</v>
      </c>
      <c r="D6048" s="4" t="n">
        <v>4</v>
      </c>
      <c r="E6048" s="4" t="s">
        <v>4621</v>
      </c>
      <c r="F6048" s="4" t="n">
        <v>1</v>
      </c>
      <c r="G6048" s="4" t="n">
        <v>11</v>
      </c>
      <c r="H6048" s="4" t="n">
        <v>4</v>
      </c>
      <c r="I6048" s="4" t="str">
        <v>×</v>
      </c>
      <c r="J6048" s="4"/>
      <c r="K6048" s="4"/>
      <c r="L6048" s="4"/>
      <c r="M6048" s="5" t="s">
        <v>4475</v>
      </c>
    </row>
    <row r="6049" customFormat="false" ht="15.75" hidden="false" customHeight="false" outlineLevel="0" collapsed="false">
      <c r="A6049" s="6" t="n">
        <v>46179</v>
      </c>
      <c r="B6049" s="4" t="s">
        <v>4172</v>
      </c>
      <c r="C6049" s="4" t="n">
        <v>6</v>
      </c>
      <c r="D6049" s="4" t="n">
        <v>5</v>
      </c>
      <c r="E6049" s="4" t="s">
        <v>4622</v>
      </c>
      <c r="F6049" s="4" t="n">
        <v>20</v>
      </c>
      <c r="G6049" s="4" t="n">
        <v>4</v>
      </c>
      <c r="H6049" s="4" t="n">
        <v>2</v>
      </c>
      <c r="I6049" s="4" t="str">
        <v>○</v>
      </c>
      <c r="J6049" s="4" t="n">
        <v>430</v>
      </c>
      <c r="K6049" s="4"/>
      <c r="L6049" s="4"/>
      <c r="M6049" s="5" t="s">
        <v>4475</v>
      </c>
    </row>
    <row r="6050" customFormat="false" ht="15.75" hidden="false" customHeight="false" outlineLevel="0" collapsed="false">
      <c r="A6050" s="6" t="n">
        <v>46179</v>
      </c>
      <c r="B6050" s="4" t="s">
        <v>4172</v>
      </c>
      <c r="C6050" s="4" t="n">
        <v>6</v>
      </c>
      <c r="D6050" s="4" t="n">
        <v>6</v>
      </c>
      <c r="E6050" s="4" t="s">
        <v>2062</v>
      </c>
      <c r="F6050" s="4" t="n">
        <v>20</v>
      </c>
      <c r="G6050" s="4" t="n">
        <v>4</v>
      </c>
      <c r="H6050" s="4" t="n">
        <v>4</v>
      </c>
      <c r="I6050" s="4" t="str">
        <v>×</v>
      </c>
      <c r="J6050" s="4"/>
      <c r="K6050" s="4"/>
      <c r="L6050" s="4"/>
      <c r="M6050" s="5" t="s">
        <v>4475</v>
      </c>
    </row>
    <row r="6051" customFormat="false" ht="15.75" hidden="false" customHeight="false" outlineLevel="0" collapsed="false">
      <c r="A6051" s="6" t="n">
        <v>46179</v>
      </c>
      <c r="B6051" s="4" t="s">
        <v>4172</v>
      </c>
      <c r="C6051" s="4" t="n">
        <v>6</v>
      </c>
      <c r="D6051" s="4" t="n">
        <v>7</v>
      </c>
      <c r="E6051" s="4" t="s">
        <v>1627</v>
      </c>
      <c r="F6051" s="4" t="n">
        <v>3</v>
      </c>
      <c r="G6051" s="4" t="n">
        <v>9</v>
      </c>
      <c r="H6051" s="4" t="n">
        <v>4</v>
      </c>
      <c r="I6051" s="4" t="str">
        <v>×</v>
      </c>
      <c r="J6051" s="4"/>
      <c r="K6051" s="4"/>
      <c r="L6051" s="4"/>
      <c r="M6051" s="5" t="s">
        <v>4475</v>
      </c>
    </row>
    <row r="6052" customFormat="false" ht="15.75" hidden="false" customHeight="false" outlineLevel="0" collapsed="false">
      <c r="A6052" s="6" t="n">
        <v>46179</v>
      </c>
      <c r="B6052" s="4" t="s">
        <v>4172</v>
      </c>
      <c r="C6052" s="4" t="n">
        <v>6</v>
      </c>
      <c r="D6052" s="4" t="n">
        <v>8</v>
      </c>
      <c r="E6052" s="4" t="s">
        <v>4623</v>
      </c>
      <c r="F6052" s="4" t="n">
        <v>10</v>
      </c>
      <c r="G6052" s="4" t="n">
        <v>6</v>
      </c>
      <c r="H6052" s="4" t="n">
        <v>4</v>
      </c>
      <c r="I6052" s="4" t="str">
        <v>×</v>
      </c>
      <c r="J6052" s="4"/>
      <c r="K6052" s="4"/>
      <c r="L6052" s="4"/>
      <c r="M6052" s="5" t="s">
        <v>4475</v>
      </c>
    </row>
    <row r="6053" customFormat="false" ht="15.75" hidden="false" customHeight="false" outlineLevel="0" collapsed="false">
      <c r="A6053" s="6" t="n">
        <v>46179</v>
      </c>
      <c r="B6053" s="4" t="s">
        <v>4172</v>
      </c>
      <c r="C6053" s="4" t="n">
        <v>6</v>
      </c>
      <c r="D6053" s="4" t="n">
        <v>9</v>
      </c>
      <c r="E6053" s="4" t="s">
        <v>2950</v>
      </c>
      <c r="F6053" s="4" t="n">
        <v>81</v>
      </c>
      <c r="G6053" s="4" t="n">
        <v>1</v>
      </c>
      <c r="H6053" s="4" t="n">
        <v>3</v>
      </c>
      <c r="I6053" s="4" t="str">
        <v>○</v>
      </c>
      <c r="J6053" s="4" t="n">
        <v>110</v>
      </c>
      <c r="K6053" s="4"/>
      <c r="L6053" s="4"/>
      <c r="M6053" s="5" t="s">
        <v>4475</v>
      </c>
    </row>
    <row r="6054" customFormat="false" ht="15.75" hidden="false" customHeight="false" outlineLevel="0" collapsed="false">
      <c r="A6054" s="6" t="n">
        <v>46179</v>
      </c>
      <c r="B6054" s="4" t="s">
        <v>4172</v>
      </c>
      <c r="C6054" s="4" t="n">
        <v>6</v>
      </c>
      <c r="D6054" s="4" t="n">
        <v>10</v>
      </c>
      <c r="E6054" s="4" t="s">
        <v>4624</v>
      </c>
      <c r="F6054" s="4" t="n">
        <v>8</v>
      </c>
      <c r="G6054" s="4" t="n">
        <v>7</v>
      </c>
      <c r="H6054" s="4" t="n">
        <v>4</v>
      </c>
      <c r="I6054" s="4" t="str">
        <v>×</v>
      </c>
      <c r="J6054" s="4"/>
      <c r="K6054" s="4"/>
      <c r="L6054" s="4"/>
      <c r="M6054" s="5" t="s">
        <v>4475</v>
      </c>
    </row>
    <row r="6055" customFormat="false" ht="15.75" hidden="false" customHeight="false" outlineLevel="0" collapsed="false">
      <c r="A6055" s="6" t="n">
        <v>46179</v>
      </c>
      <c r="B6055" s="4" t="s">
        <v>4172</v>
      </c>
      <c r="C6055" s="4" t="n">
        <v>6</v>
      </c>
      <c r="D6055" s="4" t="n">
        <v>11</v>
      </c>
      <c r="E6055" s="4" t="s">
        <v>4625</v>
      </c>
      <c r="F6055" s="4" t="n">
        <v>8</v>
      </c>
      <c r="G6055" s="4" t="n">
        <v>7</v>
      </c>
      <c r="H6055" s="4" t="n">
        <v>4</v>
      </c>
      <c r="I6055" s="4" t="str">
        <v>×</v>
      </c>
      <c r="J6055" s="4"/>
      <c r="K6055" s="4"/>
      <c r="L6055" s="4"/>
      <c r="M6055" s="5" t="s">
        <v>4475</v>
      </c>
    </row>
    <row r="6056" customFormat="false" ht="15.75" hidden="false" customHeight="false" outlineLevel="0" collapsed="false">
      <c r="A6056" s="6" t="n">
        <v>46179</v>
      </c>
      <c r="B6056" s="4" t="s">
        <v>4172</v>
      </c>
      <c r="C6056" s="4" t="n">
        <v>6</v>
      </c>
      <c r="D6056" s="4" t="n">
        <v>12</v>
      </c>
      <c r="E6056" s="4" t="s">
        <v>3613</v>
      </c>
      <c r="F6056" s="4" t="n">
        <v>13</v>
      </c>
      <c r="G6056" s="4" t="n">
        <v>5</v>
      </c>
      <c r="H6056" s="4" t="n">
        <v>4</v>
      </c>
      <c r="I6056" s="4" t="str">
        <v>×</v>
      </c>
      <c r="J6056" s="4"/>
      <c r="K6056" s="4"/>
      <c r="L6056" s="4"/>
      <c r="M6056" s="5" t="s">
        <v>4475</v>
      </c>
    </row>
    <row r="6057" customFormat="false" ht="15.75" hidden="false" customHeight="false" outlineLevel="0" collapsed="false">
      <c r="A6057" s="6" t="n">
        <v>46179</v>
      </c>
      <c r="B6057" s="4" t="s">
        <v>4172</v>
      </c>
      <c r="C6057" s="4" t="n">
        <v>6</v>
      </c>
      <c r="D6057" s="4" t="n">
        <v>13</v>
      </c>
      <c r="E6057" s="4" t="s">
        <v>4626</v>
      </c>
      <c r="F6057" s="4" t="n">
        <v>8</v>
      </c>
      <c r="G6057" s="4" t="n">
        <v>7</v>
      </c>
      <c r="H6057" s="4" t="n">
        <v>4</v>
      </c>
      <c r="I6057" s="4" t="str">
        <v>×</v>
      </c>
      <c r="J6057" s="4"/>
      <c r="K6057" s="4"/>
      <c r="L6057" s="4"/>
      <c r="M6057" s="5" t="s">
        <v>4475</v>
      </c>
    </row>
    <row r="6058" customFormat="false" ht="15.75" hidden="false" customHeight="false" outlineLevel="0" collapsed="false">
      <c r="A6058" s="6" t="n">
        <v>46179</v>
      </c>
      <c r="B6058" s="4" t="s">
        <v>4172</v>
      </c>
      <c r="C6058" s="4" t="n">
        <v>6</v>
      </c>
      <c r="D6058" s="4" t="n">
        <v>14</v>
      </c>
      <c r="E6058" s="4" t="s">
        <v>3854</v>
      </c>
      <c r="F6058" s="4" t="n">
        <v>65</v>
      </c>
      <c r="G6058" s="4" t="n">
        <v>2</v>
      </c>
      <c r="H6058" s="4" t="n">
        <v>1</v>
      </c>
      <c r="I6058" s="4" t="str">
        <v>○</v>
      </c>
      <c r="J6058" s="4" t="n">
        <v>120</v>
      </c>
      <c r="K6058" s="4"/>
      <c r="L6058" s="4"/>
      <c r="M6058" s="5" t="s">
        <v>4475</v>
      </c>
    </row>
    <row r="6059" customFormat="false" ht="15.75" hidden="false" customHeight="false" outlineLevel="0" collapsed="false">
      <c r="A6059" s="6" t="n">
        <v>46179</v>
      </c>
      <c r="B6059" s="4" t="s">
        <v>4172</v>
      </c>
      <c r="C6059" s="4" t="n">
        <v>6</v>
      </c>
      <c r="D6059" s="4" t="n">
        <v>15</v>
      </c>
      <c r="E6059" s="4" t="s">
        <v>215</v>
      </c>
      <c r="F6059" s="4" t="n">
        <v>13</v>
      </c>
      <c r="G6059" s="4" t="n">
        <v>5</v>
      </c>
      <c r="H6059" s="4" t="n">
        <v>4</v>
      </c>
      <c r="I6059" s="4" t="str">
        <v>×</v>
      </c>
      <c r="J6059" s="4"/>
      <c r="K6059" s="4"/>
      <c r="L6059" s="4"/>
      <c r="M6059" s="5" t="s">
        <v>4475</v>
      </c>
    </row>
    <row r="6060" customFormat="false" ht="15.75" hidden="false" customHeight="false" outlineLevel="0" collapsed="false">
      <c r="A6060" s="6" t="n">
        <v>46179</v>
      </c>
      <c r="B6060" s="4" t="s">
        <v>4172</v>
      </c>
      <c r="C6060" s="4" t="n">
        <v>6</v>
      </c>
      <c r="D6060" s="4" t="n">
        <v>16</v>
      </c>
      <c r="E6060" s="4" t="s">
        <v>4627</v>
      </c>
      <c r="F6060" s="4" t="n">
        <v>4</v>
      </c>
      <c r="G6060" s="4" t="n">
        <v>8</v>
      </c>
      <c r="H6060" s="4" t="n">
        <v>4</v>
      </c>
      <c r="I6060" s="4" t="str">
        <v>×</v>
      </c>
      <c r="J6060" s="4"/>
      <c r="K6060" s="4"/>
      <c r="L6060" s="4"/>
      <c r="M6060" s="5" t="s">
        <v>4475</v>
      </c>
    </row>
    <row r="6061" customFormat="false" ht="15.75" hidden="false" customHeight="false" outlineLevel="0" collapsed="false">
      <c r="A6061" s="6" t="n">
        <v>46179</v>
      </c>
      <c r="B6061" s="4" t="s">
        <v>4172</v>
      </c>
      <c r="C6061" s="4" t="n">
        <v>7</v>
      </c>
      <c r="D6061" s="4" t="n">
        <v>1</v>
      </c>
      <c r="E6061" s="4" t="s">
        <v>4628</v>
      </c>
      <c r="F6061" s="4" t="n">
        <v>17</v>
      </c>
      <c r="G6061" s="4" t="n">
        <v>5</v>
      </c>
      <c r="H6061" s="4" t="n">
        <v>4</v>
      </c>
      <c r="I6061" s="4" t="str">
        <v>×</v>
      </c>
      <c r="J6061" s="4"/>
      <c r="K6061" s="4"/>
      <c r="L6061" s="4"/>
      <c r="M6061" s="5" t="s">
        <v>4475</v>
      </c>
    </row>
    <row r="6062" customFormat="false" ht="15.75" hidden="false" customHeight="false" outlineLevel="0" collapsed="false">
      <c r="A6062" s="6" t="n">
        <v>46179</v>
      </c>
      <c r="B6062" s="4" t="s">
        <v>4172</v>
      </c>
      <c r="C6062" s="4" t="n">
        <v>7</v>
      </c>
      <c r="D6062" s="4" t="n">
        <v>2</v>
      </c>
      <c r="E6062" s="4" t="s">
        <v>3979</v>
      </c>
      <c r="F6062" s="4" t="n">
        <v>81</v>
      </c>
      <c r="G6062" s="4" t="n">
        <v>1</v>
      </c>
      <c r="H6062" s="4" t="n">
        <v>4</v>
      </c>
      <c r="I6062" s="4" t="str">
        <v>×</v>
      </c>
      <c r="J6062" s="4"/>
      <c r="K6062" s="4"/>
      <c r="L6062" s="4"/>
      <c r="M6062" s="5" t="s">
        <v>4475</v>
      </c>
    </row>
    <row r="6063" customFormat="false" ht="15.75" hidden="false" customHeight="false" outlineLevel="0" collapsed="false">
      <c r="A6063" s="6" t="n">
        <v>46179</v>
      </c>
      <c r="B6063" s="4" t="s">
        <v>4172</v>
      </c>
      <c r="C6063" s="4" t="n">
        <v>7</v>
      </c>
      <c r="D6063" s="4" t="n">
        <v>3</v>
      </c>
      <c r="E6063" s="4" t="s">
        <v>4629</v>
      </c>
      <c r="F6063" s="4" t="n">
        <v>3</v>
      </c>
      <c r="G6063" s="4" t="n">
        <v>11</v>
      </c>
      <c r="H6063" s="4" t="n">
        <v>2</v>
      </c>
      <c r="I6063" s="4" t="str">
        <v>○</v>
      </c>
      <c r="J6063" s="4" t="n">
        <v>2550</v>
      </c>
      <c r="K6063" s="4"/>
      <c r="L6063" s="4"/>
      <c r="M6063" s="5" t="s">
        <v>4475</v>
      </c>
    </row>
    <row r="6064" customFormat="false" ht="15.75" hidden="false" customHeight="false" outlineLevel="0" collapsed="false">
      <c r="A6064" s="6" t="n">
        <v>46179</v>
      </c>
      <c r="B6064" s="4" t="s">
        <v>4172</v>
      </c>
      <c r="C6064" s="4" t="n">
        <v>7</v>
      </c>
      <c r="D6064" s="4" t="n">
        <v>4</v>
      </c>
      <c r="E6064" s="4" t="s">
        <v>3439</v>
      </c>
      <c r="F6064" s="4" t="n">
        <v>8</v>
      </c>
      <c r="G6064" s="4" t="n">
        <v>8</v>
      </c>
      <c r="H6064" s="4" t="n">
        <v>4</v>
      </c>
      <c r="I6064" s="4" t="str">
        <v>×</v>
      </c>
      <c r="J6064" s="4"/>
      <c r="K6064" s="4"/>
      <c r="L6064" s="4"/>
      <c r="M6064" s="5" t="s">
        <v>4475</v>
      </c>
    </row>
    <row r="6065" customFormat="false" ht="15.75" hidden="false" customHeight="false" outlineLevel="0" collapsed="false">
      <c r="A6065" s="6" t="n">
        <v>46179</v>
      </c>
      <c r="B6065" s="4" t="s">
        <v>4172</v>
      </c>
      <c r="C6065" s="4" t="n">
        <v>7</v>
      </c>
      <c r="D6065" s="4" t="n">
        <v>5</v>
      </c>
      <c r="E6065" s="4" t="s">
        <v>4630</v>
      </c>
      <c r="F6065" s="4" t="n">
        <v>13</v>
      </c>
      <c r="G6065" s="4" t="n">
        <v>6</v>
      </c>
      <c r="H6065" s="4" t="n">
        <v>1</v>
      </c>
      <c r="I6065" s="4" t="str">
        <v>○</v>
      </c>
      <c r="J6065" s="4" t="n">
        <v>800</v>
      </c>
      <c r="K6065" s="4"/>
      <c r="L6065" s="4"/>
      <c r="M6065" s="5" t="s">
        <v>4475</v>
      </c>
    </row>
    <row r="6066" customFormat="false" ht="15.75" hidden="false" customHeight="false" outlineLevel="0" collapsed="false">
      <c r="A6066" s="6" t="n">
        <v>46179</v>
      </c>
      <c r="B6066" s="4" t="s">
        <v>4172</v>
      </c>
      <c r="C6066" s="4" t="n">
        <v>7</v>
      </c>
      <c r="D6066" s="4" t="n">
        <v>6</v>
      </c>
      <c r="E6066" s="4" t="s">
        <v>2436</v>
      </c>
      <c r="F6066" s="4" t="n">
        <v>4</v>
      </c>
      <c r="G6066" s="4" t="n">
        <v>10</v>
      </c>
      <c r="H6066" s="4" t="n">
        <v>4</v>
      </c>
      <c r="I6066" s="4" t="str">
        <v>×</v>
      </c>
      <c r="J6066" s="4"/>
      <c r="K6066" s="4"/>
      <c r="L6066" s="4"/>
      <c r="M6066" s="5" t="s">
        <v>4475</v>
      </c>
    </row>
    <row r="6067" customFormat="false" ht="15.75" hidden="false" customHeight="false" outlineLevel="0" collapsed="false">
      <c r="A6067" s="6" t="n">
        <v>46179</v>
      </c>
      <c r="B6067" s="4" t="s">
        <v>4172</v>
      </c>
      <c r="C6067" s="4" t="n">
        <v>7</v>
      </c>
      <c r="D6067" s="4" t="n">
        <v>7</v>
      </c>
      <c r="E6067" s="4" t="s">
        <v>4631</v>
      </c>
      <c r="F6067" s="4" t="n">
        <v>8</v>
      </c>
      <c r="G6067" s="4" t="n">
        <v>8</v>
      </c>
      <c r="H6067" s="4" t="n">
        <v>4</v>
      </c>
      <c r="I6067" s="4" t="str">
        <v>×</v>
      </c>
      <c r="J6067" s="4"/>
      <c r="K6067" s="4"/>
      <c r="L6067" s="4"/>
      <c r="M6067" s="5" t="s">
        <v>4475</v>
      </c>
    </row>
    <row r="6068" customFormat="false" ht="15.75" hidden="false" customHeight="false" outlineLevel="0" collapsed="false">
      <c r="A6068" s="6" t="n">
        <v>46179</v>
      </c>
      <c r="B6068" s="4" t="s">
        <v>4172</v>
      </c>
      <c r="C6068" s="4" t="n">
        <v>7</v>
      </c>
      <c r="D6068" s="4" t="n">
        <v>8</v>
      </c>
      <c r="E6068" s="4" t="s">
        <v>2096</v>
      </c>
      <c r="F6068" s="4" t="n">
        <v>3</v>
      </c>
      <c r="G6068" s="4" t="n">
        <v>11</v>
      </c>
      <c r="H6068" s="4" t="n">
        <v>4</v>
      </c>
      <c r="I6068" s="4" t="str">
        <v>×</v>
      </c>
      <c r="J6068" s="4"/>
      <c r="K6068" s="4"/>
      <c r="L6068" s="4"/>
      <c r="M6068" s="5" t="s">
        <v>4475</v>
      </c>
    </row>
    <row r="6069" customFormat="false" ht="15.75" hidden="false" customHeight="false" outlineLevel="0" collapsed="false">
      <c r="A6069" s="6" t="n">
        <v>46179</v>
      </c>
      <c r="B6069" s="4" t="s">
        <v>4172</v>
      </c>
      <c r="C6069" s="4" t="n">
        <v>7</v>
      </c>
      <c r="D6069" s="4" t="n">
        <v>9</v>
      </c>
      <c r="E6069" s="4" t="s">
        <v>1168</v>
      </c>
      <c r="F6069" s="4" t="n">
        <v>25</v>
      </c>
      <c r="G6069" s="4" t="n">
        <v>3</v>
      </c>
      <c r="H6069" s="4" t="n">
        <v>4</v>
      </c>
      <c r="I6069" s="4" t="str">
        <v>×</v>
      </c>
      <c r="J6069" s="4"/>
      <c r="K6069" s="4"/>
      <c r="L6069" s="4"/>
      <c r="M6069" s="5" t="s">
        <v>4475</v>
      </c>
    </row>
    <row r="6070" customFormat="false" ht="15.75" hidden="false" customHeight="false" outlineLevel="0" collapsed="false">
      <c r="A6070" s="6" t="n">
        <v>46179</v>
      </c>
      <c r="B6070" s="4" t="s">
        <v>4172</v>
      </c>
      <c r="C6070" s="4" t="n">
        <v>7</v>
      </c>
      <c r="D6070" s="4" t="n">
        <v>10</v>
      </c>
      <c r="E6070" s="4" t="s">
        <v>310</v>
      </c>
      <c r="F6070" s="4" t="n">
        <v>10</v>
      </c>
      <c r="G6070" s="4" t="n">
        <v>7</v>
      </c>
      <c r="H6070" s="4" t="n">
        <v>4</v>
      </c>
      <c r="I6070" s="4" t="str">
        <v>×</v>
      </c>
      <c r="J6070" s="4"/>
      <c r="K6070" s="4"/>
      <c r="L6070" s="4"/>
      <c r="M6070" s="5" t="s">
        <v>4475</v>
      </c>
    </row>
    <row r="6071" customFormat="false" ht="15.75" hidden="false" customHeight="false" outlineLevel="0" collapsed="false">
      <c r="A6071" s="6" t="n">
        <v>46179</v>
      </c>
      <c r="B6071" s="4" t="s">
        <v>4172</v>
      </c>
      <c r="C6071" s="4" t="n">
        <v>7</v>
      </c>
      <c r="D6071" s="4" t="n">
        <v>11</v>
      </c>
      <c r="E6071" s="4" t="s">
        <v>4632</v>
      </c>
      <c r="F6071" s="4" t="n">
        <v>31</v>
      </c>
      <c r="G6071" s="4" t="n">
        <v>2</v>
      </c>
      <c r="H6071" s="4" t="n">
        <v>4</v>
      </c>
      <c r="I6071" s="4" t="str">
        <v>×</v>
      </c>
      <c r="J6071" s="4"/>
      <c r="K6071" s="4"/>
      <c r="L6071" s="4"/>
      <c r="M6071" s="5" t="s">
        <v>4475</v>
      </c>
    </row>
    <row r="6072" customFormat="false" ht="15.75" hidden="false" customHeight="false" outlineLevel="0" collapsed="false">
      <c r="A6072" s="6" t="n">
        <v>46179</v>
      </c>
      <c r="B6072" s="4" t="s">
        <v>4172</v>
      </c>
      <c r="C6072" s="4" t="n">
        <v>7</v>
      </c>
      <c r="D6072" s="4" t="n">
        <v>12</v>
      </c>
      <c r="E6072" s="4" t="s">
        <v>4633</v>
      </c>
      <c r="F6072" s="4" t="n">
        <v>1</v>
      </c>
      <c r="G6072" s="4" t="n">
        <v>12</v>
      </c>
      <c r="H6072" s="4" t="n">
        <v>4</v>
      </c>
      <c r="I6072" s="4" t="str">
        <v>×</v>
      </c>
      <c r="J6072" s="4"/>
      <c r="K6072" s="4"/>
      <c r="L6072" s="4"/>
      <c r="M6072" s="5" t="s">
        <v>4475</v>
      </c>
    </row>
    <row r="6073" customFormat="false" ht="15.75" hidden="false" customHeight="false" outlineLevel="0" collapsed="false">
      <c r="A6073" s="6" t="n">
        <v>46179</v>
      </c>
      <c r="B6073" s="4" t="s">
        <v>4172</v>
      </c>
      <c r="C6073" s="4" t="n">
        <v>7</v>
      </c>
      <c r="D6073" s="4" t="n">
        <v>13</v>
      </c>
      <c r="E6073" s="4" t="s">
        <v>4634</v>
      </c>
      <c r="F6073" s="4" t="n">
        <v>4</v>
      </c>
      <c r="G6073" s="4" t="n">
        <v>10</v>
      </c>
      <c r="H6073" s="4" t="n">
        <v>4</v>
      </c>
      <c r="I6073" s="4" t="str">
        <v>×</v>
      </c>
      <c r="J6073" s="4"/>
      <c r="K6073" s="4"/>
      <c r="L6073" s="4"/>
      <c r="M6073" s="5" t="s">
        <v>4475</v>
      </c>
    </row>
    <row r="6074" customFormat="false" ht="15.75" hidden="false" customHeight="false" outlineLevel="0" collapsed="false">
      <c r="A6074" s="6" t="n">
        <v>46179</v>
      </c>
      <c r="B6074" s="4" t="s">
        <v>4172</v>
      </c>
      <c r="C6074" s="4" t="n">
        <v>7</v>
      </c>
      <c r="D6074" s="4" t="n">
        <v>14</v>
      </c>
      <c r="E6074" s="4" t="s">
        <v>2475</v>
      </c>
      <c r="F6074" s="4" t="n">
        <v>20</v>
      </c>
      <c r="G6074" s="4" t="n">
        <v>4</v>
      </c>
      <c r="H6074" s="4" t="n">
        <v>3</v>
      </c>
      <c r="I6074" s="4" t="str">
        <v>○</v>
      </c>
      <c r="J6074" s="4" t="n">
        <v>830</v>
      </c>
      <c r="K6074" s="4"/>
      <c r="L6074" s="4"/>
      <c r="M6074" s="5" t="s">
        <v>4475</v>
      </c>
    </row>
    <row r="6075" customFormat="false" ht="15.75" hidden="false" customHeight="false" outlineLevel="0" collapsed="false">
      <c r="A6075" s="6" t="n">
        <v>46179</v>
      </c>
      <c r="B6075" s="4" t="s">
        <v>4172</v>
      </c>
      <c r="C6075" s="4" t="n">
        <v>7</v>
      </c>
      <c r="D6075" s="4" t="n">
        <v>15</v>
      </c>
      <c r="E6075" s="4" t="s">
        <v>3138</v>
      </c>
      <c r="F6075" s="4" t="n">
        <v>10</v>
      </c>
      <c r="G6075" s="4" t="n">
        <v>7</v>
      </c>
      <c r="H6075" s="4" t="n">
        <v>4</v>
      </c>
      <c r="I6075" s="4" t="str">
        <v>×</v>
      </c>
      <c r="J6075" s="4"/>
      <c r="K6075" s="4"/>
      <c r="L6075" s="4"/>
      <c r="M6075" s="5" t="s">
        <v>4475</v>
      </c>
    </row>
    <row r="6076" customFormat="false" ht="15.75" hidden="false" customHeight="false" outlineLevel="0" collapsed="false">
      <c r="A6076" s="6" t="n">
        <v>46179</v>
      </c>
      <c r="B6076" s="4" t="s">
        <v>4172</v>
      </c>
      <c r="C6076" s="4" t="n">
        <v>7</v>
      </c>
      <c r="D6076" s="4" t="n">
        <v>16</v>
      </c>
      <c r="E6076" s="4" t="s">
        <v>4635</v>
      </c>
      <c r="F6076" s="4" t="n">
        <v>6</v>
      </c>
      <c r="G6076" s="4" t="n">
        <v>9</v>
      </c>
      <c r="H6076" s="4" t="n">
        <v>4</v>
      </c>
      <c r="I6076" s="4" t="str">
        <v>×</v>
      </c>
      <c r="J6076" s="4"/>
      <c r="K6076" s="4"/>
      <c r="L6076" s="4"/>
      <c r="M6076" s="5" t="s">
        <v>4475</v>
      </c>
    </row>
    <row r="6077" customFormat="false" ht="15.75" hidden="false" customHeight="false" outlineLevel="0" collapsed="false">
      <c r="A6077" s="6" t="n">
        <v>46179</v>
      </c>
      <c r="B6077" s="4" t="s">
        <v>4172</v>
      </c>
      <c r="C6077" s="4" t="n">
        <v>7</v>
      </c>
      <c r="D6077" s="4" t="n">
        <v>17</v>
      </c>
      <c r="E6077" s="4" t="s">
        <v>3911</v>
      </c>
      <c r="F6077" s="4" t="n">
        <v>6</v>
      </c>
      <c r="G6077" s="4" t="n">
        <v>9</v>
      </c>
      <c r="H6077" s="4" t="n">
        <v>4</v>
      </c>
      <c r="I6077" s="4" t="str">
        <v>×</v>
      </c>
      <c r="J6077" s="4"/>
      <c r="K6077" s="4"/>
      <c r="L6077" s="4"/>
      <c r="M6077" s="5" t="s">
        <v>4475</v>
      </c>
    </row>
    <row r="6078" customFormat="false" ht="15.75" hidden="false" customHeight="false" outlineLevel="0" collapsed="false">
      <c r="A6078" s="6" t="n">
        <v>46179</v>
      </c>
      <c r="B6078" s="4" t="s">
        <v>4172</v>
      </c>
      <c r="C6078" s="4" t="n">
        <v>7</v>
      </c>
      <c r="D6078" s="4" t="n">
        <v>18</v>
      </c>
      <c r="E6078" s="4" t="s">
        <v>3432</v>
      </c>
      <c r="F6078" s="4" t="n">
        <v>10</v>
      </c>
      <c r="G6078" s="4" t="n">
        <v>7</v>
      </c>
      <c r="H6078" s="4" t="n">
        <v>4</v>
      </c>
      <c r="I6078" s="4" t="str">
        <v>×</v>
      </c>
      <c r="J6078" s="4"/>
      <c r="K6078" s="4"/>
      <c r="L6078" s="4"/>
      <c r="M6078" s="5" t="s">
        <v>4475</v>
      </c>
    </row>
    <row r="6079" customFormat="false" ht="15.75" hidden="false" customHeight="false" outlineLevel="0" collapsed="false">
      <c r="A6079" s="6" t="n">
        <v>46179</v>
      </c>
      <c r="B6079" s="4" t="s">
        <v>4172</v>
      </c>
      <c r="C6079" s="4" t="n">
        <v>8</v>
      </c>
      <c r="D6079" s="4" t="n">
        <v>1</v>
      </c>
      <c r="E6079" s="4" t="s">
        <v>2128</v>
      </c>
      <c r="F6079" s="4" t="n">
        <v>17</v>
      </c>
      <c r="G6079" s="4" t="n">
        <v>8</v>
      </c>
      <c r="H6079" s="4" t="n">
        <v>4</v>
      </c>
      <c r="I6079" s="4" t="str">
        <v>×</v>
      </c>
      <c r="J6079" s="4"/>
      <c r="K6079" s="4"/>
      <c r="L6079" s="4"/>
      <c r="M6079" s="5" t="s">
        <v>4475</v>
      </c>
    </row>
    <row r="6080" customFormat="false" ht="15.75" hidden="false" customHeight="false" outlineLevel="0" collapsed="false">
      <c r="A6080" s="6" t="n">
        <v>46179</v>
      </c>
      <c r="B6080" s="4" t="s">
        <v>4172</v>
      </c>
      <c r="C6080" s="4" t="n">
        <v>8</v>
      </c>
      <c r="D6080" s="4" t="n">
        <v>2</v>
      </c>
      <c r="E6080" s="4" t="s">
        <v>1179</v>
      </c>
      <c r="F6080" s="4" t="n">
        <v>34</v>
      </c>
      <c r="G6080" s="4" t="n">
        <v>5</v>
      </c>
      <c r="H6080" s="4" t="n">
        <v>4</v>
      </c>
      <c r="I6080" s="4" t="str">
        <v>×</v>
      </c>
      <c r="J6080" s="4"/>
      <c r="K6080" s="4"/>
      <c r="L6080" s="4"/>
      <c r="M6080" s="5" t="s">
        <v>4475</v>
      </c>
    </row>
    <row r="6081" customFormat="false" ht="15.75" hidden="false" customHeight="false" outlineLevel="0" collapsed="false">
      <c r="A6081" s="6" t="n">
        <v>46179</v>
      </c>
      <c r="B6081" s="4" t="s">
        <v>4172</v>
      </c>
      <c r="C6081" s="4" t="n">
        <v>8</v>
      </c>
      <c r="D6081" s="4" t="n">
        <v>3</v>
      </c>
      <c r="E6081" s="4" t="s">
        <v>1325</v>
      </c>
      <c r="F6081" s="4" t="n">
        <v>58</v>
      </c>
      <c r="G6081" s="4" t="n">
        <v>1</v>
      </c>
      <c r="H6081" s="4" t="n">
        <v>4</v>
      </c>
      <c r="I6081" s="4" t="str">
        <v>×</v>
      </c>
      <c r="J6081" s="4"/>
      <c r="K6081" s="4"/>
      <c r="L6081" s="4"/>
      <c r="M6081" s="5" t="s">
        <v>4475</v>
      </c>
    </row>
    <row r="6082" customFormat="false" ht="15.75" hidden="false" customHeight="false" outlineLevel="0" collapsed="false">
      <c r="A6082" s="6" t="n">
        <v>46179</v>
      </c>
      <c r="B6082" s="4" t="s">
        <v>4172</v>
      </c>
      <c r="C6082" s="4" t="n">
        <v>8</v>
      </c>
      <c r="D6082" s="4" t="n">
        <v>4</v>
      </c>
      <c r="E6082" s="4" t="s">
        <v>4401</v>
      </c>
      <c r="F6082" s="4" t="n">
        <v>44</v>
      </c>
      <c r="G6082" s="4" t="n">
        <v>3</v>
      </c>
      <c r="H6082" s="4" t="n">
        <v>4</v>
      </c>
      <c r="I6082" s="4" t="str">
        <v>×</v>
      </c>
      <c r="J6082" s="4"/>
      <c r="K6082" s="4"/>
      <c r="L6082" s="4"/>
      <c r="M6082" s="5" t="s">
        <v>4475</v>
      </c>
    </row>
    <row r="6083" customFormat="false" ht="15.75" hidden="false" customHeight="false" outlineLevel="0" collapsed="false">
      <c r="A6083" s="6" t="n">
        <v>46179</v>
      </c>
      <c r="B6083" s="4" t="s">
        <v>4172</v>
      </c>
      <c r="C6083" s="4" t="n">
        <v>8</v>
      </c>
      <c r="D6083" s="4" t="n">
        <v>5</v>
      </c>
      <c r="E6083" s="4" t="s">
        <v>4636</v>
      </c>
      <c r="F6083" s="4" t="n">
        <v>31</v>
      </c>
      <c r="G6083" s="4" t="n">
        <v>6</v>
      </c>
      <c r="H6083" s="4" t="n">
        <v>1</v>
      </c>
      <c r="I6083" s="4" t="str">
        <v>○</v>
      </c>
      <c r="J6083" s="4" t="n">
        <v>180</v>
      </c>
      <c r="K6083" s="4"/>
      <c r="L6083" s="4"/>
      <c r="M6083" s="5" t="s">
        <v>4475</v>
      </c>
    </row>
    <row r="6084" customFormat="false" ht="15.75" hidden="false" customHeight="false" outlineLevel="0" collapsed="false">
      <c r="A6084" s="6" t="n">
        <v>46179</v>
      </c>
      <c r="B6084" s="4" t="s">
        <v>4172</v>
      </c>
      <c r="C6084" s="4" t="n">
        <v>8</v>
      </c>
      <c r="D6084" s="4" t="n">
        <v>6</v>
      </c>
      <c r="E6084" s="4" t="s">
        <v>1235</v>
      </c>
      <c r="F6084" s="4" t="n">
        <v>31</v>
      </c>
      <c r="G6084" s="4" t="n">
        <v>6</v>
      </c>
      <c r="H6084" s="4" t="n">
        <v>4</v>
      </c>
      <c r="I6084" s="4" t="str">
        <v>×</v>
      </c>
      <c r="J6084" s="4"/>
      <c r="K6084" s="4"/>
      <c r="L6084" s="4"/>
      <c r="M6084" s="5" t="s">
        <v>4475</v>
      </c>
    </row>
    <row r="6085" customFormat="false" ht="15.75" hidden="false" customHeight="false" outlineLevel="0" collapsed="false">
      <c r="A6085" s="6" t="n">
        <v>46179</v>
      </c>
      <c r="B6085" s="4" t="s">
        <v>4172</v>
      </c>
      <c r="C6085" s="4" t="n">
        <v>8</v>
      </c>
      <c r="D6085" s="4" t="n">
        <v>7</v>
      </c>
      <c r="E6085" s="4" t="s">
        <v>4637</v>
      </c>
      <c r="F6085" s="4" t="n">
        <v>39</v>
      </c>
      <c r="G6085" s="4" t="n">
        <v>4</v>
      </c>
      <c r="H6085" s="4" t="n">
        <v>3</v>
      </c>
      <c r="I6085" s="4" t="str">
        <v>○</v>
      </c>
      <c r="J6085" s="4" t="n">
        <v>140</v>
      </c>
      <c r="K6085" s="4"/>
      <c r="L6085" s="4"/>
      <c r="M6085" s="5" t="s">
        <v>4475</v>
      </c>
    </row>
    <row r="6086" customFormat="false" ht="15.75" hidden="false" customHeight="false" outlineLevel="0" collapsed="false">
      <c r="A6086" s="6" t="n">
        <v>46179</v>
      </c>
      <c r="B6086" s="4" t="s">
        <v>4172</v>
      </c>
      <c r="C6086" s="4" t="n">
        <v>8</v>
      </c>
      <c r="D6086" s="4" t="n">
        <v>8</v>
      </c>
      <c r="E6086" s="4" t="s">
        <v>1173</v>
      </c>
      <c r="F6086" s="4" t="n">
        <v>47</v>
      </c>
      <c r="G6086" s="4" t="n">
        <v>2</v>
      </c>
      <c r="H6086" s="4" t="n">
        <v>2</v>
      </c>
      <c r="I6086" s="4" t="str">
        <v>○</v>
      </c>
      <c r="J6086" s="4" t="n">
        <v>170</v>
      </c>
      <c r="K6086" s="4"/>
      <c r="L6086" s="4"/>
      <c r="M6086" s="5" t="s">
        <v>4475</v>
      </c>
    </row>
    <row r="6087" customFormat="false" ht="15.75" hidden="false" customHeight="false" outlineLevel="0" collapsed="false">
      <c r="A6087" s="6" t="n">
        <v>46179</v>
      </c>
      <c r="B6087" s="4" t="s">
        <v>4172</v>
      </c>
      <c r="C6087" s="4" t="n">
        <v>8</v>
      </c>
      <c r="D6087" s="4" t="n">
        <v>9</v>
      </c>
      <c r="E6087" s="4" t="s">
        <v>1714</v>
      </c>
      <c r="F6087" s="4" t="n">
        <v>29</v>
      </c>
      <c r="G6087" s="4" t="n">
        <v>7</v>
      </c>
      <c r="H6087" s="4" t="n">
        <v>4</v>
      </c>
      <c r="I6087" s="4" t="str">
        <v>×</v>
      </c>
      <c r="J6087" s="4"/>
      <c r="K6087" s="4"/>
      <c r="L6087" s="4"/>
      <c r="M6087" s="5" t="s">
        <v>4475</v>
      </c>
    </row>
    <row r="6088" customFormat="false" ht="15.75" hidden="false" customHeight="false" outlineLevel="0" collapsed="false">
      <c r="A6088" s="6" t="n">
        <v>46179</v>
      </c>
      <c r="B6088" s="4" t="s">
        <v>4172</v>
      </c>
      <c r="C6088" s="4" t="n">
        <v>9</v>
      </c>
      <c r="D6088" s="4" t="n">
        <v>1</v>
      </c>
      <c r="E6088" s="4" t="s">
        <v>4638</v>
      </c>
      <c r="F6088" s="4" t="n">
        <v>29</v>
      </c>
      <c r="G6088" s="4" t="n">
        <v>4</v>
      </c>
      <c r="H6088" s="4" t="n">
        <v>4</v>
      </c>
      <c r="I6088" s="4" t="str">
        <v>×</v>
      </c>
      <c r="J6088" s="4"/>
      <c r="K6088" s="4"/>
      <c r="L6088" s="4"/>
      <c r="M6088" s="5" t="s">
        <v>4475</v>
      </c>
    </row>
    <row r="6089" customFormat="false" ht="15.75" hidden="false" customHeight="false" outlineLevel="0" collapsed="false">
      <c r="A6089" s="6" t="n">
        <v>46179</v>
      </c>
      <c r="B6089" s="4" t="s">
        <v>4172</v>
      </c>
      <c r="C6089" s="4" t="n">
        <v>9</v>
      </c>
      <c r="D6089" s="4" t="n">
        <v>2</v>
      </c>
      <c r="E6089" s="4" t="s">
        <v>1713</v>
      </c>
      <c r="F6089" s="4" t="n">
        <v>25</v>
      </c>
      <c r="G6089" s="4" t="n">
        <v>5</v>
      </c>
      <c r="H6089" s="4" t="n">
        <v>4</v>
      </c>
      <c r="I6089" s="4" t="str">
        <v>×</v>
      </c>
      <c r="J6089" s="4"/>
      <c r="K6089" s="4"/>
      <c r="L6089" s="4"/>
      <c r="M6089" s="5" t="s">
        <v>4475</v>
      </c>
    </row>
    <row r="6090" customFormat="false" ht="15.75" hidden="false" customHeight="false" outlineLevel="0" collapsed="false">
      <c r="A6090" s="6" t="n">
        <v>46179</v>
      </c>
      <c r="B6090" s="4" t="s">
        <v>4172</v>
      </c>
      <c r="C6090" s="4" t="n">
        <v>9</v>
      </c>
      <c r="D6090" s="4" t="n">
        <v>3</v>
      </c>
      <c r="E6090" s="4" t="s">
        <v>4639</v>
      </c>
      <c r="F6090" s="4" t="n">
        <v>66</v>
      </c>
      <c r="G6090" s="4" t="n">
        <v>1</v>
      </c>
      <c r="H6090" s="4" t="n">
        <v>1</v>
      </c>
      <c r="I6090" s="4" t="str">
        <v>○</v>
      </c>
      <c r="J6090" s="4" t="n">
        <v>110</v>
      </c>
      <c r="K6090" s="4"/>
      <c r="L6090" s="4"/>
      <c r="M6090" s="5" t="s">
        <v>4475</v>
      </c>
    </row>
    <row r="6091" customFormat="false" ht="15.75" hidden="false" customHeight="false" outlineLevel="0" collapsed="false">
      <c r="A6091" s="6" t="n">
        <v>46179</v>
      </c>
      <c r="B6091" s="4" t="s">
        <v>4172</v>
      </c>
      <c r="C6091" s="4" t="n">
        <v>9</v>
      </c>
      <c r="D6091" s="4" t="n">
        <v>4</v>
      </c>
      <c r="E6091" s="4" t="s">
        <v>277</v>
      </c>
      <c r="F6091" s="4" t="n">
        <v>65</v>
      </c>
      <c r="G6091" s="4" t="n">
        <v>2</v>
      </c>
      <c r="H6091" s="4" t="n">
        <v>2</v>
      </c>
      <c r="I6091" s="4" t="str">
        <v>○</v>
      </c>
      <c r="J6091" s="4" t="n">
        <v>110</v>
      </c>
      <c r="K6091" s="4"/>
      <c r="L6091" s="4"/>
      <c r="M6091" s="5" t="s">
        <v>4475</v>
      </c>
    </row>
    <row r="6092" customFormat="false" ht="15.75" hidden="false" customHeight="false" outlineLevel="0" collapsed="false">
      <c r="A6092" s="6" t="n">
        <v>46179</v>
      </c>
      <c r="B6092" s="4" t="s">
        <v>4172</v>
      </c>
      <c r="C6092" s="4" t="n">
        <v>9</v>
      </c>
      <c r="D6092" s="4" t="n">
        <v>5</v>
      </c>
      <c r="E6092" s="4" t="s">
        <v>4640</v>
      </c>
      <c r="F6092" s="4" t="n">
        <v>4</v>
      </c>
      <c r="G6092" s="4" t="n">
        <v>8</v>
      </c>
      <c r="H6092" s="4" t="n">
        <v>3</v>
      </c>
      <c r="I6092" s="4" t="str">
        <v>○</v>
      </c>
      <c r="J6092" s="4" t="n">
        <v>140</v>
      </c>
      <c r="K6092" s="4"/>
      <c r="L6092" s="4"/>
      <c r="M6092" s="5" t="s">
        <v>4475</v>
      </c>
    </row>
    <row r="6093" customFormat="false" ht="15.75" hidden="false" customHeight="false" outlineLevel="0" collapsed="false">
      <c r="A6093" s="6" t="n">
        <v>46179</v>
      </c>
      <c r="B6093" s="4" t="s">
        <v>4172</v>
      </c>
      <c r="C6093" s="4" t="n">
        <v>9</v>
      </c>
      <c r="D6093" s="4" t="n">
        <v>6</v>
      </c>
      <c r="E6093" s="4" t="s">
        <v>4641</v>
      </c>
      <c r="F6093" s="4" t="n">
        <v>34</v>
      </c>
      <c r="G6093" s="4" t="n">
        <v>3</v>
      </c>
      <c r="H6093" s="4" t="n">
        <v>4</v>
      </c>
      <c r="I6093" s="4" t="str">
        <v>×</v>
      </c>
      <c r="J6093" s="4"/>
      <c r="K6093" s="4"/>
      <c r="L6093" s="4"/>
      <c r="M6093" s="5" t="s">
        <v>4475</v>
      </c>
    </row>
    <row r="6094" customFormat="false" ht="15.75" hidden="false" customHeight="false" outlineLevel="0" collapsed="false">
      <c r="A6094" s="6" t="n">
        <v>46179</v>
      </c>
      <c r="B6094" s="4" t="s">
        <v>4172</v>
      </c>
      <c r="C6094" s="4" t="n">
        <v>9</v>
      </c>
      <c r="D6094" s="4" t="n">
        <v>7</v>
      </c>
      <c r="E6094" s="4" t="s">
        <v>4642</v>
      </c>
      <c r="F6094" s="4" t="n">
        <v>6</v>
      </c>
      <c r="G6094" s="4" t="n">
        <v>7</v>
      </c>
      <c r="H6094" s="4" t="n">
        <v>4</v>
      </c>
      <c r="I6094" s="4" t="str">
        <v>×</v>
      </c>
      <c r="J6094" s="4"/>
      <c r="K6094" s="4"/>
      <c r="L6094" s="4"/>
      <c r="M6094" s="5" t="s">
        <v>4475</v>
      </c>
    </row>
    <row r="6095" customFormat="false" ht="15.75" hidden="false" customHeight="false" outlineLevel="0" collapsed="false">
      <c r="A6095" s="6" t="n">
        <v>46179</v>
      </c>
      <c r="B6095" s="4" t="s">
        <v>4172</v>
      </c>
      <c r="C6095" s="4" t="n">
        <v>9</v>
      </c>
      <c r="D6095" s="4" t="n">
        <v>8</v>
      </c>
      <c r="E6095" s="4" t="s">
        <v>4643</v>
      </c>
      <c r="F6095" s="4" t="n">
        <v>6</v>
      </c>
      <c r="G6095" s="4" t="n">
        <v>7</v>
      </c>
      <c r="H6095" s="4" t="n">
        <v>4</v>
      </c>
      <c r="I6095" s="4" t="str">
        <v>×</v>
      </c>
      <c r="J6095" s="4"/>
      <c r="K6095" s="4"/>
      <c r="L6095" s="4"/>
      <c r="M6095" s="5" t="s">
        <v>4475</v>
      </c>
    </row>
    <row r="6096" customFormat="false" ht="15.75" hidden="false" customHeight="false" outlineLevel="0" collapsed="false">
      <c r="A6096" s="6" t="n">
        <v>46179</v>
      </c>
      <c r="B6096" s="4" t="s">
        <v>4172</v>
      </c>
      <c r="C6096" s="4" t="n">
        <v>9</v>
      </c>
      <c r="D6096" s="4" t="n">
        <v>9</v>
      </c>
      <c r="E6096" s="4" t="s">
        <v>4644</v>
      </c>
      <c r="F6096" s="4" t="n">
        <v>20</v>
      </c>
      <c r="G6096" s="4" t="n">
        <v>6</v>
      </c>
      <c r="H6096" s="4" t="n">
        <v>4</v>
      </c>
      <c r="I6096" s="4" t="str">
        <v>×</v>
      </c>
      <c r="J6096" s="4"/>
      <c r="K6096" s="4"/>
      <c r="L6096" s="4"/>
      <c r="M6096" s="5" t="s">
        <v>4475</v>
      </c>
    </row>
    <row r="6097" customFormat="false" ht="15.75" hidden="false" customHeight="false" outlineLevel="0" collapsed="false">
      <c r="A6097" s="6" t="n">
        <v>46179</v>
      </c>
      <c r="B6097" s="4" t="s">
        <v>4172</v>
      </c>
      <c r="C6097" s="4" t="n">
        <v>10</v>
      </c>
      <c r="D6097" s="4" t="n">
        <v>1</v>
      </c>
      <c r="E6097" s="4" t="s">
        <v>4221</v>
      </c>
      <c r="F6097" s="4" t="n">
        <v>39</v>
      </c>
      <c r="G6097" s="4" t="n">
        <v>3</v>
      </c>
      <c r="H6097" s="4" t="n">
        <v>4</v>
      </c>
      <c r="I6097" s="4" t="str">
        <v>×</v>
      </c>
      <c r="J6097" s="4"/>
      <c r="K6097" s="4"/>
      <c r="L6097" s="4"/>
      <c r="M6097" s="5" t="s">
        <v>4475</v>
      </c>
    </row>
    <row r="6098" customFormat="false" ht="15.75" hidden="false" customHeight="false" outlineLevel="0" collapsed="false">
      <c r="A6098" s="6" t="n">
        <v>46179</v>
      </c>
      <c r="B6098" s="4" t="s">
        <v>4172</v>
      </c>
      <c r="C6098" s="4" t="n">
        <v>10</v>
      </c>
      <c r="D6098" s="4" t="n">
        <v>2</v>
      </c>
      <c r="E6098" s="4" t="s">
        <v>4645</v>
      </c>
      <c r="F6098" s="4" t="n">
        <v>25</v>
      </c>
      <c r="G6098" s="4" t="n">
        <v>4</v>
      </c>
      <c r="H6098" s="4" t="n">
        <v>3</v>
      </c>
      <c r="I6098" s="4" t="str">
        <v>○</v>
      </c>
      <c r="J6098" s="4" t="n">
        <v>990</v>
      </c>
      <c r="K6098" s="4"/>
      <c r="L6098" s="4"/>
      <c r="M6098" s="5" t="s">
        <v>4475</v>
      </c>
    </row>
    <row r="6099" customFormat="false" ht="15.75" hidden="false" customHeight="false" outlineLevel="0" collapsed="false">
      <c r="A6099" s="6" t="n">
        <v>46179</v>
      </c>
      <c r="B6099" s="4" t="s">
        <v>4172</v>
      </c>
      <c r="C6099" s="4" t="n">
        <v>10</v>
      </c>
      <c r="D6099" s="4" t="n">
        <v>3</v>
      </c>
      <c r="E6099" s="4" t="s">
        <v>4646</v>
      </c>
      <c r="F6099" s="4" t="n">
        <v>4</v>
      </c>
      <c r="G6099" s="4" t="n">
        <v>9</v>
      </c>
      <c r="H6099" s="4" t="n">
        <v>4</v>
      </c>
      <c r="I6099" s="4" t="str">
        <v>×</v>
      </c>
      <c r="J6099" s="4"/>
      <c r="K6099" s="4"/>
      <c r="L6099" s="4"/>
      <c r="M6099" s="5" t="s">
        <v>4475</v>
      </c>
    </row>
    <row r="6100" customFormat="false" ht="15.75" hidden="false" customHeight="false" outlineLevel="0" collapsed="false">
      <c r="A6100" s="6" t="n">
        <v>46179</v>
      </c>
      <c r="B6100" s="4" t="s">
        <v>4172</v>
      </c>
      <c r="C6100" s="4" t="n">
        <v>10</v>
      </c>
      <c r="D6100" s="4" t="n">
        <v>4</v>
      </c>
      <c r="E6100" s="4" t="s">
        <v>4647</v>
      </c>
      <c r="F6100" s="4" t="n">
        <v>25</v>
      </c>
      <c r="G6100" s="4" t="n">
        <v>4</v>
      </c>
      <c r="H6100" s="4" t="n">
        <v>1</v>
      </c>
      <c r="I6100" s="4" t="str">
        <v>○</v>
      </c>
      <c r="J6100" s="4" t="n">
        <v>280</v>
      </c>
      <c r="K6100" s="4"/>
      <c r="L6100" s="4"/>
      <c r="M6100" s="5" t="s">
        <v>4475</v>
      </c>
    </row>
    <row r="6101" customFormat="false" ht="15.75" hidden="false" customHeight="false" outlineLevel="0" collapsed="false">
      <c r="A6101" s="6" t="n">
        <v>46179</v>
      </c>
      <c r="B6101" s="4" t="s">
        <v>4172</v>
      </c>
      <c r="C6101" s="4" t="n">
        <v>10</v>
      </c>
      <c r="D6101" s="4" t="n">
        <v>5</v>
      </c>
      <c r="E6101" s="4" t="s">
        <v>4648</v>
      </c>
      <c r="F6101" s="4" t="n">
        <v>50</v>
      </c>
      <c r="G6101" s="4" t="n">
        <v>2</v>
      </c>
      <c r="H6101" s="4" t="n">
        <v>4</v>
      </c>
      <c r="I6101" s="4" t="str">
        <v>×</v>
      </c>
      <c r="J6101" s="4"/>
      <c r="K6101" s="4"/>
      <c r="L6101" s="4"/>
      <c r="M6101" s="5" t="s">
        <v>4475</v>
      </c>
    </row>
    <row r="6102" customFormat="false" ht="15.75" hidden="false" customHeight="false" outlineLevel="0" collapsed="false">
      <c r="A6102" s="6" t="n">
        <v>46179</v>
      </c>
      <c r="B6102" s="4" t="s">
        <v>4172</v>
      </c>
      <c r="C6102" s="4" t="n">
        <v>10</v>
      </c>
      <c r="D6102" s="4" t="n">
        <v>6</v>
      </c>
      <c r="E6102" s="4" t="s">
        <v>3648</v>
      </c>
      <c r="F6102" s="4" t="n">
        <v>60</v>
      </c>
      <c r="G6102" s="4" t="n">
        <v>1</v>
      </c>
      <c r="H6102" s="4" t="n">
        <v>4</v>
      </c>
      <c r="I6102" s="4" t="str">
        <v>×</v>
      </c>
      <c r="J6102" s="4"/>
      <c r="K6102" s="4"/>
      <c r="L6102" s="4"/>
      <c r="M6102" s="5" t="s">
        <v>4475</v>
      </c>
    </row>
    <row r="6103" customFormat="false" ht="15.75" hidden="false" customHeight="false" outlineLevel="0" collapsed="false">
      <c r="A6103" s="6" t="n">
        <v>46179</v>
      </c>
      <c r="B6103" s="4" t="s">
        <v>4172</v>
      </c>
      <c r="C6103" s="4" t="n">
        <v>10</v>
      </c>
      <c r="D6103" s="4" t="n">
        <v>7</v>
      </c>
      <c r="E6103" s="4" t="s">
        <v>4649</v>
      </c>
      <c r="F6103" s="4" t="n">
        <v>20</v>
      </c>
      <c r="G6103" s="4" t="n">
        <v>5</v>
      </c>
      <c r="H6103" s="4" t="n">
        <v>4</v>
      </c>
      <c r="I6103" s="4" t="str">
        <v>×</v>
      </c>
      <c r="J6103" s="4"/>
      <c r="K6103" s="4"/>
      <c r="L6103" s="4"/>
      <c r="M6103" s="5" t="s">
        <v>4475</v>
      </c>
    </row>
    <row r="6104" customFormat="false" ht="15.75" hidden="false" customHeight="false" outlineLevel="0" collapsed="false">
      <c r="A6104" s="6" t="n">
        <v>46179</v>
      </c>
      <c r="B6104" s="4" t="s">
        <v>4172</v>
      </c>
      <c r="C6104" s="4" t="n">
        <v>10</v>
      </c>
      <c r="D6104" s="4" t="n">
        <v>8</v>
      </c>
      <c r="E6104" s="4" t="s">
        <v>4650</v>
      </c>
      <c r="F6104" s="4" t="n">
        <v>17</v>
      </c>
      <c r="G6104" s="4" t="n">
        <v>6</v>
      </c>
      <c r="H6104" s="4" t="n">
        <v>4</v>
      </c>
      <c r="I6104" s="4" t="str">
        <v>×</v>
      </c>
      <c r="J6104" s="4"/>
      <c r="K6104" s="4"/>
      <c r="L6104" s="4"/>
      <c r="M6104" s="5" t="s">
        <v>4475</v>
      </c>
    </row>
    <row r="6105" customFormat="false" ht="15.75" hidden="false" customHeight="false" outlineLevel="0" collapsed="false">
      <c r="A6105" s="6" t="n">
        <v>46179</v>
      </c>
      <c r="B6105" s="4" t="s">
        <v>4172</v>
      </c>
      <c r="C6105" s="4" t="n">
        <v>10</v>
      </c>
      <c r="D6105" s="4" t="n">
        <v>9</v>
      </c>
      <c r="E6105" s="4" t="s">
        <v>1842</v>
      </c>
      <c r="F6105" s="4" t="n">
        <v>20</v>
      </c>
      <c r="G6105" s="4" t="n">
        <v>5</v>
      </c>
      <c r="H6105" s="4" t="n">
        <v>2</v>
      </c>
      <c r="I6105" s="4" t="str">
        <v>○</v>
      </c>
      <c r="J6105" s="4" t="n">
        <v>410</v>
      </c>
      <c r="K6105" s="4"/>
      <c r="L6105" s="4"/>
      <c r="M6105" s="5" t="s">
        <v>4475</v>
      </c>
    </row>
    <row r="6106" customFormat="false" ht="15.75" hidden="false" customHeight="false" outlineLevel="0" collapsed="false">
      <c r="A6106" s="6" t="n">
        <v>46179</v>
      </c>
      <c r="B6106" s="4" t="s">
        <v>4172</v>
      </c>
      <c r="C6106" s="4" t="n">
        <v>10</v>
      </c>
      <c r="D6106" s="4" t="n">
        <v>10</v>
      </c>
      <c r="E6106" s="4" t="s">
        <v>4651</v>
      </c>
      <c r="F6106" s="4" t="n">
        <v>15</v>
      </c>
      <c r="G6106" s="4" t="n">
        <v>7</v>
      </c>
      <c r="H6106" s="4" t="n">
        <v>4</v>
      </c>
      <c r="I6106" s="4" t="str">
        <v>×</v>
      </c>
      <c r="J6106" s="4"/>
      <c r="K6106" s="4"/>
      <c r="L6106" s="4"/>
      <c r="M6106" s="5" t="s">
        <v>4475</v>
      </c>
    </row>
    <row r="6107" customFormat="false" ht="15.75" hidden="false" customHeight="false" outlineLevel="0" collapsed="false">
      <c r="A6107" s="6" t="n">
        <v>46179</v>
      </c>
      <c r="B6107" s="4" t="s">
        <v>4172</v>
      </c>
      <c r="C6107" s="4" t="n">
        <v>10</v>
      </c>
      <c r="D6107" s="4" t="n">
        <v>11</v>
      </c>
      <c r="E6107" s="4" t="s">
        <v>4652</v>
      </c>
      <c r="F6107" s="4" t="n">
        <v>10</v>
      </c>
      <c r="G6107" s="4" t="n">
        <v>8</v>
      </c>
      <c r="H6107" s="4" t="n">
        <v>4</v>
      </c>
      <c r="I6107" s="4" t="str">
        <v>×</v>
      </c>
      <c r="J6107" s="4"/>
      <c r="K6107" s="4"/>
      <c r="L6107" s="4"/>
      <c r="M6107" s="5" t="s">
        <v>4475</v>
      </c>
    </row>
    <row r="6108" customFormat="false" ht="15.75" hidden="false" customHeight="false" outlineLevel="0" collapsed="false">
      <c r="A6108" s="6" t="n">
        <v>46179</v>
      </c>
      <c r="B6108" s="4" t="s">
        <v>4172</v>
      </c>
      <c r="C6108" s="4" t="n">
        <v>10</v>
      </c>
      <c r="D6108" s="4" t="n">
        <v>12</v>
      </c>
      <c r="E6108" s="4" t="s">
        <v>4653</v>
      </c>
      <c r="F6108" s="4" t="n">
        <v>4</v>
      </c>
      <c r="G6108" s="4" t="n">
        <v>9</v>
      </c>
      <c r="H6108" s="4" t="n">
        <v>4</v>
      </c>
      <c r="I6108" s="4" t="str">
        <v>×</v>
      </c>
      <c r="J6108" s="4"/>
      <c r="K6108" s="4"/>
      <c r="L6108" s="4"/>
      <c r="M6108" s="5" t="s">
        <v>4475</v>
      </c>
    </row>
    <row r="6109" customFormat="false" ht="15.75" hidden="false" customHeight="false" outlineLevel="0" collapsed="false">
      <c r="A6109" s="6" t="n">
        <v>46179</v>
      </c>
      <c r="B6109" s="4" t="s">
        <v>4172</v>
      </c>
      <c r="C6109" s="4" t="n">
        <v>11</v>
      </c>
      <c r="D6109" s="4" t="n">
        <v>1</v>
      </c>
      <c r="E6109" s="4" t="s">
        <v>270</v>
      </c>
      <c r="F6109" s="4" t="n">
        <v>58</v>
      </c>
      <c r="G6109" s="4" t="n">
        <v>1</v>
      </c>
      <c r="H6109" s="4" t="n">
        <v>2</v>
      </c>
      <c r="I6109" s="4" t="str">
        <v>○</v>
      </c>
      <c r="J6109" s="4" t="n">
        <v>130</v>
      </c>
      <c r="K6109" s="4"/>
      <c r="L6109" s="4"/>
      <c r="M6109" s="5" t="s">
        <v>4475</v>
      </c>
    </row>
    <row r="6110" customFormat="false" ht="15.75" hidden="false" customHeight="false" outlineLevel="0" collapsed="false">
      <c r="A6110" s="6" t="n">
        <v>46179</v>
      </c>
      <c r="B6110" s="4" t="s">
        <v>4172</v>
      </c>
      <c r="C6110" s="4" t="n">
        <v>11</v>
      </c>
      <c r="D6110" s="4" t="n">
        <v>2</v>
      </c>
      <c r="E6110" s="4" t="s">
        <v>4654</v>
      </c>
      <c r="F6110" s="4" t="n">
        <v>23</v>
      </c>
      <c r="G6110" s="4" t="n">
        <v>6</v>
      </c>
      <c r="H6110" s="4" t="n">
        <v>1</v>
      </c>
      <c r="I6110" s="4" t="str">
        <v>○</v>
      </c>
      <c r="J6110" s="4" t="n">
        <v>380</v>
      </c>
      <c r="K6110" s="4"/>
      <c r="L6110" s="4"/>
      <c r="M6110" s="5" t="s">
        <v>4475</v>
      </c>
    </row>
    <row r="6111" customFormat="false" ht="15.75" hidden="false" customHeight="false" outlineLevel="0" collapsed="false">
      <c r="A6111" s="6" t="n">
        <v>46179</v>
      </c>
      <c r="B6111" s="4" t="s">
        <v>4172</v>
      </c>
      <c r="C6111" s="4" t="n">
        <v>11</v>
      </c>
      <c r="D6111" s="4" t="n">
        <v>3</v>
      </c>
      <c r="E6111" s="4" t="s">
        <v>3871</v>
      </c>
      <c r="F6111" s="4" t="n">
        <v>41</v>
      </c>
      <c r="G6111" s="4" t="n">
        <v>3</v>
      </c>
      <c r="H6111" s="4" t="n">
        <v>4</v>
      </c>
      <c r="I6111" s="4" t="str">
        <v>×</v>
      </c>
      <c r="J6111" s="4"/>
      <c r="K6111" s="4"/>
      <c r="L6111" s="4"/>
      <c r="M6111" s="5" t="s">
        <v>4475</v>
      </c>
    </row>
    <row r="6112" customFormat="false" ht="15.75" hidden="false" customHeight="false" outlineLevel="0" collapsed="false">
      <c r="A6112" s="6" t="n">
        <v>46179</v>
      </c>
      <c r="B6112" s="4" t="s">
        <v>4172</v>
      </c>
      <c r="C6112" s="4" t="n">
        <v>11</v>
      </c>
      <c r="D6112" s="4" t="n">
        <v>4</v>
      </c>
      <c r="E6112" s="4" t="s">
        <v>4655</v>
      </c>
      <c r="F6112" s="4" t="n">
        <v>50</v>
      </c>
      <c r="G6112" s="4" t="n">
        <v>2</v>
      </c>
      <c r="H6112" s="4" t="n">
        <v>4</v>
      </c>
      <c r="I6112" s="4" t="str">
        <v>×</v>
      </c>
      <c r="J6112" s="4"/>
      <c r="K6112" s="4"/>
      <c r="L6112" s="4"/>
      <c r="M6112" s="5" t="s">
        <v>4475</v>
      </c>
    </row>
    <row r="6113" customFormat="false" ht="15.75" hidden="false" customHeight="false" outlineLevel="0" collapsed="false">
      <c r="A6113" s="6" t="n">
        <v>46179</v>
      </c>
      <c r="B6113" s="4" t="s">
        <v>4172</v>
      </c>
      <c r="C6113" s="4" t="n">
        <v>11</v>
      </c>
      <c r="D6113" s="4" t="n">
        <v>5</v>
      </c>
      <c r="E6113" s="4" t="s">
        <v>4047</v>
      </c>
      <c r="F6113" s="4" t="n">
        <v>2</v>
      </c>
      <c r="G6113" s="4" t="n">
        <v>8</v>
      </c>
      <c r="H6113" s="4" t="n">
        <v>4</v>
      </c>
      <c r="I6113" s="4" t="str">
        <v>×</v>
      </c>
      <c r="J6113" s="4"/>
      <c r="K6113" s="4"/>
      <c r="L6113" s="4"/>
      <c r="M6113" s="5" t="s">
        <v>4475</v>
      </c>
    </row>
    <row r="6114" customFormat="false" ht="15.75" hidden="false" customHeight="false" outlineLevel="0" collapsed="false">
      <c r="A6114" s="6" t="n">
        <v>46179</v>
      </c>
      <c r="B6114" s="4" t="s">
        <v>4172</v>
      </c>
      <c r="C6114" s="4" t="n">
        <v>11</v>
      </c>
      <c r="D6114" s="4" t="n">
        <v>6</v>
      </c>
      <c r="E6114" s="4" t="s">
        <v>4656</v>
      </c>
      <c r="F6114" s="4" t="n">
        <v>31</v>
      </c>
      <c r="G6114" s="4" t="n">
        <v>4</v>
      </c>
      <c r="H6114" s="4" t="n">
        <v>3</v>
      </c>
      <c r="I6114" s="4" t="str">
        <v>○</v>
      </c>
      <c r="J6114" s="4" t="n">
        <v>150</v>
      </c>
      <c r="K6114" s="4"/>
      <c r="L6114" s="4"/>
      <c r="M6114" s="5" t="s">
        <v>4475</v>
      </c>
    </row>
    <row r="6115" customFormat="false" ht="15.75" hidden="false" customHeight="false" outlineLevel="0" collapsed="false">
      <c r="A6115" s="6" t="n">
        <v>46179</v>
      </c>
      <c r="B6115" s="4" t="s">
        <v>4172</v>
      </c>
      <c r="C6115" s="4" t="n">
        <v>11</v>
      </c>
      <c r="D6115" s="4" t="n">
        <v>7</v>
      </c>
      <c r="E6115" s="4" t="s">
        <v>4657</v>
      </c>
      <c r="F6115" s="4" t="n">
        <v>23</v>
      </c>
      <c r="G6115" s="4" t="n">
        <v>6</v>
      </c>
      <c r="H6115" s="4" t="n">
        <v>4</v>
      </c>
      <c r="I6115" s="4" t="str">
        <v>×</v>
      </c>
      <c r="J6115" s="4"/>
      <c r="K6115" s="4"/>
      <c r="L6115" s="4"/>
      <c r="M6115" s="5" t="s">
        <v>4475</v>
      </c>
    </row>
    <row r="6116" customFormat="false" ht="15.75" hidden="false" customHeight="false" outlineLevel="0" collapsed="false">
      <c r="A6116" s="6" t="n">
        <v>46179</v>
      </c>
      <c r="B6116" s="4" t="s">
        <v>4172</v>
      </c>
      <c r="C6116" s="4" t="n">
        <v>11</v>
      </c>
      <c r="D6116" s="4" t="n">
        <v>8</v>
      </c>
      <c r="E6116" s="4" t="s">
        <v>4658</v>
      </c>
      <c r="F6116" s="4" t="n">
        <v>29</v>
      </c>
      <c r="G6116" s="4" t="n">
        <v>5</v>
      </c>
      <c r="H6116" s="4" t="n">
        <v>4</v>
      </c>
      <c r="I6116" s="4" t="str">
        <v>×</v>
      </c>
      <c r="J6116" s="4"/>
      <c r="K6116" s="4"/>
      <c r="L6116" s="4"/>
      <c r="M6116" s="5" t="s">
        <v>4475</v>
      </c>
    </row>
    <row r="6117" customFormat="false" ht="15.75" hidden="false" customHeight="false" outlineLevel="0" collapsed="false">
      <c r="A6117" s="6" t="n">
        <v>46179</v>
      </c>
      <c r="B6117" s="4" t="s">
        <v>4172</v>
      </c>
      <c r="C6117" s="4" t="n">
        <v>11</v>
      </c>
      <c r="D6117" s="4" t="n">
        <v>9</v>
      </c>
      <c r="E6117" s="4" t="s">
        <v>4659</v>
      </c>
      <c r="F6117" s="4" t="n">
        <v>6</v>
      </c>
      <c r="G6117" s="4" t="n">
        <v>7</v>
      </c>
      <c r="H6117" s="4" t="n">
        <v>4</v>
      </c>
      <c r="I6117" s="4" t="str">
        <v>×</v>
      </c>
      <c r="J6117" s="4"/>
      <c r="K6117" s="4"/>
      <c r="L6117" s="4"/>
      <c r="M6117" s="5" t="s">
        <v>4475</v>
      </c>
    </row>
    <row r="6118" customFormat="false" ht="15.75" hidden="false" customHeight="false" outlineLevel="0" collapsed="false">
      <c r="A6118" s="6" t="n">
        <v>46179</v>
      </c>
      <c r="B6118" s="4" t="s">
        <v>4172</v>
      </c>
      <c r="C6118" s="4" t="n">
        <v>11</v>
      </c>
      <c r="D6118" s="4" t="n">
        <v>10</v>
      </c>
      <c r="E6118" s="4" t="s">
        <v>2905</v>
      </c>
      <c r="F6118" s="4" t="n">
        <v>23</v>
      </c>
      <c r="G6118" s="4" t="n">
        <v>6</v>
      </c>
      <c r="H6118" s="4" t="n">
        <v>4</v>
      </c>
      <c r="I6118" s="4" t="str">
        <v>×</v>
      </c>
      <c r="J6118" s="4"/>
      <c r="K6118" s="4"/>
      <c r="L6118" s="4"/>
      <c r="M6118" s="5" t="s">
        <v>4475</v>
      </c>
    </row>
    <row r="6119" customFormat="false" ht="15.75" hidden="false" customHeight="false" outlineLevel="0" collapsed="false">
      <c r="A6119" s="6" t="n">
        <v>46179</v>
      </c>
      <c r="B6119" s="4" t="s">
        <v>4172</v>
      </c>
      <c r="C6119" s="4" t="n">
        <v>11</v>
      </c>
      <c r="D6119" s="4" t="n">
        <v>11</v>
      </c>
      <c r="E6119" s="4" t="s">
        <v>4660</v>
      </c>
      <c r="F6119" s="4" t="n">
        <v>6</v>
      </c>
      <c r="G6119" s="4" t="n">
        <v>7</v>
      </c>
      <c r="H6119" s="4" t="n">
        <v>4</v>
      </c>
      <c r="I6119" s="4" t="str">
        <v>×</v>
      </c>
      <c r="J6119" s="4"/>
      <c r="K6119" s="4"/>
      <c r="L6119" s="4"/>
      <c r="M6119" s="5" t="s">
        <v>4475</v>
      </c>
    </row>
    <row r="6120" customFormat="false" ht="15.75" hidden="false" customHeight="false" outlineLevel="0" collapsed="false">
      <c r="A6120" s="6" t="n">
        <v>46179</v>
      </c>
      <c r="B6120" s="4" t="s">
        <v>4172</v>
      </c>
      <c r="C6120" s="4" t="n">
        <v>12</v>
      </c>
      <c r="D6120" s="4" t="n">
        <v>1</v>
      </c>
      <c r="E6120" s="4" t="s">
        <v>4661</v>
      </c>
      <c r="F6120" s="4" t="n">
        <v>29</v>
      </c>
      <c r="G6120" s="4" t="n">
        <v>5</v>
      </c>
      <c r="H6120" s="4" t="n">
        <v>1</v>
      </c>
      <c r="I6120" s="4" t="str">
        <v>○</v>
      </c>
      <c r="J6120" s="4" t="n">
        <v>220</v>
      </c>
      <c r="K6120" s="4"/>
      <c r="L6120" s="4"/>
      <c r="M6120" s="5" t="s">
        <v>4475</v>
      </c>
    </row>
    <row r="6121" customFormat="false" ht="15.75" hidden="false" customHeight="false" outlineLevel="0" collapsed="false">
      <c r="A6121" s="6" t="n">
        <v>46179</v>
      </c>
      <c r="B6121" s="4" t="s">
        <v>4172</v>
      </c>
      <c r="C6121" s="4" t="n">
        <v>12</v>
      </c>
      <c r="D6121" s="4" t="n">
        <v>2</v>
      </c>
      <c r="E6121" s="4" t="s">
        <v>4662</v>
      </c>
      <c r="F6121" s="4" t="n">
        <v>39</v>
      </c>
      <c r="G6121" s="4" t="n">
        <v>2</v>
      </c>
      <c r="H6121" s="4" t="n">
        <v>4</v>
      </c>
      <c r="I6121" s="4" t="str">
        <v>×</v>
      </c>
      <c r="J6121" s="4"/>
      <c r="K6121" s="4"/>
      <c r="L6121" s="4"/>
      <c r="M6121" s="5" t="s">
        <v>4475</v>
      </c>
    </row>
    <row r="6122" customFormat="false" ht="15.75" hidden="false" customHeight="false" outlineLevel="0" collapsed="false">
      <c r="A6122" s="6" t="n">
        <v>46179</v>
      </c>
      <c r="B6122" s="4" t="s">
        <v>4172</v>
      </c>
      <c r="C6122" s="4" t="n">
        <v>12</v>
      </c>
      <c r="D6122" s="4" t="n">
        <v>3</v>
      </c>
      <c r="E6122" s="4" t="s">
        <v>4663</v>
      </c>
      <c r="F6122" s="4" t="n">
        <v>17</v>
      </c>
      <c r="G6122" s="4" t="n">
        <v>8</v>
      </c>
      <c r="H6122" s="4" t="n">
        <v>2</v>
      </c>
      <c r="I6122" s="4" t="str">
        <v>○</v>
      </c>
      <c r="J6122" s="4" t="n">
        <v>290</v>
      </c>
      <c r="K6122" s="4"/>
      <c r="L6122" s="4"/>
      <c r="M6122" s="5" t="s">
        <v>4475</v>
      </c>
    </row>
    <row r="6123" customFormat="false" ht="15.75" hidden="false" customHeight="false" outlineLevel="0" collapsed="false">
      <c r="A6123" s="6" t="n">
        <v>46179</v>
      </c>
      <c r="B6123" s="4" t="s">
        <v>4172</v>
      </c>
      <c r="C6123" s="4" t="n">
        <v>12</v>
      </c>
      <c r="D6123" s="4" t="n">
        <v>4</v>
      </c>
      <c r="E6123" s="4" t="s">
        <v>1202</v>
      </c>
      <c r="F6123" s="4" t="n">
        <v>1</v>
      </c>
      <c r="G6123" s="4" t="n">
        <v>12</v>
      </c>
      <c r="H6123" s="4" t="n">
        <v>4</v>
      </c>
      <c r="I6123" s="4" t="str">
        <v>×</v>
      </c>
      <c r="J6123" s="4"/>
      <c r="K6123" s="4"/>
      <c r="L6123" s="4"/>
      <c r="M6123" s="5" t="s">
        <v>4475</v>
      </c>
    </row>
    <row r="6124" customFormat="false" ht="15.75" hidden="false" customHeight="false" outlineLevel="0" collapsed="false">
      <c r="A6124" s="6" t="n">
        <v>46179</v>
      </c>
      <c r="B6124" s="4" t="s">
        <v>4172</v>
      </c>
      <c r="C6124" s="4" t="n">
        <v>12</v>
      </c>
      <c r="D6124" s="4" t="n">
        <v>5</v>
      </c>
      <c r="E6124" s="4" t="s">
        <v>727</v>
      </c>
      <c r="F6124" s="4" t="n">
        <v>34</v>
      </c>
      <c r="G6124" s="4" t="n">
        <v>3</v>
      </c>
      <c r="H6124" s="4" t="n">
        <v>3</v>
      </c>
      <c r="I6124" s="4" t="str">
        <v>○</v>
      </c>
      <c r="J6124" s="4" t="n">
        <v>190</v>
      </c>
      <c r="K6124" s="4"/>
      <c r="L6124" s="4"/>
      <c r="M6124" s="5" t="s">
        <v>4475</v>
      </c>
    </row>
    <row r="6125" customFormat="false" ht="15.75" hidden="false" customHeight="false" outlineLevel="0" collapsed="false">
      <c r="A6125" s="6" t="n">
        <v>46179</v>
      </c>
      <c r="B6125" s="4" t="s">
        <v>4172</v>
      </c>
      <c r="C6125" s="4" t="n">
        <v>12</v>
      </c>
      <c r="D6125" s="4" t="n">
        <v>6</v>
      </c>
      <c r="E6125" s="4" t="s">
        <v>4664</v>
      </c>
      <c r="F6125" s="4" t="n">
        <v>10</v>
      </c>
      <c r="G6125" s="4" t="n">
        <v>9</v>
      </c>
      <c r="H6125" s="4" t="n">
        <v>4</v>
      </c>
      <c r="I6125" s="4" t="str">
        <v>×</v>
      </c>
      <c r="J6125" s="4"/>
      <c r="K6125" s="4"/>
      <c r="L6125" s="4"/>
      <c r="M6125" s="5" t="s">
        <v>4475</v>
      </c>
    </row>
    <row r="6126" customFormat="false" ht="15.75" hidden="false" customHeight="false" outlineLevel="0" collapsed="false">
      <c r="A6126" s="6" t="n">
        <v>46179</v>
      </c>
      <c r="B6126" s="4" t="s">
        <v>4172</v>
      </c>
      <c r="C6126" s="4" t="n">
        <v>12</v>
      </c>
      <c r="D6126" s="4" t="n">
        <v>7</v>
      </c>
      <c r="E6126" s="4" t="s">
        <v>4665</v>
      </c>
      <c r="F6126" s="4" t="n">
        <v>23</v>
      </c>
      <c r="G6126" s="4" t="n">
        <v>7</v>
      </c>
      <c r="H6126" s="4" t="n">
        <v>4</v>
      </c>
      <c r="I6126" s="4" t="str">
        <v>×</v>
      </c>
      <c r="J6126" s="4"/>
      <c r="K6126" s="4"/>
      <c r="L6126" s="4"/>
      <c r="M6126" s="5" t="s">
        <v>4475</v>
      </c>
    </row>
    <row r="6127" customFormat="false" ht="15.75" hidden="false" customHeight="false" outlineLevel="0" collapsed="false">
      <c r="A6127" s="6" t="n">
        <v>46179</v>
      </c>
      <c r="B6127" s="4" t="s">
        <v>4172</v>
      </c>
      <c r="C6127" s="4" t="n">
        <v>12</v>
      </c>
      <c r="D6127" s="4" t="n">
        <v>8</v>
      </c>
      <c r="E6127" s="4" t="s">
        <v>3852</v>
      </c>
      <c r="F6127" s="4" t="n">
        <v>39</v>
      </c>
      <c r="G6127" s="4" t="n">
        <v>2</v>
      </c>
      <c r="H6127" s="4" t="n">
        <v>4</v>
      </c>
      <c r="I6127" s="4" t="str">
        <v>×</v>
      </c>
      <c r="J6127" s="4"/>
      <c r="K6127" s="4"/>
      <c r="L6127" s="4"/>
      <c r="M6127" s="5" t="s">
        <v>4475</v>
      </c>
    </row>
    <row r="6128" customFormat="false" ht="15.75" hidden="false" customHeight="false" outlineLevel="0" collapsed="false">
      <c r="A6128" s="6" t="n">
        <v>46179</v>
      </c>
      <c r="B6128" s="4" t="s">
        <v>4172</v>
      </c>
      <c r="C6128" s="4" t="n">
        <v>12</v>
      </c>
      <c r="D6128" s="4" t="n">
        <v>9</v>
      </c>
      <c r="E6128" s="4" t="s">
        <v>4666</v>
      </c>
      <c r="F6128" s="4" t="n">
        <v>8</v>
      </c>
      <c r="G6128" s="4" t="n">
        <v>10</v>
      </c>
      <c r="H6128" s="4" t="n">
        <v>4</v>
      </c>
      <c r="I6128" s="4" t="str">
        <v>×</v>
      </c>
      <c r="J6128" s="4"/>
      <c r="K6128" s="4"/>
      <c r="L6128" s="4"/>
      <c r="M6128" s="5" t="s">
        <v>4475</v>
      </c>
    </row>
    <row r="6129" customFormat="false" ht="15.75" hidden="false" customHeight="false" outlineLevel="0" collapsed="false">
      <c r="A6129" s="6" t="n">
        <v>46179</v>
      </c>
      <c r="B6129" s="4" t="s">
        <v>4172</v>
      </c>
      <c r="C6129" s="4" t="n">
        <v>12</v>
      </c>
      <c r="D6129" s="4" t="n">
        <v>10</v>
      </c>
      <c r="E6129" s="4" t="s">
        <v>1663</v>
      </c>
      <c r="F6129" s="4" t="n">
        <v>6</v>
      </c>
      <c r="G6129" s="4" t="n">
        <v>11</v>
      </c>
      <c r="H6129" s="4" t="n">
        <v>4</v>
      </c>
      <c r="I6129" s="4" t="str">
        <v>×</v>
      </c>
      <c r="J6129" s="4"/>
      <c r="K6129" s="4"/>
      <c r="L6129" s="4"/>
      <c r="M6129" s="5" t="s">
        <v>4475</v>
      </c>
    </row>
    <row r="6130" customFormat="false" ht="15.75" hidden="false" customHeight="false" outlineLevel="0" collapsed="false">
      <c r="A6130" s="6" t="n">
        <v>46179</v>
      </c>
      <c r="B6130" s="4" t="s">
        <v>4172</v>
      </c>
      <c r="C6130" s="4" t="n">
        <v>12</v>
      </c>
      <c r="D6130" s="4" t="n">
        <v>11</v>
      </c>
      <c r="E6130" s="4" t="s">
        <v>4667</v>
      </c>
      <c r="F6130" s="4" t="n">
        <v>1</v>
      </c>
      <c r="G6130" s="4" t="n">
        <v>12</v>
      </c>
      <c r="H6130" s="4" t="n">
        <v>4</v>
      </c>
      <c r="I6130" s="4" t="str">
        <v>×</v>
      </c>
      <c r="J6130" s="4"/>
      <c r="K6130" s="4"/>
      <c r="L6130" s="4"/>
      <c r="M6130" s="5" t="s">
        <v>4475</v>
      </c>
    </row>
    <row r="6131" customFormat="false" ht="15.75" hidden="false" customHeight="false" outlineLevel="0" collapsed="false">
      <c r="A6131" s="6" t="n">
        <v>46179</v>
      </c>
      <c r="B6131" s="4" t="s">
        <v>4172</v>
      </c>
      <c r="C6131" s="4" t="n">
        <v>12</v>
      </c>
      <c r="D6131" s="4" t="n">
        <v>12</v>
      </c>
      <c r="E6131" s="4" t="s">
        <v>4668</v>
      </c>
      <c r="F6131" s="4" t="n">
        <v>56</v>
      </c>
      <c r="G6131" s="4" t="n">
        <v>1</v>
      </c>
      <c r="H6131" s="4" t="n">
        <v>4</v>
      </c>
      <c r="I6131" s="4" t="str">
        <v>×</v>
      </c>
      <c r="J6131" s="4"/>
      <c r="K6131" s="4"/>
      <c r="L6131" s="4"/>
      <c r="M6131" s="5" t="s">
        <v>4475</v>
      </c>
    </row>
    <row r="6132" customFormat="false" ht="15.75" hidden="false" customHeight="false" outlineLevel="0" collapsed="false">
      <c r="A6132" s="6" t="n">
        <v>46179</v>
      </c>
      <c r="B6132" s="4" t="s">
        <v>4172</v>
      </c>
      <c r="C6132" s="4" t="n">
        <v>12</v>
      </c>
      <c r="D6132" s="4" t="n">
        <v>13</v>
      </c>
      <c r="E6132" s="4" t="s">
        <v>4669</v>
      </c>
      <c r="F6132" s="4" t="n">
        <v>31</v>
      </c>
      <c r="G6132" s="4" t="n">
        <v>4</v>
      </c>
      <c r="H6132" s="4" t="n">
        <v>4</v>
      </c>
      <c r="I6132" s="4" t="str">
        <v>×</v>
      </c>
      <c r="J6132" s="4"/>
      <c r="K6132" s="4"/>
      <c r="L6132" s="4"/>
      <c r="M6132" s="5" t="s">
        <v>4475</v>
      </c>
    </row>
    <row r="6133" customFormat="false" ht="15.75" hidden="false" customHeight="false" outlineLevel="0" collapsed="false">
      <c r="A6133" s="6" t="n">
        <v>46179</v>
      </c>
      <c r="B6133" s="4" t="s">
        <v>4172</v>
      </c>
      <c r="C6133" s="4" t="n">
        <v>12</v>
      </c>
      <c r="D6133" s="4" t="n">
        <v>14</v>
      </c>
      <c r="E6133" s="4" t="s">
        <v>4395</v>
      </c>
      <c r="F6133" s="4" t="n">
        <v>10</v>
      </c>
      <c r="G6133" s="4" t="n">
        <v>9</v>
      </c>
      <c r="H6133" s="4" t="n">
        <v>4</v>
      </c>
      <c r="I6133" s="4" t="str">
        <v>×</v>
      </c>
      <c r="J6133" s="4"/>
      <c r="K6133" s="4"/>
      <c r="L6133" s="4"/>
      <c r="M6133" s="5" t="s">
        <v>4475</v>
      </c>
    </row>
    <row r="6134" customFormat="false" ht="15.75" hidden="false" customHeight="false" outlineLevel="0" collapsed="false">
      <c r="A6134" s="6" t="n">
        <v>46179</v>
      </c>
      <c r="B6134" s="4" t="s">
        <v>4172</v>
      </c>
      <c r="C6134" s="4" t="n">
        <v>12</v>
      </c>
      <c r="D6134" s="4" t="n">
        <v>15</v>
      </c>
      <c r="E6134" s="4" t="s">
        <v>4670</v>
      </c>
      <c r="F6134" s="4" t="n">
        <v>17</v>
      </c>
      <c r="G6134" s="4" t="n">
        <v>8</v>
      </c>
      <c r="H6134" s="4" t="n">
        <v>4</v>
      </c>
      <c r="I6134" s="4" t="str">
        <v>×</v>
      </c>
      <c r="J6134" s="4"/>
      <c r="K6134" s="4"/>
      <c r="L6134" s="4"/>
      <c r="M6134" s="5" t="s">
        <v>4475</v>
      </c>
    </row>
    <row r="6135" customFormat="false" ht="15.75" hidden="false" customHeight="false" outlineLevel="0" collapsed="false">
      <c r="A6135" s="6" t="n">
        <v>46179</v>
      </c>
      <c r="B6135" s="4" t="s">
        <v>4172</v>
      </c>
      <c r="C6135" s="4" t="n">
        <v>12</v>
      </c>
      <c r="D6135" s="4" t="n">
        <v>16</v>
      </c>
      <c r="E6135" s="4" t="s">
        <v>3494</v>
      </c>
      <c r="F6135" s="4" t="n">
        <v>25</v>
      </c>
      <c r="G6135" s="4" t="n">
        <v>6</v>
      </c>
      <c r="H6135" s="4" t="n">
        <v>4</v>
      </c>
      <c r="I6135" s="4" t="str">
        <v>×</v>
      </c>
      <c r="J6135" s="4"/>
      <c r="K6135" s="4"/>
      <c r="L6135" s="4"/>
      <c r="M6135" s="5" t="s">
        <v>4475</v>
      </c>
    </row>
    <row r="6136" customFormat="false" ht="15.75" hidden="false" customHeight="false" outlineLevel="0" collapsed="false">
      <c r="A6136" s="6" t="n">
        <v>46180</v>
      </c>
      <c r="B6136" s="4" t="s">
        <v>4473</v>
      </c>
      <c r="C6136" s="4" t="n">
        <v>1</v>
      </c>
      <c r="D6136" s="4" t="n">
        <v>1</v>
      </c>
      <c r="E6136" s="4" t="s">
        <v>4671</v>
      </c>
      <c r="F6136" s="4" t="n">
        <v>1</v>
      </c>
      <c r="G6136" s="4" t="n">
        <v>12</v>
      </c>
      <c r="H6136" s="4" t="n">
        <v>4</v>
      </c>
      <c r="I6136" s="4" t="str">
        <v>×</v>
      </c>
      <c r="J6136" s="4"/>
      <c r="K6136" s="4"/>
      <c r="L6136" s="4"/>
      <c r="M6136" s="5" t="s">
        <v>4475</v>
      </c>
    </row>
    <row r="6137" customFormat="false" ht="15.75" hidden="false" customHeight="false" outlineLevel="0" collapsed="false">
      <c r="A6137" s="6" t="n">
        <v>46180</v>
      </c>
      <c r="B6137" s="4" t="s">
        <v>4473</v>
      </c>
      <c r="C6137" s="4" t="n">
        <v>1</v>
      </c>
      <c r="D6137" s="4" t="n">
        <v>2</v>
      </c>
      <c r="E6137" s="4" t="s">
        <v>3032</v>
      </c>
      <c r="F6137" s="4" t="n">
        <v>20</v>
      </c>
      <c r="G6137" s="4" t="n">
        <v>5</v>
      </c>
      <c r="H6137" s="4" t="n">
        <v>4</v>
      </c>
      <c r="I6137" s="4" t="str">
        <v>×</v>
      </c>
      <c r="J6137" s="4"/>
      <c r="K6137" s="4"/>
      <c r="L6137" s="4"/>
      <c r="M6137" s="5" t="s">
        <v>4475</v>
      </c>
    </row>
    <row r="6138" customFormat="false" ht="15.75" hidden="false" customHeight="false" outlineLevel="0" collapsed="false">
      <c r="A6138" s="6" t="n">
        <v>46180</v>
      </c>
      <c r="B6138" s="4" t="s">
        <v>4473</v>
      </c>
      <c r="C6138" s="4" t="n">
        <v>1</v>
      </c>
      <c r="D6138" s="4" t="n">
        <v>3</v>
      </c>
      <c r="E6138" s="4" t="s">
        <v>4672</v>
      </c>
      <c r="F6138" s="4" t="n">
        <v>23</v>
      </c>
      <c r="G6138" s="4" t="n">
        <v>4</v>
      </c>
      <c r="H6138" s="4" t="n">
        <v>4</v>
      </c>
      <c r="I6138" s="4" t="str">
        <v>×</v>
      </c>
      <c r="J6138" s="4"/>
      <c r="K6138" s="4"/>
      <c r="L6138" s="4"/>
      <c r="M6138" s="5" t="s">
        <v>4475</v>
      </c>
    </row>
    <row r="6139" customFormat="false" ht="15.75" hidden="false" customHeight="false" outlineLevel="0" collapsed="false">
      <c r="A6139" s="6" t="n">
        <v>46180</v>
      </c>
      <c r="B6139" s="4" t="s">
        <v>4473</v>
      </c>
      <c r="C6139" s="4" t="n">
        <v>1</v>
      </c>
      <c r="D6139" s="4" t="n">
        <v>4</v>
      </c>
      <c r="E6139" s="4" t="s">
        <v>3744</v>
      </c>
      <c r="F6139" s="4" t="n">
        <v>15</v>
      </c>
      <c r="G6139" s="4" t="n">
        <v>7</v>
      </c>
      <c r="H6139" s="4" t="n">
        <v>2</v>
      </c>
      <c r="I6139" s="4" t="str">
        <v>○</v>
      </c>
      <c r="J6139" s="4" t="n">
        <v>760</v>
      </c>
      <c r="K6139" s="4"/>
      <c r="L6139" s="4"/>
      <c r="M6139" s="5" t="s">
        <v>4475</v>
      </c>
    </row>
    <row r="6140" customFormat="false" ht="15.75" hidden="false" customHeight="false" outlineLevel="0" collapsed="false">
      <c r="A6140" s="6" t="n">
        <v>46180</v>
      </c>
      <c r="B6140" s="4" t="s">
        <v>4473</v>
      </c>
      <c r="C6140" s="4" t="n">
        <v>1</v>
      </c>
      <c r="D6140" s="4" t="n">
        <v>5</v>
      </c>
      <c r="E6140" s="4" t="s">
        <v>140</v>
      </c>
      <c r="F6140" s="4" t="n">
        <v>52</v>
      </c>
      <c r="G6140" s="4" t="n">
        <v>2</v>
      </c>
      <c r="H6140" s="4" t="n">
        <v>4</v>
      </c>
      <c r="I6140" s="4" t="str">
        <v>×</v>
      </c>
      <c r="J6140" s="4"/>
      <c r="K6140" s="4"/>
      <c r="L6140" s="4"/>
      <c r="M6140" s="5" t="s">
        <v>4475</v>
      </c>
    </row>
    <row r="6141" customFormat="false" ht="15.75" hidden="false" customHeight="false" outlineLevel="0" collapsed="false">
      <c r="A6141" s="6" t="n">
        <v>46180</v>
      </c>
      <c r="B6141" s="4" t="s">
        <v>4473</v>
      </c>
      <c r="C6141" s="4" t="n">
        <v>1</v>
      </c>
      <c r="D6141" s="4" t="n">
        <v>6</v>
      </c>
      <c r="E6141" s="4" t="s">
        <v>4673</v>
      </c>
      <c r="F6141" s="4" t="n">
        <v>3</v>
      </c>
      <c r="G6141" s="4" t="n">
        <v>11</v>
      </c>
      <c r="H6141" s="4" t="n">
        <v>4</v>
      </c>
      <c r="I6141" s="4" t="str">
        <v>×</v>
      </c>
      <c r="J6141" s="4"/>
      <c r="K6141" s="4"/>
      <c r="L6141" s="4"/>
      <c r="M6141" s="5" t="s">
        <v>4475</v>
      </c>
    </row>
    <row r="6142" customFormat="false" ht="15.75" hidden="false" customHeight="false" outlineLevel="0" collapsed="false">
      <c r="A6142" s="6" t="n">
        <v>46180</v>
      </c>
      <c r="B6142" s="4" t="s">
        <v>4473</v>
      </c>
      <c r="C6142" s="4" t="n">
        <v>1</v>
      </c>
      <c r="D6142" s="4" t="n">
        <v>7</v>
      </c>
      <c r="E6142" s="4" t="s">
        <v>3031</v>
      </c>
      <c r="F6142" s="4" t="n">
        <v>52</v>
      </c>
      <c r="G6142" s="4" t="n">
        <v>2</v>
      </c>
      <c r="H6142" s="4" t="n">
        <v>3</v>
      </c>
      <c r="I6142" s="4" t="str">
        <v>○</v>
      </c>
      <c r="J6142" s="4" t="n">
        <v>190</v>
      </c>
      <c r="K6142" s="4"/>
      <c r="L6142" s="4"/>
      <c r="M6142" s="5" t="s">
        <v>4475</v>
      </c>
    </row>
    <row r="6143" customFormat="false" ht="15.75" hidden="false" customHeight="false" outlineLevel="0" collapsed="false">
      <c r="A6143" s="6" t="n">
        <v>46180</v>
      </c>
      <c r="B6143" s="4" t="s">
        <v>4473</v>
      </c>
      <c r="C6143" s="4" t="n">
        <v>1</v>
      </c>
      <c r="D6143" s="4" t="n">
        <v>8</v>
      </c>
      <c r="E6143" s="4" t="s">
        <v>4674</v>
      </c>
      <c r="F6143" s="4" t="n">
        <v>8</v>
      </c>
      <c r="G6143" s="4" t="n">
        <v>9</v>
      </c>
      <c r="H6143" s="4" t="n">
        <v>4</v>
      </c>
      <c r="I6143" s="4" t="str">
        <v>×</v>
      </c>
      <c r="J6143" s="4"/>
      <c r="K6143" s="4"/>
      <c r="L6143" s="4"/>
      <c r="M6143" s="5" t="s">
        <v>4475</v>
      </c>
    </row>
    <row r="6144" customFormat="false" ht="15.75" hidden="false" customHeight="false" outlineLevel="0" collapsed="false">
      <c r="A6144" s="6" t="n">
        <v>46180</v>
      </c>
      <c r="B6144" s="4" t="s">
        <v>4473</v>
      </c>
      <c r="C6144" s="4" t="n">
        <v>1</v>
      </c>
      <c r="D6144" s="4" t="n">
        <v>9</v>
      </c>
      <c r="E6144" s="4" t="s">
        <v>4675</v>
      </c>
      <c r="F6144" s="4" t="n">
        <v>17</v>
      </c>
      <c r="G6144" s="4" t="n">
        <v>6</v>
      </c>
      <c r="H6144" s="4" t="n">
        <v>4</v>
      </c>
      <c r="I6144" s="4" t="str">
        <v>×</v>
      </c>
      <c r="J6144" s="4"/>
      <c r="K6144" s="4"/>
      <c r="L6144" s="4"/>
      <c r="M6144" s="5" t="s">
        <v>4475</v>
      </c>
    </row>
    <row r="6145" customFormat="false" ht="15.75" hidden="false" customHeight="false" outlineLevel="0" collapsed="false">
      <c r="A6145" s="6" t="n">
        <v>46180</v>
      </c>
      <c r="B6145" s="4" t="s">
        <v>4473</v>
      </c>
      <c r="C6145" s="4" t="n">
        <v>1</v>
      </c>
      <c r="D6145" s="4" t="n">
        <v>10</v>
      </c>
      <c r="E6145" s="4" t="s">
        <v>2562</v>
      </c>
      <c r="F6145" s="4" t="n">
        <v>4</v>
      </c>
      <c r="G6145" s="4" t="n">
        <v>10</v>
      </c>
      <c r="H6145" s="4" t="n">
        <v>4</v>
      </c>
      <c r="I6145" s="4" t="str">
        <v>×</v>
      </c>
      <c r="J6145" s="4"/>
      <c r="K6145" s="4"/>
      <c r="L6145" s="4"/>
      <c r="M6145" s="5" t="s">
        <v>4475</v>
      </c>
    </row>
    <row r="6146" customFormat="false" ht="15.75" hidden="false" customHeight="false" outlineLevel="0" collapsed="false">
      <c r="A6146" s="6" t="n">
        <v>46180</v>
      </c>
      <c r="B6146" s="4" t="s">
        <v>4473</v>
      </c>
      <c r="C6146" s="4" t="n">
        <v>1</v>
      </c>
      <c r="D6146" s="4" t="n">
        <v>11</v>
      </c>
      <c r="E6146" s="4" t="s">
        <v>4676</v>
      </c>
      <c r="F6146" s="4" t="n">
        <v>56</v>
      </c>
      <c r="G6146" s="4" t="n">
        <v>1</v>
      </c>
      <c r="H6146" s="4" t="n">
        <v>1</v>
      </c>
      <c r="I6146" s="4" t="str">
        <v>○</v>
      </c>
      <c r="J6146" s="4" t="n">
        <v>220</v>
      </c>
      <c r="K6146" s="4"/>
      <c r="L6146" s="4"/>
      <c r="M6146" s="5" t="s">
        <v>4475</v>
      </c>
    </row>
    <row r="6147" customFormat="false" ht="15.75" hidden="false" customHeight="false" outlineLevel="0" collapsed="false">
      <c r="A6147" s="6" t="n">
        <v>46180</v>
      </c>
      <c r="B6147" s="4" t="s">
        <v>4473</v>
      </c>
      <c r="C6147" s="4" t="n">
        <v>1</v>
      </c>
      <c r="D6147" s="4" t="n">
        <v>12</v>
      </c>
      <c r="E6147" s="4" t="s">
        <v>3740</v>
      </c>
      <c r="F6147" s="4" t="n">
        <v>20</v>
      </c>
      <c r="G6147" s="4" t="n">
        <v>5</v>
      </c>
      <c r="H6147" s="4" t="n">
        <v>4</v>
      </c>
      <c r="I6147" s="4" t="str">
        <v>×</v>
      </c>
      <c r="J6147" s="4"/>
      <c r="K6147" s="4"/>
      <c r="L6147" s="4"/>
      <c r="M6147" s="5" t="s">
        <v>4475</v>
      </c>
    </row>
    <row r="6148" customFormat="false" ht="15.75" hidden="false" customHeight="false" outlineLevel="0" collapsed="false">
      <c r="A6148" s="6" t="n">
        <v>46180</v>
      </c>
      <c r="B6148" s="4" t="s">
        <v>4473</v>
      </c>
      <c r="C6148" s="4" t="n">
        <v>1</v>
      </c>
      <c r="D6148" s="4" t="n">
        <v>13</v>
      </c>
      <c r="E6148" s="4" t="s">
        <v>4677</v>
      </c>
      <c r="F6148" s="4" t="n">
        <v>4</v>
      </c>
      <c r="G6148" s="4" t="n">
        <v>10</v>
      </c>
      <c r="H6148" s="4" t="n">
        <v>4</v>
      </c>
      <c r="I6148" s="4" t="str">
        <v>×</v>
      </c>
      <c r="J6148" s="4"/>
      <c r="K6148" s="4"/>
      <c r="L6148" s="4"/>
      <c r="M6148" s="5" t="s">
        <v>4475</v>
      </c>
    </row>
    <row r="6149" customFormat="false" ht="15.75" hidden="false" customHeight="false" outlineLevel="0" collapsed="false">
      <c r="A6149" s="6" t="n">
        <v>46180</v>
      </c>
      <c r="B6149" s="4" t="s">
        <v>4473</v>
      </c>
      <c r="C6149" s="4" t="n">
        <v>1</v>
      </c>
      <c r="D6149" s="4" t="n">
        <v>14</v>
      </c>
      <c r="E6149" s="4" t="s">
        <v>2290</v>
      </c>
      <c r="F6149" s="4" t="n">
        <v>29</v>
      </c>
      <c r="G6149" s="4" t="n">
        <v>3</v>
      </c>
      <c r="H6149" s="4" t="n">
        <v>4</v>
      </c>
      <c r="I6149" s="4" t="str">
        <v>×</v>
      </c>
      <c r="J6149" s="4"/>
      <c r="K6149" s="4"/>
      <c r="L6149" s="4"/>
      <c r="M6149" s="5" t="s">
        <v>4475</v>
      </c>
    </row>
    <row r="6150" customFormat="false" ht="15.75" hidden="false" customHeight="false" outlineLevel="0" collapsed="false">
      <c r="A6150" s="6" t="n">
        <v>46180</v>
      </c>
      <c r="B6150" s="4" t="s">
        <v>4473</v>
      </c>
      <c r="C6150" s="4" t="n">
        <v>1</v>
      </c>
      <c r="D6150" s="4" t="n">
        <v>15</v>
      </c>
      <c r="E6150" s="4" t="s">
        <v>950</v>
      </c>
      <c r="F6150" s="4" t="n">
        <v>8</v>
      </c>
      <c r="G6150" s="4" t="n">
        <v>9</v>
      </c>
      <c r="H6150" s="4" t="n">
        <v>4</v>
      </c>
      <c r="I6150" s="4" t="str">
        <v>×</v>
      </c>
      <c r="J6150" s="4"/>
      <c r="K6150" s="4"/>
      <c r="L6150" s="4"/>
      <c r="M6150" s="5" t="s">
        <v>4475</v>
      </c>
    </row>
    <row r="6151" customFormat="false" ht="15.75" hidden="false" customHeight="false" outlineLevel="0" collapsed="false">
      <c r="A6151" s="6" t="n">
        <v>46180</v>
      </c>
      <c r="B6151" s="4" t="s">
        <v>4473</v>
      </c>
      <c r="C6151" s="4" t="n">
        <v>1</v>
      </c>
      <c r="D6151" s="4" t="n">
        <v>16</v>
      </c>
      <c r="E6151" s="4" t="s">
        <v>4678</v>
      </c>
      <c r="F6151" s="4" t="n">
        <v>10</v>
      </c>
      <c r="G6151" s="4" t="n">
        <v>8</v>
      </c>
      <c r="H6151" s="4" t="n">
        <v>4</v>
      </c>
      <c r="I6151" s="4" t="str">
        <v>×</v>
      </c>
      <c r="J6151" s="4"/>
      <c r="K6151" s="4"/>
      <c r="L6151" s="4"/>
      <c r="M6151" s="5" t="s">
        <v>4475</v>
      </c>
    </row>
    <row r="6152" customFormat="false" ht="15.75" hidden="false" customHeight="false" outlineLevel="0" collapsed="false">
      <c r="A6152" s="6" t="n">
        <v>46180</v>
      </c>
      <c r="B6152" s="4" t="s">
        <v>4473</v>
      </c>
      <c r="C6152" s="4" t="n">
        <v>2</v>
      </c>
      <c r="D6152" s="4" t="n">
        <v>1</v>
      </c>
      <c r="E6152" s="4" t="s">
        <v>2303</v>
      </c>
      <c r="F6152" s="4" t="n">
        <v>56</v>
      </c>
      <c r="G6152" s="4" t="n">
        <v>1</v>
      </c>
      <c r="H6152" s="4" t="n">
        <v>3</v>
      </c>
      <c r="I6152" s="4" t="str">
        <v>○</v>
      </c>
      <c r="J6152" s="4" t="n">
        <v>160</v>
      </c>
      <c r="K6152" s="4"/>
      <c r="L6152" s="4"/>
      <c r="M6152" s="5" t="s">
        <v>4475</v>
      </c>
    </row>
    <row r="6153" customFormat="false" ht="15.75" hidden="false" customHeight="false" outlineLevel="0" collapsed="false">
      <c r="A6153" s="6" t="n">
        <v>46180</v>
      </c>
      <c r="B6153" s="4" t="s">
        <v>4473</v>
      </c>
      <c r="C6153" s="4" t="n">
        <v>2</v>
      </c>
      <c r="D6153" s="4" t="n">
        <v>2</v>
      </c>
      <c r="E6153" s="4" t="s">
        <v>4679</v>
      </c>
      <c r="F6153" s="4" t="n">
        <v>8</v>
      </c>
      <c r="G6153" s="4" t="n">
        <v>8</v>
      </c>
      <c r="H6153" s="4" t="n">
        <v>4</v>
      </c>
      <c r="I6153" s="4" t="str">
        <v>×</v>
      </c>
      <c r="J6153" s="4"/>
      <c r="K6153" s="4"/>
      <c r="L6153" s="4"/>
      <c r="M6153" s="5" t="s">
        <v>4475</v>
      </c>
    </row>
    <row r="6154" customFormat="false" ht="15.75" hidden="false" customHeight="false" outlineLevel="0" collapsed="false">
      <c r="A6154" s="6" t="n">
        <v>46180</v>
      </c>
      <c r="B6154" s="4" t="s">
        <v>4473</v>
      </c>
      <c r="C6154" s="4" t="n">
        <v>2</v>
      </c>
      <c r="D6154" s="4" t="n">
        <v>3</v>
      </c>
      <c r="E6154" s="4" t="s">
        <v>2685</v>
      </c>
      <c r="F6154" s="4" t="n">
        <v>2</v>
      </c>
      <c r="G6154" s="4" t="n">
        <v>11</v>
      </c>
      <c r="H6154" s="4" t="n">
        <v>4</v>
      </c>
      <c r="I6154" s="4" t="str">
        <v>×</v>
      </c>
      <c r="J6154" s="4"/>
      <c r="K6154" s="4"/>
      <c r="L6154" s="4"/>
      <c r="M6154" s="5" t="s">
        <v>4475</v>
      </c>
    </row>
    <row r="6155" customFormat="false" ht="15.75" hidden="false" customHeight="false" outlineLevel="0" collapsed="false">
      <c r="A6155" s="6" t="n">
        <v>46180</v>
      </c>
      <c r="B6155" s="4" t="s">
        <v>4473</v>
      </c>
      <c r="C6155" s="4" t="n">
        <v>2</v>
      </c>
      <c r="D6155" s="4" t="n">
        <v>4</v>
      </c>
      <c r="E6155" s="4" t="s">
        <v>4680</v>
      </c>
      <c r="F6155" s="4" t="n">
        <v>15</v>
      </c>
      <c r="G6155" s="4" t="n">
        <v>6</v>
      </c>
      <c r="H6155" s="4" t="n">
        <v>4</v>
      </c>
      <c r="I6155" s="4" t="str">
        <v>×</v>
      </c>
      <c r="J6155" s="4"/>
      <c r="K6155" s="4"/>
      <c r="L6155" s="4"/>
      <c r="M6155" s="5" t="s">
        <v>4475</v>
      </c>
    </row>
    <row r="6156" customFormat="false" ht="15.75" hidden="false" customHeight="false" outlineLevel="0" collapsed="false">
      <c r="A6156" s="6" t="n">
        <v>46180</v>
      </c>
      <c r="B6156" s="4" t="s">
        <v>4473</v>
      </c>
      <c r="C6156" s="4" t="n">
        <v>2</v>
      </c>
      <c r="D6156" s="4" t="n">
        <v>5</v>
      </c>
      <c r="E6156" s="4" t="s">
        <v>4681</v>
      </c>
      <c r="F6156" s="4" t="n">
        <v>4</v>
      </c>
      <c r="G6156" s="4" t="n">
        <v>10</v>
      </c>
      <c r="H6156" s="4" t="n">
        <v>4</v>
      </c>
      <c r="I6156" s="4" t="str">
        <v>×</v>
      </c>
      <c r="J6156" s="4"/>
      <c r="K6156" s="4"/>
      <c r="L6156" s="4"/>
      <c r="M6156" s="5" t="s">
        <v>4475</v>
      </c>
    </row>
    <row r="6157" customFormat="false" ht="15.75" hidden="false" customHeight="false" outlineLevel="0" collapsed="false">
      <c r="A6157" s="6" t="n">
        <v>46180</v>
      </c>
      <c r="B6157" s="4" t="s">
        <v>4473</v>
      </c>
      <c r="C6157" s="4" t="n">
        <v>2</v>
      </c>
      <c r="D6157" s="4" t="n">
        <v>6</v>
      </c>
      <c r="E6157" s="4" t="s">
        <v>1740</v>
      </c>
      <c r="F6157" s="4" t="n">
        <v>25</v>
      </c>
      <c r="G6157" s="4" t="n">
        <v>3</v>
      </c>
      <c r="H6157" s="4" t="n">
        <v>4</v>
      </c>
      <c r="I6157" s="4" t="str">
        <v>×</v>
      </c>
      <c r="J6157" s="4"/>
      <c r="K6157" s="4"/>
      <c r="L6157" s="4"/>
      <c r="M6157" s="5" t="s">
        <v>4475</v>
      </c>
    </row>
    <row r="6158" customFormat="false" ht="15.75" hidden="false" customHeight="false" outlineLevel="0" collapsed="false">
      <c r="A6158" s="6" t="n">
        <v>46180</v>
      </c>
      <c r="B6158" s="4" t="s">
        <v>4473</v>
      </c>
      <c r="C6158" s="4" t="n">
        <v>2</v>
      </c>
      <c r="D6158" s="4" t="n">
        <v>7</v>
      </c>
      <c r="E6158" s="4" t="s">
        <v>4016</v>
      </c>
      <c r="F6158" s="4" t="n">
        <v>23</v>
      </c>
      <c r="G6158" s="4" t="n">
        <v>4</v>
      </c>
      <c r="H6158" s="4" t="n">
        <v>4</v>
      </c>
      <c r="I6158" s="4" t="str">
        <v>×</v>
      </c>
      <c r="J6158" s="4"/>
      <c r="K6158" s="4"/>
      <c r="L6158" s="4"/>
      <c r="M6158" s="5" t="s">
        <v>4475</v>
      </c>
    </row>
    <row r="6159" customFormat="false" ht="15.75" hidden="false" customHeight="false" outlineLevel="0" collapsed="false">
      <c r="A6159" s="6" t="n">
        <v>46180</v>
      </c>
      <c r="B6159" s="4" t="s">
        <v>4473</v>
      </c>
      <c r="C6159" s="4" t="n">
        <v>2</v>
      </c>
      <c r="D6159" s="4" t="n">
        <v>8</v>
      </c>
      <c r="E6159" s="4" t="s">
        <v>4682</v>
      </c>
      <c r="F6159" s="4" t="n">
        <v>10</v>
      </c>
      <c r="G6159" s="4" t="n">
        <v>7</v>
      </c>
      <c r="H6159" s="4" t="n">
        <v>1</v>
      </c>
      <c r="I6159" s="4" t="str">
        <v>○</v>
      </c>
      <c r="J6159" s="4" t="n">
        <v>290</v>
      </c>
      <c r="K6159" s="4"/>
      <c r="L6159" s="4"/>
      <c r="M6159" s="5" t="s">
        <v>4475</v>
      </c>
    </row>
    <row r="6160" customFormat="false" ht="15.75" hidden="false" customHeight="false" outlineLevel="0" collapsed="false">
      <c r="A6160" s="6" t="n">
        <v>46180</v>
      </c>
      <c r="B6160" s="4" t="s">
        <v>4473</v>
      </c>
      <c r="C6160" s="4" t="n">
        <v>2</v>
      </c>
      <c r="D6160" s="4" t="n">
        <v>9</v>
      </c>
      <c r="E6160" s="4" t="s">
        <v>358</v>
      </c>
      <c r="F6160" s="4" t="n">
        <v>4</v>
      </c>
      <c r="G6160" s="4" t="n">
        <v>10</v>
      </c>
      <c r="H6160" s="4" t="n">
        <v>4</v>
      </c>
      <c r="I6160" s="4" t="str">
        <v>×</v>
      </c>
      <c r="J6160" s="4"/>
      <c r="K6160" s="4"/>
      <c r="L6160" s="4"/>
      <c r="M6160" s="5" t="s">
        <v>4475</v>
      </c>
    </row>
    <row r="6161" customFormat="false" ht="15.75" hidden="false" customHeight="false" outlineLevel="0" collapsed="false">
      <c r="A6161" s="6" t="n">
        <v>46180</v>
      </c>
      <c r="B6161" s="4" t="s">
        <v>4473</v>
      </c>
      <c r="C6161" s="4" t="n">
        <v>2</v>
      </c>
      <c r="D6161" s="4" t="n">
        <v>10</v>
      </c>
      <c r="E6161" s="4" t="s">
        <v>4019</v>
      </c>
      <c r="F6161" s="4" t="n">
        <v>8</v>
      </c>
      <c r="G6161" s="4" t="n">
        <v>8</v>
      </c>
      <c r="H6161" s="4" t="n">
        <v>4</v>
      </c>
      <c r="I6161" s="4" t="str">
        <v>×</v>
      </c>
      <c r="J6161" s="4"/>
      <c r="K6161" s="4"/>
      <c r="L6161" s="4"/>
      <c r="M6161" s="5" t="s">
        <v>4475</v>
      </c>
    </row>
    <row r="6162" customFormat="false" ht="15.75" hidden="false" customHeight="false" outlineLevel="0" collapsed="false">
      <c r="A6162" s="6" t="n">
        <v>46180</v>
      </c>
      <c r="B6162" s="4" t="s">
        <v>4473</v>
      </c>
      <c r="C6162" s="4" t="n">
        <v>2</v>
      </c>
      <c r="D6162" s="4" t="n">
        <v>11</v>
      </c>
      <c r="E6162" s="4" t="s">
        <v>2701</v>
      </c>
      <c r="F6162" s="4" t="n">
        <v>50</v>
      </c>
      <c r="G6162" s="4" t="n">
        <v>2</v>
      </c>
      <c r="H6162" s="4" t="n">
        <v>2</v>
      </c>
      <c r="I6162" s="4" t="str">
        <v>○</v>
      </c>
      <c r="J6162" s="4" t="n">
        <v>140</v>
      </c>
      <c r="K6162" s="4"/>
      <c r="L6162" s="4"/>
      <c r="M6162" s="5" t="s">
        <v>4475</v>
      </c>
    </row>
    <row r="6163" customFormat="false" ht="15.75" hidden="false" customHeight="false" outlineLevel="0" collapsed="false">
      <c r="A6163" s="6" t="n">
        <v>46180</v>
      </c>
      <c r="B6163" s="4" t="s">
        <v>4473</v>
      </c>
      <c r="C6163" s="4" t="n">
        <v>2</v>
      </c>
      <c r="D6163" s="4" t="n">
        <v>12</v>
      </c>
      <c r="E6163" s="4" t="s">
        <v>594</v>
      </c>
      <c r="F6163" s="4" t="n">
        <v>20</v>
      </c>
      <c r="G6163" s="4" t="n">
        <v>5</v>
      </c>
      <c r="H6163" s="4" t="n">
        <v>4</v>
      </c>
      <c r="I6163" s="4" t="str">
        <v>×</v>
      </c>
      <c r="J6163" s="4"/>
      <c r="K6163" s="4"/>
      <c r="L6163" s="4"/>
      <c r="M6163" s="5" t="s">
        <v>4475</v>
      </c>
    </row>
    <row r="6164" customFormat="false" ht="15.75" hidden="false" customHeight="false" outlineLevel="0" collapsed="false">
      <c r="A6164" s="6" t="n">
        <v>46180</v>
      </c>
      <c r="B6164" s="4" t="s">
        <v>4473</v>
      </c>
      <c r="C6164" s="4" t="n">
        <v>2</v>
      </c>
      <c r="D6164" s="4" t="n">
        <v>13</v>
      </c>
      <c r="E6164" s="4" t="s">
        <v>4683</v>
      </c>
      <c r="F6164" s="4" t="n">
        <v>6</v>
      </c>
      <c r="G6164" s="4" t="n">
        <v>9</v>
      </c>
      <c r="H6164" s="4" t="n">
        <v>4</v>
      </c>
      <c r="I6164" s="4" t="str">
        <v>×</v>
      </c>
      <c r="J6164" s="4"/>
      <c r="K6164" s="4"/>
      <c r="L6164" s="4"/>
      <c r="M6164" s="5" t="s">
        <v>4475</v>
      </c>
    </row>
    <row r="6165" customFormat="false" ht="15.75" hidden="false" customHeight="false" outlineLevel="0" collapsed="false">
      <c r="A6165" s="6" t="n">
        <v>46180</v>
      </c>
      <c r="B6165" s="4" t="s">
        <v>4473</v>
      </c>
      <c r="C6165" s="4" t="n">
        <v>2</v>
      </c>
      <c r="D6165" s="4" t="n">
        <v>14</v>
      </c>
      <c r="E6165" s="4" t="s">
        <v>4018</v>
      </c>
      <c r="F6165" s="4" t="n">
        <v>4</v>
      </c>
      <c r="G6165" s="4" t="n">
        <v>10</v>
      </c>
      <c r="H6165" s="4" t="n">
        <v>4</v>
      </c>
      <c r="I6165" s="4" t="str">
        <v>×</v>
      </c>
      <c r="J6165" s="4"/>
      <c r="K6165" s="4"/>
      <c r="L6165" s="4"/>
      <c r="M6165" s="5" t="s">
        <v>4475</v>
      </c>
    </row>
    <row r="6166" customFormat="false" ht="15.75" hidden="false" customHeight="false" outlineLevel="0" collapsed="false">
      <c r="A6166" s="6" t="n">
        <v>46180</v>
      </c>
      <c r="B6166" s="4" t="s">
        <v>4473</v>
      </c>
      <c r="C6166" s="4" t="n">
        <v>2</v>
      </c>
      <c r="D6166" s="4" t="n">
        <v>15</v>
      </c>
      <c r="E6166" s="4" t="s">
        <v>4684</v>
      </c>
      <c r="F6166" s="4" t="n">
        <v>25</v>
      </c>
      <c r="G6166" s="4" t="n">
        <v>3</v>
      </c>
      <c r="H6166" s="4" t="n">
        <v>4</v>
      </c>
      <c r="I6166" s="4" t="str">
        <v>×</v>
      </c>
      <c r="J6166" s="4"/>
      <c r="K6166" s="4"/>
      <c r="L6166" s="4"/>
      <c r="M6166" s="5" t="s">
        <v>4475</v>
      </c>
    </row>
    <row r="6167" customFormat="false" ht="15.75" hidden="false" customHeight="false" outlineLevel="0" collapsed="false">
      <c r="A6167" s="6" t="n">
        <v>46180</v>
      </c>
      <c r="B6167" s="4" t="s">
        <v>4473</v>
      </c>
      <c r="C6167" s="4" t="n">
        <v>2</v>
      </c>
      <c r="D6167" s="4" t="n">
        <v>16</v>
      </c>
      <c r="E6167" s="4" t="s">
        <v>4685</v>
      </c>
      <c r="F6167" s="4" t="n">
        <v>20</v>
      </c>
      <c r="G6167" s="4" t="n">
        <v>5</v>
      </c>
      <c r="H6167" s="4" t="n">
        <v>4</v>
      </c>
      <c r="I6167" s="4" t="str">
        <v>×</v>
      </c>
      <c r="J6167" s="4"/>
      <c r="K6167" s="4"/>
      <c r="L6167" s="4"/>
      <c r="M6167" s="5" t="s">
        <v>4475</v>
      </c>
    </row>
    <row r="6168" customFormat="false" ht="15.75" hidden="false" customHeight="false" outlineLevel="0" collapsed="false">
      <c r="A6168" s="6" t="n">
        <v>46180</v>
      </c>
      <c r="B6168" s="4" t="s">
        <v>4473</v>
      </c>
      <c r="C6168" s="4" t="n">
        <v>3</v>
      </c>
      <c r="D6168" s="4" t="n">
        <v>1</v>
      </c>
      <c r="E6168" s="4" t="s">
        <v>4090</v>
      </c>
      <c r="F6168" s="4" t="n">
        <v>23</v>
      </c>
      <c r="G6168" s="4" t="n">
        <v>5</v>
      </c>
      <c r="H6168" s="4" t="n">
        <v>4</v>
      </c>
      <c r="I6168" s="4" t="str">
        <v>×</v>
      </c>
      <c r="J6168" s="4"/>
      <c r="K6168" s="4"/>
      <c r="L6168" s="4"/>
      <c r="M6168" s="5" t="s">
        <v>4475</v>
      </c>
    </row>
    <row r="6169" customFormat="false" ht="15.75" hidden="false" customHeight="false" outlineLevel="0" collapsed="false">
      <c r="A6169" s="6" t="n">
        <v>46180</v>
      </c>
      <c r="B6169" s="4" t="s">
        <v>4473</v>
      </c>
      <c r="C6169" s="4" t="n">
        <v>3</v>
      </c>
      <c r="D6169" s="4" t="n">
        <v>2</v>
      </c>
      <c r="E6169" s="4" t="s">
        <v>4275</v>
      </c>
      <c r="F6169" s="4" t="n">
        <v>3</v>
      </c>
      <c r="G6169" s="4" t="n">
        <v>10</v>
      </c>
      <c r="H6169" s="4" t="n">
        <v>4</v>
      </c>
      <c r="I6169" s="4" t="str">
        <v>×</v>
      </c>
      <c r="J6169" s="4"/>
      <c r="K6169" s="4"/>
      <c r="L6169" s="4"/>
      <c r="M6169" s="5" t="s">
        <v>4475</v>
      </c>
    </row>
    <row r="6170" customFormat="false" ht="15.75" hidden="false" customHeight="false" outlineLevel="0" collapsed="false">
      <c r="A6170" s="6" t="n">
        <v>46180</v>
      </c>
      <c r="B6170" s="4" t="s">
        <v>4473</v>
      </c>
      <c r="C6170" s="4" t="n">
        <v>3</v>
      </c>
      <c r="D6170" s="4" t="n">
        <v>3</v>
      </c>
      <c r="E6170" s="4" t="s">
        <v>4686</v>
      </c>
      <c r="F6170" s="4" t="n">
        <v>8</v>
      </c>
      <c r="G6170" s="4" t="n">
        <v>7</v>
      </c>
      <c r="H6170" s="4" t="n">
        <v>4</v>
      </c>
      <c r="I6170" s="4" t="str">
        <v>×</v>
      </c>
      <c r="J6170" s="4"/>
      <c r="K6170" s="4"/>
      <c r="L6170" s="4"/>
      <c r="M6170" s="5" t="s">
        <v>4475</v>
      </c>
    </row>
    <row r="6171" customFormat="false" ht="15.75" hidden="false" customHeight="false" outlineLevel="0" collapsed="false">
      <c r="A6171" s="6" t="n">
        <v>46180</v>
      </c>
      <c r="B6171" s="4" t="s">
        <v>4473</v>
      </c>
      <c r="C6171" s="4" t="n">
        <v>3</v>
      </c>
      <c r="D6171" s="4" t="n">
        <v>4</v>
      </c>
      <c r="E6171" s="4" t="s">
        <v>4687</v>
      </c>
      <c r="F6171" s="4" t="n">
        <v>6</v>
      </c>
      <c r="G6171" s="4" t="n">
        <v>8</v>
      </c>
      <c r="H6171" s="4" t="n">
        <v>4</v>
      </c>
      <c r="I6171" s="4" t="str">
        <v>×</v>
      </c>
      <c r="J6171" s="4"/>
      <c r="K6171" s="4"/>
      <c r="L6171" s="4"/>
      <c r="M6171" s="5" t="s">
        <v>4475</v>
      </c>
    </row>
    <row r="6172" customFormat="false" ht="15.75" hidden="false" customHeight="false" outlineLevel="0" collapsed="false">
      <c r="A6172" s="6" t="n">
        <v>46180</v>
      </c>
      <c r="B6172" s="4" t="s">
        <v>4473</v>
      </c>
      <c r="C6172" s="4" t="n">
        <v>3</v>
      </c>
      <c r="D6172" s="4" t="n">
        <v>5</v>
      </c>
      <c r="E6172" s="4" t="s">
        <v>4688</v>
      </c>
      <c r="F6172" s="4" t="n">
        <v>3</v>
      </c>
      <c r="G6172" s="4" t="n">
        <v>10</v>
      </c>
      <c r="H6172" s="4" t="n">
        <v>4</v>
      </c>
      <c r="I6172" s="4" t="str">
        <v>×</v>
      </c>
      <c r="J6172" s="4"/>
      <c r="K6172" s="4"/>
      <c r="L6172" s="4"/>
      <c r="M6172" s="5" t="s">
        <v>4475</v>
      </c>
    </row>
    <row r="6173" customFormat="false" ht="15.75" hidden="false" customHeight="false" outlineLevel="0" collapsed="false">
      <c r="A6173" s="6" t="n">
        <v>46180</v>
      </c>
      <c r="B6173" s="4" t="s">
        <v>4473</v>
      </c>
      <c r="C6173" s="4" t="n">
        <v>3</v>
      </c>
      <c r="D6173" s="4" t="n">
        <v>6</v>
      </c>
      <c r="E6173" s="4" t="s">
        <v>4689</v>
      </c>
      <c r="F6173" s="4" t="n">
        <v>34</v>
      </c>
      <c r="G6173" s="4" t="n">
        <v>4</v>
      </c>
      <c r="H6173" s="4" t="n">
        <v>4</v>
      </c>
      <c r="I6173" s="4" t="str">
        <v>×</v>
      </c>
      <c r="J6173" s="4"/>
      <c r="K6173" s="4"/>
      <c r="L6173" s="4"/>
      <c r="M6173" s="5" t="s">
        <v>4475</v>
      </c>
    </row>
    <row r="6174" customFormat="false" ht="15.75" hidden="false" customHeight="false" outlineLevel="0" collapsed="false">
      <c r="A6174" s="6" t="n">
        <v>46180</v>
      </c>
      <c r="B6174" s="4" t="s">
        <v>4473</v>
      </c>
      <c r="C6174" s="4" t="n">
        <v>3</v>
      </c>
      <c r="D6174" s="4" t="n">
        <v>7</v>
      </c>
      <c r="E6174" s="4" t="s">
        <v>3332</v>
      </c>
      <c r="F6174" s="4" t="n">
        <v>75</v>
      </c>
      <c r="G6174" s="4" t="n">
        <v>1</v>
      </c>
      <c r="H6174" s="4" t="n">
        <v>2</v>
      </c>
      <c r="I6174" s="4" t="str">
        <v>○</v>
      </c>
      <c r="J6174" s="4" t="n">
        <v>110</v>
      </c>
      <c r="K6174" s="4"/>
      <c r="L6174" s="4"/>
      <c r="M6174" s="5" t="s">
        <v>4475</v>
      </c>
    </row>
    <row r="6175" customFormat="false" ht="15.75" hidden="false" customHeight="false" outlineLevel="0" collapsed="false">
      <c r="A6175" s="6" t="n">
        <v>46180</v>
      </c>
      <c r="B6175" s="4" t="s">
        <v>4473</v>
      </c>
      <c r="C6175" s="4" t="n">
        <v>3</v>
      </c>
      <c r="D6175" s="4" t="n">
        <v>8</v>
      </c>
      <c r="E6175" s="4" t="s">
        <v>3819</v>
      </c>
      <c r="F6175" s="4" t="n">
        <v>10</v>
      </c>
      <c r="G6175" s="4" t="n">
        <v>6</v>
      </c>
      <c r="H6175" s="4" t="n">
        <v>4</v>
      </c>
      <c r="I6175" s="4" t="str">
        <v>×</v>
      </c>
      <c r="J6175" s="4"/>
      <c r="K6175" s="4"/>
      <c r="L6175" s="4"/>
      <c r="M6175" s="5" t="s">
        <v>4475</v>
      </c>
    </row>
    <row r="6176" customFormat="false" ht="15.75" hidden="false" customHeight="false" outlineLevel="0" collapsed="false">
      <c r="A6176" s="6" t="n">
        <v>46180</v>
      </c>
      <c r="B6176" s="4" t="s">
        <v>4473</v>
      </c>
      <c r="C6176" s="4" t="n">
        <v>3</v>
      </c>
      <c r="D6176" s="4" t="n">
        <v>9</v>
      </c>
      <c r="E6176" s="4" t="s">
        <v>994</v>
      </c>
      <c r="F6176" s="4" t="n">
        <v>4</v>
      </c>
      <c r="G6176" s="4" t="n">
        <v>9</v>
      </c>
      <c r="H6176" s="4" t="n">
        <v>4</v>
      </c>
      <c r="I6176" s="4" t="str">
        <v>×</v>
      </c>
      <c r="J6176" s="4"/>
      <c r="K6176" s="4"/>
      <c r="L6176" s="4"/>
      <c r="M6176" s="5" t="s">
        <v>4475</v>
      </c>
    </row>
    <row r="6177" customFormat="false" ht="15.75" hidden="false" customHeight="false" outlineLevel="0" collapsed="false">
      <c r="A6177" s="6" t="n">
        <v>46180</v>
      </c>
      <c r="B6177" s="4" t="s">
        <v>4473</v>
      </c>
      <c r="C6177" s="4" t="n">
        <v>3</v>
      </c>
      <c r="D6177" s="4" t="n">
        <v>10</v>
      </c>
      <c r="E6177" s="4" t="s">
        <v>1918</v>
      </c>
      <c r="F6177" s="4" t="n">
        <v>6</v>
      </c>
      <c r="G6177" s="4" t="n">
        <v>8</v>
      </c>
      <c r="H6177" s="4" t="n">
        <v>4</v>
      </c>
      <c r="I6177" s="4" t="str">
        <v>×</v>
      </c>
      <c r="J6177" s="4"/>
      <c r="K6177" s="4"/>
      <c r="L6177" s="4"/>
      <c r="M6177" s="5" t="s">
        <v>4475</v>
      </c>
    </row>
    <row r="6178" customFormat="false" ht="15.75" hidden="false" customHeight="false" outlineLevel="0" collapsed="false">
      <c r="A6178" s="6" t="n">
        <v>46180</v>
      </c>
      <c r="B6178" s="4" t="s">
        <v>4473</v>
      </c>
      <c r="C6178" s="4" t="n">
        <v>3</v>
      </c>
      <c r="D6178" s="4" t="n">
        <v>11</v>
      </c>
      <c r="E6178" s="4" t="s">
        <v>1919</v>
      </c>
      <c r="F6178" s="4" t="n">
        <v>39</v>
      </c>
      <c r="G6178" s="4" t="n">
        <v>3</v>
      </c>
      <c r="H6178" s="4" t="n">
        <v>3</v>
      </c>
      <c r="I6178" s="4" t="str">
        <v>○</v>
      </c>
      <c r="J6178" s="4" t="n">
        <v>240</v>
      </c>
      <c r="K6178" s="4"/>
      <c r="L6178" s="4"/>
      <c r="M6178" s="5" t="s">
        <v>4475</v>
      </c>
    </row>
    <row r="6179" customFormat="false" ht="15.75" hidden="false" customHeight="false" outlineLevel="0" collapsed="false">
      <c r="A6179" s="6" t="n">
        <v>46180</v>
      </c>
      <c r="B6179" s="4" t="s">
        <v>4473</v>
      </c>
      <c r="C6179" s="4" t="n">
        <v>3</v>
      </c>
      <c r="D6179" s="4" t="n">
        <v>12</v>
      </c>
      <c r="E6179" s="4" t="s">
        <v>4690</v>
      </c>
      <c r="F6179" s="4" t="n">
        <v>4</v>
      </c>
      <c r="G6179" s="4" t="n">
        <v>9</v>
      </c>
      <c r="H6179" s="4" t="n">
        <v>4</v>
      </c>
      <c r="I6179" s="4" t="str">
        <v>×</v>
      </c>
      <c r="J6179" s="4"/>
      <c r="K6179" s="4"/>
      <c r="L6179" s="4"/>
      <c r="M6179" s="5" t="s">
        <v>4475</v>
      </c>
    </row>
    <row r="6180" customFormat="false" ht="15.75" hidden="false" customHeight="false" outlineLevel="0" collapsed="false">
      <c r="A6180" s="6" t="n">
        <v>46180</v>
      </c>
      <c r="B6180" s="4" t="s">
        <v>4473</v>
      </c>
      <c r="C6180" s="4" t="n">
        <v>3</v>
      </c>
      <c r="D6180" s="4" t="n">
        <v>13</v>
      </c>
      <c r="E6180" s="4" t="s">
        <v>4691</v>
      </c>
      <c r="F6180" s="4" t="n">
        <v>8</v>
      </c>
      <c r="G6180" s="4" t="n">
        <v>7</v>
      </c>
      <c r="H6180" s="4" t="n">
        <v>1</v>
      </c>
      <c r="I6180" s="4" t="str">
        <v>○</v>
      </c>
      <c r="J6180" s="4" t="n">
        <v>330</v>
      </c>
      <c r="K6180" s="4"/>
      <c r="L6180" s="4"/>
      <c r="M6180" s="5" t="s">
        <v>4475</v>
      </c>
    </row>
    <row r="6181" customFormat="false" ht="15.75" hidden="false" customHeight="false" outlineLevel="0" collapsed="false">
      <c r="A6181" s="6" t="n">
        <v>46180</v>
      </c>
      <c r="B6181" s="4" t="s">
        <v>4473</v>
      </c>
      <c r="C6181" s="4" t="n">
        <v>3</v>
      </c>
      <c r="D6181" s="4" t="n">
        <v>14</v>
      </c>
      <c r="E6181" s="4" t="s">
        <v>2583</v>
      </c>
      <c r="F6181" s="4" t="n">
        <v>10</v>
      </c>
      <c r="G6181" s="4" t="n">
        <v>6</v>
      </c>
      <c r="H6181" s="4" t="n">
        <v>4</v>
      </c>
      <c r="I6181" s="4" t="str">
        <v>×</v>
      </c>
      <c r="J6181" s="4"/>
      <c r="K6181" s="4"/>
      <c r="L6181" s="4"/>
      <c r="M6181" s="5" t="s">
        <v>4475</v>
      </c>
    </row>
    <row r="6182" customFormat="false" ht="15.75" hidden="false" customHeight="false" outlineLevel="0" collapsed="false">
      <c r="A6182" s="6" t="n">
        <v>46180</v>
      </c>
      <c r="B6182" s="4" t="s">
        <v>4473</v>
      </c>
      <c r="C6182" s="4" t="n">
        <v>3</v>
      </c>
      <c r="D6182" s="4" t="n">
        <v>15</v>
      </c>
      <c r="E6182" s="4" t="s">
        <v>3253</v>
      </c>
      <c r="F6182" s="4" t="n">
        <v>8</v>
      </c>
      <c r="G6182" s="4" t="n">
        <v>7</v>
      </c>
      <c r="H6182" s="4" t="n">
        <v>4</v>
      </c>
      <c r="I6182" s="4" t="str">
        <v>×</v>
      </c>
      <c r="J6182" s="4"/>
      <c r="K6182" s="4"/>
      <c r="L6182" s="4"/>
      <c r="M6182" s="5" t="s">
        <v>4475</v>
      </c>
    </row>
    <row r="6183" customFormat="false" ht="15.75" hidden="false" customHeight="false" outlineLevel="0" collapsed="false">
      <c r="A6183" s="6" t="n">
        <v>46180</v>
      </c>
      <c r="B6183" s="4" t="s">
        <v>4473</v>
      </c>
      <c r="C6183" s="4" t="n">
        <v>3</v>
      </c>
      <c r="D6183" s="4" t="n">
        <v>16</v>
      </c>
      <c r="E6183" s="4" t="s">
        <v>4692</v>
      </c>
      <c r="F6183" s="4" t="n">
        <v>47</v>
      </c>
      <c r="G6183" s="4" t="n">
        <v>2</v>
      </c>
      <c r="H6183" s="4" t="n">
        <v>4</v>
      </c>
      <c r="I6183" s="4" t="str">
        <v>×</v>
      </c>
      <c r="J6183" s="4"/>
      <c r="K6183" s="4"/>
      <c r="L6183" s="4"/>
      <c r="M6183" s="5" t="s">
        <v>4475</v>
      </c>
    </row>
    <row r="6184" customFormat="false" ht="15.75" hidden="false" customHeight="false" outlineLevel="0" collapsed="false">
      <c r="A6184" s="6" t="n">
        <v>46180</v>
      </c>
      <c r="B6184" s="4" t="s">
        <v>4473</v>
      </c>
      <c r="C6184" s="4" t="n">
        <v>4</v>
      </c>
      <c r="D6184" s="4" t="n">
        <v>1</v>
      </c>
      <c r="E6184" s="4" t="s">
        <v>4693</v>
      </c>
      <c r="F6184" s="4" t="n">
        <v>17</v>
      </c>
      <c r="G6184" s="4" t="n">
        <v>5</v>
      </c>
      <c r="H6184" s="4" t="n">
        <v>4</v>
      </c>
      <c r="I6184" s="4" t="str">
        <v>×</v>
      </c>
      <c r="J6184" s="4"/>
      <c r="K6184" s="4"/>
      <c r="L6184" s="4"/>
      <c r="M6184" s="5" t="s">
        <v>4475</v>
      </c>
    </row>
    <row r="6185" customFormat="false" ht="15.75" hidden="false" customHeight="false" outlineLevel="0" collapsed="false">
      <c r="A6185" s="6" t="n">
        <v>46180</v>
      </c>
      <c r="B6185" s="4" t="s">
        <v>4473</v>
      </c>
      <c r="C6185" s="4" t="n">
        <v>4</v>
      </c>
      <c r="D6185" s="4" t="n">
        <v>2</v>
      </c>
      <c r="E6185" s="4" t="s">
        <v>510</v>
      </c>
      <c r="F6185" s="4" t="n">
        <v>4</v>
      </c>
      <c r="G6185" s="4" t="n">
        <v>8</v>
      </c>
      <c r="H6185" s="4" t="n">
        <v>4</v>
      </c>
      <c r="I6185" s="4" t="str">
        <v>×</v>
      </c>
      <c r="J6185" s="4"/>
      <c r="K6185" s="4"/>
      <c r="L6185" s="4"/>
      <c r="M6185" s="5" t="s">
        <v>4475</v>
      </c>
    </row>
    <row r="6186" customFormat="false" ht="15.75" hidden="false" customHeight="false" outlineLevel="0" collapsed="false">
      <c r="A6186" s="6" t="n">
        <v>46180</v>
      </c>
      <c r="B6186" s="4" t="s">
        <v>4473</v>
      </c>
      <c r="C6186" s="4" t="n">
        <v>4</v>
      </c>
      <c r="D6186" s="4" t="n">
        <v>3</v>
      </c>
      <c r="E6186" s="4" t="s">
        <v>4694</v>
      </c>
      <c r="F6186" s="4" t="n">
        <v>25</v>
      </c>
      <c r="G6186" s="4" t="n">
        <v>4</v>
      </c>
      <c r="H6186" s="4" t="n">
        <v>1</v>
      </c>
      <c r="I6186" s="4" t="str">
        <v>○</v>
      </c>
      <c r="J6186" s="4" t="n">
        <v>410</v>
      </c>
      <c r="K6186" s="4"/>
      <c r="L6186" s="4"/>
      <c r="M6186" s="5" t="s">
        <v>4475</v>
      </c>
    </row>
    <row r="6187" customFormat="false" ht="15.75" hidden="false" customHeight="false" outlineLevel="0" collapsed="false">
      <c r="A6187" s="6" t="n">
        <v>46180</v>
      </c>
      <c r="B6187" s="4" t="s">
        <v>4473</v>
      </c>
      <c r="C6187" s="4" t="n">
        <v>4</v>
      </c>
      <c r="D6187" s="4" t="n">
        <v>4</v>
      </c>
      <c r="E6187" s="4" t="s">
        <v>513</v>
      </c>
      <c r="F6187" s="4" t="n">
        <v>3</v>
      </c>
      <c r="G6187" s="4" t="n">
        <v>9</v>
      </c>
      <c r="H6187" s="4" t="n">
        <v>4</v>
      </c>
      <c r="I6187" s="4" t="str">
        <v>×</v>
      </c>
      <c r="J6187" s="4"/>
      <c r="K6187" s="4"/>
      <c r="L6187" s="4"/>
      <c r="M6187" s="5" t="s">
        <v>4475</v>
      </c>
    </row>
    <row r="6188" customFormat="false" ht="15.75" hidden="false" customHeight="false" outlineLevel="0" collapsed="false">
      <c r="A6188" s="6" t="n">
        <v>46180</v>
      </c>
      <c r="B6188" s="4" t="s">
        <v>4473</v>
      </c>
      <c r="C6188" s="4" t="n">
        <v>4</v>
      </c>
      <c r="D6188" s="4" t="n">
        <v>5</v>
      </c>
      <c r="E6188" s="4" t="s">
        <v>4028</v>
      </c>
      <c r="F6188" s="4" t="n">
        <v>17</v>
      </c>
      <c r="G6188" s="4" t="n">
        <v>5</v>
      </c>
      <c r="H6188" s="4" t="n">
        <v>4</v>
      </c>
      <c r="I6188" s="4" t="str">
        <v>×</v>
      </c>
      <c r="J6188" s="4"/>
      <c r="K6188" s="4"/>
      <c r="L6188" s="4"/>
      <c r="M6188" s="5" t="s">
        <v>4475</v>
      </c>
    </row>
    <row r="6189" customFormat="false" ht="15.75" hidden="false" customHeight="false" outlineLevel="0" collapsed="false">
      <c r="A6189" s="6" t="n">
        <v>46180</v>
      </c>
      <c r="B6189" s="4" t="s">
        <v>4473</v>
      </c>
      <c r="C6189" s="4" t="n">
        <v>4</v>
      </c>
      <c r="D6189" s="4" t="n">
        <v>6</v>
      </c>
      <c r="E6189" s="4" t="s">
        <v>4695</v>
      </c>
      <c r="F6189" s="4" t="n">
        <v>4</v>
      </c>
      <c r="G6189" s="4" t="n">
        <v>8</v>
      </c>
      <c r="H6189" s="4" t="n">
        <v>4</v>
      </c>
      <c r="I6189" s="4" t="str">
        <v>×</v>
      </c>
      <c r="J6189" s="4"/>
      <c r="K6189" s="4"/>
      <c r="L6189" s="4"/>
      <c r="M6189" s="5" t="s">
        <v>4475</v>
      </c>
    </row>
    <row r="6190" customFormat="false" ht="15.75" hidden="false" customHeight="false" outlineLevel="0" collapsed="false">
      <c r="A6190" s="6" t="n">
        <v>46180</v>
      </c>
      <c r="B6190" s="4" t="s">
        <v>4473</v>
      </c>
      <c r="C6190" s="4" t="n">
        <v>4</v>
      </c>
      <c r="D6190" s="4" t="n">
        <v>7</v>
      </c>
      <c r="E6190" s="4" t="s">
        <v>4696</v>
      </c>
      <c r="F6190" s="4" t="n">
        <v>6</v>
      </c>
      <c r="G6190" s="4" t="n">
        <v>7</v>
      </c>
      <c r="H6190" s="4" t="n">
        <v>4</v>
      </c>
      <c r="I6190" s="4" t="str">
        <v>×</v>
      </c>
      <c r="J6190" s="4"/>
      <c r="K6190" s="4"/>
      <c r="L6190" s="4"/>
      <c r="M6190" s="5" t="s">
        <v>4475</v>
      </c>
    </row>
    <row r="6191" customFormat="false" ht="15.75" hidden="false" customHeight="false" outlineLevel="0" collapsed="false">
      <c r="A6191" s="6" t="n">
        <v>46180</v>
      </c>
      <c r="B6191" s="4" t="s">
        <v>4473</v>
      </c>
      <c r="C6191" s="4" t="n">
        <v>4</v>
      </c>
      <c r="D6191" s="4" t="n">
        <v>8</v>
      </c>
      <c r="E6191" s="4" t="s">
        <v>1860</v>
      </c>
      <c r="F6191" s="4" t="n">
        <v>13</v>
      </c>
      <c r="G6191" s="4" t="n">
        <v>6</v>
      </c>
      <c r="H6191" s="4" t="n">
        <v>4</v>
      </c>
      <c r="I6191" s="4" t="str">
        <v>×</v>
      </c>
      <c r="J6191" s="4"/>
      <c r="K6191" s="4"/>
      <c r="L6191" s="4"/>
      <c r="M6191" s="5" t="s">
        <v>4475</v>
      </c>
    </row>
    <row r="6192" customFormat="false" ht="15.75" hidden="false" customHeight="false" outlineLevel="0" collapsed="false">
      <c r="A6192" s="6" t="n">
        <v>46180</v>
      </c>
      <c r="B6192" s="4" t="s">
        <v>4473</v>
      </c>
      <c r="C6192" s="4" t="n">
        <v>4</v>
      </c>
      <c r="D6192" s="4" t="n">
        <v>9</v>
      </c>
      <c r="E6192" s="4" t="s">
        <v>4697</v>
      </c>
      <c r="F6192" s="4" t="n">
        <v>2</v>
      </c>
      <c r="G6192" s="4" t="n">
        <v>10</v>
      </c>
      <c r="H6192" s="4" t="n">
        <v>4</v>
      </c>
      <c r="I6192" s="4" t="str">
        <v>×</v>
      </c>
      <c r="J6192" s="4"/>
      <c r="K6192" s="4"/>
      <c r="L6192" s="4"/>
      <c r="M6192" s="5" t="s">
        <v>4475</v>
      </c>
    </row>
    <row r="6193" customFormat="false" ht="15.75" hidden="false" customHeight="false" outlineLevel="0" collapsed="false">
      <c r="A6193" s="6" t="n">
        <v>46180</v>
      </c>
      <c r="B6193" s="4" t="s">
        <v>4473</v>
      </c>
      <c r="C6193" s="4" t="n">
        <v>4</v>
      </c>
      <c r="D6193" s="4" t="n">
        <v>10</v>
      </c>
      <c r="E6193" s="4" t="s">
        <v>4698</v>
      </c>
      <c r="F6193" s="4" t="n">
        <v>6</v>
      </c>
      <c r="G6193" s="4" t="n">
        <v>7</v>
      </c>
      <c r="H6193" s="4" t="n">
        <v>4</v>
      </c>
      <c r="I6193" s="4" t="str">
        <v>×</v>
      </c>
      <c r="J6193" s="4"/>
      <c r="K6193" s="4"/>
      <c r="L6193" s="4"/>
      <c r="M6193" s="5" t="s">
        <v>4475</v>
      </c>
    </row>
    <row r="6194" customFormat="false" ht="15.75" hidden="false" customHeight="false" outlineLevel="0" collapsed="false">
      <c r="A6194" s="6" t="n">
        <v>46180</v>
      </c>
      <c r="B6194" s="4" t="s">
        <v>4473</v>
      </c>
      <c r="C6194" s="4" t="n">
        <v>4</v>
      </c>
      <c r="D6194" s="4" t="n">
        <v>11</v>
      </c>
      <c r="E6194" s="4" t="s">
        <v>507</v>
      </c>
      <c r="F6194" s="4" t="n">
        <v>3</v>
      </c>
      <c r="G6194" s="4" t="n">
        <v>9</v>
      </c>
      <c r="H6194" s="4" t="n">
        <v>4</v>
      </c>
      <c r="I6194" s="4" t="str">
        <v>×</v>
      </c>
      <c r="J6194" s="4"/>
      <c r="K6194" s="4"/>
      <c r="L6194" s="4"/>
      <c r="M6194" s="5" t="s">
        <v>4475</v>
      </c>
    </row>
    <row r="6195" customFormat="false" ht="15.75" hidden="false" customHeight="false" outlineLevel="0" collapsed="false">
      <c r="A6195" s="6" t="n">
        <v>46180</v>
      </c>
      <c r="B6195" s="4" t="s">
        <v>4473</v>
      </c>
      <c r="C6195" s="4" t="n">
        <v>4</v>
      </c>
      <c r="D6195" s="4" t="n">
        <v>12</v>
      </c>
      <c r="E6195" s="4" t="s">
        <v>4699</v>
      </c>
      <c r="F6195" s="4" t="n">
        <v>47</v>
      </c>
      <c r="G6195" s="4" t="n">
        <v>2</v>
      </c>
      <c r="H6195" s="4" t="n">
        <v>4</v>
      </c>
      <c r="I6195" s="4" t="str">
        <v>×</v>
      </c>
      <c r="J6195" s="4"/>
      <c r="K6195" s="4"/>
      <c r="L6195" s="4"/>
      <c r="M6195" s="5" t="s">
        <v>4475</v>
      </c>
    </row>
    <row r="6196" customFormat="false" ht="15.75" hidden="false" customHeight="false" outlineLevel="0" collapsed="false">
      <c r="A6196" s="6" t="n">
        <v>46180</v>
      </c>
      <c r="B6196" s="4" t="s">
        <v>4473</v>
      </c>
      <c r="C6196" s="4" t="n">
        <v>4</v>
      </c>
      <c r="D6196" s="4" t="n">
        <v>13</v>
      </c>
      <c r="E6196" s="4" t="s">
        <v>4700</v>
      </c>
      <c r="F6196" s="4" t="n">
        <v>4</v>
      </c>
      <c r="G6196" s="4" t="n">
        <v>8</v>
      </c>
      <c r="H6196" s="4" t="n">
        <v>4</v>
      </c>
      <c r="I6196" s="4" t="str">
        <v>×</v>
      </c>
      <c r="J6196" s="4"/>
      <c r="K6196" s="4"/>
      <c r="L6196" s="4"/>
      <c r="M6196" s="5" t="s">
        <v>4475</v>
      </c>
    </row>
    <row r="6197" customFormat="false" ht="15.75" hidden="false" customHeight="false" outlineLevel="0" collapsed="false">
      <c r="A6197" s="6" t="n">
        <v>46180</v>
      </c>
      <c r="B6197" s="4" t="s">
        <v>4473</v>
      </c>
      <c r="C6197" s="4" t="n">
        <v>4</v>
      </c>
      <c r="D6197" s="4" t="n">
        <v>14</v>
      </c>
      <c r="E6197" s="4" t="s">
        <v>4701</v>
      </c>
      <c r="F6197" s="4" t="n">
        <v>6</v>
      </c>
      <c r="G6197" s="4" t="n">
        <v>7</v>
      </c>
      <c r="H6197" s="4" t="n">
        <v>4</v>
      </c>
      <c r="I6197" s="4" t="str">
        <v>×</v>
      </c>
      <c r="J6197" s="4"/>
      <c r="K6197" s="4"/>
      <c r="L6197" s="4"/>
      <c r="M6197" s="5" t="s">
        <v>4475</v>
      </c>
    </row>
    <row r="6198" customFormat="false" ht="15.75" hidden="false" customHeight="false" outlineLevel="0" collapsed="false">
      <c r="A6198" s="6" t="n">
        <v>46180</v>
      </c>
      <c r="B6198" s="4" t="s">
        <v>4473</v>
      </c>
      <c r="C6198" s="4" t="n">
        <v>4</v>
      </c>
      <c r="D6198" s="4" t="n">
        <v>15</v>
      </c>
      <c r="E6198" s="4" t="s">
        <v>4428</v>
      </c>
      <c r="F6198" s="4" t="n">
        <v>37</v>
      </c>
      <c r="G6198" s="4" t="n">
        <v>3</v>
      </c>
      <c r="H6198" s="4" t="n">
        <v>4</v>
      </c>
      <c r="I6198" s="4" t="str">
        <v>×</v>
      </c>
      <c r="J6198" s="4"/>
      <c r="K6198" s="4"/>
      <c r="L6198" s="4"/>
      <c r="M6198" s="5" t="s">
        <v>4475</v>
      </c>
    </row>
    <row r="6199" customFormat="false" ht="15.75" hidden="false" customHeight="false" outlineLevel="0" collapsed="false">
      <c r="A6199" s="6" t="n">
        <v>46180</v>
      </c>
      <c r="B6199" s="4" t="s">
        <v>4473</v>
      </c>
      <c r="C6199" s="4" t="n">
        <v>4</v>
      </c>
      <c r="D6199" s="4" t="n">
        <v>16</v>
      </c>
      <c r="E6199" s="4" t="s">
        <v>4702</v>
      </c>
      <c r="F6199" s="4" t="n">
        <v>58</v>
      </c>
      <c r="G6199" s="4" t="n">
        <v>1</v>
      </c>
      <c r="H6199" s="4" t="n">
        <v>3</v>
      </c>
      <c r="I6199" s="4" t="str">
        <v>○</v>
      </c>
      <c r="J6199" s="4" t="n">
        <v>140</v>
      </c>
      <c r="K6199" s="4"/>
      <c r="L6199" s="4"/>
      <c r="M6199" s="5" t="s">
        <v>4475</v>
      </c>
    </row>
    <row r="6200" customFormat="false" ht="15.75" hidden="false" customHeight="false" outlineLevel="0" collapsed="false">
      <c r="A6200" s="6" t="n">
        <v>46180</v>
      </c>
      <c r="B6200" s="4" t="s">
        <v>4473</v>
      </c>
      <c r="C6200" s="4" t="n">
        <v>4</v>
      </c>
      <c r="D6200" s="4" t="n">
        <v>17</v>
      </c>
      <c r="E6200" s="4" t="s">
        <v>508</v>
      </c>
      <c r="F6200" s="4" t="n">
        <v>13</v>
      </c>
      <c r="G6200" s="4" t="n">
        <v>6</v>
      </c>
      <c r="H6200" s="4" t="n">
        <v>2</v>
      </c>
      <c r="I6200" s="4" t="str">
        <v>○</v>
      </c>
      <c r="J6200" s="4" t="n">
        <v>250</v>
      </c>
      <c r="K6200" s="4"/>
      <c r="L6200" s="4"/>
      <c r="M6200" s="5" t="s">
        <v>4475</v>
      </c>
    </row>
    <row r="6201" customFormat="false" ht="15.75" hidden="false" customHeight="false" outlineLevel="0" collapsed="false">
      <c r="A6201" s="6" t="n">
        <v>46180</v>
      </c>
      <c r="B6201" s="4" t="s">
        <v>4473</v>
      </c>
      <c r="C6201" s="4" t="n">
        <v>4</v>
      </c>
      <c r="D6201" s="4" t="n">
        <v>18</v>
      </c>
      <c r="E6201" s="4" t="s">
        <v>4703</v>
      </c>
      <c r="F6201" s="4" t="n">
        <v>4</v>
      </c>
      <c r="G6201" s="4" t="n">
        <v>8</v>
      </c>
      <c r="H6201" s="4" t="n">
        <v>4</v>
      </c>
      <c r="I6201" s="4" t="str">
        <v>×</v>
      </c>
      <c r="J6201" s="4"/>
      <c r="K6201" s="4"/>
      <c r="L6201" s="4"/>
      <c r="M6201" s="5" t="s">
        <v>4475</v>
      </c>
    </row>
    <row r="6202" customFormat="false" ht="15.75" hidden="false" customHeight="false" outlineLevel="0" collapsed="false">
      <c r="A6202" s="6" t="n">
        <v>46180</v>
      </c>
      <c r="B6202" s="4" t="s">
        <v>4473</v>
      </c>
      <c r="C6202" s="4" t="n">
        <v>5</v>
      </c>
      <c r="D6202" s="4" t="n">
        <v>1</v>
      </c>
      <c r="E6202" s="4" t="s">
        <v>4704</v>
      </c>
      <c r="F6202" s="4" t="n">
        <v>27</v>
      </c>
      <c r="G6202" s="4" t="n">
        <v>2</v>
      </c>
      <c r="H6202" s="4" t="n">
        <v>4</v>
      </c>
      <c r="I6202" s="4" t="str">
        <v>×</v>
      </c>
      <c r="J6202" s="4"/>
      <c r="K6202" s="4"/>
      <c r="L6202" s="4"/>
      <c r="M6202" s="5" t="s">
        <v>4475</v>
      </c>
    </row>
    <row r="6203" customFormat="false" ht="15.75" hidden="false" customHeight="false" outlineLevel="0" collapsed="false">
      <c r="A6203" s="6" t="n">
        <v>46180</v>
      </c>
      <c r="B6203" s="4" t="s">
        <v>4473</v>
      </c>
      <c r="C6203" s="4" t="n">
        <v>5</v>
      </c>
      <c r="D6203" s="4" t="n">
        <v>2</v>
      </c>
      <c r="E6203" s="4" t="s">
        <v>4705</v>
      </c>
      <c r="F6203" s="4" t="n">
        <v>24</v>
      </c>
      <c r="G6203" s="4" t="n">
        <v>3</v>
      </c>
      <c r="H6203" s="4" t="n">
        <v>1</v>
      </c>
      <c r="I6203" s="4" t="str">
        <v>○</v>
      </c>
      <c r="J6203" s="4" t="n">
        <v>110</v>
      </c>
      <c r="K6203" s="4"/>
      <c r="L6203" s="4"/>
      <c r="M6203" s="5" t="s">
        <v>4475</v>
      </c>
    </row>
    <row r="6204" customFormat="false" ht="15.75" hidden="false" customHeight="false" outlineLevel="0" collapsed="false">
      <c r="A6204" s="6" t="n">
        <v>46180</v>
      </c>
      <c r="B6204" s="4" t="s">
        <v>4473</v>
      </c>
      <c r="C6204" s="4" t="n">
        <v>5</v>
      </c>
      <c r="D6204" s="4" t="n">
        <v>3</v>
      </c>
      <c r="E6204" s="4" t="s">
        <v>930</v>
      </c>
      <c r="F6204" s="4" t="n">
        <v>14</v>
      </c>
      <c r="G6204" s="4" t="n">
        <v>5</v>
      </c>
      <c r="H6204" s="4" t="n">
        <v>3</v>
      </c>
      <c r="I6204" s="4" t="str">
        <v>○</v>
      </c>
      <c r="J6204" s="4" t="n">
        <v>470</v>
      </c>
      <c r="K6204" s="4"/>
      <c r="L6204" s="4"/>
      <c r="M6204" s="5" t="s">
        <v>4475</v>
      </c>
    </row>
    <row r="6205" customFormat="false" ht="15.75" hidden="false" customHeight="false" outlineLevel="0" collapsed="false">
      <c r="A6205" s="6" t="n">
        <v>46180</v>
      </c>
      <c r="B6205" s="4" t="s">
        <v>4473</v>
      </c>
      <c r="C6205" s="4" t="n">
        <v>5</v>
      </c>
      <c r="D6205" s="4" t="n">
        <v>4</v>
      </c>
      <c r="E6205" s="4" t="s">
        <v>1894</v>
      </c>
      <c r="F6205" s="4" t="n">
        <v>21</v>
      </c>
      <c r="G6205" s="4" t="n">
        <v>4</v>
      </c>
      <c r="H6205" s="4" t="n">
        <v>2</v>
      </c>
      <c r="I6205" s="4" t="str">
        <v>○</v>
      </c>
      <c r="J6205" s="4" t="n">
        <v>2030</v>
      </c>
      <c r="K6205" s="4"/>
      <c r="L6205" s="4"/>
      <c r="M6205" s="5" t="s">
        <v>4475</v>
      </c>
    </row>
    <row r="6206" customFormat="false" ht="15.75" hidden="false" customHeight="false" outlineLevel="0" collapsed="false">
      <c r="A6206" s="6" t="n">
        <v>46180</v>
      </c>
      <c r="B6206" s="4" t="s">
        <v>4473</v>
      </c>
      <c r="C6206" s="4" t="n">
        <v>5</v>
      </c>
      <c r="D6206" s="4" t="n">
        <v>5</v>
      </c>
      <c r="E6206" s="4" t="s">
        <v>4706</v>
      </c>
      <c r="F6206" s="4" t="n">
        <v>8</v>
      </c>
      <c r="G6206" s="4" t="n">
        <v>6</v>
      </c>
      <c r="H6206" s="4" t="n">
        <v>4</v>
      </c>
      <c r="I6206" s="4" t="str">
        <v>×</v>
      </c>
      <c r="J6206" s="4"/>
      <c r="K6206" s="4"/>
      <c r="L6206" s="4"/>
      <c r="M6206" s="5" t="s">
        <v>4475</v>
      </c>
    </row>
    <row r="6207" customFormat="false" ht="15.75" hidden="false" customHeight="false" outlineLevel="0" collapsed="false">
      <c r="A6207" s="6" t="n">
        <v>46180</v>
      </c>
      <c r="B6207" s="4" t="s">
        <v>4473</v>
      </c>
      <c r="C6207" s="4" t="n">
        <v>5</v>
      </c>
      <c r="D6207" s="4" t="n">
        <v>6</v>
      </c>
      <c r="E6207" s="4" t="s">
        <v>4707</v>
      </c>
      <c r="F6207" s="4" t="n">
        <v>31</v>
      </c>
      <c r="G6207" s="4" t="n">
        <v>1</v>
      </c>
      <c r="H6207" s="4" t="n">
        <v>4</v>
      </c>
      <c r="I6207" s="4" t="str">
        <v>×</v>
      </c>
      <c r="J6207" s="4"/>
      <c r="K6207" s="4"/>
      <c r="L6207" s="4"/>
      <c r="M6207" s="5" t="s">
        <v>4475</v>
      </c>
    </row>
    <row r="6208" customFormat="false" ht="15.75" hidden="false" customHeight="false" outlineLevel="0" collapsed="false">
      <c r="A6208" s="6" t="n">
        <v>46180</v>
      </c>
      <c r="B6208" s="4" t="s">
        <v>4473</v>
      </c>
      <c r="C6208" s="4" t="n">
        <v>5</v>
      </c>
      <c r="D6208" s="4" t="n">
        <v>7</v>
      </c>
      <c r="E6208" s="4" t="s">
        <v>1901</v>
      </c>
      <c r="F6208" s="4" t="n">
        <v>27</v>
      </c>
      <c r="G6208" s="4" t="n">
        <v>2</v>
      </c>
      <c r="H6208" s="4" t="n">
        <v>4</v>
      </c>
      <c r="I6208" s="4" t="str">
        <v>×</v>
      </c>
      <c r="J6208" s="4"/>
      <c r="K6208" s="4"/>
      <c r="L6208" s="4"/>
      <c r="M6208" s="5" t="s">
        <v>4475</v>
      </c>
    </row>
    <row r="6209" customFormat="false" ht="15.75" hidden="false" customHeight="false" outlineLevel="0" collapsed="false">
      <c r="A6209" s="6" t="n">
        <v>46180</v>
      </c>
      <c r="B6209" s="4" t="s">
        <v>4473</v>
      </c>
      <c r="C6209" s="4" t="n">
        <v>5</v>
      </c>
      <c r="D6209" s="4" t="n">
        <v>8</v>
      </c>
      <c r="E6209" s="4" t="s">
        <v>4708</v>
      </c>
      <c r="F6209" s="4" t="n">
        <v>31</v>
      </c>
      <c r="G6209" s="4" t="n">
        <v>1</v>
      </c>
      <c r="H6209" s="4" t="n">
        <v>4</v>
      </c>
      <c r="I6209" s="4" t="str">
        <v>×</v>
      </c>
      <c r="J6209" s="4"/>
      <c r="K6209" s="4"/>
      <c r="L6209" s="4"/>
      <c r="M6209" s="5" t="s">
        <v>4475</v>
      </c>
    </row>
    <row r="6210" customFormat="false" ht="15.75" hidden="false" customHeight="false" outlineLevel="0" collapsed="false">
      <c r="A6210" s="6" t="n">
        <v>46180</v>
      </c>
      <c r="B6210" s="4" t="s">
        <v>4473</v>
      </c>
      <c r="C6210" s="4" t="n">
        <v>5</v>
      </c>
      <c r="D6210" s="4" t="n">
        <v>9</v>
      </c>
      <c r="E6210" s="4" t="s">
        <v>3981</v>
      </c>
      <c r="F6210" s="4" t="n">
        <v>8</v>
      </c>
      <c r="G6210" s="4" t="n">
        <v>6</v>
      </c>
      <c r="H6210" s="4" t="n">
        <v>4</v>
      </c>
      <c r="I6210" s="4" t="str">
        <v>×</v>
      </c>
      <c r="J6210" s="4"/>
      <c r="K6210" s="4"/>
      <c r="L6210" s="4"/>
      <c r="M6210" s="5" t="s">
        <v>4475</v>
      </c>
    </row>
    <row r="6211" customFormat="false" ht="15.75" hidden="false" customHeight="false" outlineLevel="0" collapsed="false">
      <c r="A6211" s="6" t="n">
        <v>46180</v>
      </c>
      <c r="B6211" s="4" t="s">
        <v>4473</v>
      </c>
      <c r="C6211" s="4" t="n">
        <v>5</v>
      </c>
      <c r="D6211" s="4" t="n">
        <v>10</v>
      </c>
      <c r="E6211" s="4" t="s">
        <v>4709</v>
      </c>
      <c r="F6211" s="4" t="n">
        <v>14</v>
      </c>
      <c r="G6211" s="4" t="n">
        <v>5</v>
      </c>
      <c r="H6211" s="4" t="n">
        <v>4</v>
      </c>
      <c r="I6211" s="4" t="str">
        <v>×</v>
      </c>
      <c r="J6211" s="4"/>
      <c r="K6211" s="4"/>
      <c r="L6211" s="4"/>
      <c r="M6211" s="5" t="s">
        <v>4475</v>
      </c>
    </row>
    <row r="6212" customFormat="false" ht="15.75" hidden="false" customHeight="false" outlineLevel="0" collapsed="false">
      <c r="A6212" s="6" t="n">
        <v>46180</v>
      </c>
      <c r="B6212" s="4" t="s">
        <v>4473</v>
      </c>
      <c r="C6212" s="4" t="n">
        <v>6</v>
      </c>
      <c r="D6212" s="4" t="n">
        <v>1</v>
      </c>
      <c r="E6212" s="4" t="s">
        <v>4710</v>
      </c>
      <c r="F6212" s="4" t="n">
        <v>8</v>
      </c>
      <c r="G6212" s="4" t="n">
        <v>8</v>
      </c>
      <c r="H6212" s="4" t="n">
        <v>4</v>
      </c>
      <c r="I6212" s="4" t="str">
        <v>×</v>
      </c>
      <c r="J6212" s="4"/>
      <c r="K6212" s="4"/>
      <c r="L6212" s="4"/>
      <c r="M6212" s="5" t="s">
        <v>4475</v>
      </c>
    </row>
    <row r="6213" customFormat="false" ht="15.75" hidden="false" customHeight="false" outlineLevel="0" collapsed="false">
      <c r="A6213" s="6" t="n">
        <v>46180</v>
      </c>
      <c r="B6213" s="4" t="s">
        <v>4473</v>
      </c>
      <c r="C6213" s="4" t="n">
        <v>6</v>
      </c>
      <c r="D6213" s="4" t="n">
        <v>2</v>
      </c>
      <c r="E6213" s="4" t="s">
        <v>4711</v>
      </c>
      <c r="F6213" s="4" t="n">
        <v>8</v>
      </c>
      <c r="G6213" s="4" t="n">
        <v>8</v>
      </c>
      <c r="H6213" s="4" t="n">
        <v>4</v>
      </c>
      <c r="I6213" s="4" t="str">
        <v>×</v>
      </c>
      <c r="J6213" s="4"/>
      <c r="K6213" s="4"/>
      <c r="L6213" s="4"/>
      <c r="M6213" s="5" t="s">
        <v>4475</v>
      </c>
    </row>
    <row r="6214" customFormat="false" ht="15.75" hidden="false" customHeight="false" outlineLevel="0" collapsed="false">
      <c r="A6214" s="6" t="n">
        <v>46180</v>
      </c>
      <c r="B6214" s="4" t="s">
        <v>4473</v>
      </c>
      <c r="C6214" s="4" t="n">
        <v>6</v>
      </c>
      <c r="D6214" s="4" t="n">
        <v>3</v>
      </c>
      <c r="E6214" s="4" t="s">
        <v>4712</v>
      </c>
      <c r="F6214" s="4" t="n">
        <v>15</v>
      </c>
      <c r="G6214" s="4" t="n">
        <v>6</v>
      </c>
      <c r="H6214" s="4" t="n">
        <v>4</v>
      </c>
      <c r="I6214" s="4" t="str">
        <v>×</v>
      </c>
      <c r="J6214" s="4"/>
      <c r="K6214" s="4"/>
      <c r="L6214" s="4"/>
      <c r="M6214" s="5" t="s">
        <v>4475</v>
      </c>
    </row>
    <row r="6215" customFormat="false" ht="15.75" hidden="false" customHeight="false" outlineLevel="0" collapsed="false">
      <c r="A6215" s="6" t="n">
        <v>46180</v>
      </c>
      <c r="B6215" s="4" t="s">
        <v>4473</v>
      </c>
      <c r="C6215" s="4" t="n">
        <v>6</v>
      </c>
      <c r="D6215" s="4" t="n">
        <v>4</v>
      </c>
      <c r="E6215" s="4" t="s">
        <v>3034</v>
      </c>
      <c r="F6215" s="4" t="n">
        <v>75</v>
      </c>
      <c r="G6215" s="4" t="n">
        <v>1</v>
      </c>
      <c r="H6215" s="4" t="n">
        <v>3</v>
      </c>
      <c r="I6215" s="4" t="str">
        <v>○</v>
      </c>
      <c r="J6215" s="4" t="n">
        <v>110</v>
      </c>
      <c r="K6215" s="4"/>
      <c r="L6215" s="4"/>
      <c r="M6215" s="5" t="s">
        <v>4475</v>
      </c>
    </row>
    <row r="6216" customFormat="false" ht="15.75" hidden="false" customHeight="false" outlineLevel="0" collapsed="false">
      <c r="A6216" s="6" t="n">
        <v>46180</v>
      </c>
      <c r="B6216" s="4" t="s">
        <v>4473</v>
      </c>
      <c r="C6216" s="4" t="n">
        <v>6</v>
      </c>
      <c r="D6216" s="4" t="n">
        <v>5</v>
      </c>
      <c r="E6216" s="4" t="s">
        <v>488</v>
      </c>
      <c r="F6216" s="4" t="n">
        <v>4</v>
      </c>
      <c r="G6216" s="4" t="n">
        <v>9</v>
      </c>
      <c r="H6216" s="4" t="n">
        <v>4</v>
      </c>
      <c r="I6216" s="4" t="str">
        <v>×</v>
      </c>
      <c r="J6216" s="4"/>
      <c r="K6216" s="4"/>
      <c r="L6216" s="4"/>
      <c r="M6216" s="5" t="s">
        <v>4475</v>
      </c>
    </row>
    <row r="6217" customFormat="false" ht="15.75" hidden="false" customHeight="false" outlineLevel="0" collapsed="false">
      <c r="A6217" s="6" t="n">
        <v>46180</v>
      </c>
      <c r="B6217" s="4" t="s">
        <v>4473</v>
      </c>
      <c r="C6217" s="4" t="n">
        <v>6</v>
      </c>
      <c r="D6217" s="4" t="n">
        <v>6</v>
      </c>
      <c r="E6217" s="4" t="s">
        <v>4713</v>
      </c>
      <c r="F6217" s="4" t="n">
        <v>2</v>
      </c>
      <c r="G6217" s="4" t="n">
        <v>10</v>
      </c>
      <c r="H6217" s="4" t="n">
        <v>4</v>
      </c>
      <c r="I6217" s="4" t="str">
        <v>×</v>
      </c>
      <c r="J6217" s="4"/>
      <c r="K6217" s="4"/>
      <c r="L6217" s="4"/>
      <c r="M6217" s="5" t="s">
        <v>4475</v>
      </c>
    </row>
    <row r="6218" customFormat="false" ht="15.75" hidden="false" customHeight="false" outlineLevel="0" collapsed="false">
      <c r="A6218" s="6" t="n">
        <v>46180</v>
      </c>
      <c r="B6218" s="4" t="s">
        <v>4473</v>
      </c>
      <c r="C6218" s="4" t="n">
        <v>6</v>
      </c>
      <c r="D6218" s="4" t="n">
        <v>7</v>
      </c>
      <c r="E6218" s="4" t="s">
        <v>4714</v>
      </c>
      <c r="F6218" s="4" t="n">
        <v>10</v>
      </c>
      <c r="G6218" s="4" t="n">
        <v>7</v>
      </c>
      <c r="H6218" s="4" t="n">
        <v>4</v>
      </c>
      <c r="I6218" s="4" t="str">
        <v>×</v>
      </c>
      <c r="J6218" s="4"/>
      <c r="K6218" s="4"/>
      <c r="L6218" s="4"/>
      <c r="M6218" s="5" t="s">
        <v>4475</v>
      </c>
    </row>
    <row r="6219" customFormat="false" ht="15.75" hidden="false" customHeight="false" outlineLevel="0" collapsed="false">
      <c r="A6219" s="6" t="n">
        <v>46180</v>
      </c>
      <c r="B6219" s="4" t="s">
        <v>4473</v>
      </c>
      <c r="C6219" s="4" t="n">
        <v>6</v>
      </c>
      <c r="D6219" s="4" t="n">
        <v>8</v>
      </c>
      <c r="E6219" s="4" t="s">
        <v>3036</v>
      </c>
      <c r="F6219" s="4" t="n">
        <v>41</v>
      </c>
      <c r="G6219" s="4" t="n">
        <v>2</v>
      </c>
      <c r="H6219" s="4" t="n">
        <v>2</v>
      </c>
      <c r="I6219" s="4" t="str">
        <v>○</v>
      </c>
      <c r="J6219" s="4" t="n">
        <v>170</v>
      </c>
      <c r="K6219" s="4"/>
      <c r="L6219" s="4"/>
      <c r="M6219" s="5" t="s">
        <v>4475</v>
      </c>
    </row>
    <row r="6220" customFormat="false" ht="15.75" hidden="false" customHeight="false" outlineLevel="0" collapsed="false">
      <c r="A6220" s="6" t="n">
        <v>46180</v>
      </c>
      <c r="B6220" s="4" t="s">
        <v>4473</v>
      </c>
      <c r="C6220" s="4" t="n">
        <v>6</v>
      </c>
      <c r="D6220" s="4" t="n">
        <v>9</v>
      </c>
      <c r="E6220" s="4" t="s">
        <v>3736</v>
      </c>
      <c r="F6220" s="4" t="n">
        <v>34</v>
      </c>
      <c r="G6220" s="4" t="n">
        <v>4</v>
      </c>
      <c r="H6220" s="4" t="n">
        <v>4</v>
      </c>
      <c r="I6220" s="4" t="str">
        <v>×</v>
      </c>
      <c r="J6220" s="4"/>
      <c r="K6220" s="4"/>
      <c r="L6220" s="4"/>
      <c r="M6220" s="5" t="s">
        <v>4475</v>
      </c>
    </row>
    <row r="6221" customFormat="false" ht="15.75" hidden="false" customHeight="false" outlineLevel="0" collapsed="false">
      <c r="A6221" s="6" t="n">
        <v>46180</v>
      </c>
      <c r="B6221" s="4" t="s">
        <v>4473</v>
      </c>
      <c r="C6221" s="4" t="n">
        <v>6</v>
      </c>
      <c r="D6221" s="4" t="n">
        <v>10</v>
      </c>
      <c r="E6221" s="4" t="s">
        <v>3781</v>
      </c>
      <c r="F6221" s="4" t="n">
        <v>39</v>
      </c>
      <c r="G6221" s="4" t="n">
        <v>3</v>
      </c>
      <c r="H6221" s="4" t="n">
        <v>1</v>
      </c>
      <c r="I6221" s="4" t="str">
        <v>○</v>
      </c>
      <c r="J6221" s="4" t="n">
        <v>190</v>
      </c>
      <c r="K6221" s="4"/>
      <c r="L6221" s="4"/>
      <c r="M6221" s="5" t="s">
        <v>4475</v>
      </c>
    </row>
    <row r="6222" customFormat="false" ht="15.75" hidden="false" customHeight="false" outlineLevel="0" collapsed="false">
      <c r="A6222" s="6" t="n">
        <v>46180</v>
      </c>
      <c r="B6222" s="4" t="s">
        <v>4473</v>
      </c>
      <c r="C6222" s="4" t="n">
        <v>6</v>
      </c>
      <c r="D6222" s="4" t="n">
        <v>11</v>
      </c>
      <c r="E6222" s="4" t="s">
        <v>2557</v>
      </c>
      <c r="F6222" s="4" t="n">
        <v>20</v>
      </c>
      <c r="G6222" s="4" t="n">
        <v>5</v>
      </c>
      <c r="H6222" s="4" t="n">
        <v>4</v>
      </c>
      <c r="I6222" s="4" t="str">
        <v>×</v>
      </c>
      <c r="J6222" s="4"/>
      <c r="K6222" s="4"/>
      <c r="L6222" s="4"/>
      <c r="M6222" s="5" t="s">
        <v>4475</v>
      </c>
    </row>
    <row r="6223" customFormat="false" ht="15.75" hidden="false" customHeight="false" outlineLevel="0" collapsed="false">
      <c r="A6223" s="6" t="n">
        <v>46180</v>
      </c>
      <c r="B6223" s="4" t="s">
        <v>4473</v>
      </c>
      <c r="C6223" s="4" t="n">
        <v>6</v>
      </c>
      <c r="D6223" s="4" t="n">
        <v>12</v>
      </c>
      <c r="E6223" s="4" t="s">
        <v>4715</v>
      </c>
      <c r="F6223" s="4" t="n">
        <v>8</v>
      </c>
      <c r="G6223" s="4" t="n">
        <v>8</v>
      </c>
      <c r="H6223" s="4" t="n">
        <v>4</v>
      </c>
      <c r="I6223" s="4" t="str">
        <v>×</v>
      </c>
      <c r="J6223" s="4"/>
      <c r="K6223" s="4"/>
      <c r="L6223" s="4"/>
      <c r="M6223" s="5" t="s">
        <v>4475</v>
      </c>
    </row>
    <row r="6224" customFormat="false" ht="15.75" hidden="false" customHeight="false" outlineLevel="0" collapsed="false">
      <c r="A6224" s="6" t="n">
        <v>46180</v>
      </c>
      <c r="B6224" s="4" t="s">
        <v>4473</v>
      </c>
      <c r="C6224" s="4" t="n">
        <v>6</v>
      </c>
      <c r="D6224" s="4" t="n">
        <v>13</v>
      </c>
      <c r="E6224" s="4" t="s">
        <v>3739</v>
      </c>
      <c r="F6224" s="4" t="n">
        <v>2</v>
      </c>
      <c r="G6224" s="4" t="n">
        <v>10</v>
      </c>
      <c r="H6224" s="4" t="n">
        <v>4</v>
      </c>
      <c r="I6224" s="4" t="str">
        <v>×</v>
      </c>
      <c r="J6224" s="4"/>
      <c r="K6224" s="4"/>
      <c r="L6224" s="4"/>
      <c r="M6224" s="5" t="s">
        <v>4475</v>
      </c>
    </row>
    <row r="6225" customFormat="false" ht="15.75" hidden="false" customHeight="false" outlineLevel="0" collapsed="false">
      <c r="A6225" s="6" t="n">
        <v>46180</v>
      </c>
      <c r="B6225" s="4" t="s">
        <v>4473</v>
      </c>
      <c r="C6225" s="4" t="n">
        <v>6</v>
      </c>
      <c r="D6225" s="4" t="n">
        <v>14</v>
      </c>
      <c r="E6225" s="4" t="s">
        <v>4716</v>
      </c>
      <c r="F6225" s="4" t="n">
        <v>8</v>
      </c>
      <c r="G6225" s="4" t="n">
        <v>8</v>
      </c>
      <c r="H6225" s="4" t="n">
        <v>4</v>
      </c>
      <c r="I6225" s="4" t="str">
        <v>×</v>
      </c>
      <c r="J6225" s="4"/>
      <c r="K6225" s="4"/>
      <c r="L6225" s="4"/>
      <c r="M6225" s="5" t="s">
        <v>4475</v>
      </c>
    </row>
    <row r="6226" customFormat="false" ht="15.75" hidden="false" customHeight="false" outlineLevel="0" collapsed="false">
      <c r="A6226" s="6" t="n">
        <v>46180</v>
      </c>
      <c r="B6226" s="4" t="s">
        <v>4473</v>
      </c>
      <c r="C6226" s="4" t="n">
        <v>6</v>
      </c>
      <c r="D6226" s="4" t="n">
        <v>15</v>
      </c>
      <c r="E6226" s="4" t="s">
        <v>4717</v>
      </c>
      <c r="F6226" s="4" t="n">
        <v>10</v>
      </c>
      <c r="G6226" s="4" t="n">
        <v>7</v>
      </c>
      <c r="H6226" s="4" t="n">
        <v>4</v>
      </c>
      <c r="I6226" s="4" t="str">
        <v>×</v>
      </c>
      <c r="J6226" s="4"/>
      <c r="K6226" s="4"/>
      <c r="L6226" s="4"/>
      <c r="M6226" s="5" t="s">
        <v>4475</v>
      </c>
    </row>
    <row r="6227" customFormat="false" ht="15.75" hidden="false" customHeight="false" outlineLevel="0" collapsed="false">
      <c r="A6227" s="6" t="n">
        <v>46180</v>
      </c>
      <c r="B6227" s="4" t="s">
        <v>4473</v>
      </c>
      <c r="C6227" s="4" t="n">
        <v>6</v>
      </c>
      <c r="D6227" s="4" t="n">
        <v>16</v>
      </c>
      <c r="E6227" s="4" t="s">
        <v>4718</v>
      </c>
      <c r="F6227" s="4" t="n">
        <v>10</v>
      </c>
      <c r="G6227" s="4" t="n">
        <v>7</v>
      </c>
      <c r="H6227" s="4" t="n">
        <v>4</v>
      </c>
      <c r="I6227" s="4" t="str">
        <v>×</v>
      </c>
      <c r="J6227" s="4"/>
      <c r="K6227" s="4"/>
      <c r="L6227" s="4"/>
      <c r="M6227" s="5" t="s">
        <v>4475</v>
      </c>
    </row>
    <row r="6228" customFormat="false" ht="15.75" hidden="false" customHeight="false" outlineLevel="0" collapsed="false">
      <c r="A6228" s="6" t="n">
        <v>46180</v>
      </c>
      <c r="B6228" s="4" t="s">
        <v>4473</v>
      </c>
      <c r="C6228" s="4" t="n">
        <v>7</v>
      </c>
      <c r="D6228" s="4" t="n">
        <v>1</v>
      </c>
      <c r="E6228" s="4" t="s">
        <v>4719</v>
      </c>
      <c r="F6228" s="4" t="n">
        <v>17</v>
      </c>
      <c r="G6228" s="4" t="n">
        <v>6</v>
      </c>
      <c r="H6228" s="4" t="n">
        <v>4</v>
      </c>
      <c r="I6228" s="4" t="str">
        <v>×</v>
      </c>
      <c r="J6228" s="4"/>
      <c r="K6228" s="4"/>
      <c r="L6228" s="4"/>
      <c r="M6228" s="5" t="s">
        <v>4475</v>
      </c>
    </row>
    <row r="6229" customFormat="false" ht="15.75" hidden="false" customHeight="false" outlineLevel="0" collapsed="false">
      <c r="A6229" s="6" t="n">
        <v>46180</v>
      </c>
      <c r="B6229" s="4" t="s">
        <v>4473</v>
      </c>
      <c r="C6229" s="4" t="n">
        <v>7</v>
      </c>
      <c r="D6229" s="4" t="n">
        <v>2</v>
      </c>
      <c r="E6229" s="4" t="s">
        <v>3530</v>
      </c>
      <c r="F6229" s="4" t="n">
        <v>6</v>
      </c>
      <c r="G6229" s="4" t="n">
        <v>10</v>
      </c>
      <c r="H6229" s="4" t="n">
        <v>4</v>
      </c>
      <c r="I6229" s="4" t="str">
        <v>×</v>
      </c>
      <c r="J6229" s="4"/>
      <c r="K6229" s="4"/>
      <c r="L6229" s="4"/>
      <c r="M6229" s="5" t="s">
        <v>4475</v>
      </c>
    </row>
    <row r="6230" customFormat="false" ht="15.75" hidden="false" customHeight="false" outlineLevel="0" collapsed="false">
      <c r="A6230" s="6" t="n">
        <v>46180</v>
      </c>
      <c r="B6230" s="4" t="s">
        <v>4473</v>
      </c>
      <c r="C6230" s="4" t="n">
        <v>7</v>
      </c>
      <c r="D6230" s="4" t="n">
        <v>3</v>
      </c>
      <c r="E6230" s="4" t="s">
        <v>412</v>
      </c>
      <c r="F6230" s="4" t="n">
        <v>8</v>
      </c>
      <c r="G6230" s="4" t="n">
        <v>9</v>
      </c>
      <c r="H6230" s="4" t="n">
        <v>4</v>
      </c>
      <c r="I6230" s="4" t="str">
        <v>×</v>
      </c>
      <c r="J6230" s="4"/>
      <c r="K6230" s="4"/>
      <c r="L6230" s="4"/>
      <c r="M6230" s="5" t="s">
        <v>4475</v>
      </c>
    </row>
    <row r="6231" customFormat="false" ht="15.75" hidden="false" customHeight="false" outlineLevel="0" collapsed="false">
      <c r="A6231" s="6" t="n">
        <v>46180</v>
      </c>
      <c r="B6231" s="4" t="s">
        <v>4473</v>
      </c>
      <c r="C6231" s="4" t="n">
        <v>7</v>
      </c>
      <c r="D6231" s="4" t="n">
        <v>4</v>
      </c>
      <c r="E6231" s="4" t="s">
        <v>4720</v>
      </c>
      <c r="F6231" s="4" t="n">
        <v>3</v>
      </c>
      <c r="G6231" s="4" t="n">
        <v>11</v>
      </c>
      <c r="H6231" s="4" t="n">
        <v>3</v>
      </c>
      <c r="I6231" s="4" t="str">
        <v>○</v>
      </c>
      <c r="J6231" s="4" t="n">
        <v>130</v>
      </c>
      <c r="K6231" s="4"/>
      <c r="L6231" s="4"/>
      <c r="M6231" s="5" t="s">
        <v>4475</v>
      </c>
    </row>
    <row r="6232" customFormat="false" ht="15.75" hidden="false" customHeight="false" outlineLevel="0" collapsed="false">
      <c r="A6232" s="6" t="n">
        <v>46180</v>
      </c>
      <c r="B6232" s="4" t="s">
        <v>4473</v>
      </c>
      <c r="C6232" s="4" t="n">
        <v>7</v>
      </c>
      <c r="D6232" s="4" t="n">
        <v>5</v>
      </c>
      <c r="E6232" s="4" t="s">
        <v>2766</v>
      </c>
      <c r="F6232" s="4" t="n">
        <v>10</v>
      </c>
      <c r="G6232" s="4" t="n">
        <v>8</v>
      </c>
      <c r="H6232" s="4" t="n">
        <v>4</v>
      </c>
      <c r="I6232" s="4" t="str">
        <v>×</v>
      </c>
      <c r="J6232" s="4"/>
      <c r="K6232" s="4"/>
      <c r="L6232" s="4"/>
      <c r="M6232" s="5" t="s">
        <v>4475</v>
      </c>
    </row>
    <row r="6233" customFormat="false" ht="15.75" hidden="false" customHeight="false" outlineLevel="0" collapsed="false">
      <c r="A6233" s="6" t="n">
        <v>46180</v>
      </c>
      <c r="B6233" s="4" t="s">
        <v>4473</v>
      </c>
      <c r="C6233" s="4" t="n">
        <v>7</v>
      </c>
      <c r="D6233" s="4" t="n">
        <v>6</v>
      </c>
      <c r="E6233" s="4" t="s">
        <v>4721</v>
      </c>
      <c r="F6233" s="4" t="n">
        <v>8</v>
      </c>
      <c r="G6233" s="4" t="n">
        <v>9</v>
      </c>
      <c r="H6233" s="4" t="n">
        <v>4</v>
      </c>
      <c r="I6233" s="4" t="str">
        <v>×</v>
      </c>
      <c r="J6233" s="4"/>
      <c r="K6233" s="4"/>
      <c r="L6233" s="4"/>
      <c r="M6233" s="5" t="s">
        <v>4475</v>
      </c>
    </row>
    <row r="6234" customFormat="false" ht="15.75" hidden="false" customHeight="false" outlineLevel="0" collapsed="false">
      <c r="A6234" s="6" t="n">
        <v>46180</v>
      </c>
      <c r="B6234" s="4" t="s">
        <v>4473</v>
      </c>
      <c r="C6234" s="4" t="n">
        <v>7</v>
      </c>
      <c r="D6234" s="4" t="n">
        <v>7</v>
      </c>
      <c r="E6234" s="4" t="s">
        <v>4291</v>
      </c>
      <c r="F6234" s="4" t="n">
        <v>25</v>
      </c>
      <c r="G6234" s="4" t="n">
        <v>5</v>
      </c>
      <c r="H6234" s="4" t="n">
        <v>4</v>
      </c>
      <c r="I6234" s="4" t="str">
        <v>×</v>
      </c>
      <c r="J6234" s="4"/>
      <c r="K6234" s="4"/>
      <c r="L6234" s="4"/>
      <c r="M6234" s="5" t="s">
        <v>4475</v>
      </c>
    </row>
    <row r="6235" customFormat="false" ht="15.75" hidden="false" customHeight="false" outlineLevel="0" collapsed="false">
      <c r="A6235" s="6" t="n">
        <v>46180</v>
      </c>
      <c r="B6235" s="4" t="s">
        <v>4473</v>
      </c>
      <c r="C6235" s="4" t="n">
        <v>7</v>
      </c>
      <c r="D6235" s="4" t="n">
        <v>8</v>
      </c>
      <c r="E6235" s="4"/>
      <c r="F6235" s="4" t="n">
        <v>25</v>
      </c>
      <c r="G6235" s="4" t="n">
        <v>5</v>
      </c>
      <c r="H6235" s="4"/>
      <c r="I6235" s="4" t="str">
        <v/>
      </c>
      <c r="J6235" s="4"/>
      <c r="K6235" s="4"/>
      <c r="L6235" s="4"/>
      <c r="M6235" s="5" t="s">
        <v>4475</v>
      </c>
    </row>
    <row r="6236" customFormat="false" ht="15.75" hidden="false" customHeight="false" outlineLevel="0" collapsed="false">
      <c r="A6236" s="6" t="n">
        <v>46180</v>
      </c>
      <c r="B6236" s="4" t="s">
        <v>4473</v>
      </c>
      <c r="C6236" s="4" t="n">
        <v>7</v>
      </c>
      <c r="D6236" s="4" t="n">
        <v>9</v>
      </c>
      <c r="E6236" s="4" t="s">
        <v>4722</v>
      </c>
      <c r="F6236" s="4" t="n">
        <v>67</v>
      </c>
      <c r="G6236" s="4" t="n">
        <v>1</v>
      </c>
      <c r="H6236" s="4" t="n">
        <v>1</v>
      </c>
      <c r="I6236" s="4" t="str">
        <v>○</v>
      </c>
      <c r="J6236" s="4" t="n">
        <v>130</v>
      </c>
      <c r="K6236" s="4"/>
      <c r="L6236" s="4"/>
      <c r="M6236" s="5" t="s">
        <v>4475</v>
      </c>
    </row>
    <row r="6237" customFormat="false" ht="15.75" hidden="false" customHeight="false" outlineLevel="0" collapsed="false">
      <c r="A6237" s="6" t="n">
        <v>46180</v>
      </c>
      <c r="B6237" s="4" t="s">
        <v>4473</v>
      </c>
      <c r="C6237" s="4" t="n">
        <v>7</v>
      </c>
      <c r="D6237" s="4" t="n">
        <v>10</v>
      </c>
      <c r="E6237" s="4" t="s">
        <v>4723</v>
      </c>
      <c r="F6237" s="4" t="n">
        <v>2</v>
      </c>
      <c r="G6237" s="4" t="n">
        <v>12</v>
      </c>
      <c r="H6237" s="4" t="n">
        <v>4</v>
      </c>
      <c r="I6237" s="4" t="str">
        <v>×</v>
      </c>
      <c r="J6237" s="4"/>
      <c r="K6237" s="4"/>
      <c r="L6237" s="4"/>
      <c r="M6237" s="5" t="s">
        <v>4475</v>
      </c>
    </row>
    <row r="6238" customFormat="false" ht="15.75" hidden="false" customHeight="false" outlineLevel="0" collapsed="false">
      <c r="A6238" s="6" t="n">
        <v>46180</v>
      </c>
      <c r="B6238" s="4" t="s">
        <v>4473</v>
      </c>
      <c r="C6238" s="4" t="n">
        <v>7</v>
      </c>
      <c r="D6238" s="4" t="n">
        <v>11</v>
      </c>
      <c r="E6238" s="4" t="s">
        <v>2796</v>
      </c>
      <c r="F6238" s="4" t="n">
        <v>1</v>
      </c>
      <c r="G6238" s="4" t="n">
        <v>13</v>
      </c>
      <c r="H6238" s="4" t="n">
        <v>4</v>
      </c>
      <c r="I6238" s="4" t="str">
        <v>×</v>
      </c>
      <c r="J6238" s="4"/>
      <c r="K6238" s="4"/>
      <c r="L6238" s="4"/>
      <c r="M6238" s="5" t="s">
        <v>4475</v>
      </c>
    </row>
    <row r="6239" customFormat="false" ht="15.75" hidden="false" customHeight="false" outlineLevel="0" collapsed="false">
      <c r="A6239" s="6" t="n">
        <v>46180</v>
      </c>
      <c r="B6239" s="4" t="s">
        <v>4473</v>
      </c>
      <c r="C6239" s="4" t="n">
        <v>7</v>
      </c>
      <c r="D6239" s="4" t="n">
        <v>12</v>
      </c>
      <c r="E6239" s="4" t="s">
        <v>4724</v>
      </c>
      <c r="F6239" s="4" t="n">
        <v>31</v>
      </c>
      <c r="G6239" s="4" t="n">
        <v>4</v>
      </c>
      <c r="H6239" s="4" t="n">
        <v>4</v>
      </c>
      <c r="I6239" s="4" t="str">
        <v>×</v>
      </c>
      <c r="J6239" s="4"/>
      <c r="K6239" s="4"/>
      <c r="L6239" s="4"/>
      <c r="M6239" s="5" t="s">
        <v>4475</v>
      </c>
    </row>
    <row r="6240" customFormat="false" ht="15.75" hidden="false" customHeight="false" outlineLevel="0" collapsed="false">
      <c r="A6240" s="6" t="n">
        <v>46180</v>
      </c>
      <c r="B6240" s="4" t="s">
        <v>4473</v>
      </c>
      <c r="C6240" s="4" t="n">
        <v>7</v>
      </c>
      <c r="D6240" s="4" t="n">
        <v>13</v>
      </c>
      <c r="E6240" s="4" t="s">
        <v>3418</v>
      </c>
      <c r="F6240" s="4" t="n">
        <v>15</v>
      </c>
      <c r="G6240" s="4" t="n">
        <v>7</v>
      </c>
      <c r="H6240" s="4" t="n">
        <v>4</v>
      </c>
      <c r="I6240" s="4" t="str">
        <v>×</v>
      </c>
      <c r="J6240" s="4"/>
      <c r="K6240" s="4"/>
      <c r="L6240" s="4"/>
      <c r="M6240" s="5" t="s">
        <v>4475</v>
      </c>
    </row>
    <row r="6241" customFormat="false" ht="15.75" hidden="false" customHeight="false" outlineLevel="0" collapsed="false">
      <c r="A6241" s="6" t="n">
        <v>46180</v>
      </c>
      <c r="B6241" s="4" t="s">
        <v>4473</v>
      </c>
      <c r="C6241" s="4" t="n">
        <v>7</v>
      </c>
      <c r="D6241" s="4" t="n">
        <v>14</v>
      </c>
      <c r="E6241" s="4" t="s">
        <v>4725</v>
      </c>
      <c r="F6241" s="4" t="n">
        <v>34</v>
      </c>
      <c r="G6241" s="4" t="n">
        <v>3</v>
      </c>
      <c r="H6241" s="4" t="n">
        <v>2</v>
      </c>
      <c r="I6241" s="4" t="str">
        <v>○</v>
      </c>
      <c r="J6241" s="4" t="n">
        <v>150</v>
      </c>
      <c r="K6241" s="4"/>
      <c r="L6241" s="4"/>
      <c r="M6241" s="5" t="s">
        <v>4475</v>
      </c>
    </row>
    <row r="6242" customFormat="false" ht="15.75" hidden="false" customHeight="false" outlineLevel="0" collapsed="false">
      <c r="A6242" s="6" t="n">
        <v>46180</v>
      </c>
      <c r="B6242" s="4" t="s">
        <v>4473</v>
      </c>
      <c r="C6242" s="4" t="n">
        <v>7</v>
      </c>
      <c r="D6242" s="4" t="n">
        <v>15</v>
      </c>
      <c r="E6242" s="4" t="s">
        <v>4726</v>
      </c>
      <c r="F6242" s="4" t="n">
        <v>6</v>
      </c>
      <c r="G6242" s="4" t="n">
        <v>10</v>
      </c>
      <c r="H6242" s="4" t="n">
        <v>4</v>
      </c>
      <c r="I6242" s="4" t="str">
        <v>×</v>
      </c>
      <c r="J6242" s="4"/>
      <c r="K6242" s="4"/>
      <c r="L6242" s="4"/>
      <c r="M6242" s="5" t="s">
        <v>4475</v>
      </c>
    </row>
    <row r="6243" customFormat="false" ht="15.75" hidden="false" customHeight="false" outlineLevel="0" collapsed="false">
      <c r="A6243" s="6" t="n">
        <v>46180</v>
      </c>
      <c r="B6243" s="4" t="s">
        <v>4473</v>
      </c>
      <c r="C6243" s="4" t="n">
        <v>7</v>
      </c>
      <c r="D6243" s="4" t="n">
        <v>16</v>
      </c>
      <c r="E6243" s="4" t="s">
        <v>3775</v>
      </c>
      <c r="F6243" s="4" t="n">
        <v>41</v>
      </c>
      <c r="G6243" s="4" t="n">
        <v>2</v>
      </c>
      <c r="H6243" s="4" t="n">
        <v>4</v>
      </c>
      <c r="I6243" s="4" t="str">
        <v>×</v>
      </c>
      <c r="J6243" s="4"/>
      <c r="K6243" s="4"/>
      <c r="L6243" s="4"/>
      <c r="M6243" s="5" t="s">
        <v>4475</v>
      </c>
    </row>
    <row r="6244" customFormat="false" ht="15.75" hidden="false" customHeight="false" outlineLevel="0" collapsed="false">
      <c r="A6244" s="6" t="n">
        <v>46180</v>
      </c>
      <c r="B6244" s="4" t="s">
        <v>4473</v>
      </c>
      <c r="C6244" s="4" t="n">
        <v>8</v>
      </c>
      <c r="D6244" s="4" t="n">
        <v>1</v>
      </c>
      <c r="E6244" s="4" t="s">
        <v>4727</v>
      </c>
      <c r="F6244" s="4" t="n">
        <v>15</v>
      </c>
      <c r="G6244" s="4" t="n">
        <v>8</v>
      </c>
      <c r="H6244" s="4" t="n">
        <v>4</v>
      </c>
      <c r="I6244" s="4" t="str">
        <v>×</v>
      </c>
      <c r="J6244" s="4"/>
      <c r="K6244" s="4"/>
      <c r="L6244" s="4"/>
      <c r="M6244" s="5" t="s">
        <v>4475</v>
      </c>
    </row>
    <row r="6245" customFormat="false" ht="15.75" hidden="false" customHeight="false" outlineLevel="0" collapsed="false">
      <c r="A6245" s="6" t="n">
        <v>46180</v>
      </c>
      <c r="B6245" s="4" t="s">
        <v>4473</v>
      </c>
      <c r="C6245" s="4" t="n">
        <v>8</v>
      </c>
      <c r="D6245" s="4" t="n">
        <v>2</v>
      </c>
      <c r="E6245" s="4" t="s">
        <v>4728</v>
      </c>
      <c r="F6245" s="4" t="n">
        <v>20</v>
      </c>
      <c r="G6245" s="4" t="n">
        <v>6</v>
      </c>
      <c r="H6245" s="4" t="n">
        <v>4</v>
      </c>
      <c r="I6245" s="4" t="str">
        <v>×</v>
      </c>
      <c r="J6245" s="4"/>
      <c r="K6245" s="4"/>
      <c r="L6245" s="4"/>
      <c r="M6245" s="5" t="s">
        <v>4475</v>
      </c>
    </row>
    <row r="6246" customFormat="false" ht="15.75" hidden="false" customHeight="false" outlineLevel="0" collapsed="false">
      <c r="A6246" s="6" t="n">
        <v>46180</v>
      </c>
      <c r="B6246" s="4" t="s">
        <v>4473</v>
      </c>
      <c r="C6246" s="4" t="n">
        <v>8</v>
      </c>
      <c r="D6246" s="4" t="n">
        <v>3</v>
      </c>
      <c r="E6246" s="4" t="s">
        <v>4729</v>
      </c>
      <c r="F6246" s="4" t="n">
        <v>39</v>
      </c>
      <c r="G6246" s="4" t="n">
        <v>2</v>
      </c>
      <c r="H6246" s="4" t="n">
        <v>2</v>
      </c>
      <c r="I6246" s="4" t="str">
        <v>○</v>
      </c>
      <c r="J6246" s="4" t="n">
        <v>360</v>
      </c>
      <c r="K6246" s="4"/>
      <c r="L6246" s="4"/>
      <c r="M6246" s="5" t="s">
        <v>4475</v>
      </c>
    </row>
    <row r="6247" customFormat="false" ht="15.75" hidden="false" customHeight="false" outlineLevel="0" collapsed="false">
      <c r="A6247" s="6" t="n">
        <v>46180</v>
      </c>
      <c r="B6247" s="4" t="s">
        <v>4473</v>
      </c>
      <c r="C6247" s="4" t="n">
        <v>8</v>
      </c>
      <c r="D6247" s="4" t="n">
        <v>4</v>
      </c>
      <c r="E6247" s="4" t="s">
        <v>1038</v>
      </c>
      <c r="F6247" s="4" t="n">
        <v>4</v>
      </c>
      <c r="G6247" s="4" t="n">
        <v>10</v>
      </c>
      <c r="H6247" s="4" t="n">
        <v>4</v>
      </c>
      <c r="I6247" s="4" t="str">
        <v>×</v>
      </c>
      <c r="J6247" s="4"/>
      <c r="K6247" s="4"/>
      <c r="L6247" s="4"/>
      <c r="M6247" s="5" t="s">
        <v>4475</v>
      </c>
    </row>
    <row r="6248" customFormat="false" ht="15.75" hidden="false" customHeight="false" outlineLevel="0" collapsed="false">
      <c r="A6248" s="6" t="n">
        <v>46180</v>
      </c>
      <c r="B6248" s="4" t="s">
        <v>4473</v>
      </c>
      <c r="C6248" s="4" t="n">
        <v>8</v>
      </c>
      <c r="D6248" s="4" t="n">
        <v>5</v>
      </c>
      <c r="E6248" s="4" t="s">
        <v>4730</v>
      </c>
      <c r="F6248" s="4" t="n">
        <v>6</v>
      </c>
      <c r="G6248" s="4" t="n">
        <v>9</v>
      </c>
      <c r="H6248" s="4" t="n">
        <v>4</v>
      </c>
      <c r="I6248" s="4" t="str">
        <v>×</v>
      </c>
      <c r="J6248" s="4"/>
      <c r="K6248" s="4"/>
      <c r="L6248" s="4"/>
      <c r="M6248" s="5" t="s">
        <v>4475</v>
      </c>
    </row>
    <row r="6249" customFormat="false" ht="15.75" hidden="false" customHeight="false" outlineLevel="0" collapsed="false">
      <c r="A6249" s="6" t="n">
        <v>46180</v>
      </c>
      <c r="B6249" s="4" t="s">
        <v>4473</v>
      </c>
      <c r="C6249" s="4" t="n">
        <v>8</v>
      </c>
      <c r="D6249" s="4" t="n">
        <v>6</v>
      </c>
      <c r="E6249" s="4" t="s">
        <v>4068</v>
      </c>
      <c r="F6249" s="4" t="n">
        <v>34</v>
      </c>
      <c r="G6249" s="4" t="n">
        <v>4</v>
      </c>
      <c r="H6249" s="4" t="n">
        <v>4</v>
      </c>
      <c r="I6249" s="4" t="str">
        <v>×</v>
      </c>
      <c r="J6249" s="4"/>
      <c r="K6249" s="4"/>
      <c r="L6249" s="4"/>
      <c r="M6249" s="5" t="s">
        <v>4475</v>
      </c>
    </row>
    <row r="6250" customFormat="false" ht="15.75" hidden="false" customHeight="false" outlineLevel="0" collapsed="false">
      <c r="A6250" s="6" t="n">
        <v>46180</v>
      </c>
      <c r="B6250" s="4" t="s">
        <v>4473</v>
      </c>
      <c r="C6250" s="4" t="n">
        <v>8</v>
      </c>
      <c r="D6250" s="4" t="n">
        <v>7</v>
      </c>
      <c r="E6250" s="4" t="s">
        <v>4731</v>
      </c>
      <c r="F6250" s="4" t="n">
        <v>15</v>
      </c>
      <c r="G6250" s="4" t="n">
        <v>8</v>
      </c>
      <c r="H6250" s="4" t="n">
        <v>4</v>
      </c>
      <c r="I6250" s="4" t="str">
        <v>×</v>
      </c>
      <c r="J6250" s="4"/>
      <c r="K6250" s="4"/>
      <c r="L6250" s="4"/>
      <c r="M6250" s="5" t="s">
        <v>4475</v>
      </c>
    </row>
    <row r="6251" customFormat="false" ht="15.75" hidden="false" customHeight="false" outlineLevel="0" collapsed="false">
      <c r="A6251" s="6" t="n">
        <v>46180</v>
      </c>
      <c r="B6251" s="4" t="s">
        <v>4473</v>
      </c>
      <c r="C6251" s="4" t="n">
        <v>8</v>
      </c>
      <c r="D6251" s="4" t="n">
        <v>8</v>
      </c>
      <c r="E6251" s="4" t="s">
        <v>176</v>
      </c>
      <c r="F6251" s="4" t="n">
        <v>44</v>
      </c>
      <c r="G6251" s="4" t="n">
        <v>1</v>
      </c>
      <c r="H6251" s="4" t="n">
        <v>3</v>
      </c>
      <c r="I6251" s="4" t="str">
        <v>○</v>
      </c>
      <c r="J6251" s="4" t="n">
        <v>160</v>
      </c>
      <c r="K6251" s="4"/>
      <c r="L6251" s="4"/>
      <c r="M6251" s="5" t="s">
        <v>4475</v>
      </c>
    </row>
    <row r="6252" customFormat="false" ht="15.75" hidden="false" customHeight="false" outlineLevel="0" collapsed="false">
      <c r="A6252" s="6" t="n">
        <v>46180</v>
      </c>
      <c r="B6252" s="4" t="s">
        <v>4473</v>
      </c>
      <c r="C6252" s="4" t="n">
        <v>8</v>
      </c>
      <c r="D6252" s="4" t="n">
        <v>9</v>
      </c>
      <c r="E6252" s="4" t="s">
        <v>1024</v>
      </c>
      <c r="F6252" s="4" t="n">
        <v>6</v>
      </c>
      <c r="G6252" s="4" t="n">
        <v>9</v>
      </c>
      <c r="H6252" s="4" t="n">
        <v>4</v>
      </c>
      <c r="I6252" s="4" t="str">
        <v>×</v>
      </c>
      <c r="J6252" s="4"/>
      <c r="K6252" s="4"/>
      <c r="L6252" s="4"/>
      <c r="M6252" s="5" t="s">
        <v>4475</v>
      </c>
    </row>
    <row r="6253" customFormat="false" ht="15.75" hidden="false" customHeight="false" outlineLevel="0" collapsed="false">
      <c r="A6253" s="6" t="n">
        <v>46180</v>
      </c>
      <c r="B6253" s="4" t="s">
        <v>4473</v>
      </c>
      <c r="C6253" s="4" t="n">
        <v>8</v>
      </c>
      <c r="D6253" s="4" t="n">
        <v>10</v>
      </c>
      <c r="E6253" s="4" t="s">
        <v>4732</v>
      </c>
      <c r="F6253" s="4" t="n">
        <v>20</v>
      </c>
      <c r="G6253" s="4" t="n">
        <v>6</v>
      </c>
      <c r="H6253" s="4" t="n">
        <v>4</v>
      </c>
      <c r="I6253" s="4" t="str">
        <v>×</v>
      </c>
      <c r="J6253" s="4"/>
      <c r="K6253" s="4"/>
      <c r="L6253" s="4"/>
      <c r="M6253" s="5" t="s">
        <v>4475</v>
      </c>
    </row>
    <row r="6254" customFormat="false" ht="15.75" hidden="false" customHeight="false" outlineLevel="0" collapsed="false">
      <c r="A6254" s="6" t="n">
        <v>46180</v>
      </c>
      <c r="B6254" s="4" t="s">
        <v>4473</v>
      </c>
      <c r="C6254" s="4" t="n">
        <v>8</v>
      </c>
      <c r="D6254" s="4" t="n">
        <v>11</v>
      </c>
      <c r="E6254" s="4" t="s">
        <v>4733</v>
      </c>
      <c r="F6254" s="4" t="n">
        <v>20</v>
      </c>
      <c r="G6254" s="4" t="n">
        <v>6</v>
      </c>
      <c r="H6254" s="4" t="n">
        <v>4</v>
      </c>
      <c r="I6254" s="4" t="str">
        <v>×</v>
      </c>
      <c r="J6254" s="4"/>
      <c r="K6254" s="4"/>
      <c r="L6254" s="4"/>
      <c r="M6254" s="5" t="s">
        <v>4475</v>
      </c>
    </row>
    <row r="6255" customFormat="false" ht="15.75" hidden="false" customHeight="false" outlineLevel="0" collapsed="false">
      <c r="A6255" s="6" t="n">
        <v>46180</v>
      </c>
      <c r="B6255" s="4" t="s">
        <v>4473</v>
      </c>
      <c r="C6255" s="4" t="n">
        <v>8</v>
      </c>
      <c r="D6255" s="4" t="n">
        <v>12</v>
      </c>
      <c r="E6255" s="4" t="s">
        <v>4734</v>
      </c>
      <c r="F6255" s="4" t="n">
        <v>34</v>
      </c>
      <c r="G6255" s="4" t="n">
        <v>4</v>
      </c>
      <c r="H6255" s="4" t="n">
        <v>4</v>
      </c>
      <c r="I6255" s="4" t="str">
        <v>×</v>
      </c>
      <c r="J6255" s="4"/>
      <c r="K6255" s="4"/>
      <c r="L6255" s="4"/>
      <c r="M6255" s="5" t="s">
        <v>4475</v>
      </c>
    </row>
    <row r="6256" customFormat="false" ht="15.75" hidden="false" customHeight="false" outlineLevel="0" collapsed="false">
      <c r="A6256" s="6" t="n">
        <v>46180</v>
      </c>
      <c r="B6256" s="4" t="s">
        <v>4473</v>
      </c>
      <c r="C6256" s="4" t="n">
        <v>8</v>
      </c>
      <c r="D6256" s="4" t="n">
        <v>13</v>
      </c>
      <c r="E6256" s="4" t="s">
        <v>4735</v>
      </c>
      <c r="F6256" s="4" t="n">
        <v>15</v>
      </c>
      <c r="G6256" s="4" t="n">
        <v>8</v>
      </c>
      <c r="H6256" s="4" t="n">
        <v>4</v>
      </c>
      <c r="I6256" s="4" t="str">
        <v>×</v>
      </c>
      <c r="J6256" s="4"/>
      <c r="K6256" s="4"/>
      <c r="L6256" s="4"/>
      <c r="M6256" s="5" t="s">
        <v>4475</v>
      </c>
    </row>
    <row r="6257" customFormat="false" ht="15.75" hidden="false" customHeight="false" outlineLevel="0" collapsed="false">
      <c r="A6257" s="6" t="n">
        <v>46180</v>
      </c>
      <c r="B6257" s="4" t="s">
        <v>4473</v>
      </c>
      <c r="C6257" s="4" t="n">
        <v>8</v>
      </c>
      <c r="D6257" s="4" t="n">
        <v>14</v>
      </c>
      <c r="E6257" s="4" t="s">
        <v>724</v>
      </c>
      <c r="F6257" s="4" t="n">
        <v>29</v>
      </c>
      <c r="G6257" s="4" t="n">
        <v>5</v>
      </c>
      <c r="H6257" s="4" t="n">
        <v>4</v>
      </c>
      <c r="I6257" s="4" t="str">
        <v>×</v>
      </c>
      <c r="J6257" s="4"/>
      <c r="K6257" s="4"/>
      <c r="L6257" s="4"/>
      <c r="M6257" s="5" t="s">
        <v>4475</v>
      </c>
    </row>
    <row r="6258" customFormat="false" ht="15.75" hidden="false" customHeight="false" outlineLevel="0" collapsed="false">
      <c r="A6258" s="6" t="n">
        <v>46180</v>
      </c>
      <c r="B6258" s="4" t="s">
        <v>4473</v>
      </c>
      <c r="C6258" s="4" t="n">
        <v>8</v>
      </c>
      <c r="D6258" s="4" t="n">
        <v>15</v>
      </c>
      <c r="E6258" s="4" t="s">
        <v>4736</v>
      </c>
      <c r="F6258" s="4" t="n">
        <v>15</v>
      </c>
      <c r="G6258" s="4" t="n">
        <v>8</v>
      </c>
      <c r="H6258" s="4" t="n">
        <v>4</v>
      </c>
      <c r="I6258" s="4" t="str">
        <v>×</v>
      </c>
      <c r="J6258" s="4"/>
      <c r="K6258" s="4"/>
      <c r="L6258" s="4"/>
      <c r="M6258" s="5" t="s">
        <v>4475</v>
      </c>
    </row>
    <row r="6259" customFormat="false" ht="15.75" hidden="false" customHeight="false" outlineLevel="0" collapsed="false">
      <c r="A6259" s="6" t="n">
        <v>46180</v>
      </c>
      <c r="B6259" s="4" t="s">
        <v>4473</v>
      </c>
      <c r="C6259" s="4" t="n">
        <v>8</v>
      </c>
      <c r="D6259" s="4" t="n">
        <v>16</v>
      </c>
      <c r="E6259" s="4" t="s">
        <v>83</v>
      </c>
      <c r="F6259" s="4" t="n">
        <v>37</v>
      </c>
      <c r="G6259" s="4" t="n">
        <v>3</v>
      </c>
      <c r="H6259" s="4" t="n">
        <v>1</v>
      </c>
      <c r="I6259" s="4" t="str">
        <v>○</v>
      </c>
      <c r="J6259" s="4" t="n">
        <v>270</v>
      </c>
      <c r="K6259" s="4"/>
      <c r="L6259" s="4"/>
      <c r="M6259" s="5" t="s">
        <v>4475</v>
      </c>
    </row>
    <row r="6260" customFormat="false" ht="15.75" hidden="false" customHeight="false" outlineLevel="0" collapsed="false">
      <c r="A6260" s="6" t="n">
        <v>46180</v>
      </c>
      <c r="B6260" s="4" t="s">
        <v>4473</v>
      </c>
      <c r="C6260" s="4" t="n">
        <v>8</v>
      </c>
      <c r="D6260" s="4" t="n">
        <v>17</v>
      </c>
      <c r="E6260" s="4" t="s">
        <v>4737</v>
      </c>
      <c r="F6260" s="4" t="n">
        <v>17</v>
      </c>
      <c r="G6260" s="4" t="n">
        <v>7</v>
      </c>
      <c r="H6260" s="4" t="n">
        <v>4</v>
      </c>
      <c r="I6260" s="4" t="str">
        <v>×</v>
      </c>
      <c r="J6260" s="4"/>
      <c r="K6260" s="4"/>
      <c r="L6260" s="4"/>
      <c r="M6260" s="5" t="s">
        <v>4475</v>
      </c>
    </row>
    <row r="6261" customFormat="false" ht="15.75" hidden="false" customHeight="false" outlineLevel="0" collapsed="false">
      <c r="A6261" s="6" t="n">
        <v>46180</v>
      </c>
      <c r="B6261" s="4" t="s">
        <v>4473</v>
      </c>
      <c r="C6261" s="4" t="n">
        <v>9</v>
      </c>
      <c r="D6261" s="4" t="n">
        <v>1</v>
      </c>
      <c r="E6261" s="4" t="s">
        <v>3753</v>
      </c>
      <c r="F6261" s="4" t="n">
        <v>50</v>
      </c>
      <c r="G6261" s="4" t="n">
        <v>2</v>
      </c>
      <c r="H6261" s="4" t="n">
        <v>2</v>
      </c>
      <c r="I6261" s="4" t="str">
        <v>○</v>
      </c>
      <c r="J6261" s="4" t="n">
        <v>190</v>
      </c>
      <c r="K6261" s="4"/>
      <c r="L6261" s="4"/>
      <c r="M6261" s="5" t="s">
        <v>4475</v>
      </c>
    </row>
    <row r="6262" customFormat="false" ht="15.75" hidden="false" customHeight="false" outlineLevel="0" collapsed="false">
      <c r="A6262" s="6" t="n">
        <v>46180</v>
      </c>
      <c r="B6262" s="4" t="s">
        <v>4473</v>
      </c>
      <c r="C6262" s="4" t="n">
        <v>9</v>
      </c>
      <c r="D6262" s="4" t="n">
        <v>2</v>
      </c>
      <c r="E6262" s="4" t="s">
        <v>4738</v>
      </c>
      <c r="F6262" s="4" t="n">
        <v>20</v>
      </c>
      <c r="G6262" s="4" t="n">
        <v>6</v>
      </c>
      <c r="H6262" s="4" t="n">
        <v>4</v>
      </c>
      <c r="I6262" s="4" t="str">
        <v>×</v>
      </c>
      <c r="J6262" s="4"/>
      <c r="K6262" s="4"/>
      <c r="L6262" s="4"/>
      <c r="M6262" s="5" t="s">
        <v>4475</v>
      </c>
    </row>
    <row r="6263" customFormat="false" ht="15.75" hidden="false" customHeight="false" outlineLevel="0" collapsed="false">
      <c r="A6263" s="6" t="n">
        <v>46180</v>
      </c>
      <c r="B6263" s="4" t="s">
        <v>4473</v>
      </c>
      <c r="C6263" s="4" t="n">
        <v>9</v>
      </c>
      <c r="D6263" s="4" t="n">
        <v>3</v>
      </c>
      <c r="E6263" s="4" t="s">
        <v>3387</v>
      </c>
      <c r="F6263" s="4" t="n">
        <v>44</v>
      </c>
      <c r="G6263" s="4" t="n">
        <v>3</v>
      </c>
      <c r="H6263" s="4" t="n">
        <v>4</v>
      </c>
      <c r="I6263" s="4" t="str">
        <v>×</v>
      </c>
      <c r="J6263" s="4"/>
      <c r="K6263" s="4"/>
      <c r="L6263" s="4"/>
      <c r="M6263" s="5" t="s">
        <v>4475</v>
      </c>
    </row>
    <row r="6264" customFormat="false" ht="15.75" hidden="false" customHeight="false" outlineLevel="0" collapsed="false">
      <c r="A6264" s="6" t="n">
        <v>46180</v>
      </c>
      <c r="B6264" s="4" t="s">
        <v>4473</v>
      </c>
      <c r="C6264" s="4" t="n">
        <v>9</v>
      </c>
      <c r="D6264" s="4" t="n">
        <v>4</v>
      </c>
      <c r="E6264" s="4" t="s">
        <v>4739</v>
      </c>
      <c r="F6264" s="4" t="n">
        <v>34</v>
      </c>
      <c r="G6264" s="4" t="n">
        <v>5</v>
      </c>
      <c r="H6264" s="4" t="n">
        <v>4</v>
      </c>
      <c r="I6264" s="4" t="str">
        <v>×</v>
      </c>
      <c r="J6264" s="4"/>
      <c r="K6264" s="4"/>
      <c r="L6264" s="4"/>
      <c r="M6264" s="5" t="s">
        <v>4475</v>
      </c>
    </row>
    <row r="6265" customFormat="false" ht="15.75" hidden="false" customHeight="false" outlineLevel="0" collapsed="false">
      <c r="A6265" s="6" t="n">
        <v>46180</v>
      </c>
      <c r="B6265" s="4" t="s">
        <v>4473</v>
      </c>
      <c r="C6265" s="4" t="n">
        <v>9</v>
      </c>
      <c r="D6265" s="4" t="n">
        <v>5</v>
      </c>
      <c r="E6265" s="4" t="s">
        <v>4740</v>
      </c>
      <c r="F6265" s="4" t="n">
        <v>39</v>
      </c>
      <c r="G6265" s="4" t="n">
        <v>4</v>
      </c>
      <c r="H6265" s="4" t="n">
        <v>3</v>
      </c>
      <c r="I6265" s="4" t="str">
        <v>○</v>
      </c>
      <c r="J6265" s="4" t="n">
        <v>390</v>
      </c>
      <c r="K6265" s="4"/>
      <c r="L6265" s="4"/>
      <c r="M6265" s="5" t="s">
        <v>4475</v>
      </c>
    </row>
    <row r="6266" customFormat="false" ht="15.75" hidden="false" customHeight="false" outlineLevel="0" collapsed="false">
      <c r="A6266" s="6" t="n">
        <v>46180</v>
      </c>
      <c r="B6266" s="4" t="s">
        <v>4473</v>
      </c>
      <c r="C6266" s="4" t="n">
        <v>9</v>
      </c>
      <c r="D6266" s="4" t="n">
        <v>6</v>
      </c>
      <c r="E6266" s="4" t="s">
        <v>4741</v>
      </c>
      <c r="F6266" s="4" t="n">
        <v>50</v>
      </c>
      <c r="G6266" s="4" t="n">
        <v>2</v>
      </c>
      <c r="H6266" s="4" t="n">
        <v>1</v>
      </c>
      <c r="I6266" s="4" t="str">
        <v>○</v>
      </c>
      <c r="J6266" s="4" t="n">
        <v>110</v>
      </c>
      <c r="K6266" s="4"/>
      <c r="L6266" s="4"/>
      <c r="M6266" s="5" t="s">
        <v>4475</v>
      </c>
    </row>
    <row r="6267" customFormat="false" ht="15.75" hidden="false" customHeight="false" outlineLevel="0" collapsed="false">
      <c r="A6267" s="6" t="n">
        <v>46180</v>
      </c>
      <c r="B6267" s="4" t="s">
        <v>4473</v>
      </c>
      <c r="C6267" s="4" t="n">
        <v>9</v>
      </c>
      <c r="D6267" s="4" t="n">
        <v>7</v>
      </c>
      <c r="E6267" s="4" t="s">
        <v>4742</v>
      </c>
      <c r="F6267" s="4" t="n">
        <v>52</v>
      </c>
      <c r="G6267" s="4" t="n">
        <v>1</v>
      </c>
      <c r="H6267" s="4" t="n">
        <v>4</v>
      </c>
      <c r="I6267" s="4" t="str">
        <v>×</v>
      </c>
      <c r="J6267" s="4"/>
      <c r="K6267" s="4"/>
      <c r="L6267" s="4"/>
      <c r="M6267" s="5" t="s">
        <v>4475</v>
      </c>
    </row>
    <row r="6268" customFormat="false" ht="15.75" hidden="false" customHeight="false" outlineLevel="0" collapsed="false">
      <c r="A6268" s="6" t="n">
        <v>46180</v>
      </c>
      <c r="B6268" s="4" t="s">
        <v>4473</v>
      </c>
      <c r="C6268" s="4" t="n">
        <v>9</v>
      </c>
      <c r="D6268" s="4" t="n">
        <v>8</v>
      </c>
      <c r="E6268" s="4" t="s">
        <v>4743</v>
      </c>
      <c r="F6268" s="4" t="n">
        <v>50</v>
      </c>
      <c r="G6268" s="4" t="n">
        <v>2</v>
      </c>
      <c r="H6268" s="4" t="n">
        <v>4</v>
      </c>
      <c r="I6268" s="4" t="str">
        <v>×</v>
      </c>
      <c r="J6268" s="4"/>
      <c r="K6268" s="4"/>
      <c r="L6268" s="4"/>
      <c r="M6268" s="5" t="s">
        <v>4475</v>
      </c>
    </row>
    <row r="6269" customFormat="false" ht="15.75" hidden="false" customHeight="false" outlineLevel="0" collapsed="false">
      <c r="A6269" s="6" t="n">
        <v>46180</v>
      </c>
      <c r="B6269" s="4" t="s">
        <v>4473</v>
      </c>
      <c r="C6269" s="4" t="n">
        <v>10</v>
      </c>
      <c r="D6269" s="4" t="n">
        <v>1</v>
      </c>
      <c r="E6269" s="4" t="s">
        <v>4744</v>
      </c>
      <c r="F6269" s="4" t="n">
        <v>1</v>
      </c>
      <c r="G6269" s="4" t="n">
        <v>10</v>
      </c>
      <c r="H6269" s="4" t="n">
        <v>4</v>
      </c>
      <c r="I6269" s="4" t="str">
        <v>×</v>
      </c>
      <c r="J6269" s="4"/>
      <c r="K6269" s="4"/>
      <c r="L6269" s="4"/>
      <c r="M6269" s="5" t="s">
        <v>4475</v>
      </c>
    </row>
    <row r="6270" customFormat="false" ht="15.75" hidden="false" customHeight="false" outlineLevel="0" collapsed="false">
      <c r="A6270" s="6" t="n">
        <v>46180</v>
      </c>
      <c r="B6270" s="4" t="s">
        <v>4473</v>
      </c>
      <c r="C6270" s="4" t="n">
        <v>10</v>
      </c>
      <c r="D6270" s="4" t="n">
        <v>2</v>
      </c>
      <c r="E6270" s="4" t="s">
        <v>4039</v>
      </c>
      <c r="F6270" s="4" t="n">
        <v>4</v>
      </c>
      <c r="G6270" s="4" t="n">
        <v>9</v>
      </c>
      <c r="H6270" s="4" t="n">
        <v>4</v>
      </c>
      <c r="I6270" s="4" t="str">
        <v>×</v>
      </c>
      <c r="J6270" s="4"/>
      <c r="K6270" s="4"/>
      <c r="L6270" s="4"/>
      <c r="M6270" s="5" t="s">
        <v>4475</v>
      </c>
    </row>
    <row r="6271" customFormat="false" ht="15.75" hidden="false" customHeight="false" outlineLevel="0" collapsed="false">
      <c r="A6271" s="6" t="n">
        <v>46180</v>
      </c>
      <c r="B6271" s="4" t="s">
        <v>4473</v>
      </c>
      <c r="C6271" s="4" t="n">
        <v>10</v>
      </c>
      <c r="D6271" s="4" t="n">
        <v>3</v>
      </c>
      <c r="E6271" s="4" t="s">
        <v>4745</v>
      </c>
      <c r="F6271" s="4" t="n">
        <v>13</v>
      </c>
      <c r="G6271" s="4" t="n">
        <v>6</v>
      </c>
      <c r="H6271" s="4" t="n">
        <v>4</v>
      </c>
      <c r="I6271" s="4" t="str">
        <v>×</v>
      </c>
      <c r="J6271" s="4"/>
      <c r="K6271" s="4"/>
      <c r="L6271" s="4"/>
      <c r="M6271" s="5" t="s">
        <v>4475</v>
      </c>
    </row>
    <row r="6272" customFormat="false" ht="15.75" hidden="false" customHeight="false" outlineLevel="0" collapsed="false">
      <c r="A6272" s="6" t="n">
        <v>46180</v>
      </c>
      <c r="B6272" s="4" t="s">
        <v>4473</v>
      </c>
      <c r="C6272" s="4" t="n">
        <v>10</v>
      </c>
      <c r="D6272" s="4" t="n">
        <v>4</v>
      </c>
      <c r="E6272" s="4" t="s">
        <v>4746</v>
      </c>
      <c r="F6272" s="4" t="n">
        <v>8</v>
      </c>
      <c r="G6272" s="4" t="n">
        <v>8</v>
      </c>
      <c r="H6272" s="4" t="n">
        <v>4</v>
      </c>
      <c r="I6272" s="4" t="str">
        <v>×</v>
      </c>
      <c r="J6272" s="4"/>
      <c r="K6272" s="4"/>
      <c r="L6272" s="4"/>
      <c r="M6272" s="5" t="s">
        <v>4475</v>
      </c>
    </row>
    <row r="6273" customFormat="false" ht="15.75" hidden="false" customHeight="false" outlineLevel="0" collapsed="false">
      <c r="A6273" s="6" t="n">
        <v>46180</v>
      </c>
      <c r="B6273" s="4" t="s">
        <v>4473</v>
      </c>
      <c r="C6273" s="4" t="n">
        <v>10</v>
      </c>
      <c r="D6273" s="4" t="n">
        <v>5</v>
      </c>
      <c r="E6273" s="4" t="s">
        <v>4747</v>
      </c>
      <c r="F6273" s="4" t="n">
        <v>4</v>
      </c>
      <c r="G6273" s="4" t="n">
        <v>9</v>
      </c>
      <c r="H6273" s="4" t="n">
        <v>4</v>
      </c>
      <c r="I6273" s="4" t="str">
        <v>×</v>
      </c>
      <c r="J6273" s="4"/>
      <c r="K6273" s="4"/>
      <c r="L6273" s="4"/>
      <c r="M6273" s="5" t="s">
        <v>4475</v>
      </c>
    </row>
    <row r="6274" customFormat="false" ht="15.75" hidden="false" customHeight="false" outlineLevel="0" collapsed="false">
      <c r="A6274" s="6" t="n">
        <v>46180</v>
      </c>
      <c r="B6274" s="4" t="s">
        <v>4473</v>
      </c>
      <c r="C6274" s="4" t="n">
        <v>10</v>
      </c>
      <c r="D6274" s="4" t="n">
        <v>6</v>
      </c>
      <c r="E6274" s="4" t="s">
        <v>4748</v>
      </c>
      <c r="F6274" s="4" t="n">
        <v>65</v>
      </c>
      <c r="G6274" s="4" t="n">
        <v>1</v>
      </c>
      <c r="H6274" s="4" t="n">
        <v>1</v>
      </c>
      <c r="I6274" s="4" t="str">
        <v>○</v>
      </c>
      <c r="J6274" s="4" t="n">
        <v>220</v>
      </c>
      <c r="K6274" s="4"/>
      <c r="L6274" s="4"/>
      <c r="M6274" s="5" t="s">
        <v>4475</v>
      </c>
    </row>
    <row r="6275" customFormat="false" ht="15.75" hidden="false" customHeight="false" outlineLevel="0" collapsed="false">
      <c r="A6275" s="6" t="n">
        <v>46180</v>
      </c>
      <c r="B6275" s="4" t="s">
        <v>4473</v>
      </c>
      <c r="C6275" s="4" t="n">
        <v>10</v>
      </c>
      <c r="D6275" s="4" t="n">
        <v>7</v>
      </c>
      <c r="E6275" s="4" t="s">
        <v>4749</v>
      </c>
      <c r="F6275" s="4" t="n">
        <v>4</v>
      </c>
      <c r="G6275" s="4" t="n">
        <v>9</v>
      </c>
      <c r="H6275" s="4" t="n">
        <v>3</v>
      </c>
      <c r="I6275" s="4" t="str">
        <v>○</v>
      </c>
      <c r="J6275" s="4" t="n">
        <v>1480</v>
      </c>
      <c r="K6275" s="4"/>
      <c r="L6275" s="4"/>
      <c r="M6275" s="5" t="s">
        <v>4475</v>
      </c>
    </row>
    <row r="6276" customFormat="false" ht="15.75" hidden="false" customHeight="false" outlineLevel="0" collapsed="false">
      <c r="A6276" s="6" t="n">
        <v>46180</v>
      </c>
      <c r="B6276" s="4" t="s">
        <v>4473</v>
      </c>
      <c r="C6276" s="4" t="n">
        <v>10</v>
      </c>
      <c r="D6276" s="4" t="n">
        <v>8</v>
      </c>
      <c r="E6276" s="4" t="s">
        <v>4750</v>
      </c>
      <c r="F6276" s="4" t="n">
        <v>10</v>
      </c>
      <c r="G6276" s="4" t="n">
        <v>7</v>
      </c>
      <c r="H6276" s="4" t="n">
        <v>4</v>
      </c>
      <c r="I6276" s="4" t="str">
        <v>×</v>
      </c>
      <c r="J6276" s="4"/>
      <c r="K6276" s="4"/>
      <c r="L6276" s="4"/>
      <c r="M6276" s="5" t="s">
        <v>4475</v>
      </c>
    </row>
    <row r="6277" customFormat="false" ht="15.75" hidden="false" customHeight="false" outlineLevel="0" collapsed="false">
      <c r="A6277" s="6" t="n">
        <v>46180</v>
      </c>
      <c r="B6277" s="4" t="s">
        <v>4473</v>
      </c>
      <c r="C6277" s="4" t="n">
        <v>10</v>
      </c>
      <c r="D6277" s="4" t="n">
        <v>9</v>
      </c>
      <c r="E6277" s="4" t="s">
        <v>4751</v>
      </c>
      <c r="F6277" s="4" t="n">
        <v>1</v>
      </c>
      <c r="G6277" s="4" t="n">
        <v>10</v>
      </c>
      <c r="H6277" s="4" t="n">
        <v>4</v>
      </c>
      <c r="I6277" s="4" t="str">
        <v>×</v>
      </c>
      <c r="J6277" s="4"/>
      <c r="K6277" s="4"/>
      <c r="L6277" s="4"/>
      <c r="M6277" s="5" t="s">
        <v>4475</v>
      </c>
    </row>
    <row r="6278" customFormat="false" ht="15.75" hidden="false" customHeight="false" outlineLevel="0" collapsed="false">
      <c r="A6278" s="6" t="n">
        <v>46180</v>
      </c>
      <c r="B6278" s="4" t="s">
        <v>4473</v>
      </c>
      <c r="C6278" s="4" t="n">
        <v>10</v>
      </c>
      <c r="D6278" s="4" t="n">
        <v>10</v>
      </c>
      <c r="E6278" s="4" t="s">
        <v>4752</v>
      </c>
      <c r="F6278" s="4" t="n">
        <v>65</v>
      </c>
      <c r="G6278" s="4" t="n">
        <v>1</v>
      </c>
      <c r="H6278" s="4" t="n">
        <v>4</v>
      </c>
      <c r="I6278" s="4" t="str">
        <v>×</v>
      </c>
      <c r="J6278" s="4"/>
      <c r="K6278" s="4"/>
      <c r="L6278" s="4"/>
      <c r="M6278" s="5" t="s">
        <v>4475</v>
      </c>
    </row>
    <row r="6279" customFormat="false" ht="15.75" hidden="false" customHeight="false" outlineLevel="0" collapsed="false">
      <c r="A6279" s="6" t="n">
        <v>46180</v>
      </c>
      <c r="B6279" s="4" t="s">
        <v>4473</v>
      </c>
      <c r="C6279" s="4" t="n">
        <v>10</v>
      </c>
      <c r="D6279" s="4" t="n">
        <v>11</v>
      </c>
      <c r="E6279" s="4" t="s">
        <v>4155</v>
      </c>
      <c r="F6279" s="4" t="n">
        <v>10</v>
      </c>
      <c r="G6279" s="4" t="n">
        <v>7</v>
      </c>
      <c r="H6279" s="4" t="n">
        <v>4</v>
      </c>
      <c r="I6279" s="4" t="str">
        <v>×</v>
      </c>
      <c r="J6279" s="4"/>
      <c r="K6279" s="4"/>
      <c r="L6279" s="4"/>
      <c r="M6279" s="5" t="s">
        <v>4475</v>
      </c>
    </row>
    <row r="6280" customFormat="false" ht="15.75" hidden="false" customHeight="false" outlineLevel="0" collapsed="false">
      <c r="A6280" s="6" t="n">
        <v>46180</v>
      </c>
      <c r="B6280" s="4" t="s">
        <v>4473</v>
      </c>
      <c r="C6280" s="4" t="n">
        <v>10</v>
      </c>
      <c r="D6280" s="4" t="n">
        <v>12</v>
      </c>
      <c r="E6280" s="4" t="s">
        <v>4753</v>
      </c>
      <c r="F6280" s="4" t="n">
        <v>15</v>
      </c>
      <c r="G6280" s="4" t="n">
        <v>5</v>
      </c>
      <c r="H6280" s="4" t="n">
        <v>4</v>
      </c>
      <c r="I6280" s="4" t="str">
        <v>×</v>
      </c>
      <c r="J6280" s="4"/>
      <c r="K6280" s="4"/>
      <c r="L6280" s="4"/>
      <c r="M6280" s="5" t="s">
        <v>4475</v>
      </c>
    </row>
    <row r="6281" customFormat="false" ht="15.75" hidden="false" customHeight="false" outlineLevel="0" collapsed="false">
      <c r="A6281" s="6" t="n">
        <v>46180</v>
      </c>
      <c r="B6281" s="4" t="s">
        <v>4473</v>
      </c>
      <c r="C6281" s="4" t="n">
        <v>10</v>
      </c>
      <c r="D6281" s="4" t="n">
        <v>13</v>
      </c>
      <c r="E6281" s="4" t="s">
        <v>4754</v>
      </c>
      <c r="F6281" s="4" t="n">
        <v>34</v>
      </c>
      <c r="G6281" s="4" t="n">
        <v>2</v>
      </c>
      <c r="H6281" s="4" t="n">
        <v>2</v>
      </c>
      <c r="I6281" s="4" t="str">
        <v>○</v>
      </c>
      <c r="J6281" s="4" t="n">
        <v>610</v>
      </c>
      <c r="K6281" s="4"/>
      <c r="L6281" s="4"/>
      <c r="M6281" s="5" t="s">
        <v>4475</v>
      </c>
    </row>
    <row r="6282" customFormat="false" ht="15.75" hidden="false" customHeight="false" outlineLevel="0" collapsed="false">
      <c r="A6282" s="6" t="n">
        <v>46180</v>
      </c>
      <c r="B6282" s="4" t="s">
        <v>4473</v>
      </c>
      <c r="C6282" s="4" t="n">
        <v>10</v>
      </c>
      <c r="D6282" s="4" t="n">
        <v>14</v>
      </c>
      <c r="E6282" s="4" t="s">
        <v>2431</v>
      </c>
      <c r="F6282" s="4" t="n">
        <v>17</v>
      </c>
      <c r="G6282" s="4" t="n">
        <v>4</v>
      </c>
      <c r="H6282" s="4" t="n">
        <v>4</v>
      </c>
      <c r="I6282" s="4" t="str">
        <v>×</v>
      </c>
      <c r="J6282" s="4"/>
      <c r="K6282" s="4"/>
      <c r="L6282" s="4"/>
      <c r="M6282" s="5" t="s">
        <v>4475</v>
      </c>
    </row>
    <row r="6283" customFormat="false" ht="15.75" hidden="false" customHeight="false" outlineLevel="0" collapsed="false">
      <c r="A6283" s="6" t="n">
        <v>46180</v>
      </c>
      <c r="B6283" s="4" t="s">
        <v>4473</v>
      </c>
      <c r="C6283" s="4" t="n">
        <v>10</v>
      </c>
      <c r="D6283" s="4" t="n">
        <v>15</v>
      </c>
      <c r="E6283" s="4" t="s">
        <v>4755</v>
      </c>
      <c r="F6283" s="4" t="n">
        <v>20</v>
      </c>
      <c r="G6283" s="4" t="n">
        <v>3</v>
      </c>
      <c r="H6283" s="4" t="n">
        <v>4</v>
      </c>
      <c r="I6283" s="4" t="str">
        <v>×</v>
      </c>
      <c r="J6283" s="4"/>
      <c r="K6283" s="4"/>
      <c r="L6283" s="4"/>
      <c r="M6283" s="5" t="s">
        <v>4475</v>
      </c>
    </row>
    <row r="6284" customFormat="false" ht="15.75" hidden="false" customHeight="false" outlineLevel="0" collapsed="false">
      <c r="A6284" s="6" t="n">
        <v>46180</v>
      </c>
      <c r="B6284" s="4" t="s">
        <v>4473</v>
      </c>
      <c r="C6284" s="4" t="n">
        <v>10</v>
      </c>
      <c r="D6284" s="4" t="n">
        <v>16</v>
      </c>
      <c r="E6284" s="4" t="s">
        <v>1050</v>
      </c>
      <c r="F6284" s="4" t="n">
        <v>20</v>
      </c>
      <c r="G6284" s="4" t="n">
        <v>3</v>
      </c>
      <c r="H6284" s="4" t="n">
        <v>4</v>
      </c>
      <c r="I6284" s="4" t="str">
        <v>×</v>
      </c>
      <c r="J6284" s="4"/>
      <c r="K6284" s="4"/>
      <c r="L6284" s="4"/>
      <c r="M6284" s="5" t="s">
        <v>4475</v>
      </c>
    </row>
    <row r="6285" customFormat="false" ht="15.75" hidden="false" customHeight="false" outlineLevel="0" collapsed="false">
      <c r="A6285" s="6" t="n">
        <v>46180</v>
      </c>
      <c r="B6285" s="4" t="s">
        <v>4473</v>
      </c>
      <c r="C6285" s="4" t="n">
        <v>11</v>
      </c>
      <c r="D6285" s="4" t="n">
        <v>1</v>
      </c>
      <c r="E6285" s="4" t="s">
        <v>4756</v>
      </c>
      <c r="F6285" s="4" t="n">
        <v>3</v>
      </c>
      <c r="G6285" s="4" t="n">
        <v>10</v>
      </c>
      <c r="H6285" s="4" t="n">
        <v>4</v>
      </c>
      <c r="I6285" s="4" t="str">
        <v>×</v>
      </c>
      <c r="J6285" s="4"/>
      <c r="K6285" s="4"/>
      <c r="L6285" s="4"/>
      <c r="M6285" s="5" t="s">
        <v>4475</v>
      </c>
    </row>
    <row r="6286" customFormat="false" ht="15.75" hidden="false" customHeight="false" outlineLevel="0" collapsed="false">
      <c r="A6286" s="6" t="n">
        <v>46180</v>
      </c>
      <c r="B6286" s="4" t="s">
        <v>4473</v>
      </c>
      <c r="C6286" s="4" t="n">
        <v>11</v>
      </c>
      <c r="D6286" s="4" t="n">
        <v>2</v>
      </c>
      <c r="E6286" s="4" t="s">
        <v>4757</v>
      </c>
      <c r="F6286" s="4" t="n">
        <v>2</v>
      </c>
      <c r="G6286" s="4" t="n">
        <v>11</v>
      </c>
      <c r="H6286" s="4" t="n">
        <v>4</v>
      </c>
      <c r="I6286" s="4" t="str">
        <v>×</v>
      </c>
      <c r="J6286" s="4"/>
      <c r="K6286" s="4"/>
      <c r="L6286" s="4"/>
      <c r="M6286" s="5" t="s">
        <v>4475</v>
      </c>
    </row>
    <row r="6287" customFormat="false" ht="15.75" hidden="false" customHeight="false" outlineLevel="0" collapsed="false">
      <c r="A6287" s="6" t="n">
        <v>46180</v>
      </c>
      <c r="B6287" s="4" t="s">
        <v>4473</v>
      </c>
      <c r="C6287" s="4" t="n">
        <v>11</v>
      </c>
      <c r="D6287" s="4" t="n">
        <v>3</v>
      </c>
      <c r="E6287" s="4" t="s">
        <v>4758</v>
      </c>
      <c r="F6287" s="4" t="n">
        <v>20</v>
      </c>
      <c r="G6287" s="4" t="n">
        <v>4</v>
      </c>
      <c r="H6287" s="4" t="n">
        <v>4</v>
      </c>
      <c r="I6287" s="4" t="str">
        <v>×</v>
      </c>
      <c r="J6287" s="4"/>
      <c r="K6287" s="4"/>
      <c r="L6287" s="4"/>
      <c r="M6287" s="5" t="s">
        <v>4475</v>
      </c>
    </row>
    <row r="6288" customFormat="false" ht="15.75" hidden="false" customHeight="false" outlineLevel="0" collapsed="false">
      <c r="A6288" s="6" t="n">
        <v>46180</v>
      </c>
      <c r="B6288" s="4" t="s">
        <v>4473</v>
      </c>
      <c r="C6288" s="4" t="n">
        <v>11</v>
      </c>
      <c r="D6288" s="4" t="n">
        <v>4</v>
      </c>
      <c r="E6288" s="4" t="s">
        <v>4759</v>
      </c>
      <c r="F6288" s="4" t="n">
        <v>17</v>
      </c>
      <c r="G6288" s="4" t="n">
        <v>5</v>
      </c>
      <c r="H6288" s="4" t="n">
        <v>1</v>
      </c>
      <c r="I6288" s="4" t="str">
        <v>○</v>
      </c>
      <c r="J6288" s="4" t="n">
        <v>540</v>
      </c>
      <c r="K6288" s="4"/>
      <c r="L6288" s="4"/>
      <c r="M6288" s="5" t="s">
        <v>4475</v>
      </c>
    </row>
    <row r="6289" customFormat="false" ht="15.75" hidden="false" customHeight="false" outlineLevel="0" collapsed="false">
      <c r="A6289" s="6" t="n">
        <v>46180</v>
      </c>
      <c r="B6289" s="4" t="s">
        <v>4473</v>
      </c>
      <c r="C6289" s="4" t="n">
        <v>11</v>
      </c>
      <c r="D6289" s="4" t="n">
        <v>5</v>
      </c>
      <c r="E6289" s="4" t="s">
        <v>4760</v>
      </c>
      <c r="F6289" s="4" t="n">
        <v>2</v>
      </c>
      <c r="G6289" s="4" t="n">
        <v>11</v>
      </c>
      <c r="H6289" s="4" t="n">
        <v>4</v>
      </c>
      <c r="I6289" s="4" t="str">
        <v>×</v>
      </c>
      <c r="J6289" s="4"/>
      <c r="K6289" s="4"/>
      <c r="L6289" s="4"/>
      <c r="M6289" s="5" t="s">
        <v>4475</v>
      </c>
    </row>
    <row r="6290" customFormat="false" ht="15.75" hidden="false" customHeight="false" outlineLevel="0" collapsed="false">
      <c r="A6290" s="6" t="n">
        <v>46180</v>
      </c>
      <c r="B6290" s="4" t="s">
        <v>4473</v>
      </c>
      <c r="C6290" s="4" t="n">
        <v>11</v>
      </c>
      <c r="D6290" s="4" t="n">
        <v>6</v>
      </c>
      <c r="E6290" s="4" t="s">
        <v>4761</v>
      </c>
      <c r="F6290" s="4" t="n">
        <v>3</v>
      </c>
      <c r="G6290" s="4" t="n">
        <v>10</v>
      </c>
      <c r="H6290" s="4" t="n">
        <v>4</v>
      </c>
      <c r="I6290" s="4" t="str">
        <v>×</v>
      </c>
      <c r="J6290" s="4"/>
      <c r="K6290" s="4"/>
      <c r="L6290" s="4"/>
      <c r="M6290" s="5" t="s">
        <v>4475</v>
      </c>
    </row>
    <row r="6291" customFormat="false" ht="15.75" hidden="false" customHeight="false" outlineLevel="0" collapsed="false">
      <c r="A6291" s="6" t="n">
        <v>46180</v>
      </c>
      <c r="B6291" s="4" t="s">
        <v>4473</v>
      </c>
      <c r="C6291" s="4" t="n">
        <v>11</v>
      </c>
      <c r="D6291" s="4" t="n">
        <v>7</v>
      </c>
      <c r="E6291" s="4" t="s">
        <v>4762</v>
      </c>
      <c r="F6291" s="4" t="n">
        <v>8</v>
      </c>
      <c r="G6291" s="4" t="n">
        <v>8</v>
      </c>
      <c r="H6291" s="4" t="n">
        <v>4</v>
      </c>
      <c r="I6291" s="4" t="str">
        <v>×</v>
      </c>
      <c r="J6291" s="4"/>
      <c r="K6291" s="4"/>
      <c r="L6291" s="4"/>
      <c r="M6291" s="5" t="s">
        <v>4475</v>
      </c>
    </row>
    <row r="6292" customFormat="false" ht="15.75" hidden="false" customHeight="false" outlineLevel="0" collapsed="false">
      <c r="A6292" s="6" t="n">
        <v>46180</v>
      </c>
      <c r="B6292" s="4" t="s">
        <v>4473</v>
      </c>
      <c r="C6292" s="4" t="n">
        <v>11</v>
      </c>
      <c r="D6292" s="4" t="n">
        <v>8</v>
      </c>
      <c r="E6292" s="4" t="s">
        <v>4763</v>
      </c>
      <c r="F6292" s="4" t="n">
        <v>6</v>
      </c>
      <c r="G6292" s="4" t="n">
        <v>9</v>
      </c>
      <c r="H6292" s="4" t="n">
        <v>4</v>
      </c>
      <c r="I6292" s="4" t="str">
        <v>×</v>
      </c>
      <c r="J6292" s="4"/>
      <c r="K6292" s="4"/>
      <c r="L6292" s="4"/>
      <c r="M6292" s="5" t="s">
        <v>4475</v>
      </c>
    </row>
    <row r="6293" customFormat="false" ht="15.75" hidden="false" customHeight="false" outlineLevel="0" collapsed="false">
      <c r="A6293" s="6" t="n">
        <v>46180</v>
      </c>
      <c r="B6293" s="4" t="s">
        <v>4473</v>
      </c>
      <c r="C6293" s="4" t="n">
        <v>11</v>
      </c>
      <c r="D6293" s="4" t="n">
        <v>9</v>
      </c>
      <c r="E6293" s="4" t="s">
        <v>4764</v>
      </c>
      <c r="F6293" s="4" t="n">
        <v>15</v>
      </c>
      <c r="G6293" s="4" t="n">
        <v>6</v>
      </c>
      <c r="H6293" s="4" t="n">
        <v>4</v>
      </c>
      <c r="I6293" s="4" t="str">
        <v>×</v>
      </c>
      <c r="J6293" s="4"/>
      <c r="K6293" s="4"/>
      <c r="L6293" s="4"/>
      <c r="M6293" s="5" t="s">
        <v>4475</v>
      </c>
    </row>
    <row r="6294" customFormat="false" ht="15.75" hidden="false" customHeight="false" outlineLevel="0" collapsed="false">
      <c r="A6294" s="6" t="n">
        <v>46180</v>
      </c>
      <c r="B6294" s="4" t="s">
        <v>4473</v>
      </c>
      <c r="C6294" s="4" t="n">
        <v>11</v>
      </c>
      <c r="D6294" s="4" t="n">
        <v>10</v>
      </c>
      <c r="E6294" s="4" t="s">
        <v>4765</v>
      </c>
      <c r="F6294" s="4" t="n">
        <v>10</v>
      </c>
      <c r="G6294" s="4" t="n">
        <v>7</v>
      </c>
      <c r="H6294" s="4" t="n">
        <v>4</v>
      </c>
      <c r="I6294" s="4" t="str">
        <v>×</v>
      </c>
      <c r="J6294" s="4"/>
      <c r="K6294" s="4"/>
      <c r="L6294" s="4"/>
      <c r="M6294" s="5" t="s">
        <v>4475</v>
      </c>
    </row>
    <row r="6295" customFormat="false" ht="15.75" hidden="false" customHeight="false" outlineLevel="0" collapsed="false">
      <c r="A6295" s="6" t="n">
        <v>46180</v>
      </c>
      <c r="B6295" s="4" t="s">
        <v>4473</v>
      </c>
      <c r="C6295" s="4" t="n">
        <v>11</v>
      </c>
      <c r="D6295" s="4" t="n">
        <v>11</v>
      </c>
      <c r="E6295" s="4" t="s">
        <v>4766</v>
      </c>
      <c r="F6295" s="4" t="n">
        <v>3</v>
      </c>
      <c r="G6295" s="4" t="n">
        <v>10</v>
      </c>
      <c r="H6295" s="4" t="n">
        <v>2</v>
      </c>
      <c r="I6295" s="4" t="str">
        <v>○</v>
      </c>
      <c r="J6295" s="4" t="n">
        <v>460</v>
      </c>
      <c r="K6295" s="4"/>
      <c r="L6295" s="4"/>
      <c r="M6295" s="5" t="s">
        <v>4475</v>
      </c>
    </row>
    <row r="6296" customFormat="false" ht="15.75" hidden="false" customHeight="false" outlineLevel="0" collapsed="false">
      <c r="A6296" s="6" t="n">
        <v>46180</v>
      </c>
      <c r="B6296" s="4" t="s">
        <v>4473</v>
      </c>
      <c r="C6296" s="4" t="n">
        <v>11</v>
      </c>
      <c r="D6296" s="4" t="n">
        <v>12</v>
      </c>
      <c r="E6296" s="4" t="s">
        <v>550</v>
      </c>
      <c r="F6296" s="4" t="n">
        <v>6</v>
      </c>
      <c r="G6296" s="4" t="n">
        <v>9</v>
      </c>
      <c r="H6296" s="4" t="n">
        <v>4</v>
      </c>
      <c r="I6296" s="4" t="str">
        <v>×</v>
      </c>
      <c r="J6296" s="4"/>
      <c r="K6296" s="4"/>
      <c r="L6296" s="4"/>
      <c r="M6296" s="5" t="s">
        <v>4475</v>
      </c>
    </row>
    <row r="6297" customFormat="false" ht="15.75" hidden="false" customHeight="false" outlineLevel="0" collapsed="false">
      <c r="A6297" s="6" t="n">
        <v>46180</v>
      </c>
      <c r="B6297" s="4" t="s">
        <v>4473</v>
      </c>
      <c r="C6297" s="4" t="n">
        <v>11</v>
      </c>
      <c r="D6297" s="4" t="n">
        <v>13</v>
      </c>
      <c r="E6297" s="4" t="s">
        <v>4767</v>
      </c>
      <c r="F6297" s="4" t="n">
        <v>25</v>
      </c>
      <c r="G6297" s="4" t="n">
        <v>3</v>
      </c>
      <c r="H6297" s="4" t="n">
        <v>4</v>
      </c>
      <c r="I6297" s="4" t="str">
        <v>×</v>
      </c>
      <c r="J6297" s="4"/>
      <c r="K6297" s="4"/>
      <c r="L6297" s="4"/>
      <c r="M6297" s="5" t="s">
        <v>4475</v>
      </c>
    </row>
    <row r="6298" customFormat="false" ht="15.75" hidden="false" customHeight="false" outlineLevel="0" collapsed="false">
      <c r="A6298" s="6" t="n">
        <v>46180</v>
      </c>
      <c r="B6298" s="4" t="s">
        <v>4473</v>
      </c>
      <c r="C6298" s="4" t="n">
        <v>11</v>
      </c>
      <c r="D6298" s="4" t="n">
        <v>14</v>
      </c>
      <c r="E6298" s="4" t="s">
        <v>4768</v>
      </c>
      <c r="F6298" s="4" t="n">
        <v>47</v>
      </c>
      <c r="G6298" s="4" t="n">
        <v>1</v>
      </c>
      <c r="H6298" s="4" t="n">
        <v>2</v>
      </c>
      <c r="I6298" s="4" t="str">
        <v>○</v>
      </c>
      <c r="J6298" s="4" t="n">
        <v>140</v>
      </c>
      <c r="K6298" s="4"/>
      <c r="L6298" s="4"/>
      <c r="M6298" s="5" t="s">
        <v>4475</v>
      </c>
    </row>
    <row r="6299" customFormat="false" ht="15.75" hidden="false" customHeight="false" outlineLevel="0" collapsed="false">
      <c r="A6299" s="6" t="n">
        <v>46180</v>
      </c>
      <c r="B6299" s="4" t="s">
        <v>4473</v>
      </c>
      <c r="C6299" s="4" t="n">
        <v>11</v>
      </c>
      <c r="D6299" s="4" t="n">
        <v>15</v>
      </c>
      <c r="E6299" s="4" t="s">
        <v>4769</v>
      </c>
      <c r="F6299" s="4" t="n">
        <v>17</v>
      </c>
      <c r="G6299" s="4" t="n">
        <v>5</v>
      </c>
      <c r="H6299" s="4" t="n">
        <v>4</v>
      </c>
      <c r="I6299" s="4" t="str">
        <v>×</v>
      </c>
      <c r="J6299" s="4"/>
      <c r="K6299" s="4"/>
      <c r="L6299" s="4"/>
      <c r="M6299" s="5" t="s">
        <v>4475</v>
      </c>
    </row>
    <row r="6300" customFormat="false" ht="15.75" hidden="false" customHeight="false" outlineLevel="0" collapsed="false">
      <c r="A6300" s="6" t="n">
        <v>46180</v>
      </c>
      <c r="B6300" s="4" t="s">
        <v>4473</v>
      </c>
      <c r="C6300" s="4" t="n">
        <v>11</v>
      </c>
      <c r="D6300" s="4" t="n">
        <v>16</v>
      </c>
      <c r="E6300" s="4" t="s">
        <v>4770</v>
      </c>
      <c r="F6300" s="4" t="n">
        <v>44</v>
      </c>
      <c r="G6300" s="4" t="n">
        <v>2</v>
      </c>
      <c r="H6300" s="4" t="n">
        <v>4</v>
      </c>
      <c r="I6300" s="4" t="str">
        <v>×</v>
      </c>
      <c r="J6300" s="4"/>
      <c r="K6300" s="4"/>
      <c r="L6300" s="4"/>
      <c r="M6300" s="5" t="s">
        <v>4475</v>
      </c>
    </row>
    <row r="6301" customFormat="false" ht="15.75" hidden="false" customHeight="false" outlineLevel="0" collapsed="false">
      <c r="A6301" s="6" t="n">
        <v>46180</v>
      </c>
      <c r="B6301" s="4" t="s">
        <v>4473</v>
      </c>
      <c r="C6301" s="4" t="n">
        <v>11</v>
      </c>
      <c r="D6301" s="4" t="n">
        <v>17</v>
      </c>
      <c r="E6301" s="4" t="s">
        <v>4771</v>
      </c>
      <c r="F6301" s="4" t="n">
        <v>47</v>
      </c>
      <c r="G6301" s="4" t="n">
        <v>1</v>
      </c>
      <c r="H6301" s="4" t="n">
        <v>4</v>
      </c>
      <c r="I6301" s="4" t="str">
        <v>×</v>
      </c>
      <c r="J6301" s="4"/>
      <c r="K6301" s="4"/>
      <c r="L6301" s="4"/>
      <c r="M6301" s="5" t="s">
        <v>4475</v>
      </c>
    </row>
    <row r="6302" customFormat="false" ht="15.75" hidden="false" customHeight="false" outlineLevel="0" collapsed="false">
      <c r="A6302" s="6" t="n">
        <v>46180</v>
      </c>
      <c r="B6302" s="4" t="s">
        <v>4473</v>
      </c>
      <c r="C6302" s="4" t="n">
        <v>12</v>
      </c>
      <c r="D6302" s="4" t="n">
        <v>1</v>
      </c>
      <c r="E6302" s="4" t="s">
        <v>4772</v>
      </c>
      <c r="F6302" s="4" t="n">
        <v>25</v>
      </c>
      <c r="G6302" s="4" t="n">
        <v>6</v>
      </c>
      <c r="H6302" s="4" t="n">
        <v>4</v>
      </c>
      <c r="I6302" s="4" t="str">
        <v>×</v>
      </c>
      <c r="J6302" s="4"/>
      <c r="K6302" s="4"/>
      <c r="L6302" s="4"/>
      <c r="M6302" s="5" t="s">
        <v>4475</v>
      </c>
    </row>
    <row r="6303" customFormat="false" ht="15.75" hidden="false" customHeight="false" outlineLevel="0" collapsed="false">
      <c r="A6303" s="6" t="n">
        <v>46180</v>
      </c>
      <c r="B6303" s="4" t="s">
        <v>4473</v>
      </c>
      <c r="C6303" s="4" t="n">
        <v>12</v>
      </c>
      <c r="D6303" s="4" t="n">
        <v>2</v>
      </c>
      <c r="E6303" s="4" t="s">
        <v>4773</v>
      </c>
      <c r="F6303" s="4" t="n">
        <v>1</v>
      </c>
      <c r="G6303" s="4" t="n">
        <v>13</v>
      </c>
      <c r="H6303" s="4" t="n">
        <v>4</v>
      </c>
      <c r="I6303" s="4" t="str">
        <v>×</v>
      </c>
      <c r="J6303" s="4"/>
      <c r="K6303" s="4"/>
      <c r="L6303" s="4"/>
      <c r="M6303" s="5" t="s">
        <v>4475</v>
      </c>
    </row>
    <row r="6304" customFormat="false" ht="15.75" hidden="false" customHeight="false" outlineLevel="0" collapsed="false">
      <c r="A6304" s="6" t="n">
        <v>46180</v>
      </c>
      <c r="B6304" s="4" t="s">
        <v>4473</v>
      </c>
      <c r="C6304" s="4" t="n">
        <v>12</v>
      </c>
      <c r="D6304" s="4" t="n">
        <v>3</v>
      </c>
      <c r="E6304" s="4" t="s">
        <v>4774</v>
      </c>
      <c r="F6304" s="4" t="n">
        <v>1</v>
      </c>
      <c r="G6304" s="4" t="n">
        <v>13</v>
      </c>
      <c r="H6304" s="4" t="n">
        <v>4</v>
      </c>
      <c r="I6304" s="4" t="str">
        <v>×</v>
      </c>
      <c r="J6304" s="4"/>
      <c r="K6304" s="4"/>
      <c r="L6304" s="4"/>
      <c r="M6304" s="5" t="s">
        <v>4475</v>
      </c>
    </row>
    <row r="6305" customFormat="false" ht="15.75" hidden="false" customHeight="false" outlineLevel="0" collapsed="false">
      <c r="A6305" s="6" t="n">
        <v>46180</v>
      </c>
      <c r="B6305" s="4" t="s">
        <v>4473</v>
      </c>
      <c r="C6305" s="4" t="n">
        <v>12</v>
      </c>
      <c r="D6305" s="4" t="n">
        <v>4</v>
      </c>
      <c r="E6305" s="4" t="s">
        <v>537</v>
      </c>
      <c r="F6305" s="4" t="n">
        <v>8</v>
      </c>
      <c r="G6305" s="4" t="n">
        <v>10</v>
      </c>
      <c r="H6305" s="4" t="n">
        <v>4</v>
      </c>
      <c r="I6305" s="4" t="str">
        <v>×</v>
      </c>
      <c r="J6305" s="4"/>
      <c r="K6305" s="4"/>
      <c r="L6305" s="4"/>
      <c r="M6305" s="5" t="s">
        <v>4475</v>
      </c>
    </row>
    <row r="6306" customFormat="false" ht="15.75" hidden="false" customHeight="false" outlineLevel="0" collapsed="false">
      <c r="A6306" s="6" t="n">
        <v>46180</v>
      </c>
      <c r="B6306" s="4" t="s">
        <v>4473</v>
      </c>
      <c r="C6306" s="4" t="n">
        <v>12</v>
      </c>
      <c r="D6306" s="4" t="n">
        <v>5</v>
      </c>
      <c r="E6306" s="4" t="s">
        <v>3542</v>
      </c>
      <c r="F6306" s="4" t="n">
        <v>1</v>
      </c>
      <c r="G6306" s="4" t="n">
        <v>13</v>
      </c>
      <c r="H6306" s="4" t="n">
        <v>4</v>
      </c>
      <c r="I6306" s="4" t="str">
        <v>×</v>
      </c>
      <c r="J6306" s="4"/>
      <c r="K6306" s="4"/>
      <c r="L6306" s="4"/>
      <c r="M6306" s="5" t="s">
        <v>4475</v>
      </c>
    </row>
    <row r="6307" customFormat="false" ht="15.75" hidden="false" customHeight="false" outlineLevel="0" collapsed="false">
      <c r="A6307" s="6" t="n">
        <v>46180</v>
      </c>
      <c r="B6307" s="4" t="s">
        <v>4473</v>
      </c>
      <c r="C6307" s="4" t="n">
        <v>12</v>
      </c>
      <c r="D6307" s="4" t="n">
        <v>6</v>
      </c>
      <c r="E6307" s="4" t="s">
        <v>4775</v>
      </c>
      <c r="F6307" s="4" t="n">
        <v>29</v>
      </c>
      <c r="G6307" s="4" t="n">
        <v>5</v>
      </c>
      <c r="H6307" s="4" t="n">
        <v>4</v>
      </c>
      <c r="I6307" s="4" t="str">
        <v>×</v>
      </c>
      <c r="J6307" s="4"/>
      <c r="K6307" s="4"/>
      <c r="L6307" s="4"/>
      <c r="M6307" s="5" t="s">
        <v>4475</v>
      </c>
    </row>
    <row r="6308" customFormat="false" ht="15.75" hidden="false" customHeight="false" outlineLevel="0" collapsed="false">
      <c r="A6308" s="6" t="n">
        <v>46180</v>
      </c>
      <c r="B6308" s="4" t="s">
        <v>4473</v>
      </c>
      <c r="C6308" s="4" t="n">
        <v>12</v>
      </c>
      <c r="D6308" s="4" t="n">
        <v>7</v>
      </c>
      <c r="E6308" s="4" t="s">
        <v>4776</v>
      </c>
      <c r="F6308" s="4" t="n">
        <v>10</v>
      </c>
      <c r="G6308" s="4" t="n">
        <v>9</v>
      </c>
      <c r="H6308" s="4" t="n">
        <v>4</v>
      </c>
      <c r="I6308" s="4" t="str">
        <v>×</v>
      </c>
      <c r="J6308" s="4"/>
      <c r="K6308" s="4"/>
      <c r="L6308" s="4"/>
      <c r="M6308" s="5" t="s">
        <v>4475</v>
      </c>
    </row>
    <row r="6309" customFormat="false" ht="15.75" hidden="false" customHeight="false" outlineLevel="0" collapsed="false">
      <c r="A6309" s="6" t="n">
        <v>46180</v>
      </c>
      <c r="B6309" s="4" t="s">
        <v>4473</v>
      </c>
      <c r="C6309" s="4" t="n">
        <v>12</v>
      </c>
      <c r="D6309" s="4" t="n">
        <v>8</v>
      </c>
      <c r="E6309" s="4" t="s">
        <v>4777</v>
      </c>
      <c r="F6309" s="4" t="n">
        <v>31</v>
      </c>
      <c r="G6309" s="4" t="n">
        <v>4</v>
      </c>
      <c r="H6309" s="4" t="n">
        <v>4</v>
      </c>
      <c r="I6309" s="4" t="str">
        <v>×</v>
      </c>
      <c r="J6309" s="4"/>
      <c r="K6309" s="4"/>
      <c r="L6309" s="4"/>
      <c r="M6309" s="5" t="s">
        <v>4475</v>
      </c>
    </row>
    <row r="6310" customFormat="false" ht="15.75" hidden="false" customHeight="false" outlineLevel="0" collapsed="false">
      <c r="A6310" s="6" t="n">
        <v>46180</v>
      </c>
      <c r="B6310" s="4" t="s">
        <v>4473</v>
      </c>
      <c r="C6310" s="4" t="n">
        <v>12</v>
      </c>
      <c r="D6310" s="4" t="n">
        <v>9</v>
      </c>
      <c r="E6310" s="4" t="s">
        <v>4778</v>
      </c>
      <c r="F6310" s="4" t="n">
        <v>2</v>
      </c>
      <c r="G6310" s="4" t="n">
        <v>12</v>
      </c>
      <c r="H6310" s="4" t="n">
        <v>4</v>
      </c>
      <c r="I6310" s="4" t="str">
        <v>×</v>
      </c>
      <c r="J6310" s="4"/>
      <c r="K6310" s="4"/>
      <c r="L6310" s="4"/>
      <c r="M6310" s="5" t="s">
        <v>4475</v>
      </c>
    </row>
    <row r="6311" customFormat="false" ht="15.75" hidden="false" customHeight="false" outlineLevel="0" collapsed="false">
      <c r="A6311" s="6" t="n">
        <v>46180</v>
      </c>
      <c r="B6311" s="4" t="s">
        <v>4473</v>
      </c>
      <c r="C6311" s="4" t="n">
        <v>12</v>
      </c>
      <c r="D6311" s="4" t="n">
        <v>10</v>
      </c>
      <c r="E6311" s="4" t="s">
        <v>4779</v>
      </c>
      <c r="F6311" s="4" t="n">
        <v>81</v>
      </c>
      <c r="G6311" s="4" t="n">
        <v>1</v>
      </c>
      <c r="H6311" s="4" t="n">
        <v>1</v>
      </c>
      <c r="I6311" s="4" t="str">
        <v>○</v>
      </c>
      <c r="J6311" s="4" t="n">
        <v>130</v>
      </c>
      <c r="K6311" s="4"/>
      <c r="L6311" s="4"/>
      <c r="M6311" s="5" t="s">
        <v>4475</v>
      </c>
    </row>
    <row r="6312" customFormat="false" ht="15.75" hidden="false" customHeight="false" outlineLevel="0" collapsed="false">
      <c r="A6312" s="6" t="n">
        <v>46180</v>
      </c>
      <c r="B6312" s="4" t="s">
        <v>4473</v>
      </c>
      <c r="C6312" s="4" t="n">
        <v>12</v>
      </c>
      <c r="D6312" s="4" t="n">
        <v>11</v>
      </c>
      <c r="E6312" s="4" t="s">
        <v>4780</v>
      </c>
      <c r="F6312" s="4" t="n">
        <v>15</v>
      </c>
      <c r="G6312" s="4" t="n">
        <v>8</v>
      </c>
      <c r="H6312" s="4" t="n">
        <v>2</v>
      </c>
      <c r="I6312" s="4" t="str">
        <v>○</v>
      </c>
      <c r="J6312" s="4" t="n">
        <v>420</v>
      </c>
      <c r="K6312" s="4"/>
      <c r="L6312" s="4"/>
      <c r="M6312" s="5" t="s">
        <v>4475</v>
      </c>
    </row>
    <row r="6313" customFormat="false" ht="15.75" hidden="false" customHeight="false" outlineLevel="0" collapsed="false">
      <c r="A6313" s="6" t="n">
        <v>46180</v>
      </c>
      <c r="B6313" s="4" t="s">
        <v>4473</v>
      </c>
      <c r="C6313" s="4" t="n">
        <v>12</v>
      </c>
      <c r="D6313" s="4" t="n">
        <v>12</v>
      </c>
      <c r="E6313" s="4" t="s">
        <v>569</v>
      </c>
      <c r="F6313" s="4" t="n">
        <v>20</v>
      </c>
      <c r="G6313" s="4" t="n">
        <v>7</v>
      </c>
      <c r="H6313" s="4" t="n">
        <v>4</v>
      </c>
      <c r="I6313" s="4" t="str">
        <v>×</v>
      </c>
      <c r="J6313" s="4"/>
      <c r="K6313" s="4"/>
      <c r="L6313" s="4"/>
      <c r="M6313" s="5" t="s">
        <v>4475</v>
      </c>
    </row>
    <row r="6314" customFormat="false" ht="15.75" hidden="false" customHeight="false" outlineLevel="0" collapsed="false">
      <c r="A6314" s="6" t="n">
        <v>46180</v>
      </c>
      <c r="B6314" s="4" t="s">
        <v>4473</v>
      </c>
      <c r="C6314" s="4" t="n">
        <v>12</v>
      </c>
      <c r="D6314" s="4" t="n">
        <v>13</v>
      </c>
      <c r="E6314" s="4" t="s">
        <v>462</v>
      </c>
      <c r="F6314" s="4" t="n">
        <v>56</v>
      </c>
      <c r="G6314" s="4" t="n">
        <v>2</v>
      </c>
      <c r="H6314" s="4" t="n">
        <v>3</v>
      </c>
      <c r="I6314" s="4" t="str">
        <v>○</v>
      </c>
      <c r="J6314" s="4" t="n">
        <v>200</v>
      </c>
      <c r="K6314" s="4"/>
      <c r="L6314" s="4"/>
      <c r="M6314" s="5" t="s">
        <v>4475</v>
      </c>
    </row>
    <row r="6315" customFormat="false" ht="15.75" hidden="false" customHeight="false" outlineLevel="0" collapsed="false">
      <c r="A6315" s="6" t="n">
        <v>46180</v>
      </c>
      <c r="B6315" s="4" t="s">
        <v>4473</v>
      </c>
      <c r="C6315" s="4" t="n">
        <v>12</v>
      </c>
      <c r="D6315" s="4" t="n">
        <v>14</v>
      </c>
      <c r="E6315" s="4" t="s">
        <v>4781</v>
      </c>
      <c r="F6315" s="4" t="n">
        <v>1</v>
      </c>
      <c r="G6315" s="4" t="n">
        <v>13</v>
      </c>
      <c r="H6315" s="4" t="n">
        <v>4</v>
      </c>
      <c r="I6315" s="4" t="str">
        <v>×</v>
      </c>
      <c r="J6315" s="4"/>
      <c r="K6315" s="4"/>
      <c r="L6315" s="4"/>
      <c r="M6315" s="5" t="s">
        <v>4475</v>
      </c>
    </row>
    <row r="6316" customFormat="false" ht="15.75" hidden="false" customHeight="false" outlineLevel="0" collapsed="false">
      <c r="A6316" s="6" t="n">
        <v>46180</v>
      </c>
      <c r="B6316" s="4" t="s">
        <v>4473</v>
      </c>
      <c r="C6316" s="4" t="n">
        <v>12</v>
      </c>
      <c r="D6316" s="4" t="n">
        <v>15</v>
      </c>
      <c r="E6316" s="4" t="s">
        <v>4782</v>
      </c>
      <c r="F6316" s="4" t="n">
        <v>4</v>
      </c>
      <c r="G6316" s="4" t="n">
        <v>11</v>
      </c>
      <c r="H6316" s="4" t="n">
        <v>4</v>
      </c>
      <c r="I6316" s="4" t="str">
        <v>×</v>
      </c>
      <c r="J6316" s="4"/>
      <c r="K6316" s="4"/>
      <c r="L6316" s="4"/>
      <c r="M6316" s="5" t="s">
        <v>4475</v>
      </c>
    </row>
    <row r="6317" customFormat="false" ht="15.75" hidden="false" customHeight="false" outlineLevel="0" collapsed="false">
      <c r="A6317" s="6" t="n">
        <v>46180</v>
      </c>
      <c r="B6317" s="4" t="s">
        <v>4473</v>
      </c>
      <c r="C6317" s="4" t="n">
        <v>12</v>
      </c>
      <c r="D6317" s="4" t="n">
        <v>16</v>
      </c>
      <c r="E6317" s="4" t="s">
        <v>4036</v>
      </c>
      <c r="F6317" s="4" t="n">
        <v>47</v>
      </c>
      <c r="G6317" s="4" t="n">
        <v>3</v>
      </c>
      <c r="H6317" s="4" t="n">
        <v>4</v>
      </c>
      <c r="I6317" s="4" t="str">
        <v>×</v>
      </c>
      <c r="J6317" s="4"/>
      <c r="K6317" s="4"/>
      <c r="L6317" s="4"/>
      <c r="M6317" s="5" t="s">
        <v>4475</v>
      </c>
    </row>
    <row r="6318" customFormat="false" ht="15.75" hidden="false" customHeight="false" outlineLevel="0" collapsed="false">
      <c r="A6318" s="6" t="n">
        <v>46180</v>
      </c>
      <c r="B6318" s="4" t="s">
        <v>4172</v>
      </c>
      <c r="C6318" s="4" t="n">
        <v>1</v>
      </c>
      <c r="D6318" s="4" t="n">
        <v>1</v>
      </c>
      <c r="E6318" s="4" t="s">
        <v>4783</v>
      </c>
      <c r="F6318" s="4" t="n">
        <v>6</v>
      </c>
      <c r="G6318" s="4" t="n">
        <v>7</v>
      </c>
      <c r="H6318" s="4" t="n">
        <v>4</v>
      </c>
      <c r="I6318" s="4" t="str">
        <v>×</v>
      </c>
      <c r="J6318" s="4"/>
      <c r="K6318" s="4"/>
      <c r="L6318" s="4"/>
      <c r="M6318" s="5" t="s">
        <v>4475</v>
      </c>
    </row>
    <row r="6319" customFormat="false" ht="15.75" hidden="false" customHeight="false" outlineLevel="0" collapsed="false">
      <c r="A6319" s="6" t="n">
        <v>46180</v>
      </c>
      <c r="B6319" s="4" t="s">
        <v>4172</v>
      </c>
      <c r="C6319" s="4" t="n">
        <v>1</v>
      </c>
      <c r="D6319" s="4" t="n">
        <v>2</v>
      </c>
      <c r="E6319" s="4" t="s">
        <v>4784</v>
      </c>
      <c r="F6319" s="4" t="n">
        <v>44</v>
      </c>
      <c r="G6319" s="4" t="n">
        <v>2</v>
      </c>
      <c r="H6319" s="4" t="n">
        <v>3</v>
      </c>
      <c r="I6319" s="4" t="str">
        <v>○</v>
      </c>
      <c r="J6319" s="4" t="n">
        <v>130</v>
      </c>
      <c r="K6319" s="4"/>
      <c r="L6319" s="4"/>
      <c r="M6319" s="5" t="s">
        <v>4475</v>
      </c>
    </row>
    <row r="6320" customFormat="false" ht="15.75" hidden="false" customHeight="false" outlineLevel="0" collapsed="false">
      <c r="A6320" s="6" t="n">
        <v>46180</v>
      </c>
      <c r="B6320" s="4" t="s">
        <v>4172</v>
      </c>
      <c r="C6320" s="4" t="n">
        <v>1</v>
      </c>
      <c r="D6320" s="4" t="n">
        <v>3</v>
      </c>
      <c r="E6320" s="4" t="s">
        <v>1100</v>
      </c>
      <c r="F6320" s="4" t="n">
        <v>44</v>
      </c>
      <c r="G6320" s="4" t="n">
        <v>2</v>
      </c>
      <c r="H6320" s="4" t="n">
        <v>4</v>
      </c>
      <c r="I6320" s="4" t="str">
        <v>×</v>
      </c>
      <c r="J6320" s="4"/>
      <c r="K6320" s="4"/>
      <c r="L6320" s="4"/>
      <c r="M6320" s="5" t="s">
        <v>4475</v>
      </c>
    </row>
    <row r="6321" customFormat="false" ht="15.75" hidden="false" customHeight="false" outlineLevel="0" collapsed="false">
      <c r="A6321" s="6" t="n">
        <v>46180</v>
      </c>
      <c r="B6321" s="4" t="s">
        <v>4172</v>
      </c>
      <c r="C6321" s="4" t="n">
        <v>1</v>
      </c>
      <c r="D6321" s="4" t="n">
        <v>4</v>
      </c>
      <c r="E6321" s="4" t="s">
        <v>4785</v>
      </c>
      <c r="F6321" s="4" t="n">
        <v>6</v>
      </c>
      <c r="G6321" s="4" t="n">
        <v>7</v>
      </c>
      <c r="H6321" s="4" t="n">
        <v>4</v>
      </c>
      <c r="I6321" s="4" t="str">
        <v>×</v>
      </c>
      <c r="J6321" s="4"/>
      <c r="K6321" s="4"/>
      <c r="L6321" s="4"/>
      <c r="M6321" s="5" t="s">
        <v>4475</v>
      </c>
    </row>
    <row r="6322" customFormat="false" ht="15.75" hidden="false" customHeight="false" outlineLevel="0" collapsed="false">
      <c r="A6322" s="6" t="n">
        <v>46180</v>
      </c>
      <c r="B6322" s="4" t="s">
        <v>4172</v>
      </c>
      <c r="C6322" s="4" t="n">
        <v>1</v>
      </c>
      <c r="D6322" s="4" t="n">
        <v>5</v>
      </c>
      <c r="E6322" s="4" t="s">
        <v>4786</v>
      </c>
      <c r="F6322" s="4" t="n">
        <v>55</v>
      </c>
      <c r="G6322" s="4" t="n">
        <v>1</v>
      </c>
      <c r="H6322" s="4" t="n">
        <v>1</v>
      </c>
      <c r="I6322" s="4" t="str">
        <v>○</v>
      </c>
      <c r="J6322" s="4" t="n">
        <v>190</v>
      </c>
      <c r="K6322" s="4"/>
      <c r="L6322" s="4"/>
      <c r="M6322" s="5" t="s">
        <v>4475</v>
      </c>
    </row>
    <row r="6323" customFormat="false" ht="15.75" hidden="false" customHeight="false" outlineLevel="0" collapsed="false">
      <c r="A6323" s="6" t="n">
        <v>46180</v>
      </c>
      <c r="B6323" s="4" t="s">
        <v>4172</v>
      </c>
      <c r="C6323" s="4" t="n">
        <v>1</v>
      </c>
      <c r="D6323" s="4" t="n">
        <v>6</v>
      </c>
      <c r="E6323" s="4" t="s">
        <v>4787</v>
      </c>
      <c r="F6323" s="4" t="n">
        <v>12</v>
      </c>
      <c r="G6323" s="4" t="n">
        <v>6</v>
      </c>
      <c r="H6323" s="4" t="n">
        <v>4</v>
      </c>
      <c r="I6323" s="4" t="str">
        <v>×</v>
      </c>
      <c r="J6323" s="4"/>
      <c r="K6323" s="4"/>
      <c r="L6323" s="4"/>
      <c r="M6323" s="5" t="s">
        <v>4475</v>
      </c>
    </row>
    <row r="6324" customFormat="false" ht="15.75" hidden="false" customHeight="false" outlineLevel="0" collapsed="false">
      <c r="A6324" s="6" t="n">
        <v>46180</v>
      </c>
      <c r="B6324" s="4" t="s">
        <v>4172</v>
      </c>
      <c r="C6324" s="4" t="n">
        <v>1</v>
      </c>
      <c r="D6324" s="4" t="n">
        <v>7</v>
      </c>
      <c r="E6324" s="4" t="s">
        <v>2810</v>
      </c>
      <c r="F6324" s="4" t="n">
        <v>14</v>
      </c>
      <c r="G6324" s="4" t="n">
        <v>5</v>
      </c>
      <c r="H6324" s="4" t="n">
        <v>4</v>
      </c>
      <c r="I6324" s="4" t="str">
        <v>×</v>
      </c>
      <c r="J6324" s="4"/>
      <c r="K6324" s="4"/>
      <c r="L6324" s="4"/>
      <c r="M6324" s="5" t="s">
        <v>4475</v>
      </c>
    </row>
    <row r="6325" customFormat="false" ht="15.75" hidden="false" customHeight="false" outlineLevel="0" collapsed="false">
      <c r="A6325" s="6" t="n">
        <v>46180</v>
      </c>
      <c r="B6325" s="4" t="s">
        <v>4172</v>
      </c>
      <c r="C6325" s="4" t="n">
        <v>1</v>
      </c>
      <c r="D6325" s="4" t="n">
        <v>8</v>
      </c>
      <c r="E6325" s="4" t="s">
        <v>576</v>
      </c>
      <c r="F6325" s="4" t="n">
        <v>6</v>
      </c>
      <c r="G6325" s="4" t="n">
        <v>7</v>
      </c>
      <c r="H6325" s="4" t="n">
        <v>4</v>
      </c>
      <c r="I6325" s="4" t="str">
        <v>×</v>
      </c>
      <c r="J6325" s="4"/>
      <c r="K6325" s="4"/>
      <c r="L6325" s="4"/>
      <c r="M6325" s="5" t="s">
        <v>4475</v>
      </c>
    </row>
    <row r="6326" customFormat="false" ht="15.75" hidden="false" customHeight="false" outlineLevel="0" collapsed="false">
      <c r="A6326" s="6" t="n">
        <v>46180</v>
      </c>
      <c r="B6326" s="4" t="s">
        <v>4172</v>
      </c>
      <c r="C6326" s="4" t="n">
        <v>1</v>
      </c>
      <c r="D6326" s="4" t="n">
        <v>9</v>
      </c>
      <c r="E6326" s="4" t="s">
        <v>1558</v>
      </c>
      <c r="F6326" s="4" t="n">
        <v>12</v>
      </c>
      <c r="G6326" s="4" t="n">
        <v>6</v>
      </c>
      <c r="H6326" s="4" t="n">
        <v>4</v>
      </c>
      <c r="I6326" s="4" t="str">
        <v>×</v>
      </c>
      <c r="J6326" s="4"/>
      <c r="K6326" s="4"/>
      <c r="L6326" s="4"/>
      <c r="M6326" s="5" t="s">
        <v>4475</v>
      </c>
    </row>
    <row r="6327" customFormat="false" ht="15.75" hidden="false" customHeight="false" outlineLevel="0" collapsed="false">
      <c r="A6327" s="6" t="n">
        <v>46180</v>
      </c>
      <c r="B6327" s="4" t="s">
        <v>4172</v>
      </c>
      <c r="C6327" s="4" t="n">
        <v>1</v>
      </c>
      <c r="D6327" s="4" t="n">
        <v>10</v>
      </c>
      <c r="E6327" s="4" t="s">
        <v>4788</v>
      </c>
      <c r="F6327" s="4" t="n">
        <v>55</v>
      </c>
      <c r="G6327" s="4" t="n">
        <v>1</v>
      </c>
      <c r="H6327" s="4" t="n">
        <v>4</v>
      </c>
      <c r="I6327" s="4" t="str">
        <v>×</v>
      </c>
      <c r="J6327" s="4"/>
      <c r="K6327" s="4"/>
      <c r="L6327" s="4"/>
      <c r="M6327" s="5" t="s">
        <v>4475</v>
      </c>
    </row>
    <row r="6328" customFormat="false" ht="15.75" hidden="false" customHeight="false" outlineLevel="0" collapsed="false">
      <c r="A6328" s="6" t="n">
        <v>46180</v>
      </c>
      <c r="B6328" s="4" t="s">
        <v>4172</v>
      </c>
      <c r="C6328" s="4" t="n">
        <v>1</v>
      </c>
      <c r="D6328" s="4" t="n">
        <v>11</v>
      </c>
      <c r="E6328" s="4" t="s">
        <v>4789</v>
      </c>
      <c r="F6328" s="4" t="n">
        <v>2</v>
      </c>
      <c r="G6328" s="4" t="n">
        <v>8</v>
      </c>
      <c r="H6328" s="4" t="n">
        <v>4</v>
      </c>
      <c r="I6328" s="4" t="str">
        <v>×</v>
      </c>
      <c r="J6328" s="4"/>
      <c r="K6328" s="4"/>
      <c r="L6328" s="4"/>
      <c r="M6328" s="5" t="s">
        <v>4475</v>
      </c>
    </row>
    <row r="6329" customFormat="false" ht="15.75" hidden="false" customHeight="false" outlineLevel="0" collapsed="false">
      <c r="A6329" s="6" t="n">
        <v>46180</v>
      </c>
      <c r="B6329" s="4" t="s">
        <v>4172</v>
      </c>
      <c r="C6329" s="4" t="n">
        <v>1</v>
      </c>
      <c r="D6329" s="4" t="n">
        <v>12</v>
      </c>
      <c r="E6329" s="4" t="s">
        <v>2813</v>
      </c>
      <c r="F6329" s="4" t="n">
        <v>6</v>
      </c>
      <c r="G6329" s="4" t="n">
        <v>7</v>
      </c>
      <c r="H6329" s="4" t="n">
        <v>4</v>
      </c>
      <c r="I6329" s="4" t="str">
        <v>×</v>
      </c>
      <c r="J6329" s="4"/>
      <c r="K6329" s="4"/>
      <c r="L6329" s="4"/>
      <c r="M6329" s="5" t="s">
        <v>4475</v>
      </c>
    </row>
    <row r="6330" customFormat="false" ht="15.75" hidden="false" customHeight="false" outlineLevel="0" collapsed="false">
      <c r="A6330" s="6" t="n">
        <v>46180</v>
      </c>
      <c r="B6330" s="4" t="s">
        <v>4172</v>
      </c>
      <c r="C6330" s="4" t="n">
        <v>1</v>
      </c>
      <c r="D6330" s="4" t="n">
        <v>13</v>
      </c>
      <c r="E6330" s="4" t="s">
        <v>3129</v>
      </c>
      <c r="F6330" s="4" t="n">
        <v>24</v>
      </c>
      <c r="G6330" s="4" t="n">
        <v>4</v>
      </c>
      <c r="H6330" s="4" t="n">
        <v>2</v>
      </c>
      <c r="I6330" s="4" t="str">
        <v>○</v>
      </c>
      <c r="J6330" s="4" t="n">
        <v>610</v>
      </c>
      <c r="K6330" s="4"/>
      <c r="L6330" s="4"/>
      <c r="M6330" s="5" t="s">
        <v>4475</v>
      </c>
    </row>
    <row r="6331" customFormat="false" ht="15.75" hidden="false" customHeight="false" outlineLevel="0" collapsed="false">
      <c r="A6331" s="6" t="n">
        <v>46180</v>
      </c>
      <c r="B6331" s="4" t="s">
        <v>4172</v>
      </c>
      <c r="C6331" s="4" t="n">
        <v>1</v>
      </c>
      <c r="D6331" s="4" t="n">
        <v>14</v>
      </c>
      <c r="E6331" s="4" t="s">
        <v>4790</v>
      </c>
      <c r="F6331" s="4" t="n">
        <v>37</v>
      </c>
      <c r="G6331" s="4" t="n">
        <v>3</v>
      </c>
      <c r="H6331" s="4" t="n">
        <v>4</v>
      </c>
      <c r="I6331" s="4" t="str">
        <v>×</v>
      </c>
      <c r="J6331" s="4"/>
      <c r="K6331" s="4"/>
      <c r="L6331" s="4"/>
      <c r="M6331" s="5" t="s">
        <v>4475</v>
      </c>
    </row>
    <row r="6332" customFormat="false" ht="15.75" hidden="false" customHeight="false" outlineLevel="0" collapsed="false">
      <c r="A6332" s="6" t="n">
        <v>46180</v>
      </c>
      <c r="B6332" s="4" t="s">
        <v>4172</v>
      </c>
      <c r="C6332" s="4" t="n">
        <v>2</v>
      </c>
      <c r="D6332" s="4" t="n">
        <v>1</v>
      </c>
      <c r="E6332" s="4" t="s">
        <v>373</v>
      </c>
      <c r="F6332" s="4" t="n">
        <v>6</v>
      </c>
      <c r="G6332" s="4" t="n">
        <v>9</v>
      </c>
      <c r="H6332" s="4" t="n">
        <v>4</v>
      </c>
      <c r="I6332" s="4" t="str">
        <v>×</v>
      </c>
      <c r="J6332" s="4"/>
      <c r="K6332" s="4"/>
      <c r="L6332" s="4"/>
      <c r="M6332" s="5" t="s">
        <v>4475</v>
      </c>
    </row>
    <row r="6333" customFormat="false" ht="15.75" hidden="false" customHeight="false" outlineLevel="0" collapsed="false">
      <c r="A6333" s="6" t="n">
        <v>46180</v>
      </c>
      <c r="B6333" s="4" t="s">
        <v>4172</v>
      </c>
      <c r="C6333" s="4" t="n">
        <v>2</v>
      </c>
      <c r="D6333" s="4" t="n">
        <v>2</v>
      </c>
      <c r="E6333" s="4" t="s">
        <v>4791</v>
      </c>
      <c r="F6333" s="4" t="n">
        <v>8</v>
      </c>
      <c r="G6333" s="4" t="n">
        <v>8</v>
      </c>
      <c r="H6333" s="4" t="n">
        <v>4</v>
      </c>
      <c r="I6333" s="4" t="str">
        <v>×</v>
      </c>
      <c r="J6333" s="4"/>
      <c r="K6333" s="4"/>
      <c r="L6333" s="4"/>
      <c r="M6333" s="5" t="s">
        <v>4475</v>
      </c>
    </row>
    <row r="6334" customFormat="false" ht="15.75" hidden="false" customHeight="false" outlineLevel="0" collapsed="false">
      <c r="A6334" s="6" t="n">
        <v>46180</v>
      </c>
      <c r="B6334" s="4" t="s">
        <v>4172</v>
      </c>
      <c r="C6334" s="4" t="n">
        <v>2</v>
      </c>
      <c r="D6334" s="4" t="n">
        <v>3</v>
      </c>
      <c r="E6334" s="4" t="s">
        <v>3140</v>
      </c>
      <c r="F6334" s="4" t="n">
        <v>31</v>
      </c>
      <c r="G6334" s="4" t="n">
        <v>5</v>
      </c>
      <c r="H6334" s="4" t="n">
        <v>3</v>
      </c>
      <c r="I6334" s="4" t="str">
        <v>○</v>
      </c>
      <c r="J6334" s="4" t="n">
        <v>260</v>
      </c>
      <c r="K6334" s="4"/>
      <c r="L6334" s="4"/>
      <c r="M6334" s="5" t="s">
        <v>4475</v>
      </c>
    </row>
    <row r="6335" customFormat="false" ht="15.75" hidden="false" customHeight="false" outlineLevel="0" collapsed="false">
      <c r="A6335" s="6" t="n">
        <v>46180</v>
      </c>
      <c r="B6335" s="4" t="s">
        <v>4172</v>
      </c>
      <c r="C6335" s="4" t="n">
        <v>2</v>
      </c>
      <c r="D6335" s="4" t="n">
        <v>4</v>
      </c>
      <c r="E6335" s="4" t="s">
        <v>4792</v>
      </c>
      <c r="F6335" s="4" t="n">
        <v>4</v>
      </c>
      <c r="G6335" s="4" t="n">
        <v>10</v>
      </c>
      <c r="H6335" s="4" t="n">
        <v>4</v>
      </c>
      <c r="I6335" s="4" t="str">
        <v>×</v>
      </c>
      <c r="J6335" s="4"/>
      <c r="K6335" s="4"/>
      <c r="L6335" s="4"/>
      <c r="M6335" s="5" t="s">
        <v>4475</v>
      </c>
    </row>
    <row r="6336" customFormat="false" ht="15.75" hidden="false" customHeight="false" outlineLevel="0" collapsed="false">
      <c r="A6336" s="6" t="n">
        <v>46180</v>
      </c>
      <c r="B6336" s="4" t="s">
        <v>4172</v>
      </c>
      <c r="C6336" s="4" t="n">
        <v>2</v>
      </c>
      <c r="D6336" s="4" t="n">
        <v>5</v>
      </c>
      <c r="E6336" s="4" t="s">
        <v>4793</v>
      </c>
      <c r="F6336" s="4" t="n">
        <v>50</v>
      </c>
      <c r="G6336" s="4" t="n">
        <v>2</v>
      </c>
      <c r="H6336" s="4" t="n">
        <v>2</v>
      </c>
      <c r="I6336" s="4" t="str">
        <v>○</v>
      </c>
      <c r="J6336" s="4" t="n">
        <v>220</v>
      </c>
      <c r="K6336" s="4"/>
      <c r="L6336" s="4"/>
      <c r="M6336" s="5" t="s">
        <v>4475</v>
      </c>
    </row>
    <row r="6337" customFormat="false" ht="15.75" hidden="false" customHeight="false" outlineLevel="0" collapsed="false">
      <c r="A6337" s="6" t="n">
        <v>46180</v>
      </c>
      <c r="B6337" s="4" t="s">
        <v>4172</v>
      </c>
      <c r="C6337" s="4" t="n">
        <v>2</v>
      </c>
      <c r="D6337" s="4" t="n">
        <v>6</v>
      </c>
      <c r="E6337" s="4" t="s">
        <v>3885</v>
      </c>
      <c r="F6337" s="4" t="n">
        <v>4</v>
      </c>
      <c r="G6337" s="4" t="n">
        <v>10</v>
      </c>
      <c r="H6337" s="4" t="n">
        <v>4</v>
      </c>
      <c r="I6337" s="4" t="str">
        <v>×</v>
      </c>
      <c r="J6337" s="4"/>
      <c r="K6337" s="4"/>
      <c r="L6337" s="4"/>
      <c r="M6337" s="5" t="s">
        <v>4475</v>
      </c>
    </row>
    <row r="6338" customFormat="false" ht="15.75" hidden="false" customHeight="false" outlineLevel="0" collapsed="false">
      <c r="A6338" s="6" t="n">
        <v>46180</v>
      </c>
      <c r="B6338" s="4" t="s">
        <v>4172</v>
      </c>
      <c r="C6338" s="4" t="n">
        <v>2</v>
      </c>
      <c r="D6338" s="4" t="n">
        <v>7</v>
      </c>
      <c r="E6338" s="4" t="s">
        <v>2047</v>
      </c>
      <c r="F6338" s="4" t="n">
        <v>20</v>
      </c>
      <c r="G6338" s="4" t="n">
        <v>7</v>
      </c>
      <c r="H6338" s="4" t="n">
        <v>4</v>
      </c>
      <c r="I6338" s="4" t="str">
        <v>×</v>
      </c>
      <c r="J6338" s="4"/>
      <c r="K6338" s="4"/>
      <c r="L6338" s="4"/>
      <c r="M6338" s="5" t="s">
        <v>4475</v>
      </c>
    </row>
    <row r="6339" customFormat="false" ht="15.75" hidden="false" customHeight="false" outlineLevel="0" collapsed="false">
      <c r="A6339" s="6" t="n">
        <v>46180</v>
      </c>
      <c r="B6339" s="4" t="s">
        <v>4172</v>
      </c>
      <c r="C6339" s="4" t="n">
        <v>2</v>
      </c>
      <c r="D6339" s="4" t="n">
        <v>8</v>
      </c>
      <c r="E6339" s="4" t="s">
        <v>3602</v>
      </c>
      <c r="F6339" s="4" t="n">
        <v>8</v>
      </c>
      <c r="G6339" s="4" t="n">
        <v>8</v>
      </c>
      <c r="H6339" s="4" t="n">
        <v>4</v>
      </c>
      <c r="I6339" s="4" t="str">
        <v>×</v>
      </c>
      <c r="J6339" s="4"/>
      <c r="K6339" s="4"/>
      <c r="L6339" s="4"/>
      <c r="M6339" s="5" t="s">
        <v>4475</v>
      </c>
    </row>
    <row r="6340" customFormat="false" ht="15.75" hidden="false" customHeight="false" outlineLevel="0" collapsed="false">
      <c r="A6340" s="6" t="n">
        <v>46180</v>
      </c>
      <c r="B6340" s="4" t="s">
        <v>4172</v>
      </c>
      <c r="C6340" s="4" t="n">
        <v>2</v>
      </c>
      <c r="D6340" s="4" t="n">
        <v>9</v>
      </c>
      <c r="E6340" s="4" t="s">
        <v>3882</v>
      </c>
      <c r="F6340" s="4" t="n">
        <v>37</v>
      </c>
      <c r="G6340" s="4" t="n">
        <v>3</v>
      </c>
      <c r="H6340" s="4" t="n">
        <v>4</v>
      </c>
      <c r="I6340" s="4" t="str">
        <v>×</v>
      </c>
      <c r="J6340" s="4"/>
      <c r="K6340" s="4"/>
      <c r="L6340" s="4"/>
      <c r="M6340" s="5" t="s">
        <v>4475</v>
      </c>
    </row>
    <row r="6341" customFormat="false" ht="15.75" hidden="false" customHeight="false" outlineLevel="0" collapsed="false">
      <c r="A6341" s="6" t="n">
        <v>46180</v>
      </c>
      <c r="B6341" s="4" t="s">
        <v>4172</v>
      </c>
      <c r="C6341" s="4" t="n">
        <v>2</v>
      </c>
      <c r="D6341" s="4" t="n">
        <v>10</v>
      </c>
      <c r="E6341" s="4" t="s">
        <v>3470</v>
      </c>
      <c r="F6341" s="4" t="n">
        <v>56</v>
      </c>
      <c r="G6341" s="4" t="n">
        <v>1</v>
      </c>
      <c r="H6341" s="4" t="n">
        <v>1</v>
      </c>
      <c r="I6341" s="4" t="str">
        <v>○</v>
      </c>
      <c r="J6341" s="4" t="n">
        <v>180</v>
      </c>
      <c r="K6341" s="4"/>
      <c r="L6341" s="4"/>
      <c r="M6341" s="5" t="s">
        <v>4475</v>
      </c>
    </row>
    <row r="6342" customFormat="false" ht="15.75" hidden="false" customHeight="false" outlineLevel="0" collapsed="false">
      <c r="A6342" s="6" t="n">
        <v>46180</v>
      </c>
      <c r="B6342" s="4" t="s">
        <v>4172</v>
      </c>
      <c r="C6342" s="4" t="n">
        <v>2</v>
      </c>
      <c r="D6342" s="4" t="n">
        <v>11</v>
      </c>
      <c r="E6342" s="4" t="s">
        <v>1586</v>
      </c>
      <c r="F6342" s="4" t="n">
        <v>4</v>
      </c>
      <c r="G6342" s="4" t="n">
        <v>10</v>
      </c>
      <c r="H6342" s="4" t="n">
        <v>4</v>
      </c>
      <c r="I6342" s="4" t="str">
        <v>×</v>
      </c>
      <c r="J6342" s="4"/>
      <c r="K6342" s="4"/>
      <c r="L6342" s="4"/>
      <c r="M6342" s="5" t="s">
        <v>4475</v>
      </c>
    </row>
    <row r="6343" customFormat="false" ht="15.75" hidden="false" customHeight="false" outlineLevel="0" collapsed="false">
      <c r="A6343" s="6" t="n">
        <v>46180</v>
      </c>
      <c r="B6343" s="4" t="s">
        <v>4172</v>
      </c>
      <c r="C6343" s="4" t="n">
        <v>2</v>
      </c>
      <c r="D6343" s="4" t="n">
        <v>12</v>
      </c>
      <c r="E6343" s="4" t="s">
        <v>4367</v>
      </c>
      <c r="F6343" s="4" t="n">
        <v>25</v>
      </c>
      <c r="G6343" s="4" t="n">
        <v>6</v>
      </c>
      <c r="H6343" s="4" t="n">
        <v>4</v>
      </c>
      <c r="I6343" s="4" t="str">
        <v>×</v>
      </c>
      <c r="J6343" s="4"/>
      <c r="K6343" s="4"/>
      <c r="L6343" s="4"/>
      <c r="M6343" s="5" t="s">
        <v>4475</v>
      </c>
    </row>
    <row r="6344" customFormat="false" ht="15.75" hidden="false" customHeight="false" outlineLevel="0" collapsed="false">
      <c r="A6344" s="6" t="n">
        <v>46180</v>
      </c>
      <c r="B6344" s="4" t="s">
        <v>4172</v>
      </c>
      <c r="C6344" s="4" t="n">
        <v>2</v>
      </c>
      <c r="D6344" s="4" t="n">
        <v>13</v>
      </c>
      <c r="E6344" s="4" t="s">
        <v>4794</v>
      </c>
      <c r="F6344" s="4" t="n">
        <v>6</v>
      </c>
      <c r="G6344" s="4" t="n">
        <v>9</v>
      </c>
      <c r="H6344" s="4" t="n">
        <v>4</v>
      </c>
      <c r="I6344" s="4" t="str">
        <v>×</v>
      </c>
      <c r="J6344" s="4"/>
      <c r="K6344" s="4"/>
      <c r="L6344" s="4"/>
      <c r="M6344" s="5" t="s">
        <v>4475</v>
      </c>
    </row>
    <row r="6345" customFormat="false" ht="15.75" hidden="false" customHeight="false" outlineLevel="0" collapsed="false">
      <c r="A6345" s="6" t="n">
        <v>46180</v>
      </c>
      <c r="B6345" s="4" t="s">
        <v>4172</v>
      </c>
      <c r="C6345" s="4" t="n">
        <v>2</v>
      </c>
      <c r="D6345" s="4" t="n">
        <v>14</v>
      </c>
      <c r="E6345" s="4" t="s">
        <v>2469</v>
      </c>
      <c r="F6345" s="4" t="n">
        <v>3</v>
      </c>
      <c r="G6345" s="4" t="n">
        <v>11</v>
      </c>
      <c r="H6345" s="4" t="n">
        <v>4</v>
      </c>
      <c r="I6345" s="4" t="str">
        <v>×</v>
      </c>
      <c r="J6345" s="4"/>
      <c r="K6345" s="4"/>
      <c r="L6345" s="4"/>
      <c r="M6345" s="5" t="s">
        <v>4475</v>
      </c>
    </row>
    <row r="6346" customFormat="false" ht="15.75" hidden="false" customHeight="false" outlineLevel="0" collapsed="false">
      <c r="A6346" s="6" t="n">
        <v>46180</v>
      </c>
      <c r="B6346" s="4" t="s">
        <v>4172</v>
      </c>
      <c r="C6346" s="4" t="n">
        <v>2</v>
      </c>
      <c r="D6346" s="4" t="n">
        <v>15</v>
      </c>
      <c r="E6346" s="4" t="s">
        <v>4387</v>
      </c>
      <c r="F6346" s="4" t="n">
        <v>34</v>
      </c>
      <c r="G6346" s="4" t="n">
        <v>4</v>
      </c>
      <c r="H6346" s="4" t="n">
        <v>4</v>
      </c>
      <c r="I6346" s="4" t="str">
        <v>×</v>
      </c>
      <c r="J6346" s="4"/>
      <c r="K6346" s="4"/>
      <c r="L6346" s="4"/>
      <c r="M6346" s="5" t="s">
        <v>4475</v>
      </c>
    </row>
    <row r="6347" customFormat="false" ht="15.75" hidden="false" customHeight="false" outlineLevel="0" collapsed="false">
      <c r="A6347" s="6" t="n">
        <v>46180</v>
      </c>
      <c r="B6347" s="4" t="s">
        <v>4172</v>
      </c>
      <c r="C6347" s="4" t="n">
        <v>3</v>
      </c>
      <c r="D6347" s="4" t="n">
        <v>1</v>
      </c>
      <c r="E6347" s="4" t="s">
        <v>4795</v>
      </c>
      <c r="F6347" s="4" t="n">
        <v>4</v>
      </c>
      <c r="G6347" s="4" t="n">
        <v>9</v>
      </c>
      <c r="H6347" s="4" t="n">
        <v>4</v>
      </c>
      <c r="I6347" s="4" t="str">
        <v>×</v>
      </c>
      <c r="J6347" s="4"/>
      <c r="K6347" s="4"/>
      <c r="L6347" s="4"/>
      <c r="M6347" s="5" t="s">
        <v>4475</v>
      </c>
    </row>
    <row r="6348" customFormat="false" ht="15.75" hidden="false" customHeight="false" outlineLevel="0" collapsed="false">
      <c r="A6348" s="6" t="n">
        <v>46180</v>
      </c>
      <c r="B6348" s="4" t="s">
        <v>4172</v>
      </c>
      <c r="C6348" s="4" t="n">
        <v>3</v>
      </c>
      <c r="D6348" s="4" t="n">
        <v>2</v>
      </c>
      <c r="E6348" s="4" t="s">
        <v>4796</v>
      </c>
      <c r="F6348" s="4" t="n">
        <v>41</v>
      </c>
      <c r="G6348" s="4" t="n">
        <v>3</v>
      </c>
      <c r="H6348" s="4" t="n">
        <v>1</v>
      </c>
      <c r="I6348" s="4" t="str">
        <v>○</v>
      </c>
      <c r="J6348" s="4" t="n">
        <v>140</v>
      </c>
      <c r="K6348" s="4"/>
      <c r="L6348" s="4"/>
      <c r="M6348" s="5" t="s">
        <v>4475</v>
      </c>
    </row>
    <row r="6349" customFormat="false" ht="15.75" hidden="false" customHeight="false" outlineLevel="0" collapsed="false">
      <c r="A6349" s="6" t="n">
        <v>46180</v>
      </c>
      <c r="B6349" s="4" t="s">
        <v>4172</v>
      </c>
      <c r="C6349" s="4" t="n">
        <v>3</v>
      </c>
      <c r="D6349" s="4" t="n">
        <v>3</v>
      </c>
      <c r="E6349" s="4" t="s">
        <v>829</v>
      </c>
      <c r="F6349" s="4" t="n">
        <v>10</v>
      </c>
      <c r="G6349" s="4" t="n">
        <v>6</v>
      </c>
      <c r="H6349" s="4" t="n">
        <v>4</v>
      </c>
      <c r="I6349" s="4" t="str">
        <v>×</v>
      </c>
      <c r="J6349" s="4"/>
      <c r="K6349" s="4"/>
      <c r="L6349" s="4"/>
      <c r="M6349" s="5" t="s">
        <v>4475</v>
      </c>
    </row>
    <row r="6350" customFormat="false" ht="15.75" hidden="false" customHeight="false" outlineLevel="0" collapsed="false">
      <c r="A6350" s="6" t="n">
        <v>46180</v>
      </c>
      <c r="B6350" s="4" t="s">
        <v>4172</v>
      </c>
      <c r="C6350" s="4" t="n">
        <v>3</v>
      </c>
      <c r="D6350" s="4" t="n">
        <v>4</v>
      </c>
      <c r="E6350" s="4" t="s">
        <v>1629</v>
      </c>
      <c r="F6350" s="4" t="n">
        <v>62</v>
      </c>
      <c r="G6350" s="4" t="n">
        <v>1</v>
      </c>
      <c r="H6350" s="4" t="n">
        <v>3</v>
      </c>
      <c r="I6350" s="4" t="str">
        <v>○</v>
      </c>
      <c r="J6350" s="4" t="n">
        <v>150</v>
      </c>
      <c r="K6350" s="4"/>
      <c r="L6350" s="4"/>
      <c r="M6350" s="5" t="s">
        <v>4475</v>
      </c>
    </row>
    <row r="6351" customFormat="false" ht="15.75" hidden="false" customHeight="false" outlineLevel="0" collapsed="false">
      <c r="A6351" s="6" t="n">
        <v>46180</v>
      </c>
      <c r="B6351" s="4" t="s">
        <v>4172</v>
      </c>
      <c r="C6351" s="4" t="n">
        <v>3</v>
      </c>
      <c r="D6351" s="4" t="n">
        <v>5</v>
      </c>
      <c r="E6351" s="4" t="s">
        <v>2035</v>
      </c>
      <c r="F6351" s="4" t="n">
        <v>39</v>
      </c>
      <c r="G6351" s="4" t="n">
        <v>4</v>
      </c>
      <c r="H6351" s="4" t="n">
        <v>2</v>
      </c>
      <c r="I6351" s="4" t="str">
        <v>○</v>
      </c>
      <c r="J6351" s="4" t="n">
        <v>230</v>
      </c>
      <c r="K6351" s="4"/>
      <c r="L6351" s="4"/>
      <c r="M6351" s="5" t="s">
        <v>4475</v>
      </c>
    </row>
    <row r="6352" customFormat="false" ht="15.75" hidden="false" customHeight="false" outlineLevel="0" collapsed="false">
      <c r="A6352" s="6" t="n">
        <v>46180</v>
      </c>
      <c r="B6352" s="4" t="s">
        <v>4172</v>
      </c>
      <c r="C6352" s="4" t="n">
        <v>3</v>
      </c>
      <c r="D6352" s="4" t="n">
        <v>6</v>
      </c>
      <c r="E6352" s="4" t="s">
        <v>1265</v>
      </c>
      <c r="F6352" s="4" t="n">
        <v>47</v>
      </c>
      <c r="G6352" s="4" t="n">
        <v>2</v>
      </c>
      <c r="H6352" s="4" t="n">
        <v>4</v>
      </c>
      <c r="I6352" s="4" t="str">
        <v>×</v>
      </c>
      <c r="J6352" s="4"/>
      <c r="K6352" s="4"/>
      <c r="L6352" s="4"/>
      <c r="M6352" s="5" t="s">
        <v>4475</v>
      </c>
    </row>
    <row r="6353" customFormat="false" ht="15.75" hidden="false" customHeight="false" outlineLevel="0" collapsed="false">
      <c r="A6353" s="6" t="n">
        <v>46180</v>
      </c>
      <c r="B6353" s="4" t="s">
        <v>4172</v>
      </c>
      <c r="C6353" s="4" t="n">
        <v>3</v>
      </c>
      <c r="D6353" s="4" t="n">
        <v>7</v>
      </c>
      <c r="E6353" s="4" t="s">
        <v>4797</v>
      </c>
      <c r="F6353" s="4" t="n">
        <v>25</v>
      </c>
      <c r="G6353" s="4" t="n">
        <v>5</v>
      </c>
      <c r="H6353" s="4" t="n">
        <v>4</v>
      </c>
      <c r="I6353" s="4" t="str">
        <v>×</v>
      </c>
      <c r="J6353" s="4"/>
      <c r="K6353" s="4"/>
      <c r="L6353" s="4"/>
      <c r="M6353" s="5" t="s">
        <v>4475</v>
      </c>
    </row>
    <row r="6354" customFormat="false" ht="15.75" hidden="false" customHeight="false" outlineLevel="0" collapsed="false">
      <c r="A6354" s="6" t="n">
        <v>46180</v>
      </c>
      <c r="B6354" s="4" t="s">
        <v>4172</v>
      </c>
      <c r="C6354" s="4" t="n">
        <v>3</v>
      </c>
      <c r="D6354" s="4" t="n">
        <v>8</v>
      </c>
      <c r="E6354" s="4" t="s">
        <v>4798</v>
      </c>
      <c r="F6354" s="4" t="n">
        <v>4</v>
      </c>
      <c r="G6354" s="4" t="n">
        <v>9</v>
      </c>
      <c r="H6354" s="4" t="n">
        <v>4</v>
      </c>
      <c r="I6354" s="4" t="str">
        <v>×</v>
      </c>
      <c r="J6354" s="4"/>
      <c r="K6354" s="4"/>
      <c r="L6354" s="4"/>
      <c r="M6354" s="5" t="s">
        <v>4475</v>
      </c>
    </row>
    <row r="6355" customFormat="false" ht="15.75" hidden="false" customHeight="false" outlineLevel="0" collapsed="false">
      <c r="A6355" s="6" t="n">
        <v>46180</v>
      </c>
      <c r="B6355" s="4" t="s">
        <v>4172</v>
      </c>
      <c r="C6355" s="4" t="n">
        <v>3</v>
      </c>
      <c r="D6355" s="4" t="n">
        <v>9</v>
      </c>
      <c r="E6355" s="4" t="s">
        <v>4375</v>
      </c>
      <c r="F6355" s="4" t="n">
        <v>4</v>
      </c>
      <c r="G6355" s="4" t="n">
        <v>9</v>
      </c>
      <c r="H6355" s="4" t="n">
        <v>4</v>
      </c>
      <c r="I6355" s="4" t="str">
        <v>×</v>
      </c>
      <c r="J6355" s="4"/>
      <c r="K6355" s="4"/>
      <c r="L6355" s="4"/>
      <c r="M6355" s="5" t="s">
        <v>4475</v>
      </c>
    </row>
    <row r="6356" customFormat="false" ht="15.75" hidden="false" customHeight="false" outlineLevel="0" collapsed="false">
      <c r="A6356" s="6" t="n">
        <v>46180</v>
      </c>
      <c r="B6356" s="4" t="s">
        <v>4172</v>
      </c>
      <c r="C6356" s="4" t="n">
        <v>3</v>
      </c>
      <c r="D6356" s="4" t="n">
        <v>10</v>
      </c>
      <c r="E6356" s="4" t="s">
        <v>4799</v>
      </c>
      <c r="F6356" s="4" t="n">
        <v>8</v>
      </c>
      <c r="G6356" s="4" t="n">
        <v>7</v>
      </c>
      <c r="H6356" s="4" t="n">
        <v>4</v>
      </c>
      <c r="I6356" s="4" t="str">
        <v>×</v>
      </c>
      <c r="J6356" s="4"/>
      <c r="K6356" s="4"/>
      <c r="L6356" s="4"/>
      <c r="M6356" s="5" t="s">
        <v>4475</v>
      </c>
    </row>
    <row r="6357" customFormat="false" ht="15.75" hidden="false" customHeight="false" outlineLevel="0" collapsed="false">
      <c r="A6357" s="6" t="n">
        <v>46180</v>
      </c>
      <c r="B6357" s="4" t="s">
        <v>4172</v>
      </c>
      <c r="C6357" s="4" t="n">
        <v>3</v>
      </c>
      <c r="D6357" s="4" t="n">
        <v>11</v>
      </c>
      <c r="E6357" s="4" t="s">
        <v>4800</v>
      </c>
      <c r="F6357" s="4" t="n">
        <v>8</v>
      </c>
      <c r="G6357" s="4" t="n">
        <v>7</v>
      </c>
      <c r="H6357" s="4" t="n">
        <v>4</v>
      </c>
      <c r="I6357" s="4" t="str">
        <v>×</v>
      </c>
      <c r="J6357" s="4"/>
      <c r="K6357" s="4"/>
      <c r="L6357" s="4"/>
      <c r="M6357" s="5" t="s">
        <v>4475</v>
      </c>
    </row>
    <row r="6358" customFormat="false" ht="15.75" hidden="false" customHeight="false" outlineLevel="0" collapsed="false">
      <c r="A6358" s="6" t="n">
        <v>46180</v>
      </c>
      <c r="B6358" s="4" t="s">
        <v>4172</v>
      </c>
      <c r="C6358" s="4" t="n">
        <v>3</v>
      </c>
      <c r="D6358" s="4" t="n">
        <v>12</v>
      </c>
      <c r="E6358" s="4" t="s">
        <v>3594</v>
      </c>
      <c r="F6358" s="4" t="n">
        <v>39</v>
      </c>
      <c r="G6358" s="4" t="n">
        <v>4</v>
      </c>
      <c r="H6358" s="4" t="n">
        <v>4</v>
      </c>
      <c r="I6358" s="4" t="str">
        <v>×</v>
      </c>
      <c r="J6358" s="4"/>
      <c r="K6358" s="4"/>
      <c r="L6358" s="4"/>
      <c r="M6358" s="5" t="s">
        <v>4475</v>
      </c>
    </row>
    <row r="6359" customFormat="false" ht="15.75" hidden="false" customHeight="false" outlineLevel="0" collapsed="false">
      <c r="A6359" s="6" t="n">
        <v>46180</v>
      </c>
      <c r="B6359" s="4" t="s">
        <v>4172</v>
      </c>
      <c r="C6359" s="4" t="n">
        <v>3</v>
      </c>
      <c r="D6359" s="4" t="n">
        <v>13</v>
      </c>
      <c r="E6359" s="4" t="s">
        <v>1260</v>
      </c>
      <c r="F6359" s="4" t="n">
        <v>6</v>
      </c>
      <c r="G6359" s="4" t="n">
        <v>8</v>
      </c>
      <c r="H6359" s="4" t="n">
        <v>4</v>
      </c>
      <c r="I6359" s="4" t="str">
        <v>×</v>
      </c>
      <c r="J6359" s="4"/>
      <c r="K6359" s="4"/>
      <c r="L6359" s="4"/>
      <c r="M6359" s="5" t="s">
        <v>4475</v>
      </c>
    </row>
    <row r="6360" customFormat="false" ht="15.75" hidden="false" customHeight="false" outlineLevel="0" collapsed="false">
      <c r="A6360" s="6" t="n">
        <v>46180</v>
      </c>
      <c r="B6360" s="4" t="s">
        <v>4172</v>
      </c>
      <c r="C6360" s="4" t="n">
        <v>3</v>
      </c>
      <c r="D6360" s="4" t="n">
        <v>14</v>
      </c>
      <c r="E6360" s="4" t="s">
        <v>4801</v>
      </c>
      <c r="F6360" s="4" t="n">
        <v>10</v>
      </c>
      <c r="G6360" s="4" t="n">
        <v>6</v>
      </c>
      <c r="H6360" s="4" t="n">
        <v>4</v>
      </c>
      <c r="I6360" s="4" t="str">
        <v>×</v>
      </c>
      <c r="J6360" s="4"/>
      <c r="K6360" s="4"/>
      <c r="L6360" s="4"/>
      <c r="M6360" s="5" t="s">
        <v>4475</v>
      </c>
    </row>
    <row r="6361" customFormat="false" ht="15.75" hidden="false" customHeight="false" outlineLevel="0" collapsed="false">
      <c r="A6361" s="6" t="n">
        <v>46180</v>
      </c>
      <c r="B6361" s="4" t="s">
        <v>4172</v>
      </c>
      <c r="C6361" s="4" t="n">
        <v>3</v>
      </c>
      <c r="D6361" s="4" t="n">
        <v>15</v>
      </c>
      <c r="E6361" s="4" t="s">
        <v>4802</v>
      </c>
      <c r="F6361" s="4" t="n">
        <v>3</v>
      </c>
      <c r="G6361" s="4" t="n">
        <v>10</v>
      </c>
      <c r="H6361" s="4" t="n">
        <v>4</v>
      </c>
      <c r="I6361" s="4" t="str">
        <v>×</v>
      </c>
      <c r="J6361" s="4"/>
      <c r="K6361" s="4"/>
      <c r="L6361" s="4"/>
      <c r="M6361" s="5" t="s">
        <v>4475</v>
      </c>
    </row>
    <row r="6362" customFormat="false" ht="15.75" hidden="false" customHeight="false" outlineLevel="0" collapsed="false">
      <c r="A6362" s="6" t="n">
        <v>46180</v>
      </c>
      <c r="B6362" s="4" t="s">
        <v>4172</v>
      </c>
      <c r="C6362" s="4" t="n">
        <v>3</v>
      </c>
      <c r="D6362" s="4" t="n">
        <v>16</v>
      </c>
      <c r="E6362" s="4" t="s">
        <v>805</v>
      </c>
      <c r="F6362" s="4" t="n">
        <v>8</v>
      </c>
      <c r="G6362" s="4" t="n">
        <v>7</v>
      </c>
      <c r="H6362" s="4" t="n">
        <v>4</v>
      </c>
      <c r="I6362" s="4" t="str">
        <v>×</v>
      </c>
      <c r="J6362" s="4"/>
      <c r="K6362" s="4"/>
      <c r="L6362" s="4"/>
      <c r="M6362" s="5" t="s">
        <v>4475</v>
      </c>
    </row>
    <row r="6363" customFormat="false" ht="15.75" hidden="false" customHeight="false" outlineLevel="0" collapsed="false">
      <c r="A6363" s="6" t="n">
        <v>46180</v>
      </c>
      <c r="B6363" s="4" t="s">
        <v>4172</v>
      </c>
      <c r="C6363" s="4" t="n">
        <v>4</v>
      </c>
      <c r="D6363" s="4" t="n">
        <v>1</v>
      </c>
      <c r="E6363" s="4" t="s">
        <v>775</v>
      </c>
      <c r="F6363" s="4" t="n">
        <v>29</v>
      </c>
      <c r="G6363" s="4" t="n">
        <v>3</v>
      </c>
      <c r="H6363" s="4" t="n">
        <v>4</v>
      </c>
      <c r="I6363" s="4" t="str">
        <v>×</v>
      </c>
      <c r="J6363" s="4"/>
      <c r="K6363" s="4"/>
      <c r="L6363" s="4"/>
      <c r="M6363" s="5" t="s">
        <v>4475</v>
      </c>
    </row>
    <row r="6364" customFormat="false" ht="15.75" hidden="false" customHeight="false" outlineLevel="0" collapsed="false">
      <c r="A6364" s="6" t="n">
        <v>46180</v>
      </c>
      <c r="B6364" s="4" t="s">
        <v>4172</v>
      </c>
      <c r="C6364" s="4" t="n">
        <v>4</v>
      </c>
      <c r="D6364" s="4" t="n">
        <v>2</v>
      </c>
      <c r="E6364" s="4" t="s">
        <v>4123</v>
      </c>
      <c r="F6364" s="4" t="n">
        <v>10</v>
      </c>
      <c r="G6364" s="4" t="n">
        <v>7</v>
      </c>
      <c r="H6364" s="4" t="n">
        <v>4</v>
      </c>
      <c r="I6364" s="4" t="str">
        <v>×</v>
      </c>
      <c r="J6364" s="4"/>
      <c r="K6364" s="4"/>
      <c r="L6364" s="4"/>
      <c r="M6364" s="5" t="s">
        <v>4475</v>
      </c>
    </row>
    <row r="6365" customFormat="false" ht="15.75" hidden="false" customHeight="false" outlineLevel="0" collapsed="false">
      <c r="A6365" s="6" t="n">
        <v>46180</v>
      </c>
      <c r="B6365" s="4" t="s">
        <v>4172</v>
      </c>
      <c r="C6365" s="4" t="n">
        <v>4</v>
      </c>
      <c r="D6365" s="4" t="n">
        <v>3</v>
      </c>
      <c r="E6365" s="4" t="s">
        <v>321</v>
      </c>
      <c r="F6365" s="4" t="n">
        <v>81</v>
      </c>
      <c r="G6365" s="4" t="n">
        <v>1</v>
      </c>
      <c r="H6365" s="4" t="n">
        <v>3</v>
      </c>
      <c r="I6365" s="4" t="str">
        <v>○</v>
      </c>
      <c r="J6365" s="4" t="n">
        <v>120</v>
      </c>
      <c r="K6365" s="4"/>
      <c r="L6365" s="4"/>
      <c r="M6365" s="5" t="s">
        <v>4475</v>
      </c>
    </row>
    <row r="6366" customFormat="false" ht="15.75" hidden="false" customHeight="false" outlineLevel="0" collapsed="false">
      <c r="A6366" s="6" t="n">
        <v>46180</v>
      </c>
      <c r="B6366" s="4" t="s">
        <v>4172</v>
      </c>
      <c r="C6366" s="4" t="n">
        <v>4</v>
      </c>
      <c r="D6366" s="4" t="n">
        <v>4</v>
      </c>
      <c r="E6366" s="4" t="s">
        <v>4803</v>
      </c>
      <c r="F6366" s="4" t="n">
        <v>3</v>
      </c>
      <c r="G6366" s="4" t="n">
        <v>11</v>
      </c>
      <c r="H6366" s="4" t="n">
        <v>4</v>
      </c>
      <c r="I6366" s="4" t="str">
        <v>×</v>
      </c>
      <c r="J6366" s="4"/>
      <c r="K6366" s="4"/>
      <c r="L6366" s="4"/>
      <c r="M6366" s="5" t="s">
        <v>4475</v>
      </c>
    </row>
    <row r="6367" customFormat="false" ht="15.75" hidden="false" customHeight="false" outlineLevel="0" collapsed="false">
      <c r="A6367" s="6" t="n">
        <v>46180</v>
      </c>
      <c r="B6367" s="4" t="s">
        <v>4172</v>
      </c>
      <c r="C6367" s="4" t="n">
        <v>4</v>
      </c>
      <c r="D6367" s="4" t="n">
        <v>5</v>
      </c>
      <c r="E6367" s="4" t="s">
        <v>4804</v>
      </c>
      <c r="F6367" s="4" t="n">
        <v>6</v>
      </c>
      <c r="G6367" s="4" t="n">
        <v>9</v>
      </c>
      <c r="H6367" s="4" t="n">
        <v>4</v>
      </c>
      <c r="I6367" s="4" t="str">
        <v>×</v>
      </c>
      <c r="J6367" s="4"/>
      <c r="K6367" s="4"/>
      <c r="L6367" s="4"/>
      <c r="M6367" s="5" t="s">
        <v>4475</v>
      </c>
    </row>
    <row r="6368" customFormat="false" ht="15.75" hidden="false" customHeight="false" outlineLevel="0" collapsed="false">
      <c r="A6368" s="6" t="n">
        <v>46180</v>
      </c>
      <c r="B6368" s="4" t="s">
        <v>4172</v>
      </c>
      <c r="C6368" s="4" t="n">
        <v>4</v>
      </c>
      <c r="D6368" s="4" t="n">
        <v>6</v>
      </c>
      <c r="E6368" s="4" t="s">
        <v>3441</v>
      </c>
      <c r="F6368" s="4" t="n">
        <v>4</v>
      </c>
      <c r="G6368" s="4" t="n">
        <v>10</v>
      </c>
      <c r="H6368" s="4" t="n">
        <v>4</v>
      </c>
      <c r="I6368" s="4" t="str">
        <v>×</v>
      </c>
      <c r="J6368" s="4"/>
      <c r="K6368" s="4"/>
      <c r="L6368" s="4"/>
      <c r="M6368" s="5" t="s">
        <v>4475</v>
      </c>
    </row>
    <row r="6369" customFormat="false" ht="15.75" hidden="false" customHeight="false" outlineLevel="0" collapsed="false">
      <c r="A6369" s="6" t="n">
        <v>46180</v>
      </c>
      <c r="B6369" s="4" t="s">
        <v>4172</v>
      </c>
      <c r="C6369" s="4" t="n">
        <v>4</v>
      </c>
      <c r="D6369" s="4" t="n">
        <v>7</v>
      </c>
      <c r="E6369" s="4" t="s">
        <v>4805</v>
      </c>
      <c r="F6369" s="4" t="n">
        <v>39</v>
      </c>
      <c r="G6369" s="4" t="n">
        <v>2</v>
      </c>
      <c r="H6369" s="4" t="n">
        <v>4</v>
      </c>
      <c r="I6369" s="4" t="str">
        <v>×</v>
      </c>
      <c r="J6369" s="4"/>
      <c r="K6369" s="4"/>
      <c r="L6369" s="4"/>
      <c r="M6369" s="5" t="s">
        <v>4475</v>
      </c>
    </row>
    <row r="6370" customFormat="false" ht="15.75" hidden="false" customHeight="false" outlineLevel="0" collapsed="false">
      <c r="A6370" s="6" t="n">
        <v>46180</v>
      </c>
      <c r="B6370" s="4" t="s">
        <v>4172</v>
      </c>
      <c r="C6370" s="4" t="n">
        <v>4</v>
      </c>
      <c r="D6370" s="4" t="n">
        <v>8</v>
      </c>
      <c r="E6370" s="4" t="s">
        <v>4144</v>
      </c>
      <c r="F6370" s="4" t="n">
        <v>29</v>
      </c>
      <c r="G6370" s="4" t="n">
        <v>3</v>
      </c>
      <c r="H6370" s="4" t="n">
        <v>1</v>
      </c>
      <c r="I6370" s="4" t="str">
        <v>○</v>
      </c>
      <c r="J6370" s="4" t="n">
        <v>190</v>
      </c>
      <c r="K6370" s="4"/>
      <c r="L6370" s="4"/>
      <c r="M6370" s="5" t="s">
        <v>4475</v>
      </c>
    </row>
    <row r="6371" customFormat="false" ht="15.75" hidden="false" customHeight="false" outlineLevel="0" collapsed="false">
      <c r="A6371" s="6" t="n">
        <v>46180</v>
      </c>
      <c r="B6371" s="4" t="s">
        <v>4172</v>
      </c>
      <c r="C6371" s="4" t="n">
        <v>4</v>
      </c>
      <c r="D6371" s="4" t="n">
        <v>9</v>
      </c>
      <c r="E6371" s="4" t="s">
        <v>4806</v>
      </c>
      <c r="F6371" s="4" t="n">
        <v>8</v>
      </c>
      <c r="G6371" s="4" t="n">
        <v>8</v>
      </c>
      <c r="H6371" s="4" t="n">
        <v>4</v>
      </c>
      <c r="I6371" s="4" t="str">
        <v>×</v>
      </c>
      <c r="J6371" s="4"/>
      <c r="K6371" s="4"/>
      <c r="L6371" s="4"/>
      <c r="M6371" s="5" t="s">
        <v>4475</v>
      </c>
    </row>
    <row r="6372" customFormat="false" ht="15.75" hidden="false" customHeight="false" outlineLevel="0" collapsed="false">
      <c r="A6372" s="6" t="n">
        <v>46180</v>
      </c>
      <c r="B6372" s="4" t="s">
        <v>4172</v>
      </c>
      <c r="C6372" s="4" t="n">
        <v>4</v>
      </c>
      <c r="D6372" s="4" t="n">
        <v>10</v>
      </c>
      <c r="E6372" s="4" t="s">
        <v>328</v>
      </c>
      <c r="F6372" s="4" t="n">
        <v>10</v>
      </c>
      <c r="G6372" s="4" t="n">
        <v>7</v>
      </c>
      <c r="H6372" s="4" t="n">
        <v>4</v>
      </c>
      <c r="I6372" s="4" t="str">
        <v>×</v>
      </c>
      <c r="J6372" s="4"/>
      <c r="K6372" s="4"/>
      <c r="L6372" s="4"/>
      <c r="M6372" s="5" t="s">
        <v>4475</v>
      </c>
    </row>
    <row r="6373" customFormat="false" ht="15.75" hidden="false" customHeight="false" outlineLevel="0" collapsed="false">
      <c r="A6373" s="6" t="n">
        <v>46180</v>
      </c>
      <c r="B6373" s="4" t="s">
        <v>4172</v>
      </c>
      <c r="C6373" s="4" t="n">
        <v>4</v>
      </c>
      <c r="D6373" s="4" t="n">
        <v>11</v>
      </c>
      <c r="E6373" s="4" t="s">
        <v>2041</v>
      </c>
      <c r="F6373" s="4" t="n">
        <v>3</v>
      </c>
      <c r="G6373" s="4" t="n">
        <v>11</v>
      </c>
      <c r="H6373" s="4" t="n">
        <v>4</v>
      </c>
      <c r="I6373" s="4" t="str">
        <v>×</v>
      </c>
      <c r="J6373" s="4"/>
      <c r="K6373" s="4"/>
      <c r="L6373" s="4"/>
      <c r="M6373" s="5" t="s">
        <v>4475</v>
      </c>
    </row>
    <row r="6374" customFormat="false" ht="15.75" hidden="false" customHeight="false" outlineLevel="0" collapsed="false">
      <c r="A6374" s="6" t="n">
        <v>46180</v>
      </c>
      <c r="B6374" s="4" t="s">
        <v>4172</v>
      </c>
      <c r="C6374" s="4" t="n">
        <v>4</v>
      </c>
      <c r="D6374" s="4" t="n">
        <v>12</v>
      </c>
      <c r="E6374" s="4" t="s">
        <v>4807</v>
      </c>
      <c r="F6374" s="4" t="n">
        <v>25</v>
      </c>
      <c r="G6374" s="4" t="n">
        <v>4</v>
      </c>
      <c r="H6374" s="4" t="n">
        <v>2</v>
      </c>
      <c r="I6374" s="4" t="str">
        <v>○</v>
      </c>
      <c r="J6374" s="4" t="n">
        <v>130</v>
      </c>
      <c r="K6374" s="4"/>
      <c r="L6374" s="4"/>
      <c r="M6374" s="5" t="s">
        <v>4475</v>
      </c>
    </row>
    <row r="6375" customFormat="false" ht="15.75" hidden="false" customHeight="false" outlineLevel="0" collapsed="false">
      <c r="A6375" s="6" t="n">
        <v>46180</v>
      </c>
      <c r="B6375" s="4" t="s">
        <v>4172</v>
      </c>
      <c r="C6375" s="4" t="n">
        <v>4</v>
      </c>
      <c r="D6375" s="4" t="n">
        <v>13</v>
      </c>
      <c r="E6375" s="4" t="s">
        <v>1158</v>
      </c>
      <c r="F6375" s="4" t="n">
        <v>4</v>
      </c>
      <c r="G6375" s="4" t="n">
        <v>10</v>
      </c>
      <c r="H6375" s="4" t="n">
        <v>4</v>
      </c>
      <c r="I6375" s="4" t="str">
        <v>×</v>
      </c>
      <c r="J6375" s="4"/>
      <c r="K6375" s="4"/>
      <c r="L6375" s="4"/>
      <c r="M6375" s="5" t="s">
        <v>4475</v>
      </c>
    </row>
    <row r="6376" customFormat="false" ht="15.75" hidden="false" customHeight="false" outlineLevel="0" collapsed="false">
      <c r="A6376" s="6" t="n">
        <v>46180</v>
      </c>
      <c r="B6376" s="4" t="s">
        <v>4172</v>
      </c>
      <c r="C6376" s="4" t="n">
        <v>4</v>
      </c>
      <c r="D6376" s="4" t="n">
        <v>14</v>
      </c>
      <c r="E6376" s="4" t="s">
        <v>4808</v>
      </c>
      <c r="F6376" s="4" t="n">
        <v>4</v>
      </c>
      <c r="G6376" s="4" t="n">
        <v>10</v>
      </c>
      <c r="H6376" s="4" t="n">
        <v>4</v>
      </c>
      <c r="I6376" s="4" t="str">
        <v>×</v>
      </c>
      <c r="J6376" s="4"/>
      <c r="K6376" s="4"/>
      <c r="L6376" s="4"/>
      <c r="M6376" s="5" t="s">
        <v>4475</v>
      </c>
    </row>
    <row r="6377" customFormat="false" ht="15.75" hidden="false" customHeight="false" outlineLevel="0" collapsed="false">
      <c r="A6377" s="6" t="n">
        <v>46180</v>
      </c>
      <c r="B6377" s="4" t="s">
        <v>4172</v>
      </c>
      <c r="C6377" s="4" t="n">
        <v>4</v>
      </c>
      <c r="D6377" s="4" t="n">
        <v>15</v>
      </c>
      <c r="E6377" s="4" t="s">
        <v>3694</v>
      </c>
      <c r="F6377" s="4" t="n">
        <v>17</v>
      </c>
      <c r="G6377" s="4" t="n">
        <v>6</v>
      </c>
      <c r="H6377" s="4" t="n">
        <v>4</v>
      </c>
      <c r="I6377" s="4" t="str">
        <v>×</v>
      </c>
      <c r="J6377" s="4"/>
      <c r="K6377" s="4"/>
      <c r="L6377" s="4"/>
      <c r="M6377" s="5" t="s">
        <v>4475</v>
      </c>
    </row>
    <row r="6378" customFormat="false" ht="15.75" hidden="false" customHeight="false" outlineLevel="0" collapsed="false">
      <c r="A6378" s="6" t="n">
        <v>46180</v>
      </c>
      <c r="B6378" s="4" t="s">
        <v>4172</v>
      </c>
      <c r="C6378" s="4" t="n">
        <v>4</v>
      </c>
      <c r="D6378" s="4" t="n">
        <v>16</v>
      </c>
      <c r="E6378" s="4" t="s">
        <v>4809</v>
      </c>
      <c r="F6378" s="4" t="n">
        <v>20</v>
      </c>
      <c r="G6378" s="4" t="n">
        <v>5</v>
      </c>
      <c r="H6378" s="4" t="n">
        <v>4</v>
      </c>
      <c r="I6378" s="4" t="str">
        <v>×</v>
      </c>
      <c r="J6378" s="4"/>
      <c r="K6378" s="4"/>
      <c r="L6378" s="4"/>
      <c r="M6378" s="5" t="s">
        <v>4475</v>
      </c>
    </row>
    <row r="6379" customFormat="false" ht="15.75" hidden="false" customHeight="false" outlineLevel="0" collapsed="false">
      <c r="A6379" s="6" t="n">
        <v>46180</v>
      </c>
      <c r="B6379" s="4" t="s">
        <v>4172</v>
      </c>
      <c r="C6379" s="4" t="n">
        <v>5</v>
      </c>
      <c r="D6379" s="4" t="n">
        <v>1</v>
      </c>
      <c r="E6379" s="4" t="s">
        <v>2020</v>
      </c>
      <c r="F6379" s="4" t="n">
        <v>16</v>
      </c>
      <c r="G6379" s="4" t="n">
        <v>4</v>
      </c>
      <c r="H6379" s="4" t="n">
        <v>4</v>
      </c>
      <c r="I6379" s="4" t="str">
        <v>×</v>
      </c>
      <c r="J6379" s="4"/>
      <c r="K6379" s="4"/>
      <c r="L6379" s="4"/>
      <c r="M6379" s="5" t="s">
        <v>4475</v>
      </c>
    </row>
    <row r="6380" customFormat="false" ht="15.75" hidden="false" customHeight="false" outlineLevel="0" collapsed="false">
      <c r="A6380" s="6" t="n">
        <v>46180</v>
      </c>
      <c r="B6380" s="4" t="s">
        <v>4172</v>
      </c>
      <c r="C6380" s="4" t="n">
        <v>5</v>
      </c>
      <c r="D6380" s="4" t="n">
        <v>2</v>
      </c>
      <c r="E6380" s="4" t="s">
        <v>180</v>
      </c>
      <c r="F6380" s="4" t="n">
        <v>24</v>
      </c>
      <c r="G6380" s="4" t="n">
        <v>2</v>
      </c>
      <c r="H6380" s="4" t="n">
        <v>4</v>
      </c>
      <c r="I6380" s="4" t="str">
        <v>×</v>
      </c>
      <c r="J6380" s="4"/>
      <c r="K6380" s="4"/>
      <c r="L6380" s="4"/>
      <c r="M6380" s="5" t="s">
        <v>4475</v>
      </c>
    </row>
    <row r="6381" customFormat="false" ht="15.75" hidden="false" customHeight="false" outlineLevel="0" collapsed="false">
      <c r="A6381" s="6" t="n">
        <v>46180</v>
      </c>
      <c r="B6381" s="4" t="s">
        <v>4172</v>
      </c>
      <c r="C6381" s="4" t="n">
        <v>5</v>
      </c>
      <c r="D6381" s="4" t="n">
        <v>3</v>
      </c>
      <c r="E6381" s="4" t="s">
        <v>1105</v>
      </c>
      <c r="F6381" s="4" t="n">
        <v>12</v>
      </c>
      <c r="G6381" s="4" t="n">
        <v>5</v>
      </c>
      <c r="H6381" s="4" t="n">
        <v>4</v>
      </c>
      <c r="I6381" s="4" t="str">
        <v>×</v>
      </c>
      <c r="J6381" s="4"/>
      <c r="K6381" s="4"/>
      <c r="L6381" s="4"/>
      <c r="M6381" s="5" t="s">
        <v>4475</v>
      </c>
    </row>
    <row r="6382" customFormat="false" ht="15.75" hidden="false" customHeight="false" outlineLevel="0" collapsed="false">
      <c r="A6382" s="6" t="n">
        <v>46180</v>
      </c>
      <c r="B6382" s="4" t="s">
        <v>4172</v>
      </c>
      <c r="C6382" s="4" t="n">
        <v>5</v>
      </c>
      <c r="D6382" s="4" t="n">
        <v>4</v>
      </c>
      <c r="E6382" s="4" t="s">
        <v>1113</v>
      </c>
      <c r="F6382" s="4" t="n">
        <v>12</v>
      </c>
      <c r="G6382" s="4" t="n">
        <v>5</v>
      </c>
      <c r="H6382" s="4" t="n">
        <v>3</v>
      </c>
      <c r="I6382" s="4" t="str">
        <v>○</v>
      </c>
      <c r="J6382" s="4" t="n">
        <v>1230</v>
      </c>
      <c r="K6382" s="4"/>
      <c r="L6382" s="4"/>
      <c r="M6382" s="5" t="s">
        <v>4475</v>
      </c>
    </row>
    <row r="6383" customFormat="false" ht="15.75" hidden="false" customHeight="false" outlineLevel="0" collapsed="false">
      <c r="A6383" s="6" t="n">
        <v>46180</v>
      </c>
      <c r="B6383" s="4" t="s">
        <v>4172</v>
      </c>
      <c r="C6383" s="4" t="n">
        <v>5</v>
      </c>
      <c r="D6383" s="4" t="n">
        <v>5</v>
      </c>
      <c r="E6383" s="4" t="s">
        <v>4810</v>
      </c>
      <c r="F6383" s="4" t="n">
        <v>16</v>
      </c>
      <c r="G6383" s="4" t="n">
        <v>4</v>
      </c>
      <c r="H6383" s="4" t="n">
        <v>1</v>
      </c>
      <c r="I6383" s="4" t="str">
        <v>○</v>
      </c>
      <c r="J6383" s="4" t="n">
        <v>200</v>
      </c>
      <c r="K6383" s="4"/>
      <c r="L6383" s="4"/>
      <c r="M6383" s="5" t="s">
        <v>4475</v>
      </c>
    </row>
    <row r="6384" customFormat="false" ht="15.75" hidden="false" customHeight="false" outlineLevel="0" collapsed="false">
      <c r="A6384" s="6" t="n">
        <v>46180</v>
      </c>
      <c r="B6384" s="4" t="s">
        <v>4172</v>
      </c>
      <c r="C6384" s="4" t="n">
        <v>5</v>
      </c>
      <c r="D6384" s="4" t="n">
        <v>6</v>
      </c>
      <c r="E6384" s="4" t="s">
        <v>4811</v>
      </c>
      <c r="F6384" s="4" t="n">
        <v>21</v>
      </c>
      <c r="G6384" s="4" t="n">
        <v>3</v>
      </c>
      <c r="H6384" s="4" t="n">
        <v>4</v>
      </c>
      <c r="I6384" s="4" t="str">
        <v>×</v>
      </c>
      <c r="J6384" s="4"/>
      <c r="K6384" s="4"/>
      <c r="L6384" s="4"/>
      <c r="M6384" s="5" t="s">
        <v>4475</v>
      </c>
    </row>
    <row r="6385" customFormat="false" ht="15.75" hidden="false" customHeight="false" outlineLevel="0" collapsed="false">
      <c r="A6385" s="6" t="n">
        <v>46180</v>
      </c>
      <c r="B6385" s="4" t="s">
        <v>4172</v>
      </c>
      <c r="C6385" s="4" t="n">
        <v>5</v>
      </c>
      <c r="D6385" s="4" t="n">
        <v>7</v>
      </c>
      <c r="E6385" s="4" t="s">
        <v>4812</v>
      </c>
      <c r="F6385" s="4" t="n">
        <v>16</v>
      </c>
      <c r="G6385" s="4" t="n">
        <v>4</v>
      </c>
      <c r="H6385" s="4" t="n">
        <v>4</v>
      </c>
      <c r="I6385" s="4" t="str">
        <v>×</v>
      </c>
      <c r="J6385" s="4"/>
      <c r="K6385" s="4"/>
      <c r="L6385" s="4"/>
      <c r="M6385" s="5" t="s">
        <v>4475</v>
      </c>
    </row>
    <row r="6386" customFormat="false" ht="15.75" hidden="false" customHeight="false" outlineLevel="0" collapsed="false">
      <c r="A6386" s="6" t="n">
        <v>46180</v>
      </c>
      <c r="B6386" s="4" t="s">
        <v>4172</v>
      </c>
      <c r="C6386" s="4" t="n">
        <v>5</v>
      </c>
      <c r="D6386" s="4" t="n">
        <v>8</v>
      </c>
      <c r="E6386" s="4" t="s">
        <v>1111</v>
      </c>
      <c r="F6386" s="4" t="n">
        <v>16</v>
      </c>
      <c r="G6386" s="4" t="n">
        <v>4</v>
      </c>
      <c r="H6386" s="4" t="n">
        <v>4</v>
      </c>
      <c r="I6386" s="4" t="str">
        <v>×</v>
      </c>
      <c r="J6386" s="4"/>
      <c r="K6386" s="4"/>
      <c r="L6386" s="4"/>
      <c r="M6386" s="5" t="s">
        <v>4475</v>
      </c>
    </row>
    <row r="6387" customFormat="false" ht="15.75" hidden="false" customHeight="false" outlineLevel="0" collapsed="false">
      <c r="A6387" s="6" t="n">
        <v>46180</v>
      </c>
      <c r="B6387" s="4" t="s">
        <v>4172</v>
      </c>
      <c r="C6387" s="4" t="n">
        <v>5</v>
      </c>
      <c r="D6387" s="4" t="n">
        <v>9</v>
      </c>
      <c r="E6387" s="4" t="s">
        <v>24</v>
      </c>
      <c r="F6387" s="4" t="n">
        <v>21</v>
      </c>
      <c r="G6387" s="4" t="n">
        <v>3</v>
      </c>
      <c r="H6387" s="4" t="n">
        <v>4</v>
      </c>
      <c r="I6387" s="4" t="str">
        <v>×</v>
      </c>
      <c r="J6387" s="4"/>
      <c r="K6387" s="4"/>
      <c r="L6387" s="4"/>
      <c r="M6387" s="5" t="s">
        <v>4475</v>
      </c>
    </row>
    <row r="6388" customFormat="false" ht="15.75" hidden="false" customHeight="false" outlineLevel="0" collapsed="false">
      <c r="A6388" s="6" t="n">
        <v>46180</v>
      </c>
      <c r="B6388" s="4" t="s">
        <v>4172</v>
      </c>
      <c r="C6388" s="4" t="n">
        <v>5</v>
      </c>
      <c r="D6388" s="4" t="n">
        <v>10</v>
      </c>
      <c r="E6388" s="4" t="s">
        <v>4355</v>
      </c>
      <c r="F6388" s="4" t="n">
        <v>27</v>
      </c>
      <c r="G6388" s="4" t="n">
        <v>1</v>
      </c>
      <c r="H6388" s="4" t="n">
        <v>2</v>
      </c>
      <c r="I6388" s="4" t="str">
        <v>○</v>
      </c>
      <c r="J6388" s="4" t="n">
        <v>170</v>
      </c>
      <c r="K6388" s="4"/>
      <c r="L6388" s="4"/>
      <c r="M6388" s="5" t="s">
        <v>4475</v>
      </c>
    </row>
    <row r="6389" customFormat="false" ht="15.75" hidden="false" customHeight="false" outlineLevel="0" collapsed="false">
      <c r="A6389" s="6" t="n">
        <v>46180</v>
      </c>
      <c r="B6389" s="4" t="s">
        <v>4172</v>
      </c>
      <c r="C6389" s="4" t="n">
        <v>5</v>
      </c>
      <c r="D6389" s="4" t="n">
        <v>11</v>
      </c>
      <c r="E6389" s="4" t="s">
        <v>638</v>
      </c>
      <c r="F6389" s="4" t="n">
        <v>8</v>
      </c>
      <c r="G6389" s="4" t="n">
        <v>6</v>
      </c>
      <c r="H6389" s="4" t="n">
        <v>4</v>
      </c>
      <c r="I6389" s="4" t="str">
        <v>×</v>
      </c>
      <c r="J6389" s="4"/>
      <c r="K6389" s="4"/>
      <c r="L6389" s="4"/>
      <c r="M6389" s="5" t="s">
        <v>4475</v>
      </c>
    </row>
    <row r="6390" customFormat="false" ht="15.75" hidden="false" customHeight="false" outlineLevel="0" collapsed="false">
      <c r="A6390" s="6" t="n">
        <v>46180</v>
      </c>
      <c r="B6390" s="4" t="s">
        <v>4172</v>
      </c>
      <c r="C6390" s="4" t="n">
        <v>6</v>
      </c>
      <c r="D6390" s="4" t="n">
        <v>1</v>
      </c>
      <c r="E6390" s="4" t="s">
        <v>1751</v>
      </c>
      <c r="F6390" s="4" t="n">
        <v>10</v>
      </c>
      <c r="G6390" s="4" t="n">
        <v>5</v>
      </c>
      <c r="H6390" s="4" t="n">
        <v>4</v>
      </c>
      <c r="I6390" s="4" t="str">
        <v>×</v>
      </c>
      <c r="J6390" s="4"/>
      <c r="K6390" s="4"/>
      <c r="L6390" s="4"/>
      <c r="M6390" s="5" t="s">
        <v>4475</v>
      </c>
    </row>
    <row r="6391" customFormat="false" ht="15.75" hidden="false" customHeight="false" outlineLevel="0" collapsed="false">
      <c r="A6391" s="6" t="n">
        <v>46180</v>
      </c>
      <c r="B6391" s="4" t="s">
        <v>4172</v>
      </c>
      <c r="C6391" s="4" t="n">
        <v>6</v>
      </c>
      <c r="D6391" s="4" t="n">
        <v>2</v>
      </c>
      <c r="E6391" s="4" t="s">
        <v>623</v>
      </c>
      <c r="F6391" s="4" t="n">
        <v>23</v>
      </c>
      <c r="G6391" s="4" t="n">
        <v>3</v>
      </c>
      <c r="H6391" s="4" t="n">
        <v>4</v>
      </c>
      <c r="I6391" s="4" t="str">
        <v>×</v>
      </c>
      <c r="J6391" s="4"/>
      <c r="K6391" s="4"/>
      <c r="L6391" s="4"/>
      <c r="M6391" s="5" t="s">
        <v>4475</v>
      </c>
    </row>
    <row r="6392" customFormat="false" ht="15.75" hidden="false" customHeight="false" outlineLevel="0" collapsed="false">
      <c r="A6392" s="6" t="n">
        <v>46180</v>
      </c>
      <c r="B6392" s="4" t="s">
        <v>4172</v>
      </c>
      <c r="C6392" s="4" t="n">
        <v>6</v>
      </c>
      <c r="D6392" s="4" t="n">
        <v>3</v>
      </c>
      <c r="E6392" s="4" t="s">
        <v>4813</v>
      </c>
      <c r="F6392" s="4" t="n">
        <v>8</v>
      </c>
      <c r="G6392" s="4" t="n">
        <v>6</v>
      </c>
      <c r="H6392" s="4" t="n">
        <v>4</v>
      </c>
      <c r="I6392" s="4" t="str">
        <v>×</v>
      </c>
      <c r="J6392" s="4"/>
      <c r="K6392" s="4"/>
      <c r="L6392" s="4"/>
      <c r="M6392" s="5" t="s">
        <v>4475</v>
      </c>
    </row>
    <row r="6393" customFormat="false" ht="15.75" hidden="false" customHeight="false" outlineLevel="0" collapsed="false">
      <c r="A6393" s="6" t="n">
        <v>46180</v>
      </c>
      <c r="B6393" s="4" t="s">
        <v>4172</v>
      </c>
      <c r="C6393" s="4" t="n">
        <v>6</v>
      </c>
      <c r="D6393" s="4" t="n">
        <v>4</v>
      </c>
      <c r="E6393" s="4" t="s">
        <v>3379</v>
      </c>
      <c r="F6393" s="4" t="n">
        <v>47</v>
      </c>
      <c r="G6393" s="4" t="n">
        <v>1</v>
      </c>
      <c r="H6393" s="4" t="n">
        <v>1</v>
      </c>
      <c r="I6393" s="4" t="str">
        <v>○</v>
      </c>
      <c r="J6393" s="4" t="n">
        <v>180</v>
      </c>
      <c r="K6393" s="4"/>
      <c r="L6393" s="4"/>
      <c r="M6393" s="5" t="s">
        <v>4475</v>
      </c>
    </row>
    <row r="6394" customFormat="false" ht="15.75" hidden="false" customHeight="false" outlineLevel="0" collapsed="false">
      <c r="A6394" s="6" t="n">
        <v>46180</v>
      </c>
      <c r="B6394" s="4" t="s">
        <v>4172</v>
      </c>
      <c r="C6394" s="4" t="n">
        <v>6</v>
      </c>
      <c r="D6394" s="4" t="n">
        <v>5</v>
      </c>
      <c r="E6394" s="4" t="s">
        <v>233</v>
      </c>
      <c r="F6394" s="4" t="n">
        <v>1</v>
      </c>
      <c r="G6394" s="4" t="n">
        <v>10</v>
      </c>
      <c r="H6394" s="4" t="n">
        <v>4</v>
      </c>
      <c r="I6394" s="4" t="str">
        <v>×</v>
      </c>
      <c r="J6394" s="4"/>
      <c r="K6394" s="4"/>
      <c r="L6394" s="4"/>
      <c r="M6394" s="5" t="s">
        <v>4475</v>
      </c>
    </row>
    <row r="6395" customFormat="false" ht="15.75" hidden="false" customHeight="false" outlineLevel="0" collapsed="false">
      <c r="A6395" s="6" t="n">
        <v>46180</v>
      </c>
      <c r="B6395" s="4" t="s">
        <v>4172</v>
      </c>
      <c r="C6395" s="4" t="n">
        <v>6</v>
      </c>
      <c r="D6395" s="4" t="n">
        <v>6</v>
      </c>
      <c r="E6395" s="4" t="s">
        <v>3436</v>
      </c>
      <c r="F6395" s="4" t="n">
        <v>10</v>
      </c>
      <c r="G6395" s="4" t="n">
        <v>5</v>
      </c>
      <c r="H6395" s="4" t="n">
        <v>4</v>
      </c>
      <c r="I6395" s="4" t="str">
        <v>×</v>
      </c>
      <c r="J6395" s="4"/>
      <c r="K6395" s="4"/>
      <c r="L6395" s="4"/>
      <c r="M6395" s="5" t="s">
        <v>4475</v>
      </c>
    </row>
    <row r="6396" customFormat="false" ht="15.75" hidden="false" customHeight="false" outlineLevel="0" collapsed="false">
      <c r="A6396" s="6" t="n">
        <v>46180</v>
      </c>
      <c r="B6396" s="4" t="s">
        <v>4172</v>
      </c>
      <c r="C6396" s="4" t="n">
        <v>6</v>
      </c>
      <c r="D6396" s="4" t="n">
        <v>7</v>
      </c>
      <c r="E6396" s="4" t="s">
        <v>2586</v>
      </c>
      <c r="F6396" s="4" t="n">
        <v>6</v>
      </c>
      <c r="G6396" s="4" t="n">
        <v>7</v>
      </c>
      <c r="H6396" s="4" t="n">
        <v>4</v>
      </c>
      <c r="I6396" s="4" t="str">
        <v>×</v>
      </c>
      <c r="J6396" s="4"/>
      <c r="K6396" s="4"/>
      <c r="L6396" s="4"/>
      <c r="M6396" s="5" t="s">
        <v>4475</v>
      </c>
    </row>
    <row r="6397" customFormat="false" ht="15.75" hidden="false" customHeight="false" outlineLevel="0" collapsed="false">
      <c r="A6397" s="6" t="n">
        <v>46180</v>
      </c>
      <c r="B6397" s="4" t="s">
        <v>4172</v>
      </c>
      <c r="C6397" s="4" t="n">
        <v>6</v>
      </c>
      <c r="D6397" s="4" t="n">
        <v>8</v>
      </c>
      <c r="E6397" s="4" t="s">
        <v>4814</v>
      </c>
      <c r="F6397" s="4" t="n">
        <v>2</v>
      </c>
      <c r="G6397" s="4" t="n">
        <v>9</v>
      </c>
      <c r="H6397" s="4" t="n">
        <v>4</v>
      </c>
      <c r="I6397" s="4" t="str">
        <v>×</v>
      </c>
      <c r="J6397" s="4"/>
      <c r="K6397" s="4"/>
      <c r="L6397" s="4"/>
      <c r="M6397" s="5" t="s">
        <v>4475</v>
      </c>
    </row>
    <row r="6398" customFormat="false" ht="15.75" hidden="false" customHeight="false" outlineLevel="0" collapsed="false">
      <c r="A6398" s="6" t="n">
        <v>46180</v>
      </c>
      <c r="B6398" s="4" t="s">
        <v>4172</v>
      </c>
      <c r="C6398" s="4" t="n">
        <v>6</v>
      </c>
      <c r="D6398" s="4" t="n">
        <v>9</v>
      </c>
      <c r="E6398" s="4" t="s">
        <v>4815</v>
      </c>
      <c r="F6398" s="4" t="n">
        <v>1</v>
      </c>
      <c r="G6398" s="4" t="n">
        <v>10</v>
      </c>
      <c r="H6398" s="4" t="n">
        <v>4</v>
      </c>
      <c r="I6398" s="4" t="str">
        <v>×</v>
      </c>
      <c r="J6398" s="4"/>
      <c r="K6398" s="4"/>
      <c r="L6398" s="4"/>
      <c r="M6398" s="5" t="s">
        <v>4475</v>
      </c>
    </row>
    <row r="6399" customFormat="false" ht="15.75" hidden="false" customHeight="false" outlineLevel="0" collapsed="false">
      <c r="A6399" s="6" t="n">
        <v>46180</v>
      </c>
      <c r="B6399" s="4" t="s">
        <v>4172</v>
      </c>
      <c r="C6399" s="4" t="n">
        <v>6</v>
      </c>
      <c r="D6399" s="4" t="n">
        <v>10</v>
      </c>
      <c r="E6399" s="4" t="s">
        <v>1603</v>
      </c>
      <c r="F6399" s="4" t="n">
        <v>13</v>
      </c>
      <c r="G6399" s="4" t="n">
        <v>4</v>
      </c>
      <c r="H6399" s="4" t="n">
        <v>4</v>
      </c>
      <c r="I6399" s="4" t="str">
        <v>×</v>
      </c>
      <c r="J6399" s="4"/>
      <c r="K6399" s="4"/>
      <c r="L6399" s="4"/>
      <c r="M6399" s="5" t="s">
        <v>4475</v>
      </c>
    </row>
    <row r="6400" customFormat="false" ht="15.75" hidden="false" customHeight="false" outlineLevel="0" collapsed="false">
      <c r="A6400" s="6" t="n">
        <v>46180</v>
      </c>
      <c r="B6400" s="4" t="s">
        <v>4172</v>
      </c>
      <c r="C6400" s="4" t="n">
        <v>6</v>
      </c>
      <c r="D6400" s="4" t="n">
        <v>11</v>
      </c>
      <c r="E6400" s="4" t="s">
        <v>3968</v>
      </c>
      <c r="F6400" s="4" t="n">
        <v>39</v>
      </c>
      <c r="G6400" s="4" t="n">
        <v>2</v>
      </c>
      <c r="H6400" s="4" t="n">
        <v>2</v>
      </c>
      <c r="I6400" s="4" t="str">
        <v>○</v>
      </c>
      <c r="J6400" s="4" t="n">
        <v>160</v>
      </c>
      <c r="K6400" s="4"/>
      <c r="L6400" s="4"/>
      <c r="M6400" s="5" t="s">
        <v>4475</v>
      </c>
    </row>
    <row r="6401" customFormat="false" ht="15.75" hidden="false" customHeight="false" outlineLevel="0" collapsed="false">
      <c r="A6401" s="6" t="n">
        <v>46180</v>
      </c>
      <c r="B6401" s="4" t="s">
        <v>4172</v>
      </c>
      <c r="C6401" s="4" t="n">
        <v>6</v>
      </c>
      <c r="D6401" s="4" t="n">
        <v>12</v>
      </c>
      <c r="E6401" s="4" t="s">
        <v>204</v>
      </c>
      <c r="F6401" s="4" t="n">
        <v>8</v>
      </c>
      <c r="G6401" s="4" t="n">
        <v>6</v>
      </c>
      <c r="H6401" s="4" t="n">
        <v>4</v>
      </c>
      <c r="I6401" s="4" t="str">
        <v>×</v>
      </c>
      <c r="J6401" s="4"/>
      <c r="K6401" s="4"/>
      <c r="L6401" s="4"/>
      <c r="M6401" s="5" t="s">
        <v>4475</v>
      </c>
    </row>
    <row r="6402" customFormat="false" ht="15.75" hidden="false" customHeight="false" outlineLevel="0" collapsed="false">
      <c r="A6402" s="6" t="n">
        <v>46180</v>
      </c>
      <c r="B6402" s="4" t="s">
        <v>4172</v>
      </c>
      <c r="C6402" s="4" t="n">
        <v>6</v>
      </c>
      <c r="D6402" s="4" t="n">
        <v>13</v>
      </c>
      <c r="E6402" s="4" t="s">
        <v>4816</v>
      </c>
      <c r="F6402" s="4" t="n">
        <v>4</v>
      </c>
      <c r="G6402" s="4" t="n">
        <v>8</v>
      </c>
      <c r="H6402" s="4" t="n">
        <v>4</v>
      </c>
      <c r="I6402" s="4" t="str">
        <v>×</v>
      </c>
      <c r="J6402" s="4"/>
      <c r="K6402" s="4"/>
      <c r="L6402" s="4"/>
      <c r="M6402" s="5" t="s">
        <v>4475</v>
      </c>
    </row>
    <row r="6403" customFormat="false" ht="15.75" hidden="false" customHeight="false" outlineLevel="0" collapsed="false">
      <c r="A6403" s="6" t="n">
        <v>46180</v>
      </c>
      <c r="B6403" s="4" t="s">
        <v>4172</v>
      </c>
      <c r="C6403" s="4" t="n">
        <v>6</v>
      </c>
      <c r="D6403" s="4" t="n">
        <v>14</v>
      </c>
      <c r="E6403" s="4" t="s">
        <v>218</v>
      </c>
      <c r="F6403" s="4" t="n">
        <v>6</v>
      </c>
      <c r="G6403" s="4" t="n">
        <v>7</v>
      </c>
      <c r="H6403" s="4" t="n">
        <v>4</v>
      </c>
      <c r="I6403" s="4" t="str">
        <v>×</v>
      </c>
      <c r="J6403" s="4"/>
      <c r="K6403" s="4"/>
      <c r="L6403" s="4"/>
      <c r="M6403" s="5" t="s">
        <v>4475</v>
      </c>
    </row>
    <row r="6404" customFormat="false" ht="15.75" hidden="false" customHeight="false" outlineLevel="0" collapsed="false">
      <c r="A6404" s="6" t="n">
        <v>46180</v>
      </c>
      <c r="B6404" s="4" t="s">
        <v>4172</v>
      </c>
      <c r="C6404" s="4" t="n">
        <v>6</v>
      </c>
      <c r="D6404" s="4" t="n">
        <v>15</v>
      </c>
      <c r="E6404" s="4" t="s">
        <v>1625</v>
      </c>
      <c r="F6404" s="4" t="n">
        <v>47</v>
      </c>
      <c r="G6404" s="4" t="n">
        <v>1</v>
      </c>
      <c r="H6404" s="4" t="n">
        <v>3</v>
      </c>
      <c r="I6404" s="4" t="str">
        <v>○</v>
      </c>
      <c r="J6404" s="4" t="n">
        <v>120</v>
      </c>
      <c r="K6404" s="4"/>
      <c r="L6404" s="4"/>
      <c r="M6404" s="5" t="s">
        <v>4475</v>
      </c>
    </row>
    <row r="6405" customFormat="false" ht="15.75" hidden="false" customHeight="false" outlineLevel="0" collapsed="false">
      <c r="A6405" s="6" t="n">
        <v>46180</v>
      </c>
      <c r="B6405" s="4" t="s">
        <v>4172</v>
      </c>
      <c r="C6405" s="4" t="n">
        <v>6</v>
      </c>
      <c r="D6405" s="4" t="n">
        <v>16</v>
      </c>
      <c r="E6405" s="4" t="s">
        <v>3597</v>
      </c>
      <c r="F6405" s="4" t="n">
        <v>10</v>
      </c>
      <c r="G6405" s="4" t="n">
        <v>5</v>
      </c>
      <c r="H6405" s="4" t="n">
        <v>4</v>
      </c>
      <c r="I6405" s="4" t="str">
        <v>×</v>
      </c>
      <c r="J6405" s="4"/>
      <c r="K6405" s="4"/>
      <c r="L6405" s="4"/>
      <c r="M6405" s="5" t="s">
        <v>4475</v>
      </c>
    </row>
    <row r="6406" customFormat="false" ht="15.75" hidden="false" customHeight="false" outlineLevel="0" collapsed="false">
      <c r="A6406" s="6" t="n">
        <v>46180</v>
      </c>
      <c r="B6406" s="4" t="s">
        <v>4172</v>
      </c>
      <c r="C6406" s="4" t="n">
        <v>7</v>
      </c>
      <c r="D6406" s="4" t="n">
        <v>1</v>
      </c>
      <c r="E6406" s="4" t="s">
        <v>3241</v>
      </c>
      <c r="F6406" s="4" t="n">
        <v>2</v>
      </c>
      <c r="G6406" s="4" t="n">
        <v>12</v>
      </c>
      <c r="H6406" s="4" t="n">
        <v>4</v>
      </c>
      <c r="I6406" s="4" t="str">
        <v>×</v>
      </c>
      <c r="J6406" s="4"/>
      <c r="K6406" s="4"/>
      <c r="L6406" s="4"/>
      <c r="M6406" s="5" t="s">
        <v>4475</v>
      </c>
    </row>
    <row r="6407" customFormat="false" ht="15.75" hidden="false" customHeight="false" outlineLevel="0" collapsed="false">
      <c r="A6407" s="6" t="n">
        <v>46180</v>
      </c>
      <c r="B6407" s="4" t="s">
        <v>4172</v>
      </c>
      <c r="C6407" s="4" t="n">
        <v>7</v>
      </c>
      <c r="D6407" s="4" t="n">
        <v>2</v>
      </c>
      <c r="E6407" s="4" t="s">
        <v>4817</v>
      </c>
      <c r="F6407" s="4" t="n">
        <v>20</v>
      </c>
      <c r="G6407" s="4" t="n">
        <v>6</v>
      </c>
      <c r="H6407" s="4" t="n">
        <v>4</v>
      </c>
      <c r="I6407" s="4" t="str">
        <v>×</v>
      </c>
      <c r="J6407" s="4"/>
      <c r="K6407" s="4"/>
      <c r="L6407" s="4"/>
      <c r="M6407" s="5" t="s">
        <v>4475</v>
      </c>
    </row>
    <row r="6408" customFormat="false" ht="15.75" hidden="false" customHeight="false" outlineLevel="0" collapsed="false">
      <c r="A6408" s="6" t="n">
        <v>46180</v>
      </c>
      <c r="B6408" s="4" t="s">
        <v>4172</v>
      </c>
      <c r="C6408" s="4" t="n">
        <v>7</v>
      </c>
      <c r="D6408" s="4" t="n">
        <v>3</v>
      </c>
      <c r="E6408" s="4" t="s">
        <v>875</v>
      </c>
      <c r="F6408" s="4" t="n">
        <v>25</v>
      </c>
      <c r="G6408" s="4" t="n">
        <v>5</v>
      </c>
      <c r="H6408" s="4" t="n">
        <v>4</v>
      </c>
      <c r="I6408" s="4" t="str">
        <v>×</v>
      </c>
      <c r="J6408" s="4"/>
      <c r="K6408" s="4"/>
      <c r="L6408" s="4"/>
      <c r="M6408" s="5" t="s">
        <v>4475</v>
      </c>
    </row>
    <row r="6409" customFormat="false" ht="15.75" hidden="false" customHeight="false" outlineLevel="0" collapsed="false">
      <c r="A6409" s="6" t="n">
        <v>46180</v>
      </c>
      <c r="B6409" s="4" t="s">
        <v>4172</v>
      </c>
      <c r="C6409" s="4" t="n">
        <v>7</v>
      </c>
      <c r="D6409" s="4" t="n">
        <v>4</v>
      </c>
      <c r="E6409" s="4" t="s">
        <v>4818</v>
      </c>
      <c r="F6409" s="4" t="n">
        <v>13</v>
      </c>
      <c r="G6409" s="4" t="n">
        <v>8</v>
      </c>
      <c r="H6409" s="4" t="n">
        <v>4</v>
      </c>
      <c r="I6409" s="4" t="str">
        <v>×</v>
      </c>
      <c r="J6409" s="4"/>
      <c r="K6409" s="4"/>
      <c r="L6409" s="4"/>
      <c r="M6409" s="5" t="s">
        <v>4475</v>
      </c>
    </row>
    <row r="6410" customFormat="false" ht="15.75" hidden="false" customHeight="false" outlineLevel="0" collapsed="false">
      <c r="A6410" s="6" t="n">
        <v>46180</v>
      </c>
      <c r="B6410" s="4" t="s">
        <v>4172</v>
      </c>
      <c r="C6410" s="4" t="n">
        <v>7</v>
      </c>
      <c r="D6410" s="4" t="n">
        <v>5</v>
      </c>
      <c r="E6410" s="4" t="s">
        <v>4819</v>
      </c>
      <c r="F6410" s="4" t="n">
        <v>44</v>
      </c>
      <c r="G6410" s="4" t="n">
        <v>3</v>
      </c>
      <c r="H6410" s="4" t="n">
        <v>2</v>
      </c>
      <c r="I6410" s="4" t="str">
        <v>○</v>
      </c>
      <c r="J6410" s="4" t="n">
        <v>150</v>
      </c>
      <c r="K6410" s="4"/>
      <c r="L6410" s="4"/>
      <c r="M6410" s="5" t="s">
        <v>4475</v>
      </c>
    </row>
    <row r="6411" customFormat="false" ht="15.75" hidden="false" customHeight="false" outlineLevel="0" collapsed="false">
      <c r="A6411" s="6" t="n">
        <v>46180</v>
      </c>
      <c r="B6411" s="4" t="s">
        <v>4172</v>
      </c>
      <c r="C6411" s="4" t="n">
        <v>7</v>
      </c>
      <c r="D6411" s="4" t="n">
        <v>6</v>
      </c>
      <c r="E6411" s="4" t="s">
        <v>4820</v>
      </c>
      <c r="F6411" s="4" t="n">
        <v>6</v>
      </c>
      <c r="G6411" s="4" t="n">
        <v>11</v>
      </c>
      <c r="H6411" s="4" t="n">
        <v>4</v>
      </c>
      <c r="I6411" s="4" t="str">
        <v>×</v>
      </c>
      <c r="J6411" s="4"/>
      <c r="K6411" s="4"/>
      <c r="L6411" s="4"/>
      <c r="M6411" s="5" t="s">
        <v>4475</v>
      </c>
    </row>
    <row r="6412" customFormat="false" ht="15.75" hidden="false" customHeight="false" outlineLevel="0" collapsed="false">
      <c r="A6412" s="6" t="n">
        <v>46180</v>
      </c>
      <c r="B6412" s="4" t="s">
        <v>4172</v>
      </c>
      <c r="C6412" s="4" t="n">
        <v>7</v>
      </c>
      <c r="D6412" s="4" t="n">
        <v>7</v>
      </c>
      <c r="E6412" s="4" t="s">
        <v>4821</v>
      </c>
      <c r="F6412" s="4" t="n">
        <v>6</v>
      </c>
      <c r="G6412" s="4" t="n">
        <v>11</v>
      </c>
      <c r="H6412" s="4" t="n">
        <v>4</v>
      </c>
      <c r="I6412" s="4" t="str">
        <v>×</v>
      </c>
      <c r="J6412" s="4"/>
      <c r="K6412" s="4"/>
      <c r="L6412" s="4"/>
      <c r="M6412" s="5" t="s">
        <v>4475</v>
      </c>
    </row>
    <row r="6413" customFormat="false" ht="15.75" hidden="false" customHeight="false" outlineLevel="0" collapsed="false">
      <c r="A6413" s="6" t="n">
        <v>46180</v>
      </c>
      <c r="B6413" s="4" t="s">
        <v>4172</v>
      </c>
      <c r="C6413" s="4" t="n">
        <v>7</v>
      </c>
      <c r="D6413" s="4" t="n">
        <v>8</v>
      </c>
      <c r="E6413" s="4" t="s">
        <v>565</v>
      </c>
      <c r="F6413" s="4" t="n">
        <v>58</v>
      </c>
      <c r="G6413" s="4" t="n">
        <v>1</v>
      </c>
      <c r="H6413" s="4" t="n">
        <v>1</v>
      </c>
      <c r="I6413" s="4" t="str">
        <v>○</v>
      </c>
      <c r="J6413" s="4" t="n">
        <v>130</v>
      </c>
      <c r="K6413" s="4"/>
      <c r="L6413" s="4"/>
      <c r="M6413" s="5" t="s">
        <v>4475</v>
      </c>
    </row>
    <row r="6414" customFormat="false" ht="15.75" hidden="false" customHeight="false" outlineLevel="0" collapsed="false">
      <c r="A6414" s="6" t="n">
        <v>46180</v>
      </c>
      <c r="B6414" s="4" t="s">
        <v>4172</v>
      </c>
      <c r="C6414" s="4" t="n">
        <v>7</v>
      </c>
      <c r="D6414" s="4" t="n">
        <v>9</v>
      </c>
      <c r="E6414" s="4" t="s">
        <v>4822</v>
      </c>
      <c r="F6414" s="4" t="n">
        <v>15</v>
      </c>
      <c r="G6414" s="4" t="n">
        <v>7</v>
      </c>
      <c r="H6414" s="4" t="n">
        <v>4</v>
      </c>
      <c r="I6414" s="4" t="str">
        <v>×</v>
      </c>
      <c r="J6414" s="4"/>
      <c r="K6414" s="4"/>
      <c r="L6414" s="4"/>
      <c r="M6414" s="5" t="s">
        <v>4475</v>
      </c>
    </row>
    <row r="6415" customFormat="false" ht="15.75" hidden="false" customHeight="false" outlineLevel="0" collapsed="false">
      <c r="A6415" s="6" t="n">
        <v>46180</v>
      </c>
      <c r="B6415" s="4" t="s">
        <v>4172</v>
      </c>
      <c r="C6415" s="4" t="n">
        <v>7</v>
      </c>
      <c r="D6415" s="4" t="n">
        <v>10</v>
      </c>
      <c r="E6415" s="4" t="s">
        <v>2772</v>
      </c>
      <c r="F6415" s="4" t="n">
        <v>15</v>
      </c>
      <c r="G6415" s="4" t="n">
        <v>7</v>
      </c>
      <c r="H6415" s="4" t="n">
        <v>4</v>
      </c>
      <c r="I6415" s="4" t="str">
        <v>×</v>
      </c>
      <c r="J6415" s="4"/>
      <c r="K6415" s="4"/>
      <c r="L6415" s="4"/>
      <c r="M6415" s="5" t="s">
        <v>4475</v>
      </c>
    </row>
    <row r="6416" customFormat="false" ht="15.75" hidden="false" customHeight="false" outlineLevel="0" collapsed="false">
      <c r="A6416" s="6" t="n">
        <v>46180</v>
      </c>
      <c r="B6416" s="4" t="s">
        <v>4172</v>
      </c>
      <c r="C6416" s="4" t="n">
        <v>7</v>
      </c>
      <c r="D6416" s="4" t="n">
        <v>11</v>
      </c>
      <c r="E6416" s="4" t="s">
        <v>4823</v>
      </c>
      <c r="F6416" s="4" t="n">
        <v>25</v>
      </c>
      <c r="G6416" s="4" t="n">
        <v>5</v>
      </c>
      <c r="H6416" s="4" t="n">
        <v>4</v>
      </c>
      <c r="I6416" s="4" t="str">
        <v>×</v>
      </c>
      <c r="J6416" s="4"/>
      <c r="K6416" s="4"/>
      <c r="L6416" s="4"/>
      <c r="M6416" s="5" t="s">
        <v>4475</v>
      </c>
    </row>
    <row r="6417" customFormat="false" ht="15.75" hidden="false" customHeight="false" outlineLevel="0" collapsed="false">
      <c r="A6417" s="6" t="n">
        <v>46180</v>
      </c>
      <c r="B6417" s="4" t="s">
        <v>4172</v>
      </c>
      <c r="C6417" s="4" t="n">
        <v>7</v>
      </c>
      <c r="D6417" s="4" t="n">
        <v>12</v>
      </c>
      <c r="E6417" s="4" t="s">
        <v>4824</v>
      </c>
      <c r="F6417" s="4" t="n">
        <v>8</v>
      </c>
      <c r="G6417" s="4" t="n">
        <v>10</v>
      </c>
      <c r="H6417" s="4" t="n">
        <v>4</v>
      </c>
      <c r="I6417" s="4" t="str">
        <v>×</v>
      </c>
      <c r="J6417" s="4"/>
      <c r="K6417" s="4"/>
      <c r="L6417" s="4"/>
      <c r="M6417" s="5" t="s">
        <v>4475</v>
      </c>
    </row>
    <row r="6418" customFormat="false" ht="15.75" hidden="false" customHeight="false" outlineLevel="0" collapsed="false">
      <c r="A6418" s="6" t="n">
        <v>46180</v>
      </c>
      <c r="B6418" s="4" t="s">
        <v>4172</v>
      </c>
      <c r="C6418" s="4" t="n">
        <v>7</v>
      </c>
      <c r="D6418" s="4" t="n">
        <v>13</v>
      </c>
      <c r="E6418" s="4" t="s">
        <v>4397</v>
      </c>
      <c r="F6418" s="4" t="n">
        <v>34</v>
      </c>
      <c r="G6418" s="4" t="n">
        <v>4</v>
      </c>
      <c r="H6418" s="4" t="n">
        <v>4</v>
      </c>
      <c r="I6418" s="4" t="str">
        <v>×</v>
      </c>
      <c r="J6418" s="4"/>
      <c r="K6418" s="4"/>
      <c r="L6418" s="4"/>
      <c r="M6418" s="5" t="s">
        <v>4475</v>
      </c>
    </row>
    <row r="6419" customFormat="false" ht="15.75" hidden="false" customHeight="false" outlineLevel="0" collapsed="false">
      <c r="A6419" s="6" t="n">
        <v>46180</v>
      </c>
      <c r="B6419" s="4" t="s">
        <v>4172</v>
      </c>
      <c r="C6419" s="4" t="n">
        <v>7</v>
      </c>
      <c r="D6419" s="4" t="n">
        <v>14</v>
      </c>
      <c r="E6419" s="4" t="s">
        <v>4825</v>
      </c>
      <c r="F6419" s="4" t="n">
        <v>10</v>
      </c>
      <c r="G6419" s="4" t="n">
        <v>9</v>
      </c>
      <c r="H6419" s="4" t="n">
        <v>4</v>
      </c>
      <c r="I6419" s="4" t="str">
        <v>×</v>
      </c>
      <c r="J6419" s="4"/>
      <c r="K6419" s="4"/>
      <c r="L6419" s="4"/>
      <c r="M6419" s="5" t="s">
        <v>4475</v>
      </c>
    </row>
    <row r="6420" customFormat="false" ht="15.75" hidden="false" customHeight="false" outlineLevel="0" collapsed="false">
      <c r="A6420" s="6" t="n">
        <v>46180</v>
      </c>
      <c r="B6420" s="4" t="s">
        <v>4172</v>
      </c>
      <c r="C6420" s="4" t="n">
        <v>7</v>
      </c>
      <c r="D6420" s="4" t="n">
        <v>15</v>
      </c>
      <c r="E6420" s="4" t="s">
        <v>4826</v>
      </c>
      <c r="F6420" s="4" t="n">
        <v>15</v>
      </c>
      <c r="G6420" s="4" t="n">
        <v>7</v>
      </c>
      <c r="H6420" s="4" t="n">
        <v>4</v>
      </c>
      <c r="I6420" s="4" t="str">
        <v>×</v>
      </c>
      <c r="J6420" s="4"/>
      <c r="K6420" s="4"/>
      <c r="L6420" s="4"/>
      <c r="M6420" s="5" t="s">
        <v>4475</v>
      </c>
    </row>
    <row r="6421" customFormat="false" ht="15.75" hidden="false" customHeight="false" outlineLevel="0" collapsed="false">
      <c r="A6421" s="6" t="n">
        <v>46180</v>
      </c>
      <c r="B6421" s="4" t="s">
        <v>4172</v>
      </c>
      <c r="C6421" s="4" t="n">
        <v>7</v>
      </c>
      <c r="D6421" s="4" t="n">
        <v>16</v>
      </c>
      <c r="E6421" s="4" t="s">
        <v>4827</v>
      </c>
      <c r="F6421" s="4" t="n">
        <v>52</v>
      </c>
      <c r="G6421" s="4" t="n">
        <v>2</v>
      </c>
      <c r="H6421" s="4" t="n">
        <v>3</v>
      </c>
      <c r="I6421" s="4" t="str">
        <v>○</v>
      </c>
      <c r="J6421" s="4" t="n">
        <v>150</v>
      </c>
      <c r="K6421" s="4"/>
      <c r="L6421" s="4"/>
      <c r="M6421" s="5" t="s">
        <v>4475</v>
      </c>
    </row>
    <row r="6422" customFormat="false" ht="15.75" hidden="false" customHeight="false" outlineLevel="0" collapsed="false">
      <c r="A6422" s="6" t="n">
        <v>46180</v>
      </c>
      <c r="B6422" s="4" t="s">
        <v>4172</v>
      </c>
      <c r="C6422" s="4" t="n">
        <v>8</v>
      </c>
      <c r="D6422" s="4" t="n">
        <v>1</v>
      </c>
      <c r="E6422" s="4" t="s">
        <v>401</v>
      </c>
      <c r="F6422" s="4" t="n">
        <v>20</v>
      </c>
      <c r="G6422" s="4" t="n">
        <v>6</v>
      </c>
      <c r="H6422" s="4" t="n">
        <v>3</v>
      </c>
      <c r="I6422" s="4" t="str">
        <v>○</v>
      </c>
      <c r="J6422" s="4" t="n">
        <v>230</v>
      </c>
      <c r="K6422" s="4"/>
      <c r="L6422" s="4"/>
      <c r="M6422" s="5" t="s">
        <v>4475</v>
      </c>
    </row>
    <row r="6423" customFormat="false" ht="15.75" hidden="false" customHeight="false" outlineLevel="0" collapsed="false">
      <c r="A6423" s="6" t="n">
        <v>46180</v>
      </c>
      <c r="B6423" s="4" t="s">
        <v>4172</v>
      </c>
      <c r="C6423" s="4" t="n">
        <v>8</v>
      </c>
      <c r="D6423" s="4" t="n">
        <v>2</v>
      </c>
      <c r="E6423" s="4" t="s">
        <v>4828</v>
      </c>
      <c r="F6423" s="4" t="n">
        <v>6</v>
      </c>
      <c r="G6423" s="4" t="n">
        <v>10</v>
      </c>
      <c r="H6423" s="4" t="n">
        <v>4</v>
      </c>
      <c r="I6423" s="4" t="str">
        <v>×</v>
      </c>
      <c r="J6423" s="4"/>
      <c r="K6423" s="4"/>
      <c r="L6423" s="4"/>
      <c r="M6423" s="5" t="s">
        <v>4475</v>
      </c>
    </row>
    <row r="6424" customFormat="false" ht="15.75" hidden="false" customHeight="false" outlineLevel="0" collapsed="false">
      <c r="A6424" s="6" t="n">
        <v>46180</v>
      </c>
      <c r="B6424" s="4" t="s">
        <v>4172</v>
      </c>
      <c r="C6424" s="4" t="n">
        <v>8</v>
      </c>
      <c r="D6424" s="4" t="n">
        <v>3</v>
      </c>
      <c r="E6424" s="4" t="s">
        <v>2105</v>
      </c>
      <c r="F6424" s="4" t="n">
        <v>6</v>
      </c>
      <c r="G6424" s="4" t="n">
        <v>10</v>
      </c>
      <c r="H6424" s="4" t="n">
        <v>4</v>
      </c>
      <c r="I6424" s="4" t="str">
        <v>×</v>
      </c>
      <c r="J6424" s="4"/>
      <c r="K6424" s="4"/>
      <c r="L6424" s="4"/>
      <c r="M6424" s="5" t="s">
        <v>4475</v>
      </c>
    </row>
    <row r="6425" customFormat="false" ht="15.75" hidden="false" customHeight="false" outlineLevel="0" collapsed="false">
      <c r="A6425" s="6" t="n">
        <v>46180</v>
      </c>
      <c r="B6425" s="4" t="s">
        <v>4172</v>
      </c>
      <c r="C6425" s="4" t="n">
        <v>8</v>
      </c>
      <c r="D6425" s="4" t="n">
        <v>4</v>
      </c>
      <c r="E6425" s="4" t="s">
        <v>4829</v>
      </c>
      <c r="F6425" s="4" t="n">
        <v>6</v>
      </c>
      <c r="G6425" s="4" t="n">
        <v>10</v>
      </c>
      <c r="H6425" s="4" t="n">
        <v>4</v>
      </c>
      <c r="I6425" s="4" t="str">
        <v>×</v>
      </c>
      <c r="J6425" s="4"/>
      <c r="K6425" s="4"/>
      <c r="L6425" s="4"/>
      <c r="M6425" s="5" t="s">
        <v>4475</v>
      </c>
    </row>
    <row r="6426" customFormat="false" ht="15.75" hidden="false" customHeight="false" outlineLevel="0" collapsed="false">
      <c r="A6426" s="6" t="n">
        <v>46180</v>
      </c>
      <c r="B6426" s="4" t="s">
        <v>4172</v>
      </c>
      <c r="C6426" s="4" t="n">
        <v>8</v>
      </c>
      <c r="D6426" s="4" t="n">
        <v>5</v>
      </c>
      <c r="E6426" s="4" t="s">
        <v>4830</v>
      </c>
      <c r="F6426" s="4" t="n">
        <v>13</v>
      </c>
      <c r="G6426" s="4" t="n">
        <v>7</v>
      </c>
      <c r="H6426" s="4" t="n">
        <v>4</v>
      </c>
      <c r="I6426" s="4" t="str">
        <v>×</v>
      </c>
      <c r="J6426" s="4"/>
      <c r="K6426" s="4"/>
      <c r="L6426" s="4"/>
      <c r="M6426" s="5" t="s">
        <v>4475</v>
      </c>
    </row>
    <row r="6427" customFormat="false" ht="15.75" hidden="false" customHeight="false" outlineLevel="0" collapsed="false">
      <c r="A6427" s="6" t="n">
        <v>46180</v>
      </c>
      <c r="B6427" s="4" t="s">
        <v>4172</v>
      </c>
      <c r="C6427" s="4" t="n">
        <v>8</v>
      </c>
      <c r="D6427" s="4" t="n">
        <v>6</v>
      </c>
      <c r="E6427" s="4" t="s">
        <v>4831</v>
      </c>
      <c r="F6427" s="4" t="n">
        <v>41</v>
      </c>
      <c r="G6427" s="4" t="n">
        <v>3</v>
      </c>
      <c r="H6427" s="4" t="n">
        <v>2</v>
      </c>
      <c r="I6427" s="4" t="str">
        <v>○</v>
      </c>
      <c r="J6427" s="4" t="n">
        <v>140</v>
      </c>
      <c r="K6427" s="4"/>
      <c r="L6427" s="4"/>
      <c r="M6427" s="5" t="s">
        <v>4475</v>
      </c>
    </row>
    <row r="6428" customFormat="false" ht="15.75" hidden="false" customHeight="false" outlineLevel="0" collapsed="false">
      <c r="A6428" s="6" t="n">
        <v>46180</v>
      </c>
      <c r="B6428" s="4" t="s">
        <v>4172</v>
      </c>
      <c r="C6428" s="4" t="n">
        <v>8</v>
      </c>
      <c r="D6428" s="4" t="n">
        <v>7</v>
      </c>
      <c r="E6428" s="4" t="s">
        <v>4832</v>
      </c>
      <c r="F6428" s="4" t="n">
        <v>52</v>
      </c>
      <c r="G6428" s="4" t="n">
        <v>1</v>
      </c>
      <c r="H6428" s="4" t="n">
        <v>4</v>
      </c>
      <c r="I6428" s="4" t="str">
        <v>×</v>
      </c>
      <c r="J6428" s="4"/>
      <c r="K6428" s="4"/>
      <c r="L6428" s="4"/>
      <c r="M6428" s="5" t="s">
        <v>4475</v>
      </c>
    </row>
    <row r="6429" customFormat="false" ht="15.75" hidden="false" customHeight="false" outlineLevel="0" collapsed="false">
      <c r="A6429" s="6" t="n">
        <v>46180</v>
      </c>
      <c r="B6429" s="4" t="s">
        <v>4172</v>
      </c>
      <c r="C6429" s="4" t="n">
        <v>8</v>
      </c>
      <c r="D6429" s="4" t="n">
        <v>8</v>
      </c>
      <c r="E6429" s="4" t="s">
        <v>4833</v>
      </c>
      <c r="F6429" s="4" t="n">
        <v>6</v>
      </c>
      <c r="G6429" s="4" t="n">
        <v>10</v>
      </c>
      <c r="H6429" s="4" t="n">
        <v>4</v>
      </c>
      <c r="I6429" s="4" t="str">
        <v>×</v>
      </c>
      <c r="J6429" s="4"/>
      <c r="K6429" s="4"/>
      <c r="L6429" s="4"/>
      <c r="M6429" s="5" t="s">
        <v>4475</v>
      </c>
    </row>
    <row r="6430" customFormat="false" ht="15.75" hidden="false" customHeight="false" outlineLevel="0" collapsed="false">
      <c r="A6430" s="6" t="n">
        <v>46180</v>
      </c>
      <c r="B6430" s="4" t="s">
        <v>4172</v>
      </c>
      <c r="C6430" s="4" t="n">
        <v>8</v>
      </c>
      <c r="D6430" s="4" t="n">
        <v>9</v>
      </c>
      <c r="E6430" s="4" t="s">
        <v>4834</v>
      </c>
      <c r="F6430" s="4" t="n">
        <v>4</v>
      </c>
      <c r="G6430" s="4" t="n">
        <v>11</v>
      </c>
      <c r="H6430" s="4" t="n">
        <v>4</v>
      </c>
      <c r="I6430" s="4" t="str">
        <v>×</v>
      </c>
      <c r="J6430" s="4"/>
      <c r="K6430" s="4"/>
      <c r="L6430" s="4"/>
      <c r="M6430" s="5" t="s">
        <v>4475</v>
      </c>
    </row>
    <row r="6431" customFormat="false" ht="15.75" hidden="false" customHeight="false" outlineLevel="0" collapsed="false">
      <c r="A6431" s="6" t="n">
        <v>46180</v>
      </c>
      <c r="B6431" s="4" t="s">
        <v>4172</v>
      </c>
      <c r="C6431" s="4" t="n">
        <v>8</v>
      </c>
      <c r="D6431" s="4" t="n">
        <v>10</v>
      </c>
      <c r="E6431" s="4" t="s">
        <v>4835</v>
      </c>
      <c r="F6431" s="4" t="n">
        <v>4</v>
      </c>
      <c r="G6431" s="4" t="n">
        <v>11</v>
      </c>
      <c r="H6431" s="4" t="n">
        <v>4</v>
      </c>
      <c r="I6431" s="4" t="str">
        <v>×</v>
      </c>
      <c r="J6431" s="4"/>
      <c r="K6431" s="4"/>
      <c r="L6431" s="4"/>
      <c r="M6431" s="5" t="s">
        <v>4475</v>
      </c>
    </row>
    <row r="6432" customFormat="false" ht="15.75" hidden="false" customHeight="false" outlineLevel="0" collapsed="false">
      <c r="A6432" s="6" t="n">
        <v>46180</v>
      </c>
      <c r="B6432" s="4" t="s">
        <v>4172</v>
      </c>
      <c r="C6432" s="4" t="n">
        <v>8</v>
      </c>
      <c r="D6432" s="4" t="n">
        <v>11</v>
      </c>
      <c r="E6432" s="4" t="s">
        <v>4836</v>
      </c>
      <c r="F6432" s="4" t="n">
        <v>8</v>
      </c>
      <c r="G6432" s="4" t="n">
        <v>9</v>
      </c>
      <c r="H6432" s="4" t="n">
        <v>4</v>
      </c>
      <c r="I6432" s="4" t="str">
        <v>×</v>
      </c>
      <c r="J6432" s="4"/>
      <c r="K6432" s="4"/>
      <c r="L6432" s="4"/>
      <c r="M6432" s="5" t="s">
        <v>4475</v>
      </c>
    </row>
    <row r="6433" customFormat="false" ht="15.75" hidden="false" customHeight="false" outlineLevel="0" collapsed="false">
      <c r="A6433" s="6" t="n">
        <v>46180</v>
      </c>
      <c r="B6433" s="4" t="s">
        <v>4172</v>
      </c>
      <c r="C6433" s="4" t="n">
        <v>8</v>
      </c>
      <c r="D6433" s="4" t="n">
        <v>12</v>
      </c>
      <c r="E6433" s="4" t="s">
        <v>4415</v>
      </c>
      <c r="F6433" s="4" t="n">
        <v>1</v>
      </c>
      <c r="G6433" s="4" t="n">
        <v>12</v>
      </c>
      <c r="H6433" s="4" t="n">
        <v>4</v>
      </c>
      <c r="I6433" s="4" t="str">
        <v>×</v>
      </c>
      <c r="J6433" s="4"/>
      <c r="K6433" s="4"/>
      <c r="L6433" s="4"/>
      <c r="M6433" s="5" t="s">
        <v>4475</v>
      </c>
    </row>
    <row r="6434" customFormat="false" ht="15.75" hidden="false" customHeight="false" outlineLevel="0" collapsed="false">
      <c r="A6434" s="6" t="n">
        <v>46180</v>
      </c>
      <c r="B6434" s="4" t="s">
        <v>4172</v>
      </c>
      <c r="C6434" s="4" t="n">
        <v>8</v>
      </c>
      <c r="D6434" s="4" t="n">
        <v>13</v>
      </c>
      <c r="E6434" s="4" t="s">
        <v>4837</v>
      </c>
      <c r="F6434" s="4" t="n">
        <v>8</v>
      </c>
      <c r="G6434" s="4" t="n">
        <v>9</v>
      </c>
      <c r="H6434" s="4" t="n">
        <v>4</v>
      </c>
      <c r="I6434" s="4" t="str">
        <v>×</v>
      </c>
      <c r="J6434" s="4"/>
      <c r="K6434" s="4"/>
      <c r="L6434" s="4"/>
      <c r="M6434" s="5" t="s">
        <v>4475</v>
      </c>
    </row>
    <row r="6435" customFormat="false" ht="15.75" hidden="false" customHeight="false" outlineLevel="0" collapsed="false">
      <c r="A6435" s="6" t="n">
        <v>46180</v>
      </c>
      <c r="B6435" s="4" t="s">
        <v>4172</v>
      </c>
      <c r="C6435" s="4" t="n">
        <v>8</v>
      </c>
      <c r="D6435" s="4" t="n">
        <v>14</v>
      </c>
      <c r="E6435" s="4" t="s">
        <v>4838</v>
      </c>
      <c r="F6435" s="4" t="n">
        <v>50</v>
      </c>
      <c r="G6435" s="4" t="n">
        <v>2</v>
      </c>
      <c r="H6435" s="4" t="n">
        <v>1</v>
      </c>
      <c r="I6435" s="4" t="str">
        <v>○</v>
      </c>
      <c r="J6435" s="4" t="n">
        <v>150</v>
      </c>
      <c r="K6435" s="4"/>
      <c r="L6435" s="4"/>
      <c r="M6435" s="5" t="s">
        <v>4475</v>
      </c>
    </row>
    <row r="6436" customFormat="false" ht="15.75" hidden="false" customHeight="false" outlineLevel="0" collapsed="false">
      <c r="A6436" s="6" t="n">
        <v>46180</v>
      </c>
      <c r="B6436" s="4" t="s">
        <v>4172</v>
      </c>
      <c r="C6436" s="4" t="n">
        <v>8</v>
      </c>
      <c r="D6436" s="4" t="n">
        <v>15</v>
      </c>
      <c r="E6436" s="4" t="s">
        <v>4839</v>
      </c>
      <c r="F6436" s="4" t="n">
        <v>13</v>
      </c>
      <c r="G6436" s="4" t="n">
        <v>7</v>
      </c>
      <c r="H6436" s="4" t="n">
        <v>4</v>
      </c>
      <c r="I6436" s="4" t="str">
        <v>×</v>
      </c>
      <c r="J6436" s="4"/>
      <c r="K6436" s="4"/>
      <c r="L6436" s="4"/>
      <c r="M6436" s="5" t="s">
        <v>4475</v>
      </c>
    </row>
    <row r="6437" customFormat="false" ht="15.75" hidden="false" customHeight="false" outlineLevel="0" collapsed="false">
      <c r="A6437" s="6" t="n">
        <v>46180</v>
      </c>
      <c r="B6437" s="4" t="s">
        <v>4172</v>
      </c>
      <c r="C6437" s="4" t="n">
        <v>8</v>
      </c>
      <c r="D6437" s="4" t="n">
        <v>16</v>
      </c>
      <c r="E6437" s="4" t="s">
        <v>4840</v>
      </c>
      <c r="F6437" s="4" t="n">
        <v>25</v>
      </c>
      <c r="G6437" s="4" t="n">
        <v>4</v>
      </c>
      <c r="H6437" s="4" t="n">
        <v>4</v>
      </c>
      <c r="I6437" s="4" t="str">
        <v>×</v>
      </c>
      <c r="J6437" s="4"/>
      <c r="K6437" s="4"/>
      <c r="L6437" s="4"/>
      <c r="M6437" s="5" t="s">
        <v>4475</v>
      </c>
    </row>
    <row r="6438" customFormat="false" ht="15.75" hidden="false" customHeight="false" outlineLevel="0" collapsed="false">
      <c r="A6438" s="6" t="n">
        <v>46180</v>
      </c>
      <c r="B6438" s="4" t="s">
        <v>4172</v>
      </c>
      <c r="C6438" s="4" t="n">
        <v>8</v>
      </c>
      <c r="D6438" s="4" t="n">
        <v>17</v>
      </c>
      <c r="E6438" s="4" t="s">
        <v>4841</v>
      </c>
      <c r="F6438" s="4" t="n">
        <v>23</v>
      </c>
      <c r="G6438" s="4" t="n">
        <v>5</v>
      </c>
      <c r="H6438" s="4" t="n">
        <v>4</v>
      </c>
      <c r="I6438" s="4" t="str">
        <v>×</v>
      </c>
      <c r="J6438" s="4"/>
      <c r="K6438" s="4"/>
      <c r="L6438" s="4"/>
      <c r="M6438" s="5" t="s">
        <v>4475</v>
      </c>
    </row>
    <row r="6439" customFormat="false" ht="15.75" hidden="false" customHeight="false" outlineLevel="0" collapsed="false">
      <c r="A6439" s="6" t="n">
        <v>46180</v>
      </c>
      <c r="B6439" s="4" t="s">
        <v>4172</v>
      </c>
      <c r="C6439" s="4" t="n">
        <v>8</v>
      </c>
      <c r="D6439" s="4" t="n">
        <v>18</v>
      </c>
      <c r="E6439" s="4" t="s">
        <v>4842</v>
      </c>
      <c r="F6439" s="4" t="n">
        <v>10</v>
      </c>
      <c r="G6439" s="4" t="n">
        <v>8</v>
      </c>
      <c r="H6439" s="4" t="n">
        <v>4</v>
      </c>
      <c r="I6439" s="4" t="str">
        <v>×</v>
      </c>
      <c r="J6439" s="4"/>
      <c r="K6439" s="4"/>
      <c r="L6439" s="4"/>
      <c r="M6439" s="5" t="s">
        <v>4475</v>
      </c>
    </row>
    <row r="6440" customFormat="false" ht="15.75" hidden="false" customHeight="false" outlineLevel="0" collapsed="false">
      <c r="A6440" s="6" t="n">
        <v>46180</v>
      </c>
      <c r="B6440" s="4" t="s">
        <v>4172</v>
      </c>
      <c r="C6440" s="4" t="n">
        <v>9</v>
      </c>
      <c r="D6440" s="4" t="n">
        <v>1</v>
      </c>
      <c r="E6440" s="4" t="s">
        <v>4843</v>
      </c>
      <c r="F6440" s="4" t="n">
        <v>17</v>
      </c>
      <c r="G6440" s="4" t="n">
        <v>5</v>
      </c>
      <c r="H6440" s="4" t="n">
        <v>4</v>
      </c>
      <c r="I6440" s="4" t="str">
        <v>×</v>
      </c>
      <c r="J6440" s="4"/>
      <c r="K6440" s="4"/>
      <c r="L6440" s="4"/>
      <c r="M6440" s="5" t="s">
        <v>4475</v>
      </c>
    </row>
    <row r="6441" customFormat="false" ht="15.75" hidden="false" customHeight="false" outlineLevel="0" collapsed="false">
      <c r="A6441" s="6" t="n">
        <v>46180</v>
      </c>
      <c r="B6441" s="4" t="s">
        <v>4172</v>
      </c>
      <c r="C6441" s="4" t="n">
        <v>9</v>
      </c>
      <c r="D6441" s="4" t="n">
        <v>2</v>
      </c>
      <c r="E6441" s="4" t="s">
        <v>1509</v>
      </c>
      <c r="F6441" s="4" t="n">
        <v>8</v>
      </c>
      <c r="G6441" s="4" t="n">
        <v>7</v>
      </c>
      <c r="H6441" s="4" t="n">
        <v>4</v>
      </c>
      <c r="I6441" s="4" t="str">
        <v>×</v>
      </c>
      <c r="J6441" s="4"/>
      <c r="K6441" s="4"/>
      <c r="L6441" s="4"/>
      <c r="M6441" s="5" t="s">
        <v>4475</v>
      </c>
    </row>
    <row r="6442" customFormat="false" ht="15.75" hidden="false" customHeight="false" outlineLevel="0" collapsed="false">
      <c r="A6442" s="6" t="n">
        <v>46180</v>
      </c>
      <c r="B6442" s="4" t="s">
        <v>4172</v>
      </c>
      <c r="C6442" s="4" t="n">
        <v>9</v>
      </c>
      <c r="D6442" s="4" t="n">
        <v>3</v>
      </c>
      <c r="E6442" s="4" t="s">
        <v>2785</v>
      </c>
      <c r="F6442" s="4" t="n">
        <v>23</v>
      </c>
      <c r="G6442" s="4" t="n">
        <v>3</v>
      </c>
      <c r="H6442" s="4" t="n">
        <v>4</v>
      </c>
      <c r="I6442" s="4" t="str">
        <v>×</v>
      </c>
      <c r="J6442" s="4"/>
      <c r="K6442" s="4"/>
      <c r="L6442" s="4"/>
      <c r="M6442" s="5" t="s">
        <v>4475</v>
      </c>
    </row>
    <row r="6443" customFormat="false" ht="15.75" hidden="false" customHeight="false" outlineLevel="0" collapsed="false">
      <c r="A6443" s="6" t="n">
        <v>46180</v>
      </c>
      <c r="B6443" s="4" t="s">
        <v>4172</v>
      </c>
      <c r="C6443" s="4" t="n">
        <v>9</v>
      </c>
      <c r="D6443" s="4" t="n">
        <v>4</v>
      </c>
      <c r="E6443" s="4" t="s">
        <v>3635</v>
      </c>
      <c r="F6443" s="4" t="n">
        <v>15</v>
      </c>
      <c r="G6443" s="4" t="n">
        <v>6</v>
      </c>
      <c r="H6443" s="4" t="n">
        <v>1</v>
      </c>
      <c r="I6443" s="4" t="str">
        <v>○</v>
      </c>
      <c r="J6443" s="4" t="n">
        <v>160</v>
      </c>
      <c r="K6443" s="4"/>
      <c r="L6443" s="4"/>
      <c r="M6443" s="5" t="s">
        <v>4475</v>
      </c>
    </row>
    <row r="6444" customFormat="false" ht="15.75" hidden="false" customHeight="false" outlineLevel="0" collapsed="false">
      <c r="A6444" s="6" t="n">
        <v>46180</v>
      </c>
      <c r="B6444" s="4" t="s">
        <v>4172</v>
      </c>
      <c r="C6444" s="4" t="n">
        <v>9</v>
      </c>
      <c r="D6444" s="4" t="n">
        <v>5</v>
      </c>
      <c r="E6444" s="4" t="s">
        <v>2425</v>
      </c>
      <c r="F6444" s="4" t="n">
        <v>20</v>
      </c>
      <c r="G6444" s="4" t="n">
        <v>4</v>
      </c>
      <c r="H6444" s="4" t="n">
        <v>4</v>
      </c>
      <c r="I6444" s="4" t="str">
        <v>×</v>
      </c>
      <c r="J6444" s="4"/>
      <c r="K6444" s="4"/>
      <c r="L6444" s="4"/>
      <c r="M6444" s="5" t="s">
        <v>4475</v>
      </c>
    </row>
    <row r="6445" customFormat="false" ht="15.75" hidden="false" customHeight="false" outlineLevel="0" collapsed="false">
      <c r="A6445" s="6" t="n">
        <v>46180</v>
      </c>
      <c r="B6445" s="4" t="s">
        <v>4172</v>
      </c>
      <c r="C6445" s="4" t="n">
        <v>9</v>
      </c>
      <c r="D6445" s="4" t="n">
        <v>6</v>
      </c>
      <c r="E6445" s="4" t="s">
        <v>1199</v>
      </c>
      <c r="F6445" s="4" t="n">
        <v>41</v>
      </c>
      <c r="G6445" s="4" t="n">
        <v>1</v>
      </c>
      <c r="H6445" s="4" t="n">
        <v>4</v>
      </c>
      <c r="I6445" s="4" t="str">
        <v>×</v>
      </c>
      <c r="J6445" s="4"/>
      <c r="K6445" s="4"/>
      <c r="L6445" s="4"/>
      <c r="M6445" s="5" t="s">
        <v>4475</v>
      </c>
    </row>
    <row r="6446" customFormat="false" ht="15.75" hidden="false" customHeight="false" outlineLevel="0" collapsed="false">
      <c r="A6446" s="6" t="n">
        <v>46180</v>
      </c>
      <c r="B6446" s="4" t="s">
        <v>4172</v>
      </c>
      <c r="C6446" s="4" t="n">
        <v>9</v>
      </c>
      <c r="D6446" s="4" t="n">
        <v>7</v>
      </c>
      <c r="E6446" s="4" t="s">
        <v>4844</v>
      </c>
      <c r="F6446" s="4" t="n">
        <v>23</v>
      </c>
      <c r="G6446" s="4" t="n">
        <v>3</v>
      </c>
      <c r="H6446" s="4" t="n">
        <v>4</v>
      </c>
      <c r="I6446" s="4" t="str">
        <v>×</v>
      </c>
      <c r="J6446" s="4"/>
      <c r="K6446" s="4"/>
      <c r="L6446" s="4"/>
      <c r="M6446" s="5" t="s">
        <v>4475</v>
      </c>
    </row>
    <row r="6447" customFormat="false" ht="15.75" hidden="false" customHeight="false" outlineLevel="0" collapsed="false">
      <c r="A6447" s="6" t="n">
        <v>46180</v>
      </c>
      <c r="B6447" s="4" t="s">
        <v>4172</v>
      </c>
      <c r="C6447" s="4" t="n">
        <v>9</v>
      </c>
      <c r="D6447" s="4" t="n">
        <v>8</v>
      </c>
      <c r="E6447" s="4" t="s">
        <v>4845</v>
      </c>
      <c r="F6447" s="4" t="n">
        <v>15</v>
      </c>
      <c r="G6447" s="4" t="n">
        <v>6</v>
      </c>
      <c r="H6447" s="4" t="n">
        <v>4</v>
      </c>
      <c r="I6447" s="4" t="str">
        <v>×</v>
      </c>
      <c r="J6447" s="4"/>
      <c r="K6447" s="4"/>
      <c r="L6447" s="4"/>
      <c r="M6447" s="5" t="s">
        <v>4475</v>
      </c>
    </row>
    <row r="6448" customFormat="false" ht="15.75" hidden="false" customHeight="false" outlineLevel="0" collapsed="false">
      <c r="A6448" s="6" t="n">
        <v>46180</v>
      </c>
      <c r="B6448" s="4" t="s">
        <v>4172</v>
      </c>
      <c r="C6448" s="4" t="n">
        <v>9</v>
      </c>
      <c r="D6448" s="4" t="n">
        <v>9</v>
      </c>
      <c r="E6448" s="4" t="s">
        <v>4846</v>
      </c>
      <c r="F6448" s="4" t="n">
        <v>3</v>
      </c>
      <c r="G6448" s="4" t="n">
        <v>9</v>
      </c>
      <c r="H6448" s="4" t="n">
        <v>4</v>
      </c>
      <c r="I6448" s="4" t="str">
        <v>×</v>
      </c>
      <c r="J6448" s="4"/>
      <c r="K6448" s="4"/>
      <c r="L6448" s="4"/>
      <c r="M6448" s="5" t="s">
        <v>4475</v>
      </c>
    </row>
    <row r="6449" customFormat="false" ht="15.75" hidden="false" customHeight="false" outlineLevel="0" collapsed="false">
      <c r="A6449" s="6" t="n">
        <v>46180</v>
      </c>
      <c r="B6449" s="4" t="s">
        <v>4172</v>
      </c>
      <c r="C6449" s="4" t="n">
        <v>9</v>
      </c>
      <c r="D6449" s="4" t="n">
        <v>10</v>
      </c>
      <c r="E6449" s="4" t="s">
        <v>4847</v>
      </c>
      <c r="F6449" s="4" t="n">
        <v>41</v>
      </c>
      <c r="G6449" s="4" t="n">
        <v>1</v>
      </c>
      <c r="H6449" s="4" t="n">
        <v>2</v>
      </c>
      <c r="I6449" s="4" t="str">
        <v>○</v>
      </c>
      <c r="J6449" s="4" t="n">
        <v>150</v>
      </c>
      <c r="K6449" s="4"/>
      <c r="L6449" s="4"/>
      <c r="M6449" s="5" t="s">
        <v>4475</v>
      </c>
    </row>
    <row r="6450" customFormat="false" ht="15.75" hidden="false" customHeight="false" outlineLevel="0" collapsed="false">
      <c r="A6450" s="6" t="n">
        <v>46180</v>
      </c>
      <c r="B6450" s="4" t="s">
        <v>4172</v>
      </c>
      <c r="C6450" s="4" t="n">
        <v>9</v>
      </c>
      <c r="D6450" s="4" t="n">
        <v>11</v>
      </c>
      <c r="E6450" s="4" t="s">
        <v>252</v>
      </c>
      <c r="F6450" s="4" t="n">
        <v>20</v>
      </c>
      <c r="G6450" s="4" t="n">
        <v>4</v>
      </c>
      <c r="H6450" s="4" t="n">
        <v>4</v>
      </c>
      <c r="I6450" s="4" t="str">
        <v>×</v>
      </c>
      <c r="J6450" s="4"/>
      <c r="K6450" s="4"/>
      <c r="L6450" s="4"/>
      <c r="M6450" s="5" t="s">
        <v>4475</v>
      </c>
    </row>
    <row r="6451" customFormat="false" ht="15.75" hidden="false" customHeight="false" outlineLevel="0" collapsed="false">
      <c r="A6451" s="6" t="n">
        <v>46180</v>
      </c>
      <c r="B6451" s="4" t="s">
        <v>4172</v>
      </c>
      <c r="C6451" s="4" t="n">
        <v>9</v>
      </c>
      <c r="D6451" s="4" t="n">
        <v>12</v>
      </c>
      <c r="E6451" s="4" t="s">
        <v>4848</v>
      </c>
      <c r="F6451" s="4" t="n">
        <v>2</v>
      </c>
      <c r="G6451" s="4" t="n">
        <v>10</v>
      </c>
      <c r="H6451" s="4" t="n">
        <v>4</v>
      </c>
      <c r="I6451" s="4" t="str">
        <v>×</v>
      </c>
      <c r="J6451" s="4"/>
      <c r="K6451" s="4"/>
      <c r="L6451" s="4"/>
      <c r="M6451" s="5" t="s">
        <v>4475</v>
      </c>
    </row>
    <row r="6452" customFormat="false" ht="15.75" hidden="false" customHeight="false" outlineLevel="0" collapsed="false">
      <c r="A6452" s="6" t="n">
        <v>46180</v>
      </c>
      <c r="B6452" s="4" t="s">
        <v>4172</v>
      </c>
      <c r="C6452" s="4" t="n">
        <v>9</v>
      </c>
      <c r="D6452" s="4" t="n">
        <v>13</v>
      </c>
      <c r="E6452" s="4" t="s">
        <v>4849</v>
      </c>
      <c r="F6452" s="4" t="n">
        <v>15</v>
      </c>
      <c r="G6452" s="4" t="n">
        <v>6</v>
      </c>
      <c r="H6452" s="4" t="n">
        <v>4</v>
      </c>
      <c r="I6452" s="4" t="str">
        <v>×</v>
      </c>
      <c r="J6452" s="4"/>
      <c r="K6452" s="4"/>
      <c r="L6452" s="4"/>
      <c r="M6452" s="5" t="s">
        <v>4475</v>
      </c>
    </row>
    <row r="6453" customFormat="false" ht="15.75" hidden="false" customHeight="false" outlineLevel="0" collapsed="false">
      <c r="A6453" s="6" t="n">
        <v>46180</v>
      </c>
      <c r="B6453" s="4" t="s">
        <v>4172</v>
      </c>
      <c r="C6453" s="4" t="n">
        <v>9</v>
      </c>
      <c r="D6453" s="4" t="n">
        <v>14</v>
      </c>
      <c r="E6453" s="4" t="s">
        <v>541</v>
      </c>
      <c r="F6453" s="4" t="n">
        <v>17</v>
      </c>
      <c r="G6453" s="4" t="n">
        <v>5</v>
      </c>
      <c r="H6453" s="4" t="n">
        <v>3</v>
      </c>
      <c r="I6453" s="4" t="str">
        <v>○</v>
      </c>
      <c r="J6453" s="4" t="n">
        <v>470</v>
      </c>
      <c r="K6453" s="4"/>
      <c r="L6453" s="4"/>
      <c r="M6453" s="5" t="s">
        <v>4475</v>
      </c>
    </row>
    <row r="6454" customFormat="false" ht="15.75" hidden="false" customHeight="false" outlineLevel="0" collapsed="false">
      <c r="A6454" s="6" t="n">
        <v>46180</v>
      </c>
      <c r="B6454" s="4" t="s">
        <v>4172</v>
      </c>
      <c r="C6454" s="4" t="n">
        <v>9</v>
      </c>
      <c r="D6454" s="4" t="n">
        <v>15</v>
      </c>
      <c r="E6454" s="4" t="s">
        <v>4850</v>
      </c>
      <c r="F6454" s="4" t="n">
        <v>4</v>
      </c>
      <c r="G6454" s="4" t="n">
        <v>8</v>
      </c>
      <c r="H6454" s="4" t="n">
        <v>4</v>
      </c>
      <c r="I6454" s="4" t="str">
        <v>×</v>
      </c>
      <c r="J6454" s="4"/>
      <c r="K6454" s="4"/>
      <c r="L6454" s="4"/>
      <c r="M6454" s="5" t="s">
        <v>4475</v>
      </c>
    </row>
    <row r="6455" customFormat="false" ht="15.75" hidden="false" customHeight="false" outlineLevel="0" collapsed="false">
      <c r="A6455" s="6" t="n">
        <v>46180</v>
      </c>
      <c r="B6455" s="4" t="s">
        <v>4172</v>
      </c>
      <c r="C6455" s="4" t="n">
        <v>9</v>
      </c>
      <c r="D6455" s="4" t="n">
        <v>16</v>
      </c>
      <c r="E6455" s="4" t="s">
        <v>4851</v>
      </c>
      <c r="F6455" s="4" t="n">
        <v>37</v>
      </c>
      <c r="G6455" s="4" t="n">
        <v>2</v>
      </c>
      <c r="H6455" s="4" t="n">
        <v>4</v>
      </c>
      <c r="I6455" s="4" t="str">
        <v>×</v>
      </c>
      <c r="J6455" s="4"/>
      <c r="K6455" s="4"/>
      <c r="L6455" s="4"/>
      <c r="M6455" s="5" t="s">
        <v>4475</v>
      </c>
    </row>
    <row r="6456" customFormat="false" ht="15.75" hidden="false" customHeight="false" outlineLevel="0" collapsed="false">
      <c r="A6456" s="6" t="n">
        <v>46180</v>
      </c>
      <c r="B6456" s="4" t="s">
        <v>4172</v>
      </c>
      <c r="C6456" s="4" t="n">
        <v>10</v>
      </c>
      <c r="D6456" s="4" t="n">
        <v>1</v>
      </c>
      <c r="E6456" s="4" t="s">
        <v>4852</v>
      </c>
      <c r="F6456" s="4" t="n">
        <v>13</v>
      </c>
      <c r="G6456" s="4" t="n">
        <v>3</v>
      </c>
      <c r="H6456" s="4" t="n">
        <v>1</v>
      </c>
      <c r="I6456" s="4" t="str">
        <v>○</v>
      </c>
      <c r="J6456" s="4" t="n">
        <v>190</v>
      </c>
      <c r="K6456" s="4"/>
      <c r="L6456" s="4"/>
      <c r="M6456" s="5" t="s">
        <v>4475</v>
      </c>
    </row>
    <row r="6457" customFormat="false" ht="15.75" hidden="false" customHeight="false" outlineLevel="0" collapsed="false">
      <c r="A6457" s="6" t="n">
        <v>46180</v>
      </c>
      <c r="B6457" s="4" t="s">
        <v>4172</v>
      </c>
      <c r="C6457" s="4" t="n">
        <v>10</v>
      </c>
      <c r="D6457" s="4" t="n">
        <v>2</v>
      </c>
      <c r="E6457" s="4" t="s">
        <v>4853</v>
      </c>
      <c r="F6457" s="4" t="n">
        <v>8</v>
      </c>
      <c r="G6457" s="4" t="n">
        <v>4</v>
      </c>
      <c r="H6457" s="4" t="n">
        <v>4</v>
      </c>
      <c r="I6457" s="4" t="str">
        <v>×</v>
      </c>
      <c r="J6457" s="4"/>
      <c r="K6457" s="4"/>
      <c r="L6457" s="4"/>
      <c r="M6457" s="5" t="s">
        <v>4475</v>
      </c>
    </row>
    <row r="6458" customFormat="false" ht="15.75" hidden="false" customHeight="false" outlineLevel="0" collapsed="false">
      <c r="A6458" s="6" t="n">
        <v>46180</v>
      </c>
      <c r="B6458" s="4" t="s">
        <v>4172</v>
      </c>
      <c r="C6458" s="4" t="n">
        <v>10</v>
      </c>
      <c r="D6458" s="4" t="n">
        <v>3</v>
      </c>
      <c r="E6458" s="4" t="s">
        <v>1674</v>
      </c>
      <c r="F6458" s="4" t="n">
        <v>15</v>
      </c>
      <c r="G6458" s="4" t="n">
        <v>2</v>
      </c>
      <c r="H6458" s="4" t="n">
        <v>3</v>
      </c>
      <c r="I6458" s="4" t="str">
        <v>○</v>
      </c>
      <c r="J6458" s="4" t="n">
        <v>210</v>
      </c>
      <c r="K6458" s="4"/>
      <c r="L6458" s="4"/>
      <c r="M6458" s="5" t="s">
        <v>4475</v>
      </c>
    </row>
    <row r="6459" customFormat="false" ht="15.75" hidden="false" customHeight="false" outlineLevel="0" collapsed="false">
      <c r="A6459" s="6" t="n">
        <v>46180</v>
      </c>
      <c r="B6459" s="4" t="s">
        <v>4172</v>
      </c>
      <c r="C6459" s="4" t="n">
        <v>10</v>
      </c>
      <c r="D6459" s="4" t="n">
        <v>4</v>
      </c>
      <c r="E6459" s="4" t="s">
        <v>1671</v>
      </c>
      <c r="F6459" s="4" t="n">
        <v>15</v>
      </c>
      <c r="G6459" s="4" t="n">
        <v>2</v>
      </c>
      <c r="H6459" s="4" t="n">
        <v>4</v>
      </c>
      <c r="I6459" s="4" t="str">
        <v>×</v>
      </c>
      <c r="J6459" s="4"/>
      <c r="K6459" s="4"/>
      <c r="L6459" s="4"/>
      <c r="M6459" s="5" t="s">
        <v>4475</v>
      </c>
    </row>
    <row r="6460" customFormat="false" ht="15.75" hidden="false" customHeight="false" outlineLevel="0" collapsed="false">
      <c r="A6460" s="6" t="n">
        <v>46180</v>
      </c>
      <c r="B6460" s="4" t="s">
        <v>4172</v>
      </c>
      <c r="C6460" s="4" t="n">
        <v>10</v>
      </c>
      <c r="D6460" s="4" t="n">
        <v>5</v>
      </c>
      <c r="E6460" s="4" t="s">
        <v>3856</v>
      </c>
      <c r="F6460" s="4" t="n">
        <v>15</v>
      </c>
      <c r="G6460" s="4" t="n">
        <v>2</v>
      </c>
      <c r="H6460" s="4" t="n">
        <v>2</v>
      </c>
      <c r="I6460" s="4" t="str">
        <v>○</v>
      </c>
      <c r="J6460" s="4" t="n">
        <v>110</v>
      </c>
      <c r="K6460" s="4"/>
      <c r="L6460" s="4"/>
      <c r="M6460" s="5" t="s">
        <v>4475</v>
      </c>
    </row>
    <row r="6461" customFormat="false" ht="15.75" hidden="false" customHeight="false" outlineLevel="0" collapsed="false">
      <c r="A6461" s="6" t="n">
        <v>46180</v>
      </c>
      <c r="B6461" s="4" t="s">
        <v>4172</v>
      </c>
      <c r="C6461" s="4" t="n">
        <v>10</v>
      </c>
      <c r="D6461" s="4" t="n">
        <v>6</v>
      </c>
      <c r="E6461" s="4" t="s">
        <v>3385</v>
      </c>
      <c r="F6461" s="4" t="n">
        <v>6</v>
      </c>
      <c r="G6461" s="4" t="n">
        <v>5</v>
      </c>
      <c r="H6461" s="4" t="n">
        <v>4</v>
      </c>
      <c r="I6461" s="4" t="str">
        <v>×</v>
      </c>
      <c r="J6461" s="4"/>
      <c r="K6461" s="4"/>
      <c r="L6461" s="4"/>
      <c r="M6461" s="5" t="s">
        <v>4475</v>
      </c>
    </row>
    <row r="6462" customFormat="false" ht="15.75" hidden="false" customHeight="false" outlineLevel="0" collapsed="false">
      <c r="A6462" s="6" t="n">
        <v>46180</v>
      </c>
      <c r="B6462" s="4" t="s">
        <v>4172</v>
      </c>
      <c r="C6462" s="4" t="n">
        <v>10</v>
      </c>
      <c r="D6462" s="4" t="n">
        <v>7</v>
      </c>
      <c r="E6462" s="4" t="s">
        <v>4192</v>
      </c>
      <c r="F6462" s="4" t="n">
        <v>2</v>
      </c>
      <c r="G6462" s="4" t="n">
        <v>6</v>
      </c>
      <c r="H6462" s="4" t="n">
        <v>4</v>
      </c>
      <c r="I6462" s="4" t="str">
        <v>×</v>
      </c>
      <c r="J6462" s="4"/>
      <c r="K6462" s="4"/>
      <c r="L6462" s="4"/>
      <c r="M6462" s="5" t="s">
        <v>4475</v>
      </c>
    </row>
    <row r="6463" customFormat="false" ht="15.75" hidden="false" customHeight="false" outlineLevel="0" collapsed="false">
      <c r="A6463" s="6" t="n">
        <v>46180</v>
      </c>
      <c r="B6463" s="4" t="s">
        <v>4172</v>
      </c>
      <c r="C6463" s="4" t="n">
        <v>10</v>
      </c>
      <c r="D6463" s="4" t="n">
        <v>8</v>
      </c>
      <c r="E6463" s="4" t="s">
        <v>1520</v>
      </c>
      <c r="F6463" s="4" t="n">
        <v>44</v>
      </c>
      <c r="G6463" s="4" t="n">
        <v>1</v>
      </c>
      <c r="H6463" s="4" t="n">
        <v>4</v>
      </c>
      <c r="I6463" s="4" t="str">
        <v>×</v>
      </c>
      <c r="J6463" s="4"/>
      <c r="K6463" s="4"/>
      <c r="L6463" s="4"/>
      <c r="M6463" s="5" t="s">
        <v>4475</v>
      </c>
    </row>
    <row r="6464" customFormat="false" ht="15.75" hidden="false" customHeight="false" outlineLevel="0" collapsed="false">
      <c r="A6464" s="6" t="n">
        <v>46180</v>
      </c>
      <c r="B6464" s="4" t="s">
        <v>4172</v>
      </c>
      <c r="C6464" s="4" t="n">
        <v>10</v>
      </c>
      <c r="D6464" s="4" t="n">
        <v>9</v>
      </c>
      <c r="E6464" s="4" t="s">
        <v>690</v>
      </c>
      <c r="F6464" s="4" t="n">
        <v>13</v>
      </c>
      <c r="G6464" s="4" t="n">
        <v>3</v>
      </c>
      <c r="H6464" s="4" t="n">
        <v>4</v>
      </c>
      <c r="I6464" s="4" t="str">
        <v>×</v>
      </c>
      <c r="J6464" s="4"/>
      <c r="K6464" s="4"/>
      <c r="L6464" s="4"/>
      <c r="M6464" s="5" t="s">
        <v>4475</v>
      </c>
    </row>
    <row r="6465" customFormat="false" ht="15.75" hidden="false" customHeight="false" outlineLevel="0" collapsed="false">
      <c r="A6465" s="6" t="n">
        <v>46180</v>
      </c>
      <c r="B6465" s="4" t="s">
        <v>4172</v>
      </c>
      <c r="C6465" s="4" t="n">
        <v>11</v>
      </c>
      <c r="D6465" s="4" t="n">
        <v>1</v>
      </c>
      <c r="E6465" s="4" t="s">
        <v>4854</v>
      </c>
      <c r="F6465" s="4" t="n">
        <v>20</v>
      </c>
      <c r="G6465" s="4" t="n">
        <v>4</v>
      </c>
      <c r="H6465" s="4" t="n">
        <v>4</v>
      </c>
      <c r="I6465" s="4" t="str">
        <v>×</v>
      </c>
      <c r="J6465" s="4"/>
      <c r="K6465" s="4"/>
      <c r="L6465" s="4"/>
      <c r="M6465" s="5" t="s">
        <v>4475</v>
      </c>
    </row>
    <row r="6466" customFormat="false" ht="15.75" hidden="false" customHeight="false" outlineLevel="0" collapsed="false">
      <c r="A6466" s="6" t="n">
        <v>46180</v>
      </c>
      <c r="B6466" s="4" t="s">
        <v>4172</v>
      </c>
      <c r="C6466" s="4" t="n">
        <v>11</v>
      </c>
      <c r="D6466" s="4" t="n">
        <v>2</v>
      </c>
      <c r="E6466" s="4" t="s">
        <v>4855</v>
      </c>
      <c r="F6466" s="4" t="n">
        <v>13</v>
      </c>
      <c r="G6466" s="4" t="n">
        <v>6</v>
      </c>
      <c r="H6466" s="4" t="n">
        <v>4</v>
      </c>
      <c r="I6466" s="4" t="str">
        <v>×</v>
      </c>
      <c r="J6466" s="4"/>
      <c r="K6466" s="4"/>
      <c r="L6466" s="4"/>
      <c r="M6466" s="5" t="s">
        <v>4475</v>
      </c>
    </row>
    <row r="6467" customFormat="false" ht="15.75" hidden="false" customHeight="false" outlineLevel="0" collapsed="false">
      <c r="A6467" s="6" t="n">
        <v>46180</v>
      </c>
      <c r="B6467" s="4" t="s">
        <v>4172</v>
      </c>
      <c r="C6467" s="4" t="n">
        <v>11</v>
      </c>
      <c r="D6467" s="4" t="n">
        <v>3</v>
      </c>
      <c r="E6467" s="4" t="s">
        <v>1534</v>
      </c>
      <c r="F6467" s="4" t="n">
        <v>8</v>
      </c>
      <c r="G6467" s="4" t="n">
        <v>8</v>
      </c>
      <c r="H6467" s="4" t="n">
        <v>4</v>
      </c>
      <c r="I6467" s="4" t="str">
        <v>×</v>
      </c>
      <c r="J6467" s="4"/>
      <c r="K6467" s="4"/>
      <c r="L6467" s="4"/>
      <c r="M6467" s="5" t="s">
        <v>4475</v>
      </c>
    </row>
    <row r="6468" customFormat="false" ht="15.75" hidden="false" customHeight="false" outlineLevel="0" collapsed="false">
      <c r="A6468" s="6" t="n">
        <v>46180</v>
      </c>
      <c r="B6468" s="4" t="s">
        <v>4172</v>
      </c>
      <c r="C6468" s="4" t="n">
        <v>11</v>
      </c>
      <c r="D6468" s="4" t="n">
        <v>4</v>
      </c>
      <c r="E6468" s="4" t="s">
        <v>4856</v>
      </c>
      <c r="F6468" s="4" t="n">
        <v>8</v>
      </c>
      <c r="G6468" s="4" t="n">
        <v>8</v>
      </c>
      <c r="H6468" s="4" t="n">
        <v>4</v>
      </c>
      <c r="I6468" s="4" t="str">
        <v>×</v>
      </c>
      <c r="J6468" s="4"/>
      <c r="K6468" s="4"/>
      <c r="L6468" s="4"/>
      <c r="M6468" s="5" t="s">
        <v>4475</v>
      </c>
    </row>
    <row r="6469" customFormat="false" ht="15.75" hidden="false" customHeight="false" outlineLevel="0" collapsed="false">
      <c r="A6469" s="6" t="n">
        <v>46180</v>
      </c>
      <c r="B6469" s="4" t="s">
        <v>4172</v>
      </c>
      <c r="C6469" s="4" t="n">
        <v>11</v>
      </c>
      <c r="D6469" s="4" t="n">
        <v>5</v>
      </c>
      <c r="E6469" s="4" t="s">
        <v>1538</v>
      </c>
      <c r="F6469" s="4" t="n">
        <v>23</v>
      </c>
      <c r="G6469" s="4" t="n">
        <v>3</v>
      </c>
      <c r="H6469" s="4" t="n">
        <v>2</v>
      </c>
      <c r="I6469" s="4" t="str">
        <v>○</v>
      </c>
      <c r="J6469" s="4" t="n">
        <v>330</v>
      </c>
      <c r="K6469" s="4"/>
      <c r="L6469" s="4"/>
      <c r="M6469" s="5" t="s">
        <v>4475</v>
      </c>
    </row>
    <row r="6470" customFormat="false" ht="15.75" hidden="false" customHeight="false" outlineLevel="0" collapsed="false">
      <c r="A6470" s="6" t="n">
        <v>46180</v>
      </c>
      <c r="B6470" s="4" t="s">
        <v>4172</v>
      </c>
      <c r="C6470" s="4" t="n">
        <v>11</v>
      </c>
      <c r="D6470" s="4" t="n">
        <v>6</v>
      </c>
      <c r="E6470" s="4" t="s">
        <v>4857</v>
      </c>
      <c r="F6470" s="4" t="n">
        <v>56</v>
      </c>
      <c r="G6470" s="4" t="n">
        <v>1</v>
      </c>
      <c r="H6470" s="4" t="n">
        <v>1</v>
      </c>
      <c r="I6470" s="4" t="str">
        <v>○</v>
      </c>
      <c r="J6470" s="4" t="n">
        <v>160</v>
      </c>
      <c r="K6470" s="4"/>
      <c r="L6470" s="4"/>
      <c r="M6470" s="5" t="s">
        <v>4475</v>
      </c>
    </row>
    <row r="6471" customFormat="false" ht="15.75" hidden="false" customHeight="false" outlineLevel="0" collapsed="false">
      <c r="A6471" s="6" t="n">
        <v>46180</v>
      </c>
      <c r="B6471" s="4" t="s">
        <v>4172</v>
      </c>
      <c r="C6471" s="4" t="n">
        <v>11</v>
      </c>
      <c r="D6471" s="4" t="n">
        <v>7</v>
      </c>
      <c r="E6471" s="4" t="s">
        <v>4858</v>
      </c>
      <c r="F6471" s="4" t="n">
        <v>15</v>
      </c>
      <c r="G6471" s="4" t="n">
        <v>5</v>
      </c>
      <c r="H6471" s="4" t="n">
        <v>3</v>
      </c>
      <c r="I6471" s="4" t="str">
        <v>○</v>
      </c>
      <c r="J6471" s="4" t="n">
        <v>850</v>
      </c>
      <c r="K6471" s="4"/>
      <c r="L6471" s="4"/>
      <c r="M6471" s="5" t="s">
        <v>4475</v>
      </c>
    </row>
    <row r="6472" customFormat="false" ht="15.75" hidden="false" customHeight="false" outlineLevel="0" collapsed="false">
      <c r="A6472" s="6" t="n">
        <v>46180</v>
      </c>
      <c r="B6472" s="4" t="s">
        <v>4172</v>
      </c>
      <c r="C6472" s="4" t="n">
        <v>11</v>
      </c>
      <c r="D6472" s="4" t="n">
        <v>8</v>
      </c>
      <c r="E6472" s="4" t="s">
        <v>4859</v>
      </c>
      <c r="F6472" s="4" t="n">
        <v>23</v>
      </c>
      <c r="G6472" s="4" t="n">
        <v>3</v>
      </c>
      <c r="H6472" s="4" t="n">
        <v>4</v>
      </c>
      <c r="I6472" s="4" t="str">
        <v>×</v>
      </c>
      <c r="J6472" s="4"/>
      <c r="K6472" s="4"/>
      <c r="L6472" s="4"/>
      <c r="M6472" s="5" t="s">
        <v>4475</v>
      </c>
    </row>
    <row r="6473" customFormat="false" ht="15.75" hidden="false" customHeight="false" outlineLevel="0" collapsed="false">
      <c r="A6473" s="6" t="n">
        <v>46180</v>
      </c>
      <c r="B6473" s="4" t="s">
        <v>4172</v>
      </c>
      <c r="C6473" s="4" t="n">
        <v>11</v>
      </c>
      <c r="D6473" s="4" t="n">
        <v>9</v>
      </c>
      <c r="E6473" s="4" t="s">
        <v>4860</v>
      </c>
      <c r="F6473" s="4" t="n">
        <v>4</v>
      </c>
      <c r="G6473" s="4" t="n">
        <v>9</v>
      </c>
      <c r="H6473" s="4" t="n">
        <v>4</v>
      </c>
      <c r="I6473" s="4" t="str">
        <v>×</v>
      </c>
      <c r="J6473" s="4"/>
      <c r="K6473" s="4"/>
      <c r="L6473" s="4"/>
      <c r="M6473" s="5" t="s">
        <v>4475</v>
      </c>
    </row>
    <row r="6474" customFormat="false" ht="15.75" hidden="false" customHeight="false" outlineLevel="0" collapsed="false">
      <c r="A6474" s="6" t="n">
        <v>46180</v>
      </c>
      <c r="B6474" s="4" t="s">
        <v>4172</v>
      </c>
      <c r="C6474" s="4" t="n">
        <v>11</v>
      </c>
      <c r="D6474" s="4" t="n">
        <v>10</v>
      </c>
      <c r="E6474" s="4" t="s">
        <v>4861</v>
      </c>
      <c r="F6474" s="4" t="n">
        <v>10</v>
      </c>
      <c r="G6474" s="4" t="n">
        <v>7</v>
      </c>
      <c r="H6474" s="4" t="n">
        <v>4</v>
      </c>
      <c r="I6474" s="4" t="str">
        <v>×</v>
      </c>
      <c r="J6474" s="4"/>
      <c r="K6474" s="4"/>
      <c r="L6474" s="4"/>
      <c r="M6474" s="5" t="s">
        <v>4475</v>
      </c>
    </row>
    <row r="6475" customFormat="false" ht="15.75" hidden="false" customHeight="false" outlineLevel="0" collapsed="false">
      <c r="A6475" s="6" t="n">
        <v>46180</v>
      </c>
      <c r="B6475" s="4" t="s">
        <v>4172</v>
      </c>
      <c r="C6475" s="4" t="n">
        <v>11</v>
      </c>
      <c r="D6475" s="4" t="n">
        <v>11</v>
      </c>
      <c r="E6475" s="4" t="s">
        <v>4862</v>
      </c>
      <c r="F6475" s="4" t="n">
        <v>8</v>
      </c>
      <c r="G6475" s="4" t="n">
        <v>8</v>
      </c>
      <c r="H6475" s="4" t="n">
        <v>4</v>
      </c>
      <c r="I6475" s="4" t="str">
        <v>×</v>
      </c>
      <c r="J6475" s="4"/>
      <c r="K6475" s="4"/>
      <c r="L6475" s="4"/>
      <c r="M6475" s="5" t="s">
        <v>4475</v>
      </c>
    </row>
    <row r="6476" customFormat="false" ht="15.75" hidden="false" customHeight="false" outlineLevel="0" collapsed="false">
      <c r="A6476" s="6" t="n">
        <v>46180</v>
      </c>
      <c r="B6476" s="4" t="s">
        <v>4172</v>
      </c>
      <c r="C6476" s="4" t="n">
        <v>11</v>
      </c>
      <c r="D6476" s="4" t="n">
        <v>12</v>
      </c>
      <c r="E6476" s="4" t="s">
        <v>4863</v>
      </c>
      <c r="F6476" s="4" t="n">
        <v>8</v>
      </c>
      <c r="G6476" s="4" t="n">
        <v>8</v>
      </c>
      <c r="H6476" s="4" t="n">
        <v>4</v>
      </c>
      <c r="I6476" s="4" t="str">
        <v>×</v>
      </c>
      <c r="J6476" s="4"/>
      <c r="K6476" s="4"/>
      <c r="L6476" s="4"/>
      <c r="M6476" s="5" t="s">
        <v>4475</v>
      </c>
    </row>
    <row r="6477" customFormat="false" ht="15.75" hidden="false" customHeight="false" outlineLevel="0" collapsed="false">
      <c r="A6477" s="6" t="n">
        <v>46180</v>
      </c>
      <c r="B6477" s="4" t="s">
        <v>4172</v>
      </c>
      <c r="C6477" s="4" t="n">
        <v>11</v>
      </c>
      <c r="D6477" s="4" t="n">
        <v>13</v>
      </c>
      <c r="E6477" s="4" t="s">
        <v>4864</v>
      </c>
      <c r="F6477" s="4" t="n">
        <v>23</v>
      </c>
      <c r="G6477" s="4" t="n">
        <v>3</v>
      </c>
      <c r="H6477" s="4" t="n">
        <v>4</v>
      </c>
      <c r="I6477" s="4" t="str">
        <v>×</v>
      </c>
      <c r="J6477" s="4"/>
      <c r="K6477" s="4"/>
      <c r="L6477" s="4"/>
      <c r="M6477" s="5" t="s">
        <v>4475</v>
      </c>
    </row>
    <row r="6478" customFormat="false" ht="15.75" hidden="false" customHeight="false" outlineLevel="0" collapsed="false">
      <c r="A6478" s="6" t="n">
        <v>46180</v>
      </c>
      <c r="B6478" s="4" t="s">
        <v>4172</v>
      </c>
      <c r="C6478" s="4" t="n">
        <v>11</v>
      </c>
      <c r="D6478" s="4" t="n">
        <v>14</v>
      </c>
      <c r="E6478" s="4" t="s">
        <v>4865</v>
      </c>
      <c r="F6478" s="4" t="n">
        <v>15</v>
      </c>
      <c r="G6478" s="4" t="n">
        <v>5</v>
      </c>
      <c r="H6478" s="4" t="n">
        <v>4</v>
      </c>
      <c r="I6478" s="4" t="str">
        <v>×</v>
      </c>
      <c r="J6478" s="4"/>
      <c r="K6478" s="4"/>
      <c r="L6478" s="4"/>
      <c r="M6478" s="5" t="s">
        <v>4475</v>
      </c>
    </row>
    <row r="6479" customFormat="false" ht="15.75" hidden="false" customHeight="false" outlineLevel="0" collapsed="false">
      <c r="A6479" s="6" t="n">
        <v>46180</v>
      </c>
      <c r="B6479" s="4" t="s">
        <v>4172</v>
      </c>
      <c r="C6479" s="4" t="n">
        <v>11</v>
      </c>
      <c r="D6479" s="4" t="n">
        <v>15</v>
      </c>
      <c r="E6479" s="4" t="s">
        <v>4866</v>
      </c>
      <c r="F6479" s="4" t="n">
        <v>50</v>
      </c>
      <c r="G6479" s="4" t="n">
        <v>2</v>
      </c>
      <c r="H6479" s="4" t="n">
        <v>4</v>
      </c>
      <c r="I6479" s="4" t="str">
        <v>×</v>
      </c>
      <c r="J6479" s="4"/>
      <c r="K6479" s="4"/>
      <c r="L6479" s="4"/>
      <c r="M6479" s="5" t="s">
        <v>4475</v>
      </c>
    </row>
    <row r="6480" customFormat="false" ht="15.75" hidden="false" customHeight="false" outlineLevel="0" collapsed="false">
      <c r="A6480" s="6" t="n">
        <v>46180</v>
      </c>
      <c r="B6480" s="4" t="s">
        <v>4172</v>
      </c>
      <c r="C6480" s="4" t="n">
        <v>11</v>
      </c>
      <c r="D6480" s="4" t="n">
        <v>16</v>
      </c>
      <c r="E6480" s="4" t="s">
        <v>699</v>
      </c>
      <c r="F6480" s="4" t="n">
        <v>10</v>
      </c>
      <c r="G6480" s="4" t="n">
        <v>7</v>
      </c>
      <c r="H6480" s="4" t="n">
        <v>4</v>
      </c>
      <c r="I6480" s="4" t="str">
        <v>×</v>
      </c>
      <c r="J6480" s="4"/>
      <c r="K6480" s="4"/>
      <c r="L6480" s="4"/>
      <c r="M6480" s="5" t="s">
        <v>4475</v>
      </c>
    </row>
    <row r="6481" customFormat="false" ht="15.75" hidden="false" customHeight="false" outlineLevel="0" collapsed="false">
      <c r="A6481" s="6" t="n">
        <v>46180</v>
      </c>
      <c r="B6481" s="4" t="s">
        <v>4172</v>
      </c>
      <c r="C6481" s="4" t="n">
        <v>12</v>
      </c>
      <c r="D6481" s="4" t="n">
        <v>1</v>
      </c>
      <c r="E6481" s="4" t="s">
        <v>4867</v>
      </c>
      <c r="F6481" s="4" t="n">
        <v>13</v>
      </c>
      <c r="G6481" s="4" t="n">
        <v>8</v>
      </c>
      <c r="H6481" s="4" t="n">
        <v>4</v>
      </c>
      <c r="I6481" s="4" t="str">
        <v>×</v>
      </c>
      <c r="J6481" s="4"/>
      <c r="K6481" s="4"/>
      <c r="L6481" s="4"/>
      <c r="M6481" s="5" t="s">
        <v>4475</v>
      </c>
    </row>
    <row r="6482" customFormat="false" ht="15.75" hidden="false" customHeight="false" outlineLevel="0" collapsed="false">
      <c r="A6482" s="6" t="n">
        <v>46180</v>
      </c>
      <c r="B6482" s="4" t="s">
        <v>4172</v>
      </c>
      <c r="C6482" s="4" t="n">
        <v>12</v>
      </c>
      <c r="D6482" s="4" t="n">
        <v>2</v>
      </c>
      <c r="E6482" s="4" t="s">
        <v>4868</v>
      </c>
      <c r="F6482" s="4" t="n">
        <v>15</v>
      </c>
      <c r="G6482" s="4" t="n">
        <v>7</v>
      </c>
      <c r="H6482" s="4" t="n">
        <v>3</v>
      </c>
      <c r="I6482" s="4" t="str">
        <v>○</v>
      </c>
      <c r="J6482" s="4" t="n">
        <v>230</v>
      </c>
      <c r="K6482" s="4"/>
      <c r="L6482" s="4"/>
      <c r="M6482" s="5" t="s">
        <v>4475</v>
      </c>
    </row>
    <row r="6483" customFormat="false" ht="15.75" hidden="false" customHeight="false" outlineLevel="0" collapsed="false">
      <c r="A6483" s="6" t="n">
        <v>46180</v>
      </c>
      <c r="B6483" s="4" t="s">
        <v>4172</v>
      </c>
      <c r="C6483" s="4" t="n">
        <v>12</v>
      </c>
      <c r="D6483" s="4" t="n">
        <v>3</v>
      </c>
      <c r="E6483" s="4" t="s">
        <v>4869</v>
      </c>
      <c r="F6483" s="4" t="n">
        <v>67</v>
      </c>
      <c r="G6483" s="4" t="n">
        <v>1</v>
      </c>
      <c r="H6483" s="4" t="n">
        <v>1</v>
      </c>
      <c r="I6483" s="4" t="str">
        <v>○</v>
      </c>
      <c r="J6483" s="4" t="n">
        <v>120</v>
      </c>
      <c r="K6483" s="4"/>
      <c r="L6483" s="4"/>
      <c r="M6483" s="5" t="s">
        <v>4475</v>
      </c>
    </row>
    <row r="6484" customFormat="false" ht="15.75" hidden="false" customHeight="false" outlineLevel="0" collapsed="false">
      <c r="A6484" s="6" t="n">
        <v>46180</v>
      </c>
      <c r="B6484" s="4" t="s">
        <v>4172</v>
      </c>
      <c r="C6484" s="4" t="n">
        <v>12</v>
      </c>
      <c r="D6484" s="4" t="n">
        <v>4</v>
      </c>
      <c r="E6484" s="4" t="s">
        <v>4870</v>
      </c>
      <c r="F6484" s="4" t="n">
        <v>10</v>
      </c>
      <c r="G6484" s="4" t="n">
        <v>9</v>
      </c>
      <c r="H6484" s="4" t="n">
        <v>4</v>
      </c>
      <c r="I6484" s="4" t="str">
        <v>×</v>
      </c>
      <c r="J6484" s="4"/>
      <c r="K6484" s="4"/>
      <c r="L6484" s="4"/>
      <c r="M6484" s="5" t="s">
        <v>4475</v>
      </c>
    </row>
    <row r="6485" customFormat="false" ht="15.75" hidden="false" customHeight="false" outlineLevel="0" collapsed="false">
      <c r="A6485" s="6" t="n">
        <v>46180</v>
      </c>
      <c r="B6485" s="4" t="s">
        <v>4172</v>
      </c>
      <c r="C6485" s="4" t="n">
        <v>12</v>
      </c>
      <c r="D6485" s="4" t="n">
        <v>5</v>
      </c>
      <c r="E6485" s="4" t="s">
        <v>4871</v>
      </c>
      <c r="F6485" s="4" t="n">
        <v>4</v>
      </c>
      <c r="G6485" s="4" t="n">
        <v>10</v>
      </c>
      <c r="H6485" s="4" t="n">
        <v>4</v>
      </c>
      <c r="I6485" s="4" t="str">
        <v>×</v>
      </c>
      <c r="J6485" s="4"/>
      <c r="K6485" s="4"/>
      <c r="L6485" s="4"/>
      <c r="M6485" s="5" t="s">
        <v>4475</v>
      </c>
    </row>
    <row r="6486" customFormat="false" ht="15.75" hidden="false" customHeight="false" outlineLevel="0" collapsed="false">
      <c r="A6486" s="6" t="n">
        <v>46180</v>
      </c>
      <c r="B6486" s="4" t="s">
        <v>4172</v>
      </c>
      <c r="C6486" s="4" t="n">
        <v>12</v>
      </c>
      <c r="D6486" s="4" t="n">
        <v>6</v>
      </c>
      <c r="E6486" s="4" t="s">
        <v>4872</v>
      </c>
      <c r="F6486" s="4" t="n">
        <v>3</v>
      </c>
      <c r="G6486" s="4" t="n">
        <v>11</v>
      </c>
      <c r="H6486" s="4" t="n">
        <v>4</v>
      </c>
      <c r="I6486" s="4" t="str">
        <v>×</v>
      </c>
      <c r="J6486" s="4"/>
      <c r="K6486" s="4"/>
      <c r="L6486" s="4"/>
      <c r="M6486" s="5" t="s">
        <v>4475</v>
      </c>
    </row>
    <row r="6487" customFormat="false" ht="15.75" hidden="false" customHeight="false" outlineLevel="0" collapsed="false">
      <c r="A6487" s="6" t="n">
        <v>46180</v>
      </c>
      <c r="B6487" s="4" t="s">
        <v>4172</v>
      </c>
      <c r="C6487" s="4" t="n">
        <v>12</v>
      </c>
      <c r="D6487" s="4" t="n">
        <v>7</v>
      </c>
      <c r="E6487" s="4" t="s">
        <v>3959</v>
      </c>
      <c r="F6487" s="4" t="n">
        <v>20</v>
      </c>
      <c r="G6487" s="4" t="n">
        <v>6</v>
      </c>
      <c r="H6487" s="4" t="n">
        <v>4</v>
      </c>
      <c r="I6487" s="4" t="str">
        <v>×</v>
      </c>
      <c r="J6487" s="4"/>
      <c r="K6487" s="4"/>
      <c r="L6487" s="4"/>
      <c r="M6487" s="5" t="s">
        <v>4475</v>
      </c>
    </row>
    <row r="6488" customFormat="false" ht="15.75" hidden="false" customHeight="false" outlineLevel="0" collapsed="false">
      <c r="A6488" s="6" t="n">
        <v>46180</v>
      </c>
      <c r="B6488" s="4" t="s">
        <v>4172</v>
      </c>
      <c r="C6488" s="4" t="n">
        <v>12</v>
      </c>
      <c r="D6488" s="4" t="n">
        <v>8</v>
      </c>
      <c r="E6488" s="4" t="s">
        <v>1227</v>
      </c>
      <c r="F6488" s="4" t="n">
        <v>41</v>
      </c>
      <c r="G6488" s="4" t="n">
        <v>4</v>
      </c>
      <c r="H6488" s="4" t="n">
        <v>2</v>
      </c>
      <c r="I6488" s="4" t="str">
        <v>○</v>
      </c>
      <c r="J6488" s="4" t="n">
        <v>140</v>
      </c>
      <c r="K6488" s="4"/>
      <c r="L6488" s="4"/>
      <c r="M6488" s="5" t="s">
        <v>4475</v>
      </c>
    </row>
    <row r="6489" customFormat="false" ht="15.75" hidden="false" customHeight="false" outlineLevel="0" collapsed="false">
      <c r="A6489" s="6" t="n">
        <v>46180</v>
      </c>
      <c r="B6489" s="4" t="s">
        <v>4172</v>
      </c>
      <c r="C6489" s="4" t="n">
        <v>12</v>
      </c>
      <c r="D6489" s="4" t="n">
        <v>9</v>
      </c>
      <c r="E6489" s="4" t="s">
        <v>4873</v>
      </c>
      <c r="F6489" s="4" t="n">
        <v>15</v>
      </c>
      <c r="G6489" s="4" t="n">
        <v>7</v>
      </c>
      <c r="H6489" s="4" t="n">
        <v>4</v>
      </c>
      <c r="I6489" s="4" t="str">
        <v>×</v>
      </c>
      <c r="J6489" s="4"/>
      <c r="K6489" s="4"/>
      <c r="L6489" s="4"/>
      <c r="M6489" s="5" t="s">
        <v>4475</v>
      </c>
    </row>
    <row r="6490" customFormat="false" ht="15.75" hidden="false" customHeight="false" outlineLevel="0" collapsed="false">
      <c r="A6490" s="6" t="n">
        <v>46180</v>
      </c>
      <c r="B6490" s="4" t="s">
        <v>4172</v>
      </c>
      <c r="C6490" s="4" t="n">
        <v>12</v>
      </c>
      <c r="D6490" s="4" t="n">
        <v>10</v>
      </c>
      <c r="E6490" s="4" t="s">
        <v>298</v>
      </c>
      <c r="F6490" s="4" t="n">
        <v>31</v>
      </c>
      <c r="G6490" s="4" t="n">
        <v>5</v>
      </c>
      <c r="H6490" s="4" t="n">
        <v>4</v>
      </c>
      <c r="I6490" s="4" t="str">
        <v>×</v>
      </c>
      <c r="J6490" s="4"/>
      <c r="K6490" s="4"/>
      <c r="L6490" s="4"/>
      <c r="M6490" s="5" t="s">
        <v>4475</v>
      </c>
    </row>
    <row r="6491" customFormat="false" ht="15.75" hidden="false" customHeight="false" outlineLevel="0" collapsed="false">
      <c r="A6491" s="6" t="n">
        <v>46180</v>
      </c>
      <c r="B6491" s="4" t="s">
        <v>4172</v>
      </c>
      <c r="C6491" s="4" t="n">
        <v>12</v>
      </c>
      <c r="D6491" s="4" t="n">
        <v>11</v>
      </c>
      <c r="E6491" s="4" t="s">
        <v>4874</v>
      </c>
      <c r="F6491" s="4" t="n">
        <v>66</v>
      </c>
      <c r="G6491" s="4" t="n">
        <v>2</v>
      </c>
      <c r="H6491" s="4" t="n">
        <v>4</v>
      </c>
      <c r="I6491" s="4" t="str">
        <v>×</v>
      </c>
      <c r="J6491" s="4"/>
      <c r="K6491" s="4"/>
      <c r="L6491" s="4"/>
      <c r="M6491" s="5" t="s">
        <v>4475</v>
      </c>
    </row>
    <row r="6492" customFormat="false" ht="15.75" hidden="false" customHeight="false" outlineLevel="0" collapsed="false">
      <c r="A6492" s="6" t="n">
        <v>46180</v>
      </c>
      <c r="B6492" s="4" t="s">
        <v>4172</v>
      </c>
      <c r="C6492" s="4" t="n">
        <v>12</v>
      </c>
      <c r="D6492" s="4" t="n">
        <v>12</v>
      </c>
      <c r="E6492" s="4" t="s">
        <v>4875</v>
      </c>
      <c r="F6492" s="4" t="n">
        <v>58</v>
      </c>
      <c r="G6492" s="4" t="n">
        <v>3</v>
      </c>
      <c r="H6492" s="4" t="n">
        <v>4</v>
      </c>
      <c r="I6492" s="4" t="str">
        <v>×</v>
      </c>
      <c r="J6492" s="4"/>
      <c r="K6492" s="4"/>
      <c r="L6492" s="4"/>
      <c r="M6492" s="5" t="s">
        <v>4475</v>
      </c>
    </row>
    <row r="6493" customFormat="false" ht="15.75" hidden="false" customHeight="false" outlineLevel="0" collapsed="false">
      <c r="A6493" s="6" t="n">
        <v>46186</v>
      </c>
      <c r="B6493" s="4" t="s">
        <v>4473</v>
      </c>
      <c r="C6493" s="4" t="n">
        <v>1</v>
      </c>
      <c r="D6493" s="4" t="n">
        <v>1</v>
      </c>
      <c r="E6493" s="4" t="s">
        <v>3725</v>
      </c>
      <c r="F6493" s="4" t="n">
        <v>13</v>
      </c>
      <c r="G6493" s="4" t="n">
        <v>7</v>
      </c>
      <c r="H6493" s="4" t="n">
        <v>4</v>
      </c>
      <c r="I6493" s="4" t="str">
        <v>×</v>
      </c>
      <c r="J6493" s="4"/>
      <c r="K6493" s="4"/>
      <c r="L6493" s="4"/>
      <c r="M6493" s="5" t="s">
        <v>4475</v>
      </c>
    </row>
    <row r="6494" customFormat="false" ht="15.75" hidden="false" customHeight="false" outlineLevel="0" collapsed="false">
      <c r="A6494" s="6" t="n">
        <v>46186</v>
      </c>
      <c r="B6494" s="4" t="s">
        <v>4473</v>
      </c>
      <c r="C6494" s="4" t="n">
        <v>1</v>
      </c>
      <c r="D6494" s="4" t="n">
        <v>2</v>
      </c>
      <c r="E6494" s="4" t="s">
        <v>1889</v>
      </c>
      <c r="F6494" s="4" t="n">
        <v>25</v>
      </c>
      <c r="G6494" s="4" t="n">
        <v>4</v>
      </c>
      <c r="H6494" s="4" t="n">
        <v>4</v>
      </c>
      <c r="I6494" s="4" t="str">
        <v>×</v>
      </c>
      <c r="J6494" s="4"/>
      <c r="K6494" s="4"/>
      <c r="L6494" s="4"/>
      <c r="M6494" s="5" t="s">
        <v>4475</v>
      </c>
    </row>
    <row r="6495" customFormat="false" ht="15.75" hidden="false" customHeight="false" outlineLevel="0" collapsed="false">
      <c r="A6495" s="6" t="n">
        <v>46186</v>
      </c>
      <c r="B6495" s="4" t="s">
        <v>4473</v>
      </c>
      <c r="C6495" s="4" t="n">
        <v>1</v>
      </c>
      <c r="D6495" s="4" t="n">
        <v>3</v>
      </c>
      <c r="E6495" s="4" t="s">
        <v>945</v>
      </c>
      <c r="F6495" s="4" t="n">
        <v>4</v>
      </c>
      <c r="G6495" s="4" t="n">
        <v>11</v>
      </c>
      <c r="H6495" s="4" t="n">
        <v>4</v>
      </c>
      <c r="I6495" s="4" t="str">
        <v>×</v>
      </c>
      <c r="J6495" s="4"/>
      <c r="K6495" s="4"/>
      <c r="L6495" s="4"/>
      <c r="M6495" s="5" t="s">
        <v>4475</v>
      </c>
    </row>
    <row r="6496" customFormat="false" ht="15.75" hidden="false" customHeight="false" outlineLevel="0" collapsed="false">
      <c r="A6496" s="6" t="n">
        <v>46186</v>
      </c>
      <c r="B6496" s="4" t="s">
        <v>4473</v>
      </c>
      <c r="C6496" s="4" t="n">
        <v>1</v>
      </c>
      <c r="D6496" s="4" t="n">
        <v>4</v>
      </c>
      <c r="E6496" s="4" t="s">
        <v>2992</v>
      </c>
      <c r="F6496" s="4" t="n">
        <v>13</v>
      </c>
      <c r="G6496" s="4" t="n">
        <v>7</v>
      </c>
      <c r="H6496" s="4" t="n">
        <v>4</v>
      </c>
      <c r="I6496" s="4" t="str">
        <v>×</v>
      </c>
      <c r="J6496" s="4"/>
      <c r="K6496" s="4"/>
      <c r="L6496" s="4"/>
      <c r="M6496" s="5" t="s">
        <v>4475</v>
      </c>
    </row>
    <row r="6497" customFormat="false" ht="15.75" hidden="false" customHeight="false" outlineLevel="0" collapsed="false">
      <c r="A6497" s="6" t="n">
        <v>46186</v>
      </c>
      <c r="B6497" s="4" t="s">
        <v>4473</v>
      </c>
      <c r="C6497" s="4" t="n">
        <v>1</v>
      </c>
      <c r="D6497" s="4" t="n">
        <v>5</v>
      </c>
      <c r="E6497" s="4" t="s">
        <v>4876</v>
      </c>
      <c r="F6497" s="4" t="n">
        <v>4</v>
      </c>
      <c r="G6497" s="4" t="n">
        <v>11</v>
      </c>
      <c r="H6497" s="4" t="n">
        <v>1</v>
      </c>
      <c r="I6497" s="4" t="str">
        <v>○</v>
      </c>
      <c r="J6497" s="4" t="n">
        <v>270</v>
      </c>
      <c r="K6497" s="4"/>
      <c r="L6497" s="4"/>
      <c r="M6497" s="5" t="s">
        <v>4475</v>
      </c>
    </row>
    <row r="6498" customFormat="false" ht="15.75" hidden="false" customHeight="false" outlineLevel="0" collapsed="false">
      <c r="A6498" s="6" t="n">
        <v>46186</v>
      </c>
      <c r="B6498" s="4" t="s">
        <v>4473</v>
      </c>
      <c r="C6498" s="4" t="n">
        <v>1</v>
      </c>
      <c r="D6498" s="4" t="n">
        <v>6</v>
      </c>
      <c r="E6498" s="4" t="s">
        <v>2296</v>
      </c>
      <c r="F6498" s="4" t="n">
        <v>10</v>
      </c>
      <c r="G6498" s="4" t="n">
        <v>8</v>
      </c>
      <c r="H6498" s="4" t="n">
        <v>4</v>
      </c>
      <c r="I6498" s="4" t="str">
        <v>×</v>
      </c>
      <c r="J6498" s="4"/>
      <c r="K6498" s="4"/>
      <c r="L6498" s="4"/>
      <c r="M6498" s="5" t="s">
        <v>4475</v>
      </c>
    </row>
    <row r="6499" customFormat="false" ht="15.75" hidden="false" customHeight="false" outlineLevel="0" collapsed="false">
      <c r="A6499" s="6" t="n">
        <v>46186</v>
      </c>
      <c r="B6499" s="4" t="s">
        <v>4473</v>
      </c>
      <c r="C6499" s="4" t="n">
        <v>1</v>
      </c>
      <c r="D6499" s="4" t="n">
        <v>7</v>
      </c>
      <c r="E6499" s="4" t="s">
        <v>1434</v>
      </c>
      <c r="F6499" s="4" t="n">
        <v>13</v>
      </c>
      <c r="G6499" s="4" t="n">
        <v>7</v>
      </c>
      <c r="H6499" s="4" t="n">
        <v>4</v>
      </c>
      <c r="I6499" s="4" t="str">
        <v>×</v>
      </c>
      <c r="J6499" s="4"/>
      <c r="K6499" s="4"/>
      <c r="L6499" s="4"/>
      <c r="M6499" s="5" t="s">
        <v>4475</v>
      </c>
    </row>
    <row r="6500" customFormat="false" ht="15.75" hidden="false" customHeight="false" outlineLevel="0" collapsed="false">
      <c r="A6500" s="6" t="n">
        <v>46186</v>
      </c>
      <c r="B6500" s="4" t="s">
        <v>4473</v>
      </c>
      <c r="C6500" s="4" t="n">
        <v>1</v>
      </c>
      <c r="D6500" s="4" t="n">
        <v>8</v>
      </c>
      <c r="E6500" s="4" t="s">
        <v>1884</v>
      </c>
      <c r="F6500" s="4" t="n">
        <v>4</v>
      </c>
      <c r="G6500" s="4" t="n">
        <v>11</v>
      </c>
      <c r="H6500" s="4" t="n">
        <v>3</v>
      </c>
      <c r="I6500" s="4" t="str">
        <v>○</v>
      </c>
      <c r="J6500" s="4" t="n">
        <v>180</v>
      </c>
      <c r="K6500" s="4"/>
      <c r="L6500" s="4"/>
      <c r="M6500" s="5" t="s">
        <v>4475</v>
      </c>
    </row>
    <row r="6501" customFormat="false" ht="15.75" hidden="false" customHeight="false" outlineLevel="0" collapsed="false">
      <c r="A6501" s="6" t="n">
        <v>46186</v>
      </c>
      <c r="B6501" s="4" t="s">
        <v>4473</v>
      </c>
      <c r="C6501" s="4" t="n">
        <v>1</v>
      </c>
      <c r="D6501" s="4" t="n">
        <v>9</v>
      </c>
      <c r="E6501" s="4" t="s">
        <v>4877</v>
      </c>
      <c r="F6501" s="4" t="n">
        <v>39</v>
      </c>
      <c r="G6501" s="4" t="n">
        <v>2</v>
      </c>
      <c r="H6501" s="4" t="n">
        <v>4</v>
      </c>
      <c r="I6501" s="4" t="str">
        <v>×</v>
      </c>
      <c r="J6501" s="4"/>
      <c r="K6501" s="4"/>
      <c r="L6501" s="4"/>
      <c r="M6501" s="5" t="s">
        <v>4475</v>
      </c>
    </row>
    <row r="6502" customFormat="false" ht="15.75" hidden="false" customHeight="false" outlineLevel="0" collapsed="false">
      <c r="A6502" s="6" t="n">
        <v>46186</v>
      </c>
      <c r="B6502" s="4" t="s">
        <v>4473</v>
      </c>
      <c r="C6502" s="4" t="n">
        <v>1</v>
      </c>
      <c r="D6502" s="4" t="n">
        <v>10</v>
      </c>
      <c r="E6502" s="4" t="s">
        <v>4878</v>
      </c>
      <c r="F6502" s="4" t="n">
        <v>17</v>
      </c>
      <c r="G6502" s="4" t="n">
        <v>6</v>
      </c>
      <c r="H6502" s="4" t="n">
        <v>4</v>
      </c>
      <c r="I6502" s="4" t="str">
        <v>×</v>
      </c>
      <c r="J6502" s="4"/>
      <c r="K6502" s="4"/>
      <c r="L6502" s="4"/>
      <c r="M6502" s="5" t="s">
        <v>4475</v>
      </c>
    </row>
    <row r="6503" customFormat="false" ht="15.75" hidden="false" customHeight="false" outlineLevel="0" collapsed="false">
      <c r="A6503" s="6" t="n">
        <v>46186</v>
      </c>
      <c r="B6503" s="4" t="s">
        <v>4473</v>
      </c>
      <c r="C6503" s="4" t="n">
        <v>1</v>
      </c>
      <c r="D6503" s="4" t="n">
        <v>11</v>
      </c>
      <c r="E6503" s="4" t="s">
        <v>4879</v>
      </c>
      <c r="F6503" s="4" t="n">
        <v>3</v>
      </c>
      <c r="G6503" s="4" t="n">
        <v>12</v>
      </c>
      <c r="H6503" s="4" t="n">
        <v>4</v>
      </c>
      <c r="I6503" s="4" t="str">
        <v>×</v>
      </c>
      <c r="J6503" s="4"/>
      <c r="K6503" s="4"/>
      <c r="L6503" s="4"/>
      <c r="M6503" s="5" t="s">
        <v>4475</v>
      </c>
    </row>
    <row r="6504" customFormat="false" ht="15.75" hidden="false" customHeight="false" outlineLevel="0" collapsed="false">
      <c r="A6504" s="6" t="n">
        <v>46186</v>
      </c>
      <c r="B6504" s="4" t="s">
        <v>4473</v>
      </c>
      <c r="C6504" s="4" t="n">
        <v>1</v>
      </c>
      <c r="D6504" s="4" t="n">
        <v>12</v>
      </c>
      <c r="E6504" s="4" t="s">
        <v>4880</v>
      </c>
      <c r="F6504" s="4" t="n">
        <v>29</v>
      </c>
      <c r="G6504" s="4" t="n">
        <v>3</v>
      </c>
      <c r="H6504" s="4" t="n">
        <v>4</v>
      </c>
      <c r="I6504" s="4" t="str">
        <v>×</v>
      </c>
      <c r="J6504" s="4"/>
      <c r="K6504" s="4"/>
      <c r="L6504" s="4"/>
      <c r="M6504" s="5" t="s">
        <v>4475</v>
      </c>
    </row>
    <row r="6505" customFormat="false" ht="15.75" hidden="false" customHeight="false" outlineLevel="0" collapsed="false">
      <c r="A6505" s="6" t="n">
        <v>46186</v>
      </c>
      <c r="B6505" s="4" t="s">
        <v>4473</v>
      </c>
      <c r="C6505" s="4" t="n">
        <v>1</v>
      </c>
      <c r="D6505" s="4" t="n">
        <v>13</v>
      </c>
      <c r="E6505" s="4" t="s">
        <v>801</v>
      </c>
      <c r="F6505" s="4" t="n">
        <v>8</v>
      </c>
      <c r="G6505" s="4" t="n">
        <v>9</v>
      </c>
      <c r="H6505" s="4" t="n">
        <v>4</v>
      </c>
      <c r="I6505" s="4" t="str">
        <v>×</v>
      </c>
      <c r="J6505" s="4"/>
      <c r="K6505" s="4"/>
      <c r="L6505" s="4"/>
      <c r="M6505" s="5" t="s">
        <v>4475</v>
      </c>
    </row>
    <row r="6506" customFormat="false" ht="15.75" hidden="false" customHeight="false" outlineLevel="0" collapsed="false">
      <c r="A6506" s="6" t="n">
        <v>46186</v>
      </c>
      <c r="B6506" s="4" t="s">
        <v>4473</v>
      </c>
      <c r="C6506" s="4" t="n">
        <v>1</v>
      </c>
      <c r="D6506" s="4" t="n">
        <v>14</v>
      </c>
      <c r="E6506" s="4" t="s">
        <v>4881</v>
      </c>
      <c r="F6506" s="4" t="n">
        <v>6</v>
      </c>
      <c r="G6506" s="4" t="n">
        <v>10</v>
      </c>
      <c r="H6506" s="4" t="n">
        <v>4</v>
      </c>
      <c r="I6506" s="4" t="str">
        <v>×</v>
      </c>
      <c r="J6506" s="4"/>
      <c r="K6506" s="4"/>
      <c r="L6506" s="4"/>
      <c r="M6506" s="5" t="s">
        <v>4475</v>
      </c>
    </row>
    <row r="6507" customFormat="false" ht="15.75" hidden="false" customHeight="false" outlineLevel="0" collapsed="false">
      <c r="A6507" s="6" t="n">
        <v>46186</v>
      </c>
      <c r="B6507" s="4" t="s">
        <v>4473</v>
      </c>
      <c r="C6507" s="4" t="n">
        <v>1</v>
      </c>
      <c r="D6507" s="4" t="n">
        <v>15</v>
      </c>
      <c r="E6507" s="4" t="s">
        <v>2581</v>
      </c>
      <c r="F6507" s="4" t="n">
        <v>41</v>
      </c>
      <c r="G6507" s="4" t="n">
        <v>1</v>
      </c>
      <c r="H6507" s="4" t="n">
        <v>2</v>
      </c>
      <c r="I6507" s="4" t="str">
        <v>○</v>
      </c>
      <c r="J6507" s="4" t="n">
        <v>150</v>
      </c>
      <c r="K6507" s="4"/>
      <c r="L6507" s="4"/>
      <c r="M6507" s="5" t="s">
        <v>4475</v>
      </c>
    </row>
    <row r="6508" customFormat="false" ht="15.75" hidden="false" customHeight="false" outlineLevel="0" collapsed="false">
      <c r="A6508" s="6" t="n">
        <v>46186</v>
      </c>
      <c r="B6508" s="4" t="s">
        <v>4473</v>
      </c>
      <c r="C6508" s="4" t="n">
        <v>1</v>
      </c>
      <c r="D6508" s="4" t="n">
        <v>16</v>
      </c>
      <c r="E6508" s="4" t="s">
        <v>2292</v>
      </c>
      <c r="F6508" s="4" t="n">
        <v>23</v>
      </c>
      <c r="G6508" s="4" t="n">
        <v>5</v>
      </c>
      <c r="H6508" s="4" t="n">
        <v>4</v>
      </c>
      <c r="I6508" s="4" t="str">
        <v>×</v>
      </c>
      <c r="J6508" s="4"/>
      <c r="K6508" s="4"/>
      <c r="L6508" s="4"/>
      <c r="M6508" s="5" t="s">
        <v>4475</v>
      </c>
    </row>
    <row r="6509" customFormat="false" ht="15.75" hidden="false" customHeight="false" outlineLevel="0" collapsed="false">
      <c r="A6509" s="6" t="n">
        <v>46186</v>
      </c>
      <c r="B6509" s="4" t="s">
        <v>4473</v>
      </c>
      <c r="C6509" s="4" t="n">
        <v>2</v>
      </c>
      <c r="D6509" s="4" t="n">
        <v>1</v>
      </c>
      <c r="E6509" s="4" t="s">
        <v>4089</v>
      </c>
      <c r="F6509" s="4" t="n">
        <v>15</v>
      </c>
      <c r="G6509" s="4" t="n">
        <v>6</v>
      </c>
      <c r="H6509" s="4" t="n">
        <v>4</v>
      </c>
      <c r="I6509" s="4" t="str">
        <v>×</v>
      </c>
      <c r="J6509" s="4"/>
      <c r="K6509" s="4"/>
      <c r="L6509" s="4"/>
      <c r="M6509" s="5" t="s">
        <v>4475</v>
      </c>
    </row>
    <row r="6510" customFormat="false" ht="15.75" hidden="false" customHeight="false" outlineLevel="0" collapsed="false">
      <c r="A6510" s="6" t="n">
        <v>46186</v>
      </c>
      <c r="B6510" s="4" t="s">
        <v>4473</v>
      </c>
      <c r="C6510" s="4" t="n">
        <v>2</v>
      </c>
      <c r="D6510" s="4" t="n">
        <v>2</v>
      </c>
      <c r="E6510" s="4" t="s">
        <v>4882</v>
      </c>
      <c r="F6510" s="4" t="n">
        <v>8</v>
      </c>
      <c r="G6510" s="4" t="n">
        <v>9</v>
      </c>
      <c r="H6510" s="4" t="n">
        <v>4</v>
      </c>
      <c r="I6510" s="4" t="str">
        <v>×</v>
      </c>
      <c r="J6510" s="4"/>
      <c r="K6510" s="4"/>
      <c r="L6510" s="4"/>
      <c r="M6510" s="5" t="s">
        <v>4475</v>
      </c>
    </row>
    <row r="6511" customFormat="false" ht="15.75" hidden="false" customHeight="false" outlineLevel="0" collapsed="false">
      <c r="A6511" s="6" t="n">
        <v>46186</v>
      </c>
      <c r="B6511" s="4" t="s">
        <v>4473</v>
      </c>
      <c r="C6511" s="4" t="n">
        <v>2</v>
      </c>
      <c r="D6511" s="4" t="n">
        <v>3</v>
      </c>
      <c r="E6511" s="4" t="s">
        <v>4883</v>
      </c>
      <c r="F6511" s="4" t="n">
        <v>23</v>
      </c>
      <c r="G6511" s="4" t="n">
        <v>3</v>
      </c>
      <c r="H6511" s="4" t="n">
        <v>4</v>
      </c>
      <c r="I6511" s="4" t="str">
        <v>×</v>
      </c>
      <c r="J6511" s="4"/>
      <c r="K6511" s="4"/>
      <c r="L6511" s="4"/>
      <c r="M6511" s="5" t="s">
        <v>4475</v>
      </c>
    </row>
    <row r="6512" customFormat="false" ht="15.75" hidden="false" customHeight="false" outlineLevel="0" collapsed="false">
      <c r="A6512" s="6" t="n">
        <v>46186</v>
      </c>
      <c r="B6512" s="4" t="s">
        <v>4473</v>
      </c>
      <c r="C6512" s="4" t="n">
        <v>2</v>
      </c>
      <c r="D6512" s="4" t="n">
        <v>4</v>
      </c>
      <c r="E6512" s="4" t="s">
        <v>4884</v>
      </c>
      <c r="F6512" s="4" t="n">
        <v>6</v>
      </c>
      <c r="G6512" s="4" t="n">
        <v>10</v>
      </c>
      <c r="H6512" s="4" t="n">
        <v>4</v>
      </c>
      <c r="I6512" s="4" t="str">
        <v>×</v>
      </c>
      <c r="J6512" s="4"/>
      <c r="K6512" s="4"/>
      <c r="L6512" s="4"/>
      <c r="M6512" s="5" t="s">
        <v>4475</v>
      </c>
    </row>
    <row r="6513" customFormat="false" ht="15.75" hidden="false" customHeight="false" outlineLevel="0" collapsed="false">
      <c r="A6513" s="6" t="n">
        <v>46186</v>
      </c>
      <c r="B6513" s="4" t="s">
        <v>4473</v>
      </c>
      <c r="C6513" s="4" t="n">
        <v>2</v>
      </c>
      <c r="D6513" s="4" t="n">
        <v>5</v>
      </c>
      <c r="E6513" s="4" t="s">
        <v>4885</v>
      </c>
      <c r="F6513" s="4" t="n">
        <v>17</v>
      </c>
      <c r="G6513" s="4" t="n">
        <v>5</v>
      </c>
      <c r="H6513" s="4" t="n">
        <v>4</v>
      </c>
      <c r="I6513" s="4" t="str">
        <v>×</v>
      </c>
      <c r="J6513" s="4"/>
      <c r="K6513" s="4"/>
      <c r="L6513" s="4"/>
      <c r="M6513" s="5" t="s">
        <v>4475</v>
      </c>
    </row>
    <row r="6514" customFormat="false" ht="15.75" hidden="false" customHeight="false" outlineLevel="0" collapsed="false">
      <c r="A6514" s="6" t="n">
        <v>46186</v>
      </c>
      <c r="B6514" s="4" t="s">
        <v>4473</v>
      </c>
      <c r="C6514" s="4" t="n">
        <v>2</v>
      </c>
      <c r="D6514" s="4" t="n">
        <v>6</v>
      </c>
      <c r="E6514" s="4" t="s">
        <v>2310</v>
      </c>
      <c r="F6514" s="4" t="n">
        <v>41</v>
      </c>
      <c r="G6514" s="4" t="n">
        <v>2</v>
      </c>
      <c r="H6514" s="4" t="n">
        <v>2</v>
      </c>
      <c r="I6514" s="4" t="str">
        <v>○</v>
      </c>
      <c r="J6514" s="4" t="n">
        <v>150</v>
      </c>
      <c r="K6514" s="4"/>
      <c r="L6514" s="4"/>
      <c r="M6514" s="5" t="s">
        <v>4475</v>
      </c>
    </row>
    <row r="6515" customFormat="false" ht="15.75" hidden="false" customHeight="false" outlineLevel="0" collapsed="false">
      <c r="A6515" s="6" t="n">
        <v>46186</v>
      </c>
      <c r="B6515" s="4" t="s">
        <v>4473</v>
      </c>
      <c r="C6515" s="4" t="n">
        <v>2</v>
      </c>
      <c r="D6515" s="4" t="n">
        <v>7</v>
      </c>
      <c r="E6515" s="4" t="s">
        <v>4886</v>
      </c>
      <c r="F6515" s="4" t="n">
        <v>10</v>
      </c>
      <c r="G6515" s="4" t="n">
        <v>8</v>
      </c>
      <c r="H6515" s="4" t="n">
        <v>4</v>
      </c>
      <c r="I6515" s="4" t="str">
        <v>×</v>
      </c>
      <c r="J6515" s="4"/>
      <c r="K6515" s="4"/>
      <c r="L6515" s="4"/>
      <c r="M6515" s="5" t="s">
        <v>4475</v>
      </c>
    </row>
    <row r="6516" customFormat="false" ht="15.75" hidden="false" customHeight="false" outlineLevel="0" collapsed="false">
      <c r="A6516" s="6" t="n">
        <v>46186</v>
      </c>
      <c r="B6516" s="4" t="s">
        <v>4473</v>
      </c>
      <c r="C6516" s="4" t="n">
        <v>2</v>
      </c>
      <c r="D6516" s="4" t="n">
        <v>8</v>
      </c>
      <c r="E6516" s="4" t="s">
        <v>2750</v>
      </c>
      <c r="F6516" s="4" t="n">
        <v>13</v>
      </c>
      <c r="G6516" s="4" t="n">
        <v>7</v>
      </c>
      <c r="H6516" s="4" t="n">
        <v>3</v>
      </c>
      <c r="I6516" s="4" t="str">
        <v>○</v>
      </c>
      <c r="J6516" s="4" t="n">
        <v>610</v>
      </c>
      <c r="K6516" s="4"/>
      <c r="L6516" s="4"/>
      <c r="M6516" s="5" t="s">
        <v>4475</v>
      </c>
    </row>
    <row r="6517" customFormat="false" ht="15.75" hidden="false" customHeight="false" outlineLevel="0" collapsed="false">
      <c r="A6517" s="6" t="n">
        <v>46186</v>
      </c>
      <c r="B6517" s="4" t="s">
        <v>4473</v>
      </c>
      <c r="C6517" s="4" t="n">
        <v>2</v>
      </c>
      <c r="D6517" s="4" t="n">
        <v>9</v>
      </c>
      <c r="E6517" s="4" t="s">
        <v>4092</v>
      </c>
      <c r="F6517" s="4" t="n">
        <v>4</v>
      </c>
      <c r="G6517" s="4" t="n">
        <v>11</v>
      </c>
      <c r="H6517" s="4" t="n">
        <v>4</v>
      </c>
      <c r="I6517" s="4" t="str">
        <v>×</v>
      </c>
      <c r="J6517" s="4"/>
      <c r="K6517" s="4"/>
      <c r="L6517" s="4"/>
      <c r="M6517" s="5" t="s">
        <v>4475</v>
      </c>
    </row>
    <row r="6518" customFormat="false" ht="15.75" hidden="false" customHeight="false" outlineLevel="0" collapsed="false">
      <c r="A6518" s="6" t="n">
        <v>46186</v>
      </c>
      <c r="B6518" s="4" t="s">
        <v>4473</v>
      </c>
      <c r="C6518" s="4" t="n">
        <v>2</v>
      </c>
      <c r="D6518" s="4" t="n">
        <v>10</v>
      </c>
      <c r="E6518" s="4" t="s">
        <v>4887</v>
      </c>
      <c r="F6518" s="4" t="n">
        <v>3</v>
      </c>
      <c r="G6518" s="4" t="n">
        <v>12</v>
      </c>
      <c r="H6518" s="4" t="n">
        <v>4</v>
      </c>
      <c r="I6518" s="4" t="str">
        <v>×</v>
      </c>
      <c r="J6518" s="4"/>
      <c r="K6518" s="4"/>
      <c r="L6518" s="4"/>
      <c r="M6518" s="5" t="s">
        <v>4475</v>
      </c>
    </row>
    <row r="6519" customFormat="false" ht="15.75" hidden="false" customHeight="false" outlineLevel="0" collapsed="false">
      <c r="A6519" s="6" t="n">
        <v>46186</v>
      </c>
      <c r="B6519" s="4" t="s">
        <v>4473</v>
      </c>
      <c r="C6519" s="4" t="n">
        <v>2</v>
      </c>
      <c r="D6519" s="4" t="n">
        <v>11</v>
      </c>
      <c r="E6519" s="4" t="s">
        <v>2687</v>
      </c>
      <c r="F6519" s="4" t="n">
        <v>8</v>
      </c>
      <c r="G6519" s="4" t="n">
        <v>9</v>
      </c>
      <c r="H6519" s="4" t="n">
        <v>4</v>
      </c>
      <c r="I6519" s="4" t="str">
        <v>×</v>
      </c>
      <c r="J6519" s="4"/>
      <c r="K6519" s="4"/>
      <c r="L6519" s="4"/>
      <c r="M6519" s="5" t="s">
        <v>4475</v>
      </c>
    </row>
    <row r="6520" customFormat="false" ht="15.75" hidden="false" customHeight="false" outlineLevel="0" collapsed="false">
      <c r="A6520" s="6" t="n">
        <v>46186</v>
      </c>
      <c r="B6520" s="4" t="s">
        <v>4473</v>
      </c>
      <c r="C6520" s="4" t="n">
        <v>2</v>
      </c>
      <c r="D6520" s="4" t="n">
        <v>12</v>
      </c>
      <c r="E6520" s="4" t="s">
        <v>4888</v>
      </c>
      <c r="F6520" s="4" t="n">
        <v>23</v>
      </c>
      <c r="G6520" s="4" t="n">
        <v>3</v>
      </c>
      <c r="H6520" s="4" t="n">
        <v>1</v>
      </c>
      <c r="I6520" s="4" t="str">
        <v>○</v>
      </c>
      <c r="J6520" s="4" t="n">
        <v>210</v>
      </c>
      <c r="K6520" s="4"/>
      <c r="L6520" s="4"/>
      <c r="M6520" s="5" t="s">
        <v>4475</v>
      </c>
    </row>
    <row r="6521" customFormat="false" ht="15.75" hidden="false" customHeight="false" outlineLevel="0" collapsed="false">
      <c r="A6521" s="6" t="n">
        <v>46186</v>
      </c>
      <c r="B6521" s="4" t="s">
        <v>4473</v>
      </c>
      <c r="C6521" s="4" t="n">
        <v>2</v>
      </c>
      <c r="D6521" s="4" t="n">
        <v>13</v>
      </c>
      <c r="E6521" s="4" t="s">
        <v>2592</v>
      </c>
      <c r="F6521" s="4" t="n">
        <v>4</v>
      </c>
      <c r="G6521" s="4" t="n">
        <v>11</v>
      </c>
      <c r="H6521" s="4" t="n">
        <v>4</v>
      </c>
      <c r="I6521" s="4" t="str">
        <v>×</v>
      </c>
      <c r="J6521" s="4"/>
      <c r="K6521" s="4"/>
      <c r="L6521" s="4"/>
      <c r="M6521" s="5" t="s">
        <v>4475</v>
      </c>
    </row>
    <row r="6522" customFormat="false" ht="15.75" hidden="false" customHeight="false" outlineLevel="0" collapsed="false">
      <c r="A6522" s="6" t="n">
        <v>46186</v>
      </c>
      <c r="B6522" s="4" t="s">
        <v>4473</v>
      </c>
      <c r="C6522" s="4" t="n">
        <v>2</v>
      </c>
      <c r="D6522" s="4" t="n">
        <v>14</v>
      </c>
      <c r="E6522" s="4" t="s">
        <v>3804</v>
      </c>
      <c r="F6522" s="4" t="n">
        <v>4</v>
      </c>
      <c r="G6522" s="4" t="n">
        <v>11</v>
      </c>
      <c r="H6522" s="4" t="n">
        <v>4</v>
      </c>
      <c r="I6522" s="4" t="str">
        <v>×</v>
      </c>
      <c r="J6522" s="4"/>
      <c r="K6522" s="4"/>
      <c r="L6522" s="4"/>
      <c r="M6522" s="5" t="s">
        <v>4475</v>
      </c>
    </row>
    <row r="6523" customFormat="false" ht="15.75" hidden="false" customHeight="false" outlineLevel="0" collapsed="false">
      <c r="A6523" s="6" t="n">
        <v>46186</v>
      </c>
      <c r="B6523" s="4" t="s">
        <v>4473</v>
      </c>
      <c r="C6523" s="4" t="n">
        <v>2</v>
      </c>
      <c r="D6523" s="4" t="n">
        <v>15</v>
      </c>
      <c r="E6523" s="4" t="s">
        <v>129</v>
      </c>
      <c r="F6523" s="4" t="n">
        <v>20</v>
      </c>
      <c r="G6523" s="4" t="n">
        <v>4</v>
      </c>
      <c r="H6523" s="4" t="n">
        <v>4</v>
      </c>
      <c r="I6523" s="4" t="str">
        <v>×</v>
      </c>
      <c r="J6523" s="4"/>
      <c r="K6523" s="4"/>
      <c r="L6523" s="4"/>
      <c r="M6523" s="5" t="s">
        <v>4475</v>
      </c>
    </row>
    <row r="6524" customFormat="false" ht="15.75" hidden="false" customHeight="false" outlineLevel="0" collapsed="false">
      <c r="A6524" s="6" t="n">
        <v>46186</v>
      </c>
      <c r="B6524" s="4" t="s">
        <v>4473</v>
      </c>
      <c r="C6524" s="4" t="n">
        <v>2</v>
      </c>
      <c r="D6524" s="4" t="n">
        <v>16</v>
      </c>
      <c r="E6524" s="4" t="s">
        <v>4027</v>
      </c>
      <c r="F6524" s="4" t="n">
        <v>41</v>
      </c>
      <c r="G6524" s="4" t="n">
        <v>2</v>
      </c>
      <c r="H6524" s="4" t="n">
        <v>4</v>
      </c>
      <c r="I6524" s="4" t="str">
        <v>×</v>
      </c>
      <c r="J6524" s="4"/>
      <c r="K6524" s="4"/>
      <c r="L6524" s="4"/>
      <c r="M6524" s="5" t="s">
        <v>4475</v>
      </c>
    </row>
    <row r="6525" customFormat="false" ht="15.75" hidden="false" customHeight="false" outlineLevel="0" collapsed="false">
      <c r="A6525" s="6" t="n">
        <v>46186</v>
      </c>
      <c r="B6525" s="4" t="s">
        <v>4473</v>
      </c>
      <c r="C6525" s="4" t="n">
        <v>2</v>
      </c>
      <c r="D6525" s="4" t="n">
        <v>17</v>
      </c>
      <c r="E6525" s="4" t="s">
        <v>4889</v>
      </c>
      <c r="F6525" s="4" t="n">
        <v>65</v>
      </c>
      <c r="G6525" s="4" t="n">
        <v>1</v>
      </c>
      <c r="H6525" s="4" t="n">
        <v>4</v>
      </c>
      <c r="I6525" s="4" t="str">
        <v>×</v>
      </c>
      <c r="J6525" s="4"/>
      <c r="K6525" s="4"/>
      <c r="L6525" s="4"/>
      <c r="M6525" s="5" t="s">
        <v>4475</v>
      </c>
    </row>
    <row r="6526" customFormat="false" ht="15.75" hidden="false" customHeight="false" outlineLevel="0" collapsed="false">
      <c r="A6526" s="6" t="n">
        <v>46186</v>
      </c>
      <c r="B6526" s="4" t="s">
        <v>4473</v>
      </c>
      <c r="C6526" s="4" t="n">
        <v>2</v>
      </c>
      <c r="D6526" s="4" t="n">
        <v>18</v>
      </c>
      <c r="E6526" s="4" t="s">
        <v>4890</v>
      </c>
      <c r="F6526" s="4" t="n">
        <v>10</v>
      </c>
      <c r="G6526" s="4" t="n">
        <v>8</v>
      </c>
      <c r="H6526" s="4" t="n">
        <v>4</v>
      </c>
      <c r="I6526" s="4" t="str">
        <v>×</v>
      </c>
      <c r="J6526" s="4"/>
      <c r="K6526" s="4"/>
      <c r="L6526" s="4"/>
      <c r="M6526" s="5" t="s">
        <v>4475</v>
      </c>
    </row>
    <row r="6527" customFormat="false" ht="15.75" hidden="false" customHeight="false" outlineLevel="0" collapsed="false">
      <c r="A6527" s="6" t="n">
        <v>46186</v>
      </c>
      <c r="B6527" s="4" t="s">
        <v>4473</v>
      </c>
      <c r="C6527" s="4" t="n">
        <v>3</v>
      </c>
      <c r="D6527" s="4" t="n">
        <v>1</v>
      </c>
      <c r="E6527" s="4" t="s">
        <v>4891</v>
      </c>
      <c r="F6527" s="4" t="n">
        <v>13</v>
      </c>
      <c r="G6527" s="4" t="n">
        <v>7</v>
      </c>
      <c r="H6527" s="4" t="n">
        <v>4</v>
      </c>
      <c r="I6527" s="4" t="str">
        <v>×</v>
      </c>
      <c r="J6527" s="4"/>
      <c r="K6527" s="4"/>
      <c r="L6527" s="4"/>
      <c r="M6527" s="5" t="s">
        <v>4475</v>
      </c>
    </row>
    <row r="6528" customFormat="false" ht="15.75" hidden="false" customHeight="false" outlineLevel="0" collapsed="false">
      <c r="A6528" s="6" t="n">
        <v>46186</v>
      </c>
      <c r="B6528" s="4" t="s">
        <v>4473</v>
      </c>
      <c r="C6528" s="4" t="n">
        <v>3</v>
      </c>
      <c r="D6528" s="4" t="n">
        <v>2</v>
      </c>
      <c r="E6528" s="4" t="s">
        <v>4892</v>
      </c>
      <c r="F6528" s="4" t="n">
        <v>2</v>
      </c>
      <c r="G6528" s="4" t="n">
        <v>10</v>
      </c>
      <c r="H6528" s="4" t="n">
        <v>4</v>
      </c>
      <c r="I6528" s="4" t="str">
        <v>×</v>
      </c>
      <c r="J6528" s="4"/>
      <c r="K6528" s="4"/>
      <c r="L6528" s="4"/>
      <c r="M6528" s="5" t="s">
        <v>4475</v>
      </c>
    </row>
    <row r="6529" customFormat="false" ht="15.75" hidden="false" customHeight="false" outlineLevel="0" collapsed="false">
      <c r="A6529" s="6" t="n">
        <v>46186</v>
      </c>
      <c r="B6529" s="4" t="s">
        <v>4473</v>
      </c>
      <c r="C6529" s="4" t="n">
        <v>3</v>
      </c>
      <c r="D6529" s="4" t="n">
        <v>3</v>
      </c>
      <c r="E6529" s="4" t="s">
        <v>4893</v>
      </c>
      <c r="F6529" s="4" t="n">
        <v>65</v>
      </c>
      <c r="G6529" s="4" t="n">
        <v>1</v>
      </c>
      <c r="H6529" s="4" t="n">
        <v>4</v>
      </c>
      <c r="I6529" s="4" t="str">
        <v>×</v>
      </c>
      <c r="J6529" s="4"/>
      <c r="K6529" s="4"/>
      <c r="L6529" s="4"/>
      <c r="M6529" s="5" t="s">
        <v>4475</v>
      </c>
    </row>
    <row r="6530" customFormat="false" ht="15.75" hidden="false" customHeight="false" outlineLevel="0" collapsed="false">
      <c r="A6530" s="6" t="n">
        <v>46186</v>
      </c>
      <c r="B6530" s="4" t="s">
        <v>4473</v>
      </c>
      <c r="C6530" s="4" t="n">
        <v>3</v>
      </c>
      <c r="D6530" s="4" t="n">
        <v>4</v>
      </c>
      <c r="E6530" s="4" t="s">
        <v>4894</v>
      </c>
      <c r="F6530" s="4" t="n">
        <v>2</v>
      </c>
      <c r="G6530" s="4" t="n">
        <v>10</v>
      </c>
      <c r="H6530" s="4" t="n">
        <v>4</v>
      </c>
      <c r="I6530" s="4" t="str">
        <v>×</v>
      </c>
      <c r="J6530" s="4"/>
      <c r="K6530" s="4"/>
      <c r="L6530" s="4"/>
      <c r="M6530" s="5" t="s">
        <v>4475</v>
      </c>
    </row>
    <row r="6531" customFormat="false" ht="15.75" hidden="false" customHeight="false" outlineLevel="0" collapsed="false">
      <c r="A6531" s="6" t="n">
        <v>46186</v>
      </c>
      <c r="B6531" s="4" t="s">
        <v>4473</v>
      </c>
      <c r="C6531" s="4" t="n">
        <v>3</v>
      </c>
      <c r="D6531" s="4" t="n">
        <v>5</v>
      </c>
      <c r="E6531" s="4" t="s">
        <v>4895</v>
      </c>
      <c r="F6531" s="4" t="n">
        <v>47</v>
      </c>
      <c r="G6531" s="4" t="n">
        <v>2</v>
      </c>
      <c r="H6531" s="4" t="n">
        <v>4</v>
      </c>
      <c r="I6531" s="4" t="str">
        <v>×</v>
      </c>
      <c r="J6531" s="4"/>
      <c r="K6531" s="4"/>
      <c r="L6531" s="4"/>
      <c r="M6531" s="5" t="s">
        <v>4475</v>
      </c>
    </row>
    <row r="6532" customFormat="false" ht="15.75" hidden="false" customHeight="false" outlineLevel="0" collapsed="false">
      <c r="A6532" s="6" t="n">
        <v>46186</v>
      </c>
      <c r="B6532" s="4" t="s">
        <v>4473</v>
      </c>
      <c r="C6532" s="4" t="n">
        <v>3</v>
      </c>
      <c r="D6532" s="4" t="n">
        <v>6</v>
      </c>
      <c r="E6532" s="4" t="s">
        <v>3814</v>
      </c>
      <c r="F6532" s="4" t="n">
        <v>2</v>
      </c>
      <c r="G6532" s="4" t="n">
        <v>10</v>
      </c>
      <c r="H6532" s="4" t="n">
        <v>4</v>
      </c>
      <c r="I6532" s="4" t="str">
        <v>×</v>
      </c>
      <c r="J6532" s="4"/>
      <c r="K6532" s="4"/>
      <c r="L6532" s="4"/>
      <c r="M6532" s="5" t="s">
        <v>4475</v>
      </c>
    </row>
    <row r="6533" customFormat="false" ht="15.75" hidden="false" customHeight="false" outlineLevel="0" collapsed="false">
      <c r="A6533" s="6" t="n">
        <v>46186</v>
      </c>
      <c r="B6533" s="4" t="s">
        <v>4473</v>
      </c>
      <c r="C6533" s="4" t="n">
        <v>3</v>
      </c>
      <c r="D6533" s="4" t="n">
        <v>7</v>
      </c>
      <c r="E6533" s="4" t="s">
        <v>4896</v>
      </c>
      <c r="F6533" s="4" t="n">
        <v>39</v>
      </c>
      <c r="G6533" s="4" t="n">
        <v>4</v>
      </c>
      <c r="H6533" s="4" t="n">
        <v>2</v>
      </c>
      <c r="I6533" s="4" t="str">
        <v>○</v>
      </c>
      <c r="J6533" s="4" t="n">
        <v>140</v>
      </c>
      <c r="K6533" s="4"/>
      <c r="L6533" s="4"/>
      <c r="M6533" s="5" t="s">
        <v>4475</v>
      </c>
    </row>
    <row r="6534" customFormat="false" ht="15.75" hidden="false" customHeight="false" outlineLevel="0" collapsed="false">
      <c r="A6534" s="6" t="n">
        <v>46186</v>
      </c>
      <c r="B6534" s="4" t="s">
        <v>4473</v>
      </c>
      <c r="C6534" s="4" t="n">
        <v>3</v>
      </c>
      <c r="D6534" s="4" t="n">
        <v>8</v>
      </c>
      <c r="E6534" s="4" t="s">
        <v>2204</v>
      </c>
      <c r="F6534" s="4" t="n">
        <v>29</v>
      </c>
      <c r="G6534" s="4" t="n">
        <v>5</v>
      </c>
      <c r="H6534" s="4" t="n">
        <v>4</v>
      </c>
      <c r="I6534" s="4" t="str">
        <v>×</v>
      </c>
      <c r="J6534" s="4"/>
      <c r="K6534" s="4"/>
      <c r="L6534" s="4"/>
      <c r="M6534" s="5" t="s">
        <v>4475</v>
      </c>
    </row>
    <row r="6535" customFormat="false" ht="15.75" hidden="false" customHeight="false" outlineLevel="0" collapsed="false">
      <c r="A6535" s="6" t="n">
        <v>46186</v>
      </c>
      <c r="B6535" s="4" t="s">
        <v>4473</v>
      </c>
      <c r="C6535" s="4" t="n">
        <v>3</v>
      </c>
      <c r="D6535" s="4" t="n">
        <v>9</v>
      </c>
      <c r="E6535" s="4" t="s">
        <v>497</v>
      </c>
      <c r="F6535" s="4" t="n">
        <v>2</v>
      </c>
      <c r="G6535" s="4" t="n">
        <v>10</v>
      </c>
      <c r="H6535" s="4" t="n">
        <v>4</v>
      </c>
      <c r="I6535" s="4" t="str">
        <v>×</v>
      </c>
      <c r="J6535" s="4"/>
      <c r="K6535" s="4"/>
      <c r="L6535" s="4"/>
      <c r="M6535" s="5" t="s">
        <v>4475</v>
      </c>
    </row>
    <row r="6536" customFormat="false" ht="15.75" hidden="false" customHeight="false" outlineLevel="0" collapsed="false">
      <c r="A6536" s="6" t="n">
        <v>46186</v>
      </c>
      <c r="B6536" s="4" t="s">
        <v>4473</v>
      </c>
      <c r="C6536" s="4" t="n">
        <v>3</v>
      </c>
      <c r="D6536" s="4" t="n">
        <v>10</v>
      </c>
      <c r="E6536" s="4" t="s">
        <v>4897</v>
      </c>
      <c r="F6536" s="4" t="n">
        <v>47</v>
      </c>
      <c r="G6536" s="4" t="n">
        <v>2</v>
      </c>
      <c r="H6536" s="4" t="n">
        <v>3</v>
      </c>
      <c r="I6536" s="4" t="str">
        <v>○</v>
      </c>
      <c r="J6536" s="4" t="n">
        <v>170</v>
      </c>
      <c r="K6536" s="4"/>
      <c r="L6536" s="4"/>
      <c r="M6536" s="5" t="s">
        <v>4475</v>
      </c>
    </row>
    <row r="6537" customFormat="false" ht="15.75" hidden="false" customHeight="false" outlineLevel="0" collapsed="false">
      <c r="A6537" s="6" t="n">
        <v>46186</v>
      </c>
      <c r="B6537" s="4" t="s">
        <v>4473</v>
      </c>
      <c r="C6537" s="4" t="n">
        <v>3</v>
      </c>
      <c r="D6537" s="4" t="n">
        <v>11</v>
      </c>
      <c r="E6537" s="4" t="s">
        <v>2708</v>
      </c>
      <c r="F6537" s="4" t="n">
        <v>3</v>
      </c>
      <c r="G6537" s="4" t="n">
        <v>9</v>
      </c>
      <c r="H6537" s="4" t="n">
        <v>4</v>
      </c>
      <c r="I6537" s="4" t="str">
        <v>×</v>
      </c>
      <c r="J6537" s="4"/>
      <c r="K6537" s="4"/>
      <c r="L6537" s="4"/>
      <c r="M6537" s="5" t="s">
        <v>4475</v>
      </c>
    </row>
    <row r="6538" customFormat="false" ht="15.75" hidden="false" customHeight="false" outlineLevel="0" collapsed="false">
      <c r="A6538" s="6" t="n">
        <v>46186</v>
      </c>
      <c r="B6538" s="4" t="s">
        <v>4473</v>
      </c>
      <c r="C6538" s="4" t="n">
        <v>3</v>
      </c>
      <c r="D6538" s="4" t="n">
        <v>12</v>
      </c>
      <c r="E6538" s="4" t="s">
        <v>4898</v>
      </c>
      <c r="F6538" s="4" t="n">
        <v>13</v>
      </c>
      <c r="G6538" s="4" t="n">
        <v>7</v>
      </c>
      <c r="H6538" s="4" t="n">
        <v>4</v>
      </c>
      <c r="I6538" s="4" t="str">
        <v>×</v>
      </c>
      <c r="J6538" s="4"/>
      <c r="K6538" s="4"/>
      <c r="L6538" s="4"/>
      <c r="M6538" s="5" t="s">
        <v>4475</v>
      </c>
    </row>
    <row r="6539" customFormat="false" ht="15.75" hidden="false" customHeight="false" outlineLevel="0" collapsed="false">
      <c r="A6539" s="6" t="n">
        <v>46186</v>
      </c>
      <c r="B6539" s="4" t="s">
        <v>4473</v>
      </c>
      <c r="C6539" s="4" t="n">
        <v>3</v>
      </c>
      <c r="D6539" s="4" t="n">
        <v>13</v>
      </c>
      <c r="E6539" s="4" t="s">
        <v>4899</v>
      </c>
      <c r="F6539" s="4" t="n">
        <v>20</v>
      </c>
      <c r="G6539" s="4" t="n">
        <v>6</v>
      </c>
      <c r="H6539" s="4" t="n">
        <v>4</v>
      </c>
      <c r="I6539" s="4" t="str">
        <v>×</v>
      </c>
      <c r="J6539" s="4"/>
      <c r="K6539" s="4"/>
      <c r="L6539" s="4"/>
      <c r="M6539" s="5" t="s">
        <v>4475</v>
      </c>
    </row>
    <row r="6540" customFormat="false" ht="15.75" hidden="false" customHeight="false" outlineLevel="0" collapsed="false">
      <c r="A6540" s="6" t="n">
        <v>46186</v>
      </c>
      <c r="B6540" s="4" t="s">
        <v>4473</v>
      </c>
      <c r="C6540" s="4" t="n">
        <v>3</v>
      </c>
      <c r="D6540" s="4" t="n">
        <v>14</v>
      </c>
      <c r="E6540" s="4" t="s">
        <v>4900</v>
      </c>
      <c r="F6540" s="4" t="n">
        <v>6</v>
      </c>
      <c r="G6540" s="4" t="n">
        <v>8</v>
      </c>
      <c r="H6540" s="4" t="n">
        <v>4</v>
      </c>
      <c r="I6540" s="4" t="str">
        <v>×</v>
      </c>
      <c r="J6540" s="4"/>
      <c r="K6540" s="4"/>
      <c r="L6540" s="4"/>
      <c r="M6540" s="5" t="s">
        <v>4475</v>
      </c>
    </row>
    <row r="6541" customFormat="false" ht="15.75" hidden="false" customHeight="false" outlineLevel="0" collapsed="false">
      <c r="A6541" s="6" t="n">
        <v>46186</v>
      </c>
      <c r="B6541" s="4" t="s">
        <v>4473</v>
      </c>
      <c r="C6541" s="4" t="n">
        <v>3</v>
      </c>
      <c r="D6541" s="4" t="n">
        <v>15</v>
      </c>
      <c r="E6541" s="4" t="s">
        <v>4901</v>
      </c>
      <c r="F6541" s="4" t="n">
        <v>44</v>
      </c>
      <c r="G6541" s="4" t="n">
        <v>3</v>
      </c>
      <c r="H6541" s="4" t="n">
        <v>1</v>
      </c>
      <c r="I6541" s="4" t="str">
        <v>○</v>
      </c>
      <c r="J6541" s="4" t="n">
        <v>150</v>
      </c>
      <c r="K6541" s="4"/>
      <c r="L6541" s="4"/>
      <c r="M6541" s="5" t="s">
        <v>4475</v>
      </c>
    </row>
    <row r="6542" customFormat="false" ht="15.75" hidden="false" customHeight="false" outlineLevel="0" collapsed="false">
      <c r="A6542" s="6" t="n">
        <v>46186</v>
      </c>
      <c r="B6542" s="4" t="s">
        <v>4473</v>
      </c>
      <c r="C6542" s="4" t="n">
        <v>3</v>
      </c>
      <c r="D6542" s="4" t="n">
        <v>16</v>
      </c>
      <c r="E6542" s="4" t="s">
        <v>3511</v>
      </c>
      <c r="F6542" s="4" t="n">
        <v>6</v>
      </c>
      <c r="G6542" s="4" t="n">
        <v>8</v>
      </c>
      <c r="H6542" s="4" t="n">
        <v>4</v>
      </c>
      <c r="I6542" s="4" t="str">
        <v>×</v>
      </c>
      <c r="J6542" s="4"/>
      <c r="K6542" s="4"/>
      <c r="L6542" s="4"/>
      <c r="M6542" s="5" t="s">
        <v>4475</v>
      </c>
    </row>
    <row r="6543" customFormat="false" ht="15.75" hidden="false" customHeight="false" outlineLevel="0" collapsed="false">
      <c r="A6543" s="6" t="n">
        <v>46186</v>
      </c>
      <c r="B6543" s="4" t="s">
        <v>4473</v>
      </c>
      <c r="C6543" s="4" t="n">
        <v>4</v>
      </c>
      <c r="D6543" s="4" t="n">
        <v>1</v>
      </c>
      <c r="E6543" s="4" t="s">
        <v>4902</v>
      </c>
      <c r="F6543" s="4" t="n">
        <v>44</v>
      </c>
      <c r="G6543" s="4" t="n">
        <v>2</v>
      </c>
      <c r="H6543" s="4" t="n">
        <v>4</v>
      </c>
      <c r="I6543" s="4" t="str">
        <v>×</v>
      </c>
      <c r="J6543" s="4"/>
      <c r="K6543" s="4"/>
      <c r="L6543" s="4"/>
      <c r="M6543" s="5" t="s">
        <v>4475</v>
      </c>
    </row>
    <row r="6544" customFormat="false" ht="15.75" hidden="false" customHeight="false" outlineLevel="0" collapsed="false">
      <c r="A6544" s="6" t="n">
        <v>46186</v>
      </c>
      <c r="B6544" s="4" t="s">
        <v>4473</v>
      </c>
      <c r="C6544" s="4" t="n">
        <v>4</v>
      </c>
      <c r="D6544" s="4" t="n">
        <v>2</v>
      </c>
      <c r="E6544" s="4" t="s">
        <v>4903</v>
      </c>
      <c r="F6544" s="4" t="n">
        <v>3</v>
      </c>
      <c r="G6544" s="4" t="n">
        <v>7</v>
      </c>
      <c r="H6544" s="4" t="n">
        <v>1</v>
      </c>
      <c r="I6544" s="4" t="str">
        <v>○</v>
      </c>
      <c r="J6544" s="4" t="n">
        <v>150</v>
      </c>
      <c r="K6544" s="4"/>
      <c r="L6544" s="4"/>
      <c r="M6544" s="5" t="s">
        <v>4475</v>
      </c>
    </row>
    <row r="6545" customFormat="false" ht="15.75" hidden="false" customHeight="false" outlineLevel="0" collapsed="false">
      <c r="A6545" s="6" t="n">
        <v>46186</v>
      </c>
      <c r="B6545" s="4" t="s">
        <v>4473</v>
      </c>
      <c r="C6545" s="4" t="n">
        <v>4</v>
      </c>
      <c r="D6545" s="4" t="n">
        <v>3</v>
      </c>
      <c r="E6545" s="4" t="s">
        <v>4904</v>
      </c>
      <c r="F6545" s="4" t="n">
        <v>12</v>
      </c>
      <c r="G6545" s="4" t="n">
        <v>6</v>
      </c>
      <c r="H6545" s="4" t="n">
        <v>4</v>
      </c>
      <c r="I6545" s="4" t="str">
        <v>×</v>
      </c>
      <c r="J6545" s="4"/>
      <c r="K6545" s="4"/>
      <c r="L6545" s="4"/>
      <c r="M6545" s="5" t="s">
        <v>4475</v>
      </c>
    </row>
    <row r="6546" customFormat="false" ht="15.75" hidden="false" customHeight="false" outlineLevel="0" collapsed="false">
      <c r="A6546" s="6" t="n">
        <v>46186</v>
      </c>
      <c r="B6546" s="4" t="s">
        <v>4473</v>
      </c>
      <c r="C6546" s="4" t="n">
        <v>4</v>
      </c>
      <c r="D6546" s="4" t="n">
        <v>4</v>
      </c>
      <c r="E6546" s="4" t="s">
        <v>4905</v>
      </c>
      <c r="F6546" s="4" t="n">
        <v>14</v>
      </c>
      <c r="G6546" s="4" t="n">
        <v>5</v>
      </c>
      <c r="H6546" s="4" t="n">
        <v>4</v>
      </c>
      <c r="I6546" s="4" t="str">
        <v>×</v>
      </c>
      <c r="J6546" s="4"/>
      <c r="K6546" s="4"/>
      <c r="L6546" s="4"/>
      <c r="M6546" s="5" t="s">
        <v>4475</v>
      </c>
    </row>
    <row r="6547" customFormat="false" ht="15.75" hidden="false" customHeight="false" outlineLevel="0" collapsed="false">
      <c r="A6547" s="6" t="n">
        <v>46186</v>
      </c>
      <c r="B6547" s="4" t="s">
        <v>4473</v>
      </c>
      <c r="C6547" s="4" t="n">
        <v>4</v>
      </c>
      <c r="D6547" s="4" t="n">
        <v>5</v>
      </c>
      <c r="E6547" s="4" t="s">
        <v>4906</v>
      </c>
      <c r="F6547" s="4" t="n">
        <v>21</v>
      </c>
      <c r="G6547" s="4" t="n">
        <v>3</v>
      </c>
      <c r="H6547" s="4" t="n">
        <v>4</v>
      </c>
      <c r="I6547" s="4" t="str">
        <v>×</v>
      </c>
      <c r="J6547" s="4"/>
      <c r="K6547" s="4"/>
      <c r="L6547" s="4"/>
      <c r="M6547" s="5" t="s">
        <v>4475</v>
      </c>
    </row>
    <row r="6548" customFormat="false" ht="15.75" hidden="false" customHeight="false" outlineLevel="0" collapsed="false">
      <c r="A6548" s="6" t="n">
        <v>46186</v>
      </c>
      <c r="B6548" s="4" t="s">
        <v>4473</v>
      </c>
      <c r="C6548" s="4" t="n">
        <v>4</v>
      </c>
      <c r="D6548" s="4" t="n">
        <v>6</v>
      </c>
      <c r="E6548" s="4" t="s">
        <v>4907</v>
      </c>
      <c r="F6548" s="4" t="n">
        <v>44</v>
      </c>
      <c r="G6548" s="4" t="n">
        <v>2</v>
      </c>
      <c r="H6548" s="4" t="n">
        <v>3</v>
      </c>
      <c r="I6548" s="4" t="str">
        <v>○</v>
      </c>
      <c r="J6548" s="4" t="n">
        <v>500</v>
      </c>
      <c r="K6548" s="4"/>
      <c r="L6548" s="4"/>
      <c r="M6548" s="5" t="s">
        <v>4475</v>
      </c>
    </row>
    <row r="6549" customFormat="false" ht="15.75" hidden="false" customHeight="false" outlineLevel="0" collapsed="false">
      <c r="A6549" s="6" t="n">
        <v>46186</v>
      </c>
      <c r="B6549" s="4" t="s">
        <v>4473</v>
      </c>
      <c r="C6549" s="4" t="n">
        <v>4</v>
      </c>
      <c r="D6549" s="4" t="n">
        <v>7</v>
      </c>
      <c r="E6549" s="4" t="s">
        <v>4908</v>
      </c>
      <c r="F6549" s="4" t="n">
        <v>16</v>
      </c>
      <c r="G6549" s="4" t="n">
        <v>4</v>
      </c>
      <c r="H6549" s="4" t="n">
        <v>4</v>
      </c>
      <c r="I6549" s="4" t="str">
        <v>×</v>
      </c>
      <c r="J6549" s="4"/>
      <c r="K6549" s="4"/>
      <c r="L6549" s="4"/>
      <c r="M6549" s="5" t="s">
        <v>4475</v>
      </c>
    </row>
    <row r="6550" customFormat="false" ht="15.75" hidden="false" customHeight="false" outlineLevel="0" collapsed="false">
      <c r="A6550" s="6" t="n">
        <v>46186</v>
      </c>
      <c r="B6550" s="4" t="s">
        <v>4473</v>
      </c>
      <c r="C6550" s="4" t="n">
        <v>4</v>
      </c>
      <c r="D6550" s="4" t="n">
        <v>8</v>
      </c>
      <c r="E6550" s="4" t="s">
        <v>4909</v>
      </c>
      <c r="F6550" s="4" t="n">
        <v>44</v>
      </c>
      <c r="G6550" s="4" t="n">
        <v>2</v>
      </c>
      <c r="H6550" s="4" t="n">
        <v>4</v>
      </c>
      <c r="I6550" s="4" t="str">
        <v>×</v>
      </c>
      <c r="J6550" s="4"/>
      <c r="K6550" s="4"/>
      <c r="L6550" s="4"/>
      <c r="M6550" s="5" t="s">
        <v>4475</v>
      </c>
    </row>
    <row r="6551" customFormat="false" ht="15.75" hidden="false" customHeight="false" outlineLevel="0" collapsed="false">
      <c r="A6551" s="6" t="n">
        <v>46186</v>
      </c>
      <c r="B6551" s="4" t="s">
        <v>4473</v>
      </c>
      <c r="C6551" s="4" t="n">
        <v>4</v>
      </c>
      <c r="D6551" s="4" t="n">
        <v>9</v>
      </c>
      <c r="E6551" s="4" t="s">
        <v>4910</v>
      </c>
      <c r="F6551" s="4" t="n">
        <v>55</v>
      </c>
      <c r="G6551" s="4" t="n">
        <v>1</v>
      </c>
      <c r="H6551" s="4" t="n">
        <v>2</v>
      </c>
      <c r="I6551" s="4" t="str">
        <v>○</v>
      </c>
      <c r="J6551" s="4" t="n">
        <v>100</v>
      </c>
      <c r="K6551" s="4"/>
      <c r="L6551" s="4"/>
      <c r="M6551" s="5" t="s">
        <v>4475</v>
      </c>
    </row>
    <row r="6552" customFormat="false" ht="15.75" hidden="false" customHeight="false" outlineLevel="0" collapsed="false">
      <c r="A6552" s="6" t="n">
        <v>46186</v>
      </c>
      <c r="B6552" s="4" t="s">
        <v>4473</v>
      </c>
      <c r="C6552" s="4" t="n">
        <v>4</v>
      </c>
      <c r="D6552" s="4" t="n">
        <v>10</v>
      </c>
      <c r="E6552" s="4" t="s">
        <v>4911</v>
      </c>
      <c r="F6552" s="4" t="n">
        <v>55</v>
      </c>
      <c r="G6552" s="4" t="n">
        <v>1</v>
      </c>
      <c r="H6552" s="4" t="n">
        <v>4</v>
      </c>
      <c r="I6552" s="4" t="str">
        <v>×</v>
      </c>
      <c r="J6552" s="4"/>
      <c r="K6552" s="4"/>
      <c r="L6552" s="4"/>
      <c r="M6552" s="5" t="s">
        <v>4475</v>
      </c>
    </row>
    <row r="6553" customFormat="false" ht="15.75" hidden="false" customHeight="false" outlineLevel="0" collapsed="false">
      <c r="A6553" s="6" t="n">
        <v>46186</v>
      </c>
      <c r="B6553" s="4" t="s">
        <v>4473</v>
      </c>
      <c r="C6553" s="4" t="n">
        <v>5</v>
      </c>
      <c r="D6553" s="4" t="n">
        <v>1</v>
      </c>
      <c r="E6553" s="4" t="s">
        <v>2676</v>
      </c>
      <c r="F6553" s="4" t="n">
        <v>24</v>
      </c>
      <c r="G6553" s="4" t="n">
        <v>3</v>
      </c>
      <c r="H6553" s="4" t="n">
        <v>3</v>
      </c>
      <c r="I6553" s="4" t="str">
        <v>○</v>
      </c>
      <c r="J6553" s="4"/>
      <c r="K6553" s="4"/>
      <c r="L6553" s="4"/>
      <c r="M6553" s="5" t="s">
        <v>4475</v>
      </c>
    </row>
    <row r="6554" customFormat="false" ht="15.75" hidden="false" customHeight="false" outlineLevel="0" collapsed="false">
      <c r="A6554" s="6" t="n">
        <v>46186</v>
      </c>
      <c r="B6554" s="4" t="s">
        <v>4473</v>
      </c>
      <c r="C6554" s="4" t="n">
        <v>5</v>
      </c>
      <c r="D6554" s="4" t="n">
        <v>2</v>
      </c>
      <c r="E6554" s="4" t="s">
        <v>4912</v>
      </c>
      <c r="F6554" s="4" t="n">
        <v>31</v>
      </c>
      <c r="G6554" s="4" t="n">
        <v>2</v>
      </c>
      <c r="H6554" s="4" t="n">
        <v>1</v>
      </c>
      <c r="I6554" s="4" t="str">
        <v>○</v>
      </c>
      <c r="J6554" s="4" t="n">
        <v>110</v>
      </c>
      <c r="K6554" s="4"/>
      <c r="L6554" s="4"/>
      <c r="M6554" s="5" t="s">
        <v>4475</v>
      </c>
    </row>
    <row r="6555" customFormat="false" ht="15.75" hidden="false" customHeight="false" outlineLevel="0" collapsed="false">
      <c r="A6555" s="6" t="n">
        <v>46186</v>
      </c>
      <c r="B6555" s="4" t="s">
        <v>4473</v>
      </c>
      <c r="C6555" s="4" t="n">
        <v>5</v>
      </c>
      <c r="D6555" s="4" t="n">
        <v>3</v>
      </c>
      <c r="E6555" s="4" t="s">
        <v>1244</v>
      </c>
      <c r="F6555" s="4" t="n">
        <v>24</v>
      </c>
      <c r="G6555" s="4" t="n">
        <v>3</v>
      </c>
      <c r="H6555" s="4" t="n">
        <v>4</v>
      </c>
      <c r="I6555" s="4" t="str">
        <v>×</v>
      </c>
      <c r="J6555" s="4"/>
      <c r="K6555" s="4"/>
      <c r="L6555" s="4"/>
      <c r="M6555" s="5" t="s">
        <v>4475</v>
      </c>
    </row>
    <row r="6556" customFormat="false" ht="15.75" hidden="false" customHeight="false" outlineLevel="0" collapsed="false">
      <c r="A6556" s="6" t="n">
        <v>46186</v>
      </c>
      <c r="B6556" s="4" t="s">
        <v>4473</v>
      </c>
      <c r="C6556" s="4" t="n">
        <v>5</v>
      </c>
      <c r="D6556" s="4" t="n">
        <v>4</v>
      </c>
      <c r="E6556" s="4" t="s">
        <v>4913</v>
      </c>
      <c r="F6556" s="4" t="n">
        <v>12</v>
      </c>
      <c r="G6556" s="4" t="n">
        <v>5</v>
      </c>
      <c r="H6556" s="4" t="n">
        <v>4</v>
      </c>
      <c r="I6556" s="4" t="str">
        <v>×</v>
      </c>
      <c r="J6556" s="4"/>
      <c r="K6556" s="4"/>
      <c r="L6556" s="4"/>
      <c r="M6556" s="5" t="s">
        <v>4475</v>
      </c>
    </row>
    <row r="6557" customFormat="false" ht="15.75" hidden="false" customHeight="false" outlineLevel="0" collapsed="false">
      <c r="A6557" s="6" t="n">
        <v>46186</v>
      </c>
      <c r="B6557" s="4" t="s">
        <v>4473</v>
      </c>
      <c r="C6557" s="4" t="n">
        <v>5</v>
      </c>
      <c r="D6557" s="4" t="n">
        <v>5</v>
      </c>
      <c r="E6557" s="4" t="s">
        <v>4914</v>
      </c>
      <c r="F6557" s="4" t="n">
        <v>31</v>
      </c>
      <c r="G6557" s="4" t="n">
        <v>2</v>
      </c>
      <c r="H6557" s="4" t="n">
        <v>2</v>
      </c>
      <c r="I6557" s="4" t="str">
        <v>○</v>
      </c>
      <c r="J6557" s="4" t="n">
        <v>150</v>
      </c>
      <c r="K6557" s="4"/>
      <c r="L6557" s="4"/>
      <c r="M6557" s="5" t="s">
        <v>4475</v>
      </c>
    </row>
    <row r="6558" customFormat="false" ht="15.75" hidden="false" customHeight="false" outlineLevel="0" collapsed="false">
      <c r="A6558" s="6" t="n">
        <v>46186</v>
      </c>
      <c r="B6558" s="4" t="s">
        <v>4473</v>
      </c>
      <c r="C6558" s="4" t="n">
        <v>5</v>
      </c>
      <c r="D6558" s="4" t="n">
        <v>6</v>
      </c>
      <c r="E6558" s="4" t="s">
        <v>4915</v>
      </c>
      <c r="F6558" s="4" t="n">
        <v>37</v>
      </c>
      <c r="G6558" s="4" t="n">
        <v>1</v>
      </c>
      <c r="H6558" s="4" t="n">
        <v>4</v>
      </c>
      <c r="I6558" s="4" t="str">
        <v>×</v>
      </c>
      <c r="J6558" s="4"/>
      <c r="K6558" s="4"/>
      <c r="L6558" s="4"/>
      <c r="M6558" s="5" t="s">
        <v>4475</v>
      </c>
    </row>
    <row r="6559" customFormat="false" ht="15.75" hidden="false" customHeight="false" outlineLevel="0" collapsed="false">
      <c r="A6559" s="6" t="n">
        <v>46186</v>
      </c>
      <c r="B6559" s="4" t="s">
        <v>4473</v>
      </c>
      <c r="C6559" s="4" t="n">
        <v>5</v>
      </c>
      <c r="D6559" s="4" t="n">
        <v>7</v>
      </c>
      <c r="E6559" s="4" t="s">
        <v>2678</v>
      </c>
      <c r="F6559" s="4" t="n">
        <v>16</v>
      </c>
      <c r="G6559" s="4" t="n">
        <v>4</v>
      </c>
      <c r="H6559" s="4" t="n">
        <v>4</v>
      </c>
      <c r="I6559" s="4" t="str">
        <v>×</v>
      </c>
      <c r="J6559" s="4"/>
      <c r="K6559" s="4"/>
      <c r="L6559" s="4"/>
      <c r="M6559" s="5" t="s">
        <v>4475</v>
      </c>
    </row>
    <row r="6560" customFormat="false" ht="15.75" hidden="false" customHeight="false" outlineLevel="0" collapsed="false">
      <c r="A6560" s="6" t="n">
        <v>46186</v>
      </c>
      <c r="B6560" s="4" t="s">
        <v>4473</v>
      </c>
      <c r="C6560" s="4" t="n">
        <v>6</v>
      </c>
      <c r="D6560" s="4" t="n">
        <v>1</v>
      </c>
      <c r="E6560" s="4" t="s">
        <v>1389</v>
      </c>
      <c r="F6560" s="4" t="n">
        <v>6</v>
      </c>
      <c r="G6560" s="4" t="n">
        <v>8</v>
      </c>
      <c r="H6560" s="4" t="n">
        <v>4</v>
      </c>
      <c r="I6560" s="4" t="str">
        <v>×</v>
      </c>
      <c r="J6560" s="4"/>
      <c r="K6560" s="4"/>
      <c r="L6560" s="4"/>
      <c r="M6560" s="5" t="s">
        <v>4475</v>
      </c>
    </row>
    <row r="6561" customFormat="false" ht="15.75" hidden="false" customHeight="false" outlineLevel="0" collapsed="false">
      <c r="A6561" s="6" t="n">
        <v>46186</v>
      </c>
      <c r="B6561" s="4" t="s">
        <v>4473</v>
      </c>
      <c r="C6561" s="4" t="n">
        <v>6</v>
      </c>
      <c r="D6561" s="4" t="n">
        <v>2</v>
      </c>
      <c r="E6561" s="4" t="s">
        <v>3983</v>
      </c>
      <c r="F6561" s="4" t="n">
        <v>12</v>
      </c>
      <c r="G6561" s="4" t="n">
        <v>7</v>
      </c>
      <c r="H6561" s="4" t="n">
        <v>2</v>
      </c>
      <c r="I6561" s="4" t="str">
        <v>○</v>
      </c>
      <c r="J6561" s="4" t="n">
        <v>680</v>
      </c>
      <c r="K6561" s="4"/>
      <c r="L6561" s="4"/>
      <c r="M6561" s="5" t="s">
        <v>4475</v>
      </c>
    </row>
    <row r="6562" customFormat="false" ht="15.75" hidden="false" customHeight="false" outlineLevel="0" collapsed="false">
      <c r="A6562" s="6" t="n">
        <v>46186</v>
      </c>
      <c r="B6562" s="4" t="s">
        <v>4473</v>
      </c>
      <c r="C6562" s="4" t="n">
        <v>6</v>
      </c>
      <c r="D6562" s="4" t="n">
        <v>3</v>
      </c>
      <c r="E6562" s="4" t="s">
        <v>3695</v>
      </c>
      <c r="F6562" s="4" t="n">
        <v>21</v>
      </c>
      <c r="G6562" s="4" t="n">
        <v>4</v>
      </c>
      <c r="H6562" s="4" t="n">
        <v>4</v>
      </c>
      <c r="I6562" s="4" t="str">
        <v>×</v>
      </c>
      <c r="J6562" s="4"/>
      <c r="K6562" s="4"/>
      <c r="L6562" s="4"/>
      <c r="M6562" s="5" t="s">
        <v>4475</v>
      </c>
    </row>
    <row r="6563" customFormat="false" ht="15.75" hidden="false" customHeight="false" outlineLevel="0" collapsed="false">
      <c r="A6563" s="6" t="n">
        <v>46186</v>
      </c>
      <c r="B6563" s="4" t="s">
        <v>4473</v>
      </c>
      <c r="C6563" s="4" t="n">
        <v>6</v>
      </c>
      <c r="D6563" s="4" t="n">
        <v>4</v>
      </c>
      <c r="E6563" s="4" t="s">
        <v>4916</v>
      </c>
      <c r="F6563" s="4" t="n">
        <v>24</v>
      </c>
      <c r="G6563" s="4" t="n">
        <v>3</v>
      </c>
      <c r="H6563" s="4" t="n">
        <v>4</v>
      </c>
      <c r="I6563" s="4" t="str">
        <v>×</v>
      </c>
      <c r="J6563" s="4"/>
      <c r="K6563" s="4"/>
      <c r="L6563" s="4"/>
      <c r="M6563" s="5" t="s">
        <v>4475</v>
      </c>
    </row>
    <row r="6564" customFormat="false" ht="15.75" hidden="false" customHeight="false" outlineLevel="0" collapsed="false">
      <c r="A6564" s="6" t="n">
        <v>46186</v>
      </c>
      <c r="B6564" s="4" t="s">
        <v>4473</v>
      </c>
      <c r="C6564" s="4" t="n">
        <v>6</v>
      </c>
      <c r="D6564" s="4" t="n">
        <v>5</v>
      </c>
      <c r="E6564" s="4" t="s">
        <v>4917</v>
      </c>
      <c r="F6564" s="4" t="n">
        <v>44</v>
      </c>
      <c r="G6564" s="4" t="n">
        <v>1</v>
      </c>
      <c r="H6564" s="4" t="n">
        <v>4</v>
      </c>
      <c r="I6564" s="4" t="str">
        <v>×</v>
      </c>
      <c r="J6564" s="4"/>
      <c r="K6564" s="4"/>
      <c r="L6564" s="4"/>
      <c r="M6564" s="5" t="s">
        <v>4475</v>
      </c>
    </row>
    <row r="6565" customFormat="false" ht="15.75" hidden="false" customHeight="false" outlineLevel="0" collapsed="false">
      <c r="A6565" s="6" t="n">
        <v>46186</v>
      </c>
      <c r="B6565" s="4" t="s">
        <v>4473</v>
      </c>
      <c r="C6565" s="4" t="n">
        <v>6</v>
      </c>
      <c r="D6565" s="4" t="n">
        <v>6</v>
      </c>
      <c r="E6565" s="4" t="s">
        <v>4918</v>
      </c>
      <c r="F6565" s="4" t="n">
        <v>31</v>
      </c>
      <c r="G6565" s="4" t="n">
        <v>2</v>
      </c>
      <c r="H6565" s="4" t="n">
        <v>1</v>
      </c>
      <c r="I6565" s="4" t="str">
        <v>○</v>
      </c>
      <c r="J6565" s="4" t="n">
        <v>260</v>
      </c>
      <c r="K6565" s="4"/>
      <c r="L6565" s="4"/>
      <c r="M6565" s="5" t="s">
        <v>4475</v>
      </c>
    </row>
    <row r="6566" customFormat="false" ht="15.75" hidden="false" customHeight="false" outlineLevel="0" collapsed="false">
      <c r="A6566" s="6" t="n">
        <v>46186</v>
      </c>
      <c r="B6566" s="4" t="s">
        <v>4473</v>
      </c>
      <c r="C6566" s="4" t="n">
        <v>6</v>
      </c>
      <c r="D6566" s="4" t="n">
        <v>7</v>
      </c>
      <c r="E6566" s="4" t="s">
        <v>4919</v>
      </c>
      <c r="F6566" s="4" t="n">
        <v>16</v>
      </c>
      <c r="G6566" s="4" t="n">
        <v>5</v>
      </c>
      <c r="H6566" s="4" t="n">
        <v>4</v>
      </c>
      <c r="I6566" s="4" t="str">
        <v>×</v>
      </c>
      <c r="J6566" s="4"/>
      <c r="K6566" s="4"/>
      <c r="L6566" s="4"/>
      <c r="M6566" s="5" t="s">
        <v>4475</v>
      </c>
    </row>
    <row r="6567" customFormat="false" ht="15.75" hidden="false" customHeight="false" outlineLevel="0" collapsed="false">
      <c r="A6567" s="6" t="n">
        <v>46186</v>
      </c>
      <c r="B6567" s="4" t="s">
        <v>4473</v>
      </c>
      <c r="C6567" s="4" t="n">
        <v>6</v>
      </c>
      <c r="D6567" s="4" t="n">
        <v>8</v>
      </c>
      <c r="E6567" s="4" t="s">
        <v>4920</v>
      </c>
      <c r="F6567" s="4" t="n">
        <v>12</v>
      </c>
      <c r="G6567" s="4" t="n">
        <v>7</v>
      </c>
      <c r="H6567" s="4" t="n">
        <v>3</v>
      </c>
      <c r="I6567" s="4" t="str">
        <v>○</v>
      </c>
      <c r="J6567" s="4" t="n">
        <v>710</v>
      </c>
      <c r="K6567" s="4"/>
      <c r="L6567" s="4"/>
      <c r="M6567" s="5" t="s">
        <v>4475</v>
      </c>
    </row>
    <row r="6568" customFormat="false" ht="15.75" hidden="false" customHeight="false" outlineLevel="0" collapsed="false">
      <c r="A6568" s="6" t="n">
        <v>46186</v>
      </c>
      <c r="B6568" s="4" t="s">
        <v>4473</v>
      </c>
      <c r="C6568" s="4" t="n">
        <v>6</v>
      </c>
      <c r="D6568" s="4" t="n">
        <v>9</v>
      </c>
      <c r="E6568" s="4" t="s">
        <v>4921</v>
      </c>
      <c r="F6568" s="4" t="n">
        <v>14</v>
      </c>
      <c r="G6568" s="4" t="n">
        <v>6</v>
      </c>
      <c r="H6568" s="4" t="n">
        <v>4</v>
      </c>
      <c r="I6568" s="4" t="str">
        <v>×</v>
      </c>
      <c r="J6568" s="4"/>
      <c r="K6568" s="4"/>
      <c r="L6568" s="4"/>
      <c r="M6568" s="5" t="s">
        <v>4475</v>
      </c>
    </row>
    <row r="6569" customFormat="false" ht="15.75" hidden="false" customHeight="false" outlineLevel="0" collapsed="false">
      <c r="A6569" s="6" t="n">
        <v>46186</v>
      </c>
      <c r="B6569" s="4" t="s">
        <v>4473</v>
      </c>
      <c r="C6569" s="4" t="n">
        <v>7</v>
      </c>
      <c r="D6569" s="4" t="n">
        <v>1</v>
      </c>
      <c r="E6569" s="4" t="s">
        <v>2951</v>
      </c>
      <c r="F6569" s="4" t="n">
        <v>3</v>
      </c>
      <c r="G6569" s="4" t="n">
        <v>10</v>
      </c>
      <c r="H6569" s="4" t="n">
        <v>4</v>
      </c>
      <c r="I6569" s="4" t="str">
        <v>×</v>
      </c>
      <c r="J6569" s="4"/>
      <c r="K6569" s="4"/>
      <c r="L6569" s="4"/>
      <c r="M6569" s="5" t="s">
        <v>4475</v>
      </c>
    </row>
    <row r="6570" customFormat="false" ht="15.75" hidden="false" customHeight="false" outlineLevel="0" collapsed="false">
      <c r="A6570" s="6" t="n">
        <v>46186</v>
      </c>
      <c r="B6570" s="4" t="s">
        <v>4473</v>
      </c>
      <c r="C6570" s="4" t="n">
        <v>7</v>
      </c>
      <c r="D6570" s="4" t="n">
        <v>2</v>
      </c>
      <c r="E6570" s="4" t="s">
        <v>4922</v>
      </c>
      <c r="F6570" s="4" t="n">
        <v>4</v>
      </c>
      <c r="G6570" s="4" t="n">
        <v>9</v>
      </c>
      <c r="H6570" s="4" t="n">
        <v>4</v>
      </c>
      <c r="I6570" s="4" t="str">
        <v>×</v>
      </c>
      <c r="J6570" s="4"/>
      <c r="K6570" s="4"/>
      <c r="L6570" s="4"/>
      <c r="M6570" s="5" t="s">
        <v>4475</v>
      </c>
    </row>
    <row r="6571" customFormat="false" ht="15.75" hidden="false" customHeight="false" outlineLevel="0" collapsed="false">
      <c r="A6571" s="6" t="n">
        <v>46186</v>
      </c>
      <c r="B6571" s="4" t="s">
        <v>4473</v>
      </c>
      <c r="C6571" s="4" t="n">
        <v>7</v>
      </c>
      <c r="D6571" s="4" t="n">
        <v>3</v>
      </c>
      <c r="E6571" s="4" t="s">
        <v>111</v>
      </c>
      <c r="F6571" s="4" t="n">
        <v>34</v>
      </c>
      <c r="G6571" s="4" t="n">
        <v>4</v>
      </c>
      <c r="H6571" s="4" t="n">
        <v>1</v>
      </c>
      <c r="I6571" s="4" t="str">
        <v>○</v>
      </c>
      <c r="J6571" s="4" t="n">
        <v>360</v>
      </c>
      <c r="K6571" s="4"/>
      <c r="L6571" s="4"/>
      <c r="M6571" s="5" t="s">
        <v>4475</v>
      </c>
    </row>
    <row r="6572" customFormat="false" ht="15.75" hidden="false" customHeight="false" outlineLevel="0" collapsed="false">
      <c r="A6572" s="6" t="n">
        <v>46186</v>
      </c>
      <c r="B6572" s="4" t="s">
        <v>4473</v>
      </c>
      <c r="C6572" s="4" t="n">
        <v>7</v>
      </c>
      <c r="D6572" s="4" t="n">
        <v>4</v>
      </c>
      <c r="E6572" s="4" t="s">
        <v>4923</v>
      </c>
      <c r="F6572" s="4" t="n">
        <v>34</v>
      </c>
      <c r="G6572" s="4" t="n">
        <v>4</v>
      </c>
      <c r="H6572" s="4" t="n">
        <v>4</v>
      </c>
      <c r="I6572" s="4" t="str">
        <v>×</v>
      </c>
      <c r="J6572" s="4"/>
      <c r="K6572" s="4"/>
      <c r="L6572" s="4"/>
      <c r="M6572" s="5" t="s">
        <v>4475</v>
      </c>
    </row>
    <row r="6573" customFormat="false" ht="15.75" hidden="false" customHeight="false" outlineLevel="0" collapsed="false">
      <c r="A6573" s="6" t="n">
        <v>46186</v>
      </c>
      <c r="B6573" s="4" t="s">
        <v>4473</v>
      </c>
      <c r="C6573" s="4" t="n">
        <v>7</v>
      </c>
      <c r="D6573" s="4" t="n">
        <v>5</v>
      </c>
      <c r="E6573" s="4" t="s">
        <v>4924</v>
      </c>
      <c r="F6573" s="4" t="n">
        <v>6</v>
      </c>
      <c r="G6573" s="4" t="n">
        <v>8</v>
      </c>
      <c r="H6573" s="4" t="n">
        <v>4</v>
      </c>
      <c r="I6573" s="4" t="str">
        <v>×</v>
      </c>
      <c r="J6573" s="4"/>
      <c r="K6573" s="4"/>
      <c r="L6573" s="4"/>
      <c r="M6573" s="5" t="s">
        <v>4475</v>
      </c>
    </row>
    <row r="6574" customFormat="false" ht="15.75" hidden="false" customHeight="false" outlineLevel="0" collapsed="false">
      <c r="A6574" s="6" t="n">
        <v>46186</v>
      </c>
      <c r="B6574" s="4" t="s">
        <v>4473</v>
      </c>
      <c r="C6574" s="4" t="n">
        <v>7</v>
      </c>
      <c r="D6574" s="4" t="n">
        <v>6</v>
      </c>
      <c r="E6574" s="4" t="s">
        <v>2703</v>
      </c>
      <c r="F6574" s="4" t="n">
        <v>8</v>
      </c>
      <c r="G6574" s="4" t="n">
        <v>7</v>
      </c>
      <c r="H6574" s="4" t="n">
        <v>4</v>
      </c>
      <c r="I6574" s="4" t="str">
        <v>×</v>
      </c>
      <c r="J6574" s="4"/>
      <c r="K6574" s="4"/>
      <c r="L6574" s="4"/>
      <c r="M6574" s="5" t="s">
        <v>4475</v>
      </c>
    </row>
    <row r="6575" customFormat="false" ht="15.75" hidden="false" customHeight="false" outlineLevel="0" collapsed="false">
      <c r="A6575" s="6" t="n">
        <v>46186</v>
      </c>
      <c r="B6575" s="4" t="s">
        <v>4473</v>
      </c>
      <c r="C6575" s="4" t="n">
        <v>7</v>
      </c>
      <c r="D6575" s="4" t="n">
        <v>7</v>
      </c>
      <c r="E6575" s="4" t="s">
        <v>1469</v>
      </c>
      <c r="F6575" s="4" t="n">
        <v>4</v>
      </c>
      <c r="G6575" s="4" t="n">
        <v>9</v>
      </c>
      <c r="H6575" s="4" t="n">
        <v>2</v>
      </c>
      <c r="I6575" s="4" t="str">
        <v>○</v>
      </c>
      <c r="J6575" s="4" t="n">
        <v>540</v>
      </c>
      <c r="K6575" s="4"/>
      <c r="L6575" s="4"/>
      <c r="M6575" s="5" t="s">
        <v>4475</v>
      </c>
    </row>
    <row r="6576" customFormat="false" ht="15.75" hidden="false" customHeight="false" outlineLevel="0" collapsed="false">
      <c r="A6576" s="6" t="n">
        <v>46186</v>
      </c>
      <c r="B6576" s="4" t="s">
        <v>4473</v>
      </c>
      <c r="C6576" s="4" t="n">
        <v>7</v>
      </c>
      <c r="D6576" s="4" t="n">
        <v>8</v>
      </c>
      <c r="E6576" s="4" t="s">
        <v>2302</v>
      </c>
      <c r="F6576" s="4" t="n">
        <v>25</v>
      </c>
      <c r="G6576" s="4" t="n">
        <v>5</v>
      </c>
      <c r="H6576" s="4" t="n">
        <v>4</v>
      </c>
      <c r="I6576" s="4" t="str">
        <v>×</v>
      </c>
      <c r="J6576" s="4"/>
      <c r="K6576" s="4"/>
      <c r="L6576" s="4"/>
      <c r="M6576" s="5" t="s">
        <v>4475</v>
      </c>
    </row>
    <row r="6577" customFormat="false" ht="15.75" hidden="false" customHeight="false" outlineLevel="0" collapsed="false">
      <c r="A6577" s="6" t="n">
        <v>46186</v>
      </c>
      <c r="B6577" s="4" t="s">
        <v>4473</v>
      </c>
      <c r="C6577" s="4" t="n">
        <v>7</v>
      </c>
      <c r="D6577" s="4" t="n">
        <v>9</v>
      </c>
      <c r="E6577" s="4" t="s">
        <v>4012</v>
      </c>
      <c r="F6577" s="4" t="n">
        <v>41</v>
      </c>
      <c r="G6577" s="4" t="n">
        <v>3</v>
      </c>
      <c r="H6577" s="4" t="n">
        <v>4</v>
      </c>
      <c r="I6577" s="4" t="str">
        <v>×</v>
      </c>
      <c r="J6577" s="4"/>
      <c r="K6577" s="4"/>
      <c r="L6577" s="4"/>
      <c r="M6577" s="5" t="s">
        <v>4475</v>
      </c>
    </row>
    <row r="6578" customFormat="false" ht="15.75" hidden="false" customHeight="false" outlineLevel="0" collapsed="false">
      <c r="A6578" s="6" t="n">
        <v>46186</v>
      </c>
      <c r="B6578" s="4" t="s">
        <v>4473</v>
      </c>
      <c r="C6578" s="4" t="n">
        <v>7</v>
      </c>
      <c r="D6578" s="4" t="n">
        <v>10</v>
      </c>
      <c r="E6578" s="4" t="s">
        <v>4925</v>
      </c>
      <c r="F6578" s="4" t="n">
        <v>52</v>
      </c>
      <c r="G6578" s="4" t="n">
        <v>1</v>
      </c>
      <c r="H6578" s="4" t="n">
        <v>4</v>
      </c>
      <c r="I6578" s="4" t="str">
        <v>×</v>
      </c>
      <c r="J6578" s="4"/>
      <c r="K6578" s="4"/>
      <c r="L6578" s="4"/>
      <c r="M6578" s="5" t="s">
        <v>4475</v>
      </c>
    </row>
    <row r="6579" customFormat="false" ht="15.75" hidden="false" customHeight="false" outlineLevel="0" collapsed="false">
      <c r="A6579" s="6" t="n">
        <v>46186</v>
      </c>
      <c r="B6579" s="4" t="s">
        <v>4473</v>
      </c>
      <c r="C6579" s="4" t="n">
        <v>7</v>
      </c>
      <c r="D6579" s="4" t="n">
        <v>11</v>
      </c>
      <c r="E6579" s="4" t="s">
        <v>1470</v>
      </c>
      <c r="F6579" s="4" t="n">
        <v>44</v>
      </c>
      <c r="G6579" s="4" t="n">
        <v>2</v>
      </c>
      <c r="H6579" s="4" t="n">
        <v>3</v>
      </c>
      <c r="I6579" s="4" t="str">
        <v>○</v>
      </c>
      <c r="J6579" s="4" t="n">
        <v>240</v>
      </c>
      <c r="K6579" s="4"/>
      <c r="L6579" s="4"/>
      <c r="M6579" s="5" t="s">
        <v>4475</v>
      </c>
    </row>
    <row r="6580" customFormat="false" ht="15.75" hidden="false" customHeight="false" outlineLevel="0" collapsed="false">
      <c r="A6580" s="6" t="n">
        <v>46186</v>
      </c>
      <c r="B6580" s="4" t="s">
        <v>4473</v>
      </c>
      <c r="C6580" s="4" t="n">
        <v>7</v>
      </c>
      <c r="D6580" s="4" t="n">
        <v>12</v>
      </c>
      <c r="E6580" s="4" t="s">
        <v>996</v>
      </c>
      <c r="F6580" s="4" t="n">
        <v>15</v>
      </c>
      <c r="G6580" s="4" t="n">
        <v>6</v>
      </c>
      <c r="H6580" s="4" t="n">
        <v>4</v>
      </c>
      <c r="I6580" s="4" t="str">
        <v>×</v>
      </c>
      <c r="J6580" s="4"/>
      <c r="K6580" s="4"/>
      <c r="L6580" s="4"/>
      <c r="M6580" s="5" t="s">
        <v>4475</v>
      </c>
    </row>
    <row r="6581" customFormat="false" ht="15.75" hidden="false" customHeight="false" outlineLevel="0" collapsed="false">
      <c r="A6581" s="6" t="n">
        <v>46186</v>
      </c>
      <c r="B6581" s="4" t="s">
        <v>4473</v>
      </c>
      <c r="C6581" s="4" t="n">
        <v>7</v>
      </c>
      <c r="D6581" s="4" t="n">
        <v>13</v>
      </c>
      <c r="E6581" s="4" t="s">
        <v>4926</v>
      </c>
      <c r="F6581" s="4" t="n">
        <v>6</v>
      </c>
      <c r="G6581" s="4" t="n">
        <v>8</v>
      </c>
      <c r="H6581" s="4" t="n">
        <v>4</v>
      </c>
      <c r="I6581" s="4" t="str">
        <v>×</v>
      </c>
      <c r="J6581" s="4"/>
      <c r="K6581" s="4"/>
      <c r="L6581" s="4"/>
      <c r="M6581" s="5" t="s">
        <v>4475</v>
      </c>
    </row>
    <row r="6582" customFormat="false" ht="15.75" hidden="false" customHeight="false" outlineLevel="0" collapsed="false">
      <c r="A6582" s="6" t="n">
        <v>46186</v>
      </c>
      <c r="B6582" s="4" t="s">
        <v>4473</v>
      </c>
      <c r="C6582" s="4" t="n">
        <v>7</v>
      </c>
      <c r="D6582" s="4" t="n">
        <v>14</v>
      </c>
      <c r="E6582" s="4" t="s">
        <v>1915</v>
      </c>
      <c r="F6582" s="4" t="n">
        <v>6</v>
      </c>
      <c r="G6582" s="4" t="n">
        <v>8</v>
      </c>
      <c r="H6582" s="4" t="n">
        <v>4</v>
      </c>
      <c r="I6582" s="4" t="str">
        <v>×</v>
      </c>
      <c r="J6582" s="4"/>
      <c r="K6582" s="4"/>
      <c r="L6582" s="4"/>
      <c r="M6582" s="5" t="s">
        <v>4475</v>
      </c>
    </row>
    <row r="6583" customFormat="false" ht="15.75" hidden="false" customHeight="false" outlineLevel="0" collapsed="false">
      <c r="A6583" s="6" t="n">
        <v>46186</v>
      </c>
      <c r="B6583" s="4" t="s">
        <v>4473</v>
      </c>
      <c r="C6583" s="4" t="n">
        <v>7</v>
      </c>
      <c r="D6583" s="4" t="n">
        <v>15</v>
      </c>
      <c r="E6583" s="4" t="s">
        <v>4927</v>
      </c>
      <c r="F6583" s="4" t="n">
        <v>6</v>
      </c>
      <c r="G6583" s="4" t="n">
        <v>8</v>
      </c>
      <c r="H6583" s="4" t="n">
        <v>4</v>
      </c>
      <c r="I6583" s="4" t="str">
        <v>×</v>
      </c>
      <c r="J6583" s="4"/>
      <c r="K6583" s="4"/>
      <c r="L6583" s="4"/>
      <c r="M6583" s="5" t="s">
        <v>4475</v>
      </c>
    </row>
    <row r="6584" customFormat="false" ht="15.75" hidden="false" customHeight="false" outlineLevel="0" collapsed="false">
      <c r="A6584" s="6" t="n">
        <v>46186</v>
      </c>
      <c r="B6584" s="4" t="s">
        <v>4473</v>
      </c>
      <c r="C6584" s="4" t="n">
        <v>7</v>
      </c>
      <c r="D6584" s="4" t="n">
        <v>16</v>
      </c>
      <c r="E6584" s="4" t="s">
        <v>2220</v>
      </c>
      <c r="F6584" s="4" t="n">
        <v>3</v>
      </c>
      <c r="G6584" s="4" t="n">
        <v>10</v>
      </c>
      <c r="H6584" s="4" t="n">
        <v>4</v>
      </c>
      <c r="I6584" s="4" t="str">
        <v>×</v>
      </c>
      <c r="J6584" s="4"/>
      <c r="K6584" s="4"/>
      <c r="L6584" s="4"/>
      <c r="M6584" s="5" t="s">
        <v>4475</v>
      </c>
    </row>
    <row r="6585" customFormat="false" ht="15.75" hidden="false" customHeight="false" outlineLevel="0" collapsed="false">
      <c r="A6585" s="6" t="n">
        <v>46186</v>
      </c>
      <c r="B6585" s="4" t="s">
        <v>4473</v>
      </c>
      <c r="C6585" s="4" t="n">
        <v>8</v>
      </c>
      <c r="D6585" s="4" t="n">
        <v>1</v>
      </c>
      <c r="E6585" s="4" t="s">
        <v>4928</v>
      </c>
      <c r="F6585" s="4" t="n">
        <v>52</v>
      </c>
      <c r="G6585" s="4" t="n">
        <v>1</v>
      </c>
      <c r="H6585" s="4" t="n">
        <v>1</v>
      </c>
      <c r="I6585" s="4" t="str">
        <v>○</v>
      </c>
      <c r="J6585" s="4" t="n">
        <v>190</v>
      </c>
      <c r="K6585" s="4"/>
      <c r="L6585" s="4"/>
      <c r="M6585" s="5" t="s">
        <v>4475</v>
      </c>
    </row>
    <row r="6586" customFormat="false" ht="15.75" hidden="false" customHeight="false" outlineLevel="0" collapsed="false">
      <c r="A6586" s="6" t="n">
        <v>46186</v>
      </c>
      <c r="B6586" s="4" t="s">
        <v>4473</v>
      </c>
      <c r="C6586" s="4" t="n">
        <v>8</v>
      </c>
      <c r="D6586" s="4" t="n">
        <v>2</v>
      </c>
      <c r="E6586" s="4" t="s">
        <v>396</v>
      </c>
      <c r="F6586" s="4" t="n">
        <v>50</v>
      </c>
      <c r="G6586" s="4" t="n">
        <v>2</v>
      </c>
      <c r="H6586" s="4" t="n">
        <v>4</v>
      </c>
      <c r="I6586" s="4" t="str">
        <v>×</v>
      </c>
      <c r="J6586" s="4"/>
      <c r="K6586" s="4"/>
      <c r="L6586" s="4"/>
      <c r="M6586" s="5" t="s">
        <v>4475</v>
      </c>
    </row>
    <row r="6587" customFormat="false" ht="15.75" hidden="false" customHeight="false" outlineLevel="0" collapsed="false">
      <c r="A6587" s="6" t="n">
        <v>46186</v>
      </c>
      <c r="B6587" s="4" t="s">
        <v>4473</v>
      </c>
      <c r="C6587" s="4" t="n">
        <v>8</v>
      </c>
      <c r="D6587" s="4" t="n">
        <v>3</v>
      </c>
      <c r="E6587" s="4" t="s">
        <v>4929</v>
      </c>
      <c r="F6587" s="4" t="n">
        <v>17</v>
      </c>
      <c r="G6587" s="4" t="n">
        <v>5</v>
      </c>
      <c r="H6587" s="4" t="n">
        <v>4</v>
      </c>
      <c r="I6587" s="4" t="str">
        <v>×</v>
      </c>
      <c r="J6587" s="4"/>
      <c r="K6587" s="4"/>
      <c r="L6587" s="4"/>
      <c r="M6587" s="5" t="s">
        <v>4475</v>
      </c>
    </row>
    <row r="6588" customFormat="false" ht="15.75" hidden="false" customHeight="false" outlineLevel="0" collapsed="false">
      <c r="A6588" s="6" t="n">
        <v>46186</v>
      </c>
      <c r="B6588" s="4" t="s">
        <v>4473</v>
      </c>
      <c r="C6588" s="4" t="n">
        <v>8</v>
      </c>
      <c r="D6588" s="4" t="n">
        <v>4</v>
      </c>
      <c r="E6588" s="4" t="s">
        <v>4930</v>
      </c>
      <c r="F6588" s="4" t="n">
        <v>2</v>
      </c>
      <c r="G6588" s="4" t="n">
        <v>10</v>
      </c>
      <c r="H6588" s="4" t="n">
        <v>4</v>
      </c>
      <c r="I6588" s="4" t="str">
        <v>×</v>
      </c>
      <c r="J6588" s="4"/>
      <c r="K6588" s="4"/>
      <c r="L6588" s="4"/>
      <c r="M6588" s="5" t="s">
        <v>4475</v>
      </c>
    </row>
    <row r="6589" customFormat="false" ht="15.75" hidden="false" customHeight="false" outlineLevel="0" collapsed="false">
      <c r="A6589" s="6" t="n">
        <v>46186</v>
      </c>
      <c r="B6589" s="4" t="s">
        <v>4473</v>
      </c>
      <c r="C6589" s="4" t="n">
        <v>8</v>
      </c>
      <c r="D6589" s="4" t="n">
        <v>5</v>
      </c>
      <c r="E6589" s="4" t="s">
        <v>4931</v>
      </c>
      <c r="F6589" s="4" t="n">
        <v>10</v>
      </c>
      <c r="G6589" s="4" t="n">
        <v>8</v>
      </c>
      <c r="H6589" s="4" t="n">
        <v>4</v>
      </c>
      <c r="I6589" s="4" t="str">
        <v>×</v>
      </c>
      <c r="J6589" s="4"/>
      <c r="K6589" s="4"/>
      <c r="L6589" s="4"/>
      <c r="M6589" s="5" t="s">
        <v>4475</v>
      </c>
    </row>
    <row r="6590" customFormat="false" ht="15.75" hidden="false" customHeight="false" outlineLevel="0" collapsed="false">
      <c r="A6590" s="6" t="n">
        <v>46186</v>
      </c>
      <c r="B6590" s="4" t="s">
        <v>4473</v>
      </c>
      <c r="C6590" s="4" t="n">
        <v>8</v>
      </c>
      <c r="D6590" s="4" t="n">
        <v>6</v>
      </c>
      <c r="E6590" s="4" t="s">
        <v>609</v>
      </c>
      <c r="F6590" s="4" t="n">
        <v>17</v>
      </c>
      <c r="G6590" s="4" t="n">
        <v>5</v>
      </c>
      <c r="H6590" s="4" t="n">
        <v>4</v>
      </c>
      <c r="I6590" s="4" t="str">
        <v>×</v>
      </c>
      <c r="J6590" s="4"/>
      <c r="K6590" s="4"/>
      <c r="L6590" s="4"/>
      <c r="M6590" s="5" t="s">
        <v>4475</v>
      </c>
    </row>
    <row r="6591" customFormat="false" ht="15.75" hidden="false" customHeight="false" outlineLevel="0" collapsed="false">
      <c r="A6591" s="6" t="n">
        <v>46186</v>
      </c>
      <c r="B6591" s="4" t="s">
        <v>4473</v>
      </c>
      <c r="C6591" s="4" t="n">
        <v>8</v>
      </c>
      <c r="D6591" s="4" t="n">
        <v>7</v>
      </c>
      <c r="E6591" s="4" t="s">
        <v>4932</v>
      </c>
      <c r="F6591" s="4" t="n">
        <v>17</v>
      </c>
      <c r="G6591" s="4" t="n">
        <v>5</v>
      </c>
      <c r="H6591" s="4" t="n">
        <v>2</v>
      </c>
      <c r="I6591" s="4" t="str">
        <v>○</v>
      </c>
      <c r="J6591" s="4" t="n">
        <v>1560</v>
      </c>
      <c r="K6591" s="4"/>
      <c r="L6591" s="4"/>
      <c r="M6591" s="5" t="s">
        <v>4475</v>
      </c>
    </row>
    <row r="6592" customFormat="false" ht="15.75" hidden="false" customHeight="false" outlineLevel="0" collapsed="false">
      <c r="A6592" s="6" t="n">
        <v>46186</v>
      </c>
      <c r="B6592" s="4" t="s">
        <v>4473</v>
      </c>
      <c r="C6592" s="4" t="n">
        <v>8</v>
      </c>
      <c r="D6592" s="4" t="n">
        <v>8</v>
      </c>
      <c r="E6592" s="4" t="s">
        <v>4933</v>
      </c>
      <c r="F6592" s="4" t="n">
        <v>17</v>
      </c>
      <c r="G6592" s="4" t="n">
        <v>5</v>
      </c>
      <c r="H6592" s="4" t="n">
        <v>4</v>
      </c>
      <c r="I6592" s="4" t="str">
        <v>×</v>
      </c>
      <c r="J6592" s="4"/>
      <c r="K6592" s="4"/>
      <c r="L6592" s="4"/>
      <c r="M6592" s="5" t="s">
        <v>4475</v>
      </c>
    </row>
    <row r="6593" customFormat="false" ht="15.75" hidden="false" customHeight="false" outlineLevel="0" collapsed="false">
      <c r="A6593" s="6" t="n">
        <v>46186</v>
      </c>
      <c r="B6593" s="4" t="s">
        <v>4473</v>
      </c>
      <c r="C6593" s="4" t="n">
        <v>8</v>
      </c>
      <c r="D6593" s="4" t="n">
        <v>9</v>
      </c>
      <c r="E6593" s="4" t="s">
        <v>4934</v>
      </c>
      <c r="F6593" s="4" t="n">
        <v>4</v>
      </c>
      <c r="G6593" s="4" t="n">
        <v>9</v>
      </c>
      <c r="H6593" s="4" t="n">
        <v>4</v>
      </c>
      <c r="I6593" s="4" t="str">
        <v>×</v>
      </c>
      <c r="J6593" s="4"/>
      <c r="K6593" s="4"/>
      <c r="L6593" s="4"/>
      <c r="M6593" s="5" t="s">
        <v>4475</v>
      </c>
    </row>
    <row r="6594" customFormat="false" ht="15.75" hidden="false" customHeight="false" outlineLevel="0" collapsed="false">
      <c r="A6594" s="6" t="n">
        <v>46186</v>
      </c>
      <c r="B6594" s="4" t="s">
        <v>4473</v>
      </c>
      <c r="C6594" s="4" t="n">
        <v>8</v>
      </c>
      <c r="D6594" s="4" t="n">
        <v>10</v>
      </c>
      <c r="E6594" s="4" t="s">
        <v>3809</v>
      </c>
      <c r="F6594" s="4" t="n">
        <v>15</v>
      </c>
      <c r="G6594" s="4" t="n">
        <v>6</v>
      </c>
      <c r="H6594" s="4" t="n">
        <v>4</v>
      </c>
      <c r="I6594" s="4" t="str">
        <v>×</v>
      </c>
      <c r="J6594" s="4"/>
      <c r="K6594" s="4"/>
      <c r="L6594" s="4"/>
      <c r="M6594" s="5" t="s">
        <v>4475</v>
      </c>
    </row>
    <row r="6595" customFormat="false" ht="15.75" hidden="false" customHeight="false" outlineLevel="0" collapsed="false">
      <c r="A6595" s="6" t="n">
        <v>46186</v>
      </c>
      <c r="B6595" s="4" t="s">
        <v>4473</v>
      </c>
      <c r="C6595" s="4" t="n">
        <v>8</v>
      </c>
      <c r="D6595" s="4" t="n">
        <v>11</v>
      </c>
      <c r="E6595" s="4" t="s">
        <v>4935</v>
      </c>
      <c r="F6595" s="4" t="n">
        <v>15</v>
      </c>
      <c r="G6595" s="4" t="n">
        <v>6</v>
      </c>
      <c r="H6595" s="4" t="n">
        <v>4</v>
      </c>
      <c r="I6595" s="4" t="str">
        <v>×</v>
      </c>
      <c r="J6595" s="4"/>
      <c r="K6595" s="4"/>
      <c r="L6595" s="4"/>
      <c r="M6595" s="5" t="s">
        <v>4475</v>
      </c>
    </row>
    <row r="6596" customFormat="false" ht="15.75" hidden="false" customHeight="false" outlineLevel="0" collapsed="false">
      <c r="A6596" s="6" t="n">
        <v>46186</v>
      </c>
      <c r="B6596" s="4" t="s">
        <v>4473</v>
      </c>
      <c r="C6596" s="4" t="n">
        <v>8</v>
      </c>
      <c r="D6596" s="4" t="n">
        <v>12</v>
      </c>
      <c r="E6596" s="4" t="s">
        <v>4936</v>
      </c>
      <c r="F6596" s="4" t="n">
        <v>1</v>
      </c>
      <c r="G6596" s="4" t="n">
        <v>11</v>
      </c>
      <c r="H6596" s="4" t="n">
        <v>4</v>
      </c>
      <c r="I6596" s="4" t="str">
        <v>×</v>
      </c>
      <c r="J6596" s="4"/>
      <c r="K6596" s="4"/>
      <c r="L6596" s="4"/>
      <c r="M6596" s="5" t="s">
        <v>4475</v>
      </c>
    </row>
    <row r="6597" customFormat="false" ht="15.75" hidden="false" customHeight="false" outlineLevel="0" collapsed="false">
      <c r="A6597" s="6" t="n">
        <v>46186</v>
      </c>
      <c r="B6597" s="4" t="s">
        <v>4473</v>
      </c>
      <c r="C6597" s="4" t="n">
        <v>8</v>
      </c>
      <c r="D6597" s="4" t="n">
        <v>13</v>
      </c>
      <c r="E6597" s="4" t="s">
        <v>2804</v>
      </c>
      <c r="F6597" s="4" t="n">
        <v>41</v>
      </c>
      <c r="G6597" s="4" t="n">
        <v>3</v>
      </c>
      <c r="H6597" s="4" t="n">
        <v>4</v>
      </c>
      <c r="I6597" s="4" t="str">
        <v>×</v>
      </c>
      <c r="J6597" s="4"/>
      <c r="K6597" s="4"/>
      <c r="L6597" s="4"/>
      <c r="M6597" s="5" t="s">
        <v>4475</v>
      </c>
    </row>
    <row r="6598" customFormat="false" ht="15.75" hidden="false" customHeight="false" outlineLevel="0" collapsed="false">
      <c r="A6598" s="6" t="n">
        <v>46186</v>
      </c>
      <c r="B6598" s="4" t="s">
        <v>4473</v>
      </c>
      <c r="C6598" s="4" t="n">
        <v>8</v>
      </c>
      <c r="D6598" s="4" t="n">
        <v>14</v>
      </c>
      <c r="E6598" s="4" t="s">
        <v>4937</v>
      </c>
      <c r="F6598" s="4" t="n">
        <v>17</v>
      </c>
      <c r="G6598" s="4" t="n">
        <v>5</v>
      </c>
      <c r="H6598" s="4" t="n">
        <v>4</v>
      </c>
      <c r="I6598" s="4" t="str">
        <v>×</v>
      </c>
      <c r="J6598" s="4"/>
      <c r="K6598" s="4"/>
      <c r="L6598" s="4"/>
      <c r="M6598" s="5" t="s">
        <v>4475</v>
      </c>
    </row>
    <row r="6599" customFormat="false" ht="15.75" hidden="false" customHeight="false" outlineLevel="0" collapsed="false">
      <c r="A6599" s="6" t="n">
        <v>46186</v>
      </c>
      <c r="B6599" s="4" t="s">
        <v>4473</v>
      </c>
      <c r="C6599" s="4" t="n">
        <v>8</v>
      </c>
      <c r="D6599" s="4" t="n">
        <v>15</v>
      </c>
      <c r="E6599" s="4" t="s">
        <v>4938</v>
      </c>
      <c r="F6599" s="4" t="n">
        <v>13</v>
      </c>
      <c r="G6599" s="4" t="n">
        <v>7</v>
      </c>
      <c r="H6599" s="4" t="n">
        <v>4</v>
      </c>
      <c r="I6599" s="4" t="str">
        <v>×</v>
      </c>
      <c r="J6599" s="4"/>
      <c r="K6599" s="4"/>
      <c r="L6599" s="4"/>
      <c r="M6599" s="5" t="s">
        <v>4475</v>
      </c>
    </row>
    <row r="6600" customFormat="false" ht="15.75" hidden="false" customHeight="false" outlineLevel="0" collapsed="false">
      <c r="A6600" s="6" t="n">
        <v>46186</v>
      </c>
      <c r="B6600" s="4" t="s">
        <v>4473</v>
      </c>
      <c r="C6600" s="4" t="n">
        <v>8</v>
      </c>
      <c r="D6600" s="4" t="n">
        <v>16</v>
      </c>
      <c r="E6600" s="4" t="s">
        <v>4939</v>
      </c>
      <c r="F6600" s="4" t="n">
        <v>34</v>
      </c>
      <c r="G6600" s="4" t="n">
        <v>4</v>
      </c>
      <c r="H6600" s="4" t="n">
        <v>4</v>
      </c>
      <c r="I6600" s="4" t="str">
        <v>×</v>
      </c>
      <c r="J6600" s="4"/>
      <c r="K6600" s="4"/>
      <c r="L6600" s="4"/>
      <c r="M6600" s="5" t="s">
        <v>4475</v>
      </c>
    </row>
    <row r="6601" customFormat="false" ht="15.75" hidden="false" customHeight="false" outlineLevel="0" collapsed="false">
      <c r="A6601" s="6" t="n">
        <v>46186</v>
      </c>
      <c r="B6601" s="4" t="s">
        <v>4473</v>
      </c>
      <c r="C6601" s="4" t="n">
        <v>8</v>
      </c>
      <c r="D6601" s="4" t="n">
        <v>17</v>
      </c>
      <c r="E6601" s="4" t="s">
        <v>3810</v>
      </c>
      <c r="F6601" s="4" t="n">
        <v>13</v>
      </c>
      <c r="G6601" s="4" t="n">
        <v>7</v>
      </c>
      <c r="H6601" s="4" t="n">
        <v>4</v>
      </c>
      <c r="I6601" s="4" t="str">
        <v>×</v>
      </c>
      <c r="J6601" s="4"/>
      <c r="K6601" s="4"/>
      <c r="L6601" s="4"/>
      <c r="M6601" s="5" t="s">
        <v>4475</v>
      </c>
    </row>
    <row r="6602" customFormat="false" ht="15.75" hidden="false" customHeight="false" outlineLevel="0" collapsed="false">
      <c r="A6602" s="6" t="n">
        <v>46186</v>
      </c>
      <c r="B6602" s="4" t="s">
        <v>4473</v>
      </c>
      <c r="C6602" s="4" t="n">
        <v>8</v>
      </c>
      <c r="D6602" s="4" t="n">
        <v>18</v>
      </c>
      <c r="E6602" s="4" t="s">
        <v>2371</v>
      </c>
      <c r="F6602" s="4" t="n">
        <v>34</v>
      </c>
      <c r="G6602" s="4" t="n">
        <v>4</v>
      </c>
      <c r="H6602" s="4" t="n">
        <v>3</v>
      </c>
      <c r="I6602" s="4" t="str">
        <v>○</v>
      </c>
      <c r="J6602" s="4" t="n">
        <v>630</v>
      </c>
      <c r="K6602" s="4"/>
      <c r="L6602" s="4"/>
      <c r="M6602" s="5" t="s">
        <v>4475</v>
      </c>
    </row>
    <row r="6603" customFormat="false" ht="15.75" hidden="false" customHeight="false" outlineLevel="0" collapsed="false">
      <c r="A6603" s="6" t="n">
        <v>46186</v>
      </c>
      <c r="B6603" s="4" t="s">
        <v>4473</v>
      </c>
      <c r="C6603" s="4" t="n">
        <v>9</v>
      </c>
      <c r="D6603" s="4" t="n">
        <v>1</v>
      </c>
      <c r="E6603" s="4" t="s">
        <v>4940</v>
      </c>
      <c r="F6603" s="4" t="n">
        <v>17</v>
      </c>
      <c r="G6603" s="4" t="n">
        <v>5</v>
      </c>
      <c r="H6603" s="4" t="n">
        <v>4</v>
      </c>
      <c r="I6603" s="4" t="str">
        <v>×</v>
      </c>
      <c r="J6603" s="4"/>
      <c r="K6603" s="4"/>
      <c r="L6603" s="4"/>
      <c r="M6603" s="5" t="s">
        <v>4475</v>
      </c>
    </row>
    <row r="6604" customFormat="false" ht="15.75" hidden="false" customHeight="false" outlineLevel="0" collapsed="false">
      <c r="A6604" s="6" t="n">
        <v>46186</v>
      </c>
      <c r="B6604" s="4" t="s">
        <v>4473</v>
      </c>
      <c r="C6604" s="4" t="n">
        <v>9</v>
      </c>
      <c r="D6604" s="4" t="n">
        <v>2</v>
      </c>
      <c r="E6604" s="4" t="s">
        <v>4941</v>
      </c>
      <c r="F6604" s="4" t="n">
        <v>41</v>
      </c>
      <c r="G6604" s="4" t="n">
        <v>1</v>
      </c>
      <c r="H6604" s="4" t="n">
        <v>2</v>
      </c>
      <c r="I6604" s="4" t="str">
        <v>○</v>
      </c>
      <c r="J6604" s="4" t="n">
        <v>190</v>
      </c>
      <c r="K6604" s="4"/>
      <c r="L6604" s="4"/>
      <c r="M6604" s="5" t="s">
        <v>4475</v>
      </c>
    </row>
    <row r="6605" customFormat="false" ht="15.75" hidden="false" customHeight="false" outlineLevel="0" collapsed="false">
      <c r="A6605" s="6" t="n">
        <v>46186</v>
      </c>
      <c r="B6605" s="4" t="s">
        <v>4473</v>
      </c>
      <c r="C6605" s="4" t="n">
        <v>9</v>
      </c>
      <c r="D6605" s="4" t="n">
        <v>3</v>
      </c>
      <c r="E6605" s="4" t="s">
        <v>4942</v>
      </c>
      <c r="F6605" s="4" t="n">
        <v>2</v>
      </c>
      <c r="G6605" s="4" t="n">
        <v>9</v>
      </c>
      <c r="H6605" s="4" t="n">
        <v>4</v>
      </c>
      <c r="I6605" s="4" t="str">
        <v>×</v>
      </c>
      <c r="J6605" s="4"/>
      <c r="K6605" s="4"/>
      <c r="L6605" s="4"/>
      <c r="M6605" s="5" t="s">
        <v>4475</v>
      </c>
    </row>
    <row r="6606" customFormat="false" ht="15.75" hidden="false" customHeight="false" outlineLevel="0" collapsed="false">
      <c r="A6606" s="6" t="n">
        <v>46186</v>
      </c>
      <c r="B6606" s="4" t="s">
        <v>4473</v>
      </c>
      <c r="C6606" s="4" t="n">
        <v>9</v>
      </c>
      <c r="D6606" s="4" t="n">
        <v>4</v>
      </c>
      <c r="E6606" s="4" t="s">
        <v>4943</v>
      </c>
      <c r="F6606" s="4" t="n">
        <v>23</v>
      </c>
      <c r="G6606" s="4" t="n">
        <v>4</v>
      </c>
      <c r="H6606" s="4" t="n">
        <v>4</v>
      </c>
      <c r="I6606" s="4" t="str">
        <v>×</v>
      </c>
      <c r="J6606" s="4"/>
      <c r="K6606" s="4"/>
      <c r="L6606" s="4"/>
      <c r="M6606" s="5" t="s">
        <v>4475</v>
      </c>
    </row>
    <row r="6607" customFormat="false" ht="15.75" hidden="false" customHeight="false" outlineLevel="0" collapsed="false">
      <c r="A6607" s="6" t="n">
        <v>46186</v>
      </c>
      <c r="B6607" s="4" t="s">
        <v>4473</v>
      </c>
      <c r="C6607" s="4" t="n">
        <v>9</v>
      </c>
      <c r="D6607" s="4" t="n">
        <v>5</v>
      </c>
      <c r="E6607" s="4" t="s">
        <v>4944</v>
      </c>
      <c r="F6607" s="4" t="n">
        <v>1</v>
      </c>
      <c r="G6607" s="4" t="n">
        <v>10</v>
      </c>
      <c r="H6607" s="4" t="n">
        <v>4</v>
      </c>
      <c r="I6607" s="4" t="str">
        <v>×</v>
      </c>
      <c r="J6607" s="4"/>
      <c r="K6607" s="4"/>
      <c r="L6607" s="4"/>
      <c r="M6607" s="5" t="s">
        <v>4475</v>
      </c>
    </row>
    <row r="6608" customFormat="false" ht="15.75" hidden="false" customHeight="false" outlineLevel="0" collapsed="false">
      <c r="A6608" s="6" t="n">
        <v>46186</v>
      </c>
      <c r="B6608" s="4" t="s">
        <v>4473</v>
      </c>
      <c r="C6608" s="4" t="n">
        <v>9</v>
      </c>
      <c r="D6608" s="4" t="n">
        <v>6</v>
      </c>
      <c r="E6608" s="4" t="s">
        <v>4945</v>
      </c>
      <c r="F6608" s="4" t="n">
        <v>2</v>
      </c>
      <c r="G6608" s="4" t="n">
        <v>9</v>
      </c>
      <c r="H6608" s="4" t="n">
        <v>4</v>
      </c>
      <c r="I6608" s="4" t="str">
        <v>×</v>
      </c>
      <c r="J6608" s="4"/>
      <c r="K6608" s="4"/>
      <c r="L6608" s="4"/>
      <c r="M6608" s="5" t="s">
        <v>4475</v>
      </c>
    </row>
    <row r="6609" customFormat="false" ht="15.75" hidden="false" customHeight="false" outlineLevel="0" collapsed="false">
      <c r="A6609" s="6" t="n">
        <v>46186</v>
      </c>
      <c r="B6609" s="4" t="s">
        <v>4473</v>
      </c>
      <c r="C6609" s="4" t="n">
        <v>9</v>
      </c>
      <c r="D6609" s="4" t="n">
        <v>7</v>
      </c>
      <c r="E6609" s="4" t="s">
        <v>4946</v>
      </c>
      <c r="F6609" s="4" t="n">
        <v>31</v>
      </c>
      <c r="G6609" s="4" t="n">
        <v>3</v>
      </c>
      <c r="H6609" s="4" t="n">
        <v>1</v>
      </c>
      <c r="I6609" s="4" t="str">
        <v>○</v>
      </c>
      <c r="J6609" s="4" t="n">
        <v>180</v>
      </c>
      <c r="K6609" s="4"/>
      <c r="L6609" s="4"/>
      <c r="M6609" s="5" t="s">
        <v>4475</v>
      </c>
    </row>
    <row r="6610" customFormat="false" ht="15.75" hidden="false" customHeight="false" outlineLevel="0" collapsed="false">
      <c r="A6610" s="6" t="n">
        <v>46186</v>
      </c>
      <c r="B6610" s="4" t="s">
        <v>4473</v>
      </c>
      <c r="C6610" s="4" t="n">
        <v>9</v>
      </c>
      <c r="D6610" s="4" t="n">
        <v>8</v>
      </c>
      <c r="E6610" s="4" t="s">
        <v>4947</v>
      </c>
      <c r="F6610" s="4" t="n">
        <v>23</v>
      </c>
      <c r="G6610" s="4" t="n">
        <v>4</v>
      </c>
      <c r="H6610" s="4" t="n">
        <v>4</v>
      </c>
      <c r="I6610" s="4" t="str">
        <v>×</v>
      </c>
      <c r="J6610" s="4"/>
      <c r="K6610" s="4"/>
      <c r="L6610" s="4"/>
      <c r="M6610" s="5" t="s">
        <v>4475</v>
      </c>
    </row>
    <row r="6611" customFormat="false" ht="15.75" hidden="false" customHeight="false" outlineLevel="0" collapsed="false">
      <c r="A6611" s="6" t="n">
        <v>46186</v>
      </c>
      <c r="B6611" s="4" t="s">
        <v>4473</v>
      </c>
      <c r="C6611" s="4" t="n">
        <v>9</v>
      </c>
      <c r="D6611" s="4" t="n">
        <v>9</v>
      </c>
      <c r="E6611" s="4" t="s">
        <v>4948</v>
      </c>
      <c r="F6611" s="4" t="n">
        <v>37</v>
      </c>
      <c r="G6611" s="4" t="n">
        <v>2</v>
      </c>
      <c r="H6611" s="4" t="n">
        <v>3</v>
      </c>
      <c r="I6611" s="4" t="str">
        <v>○</v>
      </c>
      <c r="J6611" s="4" t="n">
        <v>110</v>
      </c>
      <c r="K6611" s="4"/>
      <c r="L6611" s="4"/>
      <c r="M6611" s="5" t="s">
        <v>4475</v>
      </c>
    </row>
    <row r="6612" customFormat="false" ht="15.75" hidden="false" customHeight="false" outlineLevel="0" collapsed="false">
      <c r="A6612" s="6" t="n">
        <v>46186</v>
      </c>
      <c r="B6612" s="4" t="s">
        <v>4473</v>
      </c>
      <c r="C6612" s="4" t="n">
        <v>9</v>
      </c>
      <c r="D6612" s="4" t="n">
        <v>10</v>
      </c>
      <c r="E6612" s="4" t="s">
        <v>4949</v>
      </c>
      <c r="F6612" s="4" t="n">
        <v>10</v>
      </c>
      <c r="G6612" s="4" t="n">
        <v>7</v>
      </c>
      <c r="H6612" s="4" t="n">
        <v>4</v>
      </c>
      <c r="I6612" s="4" t="str">
        <v>×</v>
      </c>
      <c r="J6612" s="4"/>
      <c r="K6612" s="4"/>
      <c r="L6612" s="4"/>
      <c r="M6612" s="5" t="s">
        <v>4475</v>
      </c>
    </row>
    <row r="6613" customFormat="false" ht="15.75" hidden="false" customHeight="false" outlineLevel="0" collapsed="false">
      <c r="A6613" s="6" t="n">
        <v>46186</v>
      </c>
      <c r="B6613" s="4" t="s">
        <v>4473</v>
      </c>
      <c r="C6613" s="4" t="n">
        <v>9</v>
      </c>
      <c r="D6613" s="4" t="n">
        <v>11</v>
      </c>
      <c r="E6613" s="4" t="s">
        <v>3651</v>
      </c>
      <c r="F6613" s="4" t="n">
        <v>4</v>
      </c>
      <c r="G6613" s="4" t="n">
        <v>8</v>
      </c>
      <c r="H6613" s="4" t="n">
        <v>4</v>
      </c>
      <c r="I6613" s="4" t="str">
        <v>×</v>
      </c>
      <c r="J6613" s="4"/>
      <c r="K6613" s="4"/>
      <c r="L6613" s="4"/>
      <c r="M6613" s="5" t="s">
        <v>4475</v>
      </c>
    </row>
    <row r="6614" customFormat="false" ht="15.75" hidden="false" customHeight="false" outlineLevel="0" collapsed="false">
      <c r="A6614" s="6" t="n">
        <v>46186</v>
      </c>
      <c r="B6614" s="4" t="s">
        <v>4473</v>
      </c>
      <c r="C6614" s="4" t="n">
        <v>9</v>
      </c>
      <c r="D6614" s="4" t="n">
        <v>12</v>
      </c>
      <c r="E6614" s="4" t="s">
        <v>4950</v>
      </c>
      <c r="F6614" s="4" t="n">
        <v>2</v>
      </c>
      <c r="G6614" s="4" t="n">
        <v>9</v>
      </c>
      <c r="H6614" s="4" t="n">
        <v>4</v>
      </c>
      <c r="I6614" s="4" t="str">
        <v>×</v>
      </c>
      <c r="J6614" s="4"/>
      <c r="K6614" s="4"/>
      <c r="L6614" s="4"/>
      <c r="M6614" s="5" t="s">
        <v>4475</v>
      </c>
    </row>
    <row r="6615" customFormat="false" ht="15.75" hidden="false" customHeight="false" outlineLevel="0" collapsed="false">
      <c r="A6615" s="6" t="n">
        <v>46186</v>
      </c>
      <c r="B6615" s="4" t="s">
        <v>4473</v>
      </c>
      <c r="C6615" s="4" t="n">
        <v>9</v>
      </c>
      <c r="D6615" s="4" t="n">
        <v>13</v>
      </c>
      <c r="E6615" s="4" t="s">
        <v>4951</v>
      </c>
      <c r="F6615" s="4" t="n">
        <v>15</v>
      </c>
      <c r="G6615" s="4" t="n">
        <v>6</v>
      </c>
      <c r="H6615" s="4" t="n">
        <v>4</v>
      </c>
      <c r="I6615" s="4" t="str">
        <v>×</v>
      </c>
      <c r="J6615" s="4"/>
      <c r="K6615" s="4"/>
      <c r="L6615" s="4"/>
      <c r="M6615" s="5" t="s">
        <v>4475</v>
      </c>
    </row>
    <row r="6616" customFormat="false" ht="15.75" hidden="false" customHeight="false" outlineLevel="0" collapsed="false">
      <c r="A6616" s="6" t="n">
        <v>46186</v>
      </c>
      <c r="B6616" s="4" t="s">
        <v>4473</v>
      </c>
      <c r="C6616" s="4" t="n">
        <v>9</v>
      </c>
      <c r="D6616" s="4" t="n">
        <v>14</v>
      </c>
      <c r="E6616" s="4" t="s">
        <v>4952</v>
      </c>
      <c r="F6616" s="4" t="n">
        <v>37</v>
      </c>
      <c r="G6616" s="4" t="n">
        <v>2</v>
      </c>
      <c r="H6616" s="4" t="n">
        <v>4</v>
      </c>
      <c r="I6616" s="4" t="str">
        <v>×</v>
      </c>
      <c r="J6616" s="4"/>
      <c r="K6616" s="4"/>
      <c r="L6616" s="4"/>
      <c r="M6616" s="5" t="s">
        <v>4475</v>
      </c>
    </row>
    <row r="6617" customFormat="false" ht="15.75" hidden="false" customHeight="false" outlineLevel="0" collapsed="false">
      <c r="A6617" s="6" t="n">
        <v>46186</v>
      </c>
      <c r="B6617" s="4" t="s">
        <v>4473</v>
      </c>
      <c r="C6617" s="4" t="n">
        <v>10</v>
      </c>
      <c r="D6617" s="4" t="n">
        <v>1</v>
      </c>
      <c r="E6617" s="4" t="s">
        <v>4953</v>
      </c>
      <c r="F6617" s="4" t="n">
        <v>3</v>
      </c>
      <c r="G6617" s="4" t="n">
        <v>10</v>
      </c>
      <c r="H6617" s="4" t="n">
        <v>4</v>
      </c>
      <c r="I6617" s="4" t="str">
        <v>×</v>
      </c>
      <c r="J6617" s="4"/>
      <c r="K6617" s="4"/>
      <c r="L6617" s="4"/>
      <c r="M6617" s="5" t="s">
        <v>4475</v>
      </c>
    </row>
    <row r="6618" customFormat="false" ht="15.75" hidden="false" customHeight="false" outlineLevel="0" collapsed="false">
      <c r="A6618" s="6" t="n">
        <v>46186</v>
      </c>
      <c r="B6618" s="4" t="s">
        <v>4473</v>
      </c>
      <c r="C6618" s="4" t="n">
        <v>10</v>
      </c>
      <c r="D6618" s="4" t="n">
        <v>2</v>
      </c>
      <c r="E6618" s="4" t="s">
        <v>4954</v>
      </c>
      <c r="F6618" s="4" t="n">
        <v>13</v>
      </c>
      <c r="G6618" s="4" t="n">
        <v>5</v>
      </c>
      <c r="H6618" s="4" t="n">
        <v>2</v>
      </c>
      <c r="I6618" s="4" t="str">
        <v>○</v>
      </c>
      <c r="J6618" s="4" t="n">
        <v>940</v>
      </c>
      <c r="K6618" s="4"/>
      <c r="L6618" s="4"/>
      <c r="M6618" s="5" t="s">
        <v>4475</v>
      </c>
    </row>
    <row r="6619" customFormat="false" ht="15.75" hidden="false" customHeight="false" outlineLevel="0" collapsed="false">
      <c r="A6619" s="6" t="n">
        <v>46186</v>
      </c>
      <c r="B6619" s="4" t="s">
        <v>4473</v>
      </c>
      <c r="C6619" s="4" t="n">
        <v>10</v>
      </c>
      <c r="D6619" s="4" t="n">
        <v>3</v>
      </c>
      <c r="E6619" s="4" t="s">
        <v>4955</v>
      </c>
      <c r="F6619" s="4" t="n">
        <v>15</v>
      </c>
      <c r="G6619" s="4" t="n">
        <v>4</v>
      </c>
      <c r="H6619" s="4" t="n">
        <v>4</v>
      </c>
      <c r="I6619" s="4" t="str">
        <v>×</v>
      </c>
      <c r="J6619" s="4"/>
      <c r="K6619" s="4"/>
      <c r="L6619" s="4"/>
      <c r="M6619" s="5" t="s">
        <v>4475</v>
      </c>
    </row>
    <row r="6620" customFormat="false" ht="15.75" hidden="false" customHeight="false" outlineLevel="0" collapsed="false">
      <c r="A6620" s="6" t="n">
        <v>46186</v>
      </c>
      <c r="B6620" s="4" t="s">
        <v>4473</v>
      </c>
      <c r="C6620" s="4" t="n">
        <v>10</v>
      </c>
      <c r="D6620" s="4" t="n">
        <v>4</v>
      </c>
      <c r="E6620" s="4" t="s">
        <v>4956</v>
      </c>
      <c r="F6620" s="4" t="n">
        <v>67</v>
      </c>
      <c r="G6620" s="4" t="n">
        <v>1</v>
      </c>
      <c r="H6620" s="4" t="n">
        <v>4</v>
      </c>
      <c r="I6620" s="4" t="str">
        <v>×</v>
      </c>
      <c r="J6620" s="4"/>
      <c r="K6620" s="4"/>
      <c r="L6620" s="4"/>
      <c r="M6620" s="5" t="s">
        <v>4475</v>
      </c>
    </row>
    <row r="6621" customFormat="false" ht="15.75" hidden="false" customHeight="false" outlineLevel="0" collapsed="false">
      <c r="A6621" s="6" t="n">
        <v>46186</v>
      </c>
      <c r="B6621" s="4" t="s">
        <v>4473</v>
      </c>
      <c r="C6621" s="4" t="n">
        <v>10</v>
      </c>
      <c r="D6621" s="4" t="n">
        <v>5</v>
      </c>
      <c r="E6621" s="4" t="s">
        <v>4957</v>
      </c>
      <c r="F6621" s="4" t="n">
        <v>1</v>
      </c>
      <c r="G6621" s="4" t="n">
        <v>11</v>
      </c>
      <c r="H6621" s="4" t="n">
        <v>4</v>
      </c>
      <c r="I6621" s="4" t="str">
        <v>×</v>
      </c>
      <c r="J6621" s="4"/>
      <c r="K6621" s="4"/>
      <c r="L6621" s="4"/>
      <c r="M6621" s="5" t="s">
        <v>4475</v>
      </c>
    </row>
    <row r="6622" customFormat="false" ht="15.75" hidden="false" customHeight="false" outlineLevel="0" collapsed="false">
      <c r="A6622" s="6" t="n">
        <v>46186</v>
      </c>
      <c r="B6622" s="4" t="s">
        <v>4473</v>
      </c>
      <c r="C6622" s="4" t="n">
        <v>10</v>
      </c>
      <c r="D6622" s="4" t="n">
        <v>6</v>
      </c>
      <c r="E6622" s="4" t="s">
        <v>4958</v>
      </c>
      <c r="F6622" s="4" t="n">
        <v>6</v>
      </c>
      <c r="G6622" s="4" t="n">
        <v>8</v>
      </c>
      <c r="H6622" s="4" t="n">
        <v>4</v>
      </c>
      <c r="I6622" s="4" t="str">
        <v>×</v>
      </c>
      <c r="J6622" s="4"/>
      <c r="K6622" s="4"/>
      <c r="L6622" s="4"/>
      <c r="M6622" s="5" t="s">
        <v>4475</v>
      </c>
    </row>
    <row r="6623" customFormat="false" ht="15.75" hidden="false" customHeight="false" outlineLevel="0" collapsed="false">
      <c r="A6623" s="6" t="n">
        <v>46186</v>
      </c>
      <c r="B6623" s="4" t="s">
        <v>4473</v>
      </c>
      <c r="C6623" s="4" t="n">
        <v>10</v>
      </c>
      <c r="D6623" s="4" t="n">
        <v>7</v>
      </c>
      <c r="E6623" s="4" t="s">
        <v>4959</v>
      </c>
      <c r="F6623" s="4" t="n">
        <v>10</v>
      </c>
      <c r="G6623" s="4" t="n">
        <v>6</v>
      </c>
      <c r="H6623" s="4" t="n">
        <v>4</v>
      </c>
      <c r="I6623" s="4" t="str">
        <v>×</v>
      </c>
      <c r="J6623" s="4"/>
      <c r="K6623" s="4"/>
      <c r="L6623" s="4"/>
      <c r="M6623" s="5" t="s">
        <v>4475</v>
      </c>
    </row>
    <row r="6624" customFormat="false" ht="15.75" hidden="false" customHeight="false" outlineLevel="0" collapsed="false">
      <c r="A6624" s="6" t="n">
        <v>46186</v>
      </c>
      <c r="B6624" s="4" t="s">
        <v>4473</v>
      </c>
      <c r="C6624" s="4" t="n">
        <v>10</v>
      </c>
      <c r="D6624" s="4" t="n">
        <v>8</v>
      </c>
      <c r="E6624" s="4" t="s">
        <v>4960</v>
      </c>
      <c r="F6624" s="4" t="n">
        <v>20</v>
      </c>
      <c r="G6624" s="4" t="n">
        <v>2</v>
      </c>
      <c r="H6624" s="4" t="n">
        <v>1</v>
      </c>
      <c r="I6624" s="4" t="str">
        <v>○</v>
      </c>
      <c r="J6624" s="4" t="n">
        <v>240</v>
      </c>
      <c r="K6624" s="4"/>
      <c r="L6624" s="4"/>
      <c r="M6624" s="5" t="s">
        <v>4475</v>
      </c>
    </row>
    <row r="6625" customFormat="false" ht="15.75" hidden="false" customHeight="false" outlineLevel="0" collapsed="false">
      <c r="A6625" s="6" t="n">
        <v>46186</v>
      </c>
      <c r="B6625" s="4" t="s">
        <v>4473</v>
      </c>
      <c r="C6625" s="4" t="n">
        <v>10</v>
      </c>
      <c r="D6625" s="4" t="n">
        <v>9</v>
      </c>
      <c r="E6625" s="4" t="s">
        <v>4961</v>
      </c>
      <c r="F6625" s="4" t="n">
        <v>8</v>
      </c>
      <c r="G6625" s="4" t="n">
        <v>7</v>
      </c>
      <c r="H6625" s="4" t="n">
        <v>4</v>
      </c>
      <c r="I6625" s="4" t="str">
        <v>×</v>
      </c>
      <c r="J6625" s="4"/>
      <c r="K6625" s="4"/>
      <c r="L6625" s="4"/>
      <c r="M6625" s="5" t="s">
        <v>4475</v>
      </c>
    </row>
    <row r="6626" customFormat="false" ht="15.75" hidden="false" customHeight="false" outlineLevel="0" collapsed="false">
      <c r="A6626" s="6" t="n">
        <v>46186</v>
      </c>
      <c r="B6626" s="4" t="s">
        <v>4473</v>
      </c>
      <c r="C6626" s="4" t="n">
        <v>10</v>
      </c>
      <c r="D6626" s="4" t="n">
        <v>10</v>
      </c>
      <c r="E6626" s="4" t="s">
        <v>4962</v>
      </c>
      <c r="F6626" s="4" t="n">
        <v>0</v>
      </c>
      <c r="G6626" s="4" t="n">
        <v>12</v>
      </c>
      <c r="H6626" s="4" t="n">
        <v>4</v>
      </c>
      <c r="I6626" s="4" t="str">
        <v>×</v>
      </c>
      <c r="J6626" s="4"/>
      <c r="K6626" s="4"/>
      <c r="L6626" s="4"/>
      <c r="M6626" s="5" t="s">
        <v>4475</v>
      </c>
    </row>
    <row r="6627" customFormat="false" ht="15.75" hidden="false" customHeight="false" outlineLevel="0" collapsed="false">
      <c r="A6627" s="6" t="n">
        <v>46186</v>
      </c>
      <c r="B6627" s="4" t="s">
        <v>4473</v>
      </c>
      <c r="C6627" s="4" t="n">
        <v>10</v>
      </c>
      <c r="D6627" s="4" t="n">
        <v>11</v>
      </c>
      <c r="E6627" s="4" t="s">
        <v>4963</v>
      </c>
      <c r="F6627" s="4" t="n">
        <v>6</v>
      </c>
      <c r="G6627" s="4" t="n">
        <v>8</v>
      </c>
      <c r="H6627" s="4" t="n">
        <v>4</v>
      </c>
      <c r="I6627" s="4" t="str">
        <v>×</v>
      </c>
      <c r="J6627" s="4"/>
      <c r="K6627" s="4"/>
      <c r="L6627" s="4"/>
      <c r="M6627" s="5" t="s">
        <v>4475</v>
      </c>
    </row>
    <row r="6628" customFormat="false" ht="15.75" hidden="false" customHeight="false" outlineLevel="0" collapsed="false">
      <c r="A6628" s="6" t="n">
        <v>46186</v>
      </c>
      <c r="B6628" s="4" t="s">
        <v>4473</v>
      </c>
      <c r="C6628" s="4" t="n">
        <v>10</v>
      </c>
      <c r="D6628" s="4" t="n">
        <v>12</v>
      </c>
      <c r="E6628" s="4" t="s">
        <v>4964</v>
      </c>
      <c r="F6628" s="4" t="n">
        <v>15</v>
      </c>
      <c r="G6628" s="4" t="n">
        <v>4</v>
      </c>
      <c r="H6628" s="4" t="n">
        <v>4</v>
      </c>
      <c r="I6628" s="4" t="str">
        <v>×</v>
      </c>
      <c r="J6628" s="4"/>
      <c r="K6628" s="4"/>
      <c r="L6628" s="4"/>
      <c r="M6628" s="5" t="s">
        <v>4475</v>
      </c>
    </row>
    <row r="6629" customFormat="false" ht="15.75" hidden="false" customHeight="false" outlineLevel="0" collapsed="false">
      <c r="A6629" s="6" t="n">
        <v>46186</v>
      </c>
      <c r="B6629" s="4" t="s">
        <v>4473</v>
      </c>
      <c r="C6629" s="4" t="n">
        <v>10</v>
      </c>
      <c r="D6629" s="4" t="n">
        <v>13</v>
      </c>
      <c r="E6629" s="4" t="s">
        <v>4965</v>
      </c>
      <c r="F6629" s="4" t="n">
        <v>17</v>
      </c>
      <c r="G6629" s="4" t="n">
        <v>3</v>
      </c>
      <c r="H6629" s="4" t="n">
        <v>3</v>
      </c>
      <c r="I6629" s="4" t="str">
        <v>○</v>
      </c>
      <c r="J6629" s="4" t="n">
        <v>450</v>
      </c>
      <c r="K6629" s="4"/>
      <c r="L6629" s="4"/>
      <c r="M6629" s="5" t="s">
        <v>4475</v>
      </c>
    </row>
    <row r="6630" customFormat="false" ht="15.75" hidden="false" customHeight="false" outlineLevel="0" collapsed="false">
      <c r="A6630" s="6" t="n">
        <v>46186</v>
      </c>
      <c r="B6630" s="4" t="s">
        <v>4473</v>
      </c>
      <c r="C6630" s="4" t="n">
        <v>10</v>
      </c>
      <c r="D6630" s="4" t="n">
        <v>14</v>
      </c>
      <c r="E6630" s="4" t="s">
        <v>4966</v>
      </c>
      <c r="F6630" s="4" t="n">
        <v>4</v>
      </c>
      <c r="G6630" s="4" t="n">
        <v>9</v>
      </c>
      <c r="H6630" s="4" t="n">
        <v>4</v>
      </c>
      <c r="I6630" s="4" t="str">
        <v>×</v>
      </c>
      <c r="J6630" s="4"/>
      <c r="K6630" s="4"/>
      <c r="L6630" s="4"/>
      <c r="M6630" s="5" t="s">
        <v>4475</v>
      </c>
    </row>
    <row r="6631" customFormat="false" ht="15.75" hidden="false" customHeight="false" outlineLevel="0" collapsed="false">
      <c r="A6631" s="6" t="n">
        <v>46186</v>
      </c>
      <c r="B6631" s="4" t="s">
        <v>4473</v>
      </c>
      <c r="C6631" s="4" t="n">
        <v>10</v>
      </c>
      <c r="D6631" s="4" t="n">
        <v>15</v>
      </c>
      <c r="E6631" s="4" t="s">
        <v>4967</v>
      </c>
      <c r="F6631" s="4" t="n">
        <v>20</v>
      </c>
      <c r="G6631" s="4" t="n">
        <v>2</v>
      </c>
      <c r="H6631" s="4" t="n">
        <v>4</v>
      </c>
      <c r="I6631" s="4" t="str">
        <v>×</v>
      </c>
      <c r="J6631" s="4"/>
      <c r="K6631" s="4"/>
      <c r="L6631" s="4"/>
      <c r="M6631" s="5" t="s">
        <v>4475</v>
      </c>
    </row>
    <row r="6632" customFormat="false" ht="15.75" hidden="false" customHeight="false" outlineLevel="0" collapsed="false">
      <c r="A6632" s="6" t="n">
        <v>46186</v>
      </c>
      <c r="B6632" s="4" t="s">
        <v>4473</v>
      </c>
      <c r="C6632" s="4" t="n">
        <v>10</v>
      </c>
      <c r="D6632" s="4" t="n">
        <v>16</v>
      </c>
      <c r="E6632" s="4" t="s">
        <v>3391</v>
      </c>
      <c r="F6632" s="4" t="n">
        <v>8</v>
      </c>
      <c r="G6632" s="4" t="n">
        <v>7</v>
      </c>
      <c r="H6632" s="4" t="n">
        <v>4</v>
      </c>
      <c r="I6632" s="4" t="str">
        <v>×</v>
      </c>
      <c r="J6632" s="4"/>
      <c r="K6632" s="4"/>
      <c r="L6632" s="4"/>
      <c r="M6632" s="5" t="s">
        <v>4475</v>
      </c>
    </row>
    <row r="6633" customFormat="false" ht="15.75" hidden="false" customHeight="false" outlineLevel="0" collapsed="false">
      <c r="A6633" s="6" t="n">
        <v>46186</v>
      </c>
      <c r="B6633" s="4" t="s">
        <v>4473</v>
      </c>
      <c r="C6633" s="4" t="n">
        <v>11</v>
      </c>
      <c r="D6633" s="4" t="n">
        <v>1</v>
      </c>
      <c r="E6633" s="4" t="s">
        <v>4968</v>
      </c>
      <c r="F6633" s="4" t="n">
        <v>39</v>
      </c>
      <c r="G6633" s="4" t="n">
        <v>2</v>
      </c>
      <c r="H6633" s="4" t="n">
        <v>4</v>
      </c>
      <c r="I6633" s="4" t="str">
        <v>×</v>
      </c>
      <c r="J6633" s="4"/>
      <c r="K6633" s="4"/>
      <c r="L6633" s="4"/>
      <c r="M6633" s="5" t="s">
        <v>4475</v>
      </c>
    </row>
    <row r="6634" customFormat="false" ht="15.75" hidden="false" customHeight="false" outlineLevel="0" collapsed="false">
      <c r="A6634" s="6" t="n">
        <v>46186</v>
      </c>
      <c r="B6634" s="4" t="s">
        <v>4473</v>
      </c>
      <c r="C6634" s="4" t="n">
        <v>11</v>
      </c>
      <c r="D6634" s="4" t="n">
        <v>2</v>
      </c>
      <c r="E6634" s="4" t="s">
        <v>2660</v>
      </c>
      <c r="F6634" s="4" t="n">
        <v>17</v>
      </c>
      <c r="G6634" s="4" t="n">
        <v>7</v>
      </c>
      <c r="H6634" s="4" t="n">
        <v>2</v>
      </c>
      <c r="I6634" s="4" t="str">
        <v>○</v>
      </c>
      <c r="J6634" s="4" t="n">
        <v>2330</v>
      </c>
      <c r="K6634" s="4"/>
      <c r="L6634" s="4"/>
      <c r="M6634" s="5" t="s">
        <v>4475</v>
      </c>
    </row>
    <row r="6635" customFormat="false" ht="15.75" hidden="false" customHeight="false" outlineLevel="0" collapsed="false">
      <c r="A6635" s="6" t="n">
        <v>46186</v>
      </c>
      <c r="B6635" s="4" t="s">
        <v>4473</v>
      </c>
      <c r="C6635" s="4" t="n">
        <v>11</v>
      </c>
      <c r="D6635" s="4" t="n">
        <v>3</v>
      </c>
      <c r="E6635" s="4" t="s">
        <v>4969</v>
      </c>
      <c r="F6635" s="4" t="n">
        <v>4</v>
      </c>
      <c r="G6635" s="4" t="n">
        <v>8</v>
      </c>
      <c r="H6635" s="4" t="n">
        <v>1</v>
      </c>
      <c r="I6635" s="4" t="str">
        <v>○</v>
      </c>
      <c r="J6635" s="4" t="n">
        <v>210</v>
      </c>
      <c r="K6635" s="4"/>
      <c r="L6635" s="4"/>
      <c r="M6635" s="5" t="s">
        <v>4475</v>
      </c>
    </row>
    <row r="6636" customFormat="false" ht="15.75" hidden="false" customHeight="false" outlineLevel="0" collapsed="false">
      <c r="A6636" s="6" t="n">
        <v>46186</v>
      </c>
      <c r="B6636" s="4" t="s">
        <v>4473</v>
      </c>
      <c r="C6636" s="4" t="n">
        <v>11</v>
      </c>
      <c r="D6636" s="4" t="n">
        <v>4</v>
      </c>
      <c r="E6636" s="4" t="s">
        <v>4970</v>
      </c>
      <c r="F6636" s="4" t="n">
        <v>41</v>
      </c>
      <c r="G6636" s="4" t="n">
        <v>1</v>
      </c>
      <c r="H6636" s="4" t="n">
        <v>4</v>
      </c>
      <c r="I6636" s="4" t="str">
        <v>×</v>
      </c>
      <c r="J6636" s="4"/>
      <c r="K6636" s="4"/>
      <c r="L6636" s="4"/>
      <c r="M6636" s="5" t="s">
        <v>4475</v>
      </c>
    </row>
    <row r="6637" customFormat="false" ht="15.75" hidden="false" customHeight="false" outlineLevel="0" collapsed="false">
      <c r="A6637" s="6" t="n">
        <v>46186</v>
      </c>
      <c r="B6637" s="4" t="s">
        <v>4473</v>
      </c>
      <c r="C6637" s="4" t="n">
        <v>11</v>
      </c>
      <c r="D6637" s="4" t="n">
        <v>5</v>
      </c>
      <c r="E6637" s="4" t="s">
        <v>1693</v>
      </c>
      <c r="F6637" s="4" t="n">
        <v>20</v>
      </c>
      <c r="G6637" s="4" t="n">
        <v>6</v>
      </c>
      <c r="H6637" s="4" t="n">
        <v>4</v>
      </c>
      <c r="I6637" s="4" t="str">
        <v>×</v>
      </c>
      <c r="J6637" s="4"/>
      <c r="K6637" s="4"/>
      <c r="L6637" s="4"/>
      <c r="M6637" s="5" t="s">
        <v>4475</v>
      </c>
    </row>
    <row r="6638" customFormat="false" ht="15.75" hidden="false" customHeight="false" outlineLevel="0" collapsed="false">
      <c r="A6638" s="6" t="n">
        <v>46186</v>
      </c>
      <c r="B6638" s="4" t="s">
        <v>4473</v>
      </c>
      <c r="C6638" s="4" t="n">
        <v>11</v>
      </c>
      <c r="D6638" s="4" t="n">
        <v>6</v>
      </c>
      <c r="E6638" s="4" t="s">
        <v>2406</v>
      </c>
      <c r="F6638" s="4" t="n">
        <v>25</v>
      </c>
      <c r="G6638" s="4" t="n">
        <v>5</v>
      </c>
      <c r="H6638" s="4" t="n">
        <v>4</v>
      </c>
      <c r="I6638" s="4" t="str">
        <v>×</v>
      </c>
      <c r="J6638" s="4"/>
      <c r="K6638" s="4"/>
      <c r="L6638" s="4"/>
      <c r="M6638" s="5" t="s">
        <v>4475</v>
      </c>
    </row>
    <row r="6639" customFormat="false" ht="15.75" hidden="false" customHeight="false" outlineLevel="0" collapsed="false">
      <c r="A6639" s="6" t="n">
        <v>46186</v>
      </c>
      <c r="B6639" s="4" t="s">
        <v>4473</v>
      </c>
      <c r="C6639" s="4" t="n">
        <v>11</v>
      </c>
      <c r="D6639" s="4" t="n">
        <v>7</v>
      </c>
      <c r="E6639" s="4" t="s">
        <v>2401</v>
      </c>
      <c r="F6639" s="4" t="n">
        <v>34</v>
      </c>
      <c r="G6639" s="4" t="n">
        <v>3</v>
      </c>
      <c r="H6639" s="4" t="n">
        <v>4</v>
      </c>
      <c r="I6639" s="4" t="str">
        <v>×</v>
      </c>
      <c r="J6639" s="4"/>
      <c r="K6639" s="4"/>
      <c r="L6639" s="4"/>
      <c r="M6639" s="5" t="s">
        <v>4475</v>
      </c>
    </row>
    <row r="6640" customFormat="false" ht="15.75" hidden="false" customHeight="false" outlineLevel="0" collapsed="false">
      <c r="A6640" s="6" t="n">
        <v>46186</v>
      </c>
      <c r="B6640" s="4" t="s">
        <v>4473</v>
      </c>
      <c r="C6640" s="4" t="n">
        <v>11</v>
      </c>
      <c r="D6640" s="4" t="n">
        <v>8</v>
      </c>
      <c r="E6640" s="4" t="s">
        <v>4971</v>
      </c>
      <c r="F6640" s="4" t="n">
        <v>34</v>
      </c>
      <c r="G6640" s="4" t="n">
        <v>3</v>
      </c>
      <c r="H6640" s="4" t="n">
        <v>4</v>
      </c>
      <c r="I6640" s="4" t="str">
        <v>×</v>
      </c>
      <c r="J6640" s="4"/>
      <c r="K6640" s="4"/>
      <c r="L6640" s="4"/>
      <c r="M6640" s="5" t="s">
        <v>4475</v>
      </c>
    </row>
    <row r="6641" customFormat="false" ht="15.75" hidden="false" customHeight="false" outlineLevel="0" collapsed="false">
      <c r="A6641" s="6" t="n">
        <v>46186</v>
      </c>
      <c r="B6641" s="4" t="s">
        <v>4473</v>
      </c>
      <c r="C6641" s="4" t="n">
        <v>11</v>
      </c>
      <c r="D6641" s="4" t="n">
        <v>9</v>
      </c>
      <c r="E6641" s="4" t="s">
        <v>4972</v>
      </c>
      <c r="F6641" s="4" t="n">
        <v>29</v>
      </c>
      <c r="G6641" s="4" t="n">
        <v>4</v>
      </c>
      <c r="H6641" s="4" t="n">
        <v>3</v>
      </c>
      <c r="I6641" s="4" t="str">
        <v>○</v>
      </c>
      <c r="J6641" s="4" t="n">
        <v>180</v>
      </c>
      <c r="K6641" s="4"/>
      <c r="L6641" s="4"/>
      <c r="M6641" s="5" t="s">
        <v>4475</v>
      </c>
    </row>
    <row r="6642" customFormat="false" ht="15.75" hidden="false" customHeight="false" outlineLevel="0" collapsed="false">
      <c r="A6642" s="6" t="n">
        <v>46186</v>
      </c>
      <c r="B6642" s="4" t="s">
        <v>4473</v>
      </c>
      <c r="C6642" s="4" t="n">
        <v>11</v>
      </c>
      <c r="D6642" s="4" t="n">
        <v>10</v>
      </c>
      <c r="E6642" s="4" t="s">
        <v>4973</v>
      </c>
      <c r="F6642" s="4" t="n">
        <v>29</v>
      </c>
      <c r="G6642" s="4" t="n">
        <v>4</v>
      </c>
      <c r="H6642" s="4" t="n">
        <v>4</v>
      </c>
      <c r="I6642" s="4" t="str">
        <v>×</v>
      </c>
      <c r="J6642" s="4"/>
      <c r="K6642" s="4"/>
      <c r="L6642" s="4"/>
      <c r="M6642" s="5" t="s">
        <v>4475</v>
      </c>
    </row>
    <row r="6643" customFormat="false" ht="15.75" hidden="false" customHeight="false" outlineLevel="0" collapsed="false">
      <c r="A6643" s="6" t="n">
        <v>46186</v>
      </c>
      <c r="B6643" s="4" t="s">
        <v>4473</v>
      </c>
      <c r="C6643" s="4" t="n">
        <v>11</v>
      </c>
      <c r="D6643" s="4" t="n">
        <v>11</v>
      </c>
      <c r="E6643" s="4" t="s">
        <v>4974</v>
      </c>
      <c r="F6643" s="4" t="n">
        <v>25</v>
      </c>
      <c r="G6643" s="4" t="n">
        <v>5</v>
      </c>
      <c r="H6643" s="4" t="n">
        <v>4</v>
      </c>
      <c r="I6643" s="4" t="str">
        <v>×</v>
      </c>
      <c r="J6643" s="4"/>
      <c r="K6643" s="4"/>
      <c r="L6643" s="4"/>
      <c r="M6643" s="5" t="s">
        <v>4475</v>
      </c>
    </row>
    <row r="6644" customFormat="false" ht="15.75" hidden="false" customHeight="false" outlineLevel="0" collapsed="false">
      <c r="A6644" s="6" t="n">
        <v>46186</v>
      </c>
      <c r="B6644" s="4" t="s">
        <v>4473</v>
      </c>
      <c r="C6644" s="4" t="n">
        <v>11</v>
      </c>
      <c r="D6644" s="4" t="n">
        <v>12</v>
      </c>
      <c r="E6644" s="4" t="s">
        <v>4975</v>
      </c>
      <c r="F6644" s="4" t="n">
        <v>17</v>
      </c>
      <c r="G6644" s="4" t="n">
        <v>7</v>
      </c>
      <c r="H6644" s="4" t="n">
        <v>4</v>
      </c>
      <c r="I6644" s="4" t="str">
        <v>×</v>
      </c>
      <c r="J6644" s="4"/>
      <c r="K6644" s="4"/>
      <c r="L6644" s="4"/>
      <c r="M6644" s="5" t="s">
        <v>4475</v>
      </c>
    </row>
    <row r="6645" customFormat="false" ht="15.75" hidden="false" customHeight="false" outlineLevel="0" collapsed="false">
      <c r="A6645" s="6" t="n">
        <v>46186</v>
      </c>
      <c r="B6645" s="4" t="s">
        <v>4473</v>
      </c>
      <c r="C6645" s="4" t="n">
        <v>11</v>
      </c>
      <c r="D6645" s="4" t="n">
        <v>13</v>
      </c>
      <c r="E6645" s="4" t="s">
        <v>4976</v>
      </c>
      <c r="F6645" s="4" t="n">
        <v>3</v>
      </c>
      <c r="G6645" s="4" t="n">
        <v>9</v>
      </c>
      <c r="H6645" s="4" t="n">
        <v>4</v>
      </c>
      <c r="I6645" s="4" t="str">
        <v>×</v>
      </c>
      <c r="J6645" s="4"/>
      <c r="K6645" s="4"/>
      <c r="L6645" s="4"/>
      <c r="M6645" s="5" t="s">
        <v>4475</v>
      </c>
    </row>
    <row r="6646" customFormat="false" ht="15.75" hidden="false" customHeight="false" outlineLevel="0" collapsed="false">
      <c r="A6646" s="6" t="n">
        <v>46186</v>
      </c>
      <c r="B6646" s="4" t="s">
        <v>4473</v>
      </c>
      <c r="C6646" s="4" t="n">
        <v>12</v>
      </c>
      <c r="D6646" s="4" t="n">
        <v>1</v>
      </c>
      <c r="E6646" s="4" t="s">
        <v>4977</v>
      </c>
      <c r="F6646" s="4" t="n">
        <v>2</v>
      </c>
      <c r="G6646" s="4" t="n">
        <v>11</v>
      </c>
      <c r="H6646" s="4" t="n">
        <v>4</v>
      </c>
      <c r="I6646" s="4" t="str">
        <v>×</v>
      </c>
      <c r="J6646" s="4"/>
      <c r="K6646" s="4"/>
      <c r="L6646" s="4"/>
      <c r="M6646" s="5" t="s">
        <v>4475</v>
      </c>
    </row>
    <row r="6647" customFormat="false" ht="15.75" hidden="false" customHeight="false" outlineLevel="0" collapsed="false">
      <c r="A6647" s="6" t="n">
        <v>46186</v>
      </c>
      <c r="B6647" s="4" t="s">
        <v>4473</v>
      </c>
      <c r="C6647" s="4" t="n">
        <v>12</v>
      </c>
      <c r="D6647" s="4" t="n">
        <v>2</v>
      </c>
      <c r="E6647" s="4" t="s">
        <v>4978</v>
      </c>
      <c r="F6647" s="4" t="n">
        <v>39</v>
      </c>
      <c r="G6647" s="4" t="n">
        <v>2</v>
      </c>
      <c r="H6647" s="4" t="n">
        <v>4</v>
      </c>
      <c r="I6647" s="4" t="str">
        <v>×</v>
      </c>
      <c r="J6647" s="4"/>
      <c r="K6647" s="4"/>
      <c r="L6647" s="4"/>
      <c r="M6647" s="5" t="s">
        <v>4475</v>
      </c>
    </row>
    <row r="6648" customFormat="false" ht="15.75" hidden="false" customHeight="false" outlineLevel="0" collapsed="false">
      <c r="A6648" s="6" t="n">
        <v>46186</v>
      </c>
      <c r="B6648" s="4" t="s">
        <v>4473</v>
      </c>
      <c r="C6648" s="4" t="n">
        <v>12</v>
      </c>
      <c r="D6648" s="4" t="n">
        <v>3</v>
      </c>
      <c r="E6648" s="4" t="s">
        <v>4979</v>
      </c>
      <c r="F6648" s="4" t="n">
        <v>1</v>
      </c>
      <c r="G6648" s="4" t="n">
        <v>12</v>
      </c>
      <c r="H6648" s="4" t="n">
        <v>1</v>
      </c>
      <c r="I6648" s="4" t="str">
        <v>○</v>
      </c>
      <c r="J6648" s="4" t="n">
        <v>150</v>
      </c>
      <c r="K6648" s="4"/>
      <c r="L6648" s="4"/>
      <c r="M6648" s="5" t="s">
        <v>4475</v>
      </c>
    </row>
    <row r="6649" customFormat="false" ht="15.75" hidden="false" customHeight="false" outlineLevel="0" collapsed="false">
      <c r="A6649" s="6" t="n">
        <v>46186</v>
      </c>
      <c r="B6649" s="4" t="s">
        <v>4473</v>
      </c>
      <c r="C6649" s="4" t="n">
        <v>12</v>
      </c>
      <c r="D6649" s="4" t="n">
        <v>4</v>
      </c>
      <c r="E6649" s="4" t="s">
        <v>3787</v>
      </c>
      <c r="F6649" s="4" t="n">
        <v>13</v>
      </c>
      <c r="G6649" s="4" t="n">
        <v>8</v>
      </c>
      <c r="H6649" s="4" t="n">
        <v>4</v>
      </c>
      <c r="I6649" s="4" t="str">
        <v>×</v>
      </c>
      <c r="J6649" s="4"/>
      <c r="K6649" s="4"/>
      <c r="L6649" s="4"/>
      <c r="M6649" s="5" t="s">
        <v>4475</v>
      </c>
    </row>
    <row r="6650" customFormat="false" ht="15.75" hidden="false" customHeight="false" outlineLevel="0" collapsed="false">
      <c r="A6650" s="6" t="n">
        <v>46186</v>
      </c>
      <c r="B6650" s="4" t="s">
        <v>4473</v>
      </c>
      <c r="C6650" s="4" t="n">
        <v>12</v>
      </c>
      <c r="D6650" s="4" t="n">
        <v>5</v>
      </c>
      <c r="E6650" s="4" t="s">
        <v>1968</v>
      </c>
      <c r="F6650" s="4" t="n">
        <v>15</v>
      </c>
      <c r="G6650" s="4" t="n">
        <v>7</v>
      </c>
      <c r="H6650" s="4" t="n">
        <v>3</v>
      </c>
      <c r="I6650" s="4" t="str">
        <v>○</v>
      </c>
      <c r="J6650" s="4" t="n">
        <v>610</v>
      </c>
      <c r="K6650" s="4"/>
      <c r="L6650" s="4"/>
      <c r="M6650" s="5" t="s">
        <v>4475</v>
      </c>
    </row>
    <row r="6651" customFormat="false" ht="15.75" hidden="false" customHeight="false" outlineLevel="0" collapsed="false">
      <c r="A6651" s="6" t="n">
        <v>46186</v>
      </c>
      <c r="B6651" s="4" t="s">
        <v>4473</v>
      </c>
      <c r="C6651" s="4" t="n">
        <v>12</v>
      </c>
      <c r="D6651" s="4" t="n">
        <v>6</v>
      </c>
      <c r="E6651" s="4" t="s">
        <v>4980</v>
      </c>
      <c r="F6651" s="4" t="n">
        <v>44</v>
      </c>
      <c r="G6651" s="4" t="n">
        <v>1</v>
      </c>
      <c r="H6651" s="4" t="n">
        <v>4</v>
      </c>
      <c r="I6651" s="4" t="str">
        <v>×</v>
      </c>
      <c r="J6651" s="4"/>
      <c r="K6651" s="4"/>
      <c r="L6651" s="4"/>
      <c r="M6651" s="5" t="s">
        <v>4475</v>
      </c>
    </row>
    <row r="6652" customFormat="false" ht="15.75" hidden="false" customHeight="false" outlineLevel="0" collapsed="false">
      <c r="A6652" s="6" t="n">
        <v>46186</v>
      </c>
      <c r="B6652" s="4" t="s">
        <v>4473</v>
      </c>
      <c r="C6652" s="4" t="n">
        <v>12</v>
      </c>
      <c r="D6652" s="4" t="n">
        <v>7</v>
      </c>
      <c r="E6652" s="4" t="s">
        <v>4981</v>
      </c>
      <c r="F6652" s="4" t="n">
        <v>10</v>
      </c>
      <c r="G6652" s="4" t="n">
        <v>9</v>
      </c>
      <c r="H6652" s="4" t="n">
        <v>4</v>
      </c>
      <c r="I6652" s="4" t="str">
        <v>×</v>
      </c>
      <c r="J6652" s="4"/>
      <c r="K6652" s="4"/>
      <c r="L6652" s="4"/>
      <c r="M6652" s="5" t="s">
        <v>4475</v>
      </c>
    </row>
    <row r="6653" customFormat="false" ht="15.75" hidden="false" customHeight="false" outlineLevel="0" collapsed="false">
      <c r="A6653" s="6" t="n">
        <v>46186</v>
      </c>
      <c r="B6653" s="4" t="s">
        <v>4473</v>
      </c>
      <c r="C6653" s="4" t="n">
        <v>12</v>
      </c>
      <c r="D6653" s="4" t="n">
        <v>8</v>
      </c>
      <c r="E6653" s="4" t="s">
        <v>4982</v>
      </c>
      <c r="F6653" s="4" t="n">
        <v>25</v>
      </c>
      <c r="G6653" s="4" t="n">
        <v>6</v>
      </c>
      <c r="H6653" s="4" t="n">
        <v>2</v>
      </c>
      <c r="I6653" s="4" t="str">
        <v>○</v>
      </c>
      <c r="J6653" s="4" t="n">
        <v>200</v>
      </c>
      <c r="K6653" s="4"/>
      <c r="L6653" s="4"/>
      <c r="M6653" s="5" t="s">
        <v>4475</v>
      </c>
    </row>
    <row r="6654" customFormat="false" ht="15.75" hidden="false" customHeight="false" outlineLevel="0" collapsed="false">
      <c r="A6654" s="6" t="n">
        <v>46186</v>
      </c>
      <c r="B6654" s="4" t="s">
        <v>4473</v>
      </c>
      <c r="C6654" s="4" t="n">
        <v>12</v>
      </c>
      <c r="D6654" s="4" t="n">
        <v>9</v>
      </c>
      <c r="E6654" s="4" t="s">
        <v>4983</v>
      </c>
      <c r="F6654" s="4" t="n">
        <v>13</v>
      </c>
      <c r="G6654" s="4" t="n">
        <v>8</v>
      </c>
      <c r="H6654" s="4" t="n">
        <v>4</v>
      </c>
      <c r="I6654" s="4" t="str">
        <v>×</v>
      </c>
      <c r="J6654" s="4"/>
      <c r="K6654" s="4"/>
      <c r="L6654" s="4"/>
      <c r="M6654" s="5" t="s">
        <v>4475</v>
      </c>
    </row>
    <row r="6655" customFormat="false" ht="15.75" hidden="false" customHeight="false" outlineLevel="0" collapsed="false">
      <c r="A6655" s="6" t="n">
        <v>46186</v>
      </c>
      <c r="B6655" s="4" t="s">
        <v>4473</v>
      </c>
      <c r="C6655" s="4" t="n">
        <v>12</v>
      </c>
      <c r="D6655" s="4" t="n">
        <v>10</v>
      </c>
      <c r="E6655" s="4" t="s">
        <v>2759</v>
      </c>
      <c r="F6655" s="4" t="n">
        <v>31</v>
      </c>
      <c r="G6655" s="4" t="n">
        <v>4</v>
      </c>
      <c r="H6655" s="4" t="n">
        <v>4</v>
      </c>
      <c r="I6655" s="4" t="str">
        <v>×</v>
      </c>
      <c r="J6655" s="4"/>
      <c r="K6655" s="4"/>
      <c r="L6655" s="4"/>
      <c r="M6655" s="5" t="s">
        <v>4475</v>
      </c>
    </row>
    <row r="6656" customFormat="false" ht="15.75" hidden="false" customHeight="false" outlineLevel="0" collapsed="false">
      <c r="A6656" s="6" t="n">
        <v>46186</v>
      </c>
      <c r="B6656" s="4" t="s">
        <v>4473</v>
      </c>
      <c r="C6656" s="4" t="n">
        <v>12</v>
      </c>
      <c r="D6656" s="4" t="n">
        <v>11</v>
      </c>
      <c r="E6656" s="4" t="s">
        <v>114</v>
      </c>
      <c r="F6656" s="4" t="n">
        <v>31</v>
      </c>
      <c r="G6656" s="4" t="n">
        <v>4</v>
      </c>
      <c r="H6656" s="4" t="n">
        <v>4</v>
      </c>
      <c r="I6656" s="4" t="str">
        <v>×</v>
      </c>
      <c r="J6656" s="4"/>
      <c r="K6656" s="4"/>
      <c r="L6656" s="4"/>
      <c r="M6656" s="5" t="s">
        <v>4475</v>
      </c>
    </row>
    <row r="6657" customFormat="false" ht="15.75" hidden="false" customHeight="false" outlineLevel="0" collapsed="false">
      <c r="A6657" s="6" t="n">
        <v>46186</v>
      </c>
      <c r="B6657" s="4" t="s">
        <v>4473</v>
      </c>
      <c r="C6657" s="4" t="n">
        <v>12</v>
      </c>
      <c r="D6657" s="4" t="n">
        <v>12</v>
      </c>
      <c r="E6657" s="4" t="s">
        <v>4984</v>
      </c>
      <c r="F6657" s="4" t="n">
        <v>4</v>
      </c>
      <c r="G6657" s="4" t="n">
        <v>10</v>
      </c>
      <c r="H6657" s="4" t="n">
        <v>4</v>
      </c>
      <c r="I6657" s="4" t="str">
        <v>×</v>
      </c>
      <c r="J6657" s="4"/>
      <c r="K6657" s="4"/>
      <c r="L6657" s="4"/>
      <c r="M6657" s="5" t="s">
        <v>4475</v>
      </c>
    </row>
    <row r="6658" customFormat="false" ht="15.75" hidden="false" customHeight="false" outlineLevel="0" collapsed="false">
      <c r="A6658" s="6" t="n">
        <v>46186</v>
      </c>
      <c r="B6658" s="4" t="s">
        <v>4473</v>
      </c>
      <c r="C6658" s="4" t="n">
        <v>12</v>
      </c>
      <c r="D6658" s="4" t="n">
        <v>13</v>
      </c>
      <c r="E6658" s="4" t="s">
        <v>4985</v>
      </c>
      <c r="F6658" s="4" t="n">
        <v>25</v>
      </c>
      <c r="G6658" s="4" t="n">
        <v>6</v>
      </c>
      <c r="H6658" s="4" t="n">
        <v>4</v>
      </c>
      <c r="I6658" s="4" t="str">
        <v>×</v>
      </c>
      <c r="J6658" s="4"/>
      <c r="K6658" s="4"/>
      <c r="L6658" s="4"/>
      <c r="M6658" s="5" t="s">
        <v>4475</v>
      </c>
    </row>
    <row r="6659" customFormat="false" ht="15.75" hidden="false" customHeight="false" outlineLevel="0" collapsed="false">
      <c r="A6659" s="6" t="n">
        <v>46186</v>
      </c>
      <c r="B6659" s="4" t="s">
        <v>4473</v>
      </c>
      <c r="C6659" s="4" t="n">
        <v>12</v>
      </c>
      <c r="D6659" s="4" t="n">
        <v>14</v>
      </c>
      <c r="E6659" s="4" t="s">
        <v>4446</v>
      </c>
      <c r="F6659" s="4" t="n">
        <v>4</v>
      </c>
      <c r="G6659" s="4" t="n">
        <v>10</v>
      </c>
      <c r="H6659" s="4" t="n">
        <v>4</v>
      </c>
      <c r="I6659" s="4" t="str">
        <v>×</v>
      </c>
      <c r="J6659" s="4"/>
      <c r="K6659" s="4"/>
      <c r="L6659" s="4"/>
      <c r="M6659" s="5" t="s">
        <v>4475</v>
      </c>
    </row>
    <row r="6660" customFormat="false" ht="15.75" hidden="false" customHeight="false" outlineLevel="0" collapsed="false">
      <c r="A6660" s="6" t="n">
        <v>46186</v>
      </c>
      <c r="B6660" s="4" t="s">
        <v>4473</v>
      </c>
      <c r="C6660" s="4" t="n">
        <v>12</v>
      </c>
      <c r="D6660" s="4" t="n">
        <v>15</v>
      </c>
      <c r="E6660" s="4" t="s">
        <v>1966</v>
      </c>
      <c r="F6660" s="4" t="n">
        <v>34</v>
      </c>
      <c r="G6660" s="4" t="n">
        <v>3</v>
      </c>
      <c r="H6660" s="4" t="n">
        <v>4</v>
      </c>
      <c r="I6660" s="4" t="str">
        <v>×</v>
      </c>
      <c r="J6660" s="4"/>
      <c r="K6660" s="4"/>
      <c r="L6660" s="4"/>
      <c r="M6660" s="5" t="s">
        <v>4475</v>
      </c>
    </row>
    <row r="6661" customFormat="false" ht="15.75" hidden="false" customHeight="false" outlineLevel="0" collapsed="false">
      <c r="A6661" s="6" t="n">
        <v>46186</v>
      </c>
      <c r="B6661" s="4" t="s">
        <v>4473</v>
      </c>
      <c r="C6661" s="4" t="n">
        <v>12</v>
      </c>
      <c r="D6661" s="4" t="n">
        <v>16</v>
      </c>
      <c r="E6661" s="4" t="s">
        <v>4986</v>
      </c>
      <c r="F6661" s="4" t="n">
        <v>29</v>
      </c>
      <c r="G6661" s="4" t="n">
        <v>5</v>
      </c>
      <c r="H6661" s="4" t="n">
        <v>4</v>
      </c>
      <c r="I6661" s="4" t="str">
        <v>×</v>
      </c>
      <c r="J6661" s="4"/>
      <c r="K6661" s="4"/>
      <c r="L6661" s="4"/>
      <c r="M6661" s="5" t="s">
        <v>4475</v>
      </c>
    </row>
    <row r="6662" customFormat="false" ht="15.75" hidden="false" customHeight="false" outlineLevel="0" collapsed="false">
      <c r="A6662" s="6" t="n">
        <v>46186</v>
      </c>
      <c r="B6662" s="4" t="s">
        <v>4172</v>
      </c>
      <c r="C6662" s="4" t="n">
        <v>1</v>
      </c>
      <c r="D6662" s="4" t="n">
        <v>1</v>
      </c>
      <c r="E6662" s="4" t="s">
        <v>4987</v>
      </c>
      <c r="F6662" s="4" t="n">
        <v>44</v>
      </c>
      <c r="G6662" s="4" t="n">
        <v>2</v>
      </c>
      <c r="H6662" s="4" t="n">
        <v>4</v>
      </c>
      <c r="I6662" s="4" t="str">
        <v>×</v>
      </c>
      <c r="J6662" s="4"/>
      <c r="K6662" s="4"/>
      <c r="L6662" s="4"/>
      <c r="M6662" s="5" t="s">
        <v>4475</v>
      </c>
    </row>
    <row r="6663" customFormat="false" ht="15.75" hidden="false" customHeight="false" outlineLevel="0" collapsed="false">
      <c r="A6663" s="6" t="n">
        <v>46186</v>
      </c>
      <c r="B6663" s="4" t="s">
        <v>4172</v>
      </c>
      <c r="C6663" s="4" t="n">
        <v>1</v>
      </c>
      <c r="D6663" s="4" t="n">
        <v>2</v>
      </c>
      <c r="E6663" s="4" t="s">
        <v>4988</v>
      </c>
      <c r="F6663" s="4" t="n">
        <v>2</v>
      </c>
      <c r="G6663" s="4" t="n">
        <v>10</v>
      </c>
      <c r="H6663" s="4" t="n">
        <v>4</v>
      </c>
      <c r="I6663" s="4" t="str">
        <v>×</v>
      </c>
      <c r="J6663" s="4"/>
      <c r="K6663" s="4"/>
      <c r="L6663" s="4"/>
      <c r="M6663" s="5" t="s">
        <v>4475</v>
      </c>
    </row>
    <row r="6664" customFormat="false" ht="15.75" hidden="false" customHeight="false" outlineLevel="0" collapsed="false">
      <c r="A6664" s="6" t="n">
        <v>46186</v>
      </c>
      <c r="B6664" s="4" t="s">
        <v>4172</v>
      </c>
      <c r="C6664" s="4" t="n">
        <v>1</v>
      </c>
      <c r="D6664" s="4" t="n">
        <v>3</v>
      </c>
      <c r="E6664" s="4" t="s">
        <v>3266</v>
      </c>
      <c r="F6664" s="4" t="n">
        <v>60</v>
      </c>
      <c r="G6664" s="4" t="n">
        <v>1</v>
      </c>
      <c r="H6664" s="4" t="n">
        <v>4</v>
      </c>
      <c r="I6664" s="4" t="str">
        <v>×</v>
      </c>
      <c r="J6664" s="4"/>
      <c r="K6664" s="4"/>
      <c r="L6664" s="4"/>
      <c r="M6664" s="5" t="s">
        <v>4475</v>
      </c>
    </row>
    <row r="6665" customFormat="false" ht="15.75" hidden="false" customHeight="false" outlineLevel="0" collapsed="false">
      <c r="A6665" s="6" t="n">
        <v>46186</v>
      </c>
      <c r="B6665" s="4" t="s">
        <v>4172</v>
      </c>
      <c r="C6665" s="4" t="n">
        <v>1</v>
      </c>
      <c r="D6665" s="4" t="n">
        <v>4</v>
      </c>
      <c r="E6665" s="4" t="s">
        <v>3162</v>
      </c>
      <c r="F6665" s="4" t="n">
        <v>3</v>
      </c>
      <c r="G6665" s="4" t="n">
        <v>9</v>
      </c>
      <c r="H6665" s="4" t="n">
        <v>2</v>
      </c>
      <c r="I6665" s="4" t="str">
        <v>○</v>
      </c>
      <c r="J6665" s="4" t="n">
        <v>3770</v>
      </c>
      <c r="K6665" s="4"/>
      <c r="L6665" s="4"/>
      <c r="M6665" s="5" t="s">
        <v>4475</v>
      </c>
    </row>
    <row r="6666" customFormat="false" ht="15.75" hidden="false" customHeight="false" outlineLevel="0" collapsed="false">
      <c r="A6666" s="6" t="n">
        <v>46186</v>
      </c>
      <c r="B6666" s="4" t="s">
        <v>4172</v>
      </c>
      <c r="C6666" s="4" t="n">
        <v>1</v>
      </c>
      <c r="D6666" s="4" t="n">
        <v>5</v>
      </c>
      <c r="E6666" s="4" t="s">
        <v>3918</v>
      </c>
      <c r="F6666" s="4" t="n">
        <v>25</v>
      </c>
      <c r="G6666" s="4" t="n">
        <v>5</v>
      </c>
      <c r="H6666" s="4" t="n">
        <v>4</v>
      </c>
      <c r="I6666" s="4" t="str">
        <v>×</v>
      </c>
      <c r="J6666" s="4"/>
      <c r="K6666" s="4"/>
      <c r="L6666" s="4"/>
      <c r="M6666" s="5" t="s">
        <v>4475</v>
      </c>
    </row>
    <row r="6667" customFormat="false" ht="15.75" hidden="false" customHeight="false" outlineLevel="0" collapsed="false">
      <c r="A6667" s="6" t="n">
        <v>46186</v>
      </c>
      <c r="B6667" s="4" t="s">
        <v>4172</v>
      </c>
      <c r="C6667" s="4" t="n">
        <v>1</v>
      </c>
      <c r="D6667" s="4" t="n">
        <v>6</v>
      </c>
      <c r="E6667" s="4" t="s">
        <v>4989</v>
      </c>
      <c r="F6667" s="4" t="n">
        <v>17</v>
      </c>
      <c r="G6667" s="4" t="n">
        <v>6</v>
      </c>
      <c r="H6667" s="4" t="n">
        <v>4</v>
      </c>
      <c r="I6667" s="4" t="str">
        <v>×</v>
      </c>
      <c r="J6667" s="4"/>
      <c r="K6667" s="4"/>
      <c r="L6667" s="4"/>
      <c r="M6667" s="5" t="s">
        <v>4475</v>
      </c>
    </row>
    <row r="6668" customFormat="false" ht="15.75" hidden="false" customHeight="false" outlineLevel="0" collapsed="false">
      <c r="A6668" s="6" t="n">
        <v>46186</v>
      </c>
      <c r="B6668" s="4" t="s">
        <v>4172</v>
      </c>
      <c r="C6668" s="4" t="n">
        <v>1</v>
      </c>
      <c r="D6668" s="4" t="n">
        <v>7</v>
      </c>
      <c r="E6668" s="4" t="s">
        <v>680</v>
      </c>
      <c r="F6668" s="4" t="n">
        <v>34</v>
      </c>
      <c r="G6668" s="4" t="n">
        <v>4</v>
      </c>
      <c r="H6668" s="4" t="n">
        <v>4</v>
      </c>
      <c r="I6668" s="4" t="str">
        <v>×</v>
      </c>
      <c r="J6668" s="4"/>
      <c r="K6668" s="4"/>
      <c r="L6668" s="4"/>
      <c r="M6668" s="5" t="s">
        <v>4475</v>
      </c>
    </row>
    <row r="6669" customFormat="false" ht="15.75" hidden="false" customHeight="false" outlineLevel="0" collapsed="false">
      <c r="A6669" s="6" t="n">
        <v>46186</v>
      </c>
      <c r="B6669" s="4" t="s">
        <v>4172</v>
      </c>
      <c r="C6669" s="4" t="n">
        <v>1</v>
      </c>
      <c r="D6669" s="4" t="n">
        <v>8</v>
      </c>
      <c r="E6669" s="4" t="s">
        <v>4990</v>
      </c>
      <c r="F6669" s="4" t="n">
        <v>3</v>
      </c>
      <c r="G6669" s="4" t="n">
        <v>9</v>
      </c>
      <c r="H6669" s="4" t="n">
        <v>4</v>
      </c>
      <c r="I6669" s="4" t="str">
        <v>×</v>
      </c>
      <c r="J6669" s="4"/>
      <c r="K6669" s="4"/>
      <c r="L6669" s="4"/>
      <c r="M6669" s="5" t="s">
        <v>4475</v>
      </c>
    </row>
    <row r="6670" customFormat="false" ht="15.75" hidden="false" customHeight="false" outlineLevel="0" collapsed="false">
      <c r="A6670" s="6" t="n">
        <v>46186</v>
      </c>
      <c r="B6670" s="4" t="s">
        <v>4172</v>
      </c>
      <c r="C6670" s="4" t="n">
        <v>1</v>
      </c>
      <c r="D6670" s="4" t="n">
        <v>9</v>
      </c>
      <c r="E6670" s="4" t="s">
        <v>4991</v>
      </c>
      <c r="F6670" s="4" t="n">
        <v>2</v>
      </c>
      <c r="G6670" s="4" t="n">
        <v>10</v>
      </c>
      <c r="H6670" s="4" t="n">
        <v>4</v>
      </c>
      <c r="I6670" s="4" t="str">
        <v>×</v>
      </c>
      <c r="J6670" s="4"/>
      <c r="K6670" s="4"/>
      <c r="L6670" s="4"/>
      <c r="M6670" s="5" t="s">
        <v>4475</v>
      </c>
    </row>
    <row r="6671" customFormat="false" ht="15.75" hidden="false" customHeight="false" outlineLevel="0" collapsed="false">
      <c r="A6671" s="6" t="n">
        <v>46186</v>
      </c>
      <c r="B6671" s="4" t="s">
        <v>4172</v>
      </c>
      <c r="C6671" s="4" t="n">
        <v>1</v>
      </c>
      <c r="D6671" s="4" t="n">
        <v>10</v>
      </c>
      <c r="E6671" s="4" t="s">
        <v>4992</v>
      </c>
      <c r="F6671" s="4" t="n">
        <v>34</v>
      </c>
      <c r="G6671" s="4" t="n">
        <v>4</v>
      </c>
      <c r="H6671" s="4" t="n">
        <v>3</v>
      </c>
      <c r="I6671" s="4" t="str">
        <v>○</v>
      </c>
      <c r="J6671" s="4" t="n">
        <v>190</v>
      </c>
      <c r="K6671" s="4"/>
      <c r="L6671" s="4"/>
      <c r="M6671" s="5" t="s">
        <v>4475</v>
      </c>
    </row>
    <row r="6672" customFormat="false" ht="15.75" hidden="false" customHeight="false" outlineLevel="0" collapsed="false">
      <c r="A6672" s="6" t="n">
        <v>46186</v>
      </c>
      <c r="B6672" s="4" t="s">
        <v>4172</v>
      </c>
      <c r="C6672" s="4" t="n">
        <v>1</v>
      </c>
      <c r="D6672" s="4" t="n">
        <v>11</v>
      </c>
      <c r="E6672" s="4" t="s">
        <v>2188</v>
      </c>
      <c r="F6672" s="4" t="n">
        <v>34</v>
      </c>
      <c r="G6672" s="4" t="n">
        <v>4</v>
      </c>
      <c r="H6672" s="4" t="n">
        <v>4</v>
      </c>
      <c r="I6672" s="4" t="str">
        <v>×</v>
      </c>
      <c r="J6672" s="4"/>
      <c r="K6672" s="4"/>
      <c r="L6672" s="4"/>
      <c r="M6672" s="5" t="s">
        <v>4475</v>
      </c>
    </row>
    <row r="6673" customFormat="false" ht="15.75" hidden="false" customHeight="false" outlineLevel="0" collapsed="false">
      <c r="A6673" s="6" t="n">
        <v>46186</v>
      </c>
      <c r="B6673" s="4" t="s">
        <v>4172</v>
      </c>
      <c r="C6673" s="4" t="n">
        <v>1</v>
      </c>
      <c r="D6673" s="4" t="n">
        <v>12</v>
      </c>
      <c r="E6673" s="4" t="s">
        <v>1577</v>
      </c>
      <c r="F6673" s="4" t="n">
        <v>8</v>
      </c>
      <c r="G6673" s="4" t="n">
        <v>7</v>
      </c>
      <c r="H6673" s="4" t="n">
        <v>4</v>
      </c>
      <c r="I6673" s="4" t="str">
        <v>×</v>
      </c>
      <c r="J6673" s="4"/>
      <c r="K6673" s="4"/>
      <c r="L6673" s="4"/>
      <c r="M6673" s="5" t="s">
        <v>4475</v>
      </c>
    </row>
    <row r="6674" customFormat="false" ht="15.75" hidden="false" customHeight="false" outlineLevel="0" collapsed="false">
      <c r="A6674" s="6" t="n">
        <v>46186</v>
      </c>
      <c r="B6674" s="4" t="s">
        <v>4172</v>
      </c>
      <c r="C6674" s="4" t="n">
        <v>1</v>
      </c>
      <c r="D6674" s="4" t="n">
        <v>13</v>
      </c>
      <c r="E6674" s="4" t="s">
        <v>3155</v>
      </c>
      <c r="F6674" s="4" t="n">
        <v>2</v>
      </c>
      <c r="G6674" s="4" t="n">
        <v>10</v>
      </c>
      <c r="H6674" s="4" t="n">
        <v>4</v>
      </c>
      <c r="I6674" s="4" t="str">
        <v>×</v>
      </c>
      <c r="J6674" s="4"/>
      <c r="K6674" s="4"/>
      <c r="L6674" s="4"/>
      <c r="M6674" s="5" t="s">
        <v>4475</v>
      </c>
    </row>
    <row r="6675" customFormat="false" ht="15.75" hidden="false" customHeight="false" outlineLevel="0" collapsed="false">
      <c r="A6675" s="6" t="n">
        <v>46186</v>
      </c>
      <c r="B6675" s="4" t="s">
        <v>4172</v>
      </c>
      <c r="C6675" s="4" t="n">
        <v>1</v>
      </c>
      <c r="D6675" s="4" t="n">
        <v>14</v>
      </c>
      <c r="E6675" s="4" t="s">
        <v>4993</v>
      </c>
      <c r="F6675" s="4" t="n">
        <v>8</v>
      </c>
      <c r="G6675" s="4" t="n">
        <v>7</v>
      </c>
      <c r="H6675" s="4" t="n">
        <v>4</v>
      </c>
      <c r="I6675" s="4" t="str">
        <v>×</v>
      </c>
      <c r="J6675" s="4"/>
      <c r="K6675" s="4"/>
      <c r="L6675" s="4"/>
      <c r="M6675" s="5" t="s">
        <v>4475</v>
      </c>
    </row>
    <row r="6676" customFormat="false" ht="15.75" hidden="false" customHeight="false" outlineLevel="0" collapsed="false">
      <c r="A6676" s="6" t="n">
        <v>46186</v>
      </c>
      <c r="B6676" s="4" t="s">
        <v>4172</v>
      </c>
      <c r="C6676" s="4" t="n">
        <v>1</v>
      </c>
      <c r="D6676" s="4" t="n">
        <v>15</v>
      </c>
      <c r="E6676" s="4" t="s">
        <v>4994</v>
      </c>
      <c r="F6676" s="4" t="n">
        <v>39</v>
      </c>
      <c r="G6676" s="4" t="n">
        <v>3</v>
      </c>
      <c r="H6676" s="4" t="n">
        <v>1</v>
      </c>
      <c r="I6676" s="4" t="str">
        <v>○</v>
      </c>
      <c r="J6676" s="4" t="n">
        <v>240</v>
      </c>
      <c r="K6676" s="4"/>
      <c r="L6676" s="4"/>
      <c r="M6676" s="5" t="s">
        <v>4475</v>
      </c>
    </row>
    <row r="6677" customFormat="false" ht="15.75" hidden="false" customHeight="false" outlineLevel="0" collapsed="false">
      <c r="A6677" s="6" t="n">
        <v>46186</v>
      </c>
      <c r="B6677" s="4" t="s">
        <v>4172</v>
      </c>
      <c r="C6677" s="4" t="n">
        <v>1</v>
      </c>
      <c r="D6677" s="4" t="n">
        <v>16</v>
      </c>
      <c r="E6677" s="4" t="s">
        <v>4995</v>
      </c>
      <c r="F6677" s="4" t="n">
        <v>4</v>
      </c>
      <c r="G6677" s="4" t="n">
        <v>8</v>
      </c>
      <c r="H6677" s="4" t="n">
        <v>4</v>
      </c>
      <c r="I6677" s="4" t="str">
        <v>×</v>
      </c>
      <c r="J6677" s="4"/>
      <c r="K6677" s="4"/>
      <c r="L6677" s="4"/>
      <c r="M6677" s="5" t="s">
        <v>4475</v>
      </c>
    </row>
    <row r="6678" customFormat="false" ht="15.75" hidden="false" customHeight="false" outlineLevel="0" collapsed="false">
      <c r="A6678" s="6" t="n">
        <v>46186</v>
      </c>
      <c r="B6678" s="4" t="s">
        <v>4172</v>
      </c>
      <c r="C6678" s="4" t="n">
        <v>2</v>
      </c>
      <c r="D6678" s="4" t="n">
        <v>1</v>
      </c>
      <c r="E6678" s="4" t="s">
        <v>2067</v>
      </c>
      <c r="F6678" s="4" t="n">
        <v>6</v>
      </c>
      <c r="G6678" s="4" t="n">
        <v>9</v>
      </c>
      <c r="H6678" s="4" t="n">
        <v>4</v>
      </c>
      <c r="I6678" s="4" t="str">
        <v>×</v>
      </c>
      <c r="J6678" s="4"/>
      <c r="K6678" s="4"/>
      <c r="L6678" s="4"/>
      <c r="M6678" s="5" t="s">
        <v>4475</v>
      </c>
    </row>
    <row r="6679" customFormat="false" ht="15.75" hidden="false" customHeight="false" outlineLevel="0" collapsed="false">
      <c r="A6679" s="6" t="n">
        <v>46186</v>
      </c>
      <c r="B6679" s="4" t="s">
        <v>4172</v>
      </c>
      <c r="C6679" s="4" t="n">
        <v>2</v>
      </c>
      <c r="D6679" s="4" t="n">
        <v>2</v>
      </c>
      <c r="E6679" s="4" t="s">
        <v>4996</v>
      </c>
      <c r="F6679" s="4" t="n">
        <v>25</v>
      </c>
      <c r="G6679" s="4" t="n">
        <v>4</v>
      </c>
      <c r="H6679" s="4" t="n">
        <v>3</v>
      </c>
      <c r="I6679" s="4" t="str">
        <v>○</v>
      </c>
      <c r="J6679" s="4" t="n">
        <v>330</v>
      </c>
      <c r="K6679" s="4"/>
      <c r="L6679" s="4"/>
      <c r="M6679" s="5" t="s">
        <v>4475</v>
      </c>
    </row>
    <row r="6680" customFormat="false" ht="15.75" hidden="false" customHeight="false" outlineLevel="0" collapsed="false">
      <c r="A6680" s="6" t="n">
        <v>46186</v>
      </c>
      <c r="B6680" s="4" t="s">
        <v>4172</v>
      </c>
      <c r="C6680" s="4" t="n">
        <v>2</v>
      </c>
      <c r="D6680" s="4" t="n">
        <v>3</v>
      </c>
      <c r="E6680" s="4" t="s">
        <v>4997</v>
      </c>
      <c r="F6680" s="4" t="n">
        <v>20</v>
      </c>
      <c r="G6680" s="4" t="n">
        <v>5</v>
      </c>
      <c r="H6680" s="4" t="n">
        <v>2</v>
      </c>
      <c r="I6680" s="4" t="str">
        <v>○</v>
      </c>
      <c r="J6680" s="4" t="n">
        <v>510</v>
      </c>
      <c r="K6680" s="4"/>
      <c r="L6680" s="4"/>
      <c r="M6680" s="5" t="s">
        <v>4475</v>
      </c>
    </row>
    <row r="6681" customFormat="false" ht="15.75" hidden="false" customHeight="false" outlineLevel="0" collapsed="false">
      <c r="A6681" s="6" t="n">
        <v>46186</v>
      </c>
      <c r="B6681" s="4" t="s">
        <v>4172</v>
      </c>
      <c r="C6681" s="4" t="n">
        <v>2</v>
      </c>
      <c r="D6681" s="4" t="n">
        <v>4</v>
      </c>
      <c r="E6681" s="4" t="s">
        <v>4998</v>
      </c>
      <c r="F6681" s="4" t="n">
        <v>6</v>
      </c>
      <c r="G6681" s="4" t="n">
        <v>9</v>
      </c>
      <c r="H6681" s="4" t="n">
        <v>4</v>
      </c>
      <c r="I6681" s="4" t="str">
        <v>×</v>
      </c>
      <c r="J6681" s="4"/>
      <c r="K6681" s="4"/>
      <c r="L6681" s="4"/>
      <c r="M6681" s="5" t="s">
        <v>4475</v>
      </c>
    </row>
    <row r="6682" customFormat="false" ht="15.75" hidden="false" customHeight="false" outlineLevel="0" collapsed="false">
      <c r="A6682" s="6" t="n">
        <v>46186</v>
      </c>
      <c r="B6682" s="4" t="s">
        <v>4172</v>
      </c>
      <c r="C6682" s="4" t="n">
        <v>2</v>
      </c>
      <c r="D6682" s="4" t="n">
        <v>5</v>
      </c>
      <c r="E6682" s="4" t="s">
        <v>4999</v>
      </c>
      <c r="F6682" s="4" t="n">
        <v>10</v>
      </c>
      <c r="G6682" s="4" t="n">
        <v>7</v>
      </c>
      <c r="H6682" s="4" t="n">
        <v>4</v>
      </c>
      <c r="I6682" s="4" t="str">
        <v>×</v>
      </c>
      <c r="J6682" s="4"/>
      <c r="K6682" s="4"/>
      <c r="L6682" s="4"/>
      <c r="M6682" s="5" t="s">
        <v>4475</v>
      </c>
    </row>
    <row r="6683" customFormat="false" ht="15.75" hidden="false" customHeight="false" outlineLevel="0" collapsed="false">
      <c r="A6683" s="6" t="n">
        <v>46186</v>
      </c>
      <c r="B6683" s="4" t="s">
        <v>4172</v>
      </c>
      <c r="C6683" s="4" t="n">
        <v>2</v>
      </c>
      <c r="D6683" s="4" t="n">
        <v>6</v>
      </c>
      <c r="E6683" s="4" t="s">
        <v>421</v>
      </c>
      <c r="F6683" s="4" t="n">
        <v>74</v>
      </c>
      <c r="G6683" s="4" t="n">
        <v>1</v>
      </c>
      <c r="H6683" s="4" t="n">
        <v>4</v>
      </c>
      <c r="I6683" s="4" t="str">
        <v>×</v>
      </c>
      <c r="J6683" s="4"/>
      <c r="K6683" s="4"/>
      <c r="L6683" s="4"/>
      <c r="M6683" s="5" t="s">
        <v>4475</v>
      </c>
    </row>
    <row r="6684" customFormat="false" ht="15.75" hidden="false" customHeight="false" outlineLevel="0" collapsed="false">
      <c r="A6684" s="6" t="n">
        <v>46186</v>
      </c>
      <c r="B6684" s="4" t="s">
        <v>4172</v>
      </c>
      <c r="C6684" s="4" t="n">
        <v>2</v>
      </c>
      <c r="D6684" s="4" t="n">
        <v>7</v>
      </c>
      <c r="E6684" s="4" t="s">
        <v>661</v>
      </c>
      <c r="F6684" s="4" t="n">
        <v>2</v>
      </c>
      <c r="G6684" s="4" t="n">
        <v>11</v>
      </c>
      <c r="H6684" s="4" t="n">
        <v>4</v>
      </c>
      <c r="I6684" s="4" t="str">
        <v>×</v>
      </c>
      <c r="J6684" s="4"/>
      <c r="K6684" s="4"/>
      <c r="L6684" s="4"/>
      <c r="M6684" s="5" t="s">
        <v>4475</v>
      </c>
    </row>
    <row r="6685" customFormat="false" ht="15.75" hidden="false" customHeight="false" outlineLevel="0" collapsed="false">
      <c r="A6685" s="6" t="n">
        <v>46186</v>
      </c>
      <c r="B6685" s="4" t="s">
        <v>4172</v>
      </c>
      <c r="C6685" s="4" t="n">
        <v>2</v>
      </c>
      <c r="D6685" s="4" t="n">
        <v>8</v>
      </c>
      <c r="E6685" s="4" t="s">
        <v>5000</v>
      </c>
      <c r="F6685" s="4" t="n">
        <v>15</v>
      </c>
      <c r="G6685" s="4" t="n">
        <v>6</v>
      </c>
      <c r="H6685" s="4" t="n">
        <v>4</v>
      </c>
      <c r="I6685" s="4" t="str">
        <v>×</v>
      </c>
      <c r="J6685" s="4"/>
      <c r="K6685" s="4"/>
      <c r="L6685" s="4"/>
      <c r="M6685" s="5" t="s">
        <v>4475</v>
      </c>
    </row>
    <row r="6686" customFormat="false" ht="15.75" hidden="false" customHeight="false" outlineLevel="0" collapsed="false">
      <c r="A6686" s="6" t="n">
        <v>46186</v>
      </c>
      <c r="B6686" s="4" t="s">
        <v>4172</v>
      </c>
      <c r="C6686" s="4" t="n">
        <v>2</v>
      </c>
      <c r="D6686" s="4" t="n">
        <v>9</v>
      </c>
      <c r="E6686" s="4" t="s">
        <v>5001</v>
      </c>
      <c r="F6686" s="4" t="n">
        <v>6</v>
      </c>
      <c r="G6686" s="4" t="n">
        <v>9</v>
      </c>
      <c r="H6686" s="4" t="n">
        <v>4</v>
      </c>
      <c r="I6686" s="4" t="str">
        <v>×</v>
      </c>
      <c r="J6686" s="4"/>
      <c r="K6686" s="4"/>
      <c r="L6686" s="4"/>
      <c r="M6686" s="5" t="s">
        <v>4475</v>
      </c>
    </row>
    <row r="6687" customFormat="false" ht="15.75" hidden="false" customHeight="false" outlineLevel="0" collapsed="false">
      <c r="A6687" s="6" t="n">
        <v>46186</v>
      </c>
      <c r="B6687" s="4" t="s">
        <v>4172</v>
      </c>
      <c r="C6687" s="4" t="n">
        <v>2</v>
      </c>
      <c r="D6687" s="4" t="n">
        <v>10</v>
      </c>
      <c r="E6687" s="4" t="s">
        <v>5002</v>
      </c>
      <c r="F6687" s="4" t="n">
        <v>56</v>
      </c>
      <c r="G6687" s="4" t="n">
        <v>2</v>
      </c>
      <c r="H6687" s="4" t="n">
        <v>1</v>
      </c>
      <c r="I6687" s="4" t="str">
        <v>○</v>
      </c>
      <c r="J6687" s="4" t="n">
        <v>140</v>
      </c>
      <c r="K6687" s="4"/>
      <c r="L6687" s="4"/>
      <c r="M6687" s="5" t="s">
        <v>4475</v>
      </c>
    </row>
    <row r="6688" customFormat="false" ht="15.75" hidden="false" customHeight="false" outlineLevel="0" collapsed="false">
      <c r="A6688" s="6" t="n">
        <v>46186</v>
      </c>
      <c r="B6688" s="4" t="s">
        <v>4172</v>
      </c>
      <c r="C6688" s="4" t="n">
        <v>2</v>
      </c>
      <c r="D6688" s="4" t="n">
        <v>11</v>
      </c>
      <c r="E6688" s="4" t="s">
        <v>5003</v>
      </c>
      <c r="F6688" s="4" t="n">
        <v>10</v>
      </c>
      <c r="G6688" s="4" t="n">
        <v>7</v>
      </c>
      <c r="H6688" s="4" t="n">
        <v>4</v>
      </c>
      <c r="I6688" s="4" t="str">
        <v>×</v>
      </c>
      <c r="J6688" s="4"/>
      <c r="K6688" s="4"/>
      <c r="L6688" s="4"/>
      <c r="M6688" s="5" t="s">
        <v>4475</v>
      </c>
    </row>
    <row r="6689" customFormat="false" ht="15.75" hidden="false" customHeight="false" outlineLevel="0" collapsed="false">
      <c r="A6689" s="6" t="n">
        <v>46186</v>
      </c>
      <c r="B6689" s="4" t="s">
        <v>4172</v>
      </c>
      <c r="C6689" s="4" t="n">
        <v>2</v>
      </c>
      <c r="D6689" s="4" t="n">
        <v>12</v>
      </c>
      <c r="E6689" s="4" t="s">
        <v>5004</v>
      </c>
      <c r="F6689" s="4" t="n">
        <v>2</v>
      </c>
      <c r="G6689" s="4" t="n">
        <v>11</v>
      </c>
      <c r="H6689" s="4" t="n">
        <v>4</v>
      </c>
      <c r="I6689" s="4" t="str">
        <v>×</v>
      </c>
      <c r="J6689" s="4"/>
      <c r="K6689" s="4"/>
      <c r="L6689" s="4"/>
      <c r="M6689" s="5" t="s">
        <v>4475</v>
      </c>
    </row>
    <row r="6690" customFormat="false" ht="15.75" hidden="false" customHeight="false" outlineLevel="0" collapsed="false">
      <c r="A6690" s="6" t="n">
        <v>46186</v>
      </c>
      <c r="B6690" s="4" t="s">
        <v>4172</v>
      </c>
      <c r="C6690" s="4" t="n">
        <v>2</v>
      </c>
      <c r="D6690" s="4" t="n">
        <v>13</v>
      </c>
      <c r="E6690" s="4" t="s">
        <v>5005</v>
      </c>
      <c r="F6690" s="4" t="n">
        <v>4</v>
      </c>
      <c r="G6690" s="4" t="n">
        <v>10</v>
      </c>
      <c r="H6690" s="4" t="n">
        <v>4</v>
      </c>
      <c r="I6690" s="4" t="str">
        <v>×</v>
      </c>
      <c r="J6690" s="4"/>
      <c r="K6690" s="4"/>
      <c r="L6690" s="4"/>
      <c r="M6690" s="5" t="s">
        <v>4475</v>
      </c>
    </row>
    <row r="6691" customFormat="false" ht="15.75" hidden="false" customHeight="false" outlineLevel="0" collapsed="false">
      <c r="A6691" s="6" t="n">
        <v>46186</v>
      </c>
      <c r="B6691" s="4" t="s">
        <v>4172</v>
      </c>
      <c r="C6691" s="4" t="n">
        <v>2</v>
      </c>
      <c r="D6691" s="4" t="n">
        <v>14</v>
      </c>
      <c r="E6691" s="4" t="s">
        <v>5006</v>
      </c>
      <c r="F6691" s="4" t="n">
        <v>25</v>
      </c>
      <c r="G6691" s="4" t="n">
        <v>4</v>
      </c>
      <c r="H6691" s="4" t="n">
        <v>4</v>
      </c>
      <c r="I6691" s="4" t="str">
        <v>×</v>
      </c>
      <c r="J6691" s="4"/>
      <c r="K6691" s="4"/>
      <c r="L6691" s="4"/>
      <c r="M6691" s="5" t="s">
        <v>4475</v>
      </c>
    </row>
    <row r="6692" customFormat="false" ht="15.75" hidden="false" customHeight="false" outlineLevel="0" collapsed="false">
      <c r="A6692" s="6" t="n">
        <v>46186</v>
      </c>
      <c r="B6692" s="4" t="s">
        <v>4172</v>
      </c>
      <c r="C6692" s="4" t="n">
        <v>2</v>
      </c>
      <c r="D6692" s="4" t="n">
        <v>15</v>
      </c>
      <c r="E6692" s="4" t="s">
        <v>2832</v>
      </c>
      <c r="F6692" s="4" t="n">
        <v>8</v>
      </c>
      <c r="G6692" s="4" t="n">
        <v>8</v>
      </c>
      <c r="H6692" s="4" t="n">
        <v>4</v>
      </c>
      <c r="I6692" s="4" t="str">
        <v>×</v>
      </c>
      <c r="J6692" s="4"/>
      <c r="K6692" s="4"/>
      <c r="L6692" s="4"/>
      <c r="M6692" s="5" t="s">
        <v>4475</v>
      </c>
    </row>
    <row r="6693" customFormat="false" ht="15.75" hidden="false" customHeight="false" outlineLevel="0" collapsed="false">
      <c r="A6693" s="6" t="n">
        <v>46186</v>
      </c>
      <c r="B6693" s="4" t="s">
        <v>4172</v>
      </c>
      <c r="C6693" s="4" t="n">
        <v>2</v>
      </c>
      <c r="D6693" s="4" t="n">
        <v>16</v>
      </c>
      <c r="E6693" s="4" t="s">
        <v>669</v>
      </c>
      <c r="F6693" s="4" t="n">
        <v>44</v>
      </c>
      <c r="G6693" s="4" t="n">
        <v>3</v>
      </c>
      <c r="H6693" s="4" t="n">
        <v>4</v>
      </c>
      <c r="I6693" s="4" t="str">
        <v>×</v>
      </c>
      <c r="J6693" s="4"/>
      <c r="K6693" s="4"/>
      <c r="L6693" s="4"/>
      <c r="M6693" s="5" t="s">
        <v>4475</v>
      </c>
    </row>
    <row r="6694" customFormat="false" ht="15.75" hidden="false" customHeight="false" outlineLevel="0" collapsed="false">
      <c r="A6694" s="6" t="n">
        <v>46186</v>
      </c>
      <c r="B6694" s="4" t="s">
        <v>4172</v>
      </c>
      <c r="C6694" s="4" t="n">
        <v>3</v>
      </c>
      <c r="D6694" s="4" t="n">
        <v>1</v>
      </c>
      <c r="E6694" s="4" t="s">
        <v>2879</v>
      </c>
      <c r="F6694" s="4" t="n">
        <v>47</v>
      </c>
      <c r="G6694" s="4" t="n">
        <v>1</v>
      </c>
      <c r="H6694" s="4" t="n">
        <v>2</v>
      </c>
      <c r="I6694" s="4" t="str">
        <v>○</v>
      </c>
      <c r="J6694" s="4" t="n">
        <v>220</v>
      </c>
      <c r="K6694" s="4"/>
      <c r="L6694" s="4"/>
      <c r="M6694" s="5" t="s">
        <v>4475</v>
      </c>
    </row>
    <row r="6695" customFormat="false" ht="15.75" hidden="false" customHeight="false" outlineLevel="0" collapsed="false">
      <c r="A6695" s="6" t="n">
        <v>46186</v>
      </c>
      <c r="B6695" s="4" t="s">
        <v>4172</v>
      </c>
      <c r="C6695" s="4" t="n">
        <v>3</v>
      </c>
      <c r="D6695" s="4" t="n">
        <v>2</v>
      </c>
      <c r="E6695" s="4" t="s">
        <v>1295</v>
      </c>
      <c r="F6695" s="4" t="n">
        <v>20</v>
      </c>
      <c r="G6695" s="4" t="n">
        <v>6</v>
      </c>
      <c r="H6695" s="4" t="n">
        <v>4</v>
      </c>
      <c r="I6695" s="4" t="str">
        <v>×</v>
      </c>
      <c r="J6695" s="4"/>
      <c r="K6695" s="4"/>
      <c r="L6695" s="4"/>
      <c r="M6695" s="5" t="s">
        <v>4475</v>
      </c>
    </row>
    <row r="6696" customFormat="false" ht="15.75" hidden="false" customHeight="false" outlineLevel="0" collapsed="false">
      <c r="A6696" s="6" t="n">
        <v>46186</v>
      </c>
      <c r="B6696" s="4" t="s">
        <v>4172</v>
      </c>
      <c r="C6696" s="4" t="n">
        <v>3</v>
      </c>
      <c r="D6696" s="4" t="n">
        <v>3</v>
      </c>
      <c r="E6696" s="4" t="s">
        <v>3446</v>
      </c>
      <c r="F6696" s="4" t="n">
        <v>6</v>
      </c>
      <c r="G6696" s="4" t="n">
        <v>8</v>
      </c>
      <c r="H6696" s="4" t="n">
        <v>4</v>
      </c>
      <c r="I6696" s="4" t="str">
        <v>×</v>
      </c>
      <c r="J6696" s="4"/>
      <c r="K6696" s="4"/>
      <c r="L6696" s="4"/>
      <c r="M6696" s="5" t="s">
        <v>4475</v>
      </c>
    </row>
    <row r="6697" customFormat="false" ht="15.75" hidden="false" customHeight="false" outlineLevel="0" collapsed="false">
      <c r="A6697" s="6" t="n">
        <v>46186</v>
      </c>
      <c r="B6697" s="4" t="s">
        <v>4172</v>
      </c>
      <c r="C6697" s="4" t="n">
        <v>3</v>
      </c>
      <c r="D6697" s="4" t="n">
        <v>4</v>
      </c>
      <c r="E6697" s="4" t="s">
        <v>342</v>
      </c>
      <c r="F6697" s="4" t="n">
        <v>3</v>
      </c>
      <c r="G6697" s="4" t="n">
        <v>10</v>
      </c>
      <c r="H6697" s="4" t="n">
        <v>4</v>
      </c>
      <c r="I6697" s="4" t="str">
        <v>×</v>
      </c>
      <c r="J6697" s="4"/>
      <c r="K6697" s="4"/>
      <c r="L6697" s="4"/>
      <c r="M6697" s="5" t="s">
        <v>4475</v>
      </c>
    </row>
    <row r="6698" customFormat="false" ht="15.75" hidden="false" customHeight="false" outlineLevel="0" collapsed="false">
      <c r="A6698" s="6" t="n">
        <v>46186</v>
      </c>
      <c r="B6698" s="4" t="s">
        <v>4172</v>
      </c>
      <c r="C6698" s="4" t="n">
        <v>3</v>
      </c>
      <c r="D6698" s="4" t="n">
        <v>5</v>
      </c>
      <c r="E6698" s="4" t="s">
        <v>325</v>
      </c>
      <c r="F6698" s="4" t="n">
        <v>37</v>
      </c>
      <c r="G6698" s="4" t="n">
        <v>2</v>
      </c>
      <c r="H6698" s="4" t="n">
        <v>4</v>
      </c>
      <c r="I6698" s="4" t="str">
        <v>×</v>
      </c>
      <c r="J6698" s="4"/>
      <c r="K6698" s="4"/>
      <c r="L6698" s="4"/>
      <c r="M6698" s="5" t="s">
        <v>4475</v>
      </c>
    </row>
    <row r="6699" customFormat="false" ht="15.75" hidden="false" customHeight="false" outlineLevel="0" collapsed="false">
      <c r="A6699" s="6" t="n">
        <v>46186</v>
      </c>
      <c r="B6699" s="4" t="s">
        <v>4172</v>
      </c>
      <c r="C6699" s="4" t="n">
        <v>3</v>
      </c>
      <c r="D6699" s="4" t="n">
        <v>6</v>
      </c>
      <c r="E6699" s="4" t="s">
        <v>2441</v>
      </c>
      <c r="F6699" s="4" t="n">
        <v>29</v>
      </c>
      <c r="G6699" s="4" t="n">
        <v>5</v>
      </c>
      <c r="H6699" s="4" t="n">
        <v>4</v>
      </c>
      <c r="I6699" s="4" t="str">
        <v>×</v>
      </c>
      <c r="J6699" s="4"/>
      <c r="K6699" s="4"/>
      <c r="L6699" s="4"/>
      <c r="M6699" s="5" t="s">
        <v>4475</v>
      </c>
    </row>
    <row r="6700" customFormat="false" ht="15.75" hidden="false" customHeight="false" outlineLevel="0" collapsed="false">
      <c r="A6700" s="6" t="n">
        <v>46186</v>
      </c>
      <c r="B6700" s="4" t="s">
        <v>4172</v>
      </c>
      <c r="C6700" s="4" t="n">
        <v>3</v>
      </c>
      <c r="D6700" s="4" t="n">
        <v>7</v>
      </c>
      <c r="E6700" s="4" t="s">
        <v>2473</v>
      </c>
      <c r="F6700" s="4" t="n">
        <v>3</v>
      </c>
      <c r="G6700" s="4" t="n">
        <v>10</v>
      </c>
      <c r="H6700" s="4" t="n">
        <v>4</v>
      </c>
      <c r="I6700" s="4" t="str">
        <v>×</v>
      </c>
      <c r="J6700" s="4"/>
      <c r="K6700" s="4"/>
      <c r="L6700" s="4"/>
      <c r="M6700" s="5" t="s">
        <v>4475</v>
      </c>
    </row>
    <row r="6701" customFormat="false" ht="15.75" hidden="false" customHeight="false" outlineLevel="0" collapsed="false">
      <c r="A6701" s="6" t="n">
        <v>46186</v>
      </c>
      <c r="B6701" s="4" t="s">
        <v>4172</v>
      </c>
      <c r="C6701" s="4" t="n">
        <v>3</v>
      </c>
      <c r="D6701" s="4" t="n">
        <v>8</v>
      </c>
      <c r="E6701" s="4" t="s">
        <v>2474</v>
      </c>
      <c r="F6701" s="4" t="n">
        <v>34</v>
      </c>
      <c r="G6701" s="4" t="n">
        <v>3</v>
      </c>
      <c r="H6701" s="4" t="n">
        <v>4</v>
      </c>
      <c r="I6701" s="4" t="str">
        <v>×</v>
      </c>
      <c r="J6701" s="4"/>
      <c r="K6701" s="4"/>
      <c r="L6701" s="4"/>
      <c r="M6701" s="5" t="s">
        <v>4475</v>
      </c>
    </row>
    <row r="6702" customFormat="false" ht="15.75" hidden="false" customHeight="false" outlineLevel="0" collapsed="false">
      <c r="A6702" s="6" t="n">
        <v>46186</v>
      </c>
      <c r="B6702" s="4" t="s">
        <v>4172</v>
      </c>
      <c r="C6702" s="4" t="n">
        <v>3</v>
      </c>
      <c r="D6702" s="4" t="n">
        <v>9</v>
      </c>
      <c r="E6702" s="4" t="s">
        <v>310</v>
      </c>
      <c r="F6702" s="4" t="n">
        <v>8</v>
      </c>
      <c r="G6702" s="4" t="n">
        <v>7</v>
      </c>
      <c r="H6702" s="4" t="n">
        <v>3</v>
      </c>
      <c r="I6702" s="4" t="str">
        <v>○</v>
      </c>
      <c r="J6702" s="4" t="n">
        <v>1370</v>
      </c>
      <c r="K6702" s="4"/>
      <c r="L6702" s="4"/>
      <c r="M6702" s="5" t="s">
        <v>4475</v>
      </c>
    </row>
    <row r="6703" customFormat="false" ht="15.75" hidden="false" customHeight="false" outlineLevel="0" collapsed="false">
      <c r="A6703" s="6" t="n">
        <v>46186</v>
      </c>
      <c r="B6703" s="4" t="s">
        <v>4172</v>
      </c>
      <c r="C6703" s="4" t="n">
        <v>3</v>
      </c>
      <c r="D6703" s="4" t="n">
        <v>10</v>
      </c>
      <c r="E6703" s="4" t="s">
        <v>5007</v>
      </c>
      <c r="F6703" s="4" t="n">
        <v>47</v>
      </c>
      <c r="G6703" s="4" t="n">
        <v>1</v>
      </c>
      <c r="H6703" s="4" t="n">
        <v>1</v>
      </c>
      <c r="I6703" s="4" t="str">
        <v>○</v>
      </c>
      <c r="J6703" s="4" t="n">
        <v>150</v>
      </c>
      <c r="K6703" s="4"/>
      <c r="L6703" s="4"/>
      <c r="M6703" s="5" t="s">
        <v>4475</v>
      </c>
    </row>
    <row r="6704" customFormat="false" ht="15.75" hidden="false" customHeight="false" outlineLevel="0" collapsed="false">
      <c r="A6704" s="6" t="n">
        <v>46186</v>
      </c>
      <c r="B6704" s="4" t="s">
        <v>4172</v>
      </c>
      <c r="C6704" s="4" t="n">
        <v>3</v>
      </c>
      <c r="D6704" s="4" t="n">
        <v>11</v>
      </c>
      <c r="E6704" s="4" t="s">
        <v>3137</v>
      </c>
      <c r="F6704" s="4" t="n">
        <v>4</v>
      </c>
      <c r="G6704" s="4" t="n">
        <v>9</v>
      </c>
      <c r="H6704" s="4" t="n">
        <v>4</v>
      </c>
      <c r="I6704" s="4" t="str">
        <v>×</v>
      </c>
      <c r="J6704" s="4"/>
      <c r="K6704" s="4"/>
      <c r="L6704" s="4"/>
      <c r="M6704" s="5" t="s">
        <v>4475</v>
      </c>
    </row>
    <row r="6705" customFormat="false" ht="15.75" hidden="false" customHeight="false" outlineLevel="0" collapsed="false">
      <c r="A6705" s="6" t="n">
        <v>46186</v>
      </c>
      <c r="B6705" s="4" t="s">
        <v>4172</v>
      </c>
      <c r="C6705" s="4" t="n">
        <v>3</v>
      </c>
      <c r="D6705" s="4" t="n">
        <v>12</v>
      </c>
      <c r="E6705" s="4" t="s">
        <v>5008</v>
      </c>
      <c r="F6705" s="4" t="n">
        <v>3</v>
      </c>
      <c r="G6705" s="4" t="n">
        <v>10</v>
      </c>
      <c r="H6705" s="4" t="n">
        <v>4</v>
      </c>
      <c r="I6705" s="4" t="str">
        <v>×</v>
      </c>
      <c r="J6705" s="4"/>
      <c r="K6705" s="4"/>
      <c r="L6705" s="4"/>
      <c r="M6705" s="5" t="s">
        <v>4475</v>
      </c>
    </row>
    <row r="6706" customFormat="false" ht="15.75" hidden="false" customHeight="false" outlineLevel="0" collapsed="false">
      <c r="A6706" s="6" t="n">
        <v>46186</v>
      </c>
      <c r="B6706" s="4" t="s">
        <v>4172</v>
      </c>
      <c r="C6706" s="4" t="n">
        <v>3</v>
      </c>
      <c r="D6706" s="4" t="n">
        <v>13</v>
      </c>
      <c r="E6706" s="4" t="s">
        <v>5009</v>
      </c>
      <c r="F6706" s="4" t="n">
        <v>3</v>
      </c>
      <c r="G6706" s="4" t="n">
        <v>10</v>
      </c>
      <c r="H6706" s="4" t="n">
        <v>4</v>
      </c>
      <c r="I6706" s="4" t="str">
        <v>×</v>
      </c>
      <c r="J6706" s="4"/>
      <c r="K6706" s="4"/>
      <c r="L6706" s="4"/>
      <c r="M6706" s="5" t="s">
        <v>4475</v>
      </c>
    </row>
    <row r="6707" customFormat="false" ht="15.75" hidden="false" customHeight="false" outlineLevel="0" collapsed="false">
      <c r="A6707" s="6" t="n">
        <v>46186</v>
      </c>
      <c r="B6707" s="4" t="s">
        <v>4172</v>
      </c>
      <c r="C6707" s="4" t="n">
        <v>3</v>
      </c>
      <c r="D6707" s="4" t="n">
        <v>14</v>
      </c>
      <c r="E6707" s="4" t="s">
        <v>5010</v>
      </c>
      <c r="F6707" s="4" t="n">
        <v>31</v>
      </c>
      <c r="G6707" s="4" t="n">
        <v>4</v>
      </c>
      <c r="H6707" s="4" t="n">
        <v>4</v>
      </c>
      <c r="I6707" s="4" t="str">
        <v>×</v>
      </c>
      <c r="J6707" s="4"/>
      <c r="K6707" s="4"/>
      <c r="L6707" s="4"/>
      <c r="M6707" s="5" t="s">
        <v>4475</v>
      </c>
    </row>
    <row r="6708" customFormat="false" ht="15.75" hidden="false" customHeight="false" outlineLevel="0" collapsed="false">
      <c r="A6708" s="6" t="n">
        <v>46186</v>
      </c>
      <c r="B6708" s="4" t="s">
        <v>4172</v>
      </c>
      <c r="C6708" s="4" t="n">
        <v>3</v>
      </c>
      <c r="D6708" s="4" t="n">
        <v>15</v>
      </c>
      <c r="E6708" s="4" t="s">
        <v>4386</v>
      </c>
      <c r="F6708" s="4" t="n">
        <v>1</v>
      </c>
      <c r="G6708" s="4" t="n">
        <v>11</v>
      </c>
      <c r="H6708" s="4" t="n">
        <v>4</v>
      </c>
      <c r="I6708" s="4" t="str">
        <v>×</v>
      </c>
      <c r="J6708" s="4"/>
      <c r="K6708" s="4"/>
      <c r="L6708" s="4"/>
      <c r="M6708" s="5" t="s">
        <v>4475</v>
      </c>
    </row>
    <row r="6709" customFormat="false" ht="15.75" hidden="false" customHeight="false" outlineLevel="0" collapsed="false">
      <c r="A6709" s="6" t="n">
        <v>46186</v>
      </c>
      <c r="B6709" s="4" t="s">
        <v>4172</v>
      </c>
      <c r="C6709" s="4" t="n">
        <v>3</v>
      </c>
      <c r="D6709" s="4" t="n">
        <v>16</v>
      </c>
      <c r="E6709" s="4" t="s">
        <v>5011</v>
      </c>
      <c r="F6709" s="4" t="n">
        <v>31</v>
      </c>
      <c r="G6709" s="4" t="n">
        <v>4</v>
      </c>
      <c r="H6709" s="4" t="n">
        <v>4</v>
      </c>
      <c r="I6709" s="4" t="str">
        <v>×</v>
      </c>
      <c r="J6709" s="4"/>
      <c r="K6709" s="4"/>
      <c r="L6709" s="4"/>
      <c r="M6709" s="5" t="s">
        <v>4475</v>
      </c>
    </row>
    <row r="6710" customFormat="false" ht="15.75" hidden="false" customHeight="false" outlineLevel="0" collapsed="false">
      <c r="A6710" s="6" t="n">
        <v>46186</v>
      </c>
      <c r="B6710" s="4" t="s">
        <v>4172</v>
      </c>
      <c r="C6710" s="4" t="n">
        <v>3</v>
      </c>
      <c r="D6710" s="4" t="n">
        <v>17</v>
      </c>
      <c r="E6710" s="4" t="s">
        <v>4629</v>
      </c>
      <c r="F6710" s="4" t="n">
        <v>37</v>
      </c>
      <c r="G6710" s="4" t="n">
        <v>2</v>
      </c>
      <c r="H6710" s="4" t="n">
        <v>4</v>
      </c>
      <c r="I6710" s="4" t="str">
        <v>×</v>
      </c>
      <c r="J6710" s="4"/>
      <c r="K6710" s="4"/>
      <c r="L6710" s="4"/>
      <c r="M6710" s="5" t="s">
        <v>4475</v>
      </c>
    </row>
    <row r="6711" customFormat="false" ht="15.75" hidden="false" customHeight="false" outlineLevel="0" collapsed="false">
      <c r="A6711" s="6" t="n">
        <v>46186</v>
      </c>
      <c r="B6711" s="4" t="s">
        <v>4172</v>
      </c>
      <c r="C6711" s="4" t="n">
        <v>3</v>
      </c>
      <c r="D6711" s="4" t="n">
        <v>18</v>
      </c>
      <c r="E6711" s="4" t="s">
        <v>4792</v>
      </c>
      <c r="F6711" s="4" t="n">
        <v>3</v>
      </c>
      <c r="G6711" s="4" t="n">
        <v>10</v>
      </c>
      <c r="H6711" s="4" t="n">
        <v>4</v>
      </c>
      <c r="I6711" s="4" t="str">
        <v>×</v>
      </c>
      <c r="J6711" s="4"/>
      <c r="K6711" s="4"/>
      <c r="L6711" s="4"/>
      <c r="M6711" s="5" t="s">
        <v>4475</v>
      </c>
    </row>
    <row r="6712" customFormat="false" ht="15.75" hidden="false" customHeight="false" outlineLevel="0" collapsed="false">
      <c r="A6712" s="6" t="n">
        <v>46186</v>
      </c>
      <c r="B6712" s="4" t="s">
        <v>4172</v>
      </c>
      <c r="C6712" s="4" t="n">
        <v>4</v>
      </c>
      <c r="D6712" s="4" t="n">
        <v>1</v>
      </c>
      <c r="E6712" s="4" t="s">
        <v>5012</v>
      </c>
      <c r="F6712" s="4" t="n">
        <v>17</v>
      </c>
      <c r="G6712" s="4" t="n">
        <v>6</v>
      </c>
      <c r="H6712" s="4" t="n">
        <v>4</v>
      </c>
      <c r="I6712" s="4" t="str">
        <v>×</v>
      </c>
      <c r="J6712" s="4"/>
      <c r="K6712" s="4"/>
      <c r="L6712" s="4"/>
      <c r="M6712" s="5" t="s">
        <v>4475</v>
      </c>
    </row>
    <row r="6713" customFormat="false" ht="15.75" hidden="false" customHeight="false" outlineLevel="0" collapsed="false">
      <c r="A6713" s="6" t="n">
        <v>46186</v>
      </c>
      <c r="B6713" s="4" t="s">
        <v>4172</v>
      </c>
      <c r="C6713" s="4" t="n">
        <v>4</v>
      </c>
      <c r="D6713" s="4" t="n">
        <v>2</v>
      </c>
      <c r="E6713" s="4" t="s">
        <v>1165</v>
      </c>
      <c r="F6713" s="4" t="n">
        <v>4</v>
      </c>
      <c r="G6713" s="4" t="n">
        <v>11</v>
      </c>
      <c r="H6713" s="4" t="n">
        <v>4</v>
      </c>
      <c r="I6713" s="4" t="str">
        <v>×</v>
      </c>
      <c r="J6713" s="4"/>
      <c r="K6713" s="4"/>
      <c r="L6713" s="4"/>
      <c r="M6713" s="5" t="s">
        <v>4475</v>
      </c>
    </row>
    <row r="6714" customFormat="false" ht="15.75" hidden="false" customHeight="false" outlineLevel="0" collapsed="false">
      <c r="A6714" s="6" t="n">
        <v>46186</v>
      </c>
      <c r="B6714" s="4" t="s">
        <v>4172</v>
      </c>
      <c r="C6714" s="4" t="n">
        <v>4</v>
      </c>
      <c r="D6714" s="4" t="n">
        <v>3</v>
      </c>
      <c r="E6714" s="4" t="s">
        <v>1632</v>
      </c>
      <c r="F6714" s="4" t="n">
        <v>13</v>
      </c>
      <c r="G6714" s="4" t="n">
        <v>7</v>
      </c>
      <c r="H6714" s="4" t="n">
        <v>4</v>
      </c>
      <c r="I6714" s="4" t="str">
        <v>×</v>
      </c>
      <c r="J6714" s="4"/>
      <c r="K6714" s="4"/>
      <c r="L6714" s="4"/>
      <c r="M6714" s="5" t="s">
        <v>4475</v>
      </c>
    </row>
    <row r="6715" customFormat="false" ht="15.75" hidden="false" customHeight="false" outlineLevel="0" collapsed="false">
      <c r="A6715" s="6" t="n">
        <v>46186</v>
      </c>
      <c r="B6715" s="4" t="s">
        <v>4172</v>
      </c>
      <c r="C6715" s="4" t="n">
        <v>4</v>
      </c>
      <c r="D6715" s="4" t="n">
        <v>4</v>
      </c>
      <c r="E6715" s="4" t="s">
        <v>629</v>
      </c>
      <c r="F6715" s="4" t="n">
        <v>29</v>
      </c>
      <c r="G6715" s="4" t="n">
        <v>4</v>
      </c>
      <c r="H6715" s="4" t="n">
        <v>2</v>
      </c>
      <c r="I6715" s="4" t="str">
        <v>○</v>
      </c>
      <c r="J6715" s="4" t="n">
        <v>340</v>
      </c>
      <c r="K6715" s="4"/>
      <c r="L6715" s="4"/>
      <c r="M6715" s="5" t="s">
        <v>4475</v>
      </c>
    </row>
    <row r="6716" customFormat="false" ht="15.75" hidden="false" customHeight="false" outlineLevel="0" collapsed="false">
      <c r="A6716" s="6" t="n">
        <v>46186</v>
      </c>
      <c r="B6716" s="4" t="s">
        <v>4172</v>
      </c>
      <c r="C6716" s="4" t="n">
        <v>4</v>
      </c>
      <c r="D6716" s="4" t="n">
        <v>5</v>
      </c>
      <c r="E6716" s="4" t="s">
        <v>5013</v>
      </c>
      <c r="F6716" s="4" t="n">
        <v>20</v>
      </c>
      <c r="G6716" s="4" t="n">
        <v>5</v>
      </c>
      <c r="H6716" s="4" t="n">
        <v>4</v>
      </c>
      <c r="I6716" s="4" t="str">
        <v>×</v>
      </c>
      <c r="J6716" s="4"/>
      <c r="K6716" s="4"/>
      <c r="L6716" s="4"/>
      <c r="M6716" s="5" t="s">
        <v>4475</v>
      </c>
    </row>
    <row r="6717" customFormat="false" ht="15.75" hidden="false" customHeight="false" outlineLevel="0" collapsed="false">
      <c r="A6717" s="6" t="n">
        <v>46186</v>
      </c>
      <c r="B6717" s="4" t="s">
        <v>4172</v>
      </c>
      <c r="C6717" s="4" t="n">
        <v>4</v>
      </c>
      <c r="D6717" s="4" t="n">
        <v>6</v>
      </c>
      <c r="E6717" s="4" t="s">
        <v>5014</v>
      </c>
      <c r="F6717" s="4" t="n">
        <v>2</v>
      </c>
      <c r="G6717" s="4" t="n">
        <v>12</v>
      </c>
      <c r="H6717" s="4" t="n">
        <v>4</v>
      </c>
      <c r="I6717" s="4" t="str">
        <v>×</v>
      </c>
      <c r="J6717" s="4"/>
      <c r="K6717" s="4"/>
      <c r="L6717" s="4"/>
      <c r="M6717" s="5" t="s">
        <v>4475</v>
      </c>
    </row>
    <row r="6718" customFormat="false" ht="15.75" hidden="false" customHeight="false" outlineLevel="0" collapsed="false">
      <c r="A6718" s="6" t="n">
        <v>46186</v>
      </c>
      <c r="B6718" s="4" t="s">
        <v>4172</v>
      </c>
      <c r="C6718" s="4" t="n">
        <v>4</v>
      </c>
      <c r="D6718" s="4" t="n">
        <v>7</v>
      </c>
      <c r="E6718" s="4" t="s">
        <v>5015</v>
      </c>
      <c r="F6718" s="4" t="n">
        <v>58</v>
      </c>
      <c r="G6718" s="4" t="n">
        <v>1</v>
      </c>
      <c r="H6718" s="4" t="n">
        <v>1</v>
      </c>
      <c r="I6718" s="4" t="str">
        <v>○</v>
      </c>
      <c r="J6718" s="4" t="n">
        <v>130</v>
      </c>
      <c r="K6718" s="4"/>
      <c r="L6718" s="4"/>
      <c r="M6718" s="5" t="s">
        <v>4475</v>
      </c>
    </row>
    <row r="6719" customFormat="false" ht="15.75" hidden="false" customHeight="false" outlineLevel="0" collapsed="false">
      <c r="A6719" s="6" t="n">
        <v>46186</v>
      </c>
      <c r="B6719" s="4" t="s">
        <v>4172</v>
      </c>
      <c r="C6719" s="4" t="n">
        <v>4</v>
      </c>
      <c r="D6719" s="4" t="n">
        <v>8</v>
      </c>
      <c r="E6719" s="4" t="s">
        <v>203</v>
      </c>
      <c r="F6719" s="4" t="n">
        <v>39</v>
      </c>
      <c r="G6719" s="4" t="n">
        <v>2</v>
      </c>
      <c r="H6719" s="4" t="n">
        <v>4</v>
      </c>
      <c r="I6719" s="4" t="str">
        <v>×</v>
      </c>
      <c r="J6719" s="4"/>
      <c r="K6719" s="4"/>
      <c r="L6719" s="4"/>
      <c r="M6719" s="5" t="s">
        <v>4475</v>
      </c>
    </row>
    <row r="6720" customFormat="false" ht="15.75" hidden="false" customHeight="false" outlineLevel="0" collapsed="false">
      <c r="A6720" s="6" t="n">
        <v>46186</v>
      </c>
      <c r="B6720" s="4" t="s">
        <v>4172</v>
      </c>
      <c r="C6720" s="4" t="n">
        <v>4</v>
      </c>
      <c r="D6720" s="4" t="n">
        <v>9</v>
      </c>
      <c r="E6720" s="4" t="s">
        <v>3889</v>
      </c>
      <c r="F6720" s="4" t="n">
        <v>10</v>
      </c>
      <c r="G6720" s="4" t="n">
        <v>8</v>
      </c>
      <c r="H6720" s="4" t="n">
        <v>4</v>
      </c>
      <c r="I6720" s="4" t="str">
        <v>×</v>
      </c>
      <c r="J6720" s="4"/>
      <c r="K6720" s="4"/>
      <c r="L6720" s="4"/>
      <c r="M6720" s="5" t="s">
        <v>4475</v>
      </c>
    </row>
    <row r="6721" customFormat="false" ht="15.75" hidden="false" customHeight="false" outlineLevel="0" collapsed="false">
      <c r="A6721" s="6" t="n">
        <v>46186</v>
      </c>
      <c r="B6721" s="4" t="s">
        <v>4172</v>
      </c>
      <c r="C6721" s="4" t="n">
        <v>4</v>
      </c>
      <c r="D6721" s="4" t="n">
        <v>10</v>
      </c>
      <c r="E6721" s="4" t="s">
        <v>1302</v>
      </c>
      <c r="F6721" s="4" t="n">
        <v>8</v>
      </c>
      <c r="G6721" s="4" t="n">
        <v>9</v>
      </c>
      <c r="H6721" s="4" t="n">
        <v>4</v>
      </c>
      <c r="I6721" s="4" t="str">
        <v>×</v>
      </c>
      <c r="J6721" s="4"/>
      <c r="K6721" s="4"/>
      <c r="L6721" s="4"/>
      <c r="M6721" s="5" t="s">
        <v>4475</v>
      </c>
    </row>
    <row r="6722" customFormat="false" ht="15.75" hidden="false" customHeight="false" outlineLevel="0" collapsed="false">
      <c r="A6722" s="6" t="n">
        <v>46186</v>
      </c>
      <c r="B6722" s="4" t="s">
        <v>4172</v>
      </c>
      <c r="C6722" s="4" t="n">
        <v>4</v>
      </c>
      <c r="D6722" s="4" t="n">
        <v>11</v>
      </c>
      <c r="E6722" s="4" t="s">
        <v>2050</v>
      </c>
      <c r="F6722" s="4" t="n">
        <v>4</v>
      </c>
      <c r="G6722" s="4" t="n">
        <v>11</v>
      </c>
      <c r="H6722" s="4" t="n">
        <v>4</v>
      </c>
      <c r="I6722" s="4" t="str">
        <v>×</v>
      </c>
      <c r="J6722" s="4"/>
      <c r="K6722" s="4"/>
      <c r="L6722" s="4"/>
      <c r="M6722" s="5" t="s">
        <v>4475</v>
      </c>
    </row>
    <row r="6723" customFormat="false" ht="15.75" hidden="false" customHeight="false" outlineLevel="0" collapsed="false">
      <c r="A6723" s="6" t="n">
        <v>46186</v>
      </c>
      <c r="B6723" s="4" t="s">
        <v>4172</v>
      </c>
      <c r="C6723" s="4" t="n">
        <v>4</v>
      </c>
      <c r="D6723" s="4" t="n">
        <v>12</v>
      </c>
      <c r="E6723" s="4" t="s">
        <v>5016</v>
      </c>
      <c r="F6723" s="4" t="n">
        <v>4</v>
      </c>
      <c r="G6723" s="4" t="n">
        <v>11</v>
      </c>
      <c r="H6723" s="4" t="n">
        <v>4</v>
      </c>
      <c r="I6723" s="4" t="str">
        <v>×</v>
      </c>
      <c r="J6723" s="4"/>
      <c r="K6723" s="4"/>
      <c r="L6723" s="4"/>
      <c r="M6723" s="5" t="s">
        <v>4475</v>
      </c>
    </row>
    <row r="6724" customFormat="false" ht="15.75" hidden="false" customHeight="false" outlineLevel="0" collapsed="false">
      <c r="A6724" s="6" t="n">
        <v>46186</v>
      </c>
      <c r="B6724" s="4" t="s">
        <v>4172</v>
      </c>
      <c r="C6724" s="4" t="n">
        <v>4</v>
      </c>
      <c r="D6724" s="4" t="n">
        <v>13</v>
      </c>
      <c r="E6724" s="4" t="s">
        <v>2477</v>
      </c>
      <c r="F6724" s="4" t="n">
        <v>37</v>
      </c>
      <c r="G6724" s="4" t="n">
        <v>3</v>
      </c>
      <c r="H6724" s="4" t="n">
        <v>3</v>
      </c>
      <c r="I6724" s="4" t="str">
        <v>○</v>
      </c>
      <c r="J6724" s="4" t="n">
        <v>200</v>
      </c>
      <c r="K6724" s="4"/>
      <c r="L6724" s="4"/>
      <c r="M6724" s="5" t="s">
        <v>4475</v>
      </c>
    </row>
    <row r="6725" customFormat="false" ht="15.75" hidden="false" customHeight="false" outlineLevel="0" collapsed="false">
      <c r="A6725" s="6" t="n">
        <v>46186</v>
      </c>
      <c r="B6725" s="4" t="s">
        <v>4172</v>
      </c>
      <c r="C6725" s="4" t="n">
        <v>4</v>
      </c>
      <c r="D6725" s="4" t="n">
        <v>14</v>
      </c>
      <c r="E6725" s="4" t="s">
        <v>5017</v>
      </c>
      <c r="F6725" s="4" t="n">
        <v>39</v>
      </c>
      <c r="G6725" s="4" t="n">
        <v>2</v>
      </c>
      <c r="H6725" s="4" t="n">
        <v>4</v>
      </c>
      <c r="I6725" s="4" t="str">
        <v>×</v>
      </c>
      <c r="J6725" s="4"/>
      <c r="K6725" s="4"/>
      <c r="L6725" s="4"/>
      <c r="M6725" s="5" t="s">
        <v>4475</v>
      </c>
    </row>
    <row r="6726" customFormat="false" ht="15.75" hidden="false" customHeight="false" outlineLevel="0" collapsed="false">
      <c r="A6726" s="6" t="n">
        <v>46186</v>
      </c>
      <c r="B6726" s="4" t="s">
        <v>4172</v>
      </c>
      <c r="C6726" s="4" t="n">
        <v>4</v>
      </c>
      <c r="D6726" s="4" t="n">
        <v>15</v>
      </c>
      <c r="E6726" s="4" t="s">
        <v>3595</v>
      </c>
      <c r="F6726" s="4" t="n">
        <v>6</v>
      </c>
      <c r="G6726" s="4" t="n">
        <v>10</v>
      </c>
      <c r="H6726" s="4" t="n">
        <v>4</v>
      </c>
      <c r="I6726" s="4" t="str">
        <v>×</v>
      </c>
      <c r="J6726" s="4"/>
      <c r="K6726" s="4"/>
      <c r="L6726" s="4"/>
      <c r="M6726" s="5" t="s">
        <v>4475</v>
      </c>
    </row>
    <row r="6727" customFormat="false" ht="15.75" hidden="false" customHeight="false" outlineLevel="0" collapsed="false">
      <c r="A6727" s="6" t="n">
        <v>46186</v>
      </c>
      <c r="B6727" s="4" t="s">
        <v>4172</v>
      </c>
      <c r="C6727" s="4" t="n">
        <v>4</v>
      </c>
      <c r="D6727" s="4" t="n">
        <v>16</v>
      </c>
      <c r="E6727" s="4" t="s">
        <v>5018</v>
      </c>
      <c r="F6727" s="4" t="n">
        <v>6</v>
      </c>
      <c r="G6727" s="4" t="n">
        <v>10</v>
      </c>
      <c r="H6727" s="4" t="n">
        <v>4</v>
      </c>
      <c r="I6727" s="4" t="str">
        <v>×</v>
      </c>
      <c r="J6727" s="4"/>
      <c r="K6727" s="4"/>
      <c r="L6727" s="4"/>
      <c r="M6727" s="5" t="s">
        <v>4475</v>
      </c>
    </row>
    <row r="6728" customFormat="false" ht="15.75" hidden="false" customHeight="false" outlineLevel="0" collapsed="false">
      <c r="A6728" s="6" t="n">
        <v>46186</v>
      </c>
      <c r="B6728" s="4" t="s">
        <v>4172</v>
      </c>
      <c r="C6728" s="4" t="n">
        <v>5</v>
      </c>
      <c r="D6728" s="4" t="n">
        <v>1</v>
      </c>
      <c r="E6728" s="4" t="s">
        <v>5019</v>
      </c>
      <c r="F6728" s="4" t="n">
        <v>21</v>
      </c>
      <c r="G6728" s="4" t="n">
        <v>5</v>
      </c>
      <c r="H6728" s="4" t="n">
        <v>4</v>
      </c>
      <c r="I6728" s="4" t="str">
        <v>×</v>
      </c>
      <c r="J6728" s="4"/>
      <c r="K6728" s="4"/>
      <c r="L6728" s="4"/>
      <c r="M6728" s="5" t="s">
        <v>4475</v>
      </c>
    </row>
    <row r="6729" customFormat="false" ht="15.75" hidden="false" customHeight="false" outlineLevel="0" collapsed="false">
      <c r="A6729" s="6" t="n">
        <v>46186</v>
      </c>
      <c r="B6729" s="4" t="s">
        <v>4172</v>
      </c>
      <c r="C6729" s="4" t="n">
        <v>5</v>
      </c>
      <c r="D6729" s="4" t="n">
        <v>2</v>
      </c>
      <c r="E6729" s="4" t="s">
        <v>632</v>
      </c>
      <c r="F6729" s="4" t="n">
        <v>32</v>
      </c>
      <c r="G6729" s="4" t="n">
        <v>2</v>
      </c>
      <c r="H6729" s="4" t="n">
        <v>2</v>
      </c>
      <c r="I6729" s="4" t="str">
        <v>○</v>
      </c>
      <c r="J6729" s="4" t="n">
        <v>120</v>
      </c>
      <c r="K6729" s="4"/>
      <c r="L6729" s="4"/>
      <c r="M6729" s="5" t="s">
        <v>4475</v>
      </c>
    </row>
    <row r="6730" customFormat="false" ht="15.75" hidden="false" customHeight="false" outlineLevel="0" collapsed="false">
      <c r="A6730" s="6" t="n">
        <v>46186</v>
      </c>
      <c r="B6730" s="4" t="s">
        <v>4172</v>
      </c>
      <c r="C6730" s="4" t="n">
        <v>5</v>
      </c>
      <c r="D6730" s="4" t="n">
        <v>3</v>
      </c>
      <c r="E6730" s="4" t="s">
        <v>4356</v>
      </c>
      <c r="F6730" s="4" t="n">
        <v>21</v>
      </c>
      <c r="G6730" s="4" t="n">
        <v>5</v>
      </c>
      <c r="H6730" s="4" t="n">
        <v>4</v>
      </c>
      <c r="I6730" s="4" t="str">
        <v>×</v>
      </c>
      <c r="J6730" s="4"/>
      <c r="K6730" s="4"/>
      <c r="L6730" s="4"/>
      <c r="M6730" s="5" t="s">
        <v>4475</v>
      </c>
    </row>
    <row r="6731" customFormat="false" ht="15.75" hidden="false" customHeight="false" outlineLevel="0" collapsed="false">
      <c r="A6731" s="6" t="n">
        <v>46186</v>
      </c>
      <c r="B6731" s="4" t="s">
        <v>4172</v>
      </c>
      <c r="C6731" s="4" t="n">
        <v>5</v>
      </c>
      <c r="D6731" s="4" t="n">
        <v>4</v>
      </c>
      <c r="E6731" s="4" t="s">
        <v>2022</v>
      </c>
      <c r="F6731" s="4" t="n">
        <v>24</v>
      </c>
      <c r="G6731" s="4" t="n">
        <v>4</v>
      </c>
      <c r="H6731" s="4" t="n">
        <v>4</v>
      </c>
      <c r="I6731" s="4" t="str">
        <v>×</v>
      </c>
      <c r="J6731" s="4"/>
      <c r="K6731" s="4"/>
      <c r="L6731" s="4"/>
      <c r="M6731" s="5" t="s">
        <v>4475</v>
      </c>
    </row>
    <row r="6732" customFormat="false" ht="15.75" hidden="false" customHeight="false" outlineLevel="0" collapsed="false">
      <c r="A6732" s="6" t="n">
        <v>46186</v>
      </c>
      <c r="B6732" s="4" t="s">
        <v>4172</v>
      </c>
      <c r="C6732" s="4" t="n">
        <v>5</v>
      </c>
      <c r="D6732" s="4" t="n">
        <v>5</v>
      </c>
      <c r="E6732" s="4" t="s">
        <v>2025</v>
      </c>
      <c r="F6732" s="4" t="n">
        <v>12</v>
      </c>
      <c r="G6732" s="4" t="n">
        <v>6</v>
      </c>
      <c r="H6732" s="4" t="n">
        <v>3</v>
      </c>
      <c r="I6732" s="4" t="str">
        <v>○</v>
      </c>
      <c r="J6732" s="4" t="n">
        <v>340</v>
      </c>
      <c r="K6732" s="4"/>
      <c r="L6732" s="4"/>
      <c r="M6732" s="5" t="s">
        <v>4475</v>
      </c>
    </row>
    <row r="6733" customFormat="false" ht="15.75" hidden="false" customHeight="false" outlineLevel="0" collapsed="false">
      <c r="A6733" s="6" t="n">
        <v>46186</v>
      </c>
      <c r="B6733" s="4" t="s">
        <v>4172</v>
      </c>
      <c r="C6733" s="4" t="n">
        <v>5</v>
      </c>
      <c r="D6733" s="4" t="n">
        <v>6</v>
      </c>
      <c r="E6733" s="4" t="s">
        <v>1855</v>
      </c>
      <c r="F6733" s="4" t="n">
        <v>37</v>
      </c>
      <c r="G6733" s="4" t="n">
        <v>1</v>
      </c>
      <c r="H6733" s="4" t="n">
        <v>1</v>
      </c>
      <c r="I6733" s="4" t="str">
        <v>○</v>
      </c>
      <c r="J6733" s="4" t="n">
        <v>120</v>
      </c>
      <c r="K6733" s="4"/>
      <c r="L6733" s="4"/>
      <c r="M6733" s="5" t="s">
        <v>4475</v>
      </c>
    </row>
    <row r="6734" customFormat="false" ht="15.75" hidden="false" customHeight="false" outlineLevel="0" collapsed="false">
      <c r="A6734" s="6" t="n">
        <v>46186</v>
      </c>
      <c r="B6734" s="4" t="s">
        <v>4172</v>
      </c>
      <c r="C6734" s="4" t="n">
        <v>5</v>
      </c>
      <c r="D6734" s="4" t="n">
        <v>7</v>
      </c>
      <c r="E6734" s="4" t="s">
        <v>2019</v>
      </c>
      <c r="F6734" s="4" t="n">
        <v>8</v>
      </c>
      <c r="G6734" s="4" t="n">
        <v>7</v>
      </c>
      <c r="H6734" s="4" t="n">
        <v>4</v>
      </c>
      <c r="I6734" s="4" t="str">
        <v>×</v>
      </c>
      <c r="J6734" s="4"/>
      <c r="K6734" s="4"/>
      <c r="L6734" s="4"/>
      <c r="M6734" s="5" t="s">
        <v>4475</v>
      </c>
    </row>
    <row r="6735" customFormat="false" ht="15.75" hidden="false" customHeight="false" outlineLevel="0" collapsed="false">
      <c r="A6735" s="6" t="n">
        <v>46186</v>
      </c>
      <c r="B6735" s="4" t="s">
        <v>4172</v>
      </c>
      <c r="C6735" s="4" t="n">
        <v>5</v>
      </c>
      <c r="D6735" s="4" t="n">
        <v>8</v>
      </c>
      <c r="E6735" s="4" t="s">
        <v>2017</v>
      </c>
      <c r="F6735" s="4" t="n">
        <v>12</v>
      </c>
      <c r="G6735" s="4" t="n">
        <v>6</v>
      </c>
      <c r="H6735" s="4" t="n">
        <v>4</v>
      </c>
      <c r="I6735" s="4" t="str">
        <v>×</v>
      </c>
      <c r="J6735" s="4"/>
      <c r="K6735" s="4"/>
      <c r="L6735" s="4"/>
      <c r="M6735" s="5" t="s">
        <v>4475</v>
      </c>
    </row>
    <row r="6736" customFormat="false" ht="15.75" hidden="false" customHeight="false" outlineLevel="0" collapsed="false">
      <c r="A6736" s="6" t="n">
        <v>46186</v>
      </c>
      <c r="B6736" s="4" t="s">
        <v>4172</v>
      </c>
      <c r="C6736" s="4" t="n">
        <v>5</v>
      </c>
      <c r="D6736" s="4" t="n">
        <v>9</v>
      </c>
      <c r="E6736" s="4" t="s">
        <v>4358</v>
      </c>
      <c r="F6736" s="4" t="n">
        <v>21</v>
      </c>
      <c r="G6736" s="4" t="n">
        <v>5</v>
      </c>
      <c r="H6736" s="4" t="n">
        <v>4</v>
      </c>
      <c r="I6736" s="4" t="str">
        <v>×</v>
      </c>
      <c r="J6736" s="4"/>
      <c r="K6736" s="4"/>
      <c r="L6736" s="4"/>
      <c r="M6736" s="5" t="s">
        <v>4475</v>
      </c>
    </row>
    <row r="6737" customFormat="false" ht="15.75" hidden="false" customHeight="false" outlineLevel="0" collapsed="false">
      <c r="A6737" s="6" t="n">
        <v>46186</v>
      </c>
      <c r="B6737" s="4" t="s">
        <v>4172</v>
      </c>
      <c r="C6737" s="4" t="n">
        <v>5</v>
      </c>
      <c r="D6737" s="4" t="n">
        <v>10</v>
      </c>
      <c r="E6737" s="4" t="s">
        <v>5020</v>
      </c>
      <c r="F6737" s="4" t="n">
        <v>8</v>
      </c>
      <c r="G6737" s="4" t="n">
        <v>7</v>
      </c>
      <c r="H6737" s="4" t="n">
        <v>4</v>
      </c>
      <c r="I6737" s="4" t="str">
        <v>×</v>
      </c>
      <c r="J6737" s="4"/>
      <c r="K6737" s="4"/>
      <c r="L6737" s="4"/>
      <c r="M6737" s="5" t="s">
        <v>4475</v>
      </c>
    </row>
    <row r="6738" customFormat="false" ht="15.75" hidden="false" customHeight="false" outlineLevel="0" collapsed="false">
      <c r="A6738" s="6" t="n">
        <v>46186</v>
      </c>
      <c r="B6738" s="4" t="s">
        <v>4172</v>
      </c>
      <c r="C6738" s="4" t="n">
        <v>5</v>
      </c>
      <c r="D6738" s="4" t="n">
        <v>11</v>
      </c>
      <c r="E6738" s="4" t="s">
        <v>3335</v>
      </c>
      <c r="F6738" s="4" t="n">
        <v>27</v>
      </c>
      <c r="G6738" s="4" t="n">
        <v>3</v>
      </c>
      <c r="H6738" s="4" t="n">
        <v>4</v>
      </c>
      <c r="I6738" s="4" t="str">
        <v>×</v>
      </c>
      <c r="J6738" s="4"/>
      <c r="K6738" s="4"/>
      <c r="L6738" s="4"/>
      <c r="M6738" s="5" t="s">
        <v>4475</v>
      </c>
    </row>
    <row r="6739" customFormat="false" ht="15.75" hidden="false" customHeight="false" outlineLevel="0" collapsed="false">
      <c r="A6739" s="6" t="n">
        <v>46186</v>
      </c>
      <c r="B6739" s="4" t="s">
        <v>4172</v>
      </c>
      <c r="C6739" s="4" t="n">
        <v>6</v>
      </c>
      <c r="D6739" s="4" t="n">
        <v>1</v>
      </c>
      <c r="E6739" s="4" t="s">
        <v>1850</v>
      </c>
      <c r="F6739" s="4" t="n">
        <v>24</v>
      </c>
      <c r="G6739" s="4" t="n">
        <v>4</v>
      </c>
      <c r="H6739" s="4" t="n">
        <v>1</v>
      </c>
      <c r="I6739" s="4" t="str">
        <v>○</v>
      </c>
      <c r="J6739" s="4" t="n">
        <v>250</v>
      </c>
      <c r="K6739" s="4"/>
      <c r="L6739" s="4"/>
      <c r="M6739" s="5" t="s">
        <v>4475</v>
      </c>
    </row>
    <row r="6740" customFormat="false" ht="15.75" hidden="false" customHeight="false" outlineLevel="0" collapsed="false">
      <c r="A6740" s="6" t="n">
        <v>46186</v>
      </c>
      <c r="B6740" s="4" t="s">
        <v>4172</v>
      </c>
      <c r="C6740" s="4" t="n">
        <v>6</v>
      </c>
      <c r="D6740" s="4" t="n">
        <v>2</v>
      </c>
      <c r="E6740" s="4" t="s">
        <v>4357</v>
      </c>
      <c r="F6740" s="4" t="n">
        <v>31</v>
      </c>
      <c r="G6740" s="4" t="n">
        <v>2</v>
      </c>
      <c r="H6740" s="4" t="n">
        <v>4</v>
      </c>
      <c r="I6740" s="4" t="str">
        <v>×</v>
      </c>
      <c r="J6740" s="4"/>
      <c r="K6740" s="4"/>
      <c r="L6740" s="4"/>
      <c r="M6740" s="5" t="s">
        <v>4475</v>
      </c>
    </row>
    <row r="6741" customFormat="false" ht="15.75" hidden="false" customHeight="false" outlineLevel="0" collapsed="false">
      <c r="A6741" s="6" t="n">
        <v>46186</v>
      </c>
      <c r="B6741" s="4" t="s">
        <v>4172</v>
      </c>
      <c r="C6741" s="4" t="n">
        <v>6</v>
      </c>
      <c r="D6741" s="4" t="n">
        <v>3</v>
      </c>
      <c r="E6741" s="4" t="s">
        <v>5021</v>
      </c>
      <c r="F6741" s="4" t="n">
        <v>14</v>
      </c>
      <c r="G6741" s="4" t="n">
        <v>7</v>
      </c>
      <c r="H6741" s="4" t="n">
        <v>4</v>
      </c>
      <c r="I6741" s="4" t="str">
        <v>×</v>
      </c>
      <c r="J6741" s="4"/>
      <c r="K6741" s="4"/>
      <c r="L6741" s="4"/>
      <c r="M6741" s="5" t="s">
        <v>4475</v>
      </c>
    </row>
    <row r="6742" customFormat="false" ht="15.75" hidden="false" customHeight="false" outlineLevel="0" collapsed="false">
      <c r="A6742" s="6" t="n">
        <v>46186</v>
      </c>
      <c r="B6742" s="4" t="s">
        <v>4172</v>
      </c>
      <c r="C6742" s="4" t="n">
        <v>6</v>
      </c>
      <c r="D6742" s="4" t="n">
        <v>4</v>
      </c>
      <c r="E6742" s="4" t="s">
        <v>5022</v>
      </c>
      <c r="F6742" s="4" t="n">
        <v>16</v>
      </c>
      <c r="G6742" s="4" t="n">
        <v>6</v>
      </c>
      <c r="H6742" s="4" t="n">
        <v>4</v>
      </c>
      <c r="I6742" s="4" t="str">
        <v>×</v>
      </c>
      <c r="J6742" s="4"/>
      <c r="K6742" s="4"/>
      <c r="L6742" s="4"/>
      <c r="M6742" s="5" t="s">
        <v>4475</v>
      </c>
    </row>
    <row r="6743" customFormat="false" ht="15.75" hidden="false" customHeight="false" outlineLevel="0" collapsed="false">
      <c r="A6743" s="6" t="n">
        <v>46186</v>
      </c>
      <c r="B6743" s="4" t="s">
        <v>4172</v>
      </c>
      <c r="C6743" s="4" t="n">
        <v>6</v>
      </c>
      <c r="D6743" s="4" t="n">
        <v>5</v>
      </c>
      <c r="E6743" s="4" t="s">
        <v>5023</v>
      </c>
      <c r="F6743" s="4" t="n">
        <v>12</v>
      </c>
      <c r="G6743" s="4" t="n">
        <v>8</v>
      </c>
      <c r="H6743" s="4" t="n">
        <v>3</v>
      </c>
      <c r="I6743" s="4" t="str">
        <v>○</v>
      </c>
      <c r="J6743" s="4" t="n">
        <v>190</v>
      </c>
      <c r="K6743" s="4"/>
      <c r="L6743" s="4"/>
      <c r="M6743" s="5" t="s">
        <v>4475</v>
      </c>
    </row>
    <row r="6744" customFormat="false" ht="15.75" hidden="false" customHeight="false" outlineLevel="0" collapsed="false">
      <c r="A6744" s="6" t="n">
        <v>46186</v>
      </c>
      <c r="B6744" s="4" t="s">
        <v>4172</v>
      </c>
      <c r="C6744" s="4" t="n">
        <v>6</v>
      </c>
      <c r="D6744" s="4" t="n">
        <v>6</v>
      </c>
      <c r="E6744" s="4" t="s">
        <v>5024</v>
      </c>
      <c r="F6744" s="4" t="n">
        <v>37</v>
      </c>
      <c r="G6744" s="4" t="n">
        <v>1</v>
      </c>
      <c r="H6744" s="4" t="n">
        <v>4</v>
      </c>
      <c r="I6744" s="4" t="str">
        <v>×</v>
      </c>
      <c r="J6744" s="4"/>
      <c r="K6744" s="4"/>
      <c r="L6744" s="4"/>
      <c r="M6744" s="5" t="s">
        <v>4475</v>
      </c>
    </row>
    <row r="6745" customFormat="false" ht="15.75" hidden="false" customHeight="false" outlineLevel="0" collapsed="false">
      <c r="A6745" s="6" t="n">
        <v>46186</v>
      </c>
      <c r="B6745" s="4" t="s">
        <v>4172</v>
      </c>
      <c r="C6745" s="4" t="n">
        <v>6</v>
      </c>
      <c r="D6745" s="4" t="n">
        <v>7</v>
      </c>
      <c r="E6745" s="4" t="s">
        <v>5025</v>
      </c>
      <c r="F6745" s="4" t="n">
        <v>27</v>
      </c>
      <c r="G6745" s="4" t="n">
        <v>3</v>
      </c>
      <c r="H6745" s="4" t="n">
        <v>4</v>
      </c>
      <c r="I6745" s="4" t="str">
        <v>×</v>
      </c>
      <c r="J6745" s="4"/>
      <c r="K6745" s="4"/>
      <c r="L6745" s="4"/>
      <c r="M6745" s="5" t="s">
        <v>4475</v>
      </c>
    </row>
    <row r="6746" customFormat="false" ht="15.75" hidden="false" customHeight="false" outlineLevel="0" collapsed="false">
      <c r="A6746" s="6" t="n">
        <v>46186</v>
      </c>
      <c r="B6746" s="4" t="s">
        <v>4172</v>
      </c>
      <c r="C6746" s="4" t="n">
        <v>6</v>
      </c>
      <c r="D6746" s="4" t="n">
        <v>8</v>
      </c>
      <c r="E6746" s="4" t="s">
        <v>5026</v>
      </c>
      <c r="F6746" s="4" t="n">
        <v>37</v>
      </c>
      <c r="G6746" s="4" t="n">
        <v>1</v>
      </c>
      <c r="H6746" s="4" t="n">
        <v>4</v>
      </c>
      <c r="I6746" s="4" t="str">
        <v>×</v>
      </c>
      <c r="J6746" s="4"/>
      <c r="K6746" s="4"/>
      <c r="L6746" s="4"/>
      <c r="M6746" s="5" t="s">
        <v>4475</v>
      </c>
    </row>
    <row r="6747" customFormat="false" ht="15.75" hidden="false" customHeight="false" outlineLevel="0" collapsed="false">
      <c r="A6747" s="6" t="n">
        <v>46186</v>
      </c>
      <c r="B6747" s="4" t="s">
        <v>4172</v>
      </c>
      <c r="C6747" s="4" t="n">
        <v>6</v>
      </c>
      <c r="D6747" s="4" t="n">
        <v>9</v>
      </c>
      <c r="E6747" s="4" t="s">
        <v>5027</v>
      </c>
      <c r="F6747" s="4" t="n">
        <v>21</v>
      </c>
      <c r="G6747" s="4" t="n">
        <v>5</v>
      </c>
      <c r="H6747" s="4" t="n">
        <v>4</v>
      </c>
      <c r="I6747" s="4" t="str">
        <v>×</v>
      </c>
      <c r="J6747" s="4"/>
      <c r="K6747" s="4"/>
      <c r="L6747" s="4"/>
      <c r="M6747" s="5" t="s">
        <v>4475</v>
      </c>
    </row>
    <row r="6748" customFormat="false" ht="15.75" hidden="false" customHeight="false" outlineLevel="0" collapsed="false">
      <c r="A6748" s="6" t="n">
        <v>46186</v>
      </c>
      <c r="B6748" s="4" t="s">
        <v>4172</v>
      </c>
      <c r="C6748" s="4" t="n">
        <v>6</v>
      </c>
      <c r="D6748" s="4" t="n">
        <v>10</v>
      </c>
      <c r="E6748" s="4" t="s">
        <v>5028</v>
      </c>
      <c r="F6748" s="4" t="n">
        <v>16</v>
      </c>
      <c r="G6748" s="4" t="n">
        <v>6</v>
      </c>
      <c r="H6748" s="4" t="n">
        <v>4</v>
      </c>
      <c r="I6748" s="4" t="str">
        <v>×</v>
      </c>
      <c r="J6748" s="4"/>
      <c r="K6748" s="4"/>
      <c r="L6748" s="4"/>
      <c r="M6748" s="5" t="s">
        <v>4475</v>
      </c>
    </row>
    <row r="6749" customFormat="false" ht="15.75" hidden="false" customHeight="false" outlineLevel="0" collapsed="false">
      <c r="A6749" s="6" t="n">
        <v>46186</v>
      </c>
      <c r="B6749" s="4" t="s">
        <v>4172</v>
      </c>
      <c r="C6749" s="4" t="n">
        <v>6</v>
      </c>
      <c r="D6749" s="4" t="n">
        <v>11</v>
      </c>
      <c r="E6749" s="4" t="s">
        <v>3580</v>
      </c>
      <c r="F6749" s="4" t="n">
        <v>37</v>
      </c>
      <c r="G6749" s="4" t="n">
        <v>1</v>
      </c>
      <c r="H6749" s="4" t="n">
        <v>4</v>
      </c>
      <c r="I6749" s="4" t="str">
        <v>×</v>
      </c>
      <c r="J6749" s="4"/>
      <c r="K6749" s="4"/>
      <c r="L6749" s="4"/>
      <c r="M6749" s="5" t="s">
        <v>4475</v>
      </c>
    </row>
    <row r="6750" customFormat="false" ht="15.75" hidden="false" customHeight="false" outlineLevel="0" collapsed="false">
      <c r="A6750" s="6" t="n">
        <v>46186</v>
      </c>
      <c r="B6750" s="4" t="s">
        <v>4172</v>
      </c>
      <c r="C6750" s="4" t="n">
        <v>6</v>
      </c>
      <c r="D6750" s="4" t="n">
        <v>12</v>
      </c>
      <c r="E6750" s="4" t="s">
        <v>5029</v>
      </c>
      <c r="F6750" s="4" t="n">
        <v>21</v>
      </c>
      <c r="G6750" s="4" t="n">
        <v>5</v>
      </c>
      <c r="H6750" s="4" t="n">
        <v>2</v>
      </c>
      <c r="I6750" s="4" t="str">
        <v>○</v>
      </c>
      <c r="J6750" s="4" t="n">
        <v>360</v>
      </c>
      <c r="K6750" s="4"/>
      <c r="L6750" s="4"/>
      <c r="M6750" s="5" t="s">
        <v>4475</v>
      </c>
    </row>
    <row r="6751" customFormat="false" ht="15.75" hidden="false" customHeight="false" outlineLevel="0" collapsed="false">
      <c r="A6751" s="6" t="n">
        <v>46186</v>
      </c>
      <c r="B6751" s="4" t="s">
        <v>4172</v>
      </c>
      <c r="C6751" s="4" t="n">
        <v>6</v>
      </c>
      <c r="D6751" s="4" t="n">
        <v>13</v>
      </c>
      <c r="E6751" s="4" t="s">
        <v>5030</v>
      </c>
      <c r="F6751" s="4" t="n">
        <v>14</v>
      </c>
      <c r="G6751" s="4" t="n">
        <v>7</v>
      </c>
      <c r="H6751" s="4" t="n">
        <v>4</v>
      </c>
      <c r="I6751" s="4" t="str">
        <v>×</v>
      </c>
      <c r="J6751" s="4"/>
      <c r="K6751" s="4"/>
      <c r="L6751" s="4"/>
      <c r="M6751" s="5" t="s">
        <v>4475</v>
      </c>
    </row>
    <row r="6752" customFormat="false" ht="15.75" hidden="false" customHeight="false" outlineLevel="0" collapsed="false">
      <c r="A6752" s="6" t="n">
        <v>46186</v>
      </c>
      <c r="B6752" s="4" t="s">
        <v>4172</v>
      </c>
      <c r="C6752" s="4" t="n">
        <v>7</v>
      </c>
      <c r="D6752" s="4" t="n">
        <v>1</v>
      </c>
      <c r="E6752" s="4" t="s">
        <v>3240</v>
      </c>
      <c r="F6752" s="4" t="n">
        <v>15</v>
      </c>
      <c r="G6752" s="4" t="n">
        <v>9</v>
      </c>
      <c r="H6752" s="4" t="n">
        <v>4</v>
      </c>
      <c r="I6752" s="4" t="str">
        <v>×</v>
      </c>
      <c r="J6752" s="4"/>
      <c r="K6752" s="4"/>
      <c r="L6752" s="4"/>
      <c r="M6752" s="5" t="s">
        <v>4475</v>
      </c>
    </row>
    <row r="6753" customFormat="false" ht="15.75" hidden="false" customHeight="false" outlineLevel="0" collapsed="false">
      <c r="A6753" s="6" t="n">
        <v>46186</v>
      </c>
      <c r="B6753" s="4" t="s">
        <v>4172</v>
      </c>
      <c r="C6753" s="4" t="n">
        <v>7</v>
      </c>
      <c r="D6753" s="4" t="n">
        <v>2</v>
      </c>
      <c r="E6753" s="4" t="s">
        <v>5031</v>
      </c>
      <c r="F6753" s="4" t="n">
        <v>41</v>
      </c>
      <c r="G6753" s="4" t="n">
        <v>3</v>
      </c>
      <c r="H6753" s="4" t="n">
        <v>4</v>
      </c>
      <c r="I6753" s="4" t="str">
        <v>×</v>
      </c>
      <c r="J6753" s="4"/>
      <c r="K6753" s="4"/>
      <c r="L6753" s="4"/>
      <c r="M6753" s="5" t="s">
        <v>4475</v>
      </c>
    </row>
    <row r="6754" customFormat="false" ht="15.75" hidden="false" customHeight="false" outlineLevel="0" collapsed="false">
      <c r="A6754" s="6" t="n">
        <v>46186</v>
      </c>
      <c r="B6754" s="4" t="s">
        <v>4172</v>
      </c>
      <c r="C6754" s="4" t="n">
        <v>7</v>
      </c>
      <c r="D6754" s="4" t="n">
        <v>3</v>
      </c>
      <c r="E6754" s="4" t="s">
        <v>1232</v>
      </c>
      <c r="F6754" s="4" t="n">
        <v>39</v>
      </c>
      <c r="G6754" s="4" t="n">
        <v>4</v>
      </c>
      <c r="H6754" s="4" t="n">
        <v>4</v>
      </c>
      <c r="I6754" s="4" t="str">
        <v>×</v>
      </c>
      <c r="J6754" s="4"/>
      <c r="K6754" s="4"/>
      <c r="L6754" s="4"/>
      <c r="M6754" s="5" t="s">
        <v>4475</v>
      </c>
    </row>
    <row r="6755" customFormat="false" ht="15.75" hidden="false" customHeight="false" outlineLevel="0" collapsed="false">
      <c r="A6755" s="6" t="n">
        <v>46186</v>
      </c>
      <c r="B6755" s="4" t="s">
        <v>4172</v>
      </c>
      <c r="C6755" s="4" t="n">
        <v>7</v>
      </c>
      <c r="D6755" s="4" t="n">
        <v>4</v>
      </c>
      <c r="E6755" s="4" t="s">
        <v>5032</v>
      </c>
      <c r="F6755" s="4" t="n">
        <v>10</v>
      </c>
      <c r="G6755" s="4" t="n">
        <v>10</v>
      </c>
      <c r="H6755" s="4" t="n">
        <v>4</v>
      </c>
      <c r="I6755" s="4" t="str">
        <v>×</v>
      </c>
      <c r="J6755" s="4"/>
      <c r="K6755" s="4"/>
      <c r="L6755" s="4"/>
      <c r="M6755" s="5" t="s">
        <v>4475</v>
      </c>
    </row>
    <row r="6756" customFormat="false" ht="15.75" hidden="false" customHeight="false" outlineLevel="0" collapsed="false">
      <c r="A6756" s="6" t="n">
        <v>46186</v>
      </c>
      <c r="B6756" s="4" t="s">
        <v>4172</v>
      </c>
      <c r="C6756" s="4" t="n">
        <v>7</v>
      </c>
      <c r="D6756" s="4" t="n">
        <v>5</v>
      </c>
      <c r="E6756" s="4" t="s">
        <v>713</v>
      </c>
      <c r="F6756" s="4" t="n">
        <v>17</v>
      </c>
      <c r="G6756" s="4" t="n">
        <v>8</v>
      </c>
      <c r="H6756" s="4" t="n">
        <v>1</v>
      </c>
      <c r="I6756" s="4" t="str">
        <v>○</v>
      </c>
      <c r="J6756" s="4" t="n">
        <v>320</v>
      </c>
      <c r="K6756" s="4"/>
      <c r="L6756" s="4"/>
      <c r="M6756" s="5" t="s">
        <v>4475</v>
      </c>
    </row>
    <row r="6757" customFormat="false" ht="15.75" hidden="false" customHeight="false" outlineLevel="0" collapsed="false">
      <c r="A6757" s="6" t="n">
        <v>46186</v>
      </c>
      <c r="B6757" s="4" t="s">
        <v>4172</v>
      </c>
      <c r="C6757" s="4" t="n">
        <v>7</v>
      </c>
      <c r="D6757" s="4" t="n">
        <v>6</v>
      </c>
      <c r="E6757" s="4" t="s">
        <v>5033</v>
      </c>
      <c r="F6757" s="4" t="n">
        <v>6</v>
      </c>
      <c r="G6757" s="4" t="n">
        <v>11</v>
      </c>
      <c r="H6757" s="4" t="n">
        <v>3</v>
      </c>
      <c r="I6757" s="4" t="str">
        <v>○</v>
      </c>
      <c r="J6757" s="4" t="n">
        <v>2720</v>
      </c>
      <c r="K6757" s="4"/>
      <c r="L6757" s="4"/>
      <c r="M6757" s="5" t="s">
        <v>4475</v>
      </c>
    </row>
    <row r="6758" customFormat="false" ht="15.75" hidden="false" customHeight="false" outlineLevel="0" collapsed="false">
      <c r="A6758" s="6" t="n">
        <v>46186</v>
      </c>
      <c r="B6758" s="4" t="s">
        <v>4172</v>
      </c>
      <c r="C6758" s="4" t="n">
        <v>7</v>
      </c>
      <c r="D6758" s="4" t="n">
        <v>7</v>
      </c>
      <c r="E6758" s="4" t="s">
        <v>3239</v>
      </c>
      <c r="F6758" s="4" t="n">
        <v>4</v>
      </c>
      <c r="G6758" s="4" t="n">
        <v>12</v>
      </c>
      <c r="H6758" s="4" t="n">
        <v>4</v>
      </c>
      <c r="I6758" s="4" t="str">
        <v>×</v>
      </c>
      <c r="J6758" s="4"/>
      <c r="K6758" s="4"/>
      <c r="L6758" s="4"/>
      <c r="M6758" s="5" t="s">
        <v>4475</v>
      </c>
    </row>
    <row r="6759" customFormat="false" ht="15.75" hidden="false" customHeight="false" outlineLevel="0" collapsed="false">
      <c r="A6759" s="6" t="n">
        <v>46186</v>
      </c>
      <c r="B6759" s="4" t="s">
        <v>4172</v>
      </c>
      <c r="C6759" s="4" t="n">
        <v>7</v>
      </c>
      <c r="D6759" s="4" t="n">
        <v>8</v>
      </c>
      <c r="E6759" s="4" t="s">
        <v>1178</v>
      </c>
      <c r="F6759" s="4" t="n">
        <v>10</v>
      </c>
      <c r="G6759" s="4" t="n">
        <v>10</v>
      </c>
      <c r="H6759" s="4" t="n">
        <v>4</v>
      </c>
      <c r="I6759" s="4" t="str">
        <v>×</v>
      </c>
      <c r="J6759" s="4"/>
      <c r="K6759" s="4"/>
      <c r="L6759" s="4"/>
      <c r="M6759" s="5" t="s">
        <v>4475</v>
      </c>
    </row>
    <row r="6760" customFormat="false" ht="15.75" hidden="false" customHeight="false" outlineLevel="0" collapsed="false">
      <c r="A6760" s="6" t="n">
        <v>46186</v>
      </c>
      <c r="B6760" s="4" t="s">
        <v>4172</v>
      </c>
      <c r="C6760" s="4" t="n">
        <v>7</v>
      </c>
      <c r="D6760" s="4" t="n">
        <v>9</v>
      </c>
      <c r="E6760" s="4" t="s">
        <v>3235</v>
      </c>
      <c r="F6760" s="4" t="n">
        <v>62</v>
      </c>
      <c r="G6760" s="4" t="n">
        <v>2</v>
      </c>
      <c r="H6760" s="4" t="n">
        <v>2</v>
      </c>
      <c r="I6760" s="4" t="str">
        <v>○</v>
      </c>
      <c r="J6760" s="4" t="n">
        <v>140</v>
      </c>
      <c r="K6760" s="4"/>
      <c r="L6760" s="4"/>
      <c r="M6760" s="5" t="s">
        <v>4475</v>
      </c>
    </row>
    <row r="6761" customFormat="false" ht="15.75" hidden="false" customHeight="false" outlineLevel="0" collapsed="false">
      <c r="A6761" s="6" t="n">
        <v>46186</v>
      </c>
      <c r="B6761" s="4" t="s">
        <v>4172</v>
      </c>
      <c r="C6761" s="4" t="n">
        <v>7</v>
      </c>
      <c r="D6761" s="4" t="n">
        <v>10</v>
      </c>
      <c r="E6761" s="4" t="s">
        <v>5034</v>
      </c>
      <c r="F6761" s="4" t="n">
        <v>25</v>
      </c>
      <c r="G6761" s="4" t="n">
        <v>5</v>
      </c>
      <c r="H6761" s="4" t="n">
        <v>4</v>
      </c>
      <c r="I6761" s="4" t="str">
        <v>×</v>
      </c>
      <c r="J6761" s="4"/>
      <c r="K6761" s="4"/>
      <c r="L6761" s="4"/>
      <c r="M6761" s="5" t="s">
        <v>4475</v>
      </c>
    </row>
    <row r="6762" customFormat="false" ht="15.75" hidden="false" customHeight="false" outlineLevel="0" collapsed="false">
      <c r="A6762" s="6" t="n">
        <v>46186</v>
      </c>
      <c r="B6762" s="4" t="s">
        <v>4172</v>
      </c>
      <c r="C6762" s="4" t="n">
        <v>7</v>
      </c>
      <c r="D6762" s="4" t="n">
        <v>11</v>
      </c>
      <c r="E6762" s="4" t="s">
        <v>5035</v>
      </c>
      <c r="F6762" s="4" t="n">
        <v>23</v>
      </c>
      <c r="G6762" s="4" t="n">
        <v>6</v>
      </c>
      <c r="H6762" s="4" t="n">
        <v>4</v>
      </c>
      <c r="I6762" s="4" t="str">
        <v>×</v>
      </c>
      <c r="J6762" s="4"/>
      <c r="K6762" s="4"/>
      <c r="L6762" s="4"/>
      <c r="M6762" s="5" t="s">
        <v>4475</v>
      </c>
    </row>
    <row r="6763" customFormat="false" ht="15.75" hidden="false" customHeight="false" outlineLevel="0" collapsed="false">
      <c r="A6763" s="6" t="n">
        <v>46186</v>
      </c>
      <c r="B6763" s="4" t="s">
        <v>4172</v>
      </c>
      <c r="C6763" s="4" t="n">
        <v>7</v>
      </c>
      <c r="D6763" s="4" t="n">
        <v>12</v>
      </c>
      <c r="E6763" s="4" t="s">
        <v>5036</v>
      </c>
      <c r="F6763" s="4" t="n">
        <v>17</v>
      </c>
      <c r="G6763" s="4" t="n">
        <v>8</v>
      </c>
      <c r="H6763" s="4" t="n">
        <v>4</v>
      </c>
      <c r="I6763" s="4" t="str">
        <v>×</v>
      </c>
      <c r="J6763" s="4"/>
      <c r="K6763" s="4"/>
      <c r="L6763" s="4"/>
      <c r="M6763" s="5" t="s">
        <v>4475</v>
      </c>
    </row>
    <row r="6764" customFormat="false" ht="15.75" hidden="false" customHeight="false" outlineLevel="0" collapsed="false">
      <c r="A6764" s="6" t="n">
        <v>46186</v>
      </c>
      <c r="B6764" s="4" t="s">
        <v>4172</v>
      </c>
      <c r="C6764" s="4" t="n">
        <v>7</v>
      </c>
      <c r="D6764" s="4" t="n">
        <v>13</v>
      </c>
      <c r="E6764" s="4" t="s">
        <v>308</v>
      </c>
      <c r="F6764" s="4" t="n">
        <v>29</v>
      </c>
      <c r="G6764" s="4" t="n">
        <v>1</v>
      </c>
      <c r="H6764" s="4" t="n">
        <v>4</v>
      </c>
      <c r="I6764" s="4" t="str">
        <v>×</v>
      </c>
      <c r="J6764" s="4"/>
      <c r="K6764" s="4"/>
      <c r="L6764" s="4"/>
      <c r="M6764" s="5" t="s">
        <v>4475</v>
      </c>
    </row>
    <row r="6765" customFormat="false" ht="15.75" hidden="false" customHeight="false" outlineLevel="0" collapsed="false">
      <c r="A6765" s="6" t="n">
        <v>46186</v>
      </c>
      <c r="B6765" s="4" t="s">
        <v>4172</v>
      </c>
      <c r="C6765" s="4" t="n">
        <v>7</v>
      </c>
      <c r="D6765" s="4" t="n">
        <v>14</v>
      </c>
      <c r="E6765" s="4" t="s">
        <v>5037</v>
      </c>
      <c r="F6765" s="4" t="n">
        <v>17</v>
      </c>
      <c r="G6765" s="4" t="n">
        <v>8</v>
      </c>
      <c r="H6765" s="4" t="n">
        <v>4</v>
      </c>
      <c r="I6765" s="4" t="str">
        <v>×</v>
      </c>
      <c r="J6765" s="4"/>
      <c r="K6765" s="4"/>
      <c r="L6765" s="4"/>
      <c r="M6765" s="5" t="s">
        <v>4475</v>
      </c>
    </row>
    <row r="6766" customFormat="false" ht="15.75" hidden="false" customHeight="false" outlineLevel="0" collapsed="false">
      <c r="A6766" s="6" t="n">
        <v>46186</v>
      </c>
      <c r="B6766" s="4" t="s">
        <v>4172</v>
      </c>
      <c r="C6766" s="4" t="n">
        <v>7</v>
      </c>
      <c r="D6766" s="4" t="n">
        <v>15</v>
      </c>
      <c r="E6766" s="4" t="s">
        <v>5038</v>
      </c>
      <c r="F6766" s="4" t="n">
        <v>4</v>
      </c>
      <c r="G6766" s="4" t="n">
        <v>12</v>
      </c>
      <c r="H6766" s="4" t="n">
        <v>4</v>
      </c>
      <c r="I6766" s="4" t="str">
        <v>×</v>
      </c>
      <c r="J6766" s="4"/>
      <c r="K6766" s="4"/>
      <c r="L6766" s="4"/>
      <c r="M6766" s="5" t="s">
        <v>4475</v>
      </c>
    </row>
    <row r="6767" customFormat="false" ht="15.75" hidden="false" customHeight="false" outlineLevel="0" collapsed="false">
      <c r="A6767" s="6" t="n">
        <v>46186</v>
      </c>
      <c r="B6767" s="4" t="s">
        <v>4172</v>
      </c>
      <c r="C6767" s="4" t="n">
        <v>7</v>
      </c>
      <c r="D6767" s="4" t="n">
        <v>16</v>
      </c>
      <c r="E6767" s="4" t="s">
        <v>5039</v>
      </c>
      <c r="F6767" s="4" t="n">
        <v>20</v>
      </c>
      <c r="G6767" s="4" t="n">
        <v>7</v>
      </c>
      <c r="H6767" s="4" t="n">
        <v>4</v>
      </c>
      <c r="I6767" s="4" t="str">
        <v>×</v>
      </c>
      <c r="J6767" s="4"/>
      <c r="K6767" s="4"/>
      <c r="L6767" s="4"/>
      <c r="M6767" s="5" t="s">
        <v>4475</v>
      </c>
    </row>
    <row r="6768" customFormat="false" ht="15.75" hidden="false" customHeight="false" outlineLevel="0" collapsed="false">
      <c r="A6768" s="6" t="n">
        <v>46186</v>
      </c>
      <c r="B6768" s="4" t="s">
        <v>4172</v>
      </c>
      <c r="C6768" s="4" t="n">
        <v>8</v>
      </c>
      <c r="D6768" s="4" t="n">
        <v>1</v>
      </c>
      <c r="E6768" s="4" t="s">
        <v>3467</v>
      </c>
      <c r="F6768" s="4" t="n">
        <v>50</v>
      </c>
      <c r="G6768" s="4" t="n">
        <v>2</v>
      </c>
      <c r="H6768" s="4" t="n">
        <v>4</v>
      </c>
      <c r="I6768" s="4" t="str">
        <v>×</v>
      </c>
      <c r="J6768" s="4"/>
      <c r="K6768" s="4"/>
      <c r="L6768" s="4"/>
      <c r="M6768" s="5" t="s">
        <v>4475</v>
      </c>
    </row>
    <row r="6769" customFormat="false" ht="15.75" hidden="false" customHeight="false" outlineLevel="0" collapsed="false">
      <c r="A6769" s="6" t="n">
        <v>46186</v>
      </c>
      <c r="B6769" s="4" t="s">
        <v>4172</v>
      </c>
      <c r="C6769" s="4" t="n">
        <v>8</v>
      </c>
      <c r="D6769" s="4" t="n">
        <v>2</v>
      </c>
      <c r="E6769" s="4" t="s">
        <v>5040</v>
      </c>
      <c r="F6769" s="4" t="n">
        <v>23</v>
      </c>
      <c r="G6769" s="4" t="n">
        <v>6</v>
      </c>
      <c r="H6769" s="4" t="n">
        <v>4</v>
      </c>
      <c r="I6769" s="4" t="str">
        <v>×</v>
      </c>
      <c r="J6769" s="4"/>
      <c r="K6769" s="4"/>
      <c r="L6769" s="4"/>
      <c r="M6769" s="5" t="s">
        <v>4475</v>
      </c>
    </row>
    <row r="6770" customFormat="false" ht="15.75" hidden="false" customHeight="false" outlineLevel="0" collapsed="false">
      <c r="A6770" s="6" t="n">
        <v>46186</v>
      </c>
      <c r="B6770" s="4" t="s">
        <v>4172</v>
      </c>
      <c r="C6770" s="4" t="n">
        <v>8</v>
      </c>
      <c r="D6770" s="4" t="n">
        <v>3</v>
      </c>
      <c r="E6770" s="4" t="s">
        <v>5041</v>
      </c>
      <c r="F6770" s="4" t="n">
        <v>4</v>
      </c>
      <c r="G6770" s="4" t="n">
        <v>10</v>
      </c>
      <c r="H6770" s="4" t="n">
        <v>4</v>
      </c>
      <c r="I6770" s="4" t="str">
        <v>×</v>
      </c>
      <c r="J6770" s="4"/>
      <c r="K6770" s="4"/>
      <c r="L6770" s="4"/>
      <c r="M6770" s="5" t="s">
        <v>4475</v>
      </c>
    </row>
    <row r="6771" customFormat="false" ht="15.75" hidden="false" customHeight="false" outlineLevel="0" collapsed="false">
      <c r="A6771" s="6" t="n">
        <v>46186</v>
      </c>
      <c r="B6771" s="4" t="s">
        <v>4172</v>
      </c>
      <c r="C6771" s="4" t="n">
        <v>8</v>
      </c>
      <c r="D6771" s="4" t="n">
        <v>4</v>
      </c>
      <c r="E6771" s="4" t="s">
        <v>5042</v>
      </c>
      <c r="F6771" s="4" t="n">
        <v>29</v>
      </c>
      <c r="G6771" s="4" t="n">
        <v>5</v>
      </c>
      <c r="H6771" s="4" t="n">
        <v>4</v>
      </c>
      <c r="I6771" s="4" t="str">
        <v>×</v>
      </c>
      <c r="J6771" s="4"/>
      <c r="K6771" s="4"/>
      <c r="L6771" s="4"/>
      <c r="M6771" s="5" t="s">
        <v>4475</v>
      </c>
    </row>
    <row r="6772" customFormat="false" ht="15.75" hidden="false" customHeight="false" outlineLevel="0" collapsed="false">
      <c r="A6772" s="6" t="n">
        <v>46186</v>
      </c>
      <c r="B6772" s="4" t="s">
        <v>4172</v>
      </c>
      <c r="C6772" s="4" t="n">
        <v>8</v>
      </c>
      <c r="D6772" s="4" t="n">
        <v>5</v>
      </c>
      <c r="E6772" s="4" t="s">
        <v>5043</v>
      </c>
      <c r="F6772" s="4" t="n">
        <v>29</v>
      </c>
      <c r="G6772" s="4" t="n">
        <v>5</v>
      </c>
      <c r="H6772" s="4" t="n">
        <v>4</v>
      </c>
      <c r="I6772" s="4" t="str">
        <v>×</v>
      </c>
      <c r="J6772" s="4"/>
      <c r="K6772" s="4"/>
      <c r="L6772" s="4"/>
      <c r="M6772" s="5" t="s">
        <v>4475</v>
      </c>
    </row>
    <row r="6773" customFormat="false" ht="15.75" hidden="false" customHeight="false" outlineLevel="0" collapsed="false">
      <c r="A6773" s="6" t="n">
        <v>46186</v>
      </c>
      <c r="B6773" s="4" t="s">
        <v>4172</v>
      </c>
      <c r="C6773" s="4" t="n">
        <v>8</v>
      </c>
      <c r="D6773" s="4" t="n">
        <v>6</v>
      </c>
      <c r="E6773" s="4" t="s">
        <v>3931</v>
      </c>
      <c r="F6773" s="4" t="n">
        <v>67</v>
      </c>
      <c r="G6773" s="4" t="n">
        <v>1</v>
      </c>
      <c r="H6773" s="4" t="n">
        <v>1</v>
      </c>
      <c r="I6773" s="4" t="str">
        <v>○</v>
      </c>
      <c r="J6773" s="4" t="n">
        <v>110</v>
      </c>
      <c r="K6773" s="4"/>
      <c r="L6773" s="4"/>
      <c r="M6773" s="5" t="s">
        <v>4475</v>
      </c>
    </row>
    <row r="6774" customFormat="false" ht="15.75" hidden="false" customHeight="false" outlineLevel="0" collapsed="false">
      <c r="A6774" s="6" t="n">
        <v>46186</v>
      </c>
      <c r="B6774" s="4" t="s">
        <v>4172</v>
      </c>
      <c r="C6774" s="4" t="n">
        <v>8</v>
      </c>
      <c r="D6774" s="4" t="n">
        <v>7</v>
      </c>
      <c r="E6774" s="4" t="s">
        <v>766</v>
      </c>
      <c r="F6774" s="4" t="n">
        <v>44</v>
      </c>
      <c r="G6774" s="4" t="n">
        <v>3</v>
      </c>
      <c r="H6774" s="4" t="n">
        <v>4</v>
      </c>
      <c r="I6774" s="4" t="str">
        <v>×</v>
      </c>
      <c r="J6774" s="4"/>
      <c r="K6774" s="4"/>
      <c r="L6774" s="4"/>
      <c r="M6774" s="5" t="s">
        <v>4475</v>
      </c>
    </row>
    <row r="6775" customFormat="false" ht="15.75" hidden="false" customHeight="false" outlineLevel="0" collapsed="false">
      <c r="A6775" s="6" t="n">
        <v>46186</v>
      </c>
      <c r="B6775" s="4" t="s">
        <v>4172</v>
      </c>
      <c r="C6775" s="4" t="n">
        <v>8</v>
      </c>
      <c r="D6775" s="4" t="n">
        <v>8</v>
      </c>
      <c r="E6775" s="4" t="s">
        <v>764</v>
      </c>
      <c r="F6775" s="4" t="n">
        <v>23</v>
      </c>
      <c r="G6775" s="4" t="n">
        <v>6</v>
      </c>
      <c r="H6775" s="4" t="n">
        <v>2</v>
      </c>
      <c r="I6775" s="4" t="str">
        <v>○</v>
      </c>
      <c r="J6775" s="4" t="n">
        <v>240</v>
      </c>
      <c r="K6775" s="4"/>
      <c r="L6775" s="4"/>
      <c r="M6775" s="5" t="s">
        <v>4475</v>
      </c>
    </row>
    <row r="6776" customFormat="false" ht="15.75" hidden="false" customHeight="false" outlineLevel="0" collapsed="false">
      <c r="A6776" s="6" t="n">
        <v>46186</v>
      </c>
      <c r="B6776" s="4" t="s">
        <v>4172</v>
      </c>
      <c r="C6776" s="4" t="n">
        <v>8</v>
      </c>
      <c r="D6776" s="4" t="n">
        <v>9</v>
      </c>
      <c r="E6776" s="4" t="s">
        <v>5044</v>
      </c>
      <c r="F6776" s="4" t="n">
        <v>23</v>
      </c>
      <c r="G6776" s="4" t="n">
        <v>6</v>
      </c>
      <c r="H6776" s="4" t="n">
        <v>4</v>
      </c>
      <c r="I6776" s="4" t="str">
        <v>×</v>
      </c>
      <c r="J6776" s="4"/>
      <c r="K6776" s="4"/>
      <c r="L6776" s="4"/>
      <c r="M6776" s="5" t="s">
        <v>4475</v>
      </c>
    </row>
    <row r="6777" customFormat="false" ht="15.75" hidden="false" customHeight="false" outlineLevel="0" collapsed="false">
      <c r="A6777" s="6" t="n">
        <v>46186</v>
      </c>
      <c r="B6777" s="4" t="s">
        <v>4172</v>
      </c>
      <c r="C6777" s="4" t="n">
        <v>8</v>
      </c>
      <c r="D6777" s="4" t="n">
        <v>10</v>
      </c>
      <c r="E6777" s="4" t="s">
        <v>765</v>
      </c>
      <c r="F6777" s="4" t="n">
        <v>6</v>
      </c>
      <c r="G6777" s="4" t="n">
        <v>9</v>
      </c>
      <c r="H6777" s="4" t="n">
        <v>4</v>
      </c>
      <c r="I6777" s="4" t="str">
        <v>×</v>
      </c>
      <c r="J6777" s="4"/>
      <c r="K6777" s="4"/>
      <c r="L6777" s="4"/>
      <c r="M6777" s="5" t="s">
        <v>4475</v>
      </c>
    </row>
    <row r="6778" customFormat="false" ht="15.75" hidden="false" customHeight="false" outlineLevel="0" collapsed="false">
      <c r="A6778" s="6" t="n">
        <v>46186</v>
      </c>
      <c r="B6778" s="4" t="s">
        <v>4172</v>
      </c>
      <c r="C6778" s="4" t="n">
        <v>8</v>
      </c>
      <c r="D6778" s="4" t="n">
        <v>11</v>
      </c>
      <c r="E6778" s="4" t="s">
        <v>5045</v>
      </c>
      <c r="F6778" s="4" t="n">
        <v>10</v>
      </c>
      <c r="G6778" s="4" t="n">
        <v>8</v>
      </c>
      <c r="H6778" s="4" t="n">
        <v>4</v>
      </c>
      <c r="I6778" s="4" t="str">
        <v>×</v>
      </c>
      <c r="J6778" s="4"/>
      <c r="K6778" s="4"/>
      <c r="L6778" s="4"/>
      <c r="M6778" s="5" t="s">
        <v>4475</v>
      </c>
    </row>
    <row r="6779" customFormat="false" ht="15.75" hidden="false" customHeight="false" outlineLevel="0" collapsed="false">
      <c r="A6779" s="6" t="n">
        <v>46186</v>
      </c>
      <c r="B6779" s="4" t="s">
        <v>4172</v>
      </c>
      <c r="C6779" s="4" t="n">
        <v>8</v>
      </c>
      <c r="D6779" s="4" t="n">
        <v>12</v>
      </c>
      <c r="E6779" s="4" t="s">
        <v>725</v>
      </c>
      <c r="F6779" s="4" t="n">
        <v>3</v>
      </c>
      <c r="G6779" s="4" t="n">
        <v>11</v>
      </c>
      <c r="H6779" s="4" t="n">
        <v>4</v>
      </c>
      <c r="I6779" s="4" t="str">
        <v>×</v>
      </c>
      <c r="J6779" s="4"/>
      <c r="K6779" s="4"/>
      <c r="L6779" s="4"/>
      <c r="M6779" s="5" t="s">
        <v>4475</v>
      </c>
    </row>
    <row r="6780" customFormat="false" ht="15.75" hidden="false" customHeight="false" outlineLevel="0" collapsed="false">
      <c r="A6780" s="6" t="n">
        <v>46186</v>
      </c>
      <c r="B6780" s="4" t="s">
        <v>4172</v>
      </c>
      <c r="C6780" s="4" t="n">
        <v>8</v>
      </c>
      <c r="D6780" s="4" t="n">
        <v>13</v>
      </c>
      <c r="E6780" s="4" t="s">
        <v>5046</v>
      </c>
      <c r="F6780" s="4" t="n">
        <v>17</v>
      </c>
      <c r="G6780" s="4" t="n">
        <v>7</v>
      </c>
      <c r="H6780" s="4" t="n">
        <v>4</v>
      </c>
      <c r="I6780" s="4" t="str">
        <v>×</v>
      </c>
      <c r="J6780" s="4"/>
      <c r="K6780" s="4"/>
      <c r="L6780" s="4"/>
      <c r="M6780" s="5" t="s">
        <v>4475</v>
      </c>
    </row>
    <row r="6781" customFormat="false" ht="15.75" hidden="false" customHeight="false" outlineLevel="0" collapsed="false">
      <c r="A6781" s="6" t="n">
        <v>46186</v>
      </c>
      <c r="B6781" s="4" t="s">
        <v>4172</v>
      </c>
      <c r="C6781" s="4" t="n">
        <v>8</v>
      </c>
      <c r="D6781" s="4" t="n">
        <v>14</v>
      </c>
      <c r="E6781" s="4" t="s">
        <v>5047</v>
      </c>
      <c r="F6781" s="4" t="n">
        <v>31</v>
      </c>
      <c r="G6781" s="4" t="n">
        <v>4</v>
      </c>
      <c r="H6781" s="4" t="n">
        <v>4</v>
      </c>
      <c r="I6781" s="4" t="str">
        <v>×</v>
      </c>
      <c r="J6781" s="4"/>
      <c r="K6781" s="4"/>
      <c r="L6781" s="4"/>
      <c r="M6781" s="5" t="s">
        <v>4475</v>
      </c>
    </row>
    <row r="6782" customFormat="false" ht="15.75" hidden="false" customHeight="false" outlineLevel="0" collapsed="false">
      <c r="A6782" s="6" t="n">
        <v>46186</v>
      </c>
      <c r="B6782" s="4" t="s">
        <v>4172</v>
      </c>
      <c r="C6782" s="4" t="n">
        <v>8</v>
      </c>
      <c r="D6782" s="4" t="n">
        <v>15</v>
      </c>
      <c r="E6782" s="4" t="s">
        <v>5048</v>
      </c>
      <c r="F6782" s="4" t="n">
        <v>23</v>
      </c>
      <c r="G6782" s="4" t="n">
        <v>6</v>
      </c>
      <c r="H6782" s="4" t="n">
        <v>3</v>
      </c>
      <c r="I6782" s="4" t="str">
        <v>○</v>
      </c>
      <c r="J6782" s="4" t="n">
        <v>290</v>
      </c>
      <c r="K6782" s="4"/>
      <c r="L6782" s="4"/>
      <c r="M6782" s="5" t="s">
        <v>4475</v>
      </c>
    </row>
    <row r="6783" customFormat="false" ht="15.75" hidden="false" customHeight="false" outlineLevel="0" collapsed="false">
      <c r="A6783" s="6" t="n">
        <v>46186</v>
      </c>
      <c r="B6783" s="4" t="s">
        <v>4172</v>
      </c>
      <c r="C6783" s="4" t="n">
        <v>9</v>
      </c>
      <c r="D6783" s="4" t="n">
        <v>1</v>
      </c>
      <c r="E6783" s="4" t="s">
        <v>5049</v>
      </c>
      <c r="F6783" s="4" t="n">
        <v>10</v>
      </c>
      <c r="G6783" s="4" t="n">
        <v>7</v>
      </c>
      <c r="H6783" s="4" t="n">
        <v>4</v>
      </c>
      <c r="I6783" s="4" t="str">
        <v>×</v>
      </c>
      <c r="J6783" s="4"/>
      <c r="K6783" s="4"/>
      <c r="L6783" s="4"/>
      <c r="M6783" s="5" t="s">
        <v>4475</v>
      </c>
    </row>
    <row r="6784" customFormat="false" ht="15.75" hidden="false" customHeight="false" outlineLevel="0" collapsed="false">
      <c r="A6784" s="6" t="n">
        <v>46186</v>
      </c>
      <c r="B6784" s="4" t="s">
        <v>4172</v>
      </c>
      <c r="C6784" s="4" t="n">
        <v>9</v>
      </c>
      <c r="D6784" s="4" t="n">
        <v>2</v>
      </c>
      <c r="E6784" s="4" t="s">
        <v>5050</v>
      </c>
      <c r="F6784" s="4" t="n">
        <v>13</v>
      </c>
      <c r="G6784" s="4" t="n">
        <v>6</v>
      </c>
      <c r="H6784" s="4" t="n">
        <v>4</v>
      </c>
      <c r="I6784" s="4" t="str">
        <v>×</v>
      </c>
      <c r="J6784" s="4"/>
      <c r="K6784" s="4"/>
      <c r="L6784" s="4"/>
      <c r="M6784" s="5" t="s">
        <v>4475</v>
      </c>
    </row>
    <row r="6785" customFormat="false" ht="15.75" hidden="false" customHeight="false" outlineLevel="0" collapsed="false">
      <c r="A6785" s="6" t="n">
        <v>46186</v>
      </c>
      <c r="B6785" s="4" t="s">
        <v>4172</v>
      </c>
      <c r="C6785" s="4" t="n">
        <v>9</v>
      </c>
      <c r="D6785" s="4" t="n">
        <v>3</v>
      </c>
      <c r="E6785" s="4" t="s">
        <v>5051</v>
      </c>
      <c r="F6785" s="4" t="n">
        <v>41</v>
      </c>
      <c r="G6785" s="4" t="n">
        <v>4</v>
      </c>
      <c r="H6785" s="4" t="n">
        <v>2</v>
      </c>
      <c r="I6785" s="4" t="str">
        <v>○</v>
      </c>
      <c r="J6785" s="4" t="n">
        <v>110</v>
      </c>
      <c r="K6785" s="4"/>
      <c r="L6785" s="4"/>
      <c r="M6785" s="5" t="s">
        <v>4475</v>
      </c>
    </row>
    <row r="6786" customFormat="false" ht="15.75" hidden="false" customHeight="false" outlineLevel="0" collapsed="false">
      <c r="A6786" s="6" t="n">
        <v>46186</v>
      </c>
      <c r="B6786" s="4" t="s">
        <v>4172</v>
      </c>
      <c r="C6786" s="4" t="n">
        <v>9</v>
      </c>
      <c r="D6786" s="4" t="n">
        <v>4</v>
      </c>
      <c r="E6786" s="4" t="s">
        <v>5052</v>
      </c>
      <c r="F6786" s="4" t="n">
        <v>58</v>
      </c>
      <c r="G6786" s="4" t="n">
        <v>1</v>
      </c>
      <c r="H6786" s="4" t="n">
        <v>3</v>
      </c>
      <c r="I6786" s="4" t="str">
        <v>○</v>
      </c>
      <c r="J6786" s="4" t="n">
        <v>170</v>
      </c>
      <c r="K6786" s="4"/>
      <c r="L6786" s="4"/>
      <c r="M6786" s="5" t="s">
        <v>4475</v>
      </c>
    </row>
    <row r="6787" customFormat="false" ht="15.75" hidden="false" customHeight="false" outlineLevel="0" collapsed="false">
      <c r="A6787" s="6" t="n">
        <v>46186</v>
      </c>
      <c r="B6787" s="4" t="s">
        <v>4172</v>
      </c>
      <c r="C6787" s="4" t="n">
        <v>9</v>
      </c>
      <c r="D6787" s="4" t="n">
        <v>5</v>
      </c>
      <c r="E6787" s="4" t="s">
        <v>5053</v>
      </c>
      <c r="F6787" s="4" t="n">
        <v>52</v>
      </c>
      <c r="G6787" s="4" t="n">
        <v>2</v>
      </c>
      <c r="H6787" s="4" t="n">
        <v>4</v>
      </c>
      <c r="I6787" s="4" t="str">
        <v>×</v>
      </c>
      <c r="J6787" s="4"/>
      <c r="K6787" s="4"/>
      <c r="L6787" s="4"/>
      <c r="M6787" s="5" t="s">
        <v>4475</v>
      </c>
    </row>
    <row r="6788" customFormat="false" ht="15.75" hidden="false" customHeight="false" outlineLevel="0" collapsed="false">
      <c r="A6788" s="6" t="n">
        <v>46186</v>
      </c>
      <c r="B6788" s="4" t="s">
        <v>4172</v>
      </c>
      <c r="C6788" s="4" t="n">
        <v>9</v>
      </c>
      <c r="D6788" s="4" t="n">
        <v>6</v>
      </c>
      <c r="E6788" s="4" t="s">
        <v>5054</v>
      </c>
      <c r="F6788" s="4" t="n">
        <v>10</v>
      </c>
      <c r="G6788" s="4" t="n">
        <v>7</v>
      </c>
      <c r="H6788" s="4" t="n">
        <v>4</v>
      </c>
      <c r="I6788" s="4" t="str">
        <v>×</v>
      </c>
      <c r="J6788" s="4"/>
      <c r="K6788" s="4"/>
      <c r="L6788" s="4"/>
      <c r="M6788" s="5" t="s">
        <v>4475</v>
      </c>
    </row>
    <row r="6789" customFormat="false" ht="15.75" hidden="false" customHeight="false" outlineLevel="0" collapsed="false">
      <c r="A6789" s="6" t="n">
        <v>46186</v>
      </c>
      <c r="B6789" s="4" t="s">
        <v>4172</v>
      </c>
      <c r="C6789" s="4" t="n">
        <v>9</v>
      </c>
      <c r="D6789" s="4" t="n">
        <v>7</v>
      </c>
      <c r="E6789" s="4" t="s">
        <v>3472</v>
      </c>
      <c r="F6789" s="4" t="n">
        <v>20</v>
      </c>
      <c r="G6789" s="4" t="n">
        <v>5</v>
      </c>
      <c r="H6789" s="4" t="n">
        <v>4</v>
      </c>
      <c r="I6789" s="4" t="str">
        <v>×</v>
      </c>
      <c r="J6789" s="4"/>
      <c r="K6789" s="4"/>
      <c r="L6789" s="4"/>
      <c r="M6789" s="5" t="s">
        <v>4475</v>
      </c>
    </row>
    <row r="6790" customFormat="false" ht="15.75" hidden="false" customHeight="false" outlineLevel="0" collapsed="false">
      <c r="A6790" s="6" t="n">
        <v>46186</v>
      </c>
      <c r="B6790" s="4" t="s">
        <v>4172</v>
      </c>
      <c r="C6790" s="4" t="n">
        <v>9</v>
      </c>
      <c r="D6790" s="4" t="n">
        <v>8</v>
      </c>
      <c r="E6790" s="4" t="s">
        <v>5055</v>
      </c>
      <c r="F6790" s="4" t="n">
        <v>47</v>
      </c>
      <c r="G6790" s="4" t="n">
        <v>3</v>
      </c>
      <c r="H6790" s="4" t="n">
        <v>4</v>
      </c>
      <c r="I6790" s="4" t="str">
        <v>×</v>
      </c>
      <c r="J6790" s="4"/>
      <c r="K6790" s="4"/>
      <c r="L6790" s="4"/>
      <c r="M6790" s="5" t="s">
        <v>4475</v>
      </c>
    </row>
    <row r="6791" customFormat="false" ht="15.75" hidden="false" customHeight="false" outlineLevel="0" collapsed="false">
      <c r="A6791" s="6" t="n">
        <v>46186</v>
      </c>
      <c r="B6791" s="4" t="s">
        <v>4172</v>
      </c>
      <c r="C6791" s="4" t="n">
        <v>9</v>
      </c>
      <c r="D6791" s="4" t="n">
        <v>9</v>
      </c>
      <c r="E6791" s="4" t="s">
        <v>5056</v>
      </c>
      <c r="F6791" s="4" t="n">
        <v>41</v>
      </c>
      <c r="G6791" s="4" t="n">
        <v>4</v>
      </c>
      <c r="H6791" s="4" t="n">
        <v>1</v>
      </c>
      <c r="I6791" s="4" t="str">
        <v>○</v>
      </c>
      <c r="J6791" s="4" t="n">
        <v>140</v>
      </c>
      <c r="K6791" s="4"/>
      <c r="L6791" s="4"/>
      <c r="M6791" s="5" t="s">
        <v>4475</v>
      </c>
    </row>
    <row r="6792" customFormat="false" ht="15.75" hidden="false" customHeight="false" outlineLevel="0" collapsed="false">
      <c r="A6792" s="6" t="n">
        <v>46186</v>
      </c>
      <c r="B6792" s="4" t="s">
        <v>4172</v>
      </c>
      <c r="C6792" s="4" t="n">
        <v>10</v>
      </c>
      <c r="D6792" s="4" t="n">
        <v>1</v>
      </c>
      <c r="E6792" s="4" t="s">
        <v>5057</v>
      </c>
      <c r="F6792" s="4" t="n">
        <v>31</v>
      </c>
      <c r="G6792" s="4" t="n">
        <v>4</v>
      </c>
      <c r="H6792" s="4" t="n">
        <v>4</v>
      </c>
      <c r="I6792" s="4" t="str">
        <v>×</v>
      </c>
      <c r="J6792" s="4"/>
      <c r="K6792" s="4"/>
      <c r="L6792" s="4"/>
      <c r="M6792" s="5" t="s">
        <v>4475</v>
      </c>
    </row>
    <row r="6793" customFormat="false" ht="15.75" hidden="false" customHeight="false" outlineLevel="0" collapsed="false">
      <c r="A6793" s="6" t="n">
        <v>46186</v>
      </c>
      <c r="B6793" s="4" t="s">
        <v>4172</v>
      </c>
      <c r="C6793" s="4" t="n">
        <v>10</v>
      </c>
      <c r="D6793" s="4" t="n">
        <v>2</v>
      </c>
      <c r="E6793" s="4" t="s">
        <v>4404</v>
      </c>
      <c r="F6793" s="4" t="n">
        <v>3</v>
      </c>
      <c r="G6793" s="4" t="n">
        <v>12</v>
      </c>
      <c r="H6793" s="4" t="n">
        <v>4</v>
      </c>
      <c r="I6793" s="4" t="str">
        <v>×</v>
      </c>
      <c r="J6793" s="4"/>
      <c r="K6793" s="4"/>
      <c r="L6793" s="4"/>
      <c r="M6793" s="5" t="s">
        <v>4475</v>
      </c>
    </row>
    <row r="6794" customFormat="false" ht="15.75" hidden="false" customHeight="false" outlineLevel="0" collapsed="false">
      <c r="A6794" s="6" t="n">
        <v>46186</v>
      </c>
      <c r="B6794" s="4" t="s">
        <v>4172</v>
      </c>
      <c r="C6794" s="4" t="n">
        <v>10</v>
      </c>
      <c r="D6794" s="4" t="n">
        <v>3</v>
      </c>
      <c r="E6794" s="4" t="s">
        <v>1208</v>
      </c>
      <c r="F6794" s="4" t="n">
        <v>4</v>
      </c>
      <c r="G6794" s="4" t="n">
        <v>11</v>
      </c>
      <c r="H6794" s="4" t="n">
        <v>4</v>
      </c>
      <c r="I6794" s="4" t="str">
        <v>×</v>
      </c>
      <c r="J6794" s="4"/>
      <c r="K6794" s="4"/>
      <c r="L6794" s="4"/>
      <c r="M6794" s="5" t="s">
        <v>4475</v>
      </c>
    </row>
    <row r="6795" customFormat="false" ht="15.75" hidden="false" customHeight="false" outlineLevel="0" collapsed="false">
      <c r="A6795" s="6" t="n">
        <v>46186</v>
      </c>
      <c r="B6795" s="4" t="s">
        <v>4172</v>
      </c>
      <c r="C6795" s="4" t="n">
        <v>10</v>
      </c>
      <c r="D6795" s="4" t="n">
        <v>4</v>
      </c>
      <c r="E6795" s="4" t="s">
        <v>5058</v>
      </c>
      <c r="F6795" s="4" t="n">
        <v>6</v>
      </c>
      <c r="G6795" s="4" t="n">
        <v>10</v>
      </c>
      <c r="H6795" s="4" t="n">
        <v>4</v>
      </c>
      <c r="I6795" s="4" t="str">
        <v>×</v>
      </c>
      <c r="J6795" s="4"/>
      <c r="K6795" s="4"/>
      <c r="L6795" s="4"/>
      <c r="M6795" s="5" t="s">
        <v>4475</v>
      </c>
    </row>
    <row r="6796" customFormat="false" ht="15.75" hidden="false" customHeight="false" outlineLevel="0" collapsed="false">
      <c r="A6796" s="6" t="n">
        <v>46186</v>
      </c>
      <c r="B6796" s="4" t="s">
        <v>4172</v>
      </c>
      <c r="C6796" s="4" t="n">
        <v>10</v>
      </c>
      <c r="D6796" s="4" t="n">
        <v>5</v>
      </c>
      <c r="E6796" s="4" t="s">
        <v>2902</v>
      </c>
      <c r="F6796" s="4" t="n">
        <v>20</v>
      </c>
      <c r="G6796" s="4" t="n">
        <v>6</v>
      </c>
      <c r="H6796" s="4" t="n">
        <v>4</v>
      </c>
      <c r="I6796" s="4" t="str">
        <v>×</v>
      </c>
      <c r="J6796" s="4"/>
      <c r="K6796" s="4"/>
      <c r="L6796" s="4"/>
      <c r="M6796" s="5" t="s">
        <v>4475</v>
      </c>
    </row>
    <row r="6797" customFormat="false" ht="15.75" hidden="false" customHeight="false" outlineLevel="0" collapsed="false">
      <c r="A6797" s="6" t="n">
        <v>46186</v>
      </c>
      <c r="B6797" s="4" t="s">
        <v>4172</v>
      </c>
      <c r="C6797" s="4" t="n">
        <v>10</v>
      </c>
      <c r="D6797" s="4" t="n">
        <v>6</v>
      </c>
      <c r="E6797" s="4" t="s">
        <v>1204</v>
      </c>
      <c r="F6797" s="4" t="n">
        <v>15</v>
      </c>
      <c r="G6797" s="4" t="n">
        <v>7</v>
      </c>
      <c r="H6797" s="4" t="n">
        <v>4</v>
      </c>
      <c r="I6797" s="4" t="str">
        <v>×</v>
      </c>
      <c r="J6797" s="4"/>
      <c r="K6797" s="4"/>
      <c r="L6797" s="4"/>
      <c r="M6797" s="5" t="s">
        <v>4475</v>
      </c>
    </row>
    <row r="6798" customFormat="false" ht="15.75" hidden="false" customHeight="false" outlineLevel="0" collapsed="false">
      <c r="A6798" s="6" t="n">
        <v>46186</v>
      </c>
      <c r="B6798" s="4" t="s">
        <v>4172</v>
      </c>
      <c r="C6798" s="4" t="n">
        <v>10</v>
      </c>
      <c r="D6798" s="4" t="n">
        <v>7</v>
      </c>
      <c r="E6798" s="4" t="s">
        <v>3213</v>
      </c>
      <c r="F6798" s="4" t="n">
        <v>8</v>
      </c>
      <c r="G6798" s="4" t="n">
        <v>9</v>
      </c>
      <c r="H6798" s="4" t="n">
        <v>4</v>
      </c>
      <c r="I6798" s="4" t="str">
        <v>×</v>
      </c>
      <c r="J6798" s="4"/>
      <c r="K6798" s="4"/>
      <c r="L6798" s="4"/>
      <c r="M6798" s="5" t="s">
        <v>4475</v>
      </c>
    </row>
    <row r="6799" customFormat="false" ht="15.75" hidden="false" customHeight="false" outlineLevel="0" collapsed="false">
      <c r="A6799" s="6" t="n">
        <v>46186</v>
      </c>
      <c r="B6799" s="4" t="s">
        <v>4172</v>
      </c>
      <c r="C6799" s="4" t="n">
        <v>10</v>
      </c>
      <c r="D6799" s="4" t="n">
        <v>8</v>
      </c>
      <c r="E6799" s="4" t="s">
        <v>5059</v>
      </c>
      <c r="F6799" s="4" t="n">
        <v>29</v>
      </c>
      <c r="G6799" s="4" t="n">
        <v>5</v>
      </c>
      <c r="H6799" s="4" t="n">
        <v>4</v>
      </c>
      <c r="I6799" s="4" t="str">
        <v>×</v>
      </c>
      <c r="J6799" s="4"/>
      <c r="K6799" s="4"/>
      <c r="L6799" s="4"/>
      <c r="M6799" s="5" t="s">
        <v>4475</v>
      </c>
    </row>
    <row r="6800" customFormat="false" ht="15.75" hidden="false" customHeight="false" outlineLevel="0" collapsed="false">
      <c r="A6800" s="6" t="n">
        <v>46186</v>
      </c>
      <c r="B6800" s="4" t="s">
        <v>4172</v>
      </c>
      <c r="C6800" s="4" t="n">
        <v>10</v>
      </c>
      <c r="D6800" s="4" t="n">
        <v>9</v>
      </c>
      <c r="E6800" s="4" t="s">
        <v>2134</v>
      </c>
      <c r="F6800" s="4" t="n">
        <v>4</v>
      </c>
      <c r="G6800" s="4" t="n">
        <v>11</v>
      </c>
      <c r="H6800" s="4" t="n">
        <v>4</v>
      </c>
      <c r="I6800" s="4" t="str">
        <v>×</v>
      </c>
      <c r="J6800" s="4"/>
      <c r="K6800" s="4"/>
      <c r="L6800" s="4"/>
      <c r="M6800" s="5" t="s">
        <v>4475</v>
      </c>
    </row>
    <row r="6801" customFormat="false" ht="15.75" hidden="false" customHeight="false" outlineLevel="0" collapsed="false">
      <c r="A6801" s="6" t="n">
        <v>46186</v>
      </c>
      <c r="B6801" s="4" t="s">
        <v>4172</v>
      </c>
      <c r="C6801" s="4" t="n">
        <v>10</v>
      </c>
      <c r="D6801" s="4" t="n">
        <v>10</v>
      </c>
      <c r="E6801" s="4" t="s">
        <v>2647</v>
      </c>
      <c r="F6801" s="4" t="n">
        <v>2</v>
      </c>
      <c r="G6801" s="4" t="n">
        <v>13</v>
      </c>
      <c r="H6801" s="4" t="n">
        <v>4</v>
      </c>
      <c r="I6801" s="4" t="str">
        <v>×</v>
      </c>
      <c r="J6801" s="4"/>
      <c r="K6801" s="4"/>
      <c r="L6801" s="4"/>
      <c r="M6801" s="5" t="s">
        <v>4475</v>
      </c>
    </row>
    <row r="6802" customFormat="false" ht="15.75" hidden="false" customHeight="false" outlineLevel="0" collapsed="false">
      <c r="A6802" s="6" t="n">
        <v>46186</v>
      </c>
      <c r="B6802" s="4" t="s">
        <v>4172</v>
      </c>
      <c r="C6802" s="4" t="n">
        <v>10</v>
      </c>
      <c r="D6802" s="4" t="n">
        <v>11</v>
      </c>
      <c r="E6802" s="4" t="s">
        <v>5060</v>
      </c>
      <c r="F6802" s="4" t="n">
        <v>20</v>
      </c>
      <c r="G6802" s="4" t="n">
        <v>6</v>
      </c>
      <c r="H6802" s="4" t="n">
        <v>4</v>
      </c>
      <c r="I6802" s="4" t="str">
        <v>×</v>
      </c>
      <c r="J6802" s="4"/>
      <c r="K6802" s="4"/>
      <c r="L6802" s="4"/>
      <c r="M6802" s="5" t="s">
        <v>4475</v>
      </c>
    </row>
    <row r="6803" customFormat="false" ht="15.75" hidden="false" customHeight="false" outlineLevel="0" collapsed="false">
      <c r="A6803" s="6" t="n">
        <v>46186</v>
      </c>
      <c r="B6803" s="4" t="s">
        <v>4172</v>
      </c>
      <c r="C6803" s="4" t="n">
        <v>10</v>
      </c>
      <c r="D6803" s="4" t="n">
        <v>12</v>
      </c>
      <c r="E6803" s="4" t="s">
        <v>5061</v>
      </c>
      <c r="F6803" s="4" t="n">
        <v>10</v>
      </c>
      <c r="G6803" s="4" t="n">
        <v>8</v>
      </c>
      <c r="H6803" s="4" t="n">
        <v>4</v>
      </c>
      <c r="I6803" s="4" t="str">
        <v>×</v>
      </c>
      <c r="J6803" s="4"/>
      <c r="K6803" s="4"/>
      <c r="L6803" s="4"/>
      <c r="M6803" s="5" t="s">
        <v>4475</v>
      </c>
    </row>
    <row r="6804" customFormat="false" ht="15.75" hidden="false" customHeight="false" outlineLevel="0" collapsed="false">
      <c r="A6804" s="6" t="n">
        <v>46186</v>
      </c>
      <c r="B6804" s="4" t="s">
        <v>4172</v>
      </c>
      <c r="C6804" s="4" t="n">
        <v>10</v>
      </c>
      <c r="D6804" s="4" t="n">
        <v>13</v>
      </c>
      <c r="E6804" s="4" t="s">
        <v>5062</v>
      </c>
      <c r="F6804" s="4" t="n">
        <v>50</v>
      </c>
      <c r="G6804" s="4" t="n">
        <v>2</v>
      </c>
      <c r="H6804" s="4" t="n">
        <v>1</v>
      </c>
      <c r="I6804" s="4" t="str">
        <v>○</v>
      </c>
      <c r="J6804" s="4" t="n">
        <v>110</v>
      </c>
      <c r="K6804" s="4"/>
      <c r="L6804" s="4"/>
      <c r="M6804" s="5" t="s">
        <v>4475</v>
      </c>
    </row>
    <row r="6805" customFormat="false" ht="15.75" hidden="false" customHeight="false" outlineLevel="0" collapsed="false">
      <c r="A6805" s="6" t="n">
        <v>46186</v>
      </c>
      <c r="B6805" s="4" t="s">
        <v>4172</v>
      </c>
      <c r="C6805" s="4" t="n">
        <v>10</v>
      </c>
      <c r="D6805" s="4" t="n">
        <v>14</v>
      </c>
      <c r="E6805" s="4" t="s">
        <v>5063</v>
      </c>
      <c r="F6805" s="4" t="n">
        <v>56</v>
      </c>
      <c r="G6805" s="4" t="n">
        <v>1</v>
      </c>
      <c r="H6805" s="4" t="n">
        <v>3</v>
      </c>
      <c r="I6805" s="4" t="str">
        <v>○</v>
      </c>
      <c r="J6805" s="4" t="n">
        <v>170</v>
      </c>
      <c r="K6805" s="4"/>
      <c r="L6805" s="4"/>
      <c r="M6805" s="5" t="s">
        <v>4475</v>
      </c>
    </row>
    <row r="6806" customFormat="false" ht="15.75" hidden="false" customHeight="false" outlineLevel="0" collapsed="false">
      <c r="A6806" s="6" t="n">
        <v>46186</v>
      </c>
      <c r="B6806" s="4" t="s">
        <v>4172</v>
      </c>
      <c r="C6806" s="4" t="n">
        <v>10</v>
      </c>
      <c r="D6806" s="4" t="n">
        <v>15</v>
      </c>
      <c r="E6806" s="4" t="s">
        <v>2423</v>
      </c>
      <c r="F6806" s="4" t="n">
        <v>31</v>
      </c>
      <c r="G6806" s="4" t="n">
        <v>4</v>
      </c>
      <c r="H6806" s="4" t="n">
        <v>2</v>
      </c>
      <c r="I6806" s="4" t="str">
        <v>○</v>
      </c>
      <c r="J6806" s="4" t="n">
        <v>180</v>
      </c>
      <c r="K6806" s="4"/>
      <c r="L6806" s="4"/>
      <c r="M6806" s="5" t="s">
        <v>4475</v>
      </c>
    </row>
    <row r="6807" customFormat="false" ht="15.75" hidden="false" customHeight="false" outlineLevel="0" collapsed="false">
      <c r="A6807" s="6" t="n">
        <v>46186</v>
      </c>
      <c r="B6807" s="4" t="s">
        <v>4172</v>
      </c>
      <c r="C6807" s="4" t="n">
        <v>10</v>
      </c>
      <c r="D6807" s="4" t="n">
        <v>16</v>
      </c>
      <c r="E6807" s="4" t="s">
        <v>540</v>
      </c>
      <c r="F6807" s="4" t="n">
        <v>34</v>
      </c>
      <c r="G6807" s="4" t="n">
        <v>3</v>
      </c>
      <c r="H6807" s="4" t="n">
        <v>4</v>
      </c>
      <c r="I6807" s="4" t="str">
        <v>×</v>
      </c>
      <c r="J6807" s="4"/>
      <c r="K6807" s="4"/>
      <c r="L6807" s="4"/>
      <c r="M6807" s="5" t="s">
        <v>4475</v>
      </c>
    </row>
    <row r="6808" customFormat="false" ht="15.75" hidden="false" customHeight="false" outlineLevel="0" collapsed="false">
      <c r="A6808" s="6" t="n">
        <v>46186</v>
      </c>
      <c r="B6808" s="4" t="s">
        <v>4172</v>
      </c>
      <c r="C6808" s="4" t="n">
        <v>11</v>
      </c>
      <c r="D6808" s="4" t="n">
        <v>1</v>
      </c>
      <c r="E6808" s="4" t="s">
        <v>5064</v>
      </c>
      <c r="F6808" s="4" t="n">
        <v>15</v>
      </c>
      <c r="G6808" s="4" t="n">
        <v>7</v>
      </c>
      <c r="H6808" s="4" t="n">
        <v>4</v>
      </c>
      <c r="I6808" s="4" t="str">
        <v>×</v>
      </c>
      <c r="J6808" s="4"/>
      <c r="K6808" s="4"/>
      <c r="L6808" s="4"/>
      <c r="M6808" s="5" t="s">
        <v>4475</v>
      </c>
    </row>
    <row r="6809" customFormat="false" ht="15.75" hidden="false" customHeight="false" outlineLevel="0" collapsed="false">
      <c r="A6809" s="6" t="n">
        <v>46186</v>
      </c>
      <c r="B6809" s="4" t="s">
        <v>4172</v>
      </c>
      <c r="C6809" s="4" t="n">
        <v>11</v>
      </c>
      <c r="D6809" s="4" t="n">
        <v>2</v>
      </c>
      <c r="E6809" s="4" t="s">
        <v>5065</v>
      </c>
      <c r="F6809" s="4" t="n">
        <v>3</v>
      </c>
      <c r="G6809" s="4" t="n">
        <v>10</v>
      </c>
      <c r="H6809" s="4" t="n">
        <v>4</v>
      </c>
      <c r="I6809" s="4" t="str">
        <v>×</v>
      </c>
      <c r="J6809" s="4"/>
      <c r="K6809" s="4"/>
      <c r="L6809" s="4"/>
      <c r="M6809" s="5" t="s">
        <v>4475</v>
      </c>
    </row>
    <row r="6810" customFormat="false" ht="15.75" hidden="false" customHeight="false" outlineLevel="0" collapsed="false">
      <c r="A6810" s="6" t="n">
        <v>46186</v>
      </c>
      <c r="B6810" s="4" t="s">
        <v>4172</v>
      </c>
      <c r="C6810" s="4" t="n">
        <v>11</v>
      </c>
      <c r="D6810" s="4" t="n">
        <v>3</v>
      </c>
      <c r="E6810" s="4" t="s">
        <v>3113</v>
      </c>
      <c r="F6810" s="4" t="n">
        <v>1</v>
      </c>
      <c r="G6810" s="4" t="n">
        <v>11</v>
      </c>
      <c r="H6810" s="4" t="n">
        <v>4</v>
      </c>
      <c r="I6810" s="4" t="str">
        <v>×</v>
      </c>
      <c r="J6810" s="4"/>
      <c r="K6810" s="4"/>
      <c r="L6810" s="4"/>
      <c r="M6810" s="5" t="s">
        <v>4475</v>
      </c>
    </row>
    <row r="6811" customFormat="false" ht="15.75" hidden="false" customHeight="false" outlineLevel="0" collapsed="false">
      <c r="A6811" s="6" t="n">
        <v>46186</v>
      </c>
      <c r="B6811" s="4" t="s">
        <v>4172</v>
      </c>
      <c r="C6811" s="4" t="n">
        <v>11</v>
      </c>
      <c r="D6811" s="4" t="n">
        <v>4</v>
      </c>
      <c r="E6811" s="4" t="s">
        <v>5066</v>
      </c>
      <c r="F6811" s="4" t="n">
        <v>23</v>
      </c>
      <c r="G6811" s="4" t="n">
        <v>6</v>
      </c>
      <c r="H6811" s="4" t="n">
        <v>2</v>
      </c>
      <c r="I6811" s="4" t="str">
        <v>○</v>
      </c>
      <c r="J6811" s="4" t="n">
        <v>250</v>
      </c>
      <c r="K6811" s="4"/>
      <c r="L6811" s="4"/>
      <c r="M6811" s="5" t="s">
        <v>4475</v>
      </c>
    </row>
    <row r="6812" customFormat="false" ht="15.75" hidden="false" customHeight="false" outlineLevel="0" collapsed="false">
      <c r="A6812" s="6" t="n">
        <v>46186</v>
      </c>
      <c r="B6812" s="4" t="s">
        <v>4172</v>
      </c>
      <c r="C6812" s="4" t="n">
        <v>11</v>
      </c>
      <c r="D6812" s="4" t="n">
        <v>5</v>
      </c>
      <c r="E6812" s="4" t="s">
        <v>5067</v>
      </c>
      <c r="F6812" s="4" t="n">
        <v>13</v>
      </c>
      <c r="G6812" s="4" t="n">
        <v>8</v>
      </c>
      <c r="H6812" s="4" t="n">
        <v>4</v>
      </c>
      <c r="I6812" s="4" t="str">
        <v>×</v>
      </c>
      <c r="J6812" s="4"/>
      <c r="K6812" s="4"/>
      <c r="L6812" s="4"/>
      <c r="M6812" s="5" t="s">
        <v>4475</v>
      </c>
    </row>
    <row r="6813" customFormat="false" ht="15.75" hidden="false" customHeight="false" outlineLevel="0" collapsed="false">
      <c r="A6813" s="6" t="n">
        <v>46186</v>
      </c>
      <c r="B6813" s="4" t="s">
        <v>4172</v>
      </c>
      <c r="C6813" s="4" t="n">
        <v>11</v>
      </c>
      <c r="D6813" s="4" t="n">
        <v>6</v>
      </c>
      <c r="E6813" s="4" t="s">
        <v>5068</v>
      </c>
      <c r="F6813" s="4" t="n">
        <v>29</v>
      </c>
      <c r="G6813" s="4" t="n">
        <v>4</v>
      </c>
      <c r="H6813" s="4" t="n">
        <v>4</v>
      </c>
      <c r="I6813" s="4" t="str">
        <v>×</v>
      </c>
      <c r="J6813" s="4"/>
      <c r="K6813" s="4"/>
      <c r="L6813" s="4"/>
      <c r="M6813" s="5" t="s">
        <v>4475</v>
      </c>
    </row>
    <row r="6814" customFormat="false" ht="15.75" hidden="false" customHeight="false" outlineLevel="0" collapsed="false">
      <c r="A6814" s="6" t="n">
        <v>46186</v>
      </c>
      <c r="B6814" s="4" t="s">
        <v>4172</v>
      </c>
      <c r="C6814" s="4" t="n">
        <v>11</v>
      </c>
      <c r="D6814" s="4" t="n">
        <v>7</v>
      </c>
      <c r="E6814" s="4" t="s">
        <v>2541</v>
      </c>
      <c r="F6814" s="4" t="n">
        <v>47</v>
      </c>
      <c r="G6814" s="4" t="n">
        <v>2</v>
      </c>
      <c r="H6814" s="4" t="n">
        <v>3</v>
      </c>
      <c r="I6814" s="4" t="str">
        <v>○</v>
      </c>
      <c r="J6814" s="4" t="n">
        <v>120</v>
      </c>
      <c r="K6814" s="4"/>
      <c r="L6814" s="4"/>
      <c r="M6814" s="5" t="s">
        <v>4475</v>
      </c>
    </row>
    <row r="6815" customFormat="false" ht="15.75" hidden="false" customHeight="false" outlineLevel="0" collapsed="false">
      <c r="A6815" s="6" t="n">
        <v>46186</v>
      </c>
      <c r="B6815" s="4" t="s">
        <v>4172</v>
      </c>
      <c r="C6815" s="4" t="n">
        <v>11</v>
      </c>
      <c r="D6815" s="4" t="n">
        <v>8</v>
      </c>
      <c r="E6815" s="4" t="s">
        <v>3114</v>
      </c>
      <c r="F6815" s="4" t="n">
        <v>1</v>
      </c>
      <c r="G6815" s="4" t="n">
        <v>11</v>
      </c>
      <c r="H6815" s="4" t="n">
        <v>4</v>
      </c>
      <c r="I6815" s="4" t="str">
        <v>×</v>
      </c>
      <c r="J6815" s="4"/>
      <c r="K6815" s="4"/>
      <c r="L6815" s="4"/>
      <c r="M6815" s="5" t="s">
        <v>4475</v>
      </c>
    </row>
    <row r="6816" customFormat="false" ht="15.75" hidden="false" customHeight="false" outlineLevel="0" collapsed="false">
      <c r="A6816" s="6" t="n">
        <v>46186</v>
      </c>
      <c r="B6816" s="4" t="s">
        <v>4172</v>
      </c>
      <c r="C6816" s="4" t="n">
        <v>11</v>
      </c>
      <c r="D6816" s="4" t="n">
        <v>9</v>
      </c>
      <c r="E6816" s="4" t="s">
        <v>5069</v>
      </c>
      <c r="F6816" s="4" t="n">
        <v>81</v>
      </c>
      <c r="G6816" s="4" t="n">
        <v>1</v>
      </c>
      <c r="H6816" s="4" t="n">
        <v>1</v>
      </c>
      <c r="I6816" s="4" t="str">
        <v>○</v>
      </c>
      <c r="J6816" s="4" t="n">
        <v>110</v>
      </c>
      <c r="K6816" s="4"/>
      <c r="L6816" s="4"/>
      <c r="M6816" s="5" t="s">
        <v>4475</v>
      </c>
    </row>
    <row r="6817" customFormat="false" ht="15.75" hidden="false" customHeight="false" outlineLevel="0" collapsed="false">
      <c r="A6817" s="6" t="n">
        <v>46186</v>
      </c>
      <c r="B6817" s="4" t="s">
        <v>4172</v>
      </c>
      <c r="C6817" s="4" t="n">
        <v>11</v>
      </c>
      <c r="D6817" s="4" t="n">
        <v>10</v>
      </c>
      <c r="E6817" s="4" t="s">
        <v>5070</v>
      </c>
      <c r="F6817" s="4" t="n">
        <v>8</v>
      </c>
      <c r="G6817" s="4" t="n">
        <v>9</v>
      </c>
      <c r="H6817" s="4" t="n">
        <v>4</v>
      </c>
      <c r="I6817" s="4" t="str">
        <v>×</v>
      </c>
      <c r="J6817" s="4"/>
      <c r="K6817" s="4"/>
      <c r="L6817" s="4"/>
      <c r="M6817" s="5" t="s">
        <v>4475</v>
      </c>
    </row>
    <row r="6818" customFormat="false" ht="15.75" hidden="false" customHeight="false" outlineLevel="0" collapsed="false">
      <c r="A6818" s="6" t="n">
        <v>46186</v>
      </c>
      <c r="B6818" s="4" t="s">
        <v>4172</v>
      </c>
      <c r="C6818" s="4" t="n">
        <v>11</v>
      </c>
      <c r="D6818" s="4" t="n">
        <v>11</v>
      </c>
      <c r="E6818" s="4" t="s">
        <v>1370</v>
      </c>
      <c r="F6818" s="4" t="n">
        <v>8</v>
      </c>
      <c r="G6818" s="4" t="n">
        <v>9</v>
      </c>
      <c r="H6818" s="4" t="n">
        <v>4</v>
      </c>
      <c r="I6818" s="4" t="str">
        <v>×</v>
      </c>
      <c r="J6818" s="4"/>
      <c r="K6818" s="4"/>
      <c r="L6818" s="4"/>
      <c r="M6818" s="5" t="s">
        <v>4475</v>
      </c>
    </row>
    <row r="6819" customFormat="false" ht="15.75" hidden="false" customHeight="false" outlineLevel="0" collapsed="false">
      <c r="A6819" s="6" t="n">
        <v>46186</v>
      </c>
      <c r="B6819" s="4" t="s">
        <v>4172</v>
      </c>
      <c r="C6819" s="4" t="n">
        <v>11</v>
      </c>
      <c r="D6819" s="4" t="n">
        <v>12</v>
      </c>
      <c r="E6819" s="4" t="s">
        <v>5071</v>
      </c>
      <c r="F6819" s="4" t="n">
        <v>25</v>
      </c>
      <c r="G6819" s="4" t="n">
        <v>5</v>
      </c>
      <c r="H6819" s="4" t="n">
        <v>4</v>
      </c>
      <c r="I6819" s="4" t="str">
        <v>×</v>
      </c>
      <c r="J6819" s="4"/>
      <c r="K6819" s="4"/>
      <c r="L6819" s="4"/>
      <c r="M6819" s="5" t="s">
        <v>4475</v>
      </c>
    </row>
    <row r="6820" customFormat="false" ht="15.75" hidden="false" customHeight="false" outlineLevel="0" collapsed="false">
      <c r="A6820" s="6" t="n">
        <v>46186</v>
      </c>
      <c r="B6820" s="4" t="s">
        <v>4172</v>
      </c>
      <c r="C6820" s="4" t="n">
        <v>11</v>
      </c>
      <c r="D6820" s="4" t="n">
        <v>13</v>
      </c>
      <c r="E6820" s="4" t="s">
        <v>2538</v>
      </c>
      <c r="F6820" s="4" t="n">
        <v>8</v>
      </c>
      <c r="G6820" s="4" t="n">
        <v>9</v>
      </c>
      <c r="H6820" s="4" t="n">
        <v>4</v>
      </c>
      <c r="I6820" s="4" t="str">
        <v>×</v>
      </c>
      <c r="J6820" s="4"/>
      <c r="K6820" s="4"/>
      <c r="L6820" s="4"/>
      <c r="M6820" s="5" t="s">
        <v>4475</v>
      </c>
    </row>
    <row r="6821" customFormat="false" ht="15.75" hidden="false" customHeight="false" outlineLevel="0" collapsed="false">
      <c r="A6821" s="6" t="n">
        <v>46186</v>
      </c>
      <c r="B6821" s="4" t="s">
        <v>4172</v>
      </c>
      <c r="C6821" s="4" t="n">
        <v>11</v>
      </c>
      <c r="D6821" s="4" t="n">
        <v>14</v>
      </c>
      <c r="E6821" s="4" t="s">
        <v>5072</v>
      </c>
      <c r="F6821" s="4" t="n">
        <v>3</v>
      </c>
      <c r="G6821" s="4" t="n">
        <v>10</v>
      </c>
      <c r="H6821" s="4" t="n">
        <v>4</v>
      </c>
      <c r="I6821" s="4" t="str">
        <v>×</v>
      </c>
      <c r="J6821" s="4"/>
      <c r="K6821" s="4"/>
      <c r="L6821" s="4"/>
      <c r="M6821" s="5" t="s">
        <v>4475</v>
      </c>
    </row>
    <row r="6822" customFormat="false" ht="15.75" hidden="false" customHeight="false" outlineLevel="0" collapsed="false">
      <c r="A6822" s="6" t="n">
        <v>46186</v>
      </c>
      <c r="B6822" s="4" t="s">
        <v>4172</v>
      </c>
      <c r="C6822" s="4" t="n">
        <v>11</v>
      </c>
      <c r="D6822" s="4" t="n">
        <v>15</v>
      </c>
      <c r="E6822" s="4" t="s">
        <v>5073</v>
      </c>
      <c r="F6822" s="4" t="n">
        <v>3</v>
      </c>
      <c r="G6822" s="4" t="n">
        <v>10</v>
      </c>
      <c r="H6822" s="4" t="n">
        <v>4</v>
      </c>
      <c r="I6822" s="4" t="str">
        <v>×</v>
      </c>
      <c r="J6822" s="4"/>
      <c r="K6822" s="4"/>
      <c r="L6822" s="4"/>
      <c r="M6822" s="5" t="s">
        <v>4475</v>
      </c>
    </row>
    <row r="6823" customFormat="false" ht="15.75" hidden="false" customHeight="false" outlineLevel="0" collapsed="false">
      <c r="A6823" s="6" t="n">
        <v>46186</v>
      </c>
      <c r="B6823" s="4" t="s">
        <v>4172</v>
      </c>
      <c r="C6823" s="4" t="n">
        <v>11</v>
      </c>
      <c r="D6823" s="4" t="n">
        <v>16</v>
      </c>
      <c r="E6823" s="4" t="s">
        <v>5074</v>
      </c>
      <c r="F6823" s="4" t="n">
        <v>31</v>
      </c>
      <c r="G6823" s="4" t="n">
        <v>3</v>
      </c>
      <c r="H6823" s="4" t="n">
        <v>4</v>
      </c>
      <c r="I6823" s="4" t="str">
        <v>×</v>
      </c>
      <c r="J6823" s="4"/>
      <c r="K6823" s="4"/>
      <c r="L6823" s="4"/>
      <c r="M6823" s="5" t="s">
        <v>4475</v>
      </c>
    </row>
    <row r="6824" customFormat="false" ht="15.75" hidden="false" customHeight="false" outlineLevel="0" collapsed="false">
      <c r="A6824" s="6" t="n">
        <v>46186</v>
      </c>
      <c r="B6824" s="4" t="s">
        <v>4172</v>
      </c>
      <c r="C6824" s="4" t="n">
        <v>12</v>
      </c>
      <c r="D6824" s="4" t="n">
        <v>1</v>
      </c>
      <c r="E6824" s="4" t="s">
        <v>2919</v>
      </c>
      <c r="F6824" s="4" t="n">
        <v>31</v>
      </c>
      <c r="G6824" s="4" t="n">
        <v>4</v>
      </c>
      <c r="H6824" s="4" t="n">
        <v>4</v>
      </c>
      <c r="I6824" s="4" t="str">
        <v>×</v>
      </c>
      <c r="J6824" s="4"/>
      <c r="K6824" s="4"/>
      <c r="L6824" s="4"/>
      <c r="M6824" s="5" t="s">
        <v>4475</v>
      </c>
    </row>
    <row r="6825" customFormat="false" ht="15.75" hidden="false" customHeight="false" outlineLevel="0" collapsed="false">
      <c r="A6825" s="6" t="n">
        <v>46186</v>
      </c>
      <c r="B6825" s="4" t="s">
        <v>4172</v>
      </c>
      <c r="C6825" s="4" t="n">
        <v>12</v>
      </c>
      <c r="D6825" s="4" t="n">
        <v>2</v>
      </c>
      <c r="E6825" s="4" t="s">
        <v>5075</v>
      </c>
      <c r="F6825" s="4" t="n">
        <v>15</v>
      </c>
      <c r="G6825" s="4" t="n">
        <v>6</v>
      </c>
      <c r="H6825" s="4" t="n">
        <v>4</v>
      </c>
      <c r="I6825" s="4" t="str">
        <v>×</v>
      </c>
      <c r="J6825" s="4"/>
      <c r="K6825" s="4"/>
      <c r="L6825" s="4"/>
      <c r="M6825" s="5" t="s">
        <v>4475</v>
      </c>
    </row>
    <row r="6826" customFormat="false" ht="15.75" hidden="false" customHeight="false" outlineLevel="0" collapsed="false">
      <c r="A6826" s="6" t="n">
        <v>46186</v>
      </c>
      <c r="B6826" s="4" t="s">
        <v>4172</v>
      </c>
      <c r="C6826" s="4" t="n">
        <v>12</v>
      </c>
      <c r="D6826" s="4" t="n">
        <v>3</v>
      </c>
      <c r="E6826" s="4" t="s">
        <v>3315</v>
      </c>
      <c r="F6826" s="4" t="n">
        <v>34</v>
      </c>
      <c r="G6826" s="4" t="n">
        <v>3</v>
      </c>
      <c r="H6826" s="4" t="n">
        <v>4</v>
      </c>
      <c r="I6826" s="4" t="str">
        <v>×</v>
      </c>
      <c r="J6826" s="4"/>
      <c r="K6826" s="4"/>
      <c r="L6826" s="4"/>
      <c r="M6826" s="5" t="s">
        <v>4475</v>
      </c>
    </row>
    <row r="6827" customFormat="false" ht="15.75" hidden="false" customHeight="false" outlineLevel="0" collapsed="false">
      <c r="A6827" s="6" t="n">
        <v>46186</v>
      </c>
      <c r="B6827" s="4" t="s">
        <v>4172</v>
      </c>
      <c r="C6827" s="4" t="n">
        <v>12</v>
      </c>
      <c r="D6827" s="4" t="n">
        <v>4</v>
      </c>
      <c r="E6827" s="4" t="s">
        <v>5076</v>
      </c>
      <c r="F6827" s="4" t="n">
        <v>17</v>
      </c>
      <c r="G6827" s="4" t="n">
        <v>5</v>
      </c>
      <c r="H6827" s="4" t="n">
        <v>4</v>
      </c>
      <c r="I6827" s="4" t="str">
        <v>×</v>
      </c>
      <c r="J6827" s="4"/>
      <c r="K6827" s="4"/>
      <c r="L6827" s="4"/>
      <c r="M6827" s="5" t="s">
        <v>4475</v>
      </c>
    </row>
    <row r="6828" customFormat="false" ht="15.75" hidden="false" customHeight="false" outlineLevel="0" collapsed="false">
      <c r="A6828" s="6" t="n">
        <v>46186</v>
      </c>
      <c r="B6828" s="4" t="s">
        <v>4172</v>
      </c>
      <c r="C6828" s="4" t="n">
        <v>12</v>
      </c>
      <c r="D6828" s="4" t="n">
        <v>5</v>
      </c>
      <c r="E6828" s="4" t="s">
        <v>2543</v>
      </c>
      <c r="F6828" s="4" t="n">
        <v>10</v>
      </c>
      <c r="G6828" s="4" t="n">
        <v>8</v>
      </c>
      <c r="H6828" s="4" t="n">
        <v>4</v>
      </c>
      <c r="I6828" s="4" t="str">
        <v>×</v>
      </c>
      <c r="J6828" s="4"/>
      <c r="K6828" s="4"/>
      <c r="L6828" s="4"/>
      <c r="M6828" s="5" t="s">
        <v>4475</v>
      </c>
    </row>
    <row r="6829" customFormat="false" ht="15.75" hidden="false" customHeight="false" outlineLevel="0" collapsed="false">
      <c r="A6829" s="6" t="n">
        <v>46186</v>
      </c>
      <c r="B6829" s="4" t="s">
        <v>4172</v>
      </c>
      <c r="C6829" s="4" t="n">
        <v>12</v>
      </c>
      <c r="D6829" s="4" t="n">
        <v>6</v>
      </c>
      <c r="E6829" s="4" t="s">
        <v>5077</v>
      </c>
      <c r="F6829" s="4" t="n">
        <v>4</v>
      </c>
      <c r="G6829" s="4" t="n">
        <v>10</v>
      </c>
      <c r="H6829" s="4" t="n">
        <v>4</v>
      </c>
      <c r="I6829" s="4" t="str">
        <v>×</v>
      </c>
      <c r="J6829" s="4"/>
      <c r="K6829" s="4"/>
      <c r="L6829" s="4"/>
      <c r="M6829" s="5" t="s">
        <v>4475</v>
      </c>
    </row>
    <row r="6830" customFormat="false" ht="15.75" hidden="false" customHeight="false" outlineLevel="0" collapsed="false">
      <c r="A6830" s="6" t="n">
        <v>46186</v>
      </c>
      <c r="B6830" s="4" t="s">
        <v>4172</v>
      </c>
      <c r="C6830" s="4" t="n">
        <v>12</v>
      </c>
      <c r="D6830" s="4" t="n">
        <v>7</v>
      </c>
      <c r="E6830" s="4" t="s">
        <v>1645</v>
      </c>
      <c r="F6830" s="4" t="n">
        <v>13</v>
      </c>
      <c r="G6830" s="4" t="n">
        <v>7</v>
      </c>
      <c r="H6830" s="4" t="n">
        <v>4</v>
      </c>
      <c r="I6830" s="4" t="str">
        <v>×</v>
      </c>
      <c r="J6830" s="4"/>
      <c r="K6830" s="4"/>
      <c r="L6830" s="4"/>
      <c r="M6830" s="5" t="s">
        <v>4475</v>
      </c>
    </row>
    <row r="6831" customFormat="false" ht="15.75" hidden="false" customHeight="false" outlineLevel="0" collapsed="false">
      <c r="A6831" s="6" t="n">
        <v>46186</v>
      </c>
      <c r="B6831" s="4" t="s">
        <v>4172</v>
      </c>
      <c r="C6831" s="4" t="n">
        <v>12</v>
      </c>
      <c r="D6831" s="4" t="n">
        <v>8</v>
      </c>
      <c r="E6831" s="4" t="s">
        <v>5078</v>
      </c>
      <c r="F6831" s="4" t="n">
        <v>47</v>
      </c>
      <c r="G6831" s="4" t="n">
        <v>2</v>
      </c>
      <c r="H6831" s="4" t="n">
        <v>3</v>
      </c>
      <c r="I6831" s="4" t="str">
        <v>○</v>
      </c>
      <c r="J6831" s="4" t="n">
        <v>320</v>
      </c>
      <c r="K6831" s="4"/>
      <c r="L6831" s="4"/>
      <c r="M6831" s="5" t="s">
        <v>4475</v>
      </c>
    </row>
    <row r="6832" customFormat="false" ht="15.75" hidden="false" customHeight="false" outlineLevel="0" collapsed="false">
      <c r="A6832" s="6" t="n">
        <v>46186</v>
      </c>
      <c r="B6832" s="4" t="s">
        <v>4172</v>
      </c>
      <c r="C6832" s="4" t="n">
        <v>12</v>
      </c>
      <c r="D6832" s="4" t="n">
        <v>9</v>
      </c>
      <c r="E6832" s="4" t="s">
        <v>5079</v>
      </c>
      <c r="F6832" s="4" t="n">
        <v>8</v>
      </c>
      <c r="G6832" s="4" t="n">
        <v>9</v>
      </c>
      <c r="H6832" s="4" t="n">
        <v>4</v>
      </c>
      <c r="I6832" s="4" t="str">
        <v>×</v>
      </c>
      <c r="J6832" s="4"/>
      <c r="K6832" s="4"/>
      <c r="L6832" s="4"/>
      <c r="M6832" s="5" t="s">
        <v>4475</v>
      </c>
    </row>
    <row r="6833" customFormat="false" ht="15.75" hidden="false" customHeight="false" outlineLevel="0" collapsed="false">
      <c r="A6833" s="6" t="n">
        <v>46186</v>
      </c>
      <c r="B6833" s="4" t="s">
        <v>4172</v>
      </c>
      <c r="C6833" s="4" t="n">
        <v>12</v>
      </c>
      <c r="D6833" s="4" t="n">
        <v>10</v>
      </c>
      <c r="E6833" s="4" t="s">
        <v>3534</v>
      </c>
      <c r="F6833" s="4" t="n">
        <v>56</v>
      </c>
      <c r="G6833" s="4" t="n">
        <v>1</v>
      </c>
      <c r="H6833" s="4" t="n">
        <v>4</v>
      </c>
      <c r="I6833" s="4" t="str">
        <v>×</v>
      </c>
      <c r="J6833" s="4"/>
      <c r="K6833" s="4"/>
      <c r="L6833" s="4"/>
      <c r="M6833" s="5" t="s">
        <v>4475</v>
      </c>
    </row>
    <row r="6834" customFormat="false" ht="15.75" hidden="false" customHeight="false" outlineLevel="0" collapsed="false">
      <c r="A6834" s="6" t="n">
        <v>46186</v>
      </c>
      <c r="B6834" s="4" t="s">
        <v>4172</v>
      </c>
      <c r="C6834" s="4" t="n">
        <v>12</v>
      </c>
      <c r="D6834" s="4" t="n">
        <v>11</v>
      </c>
      <c r="E6834" s="4" t="s">
        <v>5080</v>
      </c>
      <c r="F6834" s="4" t="n">
        <v>8</v>
      </c>
      <c r="G6834" s="4" t="n">
        <v>9</v>
      </c>
      <c r="H6834" s="4" t="n">
        <v>4</v>
      </c>
      <c r="I6834" s="4" t="str">
        <v>×</v>
      </c>
      <c r="J6834" s="4"/>
      <c r="K6834" s="4"/>
      <c r="L6834" s="4"/>
      <c r="M6834" s="5" t="s">
        <v>4475</v>
      </c>
    </row>
    <row r="6835" customFormat="false" ht="15.75" hidden="false" customHeight="false" outlineLevel="0" collapsed="false">
      <c r="A6835" s="6" t="n">
        <v>46186</v>
      </c>
      <c r="B6835" s="4" t="s">
        <v>4172</v>
      </c>
      <c r="C6835" s="4" t="n">
        <v>12</v>
      </c>
      <c r="D6835" s="4" t="n">
        <v>12</v>
      </c>
      <c r="E6835" s="4" t="s">
        <v>2889</v>
      </c>
      <c r="F6835" s="4" t="n">
        <v>31</v>
      </c>
      <c r="G6835" s="4" t="n">
        <v>4</v>
      </c>
      <c r="H6835" s="4" t="n">
        <v>4</v>
      </c>
      <c r="I6835" s="4" t="str">
        <v>×</v>
      </c>
      <c r="J6835" s="4"/>
      <c r="K6835" s="4"/>
      <c r="L6835" s="4"/>
      <c r="M6835" s="5" t="s">
        <v>4475</v>
      </c>
    </row>
    <row r="6836" customFormat="false" ht="15.75" hidden="false" customHeight="false" outlineLevel="0" collapsed="false">
      <c r="A6836" s="6" t="n">
        <v>46186</v>
      </c>
      <c r="B6836" s="4" t="s">
        <v>4172</v>
      </c>
      <c r="C6836" s="4" t="n">
        <v>12</v>
      </c>
      <c r="D6836" s="4" t="n">
        <v>13</v>
      </c>
      <c r="E6836" s="4" t="s">
        <v>2891</v>
      </c>
      <c r="F6836" s="4" t="n">
        <v>8</v>
      </c>
      <c r="G6836" s="4" t="n">
        <v>9</v>
      </c>
      <c r="H6836" s="4" t="n">
        <v>2</v>
      </c>
      <c r="I6836" s="4" t="str">
        <v>○</v>
      </c>
      <c r="J6836" s="4" t="n">
        <v>2460</v>
      </c>
      <c r="K6836" s="4"/>
      <c r="L6836" s="4"/>
      <c r="M6836" s="5" t="s">
        <v>4475</v>
      </c>
    </row>
    <row r="6837" customFormat="false" ht="15.75" hidden="false" customHeight="false" outlineLevel="0" collapsed="false">
      <c r="A6837" s="6" t="n">
        <v>46186</v>
      </c>
      <c r="B6837" s="4" t="s">
        <v>4172</v>
      </c>
      <c r="C6837" s="4" t="n">
        <v>12</v>
      </c>
      <c r="D6837" s="4" t="n">
        <v>14</v>
      </c>
      <c r="E6837" s="4" t="s">
        <v>2149</v>
      </c>
      <c r="F6837" s="4" t="n">
        <v>15</v>
      </c>
      <c r="G6837" s="4" t="n">
        <v>6</v>
      </c>
      <c r="H6837" s="4" t="n">
        <v>1</v>
      </c>
      <c r="I6837" s="4" t="str">
        <v>○</v>
      </c>
      <c r="J6837" s="4" t="n">
        <v>1240</v>
      </c>
      <c r="K6837" s="4"/>
      <c r="L6837" s="4"/>
      <c r="M6837" s="5" t="s">
        <v>4475</v>
      </c>
    </row>
    <row r="6838" customFormat="false" ht="15.75" hidden="false" customHeight="false" outlineLevel="0" collapsed="false">
      <c r="A6838" s="6" t="n">
        <v>46186</v>
      </c>
      <c r="B6838" s="4" t="s">
        <v>1237</v>
      </c>
      <c r="C6838" s="4" t="n">
        <v>1</v>
      </c>
      <c r="D6838" s="4" t="n">
        <v>1</v>
      </c>
      <c r="E6838" s="4" t="s">
        <v>5081</v>
      </c>
      <c r="F6838" s="4" t="n">
        <v>4</v>
      </c>
      <c r="G6838" s="4" t="n">
        <v>10</v>
      </c>
      <c r="H6838" s="4" t="n">
        <v>4</v>
      </c>
      <c r="I6838" s="4" t="str">
        <v>×</v>
      </c>
      <c r="J6838" s="4"/>
      <c r="K6838" s="4"/>
      <c r="L6838" s="4"/>
      <c r="M6838" s="5" t="s">
        <v>4475</v>
      </c>
    </row>
    <row r="6839" customFormat="false" ht="15.75" hidden="false" customHeight="false" outlineLevel="0" collapsed="false">
      <c r="A6839" s="6" t="n">
        <v>46186</v>
      </c>
      <c r="B6839" s="4" t="s">
        <v>1237</v>
      </c>
      <c r="C6839" s="4" t="n">
        <v>1</v>
      </c>
      <c r="D6839" s="4" t="n">
        <v>2</v>
      </c>
      <c r="E6839" s="4"/>
      <c r="F6839" s="4" t="n">
        <v>10</v>
      </c>
      <c r="G6839" s="4" t="n">
        <v>8</v>
      </c>
      <c r="H6839" s="4"/>
      <c r="I6839" s="4" t="str">
        <v/>
      </c>
      <c r="J6839" s="4"/>
      <c r="K6839" s="4"/>
      <c r="L6839" s="4"/>
      <c r="M6839" s="5" t="s">
        <v>4475</v>
      </c>
    </row>
    <row r="6840" customFormat="false" ht="15.75" hidden="false" customHeight="false" outlineLevel="0" collapsed="false">
      <c r="A6840" s="6" t="n">
        <v>46186</v>
      </c>
      <c r="B6840" s="4" t="s">
        <v>1237</v>
      </c>
      <c r="C6840" s="4" t="n">
        <v>1</v>
      </c>
      <c r="D6840" s="4" t="n">
        <v>3</v>
      </c>
      <c r="E6840" s="4" t="s">
        <v>5082</v>
      </c>
      <c r="F6840" s="4" t="n">
        <v>4</v>
      </c>
      <c r="G6840" s="4" t="n">
        <v>10</v>
      </c>
      <c r="H6840" s="4" t="n">
        <v>4</v>
      </c>
      <c r="I6840" s="4" t="str">
        <v>×</v>
      </c>
      <c r="J6840" s="4"/>
      <c r="K6840" s="4"/>
      <c r="L6840" s="4"/>
      <c r="M6840" s="5" t="s">
        <v>4475</v>
      </c>
    </row>
    <row r="6841" customFormat="false" ht="15.75" hidden="false" customHeight="false" outlineLevel="0" collapsed="false">
      <c r="A6841" s="6" t="n">
        <v>46186</v>
      </c>
      <c r="B6841" s="4" t="s">
        <v>1237</v>
      </c>
      <c r="C6841" s="4" t="n">
        <v>1</v>
      </c>
      <c r="D6841" s="4" t="n">
        <v>4</v>
      </c>
      <c r="E6841" s="4" t="s">
        <v>5083</v>
      </c>
      <c r="F6841" s="4" t="n">
        <v>6</v>
      </c>
      <c r="G6841" s="4" t="n">
        <v>9</v>
      </c>
      <c r="H6841" s="4" t="n">
        <v>4</v>
      </c>
      <c r="I6841" s="4" t="str">
        <v>×</v>
      </c>
      <c r="J6841" s="4"/>
      <c r="K6841" s="4"/>
      <c r="L6841" s="4"/>
      <c r="M6841" s="5" t="s">
        <v>4475</v>
      </c>
    </row>
    <row r="6842" customFormat="false" ht="15.75" hidden="false" customHeight="false" outlineLevel="0" collapsed="false">
      <c r="A6842" s="6" t="n">
        <v>46186</v>
      </c>
      <c r="B6842" s="4" t="s">
        <v>1237</v>
      </c>
      <c r="C6842" s="4" t="n">
        <v>1</v>
      </c>
      <c r="D6842" s="4" t="n">
        <v>5</v>
      </c>
      <c r="E6842" s="4" t="s">
        <v>1729</v>
      </c>
      <c r="F6842" s="4" t="n">
        <v>50</v>
      </c>
      <c r="G6842" s="4" t="n">
        <v>1</v>
      </c>
      <c r="H6842" s="4" t="n">
        <v>4</v>
      </c>
      <c r="I6842" s="4" t="str">
        <v>×</v>
      </c>
      <c r="J6842" s="4"/>
      <c r="K6842" s="4"/>
      <c r="L6842" s="4"/>
      <c r="M6842" s="5" t="s">
        <v>4475</v>
      </c>
    </row>
    <row r="6843" customFormat="false" ht="15.75" hidden="false" customHeight="false" outlineLevel="0" collapsed="false">
      <c r="A6843" s="6" t="n">
        <v>46186</v>
      </c>
      <c r="B6843" s="4" t="s">
        <v>1237</v>
      </c>
      <c r="C6843" s="4" t="n">
        <v>1</v>
      </c>
      <c r="D6843" s="4" t="n">
        <v>6</v>
      </c>
      <c r="E6843" s="4" t="s">
        <v>1777</v>
      </c>
      <c r="F6843" s="4" t="n">
        <v>47</v>
      </c>
      <c r="G6843" s="4" t="n">
        <v>2</v>
      </c>
      <c r="H6843" s="4" t="n">
        <v>4</v>
      </c>
      <c r="I6843" s="4" t="str">
        <v>×</v>
      </c>
      <c r="J6843" s="4"/>
      <c r="K6843" s="4"/>
      <c r="L6843" s="4"/>
      <c r="M6843" s="5" t="s">
        <v>4475</v>
      </c>
    </row>
    <row r="6844" customFormat="false" ht="15.75" hidden="false" customHeight="false" outlineLevel="0" collapsed="false">
      <c r="A6844" s="6" t="n">
        <v>46186</v>
      </c>
      <c r="B6844" s="4" t="s">
        <v>1237</v>
      </c>
      <c r="C6844" s="4" t="n">
        <v>1</v>
      </c>
      <c r="D6844" s="4" t="n">
        <v>7</v>
      </c>
      <c r="E6844" s="4" t="s">
        <v>2195</v>
      </c>
      <c r="F6844" s="4" t="n">
        <v>29</v>
      </c>
      <c r="G6844" s="4" t="n">
        <v>4</v>
      </c>
      <c r="H6844" s="4" t="n">
        <v>2</v>
      </c>
      <c r="I6844" s="4" t="str">
        <v>○</v>
      </c>
      <c r="J6844" s="4" t="n">
        <v>310</v>
      </c>
      <c r="K6844" s="4"/>
      <c r="L6844" s="4"/>
      <c r="M6844" s="5" t="s">
        <v>4475</v>
      </c>
    </row>
    <row r="6845" customFormat="false" ht="15.75" hidden="false" customHeight="false" outlineLevel="0" collapsed="false">
      <c r="A6845" s="6" t="n">
        <v>46186</v>
      </c>
      <c r="B6845" s="4" t="s">
        <v>1237</v>
      </c>
      <c r="C6845" s="4" t="n">
        <v>1</v>
      </c>
      <c r="D6845" s="4" t="n">
        <v>8</v>
      </c>
      <c r="E6845" s="4" t="s">
        <v>4116</v>
      </c>
      <c r="F6845" s="4" t="n">
        <v>6</v>
      </c>
      <c r="G6845" s="4" t="n">
        <v>9</v>
      </c>
      <c r="H6845" s="4" t="n">
        <v>4</v>
      </c>
      <c r="I6845" s="4" t="str">
        <v>×</v>
      </c>
      <c r="J6845" s="4"/>
      <c r="K6845" s="4"/>
      <c r="L6845" s="4"/>
      <c r="M6845" s="5" t="s">
        <v>4475</v>
      </c>
    </row>
    <row r="6846" customFormat="false" ht="15.75" hidden="false" customHeight="false" outlineLevel="0" collapsed="false">
      <c r="A6846" s="6" t="n">
        <v>46186</v>
      </c>
      <c r="B6846" s="4" t="s">
        <v>1237</v>
      </c>
      <c r="C6846" s="4" t="n">
        <v>1</v>
      </c>
      <c r="D6846" s="4" t="n">
        <v>9</v>
      </c>
      <c r="E6846" s="4" t="s">
        <v>4115</v>
      </c>
      <c r="F6846" s="4" t="n">
        <v>41</v>
      </c>
      <c r="G6846" s="4" t="n">
        <v>3</v>
      </c>
      <c r="H6846" s="4" t="n">
        <v>4</v>
      </c>
      <c r="I6846" s="4" t="str">
        <v>×</v>
      </c>
      <c r="J6846" s="4"/>
      <c r="K6846" s="4"/>
      <c r="L6846" s="4"/>
      <c r="M6846" s="5" t="s">
        <v>4475</v>
      </c>
    </row>
    <row r="6847" customFormat="false" ht="15.75" hidden="false" customHeight="false" outlineLevel="0" collapsed="false">
      <c r="A6847" s="6" t="n">
        <v>46186</v>
      </c>
      <c r="B6847" s="4" t="s">
        <v>1237</v>
      </c>
      <c r="C6847" s="4" t="n">
        <v>1</v>
      </c>
      <c r="D6847" s="4" t="n">
        <v>10</v>
      </c>
      <c r="E6847" s="4" t="s">
        <v>3532</v>
      </c>
      <c r="F6847" s="4" t="n">
        <v>13</v>
      </c>
      <c r="G6847" s="4" t="n">
        <v>7</v>
      </c>
      <c r="H6847" s="4" t="n">
        <v>1</v>
      </c>
      <c r="I6847" s="4" t="str">
        <v>○</v>
      </c>
      <c r="J6847" s="4" t="n">
        <v>620</v>
      </c>
      <c r="K6847" s="4"/>
      <c r="L6847" s="4"/>
      <c r="M6847" s="5" t="s">
        <v>4475</v>
      </c>
    </row>
    <row r="6848" customFormat="false" ht="15.75" hidden="false" customHeight="false" outlineLevel="0" collapsed="false">
      <c r="A6848" s="6" t="n">
        <v>46186</v>
      </c>
      <c r="B6848" s="4" t="s">
        <v>1237</v>
      </c>
      <c r="C6848" s="4" t="n">
        <v>1</v>
      </c>
      <c r="D6848" s="4" t="n">
        <v>11</v>
      </c>
      <c r="E6848" s="4" t="s">
        <v>2612</v>
      </c>
      <c r="F6848" s="4" t="n">
        <v>20</v>
      </c>
      <c r="G6848" s="4" t="n">
        <v>6</v>
      </c>
      <c r="H6848" s="4" t="n">
        <v>4</v>
      </c>
      <c r="I6848" s="4" t="str">
        <v>×</v>
      </c>
      <c r="J6848" s="4"/>
      <c r="K6848" s="4"/>
      <c r="L6848" s="4"/>
      <c r="M6848" s="5" t="s">
        <v>4475</v>
      </c>
    </row>
    <row r="6849" customFormat="false" ht="15.75" hidden="false" customHeight="false" outlineLevel="0" collapsed="false">
      <c r="A6849" s="6" t="n">
        <v>46186</v>
      </c>
      <c r="B6849" s="4" t="s">
        <v>1237</v>
      </c>
      <c r="C6849" s="4" t="n">
        <v>1</v>
      </c>
      <c r="D6849" s="4" t="n">
        <v>12</v>
      </c>
      <c r="E6849" s="4" t="s">
        <v>1726</v>
      </c>
      <c r="F6849" s="4" t="n">
        <v>4</v>
      </c>
      <c r="G6849" s="4" t="n">
        <v>10</v>
      </c>
      <c r="H6849" s="4" t="n">
        <v>4</v>
      </c>
      <c r="I6849" s="4" t="str">
        <v>×</v>
      </c>
      <c r="J6849" s="4"/>
      <c r="K6849" s="4"/>
      <c r="L6849" s="4"/>
      <c r="M6849" s="5" t="s">
        <v>4475</v>
      </c>
    </row>
    <row r="6850" customFormat="false" ht="15.75" hidden="false" customHeight="false" outlineLevel="0" collapsed="false">
      <c r="A6850" s="6" t="n">
        <v>46186</v>
      </c>
      <c r="B6850" s="4" t="s">
        <v>1237</v>
      </c>
      <c r="C6850" s="4" t="n">
        <v>1</v>
      </c>
      <c r="D6850" s="4" t="n">
        <v>13</v>
      </c>
      <c r="E6850" s="4" t="s">
        <v>1284</v>
      </c>
      <c r="F6850" s="4" t="n">
        <v>10</v>
      </c>
      <c r="G6850" s="4" t="n">
        <v>8</v>
      </c>
      <c r="H6850" s="4" t="n">
        <v>4</v>
      </c>
      <c r="I6850" s="4" t="str">
        <v>×</v>
      </c>
      <c r="J6850" s="4"/>
      <c r="K6850" s="4"/>
      <c r="L6850" s="4"/>
      <c r="M6850" s="5" t="s">
        <v>4475</v>
      </c>
    </row>
    <row r="6851" customFormat="false" ht="15.75" hidden="false" customHeight="false" outlineLevel="0" collapsed="false">
      <c r="A6851" s="6" t="n">
        <v>46186</v>
      </c>
      <c r="B6851" s="4" t="s">
        <v>1237</v>
      </c>
      <c r="C6851" s="4" t="n">
        <v>1</v>
      </c>
      <c r="D6851" s="4" t="n">
        <v>14</v>
      </c>
      <c r="E6851" s="4" t="s">
        <v>5084</v>
      </c>
      <c r="F6851" s="4" t="n">
        <v>10</v>
      </c>
      <c r="G6851" s="4" t="n">
        <v>8</v>
      </c>
      <c r="H6851" s="4" t="n">
        <v>4</v>
      </c>
      <c r="I6851" s="4" t="str">
        <v>×</v>
      </c>
      <c r="J6851" s="4"/>
      <c r="K6851" s="4"/>
      <c r="L6851" s="4"/>
      <c r="M6851" s="5" t="s">
        <v>4475</v>
      </c>
    </row>
    <row r="6852" customFormat="false" ht="15.75" hidden="false" customHeight="false" outlineLevel="0" collapsed="false">
      <c r="A6852" s="6" t="n">
        <v>46186</v>
      </c>
      <c r="B6852" s="4" t="s">
        <v>1237</v>
      </c>
      <c r="C6852" s="4" t="n">
        <v>1</v>
      </c>
      <c r="D6852" s="4" t="n">
        <v>15</v>
      </c>
      <c r="E6852" s="4" t="s">
        <v>1303</v>
      </c>
      <c r="F6852" s="4" t="n">
        <v>20</v>
      </c>
      <c r="G6852" s="4" t="n">
        <v>6</v>
      </c>
      <c r="H6852" s="4" t="n">
        <v>3</v>
      </c>
      <c r="I6852" s="4" t="str">
        <v>○</v>
      </c>
      <c r="J6852" s="4" t="n">
        <v>320</v>
      </c>
      <c r="K6852" s="4"/>
      <c r="L6852" s="4"/>
      <c r="M6852" s="5" t="s">
        <v>4475</v>
      </c>
    </row>
    <row r="6853" customFormat="false" ht="15.75" hidden="false" customHeight="false" outlineLevel="0" collapsed="false">
      <c r="A6853" s="6" t="n">
        <v>46186</v>
      </c>
      <c r="B6853" s="4" t="s">
        <v>1237</v>
      </c>
      <c r="C6853" s="4" t="n">
        <v>1</v>
      </c>
      <c r="D6853" s="4" t="n">
        <v>16</v>
      </c>
      <c r="E6853" s="4" t="s">
        <v>811</v>
      </c>
      <c r="F6853" s="4" t="n">
        <v>23</v>
      </c>
      <c r="G6853" s="4" t="n">
        <v>5</v>
      </c>
      <c r="H6853" s="4" t="n">
        <v>4</v>
      </c>
      <c r="I6853" s="4" t="str">
        <v>×</v>
      </c>
      <c r="J6853" s="4"/>
      <c r="K6853" s="4"/>
      <c r="L6853" s="4"/>
      <c r="M6853" s="5" t="s">
        <v>4475</v>
      </c>
    </row>
    <row r="6854" customFormat="false" ht="15.75" hidden="false" customHeight="false" outlineLevel="0" collapsed="false">
      <c r="A6854" s="6" t="n">
        <v>46186</v>
      </c>
      <c r="B6854" s="4" t="s">
        <v>1237</v>
      </c>
      <c r="C6854" s="4" t="n">
        <v>2</v>
      </c>
      <c r="D6854" s="4" t="n">
        <v>1</v>
      </c>
      <c r="E6854" s="4" t="s">
        <v>2182</v>
      </c>
      <c r="F6854" s="4" t="n">
        <v>15</v>
      </c>
      <c r="G6854" s="4" t="n">
        <v>6</v>
      </c>
      <c r="H6854" s="4" t="n">
        <v>4</v>
      </c>
      <c r="I6854" s="4" t="str">
        <v>×</v>
      </c>
      <c r="J6854" s="4"/>
      <c r="K6854" s="4"/>
      <c r="L6854" s="4"/>
      <c r="M6854" s="5" t="s">
        <v>4475</v>
      </c>
    </row>
    <row r="6855" customFormat="false" ht="15.75" hidden="false" customHeight="false" outlineLevel="0" collapsed="false">
      <c r="A6855" s="6" t="n">
        <v>46186</v>
      </c>
      <c r="B6855" s="4" t="s">
        <v>1237</v>
      </c>
      <c r="C6855" s="4" t="n">
        <v>2</v>
      </c>
      <c r="D6855" s="4" t="n">
        <v>2</v>
      </c>
      <c r="E6855" s="4" t="s">
        <v>1288</v>
      </c>
      <c r="F6855" s="4" t="n">
        <v>31</v>
      </c>
      <c r="G6855" s="4" t="n">
        <v>3</v>
      </c>
      <c r="H6855" s="4" t="n">
        <v>4</v>
      </c>
      <c r="I6855" s="4" t="str">
        <v>×</v>
      </c>
      <c r="J6855" s="4"/>
      <c r="K6855" s="4"/>
      <c r="L6855" s="4"/>
      <c r="M6855" s="5" t="s">
        <v>4475</v>
      </c>
    </row>
    <row r="6856" customFormat="false" ht="15.75" hidden="false" customHeight="false" outlineLevel="0" collapsed="false">
      <c r="A6856" s="6" t="n">
        <v>46186</v>
      </c>
      <c r="B6856" s="4" t="s">
        <v>1237</v>
      </c>
      <c r="C6856" s="4" t="n">
        <v>2</v>
      </c>
      <c r="D6856" s="4" t="n">
        <v>3</v>
      </c>
      <c r="E6856" s="4" t="s">
        <v>5085</v>
      </c>
      <c r="F6856" s="4" t="n">
        <v>8</v>
      </c>
      <c r="G6856" s="4" t="n">
        <v>7</v>
      </c>
      <c r="H6856" s="4" t="n">
        <v>4</v>
      </c>
      <c r="I6856" s="4" t="str">
        <v>×</v>
      </c>
      <c r="J6856" s="4"/>
      <c r="K6856" s="4"/>
      <c r="L6856" s="4"/>
      <c r="M6856" s="5" t="s">
        <v>4475</v>
      </c>
    </row>
    <row r="6857" customFormat="false" ht="15.75" hidden="false" customHeight="false" outlineLevel="0" collapsed="false">
      <c r="A6857" s="6" t="n">
        <v>46186</v>
      </c>
      <c r="B6857" s="4" t="s">
        <v>1237</v>
      </c>
      <c r="C6857" s="4" t="n">
        <v>2</v>
      </c>
      <c r="D6857" s="4" t="n">
        <v>4</v>
      </c>
      <c r="E6857" s="4" t="s">
        <v>1747</v>
      </c>
      <c r="F6857" s="4" t="n">
        <v>31</v>
      </c>
      <c r="G6857" s="4" t="n">
        <v>3</v>
      </c>
      <c r="H6857" s="4" t="n">
        <v>4</v>
      </c>
      <c r="I6857" s="4" t="str">
        <v>×</v>
      </c>
      <c r="J6857" s="4"/>
      <c r="K6857" s="4"/>
      <c r="L6857" s="4"/>
      <c r="M6857" s="5" t="s">
        <v>4475</v>
      </c>
    </row>
    <row r="6858" customFormat="false" ht="15.75" hidden="false" customHeight="false" outlineLevel="0" collapsed="false">
      <c r="A6858" s="6" t="n">
        <v>46186</v>
      </c>
      <c r="B6858" s="4" t="s">
        <v>1237</v>
      </c>
      <c r="C6858" s="4" t="n">
        <v>2</v>
      </c>
      <c r="D6858" s="4" t="n">
        <v>5</v>
      </c>
      <c r="E6858" s="4" t="s">
        <v>1745</v>
      </c>
      <c r="F6858" s="4" t="n">
        <v>8</v>
      </c>
      <c r="G6858" s="4" t="n">
        <v>7</v>
      </c>
      <c r="H6858" s="4" t="n">
        <v>4</v>
      </c>
      <c r="I6858" s="4" t="str">
        <v>×</v>
      </c>
      <c r="J6858" s="4"/>
      <c r="K6858" s="4"/>
      <c r="L6858" s="4"/>
      <c r="M6858" s="5" t="s">
        <v>4475</v>
      </c>
    </row>
    <row r="6859" customFormat="false" ht="15.75" hidden="false" customHeight="false" outlineLevel="0" collapsed="false">
      <c r="A6859" s="6" t="n">
        <v>46186</v>
      </c>
      <c r="B6859" s="4" t="s">
        <v>1237</v>
      </c>
      <c r="C6859" s="4" t="n">
        <v>2</v>
      </c>
      <c r="D6859" s="4" t="n">
        <v>6</v>
      </c>
      <c r="E6859" s="4" t="s">
        <v>393</v>
      </c>
      <c r="F6859" s="4" t="n">
        <v>17</v>
      </c>
      <c r="G6859" s="4" t="n">
        <v>5</v>
      </c>
      <c r="H6859" s="4" t="n">
        <v>4</v>
      </c>
      <c r="I6859" s="4" t="str">
        <v>×</v>
      </c>
      <c r="J6859" s="4"/>
      <c r="K6859" s="4"/>
      <c r="L6859" s="4"/>
      <c r="M6859" s="5" t="s">
        <v>4475</v>
      </c>
    </row>
    <row r="6860" customFormat="false" ht="15.75" hidden="false" customHeight="false" outlineLevel="0" collapsed="false">
      <c r="A6860" s="6" t="n">
        <v>46186</v>
      </c>
      <c r="B6860" s="4" t="s">
        <v>1237</v>
      </c>
      <c r="C6860" s="4" t="n">
        <v>2</v>
      </c>
      <c r="D6860" s="4" t="n">
        <v>7</v>
      </c>
      <c r="E6860" s="4" t="s">
        <v>1798</v>
      </c>
      <c r="F6860" s="4" t="n">
        <v>50</v>
      </c>
      <c r="G6860" s="4" t="n">
        <v>2</v>
      </c>
      <c r="H6860" s="4" t="n">
        <v>1</v>
      </c>
      <c r="I6860" s="4" t="str">
        <v>○</v>
      </c>
      <c r="J6860" s="4" t="n">
        <v>180</v>
      </c>
      <c r="K6860" s="4"/>
      <c r="L6860" s="4"/>
      <c r="M6860" s="5" t="s">
        <v>4475</v>
      </c>
    </row>
    <row r="6861" customFormat="false" ht="15.75" hidden="false" customHeight="false" outlineLevel="0" collapsed="false">
      <c r="A6861" s="6" t="n">
        <v>46186</v>
      </c>
      <c r="B6861" s="4" t="s">
        <v>1237</v>
      </c>
      <c r="C6861" s="4" t="n">
        <v>2</v>
      </c>
      <c r="D6861" s="4" t="n">
        <v>8</v>
      </c>
      <c r="E6861" s="4" t="s">
        <v>2582</v>
      </c>
      <c r="F6861" s="4" t="n">
        <v>2</v>
      </c>
      <c r="G6861" s="4" t="n">
        <v>10</v>
      </c>
      <c r="H6861" s="4" t="n">
        <v>4</v>
      </c>
      <c r="I6861" s="4" t="str">
        <v>×</v>
      </c>
      <c r="J6861" s="4"/>
      <c r="K6861" s="4"/>
      <c r="L6861" s="4"/>
      <c r="M6861" s="5" t="s">
        <v>4475</v>
      </c>
    </row>
    <row r="6862" customFormat="false" ht="15.75" hidden="false" customHeight="false" outlineLevel="0" collapsed="false">
      <c r="A6862" s="6" t="n">
        <v>46186</v>
      </c>
      <c r="B6862" s="4" t="s">
        <v>1237</v>
      </c>
      <c r="C6862" s="4" t="n">
        <v>2</v>
      </c>
      <c r="D6862" s="4" t="n">
        <v>9</v>
      </c>
      <c r="E6862" s="4" t="s">
        <v>5086</v>
      </c>
      <c r="F6862" s="4" t="n">
        <v>2</v>
      </c>
      <c r="G6862" s="4" t="n">
        <v>10</v>
      </c>
      <c r="H6862" s="4" t="n">
        <v>4</v>
      </c>
      <c r="I6862" s="4" t="str">
        <v>×</v>
      </c>
      <c r="J6862" s="4"/>
      <c r="K6862" s="4"/>
      <c r="L6862" s="4"/>
      <c r="M6862" s="5" t="s">
        <v>4475</v>
      </c>
    </row>
    <row r="6863" customFormat="false" ht="15.75" hidden="false" customHeight="false" outlineLevel="0" collapsed="false">
      <c r="A6863" s="6" t="n">
        <v>46186</v>
      </c>
      <c r="B6863" s="4" t="s">
        <v>1237</v>
      </c>
      <c r="C6863" s="4" t="n">
        <v>2</v>
      </c>
      <c r="D6863" s="4" t="n">
        <v>10</v>
      </c>
      <c r="E6863" s="4" t="s">
        <v>3505</v>
      </c>
      <c r="F6863" s="4" t="n">
        <v>60</v>
      </c>
      <c r="G6863" s="4" t="n">
        <v>1</v>
      </c>
      <c r="H6863" s="4" t="n">
        <v>3</v>
      </c>
      <c r="I6863" s="4" t="str">
        <v>○</v>
      </c>
      <c r="J6863" s="4" t="n">
        <v>150</v>
      </c>
      <c r="K6863" s="4"/>
      <c r="L6863" s="4"/>
      <c r="M6863" s="5" t="s">
        <v>4475</v>
      </c>
    </row>
    <row r="6864" customFormat="false" ht="15.75" hidden="false" customHeight="false" outlineLevel="0" collapsed="false">
      <c r="A6864" s="6" t="n">
        <v>46186</v>
      </c>
      <c r="B6864" s="4" t="s">
        <v>1237</v>
      </c>
      <c r="C6864" s="4" t="n">
        <v>2</v>
      </c>
      <c r="D6864" s="4" t="n">
        <v>11</v>
      </c>
      <c r="E6864" s="4" t="s">
        <v>826</v>
      </c>
      <c r="F6864" s="4" t="n">
        <v>15</v>
      </c>
      <c r="G6864" s="4" t="n">
        <v>6</v>
      </c>
      <c r="H6864" s="4" t="n">
        <v>2</v>
      </c>
      <c r="I6864" s="4" t="str">
        <v>○</v>
      </c>
      <c r="J6864" s="4" t="n">
        <v>540</v>
      </c>
      <c r="K6864" s="4"/>
      <c r="L6864" s="4"/>
      <c r="M6864" s="5" t="s">
        <v>4475</v>
      </c>
    </row>
    <row r="6865" customFormat="false" ht="15.75" hidden="false" customHeight="false" outlineLevel="0" collapsed="false">
      <c r="A6865" s="6" t="n">
        <v>46186</v>
      </c>
      <c r="B6865" s="4" t="s">
        <v>1237</v>
      </c>
      <c r="C6865" s="4" t="n">
        <v>2</v>
      </c>
      <c r="D6865" s="4" t="n">
        <v>12</v>
      </c>
      <c r="E6865" s="4" t="s">
        <v>1280</v>
      </c>
      <c r="F6865" s="4" t="n">
        <v>6</v>
      </c>
      <c r="G6865" s="4" t="n">
        <v>8</v>
      </c>
      <c r="H6865" s="4" t="n">
        <v>4</v>
      </c>
      <c r="I6865" s="4" t="str">
        <v>×</v>
      </c>
      <c r="J6865" s="4"/>
      <c r="K6865" s="4"/>
      <c r="L6865" s="4"/>
      <c r="M6865" s="5" t="s">
        <v>4475</v>
      </c>
    </row>
    <row r="6866" customFormat="false" ht="15.75" hidden="false" customHeight="false" outlineLevel="0" collapsed="false">
      <c r="A6866" s="6" t="n">
        <v>46186</v>
      </c>
      <c r="B6866" s="4" t="s">
        <v>1237</v>
      </c>
      <c r="C6866" s="4" t="n">
        <v>2</v>
      </c>
      <c r="D6866" s="4" t="n">
        <v>13</v>
      </c>
      <c r="E6866" s="4" t="s">
        <v>1801</v>
      </c>
      <c r="F6866" s="4" t="n">
        <v>25</v>
      </c>
      <c r="G6866" s="4" t="n">
        <v>4</v>
      </c>
      <c r="H6866" s="4" t="n">
        <v>4</v>
      </c>
      <c r="I6866" s="4" t="str">
        <v>×</v>
      </c>
      <c r="J6866" s="4"/>
      <c r="K6866" s="4"/>
      <c r="L6866" s="4"/>
      <c r="M6866" s="5" t="s">
        <v>4475</v>
      </c>
    </row>
    <row r="6867" customFormat="false" ht="15.75" hidden="false" customHeight="false" outlineLevel="0" collapsed="false">
      <c r="A6867" s="6" t="n">
        <v>46186</v>
      </c>
      <c r="B6867" s="4" t="s">
        <v>1237</v>
      </c>
      <c r="C6867" s="4" t="n">
        <v>2</v>
      </c>
      <c r="D6867" s="4" t="n">
        <v>14</v>
      </c>
      <c r="E6867" s="4" t="s">
        <v>2933</v>
      </c>
      <c r="F6867" s="4" t="n">
        <v>3</v>
      </c>
      <c r="G6867" s="4" t="n">
        <v>9</v>
      </c>
      <c r="H6867" s="4" t="n">
        <v>4</v>
      </c>
      <c r="I6867" s="4" t="str">
        <v>×</v>
      </c>
      <c r="J6867" s="4"/>
      <c r="K6867" s="4"/>
      <c r="L6867" s="4"/>
      <c r="M6867" s="5" t="s">
        <v>4475</v>
      </c>
    </row>
    <row r="6868" customFormat="false" ht="15.75" hidden="false" customHeight="false" outlineLevel="0" collapsed="false">
      <c r="A6868" s="6" t="n">
        <v>46186</v>
      </c>
      <c r="B6868" s="4" t="s">
        <v>1237</v>
      </c>
      <c r="C6868" s="4" t="n">
        <v>3</v>
      </c>
      <c r="D6868" s="4" t="n">
        <v>1</v>
      </c>
      <c r="E6868" s="4" t="s">
        <v>2560</v>
      </c>
      <c r="F6868" s="4" t="n">
        <v>37</v>
      </c>
      <c r="G6868" s="4" t="n">
        <v>3</v>
      </c>
      <c r="H6868" s="4" t="n">
        <v>3</v>
      </c>
      <c r="I6868" s="4" t="str">
        <v>○</v>
      </c>
      <c r="J6868" s="4" t="n">
        <v>210</v>
      </c>
      <c r="K6868" s="4"/>
      <c r="L6868" s="4"/>
      <c r="M6868" s="5" t="s">
        <v>4475</v>
      </c>
    </row>
    <row r="6869" customFormat="false" ht="15.75" hidden="false" customHeight="false" outlineLevel="0" collapsed="false">
      <c r="A6869" s="6" t="n">
        <v>46186</v>
      </c>
      <c r="B6869" s="4" t="s">
        <v>1237</v>
      </c>
      <c r="C6869" s="4" t="n">
        <v>3</v>
      </c>
      <c r="D6869" s="4" t="n">
        <v>2</v>
      </c>
      <c r="E6869" s="4" t="s">
        <v>5087</v>
      </c>
      <c r="F6869" s="4" t="n">
        <v>15</v>
      </c>
      <c r="G6869" s="4" t="n">
        <v>7</v>
      </c>
      <c r="H6869" s="4" t="n">
        <v>4</v>
      </c>
      <c r="I6869" s="4" t="str">
        <v>×</v>
      </c>
      <c r="J6869" s="4"/>
      <c r="K6869" s="4"/>
      <c r="L6869" s="4"/>
      <c r="M6869" s="5" t="s">
        <v>4475</v>
      </c>
    </row>
    <row r="6870" customFormat="false" ht="15.75" hidden="false" customHeight="false" outlineLevel="0" collapsed="false">
      <c r="A6870" s="6" t="n">
        <v>46186</v>
      </c>
      <c r="B6870" s="4" t="s">
        <v>1237</v>
      </c>
      <c r="C6870" s="4" t="n">
        <v>3</v>
      </c>
      <c r="D6870" s="4" t="n">
        <v>3</v>
      </c>
      <c r="E6870" s="4" t="s">
        <v>2614</v>
      </c>
      <c r="F6870" s="4" t="n">
        <v>17</v>
      </c>
      <c r="G6870" s="4" t="n">
        <v>6</v>
      </c>
      <c r="H6870" s="4" t="n">
        <v>4</v>
      </c>
      <c r="I6870" s="4" t="str">
        <v>×</v>
      </c>
      <c r="J6870" s="4"/>
      <c r="K6870" s="4"/>
      <c r="L6870" s="4"/>
      <c r="M6870" s="5" t="s">
        <v>4475</v>
      </c>
    </row>
    <row r="6871" customFormat="false" ht="15.75" hidden="false" customHeight="false" outlineLevel="0" collapsed="false">
      <c r="A6871" s="6" t="n">
        <v>46186</v>
      </c>
      <c r="B6871" s="4" t="s">
        <v>1237</v>
      </c>
      <c r="C6871" s="4" t="n">
        <v>3</v>
      </c>
      <c r="D6871" s="4" t="n">
        <v>4</v>
      </c>
      <c r="E6871" s="4" t="s">
        <v>5088</v>
      </c>
      <c r="F6871" s="4" t="n">
        <v>47</v>
      </c>
      <c r="G6871" s="4" t="n">
        <v>2</v>
      </c>
      <c r="H6871" s="4" t="n">
        <v>4</v>
      </c>
      <c r="I6871" s="4" t="str">
        <v>×</v>
      </c>
      <c r="J6871" s="4"/>
      <c r="K6871" s="4"/>
      <c r="L6871" s="4"/>
      <c r="M6871" s="5" t="s">
        <v>4475</v>
      </c>
    </row>
    <row r="6872" customFormat="false" ht="15.75" hidden="false" customHeight="false" outlineLevel="0" collapsed="false">
      <c r="A6872" s="6" t="n">
        <v>46186</v>
      </c>
      <c r="B6872" s="4" t="s">
        <v>1237</v>
      </c>
      <c r="C6872" s="4" t="n">
        <v>3</v>
      </c>
      <c r="D6872" s="4" t="n">
        <v>5</v>
      </c>
      <c r="E6872" s="4" t="s">
        <v>812</v>
      </c>
      <c r="F6872" s="4" t="n">
        <v>2</v>
      </c>
      <c r="G6872" s="4" t="n">
        <v>10</v>
      </c>
      <c r="H6872" s="4" t="n">
        <v>4</v>
      </c>
      <c r="I6872" s="4" t="str">
        <v>×</v>
      </c>
      <c r="J6872" s="4"/>
      <c r="K6872" s="4"/>
      <c r="L6872" s="4"/>
      <c r="M6872" s="5" t="s">
        <v>4475</v>
      </c>
    </row>
    <row r="6873" customFormat="false" ht="15.75" hidden="false" customHeight="false" outlineLevel="0" collapsed="false">
      <c r="A6873" s="6" t="n">
        <v>46186</v>
      </c>
      <c r="B6873" s="4" t="s">
        <v>1237</v>
      </c>
      <c r="C6873" s="4" t="n">
        <v>3</v>
      </c>
      <c r="D6873" s="4" t="n">
        <v>6</v>
      </c>
      <c r="E6873" s="4" t="s">
        <v>2652</v>
      </c>
      <c r="F6873" s="4" t="n">
        <v>4</v>
      </c>
      <c r="G6873" s="4" t="n">
        <v>9</v>
      </c>
      <c r="H6873" s="4" t="n">
        <v>1</v>
      </c>
      <c r="I6873" s="4" t="str">
        <v>○</v>
      </c>
      <c r="J6873" s="4" t="n">
        <v>300</v>
      </c>
      <c r="K6873" s="4"/>
      <c r="L6873" s="4"/>
      <c r="M6873" s="5" t="s">
        <v>4475</v>
      </c>
    </row>
    <row r="6874" customFormat="false" ht="15.75" hidden="false" customHeight="false" outlineLevel="0" collapsed="false">
      <c r="A6874" s="6" t="n">
        <v>46186</v>
      </c>
      <c r="B6874" s="4" t="s">
        <v>1237</v>
      </c>
      <c r="C6874" s="4" t="n">
        <v>3</v>
      </c>
      <c r="D6874" s="4" t="n">
        <v>7</v>
      </c>
      <c r="E6874" s="4" t="s">
        <v>5089</v>
      </c>
      <c r="F6874" s="4" t="n">
        <v>6</v>
      </c>
      <c r="G6874" s="4" t="n">
        <v>8</v>
      </c>
      <c r="H6874" s="4" t="n">
        <v>4</v>
      </c>
      <c r="I6874" s="4" t="str">
        <v>×</v>
      </c>
      <c r="J6874" s="4"/>
      <c r="K6874" s="4"/>
      <c r="L6874" s="4"/>
      <c r="M6874" s="5" t="s">
        <v>4475</v>
      </c>
    </row>
    <row r="6875" customFormat="false" ht="15.75" hidden="false" customHeight="false" outlineLevel="0" collapsed="false">
      <c r="A6875" s="6" t="n">
        <v>46186</v>
      </c>
      <c r="B6875" s="4" t="s">
        <v>1237</v>
      </c>
      <c r="C6875" s="4" t="n">
        <v>3</v>
      </c>
      <c r="D6875" s="4" t="n">
        <v>8</v>
      </c>
      <c r="E6875" s="4" t="s">
        <v>1250</v>
      </c>
      <c r="F6875" s="4" t="n">
        <v>31</v>
      </c>
      <c r="G6875" s="4" t="n">
        <v>4</v>
      </c>
      <c r="H6875" s="4" t="n">
        <v>4</v>
      </c>
      <c r="I6875" s="4" t="str">
        <v>×</v>
      </c>
      <c r="J6875" s="4"/>
      <c r="K6875" s="4"/>
      <c r="L6875" s="4"/>
      <c r="M6875" s="5" t="s">
        <v>4475</v>
      </c>
    </row>
    <row r="6876" customFormat="false" ht="15.75" hidden="false" customHeight="false" outlineLevel="0" collapsed="false">
      <c r="A6876" s="6" t="n">
        <v>46186</v>
      </c>
      <c r="B6876" s="4" t="s">
        <v>1237</v>
      </c>
      <c r="C6876" s="4" t="n">
        <v>3</v>
      </c>
      <c r="D6876" s="4" t="n">
        <v>9</v>
      </c>
      <c r="E6876" s="4" t="s">
        <v>2561</v>
      </c>
      <c r="F6876" s="4" t="n">
        <v>66</v>
      </c>
      <c r="G6876" s="4" t="n">
        <v>1</v>
      </c>
      <c r="H6876" s="4" t="n">
        <v>4</v>
      </c>
      <c r="I6876" s="4" t="str">
        <v>×</v>
      </c>
      <c r="J6876" s="4"/>
      <c r="K6876" s="4"/>
      <c r="L6876" s="4"/>
      <c r="M6876" s="5" t="s">
        <v>4475</v>
      </c>
    </row>
    <row r="6877" customFormat="false" ht="15.75" hidden="false" customHeight="false" outlineLevel="0" collapsed="false">
      <c r="A6877" s="6" t="n">
        <v>46186</v>
      </c>
      <c r="B6877" s="4" t="s">
        <v>1237</v>
      </c>
      <c r="C6877" s="4" t="n">
        <v>3</v>
      </c>
      <c r="D6877" s="4" t="n">
        <v>10</v>
      </c>
      <c r="E6877" s="4" t="s">
        <v>1809</v>
      </c>
      <c r="F6877" s="4" t="n">
        <v>23</v>
      </c>
      <c r="G6877" s="4" t="n">
        <v>5</v>
      </c>
      <c r="H6877" s="4" t="n">
        <v>2</v>
      </c>
      <c r="I6877" s="4" t="str">
        <v>○</v>
      </c>
      <c r="J6877" s="4" t="n">
        <v>240</v>
      </c>
      <c r="K6877" s="4"/>
      <c r="L6877" s="4"/>
      <c r="M6877" s="5" t="s">
        <v>4475</v>
      </c>
    </row>
    <row r="6878" customFormat="false" ht="15.75" hidden="false" customHeight="false" outlineLevel="0" collapsed="false">
      <c r="A6878" s="6" t="n">
        <v>46186</v>
      </c>
      <c r="B6878" s="4" t="s">
        <v>1237</v>
      </c>
      <c r="C6878" s="4" t="n">
        <v>3</v>
      </c>
      <c r="D6878" s="4" t="n">
        <v>11</v>
      </c>
      <c r="E6878" s="4" t="s">
        <v>830</v>
      </c>
      <c r="F6878" s="4" t="n">
        <v>1</v>
      </c>
      <c r="G6878" s="4" t="n">
        <v>11</v>
      </c>
      <c r="H6878" s="4" t="n">
        <v>4</v>
      </c>
      <c r="I6878" s="4" t="str">
        <v>×</v>
      </c>
      <c r="J6878" s="4"/>
      <c r="K6878" s="4"/>
      <c r="L6878" s="4"/>
      <c r="M6878" s="5" t="s">
        <v>4475</v>
      </c>
    </row>
    <row r="6879" customFormat="false" ht="15.75" hidden="false" customHeight="false" outlineLevel="0" collapsed="false">
      <c r="A6879" s="6" t="n">
        <v>46186</v>
      </c>
      <c r="B6879" s="4" t="s">
        <v>1237</v>
      </c>
      <c r="C6879" s="4" t="n">
        <v>3</v>
      </c>
      <c r="D6879" s="4" t="n">
        <v>12</v>
      </c>
      <c r="E6879" s="4" t="s">
        <v>5090</v>
      </c>
      <c r="F6879" s="4" t="n">
        <v>17</v>
      </c>
      <c r="G6879" s="4" t="n">
        <v>6</v>
      </c>
      <c r="H6879" s="4" t="n">
        <v>4</v>
      </c>
      <c r="I6879" s="4" t="str">
        <v>×</v>
      </c>
      <c r="J6879" s="4"/>
      <c r="K6879" s="4"/>
      <c r="L6879" s="4"/>
      <c r="M6879" s="5" t="s">
        <v>4475</v>
      </c>
    </row>
    <row r="6880" customFormat="false" ht="15.75" hidden="false" customHeight="false" outlineLevel="0" collapsed="false">
      <c r="A6880" s="6" t="n">
        <v>46186</v>
      </c>
      <c r="B6880" s="4" t="s">
        <v>1237</v>
      </c>
      <c r="C6880" s="4" t="n">
        <v>4</v>
      </c>
      <c r="D6880" s="4" t="n">
        <v>1</v>
      </c>
      <c r="E6880" s="4" t="s">
        <v>5091</v>
      </c>
      <c r="F6880" s="4" t="n">
        <v>3</v>
      </c>
      <c r="G6880" s="4" t="n">
        <v>8</v>
      </c>
      <c r="H6880" s="4" t="n">
        <v>4</v>
      </c>
      <c r="I6880" s="4" t="str">
        <v>×</v>
      </c>
      <c r="J6880" s="4"/>
      <c r="K6880" s="4"/>
      <c r="L6880" s="4"/>
      <c r="M6880" s="5" t="s">
        <v>4475</v>
      </c>
    </row>
    <row r="6881" customFormat="false" ht="15.75" hidden="false" customHeight="false" outlineLevel="0" collapsed="false">
      <c r="A6881" s="6" t="n">
        <v>46186</v>
      </c>
      <c r="B6881" s="4" t="s">
        <v>1237</v>
      </c>
      <c r="C6881" s="4" t="n">
        <v>4</v>
      </c>
      <c r="D6881" s="4" t="n">
        <v>2</v>
      </c>
      <c r="E6881" s="4" t="s">
        <v>3514</v>
      </c>
      <c r="F6881" s="4" t="n">
        <v>56</v>
      </c>
      <c r="G6881" s="4" t="n">
        <v>2</v>
      </c>
      <c r="H6881" s="4" t="n">
        <v>4</v>
      </c>
      <c r="I6881" s="4" t="str">
        <v>×</v>
      </c>
      <c r="J6881" s="4"/>
      <c r="K6881" s="4"/>
      <c r="L6881" s="4"/>
      <c r="M6881" s="5" t="s">
        <v>4475</v>
      </c>
    </row>
    <row r="6882" customFormat="false" ht="15.75" hidden="false" customHeight="false" outlineLevel="0" collapsed="false">
      <c r="A6882" s="6" t="n">
        <v>46186</v>
      </c>
      <c r="B6882" s="4" t="s">
        <v>1237</v>
      </c>
      <c r="C6882" s="4" t="n">
        <v>4</v>
      </c>
      <c r="D6882" s="4" t="n">
        <v>3</v>
      </c>
      <c r="E6882" s="4" t="s">
        <v>2593</v>
      </c>
      <c r="F6882" s="4" t="n">
        <v>4</v>
      </c>
      <c r="G6882" s="4" t="n">
        <v>7</v>
      </c>
      <c r="H6882" s="4" t="n">
        <v>4</v>
      </c>
      <c r="I6882" s="4" t="str">
        <v>×</v>
      </c>
      <c r="J6882" s="4"/>
      <c r="K6882" s="4"/>
      <c r="L6882" s="4"/>
      <c r="M6882" s="5" t="s">
        <v>4475</v>
      </c>
    </row>
    <row r="6883" customFormat="false" ht="15.75" hidden="false" customHeight="false" outlineLevel="0" collapsed="false">
      <c r="A6883" s="6" t="n">
        <v>46186</v>
      </c>
      <c r="B6883" s="4" t="s">
        <v>1237</v>
      </c>
      <c r="C6883" s="4" t="n">
        <v>4</v>
      </c>
      <c r="D6883" s="4" t="n">
        <v>4</v>
      </c>
      <c r="E6883" s="4" t="s">
        <v>2216</v>
      </c>
      <c r="F6883" s="4" t="n">
        <v>4</v>
      </c>
      <c r="G6883" s="4" t="n">
        <v>7</v>
      </c>
      <c r="H6883" s="4" t="n">
        <v>4</v>
      </c>
      <c r="I6883" s="4" t="str">
        <v>×</v>
      </c>
      <c r="J6883" s="4"/>
      <c r="K6883" s="4"/>
      <c r="L6883" s="4"/>
      <c r="M6883" s="5" t="s">
        <v>4475</v>
      </c>
    </row>
    <row r="6884" customFormat="false" ht="15.75" hidden="false" customHeight="false" outlineLevel="0" collapsed="false">
      <c r="A6884" s="6" t="n">
        <v>46186</v>
      </c>
      <c r="B6884" s="4" t="s">
        <v>1237</v>
      </c>
      <c r="C6884" s="4" t="n">
        <v>4</v>
      </c>
      <c r="D6884" s="4" t="n">
        <v>5</v>
      </c>
      <c r="E6884" s="4" t="s">
        <v>2598</v>
      </c>
      <c r="F6884" s="4" t="n">
        <v>4</v>
      </c>
      <c r="G6884" s="4" t="n">
        <v>7</v>
      </c>
      <c r="H6884" s="4" t="n">
        <v>4</v>
      </c>
      <c r="I6884" s="4" t="str">
        <v>×</v>
      </c>
      <c r="J6884" s="4"/>
      <c r="K6884" s="4"/>
      <c r="L6884" s="4"/>
      <c r="M6884" s="5" t="s">
        <v>4475</v>
      </c>
    </row>
    <row r="6885" customFormat="false" ht="15.75" hidden="false" customHeight="false" outlineLevel="0" collapsed="false">
      <c r="A6885" s="6" t="n">
        <v>46186</v>
      </c>
      <c r="B6885" s="4" t="s">
        <v>1237</v>
      </c>
      <c r="C6885" s="4" t="n">
        <v>4</v>
      </c>
      <c r="D6885" s="4" t="n">
        <v>6</v>
      </c>
      <c r="E6885" s="4" t="s">
        <v>4127</v>
      </c>
      <c r="F6885" s="4" t="n">
        <v>31</v>
      </c>
      <c r="G6885" s="4" t="n">
        <v>3</v>
      </c>
      <c r="H6885" s="4" t="n">
        <v>1</v>
      </c>
      <c r="I6885" s="4" t="str">
        <v>○</v>
      </c>
      <c r="J6885" s="4" t="n">
        <v>200</v>
      </c>
      <c r="K6885" s="4"/>
      <c r="L6885" s="4"/>
      <c r="M6885" s="5" t="s">
        <v>4475</v>
      </c>
    </row>
    <row r="6886" customFormat="false" ht="15.75" hidden="false" customHeight="false" outlineLevel="0" collapsed="false">
      <c r="A6886" s="6" t="n">
        <v>46186</v>
      </c>
      <c r="B6886" s="4" t="s">
        <v>1237</v>
      </c>
      <c r="C6886" s="4" t="n">
        <v>4</v>
      </c>
      <c r="D6886" s="4" t="n">
        <v>7</v>
      </c>
      <c r="E6886" s="4" t="s">
        <v>3519</v>
      </c>
      <c r="F6886" s="4" t="n">
        <v>25</v>
      </c>
      <c r="G6886" s="4" t="n">
        <v>4</v>
      </c>
      <c r="H6886" s="4" t="n">
        <v>2</v>
      </c>
      <c r="I6886" s="4" t="str">
        <v>○</v>
      </c>
      <c r="J6886" s="4" t="n">
        <v>240</v>
      </c>
      <c r="K6886" s="4"/>
      <c r="L6886" s="4"/>
      <c r="M6886" s="5" t="s">
        <v>4475</v>
      </c>
    </row>
    <row r="6887" customFormat="false" ht="15.75" hidden="false" customHeight="false" outlineLevel="0" collapsed="false">
      <c r="A6887" s="6" t="n">
        <v>46186</v>
      </c>
      <c r="B6887" s="4" t="s">
        <v>1237</v>
      </c>
      <c r="C6887" s="4" t="n">
        <v>4</v>
      </c>
      <c r="D6887" s="4" t="n">
        <v>8</v>
      </c>
      <c r="E6887" s="4" t="s">
        <v>1042</v>
      </c>
      <c r="F6887" s="4" t="n">
        <v>60</v>
      </c>
      <c r="G6887" s="4" t="n">
        <v>1</v>
      </c>
      <c r="H6887" s="4" t="n">
        <v>3</v>
      </c>
      <c r="I6887" s="4" t="str">
        <v>○</v>
      </c>
      <c r="J6887" s="4" t="n">
        <v>200</v>
      </c>
      <c r="K6887" s="4"/>
      <c r="L6887" s="4"/>
      <c r="M6887" s="5" t="s">
        <v>4475</v>
      </c>
    </row>
    <row r="6888" customFormat="false" ht="15.75" hidden="false" customHeight="false" outlineLevel="0" collapsed="false">
      <c r="A6888" s="6" t="n">
        <v>46186</v>
      </c>
      <c r="B6888" s="4" t="s">
        <v>1237</v>
      </c>
      <c r="C6888" s="4" t="n">
        <v>4</v>
      </c>
      <c r="D6888" s="4" t="n">
        <v>9</v>
      </c>
      <c r="E6888" s="4" t="s">
        <v>5092</v>
      </c>
      <c r="F6888" s="4" t="n">
        <v>4</v>
      </c>
      <c r="G6888" s="4" t="n">
        <v>7</v>
      </c>
      <c r="H6888" s="4" t="n">
        <v>4</v>
      </c>
      <c r="I6888" s="4" t="str">
        <v>×</v>
      </c>
      <c r="J6888" s="4"/>
      <c r="K6888" s="4"/>
      <c r="L6888" s="4"/>
      <c r="M6888" s="5" t="s">
        <v>4475</v>
      </c>
    </row>
    <row r="6889" customFormat="false" ht="15.75" hidden="false" customHeight="false" outlineLevel="0" collapsed="false">
      <c r="A6889" s="6" t="n">
        <v>46186</v>
      </c>
      <c r="B6889" s="4" t="s">
        <v>1237</v>
      </c>
      <c r="C6889" s="4" t="n">
        <v>4</v>
      </c>
      <c r="D6889" s="4" t="n">
        <v>10</v>
      </c>
      <c r="E6889" s="4" t="s">
        <v>3526</v>
      </c>
      <c r="F6889" s="4" t="n">
        <v>13</v>
      </c>
      <c r="G6889" s="4" t="n">
        <v>5</v>
      </c>
      <c r="H6889" s="4" t="n">
        <v>4</v>
      </c>
      <c r="I6889" s="4" t="str">
        <v>×</v>
      </c>
      <c r="J6889" s="4"/>
      <c r="K6889" s="4"/>
      <c r="L6889" s="4"/>
      <c r="M6889" s="5" t="s">
        <v>4475</v>
      </c>
    </row>
    <row r="6890" customFormat="false" ht="15.75" hidden="false" customHeight="false" outlineLevel="0" collapsed="false">
      <c r="A6890" s="6" t="n">
        <v>46186</v>
      </c>
      <c r="B6890" s="4" t="s">
        <v>1237</v>
      </c>
      <c r="C6890" s="4" t="n">
        <v>4</v>
      </c>
      <c r="D6890" s="4" t="n">
        <v>11</v>
      </c>
      <c r="E6890" s="4" t="s">
        <v>3520</v>
      </c>
      <c r="F6890" s="4" t="n">
        <v>6</v>
      </c>
      <c r="G6890" s="4" t="n">
        <v>6</v>
      </c>
      <c r="H6890" s="4" t="n">
        <v>4</v>
      </c>
      <c r="I6890" s="4" t="str">
        <v>×</v>
      </c>
      <c r="J6890" s="4"/>
      <c r="K6890" s="4"/>
      <c r="L6890" s="4"/>
      <c r="M6890" s="5" t="s">
        <v>4475</v>
      </c>
    </row>
    <row r="6891" customFormat="false" ht="15.75" hidden="false" customHeight="false" outlineLevel="0" collapsed="false">
      <c r="A6891" s="6" t="n">
        <v>46186</v>
      </c>
      <c r="B6891" s="4" t="s">
        <v>1237</v>
      </c>
      <c r="C6891" s="4" t="n">
        <v>4</v>
      </c>
      <c r="D6891" s="4" t="n">
        <v>12</v>
      </c>
      <c r="E6891" s="4" t="s">
        <v>2590</v>
      </c>
      <c r="F6891" s="4" t="n">
        <v>3</v>
      </c>
      <c r="G6891" s="4" t="n">
        <v>8</v>
      </c>
      <c r="H6891" s="4" t="n">
        <v>4</v>
      </c>
      <c r="I6891" s="4" t="str">
        <v>×</v>
      </c>
      <c r="J6891" s="4"/>
      <c r="K6891" s="4"/>
      <c r="L6891" s="4"/>
      <c r="M6891" s="5" t="s">
        <v>4475</v>
      </c>
    </row>
    <row r="6892" customFormat="false" ht="15.75" hidden="false" customHeight="false" outlineLevel="0" collapsed="false">
      <c r="A6892" s="6" t="n">
        <v>46186</v>
      </c>
      <c r="B6892" s="4" t="s">
        <v>1237</v>
      </c>
      <c r="C6892" s="4" t="n">
        <v>4</v>
      </c>
      <c r="D6892" s="4" t="n">
        <v>13</v>
      </c>
      <c r="E6892" s="4" t="s">
        <v>1749</v>
      </c>
      <c r="F6892" s="4" t="n">
        <v>4</v>
      </c>
      <c r="G6892" s="4" t="n">
        <v>7</v>
      </c>
      <c r="H6892" s="4" t="n">
        <v>4</v>
      </c>
      <c r="I6892" s="4" t="str">
        <v>×</v>
      </c>
      <c r="J6892" s="4"/>
      <c r="K6892" s="4"/>
      <c r="L6892" s="4"/>
      <c r="M6892" s="5" t="s">
        <v>4475</v>
      </c>
    </row>
    <row r="6893" customFormat="false" ht="15.75" hidden="false" customHeight="false" outlineLevel="0" collapsed="false">
      <c r="A6893" s="6" t="n">
        <v>46186</v>
      </c>
      <c r="B6893" s="4" t="s">
        <v>1237</v>
      </c>
      <c r="C6893" s="4" t="n">
        <v>4</v>
      </c>
      <c r="D6893" s="4" t="n">
        <v>14</v>
      </c>
      <c r="E6893" s="4" t="s">
        <v>1758</v>
      </c>
      <c r="F6893" s="4" t="n">
        <v>25</v>
      </c>
      <c r="G6893" s="4" t="n">
        <v>4</v>
      </c>
      <c r="H6893" s="4" t="n">
        <v>4</v>
      </c>
      <c r="I6893" s="4" t="str">
        <v>×</v>
      </c>
      <c r="J6893" s="4"/>
      <c r="K6893" s="4"/>
      <c r="L6893" s="4"/>
      <c r="M6893" s="5" t="s">
        <v>4475</v>
      </c>
    </row>
    <row r="6894" customFormat="false" ht="15.75" hidden="false" customHeight="false" outlineLevel="0" collapsed="false">
      <c r="A6894" s="6" t="n">
        <v>46186</v>
      </c>
      <c r="B6894" s="4" t="s">
        <v>1237</v>
      </c>
      <c r="C6894" s="4" t="n">
        <v>4</v>
      </c>
      <c r="D6894" s="4" t="n">
        <v>15</v>
      </c>
      <c r="E6894" s="4" t="s">
        <v>5093</v>
      </c>
      <c r="F6894" s="4" t="n">
        <v>2</v>
      </c>
      <c r="G6894" s="4" t="n">
        <v>9</v>
      </c>
      <c r="H6894" s="4" t="n">
        <v>4</v>
      </c>
      <c r="I6894" s="4" t="str">
        <v>×</v>
      </c>
      <c r="J6894" s="4"/>
      <c r="K6894" s="4"/>
      <c r="L6894" s="4"/>
      <c r="M6894" s="5" t="s">
        <v>4475</v>
      </c>
    </row>
    <row r="6895" customFormat="false" ht="15.75" hidden="false" customHeight="false" outlineLevel="0" collapsed="false">
      <c r="A6895" s="6" t="n">
        <v>46186</v>
      </c>
      <c r="B6895" s="4" t="s">
        <v>1237</v>
      </c>
      <c r="C6895" s="4" t="n">
        <v>5</v>
      </c>
      <c r="D6895" s="4" t="n">
        <v>1</v>
      </c>
      <c r="E6895" s="4" t="s">
        <v>1854</v>
      </c>
      <c r="F6895" s="4" t="n">
        <v>31</v>
      </c>
      <c r="G6895" s="4" t="n">
        <v>2</v>
      </c>
      <c r="H6895" s="4" t="n">
        <v>1</v>
      </c>
      <c r="I6895" s="4" t="str">
        <v>○</v>
      </c>
      <c r="J6895" s="4" t="n">
        <v>160</v>
      </c>
      <c r="K6895" s="4"/>
      <c r="L6895" s="4"/>
      <c r="M6895" s="5" t="s">
        <v>4475</v>
      </c>
    </row>
    <row r="6896" customFormat="false" ht="15.75" hidden="false" customHeight="false" outlineLevel="0" collapsed="false">
      <c r="A6896" s="6" t="n">
        <v>46186</v>
      </c>
      <c r="B6896" s="4" t="s">
        <v>1237</v>
      </c>
      <c r="C6896" s="4" t="n">
        <v>5</v>
      </c>
      <c r="D6896" s="4" t="n">
        <v>2</v>
      </c>
      <c r="E6896" s="4" t="s">
        <v>1846</v>
      </c>
      <c r="F6896" s="4" t="n">
        <v>27</v>
      </c>
      <c r="G6896" s="4" t="n">
        <v>3</v>
      </c>
      <c r="H6896" s="4" t="n">
        <v>2</v>
      </c>
      <c r="I6896" s="4" t="str">
        <v>○</v>
      </c>
      <c r="J6896" s="4" t="n">
        <v>200</v>
      </c>
      <c r="K6896" s="4"/>
      <c r="L6896" s="4"/>
      <c r="M6896" s="5" t="s">
        <v>4475</v>
      </c>
    </row>
    <row r="6897" customFormat="false" ht="15.75" hidden="false" customHeight="false" outlineLevel="0" collapsed="false">
      <c r="A6897" s="6" t="n">
        <v>46186</v>
      </c>
      <c r="B6897" s="4" t="s">
        <v>1237</v>
      </c>
      <c r="C6897" s="4" t="n">
        <v>5</v>
      </c>
      <c r="D6897" s="4" t="n">
        <v>3</v>
      </c>
      <c r="E6897" s="4" t="s">
        <v>1241</v>
      </c>
      <c r="F6897" s="4" t="n">
        <v>24</v>
      </c>
      <c r="G6897" s="4" t="n">
        <v>4</v>
      </c>
      <c r="H6897" s="4" t="n">
        <v>4</v>
      </c>
      <c r="I6897" s="4" t="str">
        <v>×</v>
      </c>
      <c r="J6897" s="4"/>
      <c r="K6897" s="4"/>
      <c r="L6897" s="4"/>
      <c r="M6897" s="5" t="s">
        <v>4475</v>
      </c>
    </row>
    <row r="6898" customFormat="false" ht="15.75" hidden="false" customHeight="false" outlineLevel="0" collapsed="false">
      <c r="A6898" s="6" t="n">
        <v>46186</v>
      </c>
      <c r="B6898" s="4" t="s">
        <v>1237</v>
      </c>
      <c r="C6898" s="4" t="n">
        <v>5</v>
      </c>
      <c r="D6898" s="4" t="n">
        <v>4</v>
      </c>
      <c r="E6898" s="4" t="s">
        <v>1844</v>
      </c>
      <c r="F6898" s="4" t="n">
        <v>24</v>
      </c>
      <c r="G6898" s="4" t="n">
        <v>4</v>
      </c>
      <c r="H6898" s="4" t="n">
        <v>4</v>
      </c>
      <c r="I6898" s="4" t="str">
        <v>×</v>
      </c>
      <c r="J6898" s="4"/>
      <c r="K6898" s="4"/>
      <c r="L6898" s="4"/>
      <c r="M6898" s="5" t="s">
        <v>4475</v>
      </c>
    </row>
    <row r="6899" customFormat="false" ht="15.75" hidden="false" customHeight="false" outlineLevel="0" collapsed="false">
      <c r="A6899" s="6" t="n">
        <v>46186</v>
      </c>
      <c r="B6899" s="4" t="s">
        <v>1237</v>
      </c>
      <c r="C6899" s="4" t="n">
        <v>5</v>
      </c>
      <c r="D6899" s="4" t="n">
        <v>5</v>
      </c>
      <c r="E6899" s="4" t="s">
        <v>3502</v>
      </c>
      <c r="F6899" s="4" t="n">
        <v>8</v>
      </c>
      <c r="G6899" s="4" t="n">
        <v>5</v>
      </c>
      <c r="H6899" s="4" t="n">
        <v>3</v>
      </c>
      <c r="I6899" s="4" t="str">
        <v>○</v>
      </c>
      <c r="J6899" s="4" t="n">
        <v>920</v>
      </c>
      <c r="K6899" s="4"/>
      <c r="L6899" s="4"/>
      <c r="M6899" s="5" t="s">
        <v>4475</v>
      </c>
    </row>
    <row r="6900" customFormat="false" ht="15.75" hidden="false" customHeight="false" outlineLevel="0" collapsed="false">
      <c r="A6900" s="6" t="n">
        <v>46186</v>
      </c>
      <c r="B6900" s="4" t="s">
        <v>1237</v>
      </c>
      <c r="C6900" s="4" t="n">
        <v>5</v>
      </c>
      <c r="D6900" s="4" t="n">
        <v>6</v>
      </c>
      <c r="E6900" s="4" t="s">
        <v>3697</v>
      </c>
      <c r="F6900" s="4" t="n">
        <v>24</v>
      </c>
      <c r="G6900" s="4" t="n">
        <v>4</v>
      </c>
      <c r="H6900" s="4" t="n">
        <v>4</v>
      </c>
      <c r="I6900" s="4" t="str">
        <v>×</v>
      </c>
      <c r="J6900" s="4"/>
      <c r="K6900" s="4"/>
      <c r="L6900" s="4"/>
      <c r="M6900" s="5" t="s">
        <v>4475</v>
      </c>
    </row>
    <row r="6901" customFormat="false" ht="15.75" hidden="false" customHeight="false" outlineLevel="0" collapsed="false">
      <c r="A6901" s="6" t="n">
        <v>46186</v>
      </c>
      <c r="B6901" s="4" t="s">
        <v>1237</v>
      </c>
      <c r="C6901" s="4" t="n">
        <v>5</v>
      </c>
      <c r="D6901" s="4" t="n">
        <v>7</v>
      </c>
      <c r="E6901" s="4" t="s">
        <v>344</v>
      </c>
      <c r="F6901" s="4" t="n">
        <v>41</v>
      </c>
      <c r="G6901" s="4" t="n">
        <v>1</v>
      </c>
      <c r="H6901" s="4" t="n">
        <v>4</v>
      </c>
      <c r="I6901" s="4" t="str">
        <v>×</v>
      </c>
      <c r="J6901" s="4"/>
      <c r="K6901" s="4"/>
      <c r="L6901" s="4"/>
      <c r="M6901" s="5" t="s">
        <v>4475</v>
      </c>
    </row>
    <row r="6902" customFormat="false" ht="15.75" hidden="false" customHeight="false" outlineLevel="0" collapsed="false">
      <c r="A6902" s="6" t="n">
        <v>46186</v>
      </c>
      <c r="B6902" s="4" t="s">
        <v>1237</v>
      </c>
      <c r="C6902" s="4" t="n">
        <v>5</v>
      </c>
      <c r="D6902" s="4" t="n">
        <v>8</v>
      </c>
      <c r="E6902" s="4" t="s">
        <v>3501</v>
      </c>
      <c r="F6902" s="4" t="n">
        <v>8</v>
      </c>
      <c r="G6902" s="4" t="n">
        <v>5</v>
      </c>
      <c r="H6902" s="4" t="n">
        <v>4</v>
      </c>
      <c r="I6902" s="4" t="str">
        <v>×</v>
      </c>
      <c r="J6902" s="4"/>
      <c r="K6902" s="4"/>
      <c r="L6902" s="4"/>
      <c r="M6902" s="5" t="s">
        <v>4475</v>
      </c>
    </row>
    <row r="6903" customFormat="false" ht="15.75" hidden="false" customHeight="false" outlineLevel="0" collapsed="false">
      <c r="A6903" s="6" t="n">
        <v>46186</v>
      </c>
      <c r="B6903" s="4" t="s">
        <v>1237</v>
      </c>
      <c r="C6903" s="4" t="n">
        <v>5</v>
      </c>
      <c r="D6903" s="4" t="n">
        <v>9</v>
      </c>
      <c r="E6903" s="4" t="s">
        <v>792</v>
      </c>
      <c r="F6903" s="4" t="n">
        <v>8</v>
      </c>
      <c r="G6903" s="4" t="n">
        <v>5</v>
      </c>
      <c r="H6903" s="4" t="n">
        <v>4</v>
      </c>
      <c r="I6903" s="4" t="str">
        <v>×</v>
      </c>
      <c r="J6903" s="4"/>
      <c r="K6903" s="4"/>
      <c r="L6903" s="4"/>
      <c r="M6903" s="5" t="s">
        <v>4475</v>
      </c>
    </row>
    <row r="6904" customFormat="false" ht="15.75" hidden="false" customHeight="false" outlineLevel="0" collapsed="false">
      <c r="A6904" s="6" t="n">
        <v>46186</v>
      </c>
      <c r="B6904" s="4" t="s">
        <v>1237</v>
      </c>
      <c r="C6904" s="4" t="n">
        <v>5</v>
      </c>
      <c r="D6904" s="4" t="n">
        <v>10</v>
      </c>
      <c r="E6904" s="4" t="s">
        <v>1724</v>
      </c>
      <c r="F6904" s="4" t="n">
        <v>24</v>
      </c>
      <c r="G6904" s="4" t="n">
        <v>4</v>
      </c>
      <c r="H6904" s="4" t="n">
        <v>4</v>
      </c>
      <c r="I6904" s="4" t="str">
        <v>×</v>
      </c>
      <c r="J6904" s="4"/>
      <c r="K6904" s="4"/>
      <c r="L6904" s="4"/>
      <c r="M6904" s="5" t="s">
        <v>4475</v>
      </c>
    </row>
    <row r="6905" customFormat="false" ht="15.75" hidden="false" customHeight="false" outlineLevel="0" collapsed="false">
      <c r="A6905" s="6" t="n">
        <v>46186</v>
      </c>
      <c r="B6905" s="4" t="s">
        <v>1237</v>
      </c>
      <c r="C6905" s="4" t="n">
        <v>5</v>
      </c>
      <c r="D6905" s="4" t="n">
        <v>11</v>
      </c>
      <c r="E6905" s="4" t="s">
        <v>2175</v>
      </c>
      <c r="F6905" s="4" t="n">
        <v>8</v>
      </c>
      <c r="G6905" s="4" t="n">
        <v>5</v>
      </c>
      <c r="H6905" s="4" t="n">
        <v>4</v>
      </c>
      <c r="I6905" s="4" t="str">
        <v>×</v>
      </c>
      <c r="J6905" s="4"/>
      <c r="K6905" s="4"/>
      <c r="L6905" s="4"/>
      <c r="M6905" s="5" t="s">
        <v>4475</v>
      </c>
    </row>
    <row r="6906" customFormat="false" ht="15.75" hidden="false" customHeight="false" outlineLevel="0" collapsed="false">
      <c r="A6906" s="6" t="n">
        <v>46186</v>
      </c>
      <c r="B6906" s="4" t="s">
        <v>1237</v>
      </c>
      <c r="C6906" s="4" t="n">
        <v>5</v>
      </c>
      <c r="D6906" s="4" t="n">
        <v>12</v>
      </c>
      <c r="E6906" s="4" t="s">
        <v>1849</v>
      </c>
      <c r="F6906" s="4" t="n">
        <v>24</v>
      </c>
      <c r="G6906" s="4" t="n">
        <v>4</v>
      </c>
      <c r="H6906" s="4" t="n">
        <v>4</v>
      </c>
      <c r="I6906" s="4" t="str">
        <v>×</v>
      </c>
      <c r="J6906" s="4"/>
      <c r="K6906" s="4"/>
      <c r="L6906" s="4"/>
      <c r="M6906" s="5" t="s">
        <v>4475</v>
      </c>
    </row>
    <row r="6907" customFormat="false" ht="15.75" hidden="false" customHeight="false" outlineLevel="0" collapsed="false">
      <c r="A6907" s="6" t="n">
        <v>46186</v>
      </c>
      <c r="B6907" s="4" t="s">
        <v>1237</v>
      </c>
      <c r="C6907" s="4" t="n">
        <v>6</v>
      </c>
      <c r="D6907" s="4" t="n">
        <v>1</v>
      </c>
      <c r="E6907" s="4" t="s">
        <v>4235</v>
      </c>
      <c r="F6907" s="4" t="n">
        <v>8</v>
      </c>
      <c r="G6907" s="4" t="n">
        <v>6</v>
      </c>
      <c r="H6907" s="4" t="n">
        <v>4</v>
      </c>
      <c r="I6907" s="4" t="str">
        <v>×</v>
      </c>
      <c r="J6907" s="4"/>
      <c r="K6907" s="4"/>
      <c r="L6907" s="4"/>
      <c r="M6907" s="5" t="s">
        <v>4475</v>
      </c>
    </row>
    <row r="6908" customFormat="false" ht="15.75" hidden="false" customHeight="false" outlineLevel="0" collapsed="false">
      <c r="A6908" s="6" t="n">
        <v>46186</v>
      </c>
      <c r="B6908" s="4" t="s">
        <v>1237</v>
      </c>
      <c r="C6908" s="4" t="n">
        <v>6</v>
      </c>
      <c r="D6908" s="4" t="n">
        <v>2</v>
      </c>
      <c r="E6908" s="4" t="s">
        <v>416</v>
      </c>
      <c r="F6908" s="4" t="n">
        <v>31</v>
      </c>
      <c r="G6908" s="4" t="n">
        <v>3</v>
      </c>
      <c r="H6908" s="4" t="n">
        <v>1</v>
      </c>
      <c r="I6908" s="4" t="str">
        <v>○</v>
      </c>
      <c r="J6908" s="4" t="n">
        <v>160</v>
      </c>
      <c r="K6908" s="4"/>
      <c r="L6908" s="4"/>
      <c r="M6908" s="5" t="s">
        <v>4475</v>
      </c>
    </row>
    <row r="6909" customFormat="false" ht="15.75" hidden="false" customHeight="false" outlineLevel="0" collapsed="false">
      <c r="A6909" s="6" t="n">
        <v>46186</v>
      </c>
      <c r="B6909" s="4" t="s">
        <v>1237</v>
      </c>
      <c r="C6909" s="4" t="n">
        <v>6</v>
      </c>
      <c r="D6909" s="4" t="n">
        <v>3</v>
      </c>
      <c r="E6909" s="4" t="s">
        <v>5094</v>
      </c>
      <c r="F6909" s="4" t="n">
        <v>15</v>
      </c>
      <c r="G6909" s="4" t="n">
        <v>5</v>
      </c>
      <c r="H6909" s="4" t="n">
        <v>4</v>
      </c>
      <c r="I6909" s="4" t="str">
        <v>×</v>
      </c>
      <c r="J6909" s="4"/>
      <c r="K6909" s="4"/>
      <c r="L6909" s="4"/>
      <c r="M6909" s="5" t="s">
        <v>4475</v>
      </c>
    </row>
    <row r="6910" customFormat="false" ht="15.75" hidden="false" customHeight="false" outlineLevel="0" collapsed="false">
      <c r="A6910" s="6" t="n">
        <v>46186</v>
      </c>
      <c r="B6910" s="4" t="s">
        <v>1237</v>
      </c>
      <c r="C6910" s="4" t="n">
        <v>6</v>
      </c>
      <c r="D6910" s="4" t="n">
        <v>4</v>
      </c>
      <c r="E6910" s="4" t="s">
        <v>5095</v>
      </c>
      <c r="F6910" s="4" t="n">
        <v>8</v>
      </c>
      <c r="G6910" s="4" t="n">
        <v>6</v>
      </c>
      <c r="H6910" s="4" t="n">
        <v>3</v>
      </c>
      <c r="I6910" s="4" t="str">
        <v>○</v>
      </c>
      <c r="J6910" s="4" t="n">
        <v>530</v>
      </c>
      <c r="K6910" s="4"/>
      <c r="L6910" s="4"/>
      <c r="M6910" s="5" t="s">
        <v>4475</v>
      </c>
    </row>
    <row r="6911" customFormat="false" ht="15.75" hidden="false" customHeight="false" outlineLevel="0" collapsed="false">
      <c r="A6911" s="6" t="n">
        <v>46186</v>
      </c>
      <c r="B6911" s="4" t="s">
        <v>1237</v>
      </c>
      <c r="C6911" s="4" t="n">
        <v>6</v>
      </c>
      <c r="D6911" s="4" t="n">
        <v>5</v>
      </c>
      <c r="E6911" s="4" t="s">
        <v>827</v>
      </c>
      <c r="F6911" s="4" t="n">
        <v>29</v>
      </c>
      <c r="G6911" s="4" t="n">
        <v>4</v>
      </c>
      <c r="H6911" s="4" t="n">
        <v>4</v>
      </c>
      <c r="I6911" s="4" t="str">
        <v>×</v>
      </c>
      <c r="J6911" s="4"/>
      <c r="K6911" s="4"/>
      <c r="L6911" s="4"/>
      <c r="M6911" s="5" t="s">
        <v>4475</v>
      </c>
    </row>
    <row r="6912" customFormat="false" ht="15.75" hidden="false" customHeight="false" outlineLevel="0" collapsed="false">
      <c r="A6912" s="6" t="n">
        <v>46186</v>
      </c>
      <c r="B6912" s="4" t="s">
        <v>1237</v>
      </c>
      <c r="C6912" s="4" t="n">
        <v>6</v>
      </c>
      <c r="D6912" s="4" t="n">
        <v>6</v>
      </c>
      <c r="E6912" s="4" t="s">
        <v>1285</v>
      </c>
      <c r="F6912" s="4" t="n">
        <v>1</v>
      </c>
      <c r="G6912" s="4" t="n">
        <v>8</v>
      </c>
      <c r="H6912" s="4" t="n">
        <v>4</v>
      </c>
      <c r="I6912" s="4" t="str">
        <v>×</v>
      </c>
      <c r="J6912" s="4"/>
      <c r="K6912" s="4"/>
      <c r="L6912" s="4"/>
      <c r="M6912" s="5" t="s">
        <v>4475</v>
      </c>
    </row>
    <row r="6913" customFormat="false" ht="15.75" hidden="false" customHeight="false" outlineLevel="0" collapsed="false">
      <c r="A6913" s="6" t="n">
        <v>46186</v>
      </c>
      <c r="B6913" s="4" t="s">
        <v>1237</v>
      </c>
      <c r="C6913" s="4" t="n">
        <v>6</v>
      </c>
      <c r="D6913" s="4" t="n">
        <v>7</v>
      </c>
      <c r="E6913" s="4" t="s">
        <v>5096</v>
      </c>
      <c r="F6913" s="4" t="n">
        <v>47</v>
      </c>
      <c r="G6913" s="4" t="n">
        <v>2</v>
      </c>
      <c r="H6913" s="4" t="n">
        <v>4</v>
      </c>
      <c r="I6913" s="4" t="str">
        <v>×</v>
      </c>
      <c r="J6913" s="4"/>
      <c r="K6913" s="4"/>
      <c r="L6913" s="4"/>
      <c r="M6913" s="5" t="s">
        <v>4475</v>
      </c>
    </row>
    <row r="6914" customFormat="false" ht="15.75" hidden="false" customHeight="false" outlineLevel="0" collapsed="false">
      <c r="A6914" s="6" t="n">
        <v>46186</v>
      </c>
      <c r="B6914" s="4" t="s">
        <v>1237</v>
      </c>
      <c r="C6914" s="4" t="n">
        <v>6</v>
      </c>
      <c r="D6914" s="4" t="n">
        <v>8</v>
      </c>
      <c r="E6914" s="4" t="s">
        <v>1743</v>
      </c>
      <c r="F6914" s="4" t="n">
        <v>4</v>
      </c>
      <c r="G6914" s="4" t="n">
        <v>7</v>
      </c>
      <c r="H6914" s="4" t="n">
        <v>4</v>
      </c>
      <c r="I6914" s="4" t="str">
        <v>×</v>
      </c>
      <c r="J6914" s="4"/>
      <c r="K6914" s="4"/>
      <c r="L6914" s="4"/>
      <c r="M6914" s="5" t="s">
        <v>4475</v>
      </c>
    </row>
    <row r="6915" customFormat="false" ht="15.75" hidden="false" customHeight="false" outlineLevel="0" collapsed="false">
      <c r="A6915" s="6" t="n">
        <v>46186</v>
      </c>
      <c r="B6915" s="4" t="s">
        <v>1237</v>
      </c>
      <c r="C6915" s="4" t="n">
        <v>6</v>
      </c>
      <c r="D6915" s="4" t="n">
        <v>9</v>
      </c>
      <c r="E6915" s="4" t="s">
        <v>4243</v>
      </c>
      <c r="F6915" s="4" t="n">
        <v>8</v>
      </c>
      <c r="G6915" s="4" t="n">
        <v>6</v>
      </c>
      <c r="H6915" s="4" t="n">
        <v>4</v>
      </c>
      <c r="I6915" s="4" t="str">
        <v>×</v>
      </c>
      <c r="J6915" s="4"/>
      <c r="K6915" s="4"/>
      <c r="L6915" s="4"/>
      <c r="M6915" s="5" t="s">
        <v>4475</v>
      </c>
    </row>
    <row r="6916" customFormat="false" ht="15.75" hidden="false" customHeight="false" outlineLevel="0" collapsed="false">
      <c r="A6916" s="6" t="n">
        <v>46186</v>
      </c>
      <c r="B6916" s="4" t="s">
        <v>1237</v>
      </c>
      <c r="C6916" s="4" t="n">
        <v>6</v>
      </c>
      <c r="D6916" s="4" t="n">
        <v>10</v>
      </c>
      <c r="E6916" s="4" t="s">
        <v>4425</v>
      </c>
      <c r="F6916" s="4" t="n">
        <v>86</v>
      </c>
      <c r="G6916" s="4" t="n">
        <v>1</v>
      </c>
      <c r="H6916" s="4" t="n">
        <v>2</v>
      </c>
      <c r="I6916" s="4" t="str">
        <v>○</v>
      </c>
      <c r="J6916" s="4" t="n">
        <v>130</v>
      </c>
      <c r="K6916" s="4"/>
      <c r="L6916" s="4"/>
      <c r="M6916" s="5" t="s">
        <v>4475</v>
      </c>
    </row>
    <row r="6917" customFormat="false" ht="15.75" hidden="false" customHeight="false" outlineLevel="0" collapsed="false">
      <c r="A6917" s="6" t="n">
        <v>46186</v>
      </c>
      <c r="B6917" s="4" t="s">
        <v>1237</v>
      </c>
      <c r="C6917" s="4" t="n">
        <v>6</v>
      </c>
      <c r="D6917" s="4" t="n">
        <v>11</v>
      </c>
      <c r="E6917" s="4" t="s">
        <v>1742</v>
      </c>
      <c r="F6917" s="4" t="n">
        <v>47</v>
      </c>
      <c r="G6917" s="4" t="n">
        <v>2</v>
      </c>
      <c r="H6917" s="4" t="n">
        <v>4</v>
      </c>
      <c r="I6917" s="4" t="str">
        <v>×</v>
      </c>
      <c r="J6917" s="4"/>
      <c r="K6917" s="4"/>
      <c r="L6917" s="4"/>
      <c r="M6917" s="5" t="s">
        <v>4475</v>
      </c>
    </row>
    <row r="6918" customFormat="false" ht="15.75" hidden="false" customHeight="false" outlineLevel="0" collapsed="false">
      <c r="A6918" s="6" t="n">
        <v>46186</v>
      </c>
      <c r="B6918" s="4" t="s">
        <v>1237</v>
      </c>
      <c r="C6918" s="4" t="n">
        <v>6</v>
      </c>
      <c r="D6918" s="4" t="n">
        <v>12</v>
      </c>
      <c r="E6918" s="4" t="s">
        <v>1264</v>
      </c>
      <c r="F6918" s="4" t="n">
        <v>15</v>
      </c>
      <c r="G6918" s="4" t="n">
        <v>5</v>
      </c>
      <c r="H6918" s="4" t="n">
        <v>4</v>
      </c>
      <c r="I6918" s="4" t="str">
        <v>×</v>
      </c>
      <c r="J6918" s="4"/>
      <c r="K6918" s="4"/>
      <c r="L6918" s="4"/>
      <c r="M6918" s="5" t="s">
        <v>4475</v>
      </c>
    </row>
    <row r="6919" customFormat="false" ht="15.75" hidden="false" customHeight="false" outlineLevel="0" collapsed="false">
      <c r="A6919" s="6" t="n">
        <v>46186</v>
      </c>
      <c r="B6919" s="4" t="s">
        <v>1237</v>
      </c>
      <c r="C6919" s="4" t="n">
        <v>7</v>
      </c>
      <c r="D6919" s="4" t="n">
        <v>1</v>
      </c>
      <c r="E6919" s="4" t="s">
        <v>4150</v>
      </c>
      <c r="F6919" s="4" t="n">
        <v>8</v>
      </c>
      <c r="G6919" s="4" t="n">
        <v>6</v>
      </c>
      <c r="H6919" s="4" t="n">
        <v>4</v>
      </c>
      <c r="I6919" s="4" t="str">
        <v>×</v>
      </c>
      <c r="J6919" s="4"/>
      <c r="K6919" s="4"/>
      <c r="L6919" s="4"/>
      <c r="M6919" s="5" t="s">
        <v>4475</v>
      </c>
    </row>
    <row r="6920" customFormat="false" ht="15.75" hidden="false" customHeight="false" outlineLevel="0" collapsed="false">
      <c r="A6920" s="6" t="n">
        <v>46186</v>
      </c>
      <c r="B6920" s="4" t="s">
        <v>1237</v>
      </c>
      <c r="C6920" s="4" t="n">
        <v>7</v>
      </c>
      <c r="D6920" s="4" t="n">
        <v>2</v>
      </c>
      <c r="E6920" s="4" t="s">
        <v>3567</v>
      </c>
      <c r="F6920" s="4" t="n">
        <v>34</v>
      </c>
      <c r="G6920" s="4" t="n">
        <v>3</v>
      </c>
      <c r="H6920" s="4" t="n">
        <v>1</v>
      </c>
      <c r="I6920" s="4" t="str">
        <v>○</v>
      </c>
      <c r="J6920" s="4" t="n">
        <v>150</v>
      </c>
      <c r="K6920" s="4"/>
      <c r="L6920" s="4"/>
      <c r="M6920" s="5" t="s">
        <v>4475</v>
      </c>
    </row>
    <row r="6921" customFormat="false" ht="15.75" hidden="false" customHeight="false" outlineLevel="0" collapsed="false">
      <c r="A6921" s="6" t="n">
        <v>46186</v>
      </c>
      <c r="B6921" s="4" t="s">
        <v>1237</v>
      </c>
      <c r="C6921" s="4" t="n">
        <v>7</v>
      </c>
      <c r="D6921" s="4" t="n">
        <v>3</v>
      </c>
      <c r="E6921" s="4" t="s">
        <v>407</v>
      </c>
      <c r="F6921" s="4" t="n">
        <v>4</v>
      </c>
      <c r="G6921" s="4" t="n">
        <v>8</v>
      </c>
      <c r="H6921" s="4" t="n">
        <v>4</v>
      </c>
      <c r="I6921" s="4" t="str">
        <v>×</v>
      </c>
      <c r="J6921" s="4"/>
      <c r="K6921" s="4"/>
      <c r="L6921" s="4"/>
      <c r="M6921" s="5" t="s">
        <v>4475</v>
      </c>
    </row>
    <row r="6922" customFormat="false" ht="15.75" hidden="false" customHeight="false" outlineLevel="0" collapsed="false">
      <c r="A6922" s="6" t="n">
        <v>46186</v>
      </c>
      <c r="B6922" s="4" t="s">
        <v>1237</v>
      </c>
      <c r="C6922" s="4" t="n">
        <v>7</v>
      </c>
      <c r="D6922" s="4" t="n">
        <v>4</v>
      </c>
      <c r="E6922" s="4" t="s">
        <v>4452</v>
      </c>
      <c r="F6922" s="4" t="n">
        <v>6</v>
      </c>
      <c r="G6922" s="4" t="n">
        <v>7</v>
      </c>
      <c r="H6922" s="4" t="n">
        <v>2</v>
      </c>
      <c r="I6922" s="4" t="str">
        <v>○</v>
      </c>
      <c r="J6922" s="4" t="n">
        <v>180</v>
      </c>
      <c r="K6922" s="4"/>
      <c r="L6922" s="4"/>
      <c r="M6922" s="5" t="s">
        <v>4475</v>
      </c>
    </row>
    <row r="6923" customFormat="false" ht="15.75" hidden="false" customHeight="false" outlineLevel="0" collapsed="false">
      <c r="A6923" s="6" t="n">
        <v>46186</v>
      </c>
      <c r="B6923" s="4" t="s">
        <v>1237</v>
      </c>
      <c r="C6923" s="4" t="n">
        <v>7</v>
      </c>
      <c r="D6923" s="4" t="n">
        <v>5</v>
      </c>
      <c r="E6923" s="4" t="s">
        <v>4451</v>
      </c>
      <c r="F6923" s="4" t="n">
        <v>20</v>
      </c>
      <c r="G6923" s="4" t="n">
        <v>4</v>
      </c>
      <c r="H6923" s="4" t="n">
        <v>4</v>
      </c>
      <c r="I6923" s="4" t="str">
        <v>×</v>
      </c>
      <c r="J6923" s="4"/>
      <c r="K6923" s="4"/>
      <c r="L6923" s="4"/>
      <c r="M6923" s="5" t="s">
        <v>4475</v>
      </c>
    </row>
    <row r="6924" customFormat="false" ht="15.75" hidden="false" customHeight="false" outlineLevel="0" collapsed="false">
      <c r="A6924" s="6" t="n">
        <v>46186</v>
      </c>
      <c r="B6924" s="4" t="s">
        <v>1237</v>
      </c>
      <c r="C6924" s="4" t="n">
        <v>7</v>
      </c>
      <c r="D6924" s="4" t="n">
        <v>6</v>
      </c>
      <c r="E6924" s="4" t="s">
        <v>403</v>
      </c>
      <c r="F6924" s="4" t="n">
        <v>56</v>
      </c>
      <c r="G6924" s="4" t="n">
        <v>1</v>
      </c>
      <c r="H6924" s="4" t="n">
        <v>3</v>
      </c>
      <c r="I6924" s="4" t="str">
        <v>○</v>
      </c>
      <c r="J6924" s="4" t="n">
        <v>110</v>
      </c>
      <c r="K6924" s="4"/>
      <c r="L6924" s="4"/>
      <c r="M6924" s="5" t="s">
        <v>4475</v>
      </c>
    </row>
    <row r="6925" customFormat="false" ht="15.75" hidden="false" customHeight="false" outlineLevel="0" collapsed="false">
      <c r="A6925" s="6" t="n">
        <v>46186</v>
      </c>
      <c r="B6925" s="4" t="s">
        <v>1237</v>
      </c>
      <c r="C6925" s="4" t="n">
        <v>7</v>
      </c>
      <c r="D6925" s="4" t="n">
        <v>7</v>
      </c>
      <c r="E6925" s="4" t="s">
        <v>5097</v>
      </c>
      <c r="F6925" s="4" t="n">
        <v>52</v>
      </c>
      <c r="G6925" s="4" t="n">
        <v>2</v>
      </c>
      <c r="H6925" s="4" t="n">
        <v>4</v>
      </c>
      <c r="I6925" s="4" t="str">
        <v>×</v>
      </c>
      <c r="J6925" s="4"/>
      <c r="K6925" s="4"/>
      <c r="L6925" s="4"/>
      <c r="M6925" s="5" t="s">
        <v>4475</v>
      </c>
    </row>
    <row r="6926" customFormat="false" ht="15.75" hidden="false" customHeight="false" outlineLevel="0" collapsed="false">
      <c r="A6926" s="6" t="n">
        <v>46186</v>
      </c>
      <c r="B6926" s="4" t="s">
        <v>1237</v>
      </c>
      <c r="C6926" s="4" t="n">
        <v>7</v>
      </c>
      <c r="D6926" s="4" t="n">
        <v>8</v>
      </c>
      <c r="E6926" s="4" t="s">
        <v>5098</v>
      </c>
      <c r="F6926" s="4" t="n">
        <v>15</v>
      </c>
      <c r="G6926" s="4" t="n">
        <v>5</v>
      </c>
      <c r="H6926" s="4" t="n">
        <v>4</v>
      </c>
      <c r="I6926" s="4" t="str">
        <v>×</v>
      </c>
      <c r="J6926" s="4"/>
      <c r="K6926" s="4"/>
      <c r="L6926" s="4"/>
      <c r="M6926" s="5" t="s">
        <v>4475</v>
      </c>
    </row>
    <row r="6927" customFormat="false" ht="15.75" hidden="false" customHeight="false" outlineLevel="0" collapsed="false">
      <c r="A6927" s="6" t="n">
        <v>46186</v>
      </c>
      <c r="B6927" s="4" t="s">
        <v>1237</v>
      </c>
      <c r="C6927" s="4" t="n">
        <v>8</v>
      </c>
      <c r="D6927" s="4" t="n">
        <v>1</v>
      </c>
      <c r="E6927" s="4" t="s">
        <v>5099</v>
      </c>
      <c r="F6927" s="4" t="n">
        <v>13</v>
      </c>
      <c r="G6927" s="4" t="n">
        <v>8</v>
      </c>
      <c r="H6927" s="4" t="n">
        <v>4</v>
      </c>
      <c r="I6927" s="4" t="str">
        <v>×</v>
      </c>
      <c r="J6927" s="4"/>
      <c r="K6927" s="4"/>
      <c r="L6927" s="4"/>
      <c r="M6927" s="5" t="s">
        <v>4475</v>
      </c>
    </row>
    <row r="6928" customFormat="false" ht="15.75" hidden="false" customHeight="false" outlineLevel="0" collapsed="false">
      <c r="A6928" s="6" t="n">
        <v>46186</v>
      </c>
      <c r="B6928" s="4" t="s">
        <v>1237</v>
      </c>
      <c r="C6928" s="4" t="n">
        <v>8</v>
      </c>
      <c r="D6928" s="4" t="n">
        <v>2</v>
      </c>
      <c r="E6928" s="4" t="s">
        <v>5100</v>
      </c>
      <c r="F6928" s="4" t="n">
        <v>39</v>
      </c>
      <c r="G6928" s="4" t="n">
        <v>2</v>
      </c>
      <c r="H6928" s="4" t="n">
        <v>4</v>
      </c>
      <c r="I6928" s="4" t="str">
        <v>×</v>
      </c>
      <c r="J6928" s="4"/>
      <c r="K6928" s="4"/>
      <c r="L6928" s="4"/>
      <c r="M6928" s="5" t="s">
        <v>4475</v>
      </c>
    </row>
    <row r="6929" customFormat="false" ht="15.75" hidden="false" customHeight="false" outlineLevel="0" collapsed="false">
      <c r="A6929" s="6" t="n">
        <v>46186</v>
      </c>
      <c r="B6929" s="4" t="s">
        <v>1237</v>
      </c>
      <c r="C6929" s="4" t="n">
        <v>8</v>
      </c>
      <c r="D6929" s="4" t="n">
        <v>3</v>
      </c>
      <c r="E6929" s="4" t="s">
        <v>4450</v>
      </c>
      <c r="F6929" s="4" t="n">
        <v>15</v>
      </c>
      <c r="G6929" s="4" t="n">
        <v>7</v>
      </c>
      <c r="H6929" s="4" t="n">
        <v>4</v>
      </c>
      <c r="I6929" s="4" t="str">
        <v>×</v>
      </c>
      <c r="J6929" s="4"/>
      <c r="K6929" s="4"/>
      <c r="L6929" s="4"/>
      <c r="M6929" s="5" t="s">
        <v>4475</v>
      </c>
    </row>
    <row r="6930" customFormat="false" ht="15.75" hidden="false" customHeight="false" outlineLevel="0" collapsed="false">
      <c r="A6930" s="6" t="n">
        <v>46186</v>
      </c>
      <c r="B6930" s="4" t="s">
        <v>1237</v>
      </c>
      <c r="C6930" s="4" t="n">
        <v>8</v>
      </c>
      <c r="D6930" s="4" t="n">
        <v>4</v>
      </c>
      <c r="E6930" s="4" t="s">
        <v>878</v>
      </c>
      <c r="F6930" s="4" t="n">
        <v>10</v>
      </c>
      <c r="G6930" s="4" t="n">
        <v>9</v>
      </c>
      <c r="H6930" s="4" t="n">
        <v>4</v>
      </c>
      <c r="I6930" s="4" t="str">
        <v>×</v>
      </c>
      <c r="J6930" s="4"/>
      <c r="K6930" s="4"/>
      <c r="L6930" s="4"/>
      <c r="M6930" s="5" t="s">
        <v>4475</v>
      </c>
    </row>
    <row r="6931" customFormat="false" ht="15.75" hidden="false" customHeight="false" outlineLevel="0" collapsed="false">
      <c r="A6931" s="6" t="n">
        <v>46186</v>
      </c>
      <c r="B6931" s="4" t="s">
        <v>1237</v>
      </c>
      <c r="C6931" s="4" t="n">
        <v>8</v>
      </c>
      <c r="D6931" s="4" t="n">
        <v>5</v>
      </c>
      <c r="E6931" s="4" t="s">
        <v>5101</v>
      </c>
      <c r="F6931" s="4" t="n">
        <v>10</v>
      </c>
      <c r="G6931" s="4" t="n">
        <v>9</v>
      </c>
      <c r="H6931" s="4" t="n">
        <v>4</v>
      </c>
      <c r="I6931" s="4" t="str">
        <v>×</v>
      </c>
      <c r="J6931" s="4"/>
      <c r="K6931" s="4"/>
      <c r="L6931" s="4"/>
      <c r="M6931" s="5" t="s">
        <v>4475</v>
      </c>
    </row>
    <row r="6932" customFormat="false" ht="15.75" hidden="false" customHeight="false" outlineLevel="0" collapsed="false">
      <c r="A6932" s="6" t="n">
        <v>46186</v>
      </c>
      <c r="B6932" s="4" t="s">
        <v>1237</v>
      </c>
      <c r="C6932" s="4" t="n">
        <v>8</v>
      </c>
      <c r="D6932" s="4" t="n">
        <v>6</v>
      </c>
      <c r="E6932" s="4" t="s">
        <v>5102</v>
      </c>
      <c r="F6932" s="4" t="n">
        <v>20</v>
      </c>
      <c r="G6932" s="4" t="n">
        <v>5</v>
      </c>
      <c r="H6932" s="4" t="n">
        <v>4</v>
      </c>
      <c r="I6932" s="4" t="str">
        <v>×</v>
      </c>
      <c r="J6932" s="4"/>
      <c r="K6932" s="4"/>
      <c r="L6932" s="4"/>
      <c r="M6932" s="5" t="s">
        <v>4475</v>
      </c>
    </row>
    <row r="6933" customFormat="false" ht="15.75" hidden="false" customHeight="false" outlineLevel="0" collapsed="false">
      <c r="A6933" s="6" t="n">
        <v>46186</v>
      </c>
      <c r="B6933" s="4" t="s">
        <v>1237</v>
      </c>
      <c r="C6933" s="4" t="n">
        <v>8</v>
      </c>
      <c r="D6933" s="4" t="n">
        <v>7</v>
      </c>
      <c r="E6933" s="4" t="s">
        <v>1812</v>
      </c>
      <c r="F6933" s="4" t="n">
        <v>3</v>
      </c>
      <c r="G6933" s="4" t="n">
        <v>10</v>
      </c>
      <c r="H6933" s="4" t="n">
        <v>4</v>
      </c>
      <c r="I6933" s="4" t="str">
        <v>×</v>
      </c>
      <c r="J6933" s="4"/>
      <c r="K6933" s="4"/>
      <c r="L6933" s="4"/>
      <c r="M6933" s="5" t="s">
        <v>4475</v>
      </c>
    </row>
    <row r="6934" customFormat="false" ht="15.75" hidden="false" customHeight="false" outlineLevel="0" collapsed="false">
      <c r="A6934" s="6" t="n">
        <v>46186</v>
      </c>
      <c r="B6934" s="4" t="s">
        <v>1237</v>
      </c>
      <c r="C6934" s="4" t="n">
        <v>8</v>
      </c>
      <c r="D6934" s="4" t="n">
        <v>8</v>
      </c>
      <c r="E6934" s="4" t="s">
        <v>5103</v>
      </c>
      <c r="F6934" s="4" t="n">
        <v>17</v>
      </c>
      <c r="G6934" s="4" t="n">
        <v>6</v>
      </c>
      <c r="H6934" s="4" t="n">
        <v>4</v>
      </c>
      <c r="I6934" s="4" t="str">
        <v>×</v>
      </c>
      <c r="J6934" s="4"/>
      <c r="K6934" s="4"/>
      <c r="L6934" s="4"/>
      <c r="M6934" s="5" t="s">
        <v>4475</v>
      </c>
    </row>
    <row r="6935" customFormat="false" ht="15.75" hidden="false" customHeight="false" outlineLevel="0" collapsed="false">
      <c r="A6935" s="6" t="n">
        <v>46186</v>
      </c>
      <c r="B6935" s="4" t="s">
        <v>1237</v>
      </c>
      <c r="C6935" s="4" t="n">
        <v>8</v>
      </c>
      <c r="D6935" s="4" t="n">
        <v>9</v>
      </c>
      <c r="E6935" s="4" t="s">
        <v>5104</v>
      </c>
      <c r="F6935" s="4" t="n">
        <v>34</v>
      </c>
      <c r="G6935" s="4" t="n">
        <v>4</v>
      </c>
      <c r="H6935" s="4" t="n">
        <v>3</v>
      </c>
      <c r="I6935" s="4" t="str">
        <v>○</v>
      </c>
      <c r="J6935" s="4" t="n">
        <v>180</v>
      </c>
      <c r="K6935" s="4"/>
      <c r="L6935" s="4"/>
      <c r="M6935" s="5" t="s">
        <v>4475</v>
      </c>
    </row>
    <row r="6936" customFormat="false" ht="15.75" hidden="false" customHeight="false" outlineLevel="0" collapsed="false">
      <c r="A6936" s="6" t="n">
        <v>46186</v>
      </c>
      <c r="B6936" s="4" t="s">
        <v>1237</v>
      </c>
      <c r="C6936" s="4" t="n">
        <v>8</v>
      </c>
      <c r="D6936" s="4" t="n">
        <v>10</v>
      </c>
      <c r="E6936" s="4" t="s">
        <v>2272</v>
      </c>
      <c r="F6936" s="4" t="n">
        <v>44</v>
      </c>
      <c r="G6936" s="4" t="n">
        <v>1</v>
      </c>
      <c r="H6936" s="4" t="n">
        <v>2</v>
      </c>
      <c r="I6936" s="4" t="str">
        <v>○</v>
      </c>
      <c r="J6936" s="4" t="n">
        <v>120</v>
      </c>
      <c r="K6936" s="4"/>
      <c r="L6936" s="4"/>
      <c r="M6936" s="5" t="s">
        <v>4475</v>
      </c>
    </row>
    <row r="6937" customFormat="false" ht="15.75" hidden="false" customHeight="false" outlineLevel="0" collapsed="false">
      <c r="A6937" s="6" t="n">
        <v>46186</v>
      </c>
      <c r="B6937" s="4" t="s">
        <v>1237</v>
      </c>
      <c r="C6937" s="4" t="n">
        <v>8</v>
      </c>
      <c r="D6937" s="4" t="n">
        <v>11</v>
      </c>
      <c r="E6937" s="4" t="s">
        <v>2649</v>
      </c>
      <c r="F6937" s="4" t="n">
        <v>37</v>
      </c>
      <c r="G6937" s="4" t="n">
        <v>3</v>
      </c>
      <c r="H6937" s="4" t="n">
        <v>1</v>
      </c>
      <c r="I6937" s="4" t="str">
        <v>○</v>
      </c>
      <c r="J6937" s="4" t="n">
        <v>130</v>
      </c>
      <c r="K6937" s="4"/>
      <c r="L6937" s="4"/>
      <c r="M6937" s="5" t="s">
        <v>4475</v>
      </c>
    </row>
    <row r="6938" customFormat="false" ht="15.75" hidden="false" customHeight="false" outlineLevel="0" collapsed="false">
      <c r="A6938" s="6" t="n">
        <v>46186</v>
      </c>
      <c r="B6938" s="4" t="s">
        <v>1237</v>
      </c>
      <c r="C6938" s="4" t="n">
        <v>8</v>
      </c>
      <c r="D6938" s="4" t="n">
        <v>12</v>
      </c>
      <c r="E6938" s="4" t="s">
        <v>1964</v>
      </c>
      <c r="F6938" s="4" t="n">
        <v>17</v>
      </c>
      <c r="G6938" s="4" t="n">
        <v>6</v>
      </c>
      <c r="H6938" s="4" t="n">
        <v>4</v>
      </c>
      <c r="I6938" s="4" t="str">
        <v>×</v>
      </c>
      <c r="J6938" s="4"/>
      <c r="K6938" s="4"/>
      <c r="L6938" s="4"/>
      <c r="M6938" s="5" t="s">
        <v>4475</v>
      </c>
    </row>
    <row r="6939" customFormat="false" ht="15.75" hidden="false" customHeight="false" outlineLevel="0" collapsed="false">
      <c r="A6939" s="6" t="n">
        <v>46186</v>
      </c>
      <c r="B6939" s="4" t="s">
        <v>1237</v>
      </c>
      <c r="C6939" s="4" t="n">
        <v>9</v>
      </c>
      <c r="D6939" s="4" t="n">
        <v>1</v>
      </c>
      <c r="E6939" s="4" t="s">
        <v>1337</v>
      </c>
      <c r="F6939" s="4" t="n">
        <v>29</v>
      </c>
      <c r="G6939" s="4" t="n">
        <v>4</v>
      </c>
      <c r="H6939" s="4" t="n">
        <v>3</v>
      </c>
      <c r="I6939" s="4" t="str">
        <v>○</v>
      </c>
      <c r="J6939" s="4" t="n">
        <v>180</v>
      </c>
      <c r="K6939" s="4"/>
      <c r="L6939" s="4"/>
      <c r="M6939" s="5" t="s">
        <v>4475</v>
      </c>
    </row>
    <row r="6940" customFormat="false" ht="15.75" hidden="false" customHeight="false" outlineLevel="0" collapsed="false">
      <c r="A6940" s="6" t="n">
        <v>46186</v>
      </c>
      <c r="B6940" s="4" t="s">
        <v>1237</v>
      </c>
      <c r="C6940" s="4" t="n">
        <v>9</v>
      </c>
      <c r="D6940" s="4" t="n">
        <v>2</v>
      </c>
      <c r="E6940" s="4" t="s">
        <v>4443</v>
      </c>
      <c r="F6940" s="4" t="n">
        <v>56</v>
      </c>
      <c r="G6940" s="4" t="n">
        <v>2</v>
      </c>
      <c r="H6940" s="4" t="n">
        <v>2</v>
      </c>
      <c r="I6940" s="4" t="str">
        <v>○</v>
      </c>
      <c r="J6940" s="4" t="n">
        <v>130</v>
      </c>
      <c r="K6940" s="4"/>
      <c r="L6940" s="4"/>
      <c r="M6940" s="5" t="s">
        <v>4475</v>
      </c>
    </row>
    <row r="6941" customFormat="false" ht="15.75" hidden="false" customHeight="false" outlineLevel="0" collapsed="false">
      <c r="A6941" s="6" t="n">
        <v>46186</v>
      </c>
      <c r="B6941" s="4" t="s">
        <v>1237</v>
      </c>
      <c r="C6941" s="4" t="n">
        <v>9</v>
      </c>
      <c r="D6941" s="4" t="n">
        <v>3</v>
      </c>
      <c r="E6941" s="4" t="s">
        <v>2773</v>
      </c>
      <c r="F6941" s="4" t="n">
        <v>13</v>
      </c>
      <c r="G6941" s="4" t="n">
        <v>7</v>
      </c>
      <c r="H6941" s="4" t="n">
        <v>4</v>
      </c>
      <c r="I6941" s="4" t="str">
        <v>×</v>
      </c>
      <c r="J6941" s="4"/>
      <c r="K6941" s="4"/>
      <c r="L6941" s="4"/>
      <c r="M6941" s="5" t="s">
        <v>4475</v>
      </c>
    </row>
    <row r="6942" customFormat="false" ht="15.75" hidden="false" customHeight="false" outlineLevel="0" collapsed="false">
      <c r="A6942" s="6" t="n">
        <v>46186</v>
      </c>
      <c r="B6942" s="4" t="s">
        <v>1237</v>
      </c>
      <c r="C6942" s="4" t="n">
        <v>9</v>
      </c>
      <c r="D6942" s="4" t="n">
        <v>4</v>
      </c>
      <c r="E6942" s="4" t="s">
        <v>2775</v>
      </c>
      <c r="F6942" s="4" t="n">
        <v>20</v>
      </c>
      <c r="G6942" s="4" t="n">
        <v>6</v>
      </c>
      <c r="H6942" s="4" t="n">
        <v>4</v>
      </c>
      <c r="I6942" s="4" t="str">
        <v>×</v>
      </c>
      <c r="J6942" s="4"/>
      <c r="K6942" s="4"/>
      <c r="L6942" s="4"/>
      <c r="M6942" s="5" t="s">
        <v>4475</v>
      </c>
    </row>
    <row r="6943" customFormat="false" ht="15.75" hidden="false" customHeight="false" outlineLevel="0" collapsed="false">
      <c r="A6943" s="6" t="n">
        <v>46186</v>
      </c>
      <c r="B6943" s="4" t="s">
        <v>1237</v>
      </c>
      <c r="C6943" s="4" t="n">
        <v>9</v>
      </c>
      <c r="D6943" s="4" t="n">
        <v>5</v>
      </c>
      <c r="E6943" s="4" t="s">
        <v>1954</v>
      </c>
      <c r="F6943" s="4" t="n">
        <v>31</v>
      </c>
      <c r="G6943" s="4" t="n">
        <v>3</v>
      </c>
      <c r="H6943" s="4" t="n">
        <v>4</v>
      </c>
      <c r="I6943" s="4" t="str">
        <v>×</v>
      </c>
      <c r="J6943" s="4"/>
      <c r="K6943" s="4"/>
      <c r="L6943" s="4"/>
      <c r="M6943" s="5" t="s">
        <v>4475</v>
      </c>
    </row>
    <row r="6944" customFormat="false" ht="15.75" hidden="false" customHeight="false" outlineLevel="0" collapsed="false">
      <c r="A6944" s="6" t="n">
        <v>46186</v>
      </c>
      <c r="B6944" s="4" t="s">
        <v>1237</v>
      </c>
      <c r="C6944" s="4" t="n">
        <v>9</v>
      </c>
      <c r="D6944" s="4" t="n">
        <v>6</v>
      </c>
      <c r="E6944" s="4" t="s">
        <v>442</v>
      </c>
      <c r="F6944" s="4" t="n">
        <v>31</v>
      </c>
      <c r="G6944" s="4" t="n">
        <v>3</v>
      </c>
      <c r="H6944" s="4" t="n">
        <v>1</v>
      </c>
      <c r="I6944" s="4" t="str">
        <v>○</v>
      </c>
      <c r="J6944" s="4" t="n">
        <v>230</v>
      </c>
      <c r="K6944" s="4"/>
      <c r="L6944" s="4"/>
      <c r="M6944" s="5" t="s">
        <v>4475</v>
      </c>
    </row>
    <row r="6945" customFormat="false" ht="15.75" hidden="false" customHeight="false" outlineLevel="0" collapsed="false">
      <c r="A6945" s="6" t="n">
        <v>46186</v>
      </c>
      <c r="B6945" s="4" t="s">
        <v>1237</v>
      </c>
      <c r="C6945" s="4" t="n">
        <v>9</v>
      </c>
      <c r="D6945" s="4" t="n">
        <v>7</v>
      </c>
      <c r="E6945" s="4" t="s">
        <v>1345</v>
      </c>
      <c r="F6945" s="4" t="n">
        <v>10</v>
      </c>
      <c r="G6945" s="4" t="n">
        <v>8</v>
      </c>
      <c r="H6945" s="4" t="n">
        <v>4</v>
      </c>
      <c r="I6945" s="4" t="str">
        <v>×</v>
      </c>
      <c r="J6945" s="4"/>
      <c r="K6945" s="4"/>
      <c r="L6945" s="4"/>
      <c r="M6945" s="5" t="s">
        <v>4475</v>
      </c>
    </row>
    <row r="6946" customFormat="false" ht="15.75" hidden="false" customHeight="false" outlineLevel="0" collapsed="false">
      <c r="A6946" s="6" t="n">
        <v>46186</v>
      </c>
      <c r="B6946" s="4" t="s">
        <v>1237</v>
      </c>
      <c r="C6946" s="4" t="n">
        <v>9</v>
      </c>
      <c r="D6946" s="4" t="n">
        <v>8</v>
      </c>
      <c r="E6946" s="4" t="s">
        <v>5105</v>
      </c>
      <c r="F6946" s="4" t="n">
        <v>23</v>
      </c>
      <c r="G6946" s="4" t="n">
        <v>5</v>
      </c>
      <c r="H6946" s="4" t="n">
        <v>4</v>
      </c>
      <c r="I6946" s="4" t="str">
        <v>×</v>
      </c>
      <c r="J6946" s="4"/>
      <c r="K6946" s="4"/>
      <c r="L6946" s="4"/>
      <c r="M6946" s="5" t="s">
        <v>4475</v>
      </c>
    </row>
    <row r="6947" customFormat="false" ht="15.75" hidden="false" customHeight="false" outlineLevel="0" collapsed="false">
      <c r="A6947" s="6" t="n">
        <v>46186</v>
      </c>
      <c r="B6947" s="4" t="s">
        <v>1237</v>
      </c>
      <c r="C6947" s="4" t="n">
        <v>9</v>
      </c>
      <c r="D6947" s="4" t="n">
        <v>9</v>
      </c>
      <c r="E6947" s="4" t="s">
        <v>1326</v>
      </c>
      <c r="F6947" s="4" t="n">
        <v>10</v>
      </c>
      <c r="G6947" s="4" t="n">
        <v>8</v>
      </c>
      <c r="H6947" s="4" t="n">
        <v>4</v>
      </c>
      <c r="I6947" s="4" t="str">
        <v>×</v>
      </c>
      <c r="J6947" s="4"/>
      <c r="K6947" s="4"/>
      <c r="L6947" s="4"/>
      <c r="M6947" s="5" t="s">
        <v>4475</v>
      </c>
    </row>
    <row r="6948" customFormat="false" ht="15.75" hidden="false" customHeight="false" outlineLevel="0" collapsed="false">
      <c r="A6948" s="6" t="n">
        <v>46186</v>
      </c>
      <c r="B6948" s="4" t="s">
        <v>1237</v>
      </c>
      <c r="C6948" s="4" t="n">
        <v>9</v>
      </c>
      <c r="D6948" s="4" t="n">
        <v>10</v>
      </c>
      <c r="E6948" s="4" t="s">
        <v>3538</v>
      </c>
      <c r="F6948" s="4" t="n">
        <v>62</v>
      </c>
      <c r="G6948" s="4" t="n">
        <v>1</v>
      </c>
      <c r="H6948" s="4" t="n">
        <v>4</v>
      </c>
      <c r="I6948" s="4" t="str">
        <v>×</v>
      </c>
      <c r="J6948" s="4"/>
      <c r="K6948" s="4"/>
      <c r="L6948" s="4"/>
      <c r="M6948" s="5" t="s">
        <v>4475</v>
      </c>
    </row>
    <row r="6949" customFormat="false" ht="15.75" hidden="false" customHeight="false" outlineLevel="0" collapsed="false">
      <c r="A6949" s="6" t="n">
        <v>46186</v>
      </c>
      <c r="B6949" s="4" t="s">
        <v>1237</v>
      </c>
      <c r="C6949" s="4" t="n">
        <v>9</v>
      </c>
      <c r="D6949" s="4" t="n">
        <v>11</v>
      </c>
      <c r="E6949" s="4" t="s">
        <v>1952</v>
      </c>
      <c r="F6949" s="4" t="n">
        <v>23</v>
      </c>
      <c r="G6949" s="4" t="n">
        <v>5</v>
      </c>
      <c r="H6949" s="4" t="n">
        <v>4</v>
      </c>
      <c r="I6949" s="4" t="str">
        <v>×</v>
      </c>
      <c r="J6949" s="4"/>
      <c r="K6949" s="4"/>
      <c r="L6949" s="4"/>
      <c r="M6949" s="5" t="s">
        <v>4475</v>
      </c>
    </row>
    <row r="6950" customFormat="false" ht="15.75" hidden="false" customHeight="false" outlineLevel="0" collapsed="false">
      <c r="A6950" s="6" t="n">
        <v>46186</v>
      </c>
      <c r="B6950" s="4" t="s">
        <v>1237</v>
      </c>
      <c r="C6950" s="4" t="n">
        <v>10</v>
      </c>
      <c r="D6950" s="4" t="n">
        <v>1</v>
      </c>
      <c r="E6950" s="4" t="s">
        <v>439</v>
      </c>
      <c r="F6950" s="4" t="n">
        <v>20</v>
      </c>
      <c r="G6950" s="4" t="n">
        <v>5</v>
      </c>
      <c r="H6950" s="4" t="n">
        <v>4</v>
      </c>
      <c r="I6950" s="4" t="str">
        <v>×</v>
      </c>
      <c r="J6950" s="4"/>
      <c r="K6950" s="4"/>
      <c r="L6950" s="4"/>
      <c r="M6950" s="5" t="s">
        <v>4475</v>
      </c>
    </row>
    <row r="6951" customFormat="false" ht="15.75" hidden="false" customHeight="false" outlineLevel="0" collapsed="false">
      <c r="A6951" s="6" t="n">
        <v>46186</v>
      </c>
      <c r="B6951" s="4" t="s">
        <v>1237</v>
      </c>
      <c r="C6951" s="4" t="n">
        <v>10</v>
      </c>
      <c r="D6951" s="4" t="n">
        <v>2</v>
      </c>
      <c r="E6951" s="4" t="s">
        <v>1828</v>
      </c>
      <c r="F6951" s="4" t="n">
        <v>6</v>
      </c>
      <c r="G6951" s="4" t="n">
        <v>10</v>
      </c>
      <c r="H6951" s="4" t="n">
        <v>4</v>
      </c>
      <c r="I6951" s="4" t="str">
        <v>×</v>
      </c>
      <c r="J6951" s="4"/>
      <c r="K6951" s="4"/>
      <c r="L6951" s="4"/>
      <c r="M6951" s="5" t="s">
        <v>4475</v>
      </c>
    </row>
    <row r="6952" customFormat="false" ht="15.75" hidden="false" customHeight="false" outlineLevel="0" collapsed="false">
      <c r="A6952" s="6" t="n">
        <v>46186</v>
      </c>
      <c r="B6952" s="4" t="s">
        <v>1237</v>
      </c>
      <c r="C6952" s="4" t="n">
        <v>10</v>
      </c>
      <c r="D6952" s="4" t="n">
        <v>3</v>
      </c>
      <c r="E6952" s="4" t="s">
        <v>1824</v>
      </c>
      <c r="F6952" s="4" t="n">
        <v>44</v>
      </c>
      <c r="G6952" s="4" t="n">
        <v>1</v>
      </c>
      <c r="H6952" s="4" t="n">
        <v>4</v>
      </c>
      <c r="I6952" s="4" t="str">
        <v>×</v>
      </c>
      <c r="J6952" s="4"/>
      <c r="K6952" s="4"/>
      <c r="L6952" s="4"/>
      <c r="M6952" s="5" t="s">
        <v>4475</v>
      </c>
    </row>
    <row r="6953" customFormat="false" ht="15.75" hidden="false" customHeight="false" outlineLevel="0" collapsed="false">
      <c r="A6953" s="6" t="n">
        <v>46186</v>
      </c>
      <c r="B6953" s="4" t="s">
        <v>1237</v>
      </c>
      <c r="C6953" s="4" t="n">
        <v>10</v>
      </c>
      <c r="D6953" s="4" t="n">
        <v>4</v>
      </c>
      <c r="E6953" s="4" t="s">
        <v>2259</v>
      </c>
      <c r="F6953" s="4" t="n">
        <v>17</v>
      </c>
      <c r="G6953" s="4" t="n">
        <v>6</v>
      </c>
      <c r="H6953" s="4" t="n">
        <v>1</v>
      </c>
      <c r="I6953" s="4" t="str">
        <v>○</v>
      </c>
      <c r="J6953" s="4" t="n">
        <v>330</v>
      </c>
      <c r="K6953" s="4"/>
      <c r="L6953" s="4"/>
      <c r="M6953" s="5" t="s">
        <v>4475</v>
      </c>
    </row>
    <row r="6954" customFormat="false" ht="15.75" hidden="false" customHeight="false" outlineLevel="0" collapsed="false">
      <c r="A6954" s="6" t="n">
        <v>46186</v>
      </c>
      <c r="B6954" s="4" t="s">
        <v>1237</v>
      </c>
      <c r="C6954" s="4" t="n">
        <v>10</v>
      </c>
      <c r="D6954" s="4" t="n">
        <v>5</v>
      </c>
      <c r="E6954" s="4" t="s">
        <v>5106</v>
      </c>
      <c r="F6954" s="4" t="n">
        <v>10</v>
      </c>
      <c r="G6954" s="4" t="n">
        <v>9</v>
      </c>
      <c r="H6954" s="4" t="n">
        <v>4</v>
      </c>
      <c r="I6954" s="4" t="str">
        <v>×</v>
      </c>
      <c r="J6954" s="4"/>
      <c r="K6954" s="4"/>
      <c r="L6954" s="4"/>
      <c r="M6954" s="5" t="s">
        <v>4475</v>
      </c>
    </row>
    <row r="6955" customFormat="false" ht="15.75" hidden="false" customHeight="false" outlineLevel="0" collapsed="false">
      <c r="A6955" s="6" t="n">
        <v>46186</v>
      </c>
      <c r="B6955" s="4" t="s">
        <v>1237</v>
      </c>
      <c r="C6955" s="4" t="n">
        <v>10</v>
      </c>
      <c r="D6955" s="4" t="n">
        <v>6</v>
      </c>
      <c r="E6955" s="4" t="s">
        <v>3214</v>
      </c>
      <c r="F6955" s="4" t="n">
        <v>20</v>
      </c>
      <c r="G6955" s="4" t="n">
        <v>5</v>
      </c>
      <c r="H6955" s="4" t="n">
        <v>4</v>
      </c>
      <c r="I6955" s="4" t="str">
        <v>×</v>
      </c>
      <c r="J6955" s="4"/>
      <c r="K6955" s="4"/>
      <c r="L6955" s="4"/>
      <c r="M6955" s="5" t="s">
        <v>4475</v>
      </c>
    </row>
    <row r="6956" customFormat="false" ht="15.75" hidden="false" customHeight="false" outlineLevel="0" collapsed="false">
      <c r="A6956" s="6" t="n">
        <v>46186</v>
      </c>
      <c r="B6956" s="4" t="s">
        <v>1237</v>
      </c>
      <c r="C6956" s="4" t="n">
        <v>10</v>
      </c>
      <c r="D6956" s="4" t="n">
        <v>7</v>
      </c>
      <c r="E6956" s="4" t="s">
        <v>2642</v>
      </c>
      <c r="F6956" s="4" t="n">
        <v>3</v>
      </c>
      <c r="G6956" s="4" t="n">
        <v>12</v>
      </c>
      <c r="H6956" s="4" t="n">
        <v>4</v>
      </c>
      <c r="I6956" s="4" t="str">
        <v>×</v>
      </c>
      <c r="J6956" s="4"/>
      <c r="K6956" s="4"/>
      <c r="L6956" s="4"/>
      <c r="M6956" s="5" t="s">
        <v>4475</v>
      </c>
    </row>
    <row r="6957" customFormat="false" ht="15.75" hidden="false" customHeight="false" outlineLevel="0" collapsed="false">
      <c r="A6957" s="6" t="n">
        <v>46186</v>
      </c>
      <c r="B6957" s="4" t="s">
        <v>1237</v>
      </c>
      <c r="C6957" s="4" t="n">
        <v>10</v>
      </c>
      <c r="D6957" s="4" t="n">
        <v>8</v>
      </c>
      <c r="E6957" s="4" t="s">
        <v>2644</v>
      </c>
      <c r="F6957" s="4" t="n">
        <v>37</v>
      </c>
      <c r="G6957" s="4" t="n">
        <v>3</v>
      </c>
      <c r="H6957" s="4" t="n">
        <v>4</v>
      </c>
      <c r="I6957" s="4" t="str">
        <v>×</v>
      </c>
      <c r="J6957" s="4"/>
      <c r="K6957" s="4"/>
      <c r="L6957" s="4"/>
      <c r="M6957" s="5" t="s">
        <v>4475</v>
      </c>
    </row>
    <row r="6958" customFormat="false" ht="15.75" hidden="false" customHeight="false" outlineLevel="0" collapsed="false">
      <c r="A6958" s="6" t="n">
        <v>46186</v>
      </c>
      <c r="B6958" s="4" t="s">
        <v>1237</v>
      </c>
      <c r="C6958" s="4" t="n">
        <v>10</v>
      </c>
      <c r="D6958" s="4" t="n">
        <v>9</v>
      </c>
      <c r="E6958" s="4" t="s">
        <v>1829</v>
      </c>
      <c r="F6958" s="4" t="n">
        <v>13</v>
      </c>
      <c r="G6958" s="4" t="n">
        <v>8</v>
      </c>
      <c r="H6958" s="4" t="n">
        <v>4</v>
      </c>
      <c r="I6958" s="4" t="str">
        <v>×</v>
      </c>
      <c r="J6958" s="4"/>
      <c r="K6958" s="4"/>
      <c r="L6958" s="4"/>
      <c r="M6958" s="5" t="s">
        <v>4475</v>
      </c>
    </row>
    <row r="6959" customFormat="false" ht="15.75" hidden="false" customHeight="false" outlineLevel="0" collapsed="false">
      <c r="A6959" s="6" t="n">
        <v>46186</v>
      </c>
      <c r="B6959" s="4" t="s">
        <v>1237</v>
      </c>
      <c r="C6959" s="4" t="n">
        <v>10</v>
      </c>
      <c r="D6959" s="4" t="n">
        <v>10</v>
      </c>
      <c r="E6959" s="4" t="s">
        <v>2646</v>
      </c>
      <c r="F6959" s="4" t="n">
        <v>15</v>
      </c>
      <c r="G6959" s="4" t="n">
        <v>7</v>
      </c>
      <c r="H6959" s="4" t="n">
        <v>4</v>
      </c>
      <c r="I6959" s="4" t="str">
        <v>×</v>
      </c>
      <c r="J6959" s="4"/>
      <c r="K6959" s="4"/>
      <c r="L6959" s="4"/>
      <c r="M6959" s="5" t="s">
        <v>4475</v>
      </c>
    </row>
    <row r="6960" customFormat="false" ht="15.75" hidden="false" customHeight="false" outlineLevel="0" collapsed="false">
      <c r="A6960" s="6" t="n">
        <v>46186</v>
      </c>
      <c r="B6960" s="4" t="s">
        <v>1237</v>
      </c>
      <c r="C6960" s="4" t="n">
        <v>10</v>
      </c>
      <c r="D6960" s="4" t="n">
        <v>11</v>
      </c>
      <c r="E6960" s="4" t="s">
        <v>2641</v>
      </c>
      <c r="F6960" s="4" t="n">
        <v>15</v>
      </c>
      <c r="G6960" s="4" t="n">
        <v>7</v>
      </c>
      <c r="H6960" s="4" t="n">
        <v>4</v>
      </c>
      <c r="I6960" s="4" t="str">
        <v>×</v>
      </c>
      <c r="J6960" s="4"/>
      <c r="K6960" s="4"/>
      <c r="L6960" s="4"/>
      <c r="M6960" s="5" t="s">
        <v>4475</v>
      </c>
    </row>
    <row r="6961" customFormat="false" ht="15.75" hidden="false" customHeight="false" outlineLevel="0" collapsed="false">
      <c r="A6961" s="6" t="n">
        <v>46186</v>
      </c>
      <c r="B6961" s="4" t="s">
        <v>1237</v>
      </c>
      <c r="C6961" s="4" t="n">
        <v>10</v>
      </c>
      <c r="D6961" s="4" t="n">
        <v>12</v>
      </c>
      <c r="E6961" s="4" t="s">
        <v>5107</v>
      </c>
      <c r="F6961" s="4" t="n">
        <v>10</v>
      </c>
      <c r="G6961" s="4" t="n">
        <v>9</v>
      </c>
      <c r="H6961" s="4" t="n">
        <v>4</v>
      </c>
      <c r="I6961" s="4" t="str">
        <v>×</v>
      </c>
      <c r="J6961" s="4"/>
      <c r="K6961" s="4"/>
      <c r="L6961" s="4"/>
      <c r="M6961" s="5" t="s">
        <v>4475</v>
      </c>
    </row>
    <row r="6962" customFormat="false" ht="15.75" hidden="false" customHeight="false" outlineLevel="0" collapsed="false">
      <c r="A6962" s="6" t="n">
        <v>46186</v>
      </c>
      <c r="B6962" s="4" t="s">
        <v>1237</v>
      </c>
      <c r="C6962" s="4" t="n">
        <v>10</v>
      </c>
      <c r="D6962" s="4" t="n">
        <v>13</v>
      </c>
      <c r="E6962" s="4" t="s">
        <v>1831</v>
      </c>
      <c r="F6962" s="4" t="n">
        <v>6</v>
      </c>
      <c r="G6962" s="4" t="n">
        <v>10</v>
      </c>
      <c r="H6962" s="4" t="n">
        <v>4</v>
      </c>
      <c r="I6962" s="4" t="str">
        <v>×</v>
      </c>
      <c r="J6962" s="4"/>
      <c r="K6962" s="4"/>
      <c r="L6962" s="4"/>
      <c r="M6962" s="5" t="s">
        <v>4475</v>
      </c>
    </row>
    <row r="6963" customFormat="false" ht="15.75" hidden="false" customHeight="false" outlineLevel="0" collapsed="false">
      <c r="A6963" s="6" t="n">
        <v>46186</v>
      </c>
      <c r="B6963" s="4" t="s">
        <v>1237</v>
      </c>
      <c r="C6963" s="4" t="n">
        <v>10</v>
      </c>
      <c r="D6963" s="4" t="n">
        <v>14</v>
      </c>
      <c r="E6963" s="4" t="s">
        <v>1818</v>
      </c>
      <c r="F6963" s="4" t="n">
        <v>23</v>
      </c>
      <c r="G6963" s="4" t="n">
        <v>4</v>
      </c>
      <c r="H6963" s="4" t="n">
        <v>2</v>
      </c>
      <c r="I6963" s="4" t="str">
        <v>○</v>
      </c>
      <c r="J6963" s="4" t="n">
        <v>300</v>
      </c>
      <c r="K6963" s="4"/>
      <c r="L6963" s="4"/>
      <c r="M6963" s="5" t="s">
        <v>4475</v>
      </c>
    </row>
    <row r="6964" customFormat="false" ht="15.75" hidden="false" customHeight="false" outlineLevel="0" collapsed="false">
      <c r="A6964" s="6" t="n">
        <v>46186</v>
      </c>
      <c r="B6964" s="4" t="s">
        <v>1237</v>
      </c>
      <c r="C6964" s="4" t="n">
        <v>10</v>
      </c>
      <c r="D6964" s="4" t="n">
        <v>15</v>
      </c>
      <c r="E6964" s="4" t="s">
        <v>1830</v>
      </c>
      <c r="F6964" s="4" t="n">
        <v>41</v>
      </c>
      <c r="G6964" s="4" t="n">
        <v>2</v>
      </c>
      <c r="H6964" s="4" t="n">
        <v>3</v>
      </c>
      <c r="I6964" s="4" t="str">
        <v>○</v>
      </c>
      <c r="J6964" s="4" t="n">
        <v>180</v>
      </c>
      <c r="K6964" s="4"/>
      <c r="L6964" s="4"/>
      <c r="M6964" s="5" t="s">
        <v>4475</v>
      </c>
    </row>
    <row r="6965" customFormat="false" ht="15.75" hidden="false" customHeight="false" outlineLevel="0" collapsed="false">
      <c r="A6965" s="6" t="n">
        <v>46186</v>
      </c>
      <c r="B6965" s="4" t="s">
        <v>1237</v>
      </c>
      <c r="C6965" s="4" t="n">
        <v>10</v>
      </c>
      <c r="D6965" s="4" t="n">
        <v>16</v>
      </c>
      <c r="E6965" s="4" t="s">
        <v>5108</v>
      </c>
      <c r="F6965" s="4" t="n">
        <v>4</v>
      </c>
      <c r="G6965" s="4" t="n">
        <v>11</v>
      </c>
      <c r="H6965" s="4" t="n">
        <v>4</v>
      </c>
      <c r="I6965" s="4" t="str">
        <v>×</v>
      </c>
      <c r="J6965" s="4"/>
      <c r="K6965" s="4"/>
      <c r="L6965" s="4"/>
      <c r="M6965" s="5" t="s">
        <v>4475</v>
      </c>
    </row>
    <row r="6966" customFormat="false" ht="15.75" hidden="false" customHeight="false" outlineLevel="0" collapsed="false">
      <c r="A6966" s="6" t="n">
        <v>46186</v>
      </c>
      <c r="B6966" s="4" t="s">
        <v>1237</v>
      </c>
      <c r="C6966" s="4" t="n">
        <v>11</v>
      </c>
      <c r="D6966" s="4" t="n">
        <v>1</v>
      </c>
      <c r="E6966" s="4" t="s">
        <v>5109</v>
      </c>
      <c r="F6966" s="4" t="n">
        <v>15</v>
      </c>
      <c r="G6966" s="4" t="n">
        <v>8</v>
      </c>
      <c r="H6966" s="4" t="n">
        <v>4</v>
      </c>
      <c r="I6966" s="4" t="str">
        <v>×</v>
      </c>
      <c r="J6966" s="4"/>
      <c r="K6966" s="4"/>
      <c r="L6966" s="4"/>
      <c r="M6966" s="5" t="s">
        <v>4475</v>
      </c>
    </row>
    <row r="6967" customFormat="false" ht="15.75" hidden="false" customHeight="false" outlineLevel="0" collapsed="false">
      <c r="A6967" s="6" t="n">
        <v>46186</v>
      </c>
      <c r="B6967" s="4" t="s">
        <v>1237</v>
      </c>
      <c r="C6967" s="4" t="n">
        <v>11</v>
      </c>
      <c r="D6967" s="4" t="n">
        <v>2</v>
      </c>
      <c r="E6967" s="4" t="s">
        <v>5110</v>
      </c>
      <c r="F6967" s="4" t="n">
        <v>31</v>
      </c>
      <c r="G6967" s="4" t="n">
        <v>5</v>
      </c>
      <c r="H6967" s="4" t="n">
        <v>4</v>
      </c>
      <c r="I6967" s="4" t="str">
        <v>×</v>
      </c>
      <c r="J6967" s="4"/>
      <c r="K6967" s="4"/>
      <c r="L6967" s="4"/>
      <c r="M6967" s="5" t="s">
        <v>4475</v>
      </c>
    </row>
    <row r="6968" customFormat="false" ht="15.75" hidden="false" customHeight="false" outlineLevel="0" collapsed="false">
      <c r="A6968" s="6" t="n">
        <v>46186</v>
      </c>
      <c r="B6968" s="4" t="s">
        <v>1237</v>
      </c>
      <c r="C6968" s="4" t="n">
        <v>11</v>
      </c>
      <c r="D6968" s="4" t="n">
        <v>3</v>
      </c>
      <c r="E6968" s="4" t="s">
        <v>5111</v>
      </c>
      <c r="F6968" s="4" t="n">
        <v>32</v>
      </c>
      <c r="G6968" s="4" t="n">
        <v>4</v>
      </c>
      <c r="H6968" s="4" t="n">
        <v>3</v>
      </c>
      <c r="I6968" s="4" t="str">
        <v>○</v>
      </c>
      <c r="J6968" s="4" t="n">
        <v>160</v>
      </c>
      <c r="K6968" s="4"/>
      <c r="L6968" s="4"/>
      <c r="M6968" s="5" t="s">
        <v>4475</v>
      </c>
    </row>
    <row r="6969" customFormat="false" ht="15.75" hidden="false" customHeight="false" outlineLevel="0" collapsed="false">
      <c r="A6969" s="6" t="n">
        <v>46186</v>
      </c>
      <c r="B6969" s="4" t="s">
        <v>1237</v>
      </c>
      <c r="C6969" s="4" t="n">
        <v>11</v>
      </c>
      <c r="D6969" s="4" t="n">
        <v>4</v>
      </c>
      <c r="E6969" s="4" t="s">
        <v>5112</v>
      </c>
      <c r="F6969" s="4" t="n">
        <v>31</v>
      </c>
      <c r="G6969" s="4" t="n">
        <v>5</v>
      </c>
      <c r="H6969" s="4" t="n">
        <v>4</v>
      </c>
      <c r="I6969" s="4" t="str">
        <v>×</v>
      </c>
      <c r="J6969" s="4"/>
      <c r="K6969" s="4"/>
      <c r="L6969" s="4"/>
      <c r="M6969" s="5" t="s">
        <v>4475</v>
      </c>
    </row>
    <row r="6970" customFormat="false" ht="15.75" hidden="false" customHeight="false" outlineLevel="0" collapsed="false">
      <c r="A6970" s="6" t="n">
        <v>46186</v>
      </c>
      <c r="B6970" s="4" t="s">
        <v>1237</v>
      </c>
      <c r="C6970" s="4" t="n">
        <v>11</v>
      </c>
      <c r="D6970" s="4" t="n">
        <v>5</v>
      </c>
      <c r="E6970" s="4" t="s">
        <v>4457</v>
      </c>
      <c r="F6970" s="4" t="n">
        <v>1</v>
      </c>
      <c r="G6970" s="4" t="n">
        <v>10</v>
      </c>
      <c r="H6970" s="4" t="n">
        <v>4</v>
      </c>
      <c r="I6970" s="4" t="str">
        <v>×</v>
      </c>
      <c r="J6970" s="4"/>
      <c r="K6970" s="4"/>
      <c r="L6970" s="4"/>
      <c r="M6970" s="5" t="s">
        <v>4475</v>
      </c>
    </row>
    <row r="6971" customFormat="false" ht="15.75" hidden="false" customHeight="false" outlineLevel="0" collapsed="false">
      <c r="A6971" s="6" t="n">
        <v>46186</v>
      </c>
      <c r="B6971" s="4" t="s">
        <v>1237</v>
      </c>
      <c r="C6971" s="4" t="n">
        <v>11</v>
      </c>
      <c r="D6971" s="4" t="n">
        <v>6</v>
      </c>
      <c r="E6971" s="4" t="s">
        <v>4045</v>
      </c>
      <c r="F6971" s="4" t="n">
        <v>6</v>
      </c>
      <c r="G6971" s="4" t="n">
        <v>9</v>
      </c>
      <c r="H6971" s="4" t="n">
        <v>4</v>
      </c>
      <c r="I6971" s="4" t="str">
        <v>×</v>
      </c>
      <c r="J6971" s="4"/>
      <c r="K6971" s="4"/>
      <c r="L6971" s="4"/>
      <c r="M6971" s="5" t="s">
        <v>4475</v>
      </c>
    </row>
    <row r="6972" customFormat="false" ht="15.75" hidden="false" customHeight="false" outlineLevel="0" collapsed="false">
      <c r="A6972" s="6" t="n">
        <v>46186</v>
      </c>
      <c r="B6972" s="4" t="s">
        <v>1237</v>
      </c>
      <c r="C6972" s="4" t="n">
        <v>11</v>
      </c>
      <c r="D6972" s="4" t="n">
        <v>7</v>
      </c>
      <c r="E6972" s="4" t="s">
        <v>4049</v>
      </c>
      <c r="F6972" s="4" t="n">
        <v>17</v>
      </c>
      <c r="G6972" s="4" t="n">
        <v>7</v>
      </c>
      <c r="H6972" s="4" t="n">
        <v>1</v>
      </c>
      <c r="I6972" s="4" t="str">
        <v>○</v>
      </c>
      <c r="J6972" s="4" t="n">
        <v>270</v>
      </c>
      <c r="K6972" s="4"/>
      <c r="L6972" s="4"/>
      <c r="M6972" s="5" t="s">
        <v>4475</v>
      </c>
    </row>
    <row r="6973" customFormat="false" ht="15.75" hidden="false" customHeight="false" outlineLevel="0" collapsed="false">
      <c r="A6973" s="6" t="n">
        <v>46186</v>
      </c>
      <c r="B6973" s="4" t="s">
        <v>1237</v>
      </c>
      <c r="C6973" s="4" t="n">
        <v>11</v>
      </c>
      <c r="D6973" s="4" t="n">
        <v>8</v>
      </c>
      <c r="E6973" s="4" t="s">
        <v>5113</v>
      </c>
      <c r="F6973" s="4" t="n">
        <v>37</v>
      </c>
      <c r="G6973" s="4" t="n">
        <v>3</v>
      </c>
      <c r="H6973" s="4" t="n">
        <v>4</v>
      </c>
      <c r="I6973" s="4" t="str">
        <v>×</v>
      </c>
      <c r="J6973" s="4"/>
      <c r="K6973" s="4"/>
      <c r="L6973" s="4"/>
      <c r="M6973" s="5" t="s">
        <v>4475</v>
      </c>
    </row>
    <row r="6974" customFormat="false" ht="15.75" hidden="false" customHeight="false" outlineLevel="0" collapsed="false">
      <c r="A6974" s="6" t="n">
        <v>46186</v>
      </c>
      <c r="B6974" s="4" t="s">
        <v>1237</v>
      </c>
      <c r="C6974" s="4" t="n">
        <v>11</v>
      </c>
      <c r="D6974" s="4" t="n">
        <v>9</v>
      </c>
      <c r="E6974" s="4"/>
      <c r="F6974" s="4" t="n">
        <v>20</v>
      </c>
      <c r="G6974" s="4" t="n">
        <v>6</v>
      </c>
      <c r="H6974" s="4"/>
      <c r="I6974" s="4" t="str">
        <v/>
      </c>
      <c r="J6974" s="4"/>
      <c r="K6974" s="4"/>
      <c r="L6974" s="4"/>
      <c r="M6974" s="5" t="s">
        <v>4475</v>
      </c>
    </row>
    <row r="6975" customFormat="false" ht="15.75" hidden="false" customHeight="false" outlineLevel="0" collapsed="false">
      <c r="A6975" s="6" t="n">
        <v>46186</v>
      </c>
      <c r="B6975" s="4" t="s">
        <v>1237</v>
      </c>
      <c r="C6975" s="4" t="n">
        <v>11</v>
      </c>
      <c r="D6975" s="4" t="n">
        <v>10</v>
      </c>
      <c r="E6975" s="4" t="s">
        <v>5114</v>
      </c>
      <c r="F6975" s="4" t="n">
        <v>31</v>
      </c>
      <c r="G6975" s="4" t="n">
        <v>5</v>
      </c>
      <c r="H6975" s="4" t="n">
        <v>2</v>
      </c>
      <c r="I6975" s="4" t="str">
        <v>○</v>
      </c>
      <c r="J6975" s="4" t="n">
        <v>220</v>
      </c>
      <c r="K6975" s="4"/>
      <c r="L6975" s="4"/>
      <c r="M6975" s="5" t="s">
        <v>4475</v>
      </c>
    </row>
    <row r="6976" customFormat="false" ht="15.75" hidden="false" customHeight="false" outlineLevel="0" collapsed="false">
      <c r="A6976" s="6" t="n">
        <v>46186</v>
      </c>
      <c r="B6976" s="4" t="s">
        <v>1237</v>
      </c>
      <c r="C6976" s="4" t="n">
        <v>11</v>
      </c>
      <c r="D6976" s="4" t="n">
        <v>11</v>
      </c>
      <c r="E6976" s="4" t="s">
        <v>5115</v>
      </c>
      <c r="F6976" s="4" t="n">
        <v>39</v>
      </c>
      <c r="G6976" s="4" t="n">
        <v>2</v>
      </c>
      <c r="H6976" s="4" t="n">
        <v>4</v>
      </c>
      <c r="I6976" s="4" t="str">
        <v>×</v>
      </c>
      <c r="J6976" s="4"/>
      <c r="K6976" s="4"/>
      <c r="L6976" s="4"/>
      <c r="M6976" s="5" t="s">
        <v>4475</v>
      </c>
    </row>
    <row r="6977" customFormat="false" ht="15.75" hidden="false" customHeight="false" outlineLevel="0" collapsed="false">
      <c r="A6977" s="6" t="n">
        <v>46186</v>
      </c>
      <c r="B6977" s="4" t="s">
        <v>1237</v>
      </c>
      <c r="C6977" s="4" t="n">
        <v>11</v>
      </c>
      <c r="D6977" s="4" t="n">
        <v>12</v>
      </c>
      <c r="E6977" s="4" t="s">
        <v>5116</v>
      </c>
      <c r="F6977" s="4" t="n">
        <v>50</v>
      </c>
      <c r="G6977" s="4" t="n">
        <v>1</v>
      </c>
      <c r="H6977" s="4" t="n">
        <v>4</v>
      </c>
      <c r="I6977" s="4" t="str">
        <v>×</v>
      </c>
      <c r="J6977" s="4"/>
      <c r="K6977" s="4"/>
      <c r="L6977" s="4"/>
      <c r="M6977" s="5" t="s">
        <v>4475</v>
      </c>
    </row>
    <row r="6978" customFormat="false" ht="15.75" hidden="false" customHeight="false" outlineLevel="0" collapsed="false">
      <c r="A6978" s="6" t="n">
        <v>46186</v>
      </c>
      <c r="B6978" s="4" t="s">
        <v>1237</v>
      </c>
      <c r="C6978" s="4" t="n">
        <v>11</v>
      </c>
      <c r="D6978" s="4" t="n">
        <v>13</v>
      </c>
      <c r="E6978" s="4" t="s">
        <v>5117</v>
      </c>
      <c r="F6978" s="4" t="n">
        <v>6</v>
      </c>
      <c r="G6978" s="4" t="n">
        <v>9</v>
      </c>
      <c r="H6978" s="4" t="n">
        <v>4</v>
      </c>
      <c r="I6978" s="4" t="str">
        <v>×</v>
      </c>
      <c r="J6978" s="4"/>
      <c r="K6978" s="4"/>
      <c r="L6978" s="4"/>
      <c r="M6978" s="5" t="s">
        <v>4475</v>
      </c>
    </row>
    <row r="6979" customFormat="false" ht="15.75" hidden="false" customHeight="false" outlineLevel="0" collapsed="false">
      <c r="A6979" s="6" t="n">
        <v>46186</v>
      </c>
      <c r="B6979" s="4" t="s">
        <v>1237</v>
      </c>
      <c r="C6979" s="4" t="n">
        <v>12</v>
      </c>
      <c r="D6979" s="4" t="n">
        <v>1</v>
      </c>
      <c r="E6979" s="4" t="s">
        <v>2239</v>
      </c>
      <c r="F6979" s="4" t="n">
        <v>23</v>
      </c>
      <c r="G6979" s="4" t="n">
        <v>3</v>
      </c>
      <c r="H6979" s="4" t="n">
        <v>4</v>
      </c>
      <c r="I6979" s="4" t="str">
        <v>×</v>
      </c>
      <c r="J6979" s="4"/>
      <c r="K6979" s="4"/>
      <c r="L6979" s="4"/>
      <c r="M6979" s="5" t="s">
        <v>4475</v>
      </c>
    </row>
    <row r="6980" customFormat="false" ht="15.75" hidden="false" customHeight="false" outlineLevel="0" collapsed="false">
      <c r="A6980" s="6" t="n">
        <v>46186</v>
      </c>
      <c r="B6980" s="4" t="s">
        <v>1237</v>
      </c>
      <c r="C6980" s="4" t="n">
        <v>12</v>
      </c>
      <c r="D6980" s="4" t="n">
        <v>2</v>
      </c>
      <c r="E6980" s="4" t="s">
        <v>3289</v>
      </c>
      <c r="F6980" s="4" t="n">
        <v>39</v>
      </c>
      <c r="G6980" s="4" t="n">
        <v>1</v>
      </c>
      <c r="H6980" s="4" t="n">
        <v>2</v>
      </c>
      <c r="I6980" s="4" t="str">
        <v>○</v>
      </c>
      <c r="J6980" s="4" t="n">
        <v>260</v>
      </c>
      <c r="K6980" s="4"/>
      <c r="L6980" s="4"/>
      <c r="M6980" s="5" t="s">
        <v>4475</v>
      </c>
    </row>
    <row r="6981" customFormat="false" ht="15.75" hidden="false" customHeight="false" outlineLevel="0" collapsed="false">
      <c r="A6981" s="6" t="n">
        <v>46186</v>
      </c>
      <c r="B6981" s="4" t="s">
        <v>1237</v>
      </c>
      <c r="C6981" s="4" t="n">
        <v>12</v>
      </c>
      <c r="D6981" s="4" t="n">
        <v>3</v>
      </c>
      <c r="E6981" s="4" t="s">
        <v>2235</v>
      </c>
      <c r="F6981" s="4" t="n">
        <v>8</v>
      </c>
      <c r="G6981" s="4" t="n">
        <v>6</v>
      </c>
      <c r="H6981" s="4" t="n">
        <v>4</v>
      </c>
      <c r="I6981" s="4" t="str">
        <v>×</v>
      </c>
      <c r="J6981" s="4"/>
      <c r="K6981" s="4"/>
      <c r="L6981" s="4"/>
      <c r="M6981" s="5" t="s">
        <v>4475</v>
      </c>
    </row>
    <row r="6982" customFormat="false" ht="15.75" hidden="false" customHeight="false" outlineLevel="0" collapsed="false">
      <c r="A6982" s="6" t="n">
        <v>46186</v>
      </c>
      <c r="B6982" s="4" t="s">
        <v>1237</v>
      </c>
      <c r="C6982" s="4" t="n">
        <v>12</v>
      </c>
      <c r="D6982" s="4" t="n">
        <v>4</v>
      </c>
      <c r="E6982" s="4" t="s">
        <v>5118</v>
      </c>
      <c r="F6982" s="4" t="n">
        <v>15</v>
      </c>
      <c r="G6982" s="4" t="n">
        <v>4</v>
      </c>
      <c r="H6982" s="4" t="n">
        <v>4</v>
      </c>
      <c r="I6982" s="4" t="str">
        <v>×</v>
      </c>
      <c r="J6982" s="4"/>
      <c r="K6982" s="4"/>
      <c r="L6982" s="4"/>
      <c r="M6982" s="5" t="s">
        <v>4475</v>
      </c>
    </row>
    <row r="6983" customFormat="false" ht="15.75" hidden="false" customHeight="false" outlineLevel="0" collapsed="false">
      <c r="A6983" s="6" t="n">
        <v>46186</v>
      </c>
      <c r="B6983" s="4" t="s">
        <v>1237</v>
      </c>
      <c r="C6983" s="4" t="n">
        <v>12</v>
      </c>
      <c r="D6983" s="4" t="n">
        <v>5</v>
      </c>
      <c r="E6983" s="4" t="s">
        <v>5119</v>
      </c>
      <c r="F6983" s="4" t="n">
        <v>4</v>
      </c>
      <c r="G6983" s="4" t="n">
        <v>7</v>
      </c>
      <c r="H6983" s="4" t="n">
        <v>3</v>
      </c>
      <c r="I6983" s="4" t="str">
        <v>○</v>
      </c>
      <c r="J6983" s="4" t="n">
        <v>210</v>
      </c>
      <c r="K6983" s="4"/>
      <c r="L6983" s="4"/>
      <c r="M6983" s="5" t="s">
        <v>4475</v>
      </c>
    </row>
    <row r="6984" customFormat="false" ht="15.75" hidden="false" customHeight="false" outlineLevel="0" collapsed="false">
      <c r="A6984" s="6" t="n">
        <v>46186</v>
      </c>
      <c r="B6984" s="4" t="s">
        <v>1237</v>
      </c>
      <c r="C6984" s="4" t="n">
        <v>12</v>
      </c>
      <c r="D6984" s="4" t="n">
        <v>6</v>
      </c>
      <c r="E6984" s="4" t="s">
        <v>5120</v>
      </c>
      <c r="F6984" s="4" t="n">
        <v>29</v>
      </c>
      <c r="G6984" s="4" t="n">
        <v>2</v>
      </c>
      <c r="H6984" s="4" t="n">
        <v>4</v>
      </c>
      <c r="I6984" s="4" t="str">
        <v>×</v>
      </c>
      <c r="J6984" s="4"/>
      <c r="K6984" s="4"/>
      <c r="L6984" s="4"/>
      <c r="M6984" s="5" t="s">
        <v>4475</v>
      </c>
    </row>
    <row r="6985" customFormat="false" ht="15.75" hidden="false" customHeight="false" outlineLevel="0" collapsed="false">
      <c r="A6985" s="6" t="n">
        <v>46186</v>
      </c>
      <c r="B6985" s="4" t="s">
        <v>1237</v>
      </c>
      <c r="C6985" s="4" t="n">
        <v>12</v>
      </c>
      <c r="D6985" s="4" t="n">
        <v>7</v>
      </c>
      <c r="E6985" s="4" t="s">
        <v>1324</v>
      </c>
      <c r="F6985" s="4" t="n">
        <v>4</v>
      </c>
      <c r="G6985" s="4" t="n">
        <v>7</v>
      </c>
      <c r="H6985" s="4" t="n">
        <v>4</v>
      </c>
      <c r="I6985" s="4" t="str">
        <v>×</v>
      </c>
      <c r="J6985" s="4"/>
      <c r="K6985" s="4"/>
      <c r="L6985" s="4"/>
      <c r="M6985" s="5" t="s">
        <v>4475</v>
      </c>
    </row>
    <row r="6986" customFormat="false" ht="15.75" hidden="false" customHeight="false" outlineLevel="0" collapsed="false">
      <c r="A6986" s="6" t="n">
        <v>46186</v>
      </c>
      <c r="B6986" s="4" t="s">
        <v>1237</v>
      </c>
      <c r="C6986" s="4" t="n">
        <v>12</v>
      </c>
      <c r="D6986" s="4" t="n">
        <v>8</v>
      </c>
      <c r="E6986" s="4" t="s">
        <v>2630</v>
      </c>
      <c r="F6986" s="4" t="n">
        <v>13</v>
      </c>
      <c r="G6986" s="4" t="n">
        <v>5</v>
      </c>
      <c r="H6986" s="4" t="n">
        <v>4</v>
      </c>
      <c r="I6986" s="4" t="str">
        <v>×</v>
      </c>
      <c r="J6986" s="4"/>
      <c r="K6986" s="4"/>
      <c r="L6986" s="4"/>
      <c r="M6986" s="5" t="s">
        <v>4475</v>
      </c>
    </row>
    <row r="6987" customFormat="false" ht="15.75" hidden="false" customHeight="false" outlineLevel="0" collapsed="false">
      <c r="A6987" s="6" t="n">
        <v>46186</v>
      </c>
      <c r="B6987" s="4" t="s">
        <v>1237</v>
      </c>
      <c r="C6987" s="4" t="n">
        <v>12</v>
      </c>
      <c r="D6987" s="4" t="n">
        <v>9</v>
      </c>
      <c r="E6987" s="4" t="s">
        <v>3877</v>
      </c>
      <c r="F6987" s="4" t="n">
        <v>3</v>
      </c>
      <c r="G6987" s="4" t="n">
        <v>8</v>
      </c>
      <c r="H6987" s="4" t="n">
        <v>1</v>
      </c>
      <c r="I6987" s="4" t="str">
        <v>○</v>
      </c>
      <c r="J6987" s="4" t="n">
        <v>660</v>
      </c>
      <c r="K6987" s="4"/>
      <c r="L6987" s="4"/>
      <c r="M6987" s="5" t="s">
        <v>4475</v>
      </c>
    </row>
    <row r="6988" customFormat="false" ht="15.75" hidden="false" customHeight="false" outlineLevel="0" collapsed="false">
      <c r="A6988" s="6" t="n">
        <v>46186</v>
      </c>
      <c r="B6988" s="4" t="s">
        <v>1237</v>
      </c>
      <c r="C6988" s="4" t="n">
        <v>12</v>
      </c>
      <c r="D6988" s="4" t="n">
        <v>10</v>
      </c>
      <c r="E6988" s="4" t="s">
        <v>5121</v>
      </c>
      <c r="F6988" s="4" t="n">
        <v>4</v>
      </c>
      <c r="G6988" s="4" t="n">
        <v>7</v>
      </c>
      <c r="H6988" s="4" t="n">
        <v>4</v>
      </c>
      <c r="I6988" s="4" t="str">
        <v>×</v>
      </c>
      <c r="J6988" s="4"/>
      <c r="K6988" s="4"/>
      <c r="L6988" s="4"/>
      <c r="M6988" s="5" t="s">
        <v>4475</v>
      </c>
    </row>
    <row r="6989" customFormat="false" ht="15.75" hidden="false" customHeight="false" outlineLevel="0" collapsed="false">
      <c r="A6989" s="6" t="n">
        <v>46186</v>
      </c>
      <c r="B6989" s="4" t="s">
        <v>1237</v>
      </c>
      <c r="C6989" s="4" t="n">
        <v>12</v>
      </c>
      <c r="D6989" s="4" t="n">
        <v>11</v>
      </c>
      <c r="E6989" s="4" t="s">
        <v>2244</v>
      </c>
      <c r="F6989" s="4" t="n">
        <v>15</v>
      </c>
      <c r="G6989" s="4" t="n">
        <v>4</v>
      </c>
      <c r="H6989" s="4" t="n">
        <v>4</v>
      </c>
      <c r="I6989" s="4" t="str">
        <v>×</v>
      </c>
      <c r="J6989" s="4"/>
      <c r="K6989" s="4"/>
      <c r="L6989" s="4"/>
      <c r="M6989" s="5" t="s">
        <v>4475</v>
      </c>
    </row>
    <row r="6990" customFormat="false" ht="15.75" hidden="false" customHeight="false" outlineLevel="0" collapsed="false">
      <c r="A6990" s="6" t="n">
        <v>46186</v>
      </c>
      <c r="B6990" s="4" t="s">
        <v>1237</v>
      </c>
      <c r="C6990" s="4" t="n">
        <v>12</v>
      </c>
      <c r="D6990" s="4" t="n">
        <v>12</v>
      </c>
      <c r="E6990" s="4" t="s">
        <v>2989</v>
      </c>
      <c r="F6990" s="4" t="n">
        <v>29</v>
      </c>
      <c r="G6990" s="4" t="n">
        <v>2</v>
      </c>
      <c r="H6990" s="4" t="n">
        <v>4</v>
      </c>
      <c r="I6990" s="4" t="str">
        <v>×</v>
      </c>
      <c r="J6990" s="4"/>
      <c r="K6990" s="4"/>
      <c r="L6990" s="4"/>
      <c r="M6990" s="5" t="s">
        <v>4475</v>
      </c>
    </row>
    <row r="6991" customFormat="false" ht="15.75" hidden="false" customHeight="false" outlineLevel="0" collapsed="false">
      <c r="A6991" s="6" t="n">
        <v>46187</v>
      </c>
      <c r="B6991" s="4" t="s">
        <v>4473</v>
      </c>
      <c r="C6991" s="4" t="n">
        <v>1</v>
      </c>
      <c r="D6991" s="4" t="n">
        <v>1</v>
      </c>
      <c r="E6991" s="4" t="s">
        <v>57</v>
      </c>
      <c r="F6991" s="4" t="n">
        <v>4</v>
      </c>
      <c r="G6991" s="4" t="n">
        <v>8</v>
      </c>
      <c r="H6991" s="4" t="n">
        <v>4</v>
      </c>
      <c r="I6991" s="4" t="str">
        <v>×</v>
      </c>
      <c r="J6991" s="4"/>
      <c r="K6991" s="4"/>
      <c r="L6991" s="4"/>
      <c r="M6991" s="5" t="s">
        <v>4475</v>
      </c>
    </row>
    <row r="6992" customFormat="false" ht="15.75" hidden="false" customHeight="false" outlineLevel="0" collapsed="false">
      <c r="A6992" s="6" t="n">
        <v>46187</v>
      </c>
      <c r="B6992" s="4" t="s">
        <v>4473</v>
      </c>
      <c r="C6992" s="4" t="n">
        <v>1</v>
      </c>
      <c r="D6992" s="4" t="n">
        <v>2</v>
      </c>
      <c r="E6992" s="4" t="s">
        <v>5122</v>
      </c>
      <c r="F6992" s="4" t="n">
        <v>4</v>
      </c>
      <c r="G6992" s="4" t="n">
        <v>8</v>
      </c>
      <c r="H6992" s="4" t="n">
        <v>4</v>
      </c>
      <c r="I6992" s="4" t="str">
        <v>×</v>
      </c>
      <c r="J6992" s="4"/>
      <c r="K6992" s="4"/>
      <c r="L6992" s="4"/>
      <c r="M6992" s="5" t="s">
        <v>4475</v>
      </c>
    </row>
    <row r="6993" customFormat="false" ht="15.75" hidden="false" customHeight="false" outlineLevel="0" collapsed="false">
      <c r="A6993" s="6" t="n">
        <v>46187</v>
      </c>
      <c r="B6993" s="4" t="s">
        <v>4473</v>
      </c>
      <c r="C6993" s="4" t="n">
        <v>1</v>
      </c>
      <c r="D6993" s="4" t="n">
        <v>3</v>
      </c>
      <c r="E6993" s="4" t="s">
        <v>492</v>
      </c>
      <c r="F6993" s="4" t="n">
        <v>25</v>
      </c>
      <c r="G6993" s="4" t="n">
        <v>4</v>
      </c>
      <c r="H6993" s="4" t="n">
        <v>4</v>
      </c>
      <c r="I6993" s="4" t="str">
        <v>×</v>
      </c>
      <c r="J6993" s="4"/>
      <c r="K6993" s="4"/>
      <c r="L6993" s="4"/>
      <c r="M6993" s="5" t="s">
        <v>4475</v>
      </c>
    </row>
    <row r="6994" customFormat="false" ht="15.75" hidden="false" customHeight="false" outlineLevel="0" collapsed="false">
      <c r="A6994" s="6" t="n">
        <v>46187</v>
      </c>
      <c r="B6994" s="4" t="s">
        <v>4473</v>
      </c>
      <c r="C6994" s="4" t="n">
        <v>1</v>
      </c>
      <c r="D6994" s="4" t="n">
        <v>4</v>
      </c>
      <c r="E6994" s="4" t="s">
        <v>5123</v>
      </c>
      <c r="F6994" s="4" t="n">
        <v>2</v>
      </c>
      <c r="G6994" s="4" t="n">
        <v>9</v>
      </c>
      <c r="H6994" s="4" t="n">
        <v>4</v>
      </c>
      <c r="I6994" s="4" t="str">
        <v>×</v>
      </c>
      <c r="J6994" s="4"/>
      <c r="K6994" s="4"/>
      <c r="L6994" s="4"/>
      <c r="M6994" s="5" t="s">
        <v>4475</v>
      </c>
    </row>
    <row r="6995" customFormat="false" ht="15.75" hidden="false" customHeight="false" outlineLevel="0" collapsed="false">
      <c r="A6995" s="6" t="n">
        <v>46187</v>
      </c>
      <c r="B6995" s="4" t="s">
        <v>4473</v>
      </c>
      <c r="C6995" s="4" t="n">
        <v>1</v>
      </c>
      <c r="D6995" s="4" t="n">
        <v>5</v>
      </c>
      <c r="E6995" s="4" t="s">
        <v>3736</v>
      </c>
      <c r="F6995" s="4" t="n">
        <v>52</v>
      </c>
      <c r="G6995" s="4" t="n">
        <v>2</v>
      </c>
      <c r="H6995" s="4" t="n">
        <v>4</v>
      </c>
      <c r="I6995" s="4" t="str">
        <v>×</v>
      </c>
      <c r="J6995" s="4"/>
      <c r="K6995" s="4"/>
      <c r="L6995" s="4"/>
      <c r="M6995" s="5" t="s">
        <v>4475</v>
      </c>
    </row>
    <row r="6996" customFormat="false" ht="15.75" hidden="false" customHeight="false" outlineLevel="0" collapsed="false">
      <c r="A6996" s="6" t="n">
        <v>46187</v>
      </c>
      <c r="B6996" s="4" t="s">
        <v>4473</v>
      </c>
      <c r="C6996" s="4" t="n">
        <v>1</v>
      </c>
      <c r="D6996" s="4" t="n">
        <v>6</v>
      </c>
      <c r="E6996" s="4" t="s">
        <v>5124</v>
      </c>
      <c r="F6996" s="4" t="n">
        <v>2</v>
      </c>
      <c r="G6996" s="4" t="n">
        <v>9</v>
      </c>
      <c r="H6996" s="4" t="n">
        <v>4</v>
      </c>
      <c r="I6996" s="4" t="str">
        <v>×</v>
      </c>
      <c r="J6996" s="4"/>
      <c r="K6996" s="4"/>
      <c r="L6996" s="4"/>
      <c r="M6996" s="5" t="s">
        <v>4475</v>
      </c>
    </row>
    <row r="6997" customFormat="false" ht="15.75" hidden="false" customHeight="false" outlineLevel="0" collapsed="false">
      <c r="A6997" s="6" t="n">
        <v>46187</v>
      </c>
      <c r="B6997" s="4" t="s">
        <v>4473</v>
      </c>
      <c r="C6997" s="4" t="n">
        <v>1</v>
      </c>
      <c r="D6997" s="4" t="n">
        <v>7</v>
      </c>
      <c r="E6997" s="4" t="s">
        <v>4085</v>
      </c>
      <c r="F6997" s="4" t="n">
        <v>20</v>
      </c>
      <c r="G6997" s="4" t="n">
        <v>5</v>
      </c>
      <c r="H6997" s="4" t="n">
        <v>1</v>
      </c>
      <c r="I6997" s="4" t="str">
        <v>○</v>
      </c>
      <c r="J6997" s="4" t="n">
        <v>180</v>
      </c>
      <c r="K6997" s="4"/>
      <c r="L6997" s="4"/>
      <c r="M6997" s="5" t="s">
        <v>4475</v>
      </c>
    </row>
    <row r="6998" customFormat="false" ht="15.75" hidden="false" customHeight="false" outlineLevel="0" collapsed="false">
      <c r="A6998" s="6" t="n">
        <v>46187</v>
      </c>
      <c r="B6998" s="4" t="s">
        <v>4473</v>
      </c>
      <c r="C6998" s="4" t="n">
        <v>1</v>
      </c>
      <c r="D6998" s="4" t="n">
        <v>8</v>
      </c>
      <c r="E6998" s="4" t="s">
        <v>3334</v>
      </c>
      <c r="F6998" s="4" t="n">
        <v>31</v>
      </c>
      <c r="G6998" s="4" t="n">
        <v>3</v>
      </c>
      <c r="H6998" s="4" t="n">
        <v>4</v>
      </c>
      <c r="I6998" s="4" t="str">
        <v>×</v>
      </c>
      <c r="J6998" s="4"/>
      <c r="K6998" s="4"/>
      <c r="L6998" s="4"/>
      <c r="M6998" s="5" t="s">
        <v>4475</v>
      </c>
    </row>
    <row r="6999" customFormat="false" ht="15.75" hidden="false" customHeight="false" outlineLevel="0" collapsed="false">
      <c r="A6999" s="6" t="n">
        <v>46187</v>
      </c>
      <c r="B6999" s="4" t="s">
        <v>4473</v>
      </c>
      <c r="C6999" s="4" t="n">
        <v>1</v>
      </c>
      <c r="D6999" s="4" t="n">
        <v>9</v>
      </c>
      <c r="E6999" s="4" t="s">
        <v>1010</v>
      </c>
      <c r="F6999" s="4" t="n">
        <v>4</v>
      </c>
      <c r="G6999" s="4" t="n">
        <v>8</v>
      </c>
      <c r="H6999" s="4" t="n">
        <v>4</v>
      </c>
      <c r="I6999" s="4" t="str">
        <v>×</v>
      </c>
      <c r="J6999" s="4"/>
      <c r="K6999" s="4"/>
      <c r="L6999" s="4"/>
      <c r="M6999" s="5" t="s">
        <v>4475</v>
      </c>
    </row>
    <row r="7000" customFormat="false" ht="15.75" hidden="false" customHeight="false" outlineLevel="0" collapsed="false">
      <c r="A7000" s="6" t="n">
        <v>46187</v>
      </c>
      <c r="B7000" s="4" t="s">
        <v>4473</v>
      </c>
      <c r="C7000" s="4" t="n">
        <v>1</v>
      </c>
      <c r="D7000" s="4" t="n">
        <v>10</v>
      </c>
      <c r="E7000" s="4" t="s">
        <v>5125</v>
      </c>
      <c r="F7000" s="4" t="n">
        <v>17</v>
      </c>
      <c r="G7000" s="4" t="n">
        <v>6</v>
      </c>
      <c r="H7000" s="4" t="n">
        <v>4</v>
      </c>
      <c r="I7000" s="4" t="str">
        <v>×</v>
      </c>
      <c r="J7000" s="4"/>
      <c r="K7000" s="4"/>
      <c r="L7000" s="4"/>
      <c r="M7000" s="5" t="s">
        <v>4475</v>
      </c>
    </row>
    <row r="7001" customFormat="false" ht="15.75" hidden="false" customHeight="false" outlineLevel="0" collapsed="false">
      <c r="A7001" s="6" t="n">
        <v>46187</v>
      </c>
      <c r="B7001" s="4" t="s">
        <v>4473</v>
      </c>
      <c r="C7001" s="4" t="n">
        <v>1</v>
      </c>
      <c r="D7001" s="4" t="n">
        <v>11</v>
      </c>
      <c r="E7001" s="4" t="s">
        <v>1910</v>
      </c>
      <c r="F7001" s="4" t="n">
        <v>31</v>
      </c>
      <c r="G7001" s="4" t="n">
        <v>3</v>
      </c>
      <c r="H7001" s="4" t="n">
        <v>3</v>
      </c>
      <c r="I7001" s="4" t="str">
        <v>○</v>
      </c>
      <c r="J7001" s="4" t="n">
        <v>130</v>
      </c>
      <c r="K7001" s="4"/>
      <c r="L7001" s="4"/>
      <c r="M7001" s="5" t="s">
        <v>4475</v>
      </c>
    </row>
    <row r="7002" customFormat="false" ht="15.75" hidden="false" customHeight="false" outlineLevel="0" collapsed="false">
      <c r="A7002" s="6" t="n">
        <v>46187</v>
      </c>
      <c r="B7002" s="4" t="s">
        <v>4473</v>
      </c>
      <c r="C7002" s="4" t="n">
        <v>1</v>
      </c>
      <c r="D7002" s="4" t="n">
        <v>12</v>
      </c>
      <c r="E7002" s="4" t="s">
        <v>5126</v>
      </c>
      <c r="F7002" s="4" t="n">
        <v>4</v>
      </c>
      <c r="G7002" s="4" t="n">
        <v>8</v>
      </c>
      <c r="H7002" s="4" t="n">
        <v>4</v>
      </c>
      <c r="I7002" s="4" t="str">
        <v>×</v>
      </c>
      <c r="J7002" s="4"/>
      <c r="K7002" s="4"/>
      <c r="L7002" s="4"/>
      <c r="M7002" s="5" t="s">
        <v>4475</v>
      </c>
    </row>
    <row r="7003" customFormat="false" ht="15.75" hidden="false" customHeight="false" outlineLevel="0" collapsed="false">
      <c r="A7003" s="6" t="n">
        <v>46187</v>
      </c>
      <c r="B7003" s="4" t="s">
        <v>4473</v>
      </c>
      <c r="C7003" s="4" t="n">
        <v>1</v>
      </c>
      <c r="D7003" s="4" t="n">
        <v>13</v>
      </c>
      <c r="E7003" s="4" t="s">
        <v>954</v>
      </c>
      <c r="F7003" s="4" t="n">
        <v>10</v>
      </c>
      <c r="G7003" s="4" t="n">
        <v>7</v>
      </c>
      <c r="H7003" s="4" t="n">
        <v>4</v>
      </c>
      <c r="I7003" s="4" t="str">
        <v>×</v>
      </c>
      <c r="J7003" s="4"/>
      <c r="K7003" s="4"/>
      <c r="L7003" s="4"/>
      <c r="M7003" s="5" t="s">
        <v>4475</v>
      </c>
    </row>
    <row r="7004" customFormat="false" ht="15.75" hidden="false" customHeight="false" outlineLevel="0" collapsed="false">
      <c r="A7004" s="6" t="n">
        <v>46187</v>
      </c>
      <c r="B7004" s="4" t="s">
        <v>4473</v>
      </c>
      <c r="C7004" s="4" t="n">
        <v>1</v>
      </c>
      <c r="D7004" s="4" t="n">
        <v>14</v>
      </c>
      <c r="E7004" s="4" t="s">
        <v>942</v>
      </c>
      <c r="F7004" s="4" t="n">
        <v>4</v>
      </c>
      <c r="G7004" s="4" t="n">
        <v>8</v>
      </c>
      <c r="H7004" s="4" t="n">
        <v>4</v>
      </c>
      <c r="I7004" s="4" t="str">
        <v>×</v>
      </c>
      <c r="J7004" s="4"/>
      <c r="K7004" s="4"/>
      <c r="L7004" s="4"/>
      <c r="M7004" s="5" t="s">
        <v>4475</v>
      </c>
    </row>
    <row r="7005" customFormat="false" ht="15.75" hidden="false" customHeight="false" outlineLevel="0" collapsed="false">
      <c r="A7005" s="6" t="n">
        <v>46187</v>
      </c>
      <c r="B7005" s="4" t="s">
        <v>4473</v>
      </c>
      <c r="C7005" s="4" t="n">
        <v>1</v>
      </c>
      <c r="D7005" s="4" t="n">
        <v>15</v>
      </c>
      <c r="E7005" s="4" t="s">
        <v>2342</v>
      </c>
      <c r="F7005" s="4" t="n">
        <v>74</v>
      </c>
      <c r="G7005" s="4" t="n">
        <v>1</v>
      </c>
      <c r="H7005" s="4" t="n">
        <v>2</v>
      </c>
      <c r="I7005" s="4" t="str">
        <v>○</v>
      </c>
      <c r="J7005" s="4" t="n">
        <v>110</v>
      </c>
      <c r="K7005" s="4"/>
      <c r="L7005" s="4"/>
      <c r="M7005" s="5" t="s">
        <v>4475</v>
      </c>
    </row>
    <row r="7006" customFormat="false" ht="15.75" hidden="false" customHeight="false" outlineLevel="0" collapsed="false">
      <c r="A7006" s="6" t="n">
        <v>46187</v>
      </c>
      <c r="B7006" s="4" t="s">
        <v>4473</v>
      </c>
      <c r="C7006" s="4" t="n">
        <v>2</v>
      </c>
      <c r="D7006" s="4" t="n">
        <v>1</v>
      </c>
      <c r="E7006" s="4" t="s">
        <v>5127</v>
      </c>
      <c r="F7006" s="4" t="n">
        <v>2</v>
      </c>
      <c r="G7006" s="4" t="n">
        <v>11</v>
      </c>
      <c r="H7006" s="4" t="n">
        <v>4</v>
      </c>
      <c r="I7006" s="4" t="str">
        <v>×</v>
      </c>
      <c r="J7006" s="4"/>
      <c r="K7006" s="4"/>
      <c r="L7006" s="4"/>
      <c r="M7006" s="5" t="s">
        <v>4475</v>
      </c>
    </row>
    <row r="7007" customFormat="false" ht="15.75" hidden="false" customHeight="false" outlineLevel="0" collapsed="false">
      <c r="A7007" s="6" t="n">
        <v>46187</v>
      </c>
      <c r="B7007" s="4" t="s">
        <v>4473</v>
      </c>
      <c r="C7007" s="4" t="n">
        <v>2</v>
      </c>
      <c r="D7007" s="4" t="n">
        <v>2</v>
      </c>
      <c r="E7007" s="4" t="s">
        <v>2594</v>
      </c>
      <c r="F7007" s="4" t="n">
        <v>35</v>
      </c>
      <c r="G7007" s="4" t="n">
        <v>3</v>
      </c>
      <c r="H7007" s="4" t="n">
        <v>4</v>
      </c>
      <c r="I7007" s="4" t="str">
        <v>×</v>
      </c>
      <c r="J7007" s="4"/>
      <c r="K7007" s="4"/>
      <c r="L7007" s="4"/>
      <c r="M7007" s="5" t="s">
        <v>4475</v>
      </c>
    </row>
    <row r="7008" customFormat="false" ht="15.75" hidden="false" customHeight="false" outlineLevel="0" collapsed="false">
      <c r="A7008" s="6" t="n">
        <v>46187</v>
      </c>
      <c r="B7008" s="4" t="s">
        <v>4473</v>
      </c>
      <c r="C7008" s="4" t="n">
        <v>2</v>
      </c>
      <c r="D7008" s="4" t="n">
        <v>3</v>
      </c>
      <c r="E7008" s="4" t="s">
        <v>5128</v>
      </c>
      <c r="F7008" s="4" t="n">
        <v>1</v>
      </c>
      <c r="G7008" s="4" t="n">
        <v>12</v>
      </c>
      <c r="H7008" s="4" t="n">
        <v>4</v>
      </c>
      <c r="I7008" s="4" t="str">
        <v>×</v>
      </c>
      <c r="J7008" s="4"/>
      <c r="K7008" s="4"/>
      <c r="L7008" s="4"/>
      <c r="M7008" s="5" t="s">
        <v>4475</v>
      </c>
    </row>
    <row r="7009" customFormat="false" ht="15.75" hidden="false" customHeight="false" outlineLevel="0" collapsed="false">
      <c r="A7009" s="6" t="n">
        <v>46187</v>
      </c>
      <c r="B7009" s="4" t="s">
        <v>4473</v>
      </c>
      <c r="C7009" s="4" t="n">
        <v>2</v>
      </c>
      <c r="D7009" s="4" t="n">
        <v>4</v>
      </c>
      <c r="E7009" s="4" t="s">
        <v>1261</v>
      </c>
      <c r="F7009" s="4" t="n">
        <v>35</v>
      </c>
      <c r="G7009" s="4" t="n">
        <v>3</v>
      </c>
      <c r="H7009" s="4" t="n">
        <v>3</v>
      </c>
      <c r="I7009" s="4" t="str">
        <v>○</v>
      </c>
      <c r="J7009" s="4" t="n">
        <v>310</v>
      </c>
      <c r="K7009" s="4"/>
      <c r="L7009" s="4"/>
      <c r="M7009" s="5" t="s">
        <v>4475</v>
      </c>
    </row>
    <row r="7010" customFormat="false" ht="15.75" hidden="false" customHeight="false" outlineLevel="0" collapsed="false">
      <c r="A7010" s="6" t="n">
        <v>46187</v>
      </c>
      <c r="B7010" s="4" t="s">
        <v>4473</v>
      </c>
      <c r="C7010" s="4" t="n">
        <v>2</v>
      </c>
      <c r="D7010" s="4" t="n">
        <v>5</v>
      </c>
      <c r="E7010" s="4" t="s">
        <v>2579</v>
      </c>
      <c r="F7010" s="4" t="n">
        <v>15</v>
      </c>
      <c r="G7010" s="4" t="n">
        <v>6</v>
      </c>
      <c r="H7010" s="4" t="n">
        <v>4</v>
      </c>
      <c r="I7010" s="4" t="str">
        <v>×</v>
      </c>
      <c r="J7010" s="4"/>
      <c r="K7010" s="4"/>
      <c r="L7010" s="4"/>
      <c r="M7010" s="5" t="s">
        <v>4475</v>
      </c>
    </row>
    <row r="7011" customFormat="false" ht="15.75" hidden="false" customHeight="false" outlineLevel="0" collapsed="false">
      <c r="A7011" s="6" t="n">
        <v>46187</v>
      </c>
      <c r="B7011" s="4" t="s">
        <v>4473</v>
      </c>
      <c r="C7011" s="4" t="n">
        <v>2</v>
      </c>
      <c r="D7011" s="4" t="n">
        <v>6</v>
      </c>
      <c r="E7011" s="4" t="s">
        <v>1259</v>
      </c>
      <c r="F7011" s="4" t="n">
        <v>34</v>
      </c>
      <c r="G7011" s="4" t="n">
        <v>4</v>
      </c>
      <c r="H7011" s="4" t="n">
        <v>2</v>
      </c>
      <c r="I7011" s="4" t="str">
        <v>○</v>
      </c>
      <c r="J7011" s="4" t="n">
        <v>400</v>
      </c>
      <c r="K7011" s="4"/>
      <c r="L7011" s="4"/>
      <c r="M7011" s="5" t="s">
        <v>4475</v>
      </c>
    </row>
    <row r="7012" customFormat="false" ht="15.75" hidden="false" customHeight="false" outlineLevel="0" collapsed="false">
      <c r="A7012" s="6" t="n">
        <v>46187</v>
      </c>
      <c r="B7012" s="4" t="s">
        <v>4473</v>
      </c>
      <c r="C7012" s="4" t="n">
        <v>2</v>
      </c>
      <c r="D7012" s="4" t="n">
        <v>7</v>
      </c>
      <c r="E7012" s="4" t="s">
        <v>5129</v>
      </c>
      <c r="F7012" s="4" t="n">
        <v>10</v>
      </c>
      <c r="G7012" s="4" t="n">
        <v>8</v>
      </c>
      <c r="H7012" s="4" t="n">
        <v>4</v>
      </c>
      <c r="I7012" s="4" t="str">
        <v>×</v>
      </c>
      <c r="J7012" s="4"/>
      <c r="K7012" s="4"/>
      <c r="L7012" s="4"/>
      <c r="M7012" s="5" t="s">
        <v>4475</v>
      </c>
    </row>
    <row r="7013" customFormat="false" ht="15.75" hidden="false" customHeight="false" outlineLevel="0" collapsed="false">
      <c r="A7013" s="6" t="n">
        <v>46187</v>
      </c>
      <c r="B7013" s="4" t="s">
        <v>4473</v>
      </c>
      <c r="C7013" s="4" t="n">
        <v>2</v>
      </c>
      <c r="D7013" s="4" t="n">
        <v>8</v>
      </c>
      <c r="E7013" s="4" t="s">
        <v>5130</v>
      </c>
      <c r="F7013" s="4" t="n">
        <v>81</v>
      </c>
      <c r="G7013" s="4" t="n">
        <v>1</v>
      </c>
      <c r="H7013" s="4" t="n">
        <v>1</v>
      </c>
      <c r="I7013" s="4" t="str">
        <v>○</v>
      </c>
      <c r="J7013" s="4" t="n">
        <v>110</v>
      </c>
      <c r="K7013" s="4"/>
      <c r="L7013" s="4"/>
      <c r="M7013" s="5" t="s">
        <v>4475</v>
      </c>
    </row>
    <row r="7014" customFormat="false" ht="15.75" hidden="false" customHeight="false" outlineLevel="0" collapsed="false">
      <c r="A7014" s="6" t="n">
        <v>46187</v>
      </c>
      <c r="B7014" s="4" t="s">
        <v>4473</v>
      </c>
      <c r="C7014" s="4" t="n">
        <v>2</v>
      </c>
      <c r="D7014" s="4" t="n">
        <v>9</v>
      </c>
      <c r="E7014" s="4" t="s">
        <v>5131</v>
      </c>
      <c r="F7014" s="4" t="n">
        <v>4</v>
      </c>
      <c r="G7014" s="4" t="n">
        <v>10</v>
      </c>
      <c r="H7014" s="4" t="n">
        <v>4</v>
      </c>
      <c r="I7014" s="4" t="str">
        <v>×</v>
      </c>
      <c r="J7014" s="4"/>
      <c r="K7014" s="4"/>
      <c r="L7014" s="4"/>
      <c r="M7014" s="5" t="s">
        <v>4475</v>
      </c>
    </row>
    <row r="7015" customFormat="false" ht="15.75" hidden="false" customHeight="false" outlineLevel="0" collapsed="false">
      <c r="A7015" s="6" t="n">
        <v>46187</v>
      </c>
      <c r="B7015" s="4" t="s">
        <v>4473</v>
      </c>
      <c r="C7015" s="4" t="n">
        <v>2</v>
      </c>
      <c r="D7015" s="4" t="n">
        <v>10</v>
      </c>
      <c r="E7015" s="4" t="s">
        <v>5132</v>
      </c>
      <c r="F7015" s="4" t="n">
        <v>2</v>
      </c>
      <c r="G7015" s="4" t="n">
        <v>11</v>
      </c>
      <c r="H7015" s="4" t="n">
        <v>4</v>
      </c>
      <c r="I7015" s="4" t="str">
        <v>×</v>
      </c>
      <c r="J7015" s="4"/>
      <c r="K7015" s="4"/>
      <c r="L7015" s="4"/>
      <c r="M7015" s="5" t="s">
        <v>4475</v>
      </c>
    </row>
    <row r="7016" customFormat="false" ht="15.75" hidden="false" customHeight="false" outlineLevel="0" collapsed="false">
      <c r="A7016" s="6" t="n">
        <v>46187</v>
      </c>
      <c r="B7016" s="4" t="s">
        <v>4473</v>
      </c>
      <c r="C7016" s="4" t="n">
        <v>2</v>
      </c>
      <c r="D7016" s="4" t="n">
        <v>11</v>
      </c>
      <c r="E7016" s="4" t="s">
        <v>5133</v>
      </c>
      <c r="F7016" s="4" t="n">
        <v>6</v>
      </c>
      <c r="G7016" s="4" t="n">
        <v>9</v>
      </c>
      <c r="H7016" s="4" t="n">
        <v>4</v>
      </c>
      <c r="I7016" s="4" t="str">
        <v>×</v>
      </c>
      <c r="J7016" s="4"/>
      <c r="K7016" s="4"/>
      <c r="L7016" s="4"/>
      <c r="M7016" s="5" t="s">
        <v>4475</v>
      </c>
    </row>
    <row r="7017" customFormat="false" ht="15.75" hidden="false" customHeight="false" outlineLevel="0" collapsed="false">
      <c r="A7017" s="6" t="n">
        <v>46187</v>
      </c>
      <c r="B7017" s="4" t="s">
        <v>4473</v>
      </c>
      <c r="C7017" s="4" t="n">
        <v>2</v>
      </c>
      <c r="D7017" s="4" t="n">
        <v>12</v>
      </c>
      <c r="E7017" s="4" t="s">
        <v>1736</v>
      </c>
      <c r="F7017" s="4" t="n">
        <v>39</v>
      </c>
      <c r="G7017" s="4" t="n">
        <v>2</v>
      </c>
      <c r="H7017" s="4" t="n">
        <v>4</v>
      </c>
      <c r="I7017" s="4" t="str">
        <v>×</v>
      </c>
      <c r="J7017" s="4"/>
      <c r="K7017" s="4"/>
      <c r="L7017" s="4"/>
      <c r="M7017" s="5" t="s">
        <v>4475</v>
      </c>
    </row>
    <row r="7018" customFormat="false" ht="15.75" hidden="false" customHeight="false" outlineLevel="0" collapsed="false">
      <c r="A7018" s="6" t="n">
        <v>46187</v>
      </c>
      <c r="B7018" s="4" t="s">
        <v>4473</v>
      </c>
      <c r="C7018" s="4" t="n">
        <v>2</v>
      </c>
      <c r="D7018" s="4" t="n">
        <v>13</v>
      </c>
      <c r="E7018" s="4" t="s">
        <v>5134</v>
      </c>
      <c r="F7018" s="4" t="n">
        <v>6</v>
      </c>
      <c r="G7018" s="4" t="n">
        <v>9</v>
      </c>
      <c r="H7018" s="4" t="n">
        <v>4</v>
      </c>
      <c r="I7018" s="4" t="str">
        <v>×</v>
      </c>
      <c r="J7018" s="4"/>
      <c r="K7018" s="4"/>
      <c r="L7018" s="4"/>
      <c r="M7018" s="5" t="s">
        <v>4475</v>
      </c>
    </row>
    <row r="7019" customFormat="false" ht="15.75" hidden="false" customHeight="false" outlineLevel="0" collapsed="false">
      <c r="A7019" s="6" t="n">
        <v>46187</v>
      </c>
      <c r="B7019" s="4" t="s">
        <v>4473</v>
      </c>
      <c r="C7019" s="4" t="n">
        <v>2</v>
      </c>
      <c r="D7019" s="4" t="n">
        <v>14</v>
      </c>
      <c r="E7019" s="4" t="s">
        <v>5135</v>
      </c>
      <c r="F7019" s="4" t="n">
        <v>6</v>
      </c>
      <c r="G7019" s="4" t="n">
        <v>9</v>
      </c>
      <c r="H7019" s="4" t="n">
        <v>4</v>
      </c>
      <c r="I7019" s="4" t="str">
        <v>×</v>
      </c>
      <c r="J7019" s="4"/>
      <c r="K7019" s="4"/>
      <c r="L7019" s="4"/>
      <c r="M7019" s="5" t="s">
        <v>4475</v>
      </c>
    </row>
    <row r="7020" customFormat="false" ht="15.75" hidden="false" customHeight="false" outlineLevel="0" collapsed="false">
      <c r="A7020" s="6" t="n">
        <v>46187</v>
      </c>
      <c r="B7020" s="4" t="s">
        <v>4473</v>
      </c>
      <c r="C7020" s="4" t="n">
        <v>2</v>
      </c>
      <c r="D7020" s="4" t="n">
        <v>15</v>
      </c>
      <c r="E7020" s="4" t="s">
        <v>501</v>
      </c>
      <c r="F7020" s="4" t="n">
        <v>31</v>
      </c>
      <c r="G7020" s="4" t="n">
        <v>5</v>
      </c>
      <c r="H7020" s="4" t="n">
        <v>4</v>
      </c>
      <c r="I7020" s="4" t="str">
        <v>×</v>
      </c>
      <c r="J7020" s="4"/>
      <c r="K7020" s="4"/>
      <c r="L7020" s="4"/>
      <c r="M7020" s="5" t="s">
        <v>4475</v>
      </c>
    </row>
    <row r="7021" customFormat="false" ht="15.75" hidden="false" customHeight="false" outlineLevel="0" collapsed="false">
      <c r="A7021" s="6" t="n">
        <v>46187</v>
      </c>
      <c r="B7021" s="4" t="s">
        <v>4473</v>
      </c>
      <c r="C7021" s="4" t="n">
        <v>2</v>
      </c>
      <c r="D7021" s="4" t="n">
        <v>16</v>
      </c>
      <c r="E7021" s="4" t="s">
        <v>5136</v>
      </c>
      <c r="F7021" s="4" t="n">
        <v>13</v>
      </c>
      <c r="G7021" s="4" t="n">
        <v>7</v>
      </c>
      <c r="H7021" s="4" t="n">
        <v>4</v>
      </c>
      <c r="I7021" s="4" t="str">
        <v>×</v>
      </c>
      <c r="J7021" s="4"/>
      <c r="K7021" s="4"/>
      <c r="L7021" s="4"/>
      <c r="M7021" s="5" t="s">
        <v>4475</v>
      </c>
    </row>
    <row r="7022" customFormat="false" ht="15.75" hidden="false" customHeight="false" outlineLevel="0" collapsed="false">
      <c r="A7022" s="6" t="n">
        <v>46187</v>
      </c>
      <c r="B7022" s="4" t="s">
        <v>4473</v>
      </c>
      <c r="C7022" s="4" t="n">
        <v>3</v>
      </c>
      <c r="D7022" s="4" t="n">
        <v>1</v>
      </c>
      <c r="E7022" s="4" t="s">
        <v>5137</v>
      </c>
      <c r="F7022" s="4" t="n">
        <v>41</v>
      </c>
      <c r="G7022" s="4" t="n">
        <v>4</v>
      </c>
      <c r="H7022" s="4" t="n">
        <v>4</v>
      </c>
      <c r="I7022" s="4" t="str">
        <v>×</v>
      </c>
      <c r="J7022" s="4"/>
      <c r="K7022" s="4"/>
      <c r="L7022" s="4"/>
      <c r="M7022" s="5" t="s">
        <v>4475</v>
      </c>
    </row>
    <row r="7023" customFormat="false" ht="15.75" hidden="false" customHeight="false" outlineLevel="0" collapsed="false">
      <c r="A7023" s="6" t="n">
        <v>46187</v>
      </c>
      <c r="B7023" s="4" t="s">
        <v>4473</v>
      </c>
      <c r="C7023" s="4" t="n">
        <v>3</v>
      </c>
      <c r="D7023" s="4" t="n">
        <v>2</v>
      </c>
      <c r="E7023" s="4" t="s">
        <v>5138</v>
      </c>
      <c r="F7023" s="4" t="n">
        <v>20</v>
      </c>
      <c r="G7023" s="4" t="n">
        <v>9</v>
      </c>
      <c r="H7023" s="4" t="n">
        <v>4</v>
      </c>
      <c r="I7023" s="4" t="str">
        <v>×</v>
      </c>
      <c r="J7023" s="4"/>
      <c r="K7023" s="4"/>
      <c r="L7023" s="4"/>
      <c r="M7023" s="5" t="s">
        <v>4475</v>
      </c>
    </row>
    <row r="7024" customFormat="false" ht="15.75" hidden="false" customHeight="false" outlineLevel="0" collapsed="false">
      <c r="A7024" s="6" t="n">
        <v>46187</v>
      </c>
      <c r="B7024" s="4" t="s">
        <v>4473</v>
      </c>
      <c r="C7024" s="4" t="n">
        <v>3</v>
      </c>
      <c r="D7024" s="4" t="n">
        <v>3</v>
      </c>
      <c r="E7024" s="4" t="s">
        <v>5139</v>
      </c>
      <c r="F7024" s="4" t="n">
        <v>58</v>
      </c>
      <c r="G7024" s="4" t="n">
        <v>1</v>
      </c>
      <c r="H7024" s="4" t="n">
        <v>1</v>
      </c>
      <c r="I7024" s="4" t="str">
        <v>○</v>
      </c>
      <c r="J7024" s="4" t="n">
        <v>160</v>
      </c>
      <c r="K7024" s="4"/>
      <c r="L7024" s="4"/>
      <c r="M7024" s="5" t="s">
        <v>4475</v>
      </c>
    </row>
    <row r="7025" customFormat="false" ht="15.75" hidden="false" customHeight="false" outlineLevel="0" collapsed="false">
      <c r="A7025" s="6" t="n">
        <v>46187</v>
      </c>
      <c r="B7025" s="4" t="s">
        <v>4473</v>
      </c>
      <c r="C7025" s="4" t="n">
        <v>3</v>
      </c>
      <c r="D7025" s="4" t="n">
        <v>4</v>
      </c>
      <c r="E7025" s="4" t="s">
        <v>5140</v>
      </c>
      <c r="F7025" s="4" t="n">
        <v>23</v>
      </c>
      <c r="G7025" s="4" t="n">
        <v>8</v>
      </c>
      <c r="H7025" s="4" t="n">
        <v>4</v>
      </c>
      <c r="I7025" s="4" t="str">
        <v>×</v>
      </c>
      <c r="J7025" s="4"/>
      <c r="K7025" s="4"/>
      <c r="L7025" s="4"/>
      <c r="M7025" s="5" t="s">
        <v>4475</v>
      </c>
    </row>
    <row r="7026" customFormat="false" ht="15.75" hidden="false" customHeight="false" outlineLevel="0" collapsed="false">
      <c r="A7026" s="6" t="n">
        <v>46187</v>
      </c>
      <c r="B7026" s="4" t="s">
        <v>4473</v>
      </c>
      <c r="C7026" s="4" t="n">
        <v>3</v>
      </c>
      <c r="D7026" s="4" t="n">
        <v>5</v>
      </c>
      <c r="E7026" s="4" t="s">
        <v>5141</v>
      </c>
      <c r="F7026" s="4" t="n">
        <v>6</v>
      </c>
      <c r="G7026" s="4" t="n">
        <v>12</v>
      </c>
      <c r="H7026" s="4" t="n">
        <v>4</v>
      </c>
      <c r="I7026" s="4" t="str">
        <v>×</v>
      </c>
      <c r="J7026" s="4"/>
      <c r="K7026" s="4"/>
      <c r="L7026" s="4"/>
      <c r="M7026" s="5" t="s">
        <v>4475</v>
      </c>
    </row>
    <row r="7027" customFormat="false" ht="15.75" hidden="false" customHeight="false" outlineLevel="0" collapsed="false">
      <c r="A7027" s="6" t="n">
        <v>46187</v>
      </c>
      <c r="B7027" s="4" t="s">
        <v>4473</v>
      </c>
      <c r="C7027" s="4" t="n">
        <v>3</v>
      </c>
      <c r="D7027" s="4" t="n">
        <v>6</v>
      </c>
      <c r="E7027" s="4" t="s">
        <v>949</v>
      </c>
      <c r="F7027" s="4" t="n">
        <v>2</v>
      </c>
      <c r="G7027" s="4" t="n">
        <v>14</v>
      </c>
      <c r="H7027" s="4" t="n">
        <v>4</v>
      </c>
      <c r="I7027" s="4" t="str">
        <v>×</v>
      </c>
      <c r="J7027" s="4"/>
      <c r="K7027" s="4"/>
      <c r="L7027" s="4"/>
      <c r="M7027" s="5" t="s">
        <v>4475</v>
      </c>
    </row>
    <row r="7028" customFormat="false" ht="15.75" hidden="false" customHeight="false" outlineLevel="0" collapsed="false">
      <c r="A7028" s="6" t="n">
        <v>46187</v>
      </c>
      <c r="B7028" s="4" t="s">
        <v>4473</v>
      </c>
      <c r="C7028" s="4" t="n">
        <v>3</v>
      </c>
      <c r="D7028" s="4" t="n">
        <v>7</v>
      </c>
      <c r="E7028" s="4" t="s">
        <v>5142</v>
      </c>
      <c r="F7028" s="4" t="n">
        <v>4</v>
      </c>
      <c r="G7028" s="4" t="n">
        <v>13</v>
      </c>
      <c r="H7028" s="4" t="n">
        <v>4</v>
      </c>
      <c r="I7028" s="4" t="str">
        <v>×</v>
      </c>
      <c r="J7028" s="4"/>
      <c r="K7028" s="4"/>
      <c r="L7028" s="4"/>
      <c r="M7028" s="5" t="s">
        <v>4475</v>
      </c>
    </row>
    <row r="7029" customFormat="false" ht="15.75" hidden="false" customHeight="false" outlineLevel="0" collapsed="false">
      <c r="A7029" s="6" t="n">
        <v>46187</v>
      </c>
      <c r="B7029" s="4" t="s">
        <v>4473</v>
      </c>
      <c r="C7029" s="4" t="n">
        <v>3</v>
      </c>
      <c r="D7029" s="4" t="n">
        <v>8</v>
      </c>
      <c r="E7029" s="4" t="s">
        <v>2611</v>
      </c>
      <c r="F7029" s="4" t="n">
        <v>47</v>
      </c>
      <c r="G7029" s="4" t="n">
        <v>3</v>
      </c>
      <c r="H7029" s="4" t="n">
        <v>4</v>
      </c>
      <c r="I7029" s="4" t="str">
        <v>×</v>
      </c>
      <c r="J7029" s="4"/>
      <c r="K7029" s="4"/>
      <c r="L7029" s="4"/>
      <c r="M7029" s="5" t="s">
        <v>4475</v>
      </c>
    </row>
    <row r="7030" customFormat="false" ht="15.75" hidden="false" customHeight="false" outlineLevel="0" collapsed="false">
      <c r="A7030" s="6" t="n">
        <v>46187</v>
      </c>
      <c r="B7030" s="4" t="s">
        <v>4473</v>
      </c>
      <c r="C7030" s="4" t="n">
        <v>3</v>
      </c>
      <c r="D7030" s="4" t="n">
        <v>9</v>
      </c>
      <c r="E7030" s="4" t="s">
        <v>3813</v>
      </c>
      <c r="F7030" s="4" t="n">
        <v>50</v>
      </c>
      <c r="G7030" s="4" t="n">
        <v>2</v>
      </c>
      <c r="H7030" s="4" t="n">
        <v>4</v>
      </c>
      <c r="I7030" s="4" t="str">
        <v>×</v>
      </c>
      <c r="J7030" s="4"/>
      <c r="K7030" s="4"/>
      <c r="L7030" s="4"/>
      <c r="M7030" s="5" t="s">
        <v>4475</v>
      </c>
    </row>
    <row r="7031" customFormat="false" ht="15.75" hidden="false" customHeight="false" outlineLevel="0" collapsed="false">
      <c r="A7031" s="6" t="n">
        <v>46187</v>
      </c>
      <c r="B7031" s="4" t="s">
        <v>4473</v>
      </c>
      <c r="C7031" s="4" t="n">
        <v>3</v>
      </c>
      <c r="D7031" s="4" t="n">
        <v>10</v>
      </c>
      <c r="E7031" s="4" t="s">
        <v>5143</v>
      </c>
      <c r="F7031" s="4" t="n">
        <v>25</v>
      </c>
      <c r="G7031" s="4" t="n">
        <v>7</v>
      </c>
      <c r="H7031" s="4" t="n">
        <v>4</v>
      </c>
      <c r="I7031" s="4" t="str">
        <v>×</v>
      </c>
      <c r="J7031" s="4"/>
      <c r="K7031" s="4"/>
      <c r="L7031" s="4"/>
      <c r="M7031" s="5" t="s">
        <v>4475</v>
      </c>
    </row>
    <row r="7032" customFormat="false" ht="15.75" hidden="false" customHeight="false" outlineLevel="0" collapsed="false">
      <c r="A7032" s="6" t="n">
        <v>46187</v>
      </c>
      <c r="B7032" s="4" t="s">
        <v>4473</v>
      </c>
      <c r="C7032" s="4" t="n">
        <v>3</v>
      </c>
      <c r="D7032" s="4" t="n">
        <v>11</v>
      </c>
      <c r="E7032" s="4" t="s">
        <v>5144</v>
      </c>
      <c r="F7032" s="4" t="n">
        <v>29</v>
      </c>
      <c r="G7032" s="4" t="n">
        <v>6</v>
      </c>
      <c r="H7032" s="4" t="n">
        <v>4</v>
      </c>
      <c r="I7032" s="4" t="str">
        <v>×</v>
      </c>
      <c r="J7032" s="4"/>
      <c r="K7032" s="4"/>
      <c r="L7032" s="4"/>
      <c r="M7032" s="5" t="s">
        <v>4475</v>
      </c>
    </row>
    <row r="7033" customFormat="false" ht="15.75" hidden="false" customHeight="false" outlineLevel="0" collapsed="false">
      <c r="A7033" s="6" t="n">
        <v>46187</v>
      </c>
      <c r="B7033" s="4" t="s">
        <v>4473</v>
      </c>
      <c r="C7033" s="4" t="n">
        <v>3</v>
      </c>
      <c r="D7033" s="4" t="n">
        <v>12</v>
      </c>
      <c r="E7033" s="4" t="s">
        <v>1934</v>
      </c>
      <c r="F7033" s="4" t="n">
        <v>39</v>
      </c>
      <c r="G7033" s="4" t="n">
        <v>5</v>
      </c>
      <c r="H7033" s="4" t="n">
        <v>3</v>
      </c>
      <c r="I7033" s="4" t="str">
        <v>○</v>
      </c>
      <c r="J7033" s="4" t="n">
        <v>230</v>
      </c>
      <c r="K7033" s="4"/>
      <c r="L7033" s="4"/>
      <c r="M7033" s="5" t="s">
        <v>4475</v>
      </c>
    </row>
    <row r="7034" customFormat="false" ht="15.75" hidden="false" customHeight="false" outlineLevel="0" collapsed="false">
      <c r="A7034" s="6" t="n">
        <v>46187</v>
      </c>
      <c r="B7034" s="4" t="s">
        <v>4473</v>
      </c>
      <c r="C7034" s="4" t="n">
        <v>3</v>
      </c>
      <c r="D7034" s="4" t="n">
        <v>13</v>
      </c>
      <c r="E7034" s="4"/>
      <c r="F7034" s="4" t="n">
        <v>20</v>
      </c>
      <c r="G7034" s="4" t="n">
        <v>9</v>
      </c>
      <c r="H7034" s="4"/>
      <c r="I7034" s="4" t="str">
        <v/>
      </c>
      <c r="J7034" s="4"/>
      <c r="K7034" s="4"/>
      <c r="L7034" s="4"/>
      <c r="M7034" s="5" t="s">
        <v>4475</v>
      </c>
    </row>
    <row r="7035" customFormat="false" ht="15.75" hidden="false" customHeight="false" outlineLevel="0" collapsed="false">
      <c r="A7035" s="6" t="n">
        <v>46187</v>
      </c>
      <c r="B7035" s="4" t="s">
        <v>4473</v>
      </c>
      <c r="C7035" s="4" t="n">
        <v>3</v>
      </c>
      <c r="D7035" s="4" t="n">
        <v>14</v>
      </c>
      <c r="E7035" s="4" t="s">
        <v>5145</v>
      </c>
      <c r="F7035" s="4" t="n">
        <v>13</v>
      </c>
      <c r="G7035" s="4" t="n">
        <v>11</v>
      </c>
      <c r="H7035" s="4" t="n">
        <v>4</v>
      </c>
      <c r="I7035" s="4" t="str">
        <v>×</v>
      </c>
      <c r="J7035" s="4"/>
      <c r="K7035" s="4"/>
      <c r="L7035" s="4"/>
      <c r="M7035" s="5" t="s">
        <v>4475</v>
      </c>
    </row>
    <row r="7036" customFormat="false" ht="15.75" hidden="false" customHeight="false" outlineLevel="0" collapsed="false">
      <c r="A7036" s="6" t="n">
        <v>46187</v>
      </c>
      <c r="B7036" s="4" t="s">
        <v>4473</v>
      </c>
      <c r="C7036" s="4" t="n">
        <v>3</v>
      </c>
      <c r="D7036" s="4" t="n">
        <v>15</v>
      </c>
      <c r="E7036" s="4" t="s">
        <v>966</v>
      </c>
      <c r="F7036" s="4" t="n">
        <v>4</v>
      </c>
      <c r="G7036" s="4" t="n">
        <v>13</v>
      </c>
      <c r="H7036" s="4" t="n">
        <v>2</v>
      </c>
      <c r="I7036" s="4" t="str">
        <v>○</v>
      </c>
      <c r="J7036" s="4" t="n">
        <v>1980</v>
      </c>
      <c r="K7036" s="4"/>
      <c r="L7036" s="4"/>
      <c r="M7036" s="5" t="s">
        <v>4475</v>
      </c>
    </row>
    <row r="7037" customFormat="false" ht="15.75" hidden="false" customHeight="false" outlineLevel="0" collapsed="false">
      <c r="A7037" s="6" t="n">
        <v>46187</v>
      </c>
      <c r="B7037" s="4" t="s">
        <v>4473</v>
      </c>
      <c r="C7037" s="4" t="n">
        <v>3</v>
      </c>
      <c r="D7037" s="4" t="n">
        <v>16</v>
      </c>
      <c r="E7037" s="4" t="s">
        <v>1421</v>
      </c>
      <c r="F7037" s="4" t="n">
        <v>13</v>
      </c>
      <c r="G7037" s="4" t="n">
        <v>11</v>
      </c>
      <c r="H7037" s="4" t="n">
        <v>4</v>
      </c>
      <c r="I7037" s="4" t="str">
        <v>×</v>
      </c>
      <c r="J7037" s="4"/>
      <c r="K7037" s="4"/>
      <c r="L7037" s="4"/>
      <c r="M7037" s="5" t="s">
        <v>4475</v>
      </c>
    </row>
    <row r="7038" customFormat="false" ht="15.75" hidden="false" customHeight="false" outlineLevel="0" collapsed="false">
      <c r="A7038" s="6" t="n">
        <v>46187</v>
      </c>
      <c r="B7038" s="4" t="s">
        <v>4473</v>
      </c>
      <c r="C7038" s="4" t="n">
        <v>3</v>
      </c>
      <c r="D7038" s="4" t="n">
        <v>17</v>
      </c>
      <c r="E7038" s="4" t="s">
        <v>1248</v>
      </c>
      <c r="F7038" s="4" t="n">
        <v>4</v>
      </c>
      <c r="G7038" s="4" t="n">
        <v>13</v>
      </c>
      <c r="H7038" s="4" t="n">
        <v>4</v>
      </c>
      <c r="I7038" s="4" t="str">
        <v>×</v>
      </c>
      <c r="J7038" s="4"/>
      <c r="K7038" s="4"/>
      <c r="L7038" s="4"/>
      <c r="M7038" s="5" t="s">
        <v>4475</v>
      </c>
    </row>
    <row r="7039" customFormat="false" ht="15.75" hidden="false" customHeight="false" outlineLevel="0" collapsed="false">
      <c r="A7039" s="6" t="n">
        <v>46187</v>
      </c>
      <c r="B7039" s="4" t="s">
        <v>4473</v>
      </c>
      <c r="C7039" s="4" t="n">
        <v>3</v>
      </c>
      <c r="D7039" s="4" t="n">
        <v>18</v>
      </c>
      <c r="E7039" s="4" t="s">
        <v>3006</v>
      </c>
      <c r="F7039" s="4" t="n">
        <v>17</v>
      </c>
      <c r="G7039" s="4" t="n">
        <v>10</v>
      </c>
      <c r="H7039" s="4" t="n">
        <v>4</v>
      </c>
      <c r="I7039" s="4" t="str">
        <v>×</v>
      </c>
      <c r="J7039" s="4"/>
      <c r="K7039" s="4"/>
      <c r="L7039" s="4"/>
      <c r="M7039" s="5" t="s">
        <v>4475</v>
      </c>
    </row>
    <row r="7040" customFormat="false" ht="15.75" hidden="false" customHeight="false" outlineLevel="0" collapsed="false">
      <c r="A7040" s="6" t="n">
        <v>46187</v>
      </c>
      <c r="B7040" s="4" t="s">
        <v>4473</v>
      </c>
      <c r="C7040" s="4" t="n">
        <v>4</v>
      </c>
      <c r="D7040" s="4" t="n">
        <v>1</v>
      </c>
      <c r="E7040" s="4" t="s">
        <v>1391</v>
      </c>
      <c r="F7040" s="4" t="n">
        <v>14</v>
      </c>
      <c r="G7040" s="4" t="n">
        <v>6</v>
      </c>
      <c r="H7040" s="4" t="n">
        <v>4</v>
      </c>
      <c r="I7040" s="4" t="str">
        <v>×</v>
      </c>
      <c r="J7040" s="4"/>
      <c r="K7040" s="4"/>
      <c r="L7040" s="4"/>
      <c r="M7040" s="5" t="s">
        <v>4475</v>
      </c>
    </row>
    <row r="7041" customFormat="false" ht="15.75" hidden="false" customHeight="false" outlineLevel="0" collapsed="false">
      <c r="A7041" s="6" t="n">
        <v>46187</v>
      </c>
      <c r="B7041" s="4" t="s">
        <v>4473</v>
      </c>
      <c r="C7041" s="4" t="n">
        <v>4</v>
      </c>
      <c r="D7041" s="4" t="n">
        <v>2</v>
      </c>
      <c r="E7041" s="4" t="s">
        <v>5146</v>
      </c>
      <c r="F7041" s="4" t="n">
        <v>4</v>
      </c>
      <c r="G7041" s="4" t="n">
        <v>8</v>
      </c>
      <c r="H7041" s="4" t="n">
        <v>4</v>
      </c>
      <c r="I7041" s="4" t="str">
        <v>×</v>
      </c>
      <c r="J7041" s="4"/>
      <c r="K7041" s="4"/>
      <c r="L7041" s="4"/>
      <c r="M7041" s="5" t="s">
        <v>4475</v>
      </c>
    </row>
    <row r="7042" customFormat="false" ht="15.75" hidden="false" customHeight="false" outlineLevel="0" collapsed="false">
      <c r="A7042" s="6" t="n">
        <v>46187</v>
      </c>
      <c r="B7042" s="4" t="s">
        <v>4473</v>
      </c>
      <c r="C7042" s="4" t="n">
        <v>4</v>
      </c>
      <c r="D7042" s="4" t="n">
        <v>3</v>
      </c>
      <c r="E7042" s="4" t="s">
        <v>5147</v>
      </c>
      <c r="F7042" s="4" t="n">
        <v>24</v>
      </c>
      <c r="G7042" s="4" t="n">
        <v>4</v>
      </c>
      <c r="H7042" s="4" t="n">
        <v>4</v>
      </c>
      <c r="I7042" s="4" t="str">
        <v>×</v>
      </c>
      <c r="J7042" s="4"/>
      <c r="K7042" s="4"/>
      <c r="L7042" s="4"/>
      <c r="M7042" s="5" t="s">
        <v>4475</v>
      </c>
    </row>
    <row r="7043" customFormat="false" ht="15.75" hidden="false" customHeight="false" outlineLevel="0" collapsed="false">
      <c r="A7043" s="6" t="n">
        <v>46187</v>
      </c>
      <c r="B7043" s="4" t="s">
        <v>4473</v>
      </c>
      <c r="C7043" s="4" t="n">
        <v>4</v>
      </c>
      <c r="D7043" s="4" t="n">
        <v>4</v>
      </c>
      <c r="E7043" s="4" t="s">
        <v>5148</v>
      </c>
      <c r="F7043" s="4" t="n">
        <v>37</v>
      </c>
      <c r="G7043" s="4" t="n">
        <v>1</v>
      </c>
      <c r="H7043" s="4" t="n">
        <v>4</v>
      </c>
      <c r="I7043" s="4" t="str">
        <v>×</v>
      </c>
      <c r="J7043" s="4"/>
      <c r="K7043" s="4"/>
      <c r="L7043" s="4"/>
      <c r="M7043" s="5" t="s">
        <v>4475</v>
      </c>
    </row>
    <row r="7044" customFormat="false" ht="15.75" hidden="false" customHeight="false" outlineLevel="0" collapsed="false">
      <c r="A7044" s="6" t="n">
        <v>46187</v>
      </c>
      <c r="B7044" s="4" t="s">
        <v>4473</v>
      </c>
      <c r="C7044" s="4" t="n">
        <v>4</v>
      </c>
      <c r="D7044" s="4" t="n">
        <v>5</v>
      </c>
      <c r="E7044" s="4" t="s">
        <v>1383</v>
      </c>
      <c r="F7044" s="4" t="n">
        <v>16</v>
      </c>
      <c r="G7044" s="4" t="n">
        <v>5</v>
      </c>
      <c r="H7044" s="4" t="n">
        <v>4</v>
      </c>
      <c r="I7044" s="4" t="str">
        <v>×</v>
      </c>
      <c r="J7044" s="4"/>
      <c r="K7044" s="4"/>
      <c r="L7044" s="4"/>
      <c r="M7044" s="5" t="s">
        <v>4475</v>
      </c>
    </row>
    <row r="7045" customFormat="false" ht="15.75" hidden="false" customHeight="false" outlineLevel="0" collapsed="false">
      <c r="A7045" s="6" t="n">
        <v>46187</v>
      </c>
      <c r="B7045" s="4" t="s">
        <v>4473</v>
      </c>
      <c r="C7045" s="4" t="n">
        <v>4</v>
      </c>
      <c r="D7045" s="4" t="n">
        <v>6</v>
      </c>
      <c r="E7045" s="4" t="s">
        <v>5149</v>
      </c>
      <c r="F7045" s="4" t="n">
        <v>31</v>
      </c>
      <c r="G7045" s="4" t="n">
        <v>2</v>
      </c>
      <c r="H7045" s="4" t="n">
        <v>4</v>
      </c>
      <c r="I7045" s="4" t="str">
        <v>×</v>
      </c>
      <c r="J7045" s="4"/>
      <c r="K7045" s="4"/>
      <c r="L7045" s="4"/>
      <c r="M7045" s="5" t="s">
        <v>4475</v>
      </c>
    </row>
    <row r="7046" customFormat="false" ht="15.75" hidden="false" customHeight="false" outlineLevel="0" collapsed="false">
      <c r="A7046" s="6" t="n">
        <v>46187</v>
      </c>
      <c r="B7046" s="4" t="s">
        <v>4473</v>
      </c>
      <c r="C7046" s="4" t="n">
        <v>4</v>
      </c>
      <c r="D7046" s="4" t="n">
        <v>7</v>
      </c>
      <c r="E7046" s="4" t="s">
        <v>5150</v>
      </c>
      <c r="F7046" s="4" t="n">
        <v>12</v>
      </c>
      <c r="G7046" s="4" t="n">
        <v>7</v>
      </c>
      <c r="H7046" s="4" t="n">
        <v>4</v>
      </c>
      <c r="I7046" s="4" t="str">
        <v>×</v>
      </c>
      <c r="J7046" s="4"/>
      <c r="K7046" s="4"/>
      <c r="L7046" s="4"/>
      <c r="M7046" s="5" t="s">
        <v>4475</v>
      </c>
    </row>
    <row r="7047" customFormat="false" ht="15.75" hidden="false" customHeight="false" outlineLevel="0" collapsed="false">
      <c r="A7047" s="6" t="n">
        <v>46187</v>
      </c>
      <c r="B7047" s="4" t="s">
        <v>4473</v>
      </c>
      <c r="C7047" s="4" t="n">
        <v>4</v>
      </c>
      <c r="D7047" s="4" t="n">
        <v>8</v>
      </c>
      <c r="E7047" s="4" t="s">
        <v>5151</v>
      </c>
      <c r="F7047" s="4" t="n">
        <v>27</v>
      </c>
      <c r="G7047" s="4" t="n">
        <v>3</v>
      </c>
      <c r="H7047" s="4" t="n">
        <v>3</v>
      </c>
      <c r="I7047" s="4" t="str">
        <v>○</v>
      </c>
      <c r="J7047" s="4" t="n">
        <v>250</v>
      </c>
      <c r="K7047" s="4"/>
      <c r="L7047" s="4"/>
      <c r="M7047" s="5" t="s">
        <v>4475</v>
      </c>
    </row>
    <row r="7048" customFormat="false" ht="15.75" hidden="false" customHeight="false" outlineLevel="0" collapsed="false">
      <c r="A7048" s="6" t="n">
        <v>46187</v>
      </c>
      <c r="B7048" s="4" t="s">
        <v>4473</v>
      </c>
      <c r="C7048" s="4" t="n">
        <v>4</v>
      </c>
      <c r="D7048" s="4" t="n">
        <v>9</v>
      </c>
      <c r="E7048" s="4" t="s">
        <v>5152</v>
      </c>
      <c r="F7048" s="4" t="n">
        <v>31</v>
      </c>
      <c r="G7048" s="4" t="n">
        <v>2</v>
      </c>
      <c r="H7048" s="4" t="n">
        <v>4</v>
      </c>
      <c r="I7048" s="4" t="str">
        <v>×</v>
      </c>
      <c r="J7048" s="4"/>
      <c r="K7048" s="4"/>
      <c r="L7048" s="4"/>
      <c r="M7048" s="5" t="s">
        <v>4475</v>
      </c>
    </row>
    <row r="7049" customFormat="false" ht="15.75" hidden="false" customHeight="false" outlineLevel="0" collapsed="false">
      <c r="A7049" s="6" t="n">
        <v>46187</v>
      </c>
      <c r="B7049" s="4" t="s">
        <v>4473</v>
      </c>
      <c r="C7049" s="4" t="n">
        <v>4</v>
      </c>
      <c r="D7049" s="4" t="n">
        <v>10</v>
      </c>
      <c r="E7049" s="4" t="s">
        <v>5153</v>
      </c>
      <c r="F7049" s="4" t="n">
        <v>16</v>
      </c>
      <c r="G7049" s="4" t="n">
        <v>5</v>
      </c>
      <c r="H7049" s="4" t="n">
        <v>1</v>
      </c>
      <c r="I7049" s="4" t="str">
        <v>○</v>
      </c>
      <c r="J7049" s="4" t="n">
        <v>480</v>
      </c>
      <c r="K7049" s="4"/>
      <c r="L7049" s="4"/>
      <c r="M7049" s="5" t="s">
        <v>4475</v>
      </c>
    </row>
    <row r="7050" customFormat="false" ht="15.75" hidden="false" customHeight="false" outlineLevel="0" collapsed="false">
      <c r="A7050" s="6" t="n">
        <v>46187</v>
      </c>
      <c r="B7050" s="4" t="s">
        <v>4473</v>
      </c>
      <c r="C7050" s="4" t="n">
        <v>4</v>
      </c>
      <c r="D7050" s="4" t="n">
        <v>11</v>
      </c>
      <c r="E7050" s="4" t="s">
        <v>5154</v>
      </c>
      <c r="F7050" s="4" t="n">
        <v>31</v>
      </c>
      <c r="G7050" s="4" t="n">
        <v>2</v>
      </c>
      <c r="H7050" s="4" t="n">
        <v>4</v>
      </c>
      <c r="I7050" s="4" t="str">
        <v>×</v>
      </c>
      <c r="J7050" s="4"/>
      <c r="K7050" s="4"/>
      <c r="L7050" s="4"/>
      <c r="M7050" s="5" t="s">
        <v>4475</v>
      </c>
    </row>
    <row r="7051" customFormat="false" ht="15.75" hidden="false" customHeight="false" outlineLevel="0" collapsed="false">
      <c r="A7051" s="6" t="n">
        <v>46187</v>
      </c>
      <c r="B7051" s="4" t="s">
        <v>4473</v>
      </c>
      <c r="C7051" s="4" t="n">
        <v>4</v>
      </c>
      <c r="D7051" s="4" t="n">
        <v>12</v>
      </c>
      <c r="E7051" s="4" t="s">
        <v>5155</v>
      </c>
      <c r="F7051" s="4" t="n">
        <v>37</v>
      </c>
      <c r="G7051" s="4" t="n">
        <v>1</v>
      </c>
      <c r="H7051" s="4" t="n">
        <v>4</v>
      </c>
      <c r="I7051" s="4" t="str">
        <v>×</v>
      </c>
      <c r="J7051" s="4"/>
      <c r="K7051" s="4"/>
      <c r="L7051" s="4"/>
      <c r="M7051" s="5" t="s">
        <v>4475</v>
      </c>
    </row>
    <row r="7052" customFormat="false" ht="15.75" hidden="false" customHeight="false" outlineLevel="0" collapsed="false">
      <c r="A7052" s="6" t="n">
        <v>46187</v>
      </c>
      <c r="B7052" s="4" t="s">
        <v>4473</v>
      </c>
      <c r="C7052" s="4" t="n">
        <v>4</v>
      </c>
      <c r="D7052" s="4" t="n">
        <v>13</v>
      </c>
      <c r="E7052" s="4" t="s">
        <v>5156</v>
      </c>
      <c r="F7052" s="4" t="n">
        <v>14</v>
      </c>
      <c r="G7052" s="4" t="n">
        <v>6</v>
      </c>
      <c r="H7052" s="4" t="n">
        <v>4</v>
      </c>
      <c r="I7052" s="4" t="str">
        <v>×</v>
      </c>
      <c r="J7052" s="4"/>
      <c r="K7052" s="4"/>
      <c r="L7052" s="4"/>
      <c r="M7052" s="5" t="s">
        <v>4475</v>
      </c>
    </row>
    <row r="7053" customFormat="false" ht="15.75" hidden="false" customHeight="false" outlineLevel="0" collapsed="false">
      <c r="A7053" s="6" t="n">
        <v>46187</v>
      </c>
      <c r="B7053" s="4" t="s">
        <v>4473</v>
      </c>
      <c r="C7053" s="4" t="n">
        <v>4</v>
      </c>
      <c r="D7053" s="4" t="n">
        <v>14</v>
      </c>
      <c r="E7053" s="4" t="s">
        <v>5157</v>
      </c>
      <c r="F7053" s="4" t="n">
        <v>27</v>
      </c>
      <c r="G7053" s="4" t="n">
        <v>3</v>
      </c>
      <c r="H7053" s="4" t="n">
        <v>2</v>
      </c>
      <c r="I7053" s="4" t="str">
        <v>○</v>
      </c>
      <c r="J7053" s="4" t="n">
        <v>120</v>
      </c>
      <c r="K7053" s="4"/>
      <c r="L7053" s="4"/>
      <c r="M7053" s="5" t="s">
        <v>4475</v>
      </c>
    </row>
    <row r="7054" customFormat="false" ht="15.75" hidden="false" customHeight="false" outlineLevel="0" collapsed="false">
      <c r="A7054" s="6" t="n">
        <v>46187</v>
      </c>
      <c r="B7054" s="4" t="s">
        <v>4473</v>
      </c>
      <c r="C7054" s="4" t="n">
        <v>5</v>
      </c>
      <c r="D7054" s="4" t="n">
        <v>1</v>
      </c>
      <c r="E7054" s="4" t="s">
        <v>5158</v>
      </c>
      <c r="F7054" s="4" t="n">
        <v>31</v>
      </c>
      <c r="G7054" s="4" t="n">
        <v>1</v>
      </c>
      <c r="H7054" s="4" t="n">
        <v>4</v>
      </c>
      <c r="I7054" s="4" t="str">
        <v>×</v>
      </c>
      <c r="J7054" s="4"/>
      <c r="K7054" s="4"/>
      <c r="L7054" s="4"/>
      <c r="M7054" s="5" t="s">
        <v>4475</v>
      </c>
    </row>
    <row r="7055" customFormat="false" ht="15.75" hidden="false" customHeight="false" outlineLevel="0" collapsed="false">
      <c r="A7055" s="6" t="n">
        <v>46187</v>
      </c>
      <c r="B7055" s="4" t="s">
        <v>4473</v>
      </c>
      <c r="C7055" s="4" t="n">
        <v>5</v>
      </c>
      <c r="D7055" s="4" t="n">
        <v>2</v>
      </c>
      <c r="E7055" s="4" t="s">
        <v>1903</v>
      </c>
      <c r="F7055" s="4" t="n">
        <v>24</v>
      </c>
      <c r="G7055" s="4" t="n">
        <v>3</v>
      </c>
      <c r="H7055" s="4" t="n">
        <v>4</v>
      </c>
      <c r="I7055" s="4" t="str">
        <v>×</v>
      </c>
      <c r="J7055" s="4"/>
      <c r="K7055" s="4"/>
      <c r="L7055" s="4"/>
      <c r="M7055" s="5" t="s">
        <v>4475</v>
      </c>
    </row>
    <row r="7056" customFormat="false" ht="15.75" hidden="false" customHeight="false" outlineLevel="0" collapsed="false">
      <c r="A7056" s="6" t="n">
        <v>46187</v>
      </c>
      <c r="B7056" s="4" t="s">
        <v>4473</v>
      </c>
      <c r="C7056" s="4" t="n">
        <v>5</v>
      </c>
      <c r="D7056" s="4" t="n">
        <v>3</v>
      </c>
      <c r="E7056" s="4" t="s">
        <v>5159</v>
      </c>
      <c r="F7056" s="4" t="n">
        <v>27</v>
      </c>
      <c r="G7056" s="4" t="n">
        <v>2</v>
      </c>
      <c r="H7056" s="4" t="n">
        <v>1</v>
      </c>
      <c r="I7056" s="4" t="str">
        <v>○</v>
      </c>
      <c r="J7056" s="4" t="n">
        <v>130</v>
      </c>
      <c r="K7056" s="4"/>
      <c r="L7056" s="4"/>
      <c r="M7056" s="5" t="s">
        <v>4475</v>
      </c>
    </row>
    <row r="7057" customFormat="false" ht="15.75" hidden="false" customHeight="false" outlineLevel="0" collapsed="false">
      <c r="A7057" s="6" t="n">
        <v>46187</v>
      </c>
      <c r="B7057" s="4" t="s">
        <v>4473</v>
      </c>
      <c r="C7057" s="4" t="n">
        <v>5</v>
      </c>
      <c r="D7057" s="4" t="n">
        <v>4</v>
      </c>
      <c r="E7057" s="4" t="s">
        <v>5160</v>
      </c>
      <c r="F7057" s="4" t="n">
        <v>24</v>
      </c>
      <c r="G7057" s="4" t="n">
        <v>3</v>
      </c>
      <c r="H7057" s="4" t="n">
        <v>2</v>
      </c>
      <c r="I7057" s="4" t="str">
        <v>○</v>
      </c>
      <c r="J7057" s="4" t="n">
        <v>250</v>
      </c>
      <c r="K7057" s="4"/>
      <c r="L7057" s="4"/>
      <c r="M7057" s="5" t="s">
        <v>4475</v>
      </c>
    </row>
    <row r="7058" customFormat="false" ht="15.75" hidden="false" customHeight="false" outlineLevel="0" collapsed="false">
      <c r="A7058" s="6" t="n">
        <v>46187</v>
      </c>
      <c r="B7058" s="4" t="s">
        <v>4473</v>
      </c>
      <c r="C7058" s="4" t="n">
        <v>5</v>
      </c>
      <c r="D7058" s="4" t="n">
        <v>5</v>
      </c>
      <c r="E7058" s="4" t="s">
        <v>1899</v>
      </c>
      <c r="F7058" s="4" t="n">
        <v>16</v>
      </c>
      <c r="G7058" s="4" t="n">
        <v>4</v>
      </c>
      <c r="H7058" s="4" t="n">
        <v>4</v>
      </c>
      <c r="I7058" s="4" t="str">
        <v>×</v>
      </c>
      <c r="J7058" s="4"/>
      <c r="K7058" s="4"/>
      <c r="L7058" s="4"/>
      <c r="M7058" s="5" t="s">
        <v>4475</v>
      </c>
    </row>
    <row r="7059" customFormat="false" ht="15.75" hidden="false" customHeight="false" outlineLevel="0" collapsed="false">
      <c r="A7059" s="6" t="n">
        <v>46187</v>
      </c>
      <c r="B7059" s="4" t="s">
        <v>4473</v>
      </c>
      <c r="C7059" s="4" t="n">
        <v>5</v>
      </c>
      <c r="D7059" s="4" t="n">
        <v>6</v>
      </c>
      <c r="E7059" s="4" t="s">
        <v>5161</v>
      </c>
      <c r="F7059" s="4" t="n">
        <v>24</v>
      </c>
      <c r="G7059" s="4" t="n">
        <v>3</v>
      </c>
      <c r="H7059" s="4" t="n">
        <v>3</v>
      </c>
      <c r="I7059" s="4" t="str">
        <v>○</v>
      </c>
      <c r="J7059" s="4" t="n">
        <v>160</v>
      </c>
      <c r="K7059" s="4"/>
      <c r="L7059" s="4"/>
      <c r="M7059" s="5" t="s">
        <v>4475</v>
      </c>
    </row>
    <row r="7060" customFormat="false" ht="15.75" hidden="false" customHeight="false" outlineLevel="0" collapsed="false">
      <c r="A7060" s="6" t="n">
        <v>46187</v>
      </c>
      <c r="B7060" s="4" t="s">
        <v>4473</v>
      </c>
      <c r="C7060" s="4" t="n">
        <v>5</v>
      </c>
      <c r="D7060" s="4" t="n">
        <v>7</v>
      </c>
      <c r="E7060" s="4" t="s">
        <v>5162</v>
      </c>
      <c r="F7060" s="4" t="n">
        <v>14</v>
      </c>
      <c r="G7060" s="4" t="n">
        <v>5</v>
      </c>
      <c r="H7060" s="4" t="n">
        <v>4</v>
      </c>
      <c r="I7060" s="4" t="str">
        <v>×</v>
      </c>
      <c r="J7060" s="4"/>
      <c r="K7060" s="4"/>
      <c r="L7060" s="4"/>
      <c r="M7060" s="5" t="s">
        <v>4475</v>
      </c>
    </row>
    <row r="7061" customFormat="false" ht="15.75" hidden="false" customHeight="false" outlineLevel="0" collapsed="false">
      <c r="A7061" s="6" t="n">
        <v>46187</v>
      </c>
      <c r="B7061" s="4" t="s">
        <v>4473</v>
      </c>
      <c r="C7061" s="4" t="n">
        <v>5</v>
      </c>
      <c r="D7061" s="4" t="n">
        <v>8</v>
      </c>
      <c r="E7061" s="4" t="s">
        <v>5163</v>
      </c>
      <c r="F7061" s="4" t="n">
        <v>31</v>
      </c>
      <c r="G7061" s="4" t="n">
        <v>1</v>
      </c>
      <c r="H7061" s="4" t="n">
        <v>4</v>
      </c>
      <c r="I7061" s="4" t="str">
        <v>×</v>
      </c>
      <c r="J7061" s="4"/>
      <c r="K7061" s="4"/>
      <c r="L7061" s="4"/>
      <c r="M7061" s="5" t="s">
        <v>4475</v>
      </c>
    </row>
    <row r="7062" customFormat="false" ht="15.75" hidden="false" customHeight="false" outlineLevel="0" collapsed="false">
      <c r="A7062" s="6" t="n">
        <v>46187</v>
      </c>
      <c r="B7062" s="4" t="s">
        <v>4473</v>
      </c>
      <c r="C7062" s="4" t="n">
        <v>6</v>
      </c>
      <c r="D7062" s="4" t="n">
        <v>1</v>
      </c>
      <c r="E7062" s="4" t="s">
        <v>5164</v>
      </c>
      <c r="F7062" s="4" t="n">
        <v>20</v>
      </c>
      <c r="G7062" s="4" t="n">
        <v>6</v>
      </c>
      <c r="H7062" s="4" t="n">
        <v>4</v>
      </c>
      <c r="I7062" s="4" t="str">
        <v>×</v>
      </c>
      <c r="J7062" s="4"/>
      <c r="K7062" s="4"/>
      <c r="L7062" s="4"/>
      <c r="M7062" s="5" t="s">
        <v>4475</v>
      </c>
    </row>
    <row r="7063" customFormat="false" ht="15.75" hidden="false" customHeight="false" outlineLevel="0" collapsed="false">
      <c r="A7063" s="6" t="n">
        <v>46187</v>
      </c>
      <c r="B7063" s="4" t="s">
        <v>4473</v>
      </c>
      <c r="C7063" s="4" t="n">
        <v>6</v>
      </c>
      <c r="D7063" s="4" t="n">
        <v>2</v>
      </c>
      <c r="E7063" s="4" t="s">
        <v>5165</v>
      </c>
      <c r="F7063" s="4" t="n">
        <v>6</v>
      </c>
      <c r="G7063" s="4" t="n">
        <v>10</v>
      </c>
      <c r="H7063" s="4" t="n">
        <v>4</v>
      </c>
      <c r="I7063" s="4" t="str">
        <v>×</v>
      </c>
      <c r="J7063" s="4"/>
      <c r="K7063" s="4"/>
      <c r="L7063" s="4"/>
      <c r="M7063" s="5" t="s">
        <v>4475</v>
      </c>
    </row>
    <row r="7064" customFormat="false" ht="15.75" hidden="false" customHeight="false" outlineLevel="0" collapsed="false">
      <c r="A7064" s="6" t="n">
        <v>46187</v>
      </c>
      <c r="B7064" s="4" t="s">
        <v>4473</v>
      </c>
      <c r="C7064" s="4" t="n">
        <v>6</v>
      </c>
      <c r="D7064" s="4" t="n">
        <v>3</v>
      </c>
      <c r="E7064" s="4" t="s">
        <v>5166</v>
      </c>
      <c r="F7064" s="4" t="n">
        <v>13</v>
      </c>
      <c r="G7064" s="4" t="n">
        <v>8</v>
      </c>
      <c r="H7064" s="4" t="n">
        <v>4</v>
      </c>
      <c r="I7064" s="4" t="str">
        <v>×</v>
      </c>
      <c r="J7064" s="4"/>
      <c r="K7064" s="4"/>
      <c r="L7064" s="4"/>
      <c r="M7064" s="5" t="s">
        <v>4475</v>
      </c>
    </row>
    <row r="7065" customFormat="false" ht="15.75" hidden="false" customHeight="false" outlineLevel="0" collapsed="false">
      <c r="A7065" s="6" t="n">
        <v>46187</v>
      </c>
      <c r="B7065" s="4" t="s">
        <v>4473</v>
      </c>
      <c r="C7065" s="4" t="n">
        <v>6</v>
      </c>
      <c r="D7065" s="4" t="n">
        <v>4</v>
      </c>
      <c r="E7065" s="4" t="s">
        <v>5167</v>
      </c>
      <c r="F7065" s="4" t="n">
        <v>2</v>
      </c>
      <c r="G7065" s="4" t="n">
        <v>13</v>
      </c>
      <c r="H7065" s="4" t="n">
        <v>4</v>
      </c>
      <c r="I7065" s="4" t="str">
        <v>×</v>
      </c>
      <c r="J7065" s="4"/>
      <c r="K7065" s="4"/>
      <c r="L7065" s="4"/>
      <c r="M7065" s="5" t="s">
        <v>4475</v>
      </c>
    </row>
    <row r="7066" customFormat="false" ht="15.75" hidden="false" customHeight="false" outlineLevel="0" collapsed="false">
      <c r="A7066" s="6" t="n">
        <v>46187</v>
      </c>
      <c r="B7066" s="4" t="s">
        <v>4473</v>
      </c>
      <c r="C7066" s="4" t="n">
        <v>6</v>
      </c>
      <c r="D7066" s="4" t="n">
        <v>5</v>
      </c>
      <c r="E7066" s="4" t="s">
        <v>5168</v>
      </c>
      <c r="F7066" s="4" t="n">
        <v>3</v>
      </c>
      <c r="G7066" s="4" t="n">
        <v>12</v>
      </c>
      <c r="H7066" s="4" t="n">
        <v>4</v>
      </c>
      <c r="I7066" s="4" t="str">
        <v>×</v>
      </c>
      <c r="J7066" s="4"/>
      <c r="K7066" s="4"/>
      <c r="L7066" s="4"/>
      <c r="M7066" s="5" t="s">
        <v>4475</v>
      </c>
    </row>
    <row r="7067" customFormat="false" ht="15.75" hidden="false" customHeight="false" outlineLevel="0" collapsed="false">
      <c r="A7067" s="6" t="n">
        <v>46187</v>
      </c>
      <c r="B7067" s="4" t="s">
        <v>4473</v>
      </c>
      <c r="C7067" s="4" t="n">
        <v>6</v>
      </c>
      <c r="D7067" s="4" t="n">
        <v>6</v>
      </c>
      <c r="E7067" s="4" t="s">
        <v>5169</v>
      </c>
      <c r="F7067" s="4" t="n">
        <v>4</v>
      </c>
      <c r="G7067" s="4" t="n">
        <v>11</v>
      </c>
      <c r="H7067" s="4" t="n">
        <v>4</v>
      </c>
      <c r="I7067" s="4" t="str">
        <v>×</v>
      </c>
      <c r="J7067" s="4"/>
      <c r="K7067" s="4"/>
      <c r="L7067" s="4"/>
      <c r="M7067" s="5" t="s">
        <v>4475</v>
      </c>
    </row>
    <row r="7068" customFormat="false" ht="15.75" hidden="false" customHeight="false" outlineLevel="0" collapsed="false">
      <c r="A7068" s="6" t="n">
        <v>46187</v>
      </c>
      <c r="B7068" s="4" t="s">
        <v>4473</v>
      </c>
      <c r="C7068" s="4" t="n">
        <v>6</v>
      </c>
      <c r="D7068" s="4" t="n">
        <v>7</v>
      </c>
      <c r="E7068" s="4" t="s">
        <v>1314</v>
      </c>
      <c r="F7068" s="4" t="n">
        <v>6</v>
      </c>
      <c r="G7068" s="4" t="n">
        <v>10</v>
      </c>
      <c r="H7068" s="4" t="n">
        <v>4</v>
      </c>
      <c r="I7068" s="4" t="str">
        <v>×</v>
      </c>
      <c r="J7068" s="4"/>
      <c r="K7068" s="4"/>
      <c r="L7068" s="4"/>
      <c r="M7068" s="5" t="s">
        <v>4475</v>
      </c>
    </row>
    <row r="7069" customFormat="false" ht="15.75" hidden="false" customHeight="false" outlineLevel="0" collapsed="false">
      <c r="A7069" s="6" t="n">
        <v>46187</v>
      </c>
      <c r="B7069" s="4" t="s">
        <v>4473</v>
      </c>
      <c r="C7069" s="4" t="n">
        <v>6</v>
      </c>
      <c r="D7069" s="4" t="n">
        <v>8</v>
      </c>
      <c r="E7069" s="4" t="s">
        <v>5170</v>
      </c>
      <c r="F7069" s="4" t="n">
        <v>17</v>
      </c>
      <c r="G7069" s="4" t="n">
        <v>7</v>
      </c>
      <c r="H7069" s="4" t="n">
        <v>3</v>
      </c>
      <c r="I7069" s="4" t="str">
        <v>○</v>
      </c>
      <c r="J7069" s="4" t="n">
        <v>200</v>
      </c>
      <c r="K7069" s="4"/>
      <c r="L7069" s="4"/>
      <c r="M7069" s="5" t="s">
        <v>4475</v>
      </c>
    </row>
    <row r="7070" customFormat="false" ht="15.75" hidden="false" customHeight="false" outlineLevel="0" collapsed="false">
      <c r="A7070" s="6" t="n">
        <v>46187</v>
      </c>
      <c r="B7070" s="4" t="s">
        <v>4473</v>
      </c>
      <c r="C7070" s="4" t="n">
        <v>6</v>
      </c>
      <c r="D7070" s="4" t="n">
        <v>9</v>
      </c>
      <c r="E7070" s="4" t="s">
        <v>1552</v>
      </c>
      <c r="F7070" s="4" t="n">
        <v>6</v>
      </c>
      <c r="G7070" s="4" t="n">
        <v>10</v>
      </c>
      <c r="H7070" s="4" t="n">
        <v>4</v>
      </c>
      <c r="I7070" s="4" t="str">
        <v>×</v>
      </c>
      <c r="J7070" s="4"/>
      <c r="K7070" s="4"/>
      <c r="L7070" s="4"/>
      <c r="M7070" s="5" t="s">
        <v>4475</v>
      </c>
    </row>
    <row r="7071" customFormat="false" ht="15.75" hidden="false" customHeight="false" outlineLevel="0" collapsed="false">
      <c r="A7071" s="6" t="n">
        <v>46187</v>
      </c>
      <c r="B7071" s="4" t="s">
        <v>4473</v>
      </c>
      <c r="C7071" s="4" t="n">
        <v>6</v>
      </c>
      <c r="D7071" s="4" t="n">
        <v>10</v>
      </c>
      <c r="E7071" s="4" t="s">
        <v>5171</v>
      </c>
      <c r="F7071" s="4" t="n">
        <v>66</v>
      </c>
      <c r="G7071" s="4" t="n">
        <v>1</v>
      </c>
      <c r="H7071" s="4" t="n">
        <v>2</v>
      </c>
      <c r="I7071" s="4" t="str">
        <v>○</v>
      </c>
      <c r="J7071" s="4" t="n">
        <v>120</v>
      </c>
      <c r="K7071" s="4"/>
      <c r="L7071" s="4"/>
      <c r="M7071" s="5" t="s">
        <v>4475</v>
      </c>
    </row>
    <row r="7072" customFormat="false" ht="15.75" hidden="false" customHeight="false" outlineLevel="0" collapsed="false">
      <c r="A7072" s="6" t="n">
        <v>46187</v>
      </c>
      <c r="B7072" s="4" t="s">
        <v>4473</v>
      </c>
      <c r="C7072" s="4" t="n">
        <v>6</v>
      </c>
      <c r="D7072" s="4" t="n">
        <v>11</v>
      </c>
      <c r="E7072" s="4"/>
      <c r="F7072" s="4" t="n">
        <v>58</v>
      </c>
      <c r="G7072" s="4" t="n">
        <v>2</v>
      </c>
      <c r="H7072" s="4"/>
      <c r="I7072" s="4" t="str">
        <v/>
      </c>
      <c r="J7072" s="4"/>
      <c r="K7072" s="4"/>
      <c r="L7072" s="4"/>
      <c r="M7072" s="5" t="s">
        <v>4475</v>
      </c>
    </row>
    <row r="7073" customFormat="false" ht="15.75" hidden="false" customHeight="false" outlineLevel="0" collapsed="false">
      <c r="A7073" s="6" t="n">
        <v>46187</v>
      </c>
      <c r="B7073" s="4" t="s">
        <v>4473</v>
      </c>
      <c r="C7073" s="4" t="n">
        <v>6</v>
      </c>
      <c r="D7073" s="4" t="n">
        <v>12</v>
      </c>
      <c r="E7073" s="4" t="s">
        <v>5172</v>
      </c>
      <c r="F7073" s="4" t="n">
        <v>34</v>
      </c>
      <c r="G7073" s="4" t="n">
        <v>3</v>
      </c>
      <c r="H7073" s="4" t="n">
        <v>4</v>
      </c>
      <c r="I7073" s="4" t="str">
        <v>×</v>
      </c>
      <c r="J7073" s="4"/>
      <c r="K7073" s="4"/>
      <c r="L7073" s="4"/>
      <c r="M7073" s="5" t="s">
        <v>4475</v>
      </c>
    </row>
    <row r="7074" customFormat="false" ht="15.75" hidden="false" customHeight="false" outlineLevel="0" collapsed="false">
      <c r="A7074" s="6" t="n">
        <v>46187</v>
      </c>
      <c r="B7074" s="4" t="s">
        <v>4473</v>
      </c>
      <c r="C7074" s="4" t="n">
        <v>6</v>
      </c>
      <c r="D7074" s="4" t="n">
        <v>13</v>
      </c>
      <c r="E7074" s="4" t="s">
        <v>4034</v>
      </c>
      <c r="F7074" s="4" t="n">
        <v>31</v>
      </c>
      <c r="G7074" s="4" t="n">
        <v>4</v>
      </c>
      <c r="H7074" s="4" t="n">
        <v>1</v>
      </c>
      <c r="I7074" s="4" t="str">
        <v>○</v>
      </c>
      <c r="J7074" s="4" t="n">
        <v>190</v>
      </c>
      <c r="K7074" s="4"/>
      <c r="L7074" s="4"/>
      <c r="M7074" s="5" t="s">
        <v>4475</v>
      </c>
    </row>
    <row r="7075" customFormat="false" ht="15.75" hidden="false" customHeight="false" outlineLevel="0" collapsed="false">
      <c r="A7075" s="6" t="n">
        <v>46187</v>
      </c>
      <c r="B7075" s="4" t="s">
        <v>4473</v>
      </c>
      <c r="C7075" s="4" t="n">
        <v>6</v>
      </c>
      <c r="D7075" s="4" t="n">
        <v>14</v>
      </c>
      <c r="E7075" s="4" t="s">
        <v>5173</v>
      </c>
      <c r="F7075" s="4" t="n">
        <v>8</v>
      </c>
      <c r="G7075" s="4" t="n">
        <v>9</v>
      </c>
      <c r="H7075" s="4" t="n">
        <v>4</v>
      </c>
      <c r="I7075" s="4" t="str">
        <v>×</v>
      </c>
      <c r="J7075" s="4"/>
      <c r="K7075" s="4"/>
      <c r="L7075" s="4"/>
      <c r="M7075" s="5" t="s">
        <v>4475</v>
      </c>
    </row>
    <row r="7076" customFormat="false" ht="15.75" hidden="false" customHeight="false" outlineLevel="0" collapsed="false">
      <c r="A7076" s="6" t="n">
        <v>46187</v>
      </c>
      <c r="B7076" s="4" t="s">
        <v>4473</v>
      </c>
      <c r="C7076" s="4" t="n">
        <v>6</v>
      </c>
      <c r="D7076" s="4" t="n">
        <v>15</v>
      </c>
      <c r="E7076" s="4" t="s">
        <v>5174</v>
      </c>
      <c r="F7076" s="4" t="n">
        <v>13</v>
      </c>
      <c r="G7076" s="4" t="n">
        <v>8</v>
      </c>
      <c r="H7076" s="4" t="n">
        <v>4</v>
      </c>
      <c r="I7076" s="4" t="str">
        <v>×</v>
      </c>
      <c r="J7076" s="4"/>
      <c r="K7076" s="4"/>
      <c r="L7076" s="4"/>
      <c r="M7076" s="5" t="s">
        <v>4475</v>
      </c>
    </row>
    <row r="7077" customFormat="false" ht="15.75" hidden="false" customHeight="false" outlineLevel="0" collapsed="false">
      <c r="A7077" s="6" t="n">
        <v>46187</v>
      </c>
      <c r="B7077" s="4" t="s">
        <v>4473</v>
      </c>
      <c r="C7077" s="4" t="n">
        <v>6</v>
      </c>
      <c r="D7077" s="4" t="n">
        <v>16</v>
      </c>
      <c r="E7077" s="4" t="s">
        <v>5175</v>
      </c>
      <c r="F7077" s="4" t="n">
        <v>25</v>
      </c>
      <c r="G7077" s="4" t="n">
        <v>5</v>
      </c>
      <c r="H7077" s="4" t="n">
        <v>4</v>
      </c>
      <c r="I7077" s="4" t="str">
        <v>×</v>
      </c>
      <c r="J7077" s="4"/>
      <c r="K7077" s="4"/>
      <c r="L7077" s="4"/>
      <c r="M7077" s="5" t="s">
        <v>4475</v>
      </c>
    </row>
    <row r="7078" customFormat="false" ht="15.75" hidden="false" customHeight="false" outlineLevel="0" collapsed="false">
      <c r="A7078" s="6" t="n">
        <v>46187</v>
      </c>
      <c r="B7078" s="4" t="s">
        <v>4473</v>
      </c>
      <c r="C7078" s="4" t="n">
        <v>7</v>
      </c>
      <c r="D7078" s="4" t="n">
        <v>1</v>
      </c>
      <c r="E7078" s="4" t="s">
        <v>5176</v>
      </c>
      <c r="F7078" s="4" t="n">
        <v>41</v>
      </c>
      <c r="G7078" s="4" t="n">
        <v>3</v>
      </c>
      <c r="H7078" s="4" t="n">
        <v>4</v>
      </c>
      <c r="I7078" s="4" t="str">
        <v>×</v>
      </c>
      <c r="J7078" s="4"/>
      <c r="K7078" s="4"/>
      <c r="L7078" s="4"/>
      <c r="M7078" s="5" t="s">
        <v>4475</v>
      </c>
    </row>
    <row r="7079" customFormat="false" ht="15.75" hidden="false" customHeight="false" outlineLevel="0" collapsed="false">
      <c r="A7079" s="6" t="n">
        <v>46187</v>
      </c>
      <c r="B7079" s="4" t="s">
        <v>4473</v>
      </c>
      <c r="C7079" s="4" t="n">
        <v>7</v>
      </c>
      <c r="D7079" s="4" t="n">
        <v>2</v>
      </c>
      <c r="E7079" s="4" t="s">
        <v>1496</v>
      </c>
      <c r="F7079" s="4" t="n">
        <v>39</v>
      </c>
      <c r="G7079" s="4" t="n">
        <v>4</v>
      </c>
      <c r="H7079" s="4" t="n">
        <v>3</v>
      </c>
      <c r="I7079" s="4" t="str">
        <v>○</v>
      </c>
      <c r="J7079" s="4" t="n">
        <v>180</v>
      </c>
      <c r="K7079" s="4"/>
      <c r="L7079" s="4"/>
      <c r="M7079" s="5" t="s">
        <v>4475</v>
      </c>
    </row>
    <row r="7080" customFormat="false" ht="15.75" hidden="false" customHeight="false" outlineLevel="0" collapsed="false">
      <c r="A7080" s="6" t="n">
        <v>46187</v>
      </c>
      <c r="B7080" s="4" t="s">
        <v>4473</v>
      </c>
      <c r="C7080" s="4" t="n">
        <v>7</v>
      </c>
      <c r="D7080" s="4" t="n">
        <v>3</v>
      </c>
      <c r="E7080" s="4" t="s">
        <v>5177</v>
      </c>
      <c r="F7080" s="4" t="n">
        <v>39</v>
      </c>
      <c r="G7080" s="4" t="n">
        <v>4</v>
      </c>
      <c r="H7080" s="4" t="n">
        <v>4</v>
      </c>
      <c r="I7080" s="4" t="str">
        <v>×</v>
      </c>
      <c r="J7080" s="4"/>
      <c r="K7080" s="4"/>
      <c r="L7080" s="4"/>
      <c r="M7080" s="5" t="s">
        <v>4475</v>
      </c>
    </row>
    <row r="7081" customFormat="false" ht="15.75" hidden="false" customHeight="false" outlineLevel="0" collapsed="false">
      <c r="A7081" s="6" t="n">
        <v>46187</v>
      </c>
      <c r="B7081" s="4" t="s">
        <v>4473</v>
      </c>
      <c r="C7081" s="4" t="n">
        <v>7</v>
      </c>
      <c r="D7081" s="4" t="n">
        <v>4</v>
      </c>
      <c r="E7081" s="4" t="s">
        <v>5178</v>
      </c>
      <c r="F7081" s="4" t="n">
        <v>34</v>
      </c>
      <c r="G7081" s="4" t="n">
        <v>5</v>
      </c>
      <c r="H7081" s="4" t="n">
        <v>4</v>
      </c>
      <c r="I7081" s="4" t="str">
        <v>×</v>
      </c>
      <c r="J7081" s="4"/>
      <c r="K7081" s="4"/>
      <c r="L7081" s="4"/>
      <c r="M7081" s="5" t="s">
        <v>4475</v>
      </c>
    </row>
    <row r="7082" customFormat="false" ht="15.75" hidden="false" customHeight="false" outlineLevel="0" collapsed="false">
      <c r="A7082" s="6" t="n">
        <v>46187</v>
      </c>
      <c r="B7082" s="4" t="s">
        <v>4473</v>
      </c>
      <c r="C7082" s="4" t="n">
        <v>7</v>
      </c>
      <c r="D7082" s="4" t="n">
        <v>5</v>
      </c>
      <c r="E7082" s="4" t="s">
        <v>5179</v>
      </c>
      <c r="F7082" s="4" t="n">
        <v>6</v>
      </c>
      <c r="G7082" s="4" t="n">
        <v>7</v>
      </c>
      <c r="H7082" s="4" t="n">
        <v>4</v>
      </c>
      <c r="I7082" s="4" t="str">
        <v>×</v>
      </c>
      <c r="J7082" s="4"/>
      <c r="K7082" s="4"/>
      <c r="L7082" s="4"/>
      <c r="M7082" s="5" t="s">
        <v>4475</v>
      </c>
    </row>
    <row r="7083" customFormat="false" ht="15.75" hidden="false" customHeight="false" outlineLevel="0" collapsed="false">
      <c r="A7083" s="6" t="n">
        <v>46187</v>
      </c>
      <c r="B7083" s="4" t="s">
        <v>4473</v>
      </c>
      <c r="C7083" s="4" t="n">
        <v>7</v>
      </c>
      <c r="D7083" s="4" t="n">
        <v>6</v>
      </c>
      <c r="E7083" s="4" t="s">
        <v>5180</v>
      </c>
      <c r="F7083" s="4" t="n">
        <v>25</v>
      </c>
      <c r="G7083" s="4" t="n">
        <v>6</v>
      </c>
      <c r="H7083" s="4" t="n">
        <v>4</v>
      </c>
      <c r="I7083" s="4" t="str">
        <v>×</v>
      </c>
      <c r="J7083" s="4"/>
      <c r="K7083" s="4"/>
      <c r="L7083" s="4"/>
      <c r="M7083" s="5" t="s">
        <v>4475</v>
      </c>
    </row>
    <row r="7084" customFormat="false" ht="15.75" hidden="false" customHeight="false" outlineLevel="0" collapsed="false">
      <c r="A7084" s="6" t="n">
        <v>46187</v>
      </c>
      <c r="B7084" s="4" t="s">
        <v>4473</v>
      </c>
      <c r="C7084" s="4" t="n">
        <v>7</v>
      </c>
      <c r="D7084" s="4" t="n">
        <v>7</v>
      </c>
      <c r="E7084" s="4" t="s">
        <v>3194</v>
      </c>
      <c r="F7084" s="4" t="n">
        <v>56</v>
      </c>
      <c r="G7084" s="4" t="n">
        <v>2</v>
      </c>
      <c r="H7084" s="4" t="n">
        <v>2</v>
      </c>
      <c r="I7084" s="4" t="str">
        <v>○</v>
      </c>
      <c r="J7084" s="4" t="n">
        <v>160</v>
      </c>
      <c r="K7084" s="4"/>
      <c r="L7084" s="4"/>
      <c r="M7084" s="5" t="s">
        <v>4475</v>
      </c>
    </row>
    <row r="7085" customFormat="false" ht="15.75" hidden="false" customHeight="false" outlineLevel="0" collapsed="false">
      <c r="A7085" s="6" t="n">
        <v>46187</v>
      </c>
      <c r="B7085" s="4" t="s">
        <v>4473</v>
      </c>
      <c r="C7085" s="4" t="n">
        <v>7</v>
      </c>
      <c r="D7085" s="4" t="n">
        <v>8</v>
      </c>
      <c r="E7085" s="4" t="s">
        <v>5181</v>
      </c>
      <c r="F7085" s="4" t="n">
        <v>58</v>
      </c>
      <c r="G7085" s="4" t="n">
        <v>1</v>
      </c>
      <c r="H7085" s="4" t="n">
        <v>1</v>
      </c>
      <c r="I7085" s="4" t="str">
        <v>○</v>
      </c>
      <c r="J7085" s="4" t="n">
        <v>110</v>
      </c>
      <c r="K7085" s="4"/>
      <c r="L7085" s="4"/>
      <c r="M7085" s="5" t="s">
        <v>4475</v>
      </c>
    </row>
    <row r="7086" customFormat="false" ht="15.75" hidden="false" customHeight="false" outlineLevel="0" collapsed="false">
      <c r="A7086" s="6" t="n">
        <v>46187</v>
      </c>
      <c r="B7086" s="4" t="s">
        <v>4473</v>
      </c>
      <c r="C7086" s="4" t="n">
        <v>8</v>
      </c>
      <c r="D7086" s="4" t="n">
        <v>1</v>
      </c>
      <c r="E7086" s="4" t="s">
        <v>4075</v>
      </c>
      <c r="F7086" s="4" t="n">
        <v>10</v>
      </c>
      <c r="G7086" s="4" t="n">
        <v>7</v>
      </c>
      <c r="H7086" s="4" t="n">
        <v>4</v>
      </c>
      <c r="I7086" s="4" t="str">
        <v>×</v>
      </c>
      <c r="J7086" s="4"/>
      <c r="K7086" s="4"/>
      <c r="L7086" s="4"/>
      <c r="M7086" s="5" t="s">
        <v>4475</v>
      </c>
    </row>
    <row r="7087" customFormat="false" ht="15.75" hidden="false" customHeight="false" outlineLevel="0" collapsed="false">
      <c r="A7087" s="6" t="n">
        <v>46187</v>
      </c>
      <c r="B7087" s="4" t="s">
        <v>4473</v>
      </c>
      <c r="C7087" s="4" t="n">
        <v>8</v>
      </c>
      <c r="D7087" s="4" t="n">
        <v>2</v>
      </c>
      <c r="E7087" s="4" t="s">
        <v>5182</v>
      </c>
      <c r="F7087" s="4" t="n">
        <v>10</v>
      </c>
      <c r="G7087" s="4" t="n">
        <v>7</v>
      </c>
      <c r="H7087" s="4" t="n">
        <v>4</v>
      </c>
      <c r="I7087" s="4" t="str">
        <v>×</v>
      </c>
      <c r="J7087" s="4"/>
      <c r="K7087" s="4"/>
      <c r="L7087" s="4"/>
      <c r="M7087" s="5" t="s">
        <v>4475</v>
      </c>
    </row>
    <row r="7088" customFormat="false" ht="15.75" hidden="false" customHeight="false" outlineLevel="0" collapsed="false">
      <c r="A7088" s="6" t="n">
        <v>46187</v>
      </c>
      <c r="B7088" s="4" t="s">
        <v>4473</v>
      </c>
      <c r="C7088" s="4" t="n">
        <v>8</v>
      </c>
      <c r="D7088" s="4" t="n">
        <v>3</v>
      </c>
      <c r="E7088" s="4" t="s">
        <v>5183</v>
      </c>
      <c r="F7088" s="4" t="n">
        <v>6</v>
      </c>
      <c r="G7088" s="4" t="n">
        <v>9</v>
      </c>
      <c r="H7088" s="4" t="n">
        <v>4</v>
      </c>
      <c r="I7088" s="4" t="str">
        <v>×</v>
      </c>
      <c r="J7088" s="4"/>
      <c r="K7088" s="4"/>
      <c r="L7088" s="4"/>
      <c r="M7088" s="5" t="s">
        <v>4475</v>
      </c>
    </row>
    <row r="7089" customFormat="false" ht="15.75" hidden="false" customHeight="false" outlineLevel="0" collapsed="false">
      <c r="A7089" s="6" t="n">
        <v>46187</v>
      </c>
      <c r="B7089" s="4" t="s">
        <v>4473</v>
      </c>
      <c r="C7089" s="4" t="n">
        <v>8</v>
      </c>
      <c r="D7089" s="4" t="n">
        <v>4</v>
      </c>
      <c r="E7089" s="4" t="s">
        <v>5184</v>
      </c>
      <c r="F7089" s="4" t="n">
        <v>71</v>
      </c>
      <c r="G7089" s="4" t="n">
        <v>1</v>
      </c>
      <c r="H7089" s="4" t="n">
        <v>3</v>
      </c>
      <c r="I7089" s="4" t="str">
        <v>○</v>
      </c>
      <c r="J7089" s="4" t="n">
        <v>120</v>
      </c>
      <c r="K7089" s="4"/>
      <c r="L7089" s="4"/>
      <c r="M7089" s="5" t="s">
        <v>4475</v>
      </c>
    </row>
    <row r="7090" customFormat="false" ht="15.75" hidden="false" customHeight="false" outlineLevel="0" collapsed="false">
      <c r="A7090" s="6" t="n">
        <v>46187</v>
      </c>
      <c r="B7090" s="4" t="s">
        <v>4473</v>
      </c>
      <c r="C7090" s="4" t="n">
        <v>8</v>
      </c>
      <c r="D7090" s="4" t="n">
        <v>5</v>
      </c>
      <c r="E7090" s="4" t="s">
        <v>5185</v>
      </c>
      <c r="F7090" s="4" t="n">
        <v>1</v>
      </c>
      <c r="G7090" s="4" t="n">
        <v>11</v>
      </c>
      <c r="H7090" s="4" t="n">
        <v>4</v>
      </c>
      <c r="I7090" s="4" t="str">
        <v>×</v>
      </c>
      <c r="J7090" s="4"/>
      <c r="K7090" s="4"/>
      <c r="L7090" s="4"/>
      <c r="M7090" s="5" t="s">
        <v>4475</v>
      </c>
    </row>
    <row r="7091" customFormat="false" ht="15.75" hidden="false" customHeight="false" outlineLevel="0" collapsed="false">
      <c r="A7091" s="6" t="n">
        <v>46187</v>
      </c>
      <c r="B7091" s="4" t="s">
        <v>4473</v>
      </c>
      <c r="C7091" s="4" t="n">
        <v>8</v>
      </c>
      <c r="D7091" s="4" t="n">
        <v>6</v>
      </c>
      <c r="E7091" s="4" t="s">
        <v>5186</v>
      </c>
      <c r="F7091" s="4" t="n">
        <v>47</v>
      </c>
      <c r="G7091" s="4" t="n">
        <v>2</v>
      </c>
      <c r="H7091" s="4" t="n">
        <v>4</v>
      </c>
      <c r="I7091" s="4" t="str">
        <v>×</v>
      </c>
      <c r="J7091" s="4"/>
      <c r="K7091" s="4"/>
      <c r="L7091" s="4"/>
      <c r="M7091" s="5" t="s">
        <v>4475</v>
      </c>
    </row>
    <row r="7092" customFormat="false" ht="15.75" hidden="false" customHeight="false" outlineLevel="0" collapsed="false">
      <c r="A7092" s="6" t="n">
        <v>46187</v>
      </c>
      <c r="B7092" s="4" t="s">
        <v>4473</v>
      </c>
      <c r="C7092" s="4" t="n">
        <v>8</v>
      </c>
      <c r="D7092" s="4" t="n">
        <v>7</v>
      </c>
      <c r="E7092" s="4" t="s">
        <v>5187</v>
      </c>
      <c r="F7092" s="4" t="n">
        <v>25</v>
      </c>
      <c r="G7092" s="4" t="n">
        <v>4</v>
      </c>
      <c r="H7092" s="4" t="n">
        <v>4</v>
      </c>
      <c r="I7092" s="4" t="str">
        <v>×</v>
      </c>
      <c r="J7092" s="4"/>
      <c r="K7092" s="4"/>
      <c r="L7092" s="4"/>
      <c r="M7092" s="5" t="s">
        <v>4475</v>
      </c>
    </row>
    <row r="7093" customFormat="false" ht="15.75" hidden="false" customHeight="false" outlineLevel="0" collapsed="false">
      <c r="A7093" s="6" t="n">
        <v>46187</v>
      </c>
      <c r="B7093" s="4" t="s">
        <v>4473</v>
      </c>
      <c r="C7093" s="4" t="n">
        <v>8</v>
      </c>
      <c r="D7093" s="4" t="n">
        <v>8</v>
      </c>
      <c r="E7093" s="4" t="s">
        <v>2010</v>
      </c>
      <c r="F7093" s="4" t="n">
        <v>10</v>
      </c>
      <c r="G7093" s="4" t="n">
        <v>7</v>
      </c>
      <c r="H7093" s="4" t="n">
        <v>4</v>
      </c>
      <c r="I7093" s="4" t="str">
        <v>×</v>
      </c>
      <c r="J7093" s="4"/>
      <c r="K7093" s="4"/>
      <c r="L7093" s="4"/>
      <c r="M7093" s="5" t="s">
        <v>4475</v>
      </c>
    </row>
    <row r="7094" customFormat="false" ht="15.75" hidden="false" customHeight="false" outlineLevel="0" collapsed="false">
      <c r="A7094" s="6" t="n">
        <v>46187</v>
      </c>
      <c r="B7094" s="4" t="s">
        <v>4473</v>
      </c>
      <c r="C7094" s="4" t="n">
        <v>8</v>
      </c>
      <c r="D7094" s="4" t="n">
        <v>9</v>
      </c>
      <c r="E7094" s="4" t="s">
        <v>1551</v>
      </c>
      <c r="F7094" s="4" t="n">
        <v>4</v>
      </c>
      <c r="G7094" s="4" t="n">
        <v>10</v>
      </c>
      <c r="H7094" s="4" t="n">
        <v>4</v>
      </c>
      <c r="I7094" s="4" t="str">
        <v>×</v>
      </c>
      <c r="J7094" s="4"/>
      <c r="K7094" s="4"/>
      <c r="L7094" s="4"/>
      <c r="M7094" s="5" t="s">
        <v>4475</v>
      </c>
    </row>
    <row r="7095" customFormat="false" ht="15.75" hidden="false" customHeight="false" outlineLevel="0" collapsed="false">
      <c r="A7095" s="6" t="n">
        <v>46187</v>
      </c>
      <c r="B7095" s="4" t="s">
        <v>4473</v>
      </c>
      <c r="C7095" s="4" t="n">
        <v>8</v>
      </c>
      <c r="D7095" s="4" t="n">
        <v>10</v>
      </c>
      <c r="E7095" s="4" t="s">
        <v>5188</v>
      </c>
      <c r="F7095" s="4" t="n">
        <v>6</v>
      </c>
      <c r="G7095" s="4" t="n">
        <v>9</v>
      </c>
      <c r="H7095" s="4" t="n">
        <v>4</v>
      </c>
      <c r="I7095" s="4" t="str">
        <v>×</v>
      </c>
      <c r="J7095" s="4"/>
      <c r="K7095" s="4"/>
      <c r="L7095" s="4"/>
      <c r="M7095" s="5" t="s">
        <v>4475</v>
      </c>
    </row>
    <row r="7096" customFormat="false" ht="15.75" hidden="false" customHeight="false" outlineLevel="0" collapsed="false">
      <c r="A7096" s="6" t="n">
        <v>46187</v>
      </c>
      <c r="B7096" s="4" t="s">
        <v>4473</v>
      </c>
      <c r="C7096" s="4" t="n">
        <v>8</v>
      </c>
      <c r="D7096" s="4" t="n">
        <v>11</v>
      </c>
      <c r="E7096" s="4" t="s">
        <v>5189</v>
      </c>
      <c r="F7096" s="4" t="n">
        <v>20</v>
      </c>
      <c r="G7096" s="4" t="n">
        <v>5</v>
      </c>
      <c r="H7096" s="4" t="n">
        <v>4</v>
      </c>
      <c r="I7096" s="4" t="str">
        <v>×</v>
      </c>
      <c r="J7096" s="4"/>
      <c r="K7096" s="4"/>
      <c r="L7096" s="4"/>
      <c r="M7096" s="5" t="s">
        <v>4475</v>
      </c>
    </row>
    <row r="7097" customFormat="false" ht="15.75" hidden="false" customHeight="false" outlineLevel="0" collapsed="false">
      <c r="A7097" s="6" t="n">
        <v>46187</v>
      </c>
      <c r="B7097" s="4" t="s">
        <v>4473</v>
      </c>
      <c r="C7097" s="4" t="n">
        <v>8</v>
      </c>
      <c r="D7097" s="4" t="n">
        <v>12</v>
      </c>
      <c r="E7097" s="4" t="s">
        <v>3074</v>
      </c>
      <c r="F7097" s="4" t="n">
        <v>17</v>
      </c>
      <c r="G7097" s="4" t="n">
        <v>6</v>
      </c>
      <c r="H7097" s="4" t="n">
        <v>4</v>
      </c>
      <c r="I7097" s="4" t="str">
        <v>×</v>
      </c>
      <c r="J7097" s="4"/>
      <c r="K7097" s="4"/>
      <c r="L7097" s="4"/>
      <c r="M7097" s="5" t="s">
        <v>4475</v>
      </c>
    </row>
    <row r="7098" customFormat="false" ht="15.75" hidden="false" customHeight="false" outlineLevel="0" collapsed="false">
      <c r="A7098" s="6" t="n">
        <v>46187</v>
      </c>
      <c r="B7098" s="4" t="s">
        <v>4473</v>
      </c>
      <c r="C7098" s="4" t="n">
        <v>8</v>
      </c>
      <c r="D7098" s="4" t="n">
        <v>13</v>
      </c>
      <c r="E7098" s="4" t="s">
        <v>5190</v>
      </c>
      <c r="F7098" s="4" t="n">
        <v>4</v>
      </c>
      <c r="G7098" s="4" t="n">
        <v>10</v>
      </c>
      <c r="H7098" s="4" t="n">
        <v>4</v>
      </c>
      <c r="I7098" s="4" t="str">
        <v>×</v>
      </c>
      <c r="J7098" s="4"/>
      <c r="K7098" s="4"/>
      <c r="L7098" s="4"/>
      <c r="M7098" s="5" t="s">
        <v>4475</v>
      </c>
    </row>
    <row r="7099" customFormat="false" ht="15.75" hidden="false" customHeight="false" outlineLevel="0" collapsed="false">
      <c r="A7099" s="6" t="n">
        <v>46187</v>
      </c>
      <c r="B7099" s="4" t="s">
        <v>4473</v>
      </c>
      <c r="C7099" s="4" t="n">
        <v>8</v>
      </c>
      <c r="D7099" s="4" t="n">
        <v>14</v>
      </c>
      <c r="E7099" s="4" t="s">
        <v>3827</v>
      </c>
      <c r="F7099" s="4" t="n">
        <v>8</v>
      </c>
      <c r="G7099" s="4" t="n">
        <v>8</v>
      </c>
      <c r="H7099" s="4" t="n">
        <v>4</v>
      </c>
      <c r="I7099" s="4" t="str">
        <v>×</v>
      </c>
      <c r="J7099" s="4"/>
      <c r="K7099" s="4"/>
      <c r="L7099" s="4"/>
      <c r="M7099" s="5" t="s">
        <v>4475</v>
      </c>
    </row>
    <row r="7100" customFormat="false" ht="15.75" hidden="false" customHeight="false" outlineLevel="0" collapsed="false">
      <c r="A7100" s="6" t="n">
        <v>46187</v>
      </c>
      <c r="B7100" s="4" t="s">
        <v>4473</v>
      </c>
      <c r="C7100" s="4" t="n">
        <v>8</v>
      </c>
      <c r="D7100" s="4" t="n">
        <v>15</v>
      </c>
      <c r="E7100" s="4" t="s">
        <v>5191</v>
      </c>
      <c r="F7100" s="4" t="n">
        <v>34</v>
      </c>
      <c r="G7100" s="4" t="n">
        <v>3</v>
      </c>
      <c r="H7100" s="4" t="n">
        <v>1</v>
      </c>
      <c r="I7100" s="4" t="str">
        <v>○</v>
      </c>
      <c r="J7100" s="4" t="n">
        <v>120</v>
      </c>
      <c r="K7100" s="4"/>
      <c r="L7100" s="4"/>
      <c r="M7100" s="5" t="s">
        <v>4475</v>
      </c>
    </row>
    <row r="7101" customFormat="false" ht="15.75" hidden="false" customHeight="false" outlineLevel="0" collapsed="false">
      <c r="A7101" s="6" t="n">
        <v>46187</v>
      </c>
      <c r="B7101" s="4" t="s">
        <v>4473</v>
      </c>
      <c r="C7101" s="4" t="n">
        <v>8</v>
      </c>
      <c r="D7101" s="4" t="n">
        <v>16</v>
      </c>
      <c r="E7101" s="4" t="s">
        <v>5192</v>
      </c>
      <c r="F7101" s="4" t="n">
        <v>47</v>
      </c>
      <c r="G7101" s="4" t="n">
        <v>2</v>
      </c>
      <c r="H7101" s="4" t="n">
        <v>2</v>
      </c>
      <c r="I7101" s="4" t="str">
        <v>○</v>
      </c>
      <c r="J7101" s="4" t="n">
        <v>150</v>
      </c>
      <c r="K7101" s="4"/>
      <c r="L7101" s="4"/>
      <c r="M7101" s="5" t="s">
        <v>4475</v>
      </c>
    </row>
    <row r="7102" customFormat="false" ht="15.75" hidden="false" customHeight="false" outlineLevel="0" collapsed="false">
      <c r="A7102" s="6" t="n">
        <v>46187</v>
      </c>
      <c r="B7102" s="4" t="s">
        <v>4473</v>
      </c>
      <c r="C7102" s="4" t="n">
        <v>9</v>
      </c>
      <c r="D7102" s="4" t="n">
        <v>1</v>
      </c>
      <c r="E7102" s="4" t="s">
        <v>5193</v>
      </c>
      <c r="F7102" s="4" t="n">
        <v>4</v>
      </c>
      <c r="G7102" s="4" t="n">
        <v>9</v>
      </c>
      <c r="H7102" s="4" t="n">
        <v>4</v>
      </c>
      <c r="I7102" s="4" t="str">
        <v>×</v>
      </c>
      <c r="J7102" s="4"/>
      <c r="K7102" s="4"/>
      <c r="L7102" s="4"/>
      <c r="M7102" s="5" t="s">
        <v>4475</v>
      </c>
    </row>
    <row r="7103" customFormat="false" ht="15.75" hidden="false" customHeight="false" outlineLevel="0" collapsed="false">
      <c r="A7103" s="6" t="n">
        <v>46187</v>
      </c>
      <c r="B7103" s="4" t="s">
        <v>4473</v>
      </c>
      <c r="C7103" s="4" t="n">
        <v>9</v>
      </c>
      <c r="D7103" s="4" t="n">
        <v>2</v>
      </c>
      <c r="E7103" s="4" t="s">
        <v>5194</v>
      </c>
      <c r="F7103" s="4" t="n">
        <v>4</v>
      </c>
      <c r="G7103" s="4" t="n">
        <v>9</v>
      </c>
      <c r="H7103" s="4" t="n">
        <v>4</v>
      </c>
      <c r="I7103" s="4" t="str">
        <v>×</v>
      </c>
      <c r="J7103" s="4"/>
      <c r="K7103" s="4"/>
      <c r="L7103" s="4"/>
      <c r="M7103" s="5" t="s">
        <v>4475</v>
      </c>
    </row>
    <row r="7104" customFormat="false" ht="15.75" hidden="false" customHeight="false" outlineLevel="0" collapsed="false">
      <c r="A7104" s="6" t="n">
        <v>46187</v>
      </c>
      <c r="B7104" s="4" t="s">
        <v>4473</v>
      </c>
      <c r="C7104" s="4" t="n">
        <v>9</v>
      </c>
      <c r="D7104" s="4" t="n">
        <v>3</v>
      </c>
      <c r="E7104" s="4" t="s">
        <v>3095</v>
      </c>
      <c r="F7104" s="4" t="n">
        <v>6</v>
      </c>
      <c r="G7104" s="4" t="n">
        <v>8</v>
      </c>
      <c r="H7104" s="4" t="n">
        <v>4</v>
      </c>
      <c r="I7104" s="4" t="str">
        <v>×</v>
      </c>
      <c r="J7104" s="4"/>
      <c r="K7104" s="4"/>
      <c r="L7104" s="4"/>
      <c r="M7104" s="5" t="s">
        <v>4475</v>
      </c>
    </row>
    <row r="7105" customFormat="false" ht="15.75" hidden="false" customHeight="false" outlineLevel="0" collapsed="false">
      <c r="A7105" s="6" t="n">
        <v>46187</v>
      </c>
      <c r="B7105" s="4" t="s">
        <v>4473</v>
      </c>
      <c r="C7105" s="4" t="n">
        <v>9</v>
      </c>
      <c r="D7105" s="4" t="n">
        <v>4</v>
      </c>
      <c r="E7105" s="4" t="s">
        <v>5195</v>
      </c>
      <c r="F7105" s="4" t="n">
        <v>56</v>
      </c>
      <c r="G7105" s="4" t="n">
        <v>1</v>
      </c>
      <c r="H7105" s="4" t="n">
        <v>3</v>
      </c>
      <c r="I7105" s="4" t="str">
        <v>○</v>
      </c>
      <c r="J7105" s="4" t="n">
        <v>110</v>
      </c>
      <c r="K7105" s="4"/>
      <c r="L7105" s="4"/>
      <c r="M7105" s="5" t="s">
        <v>4475</v>
      </c>
    </row>
    <row r="7106" customFormat="false" ht="15.75" hidden="false" customHeight="false" outlineLevel="0" collapsed="false">
      <c r="A7106" s="6" t="n">
        <v>46187</v>
      </c>
      <c r="B7106" s="4" t="s">
        <v>4473</v>
      </c>
      <c r="C7106" s="4" t="n">
        <v>9</v>
      </c>
      <c r="D7106" s="4" t="n">
        <v>5</v>
      </c>
      <c r="E7106" s="4" t="s">
        <v>5196</v>
      </c>
      <c r="F7106" s="4" t="n">
        <v>10</v>
      </c>
      <c r="G7106" s="4" t="n">
        <v>7</v>
      </c>
      <c r="H7106" s="4" t="n">
        <v>4</v>
      </c>
      <c r="I7106" s="4" t="str">
        <v>×</v>
      </c>
      <c r="J7106" s="4"/>
      <c r="K7106" s="4"/>
      <c r="L7106" s="4"/>
      <c r="M7106" s="5" t="s">
        <v>4475</v>
      </c>
    </row>
    <row r="7107" customFormat="false" ht="15.75" hidden="false" customHeight="false" outlineLevel="0" collapsed="false">
      <c r="A7107" s="6" t="n">
        <v>46187</v>
      </c>
      <c r="B7107" s="4" t="s">
        <v>4473</v>
      </c>
      <c r="C7107" s="4" t="n">
        <v>9</v>
      </c>
      <c r="D7107" s="4" t="n">
        <v>6</v>
      </c>
      <c r="E7107" s="4" t="s">
        <v>3755</v>
      </c>
      <c r="F7107" s="4" t="n">
        <v>39</v>
      </c>
      <c r="G7107" s="4" t="n">
        <v>2</v>
      </c>
      <c r="H7107" s="4" t="n">
        <v>4</v>
      </c>
      <c r="I7107" s="4" t="str">
        <v>×</v>
      </c>
      <c r="J7107" s="4"/>
      <c r="K7107" s="4"/>
      <c r="L7107" s="4"/>
      <c r="M7107" s="5" t="s">
        <v>4475</v>
      </c>
    </row>
    <row r="7108" customFormat="false" ht="15.75" hidden="false" customHeight="false" outlineLevel="0" collapsed="false">
      <c r="A7108" s="6" t="n">
        <v>46187</v>
      </c>
      <c r="B7108" s="4" t="s">
        <v>4473</v>
      </c>
      <c r="C7108" s="4" t="n">
        <v>9</v>
      </c>
      <c r="D7108" s="4" t="n">
        <v>7</v>
      </c>
      <c r="E7108" s="4" t="s">
        <v>5197</v>
      </c>
      <c r="F7108" s="4" t="n">
        <v>31</v>
      </c>
      <c r="G7108" s="4" t="n">
        <v>3</v>
      </c>
      <c r="H7108" s="4" t="n">
        <v>1</v>
      </c>
      <c r="I7108" s="4" t="str">
        <v>○</v>
      </c>
      <c r="J7108" s="4" t="n">
        <v>360</v>
      </c>
      <c r="K7108" s="4"/>
      <c r="L7108" s="4"/>
      <c r="M7108" s="5" t="s">
        <v>4475</v>
      </c>
    </row>
    <row r="7109" customFormat="false" ht="15.75" hidden="false" customHeight="false" outlineLevel="0" collapsed="false">
      <c r="A7109" s="6" t="n">
        <v>46187</v>
      </c>
      <c r="B7109" s="4" t="s">
        <v>4473</v>
      </c>
      <c r="C7109" s="4" t="n">
        <v>9</v>
      </c>
      <c r="D7109" s="4" t="n">
        <v>8</v>
      </c>
      <c r="E7109" s="4" t="s">
        <v>5198</v>
      </c>
      <c r="F7109" s="4" t="n">
        <v>13</v>
      </c>
      <c r="G7109" s="4" t="n">
        <v>6</v>
      </c>
      <c r="H7109" s="4" t="n">
        <v>4</v>
      </c>
      <c r="I7109" s="4" t="str">
        <v>×</v>
      </c>
      <c r="J7109" s="4"/>
      <c r="K7109" s="4"/>
      <c r="L7109" s="4"/>
      <c r="M7109" s="5" t="s">
        <v>4475</v>
      </c>
    </row>
    <row r="7110" customFormat="false" ht="15.75" hidden="false" customHeight="false" outlineLevel="0" collapsed="false">
      <c r="A7110" s="6" t="n">
        <v>46187</v>
      </c>
      <c r="B7110" s="4" t="s">
        <v>4473</v>
      </c>
      <c r="C7110" s="4" t="n">
        <v>9</v>
      </c>
      <c r="D7110" s="4" t="n">
        <v>9</v>
      </c>
      <c r="E7110" s="4" t="s">
        <v>5199</v>
      </c>
      <c r="F7110" s="4" t="n">
        <v>29</v>
      </c>
      <c r="G7110" s="4" t="n">
        <v>4</v>
      </c>
      <c r="H7110" s="4" t="n">
        <v>4</v>
      </c>
      <c r="I7110" s="4" t="str">
        <v>×</v>
      </c>
      <c r="J7110" s="4"/>
      <c r="K7110" s="4"/>
      <c r="L7110" s="4"/>
      <c r="M7110" s="5" t="s">
        <v>4475</v>
      </c>
    </row>
    <row r="7111" customFormat="false" ht="15.75" hidden="false" customHeight="false" outlineLevel="0" collapsed="false">
      <c r="A7111" s="6" t="n">
        <v>46187</v>
      </c>
      <c r="B7111" s="4" t="s">
        <v>4473</v>
      </c>
      <c r="C7111" s="4" t="n">
        <v>9</v>
      </c>
      <c r="D7111" s="4" t="n">
        <v>10</v>
      </c>
      <c r="E7111" s="4" t="s">
        <v>5200</v>
      </c>
      <c r="F7111" s="4" t="n">
        <v>4</v>
      </c>
      <c r="G7111" s="4" t="n">
        <v>9</v>
      </c>
      <c r="H7111" s="4" t="n">
        <v>4</v>
      </c>
      <c r="I7111" s="4" t="str">
        <v>×</v>
      </c>
      <c r="J7111" s="4"/>
      <c r="K7111" s="4"/>
      <c r="L7111" s="4"/>
      <c r="M7111" s="5" t="s">
        <v>4475</v>
      </c>
    </row>
    <row r="7112" customFormat="false" ht="15.75" hidden="false" customHeight="false" outlineLevel="0" collapsed="false">
      <c r="A7112" s="6" t="n">
        <v>46187</v>
      </c>
      <c r="B7112" s="4" t="s">
        <v>4473</v>
      </c>
      <c r="C7112" s="4" t="n">
        <v>9</v>
      </c>
      <c r="D7112" s="4" t="n">
        <v>11</v>
      </c>
      <c r="E7112" s="4" t="s">
        <v>5201</v>
      </c>
      <c r="F7112" s="4" t="n">
        <v>23</v>
      </c>
      <c r="G7112" s="4" t="n">
        <v>5</v>
      </c>
      <c r="H7112" s="4" t="n">
        <v>2</v>
      </c>
      <c r="I7112" s="4" t="str">
        <v>○</v>
      </c>
      <c r="J7112" s="4" t="n">
        <v>160</v>
      </c>
      <c r="K7112" s="4"/>
      <c r="L7112" s="4"/>
      <c r="M7112" s="5" t="s">
        <v>4475</v>
      </c>
    </row>
    <row r="7113" customFormat="false" ht="15.75" hidden="false" customHeight="false" outlineLevel="0" collapsed="false">
      <c r="A7113" s="6" t="n">
        <v>46187</v>
      </c>
      <c r="B7113" s="4" t="s">
        <v>4473</v>
      </c>
      <c r="C7113" s="4" t="n">
        <v>10</v>
      </c>
      <c r="D7113" s="4" t="n">
        <v>1</v>
      </c>
      <c r="E7113" s="4" t="s">
        <v>5202</v>
      </c>
      <c r="F7113" s="4" t="n">
        <v>44</v>
      </c>
      <c r="G7113" s="4" t="n">
        <v>2</v>
      </c>
      <c r="H7113" s="4" t="n">
        <v>4</v>
      </c>
      <c r="I7113" s="4" t="str">
        <v>×</v>
      </c>
      <c r="J7113" s="4"/>
      <c r="K7113" s="4"/>
      <c r="L7113" s="4"/>
      <c r="M7113" s="5" t="s">
        <v>4475</v>
      </c>
    </row>
    <row r="7114" customFormat="false" ht="15.75" hidden="false" customHeight="false" outlineLevel="0" collapsed="false">
      <c r="A7114" s="6" t="n">
        <v>46187</v>
      </c>
      <c r="B7114" s="4" t="s">
        <v>4473</v>
      </c>
      <c r="C7114" s="4" t="n">
        <v>10</v>
      </c>
      <c r="D7114" s="4" t="n">
        <v>2</v>
      </c>
      <c r="E7114" s="4" t="s">
        <v>900</v>
      </c>
      <c r="F7114" s="4" t="n">
        <v>31</v>
      </c>
      <c r="G7114" s="4" t="n">
        <v>5</v>
      </c>
      <c r="H7114" s="4" t="n">
        <v>1</v>
      </c>
      <c r="I7114" s="4" t="str">
        <v>○</v>
      </c>
      <c r="J7114" s="4" t="n">
        <v>320</v>
      </c>
      <c r="K7114" s="4"/>
      <c r="L7114" s="4"/>
      <c r="M7114" s="5" t="s">
        <v>4475</v>
      </c>
    </row>
    <row r="7115" customFormat="false" ht="15.75" hidden="false" customHeight="false" outlineLevel="0" collapsed="false">
      <c r="A7115" s="6" t="n">
        <v>46187</v>
      </c>
      <c r="B7115" s="4" t="s">
        <v>4473</v>
      </c>
      <c r="C7115" s="4" t="n">
        <v>10</v>
      </c>
      <c r="D7115" s="4" t="n">
        <v>3</v>
      </c>
      <c r="E7115" s="4" t="s">
        <v>5203</v>
      </c>
      <c r="F7115" s="4" t="n">
        <v>25</v>
      </c>
      <c r="G7115" s="4" t="n">
        <v>6</v>
      </c>
      <c r="H7115" s="4" t="n">
        <v>3</v>
      </c>
      <c r="I7115" s="4" t="str">
        <v>○</v>
      </c>
      <c r="J7115" s="4" t="n">
        <v>370</v>
      </c>
      <c r="K7115" s="4"/>
      <c r="L7115" s="4"/>
      <c r="M7115" s="5" t="s">
        <v>4475</v>
      </c>
    </row>
    <row r="7116" customFormat="false" ht="15.75" hidden="false" customHeight="false" outlineLevel="0" collapsed="false">
      <c r="A7116" s="6" t="n">
        <v>46187</v>
      </c>
      <c r="B7116" s="4" t="s">
        <v>4473</v>
      </c>
      <c r="C7116" s="4" t="n">
        <v>10</v>
      </c>
      <c r="D7116" s="4" t="n">
        <v>4</v>
      </c>
      <c r="E7116" s="4" t="s">
        <v>5204</v>
      </c>
      <c r="F7116" s="4" t="n">
        <v>10</v>
      </c>
      <c r="G7116" s="4" t="n">
        <v>11</v>
      </c>
      <c r="H7116" s="4" t="n">
        <v>4</v>
      </c>
      <c r="I7116" s="4" t="str">
        <v>×</v>
      </c>
      <c r="J7116" s="4"/>
      <c r="K7116" s="4"/>
      <c r="L7116" s="4"/>
      <c r="M7116" s="5" t="s">
        <v>4475</v>
      </c>
    </row>
    <row r="7117" customFormat="false" ht="15.75" hidden="false" customHeight="false" outlineLevel="0" collapsed="false">
      <c r="A7117" s="6" t="n">
        <v>46187</v>
      </c>
      <c r="B7117" s="4" t="s">
        <v>4473</v>
      </c>
      <c r="C7117" s="4" t="n">
        <v>10</v>
      </c>
      <c r="D7117" s="4" t="n">
        <v>5</v>
      </c>
      <c r="E7117" s="4" t="s">
        <v>893</v>
      </c>
      <c r="F7117" s="4" t="n">
        <v>34</v>
      </c>
      <c r="G7117" s="4" t="n">
        <v>4</v>
      </c>
      <c r="H7117" s="4" t="n">
        <v>4</v>
      </c>
      <c r="I7117" s="4" t="str">
        <v>×</v>
      </c>
      <c r="J7117" s="4"/>
      <c r="K7117" s="4"/>
      <c r="L7117" s="4"/>
      <c r="M7117" s="5" t="s">
        <v>4475</v>
      </c>
    </row>
    <row r="7118" customFormat="false" ht="15.75" hidden="false" customHeight="false" outlineLevel="0" collapsed="false">
      <c r="A7118" s="6" t="n">
        <v>46187</v>
      </c>
      <c r="B7118" s="4" t="s">
        <v>4473</v>
      </c>
      <c r="C7118" s="4" t="n">
        <v>10</v>
      </c>
      <c r="D7118" s="4" t="n">
        <v>6</v>
      </c>
      <c r="E7118" s="4" t="s">
        <v>5205</v>
      </c>
      <c r="F7118" s="4" t="n">
        <v>31</v>
      </c>
      <c r="G7118" s="4" t="n">
        <v>5</v>
      </c>
      <c r="H7118" s="4" t="n">
        <v>4</v>
      </c>
      <c r="I7118" s="4" t="str">
        <v>×</v>
      </c>
      <c r="J7118" s="4"/>
      <c r="K7118" s="4"/>
      <c r="L7118" s="4"/>
      <c r="M7118" s="5" t="s">
        <v>4475</v>
      </c>
    </row>
    <row r="7119" customFormat="false" ht="15.75" hidden="false" customHeight="false" outlineLevel="0" collapsed="false">
      <c r="A7119" s="6" t="n">
        <v>46187</v>
      </c>
      <c r="B7119" s="4" t="s">
        <v>4473</v>
      </c>
      <c r="C7119" s="4" t="n">
        <v>10</v>
      </c>
      <c r="D7119" s="4" t="n">
        <v>7</v>
      </c>
      <c r="E7119" s="4" t="s">
        <v>901</v>
      </c>
      <c r="F7119" s="4" t="n">
        <v>13</v>
      </c>
      <c r="G7119" s="4" t="n">
        <v>10</v>
      </c>
      <c r="H7119" s="4" t="n">
        <v>4</v>
      </c>
      <c r="I7119" s="4" t="str">
        <v>×</v>
      </c>
      <c r="J7119" s="4"/>
      <c r="K7119" s="4"/>
      <c r="L7119" s="4"/>
      <c r="M7119" s="5" t="s">
        <v>4475</v>
      </c>
    </row>
    <row r="7120" customFormat="false" ht="15.75" hidden="false" customHeight="false" outlineLevel="0" collapsed="false">
      <c r="A7120" s="6" t="n">
        <v>46187</v>
      </c>
      <c r="B7120" s="4" t="s">
        <v>4473</v>
      </c>
      <c r="C7120" s="4" t="n">
        <v>10</v>
      </c>
      <c r="D7120" s="4" t="n">
        <v>8</v>
      </c>
      <c r="E7120" s="4" t="s">
        <v>5206</v>
      </c>
      <c r="F7120" s="4" t="n">
        <v>17</v>
      </c>
      <c r="G7120" s="4" t="n">
        <v>8</v>
      </c>
      <c r="H7120" s="4" t="n">
        <v>4</v>
      </c>
      <c r="I7120" s="4" t="str">
        <v>×</v>
      </c>
      <c r="J7120" s="4"/>
      <c r="K7120" s="4"/>
      <c r="L7120" s="4"/>
      <c r="M7120" s="5" t="s">
        <v>4475</v>
      </c>
    </row>
    <row r="7121" customFormat="false" ht="15.75" hidden="false" customHeight="false" outlineLevel="0" collapsed="false">
      <c r="A7121" s="6" t="n">
        <v>46187</v>
      </c>
      <c r="B7121" s="4" t="s">
        <v>4473</v>
      </c>
      <c r="C7121" s="4" t="n">
        <v>10</v>
      </c>
      <c r="D7121" s="4" t="n">
        <v>9</v>
      </c>
      <c r="E7121" s="4" t="s">
        <v>5207</v>
      </c>
      <c r="F7121" s="4" t="n">
        <v>15</v>
      </c>
      <c r="G7121" s="4" t="n">
        <v>9</v>
      </c>
      <c r="H7121" s="4" t="n">
        <v>4</v>
      </c>
      <c r="I7121" s="4" t="str">
        <v>×</v>
      </c>
      <c r="J7121" s="4"/>
      <c r="K7121" s="4"/>
      <c r="L7121" s="4"/>
      <c r="M7121" s="5" t="s">
        <v>4475</v>
      </c>
    </row>
    <row r="7122" customFormat="false" ht="15.75" hidden="false" customHeight="false" outlineLevel="0" collapsed="false">
      <c r="A7122" s="6" t="n">
        <v>46187</v>
      </c>
      <c r="B7122" s="4" t="s">
        <v>4473</v>
      </c>
      <c r="C7122" s="4" t="n">
        <v>10</v>
      </c>
      <c r="D7122" s="4" t="n">
        <v>10</v>
      </c>
      <c r="E7122" s="4" t="s">
        <v>5208</v>
      </c>
      <c r="F7122" s="4" t="n">
        <v>20</v>
      </c>
      <c r="G7122" s="4" t="n">
        <v>7</v>
      </c>
      <c r="H7122" s="4" t="n">
        <v>4</v>
      </c>
      <c r="I7122" s="4" t="str">
        <v>×</v>
      </c>
      <c r="J7122" s="4"/>
      <c r="K7122" s="4"/>
      <c r="L7122" s="4"/>
      <c r="M7122" s="5" t="s">
        <v>4475</v>
      </c>
    </row>
    <row r="7123" customFormat="false" ht="15.75" hidden="false" customHeight="false" outlineLevel="0" collapsed="false">
      <c r="A7123" s="6" t="n">
        <v>46187</v>
      </c>
      <c r="B7123" s="4" t="s">
        <v>4473</v>
      </c>
      <c r="C7123" s="4" t="n">
        <v>10</v>
      </c>
      <c r="D7123" s="4" t="n">
        <v>11</v>
      </c>
      <c r="E7123" s="4" t="s">
        <v>5209</v>
      </c>
      <c r="F7123" s="4" t="n">
        <v>39</v>
      </c>
      <c r="G7123" s="4" t="n">
        <v>3</v>
      </c>
      <c r="H7123" s="4" t="n">
        <v>4</v>
      </c>
      <c r="I7123" s="4" t="str">
        <v>×</v>
      </c>
      <c r="J7123" s="4"/>
      <c r="K7123" s="4"/>
      <c r="L7123" s="4"/>
      <c r="M7123" s="5" t="s">
        <v>4475</v>
      </c>
    </row>
    <row r="7124" customFormat="false" ht="15.75" hidden="false" customHeight="false" outlineLevel="0" collapsed="false">
      <c r="A7124" s="6" t="n">
        <v>46187</v>
      </c>
      <c r="B7124" s="4" t="s">
        <v>4473</v>
      </c>
      <c r="C7124" s="4" t="n">
        <v>10</v>
      </c>
      <c r="D7124" s="4" t="n">
        <v>12</v>
      </c>
      <c r="E7124" s="4" t="s">
        <v>5210</v>
      </c>
      <c r="F7124" s="4" t="n">
        <v>58</v>
      </c>
      <c r="G7124" s="4" t="n">
        <v>1</v>
      </c>
      <c r="H7124" s="4" t="n">
        <v>2</v>
      </c>
      <c r="I7124" s="4" t="str">
        <v>○</v>
      </c>
      <c r="J7124" s="4" t="n">
        <v>180</v>
      </c>
      <c r="K7124" s="4"/>
      <c r="L7124" s="4"/>
      <c r="M7124" s="5" t="s">
        <v>4475</v>
      </c>
    </row>
    <row r="7125" customFormat="false" ht="15.75" hidden="false" customHeight="false" outlineLevel="0" collapsed="false">
      <c r="A7125" s="6" t="n">
        <v>46187</v>
      </c>
      <c r="B7125" s="4" t="s">
        <v>4473</v>
      </c>
      <c r="C7125" s="4" t="n">
        <v>10</v>
      </c>
      <c r="D7125" s="4" t="n">
        <v>13</v>
      </c>
      <c r="E7125" s="4" t="s">
        <v>5211</v>
      </c>
      <c r="F7125" s="4" t="n">
        <v>25</v>
      </c>
      <c r="G7125" s="4" t="n">
        <v>6</v>
      </c>
      <c r="H7125" s="4" t="n">
        <v>4</v>
      </c>
      <c r="I7125" s="4" t="str">
        <v>×</v>
      </c>
      <c r="J7125" s="4"/>
      <c r="K7125" s="4"/>
      <c r="L7125" s="4"/>
      <c r="M7125" s="5" t="s">
        <v>4475</v>
      </c>
    </row>
    <row r="7126" customFormat="false" ht="15.75" hidden="false" customHeight="false" outlineLevel="0" collapsed="false">
      <c r="A7126" s="6" t="n">
        <v>46187</v>
      </c>
      <c r="B7126" s="4" t="s">
        <v>4473</v>
      </c>
      <c r="C7126" s="4" t="n">
        <v>10</v>
      </c>
      <c r="D7126" s="4" t="n">
        <v>14</v>
      </c>
      <c r="E7126" s="4" t="s">
        <v>5212</v>
      </c>
      <c r="F7126" s="4" t="n">
        <v>2</v>
      </c>
      <c r="G7126" s="4" t="n">
        <v>12</v>
      </c>
      <c r="H7126" s="4" t="n">
        <v>4</v>
      </c>
      <c r="I7126" s="4" t="str">
        <v>×</v>
      </c>
      <c r="J7126" s="4"/>
      <c r="K7126" s="4"/>
      <c r="L7126" s="4"/>
      <c r="M7126" s="5" t="s">
        <v>4475</v>
      </c>
    </row>
    <row r="7127" customFormat="false" ht="15.75" hidden="false" customHeight="false" outlineLevel="0" collapsed="false">
      <c r="A7127" s="6" t="n">
        <v>46187</v>
      </c>
      <c r="B7127" s="4" t="s">
        <v>4473</v>
      </c>
      <c r="C7127" s="4" t="n">
        <v>11</v>
      </c>
      <c r="D7127" s="4" t="n">
        <v>1</v>
      </c>
      <c r="E7127" s="4" t="s">
        <v>5213</v>
      </c>
      <c r="F7127" s="4" t="n">
        <v>20</v>
      </c>
      <c r="G7127" s="4" t="n">
        <v>5</v>
      </c>
      <c r="H7127" s="4" t="n">
        <v>4</v>
      </c>
      <c r="I7127" s="4" t="str">
        <v>×</v>
      </c>
      <c r="J7127" s="4"/>
      <c r="K7127" s="4"/>
      <c r="L7127" s="4"/>
      <c r="M7127" s="5" t="s">
        <v>4475</v>
      </c>
    </row>
    <row r="7128" customFormat="false" ht="15.75" hidden="false" customHeight="false" outlineLevel="0" collapsed="false">
      <c r="A7128" s="6" t="n">
        <v>46187</v>
      </c>
      <c r="B7128" s="4" t="s">
        <v>4473</v>
      </c>
      <c r="C7128" s="4" t="n">
        <v>11</v>
      </c>
      <c r="D7128" s="4" t="n">
        <v>2</v>
      </c>
      <c r="E7128" s="4" t="s">
        <v>4050</v>
      </c>
      <c r="F7128" s="4" t="n">
        <v>8</v>
      </c>
      <c r="G7128" s="4" t="n">
        <v>8</v>
      </c>
      <c r="H7128" s="4" t="n">
        <v>4</v>
      </c>
      <c r="I7128" s="4" t="str">
        <v>×</v>
      </c>
      <c r="J7128" s="4"/>
      <c r="K7128" s="4"/>
      <c r="L7128" s="4"/>
      <c r="M7128" s="5" t="s">
        <v>4475</v>
      </c>
    </row>
    <row r="7129" customFormat="false" ht="15.75" hidden="false" customHeight="false" outlineLevel="0" collapsed="false">
      <c r="A7129" s="6" t="n">
        <v>46187</v>
      </c>
      <c r="B7129" s="4" t="s">
        <v>4473</v>
      </c>
      <c r="C7129" s="4" t="n">
        <v>11</v>
      </c>
      <c r="D7129" s="4" t="n">
        <v>3</v>
      </c>
      <c r="E7129" s="4" t="s">
        <v>5214</v>
      </c>
      <c r="F7129" s="4" t="n">
        <v>15</v>
      </c>
      <c r="G7129" s="4" t="n">
        <v>7</v>
      </c>
      <c r="H7129" s="4" t="n">
        <v>4</v>
      </c>
      <c r="I7129" s="4" t="str">
        <v>×</v>
      </c>
      <c r="J7129" s="4"/>
      <c r="K7129" s="4"/>
      <c r="L7129" s="4"/>
      <c r="M7129" s="5" t="s">
        <v>4475</v>
      </c>
    </row>
    <row r="7130" customFormat="false" ht="15.75" hidden="false" customHeight="false" outlineLevel="0" collapsed="false">
      <c r="A7130" s="6" t="n">
        <v>46187</v>
      </c>
      <c r="B7130" s="4" t="s">
        <v>4473</v>
      </c>
      <c r="C7130" s="4" t="n">
        <v>11</v>
      </c>
      <c r="D7130" s="4" t="n">
        <v>4</v>
      </c>
      <c r="E7130" s="4" t="s">
        <v>5215</v>
      </c>
      <c r="F7130" s="4" t="n">
        <v>8</v>
      </c>
      <c r="G7130" s="4" t="n">
        <v>8</v>
      </c>
      <c r="H7130" s="4" t="n">
        <v>2</v>
      </c>
      <c r="I7130" s="4" t="str">
        <v>○</v>
      </c>
      <c r="J7130" s="4" t="n">
        <v>800</v>
      </c>
      <c r="K7130" s="4"/>
      <c r="L7130" s="4"/>
      <c r="M7130" s="5" t="s">
        <v>4475</v>
      </c>
    </row>
    <row r="7131" customFormat="false" ht="15.75" hidden="false" customHeight="false" outlineLevel="0" collapsed="false">
      <c r="A7131" s="6" t="n">
        <v>46187</v>
      </c>
      <c r="B7131" s="4" t="s">
        <v>4473</v>
      </c>
      <c r="C7131" s="4" t="n">
        <v>11</v>
      </c>
      <c r="D7131" s="4" t="n">
        <v>5</v>
      </c>
      <c r="E7131" s="4" t="s">
        <v>5216</v>
      </c>
      <c r="F7131" s="4" t="n">
        <v>39</v>
      </c>
      <c r="G7131" s="4" t="n">
        <v>2</v>
      </c>
      <c r="H7131" s="4" t="n">
        <v>4</v>
      </c>
      <c r="I7131" s="4" t="str">
        <v>×</v>
      </c>
      <c r="J7131" s="4"/>
      <c r="K7131" s="4"/>
      <c r="L7131" s="4"/>
      <c r="M7131" s="5" t="s">
        <v>4475</v>
      </c>
    </row>
    <row r="7132" customFormat="false" ht="15.75" hidden="false" customHeight="false" outlineLevel="0" collapsed="false">
      <c r="A7132" s="6" t="n">
        <v>46187</v>
      </c>
      <c r="B7132" s="4" t="s">
        <v>4473</v>
      </c>
      <c r="C7132" s="4" t="n">
        <v>11</v>
      </c>
      <c r="D7132" s="4" t="n">
        <v>6</v>
      </c>
      <c r="E7132" s="4" t="s">
        <v>1996</v>
      </c>
      <c r="F7132" s="4" t="n">
        <v>23</v>
      </c>
      <c r="G7132" s="4" t="n">
        <v>4</v>
      </c>
      <c r="H7132" s="4" t="n">
        <v>4</v>
      </c>
      <c r="I7132" s="4" t="str">
        <v>×</v>
      </c>
      <c r="J7132" s="4"/>
      <c r="K7132" s="4"/>
      <c r="L7132" s="4"/>
      <c r="M7132" s="5" t="s">
        <v>4475</v>
      </c>
    </row>
    <row r="7133" customFormat="false" ht="15.75" hidden="false" customHeight="false" outlineLevel="0" collapsed="false">
      <c r="A7133" s="6" t="n">
        <v>46187</v>
      </c>
      <c r="B7133" s="4" t="s">
        <v>4473</v>
      </c>
      <c r="C7133" s="4" t="n">
        <v>11</v>
      </c>
      <c r="D7133" s="4" t="n">
        <v>7</v>
      </c>
      <c r="E7133" s="4" t="s">
        <v>5217</v>
      </c>
      <c r="F7133" s="4" t="n">
        <v>4</v>
      </c>
      <c r="G7133" s="4" t="n">
        <v>9</v>
      </c>
      <c r="H7133" s="4" t="n">
        <v>4</v>
      </c>
      <c r="I7133" s="4" t="str">
        <v>×</v>
      </c>
      <c r="J7133" s="4"/>
      <c r="K7133" s="4"/>
      <c r="L7133" s="4"/>
      <c r="M7133" s="5" t="s">
        <v>4475</v>
      </c>
    </row>
    <row r="7134" customFormat="false" ht="15.75" hidden="false" customHeight="false" outlineLevel="0" collapsed="false">
      <c r="A7134" s="6" t="n">
        <v>46187</v>
      </c>
      <c r="B7134" s="4" t="s">
        <v>4473</v>
      </c>
      <c r="C7134" s="4" t="n">
        <v>11</v>
      </c>
      <c r="D7134" s="4" t="n">
        <v>8</v>
      </c>
      <c r="E7134" s="4" t="s">
        <v>5218</v>
      </c>
      <c r="F7134" s="4" t="n">
        <v>4</v>
      </c>
      <c r="G7134" s="4" t="n">
        <v>9</v>
      </c>
      <c r="H7134" s="4" t="n">
        <v>4</v>
      </c>
      <c r="I7134" s="4" t="str">
        <v>×</v>
      </c>
      <c r="J7134" s="4"/>
      <c r="K7134" s="4"/>
      <c r="L7134" s="4"/>
      <c r="M7134" s="5" t="s">
        <v>4475</v>
      </c>
    </row>
    <row r="7135" customFormat="false" ht="15.75" hidden="false" customHeight="false" outlineLevel="0" collapsed="false">
      <c r="A7135" s="6" t="n">
        <v>46187</v>
      </c>
      <c r="B7135" s="4" t="s">
        <v>4473</v>
      </c>
      <c r="C7135" s="4" t="n">
        <v>11</v>
      </c>
      <c r="D7135" s="4" t="n">
        <v>9</v>
      </c>
      <c r="E7135" s="4" t="s">
        <v>5219</v>
      </c>
      <c r="F7135" s="4" t="n">
        <v>2</v>
      </c>
      <c r="G7135" s="4" t="n">
        <v>10</v>
      </c>
      <c r="H7135" s="4" t="n">
        <v>4</v>
      </c>
      <c r="I7135" s="4" t="str">
        <v>×</v>
      </c>
      <c r="J7135" s="4"/>
      <c r="K7135" s="4"/>
      <c r="L7135" s="4"/>
      <c r="M7135" s="5" t="s">
        <v>4475</v>
      </c>
    </row>
    <row r="7136" customFormat="false" ht="15.75" hidden="false" customHeight="false" outlineLevel="0" collapsed="false">
      <c r="A7136" s="6" t="n">
        <v>46187</v>
      </c>
      <c r="B7136" s="4" t="s">
        <v>4473</v>
      </c>
      <c r="C7136" s="4" t="n">
        <v>11</v>
      </c>
      <c r="D7136" s="4" t="n">
        <v>10</v>
      </c>
      <c r="E7136" s="4" t="s">
        <v>5220</v>
      </c>
      <c r="F7136" s="4" t="n">
        <v>29</v>
      </c>
      <c r="G7136" s="4" t="n">
        <v>3</v>
      </c>
      <c r="H7136" s="4" t="n">
        <v>4</v>
      </c>
      <c r="I7136" s="4" t="str">
        <v>×</v>
      </c>
      <c r="J7136" s="4"/>
      <c r="K7136" s="4"/>
      <c r="L7136" s="4"/>
      <c r="M7136" s="5" t="s">
        <v>4475</v>
      </c>
    </row>
    <row r="7137" customFormat="false" ht="15.75" hidden="false" customHeight="false" outlineLevel="0" collapsed="false">
      <c r="A7137" s="6" t="n">
        <v>46187</v>
      </c>
      <c r="B7137" s="4" t="s">
        <v>4473</v>
      </c>
      <c r="C7137" s="4" t="n">
        <v>11</v>
      </c>
      <c r="D7137" s="4" t="n">
        <v>11</v>
      </c>
      <c r="E7137" s="4" t="s">
        <v>5221</v>
      </c>
      <c r="F7137" s="4" t="n">
        <v>58</v>
      </c>
      <c r="G7137" s="4" t="n">
        <v>1</v>
      </c>
      <c r="H7137" s="4" t="n">
        <v>1</v>
      </c>
      <c r="I7137" s="4" t="str">
        <v>○</v>
      </c>
      <c r="J7137" s="4" t="n">
        <v>140</v>
      </c>
      <c r="K7137" s="4"/>
      <c r="L7137" s="4"/>
      <c r="M7137" s="5" t="s">
        <v>4475</v>
      </c>
    </row>
    <row r="7138" customFormat="false" ht="15.75" hidden="false" customHeight="false" outlineLevel="0" collapsed="false">
      <c r="A7138" s="6" t="n">
        <v>46187</v>
      </c>
      <c r="B7138" s="4" t="s">
        <v>4473</v>
      </c>
      <c r="C7138" s="4" t="n">
        <v>11</v>
      </c>
      <c r="D7138" s="4" t="n">
        <v>12</v>
      </c>
      <c r="E7138" s="4" t="s">
        <v>5222</v>
      </c>
      <c r="F7138" s="4" t="n">
        <v>15</v>
      </c>
      <c r="G7138" s="4" t="n">
        <v>7</v>
      </c>
      <c r="H7138" s="4" t="n">
        <v>4</v>
      </c>
      <c r="I7138" s="4" t="str">
        <v>×</v>
      </c>
      <c r="J7138" s="4"/>
      <c r="K7138" s="4"/>
      <c r="L7138" s="4"/>
      <c r="M7138" s="5" t="s">
        <v>4475</v>
      </c>
    </row>
    <row r="7139" customFormat="false" ht="15.75" hidden="false" customHeight="false" outlineLevel="0" collapsed="false">
      <c r="A7139" s="6" t="n">
        <v>46187</v>
      </c>
      <c r="B7139" s="4" t="s">
        <v>4473</v>
      </c>
      <c r="C7139" s="4" t="n">
        <v>11</v>
      </c>
      <c r="D7139" s="4" t="n">
        <v>13</v>
      </c>
      <c r="E7139" s="4" t="s">
        <v>5223</v>
      </c>
      <c r="F7139" s="4" t="n">
        <v>23</v>
      </c>
      <c r="G7139" s="4" t="n">
        <v>4</v>
      </c>
      <c r="H7139" s="4" t="n">
        <v>3</v>
      </c>
      <c r="I7139" s="4" t="str">
        <v>○</v>
      </c>
      <c r="J7139" s="4" t="n">
        <v>370</v>
      </c>
      <c r="K7139" s="4"/>
      <c r="L7139" s="4"/>
      <c r="M7139" s="5" t="s">
        <v>4475</v>
      </c>
    </row>
    <row r="7140" customFormat="false" ht="15.75" hidden="false" customHeight="false" outlineLevel="0" collapsed="false">
      <c r="A7140" s="6" t="n">
        <v>46187</v>
      </c>
      <c r="B7140" s="4" t="s">
        <v>4473</v>
      </c>
      <c r="C7140" s="4" t="n">
        <v>11</v>
      </c>
      <c r="D7140" s="4" t="n">
        <v>14</v>
      </c>
      <c r="E7140" s="4"/>
      <c r="F7140" s="4" t="n">
        <v>17</v>
      </c>
      <c r="G7140" s="4" t="n">
        <v>6</v>
      </c>
      <c r="H7140" s="4"/>
      <c r="I7140" s="4" t="str">
        <v/>
      </c>
      <c r="J7140" s="4"/>
      <c r="K7140" s="4"/>
      <c r="L7140" s="4"/>
      <c r="M7140" s="5" t="s">
        <v>4475</v>
      </c>
    </row>
    <row r="7141" customFormat="false" ht="15.75" hidden="false" customHeight="false" outlineLevel="0" collapsed="false">
      <c r="A7141" s="6" t="n">
        <v>46187</v>
      </c>
      <c r="B7141" s="4" t="s">
        <v>4473</v>
      </c>
      <c r="C7141" s="4" t="n">
        <v>12</v>
      </c>
      <c r="D7141" s="4" t="n">
        <v>1</v>
      </c>
      <c r="E7141" s="4" t="s">
        <v>5224</v>
      </c>
      <c r="F7141" s="4" t="n">
        <v>31</v>
      </c>
      <c r="G7141" s="4" t="n">
        <v>5</v>
      </c>
      <c r="H7141" s="4" t="n">
        <v>4</v>
      </c>
      <c r="I7141" s="4" t="str">
        <v>×</v>
      </c>
      <c r="J7141" s="4"/>
      <c r="K7141" s="4"/>
      <c r="L7141" s="4"/>
      <c r="M7141" s="5" t="s">
        <v>4475</v>
      </c>
    </row>
    <row r="7142" customFormat="false" ht="15.75" hidden="false" customHeight="false" outlineLevel="0" collapsed="false">
      <c r="A7142" s="6" t="n">
        <v>46187</v>
      </c>
      <c r="B7142" s="4" t="s">
        <v>4473</v>
      </c>
      <c r="C7142" s="4" t="n">
        <v>12</v>
      </c>
      <c r="D7142" s="4" t="n">
        <v>2</v>
      </c>
      <c r="E7142" s="4" t="s">
        <v>4033</v>
      </c>
      <c r="F7142" s="4" t="n">
        <v>23</v>
      </c>
      <c r="G7142" s="4" t="n">
        <v>6</v>
      </c>
      <c r="H7142" s="4" t="n">
        <v>4</v>
      </c>
      <c r="I7142" s="4" t="str">
        <v>×</v>
      </c>
      <c r="J7142" s="4"/>
      <c r="K7142" s="4"/>
      <c r="L7142" s="4"/>
      <c r="M7142" s="5" t="s">
        <v>4475</v>
      </c>
    </row>
    <row r="7143" customFormat="false" ht="15.75" hidden="false" customHeight="false" outlineLevel="0" collapsed="false">
      <c r="A7143" s="6" t="n">
        <v>46187</v>
      </c>
      <c r="B7143" s="4" t="s">
        <v>4473</v>
      </c>
      <c r="C7143" s="4" t="n">
        <v>12</v>
      </c>
      <c r="D7143" s="4" t="n">
        <v>3</v>
      </c>
      <c r="E7143" s="4" t="s">
        <v>5225</v>
      </c>
      <c r="F7143" s="4" t="n">
        <v>38</v>
      </c>
      <c r="G7143" s="4" t="n">
        <v>2</v>
      </c>
      <c r="H7143" s="4" t="n">
        <v>4</v>
      </c>
      <c r="I7143" s="4" t="str">
        <v>×</v>
      </c>
      <c r="J7143" s="4"/>
      <c r="K7143" s="4"/>
      <c r="L7143" s="4"/>
      <c r="M7143" s="5" t="s">
        <v>4475</v>
      </c>
    </row>
    <row r="7144" customFormat="false" ht="15.75" hidden="false" customHeight="false" outlineLevel="0" collapsed="false">
      <c r="A7144" s="6" t="n">
        <v>46187</v>
      </c>
      <c r="B7144" s="4" t="s">
        <v>4473</v>
      </c>
      <c r="C7144" s="4" t="n">
        <v>12</v>
      </c>
      <c r="D7144" s="4" t="n">
        <v>4</v>
      </c>
      <c r="E7144" s="4" t="s">
        <v>5226</v>
      </c>
      <c r="F7144" s="4" t="n">
        <v>2</v>
      </c>
      <c r="G7144" s="4" t="n">
        <v>9</v>
      </c>
      <c r="H7144" s="4" t="n">
        <v>4</v>
      </c>
      <c r="I7144" s="4" t="str">
        <v>×</v>
      </c>
      <c r="J7144" s="4"/>
      <c r="K7144" s="4"/>
      <c r="L7144" s="4"/>
      <c r="M7144" s="5" t="s">
        <v>4475</v>
      </c>
    </row>
    <row r="7145" customFormat="false" ht="15.75" hidden="false" customHeight="false" outlineLevel="0" collapsed="false">
      <c r="A7145" s="6" t="n">
        <v>46187</v>
      </c>
      <c r="B7145" s="4" t="s">
        <v>4473</v>
      </c>
      <c r="C7145" s="4" t="n">
        <v>12</v>
      </c>
      <c r="D7145" s="4" t="n">
        <v>5</v>
      </c>
      <c r="E7145" s="4" t="s">
        <v>5227</v>
      </c>
      <c r="F7145" s="4" t="n">
        <v>52</v>
      </c>
      <c r="G7145" s="4" t="n">
        <v>1</v>
      </c>
      <c r="H7145" s="4" t="n">
        <v>2</v>
      </c>
      <c r="I7145" s="4" t="str">
        <v>○</v>
      </c>
      <c r="J7145" s="4" t="n">
        <v>150</v>
      </c>
      <c r="K7145" s="4"/>
      <c r="L7145" s="4"/>
      <c r="M7145" s="5" t="s">
        <v>4475</v>
      </c>
    </row>
    <row r="7146" customFormat="false" ht="15.75" hidden="false" customHeight="false" outlineLevel="0" collapsed="false">
      <c r="A7146" s="6" t="n">
        <v>46187</v>
      </c>
      <c r="B7146" s="4" t="s">
        <v>4473</v>
      </c>
      <c r="C7146" s="4" t="n">
        <v>12</v>
      </c>
      <c r="D7146" s="4" t="n">
        <v>6</v>
      </c>
      <c r="E7146" s="4" t="s">
        <v>2783</v>
      </c>
      <c r="F7146" s="4" t="n">
        <v>17</v>
      </c>
      <c r="G7146" s="4" t="n">
        <v>8</v>
      </c>
      <c r="H7146" s="4" t="n">
        <v>4</v>
      </c>
      <c r="I7146" s="4" t="str">
        <v>×</v>
      </c>
      <c r="J7146" s="4"/>
      <c r="K7146" s="4"/>
      <c r="L7146" s="4"/>
      <c r="M7146" s="5" t="s">
        <v>4475</v>
      </c>
    </row>
    <row r="7147" customFormat="false" ht="15.75" hidden="false" customHeight="false" outlineLevel="0" collapsed="false">
      <c r="A7147" s="6" t="n">
        <v>46187</v>
      </c>
      <c r="B7147" s="4" t="s">
        <v>4473</v>
      </c>
      <c r="C7147" s="4" t="n">
        <v>12</v>
      </c>
      <c r="D7147" s="4" t="n">
        <v>7</v>
      </c>
      <c r="E7147" s="4" t="s">
        <v>5228</v>
      </c>
      <c r="F7147" s="4" t="n">
        <v>20</v>
      </c>
      <c r="G7147" s="4" t="n">
        <v>7</v>
      </c>
      <c r="H7147" s="4" t="n">
        <v>4</v>
      </c>
      <c r="I7147" s="4" t="str">
        <v>×</v>
      </c>
      <c r="J7147" s="4"/>
      <c r="K7147" s="4"/>
      <c r="L7147" s="4"/>
      <c r="M7147" s="5" t="s">
        <v>4475</v>
      </c>
    </row>
    <row r="7148" customFormat="false" ht="15.75" hidden="false" customHeight="false" outlineLevel="0" collapsed="false">
      <c r="A7148" s="6" t="n">
        <v>46187</v>
      </c>
      <c r="B7148" s="4" t="s">
        <v>4473</v>
      </c>
      <c r="C7148" s="4" t="n">
        <v>12</v>
      </c>
      <c r="D7148" s="4" t="n">
        <v>8</v>
      </c>
      <c r="E7148" s="4" t="s">
        <v>5229</v>
      </c>
      <c r="F7148" s="4" t="n">
        <v>20</v>
      </c>
      <c r="G7148" s="4" t="n">
        <v>7</v>
      </c>
      <c r="H7148" s="4" t="n">
        <v>4</v>
      </c>
      <c r="I7148" s="4" t="str">
        <v>×</v>
      </c>
      <c r="J7148" s="4"/>
      <c r="K7148" s="4"/>
      <c r="L7148" s="4"/>
      <c r="M7148" s="5" t="s">
        <v>4475</v>
      </c>
    </row>
    <row r="7149" customFormat="false" ht="15.75" hidden="false" customHeight="false" outlineLevel="0" collapsed="false">
      <c r="A7149" s="6" t="n">
        <v>46187</v>
      </c>
      <c r="B7149" s="4" t="s">
        <v>4473</v>
      </c>
      <c r="C7149" s="4" t="n">
        <v>12</v>
      </c>
      <c r="D7149" s="4" t="n">
        <v>9</v>
      </c>
      <c r="E7149" s="4" t="s">
        <v>1838</v>
      </c>
      <c r="F7149" s="4" t="n">
        <v>17</v>
      </c>
      <c r="G7149" s="4" t="n">
        <v>8</v>
      </c>
      <c r="H7149" s="4" t="n">
        <v>4</v>
      </c>
      <c r="I7149" s="4" t="str">
        <v>×</v>
      </c>
      <c r="J7149" s="4"/>
      <c r="K7149" s="4"/>
      <c r="L7149" s="4"/>
      <c r="M7149" s="5" t="s">
        <v>4475</v>
      </c>
    </row>
    <row r="7150" customFormat="false" ht="15.75" hidden="false" customHeight="false" outlineLevel="0" collapsed="false">
      <c r="A7150" s="6" t="n">
        <v>46187</v>
      </c>
      <c r="B7150" s="4" t="s">
        <v>4473</v>
      </c>
      <c r="C7150" s="4" t="n">
        <v>12</v>
      </c>
      <c r="D7150" s="4" t="n">
        <v>10</v>
      </c>
      <c r="E7150" s="4" t="s">
        <v>5230</v>
      </c>
      <c r="F7150" s="4" t="n">
        <v>37</v>
      </c>
      <c r="G7150" s="4" t="n">
        <v>3</v>
      </c>
      <c r="H7150" s="4" t="n">
        <v>3</v>
      </c>
      <c r="I7150" s="4" t="str">
        <v>○</v>
      </c>
      <c r="J7150" s="4" t="n">
        <v>160</v>
      </c>
      <c r="K7150" s="4"/>
      <c r="L7150" s="4"/>
      <c r="M7150" s="5" t="s">
        <v>4475</v>
      </c>
    </row>
    <row r="7151" customFormat="false" ht="15.75" hidden="false" customHeight="false" outlineLevel="0" collapsed="false">
      <c r="A7151" s="6" t="n">
        <v>46187</v>
      </c>
      <c r="B7151" s="4" t="s">
        <v>4473</v>
      </c>
      <c r="C7151" s="4" t="n">
        <v>12</v>
      </c>
      <c r="D7151" s="4" t="n">
        <v>11</v>
      </c>
      <c r="E7151" s="4" t="s">
        <v>5231</v>
      </c>
      <c r="F7151" s="4" t="n">
        <v>37</v>
      </c>
      <c r="G7151" s="4" t="n">
        <v>3</v>
      </c>
      <c r="H7151" s="4" t="n">
        <v>1</v>
      </c>
      <c r="I7151" s="4" t="str">
        <v>○</v>
      </c>
      <c r="J7151" s="4" t="n">
        <v>110</v>
      </c>
      <c r="K7151" s="4"/>
      <c r="L7151" s="4"/>
      <c r="M7151" s="5" t="s">
        <v>4475</v>
      </c>
    </row>
    <row r="7152" customFormat="false" ht="15.75" hidden="false" customHeight="false" outlineLevel="0" collapsed="false">
      <c r="A7152" s="6" t="n">
        <v>46187</v>
      </c>
      <c r="B7152" s="4" t="s">
        <v>4473</v>
      </c>
      <c r="C7152" s="4" t="n">
        <v>12</v>
      </c>
      <c r="D7152" s="4" t="n">
        <v>12</v>
      </c>
      <c r="E7152" s="4" t="s">
        <v>5232</v>
      </c>
      <c r="F7152" s="4" t="n">
        <v>34</v>
      </c>
      <c r="G7152" s="4" t="n">
        <v>4</v>
      </c>
      <c r="H7152" s="4" t="n">
        <v>4</v>
      </c>
      <c r="I7152" s="4" t="str">
        <v>×</v>
      </c>
      <c r="J7152" s="4"/>
      <c r="K7152" s="4"/>
      <c r="L7152" s="4"/>
      <c r="M7152" s="5" t="s">
        <v>4475</v>
      </c>
    </row>
    <row r="7153" customFormat="false" ht="15.75" hidden="false" customHeight="false" outlineLevel="0" collapsed="false">
      <c r="A7153" s="6" t="n">
        <v>46187</v>
      </c>
      <c r="B7153" s="4" t="s">
        <v>4172</v>
      </c>
      <c r="C7153" s="4" t="n">
        <v>1</v>
      </c>
      <c r="D7153" s="4" t="n">
        <v>1</v>
      </c>
      <c r="E7153" s="4" t="s">
        <v>3144</v>
      </c>
      <c r="F7153" s="4" t="n">
        <v>23</v>
      </c>
      <c r="G7153" s="4" t="n">
        <v>6</v>
      </c>
      <c r="H7153" s="4" t="n">
        <v>4</v>
      </c>
      <c r="I7153" s="4" t="str">
        <v>×</v>
      </c>
      <c r="J7153" s="4"/>
      <c r="K7153" s="4"/>
      <c r="L7153" s="4"/>
      <c r="M7153" s="5" t="s">
        <v>4475</v>
      </c>
    </row>
    <row r="7154" customFormat="false" ht="15.75" hidden="false" customHeight="false" outlineLevel="0" collapsed="false">
      <c r="A7154" s="6" t="n">
        <v>46187</v>
      </c>
      <c r="B7154" s="4" t="s">
        <v>4172</v>
      </c>
      <c r="C7154" s="4" t="n">
        <v>1</v>
      </c>
      <c r="D7154" s="4" t="n">
        <v>2</v>
      </c>
      <c r="E7154" s="4" t="s">
        <v>5233</v>
      </c>
      <c r="F7154" s="4" t="n">
        <v>17</v>
      </c>
      <c r="G7154" s="4" t="n">
        <v>7</v>
      </c>
      <c r="H7154" s="4" t="n">
        <v>4</v>
      </c>
      <c r="I7154" s="4" t="str">
        <v>×</v>
      </c>
      <c r="J7154" s="4"/>
      <c r="K7154" s="4"/>
      <c r="L7154" s="4"/>
      <c r="M7154" s="5" t="s">
        <v>4475</v>
      </c>
    </row>
    <row r="7155" customFormat="false" ht="15.75" hidden="false" customHeight="false" outlineLevel="0" collapsed="false">
      <c r="A7155" s="6" t="n">
        <v>46187</v>
      </c>
      <c r="B7155" s="4" t="s">
        <v>4172</v>
      </c>
      <c r="C7155" s="4" t="n">
        <v>1</v>
      </c>
      <c r="D7155" s="4" t="n">
        <v>3</v>
      </c>
      <c r="E7155" s="4" t="s">
        <v>2849</v>
      </c>
      <c r="F7155" s="4" t="n">
        <v>25</v>
      </c>
      <c r="G7155" s="4" t="n">
        <v>5</v>
      </c>
      <c r="H7155" s="4" t="n">
        <v>4</v>
      </c>
      <c r="I7155" s="4" t="str">
        <v>×</v>
      </c>
      <c r="J7155" s="4"/>
      <c r="K7155" s="4"/>
      <c r="L7155" s="4"/>
      <c r="M7155" s="5" t="s">
        <v>4475</v>
      </c>
    </row>
    <row r="7156" customFormat="false" ht="15.75" hidden="false" customHeight="false" outlineLevel="0" collapsed="false">
      <c r="A7156" s="6" t="n">
        <v>46187</v>
      </c>
      <c r="B7156" s="4" t="s">
        <v>4172</v>
      </c>
      <c r="C7156" s="4" t="n">
        <v>1</v>
      </c>
      <c r="D7156" s="4" t="n">
        <v>4</v>
      </c>
      <c r="E7156" s="4" t="s">
        <v>5234</v>
      </c>
      <c r="F7156" s="4" t="n">
        <v>3</v>
      </c>
      <c r="G7156" s="4" t="n">
        <v>13</v>
      </c>
      <c r="H7156" s="4" t="n">
        <v>4</v>
      </c>
      <c r="I7156" s="4" t="str">
        <v>×</v>
      </c>
      <c r="J7156" s="4"/>
      <c r="K7156" s="4"/>
      <c r="L7156" s="4"/>
      <c r="M7156" s="5" t="s">
        <v>4475</v>
      </c>
    </row>
    <row r="7157" customFormat="false" ht="15.75" hidden="false" customHeight="false" outlineLevel="0" collapsed="false">
      <c r="A7157" s="6" t="n">
        <v>46187</v>
      </c>
      <c r="B7157" s="4" t="s">
        <v>4172</v>
      </c>
      <c r="C7157" s="4" t="n">
        <v>1</v>
      </c>
      <c r="D7157" s="4" t="n">
        <v>5</v>
      </c>
      <c r="E7157" s="4" t="s">
        <v>5235</v>
      </c>
      <c r="F7157" s="4" t="n">
        <v>29</v>
      </c>
      <c r="G7157" s="4" t="n">
        <v>4</v>
      </c>
      <c r="H7157" s="4" t="n">
        <v>4</v>
      </c>
      <c r="I7157" s="4" t="str">
        <v>×</v>
      </c>
      <c r="J7157" s="4"/>
      <c r="K7157" s="4"/>
      <c r="L7157" s="4"/>
      <c r="M7157" s="5" t="s">
        <v>4475</v>
      </c>
    </row>
    <row r="7158" customFormat="false" ht="15.75" hidden="false" customHeight="false" outlineLevel="0" collapsed="false">
      <c r="A7158" s="6" t="n">
        <v>46187</v>
      </c>
      <c r="B7158" s="4" t="s">
        <v>4172</v>
      </c>
      <c r="C7158" s="4" t="n">
        <v>1</v>
      </c>
      <c r="D7158" s="4" t="n">
        <v>6</v>
      </c>
      <c r="E7158" s="4" t="s">
        <v>5236</v>
      </c>
      <c r="F7158" s="4" t="n">
        <v>10</v>
      </c>
      <c r="G7158" s="4" t="n">
        <v>9</v>
      </c>
      <c r="H7158" s="4" t="n">
        <v>4</v>
      </c>
      <c r="I7158" s="4" t="str">
        <v>×</v>
      </c>
      <c r="J7158" s="4"/>
      <c r="K7158" s="4"/>
      <c r="L7158" s="4"/>
      <c r="M7158" s="5" t="s">
        <v>4475</v>
      </c>
    </row>
    <row r="7159" customFormat="false" ht="15.75" hidden="false" customHeight="false" outlineLevel="0" collapsed="false">
      <c r="A7159" s="6" t="n">
        <v>46187</v>
      </c>
      <c r="B7159" s="4" t="s">
        <v>4172</v>
      </c>
      <c r="C7159" s="4" t="n">
        <v>1</v>
      </c>
      <c r="D7159" s="4" t="n">
        <v>7</v>
      </c>
      <c r="E7159" s="4" t="s">
        <v>3880</v>
      </c>
      <c r="F7159" s="4" t="n">
        <v>4</v>
      </c>
      <c r="G7159" s="4" t="n">
        <v>12</v>
      </c>
      <c r="H7159" s="4" t="n">
        <v>4</v>
      </c>
      <c r="I7159" s="4" t="str">
        <v>×</v>
      </c>
      <c r="J7159" s="4"/>
      <c r="K7159" s="4"/>
      <c r="L7159" s="4"/>
      <c r="M7159" s="5" t="s">
        <v>4475</v>
      </c>
    </row>
    <row r="7160" customFormat="false" ht="15.75" hidden="false" customHeight="false" outlineLevel="0" collapsed="false">
      <c r="A7160" s="6" t="n">
        <v>46187</v>
      </c>
      <c r="B7160" s="4" t="s">
        <v>4172</v>
      </c>
      <c r="C7160" s="4" t="n">
        <v>1</v>
      </c>
      <c r="D7160" s="4" t="n">
        <v>8</v>
      </c>
      <c r="E7160" s="4" t="s">
        <v>3607</v>
      </c>
      <c r="F7160" s="4" t="n">
        <v>29</v>
      </c>
      <c r="G7160" s="4" t="n">
        <v>4</v>
      </c>
      <c r="H7160" s="4" t="n">
        <v>3</v>
      </c>
      <c r="I7160" s="4" t="str">
        <v>○</v>
      </c>
      <c r="J7160" s="4" t="n">
        <v>360</v>
      </c>
      <c r="K7160" s="4"/>
      <c r="L7160" s="4"/>
      <c r="M7160" s="5" t="s">
        <v>4475</v>
      </c>
    </row>
    <row r="7161" customFormat="false" ht="15.75" hidden="false" customHeight="false" outlineLevel="0" collapsed="false">
      <c r="A7161" s="6" t="n">
        <v>46187</v>
      </c>
      <c r="B7161" s="4" t="s">
        <v>4172</v>
      </c>
      <c r="C7161" s="4" t="n">
        <v>1</v>
      </c>
      <c r="D7161" s="4" t="n">
        <v>9</v>
      </c>
      <c r="E7161" s="4" t="s">
        <v>5237</v>
      </c>
      <c r="F7161" s="4" t="n">
        <v>6</v>
      </c>
      <c r="G7161" s="4" t="n">
        <v>11</v>
      </c>
      <c r="H7161" s="4" t="n">
        <v>4</v>
      </c>
      <c r="I7161" s="4" t="str">
        <v>×</v>
      </c>
      <c r="J7161" s="4"/>
      <c r="K7161" s="4"/>
      <c r="L7161" s="4"/>
      <c r="M7161" s="5" t="s">
        <v>4475</v>
      </c>
    </row>
    <row r="7162" customFormat="false" ht="15.75" hidden="false" customHeight="false" outlineLevel="0" collapsed="false">
      <c r="A7162" s="6" t="n">
        <v>46187</v>
      </c>
      <c r="B7162" s="4" t="s">
        <v>4172</v>
      </c>
      <c r="C7162" s="4" t="n">
        <v>1</v>
      </c>
      <c r="D7162" s="4" t="n">
        <v>10</v>
      </c>
      <c r="E7162" s="4" t="s">
        <v>5238</v>
      </c>
      <c r="F7162" s="4" t="n">
        <v>13</v>
      </c>
      <c r="G7162" s="4" t="n">
        <v>8</v>
      </c>
      <c r="H7162" s="4" t="n">
        <v>4</v>
      </c>
      <c r="I7162" s="4" t="str">
        <v>×</v>
      </c>
      <c r="J7162" s="4"/>
      <c r="K7162" s="4"/>
      <c r="L7162" s="4"/>
      <c r="M7162" s="5" t="s">
        <v>4475</v>
      </c>
    </row>
    <row r="7163" customFormat="false" ht="15.75" hidden="false" customHeight="false" outlineLevel="0" collapsed="false">
      <c r="A7163" s="6" t="n">
        <v>46187</v>
      </c>
      <c r="B7163" s="4" t="s">
        <v>4172</v>
      </c>
      <c r="C7163" s="4" t="n">
        <v>1</v>
      </c>
      <c r="D7163" s="4" t="n">
        <v>11</v>
      </c>
      <c r="E7163" s="4" t="s">
        <v>5239</v>
      </c>
      <c r="F7163" s="4" t="n">
        <v>58</v>
      </c>
      <c r="G7163" s="4" t="n">
        <v>1</v>
      </c>
      <c r="H7163" s="4" t="n">
        <v>4</v>
      </c>
      <c r="I7163" s="4" t="str">
        <v>×</v>
      </c>
      <c r="J7163" s="4"/>
      <c r="K7163" s="4"/>
      <c r="L7163" s="4"/>
      <c r="M7163" s="5" t="s">
        <v>4475</v>
      </c>
    </row>
    <row r="7164" customFormat="false" ht="15.75" hidden="false" customHeight="false" outlineLevel="0" collapsed="false">
      <c r="A7164" s="6" t="n">
        <v>46187</v>
      </c>
      <c r="B7164" s="4" t="s">
        <v>4172</v>
      </c>
      <c r="C7164" s="4" t="n">
        <v>1</v>
      </c>
      <c r="D7164" s="4" t="n">
        <v>12</v>
      </c>
      <c r="E7164" s="4" t="s">
        <v>5240</v>
      </c>
      <c r="F7164" s="4" t="n">
        <v>4</v>
      </c>
      <c r="G7164" s="4" t="n">
        <v>12</v>
      </c>
      <c r="H7164" s="4" t="n">
        <v>4</v>
      </c>
      <c r="I7164" s="4" t="str">
        <v>×</v>
      </c>
      <c r="J7164" s="4"/>
      <c r="K7164" s="4"/>
      <c r="L7164" s="4"/>
      <c r="M7164" s="5" t="s">
        <v>4475</v>
      </c>
    </row>
    <row r="7165" customFormat="false" ht="15.75" hidden="false" customHeight="false" outlineLevel="0" collapsed="false">
      <c r="A7165" s="6" t="n">
        <v>46187</v>
      </c>
      <c r="B7165" s="4" t="s">
        <v>4172</v>
      </c>
      <c r="C7165" s="4" t="n">
        <v>1</v>
      </c>
      <c r="D7165" s="4" t="n">
        <v>13</v>
      </c>
      <c r="E7165" s="4" t="s">
        <v>3609</v>
      </c>
      <c r="F7165" s="4" t="n">
        <v>44</v>
      </c>
      <c r="G7165" s="4" t="n">
        <v>2</v>
      </c>
      <c r="H7165" s="4" t="n">
        <v>4</v>
      </c>
      <c r="I7165" s="4" t="str">
        <v>×</v>
      </c>
      <c r="J7165" s="4"/>
      <c r="K7165" s="4"/>
      <c r="L7165" s="4"/>
      <c r="M7165" s="5" t="s">
        <v>4475</v>
      </c>
    </row>
    <row r="7166" customFormat="false" ht="15.75" hidden="false" customHeight="false" outlineLevel="0" collapsed="false">
      <c r="A7166" s="6" t="n">
        <v>46187</v>
      </c>
      <c r="B7166" s="4" t="s">
        <v>4172</v>
      </c>
      <c r="C7166" s="4" t="n">
        <v>1</v>
      </c>
      <c r="D7166" s="4" t="n">
        <v>14</v>
      </c>
      <c r="E7166" s="4" t="s">
        <v>5241</v>
      </c>
      <c r="F7166" s="4" t="n">
        <v>6</v>
      </c>
      <c r="G7166" s="4" t="n">
        <v>11</v>
      </c>
      <c r="H7166" s="4" t="n">
        <v>1</v>
      </c>
      <c r="I7166" s="4" t="str">
        <v>○</v>
      </c>
      <c r="J7166" s="4" t="n">
        <v>1290</v>
      </c>
      <c r="K7166" s="4"/>
      <c r="L7166" s="4"/>
      <c r="M7166" s="5" t="s">
        <v>4475</v>
      </c>
    </row>
    <row r="7167" customFormat="false" ht="15.75" hidden="false" customHeight="false" outlineLevel="0" collapsed="false">
      <c r="A7167" s="6" t="n">
        <v>46187</v>
      </c>
      <c r="B7167" s="4" t="s">
        <v>4172</v>
      </c>
      <c r="C7167" s="4" t="n">
        <v>1</v>
      </c>
      <c r="D7167" s="4" t="n">
        <v>15</v>
      </c>
      <c r="E7167" s="4" t="s">
        <v>2029</v>
      </c>
      <c r="F7167" s="4" t="n">
        <v>31</v>
      </c>
      <c r="G7167" s="4" t="n">
        <v>3</v>
      </c>
      <c r="H7167" s="4" t="n">
        <v>2</v>
      </c>
      <c r="I7167" s="4" t="str">
        <v>○</v>
      </c>
      <c r="J7167" s="4" t="n">
        <v>320</v>
      </c>
      <c r="K7167" s="4"/>
      <c r="L7167" s="4"/>
      <c r="M7167" s="5" t="s">
        <v>4475</v>
      </c>
    </row>
    <row r="7168" customFormat="false" ht="15.75" hidden="false" customHeight="false" outlineLevel="0" collapsed="false">
      <c r="A7168" s="6" t="n">
        <v>46187</v>
      </c>
      <c r="B7168" s="4" t="s">
        <v>4172</v>
      </c>
      <c r="C7168" s="4" t="n">
        <v>1</v>
      </c>
      <c r="D7168" s="4" t="n">
        <v>16</v>
      </c>
      <c r="E7168" s="4" t="s">
        <v>806</v>
      </c>
      <c r="F7168" s="4" t="n">
        <v>8</v>
      </c>
      <c r="G7168" s="4" t="n">
        <v>10</v>
      </c>
      <c r="H7168" s="4" t="n">
        <v>4</v>
      </c>
      <c r="I7168" s="4" t="str">
        <v>×</v>
      </c>
      <c r="J7168" s="4"/>
      <c r="K7168" s="4"/>
      <c r="L7168" s="4"/>
      <c r="M7168" s="5" t="s">
        <v>4475</v>
      </c>
    </row>
    <row r="7169" customFormat="false" ht="15.75" hidden="false" customHeight="false" outlineLevel="0" collapsed="false">
      <c r="A7169" s="6" t="n">
        <v>46187</v>
      </c>
      <c r="B7169" s="4" t="s">
        <v>4172</v>
      </c>
      <c r="C7169" s="4" t="n">
        <v>2</v>
      </c>
      <c r="D7169" s="4" t="n">
        <v>1</v>
      </c>
      <c r="E7169" s="4" t="s">
        <v>5242</v>
      </c>
      <c r="F7169" s="4" t="n">
        <v>4</v>
      </c>
      <c r="G7169" s="4" t="n">
        <v>10</v>
      </c>
      <c r="H7169" s="4" t="n">
        <v>4</v>
      </c>
      <c r="I7169" s="4" t="str">
        <v>×</v>
      </c>
      <c r="J7169" s="4"/>
      <c r="K7169" s="4"/>
      <c r="L7169" s="4"/>
      <c r="M7169" s="5" t="s">
        <v>4475</v>
      </c>
    </row>
    <row r="7170" customFormat="false" ht="15.75" hidden="false" customHeight="false" outlineLevel="0" collapsed="false">
      <c r="A7170" s="6" t="n">
        <v>46187</v>
      </c>
      <c r="B7170" s="4" t="s">
        <v>4172</v>
      </c>
      <c r="C7170" s="4" t="n">
        <v>2</v>
      </c>
      <c r="D7170" s="4" t="n">
        <v>2</v>
      </c>
      <c r="E7170" s="4" t="s">
        <v>2564</v>
      </c>
      <c r="F7170" s="4" t="n">
        <v>4</v>
      </c>
      <c r="G7170" s="4" t="n">
        <v>10</v>
      </c>
      <c r="H7170" s="4" t="n">
        <v>4</v>
      </c>
      <c r="I7170" s="4" t="str">
        <v>×</v>
      </c>
      <c r="J7170" s="4"/>
      <c r="K7170" s="4"/>
      <c r="L7170" s="4"/>
      <c r="M7170" s="5" t="s">
        <v>4475</v>
      </c>
    </row>
    <row r="7171" customFormat="false" ht="15.75" hidden="false" customHeight="false" outlineLevel="0" collapsed="false">
      <c r="A7171" s="6" t="n">
        <v>46187</v>
      </c>
      <c r="B7171" s="4" t="s">
        <v>4172</v>
      </c>
      <c r="C7171" s="4" t="n">
        <v>2</v>
      </c>
      <c r="D7171" s="4" t="n">
        <v>3</v>
      </c>
      <c r="E7171" s="4" t="s">
        <v>3915</v>
      </c>
      <c r="F7171" s="4" t="n">
        <v>6</v>
      </c>
      <c r="G7171" s="4" t="n">
        <v>9</v>
      </c>
      <c r="H7171" s="4" t="n">
        <v>4</v>
      </c>
      <c r="I7171" s="4" t="str">
        <v>×</v>
      </c>
      <c r="J7171" s="4"/>
      <c r="K7171" s="4"/>
      <c r="L7171" s="4"/>
      <c r="M7171" s="5" t="s">
        <v>4475</v>
      </c>
    </row>
    <row r="7172" customFormat="false" ht="15.75" hidden="false" customHeight="false" outlineLevel="0" collapsed="false">
      <c r="A7172" s="6" t="n">
        <v>46187</v>
      </c>
      <c r="B7172" s="4" t="s">
        <v>4172</v>
      </c>
      <c r="C7172" s="4" t="n">
        <v>2</v>
      </c>
      <c r="D7172" s="4" t="n">
        <v>4</v>
      </c>
      <c r="E7172" s="4" t="s">
        <v>5243</v>
      </c>
      <c r="F7172" s="4" t="n">
        <v>65</v>
      </c>
      <c r="G7172" s="4" t="n">
        <v>1</v>
      </c>
      <c r="H7172" s="4" t="n">
        <v>4</v>
      </c>
      <c r="I7172" s="4" t="str">
        <v>×</v>
      </c>
      <c r="J7172" s="4"/>
      <c r="K7172" s="4"/>
      <c r="L7172" s="4"/>
      <c r="M7172" s="5" t="s">
        <v>4475</v>
      </c>
    </row>
    <row r="7173" customFormat="false" ht="15.75" hidden="false" customHeight="false" outlineLevel="0" collapsed="false">
      <c r="A7173" s="6" t="n">
        <v>46187</v>
      </c>
      <c r="B7173" s="4" t="s">
        <v>4172</v>
      </c>
      <c r="C7173" s="4" t="n">
        <v>2</v>
      </c>
      <c r="D7173" s="4" t="n">
        <v>5</v>
      </c>
      <c r="E7173" s="4" t="s">
        <v>5244</v>
      </c>
      <c r="F7173" s="4" t="n">
        <v>4</v>
      </c>
      <c r="G7173" s="4" t="n">
        <v>10</v>
      </c>
      <c r="H7173" s="4" t="n">
        <v>4</v>
      </c>
      <c r="I7173" s="4" t="str">
        <v>×</v>
      </c>
      <c r="J7173" s="4"/>
      <c r="K7173" s="4"/>
      <c r="L7173" s="4"/>
      <c r="M7173" s="5" t="s">
        <v>4475</v>
      </c>
    </row>
    <row r="7174" customFormat="false" ht="15.75" hidden="false" customHeight="false" outlineLevel="0" collapsed="false">
      <c r="A7174" s="6" t="n">
        <v>46187</v>
      </c>
      <c r="B7174" s="4" t="s">
        <v>4172</v>
      </c>
      <c r="C7174" s="4" t="n">
        <v>2</v>
      </c>
      <c r="D7174" s="4" t="n">
        <v>6</v>
      </c>
      <c r="E7174" s="4" t="s">
        <v>5245</v>
      </c>
      <c r="F7174" s="4" t="n">
        <v>17</v>
      </c>
      <c r="G7174" s="4" t="n">
        <v>5</v>
      </c>
      <c r="H7174" s="4" t="n">
        <v>4</v>
      </c>
      <c r="I7174" s="4" t="str">
        <v>×</v>
      </c>
      <c r="J7174" s="4"/>
      <c r="K7174" s="4"/>
      <c r="L7174" s="4"/>
      <c r="M7174" s="5" t="s">
        <v>4475</v>
      </c>
    </row>
    <row r="7175" customFormat="false" ht="15.75" hidden="false" customHeight="false" outlineLevel="0" collapsed="false">
      <c r="A7175" s="6" t="n">
        <v>46187</v>
      </c>
      <c r="B7175" s="4" t="s">
        <v>4172</v>
      </c>
      <c r="C7175" s="4" t="n">
        <v>2</v>
      </c>
      <c r="D7175" s="4" t="n">
        <v>7</v>
      </c>
      <c r="E7175" s="4" t="s">
        <v>5246</v>
      </c>
      <c r="F7175" s="4" t="n">
        <v>3</v>
      </c>
      <c r="G7175" s="4" t="n">
        <v>11</v>
      </c>
      <c r="H7175" s="4" t="n">
        <v>4</v>
      </c>
      <c r="I7175" s="4" t="str">
        <v>×</v>
      </c>
      <c r="J7175" s="4"/>
      <c r="K7175" s="4"/>
      <c r="L7175" s="4"/>
      <c r="M7175" s="5" t="s">
        <v>4475</v>
      </c>
    </row>
    <row r="7176" customFormat="false" ht="15.75" hidden="false" customHeight="false" outlineLevel="0" collapsed="false">
      <c r="A7176" s="6" t="n">
        <v>46187</v>
      </c>
      <c r="B7176" s="4" t="s">
        <v>4172</v>
      </c>
      <c r="C7176" s="4" t="n">
        <v>2</v>
      </c>
      <c r="D7176" s="4" t="n">
        <v>8</v>
      </c>
      <c r="E7176" s="4" t="s">
        <v>5247</v>
      </c>
      <c r="F7176" s="4" t="n">
        <v>20</v>
      </c>
      <c r="G7176" s="4" t="n">
        <v>4</v>
      </c>
      <c r="H7176" s="4" t="n">
        <v>4</v>
      </c>
      <c r="I7176" s="4" t="str">
        <v>×</v>
      </c>
      <c r="J7176" s="4"/>
      <c r="K7176" s="4"/>
      <c r="L7176" s="4"/>
      <c r="M7176" s="5" t="s">
        <v>4475</v>
      </c>
    </row>
    <row r="7177" customFormat="false" ht="15.75" hidden="false" customHeight="false" outlineLevel="0" collapsed="false">
      <c r="A7177" s="6" t="n">
        <v>46187</v>
      </c>
      <c r="B7177" s="4" t="s">
        <v>4172</v>
      </c>
      <c r="C7177" s="4" t="n">
        <v>2</v>
      </c>
      <c r="D7177" s="4" t="n">
        <v>9</v>
      </c>
      <c r="E7177" s="4" t="s">
        <v>5248</v>
      </c>
      <c r="F7177" s="4" t="n">
        <v>10</v>
      </c>
      <c r="G7177" s="4" t="n">
        <v>7</v>
      </c>
      <c r="H7177" s="4" t="n">
        <v>4</v>
      </c>
      <c r="I7177" s="4" t="str">
        <v>×</v>
      </c>
      <c r="J7177" s="4"/>
      <c r="K7177" s="4"/>
      <c r="L7177" s="4"/>
      <c r="M7177" s="5" t="s">
        <v>4475</v>
      </c>
    </row>
    <row r="7178" customFormat="false" ht="15.75" hidden="false" customHeight="false" outlineLevel="0" collapsed="false">
      <c r="A7178" s="6" t="n">
        <v>46187</v>
      </c>
      <c r="B7178" s="4" t="s">
        <v>4172</v>
      </c>
      <c r="C7178" s="4" t="n">
        <v>2</v>
      </c>
      <c r="D7178" s="4" t="n">
        <v>10</v>
      </c>
      <c r="E7178" s="4" t="s">
        <v>3974</v>
      </c>
      <c r="F7178" s="4" t="n">
        <v>39</v>
      </c>
      <c r="G7178" s="4" t="n">
        <v>3</v>
      </c>
      <c r="H7178" s="4" t="n">
        <v>4</v>
      </c>
      <c r="I7178" s="4" t="str">
        <v>×</v>
      </c>
      <c r="J7178" s="4"/>
      <c r="K7178" s="4"/>
      <c r="L7178" s="4"/>
      <c r="M7178" s="5" t="s">
        <v>4475</v>
      </c>
    </row>
    <row r="7179" customFormat="false" ht="15.75" hidden="false" customHeight="false" outlineLevel="0" collapsed="false">
      <c r="A7179" s="6" t="n">
        <v>46187</v>
      </c>
      <c r="B7179" s="4" t="s">
        <v>4172</v>
      </c>
      <c r="C7179" s="4" t="n">
        <v>2</v>
      </c>
      <c r="D7179" s="4" t="n">
        <v>11</v>
      </c>
      <c r="E7179" s="4" t="s">
        <v>2866</v>
      </c>
      <c r="F7179" s="4" t="n">
        <v>10</v>
      </c>
      <c r="G7179" s="4" t="n">
        <v>7</v>
      </c>
      <c r="H7179" s="4" t="n">
        <v>3</v>
      </c>
      <c r="I7179" s="4" t="str">
        <v>○</v>
      </c>
      <c r="J7179" s="4" t="n">
        <v>890</v>
      </c>
      <c r="K7179" s="4"/>
      <c r="L7179" s="4"/>
      <c r="M7179" s="5" t="s">
        <v>4475</v>
      </c>
    </row>
    <row r="7180" customFormat="false" ht="15.75" hidden="false" customHeight="false" outlineLevel="0" collapsed="false">
      <c r="A7180" s="6" t="n">
        <v>46187</v>
      </c>
      <c r="B7180" s="4" t="s">
        <v>4172</v>
      </c>
      <c r="C7180" s="4" t="n">
        <v>2</v>
      </c>
      <c r="D7180" s="4" t="n">
        <v>12</v>
      </c>
      <c r="E7180" s="4" t="s">
        <v>5249</v>
      </c>
      <c r="F7180" s="4" t="n">
        <v>13</v>
      </c>
      <c r="G7180" s="4" t="n">
        <v>6</v>
      </c>
      <c r="H7180" s="4" t="n">
        <v>4</v>
      </c>
      <c r="I7180" s="4" t="str">
        <v>×</v>
      </c>
      <c r="J7180" s="4"/>
      <c r="K7180" s="4"/>
      <c r="L7180" s="4"/>
      <c r="M7180" s="5" t="s">
        <v>4475</v>
      </c>
    </row>
    <row r="7181" customFormat="false" ht="15.75" hidden="false" customHeight="false" outlineLevel="0" collapsed="false">
      <c r="A7181" s="6" t="n">
        <v>46187</v>
      </c>
      <c r="B7181" s="4" t="s">
        <v>4172</v>
      </c>
      <c r="C7181" s="4" t="n">
        <v>2</v>
      </c>
      <c r="D7181" s="4" t="n">
        <v>13</v>
      </c>
      <c r="E7181" s="4" t="s">
        <v>2445</v>
      </c>
      <c r="F7181" s="4" t="n">
        <v>7</v>
      </c>
      <c r="G7181" s="4" t="n">
        <v>8</v>
      </c>
      <c r="H7181" s="4" t="n">
        <v>2</v>
      </c>
      <c r="I7181" s="4" t="str">
        <v>○</v>
      </c>
      <c r="J7181" s="4" t="n">
        <v>130</v>
      </c>
      <c r="K7181" s="4"/>
      <c r="L7181" s="4"/>
      <c r="M7181" s="5" t="s">
        <v>4475</v>
      </c>
    </row>
    <row r="7182" customFormat="false" ht="15.75" hidden="false" customHeight="false" outlineLevel="0" collapsed="false">
      <c r="A7182" s="6" t="n">
        <v>46187</v>
      </c>
      <c r="B7182" s="4" t="s">
        <v>4172</v>
      </c>
      <c r="C7182" s="4" t="n">
        <v>2</v>
      </c>
      <c r="D7182" s="4" t="n">
        <v>14</v>
      </c>
      <c r="E7182" s="4" t="s">
        <v>5250</v>
      </c>
      <c r="F7182" s="4" t="n">
        <v>4</v>
      </c>
      <c r="G7182" s="4" t="n">
        <v>10</v>
      </c>
      <c r="H7182" s="4" t="n">
        <v>4</v>
      </c>
      <c r="I7182" s="4" t="str">
        <v>×</v>
      </c>
      <c r="J7182" s="4"/>
      <c r="K7182" s="4"/>
      <c r="L7182" s="4"/>
      <c r="M7182" s="5" t="s">
        <v>4475</v>
      </c>
    </row>
    <row r="7183" customFormat="false" ht="15.75" hidden="false" customHeight="false" outlineLevel="0" collapsed="false">
      <c r="A7183" s="6" t="n">
        <v>46187</v>
      </c>
      <c r="B7183" s="4" t="s">
        <v>4172</v>
      </c>
      <c r="C7183" s="4" t="n">
        <v>2</v>
      </c>
      <c r="D7183" s="4" t="n">
        <v>15</v>
      </c>
      <c r="E7183" s="4" t="s">
        <v>323</v>
      </c>
      <c r="F7183" s="4" t="n">
        <v>1</v>
      </c>
      <c r="G7183" s="4" t="n">
        <v>12</v>
      </c>
      <c r="H7183" s="4" t="n">
        <v>4</v>
      </c>
      <c r="I7183" s="4" t="str">
        <v>×</v>
      </c>
      <c r="J7183" s="4"/>
      <c r="K7183" s="4"/>
      <c r="L7183" s="4"/>
      <c r="M7183" s="5" t="s">
        <v>4475</v>
      </c>
    </row>
    <row r="7184" customFormat="false" ht="15.75" hidden="false" customHeight="false" outlineLevel="0" collapsed="false">
      <c r="A7184" s="6" t="n">
        <v>46187</v>
      </c>
      <c r="B7184" s="4" t="s">
        <v>4172</v>
      </c>
      <c r="C7184" s="4" t="n">
        <v>2</v>
      </c>
      <c r="D7184" s="4" t="n">
        <v>16</v>
      </c>
      <c r="E7184" s="4" t="s">
        <v>4805</v>
      </c>
      <c r="F7184" s="4" t="n">
        <v>58</v>
      </c>
      <c r="G7184" s="4" t="n">
        <v>2</v>
      </c>
      <c r="H7184" s="4" t="n">
        <v>1</v>
      </c>
      <c r="I7184" s="4" t="str">
        <v>○</v>
      </c>
      <c r="J7184" s="4" t="n">
        <v>140</v>
      </c>
      <c r="K7184" s="4"/>
      <c r="L7184" s="4"/>
      <c r="M7184" s="5" t="s">
        <v>4475</v>
      </c>
    </row>
    <row r="7185" customFormat="false" ht="15.75" hidden="false" customHeight="false" outlineLevel="0" collapsed="false">
      <c r="A7185" s="6" t="n">
        <v>46187</v>
      </c>
      <c r="B7185" s="4" t="s">
        <v>4172</v>
      </c>
      <c r="C7185" s="4" t="n">
        <v>3</v>
      </c>
      <c r="D7185" s="4" t="n">
        <v>1</v>
      </c>
      <c r="E7185" s="4" t="s">
        <v>3821</v>
      </c>
      <c r="F7185" s="4" t="n">
        <v>65</v>
      </c>
      <c r="G7185" s="4" t="n">
        <v>2</v>
      </c>
      <c r="H7185" s="4" t="n">
        <v>4</v>
      </c>
      <c r="I7185" s="4" t="str">
        <v>×</v>
      </c>
      <c r="J7185" s="4"/>
      <c r="K7185" s="4"/>
      <c r="L7185" s="4"/>
      <c r="M7185" s="5" t="s">
        <v>4475</v>
      </c>
    </row>
    <row r="7186" customFormat="false" ht="15.75" hidden="false" customHeight="false" outlineLevel="0" collapsed="false">
      <c r="A7186" s="6" t="n">
        <v>46187</v>
      </c>
      <c r="B7186" s="4" t="s">
        <v>4172</v>
      </c>
      <c r="C7186" s="4" t="n">
        <v>3</v>
      </c>
      <c r="D7186" s="4" t="n">
        <v>2</v>
      </c>
      <c r="E7186" s="4" t="s">
        <v>5251</v>
      </c>
      <c r="F7186" s="4" t="n">
        <v>6</v>
      </c>
      <c r="G7186" s="4" t="n">
        <v>9</v>
      </c>
      <c r="H7186" s="4" t="n">
        <v>4</v>
      </c>
      <c r="I7186" s="4" t="str">
        <v>×</v>
      </c>
      <c r="J7186" s="4"/>
      <c r="K7186" s="4"/>
      <c r="L7186" s="4"/>
      <c r="M7186" s="5" t="s">
        <v>4475</v>
      </c>
    </row>
    <row r="7187" customFormat="false" ht="15.75" hidden="false" customHeight="false" outlineLevel="0" collapsed="false">
      <c r="A7187" s="6" t="n">
        <v>46187</v>
      </c>
      <c r="B7187" s="4" t="s">
        <v>4172</v>
      </c>
      <c r="C7187" s="4" t="n">
        <v>3</v>
      </c>
      <c r="D7187" s="4" t="n">
        <v>3</v>
      </c>
      <c r="E7187" s="4" t="s">
        <v>2057</v>
      </c>
      <c r="F7187" s="4" t="n">
        <v>25</v>
      </c>
      <c r="G7187" s="4" t="n">
        <v>4</v>
      </c>
      <c r="H7187" s="4" t="n">
        <v>4</v>
      </c>
      <c r="I7187" s="4" t="str">
        <v>×</v>
      </c>
      <c r="J7187" s="4"/>
      <c r="K7187" s="4"/>
      <c r="L7187" s="4"/>
      <c r="M7187" s="5" t="s">
        <v>4475</v>
      </c>
    </row>
    <row r="7188" customFormat="false" ht="15.75" hidden="false" customHeight="false" outlineLevel="0" collapsed="false">
      <c r="A7188" s="6" t="n">
        <v>46187</v>
      </c>
      <c r="B7188" s="4" t="s">
        <v>4172</v>
      </c>
      <c r="C7188" s="4" t="n">
        <v>3</v>
      </c>
      <c r="D7188" s="4" t="n">
        <v>4</v>
      </c>
      <c r="E7188" s="4" t="s">
        <v>359</v>
      </c>
      <c r="F7188" s="4" t="n">
        <v>15</v>
      </c>
      <c r="G7188" s="4" t="n">
        <v>6</v>
      </c>
      <c r="H7188" s="4" t="n">
        <v>4</v>
      </c>
      <c r="I7188" s="4" t="str">
        <v>×</v>
      </c>
      <c r="J7188" s="4"/>
      <c r="K7188" s="4"/>
      <c r="L7188" s="4"/>
      <c r="M7188" s="5" t="s">
        <v>4475</v>
      </c>
    </row>
    <row r="7189" customFormat="false" ht="15.75" hidden="false" customHeight="false" outlineLevel="0" collapsed="false">
      <c r="A7189" s="6" t="n">
        <v>46187</v>
      </c>
      <c r="B7189" s="4" t="s">
        <v>4172</v>
      </c>
      <c r="C7189" s="4" t="n">
        <v>3</v>
      </c>
      <c r="D7189" s="4" t="n">
        <v>5</v>
      </c>
      <c r="E7189" s="4" t="s">
        <v>360</v>
      </c>
      <c r="F7189" s="4" t="n">
        <v>2</v>
      </c>
      <c r="G7189" s="4" t="n">
        <v>11</v>
      </c>
      <c r="H7189" s="4" t="n">
        <v>4</v>
      </c>
      <c r="I7189" s="4" t="str">
        <v>×</v>
      </c>
      <c r="J7189" s="4"/>
      <c r="K7189" s="4"/>
      <c r="L7189" s="4"/>
      <c r="M7189" s="5" t="s">
        <v>4475</v>
      </c>
    </row>
    <row r="7190" customFormat="false" ht="15.75" hidden="false" customHeight="false" outlineLevel="0" collapsed="false">
      <c r="A7190" s="6" t="n">
        <v>46187</v>
      </c>
      <c r="B7190" s="4" t="s">
        <v>4172</v>
      </c>
      <c r="C7190" s="4" t="n">
        <v>3</v>
      </c>
      <c r="D7190" s="4" t="n">
        <v>6</v>
      </c>
      <c r="E7190" s="4" t="s">
        <v>5252</v>
      </c>
      <c r="F7190" s="4" t="n">
        <v>4</v>
      </c>
      <c r="G7190" s="4" t="n">
        <v>10</v>
      </c>
      <c r="H7190" s="4" t="n">
        <v>4</v>
      </c>
      <c r="I7190" s="4" t="str">
        <v>×</v>
      </c>
      <c r="J7190" s="4"/>
      <c r="K7190" s="4"/>
      <c r="L7190" s="4"/>
      <c r="M7190" s="5" t="s">
        <v>4475</v>
      </c>
    </row>
    <row r="7191" customFormat="false" ht="15.75" hidden="false" customHeight="false" outlineLevel="0" collapsed="false">
      <c r="A7191" s="6" t="n">
        <v>46187</v>
      </c>
      <c r="B7191" s="4" t="s">
        <v>4172</v>
      </c>
      <c r="C7191" s="4" t="n">
        <v>3</v>
      </c>
      <c r="D7191" s="4" t="n">
        <v>7</v>
      </c>
      <c r="E7191" s="4" t="s">
        <v>5253</v>
      </c>
      <c r="F7191" s="4" t="n">
        <v>20</v>
      </c>
      <c r="G7191" s="4" t="n">
        <v>5</v>
      </c>
      <c r="H7191" s="4" t="n">
        <v>1</v>
      </c>
      <c r="I7191" s="4" t="str">
        <v>○</v>
      </c>
      <c r="J7191" s="4" t="n">
        <v>330</v>
      </c>
      <c r="K7191" s="4"/>
      <c r="L7191" s="4"/>
      <c r="M7191" s="5" t="s">
        <v>4475</v>
      </c>
    </row>
    <row r="7192" customFormat="false" ht="15.75" hidden="false" customHeight="false" outlineLevel="0" collapsed="false">
      <c r="A7192" s="6" t="n">
        <v>46187</v>
      </c>
      <c r="B7192" s="4" t="s">
        <v>4172</v>
      </c>
      <c r="C7192" s="4" t="n">
        <v>3</v>
      </c>
      <c r="D7192" s="4" t="n">
        <v>8</v>
      </c>
      <c r="E7192" s="4" t="s">
        <v>5254</v>
      </c>
      <c r="F7192" s="4" t="n">
        <v>6</v>
      </c>
      <c r="G7192" s="4" t="n">
        <v>9</v>
      </c>
      <c r="H7192" s="4" t="n">
        <v>4</v>
      </c>
      <c r="I7192" s="4" t="str">
        <v>×</v>
      </c>
      <c r="J7192" s="4"/>
      <c r="K7192" s="4"/>
      <c r="L7192" s="4"/>
      <c r="M7192" s="5" t="s">
        <v>4475</v>
      </c>
    </row>
    <row r="7193" customFormat="false" ht="15.75" hidden="false" customHeight="false" outlineLevel="0" collapsed="false">
      <c r="A7193" s="6" t="n">
        <v>46187</v>
      </c>
      <c r="B7193" s="4" t="s">
        <v>4172</v>
      </c>
      <c r="C7193" s="4" t="n">
        <v>3</v>
      </c>
      <c r="D7193" s="4" t="n">
        <v>9</v>
      </c>
      <c r="E7193" s="4" t="s">
        <v>5255</v>
      </c>
      <c r="F7193" s="4" t="n">
        <v>1</v>
      </c>
      <c r="G7193" s="4" t="n">
        <v>12</v>
      </c>
      <c r="H7193" s="4" t="n">
        <v>4</v>
      </c>
      <c r="I7193" s="4" t="str">
        <v>×</v>
      </c>
      <c r="J7193" s="4"/>
      <c r="K7193" s="4"/>
      <c r="L7193" s="4"/>
      <c r="M7193" s="5" t="s">
        <v>4475</v>
      </c>
    </row>
    <row r="7194" customFormat="false" ht="15.75" hidden="false" customHeight="false" outlineLevel="0" collapsed="false">
      <c r="A7194" s="6" t="n">
        <v>46187</v>
      </c>
      <c r="B7194" s="4" t="s">
        <v>4172</v>
      </c>
      <c r="C7194" s="4" t="n">
        <v>3</v>
      </c>
      <c r="D7194" s="4" t="n">
        <v>10</v>
      </c>
      <c r="E7194" s="4" t="s">
        <v>5256</v>
      </c>
      <c r="F7194" s="4" t="n">
        <v>13</v>
      </c>
      <c r="G7194" s="4" t="n">
        <v>7</v>
      </c>
      <c r="H7194" s="4" t="n">
        <v>4</v>
      </c>
      <c r="I7194" s="4" t="str">
        <v>×</v>
      </c>
      <c r="J7194" s="4"/>
      <c r="K7194" s="4"/>
      <c r="L7194" s="4"/>
      <c r="M7194" s="5" t="s">
        <v>4475</v>
      </c>
    </row>
    <row r="7195" customFormat="false" ht="15.75" hidden="false" customHeight="false" outlineLevel="0" collapsed="false">
      <c r="A7195" s="6" t="n">
        <v>46187</v>
      </c>
      <c r="B7195" s="4" t="s">
        <v>4172</v>
      </c>
      <c r="C7195" s="4" t="n">
        <v>3</v>
      </c>
      <c r="D7195" s="4" t="n">
        <v>11</v>
      </c>
      <c r="E7195" s="4" t="s">
        <v>2462</v>
      </c>
      <c r="F7195" s="4" t="n">
        <v>2</v>
      </c>
      <c r="G7195" s="4" t="n">
        <v>11</v>
      </c>
      <c r="H7195" s="4" t="n">
        <v>4</v>
      </c>
      <c r="I7195" s="4" t="str">
        <v>×</v>
      </c>
      <c r="J7195" s="4"/>
      <c r="K7195" s="4"/>
      <c r="L7195" s="4"/>
      <c r="M7195" s="5" t="s">
        <v>4475</v>
      </c>
    </row>
    <row r="7196" customFormat="false" ht="15.75" hidden="false" customHeight="false" outlineLevel="0" collapsed="false">
      <c r="A7196" s="6" t="n">
        <v>46187</v>
      </c>
      <c r="B7196" s="4" t="s">
        <v>4172</v>
      </c>
      <c r="C7196" s="4" t="n">
        <v>3</v>
      </c>
      <c r="D7196" s="4" t="n">
        <v>12</v>
      </c>
      <c r="E7196" s="4" t="s">
        <v>1149</v>
      </c>
      <c r="F7196" s="4" t="n">
        <v>25</v>
      </c>
      <c r="G7196" s="4" t="n">
        <v>4</v>
      </c>
      <c r="H7196" s="4" t="n">
        <v>2</v>
      </c>
      <c r="I7196" s="4" t="str">
        <v>○</v>
      </c>
      <c r="J7196" s="4" t="n">
        <v>290</v>
      </c>
      <c r="K7196" s="4"/>
      <c r="L7196" s="4"/>
      <c r="M7196" s="5" t="s">
        <v>4475</v>
      </c>
    </row>
    <row r="7197" customFormat="false" ht="15.75" hidden="false" customHeight="false" outlineLevel="0" collapsed="false">
      <c r="A7197" s="6" t="n">
        <v>46187</v>
      </c>
      <c r="B7197" s="4" t="s">
        <v>4172</v>
      </c>
      <c r="C7197" s="4" t="n">
        <v>3</v>
      </c>
      <c r="D7197" s="4" t="n">
        <v>13</v>
      </c>
      <c r="E7197" s="4" t="s">
        <v>5257</v>
      </c>
      <c r="F7197" s="4" t="n">
        <v>13</v>
      </c>
      <c r="G7197" s="4" t="n">
        <v>7</v>
      </c>
      <c r="H7197" s="4" t="n">
        <v>4</v>
      </c>
      <c r="I7197" s="4" t="str">
        <v>×</v>
      </c>
      <c r="J7197" s="4"/>
      <c r="K7197" s="4"/>
      <c r="L7197" s="4"/>
      <c r="M7197" s="5" t="s">
        <v>4475</v>
      </c>
    </row>
    <row r="7198" customFormat="false" ht="15.75" hidden="false" customHeight="false" outlineLevel="0" collapsed="false">
      <c r="A7198" s="6" t="n">
        <v>46187</v>
      </c>
      <c r="B7198" s="4" t="s">
        <v>4172</v>
      </c>
      <c r="C7198" s="4" t="n">
        <v>3</v>
      </c>
      <c r="D7198" s="4" t="n">
        <v>14</v>
      </c>
      <c r="E7198" s="4" t="s">
        <v>5258</v>
      </c>
      <c r="F7198" s="4" t="n">
        <v>50</v>
      </c>
      <c r="G7198" s="4" t="n">
        <v>3</v>
      </c>
      <c r="H7198" s="4" t="n">
        <v>4</v>
      </c>
      <c r="I7198" s="4" t="str">
        <v>×</v>
      </c>
      <c r="J7198" s="4"/>
      <c r="K7198" s="4"/>
      <c r="L7198" s="4"/>
      <c r="M7198" s="5" t="s">
        <v>4475</v>
      </c>
    </row>
    <row r="7199" customFormat="false" ht="15.75" hidden="false" customHeight="false" outlineLevel="0" collapsed="false">
      <c r="A7199" s="6" t="n">
        <v>46187</v>
      </c>
      <c r="B7199" s="4" t="s">
        <v>4172</v>
      </c>
      <c r="C7199" s="4" t="n">
        <v>3</v>
      </c>
      <c r="D7199" s="4" t="n">
        <v>15</v>
      </c>
      <c r="E7199" s="4" t="s">
        <v>657</v>
      </c>
      <c r="F7199" s="4" t="n">
        <v>8</v>
      </c>
      <c r="G7199" s="4" t="n">
        <v>8</v>
      </c>
      <c r="H7199" s="4" t="n">
        <v>3</v>
      </c>
      <c r="I7199" s="4" t="str">
        <v>○</v>
      </c>
      <c r="J7199" s="4" t="n">
        <v>390</v>
      </c>
      <c r="K7199" s="4"/>
      <c r="L7199" s="4"/>
      <c r="M7199" s="5" t="s">
        <v>4475</v>
      </c>
    </row>
    <row r="7200" customFormat="false" ht="15.75" hidden="false" customHeight="false" outlineLevel="0" collapsed="false">
      <c r="A7200" s="6" t="n">
        <v>46187</v>
      </c>
      <c r="B7200" s="4" t="s">
        <v>4172</v>
      </c>
      <c r="C7200" s="4" t="n">
        <v>3</v>
      </c>
      <c r="D7200" s="4" t="n">
        <v>16</v>
      </c>
      <c r="E7200" s="4" t="s">
        <v>5259</v>
      </c>
      <c r="F7200" s="4" t="n">
        <v>66</v>
      </c>
      <c r="G7200" s="4" t="n">
        <v>1</v>
      </c>
      <c r="H7200" s="4" t="n">
        <v>4</v>
      </c>
      <c r="I7200" s="4" t="str">
        <v>×</v>
      </c>
      <c r="J7200" s="4"/>
      <c r="K7200" s="4"/>
      <c r="L7200" s="4"/>
      <c r="M7200" s="5" t="s">
        <v>4475</v>
      </c>
    </row>
    <row r="7201" customFormat="false" ht="15.75" hidden="false" customHeight="false" outlineLevel="0" collapsed="false">
      <c r="A7201" s="6" t="n">
        <v>46187</v>
      </c>
      <c r="B7201" s="4" t="s">
        <v>4172</v>
      </c>
      <c r="C7201" s="4" t="n">
        <v>4</v>
      </c>
      <c r="D7201" s="4" t="n">
        <v>1</v>
      </c>
      <c r="E7201" s="4" t="s">
        <v>4382</v>
      </c>
      <c r="F7201" s="4" t="n">
        <v>10</v>
      </c>
      <c r="G7201" s="4" t="n">
        <v>6</v>
      </c>
      <c r="H7201" s="4" t="n">
        <v>4</v>
      </c>
      <c r="I7201" s="4" t="str">
        <v>×</v>
      </c>
      <c r="J7201" s="4"/>
      <c r="K7201" s="4"/>
      <c r="L7201" s="4"/>
      <c r="M7201" s="5" t="s">
        <v>4475</v>
      </c>
    </row>
    <row r="7202" customFormat="false" ht="15.75" hidden="false" customHeight="false" outlineLevel="0" collapsed="false">
      <c r="A7202" s="6" t="n">
        <v>46187</v>
      </c>
      <c r="B7202" s="4" t="s">
        <v>4172</v>
      </c>
      <c r="C7202" s="4" t="n">
        <v>4</v>
      </c>
      <c r="D7202" s="4" t="n">
        <v>2</v>
      </c>
      <c r="E7202" s="4" t="s">
        <v>2836</v>
      </c>
      <c r="F7202" s="4" t="n">
        <v>4</v>
      </c>
      <c r="G7202" s="4" t="n">
        <v>9</v>
      </c>
      <c r="H7202" s="4" t="n">
        <v>4</v>
      </c>
      <c r="I7202" s="4" t="str">
        <v>×</v>
      </c>
      <c r="J7202" s="4"/>
      <c r="K7202" s="4"/>
      <c r="L7202" s="4"/>
      <c r="M7202" s="5" t="s">
        <v>4475</v>
      </c>
    </row>
    <row r="7203" customFormat="false" ht="15.75" hidden="false" customHeight="false" outlineLevel="0" collapsed="false">
      <c r="A7203" s="6" t="n">
        <v>46187</v>
      </c>
      <c r="B7203" s="4" t="s">
        <v>4172</v>
      </c>
      <c r="C7203" s="4" t="n">
        <v>4</v>
      </c>
      <c r="D7203" s="4" t="n">
        <v>3</v>
      </c>
      <c r="E7203" s="4" t="s">
        <v>2459</v>
      </c>
      <c r="F7203" s="4" t="n">
        <v>8</v>
      </c>
      <c r="G7203" s="4" t="n">
        <v>7</v>
      </c>
      <c r="H7203" s="4" t="n">
        <v>4</v>
      </c>
      <c r="I7203" s="4" t="str">
        <v>×</v>
      </c>
      <c r="J7203" s="4"/>
      <c r="K7203" s="4"/>
      <c r="L7203" s="4"/>
      <c r="M7203" s="5" t="s">
        <v>4475</v>
      </c>
    </row>
    <row r="7204" customFormat="false" ht="15.75" hidden="false" customHeight="false" outlineLevel="0" collapsed="false">
      <c r="A7204" s="6" t="n">
        <v>46187</v>
      </c>
      <c r="B7204" s="4" t="s">
        <v>4172</v>
      </c>
      <c r="C7204" s="4" t="n">
        <v>4</v>
      </c>
      <c r="D7204" s="4" t="n">
        <v>4</v>
      </c>
      <c r="E7204" s="4" t="s">
        <v>2684</v>
      </c>
      <c r="F7204" s="4" t="n">
        <v>23</v>
      </c>
      <c r="G7204" s="4" t="n">
        <v>4</v>
      </c>
      <c r="H7204" s="4" t="n">
        <v>4</v>
      </c>
      <c r="I7204" s="4" t="str">
        <v>×</v>
      </c>
      <c r="J7204" s="4"/>
      <c r="K7204" s="4"/>
      <c r="L7204" s="4"/>
      <c r="M7204" s="5" t="s">
        <v>4475</v>
      </c>
    </row>
    <row r="7205" customFormat="false" ht="15.75" hidden="false" customHeight="false" outlineLevel="0" collapsed="false">
      <c r="A7205" s="6" t="n">
        <v>46187</v>
      </c>
      <c r="B7205" s="4" t="s">
        <v>4172</v>
      </c>
      <c r="C7205" s="4" t="n">
        <v>4</v>
      </c>
      <c r="D7205" s="4" t="n">
        <v>5</v>
      </c>
      <c r="E7205" s="4" t="s">
        <v>652</v>
      </c>
      <c r="F7205" s="4" t="n">
        <v>37</v>
      </c>
      <c r="G7205" s="4" t="n">
        <v>3</v>
      </c>
      <c r="H7205" s="4" t="n">
        <v>2</v>
      </c>
      <c r="I7205" s="4" t="str">
        <v>○</v>
      </c>
      <c r="J7205" s="4" t="n">
        <v>190</v>
      </c>
      <c r="K7205" s="4"/>
      <c r="L7205" s="4"/>
      <c r="M7205" s="5" t="s">
        <v>4475</v>
      </c>
    </row>
    <row r="7206" customFormat="false" ht="15.75" hidden="false" customHeight="false" outlineLevel="0" collapsed="false">
      <c r="A7206" s="6" t="n">
        <v>46187</v>
      </c>
      <c r="B7206" s="4" t="s">
        <v>4172</v>
      </c>
      <c r="C7206" s="4" t="n">
        <v>4</v>
      </c>
      <c r="D7206" s="4" t="n">
        <v>6</v>
      </c>
      <c r="E7206" s="4" t="s">
        <v>5260</v>
      </c>
      <c r="F7206" s="4" t="n">
        <v>74</v>
      </c>
      <c r="G7206" s="4" t="n">
        <v>1</v>
      </c>
      <c r="H7206" s="4" t="n">
        <v>1</v>
      </c>
      <c r="I7206" s="4" t="str">
        <v>○</v>
      </c>
      <c r="J7206" s="4" t="n">
        <v>140</v>
      </c>
      <c r="K7206" s="4"/>
      <c r="L7206" s="4"/>
      <c r="M7206" s="5" t="s">
        <v>4475</v>
      </c>
    </row>
    <row r="7207" customFormat="false" ht="15.75" hidden="false" customHeight="false" outlineLevel="0" collapsed="false">
      <c r="A7207" s="6" t="n">
        <v>46187</v>
      </c>
      <c r="B7207" s="4" t="s">
        <v>4172</v>
      </c>
      <c r="C7207" s="4" t="n">
        <v>4</v>
      </c>
      <c r="D7207" s="4" t="n">
        <v>7</v>
      </c>
      <c r="E7207" s="4" t="s">
        <v>2827</v>
      </c>
      <c r="F7207" s="4" t="n">
        <v>6</v>
      </c>
      <c r="G7207" s="4" t="n">
        <v>8</v>
      </c>
      <c r="H7207" s="4" t="n">
        <v>4</v>
      </c>
      <c r="I7207" s="4" t="str">
        <v>×</v>
      </c>
      <c r="J7207" s="4"/>
      <c r="K7207" s="4"/>
      <c r="L7207" s="4"/>
      <c r="M7207" s="5" t="s">
        <v>4475</v>
      </c>
    </row>
    <row r="7208" customFormat="false" ht="15.75" hidden="false" customHeight="false" outlineLevel="0" collapsed="false">
      <c r="A7208" s="6" t="n">
        <v>46187</v>
      </c>
      <c r="B7208" s="4" t="s">
        <v>4172</v>
      </c>
      <c r="C7208" s="4" t="n">
        <v>4</v>
      </c>
      <c r="D7208" s="4" t="n">
        <v>8</v>
      </c>
      <c r="E7208" s="4" t="s">
        <v>2457</v>
      </c>
      <c r="F7208" s="4" t="n">
        <v>20</v>
      </c>
      <c r="G7208" s="4" t="n">
        <v>5</v>
      </c>
      <c r="H7208" s="4" t="n">
        <v>3</v>
      </c>
      <c r="I7208" s="4" t="str">
        <v>○</v>
      </c>
      <c r="J7208" s="4" t="n">
        <v>190</v>
      </c>
      <c r="K7208" s="4"/>
      <c r="L7208" s="4"/>
      <c r="M7208" s="5" t="s">
        <v>4475</v>
      </c>
    </row>
    <row r="7209" customFormat="false" ht="15.75" hidden="false" customHeight="false" outlineLevel="0" collapsed="false">
      <c r="A7209" s="6" t="n">
        <v>46187</v>
      </c>
      <c r="B7209" s="4" t="s">
        <v>4172</v>
      </c>
      <c r="C7209" s="4" t="n">
        <v>4</v>
      </c>
      <c r="D7209" s="4" t="n">
        <v>9</v>
      </c>
      <c r="E7209" s="4" t="s">
        <v>2051</v>
      </c>
      <c r="F7209" s="4" t="n">
        <v>6</v>
      </c>
      <c r="G7209" s="4" t="n">
        <v>8</v>
      </c>
      <c r="H7209" s="4" t="n">
        <v>4</v>
      </c>
      <c r="I7209" s="4" t="str">
        <v>×</v>
      </c>
      <c r="J7209" s="4"/>
      <c r="K7209" s="4"/>
      <c r="L7209" s="4"/>
      <c r="M7209" s="5" t="s">
        <v>4475</v>
      </c>
    </row>
    <row r="7210" customFormat="false" ht="15.75" hidden="false" customHeight="false" outlineLevel="0" collapsed="false">
      <c r="A7210" s="6" t="n">
        <v>46187</v>
      </c>
      <c r="B7210" s="4" t="s">
        <v>4172</v>
      </c>
      <c r="C7210" s="4" t="n">
        <v>4</v>
      </c>
      <c r="D7210" s="4" t="n">
        <v>10</v>
      </c>
      <c r="E7210" s="4" t="s">
        <v>5261</v>
      </c>
      <c r="F7210" s="4" t="n">
        <v>6</v>
      </c>
      <c r="G7210" s="4" t="n">
        <v>8</v>
      </c>
      <c r="H7210" s="4" t="n">
        <v>4</v>
      </c>
      <c r="I7210" s="4" t="str">
        <v>×</v>
      </c>
      <c r="J7210" s="4"/>
      <c r="K7210" s="4"/>
      <c r="L7210" s="4"/>
      <c r="M7210" s="5" t="s">
        <v>4475</v>
      </c>
    </row>
    <row r="7211" customFormat="false" ht="15.75" hidden="false" customHeight="false" outlineLevel="0" collapsed="false">
      <c r="A7211" s="6" t="n">
        <v>46187</v>
      </c>
      <c r="B7211" s="4" t="s">
        <v>4172</v>
      </c>
      <c r="C7211" s="4" t="n">
        <v>4</v>
      </c>
      <c r="D7211" s="4" t="n">
        <v>11</v>
      </c>
      <c r="E7211" s="4" t="s">
        <v>5262</v>
      </c>
      <c r="F7211" s="4" t="n">
        <v>8</v>
      </c>
      <c r="G7211" s="4" t="n">
        <v>7</v>
      </c>
      <c r="H7211" s="4" t="n">
        <v>4</v>
      </c>
      <c r="I7211" s="4" t="str">
        <v>×</v>
      </c>
      <c r="J7211" s="4"/>
      <c r="K7211" s="4"/>
      <c r="L7211" s="4"/>
      <c r="M7211" s="5" t="s">
        <v>4475</v>
      </c>
    </row>
    <row r="7212" customFormat="false" ht="15.75" hidden="false" customHeight="false" outlineLevel="0" collapsed="false">
      <c r="A7212" s="6" t="n">
        <v>46187</v>
      </c>
      <c r="B7212" s="4" t="s">
        <v>4172</v>
      </c>
      <c r="C7212" s="4" t="n">
        <v>4</v>
      </c>
      <c r="D7212" s="4" t="n">
        <v>12</v>
      </c>
      <c r="E7212" s="4" t="s">
        <v>1608</v>
      </c>
      <c r="F7212" s="4" t="n">
        <v>10</v>
      </c>
      <c r="G7212" s="4" t="n">
        <v>6</v>
      </c>
      <c r="H7212" s="4" t="n">
        <v>4</v>
      </c>
      <c r="I7212" s="4" t="str">
        <v>×</v>
      </c>
      <c r="J7212" s="4"/>
      <c r="K7212" s="4"/>
      <c r="L7212" s="4"/>
      <c r="M7212" s="5" t="s">
        <v>4475</v>
      </c>
    </row>
    <row r="7213" customFormat="false" ht="15.75" hidden="false" customHeight="false" outlineLevel="0" collapsed="false">
      <c r="A7213" s="6" t="n">
        <v>46187</v>
      </c>
      <c r="B7213" s="4" t="s">
        <v>4172</v>
      </c>
      <c r="C7213" s="4" t="n">
        <v>4</v>
      </c>
      <c r="D7213" s="4" t="n">
        <v>13</v>
      </c>
      <c r="E7213" s="4" t="s">
        <v>5263</v>
      </c>
      <c r="F7213" s="4" t="n">
        <v>47</v>
      </c>
      <c r="G7213" s="4" t="n">
        <v>2</v>
      </c>
      <c r="H7213" s="4" t="n">
        <v>4</v>
      </c>
      <c r="I7213" s="4" t="str">
        <v>×</v>
      </c>
      <c r="J7213" s="4"/>
      <c r="K7213" s="4"/>
      <c r="L7213" s="4"/>
      <c r="M7213" s="5" t="s">
        <v>4475</v>
      </c>
    </row>
    <row r="7214" customFormat="false" ht="15.75" hidden="false" customHeight="false" outlineLevel="0" collapsed="false">
      <c r="A7214" s="6" t="n">
        <v>46187</v>
      </c>
      <c r="B7214" s="4" t="s">
        <v>4172</v>
      </c>
      <c r="C7214" s="4" t="n">
        <v>4</v>
      </c>
      <c r="D7214" s="4" t="n">
        <v>14</v>
      </c>
      <c r="E7214" s="4" t="s">
        <v>5264</v>
      </c>
      <c r="F7214" s="4" t="n">
        <v>8</v>
      </c>
      <c r="G7214" s="4" t="n">
        <v>7</v>
      </c>
      <c r="H7214" s="4" t="n">
        <v>4</v>
      </c>
      <c r="I7214" s="4" t="str">
        <v>×</v>
      </c>
      <c r="J7214" s="4"/>
      <c r="K7214" s="4"/>
      <c r="L7214" s="4"/>
      <c r="M7214" s="5" t="s">
        <v>4475</v>
      </c>
    </row>
    <row r="7215" customFormat="false" ht="15.75" hidden="false" customHeight="false" outlineLevel="0" collapsed="false">
      <c r="A7215" s="6" t="n">
        <v>46187</v>
      </c>
      <c r="B7215" s="4" t="s">
        <v>4172</v>
      </c>
      <c r="C7215" s="4" t="n">
        <v>4</v>
      </c>
      <c r="D7215" s="4" t="n">
        <v>15</v>
      </c>
      <c r="E7215" s="4" t="s">
        <v>5265</v>
      </c>
      <c r="F7215" s="4" t="n">
        <v>37</v>
      </c>
      <c r="G7215" s="4" t="n">
        <v>3</v>
      </c>
      <c r="H7215" s="4" t="n">
        <v>4</v>
      </c>
      <c r="I7215" s="4" t="str">
        <v>×</v>
      </c>
      <c r="J7215" s="4"/>
      <c r="K7215" s="4"/>
      <c r="L7215" s="4"/>
      <c r="M7215" s="5" t="s">
        <v>4475</v>
      </c>
    </row>
    <row r="7216" customFormat="false" ht="15.75" hidden="false" customHeight="false" outlineLevel="0" collapsed="false">
      <c r="A7216" s="6" t="n">
        <v>46187</v>
      </c>
      <c r="B7216" s="4" t="s">
        <v>4172</v>
      </c>
      <c r="C7216" s="4" t="n">
        <v>4</v>
      </c>
      <c r="D7216" s="4" t="n">
        <v>16</v>
      </c>
      <c r="E7216" s="4" t="s">
        <v>5266</v>
      </c>
      <c r="F7216" s="4" t="n">
        <v>2</v>
      </c>
      <c r="G7216" s="4" t="n">
        <v>10</v>
      </c>
      <c r="H7216" s="4" t="n">
        <v>4</v>
      </c>
      <c r="I7216" s="4" t="str">
        <v>×</v>
      </c>
      <c r="J7216" s="4"/>
      <c r="K7216" s="4"/>
      <c r="L7216" s="4"/>
      <c r="M7216" s="5" t="s">
        <v>4475</v>
      </c>
    </row>
    <row r="7217" customFormat="false" ht="15.75" hidden="false" customHeight="false" outlineLevel="0" collapsed="false">
      <c r="A7217" s="6" t="n">
        <v>46187</v>
      </c>
      <c r="B7217" s="4" t="s">
        <v>4172</v>
      </c>
      <c r="C7217" s="4" t="n">
        <v>4</v>
      </c>
      <c r="D7217" s="4" t="n">
        <v>17</v>
      </c>
      <c r="E7217" s="4" t="s">
        <v>3433</v>
      </c>
      <c r="F7217" s="4" t="n">
        <v>2</v>
      </c>
      <c r="G7217" s="4" t="n">
        <v>10</v>
      </c>
      <c r="H7217" s="4" t="n">
        <v>4</v>
      </c>
      <c r="I7217" s="4" t="str">
        <v>×</v>
      </c>
      <c r="J7217" s="4"/>
      <c r="K7217" s="4"/>
      <c r="L7217" s="4"/>
      <c r="M7217" s="5" t="s">
        <v>4475</v>
      </c>
    </row>
    <row r="7218" customFormat="false" ht="15.75" hidden="false" customHeight="false" outlineLevel="0" collapsed="false">
      <c r="A7218" s="6" t="n">
        <v>46187</v>
      </c>
      <c r="B7218" s="4" t="s">
        <v>4172</v>
      </c>
      <c r="C7218" s="4" t="n">
        <v>5</v>
      </c>
      <c r="D7218" s="4" t="n">
        <v>1</v>
      </c>
      <c r="E7218" s="4" t="s">
        <v>5267</v>
      </c>
      <c r="F7218" s="4" t="n">
        <v>16</v>
      </c>
      <c r="G7218" s="4" t="n">
        <v>5</v>
      </c>
      <c r="H7218" s="4" t="n">
        <v>4</v>
      </c>
      <c r="I7218" s="4" t="str">
        <v>×</v>
      </c>
      <c r="J7218" s="4"/>
      <c r="K7218" s="4"/>
      <c r="L7218" s="4"/>
      <c r="M7218" s="5" t="s">
        <v>4475</v>
      </c>
    </row>
    <row r="7219" customFormat="false" ht="15.75" hidden="false" customHeight="false" outlineLevel="0" collapsed="false">
      <c r="A7219" s="6" t="n">
        <v>46187</v>
      </c>
      <c r="B7219" s="4" t="s">
        <v>4172</v>
      </c>
      <c r="C7219" s="4" t="n">
        <v>5</v>
      </c>
      <c r="D7219" s="4" t="n">
        <v>2</v>
      </c>
      <c r="E7219" s="4" t="s">
        <v>1112</v>
      </c>
      <c r="F7219" s="4" t="n">
        <v>21</v>
      </c>
      <c r="G7219" s="4" t="n">
        <v>4</v>
      </c>
      <c r="H7219" s="4" t="n">
        <v>4</v>
      </c>
      <c r="I7219" s="4" t="str">
        <v>×</v>
      </c>
      <c r="J7219" s="4"/>
      <c r="K7219" s="4"/>
      <c r="L7219" s="4"/>
      <c r="M7219" s="5" t="s">
        <v>4475</v>
      </c>
    </row>
    <row r="7220" customFormat="false" ht="15.75" hidden="false" customHeight="false" outlineLevel="0" collapsed="false">
      <c r="A7220" s="6" t="n">
        <v>46187</v>
      </c>
      <c r="B7220" s="4" t="s">
        <v>4172</v>
      </c>
      <c r="C7220" s="4" t="n">
        <v>5</v>
      </c>
      <c r="D7220" s="4" t="n">
        <v>3</v>
      </c>
      <c r="E7220" s="4" t="s">
        <v>3578</v>
      </c>
      <c r="F7220" s="4" t="n">
        <v>21</v>
      </c>
      <c r="G7220" s="4" t="n">
        <v>4</v>
      </c>
      <c r="H7220" s="4" t="n">
        <v>2</v>
      </c>
      <c r="I7220" s="4" t="str">
        <v>○</v>
      </c>
      <c r="J7220" s="4" t="n">
        <v>1400</v>
      </c>
      <c r="K7220" s="4"/>
      <c r="L7220" s="4"/>
      <c r="M7220" s="5" t="s">
        <v>4475</v>
      </c>
    </row>
    <row r="7221" customFormat="false" ht="15.75" hidden="false" customHeight="false" outlineLevel="0" collapsed="false">
      <c r="A7221" s="6" t="n">
        <v>46187</v>
      </c>
      <c r="B7221" s="4" t="s">
        <v>4172</v>
      </c>
      <c r="C7221" s="4" t="n">
        <v>5</v>
      </c>
      <c r="D7221" s="4" t="n">
        <v>4</v>
      </c>
      <c r="E7221" s="4" t="s">
        <v>5268</v>
      </c>
      <c r="F7221" s="4" t="n">
        <v>16</v>
      </c>
      <c r="G7221" s="4" t="n">
        <v>5</v>
      </c>
      <c r="H7221" s="4" t="n">
        <v>4</v>
      </c>
      <c r="I7221" s="4" t="str">
        <v>×</v>
      </c>
      <c r="J7221" s="4"/>
      <c r="K7221" s="4"/>
      <c r="L7221" s="4"/>
      <c r="M7221" s="5" t="s">
        <v>4475</v>
      </c>
    </row>
    <row r="7222" customFormat="false" ht="15.75" hidden="false" customHeight="false" outlineLevel="0" collapsed="false">
      <c r="A7222" s="6" t="n">
        <v>46187</v>
      </c>
      <c r="B7222" s="4" t="s">
        <v>4172</v>
      </c>
      <c r="C7222" s="4" t="n">
        <v>5</v>
      </c>
      <c r="D7222" s="4" t="n">
        <v>5</v>
      </c>
      <c r="E7222" s="4" t="s">
        <v>5269</v>
      </c>
      <c r="F7222" s="4" t="n">
        <v>31</v>
      </c>
      <c r="G7222" s="4" t="n">
        <v>2</v>
      </c>
      <c r="H7222" s="4" t="n">
        <v>4</v>
      </c>
      <c r="I7222" s="4" t="str">
        <v>×</v>
      </c>
      <c r="J7222" s="4"/>
      <c r="K7222" s="4"/>
      <c r="L7222" s="4"/>
      <c r="M7222" s="5" t="s">
        <v>4475</v>
      </c>
    </row>
    <row r="7223" customFormat="false" ht="15.75" hidden="false" customHeight="false" outlineLevel="0" collapsed="false">
      <c r="A7223" s="6" t="n">
        <v>46187</v>
      </c>
      <c r="B7223" s="4" t="s">
        <v>4172</v>
      </c>
      <c r="C7223" s="4" t="n">
        <v>5</v>
      </c>
      <c r="D7223" s="4" t="n">
        <v>6</v>
      </c>
      <c r="E7223" s="4" t="s">
        <v>5270</v>
      </c>
      <c r="F7223" s="4" t="n">
        <v>24</v>
      </c>
      <c r="G7223" s="4" t="n">
        <v>3</v>
      </c>
      <c r="H7223" s="4" t="n">
        <v>1</v>
      </c>
      <c r="I7223" s="4" t="str">
        <v>○</v>
      </c>
      <c r="J7223" s="4" t="n">
        <v>600</v>
      </c>
      <c r="K7223" s="4"/>
      <c r="L7223" s="4"/>
      <c r="M7223" s="5" t="s">
        <v>4475</v>
      </c>
    </row>
    <row r="7224" customFormat="false" ht="15.75" hidden="false" customHeight="false" outlineLevel="0" collapsed="false">
      <c r="A7224" s="6" t="n">
        <v>46187</v>
      </c>
      <c r="B7224" s="4" t="s">
        <v>4172</v>
      </c>
      <c r="C7224" s="4" t="n">
        <v>5</v>
      </c>
      <c r="D7224" s="4" t="n">
        <v>7</v>
      </c>
      <c r="E7224" s="4" t="s">
        <v>5271</v>
      </c>
      <c r="F7224" s="4" t="n">
        <v>24</v>
      </c>
      <c r="G7224" s="4" t="n">
        <v>3</v>
      </c>
      <c r="H7224" s="4" t="n">
        <v>3</v>
      </c>
      <c r="I7224" s="4" t="str">
        <v>○</v>
      </c>
      <c r="J7224" s="4" t="n">
        <v>370</v>
      </c>
      <c r="K7224" s="4"/>
      <c r="L7224" s="4"/>
      <c r="M7224" s="5" t="s">
        <v>4475</v>
      </c>
    </row>
    <row r="7225" customFormat="false" ht="15.75" hidden="false" customHeight="false" outlineLevel="0" collapsed="false">
      <c r="A7225" s="6" t="n">
        <v>46187</v>
      </c>
      <c r="B7225" s="4" t="s">
        <v>4172</v>
      </c>
      <c r="C7225" s="4" t="n">
        <v>5</v>
      </c>
      <c r="D7225" s="4" t="n">
        <v>8</v>
      </c>
      <c r="E7225" s="4" t="s">
        <v>3579</v>
      </c>
      <c r="F7225" s="4" t="n">
        <v>37</v>
      </c>
      <c r="G7225" s="4" t="n">
        <v>1</v>
      </c>
      <c r="H7225" s="4" t="n">
        <v>4</v>
      </c>
      <c r="I7225" s="4" t="str">
        <v>×</v>
      </c>
      <c r="J7225" s="4"/>
      <c r="K7225" s="4"/>
      <c r="L7225" s="4"/>
      <c r="M7225" s="5" t="s">
        <v>4475</v>
      </c>
    </row>
    <row r="7226" customFormat="false" ht="15.75" hidden="false" customHeight="false" outlineLevel="0" collapsed="false">
      <c r="A7226" s="6" t="n">
        <v>46187</v>
      </c>
      <c r="B7226" s="4" t="s">
        <v>4172</v>
      </c>
      <c r="C7226" s="4" t="n">
        <v>6</v>
      </c>
      <c r="D7226" s="4" t="n">
        <v>1</v>
      </c>
      <c r="E7226" s="4" t="s">
        <v>1659</v>
      </c>
      <c r="F7226" s="4" t="n">
        <v>8</v>
      </c>
      <c r="G7226" s="4" t="n">
        <v>11</v>
      </c>
      <c r="H7226" s="4" t="n">
        <v>4</v>
      </c>
      <c r="I7226" s="4" t="str">
        <v>×</v>
      </c>
      <c r="J7226" s="4"/>
      <c r="K7226" s="4"/>
      <c r="L7226" s="4"/>
      <c r="M7226" s="5" t="s">
        <v>4475</v>
      </c>
    </row>
    <row r="7227" customFormat="false" ht="15.75" hidden="false" customHeight="false" outlineLevel="0" collapsed="false">
      <c r="A7227" s="6" t="n">
        <v>46187</v>
      </c>
      <c r="B7227" s="4" t="s">
        <v>4172</v>
      </c>
      <c r="C7227" s="4" t="n">
        <v>6</v>
      </c>
      <c r="D7227" s="4" t="n">
        <v>2</v>
      </c>
      <c r="E7227" s="4" t="s">
        <v>5272</v>
      </c>
      <c r="F7227" s="4" t="n">
        <v>17</v>
      </c>
      <c r="G7227" s="4" t="n">
        <v>8</v>
      </c>
      <c r="H7227" s="4" t="n">
        <v>4</v>
      </c>
      <c r="I7227" s="4" t="str">
        <v>×</v>
      </c>
      <c r="J7227" s="4"/>
      <c r="K7227" s="4"/>
      <c r="L7227" s="4"/>
      <c r="M7227" s="5" t="s">
        <v>4475</v>
      </c>
    </row>
    <row r="7228" customFormat="false" ht="15.75" hidden="false" customHeight="false" outlineLevel="0" collapsed="false">
      <c r="A7228" s="6" t="n">
        <v>46187</v>
      </c>
      <c r="B7228" s="4" t="s">
        <v>4172</v>
      </c>
      <c r="C7228" s="4" t="n">
        <v>6</v>
      </c>
      <c r="D7228" s="4" t="n">
        <v>3</v>
      </c>
      <c r="E7228" s="4" t="s">
        <v>5273</v>
      </c>
      <c r="F7228" s="4" t="n">
        <v>17</v>
      </c>
      <c r="G7228" s="4" t="n">
        <v>8</v>
      </c>
      <c r="H7228" s="4" t="n">
        <v>4</v>
      </c>
      <c r="I7228" s="4" t="str">
        <v>×</v>
      </c>
      <c r="J7228" s="4"/>
      <c r="K7228" s="4"/>
      <c r="L7228" s="4"/>
      <c r="M7228" s="5" t="s">
        <v>4475</v>
      </c>
    </row>
    <row r="7229" customFormat="false" ht="15.75" hidden="false" customHeight="false" outlineLevel="0" collapsed="false">
      <c r="A7229" s="6" t="n">
        <v>46187</v>
      </c>
      <c r="B7229" s="4" t="s">
        <v>4172</v>
      </c>
      <c r="C7229" s="4" t="n">
        <v>6</v>
      </c>
      <c r="D7229" s="4" t="n">
        <v>4</v>
      </c>
      <c r="E7229" s="4" t="s">
        <v>5274</v>
      </c>
      <c r="F7229" s="4" t="n">
        <v>8</v>
      </c>
      <c r="G7229" s="4" t="n">
        <v>11</v>
      </c>
      <c r="H7229" s="4" t="n">
        <v>4</v>
      </c>
      <c r="I7229" s="4" t="str">
        <v>×</v>
      </c>
      <c r="J7229" s="4"/>
      <c r="K7229" s="4"/>
      <c r="L7229" s="4"/>
      <c r="M7229" s="5" t="s">
        <v>4475</v>
      </c>
    </row>
    <row r="7230" customFormat="false" ht="15.75" hidden="false" customHeight="false" outlineLevel="0" collapsed="false">
      <c r="A7230" s="6" t="n">
        <v>46187</v>
      </c>
      <c r="B7230" s="4" t="s">
        <v>4172</v>
      </c>
      <c r="C7230" s="4" t="n">
        <v>6</v>
      </c>
      <c r="D7230" s="4" t="n">
        <v>5</v>
      </c>
      <c r="E7230" s="4" t="s">
        <v>5275</v>
      </c>
      <c r="F7230" s="4" t="n">
        <v>23</v>
      </c>
      <c r="G7230" s="4" t="n">
        <v>6</v>
      </c>
      <c r="H7230" s="4" t="n">
        <v>4</v>
      </c>
      <c r="I7230" s="4" t="str">
        <v>×</v>
      </c>
      <c r="J7230" s="4"/>
      <c r="K7230" s="4"/>
      <c r="L7230" s="4"/>
      <c r="M7230" s="5" t="s">
        <v>4475</v>
      </c>
    </row>
    <row r="7231" customFormat="false" ht="15.75" hidden="false" customHeight="false" outlineLevel="0" collapsed="false">
      <c r="A7231" s="6" t="n">
        <v>46187</v>
      </c>
      <c r="B7231" s="4" t="s">
        <v>4172</v>
      </c>
      <c r="C7231" s="4" t="n">
        <v>6</v>
      </c>
      <c r="D7231" s="4" t="n">
        <v>6</v>
      </c>
      <c r="E7231" s="4" t="s">
        <v>5276</v>
      </c>
      <c r="F7231" s="4" t="n">
        <v>39</v>
      </c>
      <c r="G7231" s="4" t="n">
        <v>4</v>
      </c>
      <c r="H7231" s="4" t="n">
        <v>4</v>
      </c>
      <c r="I7231" s="4" t="str">
        <v>×</v>
      </c>
      <c r="J7231" s="4"/>
      <c r="K7231" s="4"/>
      <c r="L7231" s="4"/>
      <c r="M7231" s="5" t="s">
        <v>4475</v>
      </c>
    </row>
    <row r="7232" customFormat="false" ht="15.75" hidden="false" customHeight="false" outlineLevel="0" collapsed="false">
      <c r="A7232" s="6" t="n">
        <v>46187</v>
      </c>
      <c r="B7232" s="4" t="s">
        <v>4172</v>
      </c>
      <c r="C7232" s="4" t="n">
        <v>6</v>
      </c>
      <c r="D7232" s="4" t="n">
        <v>7</v>
      </c>
      <c r="E7232" s="4" t="s">
        <v>5277</v>
      </c>
      <c r="F7232" s="4" t="n">
        <v>50</v>
      </c>
      <c r="G7232" s="4" t="n">
        <v>1</v>
      </c>
      <c r="H7232" s="4" t="n">
        <v>4</v>
      </c>
      <c r="I7232" s="4" t="str">
        <v>×</v>
      </c>
      <c r="J7232" s="4"/>
      <c r="K7232" s="4"/>
      <c r="L7232" s="4"/>
      <c r="M7232" s="5" t="s">
        <v>4475</v>
      </c>
    </row>
    <row r="7233" customFormat="false" ht="15.75" hidden="false" customHeight="false" outlineLevel="0" collapsed="false">
      <c r="A7233" s="6" t="n">
        <v>46187</v>
      </c>
      <c r="B7233" s="4" t="s">
        <v>4172</v>
      </c>
      <c r="C7233" s="4" t="n">
        <v>6</v>
      </c>
      <c r="D7233" s="4" t="n">
        <v>8</v>
      </c>
      <c r="E7233" s="4" t="s">
        <v>2880</v>
      </c>
      <c r="F7233" s="4" t="n">
        <v>41</v>
      </c>
      <c r="G7233" s="4" t="n">
        <v>3</v>
      </c>
      <c r="H7233" s="4" t="n">
        <v>2</v>
      </c>
      <c r="I7233" s="4" t="str">
        <v>○</v>
      </c>
      <c r="J7233" s="4" t="n">
        <v>540</v>
      </c>
      <c r="K7233" s="4"/>
      <c r="L7233" s="4"/>
      <c r="M7233" s="5" t="s">
        <v>4475</v>
      </c>
    </row>
    <row r="7234" customFormat="false" ht="15.75" hidden="false" customHeight="false" outlineLevel="0" collapsed="false">
      <c r="A7234" s="6" t="n">
        <v>46187</v>
      </c>
      <c r="B7234" s="4" t="s">
        <v>4172</v>
      </c>
      <c r="C7234" s="4" t="n">
        <v>6</v>
      </c>
      <c r="D7234" s="4" t="n">
        <v>9</v>
      </c>
      <c r="E7234" s="4" t="s">
        <v>5278</v>
      </c>
      <c r="F7234" s="4" t="n">
        <v>31</v>
      </c>
      <c r="G7234" s="4" t="n">
        <v>5</v>
      </c>
      <c r="H7234" s="4" t="n">
        <v>4</v>
      </c>
      <c r="I7234" s="4" t="str">
        <v>×</v>
      </c>
      <c r="J7234" s="4"/>
      <c r="K7234" s="4"/>
      <c r="L7234" s="4"/>
      <c r="M7234" s="5" t="s">
        <v>4475</v>
      </c>
    </row>
    <row r="7235" customFormat="false" ht="15.75" hidden="false" customHeight="false" outlineLevel="0" collapsed="false">
      <c r="A7235" s="6" t="n">
        <v>46187</v>
      </c>
      <c r="B7235" s="4" t="s">
        <v>4172</v>
      </c>
      <c r="C7235" s="4" t="n">
        <v>6</v>
      </c>
      <c r="D7235" s="4" t="n">
        <v>10</v>
      </c>
      <c r="E7235" s="4" t="s">
        <v>2167</v>
      </c>
      <c r="F7235" s="4" t="n">
        <v>3</v>
      </c>
      <c r="G7235" s="4" t="n">
        <v>13</v>
      </c>
      <c r="H7235" s="4" t="n">
        <v>4</v>
      </c>
      <c r="I7235" s="4" t="str">
        <v>×</v>
      </c>
      <c r="J7235" s="4"/>
      <c r="K7235" s="4"/>
      <c r="L7235" s="4"/>
      <c r="M7235" s="5" t="s">
        <v>4475</v>
      </c>
    </row>
    <row r="7236" customFormat="false" ht="15.75" hidden="false" customHeight="false" outlineLevel="0" collapsed="false">
      <c r="A7236" s="6" t="n">
        <v>46187</v>
      </c>
      <c r="B7236" s="4" t="s">
        <v>4172</v>
      </c>
      <c r="C7236" s="4" t="n">
        <v>6</v>
      </c>
      <c r="D7236" s="4" t="n">
        <v>11</v>
      </c>
      <c r="E7236" s="4" t="s">
        <v>5279</v>
      </c>
      <c r="F7236" s="4" t="n">
        <v>44</v>
      </c>
      <c r="G7236" s="4" t="n">
        <v>2</v>
      </c>
      <c r="H7236" s="4" t="n">
        <v>4</v>
      </c>
      <c r="I7236" s="4" t="str">
        <v>×</v>
      </c>
      <c r="J7236" s="4"/>
      <c r="K7236" s="4"/>
      <c r="L7236" s="4"/>
      <c r="M7236" s="5" t="s">
        <v>4475</v>
      </c>
    </row>
    <row r="7237" customFormat="false" ht="15.75" hidden="false" customHeight="false" outlineLevel="0" collapsed="false">
      <c r="A7237" s="6" t="n">
        <v>46187</v>
      </c>
      <c r="B7237" s="4" t="s">
        <v>4172</v>
      </c>
      <c r="C7237" s="4" t="n">
        <v>6</v>
      </c>
      <c r="D7237" s="4" t="n">
        <v>12</v>
      </c>
      <c r="E7237" s="4" t="s">
        <v>5280</v>
      </c>
      <c r="F7237" s="4" t="n">
        <v>15</v>
      </c>
      <c r="G7237" s="4" t="n">
        <v>9</v>
      </c>
      <c r="H7237" s="4" t="n">
        <v>1</v>
      </c>
      <c r="I7237" s="4" t="str">
        <v>○</v>
      </c>
      <c r="J7237" s="4" t="n">
        <v>300</v>
      </c>
      <c r="K7237" s="4"/>
      <c r="L7237" s="4"/>
      <c r="M7237" s="5" t="s">
        <v>4475</v>
      </c>
    </row>
    <row r="7238" customFormat="false" ht="15.75" hidden="false" customHeight="false" outlineLevel="0" collapsed="false">
      <c r="A7238" s="6" t="n">
        <v>46187</v>
      </c>
      <c r="B7238" s="4" t="s">
        <v>4172</v>
      </c>
      <c r="C7238" s="4" t="n">
        <v>6</v>
      </c>
      <c r="D7238" s="4" t="n">
        <v>13</v>
      </c>
      <c r="E7238" s="4" t="s">
        <v>3670</v>
      </c>
      <c r="F7238" s="4" t="n">
        <v>13</v>
      </c>
      <c r="G7238" s="4" t="n">
        <v>10</v>
      </c>
      <c r="H7238" s="4" t="n">
        <v>4</v>
      </c>
      <c r="I7238" s="4" t="str">
        <v>×</v>
      </c>
      <c r="J7238" s="4"/>
      <c r="K7238" s="4"/>
      <c r="L7238" s="4"/>
      <c r="M7238" s="5" t="s">
        <v>4475</v>
      </c>
    </row>
    <row r="7239" customFormat="false" ht="15.75" hidden="false" customHeight="false" outlineLevel="0" collapsed="false">
      <c r="A7239" s="6" t="n">
        <v>46187</v>
      </c>
      <c r="B7239" s="4" t="s">
        <v>4172</v>
      </c>
      <c r="C7239" s="4" t="n">
        <v>6</v>
      </c>
      <c r="D7239" s="4" t="n">
        <v>14</v>
      </c>
      <c r="E7239" s="4" t="s">
        <v>5281</v>
      </c>
      <c r="F7239" s="4" t="n">
        <v>6</v>
      </c>
      <c r="G7239" s="4" t="n">
        <v>12</v>
      </c>
      <c r="H7239" s="4" t="n">
        <v>4</v>
      </c>
      <c r="I7239" s="4" t="str">
        <v>×</v>
      </c>
      <c r="J7239" s="4"/>
      <c r="K7239" s="4"/>
      <c r="L7239" s="4"/>
      <c r="M7239" s="5" t="s">
        <v>4475</v>
      </c>
    </row>
    <row r="7240" customFormat="false" ht="15.75" hidden="false" customHeight="false" outlineLevel="0" collapsed="false">
      <c r="A7240" s="6" t="n">
        <v>46187</v>
      </c>
      <c r="B7240" s="4" t="s">
        <v>4172</v>
      </c>
      <c r="C7240" s="4" t="n">
        <v>6</v>
      </c>
      <c r="D7240" s="4" t="n">
        <v>15</v>
      </c>
      <c r="E7240" s="4" t="s">
        <v>1648</v>
      </c>
      <c r="F7240" s="4" t="n">
        <v>20</v>
      </c>
      <c r="G7240" s="4" t="n">
        <v>7</v>
      </c>
      <c r="H7240" s="4" t="n">
        <v>4</v>
      </c>
      <c r="I7240" s="4" t="str">
        <v>×</v>
      </c>
      <c r="J7240" s="4"/>
      <c r="K7240" s="4"/>
      <c r="L7240" s="4"/>
      <c r="M7240" s="5" t="s">
        <v>4475</v>
      </c>
    </row>
    <row r="7241" customFormat="false" ht="15.75" hidden="false" customHeight="false" outlineLevel="0" collapsed="false">
      <c r="A7241" s="6" t="n">
        <v>46187</v>
      </c>
      <c r="B7241" s="4" t="s">
        <v>4172</v>
      </c>
      <c r="C7241" s="4" t="n">
        <v>6</v>
      </c>
      <c r="D7241" s="4" t="n">
        <v>16</v>
      </c>
      <c r="E7241" s="4" t="s">
        <v>5282</v>
      </c>
      <c r="F7241" s="4" t="n">
        <v>23</v>
      </c>
      <c r="G7241" s="4" t="n">
        <v>6</v>
      </c>
      <c r="H7241" s="4" t="n">
        <v>3</v>
      </c>
      <c r="I7241" s="4" t="str">
        <v>○</v>
      </c>
      <c r="J7241" s="4" t="n">
        <v>390</v>
      </c>
      <c r="K7241" s="4"/>
      <c r="L7241" s="4"/>
      <c r="M7241" s="5" t="s">
        <v>4475</v>
      </c>
    </row>
    <row r="7242" customFormat="false" ht="15.75" hidden="false" customHeight="false" outlineLevel="0" collapsed="false">
      <c r="A7242" s="6" t="n">
        <v>46187</v>
      </c>
      <c r="B7242" s="4" t="s">
        <v>4172</v>
      </c>
      <c r="C7242" s="4" t="n">
        <v>7</v>
      </c>
      <c r="D7242" s="4" t="n">
        <v>1</v>
      </c>
      <c r="E7242" s="4" t="s">
        <v>3207</v>
      </c>
      <c r="F7242" s="4" t="n">
        <v>23</v>
      </c>
      <c r="G7242" s="4" t="n">
        <v>5</v>
      </c>
      <c r="H7242" s="4" t="n">
        <v>4</v>
      </c>
      <c r="I7242" s="4" t="str">
        <v>×</v>
      </c>
      <c r="J7242" s="4"/>
      <c r="K7242" s="4"/>
      <c r="L7242" s="4"/>
      <c r="M7242" s="5" t="s">
        <v>4475</v>
      </c>
    </row>
    <row r="7243" customFormat="false" ht="15.75" hidden="false" customHeight="false" outlineLevel="0" collapsed="false">
      <c r="A7243" s="6" t="n">
        <v>46187</v>
      </c>
      <c r="B7243" s="4" t="s">
        <v>4172</v>
      </c>
      <c r="C7243" s="4" t="n">
        <v>7</v>
      </c>
      <c r="D7243" s="4" t="n">
        <v>2</v>
      </c>
      <c r="E7243" s="4" t="s">
        <v>3683</v>
      </c>
      <c r="F7243" s="4" t="n">
        <v>81</v>
      </c>
      <c r="G7243" s="4" t="n">
        <v>1</v>
      </c>
      <c r="H7243" s="4" t="n">
        <v>3</v>
      </c>
      <c r="I7243" s="4" t="str">
        <v>○</v>
      </c>
      <c r="J7243" s="4" t="n">
        <v>140</v>
      </c>
      <c r="K7243" s="4"/>
      <c r="L7243" s="4"/>
      <c r="M7243" s="5" t="s">
        <v>4475</v>
      </c>
    </row>
    <row r="7244" customFormat="false" ht="15.75" hidden="false" customHeight="false" outlineLevel="0" collapsed="false">
      <c r="A7244" s="6" t="n">
        <v>46187</v>
      </c>
      <c r="B7244" s="4" t="s">
        <v>4172</v>
      </c>
      <c r="C7244" s="4" t="n">
        <v>7</v>
      </c>
      <c r="D7244" s="4" t="n">
        <v>3</v>
      </c>
      <c r="E7244" s="4" t="s">
        <v>5283</v>
      </c>
      <c r="F7244" s="4" t="n">
        <v>39</v>
      </c>
      <c r="G7244" s="4" t="n">
        <v>4</v>
      </c>
      <c r="H7244" s="4" t="n">
        <v>4</v>
      </c>
      <c r="I7244" s="4" t="str">
        <v>×</v>
      </c>
      <c r="J7244" s="4"/>
      <c r="K7244" s="4"/>
      <c r="L7244" s="4"/>
      <c r="M7244" s="5" t="s">
        <v>4475</v>
      </c>
    </row>
    <row r="7245" customFormat="false" ht="15.75" hidden="false" customHeight="false" outlineLevel="0" collapsed="false">
      <c r="A7245" s="6" t="n">
        <v>46187</v>
      </c>
      <c r="B7245" s="4" t="s">
        <v>4172</v>
      </c>
      <c r="C7245" s="4" t="n">
        <v>7</v>
      </c>
      <c r="D7245" s="4" t="n">
        <v>4</v>
      </c>
      <c r="E7245" s="4" t="s">
        <v>4414</v>
      </c>
      <c r="F7245" s="4" t="n">
        <v>10</v>
      </c>
      <c r="G7245" s="4" t="n">
        <v>6</v>
      </c>
      <c r="H7245" s="4" t="n">
        <v>4</v>
      </c>
      <c r="I7245" s="4" t="str">
        <v>×</v>
      </c>
      <c r="J7245" s="4"/>
      <c r="K7245" s="4"/>
      <c r="L7245" s="4"/>
      <c r="M7245" s="5" t="s">
        <v>4475</v>
      </c>
    </row>
    <row r="7246" customFormat="false" ht="15.75" hidden="false" customHeight="false" outlineLevel="0" collapsed="false">
      <c r="A7246" s="6" t="n">
        <v>46187</v>
      </c>
      <c r="B7246" s="4" t="s">
        <v>4172</v>
      </c>
      <c r="C7246" s="4" t="n">
        <v>7</v>
      </c>
      <c r="D7246" s="4" t="n">
        <v>5</v>
      </c>
      <c r="E7246" s="4" t="s">
        <v>4643</v>
      </c>
      <c r="F7246" s="4" t="n">
        <v>6</v>
      </c>
      <c r="G7246" s="4" t="n">
        <v>8</v>
      </c>
      <c r="H7246" s="4" t="n">
        <v>4</v>
      </c>
      <c r="I7246" s="4" t="str">
        <v>×</v>
      </c>
      <c r="J7246" s="4"/>
      <c r="K7246" s="4"/>
      <c r="L7246" s="4"/>
      <c r="M7246" s="5" t="s">
        <v>4475</v>
      </c>
    </row>
    <row r="7247" customFormat="false" ht="15.75" hidden="false" customHeight="false" outlineLevel="0" collapsed="false">
      <c r="A7247" s="6" t="n">
        <v>46187</v>
      </c>
      <c r="B7247" s="4" t="s">
        <v>4172</v>
      </c>
      <c r="C7247" s="4" t="n">
        <v>7</v>
      </c>
      <c r="D7247" s="4" t="n">
        <v>6</v>
      </c>
      <c r="E7247" s="4" t="s">
        <v>2245</v>
      </c>
      <c r="F7247" s="4" t="n">
        <v>39</v>
      </c>
      <c r="G7247" s="4" t="n">
        <v>4</v>
      </c>
      <c r="H7247" s="4" t="n">
        <v>2</v>
      </c>
      <c r="I7247" s="4" t="str">
        <v>○</v>
      </c>
      <c r="J7247" s="4" t="n">
        <v>250</v>
      </c>
      <c r="K7247" s="4"/>
      <c r="L7247" s="4"/>
      <c r="M7247" s="5" t="s">
        <v>4475</v>
      </c>
    </row>
    <row r="7248" customFormat="false" ht="15.75" hidden="false" customHeight="false" outlineLevel="0" collapsed="false">
      <c r="A7248" s="6" t="n">
        <v>46187</v>
      </c>
      <c r="B7248" s="4" t="s">
        <v>4172</v>
      </c>
      <c r="C7248" s="4" t="n">
        <v>7</v>
      </c>
      <c r="D7248" s="4" t="n">
        <v>7</v>
      </c>
      <c r="E7248" s="4" t="s">
        <v>2129</v>
      </c>
      <c r="F7248" s="4" t="n">
        <v>56</v>
      </c>
      <c r="G7248" s="4" t="n">
        <v>2</v>
      </c>
      <c r="H7248" s="4" t="n">
        <v>4</v>
      </c>
      <c r="I7248" s="4" t="str">
        <v>×</v>
      </c>
      <c r="J7248" s="4"/>
      <c r="K7248" s="4"/>
      <c r="L7248" s="4"/>
      <c r="M7248" s="5" t="s">
        <v>4475</v>
      </c>
    </row>
    <row r="7249" customFormat="false" ht="15.75" hidden="false" customHeight="false" outlineLevel="0" collapsed="false">
      <c r="A7249" s="6" t="n">
        <v>46187</v>
      </c>
      <c r="B7249" s="4" t="s">
        <v>4172</v>
      </c>
      <c r="C7249" s="4" t="n">
        <v>7</v>
      </c>
      <c r="D7249" s="4" t="n">
        <v>8</v>
      </c>
      <c r="E7249" s="4" t="s">
        <v>5284</v>
      </c>
      <c r="F7249" s="4" t="n">
        <v>23</v>
      </c>
      <c r="G7249" s="4" t="n">
        <v>5</v>
      </c>
      <c r="H7249" s="4" t="n">
        <v>4</v>
      </c>
      <c r="I7249" s="4" t="str">
        <v>×</v>
      </c>
      <c r="J7249" s="4"/>
      <c r="K7249" s="4"/>
      <c r="L7249" s="4"/>
      <c r="M7249" s="5" t="s">
        <v>4475</v>
      </c>
    </row>
    <row r="7250" customFormat="false" ht="15.75" hidden="false" customHeight="false" outlineLevel="0" collapsed="false">
      <c r="A7250" s="6" t="n">
        <v>46187</v>
      </c>
      <c r="B7250" s="4" t="s">
        <v>4172</v>
      </c>
      <c r="C7250" s="4" t="n">
        <v>7</v>
      </c>
      <c r="D7250" s="4" t="n">
        <v>9</v>
      </c>
      <c r="E7250" s="4" t="s">
        <v>3475</v>
      </c>
      <c r="F7250" s="4" t="n">
        <v>44</v>
      </c>
      <c r="G7250" s="4" t="n">
        <v>3</v>
      </c>
      <c r="H7250" s="4" t="n">
        <v>1</v>
      </c>
      <c r="I7250" s="4" t="str">
        <v>○</v>
      </c>
      <c r="J7250" s="4" t="n">
        <v>170</v>
      </c>
      <c r="K7250" s="4"/>
      <c r="L7250" s="4"/>
      <c r="M7250" s="5" t="s">
        <v>4475</v>
      </c>
    </row>
    <row r="7251" customFormat="false" ht="15.75" hidden="false" customHeight="false" outlineLevel="0" collapsed="false">
      <c r="A7251" s="6" t="n">
        <v>46187</v>
      </c>
      <c r="B7251" s="4" t="s">
        <v>4172</v>
      </c>
      <c r="C7251" s="4" t="n">
        <v>7</v>
      </c>
      <c r="D7251" s="4" t="n">
        <v>10</v>
      </c>
      <c r="E7251" s="4" t="s">
        <v>3469</v>
      </c>
      <c r="F7251" s="4" t="n">
        <v>8</v>
      </c>
      <c r="G7251" s="4" t="n">
        <v>7</v>
      </c>
      <c r="H7251" s="4" t="n">
        <v>4</v>
      </c>
      <c r="I7251" s="4" t="str">
        <v>×</v>
      </c>
      <c r="J7251" s="4"/>
      <c r="K7251" s="4"/>
      <c r="L7251" s="4"/>
      <c r="M7251" s="5" t="s">
        <v>4475</v>
      </c>
    </row>
    <row r="7252" customFormat="false" ht="15.75" hidden="false" customHeight="false" outlineLevel="0" collapsed="false">
      <c r="A7252" s="6" t="n">
        <v>46187</v>
      </c>
      <c r="B7252" s="4" t="s">
        <v>4172</v>
      </c>
      <c r="C7252" s="4" t="n">
        <v>7</v>
      </c>
      <c r="D7252" s="4" t="n">
        <v>11</v>
      </c>
      <c r="E7252" s="4" t="s">
        <v>276</v>
      </c>
      <c r="F7252" s="4" t="n">
        <v>8</v>
      </c>
      <c r="G7252" s="4" t="n">
        <v>7</v>
      </c>
      <c r="H7252" s="4" t="n">
        <v>4</v>
      </c>
      <c r="I7252" s="4" t="str">
        <v>×</v>
      </c>
      <c r="J7252" s="4"/>
      <c r="K7252" s="4"/>
      <c r="L7252" s="4"/>
      <c r="M7252" s="5" t="s">
        <v>4475</v>
      </c>
    </row>
    <row r="7253" customFormat="false" ht="15.75" hidden="false" customHeight="false" outlineLevel="0" collapsed="false">
      <c r="A7253" s="6" t="n">
        <v>46187</v>
      </c>
      <c r="B7253" s="4" t="s">
        <v>4172</v>
      </c>
      <c r="C7253" s="4" t="n">
        <v>8</v>
      </c>
      <c r="D7253" s="4" t="n">
        <v>1</v>
      </c>
      <c r="E7253" s="4" t="s">
        <v>718</v>
      </c>
      <c r="F7253" s="4" t="n">
        <v>47</v>
      </c>
      <c r="G7253" s="4" t="n">
        <v>3</v>
      </c>
      <c r="H7253" s="4" t="n">
        <v>3</v>
      </c>
      <c r="I7253" s="4" t="str">
        <v>○</v>
      </c>
      <c r="J7253" s="4" t="n">
        <v>150</v>
      </c>
      <c r="K7253" s="4"/>
      <c r="L7253" s="4"/>
      <c r="M7253" s="5" t="s">
        <v>4475</v>
      </c>
    </row>
    <row r="7254" customFormat="false" ht="15.75" hidden="false" customHeight="false" outlineLevel="0" collapsed="false">
      <c r="A7254" s="6" t="n">
        <v>46187</v>
      </c>
      <c r="B7254" s="4" t="s">
        <v>4172</v>
      </c>
      <c r="C7254" s="4" t="n">
        <v>8</v>
      </c>
      <c r="D7254" s="4" t="n">
        <v>2</v>
      </c>
      <c r="E7254" s="4" t="s">
        <v>3209</v>
      </c>
      <c r="F7254" s="4" t="n">
        <v>17</v>
      </c>
      <c r="G7254" s="4" t="n">
        <v>6</v>
      </c>
      <c r="H7254" s="4" t="n">
        <v>4</v>
      </c>
      <c r="I7254" s="4" t="str">
        <v>×</v>
      </c>
      <c r="J7254" s="4"/>
      <c r="K7254" s="4"/>
      <c r="L7254" s="4"/>
      <c r="M7254" s="5" t="s">
        <v>4475</v>
      </c>
    </row>
    <row r="7255" customFormat="false" ht="15.75" hidden="false" customHeight="false" outlineLevel="0" collapsed="false">
      <c r="A7255" s="6" t="n">
        <v>46187</v>
      </c>
      <c r="B7255" s="4" t="s">
        <v>4172</v>
      </c>
      <c r="C7255" s="4" t="n">
        <v>8</v>
      </c>
      <c r="D7255" s="4" t="n">
        <v>3</v>
      </c>
      <c r="E7255" s="4" t="s">
        <v>1514</v>
      </c>
      <c r="F7255" s="4" t="n">
        <v>1</v>
      </c>
      <c r="G7255" s="4" t="n">
        <v>8</v>
      </c>
      <c r="H7255" s="4" t="n">
        <v>4</v>
      </c>
      <c r="I7255" s="4" t="str">
        <v>×</v>
      </c>
      <c r="J7255" s="4"/>
      <c r="K7255" s="4"/>
      <c r="L7255" s="4"/>
      <c r="M7255" s="5" t="s">
        <v>4475</v>
      </c>
    </row>
    <row r="7256" customFormat="false" ht="15.75" hidden="false" customHeight="false" outlineLevel="0" collapsed="false">
      <c r="A7256" s="6" t="n">
        <v>46187</v>
      </c>
      <c r="B7256" s="4" t="s">
        <v>4172</v>
      </c>
      <c r="C7256" s="4" t="n">
        <v>8</v>
      </c>
      <c r="D7256" s="4" t="n">
        <v>4</v>
      </c>
      <c r="E7256" s="4" t="s">
        <v>5285</v>
      </c>
      <c r="F7256" s="4" t="n">
        <v>6</v>
      </c>
      <c r="G7256" s="4" t="n">
        <v>7</v>
      </c>
      <c r="H7256" s="4" t="n">
        <v>4</v>
      </c>
      <c r="I7256" s="4" t="str">
        <v>×</v>
      </c>
      <c r="J7256" s="4"/>
      <c r="K7256" s="4"/>
      <c r="L7256" s="4"/>
      <c r="M7256" s="5" t="s">
        <v>4475</v>
      </c>
    </row>
    <row r="7257" customFormat="false" ht="15.75" hidden="false" customHeight="false" outlineLevel="0" collapsed="false">
      <c r="A7257" s="6" t="n">
        <v>46187</v>
      </c>
      <c r="B7257" s="4" t="s">
        <v>4172</v>
      </c>
      <c r="C7257" s="4" t="n">
        <v>8</v>
      </c>
      <c r="D7257" s="4" t="n">
        <v>5</v>
      </c>
      <c r="E7257" s="4" t="s">
        <v>5286</v>
      </c>
      <c r="F7257" s="4" t="n">
        <v>56</v>
      </c>
      <c r="G7257" s="4" t="n">
        <v>2</v>
      </c>
      <c r="H7257" s="4" t="n">
        <v>1</v>
      </c>
      <c r="I7257" s="4" t="str">
        <v>○</v>
      </c>
      <c r="J7257" s="4" t="n">
        <v>110</v>
      </c>
      <c r="K7257" s="4"/>
      <c r="L7257" s="4"/>
      <c r="M7257" s="5" t="s">
        <v>4475</v>
      </c>
    </row>
    <row r="7258" customFormat="false" ht="15.75" hidden="false" customHeight="false" outlineLevel="0" collapsed="false">
      <c r="A7258" s="6" t="n">
        <v>46187</v>
      </c>
      <c r="B7258" s="4" t="s">
        <v>4172</v>
      </c>
      <c r="C7258" s="4" t="n">
        <v>8</v>
      </c>
      <c r="D7258" s="4" t="n">
        <v>6</v>
      </c>
      <c r="E7258" s="4" t="s">
        <v>714</v>
      </c>
      <c r="F7258" s="4" t="n">
        <v>37</v>
      </c>
      <c r="G7258" s="4" t="n">
        <v>4</v>
      </c>
      <c r="H7258" s="4" t="n">
        <v>4</v>
      </c>
      <c r="I7258" s="4" t="str">
        <v>×</v>
      </c>
      <c r="J7258" s="4"/>
      <c r="K7258" s="4"/>
      <c r="L7258" s="4"/>
      <c r="M7258" s="5" t="s">
        <v>4475</v>
      </c>
    </row>
    <row r="7259" customFormat="false" ht="15.75" hidden="false" customHeight="false" outlineLevel="0" collapsed="false">
      <c r="A7259" s="6" t="n">
        <v>46187</v>
      </c>
      <c r="B7259" s="4" t="s">
        <v>4172</v>
      </c>
      <c r="C7259" s="4" t="n">
        <v>8</v>
      </c>
      <c r="D7259" s="4" t="n">
        <v>7</v>
      </c>
      <c r="E7259" s="4" t="s">
        <v>3208</v>
      </c>
      <c r="F7259" s="4" t="n">
        <v>29</v>
      </c>
      <c r="G7259" s="4" t="n">
        <v>5</v>
      </c>
      <c r="H7259" s="4" t="n">
        <v>2</v>
      </c>
      <c r="I7259" s="4" t="str">
        <v>○</v>
      </c>
      <c r="J7259" s="4" t="n">
        <v>350</v>
      </c>
      <c r="K7259" s="4"/>
      <c r="L7259" s="4"/>
      <c r="M7259" s="5" t="s">
        <v>4475</v>
      </c>
    </row>
    <row r="7260" customFormat="false" ht="15.75" hidden="false" customHeight="false" outlineLevel="0" collapsed="false">
      <c r="A7260" s="6" t="n">
        <v>46187</v>
      </c>
      <c r="B7260" s="4" t="s">
        <v>4172</v>
      </c>
      <c r="C7260" s="4" t="n">
        <v>8</v>
      </c>
      <c r="D7260" s="4" t="n">
        <v>8</v>
      </c>
      <c r="E7260" s="4" t="s">
        <v>561</v>
      </c>
      <c r="F7260" s="4" t="n">
        <v>62</v>
      </c>
      <c r="G7260" s="4" t="n">
        <v>1</v>
      </c>
      <c r="H7260" s="4" t="n">
        <v>4</v>
      </c>
      <c r="I7260" s="4" t="str">
        <v>×</v>
      </c>
      <c r="J7260" s="4"/>
      <c r="K7260" s="4"/>
      <c r="L7260" s="4"/>
      <c r="M7260" s="5" t="s">
        <v>4475</v>
      </c>
    </row>
    <row r="7261" customFormat="false" ht="15.75" hidden="false" customHeight="false" outlineLevel="0" collapsed="false">
      <c r="A7261" s="6" t="n">
        <v>46187</v>
      </c>
      <c r="B7261" s="4" t="s">
        <v>4172</v>
      </c>
      <c r="C7261" s="4" t="n">
        <v>8</v>
      </c>
      <c r="D7261" s="4" t="n">
        <v>9</v>
      </c>
      <c r="E7261" s="4" t="s">
        <v>5287</v>
      </c>
      <c r="F7261" s="4" t="n">
        <v>17</v>
      </c>
      <c r="G7261" s="4" t="n">
        <v>6</v>
      </c>
      <c r="H7261" s="4" t="n">
        <v>4</v>
      </c>
      <c r="I7261" s="4" t="str">
        <v>×</v>
      </c>
      <c r="J7261" s="4"/>
      <c r="K7261" s="4"/>
      <c r="L7261" s="4"/>
      <c r="M7261" s="5" t="s">
        <v>4475</v>
      </c>
    </row>
    <row r="7262" customFormat="false" ht="15.75" hidden="false" customHeight="false" outlineLevel="0" collapsed="false">
      <c r="A7262" s="6" t="n">
        <v>46187</v>
      </c>
      <c r="B7262" s="4" t="s">
        <v>4172</v>
      </c>
      <c r="C7262" s="4" t="n">
        <v>9</v>
      </c>
      <c r="D7262" s="4" t="n">
        <v>1</v>
      </c>
      <c r="E7262" s="4" t="s">
        <v>5288</v>
      </c>
      <c r="F7262" s="4" t="n">
        <v>20</v>
      </c>
      <c r="G7262" s="4" t="n">
        <v>5</v>
      </c>
      <c r="H7262" s="4" t="n">
        <v>2</v>
      </c>
      <c r="I7262" s="4" t="str">
        <v>○</v>
      </c>
      <c r="J7262" s="4" t="n">
        <v>630</v>
      </c>
      <c r="K7262" s="4"/>
      <c r="L7262" s="4"/>
      <c r="M7262" s="5" t="s">
        <v>4475</v>
      </c>
    </row>
    <row r="7263" customFormat="false" ht="15.75" hidden="false" customHeight="false" outlineLevel="0" collapsed="false">
      <c r="A7263" s="6" t="n">
        <v>46187</v>
      </c>
      <c r="B7263" s="4" t="s">
        <v>4172</v>
      </c>
      <c r="C7263" s="4" t="n">
        <v>9</v>
      </c>
      <c r="D7263" s="4" t="n">
        <v>2</v>
      </c>
      <c r="E7263" s="4" t="s">
        <v>3092</v>
      </c>
      <c r="F7263" s="4" t="n">
        <v>8</v>
      </c>
      <c r="G7263" s="4" t="n">
        <v>8</v>
      </c>
      <c r="H7263" s="4" t="n">
        <v>4</v>
      </c>
      <c r="I7263" s="4" t="str">
        <v>×</v>
      </c>
      <c r="J7263" s="4"/>
      <c r="K7263" s="4"/>
      <c r="L7263" s="4"/>
      <c r="M7263" s="5" t="s">
        <v>4475</v>
      </c>
    </row>
    <row r="7264" customFormat="false" ht="15.75" hidden="false" customHeight="false" outlineLevel="0" collapsed="false">
      <c r="A7264" s="6" t="n">
        <v>46187</v>
      </c>
      <c r="B7264" s="4" t="s">
        <v>4172</v>
      </c>
      <c r="C7264" s="4" t="n">
        <v>9</v>
      </c>
      <c r="D7264" s="4" t="n">
        <v>3</v>
      </c>
      <c r="E7264" s="4"/>
      <c r="F7264" s="4" t="n">
        <v>39</v>
      </c>
      <c r="G7264" s="4" t="n">
        <v>2</v>
      </c>
      <c r="H7264" s="4"/>
      <c r="I7264" s="4" t="str">
        <v/>
      </c>
      <c r="J7264" s="4"/>
      <c r="K7264" s="4"/>
      <c r="L7264" s="4"/>
      <c r="M7264" s="5" t="s">
        <v>4475</v>
      </c>
    </row>
    <row r="7265" customFormat="false" ht="15.75" hidden="false" customHeight="false" outlineLevel="0" collapsed="false">
      <c r="A7265" s="6" t="n">
        <v>46187</v>
      </c>
      <c r="B7265" s="4" t="s">
        <v>4172</v>
      </c>
      <c r="C7265" s="4" t="n">
        <v>9</v>
      </c>
      <c r="D7265" s="4" t="n">
        <v>4</v>
      </c>
      <c r="E7265" s="4" t="s">
        <v>1500</v>
      </c>
      <c r="F7265" s="4" t="n">
        <v>17</v>
      </c>
      <c r="G7265" s="4" t="n">
        <v>6</v>
      </c>
      <c r="H7265" s="4" t="n">
        <v>4</v>
      </c>
      <c r="I7265" s="4" t="str">
        <v>×</v>
      </c>
      <c r="J7265" s="4"/>
      <c r="K7265" s="4"/>
      <c r="L7265" s="4"/>
      <c r="M7265" s="5" t="s">
        <v>4475</v>
      </c>
    </row>
    <row r="7266" customFormat="false" ht="15.75" hidden="false" customHeight="false" outlineLevel="0" collapsed="false">
      <c r="A7266" s="6" t="n">
        <v>46187</v>
      </c>
      <c r="B7266" s="4" t="s">
        <v>4172</v>
      </c>
      <c r="C7266" s="4" t="n">
        <v>9</v>
      </c>
      <c r="D7266" s="4" t="n">
        <v>5</v>
      </c>
      <c r="E7266" s="4" t="s">
        <v>4403</v>
      </c>
      <c r="F7266" s="4" t="n">
        <v>20</v>
      </c>
      <c r="G7266" s="4" t="n">
        <v>5</v>
      </c>
      <c r="H7266" s="4" t="n">
        <v>4</v>
      </c>
      <c r="I7266" s="4" t="str">
        <v>×</v>
      </c>
      <c r="J7266" s="4"/>
      <c r="K7266" s="4"/>
      <c r="L7266" s="4"/>
      <c r="M7266" s="5" t="s">
        <v>4475</v>
      </c>
    </row>
    <row r="7267" customFormat="false" ht="15.75" hidden="false" customHeight="false" outlineLevel="0" collapsed="false">
      <c r="A7267" s="6" t="n">
        <v>46187</v>
      </c>
      <c r="B7267" s="4" t="s">
        <v>4172</v>
      </c>
      <c r="C7267" s="4" t="n">
        <v>9</v>
      </c>
      <c r="D7267" s="4" t="n">
        <v>6</v>
      </c>
      <c r="E7267" s="4" t="s">
        <v>1216</v>
      </c>
      <c r="F7267" s="4" t="n">
        <v>20</v>
      </c>
      <c r="G7267" s="4" t="n">
        <v>5</v>
      </c>
      <c r="H7267" s="4" t="n">
        <v>1</v>
      </c>
      <c r="I7267" s="4" t="str">
        <v>○</v>
      </c>
      <c r="J7267" s="4" t="n">
        <v>280</v>
      </c>
      <c r="K7267" s="4"/>
      <c r="L7267" s="4"/>
      <c r="M7267" s="5" t="s">
        <v>4475</v>
      </c>
    </row>
    <row r="7268" customFormat="false" ht="15.75" hidden="false" customHeight="false" outlineLevel="0" collapsed="false">
      <c r="A7268" s="6" t="n">
        <v>46187</v>
      </c>
      <c r="B7268" s="4" t="s">
        <v>4172</v>
      </c>
      <c r="C7268" s="4" t="n">
        <v>9</v>
      </c>
      <c r="D7268" s="4" t="n">
        <v>7</v>
      </c>
      <c r="E7268" s="4" t="s">
        <v>3090</v>
      </c>
      <c r="F7268" s="4" t="n">
        <v>41</v>
      </c>
      <c r="G7268" s="4" t="n">
        <v>1</v>
      </c>
      <c r="H7268" s="4" t="n">
        <v>3</v>
      </c>
      <c r="I7268" s="4" t="str">
        <v>○</v>
      </c>
      <c r="J7268" s="4" t="n">
        <v>180</v>
      </c>
      <c r="K7268" s="4"/>
      <c r="L7268" s="4"/>
      <c r="M7268" s="5" t="s">
        <v>4475</v>
      </c>
    </row>
    <row r="7269" customFormat="false" ht="15.75" hidden="false" customHeight="false" outlineLevel="0" collapsed="false">
      <c r="A7269" s="6" t="n">
        <v>46187</v>
      </c>
      <c r="B7269" s="4" t="s">
        <v>4172</v>
      </c>
      <c r="C7269" s="4" t="n">
        <v>9</v>
      </c>
      <c r="D7269" s="4" t="n">
        <v>8</v>
      </c>
      <c r="E7269" s="4" t="s">
        <v>2142</v>
      </c>
      <c r="F7269" s="4" t="n">
        <v>13</v>
      </c>
      <c r="G7269" s="4" t="n">
        <v>7</v>
      </c>
      <c r="H7269" s="4" t="n">
        <v>4</v>
      </c>
      <c r="I7269" s="4" t="str">
        <v>×</v>
      </c>
      <c r="J7269" s="4"/>
      <c r="K7269" s="4"/>
      <c r="L7269" s="4"/>
      <c r="M7269" s="5" t="s">
        <v>4475</v>
      </c>
    </row>
    <row r="7270" customFormat="false" ht="15.75" hidden="false" customHeight="false" outlineLevel="0" collapsed="false">
      <c r="A7270" s="6" t="n">
        <v>46187</v>
      </c>
      <c r="B7270" s="4" t="s">
        <v>4172</v>
      </c>
      <c r="C7270" s="4" t="n">
        <v>9</v>
      </c>
      <c r="D7270" s="4" t="n">
        <v>9</v>
      </c>
      <c r="E7270" s="4" t="s">
        <v>5289</v>
      </c>
      <c r="F7270" s="4" t="n">
        <v>23</v>
      </c>
      <c r="G7270" s="4" t="n">
        <v>4</v>
      </c>
      <c r="H7270" s="4" t="n">
        <v>4</v>
      </c>
      <c r="I7270" s="4" t="str">
        <v>×</v>
      </c>
      <c r="J7270" s="4"/>
      <c r="K7270" s="4"/>
      <c r="L7270" s="4"/>
      <c r="M7270" s="5" t="s">
        <v>4475</v>
      </c>
    </row>
    <row r="7271" customFormat="false" ht="15.75" hidden="false" customHeight="false" outlineLevel="0" collapsed="false">
      <c r="A7271" s="6" t="n">
        <v>46187</v>
      </c>
      <c r="B7271" s="4" t="s">
        <v>4172</v>
      </c>
      <c r="C7271" s="4" t="n">
        <v>9</v>
      </c>
      <c r="D7271" s="4" t="n">
        <v>10</v>
      </c>
      <c r="E7271" s="4" t="s">
        <v>1354</v>
      </c>
      <c r="F7271" s="4" t="n">
        <v>23</v>
      </c>
      <c r="G7271" s="4" t="n">
        <v>4</v>
      </c>
      <c r="H7271" s="4" t="n">
        <v>4</v>
      </c>
      <c r="I7271" s="4" t="str">
        <v>×</v>
      </c>
      <c r="J7271" s="4"/>
      <c r="K7271" s="4"/>
      <c r="L7271" s="4"/>
      <c r="M7271" s="5" t="s">
        <v>4475</v>
      </c>
    </row>
    <row r="7272" customFormat="false" ht="15.75" hidden="false" customHeight="false" outlineLevel="0" collapsed="false">
      <c r="A7272" s="6" t="n">
        <v>46187</v>
      </c>
      <c r="B7272" s="4" t="s">
        <v>4172</v>
      </c>
      <c r="C7272" s="4" t="n">
        <v>9</v>
      </c>
      <c r="D7272" s="4" t="n">
        <v>11</v>
      </c>
      <c r="E7272" s="4" t="s">
        <v>4402</v>
      </c>
      <c r="F7272" s="4" t="n">
        <v>29</v>
      </c>
      <c r="G7272" s="4" t="n">
        <v>3</v>
      </c>
      <c r="H7272" s="4" t="n">
        <v>4</v>
      </c>
      <c r="I7272" s="4" t="str">
        <v>×</v>
      </c>
      <c r="J7272" s="4"/>
      <c r="K7272" s="4"/>
      <c r="L7272" s="4"/>
      <c r="M7272" s="5" t="s">
        <v>4475</v>
      </c>
    </row>
    <row r="7273" customFormat="false" ht="15.75" hidden="false" customHeight="false" outlineLevel="0" collapsed="false">
      <c r="A7273" s="6" t="n">
        <v>46187</v>
      </c>
      <c r="B7273" s="4" t="s">
        <v>4172</v>
      </c>
      <c r="C7273" s="4" t="n">
        <v>9</v>
      </c>
      <c r="D7273" s="4" t="n">
        <v>12</v>
      </c>
      <c r="E7273" s="4" t="s">
        <v>4171</v>
      </c>
      <c r="F7273" s="4" t="n">
        <v>6</v>
      </c>
      <c r="G7273" s="4" t="n">
        <v>9</v>
      </c>
      <c r="H7273" s="4" t="n">
        <v>4</v>
      </c>
      <c r="I7273" s="4" t="str">
        <v>×</v>
      </c>
      <c r="J7273" s="4"/>
      <c r="K7273" s="4"/>
      <c r="L7273" s="4"/>
      <c r="M7273" s="5" t="s">
        <v>4475</v>
      </c>
    </row>
    <row r="7274" customFormat="false" ht="15.75" hidden="false" customHeight="false" outlineLevel="0" collapsed="false">
      <c r="A7274" s="6" t="n">
        <v>46187</v>
      </c>
      <c r="B7274" s="4" t="s">
        <v>4172</v>
      </c>
      <c r="C7274" s="4" t="n">
        <v>9</v>
      </c>
      <c r="D7274" s="4" t="n">
        <v>13</v>
      </c>
      <c r="E7274" s="4" t="s">
        <v>5290</v>
      </c>
      <c r="F7274" s="4" t="n">
        <v>2</v>
      </c>
      <c r="G7274" s="4" t="n">
        <v>10</v>
      </c>
      <c r="H7274" s="4" t="n">
        <v>4</v>
      </c>
      <c r="I7274" s="4" t="str">
        <v>×</v>
      </c>
      <c r="J7274" s="4"/>
      <c r="K7274" s="4"/>
      <c r="L7274" s="4"/>
      <c r="M7274" s="5" t="s">
        <v>4475</v>
      </c>
    </row>
    <row r="7275" customFormat="false" ht="15.75" hidden="false" customHeight="false" outlineLevel="0" collapsed="false">
      <c r="A7275" s="6" t="n">
        <v>46187</v>
      </c>
      <c r="B7275" s="4" t="s">
        <v>4172</v>
      </c>
      <c r="C7275" s="4" t="n">
        <v>9</v>
      </c>
      <c r="D7275" s="4" t="n">
        <v>14</v>
      </c>
      <c r="E7275" s="4" t="s">
        <v>5291</v>
      </c>
      <c r="F7275" s="4" t="n">
        <v>29</v>
      </c>
      <c r="G7275" s="4" t="n">
        <v>3</v>
      </c>
      <c r="H7275" s="4" t="n">
        <v>4</v>
      </c>
      <c r="I7275" s="4" t="str">
        <v>×</v>
      </c>
      <c r="J7275" s="4"/>
      <c r="K7275" s="4"/>
      <c r="L7275" s="4"/>
      <c r="M7275" s="5" t="s">
        <v>4475</v>
      </c>
    </row>
    <row r="7276" customFormat="false" ht="15.75" hidden="false" customHeight="false" outlineLevel="0" collapsed="false">
      <c r="A7276" s="6" t="n">
        <v>46187</v>
      </c>
      <c r="B7276" s="4" t="s">
        <v>4172</v>
      </c>
      <c r="C7276" s="4" t="n">
        <v>10</v>
      </c>
      <c r="D7276" s="4" t="n">
        <v>1</v>
      </c>
      <c r="E7276" s="4" t="s">
        <v>5292</v>
      </c>
      <c r="F7276" s="4" t="n">
        <v>25</v>
      </c>
      <c r="G7276" s="4" t="n">
        <v>5</v>
      </c>
      <c r="H7276" s="4" t="n">
        <v>4</v>
      </c>
      <c r="I7276" s="4" t="str">
        <v>×</v>
      </c>
      <c r="J7276" s="4"/>
      <c r="K7276" s="4"/>
      <c r="L7276" s="4"/>
      <c r="M7276" s="5" t="s">
        <v>4475</v>
      </c>
    </row>
    <row r="7277" customFormat="false" ht="15.75" hidden="false" customHeight="false" outlineLevel="0" collapsed="false">
      <c r="A7277" s="6" t="n">
        <v>46187</v>
      </c>
      <c r="B7277" s="4" t="s">
        <v>4172</v>
      </c>
      <c r="C7277" s="4" t="n">
        <v>10</v>
      </c>
      <c r="D7277" s="4" t="n">
        <v>2</v>
      </c>
      <c r="E7277" s="4" t="s">
        <v>5293</v>
      </c>
      <c r="F7277" s="4" t="n">
        <v>23</v>
      </c>
      <c r="G7277" s="4" t="n">
        <v>6</v>
      </c>
      <c r="H7277" s="4" t="n">
        <v>4</v>
      </c>
      <c r="I7277" s="4" t="str">
        <v>×</v>
      </c>
      <c r="J7277" s="4"/>
      <c r="K7277" s="4"/>
      <c r="L7277" s="4"/>
      <c r="M7277" s="5" t="s">
        <v>4475</v>
      </c>
    </row>
    <row r="7278" customFormat="false" ht="15.75" hidden="false" customHeight="false" outlineLevel="0" collapsed="false">
      <c r="A7278" s="6" t="n">
        <v>46187</v>
      </c>
      <c r="B7278" s="4" t="s">
        <v>4172</v>
      </c>
      <c r="C7278" s="4" t="n">
        <v>10</v>
      </c>
      <c r="D7278" s="4" t="n">
        <v>3</v>
      </c>
      <c r="E7278" s="4" t="s">
        <v>3644</v>
      </c>
      <c r="F7278" s="4" t="n">
        <v>23</v>
      </c>
      <c r="G7278" s="4" t="n">
        <v>6</v>
      </c>
      <c r="H7278" s="4" t="n">
        <v>4</v>
      </c>
      <c r="I7278" s="4" t="str">
        <v>×</v>
      </c>
      <c r="J7278" s="4"/>
      <c r="K7278" s="4"/>
      <c r="L7278" s="4"/>
      <c r="M7278" s="5" t="s">
        <v>4475</v>
      </c>
    </row>
    <row r="7279" customFormat="false" ht="15.75" hidden="false" customHeight="false" outlineLevel="0" collapsed="false">
      <c r="A7279" s="6" t="n">
        <v>46187</v>
      </c>
      <c r="B7279" s="4" t="s">
        <v>4172</v>
      </c>
      <c r="C7279" s="4" t="n">
        <v>10</v>
      </c>
      <c r="D7279" s="4" t="n">
        <v>4</v>
      </c>
      <c r="E7279" s="4" t="s">
        <v>5294</v>
      </c>
      <c r="F7279" s="4" t="n">
        <v>23</v>
      </c>
      <c r="G7279" s="4" t="n">
        <v>6</v>
      </c>
      <c r="H7279" s="4" t="n">
        <v>4</v>
      </c>
      <c r="I7279" s="4" t="str">
        <v>×</v>
      </c>
      <c r="J7279" s="4"/>
      <c r="K7279" s="4"/>
      <c r="L7279" s="4"/>
      <c r="M7279" s="5" t="s">
        <v>4475</v>
      </c>
    </row>
    <row r="7280" customFormat="false" ht="15.75" hidden="false" customHeight="false" outlineLevel="0" collapsed="false">
      <c r="A7280" s="6" t="n">
        <v>46187</v>
      </c>
      <c r="B7280" s="4" t="s">
        <v>4172</v>
      </c>
      <c r="C7280" s="4" t="n">
        <v>10</v>
      </c>
      <c r="D7280" s="4" t="n">
        <v>5</v>
      </c>
      <c r="E7280" s="4" t="s">
        <v>3646</v>
      </c>
      <c r="F7280" s="4" t="n">
        <v>29</v>
      </c>
      <c r="G7280" s="4" t="n">
        <v>4</v>
      </c>
      <c r="H7280" s="4" t="n">
        <v>4</v>
      </c>
      <c r="I7280" s="4" t="str">
        <v>×</v>
      </c>
      <c r="J7280" s="4"/>
      <c r="K7280" s="4"/>
      <c r="L7280" s="4"/>
      <c r="M7280" s="5" t="s">
        <v>4475</v>
      </c>
    </row>
    <row r="7281" customFormat="false" ht="15.75" hidden="false" customHeight="false" outlineLevel="0" collapsed="false">
      <c r="A7281" s="6" t="n">
        <v>46187</v>
      </c>
      <c r="B7281" s="4" t="s">
        <v>4172</v>
      </c>
      <c r="C7281" s="4" t="n">
        <v>10</v>
      </c>
      <c r="D7281" s="4" t="n">
        <v>6</v>
      </c>
      <c r="E7281" s="4" t="s">
        <v>2915</v>
      </c>
      <c r="F7281" s="4" t="n">
        <v>31</v>
      </c>
      <c r="G7281" s="4" t="n">
        <v>3</v>
      </c>
      <c r="H7281" s="4" t="n">
        <v>4</v>
      </c>
      <c r="I7281" s="4" t="str">
        <v>×</v>
      </c>
      <c r="J7281" s="4"/>
      <c r="K7281" s="4"/>
      <c r="L7281" s="4"/>
      <c r="M7281" s="5" t="s">
        <v>4475</v>
      </c>
    </row>
    <row r="7282" customFormat="false" ht="15.75" hidden="false" customHeight="false" outlineLevel="0" collapsed="false">
      <c r="A7282" s="6" t="n">
        <v>46187</v>
      </c>
      <c r="B7282" s="4" t="s">
        <v>4172</v>
      </c>
      <c r="C7282" s="4" t="n">
        <v>10</v>
      </c>
      <c r="D7282" s="4" t="n">
        <v>7</v>
      </c>
      <c r="E7282" s="4" t="s">
        <v>3638</v>
      </c>
      <c r="F7282" s="4" t="n">
        <v>15</v>
      </c>
      <c r="G7282" s="4" t="n">
        <v>8</v>
      </c>
      <c r="H7282" s="4" t="n">
        <v>4</v>
      </c>
      <c r="I7282" s="4" t="str">
        <v>×</v>
      </c>
      <c r="J7282" s="4"/>
      <c r="K7282" s="4"/>
      <c r="L7282" s="4"/>
      <c r="M7282" s="5" t="s">
        <v>4475</v>
      </c>
    </row>
    <row r="7283" customFormat="false" ht="15.75" hidden="false" customHeight="false" outlineLevel="0" collapsed="false">
      <c r="A7283" s="6" t="n">
        <v>46187</v>
      </c>
      <c r="B7283" s="4" t="s">
        <v>4172</v>
      </c>
      <c r="C7283" s="4" t="n">
        <v>10</v>
      </c>
      <c r="D7283" s="4" t="n">
        <v>8</v>
      </c>
      <c r="E7283" s="4" t="s">
        <v>5295</v>
      </c>
      <c r="F7283" s="4" t="n">
        <v>41</v>
      </c>
      <c r="G7283" s="4" t="n">
        <v>1</v>
      </c>
      <c r="H7283" s="4" t="n">
        <v>1</v>
      </c>
      <c r="I7283" s="4" t="str">
        <v>○</v>
      </c>
      <c r="J7283" s="4" t="n">
        <v>220</v>
      </c>
      <c r="K7283" s="4"/>
      <c r="L7283" s="4"/>
      <c r="M7283" s="5" t="s">
        <v>4475</v>
      </c>
    </row>
    <row r="7284" customFormat="false" ht="15.75" hidden="false" customHeight="false" outlineLevel="0" collapsed="false">
      <c r="A7284" s="6" t="n">
        <v>46187</v>
      </c>
      <c r="B7284" s="4" t="s">
        <v>4172</v>
      </c>
      <c r="C7284" s="4" t="n">
        <v>10</v>
      </c>
      <c r="D7284" s="4" t="n">
        <v>9</v>
      </c>
      <c r="E7284" s="4" t="s">
        <v>1213</v>
      </c>
      <c r="F7284" s="4" t="n">
        <v>6</v>
      </c>
      <c r="G7284" s="4" t="n">
        <v>10</v>
      </c>
      <c r="H7284" s="4" t="n">
        <v>4</v>
      </c>
      <c r="I7284" s="4" t="str">
        <v>×</v>
      </c>
      <c r="J7284" s="4"/>
      <c r="K7284" s="4"/>
      <c r="L7284" s="4"/>
      <c r="M7284" s="5" t="s">
        <v>4475</v>
      </c>
    </row>
    <row r="7285" customFormat="false" ht="15.75" hidden="false" customHeight="false" outlineLevel="0" collapsed="false">
      <c r="A7285" s="6" t="n">
        <v>46187</v>
      </c>
      <c r="B7285" s="4" t="s">
        <v>4172</v>
      </c>
      <c r="C7285" s="4" t="n">
        <v>10</v>
      </c>
      <c r="D7285" s="4" t="n">
        <v>10</v>
      </c>
      <c r="E7285" s="4" t="s">
        <v>5296</v>
      </c>
      <c r="F7285" s="4" t="n">
        <v>34</v>
      </c>
      <c r="G7285" s="4" t="n">
        <v>2</v>
      </c>
      <c r="H7285" s="4" t="n">
        <v>2</v>
      </c>
      <c r="I7285" s="4" t="str">
        <v>○</v>
      </c>
      <c r="J7285" s="4" t="n">
        <v>140</v>
      </c>
      <c r="K7285" s="4"/>
      <c r="L7285" s="4"/>
      <c r="M7285" s="5" t="s">
        <v>4475</v>
      </c>
    </row>
    <row r="7286" customFormat="false" ht="15.75" hidden="false" customHeight="false" outlineLevel="0" collapsed="false">
      <c r="A7286" s="6" t="n">
        <v>46187</v>
      </c>
      <c r="B7286" s="4" t="s">
        <v>4172</v>
      </c>
      <c r="C7286" s="4" t="n">
        <v>10</v>
      </c>
      <c r="D7286" s="4" t="n">
        <v>11</v>
      </c>
      <c r="E7286" s="4" t="s">
        <v>5297</v>
      </c>
      <c r="F7286" s="4" t="n">
        <v>20</v>
      </c>
      <c r="G7286" s="4" t="n">
        <v>7</v>
      </c>
      <c r="H7286" s="4" t="n">
        <v>3</v>
      </c>
      <c r="I7286" s="4" t="str">
        <v>○</v>
      </c>
      <c r="J7286" s="4" t="n">
        <v>670</v>
      </c>
      <c r="K7286" s="4"/>
      <c r="L7286" s="4"/>
      <c r="M7286" s="5" t="s">
        <v>4475</v>
      </c>
    </row>
    <row r="7287" customFormat="false" ht="15.75" hidden="false" customHeight="false" outlineLevel="0" collapsed="false">
      <c r="A7287" s="6" t="n">
        <v>46187</v>
      </c>
      <c r="B7287" s="4" t="s">
        <v>4172</v>
      </c>
      <c r="C7287" s="4" t="n">
        <v>10</v>
      </c>
      <c r="D7287" s="4" t="n">
        <v>12</v>
      </c>
      <c r="E7287" s="4" t="s">
        <v>5298</v>
      </c>
      <c r="F7287" s="4" t="n">
        <v>31</v>
      </c>
      <c r="G7287" s="4" t="n">
        <v>3</v>
      </c>
      <c r="H7287" s="4" t="n">
        <v>4</v>
      </c>
      <c r="I7287" s="4" t="str">
        <v>×</v>
      </c>
      <c r="J7287" s="4"/>
      <c r="K7287" s="4"/>
      <c r="L7287" s="4"/>
      <c r="M7287" s="5" t="s">
        <v>4475</v>
      </c>
    </row>
    <row r="7288" customFormat="false" ht="15.75" hidden="false" customHeight="false" outlineLevel="0" collapsed="false">
      <c r="A7288" s="6" t="n">
        <v>46187</v>
      </c>
      <c r="B7288" s="4" t="s">
        <v>4172</v>
      </c>
      <c r="C7288" s="4" t="n">
        <v>10</v>
      </c>
      <c r="D7288" s="4" t="n">
        <v>13</v>
      </c>
      <c r="E7288" s="4" t="s">
        <v>1062</v>
      </c>
      <c r="F7288" s="4" t="n">
        <v>15</v>
      </c>
      <c r="G7288" s="4" t="n">
        <v>8</v>
      </c>
      <c r="H7288" s="4" t="n">
        <v>4</v>
      </c>
      <c r="I7288" s="4" t="str">
        <v>×</v>
      </c>
      <c r="J7288" s="4"/>
      <c r="K7288" s="4"/>
      <c r="L7288" s="4"/>
      <c r="M7288" s="5" t="s">
        <v>4475</v>
      </c>
    </row>
    <row r="7289" customFormat="false" ht="15.75" hidden="false" customHeight="false" outlineLevel="0" collapsed="false">
      <c r="A7289" s="6" t="n">
        <v>46187</v>
      </c>
      <c r="B7289" s="4" t="s">
        <v>4172</v>
      </c>
      <c r="C7289" s="4" t="n">
        <v>10</v>
      </c>
      <c r="D7289" s="4" t="n">
        <v>14</v>
      </c>
      <c r="E7289" s="4" t="s">
        <v>1691</v>
      </c>
      <c r="F7289" s="4" t="n">
        <v>8</v>
      </c>
      <c r="G7289" s="4" t="n">
        <v>9</v>
      </c>
      <c r="H7289" s="4" t="n">
        <v>4</v>
      </c>
      <c r="I7289" s="4" t="str">
        <v>×</v>
      </c>
      <c r="J7289" s="4"/>
      <c r="K7289" s="4"/>
      <c r="L7289" s="4"/>
      <c r="M7289" s="5" t="s">
        <v>4475</v>
      </c>
    </row>
    <row r="7290" customFormat="false" ht="15.75" hidden="false" customHeight="false" outlineLevel="0" collapsed="false">
      <c r="A7290" s="6" t="n">
        <v>46187</v>
      </c>
      <c r="B7290" s="4" t="s">
        <v>4172</v>
      </c>
      <c r="C7290" s="4" t="n">
        <v>11</v>
      </c>
      <c r="D7290" s="4" t="n">
        <v>1</v>
      </c>
      <c r="E7290" s="4" t="s">
        <v>5299</v>
      </c>
      <c r="F7290" s="4" t="n">
        <v>4</v>
      </c>
      <c r="G7290" s="4" t="n">
        <v>10</v>
      </c>
      <c r="H7290" s="4" t="n">
        <v>3</v>
      </c>
      <c r="I7290" s="4" t="str">
        <v>○</v>
      </c>
      <c r="J7290" s="4" t="n">
        <v>170</v>
      </c>
      <c r="K7290" s="4"/>
      <c r="L7290" s="4"/>
      <c r="M7290" s="5" t="s">
        <v>4475</v>
      </c>
    </row>
    <row r="7291" customFormat="false" ht="15.75" hidden="false" customHeight="false" outlineLevel="0" collapsed="false">
      <c r="A7291" s="6" t="n">
        <v>46187</v>
      </c>
      <c r="B7291" s="4" t="s">
        <v>4172</v>
      </c>
      <c r="C7291" s="4" t="n">
        <v>11</v>
      </c>
      <c r="D7291" s="4" t="n">
        <v>2</v>
      </c>
      <c r="E7291" s="4" t="s">
        <v>5300</v>
      </c>
      <c r="F7291" s="4" t="n">
        <v>25</v>
      </c>
      <c r="G7291" s="4" t="n">
        <v>4</v>
      </c>
      <c r="H7291" s="4" t="n">
        <v>4</v>
      </c>
      <c r="I7291" s="4" t="str">
        <v>×</v>
      </c>
      <c r="J7291" s="4"/>
      <c r="K7291" s="4"/>
      <c r="L7291" s="4"/>
      <c r="M7291" s="5" t="s">
        <v>4475</v>
      </c>
    </row>
    <row r="7292" customFormat="false" ht="15.75" hidden="false" customHeight="false" outlineLevel="0" collapsed="false">
      <c r="A7292" s="6" t="n">
        <v>46187</v>
      </c>
      <c r="B7292" s="4" t="s">
        <v>4172</v>
      </c>
      <c r="C7292" s="4" t="n">
        <v>11</v>
      </c>
      <c r="D7292" s="4" t="n">
        <v>3</v>
      </c>
      <c r="E7292" s="4" t="s">
        <v>5301</v>
      </c>
      <c r="F7292" s="4" t="n">
        <v>6</v>
      </c>
      <c r="G7292" s="4" t="n">
        <v>9</v>
      </c>
      <c r="H7292" s="4" t="n">
        <v>4</v>
      </c>
      <c r="I7292" s="4" t="str">
        <v>×</v>
      </c>
      <c r="J7292" s="4"/>
      <c r="K7292" s="4"/>
      <c r="L7292" s="4"/>
      <c r="M7292" s="5" t="s">
        <v>4475</v>
      </c>
    </row>
    <row r="7293" customFormat="false" ht="15.75" hidden="false" customHeight="false" outlineLevel="0" collapsed="false">
      <c r="A7293" s="6" t="n">
        <v>46187</v>
      </c>
      <c r="B7293" s="4" t="s">
        <v>4172</v>
      </c>
      <c r="C7293" s="4" t="n">
        <v>11</v>
      </c>
      <c r="D7293" s="4" t="n">
        <v>4</v>
      </c>
      <c r="E7293" s="4" t="s">
        <v>5302</v>
      </c>
      <c r="F7293" s="4" t="n">
        <v>29</v>
      </c>
      <c r="G7293" s="4" t="n">
        <v>3</v>
      </c>
      <c r="H7293" s="4" t="n">
        <v>4</v>
      </c>
      <c r="I7293" s="4" t="str">
        <v>×</v>
      </c>
      <c r="J7293" s="4"/>
      <c r="K7293" s="4"/>
      <c r="L7293" s="4"/>
      <c r="M7293" s="5" t="s">
        <v>4475</v>
      </c>
    </row>
    <row r="7294" customFormat="false" ht="15.75" hidden="false" customHeight="false" outlineLevel="0" collapsed="false">
      <c r="A7294" s="6" t="n">
        <v>46187</v>
      </c>
      <c r="B7294" s="4" t="s">
        <v>4172</v>
      </c>
      <c r="C7294" s="4" t="n">
        <v>11</v>
      </c>
      <c r="D7294" s="4" t="n">
        <v>5</v>
      </c>
      <c r="E7294" s="4" t="s">
        <v>5303</v>
      </c>
      <c r="F7294" s="4" t="n">
        <v>75</v>
      </c>
      <c r="G7294" s="4" t="n">
        <v>1</v>
      </c>
      <c r="H7294" s="4" t="n">
        <v>2</v>
      </c>
      <c r="I7294" s="4" t="str">
        <v>○</v>
      </c>
      <c r="J7294" s="4" t="n">
        <v>120</v>
      </c>
      <c r="K7294" s="4"/>
      <c r="L7294" s="4"/>
      <c r="M7294" s="5" t="s">
        <v>4475</v>
      </c>
    </row>
    <row r="7295" customFormat="false" ht="15.75" hidden="false" customHeight="false" outlineLevel="0" collapsed="false">
      <c r="A7295" s="6" t="n">
        <v>46187</v>
      </c>
      <c r="B7295" s="4" t="s">
        <v>4172</v>
      </c>
      <c r="C7295" s="4" t="n">
        <v>11</v>
      </c>
      <c r="D7295" s="4" t="n">
        <v>6</v>
      </c>
      <c r="E7295" s="4" t="s">
        <v>5304</v>
      </c>
      <c r="F7295" s="4" t="n">
        <v>8</v>
      </c>
      <c r="G7295" s="4" t="n">
        <v>8</v>
      </c>
      <c r="H7295" s="4" t="n">
        <v>4</v>
      </c>
      <c r="I7295" s="4" t="str">
        <v>×</v>
      </c>
      <c r="J7295" s="4"/>
      <c r="K7295" s="4"/>
      <c r="L7295" s="4"/>
      <c r="M7295" s="5" t="s">
        <v>4475</v>
      </c>
    </row>
    <row r="7296" customFormat="false" ht="15.75" hidden="false" customHeight="false" outlineLevel="0" collapsed="false">
      <c r="A7296" s="6" t="n">
        <v>46187</v>
      </c>
      <c r="B7296" s="4" t="s">
        <v>4172</v>
      </c>
      <c r="C7296" s="4" t="n">
        <v>11</v>
      </c>
      <c r="D7296" s="4" t="n">
        <v>7</v>
      </c>
      <c r="E7296" s="4" t="s">
        <v>5305</v>
      </c>
      <c r="F7296" s="4" t="n">
        <v>3</v>
      </c>
      <c r="G7296" s="4" t="n">
        <v>11</v>
      </c>
      <c r="H7296" s="4" t="n">
        <v>4</v>
      </c>
      <c r="I7296" s="4" t="str">
        <v>×</v>
      </c>
      <c r="J7296" s="4"/>
      <c r="K7296" s="4"/>
      <c r="L7296" s="4"/>
      <c r="M7296" s="5" t="s">
        <v>4475</v>
      </c>
    </row>
    <row r="7297" customFormat="false" ht="15.75" hidden="false" customHeight="false" outlineLevel="0" collapsed="false">
      <c r="A7297" s="6" t="n">
        <v>46187</v>
      </c>
      <c r="B7297" s="4" t="s">
        <v>4172</v>
      </c>
      <c r="C7297" s="4" t="n">
        <v>11</v>
      </c>
      <c r="D7297" s="4" t="n">
        <v>8</v>
      </c>
      <c r="E7297" s="4" t="s">
        <v>5306</v>
      </c>
      <c r="F7297" s="4" t="n">
        <v>17</v>
      </c>
      <c r="G7297" s="4" t="n">
        <v>6</v>
      </c>
      <c r="H7297" s="4" t="n">
        <v>4</v>
      </c>
      <c r="I7297" s="4" t="str">
        <v>×</v>
      </c>
      <c r="J7297" s="4"/>
      <c r="K7297" s="4"/>
      <c r="L7297" s="4"/>
      <c r="M7297" s="5" t="s">
        <v>4475</v>
      </c>
    </row>
    <row r="7298" customFormat="false" ht="15.75" hidden="false" customHeight="false" outlineLevel="0" collapsed="false">
      <c r="A7298" s="6" t="n">
        <v>46187</v>
      </c>
      <c r="B7298" s="4" t="s">
        <v>4172</v>
      </c>
      <c r="C7298" s="4" t="n">
        <v>11</v>
      </c>
      <c r="D7298" s="4" t="n">
        <v>9</v>
      </c>
      <c r="E7298" s="4" t="s">
        <v>5307</v>
      </c>
      <c r="F7298" s="4" t="n">
        <v>29</v>
      </c>
      <c r="G7298" s="4" t="n">
        <v>3</v>
      </c>
      <c r="H7298" s="4" t="n">
        <v>4</v>
      </c>
      <c r="I7298" s="4" t="str">
        <v>×</v>
      </c>
      <c r="J7298" s="4"/>
      <c r="K7298" s="4"/>
      <c r="L7298" s="4"/>
      <c r="M7298" s="5" t="s">
        <v>4475</v>
      </c>
    </row>
    <row r="7299" customFormat="false" ht="15.75" hidden="false" customHeight="false" outlineLevel="0" collapsed="false">
      <c r="A7299" s="6" t="n">
        <v>46187</v>
      </c>
      <c r="B7299" s="4" t="s">
        <v>4172</v>
      </c>
      <c r="C7299" s="4" t="n">
        <v>11</v>
      </c>
      <c r="D7299" s="4" t="n">
        <v>10</v>
      </c>
      <c r="E7299" s="4" t="s">
        <v>5308</v>
      </c>
      <c r="F7299" s="4" t="n">
        <v>10</v>
      </c>
      <c r="G7299" s="4" t="n">
        <v>7</v>
      </c>
      <c r="H7299" s="4" t="n">
        <v>4</v>
      </c>
      <c r="I7299" s="4" t="str">
        <v>×</v>
      </c>
      <c r="J7299" s="4"/>
      <c r="K7299" s="4"/>
      <c r="L7299" s="4"/>
      <c r="M7299" s="5" t="s">
        <v>4475</v>
      </c>
    </row>
    <row r="7300" customFormat="false" ht="15.75" hidden="false" customHeight="false" outlineLevel="0" collapsed="false">
      <c r="A7300" s="6" t="n">
        <v>46187</v>
      </c>
      <c r="B7300" s="4" t="s">
        <v>4172</v>
      </c>
      <c r="C7300" s="4" t="n">
        <v>11</v>
      </c>
      <c r="D7300" s="4" t="n">
        <v>11</v>
      </c>
      <c r="E7300" s="4" t="s">
        <v>5309</v>
      </c>
      <c r="F7300" s="4" t="n">
        <v>23</v>
      </c>
      <c r="G7300" s="4" t="n">
        <v>5</v>
      </c>
      <c r="H7300" s="4" t="n">
        <v>4</v>
      </c>
      <c r="I7300" s="4" t="str">
        <v>×</v>
      </c>
      <c r="J7300" s="4"/>
      <c r="K7300" s="4"/>
      <c r="L7300" s="4"/>
      <c r="M7300" s="5" t="s">
        <v>4475</v>
      </c>
    </row>
    <row r="7301" customFormat="false" ht="15.75" hidden="false" customHeight="false" outlineLevel="0" collapsed="false">
      <c r="A7301" s="6" t="n">
        <v>46187</v>
      </c>
      <c r="B7301" s="4" t="s">
        <v>4172</v>
      </c>
      <c r="C7301" s="4" t="n">
        <v>11</v>
      </c>
      <c r="D7301" s="4" t="n">
        <v>12</v>
      </c>
      <c r="E7301" s="4" t="s">
        <v>5310</v>
      </c>
      <c r="F7301" s="4" t="n">
        <v>6</v>
      </c>
      <c r="G7301" s="4" t="n">
        <v>9</v>
      </c>
      <c r="H7301" s="4" t="n">
        <v>4</v>
      </c>
      <c r="I7301" s="4" t="str">
        <v>×</v>
      </c>
      <c r="J7301" s="4"/>
      <c r="K7301" s="4"/>
      <c r="L7301" s="4"/>
      <c r="M7301" s="5" t="s">
        <v>4475</v>
      </c>
    </row>
    <row r="7302" customFormat="false" ht="15.75" hidden="false" customHeight="false" outlineLevel="0" collapsed="false">
      <c r="A7302" s="6" t="n">
        <v>46187</v>
      </c>
      <c r="B7302" s="4" t="s">
        <v>4172</v>
      </c>
      <c r="C7302" s="4" t="n">
        <v>11</v>
      </c>
      <c r="D7302" s="4" t="n">
        <v>13</v>
      </c>
      <c r="E7302" s="4" t="s">
        <v>5311</v>
      </c>
      <c r="F7302" s="4" t="n">
        <v>3</v>
      </c>
      <c r="G7302" s="4" t="n">
        <v>11</v>
      </c>
      <c r="H7302" s="4" t="n">
        <v>4</v>
      </c>
      <c r="I7302" s="4" t="str">
        <v>×</v>
      </c>
      <c r="J7302" s="4"/>
      <c r="K7302" s="4"/>
      <c r="L7302" s="4"/>
      <c r="M7302" s="5" t="s">
        <v>4475</v>
      </c>
    </row>
    <row r="7303" customFormat="false" ht="15.75" hidden="false" customHeight="false" outlineLevel="0" collapsed="false">
      <c r="A7303" s="6" t="n">
        <v>46187</v>
      </c>
      <c r="B7303" s="4" t="s">
        <v>4172</v>
      </c>
      <c r="C7303" s="4" t="n">
        <v>11</v>
      </c>
      <c r="D7303" s="4" t="n">
        <v>14</v>
      </c>
      <c r="E7303" s="4" t="s">
        <v>5312</v>
      </c>
      <c r="F7303" s="4" t="n">
        <v>29</v>
      </c>
      <c r="G7303" s="4" t="n">
        <v>3</v>
      </c>
      <c r="H7303" s="4" t="n">
        <v>4</v>
      </c>
      <c r="I7303" s="4" t="str">
        <v>×</v>
      </c>
      <c r="J7303" s="4"/>
      <c r="K7303" s="4"/>
      <c r="L7303" s="4"/>
      <c r="M7303" s="5" t="s">
        <v>4475</v>
      </c>
    </row>
    <row r="7304" customFormat="false" ht="15.75" hidden="false" customHeight="false" outlineLevel="0" collapsed="false">
      <c r="A7304" s="6" t="n">
        <v>46187</v>
      </c>
      <c r="B7304" s="4" t="s">
        <v>4172</v>
      </c>
      <c r="C7304" s="4" t="n">
        <v>11</v>
      </c>
      <c r="D7304" s="4" t="n">
        <v>15</v>
      </c>
      <c r="E7304" s="4"/>
      <c r="F7304" s="4" t="n">
        <v>17</v>
      </c>
      <c r="G7304" s="4" t="n">
        <v>6</v>
      </c>
      <c r="H7304" s="4"/>
      <c r="I7304" s="4" t="str">
        <v/>
      </c>
      <c r="J7304" s="4"/>
      <c r="K7304" s="4"/>
      <c r="L7304" s="4"/>
      <c r="M7304" s="5" t="s">
        <v>4475</v>
      </c>
    </row>
    <row r="7305" customFormat="false" ht="15.75" hidden="false" customHeight="false" outlineLevel="0" collapsed="false">
      <c r="A7305" s="6" t="n">
        <v>46187</v>
      </c>
      <c r="B7305" s="4" t="s">
        <v>4172</v>
      </c>
      <c r="C7305" s="4" t="n">
        <v>11</v>
      </c>
      <c r="D7305" s="4" t="n">
        <v>16</v>
      </c>
      <c r="E7305" s="4" t="s">
        <v>5313</v>
      </c>
      <c r="F7305" s="4" t="n">
        <v>23</v>
      </c>
      <c r="G7305" s="4" t="n">
        <v>5</v>
      </c>
      <c r="H7305" s="4" t="n">
        <v>1</v>
      </c>
      <c r="I7305" s="4" t="str">
        <v>○</v>
      </c>
      <c r="J7305" s="4" t="n">
        <v>140</v>
      </c>
      <c r="K7305" s="4"/>
      <c r="L7305" s="4"/>
      <c r="M7305" s="5" t="s">
        <v>4475</v>
      </c>
    </row>
    <row r="7306" customFormat="false" ht="15.75" hidden="false" customHeight="false" outlineLevel="0" collapsed="false">
      <c r="A7306" s="6" t="n">
        <v>46187</v>
      </c>
      <c r="B7306" s="4" t="s">
        <v>4172</v>
      </c>
      <c r="C7306" s="4" t="n">
        <v>11</v>
      </c>
      <c r="D7306" s="4" t="n">
        <v>17</v>
      </c>
      <c r="E7306" s="4" t="s">
        <v>5314</v>
      </c>
      <c r="F7306" s="4" t="n">
        <v>39</v>
      </c>
      <c r="G7306" s="4" t="n">
        <v>2</v>
      </c>
      <c r="H7306" s="4" t="n">
        <v>4</v>
      </c>
      <c r="I7306" s="4" t="str">
        <v>×</v>
      </c>
      <c r="J7306" s="4"/>
      <c r="K7306" s="4"/>
      <c r="L7306" s="4"/>
      <c r="M7306" s="5" t="s">
        <v>4475</v>
      </c>
    </row>
    <row r="7307" customFormat="false" ht="15.75" hidden="false" customHeight="false" outlineLevel="0" collapsed="false">
      <c r="A7307" s="6" t="n">
        <v>46187</v>
      </c>
      <c r="B7307" s="4" t="s">
        <v>4172</v>
      </c>
      <c r="C7307" s="4" t="n">
        <v>11</v>
      </c>
      <c r="D7307" s="4" t="n">
        <v>18</v>
      </c>
      <c r="E7307" s="4" t="s">
        <v>5315</v>
      </c>
      <c r="F7307" s="4" t="n">
        <v>4</v>
      </c>
      <c r="G7307" s="4" t="n">
        <v>10</v>
      </c>
      <c r="H7307" s="4" t="n">
        <v>4</v>
      </c>
      <c r="I7307" s="4" t="str">
        <v>×</v>
      </c>
      <c r="J7307" s="4"/>
      <c r="K7307" s="4"/>
      <c r="L7307" s="4"/>
      <c r="M7307" s="5" t="s">
        <v>4475</v>
      </c>
    </row>
    <row r="7308" customFormat="false" ht="15.75" hidden="false" customHeight="false" outlineLevel="0" collapsed="false">
      <c r="A7308" s="6" t="n">
        <v>46187</v>
      </c>
      <c r="B7308" s="4" t="s">
        <v>4172</v>
      </c>
      <c r="C7308" s="4" t="n">
        <v>12</v>
      </c>
      <c r="D7308" s="4" t="n">
        <v>1</v>
      </c>
      <c r="E7308" s="4" t="s">
        <v>3629</v>
      </c>
      <c r="F7308" s="4" t="n">
        <v>50</v>
      </c>
      <c r="G7308" s="4" t="n">
        <v>1</v>
      </c>
      <c r="H7308" s="4" t="n">
        <v>3</v>
      </c>
      <c r="I7308" s="4" t="str">
        <v>○</v>
      </c>
      <c r="J7308" s="4" t="n">
        <v>170</v>
      </c>
      <c r="K7308" s="4"/>
      <c r="L7308" s="4"/>
      <c r="M7308" s="5" t="s">
        <v>4475</v>
      </c>
    </row>
    <row r="7309" customFormat="false" ht="15.75" hidden="false" customHeight="false" outlineLevel="0" collapsed="false">
      <c r="A7309" s="6" t="n">
        <v>46187</v>
      </c>
      <c r="B7309" s="4" t="s">
        <v>4172</v>
      </c>
      <c r="C7309" s="4" t="n">
        <v>12</v>
      </c>
      <c r="D7309" s="4" t="n">
        <v>2</v>
      </c>
      <c r="E7309" s="4" t="s">
        <v>1681</v>
      </c>
      <c r="F7309" s="4" t="n">
        <v>23</v>
      </c>
      <c r="G7309" s="4" t="n">
        <v>4</v>
      </c>
      <c r="H7309" s="4" t="n">
        <v>4</v>
      </c>
      <c r="I7309" s="4" t="str">
        <v>×</v>
      </c>
      <c r="J7309" s="4"/>
      <c r="K7309" s="4"/>
      <c r="L7309" s="4"/>
      <c r="M7309" s="5" t="s">
        <v>4475</v>
      </c>
    </row>
    <row r="7310" customFormat="false" ht="15.75" hidden="false" customHeight="false" outlineLevel="0" collapsed="false">
      <c r="A7310" s="6" t="n">
        <v>46187</v>
      </c>
      <c r="B7310" s="4" t="s">
        <v>4172</v>
      </c>
      <c r="C7310" s="4" t="n">
        <v>12</v>
      </c>
      <c r="D7310" s="4" t="n">
        <v>3</v>
      </c>
      <c r="E7310" s="4" t="s">
        <v>5316</v>
      </c>
      <c r="F7310" s="4" t="n">
        <v>1</v>
      </c>
      <c r="G7310" s="4" t="n">
        <v>13</v>
      </c>
      <c r="H7310" s="4" t="n">
        <v>4</v>
      </c>
      <c r="I7310" s="4" t="str">
        <v>×</v>
      </c>
      <c r="J7310" s="4"/>
      <c r="K7310" s="4"/>
      <c r="L7310" s="4"/>
      <c r="M7310" s="5" t="s">
        <v>4475</v>
      </c>
    </row>
    <row r="7311" customFormat="false" ht="15.75" hidden="false" customHeight="false" outlineLevel="0" collapsed="false">
      <c r="A7311" s="6" t="n">
        <v>46187</v>
      </c>
      <c r="B7311" s="4" t="s">
        <v>4172</v>
      </c>
      <c r="C7311" s="4" t="n">
        <v>12</v>
      </c>
      <c r="D7311" s="4" t="n">
        <v>4</v>
      </c>
      <c r="E7311" s="4" t="s">
        <v>2984</v>
      </c>
      <c r="F7311" s="4" t="n">
        <v>4</v>
      </c>
      <c r="G7311" s="4" t="n">
        <v>11</v>
      </c>
      <c r="H7311" s="4" t="n">
        <v>4</v>
      </c>
      <c r="I7311" s="4" t="str">
        <v>×</v>
      </c>
      <c r="J7311" s="4"/>
      <c r="K7311" s="4"/>
      <c r="L7311" s="4"/>
      <c r="M7311" s="5" t="s">
        <v>4475</v>
      </c>
    </row>
    <row r="7312" customFormat="false" ht="15.75" hidden="false" customHeight="false" outlineLevel="0" collapsed="false">
      <c r="A7312" s="6" t="n">
        <v>46187</v>
      </c>
      <c r="B7312" s="4" t="s">
        <v>4172</v>
      </c>
      <c r="C7312" s="4" t="n">
        <v>12</v>
      </c>
      <c r="D7312" s="4" t="n">
        <v>5</v>
      </c>
      <c r="E7312" s="4" t="s">
        <v>5317</v>
      </c>
      <c r="F7312" s="4" t="n">
        <v>20</v>
      </c>
      <c r="G7312" s="4" t="n">
        <v>5</v>
      </c>
      <c r="H7312" s="4" t="n">
        <v>4</v>
      </c>
      <c r="I7312" s="4" t="str">
        <v>×</v>
      </c>
      <c r="J7312" s="4"/>
      <c r="K7312" s="4"/>
      <c r="L7312" s="4"/>
      <c r="M7312" s="5" t="s">
        <v>4475</v>
      </c>
    </row>
    <row r="7313" customFormat="false" ht="15.75" hidden="false" customHeight="false" outlineLevel="0" collapsed="false">
      <c r="A7313" s="6" t="n">
        <v>46187</v>
      </c>
      <c r="B7313" s="4" t="s">
        <v>4172</v>
      </c>
      <c r="C7313" s="4" t="n">
        <v>12</v>
      </c>
      <c r="D7313" s="4" t="n">
        <v>6</v>
      </c>
      <c r="E7313" s="4" t="s">
        <v>5318</v>
      </c>
      <c r="F7313" s="4" t="n">
        <v>3</v>
      </c>
      <c r="G7313" s="4" t="n">
        <v>12</v>
      </c>
      <c r="H7313" s="4" t="n">
        <v>4</v>
      </c>
      <c r="I7313" s="4" t="str">
        <v>×</v>
      </c>
      <c r="J7313" s="4"/>
      <c r="K7313" s="4"/>
      <c r="L7313" s="4"/>
      <c r="M7313" s="5" t="s">
        <v>4475</v>
      </c>
    </row>
    <row r="7314" customFormat="false" ht="15.75" hidden="false" customHeight="false" outlineLevel="0" collapsed="false">
      <c r="A7314" s="6" t="n">
        <v>46187</v>
      </c>
      <c r="B7314" s="4" t="s">
        <v>4172</v>
      </c>
      <c r="C7314" s="4" t="n">
        <v>12</v>
      </c>
      <c r="D7314" s="4" t="n">
        <v>7</v>
      </c>
      <c r="E7314" s="4" t="s">
        <v>5319</v>
      </c>
      <c r="F7314" s="4" t="n">
        <v>13</v>
      </c>
      <c r="G7314" s="4" t="n">
        <v>8</v>
      </c>
      <c r="H7314" s="4" t="n">
        <v>4</v>
      </c>
      <c r="I7314" s="4" t="str">
        <v>×</v>
      </c>
      <c r="J7314" s="4"/>
      <c r="K7314" s="4"/>
      <c r="L7314" s="4"/>
      <c r="M7314" s="5" t="s">
        <v>4475</v>
      </c>
    </row>
    <row r="7315" customFormat="false" ht="15.75" hidden="false" customHeight="false" outlineLevel="0" collapsed="false">
      <c r="A7315" s="6" t="n">
        <v>46187</v>
      </c>
      <c r="B7315" s="4" t="s">
        <v>4172</v>
      </c>
      <c r="C7315" s="4" t="n">
        <v>12</v>
      </c>
      <c r="D7315" s="4" t="n">
        <v>8</v>
      </c>
      <c r="E7315" s="4" t="s">
        <v>5320</v>
      </c>
      <c r="F7315" s="4" t="n">
        <v>10</v>
      </c>
      <c r="G7315" s="4" t="n">
        <v>9</v>
      </c>
      <c r="H7315" s="4" t="n">
        <v>4</v>
      </c>
      <c r="I7315" s="4" t="str">
        <v>×</v>
      </c>
      <c r="J7315" s="4"/>
      <c r="K7315" s="4"/>
      <c r="L7315" s="4"/>
      <c r="M7315" s="5" t="s">
        <v>4475</v>
      </c>
    </row>
    <row r="7316" customFormat="false" ht="15.75" hidden="false" customHeight="false" outlineLevel="0" collapsed="false">
      <c r="A7316" s="6" t="n">
        <v>46187</v>
      </c>
      <c r="B7316" s="4" t="s">
        <v>4172</v>
      </c>
      <c r="C7316" s="4" t="n">
        <v>12</v>
      </c>
      <c r="D7316" s="4" t="n">
        <v>9</v>
      </c>
      <c r="E7316" s="4" t="s">
        <v>5321</v>
      </c>
      <c r="F7316" s="4" t="n">
        <v>10</v>
      </c>
      <c r="G7316" s="4" t="n">
        <v>9</v>
      </c>
      <c r="H7316" s="4" t="n">
        <v>4</v>
      </c>
      <c r="I7316" s="4" t="str">
        <v>×</v>
      </c>
      <c r="J7316" s="4"/>
      <c r="K7316" s="4"/>
      <c r="L7316" s="4"/>
      <c r="M7316" s="5" t="s">
        <v>4475</v>
      </c>
    </row>
    <row r="7317" customFormat="false" ht="15.75" hidden="false" customHeight="false" outlineLevel="0" collapsed="false">
      <c r="A7317" s="6" t="n">
        <v>46187</v>
      </c>
      <c r="B7317" s="4" t="s">
        <v>4172</v>
      </c>
      <c r="C7317" s="4" t="n">
        <v>12</v>
      </c>
      <c r="D7317" s="4" t="n">
        <v>10</v>
      </c>
      <c r="E7317" s="4" t="s">
        <v>5322</v>
      </c>
      <c r="F7317" s="4" t="n">
        <v>17</v>
      </c>
      <c r="G7317" s="4" t="n">
        <v>6</v>
      </c>
      <c r="H7317" s="4" t="n">
        <v>2</v>
      </c>
      <c r="I7317" s="4" t="str">
        <v>○</v>
      </c>
      <c r="J7317" s="4" t="n">
        <v>260</v>
      </c>
      <c r="K7317" s="4"/>
      <c r="L7317" s="4"/>
      <c r="M7317" s="5" t="s">
        <v>4475</v>
      </c>
    </row>
    <row r="7318" customFormat="false" ht="15.75" hidden="false" customHeight="false" outlineLevel="0" collapsed="false">
      <c r="A7318" s="6" t="n">
        <v>46187</v>
      </c>
      <c r="B7318" s="4" t="s">
        <v>4172</v>
      </c>
      <c r="C7318" s="4" t="n">
        <v>12</v>
      </c>
      <c r="D7318" s="4" t="n">
        <v>11</v>
      </c>
      <c r="E7318" s="4" t="s">
        <v>2793</v>
      </c>
      <c r="F7318" s="4" t="n">
        <v>15</v>
      </c>
      <c r="G7318" s="4" t="n">
        <v>7</v>
      </c>
      <c r="H7318" s="4" t="n">
        <v>4</v>
      </c>
      <c r="I7318" s="4" t="str">
        <v>×</v>
      </c>
      <c r="J7318" s="4"/>
      <c r="K7318" s="4"/>
      <c r="L7318" s="4"/>
      <c r="M7318" s="5" t="s">
        <v>4475</v>
      </c>
    </row>
    <row r="7319" customFormat="false" ht="15.75" hidden="false" customHeight="false" outlineLevel="0" collapsed="false">
      <c r="A7319" s="6" t="n">
        <v>46187</v>
      </c>
      <c r="B7319" s="4" t="s">
        <v>4172</v>
      </c>
      <c r="C7319" s="4" t="n">
        <v>12</v>
      </c>
      <c r="D7319" s="4" t="n">
        <v>12</v>
      </c>
      <c r="E7319" s="4" t="s">
        <v>5323</v>
      </c>
      <c r="F7319" s="4" t="n">
        <v>39</v>
      </c>
      <c r="G7319" s="4" t="n">
        <v>3</v>
      </c>
      <c r="H7319" s="4" t="n">
        <v>1</v>
      </c>
      <c r="I7319" s="4" t="str">
        <v>○</v>
      </c>
      <c r="J7319" s="4" t="n">
        <v>190</v>
      </c>
      <c r="K7319" s="4"/>
      <c r="L7319" s="4"/>
      <c r="M7319" s="5" t="s">
        <v>4475</v>
      </c>
    </row>
    <row r="7320" customFormat="false" ht="15.75" hidden="false" customHeight="false" outlineLevel="0" collapsed="false">
      <c r="A7320" s="6" t="n">
        <v>46187</v>
      </c>
      <c r="B7320" s="4" t="s">
        <v>4172</v>
      </c>
      <c r="C7320" s="4" t="n">
        <v>12</v>
      </c>
      <c r="D7320" s="4" t="n">
        <v>13</v>
      </c>
      <c r="E7320" s="4" t="s">
        <v>2154</v>
      </c>
      <c r="F7320" s="4" t="n">
        <v>20</v>
      </c>
      <c r="G7320" s="4" t="n">
        <v>5</v>
      </c>
      <c r="H7320" s="4" t="n">
        <v>4</v>
      </c>
      <c r="I7320" s="4" t="str">
        <v>×</v>
      </c>
      <c r="J7320" s="4"/>
      <c r="K7320" s="4"/>
      <c r="L7320" s="4"/>
      <c r="M7320" s="5" t="s">
        <v>4475</v>
      </c>
    </row>
    <row r="7321" customFormat="false" ht="15.75" hidden="false" customHeight="false" outlineLevel="0" collapsed="false">
      <c r="A7321" s="6" t="n">
        <v>46187</v>
      </c>
      <c r="B7321" s="4" t="s">
        <v>4172</v>
      </c>
      <c r="C7321" s="4" t="n">
        <v>12</v>
      </c>
      <c r="D7321" s="4" t="n">
        <v>14</v>
      </c>
      <c r="E7321" s="4"/>
      <c r="F7321" s="4" t="n">
        <v>8</v>
      </c>
      <c r="G7321" s="4" t="n">
        <v>10</v>
      </c>
      <c r="H7321" s="4"/>
      <c r="I7321" s="4" t="str">
        <v/>
      </c>
      <c r="J7321" s="4"/>
      <c r="K7321" s="4"/>
      <c r="L7321" s="4"/>
      <c r="M7321" s="5" t="s">
        <v>4475</v>
      </c>
    </row>
    <row r="7322" customFormat="false" ht="15.75" hidden="false" customHeight="false" outlineLevel="0" collapsed="false">
      <c r="A7322" s="6" t="n">
        <v>46187</v>
      </c>
      <c r="B7322" s="4" t="s">
        <v>4172</v>
      </c>
      <c r="C7322" s="4" t="n">
        <v>12</v>
      </c>
      <c r="D7322" s="4" t="n">
        <v>15</v>
      </c>
      <c r="E7322" s="4" t="s">
        <v>5324</v>
      </c>
      <c r="F7322" s="4" t="n">
        <v>44</v>
      </c>
      <c r="G7322" s="4" t="n">
        <v>2</v>
      </c>
      <c r="H7322" s="4" t="n">
        <v>4</v>
      </c>
      <c r="I7322" s="4" t="str">
        <v>×</v>
      </c>
      <c r="J7322" s="4"/>
      <c r="K7322" s="4"/>
      <c r="L7322" s="4"/>
      <c r="M7322" s="5" t="s">
        <v>4475</v>
      </c>
    </row>
    <row r="7323" customFormat="false" ht="15.75" hidden="false" customHeight="false" outlineLevel="0" collapsed="false">
      <c r="A7323" s="6" t="n">
        <v>46187</v>
      </c>
      <c r="B7323" s="4" t="s">
        <v>4172</v>
      </c>
      <c r="C7323" s="4" t="n">
        <v>12</v>
      </c>
      <c r="D7323" s="4" t="n">
        <v>16</v>
      </c>
      <c r="E7323" s="4" t="s">
        <v>2156</v>
      </c>
      <c r="F7323" s="4" t="n">
        <v>23</v>
      </c>
      <c r="G7323" s="4" t="n">
        <v>4</v>
      </c>
      <c r="H7323" s="4" t="n">
        <v>4</v>
      </c>
      <c r="I7323" s="4" t="str">
        <v>×</v>
      </c>
      <c r="J7323" s="4"/>
      <c r="K7323" s="4"/>
      <c r="L7323" s="4"/>
      <c r="M7323" s="5" t="s">
        <v>4475</v>
      </c>
    </row>
    <row r="7324" customFormat="false" ht="15.75" hidden="false" customHeight="false" outlineLevel="0" collapsed="false">
      <c r="A7324" s="6" t="n">
        <v>46187</v>
      </c>
      <c r="B7324" s="4" t="s">
        <v>1237</v>
      </c>
      <c r="C7324" s="4" t="n">
        <v>1</v>
      </c>
      <c r="D7324" s="4" t="n">
        <v>1</v>
      </c>
      <c r="E7324" s="4" t="s">
        <v>1273</v>
      </c>
      <c r="F7324" s="4" t="n">
        <v>4</v>
      </c>
      <c r="G7324" s="4" t="n">
        <v>8</v>
      </c>
      <c r="H7324" s="4" t="n">
        <v>4</v>
      </c>
      <c r="I7324" s="4" t="str">
        <v>×</v>
      </c>
      <c r="J7324" s="4"/>
      <c r="K7324" s="4"/>
      <c r="L7324" s="4"/>
      <c r="M7324" s="5" t="s">
        <v>4475</v>
      </c>
    </row>
    <row r="7325" customFormat="false" ht="15.75" hidden="false" customHeight="false" outlineLevel="0" collapsed="false">
      <c r="A7325" s="6" t="n">
        <v>46187</v>
      </c>
      <c r="B7325" s="4" t="s">
        <v>1237</v>
      </c>
      <c r="C7325" s="4" t="n">
        <v>1</v>
      </c>
      <c r="D7325" s="4" t="n">
        <v>2</v>
      </c>
      <c r="E7325" s="4" t="s">
        <v>2196</v>
      </c>
      <c r="F7325" s="4" t="n">
        <v>23</v>
      </c>
      <c r="G7325" s="4" t="n">
        <v>5</v>
      </c>
      <c r="H7325" s="4" t="n">
        <v>4</v>
      </c>
      <c r="I7325" s="4" t="str">
        <v>×</v>
      </c>
      <c r="J7325" s="4"/>
      <c r="K7325" s="4"/>
      <c r="L7325" s="4"/>
      <c r="M7325" s="5" t="s">
        <v>4475</v>
      </c>
    </row>
    <row r="7326" customFormat="false" ht="15.75" hidden="false" customHeight="false" outlineLevel="0" collapsed="false">
      <c r="A7326" s="6" t="n">
        <v>46187</v>
      </c>
      <c r="B7326" s="4" t="s">
        <v>1237</v>
      </c>
      <c r="C7326" s="4" t="n">
        <v>1</v>
      </c>
      <c r="D7326" s="4" t="n">
        <v>3</v>
      </c>
      <c r="E7326" s="4" t="s">
        <v>362</v>
      </c>
      <c r="F7326" s="4" t="n">
        <v>50</v>
      </c>
      <c r="G7326" s="4" t="n">
        <v>1</v>
      </c>
      <c r="H7326" s="4" t="n">
        <v>4</v>
      </c>
      <c r="I7326" s="4" t="str">
        <v>×</v>
      </c>
      <c r="J7326" s="4"/>
      <c r="K7326" s="4"/>
      <c r="L7326" s="4"/>
      <c r="M7326" s="5" t="s">
        <v>4475</v>
      </c>
    </row>
    <row r="7327" customFormat="false" ht="15.75" hidden="false" customHeight="false" outlineLevel="0" collapsed="false">
      <c r="A7327" s="6" t="n">
        <v>46187</v>
      </c>
      <c r="B7327" s="4" t="s">
        <v>1237</v>
      </c>
      <c r="C7327" s="4" t="n">
        <v>1</v>
      </c>
      <c r="D7327" s="4" t="n">
        <v>4</v>
      </c>
      <c r="E7327" s="4" t="s">
        <v>5325</v>
      </c>
      <c r="F7327" s="4" t="n">
        <v>3</v>
      </c>
      <c r="G7327" s="4" t="n">
        <v>9</v>
      </c>
      <c r="H7327" s="4" t="n">
        <v>4</v>
      </c>
      <c r="I7327" s="4" t="str">
        <v>×</v>
      </c>
      <c r="J7327" s="4"/>
      <c r="K7327" s="4"/>
      <c r="L7327" s="4"/>
      <c r="M7327" s="5" t="s">
        <v>4475</v>
      </c>
    </row>
    <row r="7328" customFormat="false" ht="15.75" hidden="false" customHeight="false" outlineLevel="0" collapsed="false">
      <c r="A7328" s="6" t="n">
        <v>46187</v>
      </c>
      <c r="B7328" s="4" t="s">
        <v>1237</v>
      </c>
      <c r="C7328" s="4" t="n">
        <v>1</v>
      </c>
      <c r="D7328" s="4" t="n">
        <v>5</v>
      </c>
      <c r="E7328" s="4" t="s">
        <v>2608</v>
      </c>
      <c r="F7328" s="4" t="n">
        <v>2</v>
      </c>
      <c r="G7328" s="4" t="n">
        <v>10</v>
      </c>
      <c r="H7328" s="4" t="n">
        <v>4</v>
      </c>
      <c r="I7328" s="4" t="str">
        <v>×</v>
      </c>
      <c r="J7328" s="4"/>
      <c r="K7328" s="4"/>
      <c r="L7328" s="4"/>
      <c r="M7328" s="5" t="s">
        <v>4475</v>
      </c>
    </row>
    <row r="7329" customFormat="false" ht="15.75" hidden="false" customHeight="false" outlineLevel="0" collapsed="false">
      <c r="A7329" s="6" t="n">
        <v>46187</v>
      </c>
      <c r="B7329" s="4" t="s">
        <v>1237</v>
      </c>
      <c r="C7329" s="4" t="n">
        <v>1</v>
      </c>
      <c r="D7329" s="4" t="n">
        <v>6</v>
      </c>
      <c r="E7329" s="4" t="s">
        <v>3513</v>
      </c>
      <c r="F7329" s="4" t="n">
        <v>29</v>
      </c>
      <c r="G7329" s="4" t="n">
        <v>3</v>
      </c>
      <c r="H7329" s="4" t="n">
        <v>4</v>
      </c>
      <c r="I7329" s="4" t="str">
        <v>×</v>
      </c>
      <c r="J7329" s="4"/>
      <c r="K7329" s="4"/>
      <c r="L7329" s="4"/>
      <c r="M7329" s="5" t="s">
        <v>4475</v>
      </c>
    </row>
    <row r="7330" customFormat="false" ht="15.75" hidden="false" customHeight="false" outlineLevel="0" collapsed="false">
      <c r="A7330" s="6" t="n">
        <v>46187</v>
      </c>
      <c r="B7330" s="4" t="s">
        <v>1237</v>
      </c>
      <c r="C7330" s="4" t="n">
        <v>1</v>
      </c>
      <c r="D7330" s="4" t="n">
        <v>7</v>
      </c>
      <c r="E7330" s="4" t="s">
        <v>1255</v>
      </c>
      <c r="F7330" s="4" t="n">
        <v>23</v>
      </c>
      <c r="G7330" s="4" t="n">
        <v>5</v>
      </c>
      <c r="H7330" s="4" t="n">
        <v>4</v>
      </c>
      <c r="I7330" s="4" t="str">
        <v>×</v>
      </c>
      <c r="J7330" s="4"/>
      <c r="K7330" s="4"/>
      <c r="L7330" s="4"/>
      <c r="M7330" s="5" t="s">
        <v>4475</v>
      </c>
    </row>
    <row r="7331" customFormat="false" ht="15.75" hidden="false" customHeight="false" outlineLevel="0" collapsed="false">
      <c r="A7331" s="6" t="n">
        <v>46187</v>
      </c>
      <c r="B7331" s="4" t="s">
        <v>1237</v>
      </c>
      <c r="C7331" s="4" t="n">
        <v>1</v>
      </c>
      <c r="D7331" s="4" t="n">
        <v>8</v>
      </c>
      <c r="E7331" s="4" t="s">
        <v>3259</v>
      </c>
      <c r="F7331" s="4" t="n">
        <v>8</v>
      </c>
      <c r="G7331" s="4" t="n">
        <v>7</v>
      </c>
      <c r="H7331" s="4" t="n">
        <v>4</v>
      </c>
      <c r="I7331" s="4" t="str">
        <v>×</v>
      </c>
      <c r="J7331" s="4"/>
      <c r="K7331" s="4"/>
      <c r="L7331" s="4"/>
      <c r="M7331" s="5" t="s">
        <v>4475</v>
      </c>
    </row>
    <row r="7332" customFormat="false" ht="15.75" hidden="false" customHeight="false" outlineLevel="0" collapsed="false">
      <c r="A7332" s="6" t="n">
        <v>46187</v>
      </c>
      <c r="B7332" s="4" t="s">
        <v>1237</v>
      </c>
      <c r="C7332" s="4" t="n">
        <v>1</v>
      </c>
      <c r="D7332" s="4" t="n">
        <v>9</v>
      </c>
      <c r="E7332" s="4" t="s">
        <v>5326</v>
      </c>
      <c r="F7332" s="4" t="n">
        <v>1</v>
      </c>
      <c r="G7332" s="4" t="n">
        <v>11</v>
      </c>
      <c r="H7332" s="4" t="n">
        <v>4</v>
      </c>
      <c r="I7332" s="4" t="str">
        <v>×</v>
      </c>
      <c r="J7332" s="4"/>
      <c r="K7332" s="4"/>
      <c r="L7332" s="4"/>
      <c r="M7332" s="5" t="s">
        <v>4475</v>
      </c>
    </row>
    <row r="7333" customFormat="false" ht="15.75" hidden="false" customHeight="false" outlineLevel="0" collapsed="false">
      <c r="A7333" s="6" t="n">
        <v>46187</v>
      </c>
      <c r="B7333" s="4" t="s">
        <v>1237</v>
      </c>
      <c r="C7333" s="4" t="n">
        <v>1</v>
      </c>
      <c r="D7333" s="4" t="n">
        <v>10</v>
      </c>
      <c r="E7333" s="4" t="s">
        <v>1270</v>
      </c>
      <c r="F7333" s="4" t="n">
        <v>41</v>
      </c>
      <c r="G7333" s="4" t="n">
        <v>2</v>
      </c>
      <c r="H7333" s="4" t="n">
        <v>3</v>
      </c>
      <c r="I7333" s="4" t="str">
        <v>○</v>
      </c>
      <c r="J7333" s="4" t="n">
        <v>190</v>
      </c>
      <c r="K7333" s="4"/>
      <c r="L7333" s="4"/>
      <c r="M7333" s="5" t="s">
        <v>4475</v>
      </c>
    </row>
    <row r="7334" customFormat="false" ht="15.75" hidden="false" customHeight="false" outlineLevel="0" collapsed="false">
      <c r="A7334" s="6" t="n">
        <v>46187</v>
      </c>
      <c r="B7334" s="4" t="s">
        <v>1237</v>
      </c>
      <c r="C7334" s="4" t="n">
        <v>1</v>
      </c>
      <c r="D7334" s="4" t="n">
        <v>11</v>
      </c>
      <c r="E7334" s="4" t="s">
        <v>1281</v>
      </c>
      <c r="F7334" s="4" t="n">
        <v>2</v>
      </c>
      <c r="G7334" s="4" t="n">
        <v>10</v>
      </c>
      <c r="H7334" s="4" t="n">
        <v>4</v>
      </c>
      <c r="I7334" s="4" t="str">
        <v>×</v>
      </c>
      <c r="J7334" s="4"/>
      <c r="K7334" s="4"/>
      <c r="L7334" s="4"/>
      <c r="M7334" s="5" t="s">
        <v>4475</v>
      </c>
    </row>
    <row r="7335" customFormat="false" ht="15.75" hidden="false" customHeight="false" outlineLevel="0" collapsed="false">
      <c r="A7335" s="6" t="n">
        <v>46187</v>
      </c>
      <c r="B7335" s="4" t="s">
        <v>1237</v>
      </c>
      <c r="C7335" s="4" t="n">
        <v>1</v>
      </c>
      <c r="D7335" s="4" t="n">
        <v>12</v>
      </c>
      <c r="E7335" s="4" t="s">
        <v>3510</v>
      </c>
      <c r="F7335" s="4" t="n">
        <v>8</v>
      </c>
      <c r="G7335" s="4" t="n">
        <v>7</v>
      </c>
      <c r="H7335" s="4" t="n">
        <v>4</v>
      </c>
      <c r="I7335" s="4" t="str">
        <v>×</v>
      </c>
      <c r="J7335" s="4"/>
      <c r="K7335" s="4"/>
      <c r="L7335" s="4"/>
      <c r="M7335" s="5" t="s">
        <v>4475</v>
      </c>
    </row>
    <row r="7336" customFormat="false" ht="15.75" hidden="false" customHeight="false" outlineLevel="0" collapsed="false">
      <c r="A7336" s="6" t="n">
        <v>46187</v>
      </c>
      <c r="B7336" s="4" t="s">
        <v>1237</v>
      </c>
      <c r="C7336" s="4" t="n">
        <v>1</v>
      </c>
      <c r="D7336" s="4" t="n">
        <v>13</v>
      </c>
      <c r="E7336" s="4" t="s">
        <v>2805</v>
      </c>
      <c r="F7336" s="4" t="n">
        <v>25</v>
      </c>
      <c r="G7336" s="4" t="n">
        <v>4</v>
      </c>
      <c r="H7336" s="4" t="n">
        <v>1</v>
      </c>
      <c r="I7336" s="4" t="str">
        <v>○</v>
      </c>
      <c r="J7336" s="4" t="n">
        <v>220</v>
      </c>
      <c r="K7336" s="4"/>
      <c r="L7336" s="4"/>
      <c r="M7336" s="5" t="s">
        <v>4475</v>
      </c>
    </row>
    <row r="7337" customFormat="false" ht="15.75" hidden="false" customHeight="false" outlineLevel="0" collapsed="false">
      <c r="A7337" s="6" t="n">
        <v>46187</v>
      </c>
      <c r="B7337" s="4" t="s">
        <v>1237</v>
      </c>
      <c r="C7337" s="4" t="n">
        <v>1</v>
      </c>
      <c r="D7337" s="4" t="n">
        <v>14</v>
      </c>
      <c r="E7337" s="4" t="s">
        <v>813</v>
      </c>
      <c r="F7337" s="4" t="n">
        <v>8</v>
      </c>
      <c r="G7337" s="4" t="n">
        <v>7</v>
      </c>
      <c r="H7337" s="4" t="n">
        <v>4</v>
      </c>
      <c r="I7337" s="4" t="str">
        <v>×</v>
      </c>
      <c r="J7337" s="4"/>
      <c r="K7337" s="4"/>
      <c r="L7337" s="4"/>
      <c r="M7337" s="5" t="s">
        <v>4475</v>
      </c>
    </row>
    <row r="7338" customFormat="false" ht="15.75" hidden="false" customHeight="false" outlineLevel="0" collapsed="false">
      <c r="A7338" s="6" t="n">
        <v>46187</v>
      </c>
      <c r="B7338" s="4" t="s">
        <v>1237</v>
      </c>
      <c r="C7338" s="4" t="n">
        <v>1</v>
      </c>
      <c r="D7338" s="4" t="n">
        <v>15</v>
      </c>
      <c r="E7338" s="4" t="s">
        <v>1786</v>
      </c>
      <c r="F7338" s="4" t="n">
        <v>17</v>
      </c>
      <c r="G7338" s="4" t="n">
        <v>6</v>
      </c>
      <c r="H7338" s="4" t="n">
        <v>2</v>
      </c>
      <c r="I7338" s="4" t="str">
        <v>○</v>
      </c>
      <c r="J7338" s="4" t="n">
        <v>540</v>
      </c>
      <c r="K7338" s="4"/>
      <c r="L7338" s="4"/>
      <c r="M7338" s="5" t="s">
        <v>4475</v>
      </c>
    </row>
    <row r="7339" customFormat="false" ht="15.75" hidden="false" customHeight="false" outlineLevel="0" collapsed="false">
      <c r="A7339" s="6" t="n">
        <v>46187</v>
      </c>
      <c r="B7339" s="4" t="s">
        <v>1237</v>
      </c>
      <c r="C7339" s="4" t="n">
        <v>1</v>
      </c>
      <c r="D7339" s="4" t="n">
        <v>16</v>
      </c>
      <c r="E7339" s="4" t="s">
        <v>1734</v>
      </c>
      <c r="F7339" s="4" t="n">
        <v>4</v>
      </c>
      <c r="G7339" s="4" t="n">
        <v>8</v>
      </c>
      <c r="H7339" s="4" t="n">
        <v>4</v>
      </c>
      <c r="I7339" s="4" t="str">
        <v>×</v>
      </c>
      <c r="J7339" s="4"/>
      <c r="K7339" s="4"/>
      <c r="L7339" s="4"/>
      <c r="M7339" s="5" t="s">
        <v>4475</v>
      </c>
    </row>
    <row r="7340" customFormat="false" ht="15.75" hidden="false" customHeight="false" outlineLevel="0" collapsed="false">
      <c r="A7340" s="6" t="n">
        <v>46187</v>
      </c>
      <c r="B7340" s="4" t="s">
        <v>1237</v>
      </c>
      <c r="C7340" s="4" t="n">
        <v>2</v>
      </c>
      <c r="D7340" s="4" t="n">
        <v>1</v>
      </c>
      <c r="E7340" s="4" t="s">
        <v>2953</v>
      </c>
      <c r="F7340" s="4" t="n">
        <v>4</v>
      </c>
      <c r="G7340" s="4" t="n">
        <v>7</v>
      </c>
      <c r="H7340" s="4" t="n">
        <v>4</v>
      </c>
      <c r="I7340" s="4" t="str">
        <v>×</v>
      </c>
      <c r="J7340" s="4"/>
      <c r="K7340" s="4"/>
      <c r="L7340" s="4"/>
      <c r="M7340" s="5" t="s">
        <v>4475</v>
      </c>
    </row>
    <row r="7341" customFormat="false" ht="15.75" hidden="false" customHeight="false" outlineLevel="0" collapsed="false">
      <c r="A7341" s="6" t="n">
        <v>46187</v>
      </c>
      <c r="B7341" s="4" t="s">
        <v>1237</v>
      </c>
      <c r="C7341" s="4" t="n">
        <v>2</v>
      </c>
      <c r="D7341" s="4" t="n">
        <v>2</v>
      </c>
      <c r="E7341" s="4" t="s">
        <v>1731</v>
      </c>
      <c r="F7341" s="4" t="n">
        <v>4</v>
      </c>
      <c r="G7341" s="4" t="n">
        <v>7</v>
      </c>
      <c r="H7341" s="4" t="n">
        <v>4</v>
      </c>
      <c r="I7341" s="4" t="str">
        <v>×</v>
      </c>
      <c r="J7341" s="4"/>
      <c r="K7341" s="4"/>
      <c r="L7341" s="4"/>
      <c r="M7341" s="5" t="s">
        <v>4475</v>
      </c>
    </row>
    <row r="7342" customFormat="false" ht="15.75" hidden="false" customHeight="false" outlineLevel="0" collapsed="false">
      <c r="A7342" s="6" t="n">
        <v>46187</v>
      </c>
      <c r="B7342" s="4" t="s">
        <v>1237</v>
      </c>
      <c r="C7342" s="4" t="n">
        <v>2</v>
      </c>
      <c r="D7342" s="4" t="n">
        <v>3</v>
      </c>
      <c r="E7342" s="4" t="s">
        <v>3507</v>
      </c>
      <c r="F7342" s="4" t="n">
        <v>34</v>
      </c>
      <c r="G7342" s="4" t="n">
        <v>5</v>
      </c>
      <c r="H7342" s="4" t="n">
        <v>4</v>
      </c>
      <c r="I7342" s="4" t="str">
        <v>×</v>
      </c>
      <c r="J7342" s="4"/>
      <c r="K7342" s="4"/>
      <c r="L7342" s="4"/>
      <c r="M7342" s="5" t="s">
        <v>4475</v>
      </c>
    </row>
    <row r="7343" customFormat="false" ht="15.75" hidden="false" customHeight="false" outlineLevel="0" collapsed="false">
      <c r="A7343" s="6" t="n">
        <v>46187</v>
      </c>
      <c r="B7343" s="4" t="s">
        <v>1237</v>
      </c>
      <c r="C7343" s="4" t="n">
        <v>2</v>
      </c>
      <c r="D7343" s="4" t="n">
        <v>4</v>
      </c>
      <c r="E7343" s="4" t="s">
        <v>354</v>
      </c>
      <c r="F7343" s="4" t="n">
        <v>3</v>
      </c>
      <c r="G7343" s="4" t="n">
        <v>8</v>
      </c>
      <c r="H7343" s="4" t="n">
        <v>4</v>
      </c>
      <c r="I7343" s="4" t="str">
        <v>×</v>
      </c>
      <c r="J7343" s="4"/>
      <c r="K7343" s="4"/>
      <c r="L7343" s="4"/>
      <c r="M7343" s="5" t="s">
        <v>4475</v>
      </c>
    </row>
    <row r="7344" customFormat="false" ht="15.75" hidden="false" customHeight="false" outlineLevel="0" collapsed="false">
      <c r="A7344" s="6" t="n">
        <v>46187</v>
      </c>
      <c r="B7344" s="4" t="s">
        <v>1237</v>
      </c>
      <c r="C7344" s="4" t="n">
        <v>2</v>
      </c>
      <c r="D7344" s="4" t="n">
        <v>5</v>
      </c>
      <c r="E7344" s="4" t="s">
        <v>2609</v>
      </c>
      <c r="F7344" s="4" t="n">
        <v>58</v>
      </c>
      <c r="G7344" s="4" t="n">
        <v>1</v>
      </c>
      <c r="H7344" s="4" t="n">
        <v>4</v>
      </c>
      <c r="I7344" s="4" t="str">
        <v>×</v>
      </c>
      <c r="J7344" s="4"/>
      <c r="K7344" s="4"/>
      <c r="L7344" s="4"/>
      <c r="M7344" s="5" t="s">
        <v>4475</v>
      </c>
    </row>
    <row r="7345" customFormat="false" ht="15.75" hidden="false" customHeight="false" outlineLevel="0" collapsed="false">
      <c r="A7345" s="6" t="n">
        <v>46187</v>
      </c>
      <c r="B7345" s="4" t="s">
        <v>1237</v>
      </c>
      <c r="C7345" s="4" t="n">
        <v>2</v>
      </c>
      <c r="D7345" s="4" t="n">
        <v>6</v>
      </c>
      <c r="E7345" s="4" t="s">
        <v>5327</v>
      </c>
      <c r="F7345" s="4" t="n">
        <v>2</v>
      </c>
      <c r="G7345" s="4" t="n">
        <v>9</v>
      </c>
      <c r="H7345" s="4" t="n">
        <v>4</v>
      </c>
      <c r="I7345" s="4" t="str">
        <v>×</v>
      </c>
      <c r="J7345" s="4"/>
      <c r="K7345" s="4"/>
      <c r="L7345" s="4"/>
      <c r="M7345" s="5" t="s">
        <v>4475</v>
      </c>
    </row>
    <row r="7346" customFormat="false" ht="15.75" hidden="false" customHeight="false" outlineLevel="0" collapsed="false">
      <c r="A7346" s="6" t="n">
        <v>46187</v>
      </c>
      <c r="B7346" s="4" t="s">
        <v>1237</v>
      </c>
      <c r="C7346" s="4" t="n">
        <v>2</v>
      </c>
      <c r="D7346" s="4" t="n">
        <v>7</v>
      </c>
      <c r="E7346" s="4" t="s">
        <v>217</v>
      </c>
      <c r="F7346" s="4" t="n">
        <v>31</v>
      </c>
      <c r="G7346" s="4" t="n">
        <v>6</v>
      </c>
      <c r="H7346" s="4" t="n">
        <v>4</v>
      </c>
      <c r="I7346" s="4" t="str">
        <v>×</v>
      </c>
      <c r="J7346" s="4"/>
      <c r="K7346" s="4"/>
      <c r="L7346" s="4"/>
      <c r="M7346" s="5" t="s">
        <v>4475</v>
      </c>
    </row>
    <row r="7347" customFormat="false" ht="15.75" hidden="false" customHeight="false" outlineLevel="0" collapsed="false">
      <c r="A7347" s="6" t="n">
        <v>46187</v>
      </c>
      <c r="B7347" s="4" t="s">
        <v>1237</v>
      </c>
      <c r="C7347" s="4" t="n">
        <v>2</v>
      </c>
      <c r="D7347" s="4" t="n">
        <v>8</v>
      </c>
      <c r="E7347" s="4" t="s">
        <v>1293</v>
      </c>
      <c r="F7347" s="4" t="n">
        <v>47</v>
      </c>
      <c r="G7347" s="4" t="n">
        <v>2</v>
      </c>
      <c r="H7347" s="4" t="n">
        <v>2</v>
      </c>
      <c r="I7347" s="4" t="str">
        <v>○</v>
      </c>
      <c r="J7347" s="4" t="n">
        <v>240</v>
      </c>
      <c r="K7347" s="4"/>
      <c r="L7347" s="4"/>
      <c r="M7347" s="5" t="s">
        <v>4475</v>
      </c>
    </row>
    <row r="7348" customFormat="false" ht="15.75" hidden="false" customHeight="false" outlineLevel="0" collapsed="false">
      <c r="A7348" s="6" t="n">
        <v>46187</v>
      </c>
      <c r="B7348" s="4" t="s">
        <v>1237</v>
      </c>
      <c r="C7348" s="4" t="n">
        <v>2</v>
      </c>
      <c r="D7348" s="4" t="n">
        <v>9</v>
      </c>
      <c r="E7348" s="4" t="s">
        <v>2931</v>
      </c>
      <c r="F7348" s="4" t="n">
        <v>44</v>
      </c>
      <c r="G7348" s="4" t="n">
        <v>3</v>
      </c>
      <c r="H7348" s="4" t="n">
        <v>4</v>
      </c>
      <c r="I7348" s="4" t="str">
        <v>×</v>
      </c>
      <c r="J7348" s="4"/>
      <c r="K7348" s="4"/>
      <c r="L7348" s="4"/>
      <c r="M7348" s="5" t="s">
        <v>4475</v>
      </c>
    </row>
    <row r="7349" customFormat="false" ht="15.75" hidden="false" customHeight="false" outlineLevel="0" collapsed="false">
      <c r="A7349" s="6" t="n">
        <v>46187</v>
      </c>
      <c r="B7349" s="4" t="s">
        <v>1237</v>
      </c>
      <c r="C7349" s="4" t="n">
        <v>2</v>
      </c>
      <c r="D7349" s="4" t="n">
        <v>10</v>
      </c>
      <c r="E7349" s="4" t="s">
        <v>1321</v>
      </c>
      <c r="F7349" s="4" t="n">
        <v>1</v>
      </c>
      <c r="G7349" s="4" t="n">
        <v>10</v>
      </c>
      <c r="H7349" s="4" t="n">
        <v>1</v>
      </c>
      <c r="I7349" s="4" t="str">
        <v>○</v>
      </c>
      <c r="J7349" s="4" t="n">
        <v>150</v>
      </c>
      <c r="K7349" s="4"/>
      <c r="L7349" s="4"/>
      <c r="M7349" s="5" t="s">
        <v>4475</v>
      </c>
    </row>
    <row r="7350" customFormat="false" ht="15.75" hidden="false" customHeight="false" outlineLevel="0" collapsed="false">
      <c r="A7350" s="6" t="n">
        <v>46187</v>
      </c>
      <c r="B7350" s="4" t="s">
        <v>1237</v>
      </c>
      <c r="C7350" s="4" t="n">
        <v>2</v>
      </c>
      <c r="D7350" s="4" t="n">
        <v>11</v>
      </c>
      <c r="E7350" s="4" t="s">
        <v>5328</v>
      </c>
      <c r="F7350" s="4" t="n">
        <v>37</v>
      </c>
      <c r="G7350" s="4" t="n">
        <v>4</v>
      </c>
      <c r="H7350" s="4" t="n">
        <v>3</v>
      </c>
      <c r="I7350" s="4" t="str">
        <v>○</v>
      </c>
      <c r="J7350" s="4" t="n">
        <v>140</v>
      </c>
      <c r="K7350" s="4"/>
      <c r="L7350" s="4"/>
      <c r="M7350" s="5" t="s">
        <v>4475</v>
      </c>
    </row>
    <row r="7351" customFormat="false" ht="15.75" hidden="false" customHeight="false" outlineLevel="0" collapsed="false">
      <c r="A7351" s="6" t="n">
        <v>46187</v>
      </c>
      <c r="B7351" s="4" t="s">
        <v>1237</v>
      </c>
      <c r="C7351" s="4" t="n">
        <v>3</v>
      </c>
      <c r="D7351" s="4" t="n">
        <v>1</v>
      </c>
      <c r="E7351" s="4" t="s">
        <v>860</v>
      </c>
      <c r="F7351" s="4" t="n">
        <v>37</v>
      </c>
      <c r="G7351" s="4" t="n">
        <v>3</v>
      </c>
      <c r="H7351" s="4" t="n">
        <v>2</v>
      </c>
      <c r="I7351" s="4" t="str">
        <v>○</v>
      </c>
      <c r="J7351" s="4" t="n">
        <v>230</v>
      </c>
      <c r="K7351" s="4"/>
      <c r="L7351" s="4"/>
      <c r="M7351" s="5" t="s">
        <v>4475</v>
      </c>
    </row>
    <row r="7352" customFormat="false" ht="15.75" hidden="false" customHeight="false" outlineLevel="0" collapsed="false">
      <c r="A7352" s="6" t="n">
        <v>46187</v>
      </c>
      <c r="B7352" s="4" t="s">
        <v>1237</v>
      </c>
      <c r="C7352" s="4" t="n">
        <v>3</v>
      </c>
      <c r="D7352" s="4" t="n">
        <v>2</v>
      </c>
      <c r="E7352" s="4" t="s">
        <v>4426</v>
      </c>
      <c r="F7352" s="4" t="n">
        <v>6</v>
      </c>
      <c r="G7352" s="4" t="n">
        <v>8</v>
      </c>
      <c r="H7352" s="4" t="n">
        <v>4</v>
      </c>
      <c r="I7352" s="4" t="str">
        <v>×</v>
      </c>
      <c r="J7352" s="4"/>
      <c r="K7352" s="4"/>
      <c r="L7352" s="4"/>
      <c r="M7352" s="5" t="s">
        <v>4475</v>
      </c>
    </row>
    <row r="7353" customFormat="false" ht="15.75" hidden="false" customHeight="false" outlineLevel="0" collapsed="false">
      <c r="A7353" s="6" t="n">
        <v>46187</v>
      </c>
      <c r="B7353" s="4" t="s">
        <v>1237</v>
      </c>
      <c r="C7353" s="4" t="n">
        <v>3</v>
      </c>
      <c r="D7353" s="4" t="n">
        <v>3</v>
      </c>
      <c r="E7353" s="4" t="s">
        <v>5329</v>
      </c>
      <c r="F7353" s="4" t="n">
        <v>8</v>
      </c>
      <c r="G7353" s="4" t="n">
        <v>7</v>
      </c>
      <c r="H7353" s="4" t="n">
        <v>4</v>
      </c>
      <c r="I7353" s="4" t="str">
        <v>×</v>
      </c>
      <c r="J7353" s="4"/>
      <c r="K7353" s="4"/>
      <c r="L7353" s="4"/>
      <c r="M7353" s="5" t="s">
        <v>4475</v>
      </c>
    </row>
    <row r="7354" customFormat="false" ht="15.75" hidden="false" customHeight="false" outlineLevel="0" collapsed="false">
      <c r="A7354" s="6" t="n">
        <v>46187</v>
      </c>
      <c r="B7354" s="4" t="s">
        <v>1237</v>
      </c>
      <c r="C7354" s="4" t="n">
        <v>3</v>
      </c>
      <c r="D7354" s="4" t="n">
        <v>4</v>
      </c>
      <c r="E7354" s="4" t="s">
        <v>2559</v>
      </c>
      <c r="F7354" s="4" t="n">
        <v>6</v>
      </c>
      <c r="G7354" s="4" t="n">
        <v>8</v>
      </c>
      <c r="H7354" s="4" t="n">
        <v>4</v>
      </c>
      <c r="I7354" s="4" t="str">
        <v>×</v>
      </c>
      <c r="J7354" s="4"/>
      <c r="K7354" s="4"/>
      <c r="L7354" s="4"/>
      <c r="M7354" s="5" t="s">
        <v>4475</v>
      </c>
    </row>
    <row r="7355" customFormat="false" ht="15.75" hidden="false" customHeight="false" outlineLevel="0" collapsed="false">
      <c r="A7355" s="6" t="n">
        <v>46187</v>
      </c>
      <c r="B7355" s="4" t="s">
        <v>1237</v>
      </c>
      <c r="C7355" s="4" t="n">
        <v>3</v>
      </c>
      <c r="D7355" s="4" t="n">
        <v>5</v>
      </c>
      <c r="E7355" s="4" t="s">
        <v>2959</v>
      </c>
      <c r="F7355" s="4" t="n">
        <v>20</v>
      </c>
      <c r="G7355" s="4" t="n">
        <v>4</v>
      </c>
      <c r="H7355" s="4" t="n">
        <v>1</v>
      </c>
      <c r="I7355" s="4" t="str">
        <v>○</v>
      </c>
      <c r="J7355" s="4" t="n">
        <v>280</v>
      </c>
      <c r="K7355" s="4"/>
      <c r="L7355" s="4"/>
      <c r="M7355" s="5" t="s">
        <v>4475</v>
      </c>
    </row>
    <row r="7356" customFormat="false" ht="15.75" hidden="false" customHeight="false" outlineLevel="0" collapsed="false">
      <c r="A7356" s="6" t="n">
        <v>46187</v>
      </c>
      <c r="B7356" s="4" t="s">
        <v>1237</v>
      </c>
      <c r="C7356" s="4" t="n">
        <v>3</v>
      </c>
      <c r="D7356" s="4" t="n">
        <v>6</v>
      </c>
      <c r="E7356" s="4" t="s">
        <v>3508</v>
      </c>
      <c r="F7356" s="4" t="n">
        <v>10</v>
      </c>
      <c r="G7356" s="4" t="n">
        <v>6</v>
      </c>
      <c r="H7356" s="4" t="n">
        <v>4</v>
      </c>
      <c r="I7356" s="4" t="str">
        <v>×</v>
      </c>
      <c r="J7356" s="4"/>
      <c r="K7356" s="4"/>
      <c r="L7356" s="4"/>
      <c r="M7356" s="5" t="s">
        <v>4475</v>
      </c>
    </row>
    <row r="7357" customFormat="false" ht="15.75" hidden="false" customHeight="false" outlineLevel="0" collapsed="false">
      <c r="A7357" s="6" t="n">
        <v>46187</v>
      </c>
      <c r="B7357" s="4" t="s">
        <v>1237</v>
      </c>
      <c r="C7357" s="4" t="n">
        <v>3</v>
      </c>
      <c r="D7357" s="4" t="n">
        <v>7</v>
      </c>
      <c r="E7357" s="4" t="s">
        <v>5330</v>
      </c>
      <c r="F7357" s="4" t="n">
        <v>47</v>
      </c>
      <c r="G7357" s="4" t="n">
        <v>2</v>
      </c>
      <c r="H7357" s="4" t="n">
        <v>4</v>
      </c>
      <c r="I7357" s="4" t="str">
        <v>×</v>
      </c>
      <c r="J7357" s="4"/>
      <c r="K7357" s="4"/>
      <c r="L7357" s="4"/>
      <c r="M7357" s="5" t="s">
        <v>4475</v>
      </c>
    </row>
    <row r="7358" customFormat="false" ht="15.75" hidden="false" customHeight="false" outlineLevel="0" collapsed="false">
      <c r="A7358" s="6" t="n">
        <v>46187</v>
      </c>
      <c r="B7358" s="4" t="s">
        <v>1237</v>
      </c>
      <c r="C7358" s="4" t="n">
        <v>3</v>
      </c>
      <c r="D7358" s="4" t="n">
        <v>8</v>
      </c>
      <c r="E7358" s="4" t="s">
        <v>832</v>
      </c>
      <c r="F7358" s="4" t="n">
        <v>0</v>
      </c>
      <c r="G7358" s="4" t="n">
        <v>10</v>
      </c>
      <c r="H7358" s="4" t="n">
        <v>4</v>
      </c>
      <c r="I7358" s="4" t="str">
        <v>×</v>
      </c>
      <c r="J7358" s="4"/>
      <c r="K7358" s="4"/>
      <c r="L7358" s="4"/>
      <c r="M7358" s="5" t="s">
        <v>4475</v>
      </c>
    </row>
    <row r="7359" customFormat="false" ht="15.75" hidden="false" customHeight="false" outlineLevel="0" collapsed="false">
      <c r="A7359" s="6" t="n">
        <v>46187</v>
      </c>
      <c r="B7359" s="4" t="s">
        <v>1237</v>
      </c>
      <c r="C7359" s="4" t="n">
        <v>3</v>
      </c>
      <c r="D7359" s="4" t="n">
        <v>9</v>
      </c>
      <c r="E7359" s="4" t="s">
        <v>1733</v>
      </c>
      <c r="F7359" s="4" t="n">
        <v>60</v>
      </c>
      <c r="G7359" s="4" t="n">
        <v>1</v>
      </c>
      <c r="H7359" s="4" t="n">
        <v>4</v>
      </c>
      <c r="I7359" s="4" t="str">
        <v>×</v>
      </c>
      <c r="J7359" s="4"/>
      <c r="K7359" s="4"/>
      <c r="L7359" s="4"/>
      <c r="M7359" s="5" t="s">
        <v>4475</v>
      </c>
    </row>
    <row r="7360" customFormat="false" ht="15.75" hidden="false" customHeight="false" outlineLevel="0" collapsed="false">
      <c r="A7360" s="6" t="n">
        <v>46187</v>
      </c>
      <c r="B7360" s="4" t="s">
        <v>1237</v>
      </c>
      <c r="C7360" s="4" t="n">
        <v>3</v>
      </c>
      <c r="D7360" s="4" t="n">
        <v>10</v>
      </c>
      <c r="E7360" s="4" t="s">
        <v>4424</v>
      </c>
      <c r="F7360" s="4" t="n">
        <v>13</v>
      </c>
      <c r="G7360" s="4" t="n">
        <v>5</v>
      </c>
      <c r="H7360" s="4" t="n">
        <v>3</v>
      </c>
      <c r="I7360" s="4" t="str">
        <v>○</v>
      </c>
      <c r="J7360" s="4" t="n">
        <v>550</v>
      </c>
      <c r="K7360" s="4"/>
      <c r="L7360" s="4"/>
      <c r="M7360" s="5" t="s">
        <v>4475</v>
      </c>
    </row>
    <row r="7361" customFormat="false" ht="15.75" hidden="false" customHeight="false" outlineLevel="0" collapsed="false">
      <c r="A7361" s="6" t="n">
        <v>46187</v>
      </c>
      <c r="B7361" s="4" t="s">
        <v>1237</v>
      </c>
      <c r="C7361" s="4" t="n">
        <v>3</v>
      </c>
      <c r="D7361" s="4" t="n">
        <v>11</v>
      </c>
      <c r="E7361" s="4" t="s">
        <v>5331</v>
      </c>
      <c r="F7361" s="4" t="n">
        <v>6</v>
      </c>
      <c r="G7361" s="4" t="n">
        <v>8</v>
      </c>
      <c r="H7361" s="4" t="n">
        <v>4</v>
      </c>
      <c r="I7361" s="4" t="str">
        <v>×</v>
      </c>
      <c r="J7361" s="4"/>
      <c r="K7361" s="4"/>
      <c r="L7361" s="4"/>
      <c r="M7361" s="5" t="s">
        <v>4475</v>
      </c>
    </row>
    <row r="7362" customFormat="false" ht="15.75" hidden="false" customHeight="false" outlineLevel="0" collapsed="false">
      <c r="A7362" s="6" t="n">
        <v>46187</v>
      </c>
      <c r="B7362" s="4" t="s">
        <v>1237</v>
      </c>
      <c r="C7362" s="4" t="n">
        <v>3</v>
      </c>
      <c r="D7362" s="4" t="n">
        <v>12</v>
      </c>
      <c r="E7362" s="4" t="s">
        <v>5332</v>
      </c>
      <c r="F7362" s="4" t="n">
        <v>4</v>
      </c>
      <c r="G7362" s="4" t="n">
        <v>9</v>
      </c>
      <c r="H7362" s="4" t="n">
        <v>4</v>
      </c>
      <c r="I7362" s="4" t="str">
        <v>×</v>
      </c>
      <c r="J7362" s="4"/>
      <c r="K7362" s="4"/>
      <c r="L7362" s="4"/>
      <c r="M7362" s="5" t="s">
        <v>4475</v>
      </c>
    </row>
    <row r="7363" customFormat="false" ht="15.75" hidden="false" customHeight="false" outlineLevel="0" collapsed="false">
      <c r="A7363" s="6" t="n">
        <v>46187</v>
      </c>
      <c r="B7363" s="4" t="s">
        <v>1237</v>
      </c>
      <c r="C7363" s="4" t="n">
        <v>4</v>
      </c>
      <c r="D7363" s="4" t="n">
        <v>1</v>
      </c>
      <c r="E7363" s="4" t="s">
        <v>4432</v>
      </c>
      <c r="F7363" s="4" t="n">
        <v>47</v>
      </c>
      <c r="G7363" s="4" t="n">
        <v>2</v>
      </c>
      <c r="H7363" s="4" t="n">
        <v>4</v>
      </c>
      <c r="I7363" s="4" t="str">
        <v>×</v>
      </c>
      <c r="J7363" s="4"/>
      <c r="K7363" s="4"/>
      <c r="L7363" s="4"/>
      <c r="M7363" s="5" t="s">
        <v>4475</v>
      </c>
    </row>
    <row r="7364" customFormat="false" ht="15.75" hidden="false" customHeight="false" outlineLevel="0" collapsed="false">
      <c r="A7364" s="6" t="n">
        <v>46187</v>
      </c>
      <c r="B7364" s="4" t="s">
        <v>1237</v>
      </c>
      <c r="C7364" s="4" t="n">
        <v>4</v>
      </c>
      <c r="D7364" s="4" t="n">
        <v>2</v>
      </c>
      <c r="E7364" s="4" t="s">
        <v>5333</v>
      </c>
      <c r="F7364" s="4" t="n">
        <v>29</v>
      </c>
      <c r="G7364" s="4" t="n">
        <v>4</v>
      </c>
      <c r="H7364" s="4" t="n">
        <v>4</v>
      </c>
      <c r="I7364" s="4" t="str">
        <v>×</v>
      </c>
      <c r="J7364" s="4"/>
      <c r="K7364" s="4"/>
      <c r="L7364" s="4"/>
      <c r="M7364" s="5" t="s">
        <v>4475</v>
      </c>
    </row>
    <row r="7365" customFormat="false" ht="15.75" hidden="false" customHeight="false" outlineLevel="0" collapsed="false">
      <c r="A7365" s="6" t="n">
        <v>46187</v>
      </c>
      <c r="B7365" s="4" t="s">
        <v>1237</v>
      </c>
      <c r="C7365" s="4" t="n">
        <v>4</v>
      </c>
      <c r="D7365" s="4" t="n">
        <v>3</v>
      </c>
      <c r="E7365" s="4" t="s">
        <v>2205</v>
      </c>
      <c r="F7365" s="4" t="n">
        <v>31</v>
      </c>
      <c r="G7365" s="4" t="n">
        <v>3</v>
      </c>
      <c r="H7365" s="4" t="n">
        <v>3</v>
      </c>
      <c r="I7365" s="4" t="str">
        <v>○</v>
      </c>
      <c r="J7365" s="4" t="n">
        <v>340</v>
      </c>
      <c r="K7365" s="4"/>
      <c r="L7365" s="4"/>
      <c r="M7365" s="5" t="s">
        <v>4475</v>
      </c>
    </row>
    <row r="7366" customFormat="false" ht="15.75" hidden="false" customHeight="false" outlineLevel="0" collapsed="false">
      <c r="A7366" s="6" t="n">
        <v>46187</v>
      </c>
      <c r="B7366" s="4" t="s">
        <v>1237</v>
      </c>
      <c r="C7366" s="4" t="n">
        <v>4</v>
      </c>
      <c r="D7366" s="4" t="n">
        <v>4</v>
      </c>
      <c r="E7366" s="4" t="s">
        <v>1301</v>
      </c>
      <c r="F7366" s="4" t="n">
        <v>2</v>
      </c>
      <c r="G7366" s="4" t="n">
        <v>11</v>
      </c>
      <c r="H7366" s="4" t="n">
        <v>4</v>
      </c>
      <c r="I7366" s="4" t="str">
        <v>×</v>
      </c>
      <c r="J7366" s="4"/>
      <c r="K7366" s="4"/>
      <c r="L7366" s="4"/>
      <c r="M7366" s="5" t="s">
        <v>4475</v>
      </c>
    </row>
    <row r="7367" customFormat="false" ht="15.75" hidden="false" customHeight="false" outlineLevel="0" collapsed="false">
      <c r="A7367" s="6" t="n">
        <v>46187</v>
      </c>
      <c r="B7367" s="4" t="s">
        <v>1237</v>
      </c>
      <c r="C7367" s="4" t="n">
        <v>4</v>
      </c>
      <c r="D7367" s="4" t="n">
        <v>5</v>
      </c>
      <c r="E7367" s="4" t="s">
        <v>2210</v>
      </c>
      <c r="F7367" s="4" t="n">
        <v>15</v>
      </c>
      <c r="G7367" s="4" t="n">
        <v>8</v>
      </c>
      <c r="H7367" s="4" t="n">
        <v>4</v>
      </c>
      <c r="I7367" s="4" t="str">
        <v>×</v>
      </c>
      <c r="J7367" s="4"/>
      <c r="K7367" s="4"/>
      <c r="L7367" s="4"/>
      <c r="M7367" s="5" t="s">
        <v>4475</v>
      </c>
    </row>
    <row r="7368" customFormat="false" ht="15.75" hidden="false" customHeight="false" outlineLevel="0" collapsed="false">
      <c r="A7368" s="6" t="n">
        <v>46187</v>
      </c>
      <c r="B7368" s="4" t="s">
        <v>1237</v>
      </c>
      <c r="C7368" s="4" t="n">
        <v>4</v>
      </c>
      <c r="D7368" s="4" t="n">
        <v>6</v>
      </c>
      <c r="E7368" s="4" t="s">
        <v>4440</v>
      </c>
      <c r="F7368" s="4" t="n">
        <v>17</v>
      </c>
      <c r="G7368" s="4" t="n">
        <v>7</v>
      </c>
      <c r="H7368" s="4" t="n">
        <v>1</v>
      </c>
      <c r="I7368" s="4" t="str">
        <v>○</v>
      </c>
      <c r="J7368" s="4" t="n">
        <v>740</v>
      </c>
      <c r="K7368" s="4"/>
      <c r="L7368" s="4"/>
      <c r="M7368" s="5" t="s">
        <v>4475</v>
      </c>
    </row>
    <row r="7369" customFormat="false" ht="15.75" hidden="false" customHeight="false" outlineLevel="0" collapsed="false">
      <c r="A7369" s="6" t="n">
        <v>46187</v>
      </c>
      <c r="B7369" s="4" t="s">
        <v>1237</v>
      </c>
      <c r="C7369" s="4" t="n">
        <v>4</v>
      </c>
      <c r="D7369" s="4" t="n">
        <v>7</v>
      </c>
      <c r="E7369" s="4" t="s">
        <v>5334</v>
      </c>
      <c r="F7369" s="4" t="n">
        <v>15</v>
      </c>
      <c r="G7369" s="4" t="n">
        <v>8</v>
      </c>
      <c r="H7369" s="4" t="n">
        <v>4</v>
      </c>
      <c r="I7369" s="4" t="str">
        <v>×</v>
      </c>
      <c r="J7369" s="4"/>
      <c r="K7369" s="4"/>
      <c r="L7369" s="4"/>
      <c r="M7369" s="5" t="s">
        <v>4475</v>
      </c>
    </row>
    <row r="7370" customFormat="false" ht="15.75" hidden="false" customHeight="false" outlineLevel="0" collapsed="false">
      <c r="A7370" s="6" t="n">
        <v>46187</v>
      </c>
      <c r="B7370" s="4" t="s">
        <v>1237</v>
      </c>
      <c r="C7370" s="4" t="n">
        <v>4</v>
      </c>
      <c r="D7370" s="4" t="n">
        <v>8</v>
      </c>
      <c r="E7370" s="4" t="s">
        <v>387</v>
      </c>
      <c r="F7370" s="4" t="n">
        <v>25</v>
      </c>
      <c r="G7370" s="4" t="n">
        <v>5</v>
      </c>
      <c r="H7370" s="4" t="n">
        <v>4</v>
      </c>
      <c r="I7370" s="4" t="str">
        <v>×</v>
      </c>
      <c r="J7370" s="4"/>
      <c r="K7370" s="4"/>
      <c r="L7370" s="4"/>
      <c r="M7370" s="5" t="s">
        <v>4475</v>
      </c>
    </row>
    <row r="7371" customFormat="false" ht="15.75" hidden="false" customHeight="false" outlineLevel="0" collapsed="false">
      <c r="A7371" s="6" t="n">
        <v>46187</v>
      </c>
      <c r="B7371" s="4" t="s">
        <v>1237</v>
      </c>
      <c r="C7371" s="4" t="n">
        <v>4</v>
      </c>
      <c r="D7371" s="4" t="n">
        <v>9</v>
      </c>
      <c r="E7371" s="4" t="s">
        <v>1741</v>
      </c>
      <c r="F7371" s="4" t="n">
        <v>17</v>
      </c>
      <c r="G7371" s="4" t="n">
        <v>7</v>
      </c>
      <c r="H7371" s="4" t="n">
        <v>4</v>
      </c>
      <c r="I7371" s="4" t="str">
        <v>×</v>
      </c>
      <c r="J7371" s="4"/>
      <c r="K7371" s="4"/>
      <c r="L7371" s="4"/>
      <c r="M7371" s="5" t="s">
        <v>4475</v>
      </c>
    </row>
    <row r="7372" customFormat="false" ht="15.75" hidden="false" customHeight="false" outlineLevel="0" collapsed="false">
      <c r="A7372" s="6" t="n">
        <v>46187</v>
      </c>
      <c r="B7372" s="4" t="s">
        <v>1237</v>
      </c>
      <c r="C7372" s="4" t="n">
        <v>4</v>
      </c>
      <c r="D7372" s="4" t="n">
        <v>10</v>
      </c>
      <c r="E7372" s="4" t="s">
        <v>3524</v>
      </c>
      <c r="F7372" s="4" t="n">
        <v>20</v>
      </c>
      <c r="G7372" s="4" t="n">
        <v>6</v>
      </c>
      <c r="H7372" s="4" t="n">
        <v>4</v>
      </c>
      <c r="I7372" s="4" t="str">
        <v>×</v>
      </c>
      <c r="J7372" s="4"/>
      <c r="K7372" s="4"/>
      <c r="L7372" s="4"/>
      <c r="M7372" s="5" t="s">
        <v>4475</v>
      </c>
    </row>
    <row r="7373" customFormat="false" ht="15.75" hidden="false" customHeight="false" outlineLevel="0" collapsed="false">
      <c r="A7373" s="6" t="n">
        <v>46187</v>
      </c>
      <c r="B7373" s="4" t="s">
        <v>1237</v>
      </c>
      <c r="C7373" s="4" t="n">
        <v>4</v>
      </c>
      <c r="D7373" s="4" t="n">
        <v>11</v>
      </c>
      <c r="E7373" s="4" t="s">
        <v>2570</v>
      </c>
      <c r="F7373" s="4" t="n">
        <v>8</v>
      </c>
      <c r="G7373" s="4" t="n">
        <v>10</v>
      </c>
      <c r="H7373" s="4" t="n">
        <v>4</v>
      </c>
      <c r="I7373" s="4" t="str">
        <v>×</v>
      </c>
      <c r="J7373" s="4"/>
      <c r="K7373" s="4"/>
      <c r="L7373" s="4"/>
      <c r="M7373" s="5" t="s">
        <v>4475</v>
      </c>
    </row>
    <row r="7374" customFormat="false" ht="15.75" hidden="false" customHeight="false" outlineLevel="0" collapsed="false">
      <c r="A7374" s="6" t="n">
        <v>46187</v>
      </c>
      <c r="B7374" s="4" t="s">
        <v>1237</v>
      </c>
      <c r="C7374" s="4" t="n">
        <v>4</v>
      </c>
      <c r="D7374" s="4" t="n">
        <v>12</v>
      </c>
      <c r="E7374" s="4" t="s">
        <v>1300</v>
      </c>
      <c r="F7374" s="4" t="n">
        <v>58</v>
      </c>
      <c r="G7374" s="4" t="n">
        <v>1</v>
      </c>
      <c r="H7374" s="4" t="n">
        <v>2</v>
      </c>
      <c r="I7374" s="4" t="str">
        <v>○</v>
      </c>
      <c r="J7374" s="4" t="n">
        <v>200</v>
      </c>
      <c r="K7374" s="4"/>
      <c r="L7374" s="4"/>
      <c r="M7374" s="5" t="s">
        <v>4475</v>
      </c>
    </row>
    <row r="7375" customFormat="false" ht="15.75" hidden="false" customHeight="false" outlineLevel="0" collapsed="false">
      <c r="A7375" s="6" t="n">
        <v>46187</v>
      </c>
      <c r="B7375" s="4" t="s">
        <v>1237</v>
      </c>
      <c r="C7375" s="4" t="n">
        <v>4</v>
      </c>
      <c r="D7375" s="4" t="n">
        <v>13</v>
      </c>
      <c r="E7375" s="4" t="s">
        <v>855</v>
      </c>
      <c r="F7375" s="4" t="n">
        <v>20</v>
      </c>
      <c r="G7375" s="4" t="n">
        <v>6</v>
      </c>
      <c r="H7375" s="4" t="n">
        <v>4</v>
      </c>
      <c r="I7375" s="4" t="str">
        <v>×</v>
      </c>
      <c r="J7375" s="4"/>
      <c r="K7375" s="4"/>
      <c r="L7375" s="4"/>
      <c r="M7375" s="5" t="s">
        <v>4475</v>
      </c>
    </row>
    <row r="7376" customFormat="false" ht="15.75" hidden="false" customHeight="false" outlineLevel="0" collapsed="false">
      <c r="A7376" s="6" t="n">
        <v>46187</v>
      </c>
      <c r="B7376" s="4" t="s">
        <v>1237</v>
      </c>
      <c r="C7376" s="4" t="n">
        <v>4</v>
      </c>
      <c r="D7376" s="4" t="n">
        <v>14</v>
      </c>
      <c r="E7376" s="4" t="s">
        <v>5335</v>
      </c>
      <c r="F7376" s="4" t="n">
        <v>13</v>
      </c>
      <c r="G7376" s="4" t="n">
        <v>9</v>
      </c>
      <c r="H7376" s="4" t="n">
        <v>4</v>
      </c>
      <c r="I7376" s="4" t="str">
        <v>×</v>
      </c>
      <c r="J7376" s="4"/>
      <c r="K7376" s="4"/>
      <c r="L7376" s="4"/>
      <c r="M7376" s="5" t="s">
        <v>4475</v>
      </c>
    </row>
    <row r="7377" customFormat="false" ht="15.75" hidden="false" customHeight="false" outlineLevel="0" collapsed="false">
      <c r="A7377" s="6" t="n">
        <v>46187</v>
      </c>
      <c r="B7377" s="4" t="s">
        <v>1237</v>
      </c>
      <c r="C7377" s="4" t="n">
        <v>4</v>
      </c>
      <c r="D7377" s="4" t="n">
        <v>15</v>
      </c>
      <c r="E7377" s="4" t="s">
        <v>1283</v>
      </c>
      <c r="F7377" s="4" t="n">
        <v>2</v>
      </c>
      <c r="G7377" s="4" t="n">
        <v>11</v>
      </c>
      <c r="H7377" s="4" t="n">
        <v>4</v>
      </c>
      <c r="I7377" s="4" t="str">
        <v>×</v>
      </c>
      <c r="J7377" s="4"/>
      <c r="K7377" s="4"/>
      <c r="L7377" s="4"/>
      <c r="M7377" s="5" t="s">
        <v>4475</v>
      </c>
    </row>
    <row r="7378" customFormat="false" ht="15.75" hidden="false" customHeight="false" outlineLevel="0" collapsed="false">
      <c r="A7378" s="6" t="n">
        <v>46187</v>
      </c>
      <c r="B7378" s="4" t="s">
        <v>1237</v>
      </c>
      <c r="C7378" s="4" t="n">
        <v>4</v>
      </c>
      <c r="D7378" s="4" t="n">
        <v>16</v>
      </c>
      <c r="E7378" s="4" t="s">
        <v>1762</v>
      </c>
      <c r="F7378" s="4" t="n">
        <v>13</v>
      </c>
      <c r="G7378" s="4" t="n">
        <v>9</v>
      </c>
      <c r="H7378" s="4" t="n">
        <v>4</v>
      </c>
      <c r="I7378" s="4" t="str">
        <v>×</v>
      </c>
      <c r="J7378" s="4"/>
      <c r="K7378" s="4"/>
      <c r="L7378" s="4"/>
      <c r="M7378" s="5" t="s">
        <v>4475</v>
      </c>
    </row>
    <row r="7379" customFormat="false" ht="15.75" hidden="false" customHeight="false" outlineLevel="0" collapsed="false">
      <c r="A7379" s="6" t="n">
        <v>46187</v>
      </c>
      <c r="B7379" s="4" t="s">
        <v>1237</v>
      </c>
      <c r="C7379" s="4" t="n">
        <v>5</v>
      </c>
      <c r="D7379" s="4" t="n">
        <v>1</v>
      </c>
      <c r="E7379" s="4" t="s">
        <v>1245</v>
      </c>
      <c r="F7379" s="4" t="n">
        <v>27</v>
      </c>
      <c r="G7379" s="4" t="n">
        <v>1</v>
      </c>
      <c r="H7379" s="4" t="n">
        <v>4</v>
      </c>
      <c r="I7379" s="4" t="str">
        <v>×</v>
      </c>
      <c r="J7379" s="4"/>
      <c r="K7379" s="4"/>
      <c r="L7379" s="4"/>
      <c r="M7379" s="5" t="s">
        <v>4475</v>
      </c>
    </row>
    <row r="7380" customFormat="false" ht="15.75" hidden="false" customHeight="false" outlineLevel="0" collapsed="false">
      <c r="A7380" s="6" t="n">
        <v>46187</v>
      </c>
      <c r="B7380" s="4" t="s">
        <v>1237</v>
      </c>
      <c r="C7380" s="4" t="n">
        <v>5</v>
      </c>
      <c r="D7380" s="4" t="n">
        <v>2</v>
      </c>
      <c r="E7380" s="4" t="s">
        <v>2925</v>
      </c>
      <c r="F7380" s="4" t="n">
        <v>24</v>
      </c>
      <c r="G7380" s="4" t="n">
        <v>2</v>
      </c>
      <c r="H7380" s="4" t="n">
        <v>4</v>
      </c>
      <c r="I7380" s="4" t="str">
        <v>×</v>
      </c>
      <c r="J7380" s="4"/>
      <c r="K7380" s="4"/>
      <c r="L7380" s="4"/>
      <c r="M7380" s="5" t="s">
        <v>4475</v>
      </c>
    </row>
    <row r="7381" customFormat="false" ht="15.75" hidden="false" customHeight="false" outlineLevel="0" collapsed="false">
      <c r="A7381" s="6" t="n">
        <v>46187</v>
      </c>
      <c r="B7381" s="4" t="s">
        <v>1237</v>
      </c>
      <c r="C7381" s="4" t="n">
        <v>5</v>
      </c>
      <c r="D7381" s="4" t="n">
        <v>3</v>
      </c>
      <c r="E7381" s="4" t="s">
        <v>1845</v>
      </c>
      <c r="F7381" s="4" t="n">
        <v>24</v>
      </c>
      <c r="G7381" s="4" t="n">
        <v>2</v>
      </c>
      <c r="H7381" s="4" t="n">
        <v>1</v>
      </c>
      <c r="I7381" s="4" t="str">
        <v>○</v>
      </c>
      <c r="J7381" s="4" t="n">
        <v>280</v>
      </c>
      <c r="K7381" s="4"/>
      <c r="L7381" s="4"/>
      <c r="M7381" s="5" t="s">
        <v>4475</v>
      </c>
    </row>
    <row r="7382" customFormat="false" ht="15.75" hidden="false" customHeight="false" outlineLevel="0" collapsed="false">
      <c r="A7382" s="6" t="n">
        <v>46187</v>
      </c>
      <c r="B7382" s="4" t="s">
        <v>1237</v>
      </c>
      <c r="C7382" s="4" t="n">
        <v>5</v>
      </c>
      <c r="D7382" s="4" t="n">
        <v>4</v>
      </c>
      <c r="E7382" s="4" t="s">
        <v>5336</v>
      </c>
      <c r="F7382" s="4" t="n">
        <v>27</v>
      </c>
      <c r="G7382" s="4" t="n">
        <v>1</v>
      </c>
      <c r="H7382" s="4" t="n">
        <v>4</v>
      </c>
      <c r="I7382" s="4" t="str">
        <v>×</v>
      </c>
      <c r="J7382" s="4"/>
      <c r="K7382" s="4"/>
      <c r="L7382" s="4"/>
      <c r="M7382" s="5" t="s">
        <v>4475</v>
      </c>
    </row>
    <row r="7383" customFormat="false" ht="15.75" hidden="false" customHeight="false" outlineLevel="0" collapsed="false">
      <c r="A7383" s="6" t="n">
        <v>46187</v>
      </c>
      <c r="B7383" s="4" t="s">
        <v>1237</v>
      </c>
      <c r="C7383" s="4" t="n">
        <v>5</v>
      </c>
      <c r="D7383" s="4" t="n">
        <v>5</v>
      </c>
      <c r="E7383" s="4" t="s">
        <v>3503</v>
      </c>
      <c r="F7383" s="4" t="n">
        <v>24</v>
      </c>
      <c r="G7383" s="4" t="n">
        <v>2</v>
      </c>
      <c r="H7383" s="4" t="n">
        <v>3</v>
      </c>
      <c r="I7383" s="4" t="str">
        <v>○</v>
      </c>
      <c r="J7383" s="4" t="n">
        <v>130</v>
      </c>
      <c r="K7383" s="4"/>
      <c r="L7383" s="4"/>
      <c r="M7383" s="5" t="s">
        <v>4475</v>
      </c>
    </row>
    <row r="7384" customFormat="false" ht="15.75" hidden="false" customHeight="false" outlineLevel="0" collapsed="false">
      <c r="A7384" s="6" t="n">
        <v>46187</v>
      </c>
      <c r="B7384" s="4" t="s">
        <v>1237</v>
      </c>
      <c r="C7384" s="4" t="n">
        <v>5</v>
      </c>
      <c r="D7384" s="4" t="n">
        <v>6</v>
      </c>
      <c r="E7384" s="4" t="s">
        <v>1722</v>
      </c>
      <c r="F7384" s="4" t="n">
        <v>16</v>
      </c>
      <c r="G7384" s="4" t="n">
        <v>4</v>
      </c>
      <c r="H7384" s="4" t="n">
        <v>2</v>
      </c>
      <c r="I7384" s="4" t="str">
        <v>○</v>
      </c>
      <c r="J7384" s="4" t="n">
        <v>160</v>
      </c>
      <c r="K7384" s="4"/>
      <c r="L7384" s="4"/>
      <c r="M7384" s="5" t="s">
        <v>4475</v>
      </c>
    </row>
    <row r="7385" customFormat="false" ht="15.75" hidden="false" customHeight="false" outlineLevel="0" collapsed="false">
      <c r="A7385" s="6" t="n">
        <v>46187</v>
      </c>
      <c r="B7385" s="4" t="s">
        <v>1237</v>
      </c>
      <c r="C7385" s="4" t="n">
        <v>5</v>
      </c>
      <c r="D7385" s="4" t="n">
        <v>7</v>
      </c>
      <c r="E7385" s="4" t="s">
        <v>345</v>
      </c>
      <c r="F7385" s="4" t="n">
        <v>24</v>
      </c>
      <c r="G7385" s="4" t="n">
        <v>2</v>
      </c>
      <c r="H7385" s="4" t="n">
        <v>4</v>
      </c>
      <c r="I7385" s="4" t="str">
        <v>×</v>
      </c>
      <c r="J7385" s="4"/>
      <c r="K7385" s="4"/>
      <c r="L7385" s="4"/>
      <c r="M7385" s="5" t="s">
        <v>4475</v>
      </c>
    </row>
    <row r="7386" customFormat="false" ht="15.75" hidden="false" customHeight="false" outlineLevel="0" collapsed="false">
      <c r="A7386" s="6" t="n">
        <v>46187</v>
      </c>
      <c r="B7386" s="4" t="s">
        <v>1237</v>
      </c>
      <c r="C7386" s="4" t="n">
        <v>5</v>
      </c>
      <c r="D7386" s="4" t="n">
        <v>8</v>
      </c>
      <c r="E7386" s="4" t="s">
        <v>3500</v>
      </c>
      <c r="F7386" s="4" t="n">
        <v>21</v>
      </c>
      <c r="G7386" s="4" t="n">
        <v>3</v>
      </c>
      <c r="H7386" s="4" t="n">
        <v>4</v>
      </c>
      <c r="I7386" s="4" t="str">
        <v>×</v>
      </c>
      <c r="J7386" s="4"/>
      <c r="K7386" s="4"/>
      <c r="L7386" s="4"/>
      <c r="M7386" s="5" t="s">
        <v>4475</v>
      </c>
    </row>
    <row r="7387" customFormat="false" ht="15.75" hidden="false" customHeight="false" outlineLevel="0" collapsed="false">
      <c r="A7387" s="6" t="n">
        <v>46187</v>
      </c>
      <c r="B7387" s="4" t="s">
        <v>1237</v>
      </c>
      <c r="C7387" s="4" t="n">
        <v>6</v>
      </c>
      <c r="D7387" s="4" t="n">
        <v>1</v>
      </c>
      <c r="E7387" s="4" t="s">
        <v>2566</v>
      </c>
      <c r="F7387" s="4" t="n">
        <v>13</v>
      </c>
      <c r="G7387" s="4" t="n">
        <v>6</v>
      </c>
      <c r="H7387" s="4" t="n">
        <v>4</v>
      </c>
      <c r="I7387" s="4" t="str">
        <v>×</v>
      </c>
      <c r="J7387" s="4"/>
      <c r="K7387" s="4"/>
      <c r="L7387" s="4"/>
      <c r="M7387" s="5" t="s">
        <v>4475</v>
      </c>
    </row>
    <row r="7388" customFormat="false" ht="15.75" hidden="false" customHeight="false" outlineLevel="0" collapsed="false">
      <c r="A7388" s="6" t="n">
        <v>46187</v>
      </c>
      <c r="B7388" s="4" t="s">
        <v>1237</v>
      </c>
      <c r="C7388" s="4" t="n">
        <v>6</v>
      </c>
      <c r="D7388" s="4" t="n">
        <v>2</v>
      </c>
      <c r="E7388" s="4" t="s">
        <v>1336</v>
      </c>
      <c r="F7388" s="4" t="n">
        <v>74</v>
      </c>
      <c r="G7388" s="4" t="n">
        <v>1</v>
      </c>
      <c r="H7388" s="4" t="n">
        <v>2</v>
      </c>
      <c r="I7388" s="4" t="str">
        <v>○</v>
      </c>
      <c r="J7388" s="4" t="n">
        <v>110</v>
      </c>
      <c r="K7388" s="4"/>
      <c r="L7388" s="4"/>
      <c r="M7388" s="5" t="s">
        <v>4475</v>
      </c>
    </row>
    <row r="7389" customFormat="false" ht="15.75" hidden="false" customHeight="false" outlineLevel="0" collapsed="false">
      <c r="A7389" s="6" t="n">
        <v>46187</v>
      </c>
      <c r="B7389" s="4" t="s">
        <v>1237</v>
      </c>
      <c r="C7389" s="4" t="n">
        <v>6</v>
      </c>
      <c r="D7389" s="4" t="n">
        <v>3</v>
      </c>
      <c r="E7389" s="4" t="s">
        <v>4255</v>
      </c>
      <c r="F7389" s="4" t="n">
        <v>23</v>
      </c>
      <c r="G7389" s="4" t="n">
        <v>4</v>
      </c>
      <c r="H7389" s="4" t="n">
        <v>1</v>
      </c>
      <c r="I7389" s="4" t="str">
        <v>○</v>
      </c>
      <c r="J7389" s="4" t="n">
        <v>760</v>
      </c>
      <c r="K7389" s="4"/>
      <c r="L7389" s="4"/>
      <c r="M7389" s="5" t="s">
        <v>4475</v>
      </c>
    </row>
    <row r="7390" customFormat="false" ht="15.75" hidden="false" customHeight="false" outlineLevel="0" collapsed="false">
      <c r="A7390" s="6" t="n">
        <v>46187</v>
      </c>
      <c r="B7390" s="4" t="s">
        <v>1237</v>
      </c>
      <c r="C7390" s="4" t="n">
        <v>6</v>
      </c>
      <c r="D7390" s="4" t="n">
        <v>4</v>
      </c>
      <c r="E7390" s="4" t="s">
        <v>3523</v>
      </c>
      <c r="F7390" s="4" t="n">
        <v>29</v>
      </c>
      <c r="G7390" s="4" t="n">
        <v>3</v>
      </c>
      <c r="H7390" s="4" t="n">
        <v>4</v>
      </c>
      <c r="I7390" s="4" t="str">
        <v>×</v>
      </c>
      <c r="J7390" s="4"/>
      <c r="K7390" s="4"/>
      <c r="L7390" s="4"/>
      <c r="M7390" s="5" t="s">
        <v>4475</v>
      </c>
    </row>
    <row r="7391" customFormat="false" ht="15.75" hidden="false" customHeight="false" outlineLevel="0" collapsed="false">
      <c r="A7391" s="6" t="n">
        <v>46187</v>
      </c>
      <c r="B7391" s="4" t="s">
        <v>1237</v>
      </c>
      <c r="C7391" s="4" t="n">
        <v>6</v>
      </c>
      <c r="D7391" s="4" t="n">
        <v>5</v>
      </c>
      <c r="E7391" s="4" t="s">
        <v>2597</v>
      </c>
      <c r="F7391" s="4" t="n">
        <v>8</v>
      </c>
      <c r="G7391" s="4" t="n">
        <v>7</v>
      </c>
      <c r="H7391" s="4" t="n">
        <v>3</v>
      </c>
      <c r="I7391" s="4" t="str">
        <v>○</v>
      </c>
      <c r="J7391" s="4" t="n">
        <v>1090</v>
      </c>
      <c r="K7391" s="4"/>
      <c r="L7391" s="4"/>
      <c r="M7391" s="5" t="s">
        <v>4475</v>
      </c>
    </row>
    <row r="7392" customFormat="false" ht="15.75" hidden="false" customHeight="false" outlineLevel="0" collapsed="false">
      <c r="A7392" s="6" t="n">
        <v>46187</v>
      </c>
      <c r="B7392" s="4" t="s">
        <v>1237</v>
      </c>
      <c r="C7392" s="4" t="n">
        <v>6</v>
      </c>
      <c r="D7392" s="4" t="n">
        <v>6</v>
      </c>
      <c r="E7392" s="4" t="s">
        <v>388</v>
      </c>
      <c r="F7392" s="4" t="n">
        <v>4</v>
      </c>
      <c r="G7392" s="4" t="n">
        <v>8</v>
      </c>
      <c r="H7392" s="4" t="n">
        <v>4</v>
      </c>
      <c r="I7392" s="4" t="str">
        <v>×</v>
      </c>
      <c r="J7392" s="4"/>
      <c r="K7392" s="4"/>
      <c r="L7392" s="4"/>
      <c r="M7392" s="5" t="s">
        <v>4475</v>
      </c>
    </row>
    <row r="7393" customFormat="false" ht="15.75" hidden="false" customHeight="false" outlineLevel="0" collapsed="false">
      <c r="A7393" s="6" t="n">
        <v>46187</v>
      </c>
      <c r="B7393" s="4" t="s">
        <v>1237</v>
      </c>
      <c r="C7393" s="4" t="n">
        <v>6</v>
      </c>
      <c r="D7393" s="4" t="n">
        <v>7</v>
      </c>
      <c r="E7393" s="4" t="s">
        <v>367</v>
      </c>
      <c r="F7393" s="4" t="n">
        <v>8</v>
      </c>
      <c r="G7393" s="4" t="n">
        <v>7</v>
      </c>
      <c r="H7393" s="4" t="n">
        <v>4</v>
      </c>
      <c r="I7393" s="4" t="str">
        <v>×</v>
      </c>
      <c r="J7393" s="4"/>
      <c r="K7393" s="4"/>
      <c r="L7393" s="4"/>
      <c r="M7393" s="5" t="s">
        <v>4475</v>
      </c>
    </row>
    <row r="7394" customFormat="false" ht="15.75" hidden="false" customHeight="false" outlineLevel="0" collapsed="false">
      <c r="A7394" s="6" t="n">
        <v>46187</v>
      </c>
      <c r="B7394" s="4" t="s">
        <v>1237</v>
      </c>
      <c r="C7394" s="4" t="n">
        <v>6</v>
      </c>
      <c r="D7394" s="4" t="n">
        <v>8</v>
      </c>
      <c r="E7394" s="4" t="s">
        <v>1761</v>
      </c>
      <c r="F7394" s="4" t="n">
        <v>29</v>
      </c>
      <c r="G7394" s="4" t="n">
        <v>3</v>
      </c>
      <c r="H7394" s="4" t="n">
        <v>4</v>
      </c>
      <c r="I7394" s="4" t="str">
        <v>×</v>
      </c>
      <c r="J7394" s="4"/>
      <c r="K7394" s="4"/>
      <c r="L7394" s="4"/>
      <c r="M7394" s="5" t="s">
        <v>4475</v>
      </c>
    </row>
    <row r="7395" customFormat="false" ht="15.75" hidden="false" customHeight="false" outlineLevel="0" collapsed="false">
      <c r="A7395" s="6" t="n">
        <v>46187</v>
      </c>
      <c r="B7395" s="4" t="s">
        <v>1237</v>
      </c>
      <c r="C7395" s="4" t="n">
        <v>6</v>
      </c>
      <c r="D7395" s="4" t="n">
        <v>9</v>
      </c>
      <c r="E7395" s="4" t="s">
        <v>2926</v>
      </c>
      <c r="F7395" s="4" t="n">
        <v>15</v>
      </c>
      <c r="G7395" s="4" t="n">
        <v>5</v>
      </c>
      <c r="H7395" s="4" t="n">
        <v>4</v>
      </c>
      <c r="I7395" s="4" t="str">
        <v>×</v>
      </c>
      <c r="J7395" s="4"/>
      <c r="K7395" s="4"/>
      <c r="L7395" s="4"/>
      <c r="M7395" s="5" t="s">
        <v>4475</v>
      </c>
    </row>
    <row r="7396" customFormat="false" ht="15.75" hidden="false" customHeight="false" outlineLevel="0" collapsed="false">
      <c r="A7396" s="6" t="n">
        <v>46187</v>
      </c>
      <c r="B7396" s="4" t="s">
        <v>1237</v>
      </c>
      <c r="C7396" s="4" t="n">
        <v>6</v>
      </c>
      <c r="D7396" s="4" t="n">
        <v>10</v>
      </c>
      <c r="E7396" s="4" t="s">
        <v>5337</v>
      </c>
      <c r="F7396" s="4" t="n">
        <v>3</v>
      </c>
      <c r="G7396" s="4" t="n">
        <v>9</v>
      </c>
      <c r="H7396" s="4" t="n">
        <v>4</v>
      </c>
      <c r="I7396" s="4" t="str">
        <v>×</v>
      </c>
      <c r="J7396" s="4"/>
      <c r="K7396" s="4"/>
      <c r="L7396" s="4"/>
      <c r="M7396" s="5" t="s">
        <v>4475</v>
      </c>
    </row>
    <row r="7397" customFormat="false" ht="15.75" hidden="false" customHeight="false" outlineLevel="0" collapsed="false">
      <c r="A7397" s="6" t="n">
        <v>46187</v>
      </c>
      <c r="B7397" s="4" t="s">
        <v>1237</v>
      </c>
      <c r="C7397" s="4" t="n">
        <v>6</v>
      </c>
      <c r="D7397" s="4" t="n">
        <v>11</v>
      </c>
      <c r="E7397" s="4" t="s">
        <v>4433</v>
      </c>
      <c r="F7397" s="4" t="n">
        <v>29</v>
      </c>
      <c r="G7397" s="4" t="n">
        <v>3</v>
      </c>
      <c r="H7397" s="4" t="n">
        <v>4</v>
      </c>
      <c r="I7397" s="4" t="str">
        <v>×</v>
      </c>
      <c r="J7397" s="4"/>
      <c r="K7397" s="4"/>
      <c r="L7397" s="4"/>
      <c r="M7397" s="5" t="s">
        <v>4475</v>
      </c>
    </row>
    <row r="7398" customFormat="false" ht="15.75" hidden="false" customHeight="false" outlineLevel="0" collapsed="false">
      <c r="A7398" s="6" t="n">
        <v>46187</v>
      </c>
      <c r="B7398" s="4" t="s">
        <v>1237</v>
      </c>
      <c r="C7398" s="4" t="n">
        <v>6</v>
      </c>
      <c r="D7398" s="4" t="n">
        <v>12</v>
      </c>
      <c r="E7398" s="4" t="s">
        <v>2929</v>
      </c>
      <c r="F7398" s="4" t="n">
        <v>8</v>
      </c>
      <c r="G7398" s="4" t="n">
        <v>7</v>
      </c>
      <c r="H7398" s="4" t="n">
        <v>4</v>
      </c>
      <c r="I7398" s="4" t="str">
        <v>×</v>
      </c>
      <c r="J7398" s="4"/>
      <c r="K7398" s="4"/>
      <c r="L7398" s="4"/>
      <c r="M7398" s="5" t="s">
        <v>4475</v>
      </c>
    </row>
    <row r="7399" customFormat="false" ht="15.75" hidden="false" customHeight="false" outlineLevel="0" collapsed="false">
      <c r="A7399" s="6" t="n">
        <v>46187</v>
      </c>
      <c r="B7399" s="4" t="s">
        <v>1237</v>
      </c>
      <c r="C7399" s="4" t="n">
        <v>6</v>
      </c>
      <c r="D7399" s="4" t="n">
        <v>13</v>
      </c>
      <c r="E7399" s="4"/>
      <c r="F7399" s="4" t="n">
        <v>15</v>
      </c>
      <c r="G7399" s="4" t="n">
        <v>5</v>
      </c>
      <c r="H7399" s="4"/>
      <c r="I7399" s="4" t="str">
        <v/>
      </c>
      <c r="J7399" s="4"/>
      <c r="K7399" s="4"/>
      <c r="L7399" s="4"/>
      <c r="M7399" s="5" t="s">
        <v>4475</v>
      </c>
    </row>
    <row r="7400" customFormat="false" ht="15.75" hidden="false" customHeight="false" outlineLevel="0" collapsed="false">
      <c r="A7400" s="6" t="n">
        <v>46187</v>
      </c>
      <c r="B7400" s="4" t="s">
        <v>1237</v>
      </c>
      <c r="C7400" s="4" t="n">
        <v>6</v>
      </c>
      <c r="D7400" s="4" t="n">
        <v>14</v>
      </c>
      <c r="E7400" s="4" t="s">
        <v>1007</v>
      </c>
      <c r="F7400" s="4" t="n">
        <v>29</v>
      </c>
      <c r="G7400" s="4" t="n">
        <v>3</v>
      </c>
      <c r="H7400" s="4" t="n">
        <v>4</v>
      </c>
      <c r="I7400" s="4" t="str">
        <v>×</v>
      </c>
      <c r="J7400" s="4"/>
      <c r="K7400" s="4"/>
      <c r="L7400" s="4"/>
      <c r="M7400" s="5" t="s">
        <v>4475</v>
      </c>
    </row>
    <row r="7401" customFormat="false" ht="15.75" hidden="false" customHeight="false" outlineLevel="0" collapsed="false">
      <c r="A7401" s="6" t="n">
        <v>46187</v>
      </c>
      <c r="B7401" s="4" t="s">
        <v>1237</v>
      </c>
      <c r="C7401" s="4" t="n">
        <v>6</v>
      </c>
      <c r="D7401" s="4" t="n">
        <v>15</v>
      </c>
      <c r="E7401" s="4" t="s">
        <v>618</v>
      </c>
      <c r="F7401" s="4" t="n">
        <v>31</v>
      </c>
      <c r="G7401" s="4" t="n">
        <v>2</v>
      </c>
      <c r="H7401" s="4" t="n">
        <v>4</v>
      </c>
      <c r="I7401" s="4" t="str">
        <v>×</v>
      </c>
      <c r="J7401" s="4"/>
      <c r="K7401" s="4"/>
      <c r="L7401" s="4"/>
      <c r="M7401" s="5" t="s">
        <v>4475</v>
      </c>
    </row>
    <row r="7402" customFormat="false" ht="15.75" hidden="false" customHeight="false" outlineLevel="0" collapsed="false">
      <c r="A7402" s="6" t="n">
        <v>46187</v>
      </c>
      <c r="B7402" s="4" t="s">
        <v>1237</v>
      </c>
      <c r="C7402" s="4" t="n">
        <v>6</v>
      </c>
      <c r="D7402" s="4" t="n">
        <v>16</v>
      </c>
      <c r="E7402" s="4" t="s">
        <v>5338</v>
      </c>
      <c r="F7402" s="4" t="n">
        <v>8</v>
      </c>
      <c r="G7402" s="4" t="n">
        <v>7</v>
      </c>
      <c r="H7402" s="4" t="n">
        <v>4</v>
      </c>
      <c r="I7402" s="4" t="str">
        <v>×</v>
      </c>
      <c r="J7402" s="4"/>
      <c r="K7402" s="4"/>
      <c r="L7402" s="4"/>
      <c r="M7402" s="5" t="s">
        <v>4475</v>
      </c>
    </row>
    <row r="7403" customFormat="false" ht="15.75" hidden="false" customHeight="false" outlineLevel="0" collapsed="false">
      <c r="A7403" s="6" t="n">
        <v>46187</v>
      </c>
      <c r="B7403" s="4" t="s">
        <v>1237</v>
      </c>
      <c r="C7403" s="4" t="n">
        <v>7</v>
      </c>
      <c r="D7403" s="4" t="n">
        <v>1</v>
      </c>
      <c r="E7403" s="4" t="s">
        <v>1814</v>
      </c>
      <c r="F7403" s="4" t="n">
        <v>44</v>
      </c>
      <c r="G7403" s="4" t="n">
        <v>2</v>
      </c>
      <c r="H7403" s="4" t="n">
        <v>4</v>
      </c>
      <c r="I7403" s="4" t="str">
        <v>×</v>
      </c>
      <c r="J7403" s="4"/>
      <c r="K7403" s="4"/>
      <c r="L7403" s="4"/>
      <c r="M7403" s="5" t="s">
        <v>4475</v>
      </c>
    </row>
    <row r="7404" customFormat="false" ht="15.75" hidden="false" customHeight="false" outlineLevel="0" collapsed="false">
      <c r="A7404" s="6" t="n">
        <v>46187</v>
      </c>
      <c r="B7404" s="4" t="s">
        <v>1237</v>
      </c>
      <c r="C7404" s="4" t="n">
        <v>7</v>
      </c>
      <c r="D7404" s="4" t="n">
        <v>2</v>
      </c>
      <c r="E7404" s="4" t="s">
        <v>3284</v>
      </c>
      <c r="F7404" s="4" t="n">
        <v>20</v>
      </c>
      <c r="G7404" s="4" t="n">
        <v>4</v>
      </c>
      <c r="H7404" s="4" t="n">
        <v>4</v>
      </c>
      <c r="I7404" s="4" t="str">
        <v>×</v>
      </c>
      <c r="J7404" s="4"/>
      <c r="K7404" s="4"/>
      <c r="L7404" s="4"/>
      <c r="M7404" s="5" t="s">
        <v>4475</v>
      </c>
    </row>
    <row r="7405" customFormat="false" ht="15.75" hidden="false" customHeight="false" outlineLevel="0" collapsed="false">
      <c r="A7405" s="6" t="n">
        <v>46187</v>
      </c>
      <c r="B7405" s="4" t="s">
        <v>1237</v>
      </c>
      <c r="C7405" s="4" t="n">
        <v>7</v>
      </c>
      <c r="D7405" s="4" t="n">
        <v>3</v>
      </c>
      <c r="E7405" s="4" t="s">
        <v>3287</v>
      </c>
      <c r="F7405" s="4" t="n">
        <v>6</v>
      </c>
      <c r="G7405" s="4" t="n">
        <v>9</v>
      </c>
      <c r="H7405" s="4" t="n">
        <v>4</v>
      </c>
      <c r="I7405" s="4" t="str">
        <v>×</v>
      </c>
      <c r="J7405" s="4"/>
      <c r="K7405" s="4"/>
      <c r="L7405" s="4"/>
      <c r="M7405" s="5" t="s">
        <v>4475</v>
      </c>
    </row>
    <row r="7406" customFormat="false" ht="15.75" hidden="false" customHeight="false" outlineLevel="0" collapsed="false">
      <c r="A7406" s="6" t="n">
        <v>46187</v>
      </c>
      <c r="B7406" s="4" t="s">
        <v>1237</v>
      </c>
      <c r="C7406" s="4" t="n">
        <v>7</v>
      </c>
      <c r="D7406" s="4" t="n">
        <v>4</v>
      </c>
      <c r="E7406" s="4" t="s">
        <v>4445</v>
      </c>
      <c r="F7406" s="4" t="n">
        <v>8</v>
      </c>
      <c r="G7406" s="4" t="n">
        <v>8</v>
      </c>
      <c r="H7406" s="4" t="n">
        <v>3</v>
      </c>
      <c r="I7406" s="4" t="str">
        <v>○</v>
      </c>
      <c r="J7406" s="4" t="n">
        <v>1310</v>
      </c>
      <c r="K7406" s="4"/>
      <c r="L7406" s="4"/>
      <c r="M7406" s="5" t="s">
        <v>4475</v>
      </c>
    </row>
    <row r="7407" customFormat="false" ht="15.75" hidden="false" customHeight="false" outlineLevel="0" collapsed="false">
      <c r="A7407" s="6" t="n">
        <v>46187</v>
      </c>
      <c r="B7407" s="4" t="s">
        <v>1237</v>
      </c>
      <c r="C7407" s="4" t="n">
        <v>7</v>
      </c>
      <c r="D7407" s="4" t="n">
        <v>5</v>
      </c>
      <c r="E7407" s="4" t="s">
        <v>3286</v>
      </c>
      <c r="F7407" s="4" t="n">
        <v>2</v>
      </c>
      <c r="G7407" s="4" t="n">
        <v>10</v>
      </c>
      <c r="H7407" s="4" t="n">
        <v>4</v>
      </c>
      <c r="I7407" s="4" t="str">
        <v>×</v>
      </c>
      <c r="J7407" s="4"/>
      <c r="K7407" s="4"/>
      <c r="L7407" s="4"/>
      <c r="M7407" s="5" t="s">
        <v>4475</v>
      </c>
    </row>
    <row r="7408" customFormat="false" ht="15.75" hidden="false" customHeight="false" outlineLevel="0" collapsed="false">
      <c r="A7408" s="6" t="n">
        <v>46187</v>
      </c>
      <c r="B7408" s="4" t="s">
        <v>1237</v>
      </c>
      <c r="C7408" s="4" t="n">
        <v>7</v>
      </c>
      <c r="D7408" s="4" t="n">
        <v>6</v>
      </c>
      <c r="E7408" s="4" t="s">
        <v>5339</v>
      </c>
      <c r="F7408" s="4" t="n">
        <v>20</v>
      </c>
      <c r="G7408" s="4" t="n">
        <v>4</v>
      </c>
      <c r="H7408" s="4" t="n">
        <v>4</v>
      </c>
      <c r="I7408" s="4" t="str">
        <v>×</v>
      </c>
      <c r="J7408" s="4"/>
      <c r="K7408" s="4"/>
      <c r="L7408" s="4"/>
      <c r="M7408" s="5" t="s">
        <v>4475</v>
      </c>
    </row>
    <row r="7409" customFormat="false" ht="15.75" hidden="false" customHeight="false" outlineLevel="0" collapsed="false">
      <c r="A7409" s="6" t="n">
        <v>46187</v>
      </c>
      <c r="B7409" s="4" t="s">
        <v>1237</v>
      </c>
      <c r="C7409" s="4" t="n">
        <v>7</v>
      </c>
      <c r="D7409" s="4" t="n">
        <v>7</v>
      </c>
      <c r="E7409" s="4" t="s">
        <v>2273</v>
      </c>
      <c r="F7409" s="4" t="n">
        <v>15</v>
      </c>
      <c r="G7409" s="4" t="n">
        <v>6</v>
      </c>
      <c r="H7409" s="4" t="n">
        <v>4</v>
      </c>
      <c r="I7409" s="4" t="str">
        <v>×</v>
      </c>
      <c r="J7409" s="4"/>
      <c r="K7409" s="4"/>
      <c r="L7409" s="4"/>
      <c r="M7409" s="5" t="s">
        <v>4475</v>
      </c>
    </row>
    <row r="7410" customFormat="false" ht="15.75" hidden="false" customHeight="false" outlineLevel="0" collapsed="false">
      <c r="A7410" s="6" t="n">
        <v>46187</v>
      </c>
      <c r="B7410" s="4" t="s">
        <v>1237</v>
      </c>
      <c r="C7410" s="4" t="n">
        <v>7</v>
      </c>
      <c r="D7410" s="4" t="n">
        <v>8</v>
      </c>
      <c r="E7410" s="4" t="s">
        <v>1795</v>
      </c>
      <c r="F7410" s="4" t="n">
        <v>17</v>
      </c>
      <c r="G7410" s="4" t="n">
        <v>5</v>
      </c>
      <c r="H7410" s="4" t="n">
        <v>4</v>
      </c>
      <c r="I7410" s="4" t="str">
        <v>×</v>
      </c>
      <c r="J7410" s="4"/>
      <c r="K7410" s="4"/>
      <c r="L7410" s="4"/>
      <c r="M7410" s="5" t="s">
        <v>4475</v>
      </c>
    </row>
    <row r="7411" customFormat="false" ht="15.75" hidden="false" customHeight="false" outlineLevel="0" collapsed="false">
      <c r="A7411" s="6" t="n">
        <v>46187</v>
      </c>
      <c r="B7411" s="4" t="s">
        <v>1237</v>
      </c>
      <c r="C7411" s="4" t="n">
        <v>7</v>
      </c>
      <c r="D7411" s="4" t="n">
        <v>9</v>
      </c>
      <c r="E7411" s="4" t="s">
        <v>2276</v>
      </c>
      <c r="F7411" s="4" t="n">
        <v>58</v>
      </c>
      <c r="G7411" s="4" t="n">
        <v>1</v>
      </c>
      <c r="H7411" s="4" t="n">
        <v>4</v>
      </c>
      <c r="I7411" s="4" t="str">
        <v>×</v>
      </c>
      <c r="J7411" s="4"/>
      <c r="K7411" s="4"/>
      <c r="L7411" s="4"/>
      <c r="M7411" s="5" t="s">
        <v>4475</v>
      </c>
    </row>
    <row r="7412" customFormat="false" ht="15.75" hidden="false" customHeight="false" outlineLevel="0" collapsed="false">
      <c r="A7412" s="6" t="n">
        <v>46187</v>
      </c>
      <c r="B7412" s="4" t="s">
        <v>1237</v>
      </c>
      <c r="C7412" s="4" t="n">
        <v>7</v>
      </c>
      <c r="D7412" s="4" t="n">
        <v>10</v>
      </c>
      <c r="E7412" s="4" t="s">
        <v>1807</v>
      </c>
      <c r="F7412" s="4" t="n">
        <v>13</v>
      </c>
      <c r="G7412" s="4" t="n">
        <v>7</v>
      </c>
      <c r="H7412" s="4" t="n">
        <v>2</v>
      </c>
      <c r="I7412" s="4" t="str">
        <v>○</v>
      </c>
      <c r="J7412" s="4" t="n">
        <v>750</v>
      </c>
      <c r="K7412" s="4"/>
      <c r="L7412" s="4"/>
      <c r="M7412" s="5" t="s">
        <v>4475</v>
      </c>
    </row>
    <row r="7413" customFormat="false" ht="15.75" hidden="false" customHeight="false" outlineLevel="0" collapsed="false">
      <c r="A7413" s="6" t="n">
        <v>46187</v>
      </c>
      <c r="B7413" s="4" t="s">
        <v>1237</v>
      </c>
      <c r="C7413" s="4" t="n">
        <v>7</v>
      </c>
      <c r="D7413" s="4" t="n">
        <v>11</v>
      </c>
      <c r="E7413" s="4" t="s">
        <v>3283</v>
      </c>
      <c r="F7413" s="4" t="n">
        <v>17</v>
      </c>
      <c r="G7413" s="4" t="n">
        <v>5</v>
      </c>
      <c r="H7413" s="4" t="n">
        <v>4</v>
      </c>
      <c r="I7413" s="4" t="str">
        <v>×</v>
      </c>
      <c r="J7413" s="4"/>
      <c r="K7413" s="4"/>
      <c r="L7413" s="4"/>
      <c r="M7413" s="5" t="s">
        <v>4475</v>
      </c>
    </row>
    <row r="7414" customFormat="false" ht="15.75" hidden="false" customHeight="false" outlineLevel="0" collapsed="false">
      <c r="A7414" s="6" t="n">
        <v>46187</v>
      </c>
      <c r="B7414" s="4" t="s">
        <v>1237</v>
      </c>
      <c r="C7414" s="4" t="n">
        <v>7</v>
      </c>
      <c r="D7414" s="4" t="n">
        <v>12</v>
      </c>
      <c r="E7414" s="4" t="s">
        <v>2651</v>
      </c>
      <c r="F7414" s="4" t="n">
        <v>31</v>
      </c>
      <c r="G7414" s="4" t="n">
        <v>3</v>
      </c>
      <c r="H7414" s="4" t="n">
        <v>1</v>
      </c>
      <c r="I7414" s="4" t="str">
        <v>○</v>
      </c>
      <c r="J7414" s="4" t="n">
        <v>290</v>
      </c>
      <c r="K7414" s="4"/>
      <c r="L7414" s="4"/>
      <c r="M7414" s="5" t="s">
        <v>4475</v>
      </c>
    </row>
    <row r="7415" customFormat="false" ht="15.75" hidden="false" customHeight="false" outlineLevel="0" collapsed="false">
      <c r="A7415" s="6" t="n">
        <v>46187</v>
      </c>
      <c r="B7415" s="4" t="s">
        <v>1237</v>
      </c>
      <c r="C7415" s="4" t="n">
        <v>8</v>
      </c>
      <c r="D7415" s="4" t="n">
        <v>1</v>
      </c>
      <c r="E7415" s="4" t="s">
        <v>5340</v>
      </c>
      <c r="F7415" s="4" t="n">
        <v>10</v>
      </c>
      <c r="G7415" s="4" t="n">
        <v>8</v>
      </c>
      <c r="H7415" s="4" t="n">
        <v>4</v>
      </c>
      <c r="I7415" s="4" t="str">
        <v>×</v>
      </c>
      <c r="J7415" s="4"/>
      <c r="K7415" s="4"/>
      <c r="L7415" s="4"/>
      <c r="M7415" s="5" t="s">
        <v>4475</v>
      </c>
    </row>
    <row r="7416" customFormat="false" ht="15.75" hidden="false" customHeight="false" outlineLevel="0" collapsed="false">
      <c r="A7416" s="6" t="n">
        <v>46187</v>
      </c>
      <c r="B7416" s="4" t="s">
        <v>1237</v>
      </c>
      <c r="C7416" s="4" t="n">
        <v>8</v>
      </c>
      <c r="D7416" s="4" t="n">
        <v>2</v>
      </c>
      <c r="E7416" s="4" t="s">
        <v>3533</v>
      </c>
      <c r="F7416" s="4" t="n">
        <v>2</v>
      </c>
      <c r="G7416" s="4" t="n">
        <v>10</v>
      </c>
      <c r="H7416" s="4" t="n">
        <v>4</v>
      </c>
      <c r="I7416" s="4" t="str">
        <v>×</v>
      </c>
      <c r="J7416" s="4"/>
      <c r="K7416" s="4"/>
      <c r="L7416" s="4"/>
      <c r="M7416" s="5" t="s">
        <v>4475</v>
      </c>
    </row>
    <row r="7417" customFormat="false" ht="15.75" hidden="false" customHeight="false" outlineLevel="0" collapsed="false">
      <c r="A7417" s="6" t="n">
        <v>46187</v>
      </c>
      <c r="B7417" s="4" t="s">
        <v>1237</v>
      </c>
      <c r="C7417" s="4" t="n">
        <v>8</v>
      </c>
      <c r="D7417" s="4" t="n">
        <v>3</v>
      </c>
      <c r="E7417" s="4" t="s">
        <v>4449</v>
      </c>
      <c r="F7417" s="4" t="n">
        <v>20</v>
      </c>
      <c r="G7417" s="4" t="n">
        <v>5</v>
      </c>
      <c r="H7417" s="4" t="n">
        <v>4</v>
      </c>
      <c r="I7417" s="4" t="str">
        <v>×</v>
      </c>
      <c r="J7417" s="4"/>
      <c r="K7417" s="4"/>
      <c r="L7417" s="4"/>
      <c r="M7417" s="5" t="s">
        <v>4475</v>
      </c>
    </row>
    <row r="7418" customFormat="false" ht="15.75" hidden="false" customHeight="false" outlineLevel="0" collapsed="false">
      <c r="A7418" s="6" t="n">
        <v>46187</v>
      </c>
      <c r="B7418" s="4" t="s">
        <v>1237</v>
      </c>
      <c r="C7418" s="4" t="n">
        <v>8</v>
      </c>
      <c r="D7418" s="4" t="n">
        <v>4</v>
      </c>
      <c r="E7418" s="4" t="s">
        <v>4246</v>
      </c>
      <c r="F7418" s="4" t="n">
        <v>25</v>
      </c>
      <c r="G7418" s="4" t="n">
        <v>3</v>
      </c>
      <c r="H7418" s="4" t="n">
        <v>4</v>
      </c>
      <c r="I7418" s="4" t="str">
        <v>×</v>
      </c>
      <c r="J7418" s="4"/>
      <c r="K7418" s="4"/>
      <c r="L7418" s="4"/>
      <c r="M7418" s="5" t="s">
        <v>4475</v>
      </c>
    </row>
    <row r="7419" customFormat="false" ht="15.75" hidden="false" customHeight="false" outlineLevel="0" collapsed="false">
      <c r="A7419" s="6" t="n">
        <v>46187</v>
      </c>
      <c r="B7419" s="4" t="s">
        <v>1237</v>
      </c>
      <c r="C7419" s="4" t="n">
        <v>8</v>
      </c>
      <c r="D7419" s="4" t="n">
        <v>5</v>
      </c>
      <c r="E7419" s="4" t="s">
        <v>1864</v>
      </c>
      <c r="F7419" s="4" t="n">
        <v>8</v>
      </c>
      <c r="G7419" s="4" t="n">
        <v>9</v>
      </c>
      <c r="H7419" s="4" t="n">
        <v>4</v>
      </c>
      <c r="I7419" s="4" t="str">
        <v>×</v>
      </c>
      <c r="J7419" s="4"/>
      <c r="K7419" s="4"/>
      <c r="L7419" s="4"/>
      <c r="M7419" s="5" t="s">
        <v>4475</v>
      </c>
    </row>
    <row r="7420" customFormat="false" ht="15.75" hidden="false" customHeight="false" outlineLevel="0" collapsed="false">
      <c r="A7420" s="6" t="n">
        <v>46187</v>
      </c>
      <c r="B7420" s="4" t="s">
        <v>1237</v>
      </c>
      <c r="C7420" s="4" t="n">
        <v>8</v>
      </c>
      <c r="D7420" s="4" t="n">
        <v>6</v>
      </c>
      <c r="E7420" s="4" t="s">
        <v>5341</v>
      </c>
      <c r="F7420" s="4" t="n">
        <v>17</v>
      </c>
      <c r="G7420" s="4" t="n">
        <v>6</v>
      </c>
      <c r="H7420" s="4" t="n">
        <v>4</v>
      </c>
      <c r="I7420" s="4" t="str">
        <v>×</v>
      </c>
      <c r="J7420" s="4"/>
      <c r="K7420" s="4"/>
      <c r="L7420" s="4"/>
      <c r="M7420" s="5" t="s">
        <v>4475</v>
      </c>
    </row>
    <row r="7421" customFormat="false" ht="15.75" hidden="false" customHeight="false" outlineLevel="0" collapsed="false">
      <c r="A7421" s="6" t="n">
        <v>46187</v>
      </c>
      <c r="B7421" s="4" t="s">
        <v>1237</v>
      </c>
      <c r="C7421" s="4" t="n">
        <v>8</v>
      </c>
      <c r="D7421" s="4" t="n">
        <v>7</v>
      </c>
      <c r="E7421" s="4" t="s">
        <v>3529</v>
      </c>
      <c r="F7421" s="4" t="n">
        <v>10</v>
      </c>
      <c r="G7421" s="4" t="n">
        <v>8</v>
      </c>
      <c r="H7421" s="4" t="n">
        <v>4</v>
      </c>
      <c r="I7421" s="4" t="str">
        <v>×</v>
      </c>
      <c r="J7421" s="4"/>
      <c r="K7421" s="4"/>
      <c r="L7421" s="4"/>
      <c r="M7421" s="5" t="s">
        <v>4475</v>
      </c>
    </row>
    <row r="7422" customFormat="false" ht="15.75" hidden="false" customHeight="false" outlineLevel="0" collapsed="false">
      <c r="A7422" s="6" t="n">
        <v>46187</v>
      </c>
      <c r="B7422" s="4" t="s">
        <v>1237</v>
      </c>
      <c r="C7422" s="4" t="n">
        <v>8</v>
      </c>
      <c r="D7422" s="4" t="n">
        <v>8</v>
      </c>
      <c r="E7422" s="4" t="s">
        <v>3531</v>
      </c>
      <c r="F7422" s="4" t="n">
        <v>13</v>
      </c>
      <c r="G7422" s="4" t="n">
        <v>7</v>
      </c>
      <c r="H7422" s="4" t="n">
        <v>4</v>
      </c>
      <c r="I7422" s="4" t="str">
        <v>×</v>
      </c>
      <c r="J7422" s="4"/>
      <c r="K7422" s="4"/>
      <c r="L7422" s="4"/>
      <c r="M7422" s="5" t="s">
        <v>4475</v>
      </c>
    </row>
    <row r="7423" customFormat="false" ht="15.75" hidden="false" customHeight="false" outlineLevel="0" collapsed="false">
      <c r="A7423" s="6" t="n">
        <v>46187</v>
      </c>
      <c r="B7423" s="4" t="s">
        <v>1237</v>
      </c>
      <c r="C7423" s="4" t="n">
        <v>8</v>
      </c>
      <c r="D7423" s="4" t="n">
        <v>9</v>
      </c>
      <c r="E7423" s="4" t="s">
        <v>1866</v>
      </c>
      <c r="F7423" s="4" t="n">
        <v>8</v>
      </c>
      <c r="G7423" s="4" t="n">
        <v>9</v>
      </c>
      <c r="H7423" s="4" t="n">
        <v>4</v>
      </c>
      <c r="I7423" s="4" t="str">
        <v>×</v>
      </c>
      <c r="J7423" s="4"/>
      <c r="K7423" s="4"/>
      <c r="L7423" s="4"/>
      <c r="M7423" s="5" t="s">
        <v>4475</v>
      </c>
    </row>
    <row r="7424" customFormat="false" ht="15.75" hidden="false" customHeight="false" outlineLevel="0" collapsed="false">
      <c r="A7424" s="6" t="n">
        <v>46187</v>
      </c>
      <c r="B7424" s="4" t="s">
        <v>1237</v>
      </c>
      <c r="C7424" s="4" t="n">
        <v>8</v>
      </c>
      <c r="D7424" s="4" t="n">
        <v>10</v>
      </c>
      <c r="E7424" s="4" t="s">
        <v>3566</v>
      </c>
      <c r="F7424" s="4" t="n">
        <v>23</v>
      </c>
      <c r="G7424" s="4" t="n">
        <v>4</v>
      </c>
      <c r="H7424" s="4" t="n">
        <v>1</v>
      </c>
      <c r="I7424" s="4" t="str">
        <v>○</v>
      </c>
      <c r="J7424" s="4" t="n">
        <v>200</v>
      </c>
      <c r="K7424" s="4"/>
      <c r="L7424" s="4"/>
      <c r="M7424" s="5" t="s">
        <v>4475</v>
      </c>
    </row>
    <row r="7425" customFormat="false" ht="15.75" hidden="false" customHeight="false" outlineLevel="0" collapsed="false">
      <c r="A7425" s="6" t="n">
        <v>46187</v>
      </c>
      <c r="B7425" s="4" t="s">
        <v>1237</v>
      </c>
      <c r="C7425" s="4" t="n">
        <v>8</v>
      </c>
      <c r="D7425" s="4" t="n">
        <v>11</v>
      </c>
      <c r="E7425" s="4" t="s">
        <v>4472</v>
      </c>
      <c r="F7425" s="4" t="n">
        <v>52</v>
      </c>
      <c r="G7425" s="4" t="n">
        <v>2</v>
      </c>
      <c r="H7425" s="4" t="n">
        <v>4</v>
      </c>
      <c r="I7425" s="4" t="str">
        <v>×</v>
      </c>
      <c r="J7425" s="4"/>
      <c r="K7425" s="4"/>
      <c r="L7425" s="4"/>
      <c r="M7425" s="5" t="s">
        <v>4475</v>
      </c>
    </row>
    <row r="7426" customFormat="false" ht="15.75" hidden="false" customHeight="false" outlineLevel="0" collapsed="false">
      <c r="A7426" s="6" t="n">
        <v>46187</v>
      </c>
      <c r="B7426" s="4" t="s">
        <v>1237</v>
      </c>
      <c r="C7426" s="4" t="n">
        <v>8</v>
      </c>
      <c r="D7426" s="4" t="n">
        <v>12</v>
      </c>
      <c r="E7426" s="4" t="s">
        <v>398</v>
      </c>
      <c r="F7426" s="4" t="n">
        <v>10</v>
      </c>
      <c r="G7426" s="4" t="n">
        <v>8</v>
      </c>
      <c r="H7426" s="4" t="n">
        <v>2</v>
      </c>
      <c r="I7426" s="4" t="str">
        <v>○</v>
      </c>
      <c r="J7426" s="4" t="n">
        <v>560</v>
      </c>
      <c r="K7426" s="4"/>
      <c r="L7426" s="4"/>
      <c r="M7426" s="5" t="s">
        <v>4475</v>
      </c>
    </row>
    <row r="7427" customFormat="false" ht="15.75" hidden="false" customHeight="false" outlineLevel="0" collapsed="false">
      <c r="A7427" s="6" t="n">
        <v>46187</v>
      </c>
      <c r="B7427" s="4" t="s">
        <v>1237</v>
      </c>
      <c r="C7427" s="4" t="n">
        <v>8</v>
      </c>
      <c r="D7427" s="4" t="n">
        <v>13</v>
      </c>
      <c r="E7427" s="4" t="s">
        <v>5342</v>
      </c>
      <c r="F7427" s="4" t="n">
        <v>67</v>
      </c>
      <c r="G7427" s="4" t="n">
        <v>1</v>
      </c>
      <c r="H7427" s="4" t="n">
        <v>3</v>
      </c>
      <c r="I7427" s="4" t="str">
        <v>○</v>
      </c>
      <c r="J7427" s="4" t="n">
        <v>110</v>
      </c>
      <c r="K7427" s="4"/>
      <c r="L7427" s="4"/>
      <c r="M7427" s="5" t="s">
        <v>4475</v>
      </c>
    </row>
    <row r="7428" customFormat="false" ht="15.75" hidden="false" customHeight="false" outlineLevel="0" collapsed="false">
      <c r="A7428" s="6" t="n">
        <v>46187</v>
      </c>
      <c r="B7428" s="4" t="s">
        <v>1237</v>
      </c>
      <c r="C7428" s="4" t="n">
        <v>9</v>
      </c>
      <c r="D7428" s="4" t="n">
        <v>1</v>
      </c>
      <c r="E7428" s="4" t="s">
        <v>4441</v>
      </c>
      <c r="F7428" s="4" t="n">
        <v>37</v>
      </c>
      <c r="G7428" s="4" t="n">
        <v>3</v>
      </c>
      <c r="H7428" s="4" t="n">
        <v>4</v>
      </c>
      <c r="I7428" s="4" t="str">
        <v>×</v>
      </c>
      <c r="J7428" s="4"/>
      <c r="K7428" s="4"/>
      <c r="L7428" s="4"/>
      <c r="M7428" s="5" t="s">
        <v>4475</v>
      </c>
    </row>
    <row r="7429" customFormat="false" ht="15.75" hidden="false" customHeight="false" outlineLevel="0" collapsed="false">
      <c r="A7429" s="6" t="n">
        <v>46187</v>
      </c>
      <c r="B7429" s="4" t="s">
        <v>1237</v>
      </c>
      <c r="C7429" s="4" t="n">
        <v>9</v>
      </c>
      <c r="D7429" s="4" t="n">
        <v>2</v>
      </c>
      <c r="E7429" s="4" t="s">
        <v>2241</v>
      </c>
      <c r="F7429" s="4" t="n">
        <v>4</v>
      </c>
      <c r="G7429" s="4" t="n">
        <v>9</v>
      </c>
      <c r="H7429" s="4" t="n">
        <v>4</v>
      </c>
      <c r="I7429" s="4" t="str">
        <v>×</v>
      </c>
      <c r="J7429" s="4"/>
      <c r="K7429" s="4"/>
      <c r="L7429" s="4"/>
      <c r="M7429" s="5" t="s">
        <v>4475</v>
      </c>
    </row>
    <row r="7430" customFormat="false" ht="15.75" hidden="false" customHeight="false" outlineLevel="0" collapsed="false">
      <c r="A7430" s="6" t="n">
        <v>46187</v>
      </c>
      <c r="B7430" s="4" t="s">
        <v>1237</v>
      </c>
      <c r="C7430" s="4" t="n">
        <v>9</v>
      </c>
      <c r="D7430" s="4" t="n">
        <v>3</v>
      </c>
      <c r="E7430" s="4" t="s">
        <v>1343</v>
      </c>
      <c r="F7430" s="4" t="n">
        <v>20</v>
      </c>
      <c r="G7430" s="4" t="n">
        <v>7</v>
      </c>
      <c r="H7430" s="4" t="n">
        <v>4</v>
      </c>
      <c r="I7430" s="4" t="str">
        <v>×</v>
      </c>
      <c r="J7430" s="4"/>
      <c r="K7430" s="4"/>
      <c r="L7430" s="4"/>
      <c r="M7430" s="5" t="s">
        <v>4475</v>
      </c>
    </row>
    <row r="7431" customFormat="false" ht="15.75" hidden="false" customHeight="false" outlineLevel="0" collapsed="false">
      <c r="A7431" s="6" t="n">
        <v>46187</v>
      </c>
      <c r="B7431" s="4" t="s">
        <v>1237</v>
      </c>
      <c r="C7431" s="4" t="n">
        <v>9</v>
      </c>
      <c r="D7431" s="4" t="n">
        <v>4</v>
      </c>
      <c r="E7431" s="4" t="s">
        <v>63</v>
      </c>
      <c r="F7431" s="4" t="n">
        <v>41</v>
      </c>
      <c r="G7431" s="4" t="n">
        <v>2</v>
      </c>
      <c r="H7431" s="4" t="n">
        <v>4</v>
      </c>
      <c r="I7431" s="4" t="str">
        <v>×</v>
      </c>
      <c r="J7431" s="4"/>
      <c r="K7431" s="4"/>
      <c r="L7431" s="4"/>
      <c r="M7431" s="5" t="s">
        <v>4475</v>
      </c>
    </row>
    <row r="7432" customFormat="false" ht="15.75" hidden="false" customHeight="false" outlineLevel="0" collapsed="false">
      <c r="A7432" s="6" t="n">
        <v>46187</v>
      </c>
      <c r="B7432" s="4" t="s">
        <v>1237</v>
      </c>
      <c r="C7432" s="4" t="n">
        <v>9</v>
      </c>
      <c r="D7432" s="4" t="n">
        <v>5</v>
      </c>
      <c r="E7432" s="4" t="s">
        <v>1825</v>
      </c>
      <c r="F7432" s="4" t="n">
        <v>81</v>
      </c>
      <c r="G7432" s="4" t="n">
        <v>1</v>
      </c>
      <c r="H7432" s="4" t="n">
        <v>1</v>
      </c>
      <c r="I7432" s="4" t="str">
        <v>○</v>
      </c>
      <c r="J7432" s="4" t="n">
        <v>110</v>
      </c>
      <c r="K7432" s="4"/>
      <c r="L7432" s="4"/>
      <c r="M7432" s="5" t="s">
        <v>4475</v>
      </c>
    </row>
    <row r="7433" customFormat="false" ht="15.75" hidden="false" customHeight="false" outlineLevel="0" collapsed="false">
      <c r="A7433" s="6" t="n">
        <v>46187</v>
      </c>
      <c r="B7433" s="4" t="s">
        <v>1237</v>
      </c>
      <c r="C7433" s="4" t="n">
        <v>9</v>
      </c>
      <c r="D7433" s="4" t="n">
        <v>6</v>
      </c>
      <c r="E7433" s="4" t="s">
        <v>431</v>
      </c>
      <c r="F7433" s="4" t="n">
        <v>25</v>
      </c>
      <c r="G7433" s="4" t="n">
        <v>6</v>
      </c>
      <c r="H7433" s="4" t="n">
        <v>3</v>
      </c>
      <c r="I7433" s="4" t="str">
        <v>○</v>
      </c>
      <c r="J7433" s="4" t="n">
        <v>160</v>
      </c>
      <c r="K7433" s="4"/>
      <c r="L7433" s="4"/>
      <c r="M7433" s="5" t="s">
        <v>4475</v>
      </c>
    </row>
    <row r="7434" customFormat="false" ht="15.75" hidden="false" customHeight="false" outlineLevel="0" collapsed="false">
      <c r="A7434" s="6" t="n">
        <v>46187</v>
      </c>
      <c r="B7434" s="4" t="s">
        <v>1237</v>
      </c>
      <c r="C7434" s="4" t="n">
        <v>9</v>
      </c>
      <c r="D7434" s="4" t="n">
        <v>7</v>
      </c>
      <c r="E7434" s="4" t="s">
        <v>4263</v>
      </c>
      <c r="F7434" s="4" t="n">
        <v>31</v>
      </c>
      <c r="G7434" s="4" t="n">
        <v>4</v>
      </c>
      <c r="H7434" s="4" t="n">
        <v>4</v>
      </c>
      <c r="I7434" s="4" t="str">
        <v>×</v>
      </c>
      <c r="J7434" s="4"/>
      <c r="K7434" s="4"/>
      <c r="L7434" s="4"/>
      <c r="M7434" s="5" t="s">
        <v>4475</v>
      </c>
    </row>
    <row r="7435" customFormat="false" ht="15.75" hidden="false" customHeight="false" outlineLevel="0" collapsed="false">
      <c r="A7435" s="6" t="n">
        <v>46187</v>
      </c>
      <c r="B7435" s="4" t="s">
        <v>1237</v>
      </c>
      <c r="C7435" s="4" t="n">
        <v>9</v>
      </c>
      <c r="D7435" s="4" t="n">
        <v>8</v>
      </c>
      <c r="E7435" s="4" t="s">
        <v>4442</v>
      </c>
      <c r="F7435" s="4" t="n">
        <v>10</v>
      </c>
      <c r="G7435" s="4" t="n">
        <v>8</v>
      </c>
      <c r="H7435" s="4" t="n">
        <v>4</v>
      </c>
      <c r="I7435" s="4" t="str">
        <v>×</v>
      </c>
      <c r="J7435" s="4"/>
      <c r="K7435" s="4"/>
      <c r="L7435" s="4"/>
      <c r="M7435" s="5" t="s">
        <v>4475</v>
      </c>
    </row>
    <row r="7436" customFormat="false" ht="15.75" hidden="false" customHeight="false" outlineLevel="0" collapsed="false">
      <c r="A7436" s="6" t="n">
        <v>46187</v>
      </c>
      <c r="B7436" s="4" t="s">
        <v>1237</v>
      </c>
      <c r="C7436" s="4" t="n">
        <v>9</v>
      </c>
      <c r="D7436" s="4" t="n">
        <v>9</v>
      </c>
      <c r="E7436" s="4" t="s">
        <v>908</v>
      </c>
      <c r="F7436" s="4" t="n">
        <v>2</v>
      </c>
      <c r="G7436" s="4" t="n">
        <v>10</v>
      </c>
      <c r="H7436" s="4" t="n">
        <v>4</v>
      </c>
      <c r="I7436" s="4" t="str">
        <v>×</v>
      </c>
      <c r="J7436" s="4"/>
      <c r="K7436" s="4"/>
      <c r="L7436" s="4"/>
      <c r="M7436" s="5" t="s">
        <v>4475</v>
      </c>
    </row>
    <row r="7437" customFormat="false" ht="15.75" hidden="false" customHeight="false" outlineLevel="0" collapsed="false">
      <c r="A7437" s="6" t="n">
        <v>46187</v>
      </c>
      <c r="B7437" s="4" t="s">
        <v>1237</v>
      </c>
      <c r="C7437" s="4" t="n">
        <v>9</v>
      </c>
      <c r="D7437" s="4" t="n">
        <v>10</v>
      </c>
      <c r="E7437" s="4" t="s">
        <v>1341</v>
      </c>
      <c r="F7437" s="4" t="n">
        <v>29</v>
      </c>
      <c r="G7437" s="4" t="n">
        <v>5</v>
      </c>
      <c r="H7437" s="4" t="n">
        <v>2</v>
      </c>
      <c r="I7437" s="4" t="str">
        <v>○</v>
      </c>
      <c r="J7437" s="4" t="n">
        <v>120</v>
      </c>
      <c r="K7437" s="4"/>
      <c r="L7437" s="4"/>
      <c r="M7437" s="5" t="s">
        <v>4475</v>
      </c>
    </row>
    <row r="7438" customFormat="false" ht="15.75" hidden="false" customHeight="false" outlineLevel="0" collapsed="false">
      <c r="A7438" s="6" t="n">
        <v>46187</v>
      </c>
      <c r="B7438" s="4" t="s">
        <v>1237</v>
      </c>
      <c r="C7438" s="4" t="n">
        <v>10</v>
      </c>
      <c r="D7438" s="4" t="n">
        <v>1</v>
      </c>
      <c r="E7438" s="4" t="s">
        <v>4453</v>
      </c>
      <c r="F7438" s="4" t="n">
        <v>4</v>
      </c>
      <c r="G7438" s="4" t="n">
        <v>8</v>
      </c>
      <c r="H7438" s="4" t="n">
        <v>4</v>
      </c>
      <c r="I7438" s="4" t="str">
        <v>×</v>
      </c>
      <c r="J7438" s="4"/>
      <c r="K7438" s="4"/>
      <c r="L7438" s="4"/>
      <c r="M7438" s="5" t="s">
        <v>4475</v>
      </c>
    </row>
    <row r="7439" customFormat="false" ht="15.75" hidden="false" customHeight="false" outlineLevel="0" collapsed="false">
      <c r="A7439" s="6" t="n">
        <v>46187</v>
      </c>
      <c r="B7439" s="4" t="s">
        <v>1237</v>
      </c>
      <c r="C7439" s="4" t="n">
        <v>10</v>
      </c>
      <c r="D7439" s="4" t="n">
        <v>2</v>
      </c>
      <c r="E7439" s="4" t="s">
        <v>456</v>
      </c>
      <c r="F7439" s="4" t="n">
        <v>20</v>
      </c>
      <c r="G7439" s="4" t="n">
        <v>5</v>
      </c>
      <c r="H7439" s="4" t="n">
        <v>4</v>
      </c>
      <c r="I7439" s="4" t="str">
        <v>×</v>
      </c>
      <c r="J7439" s="4"/>
      <c r="K7439" s="4"/>
      <c r="L7439" s="4"/>
      <c r="M7439" s="5" t="s">
        <v>4475</v>
      </c>
    </row>
    <row r="7440" customFormat="false" ht="15.75" hidden="false" customHeight="false" outlineLevel="0" collapsed="false">
      <c r="A7440" s="6" t="n">
        <v>46187</v>
      </c>
      <c r="B7440" s="4" t="s">
        <v>1237</v>
      </c>
      <c r="C7440" s="4" t="n">
        <v>10</v>
      </c>
      <c r="D7440" s="4" t="n">
        <v>3</v>
      </c>
      <c r="E7440" s="4" t="s">
        <v>2397</v>
      </c>
      <c r="F7440" s="4" t="n">
        <v>44</v>
      </c>
      <c r="G7440" s="4" t="n">
        <v>1</v>
      </c>
      <c r="H7440" s="4" t="n">
        <v>1</v>
      </c>
      <c r="I7440" s="4" t="str">
        <v>○</v>
      </c>
      <c r="J7440" s="4" t="n">
        <v>240</v>
      </c>
      <c r="K7440" s="4"/>
      <c r="L7440" s="4"/>
      <c r="M7440" s="5" t="s">
        <v>4475</v>
      </c>
    </row>
    <row r="7441" customFormat="false" ht="15.75" hidden="false" customHeight="false" outlineLevel="0" collapsed="false">
      <c r="A7441" s="6" t="n">
        <v>46187</v>
      </c>
      <c r="B7441" s="4" t="s">
        <v>1237</v>
      </c>
      <c r="C7441" s="4" t="n">
        <v>10</v>
      </c>
      <c r="D7441" s="4" t="n">
        <v>4</v>
      </c>
      <c r="E7441" s="4" t="s">
        <v>2978</v>
      </c>
      <c r="F7441" s="4" t="n">
        <v>4</v>
      </c>
      <c r="G7441" s="4" t="n">
        <v>8</v>
      </c>
      <c r="H7441" s="4" t="n">
        <v>2</v>
      </c>
      <c r="I7441" s="4" t="str">
        <v>○</v>
      </c>
      <c r="J7441" s="4" t="n">
        <v>160</v>
      </c>
      <c r="K7441" s="4"/>
      <c r="L7441" s="4"/>
      <c r="M7441" s="5" t="s">
        <v>4475</v>
      </c>
    </row>
    <row r="7442" customFormat="false" ht="15.75" hidden="false" customHeight="false" outlineLevel="0" collapsed="false">
      <c r="A7442" s="6" t="n">
        <v>46187</v>
      </c>
      <c r="B7442" s="4" t="s">
        <v>1237</v>
      </c>
      <c r="C7442" s="4" t="n">
        <v>10</v>
      </c>
      <c r="D7442" s="4" t="n">
        <v>5</v>
      </c>
      <c r="E7442" s="4" t="s">
        <v>2975</v>
      </c>
      <c r="F7442" s="4" t="n">
        <v>1</v>
      </c>
      <c r="G7442" s="4" t="n">
        <v>10</v>
      </c>
      <c r="H7442" s="4" t="n">
        <v>3</v>
      </c>
      <c r="I7442" s="4" t="str">
        <v>○</v>
      </c>
      <c r="J7442" s="4" t="n">
        <v>220</v>
      </c>
      <c r="K7442" s="4"/>
      <c r="L7442" s="4"/>
      <c r="M7442" s="5" t="s">
        <v>4475</v>
      </c>
    </row>
    <row r="7443" customFormat="false" ht="15.75" hidden="false" customHeight="false" outlineLevel="0" collapsed="false">
      <c r="A7443" s="6" t="n">
        <v>46187</v>
      </c>
      <c r="B7443" s="4" t="s">
        <v>1237</v>
      </c>
      <c r="C7443" s="4" t="n">
        <v>10</v>
      </c>
      <c r="D7443" s="4" t="n">
        <v>6</v>
      </c>
      <c r="E7443" s="4" t="s">
        <v>4258</v>
      </c>
      <c r="F7443" s="4" t="n">
        <v>17</v>
      </c>
      <c r="G7443" s="4" t="n">
        <v>6</v>
      </c>
      <c r="H7443" s="4" t="n">
        <v>4</v>
      </c>
      <c r="I7443" s="4" t="str">
        <v>×</v>
      </c>
      <c r="J7443" s="4"/>
      <c r="K7443" s="4"/>
      <c r="L7443" s="4"/>
      <c r="M7443" s="5" t="s">
        <v>4475</v>
      </c>
    </row>
    <row r="7444" customFormat="false" ht="15.75" hidden="false" customHeight="false" outlineLevel="0" collapsed="false">
      <c r="A7444" s="6" t="n">
        <v>46187</v>
      </c>
      <c r="B7444" s="4" t="s">
        <v>1237</v>
      </c>
      <c r="C7444" s="4" t="n">
        <v>10</v>
      </c>
      <c r="D7444" s="4" t="n">
        <v>7</v>
      </c>
      <c r="E7444" s="4" t="s">
        <v>1821</v>
      </c>
      <c r="F7444" s="4" t="n">
        <v>10</v>
      </c>
      <c r="G7444" s="4" t="n">
        <v>7</v>
      </c>
      <c r="H7444" s="4" t="n">
        <v>4</v>
      </c>
      <c r="I7444" s="4" t="str">
        <v>×</v>
      </c>
      <c r="J7444" s="4"/>
      <c r="K7444" s="4"/>
      <c r="L7444" s="4"/>
      <c r="M7444" s="5" t="s">
        <v>4475</v>
      </c>
    </row>
    <row r="7445" customFormat="false" ht="15.75" hidden="false" customHeight="false" outlineLevel="0" collapsed="false">
      <c r="A7445" s="6" t="n">
        <v>46187</v>
      </c>
      <c r="B7445" s="4" t="s">
        <v>1237</v>
      </c>
      <c r="C7445" s="4" t="n">
        <v>10</v>
      </c>
      <c r="D7445" s="4" t="n">
        <v>8</v>
      </c>
      <c r="E7445" s="4" t="s">
        <v>1839</v>
      </c>
      <c r="F7445" s="4" t="n">
        <v>39</v>
      </c>
      <c r="G7445" s="4" t="n">
        <v>2</v>
      </c>
      <c r="H7445" s="4" t="n">
        <v>4</v>
      </c>
      <c r="I7445" s="4" t="str">
        <v>×</v>
      </c>
      <c r="J7445" s="4"/>
      <c r="K7445" s="4"/>
      <c r="L7445" s="4"/>
      <c r="M7445" s="5" t="s">
        <v>4475</v>
      </c>
    </row>
    <row r="7446" customFormat="false" ht="15.75" hidden="false" customHeight="false" outlineLevel="0" collapsed="false">
      <c r="A7446" s="6" t="n">
        <v>46187</v>
      </c>
      <c r="B7446" s="4" t="s">
        <v>1237</v>
      </c>
      <c r="C7446" s="4" t="n">
        <v>10</v>
      </c>
      <c r="D7446" s="4" t="n">
        <v>9</v>
      </c>
      <c r="E7446" s="4" t="s">
        <v>1835</v>
      </c>
      <c r="F7446" s="4" t="n">
        <v>23</v>
      </c>
      <c r="G7446" s="4" t="n">
        <v>4</v>
      </c>
      <c r="H7446" s="4" t="n">
        <v>4</v>
      </c>
      <c r="I7446" s="4" t="str">
        <v>×</v>
      </c>
      <c r="J7446" s="4"/>
      <c r="K7446" s="4"/>
      <c r="L7446" s="4"/>
      <c r="M7446" s="5" t="s">
        <v>4475</v>
      </c>
    </row>
    <row r="7447" customFormat="false" ht="15.75" hidden="false" customHeight="false" outlineLevel="0" collapsed="false">
      <c r="A7447" s="6" t="n">
        <v>46187</v>
      </c>
      <c r="B7447" s="4" t="s">
        <v>1237</v>
      </c>
      <c r="C7447" s="4" t="n">
        <v>10</v>
      </c>
      <c r="D7447" s="4" t="n">
        <v>10</v>
      </c>
      <c r="E7447" s="4" t="s">
        <v>4257</v>
      </c>
      <c r="F7447" s="4" t="n">
        <v>39</v>
      </c>
      <c r="G7447" s="4" t="n">
        <v>2</v>
      </c>
      <c r="H7447" s="4" t="n">
        <v>4</v>
      </c>
      <c r="I7447" s="4" t="str">
        <v>×</v>
      </c>
      <c r="J7447" s="4"/>
      <c r="K7447" s="4"/>
      <c r="L7447" s="4"/>
      <c r="M7447" s="5" t="s">
        <v>4475</v>
      </c>
    </row>
    <row r="7448" customFormat="false" ht="15.75" hidden="false" customHeight="false" outlineLevel="0" collapsed="false">
      <c r="A7448" s="6" t="n">
        <v>46187</v>
      </c>
      <c r="B7448" s="4" t="s">
        <v>1237</v>
      </c>
      <c r="C7448" s="4" t="n">
        <v>10</v>
      </c>
      <c r="D7448" s="4" t="n">
        <v>11</v>
      </c>
      <c r="E7448" s="4" t="s">
        <v>1836</v>
      </c>
      <c r="F7448" s="4" t="n">
        <v>31</v>
      </c>
      <c r="G7448" s="4" t="n">
        <v>3</v>
      </c>
      <c r="H7448" s="4" t="n">
        <v>4</v>
      </c>
      <c r="I7448" s="4" t="str">
        <v>×</v>
      </c>
      <c r="J7448" s="4"/>
      <c r="K7448" s="4"/>
      <c r="L7448" s="4"/>
      <c r="M7448" s="5" t="s">
        <v>4475</v>
      </c>
    </row>
    <row r="7449" customFormat="false" ht="15.75" hidden="false" customHeight="false" outlineLevel="0" collapsed="false">
      <c r="A7449" s="6" t="n">
        <v>46187</v>
      </c>
      <c r="B7449" s="4" t="s">
        <v>1237</v>
      </c>
      <c r="C7449" s="4" t="n">
        <v>10</v>
      </c>
      <c r="D7449" s="4" t="n">
        <v>12</v>
      </c>
      <c r="E7449" s="4" t="s">
        <v>460</v>
      </c>
      <c r="F7449" s="4" t="n">
        <v>3</v>
      </c>
      <c r="G7449" s="4" t="n">
        <v>9</v>
      </c>
      <c r="H7449" s="4" t="n">
        <v>4</v>
      </c>
      <c r="I7449" s="4" t="str">
        <v>×</v>
      </c>
      <c r="J7449" s="4"/>
      <c r="K7449" s="4"/>
      <c r="L7449" s="4"/>
      <c r="M7449" s="5" t="s">
        <v>4475</v>
      </c>
    </row>
    <row r="7450" customFormat="false" ht="15.75" hidden="false" customHeight="false" outlineLevel="0" collapsed="false">
      <c r="A7450" s="6" t="n">
        <v>46187</v>
      </c>
      <c r="B7450" s="4" t="s">
        <v>1237</v>
      </c>
      <c r="C7450" s="4" t="n">
        <v>11</v>
      </c>
      <c r="D7450" s="4" t="n">
        <v>1</v>
      </c>
      <c r="E7450" s="4" t="s">
        <v>3293</v>
      </c>
      <c r="F7450" s="4" t="n">
        <v>60</v>
      </c>
      <c r="G7450" s="4" t="n">
        <v>1</v>
      </c>
      <c r="H7450" s="4" t="n">
        <v>4</v>
      </c>
      <c r="I7450" s="4" t="str">
        <v>×</v>
      </c>
      <c r="J7450" s="4"/>
      <c r="K7450" s="4"/>
      <c r="L7450" s="4"/>
      <c r="M7450" s="5" t="s">
        <v>4475</v>
      </c>
    </row>
    <row r="7451" customFormat="false" ht="15.75" hidden="false" customHeight="false" outlineLevel="0" collapsed="false">
      <c r="A7451" s="6" t="n">
        <v>46187</v>
      </c>
      <c r="B7451" s="4" t="s">
        <v>1237</v>
      </c>
      <c r="C7451" s="4" t="n">
        <v>11</v>
      </c>
      <c r="D7451" s="4" t="n">
        <v>2</v>
      </c>
      <c r="E7451" s="4" t="s">
        <v>2983</v>
      </c>
      <c r="F7451" s="4" t="n">
        <v>25</v>
      </c>
      <c r="G7451" s="4" t="n">
        <v>3</v>
      </c>
      <c r="H7451" s="4" t="n">
        <v>1</v>
      </c>
      <c r="I7451" s="4" t="str">
        <v>○</v>
      </c>
      <c r="J7451" s="4" t="n">
        <v>200</v>
      </c>
      <c r="K7451" s="4"/>
      <c r="L7451" s="4"/>
      <c r="M7451" s="5" t="s">
        <v>4475</v>
      </c>
    </row>
    <row r="7452" customFormat="false" ht="15.75" hidden="false" customHeight="false" outlineLevel="0" collapsed="false">
      <c r="A7452" s="6" t="n">
        <v>46187</v>
      </c>
      <c r="B7452" s="4" t="s">
        <v>1237</v>
      </c>
      <c r="C7452" s="4" t="n">
        <v>11</v>
      </c>
      <c r="D7452" s="4" t="n">
        <v>3</v>
      </c>
      <c r="E7452" s="4" t="s">
        <v>1351</v>
      </c>
      <c r="F7452" s="4" t="n">
        <v>3</v>
      </c>
      <c r="G7452" s="4" t="n">
        <v>10</v>
      </c>
      <c r="H7452" s="4" t="n">
        <v>4</v>
      </c>
      <c r="I7452" s="4" t="str">
        <v>×</v>
      </c>
      <c r="J7452" s="4"/>
      <c r="K7452" s="4"/>
      <c r="L7452" s="4"/>
      <c r="M7452" s="5" t="s">
        <v>4475</v>
      </c>
    </row>
    <row r="7453" customFormat="false" ht="15.75" hidden="false" customHeight="false" outlineLevel="0" collapsed="false">
      <c r="A7453" s="6" t="n">
        <v>46187</v>
      </c>
      <c r="B7453" s="4" t="s">
        <v>1237</v>
      </c>
      <c r="C7453" s="4" t="n">
        <v>11</v>
      </c>
      <c r="D7453" s="4" t="n">
        <v>4</v>
      </c>
      <c r="E7453" s="4" t="s">
        <v>1357</v>
      </c>
      <c r="F7453" s="4" t="n">
        <v>25</v>
      </c>
      <c r="G7453" s="4" t="n">
        <v>3</v>
      </c>
      <c r="H7453" s="4" t="n">
        <v>4</v>
      </c>
      <c r="I7453" s="4" t="str">
        <v>×</v>
      </c>
      <c r="J7453" s="4"/>
      <c r="K7453" s="4"/>
      <c r="L7453" s="4"/>
      <c r="M7453" s="5" t="s">
        <v>4475</v>
      </c>
    </row>
    <row r="7454" customFormat="false" ht="15.75" hidden="false" customHeight="false" outlineLevel="0" collapsed="false">
      <c r="A7454" s="6" t="n">
        <v>46187</v>
      </c>
      <c r="B7454" s="4" t="s">
        <v>1237</v>
      </c>
      <c r="C7454" s="4" t="n">
        <v>11</v>
      </c>
      <c r="D7454" s="4" t="n">
        <v>5</v>
      </c>
      <c r="E7454" s="4" t="s">
        <v>3295</v>
      </c>
      <c r="F7454" s="4" t="n">
        <v>4</v>
      </c>
      <c r="G7454" s="4" t="n">
        <v>9</v>
      </c>
      <c r="H7454" s="4" t="n">
        <v>4</v>
      </c>
      <c r="I7454" s="4" t="str">
        <v>×</v>
      </c>
      <c r="J7454" s="4"/>
      <c r="K7454" s="4"/>
      <c r="L7454" s="4"/>
      <c r="M7454" s="5" t="s">
        <v>4475</v>
      </c>
    </row>
    <row r="7455" customFormat="false" ht="15.75" hidden="false" customHeight="false" outlineLevel="0" collapsed="false">
      <c r="A7455" s="6" t="n">
        <v>46187</v>
      </c>
      <c r="B7455" s="4" t="s">
        <v>1237</v>
      </c>
      <c r="C7455" s="4" t="n">
        <v>11</v>
      </c>
      <c r="D7455" s="4" t="n">
        <v>6</v>
      </c>
      <c r="E7455" s="4" t="s">
        <v>2250</v>
      </c>
      <c r="F7455" s="4" t="n">
        <v>13</v>
      </c>
      <c r="G7455" s="4" t="n">
        <v>5</v>
      </c>
      <c r="H7455" s="4" t="n">
        <v>4</v>
      </c>
      <c r="I7455" s="4" t="str">
        <v>×</v>
      </c>
      <c r="J7455" s="4"/>
      <c r="K7455" s="4"/>
      <c r="L7455" s="4"/>
      <c r="M7455" s="5" t="s">
        <v>4475</v>
      </c>
    </row>
    <row r="7456" customFormat="false" ht="15.75" hidden="false" customHeight="false" outlineLevel="0" collapsed="false">
      <c r="A7456" s="6" t="n">
        <v>46187</v>
      </c>
      <c r="B7456" s="4" t="s">
        <v>1237</v>
      </c>
      <c r="C7456" s="4" t="n">
        <v>11</v>
      </c>
      <c r="D7456" s="4" t="n">
        <v>7</v>
      </c>
      <c r="E7456" s="4" t="s">
        <v>3296</v>
      </c>
      <c r="F7456" s="4" t="n">
        <v>4</v>
      </c>
      <c r="G7456" s="4" t="n">
        <v>9</v>
      </c>
      <c r="H7456" s="4" t="n">
        <v>4</v>
      </c>
      <c r="I7456" s="4" t="str">
        <v>×</v>
      </c>
      <c r="J7456" s="4"/>
      <c r="K7456" s="4"/>
      <c r="L7456" s="4"/>
      <c r="M7456" s="5" t="s">
        <v>4475</v>
      </c>
    </row>
    <row r="7457" customFormat="false" ht="15.75" hidden="false" customHeight="false" outlineLevel="0" collapsed="false">
      <c r="A7457" s="6" t="n">
        <v>46187</v>
      </c>
      <c r="B7457" s="4" t="s">
        <v>1237</v>
      </c>
      <c r="C7457" s="4" t="n">
        <v>11</v>
      </c>
      <c r="D7457" s="4" t="n">
        <v>8</v>
      </c>
      <c r="E7457" s="4" t="s">
        <v>3562</v>
      </c>
      <c r="F7457" s="4" t="n">
        <v>3</v>
      </c>
      <c r="G7457" s="4" t="n">
        <v>10</v>
      </c>
      <c r="H7457" s="4" t="n">
        <v>4</v>
      </c>
      <c r="I7457" s="4" t="str">
        <v>×</v>
      </c>
      <c r="J7457" s="4"/>
      <c r="K7457" s="4"/>
      <c r="L7457" s="4"/>
      <c r="M7457" s="5" t="s">
        <v>4475</v>
      </c>
    </row>
    <row r="7458" customFormat="false" ht="15.75" hidden="false" customHeight="false" outlineLevel="0" collapsed="false">
      <c r="A7458" s="6" t="n">
        <v>46187</v>
      </c>
      <c r="B7458" s="4" t="s">
        <v>1237</v>
      </c>
      <c r="C7458" s="4" t="n">
        <v>11</v>
      </c>
      <c r="D7458" s="4" t="n">
        <v>9</v>
      </c>
      <c r="E7458" s="4" t="s">
        <v>3297</v>
      </c>
      <c r="F7458" s="4" t="n">
        <v>20</v>
      </c>
      <c r="G7458" s="4" t="n">
        <v>4</v>
      </c>
      <c r="H7458" s="4" t="n">
        <v>4</v>
      </c>
      <c r="I7458" s="4" t="str">
        <v>×</v>
      </c>
      <c r="J7458" s="4"/>
      <c r="K7458" s="4"/>
      <c r="L7458" s="4"/>
      <c r="M7458" s="5" t="s">
        <v>4475</v>
      </c>
    </row>
    <row r="7459" customFormat="false" ht="15.75" hidden="false" customHeight="false" outlineLevel="0" collapsed="false">
      <c r="A7459" s="6" t="n">
        <v>46187</v>
      </c>
      <c r="B7459" s="4" t="s">
        <v>1237</v>
      </c>
      <c r="C7459" s="4" t="n">
        <v>11</v>
      </c>
      <c r="D7459" s="4" t="n">
        <v>10</v>
      </c>
      <c r="E7459" s="4" t="s">
        <v>5343</v>
      </c>
      <c r="F7459" s="4" t="n">
        <v>10</v>
      </c>
      <c r="G7459" s="4" t="n">
        <v>6</v>
      </c>
      <c r="H7459" s="4" t="n">
        <v>4</v>
      </c>
      <c r="I7459" s="4" t="str">
        <v>×</v>
      </c>
      <c r="J7459" s="4"/>
      <c r="K7459" s="4"/>
      <c r="L7459" s="4"/>
      <c r="M7459" s="5" t="s">
        <v>4475</v>
      </c>
    </row>
    <row r="7460" customFormat="false" ht="15.75" hidden="false" customHeight="false" outlineLevel="0" collapsed="false">
      <c r="A7460" s="6" t="n">
        <v>46187</v>
      </c>
      <c r="B7460" s="4" t="s">
        <v>1237</v>
      </c>
      <c r="C7460" s="4" t="n">
        <v>11</v>
      </c>
      <c r="D7460" s="4" t="n">
        <v>11</v>
      </c>
      <c r="E7460" s="4" t="s">
        <v>5344</v>
      </c>
      <c r="F7460" s="4" t="n">
        <v>6</v>
      </c>
      <c r="G7460" s="4" t="n">
        <v>8</v>
      </c>
      <c r="H7460" s="4" t="n">
        <v>4</v>
      </c>
      <c r="I7460" s="4" t="str">
        <v>×</v>
      </c>
      <c r="J7460" s="4"/>
      <c r="K7460" s="4"/>
      <c r="L7460" s="4"/>
      <c r="M7460" s="5" t="s">
        <v>4475</v>
      </c>
    </row>
    <row r="7461" customFormat="false" ht="15.75" hidden="false" customHeight="false" outlineLevel="0" collapsed="false">
      <c r="A7461" s="6" t="n">
        <v>46187</v>
      </c>
      <c r="B7461" s="4" t="s">
        <v>1237</v>
      </c>
      <c r="C7461" s="4" t="n">
        <v>11</v>
      </c>
      <c r="D7461" s="4" t="n">
        <v>12</v>
      </c>
      <c r="E7461" s="4" t="s">
        <v>3565</v>
      </c>
      <c r="F7461" s="4" t="n">
        <v>6</v>
      </c>
      <c r="G7461" s="4" t="n">
        <v>8</v>
      </c>
      <c r="H7461" s="4" t="n">
        <v>4</v>
      </c>
      <c r="I7461" s="4" t="str">
        <v>×</v>
      </c>
      <c r="J7461" s="4"/>
      <c r="K7461" s="4"/>
      <c r="L7461" s="4"/>
      <c r="M7461" s="5" t="s">
        <v>4475</v>
      </c>
    </row>
    <row r="7462" customFormat="false" ht="15.75" hidden="false" customHeight="false" outlineLevel="0" collapsed="false">
      <c r="A7462" s="6" t="n">
        <v>46187</v>
      </c>
      <c r="B7462" s="4" t="s">
        <v>1237</v>
      </c>
      <c r="C7462" s="4" t="n">
        <v>11</v>
      </c>
      <c r="D7462" s="4" t="n">
        <v>13</v>
      </c>
      <c r="E7462" s="4" t="s">
        <v>2257</v>
      </c>
      <c r="F7462" s="4" t="n">
        <v>10</v>
      </c>
      <c r="G7462" s="4" t="n">
        <v>6</v>
      </c>
      <c r="H7462" s="4" t="n">
        <v>3</v>
      </c>
      <c r="I7462" s="4" t="str">
        <v>○</v>
      </c>
      <c r="J7462" s="4" t="n">
        <v>370</v>
      </c>
      <c r="K7462" s="4"/>
      <c r="L7462" s="4"/>
      <c r="M7462" s="5" t="s">
        <v>4475</v>
      </c>
    </row>
    <row r="7463" customFormat="false" ht="15.75" hidden="false" customHeight="false" outlineLevel="0" collapsed="false">
      <c r="A7463" s="6" t="n">
        <v>46187</v>
      </c>
      <c r="B7463" s="4" t="s">
        <v>1237</v>
      </c>
      <c r="C7463" s="4" t="n">
        <v>11</v>
      </c>
      <c r="D7463" s="4" t="n">
        <v>14</v>
      </c>
      <c r="E7463" s="4" t="s">
        <v>1353</v>
      </c>
      <c r="F7463" s="4" t="n">
        <v>50</v>
      </c>
      <c r="G7463" s="4" t="n">
        <v>2</v>
      </c>
      <c r="H7463" s="4" t="n">
        <v>2</v>
      </c>
      <c r="I7463" s="4" t="str">
        <v>○</v>
      </c>
      <c r="J7463" s="4" t="n">
        <v>250</v>
      </c>
      <c r="K7463" s="4"/>
      <c r="L7463" s="4"/>
      <c r="M7463" s="5" t="s">
        <v>4475</v>
      </c>
    </row>
    <row r="7464" customFormat="false" ht="15.75" hidden="false" customHeight="false" outlineLevel="0" collapsed="false">
      <c r="A7464" s="6" t="n">
        <v>46187</v>
      </c>
      <c r="B7464" s="4" t="s">
        <v>1237</v>
      </c>
      <c r="C7464" s="4" t="n">
        <v>11</v>
      </c>
      <c r="D7464" s="4" t="n">
        <v>15</v>
      </c>
      <c r="E7464" s="4" t="s">
        <v>3299</v>
      </c>
      <c r="F7464" s="4" t="n">
        <v>10</v>
      </c>
      <c r="G7464" s="4" t="n">
        <v>6</v>
      </c>
      <c r="H7464" s="4" t="n">
        <v>4</v>
      </c>
      <c r="I7464" s="4" t="str">
        <v>×</v>
      </c>
      <c r="J7464" s="4"/>
      <c r="K7464" s="4"/>
      <c r="L7464" s="4"/>
      <c r="M7464" s="5" t="s">
        <v>4475</v>
      </c>
    </row>
    <row r="7465" customFormat="false" ht="15.75" hidden="false" customHeight="false" outlineLevel="0" collapsed="false">
      <c r="A7465" s="6" t="n">
        <v>46187</v>
      </c>
      <c r="B7465" s="4" t="s">
        <v>1237</v>
      </c>
      <c r="C7465" s="4" t="n">
        <v>11</v>
      </c>
      <c r="D7465" s="4" t="n">
        <v>16</v>
      </c>
      <c r="E7465" s="4" t="s">
        <v>1349</v>
      </c>
      <c r="F7465" s="4" t="n">
        <v>8</v>
      </c>
      <c r="G7465" s="4" t="n">
        <v>7</v>
      </c>
      <c r="H7465" s="4" t="n">
        <v>4</v>
      </c>
      <c r="I7465" s="4" t="str">
        <v>×</v>
      </c>
      <c r="J7465" s="4"/>
      <c r="K7465" s="4"/>
      <c r="L7465" s="4"/>
      <c r="M7465" s="5" t="s">
        <v>4475</v>
      </c>
    </row>
    <row r="7466" customFormat="false" ht="15.75" hidden="false" customHeight="false" outlineLevel="0" collapsed="false">
      <c r="A7466" s="6" t="n">
        <v>46187</v>
      </c>
      <c r="B7466" s="4" t="s">
        <v>1237</v>
      </c>
      <c r="C7466" s="4" t="n">
        <v>12</v>
      </c>
      <c r="D7466" s="4" t="n">
        <v>1</v>
      </c>
      <c r="E7466" s="4" t="s">
        <v>866</v>
      </c>
      <c r="F7466" s="4" t="n">
        <v>17</v>
      </c>
      <c r="G7466" s="4" t="n">
        <v>6</v>
      </c>
      <c r="H7466" s="4" t="n">
        <v>4</v>
      </c>
      <c r="I7466" s="4" t="str">
        <v>×</v>
      </c>
      <c r="J7466" s="4"/>
      <c r="K7466" s="4"/>
      <c r="L7466" s="4"/>
      <c r="M7466" s="5" t="s">
        <v>4475</v>
      </c>
    </row>
    <row r="7467" customFormat="false" ht="15.75" hidden="false" customHeight="false" outlineLevel="0" collapsed="false">
      <c r="A7467" s="6" t="n">
        <v>46187</v>
      </c>
      <c r="B7467" s="4" t="s">
        <v>1237</v>
      </c>
      <c r="C7467" s="4" t="n">
        <v>12</v>
      </c>
      <c r="D7467" s="4" t="n">
        <v>2</v>
      </c>
      <c r="E7467" s="4" t="s">
        <v>3290</v>
      </c>
      <c r="F7467" s="4" t="n">
        <v>41</v>
      </c>
      <c r="G7467" s="4" t="n">
        <v>2</v>
      </c>
      <c r="H7467" s="4" t="n">
        <v>3</v>
      </c>
      <c r="I7467" s="4" t="str">
        <v>○</v>
      </c>
      <c r="J7467" s="4" t="n">
        <v>150</v>
      </c>
      <c r="K7467" s="4"/>
      <c r="L7467" s="4"/>
      <c r="M7467" s="5" t="s">
        <v>4475</v>
      </c>
    </row>
    <row r="7468" customFormat="false" ht="15.75" hidden="false" customHeight="false" outlineLevel="0" collapsed="false">
      <c r="A7468" s="6" t="n">
        <v>46187</v>
      </c>
      <c r="B7468" s="4" t="s">
        <v>1237</v>
      </c>
      <c r="C7468" s="4" t="n">
        <v>12</v>
      </c>
      <c r="D7468" s="4" t="n">
        <v>3</v>
      </c>
      <c r="E7468" s="4" t="s">
        <v>2240</v>
      </c>
      <c r="F7468" s="4" t="n">
        <v>10</v>
      </c>
      <c r="G7468" s="4" t="n">
        <v>8</v>
      </c>
      <c r="H7468" s="4" t="n">
        <v>4</v>
      </c>
      <c r="I7468" s="4" t="str">
        <v>×</v>
      </c>
      <c r="J7468" s="4"/>
      <c r="K7468" s="4"/>
      <c r="L7468" s="4"/>
      <c r="M7468" s="5" t="s">
        <v>4475</v>
      </c>
    </row>
    <row r="7469" customFormat="false" ht="15.75" hidden="false" customHeight="false" outlineLevel="0" collapsed="false">
      <c r="A7469" s="6" t="n">
        <v>46187</v>
      </c>
      <c r="B7469" s="4" t="s">
        <v>1237</v>
      </c>
      <c r="C7469" s="4" t="n">
        <v>12</v>
      </c>
      <c r="D7469" s="4" t="n">
        <v>4</v>
      </c>
      <c r="E7469" s="4" t="s">
        <v>4470</v>
      </c>
      <c r="F7469" s="4" t="n">
        <v>37</v>
      </c>
      <c r="G7469" s="4" t="n">
        <v>3</v>
      </c>
      <c r="H7469" s="4" t="n">
        <v>2</v>
      </c>
      <c r="I7469" s="4" t="str">
        <v>○</v>
      </c>
      <c r="J7469" s="4" t="n">
        <v>250</v>
      </c>
      <c r="K7469" s="4"/>
      <c r="L7469" s="4"/>
      <c r="M7469" s="5" t="s">
        <v>4475</v>
      </c>
    </row>
    <row r="7470" customFormat="false" ht="15.75" hidden="false" customHeight="false" outlineLevel="0" collapsed="false">
      <c r="A7470" s="6" t="n">
        <v>46187</v>
      </c>
      <c r="B7470" s="4" t="s">
        <v>1237</v>
      </c>
      <c r="C7470" s="4" t="n">
        <v>12</v>
      </c>
      <c r="D7470" s="4" t="n">
        <v>5</v>
      </c>
      <c r="E7470" s="4" t="s">
        <v>422</v>
      </c>
      <c r="F7470" s="4" t="n">
        <v>41</v>
      </c>
      <c r="G7470" s="4" t="n">
        <v>2</v>
      </c>
      <c r="H7470" s="4" t="n">
        <v>4</v>
      </c>
      <c r="I7470" s="4" t="str">
        <v>×</v>
      </c>
      <c r="J7470" s="4"/>
      <c r="K7470" s="4"/>
      <c r="L7470" s="4"/>
      <c r="M7470" s="5" t="s">
        <v>4475</v>
      </c>
    </row>
    <row r="7471" customFormat="false" ht="15.75" hidden="false" customHeight="false" outlineLevel="0" collapsed="false">
      <c r="A7471" s="6" t="n">
        <v>46187</v>
      </c>
      <c r="B7471" s="4" t="s">
        <v>1237</v>
      </c>
      <c r="C7471" s="4" t="n">
        <v>12</v>
      </c>
      <c r="D7471" s="4" t="n">
        <v>6</v>
      </c>
      <c r="E7471" s="4" t="s">
        <v>2988</v>
      </c>
      <c r="F7471" s="4" t="n">
        <v>31</v>
      </c>
      <c r="G7471" s="4" t="n">
        <v>4</v>
      </c>
      <c r="H7471" s="4" t="n">
        <v>4</v>
      </c>
      <c r="I7471" s="4" t="str">
        <v>×</v>
      </c>
      <c r="J7471" s="4"/>
      <c r="K7471" s="4"/>
      <c r="L7471" s="4"/>
      <c r="M7471" s="5" t="s">
        <v>4475</v>
      </c>
    </row>
    <row r="7472" customFormat="false" ht="15.75" hidden="false" customHeight="false" outlineLevel="0" collapsed="false">
      <c r="A7472" s="6" t="n">
        <v>46187</v>
      </c>
      <c r="B7472" s="4" t="s">
        <v>1237</v>
      </c>
      <c r="C7472" s="4" t="n">
        <v>12</v>
      </c>
      <c r="D7472" s="4" t="n">
        <v>7</v>
      </c>
      <c r="E7472" s="4" t="s">
        <v>4250</v>
      </c>
      <c r="F7472" s="4" t="n">
        <v>15</v>
      </c>
      <c r="G7472" s="4" t="n">
        <v>7</v>
      </c>
      <c r="H7472" s="4" t="n">
        <v>4</v>
      </c>
      <c r="I7472" s="4" t="str">
        <v>×</v>
      </c>
      <c r="J7472" s="4"/>
      <c r="K7472" s="4"/>
      <c r="L7472" s="4"/>
      <c r="M7472" s="5" t="s">
        <v>4475</v>
      </c>
    </row>
    <row r="7473" customFormat="false" ht="15.75" hidden="false" customHeight="false" outlineLevel="0" collapsed="false">
      <c r="A7473" s="6" t="n">
        <v>46187</v>
      </c>
      <c r="B7473" s="4" t="s">
        <v>1237</v>
      </c>
      <c r="C7473" s="4" t="n">
        <v>12</v>
      </c>
      <c r="D7473" s="4" t="n">
        <v>8</v>
      </c>
      <c r="E7473" s="4" t="s">
        <v>2976</v>
      </c>
      <c r="F7473" s="4" t="n">
        <v>29</v>
      </c>
      <c r="G7473" s="4" t="n">
        <v>5</v>
      </c>
      <c r="H7473" s="4" t="n">
        <v>1</v>
      </c>
      <c r="I7473" s="4" t="str">
        <v>○</v>
      </c>
      <c r="J7473" s="4" t="n">
        <v>210</v>
      </c>
      <c r="K7473" s="4"/>
      <c r="L7473" s="4"/>
      <c r="M7473" s="5" t="s">
        <v>4475</v>
      </c>
    </row>
    <row r="7474" customFormat="false" ht="15.75" hidden="false" customHeight="false" outlineLevel="0" collapsed="false">
      <c r="A7474" s="6" t="n">
        <v>46187</v>
      </c>
      <c r="B7474" s="4" t="s">
        <v>1237</v>
      </c>
      <c r="C7474" s="4" t="n">
        <v>12</v>
      </c>
      <c r="D7474" s="4" t="n">
        <v>9</v>
      </c>
      <c r="E7474" s="4" t="s">
        <v>868</v>
      </c>
      <c r="F7474" s="4" t="n">
        <v>4</v>
      </c>
      <c r="G7474" s="4" t="n">
        <v>9</v>
      </c>
      <c r="H7474" s="4" t="n">
        <v>4</v>
      </c>
      <c r="I7474" s="4" t="str">
        <v>×</v>
      </c>
      <c r="J7474" s="4"/>
      <c r="K7474" s="4"/>
      <c r="L7474" s="4"/>
      <c r="M7474" s="5" t="s">
        <v>4475</v>
      </c>
    </row>
    <row r="7475" customFormat="false" ht="15.75" hidden="false" customHeight="false" outlineLevel="0" collapsed="false">
      <c r="A7475" s="6" t="n">
        <v>46187</v>
      </c>
      <c r="B7475" s="4" t="s">
        <v>1237</v>
      </c>
      <c r="C7475" s="4" t="n">
        <v>12</v>
      </c>
      <c r="D7475" s="4" t="n">
        <v>10</v>
      </c>
      <c r="E7475" s="4" t="s">
        <v>4471</v>
      </c>
      <c r="F7475" s="4" t="n">
        <v>65</v>
      </c>
      <c r="G7475" s="4" t="n">
        <v>1</v>
      </c>
      <c r="H7475" s="4" t="n">
        <v>4</v>
      </c>
      <c r="I7475" s="4" t="str">
        <v>×</v>
      </c>
      <c r="J7475" s="4"/>
      <c r="K7475" s="4"/>
      <c r="L7475" s="4"/>
      <c r="M7475" s="5" t="s">
        <v>4475</v>
      </c>
    </row>
    <row r="7476" customFormat="false" ht="15.75" hidden="false" customHeight="false" outlineLevel="0" collapsed="false">
      <c r="A7476" s="6" t="n">
        <v>46165</v>
      </c>
      <c r="B7476" s="4" t="s">
        <v>4473</v>
      </c>
      <c r="C7476" s="4" t="n">
        <v>1</v>
      </c>
      <c r="D7476" s="4" t="n">
        <v>1</v>
      </c>
      <c r="E7476" s="4" t="s">
        <v>5345</v>
      </c>
      <c r="F7476" s="4" t="n">
        <v>20</v>
      </c>
      <c r="G7476" s="4" t="n">
        <v>7</v>
      </c>
      <c r="H7476" s="4" t="n">
        <v>4</v>
      </c>
      <c r="I7476" s="4" t="str">
        <v>×</v>
      </c>
      <c r="J7476" s="4"/>
      <c r="K7476" s="4"/>
      <c r="L7476" s="4"/>
      <c r="M7476" s="5" t="s">
        <v>5346</v>
      </c>
    </row>
    <row r="7477" customFormat="false" ht="15.75" hidden="false" customHeight="false" outlineLevel="0" collapsed="false">
      <c r="A7477" s="6" t="n">
        <v>46165</v>
      </c>
      <c r="B7477" s="4" t="s">
        <v>4473</v>
      </c>
      <c r="C7477" s="4" t="n">
        <v>1</v>
      </c>
      <c r="D7477" s="4" t="n">
        <v>2</v>
      </c>
      <c r="E7477" s="4" t="s">
        <v>2999</v>
      </c>
      <c r="F7477" s="4" t="n">
        <v>23</v>
      </c>
      <c r="G7477" s="4" t="n">
        <v>6</v>
      </c>
      <c r="H7477" s="4" t="n">
        <v>4</v>
      </c>
      <c r="I7477" s="4" t="str">
        <v>×</v>
      </c>
      <c r="J7477" s="4"/>
      <c r="K7477" s="4"/>
      <c r="L7477" s="4"/>
      <c r="M7477" s="5" t="s">
        <v>5346</v>
      </c>
    </row>
    <row r="7478" customFormat="false" ht="15.75" hidden="false" customHeight="false" outlineLevel="0" collapsed="false">
      <c r="A7478" s="6" t="n">
        <v>46165</v>
      </c>
      <c r="B7478" s="4" t="s">
        <v>4473</v>
      </c>
      <c r="C7478" s="4" t="n">
        <v>1</v>
      </c>
      <c r="D7478" s="4" t="n">
        <v>3</v>
      </c>
      <c r="E7478" s="4" t="s">
        <v>1889</v>
      </c>
      <c r="F7478" s="4" t="n">
        <v>10</v>
      </c>
      <c r="G7478" s="4" t="n">
        <v>10</v>
      </c>
      <c r="H7478" s="4" t="n">
        <v>4</v>
      </c>
      <c r="I7478" s="4" t="str">
        <v>×</v>
      </c>
      <c r="J7478" s="4"/>
      <c r="K7478" s="4"/>
      <c r="L7478" s="4"/>
      <c r="M7478" s="5" t="s">
        <v>5346</v>
      </c>
    </row>
    <row r="7479" customFormat="false" ht="15.75" hidden="false" customHeight="false" outlineLevel="0" collapsed="false">
      <c r="A7479" s="6" t="n">
        <v>46165</v>
      </c>
      <c r="B7479" s="4" t="s">
        <v>4473</v>
      </c>
      <c r="C7479" s="4" t="n">
        <v>1</v>
      </c>
      <c r="D7479" s="4" t="n">
        <v>4</v>
      </c>
      <c r="E7479" s="4" t="s">
        <v>1892</v>
      </c>
      <c r="F7479" s="4" t="n">
        <v>8</v>
      </c>
      <c r="G7479" s="4" t="n">
        <v>11</v>
      </c>
      <c r="H7479" s="4" t="n">
        <v>4</v>
      </c>
      <c r="I7479" s="4" t="str">
        <v>×</v>
      </c>
      <c r="J7479" s="4"/>
      <c r="K7479" s="4"/>
      <c r="L7479" s="4"/>
      <c r="M7479" s="5" t="s">
        <v>5346</v>
      </c>
    </row>
    <row r="7480" customFormat="false" ht="15.75" hidden="false" customHeight="false" outlineLevel="0" collapsed="false">
      <c r="A7480" s="6" t="n">
        <v>46165</v>
      </c>
      <c r="B7480" s="4" t="s">
        <v>4473</v>
      </c>
      <c r="C7480" s="4" t="n">
        <v>1</v>
      </c>
      <c r="D7480" s="4" t="n">
        <v>5</v>
      </c>
      <c r="E7480" s="4" t="s">
        <v>5347</v>
      </c>
      <c r="F7480" s="4" t="n">
        <v>17</v>
      </c>
      <c r="G7480" s="4" t="n">
        <v>8</v>
      </c>
      <c r="H7480" s="4" t="n">
        <v>4</v>
      </c>
      <c r="I7480" s="4" t="str">
        <v>×</v>
      </c>
      <c r="J7480" s="4"/>
      <c r="K7480" s="4"/>
      <c r="L7480" s="4"/>
      <c r="M7480" s="5" t="s">
        <v>5346</v>
      </c>
    </row>
    <row r="7481" customFormat="false" ht="15.75" hidden="false" customHeight="false" outlineLevel="0" collapsed="false">
      <c r="A7481" s="6" t="n">
        <v>46165</v>
      </c>
      <c r="B7481" s="4" t="s">
        <v>4473</v>
      </c>
      <c r="C7481" s="4" t="n">
        <v>1</v>
      </c>
      <c r="D7481" s="4" t="n">
        <v>6</v>
      </c>
      <c r="E7481" s="4" t="s">
        <v>940</v>
      </c>
      <c r="F7481" s="4" t="n">
        <v>17</v>
      </c>
      <c r="G7481" s="4" t="n">
        <v>8</v>
      </c>
      <c r="H7481" s="4" t="n">
        <v>4</v>
      </c>
      <c r="I7481" s="4" t="str">
        <v>×</v>
      </c>
      <c r="J7481" s="4"/>
      <c r="K7481" s="4"/>
      <c r="L7481" s="4"/>
      <c r="M7481" s="5" t="s">
        <v>5346</v>
      </c>
    </row>
    <row r="7482" customFormat="false" ht="15.75" hidden="false" customHeight="false" outlineLevel="0" collapsed="false">
      <c r="A7482" s="6" t="n">
        <v>46165</v>
      </c>
      <c r="B7482" s="4" t="s">
        <v>4473</v>
      </c>
      <c r="C7482" s="4" t="n">
        <v>1</v>
      </c>
      <c r="D7482" s="4" t="n">
        <v>7</v>
      </c>
      <c r="E7482" s="4" t="s">
        <v>3726</v>
      </c>
      <c r="F7482" s="4" t="n">
        <v>6</v>
      </c>
      <c r="G7482" s="4" t="n">
        <v>12</v>
      </c>
      <c r="H7482" s="4" t="n">
        <v>4</v>
      </c>
      <c r="I7482" s="4" t="str">
        <v>×</v>
      </c>
      <c r="J7482" s="4"/>
      <c r="K7482" s="4"/>
      <c r="L7482" s="4"/>
      <c r="M7482" s="5" t="s">
        <v>5346</v>
      </c>
    </row>
    <row r="7483" customFormat="false" ht="15.75" hidden="false" customHeight="false" outlineLevel="0" collapsed="false">
      <c r="A7483" s="6" t="n">
        <v>46165</v>
      </c>
      <c r="B7483" s="4" t="s">
        <v>4473</v>
      </c>
      <c r="C7483" s="4" t="n">
        <v>1</v>
      </c>
      <c r="D7483" s="4" t="n">
        <v>8</v>
      </c>
      <c r="E7483" s="4" t="s">
        <v>137</v>
      </c>
      <c r="F7483" s="4" t="n">
        <v>37</v>
      </c>
      <c r="G7483" s="4" t="n">
        <v>4</v>
      </c>
      <c r="H7483" s="4" t="n">
        <v>4</v>
      </c>
      <c r="I7483" s="4" t="str">
        <v>×</v>
      </c>
      <c r="J7483" s="4"/>
      <c r="K7483" s="4"/>
      <c r="L7483" s="4"/>
      <c r="M7483" s="5" t="s">
        <v>5346</v>
      </c>
    </row>
    <row r="7484" customFormat="false" ht="15.75" hidden="false" customHeight="false" outlineLevel="0" collapsed="false">
      <c r="A7484" s="6" t="n">
        <v>46165</v>
      </c>
      <c r="B7484" s="4" t="s">
        <v>4473</v>
      </c>
      <c r="C7484" s="4" t="n">
        <v>1</v>
      </c>
      <c r="D7484" s="4" t="n">
        <v>9</v>
      </c>
      <c r="E7484" s="4" t="s">
        <v>5348</v>
      </c>
      <c r="F7484" s="4" t="n">
        <v>6</v>
      </c>
      <c r="G7484" s="4" t="n">
        <v>12</v>
      </c>
      <c r="H7484" s="4" t="n">
        <v>4</v>
      </c>
      <c r="I7484" s="4" t="str">
        <v>×</v>
      </c>
      <c r="J7484" s="4"/>
      <c r="K7484" s="4"/>
      <c r="L7484" s="4"/>
      <c r="M7484" s="5" t="s">
        <v>5346</v>
      </c>
    </row>
    <row r="7485" customFormat="false" ht="15.75" hidden="false" customHeight="false" outlineLevel="0" collapsed="false">
      <c r="A7485" s="6" t="n">
        <v>46165</v>
      </c>
      <c r="B7485" s="4" t="s">
        <v>4473</v>
      </c>
      <c r="C7485" s="4" t="n">
        <v>1</v>
      </c>
      <c r="D7485" s="4" t="n">
        <v>10</v>
      </c>
      <c r="E7485" s="4" t="s">
        <v>2184</v>
      </c>
      <c r="F7485" s="4" t="n">
        <v>25</v>
      </c>
      <c r="G7485" s="4" t="n">
        <v>5</v>
      </c>
      <c r="H7485" s="4" t="n">
        <v>4</v>
      </c>
      <c r="I7485" s="4" t="str">
        <v>×</v>
      </c>
      <c r="J7485" s="4"/>
      <c r="K7485" s="4"/>
      <c r="L7485" s="4"/>
      <c r="M7485" s="5" t="s">
        <v>5346</v>
      </c>
    </row>
    <row r="7486" customFormat="false" ht="15.75" hidden="false" customHeight="false" outlineLevel="0" collapsed="false">
      <c r="A7486" s="6" t="n">
        <v>46165</v>
      </c>
      <c r="B7486" s="4" t="s">
        <v>4473</v>
      </c>
      <c r="C7486" s="4" t="n">
        <v>1</v>
      </c>
      <c r="D7486" s="4" t="n">
        <v>11</v>
      </c>
      <c r="E7486" s="4" t="s">
        <v>5349</v>
      </c>
      <c r="F7486" s="4" t="n">
        <v>6</v>
      </c>
      <c r="G7486" s="4" t="n">
        <v>12</v>
      </c>
      <c r="H7486" s="4" t="n">
        <v>4</v>
      </c>
      <c r="I7486" s="4" t="str">
        <v>×</v>
      </c>
      <c r="J7486" s="4"/>
      <c r="K7486" s="4"/>
      <c r="L7486" s="4"/>
      <c r="M7486" s="5" t="s">
        <v>5346</v>
      </c>
    </row>
    <row r="7487" customFormat="false" ht="15.75" hidden="false" customHeight="false" outlineLevel="0" collapsed="false">
      <c r="A7487" s="6" t="n">
        <v>46165</v>
      </c>
      <c r="B7487" s="4" t="s">
        <v>4473</v>
      </c>
      <c r="C7487" s="4" t="n">
        <v>1</v>
      </c>
      <c r="D7487" s="4" t="n">
        <v>12</v>
      </c>
      <c r="E7487" s="4" t="s">
        <v>2581</v>
      </c>
      <c r="F7487" s="4" t="n">
        <v>13</v>
      </c>
      <c r="G7487" s="4" t="n">
        <v>9</v>
      </c>
      <c r="H7487" s="4" t="n">
        <v>3</v>
      </c>
      <c r="I7487" s="4" t="str">
        <v>○</v>
      </c>
      <c r="J7487" s="4" t="n">
        <v>500</v>
      </c>
      <c r="K7487" s="4"/>
      <c r="L7487" s="4"/>
      <c r="M7487" s="5" t="s">
        <v>5346</v>
      </c>
    </row>
    <row r="7488" customFormat="false" ht="15.75" hidden="false" customHeight="false" outlineLevel="0" collapsed="false">
      <c r="A7488" s="6" t="n">
        <v>46165</v>
      </c>
      <c r="B7488" s="4" t="s">
        <v>4473</v>
      </c>
      <c r="C7488" s="4" t="n">
        <v>1</v>
      </c>
      <c r="D7488" s="4" t="n">
        <v>13</v>
      </c>
      <c r="E7488" s="4" t="s">
        <v>5350</v>
      </c>
      <c r="F7488" s="4" t="n">
        <v>47</v>
      </c>
      <c r="G7488" s="4" t="n">
        <v>3</v>
      </c>
      <c r="H7488" s="4" t="n">
        <v>1</v>
      </c>
      <c r="I7488" s="4" t="str">
        <v>○</v>
      </c>
      <c r="J7488" s="4" t="n">
        <v>250</v>
      </c>
      <c r="K7488" s="4"/>
      <c r="L7488" s="4"/>
      <c r="M7488" s="5" t="s">
        <v>5346</v>
      </c>
    </row>
    <row r="7489" customFormat="false" ht="15.75" hidden="false" customHeight="false" outlineLevel="0" collapsed="false">
      <c r="A7489" s="6" t="n">
        <v>46165</v>
      </c>
      <c r="B7489" s="4" t="s">
        <v>4473</v>
      </c>
      <c r="C7489" s="4" t="n">
        <v>1</v>
      </c>
      <c r="D7489" s="4" t="n">
        <v>14</v>
      </c>
      <c r="E7489" s="4" t="s">
        <v>2369</v>
      </c>
      <c r="F7489" s="4" t="n">
        <v>56</v>
      </c>
      <c r="G7489" s="4" t="n">
        <v>1</v>
      </c>
      <c r="H7489" s="4" t="n">
        <v>2</v>
      </c>
      <c r="I7489" s="4" t="str">
        <v>○</v>
      </c>
      <c r="J7489" s="4" t="n">
        <v>150</v>
      </c>
      <c r="K7489" s="4"/>
      <c r="L7489" s="4"/>
      <c r="M7489" s="5" t="s">
        <v>5346</v>
      </c>
    </row>
    <row r="7490" customFormat="false" ht="15.75" hidden="false" customHeight="false" outlineLevel="0" collapsed="false">
      <c r="A7490" s="6" t="n">
        <v>46165</v>
      </c>
      <c r="B7490" s="4" t="s">
        <v>4473</v>
      </c>
      <c r="C7490" s="4" t="n">
        <v>1</v>
      </c>
      <c r="D7490" s="4" t="n">
        <v>15</v>
      </c>
      <c r="E7490" s="4" t="s">
        <v>491</v>
      </c>
      <c r="F7490" s="4" t="n">
        <v>52</v>
      </c>
      <c r="G7490" s="4" t="n">
        <v>2</v>
      </c>
      <c r="H7490" s="4" t="n">
        <v>4</v>
      </c>
      <c r="I7490" s="4" t="str">
        <v>×</v>
      </c>
      <c r="J7490" s="4"/>
      <c r="K7490" s="4"/>
      <c r="L7490" s="4"/>
      <c r="M7490" s="5" t="s">
        <v>5346</v>
      </c>
    </row>
    <row r="7491" customFormat="false" ht="15.75" hidden="false" customHeight="false" outlineLevel="0" collapsed="false">
      <c r="A7491" s="6" t="n">
        <v>46165</v>
      </c>
      <c r="B7491" s="4" t="s">
        <v>4473</v>
      </c>
      <c r="C7491" s="4" t="n">
        <v>2</v>
      </c>
      <c r="D7491" s="4" t="n">
        <v>1</v>
      </c>
      <c r="E7491" s="4" t="s">
        <v>5351</v>
      </c>
      <c r="F7491" s="4" t="n">
        <v>39</v>
      </c>
      <c r="G7491" s="4" t="n">
        <v>3</v>
      </c>
      <c r="H7491" s="4" t="n">
        <v>1</v>
      </c>
      <c r="I7491" s="4" t="str">
        <v>○</v>
      </c>
      <c r="J7491" s="4" t="n">
        <v>120</v>
      </c>
      <c r="K7491" s="4"/>
      <c r="L7491" s="4"/>
      <c r="M7491" s="5" t="s">
        <v>5346</v>
      </c>
    </row>
    <row r="7492" customFormat="false" ht="15.75" hidden="false" customHeight="false" outlineLevel="0" collapsed="false">
      <c r="A7492" s="6" t="n">
        <v>46165</v>
      </c>
      <c r="B7492" s="4" t="s">
        <v>4473</v>
      </c>
      <c r="C7492" s="4" t="n">
        <v>2</v>
      </c>
      <c r="D7492" s="4" t="n">
        <v>2</v>
      </c>
      <c r="E7492" s="4" t="s">
        <v>5352</v>
      </c>
      <c r="F7492" s="4" t="n">
        <v>10</v>
      </c>
      <c r="G7492" s="4" t="n">
        <v>7</v>
      </c>
      <c r="H7492" s="4" t="n">
        <v>4</v>
      </c>
      <c r="I7492" s="4" t="str">
        <v>×</v>
      </c>
      <c r="J7492" s="4"/>
      <c r="K7492" s="4"/>
      <c r="L7492" s="4"/>
      <c r="M7492" s="5" t="s">
        <v>5346</v>
      </c>
    </row>
    <row r="7493" customFormat="false" ht="15.75" hidden="false" customHeight="false" outlineLevel="0" collapsed="false">
      <c r="A7493" s="6" t="n">
        <v>46165</v>
      </c>
      <c r="B7493" s="4" t="s">
        <v>4473</v>
      </c>
      <c r="C7493" s="4" t="n">
        <v>2</v>
      </c>
      <c r="D7493" s="4" t="n">
        <v>3</v>
      </c>
      <c r="E7493" s="4" t="s">
        <v>2347</v>
      </c>
      <c r="F7493" s="4" t="n">
        <v>6</v>
      </c>
      <c r="G7493" s="4" t="n">
        <v>9</v>
      </c>
      <c r="H7493" s="4" t="n">
        <v>4</v>
      </c>
      <c r="I7493" s="4" t="str">
        <v>×</v>
      </c>
      <c r="J7493" s="4"/>
      <c r="K7493" s="4"/>
      <c r="L7493" s="4"/>
      <c r="M7493" s="5" t="s">
        <v>5346</v>
      </c>
    </row>
    <row r="7494" customFormat="false" ht="15.75" hidden="false" customHeight="false" outlineLevel="0" collapsed="false">
      <c r="A7494" s="6" t="n">
        <v>46165</v>
      </c>
      <c r="B7494" s="4" t="s">
        <v>4473</v>
      </c>
      <c r="C7494" s="4" t="n">
        <v>2</v>
      </c>
      <c r="D7494" s="4" t="n">
        <v>4</v>
      </c>
      <c r="E7494" s="4" t="s">
        <v>5353</v>
      </c>
      <c r="F7494" s="4" t="n">
        <v>3</v>
      </c>
      <c r="G7494" s="4" t="n">
        <v>11</v>
      </c>
      <c r="H7494" s="4" t="n">
        <v>4</v>
      </c>
      <c r="I7494" s="4" t="str">
        <v>×</v>
      </c>
      <c r="J7494" s="4"/>
      <c r="K7494" s="4"/>
      <c r="L7494" s="4"/>
      <c r="M7494" s="5" t="s">
        <v>5346</v>
      </c>
    </row>
    <row r="7495" customFormat="false" ht="15.75" hidden="false" customHeight="false" outlineLevel="0" collapsed="false">
      <c r="A7495" s="6" t="n">
        <v>46165</v>
      </c>
      <c r="B7495" s="4" t="s">
        <v>4473</v>
      </c>
      <c r="C7495" s="4" t="n">
        <v>2</v>
      </c>
      <c r="D7495" s="4" t="n">
        <v>5</v>
      </c>
      <c r="E7495" s="4" t="s">
        <v>5354</v>
      </c>
      <c r="F7495" s="4" t="n">
        <v>3</v>
      </c>
      <c r="G7495" s="4" t="n">
        <v>11</v>
      </c>
      <c r="H7495" s="4" t="n">
        <v>4</v>
      </c>
      <c r="I7495" s="4" t="str">
        <v>×</v>
      </c>
      <c r="J7495" s="4"/>
      <c r="K7495" s="4"/>
      <c r="L7495" s="4"/>
      <c r="M7495" s="5" t="s">
        <v>5346</v>
      </c>
    </row>
    <row r="7496" customFormat="false" ht="15.75" hidden="false" customHeight="false" outlineLevel="0" collapsed="false">
      <c r="A7496" s="6" t="n">
        <v>46165</v>
      </c>
      <c r="B7496" s="4" t="s">
        <v>4473</v>
      </c>
      <c r="C7496" s="4" t="n">
        <v>2</v>
      </c>
      <c r="D7496" s="4" t="n">
        <v>6</v>
      </c>
      <c r="E7496" s="4" t="s">
        <v>5355</v>
      </c>
      <c r="F7496" s="4" t="n">
        <v>17</v>
      </c>
      <c r="G7496" s="4" t="n">
        <v>5</v>
      </c>
      <c r="H7496" s="4" t="n">
        <v>4</v>
      </c>
      <c r="I7496" s="4" t="str">
        <v>×</v>
      </c>
      <c r="J7496" s="4"/>
      <c r="K7496" s="4"/>
      <c r="L7496" s="4"/>
      <c r="M7496" s="5" t="s">
        <v>5346</v>
      </c>
    </row>
    <row r="7497" customFormat="false" ht="15.75" hidden="false" customHeight="false" outlineLevel="0" collapsed="false">
      <c r="A7497" s="6" t="n">
        <v>46165</v>
      </c>
      <c r="B7497" s="4" t="s">
        <v>4473</v>
      </c>
      <c r="C7497" s="4" t="n">
        <v>2</v>
      </c>
      <c r="D7497" s="4" t="n">
        <v>7</v>
      </c>
      <c r="E7497" s="4" t="s">
        <v>4104</v>
      </c>
      <c r="F7497" s="4" t="n">
        <v>15</v>
      </c>
      <c r="G7497" s="4" t="n">
        <v>6</v>
      </c>
      <c r="H7497" s="4" t="n">
        <v>4</v>
      </c>
      <c r="I7497" s="4" t="str">
        <v>×</v>
      </c>
      <c r="J7497" s="4"/>
      <c r="K7497" s="4"/>
      <c r="L7497" s="4"/>
      <c r="M7497" s="5" t="s">
        <v>5346</v>
      </c>
    </row>
    <row r="7498" customFormat="false" ht="15.75" hidden="false" customHeight="false" outlineLevel="0" collapsed="false">
      <c r="A7498" s="6" t="n">
        <v>46165</v>
      </c>
      <c r="B7498" s="4" t="s">
        <v>4473</v>
      </c>
      <c r="C7498" s="4" t="n">
        <v>2</v>
      </c>
      <c r="D7498" s="4" t="n">
        <v>8</v>
      </c>
      <c r="E7498" s="4" t="s">
        <v>5356</v>
      </c>
      <c r="F7498" s="4" t="n">
        <v>34</v>
      </c>
      <c r="G7498" s="4" t="n">
        <v>4</v>
      </c>
      <c r="H7498" s="4" t="n">
        <v>4</v>
      </c>
      <c r="I7498" s="4" t="str">
        <v>×</v>
      </c>
      <c r="J7498" s="4"/>
      <c r="K7498" s="4"/>
      <c r="L7498" s="4"/>
      <c r="M7498" s="5" t="s">
        <v>5346</v>
      </c>
    </row>
    <row r="7499" customFormat="false" ht="15.75" hidden="false" customHeight="false" outlineLevel="0" collapsed="false">
      <c r="A7499" s="6" t="n">
        <v>46165</v>
      </c>
      <c r="B7499" s="4" t="s">
        <v>4473</v>
      </c>
      <c r="C7499" s="4" t="n">
        <v>2</v>
      </c>
      <c r="D7499" s="4" t="n">
        <v>9</v>
      </c>
      <c r="E7499" s="4" t="s">
        <v>5357</v>
      </c>
      <c r="F7499" s="4" t="n">
        <v>6</v>
      </c>
      <c r="G7499" s="4" t="n">
        <v>9</v>
      </c>
      <c r="H7499" s="4" t="n">
        <v>4</v>
      </c>
      <c r="I7499" s="4" t="str">
        <v>×</v>
      </c>
      <c r="J7499" s="4"/>
      <c r="K7499" s="4"/>
      <c r="L7499" s="4"/>
      <c r="M7499" s="5" t="s">
        <v>5346</v>
      </c>
    </row>
    <row r="7500" customFormat="false" ht="15.75" hidden="false" customHeight="false" outlineLevel="0" collapsed="false">
      <c r="A7500" s="6" t="n">
        <v>46165</v>
      </c>
      <c r="B7500" s="4" t="s">
        <v>4473</v>
      </c>
      <c r="C7500" s="4" t="n">
        <v>2</v>
      </c>
      <c r="D7500" s="4" t="n">
        <v>10</v>
      </c>
      <c r="E7500" s="4" t="s">
        <v>2688</v>
      </c>
      <c r="F7500" s="4" t="n">
        <v>6</v>
      </c>
      <c r="G7500" s="4" t="n">
        <v>9</v>
      </c>
      <c r="H7500" s="4" t="n">
        <v>4</v>
      </c>
      <c r="I7500" s="4" t="str">
        <v>×</v>
      </c>
      <c r="J7500" s="4"/>
      <c r="K7500" s="4"/>
      <c r="L7500" s="4"/>
      <c r="M7500" s="5" t="s">
        <v>5346</v>
      </c>
    </row>
    <row r="7501" customFormat="false" ht="15.75" hidden="false" customHeight="false" outlineLevel="0" collapsed="false">
      <c r="A7501" s="6" t="n">
        <v>46165</v>
      </c>
      <c r="B7501" s="4" t="s">
        <v>4473</v>
      </c>
      <c r="C7501" s="4" t="n">
        <v>2</v>
      </c>
      <c r="D7501" s="4" t="n">
        <v>11</v>
      </c>
      <c r="E7501" s="4" t="s">
        <v>5125</v>
      </c>
      <c r="F7501" s="4" t="n">
        <v>4</v>
      </c>
      <c r="G7501" s="4" t="n">
        <v>10</v>
      </c>
      <c r="H7501" s="4" t="n">
        <v>4</v>
      </c>
      <c r="I7501" s="4" t="str">
        <v>×</v>
      </c>
      <c r="J7501" s="4"/>
      <c r="K7501" s="4"/>
      <c r="L7501" s="4"/>
      <c r="M7501" s="5" t="s">
        <v>5346</v>
      </c>
    </row>
    <row r="7502" customFormat="false" ht="15.75" hidden="false" customHeight="false" outlineLevel="0" collapsed="false">
      <c r="A7502" s="6" t="n">
        <v>46165</v>
      </c>
      <c r="B7502" s="4" t="s">
        <v>4473</v>
      </c>
      <c r="C7502" s="4" t="n">
        <v>2</v>
      </c>
      <c r="D7502" s="4" t="n">
        <v>12</v>
      </c>
      <c r="E7502" s="4" t="s">
        <v>5358</v>
      </c>
      <c r="F7502" s="4" t="n">
        <v>4</v>
      </c>
      <c r="G7502" s="4" t="n">
        <v>10</v>
      </c>
      <c r="H7502" s="4" t="n">
        <v>4</v>
      </c>
      <c r="I7502" s="4" t="str">
        <v>×</v>
      </c>
      <c r="J7502" s="4"/>
      <c r="K7502" s="4"/>
      <c r="L7502" s="4"/>
      <c r="M7502" s="5" t="s">
        <v>5346</v>
      </c>
    </row>
    <row r="7503" customFormat="false" ht="15.75" hidden="false" customHeight="false" outlineLevel="0" collapsed="false">
      <c r="A7503" s="6" t="n">
        <v>46165</v>
      </c>
      <c r="B7503" s="4" t="s">
        <v>4473</v>
      </c>
      <c r="C7503" s="4" t="n">
        <v>2</v>
      </c>
      <c r="D7503" s="4" t="n">
        <v>13</v>
      </c>
      <c r="E7503" s="4" t="s">
        <v>2703</v>
      </c>
      <c r="F7503" s="4" t="n">
        <v>4</v>
      </c>
      <c r="G7503" s="4" t="n">
        <v>10</v>
      </c>
      <c r="H7503" s="4" t="n">
        <v>4</v>
      </c>
      <c r="I7503" s="4" t="str">
        <v>×</v>
      </c>
      <c r="J7503" s="4"/>
      <c r="K7503" s="4"/>
      <c r="L7503" s="4"/>
      <c r="M7503" s="5" t="s">
        <v>5346</v>
      </c>
    </row>
    <row r="7504" customFormat="false" ht="15.75" hidden="false" customHeight="false" outlineLevel="0" collapsed="false">
      <c r="A7504" s="6" t="n">
        <v>46165</v>
      </c>
      <c r="B7504" s="4" t="s">
        <v>4473</v>
      </c>
      <c r="C7504" s="4" t="n">
        <v>2</v>
      </c>
      <c r="D7504" s="4" t="n">
        <v>14</v>
      </c>
      <c r="E7504" s="4" t="s">
        <v>3332</v>
      </c>
      <c r="F7504" s="4" t="n">
        <v>81</v>
      </c>
      <c r="G7504" s="4" t="n">
        <v>1</v>
      </c>
      <c r="H7504" s="4" t="n">
        <v>2</v>
      </c>
      <c r="I7504" s="4" t="str">
        <v>○</v>
      </c>
      <c r="J7504" s="4" t="n">
        <v>110</v>
      </c>
      <c r="K7504" s="4"/>
      <c r="L7504" s="4"/>
      <c r="M7504" s="5" t="s">
        <v>5346</v>
      </c>
    </row>
    <row r="7505" customFormat="false" ht="15.75" hidden="false" customHeight="false" outlineLevel="0" collapsed="false">
      <c r="A7505" s="6" t="n">
        <v>46165</v>
      </c>
      <c r="B7505" s="4" t="s">
        <v>4473</v>
      </c>
      <c r="C7505" s="4" t="n">
        <v>2</v>
      </c>
      <c r="D7505" s="4" t="n">
        <v>15</v>
      </c>
      <c r="E7505" s="4" t="s">
        <v>5359</v>
      </c>
      <c r="F7505" s="4" t="n">
        <v>8</v>
      </c>
      <c r="G7505" s="4" t="n">
        <v>8</v>
      </c>
      <c r="H7505" s="4" t="n">
        <v>4</v>
      </c>
      <c r="I7505" s="4" t="str">
        <v>×</v>
      </c>
      <c r="J7505" s="4"/>
      <c r="K7505" s="4"/>
      <c r="L7505" s="4"/>
      <c r="M7505" s="5" t="s">
        <v>5346</v>
      </c>
    </row>
    <row r="7506" customFormat="false" ht="15.75" hidden="false" customHeight="false" outlineLevel="0" collapsed="false">
      <c r="A7506" s="6" t="n">
        <v>46165</v>
      </c>
      <c r="B7506" s="4" t="s">
        <v>4473</v>
      </c>
      <c r="C7506" s="4" t="n">
        <v>2</v>
      </c>
      <c r="D7506" s="4" t="n">
        <v>16</v>
      </c>
      <c r="E7506" s="4" t="s">
        <v>49</v>
      </c>
      <c r="F7506" s="4" t="n">
        <v>41</v>
      </c>
      <c r="G7506" s="4" t="n">
        <v>2</v>
      </c>
      <c r="H7506" s="4" t="n">
        <v>3</v>
      </c>
      <c r="I7506" s="4" t="str">
        <v>○</v>
      </c>
      <c r="J7506" s="4" t="n">
        <v>120</v>
      </c>
      <c r="K7506" s="4"/>
      <c r="L7506" s="4"/>
      <c r="M7506" s="5" t="s">
        <v>5346</v>
      </c>
    </row>
    <row r="7507" customFormat="false" ht="15.75" hidden="false" customHeight="false" outlineLevel="0" collapsed="false">
      <c r="A7507" s="6" t="n">
        <v>46165</v>
      </c>
      <c r="B7507" s="4" t="s">
        <v>4473</v>
      </c>
      <c r="C7507" s="4" t="n">
        <v>3</v>
      </c>
      <c r="D7507" s="4" t="n">
        <v>1</v>
      </c>
      <c r="E7507" s="4" t="s">
        <v>4235</v>
      </c>
      <c r="F7507" s="4" t="n">
        <v>13</v>
      </c>
      <c r="G7507" s="4" t="n">
        <v>7</v>
      </c>
      <c r="H7507" s="4" t="n">
        <v>4</v>
      </c>
      <c r="I7507" s="4" t="str">
        <v>×</v>
      </c>
      <c r="J7507" s="4"/>
      <c r="K7507" s="4"/>
      <c r="L7507" s="4"/>
      <c r="M7507" s="5" t="s">
        <v>5346</v>
      </c>
    </row>
    <row r="7508" customFormat="false" ht="15.75" hidden="false" customHeight="false" outlineLevel="0" collapsed="false">
      <c r="A7508" s="6" t="n">
        <v>46165</v>
      </c>
      <c r="B7508" s="4" t="s">
        <v>4473</v>
      </c>
      <c r="C7508" s="4" t="n">
        <v>3</v>
      </c>
      <c r="D7508" s="4" t="n">
        <v>2</v>
      </c>
      <c r="E7508" s="4" t="s">
        <v>2579</v>
      </c>
      <c r="F7508" s="4" t="n">
        <v>10</v>
      </c>
      <c r="G7508" s="4" t="n">
        <v>8</v>
      </c>
      <c r="H7508" s="4" t="n">
        <v>4</v>
      </c>
      <c r="I7508" s="4" t="str">
        <v>×</v>
      </c>
      <c r="J7508" s="4"/>
      <c r="K7508" s="4"/>
      <c r="L7508" s="4"/>
      <c r="M7508" s="5" t="s">
        <v>5346</v>
      </c>
    </row>
    <row r="7509" customFormat="false" ht="15.75" hidden="false" customHeight="false" outlineLevel="0" collapsed="false">
      <c r="A7509" s="6" t="n">
        <v>46165</v>
      </c>
      <c r="B7509" s="4" t="s">
        <v>4473</v>
      </c>
      <c r="C7509" s="4" t="n">
        <v>3</v>
      </c>
      <c r="D7509" s="4" t="n">
        <v>3</v>
      </c>
      <c r="E7509" s="4" t="s">
        <v>4684</v>
      </c>
      <c r="F7509" s="4" t="n">
        <v>23</v>
      </c>
      <c r="G7509" s="4" t="n">
        <v>5</v>
      </c>
      <c r="H7509" s="4" t="n">
        <v>3</v>
      </c>
      <c r="I7509" s="4" t="str">
        <v>○</v>
      </c>
      <c r="J7509" s="4" t="n">
        <v>340</v>
      </c>
      <c r="K7509" s="4"/>
      <c r="L7509" s="4"/>
      <c r="M7509" s="5" t="s">
        <v>5346</v>
      </c>
    </row>
    <row r="7510" customFormat="false" ht="15.75" hidden="false" customHeight="false" outlineLevel="0" collapsed="false">
      <c r="A7510" s="6" t="n">
        <v>46165</v>
      </c>
      <c r="B7510" s="4" t="s">
        <v>4473</v>
      </c>
      <c r="C7510" s="4" t="n">
        <v>3</v>
      </c>
      <c r="D7510" s="4" t="n">
        <v>4</v>
      </c>
      <c r="E7510" s="4" t="s">
        <v>1472</v>
      </c>
      <c r="F7510" s="4" t="n">
        <v>56</v>
      </c>
      <c r="G7510" s="4" t="n">
        <v>3</v>
      </c>
      <c r="H7510" s="4" t="n">
        <v>4</v>
      </c>
      <c r="I7510" s="4" t="str">
        <v>×</v>
      </c>
      <c r="J7510" s="4"/>
      <c r="K7510" s="4"/>
      <c r="L7510" s="4"/>
      <c r="M7510" s="5" t="s">
        <v>5346</v>
      </c>
    </row>
    <row r="7511" customFormat="false" ht="15.75" hidden="false" customHeight="false" outlineLevel="0" collapsed="false">
      <c r="A7511" s="6" t="n">
        <v>46165</v>
      </c>
      <c r="B7511" s="4" t="s">
        <v>4473</v>
      </c>
      <c r="C7511" s="4" t="n">
        <v>3</v>
      </c>
      <c r="D7511" s="4" t="n">
        <v>5</v>
      </c>
      <c r="E7511" s="4" t="s">
        <v>5360</v>
      </c>
      <c r="F7511" s="4" t="n">
        <v>34</v>
      </c>
      <c r="G7511" s="4" t="n">
        <v>4</v>
      </c>
      <c r="H7511" s="4" t="n">
        <v>4</v>
      </c>
      <c r="I7511" s="4" t="str">
        <v>×</v>
      </c>
      <c r="J7511" s="4"/>
      <c r="K7511" s="4"/>
      <c r="L7511" s="4"/>
      <c r="M7511" s="5" t="s">
        <v>5346</v>
      </c>
    </row>
    <row r="7512" customFormat="false" ht="15.75" hidden="false" customHeight="false" outlineLevel="0" collapsed="false">
      <c r="A7512" s="6" t="n">
        <v>46165</v>
      </c>
      <c r="B7512" s="4" t="s">
        <v>4473</v>
      </c>
      <c r="C7512" s="4" t="n">
        <v>3</v>
      </c>
      <c r="D7512" s="4" t="n">
        <v>6</v>
      </c>
      <c r="E7512" s="4" t="s">
        <v>5361</v>
      </c>
      <c r="F7512" s="4" t="n">
        <v>58</v>
      </c>
      <c r="G7512" s="4" t="n">
        <v>2</v>
      </c>
      <c r="H7512" s="4" t="n">
        <v>1</v>
      </c>
      <c r="I7512" s="4" t="str">
        <v>○</v>
      </c>
      <c r="J7512" s="4" t="n">
        <v>110</v>
      </c>
      <c r="K7512" s="4"/>
      <c r="L7512" s="4"/>
      <c r="M7512" s="5" t="s">
        <v>5346</v>
      </c>
    </row>
    <row r="7513" customFormat="false" ht="15.75" hidden="false" customHeight="false" outlineLevel="0" collapsed="false">
      <c r="A7513" s="6" t="n">
        <v>46165</v>
      </c>
      <c r="B7513" s="4" t="s">
        <v>4473</v>
      </c>
      <c r="C7513" s="4" t="n">
        <v>3</v>
      </c>
      <c r="D7513" s="4" t="n">
        <v>7</v>
      </c>
      <c r="E7513" s="4" t="s">
        <v>1261</v>
      </c>
      <c r="F7513" s="4" t="n">
        <v>20</v>
      </c>
      <c r="G7513" s="4" t="n">
        <v>6</v>
      </c>
      <c r="H7513" s="4" t="n">
        <v>4</v>
      </c>
      <c r="I7513" s="4" t="str">
        <v>×</v>
      </c>
      <c r="J7513" s="4"/>
      <c r="K7513" s="4"/>
      <c r="L7513" s="4"/>
      <c r="M7513" s="5" t="s">
        <v>5346</v>
      </c>
    </row>
    <row r="7514" customFormat="false" ht="15.75" hidden="false" customHeight="false" outlineLevel="0" collapsed="false">
      <c r="A7514" s="6" t="n">
        <v>46165</v>
      </c>
      <c r="B7514" s="4" t="s">
        <v>4473</v>
      </c>
      <c r="C7514" s="4" t="n">
        <v>3</v>
      </c>
      <c r="D7514" s="4" t="n">
        <v>8</v>
      </c>
      <c r="E7514" s="4" t="s">
        <v>5130</v>
      </c>
      <c r="F7514" s="4" t="n">
        <v>65</v>
      </c>
      <c r="G7514" s="4" t="n">
        <v>1</v>
      </c>
      <c r="H7514" s="4" t="n">
        <v>2</v>
      </c>
      <c r="I7514" s="4" t="str">
        <v>○</v>
      </c>
      <c r="J7514" s="4" t="n">
        <v>110</v>
      </c>
      <c r="K7514" s="4"/>
      <c r="L7514" s="4"/>
      <c r="M7514" s="5" t="s">
        <v>5346</v>
      </c>
    </row>
    <row r="7515" customFormat="false" ht="15.75" hidden="false" customHeight="false" outlineLevel="0" collapsed="false">
      <c r="A7515" s="6" t="n">
        <v>46165</v>
      </c>
      <c r="B7515" s="4" t="s">
        <v>4473</v>
      </c>
      <c r="C7515" s="4" t="n">
        <v>3</v>
      </c>
      <c r="D7515" s="4" t="n">
        <v>9</v>
      </c>
      <c r="E7515" s="4" t="s">
        <v>5362</v>
      </c>
      <c r="F7515" s="4" t="n">
        <v>3</v>
      </c>
      <c r="G7515" s="4" t="n">
        <v>11</v>
      </c>
      <c r="H7515" s="4" t="n">
        <v>4</v>
      </c>
      <c r="I7515" s="4" t="str">
        <v>×</v>
      </c>
      <c r="J7515" s="4"/>
      <c r="K7515" s="4"/>
      <c r="L7515" s="4"/>
      <c r="M7515" s="5" t="s">
        <v>5346</v>
      </c>
    </row>
    <row r="7516" customFormat="false" ht="15.75" hidden="false" customHeight="false" outlineLevel="0" collapsed="false">
      <c r="A7516" s="6" t="n">
        <v>46165</v>
      </c>
      <c r="B7516" s="4" t="s">
        <v>4473</v>
      </c>
      <c r="C7516" s="4" t="n">
        <v>3</v>
      </c>
      <c r="D7516" s="4" t="n">
        <v>10</v>
      </c>
      <c r="E7516" s="4" t="s">
        <v>1918</v>
      </c>
      <c r="F7516" s="4" t="n">
        <v>8</v>
      </c>
      <c r="G7516" s="4" t="n">
        <v>9</v>
      </c>
      <c r="H7516" s="4" t="n">
        <v>4</v>
      </c>
      <c r="I7516" s="4" t="str">
        <v>×</v>
      </c>
      <c r="J7516" s="4"/>
      <c r="K7516" s="4"/>
      <c r="L7516" s="4"/>
      <c r="M7516" s="5" t="s">
        <v>5346</v>
      </c>
    </row>
    <row r="7517" customFormat="false" ht="15.75" hidden="false" customHeight="false" outlineLevel="0" collapsed="false">
      <c r="A7517" s="6" t="n">
        <v>46165</v>
      </c>
      <c r="B7517" s="4" t="s">
        <v>4473</v>
      </c>
      <c r="C7517" s="4" t="n">
        <v>3</v>
      </c>
      <c r="D7517" s="4" t="n">
        <v>11</v>
      </c>
      <c r="E7517" s="4" t="s">
        <v>4017</v>
      </c>
      <c r="F7517" s="4" t="n">
        <v>8</v>
      </c>
      <c r="G7517" s="4" t="n">
        <v>9</v>
      </c>
      <c r="H7517" s="4" t="n">
        <v>4</v>
      </c>
      <c r="I7517" s="4" t="str">
        <v>×</v>
      </c>
      <c r="J7517" s="4"/>
      <c r="K7517" s="4"/>
      <c r="L7517" s="4"/>
      <c r="M7517" s="5" t="s">
        <v>5346</v>
      </c>
    </row>
    <row r="7518" customFormat="false" ht="15.75" hidden="false" customHeight="false" outlineLevel="0" collapsed="false">
      <c r="A7518" s="6" t="n">
        <v>46165</v>
      </c>
      <c r="B7518" s="4" t="s">
        <v>4473</v>
      </c>
      <c r="C7518" s="4" t="n">
        <v>3</v>
      </c>
      <c r="D7518" s="4" t="n">
        <v>12</v>
      </c>
      <c r="E7518" s="4" t="s">
        <v>5363</v>
      </c>
      <c r="F7518" s="4" t="n">
        <v>8</v>
      </c>
      <c r="G7518" s="4" t="n">
        <v>9</v>
      </c>
      <c r="H7518" s="4" t="n">
        <v>4</v>
      </c>
      <c r="I7518" s="4" t="str">
        <v>×</v>
      </c>
      <c r="J7518" s="4"/>
      <c r="K7518" s="4"/>
      <c r="L7518" s="4"/>
      <c r="M7518" s="5" t="s">
        <v>5346</v>
      </c>
    </row>
    <row r="7519" customFormat="false" ht="15.75" hidden="false" customHeight="false" outlineLevel="0" collapsed="false">
      <c r="A7519" s="6" t="n">
        <v>46165</v>
      </c>
      <c r="B7519" s="4" t="s">
        <v>4473</v>
      </c>
      <c r="C7519" s="4" t="n">
        <v>3</v>
      </c>
      <c r="D7519" s="4" t="n">
        <v>13</v>
      </c>
      <c r="E7519" s="4" t="s">
        <v>5364</v>
      </c>
      <c r="F7519" s="4" t="n">
        <v>4</v>
      </c>
      <c r="G7519" s="4" t="n">
        <v>10</v>
      </c>
      <c r="H7519" s="4" t="n">
        <v>4</v>
      </c>
      <c r="I7519" s="4" t="str">
        <v>×</v>
      </c>
      <c r="J7519" s="4"/>
      <c r="K7519" s="4"/>
      <c r="L7519" s="4"/>
      <c r="M7519" s="5" t="s">
        <v>5346</v>
      </c>
    </row>
    <row r="7520" customFormat="false" ht="15.75" hidden="false" customHeight="false" outlineLevel="0" collapsed="false">
      <c r="A7520" s="6" t="n">
        <v>46165</v>
      </c>
      <c r="B7520" s="4" t="s">
        <v>4473</v>
      </c>
      <c r="C7520" s="4" t="n">
        <v>4</v>
      </c>
      <c r="D7520" s="4" t="n">
        <v>1</v>
      </c>
      <c r="E7520" s="4" t="s">
        <v>5365</v>
      </c>
      <c r="F7520" s="4" t="n">
        <v>15</v>
      </c>
      <c r="G7520" s="4" t="n">
        <v>7</v>
      </c>
      <c r="H7520" s="4" t="n">
        <v>4</v>
      </c>
      <c r="I7520" s="4" t="str">
        <v>×</v>
      </c>
      <c r="J7520" s="4"/>
      <c r="K7520" s="4"/>
      <c r="L7520" s="4"/>
      <c r="M7520" s="5" t="s">
        <v>5346</v>
      </c>
    </row>
    <row r="7521" customFormat="false" ht="15.75" hidden="false" customHeight="false" outlineLevel="0" collapsed="false">
      <c r="A7521" s="6" t="n">
        <v>46165</v>
      </c>
      <c r="B7521" s="4" t="s">
        <v>4473</v>
      </c>
      <c r="C7521" s="4" t="n">
        <v>4</v>
      </c>
      <c r="D7521" s="4" t="n">
        <v>2</v>
      </c>
      <c r="E7521" s="4" t="s">
        <v>1934</v>
      </c>
      <c r="F7521" s="4" t="n">
        <v>58</v>
      </c>
      <c r="G7521" s="4" t="n">
        <v>1</v>
      </c>
      <c r="H7521" s="4" t="n">
        <v>4</v>
      </c>
      <c r="I7521" s="4" t="str">
        <v>×</v>
      </c>
      <c r="J7521" s="4"/>
      <c r="K7521" s="4"/>
      <c r="L7521" s="4"/>
      <c r="M7521" s="5" t="s">
        <v>5346</v>
      </c>
    </row>
    <row r="7522" customFormat="false" ht="15.75" hidden="false" customHeight="false" outlineLevel="0" collapsed="false">
      <c r="A7522" s="6" t="n">
        <v>46165</v>
      </c>
      <c r="B7522" s="4" t="s">
        <v>4473</v>
      </c>
      <c r="C7522" s="4" t="n">
        <v>4</v>
      </c>
      <c r="D7522" s="4" t="n">
        <v>3</v>
      </c>
      <c r="E7522" s="4" t="s">
        <v>4026</v>
      </c>
      <c r="F7522" s="4" t="n">
        <v>17</v>
      </c>
      <c r="G7522" s="4" t="n">
        <v>6</v>
      </c>
      <c r="H7522" s="4" t="n">
        <v>4</v>
      </c>
      <c r="I7522" s="4" t="str">
        <v>×</v>
      </c>
      <c r="J7522" s="4"/>
      <c r="K7522" s="4"/>
      <c r="L7522" s="4"/>
      <c r="M7522" s="5" t="s">
        <v>5346</v>
      </c>
    </row>
    <row r="7523" customFormat="false" ht="15.75" hidden="false" customHeight="false" outlineLevel="0" collapsed="false">
      <c r="A7523" s="6" t="n">
        <v>46165</v>
      </c>
      <c r="B7523" s="4" t="s">
        <v>4473</v>
      </c>
      <c r="C7523" s="4" t="n">
        <v>4</v>
      </c>
      <c r="D7523" s="4" t="n">
        <v>4</v>
      </c>
      <c r="E7523" s="4" t="s">
        <v>3512</v>
      </c>
      <c r="F7523" s="4" t="n">
        <v>29</v>
      </c>
      <c r="G7523" s="4" t="n">
        <v>3</v>
      </c>
      <c r="H7523" s="4" t="n">
        <v>4</v>
      </c>
      <c r="I7523" s="4" t="str">
        <v>×</v>
      </c>
      <c r="J7523" s="4"/>
      <c r="K7523" s="4"/>
      <c r="L7523" s="4"/>
      <c r="M7523" s="5" t="s">
        <v>5346</v>
      </c>
    </row>
    <row r="7524" customFormat="false" ht="15.75" hidden="false" customHeight="false" outlineLevel="0" collapsed="false">
      <c r="A7524" s="6" t="n">
        <v>46165</v>
      </c>
      <c r="B7524" s="4" t="s">
        <v>4473</v>
      </c>
      <c r="C7524" s="4" t="n">
        <v>4</v>
      </c>
      <c r="D7524" s="4" t="n">
        <v>5</v>
      </c>
      <c r="E7524" s="4" t="s">
        <v>5366</v>
      </c>
      <c r="F7524" s="4" t="n">
        <v>4</v>
      </c>
      <c r="G7524" s="4" t="n">
        <v>10</v>
      </c>
      <c r="H7524" s="4" t="n">
        <v>4</v>
      </c>
      <c r="I7524" s="4" t="str">
        <v>×</v>
      </c>
      <c r="J7524" s="4"/>
      <c r="K7524" s="4"/>
      <c r="L7524" s="4"/>
      <c r="M7524" s="5" t="s">
        <v>5346</v>
      </c>
    </row>
    <row r="7525" customFormat="false" ht="15.75" hidden="false" customHeight="false" outlineLevel="0" collapsed="false">
      <c r="A7525" s="6" t="n">
        <v>46165</v>
      </c>
      <c r="B7525" s="4" t="s">
        <v>4473</v>
      </c>
      <c r="C7525" s="4" t="n">
        <v>4</v>
      </c>
      <c r="D7525" s="4" t="n">
        <v>6</v>
      </c>
      <c r="E7525" s="4" t="s">
        <v>2301</v>
      </c>
      <c r="F7525" s="4" t="n">
        <v>29</v>
      </c>
      <c r="G7525" s="4" t="n">
        <v>3</v>
      </c>
      <c r="H7525" s="4" t="n">
        <v>4</v>
      </c>
      <c r="I7525" s="4" t="str">
        <v>×</v>
      </c>
      <c r="J7525" s="4"/>
      <c r="K7525" s="4"/>
      <c r="L7525" s="4"/>
      <c r="M7525" s="5" t="s">
        <v>5346</v>
      </c>
    </row>
    <row r="7526" customFormat="false" ht="15.75" hidden="false" customHeight="false" outlineLevel="0" collapsed="false">
      <c r="A7526" s="6" t="n">
        <v>46165</v>
      </c>
      <c r="B7526" s="4" t="s">
        <v>4473</v>
      </c>
      <c r="C7526" s="4" t="n">
        <v>4</v>
      </c>
      <c r="D7526" s="4" t="n">
        <v>7</v>
      </c>
      <c r="E7526" s="4" t="s">
        <v>3277</v>
      </c>
      <c r="F7526" s="4" t="n">
        <v>1</v>
      </c>
      <c r="G7526" s="4" t="n">
        <v>12</v>
      </c>
      <c r="H7526" s="4" t="n">
        <v>4</v>
      </c>
      <c r="I7526" s="4" t="str">
        <v>×</v>
      </c>
      <c r="J7526" s="4"/>
      <c r="K7526" s="4"/>
      <c r="L7526" s="4"/>
      <c r="M7526" s="5" t="s">
        <v>5346</v>
      </c>
    </row>
    <row r="7527" customFormat="false" ht="15.75" hidden="false" customHeight="false" outlineLevel="0" collapsed="false">
      <c r="A7527" s="6" t="n">
        <v>46165</v>
      </c>
      <c r="B7527" s="4" t="s">
        <v>4473</v>
      </c>
      <c r="C7527" s="4" t="n">
        <v>4</v>
      </c>
      <c r="D7527" s="4" t="n">
        <v>8</v>
      </c>
      <c r="E7527" s="4" t="s">
        <v>505</v>
      </c>
      <c r="F7527" s="4" t="n">
        <v>3</v>
      </c>
      <c r="G7527" s="4" t="n">
        <v>11</v>
      </c>
      <c r="H7527" s="4" t="n">
        <v>4</v>
      </c>
      <c r="I7527" s="4" t="str">
        <v>×</v>
      </c>
      <c r="J7527" s="4"/>
      <c r="K7527" s="4"/>
      <c r="L7527" s="4"/>
      <c r="M7527" s="5" t="s">
        <v>5346</v>
      </c>
    </row>
    <row r="7528" customFormat="false" ht="15.75" hidden="false" customHeight="false" outlineLevel="0" collapsed="false">
      <c r="A7528" s="6" t="n">
        <v>46165</v>
      </c>
      <c r="B7528" s="4" t="s">
        <v>4473</v>
      </c>
      <c r="C7528" s="4" t="n">
        <v>4</v>
      </c>
      <c r="D7528" s="4" t="n">
        <v>9</v>
      </c>
      <c r="E7528" s="4" t="s">
        <v>5367</v>
      </c>
      <c r="F7528" s="4" t="n">
        <v>10</v>
      </c>
      <c r="G7528" s="4" t="n">
        <v>8</v>
      </c>
      <c r="H7528" s="4" t="n">
        <v>4</v>
      </c>
      <c r="I7528" s="4" t="str">
        <v>×</v>
      </c>
      <c r="J7528" s="4"/>
      <c r="K7528" s="4"/>
      <c r="L7528" s="4"/>
      <c r="M7528" s="5" t="s">
        <v>5346</v>
      </c>
    </row>
    <row r="7529" customFormat="false" ht="15.75" hidden="false" customHeight="false" outlineLevel="0" collapsed="false">
      <c r="A7529" s="6" t="n">
        <v>46165</v>
      </c>
      <c r="B7529" s="4" t="s">
        <v>4473</v>
      </c>
      <c r="C7529" s="4" t="n">
        <v>4</v>
      </c>
      <c r="D7529" s="4" t="n">
        <v>10</v>
      </c>
      <c r="E7529" s="4" t="s">
        <v>5138</v>
      </c>
      <c r="F7529" s="4" t="n">
        <v>8</v>
      </c>
      <c r="G7529" s="4" t="n">
        <v>9</v>
      </c>
      <c r="H7529" s="4" t="n">
        <v>3</v>
      </c>
      <c r="I7529" s="4" t="str">
        <v>○</v>
      </c>
      <c r="J7529" s="4" t="n">
        <v>1820</v>
      </c>
      <c r="K7529" s="4"/>
      <c r="L7529" s="4"/>
      <c r="M7529" s="5" t="s">
        <v>5346</v>
      </c>
    </row>
    <row r="7530" customFormat="false" ht="15.75" hidden="false" customHeight="false" outlineLevel="0" collapsed="false">
      <c r="A7530" s="6" t="n">
        <v>46165</v>
      </c>
      <c r="B7530" s="4" t="s">
        <v>4473</v>
      </c>
      <c r="C7530" s="4" t="n">
        <v>4</v>
      </c>
      <c r="D7530" s="4" t="n">
        <v>11</v>
      </c>
      <c r="E7530" s="4" t="s">
        <v>4023</v>
      </c>
      <c r="F7530" s="4" t="n">
        <v>10</v>
      </c>
      <c r="G7530" s="4" t="n">
        <v>8</v>
      </c>
      <c r="H7530" s="4" t="n">
        <v>4</v>
      </c>
      <c r="I7530" s="4" t="str">
        <v>×</v>
      </c>
      <c r="J7530" s="4"/>
      <c r="K7530" s="4"/>
      <c r="L7530" s="4"/>
      <c r="M7530" s="5" t="s">
        <v>5346</v>
      </c>
    </row>
    <row r="7531" customFormat="false" ht="15.75" hidden="false" customHeight="false" outlineLevel="0" collapsed="false">
      <c r="A7531" s="6" t="n">
        <v>46165</v>
      </c>
      <c r="B7531" s="4" t="s">
        <v>4473</v>
      </c>
      <c r="C7531" s="4" t="n">
        <v>4</v>
      </c>
      <c r="D7531" s="4" t="n">
        <v>12</v>
      </c>
      <c r="E7531" s="4" t="s">
        <v>964</v>
      </c>
      <c r="F7531" s="4" t="n">
        <v>20</v>
      </c>
      <c r="G7531" s="4" t="n">
        <v>5</v>
      </c>
      <c r="H7531" s="4" t="n">
        <v>2</v>
      </c>
      <c r="I7531" s="4" t="str">
        <v>○</v>
      </c>
      <c r="J7531" s="4" t="n">
        <v>320</v>
      </c>
      <c r="K7531" s="4"/>
      <c r="L7531" s="4"/>
      <c r="M7531" s="5" t="s">
        <v>5346</v>
      </c>
    </row>
    <row r="7532" customFormat="false" ht="15.75" hidden="false" customHeight="false" outlineLevel="0" collapsed="false">
      <c r="A7532" s="6" t="n">
        <v>46165</v>
      </c>
      <c r="B7532" s="4" t="s">
        <v>4473</v>
      </c>
      <c r="C7532" s="4" t="n">
        <v>4</v>
      </c>
      <c r="D7532" s="4" t="n">
        <v>13</v>
      </c>
      <c r="E7532" s="4" t="s">
        <v>5368</v>
      </c>
      <c r="F7532" s="4" t="n">
        <v>8</v>
      </c>
      <c r="G7532" s="4" t="n">
        <v>9</v>
      </c>
      <c r="H7532" s="4" t="n">
        <v>4</v>
      </c>
      <c r="I7532" s="4" t="str">
        <v>×</v>
      </c>
      <c r="J7532" s="4"/>
      <c r="K7532" s="4"/>
      <c r="L7532" s="4"/>
      <c r="M7532" s="5" t="s">
        <v>5346</v>
      </c>
    </row>
    <row r="7533" customFormat="false" ht="15.75" hidden="false" customHeight="false" outlineLevel="0" collapsed="false">
      <c r="A7533" s="6" t="n">
        <v>46165</v>
      </c>
      <c r="B7533" s="4" t="s">
        <v>4473</v>
      </c>
      <c r="C7533" s="4" t="n">
        <v>4</v>
      </c>
      <c r="D7533" s="4" t="n">
        <v>14</v>
      </c>
      <c r="E7533" s="4" t="s">
        <v>5369</v>
      </c>
      <c r="F7533" s="4" t="n">
        <v>23</v>
      </c>
      <c r="G7533" s="4" t="n">
        <v>4</v>
      </c>
      <c r="H7533" s="4" t="n">
        <v>4</v>
      </c>
      <c r="I7533" s="4" t="str">
        <v>×</v>
      </c>
      <c r="J7533" s="4"/>
      <c r="K7533" s="4"/>
      <c r="L7533" s="4"/>
      <c r="M7533" s="5" t="s">
        <v>5346</v>
      </c>
    </row>
    <row r="7534" customFormat="false" ht="15.75" hidden="false" customHeight="false" outlineLevel="0" collapsed="false">
      <c r="A7534" s="6" t="n">
        <v>46165</v>
      </c>
      <c r="B7534" s="4" t="s">
        <v>4473</v>
      </c>
      <c r="C7534" s="4" t="n">
        <v>4</v>
      </c>
      <c r="D7534" s="4" t="n">
        <v>15</v>
      </c>
      <c r="E7534" s="4" t="s">
        <v>5370</v>
      </c>
      <c r="F7534" s="4" t="n">
        <v>8</v>
      </c>
      <c r="G7534" s="4" t="n">
        <v>9</v>
      </c>
      <c r="H7534" s="4" t="n">
        <v>4</v>
      </c>
      <c r="I7534" s="4" t="str">
        <v>×</v>
      </c>
      <c r="J7534" s="4"/>
      <c r="K7534" s="4"/>
      <c r="L7534" s="4"/>
      <c r="M7534" s="5" t="s">
        <v>5346</v>
      </c>
    </row>
    <row r="7535" customFormat="false" ht="15.75" hidden="false" customHeight="false" outlineLevel="0" collapsed="false">
      <c r="A7535" s="6" t="n">
        <v>46165</v>
      </c>
      <c r="B7535" s="4" t="s">
        <v>4473</v>
      </c>
      <c r="C7535" s="4" t="n">
        <v>4</v>
      </c>
      <c r="D7535" s="4" t="n">
        <v>16</v>
      </c>
      <c r="E7535" s="4" t="s">
        <v>5144</v>
      </c>
      <c r="F7535" s="4" t="n">
        <v>23</v>
      </c>
      <c r="G7535" s="4" t="n">
        <v>4</v>
      </c>
      <c r="H7535" s="4" t="n">
        <v>4</v>
      </c>
      <c r="I7535" s="4" t="str">
        <v>×</v>
      </c>
      <c r="J7535" s="4"/>
      <c r="K7535" s="4"/>
      <c r="L7535" s="4"/>
      <c r="M7535" s="5" t="s">
        <v>5346</v>
      </c>
    </row>
    <row r="7536" customFormat="false" ht="15.75" hidden="false" customHeight="false" outlineLevel="0" collapsed="false">
      <c r="A7536" s="6" t="n">
        <v>46165</v>
      </c>
      <c r="B7536" s="4" t="s">
        <v>4473</v>
      </c>
      <c r="C7536" s="4" t="n">
        <v>4</v>
      </c>
      <c r="D7536" s="4" t="n">
        <v>17</v>
      </c>
      <c r="E7536" s="4" t="s">
        <v>5371</v>
      </c>
      <c r="F7536" s="4" t="n">
        <v>3</v>
      </c>
      <c r="G7536" s="4" t="n">
        <v>11</v>
      </c>
      <c r="H7536" s="4" t="n">
        <v>4</v>
      </c>
      <c r="I7536" s="4" t="str">
        <v>×</v>
      </c>
      <c r="J7536" s="4"/>
      <c r="K7536" s="4"/>
      <c r="L7536" s="4"/>
      <c r="M7536" s="5" t="s">
        <v>5346</v>
      </c>
    </row>
    <row r="7537" customFormat="false" ht="15.75" hidden="false" customHeight="false" outlineLevel="0" collapsed="false">
      <c r="A7537" s="6" t="n">
        <v>46165</v>
      </c>
      <c r="B7537" s="4" t="s">
        <v>4473</v>
      </c>
      <c r="C7537" s="4" t="n">
        <v>4</v>
      </c>
      <c r="D7537" s="4" t="n">
        <v>18</v>
      </c>
      <c r="E7537" s="4" t="s">
        <v>5372</v>
      </c>
      <c r="F7537" s="4" t="n">
        <v>52</v>
      </c>
      <c r="G7537" s="4" t="n">
        <v>2</v>
      </c>
      <c r="H7537" s="4" t="n">
        <v>1</v>
      </c>
      <c r="I7537" s="4" t="str">
        <v>○</v>
      </c>
      <c r="J7537" s="4" t="n">
        <v>150</v>
      </c>
      <c r="K7537" s="4"/>
      <c r="L7537" s="4"/>
      <c r="M7537" s="5" t="s">
        <v>5346</v>
      </c>
    </row>
    <row r="7538" customFormat="false" ht="15.75" hidden="false" customHeight="false" outlineLevel="0" collapsed="false">
      <c r="A7538" s="6" t="n">
        <v>46165</v>
      </c>
      <c r="B7538" s="4" t="s">
        <v>4473</v>
      </c>
      <c r="C7538" s="4" t="n">
        <v>5</v>
      </c>
      <c r="D7538" s="4" t="n">
        <v>1</v>
      </c>
      <c r="E7538" s="4" t="s">
        <v>4025</v>
      </c>
      <c r="F7538" s="4" t="n">
        <v>13</v>
      </c>
      <c r="G7538" s="4" t="n">
        <v>9</v>
      </c>
      <c r="H7538" s="4" t="n">
        <v>4</v>
      </c>
      <c r="I7538" s="4" t="str">
        <v>×</v>
      </c>
      <c r="J7538" s="4"/>
      <c r="K7538" s="4"/>
      <c r="L7538" s="4"/>
      <c r="M7538" s="5" t="s">
        <v>5346</v>
      </c>
    </row>
    <row r="7539" customFormat="false" ht="15.75" hidden="false" customHeight="false" outlineLevel="0" collapsed="false">
      <c r="A7539" s="6" t="n">
        <v>46165</v>
      </c>
      <c r="B7539" s="4" t="s">
        <v>4473</v>
      </c>
      <c r="C7539" s="4" t="n">
        <v>5</v>
      </c>
      <c r="D7539" s="4" t="n">
        <v>2</v>
      </c>
      <c r="E7539" s="4" t="s">
        <v>2310</v>
      </c>
      <c r="F7539" s="4" t="n">
        <v>52</v>
      </c>
      <c r="G7539" s="4" t="n">
        <v>1</v>
      </c>
      <c r="H7539" s="4" t="n">
        <v>3</v>
      </c>
      <c r="I7539" s="4" t="str">
        <v>○</v>
      </c>
      <c r="J7539" s="4" t="n">
        <v>160</v>
      </c>
      <c r="K7539" s="4"/>
      <c r="L7539" s="4"/>
      <c r="M7539" s="5" t="s">
        <v>5346</v>
      </c>
    </row>
    <row r="7540" customFormat="false" ht="15.75" hidden="false" customHeight="false" outlineLevel="0" collapsed="false">
      <c r="A7540" s="6" t="n">
        <v>46165</v>
      </c>
      <c r="B7540" s="4" t="s">
        <v>4473</v>
      </c>
      <c r="C7540" s="4" t="n">
        <v>5</v>
      </c>
      <c r="D7540" s="4" t="n">
        <v>3</v>
      </c>
      <c r="E7540" s="4" t="s">
        <v>5373</v>
      </c>
      <c r="F7540" s="4" t="n">
        <v>3</v>
      </c>
      <c r="G7540" s="4" t="n">
        <v>12</v>
      </c>
      <c r="H7540" s="4" t="n">
        <v>4</v>
      </c>
      <c r="I7540" s="4" t="str">
        <v>×</v>
      </c>
      <c r="J7540" s="4"/>
      <c r="K7540" s="4"/>
      <c r="L7540" s="4"/>
      <c r="M7540" s="5" t="s">
        <v>5346</v>
      </c>
    </row>
    <row r="7541" customFormat="false" ht="15.75" hidden="false" customHeight="false" outlineLevel="0" collapsed="false">
      <c r="A7541" s="6" t="n">
        <v>46165</v>
      </c>
      <c r="B7541" s="4" t="s">
        <v>4473</v>
      </c>
      <c r="C7541" s="4" t="n">
        <v>5</v>
      </c>
      <c r="D7541" s="4" t="n">
        <v>4</v>
      </c>
      <c r="E7541" s="4" t="s">
        <v>5374</v>
      </c>
      <c r="F7541" s="4" t="n">
        <v>3</v>
      </c>
      <c r="G7541" s="4" t="n">
        <v>12</v>
      </c>
      <c r="H7541" s="4" t="n">
        <v>4</v>
      </c>
      <c r="I7541" s="4" t="str">
        <v>×</v>
      </c>
      <c r="J7541" s="4"/>
      <c r="K7541" s="4"/>
      <c r="L7541" s="4"/>
      <c r="M7541" s="5" t="s">
        <v>5346</v>
      </c>
    </row>
    <row r="7542" customFormat="false" ht="15.75" hidden="false" customHeight="false" outlineLevel="0" collapsed="false">
      <c r="A7542" s="6" t="n">
        <v>46165</v>
      </c>
      <c r="B7542" s="4" t="s">
        <v>4473</v>
      </c>
      <c r="C7542" s="4" t="n">
        <v>5</v>
      </c>
      <c r="D7542" s="4" t="n">
        <v>5</v>
      </c>
      <c r="E7542" s="4" t="s">
        <v>5375</v>
      </c>
      <c r="F7542" s="4" t="n">
        <v>3</v>
      </c>
      <c r="G7542" s="4" t="n">
        <v>12</v>
      </c>
      <c r="H7542" s="4" t="n">
        <v>4</v>
      </c>
      <c r="I7542" s="4" t="str">
        <v>×</v>
      </c>
      <c r="J7542" s="4"/>
      <c r="K7542" s="4"/>
      <c r="L7542" s="4"/>
      <c r="M7542" s="5" t="s">
        <v>5346</v>
      </c>
    </row>
    <row r="7543" customFormat="false" ht="15.75" hidden="false" customHeight="false" outlineLevel="0" collapsed="false">
      <c r="A7543" s="6" t="n">
        <v>46165</v>
      </c>
      <c r="B7543" s="4" t="s">
        <v>4473</v>
      </c>
      <c r="C7543" s="4" t="n">
        <v>5</v>
      </c>
      <c r="D7543" s="4" t="n">
        <v>6</v>
      </c>
      <c r="E7543" s="4" t="s">
        <v>629</v>
      </c>
      <c r="F7543" s="4" t="n">
        <v>29</v>
      </c>
      <c r="G7543" s="4" t="n">
        <v>6</v>
      </c>
      <c r="H7543" s="4" t="n">
        <v>4</v>
      </c>
      <c r="I7543" s="4" t="str">
        <v>×</v>
      </c>
      <c r="J7543" s="4"/>
      <c r="K7543" s="4"/>
      <c r="L7543" s="4"/>
      <c r="M7543" s="5" t="s">
        <v>5346</v>
      </c>
    </row>
    <row r="7544" customFormat="false" ht="15.75" hidden="false" customHeight="false" outlineLevel="0" collapsed="false">
      <c r="A7544" s="6" t="n">
        <v>46165</v>
      </c>
      <c r="B7544" s="4" t="s">
        <v>4473</v>
      </c>
      <c r="C7544" s="4" t="n">
        <v>5</v>
      </c>
      <c r="D7544" s="4" t="n">
        <v>7</v>
      </c>
      <c r="E7544" s="4" t="s">
        <v>1950</v>
      </c>
      <c r="F7544" s="4" t="n">
        <v>39</v>
      </c>
      <c r="G7544" s="4" t="n">
        <v>3</v>
      </c>
      <c r="H7544" s="4" t="n">
        <v>1</v>
      </c>
      <c r="I7544" s="4" t="str">
        <v>○</v>
      </c>
      <c r="J7544" s="4" t="n">
        <v>140</v>
      </c>
      <c r="K7544" s="4"/>
      <c r="L7544" s="4"/>
      <c r="M7544" s="5" t="s">
        <v>5346</v>
      </c>
    </row>
    <row r="7545" customFormat="false" ht="15.75" hidden="false" customHeight="false" outlineLevel="0" collapsed="false">
      <c r="A7545" s="6" t="n">
        <v>46165</v>
      </c>
      <c r="B7545" s="4" t="s">
        <v>4473</v>
      </c>
      <c r="C7545" s="4" t="n">
        <v>5</v>
      </c>
      <c r="D7545" s="4" t="n">
        <v>8</v>
      </c>
      <c r="E7545" s="4" t="s">
        <v>590</v>
      </c>
      <c r="F7545" s="4" t="n">
        <v>8</v>
      </c>
      <c r="G7545" s="4" t="n">
        <v>10</v>
      </c>
      <c r="H7545" s="4" t="n">
        <v>4</v>
      </c>
      <c r="I7545" s="4" t="str">
        <v>×</v>
      </c>
      <c r="J7545" s="4"/>
      <c r="K7545" s="4"/>
      <c r="L7545" s="4"/>
      <c r="M7545" s="5" t="s">
        <v>5346</v>
      </c>
    </row>
    <row r="7546" customFormat="false" ht="15.75" hidden="false" customHeight="false" outlineLevel="0" collapsed="false">
      <c r="A7546" s="6" t="n">
        <v>46165</v>
      </c>
      <c r="B7546" s="4" t="s">
        <v>4473</v>
      </c>
      <c r="C7546" s="4" t="n">
        <v>5</v>
      </c>
      <c r="D7546" s="4" t="n">
        <v>9</v>
      </c>
      <c r="E7546" s="4" t="s">
        <v>5376</v>
      </c>
      <c r="F7546" s="4" t="n">
        <v>31</v>
      </c>
      <c r="G7546" s="4" t="n">
        <v>5</v>
      </c>
      <c r="H7546" s="4" t="n">
        <v>4</v>
      </c>
      <c r="I7546" s="4" t="str">
        <v>×</v>
      </c>
      <c r="J7546" s="4"/>
      <c r="K7546" s="4"/>
      <c r="L7546" s="4"/>
      <c r="M7546" s="5" t="s">
        <v>5346</v>
      </c>
    </row>
    <row r="7547" customFormat="false" ht="15.75" hidden="false" customHeight="false" outlineLevel="0" collapsed="false">
      <c r="A7547" s="6" t="n">
        <v>46165</v>
      </c>
      <c r="B7547" s="4" t="s">
        <v>4473</v>
      </c>
      <c r="C7547" s="4" t="n">
        <v>5</v>
      </c>
      <c r="D7547" s="4" t="n">
        <v>10</v>
      </c>
      <c r="E7547" s="4" t="s">
        <v>5377</v>
      </c>
      <c r="F7547" s="4" t="n">
        <v>2</v>
      </c>
      <c r="G7547" s="4" t="n">
        <v>13</v>
      </c>
      <c r="H7547" s="4" t="n">
        <v>4</v>
      </c>
      <c r="I7547" s="4" t="str">
        <v>×</v>
      </c>
      <c r="J7547" s="4"/>
      <c r="K7547" s="4"/>
      <c r="L7547" s="4"/>
      <c r="M7547" s="5" t="s">
        <v>5346</v>
      </c>
    </row>
    <row r="7548" customFormat="false" ht="15.75" hidden="false" customHeight="false" outlineLevel="0" collapsed="false">
      <c r="A7548" s="6" t="n">
        <v>46165</v>
      </c>
      <c r="B7548" s="4" t="s">
        <v>4473</v>
      </c>
      <c r="C7548" s="4" t="n">
        <v>5</v>
      </c>
      <c r="D7548" s="4" t="n">
        <v>11</v>
      </c>
      <c r="E7548" s="4" t="s">
        <v>5378</v>
      </c>
      <c r="F7548" s="4" t="n">
        <v>8</v>
      </c>
      <c r="G7548" s="4" t="n">
        <v>10</v>
      </c>
      <c r="H7548" s="4" t="n">
        <v>4</v>
      </c>
      <c r="I7548" s="4" t="str">
        <v>×</v>
      </c>
      <c r="J7548" s="4"/>
      <c r="K7548" s="4"/>
      <c r="L7548" s="4"/>
      <c r="M7548" s="5" t="s">
        <v>5346</v>
      </c>
    </row>
    <row r="7549" customFormat="false" ht="15.75" hidden="false" customHeight="false" outlineLevel="0" collapsed="false">
      <c r="A7549" s="6" t="n">
        <v>46165</v>
      </c>
      <c r="B7549" s="4" t="s">
        <v>4473</v>
      </c>
      <c r="C7549" s="4" t="n">
        <v>5</v>
      </c>
      <c r="D7549" s="4" t="n">
        <v>12</v>
      </c>
      <c r="E7549" s="4" t="s">
        <v>394</v>
      </c>
      <c r="F7549" s="4" t="n">
        <v>8</v>
      </c>
      <c r="G7549" s="4" t="n">
        <v>10</v>
      </c>
      <c r="H7549" s="4" t="n">
        <v>4</v>
      </c>
      <c r="I7549" s="4" t="str">
        <v>×</v>
      </c>
      <c r="J7549" s="4"/>
      <c r="K7549" s="4"/>
      <c r="L7549" s="4"/>
      <c r="M7549" s="5" t="s">
        <v>5346</v>
      </c>
    </row>
    <row r="7550" customFormat="false" ht="15.75" hidden="false" customHeight="false" outlineLevel="0" collapsed="false">
      <c r="A7550" s="6" t="n">
        <v>46165</v>
      </c>
      <c r="B7550" s="4" t="s">
        <v>4473</v>
      </c>
      <c r="C7550" s="4" t="n">
        <v>5</v>
      </c>
      <c r="D7550" s="4" t="n">
        <v>13</v>
      </c>
      <c r="E7550" s="4" t="s">
        <v>5379</v>
      </c>
      <c r="F7550" s="4" t="n">
        <v>20</v>
      </c>
      <c r="G7550" s="4" t="n">
        <v>7</v>
      </c>
      <c r="H7550" s="4" t="n">
        <v>4</v>
      </c>
      <c r="I7550" s="4" t="str">
        <v>×</v>
      </c>
      <c r="J7550" s="4"/>
      <c r="K7550" s="4"/>
      <c r="L7550" s="4"/>
      <c r="M7550" s="5" t="s">
        <v>5346</v>
      </c>
    </row>
    <row r="7551" customFormat="false" ht="15.75" hidden="false" customHeight="false" outlineLevel="0" collapsed="false">
      <c r="A7551" s="6" t="n">
        <v>46165</v>
      </c>
      <c r="B7551" s="4" t="s">
        <v>4473</v>
      </c>
      <c r="C7551" s="4" t="n">
        <v>5</v>
      </c>
      <c r="D7551" s="4" t="n">
        <v>14</v>
      </c>
      <c r="E7551" s="4" t="s">
        <v>5258</v>
      </c>
      <c r="F7551" s="4" t="n">
        <v>50</v>
      </c>
      <c r="G7551" s="4" t="n">
        <v>2</v>
      </c>
      <c r="H7551" s="4" t="n">
        <v>4</v>
      </c>
      <c r="I7551" s="4" t="str">
        <v>×</v>
      </c>
      <c r="J7551" s="4"/>
      <c r="K7551" s="4"/>
      <c r="L7551" s="4"/>
      <c r="M7551" s="5" t="s">
        <v>5346</v>
      </c>
    </row>
    <row r="7552" customFormat="false" ht="15.75" hidden="false" customHeight="false" outlineLevel="0" collapsed="false">
      <c r="A7552" s="6" t="n">
        <v>46165</v>
      </c>
      <c r="B7552" s="4" t="s">
        <v>4473</v>
      </c>
      <c r="C7552" s="4" t="n">
        <v>5</v>
      </c>
      <c r="D7552" s="4" t="n">
        <v>15</v>
      </c>
      <c r="E7552" s="4" t="s">
        <v>3025</v>
      </c>
      <c r="F7552" s="4" t="n">
        <v>37</v>
      </c>
      <c r="G7552" s="4" t="n">
        <v>4</v>
      </c>
      <c r="H7552" s="4" t="n">
        <v>2</v>
      </c>
      <c r="I7552" s="4" t="str">
        <v>○</v>
      </c>
      <c r="J7552" s="4" t="n">
        <v>210</v>
      </c>
      <c r="K7552" s="4"/>
      <c r="L7552" s="4"/>
      <c r="M7552" s="5" t="s">
        <v>5346</v>
      </c>
    </row>
    <row r="7553" customFormat="false" ht="15.75" hidden="false" customHeight="false" outlineLevel="0" collapsed="false">
      <c r="A7553" s="6" t="n">
        <v>46165</v>
      </c>
      <c r="B7553" s="4" t="s">
        <v>4473</v>
      </c>
      <c r="C7553" s="4" t="n">
        <v>5</v>
      </c>
      <c r="D7553" s="4" t="n">
        <v>16</v>
      </c>
      <c r="E7553" s="4" t="s">
        <v>5135</v>
      </c>
      <c r="F7553" s="4" t="n">
        <v>4</v>
      </c>
      <c r="G7553" s="4" t="n">
        <v>11</v>
      </c>
      <c r="H7553" s="4" t="n">
        <v>4</v>
      </c>
      <c r="I7553" s="4" t="str">
        <v>×</v>
      </c>
      <c r="J7553" s="4"/>
      <c r="K7553" s="4"/>
      <c r="L7553" s="4"/>
      <c r="M7553" s="5" t="s">
        <v>5346</v>
      </c>
    </row>
    <row r="7554" customFormat="false" ht="15.75" hidden="false" customHeight="false" outlineLevel="0" collapsed="false">
      <c r="A7554" s="6" t="n">
        <v>46165</v>
      </c>
      <c r="B7554" s="4" t="s">
        <v>4473</v>
      </c>
      <c r="C7554" s="4" t="n">
        <v>5</v>
      </c>
      <c r="D7554" s="4" t="n">
        <v>17</v>
      </c>
      <c r="E7554" s="4" t="s">
        <v>5380</v>
      </c>
      <c r="F7554" s="4" t="n">
        <v>15</v>
      </c>
      <c r="G7554" s="4" t="n">
        <v>8</v>
      </c>
      <c r="H7554" s="4" t="n">
        <v>4</v>
      </c>
      <c r="I7554" s="4" t="str">
        <v>×</v>
      </c>
      <c r="J7554" s="4"/>
      <c r="K7554" s="4"/>
      <c r="L7554" s="4"/>
      <c r="M7554" s="5" t="s">
        <v>5346</v>
      </c>
    </row>
    <row r="7555" customFormat="false" ht="15.75" hidden="false" customHeight="false" outlineLevel="0" collapsed="false">
      <c r="A7555" s="6" t="n">
        <v>46165</v>
      </c>
      <c r="B7555" s="4" t="s">
        <v>4473</v>
      </c>
      <c r="C7555" s="4" t="n">
        <v>6</v>
      </c>
      <c r="D7555" s="4" t="n">
        <v>1</v>
      </c>
      <c r="E7555" s="4" t="s">
        <v>5038</v>
      </c>
      <c r="F7555" s="4" t="n">
        <v>71</v>
      </c>
      <c r="G7555" s="4" t="n">
        <v>1</v>
      </c>
      <c r="H7555" s="4" t="n">
        <v>3</v>
      </c>
      <c r="I7555" s="4" t="str">
        <v>○</v>
      </c>
      <c r="J7555" s="4" t="n">
        <v>130</v>
      </c>
      <c r="K7555" s="4"/>
      <c r="L7555" s="4"/>
      <c r="M7555" s="5" t="s">
        <v>5346</v>
      </c>
    </row>
    <row r="7556" customFormat="false" ht="15.75" hidden="false" customHeight="false" outlineLevel="0" collapsed="false">
      <c r="A7556" s="6" t="n">
        <v>46165</v>
      </c>
      <c r="B7556" s="4" t="s">
        <v>4473</v>
      </c>
      <c r="C7556" s="4" t="n">
        <v>6</v>
      </c>
      <c r="D7556" s="4" t="n">
        <v>2</v>
      </c>
      <c r="E7556" s="4" t="s">
        <v>1545</v>
      </c>
      <c r="F7556" s="4" t="n">
        <v>20</v>
      </c>
      <c r="G7556" s="4" t="n">
        <v>6</v>
      </c>
      <c r="H7556" s="4" t="n">
        <v>4</v>
      </c>
      <c r="I7556" s="4" t="str">
        <v>×</v>
      </c>
      <c r="J7556" s="4"/>
      <c r="K7556" s="4"/>
      <c r="L7556" s="4"/>
      <c r="M7556" s="5" t="s">
        <v>5346</v>
      </c>
    </row>
    <row r="7557" customFormat="false" ht="15.75" hidden="false" customHeight="false" outlineLevel="0" collapsed="false">
      <c r="A7557" s="6" t="n">
        <v>46165</v>
      </c>
      <c r="B7557" s="4" t="s">
        <v>4473</v>
      </c>
      <c r="C7557" s="4" t="n">
        <v>6</v>
      </c>
      <c r="D7557" s="4" t="n">
        <v>3</v>
      </c>
      <c r="E7557" s="4" t="s">
        <v>5182</v>
      </c>
      <c r="F7557" s="4" t="n">
        <v>17</v>
      </c>
      <c r="G7557" s="4" t="n">
        <v>7</v>
      </c>
      <c r="H7557" s="4" t="n">
        <v>4</v>
      </c>
      <c r="I7557" s="4" t="str">
        <v>×</v>
      </c>
      <c r="J7557" s="4"/>
      <c r="K7557" s="4"/>
      <c r="L7557" s="4"/>
      <c r="M7557" s="5" t="s">
        <v>5346</v>
      </c>
    </row>
    <row r="7558" customFormat="false" ht="15.75" hidden="false" customHeight="false" outlineLevel="0" collapsed="false">
      <c r="A7558" s="6" t="n">
        <v>46165</v>
      </c>
      <c r="B7558" s="4" t="s">
        <v>4473</v>
      </c>
      <c r="C7558" s="4" t="n">
        <v>6</v>
      </c>
      <c r="D7558" s="4" t="n">
        <v>4</v>
      </c>
      <c r="E7558" s="4" t="s">
        <v>2234</v>
      </c>
      <c r="F7558" s="4" t="n">
        <v>37</v>
      </c>
      <c r="G7558" s="4" t="n">
        <v>2</v>
      </c>
      <c r="H7558" s="4" t="n">
        <v>4</v>
      </c>
      <c r="I7558" s="4" t="str">
        <v>×</v>
      </c>
      <c r="J7558" s="4"/>
      <c r="K7558" s="4"/>
      <c r="L7558" s="4"/>
      <c r="M7558" s="5" t="s">
        <v>5346</v>
      </c>
    </row>
    <row r="7559" customFormat="false" ht="15.75" hidden="false" customHeight="false" outlineLevel="0" collapsed="false">
      <c r="A7559" s="6" t="n">
        <v>46165</v>
      </c>
      <c r="B7559" s="4" t="s">
        <v>4473</v>
      </c>
      <c r="C7559" s="4" t="n">
        <v>6</v>
      </c>
      <c r="D7559" s="4" t="n">
        <v>5</v>
      </c>
      <c r="E7559" s="4" t="s">
        <v>5381</v>
      </c>
      <c r="F7559" s="4" t="n">
        <v>34</v>
      </c>
      <c r="G7559" s="4" t="n">
        <v>3</v>
      </c>
      <c r="H7559" s="4" t="n">
        <v>2</v>
      </c>
      <c r="I7559" s="4" t="str">
        <v>○</v>
      </c>
      <c r="J7559" s="4" t="n">
        <v>510</v>
      </c>
      <c r="K7559" s="4"/>
      <c r="L7559" s="4"/>
      <c r="M7559" s="5" t="s">
        <v>5346</v>
      </c>
    </row>
    <row r="7560" customFormat="false" ht="15.75" hidden="false" customHeight="false" outlineLevel="0" collapsed="false">
      <c r="A7560" s="6" t="n">
        <v>46165</v>
      </c>
      <c r="B7560" s="4" t="s">
        <v>4473</v>
      </c>
      <c r="C7560" s="4" t="n">
        <v>6</v>
      </c>
      <c r="D7560" s="4" t="n">
        <v>6</v>
      </c>
      <c r="E7560" s="4" t="s">
        <v>5382</v>
      </c>
      <c r="F7560" s="4" t="n">
        <v>31</v>
      </c>
      <c r="G7560" s="4" t="n">
        <v>4</v>
      </c>
      <c r="H7560" s="4" t="n">
        <v>4</v>
      </c>
      <c r="I7560" s="4" t="str">
        <v>×</v>
      </c>
      <c r="J7560" s="4"/>
      <c r="K7560" s="4"/>
      <c r="L7560" s="4"/>
      <c r="M7560" s="5" t="s">
        <v>5346</v>
      </c>
    </row>
    <row r="7561" customFormat="false" ht="15.75" hidden="false" customHeight="false" outlineLevel="0" collapsed="false">
      <c r="A7561" s="6" t="n">
        <v>46165</v>
      </c>
      <c r="B7561" s="4" t="s">
        <v>4473</v>
      </c>
      <c r="C7561" s="4" t="n">
        <v>6</v>
      </c>
      <c r="D7561" s="4" t="n">
        <v>7</v>
      </c>
      <c r="E7561" s="4" t="s">
        <v>2007</v>
      </c>
      <c r="F7561" s="4" t="n">
        <v>31</v>
      </c>
      <c r="G7561" s="4" t="n">
        <v>4</v>
      </c>
      <c r="H7561" s="4" t="n">
        <v>4</v>
      </c>
      <c r="I7561" s="4" t="str">
        <v>×</v>
      </c>
      <c r="J7561" s="4"/>
      <c r="K7561" s="4"/>
      <c r="L7561" s="4"/>
      <c r="M7561" s="5" t="s">
        <v>5346</v>
      </c>
    </row>
    <row r="7562" customFormat="false" ht="15.75" hidden="false" customHeight="false" outlineLevel="0" collapsed="false">
      <c r="A7562" s="6" t="n">
        <v>46165</v>
      </c>
      <c r="B7562" s="4" t="s">
        <v>4473</v>
      </c>
      <c r="C7562" s="4" t="n">
        <v>6</v>
      </c>
      <c r="D7562" s="4" t="n">
        <v>8</v>
      </c>
      <c r="E7562" s="4" t="s">
        <v>5383</v>
      </c>
      <c r="F7562" s="4" t="n">
        <v>6</v>
      </c>
      <c r="G7562" s="4" t="n">
        <v>10</v>
      </c>
      <c r="H7562" s="4" t="n">
        <v>4</v>
      </c>
      <c r="I7562" s="4" t="str">
        <v>×</v>
      </c>
      <c r="J7562" s="4"/>
      <c r="K7562" s="4"/>
      <c r="L7562" s="4"/>
      <c r="M7562" s="5" t="s">
        <v>5346</v>
      </c>
    </row>
    <row r="7563" customFormat="false" ht="15.75" hidden="false" customHeight="false" outlineLevel="0" collapsed="false">
      <c r="A7563" s="6" t="n">
        <v>46165</v>
      </c>
      <c r="B7563" s="4" t="s">
        <v>4473</v>
      </c>
      <c r="C7563" s="4" t="n">
        <v>6</v>
      </c>
      <c r="D7563" s="4" t="n">
        <v>9</v>
      </c>
      <c r="E7563" s="4" t="s">
        <v>5384</v>
      </c>
      <c r="F7563" s="4" t="n">
        <v>23</v>
      </c>
      <c r="G7563" s="4" t="n">
        <v>5</v>
      </c>
      <c r="H7563" s="4" t="n">
        <v>4</v>
      </c>
      <c r="I7563" s="4" t="str">
        <v>×</v>
      </c>
      <c r="J7563" s="4"/>
      <c r="K7563" s="4"/>
      <c r="L7563" s="4"/>
      <c r="M7563" s="5" t="s">
        <v>5346</v>
      </c>
    </row>
    <row r="7564" customFormat="false" ht="15.75" hidden="false" customHeight="false" outlineLevel="0" collapsed="false">
      <c r="A7564" s="6" t="n">
        <v>46165</v>
      </c>
      <c r="B7564" s="4" t="s">
        <v>4473</v>
      </c>
      <c r="C7564" s="4" t="n">
        <v>6</v>
      </c>
      <c r="D7564" s="4" t="n">
        <v>10</v>
      </c>
      <c r="E7564" s="4" t="s">
        <v>1713</v>
      </c>
      <c r="F7564" s="4" t="n">
        <v>10</v>
      </c>
      <c r="G7564" s="4" t="n">
        <v>9</v>
      </c>
      <c r="H7564" s="4" t="n">
        <v>4</v>
      </c>
      <c r="I7564" s="4" t="str">
        <v>×</v>
      </c>
      <c r="J7564" s="4"/>
      <c r="K7564" s="4"/>
      <c r="L7564" s="4"/>
      <c r="M7564" s="5" t="s">
        <v>5346</v>
      </c>
    </row>
    <row r="7565" customFormat="false" ht="15.75" hidden="false" customHeight="false" outlineLevel="0" collapsed="false">
      <c r="A7565" s="6" t="n">
        <v>46165</v>
      </c>
      <c r="B7565" s="4" t="s">
        <v>4473</v>
      </c>
      <c r="C7565" s="4" t="n">
        <v>6</v>
      </c>
      <c r="D7565" s="4" t="n">
        <v>11</v>
      </c>
      <c r="E7565" s="4" t="s">
        <v>5385</v>
      </c>
      <c r="F7565" s="4" t="n">
        <v>34</v>
      </c>
      <c r="G7565" s="4" t="n">
        <v>3</v>
      </c>
      <c r="H7565" s="4" t="n">
        <v>1</v>
      </c>
      <c r="I7565" s="4" t="str">
        <v>○</v>
      </c>
      <c r="J7565" s="4" t="n">
        <v>200</v>
      </c>
      <c r="K7565" s="4"/>
      <c r="L7565" s="4"/>
      <c r="M7565" s="5" t="s">
        <v>5346</v>
      </c>
    </row>
    <row r="7566" customFormat="false" ht="15.75" hidden="false" customHeight="false" outlineLevel="0" collapsed="false">
      <c r="A7566" s="6" t="n">
        <v>46165</v>
      </c>
      <c r="B7566" s="4" t="s">
        <v>4473</v>
      </c>
      <c r="C7566" s="4" t="n">
        <v>6</v>
      </c>
      <c r="D7566" s="4" t="n">
        <v>12</v>
      </c>
      <c r="E7566" s="4" t="s">
        <v>4069</v>
      </c>
      <c r="F7566" s="4" t="n">
        <v>13</v>
      </c>
      <c r="G7566" s="4" t="n">
        <v>8</v>
      </c>
      <c r="H7566" s="4" t="n">
        <v>4</v>
      </c>
      <c r="I7566" s="4" t="str">
        <v>×</v>
      </c>
      <c r="J7566" s="4"/>
      <c r="K7566" s="4"/>
      <c r="L7566" s="4"/>
      <c r="M7566" s="5" t="s">
        <v>5346</v>
      </c>
    </row>
    <row r="7567" customFormat="false" ht="15.75" hidden="false" customHeight="false" outlineLevel="0" collapsed="false">
      <c r="A7567" s="6" t="n">
        <v>46165</v>
      </c>
      <c r="B7567" s="4" t="s">
        <v>4473</v>
      </c>
      <c r="C7567" s="4" t="n">
        <v>6</v>
      </c>
      <c r="D7567" s="4" t="n">
        <v>13</v>
      </c>
      <c r="E7567" s="4" t="s">
        <v>5033</v>
      </c>
      <c r="F7567" s="4" t="n">
        <v>10</v>
      </c>
      <c r="G7567" s="4" t="n">
        <v>9</v>
      </c>
      <c r="H7567" s="4" t="n">
        <v>4</v>
      </c>
      <c r="I7567" s="4" t="str">
        <v>×</v>
      </c>
      <c r="J7567" s="4"/>
      <c r="K7567" s="4"/>
      <c r="L7567" s="4"/>
      <c r="M7567" s="5" t="s">
        <v>5346</v>
      </c>
    </row>
    <row r="7568" customFormat="false" ht="15.75" hidden="false" customHeight="false" outlineLevel="0" collapsed="false">
      <c r="A7568" s="6" t="n">
        <v>46165</v>
      </c>
      <c r="B7568" s="4" t="s">
        <v>4473</v>
      </c>
      <c r="C7568" s="4" t="n">
        <v>6</v>
      </c>
      <c r="D7568" s="4" t="n">
        <v>14</v>
      </c>
      <c r="E7568" s="4" t="s">
        <v>4128</v>
      </c>
      <c r="F7568" s="4" t="n">
        <v>10</v>
      </c>
      <c r="G7568" s="4" t="n">
        <v>9</v>
      </c>
      <c r="H7568" s="4" t="n">
        <v>4</v>
      </c>
      <c r="I7568" s="4" t="str">
        <v>×</v>
      </c>
      <c r="J7568" s="4"/>
      <c r="K7568" s="4"/>
      <c r="L7568" s="4"/>
      <c r="M7568" s="5" t="s">
        <v>5346</v>
      </c>
    </row>
    <row r="7569" customFormat="false" ht="15.75" hidden="false" customHeight="false" outlineLevel="0" collapsed="false">
      <c r="A7569" s="6" t="n">
        <v>46165</v>
      </c>
      <c r="B7569" s="4" t="s">
        <v>4473</v>
      </c>
      <c r="C7569" s="4" t="n">
        <v>7</v>
      </c>
      <c r="D7569" s="4" t="n">
        <v>1</v>
      </c>
      <c r="E7569" s="4" t="s">
        <v>2010</v>
      </c>
      <c r="F7569" s="4" t="n">
        <v>10</v>
      </c>
      <c r="G7569" s="4" t="n">
        <v>9</v>
      </c>
      <c r="H7569" s="4" t="n">
        <v>4</v>
      </c>
      <c r="I7569" s="4" t="str">
        <v>×</v>
      </c>
      <c r="J7569" s="4"/>
      <c r="K7569" s="4"/>
      <c r="L7569" s="4"/>
      <c r="M7569" s="5" t="s">
        <v>5346</v>
      </c>
    </row>
    <row r="7570" customFormat="false" ht="15.75" hidden="false" customHeight="false" outlineLevel="0" collapsed="false">
      <c r="A7570" s="6" t="n">
        <v>46165</v>
      </c>
      <c r="B7570" s="4" t="s">
        <v>4473</v>
      </c>
      <c r="C7570" s="4" t="n">
        <v>7</v>
      </c>
      <c r="D7570" s="4" t="n">
        <v>2</v>
      </c>
      <c r="E7570" s="4" t="s">
        <v>5386</v>
      </c>
      <c r="F7570" s="4" t="n">
        <v>20</v>
      </c>
      <c r="G7570" s="4" t="n">
        <v>6</v>
      </c>
      <c r="H7570" s="4" t="n">
        <v>4</v>
      </c>
      <c r="I7570" s="4" t="str">
        <v>×</v>
      </c>
      <c r="J7570" s="4"/>
      <c r="K7570" s="4"/>
      <c r="L7570" s="4"/>
      <c r="M7570" s="5" t="s">
        <v>5346</v>
      </c>
    </row>
    <row r="7571" customFormat="false" ht="15.75" hidden="false" customHeight="false" outlineLevel="0" collapsed="false">
      <c r="A7571" s="6" t="n">
        <v>46165</v>
      </c>
      <c r="B7571" s="4" t="s">
        <v>4473</v>
      </c>
      <c r="C7571" s="4" t="n">
        <v>7</v>
      </c>
      <c r="D7571" s="4" t="n">
        <v>3</v>
      </c>
      <c r="E7571" s="4" t="s">
        <v>5387</v>
      </c>
      <c r="F7571" s="4" t="n">
        <v>15</v>
      </c>
      <c r="G7571" s="4" t="n">
        <v>8</v>
      </c>
      <c r="H7571" s="4" t="n">
        <v>4</v>
      </c>
      <c r="I7571" s="4" t="str">
        <v>×</v>
      </c>
      <c r="J7571" s="4"/>
      <c r="K7571" s="4"/>
      <c r="L7571" s="4"/>
      <c r="M7571" s="5" t="s">
        <v>5346</v>
      </c>
    </row>
    <row r="7572" customFormat="false" ht="15.75" hidden="false" customHeight="false" outlineLevel="0" collapsed="false">
      <c r="A7572" s="6" t="n">
        <v>46165</v>
      </c>
      <c r="B7572" s="4" t="s">
        <v>4473</v>
      </c>
      <c r="C7572" s="4" t="n">
        <v>7</v>
      </c>
      <c r="D7572" s="4" t="n">
        <v>4</v>
      </c>
      <c r="E7572" s="4" t="s">
        <v>5388</v>
      </c>
      <c r="F7572" s="4" t="n">
        <v>6</v>
      </c>
      <c r="G7572" s="4" t="n">
        <v>10</v>
      </c>
      <c r="H7572" s="4" t="n">
        <v>4</v>
      </c>
      <c r="I7572" s="4" t="str">
        <v>×</v>
      </c>
      <c r="J7572" s="4"/>
      <c r="K7572" s="4"/>
      <c r="L7572" s="4"/>
      <c r="M7572" s="5" t="s">
        <v>5346</v>
      </c>
    </row>
    <row r="7573" customFormat="false" ht="15.75" hidden="false" customHeight="false" outlineLevel="0" collapsed="false">
      <c r="A7573" s="6" t="n">
        <v>46165</v>
      </c>
      <c r="B7573" s="4" t="s">
        <v>4473</v>
      </c>
      <c r="C7573" s="4" t="n">
        <v>7</v>
      </c>
      <c r="D7573" s="4" t="n">
        <v>5</v>
      </c>
      <c r="E7573" s="4" t="s">
        <v>5389</v>
      </c>
      <c r="F7573" s="4" t="n">
        <v>1</v>
      </c>
      <c r="G7573" s="4" t="n">
        <v>12</v>
      </c>
      <c r="H7573" s="4" t="n">
        <v>4</v>
      </c>
      <c r="I7573" s="4" t="str">
        <v>×</v>
      </c>
      <c r="J7573" s="4"/>
      <c r="K7573" s="4"/>
      <c r="L7573" s="4"/>
      <c r="M7573" s="5" t="s">
        <v>5346</v>
      </c>
    </row>
    <row r="7574" customFormat="false" ht="15.75" hidden="false" customHeight="false" outlineLevel="0" collapsed="false">
      <c r="A7574" s="6" t="n">
        <v>46165</v>
      </c>
      <c r="B7574" s="4" t="s">
        <v>4473</v>
      </c>
      <c r="C7574" s="4" t="n">
        <v>7</v>
      </c>
      <c r="D7574" s="4" t="n">
        <v>6</v>
      </c>
      <c r="E7574" s="4" t="s">
        <v>5390</v>
      </c>
      <c r="F7574" s="4" t="n">
        <v>1</v>
      </c>
      <c r="G7574" s="4" t="n">
        <v>12</v>
      </c>
      <c r="H7574" s="4" t="n">
        <v>4</v>
      </c>
      <c r="I7574" s="4" t="str">
        <v>×</v>
      </c>
      <c r="J7574" s="4"/>
      <c r="K7574" s="4"/>
      <c r="L7574" s="4"/>
      <c r="M7574" s="5" t="s">
        <v>5346</v>
      </c>
    </row>
    <row r="7575" customFormat="false" ht="15.75" hidden="false" customHeight="false" outlineLevel="0" collapsed="false">
      <c r="A7575" s="6" t="n">
        <v>46165</v>
      </c>
      <c r="B7575" s="4" t="s">
        <v>4473</v>
      </c>
      <c r="C7575" s="4" t="n">
        <v>7</v>
      </c>
      <c r="D7575" s="4" t="n">
        <v>7</v>
      </c>
      <c r="E7575" s="4" t="s">
        <v>5391</v>
      </c>
      <c r="F7575" s="4" t="n">
        <v>1</v>
      </c>
      <c r="G7575" s="4" t="n">
        <v>12</v>
      </c>
      <c r="H7575" s="4" t="n">
        <v>4</v>
      </c>
      <c r="I7575" s="4" t="str">
        <v>×</v>
      </c>
      <c r="J7575" s="4"/>
      <c r="K7575" s="4"/>
      <c r="L7575" s="4"/>
      <c r="M7575" s="5" t="s">
        <v>5346</v>
      </c>
    </row>
    <row r="7576" customFormat="false" ht="15.75" hidden="false" customHeight="false" outlineLevel="0" collapsed="false">
      <c r="A7576" s="6" t="n">
        <v>46165</v>
      </c>
      <c r="B7576" s="4" t="s">
        <v>4473</v>
      </c>
      <c r="C7576" s="4" t="n">
        <v>7</v>
      </c>
      <c r="D7576" s="4" t="n">
        <v>8</v>
      </c>
      <c r="E7576" s="4" t="s">
        <v>167</v>
      </c>
      <c r="F7576" s="4" t="n">
        <v>3</v>
      </c>
      <c r="G7576" s="4" t="n">
        <v>11</v>
      </c>
      <c r="H7576" s="4" t="n">
        <v>4</v>
      </c>
      <c r="I7576" s="4" t="str">
        <v>×</v>
      </c>
      <c r="J7576" s="4"/>
      <c r="K7576" s="4"/>
      <c r="L7576" s="4"/>
      <c r="M7576" s="5" t="s">
        <v>5346</v>
      </c>
    </row>
    <row r="7577" customFormat="false" ht="15.75" hidden="false" customHeight="false" outlineLevel="0" collapsed="false">
      <c r="A7577" s="6" t="n">
        <v>46165</v>
      </c>
      <c r="B7577" s="4" t="s">
        <v>4473</v>
      </c>
      <c r="C7577" s="4" t="n">
        <v>7</v>
      </c>
      <c r="D7577" s="4" t="n">
        <v>9</v>
      </c>
      <c r="E7577" s="4" t="s">
        <v>80</v>
      </c>
      <c r="F7577" s="4" t="n">
        <v>23</v>
      </c>
      <c r="G7577" s="4" t="n">
        <v>5</v>
      </c>
      <c r="H7577" s="4" t="n">
        <v>1</v>
      </c>
      <c r="I7577" s="4" t="str">
        <v>○</v>
      </c>
      <c r="J7577" s="4" t="n">
        <v>360</v>
      </c>
      <c r="K7577" s="4"/>
      <c r="L7577" s="4"/>
      <c r="M7577" s="5" t="s">
        <v>5346</v>
      </c>
    </row>
    <row r="7578" customFormat="false" ht="15.75" hidden="false" customHeight="false" outlineLevel="0" collapsed="false">
      <c r="A7578" s="6" t="n">
        <v>46165</v>
      </c>
      <c r="B7578" s="4" t="s">
        <v>4473</v>
      </c>
      <c r="C7578" s="4" t="n">
        <v>7</v>
      </c>
      <c r="D7578" s="4" t="n">
        <v>10</v>
      </c>
      <c r="E7578" s="4" t="s">
        <v>5392</v>
      </c>
      <c r="F7578" s="4" t="n">
        <v>39</v>
      </c>
      <c r="G7578" s="4" t="n">
        <v>2</v>
      </c>
      <c r="H7578" s="4" t="n">
        <v>4</v>
      </c>
      <c r="I7578" s="4" t="str">
        <v>×</v>
      </c>
      <c r="J7578" s="4"/>
      <c r="K7578" s="4"/>
      <c r="L7578" s="4"/>
      <c r="M7578" s="5" t="s">
        <v>5346</v>
      </c>
    </row>
    <row r="7579" customFormat="false" ht="15.75" hidden="false" customHeight="false" outlineLevel="0" collapsed="false">
      <c r="A7579" s="6" t="n">
        <v>46165</v>
      </c>
      <c r="B7579" s="4" t="s">
        <v>4473</v>
      </c>
      <c r="C7579" s="4" t="n">
        <v>7</v>
      </c>
      <c r="D7579" s="4" t="n">
        <v>11</v>
      </c>
      <c r="E7579" s="4" t="s">
        <v>83</v>
      </c>
      <c r="F7579" s="4" t="n">
        <v>31</v>
      </c>
      <c r="G7579" s="4" t="n">
        <v>4</v>
      </c>
      <c r="H7579" s="4" t="n">
        <v>3</v>
      </c>
      <c r="I7579" s="4" t="str">
        <v>○</v>
      </c>
      <c r="J7579" s="4" t="n">
        <v>210</v>
      </c>
      <c r="K7579" s="4"/>
      <c r="L7579" s="4"/>
      <c r="M7579" s="5" t="s">
        <v>5346</v>
      </c>
    </row>
    <row r="7580" customFormat="false" ht="15.75" hidden="false" customHeight="false" outlineLevel="0" collapsed="false">
      <c r="A7580" s="6" t="n">
        <v>46165</v>
      </c>
      <c r="B7580" s="4" t="s">
        <v>4473</v>
      </c>
      <c r="C7580" s="4" t="n">
        <v>7</v>
      </c>
      <c r="D7580" s="4" t="n">
        <v>12</v>
      </c>
      <c r="E7580" s="4" t="s">
        <v>4736</v>
      </c>
      <c r="F7580" s="4" t="n">
        <v>10</v>
      </c>
      <c r="G7580" s="4" t="n">
        <v>9</v>
      </c>
      <c r="H7580" s="4" t="n">
        <v>4</v>
      </c>
      <c r="I7580" s="4" t="str">
        <v>×</v>
      </c>
      <c r="J7580" s="4"/>
      <c r="K7580" s="4"/>
      <c r="L7580" s="4"/>
      <c r="M7580" s="5" t="s">
        <v>5346</v>
      </c>
    </row>
    <row r="7581" customFormat="false" ht="15.75" hidden="false" customHeight="false" outlineLevel="0" collapsed="false">
      <c r="A7581" s="6" t="n">
        <v>46165</v>
      </c>
      <c r="B7581" s="4" t="s">
        <v>4473</v>
      </c>
      <c r="C7581" s="4" t="n">
        <v>7</v>
      </c>
      <c r="D7581" s="4" t="n">
        <v>13</v>
      </c>
      <c r="E7581" s="4" t="s">
        <v>2381</v>
      </c>
      <c r="F7581" s="4" t="n">
        <v>34</v>
      </c>
      <c r="G7581" s="4" t="n">
        <v>3</v>
      </c>
      <c r="H7581" s="4" t="n">
        <v>2</v>
      </c>
      <c r="I7581" s="4" t="str">
        <v>○</v>
      </c>
      <c r="J7581" s="4" t="n">
        <v>400</v>
      </c>
      <c r="K7581" s="4"/>
      <c r="L7581" s="4"/>
      <c r="M7581" s="5" t="s">
        <v>5346</v>
      </c>
    </row>
    <row r="7582" customFormat="false" ht="15.75" hidden="false" customHeight="false" outlineLevel="0" collapsed="false">
      <c r="A7582" s="6" t="n">
        <v>46165</v>
      </c>
      <c r="B7582" s="4" t="s">
        <v>4473</v>
      </c>
      <c r="C7582" s="4" t="n">
        <v>7</v>
      </c>
      <c r="D7582" s="4" t="n">
        <v>14</v>
      </c>
      <c r="E7582" s="4" t="s">
        <v>5393</v>
      </c>
      <c r="F7582" s="4" t="n">
        <v>17</v>
      </c>
      <c r="G7582" s="4" t="n">
        <v>7</v>
      </c>
      <c r="H7582" s="4" t="n">
        <v>4</v>
      </c>
      <c r="I7582" s="4" t="str">
        <v>×</v>
      </c>
      <c r="J7582" s="4"/>
      <c r="K7582" s="4"/>
      <c r="L7582" s="4"/>
      <c r="M7582" s="5" t="s">
        <v>5346</v>
      </c>
    </row>
    <row r="7583" customFormat="false" ht="15.75" hidden="false" customHeight="false" outlineLevel="0" collapsed="false">
      <c r="A7583" s="6" t="n">
        <v>46165</v>
      </c>
      <c r="B7583" s="4" t="s">
        <v>4473</v>
      </c>
      <c r="C7583" s="4" t="n">
        <v>7</v>
      </c>
      <c r="D7583" s="4" t="n">
        <v>15</v>
      </c>
      <c r="E7583" s="4" t="s">
        <v>66</v>
      </c>
      <c r="F7583" s="4" t="n">
        <v>31</v>
      </c>
      <c r="G7583" s="4" t="n">
        <v>4</v>
      </c>
      <c r="H7583" s="4" t="n">
        <v>4</v>
      </c>
      <c r="I7583" s="4" t="str">
        <v>×</v>
      </c>
      <c r="J7583" s="4"/>
      <c r="K7583" s="4"/>
      <c r="L7583" s="4"/>
      <c r="M7583" s="5" t="s">
        <v>5346</v>
      </c>
    </row>
    <row r="7584" customFormat="false" ht="15.75" hidden="false" customHeight="false" outlineLevel="0" collapsed="false">
      <c r="A7584" s="6" t="n">
        <v>46165</v>
      </c>
      <c r="B7584" s="4" t="s">
        <v>4473</v>
      </c>
      <c r="C7584" s="4" t="n">
        <v>7</v>
      </c>
      <c r="D7584" s="4" t="n">
        <v>16</v>
      </c>
      <c r="E7584" s="4" t="s">
        <v>5394</v>
      </c>
      <c r="F7584" s="4" t="n">
        <v>23</v>
      </c>
      <c r="G7584" s="4" t="n">
        <v>5</v>
      </c>
      <c r="H7584" s="4" t="n">
        <v>4</v>
      </c>
      <c r="I7584" s="4" t="str">
        <v>×</v>
      </c>
      <c r="J7584" s="4"/>
      <c r="K7584" s="4"/>
      <c r="L7584" s="4"/>
      <c r="M7584" s="5" t="s">
        <v>5346</v>
      </c>
    </row>
    <row r="7585" customFormat="false" ht="15.75" hidden="false" customHeight="false" outlineLevel="0" collapsed="false">
      <c r="A7585" s="6" t="n">
        <v>46165</v>
      </c>
      <c r="B7585" s="4" t="s">
        <v>4473</v>
      </c>
      <c r="C7585" s="4" t="n">
        <v>7</v>
      </c>
      <c r="D7585" s="4" t="n">
        <v>17</v>
      </c>
      <c r="E7585" s="4" t="s">
        <v>5395</v>
      </c>
      <c r="F7585" s="4" t="n">
        <v>52</v>
      </c>
      <c r="G7585" s="4" t="n">
        <v>1</v>
      </c>
      <c r="H7585" s="4" t="n">
        <v>4</v>
      </c>
      <c r="I7585" s="4" t="str">
        <v>×</v>
      </c>
      <c r="J7585" s="4"/>
      <c r="K7585" s="4"/>
      <c r="L7585" s="4"/>
      <c r="M7585" s="5" t="s">
        <v>5346</v>
      </c>
    </row>
    <row r="7586" customFormat="false" ht="15.75" hidden="false" customHeight="false" outlineLevel="0" collapsed="false">
      <c r="A7586" s="6" t="n">
        <v>46165</v>
      </c>
      <c r="B7586" s="4" t="s">
        <v>4473</v>
      </c>
      <c r="C7586" s="4" t="n">
        <v>7</v>
      </c>
      <c r="D7586" s="4" t="n">
        <v>18</v>
      </c>
      <c r="E7586" s="4" t="s">
        <v>1869</v>
      </c>
      <c r="F7586" s="4" t="n">
        <v>3</v>
      </c>
      <c r="G7586" s="4" t="n">
        <v>11</v>
      </c>
      <c r="H7586" s="4" t="n">
        <v>4</v>
      </c>
      <c r="I7586" s="4" t="str">
        <v>×</v>
      </c>
      <c r="J7586" s="4"/>
      <c r="K7586" s="4"/>
      <c r="L7586" s="4"/>
      <c r="M7586" s="5" t="s">
        <v>5346</v>
      </c>
    </row>
    <row r="7587" customFormat="false" ht="15.75" hidden="false" customHeight="false" outlineLevel="0" collapsed="false">
      <c r="A7587" s="6" t="n">
        <v>46165</v>
      </c>
      <c r="B7587" s="4" t="s">
        <v>4473</v>
      </c>
      <c r="C7587" s="4" t="n">
        <v>8</v>
      </c>
      <c r="D7587" s="4" t="n">
        <v>1</v>
      </c>
      <c r="E7587" s="4" t="s">
        <v>5396</v>
      </c>
      <c r="F7587" s="4" t="n">
        <v>4</v>
      </c>
      <c r="G7587" s="4" t="n">
        <v>10</v>
      </c>
      <c r="H7587" s="4" t="n">
        <v>4</v>
      </c>
      <c r="I7587" s="4" t="str">
        <v>×</v>
      </c>
      <c r="J7587" s="4"/>
      <c r="K7587" s="4"/>
      <c r="L7587" s="4"/>
      <c r="M7587" s="5" t="s">
        <v>5346</v>
      </c>
    </row>
    <row r="7588" customFormat="false" ht="15.75" hidden="false" customHeight="false" outlineLevel="0" collapsed="false">
      <c r="A7588" s="6" t="n">
        <v>46165</v>
      </c>
      <c r="B7588" s="4" t="s">
        <v>4473</v>
      </c>
      <c r="C7588" s="4" t="n">
        <v>8</v>
      </c>
      <c r="D7588" s="4" t="n">
        <v>2</v>
      </c>
      <c r="E7588" s="4" t="s">
        <v>5397</v>
      </c>
      <c r="F7588" s="4" t="n">
        <v>4</v>
      </c>
      <c r="G7588" s="4" t="n">
        <v>10</v>
      </c>
      <c r="H7588" s="4" t="n">
        <v>3</v>
      </c>
      <c r="I7588" s="4" t="str">
        <v>○</v>
      </c>
      <c r="J7588" s="4" t="n">
        <v>2880</v>
      </c>
      <c r="K7588" s="4"/>
      <c r="L7588" s="4"/>
      <c r="M7588" s="5" t="s">
        <v>5346</v>
      </c>
    </row>
    <row r="7589" customFormat="false" ht="15.75" hidden="false" customHeight="false" outlineLevel="0" collapsed="false">
      <c r="A7589" s="6" t="n">
        <v>46165</v>
      </c>
      <c r="B7589" s="4" t="s">
        <v>4473</v>
      </c>
      <c r="C7589" s="4" t="n">
        <v>8</v>
      </c>
      <c r="D7589" s="4" t="n">
        <v>3</v>
      </c>
      <c r="E7589" s="4" t="s">
        <v>4745</v>
      </c>
      <c r="F7589" s="4" t="n">
        <v>15</v>
      </c>
      <c r="G7589" s="4" t="n">
        <v>7</v>
      </c>
      <c r="H7589" s="4" t="n">
        <v>1</v>
      </c>
      <c r="I7589" s="4" t="str">
        <v>○</v>
      </c>
      <c r="J7589" s="4" t="n">
        <v>440</v>
      </c>
      <c r="K7589" s="4"/>
      <c r="L7589" s="4"/>
      <c r="M7589" s="5" t="s">
        <v>5346</v>
      </c>
    </row>
    <row r="7590" customFormat="false" ht="15.75" hidden="false" customHeight="false" outlineLevel="0" collapsed="false">
      <c r="A7590" s="6" t="n">
        <v>46165</v>
      </c>
      <c r="B7590" s="4" t="s">
        <v>4473</v>
      </c>
      <c r="C7590" s="4" t="n">
        <v>8</v>
      </c>
      <c r="D7590" s="4" t="n">
        <v>4</v>
      </c>
      <c r="E7590" s="4" t="s">
        <v>4978</v>
      </c>
      <c r="F7590" s="4" t="n">
        <v>25</v>
      </c>
      <c r="G7590" s="4" t="n">
        <v>4</v>
      </c>
      <c r="H7590" s="4" t="n">
        <v>4</v>
      </c>
      <c r="I7590" s="4" t="str">
        <v>×</v>
      </c>
      <c r="J7590" s="4"/>
      <c r="K7590" s="4"/>
      <c r="L7590" s="4"/>
      <c r="M7590" s="5" t="s">
        <v>5346</v>
      </c>
    </row>
    <row r="7591" customFormat="false" ht="15.75" hidden="false" customHeight="false" outlineLevel="0" collapsed="false">
      <c r="A7591" s="6" t="n">
        <v>46165</v>
      </c>
      <c r="B7591" s="4" t="s">
        <v>4473</v>
      </c>
      <c r="C7591" s="4" t="n">
        <v>8</v>
      </c>
      <c r="D7591" s="4" t="n">
        <v>5</v>
      </c>
      <c r="E7591" s="4" t="s">
        <v>1019</v>
      </c>
      <c r="F7591" s="4" t="n">
        <v>3</v>
      </c>
      <c r="G7591" s="4" t="n">
        <v>11</v>
      </c>
      <c r="H7591" s="4" t="n">
        <v>4</v>
      </c>
      <c r="I7591" s="4" t="str">
        <v>×</v>
      </c>
      <c r="J7591" s="4"/>
      <c r="K7591" s="4"/>
      <c r="L7591" s="4"/>
      <c r="M7591" s="5" t="s">
        <v>5346</v>
      </c>
    </row>
    <row r="7592" customFormat="false" ht="15.75" hidden="false" customHeight="false" outlineLevel="0" collapsed="false">
      <c r="A7592" s="6" t="n">
        <v>46165</v>
      </c>
      <c r="B7592" s="4" t="s">
        <v>4473</v>
      </c>
      <c r="C7592" s="4" t="n">
        <v>8</v>
      </c>
      <c r="D7592" s="4" t="n">
        <v>6</v>
      </c>
      <c r="E7592" s="4" t="s">
        <v>5398</v>
      </c>
      <c r="F7592" s="4" t="n">
        <v>3</v>
      </c>
      <c r="G7592" s="4" t="n">
        <v>11</v>
      </c>
      <c r="H7592" s="4" t="n">
        <v>4</v>
      </c>
      <c r="I7592" s="4" t="str">
        <v>×</v>
      </c>
      <c r="J7592" s="4"/>
      <c r="K7592" s="4"/>
      <c r="L7592" s="4"/>
      <c r="M7592" s="5" t="s">
        <v>5346</v>
      </c>
    </row>
    <row r="7593" customFormat="false" ht="15.75" hidden="false" customHeight="false" outlineLevel="0" collapsed="false">
      <c r="A7593" s="6" t="n">
        <v>46165</v>
      </c>
      <c r="B7593" s="4" t="s">
        <v>4473</v>
      </c>
      <c r="C7593" s="4" t="n">
        <v>8</v>
      </c>
      <c r="D7593" s="4" t="n">
        <v>7</v>
      </c>
      <c r="E7593" s="4" t="s">
        <v>5399</v>
      </c>
      <c r="F7593" s="4" t="n">
        <v>20</v>
      </c>
      <c r="G7593" s="4" t="n">
        <v>6</v>
      </c>
      <c r="H7593" s="4" t="n">
        <v>4</v>
      </c>
      <c r="I7593" s="4" t="str">
        <v>×</v>
      </c>
      <c r="J7593" s="4"/>
      <c r="K7593" s="4"/>
      <c r="L7593" s="4"/>
      <c r="M7593" s="5" t="s">
        <v>5346</v>
      </c>
    </row>
    <row r="7594" customFormat="false" ht="15.75" hidden="false" customHeight="false" outlineLevel="0" collapsed="false">
      <c r="A7594" s="6" t="n">
        <v>46165</v>
      </c>
      <c r="B7594" s="4" t="s">
        <v>4473</v>
      </c>
      <c r="C7594" s="4" t="n">
        <v>8</v>
      </c>
      <c r="D7594" s="4" t="n">
        <v>8</v>
      </c>
      <c r="E7594" s="4" t="s">
        <v>5400</v>
      </c>
      <c r="F7594" s="4" t="n">
        <v>8</v>
      </c>
      <c r="G7594" s="4" t="n">
        <v>8</v>
      </c>
      <c r="H7594" s="4" t="n">
        <v>4</v>
      </c>
      <c r="I7594" s="4" t="str">
        <v>×</v>
      </c>
      <c r="J7594" s="4"/>
      <c r="K7594" s="4"/>
      <c r="L7594" s="4"/>
      <c r="M7594" s="5" t="s">
        <v>5346</v>
      </c>
    </row>
    <row r="7595" customFormat="false" ht="15.75" hidden="false" customHeight="false" outlineLevel="0" collapsed="false">
      <c r="A7595" s="6" t="n">
        <v>46165</v>
      </c>
      <c r="B7595" s="4" t="s">
        <v>4473</v>
      </c>
      <c r="C7595" s="4" t="n">
        <v>8</v>
      </c>
      <c r="D7595" s="4" t="n">
        <v>9</v>
      </c>
      <c r="E7595" s="4" t="s">
        <v>5401</v>
      </c>
      <c r="F7595" s="4" t="n">
        <v>23</v>
      </c>
      <c r="G7595" s="4" t="n">
        <v>5</v>
      </c>
      <c r="H7595" s="4" t="n">
        <v>4</v>
      </c>
      <c r="I7595" s="4" t="str">
        <v>×</v>
      </c>
      <c r="J7595" s="4"/>
      <c r="K7595" s="4"/>
      <c r="L7595" s="4"/>
      <c r="M7595" s="5" t="s">
        <v>5346</v>
      </c>
    </row>
    <row r="7596" customFormat="false" ht="15.75" hidden="false" customHeight="false" outlineLevel="0" collapsed="false">
      <c r="A7596" s="6" t="n">
        <v>46165</v>
      </c>
      <c r="B7596" s="4" t="s">
        <v>4473</v>
      </c>
      <c r="C7596" s="4" t="n">
        <v>8</v>
      </c>
      <c r="D7596" s="4" t="n">
        <v>10</v>
      </c>
      <c r="E7596" s="4" t="s">
        <v>5402</v>
      </c>
      <c r="F7596" s="4" t="n">
        <v>66</v>
      </c>
      <c r="G7596" s="4" t="n">
        <v>1</v>
      </c>
      <c r="H7596" s="4" t="n">
        <v>4</v>
      </c>
      <c r="I7596" s="4" t="str">
        <v>×</v>
      </c>
      <c r="J7596" s="4"/>
      <c r="K7596" s="4"/>
      <c r="L7596" s="4"/>
      <c r="M7596" s="5" t="s">
        <v>5346</v>
      </c>
    </row>
    <row r="7597" customFormat="false" ht="15.75" hidden="false" customHeight="false" outlineLevel="0" collapsed="false">
      <c r="A7597" s="6" t="n">
        <v>46165</v>
      </c>
      <c r="B7597" s="4" t="s">
        <v>4473</v>
      </c>
      <c r="C7597" s="4" t="n">
        <v>8</v>
      </c>
      <c r="D7597" s="4" t="n">
        <v>11</v>
      </c>
      <c r="E7597" s="4" t="s">
        <v>5403</v>
      </c>
      <c r="F7597" s="4" t="n">
        <v>8</v>
      </c>
      <c r="G7597" s="4" t="n">
        <v>8</v>
      </c>
      <c r="H7597" s="4" t="n">
        <v>4</v>
      </c>
      <c r="I7597" s="4" t="str">
        <v>×</v>
      </c>
      <c r="J7597" s="4"/>
      <c r="K7597" s="4"/>
      <c r="L7597" s="4"/>
      <c r="M7597" s="5" t="s">
        <v>5346</v>
      </c>
    </row>
    <row r="7598" customFormat="false" ht="15.75" hidden="false" customHeight="false" outlineLevel="0" collapsed="false">
      <c r="A7598" s="6" t="n">
        <v>46165</v>
      </c>
      <c r="B7598" s="4" t="s">
        <v>4473</v>
      </c>
      <c r="C7598" s="4" t="n">
        <v>8</v>
      </c>
      <c r="D7598" s="4" t="n">
        <v>12</v>
      </c>
      <c r="E7598" s="4" t="s">
        <v>3067</v>
      </c>
      <c r="F7598" s="4" t="n">
        <v>6</v>
      </c>
      <c r="G7598" s="4" t="n">
        <v>9</v>
      </c>
      <c r="H7598" s="4" t="n">
        <v>4</v>
      </c>
      <c r="I7598" s="4" t="str">
        <v>×</v>
      </c>
      <c r="J7598" s="4"/>
      <c r="K7598" s="4"/>
      <c r="L7598" s="4"/>
      <c r="M7598" s="5" t="s">
        <v>5346</v>
      </c>
    </row>
    <row r="7599" customFormat="false" ht="15.75" hidden="false" customHeight="false" outlineLevel="0" collapsed="false">
      <c r="A7599" s="6" t="n">
        <v>46165</v>
      </c>
      <c r="B7599" s="4" t="s">
        <v>4473</v>
      </c>
      <c r="C7599" s="4" t="n">
        <v>8</v>
      </c>
      <c r="D7599" s="4" t="n">
        <v>13</v>
      </c>
      <c r="E7599" s="4" t="s">
        <v>1554</v>
      </c>
      <c r="F7599" s="4" t="n">
        <v>41</v>
      </c>
      <c r="G7599" s="4" t="n">
        <v>3</v>
      </c>
      <c r="H7599" s="4" t="n">
        <v>4</v>
      </c>
      <c r="I7599" s="4" t="str">
        <v>×</v>
      </c>
      <c r="J7599" s="4"/>
      <c r="K7599" s="4"/>
      <c r="L7599" s="4"/>
      <c r="M7599" s="5" t="s">
        <v>5346</v>
      </c>
    </row>
    <row r="7600" customFormat="false" ht="15.75" hidden="false" customHeight="false" outlineLevel="0" collapsed="false">
      <c r="A7600" s="6" t="n">
        <v>46165</v>
      </c>
      <c r="B7600" s="4" t="s">
        <v>4473</v>
      </c>
      <c r="C7600" s="4" t="n">
        <v>8</v>
      </c>
      <c r="D7600" s="4" t="n">
        <v>14</v>
      </c>
      <c r="E7600" s="4" t="s">
        <v>112</v>
      </c>
      <c r="F7600" s="4" t="n">
        <v>15</v>
      </c>
      <c r="G7600" s="4" t="n">
        <v>7</v>
      </c>
      <c r="H7600" s="4" t="n">
        <v>4</v>
      </c>
      <c r="I7600" s="4" t="str">
        <v>×</v>
      </c>
      <c r="J7600" s="4"/>
      <c r="K7600" s="4"/>
      <c r="L7600" s="4"/>
      <c r="M7600" s="5" t="s">
        <v>5346</v>
      </c>
    </row>
    <row r="7601" customFormat="false" ht="15.75" hidden="false" customHeight="false" outlineLevel="0" collapsed="false">
      <c r="A7601" s="6" t="n">
        <v>46165</v>
      </c>
      <c r="B7601" s="4" t="s">
        <v>4473</v>
      </c>
      <c r="C7601" s="4" t="n">
        <v>8</v>
      </c>
      <c r="D7601" s="4" t="n">
        <v>15</v>
      </c>
      <c r="E7601" s="4" t="s">
        <v>5404</v>
      </c>
      <c r="F7601" s="4" t="n">
        <v>1</v>
      </c>
      <c r="G7601" s="4" t="n">
        <v>12</v>
      </c>
      <c r="H7601" s="4" t="n">
        <v>4</v>
      </c>
      <c r="I7601" s="4" t="str">
        <v>×</v>
      </c>
      <c r="J7601" s="4"/>
      <c r="K7601" s="4"/>
      <c r="L7601" s="4"/>
      <c r="M7601" s="5" t="s">
        <v>5346</v>
      </c>
    </row>
    <row r="7602" customFormat="false" ht="15.75" hidden="false" customHeight="false" outlineLevel="0" collapsed="false">
      <c r="A7602" s="6" t="n">
        <v>46165</v>
      </c>
      <c r="B7602" s="4" t="s">
        <v>4473</v>
      </c>
      <c r="C7602" s="4" t="n">
        <v>8</v>
      </c>
      <c r="D7602" s="4" t="n">
        <v>16</v>
      </c>
      <c r="E7602" s="4" t="s">
        <v>5192</v>
      </c>
      <c r="F7602" s="4" t="n">
        <v>50</v>
      </c>
      <c r="G7602" s="4" t="n">
        <v>2</v>
      </c>
      <c r="H7602" s="4" t="n">
        <v>2</v>
      </c>
      <c r="I7602" s="4" t="str">
        <v>○</v>
      </c>
      <c r="J7602" s="4" t="n">
        <v>190</v>
      </c>
      <c r="K7602" s="4"/>
      <c r="L7602" s="4"/>
      <c r="M7602" s="5" t="s">
        <v>5346</v>
      </c>
    </row>
    <row r="7603" customFormat="false" ht="15.75" hidden="false" customHeight="false" outlineLevel="0" collapsed="false">
      <c r="A7603" s="6" t="n">
        <v>46165</v>
      </c>
      <c r="B7603" s="4" t="s">
        <v>4473</v>
      </c>
      <c r="C7603" s="4" t="n">
        <v>9</v>
      </c>
      <c r="D7603" s="4" t="n">
        <v>1</v>
      </c>
      <c r="E7603" s="4" t="s">
        <v>5405</v>
      </c>
      <c r="F7603" s="4" t="n">
        <v>13</v>
      </c>
      <c r="G7603" s="4" t="n">
        <v>9</v>
      </c>
      <c r="H7603" s="4" t="n">
        <v>4</v>
      </c>
      <c r="I7603" s="4" t="str">
        <v>×</v>
      </c>
      <c r="J7603" s="4"/>
      <c r="K7603" s="4"/>
      <c r="L7603" s="4"/>
      <c r="M7603" s="5" t="s">
        <v>5346</v>
      </c>
    </row>
    <row r="7604" customFormat="false" ht="15.75" hidden="false" customHeight="false" outlineLevel="0" collapsed="false">
      <c r="A7604" s="6" t="n">
        <v>46165</v>
      </c>
      <c r="B7604" s="4" t="s">
        <v>4473</v>
      </c>
      <c r="C7604" s="4" t="n">
        <v>9</v>
      </c>
      <c r="D7604" s="4" t="n">
        <v>2</v>
      </c>
      <c r="E7604" s="4" t="s">
        <v>2386</v>
      </c>
      <c r="F7604" s="4" t="n">
        <v>31</v>
      </c>
      <c r="G7604" s="4" t="n">
        <v>5</v>
      </c>
      <c r="H7604" s="4" t="n">
        <v>3</v>
      </c>
      <c r="I7604" s="4" t="str">
        <v>○</v>
      </c>
      <c r="J7604" s="4" t="n">
        <v>240</v>
      </c>
      <c r="K7604" s="4"/>
      <c r="L7604" s="4"/>
      <c r="M7604" s="5" t="s">
        <v>5346</v>
      </c>
    </row>
    <row r="7605" customFormat="false" ht="15.75" hidden="false" customHeight="false" outlineLevel="0" collapsed="false">
      <c r="A7605" s="6" t="n">
        <v>46165</v>
      </c>
      <c r="B7605" s="4" t="s">
        <v>4473</v>
      </c>
      <c r="C7605" s="4" t="n">
        <v>9</v>
      </c>
      <c r="D7605" s="4" t="n">
        <v>3</v>
      </c>
      <c r="E7605" s="4" t="s">
        <v>3865</v>
      </c>
      <c r="F7605" s="4" t="n">
        <v>37</v>
      </c>
      <c r="G7605" s="4" t="n">
        <v>3</v>
      </c>
      <c r="H7605" s="4" t="n">
        <v>4</v>
      </c>
      <c r="I7605" s="4" t="str">
        <v>×</v>
      </c>
      <c r="J7605" s="4"/>
      <c r="K7605" s="4"/>
      <c r="L7605" s="4"/>
      <c r="M7605" s="5" t="s">
        <v>5346</v>
      </c>
    </row>
    <row r="7606" customFormat="false" ht="15.75" hidden="false" customHeight="false" outlineLevel="0" collapsed="false">
      <c r="A7606" s="6" t="n">
        <v>46165</v>
      </c>
      <c r="B7606" s="4" t="s">
        <v>4473</v>
      </c>
      <c r="C7606" s="4" t="n">
        <v>9</v>
      </c>
      <c r="D7606" s="4" t="n">
        <v>4</v>
      </c>
      <c r="E7606" s="4" t="s">
        <v>5406</v>
      </c>
      <c r="F7606" s="4" t="n">
        <v>44</v>
      </c>
      <c r="G7606" s="4" t="n">
        <v>2</v>
      </c>
      <c r="H7606" s="4" t="n">
        <v>4</v>
      </c>
      <c r="I7606" s="4" t="str">
        <v>×</v>
      </c>
      <c r="J7606" s="4"/>
      <c r="K7606" s="4"/>
      <c r="L7606" s="4"/>
      <c r="M7606" s="5" t="s">
        <v>5346</v>
      </c>
    </row>
    <row r="7607" customFormat="false" ht="15.75" hidden="false" customHeight="false" outlineLevel="0" collapsed="false">
      <c r="A7607" s="6" t="n">
        <v>46165</v>
      </c>
      <c r="B7607" s="4" t="s">
        <v>4473</v>
      </c>
      <c r="C7607" s="4" t="n">
        <v>9</v>
      </c>
      <c r="D7607" s="4" t="n">
        <v>5</v>
      </c>
      <c r="E7607" s="4" t="s">
        <v>71</v>
      </c>
      <c r="F7607" s="4" t="n">
        <v>25</v>
      </c>
      <c r="G7607" s="4" t="n">
        <v>6</v>
      </c>
      <c r="H7607" s="4" t="n">
        <v>4</v>
      </c>
      <c r="I7607" s="4" t="str">
        <v>×</v>
      </c>
      <c r="J7607" s="4"/>
      <c r="K7607" s="4"/>
      <c r="L7607" s="4"/>
      <c r="M7607" s="5" t="s">
        <v>5346</v>
      </c>
    </row>
    <row r="7608" customFormat="false" ht="15.75" hidden="false" customHeight="false" outlineLevel="0" collapsed="false">
      <c r="A7608" s="6" t="n">
        <v>46165</v>
      </c>
      <c r="B7608" s="4" t="s">
        <v>4473</v>
      </c>
      <c r="C7608" s="4" t="n">
        <v>9</v>
      </c>
      <c r="D7608" s="4" t="n">
        <v>6</v>
      </c>
      <c r="E7608" s="4" t="s">
        <v>3077</v>
      </c>
      <c r="F7608" s="4" t="n">
        <v>13</v>
      </c>
      <c r="G7608" s="4" t="n">
        <v>9</v>
      </c>
      <c r="H7608" s="4" t="n">
        <v>4</v>
      </c>
      <c r="I7608" s="4" t="str">
        <v>×</v>
      </c>
      <c r="J7608" s="4"/>
      <c r="K7608" s="4"/>
      <c r="L7608" s="4"/>
      <c r="M7608" s="5" t="s">
        <v>5346</v>
      </c>
    </row>
    <row r="7609" customFormat="false" ht="15.75" hidden="false" customHeight="false" outlineLevel="0" collapsed="false">
      <c r="A7609" s="6" t="n">
        <v>46165</v>
      </c>
      <c r="B7609" s="4" t="s">
        <v>4473</v>
      </c>
      <c r="C7609" s="4" t="n">
        <v>9</v>
      </c>
      <c r="D7609" s="4" t="n">
        <v>7</v>
      </c>
      <c r="E7609" s="4" t="s">
        <v>3677</v>
      </c>
      <c r="F7609" s="4" t="n">
        <v>31</v>
      </c>
      <c r="G7609" s="4" t="n">
        <v>5</v>
      </c>
      <c r="H7609" s="4" t="n">
        <v>4</v>
      </c>
      <c r="I7609" s="4" t="str">
        <v>×</v>
      </c>
      <c r="J7609" s="4"/>
      <c r="K7609" s="4"/>
      <c r="L7609" s="4"/>
      <c r="M7609" s="5" t="s">
        <v>5346</v>
      </c>
    </row>
    <row r="7610" customFormat="false" ht="15.75" hidden="false" customHeight="false" outlineLevel="0" collapsed="false">
      <c r="A7610" s="6" t="n">
        <v>46165</v>
      </c>
      <c r="B7610" s="4" t="s">
        <v>4473</v>
      </c>
      <c r="C7610" s="4" t="n">
        <v>9</v>
      </c>
      <c r="D7610" s="4" t="n">
        <v>8</v>
      </c>
      <c r="E7610" s="4" t="s">
        <v>4058</v>
      </c>
      <c r="F7610" s="4" t="n">
        <v>23</v>
      </c>
      <c r="G7610" s="4" t="n">
        <v>7</v>
      </c>
      <c r="H7610" s="4" t="n">
        <v>2</v>
      </c>
      <c r="I7610" s="4" t="str">
        <v>○</v>
      </c>
      <c r="J7610" s="4" t="n">
        <v>460</v>
      </c>
      <c r="K7610" s="4"/>
      <c r="L7610" s="4"/>
      <c r="M7610" s="5" t="s">
        <v>5346</v>
      </c>
    </row>
    <row r="7611" customFormat="false" ht="15.75" hidden="false" customHeight="false" outlineLevel="0" collapsed="false">
      <c r="A7611" s="6" t="n">
        <v>46165</v>
      </c>
      <c r="B7611" s="4" t="s">
        <v>4473</v>
      </c>
      <c r="C7611" s="4" t="n">
        <v>9</v>
      </c>
      <c r="D7611" s="4" t="n">
        <v>9</v>
      </c>
      <c r="E7611" s="4" t="s">
        <v>5407</v>
      </c>
      <c r="F7611" s="4" t="n">
        <v>17</v>
      </c>
      <c r="G7611" s="4" t="n">
        <v>8</v>
      </c>
      <c r="H7611" s="4" t="n">
        <v>4</v>
      </c>
      <c r="I7611" s="4" t="str">
        <v>×</v>
      </c>
      <c r="J7611" s="4"/>
      <c r="K7611" s="4"/>
      <c r="L7611" s="4"/>
      <c r="M7611" s="5" t="s">
        <v>5346</v>
      </c>
    </row>
    <row r="7612" customFormat="false" ht="15.75" hidden="false" customHeight="false" outlineLevel="0" collapsed="false">
      <c r="A7612" s="6" t="n">
        <v>46165</v>
      </c>
      <c r="B7612" s="4" t="s">
        <v>4473</v>
      </c>
      <c r="C7612" s="4" t="n">
        <v>9</v>
      </c>
      <c r="D7612" s="4" t="n">
        <v>10</v>
      </c>
      <c r="E7612" s="4" t="s">
        <v>5408</v>
      </c>
      <c r="F7612" s="4" t="n">
        <v>71</v>
      </c>
      <c r="G7612" s="4" t="n">
        <v>1</v>
      </c>
      <c r="H7612" s="4" t="n">
        <v>1</v>
      </c>
      <c r="I7612" s="4" t="str">
        <v>○</v>
      </c>
      <c r="J7612" s="4" t="n">
        <v>110</v>
      </c>
      <c r="K7612" s="4"/>
      <c r="L7612" s="4"/>
      <c r="M7612" s="5" t="s">
        <v>5346</v>
      </c>
    </row>
    <row r="7613" customFormat="false" ht="15.75" hidden="false" customHeight="false" outlineLevel="0" collapsed="false">
      <c r="A7613" s="6" t="n">
        <v>46165</v>
      </c>
      <c r="B7613" s="4" t="s">
        <v>4473</v>
      </c>
      <c r="C7613" s="4" t="n">
        <v>9</v>
      </c>
      <c r="D7613" s="4" t="n">
        <v>11</v>
      </c>
      <c r="E7613" s="4" t="s">
        <v>5409</v>
      </c>
      <c r="F7613" s="4" t="n">
        <v>37</v>
      </c>
      <c r="G7613" s="4" t="n">
        <v>3</v>
      </c>
      <c r="H7613" s="4" t="n">
        <v>4</v>
      </c>
      <c r="I7613" s="4" t="str">
        <v>×</v>
      </c>
      <c r="J7613" s="4"/>
      <c r="K7613" s="4"/>
      <c r="L7613" s="4"/>
      <c r="M7613" s="5" t="s">
        <v>5346</v>
      </c>
    </row>
    <row r="7614" customFormat="false" ht="15.75" hidden="false" customHeight="false" outlineLevel="0" collapsed="false">
      <c r="A7614" s="6" t="n">
        <v>46165</v>
      </c>
      <c r="B7614" s="4" t="s">
        <v>4473</v>
      </c>
      <c r="C7614" s="4" t="n">
        <v>9</v>
      </c>
      <c r="D7614" s="4" t="n">
        <v>12</v>
      </c>
      <c r="E7614" s="4" t="s">
        <v>5410</v>
      </c>
      <c r="F7614" s="4" t="n">
        <v>34</v>
      </c>
      <c r="G7614" s="4" t="n">
        <v>4</v>
      </c>
      <c r="H7614" s="4" t="n">
        <v>4</v>
      </c>
      <c r="I7614" s="4" t="str">
        <v>×</v>
      </c>
      <c r="J7614" s="4"/>
      <c r="K7614" s="4"/>
      <c r="L7614" s="4"/>
      <c r="M7614" s="5" t="s">
        <v>5346</v>
      </c>
    </row>
    <row r="7615" customFormat="false" ht="15.75" hidden="false" customHeight="false" outlineLevel="0" collapsed="false">
      <c r="A7615" s="6" t="n">
        <v>46165</v>
      </c>
      <c r="B7615" s="4" t="s">
        <v>4473</v>
      </c>
      <c r="C7615" s="4" t="n">
        <v>10</v>
      </c>
      <c r="D7615" s="4" t="n">
        <v>1</v>
      </c>
      <c r="E7615" s="4" t="s">
        <v>5411</v>
      </c>
      <c r="F7615" s="4" t="n">
        <v>60</v>
      </c>
      <c r="G7615" s="4" t="n">
        <v>1</v>
      </c>
      <c r="H7615" s="4" t="n">
        <v>4</v>
      </c>
      <c r="I7615" s="4" t="str">
        <v>×</v>
      </c>
      <c r="J7615" s="4"/>
      <c r="K7615" s="4"/>
      <c r="L7615" s="4"/>
      <c r="M7615" s="5" t="s">
        <v>5346</v>
      </c>
    </row>
    <row r="7616" customFormat="false" ht="15.75" hidden="false" customHeight="false" outlineLevel="0" collapsed="false">
      <c r="A7616" s="6" t="n">
        <v>46165</v>
      </c>
      <c r="B7616" s="4" t="s">
        <v>4473</v>
      </c>
      <c r="C7616" s="4" t="n">
        <v>10</v>
      </c>
      <c r="D7616" s="4" t="n">
        <v>2</v>
      </c>
      <c r="E7616" s="4" t="s">
        <v>5412</v>
      </c>
      <c r="F7616" s="4" t="n">
        <v>8</v>
      </c>
      <c r="G7616" s="4" t="n">
        <v>10</v>
      </c>
      <c r="H7616" s="4" t="n">
        <v>4</v>
      </c>
      <c r="I7616" s="4" t="str">
        <v>×</v>
      </c>
      <c r="J7616" s="4"/>
      <c r="K7616" s="4"/>
      <c r="L7616" s="4"/>
      <c r="M7616" s="5" t="s">
        <v>5346</v>
      </c>
    </row>
    <row r="7617" customFormat="false" ht="15.75" hidden="false" customHeight="false" outlineLevel="0" collapsed="false">
      <c r="A7617" s="6" t="n">
        <v>46165</v>
      </c>
      <c r="B7617" s="4" t="s">
        <v>4473</v>
      </c>
      <c r="C7617" s="4" t="n">
        <v>10</v>
      </c>
      <c r="D7617" s="4" t="n">
        <v>3</v>
      </c>
      <c r="E7617" s="4" t="s">
        <v>5413</v>
      </c>
      <c r="F7617" s="4" t="n">
        <v>20</v>
      </c>
      <c r="G7617" s="4" t="n">
        <v>6</v>
      </c>
      <c r="H7617" s="4" t="n">
        <v>4</v>
      </c>
      <c r="I7617" s="4" t="str">
        <v>×</v>
      </c>
      <c r="J7617" s="4"/>
      <c r="K7617" s="4"/>
      <c r="L7617" s="4"/>
      <c r="M7617" s="5" t="s">
        <v>5346</v>
      </c>
    </row>
    <row r="7618" customFormat="false" ht="15.75" hidden="false" customHeight="false" outlineLevel="0" collapsed="false">
      <c r="A7618" s="6" t="n">
        <v>46165</v>
      </c>
      <c r="B7618" s="4" t="s">
        <v>4473</v>
      </c>
      <c r="C7618" s="4" t="n">
        <v>10</v>
      </c>
      <c r="D7618" s="4" t="n">
        <v>4</v>
      </c>
      <c r="E7618" s="4" t="s">
        <v>3091</v>
      </c>
      <c r="F7618" s="4" t="n">
        <v>15</v>
      </c>
      <c r="G7618" s="4" t="n">
        <v>7</v>
      </c>
      <c r="H7618" s="4" t="n">
        <v>4</v>
      </c>
      <c r="I7618" s="4" t="str">
        <v>×</v>
      </c>
      <c r="J7618" s="4"/>
      <c r="K7618" s="4"/>
      <c r="L7618" s="4"/>
      <c r="M7618" s="5" t="s">
        <v>5346</v>
      </c>
    </row>
    <row r="7619" customFormat="false" ht="15.75" hidden="false" customHeight="false" outlineLevel="0" collapsed="false">
      <c r="A7619" s="6" t="n">
        <v>46165</v>
      </c>
      <c r="B7619" s="4" t="s">
        <v>4473</v>
      </c>
      <c r="C7619" s="4" t="n">
        <v>10</v>
      </c>
      <c r="D7619" s="4" t="n">
        <v>5</v>
      </c>
      <c r="E7619" s="4" t="s">
        <v>5414</v>
      </c>
      <c r="F7619" s="4" t="n">
        <v>52</v>
      </c>
      <c r="G7619" s="4" t="n">
        <v>2</v>
      </c>
      <c r="H7619" s="4" t="n">
        <v>2</v>
      </c>
      <c r="I7619" s="4" t="str">
        <v>○</v>
      </c>
      <c r="J7619" s="4" t="n">
        <v>140</v>
      </c>
      <c r="K7619" s="4"/>
      <c r="L7619" s="4"/>
      <c r="M7619" s="5" t="s">
        <v>5346</v>
      </c>
    </row>
    <row r="7620" customFormat="false" ht="15.75" hidden="false" customHeight="false" outlineLevel="0" collapsed="false">
      <c r="A7620" s="6" t="n">
        <v>46165</v>
      </c>
      <c r="B7620" s="4" t="s">
        <v>4473</v>
      </c>
      <c r="C7620" s="4" t="n">
        <v>10</v>
      </c>
      <c r="D7620" s="4" t="n">
        <v>6</v>
      </c>
      <c r="E7620" s="4" t="s">
        <v>74</v>
      </c>
      <c r="F7620" s="4" t="n">
        <v>6</v>
      </c>
      <c r="G7620" s="4" t="n">
        <v>11</v>
      </c>
      <c r="H7620" s="4" t="n">
        <v>4</v>
      </c>
      <c r="I7620" s="4" t="str">
        <v>×</v>
      </c>
      <c r="J7620" s="4"/>
      <c r="K7620" s="4"/>
      <c r="L7620" s="4"/>
      <c r="M7620" s="5" t="s">
        <v>5346</v>
      </c>
    </row>
    <row r="7621" customFormat="false" ht="15.75" hidden="false" customHeight="false" outlineLevel="0" collapsed="false">
      <c r="A7621" s="6" t="n">
        <v>46165</v>
      </c>
      <c r="B7621" s="4" t="s">
        <v>4473</v>
      </c>
      <c r="C7621" s="4" t="n">
        <v>10</v>
      </c>
      <c r="D7621" s="4" t="n">
        <v>7</v>
      </c>
      <c r="E7621" s="4" t="s">
        <v>5415</v>
      </c>
      <c r="F7621" s="4" t="n">
        <v>6</v>
      </c>
      <c r="G7621" s="4" t="n">
        <v>11</v>
      </c>
      <c r="H7621" s="4" t="n">
        <v>4</v>
      </c>
      <c r="I7621" s="4" t="str">
        <v>×</v>
      </c>
      <c r="J7621" s="4"/>
      <c r="K7621" s="4"/>
      <c r="L7621" s="4"/>
      <c r="M7621" s="5" t="s">
        <v>5346</v>
      </c>
    </row>
    <row r="7622" customFormat="false" ht="15.75" hidden="false" customHeight="false" outlineLevel="0" collapsed="false">
      <c r="A7622" s="6" t="n">
        <v>46165</v>
      </c>
      <c r="B7622" s="4" t="s">
        <v>4473</v>
      </c>
      <c r="C7622" s="4" t="n">
        <v>10</v>
      </c>
      <c r="D7622" s="4" t="n">
        <v>8</v>
      </c>
      <c r="E7622" s="4" t="s">
        <v>5416</v>
      </c>
      <c r="F7622" s="4" t="n">
        <v>47</v>
      </c>
      <c r="G7622" s="4" t="n">
        <v>3</v>
      </c>
      <c r="H7622" s="4" t="n">
        <v>4</v>
      </c>
      <c r="I7622" s="4" t="str">
        <v>×</v>
      </c>
      <c r="J7622" s="4"/>
      <c r="K7622" s="4"/>
      <c r="L7622" s="4"/>
      <c r="M7622" s="5" t="s">
        <v>5346</v>
      </c>
    </row>
    <row r="7623" customFormat="false" ht="15.75" hidden="false" customHeight="false" outlineLevel="0" collapsed="false">
      <c r="A7623" s="6" t="n">
        <v>46165</v>
      </c>
      <c r="B7623" s="4" t="s">
        <v>4473</v>
      </c>
      <c r="C7623" s="4" t="n">
        <v>10</v>
      </c>
      <c r="D7623" s="4" t="n">
        <v>9</v>
      </c>
      <c r="E7623" s="4" t="s">
        <v>5417</v>
      </c>
      <c r="F7623" s="4" t="n">
        <v>23</v>
      </c>
      <c r="G7623" s="4" t="n">
        <v>5</v>
      </c>
      <c r="H7623" s="4" t="n">
        <v>4</v>
      </c>
      <c r="I7623" s="4" t="str">
        <v>×</v>
      </c>
      <c r="J7623" s="4"/>
      <c r="K7623" s="4"/>
      <c r="L7623" s="4"/>
      <c r="M7623" s="5" t="s">
        <v>5346</v>
      </c>
    </row>
    <row r="7624" customFormat="false" ht="15.75" hidden="false" customHeight="false" outlineLevel="0" collapsed="false">
      <c r="A7624" s="6" t="n">
        <v>46165</v>
      </c>
      <c r="B7624" s="4" t="s">
        <v>4473</v>
      </c>
      <c r="C7624" s="4" t="n">
        <v>10</v>
      </c>
      <c r="D7624" s="4" t="n">
        <v>10</v>
      </c>
      <c r="E7624" s="4" t="s">
        <v>5418</v>
      </c>
      <c r="F7624" s="4" t="n">
        <v>10</v>
      </c>
      <c r="G7624" s="4" t="n">
        <v>9</v>
      </c>
      <c r="H7624" s="4" t="n">
        <v>4</v>
      </c>
      <c r="I7624" s="4" t="str">
        <v>×</v>
      </c>
      <c r="J7624" s="4"/>
      <c r="K7624" s="4"/>
      <c r="L7624" s="4"/>
      <c r="M7624" s="5" t="s">
        <v>5346</v>
      </c>
    </row>
    <row r="7625" customFormat="false" ht="15.75" hidden="false" customHeight="false" outlineLevel="0" collapsed="false">
      <c r="A7625" s="6" t="n">
        <v>46165</v>
      </c>
      <c r="B7625" s="4" t="s">
        <v>4473</v>
      </c>
      <c r="C7625" s="4" t="n">
        <v>10</v>
      </c>
      <c r="D7625" s="4" t="n">
        <v>11</v>
      </c>
      <c r="E7625" s="4" t="s">
        <v>4543</v>
      </c>
      <c r="F7625" s="4" t="n">
        <v>37</v>
      </c>
      <c r="G7625" s="4" t="n">
        <v>4</v>
      </c>
      <c r="H7625" s="4" t="n">
        <v>3</v>
      </c>
      <c r="I7625" s="4" t="str">
        <v>○</v>
      </c>
      <c r="J7625" s="4" t="n">
        <v>220</v>
      </c>
      <c r="K7625" s="4"/>
      <c r="L7625" s="4"/>
      <c r="M7625" s="5" t="s">
        <v>5346</v>
      </c>
    </row>
    <row r="7626" customFormat="false" ht="15.75" hidden="false" customHeight="false" outlineLevel="0" collapsed="false">
      <c r="A7626" s="6" t="n">
        <v>46165</v>
      </c>
      <c r="B7626" s="4" t="s">
        <v>4473</v>
      </c>
      <c r="C7626" s="4" t="n">
        <v>10</v>
      </c>
      <c r="D7626" s="4" t="n">
        <v>12</v>
      </c>
      <c r="E7626" s="4" t="s">
        <v>1502</v>
      </c>
      <c r="F7626" s="4" t="n">
        <v>13</v>
      </c>
      <c r="G7626" s="4" t="n">
        <v>8</v>
      </c>
      <c r="H7626" s="4" t="n">
        <v>4</v>
      </c>
      <c r="I7626" s="4" t="str">
        <v>×</v>
      </c>
      <c r="J7626" s="4"/>
      <c r="K7626" s="4"/>
      <c r="L7626" s="4"/>
      <c r="M7626" s="5" t="s">
        <v>5346</v>
      </c>
    </row>
    <row r="7627" customFormat="false" ht="15.75" hidden="false" customHeight="false" outlineLevel="0" collapsed="false">
      <c r="A7627" s="6" t="n">
        <v>46165</v>
      </c>
      <c r="B7627" s="4" t="s">
        <v>4473</v>
      </c>
      <c r="C7627" s="4" t="n">
        <v>10</v>
      </c>
      <c r="D7627" s="4" t="n">
        <v>13</v>
      </c>
      <c r="E7627" s="4" t="s">
        <v>5419</v>
      </c>
      <c r="F7627" s="4" t="n">
        <v>4</v>
      </c>
      <c r="G7627" s="4" t="n">
        <v>12</v>
      </c>
      <c r="H7627" s="4" t="n">
        <v>4</v>
      </c>
      <c r="I7627" s="4" t="str">
        <v>×</v>
      </c>
      <c r="J7627" s="4"/>
      <c r="K7627" s="4"/>
      <c r="L7627" s="4"/>
      <c r="M7627" s="5" t="s">
        <v>5346</v>
      </c>
    </row>
    <row r="7628" customFormat="false" ht="15.75" hidden="false" customHeight="false" outlineLevel="0" collapsed="false">
      <c r="A7628" s="6" t="n">
        <v>46165</v>
      </c>
      <c r="B7628" s="4" t="s">
        <v>4473</v>
      </c>
      <c r="C7628" s="4" t="n">
        <v>10</v>
      </c>
      <c r="D7628" s="4" t="n">
        <v>14</v>
      </c>
      <c r="E7628" s="4" t="s">
        <v>5420</v>
      </c>
      <c r="F7628" s="4" t="n">
        <v>23</v>
      </c>
      <c r="G7628" s="4" t="n">
        <v>5</v>
      </c>
      <c r="H7628" s="4" t="n">
        <v>1</v>
      </c>
      <c r="I7628" s="4" t="str">
        <v>○</v>
      </c>
      <c r="J7628" s="4" t="n">
        <v>280</v>
      </c>
      <c r="K7628" s="4"/>
      <c r="L7628" s="4"/>
      <c r="M7628" s="5" t="s">
        <v>5346</v>
      </c>
    </row>
    <row r="7629" customFormat="false" ht="15.75" hidden="false" customHeight="false" outlineLevel="0" collapsed="false">
      <c r="A7629" s="6" t="n">
        <v>46165</v>
      </c>
      <c r="B7629" s="4" t="s">
        <v>4473</v>
      </c>
      <c r="C7629" s="4" t="n">
        <v>10</v>
      </c>
      <c r="D7629" s="4" t="n">
        <v>15</v>
      </c>
      <c r="E7629" s="4" t="s">
        <v>5421</v>
      </c>
      <c r="F7629" s="4" t="n">
        <v>3</v>
      </c>
      <c r="G7629" s="4" t="n">
        <v>13</v>
      </c>
      <c r="H7629" s="4" t="n">
        <v>4</v>
      </c>
      <c r="I7629" s="4" t="str">
        <v>×</v>
      </c>
      <c r="J7629" s="4"/>
      <c r="K7629" s="4"/>
      <c r="L7629" s="4"/>
      <c r="M7629" s="5" t="s">
        <v>5346</v>
      </c>
    </row>
    <row r="7630" customFormat="false" ht="15.75" hidden="false" customHeight="false" outlineLevel="0" collapsed="false">
      <c r="A7630" s="6" t="n">
        <v>46165</v>
      </c>
      <c r="B7630" s="4" t="s">
        <v>4473</v>
      </c>
      <c r="C7630" s="4" t="n">
        <v>10</v>
      </c>
      <c r="D7630" s="4" t="n">
        <v>16</v>
      </c>
      <c r="E7630" s="4" t="s">
        <v>1349</v>
      </c>
      <c r="F7630" s="4" t="n">
        <v>2</v>
      </c>
      <c r="G7630" s="4" t="n">
        <v>14</v>
      </c>
      <c r="H7630" s="4" t="n">
        <v>4</v>
      </c>
      <c r="I7630" s="4" t="str">
        <v>×</v>
      </c>
      <c r="J7630" s="4"/>
      <c r="K7630" s="4"/>
      <c r="L7630" s="4"/>
      <c r="M7630" s="5" t="s">
        <v>5346</v>
      </c>
    </row>
    <row r="7631" customFormat="false" ht="15.75" hidden="false" customHeight="false" outlineLevel="0" collapsed="false">
      <c r="A7631" s="6" t="n">
        <v>46165</v>
      </c>
      <c r="B7631" s="4" t="s">
        <v>4473</v>
      </c>
      <c r="C7631" s="4" t="n">
        <v>11</v>
      </c>
      <c r="D7631" s="4" t="n">
        <v>1</v>
      </c>
      <c r="E7631" s="4" t="s">
        <v>3107</v>
      </c>
      <c r="F7631" s="4" t="n">
        <v>17</v>
      </c>
      <c r="G7631" s="4" t="n">
        <v>5</v>
      </c>
      <c r="H7631" s="4" t="n">
        <v>4</v>
      </c>
      <c r="I7631" s="4" t="str">
        <v>×</v>
      </c>
      <c r="J7631" s="4"/>
      <c r="K7631" s="4"/>
      <c r="L7631" s="4"/>
      <c r="M7631" s="5" t="s">
        <v>5346</v>
      </c>
    </row>
    <row r="7632" customFormat="false" ht="15.75" hidden="false" customHeight="false" outlineLevel="0" collapsed="false">
      <c r="A7632" s="6" t="n">
        <v>46165</v>
      </c>
      <c r="B7632" s="4" t="s">
        <v>4473</v>
      </c>
      <c r="C7632" s="4" t="n">
        <v>11</v>
      </c>
      <c r="D7632" s="4" t="n">
        <v>2</v>
      </c>
      <c r="E7632" s="4" t="s">
        <v>2540</v>
      </c>
      <c r="F7632" s="4" t="n">
        <v>8</v>
      </c>
      <c r="G7632" s="4" t="n">
        <v>7</v>
      </c>
      <c r="H7632" s="4" t="n">
        <v>4</v>
      </c>
      <c r="I7632" s="4" t="str">
        <v>×</v>
      </c>
      <c r="J7632" s="4"/>
      <c r="K7632" s="4"/>
      <c r="L7632" s="4"/>
      <c r="M7632" s="5" t="s">
        <v>5346</v>
      </c>
    </row>
    <row r="7633" customFormat="false" ht="15.75" hidden="false" customHeight="false" outlineLevel="0" collapsed="false">
      <c r="A7633" s="6" t="n">
        <v>46165</v>
      </c>
      <c r="B7633" s="4" t="s">
        <v>4473</v>
      </c>
      <c r="C7633" s="4" t="n">
        <v>11</v>
      </c>
      <c r="D7633" s="4" t="n">
        <v>3</v>
      </c>
      <c r="E7633" s="4" t="s">
        <v>702</v>
      </c>
      <c r="F7633" s="4" t="n">
        <v>66</v>
      </c>
      <c r="G7633" s="4" t="n">
        <v>1</v>
      </c>
      <c r="H7633" s="4" t="n">
        <v>1</v>
      </c>
      <c r="I7633" s="4" t="str">
        <v>○</v>
      </c>
      <c r="J7633" s="4" t="n">
        <v>110</v>
      </c>
      <c r="K7633" s="4"/>
      <c r="L7633" s="4"/>
      <c r="M7633" s="5" t="s">
        <v>5346</v>
      </c>
    </row>
    <row r="7634" customFormat="false" ht="15.75" hidden="false" customHeight="false" outlineLevel="0" collapsed="false">
      <c r="A7634" s="6" t="n">
        <v>46165</v>
      </c>
      <c r="B7634" s="4" t="s">
        <v>4473</v>
      </c>
      <c r="C7634" s="4" t="n">
        <v>11</v>
      </c>
      <c r="D7634" s="4" t="n">
        <v>4</v>
      </c>
      <c r="E7634" s="4" t="s">
        <v>5422</v>
      </c>
      <c r="F7634" s="4" t="n">
        <v>4</v>
      </c>
      <c r="G7634" s="4" t="n">
        <v>9</v>
      </c>
      <c r="H7634" s="4" t="n">
        <v>4</v>
      </c>
      <c r="I7634" s="4" t="str">
        <v>×</v>
      </c>
      <c r="J7634" s="4"/>
      <c r="K7634" s="4"/>
      <c r="L7634" s="4"/>
      <c r="M7634" s="5" t="s">
        <v>5346</v>
      </c>
    </row>
    <row r="7635" customFormat="false" ht="15.75" hidden="false" customHeight="false" outlineLevel="0" collapsed="false">
      <c r="A7635" s="6" t="n">
        <v>46165</v>
      </c>
      <c r="B7635" s="4" t="s">
        <v>4473</v>
      </c>
      <c r="C7635" s="4" t="n">
        <v>11</v>
      </c>
      <c r="D7635" s="4" t="n">
        <v>5</v>
      </c>
      <c r="E7635" s="4" t="s">
        <v>3106</v>
      </c>
      <c r="F7635" s="4" t="n">
        <v>23</v>
      </c>
      <c r="G7635" s="4" t="n">
        <v>4</v>
      </c>
      <c r="H7635" s="4" t="n">
        <v>4</v>
      </c>
      <c r="I7635" s="4" t="str">
        <v>×</v>
      </c>
      <c r="J7635" s="4"/>
      <c r="K7635" s="4"/>
      <c r="L7635" s="4"/>
      <c r="M7635" s="5" t="s">
        <v>5346</v>
      </c>
    </row>
    <row r="7636" customFormat="false" ht="15.75" hidden="false" customHeight="false" outlineLevel="0" collapsed="false">
      <c r="A7636" s="6" t="n">
        <v>46165</v>
      </c>
      <c r="B7636" s="4" t="s">
        <v>4473</v>
      </c>
      <c r="C7636" s="4" t="n">
        <v>11</v>
      </c>
      <c r="D7636" s="4" t="n">
        <v>6</v>
      </c>
      <c r="E7636" s="4" t="s">
        <v>5423</v>
      </c>
      <c r="F7636" s="4" t="n">
        <v>6</v>
      </c>
      <c r="G7636" s="4" t="n">
        <v>8</v>
      </c>
      <c r="H7636" s="4" t="n">
        <v>4</v>
      </c>
      <c r="I7636" s="4" t="str">
        <v>×</v>
      </c>
      <c r="J7636" s="4"/>
      <c r="K7636" s="4"/>
      <c r="L7636" s="4"/>
      <c r="M7636" s="5" t="s">
        <v>5346</v>
      </c>
    </row>
    <row r="7637" customFormat="false" ht="15.75" hidden="false" customHeight="false" outlineLevel="0" collapsed="false">
      <c r="A7637" s="6" t="n">
        <v>46165</v>
      </c>
      <c r="B7637" s="4" t="s">
        <v>4473</v>
      </c>
      <c r="C7637" s="4" t="n">
        <v>11</v>
      </c>
      <c r="D7637" s="4" t="n">
        <v>7</v>
      </c>
      <c r="E7637" s="4" t="s">
        <v>5424</v>
      </c>
      <c r="F7637" s="4" t="n">
        <v>3</v>
      </c>
      <c r="G7637" s="4" t="n">
        <v>10</v>
      </c>
      <c r="H7637" s="4" t="n">
        <v>4</v>
      </c>
      <c r="I7637" s="4" t="str">
        <v>×</v>
      </c>
      <c r="J7637" s="4"/>
      <c r="K7637" s="4"/>
      <c r="L7637" s="4"/>
      <c r="M7637" s="5" t="s">
        <v>5346</v>
      </c>
    </row>
    <row r="7638" customFormat="false" ht="15.75" hidden="false" customHeight="false" outlineLevel="0" collapsed="false">
      <c r="A7638" s="6" t="n">
        <v>46165</v>
      </c>
      <c r="B7638" s="4" t="s">
        <v>4473</v>
      </c>
      <c r="C7638" s="4" t="n">
        <v>11</v>
      </c>
      <c r="D7638" s="4" t="n">
        <v>8</v>
      </c>
      <c r="E7638" s="4" t="s">
        <v>5425</v>
      </c>
      <c r="F7638" s="4" t="n">
        <v>10</v>
      </c>
      <c r="G7638" s="4" t="n">
        <v>6</v>
      </c>
      <c r="H7638" s="4" t="n">
        <v>4</v>
      </c>
      <c r="I7638" s="4" t="str">
        <v>×</v>
      </c>
      <c r="J7638" s="4"/>
      <c r="K7638" s="4"/>
      <c r="L7638" s="4"/>
      <c r="M7638" s="5" t="s">
        <v>5346</v>
      </c>
    </row>
    <row r="7639" customFormat="false" ht="15.75" hidden="false" customHeight="false" outlineLevel="0" collapsed="false">
      <c r="A7639" s="6" t="n">
        <v>46165</v>
      </c>
      <c r="B7639" s="4" t="s">
        <v>4473</v>
      </c>
      <c r="C7639" s="4" t="n">
        <v>11</v>
      </c>
      <c r="D7639" s="4" t="n">
        <v>9</v>
      </c>
      <c r="E7639" s="4" t="s">
        <v>5426</v>
      </c>
      <c r="F7639" s="4" t="n">
        <v>34</v>
      </c>
      <c r="G7639" s="4" t="n">
        <v>3</v>
      </c>
      <c r="H7639" s="4" t="n">
        <v>3</v>
      </c>
      <c r="I7639" s="4" t="str">
        <v>○</v>
      </c>
      <c r="J7639" s="4" t="n">
        <v>220</v>
      </c>
      <c r="K7639" s="4"/>
      <c r="L7639" s="4"/>
      <c r="M7639" s="5" t="s">
        <v>5346</v>
      </c>
    </row>
    <row r="7640" customFormat="false" ht="15.75" hidden="false" customHeight="false" outlineLevel="0" collapsed="false">
      <c r="A7640" s="6" t="n">
        <v>46165</v>
      </c>
      <c r="B7640" s="4" t="s">
        <v>4473</v>
      </c>
      <c r="C7640" s="4" t="n">
        <v>11</v>
      </c>
      <c r="D7640" s="4" t="n">
        <v>10</v>
      </c>
      <c r="E7640" s="4" t="s">
        <v>1532</v>
      </c>
      <c r="F7640" s="4" t="n">
        <v>4</v>
      </c>
      <c r="G7640" s="4" t="n">
        <v>9</v>
      </c>
      <c r="H7640" s="4" t="n">
        <v>4</v>
      </c>
      <c r="I7640" s="4" t="str">
        <v>×</v>
      </c>
      <c r="J7640" s="4"/>
      <c r="K7640" s="4"/>
      <c r="L7640" s="4"/>
      <c r="M7640" s="5" t="s">
        <v>5346</v>
      </c>
    </row>
    <row r="7641" customFormat="false" ht="15.75" hidden="false" customHeight="false" outlineLevel="0" collapsed="false">
      <c r="A7641" s="6" t="n">
        <v>46165</v>
      </c>
      <c r="B7641" s="4" t="s">
        <v>4473</v>
      </c>
      <c r="C7641" s="4" t="n">
        <v>11</v>
      </c>
      <c r="D7641" s="4" t="n">
        <v>11</v>
      </c>
      <c r="E7641" s="4" t="s">
        <v>5427</v>
      </c>
      <c r="F7641" s="4" t="n">
        <v>8</v>
      </c>
      <c r="G7641" s="4" t="n">
        <v>7</v>
      </c>
      <c r="H7641" s="4" t="n">
        <v>4</v>
      </c>
      <c r="I7641" s="4" t="str">
        <v>×</v>
      </c>
      <c r="J7641" s="4"/>
      <c r="K7641" s="4"/>
      <c r="L7641" s="4"/>
      <c r="M7641" s="5" t="s">
        <v>5346</v>
      </c>
    </row>
    <row r="7642" customFormat="false" ht="15.75" hidden="false" customHeight="false" outlineLevel="0" collapsed="false">
      <c r="A7642" s="6" t="n">
        <v>46165</v>
      </c>
      <c r="B7642" s="4" t="s">
        <v>4473</v>
      </c>
      <c r="C7642" s="4" t="n">
        <v>11</v>
      </c>
      <c r="D7642" s="4" t="n">
        <v>12</v>
      </c>
      <c r="E7642" s="4" t="s">
        <v>5428</v>
      </c>
      <c r="F7642" s="4" t="n">
        <v>6</v>
      </c>
      <c r="G7642" s="4" t="n">
        <v>8</v>
      </c>
      <c r="H7642" s="4" t="n">
        <v>4</v>
      </c>
      <c r="I7642" s="4" t="str">
        <v>×</v>
      </c>
      <c r="J7642" s="4"/>
      <c r="K7642" s="4"/>
      <c r="L7642" s="4"/>
      <c r="M7642" s="5" t="s">
        <v>5346</v>
      </c>
    </row>
    <row r="7643" customFormat="false" ht="15.75" hidden="false" customHeight="false" outlineLevel="0" collapsed="false">
      <c r="A7643" s="6" t="n">
        <v>46165</v>
      </c>
      <c r="B7643" s="4" t="s">
        <v>4473</v>
      </c>
      <c r="C7643" s="4" t="n">
        <v>11</v>
      </c>
      <c r="D7643" s="4" t="n">
        <v>13</v>
      </c>
      <c r="E7643" s="4" t="s">
        <v>5429</v>
      </c>
      <c r="F7643" s="4" t="n">
        <v>4</v>
      </c>
      <c r="G7643" s="4" t="n">
        <v>9</v>
      </c>
      <c r="H7643" s="4" t="n">
        <v>4</v>
      </c>
      <c r="I7643" s="4" t="str">
        <v>×</v>
      </c>
      <c r="J7643" s="4"/>
      <c r="K7643" s="4"/>
      <c r="L7643" s="4"/>
      <c r="M7643" s="5" t="s">
        <v>5346</v>
      </c>
    </row>
    <row r="7644" customFormat="false" ht="15.75" hidden="false" customHeight="false" outlineLevel="0" collapsed="false">
      <c r="A7644" s="6" t="n">
        <v>46165</v>
      </c>
      <c r="B7644" s="4" t="s">
        <v>4473</v>
      </c>
      <c r="C7644" s="4" t="n">
        <v>11</v>
      </c>
      <c r="D7644" s="4" t="n">
        <v>14</v>
      </c>
      <c r="E7644" s="4" t="s">
        <v>5430</v>
      </c>
      <c r="F7644" s="4" t="n">
        <v>41</v>
      </c>
      <c r="G7644" s="4" t="n">
        <v>2</v>
      </c>
      <c r="H7644" s="4" t="n">
        <v>2</v>
      </c>
      <c r="I7644" s="4" t="str">
        <v>○</v>
      </c>
      <c r="J7644" s="4" t="n">
        <v>160</v>
      </c>
      <c r="K7644" s="4"/>
      <c r="L7644" s="4"/>
      <c r="M7644" s="5" t="s">
        <v>5346</v>
      </c>
    </row>
    <row r="7645" customFormat="false" ht="15.75" hidden="false" customHeight="false" outlineLevel="0" collapsed="false">
      <c r="A7645" s="6" t="n">
        <v>46165</v>
      </c>
      <c r="B7645" s="4" t="s">
        <v>4473</v>
      </c>
      <c r="C7645" s="4" t="n">
        <v>11</v>
      </c>
      <c r="D7645" s="4" t="n">
        <v>15</v>
      </c>
      <c r="E7645" s="4" t="s">
        <v>5431</v>
      </c>
      <c r="F7645" s="4" t="n">
        <v>17</v>
      </c>
      <c r="G7645" s="4" t="n">
        <v>5</v>
      </c>
      <c r="H7645" s="4" t="n">
        <v>4</v>
      </c>
      <c r="I7645" s="4" t="str">
        <v>×</v>
      </c>
      <c r="J7645" s="4"/>
      <c r="K7645" s="4"/>
      <c r="L7645" s="4"/>
      <c r="M7645" s="5" t="s">
        <v>5346</v>
      </c>
    </row>
    <row r="7646" customFormat="false" ht="15.75" hidden="false" customHeight="false" outlineLevel="0" collapsed="false">
      <c r="A7646" s="6" t="n">
        <v>46165</v>
      </c>
      <c r="B7646" s="4" t="s">
        <v>4473</v>
      </c>
      <c r="C7646" s="4" t="n">
        <v>11</v>
      </c>
      <c r="D7646" s="4" t="n">
        <v>16</v>
      </c>
      <c r="E7646" s="4" t="s">
        <v>5432</v>
      </c>
      <c r="F7646" s="4" t="n">
        <v>8</v>
      </c>
      <c r="G7646" s="4" t="n">
        <v>7</v>
      </c>
      <c r="H7646" s="4" t="n">
        <v>4</v>
      </c>
      <c r="I7646" s="4" t="str">
        <v>×</v>
      </c>
      <c r="J7646" s="4"/>
      <c r="K7646" s="4"/>
      <c r="L7646" s="4"/>
      <c r="M7646" s="5" t="s">
        <v>5346</v>
      </c>
    </row>
    <row r="7647" customFormat="false" ht="15.75" hidden="false" customHeight="false" outlineLevel="0" collapsed="false">
      <c r="A7647" s="6" t="n">
        <v>46165</v>
      </c>
      <c r="B7647" s="4" t="s">
        <v>4473</v>
      </c>
      <c r="C7647" s="4" t="n">
        <v>12</v>
      </c>
      <c r="D7647" s="4" t="n">
        <v>1</v>
      </c>
      <c r="E7647" s="4" t="s">
        <v>567</v>
      </c>
      <c r="F7647" s="4" t="n">
        <v>3</v>
      </c>
      <c r="G7647" s="4" t="n">
        <v>9</v>
      </c>
      <c r="H7647" s="4" t="n">
        <v>4</v>
      </c>
      <c r="I7647" s="4" t="str">
        <v>×</v>
      </c>
      <c r="J7647" s="4"/>
      <c r="K7647" s="4"/>
      <c r="L7647" s="4"/>
      <c r="M7647" s="5" t="s">
        <v>5346</v>
      </c>
    </row>
    <row r="7648" customFormat="false" ht="15.75" hidden="false" customHeight="false" outlineLevel="0" collapsed="false">
      <c r="A7648" s="6" t="n">
        <v>46165</v>
      </c>
      <c r="B7648" s="4" t="s">
        <v>4473</v>
      </c>
      <c r="C7648" s="4" t="n">
        <v>12</v>
      </c>
      <c r="D7648" s="4" t="n">
        <v>2</v>
      </c>
      <c r="E7648" s="4" t="s">
        <v>570</v>
      </c>
      <c r="F7648" s="4" t="n">
        <v>8</v>
      </c>
      <c r="G7648" s="4" t="n">
        <v>7</v>
      </c>
      <c r="H7648" s="4" t="n">
        <v>4</v>
      </c>
      <c r="I7648" s="4" t="str">
        <v>×</v>
      </c>
      <c r="J7648" s="4"/>
      <c r="K7648" s="4"/>
      <c r="L7648" s="4"/>
      <c r="M7648" s="5" t="s">
        <v>5346</v>
      </c>
    </row>
    <row r="7649" customFormat="false" ht="15.75" hidden="false" customHeight="false" outlineLevel="0" collapsed="false">
      <c r="A7649" s="6" t="n">
        <v>46165</v>
      </c>
      <c r="B7649" s="4" t="s">
        <v>4473</v>
      </c>
      <c r="C7649" s="4" t="n">
        <v>12</v>
      </c>
      <c r="D7649" s="4" t="n">
        <v>3</v>
      </c>
      <c r="E7649" s="4" t="s">
        <v>569</v>
      </c>
      <c r="F7649" s="4" t="n">
        <v>56</v>
      </c>
      <c r="G7649" s="4" t="n">
        <v>1</v>
      </c>
      <c r="H7649" s="4" t="n">
        <v>4</v>
      </c>
      <c r="I7649" s="4" t="str">
        <v>×</v>
      </c>
      <c r="J7649" s="4"/>
      <c r="K7649" s="4"/>
      <c r="L7649" s="4"/>
      <c r="M7649" s="5" t="s">
        <v>5346</v>
      </c>
    </row>
    <row r="7650" customFormat="false" ht="15.75" hidden="false" customHeight="false" outlineLevel="0" collapsed="false">
      <c r="A7650" s="6" t="n">
        <v>46165</v>
      </c>
      <c r="B7650" s="4" t="s">
        <v>4473</v>
      </c>
      <c r="C7650" s="4" t="n">
        <v>12</v>
      </c>
      <c r="D7650" s="4" t="n">
        <v>4</v>
      </c>
      <c r="E7650" s="4" t="s">
        <v>4959</v>
      </c>
      <c r="F7650" s="4" t="n">
        <v>47</v>
      </c>
      <c r="G7650" s="4" t="n">
        <v>3</v>
      </c>
      <c r="H7650" s="4" t="n">
        <v>1</v>
      </c>
      <c r="I7650" s="4" t="str">
        <v>○</v>
      </c>
      <c r="J7650" s="4" t="n">
        <v>130</v>
      </c>
      <c r="K7650" s="4"/>
      <c r="L7650" s="4"/>
      <c r="M7650" s="5" t="s">
        <v>5346</v>
      </c>
    </row>
    <row r="7651" customFormat="false" ht="15.75" hidden="false" customHeight="false" outlineLevel="0" collapsed="false">
      <c r="A7651" s="6" t="n">
        <v>46165</v>
      </c>
      <c r="B7651" s="4" t="s">
        <v>4473</v>
      </c>
      <c r="C7651" s="4" t="n">
        <v>12</v>
      </c>
      <c r="D7651" s="4" t="n">
        <v>5</v>
      </c>
      <c r="E7651" s="4" t="s">
        <v>3879</v>
      </c>
      <c r="F7651" s="4" t="n">
        <v>10</v>
      </c>
      <c r="G7651" s="4" t="n">
        <v>6</v>
      </c>
      <c r="H7651" s="4" t="n">
        <v>4</v>
      </c>
      <c r="I7651" s="4" t="str">
        <v>×</v>
      </c>
      <c r="J7651" s="4"/>
      <c r="K7651" s="4"/>
      <c r="L7651" s="4"/>
      <c r="M7651" s="5" t="s">
        <v>5346</v>
      </c>
    </row>
    <row r="7652" customFormat="false" ht="15.75" hidden="false" customHeight="false" outlineLevel="0" collapsed="false">
      <c r="A7652" s="6" t="n">
        <v>46165</v>
      </c>
      <c r="B7652" s="4" t="s">
        <v>4473</v>
      </c>
      <c r="C7652" s="4" t="n">
        <v>12</v>
      </c>
      <c r="D7652" s="4" t="n">
        <v>6</v>
      </c>
      <c r="E7652" s="4" t="s">
        <v>5433</v>
      </c>
      <c r="F7652" s="4" t="n">
        <v>1</v>
      </c>
      <c r="G7652" s="4" t="n">
        <v>11</v>
      </c>
      <c r="H7652" s="4" t="n">
        <v>4</v>
      </c>
      <c r="I7652" s="4" t="str">
        <v>×</v>
      </c>
      <c r="J7652" s="4"/>
      <c r="K7652" s="4"/>
      <c r="L7652" s="4"/>
      <c r="M7652" s="5" t="s">
        <v>5346</v>
      </c>
    </row>
    <row r="7653" customFormat="false" ht="15.75" hidden="false" customHeight="false" outlineLevel="0" collapsed="false">
      <c r="A7653" s="6" t="n">
        <v>46165</v>
      </c>
      <c r="B7653" s="4" t="s">
        <v>4473</v>
      </c>
      <c r="C7653" s="4" t="n">
        <v>12</v>
      </c>
      <c r="D7653" s="4" t="n">
        <v>7</v>
      </c>
      <c r="E7653" s="4" t="s">
        <v>3543</v>
      </c>
      <c r="F7653" s="4" t="n">
        <v>1</v>
      </c>
      <c r="G7653" s="4" t="n">
        <v>11</v>
      </c>
      <c r="H7653" s="4" t="n">
        <v>4</v>
      </c>
      <c r="I7653" s="4" t="str">
        <v>×</v>
      </c>
      <c r="J7653" s="4"/>
      <c r="K7653" s="4"/>
      <c r="L7653" s="4"/>
      <c r="M7653" s="5" t="s">
        <v>5346</v>
      </c>
    </row>
    <row r="7654" customFormat="false" ht="15.75" hidden="false" customHeight="false" outlineLevel="0" collapsed="false">
      <c r="A7654" s="6" t="n">
        <v>46165</v>
      </c>
      <c r="B7654" s="4" t="s">
        <v>4473</v>
      </c>
      <c r="C7654" s="4" t="n">
        <v>12</v>
      </c>
      <c r="D7654" s="4" t="n">
        <v>8</v>
      </c>
      <c r="E7654" s="4" t="s">
        <v>1513</v>
      </c>
      <c r="F7654" s="4" t="n">
        <v>4</v>
      </c>
      <c r="G7654" s="4" t="n">
        <v>8</v>
      </c>
      <c r="H7654" s="4" t="n">
        <v>4</v>
      </c>
      <c r="I7654" s="4" t="str">
        <v>×</v>
      </c>
      <c r="J7654" s="4"/>
      <c r="K7654" s="4"/>
      <c r="L7654" s="4"/>
      <c r="M7654" s="5" t="s">
        <v>5346</v>
      </c>
    </row>
    <row r="7655" customFormat="false" ht="15.75" hidden="false" customHeight="false" outlineLevel="0" collapsed="false">
      <c r="A7655" s="6" t="n">
        <v>46165</v>
      </c>
      <c r="B7655" s="4" t="s">
        <v>4473</v>
      </c>
      <c r="C7655" s="4" t="n">
        <v>12</v>
      </c>
      <c r="D7655" s="4" t="n">
        <v>9</v>
      </c>
      <c r="E7655" s="4" t="s">
        <v>4040</v>
      </c>
      <c r="F7655" s="4" t="n">
        <v>50</v>
      </c>
      <c r="G7655" s="4" t="n">
        <v>2</v>
      </c>
      <c r="H7655" s="4" t="n">
        <v>4</v>
      </c>
      <c r="I7655" s="4" t="str">
        <v>×</v>
      </c>
      <c r="J7655" s="4"/>
      <c r="K7655" s="4"/>
      <c r="L7655" s="4"/>
      <c r="M7655" s="5" t="s">
        <v>5346</v>
      </c>
    </row>
    <row r="7656" customFormat="false" ht="15.75" hidden="false" customHeight="false" outlineLevel="0" collapsed="false">
      <c r="A7656" s="6" t="n">
        <v>46165</v>
      </c>
      <c r="B7656" s="4" t="s">
        <v>4473</v>
      </c>
      <c r="C7656" s="4" t="n">
        <v>12</v>
      </c>
      <c r="D7656" s="4" t="n">
        <v>10</v>
      </c>
      <c r="E7656" s="4" t="s">
        <v>3548</v>
      </c>
      <c r="F7656" s="4" t="n">
        <v>34</v>
      </c>
      <c r="G7656" s="4" t="n">
        <v>4</v>
      </c>
      <c r="H7656" s="4" t="n">
        <v>4</v>
      </c>
      <c r="I7656" s="4" t="str">
        <v>×</v>
      </c>
      <c r="J7656" s="4"/>
      <c r="K7656" s="4"/>
      <c r="L7656" s="4"/>
      <c r="M7656" s="5" t="s">
        <v>5346</v>
      </c>
    </row>
    <row r="7657" customFormat="false" ht="15.75" hidden="false" customHeight="false" outlineLevel="0" collapsed="false">
      <c r="A7657" s="6" t="n">
        <v>46165</v>
      </c>
      <c r="B7657" s="4" t="s">
        <v>4473</v>
      </c>
      <c r="C7657" s="4" t="n">
        <v>12</v>
      </c>
      <c r="D7657" s="4" t="n">
        <v>11</v>
      </c>
      <c r="E7657" s="4" t="s">
        <v>5434</v>
      </c>
      <c r="F7657" s="4" t="n">
        <v>8</v>
      </c>
      <c r="G7657" s="4" t="n">
        <v>7</v>
      </c>
      <c r="H7657" s="4" t="n">
        <v>4</v>
      </c>
      <c r="I7657" s="4" t="str">
        <v>×</v>
      </c>
      <c r="J7657" s="4"/>
      <c r="K7657" s="4"/>
      <c r="L7657" s="4"/>
      <c r="M7657" s="5" t="s">
        <v>5346</v>
      </c>
    </row>
    <row r="7658" customFormat="false" ht="15.75" hidden="false" customHeight="false" outlineLevel="0" collapsed="false">
      <c r="A7658" s="6" t="n">
        <v>46165</v>
      </c>
      <c r="B7658" s="4" t="s">
        <v>4473</v>
      </c>
      <c r="C7658" s="4" t="n">
        <v>12</v>
      </c>
      <c r="D7658" s="4" t="n">
        <v>12</v>
      </c>
      <c r="E7658" s="4" t="s">
        <v>572</v>
      </c>
      <c r="F7658" s="4" t="n">
        <v>3</v>
      </c>
      <c r="G7658" s="4" t="n">
        <v>9</v>
      </c>
      <c r="H7658" s="4" t="n">
        <v>4</v>
      </c>
      <c r="I7658" s="4" t="str">
        <v>×</v>
      </c>
      <c r="J7658" s="4"/>
      <c r="K7658" s="4"/>
      <c r="L7658" s="4"/>
      <c r="M7658" s="5" t="s">
        <v>5346</v>
      </c>
    </row>
    <row r="7659" customFormat="false" ht="15.75" hidden="false" customHeight="false" outlineLevel="0" collapsed="false">
      <c r="A7659" s="6" t="n">
        <v>46165</v>
      </c>
      <c r="B7659" s="4" t="s">
        <v>4473</v>
      </c>
      <c r="C7659" s="4" t="n">
        <v>12</v>
      </c>
      <c r="D7659" s="4" t="n">
        <v>13</v>
      </c>
      <c r="E7659" s="4" t="s">
        <v>2977</v>
      </c>
      <c r="F7659" s="4" t="n">
        <v>2</v>
      </c>
      <c r="G7659" s="4" t="n">
        <v>10</v>
      </c>
      <c r="H7659" s="4" t="n">
        <v>4</v>
      </c>
      <c r="I7659" s="4" t="str">
        <v>×</v>
      </c>
      <c r="J7659" s="4"/>
      <c r="K7659" s="4"/>
      <c r="L7659" s="4"/>
      <c r="M7659" s="5" t="s">
        <v>5346</v>
      </c>
    </row>
    <row r="7660" customFormat="false" ht="15.75" hidden="false" customHeight="false" outlineLevel="0" collapsed="false">
      <c r="A7660" s="6" t="n">
        <v>46165</v>
      </c>
      <c r="B7660" s="4" t="s">
        <v>4473</v>
      </c>
      <c r="C7660" s="4" t="n">
        <v>12</v>
      </c>
      <c r="D7660" s="4" t="n">
        <v>14</v>
      </c>
      <c r="E7660" s="4" t="s">
        <v>3212</v>
      </c>
      <c r="F7660" s="4" t="n">
        <v>15</v>
      </c>
      <c r="G7660" s="4" t="n">
        <v>5</v>
      </c>
      <c r="H7660" s="4" t="n">
        <v>2</v>
      </c>
      <c r="I7660" s="4" t="str">
        <v>○</v>
      </c>
      <c r="J7660" s="4" t="n">
        <v>310</v>
      </c>
      <c r="K7660" s="4"/>
      <c r="L7660" s="4"/>
      <c r="M7660" s="5" t="s">
        <v>5346</v>
      </c>
    </row>
    <row r="7661" customFormat="false" ht="15.75" hidden="false" customHeight="false" outlineLevel="0" collapsed="false">
      <c r="A7661" s="6" t="n">
        <v>46165</v>
      </c>
      <c r="B7661" s="4" t="s">
        <v>4473</v>
      </c>
      <c r="C7661" s="4" t="n">
        <v>12</v>
      </c>
      <c r="D7661" s="4" t="n">
        <v>15</v>
      </c>
      <c r="E7661" s="4" t="s">
        <v>563</v>
      </c>
      <c r="F7661" s="4" t="n">
        <v>15</v>
      </c>
      <c r="G7661" s="4" t="n">
        <v>5</v>
      </c>
      <c r="H7661" s="4" t="n">
        <v>3</v>
      </c>
      <c r="I7661" s="4" t="str">
        <v>○</v>
      </c>
      <c r="J7661" s="4" t="n">
        <v>230</v>
      </c>
      <c r="K7661" s="4"/>
      <c r="L7661" s="4"/>
      <c r="M7661" s="5" t="s">
        <v>5346</v>
      </c>
    </row>
    <row r="7662" customFormat="false" ht="15.75" hidden="false" customHeight="false" outlineLevel="0" collapsed="false">
      <c r="A7662" s="6" t="n">
        <v>46165</v>
      </c>
      <c r="B7662" s="4" t="s">
        <v>4473</v>
      </c>
      <c r="C7662" s="4" t="n">
        <v>12</v>
      </c>
      <c r="D7662" s="4" t="n">
        <v>16</v>
      </c>
      <c r="E7662" s="4" t="s">
        <v>2426</v>
      </c>
      <c r="F7662" s="4" t="n">
        <v>2</v>
      </c>
      <c r="G7662" s="4" t="n">
        <v>10</v>
      </c>
      <c r="H7662" s="4" t="n">
        <v>4</v>
      </c>
      <c r="I7662" s="4" t="str">
        <v>×</v>
      </c>
      <c r="J7662" s="4"/>
      <c r="K7662" s="4"/>
      <c r="L7662" s="4"/>
      <c r="M7662" s="5" t="s">
        <v>5346</v>
      </c>
    </row>
    <row r="7663" customFormat="false" ht="15.75" hidden="false" customHeight="false" outlineLevel="0" collapsed="false">
      <c r="A7663" s="6" t="n">
        <v>46165</v>
      </c>
      <c r="B7663" s="4" t="s">
        <v>5435</v>
      </c>
      <c r="C7663" s="4" t="n">
        <v>1</v>
      </c>
      <c r="D7663" s="4" t="n">
        <v>1</v>
      </c>
      <c r="E7663" s="4" t="s">
        <v>5436</v>
      </c>
      <c r="F7663" s="4" t="n">
        <v>66</v>
      </c>
      <c r="G7663" s="4" t="n">
        <v>1</v>
      </c>
      <c r="H7663" s="4" t="n">
        <v>2</v>
      </c>
      <c r="I7663" s="4" t="str">
        <v>○</v>
      </c>
      <c r="J7663" s="4" t="n">
        <v>220</v>
      </c>
      <c r="K7663" s="4"/>
      <c r="L7663" s="4"/>
      <c r="M7663" s="5" t="s">
        <v>5346</v>
      </c>
    </row>
    <row r="7664" customFormat="false" ht="15.75" hidden="false" customHeight="false" outlineLevel="0" collapsed="false">
      <c r="A7664" s="6" t="n">
        <v>46165</v>
      </c>
      <c r="B7664" s="4" t="s">
        <v>5435</v>
      </c>
      <c r="C7664" s="4" t="n">
        <v>1</v>
      </c>
      <c r="D7664" s="4" t="n">
        <v>2</v>
      </c>
      <c r="E7664" s="4" t="s">
        <v>783</v>
      </c>
      <c r="F7664" s="4" t="n">
        <v>4</v>
      </c>
      <c r="G7664" s="4" t="n">
        <v>11</v>
      </c>
      <c r="H7664" s="4" t="n">
        <v>4</v>
      </c>
      <c r="I7664" s="4" t="str">
        <v>×</v>
      </c>
      <c r="J7664" s="4"/>
      <c r="K7664" s="4"/>
      <c r="L7664" s="4"/>
      <c r="M7664" s="5" t="s">
        <v>5346</v>
      </c>
    </row>
    <row r="7665" customFormat="false" ht="15.75" hidden="false" customHeight="false" outlineLevel="0" collapsed="false">
      <c r="A7665" s="6" t="n">
        <v>46165</v>
      </c>
      <c r="B7665" s="4" t="s">
        <v>5435</v>
      </c>
      <c r="C7665" s="4" t="n">
        <v>1</v>
      </c>
      <c r="D7665" s="4" t="n">
        <v>3</v>
      </c>
      <c r="E7665" s="4" t="s">
        <v>5437</v>
      </c>
      <c r="F7665" s="4" t="n">
        <v>44</v>
      </c>
      <c r="G7665" s="4" t="n">
        <v>2</v>
      </c>
      <c r="H7665" s="4" t="n">
        <v>1</v>
      </c>
      <c r="I7665" s="4" t="str">
        <v>○</v>
      </c>
      <c r="J7665" s="4" t="n">
        <v>150</v>
      </c>
      <c r="K7665" s="4"/>
      <c r="L7665" s="4"/>
      <c r="M7665" s="5" t="s">
        <v>5346</v>
      </c>
    </row>
    <row r="7666" customFormat="false" ht="15.75" hidden="false" customHeight="false" outlineLevel="0" collapsed="false">
      <c r="A7666" s="6" t="n">
        <v>46165</v>
      </c>
      <c r="B7666" s="4" t="s">
        <v>5435</v>
      </c>
      <c r="C7666" s="4" t="n">
        <v>1</v>
      </c>
      <c r="D7666" s="4" t="n">
        <v>4</v>
      </c>
      <c r="E7666" s="4" t="s">
        <v>3914</v>
      </c>
      <c r="F7666" s="4" t="n">
        <v>31</v>
      </c>
      <c r="G7666" s="4" t="n">
        <v>5</v>
      </c>
      <c r="H7666" s="4" t="n">
        <v>4</v>
      </c>
      <c r="I7666" s="4" t="str">
        <v>×</v>
      </c>
      <c r="J7666" s="4"/>
      <c r="K7666" s="4"/>
      <c r="L7666" s="4"/>
      <c r="M7666" s="5" t="s">
        <v>5346</v>
      </c>
    </row>
    <row r="7667" customFormat="false" ht="15.75" hidden="false" customHeight="false" outlineLevel="0" collapsed="false">
      <c r="A7667" s="6" t="n">
        <v>46165</v>
      </c>
      <c r="B7667" s="4" t="s">
        <v>5435</v>
      </c>
      <c r="C7667" s="4" t="n">
        <v>1</v>
      </c>
      <c r="D7667" s="4" t="n">
        <v>5</v>
      </c>
      <c r="E7667" s="4" t="s">
        <v>5438</v>
      </c>
      <c r="F7667" s="4" t="n">
        <v>1</v>
      </c>
      <c r="G7667" s="4" t="n">
        <v>14</v>
      </c>
      <c r="H7667" s="4" t="n">
        <v>4</v>
      </c>
      <c r="I7667" s="4" t="str">
        <v>×</v>
      </c>
      <c r="J7667" s="4"/>
      <c r="K7667" s="4"/>
      <c r="L7667" s="4"/>
      <c r="M7667" s="5" t="s">
        <v>5346</v>
      </c>
    </row>
    <row r="7668" customFormat="false" ht="15.75" hidden="false" customHeight="false" outlineLevel="0" collapsed="false">
      <c r="A7668" s="6" t="n">
        <v>46165</v>
      </c>
      <c r="B7668" s="4" t="s">
        <v>5435</v>
      </c>
      <c r="C7668" s="4" t="n">
        <v>1</v>
      </c>
      <c r="D7668" s="4" t="n">
        <v>6</v>
      </c>
      <c r="E7668" s="4" t="s">
        <v>4593</v>
      </c>
      <c r="F7668" s="4" t="n">
        <v>15</v>
      </c>
      <c r="G7668" s="4" t="n">
        <v>8</v>
      </c>
      <c r="H7668" s="4" t="n">
        <v>3</v>
      </c>
      <c r="I7668" s="4" t="str">
        <v>○</v>
      </c>
      <c r="J7668" s="4" t="n">
        <v>340</v>
      </c>
      <c r="K7668" s="4"/>
      <c r="L7668" s="4"/>
      <c r="M7668" s="5" t="s">
        <v>5346</v>
      </c>
    </row>
    <row r="7669" customFormat="false" ht="15.75" hidden="false" customHeight="false" outlineLevel="0" collapsed="false">
      <c r="A7669" s="6" t="n">
        <v>46165</v>
      </c>
      <c r="B7669" s="4" t="s">
        <v>5435</v>
      </c>
      <c r="C7669" s="4" t="n">
        <v>1</v>
      </c>
      <c r="D7669" s="4" t="n">
        <v>7</v>
      </c>
      <c r="E7669" s="4" t="s">
        <v>5439</v>
      </c>
      <c r="F7669" s="4" t="n">
        <v>8</v>
      </c>
      <c r="G7669" s="4" t="n">
        <v>9</v>
      </c>
      <c r="H7669" s="4" t="n">
        <v>4</v>
      </c>
      <c r="I7669" s="4" t="str">
        <v>×</v>
      </c>
      <c r="J7669" s="4"/>
      <c r="K7669" s="4"/>
      <c r="L7669" s="4"/>
      <c r="M7669" s="5" t="s">
        <v>5346</v>
      </c>
    </row>
    <row r="7670" customFormat="false" ht="15.75" hidden="false" customHeight="false" outlineLevel="0" collapsed="false">
      <c r="A7670" s="6" t="n">
        <v>46165</v>
      </c>
      <c r="B7670" s="4" t="s">
        <v>5435</v>
      </c>
      <c r="C7670" s="4" t="n">
        <v>1</v>
      </c>
      <c r="D7670" s="4" t="n">
        <v>8</v>
      </c>
      <c r="E7670" s="4" t="s">
        <v>3158</v>
      </c>
      <c r="F7670" s="4" t="n">
        <v>17</v>
      </c>
      <c r="G7670" s="4" t="n">
        <v>7</v>
      </c>
      <c r="H7670" s="4" t="n">
        <v>4</v>
      </c>
      <c r="I7670" s="4" t="str">
        <v>×</v>
      </c>
      <c r="J7670" s="4"/>
      <c r="K7670" s="4"/>
      <c r="L7670" s="4"/>
      <c r="M7670" s="5" t="s">
        <v>5346</v>
      </c>
    </row>
    <row r="7671" customFormat="false" ht="15.75" hidden="false" customHeight="false" outlineLevel="0" collapsed="false">
      <c r="A7671" s="6" t="n">
        <v>46165</v>
      </c>
      <c r="B7671" s="4" t="s">
        <v>5435</v>
      </c>
      <c r="C7671" s="4" t="n">
        <v>1</v>
      </c>
      <c r="D7671" s="4" t="n">
        <v>9</v>
      </c>
      <c r="E7671" s="4" t="s">
        <v>3918</v>
      </c>
      <c r="F7671" s="4" t="n">
        <v>41</v>
      </c>
      <c r="G7671" s="4" t="n">
        <v>3</v>
      </c>
      <c r="H7671" s="4" t="n">
        <v>4</v>
      </c>
      <c r="I7671" s="4" t="str">
        <v>×</v>
      </c>
      <c r="J7671" s="4"/>
      <c r="K7671" s="4"/>
      <c r="L7671" s="4"/>
      <c r="M7671" s="5" t="s">
        <v>5346</v>
      </c>
    </row>
    <row r="7672" customFormat="false" ht="15.75" hidden="false" customHeight="false" outlineLevel="0" collapsed="false">
      <c r="A7672" s="6" t="n">
        <v>46165</v>
      </c>
      <c r="B7672" s="4" t="s">
        <v>5435</v>
      </c>
      <c r="C7672" s="4" t="n">
        <v>1</v>
      </c>
      <c r="D7672" s="4" t="n">
        <v>10</v>
      </c>
      <c r="E7672" s="4" t="s">
        <v>4588</v>
      </c>
      <c r="F7672" s="4" t="n">
        <v>23</v>
      </c>
      <c r="G7672" s="4" t="n">
        <v>6</v>
      </c>
      <c r="H7672" s="4" t="n">
        <v>4</v>
      </c>
      <c r="I7672" s="4" t="str">
        <v>×</v>
      </c>
      <c r="J7672" s="4"/>
      <c r="K7672" s="4"/>
      <c r="L7672" s="4"/>
      <c r="M7672" s="5" t="s">
        <v>5346</v>
      </c>
    </row>
    <row r="7673" customFormat="false" ht="15.75" hidden="false" customHeight="false" outlineLevel="0" collapsed="false">
      <c r="A7673" s="6" t="n">
        <v>46165</v>
      </c>
      <c r="B7673" s="4" t="s">
        <v>5435</v>
      </c>
      <c r="C7673" s="4" t="n">
        <v>1</v>
      </c>
      <c r="D7673" s="4" t="n">
        <v>11</v>
      </c>
      <c r="E7673" s="4" t="s">
        <v>1119</v>
      </c>
      <c r="F7673" s="4" t="n">
        <v>6</v>
      </c>
      <c r="G7673" s="4" t="n">
        <v>10</v>
      </c>
      <c r="H7673" s="4" t="n">
        <v>4</v>
      </c>
      <c r="I7673" s="4" t="str">
        <v>×</v>
      </c>
      <c r="J7673" s="4"/>
      <c r="K7673" s="4"/>
      <c r="L7673" s="4"/>
      <c r="M7673" s="5" t="s">
        <v>5346</v>
      </c>
    </row>
    <row r="7674" customFormat="false" ht="15.75" hidden="false" customHeight="false" outlineLevel="0" collapsed="false">
      <c r="A7674" s="6" t="n">
        <v>46165</v>
      </c>
      <c r="B7674" s="4" t="s">
        <v>5435</v>
      </c>
      <c r="C7674" s="4" t="n">
        <v>1</v>
      </c>
      <c r="D7674" s="4" t="n">
        <v>12</v>
      </c>
      <c r="E7674" s="4" t="s">
        <v>1126</v>
      </c>
      <c r="F7674" s="4" t="n">
        <v>3</v>
      </c>
      <c r="G7674" s="4" t="n">
        <v>12</v>
      </c>
      <c r="H7674" s="4" t="n">
        <v>4</v>
      </c>
      <c r="I7674" s="4" t="str">
        <v>×</v>
      </c>
      <c r="J7674" s="4"/>
      <c r="K7674" s="4"/>
      <c r="L7674" s="4"/>
      <c r="M7674" s="5" t="s">
        <v>5346</v>
      </c>
    </row>
    <row r="7675" customFormat="false" ht="15.75" hidden="false" customHeight="false" outlineLevel="0" collapsed="false">
      <c r="A7675" s="6" t="n">
        <v>46165</v>
      </c>
      <c r="B7675" s="4" t="s">
        <v>5435</v>
      </c>
      <c r="C7675" s="4" t="n">
        <v>1</v>
      </c>
      <c r="D7675" s="4" t="n">
        <v>13</v>
      </c>
      <c r="E7675" s="4" t="s">
        <v>3452</v>
      </c>
      <c r="F7675" s="4" t="n">
        <v>8</v>
      </c>
      <c r="G7675" s="4" t="n">
        <v>9</v>
      </c>
      <c r="H7675" s="4" t="n">
        <v>4</v>
      </c>
      <c r="I7675" s="4" t="str">
        <v>×</v>
      </c>
      <c r="J7675" s="4"/>
      <c r="K7675" s="4"/>
      <c r="L7675" s="4"/>
      <c r="M7675" s="5" t="s">
        <v>5346</v>
      </c>
    </row>
    <row r="7676" customFormat="false" ht="15.75" hidden="false" customHeight="false" outlineLevel="0" collapsed="false">
      <c r="A7676" s="6" t="n">
        <v>46165</v>
      </c>
      <c r="B7676" s="4" t="s">
        <v>5435</v>
      </c>
      <c r="C7676" s="4" t="n">
        <v>1</v>
      </c>
      <c r="D7676" s="4" t="n">
        <v>14</v>
      </c>
      <c r="E7676" s="4" t="s">
        <v>5440</v>
      </c>
      <c r="F7676" s="4" t="n">
        <v>2</v>
      </c>
      <c r="G7676" s="4" t="n">
        <v>13</v>
      </c>
      <c r="H7676" s="4" t="n">
        <v>4</v>
      </c>
      <c r="I7676" s="4" t="str">
        <v>×</v>
      </c>
      <c r="J7676" s="4"/>
      <c r="K7676" s="4"/>
      <c r="L7676" s="4"/>
      <c r="M7676" s="5" t="s">
        <v>5346</v>
      </c>
    </row>
    <row r="7677" customFormat="false" ht="15.75" hidden="false" customHeight="false" outlineLevel="0" collapsed="false">
      <c r="A7677" s="6" t="n">
        <v>46165</v>
      </c>
      <c r="B7677" s="4" t="s">
        <v>5435</v>
      </c>
      <c r="C7677" s="4" t="n">
        <v>1</v>
      </c>
      <c r="D7677" s="4" t="n">
        <v>15</v>
      </c>
      <c r="E7677" s="4" t="s">
        <v>5441</v>
      </c>
      <c r="F7677" s="4" t="n">
        <v>4</v>
      </c>
      <c r="G7677" s="4" t="n">
        <v>11</v>
      </c>
      <c r="H7677" s="4" t="n">
        <v>4</v>
      </c>
      <c r="I7677" s="4" t="str">
        <v>×</v>
      </c>
      <c r="J7677" s="4"/>
      <c r="K7677" s="4"/>
      <c r="L7677" s="4"/>
      <c r="M7677" s="5" t="s">
        <v>5346</v>
      </c>
    </row>
    <row r="7678" customFormat="false" ht="15.75" hidden="false" customHeight="false" outlineLevel="0" collapsed="false">
      <c r="A7678" s="6" t="n">
        <v>46165</v>
      </c>
      <c r="B7678" s="4" t="s">
        <v>5435</v>
      </c>
      <c r="C7678" s="4" t="n">
        <v>1</v>
      </c>
      <c r="D7678" s="4" t="n">
        <v>16</v>
      </c>
      <c r="E7678" s="4" t="s">
        <v>2040</v>
      </c>
      <c r="F7678" s="4" t="n">
        <v>37</v>
      </c>
      <c r="G7678" s="4" t="n">
        <v>4</v>
      </c>
      <c r="H7678" s="4" t="n">
        <v>4</v>
      </c>
      <c r="I7678" s="4" t="str">
        <v>×</v>
      </c>
      <c r="J7678" s="4"/>
      <c r="K7678" s="4"/>
      <c r="L7678" s="4"/>
      <c r="M7678" s="5" t="s">
        <v>5346</v>
      </c>
    </row>
    <row r="7679" customFormat="false" ht="15.75" hidden="false" customHeight="false" outlineLevel="0" collapsed="false">
      <c r="A7679" s="6" t="n">
        <v>46165</v>
      </c>
      <c r="B7679" s="4" t="s">
        <v>5435</v>
      </c>
      <c r="C7679" s="4" t="n">
        <v>2</v>
      </c>
      <c r="D7679" s="4" t="n">
        <v>1</v>
      </c>
      <c r="E7679" s="4" t="s">
        <v>5442</v>
      </c>
      <c r="F7679" s="4" t="n">
        <v>6</v>
      </c>
      <c r="G7679" s="4" t="n">
        <v>9</v>
      </c>
      <c r="H7679" s="4"/>
      <c r="I7679" s="4" t="str">
        <v/>
      </c>
      <c r="J7679" s="4"/>
      <c r="K7679" s="4"/>
      <c r="L7679" s="4"/>
      <c r="M7679" s="5" t="s">
        <v>5346</v>
      </c>
    </row>
    <row r="7680" customFormat="false" ht="15.75" hidden="false" customHeight="false" outlineLevel="0" collapsed="false">
      <c r="A7680" s="6" t="n">
        <v>46165</v>
      </c>
      <c r="B7680" s="4" t="s">
        <v>5435</v>
      </c>
      <c r="C7680" s="4" t="n">
        <v>2</v>
      </c>
      <c r="D7680" s="4" t="n">
        <v>2</v>
      </c>
      <c r="E7680" s="4" t="s">
        <v>3821</v>
      </c>
      <c r="F7680" s="4" t="n">
        <v>10</v>
      </c>
      <c r="G7680" s="4" t="n">
        <v>7</v>
      </c>
      <c r="H7680" s="4" t="n">
        <v>2</v>
      </c>
      <c r="I7680" s="4" t="str">
        <v>○</v>
      </c>
      <c r="J7680" s="4" t="n">
        <v>270</v>
      </c>
      <c r="K7680" s="4"/>
      <c r="L7680" s="4"/>
      <c r="M7680" s="5" t="s">
        <v>5346</v>
      </c>
    </row>
    <row r="7681" customFormat="false" ht="15.75" hidden="false" customHeight="false" outlineLevel="0" collapsed="false">
      <c r="A7681" s="6" t="n">
        <v>46165</v>
      </c>
      <c r="B7681" s="4" t="s">
        <v>5435</v>
      </c>
      <c r="C7681" s="4" t="n">
        <v>2</v>
      </c>
      <c r="D7681" s="4" t="n">
        <v>3</v>
      </c>
      <c r="E7681" s="4" t="s">
        <v>3854</v>
      </c>
      <c r="F7681" s="4" t="n">
        <v>81</v>
      </c>
      <c r="G7681" s="4" t="n">
        <v>1</v>
      </c>
      <c r="H7681" s="4" t="n">
        <v>3</v>
      </c>
      <c r="I7681" s="4" t="str">
        <v>○</v>
      </c>
      <c r="J7681" s="4" t="n">
        <v>130</v>
      </c>
      <c r="K7681" s="4"/>
      <c r="L7681" s="4"/>
      <c r="M7681" s="5" t="s">
        <v>5346</v>
      </c>
    </row>
    <row r="7682" customFormat="false" ht="15.75" hidden="false" customHeight="false" outlineLevel="0" collapsed="false">
      <c r="A7682" s="6" t="n">
        <v>46165</v>
      </c>
      <c r="B7682" s="4" t="s">
        <v>5435</v>
      </c>
      <c r="C7682" s="4" t="n">
        <v>2</v>
      </c>
      <c r="D7682" s="4" t="n">
        <v>4</v>
      </c>
      <c r="E7682" s="4" t="s">
        <v>649</v>
      </c>
      <c r="F7682" s="4" t="n">
        <v>8</v>
      </c>
      <c r="G7682" s="4" t="n">
        <v>8</v>
      </c>
      <c r="H7682" s="4" t="n">
        <v>4</v>
      </c>
      <c r="I7682" s="4" t="str">
        <v>×</v>
      </c>
      <c r="J7682" s="4"/>
      <c r="K7682" s="4"/>
      <c r="L7682" s="4"/>
      <c r="M7682" s="5" t="s">
        <v>5346</v>
      </c>
    </row>
    <row r="7683" customFormat="false" ht="15.75" hidden="false" customHeight="false" outlineLevel="0" collapsed="false">
      <c r="A7683" s="6" t="n">
        <v>46165</v>
      </c>
      <c r="B7683" s="4" t="s">
        <v>5435</v>
      </c>
      <c r="C7683" s="4" t="n">
        <v>2</v>
      </c>
      <c r="D7683" s="4" t="n">
        <v>5</v>
      </c>
      <c r="E7683" s="4" t="s">
        <v>4233</v>
      </c>
      <c r="F7683" s="4" t="n">
        <v>8</v>
      </c>
      <c r="G7683" s="4" t="n">
        <v>8</v>
      </c>
      <c r="H7683" s="4" t="n">
        <v>4</v>
      </c>
      <c r="I7683" s="4" t="str">
        <v>×</v>
      </c>
      <c r="J7683" s="4"/>
      <c r="K7683" s="4"/>
      <c r="L7683" s="4"/>
      <c r="M7683" s="5" t="s">
        <v>5346</v>
      </c>
    </row>
    <row r="7684" customFormat="false" ht="15.75" hidden="false" customHeight="false" outlineLevel="0" collapsed="false">
      <c r="A7684" s="6" t="n">
        <v>46165</v>
      </c>
      <c r="B7684" s="4" t="s">
        <v>5435</v>
      </c>
      <c r="C7684" s="4" t="n">
        <v>2</v>
      </c>
      <c r="D7684" s="4" t="n">
        <v>6</v>
      </c>
      <c r="E7684" s="4" t="s">
        <v>5443</v>
      </c>
      <c r="F7684" s="4" t="n">
        <v>6</v>
      </c>
      <c r="G7684" s="4" t="n">
        <v>9</v>
      </c>
      <c r="H7684" s="4" t="n">
        <v>4</v>
      </c>
      <c r="I7684" s="4" t="str">
        <v>×</v>
      </c>
      <c r="J7684" s="4"/>
      <c r="K7684" s="4"/>
      <c r="L7684" s="4"/>
      <c r="M7684" s="5" t="s">
        <v>5346</v>
      </c>
    </row>
    <row r="7685" customFormat="false" ht="15.75" hidden="false" customHeight="false" outlineLevel="0" collapsed="false">
      <c r="A7685" s="6" t="n">
        <v>46165</v>
      </c>
      <c r="B7685" s="4" t="s">
        <v>5435</v>
      </c>
      <c r="C7685" s="4" t="n">
        <v>2</v>
      </c>
      <c r="D7685" s="4" t="n">
        <v>7</v>
      </c>
      <c r="E7685" s="4" t="s">
        <v>2058</v>
      </c>
      <c r="F7685" s="4" t="n">
        <v>29</v>
      </c>
      <c r="G7685" s="4" t="n">
        <v>4</v>
      </c>
      <c r="H7685" s="4" t="n">
        <v>4</v>
      </c>
      <c r="I7685" s="4" t="str">
        <v>×</v>
      </c>
      <c r="J7685" s="4"/>
      <c r="K7685" s="4"/>
      <c r="L7685" s="4"/>
      <c r="M7685" s="5" t="s">
        <v>5346</v>
      </c>
    </row>
    <row r="7686" customFormat="false" ht="15.75" hidden="false" customHeight="false" outlineLevel="0" collapsed="false">
      <c r="A7686" s="6" t="n">
        <v>46165</v>
      </c>
      <c r="B7686" s="4" t="s">
        <v>5435</v>
      </c>
      <c r="C7686" s="4" t="n">
        <v>2</v>
      </c>
      <c r="D7686" s="4" t="n">
        <v>8</v>
      </c>
      <c r="E7686" s="4" t="s">
        <v>5444</v>
      </c>
      <c r="F7686" s="4" t="n">
        <v>8</v>
      </c>
      <c r="G7686" s="4" t="n">
        <v>8</v>
      </c>
      <c r="H7686" s="4" t="n">
        <v>4</v>
      </c>
      <c r="I7686" s="4" t="str">
        <v>×</v>
      </c>
      <c r="J7686" s="4"/>
      <c r="K7686" s="4"/>
      <c r="L7686" s="4"/>
      <c r="M7686" s="5" t="s">
        <v>5346</v>
      </c>
    </row>
    <row r="7687" customFormat="false" ht="15.75" hidden="false" customHeight="false" outlineLevel="0" collapsed="false">
      <c r="A7687" s="6" t="n">
        <v>46165</v>
      </c>
      <c r="B7687" s="4" t="s">
        <v>5435</v>
      </c>
      <c r="C7687" s="4" t="n">
        <v>2</v>
      </c>
      <c r="D7687" s="4" t="n">
        <v>9</v>
      </c>
      <c r="E7687" s="4" t="s">
        <v>5445</v>
      </c>
      <c r="F7687" s="4" t="n">
        <v>15</v>
      </c>
      <c r="G7687" s="4" t="n">
        <v>6</v>
      </c>
      <c r="H7687" s="4" t="n">
        <v>1</v>
      </c>
      <c r="I7687" s="4" t="str">
        <v>○</v>
      </c>
      <c r="J7687" s="4" t="n">
        <v>210</v>
      </c>
      <c r="K7687" s="4"/>
      <c r="L7687" s="4"/>
      <c r="M7687" s="5" t="s">
        <v>5346</v>
      </c>
    </row>
    <row r="7688" customFormat="false" ht="15.75" hidden="false" customHeight="false" outlineLevel="0" collapsed="false">
      <c r="A7688" s="6" t="n">
        <v>46165</v>
      </c>
      <c r="B7688" s="4" t="s">
        <v>5435</v>
      </c>
      <c r="C7688" s="4" t="n">
        <v>2</v>
      </c>
      <c r="D7688" s="4" t="n">
        <v>10</v>
      </c>
      <c r="E7688" s="4" t="s">
        <v>2495</v>
      </c>
      <c r="F7688" s="4" t="n">
        <v>31</v>
      </c>
      <c r="G7688" s="4" t="n">
        <v>3</v>
      </c>
      <c r="H7688" s="4" t="n">
        <v>4</v>
      </c>
      <c r="I7688" s="4" t="str">
        <v>×</v>
      </c>
      <c r="J7688" s="4"/>
      <c r="K7688" s="4"/>
      <c r="L7688" s="4"/>
      <c r="M7688" s="5" t="s">
        <v>5346</v>
      </c>
    </row>
    <row r="7689" customFormat="false" ht="15.75" hidden="false" customHeight="false" outlineLevel="0" collapsed="false">
      <c r="A7689" s="6" t="n">
        <v>46165</v>
      </c>
      <c r="B7689" s="4" t="s">
        <v>5435</v>
      </c>
      <c r="C7689" s="4" t="n">
        <v>2</v>
      </c>
      <c r="D7689" s="4" t="n">
        <v>11</v>
      </c>
      <c r="E7689" s="4" t="s">
        <v>4234</v>
      </c>
      <c r="F7689" s="4" t="n">
        <v>65</v>
      </c>
      <c r="G7689" s="4" t="n">
        <v>2</v>
      </c>
      <c r="H7689" s="4" t="n">
        <v>4</v>
      </c>
      <c r="I7689" s="4" t="str">
        <v>×</v>
      </c>
      <c r="J7689" s="4"/>
      <c r="K7689" s="4"/>
      <c r="L7689" s="4"/>
      <c r="M7689" s="5" t="s">
        <v>5346</v>
      </c>
    </row>
    <row r="7690" customFormat="false" ht="15.75" hidden="false" customHeight="false" outlineLevel="0" collapsed="false">
      <c r="A7690" s="6" t="n">
        <v>46165</v>
      </c>
      <c r="B7690" s="4" t="s">
        <v>5435</v>
      </c>
      <c r="C7690" s="4" t="n">
        <v>2</v>
      </c>
      <c r="D7690" s="4" t="n">
        <v>12</v>
      </c>
      <c r="E7690" s="4" t="s">
        <v>5446</v>
      </c>
      <c r="F7690" s="4" t="n">
        <v>3</v>
      </c>
      <c r="G7690" s="4" t="n">
        <v>10</v>
      </c>
      <c r="H7690" s="4" t="n">
        <v>4</v>
      </c>
      <c r="I7690" s="4" t="str">
        <v>×</v>
      </c>
      <c r="J7690" s="4"/>
      <c r="K7690" s="4"/>
      <c r="L7690" s="4"/>
      <c r="M7690" s="5" t="s">
        <v>5346</v>
      </c>
    </row>
    <row r="7691" customFormat="false" ht="15.75" hidden="false" customHeight="false" outlineLevel="0" collapsed="false">
      <c r="A7691" s="6" t="n">
        <v>46165</v>
      </c>
      <c r="B7691" s="4" t="s">
        <v>5435</v>
      </c>
      <c r="C7691" s="4" t="n">
        <v>2</v>
      </c>
      <c r="D7691" s="4" t="n">
        <v>13</v>
      </c>
      <c r="E7691" s="4" t="s">
        <v>5014</v>
      </c>
      <c r="F7691" s="4" t="n">
        <v>6</v>
      </c>
      <c r="G7691" s="4" t="n">
        <v>9</v>
      </c>
      <c r="H7691" s="4" t="n">
        <v>4</v>
      </c>
      <c r="I7691" s="4" t="str">
        <v>×</v>
      </c>
      <c r="J7691" s="4"/>
      <c r="K7691" s="4"/>
      <c r="L7691" s="4"/>
      <c r="M7691" s="5" t="s">
        <v>5346</v>
      </c>
    </row>
    <row r="7692" customFormat="false" ht="15.75" hidden="false" customHeight="false" outlineLevel="0" collapsed="false">
      <c r="A7692" s="6" t="n">
        <v>46165</v>
      </c>
      <c r="B7692" s="4" t="s">
        <v>5435</v>
      </c>
      <c r="C7692" s="4" t="n">
        <v>2</v>
      </c>
      <c r="D7692" s="4" t="n">
        <v>14</v>
      </c>
      <c r="E7692" s="4" t="s">
        <v>4618</v>
      </c>
      <c r="F7692" s="4" t="n">
        <v>20</v>
      </c>
      <c r="G7692" s="4" t="n">
        <v>5</v>
      </c>
      <c r="H7692" s="4" t="n">
        <v>4</v>
      </c>
      <c r="I7692" s="4" t="str">
        <v>×</v>
      </c>
      <c r="J7692" s="4"/>
      <c r="K7692" s="4"/>
      <c r="L7692" s="4"/>
      <c r="M7692" s="5" t="s">
        <v>5346</v>
      </c>
    </row>
    <row r="7693" customFormat="false" ht="15.75" hidden="false" customHeight="false" outlineLevel="0" collapsed="false">
      <c r="A7693" s="6" t="n">
        <v>46165</v>
      </c>
      <c r="B7693" s="4" t="s">
        <v>5435</v>
      </c>
      <c r="C7693" s="4" t="n">
        <v>3</v>
      </c>
      <c r="D7693" s="4" t="n">
        <v>1</v>
      </c>
      <c r="E7693" s="4" t="s">
        <v>5447</v>
      </c>
      <c r="F7693" s="4" t="n">
        <v>25</v>
      </c>
      <c r="G7693" s="4" t="n">
        <v>4</v>
      </c>
      <c r="H7693" s="4" t="n">
        <v>4</v>
      </c>
      <c r="I7693" s="4" t="str">
        <v>×</v>
      </c>
      <c r="J7693" s="4"/>
      <c r="K7693" s="4"/>
      <c r="L7693" s="4"/>
      <c r="M7693" s="5" t="s">
        <v>5346</v>
      </c>
    </row>
    <row r="7694" customFormat="false" ht="15.75" hidden="false" customHeight="false" outlineLevel="0" collapsed="false">
      <c r="A7694" s="6" t="n">
        <v>46165</v>
      </c>
      <c r="B7694" s="4" t="s">
        <v>5435</v>
      </c>
      <c r="C7694" s="4" t="n">
        <v>3</v>
      </c>
      <c r="D7694" s="4" t="n">
        <v>2</v>
      </c>
      <c r="E7694" s="4" t="s">
        <v>2097</v>
      </c>
      <c r="F7694" s="4" t="n">
        <v>15</v>
      </c>
      <c r="G7694" s="4" t="n">
        <v>8</v>
      </c>
      <c r="H7694" s="4" t="n">
        <v>4</v>
      </c>
      <c r="I7694" s="4" t="str">
        <v>×</v>
      </c>
      <c r="J7694" s="4"/>
      <c r="K7694" s="4"/>
      <c r="L7694" s="4"/>
      <c r="M7694" s="5" t="s">
        <v>5346</v>
      </c>
    </row>
    <row r="7695" customFormat="false" ht="15.75" hidden="false" customHeight="false" outlineLevel="0" collapsed="false">
      <c r="A7695" s="6" t="n">
        <v>46165</v>
      </c>
      <c r="B7695" s="4" t="s">
        <v>5435</v>
      </c>
      <c r="C7695" s="4" t="n">
        <v>3</v>
      </c>
      <c r="D7695" s="4" t="n">
        <v>3</v>
      </c>
      <c r="E7695" s="4" t="s">
        <v>2815</v>
      </c>
      <c r="F7695" s="4" t="n">
        <v>17</v>
      </c>
      <c r="G7695" s="4" t="n">
        <v>7</v>
      </c>
      <c r="H7695" s="4" t="n">
        <v>4</v>
      </c>
      <c r="I7695" s="4" t="str">
        <v>×</v>
      </c>
      <c r="J7695" s="4"/>
      <c r="K7695" s="4"/>
      <c r="L7695" s="4"/>
      <c r="M7695" s="5" t="s">
        <v>5346</v>
      </c>
    </row>
    <row r="7696" customFormat="false" ht="15.75" hidden="false" customHeight="false" outlineLevel="0" collapsed="false">
      <c r="A7696" s="6" t="n">
        <v>46165</v>
      </c>
      <c r="B7696" s="4" t="s">
        <v>5435</v>
      </c>
      <c r="C7696" s="4" t="n">
        <v>3</v>
      </c>
      <c r="D7696" s="4" t="n">
        <v>4</v>
      </c>
      <c r="E7696" s="4" t="s">
        <v>5448</v>
      </c>
      <c r="F7696" s="4" t="n">
        <v>47</v>
      </c>
      <c r="G7696" s="4" t="n">
        <v>2</v>
      </c>
      <c r="H7696" s="4" t="n">
        <v>1</v>
      </c>
      <c r="I7696" s="4" t="str">
        <v>○</v>
      </c>
      <c r="J7696" s="4" t="n">
        <v>200</v>
      </c>
      <c r="K7696" s="4"/>
      <c r="L7696" s="4"/>
      <c r="M7696" s="5" t="s">
        <v>5346</v>
      </c>
    </row>
    <row r="7697" customFormat="false" ht="15.75" hidden="false" customHeight="false" outlineLevel="0" collapsed="false">
      <c r="A7697" s="6" t="n">
        <v>46165</v>
      </c>
      <c r="B7697" s="4" t="s">
        <v>5435</v>
      </c>
      <c r="C7697" s="4" t="n">
        <v>3</v>
      </c>
      <c r="D7697" s="4" t="n">
        <v>5</v>
      </c>
      <c r="E7697" s="4" t="s">
        <v>1583</v>
      </c>
      <c r="F7697" s="4" t="n">
        <v>3</v>
      </c>
      <c r="G7697" s="4" t="n">
        <v>11</v>
      </c>
      <c r="H7697" s="4" t="n">
        <v>4</v>
      </c>
      <c r="I7697" s="4" t="str">
        <v>×</v>
      </c>
      <c r="J7697" s="4"/>
      <c r="K7697" s="4"/>
      <c r="L7697" s="4"/>
      <c r="M7697" s="5" t="s">
        <v>5346</v>
      </c>
    </row>
    <row r="7698" customFormat="false" ht="15.75" hidden="false" customHeight="false" outlineLevel="0" collapsed="false">
      <c r="A7698" s="6" t="n">
        <v>46165</v>
      </c>
      <c r="B7698" s="4" t="s">
        <v>5435</v>
      </c>
      <c r="C7698" s="4" t="n">
        <v>3</v>
      </c>
      <c r="D7698" s="4" t="n">
        <v>6</v>
      </c>
      <c r="E7698" s="4" t="s">
        <v>5449</v>
      </c>
      <c r="F7698" s="4" t="n">
        <v>4</v>
      </c>
      <c r="G7698" s="4" t="n">
        <v>10</v>
      </c>
      <c r="H7698" s="4" t="n">
        <v>4</v>
      </c>
      <c r="I7698" s="4" t="str">
        <v>×</v>
      </c>
      <c r="J7698" s="4"/>
      <c r="K7698" s="4"/>
      <c r="L7698" s="4"/>
      <c r="M7698" s="5" t="s">
        <v>5346</v>
      </c>
    </row>
    <row r="7699" customFormat="false" ht="15.75" hidden="false" customHeight="false" outlineLevel="0" collapsed="false">
      <c r="A7699" s="6" t="n">
        <v>46165</v>
      </c>
      <c r="B7699" s="4" t="s">
        <v>5435</v>
      </c>
      <c r="C7699" s="4" t="n">
        <v>3</v>
      </c>
      <c r="D7699" s="4" t="n">
        <v>7</v>
      </c>
      <c r="E7699" s="4" t="s">
        <v>1571</v>
      </c>
      <c r="F7699" s="4" t="n">
        <v>25</v>
      </c>
      <c r="G7699" s="4" t="n">
        <v>4</v>
      </c>
      <c r="H7699" s="4" t="n">
        <v>2</v>
      </c>
      <c r="I7699" s="4" t="str">
        <v>○</v>
      </c>
      <c r="J7699" s="4" t="n">
        <v>260</v>
      </c>
      <c r="K7699" s="4"/>
      <c r="L7699" s="4"/>
      <c r="M7699" s="5" t="s">
        <v>5346</v>
      </c>
    </row>
    <row r="7700" customFormat="false" ht="15.75" hidden="false" customHeight="false" outlineLevel="0" collapsed="false">
      <c r="A7700" s="6" t="n">
        <v>46165</v>
      </c>
      <c r="B7700" s="4" t="s">
        <v>5435</v>
      </c>
      <c r="C7700" s="4" t="n">
        <v>3</v>
      </c>
      <c r="D7700" s="4" t="n">
        <v>8</v>
      </c>
      <c r="E7700" s="4" t="s">
        <v>1568</v>
      </c>
      <c r="F7700" s="4" t="n">
        <v>23</v>
      </c>
      <c r="G7700" s="4" t="n">
        <v>5</v>
      </c>
      <c r="H7700" s="4" t="n">
        <v>4</v>
      </c>
      <c r="I7700" s="4" t="str">
        <v>×</v>
      </c>
      <c r="J7700" s="4"/>
      <c r="K7700" s="4"/>
      <c r="L7700" s="4"/>
      <c r="M7700" s="5" t="s">
        <v>5346</v>
      </c>
    </row>
    <row r="7701" customFormat="false" ht="15.75" hidden="false" customHeight="false" outlineLevel="0" collapsed="false">
      <c r="A7701" s="6" t="n">
        <v>46165</v>
      </c>
      <c r="B7701" s="4" t="s">
        <v>5435</v>
      </c>
      <c r="C7701" s="4" t="n">
        <v>3</v>
      </c>
      <c r="D7701" s="4" t="n">
        <v>9</v>
      </c>
      <c r="E7701" s="4" t="s">
        <v>2945</v>
      </c>
      <c r="F7701" s="4" t="n">
        <v>52</v>
      </c>
      <c r="G7701" s="4" t="n">
        <v>1</v>
      </c>
      <c r="H7701" s="4" t="n">
        <v>4</v>
      </c>
      <c r="I7701" s="4" t="str">
        <v>×</v>
      </c>
      <c r="J7701" s="4"/>
      <c r="K7701" s="4"/>
      <c r="L7701" s="4"/>
      <c r="M7701" s="5" t="s">
        <v>5346</v>
      </c>
    </row>
    <row r="7702" customFormat="false" ht="15.75" hidden="false" customHeight="false" outlineLevel="0" collapsed="false">
      <c r="A7702" s="6" t="n">
        <v>46165</v>
      </c>
      <c r="B7702" s="4" t="s">
        <v>5435</v>
      </c>
      <c r="C7702" s="4" t="n">
        <v>3</v>
      </c>
      <c r="D7702" s="4" t="n">
        <v>10</v>
      </c>
      <c r="E7702" s="4" t="s">
        <v>2555</v>
      </c>
      <c r="F7702" s="4" t="n">
        <v>17</v>
      </c>
      <c r="G7702" s="4" t="n">
        <v>7</v>
      </c>
      <c r="H7702" s="4" t="n">
        <v>4</v>
      </c>
      <c r="I7702" s="4" t="str">
        <v>×</v>
      </c>
      <c r="J7702" s="4"/>
      <c r="K7702" s="4"/>
      <c r="L7702" s="4"/>
      <c r="M7702" s="5" t="s">
        <v>5346</v>
      </c>
    </row>
    <row r="7703" customFormat="false" ht="15.75" hidden="false" customHeight="false" outlineLevel="0" collapsed="false">
      <c r="A7703" s="6" t="n">
        <v>46165</v>
      </c>
      <c r="B7703" s="4" t="s">
        <v>5435</v>
      </c>
      <c r="C7703" s="4" t="n">
        <v>3</v>
      </c>
      <c r="D7703" s="4" t="n">
        <v>11</v>
      </c>
      <c r="E7703" s="4" t="s">
        <v>1272</v>
      </c>
      <c r="F7703" s="4" t="n">
        <v>20</v>
      </c>
      <c r="G7703" s="4" t="n">
        <v>6</v>
      </c>
      <c r="H7703" s="4" t="n">
        <v>3</v>
      </c>
      <c r="I7703" s="4" t="str">
        <v>○</v>
      </c>
      <c r="J7703" s="4" t="n">
        <v>1130</v>
      </c>
      <c r="K7703" s="4"/>
      <c r="L7703" s="4"/>
      <c r="M7703" s="5" t="s">
        <v>5346</v>
      </c>
    </row>
    <row r="7704" customFormat="false" ht="15.75" hidden="false" customHeight="false" outlineLevel="0" collapsed="false">
      <c r="A7704" s="6" t="n">
        <v>46165</v>
      </c>
      <c r="B7704" s="4" t="s">
        <v>5435</v>
      </c>
      <c r="C7704" s="4" t="n">
        <v>3</v>
      </c>
      <c r="D7704" s="4" t="n">
        <v>12</v>
      </c>
      <c r="E7704" s="4" t="s">
        <v>3186</v>
      </c>
      <c r="F7704" s="4" t="n">
        <v>3</v>
      </c>
      <c r="G7704" s="4" t="n">
        <v>11</v>
      </c>
      <c r="H7704" s="4" t="n">
        <v>4</v>
      </c>
      <c r="I7704" s="4" t="str">
        <v>×</v>
      </c>
      <c r="J7704" s="4"/>
      <c r="K7704" s="4"/>
      <c r="L7704" s="4"/>
      <c r="M7704" s="5" t="s">
        <v>5346</v>
      </c>
    </row>
    <row r="7705" customFormat="false" ht="15.75" hidden="false" customHeight="false" outlineLevel="0" collapsed="false">
      <c r="A7705" s="6" t="n">
        <v>46165</v>
      </c>
      <c r="B7705" s="4" t="s">
        <v>5435</v>
      </c>
      <c r="C7705" s="4" t="n">
        <v>3</v>
      </c>
      <c r="D7705" s="4" t="n">
        <v>13</v>
      </c>
      <c r="E7705" s="4" t="s">
        <v>1578</v>
      </c>
      <c r="F7705" s="4" t="n">
        <v>47</v>
      </c>
      <c r="G7705" s="4" t="n">
        <v>2</v>
      </c>
      <c r="H7705" s="4" t="n">
        <v>4</v>
      </c>
      <c r="I7705" s="4" t="str">
        <v>×</v>
      </c>
      <c r="J7705" s="4"/>
      <c r="K7705" s="4"/>
      <c r="L7705" s="4"/>
      <c r="M7705" s="5" t="s">
        <v>5346</v>
      </c>
    </row>
    <row r="7706" customFormat="false" ht="15.75" hidden="false" customHeight="false" outlineLevel="0" collapsed="false">
      <c r="A7706" s="6" t="n">
        <v>46165</v>
      </c>
      <c r="B7706" s="4" t="s">
        <v>5435</v>
      </c>
      <c r="C7706" s="4" t="n">
        <v>3</v>
      </c>
      <c r="D7706" s="4" t="n">
        <v>14</v>
      </c>
      <c r="E7706" s="4" t="s">
        <v>1277</v>
      </c>
      <c r="F7706" s="4" t="n">
        <v>13</v>
      </c>
      <c r="G7706" s="4" t="n">
        <v>9</v>
      </c>
      <c r="H7706" s="4" t="n">
        <v>4</v>
      </c>
      <c r="I7706" s="4" t="str">
        <v>×</v>
      </c>
      <c r="J7706" s="4"/>
      <c r="K7706" s="4"/>
      <c r="L7706" s="4"/>
      <c r="M7706" s="5" t="s">
        <v>5346</v>
      </c>
    </row>
    <row r="7707" customFormat="false" ht="15.75" hidden="false" customHeight="false" outlineLevel="0" collapsed="false">
      <c r="A7707" s="6" t="n">
        <v>46165</v>
      </c>
      <c r="B7707" s="4" t="s">
        <v>5435</v>
      </c>
      <c r="C7707" s="4" t="n">
        <v>3</v>
      </c>
      <c r="D7707" s="4" t="n">
        <v>15</v>
      </c>
      <c r="E7707" s="4" t="s">
        <v>1777</v>
      </c>
      <c r="F7707" s="4" t="n">
        <v>31</v>
      </c>
      <c r="G7707" s="4" t="n">
        <v>3</v>
      </c>
      <c r="H7707" s="4" t="n">
        <v>4</v>
      </c>
      <c r="I7707" s="4" t="str">
        <v>×</v>
      </c>
      <c r="J7707" s="4"/>
      <c r="K7707" s="4"/>
      <c r="L7707" s="4"/>
      <c r="M7707" s="5" t="s">
        <v>5346</v>
      </c>
    </row>
    <row r="7708" customFormat="false" ht="15.75" hidden="false" customHeight="false" outlineLevel="0" collapsed="false">
      <c r="A7708" s="6" t="n">
        <v>46165</v>
      </c>
      <c r="B7708" s="4" t="s">
        <v>5435</v>
      </c>
      <c r="C7708" s="4" t="n">
        <v>3</v>
      </c>
      <c r="D7708" s="4" t="n">
        <v>16</v>
      </c>
      <c r="E7708" s="4" t="s">
        <v>774</v>
      </c>
      <c r="F7708" s="4" t="n">
        <v>20</v>
      </c>
      <c r="G7708" s="4" t="n">
        <v>6</v>
      </c>
      <c r="H7708" s="4" t="n">
        <v>4</v>
      </c>
      <c r="I7708" s="4" t="str">
        <v>×</v>
      </c>
      <c r="J7708" s="4"/>
      <c r="K7708" s="4"/>
      <c r="L7708" s="4"/>
      <c r="M7708" s="5" t="s">
        <v>5346</v>
      </c>
    </row>
    <row r="7709" customFormat="false" ht="15.75" hidden="false" customHeight="false" outlineLevel="0" collapsed="false">
      <c r="A7709" s="6" t="n">
        <v>46165</v>
      </c>
      <c r="B7709" s="4" t="s">
        <v>5435</v>
      </c>
      <c r="C7709" s="4" t="n">
        <v>4</v>
      </c>
      <c r="D7709" s="4" t="n">
        <v>1</v>
      </c>
      <c r="E7709" s="4" t="s">
        <v>2247</v>
      </c>
      <c r="F7709" s="4" t="n">
        <v>17</v>
      </c>
      <c r="G7709" s="4" t="n">
        <v>7</v>
      </c>
      <c r="H7709" s="4" t="n">
        <v>1</v>
      </c>
      <c r="I7709" s="4" t="str">
        <v>○</v>
      </c>
      <c r="J7709" s="4" t="n">
        <v>300</v>
      </c>
      <c r="K7709" s="4"/>
      <c r="L7709" s="4"/>
      <c r="M7709" s="5" t="s">
        <v>5346</v>
      </c>
    </row>
    <row r="7710" customFormat="false" ht="15.75" hidden="false" customHeight="false" outlineLevel="0" collapsed="false">
      <c r="A7710" s="6" t="n">
        <v>46165</v>
      </c>
      <c r="B7710" s="4" t="s">
        <v>5435</v>
      </c>
      <c r="C7710" s="4" t="n">
        <v>4</v>
      </c>
      <c r="D7710" s="4" t="n">
        <v>2</v>
      </c>
      <c r="E7710" s="4" t="s">
        <v>5450</v>
      </c>
      <c r="F7710" s="4" t="n">
        <v>6</v>
      </c>
      <c r="G7710" s="4" t="n">
        <v>9</v>
      </c>
      <c r="H7710" s="4" t="n">
        <v>4</v>
      </c>
      <c r="I7710" s="4" t="str">
        <v>×</v>
      </c>
      <c r="J7710" s="4"/>
      <c r="K7710" s="4"/>
      <c r="L7710" s="4"/>
      <c r="M7710" s="5" t="s">
        <v>5346</v>
      </c>
    </row>
    <row r="7711" customFormat="false" ht="15.75" hidden="false" customHeight="false" outlineLevel="0" collapsed="false">
      <c r="A7711" s="6" t="n">
        <v>46165</v>
      </c>
      <c r="B7711" s="4" t="s">
        <v>5435</v>
      </c>
      <c r="C7711" s="4" t="n">
        <v>4</v>
      </c>
      <c r="D7711" s="4" t="n">
        <v>3</v>
      </c>
      <c r="E7711" s="4" t="s">
        <v>5451</v>
      </c>
      <c r="F7711" s="4" t="n">
        <v>8</v>
      </c>
      <c r="G7711" s="4" t="n">
        <v>8</v>
      </c>
      <c r="H7711" s="4" t="n">
        <v>4</v>
      </c>
      <c r="I7711" s="4" t="str">
        <v>×</v>
      </c>
      <c r="J7711" s="4"/>
      <c r="K7711" s="4"/>
      <c r="L7711" s="4"/>
      <c r="M7711" s="5" t="s">
        <v>5346</v>
      </c>
    </row>
    <row r="7712" customFormat="false" ht="15.75" hidden="false" customHeight="false" outlineLevel="0" collapsed="false">
      <c r="A7712" s="6" t="n">
        <v>46165</v>
      </c>
      <c r="B7712" s="4" t="s">
        <v>5435</v>
      </c>
      <c r="C7712" s="4" t="n">
        <v>4</v>
      </c>
      <c r="D7712" s="4" t="n">
        <v>4</v>
      </c>
      <c r="E7712" s="4" t="s">
        <v>4791</v>
      </c>
      <c r="F7712" s="4" t="n">
        <v>8</v>
      </c>
      <c r="G7712" s="4" t="n">
        <v>8</v>
      </c>
      <c r="H7712" s="4" t="n">
        <v>4</v>
      </c>
      <c r="I7712" s="4" t="str">
        <v>×</v>
      </c>
      <c r="J7712" s="4"/>
      <c r="K7712" s="4"/>
      <c r="L7712" s="4"/>
      <c r="M7712" s="5" t="s">
        <v>5346</v>
      </c>
    </row>
    <row r="7713" customFormat="false" ht="15.75" hidden="false" customHeight="false" outlineLevel="0" collapsed="false">
      <c r="A7713" s="6" t="n">
        <v>46165</v>
      </c>
      <c r="B7713" s="4" t="s">
        <v>5435</v>
      </c>
      <c r="C7713" s="4" t="n">
        <v>4</v>
      </c>
      <c r="D7713" s="4" t="n">
        <v>5</v>
      </c>
      <c r="E7713" s="4" t="s">
        <v>5452</v>
      </c>
      <c r="F7713" s="4" t="n">
        <v>23</v>
      </c>
      <c r="G7713" s="4" t="n">
        <v>6</v>
      </c>
      <c r="H7713" s="4" t="n">
        <v>2</v>
      </c>
      <c r="I7713" s="4" t="str">
        <v>○</v>
      </c>
      <c r="J7713" s="4" t="n">
        <v>260</v>
      </c>
      <c r="K7713" s="4"/>
      <c r="L7713" s="4"/>
      <c r="M7713" s="5" t="s">
        <v>5346</v>
      </c>
    </row>
    <row r="7714" customFormat="false" ht="15.75" hidden="false" customHeight="false" outlineLevel="0" collapsed="false">
      <c r="A7714" s="6" t="n">
        <v>46165</v>
      </c>
      <c r="B7714" s="4" t="s">
        <v>5435</v>
      </c>
      <c r="C7714" s="4" t="n">
        <v>4</v>
      </c>
      <c r="D7714" s="4" t="n">
        <v>6</v>
      </c>
      <c r="E7714" s="4" t="s">
        <v>354</v>
      </c>
      <c r="F7714" s="4" t="n">
        <v>17</v>
      </c>
      <c r="G7714" s="4" t="n">
        <v>7</v>
      </c>
      <c r="H7714" s="4" t="n">
        <v>4</v>
      </c>
      <c r="I7714" s="4" t="str">
        <v>×</v>
      </c>
      <c r="J7714" s="4"/>
      <c r="K7714" s="4"/>
      <c r="L7714" s="4"/>
      <c r="M7714" s="5" t="s">
        <v>5346</v>
      </c>
    </row>
    <row r="7715" customFormat="false" ht="15.75" hidden="false" customHeight="false" outlineLevel="0" collapsed="false">
      <c r="A7715" s="6" t="n">
        <v>46165</v>
      </c>
      <c r="B7715" s="4" t="s">
        <v>5435</v>
      </c>
      <c r="C7715" s="4" t="n">
        <v>4</v>
      </c>
      <c r="D7715" s="4" t="n">
        <v>7</v>
      </c>
      <c r="E7715" s="4" t="s">
        <v>5453</v>
      </c>
      <c r="F7715" s="4" t="n">
        <v>3</v>
      </c>
      <c r="G7715" s="4" t="n">
        <v>11</v>
      </c>
      <c r="H7715" s="4" t="n">
        <v>4</v>
      </c>
      <c r="I7715" s="4" t="str">
        <v>×</v>
      </c>
      <c r="J7715" s="4"/>
      <c r="K7715" s="4"/>
      <c r="L7715" s="4"/>
      <c r="M7715" s="5" t="s">
        <v>5346</v>
      </c>
    </row>
    <row r="7716" customFormat="false" ht="15.75" hidden="false" customHeight="false" outlineLevel="0" collapsed="false">
      <c r="A7716" s="6" t="n">
        <v>46165</v>
      </c>
      <c r="B7716" s="4" t="s">
        <v>5435</v>
      </c>
      <c r="C7716" s="4" t="n">
        <v>4</v>
      </c>
      <c r="D7716" s="4" t="n">
        <v>8</v>
      </c>
      <c r="E7716" s="4" t="s">
        <v>3890</v>
      </c>
      <c r="F7716" s="4" t="n">
        <v>29</v>
      </c>
      <c r="G7716" s="4" t="n">
        <v>4</v>
      </c>
      <c r="H7716" s="4" t="n">
        <v>4</v>
      </c>
      <c r="I7716" s="4" t="str">
        <v>×</v>
      </c>
      <c r="J7716" s="4"/>
      <c r="K7716" s="4"/>
      <c r="L7716" s="4"/>
      <c r="M7716" s="5" t="s">
        <v>5346</v>
      </c>
    </row>
    <row r="7717" customFormat="false" ht="15.75" hidden="false" customHeight="false" outlineLevel="0" collapsed="false">
      <c r="A7717" s="6" t="n">
        <v>46165</v>
      </c>
      <c r="B7717" s="4" t="s">
        <v>5435</v>
      </c>
      <c r="C7717" s="4" t="n">
        <v>4</v>
      </c>
      <c r="D7717" s="4" t="n">
        <v>9</v>
      </c>
      <c r="E7717" s="4" t="s">
        <v>2586</v>
      </c>
      <c r="F7717" s="4" t="n">
        <v>4</v>
      </c>
      <c r="G7717" s="4" t="n">
        <v>10</v>
      </c>
      <c r="H7717" s="4" t="n">
        <v>4</v>
      </c>
      <c r="I7717" s="4" t="str">
        <v>×</v>
      </c>
      <c r="J7717" s="4"/>
      <c r="K7717" s="4"/>
      <c r="L7717" s="4"/>
      <c r="M7717" s="5" t="s">
        <v>5346</v>
      </c>
    </row>
    <row r="7718" customFormat="false" ht="15.75" hidden="false" customHeight="false" outlineLevel="0" collapsed="false">
      <c r="A7718" s="6" t="n">
        <v>46165</v>
      </c>
      <c r="B7718" s="4" t="s">
        <v>5435</v>
      </c>
      <c r="C7718" s="4" t="n">
        <v>4</v>
      </c>
      <c r="D7718" s="4" t="n">
        <v>10</v>
      </c>
      <c r="E7718" s="4" t="s">
        <v>5454</v>
      </c>
      <c r="F7718" s="4" t="n">
        <v>1</v>
      </c>
      <c r="G7718" s="4" t="n">
        <v>12</v>
      </c>
      <c r="H7718" s="4" t="n">
        <v>4</v>
      </c>
      <c r="I7718" s="4" t="str">
        <v>×</v>
      </c>
      <c r="J7718" s="4"/>
      <c r="K7718" s="4"/>
      <c r="L7718" s="4"/>
      <c r="M7718" s="5" t="s">
        <v>5346</v>
      </c>
    </row>
    <row r="7719" customFormat="false" ht="15.75" hidden="false" customHeight="false" outlineLevel="0" collapsed="false">
      <c r="A7719" s="6" t="n">
        <v>46165</v>
      </c>
      <c r="B7719" s="4" t="s">
        <v>5435</v>
      </c>
      <c r="C7719" s="4" t="n">
        <v>4</v>
      </c>
      <c r="D7719" s="4" t="n">
        <v>11</v>
      </c>
      <c r="E7719" s="4" t="s">
        <v>381</v>
      </c>
      <c r="F7719" s="4" t="n">
        <v>37</v>
      </c>
      <c r="G7719" s="4" t="n">
        <v>2</v>
      </c>
      <c r="H7719" s="4" t="n">
        <v>4</v>
      </c>
      <c r="I7719" s="4" t="str">
        <v>×</v>
      </c>
      <c r="J7719" s="4"/>
      <c r="K7719" s="4"/>
      <c r="L7719" s="4"/>
      <c r="M7719" s="5" t="s">
        <v>5346</v>
      </c>
    </row>
    <row r="7720" customFormat="false" ht="15.75" hidden="false" customHeight="false" outlineLevel="0" collapsed="false">
      <c r="A7720" s="6" t="n">
        <v>46165</v>
      </c>
      <c r="B7720" s="4" t="s">
        <v>5435</v>
      </c>
      <c r="C7720" s="4" t="n">
        <v>4</v>
      </c>
      <c r="D7720" s="4" t="n">
        <v>12</v>
      </c>
      <c r="E7720" s="4" t="s">
        <v>5238</v>
      </c>
      <c r="F7720" s="4" t="n">
        <v>4</v>
      </c>
      <c r="G7720" s="4" t="n">
        <v>10</v>
      </c>
      <c r="H7720" s="4" t="n">
        <v>4</v>
      </c>
      <c r="I7720" s="4" t="str">
        <v>×</v>
      </c>
      <c r="J7720" s="4"/>
      <c r="K7720" s="4"/>
      <c r="L7720" s="4"/>
      <c r="M7720" s="5" t="s">
        <v>5346</v>
      </c>
    </row>
    <row r="7721" customFormat="false" ht="15.75" hidden="false" customHeight="false" outlineLevel="0" collapsed="false">
      <c r="A7721" s="6" t="n">
        <v>46165</v>
      </c>
      <c r="B7721" s="4" t="s">
        <v>5435</v>
      </c>
      <c r="C7721" s="4" t="n">
        <v>4</v>
      </c>
      <c r="D7721" s="4" t="n">
        <v>13</v>
      </c>
      <c r="E7721" s="4" t="s">
        <v>4255</v>
      </c>
      <c r="F7721" s="4" t="n">
        <v>17</v>
      </c>
      <c r="G7721" s="4" t="n">
        <v>7</v>
      </c>
      <c r="H7721" s="4" t="n">
        <v>3</v>
      </c>
      <c r="I7721" s="4" t="str">
        <v>○</v>
      </c>
      <c r="J7721" s="4" t="n">
        <v>800</v>
      </c>
      <c r="K7721" s="4"/>
      <c r="L7721" s="4"/>
      <c r="M7721" s="5" t="s">
        <v>5346</v>
      </c>
    </row>
    <row r="7722" customFormat="false" ht="15.75" hidden="false" customHeight="false" outlineLevel="0" collapsed="false">
      <c r="A7722" s="6" t="n">
        <v>46165</v>
      </c>
      <c r="B7722" s="4" t="s">
        <v>5435</v>
      </c>
      <c r="C7722" s="4" t="n">
        <v>4</v>
      </c>
      <c r="D7722" s="4" t="n">
        <v>14</v>
      </c>
      <c r="E7722" s="4" t="s">
        <v>2047</v>
      </c>
      <c r="F7722" s="4" t="n">
        <v>25</v>
      </c>
      <c r="G7722" s="4" t="n">
        <v>5</v>
      </c>
      <c r="H7722" s="4" t="n">
        <v>4</v>
      </c>
      <c r="I7722" s="4" t="str">
        <v>×</v>
      </c>
      <c r="J7722" s="4"/>
      <c r="K7722" s="4"/>
      <c r="L7722" s="4"/>
      <c r="M7722" s="5" t="s">
        <v>5346</v>
      </c>
    </row>
    <row r="7723" customFormat="false" ht="15.75" hidden="false" customHeight="false" outlineLevel="0" collapsed="false">
      <c r="A7723" s="6" t="n">
        <v>46165</v>
      </c>
      <c r="B7723" s="4" t="s">
        <v>5435</v>
      </c>
      <c r="C7723" s="4" t="n">
        <v>4</v>
      </c>
      <c r="D7723" s="4" t="n">
        <v>15</v>
      </c>
      <c r="E7723" s="4" t="s">
        <v>275</v>
      </c>
      <c r="F7723" s="4" t="n">
        <v>34</v>
      </c>
      <c r="G7723" s="4" t="n">
        <v>3</v>
      </c>
      <c r="H7723" s="4" t="n">
        <v>4</v>
      </c>
      <c r="I7723" s="4" t="str">
        <v>×</v>
      </c>
      <c r="J7723" s="4"/>
      <c r="K7723" s="4"/>
      <c r="L7723" s="4"/>
      <c r="M7723" s="5" t="s">
        <v>5346</v>
      </c>
    </row>
    <row r="7724" customFormat="false" ht="15.75" hidden="false" customHeight="false" outlineLevel="0" collapsed="false">
      <c r="A7724" s="6" t="n">
        <v>46165</v>
      </c>
      <c r="B7724" s="4" t="s">
        <v>5435</v>
      </c>
      <c r="C7724" s="4" t="n">
        <v>4</v>
      </c>
      <c r="D7724" s="4" t="n">
        <v>16</v>
      </c>
      <c r="E7724" s="4" t="s">
        <v>5455</v>
      </c>
      <c r="F7724" s="4" t="n">
        <v>41</v>
      </c>
      <c r="G7724" s="4" t="n">
        <v>1</v>
      </c>
      <c r="H7724" s="4" t="n">
        <v>4</v>
      </c>
      <c r="I7724" s="4" t="str">
        <v>×</v>
      </c>
      <c r="J7724" s="4"/>
      <c r="K7724" s="4"/>
      <c r="L7724" s="4"/>
      <c r="M7724" s="5" t="s">
        <v>5346</v>
      </c>
    </row>
    <row r="7725" customFormat="false" ht="15.75" hidden="false" customHeight="false" outlineLevel="0" collapsed="false">
      <c r="A7725" s="6" t="n">
        <v>46165</v>
      </c>
      <c r="B7725" s="4" t="s">
        <v>5435</v>
      </c>
      <c r="C7725" s="4" t="n">
        <v>4</v>
      </c>
      <c r="D7725" s="4" t="n">
        <v>17</v>
      </c>
      <c r="E7725" s="4" t="s">
        <v>3278</v>
      </c>
      <c r="F7725" s="4" t="n">
        <v>3</v>
      </c>
      <c r="G7725" s="4" t="n">
        <v>11</v>
      </c>
      <c r="H7725" s="4" t="n">
        <v>4</v>
      </c>
      <c r="I7725" s="4" t="str">
        <v>×</v>
      </c>
      <c r="J7725" s="4"/>
      <c r="K7725" s="4"/>
      <c r="L7725" s="4"/>
      <c r="M7725" s="5" t="s">
        <v>5346</v>
      </c>
    </row>
    <row r="7726" customFormat="false" ht="15.75" hidden="false" customHeight="false" outlineLevel="0" collapsed="false">
      <c r="A7726" s="6" t="n">
        <v>46165</v>
      </c>
      <c r="B7726" s="4" t="s">
        <v>5435</v>
      </c>
      <c r="C7726" s="4" t="n">
        <v>5</v>
      </c>
      <c r="D7726" s="4" t="n">
        <v>1</v>
      </c>
      <c r="E7726" s="4" t="s">
        <v>5012</v>
      </c>
      <c r="F7726" s="4" t="n">
        <v>50</v>
      </c>
      <c r="G7726" s="4" t="n">
        <v>1</v>
      </c>
      <c r="H7726" s="4" t="n">
        <v>4</v>
      </c>
      <c r="I7726" s="4" t="str">
        <v>×</v>
      </c>
      <c r="J7726" s="4"/>
      <c r="K7726" s="4"/>
      <c r="L7726" s="4"/>
      <c r="M7726" s="5" t="s">
        <v>5346</v>
      </c>
    </row>
    <row r="7727" customFormat="false" ht="15.75" hidden="false" customHeight="false" outlineLevel="0" collapsed="false">
      <c r="A7727" s="6" t="n">
        <v>46165</v>
      </c>
      <c r="B7727" s="4" t="s">
        <v>5435</v>
      </c>
      <c r="C7727" s="4" t="n">
        <v>5</v>
      </c>
      <c r="D7727" s="4" t="n">
        <v>2</v>
      </c>
      <c r="E7727" s="4" t="s">
        <v>3139</v>
      </c>
      <c r="F7727" s="4" t="n">
        <v>13</v>
      </c>
      <c r="G7727" s="4" t="n">
        <v>7</v>
      </c>
      <c r="H7727" s="4" t="n">
        <v>4</v>
      </c>
      <c r="I7727" s="4" t="str">
        <v>×</v>
      </c>
      <c r="J7727" s="4"/>
      <c r="K7727" s="4"/>
      <c r="L7727" s="4"/>
      <c r="M7727" s="5" t="s">
        <v>5346</v>
      </c>
    </row>
    <row r="7728" customFormat="false" ht="15.75" hidden="false" customHeight="false" outlineLevel="0" collapsed="false">
      <c r="A7728" s="6" t="n">
        <v>46165</v>
      </c>
      <c r="B7728" s="4" t="s">
        <v>5435</v>
      </c>
      <c r="C7728" s="4" t="n">
        <v>5</v>
      </c>
      <c r="D7728" s="4" t="n">
        <v>3</v>
      </c>
      <c r="E7728" s="4" t="s">
        <v>2469</v>
      </c>
      <c r="F7728" s="4" t="n">
        <v>10</v>
      </c>
      <c r="G7728" s="4" t="n">
        <v>8</v>
      </c>
      <c r="H7728" s="4" t="n">
        <v>4</v>
      </c>
      <c r="I7728" s="4" t="str">
        <v>×</v>
      </c>
      <c r="J7728" s="4"/>
      <c r="K7728" s="4"/>
      <c r="L7728" s="4"/>
      <c r="M7728" s="5" t="s">
        <v>5346</v>
      </c>
    </row>
    <row r="7729" customFormat="false" ht="15.75" hidden="false" customHeight="false" outlineLevel="0" collapsed="false">
      <c r="A7729" s="6" t="n">
        <v>46165</v>
      </c>
      <c r="B7729" s="4" t="s">
        <v>5435</v>
      </c>
      <c r="C7729" s="4" t="n">
        <v>5</v>
      </c>
      <c r="D7729" s="4" t="n">
        <v>4</v>
      </c>
      <c r="E7729" s="4" t="s">
        <v>653</v>
      </c>
      <c r="F7729" s="4" t="n">
        <v>44</v>
      </c>
      <c r="G7729" s="4" t="n">
        <v>2</v>
      </c>
      <c r="H7729" s="4" t="n">
        <v>4</v>
      </c>
      <c r="I7729" s="4" t="str">
        <v>×</v>
      </c>
      <c r="J7729" s="4"/>
      <c r="K7729" s="4"/>
      <c r="L7729" s="4"/>
      <c r="M7729" s="5" t="s">
        <v>5346</v>
      </c>
    </row>
    <row r="7730" customFormat="false" ht="15.75" hidden="false" customHeight="false" outlineLevel="0" collapsed="false">
      <c r="A7730" s="6" t="n">
        <v>46165</v>
      </c>
      <c r="B7730" s="4" t="s">
        <v>5435</v>
      </c>
      <c r="C7730" s="4" t="n">
        <v>5</v>
      </c>
      <c r="D7730" s="4" t="n">
        <v>5</v>
      </c>
      <c r="E7730" s="4" t="s">
        <v>2590</v>
      </c>
      <c r="F7730" s="4" t="n">
        <v>3</v>
      </c>
      <c r="G7730" s="4" t="n">
        <v>11</v>
      </c>
      <c r="H7730" s="4" t="n">
        <v>4</v>
      </c>
      <c r="I7730" s="4" t="str">
        <v>×</v>
      </c>
      <c r="J7730" s="4"/>
      <c r="K7730" s="4"/>
      <c r="L7730" s="4"/>
      <c r="M7730" s="5" t="s">
        <v>5346</v>
      </c>
    </row>
    <row r="7731" customFormat="false" ht="15.75" hidden="false" customHeight="false" outlineLevel="0" collapsed="false">
      <c r="A7731" s="6" t="n">
        <v>46165</v>
      </c>
      <c r="B7731" s="4" t="s">
        <v>5435</v>
      </c>
      <c r="C7731" s="4" t="n">
        <v>5</v>
      </c>
      <c r="D7731" s="4" t="n">
        <v>6</v>
      </c>
      <c r="E7731" s="4" t="s">
        <v>233</v>
      </c>
      <c r="F7731" s="4" t="n">
        <v>34</v>
      </c>
      <c r="G7731" s="4" t="n">
        <v>5</v>
      </c>
      <c r="H7731" s="4" t="n">
        <v>2</v>
      </c>
      <c r="I7731" s="4" t="str">
        <v>○</v>
      </c>
      <c r="J7731" s="4" t="n">
        <v>150</v>
      </c>
      <c r="K7731" s="4"/>
      <c r="L7731" s="4"/>
      <c r="M7731" s="5" t="s">
        <v>5346</v>
      </c>
    </row>
    <row r="7732" customFormat="false" ht="15.75" hidden="false" customHeight="false" outlineLevel="0" collapsed="false">
      <c r="A7732" s="6" t="n">
        <v>46165</v>
      </c>
      <c r="B7732" s="4" t="s">
        <v>5435</v>
      </c>
      <c r="C7732" s="4" t="n">
        <v>5</v>
      </c>
      <c r="D7732" s="4" t="n">
        <v>7</v>
      </c>
      <c r="E7732" s="4" t="s">
        <v>2042</v>
      </c>
      <c r="F7732" s="4" t="n">
        <v>3</v>
      </c>
      <c r="G7732" s="4" t="n">
        <v>11</v>
      </c>
      <c r="H7732" s="4" t="n">
        <v>4</v>
      </c>
      <c r="I7732" s="4" t="str">
        <v>×</v>
      </c>
      <c r="J7732" s="4"/>
      <c r="K7732" s="4"/>
      <c r="L7732" s="4"/>
      <c r="M7732" s="5" t="s">
        <v>5346</v>
      </c>
    </row>
    <row r="7733" customFormat="false" ht="15.75" hidden="false" customHeight="false" outlineLevel="0" collapsed="false">
      <c r="A7733" s="6" t="n">
        <v>46165</v>
      </c>
      <c r="B7733" s="4" t="s">
        <v>5435</v>
      </c>
      <c r="C7733" s="4" t="n">
        <v>5</v>
      </c>
      <c r="D7733" s="4" t="n">
        <v>8</v>
      </c>
      <c r="E7733" s="4" t="s">
        <v>5456</v>
      </c>
      <c r="F7733" s="4" t="n">
        <v>39</v>
      </c>
      <c r="G7733" s="4" t="n">
        <v>4</v>
      </c>
      <c r="H7733" s="4" t="n">
        <v>4</v>
      </c>
      <c r="I7733" s="4" t="str">
        <v>×</v>
      </c>
      <c r="J7733" s="4"/>
      <c r="K7733" s="4"/>
      <c r="L7733" s="4"/>
      <c r="M7733" s="5" t="s">
        <v>5346</v>
      </c>
    </row>
    <row r="7734" customFormat="false" ht="15.75" hidden="false" customHeight="false" outlineLevel="0" collapsed="false">
      <c r="A7734" s="6" t="n">
        <v>46165</v>
      </c>
      <c r="B7734" s="4" t="s">
        <v>5435</v>
      </c>
      <c r="C7734" s="4" t="n">
        <v>5</v>
      </c>
      <c r="D7734" s="4" t="n">
        <v>9</v>
      </c>
      <c r="E7734" s="4" t="s">
        <v>3602</v>
      </c>
      <c r="F7734" s="4" t="n">
        <v>13</v>
      </c>
      <c r="G7734" s="4" t="n">
        <v>7</v>
      </c>
      <c r="H7734" s="4" t="n">
        <v>4</v>
      </c>
      <c r="I7734" s="4" t="str">
        <v>×</v>
      </c>
      <c r="J7734" s="4"/>
      <c r="K7734" s="4"/>
      <c r="L7734" s="4"/>
      <c r="M7734" s="5" t="s">
        <v>5346</v>
      </c>
    </row>
    <row r="7735" customFormat="false" ht="15.75" hidden="false" customHeight="false" outlineLevel="0" collapsed="false">
      <c r="A7735" s="6" t="n">
        <v>46165</v>
      </c>
      <c r="B7735" s="4" t="s">
        <v>5435</v>
      </c>
      <c r="C7735" s="4" t="n">
        <v>5</v>
      </c>
      <c r="D7735" s="4" t="n">
        <v>10</v>
      </c>
      <c r="E7735" s="4" t="s">
        <v>5457</v>
      </c>
      <c r="F7735" s="4" t="n">
        <v>13</v>
      </c>
      <c r="G7735" s="4" t="n">
        <v>7</v>
      </c>
      <c r="H7735" s="4" t="n">
        <v>1</v>
      </c>
      <c r="I7735" s="4" t="str">
        <v>○</v>
      </c>
      <c r="J7735" s="4" t="n">
        <v>410</v>
      </c>
      <c r="K7735" s="4"/>
      <c r="L7735" s="4"/>
      <c r="M7735" s="5" t="s">
        <v>5346</v>
      </c>
    </row>
    <row r="7736" customFormat="false" ht="15.75" hidden="false" customHeight="false" outlineLevel="0" collapsed="false">
      <c r="A7736" s="6" t="n">
        <v>46165</v>
      </c>
      <c r="B7736" s="4" t="s">
        <v>5435</v>
      </c>
      <c r="C7736" s="4" t="n">
        <v>5</v>
      </c>
      <c r="D7736" s="4" t="n">
        <v>11</v>
      </c>
      <c r="E7736" s="4" t="s">
        <v>5458</v>
      </c>
      <c r="F7736" s="4" t="n">
        <v>41</v>
      </c>
      <c r="G7736" s="4" t="n">
        <v>3</v>
      </c>
      <c r="H7736" s="4" t="n">
        <v>4</v>
      </c>
      <c r="I7736" s="4" t="str">
        <v>×</v>
      </c>
      <c r="J7736" s="4"/>
      <c r="K7736" s="4"/>
      <c r="L7736" s="4"/>
      <c r="M7736" s="5" t="s">
        <v>5346</v>
      </c>
    </row>
    <row r="7737" customFormat="false" ht="15.75" hidden="false" customHeight="false" outlineLevel="0" collapsed="false">
      <c r="A7737" s="6" t="n">
        <v>46165</v>
      </c>
      <c r="B7737" s="4" t="s">
        <v>5435</v>
      </c>
      <c r="C7737" s="4" t="n">
        <v>5</v>
      </c>
      <c r="D7737" s="4" t="n">
        <v>12</v>
      </c>
      <c r="E7737" s="4" t="s">
        <v>2827</v>
      </c>
      <c r="F7737" s="4" t="n">
        <v>4</v>
      </c>
      <c r="G7737" s="4" t="n">
        <v>10</v>
      </c>
      <c r="H7737" s="4" t="n">
        <v>4</v>
      </c>
      <c r="I7737" s="4" t="str">
        <v>×</v>
      </c>
      <c r="J7737" s="4"/>
      <c r="K7737" s="4"/>
      <c r="L7737" s="4"/>
      <c r="M7737" s="5" t="s">
        <v>5346</v>
      </c>
    </row>
    <row r="7738" customFormat="false" ht="15.75" hidden="false" customHeight="false" outlineLevel="0" collapsed="false">
      <c r="A7738" s="6" t="n">
        <v>46165</v>
      </c>
      <c r="B7738" s="4" t="s">
        <v>5435</v>
      </c>
      <c r="C7738" s="4" t="n">
        <v>5</v>
      </c>
      <c r="D7738" s="4" t="n">
        <v>13</v>
      </c>
      <c r="E7738" s="4" t="s">
        <v>5459</v>
      </c>
      <c r="F7738" s="4" t="n">
        <v>17</v>
      </c>
      <c r="G7738" s="4" t="n">
        <v>6</v>
      </c>
      <c r="H7738" s="4" t="n">
        <v>4</v>
      </c>
      <c r="I7738" s="4" t="str">
        <v>×</v>
      </c>
      <c r="J7738" s="4"/>
      <c r="K7738" s="4"/>
      <c r="L7738" s="4"/>
      <c r="M7738" s="5" t="s">
        <v>5346</v>
      </c>
    </row>
    <row r="7739" customFormat="false" ht="15.75" hidden="false" customHeight="false" outlineLevel="0" collapsed="false">
      <c r="A7739" s="6" t="n">
        <v>46165</v>
      </c>
      <c r="B7739" s="4" t="s">
        <v>5435</v>
      </c>
      <c r="C7739" s="4" t="n">
        <v>5</v>
      </c>
      <c r="D7739" s="4" t="n">
        <v>14</v>
      </c>
      <c r="E7739" s="4" t="s">
        <v>1612</v>
      </c>
      <c r="F7739" s="4" t="n">
        <v>8</v>
      </c>
      <c r="G7739" s="4" t="n">
        <v>9</v>
      </c>
      <c r="H7739" s="4" t="n">
        <v>3</v>
      </c>
      <c r="I7739" s="4" t="str">
        <v>○</v>
      </c>
      <c r="J7739" s="4" t="n">
        <v>680</v>
      </c>
      <c r="K7739" s="4"/>
      <c r="L7739" s="4"/>
      <c r="M7739" s="5" t="s">
        <v>5346</v>
      </c>
    </row>
    <row r="7740" customFormat="false" ht="15.75" hidden="false" customHeight="false" outlineLevel="0" collapsed="false">
      <c r="A7740" s="6" t="n">
        <v>46165</v>
      </c>
      <c r="B7740" s="4" t="s">
        <v>5435</v>
      </c>
      <c r="C7740" s="4" t="n">
        <v>6</v>
      </c>
      <c r="D7740" s="4" t="n">
        <v>1</v>
      </c>
      <c r="E7740" s="4" t="s">
        <v>5460</v>
      </c>
      <c r="F7740" s="4" t="n">
        <v>31</v>
      </c>
      <c r="G7740" s="4" t="n">
        <v>3</v>
      </c>
      <c r="H7740" s="4" t="n">
        <v>4</v>
      </c>
      <c r="I7740" s="4" t="str">
        <v>×</v>
      </c>
      <c r="J7740" s="4"/>
      <c r="K7740" s="4"/>
      <c r="L7740" s="4"/>
      <c r="M7740" s="5" t="s">
        <v>5346</v>
      </c>
    </row>
    <row r="7741" customFormat="false" ht="15.75" hidden="false" customHeight="false" outlineLevel="0" collapsed="false">
      <c r="A7741" s="6" t="n">
        <v>46165</v>
      </c>
      <c r="B7741" s="4" t="s">
        <v>5435</v>
      </c>
      <c r="C7741" s="4" t="n">
        <v>6</v>
      </c>
      <c r="D7741" s="4" t="n">
        <v>2</v>
      </c>
      <c r="E7741" s="4" t="s">
        <v>5461</v>
      </c>
      <c r="F7741" s="4" t="n">
        <v>15</v>
      </c>
      <c r="G7741" s="4" t="n">
        <v>8</v>
      </c>
      <c r="H7741" s="4" t="n">
        <v>4</v>
      </c>
      <c r="I7741" s="4" t="str">
        <v>×</v>
      </c>
      <c r="J7741" s="4"/>
      <c r="K7741" s="4"/>
      <c r="L7741" s="4"/>
      <c r="M7741" s="5" t="s">
        <v>5346</v>
      </c>
    </row>
    <row r="7742" customFormat="false" ht="15.75" hidden="false" customHeight="false" outlineLevel="0" collapsed="false">
      <c r="A7742" s="6" t="n">
        <v>46165</v>
      </c>
      <c r="B7742" s="4" t="s">
        <v>5435</v>
      </c>
      <c r="C7742" s="4" t="n">
        <v>6</v>
      </c>
      <c r="D7742" s="4" t="n">
        <v>3</v>
      </c>
      <c r="E7742" s="4" t="s">
        <v>5462</v>
      </c>
      <c r="F7742" s="4" t="n">
        <v>23</v>
      </c>
      <c r="G7742" s="4" t="n">
        <v>6</v>
      </c>
      <c r="H7742" s="4" t="n">
        <v>4</v>
      </c>
      <c r="I7742" s="4" t="str">
        <v>×</v>
      </c>
      <c r="J7742" s="4"/>
      <c r="K7742" s="4"/>
      <c r="L7742" s="4"/>
      <c r="M7742" s="5" t="s">
        <v>5346</v>
      </c>
    </row>
    <row r="7743" customFormat="false" ht="15.75" hidden="false" customHeight="false" outlineLevel="0" collapsed="false">
      <c r="A7743" s="6" t="n">
        <v>46165</v>
      </c>
      <c r="B7743" s="4" t="s">
        <v>5435</v>
      </c>
      <c r="C7743" s="4" t="n">
        <v>6</v>
      </c>
      <c r="D7743" s="4" t="n">
        <v>4</v>
      </c>
      <c r="E7743" s="4" t="s">
        <v>4661</v>
      </c>
      <c r="F7743" s="4" t="n">
        <v>25</v>
      </c>
      <c r="G7743" s="4" t="n">
        <v>5</v>
      </c>
      <c r="H7743" s="4" t="n">
        <v>4</v>
      </c>
      <c r="I7743" s="4" t="str">
        <v>×</v>
      </c>
      <c r="J7743" s="4"/>
      <c r="K7743" s="4"/>
      <c r="L7743" s="4"/>
      <c r="M7743" s="5" t="s">
        <v>5346</v>
      </c>
    </row>
    <row r="7744" customFormat="false" ht="15.75" hidden="false" customHeight="false" outlineLevel="0" collapsed="false">
      <c r="A7744" s="6" t="n">
        <v>46165</v>
      </c>
      <c r="B7744" s="4" t="s">
        <v>5435</v>
      </c>
      <c r="C7744" s="4" t="n">
        <v>6</v>
      </c>
      <c r="D7744" s="4" t="n">
        <v>5</v>
      </c>
      <c r="E7744" s="4" t="s">
        <v>5463</v>
      </c>
      <c r="F7744" s="4" t="n">
        <v>4</v>
      </c>
      <c r="G7744" s="4" t="n">
        <v>12</v>
      </c>
      <c r="H7744" s="4" t="n">
        <v>4</v>
      </c>
      <c r="I7744" s="4" t="str">
        <v>×</v>
      </c>
      <c r="J7744" s="4"/>
      <c r="K7744" s="4"/>
      <c r="L7744" s="4"/>
      <c r="M7744" s="5" t="s">
        <v>5346</v>
      </c>
    </row>
    <row r="7745" customFormat="false" ht="15.75" hidden="false" customHeight="false" outlineLevel="0" collapsed="false">
      <c r="A7745" s="6" t="n">
        <v>46165</v>
      </c>
      <c r="B7745" s="4" t="s">
        <v>5435</v>
      </c>
      <c r="C7745" s="4" t="n">
        <v>6</v>
      </c>
      <c r="D7745" s="4" t="n">
        <v>6</v>
      </c>
      <c r="E7745" s="4" t="s">
        <v>1234</v>
      </c>
      <c r="F7745" s="4" t="n">
        <v>13</v>
      </c>
      <c r="G7745" s="4" t="n">
        <v>9</v>
      </c>
      <c r="H7745" s="4" t="n">
        <v>4</v>
      </c>
      <c r="I7745" s="4" t="str">
        <v>×</v>
      </c>
      <c r="J7745" s="4"/>
      <c r="K7745" s="4"/>
      <c r="L7745" s="4"/>
      <c r="M7745" s="5" t="s">
        <v>5346</v>
      </c>
    </row>
    <row r="7746" customFormat="false" ht="15.75" hidden="false" customHeight="false" outlineLevel="0" collapsed="false">
      <c r="A7746" s="6" t="n">
        <v>46165</v>
      </c>
      <c r="B7746" s="4" t="s">
        <v>5435</v>
      </c>
      <c r="C7746" s="4" t="n">
        <v>6</v>
      </c>
      <c r="D7746" s="4" t="n">
        <v>7</v>
      </c>
      <c r="E7746" s="4" t="s">
        <v>540</v>
      </c>
      <c r="F7746" s="4" t="n">
        <v>31</v>
      </c>
      <c r="G7746" s="4" t="n">
        <v>3</v>
      </c>
      <c r="H7746" s="4" t="n">
        <v>1</v>
      </c>
      <c r="I7746" s="4" t="str">
        <v>○</v>
      </c>
      <c r="J7746" s="4" t="n">
        <v>370</v>
      </c>
      <c r="K7746" s="4"/>
      <c r="L7746" s="4"/>
      <c r="M7746" s="5" t="s">
        <v>5346</v>
      </c>
    </row>
    <row r="7747" customFormat="false" ht="15.75" hidden="false" customHeight="false" outlineLevel="0" collapsed="false">
      <c r="A7747" s="6" t="n">
        <v>46165</v>
      </c>
      <c r="B7747" s="4" t="s">
        <v>5435</v>
      </c>
      <c r="C7747" s="4" t="n">
        <v>6</v>
      </c>
      <c r="D7747" s="4" t="n">
        <v>8</v>
      </c>
      <c r="E7747" s="4" t="s">
        <v>2276</v>
      </c>
      <c r="F7747" s="4" t="n">
        <v>23</v>
      </c>
      <c r="G7747" s="4" t="n">
        <v>6</v>
      </c>
      <c r="H7747" s="4" t="n">
        <v>4</v>
      </c>
      <c r="I7747" s="4" t="str">
        <v>×</v>
      </c>
      <c r="J7747" s="4"/>
      <c r="K7747" s="4"/>
      <c r="L7747" s="4"/>
      <c r="M7747" s="5" t="s">
        <v>5346</v>
      </c>
    </row>
    <row r="7748" customFormat="false" ht="15.75" hidden="false" customHeight="false" outlineLevel="0" collapsed="false">
      <c r="A7748" s="6" t="n">
        <v>46165</v>
      </c>
      <c r="B7748" s="4" t="s">
        <v>5435</v>
      </c>
      <c r="C7748" s="4" t="n">
        <v>6</v>
      </c>
      <c r="D7748" s="4" t="n">
        <v>9</v>
      </c>
      <c r="E7748" s="4" t="s">
        <v>4146</v>
      </c>
      <c r="F7748" s="4" t="n">
        <v>13</v>
      </c>
      <c r="G7748" s="4" t="n">
        <v>9</v>
      </c>
      <c r="H7748" s="4" t="n">
        <v>4</v>
      </c>
      <c r="I7748" s="4" t="str">
        <v>×</v>
      </c>
      <c r="J7748" s="4"/>
      <c r="K7748" s="4"/>
      <c r="L7748" s="4"/>
      <c r="M7748" s="5" t="s">
        <v>5346</v>
      </c>
    </row>
    <row r="7749" customFormat="false" ht="15.75" hidden="false" customHeight="false" outlineLevel="0" collapsed="false">
      <c r="A7749" s="6" t="n">
        <v>46165</v>
      </c>
      <c r="B7749" s="4" t="s">
        <v>5435</v>
      </c>
      <c r="C7749" s="4" t="n">
        <v>6</v>
      </c>
      <c r="D7749" s="4" t="n">
        <v>10</v>
      </c>
      <c r="E7749" s="4" t="s">
        <v>753</v>
      </c>
      <c r="F7749" s="4" t="n">
        <v>29</v>
      </c>
      <c r="G7749" s="4" t="n">
        <v>4</v>
      </c>
      <c r="H7749" s="4" t="n">
        <v>4</v>
      </c>
      <c r="I7749" s="4" t="str">
        <v>×</v>
      </c>
      <c r="J7749" s="4"/>
      <c r="K7749" s="4"/>
      <c r="L7749" s="4"/>
      <c r="M7749" s="5" t="s">
        <v>5346</v>
      </c>
    </row>
    <row r="7750" customFormat="false" ht="15.75" hidden="false" customHeight="false" outlineLevel="0" collapsed="false">
      <c r="A7750" s="6" t="n">
        <v>46165</v>
      </c>
      <c r="B7750" s="4" t="s">
        <v>5435</v>
      </c>
      <c r="C7750" s="4" t="n">
        <v>6</v>
      </c>
      <c r="D7750" s="4" t="n">
        <v>11</v>
      </c>
      <c r="E7750" s="4" t="s">
        <v>5464</v>
      </c>
      <c r="F7750" s="4" t="n">
        <v>17</v>
      </c>
      <c r="G7750" s="4" t="n">
        <v>7</v>
      </c>
      <c r="H7750" s="4" t="n">
        <v>2</v>
      </c>
      <c r="I7750" s="4" t="str">
        <v>○</v>
      </c>
      <c r="J7750" s="4" t="n">
        <v>400</v>
      </c>
      <c r="K7750" s="4"/>
      <c r="L7750" s="4"/>
      <c r="M7750" s="5" t="s">
        <v>5346</v>
      </c>
    </row>
    <row r="7751" customFormat="false" ht="15.75" hidden="false" customHeight="false" outlineLevel="0" collapsed="false">
      <c r="A7751" s="6" t="n">
        <v>46165</v>
      </c>
      <c r="B7751" s="4" t="s">
        <v>5435</v>
      </c>
      <c r="C7751" s="4" t="n">
        <v>6</v>
      </c>
      <c r="D7751" s="4" t="n">
        <v>12</v>
      </c>
      <c r="E7751" s="4" t="s">
        <v>749</v>
      </c>
      <c r="F7751" s="4" t="n">
        <v>39</v>
      </c>
      <c r="G7751" s="4" t="n">
        <v>2</v>
      </c>
      <c r="H7751" s="4" t="n">
        <v>4</v>
      </c>
      <c r="I7751" s="4" t="str">
        <v>×</v>
      </c>
      <c r="J7751" s="4"/>
      <c r="K7751" s="4"/>
      <c r="L7751" s="4"/>
      <c r="M7751" s="5" t="s">
        <v>5346</v>
      </c>
    </row>
    <row r="7752" customFormat="false" ht="15.75" hidden="false" customHeight="false" outlineLevel="0" collapsed="false">
      <c r="A7752" s="6" t="n">
        <v>46165</v>
      </c>
      <c r="B7752" s="4" t="s">
        <v>5435</v>
      </c>
      <c r="C7752" s="4" t="n">
        <v>6</v>
      </c>
      <c r="D7752" s="4" t="n">
        <v>13</v>
      </c>
      <c r="E7752" s="4" t="s">
        <v>2543</v>
      </c>
      <c r="F7752" s="4" t="n">
        <v>6</v>
      </c>
      <c r="G7752" s="4" t="n">
        <v>11</v>
      </c>
      <c r="H7752" s="4" t="n">
        <v>4</v>
      </c>
      <c r="I7752" s="4" t="str">
        <v>×</v>
      </c>
      <c r="J7752" s="4"/>
      <c r="K7752" s="4"/>
      <c r="L7752" s="4"/>
      <c r="M7752" s="5" t="s">
        <v>5346</v>
      </c>
    </row>
    <row r="7753" customFormat="false" ht="15.75" hidden="false" customHeight="false" outlineLevel="0" collapsed="false">
      <c r="A7753" s="6" t="n">
        <v>46165</v>
      </c>
      <c r="B7753" s="4" t="s">
        <v>5435</v>
      </c>
      <c r="C7753" s="4" t="n">
        <v>6</v>
      </c>
      <c r="D7753" s="4" t="n">
        <v>14</v>
      </c>
      <c r="E7753" s="4" t="s">
        <v>5465</v>
      </c>
      <c r="F7753" s="4" t="n">
        <v>8</v>
      </c>
      <c r="G7753" s="4" t="n">
        <v>10</v>
      </c>
      <c r="H7753" s="4" t="n">
        <v>4</v>
      </c>
      <c r="I7753" s="4" t="str">
        <v>×</v>
      </c>
      <c r="J7753" s="4"/>
      <c r="K7753" s="4"/>
      <c r="L7753" s="4"/>
      <c r="M7753" s="5" t="s">
        <v>5346</v>
      </c>
    </row>
    <row r="7754" customFormat="false" ht="15.75" hidden="false" customHeight="false" outlineLevel="0" collapsed="false">
      <c r="A7754" s="6" t="n">
        <v>46165</v>
      </c>
      <c r="B7754" s="4" t="s">
        <v>5435</v>
      </c>
      <c r="C7754" s="4" t="n">
        <v>6</v>
      </c>
      <c r="D7754" s="4" t="n">
        <v>15</v>
      </c>
      <c r="E7754" s="4" t="s">
        <v>5466</v>
      </c>
      <c r="F7754" s="4" t="n">
        <v>44</v>
      </c>
      <c r="G7754" s="4" t="n">
        <v>1</v>
      </c>
      <c r="H7754" s="4" t="n">
        <v>3</v>
      </c>
      <c r="I7754" s="4" t="str">
        <v>○</v>
      </c>
      <c r="J7754" s="4" t="n">
        <v>180</v>
      </c>
      <c r="K7754" s="4"/>
      <c r="L7754" s="4"/>
      <c r="M7754" s="5" t="s">
        <v>5346</v>
      </c>
    </row>
    <row r="7755" customFormat="false" ht="15.75" hidden="false" customHeight="false" outlineLevel="0" collapsed="false">
      <c r="A7755" s="6" t="n">
        <v>46165</v>
      </c>
      <c r="B7755" s="4" t="s">
        <v>5435</v>
      </c>
      <c r="C7755" s="4" t="n">
        <v>6</v>
      </c>
      <c r="D7755" s="4" t="n">
        <v>16</v>
      </c>
      <c r="E7755" s="4" t="s">
        <v>5467</v>
      </c>
      <c r="F7755" s="4" t="n">
        <v>4</v>
      </c>
      <c r="G7755" s="4" t="n">
        <v>12</v>
      </c>
      <c r="H7755" s="4" t="n">
        <v>4</v>
      </c>
      <c r="I7755" s="4" t="str">
        <v>×</v>
      </c>
      <c r="J7755" s="4"/>
      <c r="K7755" s="4"/>
      <c r="L7755" s="4"/>
      <c r="M7755" s="5" t="s">
        <v>5346</v>
      </c>
    </row>
    <row r="7756" customFormat="false" ht="15.75" hidden="false" customHeight="false" outlineLevel="0" collapsed="false">
      <c r="A7756" s="6" t="n">
        <v>46165</v>
      </c>
      <c r="B7756" s="4" t="s">
        <v>5435</v>
      </c>
      <c r="C7756" s="4" t="n">
        <v>7</v>
      </c>
      <c r="D7756" s="4" t="n">
        <v>1</v>
      </c>
      <c r="E7756" s="4" t="s">
        <v>762</v>
      </c>
      <c r="F7756" s="4" t="n">
        <v>37</v>
      </c>
      <c r="G7756" s="4" t="n">
        <v>3</v>
      </c>
      <c r="H7756" s="4" t="n">
        <v>4</v>
      </c>
      <c r="I7756" s="4" t="str">
        <v>×</v>
      </c>
      <c r="J7756" s="4"/>
      <c r="K7756" s="4"/>
      <c r="L7756" s="4"/>
      <c r="M7756" s="5" t="s">
        <v>5346</v>
      </c>
    </row>
    <row r="7757" customFormat="false" ht="15.75" hidden="false" customHeight="false" outlineLevel="0" collapsed="false">
      <c r="A7757" s="6" t="n">
        <v>46165</v>
      </c>
      <c r="B7757" s="4" t="s">
        <v>5435</v>
      </c>
      <c r="C7757" s="4" t="n">
        <v>7</v>
      </c>
      <c r="D7757" s="4" t="n">
        <v>2</v>
      </c>
      <c r="E7757" s="4" t="s">
        <v>5468</v>
      </c>
      <c r="F7757" s="4" t="n">
        <v>10</v>
      </c>
      <c r="G7757" s="4" t="n">
        <v>7</v>
      </c>
      <c r="H7757" s="4" t="n">
        <v>4</v>
      </c>
      <c r="I7757" s="4" t="str">
        <v>×</v>
      </c>
      <c r="J7757" s="4"/>
      <c r="K7757" s="4"/>
      <c r="L7757" s="4"/>
      <c r="M7757" s="5" t="s">
        <v>5346</v>
      </c>
    </row>
    <row r="7758" customFormat="false" ht="15.75" hidden="false" customHeight="false" outlineLevel="0" collapsed="false">
      <c r="A7758" s="6" t="n">
        <v>46165</v>
      </c>
      <c r="B7758" s="4" t="s">
        <v>5435</v>
      </c>
      <c r="C7758" s="4" t="n">
        <v>7</v>
      </c>
      <c r="D7758" s="4" t="n">
        <v>3</v>
      </c>
      <c r="E7758" s="4" t="s">
        <v>3647</v>
      </c>
      <c r="F7758" s="4" t="n">
        <v>39</v>
      </c>
      <c r="G7758" s="4" t="n">
        <v>2</v>
      </c>
      <c r="H7758" s="4" t="n">
        <v>1</v>
      </c>
      <c r="I7758" s="4" t="str">
        <v>○</v>
      </c>
      <c r="J7758" s="4" t="n">
        <v>220</v>
      </c>
      <c r="K7758" s="4"/>
      <c r="L7758" s="4"/>
      <c r="M7758" s="5" t="s">
        <v>5346</v>
      </c>
    </row>
    <row r="7759" customFormat="false" ht="15.75" hidden="false" customHeight="false" outlineLevel="0" collapsed="false">
      <c r="A7759" s="6" t="n">
        <v>46165</v>
      </c>
      <c r="B7759" s="4" t="s">
        <v>5435</v>
      </c>
      <c r="C7759" s="4" t="n">
        <v>7</v>
      </c>
      <c r="D7759" s="4" t="n">
        <v>4</v>
      </c>
      <c r="E7759" s="4" t="s">
        <v>5469</v>
      </c>
      <c r="F7759" s="4" t="n">
        <v>2</v>
      </c>
      <c r="G7759" s="4" t="n">
        <v>11</v>
      </c>
      <c r="H7759" s="4" t="n">
        <v>4</v>
      </c>
      <c r="I7759" s="4" t="str">
        <v>×</v>
      </c>
      <c r="J7759" s="4"/>
      <c r="K7759" s="4"/>
      <c r="L7759" s="4"/>
      <c r="M7759" s="5" t="s">
        <v>5346</v>
      </c>
    </row>
    <row r="7760" customFormat="false" ht="15.75" hidden="false" customHeight="false" outlineLevel="0" collapsed="false">
      <c r="A7760" s="6" t="n">
        <v>46165</v>
      </c>
      <c r="B7760" s="4" t="s">
        <v>5435</v>
      </c>
      <c r="C7760" s="4" t="n">
        <v>7</v>
      </c>
      <c r="D7760" s="4" t="n">
        <v>5</v>
      </c>
      <c r="E7760" s="4" t="s">
        <v>5470</v>
      </c>
      <c r="F7760" s="4" t="n">
        <v>44</v>
      </c>
      <c r="G7760" s="4" t="n">
        <v>1</v>
      </c>
      <c r="H7760" s="4" t="n">
        <v>2</v>
      </c>
      <c r="I7760" s="4" t="str">
        <v>○</v>
      </c>
      <c r="J7760" s="4" t="n">
        <v>140</v>
      </c>
      <c r="K7760" s="4"/>
      <c r="L7760" s="4"/>
      <c r="M7760" s="5" t="s">
        <v>5346</v>
      </c>
    </row>
    <row r="7761" customFormat="false" ht="15.75" hidden="false" customHeight="false" outlineLevel="0" collapsed="false">
      <c r="A7761" s="6" t="n">
        <v>46165</v>
      </c>
      <c r="B7761" s="4" t="s">
        <v>5435</v>
      </c>
      <c r="C7761" s="4" t="n">
        <v>7</v>
      </c>
      <c r="D7761" s="4" t="n">
        <v>6</v>
      </c>
      <c r="E7761" s="4" t="s">
        <v>4873</v>
      </c>
      <c r="F7761" s="4" t="n">
        <v>13</v>
      </c>
      <c r="G7761" s="4" t="n">
        <v>6</v>
      </c>
      <c r="H7761" s="4" t="n">
        <v>4</v>
      </c>
      <c r="I7761" s="4" t="str">
        <v>×</v>
      </c>
      <c r="J7761" s="4"/>
      <c r="K7761" s="4"/>
      <c r="L7761" s="4"/>
      <c r="M7761" s="5" t="s">
        <v>5346</v>
      </c>
    </row>
    <row r="7762" customFormat="false" ht="15.75" hidden="false" customHeight="false" outlineLevel="0" collapsed="false">
      <c r="A7762" s="6" t="n">
        <v>46165</v>
      </c>
      <c r="B7762" s="4" t="s">
        <v>5435</v>
      </c>
      <c r="C7762" s="4" t="n">
        <v>7</v>
      </c>
      <c r="D7762" s="4" t="n">
        <v>7</v>
      </c>
      <c r="E7762" s="4" t="s">
        <v>3852</v>
      </c>
      <c r="F7762" s="4" t="n">
        <v>34</v>
      </c>
      <c r="G7762" s="4" t="n">
        <v>4</v>
      </c>
      <c r="H7762" s="4" t="n">
        <v>4</v>
      </c>
      <c r="I7762" s="4" t="str">
        <v>×</v>
      </c>
      <c r="J7762" s="4"/>
      <c r="K7762" s="4"/>
      <c r="L7762" s="4"/>
      <c r="M7762" s="5" t="s">
        <v>5346</v>
      </c>
    </row>
    <row r="7763" customFormat="false" ht="15.75" hidden="false" customHeight="false" outlineLevel="0" collapsed="false">
      <c r="A7763" s="6" t="n">
        <v>46165</v>
      </c>
      <c r="B7763" s="4" t="s">
        <v>5435</v>
      </c>
      <c r="C7763" s="4" t="n">
        <v>7</v>
      </c>
      <c r="D7763" s="4" t="n">
        <v>8</v>
      </c>
      <c r="E7763" s="4" t="s">
        <v>2621</v>
      </c>
      <c r="F7763" s="4" t="n">
        <v>37</v>
      </c>
      <c r="G7763" s="4" t="n">
        <v>3</v>
      </c>
      <c r="H7763" s="4" t="n">
        <v>4</v>
      </c>
      <c r="I7763" s="4" t="str">
        <v>×</v>
      </c>
      <c r="J7763" s="4"/>
      <c r="K7763" s="4"/>
      <c r="L7763" s="4"/>
      <c r="M7763" s="5" t="s">
        <v>5346</v>
      </c>
    </row>
    <row r="7764" customFormat="false" ht="15.75" hidden="false" customHeight="false" outlineLevel="0" collapsed="false">
      <c r="A7764" s="6" t="n">
        <v>46165</v>
      </c>
      <c r="B7764" s="4" t="s">
        <v>5435</v>
      </c>
      <c r="C7764" s="4" t="n">
        <v>7</v>
      </c>
      <c r="D7764" s="4" t="n">
        <v>9</v>
      </c>
      <c r="E7764" s="4" t="s">
        <v>3237</v>
      </c>
      <c r="F7764" s="4" t="n">
        <v>10</v>
      </c>
      <c r="G7764" s="4" t="n">
        <v>7</v>
      </c>
      <c r="H7764" s="4" t="n">
        <v>4</v>
      </c>
      <c r="I7764" s="4" t="str">
        <v>×</v>
      </c>
      <c r="J7764" s="4"/>
      <c r="K7764" s="4"/>
      <c r="L7764" s="4"/>
      <c r="M7764" s="5" t="s">
        <v>5346</v>
      </c>
    </row>
    <row r="7765" customFormat="false" ht="15.75" hidden="false" customHeight="false" outlineLevel="0" collapsed="false">
      <c r="A7765" s="6" t="n">
        <v>46165</v>
      </c>
      <c r="B7765" s="4" t="s">
        <v>5435</v>
      </c>
      <c r="C7765" s="4" t="n">
        <v>7</v>
      </c>
      <c r="D7765" s="4" t="n">
        <v>10</v>
      </c>
      <c r="E7765" s="4" t="s">
        <v>1178</v>
      </c>
      <c r="F7765" s="4" t="n">
        <v>8</v>
      </c>
      <c r="G7765" s="4" t="n">
        <v>8</v>
      </c>
      <c r="H7765" s="4" t="n">
        <v>4</v>
      </c>
      <c r="I7765" s="4" t="str">
        <v>×</v>
      </c>
      <c r="J7765" s="4"/>
      <c r="K7765" s="4"/>
      <c r="L7765" s="4"/>
      <c r="M7765" s="5" t="s">
        <v>5346</v>
      </c>
    </row>
    <row r="7766" customFormat="false" ht="15.75" hidden="false" customHeight="false" outlineLevel="0" collapsed="false">
      <c r="A7766" s="6" t="n">
        <v>46165</v>
      </c>
      <c r="B7766" s="4" t="s">
        <v>5435</v>
      </c>
      <c r="C7766" s="4" t="n">
        <v>7</v>
      </c>
      <c r="D7766" s="4" t="n">
        <v>11</v>
      </c>
      <c r="E7766" s="4" t="s">
        <v>4394</v>
      </c>
      <c r="F7766" s="4" t="n">
        <v>4</v>
      </c>
      <c r="G7766" s="4" t="n">
        <v>10</v>
      </c>
      <c r="H7766" s="4" t="n">
        <v>4</v>
      </c>
      <c r="I7766" s="4" t="str">
        <v>×</v>
      </c>
      <c r="J7766" s="4"/>
      <c r="K7766" s="4"/>
      <c r="L7766" s="4"/>
      <c r="M7766" s="5" t="s">
        <v>5346</v>
      </c>
    </row>
    <row r="7767" customFormat="false" ht="15.75" hidden="false" customHeight="false" outlineLevel="0" collapsed="false">
      <c r="A7767" s="6" t="n">
        <v>46165</v>
      </c>
      <c r="B7767" s="4" t="s">
        <v>5435</v>
      </c>
      <c r="C7767" s="4" t="n">
        <v>7</v>
      </c>
      <c r="D7767" s="4" t="n">
        <v>12</v>
      </c>
      <c r="E7767" s="4" t="s">
        <v>4875</v>
      </c>
      <c r="F7767" s="4" t="n">
        <v>44</v>
      </c>
      <c r="G7767" s="4" t="n">
        <v>1</v>
      </c>
      <c r="H7767" s="4" t="n">
        <v>3</v>
      </c>
      <c r="I7767" s="4" t="str">
        <v>○</v>
      </c>
      <c r="J7767" s="4" t="n">
        <v>180</v>
      </c>
      <c r="K7767" s="4"/>
      <c r="L7767" s="4"/>
      <c r="M7767" s="5" t="s">
        <v>5346</v>
      </c>
    </row>
    <row r="7768" customFormat="false" ht="15.75" hidden="false" customHeight="false" outlineLevel="0" collapsed="false">
      <c r="A7768" s="6" t="n">
        <v>46165</v>
      </c>
      <c r="B7768" s="4" t="s">
        <v>5435</v>
      </c>
      <c r="C7768" s="4" t="n">
        <v>7</v>
      </c>
      <c r="D7768" s="4" t="n">
        <v>13</v>
      </c>
      <c r="E7768" s="4" t="s">
        <v>5471</v>
      </c>
      <c r="F7768" s="4" t="n">
        <v>1</v>
      </c>
      <c r="G7768" s="4" t="n">
        <v>12</v>
      </c>
      <c r="H7768" s="4" t="n">
        <v>4</v>
      </c>
      <c r="I7768" s="4" t="str">
        <v>×</v>
      </c>
      <c r="J7768" s="4"/>
      <c r="K7768" s="4"/>
      <c r="L7768" s="4"/>
      <c r="M7768" s="5" t="s">
        <v>5346</v>
      </c>
    </row>
    <row r="7769" customFormat="false" ht="15.75" hidden="false" customHeight="false" outlineLevel="0" collapsed="false">
      <c r="A7769" s="6" t="n">
        <v>46165</v>
      </c>
      <c r="B7769" s="4" t="s">
        <v>5435</v>
      </c>
      <c r="C7769" s="4" t="n">
        <v>7</v>
      </c>
      <c r="D7769" s="4" t="n">
        <v>14</v>
      </c>
      <c r="E7769" s="4" t="s">
        <v>3966</v>
      </c>
      <c r="F7769" s="4" t="n">
        <v>10</v>
      </c>
      <c r="G7769" s="4" t="n">
        <v>7</v>
      </c>
      <c r="H7769" s="4" t="n">
        <v>4</v>
      </c>
      <c r="I7769" s="4" t="str">
        <v>×</v>
      </c>
      <c r="J7769" s="4"/>
      <c r="K7769" s="4"/>
      <c r="L7769" s="4"/>
      <c r="M7769" s="5" t="s">
        <v>5346</v>
      </c>
    </row>
    <row r="7770" customFormat="false" ht="15.75" hidden="false" customHeight="false" outlineLevel="0" collapsed="false">
      <c r="A7770" s="6" t="n">
        <v>46165</v>
      </c>
      <c r="B7770" s="4" t="s">
        <v>5435</v>
      </c>
      <c r="C7770" s="4" t="n">
        <v>7</v>
      </c>
      <c r="D7770" s="4" t="n">
        <v>15</v>
      </c>
      <c r="E7770" s="4" t="s">
        <v>2631</v>
      </c>
      <c r="F7770" s="4" t="n">
        <v>6</v>
      </c>
      <c r="G7770" s="4" t="n">
        <v>9</v>
      </c>
      <c r="H7770" s="4" t="n">
        <v>4</v>
      </c>
      <c r="I7770" s="4" t="str">
        <v>×</v>
      </c>
      <c r="J7770" s="4"/>
      <c r="K7770" s="4"/>
      <c r="L7770" s="4"/>
      <c r="M7770" s="5" t="s">
        <v>5346</v>
      </c>
    </row>
    <row r="7771" customFormat="false" ht="15.75" hidden="false" customHeight="false" outlineLevel="0" collapsed="false">
      <c r="A7771" s="6" t="n">
        <v>46165</v>
      </c>
      <c r="B7771" s="4" t="s">
        <v>5435</v>
      </c>
      <c r="C7771" s="4" t="n">
        <v>7</v>
      </c>
      <c r="D7771" s="4" t="n">
        <v>16</v>
      </c>
      <c r="E7771" s="4" t="s">
        <v>4867</v>
      </c>
      <c r="F7771" s="4" t="n">
        <v>25</v>
      </c>
      <c r="G7771" s="4" t="n">
        <v>5</v>
      </c>
      <c r="H7771" s="4" t="n">
        <v>4</v>
      </c>
      <c r="I7771" s="4" t="str">
        <v>×</v>
      </c>
      <c r="J7771" s="4"/>
      <c r="K7771" s="4"/>
      <c r="L7771" s="4"/>
      <c r="M7771" s="5" t="s">
        <v>5346</v>
      </c>
    </row>
    <row r="7772" customFormat="false" ht="15.75" hidden="false" customHeight="false" outlineLevel="0" collapsed="false">
      <c r="A7772" s="6" t="n">
        <v>46165</v>
      </c>
      <c r="B7772" s="4" t="s">
        <v>5435</v>
      </c>
      <c r="C7772" s="4" t="n">
        <v>8</v>
      </c>
      <c r="D7772" s="4" t="n">
        <v>1</v>
      </c>
      <c r="E7772" s="4" t="s">
        <v>5472</v>
      </c>
      <c r="F7772" s="4" t="n">
        <v>2</v>
      </c>
      <c r="G7772" s="4" t="n">
        <v>13</v>
      </c>
      <c r="H7772" s="4" t="n">
        <v>4</v>
      </c>
      <c r="I7772" s="4" t="str">
        <v>×</v>
      </c>
      <c r="J7772" s="4"/>
      <c r="K7772" s="4"/>
      <c r="L7772" s="4"/>
      <c r="M7772" s="5" t="s">
        <v>5346</v>
      </c>
    </row>
    <row r="7773" customFormat="false" ht="15.75" hidden="false" customHeight="false" outlineLevel="0" collapsed="false">
      <c r="A7773" s="6" t="n">
        <v>46165</v>
      </c>
      <c r="B7773" s="4" t="s">
        <v>5435</v>
      </c>
      <c r="C7773" s="4" t="n">
        <v>8</v>
      </c>
      <c r="D7773" s="4" t="n">
        <v>2</v>
      </c>
      <c r="E7773" s="4" t="s">
        <v>5473</v>
      </c>
      <c r="F7773" s="4" t="n">
        <v>15</v>
      </c>
      <c r="G7773" s="4" t="n">
        <v>7</v>
      </c>
      <c r="H7773" s="4" t="n">
        <v>4</v>
      </c>
      <c r="I7773" s="4" t="str">
        <v>×</v>
      </c>
      <c r="J7773" s="4"/>
      <c r="K7773" s="4"/>
      <c r="L7773" s="4"/>
      <c r="M7773" s="5" t="s">
        <v>5346</v>
      </c>
    </row>
    <row r="7774" customFormat="false" ht="15.75" hidden="false" customHeight="false" outlineLevel="0" collapsed="false">
      <c r="A7774" s="6" t="n">
        <v>46165</v>
      </c>
      <c r="B7774" s="4" t="s">
        <v>5435</v>
      </c>
      <c r="C7774" s="4" t="n">
        <v>8</v>
      </c>
      <c r="D7774" s="4" t="n">
        <v>3</v>
      </c>
      <c r="E7774" s="4" t="s">
        <v>2108</v>
      </c>
      <c r="F7774" s="4" t="n">
        <v>23</v>
      </c>
      <c r="G7774" s="4" t="n">
        <v>5</v>
      </c>
      <c r="H7774" s="4" t="n">
        <v>2</v>
      </c>
      <c r="I7774" s="4" t="str">
        <v>○</v>
      </c>
      <c r="J7774" s="4" t="n">
        <v>170</v>
      </c>
      <c r="K7774" s="4"/>
      <c r="L7774" s="4"/>
      <c r="M7774" s="5" t="s">
        <v>5346</v>
      </c>
    </row>
    <row r="7775" customFormat="false" ht="15.75" hidden="false" customHeight="false" outlineLevel="0" collapsed="false">
      <c r="A7775" s="6" t="n">
        <v>46165</v>
      </c>
      <c r="B7775" s="4" t="s">
        <v>5435</v>
      </c>
      <c r="C7775" s="4" t="n">
        <v>8</v>
      </c>
      <c r="D7775" s="4" t="n">
        <v>4</v>
      </c>
      <c r="E7775" s="4" t="s">
        <v>5474</v>
      </c>
      <c r="F7775" s="4" t="n">
        <v>8</v>
      </c>
      <c r="G7775" s="4" t="n">
        <v>9</v>
      </c>
      <c r="H7775" s="4" t="n">
        <v>4</v>
      </c>
      <c r="I7775" s="4" t="str">
        <v>×</v>
      </c>
      <c r="J7775" s="4"/>
      <c r="K7775" s="4"/>
      <c r="L7775" s="4"/>
      <c r="M7775" s="5" t="s">
        <v>5346</v>
      </c>
    </row>
    <row r="7776" customFormat="false" ht="15.75" hidden="false" customHeight="false" outlineLevel="0" collapsed="false">
      <c r="A7776" s="6" t="n">
        <v>46165</v>
      </c>
      <c r="B7776" s="4" t="s">
        <v>5435</v>
      </c>
      <c r="C7776" s="4" t="n">
        <v>8</v>
      </c>
      <c r="D7776" s="4" t="n">
        <v>5</v>
      </c>
      <c r="E7776" s="4" t="s">
        <v>5475</v>
      </c>
      <c r="F7776" s="4" t="n">
        <v>6</v>
      </c>
      <c r="G7776" s="4" t="n">
        <v>10</v>
      </c>
      <c r="H7776" s="4" t="n">
        <v>4</v>
      </c>
      <c r="I7776" s="4" t="str">
        <v>×</v>
      </c>
      <c r="J7776" s="4"/>
      <c r="K7776" s="4"/>
      <c r="L7776" s="4"/>
      <c r="M7776" s="5" t="s">
        <v>5346</v>
      </c>
    </row>
    <row r="7777" customFormat="false" ht="15.75" hidden="false" customHeight="false" outlineLevel="0" collapsed="false">
      <c r="A7777" s="6" t="n">
        <v>46165</v>
      </c>
      <c r="B7777" s="4" t="s">
        <v>5435</v>
      </c>
      <c r="C7777" s="4" t="n">
        <v>8</v>
      </c>
      <c r="D7777" s="4" t="n">
        <v>6</v>
      </c>
      <c r="E7777" s="4" t="s">
        <v>5043</v>
      </c>
      <c r="F7777" s="4" t="n">
        <v>41</v>
      </c>
      <c r="G7777" s="4" t="n">
        <v>2</v>
      </c>
      <c r="H7777" s="4" t="n">
        <v>4</v>
      </c>
      <c r="I7777" s="4" t="str">
        <v>×</v>
      </c>
      <c r="J7777" s="4"/>
      <c r="K7777" s="4"/>
      <c r="L7777" s="4"/>
      <c r="M7777" s="5" t="s">
        <v>5346</v>
      </c>
    </row>
    <row r="7778" customFormat="false" ht="15.75" hidden="false" customHeight="false" outlineLevel="0" collapsed="false">
      <c r="A7778" s="6" t="n">
        <v>46165</v>
      </c>
      <c r="B7778" s="4" t="s">
        <v>5435</v>
      </c>
      <c r="C7778" s="4" t="n">
        <v>8</v>
      </c>
      <c r="D7778" s="4" t="n">
        <v>7</v>
      </c>
      <c r="E7778" s="4" t="s">
        <v>5476</v>
      </c>
      <c r="F7778" s="4" t="n">
        <v>4</v>
      </c>
      <c r="G7778" s="4" t="n">
        <v>11</v>
      </c>
      <c r="H7778" s="4" t="n">
        <v>4</v>
      </c>
      <c r="I7778" s="4" t="str">
        <v>×</v>
      </c>
      <c r="J7778" s="4"/>
      <c r="K7778" s="4"/>
      <c r="L7778" s="4"/>
      <c r="M7778" s="5" t="s">
        <v>5346</v>
      </c>
    </row>
    <row r="7779" customFormat="false" ht="15.75" hidden="false" customHeight="false" outlineLevel="0" collapsed="false">
      <c r="A7779" s="6" t="n">
        <v>46165</v>
      </c>
      <c r="B7779" s="4" t="s">
        <v>5435</v>
      </c>
      <c r="C7779" s="4" t="n">
        <v>8</v>
      </c>
      <c r="D7779" s="4" t="n">
        <v>8</v>
      </c>
      <c r="E7779" s="4" t="s">
        <v>5477</v>
      </c>
      <c r="F7779" s="4" t="n">
        <v>6</v>
      </c>
      <c r="G7779" s="4" t="n">
        <v>10</v>
      </c>
      <c r="H7779" s="4" t="n">
        <v>4</v>
      </c>
      <c r="I7779" s="4" t="str">
        <v>×</v>
      </c>
      <c r="J7779" s="4"/>
      <c r="K7779" s="4"/>
      <c r="L7779" s="4"/>
      <c r="M7779" s="5" t="s">
        <v>5346</v>
      </c>
    </row>
    <row r="7780" customFormat="false" ht="15.75" hidden="false" customHeight="false" outlineLevel="0" collapsed="false">
      <c r="A7780" s="6" t="n">
        <v>46165</v>
      </c>
      <c r="B7780" s="4" t="s">
        <v>5435</v>
      </c>
      <c r="C7780" s="4" t="n">
        <v>8</v>
      </c>
      <c r="D7780" s="4" t="n">
        <v>9</v>
      </c>
      <c r="E7780" s="4" t="s">
        <v>2243</v>
      </c>
      <c r="F7780" s="4" t="n">
        <v>25</v>
      </c>
      <c r="G7780" s="4" t="n">
        <v>4</v>
      </c>
      <c r="H7780" s="4" t="n">
        <v>3</v>
      </c>
      <c r="I7780" s="4" t="str">
        <v>○</v>
      </c>
      <c r="J7780" s="4" t="n">
        <v>150</v>
      </c>
      <c r="K7780" s="4"/>
      <c r="L7780" s="4"/>
      <c r="M7780" s="5" t="s">
        <v>5346</v>
      </c>
    </row>
    <row r="7781" customFormat="false" ht="15.75" hidden="false" customHeight="false" outlineLevel="0" collapsed="false">
      <c r="A7781" s="6" t="n">
        <v>46165</v>
      </c>
      <c r="B7781" s="4" t="s">
        <v>5435</v>
      </c>
      <c r="C7781" s="4" t="n">
        <v>8</v>
      </c>
      <c r="D7781" s="4" t="n">
        <v>10</v>
      </c>
      <c r="E7781" s="4" t="s">
        <v>693</v>
      </c>
      <c r="F7781" s="4" t="n">
        <v>81</v>
      </c>
      <c r="G7781" s="4" t="n">
        <v>1</v>
      </c>
      <c r="H7781" s="4" t="n">
        <v>1</v>
      </c>
      <c r="I7781" s="4" t="str">
        <v>○</v>
      </c>
      <c r="J7781" s="4" t="n">
        <v>110</v>
      </c>
      <c r="K7781" s="4"/>
      <c r="L7781" s="4"/>
      <c r="M7781" s="5" t="s">
        <v>5346</v>
      </c>
    </row>
    <row r="7782" customFormat="false" ht="15.75" hidden="false" customHeight="false" outlineLevel="0" collapsed="false">
      <c r="A7782" s="6" t="n">
        <v>46165</v>
      </c>
      <c r="B7782" s="4" t="s">
        <v>5435</v>
      </c>
      <c r="C7782" s="4" t="n">
        <v>8</v>
      </c>
      <c r="D7782" s="4" t="n">
        <v>11</v>
      </c>
      <c r="E7782" s="4" t="s">
        <v>4638</v>
      </c>
      <c r="F7782" s="4" t="n">
        <v>29</v>
      </c>
      <c r="G7782" s="4" t="n">
        <v>3</v>
      </c>
      <c r="H7782" s="4" t="n">
        <v>4</v>
      </c>
      <c r="I7782" s="4" t="str">
        <v>×</v>
      </c>
      <c r="J7782" s="4"/>
      <c r="K7782" s="4"/>
      <c r="L7782" s="4"/>
      <c r="M7782" s="5" t="s">
        <v>5346</v>
      </c>
    </row>
    <row r="7783" customFormat="false" ht="15.75" hidden="false" customHeight="false" outlineLevel="0" collapsed="false">
      <c r="A7783" s="6" t="n">
        <v>46165</v>
      </c>
      <c r="B7783" s="4" t="s">
        <v>5435</v>
      </c>
      <c r="C7783" s="4" t="n">
        <v>8</v>
      </c>
      <c r="D7783" s="4" t="n">
        <v>12</v>
      </c>
      <c r="E7783" s="4" t="s">
        <v>5179</v>
      </c>
      <c r="F7783" s="4" t="n">
        <v>10</v>
      </c>
      <c r="G7783" s="4" t="n">
        <v>8</v>
      </c>
      <c r="H7783" s="4" t="n">
        <v>4</v>
      </c>
      <c r="I7783" s="4" t="str">
        <v>×</v>
      </c>
      <c r="J7783" s="4"/>
      <c r="K7783" s="4"/>
      <c r="L7783" s="4"/>
      <c r="M7783" s="5" t="s">
        <v>5346</v>
      </c>
    </row>
    <row r="7784" customFormat="false" ht="15.75" hidden="false" customHeight="false" outlineLevel="0" collapsed="false">
      <c r="A7784" s="6" t="n">
        <v>46165</v>
      </c>
      <c r="B7784" s="4" t="s">
        <v>5435</v>
      </c>
      <c r="C7784" s="4" t="n">
        <v>8</v>
      </c>
      <c r="D7784" s="4" t="n">
        <v>13</v>
      </c>
      <c r="E7784" s="4" t="s">
        <v>276</v>
      </c>
      <c r="F7784" s="4" t="n">
        <v>15</v>
      </c>
      <c r="G7784" s="4" t="n">
        <v>7</v>
      </c>
      <c r="H7784" s="4" t="n">
        <v>4</v>
      </c>
      <c r="I7784" s="4" t="str">
        <v>×</v>
      </c>
      <c r="J7784" s="4"/>
      <c r="K7784" s="4"/>
      <c r="L7784" s="4"/>
      <c r="M7784" s="5" t="s">
        <v>5346</v>
      </c>
    </row>
    <row r="7785" customFormat="false" ht="15.75" hidden="false" customHeight="false" outlineLevel="0" collapsed="false">
      <c r="A7785" s="6" t="n">
        <v>46165</v>
      </c>
      <c r="B7785" s="4" t="s">
        <v>5435</v>
      </c>
      <c r="C7785" s="4" t="n">
        <v>8</v>
      </c>
      <c r="D7785" s="4" t="n">
        <v>14</v>
      </c>
      <c r="E7785" s="4" t="s">
        <v>5478</v>
      </c>
      <c r="F7785" s="4" t="n">
        <v>3</v>
      </c>
      <c r="G7785" s="4" t="n">
        <v>12</v>
      </c>
      <c r="H7785" s="4" t="n">
        <v>4</v>
      </c>
      <c r="I7785" s="4" t="str">
        <v>×</v>
      </c>
      <c r="J7785" s="4"/>
      <c r="K7785" s="4"/>
      <c r="L7785" s="4"/>
      <c r="M7785" s="5" t="s">
        <v>5346</v>
      </c>
    </row>
    <row r="7786" customFormat="false" ht="15.75" hidden="false" customHeight="false" outlineLevel="0" collapsed="false">
      <c r="A7786" s="6" t="n">
        <v>46165</v>
      </c>
      <c r="B7786" s="4" t="s">
        <v>5435</v>
      </c>
      <c r="C7786" s="4" t="n">
        <v>8</v>
      </c>
      <c r="D7786" s="4" t="n">
        <v>15</v>
      </c>
      <c r="E7786" s="4" t="s">
        <v>4852</v>
      </c>
      <c r="F7786" s="4" t="n">
        <v>20</v>
      </c>
      <c r="G7786" s="4" t="n">
        <v>6</v>
      </c>
      <c r="H7786" s="4" t="n">
        <v>4</v>
      </c>
      <c r="I7786" s="4" t="str">
        <v>×</v>
      </c>
      <c r="J7786" s="4"/>
      <c r="K7786" s="4"/>
      <c r="L7786" s="4"/>
      <c r="M7786" s="5" t="s">
        <v>5346</v>
      </c>
    </row>
    <row r="7787" customFormat="false" ht="15.75" hidden="false" customHeight="false" outlineLevel="0" collapsed="false">
      <c r="A7787" s="6" t="n">
        <v>46165</v>
      </c>
      <c r="B7787" s="4" t="s">
        <v>5435</v>
      </c>
      <c r="C7787" s="4" t="n">
        <v>9</v>
      </c>
      <c r="D7787" s="4" t="n">
        <v>1</v>
      </c>
      <c r="E7787" s="4" t="s">
        <v>5479</v>
      </c>
      <c r="F7787" s="4" t="n">
        <v>13</v>
      </c>
      <c r="G7787" s="4" t="n">
        <v>9</v>
      </c>
      <c r="H7787" s="4" t="n">
        <v>4</v>
      </c>
      <c r="I7787" s="4" t="str">
        <v>×</v>
      </c>
      <c r="J7787" s="4"/>
      <c r="K7787" s="4"/>
      <c r="L7787" s="4"/>
      <c r="M7787" s="5" t="s">
        <v>5346</v>
      </c>
    </row>
    <row r="7788" customFormat="false" ht="15.75" hidden="false" customHeight="false" outlineLevel="0" collapsed="false">
      <c r="A7788" s="6" t="n">
        <v>46165</v>
      </c>
      <c r="B7788" s="4" t="s">
        <v>5435</v>
      </c>
      <c r="C7788" s="4" t="n">
        <v>9</v>
      </c>
      <c r="D7788" s="4" t="n">
        <v>2</v>
      </c>
      <c r="E7788" s="4" t="s">
        <v>5480</v>
      </c>
      <c r="F7788" s="4" t="n">
        <v>34</v>
      </c>
      <c r="G7788" s="4" t="n">
        <v>4</v>
      </c>
      <c r="H7788" s="4" t="n">
        <v>1</v>
      </c>
      <c r="I7788" s="4" t="str">
        <v>○</v>
      </c>
      <c r="J7788" s="4" t="n">
        <v>480</v>
      </c>
      <c r="K7788" s="4"/>
      <c r="L7788" s="4"/>
      <c r="M7788" s="5" t="s">
        <v>5346</v>
      </c>
    </row>
    <row r="7789" customFormat="false" ht="15.75" hidden="false" customHeight="false" outlineLevel="0" collapsed="false">
      <c r="A7789" s="6" t="n">
        <v>46165</v>
      </c>
      <c r="B7789" s="4" t="s">
        <v>5435</v>
      </c>
      <c r="C7789" s="4" t="n">
        <v>9</v>
      </c>
      <c r="D7789" s="4" t="n">
        <v>3</v>
      </c>
      <c r="E7789" s="4" t="s">
        <v>3075</v>
      </c>
      <c r="F7789" s="4" t="n">
        <v>23</v>
      </c>
      <c r="G7789" s="4" t="n">
        <v>7</v>
      </c>
      <c r="H7789" s="4" t="n">
        <v>4</v>
      </c>
      <c r="I7789" s="4" t="str">
        <v>×</v>
      </c>
      <c r="J7789" s="4"/>
      <c r="K7789" s="4"/>
      <c r="L7789" s="4"/>
      <c r="M7789" s="5" t="s">
        <v>5346</v>
      </c>
    </row>
    <row r="7790" customFormat="false" ht="15.75" hidden="false" customHeight="false" outlineLevel="0" collapsed="false">
      <c r="A7790" s="6" t="n">
        <v>46165</v>
      </c>
      <c r="B7790" s="4" t="s">
        <v>5435</v>
      </c>
      <c r="C7790" s="4" t="n">
        <v>9</v>
      </c>
      <c r="D7790" s="4" t="n">
        <v>4</v>
      </c>
      <c r="E7790" s="4" t="s">
        <v>3691</v>
      </c>
      <c r="F7790" s="4" t="n">
        <v>29</v>
      </c>
      <c r="G7790" s="4" t="n">
        <v>5</v>
      </c>
      <c r="H7790" s="4" t="n">
        <v>4</v>
      </c>
      <c r="I7790" s="4" t="str">
        <v>×</v>
      </c>
      <c r="J7790" s="4"/>
      <c r="K7790" s="4"/>
      <c r="L7790" s="4"/>
      <c r="M7790" s="5" t="s">
        <v>5346</v>
      </c>
    </row>
    <row r="7791" customFormat="false" ht="15.75" hidden="false" customHeight="false" outlineLevel="0" collapsed="false">
      <c r="A7791" s="6" t="n">
        <v>46165</v>
      </c>
      <c r="B7791" s="4" t="s">
        <v>5435</v>
      </c>
      <c r="C7791" s="4" t="n">
        <v>9</v>
      </c>
      <c r="D7791" s="4" t="n">
        <v>5</v>
      </c>
      <c r="E7791" s="4" t="s">
        <v>5481</v>
      </c>
      <c r="F7791" s="4" t="n">
        <v>39</v>
      </c>
      <c r="G7791" s="4" t="n">
        <v>2</v>
      </c>
      <c r="H7791" s="4" t="n">
        <v>2</v>
      </c>
      <c r="I7791" s="4" t="str">
        <v>○</v>
      </c>
      <c r="J7791" s="4" t="n">
        <v>170</v>
      </c>
      <c r="K7791" s="4"/>
      <c r="L7791" s="4"/>
      <c r="M7791" s="5" t="s">
        <v>5346</v>
      </c>
    </row>
    <row r="7792" customFormat="false" ht="15.75" hidden="false" customHeight="false" outlineLevel="0" collapsed="false">
      <c r="A7792" s="6" t="n">
        <v>46165</v>
      </c>
      <c r="B7792" s="4" t="s">
        <v>5435</v>
      </c>
      <c r="C7792" s="4" t="n">
        <v>9</v>
      </c>
      <c r="D7792" s="4" t="n">
        <v>6</v>
      </c>
      <c r="E7792" s="4" t="s">
        <v>729</v>
      </c>
      <c r="F7792" s="4" t="n">
        <v>65</v>
      </c>
      <c r="G7792" s="4" t="n">
        <v>1</v>
      </c>
      <c r="H7792" s="4" t="n">
        <v>4</v>
      </c>
      <c r="I7792" s="4" t="str">
        <v>×</v>
      </c>
      <c r="J7792" s="4"/>
      <c r="K7792" s="4"/>
      <c r="L7792" s="4"/>
      <c r="M7792" s="5" t="s">
        <v>5346</v>
      </c>
    </row>
    <row r="7793" customFormat="false" ht="15.75" hidden="false" customHeight="false" outlineLevel="0" collapsed="false">
      <c r="A7793" s="6" t="n">
        <v>46165</v>
      </c>
      <c r="B7793" s="4" t="s">
        <v>5435</v>
      </c>
      <c r="C7793" s="4" t="n">
        <v>9</v>
      </c>
      <c r="D7793" s="4" t="n">
        <v>7</v>
      </c>
      <c r="E7793" s="4" t="s">
        <v>4640</v>
      </c>
      <c r="F7793" s="4" t="n">
        <v>23</v>
      </c>
      <c r="G7793" s="4" t="n">
        <v>7</v>
      </c>
      <c r="H7793" s="4" t="n">
        <v>3</v>
      </c>
      <c r="I7793" s="4" t="str">
        <v>○</v>
      </c>
      <c r="J7793" s="4" t="n">
        <v>170</v>
      </c>
      <c r="K7793" s="4"/>
      <c r="L7793" s="4"/>
      <c r="M7793" s="5" t="s">
        <v>5346</v>
      </c>
    </row>
    <row r="7794" customFormat="false" ht="15.75" hidden="false" customHeight="false" outlineLevel="0" collapsed="false">
      <c r="A7794" s="6" t="n">
        <v>46165</v>
      </c>
      <c r="B7794" s="4" t="s">
        <v>5435</v>
      </c>
      <c r="C7794" s="4" t="n">
        <v>9</v>
      </c>
      <c r="D7794" s="4" t="n">
        <v>8</v>
      </c>
      <c r="E7794" s="4" t="s">
        <v>754</v>
      </c>
      <c r="F7794" s="4" t="n">
        <v>37</v>
      </c>
      <c r="G7794" s="4" t="n">
        <v>3</v>
      </c>
      <c r="H7794" s="4" t="n">
        <v>4</v>
      </c>
      <c r="I7794" s="4" t="str">
        <v>×</v>
      </c>
      <c r="J7794" s="4"/>
      <c r="K7794" s="4"/>
      <c r="L7794" s="4"/>
      <c r="M7794" s="5" t="s">
        <v>5346</v>
      </c>
    </row>
    <row r="7795" customFormat="false" ht="15.75" hidden="false" customHeight="false" outlineLevel="0" collapsed="false">
      <c r="A7795" s="6" t="n">
        <v>46165</v>
      </c>
      <c r="B7795" s="4" t="s">
        <v>5435</v>
      </c>
      <c r="C7795" s="4" t="n">
        <v>9</v>
      </c>
      <c r="D7795" s="4" t="n">
        <v>9</v>
      </c>
      <c r="E7795" s="4" t="s">
        <v>765</v>
      </c>
      <c r="F7795" s="4" t="n">
        <v>17</v>
      </c>
      <c r="G7795" s="4" t="n">
        <v>8</v>
      </c>
      <c r="H7795" s="4" t="n">
        <v>4</v>
      </c>
      <c r="I7795" s="4" t="str">
        <v>×</v>
      </c>
      <c r="J7795" s="4"/>
      <c r="K7795" s="4"/>
      <c r="L7795" s="4"/>
      <c r="M7795" s="5" t="s">
        <v>5346</v>
      </c>
    </row>
    <row r="7796" customFormat="false" ht="15.75" hidden="false" customHeight="false" outlineLevel="0" collapsed="false">
      <c r="A7796" s="6" t="n">
        <v>46165</v>
      </c>
      <c r="B7796" s="4" t="s">
        <v>5435</v>
      </c>
      <c r="C7796" s="4" t="n">
        <v>9</v>
      </c>
      <c r="D7796" s="4" t="n">
        <v>10</v>
      </c>
      <c r="E7796" s="4" t="s">
        <v>724</v>
      </c>
      <c r="F7796" s="4" t="n">
        <v>25</v>
      </c>
      <c r="G7796" s="4" t="n">
        <v>6</v>
      </c>
      <c r="H7796" s="4" t="n">
        <v>4</v>
      </c>
      <c r="I7796" s="4" t="str">
        <v>×</v>
      </c>
      <c r="J7796" s="4"/>
      <c r="K7796" s="4"/>
      <c r="L7796" s="4"/>
      <c r="M7796" s="5" t="s">
        <v>5346</v>
      </c>
    </row>
    <row r="7797" customFormat="false" ht="15.75" hidden="false" customHeight="false" outlineLevel="0" collapsed="false">
      <c r="A7797" s="6" t="n">
        <v>46165</v>
      </c>
      <c r="B7797" s="4" t="s">
        <v>5435</v>
      </c>
      <c r="C7797" s="4" t="n">
        <v>9</v>
      </c>
      <c r="D7797" s="4" t="n">
        <v>11</v>
      </c>
      <c r="E7797" s="4" t="s">
        <v>431</v>
      </c>
      <c r="F7797" s="4" t="n">
        <v>13</v>
      </c>
      <c r="G7797" s="4" t="n">
        <v>9</v>
      </c>
      <c r="H7797" s="4" t="n">
        <v>4</v>
      </c>
      <c r="I7797" s="4" t="str">
        <v>×</v>
      </c>
      <c r="J7797" s="4"/>
      <c r="K7797" s="4"/>
      <c r="L7797" s="4"/>
      <c r="M7797" s="5" t="s">
        <v>5346</v>
      </c>
    </row>
    <row r="7798" customFormat="false" ht="15.75" hidden="false" customHeight="false" outlineLevel="0" collapsed="false">
      <c r="A7798" s="6" t="n">
        <v>46165</v>
      </c>
      <c r="B7798" s="4" t="s">
        <v>5435</v>
      </c>
      <c r="C7798" s="4" t="n">
        <v>10</v>
      </c>
      <c r="D7798" s="4" t="n">
        <v>1</v>
      </c>
      <c r="E7798" s="4" t="s">
        <v>3870</v>
      </c>
      <c r="F7798" s="4" t="n">
        <v>3</v>
      </c>
      <c r="G7798" s="4" t="n">
        <v>11</v>
      </c>
      <c r="H7798" s="4" t="n">
        <v>2</v>
      </c>
      <c r="I7798" s="4" t="str">
        <v>○</v>
      </c>
      <c r="J7798" s="4" t="n">
        <v>1690</v>
      </c>
      <c r="K7798" s="4"/>
      <c r="L7798" s="4"/>
      <c r="M7798" s="5" t="s">
        <v>5346</v>
      </c>
    </row>
    <row r="7799" customFormat="false" ht="15.75" hidden="false" customHeight="false" outlineLevel="0" collapsed="false">
      <c r="A7799" s="6" t="n">
        <v>46165</v>
      </c>
      <c r="B7799" s="4" t="s">
        <v>5435</v>
      </c>
      <c r="C7799" s="4" t="n">
        <v>10</v>
      </c>
      <c r="D7799" s="4" t="n">
        <v>2</v>
      </c>
      <c r="E7799" s="4" t="s">
        <v>5482</v>
      </c>
      <c r="F7799" s="4" t="n">
        <v>58</v>
      </c>
      <c r="G7799" s="4" t="n">
        <v>1</v>
      </c>
      <c r="H7799" s="4" t="n">
        <v>4</v>
      </c>
      <c r="I7799" s="4" t="str">
        <v>×</v>
      </c>
      <c r="J7799" s="4"/>
      <c r="K7799" s="4"/>
      <c r="L7799" s="4"/>
      <c r="M7799" s="5" t="s">
        <v>5346</v>
      </c>
    </row>
    <row r="7800" customFormat="false" ht="15.75" hidden="false" customHeight="false" outlineLevel="0" collapsed="false">
      <c r="A7800" s="6" t="n">
        <v>46165</v>
      </c>
      <c r="B7800" s="4" t="s">
        <v>5435</v>
      </c>
      <c r="C7800" s="4" t="n">
        <v>10</v>
      </c>
      <c r="D7800" s="4" t="n">
        <v>3</v>
      </c>
      <c r="E7800" s="4" t="s">
        <v>5483</v>
      </c>
      <c r="F7800" s="4" t="n">
        <v>17</v>
      </c>
      <c r="G7800" s="4" t="n">
        <v>7</v>
      </c>
      <c r="H7800" s="4" t="n">
        <v>4</v>
      </c>
      <c r="I7800" s="4" t="str">
        <v>×</v>
      </c>
      <c r="J7800" s="4"/>
      <c r="K7800" s="4"/>
      <c r="L7800" s="4"/>
      <c r="M7800" s="5" t="s">
        <v>5346</v>
      </c>
    </row>
    <row r="7801" customFormat="false" ht="15.75" hidden="false" customHeight="false" outlineLevel="0" collapsed="false">
      <c r="A7801" s="6" t="n">
        <v>46165</v>
      </c>
      <c r="B7801" s="4" t="s">
        <v>5435</v>
      </c>
      <c r="C7801" s="4" t="n">
        <v>10</v>
      </c>
      <c r="D7801" s="4" t="n">
        <v>4</v>
      </c>
      <c r="E7801" s="4" t="s">
        <v>5203</v>
      </c>
      <c r="F7801" s="4" t="n">
        <v>37</v>
      </c>
      <c r="G7801" s="4" t="n">
        <v>3</v>
      </c>
      <c r="H7801" s="4" t="n">
        <v>3</v>
      </c>
      <c r="I7801" s="4" t="str">
        <v>○</v>
      </c>
      <c r="J7801" s="4" t="n">
        <v>390</v>
      </c>
      <c r="K7801" s="4"/>
      <c r="L7801" s="4"/>
      <c r="M7801" s="5" t="s">
        <v>5346</v>
      </c>
    </row>
    <row r="7802" customFormat="false" ht="15.75" hidden="false" customHeight="false" outlineLevel="0" collapsed="false">
      <c r="A7802" s="6" t="n">
        <v>46165</v>
      </c>
      <c r="B7802" s="4" t="s">
        <v>5435</v>
      </c>
      <c r="C7802" s="4" t="n">
        <v>10</v>
      </c>
      <c r="D7802" s="4" t="n">
        <v>5</v>
      </c>
      <c r="E7802" s="4" t="s">
        <v>1067</v>
      </c>
      <c r="F7802" s="4" t="n">
        <v>3</v>
      </c>
      <c r="G7802" s="4" t="n">
        <v>11</v>
      </c>
      <c r="H7802" s="4" t="n">
        <v>4</v>
      </c>
      <c r="I7802" s="4" t="str">
        <v>×</v>
      </c>
      <c r="J7802" s="4"/>
      <c r="K7802" s="4"/>
      <c r="L7802" s="4"/>
      <c r="M7802" s="5" t="s">
        <v>5346</v>
      </c>
    </row>
    <row r="7803" customFormat="false" ht="15.75" hidden="false" customHeight="false" outlineLevel="0" collapsed="false">
      <c r="A7803" s="6" t="n">
        <v>46165</v>
      </c>
      <c r="B7803" s="4" t="s">
        <v>5435</v>
      </c>
      <c r="C7803" s="4" t="n">
        <v>10</v>
      </c>
      <c r="D7803" s="4" t="n">
        <v>6</v>
      </c>
      <c r="E7803" s="4" t="s">
        <v>5484</v>
      </c>
      <c r="F7803" s="4" t="n">
        <v>50</v>
      </c>
      <c r="G7803" s="4" t="n">
        <v>2</v>
      </c>
      <c r="H7803" s="4" t="n">
        <v>4</v>
      </c>
      <c r="I7803" s="4" t="str">
        <v>×</v>
      </c>
      <c r="J7803" s="4"/>
      <c r="K7803" s="4"/>
      <c r="L7803" s="4"/>
      <c r="M7803" s="5" t="s">
        <v>5346</v>
      </c>
    </row>
    <row r="7804" customFormat="false" ht="15.75" hidden="false" customHeight="false" outlineLevel="0" collapsed="false">
      <c r="A7804" s="6" t="n">
        <v>46165</v>
      </c>
      <c r="B7804" s="4" t="s">
        <v>5435</v>
      </c>
      <c r="C7804" s="4" t="n">
        <v>10</v>
      </c>
      <c r="D7804" s="4" t="n">
        <v>7</v>
      </c>
      <c r="E7804" s="4" t="s">
        <v>1706</v>
      </c>
      <c r="F7804" s="4" t="n">
        <v>6</v>
      </c>
      <c r="G7804" s="4" t="n">
        <v>9</v>
      </c>
      <c r="H7804" s="4" t="n">
        <v>4</v>
      </c>
      <c r="I7804" s="4" t="str">
        <v>×</v>
      </c>
      <c r="J7804" s="4"/>
      <c r="K7804" s="4"/>
      <c r="L7804" s="4"/>
      <c r="M7804" s="5" t="s">
        <v>5346</v>
      </c>
    </row>
    <row r="7805" customFormat="false" ht="15.75" hidden="false" customHeight="false" outlineLevel="0" collapsed="false">
      <c r="A7805" s="6" t="n">
        <v>46165</v>
      </c>
      <c r="B7805" s="4" t="s">
        <v>5435</v>
      </c>
      <c r="C7805" s="4" t="n">
        <v>10</v>
      </c>
      <c r="D7805" s="4" t="n">
        <v>8</v>
      </c>
      <c r="E7805" s="4" t="s">
        <v>5485</v>
      </c>
      <c r="F7805" s="4" t="n">
        <v>34</v>
      </c>
      <c r="G7805" s="4" t="n">
        <v>4</v>
      </c>
      <c r="H7805" s="4" t="n">
        <v>4</v>
      </c>
      <c r="I7805" s="4" t="str">
        <v>×</v>
      </c>
      <c r="J7805" s="4"/>
      <c r="K7805" s="4"/>
      <c r="L7805" s="4"/>
      <c r="M7805" s="5" t="s">
        <v>5346</v>
      </c>
    </row>
    <row r="7806" customFormat="false" ht="15.75" hidden="false" customHeight="false" outlineLevel="0" collapsed="false">
      <c r="A7806" s="6" t="n">
        <v>46165</v>
      </c>
      <c r="B7806" s="4" t="s">
        <v>5435</v>
      </c>
      <c r="C7806" s="4" t="n">
        <v>10</v>
      </c>
      <c r="D7806" s="4" t="n">
        <v>9</v>
      </c>
      <c r="E7806" s="4" t="s">
        <v>1072</v>
      </c>
      <c r="F7806" s="4" t="n">
        <v>6</v>
      </c>
      <c r="G7806" s="4" t="n">
        <v>9</v>
      </c>
      <c r="H7806" s="4" t="n">
        <v>4</v>
      </c>
      <c r="I7806" s="4" t="str">
        <v>×</v>
      </c>
      <c r="J7806" s="4"/>
      <c r="K7806" s="4"/>
      <c r="L7806" s="4"/>
      <c r="M7806" s="5" t="s">
        <v>5346</v>
      </c>
    </row>
    <row r="7807" customFormat="false" ht="15.75" hidden="false" customHeight="false" outlineLevel="0" collapsed="false">
      <c r="A7807" s="6" t="n">
        <v>46165</v>
      </c>
      <c r="B7807" s="4" t="s">
        <v>5435</v>
      </c>
      <c r="C7807" s="4" t="n">
        <v>10</v>
      </c>
      <c r="D7807" s="4" t="n">
        <v>10</v>
      </c>
      <c r="E7807" s="4" t="s">
        <v>3873</v>
      </c>
      <c r="F7807" s="4" t="n">
        <v>25</v>
      </c>
      <c r="G7807" s="4" t="n">
        <v>5</v>
      </c>
      <c r="H7807" s="4" t="n">
        <v>4</v>
      </c>
      <c r="I7807" s="4" t="str">
        <v>×</v>
      </c>
      <c r="J7807" s="4"/>
      <c r="K7807" s="4"/>
      <c r="L7807" s="4"/>
      <c r="M7807" s="5" t="s">
        <v>5346</v>
      </c>
    </row>
    <row r="7808" customFormat="false" ht="15.75" hidden="false" customHeight="false" outlineLevel="0" collapsed="false">
      <c r="A7808" s="6" t="n">
        <v>46165</v>
      </c>
      <c r="B7808" s="4" t="s">
        <v>5435</v>
      </c>
      <c r="C7808" s="4" t="n">
        <v>10</v>
      </c>
      <c r="D7808" s="4" t="n">
        <v>11</v>
      </c>
      <c r="E7808" s="4" t="s">
        <v>5486</v>
      </c>
      <c r="F7808" s="4" t="n">
        <v>8</v>
      </c>
      <c r="G7808" s="4" t="n">
        <v>8</v>
      </c>
      <c r="H7808" s="4" t="n">
        <v>4</v>
      </c>
      <c r="I7808" s="4" t="str">
        <v>×</v>
      </c>
      <c r="J7808" s="4"/>
      <c r="K7808" s="4"/>
      <c r="L7808" s="4"/>
      <c r="M7808" s="5" t="s">
        <v>5346</v>
      </c>
    </row>
    <row r="7809" customFormat="false" ht="15.75" hidden="false" customHeight="false" outlineLevel="0" collapsed="false">
      <c r="A7809" s="6" t="n">
        <v>46165</v>
      </c>
      <c r="B7809" s="4" t="s">
        <v>5435</v>
      </c>
      <c r="C7809" s="4" t="n">
        <v>10</v>
      </c>
      <c r="D7809" s="4" t="n">
        <v>12</v>
      </c>
      <c r="E7809" s="4" t="s">
        <v>5487</v>
      </c>
      <c r="F7809" s="4" t="n">
        <v>4</v>
      </c>
      <c r="G7809" s="4" t="n">
        <v>10</v>
      </c>
      <c r="H7809" s="4" t="n">
        <v>4</v>
      </c>
      <c r="I7809" s="4" t="str">
        <v>×</v>
      </c>
      <c r="J7809" s="4"/>
      <c r="K7809" s="4"/>
      <c r="L7809" s="4"/>
      <c r="M7809" s="5" t="s">
        <v>5346</v>
      </c>
    </row>
    <row r="7810" customFormat="false" ht="15.75" hidden="false" customHeight="false" outlineLevel="0" collapsed="false">
      <c r="A7810" s="6" t="n">
        <v>46165</v>
      </c>
      <c r="B7810" s="4" t="s">
        <v>5435</v>
      </c>
      <c r="C7810" s="4" t="n">
        <v>10</v>
      </c>
      <c r="D7810" s="4" t="n">
        <v>13</v>
      </c>
      <c r="E7810" s="4" t="s">
        <v>265</v>
      </c>
      <c r="F7810" s="4" t="n">
        <v>4</v>
      </c>
      <c r="G7810" s="4" t="n">
        <v>10</v>
      </c>
      <c r="H7810" s="4" t="n">
        <v>4</v>
      </c>
      <c r="I7810" s="4" t="str">
        <v>×</v>
      </c>
      <c r="J7810" s="4"/>
      <c r="K7810" s="4"/>
      <c r="L7810" s="4"/>
      <c r="M7810" s="5" t="s">
        <v>5346</v>
      </c>
    </row>
    <row r="7811" customFormat="false" ht="15.75" hidden="false" customHeight="false" outlineLevel="0" collapsed="false">
      <c r="A7811" s="6" t="n">
        <v>46165</v>
      </c>
      <c r="B7811" s="4" t="s">
        <v>5435</v>
      </c>
      <c r="C7811" s="4" t="n">
        <v>10</v>
      </c>
      <c r="D7811" s="4" t="n">
        <v>14</v>
      </c>
      <c r="E7811" s="4" t="s">
        <v>2917</v>
      </c>
      <c r="F7811" s="4" t="n">
        <v>17</v>
      </c>
      <c r="G7811" s="4" t="n">
        <v>7</v>
      </c>
      <c r="H7811" s="4" t="n">
        <v>4</v>
      </c>
      <c r="I7811" s="4" t="str">
        <v>×</v>
      </c>
      <c r="J7811" s="4"/>
      <c r="K7811" s="4"/>
      <c r="L7811" s="4"/>
      <c r="M7811" s="5" t="s">
        <v>5346</v>
      </c>
    </row>
    <row r="7812" customFormat="false" ht="15.75" hidden="false" customHeight="false" outlineLevel="0" collapsed="false">
      <c r="A7812" s="6" t="n">
        <v>46165</v>
      </c>
      <c r="B7812" s="4" t="s">
        <v>5435</v>
      </c>
      <c r="C7812" s="4" t="n">
        <v>10</v>
      </c>
      <c r="D7812" s="4" t="n">
        <v>15</v>
      </c>
      <c r="E7812" s="4" t="s">
        <v>1692</v>
      </c>
      <c r="F7812" s="4" t="n">
        <v>20</v>
      </c>
      <c r="G7812" s="4" t="n">
        <v>6</v>
      </c>
      <c r="H7812" s="4" t="n">
        <v>1</v>
      </c>
      <c r="I7812" s="4" t="str">
        <v>○</v>
      </c>
      <c r="J7812" s="4" t="n">
        <v>200</v>
      </c>
      <c r="K7812" s="4"/>
      <c r="L7812" s="4"/>
      <c r="M7812" s="5" t="s">
        <v>5346</v>
      </c>
    </row>
    <row r="7813" customFormat="false" ht="15.75" hidden="false" customHeight="false" outlineLevel="0" collapsed="false">
      <c r="A7813" s="6" t="n">
        <v>46165</v>
      </c>
      <c r="B7813" s="4" t="s">
        <v>5435</v>
      </c>
      <c r="C7813" s="4" t="n">
        <v>10</v>
      </c>
      <c r="D7813" s="4" t="n">
        <v>16</v>
      </c>
      <c r="E7813" s="4" t="s">
        <v>5488</v>
      </c>
      <c r="F7813" s="4" t="n">
        <v>8</v>
      </c>
      <c r="G7813" s="4" t="n">
        <v>8</v>
      </c>
      <c r="H7813" s="4" t="n">
        <v>4</v>
      </c>
      <c r="I7813" s="4" t="str">
        <v>×</v>
      </c>
      <c r="J7813" s="4"/>
      <c r="K7813" s="4"/>
      <c r="L7813" s="4"/>
      <c r="M7813" s="5" t="s">
        <v>5346</v>
      </c>
    </row>
    <row r="7814" customFormat="false" ht="15.75" hidden="false" customHeight="false" outlineLevel="0" collapsed="false">
      <c r="A7814" s="6" t="n">
        <v>46165</v>
      </c>
      <c r="B7814" s="4" t="s">
        <v>5435</v>
      </c>
      <c r="C7814" s="4" t="n">
        <v>11</v>
      </c>
      <c r="D7814" s="4" t="n">
        <v>1</v>
      </c>
      <c r="E7814" s="4" t="s">
        <v>3105</v>
      </c>
      <c r="F7814" s="4" t="n">
        <v>20</v>
      </c>
      <c r="G7814" s="4" t="n">
        <v>6</v>
      </c>
      <c r="H7814" s="4" t="n">
        <v>4</v>
      </c>
      <c r="I7814" s="4" t="str">
        <v>×</v>
      </c>
      <c r="J7814" s="4"/>
      <c r="K7814" s="4"/>
      <c r="L7814" s="4"/>
      <c r="M7814" s="5" t="s">
        <v>5346</v>
      </c>
    </row>
    <row r="7815" customFormat="false" ht="15.75" hidden="false" customHeight="false" outlineLevel="0" collapsed="false">
      <c r="A7815" s="6" t="n">
        <v>46165</v>
      </c>
      <c r="B7815" s="4" t="s">
        <v>5435</v>
      </c>
      <c r="C7815" s="4" t="n">
        <v>11</v>
      </c>
      <c r="D7815" s="4" t="n">
        <v>2</v>
      </c>
      <c r="E7815" s="4" t="s">
        <v>5489</v>
      </c>
      <c r="F7815" s="4" t="n">
        <v>4</v>
      </c>
      <c r="G7815" s="4" t="n">
        <v>8</v>
      </c>
      <c r="H7815" s="4" t="n">
        <v>4</v>
      </c>
      <c r="I7815" s="4" t="str">
        <v>×</v>
      </c>
      <c r="J7815" s="4"/>
      <c r="K7815" s="4"/>
      <c r="L7815" s="4"/>
      <c r="M7815" s="5" t="s">
        <v>5346</v>
      </c>
    </row>
    <row r="7816" customFormat="false" ht="15.75" hidden="false" customHeight="false" outlineLevel="0" collapsed="false">
      <c r="A7816" s="6" t="n">
        <v>46165</v>
      </c>
      <c r="B7816" s="4" t="s">
        <v>5435</v>
      </c>
      <c r="C7816" s="4" t="n">
        <v>11</v>
      </c>
      <c r="D7816" s="4" t="n">
        <v>3</v>
      </c>
      <c r="E7816" s="4" t="s">
        <v>5490</v>
      </c>
      <c r="F7816" s="4" t="n">
        <v>44</v>
      </c>
      <c r="G7816" s="4" t="n">
        <v>2</v>
      </c>
      <c r="H7816" s="4" t="n">
        <v>4</v>
      </c>
      <c r="I7816" s="4" t="str">
        <v>×</v>
      </c>
      <c r="J7816" s="4"/>
      <c r="K7816" s="4"/>
      <c r="L7816" s="4"/>
      <c r="M7816" s="5" t="s">
        <v>5346</v>
      </c>
    </row>
    <row r="7817" customFormat="false" ht="15.75" hidden="false" customHeight="false" outlineLevel="0" collapsed="false">
      <c r="A7817" s="6" t="n">
        <v>46165</v>
      </c>
      <c r="B7817" s="4" t="s">
        <v>5435</v>
      </c>
      <c r="C7817" s="4" t="n">
        <v>11</v>
      </c>
      <c r="D7817" s="4" t="n">
        <v>4</v>
      </c>
      <c r="E7817" s="4" t="s">
        <v>5491</v>
      </c>
      <c r="F7817" s="4" t="n">
        <v>10</v>
      </c>
      <c r="G7817" s="4" t="n">
        <v>7</v>
      </c>
      <c r="H7817" s="4" t="n">
        <v>4</v>
      </c>
      <c r="I7817" s="4" t="str">
        <v>×</v>
      </c>
      <c r="J7817" s="4"/>
      <c r="K7817" s="4"/>
      <c r="L7817" s="4"/>
      <c r="M7817" s="5" t="s">
        <v>5346</v>
      </c>
    </row>
    <row r="7818" customFormat="false" ht="15.75" hidden="false" customHeight="false" outlineLevel="0" collapsed="false">
      <c r="A7818" s="6" t="n">
        <v>46165</v>
      </c>
      <c r="B7818" s="4" t="s">
        <v>5435</v>
      </c>
      <c r="C7818" s="4" t="n">
        <v>11</v>
      </c>
      <c r="D7818" s="4" t="n">
        <v>5</v>
      </c>
      <c r="E7818" s="4" t="s">
        <v>5492</v>
      </c>
      <c r="F7818" s="4" t="n">
        <v>34</v>
      </c>
      <c r="G7818" s="4" t="n">
        <v>3</v>
      </c>
      <c r="H7818" s="4" t="n">
        <v>2</v>
      </c>
      <c r="I7818" s="4" t="str">
        <v>○</v>
      </c>
      <c r="J7818" s="4" t="n">
        <v>430</v>
      </c>
      <c r="K7818" s="4"/>
      <c r="L7818" s="4"/>
      <c r="M7818" s="5" t="s">
        <v>5346</v>
      </c>
    </row>
    <row r="7819" customFormat="false" ht="15.75" hidden="false" customHeight="false" outlineLevel="0" collapsed="false">
      <c r="A7819" s="6" t="n">
        <v>46165</v>
      </c>
      <c r="B7819" s="4" t="s">
        <v>5435</v>
      </c>
      <c r="C7819" s="4" t="n">
        <v>11</v>
      </c>
      <c r="D7819" s="4" t="n">
        <v>6</v>
      </c>
      <c r="E7819" s="4" t="s">
        <v>1366</v>
      </c>
      <c r="F7819" s="4" t="n">
        <v>29</v>
      </c>
      <c r="G7819" s="4" t="n">
        <v>4</v>
      </c>
      <c r="H7819" s="4" t="n">
        <v>4</v>
      </c>
      <c r="I7819" s="4" t="str">
        <v>×</v>
      </c>
      <c r="J7819" s="4"/>
      <c r="K7819" s="4"/>
      <c r="L7819" s="4"/>
      <c r="M7819" s="5" t="s">
        <v>5346</v>
      </c>
    </row>
    <row r="7820" customFormat="false" ht="15.75" hidden="false" customHeight="false" outlineLevel="0" collapsed="false">
      <c r="A7820" s="6" t="n">
        <v>46165</v>
      </c>
      <c r="B7820" s="4" t="s">
        <v>5435</v>
      </c>
      <c r="C7820" s="4" t="n">
        <v>11</v>
      </c>
      <c r="D7820" s="4" t="n">
        <v>7</v>
      </c>
      <c r="E7820" s="4" t="s">
        <v>3941</v>
      </c>
      <c r="F7820" s="4" t="n">
        <v>23</v>
      </c>
      <c r="G7820" s="4" t="n">
        <v>5</v>
      </c>
      <c r="H7820" s="4" t="n">
        <v>4</v>
      </c>
      <c r="I7820" s="4" t="str">
        <v>×</v>
      </c>
      <c r="J7820" s="4"/>
      <c r="K7820" s="4"/>
      <c r="L7820" s="4"/>
      <c r="M7820" s="5" t="s">
        <v>5346</v>
      </c>
    </row>
    <row r="7821" customFormat="false" ht="15.75" hidden="false" customHeight="false" outlineLevel="0" collapsed="false">
      <c r="A7821" s="6" t="n">
        <v>46165</v>
      </c>
      <c r="B7821" s="4" t="s">
        <v>5435</v>
      </c>
      <c r="C7821" s="4" t="n">
        <v>11</v>
      </c>
      <c r="D7821" s="4" t="n">
        <v>8</v>
      </c>
      <c r="E7821" s="4" t="s">
        <v>5493</v>
      </c>
      <c r="F7821" s="4" t="n">
        <v>20</v>
      </c>
      <c r="G7821" s="4" t="n">
        <v>6</v>
      </c>
      <c r="H7821" s="4" t="n">
        <v>4</v>
      </c>
      <c r="I7821" s="4" t="str">
        <v>×</v>
      </c>
      <c r="J7821" s="4"/>
      <c r="K7821" s="4"/>
      <c r="L7821" s="4"/>
      <c r="M7821" s="5" t="s">
        <v>5346</v>
      </c>
    </row>
    <row r="7822" customFormat="false" ht="15.75" hidden="false" customHeight="false" outlineLevel="0" collapsed="false">
      <c r="A7822" s="6" t="n">
        <v>46165</v>
      </c>
      <c r="B7822" s="4" t="s">
        <v>5435</v>
      </c>
      <c r="C7822" s="4" t="n">
        <v>11</v>
      </c>
      <c r="D7822" s="4" t="n">
        <v>9</v>
      </c>
      <c r="E7822" s="4" t="s">
        <v>3101</v>
      </c>
      <c r="F7822" s="4" t="n">
        <v>20</v>
      </c>
      <c r="G7822" s="4" t="n">
        <v>6</v>
      </c>
      <c r="H7822" s="4" t="n">
        <v>4</v>
      </c>
      <c r="I7822" s="4" t="str">
        <v>×</v>
      </c>
      <c r="J7822" s="4"/>
      <c r="K7822" s="4"/>
      <c r="L7822" s="4"/>
      <c r="M7822" s="5" t="s">
        <v>5346</v>
      </c>
    </row>
    <row r="7823" customFormat="false" ht="15.75" hidden="false" customHeight="false" outlineLevel="0" collapsed="false">
      <c r="A7823" s="6" t="n">
        <v>46165</v>
      </c>
      <c r="B7823" s="4" t="s">
        <v>5435</v>
      </c>
      <c r="C7823" s="4" t="n">
        <v>11</v>
      </c>
      <c r="D7823" s="4" t="n">
        <v>10</v>
      </c>
      <c r="E7823" s="4" t="s">
        <v>2539</v>
      </c>
      <c r="F7823" s="4" t="n">
        <v>20</v>
      </c>
      <c r="G7823" s="4" t="n">
        <v>6</v>
      </c>
      <c r="H7823" s="4" t="n">
        <v>4</v>
      </c>
      <c r="I7823" s="4" t="str">
        <v>×</v>
      </c>
      <c r="J7823" s="4"/>
      <c r="K7823" s="4"/>
      <c r="L7823" s="4"/>
      <c r="M7823" s="5" t="s">
        <v>5346</v>
      </c>
    </row>
    <row r="7824" customFormat="false" ht="15.75" hidden="false" customHeight="false" outlineLevel="0" collapsed="false">
      <c r="A7824" s="6" t="n">
        <v>46165</v>
      </c>
      <c r="B7824" s="4" t="s">
        <v>5435</v>
      </c>
      <c r="C7824" s="4" t="n">
        <v>11</v>
      </c>
      <c r="D7824" s="4" t="n">
        <v>11</v>
      </c>
      <c r="E7824" s="4" t="s">
        <v>3938</v>
      </c>
      <c r="F7824" s="4" t="n">
        <v>34</v>
      </c>
      <c r="G7824" s="4" t="n">
        <v>3</v>
      </c>
      <c r="H7824" s="4" t="n">
        <v>3</v>
      </c>
      <c r="I7824" s="4" t="str">
        <v>○</v>
      </c>
      <c r="J7824" s="4" t="n">
        <v>280</v>
      </c>
      <c r="K7824" s="4"/>
      <c r="L7824" s="4"/>
      <c r="M7824" s="5" t="s">
        <v>5346</v>
      </c>
    </row>
    <row r="7825" customFormat="false" ht="15.75" hidden="false" customHeight="false" outlineLevel="0" collapsed="false">
      <c r="A7825" s="6" t="n">
        <v>46165</v>
      </c>
      <c r="B7825" s="4" t="s">
        <v>5435</v>
      </c>
      <c r="C7825" s="4" t="n">
        <v>11</v>
      </c>
      <c r="D7825" s="4" t="n">
        <v>12</v>
      </c>
      <c r="E7825" s="4" t="s">
        <v>3940</v>
      </c>
      <c r="F7825" s="4" t="n">
        <v>10</v>
      </c>
      <c r="G7825" s="4" t="n">
        <v>7</v>
      </c>
      <c r="H7825" s="4" t="n">
        <v>4</v>
      </c>
      <c r="I7825" s="4" t="str">
        <v>×</v>
      </c>
      <c r="J7825" s="4"/>
      <c r="K7825" s="4"/>
      <c r="L7825" s="4"/>
      <c r="M7825" s="5" t="s">
        <v>5346</v>
      </c>
    </row>
    <row r="7826" customFormat="false" ht="15.75" hidden="false" customHeight="false" outlineLevel="0" collapsed="false">
      <c r="A7826" s="6" t="n">
        <v>46165</v>
      </c>
      <c r="B7826" s="4" t="s">
        <v>5435</v>
      </c>
      <c r="C7826" s="4" t="n">
        <v>11</v>
      </c>
      <c r="D7826" s="4" t="n">
        <v>13</v>
      </c>
      <c r="E7826" s="4" t="s">
        <v>1359</v>
      </c>
      <c r="F7826" s="4" t="n">
        <v>20</v>
      </c>
      <c r="G7826" s="4" t="n">
        <v>6</v>
      </c>
      <c r="H7826" s="4" t="n">
        <v>4</v>
      </c>
      <c r="I7826" s="4" t="str">
        <v>×</v>
      </c>
      <c r="J7826" s="4"/>
      <c r="K7826" s="4"/>
      <c r="L7826" s="4"/>
      <c r="M7826" s="5" t="s">
        <v>5346</v>
      </c>
    </row>
    <row r="7827" customFormat="false" ht="15.75" hidden="false" customHeight="false" outlineLevel="0" collapsed="false">
      <c r="A7827" s="6" t="n">
        <v>46165</v>
      </c>
      <c r="B7827" s="4" t="s">
        <v>5435</v>
      </c>
      <c r="C7827" s="4" t="n">
        <v>11</v>
      </c>
      <c r="D7827" s="4" t="n">
        <v>14</v>
      </c>
      <c r="E7827" s="4" t="s">
        <v>5494</v>
      </c>
      <c r="F7827" s="4" t="n">
        <v>44</v>
      </c>
      <c r="G7827" s="4" t="n">
        <v>2</v>
      </c>
      <c r="H7827" s="4" t="n">
        <v>1</v>
      </c>
      <c r="I7827" s="4" t="str">
        <v>○</v>
      </c>
      <c r="J7827" s="4" t="n">
        <v>120</v>
      </c>
      <c r="K7827" s="4"/>
      <c r="L7827" s="4"/>
      <c r="M7827" s="5" t="s">
        <v>5346</v>
      </c>
    </row>
    <row r="7828" customFormat="false" ht="15.75" hidden="false" customHeight="false" outlineLevel="0" collapsed="false">
      <c r="A7828" s="6" t="n">
        <v>46165</v>
      </c>
      <c r="B7828" s="4" t="s">
        <v>5435</v>
      </c>
      <c r="C7828" s="4" t="n">
        <v>11</v>
      </c>
      <c r="D7828" s="4" t="n">
        <v>15</v>
      </c>
      <c r="E7828" s="4" t="s">
        <v>5495</v>
      </c>
      <c r="F7828" s="4" t="n">
        <v>47</v>
      </c>
      <c r="G7828" s="4" t="n">
        <v>1</v>
      </c>
      <c r="H7828" s="4" t="n">
        <v>4</v>
      </c>
      <c r="I7828" s="4" t="str">
        <v>×</v>
      </c>
      <c r="J7828" s="4"/>
      <c r="K7828" s="4"/>
      <c r="L7828" s="4"/>
      <c r="M7828" s="5" t="s">
        <v>5346</v>
      </c>
    </row>
    <row r="7829" customFormat="false" ht="15.75" hidden="false" customHeight="false" outlineLevel="0" collapsed="false">
      <c r="A7829" s="6" t="n">
        <v>46165</v>
      </c>
      <c r="B7829" s="4" t="s">
        <v>5435</v>
      </c>
      <c r="C7829" s="4" t="n">
        <v>11</v>
      </c>
      <c r="D7829" s="4" t="n">
        <v>16</v>
      </c>
      <c r="E7829" s="4" t="s">
        <v>5496</v>
      </c>
      <c r="F7829" s="4" t="n">
        <v>44</v>
      </c>
      <c r="G7829" s="4" t="n">
        <v>2</v>
      </c>
      <c r="H7829" s="4" t="n">
        <v>4</v>
      </c>
      <c r="I7829" s="4" t="str">
        <v>×</v>
      </c>
      <c r="J7829" s="4"/>
      <c r="K7829" s="4"/>
      <c r="L7829" s="4"/>
      <c r="M7829" s="5" t="s">
        <v>5346</v>
      </c>
    </row>
    <row r="7830" customFormat="false" ht="15.75" hidden="false" customHeight="false" outlineLevel="0" collapsed="false">
      <c r="A7830" s="6" t="n">
        <v>46165</v>
      </c>
      <c r="B7830" s="4" t="s">
        <v>5435</v>
      </c>
      <c r="C7830" s="4" t="n">
        <v>12</v>
      </c>
      <c r="D7830" s="4" t="n">
        <v>1</v>
      </c>
      <c r="E7830" s="4" t="s">
        <v>3092</v>
      </c>
      <c r="F7830" s="4" t="n">
        <v>1</v>
      </c>
      <c r="G7830" s="4" t="n">
        <v>12</v>
      </c>
      <c r="H7830" s="4" t="n">
        <v>4</v>
      </c>
      <c r="I7830" s="4" t="str">
        <v>×</v>
      </c>
      <c r="J7830" s="4"/>
      <c r="K7830" s="4"/>
      <c r="L7830" s="4"/>
      <c r="M7830" s="5" t="s">
        <v>5346</v>
      </c>
    </row>
    <row r="7831" customFormat="false" ht="15.75" hidden="false" customHeight="false" outlineLevel="0" collapsed="false">
      <c r="A7831" s="6" t="n">
        <v>46165</v>
      </c>
      <c r="B7831" s="4" t="s">
        <v>5435</v>
      </c>
      <c r="C7831" s="4" t="n">
        <v>12</v>
      </c>
      <c r="D7831" s="4" t="n">
        <v>2</v>
      </c>
      <c r="E7831" s="4" t="s">
        <v>5497</v>
      </c>
      <c r="F7831" s="4" t="n">
        <v>13</v>
      </c>
      <c r="G7831" s="4" t="n">
        <v>8</v>
      </c>
      <c r="H7831" s="4" t="n">
        <v>4</v>
      </c>
      <c r="I7831" s="4" t="str">
        <v>×</v>
      </c>
      <c r="J7831" s="4"/>
      <c r="K7831" s="4"/>
      <c r="L7831" s="4"/>
      <c r="M7831" s="5" t="s">
        <v>5346</v>
      </c>
    </row>
    <row r="7832" customFormat="false" ht="15.75" hidden="false" customHeight="false" outlineLevel="0" collapsed="false">
      <c r="A7832" s="6" t="n">
        <v>46165</v>
      </c>
      <c r="B7832" s="4" t="s">
        <v>5435</v>
      </c>
      <c r="C7832" s="4" t="n">
        <v>12</v>
      </c>
      <c r="D7832" s="4" t="n">
        <v>3</v>
      </c>
      <c r="E7832" s="4" t="s">
        <v>1988</v>
      </c>
      <c r="F7832" s="4" t="n">
        <v>13</v>
      </c>
      <c r="G7832" s="4" t="n">
        <v>8</v>
      </c>
      <c r="H7832" s="4" t="n">
        <v>4</v>
      </c>
      <c r="I7832" s="4" t="str">
        <v>×</v>
      </c>
      <c r="J7832" s="4"/>
      <c r="K7832" s="4"/>
      <c r="L7832" s="4"/>
      <c r="M7832" s="5" t="s">
        <v>5346</v>
      </c>
    </row>
    <row r="7833" customFormat="false" ht="15.75" hidden="false" customHeight="false" outlineLevel="0" collapsed="false">
      <c r="A7833" s="6" t="n">
        <v>46165</v>
      </c>
      <c r="B7833" s="4" t="s">
        <v>5435</v>
      </c>
      <c r="C7833" s="4" t="n">
        <v>12</v>
      </c>
      <c r="D7833" s="4" t="n">
        <v>4</v>
      </c>
      <c r="E7833" s="4" t="s">
        <v>5498</v>
      </c>
      <c r="F7833" s="4" t="n">
        <v>67</v>
      </c>
      <c r="G7833" s="4" t="n">
        <v>1</v>
      </c>
      <c r="H7833" s="4" t="n">
        <v>1</v>
      </c>
      <c r="I7833" s="4" t="str">
        <v>○</v>
      </c>
      <c r="J7833" s="4" t="n">
        <v>130</v>
      </c>
      <c r="K7833" s="4"/>
      <c r="L7833" s="4"/>
      <c r="M7833" s="5" t="s">
        <v>5346</v>
      </c>
    </row>
    <row r="7834" customFormat="false" ht="15.75" hidden="false" customHeight="false" outlineLevel="0" collapsed="false">
      <c r="A7834" s="6" t="n">
        <v>46165</v>
      </c>
      <c r="B7834" s="4" t="s">
        <v>5435</v>
      </c>
      <c r="C7834" s="4" t="n">
        <v>12</v>
      </c>
      <c r="D7834" s="4" t="n">
        <v>5</v>
      </c>
      <c r="E7834" s="4" t="s">
        <v>3944</v>
      </c>
      <c r="F7834" s="4" t="n">
        <v>8</v>
      </c>
      <c r="G7834" s="4" t="n">
        <v>9</v>
      </c>
      <c r="H7834" s="4" t="n">
        <v>4</v>
      </c>
      <c r="I7834" s="4" t="str">
        <v>×</v>
      </c>
      <c r="J7834" s="4"/>
      <c r="K7834" s="4"/>
      <c r="L7834" s="4"/>
      <c r="M7834" s="5" t="s">
        <v>5346</v>
      </c>
    </row>
    <row r="7835" customFormat="false" ht="15.75" hidden="false" customHeight="false" outlineLevel="0" collapsed="false">
      <c r="A7835" s="6" t="n">
        <v>46165</v>
      </c>
      <c r="B7835" s="4" t="s">
        <v>5435</v>
      </c>
      <c r="C7835" s="4" t="n">
        <v>12</v>
      </c>
      <c r="D7835" s="4" t="n">
        <v>6</v>
      </c>
      <c r="E7835" s="4" t="s">
        <v>5499</v>
      </c>
      <c r="F7835" s="4" t="n">
        <v>44</v>
      </c>
      <c r="G7835" s="4" t="n">
        <v>3</v>
      </c>
      <c r="H7835" s="4" t="n">
        <v>3</v>
      </c>
      <c r="I7835" s="4" t="str">
        <v>○</v>
      </c>
      <c r="J7835" s="4" t="n">
        <v>160</v>
      </c>
      <c r="K7835" s="4"/>
      <c r="L7835" s="4"/>
      <c r="M7835" s="5" t="s">
        <v>5346</v>
      </c>
    </row>
    <row r="7836" customFormat="false" ht="15.75" hidden="false" customHeight="false" outlineLevel="0" collapsed="false">
      <c r="A7836" s="6" t="n">
        <v>46165</v>
      </c>
      <c r="B7836" s="4" t="s">
        <v>5435</v>
      </c>
      <c r="C7836" s="4" t="n">
        <v>12</v>
      </c>
      <c r="D7836" s="4" t="n">
        <v>7</v>
      </c>
      <c r="E7836" s="4" t="s">
        <v>4847</v>
      </c>
      <c r="F7836" s="4" t="n">
        <v>15</v>
      </c>
      <c r="G7836" s="4" t="n">
        <v>7</v>
      </c>
      <c r="H7836" s="4" t="n">
        <v>2</v>
      </c>
      <c r="I7836" s="4" t="str">
        <v>○</v>
      </c>
      <c r="J7836" s="4" t="n">
        <v>250</v>
      </c>
      <c r="K7836" s="4"/>
      <c r="L7836" s="4"/>
      <c r="M7836" s="5" t="s">
        <v>5346</v>
      </c>
    </row>
    <row r="7837" customFormat="false" ht="15.75" hidden="false" customHeight="false" outlineLevel="0" collapsed="false">
      <c r="A7837" s="6" t="n">
        <v>46165</v>
      </c>
      <c r="B7837" s="4" t="s">
        <v>5435</v>
      </c>
      <c r="C7837" s="4" t="n">
        <v>12</v>
      </c>
      <c r="D7837" s="4" t="n">
        <v>8</v>
      </c>
      <c r="E7837" s="4" t="s">
        <v>5500</v>
      </c>
      <c r="F7837" s="4" t="n">
        <v>47</v>
      </c>
      <c r="G7837" s="4" t="n">
        <v>2</v>
      </c>
      <c r="H7837" s="4" t="n">
        <v>4</v>
      </c>
      <c r="I7837" s="4" t="str">
        <v>×</v>
      </c>
      <c r="J7837" s="4"/>
      <c r="K7837" s="4"/>
      <c r="L7837" s="4"/>
      <c r="M7837" s="5" t="s">
        <v>5346</v>
      </c>
    </row>
    <row r="7838" customFormat="false" ht="15.75" hidden="false" customHeight="false" outlineLevel="0" collapsed="false">
      <c r="A7838" s="6" t="n">
        <v>46165</v>
      </c>
      <c r="B7838" s="4" t="s">
        <v>5435</v>
      </c>
      <c r="C7838" s="4" t="n">
        <v>12</v>
      </c>
      <c r="D7838" s="4" t="n">
        <v>9</v>
      </c>
      <c r="E7838" s="4" t="s">
        <v>5501</v>
      </c>
      <c r="F7838" s="4" t="n">
        <v>6</v>
      </c>
      <c r="G7838" s="4" t="n">
        <v>10</v>
      </c>
      <c r="H7838" s="4" t="n">
        <v>4</v>
      </c>
      <c r="I7838" s="4" t="str">
        <v>×</v>
      </c>
      <c r="J7838" s="4"/>
      <c r="K7838" s="4"/>
      <c r="L7838" s="4"/>
      <c r="M7838" s="5" t="s">
        <v>5346</v>
      </c>
    </row>
    <row r="7839" customFormat="false" ht="15.75" hidden="false" customHeight="false" outlineLevel="0" collapsed="false">
      <c r="A7839" s="6" t="n">
        <v>46165</v>
      </c>
      <c r="B7839" s="4" t="s">
        <v>5435</v>
      </c>
      <c r="C7839" s="4" t="n">
        <v>12</v>
      </c>
      <c r="D7839" s="4" t="n">
        <v>10</v>
      </c>
      <c r="E7839" s="4" t="s">
        <v>4844</v>
      </c>
      <c r="F7839" s="4" t="n">
        <v>20</v>
      </c>
      <c r="G7839" s="4" t="n">
        <v>6</v>
      </c>
      <c r="H7839" s="4" t="n">
        <v>4</v>
      </c>
      <c r="I7839" s="4" t="str">
        <v>×</v>
      </c>
      <c r="J7839" s="4"/>
      <c r="K7839" s="4"/>
      <c r="L7839" s="4"/>
      <c r="M7839" s="5" t="s">
        <v>5346</v>
      </c>
    </row>
    <row r="7840" customFormat="false" ht="15.75" hidden="false" customHeight="false" outlineLevel="0" collapsed="false">
      <c r="A7840" s="6" t="n">
        <v>46165</v>
      </c>
      <c r="B7840" s="4" t="s">
        <v>5435</v>
      </c>
      <c r="C7840" s="4" t="n">
        <v>12</v>
      </c>
      <c r="D7840" s="4" t="n">
        <v>11</v>
      </c>
      <c r="E7840" s="4" t="s">
        <v>4337</v>
      </c>
      <c r="F7840" s="4" t="n">
        <v>4</v>
      </c>
      <c r="G7840" s="4" t="n">
        <v>11</v>
      </c>
      <c r="H7840" s="4" t="n">
        <v>4</v>
      </c>
      <c r="I7840" s="4" t="str">
        <v>×</v>
      </c>
      <c r="J7840" s="4"/>
      <c r="K7840" s="4"/>
      <c r="L7840" s="4"/>
      <c r="M7840" s="5" t="s">
        <v>5346</v>
      </c>
    </row>
    <row r="7841" customFormat="false" ht="15.75" hidden="false" customHeight="false" outlineLevel="0" collapsed="false">
      <c r="A7841" s="6" t="n">
        <v>46165</v>
      </c>
      <c r="B7841" s="4" t="s">
        <v>5435</v>
      </c>
      <c r="C7841" s="4" t="n">
        <v>12</v>
      </c>
      <c r="D7841" s="4" t="n">
        <v>12</v>
      </c>
      <c r="E7841" s="4" t="s">
        <v>5502</v>
      </c>
      <c r="F7841" s="4" t="n">
        <v>23</v>
      </c>
      <c r="G7841" s="4" t="n">
        <v>5</v>
      </c>
      <c r="H7841" s="4" t="n">
        <v>4</v>
      </c>
      <c r="I7841" s="4" t="str">
        <v>×</v>
      </c>
      <c r="J7841" s="4"/>
      <c r="K7841" s="4"/>
      <c r="L7841" s="4"/>
      <c r="M7841" s="5" t="s">
        <v>5346</v>
      </c>
    </row>
    <row r="7842" customFormat="false" ht="15.75" hidden="false" customHeight="false" outlineLevel="0" collapsed="false">
      <c r="A7842" s="6" t="n">
        <v>46165</v>
      </c>
      <c r="B7842" s="4" t="s">
        <v>5435</v>
      </c>
      <c r="C7842" s="4" t="n">
        <v>12</v>
      </c>
      <c r="D7842" s="4" t="n">
        <v>13</v>
      </c>
      <c r="E7842" s="4" t="s">
        <v>4782</v>
      </c>
      <c r="F7842" s="4" t="n">
        <v>8</v>
      </c>
      <c r="G7842" s="4" t="n">
        <v>9</v>
      </c>
      <c r="H7842" s="4" t="n">
        <v>4</v>
      </c>
      <c r="I7842" s="4" t="str">
        <v>×</v>
      </c>
      <c r="J7842" s="4"/>
      <c r="K7842" s="4"/>
      <c r="L7842" s="4"/>
      <c r="M7842" s="5" t="s">
        <v>5346</v>
      </c>
    </row>
    <row r="7843" customFormat="false" ht="15.75" hidden="false" customHeight="false" outlineLevel="0" collapsed="false">
      <c r="A7843" s="6" t="n">
        <v>46165</v>
      </c>
      <c r="B7843" s="4" t="s">
        <v>5435</v>
      </c>
      <c r="C7843" s="4" t="n">
        <v>12</v>
      </c>
      <c r="D7843" s="4" t="n">
        <v>14</v>
      </c>
      <c r="E7843" s="4" t="s">
        <v>5063</v>
      </c>
      <c r="F7843" s="4" t="n">
        <v>31</v>
      </c>
      <c r="G7843" s="4" t="n">
        <v>4</v>
      </c>
      <c r="H7843" s="4" t="n">
        <v>4</v>
      </c>
      <c r="I7843" s="4" t="str">
        <v>×</v>
      </c>
      <c r="J7843" s="4"/>
      <c r="K7843" s="4"/>
      <c r="L7843" s="4"/>
      <c r="M7843" s="5" t="s">
        <v>5346</v>
      </c>
    </row>
    <row r="7844" customFormat="false" ht="15.75" hidden="false" customHeight="false" outlineLevel="0" collapsed="false">
      <c r="A7844" s="6" t="n">
        <v>46165</v>
      </c>
      <c r="B7844" s="4" t="s">
        <v>13</v>
      </c>
      <c r="C7844" s="4" t="n">
        <v>1</v>
      </c>
      <c r="D7844" s="4" t="n">
        <v>1</v>
      </c>
      <c r="E7844" s="4" t="s">
        <v>694</v>
      </c>
      <c r="F7844" s="4" t="n">
        <v>21</v>
      </c>
      <c r="G7844" s="4" t="n">
        <v>5</v>
      </c>
      <c r="H7844" s="4" t="n">
        <v>4</v>
      </c>
      <c r="I7844" s="4" t="str">
        <v>×</v>
      </c>
      <c r="J7844" s="4"/>
      <c r="K7844" s="4"/>
      <c r="L7844" s="4"/>
      <c r="M7844" s="5" t="s">
        <v>5346</v>
      </c>
    </row>
    <row r="7845" customFormat="false" ht="15.75" hidden="false" customHeight="false" outlineLevel="0" collapsed="false">
      <c r="A7845" s="6" t="n">
        <v>46165</v>
      </c>
      <c r="B7845" s="4" t="s">
        <v>13</v>
      </c>
      <c r="C7845" s="4" t="n">
        <v>1</v>
      </c>
      <c r="D7845" s="4" t="n">
        <v>2</v>
      </c>
      <c r="E7845" s="4" t="s">
        <v>5503</v>
      </c>
      <c r="F7845" s="4" t="n">
        <v>27</v>
      </c>
      <c r="G7845" s="4" t="n">
        <v>4</v>
      </c>
      <c r="H7845" s="4" t="n">
        <v>1</v>
      </c>
      <c r="I7845" s="4" t="str">
        <v>○</v>
      </c>
      <c r="J7845" s="4" t="n">
        <v>180</v>
      </c>
      <c r="K7845" s="4"/>
      <c r="L7845" s="4"/>
      <c r="M7845" s="5" t="s">
        <v>5346</v>
      </c>
    </row>
    <row r="7846" customFormat="false" ht="15.75" hidden="false" customHeight="false" outlineLevel="0" collapsed="false">
      <c r="A7846" s="6" t="n">
        <v>46165</v>
      </c>
      <c r="B7846" s="4" t="s">
        <v>13</v>
      </c>
      <c r="C7846" s="4" t="n">
        <v>1</v>
      </c>
      <c r="D7846" s="4" t="n">
        <v>3</v>
      </c>
      <c r="E7846" s="4" t="s">
        <v>576</v>
      </c>
      <c r="F7846" s="4" t="n">
        <v>6</v>
      </c>
      <c r="G7846" s="4" t="n">
        <v>8</v>
      </c>
      <c r="H7846" s="4" t="n">
        <v>4</v>
      </c>
      <c r="I7846" s="4" t="str">
        <v>×</v>
      </c>
      <c r="J7846" s="4"/>
      <c r="K7846" s="4"/>
      <c r="L7846" s="4"/>
      <c r="M7846" s="5" t="s">
        <v>5346</v>
      </c>
    </row>
    <row r="7847" customFormat="false" ht="15.75" hidden="false" customHeight="false" outlineLevel="0" collapsed="false">
      <c r="A7847" s="6" t="n">
        <v>46165</v>
      </c>
      <c r="B7847" s="4" t="s">
        <v>13</v>
      </c>
      <c r="C7847" s="4" t="n">
        <v>1</v>
      </c>
      <c r="D7847" s="4" t="n">
        <v>4</v>
      </c>
      <c r="E7847" s="4" t="s">
        <v>584</v>
      </c>
      <c r="F7847" s="4" t="n">
        <v>55</v>
      </c>
      <c r="G7847" s="4" t="n">
        <v>1</v>
      </c>
      <c r="H7847" s="4" t="n">
        <v>4</v>
      </c>
      <c r="I7847" s="4" t="str">
        <v>×</v>
      </c>
      <c r="J7847" s="4"/>
      <c r="K7847" s="4"/>
      <c r="L7847" s="4"/>
      <c r="M7847" s="5" t="s">
        <v>5346</v>
      </c>
    </row>
    <row r="7848" customFormat="false" ht="15.75" hidden="false" customHeight="false" outlineLevel="0" collapsed="false">
      <c r="A7848" s="6" t="n">
        <v>46165</v>
      </c>
      <c r="B7848" s="4" t="s">
        <v>13</v>
      </c>
      <c r="C7848" s="4" t="n">
        <v>1</v>
      </c>
      <c r="D7848" s="4" t="n">
        <v>5</v>
      </c>
      <c r="E7848" s="4" t="s">
        <v>1097</v>
      </c>
      <c r="F7848" s="4" t="n">
        <v>37</v>
      </c>
      <c r="G7848" s="4" t="n">
        <v>3</v>
      </c>
      <c r="H7848" s="4" t="n">
        <v>4</v>
      </c>
      <c r="I7848" s="4" t="str">
        <v>×</v>
      </c>
      <c r="J7848" s="4"/>
      <c r="K7848" s="4"/>
      <c r="L7848" s="4"/>
      <c r="M7848" s="5" t="s">
        <v>5346</v>
      </c>
    </row>
    <row r="7849" customFormat="false" ht="15.75" hidden="false" customHeight="false" outlineLevel="0" collapsed="false">
      <c r="A7849" s="6" t="n">
        <v>46165</v>
      </c>
      <c r="B7849" s="4" t="s">
        <v>13</v>
      </c>
      <c r="C7849" s="4" t="n">
        <v>1</v>
      </c>
      <c r="D7849" s="4" t="n">
        <v>6</v>
      </c>
      <c r="E7849" s="4" t="s">
        <v>5504</v>
      </c>
      <c r="F7849" s="4" t="n">
        <v>37</v>
      </c>
      <c r="G7849" s="4" t="n">
        <v>3</v>
      </c>
      <c r="H7849" s="4" t="n">
        <v>4</v>
      </c>
      <c r="I7849" s="4" t="str">
        <v>×</v>
      </c>
      <c r="J7849" s="4"/>
      <c r="K7849" s="4"/>
      <c r="L7849" s="4"/>
      <c r="M7849" s="5" t="s">
        <v>5346</v>
      </c>
    </row>
    <row r="7850" customFormat="false" ht="15.75" hidden="false" customHeight="false" outlineLevel="0" collapsed="false">
      <c r="A7850" s="6" t="n">
        <v>46165</v>
      </c>
      <c r="B7850" s="4" t="s">
        <v>13</v>
      </c>
      <c r="C7850" s="4" t="n">
        <v>1</v>
      </c>
      <c r="D7850" s="4" t="n">
        <v>7</v>
      </c>
      <c r="E7850" s="4" t="s">
        <v>5505</v>
      </c>
      <c r="F7850" s="4" t="n">
        <v>14</v>
      </c>
      <c r="G7850" s="4" t="n">
        <v>6</v>
      </c>
      <c r="H7850" s="4"/>
      <c r="I7850" s="4" t="str">
        <v/>
      </c>
      <c r="J7850" s="4"/>
      <c r="K7850" s="4"/>
      <c r="L7850" s="4"/>
      <c r="M7850" s="5" t="s">
        <v>5346</v>
      </c>
    </row>
    <row r="7851" customFormat="false" ht="15.75" hidden="false" customHeight="false" outlineLevel="0" collapsed="false">
      <c r="A7851" s="6" t="n">
        <v>46165</v>
      </c>
      <c r="B7851" s="4" t="s">
        <v>13</v>
      </c>
      <c r="C7851" s="4" t="n">
        <v>1</v>
      </c>
      <c r="D7851" s="4" t="n">
        <v>8</v>
      </c>
      <c r="E7851" s="4" t="s">
        <v>578</v>
      </c>
      <c r="F7851" s="4" t="n">
        <v>44</v>
      </c>
      <c r="G7851" s="4" t="n">
        <v>2</v>
      </c>
      <c r="H7851" s="4" t="n">
        <v>2</v>
      </c>
      <c r="I7851" s="4" t="str">
        <v>○</v>
      </c>
      <c r="J7851" s="4" t="n">
        <v>110</v>
      </c>
      <c r="K7851" s="4"/>
      <c r="L7851" s="4"/>
      <c r="M7851" s="5" t="s">
        <v>5346</v>
      </c>
    </row>
    <row r="7852" customFormat="false" ht="15.75" hidden="false" customHeight="false" outlineLevel="0" collapsed="false">
      <c r="A7852" s="6" t="n">
        <v>46165</v>
      </c>
      <c r="B7852" s="4" t="s">
        <v>13</v>
      </c>
      <c r="C7852" s="4" t="n">
        <v>1</v>
      </c>
      <c r="D7852" s="4" t="n">
        <v>9</v>
      </c>
      <c r="E7852" s="4" t="s">
        <v>3952</v>
      </c>
      <c r="F7852" s="4" t="n">
        <v>37</v>
      </c>
      <c r="G7852" s="4" t="n">
        <v>3</v>
      </c>
      <c r="H7852" s="4" t="n">
        <v>3</v>
      </c>
      <c r="I7852" s="4" t="str">
        <v>○</v>
      </c>
      <c r="J7852" s="4" t="n">
        <v>130</v>
      </c>
      <c r="K7852" s="4"/>
      <c r="L7852" s="4"/>
      <c r="M7852" s="5" t="s">
        <v>5346</v>
      </c>
    </row>
    <row r="7853" customFormat="false" ht="15.75" hidden="false" customHeight="false" outlineLevel="0" collapsed="false">
      <c r="A7853" s="6" t="n">
        <v>46165</v>
      </c>
      <c r="B7853" s="4" t="s">
        <v>13</v>
      </c>
      <c r="C7853" s="4" t="n">
        <v>1</v>
      </c>
      <c r="D7853" s="4" t="n">
        <v>10</v>
      </c>
      <c r="E7853" s="4" t="s">
        <v>577</v>
      </c>
      <c r="F7853" s="4" t="n">
        <v>14</v>
      </c>
      <c r="G7853" s="4" t="n">
        <v>6</v>
      </c>
      <c r="H7853" s="4" t="n">
        <v>4</v>
      </c>
      <c r="I7853" s="4" t="str">
        <v>×</v>
      </c>
      <c r="J7853" s="4"/>
      <c r="K7853" s="4"/>
      <c r="L7853" s="4"/>
      <c r="M7853" s="5" t="s">
        <v>5346</v>
      </c>
    </row>
    <row r="7854" customFormat="false" ht="15.75" hidden="false" customHeight="false" outlineLevel="0" collapsed="false">
      <c r="A7854" s="6" t="n">
        <v>46165</v>
      </c>
      <c r="B7854" s="4" t="s">
        <v>13</v>
      </c>
      <c r="C7854" s="4" t="n">
        <v>1</v>
      </c>
      <c r="D7854" s="4" t="n">
        <v>11</v>
      </c>
      <c r="E7854" s="4" t="s">
        <v>5506</v>
      </c>
      <c r="F7854" s="4" t="n">
        <v>12</v>
      </c>
      <c r="G7854" s="4" t="n">
        <v>7</v>
      </c>
      <c r="H7854" s="4" t="n">
        <v>4</v>
      </c>
      <c r="I7854" s="4" t="str">
        <v>×</v>
      </c>
      <c r="J7854" s="4"/>
      <c r="K7854" s="4"/>
      <c r="L7854" s="4"/>
      <c r="M7854" s="5" t="s">
        <v>5346</v>
      </c>
    </row>
    <row r="7855" customFormat="false" ht="15.75" hidden="false" customHeight="false" outlineLevel="0" collapsed="false">
      <c r="A7855" s="6" t="n">
        <v>46165</v>
      </c>
      <c r="B7855" s="4" t="s">
        <v>13</v>
      </c>
      <c r="C7855" s="4" t="n">
        <v>1</v>
      </c>
      <c r="D7855" s="4" t="n">
        <v>12</v>
      </c>
      <c r="E7855" s="4" t="s">
        <v>3661</v>
      </c>
      <c r="F7855" s="4" t="n">
        <v>14</v>
      </c>
      <c r="G7855" s="4" t="n">
        <v>6</v>
      </c>
      <c r="H7855" s="4" t="n">
        <v>4</v>
      </c>
      <c r="I7855" s="4" t="str">
        <v>×</v>
      </c>
      <c r="J7855" s="4"/>
      <c r="K7855" s="4"/>
      <c r="L7855" s="4"/>
      <c r="M7855" s="5" t="s">
        <v>5346</v>
      </c>
    </row>
    <row r="7856" customFormat="false" ht="15.75" hidden="false" customHeight="false" outlineLevel="0" collapsed="false">
      <c r="A7856" s="6" t="n">
        <v>46165</v>
      </c>
      <c r="B7856" s="4" t="s">
        <v>13</v>
      </c>
      <c r="C7856" s="4" t="n">
        <v>1</v>
      </c>
      <c r="D7856" s="4" t="n">
        <v>13</v>
      </c>
      <c r="E7856" s="4" t="s">
        <v>5507</v>
      </c>
      <c r="F7856" s="4" t="n">
        <v>12</v>
      </c>
      <c r="G7856" s="4" t="n">
        <v>7</v>
      </c>
      <c r="H7856" s="4" t="n">
        <v>4</v>
      </c>
      <c r="I7856" s="4" t="str">
        <v>×</v>
      </c>
      <c r="J7856" s="4"/>
      <c r="K7856" s="4"/>
      <c r="L7856" s="4"/>
      <c r="M7856" s="5" t="s">
        <v>5346</v>
      </c>
    </row>
    <row r="7857" customFormat="false" ht="15.75" hidden="false" customHeight="false" outlineLevel="0" collapsed="false">
      <c r="A7857" s="6" t="n">
        <v>46165</v>
      </c>
      <c r="B7857" s="4" t="s">
        <v>13</v>
      </c>
      <c r="C7857" s="4" t="n">
        <v>1</v>
      </c>
      <c r="D7857" s="4" t="n">
        <v>14</v>
      </c>
      <c r="E7857" s="4" t="s">
        <v>2809</v>
      </c>
      <c r="F7857" s="4" t="n">
        <v>14</v>
      </c>
      <c r="G7857" s="4" t="n">
        <v>6</v>
      </c>
      <c r="H7857" s="4" t="n">
        <v>4</v>
      </c>
      <c r="I7857" s="4" t="str">
        <v>×</v>
      </c>
      <c r="J7857" s="4"/>
      <c r="K7857" s="4"/>
      <c r="L7857" s="4"/>
      <c r="M7857" s="5" t="s">
        <v>5346</v>
      </c>
    </row>
    <row r="7858" customFormat="false" ht="15.75" hidden="false" customHeight="false" outlineLevel="0" collapsed="false">
      <c r="A7858" s="6" t="n">
        <v>46165</v>
      </c>
      <c r="B7858" s="4" t="s">
        <v>13</v>
      </c>
      <c r="C7858" s="4" t="n">
        <v>2</v>
      </c>
      <c r="D7858" s="4" t="n">
        <v>1</v>
      </c>
      <c r="E7858" s="4" t="s">
        <v>5508</v>
      </c>
      <c r="F7858" s="4" t="n">
        <v>2</v>
      </c>
      <c r="G7858" s="4" t="n">
        <v>9</v>
      </c>
      <c r="H7858" s="4" t="n">
        <v>4</v>
      </c>
      <c r="I7858" s="4" t="str">
        <v>×</v>
      </c>
      <c r="J7858" s="4"/>
      <c r="K7858" s="4"/>
      <c r="L7858" s="4"/>
      <c r="M7858" s="5" t="s">
        <v>5346</v>
      </c>
    </row>
    <row r="7859" customFormat="false" ht="15.75" hidden="false" customHeight="false" outlineLevel="0" collapsed="false">
      <c r="A7859" s="6" t="n">
        <v>46165</v>
      </c>
      <c r="B7859" s="4" t="s">
        <v>13</v>
      </c>
      <c r="C7859" s="4" t="n">
        <v>2</v>
      </c>
      <c r="D7859" s="4" t="n">
        <v>2</v>
      </c>
      <c r="E7859" s="4" t="s">
        <v>1747</v>
      </c>
      <c r="F7859" s="4" t="n">
        <v>60</v>
      </c>
      <c r="G7859" s="4" t="n">
        <v>2</v>
      </c>
      <c r="H7859" s="4" t="n">
        <v>4</v>
      </c>
      <c r="I7859" s="4" t="str">
        <v>×</v>
      </c>
      <c r="J7859" s="4"/>
      <c r="K7859" s="4"/>
      <c r="L7859" s="4"/>
      <c r="M7859" s="5" t="s">
        <v>5346</v>
      </c>
    </row>
    <row r="7860" customFormat="false" ht="15.75" hidden="false" customHeight="false" outlineLevel="0" collapsed="false">
      <c r="A7860" s="6" t="n">
        <v>46165</v>
      </c>
      <c r="B7860" s="4" t="s">
        <v>13</v>
      </c>
      <c r="C7860" s="4" t="n">
        <v>2</v>
      </c>
      <c r="D7860" s="4" t="n">
        <v>3</v>
      </c>
      <c r="E7860" s="4" t="s">
        <v>1435</v>
      </c>
      <c r="F7860" s="4" t="n">
        <v>3</v>
      </c>
      <c r="G7860" s="4" t="n">
        <v>8</v>
      </c>
      <c r="H7860" s="4" t="n">
        <v>4</v>
      </c>
      <c r="I7860" s="4" t="str">
        <v>×</v>
      </c>
      <c r="J7860" s="4"/>
      <c r="K7860" s="4"/>
      <c r="L7860" s="4"/>
      <c r="M7860" s="5" t="s">
        <v>5346</v>
      </c>
    </row>
    <row r="7861" customFormat="false" ht="15.75" hidden="false" customHeight="false" outlineLevel="0" collapsed="false">
      <c r="A7861" s="6" t="n">
        <v>46165</v>
      </c>
      <c r="B7861" s="4" t="s">
        <v>13</v>
      </c>
      <c r="C7861" s="4" t="n">
        <v>2</v>
      </c>
      <c r="D7861" s="4" t="n">
        <v>4</v>
      </c>
      <c r="E7861" s="4" t="s">
        <v>1429</v>
      </c>
      <c r="F7861" s="4" t="n">
        <v>3</v>
      </c>
      <c r="G7861" s="4" t="n">
        <v>8</v>
      </c>
      <c r="H7861" s="4" t="n">
        <v>4</v>
      </c>
      <c r="I7861" s="4" t="str">
        <v>×</v>
      </c>
      <c r="J7861" s="4"/>
      <c r="K7861" s="4"/>
      <c r="L7861" s="4"/>
      <c r="M7861" s="5" t="s">
        <v>5346</v>
      </c>
    </row>
    <row r="7862" customFormat="false" ht="15.75" hidden="false" customHeight="false" outlineLevel="0" collapsed="false">
      <c r="A7862" s="6" t="n">
        <v>46165</v>
      </c>
      <c r="B7862" s="4" t="s">
        <v>13</v>
      </c>
      <c r="C7862" s="4" t="n">
        <v>2</v>
      </c>
      <c r="D7862" s="4" t="n">
        <v>5</v>
      </c>
      <c r="E7862" s="4" t="s">
        <v>1597</v>
      </c>
      <c r="F7862" s="4" t="n">
        <v>65</v>
      </c>
      <c r="G7862" s="4" t="n">
        <v>1</v>
      </c>
      <c r="H7862" s="4" t="n">
        <v>3</v>
      </c>
      <c r="I7862" s="4" t="str">
        <v>○</v>
      </c>
      <c r="J7862" s="4" t="n">
        <v>150</v>
      </c>
      <c r="K7862" s="4"/>
      <c r="L7862" s="4"/>
      <c r="M7862" s="5" t="s">
        <v>5346</v>
      </c>
    </row>
    <row r="7863" customFormat="false" ht="15.75" hidden="false" customHeight="false" outlineLevel="0" collapsed="false">
      <c r="A7863" s="6" t="n">
        <v>46165</v>
      </c>
      <c r="B7863" s="4" t="s">
        <v>13</v>
      </c>
      <c r="C7863" s="4" t="n">
        <v>2</v>
      </c>
      <c r="D7863" s="4" t="n">
        <v>6</v>
      </c>
      <c r="E7863" s="4" t="s">
        <v>1891</v>
      </c>
      <c r="F7863" s="4" t="n">
        <v>2</v>
      </c>
      <c r="G7863" s="4" t="n">
        <v>9</v>
      </c>
      <c r="H7863" s="4" t="n">
        <v>4</v>
      </c>
      <c r="I7863" s="4" t="str">
        <v>×</v>
      </c>
      <c r="J7863" s="4"/>
      <c r="K7863" s="4"/>
      <c r="L7863" s="4"/>
      <c r="M7863" s="5" t="s">
        <v>5346</v>
      </c>
    </row>
    <row r="7864" customFormat="false" ht="15.75" hidden="false" customHeight="false" outlineLevel="0" collapsed="false">
      <c r="A7864" s="6" t="n">
        <v>46165</v>
      </c>
      <c r="B7864" s="4" t="s">
        <v>13</v>
      </c>
      <c r="C7864" s="4" t="n">
        <v>2</v>
      </c>
      <c r="D7864" s="4" t="n">
        <v>7</v>
      </c>
      <c r="E7864" s="4" t="s">
        <v>2993</v>
      </c>
      <c r="F7864" s="4" t="n">
        <v>2</v>
      </c>
      <c r="G7864" s="4" t="n">
        <v>9</v>
      </c>
      <c r="H7864" s="4" t="n">
        <v>4</v>
      </c>
      <c r="I7864" s="4" t="str">
        <v>×</v>
      </c>
      <c r="J7864" s="4"/>
      <c r="K7864" s="4"/>
      <c r="L7864" s="4"/>
      <c r="M7864" s="5" t="s">
        <v>5346</v>
      </c>
    </row>
    <row r="7865" customFormat="false" ht="15.75" hidden="false" customHeight="false" outlineLevel="0" collapsed="false">
      <c r="A7865" s="6" t="n">
        <v>46165</v>
      </c>
      <c r="B7865" s="4" t="s">
        <v>13</v>
      </c>
      <c r="C7865" s="4" t="n">
        <v>2</v>
      </c>
      <c r="D7865" s="4" t="n">
        <v>8</v>
      </c>
      <c r="E7865" s="4" t="s">
        <v>3607</v>
      </c>
      <c r="F7865" s="4" t="n">
        <v>39</v>
      </c>
      <c r="G7865" s="4" t="n">
        <v>3</v>
      </c>
      <c r="H7865" s="4" t="n">
        <v>4</v>
      </c>
      <c r="I7865" s="4" t="str">
        <v>×</v>
      </c>
      <c r="J7865" s="4"/>
      <c r="K7865" s="4"/>
      <c r="L7865" s="4"/>
      <c r="M7865" s="5" t="s">
        <v>5346</v>
      </c>
    </row>
    <row r="7866" customFormat="false" ht="15.75" hidden="false" customHeight="false" outlineLevel="0" collapsed="false">
      <c r="A7866" s="6" t="n">
        <v>46165</v>
      </c>
      <c r="B7866" s="4" t="s">
        <v>13</v>
      </c>
      <c r="C7866" s="4" t="n">
        <v>2</v>
      </c>
      <c r="D7866" s="4" t="n">
        <v>9</v>
      </c>
      <c r="E7866" s="4" t="s">
        <v>143</v>
      </c>
      <c r="F7866" s="4" t="n">
        <v>3</v>
      </c>
      <c r="G7866" s="4" t="n">
        <v>8</v>
      </c>
      <c r="H7866" s="4" t="n">
        <v>4</v>
      </c>
      <c r="I7866" s="4" t="str">
        <v>×</v>
      </c>
      <c r="J7866" s="4"/>
      <c r="K7866" s="4"/>
      <c r="L7866" s="4"/>
      <c r="M7866" s="5" t="s">
        <v>5346</v>
      </c>
    </row>
    <row r="7867" customFormat="false" ht="15.75" hidden="false" customHeight="false" outlineLevel="0" collapsed="false">
      <c r="A7867" s="6" t="n">
        <v>46165</v>
      </c>
      <c r="B7867" s="4" t="s">
        <v>13</v>
      </c>
      <c r="C7867" s="4" t="n">
        <v>2</v>
      </c>
      <c r="D7867" s="4" t="n">
        <v>10</v>
      </c>
      <c r="E7867" s="4" t="s">
        <v>5509</v>
      </c>
      <c r="F7867" s="4" t="n">
        <v>8</v>
      </c>
      <c r="G7867" s="4" t="n">
        <v>6</v>
      </c>
      <c r="H7867" s="4" t="n">
        <v>4</v>
      </c>
      <c r="I7867" s="4" t="str">
        <v>×</v>
      </c>
      <c r="J7867" s="4"/>
      <c r="K7867" s="4"/>
      <c r="L7867" s="4"/>
      <c r="M7867" s="5" t="s">
        <v>5346</v>
      </c>
    </row>
    <row r="7868" customFormat="false" ht="15.75" hidden="false" customHeight="false" outlineLevel="0" collapsed="false">
      <c r="A7868" s="6" t="n">
        <v>46165</v>
      </c>
      <c r="B7868" s="4" t="s">
        <v>13</v>
      </c>
      <c r="C7868" s="4" t="n">
        <v>2</v>
      </c>
      <c r="D7868" s="4" t="n">
        <v>11</v>
      </c>
      <c r="E7868" s="4" t="s">
        <v>5510</v>
      </c>
      <c r="F7868" s="4" t="n">
        <v>8</v>
      </c>
      <c r="G7868" s="4" t="n">
        <v>6</v>
      </c>
      <c r="H7868" s="4" t="n">
        <v>4</v>
      </c>
      <c r="I7868" s="4" t="str">
        <v>×</v>
      </c>
      <c r="J7868" s="4"/>
      <c r="K7868" s="4"/>
      <c r="L7868" s="4"/>
      <c r="M7868" s="5" t="s">
        <v>5346</v>
      </c>
    </row>
    <row r="7869" customFormat="false" ht="15.75" hidden="false" customHeight="false" outlineLevel="0" collapsed="false">
      <c r="A7869" s="6" t="n">
        <v>46165</v>
      </c>
      <c r="B7869" s="4" t="s">
        <v>13</v>
      </c>
      <c r="C7869" s="4" t="n">
        <v>2</v>
      </c>
      <c r="D7869" s="4" t="n">
        <v>12</v>
      </c>
      <c r="E7869" s="4" t="s">
        <v>5511</v>
      </c>
      <c r="F7869" s="4" t="n">
        <v>4</v>
      </c>
      <c r="G7869" s="4" t="n">
        <v>7</v>
      </c>
      <c r="H7869" s="4" t="n">
        <v>4</v>
      </c>
      <c r="I7869" s="4" t="str">
        <v>×</v>
      </c>
      <c r="J7869" s="4"/>
      <c r="K7869" s="4"/>
      <c r="L7869" s="4"/>
      <c r="M7869" s="5" t="s">
        <v>5346</v>
      </c>
    </row>
    <row r="7870" customFormat="false" ht="15.75" hidden="false" customHeight="false" outlineLevel="0" collapsed="false">
      <c r="A7870" s="6" t="n">
        <v>46165</v>
      </c>
      <c r="B7870" s="4" t="s">
        <v>13</v>
      </c>
      <c r="C7870" s="4" t="n">
        <v>2</v>
      </c>
      <c r="D7870" s="4" t="n">
        <v>13</v>
      </c>
      <c r="E7870" s="4" t="s">
        <v>3608</v>
      </c>
      <c r="F7870" s="4" t="n">
        <v>25</v>
      </c>
      <c r="G7870" s="4" t="n">
        <v>4</v>
      </c>
      <c r="H7870" s="4" t="n">
        <v>2</v>
      </c>
      <c r="I7870" s="4" t="str">
        <v>○</v>
      </c>
      <c r="J7870" s="4" t="n">
        <v>200</v>
      </c>
      <c r="K7870" s="4"/>
      <c r="L7870" s="4"/>
      <c r="M7870" s="5" t="s">
        <v>5346</v>
      </c>
    </row>
    <row r="7871" customFormat="false" ht="15.75" hidden="false" customHeight="false" outlineLevel="0" collapsed="false">
      <c r="A7871" s="6" t="n">
        <v>46165</v>
      </c>
      <c r="B7871" s="4" t="s">
        <v>13</v>
      </c>
      <c r="C7871" s="4" t="n">
        <v>2</v>
      </c>
      <c r="D7871" s="4" t="n">
        <v>14</v>
      </c>
      <c r="E7871" s="4" t="s">
        <v>5512</v>
      </c>
      <c r="F7871" s="4" t="n">
        <v>8</v>
      </c>
      <c r="G7871" s="4" t="n">
        <v>6</v>
      </c>
      <c r="H7871" s="4" t="n">
        <v>4</v>
      </c>
      <c r="I7871" s="4" t="str">
        <v>×</v>
      </c>
      <c r="J7871" s="4"/>
      <c r="K7871" s="4"/>
      <c r="L7871" s="4"/>
      <c r="M7871" s="5" t="s">
        <v>5346</v>
      </c>
    </row>
    <row r="7872" customFormat="false" ht="15.75" hidden="false" customHeight="false" outlineLevel="0" collapsed="false">
      <c r="A7872" s="6" t="n">
        <v>46165</v>
      </c>
      <c r="B7872" s="4" t="s">
        <v>13</v>
      </c>
      <c r="C7872" s="4" t="n">
        <v>2</v>
      </c>
      <c r="D7872" s="4" t="n">
        <v>15</v>
      </c>
      <c r="E7872" s="4" t="s">
        <v>5513</v>
      </c>
      <c r="F7872" s="4" t="n">
        <v>23</v>
      </c>
      <c r="G7872" s="4" t="n">
        <v>5</v>
      </c>
      <c r="H7872" s="4" t="n">
        <v>1</v>
      </c>
      <c r="I7872" s="4" t="str">
        <v>○</v>
      </c>
      <c r="J7872" s="4" t="n">
        <v>160</v>
      </c>
      <c r="K7872" s="4"/>
      <c r="L7872" s="4"/>
      <c r="M7872" s="5" t="s">
        <v>5346</v>
      </c>
    </row>
    <row r="7873" customFormat="false" ht="15.75" hidden="false" customHeight="false" outlineLevel="0" collapsed="false">
      <c r="A7873" s="6" t="n">
        <v>46165</v>
      </c>
      <c r="B7873" s="4" t="s">
        <v>13</v>
      </c>
      <c r="C7873" s="4" t="n">
        <v>3</v>
      </c>
      <c r="D7873" s="4" t="n">
        <v>1</v>
      </c>
      <c r="E7873" s="4" t="s">
        <v>5514</v>
      </c>
      <c r="F7873" s="4" t="n">
        <v>15</v>
      </c>
      <c r="G7873" s="4" t="n">
        <v>7</v>
      </c>
      <c r="H7873" s="4" t="n">
        <v>4</v>
      </c>
      <c r="I7873" s="4" t="str">
        <v>×</v>
      </c>
      <c r="J7873" s="4"/>
      <c r="K7873" s="4"/>
      <c r="L7873" s="4"/>
      <c r="M7873" s="5" t="s">
        <v>5346</v>
      </c>
    </row>
    <row r="7874" customFormat="false" ht="15.75" hidden="false" customHeight="false" outlineLevel="0" collapsed="false">
      <c r="A7874" s="6" t="n">
        <v>46165</v>
      </c>
      <c r="B7874" s="4" t="s">
        <v>13</v>
      </c>
      <c r="C7874" s="4" t="n">
        <v>3</v>
      </c>
      <c r="D7874" s="4" t="n">
        <v>2</v>
      </c>
      <c r="E7874" s="4" t="s">
        <v>5515</v>
      </c>
      <c r="F7874" s="4" t="n">
        <v>34</v>
      </c>
      <c r="G7874" s="4" t="n">
        <v>4</v>
      </c>
      <c r="H7874" s="4" t="n">
        <v>4</v>
      </c>
      <c r="I7874" s="4" t="str">
        <v>×</v>
      </c>
      <c r="J7874" s="4"/>
      <c r="K7874" s="4"/>
      <c r="L7874" s="4"/>
      <c r="M7874" s="5" t="s">
        <v>5346</v>
      </c>
    </row>
    <row r="7875" customFormat="false" ht="15.75" hidden="false" customHeight="false" outlineLevel="0" collapsed="false">
      <c r="A7875" s="6" t="n">
        <v>46165</v>
      </c>
      <c r="B7875" s="4" t="s">
        <v>13</v>
      </c>
      <c r="C7875" s="4" t="n">
        <v>3</v>
      </c>
      <c r="D7875" s="4" t="n">
        <v>3</v>
      </c>
      <c r="E7875" s="4" t="s">
        <v>5516</v>
      </c>
      <c r="F7875" s="4" t="n">
        <v>6</v>
      </c>
      <c r="G7875" s="4" t="n">
        <v>9</v>
      </c>
      <c r="H7875" s="4" t="n">
        <v>4</v>
      </c>
      <c r="I7875" s="4" t="str">
        <v>×</v>
      </c>
      <c r="J7875" s="4"/>
      <c r="K7875" s="4"/>
      <c r="L7875" s="4"/>
      <c r="M7875" s="5" t="s">
        <v>5346</v>
      </c>
    </row>
    <row r="7876" customFormat="false" ht="15.75" hidden="false" customHeight="false" outlineLevel="0" collapsed="false">
      <c r="A7876" s="6" t="n">
        <v>46165</v>
      </c>
      <c r="B7876" s="4" t="s">
        <v>13</v>
      </c>
      <c r="C7876" s="4" t="n">
        <v>3</v>
      </c>
      <c r="D7876" s="4" t="n">
        <v>4</v>
      </c>
      <c r="E7876" s="4" t="s">
        <v>5123</v>
      </c>
      <c r="F7876" s="4" t="n">
        <v>2</v>
      </c>
      <c r="G7876" s="4" t="n">
        <v>11</v>
      </c>
      <c r="H7876" s="4" t="n">
        <v>4</v>
      </c>
      <c r="I7876" s="4" t="str">
        <v>×</v>
      </c>
      <c r="J7876" s="4"/>
      <c r="K7876" s="4"/>
      <c r="L7876" s="4"/>
      <c r="M7876" s="5" t="s">
        <v>5346</v>
      </c>
    </row>
    <row r="7877" customFormat="false" ht="15.75" hidden="false" customHeight="false" outlineLevel="0" collapsed="false">
      <c r="A7877" s="6" t="n">
        <v>46165</v>
      </c>
      <c r="B7877" s="4" t="s">
        <v>13</v>
      </c>
      <c r="C7877" s="4" t="n">
        <v>3</v>
      </c>
      <c r="D7877" s="4" t="n">
        <v>5</v>
      </c>
      <c r="E7877" s="4" t="s">
        <v>5517</v>
      </c>
      <c r="F7877" s="4" t="n">
        <v>1</v>
      </c>
      <c r="G7877" s="4" t="n">
        <v>12</v>
      </c>
      <c r="H7877" s="4" t="n">
        <v>4</v>
      </c>
      <c r="I7877" s="4" t="str">
        <v>×</v>
      </c>
      <c r="J7877" s="4"/>
      <c r="K7877" s="4"/>
      <c r="L7877" s="4"/>
      <c r="M7877" s="5" t="s">
        <v>5346</v>
      </c>
    </row>
    <row r="7878" customFormat="false" ht="15.75" hidden="false" customHeight="false" outlineLevel="0" collapsed="false">
      <c r="A7878" s="6" t="n">
        <v>46165</v>
      </c>
      <c r="B7878" s="4" t="s">
        <v>13</v>
      </c>
      <c r="C7878" s="4" t="n">
        <v>3</v>
      </c>
      <c r="D7878" s="4" t="n">
        <v>6</v>
      </c>
      <c r="E7878" s="4" t="s">
        <v>2565</v>
      </c>
      <c r="F7878" s="4" t="n">
        <v>50</v>
      </c>
      <c r="G7878" s="4" t="n">
        <v>2</v>
      </c>
      <c r="H7878" s="4" t="n">
        <v>4</v>
      </c>
      <c r="I7878" s="4" t="str">
        <v>×</v>
      </c>
      <c r="J7878" s="4"/>
      <c r="K7878" s="4"/>
      <c r="L7878" s="4"/>
      <c r="M7878" s="5" t="s">
        <v>5346</v>
      </c>
    </row>
    <row r="7879" customFormat="false" ht="15.75" hidden="false" customHeight="false" outlineLevel="0" collapsed="false">
      <c r="A7879" s="6" t="n">
        <v>46165</v>
      </c>
      <c r="B7879" s="4" t="s">
        <v>13</v>
      </c>
      <c r="C7879" s="4" t="n">
        <v>3</v>
      </c>
      <c r="D7879" s="4" t="n">
        <v>7</v>
      </c>
      <c r="E7879" s="4" t="s">
        <v>5518</v>
      </c>
      <c r="F7879" s="4" t="n">
        <v>4</v>
      </c>
      <c r="G7879" s="4" t="n">
        <v>10</v>
      </c>
      <c r="H7879" s="4" t="n">
        <v>4</v>
      </c>
      <c r="I7879" s="4" t="str">
        <v>×</v>
      </c>
      <c r="J7879" s="4"/>
      <c r="K7879" s="4"/>
      <c r="L7879" s="4"/>
      <c r="M7879" s="5" t="s">
        <v>5346</v>
      </c>
    </row>
    <row r="7880" customFormat="false" ht="15.75" hidden="false" customHeight="false" outlineLevel="0" collapsed="false">
      <c r="A7880" s="6" t="n">
        <v>46165</v>
      </c>
      <c r="B7880" s="4" t="s">
        <v>13</v>
      </c>
      <c r="C7880" s="4" t="n">
        <v>3</v>
      </c>
      <c r="D7880" s="4" t="n">
        <v>8</v>
      </c>
      <c r="E7880" s="4" t="s">
        <v>4359</v>
      </c>
      <c r="F7880" s="4" t="n">
        <v>41</v>
      </c>
      <c r="G7880" s="4" t="n">
        <v>3</v>
      </c>
      <c r="H7880" s="4" t="n">
        <v>4</v>
      </c>
      <c r="I7880" s="4" t="str">
        <v>×</v>
      </c>
      <c r="J7880" s="4"/>
      <c r="K7880" s="4"/>
      <c r="L7880" s="4"/>
      <c r="M7880" s="5" t="s">
        <v>5346</v>
      </c>
    </row>
    <row r="7881" customFormat="false" ht="15.75" hidden="false" customHeight="false" outlineLevel="0" collapsed="false">
      <c r="A7881" s="6" t="n">
        <v>46165</v>
      </c>
      <c r="B7881" s="4" t="s">
        <v>13</v>
      </c>
      <c r="C7881" s="4" t="n">
        <v>3</v>
      </c>
      <c r="D7881" s="4" t="n">
        <v>9</v>
      </c>
      <c r="E7881" s="4" t="s">
        <v>4989</v>
      </c>
      <c r="F7881" s="4" t="n">
        <v>10</v>
      </c>
      <c r="G7881" s="4" t="n">
        <v>8</v>
      </c>
      <c r="H7881" s="4" t="n">
        <v>4</v>
      </c>
      <c r="I7881" s="4" t="str">
        <v>×</v>
      </c>
      <c r="J7881" s="4"/>
      <c r="K7881" s="4"/>
      <c r="L7881" s="4"/>
      <c r="M7881" s="5" t="s">
        <v>5346</v>
      </c>
    </row>
    <row r="7882" customFormat="false" ht="15.75" hidden="false" customHeight="false" outlineLevel="0" collapsed="false">
      <c r="A7882" s="6" t="n">
        <v>46165</v>
      </c>
      <c r="B7882" s="4" t="s">
        <v>13</v>
      </c>
      <c r="C7882" s="4" t="n">
        <v>3</v>
      </c>
      <c r="D7882" s="4" t="n">
        <v>10</v>
      </c>
      <c r="E7882" s="4" t="s">
        <v>2449</v>
      </c>
      <c r="F7882" s="4" t="n">
        <v>25</v>
      </c>
      <c r="G7882" s="4" t="n">
        <v>5</v>
      </c>
      <c r="H7882" s="4" t="n">
        <v>4</v>
      </c>
      <c r="I7882" s="4" t="str">
        <v>×</v>
      </c>
      <c r="J7882" s="4"/>
      <c r="K7882" s="4"/>
      <c r="L7882" s="4"/>
      <c r="M7882" s="5" t="s">
        <v>5346</v>
      </c>
    </row>
    <row r="7883" customFormat="false" ht="15.75" hidden="false" customHeight="false" outlineLevel="0" collapsed="false">
      <c r="A7883" s="6" t="n">
        <v>46165</v>
      </c>
      <c r="B7883" s="4" t="s">
        <v>13</v>
      </c>
      <c r="C7883" s="4" t="n">
        <v>3</v>
      </c>
      <c r="D7883" s="4" t="n">
        <v>11</v>
      </c>
      <c r="E7883" s="4" t="s">
        <v>1729</v>
      </c>
      <c r="F7883" s="4" t="n">
        <v>67</v>
      </c>
      <c r="G7883" s="4" t="n">
        <v>1</v>
      </c>
      <c r="H7883" s="4" t="n">
        <v>3</v>
      </c>
      <c r="I7883" s="4" t="str">
        <v>○</v>
      </c>
      <c r="J7883" s="4" t="n">
        <v>130</v>
      </c>
      <c r="K7883" s="4"/>
      <c r="L7883" s="4"/>
      <c r="M7883" s="5" t="s">
        <v>5346</v>
      </c>
    </row>
    <row r="7884" customFormat="false" ht="15.75" hidden="false" customHeight="false" outlineLevel="0" collapsed="false">
      <c r="A7884" s="6" t="n">
        <v>46165</v>
      </c>
      <c r="B7884" s="4" t="s">
        <v>13</v>
      </c>
      <c r="C7884" s="4" t="n">
        <v>3</v>
      </c>
      <c r="D7884" s="4" t="n">
        <v>12</v>
      </c>
      <c r="E7884" s="4" t="s">
        <v>1090</v>
      </c>
      <c r="F7884" s="4" t="n">
        <v>17</v>
      </c>
      <c r="G7884" s="4" t="n">
        <v>6</v>
      </c>
      <c r="H7884" s="4" t="n">
        <v>1</v>
      </c>
      <c r="I7884" s="4" t="str">
        <v>○</v>
      </c>
      <c r="J7884" s="4" t="n">
        <v>250</v>
      </c>
      <c r="K7884" s="4"/>
      <c r="L7884" s="4"/>
      <c r="M7884" s="5" t="s">
        <v>5346</v>
      </c>
    </row>
    <row r="7885" customFormat="false" ht="15.75" hidden="false" customHeight="false" outlineLevel="0" collapsed="false">
      <c r="A7885" s="6" t="n">
        <v>46165</v>
      </c>
      <c r="B7885" s="4" t="s">
        <v>13</v>
      </c>
      <c r="C7885" s="4" t="n">
        <v>3</v>
      </c>
      <c r="D7885" s="4" t="n">
        <v>13</v>
      </c>
      <c r="E7885" s="4" t="s">
        <v>5519</v>
      </c>
      <c r="F7885" s="4" t="n">
        <v>10</v>
      </c>
      <c r="G7885" s="4" t="n">
        <v>8</v>
      </c>
      <c r="H7885" s="4" t="n">
        <v>4</v>
      </c>
      <c r="I7885" s="4" t="str">
        <v>×</v>
      </c>
      <c r="J7885" s="4"/>
      <c r="K7885" s="4"/>
      <c r="L7885" s="4"/>
      <c r="M7885" s="5" t="s">
        <v>5346</v>
      </c>
    </row>
    <row r="7886" customFormat="false" ht="15.75" hidden="false" customHeight="false" outlineLevel="0" collapsed="false">
      <c r="A7886" s="6" t="n">
        <v>46165</v>
      </c>
      <c r="B7886" s="4" t="s">
        <v>13</v>
      </c>
      <c r="C7886" s="4" t="n">
        <v>3</v>
      </c>
      <c r="D7886" s="4" t="n">
        <v>14</v>
      </c>
      <c r="E7886" s="4" t="s">
        <v>5520</v>
      </c>
      <c r="F7886" s="4" t="n">
        <v>4</v>
      </c>
      <c r="G7886" s="4" t="n">
        <v>10</v>
      </c>
      <c r="H7886" s="4" t="n">
        <v>4</v>
      </c>
      <c r="I7886" s="4" t="str">
        <v>×</v>
      </c>
      <c r="J7886" s="4"/>
      <c r="K7886" s="4"/>
      <c r="L7886" s="4"/>
      <c r="M7886" s="5" t="s">
        <v>5346</v>
      </c>
    </row>
    <row r="7887" customFormat="false" ht="15.75" hidden="false" customHeight="false" outlineLevel="0" collapsed="false">
      <c r="A7887" s="6" t="n">
        <v>46165</v>
      </c>
      <c r="B7887" s="4" t="s">
        <v>13</v>
      </c>
      <c r="C7887" s="4" t="n">
        <v>3</v>
      </c>
      <c r="D7887" s="4" t="n">
        <v>15</v>
      </c>
      <c r="E7887" s="4" t="s">
        <v>5521</v>
      </c>
      <c r="F7887" s="4" t="n">
        <v>6</v>
      </c>
      <c r="G7887" s="4" t="n">
        <v>9</v>
      </c>
      <c r="H7887" s="4" t="n">
        <v>2</v>
      </c>
      <c r="I7887" s="4" t="str">
        <v>○</v>
      </c>
      <c r="J7887" s="4" t="n">
        <v>1080</v>
      </c>
      <c r="K7887" s="4"/>
      <c r="L7887" s="4"/>
      <c r="M7887" s="5" t="s">
        <v>5346</v>
      </c>
    </row>
    <row r="7888" customFormat="false" ht="15.75" hidden="false" customHeight="false" outlineLevel="0" collapsed="false">
      <c r="A7888" s="6" t="n">
        <v>46165</v>
      </c>
      <c r="B7888" s="4" t="s">
        <v>13</v>
      </c>
      <c r="C7888" s="4" t="n">
        <v>4</v>
      </c>
      <c r="D7888" s="4" t="n">
        <v>1</v>
      </c>
      <c r="E7888" s="4" t="s">
        <v>4292</v>
      </c>
      <c r="F7888" s="4" t="n">
        <v>27</v>
      </c>
      <c r="G7888" s="4" t="n">
        <v>4</v>
      </c>
      <c r="H7888" s="4" t="n">
        <v>4</v>
      </c>
      <c r="I7888" s="4" t="str">
        <v>×</v>
      </c>
      <c r="J7888" s="4"/>
      <c r="K7888" s="4"/>
      <c r="L7888" s="4"/>
      <c r="M7888" s="5" t="s">
        <v>5346</v>
      </c>
    </row>
    <row r="7889" customFormat="false" ht="15.75" hidden="false" customHeight="false" outlineLevel="0" collapsed="false">
      <c r="A7889" s="6" t="n">
        <v>46165</v>
      </c>
      <c r="B7889" s="4" t="s">
        <v>13</v>
      </c>
      <c r="C7889" s="4" t="n">
        <v>4</v>
      </c>
      <c r="D7889" s="4" t="n">
        <v>2</v>
      </c>
      <c r="E7889" s="4" t="s">
        <v>123</v>
      </c>
      <c r="F7889" s="4" t="n">
        <v>8</v>
      </c>
      <c r="G7889" s="4" t="n">
        <v>6</v>
      </c>
      <c r="H7889" s="4" t="n">
        <v>4</v>
      </c>
      <c r="I7889" s="4" t="str">
        <v>×</v>
      </c>
      <c r="J7889" s="4"/>
      <c r="K7889" s="4"/>
      <c r="L7889" s="4"/>
      <c r="M7889" s="5" t="s">
        <v>5346</v>
      </c>
    </row>
    <row r="7890" customFormat="false" ht="15.75" hidden="false" customHeight="false" outlineLevel="0" collapsed="false">
      <c r="A7890" s="6" t="n">
        <v>46165</v>
      </c>
      <c r="B7890" s="4" t="s">
        <v>13</v>
      </c>
      <c r="C7890" s="4" t="n">
        <v>4</v>
      </c>
      <c r="D7890" s="4" t="n">
        <v>3</v>
      </c>
      <c r="E7890" s="4" t="s">
        <v>5522</v>
      </c>
      <c r="F7890" s="4" t="n">
        <v>44</v>
      </c>
      <c r="G7890" s="4" t="n">
        <v>2</v>
      </c>
      <c r="H7890" s="4" t="n">
        <v>3</v>
      </c>
      <c r="I7890" s="4" t="str">
        <v>○</v>
      </c>
      <c r="J7890" s="4" t="n">
        <v>130</v>
      </c>
      <c r="K7890" s="4"/>
      <c r="L7890" s="4"/>
      <c r="M7890" s="5" t="s">
        <v>5346</v>
      </c>
    </row>
    <row r="7891" customFormat="false" ht="15.75" hidden="false" customHeight="false" outlineLevel="0" collapsed="false">
      <c r="A7891" s="6" t="n">
        <v>46165</v>
      </c>
      <c r="B7891" s="4" t="s">
        <v>13</v>
      </c>
      <c r="C7891" s="4" t="n">
        <v>4</v>
      </c>
      <c r="D7891" s="4" t="n">
        <v>4</v>
      </c>
      <c r="E7891" s="4" t="s">
        <v>5523</v>
      </c>
      <c r="F7891" s="4" t="n">
        <v>55</v>
      </c>
      <c r="G7891" s="4" t="n">
        <v>1</v>
      </c>
      <c r="H7891" s="4" t="n">
        <v>1</v>
      </c>
      <c r="I7891" s="4" t="str">
        <v>○</v>
      </c>
      <c r="J7891" s="4" t="n">
        <v>110</v>
      </c>
      <c r="K7891" s="4"/>
      <c r="L7891" s="4"/>
      <c r="M7891" s="5" t="s">
        <v>5346</v>
      </c>
    </row>
    <row r="7892" customFormat="false" ht="15.75" hidden="false" customHeight="false" outlineLevel="0" collapsed="false">
      <c r="A7892" s="6" t="n">
        <v>46165</v>
      </c>
      <c r="B7892" s="4" t="s">
        <v>13</v>
      </c>
      <c r="C7892" s="4" t="n">
        <v>4</v>
      </c>
      <c r="D7892" s="4" t="n">
        <v>5</v>
      </c>
      <c r="E7892" s="4" t="s">
        <v>1873</v>
      </c>
      <c r="F7892" s="4" t="n">
        <v>55</v>
      </c>
      <c r="G7892" s="4" t="n">
        <v>1</v>
      </c>
      <c r="H7892" s="4" t="n">
        <v>2</v>
      </c>
      <c r="I7892" s="4" t="str">
        <v>○</v>
      </c>
      <c r="J7892" s="4" t="n">
        <v>120</v>
      </c>
      <c r="K7892" s="4"/>
      <c r="L7892" s="4"/>
      <c r="M7892" s="5" t="s">
        <v>5346</v>
      </c>
    </row>
    <row r="7893" customFormat="false" ht="15.75" hidden="false" customHeight="false" outlineLevel="0" collapsed="false">
      <c r="A7893" s="6" t="n">
        <v>46165</v>
      </c>
      <c r="B7893" s="4" t="s">
        <v>13</v>
      </c>
      <c r="C7893" s="4" t="n">
        <v>4</v>
      </c>
      <c r="D7893" s="4" t="n">
        <v>6</v>
      </c>
      <c r="E7893" s="4" t="s">
        <v>5524</v>
      </c>
      <c r="F7893" s="4" t="n">
        <v>27</v>
      </c>
      <c r="G7893" s="4" t="n">
        <v>4</v>
      </c>
      <c r="H7893" s="4" t="n">
        <v>4</v>
      </c>
      <c r="I7893" s="4" t="str">
        <v>×</v>
      </c>
      <c r="J7893" s="4"/>
      <c r="K7893" s="4"/>
      <c r="L7893" s="4"/>
      <c r="M7893" s="5" t="s">
        <v>5346</v>
      </c>
    </row>
    <row r="7894" customFormat="false" ht="15.75" hidden="false" customHeight="false" outlineLevel="0" collapsed="false">
      <c r="A7894" s="6" t="n">
        <v>46165</v>
      </c>
      <c r="B7894" s="4" t="s">
        <v>13</v>
      </c>
      <c r="C7894" s="4" t="n">
        <v>4</v>
      </c>
      <c r="D7894" s="4" t="n">
        <v>7</v>
      </c>
      <c r="E7894" s="4" t="s">
        <v>4904</v>
      </c>
      <c r="F7894" s="4" t="n">
        <v>37</v>
      </c>
      <c r="G7894" s="4" t="n">
        <v>3</v>
      </c>
      <c r="H7894" s="4" t="n">
        <v>4</v>
      </c>
      <c r="I7894" s="4" t="str">
        <v>×</v>
      </c>
      <c r="J7894" s="4"/>
      <c r="K7894" s="4"/>
      <c r="L7894" s="4"/>
      <c r="M7894" s="5" t="s">
        <v>5346</v>
      </c>
    </row>
    <row r="7895" customFormat="false" ht="15.75" hidden="false" customHeight="false" outlineLevel="0" collapsed="false">
      <c r="A7895" s="6" t="n">
        <v>46165</v>
      </c>
      <c r="B7895" s="4" t="s">
        <v>13</v>
      </c>
      <c r="C7895" s="4" t="n">
        <v>4</v>
      </c>
      <c r="D7895" s="4" t="n">
        <v>8</v>
      </c>
      <c r="E7895" s="4" t="s">
        <v>1872</v>
      </c>
      <c r="F7895" s="4" t="n">
        <v>16</v>
      </c>
      <c r="G7895" s="4" t="n">
        <v>5</v>
      </c>
      <c r="H7895" s="4" t="n">
        <v>4</v>
      </c>
      <c r="I7895" s="4" t="str">
        <v>×</v>
      </c>
      <c r="J7895" s="4"/>
      <c r="K7895" s="4"/>
      <c r="L7895" s="4"/>
      <c r="M7895" s="5" t="s">
        <v>5346</v>
      </c>
    </row>
    <row r="7896" customFormat="false" ht="15.75" hidden="false" customHeight="false" outlineLevel="0" collapsed="false">
      <c r="A7896" s="6" t="n">
        <v>46165</v>
      </c>
      <c r="B7896" s="4" t="s">
        <v>13</v>
      </c>
      <c r="C7896" s="4" t="n">
        <v>4</v>
      </c>
      <c r="D7896" s="4" t="n">
        <v>9</v>
      </c>
      <c r="E7896" s="4" t="s">
        <v>5525</v>
      </c>
      <c r="F7896" s="4" t="n">
        <v>16</v>
      </c>
      <c r="G7896" s="4" t="n">
        <v>5</v>
      </c>
      <c r="H7896" s="4" t="n">
        <v>4</v>
      </c>
      <c r="I7896" s="4" t="str">
        <v>×</v>
      </c>
      <c r="J7896" s="4"/>
      <c r="K7896" s="4"/>
      <c r="L7896" s="4"/>
      <c r="M7896" s="5" t="s">
        <v>5346</v>
      </c>
    </row>
    <row r="7897" customFormat="false" ht="15.75" hidden="false" customHeight="false" outlineLevel="0" collapsed="false">
      <c r="A7897" s="6" t="n">
        <v>46165</v>
      </c>
      <c r="B7897" s="4" t="s">
        <v>13</v>
      </c>
      <c r="C7897" s="4" t="n">
        <v>4</v>
      </c>
      <c r="D7897" s="4" t="n">
        <v>10</v>
      </c>
      <c r="E7897" s="4" t="s">
        <v>5526</v>
      </c>
      <c r="F7897" s="4" t="n">
        <v>27</v>
      </c>
      <c r="G7897" s="4" t="n">
        <v>4</v>
      </c>
      <c r="H7897" s="4" t="n">
        <v>4</v>
      </c>
      <c r="I7897" s="4" t="str">
        <v>×</v>
      </c>
      <c r="J7897" s="4"/>
      <c r="K7897" s="4"/>
      <c r="L7897" s="4"/>
      <c r="M7897" s="5" t="s">
        <v>5346</v>
      </c>
    </row>
    <row r="7898" customFormat="false" ht="15.75" hidden="false" customHeight="false" outlineLevel="0" collapsed="false">
      <c r="A7898" s="6" t="n">
        <v>46165</v>
      </c>
      <c r="B7898" s="4" t="s">
        <v>13</v>
      </c>
      <c r="C7898" s="4" t="n">
        <v>4</v>
      </c>
      <c r="D7898" s="4" t="n">
        <v>11</v>
      </c>
      <c r="E7898" s="4" t="s">
        <v>5527</v>
      </c>
      <c r="F7898" s="4" t="n">
        <v>37</v>
      </c>
      <c r="G7898" s="4" t="n">
        <v>3</v>
      </c>
      <c r="H7898" s="4" t="n">
        <v>4</v>
      </c>
      <c r="I7898" s="4" t="str">
        <v>×</v>
      </c>
      <c r="J7898" s="4"/>
      <c r="K7898" s="4"/>
      <c r="L7898" s="4"/>
      <c r="M7898" s="5" t="s">
        <v>5346</v>
      </c>
    </row>
    <row r="7899" customFormat="false" ht="15.75" hidden="false" customHeight="false" outlineLevel="0" collapsed="false">
      <c r="A7899" s="6" t="n">
        <v>46165</v>
      </c>
      <c r="B7899" s="4" t="s">
        <v>13</v>
      </c>
      <c r="C7899" s="4" t="n">
        <v>4</v>
      </c>
      <c r="D7899" s="4" t="n">
        <v>12</v>
      </c>
      <c r="E7899" s="4" t="s">
        <v>5528</v>
      </c>
      <c r="F7899" s="4" t="n">
        <v>8</v>
      </c>
      <c r="G7899" s="4" t="n">
        <v>6</v>
      </c>
      <c r="H7899" s="4" t="n">
        <v>4</v>
      </c>
      <c r="I7899" s="4" t="str">
        <v>×</v>
      </c>
      <c r="J7899" s="4"/>
      <c r="K7899" s="4"/>
      <c r="L7899" s="4"/>
      <c r="M7899" s="5" t="s">
        <v>5346</v>
      </c>
    </row>
    <row r="7900" customFormat="false" ht="15.75" hidden="false" customHeight="false" outlineLevel="0" collapsed="false">
      <c r="A7900" s="6" t="n">
        <v>46165</v>
      </c>
      <c r="B7900" s="4" t="s">
        <v>13</v>
      </c>
      <c r="C7900" s="4" t="n">
        <v>4</v>
      </c>
      <c r="D7900" s="4" t="n">
        <v>13</v>
      </c>
      <c r="E7900" s="4" t="s">
        <v>5529</v>
      </c>
      <c r="F7900" s="4" t="n">
        <v>37</v>
      </c>
      <c r="G7900" s="4" t="n">
        <v>3</v>
      </c>
      <c r="H7900" s="4" t="n">
        <v>4</v>
      </c>
      <c r="I7900" s="4" t="str">
        <v>×</v>
      </c>
      <c r="J7900" s="4"/>
      <c r="K7900" s="4"/>
      <c r="L7900" s="4"/>
      <c r="M7900" s="5" t="s">
        <v>5346</v>
      </c>
    </row>
    <row r="7901" customFormat="false" ht="15.75" hidden="false" customHeight="false" outlineLevel="0" collapsed="false">
      <c r="A7901" s="6" t="n">
        <v>46165</v>
      </c>
      <c r="B7901" s="4" t="s">
        <v>13</v>
      </c>
      <c r="C7901" s="4" t="n">
        <v>5</v>
      </c>
      <c r="D7901" s="4" t="n">
        <v>1</v>
      </c>
      <c r="E7901" s="4" t="s">
        <v>2197</v>
      </c>
      <c r="F7901" s="4" t="n">
        <v>25</v>
      </c>
      <c r="G7901" s="4" t="n">
        <v>6</v>
      </c>
      <c r="H7901" s="4" t="n">
        <v>4</v>
      </c>
      <c r="I7901" s="4" t="str">
        <v>×</v>
      </c>
      <c r="J7901" s="4"/>
      <c r="K7901" s="4"/>
      <c r="L7901" s="4"/>
      <c r="M7901" s="5" t="s">
        <v>5346</v>
      </c>
    </row>
    <row r="7902" customFormat="false" ht="15.75" hidden="false" customHeight="false" outlineLevel="0" collapsed="false">
      <c r="A7902" s="6" t="n">
        <v>46165</v>
      </c>
      <c r="B7902" s="4" t="s">
        <v>13</v>
      </c>
      <c r="C7902" s="4" t="n">
        <v>5</v>
      </c>
      <c r="D7902" s="4" t="n">
        <v>2</v>
      </c>
      <c r="E7902" s="4" t="s">
        <v>4633</v>
      </c>
      <c r="F7902" s="4" t="n">
        <v>2</v>
      </c>
      <c r="G7902" s="4" t="n">
        <v>13</v>
      </c>
      <c r="H7902" s="4" t="n">
        <v>4</v>
      </c>
      <c r="I7902" s="4" t="str">
        <v>×</v>
      </c>
      <c r="J7902" s="4"/>
      <c r="K7902" s="4"/>
      <c r="L7902" s="4"/>
      <c r="M7902" s="5" t="s">
        <v>5346</v>
      </c>
    </row>
    <row r="7903" customFormat="false" ht="15.75" hidden="false" customHeight="false" outlineLevel="0" collapsed="false">
      <c r="A7903" s="6" t="n">
        <v>46165</v>
      </c>
      <c r="B7903" s="4" t="s">
        <v>13</v>
      </c>
      <c r="C7903" s="4" t="n">
        <v>5</v>
      </c>
      <c r="D7903" s="4" t="n">
        <v>3</v>
      </c>
      <c r="E7903" s="4" t="s">
        <v>2371</v>
      </c>
      <c r="F7903" s="4" t="n">
        <v>52</v>
      </c>
      <c r="G7903" s="4" t="n">
        <v>1</v>
      </c>
      <c r="H7903" s="4" t="n">
        <v>1</v>
      </c>
      <c r="I7903" s="4" t="str">
        <v>○</v>
      </c>
      <c r="J7903" s="4" t="n">
        <v>150</v>
      </c>
      <c r="K7903" s="4"/>
      <c r="L7903" s="4"/>
      <c r="M7903" s="5" t="s">
        <v>5346</v>
      </c>
    </row>
    <row r="7904" customFormat="false" ht="15.75" hidden="false" customHeight="false" outlineLevel="0" collapsed="false">
      <c r="A7904" s="6" t="n">
        <v>46165</v>
      </c>
      <c r="B7904" s="4" t="s">
        <v>13</v>
      </c>
      <c r="C7904" s="4" t="n">
        <v>5</v>
      </c>
      <c r="D7904" s="4" t="n">
        <v>4</v>
      </c>
      <c r="E7904" s="4" t="s">
        <v>4085</v>
      </c>
      <c r="F7904" s="4" t="n">
        <v>10</v>
      </c>
      <c r="G7904" s="4" t="n">
        <v>8</v>
      </c>
      <c r="H7904" s="4" t="n">
        <v>4</v>
      </c>
      <c r="I7904" s="4" t="str">
        <v>×</v>
      </c>
      <c r="J7904" s="4"/>
      <c r="K7904" s="4"/>
      <c r="L7904" s="4"/>
      <c r="M7904" s="5" t="s">
        <v>5346</v>
      </c>
    </row>
    <row r="7905" customFormat="false" ht="15.75" hidden="false" customHeight="false" outlineLevel="0" collapsed="false">
      <c r="A7905" s="6" t="n">
        <v>46165</v>
      </c>
      <c r="B7905" s="4" t="s">
        <v>13</v>
      </c>
      <c r="C7905" s="4" t="n">
        <v>5</v>
      </c>
      <c r="D7905" s="4" t="n">
        <v>5</v>
      </c>
      <c r="E7905" s="4" t="s">
        <v>5530</v>
      </c>
      <c r="F7905" s="4" t="n">
        <v>29</v>
      </c>
      <c r="G7905" s="4" t="n">
        <v>5</v>
      </c>
      <c r="H7905" s="4" t="n">
        <v>4</v>
      </c>
      <c r="I7905" s="4" t="str">
        <v>×</v>
      </c>
      <c r="J7905" s="4"/>
      <c r="K7905" s="4"/>
      <c r="L7905" s="4"/>
      <c r="M7905" s="5" t="s">
        <v>5346</v>
      </c>
    </row>
    <row r="7906" customFormat="false" ht="15.75" hidden="false" customHeight="false" outlineLevel="0" collapsed="false">
      <c r="A7906" s="6" t="n">
        <v>46165</v>
      </c>
      <c r="B7906" s="4" t="s">
        <v>13</v>
      </c>
      <c r="C7906" s="4" t="n">
        <v>5</v>
      </c>
      <c r="D7906" s="4" t="n">
        <v>6</v>
      </c>
      <c r="E7906" s="4" t="s">
        <v>5531</v>
      </c>
      <c r="F7906" s="4" t="n">
        <v>6</v>
      </c>
      <c r="G7906" s="4" t="n">
        <v>10</v>
      </c>
      <c r="H7906" s="4" t="n">
        <v>4</v>
      </c>
      <c r="I7906" s="4" t="str">
        <v>×</v>
      </c>
      <c r="J7906" s="4"/>
      <c r="K7906" s="4"/>
      <c r="L7906" s="4"/>
      <c r="M7906" s="5" t="s">
        <v>5346</v>
      </c>
    </row>
    <row r="7907" customFormat="false" ht="15.75" hidden="false" customHeight="false" outlineLevel="0" collapsed="false">
      <c r="A7907" s="6" t="n">
        <v>46165</v>
      </c>
      <c r="B7907" s="4" t="s">
        <v>13</v>
      </c>
      <c r="C7907" s="4" t="n">
        <v>5</v>
      </c>
      <c r="D7907" s="4" t="n">
        <v>7</v>
      </c>
      <c r="E7907" s="4" t="s">
        <v>3191</v>
      </c>
      <c r="F7907" s="4" t="n">
        <v>44</v>
      </c>
      <c r="G7907" s="4" t="n">
        <v>2</v>
      </c>
      <c r="H7907" s="4" t="n">
        <v>4</v>
      </c>
      <c r="I7907" s="4" t="str">
        <v>×</v>
      </c>
      <c r="J7907" s="4"/>
      <c r="K7907" s="4"/>
      <c r="L7907" s="4"/>
      <c r="M7907" s="5" t="s">
        <v>5346</v>
      </c>
    </row>
    <row r="7908" customFormat="false" ht="15.75" hidden="false" customHeight="false" outlineLevel="0" collapsed="false">
      <c r="A7908" s="6" t="n">
        <v>46165</v>
      </c>
      <c r="B7908" s="4" t="s">
        <v>13</v>
      </c>
      <c r="C7908" s="4" t="n">
        <v>5</v>
      </c>
      <c r="D7908" s="4" t="n">
        <v>8</v>
      </c>
      <c r="E7908" s="4" t="s">
        <v>1146</v>
      </c>
      <c r="F7908" s="4" t="n">
        <v>4</v>
      </c>
      <c r="G7908" s="4" t="n">
        <v>11</v>
      </c>
      <c r="H7908" s="4" t="n">
        <v>4</v>
      </c>
      <c r="I7908" s="4" t="str">
        <v>×</v>
      </c>
      <c r="J7908" s="4"/>
      <c r="K7908" s="4"/>
      <c r="L7908" s="4"/>
      <c r="M7908" s="5" t="s">
        <v>5346</v>
      </c>
    </row>
    <row r="7909" customFormat="false" ht="15.75" hidden="false" customHeight="false" outlineLevel="0" collapsed="false">
      <c r="A7909" s="6" t="n">
        <v>46165</v>
      </c>
      <c r="B7909" s="4" t="s">
        <v>13</v>
      </c>
      <c r="C7909" s="4" t="n">
        <v>5</v>
      </c>
      <c r="D7909" s="4" t="n">
        <v>9</v>
      </c>
      <c r="E7909" s="4" t="s">
        <v>1161</v>
      </c>
      <c r="F7909" s="4" t="n">
        <v>8</v>
      </c>
      <c r="G7909" s="4" t="n">
        <v>9</v>
      </c>
      <c r="H7909" s="4" t="n">
        <v>4</v>
      </c>
      <c r="I7909" s="4" t="str">
        <v>×</v>
      </c>
      <c r="J7909" s="4"/>
      <c r="K7909" s="4"/>
      <c r="L7909" s="4"/>
      <c r="M7909" s="5" t="s">
        <v>5346</v>
      </c>
    </row>
    <row r="7910" customFormat="false" ht="15.75" hidden="false" customHeight="false" outlineLevel="0" collapsed="false">
      <c r="A7910" s="6" t="n">
        <v>46165</v>
      </c>
      <c r="B7910" s="4" t="s">
        <v>13</v>
      </c>
      <c r="C7910" s="4" t="n">
        <v>5</v>
      </c>
      <c r="D7910" s="4" t="n">
        <v>10</v>
      </c>
      <c r="E7910" s="4" t="s">
        <v>1782</v>
      </c>
      <c r="F7910" s="4" t="n">
        <v>10</v>
      </c>
      <c r="G7910" s="4" t="n">
        <v>8</v>
      </c>
      <c r="H7910" s="4" t="n">
        <v>4</v>
      </c>
      <c r="I7910" s="4" t="str">
        <v>×</v>
      </c>
      <c r="J7910" s="4"/>
      <c r="K7910" s="4"/>
      <c r="L7910" s="4"/>
      <c r="M7910" s="5" t="s">
        <v>5346</v>
      </c>
    </row>
    <row r="7911" customFormat="false" ht="15.75" hidden="false" customHeight="false" outlineLevel="0" collapsed="false">
      <c r="A7911" s="6" t="n">
        <v>46165</v>
      </c>
      <c r="B7911" s="4" t="s">
        <v>13</v>
      </c>
      <c r="C7911" s="4" t="n">
        <v>5</v>
      </c>
      <c r="D7911" s="4" t="n">
        <v>11</v>
      </c>
      <c r="E7911" s="4" t="s">
        <v>5143</v>
      </c>
      <c r="F7911" s="4" t="n">
        <v>29</v>
      </c>
      <c r="G7911" s="4" t="n">
        <v>5</v>
      </c>
      <c r="H7911" s="4" t="n">
        <v>4</v>
      </c>
      <c r="I7911" s="4" t="str">
        <v>×</v>
      </c>
      <c r="J7911" s="4"/>
      <c r="K7911" s="4"/>
      <c r="L7911" s="4"/>
      <c r="M7911" s="5" t="s">
        <v>5346</v>
      </c>
    </row>
    <row r="7912" customFormat="false" ht="15.75" hidden="false" customHeight="false" outlineLevel="0" collapsed="false">
      <c r="A7912" s="6" t="n">
        <v>46165</v>
      </c>
      <c r="B7912" s="4" t="s">
        <v>13</v>
      </c>
      <c r="C7912" s="4" t="n">
        <v>5</v>
      </c>
      <c r="D7912" s="4" t="n">
        <v>12</v>
      </c>
      <c r="E7912" s="4" t="s">
        <v>4115</v>
      </c>
      <c r="F7912" s="4" t="n">
        <v>34</v>
      </c>
      <c r="G7912" s="4" t="n">
        <v>4</v>
      </c>
      <c r="H7912" s="4" t="n">
        <v>4</v>
      </c>
      <c r="I7912" s="4" t="str">
        <v>×</v>
      </c>
      <c r="J7912" s="4"/>
      <c r="K7912" s="4"/>
      <c r="L7912" s="4"/>
      <c r="M7912" s="5" t="s">
        <v>5346</v>
      </c>
    </row>
    <row r="7913" customFormat="false" ht="15.75" hidden="false" customHeight="false" outlineLevel="0" collapsed="false">
      <c r="A7913" s="6" t="n">
        <v>46165</v>
      </c>
      <c r="B7913" s="4" t="s">
        <v>13</v>
      </c>
      <c r="C7913" s="4" t="n">
        <v>5</v>
      </c>
      <c r="D7913" s="4" t="n">
        <v>13</v>
      </c>
      <c r="E7913" s="4" t="s">
        <v>402</v>
      </c>
      <c r="F7913" s="4" t="n">
        <v>37</v>
      </c>
      <c r="G7913" s="4" t="n">
        <v>3</v>
      </c>
      <c r="H7913" s="4" t="n">
        <v>1</v>
      </c>
      <c r="I7913" s="4" t="str">
        <v>○</v>
      </c>
      <c r="J7913" s="4" t="n">
        <v>230</v>
      </c>
      <c r="K7913" s="4"/>
      <c r="L7913" s="4"/>
      <c r="M7913" s="5" t="s">
        <v>5346</v>
      </c>
    </row>
    <row r="7914" customFormat="false" ht="15.75" hidden="false" customHeight="false" outlineLevel="0" collapsed="false">
      <c r="A7914" s="6" t="n">
        <v>46165</v>
      </c>
      <c r="B7914" s="4" t="s">
        <v>13</v>
      </c>
      <c r="C7914" s="4" t="n">
        <v>5</v>
      </c>
      <c r="D7914" s="4" t="n">
        <v>14</v>
      </c>
      <c r="E7914" s="4" t="s">
        <v>2352</v>
      </c>
      <c r="F7914" s="4" t="n">
        <v>3</v>
      </c>
      <c r="G7914" s="4" t="n">
        <v>12</v>
      </c>
      <c r="H7914" s="4" t="n">
        <v>4</v>
      </c>
      <c r="I7914" s="4" t="str">
        <v>×</v>
      </c>
      <c r="J7914" s="4"/>
      <c r="K7914" s="4"/>
      <c r="L7914" s="4"/>
      <c r="M7914" s="5" t="s">
        <v>5346</v>
      </c>
    </row>
    <row r="7915" customFormat="false" ht="15.75" hidden="false" customHeight="false" outlineLevel="0" collapsed="false">
      <c r="A7915" s="6" t="n">
        <v>46165</v>
      </c>
      <c r="B7915" s="4" t="s">
        <v>13</v>
      </c>
      <c r="C7915" s="4" t="n">
        <v>5</v>
      </c>
      <c r="D7915" s="4" t="n">
        <v>15</v>
      </c>
      <c r="E7915" s="4" t="s">
        <v>237</v>
      </c>
      <c r="F7915" s="4" t="n">
        <v>25</v>
      </c>
      <c r="G7915" s="4" t="n">
        <v>6</v>
      </c>
      <c r="H7915" s="4" t="n">
        <v>3</v>
      </c>
      <c r="I7915" s="4" t="str">
        <v>○</v>
      </c>
      <c r="J7915" s="4" t="n">
        <v>260</v>
      </c>
      <c r="K7915" s="4"/>
      <c r="L7915" s="4"/>
      <c r="M7915" s="5" t="s">
        <v>5346</v>
      </c>
    </row>
    <row r="7916" customFormat="false" ht="15.75" hidden="false" customHeight="false" outlineLevel="0" collapsed="false">
      <c r="A7916" s="6" t="n">
        <v>46165</v>
      </c>
      <c r="B7916" s="4" t="s">
        <v>13</v>
      </c>
      <c r="C7916" s="4" t="n">
        <v>5</v>
      </c>
      <c r="D7916" s="4" t="n">
        <v>16</v>
      </c>
      <c r="E7916" s="4" t="s">
        <v>2928</v>
      </c>
      <c r="F7916" s="4" t="n">
        <v>13</v>
      </c>
      <c r="G7916" s="4" t="n">
        <v>7</v>
      </c>
      <c r="H7916" s="4" t="n">
        <v>4</v>
      </c>
      <c r="I7916" s="4" t="str">
        <v>×</v>
      </c>
      <c r="J7916" s="4"/>
      <c r="K7916" s="4"/>
      <c r="L7916" s="4"/>
      <c r="M7916" s="5" t="s">
        <v>5346</v>
      </c>
    </row>
    <row r="7917" customFormat="false" ht="15.75" hidden="false" customHeight="false" outlineLevel="0" collapsed="false">
      <c r="A7917" s="6" t="n">
        <v>46165</v>
      </c>
      <c r="B7917" s="4" t="s">
        <v>13</v>
      </c>
      <c r="C7917" s="4" t="n">
        <v>6</v>
      </c>
      <c r="D7917" s="4" t="n">
        <v>1</v>
      </c>
      <c r="E7917" s="4" t="s">
        <v>1915</v>
      </c>
      <c r="F7917" s="4" t="n">
        <v>4</v>
      </c>
      <c r="G7917" s="4" t="n">
        <v>10</v>
      </c>
      <c r="H7917" s="4" t="n">
        <v>4</v>
      </c>
      <c r="I7917" s="4" t="str">
        <v>×</v>
      </c>
      <c r="J7917" s="4"/>
      <c r="K7917" s="4"/>
      <c r="L7917" s="4"/>
      <c r="M7917" s="5" t="s">
        <v>5346</v>
      </c>
    </row>
    <row r="7918" customFormat="false" ht="15.75" hidden="false" customHeight="false" outlineLevel="0" collapsed="false">
      <c r="A7918" s="6" t="n">
        <v>46165</v>
      </c>
      <c r="B7918" s="4" t="s">
        <v>13</v>
      </c>
      <c r="C7918" s="4" t="n">
        <v>6</v>
      </c>
      <c r="D7918" s="4" t="n">
        <v>2</v>
      </c>
      <c r="E7918" s="4" t="s">
        <v>4689</v>
      </c>
      <c r="F7918" s="4" t="n">
        <v>17</v>
      </c>
      <c r="G7918" s="4" t="n">
        <v>6</v>
      </c>
      <c r="H7918" s="4" t="n">
        <v>3</v>
      </c>
      <c r="I7918" s="4" t="str">
        <v>○</v>
      </c>
      <c r="J7918" s="4" t="n">
        <v>320</v>
      </c>
      <c r="K7918" s="4"/>
      <c r="L7918" s="4"/>
      <c r="M7918" s="5" t="s">
        <v>5346</v>
      </c>
    </row>
    <row r="7919" customFormat="false" ht="15.75" hidden="false" customHeight="false" outlineLevel="0" collapsed="false">
      <c r="A7919" s="6" t="n">
        <v>46165</v>
      </c>
      <c r="B7919" s="4" t="s">
        <v>13</v>
      </c>
      <c r="C7919" s="4" t="n">
        <v>6</v>
      </c>
      <c r="D7919" s="4" t="n">
        <v>3</v>
      </c>
      <c r="E7919" s="4" t="s">
        <v>421</v>
      </c>
      <c r="F7919" s="4" t="n">
        <v>44</v>
      </c>
      <c r="G7919" s="4" t="n">
        <v>3</v>
      </c>
      <c r="H7919" s="4" t="n">
        <v>2</v>
      </c>
      <c r="I7919" s="4" t="str">
        <v>○</v>
      </c>
      <c r="J7919" s="4" t="n">
        <v>150</v>
      </c>
      <c r="K7919" s="4"/>
      <c r="L7919" s="4"/>
      <c r="M7919" s="5" t="s">
        <v>5346</v>
      </c>
    </row>
    <row r="7920" customFormat="false" ht="15.75" hidden="false" customHeight="false" outlineLevel="0" collapsed="false">
      <c r="A7920" s="6" t="n">
        <v>46165</v>
      </c>
      <c r="B7920" s="4" t="s">
        <v>13</v>
      </c>
      <c r="C7920" s="4" t="n">
        <v>6</v>
      </c>
      <c r="D7920" s="4" t="n">
        <v>4</v>
      </c>
      <c r="E7920" s="4" t="s">
        <v>5532</v>
      </c>
      <c r="F7920" s="4" t="n">
        <v>6</v>
      </c>
      <c r="G7920" s="4" t="n">
        <v>9</v>
      </c>
      <c r="H7920" s="4" t="n">
        <v>4</v>
      </c>
      <c r="I7920" s="4" t="str">
        <v>×</v>
      </c>
      <c r="J7920" s="4"/>
      <c r="K7920" s="4"/>
      <c r="L7920" s="4"/>
      <c r="M7920" s="5" t="s">
        <v>5346</v>
      </c>
    </row>
    <row r="7921" customFormat="false" ht="15.75" hidden="false" customHeight="false" outlineLevel="0" collapsed="false">
      <c r="A7921" s="6" t="n">
        <v>46165</v>
      </c>
      <c r="B7921" s="4" t="s">
        <v>13</v>
      </c>
      <c r="C7921" s="4" t="n">
        <v>6</v>
      </c>
      <c r="D7921" s="4" t="n">
        <v>5</v>
      </c>
      <c r="E7921" s="4" t="s">
        <v>1149</v>
      </c>
      <c r="F7921" s="4" t="n">
        <v>52</v>
      </c>
      <c r="G7921" s="4" t="n">
        <v>2</v>
      </c>
      <c r="H7921" s="4" t="n">
        <v>4</v>
      </c>
      <c r="I7921" s="4" t="str">
        <v>×</v>
      </c>
      <c r="J7921" s="4"/>
      <c r="K7921" s="4"/>
      <c r="L7921" s="4"/>
      <c r="M7921" s="5" t="s">
        <v>5346</v>
      </c>
    </row>
    <row r="7922" customFormat="false" ht="15.75" hidden="false" customHeight="false" outlineLevel="0" collapsed="false">
      <c r="A7922" s="6" t="n">
        <v>46165</v>
      </c>
      <c r="B7922" s="4" t="s">
        <v>13</v>
      </c>
      <c r="C7922" s="4" t="n">
        <v>6</v>
      </c>
      <c r="D7922" s="4" t="n">
        <v>6</v>
      </c>
      <c r="E7922" s="4" t="s">
        <v>5533</v>
      </c>
      <c r="F7922" s="4" t="n">
        <v>17</v>
      </c>
      <c r="G7922" s="4" t="n">
        <v>6</v>
      </c>
      <c r="H7922" s="4" t="n">
        <v>4</v>
      </c>
      <c r="I7922" s="4" t="str">
        <v>×</v>
      </c>
      <c r="J7922" s="4"/>
      <c r="K7922" s="4"/>
      <c r="L7922" s="4"/>
      <c r="M7922" s="5" t="s">
        <v>5346</v>
      </c>
    </row>
    <row r="7923" customFormat="false" ht="15.75" hidden="false" customHeight="false" outlineLevel="0" collapsed="false">
      <c r="A7923" s="6" t="n">
        <v>46165</v>
      </c>
      <c r="B7923" s="4" t="s">
        <v>13</v>
      </c>
      <c r="C7923" s="4" t="n">
        <v>6</v>
      </c>
      <c r="D7923" s="4" t="n">
        <v>7</v>
      </c>
      <c r="E7923" s="4" t="s">
        <v>5534</v>
      </c>
      <c r="F7923" s="4" t="n">
        <v>2</v>
      </c>
      <c r="G7923" s="4" t="n">
        <v>11</v>
      </c>
      <c r="H7923" s="4" t="n">
        <v>4</v>
      </c>
      <c r="I7923" s="4" t="str">
        <v>×</v>
      </c>
      <c r="J7923" s="4"/>
      <c r="K7923" s="4"/>
      <c r="L7923" s="4"/>
      <c r="M7923" s="5" t="s">
        <v>5346</v>
      </c>
    </row>
    <row r="7924" customFormat="false" ht="15.75" hidden="false" customHeight="false" outlineLevel="0" collapsed="false">
      <c r="A7924" s="6" t="n">
        <v>46165</v>
      </c>
      <c r="B7924" s="4" t="s">
        <v>13</v>
      </c>
      <c r="C7924" s="4" t="n">
        <v>6</v>
      </c>
      <c r="D7924" s="4" t="n">
        <v>8</v>
      </c>
      <c r="E7924" s="4" t="s">
        <v>5535</v>
      </c>
      <c r="F7924" s="4" t="n">
        <v>23</v>
      </c>
      <c r="G7924" s="4" t="n">
        <v>5</v>
      </c>
      <c r="H7924" s="4" t="n">
        <v>4</v>
      </c>
      <c r="I7924" s="4" t="str">
        <v>×</v>
      </c>
      <c r="J7924" s="4"/>
      <c r="K7924" s="4"/>
      <c r="L7924" s="4"/>
      <c r="M7924" s="5" t="s">
        <v>5346</v>
      </c>
    </row>
    <row r="7925" customFormat="false" ht="15.75" hidden="false" customHeight="false" outlineLevel="0" collapsed="false">
      <c r="A7925" s="6" t="n">
        <v>46165</v>
      </c>
      <c r="B7925" s="4" t="s">
        <v>13</v>
      </c>
      <c r="C7925" s="4" t="n">
        <v>6</v>
      </c>
      <c r="D7925" s="4" t="n">
        <v>9</v>
      </c>
      <c r="E7925" s="4" t="s">
        <v>3734</v>
      </c>
      <c r="F7925" s="4" t="n">
        <v>13</v>
      </c>
      <c r="G7925" s="4" t="n">
        <v>7</v>
      </c>
      <c r="H7925" s="4" t="n">
        <v>4</v>
      </c>
      <c r="I7925" s="4" t="str">
        <v>×</v>
      </c>
      <c r="J7925" s="4"/>
      <c r="K7925" s="4"/>
      <c r="L7925" s="4"/>
      <c r="M7925" s="5" t="s">
        <v>5346</v>
      </c>
    </row>
    <row r="7926" customFormat="false" ht="15.75" hidden="false" customHeight="false" outlineLevel="0" collapsed="false">
      <c r="A7926" s="6" t="n">
        <v>46165</v>
      </c>
      <c r="B7926" s="4" t="s">
        <v>13</v>
      </c>
      <c r="C7926" s="4" t="n">
        <v>6</v>
      </c>
      <c r="D7926" s="4" t="n">
        <v>10</v>
      </c>
      <c r="E7926" s="4" t="s">
        <v>3793</v>
      </c>
      <c r="F7926" s="4" t="n">
        <v>8</v>
      </c>
      <c r="G7926" s="4" t="n">
        <v>8</v>
      </c>
      <c r="H7926" s="4" t="n">
        <v>4</v>
      </c>
      <c r="I7926" s="4" t="str">
        <v>×</v>
      </c>
      <c r="J7926" s="4"/>
      <c r="K7926" s="4"/>
      <c r="L7926" s="4"/>
      <c r="M7926" s="5" t="s">
        <v>5346</v>
      </c>
    </row>
    <row r="7927" customFormat="false" ht="15.75" hidden="false" customHeight="false" outlineLevel="0" collapsed="false">
      <c r="A7927" s="6" t="n">
        <v>46165</v>
      </c>
      <c r="B7927" s="4" t="s">
        <v>13</v>
      </c>
      <c r="C7927" s="4" t="n">
        <v>6</v>
      </c>
      <c r="D7927" s="4" t="n">
        <v>11</v>
      </c>
      <c r="E7927" s="4" t="s">
        <v>4012</v>
      </c>
      <c r="F7927" s="4" t="n">
        <v>41</v>
      </c>
      <c r="G7927" s="4" t="n">
        <v>4</v>
      </c>
      <c r="H7927" s="4" t="n">
        <v>4</v>
      </c>
      <c r="I7927" s="4" t="str">
        <v>×</v>
      </c>
      <c r="J7927" s="4"/>
      <c r="K7927" s="4"/>
      <c r="L7927" s="4"/>
      <c r="M7927" s="5" t="s">
        <v>5346</v>
      </c>
    </row>
    <row r="7928" customFormat="false" ht="15.75" hidden="false" customHeight="false" outlineLevel="0" collapsed="false">
      <c r="A7928" s="6" t="n">
        <v>46165</v>
      </c>
      <c r="B7928" s="4" t="s">
        <v>13</v>
      </c>
      <c r="C7928" s="4" t="n">
        <v>6</v>
      </c>
      <c r="D7928" s="4" t="n">
        <v>12</v>
      </c>
      <c r="E7928" s="4" t="s">
        <v>5536</v>
      </c>
      <c r="F7928" s="4" t="n">
        <v>4</v>
      </c>
      <c r="G7928" s="4" t="n">
        <v>10</v>
      </c>
      <c r="H7928" s="4" t="n">
        <v>4</v>
      </c>
      <c r="I7928" s="4" t="str">
        <v>×</v>
      </c>
      <c r="J7928" s="4"/>
      <c r="K7928" s="4"/>
      <c r="L7928" s="4"/>
      <c r="M7928" s="5" t="s">
        <v>5346</v>
      </c>
    </row>
    <row r="7929" customFormat="false" ht="15.75" hidden="false" customHeight="false" outlineLevel="0" collapsed="false">
      <c r="A7929" s="6" t="n">
        <v>46165</v>
      </c>
      <c r="B7929" s="4" t="s">
        <v>13</v>
      </c>
      <c r="C7929" s="4" t="n">
        <v>6</v>
      </c>
      <c r="D7929" s="4" t="n">
        <v>13</v>
      </c>
      <c r="E7929" s="4" t="s">
        <v>5537</v>
      </c>
      <c r="F7929" s="4" t="n">
        <v>56</v>
      </c>
      <c r="G7929" s="4" t="n">
        <v>1</v>
      </c>
      <c r="H7929" s="4" t="n">
        <v>1</v>
      </c>
      <c r="I7929" s="4" t="str">
        <v>○</v>
      </c>
      <c r="J7929" s="4" t="n">
        <v>170</v>
      </c>
      <c r="K7929" s="4"/>
      <c r="L7929" s="4"/>
      <c r="M7929" s="5" t="s">
        <v>5346</v>
      </c>
    </row>
    <row r="7930" customFormat="false" ht="15.75" hidden="false" customHeight="false" outlineLevel="0" collapsed="false">
      <c r="A7930" s="6" t="n">
        <v>46165</v>
      </c>
      <c r="B7930" s="4" t="s">
        <v>13</v>
      </c>
      <c r="C7930" s="4" t="n">
        <v>6</v>
      </c>
      <c r="D7930" s="4" t="n">
        <v>14</v>
      </c>
      <c r="E7930" s="4" t="s">
        <v>5538</v>
      </c>
      <c r="F7930" s="4" t="n">
        <v>6</v>
      </c>
      <c r="G7930" s="4" t="n">
        <v>9</v>
      </c>
      <c r="H7930" s="4" t="n">
        <v>4</v>
      </c>
      <c r="I7930" s="4" t="str">
        <v>×</v>
      </c>
      <c r="J7930" s="4"/>
      <c r="K7930" s="4"/>
      <c r="L7930" s="4"/>
      <c r="M7930" s="5" t="s">
        <v>5346</v>
      </c>
    </row>
    <row r="7931" customFormat="false" ht="15.75" hidden="false" customHeight="false" outlineLevel="0" collapsed="false">
      <c r="A7931" s="6" t="n">
        <v>46165</v>
      </c>
      <c r="B7931" s="4" t="s">
        <v>13</v>
      </c>
      <c r="C7931" s="4" t="n">
        <v>6</v>
      </c>
      <c r="D7931" s="4" t="n">
        <v>15</v>
      </c>
      <c r="E7931" s="4" t="s">
        <v>1264</v>
      </c>
      <c r="F7931" s="4" t="n">
        <v>13</v>
      </c>
      <c r="G7931" s="4" t="n">
        <v>7</v>
      </c>
      <c r="H7931" s="4" t="n">
        <v>4</v>
      </c>
      <c r="I7931" s="4" t="str">
        <v>×</v>
      </c>
      <c r="J7931" s="4"/>
      <c r="K7931" s="4"/>
      <c r="L7931" s="4"/>
      <c r="M7931" s="5" t="s">
        <v>5346</v>
      </c>
    </row>
    <row r="7932" customFormat="false" ht="15.75" hidden="false" customHeight="false" outlineLevel="0" collapsed="false">
      <c r="A7932" s="6" t="n">
        <v>46165</v>
      </c>
      <c r="B7932" s="4" t="s">
        <v>13</v>
      </c>
      <c r="C7932" s="4" t="n">
        <v>7</v>
      </c>
      <c r="D7932" s="4" t="n">
        <v>1</v>
      </c>
      <c r="E7932" s="4" t="s">
        <v>5539</v>
      </c>
      <c r="F7932" s="4" t="n">
        <v>6</v>
      </c>
      <c r="G7932" s="4" t="n">
        <v>10</v>
      </c>
      <c r="H7932" s="4" t="n">
        <v>4</v>
      </c>
      <c r="I7932" s="4" t="str">
        <v>×</v>
      </c>
      <c r="J7932" s="4"/>
      <c r="K7932" s="4"/>
      <c r="L7932" s="4"/>
      <c r="M7932" s="5" t="s">
        <v>5346</v>
      </c>
    </row>
    <row r="7933" customFormat="false" ht="15.75" hidden="false" customHeight="false" outlineLevel="0" collapsed="false">
      <c r="A7933" s="6" t="n">
        <v>46165</v>
      </c>
      <c r="B7933" s="4" t="s">
        <v>13</v>
      </c>
      <c r="C7933" s="4" t="n">
        <v>7</v>
      </c>
      <c r="D7933" s="4" t="n">
        <v>2</v>
      </c>
      <c r="E7933" s="4" t="s">
        <v>3742</v>
      </c>
      <c r="F7933" s="4" t="n">
        <v>4</v>
      </c>
      <c r="G7933" s="4" t="n">
        <v>11</v>
      </c>
      <c r="H7933" s="4" t="n">
        <v>4</v>
      </c>
      <c r="I7933" s="4" t="str">
        <v>×</v>
      </c>
      <c r="J7933" s="4"/>
      <c r="K7933" s="4"/>
      <c r="L7933" s="4"/>
      <c r="M7933" s="5" t="s">
        <v>5346</v>
      </c>
    </row>
    <row r="7934" customFormat="false" ht="15.75" hidden="false" customHeight="false" outlineLevel="0" collapsed="false">
      <c r="A7934" s="6" t="n">
        <v>46165</v>
      </c>
      <c r="B7934" s="4" t="s">
        <v>13</v>
      </c>
      <c r="C7934" s="4" t="n">
        <v>7</v>
      </c>
      <c r="D7934" s="4" t="n">
        <v>3</v>
      </c>
      <c r="E7934" s="4" t="s">
        <v>4889</v>
      </c>
      <c r="F7934" s="4" t="n">
        <v>52</v>
      </c>
      <c r="G7934" s="4" t="n">
        <v>1</v>
      </c>
      <c r="H7934" s="4" t="n">
        <v>3</v>
      </c>
      <c r="I7934" s="4" t="str">
        <v>○</v>
      </c>
      <c r="J7934" s="4" t="n">
        <v>220</v>
      </c>
      <c r="K7934" s="4"/>
      <c r="L7934" s="4"/>
      <c r="M7934" s="5" t="s">
        <v>5346</v>
      </c>
    </row>
    <row r="7935" customFormat="false" ht="15.75" hidden="false" customHeight="false" outlineLevel="0" collapsed="false">
      <c r="A7935" s="6" t="n">
        <v>46165</v>
      </c>
      <c r="B7935" s="4" t="s">
        <v>13</v>
      </c>
      <c r="C7935" s="4" t="n">
        <v>7</v>
      </c>
      <c r="D7935" s="4" t="n">
        <v>4</v>
      </c>
      <c r="E7935" s="4" t="s">
        <v>2598</v>
      </c>
      <c r="F7935" s="4" t="n">
        <v>4</v>
      </c>
      <c r="G7935" s="4" t="n">
        <v>11</v>
      </c>
      <c r="H7935" s="4" t="n">
        <v>4</v>
      </c>
      <c r="I7935" s="4" t="str">
        <v>×</v>
      </c>
      <c r="J7935" s="4"/>
      <c r="K7935" s="4"/>
      <c r="L7935" s="4"/>
      <c r="M7935" s="5" t="s">
        <v>5346</v>
      </c>
    </row>
    <row r="7936" customFormat="false" ht="15.75" hidden="false" customHeight="false" outlineLevel="0" collapsed="false">
      <c r="A7936" s="6" t="n">
        <v>46165</v>
      </c>
      <c r="B7936" s="4" t="s">
        <v>13</v>
      </c>
      <c r="C7936" s="4" t="n">
        <v>7</v>
      </c>
      <c r="D7936" s="4" t="n">
        <v>5</v>
      </c>
      <c r="E7936" s="4" t="s">
        <v>5540</v>
      </c>
      <c r="F7936" s="4" t="n">
        <v>34</v>
      </c>
      <c r="G7936" s="4" t="n">
        <v>6</v>
      </c>
      <c r="H7936" s="4" t="n">
        <v>1</v>
      </c>
      <c r="I7936" s="4" t="str">
        <v>○</v>
      </c>
      <c r="J7936" s="4" t="n">
        <v>200</v>
      </c>
      <c r="K7936" s="4"/>
      <c r="L7936" s="4"/>
      <c r="M7936" s="5" t="s">
        <v>5346</v>
      </c>
    </row>
    <row r="7937" customFormat="false" ht="15.75" hidden="false" customHeight="false" outlineLevel="0" collapsed="false">
      <c r="A7937" s="6" t="n">
        <v>46165</v>
      </c>
      <c r="B7937" s="4" t="s">
        <v>13</v>
      </c>
      <c r="C7937" s="4" t="n">
        <v>7</v>
      </c>
      <c r="D7937" s="4" t="n">
        <v>6</v>
      </c>
      <c r="E7937" s="4" t="s">
        <v>623</v>
      </c>
      <c r="F7937" s="4" t="n">
        <v>39</v>
      </c>
      <c r="G7937" s="4" t="n">
        <v>4</v>
      </c>
      <c r="H7937" s="4" t="n">
        <v>4</v>
      </c>
      <c r="I7937" s="4" t="str">
        <v>×</v>
      </c>
      <c r="J7937" s="4"/>
      <c r="K7937" s="4"/>
      <c r="L7937" s="4"/>
      <c r="M7937" s="5" t="s">
        <v>5346</v>
      </c>
    </row>
    <row r="7938" customFormat="false" ht="15.75" hidden="false" customHeight="false" outlineLevel="0" collapsed="false">
      <c r="A7938" s="6" t="n">
        <v>46165</v>
      </c>
      <c r="B7938" s="4" t="s">
        <v>13</v>
      </c>
      <c r="C7938" s="4" t="n">
        <v>7</v>
      </c>
      <c r="D7938" s="4" t="n">
        <v>7</v>
      </c>
      <c r="E7938" s="4" t="s">
        <v>5541</v>
      </c>
      <c r="F7938" s="4" t="n">
        <v>4</v>
      </c>
      <c r="G7938" s="4" t="n">
        <v>11</v>
      </c>
      <c r="H7938" s="4" t="n">
        <v>4</v>
      </c>
      <c r="I7938" s="4" t="str">
        <v>×</v>
      </c>
      <c r="J7938" s="4"/>
      <c r="K7938" s="4"/>
      <c r="L7938" s="4"/>
      <c r="M7938" s="5" t="s">
        <v>5346</v>
      </c>
    </row>
    <row r="7939" customFormat="false" ht="15.75" hidden="false" customHeight="false" outlineLevel="0" collapsed="false">
      <c r="A7939" s="6" t="n">
        <v>46165</v>
      </c>
      <c r="B7939" s="4" t="s">
        <v>13</v>
      </c>
      <c r="C7939" s="4" t="n">
        <v>7</v>
      </c>
      <c r="D7939" s="4" t="n">
        <v>8</v>
      </c>
      <c r="E7939" s="4" t="s">
        <v>3520</v>
      </c>
      <c r="F7939" s="4" t="n">
        <v>10</v>
      </c>
      <c r="G7939" s="4" t="n">
        <v>8</v>
      </c>
      <c r="H7939" s="4" t="n">
        <v>4</v>
      </c>
      <c r="I7939" s="4" t="str">
        <v>×</v>
      </c>
      <c r="J7939" s="4"/>
      <c r="K7939" s="4"/>
      <c r="L7939" s="4"/>
      <c r="M7939" s="5" t="s">
        <v>5346</v>
      </c>
    </row>
    <row r="7940" customFormat="false" ht="15.75" hidden="false" customHeight="false" outlineLevel="0" collapsed="false">
      <c r="A7940" s="6" t="n">
        <v>46165</v>
      </c>
      <c r="B7940" s="4" t="s">
        <v>13</v>
      </c>
      <c r="C7940" s="4" t="n">
        <v>7</v>
      </c>
      <c r="D7940" s="4" t="n">
        <v>9</v>
      </c>
      <c r="E7940" s="4" t="s">
        <v>1012</v>
      </c>
      <c r="F7940" s="4" t="n">
        <v>37</v>
      </c>
      <c r="G7940" s="4" t="n">
        <v>5</v>
      </c>
      <c r="H7940" s="4" t="n">
        <v>4</v>
      </c>
      <c r="I7940" s="4" t="str">
        <v>×</v>
      </c>
      <c r="J7940" s="4"/>
      <c r="K7940" s="4"/>
      <c r="L7940" s="4"/>
      <c r="M7940" s="5" t="s">
        <v>5346</v>
      </c>
    </row>
    <row r="7941" customFormat="false" ht="15.75" hidden="false" customHeight="false" outlineLevel="0" collapsed="false">
      <c r="A7941" s="6" t="n">
        <v>46165</v>
      </c>
      <c r="B7941" s="4" t="s">
        <v>13</v>
      </c>
      <c r="C7941" s="4" t="n">
        <v>7</v>
      </c>
      <c r="D7941" s="4" t="n">
        <v>10</v>
      </c>
      <c r="E7941" s="4" t="s">
        <v>2690</v>
      </c>
      <c r="F7941" s="4" t="n">
        <v>4</v>
      </c>
      <c r="G7941" s="4" t="n">
        <v>11</v>
      </c>
      <c r="H7941" s="4" t="n">
        <v>4</v>
      </c>
      <c r="I7941" s="4" t="str">
        <v>×</v>
      </c>
      <c r="J7941" s="4"/>
      <c r="K7941" s="4"/>
      <c r="L7941" s="4"/>
      <c r="M7941" s="5" t="s">
        <v>5346</v>
      </c>
    </row>
    <row r="7942" customFormat="false" ht="15.75" hidden="false" customHeight="false" outlineLevel="0" collapsed="false">
      <c r="A7942" s="6" t="n">
        <v>46165</v>
      </c>
      <c r="B7942" s="4" t="s">
        <v>13</v>
      </c>
      <c r="C7942" s="4" t="n">
        <v>7</v>
      </c>
      <c r="D7942" s="4" t="n">
        <v>11</v>
      </c>
      <c r="E7942" s="4" t="s">
        <v>5260</v>
      </c>
      <c r="F7942" s="4" t="n">
        <v>44</v>
      </c>
      <c r="G7942" s="4" t="n">
        <v>2</v>
      </c>
      <c r="H7942" s="4" t="n">
        <v>2</v>
      </c>
      <c r="I7942" s="4" t="str">
        <v>○</v>
      </c>
      <c r="J7942" s="4" t="n">
        <v>180</v>
      </c>
      <c r="K7942" s="4"/>
      <c r="L7942" s="4"/>
      <c r="M7942" s="5" t="s">
        <v>5346</v>
      </c>
    </row>
    <row r="7943" customFormat="false" ht="15.75" hidden="false" customHeight="false" outlineLevel="0" collapsed="false">
      <c r="A7943" s="6" t="n">
        <v>46165</v>
      </c>
      <c r="B7943" s="4" t="s">
        <v>13</v>
      </c>
      <c r="C7943" s="4" t="n">
        <v>7</v>
      </c>
      <c r="D7943" s="4" t="n">
        <v>12</v>
      </c>
      <c r="E7943" s="4" t="s">
        <v>5542</v>
      </c>
      <c r="F7943" s="4" t="n">
        <v>6</v>
      </c>
      <c r="G7943" s="4" t="n">
        <v>10</v>
      </c>
      <c r="H7943" s="4" t="n">
        <v>4</v>
      </c>
      <c r="I7943" s="4" t="str">
        <v>×</v>
      </c>
      <c r="J7943" s="4"/>
      <c r="K7943" s="4"/>
      <c r="L7943" s="4"/>
      <c r="M7943" s="5" t="s">
        <v>5346</v>
      </c>
    </row>
    <row r="7944" customFormat="false" ht="15.75" hidden="false" customHeight="false" outlineLevel="0" collapsed="false">
      <c r="A7944" s="6" t="n">
        <v>46165</v>
      </c>
      <c r="B7944" s="4" t="s">
        <v>13</v>
      </c>
      <c r="C7944" s="4" t="n">
        <v>7</v>
      </c>
      <c r="D7944" s="4" t="n">
        <v>13</v>
      </c>
      <c r="E7944" s="4" t="s">
        <v>2691</v>
      </c>
      <c r="F7944" s="4" t="n">
        <v>8</v>
      </c>
      <c r="G7944" s="4" t="n">
        <v>9</v>
      </c>
      <c r="H7944" s="4" t="n">
        <v>4</v>
      </c>
      <c r="I7944" s="4" t="str">
        <v>×</v>
      </c>
      <c r="J7944" s="4"/>
      <c r="K7944" s="4"/>
      <c r="L7944" s="4"/>
      <c r="M7944" s="5" t="s">
        <v>5346</v>
      </c>
    </row>
    <row r="7945" customFormat="false" ht="15.75" hidden="false" customHeight="false" outlineLevel="0" collapsed="false">
      <c r="A7945" s="6" t="n">
        <v>46165</v>
      </c>
      <c r="B7945" s="4" t="s">
        <v>13</v>
      </c>
      <c r="C7945" s="4" t="n">
        <v>7</v>
      </c>
      <c r="D7945" s="4" t="n">
        <v>14</v>
      </c>
      <c r="E7945" s="4" t="s">
        <v>3889</v>
      </c>
      <c r="F7945" s="4" t="n">
        <v>6</v>
      </c>
      <c r="G7945" s="4" t="n">
        <v>10</v>
      </c>
      <c r="H7945" s="4" t="n">
        <v>4</v>
      </c>
      <c r="I7945" s="4" t="str">
        <v>×</v>
      </c>
      <c r="J7945" s="4"/>
      <c r="K7945" s="4"/>
      <c r="L7945" s="4"/>
      <c r="M7945" s="5" t="s">
        <v>5346</v>
      </c>
    </row>
    <row r="7946" customFormat="false" ht="15.75" hidden="false" customHeight="false" outlineLevel="0" collapsed="false">
      <c r="A7946" s="6" t="n">
        <v>46165</v>
      </c>
      <c r="B7946" s="4" t="s">
        <v>13</v>
      </c>
      <c r="C7946" s="4" t="n">
        <v>7</v>
      </c>
      <c r="D7946" s="4" t="n">
        <v>15</v>
      </c>
      <c r="E7946" s="4" t="s">
        <v>1042</v>
      </c>
      <c r="F7946" s="4" t="n">
        <v>41</v>
      </c>
      <c r="G7946" s="4" t="n">
        <v>3</v>
      </c>
      <c r="H7946" s="4" t="n">
        <v>4</v>
      </c>
      <c r="I7946" s="4" t="str">
        <v>×</v>
      </c>
      <c r="J7946" s="4"/>
      <c r="K7946" s="4"/>
      <c r="L7946" s="4"/>
      <c r="M7946" s="5" t="s">
        <v>5346</v>
      </c>
    </row>
    <row r="7947" customFormat="false" ht="15.75" hidden="false" customHeight="false" outlineLevel="0" collapsed="false">
      <c r="A7947" s="6" t="n">
        <v>46165</v>
      </c>
      <c r="B7947" s="4" t="s">
        <v>13</v>
      </c>
      <c r="C7947" s="4" t="n">
        <v>7</v>
      </c>
      <c r="D7947" s="4" t="n">
        <v>16</v>
      </c>
      <c r="E7947" s="4" t="s">
        <v>851</v>
      </c>
      <c r="F7947" s="4" t="n">
        <v>17</v>
      </c>
      <c r="G7947" s="4" t="n">
        <v>7</v>
      </c>
      <c r="H7947" s="4" t="n">
        <v>4</v>
      </c>
      <c r="I7947" s="4" t="str">
        <v>×</v>
      </c>
      <c r="J7947" s="4"/>
      <c r="K7947" s="4"/>
      <c r="L7947" s="4"/>
      <c r="M7947" s="5" t="s">
        <v>5346</v>
      </c>
    </row>
    <row r="7948" customFormat="false" ht="15.75" hidden="false" customHeight="false" outlineLevel="0" collapsed="false">
      <c r="A7948" s="6" t="n">
        <v>46165</v>
      </c>
      <c r="B7948" s="4" t="s">
        <v>13</v>
      </c>
      <c r="C7948" s="4" t="n">
        <v>8</v>
      </c>
      <c r="D7948" s="4" t="n">
        <v>1</v>
      </c>
      <c r="E7948" s="4" t="s">
        <v>3070</v>
      </c>
      <c r="F7948" s="4" t="n">
        <v>56</v>
      </c>
      <c r="G7948" s="4" t="n">
        <v>2</v>
      </c>
      <c r="H7948" s="4" t="n">
        <v>4</v>
      </c>
      <c r="I7948" s="4" t="str">
        <v>×</v>
      </c>
      <c r="J7948" s="4"/>
      <c r="K7948" s="4"/>
      <c r="L7948" s="4"/>
      <c r="M7948" s="5" t="s">
        <v>5346</v>
      </c>
    </row>
    <row r="7949" customFormat="false" ht="15.75" hidden="false" customHeight="false" outlineLevel="0" collapsed="false">
      <c r="A7949" s="6" t="n">
        <v>46165</v>
      </c>
      <c r="B7949" s="4" t="s">
        <v>13</v>
      </c>
      <c r="C7949" s="4" t="n">
        <v>8</v>
      </c>
      <c r="D7949" s="4" t="n">
        <v>2</v>
      </c>
      <c r="E7949" s="4" t="s">
        <v>2764</v>
      </c>
      <c r="F7949" s="4" t="n">
        <v>20</v>
      </c>
      <c r="G7949" s="4" t="n">
        <v>6</v>
      </c>
      <c r="H7949" s="4" t="n">
        <v>4</v>
      </c>
      <c r="I7949" s="4" t="str">
        <v>×</v>
      </c>
      <c r="J7949" s="4"/>
      <c r="K7949" s="4"/>
      <c r="L7949" s="4"/>
      <c r="M7949" s="5" t="s">
        <v>5346</v>
      </c>
    </row>
    <row r="7950" customFormat="false" ht="15.75" hidden="false" customHeight="false" outlineLevel="0" collapsed="false">
      <c r="A7950" s="6" t="n">
        <v>46165</v>
      </c>
      <c r="B7950" s="4" t="s">
        <v>13</v>
      </c>
      <c r="C7950" s="4" t="n">
        <v>8</v>
      </c>
      <c r="D7950" s="4" t="n">
        <v>3</v>
      </c>
      <c r="E7950" s="4" t="s">
        <v>413</v>
      </c>
      <c r="F7950" s="4" t="n">
        <v>20</v>
      </c>
      <c r="G7950" s="4" t="n">
        <v>6</v>
      </c>
      <c r="H7950" s="4" t="n">
        <v>4</v>
      </c>
      <c r="I7950" s="4" t="str">
        <v>×</v>
      </c>
      <c r="J7950" s="4"/>
      <c r="K7950" s="4"/>
      <c r="L7950" s="4"/>
      <c r="M7950" s="5" t="s">
        <v>5346</v>
      </c>
    </row>
    <row r="7951" customFormat="false" ht="15.75" hidden="false" customHeight="false" outlineLevel="0" collapsed="false">
      <c r="A7951" s="6" t="n">
        <v>46165</v>
      </c>
      <c r="B7951" s="4" t="s">
        <v>13</v>
      </c>
      <c r="C7951" s="4" t="n">
        <v>8</v>
      </c>
      <c r="D7951" s="4" t="n">
        <v>4</v>
      </c>
      <c r="E7951" s="4" t="s">
        <v>5543</v>
      </c>
      <c r="F7951" s="4" t="n">
        <v>6</v>
      </c>
      <c r="G7951" s="4" t="n">
        <v>9</v>
      </c>
      <c r="H7951" s="4" t="n">
        <v>4</v>
      </c>
      <c r="I7951" s="4" t="str">
        <v>×</v>
      </c>
      <c r="J7951" s="4"/>
      <c r="K7951" s="4"/>
      <c r="L7951" s="4"/>
      <c r="M7951" s="5" t="s">
        <v>5346</v>
      </c>
    </row>
    <row r="7952" customFormat="false" ht="15.75" hidden="false" customHeight="false" outlineLevel="0" collapsed="false">
      <c r="A7952" s="6" t="n">
        <v>46165</v>
      </c>
      <c r="B7952" s="4" t="s">
        <v>13</v>
      </c>
      <c r="C7952" s="4" t="n">
        <v>8</v>
      </c>
      <c r="D7952" s="4" t="n">
        <v>5</v>
      </c>
      <c r="E7952" s="4" t="s">
        <v>5544</v>
      </c>
      <c r="F7952" s="4" t="n">
        <v>13</v>
      </c>
      <c r="G7952" s="4" t="n">
        <v>8</v>
      </c>
      <c r="H7952" s="4" t="n">
        <v>2</v>
      </c>
      <c r="I7952" s="4" t="str">
        <v>○</v>
      </c>
      <c r="J7952" s="4" t="n">
        <v>740</v>
      </c>
      <c r="K7952" s="4"/>
      <c r="L7952" s="4"/>
      <c r="M7952" s="5" t="s">
        <v>5346</v>
      </c>
    </row>
    <row r="7953" customFormat="false" ht="15.75" hidden="false" customHeight="false" outlineLevel="0" collapsed="false">
      <c r="A7953" s="6" t="n">
        <v>46165</v>
      </c>
      <c r="B7953" s="4" t="s">
        <v>13</v>
      </c>
      <c r="C7953" s="4" t="n">
        <v>8</v>
      </c>
      <c r="D7953" s="4" t="n">
        <v>6</v>
      </c>
      <c r="E7953" s="4" t="s">
        <v>5545</v>
      </c>
      <c r="F7953" s="4" t="n">
        <v>17</v>
      </c>
      <c r="G7953" s="4" t="n">
        <v>7</v>
      </c>
      <c r="H7953" s="4" t="n">
        <v>4</v>
      </c>
      <c r="I7953" s="4" t="str">
        <v>×</v>
      </c>
      <c r="J7953" s="4"/>
      <c r="K7953" s="4"/>
      <c r="L7953" s="4"/>
      <c r="M7953" s="5" t="s">
        <v>5346</v>
      </c>
    </row>
    <row r="7954" customFormat="false" ht="15.75" hidden="false" customHeight="false" outlineLevel="0" collapsed="false">
      <c r="A7954" s="6" t="n">
        <v>46165</v>
      </c>
      <c r="B7954" s="4" t="s">
        <v>13</v>
      </c>
      <c r="C7954" s="4" t="n">
        <v>8</v>
      </c>
      <c r="D7954" s="4" t="n">
        <v>7</v>
      </c>
      <c r="E7954" s="4" t="s">
        <v>3667</v>
      </c>
      <c r="F7954" s="4" t="n">
        <v>13</v>
      </c>
      <c r="G7954" s="4" t="n">
        <v>8</v>
      </c>
      <c r="H7954" s="4" t="n">
        <v>4</v>
      </c>
      <c r="I7954" s="4" t="str">
        <v>×</v>
      </c>
      <c r="J7954" s="4"/>
      <c r="K7954" s="4"/>
      <c r="L7954" s="4"/>
      <c r="M7954" s="5" t="s">
        <v>5346</v>
      </c>
    </row>
    <row r="7955" customFormat="false" ht="15.75" hidden="false" customHeight="false" outlineLevel="0" collapsed="false">
      <c r="A7955" s="6" t="n">
        <v>46165</v>
      </c>
      <c r="B7955" s="4" t="s">
        <v>13</v>
      </c>
      <c r="C7955" s="4" t="n">
        <v>8</v>
      </c>
      <c r="D7955" s="4" t="n">
        <v>8</v>
      </c>
      <c r="E7955" s="4" t="s">
        <v>2110</v>
      </c>
      <c r="F7955" s="4" t="n">
        <v>20</v>
      </c>
      <c r="G7955" s="4" t="n">
        <v>6</v>
      </c>
      <c r="H7955" s="4" t="n">
        <v>4</v>
      </c>
      <c r="I7955" s="4" t="str">
        <v>×</v>
      </c>
      <c r="J7955" s="4"/>
      <c r="K7955" s="4"/>
      <c r="L7955" s="4"/>
      <c r="M7955" s="5" t="s">
        <v>5346</v>
      </c>
    </row>
    <row r="7956" customFormat="false" ht="15.75" hidden="false" customHeight="false" outlineLevel="0" collapsed="false">
      <c r="A7956" s="6" t="n">
        <v>46165</v>
      </c>
      <c r="B7956" s="4" t="s">
        <v>13</v>
      </c>
      <c r="C7956" s="4" t="n">
        <v>8</v>
      </c>
      <c r="D7956" s="4" t="n">
        <v>9</v>
      </c>
      <c r="E7956" s="4" t="s">
        <v>423</v>
      </c>
      <c r="F7956" s="4" t="n">
        <v>6</v>
      </c>
      <c r="G7956" s="4" t="n">
        <v>9</v>
      </c>
      <c r="H7956" s="4" t="n">
        <v>4</v>
      </c>
      <c r="I7956" s="4" t="str">
        <v>×</v>
      </c>
      <c r="J7956" s="4"/>
      <c r="K7956" s="4"/>
      <c r="L7956" s="4"/>
      <c r="M7956" s="5" t="s">
        <v>5346</v>
      </c>
    </row>
    <row r="7957" customFormat="false" ht="15.75" hidden="false" customHeight="false" outlineLevel="0" collapsed="false">
      <c r="A7957" s="6" t="n">
        <v>46165</v>
      </c>
      <c r="B7957" s="4" t="s">
        <v>13</v>
      </c>
      <c r="C7957" s="4" t="n">
        <v>8</v>
      </c>
      <c r="D7957" s="4" t="n">
        <v>10</v>
      </c>
      <c r="E7957" s="4" t="s">
        <v>2509</v>
      </c>
      <c r="F7957" s="4" t="n">
        <v>23</v>
      </c>
      <c r="G7957" s="4" t="n">
        <v>5</v>
      </c>
      <c r="H7957" s="4" t="n">
        <v>4</v>
      </c>
      <c r="I7957" s="4" t="str">
        <v>×</v>
      </c>
      <c r="J7957" s="4"/>
      <c r="K7957" s="4"/>
      <c r="L7957" s="4"/>
      <c r="M7957" s="5" t="s">
        <v>5346</v>
      </c>
    </row>
    <row r="7958" customFormat="false" ht="15.75" hidden="false" customHeight="false" outlineLevel="0" collapsed="false">
      <c r="A7958" s="6" t="n">
        <v>46165</v>
      </c>
      <c r="B7958" s="4" t="s">
        <v>13</v>
      </c>
      <c r="C7958" s="4" t="n">
        <v>8</v>
      </c>
      <c r="D7958" s="4" t="n">
        <v>11</v>
      </c>
      <c r="E7958" s="4" t="s">
        <v>880</v>
      </c>
      <c r="F7958" s="4" t="n">
        <v>25</v>
      </c>
      <c r="G7958" s="4" t="n">
        <v>4</v>
      </c>
      <c r="H7958" s="4" t="n">
        <v>3</v>
      </c>
      <c r="I7958" s="4" t="str">
        <v>○</v>
      </c>
      <c r="J7958" s="4" t="n">
        <v>300</v>
      </c>
      <c r="K7958" s="4"/>
      <c r="L7958" s="4"/>
      <c r="M7958" s="5" t="s">
        <v>5346</v>
      </c>
    </row>
    <row r="7959" customFormat="false" ht="15.75" hidden="false" customHeight="false" outlineLevel="0" collapsed="false">
      <c r="A7959" s="6" t="n">
        <v>46165</v>
      </c>
      <c r="B7959" s="4" t="s">
        <v>13</v>
      </c>
      <c r="C7959" s="4" t="n">
        <v>8</v>
      </c>
      <c r="D7959" s="4" t="n">
        <v>12</v>
      </c>
      <c r="E7959" s="4" t="s">
        <v>5169</v>
      </c>
      <c r="F7959" s="4" t="n">
        <v>6</v>
      </c>
      <c r="G7959" s="4" t="n">
        <v>9</v>
      </c>
      <c r="H7959" s="4" t="n">
        <v>4</v>
      </c>
      <c r="I7959" s="4" t="str">
        <v>×</v>
      </c>
      <c r="J7959" s="4"/>
      <c r="K7959" s="4"/>
      <c r="L7959" s="4"/>
      <c r="M7959" s="5" t="s">
        <v>5346</v>
      </c>
    </row>
    <row r="7960" customFormat="false" ht="15.75" hidden="false" customHeight="false" outlineLevel="0" collapsed="false">
      <c r="A7960" s="6" t="n">
        <v>46165</v>
      </c>
      <c r="B7960" s="4" t="s">
        <v>13</v>
      </c>
      <c r="C7960" s="4" t="n">
        <v>8</v>
      </c>
      <c r="D7960" s="4" t="n">
        <v>13</v>
      </c>
      <c r="E7960" s="4" t="s">
        <v>2508</v>
      </c>
      <c r="F7960" s="4" t="n">
        <v>31</v>
      </c>
      <c r="G7960" s="4" t="n">
        <v>3</v>
      </c>
      <c r="H7960" s="4" t="n">
        <v>4</v>
      </c>
      <c r="I7960" s="4" t="str">
        <v>×</v>
      </c>
      <c r="J7960" s="4"/>
      <c r="K7960" s="4"/>
      <c r="L7960" s="4"/>
      <c r="M7960" s="5" t="s">
        <v>5346</v>
      </c>
    </row>
    <row r="7961" customFormat="false" ht="15.75" hidden="false" customHeight="false" outlineLevel="0" collapsed="false">
      <c r="A7961" s="6" t="n">
        <v>46165</v>
      </c>
      <c r="B7961" s="4" t="s">
        <v>13</v>
      </c>
      <c r="C7961" s="4" t="n">
        <v>8</v>
      </c>
      <c r="D7961" s="4" t="n">
        <v>14</v>
      </c>
      <c r="E7961" s="4" t="s">
        <v>1797</v>
      </c>
      <c r="F7961" s="4" t="n">
        <v>20</v>
      </c>
      <c r="G7961" s="4" t="n">
        <v>6</v>
      </c>
      <c r="H7961" s="4" t="n">
        <v>4</v>
      </c>
      <c r="I7961" s="4" t="str">
        <v>×</v>
      </c>
      <c r="J7961" s="4"/>
      <c r="K7961" s="4"/>
      <c r="L7961" s="4"/>
      <c r="M7961" s="5" t="s">
        <v>5346</v>
      </c>
    </row>
    <row r="7962" customFormat="false" ht="15.75" hidden="false" customHeight="false" outlineLevel="0" collapsed="false">
      <c r="A7962" s="6" t="n">
        <v>46165</v>
      </c>
      <c r="B7962" s="4" t="s">
        <v>13</v>
      </c>
      <c r="C7962" s="4" t="n">
        <v>8</v>
      </c>
      <c r="D7962" s="4" t="n">
        <v>15</v>
      </c>
      <c r="E7962" s="4" t="s">
        <v>718</v>
      </c>
      <c r="F7962" s="4" t="n">
        <v>60</v>
      </c>
      <c r="G7962" s="4" t="n">
        <v>1</v>
      </c>
      <c r="H7962" s="4" t="n">
        <v>1</v>
      </c>
      <c r="I7962" s="4" t="str">
        <v>○</v>
      </c>
      <c r="J7962" s="4" t="n">
        <v>150</v>
      </c>
      <c r="K7962" s="4"/>
      <c r="L7962" s="4"/>
      <c r="M7962" s="5" t="s">
        <v>5346</v>
      </c>
    </row>
    <row r="7963" customFormat="false" ht="15.75" hidden="false" customHeight="false" outlineLevel="0" collapsed="false">
      <c r="A7963" s="6" t="n">
        <v>46165</v>
      </c>
      <c r="B7963" s="4" t="s">
        <v>13</v>
      </c>
      <c r="C7963" s="4" t="n">
        <v>9</v>
      </c>
      <c r="D7963" s="4" t="n">
        <v>1</v>
      </c>
      <c r="E7963" s="4" t="s">
        <v>3285</v>
      </c>
      <c r="F7963" s="4" t="n">
        <v>20</v>
      </c>
      <c r="G7963" s="4" t="n">
        <v>7</v>
      </c>
      <c r="H7963" s="4" t="n">
        <v>4</v>
      </c>
      <c r="I7963" s="4" t="str">
        <v>×</v>
      </c>
      <c r="J7963" s="4"/>
      <c r="K7963" s="4"/>
      <c r="L7963" s="4"/>
      <c r="M7963" s="5" t="s">
        <v>5346</v>
      </c>
    </row>
    <row r="7964" customFormat="false" ht="15.75" hidden="false" customHeight="false" outlineLevel="0" collapsed="false">
      <c r="A7964" s="6" t="n">
        <v>46165</v>
      </c>
      <c r="B7964" s="4" t="s">
        <v>13</v>
      </c>
      <c r="C7964" s="4" t="n">
        <v>9</v>
      </c>
      <c r="D7964" s="4" t="n">
        <v>2</v>
      </c>
      <c r="E7964" s="4" t="s">
        <v>519</v>
      </c>
      <c r="F7964" s="4" t="n">
        <v>47</v>
      </c>
      <c r="G7964" s="4" t="n">
        <v>2</v>
      </c>
      <c r="H7964" s="4" t="n">
        <v>4</v>
      </c>
      <c r="I7964" s="4" t="str">
        <v>×</v>
      </c>
      <c r="J7964" s="4"/>
      <c r="K7964" s="4"/>
      <c r="L7964" s="4"/>
      <c r="M7964" s="5" t="s">
        <v>5346</v>
      </c>
    </row>
    <row r="7965" customFormat="false" ht="15.75" hidden="false" customHeight="false" outlineLevel="0" collapsed="false">
      <c r="A7965" s="6" t="n">
        <v>46165</v>
      </c>
      <c r="B7965" s="4" t="s">
        <v>13</v>
      </c>
      <c r="C7965" s="4" t="n">
        <v>9</v>
      </c>
      <c r="D7965" s="4" t="n">
        <v>3</v>
      </c>
      <c r="E7965" s="4" t="s">
        <v>5546</v>
      </c>
      <c r="F7965" s="4" t="n">
        <v>15</v>
      </c>
      <c r="G7965" s="4" t="n">
        <v>8</v>
      </c>
      <c r="H7965" s="4" t="n">
        <v>3</v>
      </c>
      <c r="I7965" s="4" t="str">
        <v>○</v>
      </c>
      <c r="J7965" s="4" t="n">
        <v>470</v>
      </c>
      <c r="K7965" s="4"/>
      <c r="L7965" s="4"/>
      <c r="M7965" s="5" t="s">
        <v>5346</v>
      </c>
    </row>
    <row r="7966" customFormat="false" ht="15.75" hidden="false" customHeight="false" outlineLevel="0" collapsed="false">
      <c r="A7966" s="6" t="n">
        <v>46165</v>
      </c>
      <c r="B7966" s="4" t="s">
        <v>13</v>
      </c>
      <c r="C7966" s="4" t="n">
        <v>9</v>
      </c>
      <c r="D7966" s="4" t="n">
        <v>4</v>
      </c>
      <c r="E7966" s="4" t="s">
        <v>2803</v>
      </c>
      <c r="F7966" s="4" t="n">
        <v>6</v>
      </c>
      <c r="G7966" s="4" t="n">
        <v>10</v>
      </c>
      <c r="H7966" s="4" t="n">
        <v>4</v>
      </c>
      <c r="I7966" s="4" t="str">
        <v>×</v>
      </c>
      <c r="J7966" s="4"/>
      <c r="K7966" s="4"/>
      <c r="L7966" s="4"/>
      <c r="M7966" s="5" t="s">
        <v>5346</v>
      </c>
    </row>
    <row r="7967" customFormat="false" ht="15.75" hidden="false" customHeight="false" outlineLevel="0" collapsed="false">
      <c r="A7967" s="6" t="n">
        <v>46165</v>
      </c>
      <c r="B7967" s="4" t="s">
        <v>13</v>
      </c>
      <c r="C7967" s="4" t="n">
        <v>9</v>
      </c>
      <c r="D7967" s="4" t="n">
        <v>5</v>
      </c>
      <c r="E7967" s="4" t="s">
        <v>610</v>
      </c>
      <c r="F7967" s="4" t="n">
        <v>10</v>
      </c>
      <c r="G7967" s="4" t="n">
        <v>9</v>
      </c>
      <c r="H7967" s="4" t="n">
        <v>4</v>
      </c>
      <c r="I7967" s="4" t="str">
        <v>×</v>
      </c>
      <c r="J7967" s="4"/>
      <c r="K7967" s="4"/>
      <c r="L7967" s="4"/>
      <c r="M7967" s="5" t="s">
        <v>5346</v>
      </c>
    </row>
    <row r="7968" customFormat="false" ht="15.75" hidden="false" customHeight="false" outlineLevel="0" collapsed="false">
      <c r="A7968" s="6" t="n">
        <v>46165</v>
      </c>
      <c r="B7968" s="4" t="s">
        <v>13</v>
      </c>
      <c r="C7968" s="4" t="n">
        <v>9</v>
      </c>
      <c r="D7968" s="4" t="n">
        <v>6</v>
      </c>
      <c r="E7968" s="4" t="s">
        <v>4151</v>
      </c>
      <c r="F7968" s="4" t="n">
        <v>4</v>
      </c>
      <c r="G7968" s="4" t="n">
        <v>11</v>
      </c>
      <c r="H7968" s="4" t="n">
        <v>4</v>
      </c>
      <c r="I7968" s="4" t="str">
        <v>×</v>
      </c>
      <c r="J7968" s="4"/>
      <c r="K7968" s="4"/>
      <c r="L7968" s="4"/>
      <c r="M7968" s="5" t="s">
        <v>5346</v>
      </c>
    </row>
    <row r="7969" customFormat="false" ht="15.75" hidden="false" customHeight="false" outlineLevel="0" collapsed="false">
      <c r="A7969" s="6" t="n">
        <v>46165</v>
      </c>
      <c r="B7969" s="4" t="s">
        <v>13</v>
      </c>
      <c r="C7969" s="4" t="n">
        <v>9</v>
      </c>
      <c r="D7969" s="4" t="n">
        <v>7</v>
      </c>
      <c r="E7969" s="4" t="s">
        <v>5547</v>
      </c>
      <c r="F7969" s="4" t="n">
        <v>3</v>
      </c>
      <c r="G7969" s="4" t="n">
        <v>12</v>
      </c>
      <c r="H7969" s="4" t="n">
        <v>4</v>
      </c>
      <c r="I7969" s="4" t="str">
        <v>×</v>
      </c>
      <c r="J7969" s="4"/>
      <c r="K7969" s="4"/>
      <c r="L7969" s="4"/>
      <c r="M7969" s="5" t="s">
        <v>5346</v>
      </c>
    </row>
    <row r="7970" customFormat="false" ht="15.75" hidden="false" customHeight="false" outlineLevel="0" collapsed="false">
      <c r="A7970" s="6" t="n">
        <v>46165</v>
      </c>
      <c r="B7970" s="4" t="s">
        <v>13</v>
      </c>
      <c r="C7970" s="4" t="n">
        <v>9</v>
      </c>
      <c r="D7970" s="4" t="n">
        <v>8</v>
      </c>
      <c r="E7970" s="4" t="s">
        <v>5548</v>
      </c>
      <c r="F7970" s="4" t="n">
        <v>39</v>
      </c>
      <c r="G7970" s="4" t="n">
        <v>3</v>
      </c>
      <c r="H7970" s="4" t="n">
        <v>2</v>
      </c>
      <c r="I7970" s="4" t="str">
        <v>○</v>
      </c>
      <c r="J7970" s="4" t="n">
        <v>190</v>
      </c>
      <c r="K7970" s="4"/>
      <c r="L7970" s="4"/>
      <c r="M7970" s="5" t="s">
        <v>5346</v>
      </c>
    </row>
    <row r="7971" customFormat="false" ht="15.75" hidden="false" customHeight="false" outlineLevel="0" collapsed="false">
      <c r="A7971" s="6" t="n">
        <v>46165</v>
      </c>
      <c r="B7971" s="4" t="s">
        <v>13</v>
      </c>
      <c r="C7971" s="4" t="n">
        <v>9</v>
      </c>
      <c r="D7971" s="4" t="n">
        <v>9</v>
      </c>
      <c r="E7971" s="4" t="s">
        <v>1665</v>
      </c>
      <c r="F7971" s="4" t="n">
        <v>10</v>
      </c>
      <c r="G7971" s="4" t="n">
        <v>9</v>
      </c>
      <c r="H7971" s="4" t="n">
        <v>4</v>
      </c>
      <c r="I7971" s="4" t="str">
        <v>×</v>
      </c>
      <c r="J7971" s="4"/>
      <c r="K7971" s="4"/>
      <c r="L7971" s="4"/>
      <c r="M7971" s="5" t="s">
        <v>5346</v>
      </c>
    </row>
    <row r="7972" customFormat="false" ht="15.75" hidden="false" customHeight="false" outlineLevel="0" collapsed="false">
      <c r="A7972" s="6" t="n">
        <v>46165</v>
      </c>
      <c r="B7972" s="4" t="s">
        <v>13</v>
      </c>
      <c r="C7972" s="4" t="n">
        <v>9</v>
      </c>
      <c r="D7972" s="4" t="n">
        <v>10</v>
      </c>
      <c r="E7972" s="4" t="s">
        <v>2672</v>
      </c>
      <c r="F7972" s="4" t="n">
        <v>29</v>
      </c>
      <c r="G7972" s="4" t="n">
        <v>5</v>
      </c>
      <c r="H7972" s="4" t="n">
        <v>4</v>
      </c>
      <c r="I7972" s="4" t="str">
        <v>×</v>
      </c>
      <c r="J7972" s="4"/>
      <c r="K7972" s="4"/>
      <c r="L7972" s="4"/>
      <c r="M7972" s="5" t="s">
        <v>5346</v>
      </c>
    </row>
    <row r="7973" customFormat="false" ht="15.75" hidden="false" customHeight="false" outlineLevel="0" collapsed="false">
      <c r="A7973" s="6" t="n">
        <v>46165</v>
      </c>
      <c r="B7973" s="4" t="s">
        <v>13</v>
      </c>
      <c r="C7973" s="4" t="n">
        <v>9</v>
      </c>
      <c r="D7973" s="4" t="n">
        <v>11</v>
      </c>
      <c r="E7973" s="4" t="s">
        <v>5099</v>
      </c>
      <c r="F7973" s="4" t="n">
        <v>3</v>
      </c>
      <c r="G7973" s="4" t="n">
        <v>12</v>
      </c>
      <c r="H7973" s="4" t="n">
        <v>4</v>
      </c>
      <c r="I7973" s="4" t="str">
        <v>×</v>
      </c>
      <c r="J7973" s="4"/>
      <c r="K7973" s="4"/>
      <c r="L7973" s="4"/>
      <c r="M7973" s="5" t="s">
        <v>5346</v>
      </c>
    </row>
    <row r="7974" customFormat="false" ht="15.75" hidden="false" customHeight="false" outlineLevel="0" collapsed="false">
      <c r="A7974" s="6" t="n">
        <v>46165</v>
      </c>
      <c r="B7974" s="4" t="s">
        <v>13</v>
      </c>
      <c r="C7974" s="4" t="n">
        <v>9</v>
      </c>
      <c r="D7974" s="4" t="n">
        <v>12</v>
      </c>
      <c r="E7974" s="4" t="s">
        <v>4450</v>
      </c>
      <c r="F7974" s="4" t="n">
        <v>4</v>
      </c>
      <c r="G7974" s="4" t="n">
        <v>11</v>
      </c>
      <c r="H7974" s="4" t="n">
        <v>4</v>
      </c>
      <c r="I7974" s="4" t="str">
        <v>×</v>
      </c>
      <c r="J7974" s="4"/>
      <c r="K7974" s="4"/>
      <c r="L7974" s="4"/>
      <c r="M7974" s="5" t="s">
        <v>5346</v>
      </c>
    </row>
    <row r="7975" customFormat="false" ht="15.75" hidden="false" customHeight="false" outlineLevel="0" collapsed="false">
      <c r="A7975" s="6" t="n">
        <v>46165</v>
      </c>
      <c r="B7975" s="4" t="s">
        <v>13</v>
      </c>
      <c r="C7975" s="4" t="n">
        <v>9</v>
      </c>
      <c r="D7975" s="4" t="n">
        <v>13</v>
      </c>
      <c r="E7975" s="4" t="s">
        <v>5549</v>
      </c>
      <c r="F7975" s="4" t="n">
        <v>31</v>
      </c>
      <c r="G7975" s="4" t="n">
        <v>4</v>
      </c>
      <c r="H7975" s="4" t="n">
        <v>4</v>
      </c>
      <c r="I7975" s="4" t="str">
        <v>×</v>
      </c>
      <c r="J7975" s="4"/>
      <c r="K7975" s="4"/>
      <c r="L7975" s="4"/>
      <c r="M7975" s="5" t="s">
        <v>5346</v>
      </c>
    </row>
    <row r="7976" customFormat="false" ht="15.75" hidden="false" customHeight="false" outlineLevel="0" collapsed="false">
      <c r="A7976" s="6" t="n">
        <v>46165</v>
      </c>
      <c r="B7976" s="4" t="s">
        <v>13</v>
      </c>
      <c r="C7976" s="4" t="n">
        <v>9</v>
      </c>
      <c r="D7976" s="4" t="n">
        <v>14</v>
      </c>
      <c r="E7976" s="4" t="s">
        <v>3119</v>
      </c>
      <c r="F7976" s="4" t="n">
        <v>56</v>
      </c>
      <c r="G7976" s="4" t="n">
        <v>1</v>
      </c>
      <c r="H7976" s="4" t="n">
        <v>4</v>
      </c>
      <c r="I7976" s="4" t="str">
        <v>×</v>
      </c>
      <c r="J7976" s="4"/>
      <c r="K7976" s="4"/>
      <c r="L7976" s="4"/>
      <c r="M7976" s="5" t="s">
        <v>5346</v>
      </c>
    </row>
    <row r="7977" customFormat="false" ht="15.75" hidden="false" customHeight="false" outlineLevel="0" collapsed="false">
      <c r="A7977" s="6" t="n">
        <v>46165</v>
      </c>
      <c r="B7977" s="4" t="s">
        <v>13</v>
      </c>
      <c r="C7977" s="4" t="n">
        <v>9</v>
      </c>
      <c r="D7977" s="4" t="n">
        <v>15</v>
      </c>
      <c r="E7977" s="4" t="s">
        <v>3566</v>
      </c>
      <c r="F7977" s="4" t="n">
        <v>29</v>
      </c>
      <c r="G7977" s="4" t="n">
        <v>5</v>
      </c>
      <c r="H7977" s="4" t="n">
        <v>4</v>
      </c>
      <c r="I7977" s="4" t="str">
        <v>×</v>
      </c>
      <c r="J7977" s="4"/>
      <c r="K7977" s="4"/>
      <c r="L7977" s="4"/>
      <c r="M7977" s="5" t="s">
        <v>5346</v>
      </c>
    </row>
    <row r="7978" customFormat="false" ht="15.75" hidden="false" customHeight="false" outlineLevel="0" collapsed="false">
      <c r="A7978" s="6" t="n">
        <v>46165</v>
      </c>
      <c r="B7978" s="4" t="s">
        <v>13</v>
      </c>
      <c r="C7978" s="4" t="n">
        <v>9</v>
      </c>
      <c r="D7978" s="4" t="n">
        <v>16</v>
      </c>
      <c r="E7978" s="4" t="s">
        <v>5550</v>
      </c>
      <c r="F7978" s="4" t="n">
        <v>23</v>
      </c>
      <c r="G7978" s="4" t="n">
        <v>6</v>
      </c>
      <c r="H7978" s="4" t="n">
        <v>1</v>
      </c>
      <c r="I7978" s="4" t="str">
        <v>○</v>
      </c>
      <c r="J7978" s="4" t="n">
        <v>160</v>
      </c>
      <c r="K7978" s="4"/>
      <c r="L7978" s="4"/>
      <c r="M7978" s="5" t="s">
        <v>5346</v>
      </c>
    </row>
    <row r="7979" customFormat="false" ht="15.75" hidden="false" customHeight="false" outlineLevel="0" collapsed="false">
      <c r="A7979" s="6" t="n">
        <v>46165</v>
      </c>
      <c r="B7979" s="4" t="s">
        <v>13</v>
      </c>
      <c r="C7979" s="4" t="n">
        <v>10</v>
      </c>
      <c r="D7979" s="4" t="n">
        <v>1</v>
      </c>
      <c r="E7979" s="4" t="s">
        <v>1172</v>
      </c>
      <c r="F7979" s="4" t="n">
        <v>0</v>
      </c>
      <c r="G7979" s="4" t="n">
        <v>11</v>
      </c>
      <c r="H7979" s="4" t="n">
        <v>4</v>
      </c>
      <c r="I7979" s="4" t="str">
        <v>×</v>
      </c>
      <c r="J7979" s="4"/>
      <c r="K7979" s="4"/>
      <c r="L7979" s="4"/>
      <c r="M7979" s="5" t="s">
        <v>5346</v>
      </c>
    </row>
    <row r="7980" customFormat="false" ht="15.75" hidden="false" customHeight="false" outlineLevel="0" collapsed="false">
      <c r="A7980" s="6" t="n">
        <v>46165</v>
      </c>
      <c r="B7980" s="4" t="s">
        <v>13</v>
      </c>
      <c r="C7980" s="4" t="n">
        <v>10</v>
      </c>
      <c r="D7980" s="4" t="n">
        <v>2</v>
      </c>
      <c r="E7980" s="4" t="s">
        <v>5551</v>
      </c>
      <c r="F7980" s="4" t="n">
        <v>50</v>
      </c>
      <c r="G7980" s="4" t="n">
        <v>2</v>
      </c>
      <c r="H7980" s="4" t="n">
        <v>2</v>
      </c>
      <c r="I7980" s="4" t="str">
        <v>○</v>
      </c>
      <c r="J7980" s="4" t="n">
        <v>230</v>
      </c>
      <c r="K7980" s="4"/>
      <c r="L7980" s="4"/>
      <c r="M7980" s="5" t="s">
        <v>5346</v>
      </c>
    </row>
    <row r="7981" customFormat="false" ht="15.75" hidden="false" customHeight="false" outlineLevel="0" collapsed="false">
      <c r="A7981" s="6" t="n">
        <v>46165</v>
      </c>
      <c r="B7981" s="4" t="s">
        <v>13</v>
      </c>
      <c r="C7981" s="4" t="n">
        <v>10</v>
      </c>
      <c r="D7981" s="4" t="n">
        <v>3</v>
      </c>
      <c r="E7981" s="4" t="s">
        <v>5552</v>
      </c>
      <c r="F7981" s="4" t="n">
        <v>8</v>
      </c>
      <c r="G7981" s="4" t="n">
        <v>8</v>
      </c>
      <c r="H7981" s="4" t="n">
        <v>4</v>
      </c>
      <c r="I7981" s="4" t="str">
        <v>×</v>
      </c>
      <c r="J7981" s="4"/>
      <c r="K7981" s="4"/>
      <c r="L7981" s="4"/>
      <c r="M7981" s="5" t="s">
        <v>5346</v>
      </c>
    </row>
    <row r="7982" customFormat="false" ht="15.75" hidden="false" customHeight="false" outlineLevel="0" collapsed="false">
      <c r="A7982" s="6" t="n">
        <v>46165</v>
      </c>
      <c r="B7982" s="4" t="s">
        <v>13</v>
      </c>
      <c r="C7982" s="4" t="n">
        <v>10</v>
      </c>
      <c r="D7982" s="4" t="n">
        <v>4</v>
      </c>
      <c r="E7982" s="4" t="s">
        <v>3823</v>
      </c>
      <c r="F7982" s="4" t="n">
        <v>15</v>
      </c>
      <c r="G7982" s="4" t="n">
        <v>6</v>
      </c>
      <c r="H7982" s="4" t="n">
        <v>4</v>
      </c>
      <c r="I7982" s="4" t="str">
        <v>×</v>
      </c>
      <c r="J7982" s="4"/>
      <c r="K7982" s="4"/>
      <c r="L7982" s="4"/>
      <c r="M7982" s="5" t="s">
        <v>5346</v>
      </c>
    </row>
    <row r="7983" customFormat="false" ht="15.75" hidden="false" customHeight="false" outlineLevel="0" collapsed="false">
      <c r="A7983" s="6" t="n">
        <v>46165</v>
      </c>
      <c r="B7983" s="4" t="s">
        <v>13</v>
      </c>
      <c r="C7983" s="4" t="n">
        <v>10</v>
      </c>
      <c r="D7983" s="4" t="n">
        <v>5</v>
      </c>
      <c r="E7983" s="4" t="s">
        <v>3194</v>
      </c>
      <c r="F7983" s="4" t="n">
        <v>37</v>
      </c>
      <c r="G7983" s="4" t="n">
        <v>3</v>
      </c>
      <c r="H7983" s="4" t="n">
        <v>4</v>
      </c>
      <c r="I7983" s="4" t="str">
        <v>×</v>
      </c>
      <c r="J7983" s="4"/>
      <c r="K7983" s="4"/>
      <c r="L7983" s="4"/>
      <c r="M7983" s="5" t="s">
        <v>5346</v>
      </c>
    </row>
    <row r="7984" customFormat="false" ht="15.75" hidden="false" customHeight="false" outlineLevel="0" collapsed="false">
      <c r="A7984" s="6" t="n">
        <v>46165</v>
      </c>
      <c r="B7984" s="4" t="s">
        <v>13</v>
      </c>
      <c r="C7984" s="4" t="n">
        <v>10</v>
      </c>
      <c r="D7984" s="4" t="n">
        <v>6</v>
      </c>
      <c r="E7984" s="4" t="s">
        <v>5553</v>
      </c>
      <c r="F7984" s="4" t="n">
        <v>8</v>
      </c>
      <c r="G7984" s="4" t="n">
        <v>8</v>
      </c>
      <c r="H7984" s="4" t="n">
        <v>4</v>
      </c>
      <c r="I7984" s="4" t="str">
        <v>×</v>
      </c>
      <c r="J7984" s="4"/>
      <c r="K7984" s="4"/>
      <c r="L7984" s="4"/>
      <c r="M7984" s="5" t="s">
        <v>5346</v>
      </c>
    </row>
    <row r="7985" customFormat="false" ht="15.75" hidden="false" customHeight="false" outlineLevel="0" collapsed="false">
      <c r="A7985" s="6" t="n">
        <v>46165</v>
      </c>
      <c r="B7985" s="4" t="s">
        <v>13</v>
      </c>
      <c r="C7985" s="4" t="n">
        <v>10</v>
      </c>
      <c r="D7985" s="4" t="n">
        <v>7</v>
      </c>
      <c r="E7985" s="4" t="s">
        <v>5554</v>
      </c>
      <c r="F7985" s="4" t="n">
        <v>31</v>
      </c>
      <c r="G7985" s="4" t="n">
        <v>4</v>
      </c>
      <c r="H7985" s="4" t="n">
        <v>4</v>
      </c>
      <c r="I7985" s="4" t="str">
        <v>×</v>
      </c>
      <c r="J7985" s="4"/>
      <c r="K7985" s="4"/>
      <c r="L7985" s="4"/>
      <c r="M7985" s="5" t="s">
        <v>5346</v>
      </c>
    </row>
    <row r="7986" customFormat="false" ht="15.75" hidden="false" customHeight="false" outlineLevel="0" collapsed="false">
      <c r="A7986" s="6" t="n">
        <v>46165</v>
      </c>
      <c r="B7986" s="4" t="s">
        <v>13</v>
      </c>
      <c r="C7986" s="4" t="n">
        <v>10</v>
      </c>
      <c r="D7986" s="4" t="n">
        <v>8</v>
      </c>
      <c r="E7986" s="4" t="s">
        <v>1486</v>
      </c>
      <c r="F7986" s="4" t="n">
        <v>10</v>
      </c>
      <c r="G7986" s="4" t="n">
        <v>7</v>
      </c>
      <c r="H7986" s="4" t="n">
        <v>3</v>
      </c>
      <c r="I7986" s="4" t="str">
        <v>○</v>
      </c>
      <c r="J7986" s="4" t="n">
        <v>650</v>
      </c>
      <c r="K7986" s="4"/>
      <c r="L7986" s="4"/>
      <c r="M7986" s="5" t="s">
        <v>5346</v>
      </c>
    </row>
    <row r="7987" customFormat="false" ht="15.75" hidden="false" customHeight="false" outlineLevel="0" collapsed="false">
      <c r="A7987" s="6" t="n">
        <v>46165</v>
      </c>
      <c r="B7987" s="4" t="s">
        <v>13</v>
      </c>
      <c r="C7987" s="4" t="n">
        <v>10</v>
      </c>
      <c r="D7987" s="4" t="n">
        <v>9</v>
      </c>
      <c r="E7987" s="4" t="s">
        <v>5555</v>
      </c>
      <c r="F7987" s="4" t="n">
        <v>50</v>
      </c>
      <c r="G7987" s="4" t="n">
        <v>2</v>
      </c>
      <c r="H7987" s="4" t="n">
        <v>1</v>
      </c>
      <c r="I7987" s="4" t="str">
        <v>○</v>
      </c>
      <c r="J7987" s="4" t="n">
        <v>180</v>
      </c>
      <c r="K7987" s="4"/>
      <c r="L7987" s="4"/>
      <c r="M7987" s="5" t="s">
        <v>5346</v>
      </c>
    </row>
    <row r="7988" customFormat="false" ht="15.75" hidden="false" customHeight="false" outlineLevel="0" collapsed="false">
      <c r="A7988" s="6" t="n">
        <v>46165</v>
      </c>
      <c r="B7988" s="4" t="s">
        <v>13</v>
      </c>
      <c r="C7988" s="4" t="n">
        <v>10</v>
      </c>
      <c r="D7988" s="4" t="n">
        <v>10</v>
      </c>
      <c r="E7988" s="4" t="s">
        <v>5556</v>
      </c>
      <c r="F7988" s="4" t="n">
        <v>52</v>
      </c>
      <c r="G7988" s="4" t="n">
        <v>1</v>
      </c>
      <c r="H7988" s="4" t="n">
        <v>4</v>
      </c>
      <c r="I7988" s="4" t="str">
        <v>×</v>
      </c>
      <c r="J7988" s="4"/>
      <c r="K7988" s="4"/>
      <c r="L7988" s="4"/>
      <c r="M7988" s="5" t="s">
        <v>5346</v>
      </c>
    </row>
    <row r="7989" customFormat="false" ht="15.75" hidden="false" customHeight="false" outlineLevel="0" collapsed="false">
      <c r="A7989" s="6" t="n">
        <v>46165</v>
      </c>
      <c r="B7989" s="4" t="s">
        <v>13</v>
      </c>
      <c r="C7989" s="4" t="n">
        <v>10</v>
      </c>
      <c r="D7989" s="4" t="n">
        <v>11</v>
      </c>
      <c r="E7989" s="4" t="s">
        <v>5557</v>
      </c>
      <c r="F7989" s="4" t="n">
        <v>15</v>
      </c>
      <c r="G7989" s="4" t="n">
        <v>6</v>
      </c>
      <c r="H7989" s="4" t="n">
        <v>4</v>
      </c>
      <c r="I7989" s="4" t="str">
        <v>×</v>
      </c>
      <c r="J7989" s="4"/>
      <c r="K7989" s="4"/>
      <c r="L7989" s="4"/>
      <c r="M7989" s="5" t="s">
        <v>5346</v>
      </c>
    </row>
    <row r="7990" customFormat="false" ht="15.75" hidden="false" customHeight="false" outlineLevel="0" collapsed="false">
      <c r="A7990" s="6" t="n">
        <v>46165</v>
      </c>
      <c r="B7990" s="4" t="s">
        <v>13</v>
      </c>
      <c r="C7990" s="4" t="n">
        <v>10</v>
      </c>
      <c r="D7990" s="4" t="n">
        <v>12</v>
      </c>
      <c r="E7990" s="4" t="s">
        <v>5558</v>
      </c>
      <c r="F7990" s="4" t="n">
        <v>4</v>
      </c>
      <c r="G7990" s="4" t="n">
        <v>9</v>
      </c>
      <c r="H7990" s="4" t="n">
        <v>4</v>
      </c>
      <c r="I7990" s="4" t="str">
        <v>×</v>
      </c>
      <c r="J7990" s="4"/>
      <c r="K7990" s="4"/>
      <c r="L7990" s="4"/>
      <c r="M7990" s="5" t="s">
        <v>5346</v>
      </c>
    </row>
    <row r="7991" customFormat="false" ht="15.75" hidden="false" customHeight="false" outlineLevel="0" collapsed="false">
      <c r="A7991" s="6" t="n">
        <v>46165</v>
      </c>
      <c r="B7991" s="4" t="s">
        <v>13</v>
      </c>
      <c r="C7991" s="4" t="n">
        <v>10</v>
      </c>
      <c r="D7991" s="4" t="n">
        <v>13</v>
      </c>
      <c r="E7991" s="4" t="s">
        <v>127</v>
      </c>
      <c r="F7991" s="4" t="n">
        <v>1</v>
      </c>
      <c r="G7991" s="4" t="n">
        <v>10</v>
      </c>
      <c r="H7991" s="4" t="n">
        <v>4</v>
      </c>
      <c r="I7991" s="4" t="str">
        <v>×</v>
      </c>
      <c r="J7991" s="4"/>
      <c r="K7991" s="4"/>
      <c r="L7991" s="4"/>
      <c r="M7991" s="5" t="s">
        <v>5346</v>
      </c>
    </row>
    <row r="7992" customFormat="false" ht="15.75" hidden="false" customHeight="false" outlineLevel="0" collapsed="false">
      <c r="A7992" s="6" t="n">
        <v>46165</v>
      </c>
      <c r="B7992" s="4" t="s">
        <v>13</v>
      </c>
      <c r="C7992" s="4" t="n">
        <v>10</v>
      </c>
      <c r="D7992" s="4" t="n">
        <v>14</v>
      </c>
      <c r="E7992" s="4" t="s">
        <v>1954</v>
      </c>
      <c r="F7992" s="4" t="n">
        <v>17</v>
      </c>
      <c r="G7992" s="4" t="n">
        <v>5</v>
      </c>
      <c r="H7992" s="4" t="n">
        <v>4</v>
      </c>
      <c r="I7992" s="4" t="str">
        <v>×</v>
      </c>
      <c r="J7992" s="4"/>
      <c r="K7992" s="4"/>
      <c r="L7992" s="4"/>
      <c r="M7992" s="5" t="s">
        <v>5346</v>
      </c>
    </row>
    <row r="7993" customFormat="false" ht="15.75" hidden="false" customHeight="false" outlineLevel="0" collapsed="false">
      <c r="A7993" s="6" t="n">
        <v>46165</v>
      </c>
      <c r="B7993" s="4" t="s">
        <v>13</v>
      </c>
      <c r="C7993" s="4" t="n">
        <v>10</v>
      </c>
      <c r="D7993" s="4" t="n">
        <v>15</v>
      </c>
      <c r="E7993" s="4" t="s">
        <v>3198</v>
      </c>
      <c r="F7993" s="4" t="n">
        <v>37</v>
      </c>
      <c r="G7993" s="4" t="n">
        <v>3</v>
      </c>
      <c r="H7993" s="4" t="n">
        <v>4</v>
      </c>
      <c r="I7993" s="4" t="str">
        <v>×</v>
      </c>
      <c r="J7993" s="4"/>
      <c r="K7993" s="4"/>
      <c r="L7993" s="4"/>
      <c r="M7993" s="5" t="s">
        <v>5346</v>
      </c>
    </row>
    <row r="7994" customFormat="false" ht="15.75" hidden="false" customHeight="false" outlineLevel="0" collapsed="false">
      <c r="A7994" s="6" t="n">
        <v>46165</v>
      </c>
      <c r="B7994" s="4" t="s">
        <v>13</v>
      </c>
      <c r="C7994" s="4" t="n">
        <v>11</v>
      </c>
      <c r="D7994" s="4" t="n">
        <v>1</v>
      </c>
      <c r="E7994" s="4" t="s">
        <v>3126</v>
      </c>
      <c r="F7994" s="4" t="n">
        <v>13</v>
      </c>
      <c r="G7994" s="4" t="n">
        <v>9</v>
      </c>
      <c r="H7994" s="4" t="n">
        <v>4</v>
      </c>
      <c r="I7994" s="4" t="str">
        <v>×</v>
      </c>
      <c r="J7994" s="4"/>
      <c r="K7994" s="4"/>
      <c r="L7994" s="4"/>
      <c r="M7994" s="5" t="s">
        <v>5346</v>
      </c>
    </row>
    <row r="7995" customFormat="false" ht="15.75" hidden="false" customHeight="false" outlineLevel="0" collapsed="false">
      <c r="A7995" s="6" t="n">
        <v>46165</v>
      </c>
      <c r="B7995" s="4" t="s">
        <v>13</v>
      </c>
      <c r="C7995" s="4" t="n">
        <v>11</v>
      </c>
      <c r="D7995" s="4" t="n">
        <v>2</v>
      </c>
      <c r="E7995" s="4" t="s">
        <v>5559</v>
      </c>
      <c r="F7995" s="4" t="n">
        <v>37</v>
      </c>
      <c r="G7995" s="4" t="n">
        <v>4</v>
      </c>
      <c r="H7995" s="4" t="n">
        <v>4</v>
      </c>
      <c r="I7995" s="4" t="str">
        <v>×</v>
      </c>
      <c r="J7995" s="4"/>
      <c r="K7995" s="4"/>
      <c r="L7995" s="4"/>
      <c r="M7995" s="5" t="s">
        <v>5346</v>
      </c>
    </row>
    <row r="7996" customFormat="false" ht="15.75" hidden="false" customHeight="false" outlineLevel="0" collapsed="false">
      <c r="A7996" s="6" t="n">
        <v>46165</v>
      </c>
      <c r="B7996" s="4" t="s">
        <v>13</v>
      </c>
      <c r="C7996" s="4" t="n">
        <v>11</v>
      </c>
      <c r="D7996" s="4" t="n">
        <v>3</v>
      </c>
      <c r="E7996" s="4" t="s">
        <v>2143</v>
      </c>
      <c r="F7996" s="4" t="n">
        <v>8</v>
      </c>
      <c r="G7996" s="4" t="n">
        <v>10</v>
      </c>
      <c r="H7996" s="4" t="n">
        <v>4</v>
      </c>
      <c r="I7996" s="4" t="str">
        <v>×</v>
      </c>
      <c r="J7996" s="4"/>
      <c r="K7996" s="4"/>
      <c r="L7996" s="4"/>
      <c r="M7996" s="5" t="s">
        <v>5346</v>
      </c>
    </row>
    <row r="7997" customFormat="false" ht="15.75" hidden="false" customHeight="false" outlineLevel="0" collapsed="false">
      <c r="A7997" s="6" t="n">
        <v>46165</v>
      </c>
      <c r="B7997" s="4" t="s">
        <v>13</v>
      </c>
      <c r="C7997" s="4" t="n">
        <v>11</v>
      </c>
      <c r="D7997" s="4" t="n">
        <v>4</v>
      </c>
      <c r="E7997" s="4" t="s">
        <v>1499</v>
      </c>
      <c r="F7997" s="4" t="n">
        <v>56</v>
      </c>
      <c r="G7997" s="4" t="n">
        <v>1</v>
      </c>
      <c r="H7997" s="4" t="n">
        <v>3</v>
      </c>
      <c r="I7997" s="4" t="str">
        <v>○</v>
      </c>
      <c r="J7997" s="4" t="n">
        <v>140</v>
      </c>
      <c r="K7997" s="4"/>
      <c r="L7997" s="4"/>
      <c r="M7997" s="5" t="s">
        <v>5346</v>
      </c>
    </row>
    <row r="7998" customFormat="false" ht="15.75" hidden="false" customHeight="false" outlineLevel="0" collapsed="false">
      <c r="A7998" s="6" t="n">
        <v>46165</v>
      </c>
      <c r="B7998" s="4" t="s">
        <v>13</v>
      </c>
      <c r="C7998" s="4" t="n">
        <v>11</v>
      </c>
      <c r="D7998" s="4" t="n">
        <v>5</v>
      </c>
      <c r="E7998" s="4" t="s">
        <v>1504</v>
      </c>
      <c r="F7998" s="4" t="n">
        <v>8</v>
      </c>
      <c r="G7998" s="4" t="n">
        <v>10</v>
      </c>
      <c r="H7998" s="4" t="n">
        <v>4</v>
      </c>
      <c r="I7998" s="4" t="str">
        <v>×</v>
      </c>
      <c r="J7998" s="4"/>
      <c r="K7998" s="4"/>
      <c r="L7998" s="4"/>
      <c r="M7998" s="5" t="s">
        <v>5346</v>
      </c>
    </row>
    <row r="7999" customFormat="false" ht="15.75" hidden="false" customHeight="false" outlineLevel="0" collapsed="false">
      <c r="A7999" s="6" t="n">
        <v>46165</v>
      </c>
      <c r="B7999" s="4" t="s">
        <v>13</v>
      </c>
      <c r="C7999" s="4" t="n">
        <v>11</v>
      </c>
      <c r="D7999" s="4" t="n">
        <v>6</v>
      </c>
      <c r="E7999" s="4" t="s">
        <v>2144</v>
      </c>
      <c r="F7999" s="4" t="n">
        <v>20</v>
      </c>
      <c r="G7999" s="4" t="n">
        <v>7</v>
      </c>
      <c r="H7999" s="4" t="n">
        <v>4</v>
      </c>
      <c r="I7999" s="4" t="str">
        <v>×</v>
      </c>
      <c r="J7999" s="4"/>
      <c r="K7999" s="4"/>
      <c r="L7999" s="4"/>
      <c r="M7999" s="5" t="s">
        <v>5346</v>
      </c>
    </row>
    <row r="8000" customFormat="false" ht="15.75" hidden="false" customHeight="false" outlineLevel="0" collapsed="false">
      <c r="A8000" s="6" t="n">
        <v>46165</v>
      </c>
      <c r="B8000" s="4" t="s">
        <v>13</v>
      </c>
      <c r="C8000" s="4" t="n">
        <v>11</v>
      </c>
      <c r="D8000" s="4" t="n">
        <v>7</v>
      </c>
      <c r="E8000" s="4" t="s">
        <v>5560</v>
      </c>
      <c r="F8000" s="4" t="n">
        <v>39</v>
      </c>
      <c r="G8000" s="4" t="n">
        <v>3</v>
      </c>
      <c r="H8000" s="4" t="n">
        <v>1</v>
      </c>
      <c r="I8000" s="4" t="str">
        <v>○</v>
      </c>
      <c r="J8000" s="4" t="n">
        <v>300</v>
      </c>
      <c r="K8000" s="4"/>
      <c r="L8000" s="4"/>
      <c r="M8000" s="5" t="s">
        <v>5346</v>
      </c>
    </row>
    <row r="8001" customFormat="false" ht="15.75" hidden="false" customHeight="false" outlineLevel="0" collapsed="false">
      <c r="A8001" s="6" t="n">
        <v>46165</v>
      </c>
      <c r="B8001" s="4" t="s">
        <v>13</v>
      </c>
      <c r="C8001" s="4" t="n">
        <v>11</v>
      </c>
      <c r="D8001" s="4" t="n">
        <v>8</v>
      </c>
      <c r="E8001" s="4" t="s">
        <v>4402</v>
      </c>
      <c r="F8001" s="4" t="n">
        <v>29</v>
      </c>
      <c r="G8001" s="4" t="n">
        <v>5</v>
      </c>
      <c r="H8001" s="4" t="n">
        <v>4</v>
      </c>
      <c r="I8001" s="4" t="str">
        <v>×</v>
      </c>
      <c r="J8001" s="4"/>
      <c r="K8001" s="4"/>
      <c r="L8001" s="4"/>
      <c r="M8001" s="5" t="s">
        <v>5346</v>
      </c>
    </row>
    <row r="8002" customFormat="false" ht="15.75" hidden="false" customHeight="false" outlineLevel="0" collapsed="false">
      <c r="A8002" s="6" t="n">
        <v>46165</v>
      </c>
      <c r="B8002" s="4" t="s">
        <v>13</v>
      </c>
      <c r="C8002" s="4" t="n">
        <v>11</v>
      </c>
      <c r="D8002" s="4" t="n">
        <v>9</v>
      </c>
      <c r="E8002" s="4" t="s">
        <v>1219</v>
      </c>
      <c r="F8002" s="4" t="n">
        <v>25</v>
      </c>
      <c r="G8002" s="4" t="n">
        <v>6</v>
      </c>
      <c r="H8002" s="4" t="n">
        <v>4</v>
      </c>
      <c r="I8002" s="4" t="str">
        <v>×</v>
      </c>
      <c r="J8002" s="4"/>
      <c r="K8002" s="4"/>
      <c r="L8002" s="4"/>
      <c r="M8002" s="5" t="s">
        <v>5346</v>
      </c>
    </row>
    <row r="8003" customFormat="false" ht="15.75" hidden="false" customHeight="false" outlineLevel="0" collapsed="false">
      <c r="A8003" s="6" t="n">
        <v>46165</v>
      </c>
      <c r="B8003" s="4" t="s">
        <v>13</v>
      </c>
      <c r="C8003" s="4" t="n">
        <v>11</v>
      </c>
      <c r="D8003" s="4" t="n">
        <v>10</v>
      </c>
      <c r="E8003" s="4" t="s">
        <v>2139</v>
      </c>
      <c r="F8003" s="4" t="n">
        <v>13</v>
      </c>
      <c r="G8003" s="4" t="n">
        <v>9</v>
      </c>
      <c r="H8003" s="4" t="n">
        <v>4</v>
      </c>
      <c r="I8003" s="4" t="str">
        <v>×</v>
      </c>
      <c r="J8003" s="4"/>
      <c r="K8003" s="4"/>
      <c r="L8003" s="4"/>
      <c r="M8003" s="5" t="s">
        <v>5346</v>
      </c>
    </row>
    <row r="8004" customFormat="false" ht="15.75" hidden="false" customHeight="false" outlineLevel="0" collapsed="false">
      <c r="A8004" s="6" t="n">
        <v>46165</v>
      </c>
      <c r="B8004" s="4" t="s">
        <v>13</v>
      </c>
      <c r="C8004" s="4" t="n">
        <v>11</v>
      </c>
      <c r="D8004" s="4" t="n">
        <v>11</v>
      </c>
      <c r="E8004" s="4" t="s">
        <v>5561</v>
      </c>
      <c r="F8004" s="4" t="n">
        <v>13</v>
      </c>
      <c r="G8004" s="4" t="n">
        <v>9</v>
      </c>
      <c r="H8004" s="4" t="n">
        <v>4</v>
      </c>
      <c r="I8004" s="4" t="str">
        <v>×</v>
      </c>
      <c r="J8004" s="4"/>
      <c r="K8004" s="4"/>
      <c r="L8004" s="4"/>
      <c r="M8004" s="5" t="s">
        <v>5346</v>
      </c>
    </row>
    <row r="8005" customFormat="false" ht="15.75" hidden="false" customHeight="false" outlineLevel="0" collapsed="false">
      <c r="A8005" s="6" t="n">
        <v>46165</v>
      </c>
      <c r="B8005" s="4" t="s">
        <v>13</v>
      </c>
      <c r="C8005" s="4" t="n">
        <v>11</v>
      </c>
      <c r="D8005" s="4" t="n">
        <v>12</v>
      </c>
      <c r="E8005" s="4" t="s">
        <v>1354</v>
      </c>
      <c r="F8005" s="4" t="n">
        <v>15</v>
      </c>
      <c r="G8005" s="4" t="n">
        <v>8</v>
      </c>
      <c r="H8005" s="4" t="n">
        <v>4</v>
      </c>
      <c r="I8005" s="4" t="str">
        <v>×</v>
      </c>
      <c r="J8005" s="4"/>
      <c r="K8005" s="4"/>
      <c r="L8005" s="4"/>
      <c r="M8005" s="5" t="s">
        <v>5346</v>
      </c>
    </row>
    <row r="8006" customFormat="false" ht="15.75" hidden="false" customHeight="false" outlineLevel="0" collapsed="false">
      <c r="A8006" s="6" t="n">
        <v>46165</v>
      </c>
      <c r="B8006" s="4" t="s">
        <v>13</v>
      </c>
      <c r="C8006" s="4" t="n">
        <v>11</v>
      </c>
      <c r="D8006" s="4" t="n">
        <v>13</v>
      </c>
      <c r="E8006" s="4" t="s">
        <v>5562</v>
      </c>
      <c r="F8006" s="4" t="n">
        <v>37</v>
      </c>
      <c r="G8006" s="4" t="n">
        <v>4</v>
      </c>
      <c r="H8006" s="4" t="n">
        <v>2</v>
      </c>
      <c r="I8006" s="4" t="str">
        <v>○</v>
      </c>
      <c r="J8006" s="4" t="n">
        <v>180</v>
      </c>
      <c r="K8006" s="4"/>
      <c r="L8006" s="4"/>
      <c r="M8006" s="5" t="s">
        <v>5346</v>
      </c>
    </row>
    <row r="8007" customFormat="false" ht="15.75" hidden="false" customHeight="false" outlineLevel="0" collapsed="false">
      <c r="A8007" s="6" t="n">
        <v>46165</v>
      </c>
      <c r="B8007" s="4" t="s">
        <v>13</v>
      </c>
      <c r="C8007" s="4" t="n">
        <v>11</v>
      </c>
      <c r="D8007" s="4" t="n">
        <v>14</v>
      </c>
      <c r="E8007" s="4" t="s">
        <v>5563</v>
      </c>
      <c r="F8007" s="4" t="n">
        <v>13</v>
      </c>
      <c r="G8007" s="4" t="n">
        <v>9</v>
      </c>
      <c r="H8007" s="4" t="n">
        <v>4</v>
      </c>
      <c r="I8007" s="4" t="str">
        <v>×</v>
      </c>
      <c r="J8007" s="4"/>
      <c r="K8007" s="4"/>
      <c r="L8007" s="4"/>
      <c r="M8007" s="5" t="s">
        <v>5346</v>
      </c>
    </row>
    <row r="8008" customFormat="false" ht="15.75" hidden="false" customHeight="false" outlineLevel="0" collapsed="false">
      <c r="A8008" s="6" t="n">
        <v>46165</v>
      </c>
      <c r="B8008" s="4" t="s">
        <v>13</v>
      </c>
      <c r="C8008" s="4" t="n">
        <v>11</v>
      </c>
      <c r="D8008" s="4" t="n">
        <v>15</v>
      </c>
      <c r="E8008" s="4" t="s">
        <v>5564</v>
      </c>
      <c r="F8008" s="4" t="n">
        <v>50</v>
      </c>
      <c r="G8008" s="4" t="n">
        <v>2</v>
      </c>
      <c r="H8008" s="4" t="n">
        <v>4</v>
      </c>
      <c r="I8008" s="4" t="str">
        <v>×</v>
      </c>
      <c r="J8008" s="4"/>
      <c r="K8008" s="4"/>
      <c r="L8008" s="4"/>
      <c r="M8008" s="5" t="s">
        <v>5346</v>
      </c>
    </row>
    <row r="8009" customFormat="false" ht="15.75" hidden="false" customHeight="false" outlineLevel="0" collapsed="false">
      <c r="A8009" s="6" t="n">
        <v>46165</v>
      </c>
      <c r="B8009" s="4" t="s">
        <v>13</v>
      </c>
      <c r="C8009" s="4" t="n">
        <v>11</v>
      </c>
      <c r="D8009" s="4" t="n">
        <v>16</v>
      </c>
      <c r="E8009" s="4" t="s">
        <v>544</v>
      </c>
      <c r="F8009" s="4" t="n">
        <v>4</v>
      </c>
      <c r="G8009" s="4" t="n">
        <v>11</v>
      </c>
      <c r="H8009" s="4" t="n">
        <v>4</v>
      </c>
      <c r="I8009" s="4" t="str">
        <v>×</v>
      </c>
      <c r="J8009" s="4"/>
      <c r="K8009" s="4"/>
      <c r="L8009" s="4"/>
      <c r="M8009" s="5" t="s">
        <v>5346</v>
      </c>
    </row>
    <row r="8010" customFormat="false" ht="15.75" hidden="false" customHeight="false" outlineLevel="0" collapsed="false">
      <c r="A8010" s="6" t="n">
        <v>46165</v>
      </c>
      <c r="B8010" s="4" t="s">
        <v>13</v>
      </c>
      <c r="C8010" s="4" t="n">
        <v>12</v>
      </c>
      <c r="D8010" s="4" t="n">
        <v>1</v>
      </c>
      <c r="E8010" s="4" t="s">
        <v>1647</v>
      </c>
      <c r="F8010" s="4" t="n">
        <v>15</v>
      </c>
      <c r="G8010" s="4" t="n">
        <v>8</v>
      </c>
      <c r="H8010" s="4" t="n">
        <v>4</v>
      </c>
      <c r="I8010" s="4" t="str">
        <v>×</v>
      </c>
      <c r="J8010" s="4"/>
      <c r="K8010" s="4"/>
      <c r="L8010" s="4"/>
      <c r="M8010" s="5" t="s">
        <v>5346</v>
      </c>
    </row>
    <row r="8011" customFormat="false" ht="15.75" hidden="false" customHeight="false" outlineLevel="0" collapsed="false">
      <c r="A8011" s="6" t="n">
        <v>46165</v>
      </c>
      <c r="B8011" s="4" t="s">
        <v>13</v>
      </c>
      <c r="C8011" s="4" t="n">
        <v>12</v>
      </c>
      <c r="D8011" s="4" t="n">
        <v>2</v>
      </c>
      <c r="E8011" s="4" t="s">
        <v>5565</v>
      </c>
      <c r="F8011" s="4" t="n">
        <v>50</v>
      </c>
      <c r="G8011" s="4" t="n">
        <v>2</v>
      </c>
      <c r="H8011" s="4" t="n">
        <v>4</v>
      </c>
      <c r="I8011" s="4" t="str">
        <v>×</v>
      </c>
      <c r="J8011" s="4"/>
      <c r="K8011" s="4"/>
      <c r="L8011" s="4"/>
      <c r="M8011" s="5" t="s">
        <v>5346</v>
      </c>
    </row>
    <row r="8012" customFormat="false" ht="15.75" hidden="false" customHeight="false" outlineLevel="0" collapsed="false">
      <c r="A8012" s="6" t="n">
        <v>46165</v>
      </c>
      <c r="B8012" s="4" t="s">
        <v>13</v>
      </c>
      <c r="C8012" s="4" t="n">
        <v>12</v>
      </c>
      <c r="D8012" s="4" t="n">
        <v>3</v>
      </c>
      <c r="E8012" s="4" t="s">
        <v>5100</v>
      </c>
      <c r="F8012" s="4" t="n">
        <v>23</v>
      </c>
      <c r="G8012" s="4" t="n">
        <v>5</v>
      </c>
      <c r="H8012" s="4" t="n">
        <v>4</v>
      </c>
      <c r="I8012" s="4" t="str">
        <v>×</v>
      </c>
      <c r="J8012" s="4"/>
      <c r="K8012" s="4"/>
      <c r="L8012" s="4"/>
      <c r="M8012" s="5" t="s">
        <v>5346</v>
      </c>
    </row>
    <row r="8013" customFormat="false" ht="15.75" hidden="false" customHeight="false" outlineLevel="0" collapsed="false">
      <c r="A8013" s="6" t="n">
        <v>46165</v>
      </c>
      <c r="B8013" s="4" t="s">
        <v>13</v>
      </c>
      <c r="C8013" s="4" t="n">
        <v>12</v>
      </c>
      <c r="D8013" s="4" t="n">
        <v>4</v>
      </c>
      <c r="E8013" s="4" t="s">
        <v>5566</v>
      </c>
      <c r="F8013" s="4" t="n">
        <v>34</v>
      </c>
      <c r="G8013" s="4" t="n">
        <v>4</v>
      </c>
      <c r="H8013" s="4" t="n">
        <v>4</v>
      </c>
      <c r="I8013" s="4" t="str">
        <v>×</v>
      </c>
      <c r="J8013" s="4"/>
      <c r="K8013" s="4"/>
      <c r="L8013" s="4"/>
      <c r="M8013" s="5" t="s">
        <v>5346</v>
      </c>
    </row>
    <row r="8014" customFormat="false" ht="15.75" hidden="false" customHeight="false" outlineLevel="0" collapsed="false">
      <c r="A8014" s="6" t="n">
        <v>46165</v>
      </c>
      <c r="B8014" s="4" t="s">
        <v>13</v>
      </c>
      <c r="C8014" s="4" t="n">
        <v>12</v>
      </c>
      <c r="D8014" s="4" t="n">
        <v>5</v>
      </c>
      <c r="E8014" s="4" t="s">
        <v>858</v>
      </c>
      <c r="F8014" s="4" t="n">
        <v>4</v>
      </c>
      <c r="G8014" s="4" t="n">
        <v>10</v>
      </c>
      <c r="H8014" s="4" t="n">
        <v>4</v>
      </c>
      <c r="I8014" s="4" t="str">
        <v>×</v>
      </c>
      <c r="J8014" s="4"/>
      <c r="K8014" s="4"/>
      <c r="L8014" s="4"/>
      <c r="M8014" s="5" t="s">
        <v>5346</v>
      </c>
    </row>
    <row r="8015" customFormat="false" ht="15.75" hidden="false" customHeight="false" outlineLevel="0" collapsed="false">
      <c r="A8015" s="6" t="n">
        <v>46165</v>
      </c>
      <c r="B8015" s="4" t="s">
        <v>13</v>
      </c>
      <c r="C8015" s="4" t="n">
        <v>12</v>
      </c>
      <c r="D8015" s="4" t="n">
        <v>6</v>
      </c>
      <c r="E8015" s="4" t="s">
        <v>5567</v>
      </c>
      <c r="F8015" s="4" t="n">
        <v>34</v>
      </c>
      <c r="G8015" s="4" t="n">
        <v>4</v>
      </c>
      <c r="H8015" s="4" t="n">
        <v>4</v>
      </c>
      <c r="I8015" s="4" t="str">
        <v>×</v>
      </c>
      <c r="J8015" s="4"/>
      <c r="K8015" s="4"/>
      <c r="L8015" s="4"/>
      <c r="M8015" s="5" t="s">
        <v>5346</v>
      </c>
    </row>
    <row r="8016" customFormat="false" ht="15.75" hidden="false" customHeight="false" outlineLevel="0" collapsed="false">
      <c r="A8016" s="6" t="n">
        <v>46165</v>
      </c>
      <c r="B8016" s="4" t="s">
        <v>13</v>
      </c>
      <c r="C8016" s="4" t="n">
        <v>12</v>
      </c>
      <c r="D8016" s="4" t="n">
        <v>7</v>
      </c>
      <c r="E8016" s="4" t="s">
        <v>521</v>
      </c>
      <c r="F8016" s="4" t="n">
        <v>20</v>
      </c>
      <c r="G8016" s="4" t="n">
        <v>6</v>
      </c>
      <c r="H8016" s="4" t="n">
        <v>3</v>
      </c>
      <c r="I8016" s="4" t="str">
        <v>○</v>
      </c>
      <c r="J8016" s="4" t="n">
        <v>340</v>
      </c>
      <c r="K8016" s="4"/>
      <c r="L8016" s="4"/>
      <c r="M8016" s="5" t="s">
        <v>5346</v>
      </c>
    </row>
    <row r="8017" customFormat="false" ht="15.75" hidden="false" customHeight="false" outlineLevel="0" collapsed="false">
      <c r="A8017" s="6" t="n">
        <v>46165</v>
      </c>
      <c r="B8017" s="4" t="s">
        <v>13</v>
      </c>
      <c r="C8017" s="4" t="n">
        <v>12</v>
      </c>
      <c r="D8017" s="4" t="n">
        <v>8</v>
      </c>
      <c r="E8017" s="4" t="s">
        <v>1658</v>
      </c>
      <c r="F8017" s="4" t="n">
        <v>47</v>
      </c>
      <c r="G8017" s="4" t="n">
        <v>3</v>
      </c>
      <c r="H8017" s="4" t="n">
        <v>4</v>
      </c>
      <c r="I8017" s="4" t="str">
        <v>×</v>
      </c>
      <c r="J8017" s="4"/>
      <c r="K8017" s="4"/>
      <c r="L8017" s="4"/>
      <c r="M8017" s="5" t="s">
        <v>5346</v>
      </c>
    </row>
    <row r="8018" customFormat="false" ht="15.75" hidden="false" customHeight="false" outlineLevel="0" collapsed="false">
      <c r="A8018" s="6" t="n">
        <v>46165</v>
      </c>
      <c r="B8018" s="4" t="s">
        <v>13</v>
      </c>
      <c r="C8018" s="4" t="n">
        <v>12</v>
      </c>
      <c r="D8018" s="4" t="n">
        <v>9</v>
      </c>
      <c r="E8018" s="4" t="s">
        <v>5568</v>
      </c>
      <c r="F8018" s="4" t="n">
        <v>4</v>
      </c>
      <c r="G8018" s="4" t="n">
        <v>10</v>
      </c>
      <c r="H8018" s="4" t="n">
        <v>4</v>
      </c>
      <c r="I8018" s="4" t="str">
        <v>×</v>
      </c>
      <c r="J8018" s="4"/>
      <c r="K8018" s="4"/>
      <c r="L8018" s="4"/>
      <c r="M8018" s="5" t="s">
        <v>5346</v>
      </c>
    </row>
    <row r="8019" customFormat="false" ht="15.75" hidden="false" customHeight="false" outlineLevel="0" collapsed="false">
      <c r="A8019" s="6" t="n">
        <v>46165</v>
      </c>
      <c r="B8019" s="4" t="s">
        <v>13</v>
      </c>
      <c r="C8019" s="4" t="n">
        <v>12</v>
      </c>
      <c r="D8019" s="4" t="n">
        <v>10</v>
      </c>
      <c r="E8019" s="4" t="s">
        <v>5569</v>
      </c>
      <c r="F8019" s="4" t="n">
        <v>17</v>
      </c>
      <c r="G8019" s="4" t="n">
        <v>7</v>
      </c>
      <c r="H8019" s="4" t="n">
        <v>4</v>
      </c>
      <c r="I8019" s="4" t="str">
        <v>×</v>
      </c>
      <c r="J8019" s="4"/>
      <c r="K8019" s="4"/>
      <c r="L8019" s="4"/>
      <c r="M8019" s="5" t="s">
        <v>5346</v>
      </c>
    </row>
    <row r="8020" customFormat="false" ht="15.75" hidden="false" customHeight="false" outlineLevel="0" collapsed="false">
      <c r="A8020" s="6" t="n">
        <v>46165</v>
      </c>
      <c r="B8020" s="4" t="s">
        <v>13</v>
      </c>
      <c r="C8020" s="4" t="n">
        <v>12</v>
      </c>
      <c r="D8020" s="4" t="n">
        <v>11</v>
      </c>
      <c r="E8020" s="4" t="s">
        <v>5570</v>
      </c>
      <c r="F8020" s="4" t="n">
        <v>60</v>
      </c>
      <c r="G8020" s="4" t="n">
        <v>1</v>
      </c>
      <c r="H8020" s="4" t="n">
        <v>1</v>
      </c>
      <c r="I8020" s="4" t="str">
        <v>○</v>
      </c>
      <c r="J8020" s="4" t="n">
        <v>200</v>
      </c>
      <c r="K8020" s="4"/>
      <c r="L8020" s="4"/>
      <c r="M8020" s="5" t="s">
        <v>5346</v>
      </c>
    </row>
    <row r="8021" customFormat="false" ht="15.75" hidden="false" customHeight="false" outlineLevel="0" collapsed="false">
      <c r="A8021" s="6" t="n">
        <v>46165</v>
      </c>
      <c r="B8021" s="4" t="s">
        <v>13</v>
      </c>
      <c r="C8021" s="4" t="n">
        <v>12</v>
      </c>
      <c r="D8021" s="4" t="n">
        <v>12</v>
      </c>
      <c r="E8021" s="4" t="s">
        <v>3787</v>
      </c>
      <c r="F8021" s="4" t="n">
        <v>13</v>
      </c>
      <c r="G8021" s="4" t="n">
        <v>9</v>
      </c>
      <c r="H8021" s="4" t="n">
        <v>4</v>
      </c>
      <c r="I8021" s="4" t="str">
        <v>×</v>
      </c>
      <c r="J8021" s="4"/>
      <c r="K8021" s="4"/>
      <c r="L8021" s="4"/>
      <c r="M8021" s="5" t="s">
        <v>5346</v>
      </c>
    </row>
    <row r="8022" customFormat="false" ht="15.75" hidden="false" customHeight="false" outlineLevel="0" collapsed="false">
      <c r="A8022" s="6" t="n">
        <v>46165</v>
      </c>
      <c r="B8022" s="4" t="s">
        <v>13</v>
      </c>
      <c r="C8022" s="4" t="n">
        <v>12</v>
      </c>
      <c r="D8022" s="4" t="n">
        <v>13</v>
      </c>
      <c r="E8022" s="4" t="s">
        <v>4664</v>
      </c>
      <c r="F8022" s="4" t="n">
        <v>15</v>
      </c>
      <c r="G8022" s="4" t="n">
        <v>8</v>
      </c>
      <c r="H8022" s="4" t="n">
        <v>4</v>
      </c>
      <c r="I8022" s="4" t="str">
        <v>×</v>
      </c>
      <c r="J8022" s="4"/>
      <c r="K8022" s="4"/>
      <c r="L8022" s="4"/>
      <c r="M8022" s="5" t="s">
        <v>5346</v>
      </c>
    </row>
    <row r="8023" customFormat="false" ht="15.75" hidden="false" customHeight="false" outlineLevel="0" collapsed="false">
      <c r="A8023" s="6" t="n">
        <v>46165</v>
      </c>
      <c r="B8023" s="4" t="s">
        <v>13</v>
      </c>
      <c r="C8023" s="4" t="n">
        <v>12</v>
      </c>
      <c r="D8023" s="4" t="n">
        <v>14</v>
      </c>
      <c r="E8023" s="4" t="s">
        <v>5571</v>
      </c>
      <c r="F8023" s="4" t="n">
        <v>17</v>
      </c>
      <c r="G8023" s="4" t="n">
        <v>7</v>
      </c>
      <c r="H8023" s="4" t="n">
        <v>4</v>
      </c>
      <c r="I8023" s="4" t="str">
        <v>×</v>
      </c>
      <c r="J8023" s="4"/>
      <c r="K8023" s="4"/>
      <c r="L8023" s="4"/>
      <c r="M8023" s="5" t="s">
        <v>5346</v>
      </c>
    </row>
    <row r="8024" customFormat="false" ht="15.75" hidden="false" customHeight="false" outlineLevel="0" collapsed="false">
      <c r="A8024" s="6" t="n">
        <v>46165</v>
      </c>
      <c r="B8024" s="4" t="s">
        <v>13</v>
      </c>
      <c r="C8024" s="4" t="n">
        <v>12</v>
      </c>
      <c r="D8024" s="4" t="n">
        <v>15</v>
      </c>
      <c r="E8024" s="4" t="s">
        <v>4980</v>
      </c>
      <c r="F8024" s="4" t="n">
        <v>20</v>
      </c>
      <c r="G8024" s="4" t="n">
        <v>6</v>
      </c>
      <c r="H8024" s="4" t="n">
        <v>2</v>
      </c>
      <c r="I8024" s="4" t="str">
        <v>○</v>
      </c>
      <c r="J8024" s="4" t="n">
        <v>270</v>
      </c>
      <c r="K8024" s="4"/>
      <c r="L8024" s="4"/>
      <c r="M8024" s="5" t="s">
        <v>5346</v>
      </c>
    </row>
    <row r="8025" customFormat="false" ht="15.75" hidden="false" customHeight="false" outlineLevel="0" collapsed="false">
      <c r="A8025" s="6" t="n">
        <v>46166</v>
      </c>
      <c r="B8025" s="4" t="s">
        <v>4473</v>
      </c>
      <c r="C8025" s="4" t="n">
        <v>1</v>
      </c>
      <c r="D8025" s="4" t="n">
        <v>1</v>
      </c>
      <c r="E8025" s="4" t="s">
        <v>5572</v>
      </c>
      <c r="F8025" s="4" t="n">
        <v>2</v>
      </c>
      <c r="G8025" s="4" t="n">
        <v>9</v>
      </c>
      <c r="H8025" s="4" t="n">
        <v>4</v>
      </c>
      <c r="I8025" s="4" t="str">
        <v>×</v>
      </c>
      <c r="J8025" s="4"/>
      <c r="K8025" s="4"/>
      <c r="L8025" s="4"/>
      <c r="M8025" s="5" t="s">
        <v>5346</v>
      </c>
    </row>
    <row r="8026" customFormat="false" ht="15.75" hidden="false" customHeight="false" outlineLevel="0" collapsed="false">
      <c r="A8026" s="6" t="n">
        <v>46166</v>
      </c>
      <c r="B8026" s="4" t="s">
        <v>4473</v>
      </c>
      <c r="C8026" s="4" t="n">
        <v>1</v>
      </c>
      <c r="D8026" s="4" t="n">
        <v>2</v>
      </c>
      <c r="E8026" s="4" t="s">
        <v>496</v>
      </c>
      <c r="F8026" s="4" t="n">
        <v>56</v>
      </c>
      <c r="G8026" s="4" t="n">
        <v>1</v>
      </c>
      <c r="H8026" s="4" t="n">
        <v>4</v>
      </c>
      <c r="I8026" s="4" t="str">
        <v>×</v>
      </c>
      <c r="J8026" s="4"/>
      <c r="K8026" s="4"/>
      <c r="L8026" s="4"/>
      <c r="M8026" s="5" t="s">
        <v>5346</v>
      </c>
    </row>
    <row r="8027" customFormat="false" ht="15.75" hidden="false" customHeight="false" outlineLevel="0" collapsed="false">
      <c r="A8027" s="6" t="n">
        <v>46166</v>
      </c>
      <c r="B8027" s="4" t="s">
        <v>4473</v>
      </c>
      <c r="C8027" s="4" t="n">
        <v>1</v>
      </c>
      <c r="D8027" s="4" t="n">
        <v>3</v>
      </c>
      <c r="E8027" s="4" t="s">
        <v>947</v>
      </c>
      <c r="F8027" s="4" t="n">
        <v>47</v>
      </c>
      <c r="G8027" s="4" t="n">
        <v>2</v>
      </c>
      <c r="H8027" s="4" t="n">
        <v>2</v>
      </c>
      <c r="I8027" s="4" t="str">
        <v>○</v>
      </c>
      <c r="J8027" s="4" t="n">
        <v>250</v>
      </c>
      <c r="K8027" s="4"/>
      <c r="L8027" s="4"/>
      <c r="M8027" s="5" t="s">
        <v>5346</v>
      </c>
    </row>
    <row r="8028" customFormat="false" ht="15.75" hidden="false" customHeight="false" outlineLevel="0" collapsed="false">
      <c r="A8028" s="6" t="n">
        <v>46166</v>
      </c>
      <c r="B8028" s="4" t="s">
        <v>4473</v>
      </c>
      <c r="C8028" s="4" t="n">
        <v>1</v>
      </c>
      <c r="D8028" s="4" t="n">
        <v>4</v>
      </c>
      <c r="E8028" s="4" t="s">
        <v>5573</v>
      </c>
      <c r="F8028" s="4" t="n">
        <v>34</v>
      </c>
      <c r="G8028" s="4" t="n">
        <v>4</v>
      </c>
      <c r="H8028" s="4" t="n">
        <v>4</v>
      </c>
      <c r="I8028" s="4" t="str">
        <v>×</v>
      </c>
      <c r="J8028" s="4"/>
      <c r="K8028" s="4"/>
      <c r="L8028" s="4"/>
      <c r="M8028" s="5" t="s">
        <v>5346</v>
      </c>
    </row>
    <row r="8029" customFormat="false" ht="15.75" hidden="false" customHeight="false" outlineLevel="0" collapsed="false">
      <c r="A8029" s="6" t="n">
        <v>46166</v>
      </c>
      <c r="B8029" s="4" t="s">
        <v>4473</v>
      </c>
      <c r="C8029" s="4" t="n">
        <v>1</v>
      </c>
      <c r="D8029" s="4" t="n">
        <v>5</v>
      </c>
      <c r="E8029" s="4" t="s">
        <v>5574</v>
      </c>
      <c r="F8029" s="4" t="n">
        <v>1</v>
      </c>
      <c r="G8029" s="4" t="n">
        <v>10</v>
      </c>
      <c r="H8029" s="4" t="n">
        <v>4</v>
      </c>
      <c r="I8029" s="4" t="str">
        <v>×</v>
      </c>
      <c r="J8029" s="4"/>
      <c r="K8029" s="4"/>
      <c r="L8029" s="4"/>
      <c r="M8029" s="5" t="s">
        <v>5346</v>
      </c>
    </row>
    <row r="8030" customFormat="false" ht="15.75" hidden="false" customHeight="false" outlineLevel="0" collapsed="false">
      <c r="A8030" s="6" t="n">
        <v>46166</v>
      </c>
      <c r="B8030" s="4" t="s">
        <v>4473</v>
      </c>
      <c r="C8030" s="4" t="n">
        <v>1</v>
      </c>
      <c r="D8030" s="4" t="n">
        <v>6</v>
      </c>
      <c r="E8030" s="4" t="s">
        <v>3031</v>
      </c>
      <c r="F8030" s="4" t="n">
        <v>8</v>
      </c>
      <c r="G8030" s="4" t="n">
        <v>7</v>
      </c>
      <c r="H8030" s="4" t="n">
        <v>3</v>
      </c>
      <c r="I8030" s="4" t="str">
        <v>○</v>
      </c>
      <c r="J8030" s="4" t="n">
        <v>1540</v>
      </c>
      <c r="K8030" s="4"/>
      <c r="L8030" s="4"/>
      <c r="M8030" s="5" t="s">
        <v>5346</v>
      </c>
    </row>
    <row r="8031" customFormat="false" ht="15.75" hidden="false" customHeight="false" outlineLevel="0" collapsed="false">
      <c r="A8031" s="6" t="n">
        <v>46166</v>
      </c>
      <c r="B8031" s="4" t="s">
        <v>4473</v>
      </c>
      <c r="C8031" s="4" t="n">
        <v>1</v>
      </c>
      <c r="D8031" s="4" t="n">
        <v>7</v>
      </c>
      <c r="E8031" s="4" t="s">
        <v>1738</v>
      </c>
      <c r="F8031" s="4" t="n">
        <v>23</v>
      </c>
      <c r="G8031" s="4" t="n">
        <v>5</v>
      </c>
      <c r="H8031" s="4" t="n">
        <v>4</v>
      </c>
      <c r="I8031" s="4" t="str">
        <v>×</v>
      </c>
      <c r="J8031" s="4"/>
      <c r="K8031" s="4"/>
      <c r="L8031" s="4"/>
      <c r="M8031" s="5" t="s">
        <v>5346</v>
      </c>
    </row>
    <row r="8032" customFormat="false" ht="15.75" hidden="false" customHeight="false" outlineLevel="0" collapsed="false">
      <c r="A8032" s="6" t="n">
        <v>46166</v>
      </c>
      <c r="B8032" s="4" t="s">
        <v>4473</v>
      </c>
      <c r="C8032" s="4" t="n">
        <v>1</v>
      </c>
      <c r="D8032" s="4" t="n">
        <v>8</v>
      </c>
      <c r="E8032" s="4" t="s">
        <v>4672</v>
      </c>
      <c r="F8032" s="4" t="n">
        <v>8</v>
      </c>
      <c r="G8032" s="4" t="n">
        <v>7</v>
      </c>
      <c r="H8032" s="4" t="n">
        <v>4</v>
      </c>
      <c r="I8032" s="4" t="str">
        <v>×</v>
      </c>
      <c r="J8032" s="4"/>
      <c r="K8032" s="4"/>
      <c r="L8032" s="4"/>
      <c r="M8032" s="5" t="s">
        <v>5346</v>
      </c>
    </row>
    <row r="8033" customFormat="false" ht="15.75" hidden="false" customHeight="false" outlineLevel="0" collapsed="false">
      <c r="A8033" s="6" t="n">
        <v>46166</v>
      </c>
      <c r="B8033" s="4" t="s">
        <v>4473</v>
      </c>
      <c r="C8033" s="4" t="n">
        <v>1</v>
      </c>
      <c r="D8033" s="4" t="n">
        <v>9</v>
      </c>
      <c r="E8033" s="4" t="s">
        <v>56</v>
      </c>
      <c r="F8033" s="4" t="n">
        <v>1</v>
      </c>
      <c r="G8033" s="4" t="n">
        <v>10</v>
      </c>
      <c r="H8033" s="4" t="n">
        <v>4</v>
      </c>
      <c r="I8033" s="4" t="str">
        <v>×</v>
      </c>
      <c r="J8033" s="4"/>
      <c r="K8033" s="4"/>
      <c r="L8033" s="4"/>
      <c r="M8033" s="5" t="s">
        <v>5346</v>
      </c>
    </row>
    <row r="8034" customFormat="false" ht="15.75" hidden="false" customHeight="false" outlineLevel="0" collapsed="false">
      <c r="A8034" s="6" t="n">
        <v>46166</v>
      </c>
      <c r="B8034" s="4" t="s">
        <v>4473</v>
      </c>
      <c r="C8034" s="4" t="n">
        <v>1</v>
      </c>
      <c r="D8034" s="4" t="n">
        <v>10</v>
      </c>
      <c r="E8034" s="4" t="s">
        <v>500</v>
      </c>
      <c r="F8034" s="4" t="n">
        <v>56</v>
      </c>
      <c r="G8034" s="4" t="n">
        <v>1</v>
      </c>
      <c r="H8034" s="4" t="n">
        <v>4</v>
      </c>
      <c r="I8034" s="4" t="str">
        <v>×</v>
      </c>
      <c r="J8034" s="4"/>
      <c r="K8034" s="4"/>
      <c r="L8034" s="4"/>
      <c r="M8034" s="5" t="s">
        <v>5346</v>
      </c>
    </row>
    <row r="8035" customFormat="false" ht="15.75" hidden="false" customHeight="false" outlineLevel="0" collapsed="false">
      <c r="A8035" s="6" t="n">
        <v>46166</v>
      </c>
      <c r="B8035" s="4" t="s">
        <v>4473</v>
      </c>
      <c r="C8035" s="4" t="n">
        <v>1</v>
      </c>
      <c r="D8035" s="4" t="n">
        <v>11</v>
      </c>
      <c r="E8035" s="4" t="s">
        <v>2192</v>
      </c>
      <c r="F8035" s="4" t="n">
        <v>10</v>
      </c>
      <c r="G8035" s="4" t="n">
        <v>6</v>
      </c>
      <c r="H8035" s="4" t="n">
        <v>4</v>
      </c>
      <c r="I8035" s="4" t="str">
        <v>×</v>
      </c>
      <c r="J8035" s="4"/>
      <c r="K8035" s="4"/>
      <c r="L8035" s="4"/>
      <c r="M8035" s="5" t="s">
        <v>5346</v>
      </c>
    </row>
    <row r="8036" customFormat="false" ht="15.75" hidden="false" customHeight="false" outlineLevel="0" collapsed="false">
      <c r="A8036" s="6" t="n">
        <v>46166</v>
      </c>
      <c r="B8036" s="4" t="s">
        <v>4473</v>
      </c>
      <c r="C8036" s="4" t="n">
        <v>1</v>
      </c>
      <c r="D8036" s="4" t="n">
        <v>12</v>
      </c>
      <c r="E8036" s="4" t="s">
        <v>5575</v>
      </c>
      <c r="F8036" s="4" t="n">
        <v>4</v>
      </c>
      <c r="G8036" s="4" t="n">
        <v>8</v>
      </c>
      <c r="H8036" s="4" t="n">
        <v>4</v>
      </c>
      <c r="I8036" s="4" t="str">
        <v>×</v>
      </c>
      <c r="J8036" s="4"/>
      <c r="K8036" s="4"/>
      <c r="L8036" s="4"/>
      <c r="M8036" s="5" t="s">
        <v>5346</v>
      </c>
    </row>
    <row r="8037" customFormat="false" ht="15.75" hidden="false" customHeight="false" outlineLevel="0" collapsed="false">
      <c r="A8037" s="6" t="n">
        <v>46166</v>
      </c>
      <c r="B8037" s="4" t="s">
        <v>4473</v>
      </c>
      <c r="C8037" s="4" t="n">
        <v>1</v>
      </c>
      <c r="D8037" s="4" t="n">
        <v>13</v>
      </c>
      <c r="E8037" s="4" t="s">
        <v>5576</v>
      </c>
      <c r="F8037" s="4" t="n">
        <v>39</v>
      </c>
      <c r="G8037" s="4" t="n">
        <v>3</v>
      </c>
      <c r="H8037" s="4" t="n">
        <v>1</v>
      </c>
      <c r="I8037" s="4" t="str">
        <v>○</v>
      </c>
      <c r="J8037" s="4" t="n">
        <v>160</v>
      </c>
      <c r="K8037" s="4"/>
      <c r="L8037" s="4"/>
      <c r="M8037" s="5" t="s">
        <v>5346</v>
      </c>
    </row>
    <row r="8038" customFormat="false" ht="15.75" hidden="false" customHeight="false" outlineLevel="0" collapsed="false">
      <c r="A8038" s="6" t="n">
        <v>46166</v>
      </c>
      <c r="B8038" s="4" t="s">
        <v>4473</v>
      </c>
      <c r="C8038" s="4" t="n">
        <v>1</v>
      </c>
      <c r="D8038" s="4" t="n">
        <v>14</v>
      </c>
      <c r="E8038" s="4" t="s">
        <v>5577</v>
      </c>
      <c r="F8038" s="4" t="n">
        <v>4</v>
      </c>
      <c r="G8038" s="4" t="n">
        <v>8</v>
      </c>
      <c r="H8038" s="4" t="n">
        <v>4</v>
      </c>
      <c r="I8038" s="4" t="str">
        <v>×</v>
      </c>
      <c r="J8038" s="4"/>
      <c r="K8038" s="4"/>
      <c r="L8038" s="4"/>
      <c r="M8038" s="5" t="s">
        <v>5346</v>
      </c>
    </row>
    <row r="8039" customFormat="false" ht="15.75" hidden="false" customHeight="false" outlineLevel="0" collapsed="false">
      <c r="A8039" s="6" t="n">
        <v>46166</v>
      </c>
      <c r="B8039" s="4" t="s">
        <v>4473</v>
      </c>
      <c r="C8039" s="4" t="n">
        <v>1</v>
      </c>
      <c r="D8039" s="4" t="n">
        <v>15</v>
      </c>
      <c r="E8039" s="4" t="s">
        <v>1940</v>
      </c>
      <c r="F8039" s="4" t="n">
        <v>8</v>
      </c>
      <c r="G8039" s="4" t="n">
        <v>7</v>
      </c>
      <c r="H8039" s="4" t="n">
        <v>4</v>
      </c>
      <c r="I8039" s="4" t="str">
        <v>×</v>
      </c>
      <c r="J8039" s="4"/>
      <c r="K8039" s="4"/>
      <c r="L8039" s="4"/>
      <c r="M8039" s="5" t="s">
        <v>5346</v>
      </c>
    </row>
    <row r="8040" customFormat="false" ht="15.75" hidden="false" customHeight="false" outlineLevel="0" collapsed="false">
      <c r="A8040" s="6" t="n">
        <v>46166</v>
      </c>
      <c r="B8040" s="4" t="s">
        <v>4473</v>
      </c>
      <c r="C8040" s="4" t="n">
        <v>1</v>
      </c>
      <c r="D8040" s="4" t="n">
        <v>16</v>
      </c>
      <c r="E8040" s="4" t="s">
        <v>5578</v>
      </c>
      <c r="F8040" s="4" t="n">
        <v>2</v>
      </c>
      <c r="G8040" s="4" t="n">
        <v>9</v>
      </c>
      <c r="H8040" s="4" t="n">
        <v>4</v>
      </c>
      <c r="I8040" s="4" t="str">
        <v>×</v>
      </c>
      <c r="J8040" s="4"/>
      <c r="K8040" s="4"/>
      <c r="L8040" s="4"/>
      <c r="M8040" s="5" t="s">
        <v>5346</v>
      </c>
    </row>
    <row r="8041" customFormat="false" ht="15.75" hidden="false" customHeight="false" outlineLevel="0" collapsed="false">
      <c r="A8041" s="6" t="n">
        <v>46166</v>
      </c>
      <c r="B8041" s="4" t="s">
        <v>4473</v>
      </c>
      <c r="C8041" s="4" t="n">
        <v>2</v>
      </c>
      <c r="D8041" s="4" t="n">
        <v>1</v>
      </c>
      <c r="E8041" s="4" t="s">
        <v>1478</v>
      </c>
      <c r="F8041" s="4" t="n">
        <v>17</v>
      </c>
      <c r="G8041" s="4" t="n">
        <v>4</v>
      </c>
      <c r="H8041" s="4" t="n">
        <v>4</v>
      </c>
      <c r="I8041" s="4" t="str">
        <v>×</v>
      </c>
      <c r="J8041" s="4"/>
      <c r="K8041" s="4"/>
      <c r="L8041" s="4"/>
      <c r="M8041" s="5" t="s">
        <v>5346</v>
      </c>
    </row>
    <row r="8042" customFormat="false" ht="15.75" hidden="false" customHeight="false" outlineLevel="0" collapsed="false">
      <c r="A8042" s="6" t="n">
        <v>46166</v>
      </c>
      <c r="B8042" s="4" t="s">
        <v>4473</v>
      </c>
      <c r="C8042" s="4" t="n">
        <v>2</v>
      </c>
      <c r="D8042" s="4" t="n">
        <v>2</v>
      </c>
      <c r="E8042" s="4" t="s">
        <v>4686</v>
      </c>
      <c r="F8042" s="4" t="n">
        <v>8</v>
      </c>
      <c r="G8042" s="4" t="n">
        <v>8</v>
      </c>
      <c r="H8042" s="4" t="n">
        <v>4</v>
      </c>
      <c r="I8042" s="4" t="str">
        <v>×</v>
      </c>
      <c r="J8042" s="4"/>
      <c r="K8042" s="4"/>
      <c r="L8042" s="4"/>
      <c r="M8042" s="5" t="s">
        <v>5346</v>
      </c>
    </row>
    <row r="8043" customFormat="false" ht="15.75" hidden="false" customHeight="false" outlineLevel="0" collapsed="false">
      <c r="A8043" s="6" t="n">
        <v>46166</v>
      </c>
      <c r="B8043" s="4" t="s">
        <v>4473</v>
      </c>
      <c r="C8043" s="4" t="n">
        <v>2</v>
      </c>
      <c r="D8043" s="4" t="n">
        <v>3</v>
      </c>
      <c r="E8043" s="4" t="s">
        <v>1002</v>
      </c>
      <c r="F8043" s="4" t="n">
        <v>15</v>
      </c>
      <c r="G8043" s="4" t="n">
        <v>5</v>
      </c>
      <c r="H8043" s="4" t="n">
        <v>4</v>
      </c>
      <c r="I8043" s="4" t="str">
        <v>×</v>
      </c>
      <c r="J8043" s="4"/>
      <c r="K8043" s="4"/>
      <c r="L8043" s="4"/>
      <c r="M8043" s="5" t="s">
        <v>5346</v>
      </c>
    </row>
    <row r="8044" customFormat="false" ht="15.75" hidden="false" customHeight="false" outlineLevel="0" collapsed="false">
      <c r="A8044" s="6" t="n">
        <v>46166</v>
      </c>
      <c r="B8044" s="4" t="s">
        <v>4473</v>
      </c>
      <c r="C8044" s="4" t="n">
        <v>2</v>
      </c>
      <c r="D8044" s="4" t="n">
        <v>4</v>
      </c>
      <c r="E8044" s="4" t="s">
        <v>4927</v>
      </c>
      <c r="F8044" s="4" t="n">
        <v>6</v>
      </c>
      <c r="G8044" s="4" t="n">
        <v>9</v>
      </c>
      <c r="H8044" s="4" t="n">
        <v>4</v>
      </c>
      <c r="I8044" s="4" t="str">
        <v>×</v>
      </c>
      <c r="J8044" s="4"/>
      <c r="K8044" s="4"/>
      <c r="L8044" s="4"/>
      <c r="M8044" s="5" t="s">
        <v>5346</v>
      </c>
    </row>
    <row r="8045" customFormat="false" ht="15.75" hidden="false" customHeight="false" outlineLevel="0" collapsed="false">
      <c r="A8045" s="6" t="n">
        <v>46166</v>
      </c>
      <c r="B8045" s="4" t="s">
        <v>4473</v>
      </c>
      <c r="C8045" s="4" t="n">
        <v>2</v>
      </c>
      <c r="D8045" s="4" t="n">
        <v>5</v>
      </c>
      <c r="E8045" s="4" t="s">
        <v>5579</v>
      </c>
      <c r="F8045" s="4" t="n">
        <v>1</v>
      </c>
      <c r="G8045" s="4" t="n">
        <v>11</v>
      </c>
      <c r="H8045" s="4" t="n">
        <v>4</v>
      </c>
      <c r="I8045" s="4" t="str">
        <v>×</v>
      </c>
      <c r="J8045" s="4"/>
      <c r="K8045" s="4"/>
      <c r="L8045" s="4"/>
      <c r="M8045" s="5" t="s">
        <v>5346</v>
      </c>
    </row>
    <row r="8046" customFormat="false" ht="15.75" hidden="false" customHeight="false" outlineLevel="0" collapsed="false">
      <c r="A8046" s="6" t="n">
        <v>46166</v>
      </c>
      <c r="B8046" s="4" t="s">
        <v>4473</v>
      </c>
      <c r="C8046" s="4" t="n">
        <v>2</v>
      </c>
      <c r="D8046" s="4" t="n">
        <v>6</v>
      </c>
      <c r="E8046" s="4" t="s">
        <v>5580</v>
      </c>
      <c r="F8046" s="4" t="n">
        <v>2</v>
      </c>
      <c r="G8046" s="4" t="n">
        <v>10</v>
      </c>
      <c r="H8046" s="4" t="n">
        <v>4</v>
      </c>
      <c r="I8046" s="4" t="str">
        <v>×</v>
      </c>
      <c r="J8046" s="4"/>
      <c r="K8046" s="4"/>
      <c r="L8046" s="4"/>
      <c r="M8046" s="5" t="s">
        <v>5346</v>
      </c>
    </row>
    <row r="8047" customFormat="false" ht="15.75" hidden="false" customHeight="false" outlineLevel="0" collapsed="false">
      <c r="A8047" s="6" t="n">
        <v>46166</v>
      </c>
      <c r="B8047" s="4" t="s">
        <v>4473</v>
      </c>
      <c r="C8047" s="4" t="n">
        <v>2</v>
      </c>
      <c r="D8047" s="4" t="n">
        <v>7</v>
      </c>
      <c r="E8047" s="4" t="s">
        <v>1910</v>
      </c>
      <c r="F8047" s="4" t="n">
        <v>66</v>
      </c>
      <c r="G8047" s="4" t="n">
        <v>2</v>
      </c>
      <c r="H8047" s="4" t="n">
        <v>4</v>
      </c>
      <c r="I8047" s="4" t="str">
        <v>×</v>
      </c>
      <c r="J8047" s="4"/>
      <c r="K8047" s="4"/>
      <c r="L8047" s="4"/>
      <c r="M8047" s="5" t="s">
        <v>5346</v>
      </c>
    </row>
    <row r="8048" customFormat="false" ht="15.75" hidden="false" customHeight="false" outlineLevel="0" collapsed="false">
      <c r="A8048" s="6" t="n">
        <v>46166</v>
      </c>
      <c r="B8048" s="4" t="s">
        <v>4473</v>
      </c>
      <c r="C8048" s="4" t="n">
        <v>2</v>
      </c>
      <c r="D8048" s="4" t="n">
        <v>8</v>
      </c>
      <c r="E8048" s="4" t="s">
        <v>5581</v>
      </c>
      <c r="F8048" s="4" t="n">
        <v>8</v>
      </c>
      <c r="G8048" s="4" t="n">
        <v>8</v>
      </c>
      <c r="H8048" s="4" t="n">
        <v>4</v>
      </c>
      <c r="I8048" s="4" t="str">
        <v>×</v>
      </c>
      <c r="J8048" s="4"/>
      <c r="K8048" s="4"/>
      <c r="L8048" s="4"/>
      <c r="M8048" s="5" t="s">
        <v>5346</v>
      </c>
    </row>
    <row r="8049" customFormat="false" ht="15.75" hidden="false" customHeight="false" outlineLevel="0" collapsed="false">
      <c r="A8049" s="6" t="n">
        <v>46166</v>
      </c>
      <c r="B8049" s="4" t="s">
        <v>4473</v>
      </c>
      <c r="C8049" s="4" t="n">
        <v>2</v>
      </c>
      <c r="D8049" s="4" t="n">
        <v>9</v>
      </c>
      <c r="E8049" s="4" t="s">
        <v>2009</v>
      </c>
      <c r="F8049" s="4" t="n">
        <v>37</v>
      </c>
      <c r="G8049" s="4" t="n">
        <v>3</v>
      </c>
      <c r="H8049" s="4" t="n">
        <v>1</v>
      </c>
      <c r="I8049" s="4" t="str">
        <v>○</v>
      </c>
      <c r="J8049" s="4" t="n">
        <v>300</v>
      </c>
      <c r="K8049" s="4"/>
      <c r="L8049" s="4"/>
      <c r="M8049" s="5" t="s">
        <v>5346</v>
      </c>
    </row>
    <row r="8050" customFormat="false" ht="15.75" hidden="false" customHeight="false" outlineLevel="0" collapsed="false">
      <c r="A8050" s="6" t="n">
        <v>46166</v>
      </c>
      <c r="B8050" s="4" t="s">
        <v>4473</v>
      </c>
      <c r="C8050" s="4" t="n">
        <v>2</v>
      </c>
      <c r="D8050" s="4" t="n">
        <v>10</v>
      </c>
      <c r="E8050" s="4" t="s">
        <v>4510</v>
      </c>
      <c r="F8050" s="4" t="n">
        <v>6</v>
      </c>
      <c r="G8050" s="4" t="n">
        <v>9</v>
      </c>
      <c r="H8050" s="4" t="n">
        <v>4</v>
      </c>
      <c r="I8050" s="4" t="str">
        <v>×</v>
      </c>
      <c r="J8050" s="4"/>
      <c r="K8050" s="4"/>
      <c r="L8050" s="4"/>
      <c r="M8050" s="5" t="s">
        <v>5346</v>
      </c>
    </row>
    <row r="8051" customFormat="false" ht="15.75" hidden="false" customHeight="false" outlineLevel="0" collapsed="false">
      <c r="A8051" s="6" t="n">
        <v>46166</v>
      </c>
      <c r="B8051" s="4" t="s">
        <v>4473</v>
      </c>
      <c r="C8051" s="4" t="n">
        <v>2</v>
      </c>
      <c r="D8051" s="4" t="n">
        <v>11</v>
      </c>
      <c r="E8051" s="4" t="s">
        <v>5582</v>
      </c>
      <c r="F8051" s="4" t="n">
        <v>74</v>
      </c>
      <c r="G8051" s="4" t="n">
        <v>1</v>
      </c>
      <c r="H8051" s="4" t="n">
        <v>2</v>
      </c>
      <c r="I8051" s="4" t="str">
        <v>○</v>
      </c>
      <c r="J8051" s="4" t="n">
        <v>120</v>
      </c>
      <c r="K8051" s="4"/>
      <c r="L8051" s="4"/>
      <c r="M8051" s="5" t="s">
        <v>5346</v>
      </c>
    </row>
    <row r="8052" customFormat="false" ht="15.75" hidden="false" customHeight="false" outlineLevel="0" collapsed="false">
      <c r="A8052" s="6" t="n">
        <v>46166</v>
      </c>
      <c r="B8052" s="4" t="s">
        <v>4473</v>
      </c>
      <c r="C8052" s="4" t="n">
        <v>2</v>
      </c>
      <c r="D8052" s="4" t="n">
        <v>12</v>
      </c>
      <c r="E8052" s="4" t="s">
        <v>4627</v>
      </c>
      <c r="F8052" s="4" t="n">
        <v>13</v>
      </c>
      <c r="G8052" s="4" t="n">
        <v>6</v>
      </c>
      <c r="H8052" s="4" t="n">
        <v>4</v>
      </c>
      <c r="I8052" s="4" t="str">
        <v>×</v>
      </c>
      <c r="J8052" s="4"/>
      <c r="K8052" s="4"/>
      <c r="L8052" s="4"/>
      <c r="M8052" s="5" t="s">
        <v>5346</v>
      </c>
    </row>
    <row r="8053" customFormat="false" ht="15.75" hidden="false" customHeight="false" outlineLevel="0" collapsed="false">
      <c r="A8053" s="6" t="n">
        <v>46166</v>
      </c>
      <c r="B8053" s="4" t="s">
        <v>4473</v>
      </c>
      <c r="C8053" s="4" t="n">
        <v>2</v>
      </c>
      <c r="D8053" s="4" t="n">
        <v>13</v>
      </c>
      <c r="E8053" s="4" t="s">
        <v>4923</v>
      </c>
      <c r="F8053" s="4" t="n">
        <v>10</v>
      </c>
      <c r="G8053" s="4" t="n">
        <v>7</v>
      </c>
      <c r="H8053" s="4" t="n">
        <v>4</v>
      </c>
      <c r="I8053" s="4" t="str">
        <v>×</v>
      </c>
      <c r="J8053" s="4"/>
      <c r="K8053" s="4"/>
      <c r="L8053" s="4"/>
      <c r="M8053" s="5" t="s">
        <v>5346</v>
      </c>
    </row>
    <row r="8054" customFormat="false" ht="15.75" hidden="false" customHeight="false" outlineLevel="0" collapsed="false">
      <c r="A8054" s="6" t="n">
        <v>46166</v>
      </c>
      <c r="B8054" s="4" t="s">
        <v>4473</v>
      </c>
      <c r="C8054" s="4" t="n">
        <v>2</v>
      </c>
      <c r="D8054" s="4" t="n">
        <v>14</v>
      </c>
      <c r="E8054" s="4" t="s">
        <v>2216</v>
      </c>
      <c r="F8054" s="4" t="n">
        <v>15</v>
      </c>
      <c r="G8054" s="4" t="n">
        <v>5</v>
      </c>
      <c r="H8054" s="4" t="n">
        <v>4</v>
      </c>
      <c r="I8054" s="4" t="str">
        <v>×</v>
      </c>
      <c r="J8054" s="4"/>
      <c r="K8054" s="4"/>
      <c r="L8054" s="4"/>
      <c r="M8054" s="5" t="s">
        <v>5346</v>
      </c>
    </row>
    <row r="8055" customFormat="false" ht="15.75" hidden="false" customHeight="false" outlineLevel="0" collapsed="false">
      <c r="A8055" s="6" t="n">
        <v>46166</v>
      </c>
      <c r="B8055" s="4" t="s">
        <v>4473</v>
      </c>
      <c r="C8055" s="4" t="n">
        <v>2</v>
      </c>
      <c r="D8055" s="4" t="n">
        <v>15</v>
      </c>
      <c r="E8055" s="4" t="s">
        <v>624</v>
      </c>
      <c r="F8055" s="4" t="n">
        <v>6</v>
      </c>
      <c r="G8055" s="4" t="n">
        <v>9</v>
      </c>
      <c r="H8055" s="4" t="n">
        <v>4</v>
      </c>
      <c r="I8055" s="4" t="str">
        <v>×</v>
      </c>
      <c r="J8055" s="4"/>
      <c r="K8055" s="4"/>
      <c r="L8055" s="4"/>
      <c r="M8055" s="5" t="s">
        <v>5346</v>
      </c>
    </row>
    <row r="8056" customFormat="false" ht="15.75" hidden="false" customHeight="false" outlineLevel="0" collapsed="false">
      <c r="A8056" s="6" t="n">
        <v>46166</v>
      </c>
      <c r="B8056" s="4" t="s">
        <v>4473</v>
      </c>
      <c r="C8056" s="4" t="n">
        <v>2</v>
      </c>
      <c r="D8056" s="4" t="n">
        <v>16</v>
      </c>
      <c r="E8056" s="4" t="s">
        <v>1470</v>
      </c>
      <c r="F8056" s="4" t="n">
        <v>13</v>
      </c>
      <c r="G8056" s="4" t="n">
        <v>6</v>
      </c>
      <c r="H8056" s="4" t="n">
        <v>3</v>
      </c>
      <c r="I8056" s="4" t="str">
        <v>○</v>
      </c>
      <c r="J8056" s="4" t="n">
        <v>480</v>
      </c>
      <c r="K8056" s="4"/>
      <c r="L8056" s="4"/>
      <c r="M8056" s="5" t="s">
        <v>5346</v>
      </c>
    </row>
    <row r="8057" customFormat="false" ht="15.75" hidden="false" customHeight="false" outlineLevel="0" collapsed="false">
      <c r="A8057" s="6" t="n">
        <v>46166</v>
      </c>
      <c r="B8057" s="4" t="s">
        <v>4473</v>
      </c>
      <c r="C8057" s="4" t="n">
        <v>3</v>
      </c>
      <c r="D8057" s="4" t="n">
        <v>1</v>
      </c>
      <c r="E8057" s="4" t="s">
        <v>5330</v>
      </c>
      <c r="F8057" s="4" t="n">
        <v>31</v>
      </c>
      <c r="G8057" s="4" t="n">
        <v>4</v>
      </c>
      <c r="H8057" s="4" t="n">
        <v>4</v>
      </c>
      <c r="I8057" s="4" t="str">
        <v>×</v>
      </c>
      <c r="J8057" s="4"/>
      <c r="K8057" s="4"/>
      <c r="L8057" s="4"/>
      <c r="M8057" s="5" t="s">
        <v>5346</v>
      </c>
    </row>
    <row r="8058" customFormat="false" ht="15.75" hidden="false" customHeight="false" outlineLevel="0" collapsed="false">
      <c r="A8058" s="6" t="n">
        <v>46166</v>
      </c>
      <c r="B8058" s="4" t="s">
        <v>4473</v>
      </c>
      <c r="C8058" s="4" t="n">
        <v>3</v>
      </c>
      <c r="D8058" s="4" t="n">
        <v>2</v>
      </c>
      <c r="E8058" s="4" t="s">
        <v>2342</v>
      </c>
      <c r="F8058" s="4" t="n">
        <v>71</v>
      </c>
      <c r="G8058" s="4" t="n">
        <v>1</v>
      </c>
      <c r="H8058" s="4" t="n">
        <v>2</v>
      </c>
      <c r="I8058" s="4" t="str">
        <v>○</v>
      </c>
      <c r="J8058" s="4" t="n">
        <v>140</v>
      </c>
      <c r="K8058" s="4"/>
      <c r="L8058" s="4"/>
      <c r="M8058" s="5" t="s">
        <v>5346</v>
      </c>
    </row>
    <row r="8059" customFormat="false" ht="15.75" hidden="false" customHeight="false" outlineLevel="0" collapsed="false">
      <c r="A8059" s="6" t="n">
        <v>46166</v>
      </c>
      <c r="B8059" s="4" t="s">
        <v>4473</v>
      </c>
      <c r="C8059" s="4" t="n">
        <v>3</v>
      </c>
      <c r="D8059" s="4" t="n">
        <v>3</v>
      </c>
      <c r="E8059" s="4" t="s">
        <v>5583</v>
      </c>
      <c r="F8059" s="4" t="n">
        <v>1</v>
      </c>
      <c r="G8059" s="4" t="n">
        <v>11</v>
      </c>
      <c r="H8059" s="4" t="n">
        <v>4</v>
      </c>
      <c r="I8059" s="4" t="str">
        <v>×</v>
      </c>
      <c r="J8059" s="4"/>
      <c r="K8059" s="4"/>
      <c r="L8059" s="4"/>
      <c r="M8059" s="5" t="s">
        <v>5346</v>
      </c>
    </row>
    <row r="8060" customFormat="false" ht="15.75" hidden="false" customHeight="false" outlineLevel="0" collapsed="false">
      <c r="A8060" s="6" t="n">
        <v>46166</v>
      </c>
      <c r="B8060" s="4" t="s">
        <v>4473</v>
      </c>
      <c r="C8060" s="4" t="n">
        <v>3</v>
      </c>
      <c r="D8060" s="4" t="n">
        <v>4</v>
      </c>
      <c r="E8060" s="4" t="s">
        <v>5584</v>
      </c>
      <c r="F8060" s="4" t="n">
        <v>1</v>
      </c>
      <c r="G8060" s="4" t="n">
        <v>11</v>
      </c>
      <c r="H8060" s="4" t="n">
        <v>4</v>
      </c>
      <c r="I8060" s="4" t="str">
        <v>×</v>
      </c>
      <c r="J8060" s="4"/>
      <c r="K8060" s="4"/>
      <c r="L8060" s="4"/>
      <c r="M8060" s="5" t="s">
        <v>5346</v>
      </c>
    </row>
    <row r="8061" customFormat="false" ht="15.75" hidden="false" customHeight="false" outlineLevel="0" collapsed="false">
      <c r="A8061" s="6" t="n">
        <v>46166</v>
      </c>
      <c r="B8061" s="4" t="s">
        <v>4473</v>
      </c>
      <c r="C8061" s="4" t="n">
        <v>3</v>
      </c>
      <c r="D8061" s="4" t="n">
        <v>5</v>
      </c>
      <c r="E8061" s="4" t="s">
        <v>2335</v>
      </c>
      <c r="F8061" s="4" t="n">
        <v>58</v>
      </c>
      <c r="G8061" s="4" t="n">
        <v>3</v>
      </c>
      <c r="H8061" s="4" t="n">
        <v>4</v>
      </c>
      <c r="I8061" s="4" t="str">
        <v>×</v>
      </c>
      <c r="J8061" s="4"/>
      <c r="K8061" s="4"/>
      <c r="L8061" s="4"/>
      <c r="M8061" s="5" t="s">
        <v>5346</v>
      </c>
    </row>
    <row r="8062" customFormat="false" ht="15.75" hidden="false" customHeight="false" outlineLevel="0" collapsed="false">
      <c r="A8062" s="6" t="n">
        <v>46166</v>
      </c>
      <c r="B8062" s="4" t="s">
        <v>4473</v>
      </c>
      <c r="C8062" s="4" t="n">
        <v>3</v>
      </c>
      <c r="D8062" s="4" t="n">
        <v>6</v>
      </c>
      <c r="E8062" s="4" t="s">
        <v>5585</v>
      </c>
      <c r="F8062" s="4" t="n">
        <v>6</v>
      </c>
      <c r="G8062" s="4" t="n">
        <v>8</v>
      </c>
      <c r="H8062" s="4" t="n">
        <v>4</v>
      </c>
      <c r="I8062" s="4" t="str">
        <v>×</v>
      </c>
      <c r="J8062" s="4"/>
      <c r="K8062" s="4"/>
      <c r="L8062" s="4"/>
      <c r="M8062" s="5" t="s">
        <v>5346</v>
      </c>
    </row>
    <row r="8063" customFormat="false" ht="15.75" hidden="false" customHeight="false" outlineLevel="0" collapsed="false">
      <c r="A8063" s="6" t="n">
        <v>46166</v>
      </c>
      <c r="B8063" s="4" t="s">
        <v>4473</v>
      </c>
      <c r="C8063" s="4" t="n">
        <v>3</v>
      </c>
      <c r="D8063" s="4" t="n">
        <v>7</v>
      </c>
      <c r="E8063" s="4" t="s">
        <v>1792</v>
      </c>
      <c r="F8063" s="4" t="n">
        <v>6</v>
      </c>
      <c r="G8063" s="4" t="n">
        <v>8</v>
      </c>
      <c r="H8063" s="4" t="n">
        <v>4</v>
      </c>
      <c r="I8063" s="4" t="str">
        <v>×</v>
      </c>
      <c r="J8063" s="4"/>
      <c r="K8063" s="4"/>
      <c r="L8063" s="4"/>
      <c r="M8063" s="5" t="s">
        <v>5346</v>
      </c>
    </row>
    <row r="8064" customFormat="false" ht="15.75" hidden="false" customHeight="false" outlineLevel="0" collapsed="false">
      <c r="A8064" s="6" t="n">
        <v>46166</v>
      </c>
      <c r="B8064" s="4" t="s">
        <v>4473</v>
      </c>
      <c r="C8064" s="4" t="n">
        <v>3</v>
      </c>
      <c r="D8064" s="4" t="n">
        <v>8</v>
      </c>
      <c r="E8064" s="4" t="s">
        <v>1970</v>
      </c>
      <c r="F8064" s="4" t="n">
        <v>67</v>
      </c>
      <c r="G8064" s="4" t="n">
        <v>2</v>
      </c>
      <c r="H8064" s="4" t="n">
        <v>1</v>
      </c>
      <c r="I8064" s="4" t="str">
        <v>○</v>
      </c>
      <c r="J8064" s="4" t="n">
        <v>130</v>
      </c>
      <c r="K8064" s="4"/>
      <c r="L8064" s="4"/>
      <c r="M8064" s="5" t="s">
        <v>5346</v>
      </c>
    </row>
    <row r="8065" customFormat="false" ht="15.75" hidden="false" customHeight="false" outlineLevel="0" collapsed="false">
      <c r="A8065" s="6" t="n">
        <v>46166</v>
      </c>
      <c r="B8065" s="4" t="s">
        <v>4473</v>
      </c>
      <c r="C8065" s="4" t="n">
        <v>3</v>
      </c>
      <c r="D8065" s="4" t="n">
        <v>9</v>
      </c>
      <c r="E8065" s="4" t="s">
        <v>5586</v>
      </c>
      <c r="F8065" s="4" t="n">
        <v>6</v>
      </c>
      <c r="G8065" s="4" t="n">
        <v>8</v>
      </c>
      <c r="H8065" s="4" t="n">
        <v>4</v>
      </c>
      <c r="I8065" s="4" t="str">
        <v>×</v>
      </c>
      <c r="J8065" s="4"/>
      <c r="K8065" s="4"/>
      <c r="L8065" s="4"/>
      <c r="M8065" s="5" t="s">
        <v>5346</v>
      </c>
    </row>
    <row r="8066" customFormat="false" ht="15.75" hidden="false" customHeight="false" outlineLevel="0" collapsed="false">
      <c r="A8066" s="6" t="n">
        <v>46166</v>
      </c>
      <c r="B8066" s="4" t="s">
        <v>4473</v>
      </c>
      <c r="C8066" s="4" t="n">
        <v>3</v>
      </c>
      <c r="D8066" s="4" t="n">
        <v>10</v>
      </c>
      <c r="E8066" s="4" t="s">
        <v>2334</v>
      </c>
      <c r="F8066" s="4" t="n">
        <v>20</v>
      </c>
      <c r="G8066" s="4" t="n">
        <v>6</v>
      </c>
      <c r="H8066" s="4" t="n">
        <v>4</v>
      </c>
      <c r="I8066" s="4" t="str">
        <v>×</v>
      </c>
      <c r="J8066" s="4"/>
      <c r="K8066" s="4"/>
      <c r="L8066" s="4"/>
      <c r="M8066" s="5" t="s">
        <v>5346</v>
      </c>
    </row>
    <row r="8067" customFormat="false" ht="15.75" hidden="false" customHeight="false" outlineLevel="0" collapsed="false">
      <c r="A8067" s="6" t="n">
        <v>46166</v>
      </c>
      <c r="B8067" s="4" t="s">
        <v>4473</v>
      </c>
      <c r="C8067" s="4" t="n">
        <v>3</v>
      </c>
      <c r="D8067" s="4" t="n">
        <v>11</v>
      </c>
      <c r="E8067" s="4" t="s">
        <v>1257</v>
      </c>
      <c r="F8067" s="4" t="n">
        <v>3</v>
      </c>
      <c r="G8067" s="4" t="n">
        <v>10</v>
      </c>
      <c r="H8067" s="4" t="n">
        <v>4</v>
      </c>
      <c r="I8067" s="4" t="str">
        <v>×</v>
      </c>
      <c r="J8067" s="4"/>
      <c r="K8067" s="4"/>
      <c r="L8067" s="4"/>
      <c r="M8067" s="5" t="s">
        <v>5346</v>
      </c>
    </row>
    <row r="8068" customFormat="false" ht="15.75" hidden="false" customHeight="false" outlineLevel="0" collapsed="false">
      <c r="A8068" s="6" t="n">
        <v>46166</v>
      </c>
      <c r="B8068" s="4" t="s">
        <v>4473</v>
      </c>
      <c r="C8068" s="4" t="n">
        <v>3</v>
      </c>
      <c r="D8068" s="4" t="n">
        <v>12</v>
      </c>
      <c r="E8068" s="4" t="s">
        <v>5587</v>
      </c>
      <c r="F8068" s="4" t="n">
        <v>23</v>
      </c>
      <c r="G8068" s="4" t="n">
        <v>5</v>
      </c>
      <c r="H8068" s="4" t="n">
        <v>4</v>
      </c>
      <c r="I8068" s="4" t="str">
        <v>×</v>
      </c>
      <c r="J8068" s="4"/>
      <c r="K8068" s="4"/>
      <c r="L8068" s="4"/>
      <c r="M8068" s="5" t="s">
        <v>5346</v>
      </c>
    </row>
    <row r="8069" customFormat="false" ht="15.75" hidden="false" customHeight="false" outlineLevel="0" collapsed="false">
      <c r="A8069" s="6" t="n">
        <v>46166</v>
      </c>
      <c r="B8069" s="4" t="s">
        <v>4473</v>
      </c>
      <c r="C8069" s="4" t="n">
        <v>3</v>
      </c>
      <c r="D8069" s="4" t="n">
        <v>13</v>
      </c>
      <c r="E8069" s="4" t="s">
        <v>3313</v>
      </c>
      <c r="F8069" s="4" t="n">
        <v>4</v>
      </c>
      <c r="G8069" s="4" t="n">
        <v>9</v>
      </c>
      <c r="H8069" s="4" t="n">
        <v>4</v>
      </c>
      <c r="I8069" s="4" t="str">
        <v>×</v>
      </c>
      <c r="J8069" s="4"/>
      <c r="K8069" s="4"/>
      <c r="L8069" s="4"/>
      <c r="M8069" s="5" t="s">
        <v>5346</v>
      </c>
    </row>
    <row r="8070" customFormat="false" ht="15.75" hidden="false" customHeight="false" outlineLevel="0" collapsed="false">
      <c r="A8070" s="6" t="n">
        <v>46166</v>
      </c>
      <c r="B8070" s="4" t="s">
        <v>4473</v>
      </c>
      <c r="C8070" s="4" t="n">
        <v>3</v>
      </c>
      <c r="D8070" s="4" t="n">
        <v>14</v>
      </c>
      <c r="E8070" s="4" t="s">
        <v>5588</v>
      </c>
      <c r="F8070" s="4" t="n">
        <v>3</v>
      </c>
      <c r="G8070" s="4" t="n">
        <v>10</v>
      </c>
      <c r="H8070" s="4" t="n">
        <v>4</v>
      </c>
      <c r="I8070" s="4" t="str">
        <v>×</v>
      </c>
      <c r="J8070" s="4"/>
      <c r="K8070" s="4"/>
      <c r="L8070" s="4"/>
      <c r="M8070" s="5" t="s">
        <v>5346</v>
      </c>
    </row>
    <row r="8071" customFormat="false" ht="15.75" hidden="false" customHeight="false" outlineLevel="0" collapsed="false">
      <c r="A8071" s="6" t="n">
        <v>46166</v>
      </c>
      <c r="B8071" s="4" t="s">
        <v>4473</v>
      </c>
      <c r="C8071" s="4" t="n">
        <v>3</v>
      </c>
      <c r="D8071" s="4" t="n">
        <v>15</v>
      </c>
      <c r="E8071" s="4" t="s">
        <v>3334</v>
      </c>
      <c r="F8071" s="4" t="n">
        <v>3</v>
      </c>
      <c r="G8071" s="4" t="n">
        <v>10</v>
      </c>
      <c r="H8071" s="4" t="n">
        <v>3</v>
      </c>
      <c r="I8071" s="4" t="str">
        <v>○</v>
      </c>
      <c r="J8071" s="4" t="n">
        <v>11690</v>
      </c>
      <c r="K8071" s="4"/>
      <c r="L8071" s="4"/>
      <c r="M8071" s="5" t="s">
        <v>5346</v>
      </c>
    </row>
    <row r="8072" customFormat="false" ht="15.75" hidden="false" customHeight="false" outlineLevel="0" collapsed="false">
      <c r="A8072" s="6" t="n">
        <v>46166</v>
      </c>
      <c r="B8072" s="4" t="s">
        <v>4473</v>
      </c>
      <c r="C8072" s="4" t="n">
        <v>3</v>
      </c>
      <c r="D8072" s="4" t="n">
        <v>16</v>
      </c>
      <c r="E8072" s="4" t="s">
        <v>5589</v>
      </c>
      <c r="F8072" s="4" t="n">
        <v>8</v>
      </c>
      <c r="G8072" s="4" t="n">
        <v>7</v>
      </c>
      <c r="H8072" s="4" t="n">
        <v>4</v>
      </c>
      <c r="I8072" s="4" t="str">
        <v>×</v>
      </c>
      <c r="J8072" s="4"/>
      <c r="K8072" s="4"/>
      <c r="L8072" s="4"/>
      <c r="M8072" s="5" t="s">
        <v>5346</v>
      </c>
    </row>
    <row r="8073" customFormat="false" ht="15.75" hidden="false" customHeight="false" outlineLevel="0" collapsed="false">
      <c r="A8073" s="6" t="n">
        <v>46166</v>
      </c>
      <c r="B8073" s="4" t="s">
        <v>4473</v>
      </c>
      <c r="C8073" s="4" t="n">
        <v>4</v>
      </c>
      <c r="D8073" s="4" t="n">
        <v>1</v>
      </c>
      <c r="E8073" s="4" t="s">
        <v>1939</v>
      </c>
      <c r="F8073" s="4" t="n">
        <v>8</v>
      </c>
      <c r="G8073" s="4" t="n">
        <v>8</v>
      </c>
      <c r="H8073" s="4" t="n">
        <v>4</v>
      </c>
      <c r="I8073" s="4" t="str">
        <v>×</v>
      </c>
      <c r="J8073" s="4"/>
      <c r="K8073" s="4"/>
      <c r="L8073" s="4"/>
      <c r="M8073" s="5" t="s">
        <v>5346</v>
      </c>
    </row>
    <row r="8074" customFormat="false" ht="15.75" hidden="false" customHeight="false" outlineLevel="0" collapsed="false">
      <c r="A8074" s="6" t="n">
        <v>46166</v>
      </c>
      <c r="B8074" s="4" t="s">
        <v>4473</v>
      </c>
      <c r="C8074" s="4" t="n">
        <v>4</v>
      </c>
      <c r="D8074" s="4" t="n">
        <v>2</v>
      </c>
      <c r="E8074" s="4" t="s">
        <v>5590</v>
      </c>
      <c r="F8074" s="4" t="n">
        <v>4</v>
      </c>
      <c r="G8074" s="4" t="n">
        <v>9</v>
      </c>
      <c r="H8074" s="4" t="n">
        <v>4</v>
      </c>
      <c r="I8074" s="4" t="str">
        <v>×</v>
      </c>
      <c r="J8074" s="4"/>
      <c r="K8074" s="4"/>
      <c r="L8074" s="4"/>
      <c r="M8074" s="5" t="s">
        <v>5346</v>
      </c>
    </row>
    <row r="8075" customFormat="false" ht="15.75" hidden="false" customHeight="false" outlineLevel="0" collapsed="false">
      <c r="A8075" s="6" t="n">
        <v>46166</v>
      </c>
      <c r="B8075" s="4" t="s">
        <v>4473</v>
      </c>
      <c r="C8075" s="4" t="n">
        <v>4</v>
      </c>
      <c r="D8075" s="4" t="n">
        <v>3</v>
      </c>
      <c r="E8075" s="4" t="s">
        <v>5591</v>
      </c>
      <c r="F8075" s="4" t="n">
        <v>4</v>
      </c>
      <c r="G8075" s="4" t="n">
        <v>9</v>
      </c>
      <c r="H8075" s="4" t="n">
        <v>4</v>
      </c>
      <c r="I8075" s="4" t="str">
        <v>×</v>
      </c>
      <c r="J8075" s="4"/>
      <c r="K8075" s="4"/>
      <c r="L8075" s="4"/>
      <c r="M8075" s="5" t="s">
        <v>5346</v>
      </c>
    </row>
    <row r="8076" customFormat="false" ht="15.75" hidden="false" customHeight="false" outlineLevel="0" collapsed="false">
      <c r="A8076" s="6" t="n">
        <v>46166</v>
      </c>
      <c r="B8076" s="4" t="s">
        <v>4473</v>
      </c>
      <c r="C8076" s="4" t="n">
        <v>4</v>
      </c>
      <c r="D8076" s="4" t="n">
        <v>4</v>
      </c>
      <c r="E8076" s="4" t="s">
        <v>1399</v>
      </c>
      <c r="F8076" s="4" t="n">
        <v>25</v>
      </c>
      <c r="G8076" s="4" t="n">
        <v>5</v>
      </c>
      <c r="H8076" s="4" t="n">
        <v>4</v>
      </c>
      <c r="I8076" s="4" t="str">
        <v>×</v>
      </c>
      <c r="J8076" s="4"/>
      <c r="K8076" s="4"/>
      <c r="L8076" s="4"/>
      <c r="M8076" s="5" t="s">
        <v>5346</v>
      </c>
    </row>
    <row r="8077" customFormat="false" ht="15.75" hidden="false" customHeight="false" outlineLevel="0" collapsed="false">
      <c r="A8077" s="6" t="n">
        <v>46166</v>
      </c>
      <c r="B8077" s="4" t="s">
        <v>4473</v>
      </c>
      <c r="C8077" s="4" t="n">
        <v>4</v>
      </c>
      <c r="D8077" s="4" t="n">
        <v>5</v>
      </c>
      <c r="E8077" s="4" t="s">
        <v>1411</v>
      </c>
      <c r="F8077" s="4" t="n">
        <v>29</v>
      </c>
      <c r="G8077" s="4" t="n">
        <v>4</v>
      </c>
      <c r="H8077" s="4" t="n">
        <v>4</v>
      </c>
      <c r="I8077" s="4" t="str">
        <v>×</v>
      </c>
      <c r="J8077" s="4"/>
      <c r="K8077" s="4"/>
      <c r="L8077" s="4"/>
      <c r="M8077" s="5" t="s">
        <v>5346</v>
      </c>
    </row>
    <row r="8078" customFormat="false" ht="15.75" hidden="false" customHeight="false" outlineLevel="0" collapsed="false">
      <c r="A8078" s="6" t="n">
        <v>46166</v>
      </c>
      <c r="B8078" s="4" t="s">
        <v>4473</v>
      </c>
      <c r="C8078" s="4" t="n">
        <v>4</v>
      </c>
      <c r="D8078" s="4" t="n">
        <v>6</v>
      </c>
      <c r="E8078" s="4" t="s">
        <v>5592</v>
      </c>
      <c r="F8078" s="4" t="n">
        <v>1</v>
      </c>
      <c r="G8078" s="4" t="n">
        <v>12</v>
      </c>
      <c r="H8078" s="4" t="n">
        <v>4</v>
      </c>
      <c r="I8078" s="4" t="str">
        <v>×</v>
      </c>
      <c r="J8078" s="4"/>
      <c r="K8078" s="4"/>
      <c r="L8078" s="4"/>
      <c r="M8078" s="5" t="s">
        <v>5346</v>
      </c>
    </row>
    <row r="8079" customFormat="false" ht="15.75" hidden="false" customHeight="false" outlineLevel="0" collapsed="false">
      <c r="A8079" s="6" t="n">
        <v>46166</v>
      </c>
      <c r="B8079" s="4" t="s">
        <v>4473</v>
      </c>
      <c r="C8079" s="4" t="n">
        <v>4</v>
      </c>
      <c r="D8079" s="4" t="n">
        <v>7</v>
      </c>
      <c r="E8079" s="4" t="s">
        <v>2341</v>
      </c>
      <c r="F8079" s="4" t="n">
        <v>4</v>
      </c>
      <c r="G8079" s="4" t="n">
        <v>9</v>
      </c>
      <c r="H8079" s="4" t="n">
        <v>4</v>
      </c>
      <c r="I8079" s="4" t="str">
        <v>×</v>
      </c>
      <c r="J8079" s="4"/>
      <c r="K8079" s="4"/>
      <c r="L8079" s="4"/>
      <c r="M8079" s="5" t="s">
        <v>5346</v>
      </c>
    </row>
    <row r="8080" customFormat="false" ht="15.75" hidden="false" customHeight="false" outlineLevel="0" collapsed="false">
      <c r="A8080" s="6" t="n">
        <v>46166</v>
      </c>
      <c r="B8080" s="4" t="s">
        <v>4473</v>
      </c>
      <c r="C8080" s="4" t="n">
        <v>4</v>
      </c>
      <c r="D8080" s="4" t="n">
        <v>8</v>
      </c>
      <c r="E8080" s="4" t="s">
        <v>2233</v>
      </c>
      <c r="F8080" s="4" t="n">
        <v>47</v>
      </c>
      <c r="G8080" s="4" t="n">
        <v>2</v>
      </c>
      <c r="H8080" s="4" t="n">
        <v>3</v>
      </c>
      <c r="I8080" s="4" t="str">
        <v>○</v>
      </c>
      <c r="J8080" s="4" t="n">
        <v>180</v>
      </c>
      <c r="K8080" s="4"/>
      <c r="L8080" s="4"/>
      <c r="M8080" s="5" t="s">
        <v>5346</v>
      </c>
    </row>
    <row r="8081" customFormat="false" ht="15.75" hidden="false" customHeight="false" outlineLevel="0" collapsed="false">
      <c r="A8081" s="6" t="n">
        <v>46166</v>
      </c>
      <c r="B8081" s="4" t="s">
        <v>4473</v>
      </c>
      <c r="C8081" s="4" t="n">
        <v>4</v>
      </c>
      <c r="D8081" s="4" t="n">
        <v>9</v>
      </c>
      <c r="E8081" s="4" t="s">
        <v>3264</v>
      </c>
      <c r="F8081" s="4" t="n">
        <v>3</v>
      </c>
      <c r="G8081" s="4" t="n">
        <v>10</v>
      </c>
      <c r="H8081" s="4" t="n">
        <v>4</v>
      </c>
      <c r="I8081" s="4" t="str">
        <v>×</v>
      </c>
      <c r="J8081" s="4"/>
      <c r="K8081" s="4"/>
      <c r="L8081" s="4"/>
      <c r="M8081" s="5" t="s">
        <v>5346</v>
      </c>
    </row>
    <row r="8082" customFormat="false" ht="15.75" hidden="false" customHeight="false" outlineLevel="0" collapsed="false">
      <c r="A8082" s="6" t="n">
        <v>46166</v>
      </c>
      <c r="B8082" s="4" t="s">
        <v>4473</v>
      </c>
      <c r="C8082" s="4" t="n">
        <v>4</v>
      </c>
      <c r="D8082" s="4" t="n">
        <v>10</v>
      </c>
      <c r="E8082" s="4" t="s">
        <v>5593</v>
      </c>
      <c r="F8082" s="4" t="n">
        <v>2</v>
      </c>
      <c r="G8082" s="4" t="n">
        <v>11</v>
      </c>
      <c r="H8082" s="4" t="n">
        <v>4</v>
      </c>
      <c r="I8082" s="4" t="str">
        <v>×</v>
      </c>
      <c r="J8082" s="4"/>
      <c r="K8082" s="4"/>
      <c r="L8082" s="4"/>
      <c r="M8082" s="5" t="s">
        <v>5346</v>
      </c>
    </row>
    <row r="8083" customFormat="false" ht="15.75" hidden="false" customHeight="false" outlineLevel="0" collapsed="false">
      <c r="A8083" s="6" t="n">
        <v>46166</v>
      </c>
      <c r="B8083" s="4" t="s">
        <v>4473</v>
      </c>
      <c r="C8083" s="4" t="n">
        <v>4</v>
      </c>
      <c r="D8083" s="4" t="n">
        <v>11</v>
      </c>
      <c r="E8083" s="4" t="s">
        <v>4731</v>
      </c>
      <c r="F8083" s="4" t="n">
        <v>20</v>
      </c>
      <c r="G8083" s="4" t="n">
        <v>6</v>
      </c>
      <c r="H8083" s="4" t="n">
        <v>1</v>
      </c>
      <c r="I8083" s="4" t="str">
        <v>○</v>
      </c>
      <c r="J8083" s="4" t="n">
        <v>280</v>
      </c>
      <c r="K8083" s="4"/>
      <c r="L8083" s="4"/>
      <c r="M8083" s="5" t="s">
        <v>5346</v>
      </c>
    </row>
    <row r="8084" customFormat="false" ht="15.75" hidden="false" customHeight="false" outlineLevel="0" collapsed="false">
      <c r="A8084" s="6" t="n">
        <v>46166</v>
      </c>
      <c r="B8084" s="4" t="s">
        <v>4473</v>
      </c>
      <c r="C8084" s="4" t="n">
        <v>4</v>
      </c>
      <c r="D8084" s="4" t="n">
        <v>12</v>
      </c>
      <c r="E8084" s="4" t="s">
        <v>1401</v>
      </c>
      <c r="F8084" s="4" t="n">
        <v>4</v>
      </c>
      <c r="G8084" s="4" t="n">
        <v>9</v>
      </c>
      <c r="H8084" s="4" t="n">
        <v>4</v>
      </c>
      <c r="I8084" s="4" t="str">
        <v>×</v>
      </c>
      <c r="J8084" s="4"/>
      <c r="K8084" s="4"/>
      <c r="L8084" s="4"/>
      <c r="M8084" s="5" t="s">
        <v>5346</v>
      </c>
    </row>
    <row r="8085" customFormat="false" ht="15.75" hidden="false" customHeight="false" outlineLevel="0" collapsed="false">
      <c r="A8085" s="6" t="n">
        <v>46166</v>
      </c>
      <c r="B8085" s="4" t="s">
        <v>4473</v>
      </c>
      <c r="C8085" s="4" t="n">
        <v>4</v>
      </c>
      <c r="D8085" s="4" t="n">
        <v>13</v>
      </c>
      <c r="E8085" s="4" t="s">
        <v>5594</v>
      </c>
      <c r="F8085" s="4" t="n">
        <v>4</v>
      </c>
      <c r="G8085" s="4" t="n">
        <v>9</v>
      </c>
      <c r="H8085" s="4" t="n">
        <v>4</v>
      </c>
      <c r="I8085" s="4" t="str">
        <v>×</v>
      </c>
      <c r="J8085" s="4"/>
      <c r="K8085" s="4"/>
      <c r="L8085" s="4"/>
      <c r="M8085" s="5" t="s">
        <v>5346</v>
      </c>
    </row>
    <row r="8086" customFormat="false" ht="15.75" hidden="false" customHeight="false" outlineLevel="0" collapsed="false">
      <c r="A8086" s="6" t="n">
        <v>46166</v>
      </c>
      <c r="B8086" s="4" t="s">
        <v>4473</v>
      </c>
      <c r="C8086" s="4" t="n">
        <v>4</v>
      </c>
      <c r="D8086" s="4" t="n">
        <v>14</v>
      </c>
      <c r="E8086" s="4" t="s">
        <v>1407</v>
      </c>
      <c r="F8086" s="4" t="n">
        <v>44</v>
      </c>
      <c r="G8086" s="4" t="n">
        <v>3</v>
      </c>
      <c r="H8086" s="4" t="n">
        <v>4</v>
      </c>
      <c r="I8086" s="4" t="str">
        <v>×</v>
      </c>
      <c r="J8086" s="4"/>
      <c r="K8086" s="4"/>
      <c r="L8086" s="4"/>
      <c r="M8086" s="5" t="s">
        <v>5346</v>
      </c>
    </row>
    <row r="8087" customFormat="false" ht="15.75" hidden="false" customHeight="false" outlineLevel="0" collapsed="false">
      <c r="A8087" s="6" t="n">
        <v>46166</v>
      </c>
      <c r="B8087" s="4" t="s">
        <v>4473</v>
      </c>
      <c r="C8087" s="4" t="n">
        <v>4</v>
      </c>
      <c r="D8087" s="4" t="n">
        <v>15</v>
      </c>
      <c r="E8087" s="4" t="s">
        <v>151</v>
      </c>
      <c r="F8087" s="4" t="n">
        <v>4</v>
      </c>
      <c r="G8087" s="4" t="n">
        <v>9</v>
      </c>
      <c r="H8087" s="4" t="n">
        <v>4</v>
      </c>
      <c r="I8087" s="4" t="str">
        <v>×</v>
      </c>
      <c r="J8087" s="4"/>
      <c r="K8087" s="4"/>
      <c r="L8087" s="4"/>
      <c r="M8087" s="5" t="s">
        <v>5346</v>
      </c>
    </row>
    <row r="8088" customFormat="false" ht="15.75" hidden="false" customHeight="false" outlineLevel="0" collapsed="false">
      <c r="A8088" s="6" t="n">
        <v>46166</v>
      </c>
      <c r="B8088" s="4" t="s">
        <v>4473</v>
      </c>
      <c r="C8088" s="4" t="n">
        <v>4</v>
      </c>
      <c r="D8088" s="4" t="n">
        <v>16</v>
      </c>
      <c r="E8088" s="4" t="s">
        <v>5595</v>
      </c>
      <c r="F8088" s="4" t="n">
        <v>52</v>
      </c>
      <c r="G8088" s="4" t="n">
        <v>1</v>
      </c>
      <c r="H8088" s="4" t="n">
        <v>2</v>
      </c>
      <c r="I8088" s="4" t="str">
        <v>○</v>
      </c>
      <c r="J8088" s="4" t="n">
        <v>200</v>
      </c>
      <c r="K8088" s="4"/>
      <c r="L8088" s="4"/>
      <c r="M8088" s="5" t="s">
        <v>5346</v>
      </c>
    </row>
    <row r="8089" customFormat="false" ht="15.75" hidden="false" customHeight="false" outlineLevel="0" collapsed="false">
      <c r="A8089" s="6" t="n">
        <v>46166</v>
      </c>
      <c r="B8089" s="4" t="s">
        <v>4473</v>
      </c>
      <c r="C8089" s="4" t="n">
        <v>4</v>
      </c>
      <c r="D8089" s="4" t="n">
        <v>17</v>
      </c>
      <c r="E8089" s="4" t="s">
        <v>4107</v>
      </c>
      <c r="F8089" s="4" t="n">
        <v>17</v>
      </c>
      <c r="G8089" s="4" t="n">
        <v>7</v>
      </c>
      <c r="H8089" s="4" t="n">
        <v>4</v>
      </c>
      <c r="I8089" s="4" t="str">
        <v>×</v>
      </c>
      <c r="J8089" s="4"/>
      <c r="K8089" s="4"/>
      <c r="L8089" s="4"/>
      <c r="M8089" s="5" t="s">
        <v>5346</v>
      </c>
    </row>
    <row r="8090" customFormat="false" ht="15.75" hidden="false" customHeight="false" outlineLevel="0" collapsed="false">
      <c r="A8090" s="6" t="n">
        <v>46166</v>
      </c>
      <c r="B8090" s="4" t="s">
        <v>4473</v>
      </c>
      <c r="C8090" s="4" t="n">
        <v>4</v>
      </c>
      <c r="D8090" s="4" t="n">
        <v>18</v>
      </c>
      <c r="E8090" s="4" t="s">
        <v>515</v>
      </c>
      <c r="F8090" s="4" t="n">
        <v>2</v>
      </c>
      <c r="G8090" s="4" t="n">
        <v>11</v>
      </c>
      <c r="H8090" s="4" t="n">
        <v>4</v>
      </c>
      <c r="I8090" s="4" t="str">
        <v>×</v>
      </c>
      <c r="J8090" s="4"/>
      <c r="K8090" s="4"/>
      <c r="L8090" s="4"/>
      <c r="M8090" s="5" t="s">
        <v>5346</v>
      </c>
    </row>
    <row r="8091" customFormat="false" ht="15.75" hidden="false" customHeight="false" outlineLevel="0" collapsed="false">
      <c r="A8091" s="6" t="n">
        <v>46166</v>
      </c>
      <c r="B8091" s="4" t="s">
        <v>4473</v>
      </c>
      <c r="C8091" s="4" t="n">
        <v>5</v>
      </c>
      <c r="D8091" s="4" t="n">
        <v>1</v>
      </c>
      <c r="E8091" s="4" t="s">
        <v>5596</v>
      </c>
      <c r="F8091" s="4" t="n">
        <v>15</v>
      </c>
      <c r="G8091" s="4" t="n">
        <v>8</v>
      </c>
      <c r="H8091" s="4" t="n">
        <v>4</v>
      </c>
      <c r="I8091" s="4" t="str">
        <v>×</v>
      </c>
      <c r="J8091" s="4"/>
      <c r="K8091" s="4"/>
      <c r="L8091" s="4"/>
      <c r="M8091" s="5" t="s">
        <v>5346</v>
      </c>
    </row>
    <row r="8092" customFormat="false" ht="15.75" hidden="false" customHeight="false" outlineLevel="0" collapsed="false">
      <c r="A8092" s="6" t="n">
        <v>46166</v>
      </c>
      <c r="B8092" s="4" t="s">
        <v>4473</v>
      </c>
      <c r="C8092" s="4" t="n">
        <v>5</v>
      </c>
      <c r="D8092" s="4" t="n">
        <v>2</v>
      </c>
      <c r="E8092" s="4" t="s">
        <v>4487</v>
      </c>
      <c r="F8092" s="4" t="n">
        <v>8</v>
      </c>
      <c r="G8092" s="4" t="n">
        <v>10</v>
      </c>
      <c r="H8092" s="4" t="n">
        <v>4</v>
      </c>
      <c r="I8092" s="4" t="str">
        <v>×</v>
      </c>
      <c r="J8092" s="4"/>
      <c r="K8092" s="4"/>
      <c r="L8092" s="4"/>
      <c r="M8092" s="5" t="s">
        <v>5346</v>
      </c>
    </row>
    <row r="8093" customFormat="false" ht="15.75" hidden="false" customHeight="false" outlineLevel="0" collapsed="false">
      <c r="A8093" s="6" t="n">
        <v>46166</v>
      </c>
      <c r="B8093" s="4" t="s">
        <v>4473</v>
      </c>
      <c r="C8093" s="4" t="n">
        <v>5</v>
      </c>
      <c r="D8093" s="4" t="n">
        <v>3</v>
      </c>
      <c r="E8093" s="4" t="s">
        <v>1416</v>
      </c>
      <c r="F8093" s="4" t="n">
        <v>4</v>
      </c>
      <c r="G8093" s="4" t="n">
        <v>11</v>
      </c>
      <c r="H8093" s="4" t="n">
        <v>4</v>
      </c>
      <c r="I8093" s="4" t="str">
        <v>×</v>
      </c>
      <c r="J8093" s="4"/>
      <c r="K8093" s="4"/>
      <c r="L8093" s="4"/>
      <c r="M8093" s="5" t="s">
        <v>5346</v>
      </c>
    </row>
    <row r="8094" customFormat="false" ht="15.75" hidden="false" customHeight="false" outlineLevel="0" collapsed="false">
      <c r="A8094" s="6" t="n">
        <v>46166</v>
      </c>
      <c r="B8094" s="4" t="s">
        <v>4473</v>
      </c>
      <c r="C8094" s="4" t="n">
        <v>5</v>
      </c>
      <c r="D8094" s="4" t="n">
        <v>4</v>
      </c>
      <c r="E8094" s="4" t="s">
        <v>1415</v>
      </c>
      <c r="F8094" s="4" t="n">
        <v>34</v>
      </c>
      <c r="G8094" s="4" t="n">
        <v>3</v>
      </c>
      <c r="H8094" s="4" t="n">
        <v>4</v>
      </c>
      <c r="I8094" s="4" t="str">
        <v>×</v>
      </c>
      <c r="J8094" s="4"/>
      <c r="K8094" s="4"/>
      <c r="L8094" s="4"/>
      <c r="M8094" s="5" t="s">
        <v>5346</v>
      </c>
    </row>
    <row r="8095" customFormat="false" ht="15.75" hidden="false" customHeight="false" outlineLevel="0" collapsed="false">
      <c r="A8095" s="6" t="n">
        <v>46166</v>
      </c>
      <c r="B8095" s="4" t="s">
        <v>4473</v>
      </c>
      <c r="C8095" s="4" t="n">
        <v>5</v>
      </c>
      <c r="D8095" s="4" t="n">
        <v>5</v>
      </c>
      <c r="E8095" s="4" t="s">
        <v>3795</v>
      </c>
      <c r="F8095" s="4" t="n">
        <v>17</v>
      </c>
      <c r="G8095" s="4" t="n">
        <v>7</v>
      </c>
      <c r="H8095" s="4" t="n">
        <v>4</v>
      </c>
      <c r="I8095" s="4" t="str">
        <v>×</v>
      </c>
      <c r="J8095" s="4"/>
      <c r="K8095" s="4"/>
      <c r="L8095" s="4"/>
      <c r="M8095" s="5" t="s">
        <v>5346</v>
      </c>
    </row>
    <row r="8096" customFormat="false" ht="15.75" hidden="false" customHeight="false" outlineLevel="0" collapsed="false">
      <c r="A8096" s="6" t="n">
        <v>46166</v>
      </c>
      <c r="B8096" s="4" t="s">
        <v>4473</v>
      </c>
      <c r="C8096" s="4" t="n">
        <v>5</v>
      </c>
      <c r="D8096" s="4" t="n">
        <v>6</v>
      </c>
      <c r="E8096" s="4" t="s">
        <v>4878</v>
      </c>
      <c r="F8096" s="4" t="n">
        <v>20</v>
      </c>
      <c r="G8096" s="4" t="n">
        <v>6</v>
      </c>
      <c r="H8096" s="4" t="n">
        <v>4</v>
      </c>
      <c r="I8096" s="4" t="str">
        <v>×</v>
      </c>
      <c r="J8096" s="4"/>
      <c r="K8096" s="4"/>
      <c r="L8096" s="4"/>
      <c r="M8096" s="5" t="s">
        <v>5346</v>
      </c>
    </row>
    <row r="8097" customFormat="false" ht="15.75" hidden="false" customHeight="false" outlineLevel="0" collapsed="false">
      <c r="A8097" s="6" t="n">
        <v>46166</v>
      </c>
      <c r="B8097" s="4" t="s">
        <v>4473</v>
      </c>
      <c r="C8097" s="4" t="n">
        <v>5</v>
      </c>
      <c r="D8097" s="4" t="n">
        <v>7</v>
      </c>
      <c r="E8097" s="4" t="s">
        <v>5597</v>
      </c>
      <c r="F8097" s="4" t="n">
        <v>58</v>
      </c>
      <c r="G8097" s="4" t="n">
        <v>1</v>
      </c>
      <c r="H8097" s="4" t="n">
        <v>1</v>
      </c>
      <c r="I8097" s="4" t="str">
        <v>○</v>
      </c>
      <c r="J8097" s="4" t="n">
        <v>110</v>
      </c>
      <c r="K8097" s="4"/>
      <c r="L8097" s="4"/>
      <c r="M8097" s="5" t="s">
        <v>5346</v>
      </c>
    </row>
    <row r="8098" customFormat="false" ht="15.75" hidden="false" customHeight="false" outlineLevel="0" collapsed="false">
      <c r="A8098" s="6" t="n">
        <v>46166</v>
      </c>
      <c r="B8098" s="4" t="s">
        <v>4473</v>
      </c>
      <c r="C8098" s="4" t="n">
        <v>5</v>
      </c>
      <c r="D8098" s="4" t="n">
        <v>8</v>
      </c>
      <c r="E8098" s="4" t="s">
        <v>5598</v>
      </c>
      <c r="F8098" s="4" t="n">
        <v>2</v>
      </c>
      <c r="G8098" s="4" t="n">
        <v>12</v>
      </c>
      <c r="H8098" s="4" t="n">
        <v>4</v>
      </c>
      <c r="I8098" s="4" t="str">
        <v>×</v>
      </c>
      <c r="J8098" s="4"/>
      <c r="K8098" s="4"/>
      <c r="L8098" s="4"/>
      <c r="M8098" s="5" t="s">
        <v>5346</v>
      </c>
    </row>
    <row r="8099" customFormat="false" ht="15.75" hidden="false" customHeight="false" outlineLevel="0" collapsed="false">
      <c r="A8099" s="6" t="n">
        <v>46166</v>
      </c>
      <c r="B8099" s="4" t="s">
        <v>4473</v>
      </c>
      <c r="C8099" s="4" t="n">
        <v>5</v>
      </c>
      <c r="D8099" s="4" t="n">
        <v>9</v>
      </c>
      <c r="E8099" s="4" t="s">
        <v>5599</v>
      </c>
      <c r="F8099" s="4" t="n">
        <v>10</v>
      </c>
      <c r="G8099" s="4" t="n">
        <v>9</v>
      </c>
      <c r="H8099" s="4" t="n">
        <v>4</v>
      </c>
      <c r="I8099" s="4" t="str">
        <v>×</v>
      </c>
      <c r="J8099" s="4"/>
      <c r="K8099" s="4"/>
      <c r="L8099" s="4"/>
      <c r="M8099" s="5" t="s">
        <v>5346</v>
      </c>
    </row>
    <row r="8100" customFormat="false" ht="15.75" hidden="false" customHeight="false" outlineLevel="0" collapsed="false">
      <c r="A8100" s="6" t="n">
        <v>46166</v>
      </c>
      <c r="B8100" s="4" t="s">
        <v>4473</v>
      </c>
      <c r="C8100" s="4" t="n">
        <v>5</v>
      </c>
      <c r="D8100" s="4" t="n">
        <v>10</v>
      </c>
      <c r="E8100" s="4" t="s">
        <v>4427</v>
      </c>
      <c r="F8100" s="4" t="n">
        <v>4</v>
      </c>
      <c r="G8100" s="4" t="n">
        <v>11</v>
      </c>
      <c r="H8100" s="4" t="n">
        <v>4</v>
      </c>
      <c r="I8100" s="4" t="str">
        <v>×</v>
      </c>
      <c r="J8100" s="4"/>
      <c r="K8100" s="4"/>
      <c r="L8100" s="4"/>
      <c r="M8100" s="5" t="s">
        <v>5346</v>
      </c>
    </row>
    <row r="8101" customFormat="false" ht="15.75" hidden="false" customHeight="false" outlineLevel="0" collapsed="false">
      <c r="A8101" s="6" t="n">
        <v>46166</v>
      </c>
      <c r="B8101" s="4" t="s">
        <v>4473</v>
      </c>
      <c r="C8101" s="4" t="n">
        <v>5</v>
      </c>
      <c r="D8101" s="4" t="n">
        <v>11</v>
      </c>
      <c r="E8101" s="4" t="s">
        <v>2313</v>
      </c>
      <c r="F8101" s="4" t="n">
        <v>23</v>
      </c>
      <c r="G8101" s="4" t="n">
        <v>5</v>
      </c>
      <c r="H8101" s="4" t="n">
        <v>4</v>
      </c>
      <c r="I8101" s="4" t="str">
        <v>×</v>
      </c>
      <c r="J8101" s="4"/>
      <c r="K8101" s="4"/>
      <c r="L8101" s="4"/>
      <c r="M8101" s="5" t="s">
        <v>5346</v>
      </c>
    </row>
    <row r="8102" customFormat="false" ht="15.75" hidden="false" customHeight="false" outlineLevel="0" collapsed="false">
      <c r="A8102" s="6" t="n">
        <v>46166</v>
      </c>
      <c r="B8102" s="4" t="s">
        <v>4473</v>
      </c>
      <c r="C8102" s="4" t="n">
        <v>5</v>
      </c>
      <c r="D8102" s="4" t="n">
        <v>12</v>
      </c>
      <c r="E8102" s="4" t="s">
        <v>1299</v>
      </c>
      <c r="F8102" s="4" t="n">
        <v>17</v>
      </c>
      <c r="G8102" s="4" t="n">
        <v>7</v>
      </c>
      <c r="H8102" s="4" t="n">
        <v>4</v>
      </c>
      <c r="I8102" s="4" t="str">
        <v>×</v>
      </c>
      <c r="J8102" s="4"/>
      <c r="K8102" s="4"/>
      <c r="L8102" s="4"/>
      <c r="M8102" s="5" t="s">
        <v>5346</v>
      </c>
    </row>
    <row r="8103" customFormat="false" ht="15.75" hidden="false" customHeight="false" outlineLevel="0" collapsed="false">
      <c r="A8103" s="6" t="n">
        <v>46166</v>
      </c>
      <c r="B8103" s="4" t="s">
        <v>4473</v>
      </c>
      <c r="C8103" s="4" t="n">
        <v>5</v>
      </c>
      <c r="D8103" s="4" t="n">
        <v>13</v>
      </c>
      <c r="E8103" s="4" t="s">
        <v>5600</v>
      </c>
      <c r="F8103" s="4" t="n">
        <v>52</v>
      </c>
      <c r="G8103" s="4" t="n">
        <v>2</v>
      </c>
      <c r="H8103" s="4" t="n">
        <v>2</v>
      </c>
      <c r="I8103" s="4" t="str">
        <v>○</v>
      </c>
      <c r="J8103" s="4" t="n">
        <v>120</v>
      </c>
      <c r="K8103" s="4"/>
      <c r="L8103" s="4"/>
      <c r="M8103" s="5" t="s">
        <v>5346</v>
      </c>
    </row>
    <row r="8104" customFormat="false" ht="15.75" hidden="false" customHeight="false" outlineLevel="0" collapsed="false">
      <c r="A8104" s="6" t="n">
        <v>46166</v>
      </c>
      <c r="B8104" s="4" t="s">
        <v>4473</v>
      </c>
      <c r="C8104" s="4" t="n">
        <v>5</v>
      </c>
      <c r="D8104" s="4" t="n">
        <v>14</v>
      </c>
      <c r="E8104" s="4" t="s">
        <v>5333</v>
      </c>
      <c r="F8104" s="4" t="n">
        <v>25</v>
      </c>
      <c r="G8104" s="4" t="n">
        <v>4</v>
      </c>
      <c r="H8104" s="4" t="n">
        <v>3</v>
      </c>
      <c r="I8104" s="4" t="str">
        <v>○</v>
      </c>
      <c r="J8104" s="4" t="n">
        <v>420</v>
      </c>
      <c r="K8104" s="4"/>
      <c r="L8104" s="4"/>
      <c r="M8104" s="5" t="s">
        <v>5346</v>
      </c>
    </row>
    <row r="8105" customFormat="false" ht="15.75" hidden="false" customHeight="false" outlineLevel="0" collapsed="false">
      <c r="A8105" s="6" t="n">
        <v>46166</v>
      </c>
      <c r="B8105" s="4" t="s">
        <v>4473</v>
      </c>
      <c r="C8105" s="4" t="n">
        <v>6</v>
      </c>
      <c r="D8105" s="4" t="n">
        <v>1</v>
      </c>
      <c r="E8105" s="4" t="s">
        <v>5601</v>
      </c>
      <c r="F8105" s="4" t="n">
        <v>17</v>
      </c>
      <c r="G8105" s="4" t="n">
        <v>5</v>
      </c>
      <c r="H8105" s="4" t="n">
        <v>4</v>
      </c>
      <c r="I8105" s="4" t="str">
        <v>×</v>
      </c>
      <c r="J8105" s="4"/>
      <c r="K8105" s="4"/>
      <c r="L8105" s="4"/>
      <c r="M8105" s="5" t="s">
        <v>5346</v>
      </c>
    </row>
    <row r="8106" customFormat="false" ht="15.75" hidden="false" customHeight="false" outlineLevel="0" collapsed="false">
      <c r="A8106" s="6" t="n">
        <v>46166</v>
      </c>
      <c r="B8106" s="4" t="s">
        <v>4473</v>
      </c>
      <c r="C8106" s="4" t="n">
        <v>6</v>
      </c>
      <c r="D8106" s="4" t="n">
        <v>2</v>
      </c>
      <c r="E8106" s="4" t="s">
        <v>4077</v>
      </c>
      <c r="F8106" s="4" t="n">
        <v>41</v>
      </c>
      <c r="G8106" s="4" t="n">
        <v>2</v>
      </c>
      <c r="H8106" s="4" t="n">
        <v>2</v>
      </c>
      <c r="I8106" s="4" t="str">
        <v>○</v>
      </c>
      <c r="J8106" s="4" t="n">
        <v>200</v>
      </c>
      <c r="K8106" s="4"/>
      <c r="L8106" s="4"/>
      <c r="M8106" s="5" t="s">
        <v>5346</v>
      </c>
    </row>
    <row r="8107" customFormat="false" ht="15.75" hidden="false" customHeight="false" outlineLevel="0" collapsed="false">
      <c r="A8107" s="6" t="n">
        <v>46166</v>
      </c>
      <c r="B8107" s="4" t="s">
        <v>4473</v>
      </c>
      <c r="C8107" s="4" t="n">
        <v>6</v>
      </c>
      <c r="D8107" s="4" t="n">
        <v>3</v>
      </c>
      <c r="E8107" s="4" t="s">
        <v>4979</v>
      </c>
      <c r="F8107" s="4" t="n">
        <v>29</v>
      </c>
      <c r="G8107" s="4" t="n">
        <v>3</v>
      </c>
      <c r="H8107" s="4" t="n">
        <v>3</v>
      </c>
      <c r="I8107" s="4" t="str">
        <v>○</v>
      </c>
      <c r="J8107" s="4" t="n">
        <v>220</v>
      </c>
      <c r="K8107" s="4"/>
      <c r="L8107" s="4"/>
      <c r="M8107" s="5" t="s">
        <v>5346</v>
      </c>
    </row>
    <row r="8108" customFormat="false" ht="15.75" hidden="false" customHeight="false" outlineLevel="0" collapsed="false">
      <c r="A8108" s="6" t="n">
        <v>46166</v>
      </c>
      <c r="B8108" s="4" t="s">
        <v>4473</v>
      </c>
      <c r="C8108" s="4" t="n">
        <v>6</v>
      </c>
      <c r="D8108" s="4" t="n">
        <v>4</v>
      </c>
      <c r="E8108" s="4" t="s">
        <v>5602</v>
      </c>
      <c r="F8108" s="4" t="n">
        <v>13</v>
      </c>
      <c r="G8108" s="4" t="n">
        <v>6</v>
      </c>
      <c r="H8108" s="4" t="n">
        <v>4</v>
      </c>
      <c r="I8108" s="4" t="str">
        <v>×</v>
      </c>
      <c r="J8108" s="4"/>
      <c r="K8108" s="4"/>
      <c r="L8108" s="4"/>
      <c r="M8108" s="5" t="s">
        <v>5346</v>
      </c>
    </row>
    <row r="8109" customFormat="false" ht="15.75" hidden="false" customHeight="false" outlineLevel="0" collapsed="false">
      <c r="A8109" s="6" t="n">
        <v>46166</v>
      </c>
      <c r="B8109" s="4" t="s">
        <v>4473</v>
      </c>
      <c r="C8109" s="4" t="n">
        <v>6</v>
      </c>
      <c r="D8109" s="4" t="n">
        <v>5</v>
      </c>
      <c r="E8109" s="4" t="s">
        <v>5603</v>
      </c>
      <c r="F8109" s="4" t="n">
        <v>10</v>
      </c>
      <c r="G8109" s="4" t="n">
        <v>7</v>
      </c>
      <c r="H8109" s="4" t="n">
        <v>4</v>
      </c>
      <c r="I8109" s="4" t="str">
        <v>×</v>
      </c>
      <c r="J8109" s="4"/>
      <c r="K8109" s="4"/>
      <c r="L8109" s="4"/>
      <c r="M8109" s="5" t="s">
        <v>5346</v>
      </c>
    </row>
    <row r="8110" customFormat="false" ht="15.75" hidden="false" customHeight="false" outlineLevel="0" collapsed="false">
      <c r="A8110" s="6" t="n">
        <v>46166</v>
      </c>
      <c r="B8110" s="4" t="s">
        <v>4473</v>
      </c>
      <c r="C8110" s="4" t="n">
        <v>6</v>
      </c>
      <c r="D8110" s="4" t="n">
        <v>6</v>
      </c>
      <c r="E8110" s="4" t="s">
        <v>258</v>
      </c>
      <c r="F8110" s="4" t="n">
        <v>81</v>
      </c>
      <c r="G8110" s="4" t="n">
        <v>1</v>
      </c>
      <c r="H8110" s="4" t="n">
        <v>1</v>
      </c>
      <c r="I8110" s="4" t="str">
        <v>○</v>
      </c>
      <c r="J8110" s="4" t="n">
        <v>110</v>
      </c>
      <c r="K8110" s="4"/>
      <c r="L8110" s="4"/>
      <c r="M8110" s="5" t="s">
        <v>5346</v>
      </c>
    </row>
    <row r="8111" customFormat="false" ht="15.75" hidden="false" customHeight="false" outlineLevel="0" collapsed="false">
      <c r="A8111" s="6" t="n">
        <v>46166</v>
      </c>
      <c r="B8111" s="4" t="s">
        <v>4473</v>
      </c>
      <c r="C8111" s="4" t="n">
        <v>6</v>
      </c>
      <c r="D8111" s="4" t="n">
        <v>7</v>
      </c>
      <c r="E8111" s="4" t="s">
        <v>4572</v>
      </c>
      <c r="F8111" s="4" t="n">
        <v>3</v>
      </c>
      <c r="G8111" s="4" t="n">
        <v>8</v>
      </c>
      <c r="H8111" s="4" t="n">
        <v>4</v>
      </c>
      <c r="I8111" s="4" t="str">
        <v>×</v>
      </c>
      <c r="J8111" s="4"/>
      <c r="K8111" s="4"/>
      <c r="L8111" s="4"/>
      <c r="M8111" s="5" t="s">
        <v>5346</v>
      </c>
    </row>
    <row r="8112" customFormat="false" ht="15.75" hidden="false" customHeight="false" outlineLevel="0" collapsed="false">
      <c r="A8112" s="6" t="n">
        <v>46166</v>
      </c>
      <c r="B8112" s="4" t="s">
        <v>4473</v>
      </c>
      <c r="C8112" s="4" t="n">
        <v>6</v>
      </c>
      <c r="D8112" s="4" t="n">
        <v>8</v>
      </c>
      <c r="E8112" s="4" t="s">
        <v>1969</v>
      </c>
      <c r="F8112" s="4" t="n">
        <v>17</v>
      </c>
      <c r="G8112" s="4" t="n">
        <v>5</v>
      </c>
      <c r="H8112" s="4" t="n">
        <v>4</v>
      </c>
      <c r="I8112" s="4" t="str">
        <v>×</v>
      </c>
      <c r="J8112" s="4"/>
      <c r="K8112" s="4"/>
      <c r="L8112" s="4"/>
      <c r="M8112" s="5" t="s">
        <v>5346</v>
      </c>
    </row>
    <row r="8113" customFormat="false" ht="15.75" hidden="false" customHeight="false" outlineLevel="0" collapsed="false">
      <c r="A8113" s="6" t="n">
        <v>46166</v>
      </c>
      <c r="B8113" s="4" t="s">
        <v>4473</v>
      </c>
      <c r="C8113" s="4" t="n">
        <v>6</v>
      </c>
      <c r="D8113" s="4" t="n">
        <v>9</v>
      </c>
      <c r="E8113" s="4" t="s">
        <v>1087</v>
      </c>
      <c r="F8113" s="4" t="n">
        <v>41</v>
      </c>
      <c r="G8113" s="4" t="n">
        <v>2</v>
      </c>
      <c r="H8113" s="4" t="n">
        <v>4</v>
      </c>
      <c r="I8113" s="4" t="str">
        <v>×</v>
      </c>
      <c r="J8113" s="4"/>
      <c r="K8113" s="4"/>
      <c r="L8113" s="4"/>
      <c r="M8113" s="5" t="s">
        <v>5346</v>
      </c>
    </row>
    <row r="8114" customFormat="false" ht="15.75" hidden="false" customHeight="false" outlineLevel="0" collapsed="false">
      <c r="A8114" s="6" t="n">
        <v>46166</v>
      </c>
      <c r="B8114" s="4" t="s">
        <v>4473</v>
      </c>
      <c r="C8114" s="4" t="n">
        <v>6</v>
      </c>
      <c r="D8114" s="4" t="n">
        <v>10</v>
      </c>
      <c r="E8114" s="4" t="s">
        <v>2274</v>
      </c>
      <c r="F8114" s="4" t="n">
        <v>13</v>
      </c>
      <c r="G8114" s="4" t="n">
        <v>6</v>
      </c>
      <c r="H8114" s="4" t="n">
        <v>4</v>
      </c>
      <c r="I8114" s="4" t="str">
        <v>×</v>
      </c>
      <c r="J8114" s="4"/>
      <c r="K8114" s="4"/>
      <c r="L8114" s="4"/>
      <c r="M8114" s="5" t="s">
        <v>5346</v>
      </c>
    </row>
    <row r="8115" customFormat="false" ht="15.75" hidden="false" customHeight="false" outlineLevel="0" collapsed="false">
      <c r="A8115" s="6" t="n">
        <v>46166</v>
      </c>
      <c r="B8115" s="4" t="s">
        <v>4473</v>
      </c>
      <c r="C8115" s="4" t="n">
        <v>6</v>
      </c>
      <c r="D8115" s="4" t="n">
        <v>11</v>
      </c>
      <c r="E8115" s="4" t="s">
        <v>5604</v>
      </c>
      <c r="F8115" s="4" t="n">
        <v>2</v>
      </c>
      <c r="G8115" s="4" t="n">
        <v>9</v>
      </c>
      <c r="H8115" s="4" t="n">
        <v>4</v>
      </c>
      <c r="I8115" s="4" t="str">
        <v>×</v>
      </c>
      <c r="J8115" s="4"/>
      <c r="K8115" s="4"/>
      <c r="L8115" s="4"/>
      <c r="M8115" s="5" t="s">
        <v>5346</v>
      </c>
    </row>
    <row r="8116" customFormat="false" ht="15.75" hidden="false" customHeight="false" outlineLevel="0" collapsed="false">
      <c r="A8116" s="6" t="n">
        <v>46166</v>
      </c>
      <c r="B8116" s="4" t="s">
        <v>4473</v>
      </c>
      <c r="C8116" s="4" t="n">
        <v>6</v>
      </c>
      <c r="D8116" s="4" t="n">
        <v>12</v>
      </c>
      <c r="E8116" s="4" t="s">
        <v>4291</v>
      </c>
      <c r="F8116" s="4" t="n">
        <v>13</v>
      </c>
      <c r="G8116" s="4" t="n">
        <v>6</v>
      </c>
      <c r="H8116" s="4" t="n">
        <v>4</v>
      </c>
      <c r="I8116" s="4" t="str">
        <v>×</v>
      </c>
      <c r="J8116" s="4"/>
      <c r="K8116" s="4"/>
      <c r="L8116" s="4"/>
      <c r="M8116" s="5" t="s">
        <v>5346</v>
      </c>
    </row>
    <row r="8117" customFormat="false" ht="15.75" hidden="false" customHeight="false" outlineLevel="0" collapsed="false">
      <c r="A8117" s="6" t="n">
        <v>46166</v>
      </c>
      <c r="B8117" s="4" t="s">
        <v>4473</v>
      </c>
      <c r="C8117" s="4" t="n">
        <v>6</v>
      </c>
      <c r="D8117" s="4" t="n">
        <v>13</v>
      </c>
      <c r="E8117" s="4" t="s">
        <v>728</v>
      </c>
      <c r="F8117" s="4" t="n">
        <v>10</v>
      </c>
      <c r="G8117" s="4" t="n">
        <v>7</v>
      </c>
      <c r="H8117" s="4" t="n">
        <v>4</v>
      </c>
      <c r="I8117" s="4" t="str">
        <v>×</v>
      </c>
      <c r="J8117" s="4"/>
      <c r="K8117" s="4"/>
      <c r="L8117" s="4"/>
      <c r="M8117" s="5" t="s">
        <v>5346</v>
      </c>
    </row>
    <row r="8118" customFormat="false" ht="15.75" hidden="false" customHeight="false" outlineLevel="0" collapsed="false">
      <c r="A8118" s="6" t="n">
        <v>46166</v>
      </c>
      <c r="B8118" s="4" t="s">
        <v>4473</v>
      </c>
      <c r="C8118" s="4" t="n">
        <v>6</v>
      </c>
      <c r="D8118" s="4" t="n">
        <v>14</v>
      </c>
      <c r="E8118" s="4" t="s">
        <v>5605</v>
      </c>
      <c r="F8118" s="4" t="n">
        <v>23</v>
      </c>
      <c r="G8118" s="4" t="n">
        <v>4</v>
      </c>
      <c r="H8118" s="4" t="n">
        <v>4</v>
      </c>
      <c r="I8118" s="4" t="str">
        <v>×</v>
      </c>
      <c r="J8118" s="4"/>
      <c r="K8118" s="4"/>
      <c r="L8118" s="4"/>
      <c r="M8118" s="5" t="s">
        <v>5346</v>
      </c>
    </row>
    <row r="8119" customFormat="false" ht="15.75" hidden="false" customHeight="false" outlineLevel="0" collapsed="false">
      <c r="A8119" s="6" t="n">
        <v>46166</v>
      </c>
      <c r="B8119" s="4" t="s">
        <v>4473</v>
      </c>
      <c r="C8119" s="4" t="n">
        <v>7</v>
      </c>
      <c r="D8119" s="4" t="n">
        <v>1</v>
      </c>
      <c r="E8119" s="4" t="s">
        <v>2775</v>
      </c>
      <c r="F8119" s="4" t="n">
        <v>17</v>
      </c>
      <c r="G8119" s="4" t="n">
        <v>6</v>
      </c>
      <c r="H8119" s="4" t="n">
        <v>4</v>
      </c>
      <c r="I8119" s="4" t="str">
        <v>×</v>
      </c>
      <c r="J8119" s="4"/>
      <c r="K8119" s="4"/>
      <c r="L8119" s="4"/>
      <c r="M8119" s="5" t="s">
        <v>5346</v>
      </c>
    </row>
    <row r="8120" customFormat="false" ht="15.75" hidden="false" customHeight="false" outlineLevel="0" collapsed="false">
      <c r="A8120" s="6" t="n">
        <v>46166</v>
      </c>
      <c r="B8120" s="4" t="s">
        <v>4473</v>
      </c>
      <c r="C8120" s="4" t="n">
        <v>7</v>
      </c>
      <c r="D8120" s="4" t="n">
        <v>2</v>
      </c>
      <c r="E8120" s="4" t="s">
        <v>5606</v>
      </c>
      <c r="F8120" s="4" t="n">
        <v>13</v>
      </c>
      <c r="G8120" s="4" t="n">
        <v>8</v>
      </c>
      <c r="H8120" s="4" t="n">
        <v>4</v>
      </c>
      <c r="I8120" s="4" t="str">
        <v>×</v>
      </c>
      <c r="J8120" s="4"/>
      <c r="K8120" s="4"/>
      <c r="L8120" s="4"/>
      <c r="M8120" s="5" t="s">
        <v>5346</v>
      </c>
    </row>
    <row r="8121" customFormat="false" ht="15.75" hidden="false" customHeight="false" outlineLevel="0" collapsed="false">
      <c r="A8121" s="6" t="n">
        <v>46166</v>
      </c>
      <c r="B8121" s="4" t="s">
        <v>4473</v>
      </c>
      <c r="C8121" s="4" t="n">
        <v>7</v>
      </c>
      <c r="D8121" s="4" t="n">
        <v>3</v>
      </c>
      <c r="E8121" s="4" t="s">
        <v>5607</v>
      </c>
      <c r="F8121" s="4" t="n">
        <v>4</v>
      </c>
      <c r="G8121" s="4" t="n">
        <v>11</v>
      </c>
      <c r="H8121" s="4" t="n">
        <v>4</v>
      </c>
      <c r="I8121" s="4" t="str">
        <v>×</v>
      </c>
      <c r="J8121" s="4"/>
      <c r="K8121" s="4"/>
      <c r="L8121" s="4"/>
      <c r="M8121" s="5" t="s">
        <v>5346</v>
      </c>
    </row>
    <row r="8122" customFormat="false" ht="15.75" hidden="false" customHeight="false" outlineLevel="0" collapsed="false">
      <c r="A8122" s="6" t="n">
        <v>46166</v>
      </c>
      <c r="B8122" s="4" t="s">
        <v>4473</v>
      </c>
      <c r="C8122" s="4" t="n">
        <v>7</v>
      </c>
      <c r="D8122" s="4" t="n">
        <v>4</v>
      </c>
      <c r="E8122" s="4" t="s">
        <v>5608</v>
      </c>
      <c r="F8122" s="4" t="n">
        <v>20</v>
      </c>
      <c r="G8122" s="4" t="n">
        <v>5</v>
      </c>
      <c r="H8122" s="4" t="n">
        <v>4</v>
      </c>
      <c r="I8122" s="4" t="str">
        <v>×</v>
      </c>
      <c r="J8122" s="4"/>
      <c r="K8122" s="4"/>
      <c r="L8122" s="4"/>
      <c r="M8122" s="5" t="s">
        <v>5346</v>
      </c>
    </row>
    <row r="8123" customFormat="false" ht="15.75" hidden="false" customHeight="false" outlineLevel="0" collapsed="false">
      <c r="A8123" s="6" t="n">
        <v>46166</v>
      </c>
      <c r="B8123" s="4" t="s">
        <v>4473</v>
      </c>
      <c r="C8123" s="4" t="n">
        <v>7</v>
      </c>
      <c r="D8123" s="4" t="n">
        <v>5</v>
      </c>
      <c r="E8123" s="4" t="s">
        <v>107</v>
      </c>
      <c r="F8123" s="4" t="n">
        <v>4</v>
      </c>
      <c r="G8123" s="4" t="n">
        <v>11</v>
      </c>
      <c r="H8123" s="4" t="n">
        <v>4</v>
      </c>
      <c r="I8123" s="4" t="str">
        <v>×</v>
      </c>
      <c r="J8123" s="4"/>
      <c r="K8123" s="4"/>
      <c r="L8123" s="4"/>
      <c r="M8123" s="5" t="s">
        <v>5346</v>
      </c>
    </row>
    <row r="8124" customFormat="false" ht="15.75" hidden="false" customHeight="false" outlineLevel="0" collapsed="false">
      <c r="A8124" s="6" t="n">
        <v>46166</v>
      </c>
      <c r="B8124" s="4" t="s">
        <v>4473</v>
      </c>
      <c r="C8124" s="4" t="n">
        <v>7</v>
      </c>
      <c r="D8124" s="4" t="n">
        <v>6</v>
      </c>
      <c r="E8124" s="4" t="s">
        <v>5609</v>
      </c>
      <c r="F8124" s="4" t="n">
        <v>2</v>
      </c>
      <c r="G8124" s="4" t="n">
        <v>12</v>
      </c>
      <c r="H8124" s="4" t="n">
        <v>4</v>
      </c>
      <c r="I8124" s="4" t="str">
        <v>×</v>
      </c>
      <c r="J8124" s="4"/>
      <c r="K8124" s="4"/>
      <c r="L8124" s="4"/>
      <c r="M8124" s="5" t="s">
        <v>5346</v>
      </c>
    </row>
    <row r="8125" customFormat="false" ht="15.75" hidden="false" customHeight="false" outlineLevel="0" collapsed="false">
      <c r="A8125" s="6" t="n">
        <v>46166</v>
      </c>
      <c r="B8125" s="4" t="s">
        <v>4473</v>
      </c>
      <c r="C8125" s="4" t="n">
        <v>7</v>
      </c>
      <c r="D8125" s="4" t="n">
        <v>7</v>
      </c>
      <c r="E8125" s="4" t="s">
        <v>4537</v>
      </c>
      <c r="F8125" s="4" t="n">
        <v>31</v>
      </c>
      <c r="G8125" s="4" t="n">
        <v>2</v>
      </c>
      <c r="H8125" s="4" t="n">
        <v>4</v>
      </c>
      <c r="I8125" s="4" t="str">
        <v>×</v>
      </c>
      <c r="J8125" s="4"/>
      <c r="K8125" s="4"/>
      <c r="L8125" s="4"/>
      <c r="M8125" s="5" t="s">
        <v>5346</v>
      </c>
    </row>
    <row r="8126" customFormat="false" ht="15.75" hidden="false" customHeight="false" outlineLevel="0" collapsed="false">
      <c r="A8126" s="6" t="n">
        <v>46166</v>
      </c>
      <c r="B8126" s="4" t="s">
        <v>4473</v>
      </c>
      <c r="C8126" s="4" t="n">
        <v>7</v>
      </c>
      <c r="D8126" s="4" t="n">
        <v>8</v>
      </c>
      <c r="E8126" s="4" t="s">
        <v>5610</v>
      </c>
      <c r="F8126" s="4" t="n">
        <v>25</v>
      </c>
      <c r="G8126" s="4" t="n">
        <v>3</v>
      </c>
      <c r="H8126" s="4" t="n">
        <v>2</v>
      </c>
      <c r="I8126" s="4" t="str">
        <v>○</v>
      </c>
      <c r="J8126" s="4" t="n">
        <v>280</v>
      </c>
      <c r="K8126" s="4"/>
      <c r="L8126" s="4"/>
      <c r="M8126" s="5" t="s">
        <v>5346</v>
      </c>
    </row>
    <row r="8127" customFormat="false" ht="15.75" hidden="false" customHeight="false" outlineLevel="0" collapsed="false">
      <c r="A8127" s="6" t="n">
        <v>46166</v>
      </c>
      <c r="B8127" s="4" t="s">
        <v>4473</v>
      </c>
      <c r="C8127" s="4" t="n">
        <v>7</v>
      </c>
      <c r="D8127" s="4" t="n">
        <v>9</v>
      </c>
      <c r="E8127" s="4" t="s">
        <v>5611</v>
      </c>
      <c r="F8127" s="4" t="n">
        <v>25</v>
      </c>
      <c r="G8127" s="4" t="n">
        <v>3</v>
      </c>
      <c r="H8127" s="4" t="n">
        <v>1</v>
      </c>
      <c r="I8127" s="4" t="str">
        <v>○</v>
      </c>
      <c r="J8127" s="4" t="n">
        <v>280</v>
      </c>
      <c r="K8127" s="4"/>
      <c r="L8127" s="4"/>
      <c r="M8127" s="5" t="s">
        <v>5346</v>
      </c>
    </row>
    <row r="8128" customFormat="false" ht="15.75" hidden="false" customHeight="false" outlineLevel="0" collapsed="false">
      <c r="A8128" s="6" t="n">
        <v>46166</v>
      </c>
      <c r="B8128" s="4" t="s">
        <v>4473</v>
      </c>
      <c r="C8128" s="4" t="n">
        <v>7</v>
      </c>
      <c r="D8128" s="4" t="n">
        <v>10</v>
      </c>
      <c r="E8128" s="4" t="s">
        <v>5612</v>
      </c>
      <c r="F8128" s="4" t="n">
        <v>8</v>
      </c>
      <c r="G8128" s="4" t="n">
        <v>10</v>
      </c>
      <c r="H8128" s="4" t="n">
        <v>4</v>
      </c>
      <c r="I8128" s="4" t="str">
        <v>×</v>
      </c>
      <c r="J8128" s="4"/>
      <c r="K8128" s="4"/>
      <c r="L8128" s="4"/>
      <c r="M8128" s="5" t="s">
        <v>5346</v>
      </c>
    </row>
    <row r="8129" customFormat="false" ht="15.75" hidden="false" customHeight="false" outlineLevel="0" collapsed="false">
      <c r="A8129" s="6" t="n">
        <v>46166</v>
      </c>
      <c r="B8129" s="4" t="s">
        <v>4473</v>
      </c>
      <c r="C8129" s="4" t="n">
        <v>7</v>
      </c>
      <c r="D8129" s="4" t="n">
        <v>11</v>
      </c>
      <c r="E8129" s="4" t="s">
        <v>4067</v>
      </c>
      <c r="F8129" s="4" t="n">
        <v>1</v>
      </c>
      <c r="G8129" s="4" t="n">
        <v>13</v>
      </c>
      <c r="H8129" s="4" t="n">
        <v>4</v>
      </c>
      <c r="I8129" s="4" t="str">
        <v>×</v>
      </c>
      <c r="J8129" s="4"/>
      <c r="K8129" s="4"/>
      <c r="L8129" s="4"/>
      <c r="M8129" s="5" t="s">
        <v>5346</v>
      </c>
    </row>
    <row r="8130" customFormat="false" ht="15.75" hidden="false" customHeight="false" outlineLevel="0" collapsed="false">
      <c r="A8130" s="6" t="n">
        <v>46166</v>
      </c>
      <c r="B8130" s="4" t="s">
        <v>4473</v>
      </c>
      <c r="C8130" s="4" t="n">
        <v>7</v>
      </c>
      <c r="D8130" s="4" t="n">
        <v>12</v>
      </c>
      <c r="E8130" s="4" t="s">
        <v>110</v>
      </c>
      <c r="F8130" s="4" t="n">
        <v>15</v>
      </c>
      <c r="G8130" s="4" t="n">
        <v>7</v>
      </c>
      <c r="H8130" s="4" t="n">
        <v>4</v>
      </c>
      <c r="I8130" s="4" t="str">
        <v>×</v>
      </c>
      <c r="J8130" s="4"/>
      <c r="K8130" s="4"/>
      <c r="L8130" s="4"/>
      <c r="M8130" s="5" t="s">
        <v>5346</v>
      </c>
    </row>
    <row r="8131" customFormat="false" ht="15.75" hidden="false" customHeight="false" outlineLevel="0" collapsed="false">
      <c r="A8131" s="6" t="n">
        <v>46166</v>
      </c>
      <c r="B8131" s="4" t="s">
        <v>4473</v>
      </c>
      <c r="C8131" s="4" t="n">
        <v>7</v>
      </c>
      <c r="D8131" s="4" t="n">
        <v>13</v>
      </c>
      <c r="E8131" s="4" t="s">
        <v>3378</v>
      </c>
      <c r="F8131" s="4" t="n">
        <v>23</v>
      </c>
      <c r="G8131" s="4" t="n">
        <v>4</v>
      </c>
      <c r="H8131" s="4" t="n">
        <v>4</v>
      </c>
      <c r="I8131" s="4" t="str">
        <v>×</v>
      </c>
      <c r="J8131" s="4"/>
      <c r="K8131" s="4"/>
      <c r="L8131" s="4"/>
      <c r="M8131" s="5" t="s">
        <v>5346</v>
      </c>
    </row>
    <row r="8132" customFormat="false" ht="15.75" hidden="false" customHeight="false" outlineLevel="0" collapsed="false">
      <c r="A8132" s="6" t="n">
        <v>46166</v>
      </c>
      <c r="B8132" s="4" t="s">
        <v>4473</v>
      </c>
      <c r="C8132" s="4" t="n">
        <v>7</v>
      </c>
      <c r="D8132" s="4" t="n">
        <v>14</v>
      </c>
      <c r="E8132" s="4" t="s">
        <v>1955</v>
      </c>
      <c r="F8132" s="4" t="n">
        <v>10</v>
      </c>
      <c r="G8132" s="4" t="n">
        <v>9</v>
      </c>
      <c r="H8132" s="4" t="n">
        <v>4</v>
      </c>
      <c r="I8132" s="4" t="str">
        <v>×</v>
      </c>
      <c r="J8132" s="4"/>
      <c r="K8132" s="4"/>
      <c r="L8132" s="4"/>
      <c r="M8132" s="5" t="s">
        <v>5346</v>
      </c>
    </row>
    <row r="8133" customFormat="false" ht="15.75" hidden="false" customHeight="false" outlineLevel="0" collapsed="false">
      <c r="A8133" s="6" t="n">
        <v>46166</v>
      </c>
      <c r="B8133" s="4" t="s">
        <v>4473</v>
      </c>
      <c r="C8133" s="4" t="n">
        <v>7</v>
      </c>
      <c r="D8133" s="4" t="n">
        <v>15</v>
      </c>
      <c r="E8133" s="4" t="s">
        <v>3377</v>
      </c>
      <c r="F8133" s="4" t="n">
        <v>23</v>
      </c>
      <c r="G8133" s="4" t="n">
        <v>4</v>
      </c>
      <c r="H8133" s="4" t="n">
        <v>4</v>
      </c>
      <c r="I8133" s="4" t="str">
        <v>×</v>
      </c>
      <c r="J8133" s="4"/>
      <c r="K8133" s="4"/>
      <c r="L8133" s="4"/>
      <c r="M8133" s="5" t="s">
        <v>5346</v>
      </c>
    </row>
    <row r="8134" customFormat="false" ht="15.75" hidden="false" customHeight="false" outlineLevel="0" collapsed="false">
      <c r="A8134" s="6" t="n">
        <v>46166</v>
      </c>
      <c r="B8134" s="4" t="s">
        <v>4473</v>
      </c>
      <c r="C8134" s="4" t="n">
        <v>7</v>
      </c>
      <c r="D8134" s="4" t="n">
        <v>16</v>
      </c>
      <c r="E8134" s="4" t="s">
        <v>274</v>
      </c>
      <c r="F8134" s="4" t="n">
        <v>44</v>
      </c>
      <c r="G8134" s="4" t="n">
        <v>1</v>
      </c>
      <c r="H8134" s="4" t="n">
        <v>3</v>
      </c>
      <c r="I8134" s="4" t="str">
        <v>○</v>
      </c>
      <c r="J8134" s="4" t="n">
        <v>140</v>
      </c>
      <c r="K8134" s="4"/>
      <c r="L8134" s="4"/>
      <c r="M8134" s="5" t="s">
        <v>5346</v>
      </c>
    </row>
    <row r="8135" customFormat="false" ht="15.75" hidden="false" customHeight="false" outlineLevel="0" collapsed="false">
      <c r="A8135" s="6" t="n">
        <v>46166</v>
      </c>
      <c r="B8135" s="4" t="s">
        <v>4473</v>
      </c>
      <c r="C8135" s="4" t="n">
        <v>7</v>
      </c>
      <c r="D8135" s="4" t="n">
        <v>17</v>
      </c>
      <c r="E8135" s="4" t="s">
        <v>4535</v>
      </c>
      <c r="F8135" s="4" t="n">
        <v>23</v>
      </c>
      <c r="G8135" s="4" t="n">
        <v>4</v>
      </c>
      <c r="H8135" s="4" t="n">
        <v>4</v>
      </c>
      <c r="I8135" s="4" t="str">
        <v>×</v>
      </c>
      <c r="J8135" s="4"/>
      <c r="K8135" s="4"/>
      <c r="L8135" s="4"/>
      <c r="M8135" s="5" t="s">
        <v>5346</v>
      </c>
    </row>
    <row r="8136" customFormat="false" ht="15.75" hidden="false" customHeight="false" outlineLevel="0" collapsed="false">
      <c r="A8136" s="6" t="n">
        <v>46166</v>
      </c>
      <c r="B8136" s="4" t="s">
        <v>4473</v>
      </c>
      <c r="C8136" s="4" t="n">
        <v>8</v>
      </c>
      <c r="D8136" s="4" t="n">
        <v>1</v>
      </c>
      <c r="E8136" s="4" t="s">
        <v>5613</v>
      </c>
      <c r="F8136" s="4" t="n">
        <v>2</v>
      </c>
      <c r="G8136" s="4" t="n">
        <v>13</v>
      </c>
      <c r="H8136" s="4" t="n">
        <v>4</v>
      </c>
      <c r="I8136" s="4" t="str">
        <v>×</v>
      </c>
      <c r="J8136" s="4"/>
      <c r="K8136" s="4"/>
      <c r="L8136" s="4"/>
      <c r="M8136" s="5" t="s">
        <v>5346</v>
      </c>
    </row>
    <row r="8137" customFormat="false" ht="15.75" hidden="false" customHeight="false" outlineLevel="0" collapsed="false">
      <c r="A8137" s="6" t="n">
        <v>46166</v>
      </c>
      <c r="B8137" s="4" t="s">
        <v>4473</v>
      </c>
      <c r="C8137" s="4" t="n">
        <v>8</v>
      </c>
      <c r="D8137" s="4" t="n">
        <v>2</v>
      </c>
      <c r="E8137" s="4" t="s">
        <v>1838</v>
      </c>
      <c r="F8137" s="4" t="n">
        <v>4</v>
      </c>
      <c r="G8137" s="4" t="n">
        <v>12</v>
      </c>
      <c r="H8137" s="4" t="n">
        <v>4</v>
      </c>
      <c r="I8137" s="4" t="str">
        <v>×</v>
      </c>
      <c r="J8137" s="4"/>
      <c r="K8137" s="4"/>
      <c r="L8137" s="4"/>
      <c r="M8137" s="5" t="s">
        <v>5346</v>
      </c>
    </row>
    <row r="8138" customFormat="false" ht="15.75" hidden="false" customHeight="false" outlineLevel="0" collapsed="false">
      <c r="A8138" s="6" t="n">
        <v>46166</v>
      </c>
      <c r="B8138" s="4" t="s">
        <v>4473</v>
      </c>
      <c r="C8138" s="4" t="n">
        <v>8</v>
      </c>
      <c r="D8138" s="4" t="n">
        <v>3</v>
      </c>
      <c r="E8138" s="4" t="s">
        <v>3748</v>
      </c>
      <c r="F8138" s="4" t="n">
        <v>31</v>
      </c>
      <c r="G8138" s="4" t="n">
        <v>5</v>
      </c>
      <c r="H8138" s="4" t="n">
        <v>4</v>
      </c>
      <c r="I8138" s="4" t="str">
        <v>×</v>
      </c>
      <c r="J8138" s="4"/>
      <c r="K8138" s="4"/>
      <c r="L8138" s="4"/>
      <c r="M8138" s="5" t="s">
        <v>5346</v>
      </c>
    </row>
    <row r="8139" customFormat="false" ht="15.75" hidden="false" customHeight="false" outlineLevel="0" collapsed="false">
      <c r="A8139" s="6" t="n">
        <v>46166</v>
      </c>
      <c r="B8139" s="4" t="s">
        <v>4473</v>
      </c>
      <c r="C8139" s="4" t="n">
        <v>8</v>
      </c>
      <c r="D8139" s="4" t="n">
        <v>4</v>
      </c>
      <c r="E8139" s="4" t="s">
        <v>463</v>
      </c>
      <c r="F8139" s="4" t="n">
        <v>41</v>
      </c>
      <c r="G8139" s="4" t="n">
        <v>4</v>
      </c>
      <c r="H8139" s="4" t="n">
        <v>4</v>
      </c>
      <c r="I8139" s="4" t="str">
        <v>×</v>
      </c>
      <c r="J8139" s="4"/>
      <c r="K8139" s="4"/>
      <c r="L8139" s="4"/>
      <c r="M8139" s="5" t="s">
        <v>5346</v>
      </c>
    </row>
    <row r="8140" customFormat="false" ht="15.75" hidden="false" customHeight="false" outlineLevel="0" collapsed="false">
      <c r="A8140" s="6" t="n">
        <v>46166</v>
      </c>
      <c r="B8140" s="4" t="s">
        <v>4473</v>
      </c>
      <c r="C8140" s="4" t="n">
        <v>8</v>
      </c>
      <c r="D8140" s="4" t="n">
        <v>5</v>
      </c>
      <c r="E8140" s="4" t="s">
        <v>2780</v>
      </c>
      <c r="F8140" s="4" t="n">
        <v>44</v>
      </c>
      <c r="G8140" s="4" t="n">
        <v>3</v>
      </c>
      <c r="H8140" s="4" t="n">
        <v>4</v>
      </c>
      <c r="I8140" s="4" t="str">
        <v>×</v>
      </c>
      <c r="J8140" s="4"/>
      <c r="K8140" s="4"/>
      <c r="L8140" s="4"/>
      <c r="M8140" s="5" t="s">
        <v>5346</v>
      </c>
    </row>
    <row r="8141" customFormat="false" ht="15.75" hidden="false" customHeight="false" outlineLevel="0" collapsed="false">
      <c r="A8141" s="6" t="n">
        <v>46166</v>
      </c>
      <c r="B8141" s="4" t="s">
        <v>4473</v>
      </c>
      <c r="C8141" s="4" t="n">
        <v>8</v>
      </c>
      <c r="D8141" s="4" t="n">
        <v>6</v>
      </c>
      <c r="E8141" s="4" t="s">
        <v>5614</v>
      </c>
      <c r="F8141" s="4" t="n">
        <v>29</v>
      </c>
      <c r="G8141" s="4" t="n">
        <v>6</v>
      </c>
      <c r="H8141" s="4" t="n">
        <v>4</v>
      </c>
      <c r="I8141" s="4" t="str">
        <v>×</v>
      </c>
      <c r="J8141" s="4"/>
      <c r="K8141" s="4"/>
      <c r="L8141" s="4"/>
      <c r="M8141" s="5" t="s">
        <v>5346</v>
      </c>
    </row>
    <row r="8142" customFormat="false" ht="15.75" hidden="false" customHeight="false" outlineLevel="0" collapsed="false">
      <c r="A8142" s="6" t="n">
        <v>46166</v>
      </c>
      <c r="B8142" s="4" t="s">
        <v>4473</v>
      </c>
      <c r="C8142" s="4" t="n">
        <v>8</v>
      </c>
      <c r="D8142" s="4" t="n">
        <v>7</v>
      </c>
      <c r="E8142" s="4" t="s">
        <v>5615</v>
      </c>
      <c r="F8142" s="4" t="n">
        <v>8</v>
      </c>
      <c r="G8142" s="4" t="n">
        <v>11</v>
      </c>
      <c r="H8142" s="4" t="n">
        <v>4</v>
      </c>
      <c r="I8142" s="4" t="str">
        <v>×</v>
      </c>
      <c r="J8142" s="4"/>
      <c r="K8142" s="4"/>
      <c r="L8142" s="4"/>
      <c r="M8142" s="5" t="s">
        <v>5346</v>
      </c>
    </row>
    <row r="8143" customFormat="false" ht="15.75" hidden="false" customHeight="false" outlineLevel="0" collapsed="false">
      <c r="A8143" s="6" t="n">
        <v>46166</v>
      </c>
      <c r="B8143" s="4" t="s">
        <v>4473</v>
      </c>
      <c r="C8143" s="4" t="n">
        <v>8</v>
      </c>
      <c r="D8143" s="4" t="n">
        <v>8</v>
      </c>
      <c r="E8143" s="4" t="s">
        <v>5616</v>
      </c>
      <c r="F8143" s="4" t="n">
        <v>13</v>
      </c>
      <c r="G8143" s="4" t="n">
        <v>9</v>
      </c>
      <c r="H8143" s="4" t="n">
        <v>4</v>
      </c>
      <c r="I8143" s="4" t="str">
        <v>×</v>
      </c>
      <c r="J8143" s="4"/>
      <c r="K8143" s="4"/>
      <c r="L8143" s="4"/>
      <c r="M8143" s="5" t="s">
        <v>5346</v>
      </c>
    </row>
    <row r="8144" customFormat="false" ht="15.75" hidden="false" customHeight="false" outlineLevel="0" collapsed="false">
      <c r="A8144" s="6" t="n">
        <v>46166</v>
      </c>
      <c r="B8144" s="4" t="s">
        <v>4473</v>
      </c>
      <c r="C8144" s="4" t="n">
        <v>8</v>
      </c>
      <c r="D8144" s="4" t="n">
        <v>9</v>
      </c>
      <c r="E8144" s="4" t="s">
        <v>5617</v>
      </c>
      <c r="F8144" s="4" t="n">
        <v>56</v>
      </c>
      <c r="G8144" s="4" t="n">
        <v>1</v>
      </c>
      <c r="H8144" s="4" t="n">
        <v>4</v>
      </c>
      <c r="I8144" s="4" t="str">
        <v>×</v>
      </c>
      <c r="J8144" s="4"/>
      <c r="K8144" s="4"/>
      <c r="L8144" s="4"/>
      <c r="M8144" s="5" t="s">
        <v>5346</v>
      </c>
    </row>
    <row r="8145" customFormat="false" ht="15.75" hidden="false" customHeight="false" outlineLevel="0" collapsed="false">
      <c r="A8145" s="6" t="n">
        <v>46166</v>
      </c>
      <c r="B8145" s="4" t="s">
        <v>4473</v>
      </c>
      <c r="C8145" s="4" t="n">
        <v>8</v>
      </c>
      <c r="D8145" s="4" t="n">
        <v>10</v>
      </c>
      <c r="E8145" s="4" t="s">
        <v>5618</v>
      </c>
      <c r="F8145" s="4" t="n">
        <v>1</v>
      </c>
      <c r="G8145" s="4" t="n">
        <v>14</v>
      </c>
      <c r="H8145" s="4" t="n">
        <v>4</v>
      </c>
      <c r="I8145" s="4" t="str">
        <v>×</v>
      </c>
      <c r="J8145" s="4"/>
      <c r="K8145" s="4"/>
      <c r="L8145" s="4"/>
      <c r="M8145" s="5" t="s">
        <v>5346</v>
      </c>
    </row>
    <row r="8146" customFormat="false" ht="15.75" hidden="false" customHeight="false" outlineLevel="0" collapsed="false">
      <c r="A8146" s="6" t="n">
        <v>46166</v>
      </c>
      <c r="B8146" s="4" t="s">
        <v>4473</v>
      </c>
      <c r="C8146" s="4" t="n">
        <v>8</v>
      </c>
      <c r="D8146" s="4" t="n">
        <v>11</v>
      </c>
      <c r="E8146" s="4" t="s">
        <v>3568</v>
      </c>
      <c r="F8146" s="4" t="n">
        <v>56</v>
      </c>
      <c r="G8146" s="4" t="n">
        <v>1</v>
      </c>
      <c r="H8146" s="4" t="n">
        <v>1</v>
      </c>
      <c r="I8146" s="4" t="str">
        <v>○</v>
      </c>
      <c r="J8146" s="4" t="n">
        <v>140</v>
      </c>
      <c r="K8146" s="4"/>
      <c r="L8146" s="4"/>
      <c r="M8146" s="5" t="s">
        <v>5346</v>
      </c>
    </row>
    <row r="8147" customFormat="false" ht="15.75" hidden="false" customHeight="false" outlineLevel="0" collapsed="false">
      <c r="A8147" s="6" t="n">
        <v>46166</v>
      </c>
      <c r="B8147" s="4" t="s">
        <v>4473</v>
      </c>
      <c r="C8147" s="4" t="n">
        <v>8</v>
      </c>
      <c r="D8147" s="4" t="n">
        <v>12</v>
      </c>
      <c r="E8147" s="4" t="s">
        <v>5619</v>
      </c>
      <c r="F8147" s="4" t="n">
        <v>8</v>
      </c>
      <c r="G8147" s="4" t="n">
        <v>11</v>
      </c>
      <c r="H8147" s="4" t="n">
        <v>4</v>
      </c>
      <c r="I8147" s="4" t="str">
        <v>×</v>
      </c>
      <c r="J8147" s="4"/>
      <c r="K8147" s="4"/>
      <c r="L8147" s="4"/>
      <c r="M8147" s="5" t="s">
        <v>5346</v>
      </c>
    </row>
    <row r="8148" customFormat="false" ht="15.75" hidden="false" customHeight="false" outlineLevel="0" collapsed="false">
      <c r="A8148" s="6" t="n">
        <v>46166</v>
      </c>
      <c r="B8148" s="4" t="s">
        <v>4473</v>
      </c>
      <c r="C8148" s="4" t="n">
        <v>8</v>
      </c>
      <c r="D8148" s="4" t="n">
        <v>13</v>
      </c>
      <c r="E8148" s="4" t="s">
        <v>3096</v>
      </c>
      <c r="F8148" s="4" t="n">
        <v>15</v>
      </c>
      <c r="G8148" s="4" t="n">
        <v>8</v>
      </c>
      <c r="H8148" s="4" t="n">
        <v>4</v>
      </c>
      <c r="I8148" s="4" t="str">
        <v>×</v>
      </c>
      <c r="J8148" s="4"/>
      <c r="K8148" s="4"/>
      <c r="L8148" s="4"/>
      <c r="M8148" s="5" t="s">
        <v>5346</v>
      </c>
    </row>
    <row r="8149" customFormat="false" ht="15.75" hidden="false" customHeight="false" outlineLevel="0" collapsed="false">
      <c r="A8149" s="6" t="n">
        <v>46166</v>
      </c>
      <c r="B8149" s="4" t="s">
        <v>4473</v>
      </c>
      <c r="C8149" s="4" t="n">
        <v>8</v>
      </c>
      <c r="D8149" s="4" t="n">
        <v>14</v>
      </c>
      <c r="E8149" s="4" t="s">
        <v>3654</v>
      </c>
      <c r="F8149" s="4" t="n">
        <v>23</v>
      </c>
      <c r="G8149" s="4" t="n">
        <v>7</v>
      </c>
      <c r="H8149" s="4" t="n">
        <v>4</v>
      </c>
      <c r="I8149" s="4" t="str">
        <v>×</v>
      </c>
      <c r="J8149" s="4"/>
      <c r="K8149" s="4"/>
      <c r="L8149" s="4"/>
      <c r="M8149" s="5" t="s">
        <v>5346</v>
      </c>
    </row>
    <row r="8150" customFormat="false" ht="15.75" hidden="false" customHeight="false" outlineLevel="0" collapsed="false">
      <c r="A8150" s="6" t="n">
        <v>46166</v>
      </c>
      <c r="B8150" s="4" t="s">
        <v>4473</v>
      </c>
      <c r="C8150" s="4" t="n">
        <v>8</v>
      </c>
      <c r="D8150" s="4" t="n">
        <v>15</v>
      </c>
      <c r="E8150" s="4" t="s">
        <v>5232</v>
      </c>
      <c r="F8150" s="4" t="n">
        <v>10</v>
      </c>
      <c r="G8150" s="4" t="n">
        <v>10</v>
      </c>
      <c r="H8150" s="4" t="n">
        <v>3</v>
      </c>
      <c r="I8150" s="4" t="str">
        <v>○</v>
      </c>
      <c r="J8150" s="4" t="n">
        <v>1520</v>
      </c>
      <c r="K8150" s="4"/>
      <c r="L8150" s="4"/>
      <c r="M8150" s="5" t="s">
        <v>5346</v>
      </c>
    </row>
    <row r="8151" customFormat="false" ht="15.75" hidden="false" customHeight="false" outlineLevel="0" collapsed="false">
      <c r="A8151" s="6" t="n">
        <v>46166</v>
      </c>
      <c r="B8151" s="4" t="s">
        <v>4473</v>
      </c>
      <c r="C8151" s="4" t="n">
        <v>8</v>
      </c>
      <c r="D8151" s="4" t="n">
        <v>16</v>
      </c>
      <c r="E8151" s="4" t="s">
        <v>5620</v>
      </c>
      <c r="F8151" s="4" t="n">
        <v>47</v>
      </c>
      <c r="G8151" s="4" t="n">
        <v>2</v>
      </c>
      <c r="H8151" s="4" t="n">
        <v>2</v>
      </c>
      <c r="I8151" s="4" t="str">
        <v>○</v>
      </c>
      <c r="J8151" s="4" t="n">
        <v>160</v>
      </c>
      <c r="K8151" s="4"/>
      <c r="L8151" s="4"/>
      <c r="M8151" s="5" t="s">
        <v>5346</v>
      </c>
    </row>
    <row r="8152" customFormat="false" ht="15.75" hidden="false" customHeight="false" outlineLevel="0" collapsed="false">
      <c r="A8152" s="6" t="n">
        <v>46166</v>
      </c>
      <c r="B8152" s="4" t="s">
        <v>4473</v>
      </c>
      <c r="C8152" s="4" t="n">
        <v>9</v>
      </c>
      <c r="D8152" s="4" t="n">
        <v>1</v>
      </c>
      <c r="E8152" s="4" t="s">
        <v>5621</v>
      </c>
      <c r="F8152" s="4" t="n">
        <v>52</v>
      </c>
      <c r="G8152" s="4" t="n">
        <v>1</v>
      </c>
      <c r="H8152" s="4" t="n">
        <v>4</v>
      </c>
      <c r="I8152" s="4" t="str">
        <v>×</v>
      </c>
      <c r="J8152" s="4"/>
      <c r="K8152" s="4"/>
      <c r="L8152" s="4"/>
      <c r="M8152" s="5" t="s">
        <v>5346</v>
      </c>
    </row>
    <row r="8153" customFormat="false" ht="15.75" hidden="false" customHeight="false" outlineLevel="0" collapsed="false">
      <c r="A8153" s="6" t="n">
        <v>46166</v>
      </c>
      <c r="B8153" s="4" t="s">
        <v>4473</v>
      </c>
      <c r="C8153" s="4" t="n">
        <v>9</v>
      </c>
      <c r="D8153" s="4" t="n">
        <v>2</v>
      </c>
      <c r="E8153" s="4" t="s">
        <v>5196</v>
      </c>
      <c r="F8153" s="4" t="n">
        <v>6</v>
      </c>
      <c r="G8153" s="4" t="n">
        <v>9</v>
      </c>
      <c r="H8153" s="4" t="n">
        <v>4</v>
      </c>
      <c r="I8153" s="4" t="str">
        <v>×</v>
      </c>
      <c r="J8153" s="4"/>
      <c r="K8153" s="4"/>
      <c r="L8153" s="4"/>
      <c r="M8153" s="5" t="s">
        <v>5346</v>
      </c>
    </row>
    <row r="8154" customFormat="false" ht="15.75" hidden="false" customHeight="false" outlineLevel="0" collapsed="false">
      <c r="A8154" s="6" t="n">
        <v>46166</v>
      </c>
      <c r="B8154" s="4" t="s">
        <v>4473</v>
      </c>
      <c r="C8154" s="4" t="n">
        <v>9</v>
      </c>
      <c r="D8154" s="4" t="n">
        <v>3</v>
      </c>
      <c r="E8154" s="4" t="s">
        <v>78</v>
      </c>
      <c r="F8154" s="4" t="n">
        <v>10</v>
      </c>
      <c r="G8154" s="4" t="n">
        <v>7</v>
      </c>
      <c r="H8154" s="4" t="n">
        <v>4</v>
      </c>
      <c r="I8154" s="4" t="str">
        <v>×</v>
      </c>
      <c r="J8154" s="4"/>
      <c r="K8154" s="4"/>
      <c r="L8154" s="4"/>
      <c r="M8154" s="5" t="s">
        <v>5346</v>
      </c>
    </row>
    <row r="8155" customFormat="false" ht="15.75" hidden="false" customHeight="false" outlineLevel="0" collapsed="false">
      <c r="A8155" s="6" t="n">
        <v>46166</v>
      </c>
      <c r="B8155" s="4" t="s">
        <v>4473</v>
      </c>
      <c r="C8155" s="4" t="n">
        <v>9</v>
      </c>
      <c r="D8155" s="4" t="n">
        <v>4</v>
      </c>
      <c r="E8155" s="4" t="s">
        <v>5194</v>
      </c>
      <c r="F8155" s="4" t="n">
        <v>3</v>
      </c>
      <c r="G8155" s="4" t="n">
        <v>10</v>
      </c>
      <c r="H8155" s="4" t="n">
        <v>4</v>
      </c>
      <c r="I8155" s="4" t="str">
        <v>×</v>
      </c>
      <c r="J8155" s="4"/>
      <c r="K8155" s="4"/>
      <c r="L8155" s="4"/>
      <c r="M8155" s="5" t="s">
        <v>5346</v>
      </c>
    </row>
    <row r="8156" customFormat="false" ht="15.75" hidden="false" customHeight="false" outlineLevel="0" collapsed="false">
      <c r="A8156" s="6" t="n">
        <v>46166</v>
      </c>
      <c r="B8156" s="4" t="s">
        <v>4473</v>
      </c>
      <c r="C8156" s="4" t="n">
        <v>9</v>
      </c>
      <c r="D8156" s="4" t="n">
        <v>5</v>
      </c>
      <c r="E8156" s="4" t="s">
        <v>5622</v>
      </c>
      <c r="F8156" s="4" t="n">
        <v>8</v>
      </c>
      <c r="G8156" s="4" t="n">
        <v>8</v>
      </c>
      <c r="H8156" s="4" t="n">
        <v>4</v>
      </c>
      <c r="I8156" s="4" t="str">
        <v>×</v>
      </c>
      <c r="J8156" s="4"/>
      <c r="K8156" s="4"/>
      <c r="L8156" s="4"/>
      <c r="M8156" s="5" t="s">
        <v>5346</v>
      </c>
    </row>
    <row r="8157" customFormat="false" ht="15.75" hidden="false" customHeight="false" outlineLevel="0" collapsed="false">
      <c r="A8157" s="6" t="n">
        <v>46166</v>
      </c>
      <c r="B8157" s="4" t="s">
        <v>4473</v>
      </c>
      <c r="C8157" s="4" t="n">
        <v>9</v>
      </c>
      <c r="D8157" s="4" t="n">
        <v>6</v>
      </c>
      <c r="E8157" s="4" t="s">
        <v>5623</v>
      </c>
      <c r="F8157" s="4" t="n">
        <v>29</v>
      </c>
      <c r="G8157" s="4" t="n">
        <v>4</v>
      </c>
      <c r="H8157" s="4" t="n">
        <v>4</v>
      </c>
      <c r="I8157" s="4" t="str">
        <v>×</v>
      </c>
      <c r="J8157" s="4"/>
      <c r="K8157" s="4"/>
      <c r="L8157" s="4"/>
      <c r="M8157" s="5" t="s">
        <v>5346</v>
      </c>
    </row>
    <row r="8158" customFormat="false" ht="15.75" hidden="false" customHeight="false" outlineLevel="0" collapsed="false">
      <c r="A8158" s="6" t="n">
        <v>46166</v>
      </c>
      <c r="B8158" s="4" t="s">
        <v>4473</v>
      </c>
      <c r="C8158" s="4" t="n">
        <v>9</v>
      </c>
      <c r="D8158" s="4" t="n">
        <v>7</v>
      </c>
      <c r="E8158" s="4" t="s">
        <v>5176</v>
      </c>
      <c r="F8158" s="4" t="n">
        <v>13</v>
      </c>
      <c r="G8158" s="4" t="n">
        <v>6</v>
      </c>
      <c r="H8158" s="4" t="n">
        <v>2</v>
      </c>
      <c r="I8158" s="4" t="str">
        <v>○</v>
      </c>
      <c r="J8158" s="4" t="n">
        <v>1230</v>
      </c>
      <c r="K8158" s="4"/>
      <c r="L8158" s="4"/>
      <c r="M8158" s="5" t="s">
        <v>5346</v>
      </c>
    </row>
    <row r="8159" customFormat="false" ht="15.75" hidden="false" customHeight="false" outlineLevel="0" collapsed="false">
      <c r="A8159" s="6" t="n">
        <v>46166</v>
      </c>
      <c r="B8159" s="4" t="s">
        <v>4473</v>
      </c>
      <c r="C8159" s="4" t="n">
        <v>9</v>
      </c>
      <c r="D8159" s="4" t="n">
        <v>8</v>
      </c>
      <c r="E8159" s="4" t="s">
        <v>1074</v>
      </c>
      <c r="F8159" s="4" t="n">
        <v>50</v>
      </c>
      <c r="G8159" s="4" t="n">
        <v>2</v>
      </c>
      <c r="H8159" s="4" t="n">
        <v>1</v>
      </c>
      <c r="I8159" s="4" t="str">
        <v>○</v>
      </c>
      <c r="J8159" s="4" t="n">
        <v>180</v>
      </c>
      <c r="K8159" s="4"/>
      <c r="L8159" s="4"/>
      <c r="M8159" s="5" t="s">
        <v>5346</v>
      </c>
    </row>
    <row r="8160" customFormat="false" ht="15.75" hidden="false" customHeight="false" outlineLevel="0" collapsed="false">
      <c r="A8160" s="6" t="n">
        <v>46166</v>
      </c>
      <c r="B8160" s="4" t="s">
        <v>4473</v>
      </c>
      <c r="C8160" s="4" t="n">
        <v>9</v>
      </c>
      <c r="D8160" s="4" t="n">
        <v>9</v>
      </c>
      <c r="E8160" s="4" t="s">
        <v>5624</v>
      </c>
      <c r="F8160" s="4" t="n">
        <v>10</v>
      </c>
      <c r="G8160" s="4" t="n">
        <v>7</v>
      </c>
      <c r="H8160" s="4" t="n">
        <v>4</v>
      </c>
      <c r="I8160" s="4" t="str">
        <v>×</v>
      </c>
      <c r="J8160" s="4"/>
      <c r="K8160" s="4"/>
      <c r="L8160" s="4"/>
      <c r="M8160" s="5" t="s">
        <v>5346</v>
      </c>
    </row>
    <row r="8161" customFormat="false" ht="15.75" hidden="false" customHeight="false" outlineLevel="0" collapsed="false">
      <c r="A8161" s="6" t="n">
        <v>46166</v>
      </c>
      <c r="B8161" s="4" t="s">
        <v>4473</v>
      </c>
      <c r="C8161" s="4" t="n">
        <v>9</v>
      </c>
      <c r="D8161" s="4" t="n">
        <v>10</v>
      </c>
      <c r="E8161" s="4" t="s">
        <v>1517</v>
      </c>
      <c r="F8161" s="4" t="n">
        <v>34</v>
      </c>
      <c r="G8161" s="4" t="n">
        <v>3</v>
      </c>
      <c r="H8161" s="4" t="n">
        <v>3</v>
      </c>
      <c r="I8161" s="4" t="str">
        <v>○</v>
      </c>
      <c r="J8161" s="4" t="n">
        <v>370</v>
      </c>
      <c r="K8161" s="4"/>
      <c r="L8161" s="4"/>
      <c r="M8161" s="5" t="s">
        <v>5346</v>
      </c>
    </row>
    <row r="8162" customFormat="false" ht="15.75" hidden="false" customHeight="false" outlineLevel="0" collapsed="false">
      <c r="A8162" s="6" t="n">
        <v>46166</v>
      </c>
      <c r="B8162" s="4" t="s">
        <v>4473</v>
      </c>
      <c r="C8162" s="4" t="n">
        <v>9</v>
      </c>
      <c r="D8162" s="4" t="n">
        <v>11</v>
      </c>
      <c r="E8162" s="4" t="s">
        <v>5625</v>
      </c>
      <c r="F8162" s="4" t="n">
        <v>1</v>
      </c>
      <c r="G8162" s="4" t="n">
        <v>11</v>
      </c>
      <c r="H8162" s="4" t="n">
        <v>4</v>
      </c>
      <c r="I8162" s="4" t="str">
        <v>×</v>
      </c>
      <c r="J8162" s="4"/>
      <c r="K8162" s="4"/>
      <c r="L8162" s="4"/>
      <c r="M8162" s="5" t="s">
        <v>5346</v>
      </c>
    </row>
    <row r="8163" customFormat="false" ht="15.75" hidden="false" customHeight="false" outlineLevel="0" collapsed="false">
      <c r="A8163" s="6" t="n">
        <v>46166</v>
      </c>
      <c r="B8163" s="4" t="s">
        <v>4473</v>
      </c>
      <c r="C8163" s="4" t="n">
        <v>9</v>
      </c>
      <c r="D8163" s="4" t="n">
        <v>12</v>
      </c>
      <c r="E8163" s="4" t="s">
        <v>5626</v>
      </c>
      <c r="F8163" s="4" t="n">
        <v>23</v>
      </c>
      <c r="G8163" s="4" t="n">
        <v>5</v>
      </c>
      <c r="H8163" s="4" t="n">
        <v>4</v>
      </c>
      <c r="I8163" s="4" t="str">
        <v>×</v>
      </c>
      <c r="J8163" s="4"/>
      <c r="K8163" s="4"/>
      <c r="L8163" s="4"/>
      <c r="M8163" s="5" t="s">
        <v>5346</v>
      </c>
    </row>
    <row r="8164" customFormat="false" ht="15.75" hidden="false" customHeight="false" outlineLevel="0" collapsed="false">
      <c r="A8164" s="6" t="n">
        <v>46166</v>
      </c>
      <c r="B8164" s="4" t="s">
        <v>4473</v>
      </c>
      <c r="C8164" s="4" t="n">
        <v>10</v>
      </c>
      <c r="D8164" s="4" t="n">
        <v>1</v>
      </c>
      <c r="E8164" s="4" t="s">
        <v>3489</v>
      </c>
      <c r="F8164" s="4" t="n">
        <v>60</v>
      </c>
      <c r="G8164" s="4" t="n">
        <v>1</v>
      </c>
      <c r="H8164" s="4" t="n">
        <v>4</v>
      </c>
      <c r="I8164" s="4" t="str">
        <v>×</v>
      </c>
      <c r="J8164" s="4"/>
      <c r="K8164" s="4"/>
      <c r="L8164" s="4"/>
      <c r="M8164" s="5" t="s">
        <v>5346</v>
      </c>
    </row>
    <row r="8165" customFormat="false" ht="15.75" hidden="false" customHeight="false" outlineLevel="0" collapsed="false">
      <c r="A8165" s="6" t="n">
        <v>46166</v>
      </c>
      <c r="B8165" s="4" t="s">
        <v>4473</v>
      </c>
      <c r="C8165" s="4" t="n">
        <v>10</v>
      </c>
      <c r="D8165" s="4" t="n">
        <v>2</v>
      </c>
      <c r="E8165" s="4" t="s">
        <v>5627</v>
      </c>
      <c r="F8165" s="4" t="n">
        <v>10</v>
      </c>
      <c r="G8165" s="4" t="n">
        <v>9</v>
      </c>
      <c r="H8165" s="4" t="n">
        <v>4</v>
      </c>
      <c r="I8165" s="4" t="str">
        <v>×</v>
      </c>
      <c r="J8165" s="4"/>
      <c r="K8165" s="4"/>
      <c r="L8165" s="4"/>
      <c r="M8165" s="5" t="s">
        <v>5346</v>
      </c>
    </row>
    <row r="8166" customFormat="false" ht="15.75" hidden="false" customHeight="false" outlineLevel="0" collapsed="false">
      <c r="A8166" s="6" t="n">
        <v>46166</v>
      </c>
      <c r="B8166" s="4" t="s">
        <v>4473</v>
      </c>
      <c r="C8166" s="4" t="n">
        <v>10</v>
      </c>
      <c r="D8166" s="4" t="n">
        <v>3</v>
      </c>
      <c r="E8166" s="4" t="s">
        <v>89</v>
      </c>
      <c r="F8166" s="4" t="n">
        <v>50</v>
      </c>
      <c r="G8166" s="4" t="n">
        <v>2</v>
      </c>
      <c r="H8166" s="4" t="n">
        <v>2</v>
      </c>
      <c r="I8166" s="4" t="str">
        <v>○</v>
      </c>
      <c r="J8166" s="4" t="n">
        <v>160</v>
      </c>
      <c r="K8166" s="4"/>
      <c r="L8166" s="4"/>
      <c r="M8166" s="5" t="s">
        <v>5346</v>
      </c>
    </row>
    <row r="8167" customFormat="false" ht="15.75" hidden="false" customHeight="false" outlineLevel="0" collapsed="false">
      <c r="A8167" s="6" t="n">
        <v>46166</v>
      </c>
      <c r="B8167" s="4" t="s">
        <v>4473</v>
      </c>
      <c r="C8167" s="4" t="n">
        <v>10</v>
      </c>
      <c r="D8167" s="4" t="n">
        <v>4</v>
      </c>
      <c r="E8167" s="4" t="s">
        <v>5628</v>
      </c>
      <c r="F8167" s="4" t="n">
        <v>34</v>
      </c>
      <c r="G8167" s="4" t="n">
        <v>4</v>
      </c>
      <c r="H8167" s="4" t="n">
        <v>4</v>
      </c>
      <c r="I8167" s="4" t="str">
        <v>×</v>
      </c>
      <c r="J8167" s="4"/>
      <c r="K8167" s="4"/>
      <c r="L8167" s="4"/>
      <c r="M8167" s="5" t="s">
        <v>5346</v>
      </c>
    </row>
    <row r="8168" customFormat="false" ht="15.75" hidden="false" customHeight="false" outlineLevel="0" collapsed="false">
      <c r="A8168" s="6" t="n">
        <v>46166</v>
      </c>
      <c r="B8168" s="4" t="s">
        <v>4473</v>
      </c>
      <c r="C8168" s="4" t="n">
        <v>10</v>
      </c>
      <c r="D8168" s="4" t="n">
        <v>5</v>
      </c>
      <c r="E8168" s="4" t="s">
        <v>92</v>
      </c>
      <c r="F8168" s="4" t="n">
        <v>13</v>
      </c>
      <c r="G8168" s="4" t="n">
        <v>8</v>
      </c>
      <c r="H8168" s="4" t="n">
        <v>4</v>
      </c>
      <c r="I8168" s="4" t="str">
        <v>×</v>
      </c>
      <c r="J8168" s="4"/>
      <c r="K8168" s="4"/>
      <c r="L8168" s="4"/>
      <c r="M8168" s="5" t="s">
        <v>5346</v>
      </c>
    </row>
    <row r="8169" customFormat="false" ht="15.75" hidden="false" customHeight="false" outlineLevel="0" collapsed="false">
      <c r="A8169" s="6" t="n">
        <v>46166</v>
      </c>
      <c r="B8169" s="4" t="s">
        <v>4473</v>
      </c>
      <c r="C8169" s="4" t="n">
        <v>10</v>
      </c>
      <c r="D8169" s="4" t="n">
        <v>6</v>
      </c>
      <c r="E8169" s="4" t="s">
        <v>5629</v>
      </c>
      <c r="F8169" s="4" t="n">
        <v>37</v>
      </c>
      <c r="G8169" s="4" t="n">
        <v>3</v>
      </c>
      <c r="H8169" s="4" t="n">
        <v>1</v>
      </c>
      <c r="I8169" s="4" t="str">
        <v>○</v>
      </c>
      <c r="J8169" s="4" t="n">
        <v>190</v>
      </c>
      <c r="K8169" s="4"/>
      <c r="L8169" s="4"/>
      <c r="M8169" s="5" t="s">
        <v>5346</v>
      </c>
    </row>
    <row r="8170" customFormat="false" ht="15.75" hidden="false" customHeight="false" outlineLevel="0" collapsed="false">
      <c r="A8170" s="6" t="n">
        <v>46166</v>
      </c>
      <c r="B8170" s="4" t="s">
        <v>4473</v>
      </c>
      <c r="C8170" s="4" t="n">
        <v>10</v>
      </c>
      <c r="D8170" s="4" t="n">
        <v>7</v>
      </c>
      <c r="E8170" s="4" t="s">
        <v>5630</v>
      </c>
      <c r="F8170" s="4" t="n">
        <v>6</v>
      </c>
      <c r="G8170" s="4" t="n">
        <v>10</v>
      </c>
      <c r="H8170" s="4" t="n">
        <v>4</v>
      </c>
      <c r="I8170" s="4" t="str">
        <v>×</v>
      </c>
      <c r="J8170" s="4"/>
      <c r="K8170" s="4"/>
      <c r="L8170" s="4"/>
      <c r="M8170" s="5" t="s">
        <v>5346</v>
      </c>
    </row>
    <row r="8171" customFormat="false" ht="15.75" hidden="false" customHeight="false" outlineLevel="0" collapsed="false">
      <c r="A8171" s="6" t="n">
        <v>46166</v>
      </c>
      <c r="B8171" s="4" t="s">
        <v>4473</v>
      </c>
      <c r="C8171" s="4" t="n">
        <v>10</v>
      </c>
      <c r="D8171" s="4" t="n">
        <v>8</v>
      </c>
      <c r="E8171" s="4" t="s">
        <v>5631</v>
      </c>
      <c r="F8171" s="4" t="n">
        <v>3</v>
      </c>
      <c r="G8171" s="4" t="n">
        <v>11</v>
      </c>
      <c r="H8171" s="4" t="n">
        <v>4</v>
      </c>
      <c r="I8171" s="4" t="str">
        <v>×</v>
      </c>
      <c r="J8171" s="4"/>
      <c r="K8171" s="4"/>
      <c r="L8171" s="4"/>
      <c r="M8171" s="5" t="s">
        <v>5346</v>
      </c>
    </row>
    <row r="8172" customFormat="false" ht="15.75" hidden="false" customHeight="false" outlineLevel="0" collapsed="false">
      <c r="A8172" s="6" t="n">
        <v>46166</v>
      </c>
      <c r="B8172" s="4" t="s">
        <v>4473</v>
      </c>
      <c r="C8172" s="4" t="n">
        <v>10</v>
      </c>
      <c r="D8172" s="4" t="n">
        <v>9</v>
      </c>
      <c r="E8172" s="4" t="s">
        <v>5632</v>
      </c>
      <c r="F8172" s="4" t="n">
        <v>25</v>
      </c>
      <c r="G8172" s="4" t="n">
        <v>5</v>
      </c>
      <c r="H8172" s="4" t="n">
        <v>3</v>
      </c>
      <c r="I8172" s="4" t="str">
        <v>○</v>
      </c>
      <c r="J8172" s="4" t="n">
        <v>250</v>
      </c>
      <c r="K8172" s="4"/>
      <c r="L8172" s="4"/>
      <c r="M8172" s="5" t="s">
        <v>5346</v>
      </c>
    </row>
    <row r="8173" customFormat="false" ht="15.75" hidden="false" customHeight="false" outlineLevel="0" collapsed="false">
      <c r="A8173" s="6" t="n">
        <v>46166</v>
      </c>
      <c r="B8173" s="4" t="s">
        <v>4473</v>
      </c>
      <c r="C8173" s="4" t="n">
        <v>10</v>
      </c>
      <c r="D8173" s="4" t="n">
        <v>10</v>
      </c>
      <c r="E8173" s="4" t="s">
        <v>1991</v>
      </c>
      <c r="F8173" s="4" t="n">
        <v>6</v>
      </c>
      <c r="G8173" s="4" t="n">
        <v>10</v>
      </c>
      <c r="H8173" s="4" t="n">
        <v>4</v>
      </c>
      <c r="I8173" s="4" t="str">
        <v>×</v>
      </c>
      <c r="J8173" s="4"/>
      <c r="K8173" s="4"/>
      <c r="L8173" s="4"/>
      <c r="M8173" s="5" t="s">
        <v>5346</v>
      </c>
    </row>
    <row r="8174" customFormat="false" ht="15.75" hidden="false" customHeight="false" outlineLevel="0" collapsed="false">
      <c r="A8174" s="6" t="n">
        <v>46166</v>
      </c>
      <c r="B8174" s="4" t="s">
        <v>4473</v>
      </c>
      <c r="C8174" s="4" t="n">
        <v>10</v>
      </c>
      <c r="D8174" s="4" t="n">
        <v>11</v>
      </c>
      <c r="E8174" s="4" t="s">
        <v>93</v>
      </c>
      <c r="F8174" s="4" t="n">
        <v>20</v>
      </c>
      <c r="G8174" s="4" t="n">
        <v>7</v>
      </c>
      <c r="H8174" s="4" t="n">
        <v>4</v>
      </c>
      <c r="I8174" s="4" t="str">
        <v>×</v>
      </c>
      <c r="J8174" s="4"/>
      <c r="K8174" s="4"/>
      <c r="L8174" s="4"/>
      <c r="M8174" s="5" t="s">
        <v>5346</v>
      </c>
    </row>
    <row r="8175" customFormat="false" ht="15.75" hidden="false" customHeight="false" outlineLevel="0" collapsed="false">
      <c r="A8175" s="6" t="n">
        <v>46166</v>
      </c>
      <c r="B8175" s="4" t="s">
        <v>4473</v>
      </c>
      <c r="C8175" s="4" t="n">
        <v>10</v>
      </c>
      <c r="D8175" s="4" t="n">
        <v>12</v>
      </c>
      <c r="E8175" s="4" t="s">
        <v>2985</v>
      </c>
      <c r="F8175" s="4" t="n">
        <v>6</v>
      </c>
      <c r="G8175" s="4" t="n">
        <v>10</v>
      </c>
      <c r="H8175" s="4" t="n">
        <v>4</v>
      </c>
      <c r="I8175" s="4" t="str">
        <v>×</v>
      </c>
      <c r="J8175" s="4"/>
      <c r="K8175" s="4"/>
      <c r="L8175" s="4"/>
      <c r="M8175" s="5" t="s">
        <v>5346</v>
      </c>
    </row>
    <row r="8176" customFormat="false" ht="15.75" hidden="false" customHeight="false" outlineLevel="0" collapsed="false">
      <c r="A8176" s="6" t="n">
        <v>46166</v>
      </c>
      <c r="B8176" s="4" t="s">
        <v>4473</v>
      </c>
      <c r="C8176" s="4" t="n">
        <v>10</v>
      </c>
      <c r="D8176" s="4" t="n">
        <v>13</v>
      </c>
      <c r="E8176" s="4" t="s">
        <v>1060</v>
      </c>
      <c r="F8176" s="4" t="n">
        <v>23</v>
      </c>
      <c r="G8176" s="4" t="n">
        <v>6</v>
      </c>
      <c r="H8176" s="4" t="n">
        <v>4</v>
      </c>
      <c r="I8176" s="4" t="str">
        <v>×</v>
      </c>
      <c r="J8176" s="4"/>
      <c r="K8176" s="4"/>
      <c r="L8176" s="4"/>
      <c r="M8176" s="5" t="s">
        <v>5346</v>
      </c>
    </row>
    <row r="8177" customFormat="false" ht="15.75" hidden="false" customHeight="false" outlineLevel="0" collapsed="false">
      <c r="A8177" s="6" t="n">
        <v>46166</v>
      </c>
      <c r="B8177" s="4" t="s">
        <v>4473</v>
      </c>
      <c r="C8177" s="4" t="n">
        <v>10</v>
      </c>
      <c r="D8177" s="4" t="n">
        <v>14</v>
      </c>
      <c r="E8177" s="4" t="s">
        <v>5633</v>
      </c>
      <c r="F8177" s="4" t="n">
        <v>13</v>
      </c>
      <c r="G8177" s="4" t="n">
        <v>8</v>
      </c>
      <c r="H8177" s="4" t="n">
        <v>4</v>
      </c>
      <c r="I8177" s="4" t="str">
        <v>×</v>
      </c>
      <c r="J8177" s="4"/>
      <c r="K8177" s="4"/>
      <c r="L8177" s="4"/>
      <c r="M8177" s="5" t="s">
        <v>5346</v>
      </c>
    </row>
    <row r="8178" customFormat="false" ht="15.75" hidden="false" customHeight="false" outlineLevel="0" collapsed="false">
      <c r="A8178" s="6" t="n">
        <v>46166</v>
      </c>
      <c r="B8178" s="4" t="s">
        <v>4473</v>
      </c>
      <c r="C8178" s="4" t="n">
        <v>11</v>
      </c>
      <c r="D8178" s="4" t="n">
        <v>1</v>
      </c>
      <c r="E8178" s="4" t="s">
        <v>5634</v>
      </c>
      <c r="F8178" s="4" t="n">
        <v>2</v>
      </c>
      <c r="G8178" s="4" t="n">
        <v>10</v>
      </c>
      <c r="H8178" s="4" t="n">
        <v>4</v>
      </c>
      <c r="I8178" s="4" t="str">
        <v>×</v>
      </c>
      <c r="J8178" s="4"/>
      <c r="K8178" s="4"/>
      <c r="L8178" s="4"/>
      <c r="M8178" s="5" t="s">
        <v>5346</v>
      </c>
    </row>
    <row r="8179" customFormat="false" ht="15.75" hidden="false" customHeight="false" outlineLevel="0" collapsed="false">
      <c r="A8179" s="6" t="n">
        <v>46166</v>
      </c>
      <c r="B8179" s="4" t="s">
        <v>4473</v>
      </c>
      <c r="C8179" s="4" t="n">
        <v>11</v>
      </c>
      <c r="D8179" s="4" t="n">
        <v>2</v>
      </c>
      <c r="E8179" s="4" t="s">
        <v>5635</v>
      </c>
      <c r="F8179" s="4" t="n">
        <v>13</v>
      </c>
      <c r="G8179" s="4" t="n">
        <v>6</v>
      </c>
      <c r="H8179" s="4" t="n">
        <v>4</v>
      </c>
      <c r="I8179" s="4" t="str">
        <v>×</v>
      </c>
      <c r="J8179" s="4"/>
      <c r="K8179" s="4"/>
      <c r="L8179" s="4"/>
      <c r="M8179" s="5" t="s">
        <v>5346</v>
      </c>
    </row>
    <row r="8180" customFormat="false" ht="15.75" hidden="false" customHeight="false" outlineLevel="0" collapsed="false">
      <c r="A8180" s="6" t="n">
        <v>46166</v>
      </c>
      <c r="B8180" s="4" t="s">
        <v>4473</v>
      </c>
      <c r="C8180" s="4" t="n">
        <v>11</v>
      </c>
      <c r="D8180" s="4" t="n">
        <v>3</v>
      </c>
      <c r="E8180" s="4" t="s">
        <v>5636</v>
      </c>
      <c r="F8180" s="4" t="n">
        <v>34</v>
      </c>
      <c r="G8180" s="4" t="n">
        <v>3</v>
      </c>
      <c r="H8180" s="4" t="n">
        <v>4</v>
      </c>
      <c r="I8180" s="4" t="str">
        <v>×</v>
      </c>
      <c r="J8180" s="4"/>
      <c r="K8180" s="4"/>
      <c r="L8180" s="4"/>
      <c r="M8180" s="5" t="s">
        <v>5346</v>
      </c>
    </row>
    <row r="8181" customFormat="false" ht="15.75" hidden="false" customHeight="false" outlineLevel="0" collapsed="false">
      <c r="A8181" s="6" t="n">
        <v>46166</v>
      </c>
      <c r="B8181" s="4" t="s">
        <v>4473</v>
      </c>
      <c r="C8181" s="4" t="n">
        <v>11</v>
      </c>
      <c r="D8181" s="4" t="n">
        <v>4</v>
      </c>
      <c r="E8181" s="4" t="s">
        <v>1712</v>
      </c>
      <c r="F8181" s="4" t="n">
        <v>15</v>
      </c>
      <c r="G8181" s="4" t="n">
        <v>5</v>
      </c>
      <c r="H8181" s="4" t="n">
        <v>4</v>
      </c>
      <c r="I8181" s="4" t="str">
        <v>×</v>
      </c>
      <c r="J8181" s="4"/>
      <c r="K8181" s="4"/>
      <c r="L8181" s="4"/>
      <c r="M8181" s="5" t="s">
        <v>5346</v>
      </c>
    </row>
    <row r="8182" customFormat="false" ht="15.75" hidden="false" customHeight="false" outlineLevel="0" collapsed="false">
      <c r="A8182" s="6" t="n">
        <v>46166</v>
      </c>
      <c r="B8182" s="4" t="s">
        <v>4473</v>
      </c>
      <c r="C8182" s="4" t="n">
        <v>11</v>
      </c>
      <c r="D8182" s="4" t="n">
        <v>5</v>
      </c>
      <c r="E8182" s="4" t="s">
        <v>3773</v>
      </c>
      <c r="F8182" s="4" t="n">
        <v>8</v>
      </c>
      <c r="G8182" s="4" t="n">
        <v>8</v>
      </c>
      <c r="H8182" s="4" t="n">
        <v>4</v>
      </c>
      <c r="I8182" s="4" t="str">
        <v>×</v>
      </c>
      <c r="J8182" s="4"/>
      <c r="K8182" s="4"/>
      <c r="L8182" s="4"/>
      <c r="M8182" s="5" t="s">
        <v>5346</v>
      </c>
    </row>
    <row r="8183" customFormat="false" ht="15.75" hidden="false" customHeight="false" outlineLevel="0" collapsed="false">
      <c r="A8183" s="6" t="n">
        <v>46166</v>
      </c>
      <c r="B8183" s="4" t="s">
        <v>4473</v>
      </c>
      <c r="C8183" s="4" t="n">
        <v>11</v>
      </c>
      <c r="D8183" s="4" t="n">
        <v>6</v>
      </c>
      <c r="E8183" s="4" t="s">
        <v>5637</v>
      </c>
      <c r="F8183" s="4" t="n">
        <v>3</v>
      </c>
      <c r="G8183" s="4" t="n">
        <v>9</v>
      </c>
      <c r="H8183" s="4" t="n">
        <v>4</v>
      </c>
      <c r="I8183" s="4" t="str">
        <v>×</v>
      </c>
      <c r="J8183" s="4"/>
      <c r="K8183" s="4"/>
      <c r="L8183" s="4"/>
      <c r="M8183" s="5" t="s">
        <v>5346</v>
      </c>
    </row>
    <row r="8184" customFormat="false" ht="15.75" hidden="false" customHeight="false" outlineLevel="0" collapsed="false">
      <c r="A8184" s="6" t="n">
        <v>46166</v>
      </c>
      <c r="B8184" s="4" t="s">
        <v>4473</v>
      </c>
      <c r="C8184" s="4" t="n">
        <v>11</v>
      </c>
      <c r="D8184" s="4" t="n">
        <v>7</v>
      </c>
      <c r="E8184" s="4" t="s">
        <v>5638</v>
      </c>
      <c r="F8184" s="4" t="n">
        <v>1</v>
      </c>
      <c r="G8184" s="4" t="n">
        <v>11</v>
      </c>
      <c r="H8184" s="4" t="n">
        <v>4</v>
      </c>
      <c r="I8184" s="4" t="str">
        <v>×</v>
      </c>
      <c r="J8184" s="4"/>
      <c r="K8184" s="4"/>
      <c r="L8184" s="4"/>
      <c r="M8184" s="5" t="s">
        <v>5346</v>
      </c>
    </row>
    <row r="8185" customFormat="false" ht="15.75" hidden="false" customHeight="false" outlineLevel="0" collapsed="false">
      <c r="A8185" s="6" t="n">
        <v>46166</v>
      </c>
      <c r="B8185" s="4" t="s">
        <v>4473</v>
      </c>
      <c r="C8185" s="4" t="n">
        <v>11</v>
      </c>
      <c r="D8185" s="4" t="n">
        <v>8</v>
      </c>
      <c r="E8185" s="4" t="s">
        <v>5639</v>
      </c>
      <c r="F8185" s="4" t="n">
        <v>13</v>
      </c>
      <c r="G8185" s="4" t="n">
        <v>6</v>
      </c>
      <c r="H8185" s="4" t="n">
        <v>4</v>
      </c>
      <c r="I8185" s="4" t="str">
        <v>×</v>
      </c>
      <c r="J8185" s="4"/>
      <c r="K8185" s="4"/>
      <c r="L8185" s="4"/>
      <c r="M8185" s="5" t="s">
        <v>5346</v>
      </c>
    </row>
    <row r="8186" customFormat="false" ht="15.75" hidden="false" customHeight="false" outlineLevel="0" collapsed="false">
      <c r="A8186" s="6" t="n">
        <v>46166</v>
      </c>
      <c r="B8186" s="4" t="s">
        <v>4473</v>
      </c>
      <c r="C8186" s="4" t="n">
        <v>11</v>
      </c>
      <c r="D8186" s="4" t="n">
        <v>9</v>
      </c>
      <c r="E8186" s="4" t="s">
        <v>5640</v>
      </c>
      <c r="F8186" s="4" t="n">
        <v>10</v>
      </c>
      <c r="G8186" s="4" t="n">
        <v>7</v>
      </c>
      <c r="H8186" s="4" t="n">
        <v>4</v>
      </c>
      <c r="I8186" s="4" t="str">
        <v>×</v>
      </c>
      <c r="J8186" s="4"/>
      <c r="K8186" s="4"/>
      <c r="L8186" s="4"/>
      <c r="M8186" s="5" t="s">
        <v>5346</v>
      </c>
    </row>
    <row r="8187" customFormat="false" ht="15.75" hidden="false" customHeight="false" outlineLevel="0" collapsed="false">
      <c r="A8187" s="6" t="n">
        <v>46166</v>
      </c>
      <c r="B8187" s="4" t="s">
        <v>4473</v>
      </c>
      <c r="C8187" s="4" t="n">
        <v>11</v>
      </c>
      <c r="D8187" s="4" t="n">
        <v>10</v>
      </c>
      <c r="E8187" s="4" t="s">
        <v>5641</v>
      </c>
      <c r="F8187" s="4" t="n">
        <v>81</v>
      </c>
      <c r="G8187" s="4" t="n">
        <v>1</v>
      </c>
      <c r="H8187" s="4" t="n">
        <v>4</v>
      </c>
      <c r="I8187" s="4" t="str">
        <v>×</v>
      </c>
      <c r="J8187" s="4"/>
      <c r="K8187" s="4"/>
      <c r="L8187" s="4"/>
      <c r="M8187" s="5" t="s">
        <v>5346</v>
      </c>
    </row>
    <row r="8188" customFormat="false" ht="15.75" hidden="false" customHeight="false" outlineLevel="0" collapsed="false">
      <c r="A8188" s="6" t="n">
        <v>46166</v>
      </c>
      <c r="B8188" s="4" t="s">
        <v>4473</v>
      </c>
      <c r="C8188" s="4" t="n">
        <v>11</v>
      </c>
      <c r="D8188" s="4" t="n">
        <v>11</v>
      </c>
      <c r="E8188" s="4" t="s">
        <v>1984</v>
      </c>
      <c r="F8188" s="4" t="n">
        <v>8</v>
      </c>
      <c r="G8188" s="4" t="n">
        <v>8</v>
      </c>
      <c r="H8188" s="4" t="n">
        <v>4</v>
      </c>
      <c r="I8188" s="4" t="str">
        <v>×</v>
      </c>
      <c r="J8188" s="4"/>
      <c r="K8188" s="4"/>
      <c r="L8188" s="4"/>
      <c r="M8188" s="5" t="s">
        <v>5346</v>
      </c>
    </row>
    <row r="8189" customFormat="false" ht="15.75" hidden="false" customHeight="false" outlineLevel="0" collapsed="false">
      <c r="A8189" s="6" t="n">
        <v>46166</v>
      </c>
      <c r="B8189" s="4" t="s">
        <v>4473</v>
      </c>
      <c r="C8189" s="4" t="n">
        <v>11</v>
      </c>
      <c r="D8189" s="4" t="n">
        <v>12</v>
      </c>
      <c r="E8189" s="4" t="s">
        <v>5642</v>
      </c>
      <c r="F8189" s="4" t="n">
        <v>41</v>
      </c>
      <c r="G8189" s="4" t="n">
        <v>2</v>
      </c>
      <c r="H8189" s="4" t="n">
        <v>2</v>
      </c>
      <c r="I8189" s="4" t="str">
        <v>○</v>
      </c>
      <c r="J8189" s="4" t="n">
        <v>190</v>
      </c>
      <c r="K8189" s="4"/>
      <c r="L8189" s="4"/>
      <c r="M8189" s="5" t="s">
        <v>5346</v>
      </c>
    </row>
    <row r="8190" customFormat="false" ht="15.75" hidden="false" customHeight="false" outlineLevel="0" collapsed="false">
      <c r="A8190" s="6" t="n">
        <v>46166</v>
      </c>
      <c r="B8190" s="4" t="s">
        <v>4473</v>
      </c>
      <c r="C8190" s="4" t="n">
        <v>11</v>
      </c>
      <c r="D8190" s="4" t="n">
        <v>13</v>
      </c>
      <c r="E8190" s="4" t="s">
        <v>5643</v>
      </c>
      <c r="F8190" s="4" t="n">
        <v>13</v>
      </c>
      <c r="G8190" s="4" t="n">
        <v>6</v>
      </c>
      <c r="H8190" s="4" t="n">
        <v>4</v>
      </c>
      <c r="I8190" s="4" t="str">
        <v>×</v>
      </c>
      <c r="J8190" s="4"/>
      <c r="K8190" s="4"/>
      <c r="L8190" s="4"/>
      <c r="M8190" s="5" t="s">
        <v>5346</v>
      </c>
    </row>
    <row r="8191" customFormat="false" ht="15.75" hidden="false" customHeight="false" outlineLevel="0" collapsed="false">
      <c r="A8191" s="6" t="n">
        <v>46166</v>
      </c>
      <c r="B8191" s="4" t="s">
        <v>4473</v>
      </c>
      <c r="C8191" s="4" t="n">
        <v>11</v>
      </c>
      <c r="D8191" s="4" t="n">
        <v>14</v>
      </c>
      <c r="E8191" s="4" t="s">
        <v>5644</v>
      </c>
      <c r="F8191" s="4" t="n">
        <v>8</v>
      </c>
      <c r="G8191" s="4" t="n">
        <v>8</v>
      </c>
      <c r="H8191" s="4" t="n">
        <v>4</v>
      </c>
      <c r="I8191" s="4" t="str">
        <v>×</v>
      </c>
      <c r="J8191" s="4"/>
      <c r="K8191" s="4"/>
      <c r="L8191" s="4"/>
      <c r="M8191" s="5" t="s">
        <v>5346</v>
      </c>
    </row>
    <row r="8192" customFormat="false" ht="15.75" hidden="false" customHeight="false" outlineLevel="0" collapsed="false">
      <c r="A8192" s="6" t="n">
        <v>46166</v>
      </c>
      <c r="B8192" s="4" t="s">
        <v>4473</v>
      </c>
      <c r="C8192" s="4" t="n">
        <v>11</v>
      </c>
      <c r="D8192" s="4" t="n">
        <v>15</v>
      </c>
      <c r="E8192" s="4" t="s">
        <v>5645</v>
      </c>
      <c r="F8192" s="4" t="n">
        <v>15</v>
      </c>
      <c r="G8192" s="4" t="n">
        <v>5</v>
      </c>
      <c r="H8192" s="4" t="n">
        <v>4</v>
      </c>
      <c r="I8192" s="4" t="str">
        <v>×</v>
      </c>
      <c r="J8192" s="4"/>
      <c r="K8192" s="4"/>
      <c r="L8192" s="4"/>
      <c r="M8192" s="5" t="s">
        <v>5346</v>
      </c>
    </row>
    <row r="8193" customFormat="false" ht="15.75" hidden="false" customHeight="false" outlineLevel="0" collapsed="false">
      <c r="A8193" s="6" t="n">
        <v>46166</v>
      </c>
      <c r="B8193" s="4" t="s">
        <v>4473</v>
      </c>
      <c r="C8193" s="4" t="n">
        <v>11</v>
      </c>
      <c r="D8193" s="4" t="n">
        <v>16</v>
      </c>
      <c r="E8193" s="4" t="s">
        <v>5646</v>
      </c>
      <c r="F8193" s="4" t="n">
        <v>20</v>
      </c>
      <c r="G8193" s="4" t="n">
        <v>4</v>
      </c>
      <c r="H8193" s="4" t="n">
        <v>1</v>
      </c>
      <c r="I8193" s="4" t="str">
        <v>○</v>
      </c>
      <c r="J8193" s="4" t="n">
        <v>330</v>
      </c>
      <c r="K8193" s="4"/>
      <c r="L8193" s="4"/>
      <c r="M8193" s="5" t="s">
        <v>5346</v>
      </c>
    </row>
    <row r="8194" customFormat="false" ht="15.75" hidden="false" customHeight="false" outlineLevel="0" collapsed="false">
      <c r="A8194" s="6" t="n">
        <v>46166</v>
      </c>
      <c r="B8194" s="4" t="s">
        <v>4473</v>
      </c>
      <c r="C8194" s="4" t="n">
        <v>11</v>
      </c>
      <c r="D8194" s="4" t="n">
        <v>17</v>
      </c>
      <c r="E8194" s="4" t="s">
        <v>5647</v>
      </c>
      <c r="F8194" s="4" t="n">
        <v>10</v>
      </c>
      <c r="G8194" s="4" t="n">
        <v>7</v>
      </c>
      <c r="H8194" s="4" t="n">
        <v>4</v>
      </c>
      <c r="I8194" s="4" t="str">
        <v>×</v>
      </c>
      <c r="J8194" s="4"/>
      <c r="K8194" s="4"/>
      <c r="L8194" s="4"/>
      <c r="M8194" s="5" t="s">
        <v>5346</v>
      </c>
    </row>
    <row r="8195" customFormat="false" ht="15.75" hidden="false" customHeight="false" outlineLevel="0" collapsed="false">
      <c r="A8195" s="6" t="n">
        <v>46166</v>
      </c>
      <c r="B8195" s="4" t="s">
        <v>4473</v>
      </c>
      <c r="C8195" s="4" t="n">
        <v>11</v>
      </c>
      <c r="D8195" s="4" t="n">
        <v>18</v>
      </c>
      <c r="E8195" s="4" t="s">
        <v>5648</v>
      </c>
      <c r="F8195" s="4" t="n">
        <v>15</v>
      </c>
      <c r="G8195" s="4" t="n">
        <v>5</v>
      </c>
      <c r="H8195" s="4" t="n">
        <v>3</v>
      </c>
      <c r="I8195" s="4" t="str">
        <v>○</v>
      </c>
      <c r="J8195" s="4" t="n">
        <v>140</v>
      </c>
      <c r="K8195" s="4"/>
      <c r="L8195" s="4"/>
      <c r="M8195" s="5" t="s">
        <v>5346</v>
      </c>
    </row>
    <row r="8196" customFormat="false" ht="15.75" hidden="false" customHeight="false" outlineLevel="0" collapsed="false">
      <c r="A8196" s="6" t="n">
        <v>46166</v>
      </c>
      <c r="B8196" s="4" t="s">
        <v>4473</v>
      </c>
      <c r="C8196" s="4" t="n">
        <v>12</v>
      </c>
      <c r="D8196" s="4" t="n">
        <v>1</v>
      </c>
      <c r="E8196" s="4" t="s">
        <v>5649</v>
      </c>
      <c r="F8196" s="4" t="n">
        <v>29</v>
      </c>
      <c r="G8196" s="4" t="n">
        <v>4</v>
      </c>
      <c r="H8196" s="4" t="n">
        <v>4</v>
      </c>
      <c r="I8196" s="4" t="str">
        <v>×</v>
      </c>
      <c r="J8196" s="4"/>
      <c r="K8196" s="4"/>
      <c r="L8196" s="4"/>
      <c r="M8196" s="5" t="s">
        <v>5346</v>
      </c>
    </row>
    <row r="8197" customFormat="false" ht="15.75" hidden="false" customHeight="false" outlineLevel="0" collapsed="false">
      <c r="A8197" s="6" t="n">
        <v>46166</v>
      </c>
      <c r="B8197" s="4" t="s">
        <v>4473</v>
      </c>
      <c r="C8197" s="4" t="n">
        <v>12</v>
      </c>
      <c r="D8197" s="4" t="n">
        <v>2</v>
      </c>
      <c r="E8197" s="4" t="s">
        <v>2390</v>
      </c>
      <c r="F8197" s="4" t="n">
        <v>31</v>
      </c>
      <c r="G8197" s="4" t="n">
        <v>3</v>
      </c>
      <c r="H8197" s="4" t="n">
        <v>4</v>
      </c>
      <c r="I8197" s="4" t="str">
        <v>×</v>
      </c>
      <c r="J8197" s="4"/>
      <c r="K8197" s="4"/>
      <c r="L8197" s="4"/>
      <c r="M8197" s="5" t="s">
        <v>5346</v>
      </c>
    </row>
    <row r="8198" customFormat="false" ht="15.75" hidden="false" customHeight="false" outlineLevel="0" collapsed="false">
      <c r="A8198" s="6" t="n">
        <v>46166</v>
      </c>
      <c r="B8198" s="4" t="s">
        <v>4473</v>
      </c>
      <c r="C8198" s="4" t="n">
        <v>12</v>
      </c>
      <c r="D8198" s="4" t="n">
        <v>3</v>
      </c>
      <c r="E8198" s="4" t="s">
        <v>5650</v>
      </c>
      <c r="F8198" s="4" t="n">
        <v>31</v>
      </c>
      <c r="G8198" s="4" t="n">
        <v>3</v>
      </c>
      <c r="H8198" s="4" t="n">
        <v>4</v>
      </c>
      <c r="I8198" s="4" t="str">
        <v>×</v>
      </c>
      <c r="J8198" s="4"/>
      <c r="K8198" s="4"/>
      <c r="L8198" s="4"/>
      <c r="M8198" s="5" t="s">
        <v>5346</v>
      </c>
    </row>
    <row r="8199" customFormat="false" ht="15.75" hidden="false" customHeight="false" outlineLevel="0" collapsed="false">
      <c r="A8199" s="6" t="n">
        <v>46166</v>
      </c>
      <c r="B8199" s="4" t="s">
        <v>4473</v>
      </c>
      <c r="C8199" s="4" t="n">
        <v>12</v>
      </c>
      <c r="D8199" s="4" t="n">
        <v>4</v>
      </c>
      <c r="E8199" s="4" t="s">
        <v>2277</v>
      </c>
      <c r="F8199" s="4" t="n">
        <v>20</v>
      </c>
      <c r="G8199" s="4" t="n">
        <v>6</v>
      </c>
      <c r="H8199" s="4" t="n">
        <v>4</v>
      </c>
      <c r="I8199" s="4" t="str">
        <v>×</v>
      </c>
      <c r="J8199" s="4"/>
      <c r="K8199" s="4"/>
      <c r="L8199" s="4"/>
      <c r="M8199" s="5" t="s">
        <v>5346</v>
      </c>
    </row>
    <row r="8200" customFormat="false" ht="15.75" hidden="false" customHeight="false" outlineLevel="0" collapsed="false">
      <c r="A8200" s="6" t="n">
        <v>46166</v>
      </c>
      <c r="B8200" s="4" t="s">
        <v>4473</v>
      </c>
      <c r="C8200" s="4" t="n">
        <v>12</v>
      </c>
      <c r="D8200" s="4" t="n">
        <v>5</v>
      </c>
      <c r="E8200" s="4" t="s">
        <v>5651</v>
      </c>
      <c r="F8200" s="4" t="n">
        <v>34</v>
      </c>
      <c r="G8200" s="4" t="n">
        <v>2</v>
      </c>
      <c r="H8200" s="4" t="n">
        <v>2</v>
      </c>
      <c r="I8200" s="4" t="str">
        <v>○</v>
      </c>
      <c r="J8200" s="4" t="n">
        <v>150</v>
      </c>
      <c r="K8200" s="4"/>
      <c r="L8200" s="4"/>
      <c r="M8200" s="5" t="s">
        <v>5346</v>
      </c>
    </row>
    <row r="8201" customFormat="false" ht="15.75" hidden="false" customHeight="false" outlineLevel="0" collapsed="false">
      <c r="A8201" s="6" t="n">
        <v>46166</v>
      </c>
      <c r="B8201" s="4" t="s">
        <v>4473</v>
      </c>
      <c r="C8201" s="4" t="n">
        <v>12</v>
      </c>
      <c r="D8201" s="4" t="n">
        <v>6</v>
      </c>
      <c r="E8201" s="4" t="s">
        <v>5652</v>
      </c>
      <c r="F8201" s="4" t="n">
        <v>20</v>
      </c>
      <c r="G8201" s="4" t="n">
        <v>6</v>
      </c>
      <c r="H8201" s="4" t="n">
        <v>4</v>
      </c>
      <c r="I8201" s="4" t="str">
        <v>×</v>
      </c>
      <c r="J8201" s="4"/>
      <c r="K8201" s="4"/>
      <c r="L8201" s="4"/>
      <c r="M8201" s="5" t="s">
        <v>5346</v>
      </c>
    </row>
    <row r="8202" customFormat="false" ht="15.75" hidden="false" customHeight="false" outlineLevel="0" collapsed="false">
      <c r="A8202" s="6" t="n">
        <v>46166</v>
      </c>
      <c r="B8202" s="4" t="s">
        <v>4473</v>
      </c>
      <c r="C8202" s="4" t="n">
        <v>12</v>
      </c>
      <c r="D8202" s="4" t="n">
        <v>7</v>
      </c>
      <c r="E8202" s="4" t="s">
        <v>5653</v>
      </c>
      <c r="F8202" s="4" t="n">
        <v>62</v>
      </c>
      <c r="G8202" s="4" t="n">
        <v>1</v>
      </c>
      <c r="H8202" s="4" t="n">
        <v>1</v>
      </c>
      <c r="I8202" s="4" t="str">
        <v>○</v>
      </c>
      <c r="J8202" s="4" t="n">
        <v>120</v>
      </c>
      <c r="K8202" s="4"/>
      <c r="L8202" s="4"/>
      <c r="M8202" s="5" t="s">
        <v>5346</v>
      </c>
    </row>
    <row r="8203" customFormat="false" ht="15.75" hidden="false" customHeight="false" outlineLevel="0" collapsed="false">
      <c r="A8203" s="6" t="n">
        <v>46166</v>
      </c>
      <c r="B8203" s="4" t="s">
        <v>4473</v>
      </c>
      <c r="C8203" s="4" t="n">
        <v>12</v>
      </c>
      <c r="D8203" s="4" t="n">
        <v>8</v>
      </c>
      <c r="E8203" s="4" t="s">
        <v>5654</v>
      </c>
      <c r="F8203" s="4" t="n">
        <v>13</v>
      </c>
      <c r="G8203" s="4" t="n">
        <v>8</v>
      </c>
      <c r="H8203" s="4" t="n">
        <v>4</v>
      </c>
      <c r="I8203" s="4" t="str">
        <v>×</v>
      </c>
      <c r="J8203" s="4"/>
      <c r="K8203" s="4"/>
      <c r="L8203" s="4"/>
      <c r="M8203" s="5" t="s">
        <v>5346</v>
      </c>
    </row>
    <row r="8204" customFormat="false" ht="15.75" hidden="false" customHeight="false" outlineLevel="0" collapsed="false">
      <c r="A8204" s="6" t="n">
        <v>46166</v>
      </c>
      <c r="B8204" s="4" t="s">
        <v>4473</v>
      </c>
      <c r="C8204" s="4" t="n">
        <v>12</v>
      </c>
      <c r="D8204" s="4" t="n">
        <v>9</v>
      </c>
      <c r="E8204" s="4" t="s">
        <v>5655</v>
      </c>
      <c r="F8204" s="4" t="n">
        <v>10</v>
      </c>
      <c r="G8204" s="4" t="n">
        <v>9</v>
      </c>
      <c r="H8204" s="4" t="n">
        <v>4</v>
      </c>
      <c r="I8204" s="4" t="str">
        <v>×</v>
      </c>
      <c r="J8204" s="4"/>
      <c r="K8204" s="4"/>
      <c r="L8204" s="4"/>
      <c r="M8204" s="5" t="s">
        <v>5346</v>
      </c>
    </row>
    <row r="8205" customFormat="false" ht="15.75" hidden="false" customHeight="false" outlineLevel="0" collapsed="false">
      <c r="A8205" s="6" t="n">
        <v>46166</v>
      </c>
      <c r="B8205" s="4" t="s">
        <v>4473</v>
      </c>
      <c r="C8205" s="4" t="n">
        <v>12</v>
      </c>
      <c r="D8205" s="4" t="n">
        <v>10</v>
      </c>
      <c r="E8205" s="4" t="s">
        <v>5656</v>
      </c>
      <c r="F8205" s="4" t="n">
        <v>13</v>
      </c>
      <c r="G8205" s="4" t="n">
        <v>8</v>
      </c>
      <c r="H8205" s="4" t="n">
        <v>4</v>
      </c>
      <c r="I8205" s="4" t="str">
        <v>×</v>
      </c>
      <c r="J8205" s="4"/>
      <c r="K8205" s="4"/>
      <c r="L8205" s="4"/>
      <c r="M8205" s="5" t="s">
        <v>5346</v>
      </c>
    </row>
    <row r="8206" customFormat="false" ht="15.75" hidden="false" customHeight="false" outlineLevel="0" collapsed="false">
      <c r="A8206" s="6" t="n">
        <v>46166</v>
      </c>
      <c r="B8206" s="4" t="s">
        <v>4473</v>
      </c>
      <c r="C8206" s="4" t="n">
        <v>12</v>
      </c>
      <c r="D8206" s="4" t="n">
        <v>11</v>
      </c>
      <c r="E8206" s="4" t="s">
        <v>5657</v>
      </c>
      <c r="F8206" s="4" t="n">
        <v>31</v>
      </c>
      <c r="G8206" s="4" t="n">
        <v>3</v>
      </c>
      <c r="H8206" s="4" t="n">
        <v>4</v>
      </c>
      <c r="I8206" s="4" t="str">
        <v>×</v>
      </c>
      <c r="J8206" s="4"/>
      <c r="K8206" s="4"/>
      <c r="L8206" s="4"/>
      <c r="M8206" s="5" t="s">
        <v>5346</v>
      </c>
    </row>
    <row r="8207" customFormat="false" ht="15.75" hidden="false" customHeight="false" outlineLevel="0" collapsed="false">
      <c r="A8207" s="6" t="n">
        <v>46166</v>
      </c>
      <c r="B8207" s="4" t="s">
        <v>4473</v>
      </c>
      <c r="C8207" s="4" t="n">
        <v>12</v>
      </c>
      <c r="D8207" s="4" t="n">
        <v>12</v>
      </c>
      <c r="E8207" s="4" t="s">
        <v>5658</v>
      </c>
      <c r="F8207" s="4" t="n">
        <v>31</v>
      </c>
      <c r="G8207" s="4" t="n">
        <v>3</v>
      </c>
      <c r="H8207" s="4" t="n">
        <v>4</v>
      </c>
      <c r="I8207" s="4" t="str">
        <v>×</v>
      </c>
      <c r="J8207" s="4"/>
      <c r="K8207" s="4"/>
      <c r="L8207" s="4"/>
      <c r="M8207" s="5" t="s">
        <v>5346</v>
      </c>
    </row>
    <row r="8208" customFormat="false" ht="15.75" hidden="false" customHeight="false" outlineLevel="0" collapsed="false">
      <c r="A8208" s="6" t="n">
        <v>46166</v>
      </c>
      <c r="B8208" s="4" t="s">
        <v>4473</v>
      </c>
      <c r="C8208" s="4" t="n">
        <v>12</v>
      </c>
      <c r="D8208" s="4" t="n">
        <v>13</v>
      </c>
      <c r="E8208" s="4" t="s">
        <v>5659</v>
      </c>
      <c r="F8208" s="4" t="n">
        <v>23</v>
      </c>
      <c r="G8208" s="4" t="n">
        <v>5</v>
      </c>
      <c r="H8208" s="4" t="n">
        <v>4</v>
      </c>
      <c r="I8208" s="4" t="str">
        <v>×</v>
      </c>
      <c r="J8208" s="4"/>
      <c r="K8208" s="4"/>
      <c r="L8208" s="4"/>
      <c r="M8208" s="5" t="s">
        <v>5346</v>
      </c>
    </row>
    <row r="8209" customFormat="false" ht="15.75" hidden="false" customHeight="false" outlineLevel="0" collapsed="false">
      <c r="A8209" s="6" t="n">
        <v>46166</v>
      </c>
      <c r="B8209" s="4" t="s">
        <v>4473</v>
      </c>
      <c r="C8209" s="4" t="n">
        <v>12</v>
      </c>
      <c r="D8209" s="4" t="n">
        <v>14</v>
      </c>
      <c r="E8209" s="4" t="s">
        <v>4204</v>
      </c>
      <c r="F8209" s="4" t="n">
        <v>17</v>
      </c>
      <c r="G8209" s="4" t="n">
        <v>7</v>
      </c>
      <c r="H8209" s="4" t="n">
        <v>3</v>
      </c>
      <c r="I8209" s="4" t="str">
        <v>○</v>
      </c>
      <c r="J8209" s="4" t="n">
        <v>200</v>
      </c>
      <c r="K8209" s="4"/>
      <c r="L8209" s="4"/>
      <c r="M8209" s="5" t="s">
        <v>5346</v>
      </c>
    </row>
    <row r="8210" customFormat="false" ht="15.75" hidden="false" customHeight="false" outlineLevel="0" collapsed="false">
      <c r="A8210" s="6" t="n">
        <v>46166</v>
      </c>
      <c r="B8210" s="4" t="s">
        <v>4473</v>
      </c>
      <c r="C8210" s="4" t="n">
        <v>12</v>
      </c>
      <c r="D8210" s="4" t="n">
        <v>15</v>
      </c>
      <c r="E8210" s="4" t="s">
        <v>3759</v>
      </c>
      <c r="F8210" s="4" t="n">
        <v>6</v>
      </c>
      <c r="G8210" s="4" t="n">
        <v>10</v>
      </c>
      <c r="H8210" s="4" t="n">
        <v>4</v>
      </c>
      <c r="I8210" s="4" t="str">
        <v>×</v>
      </c>
      <c r="J8210" s="4"/>
      <c r="K8210" s="4"/>
      <c r="L8210" s="4"/>
      <c r="M8210" s="5" t="s">
        <v>5346</v>
      </c>
    </row>
    <row r="8211" customFormat="false" ht="15.75" hidden="false" customHeight="false" outlineLevel="0" collapsed="false">
      <c r="A8211" s="6" t="n">
        <v>46166</v>
      </c>
      <c r="B8211" s="4" t="s">
        <v>4473</v>
      </c>
      <c r="C8211" s="4" t="n">
        <v>12</v>
      </c>
      <c r="D8211" s="4" t="n">
        <v>16</v>
      </c>
      <c r="E8211" s="4" t="s">
        <v>2389</v>
      </c>
      <c r="F8211" s="4" t="n">
        <v>13</v>
      </c>
      <c r="G8211" s="4" t="n">
        <v>8</v>
      </c>
      <c r="H8211" s="4" t="n">
        <v>4</v>
      </c>
      <c r="I8211" s="4" t="str">
        <v>×</v>
      </c>
      <c r="J8211" s="4"/>
      <c r="K8211" s="4"/>
      <c r="L8211" s="4"/>
      <c r="M8211" s="5" t="s">
        <v>5346</v>
      </c>
    </row>
    <row r="8212" customFormat="false" ht="15.75" hidden="false" customHeight="false" outlineLevel="0" collapsed="false">
      <c r="A8212" s="6" t="n">
        <v>46166</v>
      </c>
      <c r="B8212" s="4" t="s">
        <v>5435</v>
      </c>
      <c r="C8212" s="4" t="n">
        <v>1</v>
      </c>
      <c r="D8212" s="4" t="n">
        <v>1</v>
      </c>
      <c r="E8212" s="4" t="s">
        <v>5234</v>
      </c>
      <c r="F8212" s="4" t="n">
        <v>6</v>
      </c>
      <c r="G8212" s="4" t="n">
        <v>9</v>
      </c>
      <c r="H8212" s="4" t="n">
        <v>4</v>
      </c>
      <c r="I8212" s="4" t="str">
        <v>×</v>
      </c>
      <c r="J8212" s="4"/>
      <c r="K8212" s="4"/>
      <c r="L8212" s="4"/>
      <c r="M8212" s="5" t="s">
        <v>5346</v>
      </c>
    </row>
    <row r="8213" customFormat="false" ht="15.75" hidden="false" customHeight="false" outlineLevel="0" collapsed="false">
      <c r="A8213" s="6" t="n">
        <v>46166</v>
      </c>
      <c r="B8213" s="4" t="s">
        <v>5435</v>
      </c>
      <c r="C8213" s="4" t="n">
        <v>1</v>
      </c>
      <c r="D8213" s="4" t="n">
        <v>2</v>
      </c>
      <c r="E8213" s="4" t="s">
        <v>2028</v>
      </c>
      <c r="F8213" s="4" t="n">
        <v>10</v>
      </c>
      <c r="G8213" s="4" t="n">
        <v>7</v>
      </c>
      <c r="H8213" s="4" t="n">
        <v>3</v>
      </c>
      <c r="I8213" s="4" t="str">
        <v>○</v>
      </c>
      <c r="J8213" s="4" t="n">
        <v>2020</v>
      </c>
      <c r="K8213" s="4"/>
      <c r="L8213" s="4"/>
      <c r="M8213" s="5" t="s">
        <v>5346</v>
      </c>
    </row>
    <row r="8214" customFormat="false" ht="15.75" hidden="false" customHeight="false" outlineLevel="0" collapsed="false">
      <c r="A8214" s="6" t="n">
        <v>46166</v>
      </c>
      <c r="B8214" s="4" t="s">
        <v>5435</v>
      </c>
      <c r="C8214" s="4" t="n">
        <v>1</v>
      </c>
      <c r="D8214" s="4" t="n">
        <v>3</v>
      </c>
      <c r="E8214" s="4" t="s">
        <v>5660</v>
      </c>
      <c r="F8214" s="4" t="n">
        <v>4</v>
      </c>
      <c r="G8214" s="4" t="n">
        <v>10</v>
      </c>
      <c r="H8214" s="4" t="n">
        <v>4</v>
      </c>
      <c r="I8214" s="4" t="str">
        <v>×</v>
      </c>
      <c r="J8214" s="4"/>
      <c r="K8214" s="4"/>
      <c r="L8214" s="4"/>
      <c r="M8214" s="5" t="s">
        <v>5346</v>
      </c>
    </row>
    <row r="8215" customFormat="false" ht="15.75" hidden="false" customHeight="false" outlineLevel="0" collapsed="false">
      <c r="A8215" s="6" t="n">
        <v>46166</v>
      </c>
      <c r="B8215" s="4" t="s">
        <v>5435</v>
      </c>
      <c r="C8215" s="4" t="n">
        <v>1</v>
      </c>
      <c r="D8215" s="4" t="n">
        <v>4</v>
      </c>
      <c r="E8215" s="4" t="s">
        <v>1751</v>
      </c>
      <c r="F8215" s="4" t="n">
        <v>10</v>
      </c>
      <c r="G8215" s="4" t="n">
        <v>7</v>
      </c>
      <c r="H8215" s="4" t="n">
        <v>4</v>
      </c>
      <c r="I8215" s="4" t="str">
        <v>×</v>
      </c>
      <c r="J8215" s="4"/>
      <c r="K8215" s="4"/>
      <c r="L8215" s="4"/>
      <c r="M8215" s="5" t="s">
        <v>5346</v>
      </c>
    </row>
    <row r="8216" customFormat="false" ht="15.75" hidden="false" customHeight="false" outlineLevel="0" collapsed="false">
      <c r="A8216" s="6" t="n">
        <v>46166</v>
      </c>
      <c r="B8216" s="4" t="s">
        <v>5435</v>
      </c>
      <c r="C8216" s="4" t="n">
        <v>1</v>
      </c>
      <c r="D8216" s="4" t="n">
        <v>5</v>
      </c>
      <c r="E8216" s="4" t="s">
        <v>846</v>
      </c>
      <c r="F8216" s="4" t="n">
        <v>4</v>
      </c>
      <c r="G8216" s="4" t="n">
        <v>10</v>
      </c>
      <c r="H8216" s="4" t="n">
        <v>4</v>
      </c>
      <c r="I8216" s="4" t="str">
        <v>×</v>
      </c>
      <c r="J8216" s="4"/>
      <c r="K8216" s="4"/>
      <c r="L8216" s="4"/>
      <c r="M8216" s="5" t="s">
        <v>5346</v>
      </c>
    </row>
    <row r="8217" customFormat="false" ht="15.75" hidden="false" customHeight="false" outlineLevel="0" collapsed="false">
      <c r="A8217" s="6" t="n">
        <v>46166</v>
      </c>
      <c r="B8217" s="4" t="s">
        <v>5435</v>
      </c>
      <c r="C8217" s="4" t="n">
        <v>1</v>
      </c>
      <c r="D8217" s="4" t="n">
        <v>6</v>
      </c>
      <c r="E8217" s="4" t="s">
        <v>2849</v>
      </c>
      <c r="F8217" s="4" t="n">
        <v>31</v>
      </c>
      <c r="G8217" s="4" t="n">
        <v>4</v>
      </c>
      <c r="H8217" s="4" t="n">
        <v>4</v>
      </c>
      <c r="I8217" s="4" t="str">
        <v>×</v>
      </c>
      <c r="J8217" s="4"/>
      <c r="K8217" s="4"/>
      <c r="L8217" s="4"/>
      <c r="M8217" s="5" t="s">
        <v>5346</v>
      </c>
    </row>
    <row r="8218" customFormat="false" ht="15.75" hidden="false" customHeight="false" outlineLevel="0" collapsed="false">
      <c r="A8218" s="6" t="n">
        <v>46166</v>
      </c>
      <c r="B8218" s="4" t="s">
        <v>5435</v>
      </c>
      <c r="C8218" s="4" t="n">
        <v>1</v>
      </c>
      <c r="D8218" s="4" t="n">
        <v>7</v>
      </c>
      <c r="E8218" s="4" t="s">
        <v>4597</v>
      </c>
      <c r="F8218" s="4" t="n">
        <v>39</v>
      </c>
      <c r="G8218" s="4" t="n">
        <v>3</v>
      </c>
      <c r="H8218" s="4" t="n">
        <v>2</v>
      </c>
      <c r="I8218" s="4" t="str">
        <v>○</v>
      </c>
      <c r="J8218" s="4" t="n">
        <v>340</v>
      </c>
      <c r="K8218" s="4"/>
      <c r="L8218" s="4"/>
      <c r="M8218" s="5" t="s">
        <v>5346</v>
      </c>
    </row>
    <row r="8219" customFormat="false" ht="15.75" hidden="false" customHeight="false" outlineLevel="0" collapsed="false">
      <c r="A8219" s="6" t="n">
        <v>46166</v>
      </c>
      <c r="B8219" s="4" t="s">
        <v>5435</v>
      </c>
      <c r="C8219" s="4" t="n">
        <v>1</v>
      </c>
      <c r="D8219" s="4" t="n">
        <v>8</v>
      </c>
      <c r="E8219" s="4" t="s">
        <v>782</v>
      </c>
      <c r="F8219" s="4" t="n">
        <v>13</v>
      </c>
      <c r="G8219" s="4" t="n">
        <v>6</v>
      </c>
      <c r="H8219" s="4" t="n">
        <v>4</v>
      </c>
      <c r="I8219" s="4" t="str">
        <v>×</v>
      </c>
      <c r="J8219" s="4"/>
      <c r="K8219" s="4"/>
      <c r="L8219" s="4"/>
      <c r="M8219" s="5" t="s">
        <v>5346</v>
      </c>
    </row>
    <row r="8220" customFormat="false" ht="15.75" hidden="false" customHeight="false" outlineLevel="0" collapsed="false">
      <c r="A8220" s="6" t="n">
        <v>46166</v>
      </c>
      <c r="B8220" s="4" t="s">
        <v>5435</v>
      </c>
      <c r="C8220" s="4" t="n">
        <v>1</v>
      </c>
      <c r="D8220" s="4" t="n">
        <v>9</v>
      </c>
      <c r="E8220" s="4" t="s">
        <v>5661</v>
      </c>
      <c r="F8220" s="4" t="n">
        <v>3</v>
      </c>
      <c r="G8220" s="4" t="n">
        <v>11</v>
      </c>
      <c r="H8220" s="4" t="n">
        <v>4</v>
      </c>
      <c r="I8220" s="4" t="str">
        <v>×</v>
      </c>
      <c r="J8220" s="4"/>
      <c r="K8220" s="4"/>
      <c r="L8220" s="4"/>
      <c r="M8220" s="5" t="s">
        <v>5346</v>
      </c>
    </row>
    <row r="8221" customFormat="false" ht="15.75" hidden="false" customHeight="false" outlineLevel="0" collapsed="false">
      <c r="A8221" s="6" t="n">
        <v>46166</v>
      </c>
      <c r="B8221" s="4" t="s">
        <v>5435</v>
      </c>
      <c r="C8221" s="4" t="n">
        <v>1</v>
      </c>
      <c r="D8221" s="4" t="n">
        <v>10</v>
      </c>
      <c r="E8221" s="4" t="s">
        <v>3143</v>
      </c>
      <c r="F8221" s="4" t="n">
        <v>15</v>
      </c>
      <c r="G8221" s="4" t="n">
        <v>5</v>
      </c>
      <c r="H8221" s="4" t="n">
        <v>4</v>
      </c>
      <c r="I8221" s="4" t="str">
        <v>×</v>
      </c>
      <c r="J8221" s="4"/>
      <c r="K8221" s="4"/>
      <c r="L8221" s="4"/>
      <c r="M8221" s="5" t="s">
        <v>5346</v>
      </c>
    </row>
    <row r="8222" customFormat="false" ht="15.75" hidden="false" customHeight="false" outlineLevel="0" collapsed="false">
      <c r="A8222" s="6" t="n">
        <v>46166</v>
      </c>
      <c r="B8222" s="4" t="s">
        <v>5435</v>
      </c>
      <c r="C8222" s="4" t="n">
        <v>1</v>
      </c>
      <c r="D8222" s="4" t="n">
        <v>11</v>
      </c>
      <c r="E8222" s="4" t="s">
        <v>3609</v>
      </c>
      <c r="F8222" s="4" t="n">
        <v>60</v>
      </c>
      <c r="G8222" s="4" t="n">
        <v>1</v>
      </c>
      <c r="H8222" s="4" t="n">
        <v>4</v>
      </c>
      <c r="I8222" s="4" t="str">
        <v>×</v>
      </c>
      <c r="J8222" s="4"/>
      <c r="K8222" s="4"/>
      <c r="L8222" s="4"/>
      <c r="M8222" s="5" t="s">
        <v>5346</v>
      </c>
    </row>
    <row r="8223" customFormat="false" ht="15.75" hidden="false" customHeight="false" outlineLevel="0" collapsed="false">
      <c r="A8223" s="6" t="n">
        <v>46166</v>
      </c>
      <c r="B8223" s="4" t="s">
        <v>5435</v>
      </c>
      <c r="C8223" s="4" t="n">
        <v>1</v>
      </c>
      <c r="D8223" s="4" t="n">
        <v>12</v>
      </c>
      <c r="E8223" s="4" t="s">
        <v>5662</v>
      </c>
      <c r="F8223" s="4" t="n">
        <v>15</v>
      </c>
      <c r="G8223" s="4" t="n">
        <v>5</v>
      </c>
      <c r="H8223" s="4"/>
      <c r="I8223" s="4" t="str">
        <v/>
      </c>
      <c r="J8223" s="4"/>
      <c r="K8223" s="4"/>
      <c r="L8223" s="4"/>
      <c r="M8223" s="5" t="s">
        <v>5346</v>
      </c>
    </row>
    <row r="8224" customFormat="false" ht="15.75" hidden="false" customHeight="false" outlineLevel="0" collapsed="false">
      <c r="A8224" s="6" t="n">
        <v>46166</v>
      </c>
      <c r="B8224" s="4" t="s">
        <v>5435</v>
      </c>
      <c r="C8224" s="4" t="n">
        <v>1</v>
      </c>
      <c r="D8224" s="4" t="n">
        <v>13</v>
      </c>
      <c r="E8224" s="4" t="s">
        <v>5233</v>
      </c>
      <c r="F8224" s="4" t="n">
        <v>10</v>
      </c>
      <c r="G8224" s="4" t="n">
        <v>7</v>
      </c>
      <c r="H8224" s="4" t="n">
        <v>4</v>
      </c>
      <c r="I8224" s="4" t="str">
        <v>×</v>
      </c>
      <c r="J8224" s="4"/>
      <c r="K8224" s="4"/>
      <c r="L8224" s="4"/>
      <c r="M8224" s="5" t="s">
        <v>5346</v>
      </c>
    </row>
    <row r="8225" customFormat="false" ht="15.75" hidden="false" customHeight="false" outlineLevel="0" collapsed="false">
      <c r="A8225" s="6" t="n">
        <v>46166</v>
      </c>
      <c r="B8225" s="4" t="s">
        <v>5435</v>
      </c>
      <c r="C8225" s="4" t="n">
        <v>1</v>
      </c>
      <c r="D8225" s="4" t="n">
        <v>14</v>
      </c>
      <c r="E8225" s="4" t="s">
        <v>3598</v>
      </c>
      <c r="F8225" s="4" t="n">
        <v>4</v>
      </c>
      <c r="G8225" s="4" t="n">
        <v>10</v>
      </c>
      <c r="H8225" s="4" t="n">
        <v>4</v>
      </c>
      <c r="I8225" s="4" t="str">
        <v>×</v>
      </c>
      <c r="J8225" s="4"/>
      <c r="K8225" s="4"/>
      <c r="L8225" s="4"/>
      <c r="M8225" s="5" t="s">
        <v>5346</v>
      </c>
    </row>
    <row r="8226" customFormat="false" ht="15.75" hidden="false" customHeight="false" outlineLevel="0" collapsed="false">
      <c r="A8226" s="6" t="n">
        <v>46166</v>
      </c>
      <c r="B8226" s="4" t="s">
        <v>5435</v>
      </c>
      <c r="C8226" s="4" t="n">
        <v>1</v>
      </c>
      <c r="D8226" s="4" t="n">
        <v>15</v>
      </c>
      <c r="E8226" s="4" t="s">
        <v>1127</v>
      </c>
      <c r="F8226" s="4" t="n">
        <v>8</v>
      </c>
      <c r="G8226" s="4" t="n">
        <v>8</v>
      </c>
      <c r="H8226" s="4" t="n">
        <v>4</v>
      </c>
      <c r="I8226" s="4" t="str">
        <v>×</v>
      </c>
      <c r="J8226" s="4"/>
      <c r="K8226" s="4"/>
      <c r="L8226" s="4"/>
      <c r="M8226" s="5" t="s">
        <v>5346</v>
      </c>
    </row>
    <row r="8227" customFormat="false" ht="15.75" hidden="false" customHeight="false" outlineLevel="0" collapsed="false">
      <c r="A8227" s="6" t="n">
        <v>46166</v>
      </c>
      <c r="B8227" s="4" t="s">
        <v>5435</v>
      </c>
      <c r="C8227" s="4" t="n">
        <v>1</v>
      </c>
      <c r="D8227" s="4" t="n">
        <v>16</v>
      </c>
      <c r="E8227" s="4" t="s">
        <v>2113</v>
      </c>
      <c r="F8227" s="4" t="n">
        <v>56</v>
      </c>
      <c r="G8227" s="4" t="n">
        <v>2</v>
      </c>
      <c r="H8227" s="4" t="n">
        <v>1</v>
      </c>
      <c r="I8227" s="4" t="str">
        <v>○</v>
      </c>
      <c r="J8227" s="4" t="n">
        <v>160</v>
      </c>
      <c r="K8227" s="4"/>
      <c r="L8227" s="4"/>
      <c r="M8227" s="5" t="s">
        <v>5346</v>
      </c>
    </row>
    <row r="8228" customFormat="false" ht="15.75" hidden="false" customHeight="false" outlineLevel="0" collapsed="false">
      <c r="A8228" s="6" t="n">
        <v>46166</v>
      </c>
      <c r="B8228" s="4" t="s">
        <v>5435</v>
      </c>
      <c r="C8228" s="4" t="n">
        <v>2</v>
      </c>
      <c r="D8228" s="4" t="n">
        <v>1</v>
      </c>
      <c r="E8228" s="4" t="s">
        <v>359</v>
      </c>
      <c r="F8228" s="4" t="n">
        <v>41</v>
      </c>
      <c r="G8228" s="4" t="n">
        <v>3</v>
      </c>
      <c r="H8228" s="4" t="n">
        <v>4</v>
      </c>
      <c r="I8228" s="4" t="str">
        <v>×</v>
      </c>
      <c r="J8228" s="4"/>
      <c r="K8228" s="4"/>
      <c r="L8228" s="4"/>
      <c r="M8228" s="5" t="s">
        <v>5346</v>
      </c>
    </row>
    <row r="8229" customFormat="false" ht="15.75" hidden="false" customHeight="false" outlineLevel="0" collapsed="false">
      <c r="A8229" s="6" t="n">
        <v>46166</v>
      </c>
      <c r="B8229" s="4" t="s">
        <v>5435</v>
      </c>
      <c r="C8229" s="4" t="n">
        <v>2</v>
      </c>
      <c r="D8229" s="4" t="n">
        <v>2</v>
      </c>
      <c r="E8229" s="4" t="s">
        <v>5257</v>
      </c>
      <c r="F8229" s="4" t="n">
        <v>25</v>
      </c>
      <c r="G8229" s="4" t="n">
        <v>5</v>
      </c>
      <c r="H8229" s="4" t="n">
        <v>4</v>
      </c>
      <c r="I8229" s="4" t="str">
        <v>×</v>
      </c>
      <c r="J8229" s="4"/>
      <c r="K8229" s="4"/>
      <c r="L8229" s="4"/>
      <c r="M8229" s="5" t="s">
        <v>5346</v>
      </c>
    </row>
    <row r="8230" customFormat="false" ht="15.75" hidden="false" customHeight="false" outlineLevel="0" collapsed="false">
      <c r="A8230" s="6" t="n">
        <v>46166</v>
      </c>
      <c r="B8230" s="4" t="s">
        <v>5435</v>
      </c>
      <c r="C8230" s="4" t="n">
        <v>2</v>
      </c>
      <c r="D8230" s="4" t="n">
        <v>3</v>
      </c>
      <c r="E8230" s="4" t="s">
        <v>5663</v>
      </c>
      <c r="F8230" s="4" t="n">
        <v>17</v>
      </c>
      <c r="G8230" s="4" t="n">
        <v>6</v>
      </c>
      <c r="H8230" s="4" t="n">
        <v>4</v>
      </c>
      <c r="I8230" s="4" t="str">
        <v>×</v>
      </c>
      <c r="J8230" s="4"/>
      <c r="K8230" s="4"/>
      <c r="L8230" s="4"/>
      <c r="M8230" s="5" t="s">
        <v>5346</v>
      </c>
    </row>
    <row r="8231" customFormat="false" ht="15.75" hidden="false" customHeight="false" outlineLevel="0" collapsed="false">
      <c r="A8231" s="6" t="n">
        <v>46166</v>
      </c>
      <c r="B8231" s="4" t="s">
        <v>5435</v>
      </c>
      <c r="C8231" s="4" t="n">
        <v>2</v>
      </c>
      <c r="D8231" s="4" t="n">
        <v>4</v>
      </c>
      <c r="E8231" s="4" t="s">
        <v>326</v>
      </c>
      <c r="F8231" s="4" t="n">
        <v>25</v>
      </c>
      <c r="G8231" s="4" t="n">
        <v>5</v>
      </c>
      <c r="H8231" s="4" t="n">
        <v>4</v>
      </c>
      <c r="I8231" s="4" t="str">
        <v>×</v>
      </c>
      <c r="J8231" s="4"/>
      <c r="K8231" s="4"/>
      <c r="L8231" s="4"/>
      <c r="M8231" s="5" t="s">
        <v>5346</v>
      </c>
    </row>
    <row r="8232" customFormat="false" ht="15.75" hidden="false" customHeight="false" outlineLevel="0" collapsed="false">
      <c r="A8232" s="6" t="n">
        <v>46166</v>
      </c>
      <c r="B8232" s="4" t="s">
        <v>5435</v>
      </c>
      <c r="C8232" s="4" t="n">
        <v>2</v>
      </c>
      <c r="D8232" s="4" t="n">
        <v>5</v>
      </c>
      <c r="E8232" s="4" t="s">
        <v>5664</v>
      </c>
      <c r="F8232" s="4" t="n">
        <v>10</v>
      </c>
      <c r="G8232" s="4" t="n">
        <v>7</v>
      </c>
      <c r="H8232" s="4" t="n">
        <v>4</v>
      </c>
      <c r="I8232" s="4" t="str">
        <v>×</v>
      </c>
      <c r="J8232" s="4"/>
      <c r="K8232" s="4"/>
      <c r="L8232" s="4"/>
      <c r="M8232" s="5" t="s">
        <v>5346</v>
      </c>
    </row>
    <row r="8233" customFormat="false" ht="15.75" hidden="false" customHeight="false" outlineLevel="0" collapsed="false">
      <c r="A8233" s="6" t="n">
        <v>46166</v>
      </c>
      <c r="B8233" s="4" t="s">
        <v>5435</v>
      </c>
      <c r="C8233" s="4" t="n">
        <v>2</v>
      </c>
      <c r="D8233" s="4" t="n">
        <v>6</v>
      </c>
      <c r="E8233" s="4" t="s">
        <v>5004</v>
      </c>
      <c r="F8233" s="4" t="n">
        <v>10</v>
      </c>
      <c r="G8233" s="4" t="n">
        <v>7</v>
      </c>
      <c r="H8233" s="4" t="n">
        <v>3</v>
      </c>
      <c r="I8233" s="4" t="str">
        <v>○</v>
      </c>
      <c r="J8233" s="4" t="n">
        <v>640</v>
      </c>
      <c r="K8233" s="4"/>
      <c r="L8233" s="4"/>
      <c r="M8233" s="5" t="s">
        <v>5346</v>
      </c>
    </row>
    <row r="8234" customFormat="false" ht="15.75" hidden="false" customHeight="false" outlineLevel="0" collapsed="false">
      <c r="A8234" s="6" t="n">
        <v>46166</v>
      </c>
      <c r="B8234" s="4" t="s">
        <v>5435</v>
      </c>
      <c r="C8234" s="4" t="n">
        <v>2</v>
      </c>
      <c r="D8234" s="4" t="n">
        <v>7</v>
      </c>
      <c r="E8234" s="4" t="s">
        <v>5665</v>
      </c>
      <c r="F8234" s="4" t="n">
        <v>58</v>
      </c>
      <c r="G8234" s="4" t="n">
        <v>1</v>
      </c>
      <c r="H8234" s="4" t="n">
        <v>1</v>
      </c>
      <c r="I8234" s="4" t="str">
        <v>○</v>
      </c>
      <c r="J8234" s="4" t="n">
        <v>180</v>
      </c>
      <c r="K8234" s="4"/>
      <c r="L8234" s="4"/>
      <c r="M8234" s="5" t="s">
        <v>5346</v>
      </c>
    </row>
    <row r="8235" customFormat="false" ht="15.75" hidden="false" customHeight="false" outlineLevel="0" collapsed="false">
      <c r="A8235" s="6" t="n">
        <v>46166</v>
      </c>
      <c r="B8235" s="4" t="s">
        <v>5435</v>
      </c>
      <c r="C8235" s="4" t="n">
        <v>2</v>
      </c>
      <c r="D8235" s="4" t="n">
        <v>8</v>
      </c>
      <c r="E8235" s="4" t="s">
        <v>5666</v>
      </c>
      <c r="F8235" s="4" t="n">
        <v>10</v>
      </c>
      <c r="G8235" s="4" t="n">
        <v>7</v>
      </c>
      <c r="H8235" s="4" t="n">
        <v>4</v>
      </c>
      <c r="I8235" s="4" t="str">
        <v>×</v>
      </c>
      <c r="J8235" s="4"/>
      <c r="K8235" s="4"/>
      <c r="L8235" s="4"/>
      <c r="M8235" s="5" t="s">
        <v>5346</v>
      </c>
    </row>
    <row r="8236" customFormat="false" ht="15.75" hidden="false" customHeight="false" outlineLevel="0" collapsed="false">
      <c r="A8236" s="6" t="n">
        <v>46166</v>
      </c>
      <c r="B8236" s="4" t="s">
        <v>5435</v>
      </c>
      <c r="C8236" s="4" t="n">
        <v>2</v>
      </c>
      <c r="D8236" s="4" t="n">
        <v>9</v>
      </c>
      <c r="E8236" s="4" t="s">
        <v>2448</v>
      </c>
      <c r="F8236" s="4" t="n">
        <v>6</v>
      </c>
      <c r="G8236" s="4" t="n">
        <v>8</v>
      </c>
      <c r="H8236" s="4" t="n">
        <v>4</v>
      </c>
      <c r="I8236" s="4" t="str">
        <v>×</v>
      </c>
      <c r="J8236" s="4"/>
      <c r="K8236" s="4"/>
      <c r="L8236" s="4"/>
      <c r="M8236" s="5" t="s">
        <v>5346</v>
      </c>
    </row>
    <row r="8237" customFormat="false" ht="15.75" hidden="false" customHeight="false" outlineLevel="0" collapsed="false">
      <c r="A8237" s="6" t="n">
        <v>46166</v>
      </c>
      <c r="B8237" s="4" t="s">
        <v>5435</v>
      </c>
      <c r="C8237" s="4" t="n">
        <v>2</v>
      </c>
      <c r="D8237" s="4" t="n">
        <v>10</v>
      </c>
      <c r="E8237" s="4" t="s">
        <v>659</v>
      </c>
      <c r="F8237" s="4" t="n">
        <v>10</v>
      </c>
      <c r="G8237" s="4" t="n">
        <v>7</v>
      </c>
      <c r="H8237" s="4" t="n">
        <v>4</v>
      </c>
      <c r="I8237" s="4" t="str">
        <v>×</v>
      </c>
      <c r="J8237" s="4"/>
      <c r="K8237" s="4"/>
      <c r="L8237" s="4"/>
      <c r="M8237" s="5" t="s">
        <v>5346</v>
      </c>
    </row>
    <row r="8238" customFormat="false" ht="15.75" hidden="false" customHeight="false" outlineLevel="0" collapsed="false">
      <c r="A8238" s="6" t="n">
        <v>46166</v>
      </c>
      <c r="B8238" s="4" t="s">
        <v>5435</v>
      </c>
      <c r="C8238" s="4" t="n">
        <v>2</v>
      </c>
      <c r="D8238" s="4" t="n">
        <v>11</v>
      </c>
      <c r="E8238" s="4" t="s">
        <v>4231</v>
      </c>
      <c r="F8238" s="4" t="n">
        <v>25</v>
      </c>
      <c r="G8238" s="4" t="n">
        <v>5</v>
      </c>
      <c r="H8238" s="4" t="n">
        <v>4</v>
      </c>
      <c r="I8238" s="4" t="str">
        <v>×</v>
      </c>
      <c r="J8238" s="4"/>
      <c r="K8238" s="4"/>
      <c r="L8238" s="4"/>
      <c r="M8238" s="5" t="s">
        <v>5346</v>
      </c>
    </row>
    <row r="8239" customFormat="false" ht="15.75" hidden="false" customHeight="false" outlineLevel="0" collapsed="false">
      <c r="A8239" s="6" t="n">
        <v>46166</v>
      </c>
      <c r="B8239" s="4" t="s">
        <v>5435</v>
      </c>
      <c r="C8239" s="4" t="n">
        <v>2</v>
      </c>
      <c r="D8239" s="4" t="n">
        <v>12</v>
      </c>
      <c r="E8239" s="4" t="s">
        <v>5667</v>
      </c>
      <c r="F8239" s="4" t="n">
        <v>56</v>
      </c>
      <c r="G8239" s="4" t="n">
        <v>2</v>
      </c>
      <c r="H8239" s="4" t="n">
        <v>2</v>
      </c>
      <c r="I8239" s="4" t="str">
        <v>○</v>
      </c>
      <c r="J8239" s="4" t="n">
        <v>150</v>
      </c>
      <c r="K8239" s="4"/>
      <c r="L8239" s="4"/>
      <c r="M8239" s="5" t="s">
        <v>5346</v>
      </c>
    </row>
    <row r="8240" customFormat="false" ht="15.75" hidden="false" customHeight="false" outlineLevel="0" collapsed="false">
      <c r="A8240" s="6" t="n">
        <v>46166</v>
      </c>
      <c r="B8240" s="4" t="s">
        <v>5435</v>
      </c>
      <c r="C8240" s="4" t="n">
        <v>2</v>
      </c>
      <c r="D8240" s="4" t="n">
        <v>13</v>
      </c>
      <c r="E8240" s="4" t="s">
        <v>5668</v>
      </c>
      <c r="F8240" s="4" t="n">
        <v>29</v>
      </c>
      <c r="G8240" s="4" t="n">
        <v>4</v>
      </c>
      <c r="H8240" s="4" t="n">
        <v>4</v>
      </c>
      <c r="I8240" s="4" t="str">
        <v>×</v>
      </c>
      <c r="J8240" s="4"/>
      <c r="K8240" s="4"/>
      <c r="L8240" s="4"/>
      <c r="M8240" s="5" t="s">
        <v>5346</v>
      </c>
    </row>
    <row r="8241" customFormat="false" ht="15.75" hidden="false" customHeight="false" outlineLevel="0" collapsed="false">
      <c r="A8241" s="6" t="n">
        <v>46166</v>
      </c>
      <c r="B8241" s="4" t="s">
        <v>5435</v>
      </c>
      <c r="C8241" s="4" t="n">
        <v>3</v>
      </c>
      <c r="D8241" s="4" t="n">
        <v>1</v>
      </c>
      <c r="E8241" s="4" t="s">
        <v>3860</v>
      </c>
      <c r="F8241" s="4" t="n">
        <v>65</v>
      </c>
      <c r="G8241" s="4" t="n">
        <v>1</v>
      </c>
      <c r="H8241" s="4" t="n">
        <v>1</v>
      </c>
      <c r="I8241" s="4" t="str">
        <v>○</v>
      </c>
      <c r="J8241" s="4" t="n">
        <v>110</v>
      </c>
      <c r="K8241" s="4"/>
      <c r="L8241" s="4"/>
      <c r="M8241" s="5" t="s">
        <v>5346</v>
      </c>
    </row>
    <row r="8242" customFormat="false" ht="15.75" hidden="false" customHeight="false" outlineLevel="0" collapsed="false">
      <c r="A8242" s="6" t="n">
        <v>46166</v>
      </c>
      <c r="B8242" s="4" t="s">
        <v>5435</v>
      </c>
      <c r="C8242" s="4" t="n">
        <v>3</v>
      </c>
      <c r="D8242" s="4" t="n">
        <v>2</v>
      </c>
      <c r="E8242" s="4" t="s">
        <v>4814</v>
      </c>
      <c r="F8242" s="4" t="n">
        <v>3</v>
      </c>
      <c r="G8242" s="4" t="n">
        <v>11</v>
      </c>
      <c r="H8242" s="4" t="n">
        <v>4</v>
      </c>
      <c r="I8242" s="4" t="str">
        <v>×</v>
      </c>
      <c r="J8242" s="4"/>
      <c r="K8242" s="4"/>
      <c r="L8242" s="4"/>
      <c r="M8242" s="5" t="s">
        <v>5346</v>
      </c>
    </row>
    <row r="8243" customFormat="false" ht="15.75" hidden="false" customHeight="false" outlineLevel="0" collapsed="false">
      <c r="A8243" s="6" t="n">
        <v>46166</v>
      </c>
      <c r="B8243" s="4" t="s">
        <v>5435</v>
      </c>
      <c r="C8243" s="4" t="n">
        <v>3</v>
      </c>
      <c r="D8243" s="4" t="n">
        <v>3</v>
      </c>
      <c r="E8243" s="4" t="s">
        <v>2477</v>
      </c>
      <c r="F8243" s="4" t="n">
        <v>34</v>
      </c>
      <c r="G8243" s="4" t="n">
        <v>3</v>
      </c>
      <c r="H8243" s="4" t="n">
        <v>4</v>
      </c>
      <c r="I8243" s="4" t="str">
        <v>×</v>
      </c>
      <c r="J8243" s="4"/>
      <c r="K8243" s="4"/>
      <c r="L8243" s="4"/>
      <c r="M8243" s="5" t="s">
        <v>5346</v>
      </c>
    </row>
    <row r="8244" customFormat="false" ht="15.75" hidden="false" customHeight="false" outlineLevel="0" collapsed="false">
      <c r="A8244" s="6" t="n">
        <v>46166</v>
      </c>
      <c r="B8244" s="4" t="s">
        <v>5435</v>
      </c>
      <c r="C8244" s="4" t="n">
        <v>3</v>
      </c>
      <c r="D8244" s="4" t="n">
        <v>4</v>
      </c>
      <c r="E8244" s="4" t="s">
        <v>2474</v>
      </c>
      <c r="F8244" s="4" t="n">
        <v>31</v>
      </c>
      <c r="G8244" s="4" t="n">
        <v>4</v>
      </c>
      <c r="H8244" s="4" t="n">
        <v>3</v>
      </c>
      <c r="I8244" s="4" t="str">
        <v>○</v>
      </c>
      <c r="J8244" s="4" t="n">
        <v>170</v>
      </c>
      <c r="K8244" s="4"/>
      <c r="L8244" s="4"/>
      <c r="M8244" s="5" t="s">
        <v>5346</v>
      </c>
    </row>
    <row r="8245" customFormat="false" ht="15.75" hidden="false" customHeight="false" outlineLevel="0" collapsed="false">
      <c r="A8245" s="6" t="n">
        <v>46166</v>
      </c>
      <c r="B8245" s="4" t="s">
        <v>5435</v>
      </c>
      <c r="C8245" s="4" t="n">
        <v>3</v>
      </c>
      <c r="D8245" s="4" t="n">
        <v>5</v>
      </c>
      <c r="E8245" s="4" t="s">
        <v>5669</v>
      </c>
      <c r="F8245" s="4" t="n">
        <v>13</v>
      </c>
      <c r="G8245" s="4" t="n">
        <v>7</v>
      </c>
      <c r="H8245" s="4" t="n">
        <v>4</v>
      </c>
      <c r="I8245" s="4" t="str">
        <v>×</v>
      </c>
      <c r="J8245" s="4"/>
      <c r="K8245" s="4"/>
      <c r="L8245" s="4"/>
      <c r="M8245" s="5" t="s">
        <v>5346</v>
      </c>
    </row>
    <row r="8246" customFormat="false" ht="15.75" hidden="false" customHeight="false" outlineLevel="0" collapsed="false">
      <c r="A8246" s="6" t="n">
        <v>46166</v>
      </c>
      <c r="B8246" s="4" t="s">
        <v>5435</v>
      </c>
      <c r="C8246" s="4" t="n">
        <v>3</v>
      </c>
      <c r="D8246" s="4" t="n">
        <v>6</v>
      </c>
      <c r="E8246" s="4" t="s">
        <v>1302</v>
      </c>
      <c r="F8246" s="4" t="n">
        <v>4</v>
      </c>
      <c r="G8246" s="4" t="n">
        <v>10</v>
      </c>
      <c r="H8246" s="4" t="n">
        <v>4</v>
      </c>
      <c r="I8246" s="4" t="str">
        <v>×</v>
      </c>
      <c r="J8246" s="4"/>
      <c r="K8246" s="4"/>
      <c r="L8246" s="4"/>
      <c r="M8246" s="5" t="s">
        <v>5346</v>
      </c>
    </row>
    <row r="8247" customFormat="false" ht="15.75" hidden="false" customHeight="false" outlineLevel="0" collapsed="false">
      <c r="A8247" s="6" t="n">
        <v>46166</v>
      </c>
      <c r="B8247" s="4" t="s">
        <v>5435</v>
      </c>
      <c r="C8247" s="4" t="n">
        <v>3</v>
      </c>
      <c r="D8247" s="4" t="n">
        <v>7</v>
      </c>
      <c r="E8247" s="4" t="s">
        <v>4101</v>
      </c>
      <c r="F8247" s="4" t="n">
        <v>20</v>
      </c>
      <c r="G8247" s="4" t="n">
        <v>6</v>
      </c>
      <c r="H8247" s="4" t="n">
        <v>4</v>
      </c>
      <c r="I8247" s="4" t="str">
        <v>×</v>
      </c>
      <c r="J8247" s="4"/>
      <c r="K8247" s="4"/>
      <c r="L8247" s="4"/>
      <c r="M8247" s="5" t="s">
        <v>5346</v>
      </c>
    </row>
    <row r="8248" customFormat="false" ht="15.75" hidden="false" customHeight="false" outlineLevel="0" collapsed="false">
      <c r="A8248" s="6" t="n">
        <v>46166</v>
      </c>
      <c r="B8248" s="4" t="s">
        <v>5435</v>
      </c>
      <c r="C8248" s="4" t="n">
        <v>3</v>
      </c>
      <c r="D8248" s="4" t="n">
        <v>8</v>
      </c>
      <c r="E8248" s="4" t="s">
        <v>2434</v>
      </c>
      <c r="F8248" s="4" t="n">
        <v>4</v>
      </c>
      <c r="G8248" s="4" t="n">
        <v>10</v>
      </c>
      <c r="H8248" s="4" t="n">
        <v>4</v>
      </c>
      <c r="I8248" s="4" t="str">
        <v>×</v>
      </c>
      <c r="J8248" s="4"/>
      <c r="K8248" s="4"/>
      <c r="L8248" s="4"/>
      <c r="M8248" s="5" t="s">
        <v>5346</v>
      </c>
    </row>
    <row r="8249" customFormat="false" ht="15.75" hidden="false" customHeight="false" outlineLevel="0" collapsed="false">
      <c r="A8249" s="6" t="n">
        <v>46166</v>
      </c>
      <c r="B8249" s="4" t="s">
        <v>5435</v>
      </c>
      <c r="C8249" s="4" t="n">
        <v>3</v>
      </c>
      <c r="D8249" s="4" t="n">
        <v>9</v>
      </c>
      <c r="E8249" s="4" t="s">
        <v>1753</v>
      </c>
      <c r="F8249" s="4" t="n">
        <v>8</v>
      </c>
      <c r="G8249" s="4" t="n">
        <v>9</v>
      </c>
      <c r="H8249" s="4" t="n">
        <v>4</v>
      </c>
      <c r="I8249" s="4" t="str">
        <v>×</v>
      </c>
      <c r="J8249" s="4"/>
      <c r="K8249" s="4"/>
      <c r="L8249" s="4"/>
      <c r="M8249" s="5" t="s">
        <v>5346</v>
      </c>
    </row>
    <row r="8250" customFormat="false" ht="15.75" hidden="false" customHeight="false" outlineLevel="0" collapsed="false">
      <c r="A8250" s="6" t="n">
        <v>46166</v>
      </c>
      <c r="B8250" s="4" t="s">
        <v>5435</v>
      </c>
      <c r="C8250" s="4" t="n">
        <v>3</v>
      </c>
      <c r="D8250" s="4" t="n">
        <v>10</v>
      </c>
      <c r="E8250" s="4" t="s">
        <v>2032</v>
      </c>
      <c r="F8250" s="4" t="n">
        <v>3</v>
      </c>
      <c r="G8250" s="4" t="n">
        <v>11</v>
      </c>
      <c r="H8250" s="4" t="n">
        <v>4</v>
      </c>
      <c r="I8250" s="4" t="str">
        <v>×</v>
      </c>
      <c r="J8250" s="4"/>
      <c r="K8250" s="4"/>
      <c r="L8250" s="4"/>
      <c r="M8250" s="5" t="s">
        <v>5346</v>
      </c>
    </row>
    <row r="8251" customFormat="false" ht="15.75" hidden="false" customHeight="false" outlineLevel="0" collapsed="false">
      <c r="A8251" s="6" t="n">
        <v>46166</v>
      </c>
      <c r="B8251" s="4" t="s">
        <v>5435</v>
      </c>
      <c r="C8251" s="4" t="n">
        <v>3</v>
      </c>
      <c r="D8251" s="4" t="n">
        <v>11</v>
      </c>
      <c r="E8251" s="4" t="s">
        <v>5670</v>
      </c>
      <c r="F8251" s="4" t="n">
        <v>25</v>
      </c>
      <c r="G8251" s="4" t="n">
        <v>5</v>
      </c>
      <c r="H8251" s="4" t="n">
        <v>4</v>
      </c>
      <c r="I8251" s="4" t="str">
        <v>×</v>
      </c>
      <c r="J8251" s="4"/>
      <c r="K8251" s="4"/>
      <c r="L8251" s="4"/>
      <c r="M8251" s="5" t="s">
        <v>5346</v>
      </c>
    </row>
    <row r="8252" customFormat="false" ht="15.75" hidden="false" customHeight="false" outlineLevel="0" collapsed="false">
      <c r="A8252" s="6" t="n">
        <v>46166</v>
      </c>
      <c r="B8252" s="4" t="s">
        <v>5435</v>
      </c>
      <c r="C8252" s="4" t="n">
        <v>3</v>
      </c>
      <c r="D8252" s="4" t="n">
        <v>12</v>
      </c>
      <c r="E8252" s="4" t="s">
        <v>5671</v>
      </c>
      <c r="F8252" s="4" t="n">
        <v>2</v>
      </c>
      <c r="G8252" s="4" t="n">
        <v>12</v>
      </c>
      <c r="H8252" s="4" t="n">
        <v>4</v>
      </c>
      <c r="I8252" s="4" t="str">
        <v>×</v>
      </c>
      <c r="J8252" s="4"/>
      <c r="K8252" s="4"/>
      <c r="L8252" s="4"/>
      <c r="M8252" s="5" t="s">
        <v>5346</v>
      </c>
    </row>
    <row r="8253" customFormat="false" ht="15.75" hidden="false" customHeight="false" outlineLevel="0" collapsed="false">
      <c r="A8253" s="6" t="n">
        <v>46166</v>
      </c>
      <c r="B8253" s="4" t="s">
        <v>5435</v>
      </c>
      <c r="C8253" s="4" t="n">
        <v>3</v>
      </c>
      <c r="D8253" s="4" t="n">
        <v>13</v>
      </c>
      <c r="E8253" s="4" t="s">
        <v>5672</v>
      </c>
      <c r="F8253" s="4" t="n">
        <v>3</v>
      </c>
      <c r="G8253" s="4" t="n">
        <v>11</v>
      </c>
      <c r="H8253" s="4" t="n">
        <v>4</v>
      </c>
      <c r="I8253" s="4" t="str">
        <v>×</v>
      </c>
      <c r="J8253" s="4"/>
      <c r="K8253" s="4"/>
      <c r="L8253" s="4"/>
      <c r="M8253" s="5" t="s">
        <v>5346</v>
      </c>
    </row>
    <row r="8254" customFormat="false" ht="15.75" hidden="false" customHeight="false" outlineLevel="0" collapsed="false">
      <c r="A8254" s="6" t="n">
        <v>46166</v>
      </c>
      <c r="B8254" s="4" t="s">
        <v>5435</v>
      </c>
      <c r="C8254" s="4" t="n">
        <v>3</v>
      </c>
      <c r="D8254" s="4" t="n">
        <v>14</v>
      </c>
      <c r="E8254" s="4" t="s">
        <v>3438</v>
      </c>
      <c r="F8254" s="4" t="n">
        <v>8</v>
      </c>
      <c r="G8254" s="4" t="n">
        <v>9</v>
      </c>
      <c r="H8254" s="4" t="n">
        <v>4</v>
      </c>
      <c r="I8254" s="4" t="str">
        <v>×</v>
      </c>
      <c r="J8254" s="4"/>
      <c r="K8254" s="4"/>
      <c r="L8254" s="4"/>
      <c r="M8254" s="5" t="s">
        <v>5346</v>
      </c>
    </row>
    <row r="8255" customFormat="false" ht="15.75" hidden="false" customHeight="false" outlineLevel="0" collapsed="false">
      <c r="A8255" s="6" t="n">
        <v>46166</v>
      </c>
      <c r="B8255" s="4" t="s">
        <v>5435</v>
      </c>
      <c r="C8255" s="4" t="n">
        <v>3</v>
      </c>
      <c r="D8255" s="4" t="n">
        <v>15</v>
      </c>
      <c r="E8255" s="4" t="s">
        <v>5011</v>
      </c>
      <c r="F8255" s="4" t="n">
        <v>39</v>
      </c>
      <c r="G8255" s="4" t="n">
        <v>2</v>
      </c>
      <c r="H8255" s="4" t="n">
        <v>2</v>
      </c>
      <c r="I8255" s="4" t="str">
        <v>○</v>
      </c>
      <c r="J8255" s="4" t="n">
        <v>220</v>
      </c>
      <c r="K8255" s="4"/>
      <c r="L8255" s="4"/>
      <c r="M8255" s="5" t="s">
        <v>5346</v>
      </c>
    </row>
    <row r="8256" customFormat="false" ht="15.75" hidden="false" customHeight="false" outlineLevel="0" collapsed="false">
      <c r="A8256" s="6" t="n">
        <v>46166</v>
      </c>
      <c r="B8256" s="4" t="s">
        <v>5435</v>
      </c>
      <c r="C8256" s="4" t="n">
        <v>3</v>
      </c>
      <c r="D8256" s="4" t="n">
        <v>16</v>
      </c>
      <c r="E8256" s="4" t="s">
        <v>357</v>
      </c>
      <c r="F8256" s="4" t="n">
        <v>31</v>
      </c>
      <c r="G8256" s="4" t="n">
        <v>4</v>
      </c>
      <c r="H8256" s="4" t="n">
        <v>4</v>
      </c>
      <c r="I8256" s="4" t="str">
        <v>×</v>
      </c>
      <c r="J8256" s="4"/>
      <c r="K8256" s="4"/>
      <c r="L8256" s="4"/>
      <c r="M8256" s="5" t="s">
        <v>5346</v>
      </c>
    </row>
    <row r="8257" customFormat="false" ht="15.75" hidden="false" customHeight="false" outlineLevel="0" collapsed="false">
      <c r="A8257" s="6" t="n">
        <v>46166</v>
      </c>
      <c r="B8257" s="4" t="s">
        <v>5435</v>
      </c>
      <c r="C8257" s="4" t="n">
        <v>3</v>
      </c>
      <c r="D8257" s="4" t="n">
        <v>17</v>
      </c>
      <c r="E8257" s="4" t="s">
        <v>5673</v>
      </c>
      <c r="F8257" s="4" t="n">
        <v>3</v>
      </c>
      <c r="G8257" s="4" t="n">
        <v>11</v>
      </c>
      <c r="H8257" s="4" t="n">
        <v>4</v>
      </c>
      <c r="I8257" s="4" t="str">
        <v>×</v>
      </c>
      <c r="J8257" s="4"/>
      <c r="K8257" s="4"/>
      <c r="L8257" s="4"/>
      <c r="M8257" s="5" t="s">
        <v>5346</v>
      </c>
    </row>
    <row r="8258" customFormat="false" ht="15.75" hidden="false" customHeight="false" outlineLevel="0" collapsed="false">
      <c r="A8258" s="6" t="n">
        <v>46166</v>
      </c>
      <c r="B8258" s="4" t="s">
        <v>5435</v>
      </c>
      <c r="C8258" s="4" t="n">
        <v>3</v>
      </c>
      <c r="D8258" s="4" t="n">
        <v>18</v>
      </c>
      <c r="E8258" s="4" t="s">
        <v>5674</v>
      </c>
      <c r="F8258" s="4" t="n">
        <v>10</v>
      </c>
      <c r="G8258" s="4" t="n">
        <v>8</v>
      </c>
      <c r="H8258" s="4" t="n">
        <v>4</v>
      </c>
      <c r="I8258" s="4" t="str">
        <v>×</v>
      </c>
      <c r="J8258" s="4"/>
      <c r="K8258" s="4"/>
      <c r="L8258" s="4"/>
      <c r="M8258" s="5" t="s">
        <v>5346</v>
      </c>
    </row>
    <row r="8259" customFormat="false" ht="15.75" hidden="false" customHeight="false" outlineLevel="0" collapsed="false">
      <c r="A8259" s="6" t="n">
        <v>46166</v>
      </c>
      <c r="B8259" s="4" t="s">
        <v>5435</v>
      </c>
      <c r="C8259" s="4" t="n">
        <v>4</v>
      </c>
      <c r="D8259" s="4" t="n">
        <v>1</v>
      </c>
      <c r="E8259" s="4" t="s">
        <v>273</v>
      </c>
      <c r="F8259" s="4" t="n">
        <v>81</v>
      </c>
      <c r="G8259" s="4" t="n">
        <v>1</v>
      </c>
      <c r="H8259" s="4" t="n">
        <v>1</v>
      </c>
      <c r="I8259" s="4" t="str">
        <v>○</v>
      </c>
      <c r="J8259" s="4" t="n">
        <v>110</v>
      </c>
      <c r="K8259" s="4"/>
      <c r="L8259" s="4"/>
      <c r="M8259" s="5" t="s">
        <v>5346</v>
      </c>
    </row>
    <row r="8260" customFormat="false" ht="15.75" hidden="false" customHeight="false" outlineLevel="0" collapsed="false">
      <c r="A8260" s="6" t="n">
        <v>46166</v>
      </c>
      <c r="B8260" s="4" t="s">
        <v>5435</v>
      </c>
      <c r="C8260" s="4" t="n">
        <v>4</v>
      </c>
      <c r="D8260" s="4" t="n">
        <v>2</v>
      </c>
      <c r="E8260" s="4" t="s">
        <v>2838</v>
      </c>
      <c r="F8260" s="4" t="n">
        <v>17</v>
      </c>
      <c r="G8260" s="4" t="n">
        <v>4</v>
      </c>
      <c r="H8260" s="4" t="n">
        <v>4</v>
      </c>
      <c r="I8260" s="4" t="str">
        <v>×</v>
      </c>
      <c r="J8260" s="4"/>
      <c r="K8260" s="4"/>
      <c r="L8260" s="4"/>
      <c r="M8260" s="5" t="s">
        <v>5346</v>
      </c>
    </row>
    <row r="8261" customFormat="false" ht="15.75" hidden="false" customHeight="false" outlineLevel="0" collapsed="false">
      <c r="A8261" s="6" t="n">
        <v>46166</v>
      </c>
      <c r="B8261" s="4" t="s">
        <v>5435</v>
      </c>
      <c r="C8261" s="4" t="n">
        <v>4</v>
      </c>
      <c r="D8261" s="4" t="n">
        <v>3</v>
      </c>
      <c r="E8261" s="4" t="s">
        <v>209</v>
      </c>
      <c r="F8261" s="4" t="n">
        <v>8</v>
      </c>
      <c r="G8261" s="4" t="n">
        <v>7</v>
      </c>
      <c r="H8261" s="4" t="n">
        <v>4</v>
      </c>
      <c r="I8261" s="4" t="str">
        <v>×</v>
      </c>
      <c r="J8261" s="4"/>
      <c r="K8261" s="4"/>
      <c r="L8261" s="4"/>
      <c r="M8261" s="5" t="s">
        <v>5346</v>
      </c>
    </row>
    <row r="8262" customFormat="false" ht="15.75" hidden="false" customHeight="false" outlineLevel="0" collapsed="false">
      <c r="A8262" s="6" t="n">
        <v>46166</v>
      </c>
      <c r="B8262" s="4" t="s">
        <v>5435</v>
      </c>
      <c r="C8262" s="4" t="n">
        <v>4</v>
      </c>
      <c r="D8262" s="4" t="n">
        <v>4</v>
      </c>
      <c r="E8262" s="4" t="s">
        <v>4792</v>
      </c>
      <c r="F8262" s="4" t="n">
        <v>15</v>
      </c>
      <c r="G8262" s="4" t="n">
        <v>5</v>
      </c>
      <c r="H8262" s="4" t="n">
        <v>4</v>
      </c>
      <c r="I8262" s="4" t="str">
        <v>×</v>
      </c>
      <c r="J8262" s="4"/>
      <c r="K8262" s="4"/>
      <c r="L8262" s="4"/>
      <c r="M8262" s="5" t="s">
        <v>5346</v>
      </c>
    </row>
    <row r="8263" customFormat="false" ht="15.75" hidden="false" customHeight="false" outlineLevel="0" collapsed="false">
      <c r="A8263" s="6" t="n">
        <v>46166</v>
      </c>
      <c r="B8263" s="4" t="s">
        <v>5435</v>
      </c>
      <c r="C8263" s="4" t="n">
        <v>4</v>
      </c>
      <c r="D8263" s="4" t="n">
        <v>5</v>
      </c>
      <c r="E8263" s="4" t="s">
        <v>4390</v>
      </c>
      <c r="F8263" s="4" t="n">
        <v>15</v>
      </c>
      <c r="G8263" s="4" t="n">
        <v>5</v>
      </c>
      <c r="H8263" s="4" t="n">
        <v>3</v>
      </c>
      <c r="I8263" s="4" t="str">
        <v>○</v>
      </c>
      <c r="J8263" s="4" t="n">
        <v>230</v>
      </c>
      <c r="K8263" s="4"/>
      <c r="L8263" s="4"/>
      <c r="M8263" s="5" t="s">
        <v>5346</v>
      </c>
    </row>
    <row r="8264" customFormat="false" ht="15.75" hidden="false" customHeight="false" outlineLevel="0" collapsed="false">
      <c r="A8264" s="6" t="n">
        <v>46166</v>
      </c>
      <c r="B8264" s="4" t="s">
        <v>5435</v>
      </c>
      <c r="C8264" s="4" t="n">
        <v>4</v>
      </c>
      <c r="D8264" s="4" t="n">
        <v>6</v>
      </c>
      <c r="E8264" s="4" t="s">
        <v>2468</v>
      </c>
      <c r="F8264" s="4" t="n">
        <v>50</v>
      </c>
      <c r="G8264" s="4" t="n">
        <v>3</v>
      </c>
      <c r="H8264" s="4" t="n">
        <v>4</v>
      </c>
      <c r="I8264" s="4" t="str">
        <v>×</v>
      </c>
      <c r="J8264" s="4"/>
      <c r="K8264" s="4"/>
      <c r="L8264" s="4"/>
      <c r="M8264" s="5" t="s">
        <v>5346</v>
      </c>
    </row>
    <row r="8265" customFormat="false" ht="15.75" hidden="false" customHeight="false" outlineLevel="0" collapsed="false">
      <c r="A8265" s="6" t="n">
        <v>46166</v>
      </c>
      <c r="B8265" s="4" t="s">
        <v>5435</v>
      </c>
      <c r="C8265" s="4" t="n">
        <v>4</v>
      </c>
      <c r="D8265" s="4" t="n">
        <v>7</v>
      </c>
      <c r="E8265" s="4" t="s">
        <v>2051</v>
      </c>
      <c r="F8265" s="4" t="n">
        <v>8</v>
      </c>
      <c r="G8265" s="4" t="n">
        <v>7</v>
      </c>
      <c r="H8265" s="4" t="n">
        <v>4</v>
      </c>
      <c r="I8265" s="4" t="str">
        <v>×</v>
      </c>
      <c r="J8265" s="4"/>
      <c r="K8265" s="4"/>
      <c r="L8265" s="4"/>
      <c r="M8265" s="5" t="s">
        <v>5346</v>
      </c>
    </row>
    <row r="8266" customFormat="false" ht="15.75" hidden="false" customHeight="false" outlineLevel="0" collapsed="false">
      <c r="A8266" s="6" t="n">
        <v>46166</v>
      </c>
      <c r="B8266" s="4" t="s">
        <v>5435</v>
      </c>
      <c r="C8266" s="4" t="n">
        <v>4</v>
      </c>
      <c r="D8266" s="4" t="n">
        <v>8</v>
      </c>
      <c r="E8266" s="4" t="s">
        <v>5675</v>
      </c>
      <c r="F8266" s="4" t="n">
        <v>10</v>
      </c>
      <c r="G8266" s="4" t="n">
        <v>6</v>
      </c>
      <c r="H8266" s="4" t="n">
        <v>4</v>
      </c>
      <c r="I8266" s="4" t="str">
        <v>×</v>
      </c>
      <c r="J8266" s="4"/>
      <c r="K8266" s="4"/>
      <c r="L8266" s="4"/>
      <c r="M8266" s="5" t="s">
        <v>5346</v>
      </c>
    </row>
    <row r="8267" customFormat="false" ht="15.75" hidden="false" customHeight="false" outlineLevel="0" collapsed="false">
      <c r="A8267" s="6" t="n">
        <v>46166</v>
      </c>
      <c r="B8267" s="4" t="s">
        <v>5435</v>
      </c>
      <c r="C8267" s="4" t="n">
        <v>4</v>
      </c>
      <c r="D8267" s="4" t="n">
        <v>9</v>
      </c>
      <c r="E8267" s="4" t="s">
        <v>5676</v>
      </c>
      <c r="F8267" s="4" t="n">
        <v>4</v>
      </c>
      <c r="G8267" s="4" t="n">
        <v>8</v>
      </c>
      <c r="H8267" s="4"/>
      <c r="I8267" s="4" t="str">
        <v/>
      </c>
      <c r="J8267" s="4"/>
      <c r="K8267" s="4"/>
      <c r="L8267" s="4"/>
      <c r="M8267" s="5" t="s">
        <v>5346</v>
      </c>
    </row>
    <row r="8268" customFormat="false" ht="15.75" hidden="false" customHeight="false" outlineLevel="0" collapsed="false">
      <c r="A8268" s="6" t="n">
        <v>46166</v>
      </c>
      <c r="B8268" s="4" t="s">
        <v>5435</v>
      </c>
      <c r="C8268" s="4" t="n">
        <v>4</v>
      </c>
      <c r="D8268" s="4" t="n">
        <v>10</v>
      </c>
      <c r="E8268" s="4" t="s">
        <v>3150</v>
      </c>
      <c r="F8268" s="4" t="n">
        <v>75</v>
      </c>
      <c r="G8268" s="4" t="n">
        <v>2</v>
      </c>
      <c r="H8268" s="4" t="n">
        <v>2</v>
      </c>
      <c r="I8268" s="4" t="str">
        <v>○</v>
      </c>
      <c r="J8268" s="4" t="n">
        <v>110</v>
      </c>
      <c r="K8268" s="4"/>
      <c r="L8268" s="4"/>
      <c r="M8268" s="5" t="s">
        <v>5346</v>
      </c>
    </row>
    <row r="8269" customFormat="false" ht="15.75" hidden="false" customHeight="false" outlineLevel="0" collapsed="false">
      <c r="A8269" s="6" t="n">
        <v>46166</v>
      </c>
      <c r="B8269" s="4" t="s">
        <v>5435</v>
      </c>
      <c r="C8269" s="4" t="n">
        <v>5</v>
      </c>
      <c r="D8269" s="4" t="n">
        <v>1</v>
      </c>
      <c r="E8269" s="4" t="s">
        <v>3534</v>
      </c>
      <c r="F8269" s="4" t="n">
        <v>50</v>
      </c>
      <c r="G8269" s="4" t="n">
        <v>1</v>
      </c>
      <c r="H8269" s="4" t="n">
        <v>2</v>
      </c>
      <c r="I8269" s="4" t="str">
        <v>○</v>
      </c>
      <c r="J8269" s="4" t="n">
        <v>140</v>
      </c>
      <c r="K8269" s="4"/>
      <c r="L8269" s="4"/>
      <c r="M8269" s="5" t="s">
        <v>5346</v>
      </c>
    </row>
    <row r="8270" customFormat="false" ht="15.75" hidden="false" customHeight="false" outlineLevel="0" collapsed="false">
      <c r="A8270" s="6" t="n">
        <v>46166</v>
      </c>
      <c r="B8270" s="4" t="s">
        <v>5435</v>
      </c>
      <c r="C8270" s="4" t="n">
        <v>5</v>
      </c>
      <c r="D8270" s="4" t="n">
        <v>2</v>
      </c>
      <c r="E8270" s="4" t="s">
        <v>1642</v>
      </c>
      <c r="F8270" s="4" t="n">
        <v>20</v>
      </c>
      <c r="G8270" s="4" t="n">
        <v>7</v>
      </c>
      <c r="H8270" s="4" t="n">
        <v>4</v>
      </c>
      <c r="I8270" s="4" t="str">
        <v>×</v>
      </c>
      <c r="J8270" s="4"/>
      <c r="K8270" s="4"/>
      <c r="L8270" s="4"/>
      <c r="M8270" s="5" t="s">
        <v>5346</v>
      </c>
    </row>
    <row r="8271" customFormat="false" ht="15.75" hidden="false" customHeight="false" outlineLevel="0" collapsed="false">
      <c r="A8271" s="6" t="n">
        <v>46166</v>
      </c>
      <c r="B8271" s="4" t="s">
        <v>5435</v>
      </c>
      <c r="C8271" s="4" t="n">
        <v>5</v>
      </c>
      <c r="D8271" s="4" t="n">
        <v>3</v>
      </c>
      <c r="E8271" s="4" t="s">
        <v>5677</v>
      </c>
      <c r="F8271" s="4" t="n">
        <v>34</v>
      </c>
      <c r="G8271" s="4" t="n">
        <v>4</v>
      </c>
      <c r="H8271" s="4" t="n">
        <v>4</v>
      </c>
      <c r="I8271" s="4" t="str">
        <v>×</v>
      </c>
      <c r="J8271" s="4"/>
      <c r="K8271" s="4"/>
      <c r="L8271" s="4"/>
      <c r="M8271" s="5" t="s">
        <v>5346</v>
      </c>
    </row>
    <row r="8272" customFormat="false" ht="15.75" hidden="false" customHeight="false" outlineLevel="0" collapsed="false">
      <c r="A8272" s="6" t="n">
        <v>46166</v>
      </c>
      <c r="B8272" s="4" t="s">
        <v>5435</v>
      </c>
      <c r="C8272" s="4" t="n">
        <v>5</v>
      </c>
      <c r="D8272" s="4" t="n">
        <v>4</v>
      </c>
      <c r="E8272" s="4" t="s">
        <v>4840</v>
      </c>
      <c r="F8272" s="4" t="n">
        <v>23</v>
      </c>
      <c r="G8272" s="4" t="n">
        <v>6</v>
      </c>
      <c r="H8272" s="4" t="n">
        <v>4</v>
      </c>
      <c r="I8272" s="4" t="str">
        <v>×</v>
      </c>
      <c r="J8272" s="4"/>
      <c r="K8272" s="4"/>
      <c r="L8272" s="4"/>
      <c r="M8272" s="5" t="s">
        <v>5346</v>
      </c>
    </row>
    <row r="8273" customFormat="false" ht="15.75" hidden="false" customHeight="false" outlineLevel="0" collapsed="false">
      <c r="A8273" s="6" t="n">
        <v>46166</v>
      </c>
      <c r="B8273" s="4" t="s">
        <v>5435</v>
      </c>
      <c r="C8273" s="4" t="n">
        <v>5</v>
      </c>
      <c r="D8273" s="4" t="n">
        <v>5</v>
      </c>
      <c r="E8273" s="4" t="s">
        <v>731</v>
      </c>
      <c r="F8273" s="4" t="n">
        <v>39</v>
      </c>
      <c r="G8273" s="4" t="n">
        <v>3</v>
      </c>
      <c r="H8273" s="4" t="n">
        <v>4</v>
      </c>
      <c r="I8273" s="4" t="str">
        <v>×</v>
      </c>
      <c r="J8273" s="4"/>
      <c r="K8273" s="4"/>
      <c r="L8273" s="4"/>
      <c r="M8273" s="5" t="s">
        <v>5346</v>
      </c>
    </row>
    <row r="8274" customFormat="false" ht="15.75" hidden="false" customHeight="false" outlineLevel="0" collapsed="false">
      <c r="A8274" s="6" t="n">
        <v>46166</v>
      </c>
      <c r="B8274" s="4" t="s">
        <v>5435</v>
      </c>
      <c r="C8274" s="4" t="n">
        <v>5</v>
      </c>
      <c r="D8274" s="4" t="n">
        <v>6</v>
      </c>
      <c r="E8274" s="4" t="s">
        <v>5678</v>
      </c>
      <c r="F8274" s="4" t="n">
        <v>29</v>
      </c>
      <c r="G8274" s="4" t="n">
        <v>5</v>
      </c>
      <c r="H8274" s="4" t="n">
        <v>4</v>
      </c>
      <c r="I8274" s="4" t="str">
        <v>×</v>
      </c>
      <c r="J8274" s="4"/>
      <c r="K8274" s="4"/>
      <c r="L8274" s="4"/>
      <c r="M8274" s="5" t="s">
        <v>5346</v>
      </c>
    </row>
    <row r="8275" customFormat="false" ht="15.75" hidden="false" customHeight="false" outlineLevel="0" collapsed="false">
      <c r="A8275" s="6" t="n">
        <v>46166</v>
      </c>
      <c r="B8275" s="4" t="s">
        <v>5435</v>
      </c>
      <c r="C8275" s="4" t="n">
        <v>5</v>
      </c>
      <c r="D8275" s="4" t="n">
        <v>7</v>
      </c>
      <c r="E8275" s="4" t="s">
        <v>5075</v>
      </c>
      <c r="F8275" s="4" t="n">
        <v>10</v>
      </c>
      <c r="G8275" s="4" t="n">
        <v>8</v>
      </c>
      <c r="H8275" s="4" t="n">
        <v>4</v>
      </c>
      <c r="I8275" s="4" t="str">
        <v>×</v>
      </c>
      <c r="J8275" s="4"/>
      <c r="K8275" s="4"/>
      <c r="L8275" s="4"/>
      <c r="M8275" s="5" t="s">
        <v>5346</v>
      </c>
    </row>
    <row r="8276" customFormat="false" ht="15.75" hidden="false" customHeight="false" outlineLevel="0" collapsed="false">
      <c r="A8276" s="6" t="n">
        <v>46166</v>
      </c>
      <c r="B8276" s="4" t="s">
        <v>5435</v>
      </c>
      <c r="C8276" s="4" t="n">
        <v>5</v>
      </c>
      <c r="D8276" s="4" t="n">
        <v>8</v>
      </c>
      <c r="E8276" s="4" t="s">
        <v>5291</v>
      </c>
      <c r="F8276" s="4" t="n">
        <v>41</v>
      </c>
      <c r="G8276" s="4" t="n">
        <v>2</v>
      </c>
      <c r="H8276" s="4" t="n">
        <v>3</v>
      </c>
      <c r="I8276" s="4" t="str">
        <v>○</v>
      </c>
      <c r="J8276" s="4" t="n">
        <v>170</v>
      </c>
      <c r="K8276" s="4"/>
      <c r="L8276" s="4"/>
      <c r="M8276" s="5" t="s">
        <v>5346</v>
      </c>
    </row>
    <row r="8277" customFormat="false" ht="15.75" hidden="false" customHeight="false" outlineLevel="0" collapsed="false">
      <c r="A8277" s="6" t="n">
        <v>46166</v>
      </c>
      <c r="B8277" s="4" t="s">
        <v>5435</v>
      </c>
      <c r="C8277" s="4" t="n">
        <v>5</v>
      </c>
      <c r="D8277" s="4" t="n">
        <v>9</v>
      </c>
      <c r="E8277" s="4" t="s">
        <v>5679</v>
      </c>
      <c r="F8277" s="4" t="n">
        <v>50</v>
      </c>
      <c r="G8277" s="4" t="n">
        <v>1</v>
      </c>
      <c r="H8277" s="4" t="n">
        <v>1</v>
      </c>
      <c r="I8277" s="4" t="str">
        <v>○</v>
      </c>
      <c r="J8277" s="4" t="n">
        <v>250</v>
      </c>
      <c r="K8277" s="4"/>
      <c r="L8277" s="4"/>
      <c r="M8277" s="5" t="s">
        <v>5346</v>
      </c>
    </row>
    <row r="8278" customFormat="false" ht="15.75" hidden="false" customHeight="false" outlineLevel="0" collapsed="false">
      <c r="A8278" s="6" t="n">
        <v>46166</v>
      </c>
      <c r="B8278" s="4" t="s">
        <v>5435</v>
      </c>
      <c r="C8278" s="4" t="n">
        <v>6</v>
      </c>
      <c r="D8278" s="4" t="n">
        <v>1</v>
      </c>
      <c r="E8278" s="4" t="s">
        <v>5680</v>
      </c>
      <c r="F8278" s="4" t="n">
        <v>17</v>
      </c>
      <c r="G8278" s="4" t="n">
        <v>7</v>
      </c>
      <c r="H8278" s="4" t="n">
        <v>4</v>
      </c>
      <c r="I8278" s="4" t="str">
        <v>×</v>
      </c>
      <c r="J8278" s="4"/>
      <c r="K8278" s="4"/>
      <c r="L8278" s="4"/>
      <c r="M8278" s="5" t="s">
        <v>5346</v>
      </c>
    </row>
    <row r="8279" customFormat="false" ht="15.75" hidden="false" customHeight="false" outlineLevel="0" collapsed="false">
      <c r="A8279" s="6" t="n">
        <v>46166</v>
      </c>
      <c r="B8279" s="4" t="s">
        <v>5435</v>
      </c>
      <c r="C8279" s="4" t="n">
        <v>6</v>
      </c>
      <c r="D8279" s="4" t="n">
        <v>2</v>
      </c>
      <c r="E8279" s="4" t="s">
        <v>5681</v>
      </c>
      <c r="F8279" s="4" t="n">
        <v>4</v>
      </c>
      <c r="G8279" s="4" t="n">
        <v>11</v>
      </c>
      <c r="H8279" s="4" t="n">
        <v>4</v>
      </c>
      <c r="I8279" s="4" t="str">
        <v>×</v>
      </c>
      <c r="J8279" s="4"/>
      <c r="K8279" s="4"/>
      <c r="L8279" s="4"/>
      <c r="M8279" s="5" t="s">
        <v>5346</v>
      </c>
    </row>
    <row r="8280" customFormat="false" ht="15.75" hidden="false" customHeight="false" outlineLevel="0" collapsed="false">
      <c r="A8280" s="6" t="n">
        <v>46166</v>
      </c>
      <c r="B8280" s="4" t="s">
        <v>5435</v>
      </c>
      <c r="C8280" s="4" t="n">
        <v>6</v>
      </c>
      <c r="D8280" s="4" t="n">
        <v>3</v>
      </c>
      <c r="E8280" s="4" t="s">
        <v>3234</v>
      </c>
      <c r="F8280" s="4" t="n">
        <v>6</v>
      </c>
      <c r="G8280" s="4" t="n">
        <v>10</v>
      </c>
      <c r="H8280" s="4"/>
      <c r="I8280" s="4" t="str">
        <v/>
      </c>
      <c r="J8280" s="4"/>
      <c r="K8280" s="4"/>
      <c r="L8280" s="4"/>
      <c r="M8280" s="5" t="s">
        <v>5346</v>
      </c>
    </row>
    <row r="8281" customFormat="false" ht="15.75" hidden="false" customHeight="false" outlineLevel="0" collapsed="false">
      <c r="A8281" s="6" t="n">
        <v>46166</v>
      </c>
      <c r="B8281" s="4" t="s">
        <v>5435</v>
      </c>
      <c r="C8281" s="4" t="n">
        <v>6</v>
      </c>
      <c r="D8281" s="4" t="n">
        <v>4</v>
      </c>
      <c r="E8281" s="4" t="s">
        <v>2239</v>
      </c>
      <c r="F8281" s="4" t="n">
        <v>23</v>
      </c>
      <c r="G8281" s="4" t="n">
        <v>5</v>
      </c>
      <c r="H8281" s="4" t="n">
        <v>4</v>
      </c>
      <c r="I8281" s="4" t="str">
        <v>×</v>
      </c>
      <c r="J8281" s="4"/>
      <c r="K8281" s="4"/>
      <c r="L8281" s="4"/>
      <c r="M8281" s="5" t="s">
        <v>5346</v>
      </c>
    </row>
    <row r="8282" customFormat="false" ht="15.75" hidden="false" customHeight="false" outlineLevel="0" collapsed="false">
      <c r="A8282" s="6" t="n">
        <v>46166</v>
      </c>
      <c r="B8282" s="4" t="s">
        <v>5435</v>
      </c>
      <c r="C8282" s="4" t="n">
        <v>6</v>
      </c>
      <c r="D8282" s="4" t="n">
        <v>5</v>
      </c>
      <c r="E8282" s="4" t="s">
        <v>5682</v>
      </c>
      <c r="F8282" s="4" t="n">
        <v>13</v>
      </c>
      <c r="G8282" s="4" t="n">
        <v>8</v>
      </c>
      <c r="H8282" s="4" t="n">
        <v>4</v>
      </c>
      <c r="I8282" s="4" t="str">
        <v>×</v>
      </c>
      <c r="J8282" s="4"/>
      <c r="K8282" s="4"/>
      <c r="L8282" s="4"/>
      <c r="M8282" s="5" t="s">
        <v>5346</v>
      </c>
    </row>
    <row r="8283" customFormat="false" ht="15.75" hidden="false" customHeight="false" outlineLevel="0" collapsed="false">
      <c r="A8283" s="6" t="n">
        <v>46166</v>
      </c>
      <c r="B8283" s="4" t="s">
        <v>5435</v>
      </c>
      <c r="C8283" s="4" t="n">
        <v>6</v>
      </c>
      <c r="D8283" s="4" t="n">
        <v>6</v>
      </c>
      <c r="E8283" s="4" t="s">
        <v>2633</v>
      </c>
      <c r="F8283" s="4" t="n">
        <v>17</v>
      </c>
      <c r="G8283" s="4" t="n">
        <v>7</v>
      </c>
      <c r="H8283" s="4" t="n">
        <v>4</v>
      </c>
      <c r="I8283" s="4" t="str">
        <v>×</v>
      </c>
      <c r="J8283" s="4"/>
      <c r="K8283" s="4"/>
      <c r="L8283" s="4"/>
      <c r="M8283" s="5" t="s">
        <v>5346</v>
      </c>
    </row>
    <row r="8284" customFormat="false" ht="15.75" hidden="false" customHeight="false" outlineLevel="0" collapsed="false">
      <c r="A8284" s="6" t="n">
        <v>46166</v>
      </c>
      <c r="B8284" s="4" t="s">
        <v>5435</v>
      </c>
      <c r="C8284" s="4" t="n">
        <v>6</v>
      </c>
      <c r="D8284" s="4" t="n">
        <v>7</v>
      </c>
      <c r="E8284" s="4" t="s">
        <v>5683</v>
      </c>
      <c r="F8284" s="4" t="n">
        <v>25</v>
      </c>
      <c r="G8284" s="4" t="n">
        <v>4</v>
      </c>
      <c r="H8284" s="4" t="n">
        <v>2</v>
      </c>
      <c r="I8284" s="4" t="str">
        <v>○</v>
      </c>
      <c r="J8284" s="4" t="n">
        <v>1080</v>
      </c>
      <c r="K8284" s="4"/>
      <c r="L8284" s="4"/>
      <c r="M8284" s="5" t="s">
        <v>5346</v>
      </c>
    </row>
    <row r="8285" customFormat="false" ht="15.75" hidden="false" customHeight="false" outlineLevel="0" collapsed="false">
      <c r="A8285" s="6" t="n">
        <v>46166</v>
      </c>
      <c r="B8285" s="4" t="s">
        <v>5435</v>
      </c>
      <c r="C8285" s="4" t="n">
        <v>6</v>
      </c>
      <c r="D8285" s="4" t="n">
        <v>8</v>
      </c>
      <c r="E8285" s="4" t="s">
        <v>2628</v>
      </c>
      <c r="F8285" s="4" t="n">
        <v>17</v>
      </c>
      <c r="G8285" s="4" t="n">
        <v>7</v>
      </c>
      <c r="H8285" s="4" t="n">
        <v>4</v>
      </c>
      <c r="I8285" s="4" t="str">
        <v>×</v>
      </c>
      <c r="J8285" s="4"/>
      <c r="K8285" s="4"/>
      <c r="L8285" s="4"/>
      <c r="M8285" s="5" t="s">
        <v>5346</v>
      </c>
    </row>
    <row r="8286" customFormat="false" ht="15.75" hidden="false" customHeight="false" outlineLevel="0" collapsed="false">
      <c r="A8286" s="6" t="n">
        <v>46166</v>
      </c>
      <c r="B8286" s="4" t="s">
        <v>5435</v>
      </c>
      <c r="C8286" s="4" t="n">
        <v>6</v>
      </c>
      <c r="D8286" s="4" t="n">
        <v>9</v>
      </c>
      <c r="E8286" s="4" t="s">
        <v>5684</v>
      </c>
      <c r="F8286" s="4" t="n">
        <v>29</v>
      </c>
      <c r="G8286" s="4" t="n">
        <v>3</v>
      </c>
      <c r="H8286" s="4" t="n">
        <v>4</v>
      </c>
      <c r="I8286" s="4" t="str">
        <v>×</v>
      </c>
      <c r="J8286" s="4"/>
      <c r="K8286" s="4"/>
      <c r="L8286" s="4"/>
      <c r="M8286" s="5" t="s">
        <v>5346</v>
      </c>
    </row>
    <row r="8287" customFormat="false" ht="15.75" hidden="false" customHeight="false" outlineLevel="0" collapsed="false">
      <c r="A8287" s="6" t="n">
        <v>46166</v>
      </c>
      <c r="B8287" s="4" t="s">
        <v>5435</v>
      </c>
      <c r="C8287" s="4" t="n">
        <v>6</v>
      </c>
      <c r="D8287" s="4" t="n">
        <v>10</v>
      </c>
      <c r="E8287" s="4" t="s">
        <v>5685</v>
      </c>
      <c r="F8287" s="4" t="n">
        <v>71</v>
      </c>
      <c r="G8287" s="4" t="n">
        <v>1</v>
      </c>
      <c r="H8287" s="4" t="n">
        <v>3</v>
      </c>
      <c r="I8287" s="4" t="str">
        <v>○</v>
      </c>
      <c r="J8287" s="4" t="n">
        <v>310</v>
      </c>
      <c r="K8287" s="4"/>
      <c r="L8287" s="4"/>
      <c r="M8287" s="5" t="s">
        <v>5346</v>
      </c>
    </row>
    <row r="8288" customFormat="false" ht="15.75" hidden="false" customHeight="false" outlineLevel="0" collapsed="false">
      <c r="A8288" s="6" t="n">
        <v>46166</v>
      </c>
      <c r="B8288" s="4" t="s">
        <v>5435</v>
      </c>
      <c r="C8288" s="4" t="n">
        <v>6</v>
      </c>
      <c r="D8288" s="4" t="n">
        <v>11</v>
      </c>
      <c r="E8288" s="4" t="s">
        <v>5686</v>
      </c>
      <c r="F8288" s="4" t="n">
        <v>8</v>
      </c>
      <c r="G8288" s="4" t="n">
        <v>9</v>
      </c>
      <c r="H8288" s="4" t="n">
        <v>4</v>
      </c>
      <c r="I8288" s="4" t="str">
        <v>×</v>
      </c>
      <c r="J8288" s="4"/>
      <c r="K8288" s="4"/>
      <c r="L8288" s="4"/>
      <c r="M8288" s="5" t="s">
        <v>5346</v>
      </c>
    </row>
    <row r="8289" customFormat="false" ht="15.75" hidden="false" customHeight="false" outlineLevel="0" collapsed="false">
      <c r="A8289" s="6" t="n">
        <v>46166</v>
      </c>
      <c r="B8289" s="4" t="s">
        <v>5435</v>
      </c>
      <c r="C8289" s="4" t="n">
        <v>6</v>
      </c>
      <c r="D8289" s="4" t="n">
        <v>12</v>
      </c>
      <c r="E8289" s="4" t="s">
        <v>3648</v>
      </c>
      <c r="F8289" s="4" t="n">
        <v>60</v>
      </c>
      <c r="G8289" s="4" t="n">
        <v>2</v>
      </c>
      <c r="H8289" s="4" t="n">
        <v>1</v>
      </c>
      <c r="I8289" s="4" t="str">
        <v>○</v>
      </c>
      <c r="J8289" s="4" t="n">
        <v>130</v>
      </c>
      <c r="K8289" s="4"/>
      <c r="L8289" s="4"/>
      <c r="M8289" s="5" t="s">
        <v>5346</v>
      </c>
    </row>
    <row r="8290" customFormat="false" ht="15.75" hidden="false" customHeight="false" outlineLevel="0" collapsed="false">
      <c r="A8290" s="6" t="n">
        <v>46166</v>
      </c>
      <c r="B8290" s="4" t="s">
        <v>5435</v>
      </c>
      <c r="C8290" s="4" t="n">
        <v>6</v>
      </c>
      <c r="D8290" s="4" t="n">
        <v>13</v>
      </c>
      <c r="E8290" s="4" t="s">
        <v>5687</v>
      </c>
      <c r="F8290" s="4" t="n">
        <v>20</v>
      </c>
      <c r="G8290" s="4" t="n">
        <v>6</v>
      </c>
      <c r="H8290" s="4" t="n">
        <v>4</v>
      </c>
      <c r="I8290" s="4" t="str">
        <v>×</v>
      </c>
      <c r="J8290" s="4"/>
      <c r="K8290" s="4"/>
      <c r="L8290" s="4"/>
      <c r="M8290" s="5" t="s">
        <v>5346</v>
      </c>
    </row>
    <row r="8291" customFormat="false" ht="15.75" hidden="false" customHeight="false" outlineLevel="0" collapsed="false">
      <c r="A8291" s="6" t="n">
        <v>46166</v>
      </c>
      <c r="B8291" s="4" t="s">
        <v>5435</v>
      </c>
      <c r="C8291" s="4" t="n">
        <v>6</v>
      </c>
      <c r="D8291" s="4" t="n">
        <v>14</v>
      </c>
      <c r="E8291" s="4" t="s">
        <v>3960</v>
      </c>
      <c r="F8291" s="4" t="n">
        <v>6</v>
      </c>
      <c r="G8291" s="4" t="n">
        <v>10</v>
      </c>
      <c r="H8291" s="4" t="n">
        <v>4</v>
      </c>
      <c r="I8291" s="4" t="str">
        <v>×</v>
      </c>
      <c r="J8291" s="4"/>
      <c r="K8291" s="4"/>
      <c r="L8291" s="4"/>
      <c r="M8291" s="5" t="s">
        <v>5346</v>
      </c>
    </row>
    <row r="8292" customFormat="false" ht="15.75" hidden="false" customHeight="false" outlineLevel="0" collapsed="false">
      <c r="A8292" s="6" t="n">
        <v>46166</v>
      </c>
      <c r="B8292" s="4" t="s">
        <v>5435</v>
      </c>
      <c r="C8292" s="4" t="n">
        <v>6</v>
      </c>
      <c r="D8292" s="4" t="n">
        <v>15</v>
      </c>
      <c r="E8292" s="4" t="s">
        <v>5688</v>
      </c>
      <c r="F8292" s="4" t="n">
        <v>4</v>
      </c>
      <c r="G8292" s="4" t="n">
        <v>11</v>
      </c>
      <c r="H8292" s="4" t="n">
        <v>4</v>
      </c>
      <c r="I8292" s="4" t="str">
        <v>×</v>
      </c>
      <c r="J8292" s="4"/>
      <c r="K8292" s="4"/>
      <c r="L8292" s="4"/>
      <c r="M8292" s="5" t="s">
        <v>5346</v>
      </c>
    </row>
    <row r="8293" customFormat="false" ht="15.75" hidden="false" customHeight="false" outlineLevel="0" collapsed="false">
      <c r="A8293" s="6" t="n">
        <v>46166</v>
      </c>
      <c r="B8293" s="4" t="s">
        <v>5435</v>
      </c>
      <c r="C8293" s="4" t="n">
        <v>6</v>
      </c>
      <c r="D8293" s="4" t="n">
        <v>16</v>
      </c>
      <c r="E8293" s="4" t="s">
        <v>4735</v>
      </c>
      <c r="F8293" s="4" t="n">
        <v>23</v>
      </c>
      <c r="G8293" s="4" t="n">
        <v>5</v>
      </c>
      <c r="H8293" s="4" t="n">
        <v>4</v>
      </c>
      <c r="I8293" s="4" t="str">
        <v>×</v>
      </c>
      <c r="J8293" s="4"/>
      <c r="K8293" s="4"/>
      <c r="L8293" s="4"/>
      <c r="M8293" s="5" t="s">
        <v>5346</v>
      </c>
    </row>
    <row r="8294" customFormat="false" ht="15.75" hidden="false" customHeight="false" outlineLevel="0" collapsed="false">
      <c r="A8294" s="6" t="n">
        <v>46166</v>
      </c>
      <c r="B8294" s="4" t="s">
        <v>5435</v>
      </c>
      <c r="C8294" s="4" t="n">
        <v>7</v>
      </c>
      <c r="D8294" s="4" t="n">
        <v>1</v>
      </c>
      <c r="E8294" s="4" t="s">
        <v>5689</v>
      </c>
      <c r="F8294" s="4" t="n">
        <v>1</v>
      </c>
      <c r="G8294" s="4" t="n">
        <v>12</v>
      </c>
      <c r="H8294" s="4" t="n">
        <v>4</v>
      </c>
      <c r="I8294" s="4" t="str">
        <v>×</v>
      </c>
      <c r="J8294" s="4"/>
      <c r="K8294" s="4"/>
      <c r="L8294" s="4"/>
      <c r="M8294" s="5" t="s">
        <v>5346</v>
      </c>
    </row>
    <row r="8295" customFormat="false" ht="15.75" hidden="false" customHeight="false" outlineLevel="0" collapsed="false">
      <c r="A8295" s="6" t="n">
        <v>46166</v>
      </c>
      <c r="B8295" s="4" t="s">
        <v>5435</v>
      </c>
      <c r="C8295" s="4" t="n">
        <v>7</v>
      </c>
      <c r="D8295" s="4" t="n">
        <v>2</v>
      </c>
      <c r="E8295" s="4" t="s">
        <v>5690</v>
      </c>
      <c r="F8295" s="4" t="n">
        <v>3</v>
      </c>
      <c r="G8295" s="4" t="n">
        <v>10</v>
      </c>
      <c r="H8295" s="4" t="n">
        <v>4</v>
      </c>
      <c r="I8295" s="4" t="str">
        <v>×</v>
      </c>
      <c r="J8295" s="4"/>
      <c r="K8295" s="4"/>
      <c r="L8295" s="4"/>
      <c r="M8295" s="5" t="s">
        <v>5346</v>
      </c>
    </row>
    <row r="8296" customFormat="false" ht="15.75" hidden="false" customHeight="false" outlineLevel="0" collapsed="false">
      <c r="A8296" s="6" t="n">
        <v>46166</v>
      </c>
      <c r="B8296" s="4" t="s">
        <v>5435</v>
      </c>
      <c r="C8296" s="4" t="n">
        <v>7</v>
      </c>
      <c r="D8296" s="4" t="n">
        <v>3</v>
      </c>
      <c r="E8296" s="4" t="s">
        <v>2149</v>
      </c>
      <c r="F8296" s="4" t="n">
        <v>6</v>
      </c>
      <c r="G8296" s="4" t="n">
        <v>8</v>
      </c>
      <c r="H8296" s="4" t="n">
        <v>4</v>
      </c>
      <c r="I8296" s="4" t="str">
        <v>×</v>
      </c>
      <c r="J8296" s="4"/>
      <c r="K8296" s="4"/>
      <c r="L8296" s="4"/>
      <c r="M8296" s="5" t="s">
        <v>5346</v>
      </c>
    </row>
    <row r="8297" customFormat="false" ht="15.75" hidden="false" customHeight="false" outlineLevel="0" collapsed="false">
      <c r="A8297" s="6" t="n">
        <v>46166</v>
      </c>
      <c r="B8297" s="4" t="s">
        <v>5435</v>
      </c>
      <c r="C8297" s="4" t="n">
        <v>7</v>
      </c>
      <c r="D8297" s="4" t="n">
        <v>4</v>
      </c>
      <c r="E8297" s="4" t="s">
        <v>5040</v>
      </c>
      <c r="F8297" s="4" t="n">
        <v>20</v>
      </c>
      <c r="G8297" s="4" t="n">
        <v>6</v>
      </c>
      <c r="H8297" s="4" t="n">
        <v>4</v>
      </c>
      <c r="I8297" s="4" t="str">
        <v>×</v>
      </c>
      <c r="J8297" s="4"/>
      <c r="K8297" s="4"/>
      <c r="L8297" s="4"/>
      <c r="M8297" s="5" t="s">
        <v>5346</v>
      </c>
    </row>
    <row r="8298" customFormat="false" ht="15.75" hidden="false" customHeight="false" outlineLevel="0" collapsed="false">
      <c r="A8298" s="6" t="n">
        <v>46166</v>
      </c>
      <c r="B8298" s="4" t="s">
        <v>5435</v>
      </c>
      <c r="C8298" s="4" t="n">
        <v>7</v>
      </c>
      <c r="D8298" s="4" t="n">
        <v>5</v>
      </c>
      <c r="E8298" s="4" t="s">
        <v>5691</v>
      </c>
      <c r="F8298" s="4" t="n">
        <v>3</v>
      </c>
      <c r="G8298" s="4" t="n">
        <v>10</v>
      </c>
      <c r="H8298" s="4" t="n">
        <v>4</v>
      </c>
      <c r="I8298" s="4" t="str">
        <v>×</v>
      </c>
      <c r="J8298" s="4"/>
      <c r="K8298" s="4"/>
      <c r="L8298" s="4"/>
      <c r="M8298" s="5" t="s">
        <v>5346</v>
      </c>
    </row>
    <row r="8299" customFormat="false" ht="15.75" hidden="false" customHeight="false" outlineLevel="0" collapsed="false">
      <c r="A8299" s="6" t="n">
        <v>46166</v>
      </c>
      <c r="B8299" s="4" t="s">
        <v>5435</v>
      </c>
      <c r="C8299" s="4" t="n">
        <v>7</v>
      </c>
      <c r="D8299" s="4" t="n">
        <v>6</v>
      </c>
      <c r="E8299" s="4" t="s">
        <v>1380</v>
      </c>
      <c r="F8299" s="4" t="n">
        <v>1</v>
      </c>
      <c r="G8299" s="4" t="n">
        <v>12</v>
      </c>
      <c r="H8299" s="4" t="n">
        <v>4</v>
      </c>
      <c r="I8299" s="4" t="str">
        <v>×</v>
      </c>
      <c r="J8299" s="4"/>
      <c r="K8299" s="4"/>
      <c r="L8299" s="4"/>
      <c r="M8299" s="5" t="s">
        <v>5346</v>
      </c>
    </row>
    <row r="8300" customFormat="false" ht="15.75" hidden="false" customHeight="false" outlineLevel="0" collapsed="false">
      <c r="A8300" s="6" t="n">
        <v>46166</v>
      </c>
      <c r="B8300" s="4" t="s">
        <v>5435</v>
      </c>
      <c r="C8300" s="4" t="n">
        <v>7</v>
      </c>
      <c r="D8300" s="4" t="n">
        <v>7</v>
      </c>
      <c r="E8300" s="4" t="s">
        <v>5692</v>
      </c>
      <c r="F8300" s="4" t="n">
        <v>56</v>
      </c>
      <c r="G8300" s="4" t="n">
        <v>1</v>
      </c>
      <c r="H8300" s="4" t="n">
        <v>3</v>
      </c>
      <c r="I8300" s="4" t="str">
        <v>○</v>
      </c>
      <c r="J8300" s="4" t="n">
        <v>250</v>
      </c>
      <c r="K8300" s="4"/>
      <c r="L8300" s="4"/>
      <c r="M8300" s="5" t="s">
        <v>5346</v>
      </c>
    </row>
    <row r="8301" customFormat="false" ht="15.75" hidden="false" customHeight="false" outlineLevel="0" collapsed="false">
      <c r="A8301" s="6" t="n">
        <v>46166</v>
      </c>
      <c r="B8301" s="4" t="s">
        <v>5435</v>
      </c>
      <c r="C8301" s="4" t="n">
        <v>7</v>
      </c>
      <c r="D8301" s="4" t="n">
        <v>8</v>
      </c>
      <c r="E8301" s="4" t="s">
        <v>5693</v>
      </c>
      <c r="F8301" s="4" t="n">
        <v>3</v>
      </c>
      <c r="G8301" s="4" t="n">
        <v>10</v>
      </c>
      <c r="H8301" s="4" t="n">
        <v>4</v>
      </c>
      <c r="I8301" s="4" t="str">
        <v>×</v>
      </c>
      <c r="J8301" s="4"/>
      <c r="K8301" s="4"/>
      <c r="L8301" s="4"/>
      <c r="M8301" s="5" t="s">
        <v>5346</v>
      </c>
    </row>
    <row r="8302" customFormat="false" ht="15.75" hidden="false" customHeight="false" outlineLevel="0" collapsed="false">
      <c r="A8302" s="6" t="n">
        <v>46166</v>
      </c>
      <c r="B8302" s="4" t="s">
        <v>5435</v>
      </c>
      <c r="C8302" s="4" t="n">
        <v>7</v>
      </c>
      <c r="D8302" s="4" t="n">
        <v>9</v>
      </c>
      <c r="E8302" s="4" t="s">
        <v>5694</v>
      </c>
      <c r="F8302" s="4" t="n">
        <v>31</v>
      </c>
      <c r="G8302" s="4" t="n">
        <v>3</v>
      </c>
      <c r="H8302" s="4" t="n">
        <v>4</v>
      </c>
      <c r="I8302" s="4" t="str">
        <v>×</v>
      </c>
      <c r="J8302" s="4"/>
      <c r="K8302" s="4"/>
      <c r="L8302" s="4"/>
      <c r="M8302" s="5" t="s">
        <v>5346</v>
      </c>
    </row>
    <row r="8303" customFormat="false" ht="15.75" hidden="false" customHeight="false" outlineLevel="0" collapsed="false">
      <c r="A8303" s="6" t="n">
        <v>46166</v>
      </c>
      <c r="B8303" s="4" t="s">
        <v>5435</v>
      </c>
      <c r="C8303" s="4" t="n">
        <v>7</v>
      </c>
      <c r="D8303" s="4" t="n">
        <v>10</v>
      </c>
      <c r="E8303" s="4" t="s">
        <v>5695</v>
      </c>
      <c r="F8303" s="4" t="n">
        <v>25</v>
      </c>
      <c r="G8303" s="4" t="n">
        <v>5</v>
      </c>
      <c r="H8303" s="4" t="n">
        <v>4</v>
      </c>
      <c r="I8303" s="4" t="str">
        <v>×</v>
      </c>
      <c r="J8303" s="4"/>
      <c r="K8303" s="4"/>
      <c r="L8303" s="4"/>
      <c r="M8303" s="5" t="s">
        <v>5346</v>
      </c>
    </row>
    <row r="8304" customFormat="false" ht="15.75" hidden="false" customHeight="false" outlineLevel="0" collapsed="false">
      <c r="A8304" s="6" t="n">
        <v>46166</v>
      </c>
      <c r="B8304" s="4" t="s">
        <v>5435</v>
      </c>
      <c r="C8304" s="4" t="n">
        <v>7</v>
      </c>
      <c r="D8304" s="4" t="n">
        <v>11</v>
      </c>
      <c r="E8304" s="4" t="s">
        <v>4832</v>
      </c>
      <c r="F8304" s="4" t="n">
        <v>25</v>
      </c>
      <c r="G8304" s="4" t="n">
        <v>5</v>
      </c>
      <c r="H8304" s="4" t="n">
        <v>2</v>
      </c>
      <c r="I8304" s="4" t="str">
        <v>○</v>
      </c>
      <c r="J8304" s="4" t="n">
        <v>200</v>
      </c>
      <c r="K8304" s="4"/>
      <c r="L8304" s="4"/>
      <c r="M8304" s="5" t="s">
        <v>5346</v>
      </c>
    </row>
    <row r="8305" customFormat="false" ht="15.75" hidden="false" customHeight="false" outlineLevel="0" collapsed="false">
      <c r="A8305" s="6" t="n">
        <v>46166</v>
      </c>
      <c r="B8305" s="4" t="s">
        <v>5435</v>
      </c>
      <c r="C8305" s="4" t="n">
        <v>7</v>
      </c>
      <c r="D8305" s="4" t="n">
        <v>12</v>
      </c>
      <c r="E8305" s="4" t="s">
        <v>5696</v>
      </c>
      <c r="F8305" s="4" t="n">
        <v>29</v>
      </c>
      <c r="G8305" s="4" t="n">
        <v>4</v>
      </c>
      <c r="H8305" s="4" t="n">
        <v>1</v>
      </c>
      <c r="I8305" s="4" t="str">
        <v>○</v>
      </c>
      <c r="J8305" s="4" t="n">
        <v>210</v>
      </c>
      <c r="K8305" s="4"/>
      <c r="L8305" s="4"/>
      <c r="M8305" s="5" t="s">
        <v>5346</v>
      </c>
    </row>
    <row r="8306" customFormat="false" ht="15.75" hidden="false" customHeight="false" outlineLevel="0" collapsed="false">
      <c r="A8306" s="6" t="n">
        <v>46166</v>
      </c>
      <c r="B8306" s="4" t="s">
        <v>5435</v>
      </c>
      <c r="C8306" s="4" t="n">
        <v>7</v>
      </c>
      <c r="D8306" s="4" t="n">
        <v>13</v>
      </c>
      <c r="E8306" s="4" t="s">
        <v>5697</v>
      </c>
      <c r="F8306" s="4" t="n">
        <v>1</v>
      </c>
      <c r="G8306" s="4" t="n">
        <v>12</v>
      </c>
      <c r="H8306" s="4" t="n">
        <v>4</v>
      </c>
      <c r="I8306" s="4" t="str">
        <v>×</v>
      </c>
      <c r="J8306" s="4"/>
      <c r="K8306" s="4"/>
      <c r="L8306" s="4"/>
      <c r="M8306" s="5" t="s">
        <v>5346</v>
      </c>
    </row>
    <row r="8307" customFormat="false" ht="15.75" hidden="false" customHeight="false" outlineLevel="0" collapsed="false">
      <c r="A8307" s="6" t="n">
        <v>46166</v>
      </c>
      <c r="B8307" s="4" t="s">
        <v>5435</v>
      </c>
      <c r="C8307" s="4" t="n">
        <v>7</v>
      </c>
      <c r="D8307" s="4" t="n">
        <v>14</v>
      </c>
      <c r="E8307" s="4" t="s">
        <v>3828</v>
      </c>
      <c r="F8307" s="4" t="n">
        <v>4</v>
      </c>
      <c r="G8307" s="4" t="n">
        <v>9</v>
      </c>
      <c r="H8307" s="4" t="n">
        <v>4</v>
      </c>
      <c r="I8307" s="4" t="str">
        <v>×</v>
      </c>
      <c r="J8307" s="4"/>
      <c r="K8307" s="4"/>
      <c r="L8307" s="4"/>
      <c r="M8307" s="5" t="s">
        <v>5346</v>
      </c>
    </row>
    <row r="8308" customFormat="false" ht="15.75" hidden="false" customHeight="false" outlineLevel="0" collapsed="false">
      <c r="A8308" s="6" t="n">
        <v>46166</v>
      </c>
      <c r="B8308" s="4" t="s">
        <v>5435</v>
      </c>
      <c r="C8308" s="4" t="n">
        <v>7</v>
      </c>
      <c r="D8308" s="4" t="n">
        <v>15</v>
      </c>
      <c r="E8308" s="4" t="s">
        <v>5698</v>
      </c>
      <c r="F8308" s="4" t="n">
        <v>15</v>
      </c>
      <c r="G8308" s="4" t="n">
        <v>7</v>
      </c>
      <c r="H8308" s="4" t="n">
        <v>4</v>
      </c>
      <c r="I8308" s="4" t="str">
        <v>×</v>
      </c>
      <c r="J8308" s="4"/>
      <c r="K8308" s="4"/>
      <c r="L8308" s="4"/>
      <c r="M8308" s="5" t="s">
        <v>5346</v>
      </c>
    </row>
    <row r="8309" customFormat="false" ht="15.75" hidden="false" customHeight="false" outlineLevel="0" collapsed="false">
      <c r="A8309" s="6" t="n">
        <v>46166</v>
      </c>
      <c r="B8309" s="4" t="s">
        <v>5435</v>
      </c>
      <c r="C8309" s="4" t="n">
        <v>7</v>
      </c>
      <c r="D8309" s="4" t="n">
        <v>16</v>
      </c>
      <c r="E8309" s="4" t="s">
        <v>2548</v>
      </c>
      <c r="F8309" s="4" t="n">
        <v>37</v>
      </c>
      <c r="G8309" s="4" t="n">
        <v>2</v>
      </c>
      <c r="H8309" s="4" t="n">
        <v>4</v>
      </c>
      <c r="I8309" s="4" t="str">
        <v>×</v>
      </c>
      <c r="J8309" s="4"/>
      <c r="K8309" s="4"/>
      <c r="L8309" s="4"/>
      <c r="M8309" s="5" t="s">
        <v>5346</v>
      </c>
    </row>
    <row r="8310" customFormat="false" ht="15.75" hidden="false" customHeight="false" outlineLevel="0" collapsed="false">
      <c r="A8310" s="6" t="n">
        <v>46166</v>
      </c>
      <c r="B8310" s="4" t="s">
        <v>5435</v>
      </c>
      <c r="C8310" s="4" t="n">
        <v>7</v>
      </c>
      <c r="D8310" s="4" t="n">
        <v>17</v>
      </c>
      <c r="E8310" s="4" t="s">
        <v>1641</v>
      </c>
      <c r="F8310" s="4" t="n">
        <v>2</v>
      </c>
      <c r="G8310" s="4" t="n">
        <v>11</v>
      </c>
      <c r="H8310" s="4" t="n">
        <v>4</v>
      </c>
      <c r="I8310" s="4" t="str">
        <v>×</v>
      </c>
      <c r="J8310" s="4"/>
      <c r="K8310" s="4"/>
      <c r="L8310" s="4"/>
      <c r="M8310" s="5" t="s">
        <v>5346</v>
      </c>
    </row>
    <row r="8311" customFormat="false" ht="15.75" hidden="false" customHeight="false" outlineLevel="0" collapsed="false">
      <c r="A8311" s="6" t="n">
        <v>46166</v>
      </c>
      <c r="B8311" s="4" t="s">
        <v>5435</v>
      </c>
      <c r="C8311" s="4" t="n">
        <v>7</v>
      </c>
      <c r="D8311" s="4" t="n">
        <v>18</v>
      </c>
      <c r="E8311" s="4" t="s">
        <v>3811</v>
      </c>
      <c r="F8311" s="4" t="n">
        <v>20</v>
      </c>
      <c r="G8311" s="4" t="n">
        <v>6</v>
      </c>
      <c r="H8311" s="4" t="n">
        <v>4</v>
      </c>
      <c r="I8311" s="4" t="str">
        <v>×</v>
      </c>
      <c r="J8311" s="4"/>
      <c r="K8311" s="4"/>
      <c r="L8311" s="4"/>
      <c r="M8311" s="5" t="s">
        <v>5346</v>
      </c>
    </row>
    <row r="8312" customFormat="false" ht="15.75" hidden="false" customHeight="false" outlineLevel="0" collapsed="false">
      <c r="A8312" s="6" t="n">
        <v>46166</v>
      </c>
      <c r="B8312" s="4" t="s">
        <v>5435</v>
      </c>
      <c r="C8312" s="4" t="n">
        <v>8</v>
      </c>
      <c r="D8312" s="4" t="n">
        <v>1</v>
      </c>
      <c r="E8312" s="4" t="s">
        <v>3481</v>
      </c>
      <c r="F8312" s="4" t="n">
        <v>47</v>
      </c>
      <c r="G8312" s="4" t="n">
        <v>2</v>
      </c>
      <c r="H8312" s="4" t="n">
        <v>4</v>
      </c>
      <c r="I8312" s="4" t="str">
        <v>×</v>
      </c>
      <c r="J8312" s="4"/>
      <c r="K8312" s="4"/>
      <c r="L8312" s="4"/>
      <c r="M8312" s="5" t="s">
        <v>5346</v>
      </c>
    </row>
    <row r="8313" customFormat="false" ht="15.75" hidden="false" customHeight="false" outlineLevel="0" collapsed="false">
      <c r="A8313" s="6" t="n">
        <v>46166</v>
      </c>
      <c r="B8313" s="4" t="s">
        <v>5435</v>
      </c>
      <c r="C8313" s="4" t="n">
        <v>8</v>
      </c>
      <c r="D8313" s="4" t="n">
        <v>2</v>
      </c>
      <c r="E8313" s="4" t="s">
        <v>5699</v>
      </c>
      <c r="F8313" s="4" t="n">
        <v>10</v>
      </c>
      <c r="G8313" s="4" t="n">
        <v>7</v>
      </c>
      <c r="H8313" s="4" t="n">
        <v>4</v>
      </c>
      <c r="I8313" s="4" t="str">
        <v>×</v>
      </c>
      <c r="J8313" s="4"/>
      <c r="K8313" s="4"/>
      <c r="L8313" s="4"/>
      <c r="M8313" s="5" t="s">
        <v>5346</v>
      </c>
    </row>
    <row r="8314" customFormat="false" ht="15.75" hidden="false" customHeight="false" outlineLevel="0" collapsed="false">
      <c r="A8314" s="6" t="n">
        <v>46166</v>
      </c>
      <c r="B8314" s="4" t="s">
        <v>5435</v>
      </c>
      <c r="C8314" s="4" t="n">
        <v>8</v>
      </c>
      <c r="D8314" s="4" t="n">
        <v>3</v>
      </c>
      <c r="E8314" s="4" t="s">
        <v>5229</v>
      </c>
      <c r="F8314" s="4" t="n">
        <v>10</v>
      </c>
      <c r="G8314" s="4" t="n">
        <v>7</v>
      </c>
      <c r="H8314" s="4" t="n">
        <v>4</v>
      </c>
      <c r="I8314" s="4" t="str">
        <v>×</v>
      </c>
      <c r="J8314" s="4"/>
      <c r="K8314" s="4"/>
      <c r="L8314" s="4"/>
      <c r="M8314" s="5" t="s">
        <v>5346</v>
      </c>
    </row>
    <row r="8315" customFormat="false" ht="15.75" hidden="false" customHeight="false" outlineLevel="0" collapsed="false">
      <c r="A8315" s="6" t="n">
        <v>46166</v>
      </c>
      <c r="B8315" s="4" t="s">
        <v>5435</v>
      </c>
      <c r="C8315" s="4" t="n">
        <v>8</v>
      </c>
      <c r="D8315" s="4" t="n">
        <v>4</v>
      </c>
      <c r="E8315" s="4" t="s">
        <v>5700</v>
      </c>
      <c r="F8315" s="4" t="n">
        <v>37</v>
      </c>
      <c r="G8315" s="4" t="n">
        <v>3</v>
      </c>
      <c r="H8315" s="4" t="n">
        <v>4</v>
      </c>
      <c r="I8315" s="4" t="str">
        <v>×</v>
      </c>
      <c r="J8315" s="4"/>
      <c r="K8315" s="4"/>
      <c r="L8315" s="4"/>
      <c r="M8315" s="5" t="s">
        <v>5346</v>
      </c>
    </row>
    <row r="8316" customFormat="false" ht="15.75" hidden="false" customHeight="false" outlineLevel="0" collapsed="false">
      <c r="A8316" s="6" t="n">
        <v>46166</v>
      </c>
      <c r="B8316" s="4" t="s">
        <v>5435</v>
      </c>
      <c r="C8316" s="4" t="n">
        <v>8</v>
      </c>
      <c r="D8316" s="4" t="n">
        <v>5</v>
      </c>
      <c r="E8316" s="4" t="s">
        <v>1686</v>
      </c>
      <c r="F8316" s="4" t="n">
        <v>58</v>
      </c>
      <c r="G8316" s="4" t="n">
        <v>1</v>
      </c>
      <c r="H8316" s="4" t="n">
        <v>1</v>
      </c>
      <c r="I8316" s="4" t="str">
        <v>○</v>
      </c>
      <c r="J8316" s="4" t="n">
        <v>110</v>
      </c>
      <c r="K8316" s="4"/>
      <c r="L8316" s="4"/>
      <c r="M8316" s="5" t="s">
        <v>5346</v>
      </c>
    </row>
    <row r="8317" customFormat="false" ht="15.75" hidden="false" customHeight="false" outlineLevel="0" collapsed="false">
      <c r="A8317" s="6" t="n">
        <v>46166</v>
      </c>
      <c r="B8317" s="4" t="s">
        <v>5435</v>
      </c>
      <c r="C8317" s="4" t="n">
        <v>8</v>
      </c>
      <c r="D8317" s="4" t="n">
        <v>6</v>
      </c>
      <c r="E8317" s="4" t="s">
        <v>4649</v>
      </c>
      <c r="F8317" s="4" t="n">
        <v>15</v>
      </c>
      <c r="G8317" s="4" t="n">
        <v>6</v>
      </c>
      <c r="H8317" s="4" t="n">
        <v>3</v>
      </c>
      <c r="I8317" s="4" t="str">
        <v>○</v>
      </c>
      <c r="J8317" s="4" t="n">
        <v>220</v>
      </c>
      <c r="K8317" s="4"/>
      <c r="L8317" s="4"/>
      <c r="M8317" s="5" t="s">
        <v>5346</v>
      </c>
    </row>
    <row r="8318" customFormat="false" ht="15.75" hidden="false" customHeight="false" outlineLevel="0" collapsed="false">
      <c r="A8318" s="6" t="n">
        <v>46166</v>
      </c>
      <c r="B8318" s="4" t="s">
        <v>5435</v>
      </c>
      <c r="C8318" s="4" t="n">
        <v>8</v>
      </c>
      <c r="D8318" s="4" t="n">
        <v>7</v>
      </c>
      <c r="E8318" s="4" t="s">
        <v>4225</v>
      </c>
      <c r="F8318" s="4" t="n">
        <v>10</v>
      </c>
      <c r="G8318" s="4" t="n">
        <v>7</v>
      </c>
      <c r="H8318" s="4" t="n">
        <v>4</v>
      </c>
      <c r="I8318" s="4" t="str">
        <v>×</v>
      </c>
      <c r="J8318" s="4"/>
      <c r="K8318" s="4"/>
      <c r="L8318" s="4"/>
      <c r="M8318" s="5" t="s">
        <v>5346</v>
      </c>
    </row>
    <row r="8319" customFormat="false" ht="15.75" hidden="false" customHeight="false" outlineLevel="0" collapsed="false">
      <c r="A8319" s="6" t="n">
        <v>46166</v>
      </c>
      <c r="B8319" s="4" t="s">
        <v>5435</v>
      </c>
      <c r="C8319" s="4" t="n">
        <v>8</v>
      </c>
      <c r="D8319" s="4" t="n">
        <v>8</v>
      </c>
      <c r="E8319" s="4" t="s">
        <v>4221</v>
      </c>
      <c r="F8319" s="4" t="n">
        <v>23</v>
      </c>
      <c r="G8319" s="4" t="n">
        <v>4</v>
      </c>
      <c r="H8319" s="4" t="n">
        <v>2</v>
      </c>
      <c r="I8319" s="4" t="str">
        <v>○</v>
      </c>
      <c r="J8319" s="4" t="n">
        <v>370</v>
      </c>
      <c r="K8319" s="4"/>
      <c r="L8319" s="4"/>
      <c r="M8319" s="5" t="s">
        <v>5346</v>
      </c>
    </row>
    <row r="8320" customFormat="false" ht="15.75" hidden="false" customHeight="false" outlineLevel="0" collapsed="false">
      <c r="A8320" s="6" t="n">
        <v>46166</v>
      </c>
      <c r="B8320" s="4" t="s">
        <v>5435</v>
      </c>
      <c r="C8320" s="4" t="n">
        <v>8</v>
      </c>
      <c r="D8320" s="4" t="n">
        <v>9</v>
      </c>
      <c r="E8320" s="4" t="s">
        <v>3649</v>
      </c>
      <c r="F8320" s="4" t="n">
        <v>10</v>
      </c>
      <c r="G8320" s="4" t="n">
        <v>7</v>
      </c>
      <c r="H8320" s="4" t="n">
        <v>4</v>
      </c>
      <c r="I8320" s="4" t="str">
        <v>×</v>
      </c>
      <c r="J8320" s="4"/>
      <c r="K8320" s="4"/>
      <c r="L8320" s="4"/>
      <c r="M8320" s="5" t="s">
        <v>5346</v>
      </c>
    </row>
    <row r="8321" customFormat="false" ht="15.75" hidden="false" customHeight="false" outlineLevel="0" collapsed="false">
      <c r="A8321" s="6" t="n">
        <v>46166</v>
      </c>
      <c r="B8321" s="4" t="s">
        <v>5435</v>
      </c>
      <c r="C8321" s="4" t="n">
        <v>8</v>
      </c>
      <c r="D8321" s="4" t="n">
        <v>10</v>
      </c>
      <c r="E8321" s="4" t="s">
        <v>5701</v>
      </c>
      <c r="F8321" s="4" t="n">
        <v>20</v>
      </c>
      <c r="G8321" s="4" t="n">
        <v>5</v>
      </c>
      <c r="H8321" s="4" t="n">
        <v>4</v>
      </c>
      <c r="I8321" s="4" t="str">
        <v>×</v>
      </c>
      <c r="J8321" s="4"/>
      <c r="K8321" s="4"/>
      <c r="L8321" s="4"/>
      <c r="M8321" s="5" t="s">
        <v>5346</v>
      </c>
    </row>
    <row r="8322" customFormat="false" ht="15.75" hidden="false" customHeight="false" outlineLevel="0" collapsed="false">
      <c r="A8322" s="6" t="n">
        <v>46166</v>
      </c>
      <c r="B8322" s="4" t="s">
        <v>5435</v>
      </c>
      <c r="C8322" s="4" t="n">
        <v>8</v>
      </c>
      <c r="D8322" s="4" t="n">
        <v>11</v>
      </c>
      <c r="E8322" s="4" t="s">
        <v>5702</v>
      </c>
      <c r="F8322" s="4" t="n">
        <v>3</v>
      </c>
      <c r="G8322" s="4" t="n">
        <v>9</v>
      </c>
      <c r="H8322" s="4" t="n">
        <v>4</v>
      </c>
      <c r="I8322" s="4" t="str">
        <v>×</v>
      </c>
      <c r="J8322" s="4"/>
      <c r="K8322" s="4"/>
      <c r="L8322" s="4"/>
      <c r="M8322" s="5" t="s">
        <v>5346</v>
      </c>
    </row>
    <row r="8323" customFormat="false" ht="15.75" hidden="false" customHeight="false" outlineLevel="0" collapsed="false">
      <c r="A8323" s="6" t="n">
        <v>46166</v>
      </c>
      <c r="B8323" s="4" t="s">
        <v>5435</v>
      </c>
      <c r="C8323" s="4" t="n">
        <v>8</v>
      </c>
      <c r="D8323" s="4" t="n">
        <v>12</v>
      </c>
      <c r="E8323" s="4" t="s">
        <v>4646</v>
      </c>
      <c r="F8323" s="4" t="n">
        <v>4</v>
      </c>
      <c r="G8323" s="4" t="n">
        <v>8</v>
      </c>
      <c r="H8323" s="4" t="n">
        <v>4</v>
      </c>
      <c r="I8323" s="4" t="str">
        <v>×</v>
      </c>
      <c r="J8323" s="4"/>
      <c r="K8323" s="4"/>
      <c r="L8323" s="4"/>
      <c r="M8323" s="5" t="s">
        <v>5346</v>
      </c>
    </row>
    <row r="8324" customFormat="false" ht="15.75" hidden="false" customHeight="false" outlineLevel="0" collapsed="false">
      <c r="A8324" s="6" t="n">
        <v>46166</v>
      </c>
      <c r="B8324" s="4" t="s">
        <v>5435</v>
      </c>
      <c r="C8324" s="4" t="n">
        <v>9</v>
      </c>
      <c r="D8324" s="4" t="n">
        <v>1</v>
      </c>
      <c r="E8324" s="4" t="s">
        <v>5703</v>
      </c>
      <c r="F8324" s="4" t="n">
        <v>34</v>
      </c>
      <c r="G8324" s="4" t="n">
        <v>4</v>
      </c>
      <c r="H8324" s="4"/>
      <c r="I8324" s="4" t="str">
        <v/>
      </c>
      <c r="J8324" s="4"/>
      <c r="K8324" s="4"/>
      <c r="L8324" s="4"/>
      <c r="M8324" s="5" t="s">
        <v>5346</v>
      </c>
    </row>
    <row r="8325" customFormat="false" ht="15.75" hidden="false" customHeight="false" outlineLevel="0" collapsed="false">
      <c r="A8325" s="6" t="n">
        <v>46166</v>
      </c>
      <c r="B8325" s="4" t="s">
        <v>5435</v>
      </c>
      <c r="C8325" s="4" t="n">
        <v>9</v>
      </c>
      <c r="D8325" s="4" t="n">
        <v>2</v>
      </c>
      <c r="E8325" s="4" t="s">
        <v>891</v>
      </c>
      <c r="F8325" s="4" t="n">
        <v>25</v>
      </c>
      <c r="G8325" s="4" t="n">
        <v>5</v>
      </c>
      <c r="H8325" s="4" t="n">
        <v>4</v>
      </c>
      <c r="I8325" s="4" t="str">
        <v>×</v>
      </c>
      <c r="J8325" s="4"/>
      <c r="K8325" s="4"/>
      <c r="L8325" s="4"/>
      <c r="M8325" s="5" t="s">
        <v>5346</v>
      </c>
    </row>
    <row r="8326" customFormat="false" ht="15.75" hidden="false" customHeight="false" outlineLevel="0" collapsed="false">
      <c r="A8326" s="6" t="n">
        <v>46166</v>
      </c>
      <c r="B8326" s="4" t="s">
        <v>5435</v>
      </c>
      <c r="C8326" s="4" t="n">
        <v>9</v>
      </c>
      <c r="D8326" s="4" t="n">
        <v>3</v>
      </c>
      <c r="E8326" s="4" t="s">
        <v>1667</v>
      </c>
      <c r="F8326" s="4" t="n">
        <v>8</v>
      </c>
      <c r="G8326" s="4" t="n">
        <v>7</v>
      </c>
      <c r="H8326" s="4" t="n">
        <v>4</v>
      </c>
      <c r="I8326" s="4" t="str">
        <v>×</v>
      </c>
      <c r="J8326" s="4"/>
      <c r="K8326" s="4"/>
      <c r="L8326" s="4"/>
      <c r="M8326" s="5" t="s">
        <v>5346</v>
      </c>
    </row>
    <row r="8327" customFormat="false" ht="15.75" hidden="false" customHeight="false" outlineLevel="0" collapsed="false">
      <c r="A8327" s="6" t="n">
        <v>46166</v>
      </c>
      <c r="B8327" s="4" t="s">
        <v>5435</v>
      </c>
      <c r="C8327" s="4" t="n">
        <v>9</v>
      </c>
      <c r="D8327" s="4" t="n">
        <v>4</v>
      </c>
      <c r="E8327" s="4" t="s">
        <v>3095</v>
      </c>
      <c r="F8327" s="4" t="n">
        <v>4</v>
      </c>
      <c r="G8327" s="4" t="n">
        <v>9</v>
      </c>
      <c r="H8327" s="4" t="n">
        <v>4</v>
      </c>
      <c r="I8327" s="4" t="str">
        <v>×</v>
      </c>
      <c r="J8327" s="4"/>
      <c r="K8327" s="4"/>
      <c r="L8327" s="4"/>
      <c r="M8327" s="5" t="s">
        <v>5346</v>
      </c>
    </row>
    <row r="8328" customFormat="false" ht="15.75" hidden="false" customHeight="false" outlineLevel="0" collapsed="false">
      <c r="A8328" s="6" t="n">
        <v>46166</v>
      </c>
      <c r="B8328" s="4" t="s">
        <v>5435</v>
      </c>
      <c r="C8328" s="4" t="n">
        <v>9</v>
      </c>
      <c r="D8328" s="4" t="n">
        <v>5</v>
      </c>
      <c r="E8328" s="4" t="s">
        <v>5704</v>
      </c>
      <c r="F8328" s="4" t="n">
        <v>47</v>
      </c>
      <c r="G8328" s="4" t="n">
        <v>3</v>
      </c>
      <c r="H8328" s="4" t="n">
        <v>2</v>
      </c>
      <c r="I8328" s="4" t="str">
        <v>○</v>
      </c>
      <c r="J8328" s="4" t="n">
        <v>160</v>
      </c>
      <c r="K8328" s="4"/>
      <c r="L8328" s="4"/>
      <c r="M8328" s="5" t="s">
        <v>5346</v>
      </c>
    </row>
    <row r="8329" customFormat="false" ht="15.75" hidden="false" customHeight="false" outlineLevel="0" collapsed="false">
      <c r="A8329" s="6" t="n">
        <v>46166</v>
      </c>
      <c r="B8329" s="4" t="s">
        <v>5435</v>
      </c>
      <c r="C8329" s="4" t="n">
        <v>9</v>
      </c>
      <c r="D8329" s="4" t="n">
        <v>6</v>
      </c>
      <c r="E8329" s="4" t="s">
        <v>4035</v>
      </c>
      <c r="F8329" s="4" t="n">
        <v>66</v>
      </c>
      <c r="G8329" s="4" t="n">
        <v>1</v>
      </c>
      <c r="H8329" s="4" t="n">
        <v>4</v>
      </c>
      <c r="I8329" s="4" t="str">
        <v>×</v>
      </c>
      <c r="J8329" s="4"/>
      <c r="K8329" s="4"/>
      <c r="L8329" s="4"/>
      <c r="M8329" s="5" t="s">
        <v>5346</v>
      </c>
    </row>
    <row r="8330" customFormat="false" ht="15.75" hidden="false" customHeight="false" outlineLevel="0" collapsed="false">
      <c r="A8330" s="6" t="n">
        <v>46166</v>
      </c>
      <c r="B8330" s="4" t="s">
        <v>5435</v>
      </c>
      <c r="C8330" s="4" t="n">
        <v>9</v>
      </c>
      <c r="D8330" s="4" t="n">
        <v>7</v>
      </c>
      <c r="E8330" s="4" t="s">
        <v>690</v>
      </c>
      <c r="F8330" s="4" t="n">
        <v>6</v>
      </c>
      <c r="G8330" s="4" t="n">
        <v>8</v>
      </c>
      <c r="H8330" s="4" t="n">
        <v>4</v>
      </c>
      <c r="I8330" s="4" t="str">
        <v>×</v>
      </c>
      <c r="J8330" s="4"/>
      <c r="K8330" s="4"/>
      <c r="L8330" s="4"/>
      <c r="M8330" s="5" t="s">
        <v>5346</v>
      </c>
    </row>
    <row r="8331" customFormat="false" ht="15.75" hidden="false" customHeight="false" outlineLevel="0" collapsed="false">
      <c r="A8331" s="6" t="n">
        <v>46166</v>
      </c>
      <c r="B8331" s="4" t="s">
        <v>5435</v>
      </c>
      <c r="C8331" s="4" t="n">
        <v>9</v>
      </c>
      <c r="D8331" s="4" t="n">
        <v>8</v>
      </c>
      <c r="E8331" s="4" t="s">
        <v>3856</v>
      </c>
      <c r="F8331" s="4" t="n">
        <v>60</v>
      </c>
      <c r="G8331" s="4" t="n">
        <v>2</v>
      </c>
      <c r="H8331" s="4" t="n">
        <v>3</v>
      </c>
      <c r="I8331" s="4" t="str">
        <v>○</v>
      </c>
      <c r="J8331" s="4" t="n">
        <v>110</v>
      </c>
      <c r="K8331" s="4"/>
      <c r="L8331" s="4"/>
      <c r="M8331" s="5" t="s">
        <v>5346</v>
      </c>
    </row>
    <row r="8332" customFormat="false" ht="15.75" hidden="false" customHeight="false" outlineLevel="0" collapsed="false">
      <c r="A8332" s="6" t="n">
        <v>46166</v>
      </c>
      <c r="B8332" s="4" t="s">
        <v>5435</v>
      </c>
      <c r="C8332" s="4" t="n">
        <v>9</v>
      </c>
      <c r="D8332" s="4" t="n">
        <v>9</v>
      </c>
      <c r="E8332" s="4" t="s">
        <v>2909</v>
      </c>
      <c r="F8332" s="4" t="n">
        <v>34</v>
      </c>
      <c r="G8332" s="4" t="n">
        <v>4</v>
      </c>
      <c r="H8332" s="4" t="n">
        <v>1</v>
      </c>
      <c r="I8332" s="4" t="str">
        <v>○</v>
      </c>
      <c r="J8332" s="4" t="n">
        <v>220</v>
      </c>
      <c r="K8332" s="4"/>
      <c r="L8332" s="4"/>
      <c r="M8332" s="5" t="s">
        <v>5346</v>
      </c>
    </row>
    <row r="8333" customFormat="false" ht="15.75" hidden="false" customHeight="false" outlineLevel="0" collapsed="false">
      <c r="A8333" s="6" t="n">
        <v>46166</v>
      </c>
      <c r="B8333" s="4" t="s">
        <v>5435</v>
      </c>
      <c r="C8333" s="4" t="n">
        <v>9</v>
      </c>
      <c r="D8333" s="4" t="n">
        <v>10</v>
      </c>
      <c r="E8333" s="4" t="s">
        <v>5705</v>
      </c>
      <c r="F8333" s="4" t="n">
        <v>17</v>
      </c>
      <c r="G8333" s="4" t="n">
        <v>6</v>
      </c>
      <c r="H8333" s="4" t="n">
        <v>4</v>
      </c>
      <c r="I8333" s="4" t="str">
        <v>×</v>
      </c>
      <c r="J8333" s="4"/>
      <c r="K8333" s="4"/>
      <c r="L8333" s="4"/>
      <c r="M8333" s="5" t="s">
        <v>5346</v>
      </c>
    </row>
    <row r="8334" customFormat="false" ht="15.75" hidden="false" customHeight="false" outlineLevel="0" collapsed="false">
      <c r="A8334" s="6" t="n">
        <v>46166</v>
      </c>
      <c r="B8334" s="4" t="s">
        <v>5435</v>
      </c>
      <c r="C8334" s="4" t="n">
        <v>9</v>
      </c>
      <c r="D8334" s="4" t="n">
        <v>11</v>
      </c>
      <c r="E8334" s="4" t="s">
        <v>1673</v>
      </c>
      <c r="F8334" s="4" t="n">
        <v>17</v>
      </c>
      <c r="G8334" s="4" t="n">
        <v>6</v>
      </c>
      <c r="H8334" s="4" t="n">
        <v>4</v>
      </c>
      <c r="I8334" s="4" t="str">
        <v>×</v>
      </c>
      <c r="J8334" s="4"/>
      <c r="K8334" s="4"/>
      <c r="L8334" s="4"/>
      <c r="M8334" s="5" t="s">
        <v>5346</v>
      </c>
    </row>
    <row r="8335" customFormat="false" ht="15.75" hidden="false" customHeight="false" outlineLevel="0" collapsed="false">
      <c r="A8335" s="6" t="n">
        <v>46166</v>
      </c>
      <c r="B8335" s="4" t="s">
        <v>5435</v>
      </c>
      <c r="C8335" s="4" t="n">
        <v>10</v>
      </c>
      <c r="D8335" s="4" t="n">
        <v>1</v>
      </c>
      <c r="E8335" s="4" t="s">
        <v>5706</v>
      </c>
      <c r="F8335" s="4" t="n">
        <v>2</v>
      </c>
      <c r="G8335" s="4" t="n">
        <v>12</v>
      </c>
      <c r="H8335" s="4" t="n">
        <v>4</v>
      </c>
      <c r="I8335" s="4" t="str">
        <v>×</v>
      </c>
      <c r="J8335" s="4"/>
      <c r="K8335" s="4"/>
      <c r="L8335" s="4"/>
      <c r="M8335" s="5" t="s">
        <v>5346</v>
      </c>
    </row>
    <row r="8336" customFormat="false" ht="15.75" hidden="false" customHeight="false" outlineLevel="0" collapsed="false">
      <c r="A8336" s="6" t="n">
        <v>46166</v>
      </c>
      <c r="B8336" s="4" t="s">
        <v>5435</v>
      </c>
      <c r="C8336" s="4" t="n">
        <v>10</v>
      </c>
      <c r="D8336" s="4" t="n">
        <v>2</v>
      </c>
      <c r="E8336" s="4" t="s">
        <v>5707</v>
      </c>
      <c r="F8336" s="4" t="n">
        <v>8</v>
      </c>
      <c r="G8336" s="4" t="n">
        <v>9</v>
      </c>
      <c r="H8336" s="4" t="n">
        <v>4</v>
      </c>
      <c r="I8336" s="4" t="str">
        <v>×</v>
      </c>
      <c r="J8336" s="4"/>
      <c r="K8336" s="4"/>
      <c r="L8336" s="4"/>
      <c r="M8336" s="5" t="s">
        <v>5346</v>
      </c>
    </row>
    <row r="8337" customFormat="false" ht="15.75" hidden="false" customHeight="false" outlineLevel="0" collapsed="false">
      <c r="A8337" s="6" t="n">
        <v>46166</v>
      </c>
      <c r="B8337" s="4" t="s">
        <v>5435</v>
      </c>
      <c r="C8337" s="4" t="n">
        <v>10</v>
      </c>
      <c r="D8337" s="4" t="n">
        <v>3</v>
      </c>
      <c r="E8337" s="4" t="s">
        <v>4560</v>
      </c>
      <c r="F8337" s="4" t="n">
        <v>37</v>
      </c>
      <c r="G8337" s="4" t="n">
        <v>4</v>
      </c>
      <c r="H8337" s="4" t="n">
        <v>4</v>
      </c>
      <c r="I8337" s="4" t="str">
        <v>×</v>
      </c>
      <c r="J8337" s="4"/>
      <c r="K8337" s="4"/>
      <c r="L8337" s="4"/>
      <c r="M8337" s="5" t="s">
        <v>5346</v>
      </c>
    </row>
    <row r="8338" customFormat="false" ht="15.75" hidden="false" customHeight="false" outlineLevel="0" collapsed="false">
      <c r="A8338" s="6" t="n">
        <v>46166</v>
      </c>
      <c r="B8338" s="4" t="s">
        <v>5435</v>
      </c>
      <c r="C8338" s="4" t="n">
        <v>10</v>
      </c>
      <c r="D8338" s="4" t="n">
        <v>4</v>
      </c>
      <c r="E8338" s="4" t="s">
        <v>2150</v>
      </c>
      <c r="F8338" s="4" t="n">
        <v>10</v>
      </c>
      <c r="G8338" s="4" t="n">
        <v>8</v>
      </c>
      <c r="H8338" s="4" t="n">
        <v>4</v>
      </c>
      <c r="I8338" s="4" t="str">
        <v>×</v>
      </c>
      <c r="J8338" s="4"/>
      <c r="K8338" s="4"/>
      <c r="L8338" s="4"/>
      <c r="M8338" s="5" t="s">
        <v>5346</v>
      </c>
    </row>
    <row r="8339" customFormat="false" ht="15.75" hidden="false" customHeight="false" outlineLevel="0" collapsed="false">
      <c r="A8339" s="6" t="n">
        <v>46166</v>
      </c>
      <c r="B8339" s="4" t="s">
        <v>5435</v>
      </c>
      <c r="C8339" s="4" t="n">
        <v>10</v>
      </c>
      <c r="D8339" s="4" t="n">
        <v>5</v>
      </c>
      <c r="E8339" s="4" t="s">
        <v>5324</v>
      </c>
      <c r="F8339" s="4" t="n">
        <v>23</v>
      </c>
      <c r="G8339" s="4" t="n">
        <v>5</v>
      </c>
      <c r="H8339" s="4" t="n">
        <v>2</v>
      </c>
      <c r="I8339" s="4" t="str">
        <v>○</v>
      </c>
      <c r="J8339" s="4" t="n">
        <v>300</v>
      </c>
      <c r="K8339" s="4"/>
      <c r="L8339" s="4"/>
      <c r="M8339" s="5" t="s">
        <v>5346</v>
      </c>
    </row>
    <row r="8340" customFormat="false" ht="15.75" hidden="false" customHeight="false" outlineLevel="0" collapsed="false">
      <c r="A8340" s="6" t="n">
        <v>46166</v>
      </c>
      <c r="B8340" s="4" t="s">
        <v>5435</v>
      </c>
      <c r="C8340" s="4" t="n">
        <v>10</v>
      </c>
      <c r="D8340" s="4" t="n">
        <v>6</v>
      </c>
      <c r="E8340" s="4" t="s">
        <v>5708</v>
      </c>
      <c r="F8340" s="4" t="n">
        <v>15</v>
      </c>
      <c r="G8340" s="4" t="n">
        <v>7</v>
      </c>
      <c r="H8340" s="4" t="n">
        <v>4</v>
      </c>
      <c r="I8340" s="4" t="str">
        <v>×</v>
      </c>
      <c r="J8340" s="4"/>
      <c r="K8340" s="4"/>
      <c r="L8340" s="4"/>
      <c r="M8340" s="5" t="s">
        <v>5346</v>
      </c>
    </row>
    <row r="8341" customFormat="false" ht="15.75" hidden="false" customHeight="false" outlineLevel="0" collapsed="false">
      <c r="A8341" s="6" t="n">
        <v>46166</v>
      </c>
      <c r="B8341" s="4" t="s">
        <v>5435</v>
      </c>
      <c r="C8341" s="4" t="n">
        <v>10</v>
      </c>
      <c r="D8341" s="4" t="n">
        <v>7</v>
      </c>
      <c r="E8341" s="4" t="s">
        <v>5709</v>
      </c>
      <c r="F8341" s="4" t="n">
        <v>2</v>
      </c>
      <c r="G8341" s="4" t="n">
        <v>12</v>
      </c>
      <c r="H8341" s="4" t="n">
        <v>4</v>
      </c>
      <c r="I8341" s="4" t="str">
        <v>×</v>
      </c>
      <c r="J8341" s="4"/>
      <c r="K8341" s="4"/>
      <c r="L8341" s="4"/>
      <c r="M8341" s="5" t="s">
        <v>5346</v>
      </c>
    </row>
    <row r="8342" customFormat="false" ht="15.75" hidden="false" customHeight="false" outlineLevel="0" collapsed="false">
      <c r="A8342" s="6" t="n">
        <v>46166</v>
      </c>
      <c r="B8342" s="4" t="s">
        <v>5435</v>
      </c>
      <c r="C8342" s="4" t="n">
        <v>10</v>
      </c>
      <c r="D8342" s="4" t="n">
        <v>8</v>
      </c>
      <c r="E8342" s="4" t="s">
        <v>5710</v>
      </c>
      <c r="F8342" s="4" t="n">
        <v>4</v>
      </c>
      <c r="G8342" s="4" t="n">
        <v>10</v>
      </c>
      <c r="H8342" s="4" t="n">
        <v>4</v>
      </c>
      <c r="I8342" s="4" t="str">
        <v>×</v>
      </c>
      <c r="J8342" s="4"/>
      <c r="K8342" s="4"/>
      <c r="L8342" s="4"/>
      <c r="M8342" s="5" t="s">
        <v>5346</v>
      </c>
    </row>
    <row r="8343" customFormat="false" ht="15.75" hidden="false" customHeight="false" outlineLevel="0" collapsed="false">
      <c r="A8343" s="6" t="n">
        <v>46166</v>
      </c>
      <c r="B8343" s="4" t="s">
        <v>5435</v>
      </c>
      <c r="C8343" s="4" t="n">
        <v>10</v>
      </c>
      <c r="D8343" s="4" t="n">
        <v>9</v>
      </c>
      <c r="E8343" s="4" t="s">
        <v>2159</v>
      </c>
      <c r="F8343" s="4" t="n">
        <v>3</v>
      </c>
      <c r="G8343" s="4" t="n">
        <v>11</v>
      </c>
      <c r="H8343" s="4" t="n">
        <v>4</v>
      </c>
      <c r="I8343" s="4" t="str">
        <v>×</v>
      </c>
      <c r="J8343" s="4"/>
      <c r="K8343" s="4"/>
      <c r="L8343" s="4"/>
      <c r="M8343" s="5" t="s">
        <v>5346</v>
      </c>
    </row>
    <row r="8344" customFormat="false" ht="15.75" hidden="false" customHeight="false" outlineLevel="0" collapsed="false">
      <c r="A8344" s="6" t="n">
        <v>46166</v>
      </c>
      <c r="B8344" s="4" t="s">
        <v>5435</v>
      </c>
      <c r="C8344" s="4" t="n">
        <v>10</v>
      </c>
      <c r="D8344" s="4" t="n">
        <v>10</v>
      </c>
      <c r="E8344" s="4" t="s">
        <v>5711</v>
      </c>
      <c r="F8344" s="4" t="n">
        <v>8</v>
      </c>
      <c r="G8344" s="4" t="n">
        <v>9</v>
      </c>
      <c r="H8344" s="4" t="n">
        <v>4</v>
      </c>
      <c r="I8344" s="4" t="str">
        <v>×</v>
      </c>
      <c r="J8344" s="4"/>
      <c r="K8344" s="4"/>
      <c r="L8344" s="4"/>
      <c r="M8344" s="5" t="s">
        <v>5346</v>
      </c>
    </row>
    <row r="8345" customFormat="false" ht="15.75" hidden="false" customHeight="false" outlineLevel="0" collapsed="false">
      <c r="A8345" s="6" t="n">
        <v>46166</v>
      </c>
      <c r="B8345" s="4" t="s">
        <v>5435</v>
      </c>
      <c r="C8345" s="4" t="n">
        <v>10</v>
      </c>
      <c r="D8345" s="4" t="n">
        <v>11</v>
      </c>
      <c r="E8345" s="4" t="s">
        <v>5712</v>
      </c>
      <c r="F8345" s="4" t="n">
        <v>58</v>
      </c>
      <c r="G8345" s="4" t="n">
        <v>2</v>
      </c>
      <c r="H8345" s="4" t="n">
        <v>4</v>
      </c>
      <c r="I8345" s="4" t="str">
        <v>×</v>
      </c>
      <c r="J8345" s="4"/>
      <c r="K8345" s="4"/>
      <c r="L8345" s="4"/>
      <c r="M8345" s="5" t="s">
        <v>5346</v>
      </c>
    </row>
    <row r="8346" customFormat="false" ht="15.75" hidden="false" customHeight="false" outlineLevel="0" collapsed="false">
      <c r="A8346" s="6" t="n">
        <v>46166</v>
      </c>
      <c r="B8346" s="4" t="s">
        <v>5435</v>
      </c>
      <c r="C8346" s="4" t="n">
        <v>10</v>
      </c>
      <c r="D8346" s="4" t="n">
        <v>12</v>
      </c>
      <c r="E8346" s="4" t="s">
        <v>4857</v>
      </c>
      <c r="F8346" s="4" t="n">
        <v>60</v>
      </c>
      <c r="G8346" s="4" t="n">
        <v>1</v>
      </c>
      <c r="H8346" s="4" t="n">
        <v>1</v>
      </c>
      <c r="I8346" s="4" t="str">
        <v>○</v>
      </c>
      <c r="J8346" s="4" t="n">
        <v>130</v>
      </c>
      <c r="K8346" s="4"/>
      <c r="L8346" s="4"/>
      <c r="M8346" s="5" t="s">
        <v>5346</v>
      </c>
    </row>
    <row r="8347" customFormat="false" ht="15.75" hidden="false" customHeight="false" outlineLevel="0" collapsed="false">
      <c r="A8347" s="6" t="n">
        <v>46166</v>
      </c>
      <c r="B8347" s="4" t="s">
        <v>5435</v>
      </c>
      <c r="C8347" s="4" t="n">
        <v>10</v>
      </c>
      <c r="D8347" s="4" t="n">
        <v>13</v>
      </c>
      <c r="E8347" s="4" t="s">
        <v>5713</v>
      </c>
      <c r="F8347" s="4" t="n">
        <v>20</v>
      </c>
      <c r="G8347" s="4" t="n">
        <v>6</v>
      </c>
      <c r="H8347" s="4" t="n">
        <v>4</v>
      </c>
      <c r="I8347" s="4" t="str">
        <v>×</v>
      </c>
      <c r="J8347" s="4"/>
      <c r="K8347" s="4"/>
      <c r="L8347" s="4"/>
      <c r="M8347" s="5" t="s">
        <v>5346</v>
      </c>
    </row>
    <row r="8348" customFormat="false" ht="15.75" hidden="false" customHeight="false" outlineLevel="0" collapsed="false">
      <c r="A8348" s="6" t="n">
        <v>46166</v>
      </c>
      <c r="B8348" s="4" t="s">
        <v>5435</v>
      </c>
      <c r="C8348" s="4" t="n">
        <v>10</v>
      </c>
      <c r="D8348" s="4" t="n">
        <v>14</v>
      </c>
      <c r="E8348" s="4" t="s">
        <v>2794</v>
      </c>
      <c r="F8348" s="4" t="n">
        <v>47</v>
      </c>
      <c r="G8348" s="4" t="n">
        <v>3</v>
      </c>
      <c r="H8348" s="4" t="n">
        <v>3</v>
      </c>
      <c r="I8348" s="4" t="str">
        <v>○</v>
      </c>
      <c r="J8348" s="4" t="n">
        <v>160</v>
      </c>
      <c r="K8348" s="4"/>
      <c r="L8348" s="4"/>
      <c r="M8348" s="5" t="s">
        <v>5346</v>
      </c>
    </row>
    <row r="8349" customFormat="false" ht="15.75" hidden="false" customHeight="false" outlineLevel="0" collapsed="false">
      <c r="A8349" s="6" t="n">
        <v>46166</v>
      </c>
      <c r="B8349" s="4" t="s">
        <v>5435</v>
      </c>
      <c r="C8349" s="4" t="n">
        <v>11</v>
      </c>
      <c r="D8349" s="4" t="n">
        <v>1</v>
      </c>
      <c r="E8349" s="4" t="s">
        <v>5215</v>
      </c>
      <c r="F8349" s="4" t="n">
        <v>17</v>
      </c>
      <c r="G8349" s="4" t="n">
        <v>5</v>
      </c>
      <c r="H8349" s="4" t="n">
        <v>4</v>
      </c>
      <c r="I8349" s="4" t="str">
        <v>×</v>
      </c>
      <c r="J8349" s="4"/>
      <c r="K8349" s="4"/>
      <c r="L8349" s="4"/>
      <c r="M8349" s="5" t="s">
        <v>5346</v>
      </c>
    </row>
    <row r="8350" customFormat="false" ht="15.75" hidden="false" customHeight="false" outlineLevel="0" collapsed="false">
      <c r="A8350" s="6" t="n">
        <v>46166</v>
      </c>
      <c r="B8350" s="4" t="s">
        <v>5435</v>
      </c>
      <c r="C8350" s="4" t="n">
        <v>11</v>
      </c>
      <c r="D8350" s="4" t="n">
        <v>2</v>
      </c>
      <c r="E8350" s="4" t="s">
        <v>1696</v>
      </c>
      <c r="F8350" s="4" t="n">
        <v>52</v>
      </c>
      <c r="G8350" s="4" t="n">
        <v>2</v>
      </c>
      <c r="H8350" s="4" t="n">
        <v>1</v>
      </c>
      <c r="I8350" s="4" t="str">
        <v>○</v>
      </c>
      <c r="J8350" s="4" t="n">
        <v>170</v>
      </c>
      <c r="K8350" s="4"/>
      <c r="L8350" s="4"/>
      <c r="M8350" s="5" t="s">
        <v>5346</v>
      </c>
    </row>
    <row r="8351" customFormat="false" ht="15.75" hidden="false" customHeight="false" outlineLevel="0" collapsed="false">
      <c r="A8351" s="6" t="n">
        <v>46166</v>
      </c>
      <c r="B8351" s="4" t="s">
        <v>5435</v>
      </c>
      <c r="C8351" s="4" t="n">
        <v>11</v>
      </c>
      <c r="D8351" s="4" t="n">
        <v>3</v>
      </c>
      <c r="E8351" s="4" t="s">
        <v>5714</v>
      </c>
      <c r="F8351" s="4" t="n">
        <v>3</v>
      </c>
      <c r="G8351" s="4" t="n">
        <v>8</v>
      </c>
      <c r="H8351" s="4" t="n">
        <v>4</v>
      </c>
      <c r="I8351" s="4" t="str">
        <v>×</v>
      </c>
      <c r="J8351" s="4"/>
      <c r="K8351" s="4"/>
      <c r="L8351" s="4"/>
      <c r="M8351" s="5" t="s">
        <v>5346</v>
      </c>
    </row>
    <row r="8352" customFormat="false" ht="15.75" hidden="false" customHeight="false" outlineLevel="0" collapsed="false">
      <c r="A8352" s="6" t="n">
        <v>46166</v>
      </c>
      <c r="B8352" s="4" t="s">
        <v>5435</v>
      </c>
      <c r="C8352" s="4" t="n">
        <v>11</v>
      </c>
      <c r="D8352" s="4" t="n">
        <v>4</v>
      </c>
      <c r="E8352" s="4" t="s">
        <v>5715</v>
      </c>
      <c r="F8352" s="4" t="n">
        <v>17</v>
      </c>
      <c r="G8352" s="4" t="n">
        <v>5</v>
      </c>
      <c r="H8352" s="4" t="n">
        <v>4</v>
      </c>
      <c r="I8352" s="4" t="str">
        <v>×</v>
      </c>
      <c r="J8352" s="4"/>
      <c r="K8352" s="4"/>
      <c r="L8352" s="4"/>
      <c r="M8352" s="5" t="s">
        <v>5346</v>
      </c>
    </row>
    <row r="8353" customFormat="false" ht="15.75" hidden="false" customHeight="false" outlineLevel="0" collapsed="false">
      <c r="A8353" s="6" t="n">
        <v>46166</v>
      </c>
      <c r="B8353" s="4" t="s">
        <v>5435</v>
      </c>
      <c r="C8353" s="4" t="n">
        <v>11</v>
      </c>
      <c r="D8353" s="4" t="n">
        <v>5</v>
      </c>
      <c r="E8353" s="4" t="s">
        <v>5716</v>
      </c>
      <c r="F8353" s="4" t="n">
        <v>10</v>
      </c>
      <c r="G8353" s="4" t="n">
        <v>7</v>
      </c>
      <c r="H8353" s="4" t="n">
        <v>4</v>
      </c>
      <c r="I8353" s="4" t="str">
        <v>×</v>
      </c>
      <c r="J8353" s="4"/>
      <c r="K8353" s="4"/>
      <c r="L8353" s="4"/>
      <c r="M8353" s="5" t="s">
        <v>5346</v>
      </c>
    </row>
    <row r="8354" customFormat="false" ht="15.75" hidden="false" customHeight="false" outlineLevel="0" collapsed="false">
      <c r="A8354" s="6" t="n">
        <v>46166</v>
      </c>
      <c r="B8354" s="4" t="s">
        <v>5435</v>
      </c>
      <c r="C8354" s="4" t="n">
        <v>11</v>
      </c>
      <c r="D8354" s="4" t="n">
        <v>6</v>
      </c>
      <c r="E8354" s="4" t="s">
        <v>1693</v>
      </c>
      <c r="F8354" s="4" t="n">
        <v>31</v>
      </c>
      <c r="G8354" s="4" t="n">
        <v>4</v>
      </c>
      <c r="H8354" s="4" t="n">
        <v>4</v>
      </c>
      <c r="I8354" s="4" t="str">
        <v>×</v>
      </c>
      <c r="J8354" s="4"/>
      <c r="K8354" s="4"/>
      <c r="L8354" s="4"/>
      <c r="M8354" s="5" t="s">
        <v>5346</v>
      </c>
    </row>
    <row r="8355" customFormat="false" ht="15.75" hidden="false" customHeight="false" outlineLevel="0" collapsed="false">
      <c r="A8355" s="6" t="n">
        <v>46166</v>
      </c>
      <c r="B8355" s="4" t="s">
        <v>5435</v>
      </c>
      <c r="C8355" s="4" t="n">
        <v>11</v>
      </c>
      <c r="D8355" s="4" t="n">
        <v>7</v>
      </c>
      <c r="E8355" s="4" t="s">
        <v>2404</v>
      </c>
      <c r="F8355" s="4" t="n">
        <v>15</v>
      </c>
      <c r="G8355" s="4" t="n">
        <v>6</v>
      </c>
      <c r="H8355" s="4" t="n">
        <v>4</v>
      </c>
      <c r="I8355" s="4" t="str">
        <v>×</v>
      </c>
      <c r="J8355" s="4"/>
      <c r="K8355" s="4"/>
      <c r="L8355" s="4"/>
      <c r="M8355" s="5" t="s">
        <v>5346</v>
      </c>
    </row>
    <row r="8356" customFormat="false" ht="15.75" hidden="false" customHeight="false" outlineLevel="0" collapsed="false">
      <c r="A8356" s="6" t="n">
        <v>46166</v>
      </c>
      <c r="B8356" s="4" t="s">
        <v>5435</v>
      </c>
      <c r="C8356" s="4" t="n">
        <v>11</v>
      </c>
      <c r="D8356" s="4" t="n">
        <v>8</v>
      </c>
      <c r="E8356" s="4" t="s">
        <v>2406</v>
      </c>
      <c r="F8356" s="4" t="n">
        <v>31</v>
      </c>
      <c r="G8356" s="4" t="n">
        <v>4</v>
      </c>
      <c r="H8356" s="4" t="n">
        <v>4</v>
      </c>
      <c r="I8356" s="4" t="str">
        <v>×</v>
      </c>
      <c r="J8356" s="4"/>
      <c r="K8356" s="4"/>
      <c r="L8356" s="4"/>
      <c r="M8356" s="5" t="s">
        <v>5346</v>
      </c>
    </row>
    <row r="8357" customFormat="false" ht="15.75" hidden="false" customHeight="false" outlineLevel="0" collapsed="false">
      <c r="A8357" s="6" t="n">
        <v>46166</v>
      </c>
      <c r="B8357" s="4" t="s">
        <v>5435</v>
      </c>
      <c r="C8357" s="4" t="n">
        <v>11</v>
      </c>
      <c r="D8357" s="4" t="n">
        <v>9</v>
      </c>
      <c r="E8357" s="4" t="s">
        <v>1694</v>
      </c>
      <c r="F8357" s="4" t="n">
        <v>2</v>
      </c>
      <c r="G8357" s="4" t="n">
        <v>9</v>
      </c>
      <c r="H8357" s="4" t="n">
        <v>4</v>
      </c>
      <c r="I8357" s="4" t="str">
        <v>×</v>
      </c>
      <c r="J8357" s="4"/>
      <c r="K8357" s="4"/>
      <c r="L8357" s="4"/>
      <c r="M8357" s="5" t="s">
        <v>5346</v>
      </c>
    </row>
    <row r="8358" customFormat="false" ht="15.75" hidden="false" customHeight="false" outlineLevel="0" collapsed="false">
      <c r="A8358" s="6" t="n">
        <v>46166</v>
      </c>
      <c r="B8358" s="4" t="s">
        <v>5435</v>
      </c>
      <c r="C8358" s="4" t="n">
        <v>11</v>
      </c>
      <c r="D8358" s="4" t="n">
        <v>10</v>
      </c>
      <c r="E8358" s="4" t="s">
        <v>5717</v>
      </c>
      <c r="F8358" s="4" t="n">
        <v>47</v>
      </c>
      <c r="G8358" s="4" t="n">
        <v>3</v>
      </c>
      <c r="H8358" s="4" t="n">
        <v>2</v>
      </c>
      <c r="I8358" s="4" t="str">
        <v>○</v>
      </c>
      <c r="J8358" s="4" t="n">
        <v>170</v>
      </c>
      <c r="K8358" s="4"/>
      <c r="L8358" s="4"/>
      <c r="M8358" s="5" t="s">
        <v>5346</v>
      </c>
    </row>
    <row r="8359" customFormat="false" ht="15.75" hidden="false" customHeight="false" outlineLevel="0" collapsed="false">
      <c r="A8359" s="6" t="n">
        <v>46166</v>
      </c>
      <c r="B8359" s="4" t="s">
        <v>5435</v>
      </c>
      <c r="C8359" s="4" t="n">
        <v>11</v>
      </c>
      <c r="D8359" s="4" t="n">
        <v>11</v>
      </c>
      <c r="E8359" s="4" t="s">
        <v>2402</v>
      </c>
      <c r="F8359" s="4" t="n">
        <v>2</v>
      </c>
      <c r="G8359" s="4" t="n">
        <v>9</v>
      </c>
      <c r="H8359" s="4" t="n">
        <v>4</v>
      </c>
      <c r="I8359" s="4" t="str">
        <v>×</v>
      </c>
      <c r="J8359" s="4"/>
      <c r="K8359" s="4"/>
      <c r="L8359" s="4"/>
      <c r="M8359" s="5" t="s">
        <v>5346</v>
      </c>
    </row>
    <row r="8360" customFormat="false" ht="15.75" hidden="false" customHeight="false" outlineLevel="0" collapsed="false">
      <c r="A8360" s="6" t="n">
        <v>46166</v>
      </c>
      <c r="B8360" s="4" t="s">
        <v>5435</v>
      </c>
      <c r="C8360" s="4" t="n">
        <v>11</v>
      </c>
      <c r="D8360" s="4" t="n">
        <v>12</v>
      </c>
      <c r="E8360" s="4" t="s">
        <v>1699</v>
      </c>
      <c r="F8360" s="4" t="n">
        <v>56</v>
      </c>
      <c r="G8360" s="4" t="n">
        <v>1</v>
      </c>
      <c r="H8360" s="4" t="n">
        <v>3</v>
      </c>
      <c r="I8360" s="4" t="str">
        <v>○</v>
      </c>
      <c r="J8360" s="4" t="n">
        <v>130</v>
      </c>
      <c r="K8360" s="4"/>
      <c r="L8360" s="4"/>
      <c r="M8360" s="5" t="s">
        <v>5346</v>
      </c>
    </row>
    <row r="8361" customFormat="false" ht="15.75" hidden="false" customHeight="false" outlineLevel="0" collapsed="false">
      <c r="A8361" s="6" t="n">
        <v>46166</v>
      </c>
      <c r="B8361" s="4" t="s">
        <v>5435</v>
      </c>
      <c r="C8361" s="4" t="n">
        <v>11</v>
      </c>
      <c r="D8361" s="4" t="n">
        <v>13</v>
      </c>
      <c r="E8361" s="4" t="s">
        <v>5718</v>
      </c>
      <c r="F8361" s="4" t="n">
        <v>10</v>
      </c>
      <c r="G8361" s="4" t="n">
        <v>7</v>
      </c>
      <c r="H8361" s="4" t="n">
        <v>4</v>
      </c>
      <c r="I8361" s="4" t="str">
        <v>×</v>
      </c>
      <c r="J8361" s="4"/>
      <c r="K8361" s="4"/>
      <c r="L8361" s="4"/>
      <c r="M8361" s="5" t="s">
        <v>5346</v>
      </c>
    </row>
    <row r="8362" customFormat="false" ht="15.75" hidden="false" customHeight="false" outlineLevel="0" collapsed="false">
      <c r="A8362" s="6" t="n">
        <v>46166</v>
      </c>
      <c r="B8362" s="4" t="s">
        <v>5435</v>
      </c>
      <c r="C8362" s="4" t="n">
        <v>12</v>
      </c>
      <c r="D8362" s="4" t="n">
        <v>1</v>
      </c>
      <c r="E8362" s="4" t="s">
        <v>4181</v>
      </c>
      <c r="F8362" s="4" t="n">
        <v>10</v>
      </c>
      <c r="G8362" s="4" t="n">
        <v>9</v>
      </c>
      <c r="H8362" s="4" t="n">
        <v>3</v>
      </c>
      <c r="I8362" s="4" t="str">
        <v>○</v>
      </c>
      <c r="J8362" s="4" t="n">
        <v>1280</v>
      </c>
      <c r="K8362" s="4"/>
      <c r="L8362" s="4"/>
      <c r="M8362" s="5" t="s">
        <v>5346</v>
      </c>
    </row>
    <row r="8363" customFormat="false" ht="15.75" hidden="false" customHeight="false" outlineLevel="0" collapsed="false">
      <c r="A8363" s="6" t="n">
        <v>46166</v>
      </c>
      <c r="B8363" s="4" t="s">
        <v>5435</v>
      </c>
      <c r="C8363" s="4" t="n">
        <v>12</v>
      </c>
      <c r="D8363" s="4" t="n">
        <v>2</v>
      </c>
      <c r="E8363" s="4" t="s">
        <v>750</v>
      </c>
      <c r="F8363" s="4" t="n">
        <v>13</v>
      </c>
      <c r="G8363" s="4" t="n">
        <v>8</v>
      </c>
      <c r="H8363" s="4" t="n">
        <v>4</v>
      </c>
      <c r="I8363" s="4" t="str">
        <v>×</v>
      </c>
      <c r="J8363" s="4"/>
      <c r="K8363" s="4"/>
      <c r="L8363" s="4"/>
      <c r="M8363" s="5" t="s">
        <v>5346</v>
      </c>
    </row>
    <row r="8364" customFormat="false" ht="15.75" hidden="false" customHeight="false" outlineLevel="0" collapsed="false">
      <c r="A8364" s="6" t="n">
        <v>46166</v>
      </c>
      <c r="B8364" s="4" t="s">
        <v>5435</v>
      </c>
      <c r="C8364" s="4" t="n">
        <v>12</v>
      </c>
      <c r="D8364" s="4" t="n">
        <v>3</v>
      </c>
      <c r="E8364" s="4" t="s">
        <v>5719</v>
      </c>
      <c r="F8364" s="4" t="n">
        <v>13</v>
      </c>
      <c r="G8364" s="4" t="n">
        <v>8</v>
      </c>
      <c r="H8364" s="4" t="n">
        <v>4</v>
      </c>
      <c r="I8364" s="4" t="str">
        <v>×</v>
      </c>
      <c r="J8364" s="4"/>
      <c r="K8364" s="4"/>
      <c r="L8364" s="4"/>
      <c r="M8364" s="5" t="s">
        <v>5346</v>
      </c>
    </row>
    <row r="8365" customFormat="false" ht="15.75" hidden="false" customHeight="false" outlineLevel="0" collapsed="false">
      <c r="A8365" s="6" t="n">
        <v>46166</v>
      </c>
      <c r="B8365" s="4" t="s">
        <v>5435</v>
      </c>
      <c r="C8365" s="4" t="n">
        <v>12</v>
      </c>
      <c r="D8365" s="4" t="n">
        <v>4</v>
      </c>
      <c r="E8365" s="4" t="s">
        <v>5720</v>
      </c>
      <c r="F8365" s="4" t="n">
        <v>4</v>
      </c>
      <c r="G8365" s="4" t="n">
        <v>12</v>
      </c>
      <c r="H8365" s="4" t="n">
        <v>4</v>
      </c>
      <c r="I8365" s="4" t="str">
        <v>×</v>
      </c>
      <c r="J8365" s="4"/>
      <c r="K8365" s="4"/>
      <c r="L8365" s="4"/>
      <c r="M8365" s="5" t="s">
        <v>5346</v>
      </c>
    </row>
    <row r="8366" customFormat="false" ht="15.75" hidden="false" customHeight="false" outlineLevel="0" collapsed="false">
      <c r="A8366" s="6" t="n">
        <v>46166</v>
      </c>
      <c r="B8366" s="4" t="s">
        <v>5435</v>
      </c>
      <c r="C8366" s="4" t="n">
        <v>12</v>
      </c>
      <c r="D8366" s="4" t="n">
        <v>5</v>
      </c>
      <c r="E8366" s="4" t="s">
        <v>5721</v>
      </c>
      <c r="F8366" s="4" t="n">
        <v>4</v>
      </c>
      <c r="G8366" s="4" t="n">
        <v>12</v>
      </c>
      <c r="H8366" s="4" t="n">
        <v>4</v>
      </c>
      <c r="I8366" s="4" t="str">
        <v>×</v>
      </c>
      <c r="J8366" s="4"/>
      <c r="K8366" s="4"/>
      <c r="L8366" s="4"/>
      <c r="M8366" s="5" t="s">
        <v>5346</v>
      </c>
    </row>
    <row r="8367" customFormat="false" ht="15.75" hidden="false" customHeight="false" outlineLevel="0" collapsed="false">
      <c r="A8367" s="6" t="n">
        <v>46166</v>
      </c>
      <c r="B8367" s="4" t="s">
        <v>5435</v>
      </c>
      <c r="C8367" s="4" t="n">
        <v>12</v>
      </c>
      <c r="D8367" s="4" t="n">
        <v>6</v>
      </c>
      <c r="E8367" s="4" t="s">
        <v>4665</v>
      </c>
      <c r="F8367" s="4" t="n">
        <v>29</v>
      </c>
      <c r="G8367" s="4" t="n">
        <v>5</v>
      </c>
      <c r="H8367" s="4" t="n">
        <v>4</v>
      </c>
      <c r="I8367" s="4" t="str">
        <v>×</v>
      </c>
      <c r="J8367" s="4"/>
      <c r="K8367" s="4"/>
      <c r="L8367" s="4"/>
      <c r="M8367" s="5" t="s">
        <v>5346</v>
      </c>
    </row>
    <row r="8368" customFormat="false" ht="15.75" hidden="false" customHeight="false" outlineLevel="0" collapsed="false">
      <c r="A8368" s="6" t="n">
        <v>46166</v>
      </c>
      <c r="B8368" s="4" t="s">
        <v>5435</v>
      </c>
      <c r="C8368" s="4" t="n">
        <v>12</v>
      </c>
      <c r="D8368" s="4" t="n">
        <v>7</v>
      </c>
      <c r="E8368" s="4" t="s">
        <v>5722</v>
      </c>
      <c r="F8368" s="4" t="n">
        <v>34</v>
      </c>
      <c r="G8368" s="4" t="n">
        <v>4</v>
      </c>
      <c r="H8368" s="4" t="n">
        <v>4</v>
      </c>
      <c r="I8368" s="4" t="str">
        <v>×</v>
      </c>
      <c r="J8368" s="4"/>
      <c r="K8368" s="4"/>
      <c r="L8368" s="4"/>
      <c r="M8368" s="5" t="s">
        <v>5346</v>
      </c>
    </row>
    <row r="8369" customFormat="false" ht="15.75" hidden="false" customHeight="false" outlineLevel="0" collapsed="false">
      <c r="A8369" s="6" t="n">
        <v>46166</v>
      </c>
      <c r="B8369" s="4" t="s">
        <v>5435</v>
      </c>
      <c r="C8369" s="4" t="n">
        <v>12</v>
      </c>
      <c r="D8369" s="4" t="n">
        <v>8</v>
      </c>
      <c r="E8369" s="4" t="s">
        <v>5723</v>
      </c>
      <c r="F8369" s="4" t="n">
        <v>50</v>
      </c>
      <c r="G8369" s="4" t="n">
        <v>2</v>
      </c>
      <c r="H8369" s="4" t="n">
        <v>4</v>
      </c>
      <c r="I8369" s="4" t="str">
        <v>×</v>
      </c>
      <c r="J8369" s="4"/>
      <c r="K8369" s="4"/>
      <c r="L8369" s="4"/>
      <c r="M8369" s="5" t="s">
        <v>5346</v>
      </c>
    </row>
    <row r="8370" customFormat="false" ht="15.75" hidden="false" customHeight="false" outlineLevel="0" collapsed="false">
      <c r="A8370" s="6" t="n">
        <v>46166</v>
      </c>
      <c r="B8370" s="4" t="s">
        <v>5435</v>
      </c>
      <c r="C8370" s="4" t="n">
        <v>12</v>
      </c>
      <c r="D8370" s="4" t="n">
        <v>9</v>
      </c>
      <c r="E8370" s="4" t="s">
        <v>3675</v>
      </c>
      <c r="F8370" s="4" t="n">
        <v>20</v>
      </c>
      <c r="G8370" s="4" t="n">
        <v>7</v>
      </c>
      <c r="H8370" s="4" t="n">
        <v>4</v>
      </c>
      <c r="I8370" s="4" t="str">
        <v>×</v>
      </c>
      <c r="J8370" s="4"/>
      <c r="K8370" s="4"/>
      <c r="L8370" s="4"/>
      <c r="M8370" s="5" t="s">
        <v>5346</v>
      </c>
    </row>
    <row r="8371" customFormat="false" ht="15.75" hidden="false" customHeight="false" outlineLevel="0" collapsed="false">
      <c r="A8371" s="6" t="n">
        <v>46166</v>
      </c>
      <c r="B8371" s="4" t="s">
        <v>5435</v>
      </c>
      <c r="C8371" s="4" t="n">
        <v>12</v>
      </c>
      <c r="D8371" s="4" t="n">
        <v>10</v>
      </c>
      <c r="E8371" s="4" t="s">
        <v>5724</v>
      </c>
      <c r="F8371" s="4" t="n">
        <v>37</v>
      </c>
      <c r="G8371" s="4" t="n">
        <v>3</v>
      </c>
      <c r="H8371" s="4" t="n">
        <v>2</v>
      </c>
      <c r="I8371" s="4" t="str">
        <v>○</v>
      </c>
      <c r="J8371" s="4" t="n">
        <v>330</v>
      </c>
      <c r="K8371" s="4"/>
      <c r="L8371" s="4"/>
      <c r="M8371" s="5" t="s">
        <v>5346</v>
      </c>
    </row>
    <row r="8372" customFormat="false" ht="15.75" hidden="false" customHeight="false" outlineLevel="0" collapsed="false">
      <c r="A8372" s="6" t="n">
        <v>46166</v>
      </c>
      <c r="B8372" s="4" t="s">
        <v>5435</v>
      </c>
      <c r="C8372" s="4" t="n">
        <v>12</v>
      </c>
      <c r="D8372" s="4" t="n">
        <v>11</v>
      </c>
      <c r="E8372" s="4" t="s">
        <v>3493</v>
      </c>
      <c r="F8372" s="4" t="n">
        <v>6</v>
      </c>
      <c r="G8372" s="4" t="n">
        <v>11</v>
      </c>
      <c r="H8372" s="4" t="n">
        <v>4</v>
      </c>
      <c r="I8372" s="4" t="str">
        <v>×</v>
      </c>
      <c r="J8372" s="4"/>
      <c r="K8372" s="4"/>
      <c r="L8372" s="4"/>
      <c r="M8372" s="5" t="s">
        <v>5346</v>
      </c>
    </row>
    <row r="8373" customFormat="false" ht="15.75" hidden="false" customHeight="false" outlineLevel="0" collapsed="false">
      <c r="A8373" s="6" t="n">
        <v>46166</v>
      </c>
      <c r="B8373" s="4" t="s">
        <v>5435</v>
      </c>
      <c r="C8373" s="4" t="n">
        <v>12</v>
      </c>
      <c r="D8373" s="4" t="n">
        <v>12</v>
      </c>
      <c r="E8373" s="4" t="s">
        <v>5725</v>
      </c>
      <c r="F8373" s="4" t="n">
        <v>23</v>
      </c>
      <c r="G8373" s="4" t="n">
        <v>6</v>
      </c>
      <c r="H8373" s="4" t="n">
        <v>4</v>
      </c>
      <c r="I8373" s="4" t="str">
        <v>×</v>
      </c>
      <c r="J8373" s="4"/>
      <c r="K8373" s="4"/>
      <c r="L8373" s="4"/>
      <c r="M8373" s="5" t="s">
        <v>5346</v>
      </c>
    </row>
    <row r="8374" customFormat="false" ht="15.75" hidden="false" customHeight="false" outlineLevel="0" collapsed="false">
      <c r="A8374" s="6" t="n">
        <v>46166</v>
      </c>
      <c r="B8374" s="4" t="s">
        <v>5435</v>
      </c>
      <c r="C8374" s="4" t="n">
        <v>12</v>
      </c>
      <c r="D8374" s="4" t="n">
        <v>13</v>
      </c>
      <c r="E8374" s="4" t="s">
        <v>5726</v>
      </c>
      <c r="F8374" s="4" t="n">
        <v>62</v>
      </c>
      <c r="G8374" s="4" t="n">
        <v>1</v>
      </c>
      <c r="H8374" s="4" t="n">
        <v>4</v>
      </c>
      <c r="I8374" s="4" t="str">
        <v>×</v>
      </c>
      <c r="J8374" s="4"/>
      <c r="K8374" s="4"/>
      <c r="L8374" s="4"/>
      <c r="M8374" s="5" t="s">
        <v>5346</v>
      </c>
    </row>
    <row r="8375" customFormat="false" ht="15.75" hidden="false" customHeight="false" outlineLevel="0" collapsed="false">
      <c r="A8375" s="6" t="n">
        <v>46166</v>
      </c>
      <c r="B8375" s="4" t="s">
        <v>5435</v>
      </c>
      <c r="C8375" s="4" t="n">
        <v>12</v>
      </c>
      <c r="D8375" s="4" t="n">
        <v>14</v>
      </c>
      <c r="E8375" s="4" t="s">
        <v>4843</v>
      </c>
      <c r="F8375" s="4" t="n">
        <v>13</v>
      </c>
      <c r="G8375" s="4" t="n">
        <v>8</v>
      </c>
      <c r="H8375" s="4" t="n">
        <v>1</v>
      </c>
      <c r="I8375" s="4" t="str">
        <v>○</v>
      </c>
      <c r="J8375" s="4" t="n">
        <v>690</v>
      </c>
      <c r="K8375" s="4"/>
      <c r="L8375" s="4"/>
      <c r="M8375" s="5" t="s">
        <v>5346</v>
      </c>
    </row>
    <row r="8376" customFormat="false" ht="15.75" hidden="false" customHeight="false" outlineLevel="0" collapsed="false">
      <c r="A8376" s="6" t="n">
        <v>46166</v>
      </c>
      <c r="B8376" s="4" t="s">
        <v>5435</v>
      </c>
      <c r="C8376" s="4" t="n">
        <v>12</v>
      </c>
      <c r="D8376" s="4" t="n">
        <v>15</v>
      </c>
      <c r="E8376" s="4" t="s">
        <v>735</v>
      </c>
      <c r="F8376" s="4" t="n">
        <v>8</v>
      </c>
      <c r="G8376" s="4" t="n">
        <v>10</v>
      </c>
      <c r="H8376" s="4" t="n">
        <v>4</v>
      </c>
      <c r="I8376" s="4" t="str">
        <v>×</v>
      </c>
      <c r="J8376" s="4"/>
      <c r="K8376" s="4"/>
      <c r="L8376" s="4"/>
      <c r="M8376" s="5" t="s">
        <v>5346</v>
      </c>
    </row>
    <row r="8377" customFormat="false" ht="15.75" hidden="false" customHeight="false" outlineLevel="0" collapsed="false">
      <c r="A8377" s="6" t="n">
        <v>46166</v>
      </c>
      <c r="B8377" s="4" t="s">
        <v>5435</v>
      </c>
      <c r="C8377" s="4" t="n">
        <v>12</v>
      </c>
      <c r="D8377" s="4" t="n">
        <v>16</v>
      </c>
      <c r="E8377" s="4" t="s">
        <v>5727</v>
      </c>
      <c r="F8377" s="4" t="n">
        <v>4</v>
      </c>
      <c r="G8377" s="4" t="n">
        <v>12</v>
      </c>
      <c r="H8377" s="4" t="n">
        <v>4</v>
      </c>
      <c r="I8377" s="4" t="str">
        <v>×</v>
      </c>
      <c r="J8377" s="4"/>
      <c r="K8377" s="4"/>
      <c r="L8377" s="4"/>
      <c r="M8377" s="5" t="s">
        <v>5346</v>
      </c>
    </row>
    <row r="8378" customFormat="false" ht="15.75" hidden="false" customHeight="false" outlineLevel="0" collapsed="false">
      <c r="A8378" s="6" t="n">
        <v>46166</v>
      </c>
      <c r="B8378" s="4" t="s">
        <v>13</v>
      </c>
      <c r="C8378" s="4" t="n">
        <v>1</v>
      </c>
      <c r="D8378" s="4" t="n">
        <v>1</v>
      </c>
      <c r="E8378" s="4" t="s">
        <v>5728</v>
      </c>
      <c r="F8378" s="4" t="n">
        <v>20</v>
      </c>
      <c r="G8378" s="4" t="n">
        <v>4</v>
      </c>
      <c r="H8378" s="4" t="n">
        <v>4</v>
      </c>
      <c r="I8378" s="4" t="str">
        <v>×</v>
      </c>
      <c r="J8378" s="4"/>
      <c r="K8378" s="4"/>
      <c r="L8378" s="4"/>
      <c r="M8378" s="5" t="s">
        <v>5346</v>
      </c>
    </row>
    <row r="8379" customFormat="false" ht="15.75" hidden="false" customHeight="false" outlineLevel="0" collapsed="false">
      <c r="A8379" s="6" t="n">
        <v>46166</v>
      </c>
      <c r="B8379" s="4" t="s">
        <v>13</v>
      </c>
      <c r="C8379" s="4" t="n">
        <v>1</v>
      </c>
      <c r="D8379" s="4" t="n">
        <v>2</v>
      </c>
      <c r="E8379" s="4" t="s">
        <v>3262</v>
      </c>
      <c r="F8379" s="4" t="n">
        <v>10</v>
      </c>
      <c r="G8379" s="4" t="n">
        <v>6</v>
      </c>
      <c r="H8379" s="4" t="n">
        <v>4</v>
      </c>
      <c r="I8379" s="4" t="str">
        <v>×</v>
      </c>
      <c r="J8379" s="4"/>
      <c r="K8379" s="4"/>
      <c r="L8379" s="4"/>
      <c r="M8379" s="5" t="s">
        <v>5346</v>
      </c>
    </row>
    <row r="8380" customFormat="false" ht="15.75" hidden="false" customHeight="false" outlineLevel="0" collapsed="false">
      <c r="A8380" s="6" t="n">
        <v>46166</v>
      </c>
      <c r="B8380" s="4" t="s">
        <v>13</v>
      </c>
      <c r="C8380" s="4" t="n">
        <v>1</v>
      </c>
      <c r="D8380" s="4" t="n">
        <v>3</v>
      </c>
      <c r="E8380" s="4" t="s">
        <v>4713</v>
      </c>
      <c r="F8380" s="4" t="n">
        <v>3</v>
      </c>
      <c r="G8380" s="4" t="n">
        <v>10</v>
      </c>
      <c r="H8380" s="4" t="n">
        <v>4</v>
      </c>
      <c r="I8380" s="4" t="str">
        <v>×</v>
      </c>
      <c r="J8380" s="4"/>
      <c r="K8380" s="4"/>
      <c r="L8380" s="4"/>
      <c r="M8380" s="5" t="s">
        <v>5346</v>
      </c>
    </row>
    <row r="8381" customFormat="false" ht="15.75" hidden="false" customHeight="false" outlineLevel="0" collapsed="false">
      <c r="A8381" s="6" t="n">
        <v>46166</v>
      </c>
      <c r="B8381" s="4" t="s">
        <v>13</v>
      </c>
      <c r="C8381" s="4" t="n">
        <v>1</v>
      </c>
      <c r="D8381" s="4" t="n">
        <v>4</v>
      </c>
      <c r="E8381" s="4" t="s">
        <v>2826</v>
      </c>
      <c r="F8381" s="4" t="n">
        <v>8</v>
      </c>
      <c r="G8381" s="4" t="n">
        <v>7</v>
      </c>
      <c r="H8381" s="4" t="n">
        <v>4</v>
      </c>
      <c r="I8381" s="4" t="str">
        <v>×</v>
      </c>
      <c r="J8381" s="4"/>
      <c r="K8381" s="4"/>
      <c r="L8381" s="4"/>
      <c r="M8381" s="5" t="s">
        <v>5346</v>
      </c>
    </row>
    <row r="8382" customFormat="false" ht="15.75" hidden="false" customHeight="false" outlineLevel="0" collapsed="false">
      <c r="A8382" s="6" t="n">
        <v>46166</v>
      </c>
      <c r="B8382" s="4" t="s">
        <v>13</v>
      </c>
      <c r="C8382" s="4" t="n">
        <v>1</v>
      </c>
      <c r="D8382" s="4" t="n">
        <v>5</v>
      </c>
      <c r="E8382" s="4" t="s">
        <v>4105</v>
      </c>
      <c r="F8382" s="4" t="n">
        <v>4</v>
      </c>
      <c r="G8382" s="4" t="n">
        <v>9</v>
      </c>
      <c r="H8382" s="4" t="n">
        <v>4</v>
      </c>
      <c r="I8382" s="4" t="str">
        <v>×</v>
      </c>
      <c r="J8382" s="4"/>
      <c r="K8382" s="4"/>
      <c r="L8382" s="4"/>
      <c r="M8382" s="5" t="s">
        <v>5346</v>
      </c>
    </row>
    <row r="8383" customFormat="false" ht="15.75" hidden="false" customHeight="false" outlineLevel="0" collapsed="false">
      <c r="A8383" s="6" t="n">
        <v>46166</v>
      </c>
      <c r="B8383" s="4" t="s">
        <v>13</v>
      </c>
      <c r="C8383" s="4" t="n">
        <v>1</v>
      </c>
      <c r="D8383" s="4" t="n">
        <v>6</v>
      </c>
      <c r="E8383" s="4" t="s">
        <v>2473</v>
      </c>
      <c r="F8383" s="4" t="n">
        <v>6</v>
      </c>
      <c r="G8383" s="4" t="n">
        <v>8</v>
      </c>
      <c r="H8383" s="4" t="n">
        <v>4</v>
      </c>
      <c r="I8383" s="4" t="str">
        <v>×</v>
      </c>
      <c r="J8383" s="4"/>
      <c r="K8383" s="4"/>
      <c r="L8383" s="4"/>
      <c r="M8383" s="5" t="s">
        <v>5346</v>
      </c>
    </row>
    <row r="8384" customFormat="false" ht="15.75" hidden="false" customHeight="false" outlineLevel="0" collapsed="false">
      <c r="A8384" s="6" t="n">
        <v>46166</v>
      </c>
      <c r="B8384" s="4" t="s">
        <v>13</v>
      </c>
      <c r="C8384" s="4" t="n">
        <v>1</v>
      </c>
      <c r="D8384" s="4" t="n">
        <v>7</v>
      </c>
      <c r="E8384" s="4" t="s">
        <v>1582</v>
      </c>
      <c r="F8384" s="4" t="n">
        <v>17</v>
      </c>
      <c r="G8384" s="4" t="n">
        <v>5</v>
      </c>
      <c r="H8384" s="4" t="n">
        <v>4</v>
      </c>
      <c r="I8384" s="4" t="str">
        <v>×</v>
      </c>
      <c r="J8384" s="4"/>
      <c r="K8384" s="4"/>
      <c r="L8384" s="4"/>
      <c r="M8384" s="5" t="s">
        <v>5346</v>
      </c>
    </row>
    <row r="8385" customFormat="false" ht="15.75" hidden="false" customHeight="false" outlineLevel="0" collapsed="false">
      <c r="A8385" s="6" t="n">
        <v>46166</v>
      </c>
      <c r="B8385" s="4" t="s">
        <v>13</v>
      </c>
      <c r="C8385" s="4" t="n">
        <v>1</v>
      </c>
      <c r="D8385" s="4" t="n">
        <v>8</v>
      </c>
      <c r="E8385" s="4" t="s">
        <v>5729</v>
      </c>
      <c r="F8385" s="4" t="n">
        <v>10</v>
      </c>
      <c r="G8385" s="4" t="n">
        <v>6</v>
      </c>
      <c r="H8385" s="4" t="n">
        <v>4</v>
      </c>
      <c r="I8385" s="4" t="str">
        <v>×</v>
      </c>
      <c r="J8385" s="4"/>
      <c r="K8385" s="4"/>
      <c r="L8385" s="4"/>
      <c r="M8385" s="5" t="s">
        <v>5346</v>
      </c>
    </row>
    <row r="8386" customFormat="false" ht="15.75" hidden="false" customHeight="false" outlineLevel="0" collapsed="false">
      <c r="A8386" s="6" t="n">
        <v>46166</v>
      </c>
      <c r="B8386" s="4" t="s">
        <v>13</v>
      </c>
      <c r="C8386" s="4" t="n">
        <v>1</v>
      </c>
      <c r="D8386" s="4" t="n">
        <v>9</v>
      </c>
      <c r="E8386" s="4" t="s">
        <v>951</v>
      </c>
      <c r="F8386" s="4" t="n">
        <v>34</v>
      </c>
      <c r="G8386" s="4" t="n">
        <v>3</v>
      </c>
      <c r="H8386" s="4" t="n">
        <v>4</v>
      </c>
      <c r="I8386" s="4" t="str">
        <v>×</v>
      </c>
      <c r="J8386" s="4"/>
      <c r="K8386" s="4"/>
      <c r="L8386" s="4"/>
      <c r="M8386" s="5" t="s">
        <v>5346</v>
      </c>
    </row>
    <row r="8387" customFormat="false" ht="15.75" hidden="false" customHeight="false" outlineLevel="0" collapsed="false">
      <c r="A8387" s="6" t="n">
        <v>46166</v>
      </c>
      <c r="B8387" s="4" t="s">
        <v>13</v>
      </c>
      <c r="C8387" s="4" t="n">
        <v>1</v>
      </c>
      <c r="D8387" s="4" t="n">
        <v>10</v>
      </c>
      <c r="E8387" s="4" t="s">
        <v>5730</v>
      </c>
      <c r="F8387" s="4" t="n">
        <v>58</v>
      </c>
      <c r="G8387" s="4" t="n">
        <v>1</v>
      </c>
      <c r="H8387" s="4" t="n">
        <v>1</v>
      </c>
      <c r="I8387" s="4" t="str">
        <v>○</v>
      </c>
      <c r="J8387" s="4" t="n">
        <v>140</v>
      </c>
      <c r="K8387" s="4"/>
      <c r="L8387" s="4"/>
      <c r="M8387" s="5" t="s">
        <v>5346</v>
      </c>
    </row>
    <row r="8388" customFormat="false" ht="15.75" hidden="false" customHeight="false" outlineLevel="0" collapsed="false">
      <c r="A8388" s="6" t="n">
        <v>46166</v>
      </c>
      <c r="B8388" s="4" t="s">
        <v>13</v>
      </c>
      <c r="C8388" s="4" t="n">
        <v>1</v>
      </c>
      <c r="D8388" s="4" t="n">
        <v>11</v>
      </c>
      <c r="E8388" s="4" t="s">
        <v>5731</v>
      </c>
      <c r="F8388" s="4" t="n">
        <v>47</v>
      </c>
      <c r="G8388" s="4" t="n">
        <v>2</v>
      </c>
      <c r="H8388" s="4" t="n">
        <v>4</v>
      </c>
      <c r="I8388" s="4" t="str">
        <v>×</v>
      </c>
      <c r="J8388" s="4"/>
      <c r="K8388" s="4"/>
      <c r="L8388" s="4"/>
      <c r="M8388" s="5" t="s">
        <v>5346</v>
      </c>
    </row>
    <row r="8389" customFormat="false" ht="15.75" hidden="false" customHeight="false" outlineLevel="0" collapsed="false">
      <c r="A8389" s="6" t="n">
        <v>46166</v>
      </c>
      <c r="B8389" s="4" t="s">
        <v>13</v>
      </c>
      <c r="C8389" s="4" t="n">
        <v>1</v>
      </c>
      <c r="D8389" s="4" t="n">
        <v>12</v>
      </c>
      <c r="E8389" s="4" t="s">
        <v>1781</v>
      </c>
      <c r="F8389" s="4" t="n">
        <v>8</v>
      </c>
      <c r="G8389" s="4" t="n">
        <v>7</v>
      </c>
      <c r="H8389" s="4" t="n">
        <v>3</v>
      </c>
      <c r="I8389" s="4" t="str">
        <v>○</v>
      </c>
      <c r="J8389" s="4" t="n">
        <v>200</v>
      </c>
      <c r="K8389" s="4"/>
      <c r="L8389" s="4"/>
      <c r="M8389" s="5" t="s">
        <v>5346</v>
      </c>
    </row>
    <row r="8390" customFormat="false" ht="15.75" hidden="false" customHeight="false" outlineLevel="0" collapsed="false">
      <c r="A8390" s="6" t="n">
        <v>46166</v>
      </c>
      <c r="B8390" s="4" t="s">
        <v>13</v>
      </c>
      <c r="C8390" s="4" t="n">
        <v>1</v>
      </c>
      <c r="D8390" s="4" t="n">
        <v>13</v>
      </c>
      <c r="E8390" s="4" t="s">
        <v>814</v>
      </c>
      <c r="F8390" s="4" t="n">
        <v>58</v>
      </c>
      <c r="G8390" s="4" t="n">
        <v>1</v>
      </c>
      <c r="H8390" s="4" t="n">
        <v>2</v>
      </c>
      <c r="I8390" s="4" t="str">
        <v>○</v>
      </c>
      <c r="J8390" s="4" t="n">
        <v>140</v>
      </c>
      <c r="K8390" s="4"/>
      <c r="L8390" s="4"/>
      <c r="M8390" s="5" t="s">
        <v>5346</v>
      </c>
    </row>
    <row r="8391" customFormat="false" ht="15.75" hidden="false" customHeight="false" outlineLevel="0" collapsed="false">
      <c r="A8391" s="6" t="n">
        <v>46166</v>
      </c>
      <c r="B8391" s="4" t="s">
        <v>13</v>
      </c>
      <c r="C8391" s="4" t="n">
        <v>1</v>
      </c>
      <c r="D8391" s="4" t="n">
        <v>14</v>
      </c>
      <c r="E8391" s="4" t="s">
        <v>5732</v>
      </c>
      <c r="F8391" s="4" t="n">
        <v>6</v>
      </c>
      <c r="G8391" s="4" t="n">
        <v>8</v>
      </c>
      <c r="H8391" s="4" t="n">
        <v>4</v>
      </c>
      <c r="I8391" s="4" t="str">
        <v>×</v>
      </c>
      <c r="J8391" s="4"/>
      <c r="K8391" s="4"/>
      <c r="L8391" s="4"/>
      <c r="M8391" s="5" t="s">
        <v>5346</v>
      </c>
    </row>
    <row r="8392" customFormat="false" ht="15.75" hidden="false" customHeight="false" outlineLevel="0" collapsed="false">
      <c r="A8392" s="6" t="n">
        <v>46166</v>
      </c>
      <c r="B8392" s="4" t="s">
        <v>13</v>
      </c>
      <c r="C8392" s="4" t="n">
        <v>1</v>
      </c>
      <c r="D8392" s="4" t="n">
        <v>15</v>
      </c>
      <c r="E8392" s="4" t="s">
        <v>3268</v>
      </c>
      <c r="F8392" s="4" t="n">
        <v>6</v>
      </c>
      <c r="G8392" s="4" t="n">
        <v>8</v>
      </c>
      <c r="H8392" s="4" t="n">
        <v>4</v>
      </c>
      <c r="I8392" s="4" t="str">
        <v>×</v>
      </c>
      <c r="J8392" s="4"/>
      <c r="K8392" s="4"/>
      <c r="L8392" s="4"/>
      <c r="M8392" s="5" t="s">
        <v>5346</v>
      </c>
    </row>
    <row r="8393" customFormat="false" ht="15.75" hidden="false" customHeight="false" outlineLevel="0" collapsed="false">
      <c r="A8393" s="6" t="n">
        <v>46166</v>
      </c>
      <c r="B8393" s="4" t="s">
        <v>13</v>
      </c>
      <c r="C8393" s="4" t="n">
        <v>1</v>
      </c>
      <c r="D8393" s="4" t="n">
        <v>16</v>
      </c>
      <c r="E8393" s="4" t="s">
        <v>144</v>
      </c>
      <c r="F8393" s="4" t="n">
        <v>3</v>
      </c>
      <c r="G8393" s="4" t="n">
        <v>10</v>
      </c>
      <c r="H8393" s="4" t="n">
        <v>4</v>
      </c>
      <c r="I8393" s="4" t="str">
        <v>×</v>
      </c>
      <c r="J8393" s="4"/>
      <c r="K8393" s="4"/>
      <c r="L8393" s="4"/>
      <c r="M8393" s="5" t="s">
        <v>5346</v>
      </c>
    </row>
    <row r="8394" customFormat="false" ht="15.75" hidden="false" customHeight="false" outlineLevel="0" collapsed="false">
      <c r="A8394" s="6" t="n">
        <v>46166</v>
      </c>
      <c r="B8394" s="4" t="s">
        <v>13</v>
      </c>
      <c r="C8394" s="4" t="n">
        <v>2</v>
      </c>
      <c r="D8394" s="4" t="n">
        <v>1</v>
      </c>
      <c r="E8394" s="4" t="s">
        <v>3266</v>
      </c>
      <c r="F8394" s="4" t="n">
        <v>62</v>
      </c>
      <c r="G8394" s="4" t="n">
        <v>1</v>
      </c>
      <c r="H8394" s="4" t="n">
        <v>2</v>
      </c>
      <c r="I8394" s="4" t="str">
        <v>○</v>
      </c>
      <c r="J8394" s="4" t="n">
        <v>120</v>
      </c>
      <c r="K8394" s="4"/>
      <c r="L8394" s="4"/>
      <c r="M8394" s="5" t="s">
        <v>5346</v>
      </c>
    </row>
    <row r="8395" customFormat="false" ht="15.75" hidden="false" customHeight="false" outlineLevel="0" collapsed="false">
      <c r="A8395" s="6" t="n">
        <v>46166</v>
      </c>
      <c r="B8395" s="4" t="s">
        <v>13</v>
      </c>
      <c r="C8395" s="4" t="n">
        <v>2</v>
      </c>
      <c r="D8395" s="4" t="n">
        <v>2</v>
      </c>
      <c r="E8395" s="4" t="s">
        <v>5088</v>
      </c>
      <c r="F8395" s="4" t="n">
        <v>8</v>
      </c>
      <c r="G8395" s="4" t="n">
        <v>8</v>
      </c>
      <c r="H8395" s="4" t="n">
        <v>4</v>
      </c>
      <c r="I8395" s="4" t="str">
        <v>×</v>
      </c>
      <c r="J8395" s="4"/>
      <c r="K8395" s="4"/>
      <c r="L8395" s="4"/>
      <c r="M8395" s="5" t="s">
        <v>5346</v>
      </c>
    </row>
    <row r="8396" customFormat="false" ht="15.75" hidden="false" customHeight="false" outlineLevel="0" collapsed="false">
      <c r="A8396" s="6" t="n">
        <v>46166</v>
      </c>
      <c r="B8396" s="4" t="s">
        <v>13</v>
      </c>
      <c r="C8396" s="4" t="n">
        <v>2</v>
      </c>
      <c r="D8396" s="4" t="n">
        <v>3</v>
      </c>
      <c r="E8396" s="4" t="s">
        <v>748</v>
      </c>
      <c r="F8396" s="4" t="n">
        <v>56</v>
      </c>
      <c r="G8396" s="4" t="n">
        <v>3</v>
      </c>
      <c r="H8396" s="4" t="n">
        <v>1</v>
      </c>
      <c r="I8396" s="4" t="str">
        <v>○</v>
      </c>
      <c r="J8396" s="4" t="n">
        <v>130</v>
      </c>
      <c r="K8396" s="4"/>
      <c r="L8396" s="4"/>
      <c r="M8396" s="5" t="s">
        <v>5346</v>
      </c>
    </row>
    <row r="8397" customFormat="false" ht="15.75" hidden="false" customHeight="false" outlineLevel="0" collapsed="false">
      <c r="A8397" s="6" t="n">
        <v>46166</v>
      </c>
      <c r="B8397" s="4" t="s">
        <v>13</v>
      </c>
      <c r="C8397" s="4" t="n">
        <v>2</v>
      </c>
      <c r="D8397" s="4" t="n">
        <v>4</v>
      </c>
      <c r="E8397" s="4" t="s">
        <v>5733</v>
      </c>
      <c r="F8397" s="4" t="n">
        <v>4</v>
      </c>
      <c r="G8397" s="4" t="n">
        <v>9</v>
      </c>
      <c r="H8397" s="4"/>
      <c r="I8397" s="4" t="str">
        <v/>
      </c>
      <c r="J8397" s="4"/>
      <c r="K8397" s="4"/>
      <c r="L8397" s="4"/>
      <c r="M8397" s="5" t="s">
        <v>5346</v>
      </c>
    </row>
    <row r="8398" customFormat="false" ht="15.75" hidden="false" customHeight="false" outlineLevel="0" collapsed="false">
      <c r="A8398" s="6" t="n">
        <v>46166</v>
      </c>
      <c r="B8398" s="4" t="s">
        <v>13</v>
      </c>
      <c r="C8398" s="4" t="n">
        <v>2</v>
      </c>
      <c r="D8398" s="4" t="n">
        <v>5</v>
      </c>
      <c r="E8398" s="4" t="s">
        <v>5734</v>
      </c>
      <c r="F8398" s="4" t="n">
        <v>13</v>
      </c>
      <c r="G8398" s="4" t="n">
        <v>6</v>
      </c>
      <c r="H8398" s="4" t="n">
        <v>4</v>
      </c>
      <c r="I8398" s="4" t="str">
        <v>×</v>
      </c>
      <c r="J8398" s="4"/>
      <c r="K8398" s="4"/>
      <c r="L8398" s="4"/>
      <c r="M8398" s="5" t="s">
        <v>5346</v>
      </c>
    </row>
    <row r="8399" customFormat="false" ht="15.75" hidden="false" customHeight="false" outlineLevel="0" collapsed="false">
      <c r="A8399" s="6" t="n">
        <v>46166</v>
      </c>
      <c r="B8399" s="4" t="s">
        <v>13</v>
      </c>
      <c r="C8399" s="4" t="n">
        <v>2</v>
      </c>
      <c r="D8399" s="4" t="n">
        <v>6</v>
      </c>
      <c r="E8399" s="4" t="s">
        <v>5327</v>
      </c>
      <c r="F8399" s="4" t="n">
        <v>4</v>
      </c>
      <c r="G8399" s="4" t="n">
        <v>9</v>
      </c>
      <c r="H8399" s="4" t="n">
        <v>4</v>
      </c>
      <c r="I8399" s="4" t="str">
        <v>×</v>
      </c>
      <c r="J8399" s="4"/>
      <c r="K8399" s="4"/>
      <c r="L8399" s="4"/>
      <c r="M8399" s="5" t="s">
        <v>5346</v>
      </c>
    </row>
    <row r="8400" customFormat="false" ht="15.75" hidden="false" customHeight="false" outlineLevel="0" collapsed="false">
      <c r="A8400" s="6" t="n">
        <v>46166</v>
      </c>
      <c r="B8400" s="4" t="s">
        <v>13</v>
      </c>
      <c r="C8400" s="4" t="n">
        <v>2</v>
      </c>
      <c r="D8400" s="4" t="n">
        <v>7</v>
      </c>
      <c r="E8400" s="4" t="s">
        <v>490</v>
      </c>
      <c r="F8400" s="4" t="n">
        <v>13</v>
      </c>
      <c r="G8400" s="4" t="n">
        <v>6</v>
      </c>
      <c r="H8400" s="4" t="n">
        <v>4</v>
      </c>
      <c r="I8400" s="4" t="str">
        <v>×</v>
      </c>
      <c r="J8400" s="4"/>
      <c r="K8400" s="4"/>
      <c r="L8400" s="4"/>
      <c r="M8400" s="5" t="s">
        <v>5346</v>
      </c>
    </row>
    <row r="8401" customFormat="false" ht="15.75" hidden="false" customHeight="false" outlineLevel="0" collapsed="false">
      <c r="A8401" s="6" t="n">
        <v>46166</v>
      </c>
      <c r="B8401" s="4" t="s">
        <v>13</v>
      </c>
      <c r="C8401" s="4" t="n">
        <v>2</v>
      </c>
      <c r="D8401" s="4" t="n">
        <v>8</v>
      </c>
      <c r="E8401" s="4" t="s">
        <v>5735</v>
      </c>
      <c r="F8401" s="4" t="n">
        <v>10</v>
      </c>
      <c r="G8401" s="4" t="n">
        <v>7</v>
      </c>
      <c r="H8401" s="4" t="n">
        <v>4</v>
      </c>
      <c r="I8401" s="4" t="str">
        <v>×</v>
      </c>
      <c r="J8401" s="4"/>
      <c r="K8401" s="4"/>
      <c r="L8401" s="4"/>
      <c r="M8401" s="5" t="s">
        <v>5346</v>
      </c>
    </row>
    <row r="8402" customFormat="false" ht="15.75" hidden="false" customHeight="false" outlineLevel="0" collapsed="false">
      <c r="A8402" s="6" t="n">
        <v>46166</v>
      </c>
      <c r="B8402" s="4" t="s">
        <v>13</v>
      </c>
      <c r="C8402" s="4" t="n">
        <v>2</v>
      </c>
      <c r="D8402" s="4" t="n">
        <v>9</v>
      </c>
      <c r="E8402" s="4" t="s">
        <v>5736</v>
      </c>
      <c r="F8402" s="4" t="n">
        <v>4</v>
      </c>
      <c r="G8402" s="4" t="n">
        <v>9</v>
      </c>
      <c r="H8402" s="4" t="n">
        <v>4</v>
      </c>
      <c r="I8402" s="4" t="str">
        <v>×</v>
      </c>
      <c r="J8402" s="4"/>
      <c r="K8402" s="4"/>
      <c r="L8402" s="4"/>
      <c r="M8402" s="5" t="s">
        <v>5346</v>
      </c>
    </row>
    <row r="8403" customFormat="false" ht="15.75" hidden="false" customHeight="false" outlineLevel="0" collapsed="false">
      <c r="A8403" s="6" t="n">
        <v>46166</v>
      </c>
      <c r="B8403" s="4" t="s">
        <v>13</v>
      </c>
      <c r="C8403" s="4" t="n">
        <v>2</v>
      </c>
      <c r="D8403" s="4" t="n">
        <v>10</v>
      </c>
      <c r="E8403" s="4" t="s">
        <v>5737</v>
      </c>
      <c r="F8403" s="4" t="n">
        <v>25</v>
      </c>
      <c r="G8403" s="4" t="n">
        <v>4</v>
      </c>
      <c r="H8403" s="4" t="n">
        <v>4</v>
      </c>
      <c r="I8403" s="4" t="str">
        <v>×</v>
      </c>
      <c r="J8403" s="4"/>
      <c r="K8403" s="4"/>
      <c r="L8403" s="4"/>
      <c r="M8403" s="5" t="s">
        <v>5346</v>
      </c>
    </row>
    <row r="8404" customFormat="false" ht="15.75" hidden="false" customHeight="false" outlineLevel="0" collapsed="false">
      <c r="A8404" s="6" t="n">
        <v>46166</v>
      </c>
      <c r="B8404" s="4" t="s">
        <v>13</v>
      </c>
      <c r="C8404" s="4" t="n">
        <v>2</v>
      </c>
      <c r="D8404" s="4" t="n">
        <v>11</v>
      </c>
      <c r="E8404" s="4" t="s">
        <v>4577</v>
      </c>
      <c r="F8404" s="4" t="n">
        <v>10</v>
      </c>
      <c r="G8404" s="4" t="n">
        <v>7</v>
      </c>
      <c r="H8404" s="4" t="n">
        <v>4</v>
      </c>
      <c r="I8404" s="4" t="str">
        <v>×</v>
      </c>
      <c r="J8404" s="4"/>
      <c r="K8404" s="4"/>
      <c r="L8404" s="4"/>
      <c r="M8404" s="5" t="s">
        <v>5346</v>
      </c>
    </row>
    <row r="8405" customFormat="false" ht="15.75" hidden="false" customHeight="false" outlineLevel="0" collapsed="false">
      <c r="A8405" s="6" t="n">
        <v>46166</v>
      </c>
      <c r="B8405" s="4" t="s">
        <v>13</v>
      </c>
      <c r="C8405" s="4" t="n">
        <v>2</v>
      </c>
      <c r="D8405" s="4" t="n">
        <v>12</v>
      </c>
      <c r="E8405" s="4" t="s">
        <v>5255</v>
      </c>
      <c r="F8405" s="4" t="n">
        <v>4</v>
      </c>
      <c r="G8405" s="4" t="n">
        <v>9</v>
      </c>
      <c r="H8405" s="4" t="n">
        <v>4</v>
      </c>
      <c r="I8405" s="4" t="str">
        <v>×</v>
      </c>
      <c r="J8405" s="4"/>
      <c r="K8405" s="4"/>
      <c r="L8405" s="4"/>
      <c r="M8405" s="5" t="s">
        <v>5346</v>
      </c>
    </row>
    <row r="8406" customFormat="false" ht="15.75" hidden="false" customHeight="false" outlineLevel="0" collapsed="false">
      <c r="A8406" s="6" t="n">
        <v>46166</v>
      </c>
      <c r="B8406" s="4" t="s">
        <v>13</v>
      </c>
      <c r="C8406" s="4" t="n">
        <v>2</v>
      </c>
      <c r="D8406" s="4" t="n">
        <v>13</v>
      </c>
      <c r="E8406" s="4" t="s">
        <v>2188</v>
      </c>
      <c r="F8406" s="4" t="n">
        <v>23</v>
      </c>
      <c r="G8406" s="4" t="n">
        <v>5</v>
      </c>
      <c r="H8406" s="4" t="n">
        <v>3</v>
      </c>
      <c r="I8406" s="4" t="str">
        <v>○</v>
      </c>
      <c r="J8406" s="4" t="n">
        <v>160</v>
      </c>
      <c r="K8406" s="4"/>
      <c r="L8406" s="4"/>
      <c r="M8406" s="5" t="s">
        <v>5346</v>
      </c>
    </row>
    <row r="8407" customFormat="false" ht="15.75" hidden="false" customHeight="false" outlineLevel="0" collapsed="false">
      <c r="A8407" s="6" t="n">
        <v>46166</v>
      </c>
      <c r="B8407" s="4" t="s">
        <v>13</v>
      </c>
      <c r="C8407" s="4" t="n">
        <v>2</v>
      </c>
      <c r="D8407" s="4" t="n">
        <v>14</v>
      </c>
      <c r="E8407" s="4" t="s">
        <v>5738</v>
      </c>
      <c r="F8407" s="4" t="n">
        <v>3</v>
      </c>
      <c r="G8407" s="4" t="n">
        <v>10</v>
      </c>
      <c r="H8407" s="4" t="n">
        <v>4</v>
      </c>
      <c r="I8407" s="4" t="str">
        <v>×</v>
      </c>
      <c r="J8407" s="4"/>
      <c r="K8407" s="4"/>
      <c r="L8407" s="4"/>
      <c r="M8407" s="5" t="s">
        <v>5346</v>
      </c>
    </row>
    <row r="8408" customFormat="false" ht="15.75" hidden="false" customHeight="false" outlineLevel="0" collapsed="false">
      <c r="A8408" s="6" t="n">
        <v>46166</v>
      </c>
      <c r="B8408" s="4" t="s">
        <v>13</v>
      </c>
      <c r="C8408" s="4" t="n">
        <v>2</v>
      </c>
      <c r="D8408" s="4" t="n">
        <v>15</v>
      </c>
      <c r="E8408" s="4" t="s">
        <v>2454</v>
      </c>
      <c r="F8408" s="4" t="n">
        <v>60</v>
      </c>
      <c r="G8408" s="4" t="n">
        <v>2</v>
      </c>
      <c r="H8408" s="4" t="n">
        <v>4</v>
      </c>
      <c r="I8408" s="4" t="str">
        <v>×</v>
      </c>
      <c r="J8408" s="4"/>
      <c r="K8408" s="4"/>
      <c r="L8408" s="4"/>
      <c r="M8408" s="5" t="s">
        <v>5346</v>
      </c>
    </row>
    <row r="8409" customFormat="false" ht="15.75" hidden="false" customHeight="false" outlineLevel="0" collapsed="false">
      <c r="A8409" s="6" t="n">
        <v>46166</v>
      </c>
      <c r="B8409" s="4" t="s">
        <v>13</v>
      </c>
      <c r="C8409" s="4" t="n">
        <v>3</v>
      </c>
      <c r="D8409" s="4" t="n">
        <v>1</v>
      </c>
      <c r="E8409" s="4" t="s">
        <v>5096</v>
      </c>
      <c r="F8409" s="4" t="n">
        <v>8</v>
      </c>
      <c r="G8409" s="4" t="n">
        <v>6</v>
      </c>
      <c r="H8409" s="4" t="n">
        <v>3</v>
      </c>
      <c r="I8409" s="4" t="str">
        <v>○</v>
      </c>
      <c r="J8409" s="4" t="n">
        <v>410</v>
      </c>
      <c r="K8409" s="4"/>
      <c r="L8409" s="4"/>
      <c r="M8409" s="5" t="s">
        <v>5346</v>
      </c>
    </row>
    <row r="8410" customFormat="false" ht="15.75" hidden="false" customHeight="false" outlineLevel="0" collapsed="false">
      <c r="A8410" s="6" t="n">
        <v>46166</v>
      </c>
      <c r="B8410" s="4" t="s">
        <v>13</v>
      </c>
      <c r="C8410" s="4" t="n">
        <v>3</v>
      </c>
      <c r="D8410" s="4" t="n">
        <v>2</v>
      </c>
      <c r="E8410" s="4" t="s">
        <v>5739</v>
      </c>
      <c r="F8410" s="4" t="n">
        <v>65</v>
      </c>
      <c r="G8410" s="4" t="n">
        <v>3</v>
      </c>
      <c r="H8410" s="4" t="n">
        <v>2</v>
      </c>
      <c r="I8410" s="4" t="str">
        <v>○</v>
      </c>
      <c r="J8410" s="4" t="n">
        <v>120</v>
      </c>
      <c r="K8410" s="4"/>
      <c r="L8410" s="4"/>
      <c r="M8410" s="5" t="s">
        <v>5346</v>
      </c>
    </row>
    <row r="8411" customFormat="false" ht="15.75" hidden="false" customHeight="false" outlineLevel="0" collapsed="false">
      <c r="A8411" s="6" t="n">
        <v>46166</v>
      </c>
      <c r="B8411" s="4" t="s">
        <v>13</v>
      </c>
      <c r="C8411" s="4" t="n">
        <v>3</v>
      </c>
      <c r="D8411" s="4" t="n">
        <v>3</v>
      </c>
      <c r="E8411" s="4" t="s">
        <v>5740</v>
      </c>
      <c r="F8411" s="4" t="n">
        <v>3</v>
      </c>
      <c r="G8411" s="4" t="n">
        <v>8</v>
      </c>
      <c r="H8411" s="4" t="n">
        <v>4</v>
      </c>
      <c r="I8411" s="4" t="str">
        <v>×</v>
      </c>
      <c r="J8411" s="4"/>
      <c r="K8411" s="4"/>
      <c r="L8411" s="4"/>
      <c r="M8411" s="5" t="s">
        <v>5346</v>
      </c>
    </row>
    <row r="8412" customFormat="false" ht="15.75" hidden="false" customHeight="false" outlineLevel="0" collapsed="false">
      <c r="A8412" s="6" t="n">
        <v>46166</v>
      </c>
      <c r="B8412" s="4" t="s">
        <v>13</v>
      </c>
      <c r="C8412" s="4" t="n">
        <v>3</v>
      </c>
      <c r="D8412" s="4" t="n">
        <v>4</v>
      </c>
      <c r="E8412" s="4" t="s">
        <v>5741</v>
      </c>
      <c r="F8412" s="4" t="n">
        <v>10</v>
      </c>
      <c r="G8412" s="4" t="n">
        <v>5</v>
      </c>
      <c r="H8412" s="4" t="n">
        <v>4</v>
      </c>
      <c r="I8412" s="4" t="str">
        <v>×</v>
      </c>
      <c r="J8412" s="4"/>
      <c r="K8412" s="4"/>
      <c r="L8412" s="4"/>
      <c r="M8412" s="5" t="s">
        <v>5346</v>
      </c>
    </row>
    <row r="8413" customFormat="false" ht="15.75" hidden="false" customHeight="false" outlineLevel="0" collapsed="false">
      <c r="A8413" s="6" t="n">
        <v>46166</v>
      </c>
      <c r="B8413" s="4" t="s">
        <v>13</v>
      </c>
      <c r="C8413" s="4" t="n">
        <v>3</v>
      </c>
      <c r="D8413" s="4" t="n">
        <v>5</v>
      </c>
      <c r="E8413" s="4" t="s">
        <v>1259</v>
      </c>
      <c r="F8413" s="4" t="n">
        <v>15</v>
      </c>
      <c r="G8413" s="4" t="n">
        <v>4</v>
      </c>
      <c r="H8413" s="4" t="n">
        <v>4</v>
      </c>
      <c r="I8413" s="4" t="str">
        <v>×</v>
      </c>
      <c r="J8413" s="4"/>
      <c r="K8413" s="4"/>
      <c r="L8413" s="4"/>
      <c r="M8413" s="5" t="s">
        <v>5346</v>
      </c>
    </row>
    <row r="8414" customFormat="false" ht="15.75" hidden="false" customHeight="false" outlineLevel="0" collapsed="false">
      <c r="A8414" s="6" t="n">
        <v>46166</v>
      </c>
      <c r="B8414" s="4" t="s">
        <v>13</v>
      </c>
      <c r="C8414" s="4" t="n">
        <v>3</v>
      </c>
      <c r="D8414" s="4" t="n">
        <v>6</v>
      </c>
      <c r="E8414" s="4" t="s">
        <v>1914</v>
      </c>
      <c r="F8414" s="4" t="n">
        <v>67</v>
      </c>
      <c r="G8414" s="4" t="n">
        <v>2</v>
      </c>
      <c r="H8414" s="4" t="n">
        <v>4</v>
      </c>
      <c r="I8414" s="4" t="str">
        <v>×</v>
      </c>
      <c r="J8414" s="4"/>
      <c r="K8414" s="4"/>
      <c r="L8414" s="4"/>
      <c r="M8414" s="5" t="s">
        <v>5346</v>
      </c>
    </row>
    <row r="8415" customFormat="false" ht="15.75" hidden="false" customHeight="false" outlineLevel="0" collapsed="false">
      <c r="A8415" s="6" t="n">
        <v>46166</v>
      </c>
      <c r="B8415" s="4" t="s">
        <v>13</v>
      </c>
      <c r="C8415" s="4" t="n">
        <v>3</v>
      </c>
      <c r="D8415" s="4" t="n">
        <v>7</v>
      </c>
      <c r="E8415" s="4" t="s">
        <v>5742</v>
      </c>
      <c r="F8415" s="4" t="n">
        <v>6</v>
      </c>
      <c r="G8415" s="4" t="n">
        <v>7</v>
      </c>
      <c r="H8415" s="4" t="n">
        <v>4</v>
      </c>
      <c r="I8415" s="4" t="str">
        <v>×</v>
      </c>
      <c r="J8415" s="4"/>
      <c r="K8415" s="4"/>
      <c r="L8415" s="4"/>
      <c r="M8415" s="5" t="s">
        <v>5346</v>
      </c>
    </row>
    <row r="8416" customFormat="false" ht="15.75" hidden="false" customHeight="false" outlineLevel="0" collapsed="false">
      <c r="A8416" s="6" t="n">
        <v>46166</v>
      </c>
      <c r="B8416" s="4" t="s">
        <v>13</v>
      </c>
      <c r="C8416" s="4" t="n">
        <v>3</v>
      </c>
      <c r="D8416" s="4" t="n">
        <v>8</v>
      </c>
      <c r="E8416" s="4" t="s">
        <v>2220</v>
      </c>
      <c r="F8416" s="4" t="n">
        <v>15</v>
      </c>
      <c r="G8416" s="4" t="n">
        <v>4</v>
      </c>
      <c r="H8416" s="4" t="n">
        <v>4</v>
      </c>
      <c r="I8416" s="4" t="str">
        <v>×</v>
      </c>
      <c r="J8416" s="4"/>
      <c r="K8416" s="4"/>
      <c r="L8416" s="4"/>
      <c r="M8416" s="5" t="s">
        <v>5346</v>
      </c>
    </row>
    <row r="8417" customFormat="false" ht="15.75" hidden="false" customHeight="false" outlineLevel="0" collapsed="false">
      <c r="A8417" s="6" t="n">
        <v>46166</v>
      </c>
      <c r="B8417" s="4" t="s">
        <v>13</v>
      </c>
      <c r="C8417" s="4" t="n">
        <v>3</v>
      </c>
      <c r="D8417" s="4" t="n">
        <v>9</v>
      </c>
      <c r="E8417" s="4" t="s">
        <v>5743</v>
      </c>
      <c r="F8417" s="4" t="n">
        <v>3</v>
      </c>
      <c r="G8417" s="4" t="n">
        <v>8</v>
      </c>
      <c r="H8417" s="4" t="n">
        <v>4</v>
      </c>
      <c r="I8417" s="4" t="str">
        <v>×</v>
      </c>
      <c r="J8417" s="4"/>
      <c r="K8417" s="4"/>
      <c r="L8417" s="4"/>
      <c r="M8417" s="5" t="s">
        <v>5346</v>
      </c>
    </row>
    <row r="8418" customFormat="false" ht="15.75" hidden="false" customHeight="false" outlineLevel="0" collapsed="false">
      <c r="A8418" s="6" t="n">
        <v>46166</v>
      </c>
      <c r="B8418" s="4" t="s">
        <v>13</v>
      </c>
      <c r="C8418" s="4" t="n">
        <v>3</v>
      </c>
      <c r="D8418" s="4" t="n">
        <v>10</v>
      </c>
      <c r="E8418" s="4" t="s">
        <v>5744</v>
      </c>
      <c r="F8418" s="4" t="n">
        <v>86</v>
      </c>
      <c r="G8418" s="4" t="n">
        <v>1</v>
      </c>
      <c r="H8418" s="4" t="n">
        <v>1</v>
      </c>
      <c r="I8418" s="4" t="str">
        <v>○</v>
      </c>
      <c r="J8418" s="4" t="n">
        <v>100</v>
      </c>
      <c r="K8418" s="4"/>
      <c r="L8418" s="4"/>
      <c r="M8418" s="5" t="s">
        <v>5346</v>
      </c>
    </row>
    <row r="8419" customFormat="false" ht="15.75" hidden="false" customHeight="false" outlineLevel="0" collapsed="false">
      <c r="A8419" s="6" t="n">
        <v>46166</v>
      </c>
      <c r="B8419" s="4" t="s">
        <v>13</v>
      </c>
      <c r="C8419" s="4" t="n">
        <v>4</v>
      </c>
      <c r="D8419" s="4" t="n">
        <v>1</v>
      </c>
      <c r="E8419" s="4" t="s">
        <v>581</v>
      </c>
      <c r="F8419" s="4" t="n">
        <v>44</v>
      </c>
      <c r="G8419" s="4" t="n">
        <v>2</v>
      </c>
      <c r="H8419" s="4" t="n">
        <v>2</v>
      </c>
      <c r="I8419" s="4" t="str">
        <v>○</v>
      </c>
      <c r="J8419" s="4" t="n">
        <v>120</v>
      </c>
      <c r="K8419" s="4"/>
      <c r="L8419" s="4"/>
      <c r="M8419" s="5" t="s">
        <v>5346</v>
      </c>
    </row>
    <row r="8420" customFormat="false" ht="15.75" hidden="false" customHeight="false" outlineLevel="0" collapsed="false">
      <c r="A8420" s="6" t="n">
        <v>46166</v>
      </c>
      <c r="B8420" s="4" t="s">
        <v>13</v>
      </c>
      <c r="C8420" s="4" t="n">
        <v>4</v>
      </c>
      <c r="D8420" s="4" t="n">
        <v>2</v>
      </c>
      <c r="E8420" s="4" t="s">
        <v>5745</v>
      </c>
      <c r="F8420" s="4" t="n">
        <v>21</v>
      </c>
      <c r="G8420" s="4" t="n">
        <v>5</v>
      </c>
      <c r="H8420" s="4" t="n">
        <v>4</v>
      </c>
      <c r="I8420" s="4" t="str">
        <v>×</v>
      </c>
      <c r="J8420" s="4"/>
      <c r="K8420" s="4"/>
      <c r="L8420" s="4"/>
      <c r="M8420" s="5" t="s">
        <v>5346</v>
      </c>
    </row>
    <row r="8421" customFormat="false" ht="15.75" hidden="false" customHeight="false" outlineLevel="0" collapsed="false">
      <c r="A8421" s="6" t="n">
        <v>46166</v>
      </c>
      <c r="B8421" s="4" t="s">
        <v>13</v>
      </c>
      <c r="C8421" s="4" t="n">
        <v>4</v>
      </c>
      <c r="D8421" s="4" t="n">
        <v>3</v>
      </c>
      <c r="E8421" s="4" t="s">
        <v>5746</v>
      </c>
      <c r="F8421" s="4" t="n">
        <v>44</v>
      </c>
      <c r="G8421" s="4" t="n">
        <v>2</v>
      </c>
      <c r="H8421" s="4"/>
      <c r="I8421" s="4" t="str">
        <v/>
      </c>
      <c r="J8421" s="4"/>
      <c r="K8421" s="4"/>
      <c r="L8421" s="4"/>
      <c r="M8421" s="5" t="s">
        <v>5346</v>
      </c>
    </row>
    <row r="8422" customFormat="false" ht="15.75" hidden="false" customHeight="false" outlineLevel="0" collapsed="false">
      <c r="A8422" s="6" t="n">
        <v>46166</v>
      </c>
      <c r="B8422" s="4" t="s">
        <v>13</v>
      </c>
      <c r="C8422" s="4" t="n">
        <v>4</v>
      </c>
      <c r="D8422" s="4" t="n">
        <v>4</v>
      </c>
      <c r="E8422" s="4" t="s">
        <v>2285</v>
      </c>
      <c r="F8422" s="4" t="n">
        <v>8</v>
      </c>
      <c r="G8422" s="4" t="n">
        <v>7</v>
      </c>
      <c r="H8422" s="4" t="n">
        <v>4</v>
      </c>
      <c r="I8422" s="4" t="str">
        <v>×</v>
      </c>
      <c r="J8422" s="4"/>
      <c r="K8422" s="4"/>
      <c r="L8422" s="4"/>
      <c r="M8422" s="5" t="s">
        <v>5346</v>
      </c>
    </row>
    <row r="8423" customFormat="false" ht="15.75" hidden="false" customHeight="false" outlineLevel="0" collapsed="false">
      <c r="A8423" s="6" t="n">
        <v>46166</v>
      </c>
      <c r="B8423" s="4" t="s">
        <v>13</v>
      </c>
      <c r="C8423" s="4" t="n">
        <v>4</v>
      </c>
      <c r="D8423" s="4" t="n">
        <v>5</v>
      </c>
      <c r="E8423" s="4" t="s">
        <v>122</v>
      </c>
      <c r="F8423" s="4" t="n">
        <v>37</v>
      </c>
      <c r="G8423" s="4" t="n">
        <v>3</v>
      </c>
      <c r="H8423" s="4" t="n">
        <v>1</v>
      </c>
      <c r="I8423" s="4" t="str">
        <v>○</v>
      </c>
      <c r="J8423" s="4" t="n">
        <v>160</v>
      </c>
      <c r="K8423" s="4"/>
      <c r="L8423" s="4"/>
      <c r="M8423" s="5" t="s">
        <v>5346</v>
      </c>
    </row>
    <row r="8424" customFormat="false" ht="15.75" hidden="false" customHeight="false" outlineLevel="0" collapsed="false">
      <c r="A8424" s="6" t="n">
        <v>46166</v>
      </c>
      <c r="B8424" s="4" t="s">
        <v>13</v>
      </c>
      <c r="C8424" s="4" t="n">
        <v>4</v>
      </c>
      <c r="D8424" s="4" t="n">
        <v>6</v>
      </c>
      <c r="E8424" s="4" t="s">
        <v>299</v>
      </c>
      <c r="F8424" s="4" t="n">
        <v>6</v>
      </c>
      <c r="G8424" s="4" t="n">
        <v>8</v>
      </c>
      <c r="H8424" s="4" t="n">
        <v>4</v>
      </c>
      <c r="I8424" s="4" t="str">
        <v>×</v>
      </c>
      <c r="J8424" s="4"/>
      <c r="K8424" s="4"/>
      <c r="L8424" s="4"/>
      <c r="M8424" s="5" t="s">
        <v>5346</v>
      </c>
    </row>
    <row r="8425" customFormat="false" ht="15.75" hidden="false" customHeight="false" outlineLevel="0" collapsed="false">
      <c r="A8425" s="6" t="n">
        <v>46166</v>
      </c>
      <c r="B8425" s="4" t="s">
        <v>13</v>
      </c>
      <c r="C8425" s="4" t="n">
        <v>4</v>
      </c>
      <c r="D8425" s="4" t="n">
        <v>7</v>
      </c>
      <c r="E8425" s="4" t="s">
        <v>5747</v>
      </c>
      <c r="F8425" s="4" t="n">
        <v>6</v>
      </c>
      <c r="G8425" s="4" t="n">
        <v>8</v>
      </c>
      <c r="H8425" s="4" t="n">
        <v>4</v>
      </c>
      <c r="I8425" s="4" t="str">
        <v>×</v>
      </c>
      <c r="J8425" s="4"/>
      <c r="K8425" s="4"/>
      <c r="L8425" s="4"/>
      <c r="M8425" s="5" t="s">
        <v>5346</v>
      </c>
    </row>
    <row r="8426" customFormat="false" ht="15.75" hidden="false" customHeight="false" outlineLevel="0" collapsed="false">
      <c r="A8426" s="6" t="n">
        <v>46166</v>
      </c>
      <c r="B8426" s="4" t="s">
        <v>13</v>
      </c>
      <c r="C8426" s="4" t="n">
        <v>4</v>
      </c>
      <c r="D8426" s="4" t="n">
        <v>8</v>
      </c>
      <c r="E8426" s="4" t="s">
        <v>5748</v>
      </c>
      <c r="F8426" s="4" t="n">
        <v>55</v>
      </c>
      <c r="G8426" s="4" t="n">
        <v>1</v>
      </c>
      <c r="H8426" s="4" t="n">
        <v>4</v>
      </c>
      <c r="I8426" s="4" t="str">
        <v>×</v>
      </c>
      <c r="J8426" s="4"/>
      <c r="K8426" s="4"/>
      <c r="L8426" s="4"/>
      <c r="M8426" s="5" t="s">
        <v>5346</v>
      </c>
    </row>
    <row r="8427" customFormat="false" ht="15.75" hidden="false" customHeight="false" outlineLevel="0" collapsed="false">
      <c r="A8427" s="6" t="n">
        <v>46166</v>
      </c>
      <c r="B8427" s="4" t="s">
        <v>13</v>
      </c>
      <c r="C8427" s="4" t="n">
        <v>4</v>
      </c>
      <c r="D8427" s="4" t="n">
        <v>9</v>
      </c>
      <c r="E8427" s="4" t="s">
        <v>5749</v>
      </c>
      <c r="F8427" s="4" t="n">
        <v>37</v>
      </c>
      <c r="G8427" s="4" t="n">
        <v>3</v>
      </c>
      <c r="H8427" s="4" t="n">
        <v>4</v>
      </c>
      <c r="I8427" s="4" t="str">
        <v>×</v>
      </c>
      <c r="J8427" s="4"/>
      <c r="K8427" s="4"/>
      <c r="L8427" s="4"/>
      <c r="M8427" s="5" t="s">
        <v>5346</v>
      </c>
    </row>
    <row r="8428" customFormat="false" ht="15.75" hidden="false" customHeight="false" outlineLevel="0" collapsed="false">
      <c r="A8428" s="6" t="n">
        <v>46166</v>
      </c>
      <c r="B8428" s="4" t="s">
        <v>13</v>
      </c>
      <c r="C8428" s="4" t="n">
        <v>4</v>
      </c>
      <c r="D8428" s="4" t="n">
        <v>10</v>
      </c>
      <c r="E8428" s="4" t="s">
        <v>5750</v>
      </c>
      <c r="F8428" s="4" t="n">
        <v>31</v>
      </c>
      <c r="G8428" s="4" t="n">
        <v>4</v>
      </c>
      <c r="H8428" s="4" t="n">
        <v>3</v>
      </c>
      <c r="I8428" s="4" t="str">
        <v>○</v>
      </c>
      <c r="J8428" s="4" t="n">
        <v>200</v>
      </c>
      <c r="K8428" s="4"/>
      <c r="L8428" s="4"/>
      <c r="M8428" s="5" t="s">
        <v>5346</v>
      </c>
    </row>
    <row r="8429" customFormat="false" ht="15.75" hidden="false" customHeight="false" outlineLevel="0" collapsed="false">
      <c r="A8429" s="6" t="n">
        <v>46166</v>
      </c>
      <c r="B8429" s="4" t="s">
        <v>13</v>
      </c>
      <c r="C8429" s="4" t="n">
        <v>4</v>
      </c>
      <c r="D8429" s="4" t="n">
        <v>11</v>
      </c>
      <c r="E8429" s="4" t="s">
        <v>1564</v>
      </c>
      <c r="F8429" s="4" t="n">
        <v>37</v>
      </c>
      <c r="G8429" s="4" t="n">
        <v>3</v>
      </c>
      <c r="H8429" s="4" t="n">
        <v>4</v>
      </c>
      <c r="I8429" s="4" t="str">
        <v>×</v>
      </c>
      <c r="J8429" s="4"/>
      <c r="K8429" s="4"/>
      <c r="L8429" s="4"/>
      <c r="M8429" s="5" t="s">
        <v>5346</v>
      </c>
    </row>
    <row r="8430" customFormat="false" ht="15.75" hidden="false" customHeight="false" outlineLevel="0" collapsed="false">
      <c r="A8430" s="6" t="n">
        <v>46166</v>
      </c>
      <c r="B8430" s="4" t="s">
        <v>13</v>
      </c>
      <c r="C8430" s="4" t="n">
        <v>4</v>
      </c>
      <c r="D8430" s="4" t="n">
        <v>12</v>
      </c>
      <c r="E8430" s="4" t="s">
        <v>5751</v>
      </c>
      <c r="F8430" s="4" t="n">
        <v>14</v>
      </c>
      <c r="G8430" s="4" t="n">
        <v>6</v>
      </c>
      <c r="H8430" s="4" t="n">
        <v>4</v>
      </c>
      <c r="I8430" s="4" t="str">
        <v>×</v>
      </c>
      <c r="J8430" s="4"/>
      <c r="K8430" s="4"/>
      <c r="L8430" s="4"/>
      <c r="M8430" s="5" t="s">
        <v>5346</v>
      </c>
    </row>
    <row r="8431" customFormat="false" ht="15.75" hidden="false" customHeight="false" outlineLevel="0" collapsed="false">
      <c r="A8431" s="6" t="n">
        <v>46166</v>
      </c>
      <c r="B8431" s="4" t="s">
        <v>13</v>
      </c>
      <c r="C8431" s="4" t="n">
        <v>4</v>
      </c>
      <c r="D8431" s="4" t="n">
        <v>13</v>
      </c>
      <c r="E8431" s="4" t="s">
        <v>2283</v>
      </c>
      <c r="F8431" s="4" t="n">
        <v>6</v>
      </c>
      <c r="G8431" s="4" t="n">
        <v>8</v>
      </c>
      <c r="H8431" s="4" t="n">
        <v>4</v>
      </c>
      <c r="I8431" s="4" t="str">
        <v>×</v>
      </c>
      <c r="J8431" s="4"/>
      <c r="K8431" s="4"/>
      <c r="L8431" s="4"/>
      <c r="M8431" s="5" t="s">
        <v>5346</v>
      </c>
    </row>
    <row r="8432" customFormat="false" ht="15.75" hidden="false" customHeight="false" outlineLevel="0" collapsed="false">
      <c r="A8432" s="6" t="n">
        <v>46166</v>
      </c>
      <c r="B8432" s="4" t="s">
        <v>13</v>
      </c>
      <c r="C8432" s="4" t="n">
        <v>5</v>
      </c>
      <c r="D8432" s="4" t="n">
        <v>1</v>
      </c>
      <c r="E8432" s="4" t="s">
        <v>2588</v>
      </c>
      <c r="F8432" s="4" t="n">
        <v>15</v>
      </c>
      <c r="G8432" s="4" t="n">
        <v>8</v>
      </c>
      <c r="H8432" s="4" t="n">
        <v>4</v>
      </c>
      <c r="I8432" s="4" t="str">
        <v>×</v>
      </c>
      <c r="J8432" s="4"/>
      <c r="K8432" s="4"/>
      <c r="L8432" s="4"/>
      <c r="M8432" s="5" t="s">
        <v>5346</v>
      </c>
    </row>
    <row r="8433" customFormat="false" ht="15.75" hidden="false" customHeight="false" outlineLevel="0" collapsed="false">
      <c r="A8433" s="6" t="n">
        <v>46166</v>
      </c>
      <c r="B8433" s="4" t="s">
        <v>13</v>
      </c>
      <c r="C8433" s="4" t="n">
        <v>5</v>
      </c>
      <c r="D8433" s="4" t="n">
        <v>2</v>
      </c>
      <c r="E8433" s="4" t="s">
        <v>3799</v>
      </c>
      <c r="F8433" s="4" t="n">
        <v>17</v>
      </c>
      <c r="G8433" s="4" t="n">
        <v>7</v>
      </c>
      <c r="H8433" s="4" t="n">
        <v>2</v>
      </c>
      <c r="I8433" s="4" t="str">
        <v>○</v>
      </c>
      <c r="J8433" s="4" t="n">
        <v>260</v>
      </c>
      <c r="K8433" s="4"/>
      <c r="L8433" s="4"/>
      <c r="M8433" s="5" t="s">
        <v>5346</v>
      </c>
    </row>
    <row r="8434" customFormat="false" ht="15.75" hidden="false" customHeight="false" outlineLevel="0" collapsed="false">
      <c r="A8434" s="6" t="n">
        <v>46166</v>
      </c>
      <c r="B8434" s="4" t="s">
        <v>13</v>
      </c>
      <c r="C8434" s="4" t="n">
        <v>5</v>
      </c>
      <c r="D8434" s="4" t="n">
        <v>3</v>
      </c>
      <c r="E8434" s="4" t="s">
        <v>5264</v>
      </c>
      <c r="F8434" s="4" t="n">
        <v>23</v>
      </c>
      <c r="G8434" s="4" t="n">
        <v>5</v>
      </c>
      <c r="H8434" s="4" t="n">
        <v>4</v>
      </c>
      <c r="I8434" s="4" t="str">
        <v>×</v>
      </c>
      <c r="J8434" s="4"/>
      <c r="K8434" s="4"/>
      <c r="L8434" s="4"/>
      <c r="M8434" s="5" t="s">
        <v>5346</v>
      </c>
    </row>
    <row r="8435" customFormat="false" ht="15.75" hidden="false" customHeight="false" outlineLevel="0" collapsed="false">
      <c r="A8435" s="6" t="n">
        <v>46166</v>
      </c>
      <c r="B8435" s="4" t="s">
        <v>13</v>
      </c>
      <c r="C8435" s="4" t="n">
        <v>5</v>
      </c>
      <c r="D8435" s="4" t="n">
        <v>4</v>
      </c>
      <c r="E8435" s="4" t="s">
        <v>5752</v>
      </c>
      <c r="F8435" s="4" t="n">
        <v>47</v>
      </c>
      <c r="G8435" s="4" t="n">
        <v>2</v>
      </c>
      <c r="H8435" s="4" t="n">
        <v>4</v>
      </c>
      <c r="I8435" s="4" t="str">
        <v>×</v>
      </c>
      <c r="J8435" s="4"/>
      <c r="K8435" s="4"/>
      <c r="L8435" s="4"/>
      <c r="M8435" s="5" t="s">
        <v>5346</v>
      </c>
    </row>
    <row r="8436" customFormat="false" ht="15.75" hidden="false" customHeight="false" outlineLevel="0" collapsed="false">
      <c r="A8436" s="6" t="n">
        <v>46166</v>
      </c>
      <c r="B8436" s="4" t="s">
        <v>13</v>
      </c>
      <c r="C8436" s="4" t="n">
        <v>5</v>
      </c>
      <c r="D8436" s="4" t="n">
        <v>5</v>
      </c>
      <c r="E8436" s="4" t="s">
        <v>5753</v>
      </c>
      <c r="F8436" s="4" t="n">
        <v>3</v>
      </c>
      <c r="G8436" s="4" t="n">
        <v>10</v>
      </c>
      <c r="H8436" s="4" t="n">
        <v>4</v>
      </c>
      <c r="I8436" s="4" t="str">
        <v>×</v>
      </c>
      <c r="J8436" s="4"/>
      <c r="K8436" s="4"/>
      <c r="L8436" s="4"/>
      <c r="M8436" s="5" t="s">
        <v>5346</v>
      </c>
    </row>
    <row r="8437" customFormat="false" ht="15.75" hidden="false" customHeight="false" outlineLevel="0" collapsed="false">
      <c r="A8437" s="6" t="n">
        <v>46166</v>
      </c>
      <c r="B8437" s="4" t="s">
        <v>13</v>
      </c>
      <c r="C8437" s="4" t="n">
        <v>5</v>
      </c>
      <c r="D8437" s="4" t="n">
        <v>6</v>
      </c>
      <c r="E8437" s="4" t="s">
        <v>5754</v>
      </c>
      <c r="F8437" s="4" t="n">
        <v>2</v>
      </c>
      <c r="G8437" s="4" t="n">
        <v>11</v>
      </c>
      <c r="H8437" s="4" t="n">
        <v>4</v>
      </c>
      <c r="I8437" s="4" t="str">
        <v>×</v>
      </c>
      <c r="J8437" s="4"/>
      <c r="K8437" s="4"/>
      <c r="L8437" s="4"/>
      <c r="M8437" s="5" t="s">
        <v>5346</v>
      </c>
    </row>
    <row r="8438" customFormat="false" ht="15.75" hidden="false" customHeight="false" outlineLevel="0" collapsed="false">
      <c r="A8438" s="6" t="n">
        <v>46166</v>
      </c>
      <c r="B8438" s="4" t="s">
        <v>13</v>
      </c>
      <c r="C8438" s="4" t="n">
        <v>5</v>
      </c>
      <c r="D8438" s="4" t="n">
        <v>7</v>
      </c>
      <c r="E8438" s="4" t="s">
        <v>3431</v>
      </c>
      <c r="F8438" s="4" t="n">
        <v>17</v>
      </c>
      <c r="G8438" s="4" t="n">
        <v>7</v>
      </c>
      <c r="H8438" s="4" t="n">
        <v>4</v>
      </c>
      <c r="I8438" s="4" t="str">
        <v>×</v>
      </c>
      <c r="J8438" s="4"/>
      <c r="K8438" s="4"/>
      <c r="L8438" s="4"/>
      <c r="M8438" s="5" t="s">
        <v>5346</v>
      </c>
    </row>
    <row r="8439" customFormat="false" ht="15.75" hidden="false" customHeight="false" outlineLevel="0" collapsed="false">
      <c r="A8439" s="6" t="n">
        <v>46166</v>
      </c>
      <c r="B8439" s="4" t="s">
        <v>13</v>
      </c>
      <c r="C8439" s="4" t="n">
        <v>5</v>
      </c>
      <c r="D8439" s="4" t="n">
        <v>8</v>
      </c>
      <c r="E8439" s="4" t="s">
        <v>628</v>
      </c>
      <c r="F8439" s="4" t="n">
        <v>17</v>
      </c>
      <c r="G8439" s="4" t="n">
        <v>7</v>
      </c>
      <c r="H8439" s="4" t="n">
        <v>4</v>
      </c>
      <c r="I8439" s="4" t="str">
        <v>×</v>
      </c>
      <c r="J8439" s="4"/>
      <c r="K8439" s="4"/>
      <c r="L8439" s="4"/>
      <c r="M8439" s="5" t="s">
        <v>5346</v>
      </c>
    </row>
    <row r="8440" customFormat="false" ht="15.75" hidden="false" customHeight="false" outlineLevel="0" collapsed="false">
      <c r="A8440" s="6" t="n">
        <v>46166</v>
      </c>
      <c r="B8440" s="4" t="s">
        <v>13</v>
      </c>
      <c r="C8440" s="4" t="n">
        <v>5</v>
      </c>
      <c r="D8440" s="4" t="n">
        <v>9</v>
      </c>
      <c r="E8440" s="4" t="s">
        <v>1170</v>
      </c>
      <c r="F8440" s="4" t="n">
        <v>20</v>
      </c>
      <c r="G8440" s="4" t="n">
        <v>6</v>
      </c>
      <c r="H8440" s="4" t="n">
        <v>4</v>
      </c>
      <c r="I8440" s="4" t="str">
        <v>×</v>
      </c>
      <c r="J8440" s="4"/>
      <c r="K8440" s="4"/>
      <c r="L8440" s="4"/>
      <c r="M8440" s="5" t="s">
        <v>5346</v>
      </c>
    </row>
    <row r="8441" customFormat="false" ht="15.75" hidden="false" customHeight="false" outlineLevel="0" collapsed="false">
      <c r="A8441" s="6" t="n">
        <v>46166</v>
      </c>
      <c r="B8441" s="4" t="s">
        <v>13</v>
      </c>
      <c r="C8441" s="4" t="n">
        <v>5</v>
      </c>
      <c r="D8441" s="4" t="n">
        <v>10</v>
      </c>
      <c r="E8441" s="4" t="s">
        <v>1757</v>
      </c>
      <c r="F8441" s="4" t="n">
        <v>15</v>
      </c>
      <c r="G8441" s="4" t="n">
        <v>8</v>
      </c>
      <c r="H8441" s="4" t="n">
        <v>4</v>
      </c>
      <c r="I8441" s="4" t="str">
        <v>×</v>
      </c>
      <c r="J8441" s="4"/>
      <c r="K8441" s="4"/>
      <c r="L8441" s="4"/>
      <c r="M8441" s="5" t="s">
        <v>5346</v>
      </c>
    </row>
    <row r="8442" customFormat="false" ht="15.75" hidden="false" customHeight="false" outlineLevel="0" collapsed="false">
      <c r="A8442" s="6" t="n">
        <v>46166</v>
      </c>
      <c r="B8442" s="4" t="s">
        <v>13</v>
      </c>
      <c r="C8442" s="4" t="n">
        <v>5</v>
      </c>
      <c r="D8442" s="4" t="n">
        <v>11</v>
      </c>
      <c r="E8442" s="4" t="s">
        <v>5755</v>
      </c>
      <c r="F8442" s="4" t="n">
        <v>10</v>
      </c>
      <c r="G8442" s="4" t="n">
        <v>9</v>
      </c>
      <c r="H8442" s="4" t="n">
        <v>4</v>
      </c>
      <c r="I8442" s="4" t="str">
        <v>×</v>
      </c>
      <c r="J8442" s="4"/>
      <c r="K8442" s="4"/>
      <c r="L8442" s="4"/>
      <c r="M8442" s="5" t="s">
        <v>5346</v>
      </c>
    </row>
    <row r="8443" customFormat="false" ht="15.75" hidden="false" customHeight="false" outlineLevel="0" collapsed="false">
      <c r="A8443" s="6" t="n">
        <v>46166</v>
      </c>
      <c r="B8443" s="4" t="s">
        <v>13</v>
      </c>
      <c r="C8443" s="4" t="n">
        <v>5</v>
      </c>
      <c r="D8443" s="4" t="n">
        <v>12</v>
      </c>
      <c r="E8443" s="4" t="s">
        <v>1611</v>
      </c>
      <c r="F8443" s="4" t="n">
        <v>34</v>
      </c>
      <c r="G8443" s="4" t="n">
        <v>4</v>
      </c>
      <c r="H8443" s="4" t="n">
        <v>3</v>
      </c>
      <c r="I8443" s="4" t="str">
        <v>○</v>
      </c>
      <c r="J8443" s="4" t="n">
        <v>200</v>
      </c>
      <c r="K8443" s="4"/>
      <c r="L8443" s="4"/>
      <c r="M8443" s="5" t="s">
        <v>5346</v>
      </c>
    </row>
    <row r="8444" customFormat="false" ht="15.75" hidden="false" customHeight="false" outlineLevel="0" collapsed="false">
      <c r="A8444" s="6" t="n">
        <v>46166</v>
      </c>
      <c r="B8444" s="4" t="s">
        <v>13</v>
      </c>
      <c r="C8444" s="4" t="n">
        <v>5</v>
      </c>
      <c r="D8444" s="4" t="n">
        <v>13</v>
      </c>
      <c r="E8444" s="4" t="s">
        <v>652</v>
      </c>
      <c r="F8444" s="4" t="n">
        <v>52</v>
      </c>
      <c r="G8444" s="4" t="n">
        <v>1</v>
      </c>
      <c r="H8444" s="4" t="n">
        <v>4</v>
      </c>
      <c r="I8444" s="4" t="str">
        <v>×</v>
      </c>
      <c r="J8444" s="4"/>
      <c r="K8444" s="4"/>
      <c r="L8444" s="4"/>
      <c r="M8444" s="5" t="s">
        <v>5346</v>
      </c>
    </row>
    <row r="8445" customFormat="false" ht="15.75" hidden="false" customHeight="false" outlineLevel="0" collapsed="false">
      <c r="A8445" s="6" t="n">
        <v>46166</v>
      </c>
      <c r="B8445" s="4" t="s">
        <v>13</v>
      </c>
      <c r="C8445" s="4" t="n">
        <v>5</v>
      </c>
      <c r="D8445" s="4" t="n">
        <v>14</v>
      </c>
      <c r="E8445" s="4" t="s">
        <v>4089</v>
      </c>
      <c r="F8445" s="4" t="n">
        <v>23</v>
      </c>
      <c r="G8445" s="4" t="n">
        <v>5</v>
      </c>
      <c r="H8445" s="4" t="n">
        <v>4</v>
      </c>
      <c r="I8445" s="4" t="str">
        <v>×</v>
      </c>
      <c r="J8445" s="4"/>
      <c r="K8445" s="4"/>
      <c r="L8445" s="4"/>
      <c r="M8445" s="5" t="s">
        <v>5346</v>
      </c>
    </row>
    <row r="8446" customFormat="false" ht="15.75" hidden="false" customHeight="false" outlineLevel="0" collapsed="false">
      <c r="A8446" s="6" t="n">
        <v>46166</v>
      </c>
      <c r="B8446" s="4" t="s">
        <v>13</v>
      </c>
      <c r="C8446" s="4" t="n">
        <v>5</v>
      </c>
      <c r="D8446" s="4" t="n">
        <v>15</v>
      </c>
      <c r="E8446" s="4" t="s">
        <v>3771</v>
      </c>
      <c r="F8446" s="4" t="n">
        <v>44</v>
      </c>
      <c r="G8446" s="4" t="n">
        <v>3</v>
      </c>
      <c r="H8446" s="4" t="n">
        <v>1</v>
      </c>
      <c r="I8446" s="4" t="str">
        <v>○</v>
      </c>
      <c r="J8446" s="4" t="n">
        <v>180</v>
      </c>
      <c r="K8446" s="4"/>
      <c r="L8446" s="4"/>
      <c r="M8446" s="5" t="s">
        <v>5346</v>
      </c>
    </row>
    <row r="8447" customFormat="false" ht="15.75" hidden="false" customHeight="false" outlineLevel="0" collapsed="false">
      <c r="A8447" s="6" t="n">
        <v>46166</v>
      </c>
      <c r="B8447" s="4" t="s">
        <v>13</v>
      </c>
      <c r="C8447" s="4" t="n">
        <v>5</v>
      </c>
      <c r="D8447" s="4" t="n">
        <v>16</v>
      </c>
      <c r="E8447" s="4" t="s">
        <v>3732</v>
      </c>
      <c r="F8447" s="4" t="n">
        <v>20</v>
      </c>
      <c r="G8447" s="4" t="n">
        <v>6</v>
      </c>
      <c r="H8447" s="4" t="n">
        <v>4</v>
      </c>
      <c r="I8447" s="4" t="str">
        <v>×</v>
      </c>
      <c r="J8447" s="4"/>
      <c r="K8447" s="4"/>
      <c r="L8447" s="4"/>
      <c r="M8447" s="5" t="s">
        <v>5346</v>
      </c>
    </row>
    <row r="8448" customFormat="false" ht="15.75" hidden="false" customHeight="false" outlineLevel="0" collapsed="false">
      <c r="A8448" s="6" t="n">
        <v>46166</v>
      </c>
      <c r="B8448" s="4" t="s">
        <v>13</v>
      </c>
      <c r="C8448" s="4" t="n">
        <v>6</v>
      </c>
      <c r="D8448" s="4" t="n">
        <v>1</v>
      </c>
      <c r="E8448" s="4" t="s">
        <v>5131</v>
      </c>
      <c r="F8448" s="4" t="n">
        <v>13</v>
      </c>
      <c r="G8448" s="4" t="n">
        <v>7</v>
      </c>
      <c r="H8448" s="4" t="n">
        <v>4</v>
      </c>
      <c r="I8448" s="4" t="str">
        <v>×</v>
      </c>
      <c r="J8448" s="4"/>
      <c r="K8448" s="4"/>
      <c r="L8448" s="4"/>
      <c r="M8448" s="5" t="s">
        <v>5346</v>
      </c>
    </row>
    <row r="8449" customFormat="false" ht="15.75" hidden="false" customHeight="false" outlineLevel="0" collapsed="false">
      <c r="A8449" s="6" t="n">
        <v>46166</v>
      </c>
      <c r="B8449" s="4" t="s">
        <v>13</v>
      </c>
      <c r="C8449" s="4" t="n">
        <v>6</v>
      </c>
      <c r="D8449" s="4" t="n">
        <v>2</v>
      </c>
      <c r="E8449" s="4" t="s">
        <v>5756</v>
      </c>
      <c r="F8449" s="4" t="n">
        <v>34</v>
      </c>
      <c r="G8449" s="4" t="n">
        <v>4</v>
      </c>
      <c r="H8449" s="4" t="n">
        <v>1</v>
      </c>
      <c r="I8449" s="4" t="str">
        <v>○</v>
      </c>
      <c r="J8449" s="4" t="n">
        <v>170</v>
      </c>
      <c r="K8449" s="4"/>
      <c r="L8449" s="4"/>
      <c r="M8449" s="5" t="s">
        <v>5346</v>
      </c>
    </row>
    <row r="8450" customFormat="false" ht="15.75" hidden="false" customHeight="false" outlineLevel="0" collapsed="false">
      <c r="A8450" s="6" t="n">
        <v>46166</v>
      </c>
      <c r="B8450" s="4" t="s">
        <v>13</v>
      </c>
      <c r="C8450" s="4" t="n">
        <v>6</v>
      </c>
      <c r="D8450" s="4" t="n">
        <v>3</v>
      </c>
      <c r="E8450" s="4" t="s">
        <v>5757</v>
      </c>
      <c r="F8450" s="4" t="n">
        <v>8</v>
      </c>
      <c r="G8450" s="4" t="n">
        <v>9</v>
      </c>
      <c r="H8450" s="4" t="n">
        <v>4</v>
      </c>
      <c r="I8450" s="4" t="str">
        <v>×</v>
      </c>
      <c r="J8450" s="4"/>
      <c r="K8450" s="4"/>
      <c r="L8450" s="4"/>
      <c r="M8450" s="5" t="s">
        <v>5346</v>
      </c>
    </row>
    <row r="8451" customFormat="false" ht="15.75" hidden="false" customHeight="false" outlineLevel="0" collapsed="false">
      <c r="A8451" s="6" t="n">
        <v>46166</v>
      </c>
      <c r="B8451" s="4" t="s">
        <v>13</v>
      </c>
      <c r="C8451" s="4" t="n">
        <v>6</v>
      </c>
      <c r="D8451" s="4" t="n">
        <v>4</v>
      </c>
      <c r="E8451" s="4" t="s">
        <v>352</v>
      </c>
      <c r="F8451" s="4" t="n">
        <v>39</v>
      </c>
      <c r="G8451" s="4" t="n">
        <v>3</v>
      </c>
      <c r="H8451" s="4" t="n">
        <v>4</v>
      </c>
      <c r="I8451" s="4" t="str">
        <v>×</v>
      </c>
      <c r="J8451" s="4"/>
      <c r="K8451" s="4"/>
      <c r="L8451" s="4"/>
      <c r="M8451" s="5" t="s">
        <v>5346</v>
      </c>
    </row>
    <row r="8452" customFormat="false" ht="15.75" hidden="false" customHeight="false" outlineLevel="0" collapsed="false">
      <c r="A8452" s="6" t="n">
        <v>46166</v>
      </c>
      <c r="B8452" s="4" t="s">
        <v>13</v>
      </c>
      <c r="C8452" s="4" t="n">
        <v>6</v>
      </c>
      <c r="D8452" s="4" t="n">
        <v>5</v>
      </c>
      <c r="E8452" s="4" t="s">
        <v>5251</v>
      </c>
      <c r="F8452" s="4" t="n">
        <v>10</v>
      </c>
      <c r="G8452" s="4" t="n">
        <v>8</v>
      </c>
      <c r="H8452" s="4" t="n">
        <v>4</v>
      </c>
      <c r="I8452" s="4" t="str">
        <v>×</v>
      </c>
      <c r="J8452" s="4"/>
      <c r="K8452" s="4"/>
      <c r="L8452" s="4"/>
      <c r="M8452" s="5" t="s">
        <v>5346</v>
      </c>
    </row>
    <row r="8453" customFormat="false" ht="15.75" hidden="false" customHeight="false" outlineLevel="0" collapsed="false">
      <c r="A8453" s="6" t="n">
        <v>46166</v>
      </c>
      <c r="B8453" s="4" t="s">
        <v>13</v>
      </c>
      <c r="C8453" s="4" t="n">
        <v>6</v>
      </c>
      <c r="D8453" s="4" t="n">
        <v>6</v>
      </c>
      <c r="E8453" s="4" t="s">
        <v>1629</v>
      </c>
      <c r="F8453" s="4" t="n">
        <v>56</v>
      </c>
      <c r="G8453" s="4" t="n">
        <v>2</v>
      </c>
      <c r="H8453" s="4" t="n">
        <v>3</v>
      </c>
      <c r="I8453" s="4" t="str">
        <v>○</v>
      </c>
      <c r="J8453" s="4" t="n">
        <v>130</v>
      </c>
      <c r="K8453" s="4"/>
      <c r="L8453" s="4"/>
      <c r="M8453" s="5" t="s">
        <v>5346</v>
      </c>
    </row>
    <row r="8454" customFormat="false" ht="15.75" hidden="false" customHeight="false" outlineLevel="0" collapsed="false">
      <c r="A8454" s="6" t="n">
        <v>46166</v>
      </c>
      <c r="B8454" s="4" t="s">
        <v>13</v>
      </c>
      <c r="C8454" s="4" t="n">
        <v>6</v>
      </c>
      <c r="D8454" s="4" t="n">
        <v>7</v>
      </c>
      <c r="E8454" s="4" t="s">
        <v>4425</v>
      </c>
      <c r="F8454" s="4" t="n">
        <v>81</v>
      </c>
      <c r="G8454" s="4" t="n">
        <v>1</v>
      </c>
      <c r="H8454" s="4" t="n">
        <v>2</v>
      </c>
      <c r="I8454" s="4" t="str">
        <v>○</v>
      </c>
      <c r="J8454" s="4" t="n">
        <v>110</v>
      </c>
      <c r="K8454" s="4"/>
      <c r="L8454" s="4"/>
      <c r="M8454" s="5" t="s">
        <v>5346</v>
      </c>
    </row>
    <row r="8455" customFormat="false" ht="15.75" hidden="false" customHeight="false" outlineLevel="0" collapsed="false">
      <c r="A8455" s="6" t="n">
        <v>46166</v>
      </c>
      <c r="B8455" s="4" t="s">
        <v>13</v>
      </c>
      <c r="C8455" s="4" t="n">
        <v>6</v>
      </c>
      <c r="D8455" s="4" t="n">
        <v>8</v>
      </c>
      <c r="E8455" s="4" t="s">
        <v>5758</v>
      </c>
      <c r="F8455" s="4" t="n">
        <v>10</v>
      </c>
      <c r="G8455" s="4" t="n">
        <v>8</v>
      </c>
      <c r="H8455" s="4" t="n">
        <v>4</v>
      </c>
      <c r="I8455" s="4" t="str">
        <v>×</v>
      </c>
      <c r="J8455" s="4"/>
      <c r="K8455" s="4"/>
      <c r="L8455" s="4"/>
      <c r="M8455" s="5" t="s">
        <v>5346</v>
      </c>
    </row>
    <row r="8456" customFormat="false" ht="15.75" hidden="false" customHeight="false" outlineLevel="0" collapsed="false">
      <c r="A8456" s="6" t="n">
        <v>46166</v>
      </c>
      <c r="B8456" s="4" t="s">
        <v>13</v>
      </c>
      <c r="C8456" s="4" t="n">
        <v>6</v>
      </c>
      <c r="D8456" s="4" t="n">
        <v>9</v>
      </c>
      <c r="E8456" s="4" t="s">
        <v>5005</v>
      </c>
      <c r="F8456" s="4" t="n">
        <v>6</v>
      </c>
      <c r="G8456" s="4" t="n">
        <v>10</v>
      </c>
      <c r="H8456" s="4" t="n">
        <v>4</v>
      </c>
      <c r="I8456" s="4" t="str">
        <v>×</v>
      </c>
      <c r="J8456" s="4"/>
      <c r="K8456" s="4"/>
      <c r="L8456" s="4"/>
      <c r="M8456" s="5" t="s">
        <v>5346</v>
      </c>
    </row>
    <row r="8457" customFormat="false" ht="15.75" hidden="false" customHeight="false" outlineLevel="0" collapsed="false">
      <c r="A8457" s="6" t="n">
        <v>46166</v>
      </c>
      <c r="B8457" s="4" t="s">
        <v>13</v>
      </c>
      <c r="C8457" s="4" t="n">
        <v>6</v>
      </c>
      <c r="D8457" s="4" t="n">
        <v>10</v>
      </c>
      <c r="E8457" s="4" t="s">
        <v>4997</v>
      </c>
      <c r="F8457" s="4" t="n">
        <v>29</v>
      </c>
      <c r="G8457" s="4" t="n">
        <v>5</v>
      </c>
      <c r="H8457" s="4" t="n">
        <v>4</v>
      </c>
      <c r="I8457" s="4" t="str">
        <v>×</v>
      </c>
      <c r="J8457" s="4"/>
      <c r="K8457" s="4"/>
      <c r="L8457" s="4"/>
      <c r="M8457" s="5" t="s">
        <v>5346</v>
      </c>
    </row>
    <row r="8458" customFormat="false" ht="15.75" hidden="false" customHeight="false" outlineLevel="0" collapsed="false">
      <c r="A8458" s="6" t="n">
        <v>46166</v>
      </c>
      <c r="B8458" s="4" t="s">
        <v>13</v>
      </c>
      <c r="C8458" s="4" t="n">
        <v>6</v>
      </c>
      <c r="D8458" s="4" t="n">
        <v>11</v>
      </c>
      <c r="E8458" s="4" t="s">
        <v>5759</v>
      </c>
      <c r="F8458" s="4" t="n">
        <v>8</v>
      </c>
      <c r="G8458" s="4" t="n">
        <v>9</v>
      </c>
      <c r="H8458" s="4" t="n">
        <v>4</v>
      </c>
      <c r="I8458" s="4" t="str">
        <v>×</v>
      </c>
      <c r="J8458" s="4"/>
      <c r="K8458" s="4"/>
      <c r="L8458" s="4"/>
      <c r="M8458" s="5" t="s">
        <v>5346</v>
      </c>
    </row>
    <row r="8459" customFormat="false" ht="15.75" hidden="false" customHeight="false" outlineLevel="0" collapsed="false">
      <c r="A8459" s="6" t="n">
        <v>46166</v>
      </c>
      <c r="B8459" s="4" t="s">
        <v>13</v>
      </c>
      <c r="C8459" s="4" t="n">
        <v>6</v>
      </c>
      <c r="D8459" s="4" t="n">
        <v>12</v>
      </c>
      <c r="E8459" s="4" t="s">
        <v>5760</v>
      </c>
      <c r="F8459" s="4" t="n">
        <v>25</v>
      </c>
      <c r="G8459" s="4" t="n">
        <v>6</v>
      </c>
      <c r="H8459" s="4" t="n">
        <v>4</v>
      </c>
      <c r="I8459" s="4" t="str">
        <v>×</v>
      </c>
      <c r="J8459" s="4"/>
      <c r="K8459" s="4"/>
      <c r="L8459" s="4"/>
      <c r="M8459" s="5" t="s">
        <v>5346</v>
      </c>
    </row>
    <row r="8460" customFormat="false" ht="15.75" hidden="false" customHeight="false" outlineLevel="0" collapsed="false">
      <c r="A8460" s="6" t="n">
        <v>46166</v>
      </c>
      <c r="B8460" s="4" t="s">
        <v>13</v>
      </c>
      <c r="C8460" s="4" t="n">
        <v>7</v>
      </c>
      <c r="D8460" s="4" t="n">
        <v>1</v>
      </c>
      <c r="E8460" s="4" t="s">
        <v>1083</v>
      </c>
      <c r="F8460" s="4" t="n">
        <v>13</v>
      </c>
      <c r="G8460" s="4" t="n">
        <v>8</v>
      </c>
      <c r="H8460" s="4" t="n">
        <v>4</v>
      </c>
      <c r="I8460" s="4" t="str">
        <v>×</v>
      </c>
      <c r="J8460" s="4"/>
      <c r="K8460" s="4"/>
      <c r="L8460" s="4"/>
      <c r="M8460" s="5" t="s">
        <v>5346</v>
      </c>
    </row>
    <row r="8461" customFormat="false" ht="15.75" hidden="false" customHeight="false" outlineLevel="0" collapsed="false">
      <c r="A8461" s="6" t="n">
        <v>46166</v>
      </c>
      <c r="B8461" s="4" t="s">
        <v>13</v>
      </c>
      <c r="C8461" s="4" t="n">
        <v>7</v>
      </c>
      <c r="D8461" s="4" t="n">
        <v>2</v>
      </c>
      <c r="E8461" s="4" t="s">
        <v>4670</v>
      </c>
      <c r="F8461" s="4" t="n">
        <v>20</v>
      </c>
      <c r="G8461" s="4" t="n">
        <v>6</v>
      </c>
      <c r="H8461" s="4" t="n">
        <v>4</v>
      </c>
      <c r="I8461" s="4" t="str">
        <v>×</v>
      </c>
      <c r="J8461" s="4"/>
      <c r="K8461" s="4"/>
      <c r="L8461" s="4"/>
      <c r="M8461" s="5" t="s">
        <v>5346</v>
      </c>
    </row>
    <row r="8462" customFormat="false" ht="15.75" hidden="false" customHeight="false" outlineLevel="0" collapsed="false">
      <c r="A8462" s="6" t="n">
        <v>46166</v>
      </c>
      <c r="B8462" s="4" t="s">
        <v>13</v>
      </c>
      <c r="C8462" s="4" t="n">
        <v>7</v>
      </c>
      <c r="D8462" s="4" t="n">
        <v>3</v>
      </c>
      <c r="E8462" s="4" t="s">
        <v>3527</v>
      </c>
      <c r="F8462" s="4" t="n">
        <v>25</v>
      </c>
      <c r="G8462" s="4" t="n">
        <v>5</v>
      </c>
      <c r="H8462" s="4" t="n">
        <v>4</v>
      </c>
      <c r="I8462" s="4" t="str">
        <v>×</v>
      </c>
      <c r="J8462" s="4"/>
      <c r="K8462" s="4"/>
      <c r="L8462" s="4"/>
      <c r="M8462" s="5" t="s">
        <v>5346</v>
      </c>
    </row>
    <row r="8463" customFormat="false" ht="15.75" hidden="false" customHeight="false" outlineLevel="0" collapsed="false">
      <c r="A8463" s="6" t="n">
        <v>46166</v>
      </c>
      <c r="B8463" s="4" t="s">
        <v>13</v>
      </c>
      <c r="C8463" s="4" t="n">
        <v>7</v>
      </c>
      <c r="D8463" s="4" t="n">
        <v>4</v>
      </c>
      <c r="E8463" s="4" t="s">
        <v>5761</v>
      </c>
      <c r="F8463" s="4" t="n">
        <v>10</v>
      </c>
      <c r="G8463" s="4" t="n">
        <v>9</v>
      </c>
      <c r="H8463" s="4" t="n">
        <v>4</v>
      </c>
      <c r="I8463" s="4" t="str">
        <v>×</v>
      </c>
      <c r="J8463" s="4"/>
      <c r="K8463" s="4"/>
      <c r="L8463" s="4"/>
      <c r="M8463" s="5" t="s">
        <v>5346</v>
      </c>
    </row>
    <row r="8464" customFormat="false" ht="15.75" hidden="false" customHeight="false" outlineLevel="0" collapsed="false">
      <c r="A8464" s="6" t="n">
        <v>46166</v>
      </c>
      <c r="B8464" s="4" t="s">
        <v>13</v>
      </c>
      <c r="C8464" s="4" t="n">
        <v>7</v>
      </c>
      <c r="D8464" s="4" t="n">
        <v>5</v>
      </c>
      <c r="E8464" s="4" t="s">
        <v>5276</v>
      </c>
      <c r="F8464" s="4" t="n">
        <v>15</v>
      </c>
      <c r="G8464" s="4" t="n">
        <v>7</v>
      </c>
      <c r="H8464" s="4" t="n">
        <v>4</v>
      </c>
      <c r="I8464" s="4" t="str">
        <v>×</v>
      </c>
      <c r="J8464" s="4"/>
      <c r="K8464" s="4"/>
      <c r="L8464" s="4"/>
      <c r="M8464" s="5" t="s">
        <v>5346</v>
      </c>
    </row>
    <row r="8465" customFormat="false" ht="15.75" hidden="false" customHeight="false" outlineLevel="0" collapsed="false">
      <c r="A8465" s="6" t="n">
        <v>46166</v>
      </c>
      <c r="B8465" s="4" t="s">
        <v>13</v>
      </c>
      <c r="C8465" s="4" t="n">
        <v>7</v>
      </c>
      <c r="D8465" s="4" t="n">
        <v>6</v>
      </c>
      <c r="E8465" s="4" t="s">
        <v>5762</v>
      </c>
      <c r="F8465" s="4" t="n">
        <v>1</v>
      </c>
      <c r="G8465" s="4" t="n">
        <v>11</v>
      </c>
      <c r="H8465" s="4" t="n">
        <v>4</v>
      </c>
      <c r="I8465" s="4" t="str">
        <v>×</v>
      </c>
      <c r="J8465" s="4"/>
      <c r="K8465" s="4"/>
      <c r="L8465" s="4"/>
      <c r="M8465" s="5" t="s">
        <v>5346</v>
      </c>
    </row>
    <row r="8466" customFormat="false" ht="15.75" hidden="false" customHeight="false" outlineLevel="0" collapsed="false">
      <c r="A8466" s="6" t="n">
        <v>46166</v>
      </c>
      <c r="B8466" s="4" t="s">
        <v>13</v>
      </c>
      <c r="C8466" s="4" t="n">
        <v>7</v>
      </c>
      <c r="D8466" s="4" t="n">
        <v>7</v>
      </c>
      <c r="E8466" s="4" t="s">
        <v>1958</v>
      </c>
      <c r="F8466" s="4" t="n">
        <v>34</v>
      </c>
      <c r="G8466" s="4" t="n">
        <v>4</v>
      </c>
      <c r="H8466" s="4" t="n">
        <v>4</v>
      </c>
      <c r="I8466" s="4" t="str">
        <v>×</v>
      </c>
      <c r="J8466" s="4"/>
      <c r="K8466" s="4"/>
      <c r="L8466" s="4"/>
      <c r="M8466" s="5" t="s">
        <v>5346</v>
      </c>
    </row>
    <row r="8467" customFormat="false" ht="15.75" hidden="false" customHeight="false" outlineLevel="0" collapsed="false">
      <c r="A8467" s="6" t="n">
        <v>46166</v>
      </c>
      <c r="B8467" s="4" t="s">
        <v>13</v>
      </c>
      <c r="C8467" s="4" t="n">
        <v>7</v>
      </c>
      <c r="D8467" s="4" t="n">
        <v>8</v>
      </c>
      <c r="E8467" s="4" t="s">
        <v>5763</v>
      </c>
      <c r="F8467" s="4" t="n">
        <v>37</v>
      </c>
      <c r="G8467" s="4" t="n">
        <v>3</v>
      </c>
      <c r="H8467" s="4" t="n">
        <v>4</v>
      </c>
      <c r="I8467" s="4" t="str">
        <v>×</v>
      </c>
      <c r="J8467" s="4"/>
      <c r="K8467" s="4"/>
      <c r="L8467" s="4"/>
      <c r="M8467" s="5" t="s">
        <v>5346</v>
      </c>
    </row>
    <row r="8468" customFormat="false" ht="15.75" hidden="false" customHeight="false" outlineLevel="0" collapsed="false">
      <c r="A8468" s="6" t="n">
        <v>46166</v>
      </c>
      <c r="B8468" s="4" t="s">
        <v>13</v>
      </c>
      <c r="C8468" s="4" t="n">
        <v>7</v>
      </c>
      <c r="D8468" s="4" t="n">
        <v>9</v>
      </c>
      <c r="E8468" s="4" t="s">
        <v>3665</v>
      </c>
      <c r="F8468" s="4" t="n">
        <v>25</v>
      </c>
      <c r="G8468" s="4" t="n">
        <v>5</v>
      </c>
      <c r="H8468" s="4" t="n">
        <v>4</v>
      </c>
      <c r="I8468" s="4" t="str">
        <v>×</v>
      </c>
      <c r="J8468" s="4"/>
      <c r="K8468" s="4"/>
      <c r="L8468" s="4"/>
      <c r="M8468" s="5" t="s">
        <v>5346</v>
      </c>
    </row>
    <row r="8469" customFormat="false" ht="15.75" hidden="false" customHeight="false" outlineLevel="0" collapsed="false">
      <c r="A8469" s="6" t="n">
        <v>46166</v>
      </c>
      <c r="B8469" s="4" t="s">
        <v>13</v>
      </c>
      <c r="C8469" s="4" t="n">
        <v>7</v>
      </c>
      <c r="D8469" s="4" t="n">
        <v>10</v>
      </c>
      <c r="E8469" s="4" t="s">
        <v>1646</v>
      </c>
      <c r="F8469" s="4" t="n">
        <v>50</v>
      </c>
      <c r="G8469" s="4" t="n">
        <v>2</v>
      </c>
      <c r="H8469" s="4" t="n">
        <v>3</v>
      </c>
      <c r="I8469" s="4" t="str">
        <v>○</v>
      </c>
      <c r="J8469" s="4" t="n">
        <v>170</v>
      </c>
      <c r="K8469" s="4"/>
      <c r="L8469" s="4"/>
      <c r="M8469" s="5" t="s">
        <v>5346</v>
      </c>
    </row>
    <row r="8470" customFormat="false" ht="15.75" hidden="false" customHeight="false" outlineLevel="0" collapsed="false">
      <c r="A8470" s="6" t="n">
        <v>46166</v>
      </c>
      <c r="B8470" s="4" t="s">
        <v>13</v>
      </c>
      <c r="C8470" s="4" t="n">
        <v>7</v>
      </c>
      <c r="D8470" s="4" t="n">
        <v>11</v>
      </c>
      <c r="E8470" s="4" t="s">
        <v>2800</v>
      </c>
      <c r="F8470" s="4" t="n">
        <v>4</v>
      </c>
      <c r="G8470" s="4" t="n">
        <v>10</v>
      </c>
      <c r="H8470" s="4" t="n">
        <v>4</v>
      </c>
      <c r="I8470" s="4" t="str">
        <v>×</v>
      </c>
      <c r="J8470" s="4"/>
      <c r="K8470" s="4"/>
      <c r="L8470" s="4"/>
      <c r="M8470" s="5" t="s">
        <v>5346</v>
      </c>
    </row>
    <row r="8471" customFormat="false" ht="15.75" hidden="false" customHeight="false" outlineLevel="0" collapsed="false">
      <c r="A8471" s="6" t="n">
        <v>46166</v>
      </c>
      <c r="B8471" s="4" t="s">
        <v>13</v>
      </c>
      <c r="C8471" s="4" t="n">
        <v>7</v>
      </c>
      <c r="D8471" s="4" t="n">
        <v>12</v>
      </c>
      <c r="E8471" s="4" t="s">
        <v>5764</v>
      </c>
      <c r="F8471" s="4" t="n">
        <v>20</v>
      </c>
      <c r="G8471" s="4" t="n">
        <v>6</v>
      </c>
      <c r="H8471" s="4" t="n">
        <v>4</v>
      </c>
      <c r="I8471" s="4" t="str">
        <v>×</v>
      </c>
      <c r="J8471" s="4"/>
      <c r="K8471" s="4"/>
      <c r="L8471" s="4"/>
      <c r="M8471" s="5" t="s">
        <v>5346</v>
      </c>
    </row>
    <row r="8472" customFormat="false" ht="15.75" hidden="false" customHeight="false" outlineLevel="0" collapsed="false">
      <c r="A8472" s="6" t="n">
        <v>46166</v>
      </c>
      <c r="B8472" s="4" t="s">
        <v>13</v>
      </c>
      <c r="C8472" s="4" t="n">
        <v>7</v>
      </c>
      <c r="D8472" s="4" t="n">
        <v>13</v>
      </c>
      <c r="E8472" s="4" t="s">
        <v>4575</v>
      </c>
      <c r="F8472" s="4" t="n">
        <v>10</v>
      </c>
      <c r="G8472" s="4" t="n">
        <v>9</v>
      </c>
      <c r="H8472" s="4" t="n">
        <v>4</v>
      </c>
      <c r="I8472" s="4" t="str">
        <v>×</v>
      </c>
      <c r="J8472" s="4"/>
      <c r="K8472" s="4"/>
      <c r="L8472" s="4"/>
      <c r="M8472" s="5" t="s">
        <v>5346</v>
      </c>
    </row>
    <row r="8473" customFormat="false" ht="15.75" hidden="false" customHeight="false" outlineLevel="0" collapsed="false">
      <c r="A8473" s="6" t="n">
        <v>46166</v>
      </c>
      <c r="B8473" s="4" t="s">
        <v>13</v>
      </c>
      <c r="C8473" s="4" t="n">
        <v>7</v>
      </c>
      <c r="D8473" s="4" t="n">
        <v>14</v>
      </c>
      <c r="E8473" s="4" t="s">
        <v>539</v>
      </c>
      <c r="F8473" s="4" t="n">
        <v>52</v>
      </c>
      <c r="G8473" s="4" t="n">
        <v>1</v>
      </c>
      <c r="H8473" s="4" t="n">
        <v>1</v>
      </c>
      <c r="I8473" s="4" t="str">
        <v>○</v>
      </c>
      <c r="J8473" s="4" t="n">
        <v>140</v>
      </c>
      <c r="K8473" s="4"/>
      <c r="L8473" s="4"/>
      <c r="M8473" s="5" t="s">
        <v>5346</v>
      </c>
    </row>
    <row r="8474" customFormat="false" ht="15.75" hidden="false" customHeight="false" outlineLevel="0" collapsed="false">
      <c r="A8474" s="6" t="n">
        <v>46166</v>
      </c>
      <c r="B8474" s="4" t="s">
        <v>13</v>
      </c>
      <c r="C8474" s="4" t="n">
        <v>7</v>
      </c>
      <c r="D8474" s="4" t="n">
        <v>15</v>
      </c>
      <c r="E8474" s="4" t="s">
        <v>5277</v>
      </c>
      <c r="F8474" s="4" t="n">
        <v>34</v>
      </c>
      <c r="G8474" s="4" t="n">
        <v>4</v>
      </c>
      <c r="H8474" s="4" t="n">
        <v>2</v>
      </c>
      <c r="I8474" s="4" t="str">
        <v>○</v>
      </c>
      <c r="J8474" s="4" t="n">
        <v>240</v>
      </c>
      <c r="K8474" s="4"/>
      <c r="L8474" s="4"/>
      <c r="M8474" s="5" t="s">
        <v>5346</v>
      </c>
    </row>
    <row r="8475" customFormat="false" ht="15.75" hidden="false" customHeight="false" outlineLevel="0" collapsed="false">
      <c r="A8475" s="6" t="n">
        <v>46166</v>
      </c>
      <c r="B8475" s="4" t="s">
        <v>13</v>
      </c>
      <c r="C8475" s="4" t="n">
        <v>8</v>
      </c>
      <c r="D8475" s="4" t="n">
        <v>1</v>
      </c>
      <c r="E8475" s="4" t="s">
        <v>2888</v>
      </c>
      <c r="F8475" s="4" t="n">
        <v>20</v>
      </c>
      <c r="G8475" s="4" t="n">
        <v>6</v>
      </c>
      <c r="H8475" s="4" t="n">
        <v>4</v>
      </c>
      <c r="I8475" s="4" t="str">
        <v>×</v>
      </c>
      <c r="J8475" s="4"/>
      <c r="K8475" s="4"/>
      <c r="L8475" s="4"/>
      <c r="M8475" s="5" t="s">
        <v>5346</v>
      </c>
    </row>
    <row r="8476" customFormat="false" ht="15.75" hidden="false" customHeight="false" outlineLevel="0" collapsed="false">
      <c r="A8476" s="6" t="n">
        <v>46166</v>
      </c>
      <c r="B8476" s="4" t="s">
        <v>13</v>
      </c>
      <c r="C8476" s="4" t="n">
        <v>8</v>
      </c>
      <c r="D8476" s="4" t="n">
        <v>2</v>
      </c>
      <c r="E8476" s="4" t="s">
        <v>5765</v>
      </c>
      <c r="F8476" s="4" t="n">
        <v>6</v>
      </c>
      <c r="G8476" s="4" t="n">
        <v>9</v>
      </c>
      <c r="H8476" s="4" t="n">
        <v>4</v>
      </c>
      <c r="I8476" s="4" t="str">
        <v>×</v>
      </c>
      <c r="J8476" s="4"/>
      <c r="K8476" s="4"/>
      <c r="L8476" s="4"/>
      <c r="M8476" s="5" t="s">
        <v>5346</v>
      </c>
    </row>
    <row r="8477" customFormat="false" ht="15.75" hidden="false" customHeight="false" outlineLevel="0" collapsed="false">
      <c r="A8477" s="6" t="n">
        <v>46166</v>
      </c>
      <c r="B8477" s="4" t="s">
        <v>13</v>
      </c>
      <c r="C8477" s="4" t="n">
        <v>8</v>
      </c>
      <c r="D8477" s="4" t="n">
        <v>3</v>
      </c>
      <c r="E8477" s="4" t="s">
        <v>2133</v>
      </c>
      <c r="F8477" s="4" t="n">
        <v>50</v>
      </c>
      <c r="G8477" s="4" t="n">
        <v>1</v>
      </c>
      <c r="H8477" s="4" t="n">
        <v>4</v>
      </c>
      <c r="I8477" s="4" t="str">
        <v>×</v>
      </c>
      <c r="J8477" s="4"/>
      <c r="K8477" s="4"/>
      <c r="L8477" s="4"/>
      <c r="M8477" s="5" t="s">
        <v>5346</v>
      </c>
    </row>
    <row r="8478" customFormat="false" ht="15.75" hidden="false" customHeight="false" outlineLevel="0" collapsed="false">
      <c r="A8478" s="6" t="n">
        <v>46166</v>
      </c>
      <c r="B8478" s="4" t="s">
        <v>13</v>
      </c>
      <c r="C8478" s="4" t="n">
        <v>8</v>
      </c>
      <c r="D8478" s="4" t="n">
        <v>4</v>
      </c>
      <c r="E8478" s="4" t="s">
        <v>5766</v>
      </c>
      <c r="F8478" s="4" t="n">
        <v>20</v>
      </c>
      <c r="G8478" s="4" t="n">
        <v>6</v>
      </c>
      <c r="H8478" s="4" t="n">
        <v>4</v>
      </c>
      <c r="I8478" s="4" t="str">
        <v>×</v>
      </c>
      <c r="J8478" s="4"/>
      <c r="K8478" s="4"/>
      <c r="L8478" s="4"/>
      <c r="M8478" s="5" t="s">
        <v>5346</v>
      </c>
    </row>
    <row r="8479" customFormat="false" ht="15.75" hidden="false" customHeight="false" outlineLevel="0" collapsed="false">
      <c r="A8479" s="6" t="n">
        <v>46166</v>
      </c>
      <c r="B8479" s="4" t="s">
        <v>13</v>
      </c>
      <c r="C8479" s="4" t="n">
        <v>8</v>
      </c>
      <c r="D8479" s="4" t="n">
        <v>5</v>
      </c>
      <c r="E8479" s="4" t="s">
        <v>1379</v>
      </c>
      <c r="F8479" s="4" t="n">
        <v>29</v>
      </c>
      <c r="G8479" s="4" t="n">
        <v>3</v>
      </c>
      <c r="H8479" s="4" t="n">
        <v>4</v>
      </c>
      <c r="I8479" s="4" t="str">
        <v>×</v>
      </c>
      <c r="J8479" s="4"/>
      <c r="K8479" s="4"/>
      <c r="L8479" s="4"/>
      <c r="M8479" s="5" t="s">
        <v>5346</v>
      </c>
    </row>
    <row r="8480" customFormat="false" ht="15.75" hidden="false" customHeight="false" outlineLevel="0" collapsed="false">
      <c r="A8480" s="6" t="n">
        <v>46166</v>
      </c>
      <c r="B8480" s="4" t="s">
        <v>13</v>
      </c>
      <c r="C8480" s="4" t="n">
        <v>8</v>
      </c>
      <c r="D8480" s="4" t="n">
        <v>6</v>
      </c>
      <c r="E8480" s="4" t="s">
        <v>3301</v>
      </c>
      <c r="F8480" s="4" t="n">
        <v>34</v>
      </c>
      <c r="G8480" s="4" t="n">
        <v>2</v>
      </c>
      <c r="H8480" s="4" t="n">
        <v>1</v>
      </c>
      <c r="I8480" s="4" t="str">
        <v>○</v>
      </c>
      <c r="J8480" s="4" t="n">
        <v>180</v>
      </c>
      <c r="K8480" s="4"/>
      <c r="L8480" s="4"/>
      <c r="M8480" s="5" t="s">
        <v>5346</v>
      </c>
    </row>
    <row r="8481" customFormat="false" ht="15.75" hidden="false" customHeight="false" outlineLevel="0" collapsed="false">
      <c r="A8481" s="6" t="n">
        <v>46166</v>
      </c>
      <c r="B8481" s="4" t="s">
        <v>13</v>
      </c>
      <c r="C8481" s="4" t="n">
        <v>8</v>
      </c>
      <c r="D8481" s="4" t="n">
        <v>7</v>
      </c>
      <c r="E8481" s="4" t="s">
        <v>5767</v>
      </c>
      <c r="F8481" s="4" t="n">
        <v>20</v>
      </c>
      <c r="G8481" s="4" t="n">
        <v>6</v>
      </c>
      <c r="H8481" s="4" t="n">
        <v>4</v>
      </c>
      <c r="I8481" s="4" t="str">
        <v>×</v>
      </c>
      <c r="J8481" s="4"/>
      <c r="K8481" s="4"/>
      <c r="L8481" s="4"/>
      <c r="M8481" s="5" t="s">
        <v>5346</v>
      </c>
    </row>
    <row r="8482" customFormat="false" ht="15.75" hidden="false" customHeight="false" outlineLevel="0" collapsed="false">
      <c r="A8482" s="6" t="n">
        <v>46166</v>
      </c>
      <c r="B8482" s="4" t="s">
        <v>13</v>
      </c>
      <c r="C8482" s="4" t="n">
        <v>8</v>
      </c>
      <c r="D8482" s="4" t="n">
        <v>8</v>
      </c>
      <c r="E8482" s="4" t="s">
        <v>1377</v>
      </c>
      <c r="F8482" s="4" t="n">
        <v>23</v>
      </c>
      <c r="G8482" s="4" t="n">
        <v>5</v>
      </c>
      <c r="H8482" s="4" t="n">
        <v>3</v>
      </c>
      <c r="I8482" s="4" t="str">
        <v>○</v>
      </c>
      <c r="J8482" s="4" t="n">
        <v>160</v>
      </c>
      <c r="K8482" s="4"/>
      <c r="L8482" s="4"/>
      <c r="M8482" s="5" t="s">
        <v>5346</v>
      </c>
    </row>
    <row r="8483" customFormat="false" ht="15.75" hidden="false" customHeight="false" outlineLevel="0" collapsed="false">
      <c r="A8483" s="6" t="n">
        <v>46166</v>
      </c>
      <c r="B8483" s="4" t="s">
        <v>13</v>
      </c>
      <c r="C8483" s="4" t="n">
        <v>8</v>
      </c>
      <c r="D8483" s="4" t="n">
        <v>9</v>
      </c>
      <c r="E8483" s="4" t="s">
        <v>400</v>
      </c>
      <c r="F8483" s="4" t="n">
        <v>20</v>
      </c>
      <c r="G8483" s="4" t="n">
        <v>6</v>
      </c>
      <c r="H8483" s="4" t="n">
        <v>2</v>
      </c>
      <c r="I8483" s="4" t="str">
        <v>○</v>
      </c>
      <c r="J8483" s="4" t="n">
        <v>270</v>
      </c>
      <c r="K8483" s="4"/>
      <c r="L8483" s="4"/>
      <c r="M8483" s="5" t="s">
        <v>5346</v>
      </c>
    </row>
    <row r="8484" customFormat="false" ht="15.75" hidden="false" customHeight="false" outlineLevel="0" collapsed="false">
      <c r="A8484" s="6" t="n">
        <v>46166</v>
      </c>
      <c r="B8484" s="4" t="s">
        <v>13</v>
      </c>
      <c r="C8484" s="4" t="n">
        <v>8</v>
      </c>
      <c r="D8484" s="4" t="n">
        <v>10</v>
      </c>
      <c r="E8484" s="4" t="s">
        <v>5768</v>
      </c>
      <c r="F8484" s="4" t="n">
        <v>17</v>
      </c>
      <c r="G8484" s="4" t="n">
        <v>7</v>
      </c>
      <c r="H8484" s="4" t="n">
        <v>4</v>
      </c>
      <c r="I8484" s="4" t="str">
        <v>×</v>
      </c>
      <c r="J8484" s="4"/>
      <c r="K8484" s="4"/>
      <c r="L8484" s="4"/>
      <c r="M8484" s="5" t="s">
        <v>5346</v>
      </c>
    </row>
    <row r="8485" customFormat="false" ht="15.75" hidden="false" customHeight="false" outlineLevel="0" collapsed="false">
      <c r="A8485" s="6" t="n">
        <v>46166</v>
      </c>
      <c r="B8485" s="4" t="s">
        <v>13</v>
      </c>
      <c r="C8485" s="4" t="n">
        <v>8</v>
      </c>
      <c r="D8485" s="4" t="n">
        <v>11</v>
      </c>
      <c r="E8485" s="4" t="s">
        <v>5077</v>
      </c>
      <c r="F8485" s="4" t="n">
        <v>2</v>
      </c>
      <c r="G8485" s="4" t="n">
        <v>10</v>
      </c>
      <c r="H8485" s="4" t="n">
        <v>4</v>
      </c>
      <c r="I8485" s="4" t="str">
        <v>×</v>
      </c>
      <c r="J8485" s="4"/>
      <c r="K8485" s="4"/>
      <c r="L8485" s="4"/>
      <c r="M8485" s="5" t="s">
        <v>5346</v>
      </c>
    </row>
    <row r="8486" customFormat="false" ht="15.75" hidden="false" customHeight="false" outlineLevel="0" collapsed="false">
      <c r="A8486" s="6" t="n">
        <v>46166</v>
      </c>
      <c r="B8486" s="4" t="s">
        <v>13</v>
      </c>
      <c r="C8486" s="4" t="n">
        <v>8</v>
      </c>
      <c r="D8486" s="4" t="n">
        <v>12</v>
      </c>
      <c r="E8486" s="4" t="s">
        <v>5769</v>
      </c>
      <c r="F8486" s="4" t="n">
        <v>25</v>
      </c>
      <c r="G8486" s="4" t="n">
        <v>4</v>
      </c>
      <c r="H8486" s="4" t="n">
        <v>4</v>
      </c>
      <c r="I8486" s="4" t="str">
        <v>×</v>
      </c>
      <c r="J8486" s="4"/>
      <c r="K8486" s="4"/>
      <c r="L8486" s="4"/>
      <c r="M8486" s="5" t="s">
        <v>5346</v>
      </c>
    </row>
    <row r="8487" customFormat="false" ht="15.75" hidden="false" customHeight="false" outlineLevel="0" collapsed="false">
      <c r="A8487" s="6" t="n">
        <v>46166</v>
      </c>
      <c r="B8487" s="4" t="s">
        <v>13</v>
      </c>
      <c r="C8487" s="4" t="n">
        <v>8</v>
      </c>
      <c r="D8487" s="4" t="n">
        <v>13</v>
      </c>
      <c r="E8487" s="4" t="s">
        <v>5770</v>
      </c>
      <c r="F8487" s="4" t="n">
        <v>6</v>
      </c>
      <c r="G8487" s="4" t="n">
        <v>9</v>
      </c>
      <c r="H8487" s="4" t="n">
        <v>4</v>
      </c>
      <c r="I8487" s="4" t="str">
        <v>×</v>
      </c>
      <c r="J8487" s="4"/>
      <c r="K8487" s="4"/>
      <c r="L8487" s="4"/>
      <c r="M8487" s="5" t="s">
        <v>5346</v>
      </c>
    </row>
    <row r="8488" customFormat="false" ht="15.75" hidden="false" customHeight="false" outlineLevel="0" collapsed="false">
      <c r="A8488" s="6" t="n">
        <v>46166</v>
      </c>
      <c r="B8488" s="4" t="s">
        <v>13</v>
      </c>
      <c r="C8488" s="4" t="n">
        <v>8</v>
      </c>
      <c r="D8488" s="4" t="n">
        <v>14</v>
      </c>
      <c r="E8488" s="4" t="s">
        <v>4246</v>
      </c>
      <c r="F8488" s="4" t="n">
        <v>6</v>
      </c>
      <c r="G8488" s="4" t="n">
        <v>9</v>
      </c>
      <c r="H8488" s="4" t="n">
        <v>4</v>
      </c>
      <c r="I8488" s="4" t="str">
        <v>×</v>
      </c>
      <c r="J8488" s="4"/>
      <c r="K8488" s="4"/>
      <c r="L8488" s="4"/>
      <c r="M8488" s="5" t="s">
        <v>5346</v>
      </c>
    </row>
    <row r="8489" customFormat="false" ht="15.75" hidden="false" customHeight="false" outlineLevel="0" collapsed="false">
      <c r="A8489" s="6" t="n">
        <v>46166</v>
      </c>
      <c r="B8489" s="4" t="s">
        <v>13</v>
      </c>
      <c r="C8489" s="4" t="n">
        <v>8</v>
      </c>
      <c r="D8489" s="4" t="n">
        <v>15</v>
      </c>
      <c r="E8489" s="4" t="s">
        <v>4932</v>
      </c>
      <c r="F8489" s="4" t="n">
        <v>10</v>
      </c>
      <c r="G8489" s="4" t="n">
        <v>8</v>
      </c>
      <c r="H8489" s="4" t="n">
        <v>4</v>
      </c>
      <c r="I8489" s="4" t="str">
        <v>×</v>
      </c>
      <c r="J8489" s="4"/>
      <c r="K8489" s="4"/>
      <c r="L8489" s="4"/>
      <c r="M8489" s="5" t="s">
        <v>5346</v>
      </c>
    </row>
    <row r="8490" customFormat="false" ht="15.75" hidden="false" customHeight="false" outlineLevel="0" collapsed="false">
      <c r="A8490" s="6" t="n">
        <v>46166</v>
      </c>
      <c r="B8490" s="4" t="s">
        <v>13</v>
      </c>
      <c r="C8490" s="4" t="n">
        <v>8</v>
      </c>
      <c r="D8490" s="4" t="n">
        <v>16</v>
      </c>
      <c r="E8490" s="4" t="s">
        <v>1038</v>
      </c>
      <c r="F8490" s="4" t="n">
        <v>2</v>
      </c>
      <c r="G8490" s="4" t="n">
        <v>10</v>
      </c>
      <c r="H8490" s="4" t="n">
        <v>4</v>
      </c>
      <c r="I8490" s="4" t="str">
        <v>×</v>
      </c>
      <c r="J8490" s="4"/>
      <c r="K8490" s="4"/>
      <c r="L8490" s="4"/>
      <c r="M8490" s="5" t="s">
        <v>5346</v>
      </c>
    </row>
    <row r="8491" customFormat="false" ht="15.75" hidden="false" customHeight="false" outlineLevel="0" collapsed="false">
      <c r="A8491" s="6" t="n">
        <v>46166</v>
      </c>
      <c r="B8491" s="4" t="s">
        <v>13</v>
      </c>
      <c r="C8491" s="4" t="n">
        <v>9</v>
      </c>
      <c r="D8491" s="4" t="n">
        <v>1</v>
      </c>
      <c r="E8491" s="4" t="s">
        <v>5771</v>
      </c>
      <c r="F8491" s="4" t="n">
        <v>6</v>
      </c>
      <c r="G8491" s="4" t="n">
        <v>9</v>
      </c>
      <c r="H8491" s="4" t="n">
        <v>4</v>
      </c>
      <c r="I8491" s="4" t="str">
        <v>×</v>
      </c>
      <c r="J8491" s="4"/>
      <c r="K8491" s="4"/>
      <c r="L8491" s="4"/>
      <c r="M8491" s="5" t="s">
        <v>5346</v>
      </c>
    </row>
    <row r="8492" customFormat="false" ht="15.75" hidden="false" customHeight="false" outlineLevel="0" collapsed="false">
      <c r="A8492" s="6" t="n">
        <v>46166</v>
      </c>
      <c r="B8492" s="4" t="s">
        <v>13</v>
      </c>
      <c r="C8492" s="4" t="n">
        <v>9</v>
      </c>
      <c r="D8492" s="4" t="n">
        <v>2</v>
      </c>
      <c r="E8492" s="4" t="s">
        <v>5772</v>
      </c>
      <c r="F8492" s="4" t="n">
        <v>15</v>
      </c>
      <c r="G8492" s="4" t="n">
        <v>7</v>
      </c>
      <c r="H8492" s="4" t="n">
        <v>4</v>
      </c>
      <c r="I8492" s="4" t="str">
        <v>×</v>
      </c>
      <c r="J8492" s="4"/>
      <c r="K8492" s="4"/>
      <c r="L8492" s="4"/>
      <c r="M8492" s="5" t="s">
        <v>5346</v>
      </c>
    </row>
    <row r="8493" customFormat="false" ht="15.75" hidden="false" customHeight="false" outlineLevel="0" collapsed="false">
      <c r="A8493" s="6" t="n">
        <v>46166</v>
      </c>
      <c r="B8493" s="4" t="s">
        <v>13</v>
      </c>
      <c r="C8493" s="4" t="n">
        <v>9</v>
      </c>
      <c r="D8493" s="4" t="n">
        <v>3</v>
      </c>
      <c r="E8493" s="4" t="s">
        <v>2382</v>
      </c>
      <c r="F8493" s="4" t="n">
        <v>4</v>
      </c>
      <c r="G8493" s="4" t="n">
        <v>10</v>
      </c>
      <c r="H8493" s="4" t="n">
        <v>4</v>
      </c>
      <c r="I8493" s="4" t="str">
        <v>×</v>
      </c>
      <c r="J8493" s="4"/>
      <c r="K8493" s="4"/>
      <c r="L8493" s="4"/>
      <c r="M8493" s="5" t="s">
        <v>5346</v>
      </c>
    </row>
    <row r="8494" customFormat="false" ht="15.75" hidden="false" customHeight="false" outlineLevel="0" collapsed="false">
      <c r="A8494" s="6" t="n">
        <v>46166</v>
      </c>
      <c r="B8494" s="4" t="s">
        <v>13</v>
      </c>
      <c r="C8494" s="4" t="n">
        <v>9</v>
      </c>
      <c r="D8494" s="4" t="n">
        <v>4</v>
      </c>
      <c r="E8494" s="4" t="s">
        <v>5773</v>
      </c>
      <c r="F8494" s="4" t="n">
        <v>1</v>
      </c>
      <c r="G8494" s="4" t="n">
        <v>11</v>
      </c>
      <c r="H8494" s="4" t="n">
        <v>4</v>
      </c>
      <c r="I8494" s="4" t="str">
        <v>×</v>
      </c>
      <c r="J8494" s="4"/>
      <c r="K8494" s="4"/>
      <c r="L8494" s="4"/>
      <c r="M8494" s="5" t="s">
        <v>5346</v>
      </c>
    </row>
    <row r="8495" customFormat="false" ht="15.75" hidden="false" customHeight="false" outlineLevel="0" collapsed="false">
      <c r="A8495" s="6" t="n">
        <v>46166</v>
      </c>
      <c r="B8495" s="4" t="s">
        <v>13</v>
      </c>
      <c r="C8495" s="4" t="n">
        <v>9</v>
      </c>
      <c r="D8495" s="4" t="n">
        <v>5</v>
      </c>
      <c r="E8495" s="4" t="s">
        <v>4059</v>
      </c>
      <c r="F8495" s="4" t="n">
        <v>6</v>
      </c>
      <c r="G8495" s="4" t="n">
        <v>9</v>
      </c>
      <c r="H8495" s="4" t="n">
        <v>2</v>
      </c>
      <c r="I8495" s="4" t="str">
        <v>○</v>
      </c>
      <c r="J8495" s="4" t="n">
        <v>730</v>
      </c>
      <c r="K8495" s="4"/>
      <c r="L8495" s="4"/>
      <c r="M8495" s="5" t="s">
        <v>5346</v>
      </c>
    </row>
    <row r="8496" customFormat="false" ht="15.75" hidden="false" customHeight="false" outlineLevel="0" collapsed="false">
      <c r="A8496" s="6" t="n">
        <v>46166</v>
      </c>
      <c r="B8496" s="4" t="s">
        <v>13</v>
      </c>
      <c r="C8496" s="4" t="n">
        <v>9</v>
      </c>
      <c r="D8496" s="4" t="n">
        <v>6</v>
      </c>
      <c r="E8496" s="4" t="s">
        <v>1709</v>
      </c>
      <c r="F8496" s="4" t="n">
        <v>8</v>
      </c>
      <c r="G8496" s="4" t="n">
        <v>8</v>
      </c>
      <c r="H8496" s="4" t="n">
        <v>4</v>
      </c>
      <c r="I8496" s="4" t="str">
        <v>×</v>
      </c>
      <c r="J8496" s="4"/>
      <c r="K8496" s="4"/>
      <c r="L8496" s="4"/>
      <c r="M8496" s="5" t="s">
        <v>5346</v>
      </c>
    </row>
    <row r="8497" customFormat="false" ht="15.75" hidden="false" customHeight="false" outlineLevel="0" collapsed="false">
      <c r="A8497" s="6" t="n">
        <v>46166</v>
      </c>
      <c r="B8497" s="4" t="s">
        <v>13</v>
      </c>
      <c r="C8497" s="4" t="n">
        <v>9</v>
      </c>
      <c r="D8497" s="4" t="n">
        <v>7</v>
      </c>
      <c r="E8497" s="4" t="s">
        <v>4641</v>
      </c>
      <c r="F8497" s="4" t="n">
        <v>31</v>
      </c>
      <c r="G8497" s="4" t="n">
        <v>4</v>
      </c>
      <c r="H8497" s="4" t="n">
        <v>4</v>
      </c>
      <c r="I8497" s="4" t="str">
        <v>×</v>
      </c>
      <c r="J8497" s="4"/>
      <c r="K8497" s="4"/>
      <c r="L8497" s="4"/>
      <c r="M8497" s="5" t="s">
        <v>5346</v>
      </c>
    </row>
    <row r="8498" customFormat="false" ht="15.75" hidden="false" customHeight="false" outlineLevel="0" collapsed="false">
      <c r="A8498" s="6" t="n">
        <v>46166</v>
      </c>
      <c r="B8498" s="4" t="s">
        <v>13</v>
      </c>
      <c r="C8498" s="4" t="n">
        <v>9</v>
      </c>
      <c r="D8498" s="4" t="n">
        <v>8</v>
      </c>
      <c r="E8498" s="4" t="s">
        <v>1496</v>
      </c>
      <c r="F8498" s="4" t="n">
        <v>29</v>
      </c>
      <c r="G8498" s="4" t="n">
        <v>5</v>
      </c>
      <c r="H8498" s="4" t="n">
        <v>3</v>
      </c>
      <c r="I8498" s="4" t="str">
        <v>○</v>
      </c>
      <c r="J8498" s="4" t="n">
        <v>300</v>
      </c>
      <c r="K8498" s="4"/>
      <c r="L8498" s="4"/>
      <c r="M8498" s="5" t="s">
        <v>5346</v>
      </c>
    </row>
    <row r="8499" customFormat="false" ht="15.75" hidden="false" customHeight="false" outlineLevel="0" collapsed="false">
      <c r="A8499" s="6" t="n">
        <v>46166</v>
      </c>
      <c r="B8499" s="4" t="s">
        <v>13</v>
      </c>
      <c r="C8499" s="4" t="n">
        <v>9</v>
      </c>
      <c r="D8499" s="4" t="n">
        <v>9</v>
      </c>
      <c r="E8499" s="4" t="s">
        <v>4740</v>
      </c>
      <c r="F8499" s="4" t="n">
        <v>56</v>
      </c>
      <c r="G8499" s="4" t="n">
        <v>1</v>
      </c>
      <c r="H8499" s="4" t="n">
        <v>1</v>
      </c>
      <c r="I8499" s="4" t="str">
        <v>○</v>
      </c>
      <c r="J8499" s="4" t="n">
        <v>170</v>
      </c>
      <c r="K8499" s="4"/>
      <c r="L8499" s="4"/>
      <c r="M8499" s="5" t="s">
        <v>5346</v>
      </c>
    </row>
    <row r="8500" customFormat="false" ht="15.75" hidden="false" customHeight="false" outlineLevel="0" collapsed="false">
      <c r="A8500" s="6" t="n">
        <v>46166</v>
      </c>
      <c r="B8500" s="4" t="s">
        <v>13</v>
      </c>
      <c r="C8500" s="4" t="n">
        <v>9</v>
      </c>
      <c r="D8500" s="4" t="n">
        <v>10</v>
      </c>
      <c r="E8500" s="4" t="s">
        <v>5774</v>
      </c>
      <c r="F8500" s="4" t="n">
        <v>34</v>
      </c>
      <c r="G8500" s="4" t="n">
        <v>3</v>
      </c>
      <c r="H8500" s="4" t="n">
        <v>4</v>
      </c>
      <c r="I8500" s="4" t="str">
        <v>×</v>
      </c>
      <c r="J8500" s="4"/>
      <c r="K8500" s="4"/>
      <c r="L8500" s="4"/>
      <c r="M8500" s="5" t="s">
        <v>5346</v>
      </c>
    </row>
    <row r="8501" customFormat="false" ht="15.75" hidden="false" customHeight="false" outlineLevel="0" collapsed="false">
      <c r="A8501" s="6" t="n">
        <v>46166</v>
      </c>
      <c r="B8501" s="4" t="s">
        <v>13</v>
      </c>
      <c r="C8501" s="4" t="n">
        <v>9</v>
      </c>
      <c r="D8501" s="4" t="n">
        <v>11</v>
      </c>
      <c r="E8501" s="4" t="s">
        <v>1326</v>
      </c>
      <c r="F8501" s="4" t="n">
        <v>17</v>
      </c>
      <c r="G8501" s="4" t="n">
        <v>6</v>
      </c>
      <c r="H8501" s="4" t="n">
        <v>4</v>
      </c>
      <c r="I8501" s="4" t="str">
        <v>×</v>
      </c>
      <c r="J8501" s="4"/>
      <c r="K8501" s="4"/>
      <c r="L8501" s="4"/>
      <c r="M8501" s="5" t="s">
        <v>5346</v>
      </c>
    </row>
    <row r="8502" customFormat="false" ht="15.75" hidden="false" customHeight="false" outlineLevel="0" collapsed="false">
      <c r="A8502" s="6" t="n">
        <v>46166</v>
      </c>
      <c r="B8502" s="4" t="s">
        <v>13</v>
      </c>
      <c r="C8502" s="4" t="n">
        <v>9</v>
      </c>
      <c r="D8502" s="4" t="n">
        <v>12</v>
      </c>
      <c r="E8502" s="4" t="s">
        <v>4068</v>
      </c>
      <c r="F8502" s="4" t="n">
        <v>50</v>
      </c>
      <c r="G8502" s="4" t="n">
        <v>2</v>
      </c>
      <c r="H8502" s="4" t="n">
        <v>4</v>
      </c>
      <c r="I8502" s="4" t="str">
        <v>×</v>
      </c>
      <c r="J8502" s="4"/>
      <c r="K8502" s="4"/>
      <c r="L8502" s="4"/>
      <c r="M8502" s="5" t="s">
        <v>5346</v>
      </c>
    </row>
    <row r="8503" customFormat="false" ht="15.75" hidden="false" customHeight="false" outlineLevel="0" collapsed="false">
      <c r="A8503" s="6" t="n">
        <v>46166</v>
      </c>
      <c r="B8503" s="4" t="s">
        <v>13</v>
      </c>
      <c r="C8503" s="4" t="n">
        <v>9</v>
      </c>
      <c r="D8503" s="4" t="n">
        <v>13</v>
      </c>
      <c r="E8503" s="4" t="s">
        <v>3689</v>
      </c>
      <c r="F8503" s="4" t="n">
        <v>34</v>
      </c>
      <c r="G8503" s="4" t="n">
        <v>3</v>
      </c>
      <c r="H8503" s="4" t="n">
        <v>4</v>
      </c>
      <c r="I8503" s="4" t="str">
        <v>×</v>
      </c>
      <c r="J8503" s="4"/>
      <c r="K8503" s="4"/>
      <c r="L8503" s="4"/>
      <c r="M8503" s="5" t="s">
        <v>5346</v>
      </c>
    </row>
    <row r="8504" customFormat="false" ht="15.75" hidden="false" customHeight="false" outlineLevel="0" collapsed="false">
      <c r="A8504" s="6" t="n">
        <v>46166</v>
      </c>
      <c r="B8504" s="4" t="s">
        <v>13</v>
      </c>
      <c r="C8504" s="4" t="n">
        <v>9</v>
      </c>
      <c r="D8504" s="4" t="n">
        <v>14</v>
      </c>
      <c r="E8504" s="4" t="s">
        <v>5775</v>
      </c>
      <c r="F8504" s="4" t="n">
        <v>31</v>
      </c>
      <c r="G8504" s="4" t="n">
        <v>4</v>
      </c>
      <c r="H8504" s="4" t="n">
        <v>4</v>
      </c>
      <c r="I8504" s="4" t="str">
        <v>×</v>
      </c>
      <c r="J8504" s="4"/>
      <c r="K8504" s="4"/>
      <c r="L8504" s="4"/>
      <c r="M8504" s="5" t="s">
        <v>5346</v>
      </c>
    </row>
    <row r="8505" customFormat="false" ht="15.75" hidden="false" customHeight="false" outlineLevel="0" collapsed="false">
      <c r="A8505" s="6" t="n">
        <v>46166</v>
      </c>
      <c r="B8505" s="4" t="s">
        <v>13</v>
      </c>
      <c r="C8505" s="4" t="n">
        <v>10</v>
      </c>
      <c r="D8505" s="4" t="n">
        <v>1</v>
      </c>
      <c r="E8505" s="4" t="s">
        <v>5776</v>
      </c>
      <c r="F8505" s="4" t="n">
        <v>8</v>
      </c>
      <c r="G8505" s="4" t="n">
        <v>8</v>
      </c>
      <c r="H8505" s="4" t="n">
        <v>4</v>
      </c>
      <c r="I8505" s="4" t="str">
        <v>×</v>
      </c>
      <c r="J8505" s="4"/>
      <c r="K8505" s="4"/>
      <c r="L8505" s="4"/>
      <c r="M8505" s="5" t="s">
        <v>5346</v>
      </c>
    </row>
    <row r="8506" customFormat="false" ht="15.75" hidden="false" customHeight="false" outlineLevel="0" collapsed="false">
      <c r="A8506" s="6" t="n">
        <v>46166</v>
      </c>
      <c r="B8506" s="4" t="s">
        <v>13</v>
      </c>
      <c r="C8506" s="4" t="n">
        <v>10</v>
      </c>
      <c r="D8506" s="4" t="n">
        <v>2</v>
      </c>
      <c r="E8506" s="4" t="s">
        <v>4154</v>
      </c>
      <c r="F8506" s="4" t="n">
        <v>41</v>
      </c>
      <c r="G8506" s="4" t="n">
        <v>3</v>
      </c>
      <c r="H8506" s="4" t="n">
        <v>4</v>
      </c>
      <c r="I8506" s="4" t="str">
        <v>×</v>
      </c>
      <c r="J8506" s="4"/>
      <c r="K8506" s="4"/>
      <c r="L8506" s="4"/>
      <c r="M8506" s="5" t="s">
        <v>5346</v>
      </c>
    </row>
    <row r="8507" customFormat="false" ht="15.75" hidden="false" customHeight="false" outlineLevel="0" collapsed="false">
      <c r="A8507" s="6" t="n">
        <v>46166</v>
      </c>
      <c r="B8507" s="4" t="s">
        <v>13</v>
      </c>
      <c r="C8507" s="4" t="n">
        <v>10</v>
      </c>
      <c r="D8507" s="4" t="n">
        <v>3</v>
      </c>
      <c r="E8507" s="4" t="s">
        <v>5777</v>
      </c>
      <c r="F8507" s="4" t="n">
        <v>17</v>
      </c>
      <c r="G8507" s="4" t="n">
        <v>6</v>
      </c>
      <c r="H8507" s="4" t="n">
        <v>4</v>
      </c>
      <c r="I8507" s="4" t="str">
        <v>×</v>
      </c>
      <c r="J8507" s="4"/>
      <c r="K8507" s="4"/>
      <c r="L8507" s="4"/>
      <c r="M8507" s="5" t="s">
        <v>5346</v>
      </c>
    </row>
    <row r="8508" customFormat="false" ht="15.75" hidden="false" customHeight="false" outlineLevel="0" collapsed="false">
      <c r="A8508" s="6" t="n">
        <v>46166</v>
      </c>
      <c r="B8508" s="4" t="s">
        <v>13</v>
      </c>
      <c r="C8508" s="4" t="n">
        <v>10</v>
      </c>
      <c r="D8508" s="4" t="n">
        <v>4</v>
      </c>
      <c r="E8508" s="4" t="s">
        <v>5290</v>
      </c>
      <c r="F8508" s="4" t="n">
        <v>6</v>
      </c>
      <c r="G8508" s="4" t="n">
        <v>9</v>
      </c>
      <c r="H8508" s="4" t="n">
        <v>4</v>
      </c>
      <c r="I8508" s="4" t="str">
        <v>×</v>
      </c>
      <c r="J8508" s="4"/>
      <c r="K8508" s="4"/>
      <c r="L8508" s="4"/>
      <c r="M8508" s="5" t="s">
        <v>5346</v>
      </c>
    </row>
    <row r="8509" customFormat="false" ht="15.75" hidden="false" customHeight="false" outlineLevel="0" collapsed="false">
      <c r="A8509" s="6" t="n">
        <v>46166</v>
      </c>
      <c r="B8509" s="4" t="s">
        <v>13</v>
      </c>
      <c r="C8509" s="4" t="n">
        <v>10</v>
      </c>
      <c r="D8509" s="4" t="n">
        <v>5</v>
      </c>
      <c r="E8509" s="4" t="s">
        <v>5778</v>
      </c>
      <c r="F8509" s="4" t="n">
        <v>15</v>
      </c>
      <c r="G8509" s="4" t="n">
        <v>7</v>
      </c>
      <c r="H8509" s="4" t="n">
        <v>4</v>
      </c>
      <c r="I8509" s="4" t="str">
        <v>×</v>
      </c>
      <c r="J8509" s="4"/>
      <c r="K8509" s="4"/>
      <c r="L8509" s="4"/>
      <c r="M8509" s="5" t="s">
        <v>5346</v>
      </c>
    </row>
    <row r="8510" customFormat="false" ht="15.75" hidden="false" customHeight="false" outlineLevel="0" collapsed="false">
      <c r="A8510" s="6" t="n">
        <v>46166</v>
      </c>
      <c r="B8510" s="4" t="s">
        <v>13</v>
      </c>
      <c r="C8510" s="4" t="n">
        <v>10</v>
      </c>
      <c r="D8510" s="4" t="n">
        <v>6</v>
      </c>
      <c r="E8510" s="4" t="s">
        <v>5779</v>
      </c>
      <c r="F8510" s="4" t="n">
        <v>2</v>
      </c>
      <c r="G8510" s="4" t="n">
        <v>12</v>
      </c>
      <c r="H8510" s="4" t="n">
        <v>4</v>
      </c>
      <c r="I8510" s="4" t="str">
        <v>×</v>
      </c>
      <c r="J8510" s="4"/>
      <c r="K8510" s="4"/>
      <c r="L8510" s="4"/>
      <c r="M8510" s="5" t="s">
        <v>5346</v>
      </c>
    </row>
    <row r="8511" customFormat="false" ht="15.75" hidden="false" customHeight="false" outlineLevel="0" collapsed="false">
      <c r="A8511" s="6" t="n">
        <v>46166</v>
      </c>
      <c r="B8511" s="4" t="s">
        <v>13</v>
      </c>
      <c r="C8511" s="4" t="n">
        <v>10</v>
      </c>
      <c r="D8511" s="4" t="n">
        <v>7</v>
      </c>
      <c r="E8511" s="4" t="s">
        <v>5780</v>
      </c>
      <c r="F8511" s="4" t="n">
        <v>60</v>
      </c>
      <c r="G8511" s="4" t="n">
        <v>1</v>
      </c>
      <c r="H8511" s="4" t="n">
        <v>4</v>
      </c>
      <c r="I8511" s="4" t="str">
        <v>×</v>
      </c>
      <c r="J8511" s="4"/>
      <c r="K8511" s="4"/>
      <c r="L8511" s="4"/>
      <c r="M8511" s="5" t="s">
        <v>5346</v>
      </c>
    </row>
    <row r="8512" customFormat="false" ht="15.75" hidden="false" customHeight="false" outlineLevel="0" collapsed="false">
      <c r="A8512" s="6" t="n">
        <v>46166</v>
      </c>
      <c r="B8512" s="4" t="s">
        <v>13</v>
      </c>
      <c r="C8512" s="4" t="n">
        <v>10</v>
      </c>
      <c r="D8512" s="4" t="n">
        <v>8</v>
      </c>
      <c r="E8512" s="4" t="s">
        <v>5781</v>
      </c>
      <c r="F8512" s="4" t="n">
        <v>3</v>
      </c>
      <c r="G8512" s="4" t="n">
        <v>11</v>
      </c>
      <c r="H8512" s="4" t="n">
        <v>4</v>
      </c>
      <c r="I8512" s="4" t="str">
        <v>×</v>
      </c>
      <c r="J8512" s="4"/>
      <c r="K8512" s="4"/>
      <c r="L8512" s="4"/>
      <c r="M8512" s="5" t="s">
        <v>5346</v>
      </c>
    </row>
    <row r="8513" customFormat="false" ht="15.75" hidden="false" customHeight="false" outlineLevel="0" collapsed="false">
      <c r="A8513" s="6" t="n">
        <v>46166</v>
      </c>
      <c r="B8513" s="4" t="s">
        <v>13</v>
      </c>
      <c r="C8513" s="4" t="n">
        <v>10</v>
      </c>
      <c r="D8513" s="4" t="n">
        <v>9</v>
      </c>
      <c r="E8513" s="4" t="s">
        <v>3946</v>
      </c>
      <c r="F8513" s="4" t="n">
        <v>41</v>
      </c>
      <c r="G8513" s="4" t="n">
        <v>3</v>
      </c>
      <c r="H8513" s="4" t="n">
        <v>4</v>
      </c>
      <c r="I8513" s="4" t="str">
        <v>×</v>
      </c>
      <c r="J8513" s="4"/>
      <c r="K8513" s="4"/>
      <c r="L8513" s="4"/>
      <c r="M8513" s="5" t="s">
        <v>5346</v>
      </c>
    </row>
    <row r="8514" customFormat="false" ht="15.75" hidden="false" customHeight="false" outlineLevel="0" collapsed="false">
      <c r="A8514" s="6" t="n">
        <v>46166</v>
      </c>
      <c r="B8514" s="4" t="s">
        <v>13</v>
      </c>
      <c r="C8514" s="4" t="n">
        <v>10</v>
      </c>
      <c r="D8514" s="4" t="n">
        <v>10</v>
      </c>
      <c r="E8514" s="4" t="s">
        <v>3943</v>
      </c>
      <c r="F8514" s="4" t="n">
        <v>23</v>
      </c>
      <c r="G8514" s="4" t="n">
        <v>5</v>
      </c>
      <c r="H8514" s="4" t="n">
        <v>2</v>
      </c>
      <c r="I8514" s="4" t="str">
        <v>○</v>
      </c>
      <c r="J8514" s="4" t="n">
        <v>310</v>
      </c>
      <c r="K8514" s="4"/>
      <c r="L8514" s="4"/>
      <c r="M8514" s="5" t="s">
        <v>5346</v>
      </c>
    </row>
    <row r="8515" customFormat="false" ht="15.75" hidden="false" customHeight="false" outlineLevel="0" collapsed="false">
      <c r="A8515" s="6" t="n">
        <v>46166</v>
      </c>
      <c r="B8515" s="4" t="s">
        <v>13</v>
      </c>
      <c r="C8515" s="4" t="n">
        <v>10</v>
      </c>
      <c r="D8515" s="4" t="n">
        <v>11</v>
      </c>
      <c r="E8515" s="4" t="s">
        <v>2792</v>
      </c>
      <c r="F8515" s="4" t="n">
        <v>25</v>
      </c>
      <c r="G8515" s="4" t="n">
        <v>4</v>
      </c>
      <c r="H8515" s="4" t="n">
        <v>1</v>
      </c>
      <c r="I8515" s="4" t="str">
        <v>○</v>
      </c>
      <c r="J8515" s="4" t="n">
        <v>560</v>
      </c>
      <c r="K8515" s="4"/>
      <c r="L8515" s="4"/>
      <c r="M8515" s="5" t="s">
        <v>5346</v>
      </c>
    </row>
    <row r="8516" customFormat="false" ht="15.75" hidden="false" customHeight="false" outlineLevel="0" collapsed="false">
      <c r="A8516" s="6" t="n">
        <v>46166</v>
      </c>
      <c r="B8516" s="4" t="s">
        <v>13</v>
      </c>
      <c r="C8516" s="4" t="n">
        <v>10</v>
      </c>
      <c r="D8516" s="4" t="n">
        <v>12</v>
      </c>
      <c r="E8516" s="4" t="s">
        <v>4753</v>
      </c>
      <c r="F8516" s="4" t="n">
        <v>6</v>
      </c>
      <c r="G8516" s="4" t="n">
        <v>9</v>
      </c>
      <c r="H8516" s="4" t="n">
        <v>4</v>
      </c>
      <c r="I8516" s="4" t="str">
        <v>×</v>
      </c>
      <c r="J8516" s="4"/>
      <c r="K8516" s="4"/>
      <c r="L8516" s="4"/>
      <c r="M8516" s="5" t="s">
        <v>5346</v>
      </c>
    </row>
    <row r="8517" customFormat="false" ht="15.75" hidden="false" customHeight="false" outlineLevel="0" collapsed="false">
      <c r="A8517" s="6" t="n">
        <v>46166</v>
      </c>
      <c r="B8517" s="4" t="s">
        <v>13</v>
      </c>
      <c r="C8517" s="4" t="n">
        <v>10</v>
      </c>
      <c r="D8517" s="4" t="n">
        <v>13</v>
      </c>
      <c r="E8517" s="4" t="s">
        <v>4750</v>
      </c>
      <c r="F8517" s="4" t="n">
        <v>8</v>
      </c>
      <c r="G8517" s="4" t="n">
        <v>8</v>
      </c>
      <c r="H8517" s="4" t="n">
        <v>4</v>
      </c>
      <c r="I8517" s="4" t="str">
        <v>×</v>
      </c>
      <c r="J8517" s="4"/>
      <c r="K8517" s="4"/>
      <c r="L8517" s="4"/>
      <c r="M8517" s="5" t="s">
        <v>5346</v>
      </c>
    </row>
    <row r="8518" customFormat="false" ht="15.75" hidden="false" customHeight="false" outlineLevel="0" collapsed="false">
      <c r="A8518" s="6" t="n">
        <v>46166</v>
      </c>
      <c r="B8518" s="4" t="s">
        <v>13</v>
      </c>
      <c r="C8518" s="4" t="n">
        <v>10</v>
      </c>
      <c r="D8518" s="4" t="n">
        <v>14</v>
      </c>
      <c r="E8518" s="4" t="s">
        <v>2416</v>
      </c>
      <c r="F8518" s="4" t="n">
        <v>44</v>
      </c>
      <c r="G8518" s="4" t="n">
        <v>2</v>
      </c>
      <c r="H8518" s="4" t="n">
        <v>3</v>
      </c>
      <c r="I8518" s="4" t="str">
        <v>○</v>
      </c>
      <c r="J8518" s="4" t="n">
        <v>170</v>
      </c>
      <c r="K8518" s="4"/>
      <c r="L8518" s="4"/>
      <c r="M8518" s="5" t="s">
        <v>5346</v>
      </c>
    </row>
    <row r="8519" customFormat="false" ht="15.75" hidden="false" customHeight="false" outlineLevel="0" collapsed="false">
      <c r="A8519" s="6" t="n">
        <v>46166</v>
      </c>
      <c r="B8519" s="4" t="s">
        <v>13</v>
      </c>
      <c r="C8519" s="4" t="n">
        <v>10</v>
      </c>
      <c r="D8519" s="4" t="n">
        <v>15</v>
      </c>
      <c r="E8519" s="4" t="s">
        <v>5782</v>
      </c>
      <c r="F8519" s="4" t="n">
        <v>4</v>
      </c>
      <c r="G8519" s="4" t="n">
        <v>10</v>
      </c>
      <c r="H8519" s="4" t="n">
        <v>4</v>
      </c>
      <c r="I8519" s="4" t="str">
        <v>×</v>
      </c>
      <c r="J8519" s="4"/>
      <c r="K8519" s="4"/>
      <c r="L8519" s="4"/>
      <c r="M8519" s="5" t="s">
        <v>5346</v>
      </c>
    </row>
    <row r="8520" customFormat="false" ht="15.75" hidden="false" customHeight="false" outlineLevel="0" collapsed="false">
      <c r="A8520" s="6" t="n">
        <v>46166</v>
      </c>
      <c r="B8520" s="4" t="s">
        <v>13</v>
      </c>
      <c r="C8520" s="4" t="n">
        <v>11</v>
      </c>
      <c r="D8520" s="4" t="n">
        <v>1</v>
      </c>
      <c r="E8520" s="4" t="s">
        <v>1220</v>
      </c>
      <c r="F8520" s="4" t="n">
        <v>23</v>
      </c>
      <c r="G8520" s="4" t="n">
        <v>3</v>
      </c>
      <c r="H8520" s="4" t="n">
        <v>4</v>
      </c>
      <c r="I8520" s="4" t="str">
        <v>×</v>
      </c>
      <c r="J8520" s="4"/>
      <c r="K8520" s="4"/>
      <c r="L8520" s="4"/>
      <c r="M8520" s="5" t="s">
        <v>5346</v>
      </c>
    </row>
    <row r="8521" customFormat="false" ht="15.75" hidden="false" customHeight="false" outlineLevel="0" collapsed="false">
      <c r="A8521" s="6" t="n">
        <v>46166</v>
      </c>
      <c r="B8521" s="4" t="s">
        <v>13</v>
      </c>
      <c r="C8521" s="4" t="n">
        <v>11</v>
      </c>
      <c r="D8521" s="4" t="n">
        <v>2</v>
      </c>
      <c r="E8521" s="4" t="s">
        <v>5783</v>
      </c>
      <c r="F8521" s="4" t="n">
        <v>23</v>
      </c>
      <c r="G8521" s="4" t="n">
        <v>3</v>
      </c>
      <c r="H8521" s="4" t="n">
        <v>4</v>
      </c>
      <c r="I8521" s="4" t="str">
        <v>×</v>
      </c>
      <c r="J8521" s="4"/>
      <c r="K8521" s="4"/>
      <c r="L8521" s="4"/>
      <c r="M8521" s="5" t="s">
        <v>5346</v>
      </c>
    </row>
    <row r="8522" customFormat="false" ht="15.75" hidden="false" customHeight="false" outlineLevel="0" collapsed="false">
      <c r="A8522" s="6" t="n">
        <v>46166</v>
      </c>
      <c r="B8522" s="4" t="s">
        <v>13</v>
      </c>
      <c r="C8522" s="4" t="n">
        <v>11</v>
      </c>
      <c r="D8522" s="4" t="n">
        <v>3</v>
      </c>
      <c r="E8522" s="4" t="s">
        <v>2814</v>
      </c>
      <c r="F8522" s="4" t="n">
        <v>15</v>
      </c>
      <c r="G8522" s="4" t="n">
        <v>5</v>
      </c>
      <c r="H8522" s="4" t="n">
        <v>4</v>
      </c>
      <c r="I8522" s="4" t="str">
        <v>×</v>
      </c>
      <c r="J8522" s="4"/>
      <c r="K8522" s="4"/>
      <c r="L8522" s="4"/>
      <c r="M8522" s="5" t="s">
        <v>5346</v>
      </c>
    </row>
    <row r="8523" customFormat="false" ht="15.75" hidden="false" customHeight="false" outlineLevel="0" collapsed="false">
      <c r="A8523" s="6" t="n">
        <v>46166</v>
      </c>
      <c r="B8523" s="4" t="s">
        <v>13</v>
      </c>
      <c r="C8523" s="4" t="n">
        <v>11</v>
      </c>
      <c r="D8523" s="4" t="n">
        <v>4</v>
      </c>
      <c r="E8523" s="4" t="s">
        <v>5784</v>
      </c>
      <c r="F8523" s="4" t="n">
        <v>10</v>
      </c>
      <c r="G8523" s="4" t="n">
        <v>7</v>
      </c>
      <c r="H8523" s="4" t="n">
        <v>4</v>
      </c>
      <c r="I8523" s="4" t="str">
        <v>×</v>
      </c>
      <c r="J8523" s="4"/>
      <c r="K8523" s="4"/>
      <c r="L8523" s="4"/>
      <c r="M8523" s="5" t="s">
        <v>5346</v>
      </c>
    </row>
    <row r="8524" customFormat="false" ht="15.75" hidden="false" customHeight="false" outlineLevel="0" collapsed="false">
      <c r="A8524" s="6" t="n">
        <v>46166</v>
      </c>
      <c r="B8524" s="4" t="s">
        <v>13</v>
      </c>
      <c r="C8524" s="4" t="n">
        <v>11</v>
      </c>
      <c r="D8524" s="4" t="n">
        <v>5</v>
      </c>
      <c r="E8524" s="4" t="s">
        <v>4053</v>
      </c>
      <c r="F8524" s="4" t="n">
        <v>23</v>
      </c>
      <c r="G8524" s="4" t="n">
        <v>3</v>
      </c>
      <c r="H8524" s="4" t="n">
        <v>4</v>
      </c>
      <c r="I8524" s="4" t="str">
        <v>×</v>
      </c>
      <c r="J8524" s="4"/>
      <c r="K8524" s="4"/>
      <c r="L8524" s="4"/>
      <c r="M8524" s="5" t="s">
        <v>5346</v>
      </c>
    </row>
    <row r="8525" customFormat="false" ht="15.75" hidden="false" customHeight="false" outlineLevel="0" collapsed="false">
      <c r="A8525" s="6" t="n">
        <v>46166</v>
      </c>
      <c r="B8525" s="4" t="s">
        <v>13</v>
      </c>
      <c r="C8525" s="4" t="n">
        <v>11</v>
      </c>
      <c r="D8525" s="4" t="n">
        <v>6</v>
      </c>
      <c r="E8525" s="4" t="s">
        <v>5109</v>
      </c>
      <c r="F8525" s="4" t="n">
        <v>17</v>
      </c>
      <c r="G8525" s="4" t="n">
        <v>4</v>
      </c>
      <c r="H8525" s="4" t="n">
        <v>3</v>
      </c>
      <c r="I8525" s="4" t="str">
        <v>○</v>
      </c>
      <c r="J8525" s="4" t="n">
        <v>410</v>
      </c>
      <c r="K8525" s="4"/>
      <c r="L8525" s="4"/>
      <c r="M8525" s="5" t="s">
        <v>5346</v>
      </c>
    </row>
    <row r="8526" customFormat="false" ht="15.75" hidden="false" customHeight="false" outlineLevel="0" collapsed="false">
      <c r="A8526" s="6" t="n">
        <v>46166</v>
      </c>
      <c r="B8526" s="4" t="s">
        <v>13</v>
      </c>
      <c r="C8526" s="4" t="n">
        <v>11</v>
      </c>
      <c r="D8526" s="4" t="n">
        <v>7</v>
      </c>
      <c r="E8526" s="4" t="s">
        <v>1998</v>
      </c>
      <c r="F8526" s="4" t="n">
        <v>4</v>
      </c>
      <c r="G8526" s="4" t="n">
        <v>9</v>
      </c>
      <c r="H8526" s="4" t="n">
        <v>4</v>
      </c>
      <c r="I8526" s="4" t="str">
        <v>×</v>
      </c>
      <c r="J8526" s="4"/>
      <c r="K8526" s="4"/>
      <c r="L8526" s="4"/>
      <c r="M8526" s="5" t="s">
        <v>5346</v>
      </c>
    </row>
    <row r="8527" customFormat="false" ht="15.75" hidden="false" customHeight="false" outlineLevel="0" collapsed="false">
      <c r="A8527" s="6" t="n">
        <v>46166</v>
      </c>
      <c r="B8527" s="4" t="s">
        <v>13</v>
      </c>
      <c r="C8527" s="4" t="n">
        <v>11</v>
      </c>
      <c r="D8527" s="4" t="n">
        <v>8</v>
      </c>
      <c r="E8527" s="4" t="s">
        <v>4051</v>
      </c>
      <c r="F8527" s="4" t="n">
        <v>6</v>
      </c>
      <c r="G8527" s="4" t="n">
        <v>8</v>
      </c>
      <c r="H8527" s="4" t="n">
        <v>4</v>
      </c>
      <c r="I8527" s="4" t="str">
        <v>×</v>
      </c>
      <c r="J8527" s="4"/>
      <c r="K8527" s="4"/>
      <c r="L8527" s="4"/>
      <c r="M8527" s="5" t="s">
        <v>5346</v>
      </c>
    </row>
    <row r="8528" customFormat="false" ht="15.75" hidden="false" customHeight="false" outlineLevel="0" collapsed="false">
      <c r="A8528" s="6" t="n">
        <v>46166</v>
      </c>
      <c r="B8528" s="4" t="s">
        <v>13</v>
      </c>
      <c r="C8528" s="4" t="n">
        <v>11</v>
      </c>
      <c r="D8528" s="4" t="n">
        <v>9</v>
      </c>
      <c r="E8528" s="4" t="s">
        <v>4052</v>
      </c>
      <c r="F8528" s="4" t="n">
        <v>10</v>
      </c>
      <c r="G8528" s="4" t="n">
        <v>7</v>
      </c>
      <c r="H8528" s="4" t="n">
        <v>1</v>
      </c>
      <c r="I8528" s="4" t="str">
        <v>○</v>
      </c>
      <c r="J8528" s="4" t="n">
        <v>210</v>
      </c>
      <c r="K8528" s="4"/>
      <c r="L8528" s="4"/>
      <c r="M8528" s="5" t="s">
        <v>5346</v>
      </c>
    </row>
    <row r="8529" customFormat="false" ht="15.75" hidden="false" customHeight="false" outlineLevel="0" collapsed="false">
      <c r="A8529" s="6" t="n">
        <v>46166</v>
      </c>
      <c r="B8529" s="4" t="s">
        <v>13</v>
      </c>
      <c r="C8529" s="4" t="n">
        <v>11</v>
      </c>
      <c r="D8529" s="4" t="n">
        <v>10</v>
      </c>
      <c r="E8529" s="4" t="s">
        <v>4050</v>
      </c>
      <c r="F8529" s="4" t="n">
        <v>13</v>
      </c>
      <c r="G8529" s="4" t="n">
        <v>6</v>
      </c>
      <c r="H8529" s="4" t="n">
        <v>4</v>
      </c>
      <c r="I8529" s="4" t="str">
        <v>×</v>
      </c>
      <c r="J8529" s="4"/>
      <c r="K8529" s="4"/>
      <c r="L8529" s="4"/>
      <c r="M8529" s="5" t="s">
        <v>5346</v>
      </c>
    </row>
    <row r="8530" customFormat="false" ht="15.75" hidden="false" customHeight="false" outlineLevel="0" collapsed="false">
      <c r="A8530" s="6" t="n">
        <v>46166</v>
      </c>
      <c r="B8530" s="4" t="s">
        <v>13</v>
      </c>
      <c r="C8530" s="4" t="n">
        <v>11</v>
      </c>
      <c r="D8530" s="4" t="n">
        <v>11</v>
      </c>
      <c r="E8530" s="4" t="s">
        <v>5785</v>
      </c>
      <c r="F8530" s="4" t="n">
        <v>1</v>
      </c>
      <c r="G8530" s="4" t="n">
        <v>10</v>
      </c>
      <c r="H8530" s="4" t="n">
        <v>4</v>
      </c>
      <c r="I8530" s="4" t="str">
        <v>×</v>
      </c>
      <c r="J8530" s="4"/>
      <c r="K8530" s="4"/>
      <c r="L8530" s="4"/>
      <c r="M8530" s="5" t="s">
        <v>5346</v>
      </c>
    </row>
    <row r="8531" customFormat="false" ht="15.75" hidden="false" customHeight="false" outlineLevel="0" collapsed="false">
      <c r="A8531" s="6" t="n">
        <v>46166</v>
      </c>
      <c r="B8531" s="4" t="s">
        <v>13</v>
      </c>
      <c r="C8531" s="4" t="n">
        <v>11</v>
      </c>
      <c r="D8531" s="4" t="n">
        <v>12</v>
      </c>
      <c r="E8531" s="4" t="s">
        <v>4046</v>
      </c>
      <c r="F8531" s="4" t="n">
        <v>29</v>
      </c>
      <c r="G8531" s="4" t="n">
        <v>2</v>
      </c>
      <c r="H8531" s="4" t="n">
        <v>4</v>
      </c>
      <c r="I8531" s="4" t="str">
        <v>×</v>
      </c>
      <c r="J8531" s="4"/>
      <c r="K8531" s="4"/>
      <c r="L8531" s="4"/>
      <c r="M8531" s="5" t="s">
        <v>5346</v>
      </c>
    </row>
    <row r="8532" customFormat="false" ht="15.75" hidden="false" customHeight="false" outlineLevel="0" collapsed="false">
      <c r="A8532" s="6" t="n">
        <v>46166</v>
      </c>
      <c r="B8532" s="4" t="s">
        <v>13</v>
      </c>
      <c r="C8532" s="4" t="n">
        <v>11</v>
      </c>
      <c r="D8532" s="4" t="n">
        <v>13</v>
      </c>
      <c r="E8532" s="4" t="s">
        <v>1993</v>
      </c>
      <c r="F8532" s="4" t="n">
        <v>15</v>
      </c>
      <c r="G8532" s="4" t="n">
        <v>5</v>
      </c>
      <c r="H8532" s="4" t="n">
        <v>4</v>
      </c>
      <c r="I8532" s="4" t="str">
        <v>×</v>
      </c>
      <c r="J8532" s="4"/>
      <c r="K8532" s="4"/>
      <c r="L8532" s="4"/>
      <c r="M8532" s="5" t="s">
        <v>5346</v>
      </c>
    </row>
    <row r="8533" customFormat="false" ht="15.75" hidden="false" customHeight="false" outlineLevel="0" collapsed="false">
      <c r="A8533" s="6" t="n">
        <v>46166</v>
      </c>
      <c r="B8533" s="4" t="s">
        <v>13</v>
      </c>
      <c r="C8533" s="4" t="n">
        <v>11</v>
      </c>
      <c r="D8533" s="4" t="n">
        <v>14</v>
      </c>
      <c r="E8533" s="4" t="s">
        <v>4055</v>
      </c>
      <c r="F8533" s="4" t="n">
        <v>62</v>
      </c>
      <c r="G8533" s="4" t="n">
        <v>1</v>
      </c>
      <c r="H8533" s="4" t="n">
        <v>2</v>
      </c>
      <c r="I8533" s="4" t="str">
        <v>○</v>
      </c>
      <c r="J8533" s="4" t="n">
        <v>180</v>
      </c>
      <c r="K8533" s="4"/>
      <c r="L8533" s="4"/>
      <c r="M8533" s="5" t="s">
        <v>5346</v>
      </c>
    </row>
    <row r="8534" customFormat="false" ht="15.75" hidden="false" customHeight="false" outlineLevel="0" collapsed="false">
      <c r="A8534" s="6" t="n">
        <v>46166</v>
      </c>
      <c r="B8534" s="4" t="s">
        <v>13</v>
      </c>
      <c r="C8534" s="4" t="n">
        <v>11</v>
      </c>
      <c r="D8534" s="4" t="n">
        <v>15</v>
      </c>
      <c r="E8534" s="4" t="s">
        <v>5786</v>
      </c>
      <c r="F8534" s="4" t="n">
        <v>10</v>
      </c>
      <c r="G8534" s="4" t="n">
        <v>7</v>
      </c>
      <c r="H8534" s="4" t="n">
        <v>4</v>
      </c>
      <c r="I8534" s="4" t="str">
        <v>×</v>
      </c>
      <c r="J8534" s="4"/>
      <c r="K8534" s="4"/>
      <c r="L8534" s="4"/>
      <c r="M8534" s="5" t="s">
        <v>5346</v>
      </c>
    </row>
    <row r="8535" customFormat="false" ht="15.75" hidden="false" customHeight="false" outlineLevel="0" collapsed="false">
      <c r="A8535" s="6" t="n">
        <v>46166</v>
      </c>
      <c r="B8535" s="4" t="s">
        <v>13</v>
      </c>
      <c r="C8535" s="4" t="n">
        <v>11</v>
      </c>
      <c r="D8535" s="4" t="n">
        <v>16</v>
      </c>
      <c r="E8535" s="4" t="s">
        <v>5787</v>
      </c>
      <c r="F8535" s="4" t="n">
        <v>4</v>
      </c>
      <c r="G8535" s="4" t="n">
        <v>9</v>
      </c>
      <c r="H8535" s="4" t="n">
        <v>4</v>
      </c>
      <c r="I8535" s="4" t="str">
        <v>×</v>
      </c>
      <c r="J8535" s="4"/>
      <c r="K8535" s="4"/>
      <c r="L8535" s="4"/>
      <c r="M8535" s="5" t="s">
        <v>5346</v>
      </c>
    </row>
    <row r="8536" customFormat="false" ht="15.75" hidden="false" customHeight="false" outlineLevel="0" collapsed="false">
      <c r="A8536" s="6" t="n">
        <v>46166</v>
      </c>
      <c r="B8536" s="4" t="s">
        <v>13</v>
      </c>
      <c r="C8536" s="4" t="n">
        <v>12</v>
      </c>
      <c r="D8536" s="4" t="n">
        <v>1</v>
      </c>
      <c r="E8536" s="4" t="s">
        <v>5788</v>
      </c>
      <c r="F8536" s="4" t="n">
        <v>20</v>
      </c>
      <c r="G8536" s="4" t="n">
        <v>6</v>
      </c>
      <c r="H8536" s="4" t="n">
        <v>4</v>
      </c>
      <c r="I8536" s="4" t="str">
        <v>×</v>
      </c>
      <c r="J8536" s="4"/>
      <c r="K8536" s="4"/>
      <c r="L8536" s="4"/>
      <c r="M8536" s="5" t="s">
        <v>5346</v>
      </c>
    </row>
    <row r="8537" customFormat="false" ht="15.75" hidden="false" customHeight="false" outlineLevel="0" collapsed="false">
      <c r="A8537" s="6" t="n">
        <v>46166</v>
      </c>
      <c r="B8537" s="4" t="s">
        <v>13</v>
      </c>
      <c r="C8537" s="4" t="n">
        <v>12</v>
      </c>
      <c r="D8537" s="4" t="n">
        <v>2</v>
      </c>
      <c r="E8537" s="4" t="s">
        <v>2124</v>
      </c>
      <c r="F8537" s="4" t="n">
        <v>47</v>
      </c>
      <c r="G8537" s="4" t="n">
        <v>2</v>
      </c>
      <c r="H8537" s="4" t="n">
        <v>4</v>
      </c>
      <c r="I8537" s="4" t="str">
        <v>×</v>
      </c>
      <c r="J8537" s="4"/>
      <c r="K8537" s="4"/>
      <c r="L8537" s="4"/>
      <c r="M8537" s="5" t="s">
        <v>5346</v>
      </c>
    </row>
    <row r="8538" customFormat="false" ht="15.75" hidden="false" customHeight="false" outlineLevel="0" collapsed="false">
      <c r="A8538" s="6" t="n">
        <v>46166</v>
      </c>
      <c r="B8538" s="4" t="s">
        <v>13</v>
      </c>
      <c r="C8538" s="4" t="n">
        <v>12</v>
      </c>
      <c r="D8538" s="4" t="n">
        <v>3</v>
      </c>
      <c r="E8538" s="4" t="s">
        <v>5789</v>
      </c>
      <c r="F8538" s="4" t="n">
        <v>37</v>
      </c>
      <c r="G8538" s="4" t="n">
        <v>3</v>
      </c>
      <c r="H8538" s="4" t="n">
        <v>4</v>
      </c>
      <c r="I8538" s="4" t="str">
        <v>×</v>
      </c>
      <c r="J8538" s="4"/>
      <c r="K8538" s="4"/>
      <c r="L8538" s="4"/>
      <c r="M8538" s="5" t="s">
        <v>5346</v>
      </c>
    </row>
    <row r="8539" customFormat="false" ht="15.75" hidden="false" customHeight="false" outlineLevel="0" collapsed="false">
      <c r="A8539" s="6" t="n">
        <v>46166</v>
      </c>
      <c r="B8539" s="4" t="s">
        <v>13</v>
      </c>
      <c r="C8539" s="4" t="n">
        <v>12</v>
      </c>
      <c r="D8539" s="4" t="n">
        <v>4</v>
      </c>
      <c r="E8539" s="4" t="s">
        <v>5172</v>
      </c>
      <c r="F8539" s="4" t="n">
        <v>20</v>
      </c>
      <c r="G8539" s="4" t="n">
        <v>6</v>
      </c>
      <c r="H8539" s="4" t="n">
        <v>2</v>
      </c>
      <c r="I8539" s="4" t="str">
        <v>○</v>
      </c>
      <c r="J8539" s="4" t="n">
        <v>620</v>
      </c>
      <c r="K8539" s="4"/>
      <c r="L8539" s="4"/>
      <c r="M8539" s="5" t="s">
        <v>5346</v>
      </c>
    </row>
    <row r="8540" customFormat="false" ht="15.75" hidden="false" customHeight="false" outlineLevel="0" collapsed="false">
      <c r="A8540" s="6" t="n">
        <v>46166</v>
      </c>
      <c r="B8540" s="4" t="s">
        <v>13</v>
      </c>
      <c r="C8540" s="4" t="n">
        <v>12</v>
      </c>
      <c r="D8540" s="4" t="n">
        <v>5</v>
      </c>
      <c r="E8540" s="4" t="s">
        <v>5790</v>
      </c>
      <c r="F8540" s="4" t="n">
        <v>8</v>
      </c>
      <c r="G8540" s="4" t="n">
        <v>9</v>
      </c>
      <c r="H8540" s="4" t="n">
        <v>4</v>
      </c>
      <c r="I8540" s="4" t="str">
        <v>×</v>
      </c>
      <c r="J8540" s="4"/>
      <c r="K8540" s="4"/>
      <c r="L8540" s="4"/>
      <c r="M8540" s="5" t="s">
        <v>5346</v>
      </c>
    </row>
    <row r="8541" customFormat="false" ht="15.75" hidden="false" customHeight="false" outlineLevel="0" collapsed="false">
      <c r="A8541" s="6" t="n">
        <v>46166</v>
      </c>
      <c r="B8541" s="4" t="s">
        <v>13</v>
      </c>
      <c r="C8541" s="4" t="n">
        <v>12</v>
      </c>
      <c r="D8541" s="4" t="n">
        <v>6</v>
      </c>
      <c r="E8541" s="4" t="s">
        <v>2769</v>
      </c>
      <c r="F8541" s="4" t="n">
        <v>17</v>
      </c>
      <c r="G8541" s="4" t="n">
        <v>7</v>
      </c>
      <c r="H8541" s="4" t="n">
        <v>4</v>
      </c>
      <c r="I8541" s="4" t="str">
        <v>×</v>
      </c>
      <c r="J8541" s="4"/>
      <c r="K8541" s="4"/>
      <c r="L8541" s="4"/>
      <c r="M8541" s="5" t="s">
        <v>5346</v>
      </c>
    </row>
    <row r="8542" customFormat="false" ht="15.75" hidden="false" customHeight="false" outlineLevel="0" collapsed="false">
      <c r="A8542" s="6" t="n">
        <v>46166</v>
      </c>
      <c r="B8542" s="4" t="s">
        <v>13</v>
      </c>
      <c r="C8542" s="4" t="n">
        <v>12</v>
      </c>
      <c r="D8542" s="4" t="n">
        <v>7</v>
      </c>
      <c r="E8542" s="4" t="s">
        <v>5165</v>
      </c>
      <c r="F8542" s="4" t="n">
        <v>8</v>
      </c>
      <c r="G8542" s="4" t="n">
        <v>9</v>
      </c>
      <c r="H8542" s="4" t="n">
        <v>4</v>
      </c>
      <c r="I8542" s="4" t="str">
        <v>×</v>
      </c>
      <c r="J8542" s="4"/>
      <c r="K8542" s="4"/>
      <c r="L8542" s="4"/>
      <c r="M8542" s="5" t="s">
        <v>5346</v>
      </c>
    </row>
    <row r="8543" customFormat="false" ht="15.75" hidden="false" customHeight="false" outlineLevel="0" collapsed="false">
      <c r="A8543" s="6" t="n">
        <v>46166</v>
      </c>
      <c r="B8543" s="4" t="s">
        <v>13</v>
      </c>
      <c r="C8543" s="4" t="n">
        <v>12</v>
      </c>
      <c r="D8543" s="4" t="n">
        <v>8</v>
      </c>
      <c r="E8543" s="4" t="s">
        <v>5791</v>
      </c>
      <c r="F8543" s="4" t="n">
        <v>10</v>
      </c>
      <c r="G8543" s="4" t="n">
        <v>8</v>
      </c>
      <c r="H8543" s="4" t="n">
        <v>4</v>
      </c>
      <c r="I8543" s="4" t="str">
        <v>×</v>
      </c>
      <c r="J8543" s="4"/>
      <c r="K8543" s="4"/>
      <c r="L8543" s="4"/>
      <c r="M8543" s="5" t="s">
        <v>5346</v>
      </c>
    </row>
    <row r="8544" customFormat="false" ht="15.75" hidden="false" customHeight="false" outlineLevel="0" collapsed="false">
      <c r="A8544" s="6" t="n">
        <v>46166</v>
      </c>
      <c r="B8544" s="4" t="s">
        <v>13</v>
      </c>
      <c r="C8544" s="4" t="n">
        <v>12</v>
      </c>
      <c r="D8544" s="4" t="n">
        <v>9</v>
      </c>
      <c r="E8544" s="4" t="s">
        <v>5792</v>
      </c>
      <c r="F8544" s="4" t="n">
        <v>3</v>
      </c>
      <c r="G8544" s="4" t="n">
        <v>11</v>
      </c>
      <c r="H8544" s="4" t="n">
        <v>4</v>
      </c>
      <c r="I8544" s="4" t="str">
        <v>×</v>
      </c>
      <c r="J8544" s="4"/>
      <c r="K8544" s="4"/>
      <c r="L8544" s="4"/>
      <c r="M8544" s="5" t="s">
        <v>5346</v>
      </c>
    </row>
    <row r="8545" customFormat="false" ht="15.75" hidden="false" customHeight="false" outlineLevel="0" collapsed="false">
      <c r="A8545" s="6" t="n">
        <v>46166</v>
      </c>
      <c r="B8545" s="4" t="s">
        <v>13</v>
      </c>
      <c r="C8545" s="4" t="n">
        <v>12</v>
      </c>
      <c r="D8545" s="4" t="n">
        <v>10</v>
      </c>
      <c r="E8545" s="4" t="s">
        <v>5793</v>
      </c>
      <c r="F8545" s="4" t="n">
        <v>65</v>
      </c>
      <c r="G8545" s="4" t="n">
        <v>1</v>
      </c>
      <c r="H8545" s="4" t="n">
        <v>3</v>
      </c>
      <c r="I8545" s="4" t="str">
        <v>○</v>
      </c>
      <c r="J8545" s="4" t="n">
        <v>150</v>
      </c>
      <c r="K8545" s="4"/>
      <c r="L8545" s="4"/>
      <c r="M8545" s="5" t="s">
        <v>5346</v>
      </c>
    </row>
    <row r="8546" customFormat="false" ht="15.75" hidden="false" customHeight="false" outlineLevel="0" collapsed="false">
      <c r="A8546" s="6" t="n">
        <v>46166</v>
      </c>
      <c r="B8546" s="4" t="s">
        <v>13</v>
      </c>
      <c r="C8546" s="4" t="n">
        <v>12</v>
      </c>
      <c r="D8546" s="4" t="n">
        <v>11</v>
      </c>
      <c r="E8546" s="4" t="s">
        <v>5187</v>
      </c>
      <c r="F8546" s="4" t="n">
        <v>31</v>
      </c>
      <c r="G8546" s="4" t="n">
        <v>4</v>
      </c>
      <c r="H8546" s="4" t="n">
        <v>4</v>
      </c>
      <c r="I8546" s="4" t="str">
        <v>×</v>
      </c>
      <c r="J8546" s="4"/>
      <c r="K8546" s="4"/>
      <c r="L8546" s="4"/>
      <c r="M8546" s="5" t="s">
        <v>5346</v>
      </c>
    </row>
    <row r="8547" customFormat="false" ht="15.75" hidden="false" customHeight="false" outlineLevel="0" collapsed="false">
      <c r="A8547" s="6" t="n">
        <v>46166</v>
      </c>
      <c r="B8547" s="4" t="s">
        <v>13</v>
      </c>
      <c r="C8547" s="4" t="n">
        <v>12</v>
      </c>
      <c r="D8547" s="4" t="n">
        <v>12</v>
      </c>
      <c r="E8547" s="4" t="s">
        <v>4041</v>
      </c>
      <c r="F8547" s="4" t="n">
        <v>31</v>
      </c>
      <c r="G8547" s="4" t="n">
        <v>4</v>
      </c>
      <c r="H8547" s="4" t="n">
        <v>1</v>
      </c>
      <c r="I8547" s="4" t="str">
        <v>○</v>
      </c>
      <c r="J8547" s="4" t="n">
        <v>230</v>
      </c>
      <c r="K8547" s="4"/>
      <c r="L8547" s="4"/>
      <c r="M8547" s="5" t="s">
        <v>5346</v>
      </c>
    </row>
    <row r="8548" customFormat="false" ht="15.75" hidden="false" customHeight="false" outlineLevel="0" collapsed="false">
      <c r="A8548" s="6" t="n">
        <v>46166</v>
      </c>
      <c r="B8548" s="4" t="s">
        <v>13</v>
      </c>
      <c r="C8548" s="4" t="n">
        <v>12</v>
      </c>
      <c r="D8548" s="4" t="n">
        <v>13</v>
      </c>
      <c r="E8548" s="4" t="s">
        <v>5794</v>
      </c>
      <c r="F8548" s="4" t="n">
        <v>23</v>
      </c>
      <c r="G8548" s="4" t="n">
        <v>5</v>
      </c>
      <c r="H8548" s="4" t="n">
        <v>4</v>
      </c>
      <c r="I8548" s="4" t="str">
        <v>×</v>
      </c>
      <c r="J8548" s="4"/>
      <c r="K8548" s="4"/>
      <c r="L8548" s="4"/>
      <c r="M8548" s="5" t="s">
        <v>5346</v>
      </c>
    </row>
    <row r="8549" customFormat="false" ht="15.75" hidden="false" customHeight="false" outlineLevel="0" collapsed="false">
      <c r="A8549" s="6" t="n">
        <v>46166</v>
      </c>
      <c r="B8549" s="4" t="s">
        <v>13</v>
      </c>
      <c r="C8549" s="4" t="n">
        <v>12</v>
      </c>
      <c r="D8549" s="4" t="n">
        <v>14</v>
      </c>
      <c r="E8549" s="4" t="s">
        <v>5795</v>
      </c>
      <c r="F8549" s="4" t="n">
        <v>4</v>
      </c>
      <c r="G8549" s="4" t="n">
        <v>10</v>
      </c>
      <c r="H8549" s="4"/>
      <c r="I8549" s="4" t="str">
        <v/>
      </c>
      <c r="J8549" s="4"/>
      <c r="K8549" s="4"/>
      <c r="L8549" s="4"/>
      <c r="M8549" s="5" t="s">
        <v>5346</v>
      </c>
    </row>
    <row r="8550" customFormat="false" ht="15.75" hidden="false" customHeight="false" outlineLevel="0" collapsed="false">
      <c r="A8550" s="6" t="n">
        <v>46166</v>
      </c>
      <c r="B8550" s="4" t="s">
        <v>13</v>
      </c>
      <c r="C8550" s="4" t="n">
        <v>12</v>
      </c>
      <c r="D8550" s="4" t="n">
        <v>15</v>
      </c>
      <c r="E8550" s="4" t="s">
        <v>5796</v>
      </c>
      <c r="F8550" s="4" t="n">
        <v>10</v>
      </c>
      <c r="G8550" s="4" t="n">
        <v>8</v>
      </c>
      <c r="H8550" s="4"/>
      <c r="I8550" s="4" t="str">
        <v/>
      </c>
      <c r="J8550" s="4"/>
      <c r="K8550" s="4"/>
      <c r="L8550" s="4"/>
      <c r="M8550" s="5" t="s">
        <v>5346</v>
      </c>
    </row>
    <row r="8551" customFormat="false" ht="15.75" hidden="false" customHeight="false" outlineLevel="0" collapsed="false">
      <c r="A8551" s="6" t="n">
        <v>46172</v>
      </c>
      <c r="B8551" s="4" t="s">
        <v>4473</v>
      </c>
      <c r="C8551" s="4" t="n">
        <v>1</v>
      </c>
      <c r="D8551" s="4" t="n">
        <v>1</v>
      </c>
      <c r="E8551" s="4" t="s">
        <v>3815</v>
      </c>
      <c r="F8551" s="4" t="n">
        <v>4</v>
      </c>
      <c r="G8551" s="4" t="n">
        <v>11</v>
      </c>
      <c r="H8551" s="4" t="n">
        <v>4</v>
      </c>
      <c r="I8551" s="4" t="str">
        <v>×</v>
      </c>
      <c r="J8551" s="4"/>
      <c r="K8551" s="4"/>
      <c r="L8551" s="4"/>
      <c r="M8551" s="5" t="s">
        <v>5346</v>
      </c>
    </row>
    <row r="8552" customFormat="false" ht="15.75" hidden="false" customHeight="false" outlineLevel="0" collapsed="false">
      <c r="A8552" s="6" t="n">
        <v>46172</v>
      </c>
      <c r="B8552" s="4" t="s">
        <v>4473</v>
      </c>
      <c r="C8552" s="4" t="n">
        <v>1</v>
      </c>
      <c r="D8552" s="4" t="n">
        <v>2</v>
      </c>
      <c r="E8552" s="4" t="s">
        <v>5797</v>
      </c>
      <c r="F8552" s="4" t="n">
        <v>15</v>
      </c>
      <c r="G8552" s="4" t="n">
        <v>6</v>
      </c>
      <c r="H8552" s="4" t="n">
        <v>4</v>
      </c>
      <c r="I8552" s="4" t="str">
        <v>×</v>
      </c>
      <c r="J8552" s="4"/>
      <c r="K8552" s="4"/>
      <c r="L8552" s="4"/>
      <c r="M8552" s="5" t="s">
        <v>5346</v>
      </c>
    </row>
    <row r="8553" customFormat="false" ht="15.75" hidden="false" customHeight="false" outlineLevel="0" collapsed="false">
      <c r="A8553" s="6" t="n">
        <v>46172</v>
      </c>
      <c r="B8553" s="4" t="s">
        <v>4473</v>
      </c>
      <c r="C8553" s="4" t="n">
        <v>1</v>
      </c>
      <c r="D8553" s="4" t="n">
        <v>3</v>
      </c>
      <c r="E8553" s="4" t="s">
        <v>5798</v>
      </c>
      <c r="F8553" s="4" t="n">
        <v>13</v>
      </c>
      <c r="G8553" s="4" t="n">
        <v>7</v>
      </c>
      <c r="H8553" s="4" t="n">
        <v>4</v>
      </c>
      <c r="I8553" s="4" t="str">
        <v>×</v>
      </c>
      <c r="J8553" s="4"/>
      <c r="K8553" s="4"/>
      <c r="L8553" s="4"/>
      <c r="M8553" s="5" t="s">
        <v>5346</v>
      </c>
    </row>
    <row r="8554" customFormat="false" ht="15.75" hidden="false" customHeight="false" outlineLevel="0" collapsed="false">
      <c r="A8554" s="6" t="n">
        <v>46172</v>
      </c>
      <c r="B8554" s="4" t="s">
        <v>4473</v>
      </c>
      <c r="C8554" s="4" t="n">
        <v>1</v>
      </c>
      <c r="D8554" s="4" t="n">
        <v>4</v>
      </c>
      <c r="E8554" s="4" t="s">
        <v>5799</v>
      </c>
      <c r="F8554" s="4" t="n">
        <v>47</v>
      </c>
      <c r="G8554" s="4" t="n">
        <v>2</v>
      </c>
      <c r="H8554" s="4" t="n">
        <v>4</v>
      </c>
      <c r="I8554" s="4" t="str">
        <v>×</v>
      </c>
      <c r="J8554" s="4"/>
      <c r="K8554" s="4"/>
      <c r="L8554" s="4"/>
      <c r="M8554" s="5" t="s">
        <v>5346</v>
      </c>
    </row>
    <row r="8555" customFormat="false" ht="15.75" hidden="false" customHeight="false" outlineLevel="0" collapsed="false">
      <c r="A8555" s="6" t="n">
        <v>46172</v>
      </c>
      <c r="B8555" s="4" t="s">
        <v>4473</v>
      </c>
      <c r="C8555" s="4" t="n">
        <v>1</v>
      </c>
      <c r="D8555" s="4" t="n">
        <v>5</v>
      </c>
      <c r="E8555" s="4" t="s">
        <v>5800</v>
      </c>
      <c r="F8555" s="4" t="n">
        <v>8</v>
      </c>
      <c r="G8555" s="4" t="n">
        <v>9</v>
      </c>
      <c r="H8555" s="4" t="n">
        <v>4</v>
      </c>
      <c r="I8555" s="4" t="str">
        <v>×</v>
      </c>
      <c r="J8555" s="4"/>
      <c r="K8555" s="4"/>
      <c r="L8555" s="4"/>
      <c r="M8555" s="5" t="s">
        <v>5346</v>
      </c>
    </row>
    <row r="8556" customFormat="false" ht="15.75" hidden="false" customHeight="false" outlineLevel="0" collapsed="false">
      <c r="A8556" s="6" t="n">
        <v>46172</v>
      </c>
      <c r="B8556" s="4" t="s">
        <v>4473</v>
      </c>
      <c r="C8556" s="4" t="n">
        <v>1</v>
      </c>
      <c r="D8556" s="4" t="n">
        <v>6</v>
      </c>
      <c r="E8556" s="4" t="s">
        <v>3504</v>
      </c>
      <c r="F8556" s="4" t="n">
        <v>58</v>
      </c>
      <c r="G8556" s="4" t="n">
        <v>1</v>
      </c>
      <c r="H8556" s="4" t="n">
        <v>4</v>
      </c>
      <c r="I8556" s="4" t="str">
        <v>×</v>
      </c>
      <c r="J8556" s="4"/>
      <c r="K8556" s="4"/>
      <c r="L8556" s="4"/>
      <c r="M8556" s="5" t="s">
        <v>5346</v>
      </c>
    </row>
    <row r="8557" customFormat="false" ht="15.75" hidden="false" customHeight="false" outlineLevel="0" collapsed="false">
      <c r="A8557" s="6" t="n">
        <v>46172</v>
      </c>
      <c r="B8557" s="4" t="s">
        <v>4473</v>
      </c>
      <c r="C8557" s="4" t="n">
        <v>1</v>
      </c>
      <c r="D8557" s="4" t="n">
        <v>7</v>
      </c>
      <c r="E8557" s="4" t="s">
        <v>5801</v>
      </c>
      <c r="F8557" s="4" t="n">
        <v>4</v>
      </c>
      <c r="G8557" s="4" t="n">
        <v>11</v>
      </c>
      <c r="H8557" s="4" t="n">
        <v>4</v>
      </c>
      <c r="I8557" s="4" t="str">
        <v>×</v>
      </c>
      <c r="J8557" s="4"/>
      <c r="K8557" s="4"/>
      <c r="L8557" s="4"/>
      <c r="M8557" s="5" t="s">
        <v>5346</v>
      </c>
    </row>
    <row r="8558" customFormat="false" ht="15.75" hidden="false" customHeight="false" outlineLevel="0" collapsed="false">
      <c r="A8558" s="6" t="n">
        <v>46172</v>
      </c>
      <c r="B8558" s="4" t="s">
        <v>4473</v>
      </c>
      <c r="C8558" s="4" t="n">
        <v>1</v>
      </c>
      <c r="D8558" s="4" t="n">
        <v>8</v>
      </c>
      <c r="E8558" s="4" t="s">
        <v>952</v>
      </c>
      <c r="F8558" s="4" t="n">
        <v>6</v>
      </c>
      <c r="G8558" s="4" t="n">
        <v>10</v>
      </c>
      <c r="H8558" s="4" t="n">
        <v>4</v>
      </c>
      <c r="I8558" s="4" t="str">
        <v>×</v>
      </c>
      <c r="J8558" s="4"/>
      <c r="K8558" s="4"/>
      <c r="L8558" s="4"/>
      <c r="M8558" s="5" t="s">
        <v>5346</v>
      </c>
    </row>
    <row r="8559" customFormat="false" ht="15.75" hidden="false" customHeight="false" outlineLevel="0" collapsed="false">
      <c r="A8559" s="6" t="n">
        <v>46172</v>
      </c>
      <c r="B8559" s="4" t="s">
        <v>4473</v>
      </c>
      <c r="C8559" s="4" t="n">
        <v>1</v>
      </c>
      <c r="D8559" s="4" t="n">
        <v>9</v>
      </c>
      <c r="E8559" s="4" t="s">
        <v>4281</v>
      </c>
      <c r="F8559" s="4" t="n">
        <v>37</v>
      </c>
      <c r="G8559" s="4" t="n">
        <v>4</v>
      </c>
      <c r="H8559" s="4" t="n">
        <v>1</v>
      </c>
      <c r="I8559" s="4" t="str">
        <v>○</v>
      </c>
      <c r="J8559" s="4" t="n">
        <v>240</v>
      </c>
      <c r="K8559" s="4"/>
      <c r="L8559" s="4"/>
      <c r="M8559" s="5" t="s">
        <v>5346</v>
      </c>
    </row>
    <row r="8560" customFormat="false" ht="15.75" hidden="false" customHeight="false" outlineLevel="0" collapsed="false">
      <c r="A8560" s="6" t="n">
        <v>46172</v>
      </c>
      <c r="B8560" s="4" t="s">
        <v>4473</v>
      </c>
      <c r="C8560" s="4" t="n">
        <v>1</v>
      </c>
      <c r="D8560" s="4" t="n">
        <v>10</v>
      </c>
      <c r="E8560" s="4" t="s">
        <v>5733</v>
      </c>
      <c r="F8560" s="4" t="n">
        <v>8</v>
      </c>
      <c r="G8560" s="4" t="n">
        <v>9</v>
      </c>
      <c r="H8560" s="4" t="n">
        <v>4</v>
      </c>
      <c r="I8560" s="4" t="str">
        <v>×</v>
      </c>
      <c r="J8560" s="4"/>
      <c r="K8560" s="4"/>
      <c r="L8560" s="4"/>
      <c r="M8560" s="5" t="s">
        <v>5346</v>
      </c>
    </row>
    <row r="8561" customFormat="false" ht="15.75" hidden="false" customHeight="false" outlineLevel="0" collapsed="false">
      <c r="A8561" s="6" t="n">
        <v>46172</v>
      </c>
      <c r="B8561" s="4" t="s">
        <v>4473</v>
      </c>
      <c r="C8561" s="4" t="n">
        <v>1</v>
      </c>
      <c r="D8561" s="4" t="n">
        <v>11</v>
      </c>
      <c r="E8561" s="4" t="s">
        <v>5802</v>
      </c>
      <c r="F8561" s="4" t="n">
        <v>29</v>
      </c>
      <c r="G8561" s="4" t="n">
        <v>5</v>
      </c>
      <c r="H8561" s="4" t="n">
        <v>4</v>
      </c>
      <c r="I8561" s="4" t="str">
        <v>×</v>
      </c>
      <c r="J8561" s="4"/>
      <c r="K8561" s="4"/>
      <c r="L8561" s="4"/>
      <c r="M8561" s="5" t="s">
        <v>5346</v>
      </c>
    </row>
    <row r="8562" customFormat="false" ht="15.75" hidden="false" customHeight="false" outlineLevel="0" collapsed="false">
      <c r="A8562" s="6" t="n">
        <v>46172</v>
      </c>
      <c r="B8562" s="4" t="s">
        <v>4473</v>
      </c>
      <c r="C8562" s="4" t="n">
        <v>1</v>
      </c>
      <c r="D8562" s="4" t="n">
        <v>12</v>
      </c>
      <c r="E8562" s="4" t="s">
        <v>5803</v>
      </c>
      <c r="F8562" s="4" t="n">
        <v>6</v>
      </c>
      <c r="G8562" s="4" t="n">
        <v>10</v>
      </c>
      <c r="H8562" s="4" t="n">
        <v>4</v>
      </c>
      <c r="I8562" s="4" t="str">
        <v>×</v>
      </c>
      <c r="J8562" s="4"/>
      <c r="K8562" s="4"/>
      <c r="L8562" s="4"/>
      <c r="M8562" s="5" t="s">
        <v>5346</v>
      </c>
    </row>
    <row r="8563" customFormat="false" ht="15.75" hidden="false" customHeight="false" outlineLevel="0" collapsed="false">
      <c r="A8563" s="6" t="n">
        <v>46172</v>
      </c>
      <c r="B8563" s="4" t="s">
        <v>4473</v>
      </c>
      <c r="C8563" s="4" t="n">
        <v>1</v>
      </c>
      <c r="D8563" s="4" t="n">
        <v>13</v>
      </c>
      <c r="E8563" s="4" t="s">
        <v>5804</v>
      </c>
      <c r="F8563" s="4" t="n">
        <v>6</v>
      </c>
      <c r="G8563" s="4" t="n">
        <v>10</v>
      </c>
      <c r="H8563" s="4" t="n">
        <v>4</v>
      </c>
      <c r="I8563" s="4" t="str">
        <v>×</v>
      </c>
      <c r="J8563" s="4"/>
      <c r="K8563" s="4"/>
      <c r="L8563" s="4"/>
      <c r="M8563" s="5" t="s">
        <v>5346</v>
      </c>
    </row>
    <row r="8564" customFormat="false" ht="15.75" hidden="false" customHeight="false" outlineLevel="0" collapsed="false">
      <c r="A8564" s="6" t="n">
        <v>46172</v>
      </c>
      <c r="B8564" s="4" t="s">
        <v>4473</v>
      </c>
      <c r="C8564" s="4" t="n">
        <v>1</v>
      </c>
      <c r="D8564" s="4" t="n">
        <v>14</v>
      </c>
      <c r="E8564" s="4" t="s">
        <v>3743</v>
      </c>
      <c r="F8564" s="4" t="n">
        <v>39</v>
      </c>
      <c r="G8564" s="4" t="n">
        <v>3</v>
      </c>
      <c r="H8564" s="4" t="n">
        <v>2</v>
      </c>
      <c r="I8564" s="4" t="str">
        <v>○</v>
      </c>
      <c r="J8564" s="4" t="n">
        <v>140</v>
      </c>
      <c r="K8564" s="4"/>
      <c r="L8564" s="4"/>
      <c r="M8564" s="5" t="s">
        <v>5346</v>
      </c>
    </row>
    <row r="8565" customFormat="false" ht="15.75" hidden="false" customHeight="false" outlineLevel="0" collapsed="false">
      <c r="A8565" s="6" t="n">
        <v>46172</v>
      </c>
      <c r="B8565" s="4" t="s">
        <v>4473</v>
      </c>
      <c r="C8565" s="4" t="n">
        <v>1</v>
      </c>
      <c r="D8565" s="4" t="n">
        <v>15</v>
      </c>
      <c r="E8565" s="4" t="s">
        <v>5805</v>
      </c>
      <c r="F8565" s="4" t="n">
        <v>4</v>
      </c>
      <c r="G8565" s="4" t="n">
        <v>11</v>
      </c>
      <c r="H8565" s="4" t="n">
        <v>4</v>
      </c>
      <c r="I8565" s="4" t="str">
        <v>×</v>
      </c>
      <c r="J8565" s="4"/>
      <c r="K8565" s="4"/>
      <c r="L8565" s="4"/>
      <c r="M8565" s="5" t="s">
        <v>5346</v>
      </c>
    </row>
    <row r="8566" customFormat="false" ht="15.75" hidden="false" customHeight="false" outlineLevel="0" collapsed="false">
      <c r="A8566" s="6" t="n">
        <v>46172</v>
      </c>
      <c r="B8566" s="4" t="s">
        <v>4473</v>
      </c>
      <c r="C8566" s="4" t="n">
        <v>1</v>
      </c>
      <c r="D8566" s="4" t="n">
        <v>16</v>
      </c>
      <c r="E8566" s="4" t="s">
        <v>492</v>
      </c>
      <c r="F8566" s="4" t="n">
        <v>10</v>
      </c>
      <c r="G8566" s="4" t="n">
        <v>8</v>
      </c>
      <c r="H8566" s="4" t="n">
        <v>3</v>
      </c>
      <c r="I8566" s="4" t="str">
        <v>○</v>
      </c>
      <c r="J8566" s="4" t="n">
        <v>1660</v>
      </c>
      <c r="K8566" s="4"/>
      <c r="L8566" s="4"/>
      <c r="M8566" s="5" t="s">
        <v>5346</v>
      </c>
    </row>
    <row r="8567" customFormat="false" ht="15.75" hidden="false" customHeight="false" outlineLevel="0" collapsed="false">
      <c r="A8567" s="6" t="n">
        <v>46172</v>
      </c>
      <c r="B8567" s="4" t="s">
        <v>4473</v>
      </c>
      <c r="C8567" s="4" t="n">
        <v>2</v>
      </c>
      <c r="D8567" s="4" t="n">
        <v>1</v>
      </c>
      <c r="E8567" s="4" t="s">
        <v>854</v>
      </c>
      <c r="F8567" s="4" t="n">
        <v>20</v>
      </c>
      <c r="G8567" s="4" t="n">
        <v>5</v>
      </c>
      <c r="H8567" s="4" t="n">
        <v>4</v>
      </c>
      <c r="I8567" s="4" t="str">
        <v>×</v>
      </c>
      <c r="J8567" s="4"/>
      <c r="K8567" s="4"/>
      <c r="L8567" s="4"/>
      <c r="M8567" s="5" t="s">
        <v>5346</v>
      </c>
    </row>
    <row r="8568" customFormat="false" ht="15.75" hidden="false" customHeight="false" outlineLevel="0" collapsed="false">
      <c r="A8568" s="6" t="n">
        <v>46172</v>
      </c>
      <c r="B8568" s="4" t="s">
        <v>4473</v>
      </c>
      <c r="C8568" s="4" t="n">
        <v>2</v>
      </c>
      <c r="D8568" s="4" t="n">
        <v>2</v>
      </c>
      <c r="E8568" s="4" t="s">
        <v>5806</v>
      </c>
      <c r="F8568" s="4" t="n">
        <v>47</v>
      </c>
      <c r="G8568" s="4" t="n">
        <v>2</v>
      </c>
      <c r="H8568" s="4" t="n">
        <v>1</v>
      </c>
      <c r="I8568" s="4" t="str">
        <v>○</v>
      </c>
      <c r="J8568" s="4" t="n">
        <v>140</v>
      </c>
      <c r="K8568" s="4"/>
      <c r="L8568" s="4"/>
      <c r="M8568" s="5" t="s">
        <v>5346</v>
      </c>
    </row>
    <row r="8569" customFormat="false" ht="15.75" hidden="false" customHeight="false" outlineLevel="0" collapsed="false">
      <c r="A8569" s="6" t="n">
        <v>46172</v>
      </c>
      <c r="B8569" s="4" t="s">
        <v>4473</v>
      </c>
      <c r="C8569" s="4" t="n">
        <v>2</v>
      </c>
      <c r="D8569" s="4" t="n">
        <v>3</v>
      </c>
      <c r="E8569" s="4" t="s">
        <v>5807</v>
      </c>
      <c r="F8569" s="4" t="n">
        <v>3</v>
      </c>
      <c r="G8569" s="4" t="n">
        <v>11</v>
      </c>
      <c r="H8569" s="4" t="n">
        <v>4</v>
      </c>
      <c r="I8569" s="4" t="str">
        <v>×</v>
      </c>
      <c r="J8569" s="4"/>
      <c r="K8569" s="4"/>
      <c r="L8569" s="4"/>
      <c r="M8569" s="5" t="s">
        <v>5346</v>
      </c>
    </row>
    <row r="8570" customFormat="false" ht="15.75" hidden="false" customHeight="false" outlineLevel="0" collapsed="false">
      <c r="A8570" s="6" t="n">
        <v>46172</v>
      </c>
      <c r="B8570" s="4" t="s">
        <v>4473</v>
      </c>
      <c r="C8570" s="4" t="n">
        <v>2</v>
      </c>
      <c r="D8570" s="4" t="n">
        <v>4</v>
      </c>
      <c r="E8570" s="4" t="s">
        <v>5808</v>
      </c>
      <c r="F8570" s="4" t="n">
        <v>56</v>
      </c>
      <c r="G8570" s="4" t="n">
        <v>1</v>
      </c>
      <c r="H8570" s="4" t="n">
        <v>4</v>
      </c>
      <c r="I8570" s="4" t="str">
        <v>×</v>
      </c>
      <c r="J8570" s="4"/>
      <c r="K8570" s="4"/>
      <c r="L8570" s="4"/>
      <c r="M8570" s="5" t="s">
        <v>5346</v>
      </c>
    </row>
    <row r="8571" customFormat="false" ht="15.75" hidden="false" customHeight="false" outlineLevel="0" collapsed="false">
      <c r="A8571" s="6" t="n">
        <v>46172</v>
      </c>
      <c r="B8571" s="4" t="s">
        <v>4473</v>
      </c>
      <c r="C8571" s="4" t="n">
        <v>2</v>
      </c>
      <c r="D8571" s="4" t="n">
        <v>5</v>
      </c>
      <c r="E8571" s="4" t="s">
        <v>5809</v>
      </c>
      <c r="F8571" s="4" t="n">
        <v>10</v>
      </c>
      <c r="G8571" s="4" t="n">
        <v>9</v>
      </c>
      <c r="H8571" s="4" t="n">
        <v>4</v>
      </c>
      <c r="I8571" s="4" t="str">
        <v>×</v>
      </c>
      <c r="J8571" s="4"/>
      <c r="K8571" s="4"/>
      <c r="L8571" s="4"/>
      <c r="M8571" s="5" t="s">
        <v>5346</v>
      </c>
    </row>
    <row r="8572" customFormat="false" ht="15.75" hidden="false" customHeight="false" outlineLevel="0" collapsed="false">
      <c r="A8572" s="6" t="n">
        <v>46172</v>
      </c>
      <c r="B8572" s="4" t="s">
        <v>4473</v>
      </c>
      <c r="C8572" s="4" t="n">
        <v>2</v>
      </c>
      <c r="D8572" s="4" t="n">
        <v>6</v>
      </c>
      <c r="E8572" s="4" t="s">
        <v>1406</v>
      </c>
      <c r="F8572" s="4" t="n">
        <v>41</v>
      </c>
      <c r="G8572" s="4" t="n">
        <v>3</v>
      </c>
      <c r="H8572" s="4" t="n">
        <v>3</v>
      </c>
      <c r="I8572" s="4" t="str">
        <v>○</v>
      </c>
      <c r="J8572" s="4" t="n">
        <v>240</v>
      </c>
      <c r="K8572" s="4"/>
      <c r="L8572" s="4"/>
      <c r="M8572" s="5" t="s">
        <v>5346</v>
      </c>
    </row>
    <row r="8573" customFormat="false" ht="15.75" hidden="false" customHeight="false" outlineLevel="0" collapsed="false">
      <c r="A8573" s="6" t="n">
        <v>46172</v>
      </c>
      <c r="B8573" s="4" t="s">
        <v>4473</v>
      </c>
      <c r="C8573" s="4" t="n">
        <v>2</v>
      </c>
      <c r="D8573" s="4" t="n">
        <v>7</v>
      </c>
      <c r="E8573" s="4" t="s">
        <v>1016</v>
      </c>
      <c r="F8573" s="4" t="n">
        <v>15</v>
      </c>
      <c r="G8573" s="4" t="n">
        <v>7</v>
      </c>
      <c r="H8573" s="4" t="n">
        <v>4</v>
      </c>
      <c r="I8573" s="4" t="str">
        <v>×</v>
      </c>
      <c r="J8573" s="4"/>
      <c r="K8573" s="4"/>
      <c r="L8573" s="4"/>
      <c r="M8573" s="5" t="s">
        <v>5346</v>
      </c>
    </row>
    <row r="8574" customFormat="false" ht="15.75" hidden="false" customHeight="false" outlineLevel="0" collapsed="false">
      <c r="A8574" s="6" t="n">
        <v>46172</v>
      </c>
      <c r="B8574" s="4" t="s">
        <v>4473</v>
      </c>
      <c r="C8574" s="4" t="n">
        <v>2</v>
      </c>
      <c r="D8574" s="4" t="n">
        <v>8</v>
      </c>
      <c r="E8574" s="4" t="s">
        <v>5810</v>
      </c>
      <c r="F8574" s="4" t="n">
        <v>15</v>
      </c>
      <c r="G8574" s="4" t="n">
        <v>7</v>
      </c>
      <c r="H8574" s="4"/>
      <c r="I8574" s="4" t="str">
        <v/>
      </c>
      <c r="J8574" s="4"/>
      <c r="K8574" s="4"/>
      <c r="L8574" s="4"/>
      <c r="M8574" s="5" t="s">
        <v>5346</v>
      </c>
    </row>
    <row r="8575" customFormat="false" ht="15.75" hidden="false" customHeight="false" outlineLevel="0" collapsed="false">
      <c r="A8575" s="6" t="n">
        <v>46172</v>
      </c>
      <c r="B8575" s="4" t="s">
        <v>4473</v>
      </c>
      <c r="C8575" s="4" t="n">
        <v>2</v>
      </c>
      <c r="D8575" s="4" t="n">
        <v>9</v>
      </c>
      <c r="E8575" s="4" t="s">
        <v>5811</v>
      </c>
      <c r="F8575" s="4" t="n">
        <v>6</v>
      </c>
      <c r="G8575" s="4" t="n">
        <v>10</v>
      </c>
      <c r="H8575" s="4" t="n">
        <v>4</v>
      </c>
      <c r="I8575" s="4" t="str">
        <v>×</v>
      </c>
      <c r="J8575" s="4"/>
      <c r="K8575" s="4"/>
      <c r="L8575" s="4"/>
      <c r="M8575" s="5" t="s">
        <v>5346</v>
      </c>
    </row>
    <row r="8576" customFormat="false" ht="15.75" hidden="false" customHeight="false" outlineLevel="0" collapsed="false">
      <c r="A8576" s="6" t="n">
        <v>46172</v>
      </c>
      <c r="B8576" s="4" t="s">
        <v>4473</v>
      </c>
      <c r="C8576" s="4" t="n">
        <v>2</v>
      </c>
      <c r="D8576" s="4" t="n">
        <v>10</v>
      </c>
      <c r="E8576" s="4" t="s">
        <v>5755</v>
      </c>
      <c r="F8576" s="4" t="n">
        <v>2</v>
      </c>
      <c r="G8576" s="4" t="n">
        <v>12</v>
      </c>
      <c r="H8576" s="4" t="n">
        <v>4</v>
      </c>
      <c r="I8576" s="4" t="str">
        <v>×</v>
      </c>
      <c r="J8576" s="4"/>
      <c r="K8576" s="4"/>
      <c r="L8576" s="4"/>
      <c r="M8576" s="5" t="s">
        <v>5346</v>
      </c>
    </row>
    <row r="8577" customFormat="false" ht="15.75" hidden="false" customHeight="false" outlineLevel="0" collapsed="false">
      <c r="A8577" s="6" t="n">
        <v>46172</v>
      </c>
      <c r="B8577" s="4" t="s">
        <v>4473</v>
      </c>
      <c r="C8577" s="4" t="n">
        <v>2</v>
      </c>
      <c r="D8577" s="4" t="n">
        <v>11</v>
      </c>
      <c r="E8577" s="4" t="s">
        <v>4095</v>
      </c>
      <c r="F8577" s="4" t="n">
        <v>17</v>
      </c>
      <c r="G8577" s="4" t="n">
        <v>6</v>
      </c>
      <c r="H8577" s="4" t="n">
        <v>4</v>
      </c>
      <c r="I8577" s="4" t="str">
        <v>×</v>
      </c>
      <c r="J8577" s="4"/>
      <c r="K8577" s="4"/>
      <c r="L8577" s="4"/>
      <c r="M8577" s="5" t="s">
        <v>5346</v>
      </c>
    </row>
    <row r="8578" customFormat="false" ht="15.75" hidden="false" customHeight="false" outlineLevel="0" collapsed="false">
      <c r="A8578" s="6" t="n">
        <v>46172</v>
      </c>
      <c r="B8578" s="4" t="s">
        <v>4473</v>
      </c>
      <c r="C8578" s="4" t="n">
        <v>2</v>
      </c>
      <c r="D8578" s="4" t="n">
        <v>12</v>
      </c>
      <c r="E8578" s="4" t="s">
        <v>2589</v>
      </c>
      <c r="F8578" s="4" t="n">
        <v>29</v>
      </c>
      <c r="G8578" s="4" t="n">
        <v>4</v>
      </c>
      <c r="H8578" s="4" t="n">
        <v>4</v>
      </c>
      <c r="I8578" s="4" t="str">
        <v>×</v>
      </c>
      <c r="J8578" s="4"/>
      <c r="K8578" s="4"/>
      <c r="L8578" s="4"/>
      <c r="M8578" s="5" t="s">
        <v>5346</v>
      </c>
    </row>
    <row r="8579" customFormat="false" ht="15.75" hidden="false" customHeight="false" outlineLevel="0" collapsed="false">
      <c r="A8579" s="6" t="n">
        <v>46172</v>
      </c>
      <c r="B8579" s="4" t="s">
        <v>4473</v>
      </c>
      <c r="C8579" s="4" t="n">
        <v>2</v>
      </c>
      <c r="D8579" s="4" t="n">
        <v>13</v>
      </c>
      <c r="E8579" s="4" t="s">
        <v>2693</v>
      </c>
      <c r="F8579" s="4" t="n">
        <v>3</v>
      </c>
      <c r="G8579" s="4" t="n">
        <v>11</v>
      </c>
      <c r="H8579" s="4" t="n">
        <v>4</v>
      </c>
      <c r="I8579" s="4" t="str">
        <v>×</v>
      </c>
      <c r="J8579" s="4"/>
      <c r="K8579" s="4"/>
      <c r="L8579" s="4"/>
      <c r="M8579" s="5" t="s">
        <v>5346</v>
      </c>
    </row>
    <row r="8580" customFormat="false" ht="15.75" hidden="false" customHeight="false" outlineLevel="0" collapsed="false">
      <c r="A8580" s="6" t="n">
        <v>46172</v>
      </c>
      <c r="B8580" s="4" t="s">
        <v>4473</v>
      </c>
      <c r="C8580" s="4" t="n">
        <v>2</v>
      </c>
      <c r="D8580" s="4" t="n">
        <v>14</v>
      </c>
      <c r="E8580" s="4" t="s">
        <v>4883</v>
      </c>
      <c r="F8580" s="4" t="n">
        <v>3</v>
      </c>
      <c r="G8580" s="4" t="n">
        <v>11</v>
      </c>
      <c r="H8580" s="4" t="n">
        <v>2</v>
      </c>
      <c r="I8580" s="4" t="str">
        <v>○</v>
      </c>
      <c r="J8580" s="4" t="n">
        <v>2070</v>
      </c>
      <c r="K8580" s="4"/>
      <c r="L8580" s="4"/>
      <c r="M8580" s="5" t="s">
        <v>5346</v>
      </c>
    </row>
    <row r="8581" customFormat="false" ht="15.75" hidden="false" customHeight="false" outlineLevel="0" collapsed="false">
      <c r="A8581" s="6" t="n">
        <v>46172</v>
      </c>
      <c r="B8581" s="4" t="s">
        <v>4473</v>
      </c>
      <c r="C8581" s="4" t="n">
        <v>2</v>
      </c>
      <c r="D8581" s="4" t="n">
        <v>15</v>
      </c>
      <c r="E8581" s="4" t="s">
        <v>5135</v>
      </c>
      <c r="F8581" s="4" t="n">
        <v>6</v>
      </c>
      <c r="G8581" s="4" t="n">
        <v>10</v>
      </c>
      <c r="H8581" s="4" t="n">
        <v>4</v>
      </c>
      <c r="I8581" s="4" t="str">
        <v>×</v>
      </c>
      <c r="J8581" s="4"/>
      <c r="K8581" s="4"/>
      <c r="L8581" s="4"/>
      <c r="M8581" s="5" t="s">
        <v>5346</v>
      </c>
    </row>
    <row r="8582" customFormat="false" ht="15.75" hidden="false" customHeight="false" outlineLevel="0" collapsed="false">
      <c r="A8582" s="6" t="n">
        <v>46172</v>
      </c>
      <c r="B8582" s="4" t="s">
        <v>4473</v>
      </c>
      <c r="C8582" s="4" t="n">
        <v>2</v>
      </c>
      <c r="D8582" s="4" t="n">
        <v>16</v>
      </c>
      <c r="E8582" s="4" t="s">
        <v>5812</v>
      </c>
      <c r="F8582" s="4" t="n">
        <v>13</v>
      </c>
      <c r="G8582" s="4" t="n">
        <v>8</v>
      </c>
      <c r="H8582" s="4" t="n">
        <v>4</v>
      </c>
      <c r="I8582" s="4" t="str">
        <v>×</v>
      </c>
      <c r="J8582" s="4"/>
      <c r="K8582" s="4"/>
      <c r="L8582" s="4"/>
      <c r="M8582" s="5" t="s">
        <v>5346</v>
      </c>
    </row>
    <row r="8583" customFormat="false" ht="15.75" hidden="false" customHeight="false" outlineLevel="0" collapsed="false">
      <c r="A8583" s="6" t="n">
        <v>46172</v>
      </c>
      <c r="B8583" s="4" t="s">
        <v>4473</v>
      </c>
      <c r="C8583" s="4" t="n">
        <v>3</v>
      </c>
      <c r="D8583" s="4" t="n">
        <v>1</v>
      </c>
      <c r="E8583" s="4" t="s">
        <v>5813</v>
      </c>
      <c r="F8583" s="4" t="n">
        <v>4</v>
      </c>
      <c r="G8583" s="4" t="n">
        <v>8</v>
      </c>
      <c r="H8583" s="4" t="n">
        <v>4</v>
      </c>
      <c r="I8583" s="4" t="str">
        <v>×</v>
      </c>
      <c r="J8583" s="4"/>
      <c r="K8583" s="4"/>
      <c r="L8583" s="4"/>
      <c r="M8583" s="5" t="s">
        <v>5346</v>
      </c>
    </row>
    <row r="8584" customFormat="false" ht="15.75" hidden="false" customHeight="false" outlineLevel="0" collapsed="false">
      <c r="A8584" s="6" t="n">
        <v>46172</v>
      </c>
      <c r="B8584" s="4" t="s">
        <v>4473</v>
      </c>
      <c r="C8584" s="4" t="n">
        <v>3</v>
      </c>
      <c r="D8584" s="4" t="n">
        <v>2</v>
      </c>
      <c r="E8584" s="4" t="s">
        <v>5814</v>
      </c>
      <c r="F8584" s="4" t="n">
        <v>3</v>
      </c>
      <c r="G8584" s="4" t="n">
        <v>9</v>
      </c>
      <c r="H8584" s="4" t="n">
        <v>4</v>
      </c>
      <c r="I8584" s="4" t="str">
        <v>×</v>
      </c>
      <c r="J8584" s="4"/>
      <c r="K8584" s="4"/>
      <c r="L8584" s="4"/>
      <c r="M8584" s="5" t="s">
        <v>5346</v>
      </c>
    </row>
    <row r="8585" customFormat="false" ht="15.75" hidden="false" customHeight="false" outlineLevel="0" collapsed="false">
      <c r="A8585" s="6" t="n">
        <v>46172</v>
      </c>
      <c r="B8585" s="4" t="s">
        <v>4473</v>
      </c>
      <c r="C8585" s="4" t="n">
        <v>3</v>
      </c>
      <c r="D8585" s="4" t="n">
        <v>3</v>
      </c>
      <c r="E8585" s="4" t="s">
        <v>2939</v>
      </c>
      <c r="F8585" s="4" t="n">
        <v>8</v>
      </c>
      <c r="G8585" s="4" t="n">
        <v>6</v>
      </c>
      <c r="H8585" s="4" t="n">
        <v>4</v>
      </c>
      <c r="I8585" s="4" t="str">
        <v>×</v>
      </c>
      <c r="J8585" s="4"/>
      <c r="K8585" s="4"/>
      <c r="L8585" s="4"/>
      <c r="M8585" s="5" t="s">
        <v>5346</v>
      </c>
    </row>
    <row r="8586" customFormat="false" ht="15.75" hidden="false" customHeight="false" outlineLevel="0" collapsed="false">
      <c r="A8586" s="6" t="n">
        <v>46172</v>
      </c>
      <c r="B8586" s="4" t="s">
        <v>4473</v>
      </c>
      <c r="C8586" s="4" t="n">
        <v>3</v>
      </c>
      <c r="D8586" s="4" t="n">
        <v>4</v>
      </c>
      <c r="E8586" s="4" t="s">
        <v>173</v>
      </c>
      <c r="F8586" s="4" t="n">
        <v>62</v>
      </c>
      <c r="G8586" s="4" t="n">
        <v>1</v>
      </c>
      <c r="H8586" s="4" t="n">
        <v>1</v>
      </c>
      <c r="I8586" s="4" t="str">
        <v>○</v>
      </c>
      <c r="J8586" s="4" t="n">
        <v>110</v>
      </c>
      <c r="K8586" s="4"/>
      <c r="L8586" s="4"/>
      <c r="M8586" s="5" t="s">
        <v>5346</v>
      </c>
    </row>
    <row r="8587" customFormat="false" ht="15.75" hidden="false" customHeight="false" outlineLevel="0" collapsed="false">
      <c r="A8587" s="6" t="n">
        <v>46172</v>
      </c>
      <c r="B8587" s="4" t="s">
        <v>4473</v>
      </c>
      <c r="C8587" s="4" t="n">
        <v>3</v>
      </c>
      <c r="D8587" s="4" t="n">
        <v>5</v>
      </c>
      <c r="E8587" s="4" t="s">
        <v>5815</v>
      </c>
      <c r="F8587" s="4" t="n">
        <v>3</v>
      </c>
      <c r="G8587" s="4" t="n">
        <v>9</v>
      </c>
      <c r="H8587" s="4" t="n">
        <v>4</v>
      </c>
      <c r="I8587" s="4" t="str">
        <v>×</v>
      </c>
      <c r="J8587" s="4"/>
      <c r="K8587" s="4"/>
      <c r="L8587" s="4"/>
      <c r="M8587" s="5" t="s">
        <v>5346</v>
      </c>
    </row>
    <row r="8588" customFormat="false" ht="15.75" hidden="false" customHeight="false" outlineLevel="0" collapsed="false">
      <c r="A8588" s="6" t="n">
        <v>46172</v>
      </c>
      <c r="B8588" s="4" t="s">
        <v>4473</v>
      </c>
      <c r="C8588" s="4" t="n">
        <v>3</v>
      </c>
      <c r="D8588" s="4" t="n">
        <v>6</v>
      </c>
      <c r="E8588" s="4" t="s">
        <v>156</v>
      </c>
      <c r="F8588" s="4" t="n">
        <v>6</v>
      </c>
      <c r="G8588" s="4" t="n">
        <v>7</v>
      </c>
      <c r="H8588" s="4" t="n">
        <v>4</v>
      </c>
      <c r="I8588" s="4" t="str">
        <v>×</v>
      </c>
      <c r="J8588" s="4"/>
      <c r="K8588" s="4"/>
      <c r="L8588" s="4"/>
      <c r="M8588" s="5" t="s">
        <v>5346</v>
      </c>
    </row>
    <row r="8589" customFormat="false" ht="15.75" hidden="false" customHeight="false" outlineLevel="0" collapsed="false">
      <c r="A8589" s="6" t="n">
        <v>46172</v>
      </c>
      <c r="B8589" s="4" t="s">
        <v>4473</v>
      </c>
      <c r="C8589" s="4" t="n">
        <v>3</v>
      </c>
      <c r="D8589" s="4" t="n">
        <v>7</v>
      </c>
      <c r="E8589" s="4" t="s">
        <v>4121</v>
      </c>
      <c r="F8589" s="4" t="n">
        <v>34</v>
      </c>
      <c r="G8589" s="4" t="n">
        <v>3</v>
      </c>
      <c r="H8589" s="4" t="n">
        <v>4</v>
      </c>
      <c r="I8589" s="4" t="str">
        <v>×</v>
      </c>
      <c r="J8589" s="4"/>
      <c r="K8589" s="4"/>
      <c r="L8589" s="4"/>
      <c r="M8589" s="5" t="s">
        <v>5346</v>
      </c>
    </row>
    <row r="8590" customFormat="false" ht="15.75" hidden="false" customHeight="false" outlineLevel="0" collapsed="false">
      <c r="A8590" s="6" t="n">
        <v>46172</v>
      </c>
      <c r="B8590" s="4" t="s">
        <v>4473</v>
      </c>
      <c r="C8590" s="4" t="n">
        <v>3</v>
      </c>
      <c r="D8590" s="4" t="n">
        <v>8</v>
      </c>
      <c r="E8590" s="4" t="s">
        <v>3006</v>
      </c>
      <c r="F8590" s="4" t="n">
        <v>20</v>
      </c>
      <c r="G8590" s="4" t="n">
        <v>5</v>
      </c>
      <c r="H8590" s="4" t="n">
        <v>4</v>
      </c>
      <c r="I8590" s="4" t="str">
        <v>×</v>
      </c>
      <c r="J8590" s="4"/>
      <c r="K8590" s="4"/>
      <c r="L8590" s="4"/>
      <c r="M8590" s="5" t="s">
        <v>5346</v>
      </c>
    </row>
    <row r="8591" customFormat="false" ht="15.75" hidden="false" customHeight="false" outlineLevel="0" collapsed="false">
      <c r="A8591" s="6" t="n">
        <v>46172</v>
      </c>
      <c r="B8591" s="4" t="s">
        <v>4473</v>
      </c>
      <c r="C8591" s="4" t="n">
        <v>3</v>
      </c>
      <c r="D8591" s="4" t="n">
        <v>9</v>
      </c>
      <c r="E8591" s="4" t="s">
        <v>5816</v>
      </c>
      <c r="F8591" s="4" t="n">
        <v>4</v>
      </c>
      <c r="G8591" s="4" t="n">
        <v>8</v>
      </c>
      <c r="H8591" s="4" t="n">
        <v>4</v>
      </c>
      <c r="I8591" s="4" t="str">
        <v>×</v>
      </c>
      <c r="J8591" s="4"/>
      <c r="K8591" s="4"/>
      <c r="L8591" s="4"/>
      <c r="M8591" s="5" t="s">
        <v>5346</v>
      </c>
    </row>
    <row r="8592" customFormat="false" ht="15.75" hidden="false" customHeight="false" outlineLevel="0" collapsed="false">
      <c r="A8592" s="6" t="n">
        <v>46172</v>
      </c>
      <c r="B8592" s="4" t="s">
        <v>4473</v>
      </c>
      <c r="C8592" s="4" t="n">
        <v>3</v>
      </c>
      <c r="D8592" s="4" t="n">
        <v>10</v>
      </c>
      <c r="E8592" s="4" t="s">
        <v>2341</v>
      </c>
      <c r="F8592" s="4" t="n">
        <v>4</v>
      </c>
      <c r="G8592" s="4" t="n">
        <v>8</v>
      </c>
      <c r="H8592" s="4" t="n">
        <v>4</v>
      </c>
      <c r="I8592" s="4" t="str">
        <v>×</v>
      </c>
      <c r="J8592" s="4"/>
      <c r="K8592" s="4"/>
      <c r="L8592" s="4"/>
      <c r="M8592" s="5" t="s">
        <v>5346</v>
      </c>
    </row>
    <row r="8593" customFormat="false" ht="15.75" hidden="false" customHeight="false" outlineLevel="0" collapsed="false">
      <c r="A8593" s="6" t="n">
        <v>46172</v>
      </c>
      <c r="B8593" s="4" t="s">
        <v>4473</v>
      </c>
      <c r="C8593" s="4" t="n">
        <v>3</v>
      </c>
      <c r="D8593" s="4" t="n">
        <v>11</v>
      </c>
      <c r="E8593" s="4" t="s">
        <v>2943</v>
      </c>
      <c r="F8593" s="4" t="n">
        <v>34</v>
      </c>
      <c r="G8593" s="4" t="n">
        <v>3</v>
      </c>
      <c r="H8593" s="4" t="n">
        <v>4</v>
      </c>
      <c r="I8593" s="4" t="str">
        <v>×</v>
      </c>
      <c r="J8593" s="4"/>
      <c r="K8593" s="4"/>
      <c r="L8593" s="4"/>
      <c r="M8593" s="5" t="s">
        <v>5346</v>
      </c>
    </row>
    <row r="8594" customFormat="false" ht="15.75" hidden="false" customHeight="false" outlineLevel="0" collapsed="false">
      <c r="A8594" s="6" t="n">
        <v>46172</v>
      </c>
      <c r="B8594" s="4" t="s">
        <v>4473</v>
      </c>
      <c r="C8594" s="4" t="n">
        <v>3</v>
      </c>
      <c r="D8594" s="4" t="n">
        <v>12</v>
      </c>
      <c r="E8594" s="4" t="s">
        <v>5140</v>
      </c>
      <c r="F8594" s="4" t="n">
        <v>6</v>
      </c>
      <c r="G8594" s="4" t="n">
        <v>7</v>
      </c>
      <c r="H8594" s="4" t="n">
        <v>3</v>
      </c>
      <c r="I8594" s="4" t="str">
        <v>○</v>
      </c>
      <c r="J8594" s="4" t="n">
        <v>1820</v>
      </c>
      <c r="K8594" s="4"/>
      <c r="L8594" s="4"/>
      <c r="M8594" s="5" t="s">
        <v>5346</v>
      </c>
    </row>
    <row r="8595" customFormat="false" ht="15.75" hidden="false" customHeight="false" outlineLevel="0" collapsed="false">
      <c r="A8595" s="6" t="n">
        <v>46172</v>
      </c>
      <c r="B8595" s="4" t="s">
        <v>4473</v>
      </c>
      <c r="C8595" s="4" t="n">
        <v>3</v>
      </c>
      <c r="D8595" s="4" t="n">
        <v>13</v>
      </c>
      <c r="E8595" s="4" t="s">
        <v>506</v>
      </c>
      <c r="F8595" s="4" t="n">
        <v>8</v>
      </c>
      <c r="G8595" s="4" t="n">
        <v>6</v>
      </c>
      <c r="H8595" s="4" t="n">
        <v>4</v>
      </c>
      <c r="I8595" s="4" t="str">
        <v>×</v>
      </c>
      <c r="J8595" s="4"/>
      <c r="K8595" s="4"/>
      <c r="L8595" s="4"/>
      <c r="M8595" s="5" t="s">
        <v>5346</v>
      </c>
    </row>
    <row r="8596" customFormat="false" ht="15.75" hidden="false" customHeight="false" outlineLevel="0" collapsed="false">
      <c r="A8596" s="6" t="n">
        <v>46172</v>
      </c>
      <c r="B8596" s="4" t="s">
        <v>4473</v>
      </c>
      <c r="C8596" s="4" t="n">
        <v>3</v>
      </c>
      <c r="D8596" s="4" t="n">
        <v>14</v>
      </c>
      <c r="E8596" s="4" t="s">
        <v>48</v>
      </c>
      <c r="F8596" s="4" t="n">
        <v>4</v>
      </c>
      <c r="G8596" s="4" t="n">
        <v>8</v>
      </c>
      <c r="H8596" s="4" t="n">
        <v>4</v>
      </c>
      <c r="I8596" s="4" t="str">
        <v>×</v>
      </c>
      <c r="J8596" s="4"/>
      <c r="K8596" s="4"/>
      <c r="L8596" s="4"/>
      <c r="M8596" s="5" t="s">
        <v>5346</v>
      </c>
    </row>
    <row r="8597" customFormat="false" ht="15.75" hidden="false" customHeight="false" outlineLevel="0" collapsed="false">
      <c r="A8597" s="6" t="n">
        <v>46172</v>
      </c>
      <c r="B8597" s="4" t="s">
        <v>4473</v>
      </c>
      <c r="C8597" s="4" t="n">
        <v>3</v>
      </c>
      <c r="D8597" s="4" t="n">
        <v>15</v>
      </c>
      <c r="E8597" s="4" t="s">
        <v>2194</v>
      </c>
      <c r="F8597" s="4" t="n">
        <v>23</v>
      </c>
      <c r="G8597" s="4" t="n">
        <v>4</v>
      </c>
      <c r="H8597" s="4" t="n">
        <v>4</v>
      </c>
      <c r="I8597" s="4" t="str">
        <v>×</v>
      </c>
      <c r="J8597" s="4"/>
      <c r="K8597" s="4"/>
      <c r="L8597" s="4"/>
      <c r="M8597" s="5" t="s">
        <v>5346</v>
      </c>
    </row>
    <row r="8598" customFormat="false" ht="15.75" hidden="false" customHeight="false" outlineLevel="0" collapsed="false">
      <c r="A8598" s="6" t="n">
        <v>46172</v>
      </c>
      <c r="B8598" s="4" t="s">
        <v>4473</v>
      </c>
      <c r="C8598" s="4" t="n">
        <v>3</v>
      </c>
      <c r="D8598" s="4" t="n">
        <v>16</v>
      </c>
      <c r="E8598" s="4" t="s">
        <v>4097</v>
      </c>
      <c r="F8598" s="4" t="n">
        <v>20</v>
      </c>
      <c r="G8598" s="4" t="n">
        <v>5</v>
      </c>
      <c r="H8598" s="4" t="n">
        <v>4</v>
      </c>
      <c r="I8598" s="4" t="str">
        <v>×</v>
      </c>
      <c r="J8598" s="4"/>
      <c r="K8598" s="4"/>
      <c r="L8598" s="4"/>
      <c r="M8598" s="5" t="s">
        <v>5346</v>
      </c>
    </row>
    <row r="8599" customFormat="false" ht="15.75" hidden="false" customHeight="false" outlineLevel="0" collapsed="false">
      <c r="A8599" s="6" t="n">
        <v>46172</v>
      </c>
      <c r="B8599" s="4" t="s">
        <v>4473</v>
      </c>
      <c r="C8599" s="4" t="n">
        <v>3</v>
      </c>
      <c r="D8599" s="4" t="n">
        <v>17</v>
      </c>
      <c r="E8599" s="4" t="s">
        <v>5817</v>
      </c>
      <c r="F8599" s="4" t="n">
        <v>20</v>
      </c>
      <c r="G8599" s="4" t="n">
        <v>5</v>
      </c>
      <c r="H8599" s="4" t="n">
        <v>4</v>
      </c>
      <c r="I8599" s="4" t="str">
        <v>×</v>
      </c>
      <c r="J8599" s="4"/>
      <c r="K8599" s="4"/>
      <c r="L8599" s="4"/>
      <c r="M8599" s="5" t="s">
        <v>5346</v>
      </c>
    </row>
    <row r="8600" customFormat="false" ht="15.75" hidden="false" customHeight="false" outlineLevel="0" collapsed="false">
      <c r="A8600" s="6" t="n">
        <v>46172</v>
      </c>
      <c r="B8600" s="4" t="s">
        <v>4473</v>
      </c>
      <c r="C8600" s="4" t="n">
        <v>3</v>
      </c>
      <c r="D8600" s="4" t="n">
        <v>18</v>
      </c>
      <c r="E8600" s="4" t="s">
        <v>3813</v>
      </c>
      <c r="F8600" s="4" t="n">
        <v>47</v>
      </c>
      <c r="G8600" s="4" t="n">
        <v>2</v>
      </c>
      <c r="H8600" s="4" t="n">
        <v>2</v>
      </c>
      <c r="I8600" s="4" t="str">
        <v>○</v>
      </c>
      <c r="J8600" s="4" t="n">
        <v>140</v>
      </c>
      <c r="K8600" s="4"/>
      <c r="L8600" s="4"/>
      <c r="M8600" s="5" t="s">
        <v>5346</v>
      </c>
    </row>
    <row r="8601" customFormat="false" ht="15.75" hidden="false" customHeight="false" outlineLevel="0" collapsed="false">
      <c r="A8601" s="6" t="n">
        <v>46172</v>
      </c>
      <c r="B8601" s="4" t="s">
        <v>4473</v>
      </c>
      <c r="C8601" s="4" t="n">
        <v>4</v>
      </c>
      <c r="D8601" s="4" t="n">
        <v>1</v>
      </c>
      <c r="E8601" s="4" t="s">
        <v>5818</v>
      </c>
      <c r="F8601" s="4" t="n">
        <v>21</v>
      </c>
      <c r="G8601" s="4" t="n">
        <v>4</v>
      </c>
      <c r="H8601" s="4" t="n">
        <v>4</v>
      </c>
      <c r="I8601" s="4" t="str">
        <v>×</v>
      </c>
      <c r="J8601" s="4"/>
      <c r="K8601" s="4"/>
      <c r="L8601" s="4"/>
      <c r="M8601" s="5" t="s">
        <v>5346</v>
      </c>
    </row>
    <row r="8602" customFormat="false" ht="15.75" hidden="false" customHeight="false" outlineLevel="0" collapsed="false">
      <c r="A8602" s="6" t="n">
        <v>46172</v>
      </c>
      <c r="B8602" s="4" t="s">
        <v>4473</v>
      </c>
      <c r="C8602" s="4" t="n">
        <v>4</v>
      </c>
      <c r="D8602" s="4" t="n">
        <v>2</v>
      </c>
      <c r="E8602" s="4" t="s">
        <v>583</v>
      </c>
      <c r="F8602" s="4" t="n">
        <v>6</v>
      </c>
      <c r="G8602" s="4" t="n">
        <v>7</v>
      </c>
      <c r="H8602" s="4" t="n">
        <v>4</v>
      </c>
      <c r="I8602" s="4" t="str">
        <v>×</v>
      </c>
      <c r="J8602" s="4"/>
      <c r="K8602" s="4"/>
      <c r="L8602" s="4"/>
      <c r="M8602" s="5" t="s">
        <v>5346</v>
      </c>
    </row>
    <row r="8603" customFormat="false" ht="15.75" hidden="false" customHeight="false" outlineLevel="0" collapsed="false">
      <c r="A8603" s="6" t="n">
        <v>46172</v>
      </c>
      <c r="B8603" s="4" t="s">
        <v>4473</v>
      </c>
      <c r="C8603" s="4" t="n">
        <v>4</v>
      </c>
      <c r="D8603" s="4" t="n">
        <v>3</v>
      </c>
      <c r="E8603" s="4" t="s">
        <v>5819</v>
      </c>
      <c r="F8603" s="4" t="n">
        <v>8</v>
      </c>
      <c r="G8603" s="4" t="n">
        <v>6</v>
      </c>
      <c r="H8603" s="4"/>
      <c r="I8603" s="4" t="str">
        <v/>
      </c>
      <c r="J8603" s="4"/>
      <c r="K8603" s="4"/>
      <c r="L8603" s="4"/>
      <c r="M8603" s="5" t="s">
        <v>5346</v>
      </c>
    </row>
    <row r="8604" customFormat="false" ht="15.75" hidden="false" customHeight="false" outlineLevel="0" collapsed="false">
      <c r="A8604" s="6" t="n">
        <v>46172</v>
      </c>
      <c r="B8604" s="4" t="s">
        <v>4473</v>
      </c>
      <c r="C8604" s="4" t="n">
        <v>4</v>
      </c>
      <c r="D8604" s="4" t="n">
        <v>4</v>
      </c>
      <c r="E8604" s="4" t="s">
        <v>5820</v>
      </c>
      <c r="F8604" s="4" t="n">
        <v>37</v>
      </c>
      <c r="G8604" s="4" t="n">
        <v>3</v>
      </c>
      <c r="H8604" s="4" t="n">
        <v>3</v>
      </c>
      <c r="I8604" s="4" t="str">
        <v>○</v>
      </c>
      <c r="J8604" s="4" t="n">
        <v>190</v>
      </c>
      <c r="K8604" s="4"/>
      <c r="L8604" s="4"/>
      <c r="M8604" s="5" t="s">
        <v>5346</v>
      </c>
    </row>
    <row r="8605" customFormat="false" ht="15.75" hidden="false" customHeight="false" outlineLevel="0" collapsed="false">
      <c r="A8605" s="6" t="n">
        <v>46172</v>
      </c>
      <c r="B8605" s="4" t="s">
        <v>4473</v>
      </c>
      <c r="C8605" s="4" t="n">
        <v>4</v>
      </c>
      <c r="D8605" s="4" t="n">
        <v>5</v>
      </c>
      <c r="E8605" s="4" t="s">
        <v>5821</v>
      </c>
      <c r="F8605" s="4" t="n">
        <v>8</v>
      </c>
      <c r="G8605" s="4" t="n">
        <v>6</v>
      </c>
      <c r="H8605" s="4" t="n">
        <v>4</v>
      </c>
      <c r="I8605" s="4" t="str">
        <v>×</v>
      </c>
      <c r="J8605" s="4"/>
      <c r="K8605" s="4"/>
      <c r="L8605" s="4"/>
      <c r="M8605" s="5" t="s">
        <v>5346</v>
      </c>
    </row>
    <row r="8606" customFormat="false" ht="15.75" hidden="false" customHeight="false" outlineLevel="0" collapsed="false">
      <c r="A8606" s="6" t="n">
        <v>46172</v>
      </c>
      <c r="B8606" s="4" t="s">
        <v>4473</v>
      </c>
      <c r="C8606" s="4" t="n">
        <v>4</v>
      </c>
      <c r="D8606" s="4" t="n">
        <v>6</v>
      </c>
      <c r="E8606" s="4" t="s">
        <v>2280</v>
      </c>
      <c r="F8606" s="4" t="n">
        <v>8</v>
      </c>
      <c r="G8606" s="4" t="n">
        <v>6</v>
      </c>
      <c r="H8606" s="4" t="n">
        <v>4</v>
      </c>
      <c r="I8606" s="4" t="str">
        <v>×</v>
      </c>
      <c r="J8606" s="4"/>
      <c r="K8606" s="4"/>
      <c r="L8606" s="4"/>
      <c r="M8606" s="5" t="s">
        <v>5346</v>
      </c>
    </row>
    <row r="8607" customFormat="false" ht="15.75" hidden="false" customHeight="false" outlineLevel="0" collapsed="false">
      <c r="A8607" s="6" t="n">
        <v>46172</v>
      </c>
      <c r="B8607" s="4" t="s">
        <v>4473</v>
      </c>
      <c r="C8607" s="4" t="n">
        <v>4</v>
      </c>
      <c r="D8607" s="4" t="n">
        <v>7</v>
      </c>
      <c r="E8607" s="4" t="s">
        <v>5822</v>
      </c>
      <c r="F8607" s="4" t="n">
        <v>44</v>
      </c>
      <c r="G8607" s="4" t="n">
        <v>2</v>
      </c>
      <c r="H8607" s="4"/>
      <c r="I8607" s="4" t="str">
        <v/>
      </c>
      <c r="J8607" s="4"/>
      <c r="K8607" s="4"/>
      <c r="L8607" s="4"/>
      <c r="M8607" s="5" t="s">
        <v>5346</v>
      </c>
    </row>
    <row r="8608" customFormat="false" ht="15.75" hidden="false" customHeight="false" outlineLevel="0" collapsed="false">
      <c r="A8608" s="6" t="n">
        <v>46172</v>
      </c>
      <c r="B8608" s="4" t="s">
        <v>4473</v>
      </c>
      <c r="C8608" s="4" t="n">
        <v>4</v>
      </c>
      <c r="D8608" s="4" t="n">
        <v>8</v>
      </c>
      <c r="E8608" s="4" t="s">
        <v>5823</v>
      </c>
      <c r="F8608" s="4" t="n">
        <v>37</v>
      </c>
      <c r="G8608" s="4" t="n">
        <v>3</v>
      </c>
      <c r="H8608" s="4"/>
      <c r="I8608" s="4" t="str">
        <v/>
      </c>
      <c r="J8608" s="4"/>
      <c r="K8608" s="4"/>
      <c r="L8608" s="4"/>
      <c r="M8608" s="5" t="s">
        <v>5346</v>
      </c>
    </row>
    <row r="8609" customFormat="false" ht="15.75" hidden="false" customHeight="false" outlineLevel="0" collapsed="false">
      <c r="A8609" s="6" t="n">
        <v>46172</v>
      </c>
      <c r="B8609" s="4" t="s">
        <v>4473</v>
      </c>
      <c r="C8609" s="4" t="n">
        <v>4</v>
      </c>
      <c r="D8609" s="4" t="n">
        <v>9</v>
      </c>
      <c r="E8609" s="4" t="s">
        <v>4270</v>
      </c>
      <c r="F8609" s="4" t="n">
        <v>21</v>
      </c>
      <c r="G8609" s="4" t="n">
        <v>4</v>
      </c>
      <c r="H8609" s="4" t="n">
        <v>2</v>
      </c>
      <c r="I8609" s="4" t="str">
        <v>○</v>
      </c>
      <c r="J8609" s="4" t="n">
        <v>210</v>
      </c>
      <c r="K8609" s="4"/>
      <c r="L8609" s="4"/>
      <c r="M8609" s="5" t="s">
        <v>5346</v>
      </c>
    </row>
    <row r="8610" customFormat="false" ht="15.75" hidden="false" customHeight="false" outlineLevel="0" collapsed="false">
      <c r="A8610" s="6" t="n">
        <v>46172</v>
      </c>
      <c r="B8610" s="4" t="s">
        <v>4473</v>
      </c>
      <c r="C8610" s="4" t="n">
        <v>4</v>
      </c>
      <c r="D8610" s="4" t="n">
        <v>10</v>
      </c>
      <c r="E8610" s="4" t="s">
        <v>3659</v>
      </c>
      <c r="F8610" s="4" t="n">
        <v>37</v>
      </c>
      <c r="G8610" s="4" t="n">
        <v>3</v>
      </c>
      <c r="H8610" s="4" t="n">
        <v>4</v>
      </c>
      <c r="I8610" s="4" t="str">
        <v>×</v>
      </c>
      <c r="J8610" s="4"/>
      <c r="K8610" s="4"/>
      <c r="L8610" s="4"/>
      <c r="M8610" s="5" t="s">
        <v>5346</v>
      </c>
    </row>
    <row r="8611" customFormat="false" ht="15.75" hidden="false" customHeight="false" outlineLevel="0" collapsed="false">
      <c r="A8611" s="6" t="n">
        <v>46172</v>
      </c>
      <c r="B8611" s="4" t="s">
        <v>4473</v>
      </c>
      <c r="C8611" s="4" t="n">
        <v>4</v>
      </c>
      <c r="D8611" s="4" t="n">
        <v>11</v>
      </c>
      <c r="E8611" s="4" t="s">
        <v>5824</v>
      </c>
      <c r="F8611" s="4" t="n">
        <v>12</v>
      </c>
      <c r="G8611" s="4" t="n">
        <v>5</v>
      </c>
      <c r="H8611" s="4" t="n">
        <v>4</v>
      </c>
      <c r="I8611" s="4" t="str">
        <v>×</v>
      </c>
      <c r="J8611" s="4"/>
      <c r="K8611" s="4"/>
      <c r="L8611" s="4"/>
      <c r="M8611" s="5" t="s">
        <v>5346</v>
      </c>
    </row>
    <row r="8612" customFormat="false" ht="15.75" hidden="false" customHeight="false" outlineLevel="0" collapsed="false">
      <c r="A8612" s="6" t="n">
        <v>46172</v>
      </c>
      <c r="B8612" s="4" t="s">
        <v>4473</v>
      </c>
      <c r="C8612" s="4" t="n">
        <v>4</v>
      </c>
      <c r="D8612" s="4" t="n">
        <v>12</v>
      </c>
      <c r="E8612" s="4" t="s">
        <v>5825</v>
      </c>
      <c r="F8612" s="4" t="n">
        <v>55</v>
      </c>
      <c r="G8612" s="4" t="n">
        <v>1</v>
      </c>
      <c r="H8612" s="4" t="n">
        <v>4</v>
      </c>
      <c r="I8612" s="4" t="str">
        <v>×</v>
      </c>
      <c r="J8612" s="4"/>
      <c r="K8612" s="4"/>
      <c r="L8612" s="4"/>
      <c r="M8612" s="5" t="s">
        <v>5346</v>
      </c>
    </row>
    <row r="8613" customFormat="false" ht="15.75" hidden="false" customHeight="false" outlineLevel="0" collapsed="false">
      <c r="A8613" s="6" t="n">
        <v>46172</v>
      </c>
      <c r="B8613" s="4" t="s">
        <v>4473</v>
      </c>
      <c r="C8613" s="4" t="n">
        <v>4</v>
      </c>
      <c r="D8613" s="4" t="n">
        <v>13</v>
      </c>
      <c r="E8613" s="4" t="s">
        <v>126</v>
      </c>
      <c r="F8613" s="4" t="n">
        <v>55</v>
      </c>
      <c r="G8613" s="4" t="n">
        <v>1</v>
      </c>
      <c r="H8613" s="4" t="n">
        <v>1</v>
      </c>
      <c r="I8613" s="4" t="str">
        <v>○</v>
      </c>
      <c r="J8613" s="4" t="n">
        <v>120</v>
      </c>
      <c r="K8613" s="4"/>
      <c r="L8613" s="4"/>
      <c r="M8613" s="5" t="s">
        <v>5346</v>
      </c>
    </row>
    <row r="8614" customFormat="false" ht="15.75" hidden="false" customHeight="false" outlineLevel="0" collapsed="false">
      <c r="A8614" s="6" t="n">
        <v>46172</v>
      </c>
      <c r="B8614" s="4" t="s">
        <v>4473</v>
      </c>
      <c r="C8614" s="4" t="n">
        <v>5</v>
      </c>
      <c r="D8614" s="4" t="n">
        <v>1</v>
      </c>
      <c r="E8614" s="4" t="s">
        <v>5826</v>
      </c>
      <c r="F8614" s="4" t="n">
        <v>6</v>
      </c>
      <c r="G8614" s="4" t="n">
        <v>9</v>
      </c>
      <c r="H8614" s="4" t="n">
        <v>4</v>
      </c>
      <c r="I8614" s="4" t="str">
        <v>×</v>
      </c>
      <c r="J8614" s="4"/>
      <c r="K8614" s="4"/>
      <c r="L8614" s="4"/>
      <c r="M8614" s="5" t="s">
        <v>5346</v>
      </c>
    </row>
    <row r="8615" customFormat="false" ht="15.75" hidden="false" customHeight="false" outlineLevel="0" collapsed="false">
      <c r="A8615" s="6" t="n">
        <v>46172</v>
      </c>
      <c r="B8615" s="4" t="s">
        <v>4473</v>
      </c>
      <c r="C8615" s="4" t="n">
        <v>5</v>
      </c>
      <c r="D8615" s="4" t="n">
        <v>2</v>
      </c>
      <c r="E8615" s="4" t="s">
        <v>1004</v>
      </c>
      <c r="F8615" s="4" t="n">
        <v>44</v>
      </c>
      <c r="G8615" s="4" t="n">
        <v>1</v>
      </c>
      <c r="H8615" s="4" t="n">
        <v>3</v>
      </c>
      <c r="I8615" s="4" t="str">
        <v>○</v>
      </c>
      <c r="J8615" s="4" t="n">
        <v>110</v>
      </c>
      <c r="K8615" s="4"/>
      <c r="L8615" s="4"/>
      <c r="M8615" s="5" t="s">
        <v>5346</v>
      </c>
    </row>
    <row r="8616" customFormat="false" ht="15.75" hidden="false" customHeight="false" outlineLevel="0" collapsed="false">
      <c r="A8616" s="6" t="n">
        <v>46172</v>
      </c>
      <c r="B8616" s="4" t="s">
        <v>4473</v>
      </c>
      <c r="C8616" s="4" t="n">
        <v>5</v>
      </c>
      <c r="D8616" s="4" t="n">
        <v>3</v>
      </c>
      <c r="E8616" s="4" t="s">
        <v>1943</v>
      </c>
      <c r="F8616" s="4" t="n">
        <v>41</v>
      </c>
      <c r="G8616" s="4" t="n">
        <v>2</v>
      </c>
      <c r="H8616" s="4" t="n">
        <v>4</v>
      </c>
      <c r="I8616" s="4" t="str">
        <v>×</v>
      </c>
      <c r="J8616" s="4"/>
      <c r="K8616" s="4"/>
      <c r="L8616" s="4"/>
      <c r="M8616" s="5" t="s">
        <v>5346</v>
      </c>
    </row>
    <row r="8617" customFormat="false" ht="15.75" hidden="false" customHeight="false" outlineLevel="0" collapsed="false">
      <c r="A8617" s="6" t="n">
        <v>46172</v>
      </c>
      <c r="B8617" s="4" t="s">
        <v>4473</v>
      </c>
      <c r="C8617" s="4" t="n">
        <v>5</v>
      </c>
      <c r="D8617" s="4" t="n">
        <v>4</v>
      </c>
      <c r="E8617" s="4" t="s">
        <v>4313</v>
      </c>
      <c r="F8617" s="4" t="n">
        <v>39</v>
      </c>
      <c r="G8617" s="4" t="n">
        <v>3</v>
      </c>
      <c r="H8617" s="4" t="n">
        <v>2</v>
      </c>
      <c r="I8617" s="4" t="str">
        <v>○</v>
      </c>
      <c r="J8617" s="4" t="n">
        <v>110</v>
      </c>
      <c r="K8617" s="4"/>
      <c r="L8617" s="4"/>
      <c r="M8617" s="5" t="s">
        <v>5346</v>
      </c>
    </row>
    <row r="8618" customFormat="false" ht="15.75" hidden="false" customHeight="false" outlineLevel="0" collapsed="false">
      <c r="A8618" s="6" t="n">
        <v>46172</v>
      </c>
      <c r="B8618" s="4" t="s">
        <v>4473</v>
      </c>
      <c r="C8618" s="4" t="n">
        <v>5</v>
      </c>
      <c r="D8618" s="4" t="n">
        <v>5</v>
      </c>
      <c r="E8618" s="4" t="s">
        <v>2315</v>
      </c>
      <c r="F8618" s="4" t="n">
        <v>8</v>
      </c>
      <c r="G8618" s="4" t="n">
        <v>8</v>
      </c>
      <c r="H8618" s="4" t="n">
        <v>4</v>
      </c>
      <c r="I8618" s="4" t="str">
        <v>×</v>
      </c>
      <c r="J8618" s="4"/>
      <c r="K8618" s="4"/>
      <c r="L8618" s="4"/>
      <c r="M8618" s="5" t="s">
        <v>5346</v>
      </c>
    </row>
    <row r="8619" customFormat="false" ht="15.75" hidden="false" customHeight="false" outlineLevel="0" collapsed="false">
      <c r="A8619" s="6" t="n">
        <v>46172</v>
      </c>
      <c r="B8619" s="4" t="s">
        <v>4473</v>
      </c>
      <c r="C8619" s="4" t="n">
        <v>5</v>
      </c>
      <c r="D8619" s="4" t="n">
        <v>6</v>
      </c>
      <c r="E8619" s="4" t="s">
        <v>5827</v>
      </c>
      <c r="F8619" s="4" t="n">
        <v>10</v>
      </c>
      <c r="G8619" s="4" t="n">
        <v>7</v>
      </c>
      <c r="H8619" s="4" t="n">
        <v>4</v>
      </c>
      <c r="I8619" s="4" t="str">
        <v>×</v>
      </c>
      <c r="J8619" s="4"/>
      <c r="K8619" s="4"/>
      <c r="L8619" s="4"/>
      <c r="M8619" s="5" t="s">
        <v>5346</v>
      </c>
    </row>
    <row r="8620" customFormat="false" ht="15.75" hidden="false" customHeight="false" outlineLevel="0" collapsed="false">
      <c r="A8620" s="6" t="n">
        <v>46172</v>
      </c>
      <c r="B8620" s="4" t="s">
        <v>4473</v>
      </c>
      <c r="C8620" s="4" t="n">
        <v>5</v>
      </c>
      <c r="D8620" s="4" t="n">
        <v>7</v>
      </c>
      <c r="E8620" s="4" t="s">
        <v>5091</v>
      </c>
      <c r="F8620" s="4" t="n">
        <v>4</v>
      </c>
      <c r="G8620" s="4" t="n">
        <v>10</v>
      </c>
      <c r="H8620" s="4" t="n">
        <v>4</v>
      </c>
      <c r="I8620" s="4" t="str">
        <v>×</v>
      </c>
      <c r="J8620" s="4"/>
      <c r="K8620" s="4"/>
      <c r="L8620" s="4"/>
      <c r="M8620" s="5" t="s">
        <v>5346</v>
      </c>
    </row>
    <row r="8621" customFormat="false" ht="15.75" hidden="false" customHeight="false" outlineLevel="0" collapsed="false">
      <c r="A8621" s="6" t="n">
        <v>46172</v>
      </c>
      <c r="B8621" s="4" t="s">
        <v>4473</v>
      </c>
      <c r="C8621" s="4" t="n">
        <v>5</v>
      </c>
      <c r="D8621" s="4" t="n">
        <v>8</v>
      </c>
      <c r="E8621" s="4" t="s">
        <v>4093</v>
      </c>
      <c r="F8621" s="4" t="n">
        <v>8</v>
      </c>
      <c r="G8621" s="4" t="n">
        <v>8</v>
      </c>
      <c r="H8621" s="4" t="n">
        <v>4</v>
      </c>
      <c r="I8621" s="4" t="str">
        <v>×</v>
      </c>
      <c r="J8621" s="4"/>
      <c r="K8621" s="4"/>
      <c r="L8621" s="4"/>
      <c r="M8621" s="5" t="s">
        <v>5346</v>
      </c>
    </row>
    <row r="8622" customFormat="false" ht="15.75" hidden="false" customHeight="false" outlineLevel="0" collapsed="false">
      <c r="A8622" s="6" t="n">
        <v>46172</v>
      </c>
      <c r="B8622" s="4" t="s">
        <v>4473</v>
      </c>
      <c r="C8622" s="4" t="n">
        <v>5</v>
      </c>
      <c r="D8622" s="4" t="n">
        <v>9</v>
      </c>
      <c r="E8622" s="4" t="s">
        <v>1402</v>
      </c>
      <c r="F8622" s="4" t="n">
        <v>23</v>
      </c>
      <c r="G8622" s="4" t="n">
        <v>5</v>
      </c>
      <c r="H8622" s="4" t="n">
        <v>4</v>
      </c>
      <c r="I8622" s="4" t="str">
        <v>×</v>
      </c>
      <c r="J8622" s="4"/>
      <c r="K8622" s="4"/>
      <c r="L8622" s="4"/>
      <c r="M8622" s="5" t="s">
        <v>5346</v>
      </c>
    </row>
    <row r="8623" customFormat="false" ht="15.75" hidden="false" customHeight="false" outlineLevel="0" collapsed="false">
      <c r="A8623" s="6" t="n">
        <v>46172</v>
      </c>
      <c r="B8623" s="4" t="s">
        <v>4473</v>
      </c>
      <c r="C8623" s="4" t="n">
        <v>5</v>
      </c>
      <c r="D8623" s="4" t="n">
        <v>10</v>
      </c>
      <c r="E8623" s="4" t="s">
        <v>5828</v>
      </c>
      <c r="F8623" s="4" t="n">
        <v>8</v>
      </c>
      <c r="G8623" s="4" t="n">
        <v>8</v>
      </c>
      <c r="H8623" s="4" t="n">
        <v>4</v>
      </c>
      <c r="I8623" s="4" t="str">
        <v>×</v>
      </c>
      <c r="J8623" s="4"/>
      <c r="K8623" s="4"/>
      <c r="L8623" s="4"/>
      <c r="M8623" s="5" t="s">
        <v>5346</v>
      </c>
    </row>
    <row r="8624" customFormat="false" ht="15.75" hidden="false" customHeight="false" outlineLevel="0" collapsed="false">
      <c r="A8624" s="6" t="n">
        <v>46172</v>
      </c>
      <c r="B8624" s="4" t="s">
        <v>4473</v>
      </c>
      <c r="C8624" s="4" t="n">
        <v>5</v>
      </c>
      <c r="D8624" s="4" t="n">
        <v>11</v>
      </c>
      <c r="E8624" s="4" t="s">
        <v>3525</v>
      </c>
      <c r="F8624" s="4" t="n">
        <v>10</v>
      </c>
      <c r="G8624" s="4" t="n">
        <v>7</v>
      </c>
      <c r="H8624" s="4" t="n">
        <v>4</v>
      </c>
      <c r="I8624" s="4" t="str">
        <v>×</v>
      </c>
      <c r="J8624" s="4"/>
      <c r="K8624" s="4"/>
      <c r="L8624" s="4"/>
      <c r="M8624" s="5" t="s">
        <v>5346</v>
      </c>
    </row>
    <row r="8625" customFormat="false" ht="15.75" hidden="false" customHeight="false" outlineLevel="0" collapsed="false">
      <c r="A8625" s="6" t="n">
        <v>46172</v>
      </c>
      <c r="B8625" s="4" t="s">
        <v>4473</v>
      </c>
      <c r="C8625" s="4" t="n">
        <v>5</v>
      </c>
      <c r="D8625" s="4" t="n">
        <v>12</v>
      </c>
      <c r="E8625" s="4" t="s">
        <v>3516</v>
      </c>
      <c r="F8625" s="4" t="n">
        <v>8</v>
      </c>
      <c r="G8625" s="4" t="n">
        <v>8</v>
      </c>
      <c r="H8625" s="4" t="n">
        <v>4</v>
      </c>
      <c r="I8625" s="4" t="str">
        <v>×</v>
      </c>
      <c r="J8625" s="4"/>
      <c r="K8625" s="4"/>
      <c r="L8625" s="4"/>
      <c r="M8625" s="5" t="s">
        <v>5346</v>
      </c>
    </row>
    <row r="8626" customFormat="false" ht="15.75" hidden="false" customHeight="false" outlineLevel="0" collapsed="false">
      <c r="A8626" s="6" t="n">
        <v>46172</v>
      </c>
      <c r="B8626" s="4" t="s">
        <v>4473</v>
      </c>
      <c r="C8626" s="4" t="n">
        <v>5</v>
      </c>
      <c r="D8626" s="4" t="n">
        <v>13</v>
      </c>
      <c r="E8626" s="4" t="s">
        <v>384</v>
      </c>
      <c r="F8626" s="4" t="n">
        <v>15</v>
      </c>
      <c r="G8626" s="4" t="n">
        <v>6</v>
      </c>
      <c r="H8626" s="4" t="n">
        <v>4</v>
      </c>
      <c r="I8626" s="4" t="str">
        <v>×</v>
      </c>
      <c r="J8626" s="4"/>
      <c r="K8626" s="4"/>
      <c r="L8626" s="4"/>
      <c r="M8626" s="5" t="s">
        <v>5346</v>
      </c>
    </row>
    <row r="8627" customFormat="false" ht="15.75" hidden="false" customHeight="false" outlineLevel="0" collapsed="false">
      <c r="A8627" s="6" t="n">
        <v>46172</v>
      </c>
      <c r="B8627" s="4" t="s">
        <v>4473</v>
      </c>
      <c r="C8627" s="4" t="n">
        <v>5</v>
      </c>
      <c r="D8627" s="4" t="n">
        <v>14</v>
      </c>
      <c r="E8627" s="4" t="s">
        <v>630</v>
      </c>
      <c r="F8627" s="4" t="n">
        <v>10</v>
      </c>
      <c r="G8627" s="4" t="n">
        <v>7</v>
      </c>
      <c r="H8627" s="4" t="n">
        <v>4</v>
      </c>
      <c r="I8627" s="4" t="str">
        <v>×</v>
      </c>
      <c r="J8627" s="4"/>
      <c r="K8627" s="4"/>
      <c r="L8627" s="4"/>
      <c r="M8627" s="5" t="s">
        <v>5346</v>
      </c>
    </row>
    <row r="8628" customFormat="false" ht="15.75" hidden="false" customHeight="false" outlineLevel="0" collapsed="false">
      <c r="A8628" s="6" t="n">
        <v>46172</v>
      </c>
      <c r="B8628" s="4" t="s">
        <v>4473</v>
      </c>
      <c r="C8628" s="4" t="n">
        <v>5</v>
      </c>
      <c r="D8628" s="4" t="n">
        <v>15</v>
      </c>
      <c r="E8628" s="4" t="s">
        <v>4022</v>
      </c>
      <c r="F8628" s="4" t="n">
        <v>4</v>
      </c>
      <c r="G8628" s="4" t="n">
        <v>10</v>
      </c>
      <c r="H8628" s="4" t="n">
        <v>4</v>
      </c>
      <c r="I8628" s="4" t="str">
        <v>×</v>
      </c>
      <c r="J8628" s="4"/>
      <c r="K8628" s="4"/>
      <c r="L8628" s="4"/>
      <c r="M8628" s="5" t="s">
        <v>5346</v>
      </c>
    </row>
    <row r="8629" customFormat="false" ht="15.75" hidden="false" customHeight="false" outlineLevel="0" collapsed="false">
      <c r="A8629" s="6" t="n">
        <v>46172</v>
      </c>
      <c r="B8629" s="4" t="s">
        <v>4473</v>
      </c>
      <c r="C8629" s="4" t="n">
        <v>5</v>
      </c>
      <c r="D8629" s="4" t="n">
        <v>16</v>
      </c>
      <c r="E8629" s="4" t="s">
        <v>5829</v>
      </c>
      <c r="F8629" s="4" t="n">
        <v>37</v>
      </c>
      <c r="G8629" s="4" t="n">
        <v>4</v>
      </c>
      <c r="H8629" s="4" t="n">
        <v>1</v>
      </c>
      <c r="I8629" s="4" t="str">
        <v>○</v>
      </c>
      <c r="J8629" s="4" t="n">
        <v>140</v>
      </c>
      <c r="K8629" s="4"/>
      <c r="L8629" s="4"/>
      <c r="M8629" s="5" t="s">
        <v>5346</v>
      </c>
    </row>
    <row r="8630" customFormat="false" ht="15.75" hidden="false" customHeight="false" outlineLevel="0" collapsed="false">
      <c r="A8630" s="6" t="n">
        <v>46172</v>
      </c>
      <c r="B8630" s="4" t="s">
        <v>4473</v>
      </c>
      <c r="C8630" s="4" t="n">
        <v>6</v>
      </c>
      <c r="D8630" s="4" t="n">
        <v>1</v>
      </c>
      <c r="E8630" s="4" t="s">
        <v>3850</v>
      </c>
      <c r="F8630" s="4" t="n">
        <v>74</v>
      </c>
      <c r="G8630" s="4" t="n">
        <v>1</v>
      </c>
      <c r="H8630" s="4" t="n">
        <v>2</v>
      </c>
      <c r="I8630" s="4" t="str">
        <v>○</v>
      </c>
      <c r="J8630" s="4" t="n">
        <v>150</v>
      </c>
      <c r="K8630" s="4"/>
      <c r="L8630" s="4"/>
      <c r="M8630" s="5" t="s">
        <v>5346</v>
      </c>
    </row>
    <row r="8631" customFormat="false" ht="15.75" hidden="false" customHeight="false" outlineLevel="0" collapsed="false">
      <c r="A8631" s="6" t="n">
        <v>46172</v>
      </c>
      <c r="B8631" s="4" t="s">
        <v>4473</v>
      </c>
      <c r="C8631" s="4" t="n">
        <v>6</v>
      </c>
      <c r="D8631" s="4" t="n">
        <v>2</v>
      </c>
      <c r="E8631" s="4" t="s">
        <v>5830</v>
      </c>
      <c r="F8631" s="4" t="n">
        <v>8</v>
      </c>
      <c r="G8631" s="4" t="n">
        <v>9</v>
      </c>
      <c r="H8631" s="4" t="n">
        <v>4</v>
      </c>
      <c r="I8631" s="4" t="str">
        <v>×</v>
      </c>
      <c r="J8631" s="4"/>
      <c r="K8631" s="4"/>
      <c r="L8631" s="4"/>
      <c r="M8631" s="5" t="s">
        <v>5346</v>
      </c>
    </row>
    <row r="8632" customFormat="false" ht="15.75" hidden="false" customHeight="false" outlineLevel="0" collapsed="false">
      <c r="A8632" s="6" t="n">
        <v>46172</v>
      </c>
      <c r="B8632" s="4" t="s">
        <v>4473</v>
      </c>
      <c r="C8632" s="4" t="n">
        <v>6</v>
      </c>
      <c r="D8632" s="4" t="n">
        <v>3</v>
      </c>
      <c r="E8632" s="4" t="s">
        <v>5831</v>
      </c>
      <c r="F8632" s="4" t="n">
        <v>10</v>
      </c>
      <c r="G8632" s="4" t="n">
        <v>8</v>
      </c>
      <c r="H8632" s="4" t="n">
        <v>4</v>
      </c>
      <c r="I8632" s="4" t="str">
        <v>×</v>
      </c>
      <c r="J8632" s="4"/>
      <c r="K8632" s="4"/>
      <c r="L8632" s="4"/>
      <c r="M8632" s="5" t="s">
        <v>5346</v>
      </c>
    </row>
    <row r="8633" customFormat="false" ht="15.75" hidden="false" customHeight="false" outlineLevel="0" collapsed="false">
      <c r="A8633" s="6" t="n">
        <v>46172</v>
      </c>
      <c r="B8633" s="4" t="s">
        <v>4473</v>
      </c>
      <c r="C8633" s="4" t="n">
        <v>6</v>
      </c>
      <c r="D8633" s="4" t="n">
        <v>4</v>
      </c>
      <c r="E8633" s="4" t="s">
        <v>5832</v>
      </c>
      <c r="F8633" s="4" t="n">
        <v>29</v>
      </c>
      <c r="G8633" s="4" t="n">
        <v>4</v>
      </c>
      <c r="H8633" s="4" t="n">
        <v>1</v>
      </c>
      <c r="I8633" s="4" t="str">
        <v>○</v>
      </c>
      <c r="J8633" s="4" t="n">
        <v>270</v>
      </c>
      <c r="K8633" s="4"/>
      <c r="L8633" s="4"/>
      <c r="M8633" s="5" t="s">
        <v>5346</v>
      </c>
    </row>
    <row r="8634" customFormat="false" ht="15.75" hidden="false" customHeight="false" outlineLevel="0" collapsed="false">
      <c r="A8634" s="6" t="n">
        <v>46172</v>
      </c>
      <c r="B8634" s="4" t="s">
        <v>4473</v>
      </c>
      <c r="C8634" s="4" t="n">
        <v>6</v>
      </c>
      <c r="D8634" s="4" t="n">
        <v>5</v>
      </c>
      <c r="E8634" s="4" t="s">
        <v>5833</v>
      </c>
      <c r="F8634" s="4" t="n">
        <v>67</v>
      </c>
      <c r="G8634" s="4" t="n">
        <v>2</v>
      </c>
      <c r="H8634" s="4" t="n">
        <v>4</v>
      </c>
      <c r="I8634" s="4" t="str">
        <v>×</v>
      </c>
      <c r="J8634" s="4"/>
      <c r="K8634" s="4"/>
      <c r="L8634" s="4"/>
      <c r="M8634" s="5" t="s">
        <v>5346</v>
      </c>
    </row>
    <row r="8635" customFormat="false" ht="15.75" hidden="false" customHeight="false" outlineLevel="0" collapsed="false">
      <c r="A8635" s="6" t="n">
        <v>46172</v>
      </c>
      <c r="B8635" s="4" t="s">
        <v>4473</v>
      </c>
      <c r="C8635" s="4" t="n">
        <v>6</v>
      </c>
      <c r="D8635" s="4" t="n">
        <v>6</v>
      </c>
      <c r="E8635" s="4" t="s">
        <v>5834</v>
      </c>
      <c r="F8635" s="4" t="n">
        <v>15</v>
      </c>
      <c r="G8635" s="4" t="n">
        <v>7</v>
      </c>
      <c r="H8635" s="4" t="n">
        <v>4</v>
      </c>
      <c r="I8635" s="4" t="str">
        <v>×</v>
      </c>
      <c r="J8635" s="4"/>
      <c r="K8635" s="4"/>
      <c r="L8635" s="4"/>
      <c r="M8635" s="5" t="s">
        <v>5346</v>
      </c>
    </row>
    <row r="8636" customFormat="false" ht="15.75" hidden="false" customHeight="false" outlineLevel="0" collapsed="false">
      <c r="A8636" s="6" t="n">
        <v>46172</v>
      </c>
      <c r="B8636" s="4" t="s">
        <v>4473</v>
      </c>
      <c r="C8636" s="4" t="n">
        <v>6</v>
      </c>
      <c r="D8636" s="4" t="n">
        <v>7</v>
      </c>
      <c r="E8636" s="4" t="s">
        <v>5835</v>
      </c>
      <c r="F8636" s="4" t="n">
        <v>20</v>
      </c>
      <c r="G8636" s="4" t="n">
        <v>5</v>
      </c>
      <c r="H8636" s="4" t="n">
        <v>3</v>
      </c>
      <c r="I8636" s="4" t="str">
        <v>○</v>
      </c>
      <c r="J8636" s="4" t="n">
        <v>610</v>
      </c>
      <c r="K8636" s="4"/>
      <c r="L8636" s="4"/>
      <c r="M8636" s="5" t="s">
        <v>5346</v>
      </c>
    </row>
    <row r="8637" customFormat="false" ht="15.75" hidden="false" customHeight="false" outlineLevel="0" collapsed="false">
      <c r="A8637" s="6" t="n">
        <v>46172</v>
      </c>
      <c r="B8637" s="4" t="s">
        <v>4473</v>
      </c>
      <c r="C8637" s="4" t="n">
        <v>6</v>
      </c>
      <c r="D8637" s="4" t="n">
        <v>8</v>
      </c>
      <c r="E8637" s="4" t="s">
        <v>5836</v>
      </c>
      <c r="F8637" s="4" t="n">
        <v>4</v>
      </c>
      <c r="G8637" s="4" t="n">
        <v>10</v>
      </c>
      <c r="H8637" s="4" t="n">
        <v>4</v>
      </c>
      <c r="I8637" s="4" t="str">
        <v>×</v>
      </c>
      <c r="J8637" s="4"/>
      <c r="K8637" s="4"/>
      <c r="L8637" s="4"/>
      <c r="M8637" s="5" t="s">
        <v>5346</v>
      </c>
    </row>
    <row r="8638" customFormat="false" ht="15.75" hidden="false" customHeight="false" outlineLevel="0" collapsed="false">
      <c r="A8638" s="6" t="n">
        <v>46172</v>
      </c>
      <c r="B8638" s="4" t="s">
        <v>4473</v>
      </c>
      <c r="C8638" s="4" t="n">
        <v>6</v>
      </c>
      <c r="D8638" s="4" t="n">
        <v>9</v>
      </c>
      <c r="E8638" s="4" t="s">
        <v>4076</v>
      </c>
      <c r="F8638" s="4" t="n">
        <v>10</v>
      </c>
      <c r="G8638" s="4" t="n">
        <v>8</v>
      </c>
      <c r="H8638" s="4" t="n">
        <v>4</v>
      </c>
      <c r="I8638" s="4" t="str">
        <v>×</v>
      </c>
      <c r="J8638" s="4"/>
      <c r="K8638" s="4"/>
      <c r="L8638" s="4"/>
      <c r="M8638" s="5" t="s">
        <v>5346</v>
      </c>
    </row>
    <row r="8639" customFormat="false" ht="15.75" hidden="false" customHeight="false" outlineLevel="0" collapsed="false">
      <c r="A8639" s="6" t="n">
        <v>46172</v>
      </c>
      <c r="B8639" s="4" t="s">
        <v>4473</v>
      </c>
      <c r="C8639" s="4" t="n">
        <v>6</v>
      </c>
      <c r="D8639" s="4" t="n">
        <v>10</v>
      </c>
      <c r="E8639" s="4" t="s">
        <v>5837</v>
      </c>
      <c r="F8639" s="4" t="n">
        <v>39</v>
      </c>
      <c r="G8639" s="4" t="n">
        <v>3</v>
      </c>
      <c r="H8639" s="4" t="n">
        <v>4</v>
      </c>
      <c r="I8639" s="4" t="str">
        <v>×</v>
      </c>
      <c r="J8639" s="4"/>
      <c r="K8639" s="4"/>
      <c r="L8639" s="4"/>
      <c r="M8639" s="5" t="s">
        <v>5346</v>
      </c>
    </row>
    <row r="8640" customFormat="false" ht="15.75" hidden="false" customHeight="false" outlineLevel="0" collapsed="false">
      <c r="A8640" s="6" t="n">
        <v>46172</v>
      </c>
      <c r="B8640" s="4" t="s">
        <v>4473</v>
      </c>
      <c r="C8640" s="4" t="n">
        <v>6</v>
      </c>
      <c r="D8640" s="4" t="n">
        <v>11</v>
      </c>
      <c r="E8640" s="4" t="s">
        <v>4282</v>
      </c>
      <c r="F8640" s="4" t="n">
        <v>10</v>
      </c>
      <c r="G8640" s="4" t="n">
        <v>8</v>
      </c>
      <c r="H8640" s="4" t="n">
        <v>4</v>
      </c>
      <c r="I8640" s="4" t="str">
        <v>×</v>
      </c>
      <c r="J8640" s="4"/>
      <c r="K8640" s="4"/>
      <c r="L8640" s="4"/>
      <c r="M8640" s="5" t="s">
        <v>5346</v>
      </c>
    </row>
    <row r="8641" customFormat="false" ht="15.75" hidden="false" customHeight="false" outlineLevel="0" collapsed="false">
      <c r="A8641" s="6" t="n">
        <v>46172</v>
      </c>
      <c r="B8641" s="4" t="s">
        <v>4473</v>
      </c>
      <c r="C8641" s="4" t="n">
        <v>6</v>
      </c>
      <c r="D8641" s="4" t="n">
        <v>12</v>
      </c>
      <c r="E8641" s="4" t="s">
        <v>5838</v>
      </c>
      <c r="F8641" s="4" t="n">
        <v>17</v>
      </c>
      <c r="G8641" s="4" t="n">
        <v>6</v>
      </c>
      <c r="H8641" s="4" t="n">
        <v>4</v>
      </c>
      <c r="I8641" s="4" t="str">
        <v>×</v>
      </c>
      <c r="J8641" s="4"/>
      <c r="K8641" s="4"/>
      <c r="L8641" s="4"/>
      <c r="M8641" s="5" t="s">
        <v>5346</v>
      </c>
    </row>
    <row r="8642" customFormat="false" ht="15.75" hidden="false" customHeight="false" outlineLevel="0" collapsed="false">
      <c r="A8642" s="6" t="n">
        <v>46172</v>
      </c>
      <c r="B8642" s="4" t="s">
        <v>4473</v>
      </c>
      <c r="C8642" s="4" t="n">
        <v>7</v>
      </c>
      <c r="D8642" s="4" t="n">
        <v>1</v>
      </c>
      <c r="E8642" s="4" t="s">
        <v>5839</v>
      </c>
      <c r="F8642" s="4" t="n">
        <v>13</v>
      </c>
      <c r="G8642" s="4" t="n">
        <v>8</v>
      </c>
      <c r="H8642" s="4" t="n">
        <v>4</v>
      </c>
      <c r="I8642" s="4" t="str">
        <v>×</v>
      </c>
      <c r="J8642" s="4"/>
      <c r="K8642" s="4"/>
      <c r="L8642" s="4"/>
      <c r="M8642" s="5" t="s">
        <v>5346</v>
      </c>
    </row>
    <row r="8643" customFormat="false" ht="15.75" hidden="false" customHeight="false" outlineLevel="0" collapsed="false">
      <c r="A8643" s="6" t="n">
        <v>46172</v>
      </c>
      <c r="B8643" s="4" t="s">
        <v>4473</v>
      </c>
      <c r="C8643" s="4" t="n">
        <v>7</v>
      </c>
      <c r="D8643" s="4" t="n">
        <v>2</v>
      </c>
      <c r="E8643" s="4" t="s">
        <v>3857</v>
      </c>
      <c r="F8643" s="4" t="n">
        <v>56</v>
      </c>
      <c r="G8643" s="4" t="n">
        <v>1</v>
      </c>
      <c r="H8643" s="4" t="n">
        <v>2</v>
      </c>
      <c r="I8643" s="4" t="str">
        <v>○</v>
      </c>
      <c r="J8643" s="4" t="n">
        <v>140</v>
      </c>
      <c r="K8643" s="4"/>
      <c r="L8643" s="4"/>
      <c r="M8643" s="5" t="s">
        <v>5346</v>
      </c>
    </row>
    <row r="8644" customFormat="false" ht="15.75" hidden="false" customHeight="false" outlineLevel="0" collapsed="false">
      <c r="A8644" s="6" t="n">
        <v>46172</v>
      </c>
      <c r="B8644" s="4" t="s">
        <v>4473</v>
      </c>
      <c r="C8644" s="4" t="n">
        <v>7</v>
      </c>
      <c r="D8644" s="4" t="n">
        <v>3</v>
      </c>
      <c r="E8644" s="4" t="s">
        <v>5729</v>
      </c>
      <c r="F8644" s="4" t="n">
        <v>1</v>
      </c>
      <c r="G8644" s="4" t="n">
        <v>11</v>
      </c>
      <c r="H8644" s="4" t="n">
        <v>4</v>
      </c>
      <c r="I8644" s="4" t="str">
        <v>×</v>
      </c>
      <c r="J8644" s="4"/>
      <c r="K8644" s="4"/>
      <c r="L8644" s="4"/>
      <c r="M8644" s="5" t="s">
        <v>5346</v>
      </c>
    </row>
    <row r="8645" customFormat="false" ht="15.75" hidden="false" customHeight="false" outlineLevel="0" collapsed="false">
      <c r="A8645" s="6" t="n">
        <v>46172</v>
      </c>
      <c r="B8645" s="4" t="s">
        <v>4473</v>
      </c>
      <c r="C8645" s="4" t="n">
        <v>7</v>
      </c>
      <c r="D8645" s="4" t="n">
        <v>4</v>
      </c>
      <c r="E8645" s="4" t="s">
        <v>3930</v>
      </c>
      <c r="F8645" s="4" t="n">
        <v>37</v>
      </c>
      <c r="G8645" s="4" t="n">
        <v>4</v>
      </c>
      <c r="H8645" s="4" t="n">
        <v>1</v>
      </c>
      <c r="I8645" s="4" t="str">
        <v>○</v>
      </c>
      <c r="J8645" s="4" t="n">
        <v>210</v>
      </c>
      <c r="K8645" s="4"/>
      <c r="L8645" s="4"/>
      <c r="M8645" s="5" t="s">
        <v>5346</v>
      </c>
    </row>
    <row r="8646" customFormat="false" ht="15.75" hidden="false" customHeight="false" outlineLevel="0" collapsed="false">
      <c r="A8646" s="6" t="n">
        <v>46172</v>
      </c>
      <c r="B8646" s="4" t="s">
        <v>4473</v>
      </c>
      <c r="C8646" s="4" t="n">
        <v>7</v>
      </c>
      <c r="D8646" s="4" t="n">
        <v>5</v>
      </c>
      <c r="E8646" s="4" t="s">
        <v>4086</v>
      </c>
      <c r="F8646" s="4" t="n">
        <v>4</v>
      </c>
      <c r="G8646" s="4" t="n">
        <v>10</v>
      </c>
      <c r="H8646" s="4" t="n">
        <v>4</v>
      </c>
      <c r="I8646" s="4" t="str">
        <v>×</v>
      </c>
      <c r="J8646" s="4"/>
      <c r="K8646" s="4"/>
      <c r="L8646" s="4"/>
      <c r="M8646" s="5" t="s">
        <v>5346</v>
      </c>
    </row>
    <row r="8647" customFormat="false" ht="15.75" hidden="false" customHeight="false" outlineLevel="0" collapsed="false">
      <c r="A8647" s="6" t="n">
        <v>46172</v>
      </c>
      <c r="B8647" s="4" t="s">
        <v>4473</v>
      </c>
      <c r="C8647" s="4" t="n">
        <v>7</v>
      </c>
      <c r="D8647" s="4" t="n">
        <v>6</v>
      </c>
      <c r="E8647" s="4" t="s">
        <v>5840</v>
      </c>
      <c r="F8647" s="4" t="n">
        <v>10</v>
      </c>
      <c r="G8647" s="4" t="n">
        <v>9</v>
      </c>
      <c r="H8647" s="4" t="n">
        <v>4</v>
      </c>
      <c r="I8647" s="4" t="str">
        <v>×</v>
      </c>
      <c r="J8647" s="4"/>
      <c r="K8647" s="4"/>
      <c r="L8647" s="4"/>
      <c r="M8647" s="5" t="s">
        <v>5346</v>
      </c>
    </row>
    <row r="8648" customFormat="false" ht="15.75" hidden="false" customHeight="false" outlineLevel="0" collapsed="false">
      <c r="A8648" s="6" t="n">
        <v>46172</v>
      </c>
      <c r="B8648" s="4" t="s">
        <v>4473</v>
      </c>
      <c r="C8648" s="4" t="n">
        <v>7</v>
      </c>
      <c r="D8648" s="4" t="n">
        <v>7</v>
      </c>
      <c r="E8648" s="4" t="s">
        <v>5841</v>
      </c>
      <c r="F8648" s="4" t="n">
        <v>50</v>
      </c>
      <c r="G8648" s="4" t="n">
        <v>2</v>
      </c>
      <c r="H8648" s="4"/>
      <c r="I8648" s="4" t="str">
        <v/>
      </c>
      <c r="J8648" s="4"/>
      <c r="K8648" s="4"/>
      <c r="L8648" s="4"/>
      <c r="M8648" s="5" t="s">
        <v>5346</v>
      </c>
    </row>
    <row r="8649" customFormat="false" ht="15.75" hidden="false" customHeight="false" outlineLevel="0" collapsed="false">
      <c r="A8649" s="6" t="n">
        <v>46172</v>
      </c>
      <c r="B8649" s="4" t="s">
        <v>4473</v>
      </c>
      <c r="C8649" s="4" t="n">
        <v>7</v>
      </c>
      <c r="D8649" s="4" t="n">
        <v>8</v>
      </c>
      <c r="E8649" s="4" t="s">
        <v>3535</v>
      </c>
      <c r="F8649" s="4" t="n">
        <v>39</v>
      </c>
      <c r="G8649" s="4" t="n">
        <v>3</v>
      </c>
      <c r="H8649" s="4" t="n">
        <v>4</v>
      </c>
      <c r="I8649" s="4" t="str">
        <v>×</v>
      </c>
      <c r="J8649" s="4"/>
      <c r="K8649" s="4"/>
      <c r="L8649" s="4"/>
      <c r="M8649" s="5" t="s">
        <v>5346</v>
      </c>
    </row>
    <row r="8650" customFormat="false" ht="15.75" hidden="false" customHeight="false" outlineLevel="0" collapsed="false">
      <c r="A8650" s="6" t="n">
        <v>46172</v>
      </c>
      <c r="B8650" s="4" t="s">
        <v>4473</v>
      </c>
      <c r="C8650" s="4" t="n">
        <v>7</v>
      </c>
      <c r="D8650" s="4" t="n">
        <v>9</v>
      </c>
      <c r="E8650" s="4" t="s">
        <v>163</v>
      </c>
      <c r="F8650" s="4" t="n">
        <v>34</v>
      </c>
      <c r="G8650" s="4" t="n">
        <v>5</v>
      </c>
      <c r="H8650" s="4" t="n">
        <v>4</v>
      </c>
      <c r="I8650" s="4" t="str">
        <v>×</v>
      </c>
      <c r="J8650" s="4"/>
      <c r="K8650" s="4"/>
      <c r="L8650" s="4"/>
      <c r="M8650" s="5" t="s">
        <v>5346</v>
      </c>
    </row>
    <row r="8651" customFormat="false" ht="15.75" hidden="false" customHeight="false" outlineLevel="0" collapsed="false">
      <c r="A8651" s="6" t="n">
        <v>46172</v>
      </c>
      <c r="B8651" s="4" t="s">
        <v>4473</v>
      </c>
      <c r="C8651" s="4" t="n">
        <v>7</v>
      </c>
      <c r="D8651" s="4" t="n">
        <v>10</v>
      </c>
      <c r="E8651" s="4" t="s">
        <v>5842</v>
      </c>
      <c r="F8651" s="4" t="n">
        <v>37</v>
      </c>
      <c r="G8651" s="4" t="n">
        <v>4</v>
      </c>
      <c r="H8651" s="4" t="n">
        <v>4</v>
      </c>
      <c r="I8651" s="4" t="str">
        <v>×</v>
      </c>
      <c r="J8651" s="4"/>
      <c r="K8651" s="4"/>
      <c r="L8651" s="4"/>
      <c r="M8651" s="5" t="s">
        <v>5346</v>
      </c>
    </row>
    <row r="8652" customFormat="false" ht="15.75" hidden="false" customHeight="false" outlineLevel="0" collapsed="false">
      <c r="A8652" s="6" t="n">
        <v>46172</v>
      </c>
      <c r="B8652" s="4" t="s">
        <v>4473</v>
      </c>
      <c r="C8652" s="4" t="n">
        <v>7</v>
      </c>
      <c r="D8652" s="4" t="n">
        <v>11</v>
      </c>
      <c r="E8652" s="4" t="s">
        <v>5843</v>
      </c>
      <c r="F8652" s="4" t="n">
        <v>29</v>
      </c>
      <c r="G8652" s="4" t="n">
        <v>6</v>
      </c>
      <c r="H8652" s="4" t="n">
        <v>3</v>
      </c>
      <c r="I8652" s="4" t="str">
        <v>○</v>
      </c>
      <c r="J8652" s="4" t="n">
        <v>150</v>
      </c>
      <c r="K8652" s="4"/>
      <c r="L8652" s="4"/>
      <c r="M8652" s="5" t="s">
        <v>5346</v>
      </c>
    </row>
    <row r="8653" customFormat="false" ht="15.75" hidden="false" customHeight="false" outlineLevel="0" collapsed="false">
      <c r="A8653" s="6" t="n">
        <v>46172</v>
      </c>
      <c r="B8653" s="4" t="s">
        <v>4473</v>
      </c>
      <c r="C8653" s="4" t="n">
        <v>7</v>
      </c>
      <c r="D8653" s="4" t="n">
        <v>12</v>
      </c>
      <c r="E8653" s="4" t="s">
        <v>5844</v>
      </c>
      <c r="F8653" s="4" t="n">
        <v>25</v>
      </c>
      <c r="G8653" s="4" t="n">
        <v>7</v>
      </c>
      <c r="H8653" s="4" t="n">
        <v>4</v>
      </c>
      <c r="I8653" s="4" t="str">
        <v>×</v>
      </c>
      <c r="J8653" s="4"/>
      <c r="K8653" s="4"/>
      <c r="L8653" s="4"/>
      <c r="M8653" s="5" t="s">
        <v>5346</v>
      </c>
    </row>
    <row r="8654" customFormat="false" ht="15.75" hidden="false" customHeight="false" outlineLevel="0" collapsed="false">
      <c r="A8654" s="6" t="n">
        <v>46172</v>
      </c>
      <c r="B8654" s="4" t="s">
        <v>4473</v>
      </c>
      <c r="C8654" s="4" t="n">
        <v>7</v>
      </c>
      <c r="D8654" s="4" t="n">
        <v>13</v>
      </c>
      <c r="E8654" s="4" t="s">
        <v>5845</v>
      </c>
      <c r="F8654" s="4" t="n">
        <v>25</v>
      </c>
      <c r="G8654" s="4" t="n">
        <v>7</v>
      </c>
      <c r="H8654" s="4" t="n">
        <v>4</v>
      </c>
      <c r="I8654" s="4" t="str">
        <v>×</v>
      </c>
      <c r="J8654" s="4"/>
      <c r="K8654" s="4"/>
      <c r="L8654" s="4"/>
      <c r="M8654" s="5" t="s">
        <v>5346</v>
      </c>
    </row>
    <row r="8655" customFormat="false" ht="15.75" hidden="false" customHeight="false" outlineLevel="0" collapsed="false">
      <c r="A8655" s="6" t="n">
        <v>46172</v>
      </c>
      <c r="B8655" s="4" t="s">
        <v>4473</v>
      </c>
      <c r="C8655" s="4" t="n">
        <v>8</v>
      </c>
      <c r="D8655" s="4" t="n">
        <v>1</v>
      </c>
      <c r="E8655" s="4" t="s">
        <v>2771</v>
      </c>
      <c r="F8655" s="4" t="n">
        <v>41</v>
      </c>
      <c r="G8655" s="4" t="n">
        <v>3</v>
      </c>
      <c r="H8655" s="4" t="n">
        <v>4</v>
      </c>
      <c r="I8655" s="4" t="str">
        <v>×</v>
      </c>
      <c r="J8655" s="4"/>
      <c r="K8655" s="4"/>
      <c r="L8655" s="4"/>
      <c r="M8655" s="5" t="s">
        <v>5346</v>
      </c>
    </row>
    <row r="8656" customFormat="false" ht="15.75" hidden="false" customHeight="false" outlineLevel="0" collapsed="false">
      <c r="A8656" s="6" t="n">
        <v>46172</v>
      </c>
      <c r="B8656" s="4" t="s">
        <v>4473</v>
      </c>
      <c r="C8656" s="4" t="n">
        <v>8</v>
      </c>
      <c r="D8656" s="4" t="n">
        <v>2</v>
      </c>
      <c r="E8656" s="4" t="s">
        <v>873</v>
      </c>
      <c r="F8656" s="4" t="n">
        <v>1</v>
      </c>
      <c r="G8656" s="4" t="n">
        <v>12</v>
      </c>
      <c r="H8656" s="4" t="n">
        <v>4</v>
      </c>
      <c r="I8656" s="4" t="str">
        <v>×</v>
      </c>
      <c r="J8656" s="4"/>
      <c r="K8656" s="4"/>
      <c r="L8656" s="4"/>
      <c r="M8656" s="5" t="s">
        <v>5346</v>
      </c>
    </row>
    <row r="8657" customFormat="false" ht="15.75" hidden="false" customHeight="false" outlineLevel="0" collapsed="false">
      <c r="A8657" s="6" t="n">
        <v>46172</v>
      </c>
      <c r="B8657" s="4" t="s">
        <v>4473</v>
      </c>
      <c r="C8657" s="4" t="n">
        <v>8</v>
      </c>
      <c r="D8657" s="4" t="n">
        <v>3</v>
      </c>
      <c r="E8657" s="4" t="s">
        <v>5846</v>
      </c>
      <c r="F8657" s="4" t="n">
        <v>3</v>
      </c>
      <c r="G8657" s="4" t="n">
        <v>11</v>
      </c>
      <c r="H8657" s="4" t="n">
        <v>4</v>
      </c>
      <c r="I8657" s="4" t="str">
        <v>×</v>
      </c>
      <c r="J8657" s="4"/>
      <c r="K8657" s="4"/>
      <c r="L8657" s="4"/>
      <c r="M8657" s="5" t="s">
        <v>5346</v>
      </c>
    </row>
    <row r="8658" customFormat="false" ht="15.75" hidden="false" customHeight="false" outlineLevel="0" collapsed="false">
      <c r="A8658" s="6" t="n">
        <v>46172</v>
      </c>
      <c r="B8658" s="4" t="s">
        <v>4473</v>
      </c>
      <c r="C8658" s="4" t="n">
        <v>8</v>
      </c>
      <c r="D8658" s="4" t="n">
        <v>4</v>
      </c>
      <c r="E8658" s="4" t="s">
        <v>1541</v>
      </c>
      <c r="F8658" s="4" t="n">
        <v>8</v>
      </c>
      <c r="G8658" s="4" t="n">
        <v>9</v>
      </c>
      <c r="H8658" s="4" t="n">
        <v>4</v>
      </c>
      <c r="I8658" s="4" t="str">
        <v>×</v>
      </c>
      <c r="J8658" s="4"/>
      <c r="K8658" s="4"/>
      <c r="L8658" s="4"/>
      <c r="M8658" s="5" t="s">
        <v>5346</v>
      </c>
    </row>
    <row r="8659" customFormat="false" ht="15.75" hidden="false" customHeight="false" outlineLevel="0" collapsed="false">
      <c r="A8659" s="6" t="n">
        <v>46172</v>
      </c>
      <c r="B8659" s="4" t="s">
        <v>4473</v>
      </c>
      <c r="C8659" s="4" t="n">
        <v>8</v>
      </c>
      <c r="D8659" s="4" t="n">
        <v>5</v>
      </c>
      <c r="E8659" s="4" t="s">
        <v>5847</v>
      </c>
      <c r="F8659" s="4" t="n">
        <v>44</v>
      </c>
      <c r="G8659" s="4" t="n">
        <v>2</v>
      </c>
      <c r="H8659" s="4" t="n">
        <v>1</v>
      </c>
      <c r="I8659" s="4" t="str">
        <v>○</v>
      </c>
      <c r="J8659" s="4" t="n">
        <v>170</v>
      </c>
      <c r="K8659" s="4"/>
      <c r="L8659" s="4"/>
      <c r="M8659" s="5" t="s">
        <v>5346</v>
      </c>
    </row>
    <row r="8660" customFormat="false" ht="15.75" hidden="false" customHeight="false" outlineLevel="0" collapsed="false">
      <c r="A8660" s="6" t="n">
        <v>46172</v>
      </c>
      <c r="B8660" s="4" t="s">
        <v>4473</v>
      </c>
      <c r="C8660" s="4" t="n">
        <v>8</v>
      </c>
      <c r="D8660" s="4" t="n">
        <v>6</v>
      </c>
      <c r="E8660" s="4" t="s">
        <v>5848</v>
      </c>
      <c r="F8660" s="4" t="n">
        <v>10</v>
      </c>
      <c r="G8660" s="4" t="n">
        <v>8</v>
      </c>
      <c r="H8660" s="4" t="n">
        <v>4</v>
      </c>
      <c r="I8660" s="4" t="str">
        <v>×</v>
      </c>
      <c r="J8660" s="4"/>
      <c r="K8660" s="4"/>
      <c r="L8660" s="4"/>
      <c r="M8660" s="5" t="s">
        <v>5346</v>
      </c>
    </row>
    <row r="8661" customFormat="false" ht="15.75" hidden="false" customHeight="false" outlineLevel="0" collapsed="false">
      <c r="A8661" s="6" t="n">
        <v>46172</v>
      </c>
      <c r="B8661" s="4" t="s">
        <v>4473</v>
      </c>
      <c r="C8661" s="4" t="n">
        <v>8</v>
      </c>
      <c r="D8661" s="4" t="n">
        <v>7</v>
      </c>
      <c r="E8661" s="4" t="s">
        <v>5849</v>
      </c>
      <c r="F8661" s="4" t="n">
        <v>31</v>
      </c>
      <c r="G8661" s="4" t="n">
        <v>5</v>
      </c>
      <c r="H8661" s="4" t="n">
        <v>4</v>
      </c>
      <c r="I8661" s="4" t="str">
        <v>×</v>
      </c>
      <c r="J8661" s="4"/>
      <c r="K8661" s="4"/>
      <c r="L8661" s="4"/>
      <c r="M8661" s="5" t="s">
        <v>5346</v>
      </c>
    </row>
    <row r="8662" customFormat="false" ht="15.75" hidden="false" customHeight="false" outlineLevel="0" collapsed="false">
      <c r="A8662" s="6" t="n">
        <v>46172</v>
      </c>
      <c r="B8662" s="4" t="s">
        <v>4473</v>
      </c>
      <c r="C8662" s="4" t="n">
        <v>8</v>
      </c>
      <c r="D8662" s="4" t="n">
        <v>8</v>
      </c>
      <c r="E8662" s="4" t="s">
        <v>1490</v>
      </c>
      <c r="F8662" s="4" t="n">
        <v>1</v>
      </c>
      <c r="G8662" s="4" t="n">
        <v>12</v>
      </c>
      <c r="H8662" s="4" t="n">
        <v>4</v>
      </c>
      <c r="I8662" s="4" t="str">
        <v>×</v>
      </c>
      <c r="J8662" s="4"/>
      <c r="K8662" s="4"/>
      <c r="L8662" s="4"/>
      <c r="M8662" s="5" t="s">
        <v>5346</v>
      </c>
    </row>
    <row r="8663" customFormat="false" ht="15.75" hidden="false" customHeight="false" outlineLevel="0" collapsed="false">
      <c r="A8663" s="6" t="n">
        <v>46172</v>
      </c>
      <c r="B8663" s="4" t="s">
        <v>4473</v>
      </c>
      <c r="C8663" s="4" t="n">
        <v>8</v>
      </c>
      <c r="D8663" s="4" t="n">
        <v>9</v>
      </c>
      <c r="E8663" s="4" t="s">
        <v>4289</v>
      </c>
      <c r="F8663" s="4" t="n">
        <v>10</v>
      </c>
      <c r="G8663" s="4" t="n">
        <v>8</v>
      </c>
      <c r="H8663" s="4" t="n">
        <v>4</v>
      </c>
      <c r="I8663" s="4" t="str">
        <v>×</v>
      </c>
      <c r="J8663" s="4"/>
      <c r="K8663" s="4"/>
      <c r="L8663" s="4"/>
      <c r="M8663" s="5" t="s">
        <v>5346</v>
      </c>
    </row>
    <row r="8664" customFormat="false" ht="15.75" hidden="false" customHeight="false" outlineLevel="0" collapsed="false">
      <c r="A8664" s="6" t="n">
        <v>46172</v>
      </c>
      <c r="B8664" s="4" t="s">
        <v>4473</v>
      </c>
      <c r="C8664" s="4" t="n">
        <v>8</v>
      </c>
      <c r="D8664" s="4" t="n">
        <v>10</v>
      </c>
      <c r="E8664" s="4" t="s">
        <v>5186</v>
      </c>
      <c r="F8664" s="4" t="n">
        <v>37</v>
      </c>
      <c r="G8664" s="4" t="n">
        <v>4</v>
      </c>
      <c r="H8664" s="4" t="n">
        <v>2</v>
      </c>
      <c r="I8664" s="4" t="str">
        <v>○</v>
      </c>
      <c r="J8664" s="4" t="n">
        <v>150</v>
      </c>
      <c r="K8664" s="4"/>
      <c r="L8664" s="4"/>
      <c r="M8664" s="5" t="s">
        <v>5346</v>
      </c>
    </row>
    <row r="8665" customFormat="false" ht="15.75" hidden="false" customHeight="false" outlineLevel="0" collapsed="false">
      <c r="A8665" s="6" t="n">
        <v>46172</v>
      </c>
      <c r="B8665" s="4" t="s">
        <v>4473</v>
      </c>
      <c r="C8665" s="4" t="n">
        <v>8</v>
      </c>
      <c r="D8665" s="4" t="n">
        <v>11</v>
      </c>
      <c r="E8665" s="4" t="s">
        <v>5850</v>
      </c>
      <c r="F8665" s="4" t="n">
        <v>8</v>
      </c>
      <c r="G8665" s="4" t="n">
        <v>9</v>
      </c>
      <c r="H8665" s="4" t="n">
        <v>4</v>
      </c>
      <c r="I8665" s="4" t="str">
        <v>×</v>
      </c>
      <c r="J8665" s="4"/>
      <c r="K8665" s="4"/>
      <c r="L8665" s="4"/>
      <c r="M8665" s="5" t="s">
        <v>5346</v>
      </c>
    </row>
    <row r="8666" customFormat="false" ht="15.75" hidden="false" customHeight="false" outlineLevel="0" collapsed="false">
      <c r="A8666" s="6" t="n">
        <v>46172</v>
      </c>
      <c r="B8666" s="4" t="s">
        <v>4473</v>
      </c>
      <c r="C8666" s="4" t="n">
        <v>8</v>
      </c>
      <c r="D8666" s="4" t="n">
        <v>12</v>
      </c>
      <c r="E8666" s="4" t="s">
        <v>5851</v>
      </c>
      <c r="F8666" s="4" t="n">
        <v>25</v>
      </c>
      <c r="G8666" s="4" t="n">
        <v>6</v>
      </c>
      <c r="H8666" s="4" t="n">
        <v>4</v>
      </c>
      <c r="I8666" s="4" t="str">
        <v>×</v>
      </c>
      <c r="J8666" s="4"/>
      <c r="K8666" s="4"/>
      <c r="L8666" s="4"/>
      <c r="M8666" s="5" t="s">
        <v>5346</v>
      </c>
    </row>
    <row r="8667" customFormat="false" ht="15.75" hidden="false" customHeight="false" outlineLevel="0" collapsed="false">
      <c r="A8667" s="6" t="n">
        <v>46172</v>
      </c>
      <c r="B8667" s="4" t="s">
        <v>4473</v>
      </c>
      <c r="C8667" s="4" t="n">
        <v>8</v>
      </c>
      <c r="D8667" s="4" t="n">
        <v>13</v>
      </c>
      <c r="E8667" s="4" t="s">
        <v>2237</v>
      </c>
      <c r="F8667" s="4" t="n">
        <v>13</v>
      </c>
      <c r="G8667" s="4" t="n">
        <v>7</v>
      </c>
      <c r="H8667" s="4" t="n">
        <v>4</v>
      </c>
      <c r="I8667" s="4" t="str">
        <v>×</v>
      </c>
      <c r="J8667" s="4"/>
      <c r="K8667" s="4"/>
      <c r="L8667" s="4"/>
      <c r="M8667" s="5" t="s">
        <v>5346</v>
      </c>
    </row>
    <row r="8668" customFormat="false" ht="15.75" hidden="false" customHeight="false" outlineLevel="0" collapsed="false">
      <c r="A8668" s="6" t="n">
        <v>46172</v>
      </c>
      <c r="B8668" s="4" t="s">
        <v>4473</v>
      </c>
      <c r="C8668" s="4" t="n">
        <v>8</v>
      </c>
      <c r="D8668" s="4" t="n">
        <v>14</v>
      </c>
      <c r="E8668" s="4" t="s">
        <v>5852</v>
      </c>
      <c r="F8668" s="4" t="n">
        <v>47</v>
      </c>
      <c r="G8668" s="4" t="n">
        <v>1</v>
      </c>
      <c r="H8668" s="4" t="n">
        <v>3</v>
      </c>
      <c r="I8668" s="4" t="str">
        <v>○</v>
      </c>
      <c r="J8668" s="4" t="n">
        <v>140</v>
      </c>
      <c r="K8668" s="4"/>
      <c r="L8668" s="4"/>
      <c r="M8668" s="5" t="s">
        <v>5346</v>
      </c>
    </row>
    <row r="8669" customFormat="false" ht="15.75" hidden="false" customHeight="false" outlineLevel="0" collapsed="false">
      <c r="A8669" s="6" t="n">
        <v>46172</v>
      </c>
      <c r="B8669" s="4" t="s">
        <v>4473</v>
      </c>
      <c r="C8669" s="4" t="n">
        <v>8</v>
      </c>
      <c r="D8669" s="4" t="n">
        <v>15</v>
      </c>
      <c r="E8669" s="4" t="s">
        <v>1548</v>
      </c>
      <c r="F8669" s="4" t="n">
        <v>6</v>
      </c>
      <c r="G8669" s="4" t="n">
        <v>10</v>
      </c>
      <c r="H8669" s="4" t="n">
        <v>4</v>
      </c>
      <c r="I8669" s="4" t="str">
        <v>×</v>
      </c>
      <c r="J8669" s="4"/>
      <c r="K8669" s="4"/>
      <c r="L8669" s="4"/>
      <c r="M8669" s="5" t="s">
        <v>5346</v>
      </c>
    </row>
    <row r="8670" customFormat="false" ht="15.75" hidden="false" customHeight="false" outlineLevel="0" collapsed="false">
      <c r="A8670" s="6" t="n">
        <v>46172</v>
      </c>
      <c r="B8670" s="4" t="s">
        <v>4473</v>
      </c>
      <c r="C8670" s="4" t="n">
        <v>8</v>
      </c>
      <c r="D8670" s="4" t="n">
        <v>16</v>
      </c>
      <c r="E8670" s="4" t="s">
        <v>4288</v>
      </c>
      <c r="F8670" s="4" t="n">
        <v>8</v>
      </c>
      <c r="G8670" s="4" t="n">
        <v>9</v>
      </c>
      <c r="H8670" s="4" t="n">
        <v>4</v>
      </c>
      <c r="I8670" s="4" t="str">
        <v>×</v>
      </c>
      <c r="J8670" s="4"/>
      <c r="K8670" s="4"/>
      <c r="L8670" s="4"/>
      <c r="M8670" s="5" t="s">
        <v>5346</v>
      </c>
    </row>
    <row r="8671" customFormat="false" ht="15.75" hidden="false" customHeight="false" outlineLevel="0" collapsed="false">
      <c r="A8671" s="6" t="n">
        <v>46172</v>
      </c>
      <c r="B8671" s="4" t="s">
        <v>4473</v>
      </c>
      <c r="C8671" s="4" t="n">
        <v>9</v>
      </c>
      <c r="D8671" s="4" t="n">
        <v>1</v>
      </c>
      <c r="E8671" s="4" t="s">
        <v>5853</v>
      </c>
      <c r="F8671" s="4" t="n">
        <v>1</v>
      </c>
      <c r="G8671" s="4" t="n">
        <v>13</v>
      </c>
      <c r="H8671" s="4" t="n">
        <v>4</v>
      </c>
      <c r="I8671" s="4" t="str">
        <v>×</v>
      </c>
      <c r="J8671" s="4"/>
      <c r="K8671" s="4"/>
      <c r="L8671" s="4"/>
      <c r="M8671" s="5" t="s">
        <v>5346</v>
      </c>
    </row>
    <row r="8672" customFormat="false" ht="15.75" hidden="false" customHeight="false" outlineLevel="0" collapsed="false">
      <c r="A8672" s="6" t="n">
        <v>46172</v>
      </c>
      <c r="B8672" s="4" t="s">
        <v>4473</v>
      </c>
      <c r="C8672" s="4" t="n">
        <v>9</v>
      </c>
      <c r="D8672" s="4" t="n">
        <v>2</v>
      </c>
      <c r="E8672" s="4" t="s">
        <v>2779</v>
      </c>
      <c r="F8672" s="4" t="n">
        <v>10</v>
      </c>
      <c r="G8672" s="4" t="n">
        <v>9</v>
      </c>
      <c r="H8672" s="4" t="n">
        <v>4</v>
      </c>
      <c r="I8672" s="4" t="str">
        <v>×</v>
      </c>
      <c r="J8672" s="4"/>
      <c r="K8672" s="4"/>
      <c r="L8672" s="4"/>
      <c r="M8672" s="5" t="s">
        <v>5346</v>
      </c>
    </row>
    <row r="8673" customFormat="false" ht="15.75" hidden="false" customHeight="false" outlineLevel="0" collapsed="false">
      <c r="A8673" s="6" t="n">
        <v>46172</v>
      </c>
      <c r="B8673" s="4" t="s">
        <v>4473</v>
      </c>
      <c r="C8673" s="4" t="n">
        <v>9</v>
      </c>
      <c r="D8673" s="4" t="n">
        <v>3</v>
      </c>
      <c r="E8673" s="4" t="s">
        <v>5854</v>
      </c>
      <c r="F8673" s="4" t="n">
        <v>31</v>
      </c>
      <c r="G8673" s="4" t="n">
        <v>4</v>
      </c>
      <c r="H8673" s="4" t="n">
        <v>4</v>
      </c>
      <c r="I8673" s="4" t="str">
        <v>×</v>
      </c>
      <c r="J8673" s="4"/>
      <c r="K8673" s="4"/>
      <c r="L8673" s="4"/>
      <c r="M8673" s="5" t="s">
        <v>5346</v>
      </c>
    </row>
    <row r="8674" customFormat="false" ht="15.75" hidden="false" customHeight="false" outlineLevel="0" collapsed="false">
      <c r="A8674" s="6" t="n">
        <v>46172</v>
      </c>
      <c r="B8674" s="4" t="s">
        <v>4473</v>
      </c>
      <c r="C8674" s="4" t="n">
        <v>9</v>
      </c>
      <c r="D8674" s="4" t="n">
        <v>4</v>
      </c>
      <c r="E8674" s="4" t="s">
        <v>5855</v>
      </c>
      <c r="F8674" s="4" t="n">
        <v>13</v>
      </c>
      <c r="G8674" s="4" t="n">
        <v>8</v>
      </c>
      <c r="H8674" s="4" t="n">
        <v>4</v>
      </c>
      <c r="I8674" s="4" t="str">
        <v>×</v>
      </c>
      <c r="J8674" s="4"/>
      <c r="K8674" s="4"/>
      <c r="L8674" s="4"/>
      <c r="M8674" s="5" t="s">
        <v>5346</v>
      </c>
    </row>
    <row r="8675" customFormat="false" ht="15.75" hidden="false" customHeight="false" outlineLevel="0" collapsed="false">
      <c r="A8675" s="6" t="n">
        <v>46172</v>
      </c>
      <c r="B8675" s="4" t="s">
        <v>4473</v>
      </c>
      <c r="C8675" s="4" t="n">
        <v>9</v>
      </c>
      <c r="D8675" s="4" t="n">
        <v>5</v>
      </c>
      <c r="E8675" s="4" t="s">
        <v>5856</v>
      </c>
      <c r="F8675" s="4" t="n">
        <v>8</v>
      </c>
      <c r="G8675" s="4" t="n">
        <v>10</v>
      </c>
      <c r="H8675" s="4" t="n">
        <v>4</v>
      </c>
      <c r="I8675" s="4" t="str">
        <v>×</v>
      </c>
      <c r="J8675" s="4"/>
      <c r="K8675" s="4"/>
      <c r="L8675" s="4"/>
      <c r="M8675" s="5" t="s">
        <v>5346</v>
      </c>
    </row>
    <row r="8676" customFormat="false" ht="15.75" hidden="false" customHeight="false" outlineLevel="0" collapsed="false">
      <c r="A8676" s="6" t="n">
        <v>46172</v>
      </c>
      <c r="B8676" s="4" t="s">
        <v>4473</v>
      </c>
      <c r="C8676" s="4" t="n">
        <v>9</v>
      </c>
      <c r="D8676" s="4" t="n">
        <v>6</v>
      </c>
      <c r="E8676" s="4" t="s">
        <v>5857</v>
      </c>
      <c r="F8676" s="4" t="n">
        <v>29</v>
      </c>
      <c r="G8676" s="4" t="n">
        <v>5</v>
      </c>
      <c r="H8676" s="4" t="n">
        <v>1</v>
      </c>
      <c r="I8676" s="4" t="str">
        <v>○</v>
      </c>
      <c r="J8676" s="4" t="n">
        <v>800</v>
      </c>
      <c r="K8676" s="4"/>
      <c r="L8676" s="4"/>
      <c r="M8676" s="5" t="s">
        <v>5346</v>
      </c>
    </row>
    <row r="8677" customFormat="false" ht="15.75" hidden="false" customHeight="false" outlineLevel="0" collapsed="false">
      <c r="A8677" s="6" t="n">
        <v>46172</v>
      </c>
      <c r="B8677" s="4" t="s">
        <v>4473</v>
      </c>
      <c r="C8677" s="4" t="n">
        <v>9</v>
      </c>
      <c r="D8677" s="4" t="n">
        <v>7</v>
      </c>
      <c r="E8677" s="4" t="s">
        <v>253</v>
      </c>
      <c r="F8677" s="4" t="n">
        <v>29</v>
      </c>
      <c r="G8677" s="4" t="n">
        <v>5</v>
      </c>
      <c r="H8677" s="4" t="n">
        <v>4</v>
      </c>
      <c r="I8677" s="4" t="str">
        <v>×</v>
      </c>
      <c r="J8677" s="4"/>
      <c r="K8677" s="4"/>
      <c r="L8677" s="4"/>
      <c r="M8677" s="5" t="s">
        <v>5346</v>
      </c>
    </row>
    <row r="8678" customFormat="false" ht="15.75" hidden="false" customHeight="false" outlineLevel="0" collapsed="false">
      <c r="A8678" s="6" t="n">
        <v>46172</v>
      </c>
      <c r="B8678" s="4" t="s">
        <v>4473</v>
      </c>
      <c r="C8678" s="4" t="n">
        <v>9</v>
      </c>
      <c r="D8678" s="4" t="n">
        <v>8</v>
      </c>
      <c r="E8678" s="4" t="s">
        <v>5858</v>
      </c>
      <c r="F8678" s="4" t="n">
        <v>15</v>
      </c>
      <c r="G8678" s="4" t="n">
        <v>7</v>
      </c>
      <c r="H8678" s="4" t="n">
        <v>4</v>
      </c>
      <c r="I8678" s="4" t="str">
        <v>×</v>
      </c>
      <c r="J8678" s="4"/>
      <c r="K8678" s="4"/>
      <c r="L8678" s="4"/>
      <c r="M8678" s="5" t="s">
        <v>5346</v>
      </c>
    </row>
    <row r="8679" customFormat="false" ht="15.75" hidden="false" customHeight="false" outlineLevel="0" collapsed="false">
      <c r="A8679" s="6" t="n">
        <v>46172</v>
      </c>
      <c r="B8679" s="4" t="s">
        <v>4473</v>
      </c>
      <c r="C8679" s="4" t="n">
        <v>9</v>
      </c>
      <c r="D8679" s="4" t="n">
        <v>9</v>
      </c>
      <c r="E8679" s="4" t="s">
        <v>5859</v>
      </c>
      <c r="F8679" s="4" t="n">
        <v>25</v>
      </c>
      <c r="G8679" s="4" t="n">
        <v>6</v>
      </c>
      <c r="H8679" s="4" t="n">
        <v>4</v>
      </c>
      <c r="I8679" s="4" t="str">
        <v>×</v>
      </c>
      <c r="J8679" s="4"/>
      <c r="K8679" s="4"/>
      <c r="L8679" s="4"/>
      <c r="M8679" s="5" t="s">
        <v>5346</v>
      </c>
    </row>
    <row r="8680" customFormat="false" ht="15.75" hidden="false" customHeight="false" outlineLevel="0" collapsed="false">
      <c r="A8680" s="6" t="n">
        <v>46172</v>
      </c>
      <c r="B8680" s="4" t="s">
        <v>4473</v>
      </c>
      <c r="C8680" s="4" t="n">
        <v>9</v>
      </c>
      <c r="D8680" s="4" t="n">
        <v>10</v>
      </c>
      <c r="E8680" s="4" t="s">
        <v>3210</v>
      </c>
      <c r="F8680" s="4" t="n">
        <v>41</v>
      </c>
      <c r="G8680" s="4" t="n">
        <v>1</v>
      </c>
      <c r="H8680" s="4" t="n">
        <v>2</v>
      </c>
      <c r="I8680" s="4" t="str">
        <v>○</v>
      </c>
      <c r="J8680" s="4" t="n">
        <v>230</v>
      </c>
      <c r="K8680" s="4"/>
      <c r="L8680" s="4"/>
      <c r="M8680" s="5" t="s">
        <v>5346</v>
      </c>
    </row>
    <row r="8681" customFormat="false" ht="15.75" hidden="false" customHeight="false" outlineLevel="0" collapsed="false">
      <c r="A8681" s="6" t="n">
        <v>46172</v>
      </c>
      <c r="B8681" s="4" t="s">
        <v>4473</v>
      </c>
      <c r="C8681" s="4" t="n">
        <v>9</v>
      </c>
      <c r="D8681" s="4" t="n">
        <v>11</v>
      </c>
      <c r="E8681" s="4" t="s">
        <v>5860</v>
      </c>
      <c r="F8681" s="4" t="n">
        <v>39</v>
      </c>
      <c r="G8681" s="4" t="n">
        <v>2</v>
      </c>
      <c r="H8681" s="4" t="n">
        <v>3</v>
      </c>
      <c r="I8681" s="4" t="str">
        <v>○</v>
      </c>
      <c r="J8681" s="4" t="n">
        <v>500</v>
      </c>
      <c r="K8681" s="4"/>
      <c r="L8681" s="4"/>
      <c r="M8681" s="5" t="s">
        <v>5346</v>
      </c>
    </row>
    <row r="8682" customFormat="false" ht="15.75" hidden="false" customHeight="false" outlineLevel="0" collapsed="false">
      <c r="A8682" s="6" t="n">
        <v>46172</v>
      </c>
      <c r="B8682" s="4" t="s">
        <v>4473</v>
      </c>
      <c r="C8682" s="4" t="n">
        <v>9</v>
      </c>
      <c r="D8682" s="4" t="n">
        <v>12</v>
      </c>
      <c r="E8682" s="4" t="s">
        <v>3564</v>
      </c>
      <c r="F8682" s="4" t="n">
        <v>13</v>
      </c>
      <c r="G8682" s="4" t="n">
        <v>8</v>
      </c>
      <c r="H8682" s="4" t="n">
        <v>4</v>
      </c>
      <c r="I8682" s="4" t="str">
        <v>×</v>
      </c>
      <c r="J8682" s="4"/>
      <c r="K8682" s="4"/>
      <c r="L8682" s="4"/>
      <c r="M8682" s="5" t="s">
        <v>5346</v>
      </c>
    </row>
    <row r="8683" customFormat="false" ht="15.75" hidden="false" customHeight="false" outlineLevel="0" collapsed="false">
      <c r="A8683" s="6" t="n">
        <v>46172</v>
      </c>
      <c r="B8683" s="4" t="s">
        <v>4473</v>
      </c>
      <c r="C8683" s="4" t="n">
        <v>9</v>
      </c>
      <c r="D8683" s="4" t="n">
        <v>13</v>
      </c>
      <c r="E8683" s="4" t="s">
        <v>5861</v>
      </c>
      <c r="F8683" s="4" t="n">
        <v>6</v>
      </c>
      <c r="G8683" s="4" t="n">
        <v>11</v>
      </c>
      <c r="H8683" s="4" t="n">
        <v>4</v>
      </c>
      <c r="I8683" s="4" t="str">
        <v>×</v>
      </c>
      <c r="J8683" s="4"/>
      <c r="K8683" s="4"/>
      <c r="L8683" s="4"/>
      <c r="M8683" s="5" t="s">
        <v>5346</v>
      </c>
    </row>
    <row r="8684" customFormat="false" ht="15.75" hidden="false" customHeight="false" outlineLevel="0" collapsed="false">
      <c r="A8684" s="6" t="n">
        <v>46172</v>
      </c>
      <c r="B8684" s="4" t="s">
        <v>4473</v>
      </c>
      <c r="C8684" s="4" t="n">
        <v>9</v>
      </c>
      <c r="D8684" s="4" t="n">
        <v>14</v>
      </c>
      <c r="E8684" s="4" t="s">
        <v>5862</v>
      </c>
      <c r="F8684" s="4" t="n">
        <v>31</v>
      </c>
      <c r="G8684" s="4" t="n">
        <v>4</v>
      </c>
      <c r="H8684" s="4" t="n">
        <v>4</v>
      </c>
      <c r="I8684" s="4" t="str">
        <v>×</v>
      </c>
      <c r="J8684" s="4"/>
      <c r="K8684" s="4"/>
      <c r="L8684" s="4"/>
      <c r="M8684" s="5" t="s">
        <v>5346</v>
      </c>
    </row>
    <row r="8685" customFormat="false" ht="15.75" hidden="false" customHeight="false" outlineLevel="0" collapsed="false">
      <c r="A8685" s="6" t="n">
        <v>46172</v>
      </c>
      <c r="B8685" s="4" t="s">
        <v>4473</v>
      </c>
      <c r="C8685" s="4" t="n">
        <v>9</v>
      </c>
      <c r="D8685" s="4" t="n">
        <v>15</v>
      </c>
      <c r="E8685" s="4" t="s">
        <v>5863</v>
      </c>
      <c r="F8685" s="4" t="n">
        <v>3</v>
      </c>
      <c r="G8685" s="4" t="n">
        <v>12</v>
      </c>
      <c r="H8685" s="4" t="n">
        <v>4</v>
      </c>
      <c r="I8685" s="4" t="str">
        <v>×</v>
      </c>
      <c r="J8685" s="4"/>
      <c r="K8685" s="4"/>
      <c r="L8685" s="4"/>
      <c r="M8685" s="5" t="s">
        <v>5346</v>
      </c>
    </row>
    <row r="8686" customFormat="false" ht="15.75" hidden="false" customHeight="false" outlineLevel="0" collapsed="false">
      <c r="A8686" s="6" t="n">
        <v>46172</v>
      </c>
      <c r="B8686" s="4" t="s">
        <v>4473</v>
      </c>
      <c r="C8686" s="4" t="n">
        <v>9</v>
      </c>
      <c r="D8686" s="4" t="n">
        <v>16</v>
      </c>
      <c r="E8686" s="4" t="s">
        <v>5864</v>
      </c>
      <c r="F8686" s="4" t="n">
        <v>37</v>
      </c>
      <c r="G8686" s="4" t="n">
        <v>3</v>
      </c>
      <c r="H8686" s="4" t="n">
        <v>4</v>
      </c>
      <c r="I8686" s="4" t="str">
        <v>×</v>
      </c>
      <c r="J8686" s="4"/>
      <c r="K8686" s="4"/>
      <c r="L8686" s="4"/>
      <c r="M8686" s="5" t="s">
        <v>5346</v>
      </c>
    </row>
    <row r="8687" customFormat="false" ht="15.75" hidden="false" customHeight="false" outlineLevel="0" collapsed="false">
      <c r="A8687" s="6" t="n">
        <v>46172</v>
      </c>
      <c r="B8687" s="4" t="s">
        <v>4473</v>
      </c>
      <c r="C8687" s="4" t="n">
        <v>10</v>
      </c>
      <c r="D8687" s="4" t="n">
        <v>1</v>
      </c>
      <c r="E8687" s="4" t="s">
        <v>5865</v>
      </c>
      <c r="F8687" s="4" t="n">
        <v>81</v>
      </c>
      <c r="G8687" s="4" t="n">
        <v>1</v>
      </c>
      <c r="H8687" s="4" t="n">
        <v>4</v>
      </c>
      <c r="I8687" s="4" t="str">
        <v>×</v>
      </c>
      <c r="J8687" s="4"/>
      <c r="K8687" s="4"/>
      <c r="L8687" s="4"/>
      <c r="M8687" s="5" t="s">
        <v>5346</v>
      </c>
    </row>
    <row r="8688" customFormat="false" ht="15.75" hidden="false" customHeight="false" outlineLevel="0" collapsed="false">
      <c r="A8688" s="6" t="n">
        <v>46172</v>
      </c>
      <c r="B8688" s="4" t="s">
        <v>4473</v>
      </c>
      <c r="C8688" s="4" t="n">
        <v>10</v>
      </c>
      <c r="D8688" s="4" t="n">
        <v>2</v>
      </c>
      <c r="E8688" s="4" t="s">
        <v>5866</v>
      </c>
      <c r="F8688" s="4" t="n">
        <v>44</v>
      </c>
      <c r="G8688" s="4" t="n">
        <v>2</v>
      </c>
      <c r="H8688" s="4" t="n">
        <v>3</v>
      </c>
      <c r="I8688" s="4" t="str">
        <v>○</v>
      </c>
      <c r="J8688" s="4" t="n">
        <v>450</v>
      </c>
      <c r="K8688" s="4"/>
      <c r="L8688" s="4"/>
      <c r="M8688" s="5" t="s">
        <v>5346</v>
      </c>
    </row>
    <row r="8689" customFormat="false" ht="15.75" hidden="false" customHeight="false" outlineLevel="0" collapsed="false">
      <c r="A8689" s="6" t="n">
        <v>46172</v>
      </c>
      <c r="B8689" s="4" t="s">
        <v>4473</v>
      </c>
      <c r="C8689" s="4" t="n">
        <v>10</v>
      </c>
      <c r="D8689" s="4" t="n">
        <v>3</v>
      </c>
      <c r="E8689" s="4" t="s">
        <v>1514</v>
      </c>
      <c r="F8689" s="4" t="n">
        <v>2</v>
      </c>
      <c r="G8689" s="4" t="n">
        <v>10</v>
      </c>
      <c r="H8689" s="4" t="n">
        <v>4</v>
      </c>
      <c r="I8689" s="4" t="str">
        <v>×</v>
      </c>
      <c r="J8689" s="4"/>
      <c r="K8689" s="4"/>
      <c r="L8689" s="4"/>
      <c r="M8689" s="5" t="s">
        <v>5346</v>
      </c>
    </row>
    <row r="8690" customFormat="false" ht="15.75" hidden="false" customHeight="false" outlineLevel="0" collapsed="false">
      <c r="A8690" s="6" t="n">
        <v>46172</v>
      </c>
      <c r="B8690" s="4" t="s">
        <v>4473</v>
      </c>
      <c r="C8690" s="4" t="n">
        <v>10</v>
      </c>
      <c r="D8690" s="4" t="n">
        <v>4</v>
      </c>
      <c r="E8690" s="4" t="s">
        <v>5867</v>
      </c>
      <c r="F8690" s="4" t="n">
        <v>10</v>
      </c>
      <c r="G8690" s="4" t="n">
        <v>9</v>
      </c>
      <c r="H8690" s="4" t="n">
        <v>4</v>
      </c>
      <c r="I8690" s="4" t="str">
        <v>×</v>
      </c>
      <c r="J8690" s="4"/>
      <c r="K8690" s="4"/>
      <c r="L8690" s="4"/>
      <c r="M8690" s="5" t="s">
        <v>5346</v>
      </c>
    </row>
    <row r="8691" customFormat="false" ht="15.75" hidden="false" customHeight="false" outlineLevel="0" collapsed="false">
      <c r="A8691" s="6" t="n">
        <v>46172</v>
      </c>
      <c r="B8691" s="4" t="s">
        <v>4473</v>
      </c>
      <c r="C8691" s="4" t="n">
        <v>10</v>
      </c>
      <c r="D8691" s="4" t="n">
        <v>5</v>
      </c>
      <c r="E8691" s="4" t="s">
        <v>5868</v>
      </c>
      <c r="F8691" s="4" t="n">
        <v>17</v>
      </c>
      <c r="G8691" s="4" t="n">
        <v>7</v>
      </c>
      <c r="H8691" s="4" t="n">
        <v>4</v>
      </c>
      <c r="I8691" s="4" t="str">
        <v>×</v>
      </c>
      <c r="J8691" s="4"/>
      <c r="K8691" s="4"/>
      <c r="L8691" s="4"/>
      <c r="M8691" s="5" t="s">
        <v>5346</v>
      </c>
    </row>
    <row r="8692" customFormat="false" ht="15.75" hidden="false" customHeight="false" outlineLevel="0" collapsed="false">
      <c r="A8692" s="6" t="n">
        <v>46172</v>
      </c>
      <c r="B8692" s="4" t="s">
        <v>4473</v>
      </c>
      <c r="C8692" s="4" t="n">
        <v>10</v>
      </c>
      <c r="D8692" s="4" t="n">
        <v>6</v>
      </c>
      <c r="E8692" s="4" t="s">
        <v>3751</v>
      </c>
      <c r="F8692" s="4" t="n">
        <v>37</v>
      </c>
      <c r="G8692" s="4" t="n">
        <v>3</v>
      </c>
      <c r="H8692" s="4" t="n">
        <v>4</v>
      </c>
      <c r="I8692" s="4" t="str">
        <v>×</v>
      </c>
      <c r="J8692" s="4"/>
      <c r="K8692" s="4"/>
      <c r="L8692" s="4"/>
      <c r="M8692" s="5" t="s">
        <v>5346</v>
      </c>
    </row>
    <row r="8693" customFormat="false" ht="15.75" hidden="false" customHeight="false" outlineLevel="0" collapsed="false">
      <c r="A8693" s="6" t="n">
        <v>46172</v>
      </c>
      <c r="B8693" s="4" t="s">
        <v>4473</v>
      </c>
      <c r="C8693" s="4" t="n">
        <v>10</v>
      </c>
      <c r="D8693" s="4" t="n">
        <v>7</v>
      </c>
      <c r="E8693" s="4" t="s">
        <v>5869</v>
      </c>
      <c r="F8693" s="4" t="n">
        <v>17</v>
      </c>
      <c r="G8693" s="4" t="n">
        <v>7</v>
      </c>
      <c r="H8693" s="4" t="n">
        <v>4</v>
      </c>
      <c r="I8693" s="4" t="str">
        <v>×</v>
      </c>
      <c r="J8693" s="4"/>
      <c r="K8693" s="4"/>
      <c r="L8693" s="4"/>
      <c r="M8693" s="5" t="s">
        <v>5346</v>
      </c>
    </row>
    <row r="8694" customFormat="false" ht="15.75" hidden="false" customHeight="false" outlineLevel="0" collapsed="false">
      <c r="A8694" s="6" t="n">
        <v>46172</v>
      </c>
      <c r="B8694" s="4" t="s">
        <v>4473</v>
      </c>
      <c r="C8694" s="4" t="n">
        <v>10</v>
      </c>
      <c r="D8694" s="4" t="n">
        <v>8</v>
      </c>
      <c r="E8694" s="4" t="s">
        <v>5870</v>
      </c>
      <c r="F8694" s="4" t="n">
        <v>23</v>
      </c>
      <c r="G8694" s="4" t="n">
        <v>5</v>
      </c>
      <c r="H8694" s="4" t="n">
        <v>4</v>
      </c>
      <c r="I8694" s="4" t="str">
        <v>×</v>
      </c>
      <c r="J8694" s="4"/>
      <c r="K8694" s="4"/>
      <c r="L8694" s="4"/>
      <c r="M8694" s="5" t="s">
        <v>5346</v>
      </c>
    </row>
    <row r="8695" customFormat="false" ht="15.75" hidden="false" customHeight="false" outlineLevel="0" collapsed="false">
      <c r="A8695" s="6" t="n">
        <v>46172</v>
      </c>
      <c r="B8695" s="4" t="s">
        <v>4473</v>
      </c>
      <c r="C8695" s="4" t="n">
        <v>10</v>
      </c>
      <c r="D8695" s="4" t="n">
        <v>9</v>
      </c>
      <c r="E8695" s="4" t="s">
        <v>76</v>
      </c>
      <c r="F8695" s="4" t="n">
        <v>13</v>
      </c>
      <c r="G8695" s="4" t="n">
        <v>8</v>
      </c>
      <c r="H8695" s="4" t="n">
        <v>4</v>
      </c>
      <c r="I8695" s="4" t="str">
        <v>×</v>
      </c>
      <c r="J8695" s="4"/>
      <c r="K8695" s="4"/>
      <c r="L8695" s="4"/>
      <c r="M8695" s="5" t="s">
        <v>5346</v>
      </c>
    </row>
    <row r="8696" customFormat="false" ht="15.75" hidden="false" customHeight="false" outlineLevel="0" collapsed="false">
      <c r="A8696" s="6" t="n">
        <v>46172</v>
      </c>
      <c r="B8696" s="4" t="s">
        <v>4473</v>
      </c>
      <c r="C8696" s="4" t="n">
        <v>10</v>
      </c>
      <c r="D8696" s="4" t="n">
        <v>10</v>
      </c>
      <c r="E8696" s="4" t="s">
        <v>5871</v>
      </c>
      <c r="F8696" s="4" t="n">
        <v>20</v>
      </c>
      <c r="G8696" s="4" t="n">
        <v>6</v>
      </c>
      <c r="H8696" s="4" t="n">
        <v>1</v>
      </c>
      <c r="I8696" s="4" t="str">
        <v>○</v>
      </c>
      <c r="J8696" s="4" t="n">
        <v>390</v>
      </c>
      <c r="K8696" s="4"/>
      <c r="L8696" s="4"/>
      <c r="M8696" s="5" t="s">
        <v>5346</v>
      </c>
    </row>
    <row r="8697" customFormat="false" ht="15.75" hidden="false" customHeight="false" outlineLevel="0" collapsed="false">
      <c r="A8697" s="6" t="n">
        <v>46172</v>
      </c>
      <c r="B8697" s="4" t="s">
        <v>4473</v>
      </c>
      <c r="C8697" s="4" t="n">
        <v>10</v>
      </c>
      <c r="D8697" s="4" t="n">
        <v>11</v>
      </c>
      <c r="E8697" s="4" t="s">
        <v>5872</v>
      </c>
      <c r="F8697" s="4" t="n">
        <v>31</v>
      </c>
      <c r="G8697" s="4" t="n">
        <v>4</v>
      </c>
      <c r="H8697" s="4" t="n">
        <v>2</v>
      </c>
      <c r="I8697" s="4" t="str">
        <v>○</v>
      </c>
      <c r="J8697" s="4" t="n">
        <v>580</v>
      </c>
      <c r="K8697" s="4"/>
      <c r="L8697" s="4"/>
      <c r="M8697" s="5" t="s">
        <v>5346</v>
      </c>
    </row>
    <row r="8698" customFormat="false" ht="15.75" hidden="false" customHeight="false" outlineLevel="0" collapsed="false">
      <c r="A8698" s="6" t="n">
        <v>46172</v>
      </c>
      <c r="B8698" s="4" t="s">
        <v>4473</v>
      </c>
      <c r="C8698" s="4" t="n">
        <v>11</v>
      </c>
      <c r="D8698" s="4" t="n">
        <v>1</v>
      </c>
      <c r="E8698" s="4" t="s">
        <v>2663</v>
      </c>
      <c r="F8698" s="4" t="n">
        <v>4</v>
      </c>
      <c r="G8698" s="4" t="n">
        <v>9</v>
      </c>
      <c r="H8698" s="4" t="n">
        <v>4</v>
      </c>
      <c r="I8698" s="4" t="str">
        <v>×</v>
      </c>
      <c r="J8698" s="4"/>
      <c r="K8698" s="4"/>
      <c r="L8698" s="4"/>
      <c r="M8698" s="5" t="s">
        <v>5346</v>
      </c>
    </row>
    <row r="8699" customFormat="false" ht="15.75" hidden="false" customHeight="false" outlineLevel="0" collapsed="false">
      <c r="A8699" s="6" t="n">
        <v>46172</v>
      </c>
      <c r="B8699" s="4" t="s">
        <v>4473</v>
      </c>
      <c r="C8699" s="4" t="n">
        <v>11</v>
      </c>
      <c r="D8699" s="4" t="n">
        <v>2</v>
      </c>
      <c r="E8699" s="4" t="s">
        <v>2535</v>
      </c>
      <c r="F8699" s="4" t="n">
        <v>31</v>
      </c>
      <c r="G8699" s="4" t="n">
        <v>4</v>
      </c>
      <c r="H8699" s="4" t="n">
        <v>4</v>
      </c>
      <c r="I8699" s="4" t="str">
        <v>×</v>
      </c>
      <c r="J8699" s="4"/>
      <c r="K8699" s="4"/>
      <c r="L8699" s="4"/>
      <c r="M8699" s="5" t="s">
        <v>5346</v>
      </c>
    </row>
    <row r="8700" customFormat="false" ht="15.75" hidden="false" customHeight="false" outlineLevel="0" collapsed="false">
      <c r="A8700" s="6" t="n">
        <v>46172</v>
      </c>
      <c r="B8700" s="4" t="s">
        <v>4473</v>
      </c>
      <c r="C8700" s="4" t="n">
        <v>11</v>
      </c>
      <c r="D8700" s="4" t="n">
        <v>3</v>
      </c>
      <c r="E8700" s="4" t="s">
        <v>3111</v>
      </c>
      <c r="F8700" s="4" t="n">
        <v>4</v>
      </c>
      <c r="G8700" s="4" t="n">
        <v>9</v>
      </c>
      <c r="H8700" s="4" t="n">
        <v>4</v>
      </c>
      <c r="I8700" s="4" t="str">
        <v>×</v>
      </c>
      <c r="J8700" s="4"/>
      <c r="K8700" s="4"/>
      <c r="L8700" s="4"/>
      <c r="M8700" s="5" t="s">
        <v>5346</v>
      </c>
    </row>
    <row r="8701" customFormat="false" ht="15.75" hidden="false" customHeight="false" outlineLevel="0" collapsed="false">
      <c r="A8701" s="6" t="n">
        <v>46172</v>
      </c>
      <c r="B8701" s="4" t="s">
        <v>4473</v>
      </c>
      <c r="C8701" s="4" t="n">
        <v>11</v>
      </c>
      <c r="D8701" s="4" t="n">
        <v>4</v>
      </c>
      <c r="E8701" s="4" t="s">
        <v>2533</v>
      </c>
      <c r="F8701" s="4" t="n">
        <v>20</v>
      </c>
      <c r="G8701" s="4" t="n">
        <v>7</v>
      </c>
      <c r="H8701" s="4" t="n">
        <v>2</v>
      </c>
      <c r="I8701" s="4" t="str">
        <v>○</v>
      </c>
      <c r="J8701" s="4" t="n">
        <v>620</v>
      </c>
      <c r="K8701" s="4"/>
      <c r="L8701" s="4"/>
      <c r="M8701" s="5" t="s">
        <v>5346</v>
      </c>
    </row>
    <row r="8702" customFormat="false" ht="15.75" hidden="false" customHeight="false" outlineLevel="0" collapsed="false">
      <c r="A8702" s="6" t="n">
        <v>46172</v>
      </c>
      <c r="B8702" s="4" t="s">
        <v>4473</v>
      </c>
      <c r="C8702" s="4" t="n">
        <v>11</v>
      </c>
      <c r="D8702" s="4" t="n">
        <v>5</v>
      </c>
      <c r="E8702" s="4" t="s">
        <v>5873</v>
      </c>
      <c r="F8702" s="4" t="n">
        <v>20</v>
      </c>
      <c r="G8702" s="4" t="n">
        <v>7</v>
      </c>
      <c r="H8702" s="4" t="n">
        <v>4</v>
      </c>
      <c r="I8702" s="4" t="str">
        <v>×</v>
      </c>
      <c r="J8702" s="4"/>
      <c r="K8702" s="4"/>
      <c r="L8702" s="4"/>
      <c r="M8702" s="5" t="s">
        <v>5346</v>
      </c>
    </row>
    <row r="8703" customFormat="false" ht="15.75" hidden="false" customHeight="false" outlineLevel="0" collapsed="false">
      <c r="A8703" s="6" t="n">
        <v>46172</v>
      </c>
      <c r="B8703" s="4" t="s">
        <v>4473</v>
      </c>
      <c r="C8703" s="4" t="n">
        <v>11</v>
      </c>
      <c r="D8703" s="4" t="n">
        <v>6</v>
      </c>
      <c r="E8703" s="4" t="s">
        <v>5874</v>
      </c>
      <c r="F8703" s="4" t="n">
        <v>29</v>
      </c>
      <c r="G8703" s="4" t="n">
        <v>5</v>
      </c>
      <c r="H8703" s="4" t="n">
        <v>4</v>
      </c>
      <c r="I8703" s="4" t="str">
        <v>×</v>
      </c>
      <c r="J8703" s="4"/>
      <c r="K8703" s="4"/>
      <c r="L8703" s="4"/>
      <c r="M8703" s="5" t="s">
        <v>5346</v>
      </c>
    </row>
    <row r="8704" customFormat="false" ht="15.75" hidden="false" customHeight="false" outlineLevel="0" collapsed="false">
      <c r="A8704" s="6" t="n">
        <v>46172</v>
      </c>
      <c r="B8704" s="4" t="s">
        <v>4473</v>
      </c>
      <c r="C8704" s="4" t="n">
        <v>11</v>
      </c>
      <c r="D8704" s="4" t="n">
        <v>7</v>
      </c>
      <c r="E8704" s="4" t="s">
        <v>1371</v>
      </c>
      <c r="F8704" s="4" t="n">
        <v>4</v>
      </c>
      <c r="G8704" s="4" t="n">
        <v>9</v>
      </c>
      <c r="H8704" s="4" t="n">
        <v>4</v>
      </c>
      <c r="I8704" s="4" t="str">
        <v>×</v>
      </c>
      <c r="J8704" s="4"/>
      <c r="K8704" s="4"/>
      <c r="L8704" s="4"/>
      <c r="M8704" s="5" t="s">
        <v>5346</v>
      </c>
    </row>
    <row r="8705" customFormat="false" ht="15.75" hidden="false" customHeight="false" outlineLevel="0" collapsed="false">
      <c r="A8705" s="6" t="n">
        <v>46172</v>
      </c>
      <c r="B8705" s="4" t="s">
        <v>4473</v>
      </c>
      <c r="C8705" s="4" t="n">
        <v>11</v>
      </c>
      <c r="D8705" s="4" t="n">
        <v>8</v>
      </c>
      <c r="E8705" s="4" t="s">
        <v>5875</v>
      </c>
      <c r="F8705" s="4" t="n">
        <v>23</v>
      </c>
      <c r="G8705" s="4" t="n">
        <v>6</v>
      </c>
      <c r="H8705" s="4" t="n">
        <v>4</v>
      </c>
      <c r="I8705" s="4" t="str">
        <v>×</v>
      </c>
      <c r="J8705" s="4"/>
      <c r="K8705" s="4"/>
      <c r="L8705" s="4"/>
      <c r="M8705" s="5" t="s">
        <v>5346</v>
      </c>
    </row>
    <row r="8706" customFormat="false" ht="15.75" hidden="false" customHeight="false" outlineLevel="0" collapsed="false">
      <c r="A8706" s="6" t="n">
        <v>46172</v>
      </c>
      <c r="B8706" s="4" t="s">
        <v>4473</v>
      </c>
      <c r="C8706" s="4" t="n">
        <v>11</v>
      </c>
      <c r="D8706" s="4" t="n">
        <v>9</v>
      </c>
      <c r="E8706" s="4" t="s">
        <v>5876</v>
      </c>
      <c r="F8706" s="4" t="n">
        <v>23</v>
      </c>
      <c r="G8706" s="4" t="n">
        <v>6</v>
      </c>
      <c r="H8706" s="4" t="n">
        <v>4</v>
      </c>
      <c r="I8706" s="4" t="str">
        <v>×</v>
      </c>
      <c r="J8706" s="4"/>
      <c r="K8706" s="4"/>
      <c r="L8706" s="4"/>
      <c r="M8706" s="5" t="s">
        <v>5346</v>
      </c>
    </row>
    <row r="8707" customFormat="false" ht="15.75" hidden="false" customHeight="false" outlineLevel="0" collapsed="false">
      <c r="A8707" s="6" t="n">
        <v>46172</v>
      </c>
      <c r="B8707" s="4" t="s">
        <v>4473</v>
      </c>
      <c r="C8707" s="4" t="n">
        <v>11</v>
      </c>
      <c r="D8707" s="4" t="n">
        <v>10</v>
      </c>
      <c r="E8707" s="4" t="s">
        <v>5877</v>
      </c>
      <c r="F8707" s="4" t="n">
        <v>1</v>
      </c>
      <c r="G8707" s="4" t="n">
        <v>11</v>
      </c>
      <c r="H8707" s="4" t="n">
        <v>4</v>
      </c>
      <c r="I8707" s="4" t="str">
        <v>×</v>
      </c>
      <c r="J8707" s="4"/>
      <c r="K8707" s="4"/>
      <c r="L8707" s="4"/>
      <c r="M8707" s="5" t="s">
        <v>5346</v>
      </c>
    </row>
    <row r="8708" customFormat="false" ht="15.75" hidden="false" customHeight="false" outlineLevel="0" collapsed="false">
      <c r="A8708" s="6" t="n">
        <v>46172</v>
      </c>
      <c r="B8708" s="4" t="s">
        <v>4473</v>
      </c>
      <c r="C8708" s="4" t="n">
        <v>11</v>
      </c>
      <c r="D8708" s="4" t="n">
        <v>11</v>
      </c>
      <c r="E8708" s="4" t="s">
        <v>3109</v>
      </c>
      <c r="F8708" s="4" t="n">
        <v>15</v>
      </c>
      <c r="G8708" s="4" t="n">
        <v>8</v>
      </c>
      <c r="H8708" s="4" t="n">
        <v>3</v>
      </c>
      <c r="I8708" s="4" t="str">
        <v>○</v>
      </c>
      <c r="J8708" s="4" t="n">
        <v>380</v>
      </c>
      <c r="K8708" s="4"/>
      <c r="L8708" s="4"/>
      <c r="M8708" s="5" t="s">
        <v>5346</v>
      </c>
    </row>
    <row r="8709" customFormat="false" ht="15.75" hidden="false" customHeight="false" outlineLevel="0" collapsed="false">
      <c r="A8709" s="6" t="n">
        <v>46172</v>
      </c>
      <c r="B8709" s="4" t="s">
        <v>4473</v>
      </c>
      <c r="C8709" s="4" t="n">
        <v>11</v>
      </c>
      <c r="D8709" s="4" t="n">
        <v>12</v>
      </c>
      <c r="E8709" s="4" t="s">
        <v>5878</v>
      </c>
      <c r="F8709" s="4" t="n">
        <v>50</v>
      </c>
      <c r="G8709" s="4" t="n">
        <v>2</v>
      </c>
      <c r="H8709" s="4" t="n">
        <v>4</v>
      </c>
      <c r="I8709" s="4" t="str">
        <v>×</v>
      </c>
      <c r="J8709" s="4"/>
      <c r="K8709" s="4"/>
      <c r="L8709" s="4"/>
      <c r="M8709" s="5" t="s">
        <v>5346</v>
      </c>
    </row>
    <row r="8710" customFormat="false" ht="15.75" hidden="false" customHeight="false" outlineLevel="0" collapsed="false">
      <c r="A8710" s="6" t="n">
        <v>46172</v>
      </c>
      <c r="B8710" s="4" t="s">
        <v>4473</v>
      </c>
      <c r="C8710" s="4" t="n">
        <v>11</v>
      </c>
      <c r="D8710" s="4" t="n">
        <v>13</v>
      </c>
      <c r="E8710" s="4" t="s">
        <v>3115</v>
      </c>
      <c r="F8710" s="4" t="n">
        <v>37</v>
      </c>
      <c r="G8710" s="4" t="n">
        <v>3</v>
      </c>
      <c r="H8710" s="4" t="n">
        <v>4</v>
      </c>
      <c r="I8710" s="4" t="str">
        <v>×</v>
      </c>
      <c r="J8710" s="4"/>
      <c r="K8710" s="4"/>
      <c r="L8710" s="4"/>
      <c r="M8710" s="5" t="s">
        <v>5346</v>
      </c>
    </row>
    <row r="8711" customFormat="false" ht="15.75" hidden="false" customHeight="false" outlineLevel="0" collapsed="false">
      <c r="A8711" s="6" t="n">
        <v>46172</v>
      </c>
      <c r="B8711" s="4" t="s">
        <v>4473</v>
      </c>
      <c r="C8711" s="4" t="n">
        <v>11</v>
      </c>
      <c r="D8711" s="4" t="n">
        <v>14</v>
      </c>
      <c r="E8711" s="4" t="s">
        <v>5879</v>
      </c>
      <c r="F8711" s="4" t="n">
        <v>37</v>
      </c>
      <c r="G8711" s="4" t="n">
        <v>3</v>
      </c>
      <c r="H8711" s="4" t="n">
        <v>4</v>
      </c>
      <c r="I8711" s="4" t="str">
        <v>×</v>
      </c>
      <c r="J8711" s="4"/>
      <c r="K8711" s="4"/>
      <c r="L8711" s="4"/>
      <c r="M8711" s="5" t="s">
        <v>5346</v>
      </c>
    </row>
    <row r="8712" customFormat="false" ht="15.75" hidden="false" customHeight="false" outlineLevel="0" collapsed="false">
      <c r="A8712" s="6" t="n">
        <v>46172</v>
      </c>
      <c r="B8712" s="4" t="s">
        <v>4473</v>
      </c>
      <c r="C8712" s="4" t="n">
        <v>11</v>
      </c>
      <c r="D8712" s="4" t="n">
        <v>15</v>
      </c>
      <c r="E8712" s="4" t="s">
        <v>5880</v>
      </c>
      <c r="F8712" s="4" t="n">
        <v>2</v>
      </c>
      <c r="G8712" s="4" t="n">
        <v>10</v>
      </c>
      <c r="H8712" s="4" t="n">
        <v>4</v>
      </c>
      <c r="I8712" s="4" t="str">
        <v>×</v>
      </c>
      <c r="J8712" s="4"/>
      <c r="K8712" s="4"/>
      <c r="L8712" s="4"/>
      <c r="M8712" s="5" t="s">
        <v>5346</v>
      </c>
    </row>
    <row r="8713" customFormat="false" ht="15.75" hidden="false" customHeight="false" outlineLevel="0" collapsed="false">
      <c r="A8713" s="6" t="n">
        <v>46172</v>
      </c>
      <c r="B8713" s="4" t="s">
        <v>4473</v>
      </c>
      <c r="C8713" s="4" t="n">
        <v>11</v>
      </c>
      <c r="D8713" s="4" t="n">
        <v>16</v>
      </c>
      <c r="E8713" s="4" t="s">
        <v>5881</v>
      </c>
      <c r="F8713" s="4" t="n">
        <v>66</v>
      </c>
      <c r="G8713" s="4" t="n">
        <v>1</v>
      </c>
      <c r="H8713" s="4" t="n">
        <v>1</v>
      </c>
      <c r="I8713" s="4" t="str">
        <v>○</v>
      </c>
      <c r="J8713" s="4" t="n">
        <v>120</v>
      </c>
      <c r="K8713" s="4"/>
      <c r="L8713" s="4"/>
      <c r="M8713" s="5" t="s">
        <v>5346</v>
      </c>
    </row>
    <row r="8714" customFormat="false" ht="15.75" hidden="false" customHeight="false" outlineLevel="0" collapsed="false">
      <c r="A8714" s="6" t="n">
        <v>46172</v>
      </c>
      <c r="B8714" s="4" t="s">
        <v>4473</v>
      </c>
      <c r="C8714" s="4" t="n">
        <v>12</v>
      </c>
      <c r="D8714" s="4" t="n">
        <v>1</v>
      </c>
      <c r="E8714" s="4" t="s">
        <v>5882</v>
      </c>
      <c r="F8714" s="4" t="n">
        <v>20</v>
      </c>
      <c r="G8714" s="4" t="n">
        <v>5</v>
      </c>
      <c r="H8714" s="4" t="n">
        <v>4</v>
      </c>
      <c r="I8714" s="4" t="str">
        <v>×</v>
      </c>
      <c r="J8714" s="4"/>
      <c r="K8714" s="4"/>
      <c r="L8714" s="4"/>
      <c r="M8714" s="5" t="s">
        <v>5346</v>
      </c>
    </row>
    <row r="8715" customFormat="false" ht="15.75" hidden="false" customHeight="false" outlineLevel="0" collapsed="false">
      <c r="A8715" s="6" t="n">
        <v>46172</v>
      </c>
      <c r="B8715" s="4" t="s">
        <v>4473</v>
      </c>
      <c r="C8715" s="4" t="n">
        <v>12</v>
      </c>
      <c r="D8715" s="4" t="n">
        <v>2</v>
      </c>
      <c r="E8715" s="4" t="s">
        <v>5883</v>
      </c>
      <c r="F8715" s="4" t="n">
        <v>20</v>
      </c>
      <c r="G8715" s="4" t="n">
        <v>5</v>
      </c>
      <c r="H8715" s="4" t="n">
        <v>4</v>
      </c>
      <c r="I8715" s="4" t="str">
        <v>×</v>
      </c>
      <c r="J8715" s="4"/>
      <c r="K8715" s="4"/>
      <c r="L8715" s="4"/>
      <c r="M8715" s="5" t="s">
        <v>5346</v>
      </c>
    </row>
    <row r="8716" customFormat="false" ht="15.75" hidden="false" customHeight="false" outlineLevel="0" collapsed="false">
      <c r="A8716" s="6" t="n">
        <v>46172</v>
      </c>
      <c r="B8716" s="4" t="s">
        <v>4473</v>
      </c>
      <c r="C8716" s="4" t="n">
        <v>12</v>
      </c>
      <c r="D8716" s="4" t="n">
        <v>3</v>
      </c>
      <c r="E8716" s="4" t="s">
        <v>5884</v>
      </c>
      <c r="F8716" s="4" t="n">
        <v>6</v>
      </c>
      <c r="G8716" s="4" t="n">
        <v>10</v>
      </c>
      <c r="H8716" s="4" t="n">
        <v>4</v>
      </c>
      <c r="I8716" s="4" t="str">
        <v>×</v>
      </c>
      <c r="J8716" s="4"/>
      <c r="K8716" s="4"/>
      <c r="L8716" s="4"/>
      <c r="M8716" s="5" t="s">
        <v>5346</v>
      </c>
    </row>
    <row r="8717" customFormat="false" ht="15.75" hidden="false" customHeight="false" outlineLevel="0" collapsed="false">
      <c r="A8717" s="6" t="n">
        <v>46172</v>
      </c>
      <c r="B8717" s="4" t="s">
        <v>4473</v>
      </c>
      <c r="C8717" s="4" t="n">
        <v>12</v>
      </c>
      <c r="D8717" s="4" t="n">
        <v>4</v>
      </c>
      <c r="E8717" s="4" t="s">
        <v>5885</v>
      </c>
      <c r="F8717" s="4" t="n">
        <v>25</v>
      </c>
      <c r="G8717" s="4" t="n">
        <v>3</v>
      </c>
      <c r="H8717" s="4" t="n">
        <v>4</v>
      </c>
      <c r="I8717" s="4" t="str">
        <v>×</v>
      </c>
      <c r="J8717" s="4"/>
      <c r="K8717" s="4"/>
      <c r="L8717" s="4"/>
      <c r="M8717" s="5" t="s">
        <v>5346</v>
      </c>
    </row>
    <row r="8718" customFormat="false" ht="15.75" hidden="false" customHeight="false" outlineLevel="0" collapsed="false">
      <c r="A8718" s="6" t="n">
        <v>46172</v>
      </c>
      <c r="B8718" s="4" t="s">
        <v>4473</v>
      </c>
      <c r="C8718" s="4" t="n">
        <v>12</v>
      </c>
      <c r="D8718" s="4" t="n">
        <v>5</v>
      </c>
      <c r="E8718" s="4" t="s">
        <v>5886</v>
      </c>
      <c r="F8718" s="4" t="n">
        <v>8</v>
      </c>
      <c r="G8718" s="4" t="n">
        <v>9</v>
      </c>
      <c r="H8718" s="4" t="n">
        <v>4</v>
      </c>
      <c r="I8718" s="4" t="str">
        <v>×</v>
      </c>
      <c r="J8718" s="4"/>
      <c r="K8718" s="4"/>
      <c r="L8718" s="4"/>
      <c r="M8718" s="5" t="s">
        <v>5346</v>
      </c>
    </row>
    <row r="8719" customFormat="false" ht="15.75" hidden="false" customHeight="false" outlineLevel="0" collapsed="false">
      <c r="A8719" s="6" t="n">
        <v>46172</v>
      </c>
      <c r="B8719" s="4" t="s">
        <v>4473</v>
      </c>
      <c r="C8719" s="4" t="n">
        <v>12</v>
      </c>
      <c r="D8719" s="4" t="n">
        <v>6</v>
      </c>
      <c r="E8719" s="4" t="s">
        <v>5054</v>
      </c>
      <c r="F8719" s="4" t="n">
        <v>15</v>
      </c>
      <c r="G8719" s="4" t="n">
        <v>6</v>
      </c>
      <c r="H8719" s="4" t="n">
        <v>4</v>
      </c>
      <c r="I8719" s="4" t="str">
        <v>×</v>
      </c>
      <c r="J8719" s="4"/>
      <c r="K8719" s="4"/>
      <c r="L8719" s="4"/>
      <c r="M8719" s="5" t="s">
        <v>5346</v>
      </c>
    </row>
    <row r="8720" customFormat="false" ht="15.75" hidden="false" customHeight="false" outlineLevel="0" collapsed="false">
      <c r="A8720" s="6" t="n">
        <v>46172</v>
      </c>
      <c r="B8720" s="4" t="s">
        <v>4473</v>
      </c>
      <c r="C8720" s="4" t="n">
        <v>12</v>
      </c>
      <c r="D8720" s="4" t="n">
        <v>7</v>
      </c>
      <c r="E8720" s="4" t="s">
        <v>562</v>
      </c>
      <c r="F8720" s="4" t="n">
        <v>8</v>
      </c>
      <c r="G8720" s="4" t="n">
        <v>9</v>
      </c>
      <c r="H8720" s="4" t="n">
        <v>4</v>
      </c>
      <c r="I8720" s="4" t="str">
        <v>×</v>
      </c>
      <c r="J8720" s="4"/>
      <c r="K8720" s="4"/>
      <c r="L8720" s="4"/>
      <c r="M8720" s="5" t="s">
        <v>5346</v>
      </c>
    </row>
    <row r="8721" customFormat="false" ht="15.75" hidden="false" customHeight="false" outlineLevel="0" collapsed="false">
      <c r="A8721" s="6" t="n">
        <v>46172</v>
      </c>
      <c r="B8721" s="4" t="s">
        <v>4473</v>
      </c>
      <c r="C8721" s="4" t="n">
        <v>12</v>
      </c>
      <c r="D8721" s="4" t="n">
        <v>8</v>
      </c>
      <c r="E8721" s="4" t="s">
        <v>5887</v>
      </c>
      <c r="F8721" s="4" t="n">
        <v>20</v>
      </c>
      <c r="G8721" s="4" t="n">
        <v>5</v>
      </c>
      <c r="H8721" s="4" t="n">
        <v>4</v>
      </c>
      <c r="I8721" s="4" t="str">
        <v>×</v>
      </c>
      <c r="J8721" s="4"/>
      <c r="K8721" s="4"/>
      <c r="L8721" s="4"/>
      <c r="M8721" s="5" t="s">
        <v>5346</v>
      </c>
    </row>
    <row r="8722" customFormat="false" ht="15.75" hidden="false" customHeight="false" outlineLevel="0" collapsed="false">
      <c r="A8722" s="6" t="n">
        <v>46172</v>
      </c>
      <c r="B8722" s="4" t="s">
        <v>4473</v>
      </c>
      <c r="C8722" s="4" t="n">
        <v>12</v>
      </c>
      <c r="D8722" s="4" t="n">
        <v>9</v>
      </c>
      <c r="E8722" s="4" t="s">
        <v>568</v>
      </c>
      <c r="F8722" s="4" t="n">
        <v>10</v>
      </c>
      <c r="G8722" s="4" t="n">
        <v>8</v>
      </c>
      <c r="H8722" s="4" t="n">
        <v>4</v>
      </c>
      <c r="I8722" s="4" t="str">
        <v>×</v>
      </c>
      <c r="J8722" s="4"/>
      <c r="K8722" s="4"/>
      <c r="L8722" s="4"/>
      <c r="M8722" s="5" t="s">
        <v>5346</v>
      </c>
    </row>
    <row r="8723" customFormat="false" ht="15.75" hidden="false" customHeight="false" outlineLevel="0" collapsed="false">
      <c r="A8723" s="6" t="n">
        <v>46172</v>
      </c>
      <c r="B8723" s="4" t="s">
        <v>4473</v>
      </c>
      <c r="C8723" s="4" t="n">
        <v>12</v>
      </c>
      <c r="D8723" s="4" t="n">
        <v>10</v>
      </c>
      <c r="E8723" s="4" t="s">
        <v>2973</v>
      </c>
      <c r="F8723" s="4" t="n">
        <v>2</v>
      </c>
      <c r="G8723" s="4" t="n">
        <v>13</v>
      </c>
      <c r="H8723" s="4" t="n">
        <v>4</v>
      </c>
      <c r="I8723" s="4" t="str">
        <v>×</v>
      </c>
      <c r="J8723" s="4"/>
      <c r="K8723" s="4"/>
      <c r="L8723" s="4"/>
      <c r="M8723" s="5" t="s">
        <v>5346</v>
      </c>
    </row>
    <row r="8724" customFormat="false" ht="15.75" hidden="false" customHeight="false" outlineLevel="0" collapsed="false">
      <c r="A8724" s="6" t="n">
        <v>46172</v>
      </c>
      <c r="B8724" s="4" t="s">
        <v>4473</v>
      </c>
      <c r="C8724" s="4" t="n">
        <v>12</v>
      </c>
      <c r="D8724" s="4" t="n">
        <v>11</v>
      </c>
      <c r="E8724" s="4" t="s">
        <v>2530</v>
      </c>
      <c r="F8724" s="4" t="n">
        <v>4</v>
      </c>
      <c r="G8724" s="4" t="n">
        <v>11</v>
      </c>
      <c r="H8724" s="4" t="n">
        <v>4</v>
      </c>
      <c r="I8724" s="4" t="str">
        <v>×</v>
      </c>
      <c r="J8724" s="4"/>
      <c r="K8724" s="4"/>
      <c r="L8724" s="4"/>
      <c r="M8724" s="5" t="s">
        <v>5346</v>
      </c>
    </row>
    <row r="8725" customFormat="false" ht="15.75" hidden="false" customHeight="false" outlineLevel="0" collapsed="false">
      <c r="A8725" s="6" t="n">
        <v>46172</v>
      </c>
      <c r="B8725" s="4" t="s">
        <v>4473</v>
      </c>
      <c r="C8725" s="4" t="n">
        <v>12</v>
      </c>
      <c r="D8725" s="4" t="n">
        <v>12</v>
      </c>
      <c r="E8725" s="4" t="s">
        <v>4945</v>
      </c>
      <c r="F8725" s="4" t="n">
        <v>23</v>
      </c>
      <c r="G8725" s="4" t="n">
        <v>4</v>
      </c>
      <c r="H8725" s="4" t="n">
        <v>2</v>
      </c>
      <c r="I8725" s="4" t="str">
        <v>○</v>
      </c>
      <c r="J8725" s="4" t="n">
        <v>170</v>
      </c>
      <c r="K8725" s="4"/>
      <c r="L8725" s="4"/>
      <c r="M8725" s="5" t="s">
        <v>5346</v>
      </c>
    </row>
    <row r="8726" customFormat="false" ht="15.75" hidden="false" customHeight="false" outlineLevel="0" collapsed="false">
      <c r="A8726" s="6" t="n">
        <v>46172</v>
      </c>
      <c r="B8726" s="4" t="s">
        <v>4473</v>
      </c>
      <c r="C8726" s="4" t="n">
        <v>12</v>
      </c>
      <c r="D8726" s="4" t="n">
        <v>13</v>
      </c>
      <c r="E8726" s="4" t="s">
        <v>5888</v>
      </c>
      <c r="F8726" s="4" t="n">
        <v>71</v>
      </c>
      <c r="G8726" s="4" t="n">
        <v>1</v>
      </c>
      <c r="H8726" s="4" t="n">
        <v>1</v>
      </c>
      <c r="I8726" s="4" t="str">
        <v>○</v>
      </c>
      <c r="J8726" s="4" t="n">
        <v>110</v>
      </c>
      <c r="K8726" s="4"/>
      <c r="L8726" s="4"/>
      <c r="M8726" s="5" t="s">
        <v>5346</v>
      </c>
    </row>
    <row r="8727" customFormat="false" ht="15.75" hidden="false" customHeight="false" outlineLevel="0" collapsed="false">
      <c r="A8727" s="6" t="n">
        <v>46172</v>
      </c>
      <c r="B8727" s="4" t="s">
        <v>4473</v>
      </c>
      <c r="C8727" s="4" t="n">
        <v>12</v>
      </c>
      <c r="D8727" s="4" t="n">
        <v>14</v>
      </c>
      <c r="E8727" s="4" t="s">
        <v>4227</v>
      </c>
      <c r="F8727" s="4" t="n">
        <v>30</v>
      </c>
      <c r="G8727" s="4" t="n">
        <v>2</v>
      </c>
      <c r="H8727" s="4" t="n">
        <v>3</v>
      </c>
      <c r="I8727" s="4" t="str">
        <v>○</v>
      </c>
      <c r="J8727" s="4" t="n">
        <v>200</v>
      </c>
      <c r="K8727" s="4"/>
      <c r="L8727" s="4"/>
      <c r="M8727" s="5" t="s">
        <v>5346</v>
      </c>
    </row>
    <row r="8728" customFormat="false" ht="15.75" hidden="false" customHeight="false" outlineLevel="0" collapsed="false">
      <c r="A8728" s="6" t="n">
        <v>46172</v>
      </c>
      <c r="B8728" s="4" t="s">
        <v>4473</v>
      </c>
      <c r="C8728" s="4" t="n">
        <v>12</v>
      </c>
      <c r="D8728" s="4" t="n">
        <v>15</v>
      </c>
      <c r="E8728" s="4" t="s">
        <v>4037</v>
      </c>
      <c r="F8728" s="4" t="n">
        <v>13</v>
      </c>
      <c r="G8728" s="4" t="n">
        <v>7</v>
      </c>
      <c r="H8728" s="4" t="n">
        <v>4</v>
      </c>
      <c r="I8728" s="4" t="str">
        <v>×</v>
      </c>
      <c r="J8728" s="4"/>
      <c r="K8728" s="4"/>
      <c r="L8728" s="4"/>
      <c r="M8728" s="5" t="s">
        <v>5346</v>
      </c>
    </row>
    <row r="8729" customFormat="false" ht="15.75" hidden="false" customHeight="false" outlineLevel="0" collapsed="false">
      <c r="A8729" s="6" t="n">
        <v>46172</v>
      </c>
      <c r="B8729" s="4" t="s">
        <v>4473</v>
      </c>
      <c r="C8729" s="4" t="n">
        <v>12</v>
      </c>
      <c r="D8729" s="4" t="n">
        <v>16</v>
      </c>
      <c r="E8729" s="4" t="s">
        <v>4950</v>
      </c>
      <c r="F8729" s="4" t="n">
        <v>3</v>
      </c>
      <c r="G8729" s="4" t="n">
        <v>12</v>
      </c>
      <c r="H8729" s="4" t="n">
        <v>4</v>
      </c>
      <c r="I8729" s="4" t="str">
        <v>×</v>
      </c>
      <c r="J8729" s="4"/>
      <c r="K8729" s="4"/>
      <c r="L8729" s="4"/>
      <c r="M8729" s="5" t="s">
        <v>5346</v>
      </c>
    </row>
    <row r="8730" customFormat="false" ht="15.75" hidden="false" customHeight="false" outlineLevel="0" collapsed="false">
      <c r="A8730" s="6" t="n">
        <v>46172</v>
      </c>
      <c r="B8730" s="4" t="s">
        <v>5435</v>
      </c>
      <c r="C8730" s="4" t="n">
        <v>1</v>
      </c>
      <c r="D8730" s="4" t="n">
        <v>1</v>
      </c>
      <c r="E8730" s="4" t="s">
        <v>4124</v>
      </c>
      <c r="F8730" s="4" t="n">
        <v>4</v>
      </c>
      <c r="G8730" s="4" t="n">
        <v>9</v>
      </c>
      <c r="H8730" s="4" t="n">
        <v>4</v>
      </c>
      <c r="I8730" s="4" t="str">
        <v>×</v>
      </c>
      <c r="J8730" s="4"/>
      <c r="K8730" s="4"/>
      <c r="L8730" s="4"/>
      <c r="M8730" s="5" t="s">
        <v>5346</v>
      </c>
    </row>
    <row r="8731" customFormat="false" ht="15.75" hidden="false" customHeight="false" outlineLevel="0" collapsed="false">
      <c r="A8731" s="6" t="n">
        <v>46172</v>
      </c>
      <c r="B8731" s="4" t="s">
        <v>5435</v>
      </c>
      <c r="C8731" s="4" t="n">
        <v>1</v>
      </c>
      <c r="D8731" s="4" t="n">
        <v>2</v>
      </c>
      <c r="E8731" s="4" t="s">
        <v>3450</v>
      </c>
      <c r="F8731" s="4" t="n">
        <v>8</v>
      </c>
      <c r="G8731" s="4" t="n">
        <v>8</v>
      </c>
      <c r="H8731" s="4" t="n">
        <v>4</v>
      </c>
      <c r="I8731" s="4" t="str">
        <v>×</v>
      </c>
      <c r="J8731" s="4"/>
      <c r="K8731" s="4"/>
      <c r="L8731" s="4"/>
      <c r="M8731" s="5" t="s">
        <v>5346</v>
      </c>
    </row>
    <row r="8732" customFormat="false" ht="15.75" hidden="false" customHeight="false" outlineLevel="0" collapsed="false">
      <c r="A8732" s="6" t="n">
        <v>46172</v>
      </c>
      <c r="B8732" s="4" t="s">
        <v>5435</v>
      </c>
      <c r="C8732" s="4" t="n">
        <v>1</v>
      </c>
      <c r="D8732" s="4" t="n">
        <v>3</v>
      </c>
      <c r="E8732" s="4" t="s">
        <v>2445</v>
      </c>
      <c r="F8732" s="4" t="n">
        <v>62</v>
      </c>
      <c r="G8732" s="4" t="n">
        <v>2</v>
      </c>
      <c r="H8732" s="4" t="n">
        <v>2</v>
      </c>
      <c r="I8732" s="4" t="str">
        <v>○</v>
      </c>
      <c r="J8732" s="4" t="n">
        <v>110</v>
      </c>
      <c r="K8732" s="4"/>
      <c r="L8732" s="4"/>
      <c r="M8732" s="5" t="s">
        <v>5346</v>
      </c>
    </row>
    <row r="8733" customFormat="false" ht="15.75" hidden="false" customHeight="false" outlineLevel="0" collapsed="false">
      <c r="A8733" s="6" t="n">
        <v>46172</v>
      </c>
      <c r="B8733" s="4" t="s">
        <v>5435</v>
      </c>
      <c r="C8733" s="4" t="n">
        <v>1</v>
      </c>
      <c r="D8733" s="4" t="n">
        <v>4</v>
      </c>
      <c r="E8733" s="4" t="s">
        <v>5889</v>
      </c>
      <c r="F8733" s="4" t="n">
        <v>1</v>
      </c>
      <c r="G8733" s="4" t="n">
        <v>12</v>
      </c>
      <c r="H8733" s="4" t="n">
        <v>4</v>
      </c>
      <c r="I8733" s="4" t="str">
        <v>×</v>
      </c>
      <c r="J8733" s="4"/>
      <c r="K8733" s="4"/>
      <c r="L8733" s="4"/>
      <c r="M8733" s="5" t="s">
        <v>5346</v>
      </c>
    </row>
    <row r="8734" customFormat="false" ht="15.75" hidden="false" customHeight="false" outlineLevel="0" collapsed="false">
      <c r="A8734" s="6" t="n">
        <v>46172</v>
      </c>
      <c r="B8734" s="4" t="s">
        <v>5435</v>
      </c>
      <c r="C8734" s="4" t="n">
        <v>1</v>
      </c>
      <c r="D8734" s="4" t="n">
        <v>5</v>
      </c>
      <c r="E8734" s="4" t="s">
        <v>5247</v>
      </c>
      <c r="F8734" s="4" t="n">
        <v>29</v>
      </c>
      <c r="G8734" s="4" t="n">
        <v>3</v>
      </c>
      <c r="H8734" s="4" t="n">
        <v>4</v>
      </c>
      <c r="I8734" s="4" t="str">
        <v>×</v>
      </c>
      <c r="J8734" s="4"/>
      <c r="K8734" s="4"/>
      <c r="L8734" s="4"/>
      <c r="M8734" s="5" t="s">
        <v>5346</v>
      </c>
    </row>
    <row r="8735" customFormat="false" ht="15.75" hidden="false" customHeight="false" outlineLevel="0" collapsed="false">
      <c r="A8735" s="6" t="n">
        <v>46172</v>
      </c>
      <c r="B8735" s="4" t="s">
        <v>5435</v>
      </c>
      <c r="C8735" s="4" t="n">
        <v>1</v>
      </c>
      <c r="D8735" s="4" t="n">
        <v>6</v>
      </c>
      <c r="E8735" s="4" t="s">
        <v>1122</v>
      </c>
      <c r="F8735" s="4" t="n">
        <v>1</v>
      </c>
      <c r="G8735" s="4" t="n">
        <v>12</v>
      </c>
      <c r="H8735" s="4" t="n">
        <v>4</v>
      </c>
      <c r="I8735" s="4" t="str">
        <v>×</v>
      </c>
      <c r="J8735" s="4"/>
      <c r="K8735" s="4"/>
      <c r="L8735" s="4"/>
      <c r="M8735" s="5" t="s">
        <v>5346</v>
      </c>
    </row>
    <row r="8736" customFormat="false" ht="15.75" hidden="false" customHeight="false" outlineLevel="0" collapsed="false">
      <c r="A8736" s="6" t="n">
        <v>46172</v>
      </c>
      <c r="B8736" s="4" t="s">
        <v>5435</v>
      </c>
      <c r="C8736" s="4" t="n">
        <v>1</v>
      </c>
      <c r="D8736" s="4" t="n">
        <v>7</v>
      </c>
      <c r="E8736" s="4" t="s">
        <v>5890</v>
      </c>
      <c r="F8736" s="4" t="n">
        <v>15</v>
      </c>
      <c r="G8736" s="4" t="n">
        <v>5</v>
      </c>
      <c r="H8736" s="4" t="n">
        <v>4</v>
      </c>
      <c r="I8736" s="4" t="str">
        <v>×</v>
      </c>
      <c r="J8736" s="4"/>
      <c r="K8736" s="4"/>
      <c r="L8736" s="4"/>
      <c r="M8736" s="5" t="s">
        <v>5346</v>
      </c>
    </row>
    <row r="8737" customFormat="false" ht="15.75" hidden="false" customHeight="false" outlineLevel="0" collapsed="false">
      <c r="A8737" s="6" t="n">
        <v>46172</v>
      </c>
      <c r="B8737" s="4" t="s">
        <v>5435</v>
      </c>
      <c r="C8737" s="4" t="n">
        <v>1</v>
      </c>
      <c r="D8737" s="4" t="n">
        <v>8</v>
      </c>
      <c r="E8737" s="4" t="s">
        <v>5891</v>
      </c>
      <c r="F8737" s="4" t="n">
        <v>25</v>
      </c>
      <c r="G8737" s="4" t="n">
        <v>4</v>
      </c>
      <c r="H8737" s="4" t="n">
        <v>3</v>
      </c>
      <c r="I8737" s="4" t="str">
        <v>○</v>
      </c>
      <c r="J8737" s="4" t="n">
        <v>150</v>
      </c>
      <c r="K8737" s="4"/>
      <c r="L8737" s="4"/>
      <c r="M8737" s="5" t="s">
        <v>5346</v>
      </c>
    </row>
    <row r="8738" customFormat="false" ht="15.75" hidden="false" customHeight="false" outlineLevel="0" collapsed="false">
      <c r="A8738" s="6" t="n">
        <v>46172</v>
      </c>
      <c r="B8738" s="4" t="s">
        <v>5435</v>
      </c>
      <c r="C8738" s="4" t="n">
        <v>1</v>
      </c>
      <c r="D8738" s="4" t="n">
        <v>9</v>
      </c>
      <c r="E8738" s="4" t="s">
        <v>5892</v>
      </c>
      <c r="F8738" s="4" t="n">
        <v>3</v>
      </c>
      <c r="G8738" s="4" t="n">
        <v>10</v>
      </c>
      <c r="H8738" s="4" t="n">
        <v>4</v>
      </c>
      <c r="I8738" s="4" t="str">
        <v>×</v>
      </c>
      <c r="J8738" s="4"/>
      <c r="K8738" s="4"/>
      <c r="L8738" s="4"/>
      <c r="M8738" s="5" t="s">
        <v>5346</v>
      </c>
    </row>
    <row r="8739" customFormat="false" ht="15.75" hidden="false" customHeight="false" outlineLevel="0" collapsed="false">
      <c r="A8739" s="6" t="n">
        <v>46172</v>
      </c>
      <c r="B8739" s="4" t="s">
        <v>5435</v>
      </c>
      <c r="C8739" s="4" t="n">
        <v>1</v>
      </c>
      <c r="D8739" s="4" t="n">
        <v>10</v>
      </c>
      <c r="E8739" s="4" t="s">
        <v>5893</v>
      </c>
      <c r="F8739" s="4" t="n">
        <v>13</v>
      </c>
      <c r="G8739" s="4" t="n">
        <v>6</v>
      </c>
      <c r="H8739" s="4" t="n">
        <v>4</v>
      </c>
      <c r="I8739" s="4" t="str">
        <v>×</v>
      </c>
      <c r="J8739" s="4"/>
      <c r="K8739" s="4"/>
      <c r="L8739" s="4"/>
      <c r="M8739" s="5" t="s">
        <v>5346</v>
      </c>
    </row>
    <row r="8740" customFormat="false" ht="15.75" hidden="false" customHeight="false" outlineLevel="0" collapsed="false">
      <c r="A8740" s="6" t="n">
        <v>46172</v>
      </c>
      <c r="B8740" s="4" t="s">
        <v>5435</v>
      </c>
      <c r="C8740" s="4" t="n">
        <v>1</v>
      </c>
      <c r="D8740" s="4" t="n">
        <v>11</v>
      </c>
      <c r="E8740" s="4" t="s">
        <v>1623</v>
      </c>
      <c r="F8740" s="4" t="n">
        <v>8</v>
      </c>
      <c r="G8740" s="4" t="n">
        <v>8</v>
      </c>
      <c r="H8740" s="4" t="n">
        <v>4</v>
      </c>
      <c r="I8740" s="4" t="str">
        <v>×</v>
      </c>
      <c r="J8740" s="4"/>
      <c r="K8740" s="4"/>
      <c r="L8740" s="4"/>
      <c r="M8740" s="5" t="s">
        <v>5346</v>
      </c>
    </row>
    <row r="8741" customFormat="false" ht="15.75" hidden="false" customHeight="false" outlineLevel="0" collapsed="false">
      <c r="A8741" s="6" t="n">
        <v>46172</v>
      </c>
      <c r="B8741" s="4" t="s">
        <v>5435</v>
      </c>
      <c r="C8741" s="4" t="n">
        <v>1</v>
      </c>
      <c r="D8741" s="4" t="n">
        <v>12</v>
      </c>
      <c r="E8741" s="4" t="s">
        <v>5894</v>
      </c>
      <c r="F8741" s="4" t="n">
        <v>10</v>
      </c>
      <c r="G8741" s="4" t="n">
        <v>7</v>
      </c>
      <c r="H8741" s="4" t="n">
        <v>4</v>
      </c>
      <c r="I8741" s="4" t="str">
        <v>×</v>
      </c>
      <c r="J8741" s="4"/>
      <c r="K8741" s="4"/>
      <c r="L8741" s="4"/>
      <c r="M8741" s="5" t="s">
        <v>5346</v>
      </c>
    </row>
    <row r="8742" customFormat="false" ht="15.75" hidden="false" customHeight="false" outlineLevel="0" collapsed="false">
      <c r="A8742" s="6" t="n">
        <v>46172</v>
      </c>
      <c r="B8742" s="4" t="s">
        <v>5435</v>
      </c>
      <c r="C8742" s="4" t="n">
        <v>1</v>
      </c>
      <c r="D8742" s="4" t="n">
        <v>13</v>
      </c>
      <c r="E8742" s="4" t="s">
        <v>5895</v>
      </c>
      <c r="F8742" s="4" t="n">
        <v>2</v>
      </c>
      <c r="G8742" s="4" t="n">
        <v>11</v>
      </c>
      <c r="H8742" s="4" t="n">
        <v>4</v>
      </c>
      <c r="I8742" s="4" t="str">
        <v>×</v>
      </c>
      <c r="J8742" s="4"/>
      <c r="K8742" s="4"/>
      <c r="L8742" s="4"/>
      <c r="M8742" s="5" t="s">
        <v>5346</v>
      </c>
    </row>
    <row r="8743" customFormat="false" ht="15.75" hidden="false" customHeight="false" outlineLevel="0" collapsed="false">
      <c r="A8743" s="6" t="n">
        <v>46172</v>
      </c>
      <c r="B8743" s="4" t="s">
        <v>5435</v>
      </c>
      <c r="C8743" s="4" t="n">
        <v>1</v>
      </c>
      <c r="D8743" s="4" t="n">
        <v>14</v>
      </c>
      <c r="E8743" s="4" t="s">
        <v>5896</v>
      </c>
      <c r="F8743" s="4" t="n">
        <v>65</v>
      </c>
      <c r="G8743" s="4" t="n">
        <v>1</v>
      </c>
      <c r="H8743" s="4" t="n">
        <v>1</v>
      </c>
      <c r="I8743" s="4" t="str">
        <v>○</v>
      </c>
      <c r="J8743" s="4" t="n">
        <v>110</v>
      </c>
      <c r="K8743" s="4"/>
      <c r="L8743" s="4"/>
      <c r="M8743" s="5" t="s">
        <v>5346</v>
      </c>
    </row>
    <row r="8744" customFormat="false" ht="15.75" hidden="false" customHeight="false" outlineLevel="0" collapsed="false">
      <c r="A8744" s="6" t="n">
        <v>46172</v>
      </c>
      <c r="B8744" s="4" t="s">
        <v>5435</v>
      </c>
      <c r="C8744" s="4" t="n">
        <v>1</v>
      </c>
      <c r="D8744" s="4" t="n">
        <v>15</v>
      </c>
      <c r="E8744" s="4" t="s">
        <v>5897</v>
      </c>
      <c r="F8744" s="4" t="n">
        <v>2</v>
      </c>
      <c r="G8744" s="4" t="n">
        <v>11</v>
      </c>
      <c r="H8744" s="4" t="n">
        <v>4</v>
      </c>
      <c r="I8744" s="4" t="str">
        <v>×</v>
      </c>
      <c r="J8744" s="4"/>
      <c r="K8744" s="4"/>
      <c r="L8744" s="4"/>
      <c r="M8744" s="5" t="s">
        <v>5346</v>
      </c>
    </row>
    <row r="8745" customFormat="false" ht="15.75" hidden="false" customHeight="false" outlineLevel="0" collapsed="false">
      <c r="A8745" s="6" t="n">
        <v>46172</v>
      </c>
      <c r="B8745" s="4" t="s">
        <v>5435</v>
      </c>
      <c r="C8745" s="4" t="n">
        <v>1</v>
      </c>
      <c r="D8745" s="4" t="n">
        <v>16</v>
      </c>
      <c r="E8745" s="4" t="s">
        <v>360</v>
      </c>
      <c r="F8745" s="4" t="n">
        <v>8</v>
      </c>
      <c r="G8745" s="4" t="n">
        <v>8</v>
      </c>
      <c r="H8745" s="4" t="n">
        <v>4</v>
      </c>
      <c r="I8745" s="4" t="str">
        <v>×</v>
      </c>
      <c r="J8745" s="4"/>
      <c r="K8745" s="4"/>
      <c r="L8745" s="4"/>
      <c r="M8745" s="5" t="s">
        <v>5346</v>
      </c>
    </row>
    <row r="8746" customFormat="false" ht="15.75" hidden="false" customHeight="false" outlineLevel="0" collapsed="false">
      <c r="A8746" s="6" t="n">
        <v>46172</v>
      </c>
      <c r="B8746" s="4" t="s">
        <v>5435</v>
      </c>
      <c r="C8746" s="4" t="n">
        <v>2</v>
      </c>
      <c r="D8746" s="4" t="n">
        <v>1</v>
      </c>
      <c r="E8746" s="4" t="s">
        <v>3962</v>
      </c>
      <c r="F8746" s="4" t="n">
        <v>74</v>
      </c>
      <c r="G8746" s="4" t="n">
        <v>1</v>
      </c>
      <c r="H8746" s="4" t="n">
        <v>1</v>
      </c>
      <c r="I8746" s="4" t="str">
        <v>○</v>
      </c>
      <c r="J8746" s="4" t="n">
        <v>110</v>
      </c>
      <c r="K8746" s="4"/>
      <c r="L8746" s="4"/>
      <c r="M8746" s="5" t="s">
        <v>5346</v>
      </c>
    </row>
    <row r="8747" customFormat="false" ht="15.75" hidden="false" customHeight="false" outlineLevel="0" collapsed="false">
      <c r="A8747" s="6" t="n">
        <v>46172</v>
      </c>
      <c r="B8747" s="4" t="s">
        <v>5435</v>
      </c>
      <c r="C8747" s="4" t="n">
        <v>2</v>
      </c>
      <c r="D8747" s="4" t="n">
        <v>2</v>
      </c>
      <c r="E8747" s="4" t="s">
        <v>5898</v>
      </c>
      <c r="F8747" s="4" t="n">
        <v>8</v>
      </c>
      <c r="G8747" s="4" t="n">
        <v>8</v>
      </c>
      <c r="H8747" s="4" t="n">
        <v>4</v>
      </c>
      <c r="I8747" s="4" t="str">
        <v>×</v>
      </c>
      <c r="J8747" s="4"/>
      <c r="K8747" s="4"/>
      <c r="L8747" s="4"/>
      <c r="M8747" s="5" t="s">
        <v>5346</v>
      </c>
    </row>
    <row r="8748" customFormat="false" ht="15.75" hidden="false" customHeight="false" outlineLevel="0" collapsed="false">
      <c r="A8748" s="6" t="n">
        <v>46172</v>
      </c>
      <c r="B8748" s="4" t="s">
        <v>5435</v>
      </c>
      <c r="C8748" s="4" t="n">
        <v>2</v>
      </c>
      <c r="D8748" s="4" t="n">
        <v>3</v>
      </c>
      <c r="E8748" s="4" t="s">
        <v>4998</v>
      </c>
      <c r="F8748" s="4" t="n">
        <v>6</v>
      </c>
      <c r="G8748" s="4" t="n">
        <v>9</v>
      </c>
      <c r="H8748" s="4" t="n">
        <v>4</v>
      </c>
      <c r="I8748" s="4" t="str">
        <v>×</v>
      </c>
      <c r="J8748" s="4"/>
      <c r="K8748" s="4"/>
      <c r="L8748" s="4"/>
      <c r="M8748" s="5" t="s">
        <v>5346</v>
      </c>
    </row>
    <row r="8749" customFormat="false" ht="15.75" hidden="false" customHeight="false" outlineLevel="0" collapsed="false">
      <c r="A8749" s="6" t="n">
        <v>46172</v>
      </c>
      <c r="B8749" s="4" t="s">
        <v>5435</v>
      </c>
      <c r="C8749" s="4" t="n">
        <v>2</v>
      </c>
      <c r="D8749" s="4" t="n">
        <v>4</v>
      </c>
      <c r="E8749" s="4" t="s">
        <v>5899</v>
      </c>
      <c r="F8749" s="4" t="n">
        <v>10</v>
      </c>
      <c r="G8749" s="4" t="n">
        <v>7</v>
      </c>
      <c r="H8749" s="4" t="n">
        <v>4</v>
      </c>
      <c r="I8749" s="4" t="str">
        <v>×</v>
      </c>
      <c r="J8749" s="4"/>
      <c r="K8749" s="4"/>
      <c r="L8749" s="4"/>
      <c r="M8749" s="5" t="s">
        <v>5346</v>
      </c>
    </row>
    <row r="8750" customFormat="false" ht="15.75" hidden="false" customHeight="false" outlineLevel="0" collapsed="false">
      <c r="A8750" s="6" t="n">
        <v>46172</v>
      </c>
      <c r="B8750" s="4" t="s">
        <v>5435</v>
      </c>
      <c r="C8750" s="4" t="n">
        <v>2</v>
      </c>
      <c r="D8750" s="4" t="n">
        <v>5</v>
      </c>
      <c r="E8750" s="4" t="s">
        <v>5900</v>
      </c>
      <c r="F8750" s="4" t="n">
        <v>13</v>
      </c>
      <c r="G8750" s="4" t="n">
        <v>6</v>
      </c>
      <c r="H8750" s="4" t="n">
        <v>4</v>
      </c>
      <c r="I8750" s="4" t="str">
        <v>×</v>
      </c>
      <c r="J8750" s="4"/>
      <c r="K8750" s="4"/>
      <c r="L8750" s="4"/>
      <c r="M8750" s="5" t="s">
        <v>5346</v>
      </c>
    </row>
    <row r="8751" customFormat="false" ht="15.75" hidden="false" customHeight="false" outlineLevel="0" collapsed="false">
      <c r="A8751" s="6" t="n">
        <v>46172</v>
      </c>
      <c r="B8751" s="4" t="s">
        <v>5435</v>
      </c>
      <c r="C8751" s="4" t="n">
        <v>2</v>
      </c>
      <c r="D8751" s="4" t="n">
        <v>6</v>
      </c>
      <c r="E8751" s="4" t="s">
        <v>2065</v>
      </c>
      <c r="F8751" s="4" t="n">
        <v>15</v>
      </c>
      <c r="G8751" s="4" t="n">
        <v>5</v>
      </c>
      <c r="H8751" s="4" t="n">
        <v>4</v>
      </c>
      <c r="I8751" s="4" t="str">
        <v>×</v>
      </c>
      <c r="J8751" s="4"/>
      <c r="K8751" s="4"/>
      <c r="L8751" s="4"/>
      <c r="M8751" s="5" t="s">
        <v>5346</v>
      </c>
    </row>
    <row r="8752" customFormat="false" ht="15.75" hidden="false" customHeight="false" outlineLevel="0" collapsed="false">
      <c r="A8752" s="6" t="n">
        <v>46172</v>
      </c>
      <c r="B8752" s="4" t="s">
        <v>5435</v>
      </c>
      <c r="C8752" s="4" t="n">
        <v>2</v>
      </c>
      <c r="D8752" s="4" t="n">
        <v>7</v>
      </c>
      <c r="E8752" s="4" t="s">
        <v>669</v>
      </c>
      <c r="F8752" s="4" t="n">
        <v>58</v>
      </c>
      <c r="G8752" s="4" t="n">
        <v>3</v>
      </c>
      <c r="H8752" s="4" t="n">
        <v>2</v>
      </c>
      <c r="I8752" s="4" t="str">
        <v>○</v>
      </c>
      <c r="J8752" s="4" t="n">
        <v>180</v>
      </c>
      <c r="K8752" s="4"/>
      <c r="L8752" s="4"/>
      <c r="M8752" s="5" t="s">
        <v>5346</v>
      </c>
    </row>
    <row r="8753" customFormat="false" ht="15.75" hidden="false" customHeight="false" outlineLevel="0" collapsed="false">
      <c r="A8753" s="6" t="n">
        <v>46172</v>
      </c>
      <c r="B8753" s="4" t="s">
        <v>5435</v>
      </c>
      <c r="C8753" s="4" t="n">
        <v>2</v>
      </c>
      <c r="D8753" s="4" t="n">
        <v>8</v>
      </c>
      <c r="E8753" s="4" t="s">
        <v>5253</v>
      </c>
      <c r="F8753" s="4" t="n">
        <v>13</v>
      </c>
      <c r="G8753" s="4" t="n">
        <v>6</v>
      </c>
      <c r="H8753" s="4" t="n">
        <v>3</v>
      </c>
      <c r="I8753" s="4" t="str">
        <v>○</v>
      </c>
      <c r="J8753" s="4" t="n">
        <v>380</v>
      </c>
      <c r="K8753" s="4"/>
      <c r="L8753" s="4"/>
      <c r="M8753" s="5" t="s">
        <v>5346</v>
      </c>
    </row>
    <row r="8754" customFormat="false" ht="15.75" hidden="false" customHeight="false" outlineLevel="0" collapsed="false">
      <c r="A8754" s="6" t="n">
        <v>46172</v>
      </c>
      <c r="B8754" s="4" t="s">
        <v>5435</v>
      </c>
      <c r="C8754" s="4" t="n">
        <v>2</v>
      </c>
      <c r="D8754" s="4" t="n">
        <v>9</v>
      </c>
      <c r="E8754" s="4" t="s">
        <v>5901</v>
      </c>
      <c r="F8754" s="4" t="n">
        <v>4</v>
      </c>
      <c r="G8754" s="4" t="n">
        <v>10</v>
      </c>
      <c r="H8754" s="4" t="n">
        <v>4</v>
      </c>
      <c r="I8754" s="4" t="str">
        <v>×</v>
      </c>
      <c r="J8754" s="4"/>
      <c r="K8754" s="4"/>
      <c r="L8754" s="4"/>
      <c r="M8754" s="5" t="s">
        <v>5346</v>
      </c>
    </row>
    <row r="8755" customFormat="false" ht="15.75" hidden="false" customHeight="false" outlineLevel="0" collapsed="false">
      <c r="A8755" s="6" t="n">
        <v>46172</v>
      </c>
      <c r="B8755" s="4" t="s">
        <v>5435</v>
      </c>
      <c r="C8755" s="4" t="n">
        <v>2</v>
      </c>
      <c r="D8755" s="4" t="n">
        <v>10</v>
      </c>
      <c r="E8755" s="4" t="s">
        <v>1154</v>
      </c>
      <c r="F8755" s="4" t="n">
        <v>23</v>
      </c>
      <c r="G8755" s="4" t="n">
        <v>4</v>
      </c>
      <c r="H8755" s="4" t="n">
        <v>4</v>
      </c>
      <c r="I8755" s="4" t="str">
        <v>×</v>
      </c>
      <c r="J8755" s="4"/>
      <c r="K8755" s="4"/>
      <c r="L8755" s="4"/>
      <c r="M8755" s="5" t="s">
        <v>5346</v>
      </c>
    </row>
    <row r="8756" customFormat="false" ht="15.75" hidden="false" customHeight="false" outlineLevel="0" collapsed="false">
      <c r="A8756" s="6" t="n">
        <v>46172</v>
      </c>
      <c r="B8756" s="4" t="s">
        <v>5435</v>
      </c>
      <c r="C8756" s="4" t="n">
        <v>2</v>
      </c>
      <c r="D8756" s="4" t="n">
        <v>11</v>
      </c>
      <c r="E8756" s="4" t="s">
        <v>5902</v>
      </c>
      <c r="F8756" s="4" t="n">
        <v>4</v>
      </c>
      <c r="G8756" s="4" t="n">
        <v>10</v>
      </c>
      <c r="H8756" s="4" t="n">
        <v>4</v>
      </c>
      <c r="I8756" s="4" t="str">
        <v>×</v>
      </c>
      <c r="J8756" s="4"/>
      <c r="K8756" s="4"/>
      <c r="L8756" s="4"/>
      <c r="M8756" s="5" t="s">
        <v>5346</v>
      </c>
    </row>
    <row r="8757" customFormat="false" ht="15.75" hidden="false" customHeight="false" outlineLevel="0" collapsed="false">
      <c r="A8757" s="6" t="n">
        <v>46172</v>
      </c>
      <c r="B8757" s="4" t="s">
        <v>5435</v>
      </c>
      <c r="C8757" s="4" t="n">
        <v>2</v>
      </c>
      <c r="D8757" s="4" t="n">
        <v>12</v>
      </c>
      <c r="E8757" s="4" t="s">
        <v>3610</v>
      </c>
      <c r="F8757" s="4" t="n">
        <v>60</v>
      </c>
      <c r="G8757" s="4" t="n">
        <v>2</v>
      </c>
      <c r="H8757" s="4" t="n">
        <v>4</v>
      </c>
      <c r="I8757" s="4" t="str">
        <v>×</v>
      </c>
      <c r="J8757" s="4"/>
      <c r="K8757" s="4"/>
      <c r="L8757" s="4"/>
      <c r="M8757" s="5" t="s">
        <v>5346</v>
      </c>
    </row>
    <row r="8758" customFormat="false" ht="15.75" hidden="false" customHeight="false" outlineLevel="0" collapsed="false">
      <c r="A8758" s="6" t="n">
        <v>46172</v>
      </c>
      <c r="B8758" s="4" t="s">
        <v>5435</v>
      </c>
      <c r="C8758" s="4" t="n">
        <v>2</v>
      </c>
      <c r="D8758" s="4" t="n">
        <v>13</v>
      </c>
      <c r="E8758" s="4" t="s">
        <v>5903</v>
      </c>
      <c r="F8758" s="4" t="n">
        <v>8</v>
      </c>
      <c r="G8758" s="4" t="n">
        <v>8</v>
      </c>
      <c r="H8758" s="4" t="n">
        <v>4</v>
      </c>
      <c r="I8758" s="4" t="str">
        <v>×</v>
      </c>
      <c r="J8758" s="4"/>
      <c r="K8758" s="4"/>
      <c r="L8758" s="4"/>
      <c r="M8758" s="5" t="s">
        <v>5346</v>
      </c>
    </row>
    <row r="8759" customFormat="false" ht="15.75" hidden="false" customHeight="false" outlineLevel="0" collapsed="false">
      <c r="A8759" s="6" t="n">
        <v>46172</v>
      </c>
      <c r="B8759" s="4" t="s">
        <v>5435</v>
      </c>
      <c r="C8759" s="4" t="n">
        <v>2</v>
      </c>
      <c r="D8759" s="4" t="n">
        <v>14</v>
      </c>
      <c r="E8759" s="4" t="s">
        <v>5904</v>
      </c>
      <c r="F8759" s="4" t="n">
        <v>8</v>
      </c>
      <c r="G8759" s="4" t="n">
        <v>8</v>
      </c>
      <c r="H8759" s="4" t="n">
        <v>4</v>
      </c>
      <c r="I8759" s="4" t="str">
        <v>×</v>
      </c>
      <c r="J8759" s="4"/>
      <c r="K8759" s="4"/>
      <c r="L8759" s="4"/>
      <c r="M8759" s="5" t="s">
        <v>5346</v>
      </c>
    </row>
    <row r="8760" customFormat="false" ht="15.75" hidden="false" customHeight="false" outlineLevel="0" collapsed="false">
      <c r="A8760" s="6" t="n">
        <v>46172</v>
      </c>
      <c r="B8760" s="4" t="s">
        <v>5435</v>
      </c>
      <c r="C8760" s="4" t="n">
        <v>2</v>
      </c>
      <c r="D8760" s="4" t="n">
        <v>15</v>
      </c>
      <c r="E8760" s="4" t="s">
        <v>5252</v>
      </c>
      <c r="F8760" s="4" t="n">
        <v>3</v>
      </c>
      <c r="G8760" s="4" t="n">
        <v>11</v>
      </c>
      <c r="H8760" s="4" t="n">
        <v>4</v>
      </c>
      <c r="I8760" s="4" t="str">
        <v>×</v>
      </c>
      <c r="J8760" s="4"/>
      <c r="K8760" s="4"/>
      <c r="L8760" s="4"/>
      <c r="M8760" s="5" t="s">
        <v>5346</v>
      </c>
    </row>
    <row r="8761" customFormat="false" ht="15.75" hidden="false" customHeight="false" outlineLevel="0" collapsed="false">
      <c r="A8761" s="6" t="n">
        <v>46172</v>
      </c>
      <c r="B8761" s="4" t="s">
        <v>5435</v>
      </c>
      <c r="C8761" s="4" t="n">
        <v>2</v>
      </c>
      <c r="D8761" s="4" t="n">
        <v>16</v>
      </c>
      <c r="E8761" s="4" t="s">
        <v>5905</v>
      </c>
      <c r="F8761" s="4" t="n">
        <v>4</v>
      </c>
      <c r="G8761" s="4" t="n">
        <v>10</v>
      </c>
      <c r="H8761" s="4" t="n">
        <v>4</v>
      </c>
      <c r="I8761" s="4" t="str">
        <v>×</v>
      </c>
      <c r="J8761" s="4"/>
      <c r="K8761" s="4"/>
      <c r="L8761" s="4"/>
      <c r="M8761" s="5" t="s">
        <v>5346</v>
      </c>
    </row>
    <row r="8762" customFormat="false" ht="15.75" hidden="false" customHeight="false" outlineLevel="0" collapsed="false">
      <c r="A8762" s="6" t="n">
        <v>46172</v>
      </c>
      <c r="B8762" s="4" t="s">
        <v>5435</v>
      </c>
      <c r="C8762" s="4" t="n">
        <v>3</v>
      </c>
      <c r="D8762" s="4" t="n">
        <v>1</v>
      </c>
      <c r="E8762" s="4" t="s">
        <v>1579</v>
      </c>
      <c r="F8762" s="4" t="n">
        <v>6</v>
      </c>
      <c r="G8762" s="4" t="n">
        <v>11</v>
      </c>
      <c r="H8762" s="4" t="n">
        <v>4</v>
      </c>
      <c r="I8762" s="4" t="str">
        <v>×</v>
      </c>
      <c r="J8762" s="4"/>
      <c r="K8762" s="4"/>
      <c r="L8762" s="4"/>
      <c r="M8762" s="5" t="s">
        <v>5346</v>
      </c>
    </row>
    <row r="8763" customFormat="false" ht="15.75" hidden="false" customHeight="false" outlineLevel="0" collapsed="false">
      <c r="A8763" s="6" t="n">
        <v>46172</v>
      </c>
      <c r="B8763" s="4" t="s">
        <v>5435</v>
      </c>
      <c r="C8763" s="4" t="n">
        <v>3</v>
      </c>
      <c r="D8763" s="4" t="n">
        <v>2</v>
      </c>
      <c r="E8763" s="4" t="s">
        <v>2820</v>
      </c>
      <c r="F8763" s="4" t="n">
        <v>15</v>
      </c>
      <c r="G8763" s="4" t="n">
        <v>7</v>
      </c>
      <c r="H8763" s="4" t="n">
        <v>4</v>
      </c>
      <c r="I8763" s="4" t="str">
        <v>×</v>
      </c>
      <c r="J8763" s="4"/>
      <c r="K8763" s="4"/>
      <c r="L8763" s="4"/>
      <c r="M8763" s="5" t="s">
        <v>5346</v>
      </c>
    </row>
    <row r="8764" customFormat="false" ht="15.75" hidden="false" customHeight="false" outlineLevel="0" collapsed="false">
      <c r="A8764" s="6" t="n">
        <v>46172</v>
      </c>
      <c r="B8764" s="4" t="s">
        <v>5435</v>
      </c>
      <c r="C8764" s="4" t="n">
        <v>3</v>
      </c>
      <c r="D8764" s="4" t="n">
        <v>3</v>
      </c>
      <c r="E8764" s="4" t="s">
        <v>3420</v>
      </c>
      <c r="F8764" s="4" t="n">
        <v>23</v>
      </c>
      <c r="G8764" s="4" t="n">
        <v>4</v>
      </c>
      <c r="H8764" s="4" t="n">
        <v>4</v>
      </c>
      <c r="I8764" s="4" t="str">
        <v>×</v>
      </c>
      <c r="J8764" s="4"/>
      <c r="K8764" s="4"/>
      <c r="L8764" s="4"/>
      <c r="M8764" s="5" t="s">
        <v>5346</v>
      </c>
    </row>
    <row r="8765" customFormat="false" ht="15.75" hidden="false" customHeight="false" outlineLevel="0" collapsed="false">
      <c r="A8765" s="6" t="n">
        <v>46172</v>
      </c>
      <c r="B8765" s="4" t="s">
        <v>5435</v>
      </c>
      <c r="C8765" s="4" t="n">
        <v>3</v>
      </c>
      <c r="D8765" s="4" t="n">
        <v>4</v>
      </c>
      <c r="E8765" s="4" t="s">
        <v>5906</v>
      </c>
      <c r="F8765" s="4" t="n">
        <v>29</v>
      </c>
      <c r="G8765" s="4" t="n">
        <v>3</v>
      </c>
      <c r="H8765" s="4" t="n">
        <v>1</v>
      </c>
      <c r="I8765" s="4" t="str">
        <v>○</v>
      </c>
      <c r="J8765" s="4" t="n">
        <v>160</v>
      </c>
      <c r="K8765" s="4"/>
      <c r="L8765" s="4"/>
      <c r="M8765" s="5" t="s">
        <v>5346</v>
      </c>
    </row>
    <row r="8766" customFormat="false" ht="15.75" hidden="false" customHeight="false" outlineLevel="0" collapsed="false">
      <c r="A8766" s="6" t="n">
        <v>46172</v>
      </c>
      <c r="B8766" s="4" t="s">
        <v>5435</v>
      </c>
      <c r="C8766" s="4" t="n">
        <v>3</v>
      </c>
      <c r="D8766" s="4" t="n">
        <v>5</v>
      </c>
      <c r="E8766" s="4" t="s">
        <v>4439</v>
      </c>
      <c r="F8766" s="4" t="n">
        <v>17</v>
      </c>
      <c r="G8766" s="4" t="n">
        <v>6</v>
      </c>
      <c r="H8766" s="4" t="n">
        <v>4</v>
      </c>
      <c r="I8766" s="4" t="str">
        <v>×</v>
      </c>
      <c r="J8766" s="4"/>
      <c r="K8766" s="4"/>
      <c r="L8766" s="4"/>
      <c r="M8766" s="5" t="s">
        <v>5346</v>
      </c>
    </row>
    <row r="8767" customFormat="false" ht="15.75" hidden="false" customHeight="false" outlineLevel="0" collapsed="false">
      <c r="A8767" s="6" t="n">
        <v>46172</v>
      </c>
      <c r="B8767" s="4" t="s">
        <v>5435</v>
      </c>
      <c r="C8767" s="4" t="n">
        <v>3</v>
      </c>
      <c r="D8767" s="4" t="n">
        <v>6</v>
      </c>
      <c r="E8767" s="4" t="s">
        <v>5907</v>
      </c>
      <c r="F8767" s="4" t="n">
        <v>17</v>
      </c>
      <c r="G8767" s="4" t="n">
        <v>6</v>
      </c>
      <c r="H8767" s="4" t="n">
        <v>4</v>
      </c>
      <c r="I8767" s="4" t="str">
        <v>×</v>
      </c>
      <c r="J8767" s="4"/>
      <c r="K8767" s="4"/>
      <c r="L8767" s="4"/>
      <c r="M8767" s="5" t="s">
        <v>5346</v>
      </c>
    </row>
    <row r="8768" customFormat="false" ht="15.75" hidden="false" customHeight="false" outlineLevel="0" collapsed="false">
      <c r="A8768" s="6" t="n">
        <v>46172</v>
      </c>
      <c r="B8768" s="4" t="s">
        <v>5435</v>
      </c>
      <c r="C8768" s="4" t="n">
        <v>3</v>
      </c>
      <c r="D8768" s="4" t="n">
        <v>7</v>
      </c>
      <c r="E8768" s="4" t="s">
        <v>3977</v>
      </c>
      <c r="F8768" s="4" t="n">
        <v>20</v>
      </c>
      <c r="G8768" s="4" t="n">
        <v>5</v>
      </c>
      <c r="H8768" s="4" t="n">
        <v>2</v>
      </c>
      <c r="I8768" s="4" t="str">
        <v>○</v>
      </c>
      <c r="J8768" s="4" t="n">
        <v>220</v>
      </c>
      <c r="K8768" s="4"/>
      <c r="L8768" s="4"/>
      <c r="M8768" s="5" t="s">
        <v>5346</v>
      </c>
    </row>
    <row r="8769" customFormat="false" ht="15.75" hidden="false" customHeight="false" outlineLevel="0" collapsed="false">
      <c r="A8769" s="6" t="n">
        <v>46172</v>
      </c>
      <c r="B8769" s="4" t="s">
        <v>5435</v>
      </c>
      <c r="C8769" s="4" t="n">
        <v>3</v>
      </c>
      <c r="D8769" s="4" t="n">
        <v>8</v>
      </c>
      <c r="E8769" s="4" t="s">
        <v>2087</v>
      </c>
      <c r="F8769" s="4" t="n">
        <v>13</v>
      </c>
      <c r="G8769" s="4" t="n">
        <v>8</v>
      </c>
      <c r="H8769" s="4" t="n">
        <v>4</v>
      </c>
      <c r="I8769" s="4" t="str">
        <v>×</v>
      </c>
      <c r="J8769" s="4"/>
      <c r="K8769" s="4"/>
      <c r="L8769" s="4"/>
      <c r="M8769" s="5" t="s">
        <v>5346</v>
      </c>
    </row>
    <row r="8770" customFormat="false" ht="15.75" hidden="false" customHeight="false" outlineLevel="0" collapsed="false">
      <c r="A8770" s="6" t="n">
        <v>46172</v>
      </c>
      <c r="B8770" s="4" t="s">
        <v>5435</v>
      </c>
      <c r="C8770" s="4" t="n">
        <v>3</v>
      </c>
      <c r="D8770" s="4" t="n">
        <v>9</v>
      </c>
      <c r="E8770" s="4" t="s">
        <v>5908</v>
      </c>
      <c r="F8770" s="4" t="n">
        <v>4</v>
      </c>
      <c r="G8770" s="4" t="n">
        <v>12</v>
      </c>
      <c r="H8770" s="4" t="n">
        <v>4</v>
      </c>
      <c r="I8770" s="4" t="str">
        <v>×</v>
      </c>
      <c r="J8770" s="4"/>
      <c r="K8770" s="4"/>
      <c r="L8770" s="4"/>
      <c r="M8770" s="5" t="s">
        <v>5346</v>
      </c>
    </row>
    <row r="8771" customFormat="false" ht="15.75" hidden="false" customHeight="false" outlineLevel="0" collapsed="false">
      <c r="A8771" s="6" t="n">
        <v>46172</v>
      </c>
      <c r="B8771" s="4" t="s">
        <v>5435</v>
      </c>
      <c r="C8771" s="4" t="n">
        <v>3</v>
      </c>
      <c r="D8771" s="4" t="n">
        <v>10</v>
      </c>
      <c r="E8771" s="4" t="s">
        <v>776</v>
      </c>
      <c r="F8771" s="4" t="n">
        <v>67</v>
      </c>
      <c r="G8771" s="4" t="n">
        <v>1</v>
      </c>
      <c r="H8771" s="4" t="n">
        <v>3</v>
      </c>
      <c r="I8771" s="4" t="str">
        <v>○</v>
      </c>
      <c r="J8771" s="4" t="n">
        <v>110</v>
      </c>
      <c r="K8771" s="4"/>
      <c r="L8771" s="4"/>
      <c r="M8771" s="5" t="s">
        <v>5346</v>
      </c>
    </row>
    <row r="8772" customFormat="false" ht="15.75" hidden="false" customHeight="false" outlineLevel="0" collapsed="false">
      <c r="A8772" s="6" t="n">
        <v>46172</v>
      </c>
      <c r="B8772" s="4" t="s">
        <v>5435</v>
      </c>
      <c r="C8772" s="4" t="n">
        <v>3</v>
      </c>
      <c r="D8772" s="4" t="n">
        <v>11</v>
      </c>
      <c r="E8772" s="4" t="s">
        <v>5909</v>
      </c>
      <c r="F8772" s="4" t="n">
        <v>44</v>
      </c>
      <c r="G8772" s="4" t="n">
        <v>2</v>
      </c>
      <c r="H8772" s="4" t="n">
        <v>4</v>
      </c>
      <c r="I8772" s="4" t="str">
        <v>×</v>
      </c>
      <c r="J8772" s="4"/>
      <c r="K8772" s="4"/>
      <c r="L8772" s="4"/>
      <c r="M8772" s="5" t="s">
        <v>5346</v>
      </c>
    </row>
    <row r="8773" customFormat="false" ht="15.75" hidden="false" customHeight="false" outlineLevel="0" collapsed="false">
      <c r="A8773" s="6" t="n">
        <v>46172</v>
      </c>
      <c r="B8773" s="4" t="s">
        <v>5435</v>
      </c>
      <c r="C8773" s="4" t="n">
        <v>3</v>
      </c>
      <c r="D8773" s="4" t="n">
        <v>12</v>
      </c>
      <c r="E8773" s="4" t="s">
        <v>2470</v>
      </c>
      <c r="F8773" s="4" t="n">
        <v>10</v>
      </c>
      <c r="G8773" s="4" t="n">
        <v>9</v>
      </c>
      <c r="H8773" s="4" t="n">
        <v>4</v>
      </c>
      <c r="I8773" s="4" t="str">
        <v>×</v>
      </c>
      <c r="J8773" s="4"/>
      <c r="K8773" s="4"/>
      <c r="L8773" s="4"/>
      <c r="M8773" s="5" t="s">
        <v>5346</v>
      </c>
    </row>
    <row r="8774" customFormat="false" ht="15.75" hidden="false" customHeight="false" outlineLevel="0" collapsed="false">
      <c r="A8774" s="6" t="n">
        <v>46172</v>
      </c>
      <c r="B8774" s="4" t="s">
        <v>5435</v>
      </c>
      <c r="C8774" s="4" t="n">
        <v>3</v>
      </c>
      <c r="D8774" s="4" t="n">
        <v>13</v>
      </c>
      <c r="E8774" s="4" t="s">
        <v>5910</v>
      </c>
      <c r="F8774" s="4" t="n">
        <v>1</v>
      </c>
      <c r="G8774" s="4" t="n">
        <v>14</v>
      </c>
      <c r="H8774" s="4" t="n">
        <v>4</v>
      </c>
      <c r="I8774" s="4" t="str">
        <v>×</v>
      </c>
      <c r="J8774" s="4"/>
      <c r="K8774" s="4"/>
      <c r="L8774" s="4"/>
      <c r="M8774" s="5" t="s">
        <v>5346</v>
      </c>
    </row>
    <row r="8775" customFormat="false" ht="15.75" hidden="false" customHeight="false" outlineLevel="0" collapsed="false">
      <c r="A8775" s="6" t="n">
        <v>46172</v>
      </c>
      <c r="B8775" s="4" t="s">
        <v>5435</v>
      </c>
      <c r="C8775" s="4" t="n">
        <v>3</v>
      </c>
      <c r="D8775" s="4" t="n">
        <v>14</v>
      </c>
      <c r="E8775" s="4" t="s">
        <v>5911</v>
      </c>
      <c r="F8775" s="4" t="n">
        <v>20</v>
      </c>
      <c r="G8775" s="4" t="n">
        <v>5</v>
      </c>
      <c r="H8775" s="4" t="n">
        <v>4</v>
      </c>
      <c r="I8775" s="4" t="str">
        <v>×</v>
      </c>
      <c r="J8775" s="4"/>
      <c r="K8775" s="4"/>
      <c r="L8775" s="4"/>
      <c r="M8775" s="5" t="s">
        <v>5346</v>
      </c>
    </row>
    <row r="8776" customFormat="false" ht="15.75" hidden="false" customHeight="false" outlineLevel="0" collapsed="false">
      <c r="A8776" s="6" t="n">
        <v>46172</v>
      </c>
      <c r="B8776" s="4" t="s">
        <v>5435</v>
      </c>
      <c r="C8776" s="4" t="n">
        <v>3</v>
      </c>
      <c r="D8776" s="4" t="n">
        <v>15</v>
      </c>
      <c r="E8776" s="4" t="s">
        <v>5912</v>
      </c>
      <c r="F8776" s="4" t="n">
        <v>4</v>
      </c>
      <c r="G8776" s="4" t="n">
        <v>12</v>
      </c>
      <c r="H8776" s="4" t="n">
        <v>4</v>
      </c>
      <c r="I8776" s="4" t="str">
        <v>×</v>
      </c>
      <c r="J8776" s="4"/>
      <c r="K8776" s="4"/>
      <c r="L8776" s="4"/>
      <c r="M8776" s="5" t="s">
        <v>5346</v>
      </c>
    </row>
    <row r="8777" customFormat="false" ht="15.75" hidden="false" customHeight="false" outlineLevel="0" collapsed="false">
      <c r="A8777" s="6" t="n">
        <v>46172</v>
      </c>
      <c r="B8777" s="4" t="s">
        <v>5435</v>
      </c>
      <c r="C8777" s="4" t="n">
        <v>3</v>
      </c>
      <c r="D8777" s="4" t="n">
        <v>16</v>
      </c>
      <c r="E8777" s="4" t="s">
        <v>5913</v>
      </c>
      <c r="F8777" s="4" t="n">
        <v>8</v>
      </c>
      <c r="G8777" s="4" t="n">
        <v>10</v>
      </c>
      <c r="H8777" s="4" t="n">
        <v>4</v>
      </c>
      <c r="I8777" s="4" t="str">
        <v>×</v>
      </c>
      <c r="J8777" s="4"/>
      <c r="K8777" s="4"/>
      <c r="L8777" s="4"/>
      <c r="M8777" s="5" t="s">
        <v>5346</v>
      </c>
    </row>
    <row r="8778" customFormat="false" ht="15.75" hidden="false" customHeight="false" outlineLevel="0" collapsed="false">
      <c r="A8778" s="6" t="n">
        <v>46172</v>
      </c>
      <c r="B8778" s="4" t="s">
        <v>5435</v>
      </c>
      <c r="C8778" s="4" t="n">
        <v>3</v>
      </c>
      <c r="D8778" s="4" t="n">
        <v>17</v>
      </c>
      <c r="E8778" s="4" t="s">
        <v>5914</v>
      </c>
      <c r="F8778" s="4" t="n">
        <v>4</v>
      </c>
      <c r="G8778" s="4" t="n">
        <v>12</v>
      </c>
      <c r="H8778" s="4"/>
      <c r="I8778" s="4" t="str">
        <v/>
      </c>
      <c r="J8778" s="4"/>
      <c r="K8778" s="4"/>
      <c r="L8778" s="4"/>
      <c r="M8778" s="5" t="s">
        <v>5346</v>
      </c>
    </row>
    <row r="8779" customFormat="false" ht="15.75" hidden="false" customHeight="false" outlineLevel="0" collapsed="false">
      <c r="A8779" s="6" t="n">
        <v>46172</v>
      </c>
      <c r="B8779" s="4" t="s">
        <v>5435</v>
      </c>
      <c r="C8779" s="4" t="n">
        <v>3</v>
      </c>
      <c r="D8779" s="4" t="n">
        <v>18</v>
      </c>
      <c r="E8779" s="4" t="s">
        <v>5915</v>
      </c>
      <c r="F8779" s="4" t="n">
        <v>2</v>
      </c>
      <c r="G8779" s="4" t="n">
        <v>13</v>
      </c>
      <c r="H8779" s="4" t="n">
        <v>4</v>
      </c>
      <c r="I8779" s="4" t="str">
        <v>×</v>
      </c>
      <c r="J8779" s="4"/>
      <c r="K8779" s="4"/>
      <c r="L8779" s="4"/>
      <c r="M8779" s="5" t="s">
        <v>5346</v>
      </c>
    </row>
    <row r="8780" customFormat="false" ht="15.75" hidden="false" customHeight="false" outlineLevel="0" collapsed="false">
      <c r="A8780" s="6" t="n">
        <v>46172</v>
      </c>
      <c r="B8780" s="4" t="s">
        <v>5435</v>
      </c>
      <c r="C8780" s="4" t="n">
        <v>4</v>
      </c>
      <c r="D8780" s="4" t="n">
        <v>1</v>
      </c>
      <c r="E8780" s="4" t="s">
        <v>2596</v>
      </c>
      <c r="F8780" s="4" t="n">
        <v>23</v>
      </c>
      <c r="G8780" s="4" t="n">
        <v>5</v>
      </c>
      <c r="H8780" s="4" t="n">
        <v>4</v>
      </c>
      <c r="I8780" s="4" t="str">
        <v>×</v>
      </c>
      <c r="J8780" s="4"/>
      <c r="K8780" s="4"/>
      <c r="L8780" s="4"/>
      <c r="M8780" s="5" t="s">
        <v>5346</v>
      </c>
    </row>
    <row r="8781" customFormat="false" ht="15.75" hidden="false" customHeight="false" outlineLevel="0" collapsed="false">
      <c r="A8781" s="6" t="n">
        <v>46172</v>
      </c>
      <c r="B8781" s="4" t="s">
        <v>5435</v>
      </c>
      <c r="C8781" s="4" t="n">
        <v>4</v>
      </c>
      <c r="D8781" s="4" t="n">
        <v>2</v>
      </c>
      <c r="E8781" s="4" t="s">
        <v>3617</v>
      </c>
      <c r="F8781" s="4" t="n">
        <v>6</v>
      </c>
      <c r="G8781" s="4" t="n">
        <v>9</v>
      </c>
      <c r="H8781" s="4" t="n">
        <v>4</v>
      </c>
      <c r="I8781" s="4" t="str">
        <v>×</v>
      </c>
      <c r="J8781" s="4"/>
      <c r="K8781" s="4"/>
      <c r="L8781" s="4"/>
      <c r="M8781" s="5" t="s">
        <v>5346</v>
      </c>
    </row>
    <row r="8782" customFormat="false" ht="15.75" hidden="false" customHeight="false" outlineLevel="0" collapsed="false">
      <c r="A8782" s="6" t="n">
        <v>46172</v>
      </c>
      <c r="B8782" s="4" t="s">
        <v>5435</v>
      </c>
      <c r="C8782" s="4" t="n">
        <v>4</v>
      </c>
      <c r="D8782" s="4" t="n">
        <v>3</v>
      </c>
      <c r="E8782" s="4" t="s">
        <v>3518</v>
      </c>
      <c r="F8782" s="4" t="n">
        <v>15</v>
      </c>
      <c r="G8782" s="4" t="n">
        <v>7</v>
      </c>
      <c r="H8782" s="4" t="n">
        <v>4</v>
      </c>
      <c r="I8782" s="4" t="str">
        <v>×</v>
      </c>
      <c r="J8782" s="4"/>
      <c r="K8782" s="4"/>
      <c r="L8782" s="4"/>
      <c r="M8782" s="5" t="s">
        <v>5346</v>
      </c>
    </row>
    <row r="8783" customFormat="false" ht="15.75" hidden="false" customHeight="false" outlineLevel="0" collapsed="false">
      <c r="A8783" s="6" t="n">
        <v>46172</v>
      </c>
      <c r="B8783" s="4" t="s">
        <v>5435</v>
      </c>
      <c r="C8783" s="4" t="n">
        <v>4</v>
      </c>
      <c r="D8783" s="4" t="n">
        <v>4</v>
      </c>
      <c r="E8783" s="4" t="s">
        <v>1756</v>
      </c>
      <c r="F8783" s="4" t="n">
        <v>20</v>
      </c>
      <c r="G8783" s="4" t="n">
        <v>6</v>
      </c>
      <c r="H8783" s="4" t="n">
        <v>3</v>
      </c>
      <c r="I8783" s="4" t="str">
        <v>○</v>
      </c>
      <c r="J8783" s="4" t="n">
        <v>250</v>
      </c>
      <c r="K8783" s="4"/>
      <c r="L8783" s="4"/>
      <c r="M8783" s="5" t="s">
        <v>5346</v>
      </c>
    </row>
    <row r="8784" customFormat="false" ht="15.75" hidden="false" customHeight="false" outlineLevel="0" collapsed="false">
      <c r="A8784" s="6" t="n">
        <v>46172</v>
      </c>
      <c r="B8784" s="4" t="s">
        <v>5435</v>
      </c>
      <c r="C8784" s="4" t="n">
        <v>4</v>
      </c>
      <c r="D8784" s="4" t="n">
        <v>5</v>
      </c>
      <c r="E8784" s="4" t="s">
        <v>5916</v>
      </c>
      <c r="F8784" s="4" t="n">
        <v>3</v>
      </c>
      <c r="G8784" s="4" t="n">
        <v>10</v>
      </c>
      <c r="H8784" s="4" t="n">
        <v>4</v>
      </c>
      <c r="I8784" s="4" t="str">
        <v>×</v>
      </c>
      <c r="J8784" s="4"/>
      <c r="K8784" s="4"/>
      <c r="L8784" s="4"/>
      <c r="M8784" s="5" t="s">
        <v>5346</v>
      </c>
    </row>
    <row r="8785" customFormat="false" ht="15.75" hidden="false" customHeight="false" outlineLevel="0" collapsed="false">
      <c r="A8785" s="6" t="n">
        <v>46172</v>
      </c>
      <c r="B8785" s="4" t="s">
        <v>5435</v>
      </c>
      <c r="C8785" s="4" t="n">
        <v>4</v>
      </c>
      <c r="D8785" s="4" t="n">
        <v>6</v>
      </c>
      <c r="E8785" s="4" t="s">
        <v>654</v>
      </c>
      <c r="F8785" s="4" t="n">
        <v>29</v>
      </c>
      <c r="G8785" s="4" t="n">
        <v>4</v>
      </c>
      <c r="H8785" s="4" t="n">
        <v>4</v>
      </c>
      <c r="I8785" s="4" t="str">
        <v>×</v>
      </c>
      <c r="J8785" s="4"/>
      <c r="K8785" s="4"/>
      <c r="L8785" s="4"/>
      <c r="M8785" s="5" t="s">
        <v>5346</v>
      </c>
    </row>
    <row r="8786" customFormat="false" ht="15.75" hidden="false" customHeight="false" outlineLevel="0" collapsed="false">
      <c r="A8786" s="6" t="n">
        <v>46172</v>
      </c>
      <c r="B8786" s="4" t="s">
        <v>5435</v>
      </c>
      <c r="C8786" s="4" t="n">
        <v>4</v>
      </c>
      <c r="D8786" s="4" t="n">
        <v>7</v>
      </c>
      <c r="E8786" s="4" t="s">
        <v>5917</v>
      </c>
      <c r="F8786" s="4" t="n">
        <v>3</v>
      </c>
      <c r="G8786" s="4" t="n">
        <v>10</v>
      </c>
      <c r="H8786" s="4" t="n">
        <v>4</v>
      </c>
      <c r="I8786" s="4" t="str">
        <v>×</v>
      </c>
      <c r="J8786" s="4"/>
      <c r="K8786" s="4"/>
      <c r="L8786" s="4"/>
      <c r="M8786" s="5" t="s">
        <v>5346</v>
      </c>
    </row>
    <row r="8787" customFormat="false" ht="15.75" hidden="false" customHeight="false" outlineLevel="0" collapsed="false">
      <c r="A8787" s="6" t="n">
        <v>46172</v>
      </c>
      <c r="B8787" s="4" t="s">
        <v>5435</v>
      </c>
      <c r="C8787" s="4" t="n">
        <v>4</v>
      </c>
      <c r="D8787" s="4" t="n">
        <v>8</v>
      </c>
      <c r="E8787" s="4" t="s">
        <v>5918</v>
      </c>
      <c r="F8787" s="4" t="n">
        <v>1</v>
      </c>
      <c r="G8787" s="4" t="n">
        <v>11</v>
      </c>
      <c r="H8787" s="4" t="n">
        <v>4</v>
      </c>
      <c r="I8787" s="4" t="str">
        <v>×</v>
      </c>
      <c r="J8787" s="4"/>
      <c r="K8787" s="4"/>
      <c r="L8787" s="4"/>
      <c r="M8787" s="5" t="s">
        <v>5346</v>
      </c>
    </row>
    <row r="8788" customFormat="false" ht="15.75" hidden="false" customHeight="false" outlineLevel="0" collapsed="false">
      <c r="A8788" s="6" t="n">
        <v>46172</v>
      </c>
      <c r="B8788" s="4" t="s">
        <v>5435</v>
      </c>
      <c r="C8788" s="4" t="n">
        <v>4</v>
      </c>
      <c r="D8788" s="4" t="n">
        <v>9</v>
      </c>
      <c r="E8788" s="4" t="s">
        <v>3517</v>
      </c>
      <c r="F8788" s="4" t="n">
        <v>31</v>
      </c>
      <c r="G8788" s="4" t="n">
        <v>3</v>
      </c>
      <c r="H8788" s="4" t="n">
        <v>4</v>
      </c>
      <c r="I8788" s="4" t="str">
        <v>×</v>
      </c>
      <c r="J8788" s="4"/>
      <c r="K8788" s="4"/>
      <c r="L8788" s="4"/>
      <c r="M8788" s="5" t="s">
        <v>5346</v>
      </c>
    </row>
    <row r="8789" customFormat="false" ht="15.75" hidden="false" customHeight="false" outlineLevel="0" collapsed="false">
      <c r="A8789" s="6" t="n">
        <v>46172</v>
      </c>
      <c r="B8789" s="4" t="s">
        <v>5435</v>
      </c>
      <c r="C8789" s="4" t="n">
        <v>4</v>
      </c>
      <c r="D8789" s="4" t="n">
        <v>10</v>
      </c>
      <c r="E8789" s="4" t="s">
        <v>5919</v>
      </c>
      <c r="F8789" s="4" t="n">
        <v>6</v>
      </c>
      <c r="G8789" s="4" t="n">
        <v>9</v>
      </c>
      <c r="H8789" s="4" t="n">
        <v>4</v>
      </c>
      <c r="I8789" s="4" t="str">
        <v>×</v>
      </c>
      <c r="J8789" s="4"/>
      <c r="K8789" s="4"/>
      <c r="L8789" s="4"/>
      <c r="M8789" s="5" t="s">
        <v>5346</v>
      </c>
    </row>
    <row r="8790" customFormat="false" ht="15.75" hidden="false" customHeight="false" outlineLevel="0" collapsed="false">
      <c r="A8790" s="6" t="n">
        <v>46172</v>
      </c>
      <c r="B8790" s="4" t="s">
        <v>5435</v>
      </c>
      <c r="C8790" s="4" t="n">
        <v>4</v>
      </c>
      <c r="D8790" s="4" t="n">
        <v>11</v>
      </c>
      <c r="E8790" s="4" t="s">
        <v>5920</v>
      </c>
      <c r="F8790" s="4" t="n">
        <v>3</v>
      </c>
      <c r="G8790" s="4" t="n">
        <v>10</v>
      </c>
      <c r="H8790" s="4" t="n">
        <v>4</v>
      </c>
      <c r="I8790" s="4" t="str">
        <v>×</v>
      </c>
      <c r="J8790" s="4"/>
      <c r="K8790" s="4"/>
      <c r="L8790" s="4"/>
      <c r="M8790" s="5" t="s">
        <v>5346</v>
      </c>
    </row>
    <row r="8791" customFormat="false" ht="15.75" hidden="false" customHeight="false" outlineLevel="0" collapsed="false">
      <c r="A8791" s="6" t="n">
        <v>46172</v>
      </c>
      <c r="B8791" s="4" t="s">
        <v>5435</v>
      </c>
      <c r="C8791" s="4" t="n">
        <v>4</v>
      </c>
      <c r="D8791" s="4" t="n">
        <v>12</v>
      </c>
      <c r="E8791" s="4" t="s">
        <v>5921</v>
      </c>
      <c r="F8791" s="4" t="n">
        <v>1</v>
      </c>
      <c r="G8791" s="4" t="n">
        <v>11</v>
      </c>
      <c r="H8791" s="4" t="n">
        <v>4</v>
      </c>
      <c r="I8791" s="4" t="str">
        <v>×</v>
      </c>
      <c r="J8791" s="4"/>
      <c r="K8791" s="4"/>
      <c r="L8791" s="4"/>
      <c r="M8791" s="5" t="s">
        <v>5346</v>
      </c>
    </row>
    <row r="8792" customFormat="false" ht="15.75" hidden="false" customHeight="false" outlineLevel="0" collapsed="false">
      <c r="A8792" s="6" t="n">
        <v>46172</v>
      </c>
      <c r="B8792" s="4" t="s">
        <v>5435</v>
      </c>
      <c r="C8792" s="4" t="n">
        <v>4</v>
      </c>
      <c r="D8792" s="4" t="n">
        <v>13</v>
      </c>
      <c r="E8792" s="4" t="s">
        <v>5922</v>
      </c>
      <c r="F8792" s="4" t="n">
        <v>35</v>
      </c>
      <c r="G8792" s="4" t="n">
        <v>2</v>
      </c>
      <c r="H8792" s="4" t="n">
        <v>1</v>
      </c>
      <c r="I8792" s="4" t="str">
        <v>○</v>
      </c>
      <c r="J8792" s="4" t="n">
        <v>150</v>
      </c>
      <c r="K8792" s="4"/>
      <c r="L8792" s="4"/>
      <c r="M8792" s="5" t="s">
        <v>5346</v>
      </c>
    </row>
    <row r="8793" customFormat="false" ht="15.75" hidden="false" customHeight="false" outlineLevel="0" collapsed="false">
      <c r="A8793" s="6" t="n">
        <v>46172</v>
      </c>
      <c r="B8793" s="4" t="s">
        <v>5435</v>
      </c>
      <c r="C8793" s="4" t="n">
        <v>4</v>
      </c>
      <c r="D8793" s="4" t="n">
        <v>14</v>
      </c>
      <c r="E8793" s="4" t="s">
        <v>2461</v>
      </c>
      <c r="F8793" s="4" t="n">
        <v>3</v>
      </c>
      <c r="G8793" s="4" t="n">
        <v>10</v>
      </c>
      <c r="H8793" s="4" t="n">
        <v>4</v>
      </c>
      <c r="I8793" s="4" t="str">
        <v>×</v>
      </c>
      <c r="J8793" s="4"/>
      <c r="K8793" s="4"/>
      <c r="L8793" s="4"/>
      <c r="M8793" s="5" t="s">
        <v>5346</v>
      </c>
    </row>
    <row r="8794" customFormat="false" ht="15.75" hidden="false" customHeight="false" outlineLevel="0" collapsed="false">
      <c r="A8794" s="6" t="n">
        <v>46172</v>
      </c>
      <c r="B8794" s="4" t="s">
        <v>5435</v>
      </c>
      <c r="C8794" s="4" t="n">
        <v>4</v>
      </c>
      <c r="D8794" s="4" t="n">
        <v>15</v>
      </c>
      <c r="E8794" s="4" t="s">
        <v>1151</v>
      </c>
      <c r="F8794" s="4" t="n">
        <v>15</v>
      </c>
      <c r="G8794" s="4" t="n">
        <v>7</v>
      </c>
      <c r="H8794" s="4" t="n">
        <v>4</v>
      </c>
      <c r="I8794" s="4" t="str">
        <v>×</v>
      </c>
      <c r="J8794" s="4"/>
      <c r="K8794" s="4"/>
      <c r="L8794" s="4"/>
      <c r="M8794" s="5" t="s">
        <v>5346</v>
      </c>
    </row>
    <row r="8795" customFormat="false" ht="15.75" hidden="false" customHeight="false" outlineLevel="0" collapsed="false">
      <c r="A8795" s="6" t="n">
        <v>46172</v>
      </c>
      <c r="B8795" s="4" t="s">
        <v>5435</v>
      </c>
      <c r="C8795" s="4" t="n">
        <v>4</v>
      </c>
      <c r="D8795" s="4" t="n">
        <v>16</v>
      </c>
      <c r="E8795" s="4" t="s">
        <v>5923</v>
      </c>
      <c r="F8795" s="4" t="n">
        <v>10</v>
      </c>
      <c r="G8795" s="4" t="n">
        <v>8</v>
      </c>
      <c r="H8795" s="4" t="n">
        <v>4</v>
      </c>
      <c r="I8795" s="4" t="str">
        <v>×</v>
      </c>
      <c r="J8795" s="4"/>
      <c r="K8795" s="4"/>
      <c r="L8795" s="4"/>
      <c r="M8795" s="5" t="s">
        <v>5346</v>
      </c>
    </row>
    <row r="8796" customFormat="false" ht="15.75" hidden="false" customHeight="false" outlineLevel="0" collapsed="false">
      <c r="A8796" s="6" t="n">
        <v>46172</v>
      </c>
      <c r="B8796" s="4" t="s">
        <v>5435</v>
      </c>
      <c r="C8796" s="4" t="n">
        <v>4</v>
      </c>
      <c r="D8796" s="4" t="n">
        <v>17</v>
      </c>
      <c r="E8796" s="4" t="s">
        <v>5924</v>
      </c>
      <c r="F8796" s="4" t="n">
        <v>56</v>
      </c>
      <c r="G8796" s="4" t="n">
        <v>1</v>
      </c>
      <c r="H8796" s="4" t="n">
        <v>2</v>
      </c>
      <c r="I8796" s="4" t="str">
        <v>○</v>
      </c>
      <c r="J8796" s="4" t="n">
        <v>140</v>
      </c>
      <c r="K8796" s="4"/>
      <c r="L8796" s="4"/>
      <c r="M8796" s="5" t="s">
        <v>5346</v>
      </c>
    </row>
    <row r="8797" customFormat="false" ht="15.75" hidden="false" customHeight="false" outlineLevel="0" collapsed="false">
      <c r="A8797" s="6" t="n">
        <v>46172</v>
      </c>
      <c r="B8797" s="4" t="s">
        <v>5435</v>
      </c>
      <c r="C8797" s="4" t="n">
        <v>4</v>
      </c>
      <c r="D8797" s="4" t="n">
        <v>18</v>
      </c>
      <c r="E8797" s="4" t="s">
        <v>5925</v>
      </c>
      <c r="F8797" s="4" t="n">
        <v>1</v>
      </c>
      <c r="G8797" s="4" t="n">
        <v>11</v>
      </c>
      <c r="H8797" s="4" t="n">
        <v>4</v>
      </c>
      <c r="I8797" s="4" t="str">
        <v>×</v>
      </c>
      <c r="J8797" s="4"/>
      <c r="K8797" s="4"/>
      <c r="L8797" s="4"/>
      <c r="M8797" s="5" t="s">
        <v>5346</v>
      </c>
    </row>
    <row r="8798" customFormat="false" ht="15.75" hidden="false" customHeight="false" outlineLevel="0" collapsed="false">
      <c r="A8798" s="6" t="n">
        <v>46172</v>
      </c>
      <c r="B8798" s="4" t="s">
        <v>5435</v>
      </c>
      <c r="C8798" s="4" t="n">
        <v>5</v>
      </c>
      <c r="D8798" s="4" t="n">
        <v>1</v>
      </c>
      <c r="E8798" s="4" t="s">
        <v>5263</v>
      </c>
      <c r="F8798" s="4" t="n">
        <v>62</v>
      </c>
      <c r="G8798" s="4" t="n">
        <v>2</v>
      </c>
      <c r="H8798" s="4" t="n">
        <v>4</v>
      </c>
      <c r="I8798" s="4" t="str">
        <v>×</v>
      </c>
      <c r="J8798" s="4"/>
      <c r="K8798" s="4"/>
      <c r="L8798" s="4"/>
      <c r="M8798" s="5" t="s">
        <v>5346</v>
      </c>
    </row>
    <row r="8799" customFormat="false" ht="15.75" hidden="false" customHeight="false" outlineLevel="0" collapsed="false">
      <c r="A8799" s="6" t="n">
        <v>46172</v>
      </c>
      <c r="B8799" s="4" t="s">
        <v>5435</v>
      </c>
      <c r="C8799" s="4" t="n">
        <v>5</v>
      </c>
      <c r="D8799" s="4" t="n">
        <v>2</v>
      </c>
      <c r="E8799" s="4" t="s">
        <v>5926</v>
      </c>
      <c r="F8799" s="4" t="n">
        <v>8</v>
      </c>
      <c r="G8799" s="4" t="n">
        <v>7</v>
      </c>
      <c r="H8799" s="4" t="n">
        <v>4</v>
      </c>
      <c r="I8799" s="4" t="str">
        <v>×</v>
      </c>
      <c r="J8799" s="4"/>
      <c r="K8799" s="4"/>
      <c r="L8799" s="4"/>
      <c r="M8799" s="5" t="s">
        <v>5346</v>
      </c>
    </row>
    <row r="8800" customFormat="false" ht="15.75" hidden="false" customHeight="false" outlineLevel="0" collapsed="false">
      <c r="A8800" s="6" t="n">
        <v>46172</v>
      </c>
      <c r="B8800" s="4" t="s">
        <v>5435</v>
      </c>
      <c r="C8800" s="4" t="n">
        <v>5</v>
      </c>
      <c r="D8800" s="4" t="n">
        <v>3</v>
      </c>
      <c r="E8800" s="4" t="s">
        <v>5927</v>
      </c>
      <c r="F8800" s="4" t="n">
        <v>1</v>
      </c>
      <c r="G8800" s="4" t="n">
        <v>11</v>
      </c>
      <c r="H8800" s="4" t="n">
        <v>4</v>
      </c>
      <c r="I8800" s="4" t="str">
        <v>×</v>
      </c>
      <c r="J8800" s="4"/>
      <c r="K8800" s="4"/>
      <c r="L8800" s="4"/>
      <c r="M8800" s="5" t="s">
        <v>5346</v>
      </c>
    </row>
    <row r="8801" customFormat="false" ht="15.75" hidden="false" customHeight="false" outlineLevel="0" collapsed="false">
      <c r="A8801" s="6" t="n">
        <v>46172</v>
      </c>
      <c r="B8801" s="4" t="s">
        <v>5435</v>
      </c>
      <c r="C8801" s="4" t="n">
        <v>5</v>
      </c>
      <c r="D8801" s="4" t="n">
        <v>4</v>
      </c>
      <c r="E8801" s="4" t="s">
        <v>5928</v>
      </c>
      <c r="F8801" s="4" t="n">
        <v>41</v>
      </c>
      <c r="G8801" s="4" t="n">
        <v>3</v>
      </c>
      <c r="H8801" s="4" t="n">
        <v>2</v>
      </c>
      <c r="I8801" s="4" t="str">
        <v>○</v>
      </c>
      <c r="J8801" s="4" t="n">
        <v>120</v>
      </c>
      <c r="K8801" s="4"/>
      <c r="L8801" s="4"/>
      <c r="M8801" s="5" t="s">
        <v>5346</v>
      </c>
    </row>
    <row r="8802" customFormat="false" ht="15.75" hidden="false" customHeight="false" outlineLevel="0" collapsed="false">
      <c r="A8802" s="6" t="n">
        <v>46172</v>
      </c>
      <c r="B8802" s="4" t="s">
        <v>5435</v>
      </c>
      <c r="C8802" s="4" t="n">
        <v>5</v>
      </c>
      <c r="D8802" s="4" t="n">
        <v>5</v>
      </c>
      <c r="E8802" s="4" t="s">
        <v>5929</v>
      </c>
      <c r="F8802" s="4" t="n">
        <v>2</v>
      </c>
      <c r="G8802" s="4" t="n">
        <v>10</v>
      </c>
      <c r="H8802" s="4" t="n">
        <v>4</v>
      </c>
      <c r="I8802" s="4" t="str">
        <v>×</v>
      </c>
      <c r="J8802" s="4"/>
      <c r="K8802" s="4"/>
      <c r="L8802" s="4"/>
      <c r="M8802" s="5" t="s">
        <v>5346</v>
      </c>
    </row>
    <row r="8803" customFormat="false" ht="15.75" hidden="false" customHeight="false" outlineLevel="0" collapsed="false">
      <c r="A8803" s="6" t="n">
        <v>46172</v>
      </c>
      <c r="B8803" s="4" t="s">
        <v>5435</v>
      </c>
      <c r="C8803" s="4" t="n">
        <v>5</v>
      </c>
      <c r="D8803" s="4" t="n">
        <v>6</v>
      </c>
      <c r="E8803" s="4" t="s">
        <v>5930</v>
      </c>
      <c r="F8803" s="4" t="n">
        <v>15</v>
      </c>
      <c r="G8803" s="4" t="n">
        <v>5</v>
      </c>
      <c r="H8803" s="4" t="n">
        <v>4</v>
      </c>
      <c r="I8803" s="4" t="str">
        <v>×</v>
      </c>
      <c r="J8803" s="4"/>
      <c r="K8803" s="4"/>
      <c r="L8803" s="4"/>
      <c r="M8803" s="5" t="s">
        <v>5346</v>
      </c>
    </row>
    <row r="8804" customFormat="false" ht="15.75" hidden="false" customHeight="false" outlineLevel="0" collapsed="false">
      <c r="A8804" s="6" t="n">
        <v>46172</v>
      </c>
      <c r="B8804" s="4" t="s">
        <v>5435</v>
      </c>
      <c r="C8804" s="4" t="n">
        <v>5</v>
      </c>
      <c r="D8804" s="4" t="n">
        <v>7</v>
      </c>
      <c r="E8804" s="4" t="s">
        <v>5931</v>
      </c>
      <c r="F8804" s="4" t="n">
        <v>10</v>
      </c>
      <c r="G8804" s="4" t="n">
        <v>6</v>
      </c>
      <c r="H8804" s="4" t="n">
        <v>4</v>
      </c>
      <c r="I8804" s="4" t="str">
        <v>×</v>
      </c>
      <c r="J8804" s="4"/>
      <c r="K8804" s="4"/>
      <c r="L8804" s="4"/>
      <c r="M8804" s="5" t="s">
        <v>5346</v>
      </c>
    </row>
    <row r="8805" customFormat="false" ht="15.75" hidden="false" customHeight="false" outlineLevel="0" collapsed="false">
      <c r="A8805" s="6" t="n">
        <v>46172</v>
      </c>
      <c r="B8805" s="4" t="s">
        <v>5435</v>
      </c>
      <c r="C8805" s="4" t="n">
        <v>5</v>
      </c>
      <c r="D8805" s="4" t="n">
        <v>8</v>
      </c>
      <c r="E8805" s="4" t="s">
        <v>5932</v>
      </c>
      <c r="F8805" s="4" t="n">
        <v>6</v>
      </c>
      <c r="G8805" s="4" t="n">
        <v>8</v>
      </c>
      <c r="H8805" s="4" t="n">
        <v>4</v>
      </c>
      <c r="I8805" s="4" t="str">
        <v>×</v>
      </c>
      <c r="J8805" s="4"/>
      <c r="K8805" s="4"/>
      <c r="L8805" s="4"/>
      <c r="M8805" s="5" t="s">
        <v>5346</v>
      </c>
    </row>
    <row r="8806" customFormat="false" ht="15.75" hidden="false" customHeight="false" outlineLevel="0" collapsed="false">
      <c r="A8806" s="6" t="n">
        <v>46172</v>
      </c>
      <c r="B8806" s="4" t="s">
        <v>5435</v>
      </c>
      <c r="C8806" s="4" t="n">
        <v>5</v>
      </c>
      <c r="D8806" s="4" t="n">
        <v>9</v>
      </c>
      <c r="E8806" s="4" t="s">
        <v>5933</v>
      </c>
      <c r="F8806" s="4" t="n">
        <v>4</v>
      </c>
      <c r="G8806" s="4" t="n">
        <v>9</v>
      </c>
      <c r="H8806" s="4" t="n">
        <v>4</v>
      </c>
      <c r="I8806" s="4" t="str">
        <v>×</v>
      </c>
      <c r="J8806" s="4"/>
      <c r="K8806" s="4"/>
      <c r="L8806" s="4"/>
      <c r="M8806" s="5" t="s">
        <v>5346</v>
      </c>
    </row>
    <row r="8807" customFormat="false" ht="15.75" hidden="false" customHeight="false" outlineLevel="0" collapsed="false">
      <c r="A8807" s="6" t="n">
        <v>46172</v>
      </c>
      <c r="B8807" s="4" t="s">
        <v>5435</v>
      </c>
      <c r="C8807" s="4" t="n">
        <v>5</v>
      </c>
      <c r="D8807" s="4" t="n">
        <v>10</v>
      </c>
      <c r="E8807" s="4" t="s">
        <v>1164</v>
      </c>
      <c r="F8807" s="4" t="n">
        <v>6</v>
      </c>
      <c r="G8807" s="4" t="n">
        <v>8</v>
      </c>
      <c r="H8807" s="4" t="n">
        <v>4</v>
      </c>
      <c r="I8807" s="4" t="str">
        <v>×</v>
      </c>
      <c r="J8807" s="4"/>
      <c r="K8807" s="4"/>
      <c r="L8807" s="4"/>
      <c r="M8807" s="5" t="s">
        <v>5346</v>
      </c>
    </row>
    <row r="8808" customFormat="false" ht="15.75" hidden="false" customHeight="false" outlineLevel="0" collapsed="false">
      <c r="A8808" s="6" t="n">
        <v>46172</v>
      </c>
      <c r="B8808" s="4" t="s">
        <v>5435</v>
      </c>
      <c r="C8808" s="4" t="n">
        <v>5</v>
      </c>
      <c r="D8808" s="4" t="n">
        <v>11</v>
      </c>
      <c r="E8808" s="4" t="s">
        <v>3151</v>
      </c>
      <c r="F8808" s="4" t="n">
        <v>8</v>
      </c>
      <c r="G8808" s="4" t="n">
        <v>7</v>
      </c>
      <c r="H8808" s="4" t="n">
        <v>4</v>
      </c>
      <c r="I8808" s="4" t="str">
        <v>×</v>
      </c>
      <c r="J8808" s="4"/>
      <c r="K8808" s="4"/>
      <c r="L8808" s="4"/>
      <c r="M8808" s="5" t="s">
        <v>5346</v>
      </c>
    </row>
    <row r="8809" customFormat="false" ht="15.75" hidden="false" customHeight="false" outlineLevel="0" collapsed="false">
      <c r="A8809" s="6" t="n">
        <v>46172</v>
      </c>
      <c r="B8809" s="4" t="s">
        <v>5435</v>
      </c>
      <c r="C8809" s="4" t="n">
        <v>5</v>
      </c>
      <c r="D8809" s="4" t="n">
        <v>12</v>
      </c>
      <c r="E8809" s="4" t="s">
        <v>5934</v>
      </c>
      <c r="F8809" s="4" t="n">
        <v>81</v>
      </c>
      <c r="G8809" s="4" t="n">
        <v>1</v>
      </c>
      <c r="H8809" s="4" t="n">
        <v>1</v>
      </c>
      <c r="I8809" s="4" t="str">
        <v>○</v>
      </c>
      <c r="J8809" s="4" t="n">
        <v>110</v>
      </c>
      <c r="K8809" s="4"/>
      <c r="L8809" s="4"/>
      <c r="M8809" s="5" t="s">
        <v>5346</v>
      </c>
    </row>
    <row r="8810" customFormat="false" ht="15.75" hidden="false" customHeight="false" outlineLevel="0" collapsed="false">
      <c r="A8810" s="6" t="n">
        <v>46172</v>
      </c>
      <c r="B8810" s="4" t="s">
        <v>5435</v>
      </c>
      <c r="C8810" s="4" t="n">
        <v>5</v>
      </c>
      <c r="D8810" s="4" t="n">
        <v>13</v>
      </c>
      <c r="E8810" s="4" t="s">
        <v>1607</v>
      </c>
      <c r="F8810" s="4" t="n">
        <v>20</v>
      </c>
      <c r="G8810" s="4" t="n">
        <v>4</v>
      </c>
      <c r="H8810" s="4" t="n">
        <v>3</v>
      </c>
      <c r="I8810" s="4" t="str">
        <v>○</v>
      </c>
      <c r="J8810" s="4" t="n">
        <v>120</v>
      </c>
      <c r="K8810" s="4"/>
      <c r="L8810" s="4"/>
      <c r="M8810" s="5" t="s">
        <v>5346</v>
      </c>
    </row>
    <row r="8811" customFormat="false" ht="15.75" hidden="false" customHeight="false" outlineLevel="0" collapsed="false">
      <c r="A8811" s="6" t="n">
        <v>46172</v>
      </c>
      <c r="B8811" s="4" t="s">
        <v>5435</v>
      </c>
      <c r="C8811" s="4" t="n">
        <v>5</v>
      </c>
      <c r="D8811" s="4" t="n">
        <v>14</v>
      </c>
      <c r="E8811" s="4" t="s">
        <v>2873</v>
      </c>
      <c r="F8811" s="4" t="n">
        <v>8</v>
      </c>
      <c r="G8811" s="4" t="n">
        <v>7</v>
      </c>
      <c r="H8811" s="4" t="n">
        <v>4</v>
      </c>
      <c r="I8811" s="4" t="str">
        <v>×</v>
      </c>
      <c r="J8811" s="4"/>
      <c r="K8811" s="4"/>
      <c r="L8811" s="4"/>
      <c r="M8811" s="5" t="s">
        <v>5346</v>
      </c>
    </row>
    <row r="8812" customFormat="false" ht="15.75" hidden="false" customHeight="false" outlineLevel="0" collapsed="false">
      <c r="A8812" s="6" t="n">
        <v>46172</v>
      </c>
      <c r="B8812" s="4" t="s">
        <v>5435</v>
      </c>
      <c r="C8812" s="4" t="n">
        <v>5</v>
      </c>
      <c r="D8812" s="4" t="n">
        <v>15</v>
      </c>
      <c r="E8812" s="4" t="s">
        <v>1162</v>
      </c>
      <c r="F8812" s="4" t="n">
        <v>8</v>
      </c>
      <c r="G8812" s="4" t="n">
        <v>7</v>
      </c>
      <c r="H8812" s="4" t="n">
        <v>4</v>
      </c>
      <c r="I8812" s="4" t="str">
        <v>×</v>
      </c>
      <c r="J8812" s="4"/>
      <c r="K8812" s="4"/>
      <c r="L8812" s="4"/>
      <c r="M8812" s="5" t="s">
        <v>5346</v>
      </c>
    </row>
    <row r="8813" customFormat="false" ht="15.75" hidden="false" customHeight="false" outlineLevel="0" collapsed="false">
      <c r="A8813" s="6" t="n">
        <v>46172</v>
      </c>
      <c r="B8813" s="4" t="s">
        <v>5435</v>
      </c>
      <c r="C8813" s="4" t="n">
        <v>5</v>
      </c>
      <c r="D8813" s="4" t="n">
        <v>16</v>
      </c>
      <c r="E8813" s="4" t="s">
        <v>3822</v>
      </c>
      <c r="F8813" s="4" t="n">
        <v>1</v>
      </c>
      <c r="G8813" s="4" t="n">
        <v>11</v>
      </c>
      <c r="H8813" s="4" t="n">
        <v>4</v>
      </c>
      <c r="I8813" s="4" t="str">
        <v>×</v>
      </c>
      <c r="J8813" s="4"/>
      <c r="K8813" s="4"/>
      <c r="L8813" s="4"/>
      <c r="M8813" s="5" t="s">
        <v>5346</v>
      </c>
    </row>
    <row r="8814" customFormat="false" ht="15.75" hidden="false" customHeight="false" outlineLevel="0" collapsed="false">
      <c r="A8814" s="6" t="n">
        <v>46172</v>
      </c>
      <c r="B8814" s="4" t="s">
        <v>5435</v>
      </c>
      <c r="C8814" s="4" t="n">
        <v>5</v>
      </c>
      <c r="D8814" s="4" t="n">
        <v>17</v>
      </c>
      <c r="E8814" s="4" t="s">
        <v>5935</v>
      </c>
      <c r="F8814" s="4" t="n">
        <v>1</v>
      </c>
      <c r="G8814" s="4" t="n">
        <v>11</v>
      </c>
      <c r="H8814" s="4" t="n">
        <v>4</v>
      </c>
      <c r="I8814" s="4" t="str">
        <v>×</v>
      </c>
      <c r="J8814" s="4"/>
      <c r="K8814" s="4"/>
      <c r="L8814" s="4"/>
      <c r="M8814" s="5" t="s">
        <v>5346</v>
      </c>
    </row>
    <row r="8815" customFormat="false" ht="15.75" hidden="false" customHeight="false" outlineLevel="0" collapsed="false">
      <c r="A8815" s="6" t="n">
        <v>46172</v>
      </c>
      <c r="B8815" s="4" t="s">
        <v>5435</v>
      </c>
      <c r="C8815" s="4" t="n">
        <v>5</v>
      </c>
      <c r="D8815" s="4" t="n">
        <v>18</v>
      </c>
      <c r="E8815" s="4" t="s">
        <v>5936</v>
      </c>
      <c r="F8815" s="4" t="n">
        <v>4</v>
      </c>
      <c r="G8815" s="4" t="n">
        <v>9</v>
      </c>
      <c r="H8815" s="4" t="n">
        <v>4</v>
      </c>
      <c r="I8815" s="4" t="str">
        <v>×</v>
      </c>
      <c r="J8815" s="4"/>
      <c r="K8815" s="4"/>
      <c r="L8815" s="4"/>
      <c r="M8815" s="5" t="s">
        <v>5346</v>
      </c>
    </row>
    <row r="8816" customFormat="false" ht="15.75" hidden="false" customHeight="false" outlineLevel="0" collapsed="false">
      <c r="A8816" s="6" t="n">
        <v>46172</v>
      </c>
      <c r="B8816" s="4" t="s">
        <v>5435</v>
      </c>
      <c r="C8816" s="4" t="n">
        <v>6</v>
      </c>
      <c r="D8816" s="4" t="n">
        <v>1</v>
      </c>
      <c r="E8816" s="4" t="s">
        <v>5937</v>
      </c>
      <c r="F8816" s="4" t="n">
        <v>25</v>
      </c>
      <c r="G8816" s="4" t="n">
        <v>5</v>
      </c>
      <c r="H8816" s="4" t="n">
        <v>4</v>
      </c>
      <c r="I8816" s="4" t="str">
        <v>×</v>
      </c>
      <c r="J8816" s="4"/>
      <c r="K8816" s="4"/>
      <c r="L8816" s="4"/>
      <c r="M8816" s="5" t="s">
        <v>5346</v>
      </c>
    </row>
    <row r="8817" customFormat="false" ht="15.75" hidden="false" customHeight="false" outlineLevel="0" collapsed="false">
      <c r="A8817" s="6" t="n">
        <v>46172</v>
      </c>
      <c r="B8817" s="4" t="s">
        <v>5435</v>
      </c>
      <c r="C8817" s="4" t="n">
        <v>6</v>
      </c>
      <c r="D8817" s="4" t="n">
        <v>2</v>
      </c>
      <c r="E8817" s="4" t="s">
        <v>5938</v>
      </c>
      <c r="F8817" s="4" t="n">
        <v>50</v>
      </c>
      <c r="G8817" s="4" t="n">
        <v>1</v>
      </c>
      <c r="H8817" s="4" t="n">
        <v>4</v>
      </c>
      <c r="I8817" s="4" t="str">
        <v>×</v>
      </c>
      <c r="J8817" s="4"/>
      <c r="K8817" s="4"/>
      <c r="L8817" s="4"/>
      <c r="M8817" s="5" t="s">
        <v>5346</v>
      </c>
    </row>
    <row r="8818" customFormat="false" ht="15.75" hidden="false" customHeight="false" outlineLevel="0" collapsed="false">
      <c r="A8818" s="6" t="n">
        <v>46172</v>
      </c>
      <c r="B8818" s="4" t="s">
        <v>5435</v>
      </c>
      <c r="C8818" s="4" t="n">
        <v>6</v>
      </c>
      <c r="D8818" s="4" t="n">
        <v>3</v>
      </c>
      <c r="E8818" s="4" t="s">
        <v>2631</v>
      </c>
      <c r="F8818" s="4" t="n">
        <v>13</v>
      </c>
      <c r="G8818" s="4" t="n">
        <v>7</v>
      </c>
      <c r="H8818" s="4" t="n">
        <v>2</v>
      </c>
      <c r="I8818" s="4" t="str">
        <v>○</v>
      </c>
      <c r="J8818" s="4" t="n">
        <v>1870</v>
      </c>
      <c r="K8818" s="4"/>
      <c r="L8818" s="4"/>
      <c r="M8818" s="5" t="s">
        <v>5346</v>
      </c>
    </row>
    <row r="8819" customFormat="false" ht="15.75" hidden="false" customHeight="false" outlineLevel="0" collapsed="false">
      <c r="A8819" s="6" t="n">
        <v>46172</v>
      </c>
      <c r="B8819" s="4" t="s">
        <v>5435</v>
      </c>
      <c r="C8819" s="4" t="n">
        <v>6</v>
      </c>
      <c r="D8819" s="4" t="n">
        <v>4</v>
      </c>
      <c r="E8819" s="4" t="s">
        <v>3498</v>
      </c>
      <c r="F8819" s="4" t="n">
        <v>37</v>
      </c>
      <c r="G8819" s="4" t="n">
        <v>3</v>
      </c>
      <c r="H8819" s="4" t="n">
        <v>4</v>
      </c>
      <c r="I8819" s="4" t="str">
        <v>×</v>
      </c>
      <c r="J8819" s="4"/>
      <c r="K8819" s="4"/>
      <c r="L8819" s="4"/>
      <c r="M8819" s="5" t="s">
        <v>5346</v>
      </c>
    </row>
    <row r="8820" customFormat="false" ht="15.75" hidden="false" customHeight="false" outlineLevel="0" collapsed="false">
      <c r="A8820" s="6" t="n">
        <v>46172</v>
      </c>
      <c r="B8820" s="4" t="s">
        <v>5435</v>
      </c>
      <c r="C8820" s="4" t="n">
        <v>6</v>
      </c>
      <c r="D8820" s="4" t="n">
        <v>5</v>
      </c>
      <c r="E8820" s="4" t="s">
        <v>719</v>
      </c>
      <c r="F8820" s="4" t="n">
        <v>15</v>
      </c>
      <c r="G8820" s="4" t="n">
        <v>6</v>
      </c>
      <c r="H8820" s="4" t="n">
        <v>1</v>
      </c>
      <c r="I8820" s="4" t="str">
        <v>○</v>
      </c>
      <c r="J8820" s="4" t="n">
        <v>490</v>
      </c>
      <c r="K8820" s="4"/>
      <c r="L8820" s="4"/>
      <c r="M8820" s="5" t="s">
        <v>5346</v>
      </c>
    </row>
    <row r="8821" customFormat="false" ht="15.75" hidden="false" customHeight="false" outlineLevel="0" collapsed="false">
      <c r="A8821" s="6" t="n">
        <v>46172</v>
      </c>
      <c r="B8821" s="4" t="s">
        <v>5435</v>
      </c>
      <c r="C8821" s="4" t="n">
        <v>6</v>
      </c>
      <c r="D8821" s="4" t="n">
        <v>6</v>
      </c>
      <c r="E8821" s="4" t="s">
        <v>5039</v>
      </c>
      <c r="F8821" s="4" t="n">
        <v>41</v>
      </c>
      <c r="G8821" s="4" t="n">
        <v>2</v>
      </c>
      <c r="H8821" s="4" t="n">
        <v>3</v>
      </c>
      <c r="I8821" s="4" t="str">
        <v>○</v>
      </c>
      <c r="J8821" s="4" t="n">
        <v>180</v>
      </c>
      <c r="K8821" s="4"/>
      <c r="L8821" s="4"/>
      <c r="M8821" s="5" t="s">
        <v>5346</v>
      </c>
    </row>
    <row r="8822" customFormat="false" ht="15.75" hidden="false" customHeight="false" outlineLevel="0" collapsed="false">
      <c r="A8822" s="6" t="n">
        <v>46172</v>
      </c>
      <c r="B8822" s="4" t="s">
        <v>5435</v>
      </c>
      <c r="C8822" s="4" t="n">
        <v>6</v>
      </c>
      <c r="D8822" s="4" t="n">
        <v>7</v>
      </c>
      <c r="E8822" s="4" t="s">
        <v>5939</v>
      </c>
      <c r="F8822" s="4" t="n">
        <v>4</v>
      </c>
      <c r="G8822" s="4" t="n">
        <v>9</v>
      </c>
      <c r="H8822" s="4" t="n">
        <v>4</v>
      </c>
      <c r="I8822" s="4" t="str">
        <v>×</v>
      </c>
      <c r="J8822" s="4"/>
      <c r="K8822" s="4"/>
      <c r="L8822" s="4"/>
      <c r="M8822" s="5" t="s">
        <v>5346</v>
      </c>
    </row>
    <row r="8823" customFormat="false" ht="15.75" hidden="false" customHeight="false" outlineLevel="0" collapsed="false">
      <c r="A8823" s="6" t="n">
        <v>46172</v>
      </c>
      <c r="B8823" s="4" t="s">
        <v>5435</v>
      </c>
      <c r="C8823" s="4" t="n">
        <v>6</v>
      </c>
      <c r="D8823" s="4" t="n">
        <v>8</v>
      </c>
      <c r="E8823" s="4" t="s">
        <v>5940</v>
      </c>
      <c r="F8823" s="4" t="n">
        <v>10</v>
      </c>
      <c r="G8823" s="4" t="n">
        <v>8</v>
      </c>
      <c r="H8823" s="4" t="n">
        <v>4</v>
      </c>
      <c r="I8823" s="4" t="str">
        <v>×</v>
      </c>
      <c r="J8823" s="4"/>
      <c r="K8823" s="4"/>
      <c r="L8823" s="4"/>
      <c r="M8823" s="5" t="s">
        <v>5346</v>
      </c>
    </row>
    <row r="8824" customFormat="false" ht="15.75" hidden="false" customHeight="false" outlineLevel="0" collapsed="false">
      <c r="A8824" s="6" t="n">
        <v>46172</v>
      </c>
      <c r="B8824" s="4" t="s">
        <v>5435</v>
      </c>
      <c r="C8824" s="4" t="n">
        <v>6</v>
      </c>
      <c r="D8824" s="4" t="n">
        <v>9</v>
      </c>
      <c r="E8824" s="4" t="s">
        <v>2116</v>
      </c>
      <c r="F8824" s="4" t="n">
        <v>4</v>
      </c>
      <c r="G8824" s="4" t="n">
        <v>9</v>
      </c>
      <c r="H8824" s="4" t="n">
        <v>4</v>
      </c>
      <c r="I8824" s="4" t="str">
        <v>×</v>
      </c>
      <c r="J8824" s="4"/>
      <c r="K8824" s="4"/>
      <c r="L8824" s="4"/>
      <c r="M8824" s="5" t="s">
        <v>5346</v>
      </c>
    </row>
    <row r="8825" customFormat="false" ht="15.75" hidden="false" customHeight="false" outlineLevel="0" collapsed="false">
      <c r="A8825" s="6" t="n">
        <v>46172</v>
      </c>
      <c r="B8825" s="4" t="s">
        <v>5435</v>
      </c>
      <c r="C8825" s="4" t="n">
        <v>6</v>
      </c>
      <c r="D8825" s="4" t="n">
        <v>10</v>
      </c>
      <c r="E8825" s="4" t="s">
        <v>3961</v>
      </c>
      <c r="F8825" s="4" t="n">
        <v>15</v>
      </c>
      <c r="G8825" s="4" t="n">
        <v>6</v>
      </c>
      <c r="H8825" s="4" t="n">
        <v>4</v>
      </c>
      <c r="I8825" s="4" t="str">
        <v>×</v>
      </c>
      <c r="J8825" s="4"/>
      <c r="K8825" s="4"/>
      <c r="L8825" s="4"/>
      <c r="M8825" s="5" t="s">
        <v>5346</v>
      </c>
    </row>
    <row r="8826" customFormat="false" ht="15.75" hidden="false" customHeight="false" outlineLevel="0" collapsed="false">
      <c r="A8826" s="6" t="n">
        <v>46172</v>
      </c>
      <c r="B8826" s="4" t="s">
        <v>5435</v>
      </c>
      <c r="C8826" s="4" t="n">
        <v>6</v>
      </c>
      <c r="D8826" s="4" t="n">
        <v>11</v>
      </c>
      <c r="E8826" s="4" t="s">
        <v>5941</v>
      </c>
      <c r="F8826" s="4" t="n">
        <v>29</v>
      </c>
      <c r="G8826" s="4" t="n">
        <v>4</v>
      </c>
      <c r="H8826" s="4" t="n">
        <v>4</v>
      </c>
      <c r="I8826" s="4" t="str">
        <v>×</v>
      </c>
      <c r="J8826" s="4"/>
      <c r="K8826" s="4"/>
      <c r="L8826" s="4"/>
      <c r="M8826" s="5" t="s">
        <v>5346</v>
      </c>
    </row>
    <row r="8827" customFormat="false" ht="15.75" hidden="false" customHeight="false" outlineLevel="0" collapsed="false">
      <c r="A8827" s="6" t="n">
        <v>46172</v>
      </c>
      <c r="B8827" s="4" t="s">
        <v>5435</v>
      </c>
      <c r="C8827" s="4" t="n">
        <v>6</v>
      </c>
      <c r="D8827" s="4" t="n">
        <v>12</v>
      </c>
      <c r="E8827" s="4" t="s">
        <v>2620</v>
      </c>
      <c r="F8827" s="4" t="n">
        <v>10</v>
      </c>
      <c r="G8827" s="4" t="n">
        <v>8</v>
      </c>
      <c r="H8827" s="4" t="n">
        <v>4</v>
      </c>
      <c r="I8827" s="4" t="str">
        <v>×</v>
      </c>
      <c r="J8827" s="4"/>
      <c r="K8827" s="4"/>
      <c r="L8827" s="4"/>
      <c r="M8827" s="5" t="s">
        <v>5346</v>
      </c>
    </row>
    <row r="8828" customFormat="false" ht="15.75" hidden="false" customHeight="false" outlineLevel="0" collapsed="false">
      <c r="A8828" s="6" t="n">
        <v>46172</v>
      </c>
      <c r="B8828" s="4" t="s">
        <v>5435</v>
      </c>
      <c r="C8828" s="4" t="n">
        <v>7</v>
      </c>
      <c r="D8828" s="4" t="n">
        <v>1</v>
      </c>
      <c r="E8828" s="4" t="s">
        <v>5942</v>
      </c>
      <c r="F8828" s="4" t="n">
        <v>20</v>
      </c>
      <c r="G8828" s="4" t="n">
        <v>5</v>
      </c>
      <c r="H8828" s="4" t="n">
        <v>1</v>
      </c>
      <c r="I8828" s="4" t="str">
        <v>○</v>
      </c>
      <c r="J8828" s="4" t="n">
        <v>200</v>
      </c>
      <c r="K8828" s="4"/>
      <c r="L8828" s="4"/>
      <c r="M8828" s="5" t="s">
        <v>5346</v>
      </c>
    </row>
    <row r="8829" customFormat="false" ht="15.75" hidden="false" customHeight="false" outlineLevel="0" collapsed="false">
      <c r="A8829" s="6" t="n">
        <v>46172</v>
      </c>
      <c r="B8829" s="4" t="s">
        <v>5435</v>
      </c>
      <c r="C8829" s="4" t="n">
        <v>7</v>
      </c>
      <c r="D8829" s="4" t="n">
        <v>2</v>
      </c>
      <c r="E8829" s="4" t="s">
        <v>5943</v>
      </c>
      <c r="F8829" s="4" t="n">
        <v>29</v>
      </c>
      <c r="G8829" s="4" t="n">
        <v>4</v>
      </c>
      <c r="H8829" s="4" t="n">
        <v>2</v>
      </c>
      <c r="I8829" s="4" t="str">
        <v>○</v>
      </c>
      <c r="J8829" s="4" t="n">
        <v>370</v>
      </c>
      <c r="K8829" s="4"/>
      <c r="L8829" s="4"/>
      <c r="M8829" s="5" t="s">
        <v>5346</v>
      </c>
    </row>
    <row r="8830" customFormat="false" ht="15.75" hidden="false" customHeight="false" outlineLevel="0" collapsed="false">
      <c r="A8830" s="6" t="n">
        <v>46172</v>
      </c>
      <c r="B8830" s="4" t="s">
        <v>5435</v>
      </c>
      <c r="C8830" s="4" t="n">
        <v>7</v>
      </c>
      <c r="D8830" s="4" t="n">
        <v>3</v>
      </c>
      <c r="E8830" s="4" t="s">
        <v>5944</v>
      </c>
      <c r="F8830" s="4" t="n">
        <v>20</v>
      </c>
      <c r="G8830" s="4" t="n">
        <v>5</v>
      </c>
      <c r="H8830" s="4" t="n">
        <v>4</v>
      </c>
      <c r="I8830" s="4" t="str">
        <v>×</v>
      </c>
      <c r="J8830" s="4"/>
      <c r="K8830" s="4"/>
      <c r="L8830" s="4"/>
      <c r="M8830" s="5" t="s">
        <v>5346</v>
      </c>
    </row>
    <row r="8831" customFormat="false" ht="15.75" hidden="false" customHeight="false" outlineLevel="0" collapsed="false">
      <c r="A8831" s="6" t="n">
        <v>46172</v>
      </c>
      <c r="B8831" s="4" t="s">
        <v>5435</v>
      </c>
      <c r="C8831" s="4" t="n">
        <v>7</v>
      </c>
      <c r="D8831" s="4" t="n">
        <v>4</v>
      </c>
      <c r="E8831" s="4" t="s">
        <v>2122</v>
      </c>
      <c r="F8831" s="4" t="n">
        <v>10</v>
      </c>
      <c r="G8831" s="4" t="n">
        <v>9</v>
      </c>
      <c r="H8831" s="4" t="n">
        <v>4</v>
      </c>
      <c r="I8831" s="4" t="str">
        <v>×</v>
      </c>
      <c r="J8831" s="4"/>
      <c r="K8831" s="4"/>
      <c r="L8831" s="4"/>
      <c r="M8831" s="5" t="s">
        <v>5346</v>
      </c>
    </row>
    <row r="8832" customFormat="false" ht="15.75" hidden="false" customHeight="false" outlineLevel="0" collapsed="false">
      <c r="A8832" s="6" t="n">
        <v>46172</v>
      </c>
      <c r="B8832" s="4" t="s">
        <v>5435</v>
      </c>
      <c r="C8832" s="4" t="n">
        <v>7</v>
      </c>
      <c r="D8832" s="4" t="n">
        <v>5</v>
      </c>
      <c r="E8832" s="4" t="s">
        <v>5945</v>
      </c>
      <c r="F8832" s="4" t="n">
        <v>41</v>
      </c>
      <c r="G8832" s="4" t="n">
        <v>1</v>
      </c>
      <c r="H8832" s="4" t="n">
        <v>4</v>
      </c>
      <c r="I8832" s="4" t="str">
        <v>×</v>
      </c>
      <c r="J8832" s="4"/>
      <c r="K8832" s="4"/>
      <c r="L8832" s="4"/>
      <c r="M8832" s="5" t="s">
        <v>5346</v>
      </c>
    </row>
    <row r="8833" customFormat="false" ht="15.75" hidden="false" customHeight="false" outlineLevel="0" collapsed="false">
      <c r="A8833" s="6" t="n">
        <v>46172</v>
      </c>
      <c r="B8833" s="4" t="s">
        <v>5435</v>
      </c>
      <c r="C8833" s="4" t="n">
        <v>7</v>
      </c>
      <c r="D8833" s="4" t="n">
        <v>6</v>
      </c>
      <c r="E8833" s="4" t="s">
        <v>3689</v>
      </c>
      <c r="F8833" s="4" t="n">
        <v>31</v>
      </c>
      <c r="G8833" s="4" t="n">
        <v>3</v>
      </c>
      <c r="H8833" s="4" t="n">
        <v>3</v>
      </c>
      <c r="I8833" s="4" t="str">
        <v>○</v>
      </c>
      <c r="J8833" s="4" t="n">
        <v>410</v>
      </c>
      <c r="K8833" s="4"/>
      <c r="L8833" s="4"/>
      <c r="M8833" s="5" t="s">
        <v>5346</v>
      </c>
    </row>
    <row r="8834" customFormat="false" ht="15.75" hidden="false" customHeight="false" outlineLevel="0" collapsed="false">
      <c r="A8834" s="6" t="n">
        <v>46172</v>
      </c>
      <c r="B8834" s="4" t="s">
        <v>5435</v>
      </c>
      <c r="C8834" s="4" t="n">
        <v>7</v>
      </c>
      <c r="D8834" s="4" t="n">
        <v>7</v>
      </c>
      <c r="E8834" s="4" t="s">
        <v>5946</v>
      </c>
      <c r="F8834" s="4" t="n">
        <v>2</v>
      </c>
      <c r="G8834" s="4" t="n">
        <v>12</v>
      </c>
      <c r="H8834" s="4" t="n">
        <v>4</v>
      </c>
      <c r="I8834" s="4" t="str">
        <v>×</v>
      </c>
      <c r="J8834" s="4"/>
      <c r="K8834" s="4"/>
      <c r="L8834" s="4"/>
      <c r="M8834" s="5" t="s">
        <v>5346</v>
      </c>
    </row>
    <row r="8835" customFormat="false" ht="15.75" hidden="false" customHeight="false" outlineLevel="0" collapsed="false">
      <c r="A8835" s="6" t="n">
        <v>46172</v>
      </c>
      <c r="B8835" s="4" t="s">
        <v>5435</v>
      </c>
      <c r="C8835" s="4" t="n">
        <v>7</v>
      </c>
      <c r="D8835" s="4" t="n">
        <v>8</v>
      </c>
      <c r="E8835" s="4" t="s">
        <v>725</v>
      </c>
      <c r="F8835" s="4" t="n">
        <v>13</v>
      </c>
      <c r="G8835" s="4" t="n">
        <v>8</v>
      </c>
      <c r="H8835" s="4" t="n">
        <v>4</v>
      </c>
      <c r="I8835" s="4" t="str">
        <v>×</v>
      </c>
      <c r="J8835" s="4"/>
      <c r="K8835" s="4"/>
      <c r="L8835" s="4"/>
      <c r="M8835" s="5" t="s">
        <v>5346</v>
      </c>
    </row>
    <row r="8836" customFormat="false" ht="15.75" hidden="false" customHeight="false" outlineLevel="0" collapsed="false">
      <c r="A8836" s="6" t="n">
        <v>46172</v>
      </c>
      <c r="B8836" s="4" t="s">
        <v>5435</v>
      </c>
      <c r="C8836" s="4" t="n">
        <v>7</v>
      </c>
      <c r="D8836" s="4" t="n">
        <v>9</v>
      </c>
      <c r="E8836" s="4" t="s">
        <v>2281</v>
      </c>
      <c r="F8836" s="4" t="n">
        <v>41</v>
      </c>
      <c r="G8836" s="4" t="n">
        <v>1</v>
      </c>
      <c r="H8836" s="4" t="n">
        <v>4</v>
      </c>
      <c r="I8836" s="4" t="str">
        <v>×</v>
      </c>
      <c r="J8836" s="4"/>
      <c r="K8836" s="4"/>
      <c r="L8836" s="4"/>
      <c r="M8836" s="5" t="s">
        <v>5346</v>
      </c>
    </row>
    <row r="8837" customFormat="false" ht="15.75" hidden="false" customHeight="false" outlineLevel="0" collapsed="false">
      <c r="A8837" s="6" t="n">
        <v>46172</v>
      </c>
      <c r="B8837" s="4" t="s">
        <v>5435</v>
      </c>
      <c r="C8837" s="4" t="n">
        <v>7</v>
      </c>
      <c r="D8837" s="4" t="n">
        <v>10</v>
      </c>
      <c r="E8837" s="4" t="s">
        <v>5041</v>
      </c>
      <c r="F8837" s="4" t="n">
        <v>6</v>
      </c>
      <c r="G8837" s="4" t="n">
        <v>11</v>
      </c>
      <c r="H8837" s="4" t="n">
        <v>4</v>
      </c>
      <c r="I8837" s="4" t="str">
        <v>×</v>
      </c>
      <c r="J8837" s="4"/>
      <c r="K8837" s="4"/>
      <c r="L8837" s="4"/>
      <c r="M8837" s="5" t="s">
        <v>5346</v>
      </c>
    </row>
    <row r="8838" customFormat="false" ht="15.75" hidden="false" customHeight="false" outlineLevel="0" collapsed="false">
      <c r="A8838" s="6" t="n">
        <v>46172</v>
      </c>
      <c r="B8838" s="4" t="s">
        <v>5435</v>
      </c>
      <c r="C8838" s="4" t="n">
        <v>7</v>
      </c>
      <c r="D8838" s="4" t="n">
        <v>11</v>
      </c>
      <c r="E8838" s="4" t="s">
        <v>3824</v>
      </c>
      <c r="F8838" s="4" t="n">
        <v>15</v>
      </c>
      <c r="G8838" s="4" t="n">
        <v>7</v>
      </c>
      <c r="H8838" s="4" t="n">
        <v>4</v>
      </c>
      <c r="I8838" s="4" t="str">
        <v>×</v>
      </c>
      <c r="J8838" s="4"/>
      <c r="K8838" s="4"/>
      <c r="L8838" s="4"/>
      <c r="M8838" s="5" t="s">
        <v>5346</v>
      </c>
    </row>
    <row r="8839" customFormat="false" ht="15.75" hidden="false" customHeight="false" outlineLevel="0" collapsed="false">
      <c r="A8839" s="6" t="n">
        <v>46172</v>
      </c>
      <c r="B8839" s="4" t="s">
        <v>5435</v>
      </c>
      <c r="C8839" s="4" t="n">
        <v>7</v>
      </c>
      <c r="D8839" s="4" t="n">
        <v>12</v>
      </c>
      <c r="E8839" s="4" t="s">
        <v>5947</v>
      </c>
      <c r="F8839" s="4" t="n">
        <v>17</v>
      </c>
      <c r="G8839" s="4" t="n">
        <v>6</v>
      </c>
      <c r="H8839" s="4" t="n">
        <v>4</v>
      </c>
      <c r="I8839" s="4" t="str">
        <v>×</v>
      </c>
      <c r="J8839" s="4"/>
      <c r="K8839" s="4"/>
      <c r="L8839" s="4"/>
      <c r="M8839" s="5" t="s">
        <v>5346</v>
      </c>
    </row>
    <row r="8840" customFormat="false" ht="15.75" hidden="false" customHeight="false" outlineLevel="0" collapsed="false">
      <c r="A8840" s="6" t="n">
        <v>46172</v>
      </c>
      <c r="B8840" s="4" t="s">
        <v>5435</v>
      </c>
      <c r="C8840" s="4" t="n">
        <v>7</v>
      </c>
      <c r="D8840" s="4" t="n">
        <v>13</v>
      </c>
      <c r="E8840" s="4" t="s">
        <v>5948</v>
      </c>
      <c r="F8840" s="4" t="n">
        <v>31</v>
      </c>
      <c r="G8840" s="4" t="n">
        <v>3</v>
      </c>
      <c r="H8840" s="4" t="n">
        <v>4</v>
      </c>
      <c r="I8840" s="4" t="str">
        <v>×</v>
      </c>
      <c r="J8840" s="4"/>
      <c r="K8840" s="4"/>
      <c r="L8840" s="4"/>
      <c r="M8840" s="5" t="s">
        <v>5346</v>
      </c>
    </row>
    <row r="8841" customFormat="false" ht="15.75" hidden="false" customHeight="false" outlineLevel="0" collapsed="false">
      <c r="A8841" s="6" t="n">
        <v>46172</v>
      </c>
      <c r="B8841" s="4" t="s">
        <v>5435</v>
      </c>
      <c r="C8841" s="4" t="n">
        <v>7</v>
      </c>
      <c r="D8841" s="4" t="n">
        <v>14</v>
      </c>
      <c r="E8841" s="4" t="s">
        <v>5949</v>
      </c>
      <c r="F8841" s="4" t="n">
        <v>34</v>
      </c>
      <c r="G8841" s="4" t="n">
        <v>2</v>
      </c>
      <c r="H8841" s="4" t="n">
        <v>4</v>
      </c>
      <c r="I8841" s="4" t="str">
        <v>×</v>
      </c>
      <c r="J8841" s="4"/>
      <c r="K8841" s="4"/>
      <c r="L8841" s="4"/>
      <c r="M8841" s="5" t="s">
        <v>5346</v>
      </c>
    </row>
    <row r="8842" customFormat="false" ht="15.75" hidden="false" customHeight="false" outlineLevel="0" collapsed="false">
      <c r="A8842" s="6" t="n">
        <v>46172</v>
      </c>
      <c r="B8842" s="4" t="s">
        <v>5435</v>
      </c>
      <c r="C8842" s="4" t="n">
        <v>7</v>
      </c>
      <c r="D8842" s="4" t="n">
        <v>15</v>
      </c>
      <c r="E8842" s="4" t="s">
        <v>767</v>
      </c>
      <c r="F8842" s="4" t="n">
        <v>8</v>
      </c>
      <c r="G8842" s="4" t="n">
        <v>10</v>
      </c>
      <c r="H8842" s="4" t="n">
        <v>4</v>
      </c>
      <c r="I8842" s="4" t="str">
        <v>×</v>
      </c>
      <c r="J8842" s="4"/>
      <c r="K8842" s="4"/>
      <c r="L8842" s="4"/>
      <c r="M8842" s="5" t="s">
        <v>5346</v>
      </c>
    </row>
    <row r="8843" customFormat="false" ht="15.75" hidden="false" customHeight="false" outlineLevel="0" collapsed="false">
      <c r="A8843" s="6" t="n">
        <v>46172</v>
      </c>
      <c r="B8843" s="4" t="s">
        <v>5435</v>
      </c>
      <c r="C8843" s="4" t="n">
        <v>8</v>
      </c>
      <c r="D8843" s="4" t="n">
        <v>1</v>
      </c>
      <c r="E8843" s="4" t="s">
        <v>5950</v>
      </c>
      <c r="F8843" s="4" t="n">
        <v>13</v>
      </c>
      <c r="G8843" s="4" t="n">
        <v>6</v>
      </c>
      <c r="H8843" s="4" t="n">
        <v>2</v>
      </c>
      <c r="I8843" s="4" t="str">
        <v>○</v>
      </c>
      <c r="J8843" s="4" t="n">
        <v>1080</v>
      </c>
      <c r="K8843" s="4"/>
      <c r="L8843" s="4"/>
      <c r="M8843" s="5" t="s">
        <v>5346</v>
      </c>
    </row>
    <row r="8844" customFormat="false" ht="15.75" hidden="false" customHeight="false" outlineLevel="0" collapsed="false">
      <c r="A8844" s="6" t="n">
        <v>46172</v>
      </c>
      <c r="B8844" s="4" t="s">
        <v>5435</v>
      </c>
      <c r="C8844" s="4" t="n">
        <v>8</v>
      </c>
      <c r="D8844" s="4" t="n">
        <v>2</v>
      </c>
      <c r="E8844" s="4" t="s">
        <v>5292</v>
      </c>
      <c r="F8844" s="4" t="n">
        <v>41</v>
      </c>
      <c r="G8844" s="4" t="n">
        <v>3</v>
      </c>
      <c r="H8844" s="4" t="n">
        <v>1</v>
      </c>
      <c r="I8844" s="4" t="str">
        <v>○</v>
      </c>
      <c r="J8844" s="4" t="n">
        <v>370</v>
      </c>
      <c r="K8844" s="4"/>
      <c r="L8844" s="4"/>
      <c r="M8844" s="5" t="s">
        <v>5346</v>
      </c>
    </row>
    <row r="8845" customFormat="false" ht="15.75" hidden="false" customHeight="false" outlineLevel="0" collapsed="false">
      <c r="A8845" s="6" t="n">
        <v>46172</v>
      </c>
      <c r="B8845" s="4" t="s">
        <v>5435</v>
      </c>
      <c r="C8845" s="4" t="n">
        <v>8</v>
      </c>
      <c r="D8845" s="4" t="n">
        <v>3</v>
      </c>
      <c r="E8845" s="4" t="s">
        <v>5951</v>
      </c>
      <c r="F8845" s="4" t="n">
        <v>29</v>
      </c>
      <c r="G8845" s="4" t="n">
        <v>5</v>
      </c>
      <c r="H8845" s="4" t="n">
        <v>4</v>
      </c>
      <c r="I8845" s="4" t="str">
        <v>×</v>
      </c>
      <c r="J8845" s="4"/>
      <c r="K8845" s="4"/>
      <c r="L8845" s="4"/>
      <c r="M8845" s="5" t="s">
        <v>5346</v>
      </c>
    </row>
    <row r="8846" customFormat="false" ht="15.75" hidden="false" customHeight="false" outlineLevel="0" collapsed="false">
      <c r="A8846" s="6" t="n">
        <v>46172</v>
      </c>
      <c r="B8846" s="4" t="s">
        <v>5435</v>
      </c>
      <c r="C8846" s="4" t="n">
        <v>8</v>
      </c>
      <c r="D8846" s="4" t="n">
        <v>4</v>
      </c>
      <c r="E8846" s="4" t="s">
        <v>538</v>
      </c>
      <c r="F8846" s="4" t="n">
        <v>10</v>
      </c>
      <c r="G8846" s="4" t="n">
        <v>7</v>
      </c>
      <c r="H8846" s="4" t="n">
        <v>4</v>
      </c>
      <c r="I8846" s="4" t="str">
        <v>×</v>
      </c>
      <c r="J8846" s="4"/>
      <c r="K8846" s="4"/>
      <c r="L8846" s="4"/>
      <c r="M8846" s="5" t="s">
        <v>5346</v>
      </c>
    </row>
    <row r="8847" customFormat="false" ht="15.75" hidden="false" customHeight="false" outlineLevel="0" collapsed="false">
      <c r="A8847" s="6" t="n">
        <v>46172</v>
      </c>
      <c r="B8847" s="4" t="s">
        <v>5435</v>
      </c>
      <c r="C8847" s="4" t="n">
        <v>8</v>
      </c>
      <c r="D8847" s="4" t="n">
        <v>5</v>
      </c>
      <c r="E8847" s="4" t="s">
        <v>5952</v>
      </c>
      <c r="F8847" s="4" t="n">
        <v>37</v>
      </c>
      <c r="G8847" s="4" t="n">
        <v>4</v>
      </c>
      <c r="H8847" s="4" t="n">
        <v>4</v>
      </c>
      <c r="I8847" s="4" t="str">
        <v>×</v>
      </c>
      <c r="J8847" s="4"/>
      <c r="K8847" s="4"/>
      <c r="L8847" s="4"/>
      <c r="M8847" s="5" t="s">
        <v>5346</v>
      </c>
    </row>
    <row r="8848" customFormat="false" ht="15.75" hidden="false" customHeight="false" outlineLevel="0" collapsed="false">
      <c r="A8848" s="6" t="n">
        <v>46172</v>
      </c>
      <c r="B8848" s="4" t="s">
        <v>5435</v>
      </c>
      <c r="C8848" s="4" t="n">
        <v>8</v>
      </c>
      <c r="D8848" s="4" t="n">
        <v>6</v>
      </c>
      <c r="E8848" s="4" t="s">
        <v>5953</v>
      </c>
      <c r="F8848" s="4" t="n">
        <v>66</v>
      </c>
      <c r="G8848" s="4" t="n">
        <v>1</v>
      </c>
      <c r="H8848" s="4" t="n">
        <v>4</v>
      </c>
      <c r="I8848" s="4" t="str">
        <v>×</v>
      </c>
      <c r="J8848" s="4"/>
      <c r="K8848" s="4"/>
      <c r="L8848" s="4"/>
      <c r="M8848" s="5" t="s">
        <v>5346</v>
      </c>
    </row>
    <row r="8849" customFormat="false" ht="15.75" hidden="false" customHeight="false" outlineLevel="0" collapsed="false">
      <c r="A8849" s="6" t="n">
        <v>46172</v>
      </c>
      <c r="B8849" s="4" t="s">
        <v>5435</v>
      </c>
      <c r="C8849" s="4" t="n">
        <v>8</v>
      </c>
      <c r="D8849" s="4" t="n">
        <v>7</v>
      </c>
      <c r="E8849" s="4" t="s">
        <v>3932</v>
      </c>
      <c r="F8849" s="4" t="n">
        <v>37</v>
      </c>
      <c r="G8849" s="4" t="n">
        <v>4</v>
      </c>
      <c r="H8849" s="4" t="n">
        <v>3</v>
      </c>
      <c r="I8849" s="4" t="str">
        <v>○</v>
      </c>
      <c r="J8849" s="4" t="n">
        <v>320</v>
      </c>
      <c r="K8849" s="4"/>
      <c r="L8849" s="4"/>
      <c r="M8849" s="5" t="s">
        <v>5346</v>
      </c>
    </row>
    <row r="8850" customFormat="false" ht="15.75" hidden="false" customHeight="false" outlineLevel="0" collapsed="false">
      <c r="A8850" s="6" t="n">
        <v>46172</v>
      </c>
      <c r="B8850" s="4" t="s">
        <v>5435</v>
      </c>
      <c r="C8850" s="4" t="n">
        <v>8</v>
      </c>
      <c r="D8850" s="4" t="n">
        <v>8</v>
      </c>
      <c r="E8850" s="4" t="s">
        <v>3929</v>
      </c>
      <c r="F8850" s="4" t="n">
        <v>13</v>
      </c>
      <c r="G8850" s="4" t="n">
        <v>6</v>
      </c>
      <c r="H8850" s="4" t="n">
        <v>4</v>
      </c>
      <c r="I8850" s="4" t="str">
        <v>×</v>
      </c>
      <c r="J8850" s="4"/>
      <c r="K8850" s="4"/>
      <c r="L8850" s="4"/>
      <c r="M8850" s="5" t="s">
        <v>5346</v>
      </c>
    </row>
    <row r="8851" customFormat="false" ht="15.75" hidden="false" customHeight="false" outlineLevel="0" collapsed="false">
      <c r="A8851" s="6" t="n">
        <v>46172</v>
      </c>
      <c r="B8851" s="4" t="s">
        <v>5435</v>
      </c>
      <c r="C8851" s="4" t="n">
        <v>8</v>
      </c>
      <c r="D8851" s="4" t="n">
        <v>9</v>
      </c>
      <c r="E8851" s="4" t="s">
        <v>5288</v>
      </c>
      <c r="F8851" s="4" t="n">
        <v>8</v>
      </c>
      <c r="G8851" s="4" t="n">
        <v>8</v>
      </c>
      <c r="H8851" s="4" t="n">
        <v>4</v>
      </c>
      <c r="I8851" s="4" t="str">
        <v>×</v>
      </c>
      <c r="J8851" s="4"/>
      <c r="K8851" s="4"/>
      <c r="L8851" s="4"/>
      <c r="M8851" s="5" t="s">
        <v>5346</v>
      </c>
    </row>
    <row r="8852" customFormat="false" ht="15.75" hidden="false" customHeight="false" outlineLevel="0" collapsed="false">
      <c r="A8852" s="6" t="n">
        <v>46172</v>
      </c>
      <c r="B8852" s="4" t="s">
        <v>5435</v>
      </c>
      <c r="C8852" s="4" t="n">
        <v>8</v>
      </c>
      <c r="D8852" s="4" t="n">
        <v>10</v>
      </c>
      <c r="E8852" s="4" t="s">
        <v>5954</v>
      </c>
      <c r="F8852" s="4" t="n">
        <v>52</v>
      </c>
      <c r="G8852" s="4" t="n">
        <v>2</v>
      </c>
      <c r="H8852" s="4" t="n">
        <v>4</v>
      </c>
      <c r="I8852" s="4" t="str">
        <v>×</v>
      </c>
      <c r="J8852" s="4"/>
      <c r="K8852" s="4"/>
      <c r="L8852" s="4"/>
      <c r="M8852" s="5" t="s">
        <v>5346</v>
      </c>
    </row>
    <row r="8853" customFormat="false" ht="15.75" hidden="false" customHeight="false" outlineLevel="0" collapsed="false">
      <c r="A8853" s="6" t="n">
        <v>46172</v>
      </c>
      <c r="B8853" s="4" t="s">
        <v>5435</v>
      </c>
      <c r="C8853" s="4" t="n">
        <v>8</v>
      </c>
      <c r="D8853" s="4" t="n">
        <v>11</v>
      </c>
      <c r="E8853" s="4" t="s">
        <v>5955</v>
      </c>
      <c r="F8853" s="4" t="n">
        <v>29</v>
      </c>
      <c r="G8853" s="4" t="n">
        <v>5</v>
      </c>
      <c r="H8853" s="4" t="n">
        <v>4</v>
      </c>
      <c r="I8853" s="4" t="str">
        <v>×</v>
      </c>
      <c r="J8853" s="4"/>
      <c r="K8853" s="4"/>
      <c r="L8853" s="4"/>
      <c r="M8853" s="5" t="s">
        <v>5346</v>
      </c>
    </row>
    <row r="8854" customFormat="false" ht="15.75" hidden="false" customHeight="false" outlineLevel="0" collapsed="false">
      <c r="A8854" s="6" t="n">
        <v>46172</v>
      </c>
      <c r="B8854" s="4" t="s">
        <v>5435</v>
      </c>
      <c r="C8854" s="4" t="n">
        <v>8</v>
      </c>
      <c r="D8854" s="4" t="n">
        <v>12</v>
      </c>
      <c r="E8854" s="4" t="s">
        <v>5956</v>
      </c>
      <c r="F8854" s="4" t="n">
        <v>10</v>
      </c>
      <c r="G8854" s="4" t="n">
        <v>7</v>
      </c>
      <c r="H8854" s="4" t="n">
        <v>4</v>
      </c>
      <c r="I8854" s="4" t="str">
        <v>×</v>
      </c>
      <c r="J8854" s="4"/>
      <c r="K8854" s="4"/>
      <c r="L8854" s="4"/>
      <c r="M8854" s="5" t="s">
        <v>5346</v>
      </c>
    </row>
    <row r="8855" customFormat="false" ht="15.75" hidden="false" customHeight="false" outlineLevel="0" collapsed="false">
      <c r="A8855" s="6" t="n">
        <v>46172</v>
      </c>
      <c r="B8855" s="4" t="s">
        <v>5435</v>
      </c>
      <c r="C8855" s="4" t="n">
        <v>9</v>
      </c>
      <c r="D8855" s="4" t="n">
        <v>1</v>
      </c>
      <c r="E8855" s="4" t="s">
        <v>3958</v>
      </c>
      <c r="F8855" s="4" t="n">
        <v>17</v>
      </c>
      <c r="G8855" s="4" t="n">
        <v>6</v>
      </c>
      <c r="H8855" s="4" t="n">
        <v>4</v>
      </c>
      <c r="I8855" s="4" t="str">
        <v>×</v>
      </c>
      <c r="J8855" s="4"/>
      <c r="K8855" s="4"/>
      <c r="L8855" s="4"/>
      <c r="M8855" s="5" t="s">
        <v>5346</v>
      </c>
    </row>
    <row r="8856" customFormat="false" ht="15.75" hidden="false" customHeight="false" outlineLevel="0" collapsed="false">
      <c r="A8856" s="6" t="n">
        <v>46172</v>
      </c>
      <c r="B8856" s="4" t="s">
        <v>5435</v>
      </c>
      <c r="C8856" s="4" t="n">
        <v>9</v>
      </c>
      <c r="D8856" s="4" t="n">
        <v>2</v>
      </c>
      <c r="E8856" s="4" t="s">
        <v>5957</v>
      </c>
      <c r="F8856" s="4" t="n">
        <v>34</v>
      </c>
      <c r="G8856" s="4" t="n">
        <v>5</v>
      </c>
      <c r="H8856" s="4" t="n">
        <v>3</v>
      </c>
      <c r="I8856" s="4" t="str">
        <v>○</v>
      </c>
      <c r="J8856" s="4" t="n">
        <v>160</v>
      </c>
      <c r="K8856" s="4"/>
      <c r="L8856" s="4"/>
      <c r="M8856" s="5" t="s">
        <v>5346</v>
      </c>
    </row>
    <row r="8857" customFormat="false" ht="15.75" hidden="false" customHeight="false" outlineLevel="0" collapsed="false">
      <c r="A8857" s="6" t="n">
        <v>46172</v>
      </c>
      <c r="B8857" s="4" t="s">
        <v>5435</v>
      </c>
      <c r="C8857" s="4" t="n">
        <v>9</v>
      </c>
      <c r="D8857" s="4" t="n">
        <v>3</v>
      </c>
      <c r="E8857" s="4" t="s">
        <v>1233</v>
      </c>
      <c r="F8857" s="4" t="n">
        <v>8</v>
      </c>
      <c r="G8857" s="4" t="n">
        <v>8</v>
      </c>
      <c r="H8857" s="4" t="n">
        <v>4</v>
      </c>
      <c r="I8857" s="4" t="str">
        <v>×</v>
      </c>
      <c r="J8857" s="4"/>
      <c r="K8857" s="4"/>
      <c r="L8857" s="4"/>
      <c r="M8857" s="5" t="s">
        <v>5346</v>
      </c>
    </row>
    <row r="8858" customFormat="false" ht="15.75" hidden="false" customHeight="false" outlineLevel="0" collapsed="false">
      <c r="A8858" s="6" t="n">
        <v>46172</v>
      </c>
      <c r="B8858" s="4" t="s">
        <v>5435</v>
      </c>
      <c r="C8858" s="4" t="n">
        <v>9</v>
      </c>
      <c r="D8858" s="4" t="n">
        <v>4</v>
      </c>
      <c r="E8858" s="4" t="s">
        <v>3652</v>
      </c>
      <c r="F8858" s="4" t="n">
        <v>66</v>
      </c>
      <c r="G8858" s="4" t="n">
        <v>2</v>
      </c>
      <c r="H8858" s="4" t="n">
        <v>2</v>
      </c>
      <c r="I8858" s="4" t="str">
        <v>○</v>
      </c>
      <c r="J8858" s="4" t="n">
        <v>140</v>
      </c>
      <c r="K8858" s="4"/>
      <c r="L8858" s="4"/>
      <c r="M8858" s="5" t="s">
        <v>5346</v>
      </c>
    </row>
    <row r="8859" customFormat="false" ht="15.75" hidden="false" customHeight="false" outlineLevel="0" collapsed="false">
      <c r="A8859" s="6" t="n">
        <v>46172</v>
      </c>
      <c r="B8859" s="4" t="s">
        <v>5435</v>
      </c>
      <c r="C8859" s="4" t="n">
        <v>9</v>
      </c>
      <c r="D8859" s="4" t="n">
        <v>5</v>
      </c>
      <c r="E8859" s="4" t="s">
        <v>4226</v>
      </c>
      <c r="F8859" s="4" t="n">
        <v>39</v>
      </c>
      <c r="G8859" s="4" t="n">
        <v>3</v>
      </c>
      <c r="H8859" s="4" t="n">
        <v>4</v>
      </c>
      <c r="I8859" s="4" t="str">
        <v>×</v>
      </c>
      <c r="J8859" s="4"/>
      <c r="K8859" s="4"/>
      <c r="L8859" s="4"/>
      <c r="M8859" s="5" t="s">
        <v>5346</v>
      </c>
    </row>
    <row r="8860" customFormat="false" ht="15.75" hidden="false" customHeight="false" outlineLevel="0" collapsed="false">
      <c r="A8860" s="6" t="n">
        <v>46172</v>
      </c>
      <c r="B8860" s="4" t="s">
        <v>5435</v>
      </c>
      <c r="C8860" s="4" t="n">
        <v>9</v>
      </c>
      <c r="D8860" s="4" t="n">
        <v>6</v>
      </c>
      <c r="E8860" s="4" t="s">
        <v>3234</v>
      </c>
      <c r="F8860" s="4" t="n">
        <v>10</v>
      </c>
      <c r="G8860" s="4" t="n">
        <v>7</v>
      </c>
      <c r="H8860" s="4" t="n">
        <v>4</v>
      </c>
      <c r="I8860" s="4" t="str">
        <v>×</v>
      </c>
      <c r="J8860" s="4"/>
      <c r="K8860" s="4"/>
      <c r="L8860" s="4"/>
      <c r="M8860" s="5" t="s">
        <v>5346</v>
      </c>
    </row>
    <row r="8861" customFormat="false" ht="15.75" hidden="false" customHeight="false" outlineLevel="0" collapsed="false">
      <c r="A8861" s="6" t="n">
        <v>46172</v>
      </c>
      <c r="B8861" s="4" t="s">
        <v>5435</v>
      </c>
      <c r="C8861" s="4" t="n">
        <v>9</v>
      </c>
      <c r="D8861" s="4" t="n">
        <v>7</v>
      </c>
      <c r="E8861" s="4" t="s">
        <v>5958</v>
      </c>
      <c r="F8861" s="4" t="n">
        <v>37</v>
      </c>
      <c r="G8861" s="4" t="n">
        <v>4</v>
      </c>
      <c r="H8861" s="4" t="n">
        <v>4</v>
      </c>
      <c r="I8861" s="4" t="str">
        <v>×</v>
      </c>
      <c r="J8861" s="4"/>
      <c r="K8861" s="4"/>
      <c r="L8861" s="4"/>
      <c r="M8861" s="5" t="s">
        <v>5346</v>
      </c>
    </row>
    <row r="8862" customFormat="false" ht="15.75" hidden="false" customHeight="false" outlineLevel="0" collapsed="false">
      <c r="A8862" s="6" t="n">
        <v>46172</v>
      </c>
      <c r="B8862" s="4" t="s">
        <v>5435</v>
      </c>
      <c r="C8862" s="4" t="n">
        <v>9</v>
      </c>
      <c r="D8862" s="4" t="n">
        <v>8</v>
      </c>
      <c r="E8862" s="4" t="s">
        <v>5959</v>
      </c>
      <c r="F8862" s="4" t="n">
        <v>74</v>
      </c>
      <c r="G8862" s="4" t="n">
        <v>1</v>
      </c>
      <c r="H8862" s="4" t="n">
        <v>1</v>
      </c>
      <c r="I8862" s="4" t="str">
        <v>○</v>
      </c>
      <c r="J8862" s="4" t="n">
        <v>110</v>
      </c>
      <c r="K8862" s="4"/>
      <c r="L8862" s="4"/>
      <c r="M8862" s="5" t="s">
        <v>5346</v>
      </c>
    </row>
    <row r="8863" customFormat="false" ht="15.75" hidden="false" customHeight="false" outlineLevel="0" collapsed="false">
      <c r="A8863" s="6" t="n">
        <v>46172</v>
      </c>
      <c r="B8863" s="4" t="s">
        <v>5435</v>
      </c>
      <c r="C8863" s="4" t="n">
        <v>9</v>
      </c>
      <c r="D8863" s="4" t="n">
        <v>9</v>
      </c>
      <c r="E8863" s="4" t="s">
        <v>309</v>
      </c>
      <c r="F8863" s="4" t="n">
        <v>6</v>
      </c>
      <c r="G8863" s="4" t="n">
        <v>9</v>
      </c>
      <c r="H8863" s="4" t="n">
        <v>4</v>
      </c>
      <c r="I8863" s="4" t="str">
        <v>×</v>
      </c>
      <c r="J8863" s="4"/>
      <c r="K8863" s="4"/>
      <c r="L8863" s="4"/>
      <c r="M8863" s="5" t="s">
        <v>5346</v>
      </c>
    </row>
    <row r="8864" customFormat="false" ht="15.75" hidden="false" customHeight="false" outlineLevel="0" collapsed="false">
      <c r="A8864" s="6" t="n">
        <v>46172</v>
      </c>
      <c r="B8864" s="4" t="s">
        <v>5435</v>
      </c>
      <c r="C8864" s="4" t="n">
        <v>10</v>
      </c>
      <c r="D8864" s="4" t="n">
        <v>1</v>
      </c>
      <c r="E8864" s="4" t="s">
        <v>3390</v>
      </c>
      <c r="F8864" s="4" t="n">
        <v>20</v>
      </c>
      <c r="G8864" s="4" t="n">
        <v>6</v>
      </c>
      <c r="H8864" s="4" t="n">
        <v>4</v>
      </c>
      <c r="I8864" s="4" t="str">
        <v>×</v>
      </c>
      <c r="J8864" s="4"/>
      <c r="K8864" s="4"/>
      <c r="L8864" s="4"/>
      <c r="M8864" s="5" t="s">
        <v>5346</v>
      </c>
    </row>
    <row r="8865" customFormat="false" ht="15.75" hidden="false" customHeight="false" outlineLevel="0" collapsed="false">
      <c r="A8865" s="6" t="n">
        <v>46172</v>
      </c>
      <c r="B8865" s="4" t="s">
        <v>5435</v>
      </c>
      <c r="C8865" s="4" t="n">
        <v>10</v>
      </c>
      <c r="D8865" s="4" t="n">
        <v>2</v>
      </c>
      <c r="E8865" s="4" t="s">
        <v>5960</v>
      </c>
      <c r="F8865" s="4" t="n">
        <v>47</v>
      </c>
      <c r="G8865" s="4" t="n">
        <v>2</v>
      </c>
      <c r="H8865" s="4" t="n">
        <v>1</v>
      </c>
      <c r="I8865" s="4" t="str">
        <v>○</v>
      </c>
      <c r="J8865" s="4" t="n">
        <v>250</v>
      </c>
      <c r="K8865" s="4"/>
      <c r="L8865" s="4"/>
      <c r="M8865" s="5" t="s">
        <v>5346</v>
      </c>
    </row>
    <row r="8866" customFormat="false" ht="15.75" hidden="false" customHeight="false" outlineLevel="0" collapsed="false">
      <c r="A8866" s="6" t="n">
        <v>46172</v>
      </c>
      <c r="B8866" s="4" t="s">
        <v>5435</v>
      </c>
      <c r="C8866" s="4" t="n">
        <v>10</v>
      </c>
      <c r="D8866" s="4" t="n">
        <v>3</v>
      </c>
      <c r="E8866" s="4" t="s">
        <v>5961</v>
      </c>
      <c r="F8866" s="4" t="n">
        <v>39</v>
      </c>
      <c r="G8866" s="4" t="n">
        <v>3</v>
      </c>
      <c r="H8866" s="4" t="n">
        <v>4</v>
      </c>
      <c r="I8866" s="4" t="str">
        <v>×</v>
      </c>
      <c r="J8866" s="4"/>
      <c r="K8866" s="4"/>
      <c r="L8866" s="4"/>
      <c r="M8866" s="5" t="s">
        <v>5346</v>
      </c>
    </row>
    <row r="8867" customFormat="false" ht="15.75" hidden="false" customHeight="false" outlineLevel="0" collapsed="false">
      <c r="A8867" s="6" t="n">
        <v>46172</v>
      </c>
      <c r="B8867" s="4" t="s">
        <v>5435</v>
      </c>
      <c r="C8867" s="4" t="n">
        <v>10</v>
      </c>
      <c r="D8867" s="4" t="n">
        <v>4</v>
      </c>
      <c r="E8867" s="4" t="s">
        <v>1690</v>
      </c>
      <c r="F8867" s="4" t="n">
        <v>10</v>
      </c>
      <c r="G8867" s="4" t="n">
        <v>9</v>
      </c>
      <c r="H8867" s="4" t="n">
        <v>2</v>
      </c>
      <c r="I8867" s="4" t="str">
        <v>○</v>
      </c>
      <c r="J8867" s="4" t="n">
        <v>3150</v>
      </c>
      <c r="K8867" s="4"/>
      <c r="L8867" s="4"/>
      <c r="M8867" s="5" t="s">
        <v>5346</v>
      </c>
    </row>
    <row r="8868" customFormat="false" ht="15.75" hidden="false" customHeight="false" outlineLevel="0" collapsed="false">
      <c r="A8868" s="6" t="n">
        <v>46172</v>
      </c>
      <c r="B8868" s="4" t="s">
        <v>5435</v>
      </c>
      <c r="C8868" s="4" t="n">
        <v>10</v>
      </c>
      <c r="D8868" s="4" t="n">
        <v>5</v>
      </c>
      <c r="E8868" s="4" t="s">
        <v>5962</v>
      </c>
      <c r="F8868" s="4" t="n">
        <v>20</v>
      </c>
      <c r="G8868" s="4" t="n">
        <v>6</v>
      </c>
      <c r="H8868" s="4" t="n">
        <v>4</v>
      </c>
      <c r="I8868" s="4" t="str">
        <v>×</v>
      </c>
      <c r="J8868" s="4"/>
      <c r="K8868" s="4"/>
      <c r="L8868" s="4"/>
      <c r="M8868" s="5" t="s">
        <v>5346</v>
      </c>
    </row>
    <row r="8869" customFormat="false" ht="15.75" hidden="false" customHeight="false" outlineLevel="0" collapsed="false">
      <c r="A8869" s="6" t="n">
        <v>46172</v>
      </c>
      <c r="B8869" s="4" t="s">
        <v>5435</v>
      </c>
      <c r="C8869" s="4" t="n">
        <v>10</v>
      </c>
      <c r="D8869" s="4" t="n">
        <v>6</v>
      </c>
      <c r="E8869" s="4" t="s">
        <v>1685</v>
      </c>
      <c r="F8869" s="4" t="n">
        <v>2</v>
      </c>
      <c r="G8869" s="4" t="n">
        <v>11</v>
      </c>
      <c r="H8869" s="4" t="n">
        <v>4</v>
      </c>
      <c r="I8869" s="4" t="str">
        <v>×</v>
      </c>
      <c r="J8869" s="4"/>
      <c r="K8869" s="4"/>
      <c r="L8869" s="4"/>
      <c r="M8869" s="5" t="s">
        <v>5346</v>
      </c>
    </row>
    <row r="8870" customFormat="false" ht="15.75" hidden="false" customHeight="false" outlineLevel="0" collapsed="false">
      <c r="A8870" s="6" t="n">
        <v>46172</v>
      </c>
      <c r="B8870" s="4" t="s">
        <v>5435</v>
      </c>
      <c r="C8870" s="4" t="n">
        <v>10</v>
      </c>
      <c r="D8870" s="4" t="n">
        <v>7</v>
      </c>
      <c r="E8870" s="4" t="s">
        <v>5963</v>
      </c>
      <c r="F8870" s="4" t="n">
        <v>39</v>
      </c>
      <c r="G8870" s="4" t="n">
        <v>3</v>
      </c>
      <c r="H8870" s="4" t="n">
        <v>3</v>
      </c>
      <c r="I8870" s="4" t="str">
        <v>○</v>
      </c>
      <c r="J8870" s="4" t="n">
        <v>220</v>
      </c>
      <c r="K8870" s="4"/>
      <c r="L8870" s="4"/>
      <c r="M8870" s="5" t="s">
        <v>5346</v>
      </c>
    </row>
    <row r="8871" customFormat="false" ht="15.75" hidden="false" customHeight="false" outlineLevel="0" collapsed="false">
      <c r="A8871" s="6" t="n">
        <v>46172</v>
      </c>
      <c r="B8871" s="4" t="s">
        <v>5435</v>
      </c>
      <c r="C8871" s="4" t="n">
        <v>10</v>
      </c>
      <c r="D8871" s="4" t="n">
        <v>8</v>
      </c>
      <c r="E8871" s="4" t="s">
        <v>5964</v>
      </c>
      <c r="F8871" s="4" t="n">
        <v>39</v>
      </c>
      <c r="G8871" s="4" t="n">
        <v>3</v>
      </c>
      <c r="H8871" s="4" t="n">
        <v>4</v>
      </c>
      <c r="I8871" s="4" t="str">
        <v>×</v>
      </c>
      <c r="J8871" s="4"/>
      <c r="K8871" s="4"/>
      <c r="L8871" s="4"/>
      <c r="M8871" s="5" t="s">
        <v>5346</v>
      </c>
    </row>
    <row r="8872" customFormat="false" ht="15.75" hidden="false" customHeight="false" outlineLevel="0" collapsed="false">
      <c r="A8872" s="6" t="n">
        <v>46172</v>
      </c>
      <c r="B8872" s="4" t="s">
        <v>5435</v>
      </c>
      <c r="C8872" s="4" t="n">
        <v>10</v>
      </c>
      <c r="D8872" s="4" t="n">
        <v>9</v>
      </c>
      <c r="E8872" s="4" t="s">
        <v>1680</v>
      </c>
      <c r="F8872" s="4" t="n">
        <v>15</v>
      </c>
      <c r="G8872" s="4" t="n">
        <v>7</v>
      </c>
      <c r="H8872" s="4" t="n">
        <v>4</v>
      </c>
      <c r="I8872" s="4" t="str">
        <v>×</v>
      </c>
      <c r="J8872" s="4"/>
      <c r="K8872" s="4"/>
      <c r="L8872" s="4"/>
      <c r="M8872" s="5" t="s">
        <v>5346</v>
      </c>
    </row>
    <row r="8873" customFormat="false" ht="15.75" hidden="false" customHeight="false" outlineLevel="0" collapsed="false">
      <c r="A8873" s="6" t="n">
        <v>46172</v>
      </c>
      <c r="B8873" s="4" t="s">
        <v>5435</v>
      </c>
      <c r="C8873" s="4" t="n">
        <v>10</v>
      </c>
      <c r="D8873" s="4" t="n">
        <v>10</v>
      </c>
      <c r="E8873" s="4" t="s">
        <v>5965</v>
      </c>
      <c r="F8873" s="4" t="n">
        <v>23</v>
      </c>
      <c r="G8873" s="4" t="n">
        <v>5</v>
      </c>
      <c r="H8873" s="4" t="n">
        <v>4</v>
      </c>
      <c r="I8873" s="4" t="str">
        <v>×</v>
      </c>
      <c r="J8873" s="4"/>
      <c r="K8873" s="4"/>
      <c r="L8873" s="4"/>
      <c r="M8873" s="5" t="s">
        <v>5346</v>
      </c>
    </row>
    <row r="8874" customFormat="false" ht="15.75" hidden="false" customHeight="false" outlineLevel="0" collapsed="false">
      <c r="A8874" s="6" t="n">
        <v>46172</v>
      </c>
      <c r="B8874" s="4" t="s">
        <v>5435</v>
      </c>
      <c r="C8874" s="4" t="n">
        <v>10</v>
      </c>
      <c r="D8874" s="4" t="n">
        <v>11</v>
      </c>
      <c r="E8874" s="4" t="s">
        <v>5966</v>
      </c>
      <c r="F8874" s="4" t="n">
        <v>13</v>
      </c>
      <c r="G8874" s="4" t="n">
        <v>8</v>
      </c>
      <c r="H8874" s="4" t="n">
        <v>4</v>
      </c>
      <c r="I8874" s="4" t="str">
        <v>×</v>
      </c>
      <c r="J8874" s="4"/>
      <c r="K8874" s="4"/>
      <c r="L8874" s="4"/>
      <c r="M8874" s="5" t="s">
        <v>5346</v>
      </c>
    </row>
    <row r="8875" customFormat="false" ht="15.75" hidden="false" customHeight="false" outlineLevel="0" collapsed="false">
      <c r="A8875" s="6" t="n">
        <v>46172</v>
      </c>
      <c r="B8875" s="4" t="s">
        <v>5435</v>
      </c>
      <c r="C8875" s="4" t="n">
        <v>10</v>
      </c>
      <c r="D8875" s="4" t="n">
        <v>12</v>
      </c>
      <c r="E8875" s="4" t="s">
        <v>3761</v>
      </c>
      <c r="F8875" s="4" t="n">
        <v>50</v>
      </c>
      <c r="G8875" s="4" t="n">
        <v>1</v>
      </c>
      <c r="H8875" s="4" t="n">
        <v>4</v>
      </c>
      <c r="I8875" s="4" t="str">
        <v>×</v>
      </c>
      <c r="J8875" s="4"/>
      <c r="K8875" s="4"/>
      <c r="L8875" s="4"/>
      <c r="M8875" s="5" t="s">
        <v>5346</v>
      </c>
    </row>
    <row r="8876" customFormat="false" ht="15.75" hidden="false" customHeight="false" outlineLevel="0" collapsed="false">
      <c r="A8876" s="6" t="n">
        <v>46172</v>
      </c>
      <c r="B8876" s="4" t="s">
        <v>5435</v>
      </c>
      <c r="C8876" s="4" t="n">
        <v>10</v>
      </c>
      <c r="D8876" s="4" t="n">
        <v>13</v>
      </c>
      <c r="E8876" s="4" t="s">
        <v>2398</v>
      </c>
      <c r="F8876" s="4" t="n">
        <v>10</v>
      </c>
      <c r="G8876" s="4" t="n">
        <v>9</v>
      </c>
      <c r="H8876" s="4" t="n">
        <v>4</v>
      </c>
      <c r="I8876" s="4" t="str">
        <v>×</v>
      </c>
      <c r="J8876" s="4"/>
      <c r="K8876" s="4"/>
      <c r="L8876" s="4"/>
      <c r="M8876" s="5" t="s">
        <v>5346</v>
      </c>
    </row>
    <row r="8877" customFormat="false" ht="15.75" hidden="false" customHeight="false" outlineLevel="0" collapsed="false">
      <c r="A8877" s="6" t="n">
        <v>46172</v>
      </c>
      <c r="B8877" s="4" t="s">
        <v>5435</v>
      </c>
      <c r="C8877" s="4" t="n">
        <v>10</v>
      </c>
      <c r="D8877" s="4" t="n">
        <v>14</v>
      </c>
      <c r="E8877" s="4" t="s">
        <v>5967</v>
      </c>
      <c r="F8877" s="4" t="n">
        <v>3</v>
      </c>
      <c r="G8877" s="4" t="n">
        <v>10</v>
      </c>
      <c r="H8877" s="4" t="n">
        <v>4</v>
      </c>
      <c r="I8877" s="4" t="str">
        <v>×</v>
      </c>
      <c r="J8877" s="4"/>
      <c r="K8877" s="4"/>
      <c r="L8877" s="4"/>
      <c r="M8877" s="5" t="s">
        <v>5346</v>
      </c>
    </row>
    <row r="8878" customFormat="false" ht="15.75" hidden="false" customHeight="false" outlineLevel="0" collapsed="false">
      <c r="A8878" s="6" t="n">
        <v>46172</v>
      </c>
      <c r="B8878" s="4" t="s">
        <v>5435</v>
      </c>
      <c r="C8878" s="4" t="n">
        <v>10</v>
      </c>
      <c r="D8878" s="4" t="n">
        <v>15</v>
      </c>
      <c r="E8878" s="4" t="s">
        <v>5968</v>
      </c>
      <c r="F8878" s="4" t="n">
        <v>10</v>
      </c>
      <c r="G8878" s="4" t="n">
        <v>9</v>
      </c>
      <c r="H8878" s="4" t="n">
        <v>4</v>
      </c>
      <c r="I8878" s="4" t="str">
        <v>×</v>
      </c>
      <c r="J8878" s="4"/>
      <c r="K8878" s="4"/>
      <c r="L8878" s="4"/>
      <c r="M8878" s="5" t="s">
        <v>5346</v>
      </c>
    </row>
    <row r="8879" customFormat="false" ht="15.75" hidden="false" customHeight="false" outlineLevel="0" collapsed="false">
      <c r="A8879" s="6" t="n">
        <v>46172</v>
      </c>
      <c r="B8879" s="4" t="s">
        <v>5435</v>
      </c>
      <c r="C8879" s="4" t="n">
        <v>10</v>
      </c>
      <c r="D8879" s="4" t="n">
        <v>16</v>
      </c>
      <c r="E8879" s="4" t="s">
        <v>5969</v>
      </c>
      <c r="F8879" s="4" t="n">
        <v>37</v>
      </c>
      <c r="G8879" s="4" t="n">
        <v>4</v>
      </c>
      <c r="H8879" s="4" t="n">
        <v>4</v>
      </c>
      <c r="I8879" s="4" t="str">
        <v>×</v>
      </c>
      <c r="J8879" s="4"/>
      <c r="K8879" s="4"/>
      <c r="L8879" s="4"/>
      <c r="M8879" s="5" t="s">
        <v>5346</v>
      </c>
    </row>
    <row r="8880" customFormat="false" ht="15.75" hidden="false" customHeight="false" outlineLevel="0" collapsed="false">
      <c r="A8880" s="6" t="n">
        <v>46172</v>
      </c>
      <c r="B8880" s="4" t="s">
        <v>5435</v>
      </c>
      <c r="C8880" s="4" t="n">
        <v>11</v>
      </c>
      <c r="D8880" s="4" t="n">
        <v>1</v>
      </c>
      <c r="E8880" s="4" t="s">
        <v>5970</v>
      </c>
      <c r="F8880" s="4" t="n">
        <v>8</v>
      </c>
      <c r="G8880" s="4" t="n">
        <v>12</v>
      </c>
      <c r="H8880" s="4" t="n">
        <v>4</v>
      </c>
      <c r="I8880" s="4" t="str">
        <v>×</v>
      </c>
      <c r="J8880" s="4"/>
      <c r="K8880" s="4"/>
      <c r="L8880" s="4"/>
      <c r="M8880" s="5" t="s">
        <v>5346</v>
      </c>
    </row>
    <row r="8881" customFormat="false" ht="15.75" hidden="false" customHeight="false" outlineLevel="0" collapsed="false">
      <c r="A8881" s="6" t="n">
        <v>46172</v>
      </c>
      <c r="B8881" s="4" t="s">
        <v>5435</v>
      </c>
      <c r="C8881" s="4" t="n">
        <v>11</v>
      </c>
      <c r="D8881" s="4" t="n">
        <v>2</v>
      </c>
      <c r="E8881" s="4" t="s">
        <v>3224</v>
      </c>
      <c r="F8881" s="4" t="n">
        <v>44</v>
      </c>
      <c r="G8881" s="4" t="n">
        <v>2</v>
      </c>
      <c r="H8881" s="4" t="n">
        <v>1</v>
      </c>
      <c r="I8881" s="4" t="str">
        <v>○</v>
      </c>
      <c r="J8881" s="4" t="n">
        <v>290</v>
      </c>
      <c r="K8881" s="4"/>
      <c r="L8881" s="4"/>
      <c r="M8881" s="5" t="s">
        <v>5346</v>
      </c>
    </row>
    <row r="8882" customFormat="false" ht="15.75" hidden="false" customHeight="false" outlineLevel="0" collapsed="false">
      <c r="A8882" s="6" t="n">
        <v>46172</v>
      </c>
      <c r="B8882" s="4" t="s">
        <v>5435</v>
      </c>
      <c r="C8882" s="4" t="n">
        <v>11</v>
      </c>
      <c r="D8882" s="4" t="n">
        <v>3</v>
      </c>
      <c r="E8882" s="4" t="s">
        <v>1497</v>
      </c>
      <c r="F8882" s="4" t="n">
        <v>17</v>
      </c>
      <c r="G8882" s="4" t="n">
        <v>8</v>
      </c>
      <c r="H8882" s="4" t="n">
        <v>4</v>
      </c>
      <c r="I8882" s="4" t="str">
        <v>×</v>
      </c>
      <c r="J8882" s="4"/>
      <c r="K8882" s="4"/>
      <c r="L8882" s="4"/>
      <c r="M8882" s="5" t="s">
        <v>5346</v>
      </c>
    </row>
    <row r="8883" customFormat="false" ht="15.75" hidden="false" customHeight="false" outlineLevel="0" collapsed="false">
      <c r="A8883" s="6" t="n">
        <v>46172</v>
      </c>
      <c r="B8883" s="4" t="s">
        <v>5435</v>
      </c>
      <c r="C8883" s="4" t="n">
        <v>11</v>
      </c>
      <c r="D8883" s="4" t="n">
        <v>4</v>
      </c>
      <c r="E8883" s="4" t="s">
        <v>5971</v>
      </c>
      <c r="F8883" s="4" t="n">
        <v>41</v>
      </c>
      <c r="G8883" s="4" t="n">
        <v>3</v>
      </c>
      <c r="H8883" s="4" t="n">
        <v>4</v>
      </c>
      <c r="I8883" s="4" t="str">
        <v>×</v>
      </c>
      <c r="J8883" s="4"/>
      <c r="K8883" s="4"/>
      <c r="L8883" s="4"/>
      <c r="M8883" s="5" t="s">
        <v>5346</v>
      </c>
    </row>
    <row r="8884" customFormat="false" ht="15.75" hidden="false" customHeight="false" outlineLevel="0" collapsed="false">
      <c r="A8884" s="6" t="n">
        <v>46172</v>
      </c>
      <c r="B8884" s="4" t="s">
        <v>5435</v>
      </c>
      <c r="C8884" s="4" t="n">
        <v>11</v>
      </c>
      <c r="D8884" s="4" t="n">
        <v>5</v>
      </c>
      <c r="E8884" s="4" t="s">
        <v>5972</v>
      </c>
      <c r="F8884" s="4" t="n">
        <v>50</v>
      </c>
      <c r="G8884" s="4" t="n">
        <v>1</v>
      </c>
      <c r="H8884" s="4" t="n">
        <v>4</v>
      </c>
      <c r="I8884" s="4" t="str">
        <v>×</v>
      </c>
      <c r="J8884" s="4"/>
      <c r="K8884" s="4"/>
      <c r="L8884" s="4"/>
      <c r="M8884" s="5" t="s">
        <v>5346</v>
      </c>
    </row>
    <row r="8885" customFormat="false" ht="15.75" hidden="false" customHeight="false" outlineLevel="0" collapsed="false">
      <c r="A8885" s="6" t="n">
        <v>46172</v>
      </c>
      <c r="B8885" s="4" t="s">
        <v>5435</v>
      </c>
      <c r="C8885" s="4" t="n">
        <v>11</v>
      </c>
      <c r="D8885" s="4" t="n">
        <v>6</v>
      </c>
      <c r="E8885" s="4" t="s">
        <v>4339</v>
      </c>
      <c r="F8885" s="4" t="n">
        <v>20</v>
      </c>
      <c r="G8885" s="4" t="n">
        <v>7</v>
      </c>
      <c r="H8885" s="4" t="n">
        <v>4</v>
      </c>
      <c r="I8885" s="4" t="str">
        <v>×</v>
      </c>
      <c r="J8885" s="4"/>
      <c r="K8885" s="4"/>
      <c r="L8885" s="4"/>
      <c r="M8885" s="5" t="s">
        <v>5346</v>
      </c>
    </row>
    <row r="8886" customFormat="false" ht="15.75" hidden="false" customHeight="false" outlineLevel="0" collapsed="false">
      <c r="A8886" s="6" t="n">
        <v>46172</v>
      </c>
      <c r="B8886" s="4" t="s">
        <v>5435</v>
      </c>
      <c r="C8886" s="4" t="n">
        <v>11</v>
      </c>
      <c r="D8886" s="4" t="n">
        <v>7</v>
      </c>
      <c r="E8886" s="4" t="s">
        <v>5973</v>
      </c>
      <c r="F8886" s="4" t="n">
        <v>17</v>
      </c>
      <c r="G8886" s="4" t="n">
        <v>8</v>
      </c>
      <c r="H8886" s="4" t="n">
        <v>4</v>
      </c>
      <c r="I8886" s="4" t="str">
        <v>×</v>
      </c>
      <c r="J8886" s="4"/>
      <c r="K8886" s="4"/>
      <c r="L8886" s="4"/>
      <c r="M8886" s="5" t="s">
        <v>5346</v>
      </c>
    </row>
    <row r="8887" customFormat="false" ht="15.75" hidden="false" customHeight="false" outlineLevel="0" collapsed="false">
      <c r="A8887" s="6" t="n">
        <v>46172</v>
      </c>
      <c r="B8887" s="4" t="s">
        <v>5435</v>
      </c>
      <c r="C8887" s="4" t="n">
        <v>11</v>
      </c>
      <c r="D8887" s="4" t="n">
        <v>8</v>
      </c>
      <c r="E8887" s="4" t="s">
        <v>3563</v>
      </c>
      <c r="F8887" s="4" t="n">
        <v>13</v>
      </c>
      <c r="G8887" s="4" t="n">
        <v>10</v>
      </c>
      <c r="H8887" s="4" t="n">
        <v>4</v>
      </c>
      <c r="I8887" s="4" t="str">
        <v>×</v>
      </c>
      <c r="J8887" s="4"/>
      <c r="K8887" s="4"/>
      <c r="L8887" s="4"/>
      <c r="M8887" s="5" t="s">
        <v>5346</v>
      </c>
    </row>
    <row r="8888" customFormat="false" ht="15.75" hidden="false" customHeight="false" outlineLevel="0" collapsed="false">
      <c r="A8888" s="6" t="n">
        <v>46172</v>
      </c>
      <c r="B8888" s="4" t="s">
        <v>5435</v>
      </c>
      <c r="C8888" s="4" t="n">
        <v>11</v>
      </c>
      <c r="D8888" s="4" t="n">
        <v>9</v>
      </c>
      <c r="E8888" s="4" t="s">
        <v>2982</v>
      </c>
      <c r="F8888" s="4" t="n">
        <v>15</v>
      </c>
      <c r="G8888" s="4" t="n">
        <v>9</v>
      </c>
      <c r="H8888" s="4" t="n">
        <v>4</v>
      </c>
      <c r="I8888" s="4" t="str">
        <v>×</v>
      </c>
      <c r="J8888" s="4"/>
      <c r="K8888" s="4"/>
      <c r="L8888" s="4"/>
      <c r="M8888" s="5" t="s">
        <v>5346</v>
      </c>
    </row>
    <row r="8889" customFormat="false" ht="15.75" hidden="false" customHeight="false" outlineLevel="0" collapsed="false">
      <c r="A8889" s="6" t="n">
        <v>46172</v>
      </c>
      <c r="B8889" s="4" t="s">
        <v>5435</v>
      </c>
      <c r="C8889" s="4" t="n">
        <v>11</v>
      </c>
      <c r="D8889" s="4" t="n">
        <v>10</v>
      </c>
      <c r="E8889" s="4" t="s">
        <v>5974</v>
      </c>
      <c r="F8889" s="4" t="n">
        <v>10</v>
      </c>
      <c r="G8889" s="4" t="n">
        <v>11</v>
      </c>
      <c r="H8889" s="4" t="n">
        <v>4</v>
      </c>
      <c r="I8889" s="4" t="str">
        <v>×</v>
      </c>
      <c r="J8889" s="4"/>
      <c r="K8889" s="4"/>
      <c r="L8889" s="4"/>
      <c r="M8889" s="5" t="s">
        <v>5346</v>
      </c>
    </row>
    <row r="8890" customFormat="false" ht="15.75" hidden="false" customHeight="false" outlineLevel="0" collapsed="false">
      <c r="A8890" s="6" t="n">
        <v>46172</v>
      </c>
      <c r="B8890" s="4" t="s">
        <v>5435</v>
      </c>
      <c r="C8890" s="4" t="n">
        <v>11</v>
      </c>
      <c r="D8890" s="4" t="n">
        <v>11</v>
      </c>
      <c r="E8890" s="4" t="s">
        <v>5975</v>
      </c>
      <c r="F8890" s="4" t="n">
        <v>41</v>
      </c>
      <c r="G8890" s="4" t="n">
        <v>3</v>
      </c>
      <c r="H8890" s="4" t="n">
        <v>4</v>
      </c>
      <c r="I8890" s="4" t="str">
        <v>×</v>
      </c>
      <c r="J8890" s="4"/>
      <c r="K8890" s="4"/>
      <c r="L8890" s="4"/>
      <c r="M8890" s="5" t="s">
        <v>5346</v>
      </c>
    </row>
    <row r="8891" customFormat="false" ht="15.75" hidden="false" customHeight="false" outlineLevel="0" collapsed="false">
      <c r="A8891" s="6" t="n">
        <v>46172</v>
      </c>
      <c r="B8891" s="4" t="s">
        <v>5435</v>
      </c>
      <c r="C8891" s="4" t="n">
        <v>11</v>
      </c>
      <c r="D8891" s="4" t="n">
        <v>12</v>
      </c>
      <c r="E8891" s="4" t="s">
        <v>5976</v>
      </c>
      <c r="F8891" s="4" t="n">
        <v>37</v>
      </c>
      <c r="G8891" s="4" t="n">
        <v>4</v>
      </c>
      <c r="H8891" s="4" t="n">
        <v>2</v>
      </c>
      <c r="I8891" s="4" t="str">
        <v>○</v>
      </c>
      <c r="J8891" s="4" t="n">
        <v>290</v>
      </c>
      <c r="K8891" s="4"/>
      <c r="L8891" s="4"/>
      <c r="M8891" s="5" t="s">
        <v>5346</v>
      </c>
    </row>
    <row r="8892" customFormat="false" ht="15.75" hidden="false" customHeight="false" outlineLevel="0" collapsed="false">
      <c r="A8892" s="6" t="n">
        <v>46172</v>
      </c>
      <c r="B8892" s="4" t="s">
        <v>5435</v>
      </c>
      <c r="C8892" s="4" t="n">
        <v>11</v>
      </c>
      <c r="D8892" s="4" t="n">
        <v>13</v>
      </c>
      <c r="E8892" s="4" t="s">
        <v>5977</v>
      </c>
      <c r="F8892" s="4" t="n">
        <v>29</v>
      </c>
      <c r="G8892" s="4" t="n">
        <v>5</v>
      </c>
      <c r="H8892" s="4" t="n">
        <v>3</v>
      </c>
      <c r="I8892" s="4" t="str">
        <v>○</v>
      </c>
      <c r="J8892" s="4" t="n">
        <v>200</v>
      </c>
      <c r="K8892" s="4"/>
      <c r="L8892" s="4"/>
      <c r="M8892" s="5" t="s">
        <v>5346</v>
      </c>
    </row>
    <row r="8893" customFormat="false" ht="15.75" hidden="false" customHeight="false" outlineLevel="0" collapsed="false">
      <c r="A8893" s="6" t="n">
        <v>46172</v>
      </c>
      <c r="B8893" s="4" t="s">
        <v>5435</v>
      </c>
      <c r="C8893" s="4" t="n">
        <v>11</v>
      </c>
      <c r="D8893" s="4" t="n">
        <v>14</v>
      </c>
      <c r="E8893" s="4" t="s">
        <v>1997</v>
      </c>
      <c r="F8893" s="4" t="n">
        <v>8</v>
      </c>
      <c r="G8893" s="4" t="n">
        <v>12</v>
      </c>
      <c r="H8893" s="4" t="n">
        <v>4</v>
      </c>
      <c r="I8893" s="4" t="str">
        <v>×</v>
      </c>
      <c r="J8893" s="4"/>
      <c r="K8893" s="4"/>
      <c r="L8893" s="4"/>
      <c r="M8893" s="5" t="s">
        <v>5346</v>
      </c>
    </row>
    <row r="8894" customFormat="false" ht="15.75" hidden="false" customHeight="false" outlineLevel="0" collapsed="false">
      <c r="A8894" s="6" t="n">
        <v>46172</v>
      </c>
      <c r="B8894" s="4" t="s">
        <v>5435</v>
      </c>
      <c r="C8894" s="4" t="n">
        <v>11</v>
      </c>
      <c r="D8894" s="4" t="n">
        <v>15</v>
      </c>
      <c r="E8894" s="4" t="s">
        <v>2138</v>
      </c>
      <c r="F8894" s="4" t="n">
        <v>15</v>
      </c>
      <c r="G8894" s="4" t="n">
        <v>9</v>
      </c>
      <c r="H8894" s="4" t="n">
        <v>4</v>
      </c>
      <c r="I8894" s="4" t="str">
        <v>×</v>
      </c>
      <c r="J8894" s="4"/>
      <c r="K8894" s="4"/>
      <c r="L8894" s="4"/>
      <c r="M8894" s="5" t="s">
        <v>5346</v>
      </c>
    </row>
    <row r="8895" customFormat="false" ht="15.75" hidden="false" customHeight="false" outlineLevel="0" collapsed="false">
      <c r="A8895" s="6" t="n">
        <v>46172</v>
      </c>
      <c r="B8895" s="4" t="s">
        <v>5435</v>
      </c>
      <c r="C8895" s="4" t="n">
        <v>11</v>
      </c>
      <c r="D8895" s="4" t="n">
        <v>16</v>
      </c>
      <c r="E8895" s="4" t="s">
        <v>888</v>
      </c>
      <c r="F8895" s="4" t="n">
        <v>25</v>
      </c>
      <c r="G8895" s="4" t="n">
        <v>6</v>
      </c>
      <c r="H8895" s="4" t="n">
        <v>4</v>
      </c>
      <c r="I8895" s="4" t="str">
        <v>×</v>
      </c>
      <c r="J8895" s="4"/>
      <c r="K8895" s="4"/>
      <c r="L8895" s="4"/>
      <c r="M8895" s="5" t="s">
        <v>5346</v>
      </c>
    </row>
    <row r="8896" customFormat="false" ht="15.75" hidden="false" customHeight="false" outlineLevel="0" collapsed="false">
      <c r="A8896" s="6" t="n">
        <v>46172</v>
      </c>
      <c r="B8896" s="4" t="s">
        <v>5435</v>
      </c>
      <c r="C8896" s="4" t="n">
        <v>12</v>
      </c>
      <c r="D8896" s="4" t="n">
        <v>1</v>
      </c>
      <c r="E8896" s="4" t="s">
        <v>3215</v>
      </c>
      <c r="F8896" s="4" t="n">
        <v>17</v>
      </c>
      <c r="G8896" s="4" t="n">
        <v>6</v>
      </c>
      <c r="H8896" s="4" t="n">
        <v>4</v>
      </c>
      <c r="I8896" s="4" t="str">
        <v>×</v>
      </c>
      <c r="J8896" s="4"/>
      <c r="K8896" s="4"/>
      <c r="L8896" s="4"/>
      <c r="M8896" s="5" t="s">
        <v>5346</v>
      </c>
    </row>
    <row r="8897" customFormat="false" ht="15.75" hidden="false" customHeight="false" outlineLevel="0" collapsed="false">
      <c r="A8897" s="6" t="n">
        <v>46172</v>
      </c>
      <c r="B8897" s="4" t="s">
        <v>5435</v>
      </c>
      <c r="C8897" s="4" t="n">
        <v>12</v>
      </c>
      <c r="D8897" s="4" t="n">
        <v>2</v>
      </c>
      <c r="E8897" s="4" t="s">
        <v>5978</v>
      </c>
      <c r="F8897" s="4" t="n">
        <v>23</v>
      </c>
      <c r="G8897" s="4" t="n">
        <v>4</v>
      </c>
      <c r="H8897" s="4" t="n">
        <v>4</v>
      </c>
      <c r="I8897" s="4" t="str">
        <v>×</v>
      </c>
      <c r="J8897" s="4"/>
      <c r="K8897" s="4"/>
      <c r="L8897" s="4"/>
      <c r="M8897" s="5" t="s">
        <v>5346</v>
      </c>
    </row>
    <row r="8898" customFormat="false" ht="15.75" hidden="false" customHeight="false" outlineLevel="0" collapsed="false">
      <c r="A8898" s="6" t="n">
        <v>46172</v>
      </c>
      <c r="B8898" s="4" t="s">
        <v>5435</v>
      </c>
      <c r="C8898" s="4" t="n">
        <v>12</v>
      </c>
      <c r="D8898" s="4" t="n">
        <v>3</v>
      </c>
      <c r="E8898" s="4" t="s">
        <v>1205</v>
      </c>
      <c r="F8898" s="4" t="n">
        <v>10</v>
      </c>
      <c r="G8898" s="4" t="n">
        <v>8</v>
      </c>
      <c r="H8898" s="4" t="n">
        <v>4</v>
      </c>
      <c r="I8898" s="4" t="str">
        <v>×</v>
      </c>
      <c r="J8898" s="4"/>
      <c r="K8898" s="4"/>
      <c r="L8898" s="4"/>
      <c r="M8898" s="5" t="s">
        <v>5346</v>
      </c>
    </row>
    <row r="8899" customFormat="false" ht="15.75" hidden="false" customHeight="false" outlineLevel="0" collapsed="false">
      <c r="A8899" s="6" t="n">
        <v>46172</v>
      </c>
      <c r="B8899" s="4" t="s">
        <v>5435</v>
      </c>
      <c r="C8899" s="4" t="n">
        <v>12</v>
      </c>
      <c r="D8899" s="4" t="n">
        <v>4</v>
      </c>
      <c r="E8899" s="4" t="s">
        <v>5979</v>
      </c>
      <c r="F8899" s="4" t="n">
        <v>44</v>
      </c>
      <c r="G8899" s="4" t="n">
        <v>2</v>
      </c>
      <c r="H8899" s="4" t="n">
        <v>4</v>
      </c>
      <c r="I8899" s="4" t="str">
        <v>×</v>
      </c>
      <c r="J8899" s="4"/>
      <c r="K8899" s="4"/>
      <c r="L8899" s="4"/>
      <c r="M8899" s="5" t="s">
        <v>5346</v>
      </c>
    </row>
    <row r="8900" customFormat="false" ht="15.75" hidden="false" customHeight="false" outlineLevel="0" collapsed="false">
      <c r="A8900" s="6" t="n">
        <v>46172</v>
      </c>
      <c r="B8900" s="4" t="s">
        <v>5435</v>
      </c>
      <c r="C8900" s="4" t="n">
        <v>12</v>
      </c>
      <c r="D8900" s="4" t="n">
        <v>5</v>
      </c>
      <c r="E8900" s="4" t="s">
        <v>5322</v>
      </c>
      <c r="F8900" s="4" t="n">
        <v>34</v>
      </c>
      <c r="G8900" s="4" t="n">
        <v>3</v>
      </c>
      <c r="H8900" s="4" t="n">
        <v>1</v>
      </c>
      <c r="I8900" s="4" t="str">
        <v>○</v>
      </c>
      <c r="J8900" s="4" t="n">
        <v>260</v>
      </c>
      <c r="K8900" s="4"/>
      <c r="L8900" s="4"/>
      <c r="M8900" s="5" t="s">
        <v>5346</v>
      </c>
    </row>
    <row r="8901" customFormat="false" ht="15.75" hidden="false" customHeight="false" outlineLevel="0" collapsed="false">
      <c r="A8901" s="6" t="n">
        <v>46172</v>
      </c>
      <c r="B8901" s="4" t="s">
        <v>5435</v>
      </c>
      <c r="C8901" s="4" t="n">
        <v>12</v>
      </c>
      <c r="D8901" s="4" t="n">
        <v>6</v>
      </c>
      <c r="E8901" s="4" t="s">
        <v>5980</v>
      </c>
      <c r="F8901" s="4" t="n">
        <v>23</v>
      </c>
      <c r="G8901" s="4" t="n">
        <v>4</v>
      </c>
      <c r="H8901" s="4" t="n">
        <v>4</v>
      </c>
      <c r="I8901" s="4" t="str">
        <v>×</v>
      </c>
      <c r="J8901" s="4"/>
      <c r="K8901" s="4"/>
      <c r="L8901" s="4"/>
      <c r="M8901" s="5" t="s">
        <v>5346</v>
      </c>
    </row>
    <row r="8902" customFormat="false" ht="15.75" hidden="false" customHeight="false" outlineLevel="0" collapsed="false">
      <c r="A8902" s="6" t="n">
        <v>46172</v>
      </c>
      <c r="B8902" s="4" t="s">
        <v>5435</v>
      </c>
      <c r="C8902" s="4" t="n">
        <v>12</v>
      </c>
      <c r="D8902" s="4" t="n">
        <v>7</v>
      </c>
      <c r="E8902" s="4" t="s">
        <v>5981</v>
      </c>
      <c r="F8902" s="4" t="n">
        <v>44</v>
      </c>
      <c r="G8902" s="4" t="n">
        <v>2</v>
      </c>
      <c r="H8902" s="4" t="n">
        <v>4</v>
      </c>
      <c r="I8902" s="4" t="str">
        <v>×</v>
      </c>
      <c r="J8902" s="4"/>
      <c r="K8902" s="4"/>
      <c r="L8902" s="4"/>
      <c r="M8902" s="5" t="s">
        <v>5346</v>
      </c>
    </row>
    <row r="8903" customFormat="false" ht="15.75" hidden="false" customHeight="false" outlineLevel="0" collapsed="false">
      <c r="A8903" s="6" t="n">
        <v>46172</v>
      </c>
      <c r="B8903" s="4" t="s">
        <v>5435</v>
      </c>
      <c r="C8903" s="4" t="n">
        <v>12</v>
      </c>
      <c r="D8903" s="4" t="n">
        <v>8</v>
      </c>
      <c r="E8903" s="4" t="s">
        <v>2902</v>
      </c>
      <c r="F8903" s="4" t="n">
        <v>17</v>
      </c>
      <c r="G8903" s="4" t="n">
        <v>6</v>
      </c>
      <c r="H8903" s="4" t="n">
        <v>4</v>
      </c>
      <c r="I8903" s="4" t="str">
        <v>×</v>
      </c>
      <c r="J8903" s="4"/>
      <c r="K8903" s="4"/>
      <c r="L8903" s="4"/>
      <c r="M8903" s="5" t="s">
        <v>5346</v>
      </c>
    </row>
    <row r="8904" customFormat="false" ht="15.75" hidden="false" customHeight="false" outlineLevel="0" collapsed="false">
      <c r="A8904" s="6" t="n">
        <v>46172</v>
      </c>
      <c r="B8904" s="4" t="s">
        <v>5435</v>
      </c>
      <c r="C8904" s="4" t="n">
        <v>12</v>
      </c>
      <c r="D8904" s="4" t="n">
        <v>9</v>
      </c>
      <c r="E8904" s="4" t="s">
        <v>5982</v>
      </c>
      <c r="F8904" s="4" t="n">
        <v>47</v>
      </c>
      <c r="G8904" s="4" t="n">
        <v>1</v>
      </c>
      <c r="H8904" s="4" t="n">
        <v>4</v>
      </c>
      <c r="I8904" s="4" t="str">
        <v>×</v>
      </c>
      <c r="J8904" s="4"/>
      <c r="K8904" s="4"/>
      <c r="L8904" s="4"/>
      <c r="M8904" s="5" t="s">
        <v>5346</v>
      </c>
    </row>
    <row r="8905" customFormat="false" ht="15.75" hidden="false" customHeight="false" outlineLevel="0" collapsed="false">
      <c r="A8905" s="6" t="n">
        <v>46172</v>
      </c>
      <c r="B8905" s="4" t="s">
        <v>5435</v>
      </c>
      <c r="C8905" s="4" t="n">
        <v>12</v>
      </c>
      <c r="D8905" s="4" t="n">
        <v>10</v>
      </c>
      <c r="E8905" s="4" t="s">
        <v>3947</v>
      </c>
      <c r="F8905" s="4" t="n">
        <v>8</v>
      </c>
      <c r="G8905" s="4" t="n">
        <v>9</v>
      </c>
      <c r="H8905" s="4" t="n">
        <v>4</v>
      </c>
      <c r="I8905" s="4" t="str">
        <v>×</v>
      </c>
      <c r="J8905" s="4"/>
      <c r="K8905" s="4"/>
      <c r="L8905" s="4"/>
      <c r="M8905" s="5" t="s">
        <v>5346</v>
      </c>
    </row>
    <row r="8906" customFormat="false" ht="15.75" hidden="false" customHeight="false" outlineLevel="0" collapsed="false">
      <c r="A8906" s="6" t="n">
        <v>46172</v>
      </c>
      <c r="B8906" s="4" t="s">
        <v>5435</v>
      </c>
      <c r="C8906" s="4" t="n">
        <v>12</v>
      </c>
      <c r="D8906" s="4" t="n">
        <v>11</v>
      </c>
      <c r="E8906" s="4" t="s">
        <v>5983</v>
      </c>
      <c r="F8906" s="4" t="n">
        <v>8</v>
      </c>
      <c r="G8906" s="4" t="n">
        <v>9</v>
      </c>
      <c r="H8906" s="4" t="n">
        <v>4</v>
      </c>
      <c r="I8906" s="4" t="str">
        <v>×</v>
      </c>
      <c r="J8906" s="4"/>
      <c r="K8906" s="4"/>
      <c r="L8906" s="4"/>
      <c r="M8906" s="5" t="s">
        <v>5346</v>
      </c>
    </row>
    <row r="8907" customFormat="false" ht="15.75" hidden="false" customHeight="false" outlineLevel="0" collapsed="false">
      <c r="A8907" s="6" t="n">
        <v>46172</v>
      </c>
      <c r="B8907" s="4" t="s">
        <v>5435</v>
      </c>
      <c r="C8907" s="4" t="n">
        <v>12</v>
      </c>
      <c r="D8907" s="4" t="n">
        <v>12</v>
      </c>
      <c r="E8907" s="4" t="s">
        <v>5289</v>
      </c>
      <c r="F8907" s="4" t="n">
        <v>13</v>
      </c>
      <c r="G8907" s="4" t="n">
        <v>7</v>
      </c>
      <c r="H8907" s="4" t="n">
        <v>4</v>
      </c>
      <c r="I8907" s="4" t="str">
        <v>×</v>
      </c>
      <c r="J8907" s="4"/>
      <c r="K8907" s="4"/>
      <c r="L8907" s="4"/>
      <c r="M8907" s="5" t="s">
        <v>5346</v>
      </c>
    </row>
    <row r="8908" customFormat="false" ht="15.75" hidden="false" customHeight="false" outlineLevel="0" collapsed="false">
      <c r="A8908" s="6" t="n">
        <v>46172</v>
      </c>
      <c r="B8908" s="4" t="s">
        <v>5435</v>
      </c>
      <c r="C8908" s="4" t="n">
        <v>12</v>
      </c>
      <c r="D8908" s="4" t="n">
        <v>13</v>
      </c>
      <c r="E8908" s="4" t="s">
        <v>4333</v>
      </c>
      <c r="F8908" s="4" t="n">
        <v>17</v>
      </c>
      <c r="G8908" s="4" t="n">
        <v>6</v>
      </c>
      <c r="H8908" s="4" t="n">
        <v>3</v>
      </c>
      <c r="I8908" s="4" t="str">
        <v>○</v>
      </c>
      <c r="J8908" s="4" t="n">
        <v>830</v>
      </c>
      <c r="K8908" s="4"/>
      <c r="L8908" s="4"/>
      <c r="M8908" s="5" t="s">
        <v>5346</v>
      </c>
    </row>
    <row r="8909" customFormat="false" ht="15.75" hidden="false" customHeight="false" outlineLevel="0" collapsed="false">
      <c r="A8909" s="6" t="n">
        <v>46172</v>
      </c>
      <c r="B8909" s="4" t="s">
        <v>5435</v>
      </c>
      <c r="C8909" s="4" t="n">
        <v>12</v>
      </c>
      <c r="D8909" s="4" t="n">
        <v>14</v>
      </c>
      <c r="E8909" s="4" t="s">
        <v>535</v>
      </c>
      <c r="F8909" s="4" t="n">
        <v>23</v>
      </c>
      <c r="G8909" s="4" t="n">
        <v>4</v>
      </c>
      <c r="H8909" s="4" t="n">
        <v>4</v>
      </c>
      <c r="I8909" s="4" t="str">
        <v>×</v>
      </c>
      <c r="J8909" s="4"/>
      <c r="K8909" s="4"/>
      <c r="L8909" s="4"/>
      <c r="M8909" s="5" t="s">
        <v>5346</v>
      </c>
    </row>
    <row r="8910" customFormat="false" ht="15.75" hidden="false" customHeight="false" outlineLevel="0" collapsed="false">
      <c r="A8910" s="6" t="n">
        <v>46172</v>
      </c>
      <c r="B8910" s="4" t="s">
        <v>5435</v>
      </c>
      <c r="C8910" s="4" t="n">
        <v>12</v>
      </c>
      <c r="D8910" s="4" t="n">
        <v>15</v>
      </c>
      <c r="E8910" s="4" t="s">
        <v>5984</v>
      </c>
      <c r="F8910" s="4" t="n">
        <v>20</v>
      </c>
      <c r="G8910" s="4" t="n">
        <v>5</v>
      </c>
      <c r="H8910" s="4" t="n">
        <v>4</v>
      </c>
      <c r="I8910" s="4" t="str">
        <v>×</v>
      </c>
      <c r="J8910" s="4"/>
      <c r="K8910" s="4"/>
      <c r="L8910" s="4"/>
      <c r="M8910" s="5" t="s">
        <v>5346</v>
      </c>
    </row>
    <row r="8911" customFormat="false" ht="15.75" hidden="false" customHeight="false" outlineLevel="0" collapsed="false">
      <c r="A8911" s="6" t="n">
        <v>46172</v>
      </c>
      <c r="B8911" s="4" t="s">
        <v>5435</v>
      </c>
      <c r="C8911" s="4" t="n">
        <v>12</v>
      </c>
      <c r="D8911" s="4" t="n">
        <v>16</v>
      </c>
      <c r="E8911" s="4" t="s">
        <v>536</v>
      </c>
      <c r="F8911" s="4" t="n">
        <v>13</v>
      </c>
      <c r="G8911" s="4" t="n">
        <v>7</v>
      </c>
      <c r="H8911" s="4" t="n">
        <v>2</v>
      </c>
      <c r="I8911" s="4" t="str">
        <v>○</v>
      </c>
      <c r="J8911" s="4" t="n">
        <v>840</v>
      </c>
      <c r="K8911" s="4"/>
      <c r="L8911" s="4"/>
      <c r="M8911" s="5" t="s">
        <v>5346</v>
      </c>
    </row>
    <row r="8912" customFormat="false" ht="15.75" hidden="false" customHeight="false" outlineLevel="0" collapsed="false">
      <c r="A8912" s="6" t="n">
        <v>46173</v>
      </c>
      <c r="B8912" s="4" t="s">
        <v>4473</v>
      </c>
      <c r="C8912" s="4" t="n">
        <v>1</v>
      </c>
      <c r="D8912" s="4" t="n">
        <v>1</v>
      </c>
      <c r="E8912" s="4" t="s">
        <v>131</v>
      </c>
      <c r="F8912" s="4" t="n">
        <v>2</v>
      </c>
      <c r="G8912" s="4" t="n">
        <v>12</v>
      </c>
      <c r="H8912" s="4" t="n">
        <v>4</v>
      </c>
      <c r="I8912" s="4" t="str">
        <v>×</v>
      </c>
      <c r="J8912" s="4"/>
      <c r="K8912" s="4"/>
      <c r="L8912" s="4"/>
      <c r="M8912" s="5" t="s">
        <v>5346</v>
      </c>
    </row>
    <row r="8913" customFormat="false" ht="15.75" hidden="false" customHeight="false" outlineLevel="0" collapsed="false">
      <c r="A8913" s="6" t="n">
        <v>46173</v>
      </c>
      <c r="B8913" s="4" t="s">
        <v>4473</v>
      </c>
      <c r="C8913" s="4" t="n">
        <v>1</v>
      </c>
      <c r="D8913" s="4" t="n">
        <v>2</v>
      </c>
      <c r="E8913" s="4" t="s">
        <v>1423</v>
      </c>
      <c r="F8913" s="4" t="n">
        <v>37</v>
      </c>
      <c r="G8913" s="4" t="n">
        <v>3</v>
      </c>
      <c r="H8913" s="4" t="n">
        <v>4</v>
      </c>
      <c r="I8913" s="4" t="str">
        <v>×</v>
      </c>
      <c r="J8913" s="4"/>
      <c r="K8913" s="4"/>
      <c r="L8913" s="4"/>
      <c r="M8913" s="5" t="s">
        <v>5346</v>
      </c>
    </row>
    <row r="8914" customFormat="false" ht="15.75" hidden="false" customHeight="false" outlineLevel="0" collapsed="false">
      <c r="A8914" s="6" t="n">
        <v>46173</v>
      </c>
      <c r="B8914" s="4" t="s">
        <v>4473</v>
      </c>
      <c r="C8914" s="4" t="n">
        <v>1</v>
      </c>
      <c r="D8914" s="4" t="n">
        <v>3</v>
      </c>
      <c r="E8914" s="4" t="s">
        <v>3725</v>
      </c>
      <c r="F8914" s="4" t="n">
        <v>8</v>
      </c>
      <c r="G8914" s="4" t="n">
        <v>8</v>
      </c>
      <c r="H8914" s="4" t="n">
        <v>4</v>
      </c>
      <c r="I8914" s="4" t="str">
        <v>×</v>
      </c>
      <c r="J8914" s="4"/>
      <c r="K8914" s="4"/>
      <c r="L8914" s="4"/>
      <c r="M8914" s="5" t="s">
        <v>5346</v>
      </c>
    </row>
    <row r="8915" customFormat="false" ht="15.75" hidden="false" customHeight="false" outlineLevel="0" collapsed="false">
      <c r="A8915" s="6" t="n">
        <v>46173</v>
      </c>
      <c r="B8915" s="4" t="s">
        <v>4473</v>
      </c>
      <c r="C8915" s="4" t="n">
        <v>1</v>
      </c>
      <c r="D8915" s="4" t="n">
        <v>4</v>
      </c>
      <c r="E8915" s="4" t="s">
        <v>1425</v>
      </c>
      <c r="F8915" s="4" t="n">
        <v>10</v>
      </c>
      <c r="G8915" s="4" t="n">
        <v>7</v>
      </c>
      <c r="H8915" s="4" t="n">
        <v>4</v>
      </c>
      <c r="I8915" s="4" t="str">
        <v>×</v>
      </c>
      <c r="J8915" s="4"/>
      <c r="K8915" s="4"/>
      <c r="L8915" s="4"/>
      <c r="M8915" s="5" t="s">
        <v>5346</v>
      </c>
    </row>
    <row r="8916" customFormat="false" ht="15.75" hidden="false" customHeight="false" outlineLevel="0" collapsed="false">
      <c r="A8916" s="6" t="n">
        <v>46173</v>
      </c>
      <c r="B8916" s="4" t="s">
        <v>4473</v>
      </c>
      <c r="C8916" s="4" t="n">
        <v>1</v>
      </c>
      <c r="D8916" s="4" t="n">
        <v>5</v>
      </c>
      <c r="E8916" s="4" t="s">
        <v>4438</v>
      </c>
      <c r="F8916" s="4" t="n">
        <v>75</v>
      </c>
      <c r="G8916" s="4" t="n">
        <v>1</v>
      </c>
      <c r="H8916" s="4" t="n">
        <v>2</v>
      </c>
      <c r="I8916" s="4" t="str">
        <v>○</v>
      </c>
      <c r="J8916" s="4" t="n">
        <v>110</v>
      </c>
      <c r="K8916" s="4"/>
      <c r="L8916" s="4"/>
      <c r="M8916" s="5" t="s">
        <v>5346</v>
      </c>
    </row>
    <row r="8917" customFormat="false" ht="15.75" hidden="false" customHeight="false" outlineLevel="0" collapsed="false">
      <c r="A8917" s="6" t="n">
        <v>46173</v>
      </c>
      <c r="B8917" s="4" t="s">
        <v>4473</v>
      </c>
      <c r="C8917" s="4" t="n">
        <v>1</v>
      </c>
      <c r="D8917" s="4" t="n">
        <v>6</v>
      </c>
      <c r="E8917" s="4" t="s">
        <v>5985</v>
      </c>
      <c r="F8917" s="4" t="n">
        <v>6</v>
      </c>
      <c r="G8917" s="4" t="n">
        <v>9</v>
      </c>
      <c r="H8917" s="4" t="n">
        <v>3</v>
      </c>
      <c r="I8917" s="4" t="str">
        <v>○</v>
      </c>
      <c r="J8917" s="4" t="n">
        <v>2090</v>
      </c>
      <c r="K8917" s="4"/>
      <c r="L8917" s="4"/>
      <c r="M8917" s="5" t="s">
        <v>5346</v>
      </c>
    </row>
    <row r="8918" customFormat="false" ht="15.75" hidden="false" customHeight="false" outlineLevel="0" collapsed="false">
      <c r="A8918" s="6" t="n">
        <v>46173</v>
      </c>
      <c r="B8918" s="4" t="s">
        <v>4473</v>
      </c>
      <c r="C8918" s="4" t="n">
        <v>1</v>
      </c>
      <c r="D8918" s="4" t="n">
        <v>7</v>
      </c>
      <c r="E8918" s="4" t="s">
        <v>1886</v>
      </c>
      <c r="F8918" s="4" t="n">
        <v>17</v>
      </c>
      <c r="G8918" s="4" t="n">
        <v>6</v>
      </c>
      <c r="H8918" s="4" t="n">
        <v>4</v>
      </c>
      <c r="I8918" s="4" t="str">
        <v>×</v>
      </c>
      <c r="J8918" s="4"/>
      <c r="K8918" s="4"/>
      <c r="L8918" s="4"/>
      <c r="M8918" s="5" t="s">
        <v>5346</v>
      </c>
    </row>
    <row r="8919" customFormat="false" ht="15.75" hidden="false" customHeight="false" outlineLevel="0" collapsed="false">
      <c r="A8919" s="6" t="n">
        <v>46173</v>
      </c>
      <c r="B8919" s="4" t="s">
        <v>4473</v>
      </c>
      <c r="C8919" s="4" t="n">
        <v>1</v>
      </c>
      <c r="D8919" s="4" t="n">
        <v>8</v>
      </c>
      <c r="E8919" s="4" t="s">
        <v>5128</v>
      </c>
      <c r="F8919" s="4" t="n">
        <v>6</v>
      </c>
      <c r="G8919" s="4" t="n">
        <v>9</v>
      </c>
      <c r="H8919" s="4" t="n">
        <v>4</v>
      </c>
      <c r="I8919" s="4" t="str">
        <v>×</v>
      </c>
      <c r="J8919" s="4"/>
      <c r="K8919" s="4"/>
      <c r="L8919" s="4"/>
      <c r="M8919" s="5" t="s">
        <v>5346</v>
      </c>
    </row>
    <row r="8920" customFormat="false" ht="15.75" hidden="false" customHeight="false" outlineLevel="0" collapsed="false">
      <c r="A8920" s="6" t="n">
        <v>46173</v>
      </c>
      <c r="B8920" s="4" t="s">
        <v>4473</v>
      </c>
      <c r="C8920" s="4" t="n">
        <v>1</v>
      </c>
      <c r="D8920" s="4" t="n">
        <v>9</v>
      </c>
      <c r="E8920" s="4" t="s">
        <v>5986</v>
      </c>
      <c r="F8920" s="4" t="n">
        <v>62</v>
      </c>
      <c r="G8920" s="4" t="n">
        <v>2</v>
      </c>
      <c r="H8920" s="4" t="n">
        <v>1</v>
      </c>
      <c r="I8920" s="4" t="str">
        <v>○</v>
      </c>
      <c r="J8920" s="4" t="n">
        <v>120</v>
      </c>
      <c r="K8920" s="4"/>
      <c r="L8920" s="4"/>
      <c r="M8920" s="5" t="s">
        <v>5346</v>
      </c>
    </row>
    <row r="8921" customFormat="false" ht="15.75" hidden="false" customHeight="false" outlineLevel="0" collapsed="false">
      <c r="A8921" s="6" t="n">
        <v>46173</v>
      </c>
      <c r="B8921" s="4" t="s">
        <v>4473</v>
      </c>
      <c r="C8921" s="4" t="n">
        <v>1</v>
      </c>
      <c r="D8921" s="4" t="n">
        <v>10</v>
      </c>
      <c r="E8921" s="4" t="s">
        <v>3806</v>
      </c>
      <c r="F8921" s="4" t="n">
        <v>4</v>
      </c>
      <c r="G8921" s="4" t="n">
        <v>10</v>
      </c>
      <c r="H8921" s="4" t="n">
        <v>4</v>
      </c>
      <c r="I8921" s="4" t="str">
        <v>×</v>
      </c>
      <c r="J8921" s="4"/>
      <c r="K8921" s="4"/>
      <c r="L8921" s="4"/>
      <c r="M8921" s="5" t="s">
        <v>5346</v>
      </c>
    </row>
    <row r="8922" customFormat="false" ht="15.75" hidden="false" customHeight="false" outlineLevel="0" collapsed="false">
      <c r="A8922" s="6" t="n">
        <v>46173</v>
      </c>
      <c r="B8922" s="4" t="s">
        <v>4473</v>
      </c>
      <c r="C8922" s="4" t="n">
        <v>1</v>
      </c>
      <c r="D8922" s="4" t="n">
        <v>11</v>
      </c>
      <c r="E8922" s="4" t="s">
        <v>803</v>
      </c>
      <c r="F8922" s="4" t="n">
        <v>3</v>
      </c>
      <c r="G8922" s="4" t="n">
        <v>11</v>
      </c>
      <c r="H8922" s="4" t="n">
        <v>4</v>
      </c>
      <c r="I8922" s="4" t="str">
        <v>×</v>
      </c>
      <c r="J8922" s="4"/>
      <c r="K8922" s="4"/>
      <c r="L8922" s="4"/>
      <c r="M8922" s="5" t="s">
        <v>5346</v>
      </c>
    </row>
    <row r="8923" customFormat="false" ht="15.75" hidden="false" customHeight="false" outlineLevel="0" collapsed="false">
      <c r="A8923" s="6" t="n">
        <v>46173</v>
      </c>
      <c r="B8923" s="4" t="s">
        <v>4473</v>
      </c>
      <c r="C8923" s="4" t="n">
        <v>1</v>
      </c>
      <c r="D8923" s="4" t="n">
        <v>12</v>
      </c>
      <c r="E8923" s="4" t="s">
        <v>5987</v>
      </c>
      <c r="F8923" s="4" t="n">
        <v>4</v>
      </c>
      <c r="G8923" s="4" t="n">
        <v>10</v>
      </c>
      <c r="H8923" s="4" t="n">
        <v>4</v>
      </c>
      <c r="I8923" s="4" t="str">
        <v>×</v>
      </c>
      <c r="J8923" s="4"/>
      <c r="K8923" s="4"/>
      <c r="L8923" s="4"/>
      <c r="M8923" s="5" t="s">
        <v>5346</v>
      </c>
    </row>
    <row r="8924" customFormat="false" ht="15.75" hidden="false" customHeight="false" outlineLevel="0" collapsed="false">
      <c r="A8924" s="6" t="n">
        <v>46173</v>
      </c>
      <c r="B8924" s="4" t="s">
        <v>4473</v>
      </c>
      <c r="C8924" s="4" t="n">
        <v>1</v>
      </c>
      <c r="D8924" s="4" t="n">
        <v>13</v>
      </c>
      <c r="E8924" s="4" t="s">
        <v>5988</v>
      </c>
      <c r="F8924" s="4" t="n">
        <v>6</v>
      </c>
      <c r="G8924" s="4" t="n">
        <v>9</v>
      </c>
      <c r="H8924" s="4" t="n">
        <v>4</v>
      </c>
      <c r="I8924" s="4" t="str">
        <v>×</v>
      </c>
      <c r="J8924" s="4"/>
      <c r="K8924" s="4"/>
      <c r="L8924" s="4"/>
      <c r="M8924" s="5" t="s">
        <v>5346</v>
      </c>
    </row>
    <row r="8925" customFormat="false" ht="15.75" hidden="false" customHeight="false" outlineLevel="0" collapsed="false">
      <c r="A8925" s="6" t="n">
        <v>46173</v>
      </c>
      <c r="B8925" s="4" t="s">
        <v>4473</v>
      </c>
      <c r="C8925" s="4" t="n">
        <v>1</v>
      </c>
      <c r="D8925" s="4" t="n">
        <v>14</v>
      </c>
      <c r="E8925" s="4" t="s">
        <v>142</v>
      </c>
      <c r="F8925" s="4" t="n">
        <v>34</v>
      </c>
      <c r="G8925" s="4" t="n">
        <v>4</v>
      </c>
      <c r="H8925" s="4" t="n">
        <v>4</v>
      </c>
      <c r="I8925" s="4" t="str">
        <v>×</v>
      </c>
      <c r="J8925" s="4"/>
      <c r="K8925" s="4"/>
      <c r="L8925" s="4"/>
      <c r="M8925" s="5" t="s">
        <v>5346</v>
      </c>
    </row>
    <row r="8926" customFormat="false" ht="15.75" hidden="false" customHeight="false" outlineLevel="0" collapsed="false">
      <c r="A8926" s="6" t="n">
        <v>46173</v>
      </c>
      <c r="B8926" s="4" t="s">
        <v>4473</v>
      </c>
      <c r="C8926" s="4" t="n">
        <v>1</v>
      </c>
      <c r="D8926" s="4" t="n">
        <v>15</v>
      </c>
      <c r="E8926" s="4" t="s">
        <v>5989</v>
      </c>
      <c r="F8926" s="4" t="n">
        <v>17</v>
      </c>
      <c r="G8926" s="4" t="n">
        <v>6</v>
      </c>
      <c r="H8926" s="4" t="n">
        <v>4</v>
      </c>
      <c r="I8926" s="4" t="str">
        <v>×</v>
      </c>
      <c r="J8926" s="4"/>
      <c r="K8926" s="4"/>
      <c r="L8926" s="4"/>
      <c r="M8926" s="5" t="s">
        <v>5346</v>
      </c>
    </row>
    <row r="8927" customFormat="false" ht="15.75" hidden="false" customHeight="false" outlineLevel="0" collapsed="false">
      <c r="A8927" s="6" t="n">
        <v>46173</v>
      </c>
      <c r="B8927" s="4" t="s">
        <v>4473</v>
      </c>
      <c r="C8927" s="4" t="n">
        <v>1</v>
      </c>
      <c r="D8927" s="4" t="n">
        <v>16</v>
      </c>
      <c r="E8927" s="4" t="s">
        <v>5990</v>
      </c>
      <c r="F8927" s="4" t="n">
        <v>25</v>
      </c>
      <c r="G8927" s="4" t="n">
        <v>5</v>
      </c>
      <c r="H8927" s="4" t="n">
        <v>4</v>
      </c>
      <c r="I8927" s="4" t="str">
        <v>×</v>
      </c>
      <c r="J8927" s="4"/>
      <c r="K8927" s="4"/>
      <c r="L8927" s="4"/>
      <c r="M8927" s="5" t="s">
        <v>5346</v>
      </c>
    </row>
    <row r="8928" customFormat="false" ht="15.75" hidden="false" customHeight="false" outlineLevel="0" collapsed="false">
      <c r="A8928" s="6" t="n">
        <v>46173</v>
      </c>
      <c r="B8928" s="4" t="s">
        <v>4473</v>
      </c>
      <c r="C8928" s="4" t="n">
        <v>2</v>
      </c>
      <c r="D8928" s="4" t="n">
        <v>1</v>
      </c>
      <c r="E8928" s="4" t="s">
        <v>1430</v>
      </c>
      <c r="F8928" s="4" t="n">
        <v>8</v>
      </c>
      <c r="G8928" s="4" t="n">
        <v>7</v>
      </c>
      <c r="H8928" s="4" t="n">
        <v>4</v>
      </c>
      <c r="I8928" s="4" t="str">
        <v>×</v>
      </c>
      <c r="J8928" s="4"/>
      <c r="K8928" s="4"/>
      <c r="L8928" s="4"/>
      <c r="M8928" s="5" t="s">
        <v>5346</v>
      </c>
    </row>
    <row r="8929" customFormat="false" ht="15.75" hidden="false" customHeight="false" outlineLevel="0" collapsed="false">
      <c r="A8929" s="6" t="n">
        <v>46173</v>
      </c>
      <c r="B8929" s="4" t="s">
        <v>4473</v>
      </c>
      <c r="C8929" s="4" t="n">
        <v>2</v>
      </c>
      <c r="D8929" s="4" t="n">
        <v>2</v>
      </c>
      <c r="E8929" s="4" t="s">
        <v>2336</v>
      </c>
      <c r="F8929" s="4" t="n">
        <v>15</v>
      </c>
      <c r="G8929" s="4" t="n">
        <v>4</v>
      </c>
      <c r="H8929" s="4" t="n">
        <v>4</v>
      </c>
      <c r="I8929" s="4" t="str">
        <v>×</v>
      </c>
      <c r="J8929" s="4"/>
      <c r="K8929" s="4"/>
      <c r="L8929" s="4"/>
      <c r="M8929" s="5" t="s">
        <v>5346</v>
      </c>
    </row>
    <row r="8930" customFormat="false" ht="15.75" hidden="false" customHeight="false" outlineLevel="0" collapsed="false">
      <c r="A8930" s="6" t="n">
        <v>46173</v>
      </c>
      <c r="B8930" s="4" t="s">
        <v>4473</v>
      </c>
      <c r="C8930" s="4" t="n">
        <v>2</v>
      </c>
      <c r="D8930" s="4" t="n">
        <v>3</v>
      </c>
      <c r="E8930" s="4" t="s">
        <v>1778</v>
      </c>
      <c r="F8930" s="4" t="n">
        <v>29</v>
      </c>
      <c r="G8930" s="4" t="n">
        <v>3</v>
      </c>
      <c r="H8930" s="4" t="n">
        <v>4</v>
      </c>
      <c r="I8930" s="4" t="str">
        <v>×</v>
      </c>
      <c r="J8930" s="4"/>
      <c r="K8930" s="4"/>
      <c r="L8930" s="4"/>
      <c r="M8930" s="5" t="s">
        <v>5346</v>
      </c>
    </row>
    <row r="8931" customFormat="false" ht="15.75" hidden="false" customHeight="false" outlineLevel="0" collapsed="false">
      <c r="A8931" s="6" t="n">
        <v>46173</v>
      </c>
      <c r="B8931" s="4" t="s">
        <v>4473</v>
      </c>
      <c r="C8931" s="4" t="n">
        <v>2</v>
      </c>
      <c r="D8931" s="4" t="n">
        <v>4</v>
      </c>
      <c r="E8931" s="4" t="s">
        <v>4901</v>
      </c>
      <c r="F8931" s="4" t="n">
        <v>37</v>
      </c>
      <c r="G8931" s="4" t="n">
        <v>2</v>
      </c>
      <c r="H8931" s="4" t="n">
        <v>2</v>
      </c>
      <c r="I8931" s="4" t="str">
        <v>○</v>
      </c>
      <c r="J8931" s="4" t="n">
        <v>240</v>
      </c>
      <c r="K8931" s="4"/>
      <c r="L8931" s="4"/>
      <c r="M8931" s="5" t="s">
        <v>5346</v>
      </c>
    </row>
    <row r="8932" customFormat="false" ht="15.75" hidden="false" customHeight="false" outlineLevel="0" collapsed="false">
      <c r="A8932" s="6" t="n">
        <v>46173</v>
      </c>
      <c r="B8932" s="4" t="s">
        <v>4473</v>
      </c>
      <c r="C8932" s="4" t="n">
        <v>2</v>
      </c>
      <c r="D8932" s="4" t="n">
        <v>5</v>
      </c>
      <c r="E8932" s="4" t="s">
        <v>1412</v>
      </c>
      <c r="F8932" s="4" t="n">
        <v>67</v>
      </c>
      <c r="G8932" s="4" t="n">
        <v>1</v>
      </c>
      <c r="H8932" s="4" t="n">
        <v>4</v>
      </c>
      <c r="I8932" s="4" t="str">
        <v>×</v>
      </c>
      <c r="J8932" s="4"/>
      <c r="K8932" s="4"/>
      <c r="L8932" s="4"/>
      <c r="M8932" s="5" t="s">
        <v>5346</v>
      </c>
    </row>
    <row r="8933" customFormat="false" ht="15.75" hidden="false" customHeight="false" outlineLevel="0" collapsed="false">
      <c r="A8933" s="6" t="n">
        <v>46173</v>
      </c>
      <c r="B8933" s="4" t="s">
        <v>4473</v>
      </c>
      <c r="C8933" s="4" t="n">
        <v>2</v>
      </c>
      <c r="D8933" s="4" t="n">
        <v>6</v>
      </c>
      <c r="E8933" s="4" t="s">
        <v>5991</v>
      </c>
      <c r="F8933" s="4" t="n">
        <v>37</v>
      </c>
      <c r="G8933" s="4" t="n">
        <v>2</v>
      </c>
      <c r="H8933" s="4" t="n">
        <v>1</v>
      </c>
      <c r="I8933" s="4" t="str">
        <v>○</v>
      </c>
      <c r="J8933" s="4" t="n">
        <v>170</v>
      </c>
      <c r="K8933" s="4"/>
      <c r="L8933" s="4"/>
      <c r="M8933" s="5" t="s">
        <v>5346</v>
      </c>
    </row>
    <row r="8934" customFormat="false" ht="15.75" hidden="false" customHeight="false" outlineLevel="0" collapsed="false">
      <c r="A8934" s="6" t="n">
        <v>46173</v>
      </c>
      <c r="B8934" s="4" t="s">
        <v>4473</v>
      </c>
      <c r="C8934" s="4" t="n">
        <v>2</v>
      </c>
      <c r="D8934" s="4" t="n">
        <v>7</v>
      </c>
      <c r="E8934" s="4" t="s">
        <v>5992</v>
      </c>
      <c r="F8934" s="4" t="n">
        <v>6</v>
      </c>
      <c r="G8934" s="4" t="n">
        <v>8</v>
      </c>
      <c r="H8934" s="4" t="n">
        <v>4</v>
      </c>
      <c r="I8934" s="4" t="str">
        <v>×</v>
      </c>
      <c r="J8934" s="4"/>
      <c r="K8934" s="4"/>
      <c r="L8934" s="4"/>
      <c r="M8934" s="5" t="s">
        <v>5346</v>
      </c>
    </row>
    <row r="8935" customFormat="false" ht="15.75" hidden="false" customHeight="false" outlineLevel="0" collapsed="false">
      <c r="A8935" s="6" t="n">
        <v>46173</v>
      </c>
      <c r="B8935" s="4" t="s">
        <v>4473</v>
      </c>
      <c r="C8935" s="4" t="n">
        <v>2</v>
      </c>
      <c r="D8935" s="4" t="n">
        <v>8</v>
      </c>
      <c r="E8935" s="4" t="s">
        <v>2942</v>
      </c>
      <c r="F8935" s="4" t="n">
        <v>10</v>
      </c>
      <c r="G8935" s="4" t="n">
        <v>6</v>
      </c>
      <c r="H8935" s="4" t="n">
        <v>4</v>
      </c>
      <c r="I8935" s="4" t="str">
        <v>×</v>
      </c>
      <c r="J8935" s="4"/>
      <c r="K8935" s="4"/>
      <c r="L8935" s="4"/>
      <c r="M8935" s="5" t="s">
        <v>5346</v>
      </c>
    </row>
    <row r="8936" customFormat="false" ht="15.75" hidden="false" customHeight="false" outlineLevel="0" collapsed="false">
      <c r="A8936" s="6" t="n">
        <v>46173</v>
      </c>
      <c r="B8936" s="4" t="s">
        <v>4473</v>
      </c>
      <c r="C8936" s="4" t="n">
        <v>2</v>
      </c>
      <c r="D8936" s="4" t="n">
        <v>9</v>
      </c>
      <c r="E8936" s="4" t="s">
        <v>828</v>
      </c>
      <c r="F8936" s="4" t="n">
        <v>6</v>
      </c>
      <c r="G8936" s="4" t="n">
        <v>8</v>
      </c>
      <c r="H8936" s="4" t="n">
        <v>3</v>
      </c>
      <c r="I8936" s="4" t="str">
        <v>○</v>
      </c>
      <c r="J8936" s="4" t="n">
        <v>1840</v>
      </c>
      <c r="K8936" s="4"/>
      <c r="L8936" s="4"/>
      <c r="M8936" s="5" t="s">
        <v>5346</v>
      </c>
    </row>
    <row r="8937" customFormat="false" ht="15.75" hidden="false" customHeight="false" outlineLevel="0" collapsed="false">
      <c r="A8937" s="6" t="n">
        <v>46173</v>
      </c>
      <c r="B8937" s="4" t="s">
        <v>4473</v>
      </c>
      <c r="C8937" s="4" t="n">
        <v>2</v>
      </c>
      <c r="D8937" s="4" t="n">
        <v>10</v>
      </c>
      <c r="E8937" s="4" t="s">
        <v>158</v>
      </c>
      <c r="F8937" s="4" t="n">
        <v>8</v>
      </c>
      <c r="G8937" s="4" t="n">
        <v>7</v>
      </c>
      <c r="H8937" s="4" t="n">
        <v>4</v>
      </c>
      <c r="I8937" s="4" t="str">
        <v>×</v>
      </c>
      <c r="J8937" s="4"/>
      <c r="K8937" s="4"/>
      <c r="L8937" s="4"/>
      <c r="M8937" s="5" t="s">
        <v>5346</v>
      </c>
    </row>
    <row r="8938" customFormat="false" ht="15.75" hidden="false" customHeight="false" outlineLevel="0" collapsed="false">
      <c r="A8938" s="6" t="n">
        <v>46173</v>
      </c>
      <c r="B8938" s="4" t="s">
        <v>4473</v>
      </c>
      <c r="C8938" s="4" t="n">
        <v>2</v>
      </c>
      <c r="D8938" s="4" t="n">
        <v>11</v>
      </c>
      <c r="E8938" s="4" t="s">
        <v>1292</v>
      </c>
      <c r="F8938" s="4" t="n">
        <v>13</v>
      </c>
      <c r="G8938" s="4" t="n">
        <v>5</v>
      </c>
      <c r="H8938" s="4" t="n">
        <v>4</v>
      </c>
      <c r="I8938" s="4" t="str">
        <v>×</v>
      </c>
      <c r="J8938" s="4"/>
      <c r="K8938" s="4"/>
      <c r="L8938" s="4"/>
      <c r="M8938" s="5" t="s">
        <v>5346</v>
      </c>
    </row>
    <row r="8939" customFormat="false" ht="15.75" hidden="false" customHeight="false" outlineLevel="0" collapsed="false">
      <c r="A8939" s="6" t="n">
        <v>46173</v>
      </c>
      <c r="B8939" s="4" t="s">
        <v>4473</v>
      </c>
      <c r="C8939" s="4" t="n">
        <v>2</v>
      </c>
      <c r="D8939" s="4" t="n">
        <v>12</v>
      </c>
      <c r="E8939" s="4" t="s">
        <v>517</v>
      </c>
      <c r="F8939" s="4" t="n">
        <v>6</v>
      </c>
      <c r="G8939" s="4" t="n">
        <v>8</v>
      </c>
      <c r="H8939" s="4" t="n">
        <v>4</v>
      </c>
      <c r="I8939" s="4" t="str">
        <v>×</v>
      </c>
      <c r="J8939" s="4"/>
      <c r="K8939" s="4"/>
      <c r="L8939" s="4"/>
      <c r="M8939" s="5" t="s">
        <v>5346</v>
      </c>
    </row>
    <row r="8940" customFormat="false" ht="15.75" hidden="false" customHeight="false" outlineLevel="0" collapsed="false">
      <c r="A8940" s="6" t="n">
        <v>46173</v>
      </c>
      <c r="B8940" s="4" t="s">
        <v>4473</v>
      </c>
      <c r="C8940" s="4" t="n">
        <v>2</v>
      </c>
      <c r="D8940" s="4" t="n">
        <v>13</v>
      </c>
      <c r="E8940" s="4" t="s">
        <v>2343</v>
      </c>
      <c r="F8940" s="4" t="n">
        <v>29</v>
      </c>
      <c r="G8940" s="4" t="n">
        <v>3</v>
      </c>
      <c r="H8940" s="4" t="n">
        <v>4</v>
      </c>
      <c r="I8940" s="4" t="str">
        <v>×</v>
      </c>
      <c r="J8940" s="4"/>
      <c r="K8940" s="4"/>
      <c r="L8940" s="4"/>
      <c r="M8940" s="5" t="s">
        <v>5346</v>
      </c>
    </row>
    <row r="8941" customFormat="false" ht="15.75" hidden="false" customHeight="false" outlineLevel="0" collapsed="false">
      <c r="A8941" s="6" t="n">
        <v>46173</v>
      </c>
      <c r="B8941" s="4" t="s">
        <v>4473</v>
      </c>
      <c r="C8941" s="4" t="n">
        <v>2</v>
      </c>
      <c r="D8941" s="4" t="n">
        <v>14</v>
      </c>
      <c r="E8941" s="4" t="s">
        <v>152</v>
      </c>
      <c r="F8941" s="4" t="n">
        <v>3</v>
      </c>
      <c r="G8941" s="4" t="n">
        <v>10</v>
      </c>
      <c r="H8941" s="4" t="n">
        <v>4</v>
      </c>
      <c r="I8941" s="4" t="str">
        <v>×</v>
      </c>
      <c r="J8941" s="4"/>
      <c r="K8941" s="4"/>
      <c r="L8941" s="4"/>
      <c r="M8941" s="5" t="s">
        <v>5346</v>
      </c>
    </row>
    <row r="8942" customFormat="false" ht="15.75" hidden="false" customHeight="false" outlineLevel="0" collapsed="false">
      <c r="A8942" s="6" t="n">
        <v>46173</v>
      </c>
      <c r="B8942" s="4" t="s">
        <v>4473</v>
      </c>
      <c r="C8942" s="4" t="n">
        <v>2</v>
      </c>
      <c r="D8942" s="4" t="n">
        <v>15</v>
      </c>
      <c r="E8942" s="4" t="s">
        <v>5993</v>
      </c>
      <c r="F8942" s="4" t="n">
        <v>4</v>
      </c>
      <c r="G8942" s="4" t="n">
        <v>9</v>
      </c>
      <c r="H8942" s="4" t="n">
        <v>4</v>
      </c>
      <c r="I8942" s="4" t="str">
        <v>×</v>
      </c>
      <c r="J8942" s="4"/>
      <c r="K8942" s="4"/>
      <c r="L8942" s="4"/>
      <c r="M8942" s="5" t="s">
        <v>5346</v>
      </c>
    </row>
    <row r="8943" customFormat="false" ht="15.75" hidden="false" customHeight="false" outlineLevel="0" collapsed="false">
      <c r="A8943" s="6" t="n">
        <v>46173</v>
      </c>
      <c r="B8943" s="4" t="s">
        <v>4473</v>
      </c>
      <c r="C8943" s="4" t="n">
        <v>2</v>
      </c>
      <c r="D8943" s="4" t="n">
        <v>16</v>
      </c>
      <c r="E8943" s="4" t="s">
        <v>5132</v>
      </c>
      <c r="F8943" s="4" t="n">
        <v>3</v>
      </c>
      <c r="G8943" s="4" t="n">
        <v>10</v>
      </c>
      <c r="H8943" s="4" t="n">
        <v>4</v>
      </c>
      <c r="I8943" s="4" t="str">
        <v>×</v>
      </c>
      <c r="J8943" s="4"/>
      <c r="K8943" s="4"/>
      <c r="L8943" s="4"/>
      <c r="M8943" s="5" t="s">
        <v>5346</v>
      </c>
    </row>
    <row r="8944" customFormat="false" ht="15.75" hidden="false" customHeight="false" outlineLevel="0" collapsed="false">
      <c r="A8944" s="6" t="n">
        <v>46173</v>
      </c>
      <c r="B8944" s="4" t="s">
        <v>4473</v>
      </c>
      <c r="C8944" s="4" t="n">
        <v>3</v>
      </c>
      <c r="D8944" s="4" t="n">
        <v>1</v>
      </c>
      <c r="E8944" s="4" t="s">
        <v>5994</v>
      </c>
      <c r="F8944" s="4" t="n">
        <v>52</v>
      </c>
      <c r="G8944" s="4" t="n">
        <v>2</v>
      </c>
      <c r="H8944" s="4" t="n">
        <v>4</v>
      </c>
      <c r="I8944" s="4" t="str">
        <v>×</v>
      </c>
      <c r="J8944" s="4"/>
      <c r="K8944" s="4"/>
      <c r="L8944" s="4"/>
      <c r="M8944" s="5" t="s">
        <v>5346</v>
      </c>
    </row>
    <row r="8945" customFormat="false" ht="15.75" hidden="false" customHeight="false" outlineLevel="0" collapsed="false">
      <c r="A8945" s="6" t="n">
        <v>46173</v>
      </c>
      <c r="B8945" s="4" t="s">
        <v>4473</v>
      </c>
      <c r="C8945" s="4" t="n">
        <v>3</v>
      </c>
      <c r="D8945" s="4" t="n">
        <v>2</v>
      </c>
      <c r="E8945" s="4" t="s">
        <v>5995</v>
      </c>
      <c r="F8945" s="4" t="n">
        <v>10</v>
      </c>
      <c r="G8945" s="4" t="n">
        <v>7</v>
      </c>
      <c r="H8945" s="4" t="n">
        <v>4</v>
      </c>
      <c r="I8945" s="4" t="str">
        <v>×</v>
      </c>
      <c r="J8945" s="4"/>
      <c r="K8945" s="4"/>
      <c r="L8945" s="4"/>
      <c r="M8945" s="5" t="s">
        <v>5346</v>
      </c>
    </row>
    <row r="8946" customFormat="false" ht="15.75" hidden="false" customHeight="false" outlineLevel="0" collapsed="false">
      <c r="A8946" s="6" t="n">
        <v>46173</v>
      </c>
      <c r="B8946" s="4" t="s">
        <v>4473</v>
      </c>
      <c r="C8946" s="4" t="n">
        <v>3</v>
      </c>
      <c r="D8946" s="4" t="n">
        <v>3</v>
      </c>
      <c r="E8946" s="4" t="s">
        <v>5996</v>
      </c>
      <c r="F8946" s="4" t="n">
        <v>8</v>
      </c>
      <c r="G8946" s="4" t="n">
        <v>8</v>
      </c>
      <c r="H8946" s="4" t="n">
        <v>4</v>
      </c>
      <c r="I8946" s="4" t="str">
        <v>×</v>
      </c>
      <c r="J8946" s="4"/>
      <c r="K8946" s="4"/>
      <c r="L8946" s="4"/>
      <c r="M8946" s="5" t="s">
        <v>5346</v>
      </c>
    </row>
    <row r="8947" customFormat="false" ht="15.75" hidden="false" customHeight="false" outlineLevel="0" collapsed="false">
      <c r="A8947" s="6" t="n">
        <v>46173</v>
      </c>
      <c r="B8947" s="4" t="s">
        <v>4473</v>
      </c>
      <c r="C8947" s="4" t="n">
        <v>3</v>
      </c>
      <c r="D8947" s="4" t="n">
        <v>4</v>
      </c>
      <c r="E8947" s="4" t="s">
        <v>990</v>
      </c>
      <c r="F8947" s="4" t="n">
        <v>52</v>
      </c>
      <c r="G8947" s="4" t="n">
        <v>2</v>
      </c>
      <c r="H8947" s="4" t="n">
        <v>4</v>
      </c>
      <c r="I8947" s="4" t="str">
        <v>×</v>
      </c>
      <c r="J8947" s="4"/>
      <c r="K8947" s="4"/>
      <c r="L8947" s="4"/>
      <c r="M8947" s="5" t="s">
        <v>5346</v>
      </c>
    </row>
    <row r="8948" customFormat="false" ht="15.75" hidden="false" customHeight="false" outlineLevel="0" collapsed="false">
      <c r="A8948" s="6" t="n">
        <v>46173</v>
      </c>
      <c r="B8948" s="4" t="s">
        <v>4473</v>
      </c>
      <c r="C8948" s="4" t="n">
        <v>3</v>
      </c>
      <c r="D8948" s="4" t="n">
        <v>5</v>
      </c>
      <c r="E8948" s="4" t="s">
        <v>4897</v>
      </c>
      <c r="F8948" s="4" t="n">
        <v>20</v>
      </c>
      <c r="G8948" s="4" t="n">
        <v>4</v>
      </c>
      <c r="H8948" s="4" t="n">
        <v>4</v>
      </c>
      <c r="I8948" s="4" t="str">
        <v>×</v>
      </c>
      <c r="J8948" s="4"/>
      <c r="K8948" s="4"/>
      <c r="L8948" s="4"/>
      <c r="M8948" s="5" t="s">
        <v>5346</v>
      </c>
    </row>
    <row r="8949" customFormat="false" ht="15.75" hidden="false" customHeight="false" outlineLevel="0" collapsed="false">
      <c r="A8949" s="6" t="n">
        <v>46173</v>
      </c>
      <c r="B8949" s="4" t="s">
        <v>4473</v>
      </c>
      <c r="C8949" s="4" t="n">
        <v>3</v>
      </c>
      <c r="D8949" s="4" t="n">
        <v>6</v>
      </c>
      <c r="E8949" s="4" t="s">
        <v>1947</v>
      </c>
      <c r="F8949" s="4" t="n">
        <v>65</v>
      </c>
      <c r="G8949" s="4" t="n">
        <v>1</v>
      </c>
      <c r="H8949" s="4" t="n">
        <v>1</v>
      </c>
      <c r="I8949" s="4" t="str">
        <v>○</v>
      </c>
      <c r="J8949" s="4" t="n">
        <v>150</v>
      </c>
      <c r="K8949" s="4"/>
      <c r="L8949" s="4"/>
      <c r="M8949" s="5" t="s">
        <v>5346</v>
      </c>
    </row>
    <row r="8950" customFormat="false" ht="15.75" hidden="false" customHeight="false" outlineLevel="0" collapsed="false">
      <c r="A8950" s="6" t="n">
        <v>46173</v>
      </c>
      <c r="B8950" s="4" t="s">
        <v>4473</v>
      </c>
      <c r="C8950" s="4" t="n">
        <v>3</v>
      </c>
      <c r="D8950" s="4" t="n">
        <v>7</v>
      </c>
      <c r="E8950" s="4" t="s">
        <v>3515</v>
      </c>
      <c r="F8950" s="4" t="n">
        <v>13</v>
      </c>
      <c r="G8950" s="4" t="n">
        <v>6</v>
      </c>
      <c r="H8950" s="4" t="n">
        <v>4</v>
      </c>
      <c r="I8950" s="4" t="str">
        <v>×</v>
      </c>
      <c r="J8950" s="4"/>
      <c r="K8950" s="4"/>
      <c r="L8950" s="4"/>
      <c r="M8950" s="5" t="s">
        <v>5346</v>
      </c>
    </row>
    <row r="8951" customFormat="false" ht="15.75" hidden="false" customHeight="false" outlineLevel="0" collapsed="false">
      <c r="A8951" s="6" t="n">
        <v>46173</v>
      </c>
      <c r="B8951" s="4" t="s">
        <v>4473</v>
      </c>
      <c r="C8951" s="4" t="n">
        <v>3</v>
      </c>
      <c r="D8951" s="4" t="n">
        <v>8</v>
      </c>
      <c r="E8951" s="4" t="s">
        <v>5997</v>
      </c>
      <c r="F8951" s="4" t="n">
        <v>6</v>
      </c>
      <c r="G8951" s="4" t="n">
        <v>9</v>
      </c>
      <c r="H8951" s="4" t="n">
        <v>4</v>
      </c>
      <c r="I8951" s="4" t="str">
        <v>×</v>
      </c>
      <c r="J8951" s="4"/>
      <c r="K8951" s="4"/>
      <c r="L8951" s="4"/>
      <c r="M8951" s="5" t="s">
        <v>5346</v>
      </c>
    </row>
    <row r="8952" customFormat="false" ht="15.75" hidden="false" customHeight="false" outlineLevel="0" collapsed="false">
      <c r="A8952" s="6" t="n">
        <v>46173</v>
      </c>
      <c r="B8952" s="4" t="s">
        <v>4473</v>
      </c>
      <c r="C8952" s="4" t="n">
        <v>3</v>
      </c>
      <c r="D8952" s="4" t="n">
        <v>9</v>
      </c>
      <c r="E8952" s="4" t="s">
        <v>5998</v>
      </c>
      <c r="F8952" s="4" t="n">
        <v>8</v>
      </c>
      <c r="G8952" s="4" t="n">
        <v>8</v>
      </c>
      <c r="H8952" s="4" t="n">
        <v>4</v>
      </c>
      <c r="I8952" s="4" t="str">
        <v>×</v>
      </c>
      <c r="J8952" s="4"/>
      <c r="K8952" s="4"/>
      <c r="L8952" s="4"/>
      <c r="M8952" s="5" t="s">
        <v>5346</v>
      </c>
    </row>
    <row r="8953" customFormat="false" ht="15.75" hidden="false" customHeight="false" outlineLevel="0" collapsed="false">
      <c r="A8953" s="6" t="n">
        <v>46173</v>
      </c>
      <c r="B8953" s="4" t="s">
        <v>4473</v>
      </c>
      <c r="C8953" s="4" t="n">
        <v>3</v>
      </c>
      <c r="D8953" s="4" t="n">
        <v>10</v>
      </c>
      <c r="E8953" s="4" t="s">
        <v>5999</v>
      </c>
      <c r="F8953" s="4" t="n">
        <v>13</v>
      </c>
      <c r="G8953" s="4" t="n">
        <v>6</v>
      </c>
      <c r="H8953" s="4" t="n">
        <v>4</v>
      </c>
      <c r="I8953" s="4" t="str">
        <v>×</v>
      </c>
      <c r="J8953" s="4"/>
      <c r="K8953" s="4"/>
      <c r="L8953" s="4"/>
      <c r="M8953" s="5" t="s">
        <v>5346</v>
      </c>
    </row>
    <row r="8954" customFormat="false" ht="15.75" hidden="false" customHeight="false" outlineLevel="0" collapsed="false">
      <c r="A8954" s="6" t="n">
        <v>46173</v>
      </c>
      <c r="B8954" s="4" t="s">
        <v>4473</v>
      </c>
      <c r="C8954" s="4" t="n">
        <v>3</v>
      </c>
      <c r="D8954" s="4" t="n">
        <v>11</v>
      </c>
      <c r="E8954" s="4" t="s">
        <v>6000</v>
      </c>
      <c r="F8954" s="4" t="n">
        <v>1</v>
      </c>
      <c r="G8954" s="4" t="n">
        <v>11</v>
      </c>
      <c r="H8954" s="4" t="n">
        <v>4</v>
      </c>
      <c r="I8954" s="4" t="str">
        <v>×</v>
      </c>
      <c r="J8954" s="4"/>
      <c r="K8954" s="4"/>
      <c r="L8954" s="4"/>
      <c r="M8954" s="5" t="s">
        <v>5346</v>
      </c>
    </row>
    <row r="8955" customFormat="false" ht="15.75" hidden="false" customHeight="false" outlineLevel="0" collapsed="false">
      <c r="A8955" s="6" t="n">
        <v>46173</v>
      </c>
      <c r="B8955" s="4" t="s">
        <v>4473</v>
      </c>
      <c r="C8955" s="4" t="n">
        <v>3</v>
      </c>
      <c r="D8955" s="4" t="n">
        <v>12</v>
      </c>
      <c r="E8955" s="4" t="s">
        <v>1424</v>
      </c>
      <c r="F8955" s="4" t="n">
        <v>3</v>
      </c>
      <c r="G8955" s="4" t="n">
        <v>10</v>
      </c>
      <c r="H8955" s="4" t="n">
        <v>3</v>
      </c>
      <c r="I8955" s="4" t="str">
        <v>○</v>
      </c>
      <c r="J8955" s="4" t="n">
        <v>2860</v>
      </c>
      <c r="K8955" s="4"/>
      <c r="L8955" s="4"/>
      <c r="M8955" s="5" t="s">
        <v>5346</v>
      </c>
    </row>
    <row r="8956" customFormat="false" ht="15.75" hidden="false" customHeight="false" outlineLevel="0" collapsed="false">
      <c r="A8956" s="6" t="n">
        <v>46173</v>
      </c>
      <c r="B8956" s="4" t="s">
        <v>4473</v>
      </c>
      <c r="C8956" s="4" t="n">
        <v>3</v>
      </c>
      <c r="D8956" s="4" t="n">
        <v>13</v>
      </c>
      <c r="E8956" s="4" t="s">
        <v>592</v>
      </c>
      <c r="F8956" s="4" t="n">
        <v>29</v>
      </c>
      <c r="G8956" s="4" t="n">
        <v>3</v>
      </c>
      <c r="H8956" s="4" t="n">
        <v>4</v>
      </c>
      <c r="I8956" s="4" t="str">
        <v>×</v>
      </c>
      <c r="J8956" s="4"/>
      <c r="K8956" s="4"/>
      <c r="L8956" s="4"/>
      <c r="M8956" s="5" t="s">
        <v>5346</v>
      </c>
    </row>
    <row r="8957" customFormat="false" ht="15.75" hidden="false" customHeight="false" outlineLevel="0" collapsed="false">
      <c r="A8957" s="6" t="n">
        <v>46173</v>
      </c>
      <c r="B8957" s="4" t="s">
        <v>4473</v>
      </c>
      <c r="C8957" s="4" t="n">
        <v>3</v>
      </c>
      <c r="D8957" s="4" t="n">
        <v>14</v>
      </c>
      <c r="E8957" s="4" t="s">
        <v>501</v>
      </c>
      <c r="F8957" s="4" t="n">
        <v>15</v>
      </c>
      <c r="G8957" s="4" t="n">
        <v>5</v>
      </c>
      <c r="H8957" s="4" t="n">
        <v>4</v>
      </c>
      <c r="I8957" s="4" t="str">
        <v>×</v>
      </c>
      <c r="J8957" s="4"/>
      <c r="K8957" s="4"/>
      <c r="L8957" s="4"/>
      <c r="M8957" s="5" t="s">
        <v>5346</v>
      </c>
    </row>
    <row r="8958" customFormat="false" ht="15.75" hidden="false" customHeight="false" outlineLevel="0" collapsed="false">
      <c r="A8958" s="6" t="n">
        <v>46173</v>
      </c>
      <c r="B8958" s="4" t="s">
        <v>4473</v>
      </c>
      <c r="C8958" s="4" t="n">
        <v>3</v>
      </c>
      <c r="D8958" s="4" t="n">
        <v>15</v>
      </c>
      <c r="E8958" s="4" t="s">
        <v>6001</v>
      </c>
      <c r="F8958" s="4" t="n">
        <v>15</v>
      </c>
      <c r="G8958" s="4" t="n">
        <v>5</v>
      </c>
      <c r="H8958" s="4" t="n">
        <v>2</v>
      </c>
      <c r="I8958" s="4" t="str">
        <v>○</v>
      </c>
      <c r="J8958" s="4" t="n">
        <v>410</v>
      </c>
      <c r="K8958" s="4"/>
      <c r="L8958" s="4"/>
      <c r="M8958" s="5" t="s">
        <v>5346</v>
      </c>
    </row>
    <row r="8959" customFormat="false" ht="15.75" hidden="false" customHeight="false" outlineLevel="0" collapsed="false">
      <c r="A8959" s="6" t="n">
        <v>46173</v>
      </c>
      <c r="B8959" s="4" t="s">
        <v>4473</v>
      </c>
      <c r="C8959" s="4" t="n">
        <v>3</v>
      </c>
      <c r="D8959" s="4" t="n">
        <v>16</v>
      </c>
      <c r="E8959" s="4" t="s">
        <v>4244</v>
      </c>
      <c r="F8959" s="4" t="n">
        <v>6</v>
      </c>
      <c r="G8959" s="4" t="n">
        <v>9</v>
      </c>
      <c r="H8959" s="4" t="n">
        <v>4</v>
      </c>
      <c r="I8959" s="4" t="str">
        <v>×</v>
      </c>
      <c r="J8959" s="4"/>
      <c r="K8959" s="4"/>
      <c r="L8959" s="4"/>
      <c r="M8959" s="5" t="s">
        <v>5346</v>
      </c>
    </row>
    <row r="8960" customFormat="false" ht="15.75" hidden="false" customHeight="false" outlineLevel="0" collapsed="false">
      <c r="A8960" s="6" t="n">
        <v>46173</v>
      </c>
      <c r="B8960" s="4" t="s">
        <v>4473</v>
      </c>
      <c r="C8960" s="4" t="n">
        <v>4</v>
      </c>
      <c r="D8960" s="4" t="n">
        <v>1</v>
      </c>
      <c r="E8960" s="4" t="s">
        <v>1422</v>
      </c>
      <c r="F8960" s="4" t="n">
        <v>4</v>
      </c>
      <c r="G8960" s="4" t="n">
        <v>9</v>
      </c>
      <c r="H8960" s="4" t="n">
        <v>4</v>
      </c>
      <c r="I8960" s="4" t="str">
        <v>×</v>
      </c>
      <c r="J8960" s="4"/>
      <c r="K8960" s="4"/>
      <c r="L8960" s="4"/>
      <c r="M8960" s="5" t="s">
        <v>5346</v>
      </c>
    </row>
    <row r="8961" customFormat="false" ht="15.75" hidden="false" customHeight="false" outlineLevel="0" collapsed="false">
      <c r="A8961" s="6" t="n">
        <v>46173</v>
      </c>
      <c r="B8961" s="4" t="s">
        <v>4473</v>
      </c>
      <c r="C8961" s="4" t="n">
        <v>4</v>
      </c>
      <c r="D8961" s="4" t="n">
        <v>2</v>
      </c>
      <c r="E8961" s="4" t="s">
        <v>4430</v>
      </c>
      <c r="F8961" s="4" t="n">
        <v>6</v>
      </c>
      <c r="G8961" s="4" t="n">
        <v>8</v>
      </c>
      <c r="H8961" s="4" t="n">
        <v>4</v>
      </c>
      <c r="I8961" s="4" t="str">
        <v>×</v>
      </c>
      <c r="J8961" s="4"/>
      <c r="K8961" s="4"/>
      <c r="L8961" s="4"/>
      <c r="M8961" s="5" t="s">
        <v>5346</v>
      </c>
    </row>
    <row r="8962" customFormat="false" ht="15.75" hidden="false" customHeight="false" outlineLevel="0" collapsed="false">
      <c r="A8962" s="6" t="n">
        <v>46173</v>
      </c>
      <c r="B8962" s="4" t="s">
        <v>4473</v>
      </c>
      <c r="C8962" s="4" t="n">
        <v>4</v>
      </c>
      <c r="D8962" s="4" t="n">
        <v>3</v>
      </c>
      <c r="E8962" s="4" t="s">
        <v>6002</v>
      </c>
      <c r="F8962" s="4" t="n">
        <v>1</v>
      </c>
      <c r="G8962" s="4" t="n">
        <v>12</v>
      </c>
      <c r="H8962" s="4" t="n">
        <v>4</v>
      </c>
      <c r="I8962" s="4" t="str">
        <v>×</v>
      </c>
      <c r="J8962" s="4"/>
      <c r="K8962" s="4"/>
      <c r="L8962" s="4"/>
      <c r="M8962" s="5" t="s">
        <v>5346</v>
      </c>
    </row>
    <row r="8963" customFormat="false" ht="15.75" hidden="false" customHeight="false" outlineLevel="0" collapsed="false">
      <c r="A8963" s="6" t="n">
        <v>46173</v>
      </c>
      <c r="B8963" s="4" t="s">
        <v>4473</v>
      </c>
      <c r="C8963" s="4" t="n">
        <v>4</v>
      </c>
      <c r="D8963" s="4" t="n">
        <v>4</v>
      </c>
      <c r="E8963" s="4" t="s">
        <v>6003</v>
      </c>
      <c r="F8963" s="4" t="n">
        <v>15</v>
      </c>
      <c r="G8963" s="4" t="n">
        <v>6</v>
      </c>
      <c r="H8963" s="4" t="n">
        <v>4</v>
      </c>
      <c r="I8963" s="4" t="str">
        <v>×</v>
      </c>
      <c r="J8963" s="4"/>
      <c r="K8963" s="4"/>
      <c r="L8963" s="4"/>
      <c r="M8963" s="5" t="s">
        <v>5346</v>
      </c>
    </row>
    <row r="8964" customFormat="false" ht="15.75" hidden="false" customHeight="false" outlineLevel="0" collapsed="false">
      <c r="A8964" s="6" t="n">
        <v>46173</v>
      </c>
      <c r="B8964" s="4" t="s">
        <v>4473</v>
      </c>
      <c r="C8964" s="4" t="n">
        <v>4</v>
      </c>
      <c r="D8964" s="4" t="n">
        <v>5</v>
      </c>
      <c r="E8964" s="4" t="s">
        <v>2211</v>
      </c>
      <c r="F8964" s="4" t="n">
        <v>52</v>
      </c>
      <c r="G8964" s="4" t="n">
        <v>2</v>
      </c>
      <c r="H8964" s="4" t="n">
        <v>3</v>
      </c>
      <c r="I8964" s="4" t="str">
        <v>○</v>
      </c>
      <c r="J8964" s="4" t="n">
        <v>120</v>
      </c>
      <c r="K8964" s="4"/>
      <c r="L8964" s="4"/>
      <c r="M8964" s="5" t="s">
        <v>5346</v>
      </c>
    </row>
    <row r="8965" customFormat="false" ht="15.75" hidden="false" customHeight="false" outlineLevel="0" collapsed="false">
      <c r="A8965" s="6" t="n">
        <v>46173</v>
      </c>
      <c r="B8965" s="4" t="s">
        <v>4473</v>
      </c>
      <c r="C8965" s="4" t="n">
        <v>4</v>
      </c>
      <c r="D8965" s="4" t="n">
        <v>6</v>
      </c>
      <c r="E8965" s="4" t="s">
        <v>5517</v>
      </c>
      <c r="F8965" s="4" t="n">
        <v>2</v>
      </c>
      <c r="G8965" s="4" t="n">
        <v>11</v>
      </c>
      <c r="H8965" s="4" t="n">
        <v>4</v>
      </c>
      <c r="I8965" s="4" t="str">
        <v>×</v>
      </c>
      <c r="J8965" s="4"/>
      <c r="K8965" s="4"/>
      <c r="L8965" s="4"/>
      <c r="M8965" s="5" t="s">
        <v>5346</v>
      </c>
    </row>
    <row r="8966" customFormat="false" ht="15.75" hidden="false" customHeight="false" outlineLevel="0" collapsed="false">
      <c r="A8966" s="6" t="n">
        <v>46173</v>
      </c>
      <c r="B8966" s="4" t="s">
        <v>4473</v>
      </c>
      <c r="C8966" s="4" t="n">
        <v>4</v>
      </c>
      <c r="D8966" s="4" t="n">
        <v>7</v>
      </c>
      <c r="E8966" s="4" t="s">
        <v>6004</v>
      </c>
      <c r="F8966" s="4" t="n">
        <v>39</v>
      </c>
      <c r="G8966" s="4" t="n">
        <v>3</v>
      </c>
      <c r="H8966" s="4" t="n">
        <v>4</v>
      </c>
      <c r="I8966" s="4" t="str">
        <v>×</v>
      </c>
      <c r="J8966" s="4"/>
      <c r="K8966" s="4"/>
      <c r="L8966" s="4"/>
      <c r="M8966" s="5" t="s">
        <v>5346</v>
      </c>
    </row>
    <row r="8967" customFormat="false" ht="15.75" hidden="false" customHeight="false" outlineLevel="0" collapsed="false">
      <c r="A8967" s="6" t="n">
        <v>46173</v>
      </c>
      <c r="B8967" s="4" t="s">
        <v>4473</v>
      </c>
      <c r="C8967" s="4" t="n">
        <v>4</v>
      </c>
      <c r="D8967" s="4" t="n">
        <v>8</v>
      </c>
      <c r="E8967" s="4" t="s">
        <v>2304</v>
      </c>
      <c r="F8967" s="4" t="n">
        <v>6</v>
      </c>
      <c r="G8967" s="4" t="n">
        <v>8</v>
      </c>
      <c r="H8967" s="4" t="n">
        <v>4</v>
      </c>
      <c r="I8967" s="4" t="str">
        <v>×</v>
      </c>
      <c r="J8967" s="4"/>
      <c r="K8967" s="4"/>
      <c r="L8967" s="4"/>
      <c r="M8967" s="5" t="s">
        <v>5346</v>
      </c>
    </row>
    <row r="8968" customFormat="false" ht="15.75" hidden="false" customHeight="false" outlineLevel="0" collapsed="false">
      <c r="A8968" s="6" t="n">
        <v>46173</v>
      </c>
      <c r="B8968" s="4" t="s">
        <v>4473</v>
      </c>
      <c r="C8968" s="4" t="n">
        <v>4</v>
      </c>
      <c r="D8968" s="4" t="n">
        <v>9</v>
      </c>
      <c r="E8968" s="4" t="s">
        <v>6005</v>
      </c>
      <c r="F8968" s="4" t="n">
        <v>1</v>
      </c>
      <c r="G8968" s="4" t="n">
        <v>12</v>
      </c>
      <c r="H8968" s="4" t="n">
        <v>4</v>
      </c>
      <c r="I8968" s="4" t="str">
        <v>×</v>
      </c>
      <c r="J8968" s="4"/>
      <c r="K8968" s="4"/>
      <c r="L8968" s="4"/>
      <c r="M8968" s="5" t="s">
        <v>5346</v>
      </c>
    </row>
    <row r="8969" customFormat="false" ht="15.75" hidden="false" customHeight="false" outlineLevel="0" collapsed="false">
      <c r="A8969" s="6" t="n">
        <v>46173</v>
      </c>
      <c r="B8969" s="4" t="s">
        <v>4473</v>
      </c>
      <c r="C8969" s="4" t="n">
        <v>4</v>
      </c>
      <c r="D8969" s="4" t="n">
        <v>10</v>
      </c>
      <c r="E8969" s="4" t="s">
        <v>1008</v>
      </c>
      <c r="F8969" s="4" t="n">
        <v>37</v>
      </c>
      <c r="G8969" s="4" t="n">
        <v>4</v>
      </c>
      <c r="H8969" s="4" t="n">
        <v>2</v>
      </c>
      <c r="I8969" s="4" t="str">
        <v>○</v>
      </c>
      <c r="J8969" s="4" t="n">
        <v>140</v>
      </c>
      <c r="K8969" s="4"/>
      <c r="L8969" s="4"/>
      <c r="M8969" s="5" t="s">
        <v>5346</v>
      </c>
    </row>
    <row r="8970" customFormat="false" ht="15.75" hidden="false" customHeight="false" outlineLevel="0" collapsed="false">
      <c r="A8970" s="6" t="n">
        <v>46173</v>
      </c>
      <c r="B8970" s="4" t="s">
        <v>4473</v>
      </c>
      <c r="C8970" s="4" t="n">
        <v>4</v>
      </c>
      <c r="D8970" s="4" t="n">
        <v>11</v>
      </c>
      <c r="E8970" s="4" t="s">
        <v>622</v>
      </c>
      <c r="F8970" s="4" t="n">
        <v>6</v>
      </c>
      <c r="G8970" s="4" t="n">
        <v>8</v>
      </c>
      <c r="H8970" s="4" t="n">
        <v>4</v>
      </c>
      <c r="I8970" s="4" t="str">
        <v>×</v>
      </c>
      <c r="J8970" s="4"/>
      <c r="K8970" s="4"/>
      <c r="L8970" s="4"/>
      <c r="M8970" s="5" t="s">
        <v>5346</v>
      </c>
    </row>
    <row r="8971" customFormat="false" ht="15.75" hidden="false" customHeight="false" outlineLevel="0" collapsed="false">
      <c r="A8971" s="6" t="n">
        <v>46173</v>
      </c>
      <c r="B8971" s="4" t="s">
        <v>4473</v>
      </c>
      <c r="C8971" s="4" t="n">
        <v>4</v>
      </c>
      <c r="D8971" s="4" t="n">
        <v>12</v>
      </c>
      <c r="E8971" s="4" t="s">
        <v>4061</v>
      </c>
      <c r="F8971" s="4" t="n">
        <v>66</v>
      </c>
      <c r="G8971" s="4" t="n">
        <v>1</v>
      </c>
      <c r="H8971" s="4" t="n">
        <v>1</v>
      </c>
      <c r="I8971" s="4" t="str">
        <v>○</v>
      </c>
      <c r="J8971" s="4" t="n">
        <v>130</v>
      </c>
      <c r="K8971" s="4"/>
      <c r="L8971" s="4"/>
      <c r="M8971" s="5" t="s">
        <v>5346</v>
      </c>
    </row>
    <row r="8972" customFormat="false" ht="15.75" hidden="false" customHeight="false" outlineLevel="0" collapsed="false">
      <c r="A8972" s="6" t="n">
        <v>46173</v>
      </c>
      <c r="B8972" s="4" t="s">
        <v>4473</v>
      </c>
      <c r="C8972" s="4" t="n">
        <v>4</v>
      </c>
      <c r="D8972" s="4" t="n">
        <v>13</v>
      </c>
      <c r="E8972" s="4" t="s">
        <v>4104</v>
      </c>
      <c r="F8972" s="4" t="n">
        <v>3</v>
      </c>
      <c r="G8972" s="4" t="n">
        <v>10</v>
      </c>
      <c r="H8972" s="4" t="n">
        <v>4</v>
      </c>
      <c r="I8972" s="4" t="str">
        <v>×</v>
      </c>
      <c r="J8972" s="4"/>
      <c r="K8972" s="4"/>
      <c r="L8972" s="4"/>
      <c r="M8972" s="5" t="s">
        <v>5346</v>
      </c>
    </row>
    <row r="8973" customFormat="false" ht="15.75" hidden="false" customHeight="false" outlineLevel="0" collapsed="false">
      <c r="A8973" s="6" t="n">
        <v>46173</v>
      </c>
      <c r="B8973" s="4" t="s">
        <v>4473</v>
      </c>
      <c r="C8973" s="4" t="n">
        <v>4</v>
      </c>
      <c r="D8973" s="4" t="n">
        <v>14</v>
      </c>
      <c r="E8973" s="4" t="s">
        <v>511</v>
      </c>
      <c r="F8973" s="4" t="n">
        <v>17</v>
      </c>
      <c r="G8973" s="4" t="n">
        <v>5</v>
      </c>
      <c r="H8973" s="4" t="n">
        <v>4</v>
      </c>
      <c r="I8973" s="4" t="str">
        <v>×</v>
      </c>
      <c r="J8973" s="4"/>
      <c r="K8973" s="4"/>
      <c r="L8973" s="4"/>
      <c r="M8973" s="5" t="s">
        <v>5346</v>
      </c>
    </row>
    <row r="8974" customFormat="false" ht="15.75" hidden="false" customHeight="false" outlineLevel="0" collapsed="false">
      <c r="A8974" s="6" t="n">
        <v>46173</v>
      </c>
      <c r="B8974" s="4" t="s">
        <v>4473</v>
      </c>
      <c r="C8974" s="4" t="n">
        <v>4</v>
      </c>
      <c r="D8974" s="4" t="n">
        <v>15</v>
      </c>
      <c r="E8974" s="4" t="s">
        <v>6006</v>
      </c>
      <c r="F8974" s="4" t="n">
        <v>4</v>
      </c>
      <c r="G8974" s="4" t="n">
        <v>9</v>
      </c>
      <c r="H8974" s="4" t="n">
        <v>4</v>
      </c>
      <c r="I8974" s="4" t="str">
        <v>×</v>
      </c>
      <c r="J8974" s="4"/>
      <c r="K8974" s="4"/>
      <c r="L8974" s="4"/>
      <c r="M8974" s="5" t="s">
        <v>5346</v>
      </c>
    </row>
    <row r="8975" customFormat="false" ht="15.75" hidden="false" customHeight="false" outlineLevel="0" collapsed="false">
      <c r="A8975" s="6" t="n">
        <v>46173</v>
      </c>
      <c r="B8975" s="4" t="s">
        <v>4473</v>
      </c>
      <c r="C8975" s="4" t="n">
        <v>4</v>
      </c>
      <c r="D8975" s="4" t="n">
        <v>16</v>
      </c>
      <c r="E8975" s="4" t="s">
        <v>3327</v>
      </c>
      <c r="F8975" s="4" t="n">
        <v>8</v>
      </c>
      <c r="G8975" s="4" t="n">
        <v>7</v>
      </c>
      <c r="H8975" s="4" t="n">
        <v>4</v>
      </c>
      <c r="I8975" s="4" t="str">
        <v>×</v>
      </c>
      <c r="J8975" s="4"/>
      <c r="K8975" s="4"/>
      <c r="L8975" s="4"/>
      <c r="M8975" s="5" t="s">
        <v>5346</v>
      </c>
    </row>
    <row r="8976" customFormat="false" ht="15.75" hidden="false" customHeight="false" outlineLevel="0" collapsed="false">
      <c r="A8976" s="6" t="n">
        <v>46173</v>
      </c>
      <c r="B8976" s="4" t="s">
        <v>4473</v>
      </c>
      <c r="C8976" s="4" t="n">
        <v>4</v>
      </c>
      <c r="D8976" s="4" t="n">
        <v>17</v>
      </c>
      <c r="E8976" s="4" t="s">
        <v>512</v>
      </c>
      <c r="F8976" s="4" t="n">
        <v>6</v>
      </c>
      <c r="G8976" s="4" t="n">
        <v>8</v>
      </c>
      <c r="H8976" s="4" t="n">
        <v>4</v>
      </c>
      <c r="I8976" s="4" t="str">
        <v>×</v>
      </c>
      <c r="J8976" s="4"/>
      <c r="K8976" s="4"/>
      <c r="L8976" s="4"/>
      <c r="M8976" s="5" t="s">
        <v>5346</v>
      </c>
    </row>
    <row r="8977" customFormat="false" ht="15.75" hidden="false" customHeight="false" outlineLevel="0" collapsed="false">
      <c r="A8977" s="6" t="n">
        <v>46173</v>
      </c>
      <c r="B8977" s="4" t="s">
        <v>4473</v>
      </c>
      <c r="C8977" s="4" t="n">
        <v>4</v>
      </c>
      <c r="D8977" s="4" t="n">
        <v>18</v>
      </c>
      <c r="E8977" s="4" t="s">
        <v>599</v>
      </c>
      <c r="F8977" s="4" t="n">
        <v>3</v>
      </c>
      <c r="G8977" s="4" t="n">
        <v>10</v>
      </c>
      <c r="H8977" s="4" t="n">
        <v>4</v>
      </c>
      <c r="I8977" s="4" t="str">
        <v>×</v>
      </c>
      <c r="J8977" s="4"/>
      <c r="K8977" s="4"/>
      <c r="L8977" s="4"/>
      <c r="M8977" s="5" t="s">
        <v>5346</v>
      </c>
    </row>
    <row r="8978" customFormat="false" ht="15.75" hidden="false" customHeight="false" outlineLevel="0" collapsed="false">
      <c r="A8978" s="6" t="n">
        <v>46173</v>
      </c>
      <c r="B8978" s="4" t="s">
        <v>4473</v>
      </c>
      <c r="C8978" s="4" t="n">
        <v>5</v>
      </c>
      <c r="D8978" s="4" t="n">
        <v>1</v>
      </c>
      <c r="E8978" s="4" t="s">
        <v>3412</v>
      </c>
      <c r="F8978" s="4" t="n">
        <v>58</v>
      </c>
      <c r="G8978" s="4" t="n">
        <v>2</v>
      </c>
      <c r="H8978" s="4" t="n">
        <v>4</v>
      </c>
      <c r="I8978" s="4" t="str">
        <v>×</v>
      </c>
      <c r="J8978" s="4"/>
      <c r="K8978" s="4"/>
      <c r="L8978" s="4"/>
      <c r="M8978" s="5" t="s">
        <v>5346</v>
      </c>
    </row>
    <row r="8979" customFormat="false" ht="15.75" hidden="false" customHeight="false" outlineLevel="0" collapsed="false">
      <c r="A8979" s="6" t="n">
        <v>46173</v>
      </c>
      <c r="B8979" s="4" t="s">
        <v>4473</v>
      </c>
      <c r="C8979" s="4" t="n">
        <v>5</v>
      </c>
      <c r="D8979" s="4" t="n">
        <v>2</v>
      </c>
      <c r="E8979" s="4" t="s">
        <v>4449</v>
      </c>
      <c r="F8979" s="4" t="n">
        <v>23</v>
      </c>
      <c r="G8979" s="4" t="n">
        <v>5</v>
      </c>
      <c r="H8979" s="4" t="n">
        <v>4</v>
      </c>
      <c r="I8979" s="4" t="str">
        <v>×</v>
      </c>
      <c r="J8979" s="4"/>
      <c r="K8979" s="4"/>
      <c r="L8979" s="4"/>
      <c r="M8979" s="5" t="s">
        <v>5346</v>
      </c>
    </row>
    <row r="8980" customFormat="false" ht="15.75" hidden="false" customHeight="false" outlineLevel="0" collapsed="false">
      <c r="A8980" s="6" t="n">
        <v>46173</v>
      </c>
      <c r="B8980" s="4" t="s">
        <v>4473</v>
      </c>
      <c r="C8980" s="4" t="n">
        <v>5</v>
      </c>
      <c r="D8980" s="4" t="n">
        <v>3</v>
      </c>
      <c r="E8980" s="4" t="s">
        <v>6007</v>
      </c>
      <c r="F8980" s="4" t="n">
        <v>13</v>
      </c>
      <c r="G8980" s="4" t="n">
        <v>8</v>
      </c>
      <c r="H8980" s="4" t="n">
        <v>4</v>
      </c>
      <c r="I8980" s="4" t="str">
        <v>×</v>
      </c>
      <c r="J8980" s="4"/>
      <c r="K8980" s="4"/>
      <c r="L8980" s="4"/>
      <c r="M8980" s="5" t="s">
        <v>5346</v>
      </c>
    </row>
    <row r="8981" customFormat="false" ht="15.75" hidden="false" customHeight="false" outlineLevel="0" collapsed="false">
      <c r="A8981" s="6" t="n">
        <v>46173</v>
      </c>
      <c r="B8981" s="4" t="s">
        <v>4473</v>
      </c>
      <c r="C8981" s="4" t="n">
        <v>5</v>
      </c>
      <c r="D8981" s="4" t="n">
        <v>4</v>
      </c>
      <c r="E8981" s="4" t="s">
        <v>6008</v>
      </c>
      <c r="F8981" s="4" t="n">
        <v>56</v>
      </c>
      <c r="G8981" s="4" t="n">
        <v>3</v>
      </c>
      <c r="H8981" s="4" t="n">
        <v>1</v>
      </c>
      <c r="I8981" s="4" t="str">
        <v>○</v>
      </c>
      <c r="J8981" s="4" t="n">
        <v>140</v>
      </c>
      <c r="K8981" s="4"/>
      <c r="L8981" s="4"/>
      <c r="M8981" s="5" t="s">
        <v>5346</v>
      </c>
    </row>
    <row r="8982" customFormat="false" ht="15.75" hidden="false" customHeight="false" outlineLevel="0" collapsed="false">
      <c r="A8982" s="6" t="n">
        <v>46173</v>
      </c>
      <c r="B8982" s="4" t="s">
        <v>4473</v>
      </c>
      <c r="C8982" s="4" t="n">
        <v>5</v>
      </c>
      <c r="D8982" s="4" t="n">
        <v>5</v>
      </c>
      <c r="E8982" s="4" t="s">
        <v>6009</v>
      </c>
      <c r="F8982" s="4" t="n">
        <v>17</v>
      </c>
      <c r="G8982" s="4" t="n">
        <v>6</v>
      </c>
      <c r="H8982" s="4" t="n">
        <v>4</v>
      </c>
      <c r="I8982" s="4" t="str">
        <v>×</v>
      </c>
      <c r="J8982" s="4"/>
      <c r="K8982" s="4"/>
      <c r="L8982" s="4"/>
      <c r="M8982" s="5" t="s">
        <v>5346</v>
      </c>
    </row>
    <row r="8983" customFormat="false" ht="15.75" hidden="false" customHeight="false" outlineLevel="0" collapsed="false">
      <c r="A8983" s="6" t="n">
        <v>46173</v>
      </c>
      <c r="B8983" s="4" t="s">
        <v>4473</v>
      </c>
      <c r="C8983" s="4" t="n">
        <v>5</v>
      </c>
      <c r="D8983" s="4" t="n">
        <v>6</v>
      </c>
      <c r="E8983" s="4" t="s">
        <v>6010</v>
      </c>
      <c r="F8983" s="4" t="n">
        <v>62</v>
      </c>
      <c r="G8983" s="4" t="n">
        <v>1</v>
      </c>
      <c r="H8983" s="4" t="n">
        <v>4</v>
      </c>
      <c r="I8983" s="4" t="str">
        <v>×</v>
      </c>
      <c r="J8983" s="4"/>
      <c r="K8983" s="4"/>
      <c r="L8983" s="4"/>
      <c r="M8983" s="5" t="s">
        <v>5346</v>
      </c>
    </row>
    <row r="8984" customFormat="false" ht="15.75" hidden="false" customHeight="false" outlineLevel="0" collapsed="false">
      <c r="A8984" s="6" t="n">
        <v>46173</v>
      </c>
      <c r="B8984" s="4" t="s">
        <v>4473</v>
      </c>
      <c r="C8984" s="4" t="n">
        <v>5</v>
      </c>
      <c r="D8984" s="4" t="n">
        <v>7</v>
      </c>
      <c r="E8984" s="4" t="s">
        <v>1076</v>
      </c>
      <c r="F8984" s="4" t="n">
        <v>31</v>
      </c>
      <c r="G8984" s="4" t="n">
        <v>4</v>
      </c>
      <c r="H8984" s="4" t="n">
        <v>4</v>
      </c>
      <c r="I8984" s="4" t="str">
        <v>×</v>
      </c>
      <c r="J8984" s="4"/>
      <c r="K8984" s="4"/>
      <c r="L8984" s="4"/>
      <c r="M8984" s="5" t="s">
        <v>5346</v>
      </c>
    </row>
    <row r="8985" customFormat="false" ht="15.75" hidden="false" customHeight="false" outlineLevel="0" collapsed="false">
      <c r="A8985" s="6" t="n">
        <v>46173</v>
      </c>
      <c r="B8985" s="4" t="s">
        <v>4473</v>
      </c>
      <c r="C8985" s="4" t="n">
        <v>5</v>
      </c>
      <c r="D8985" s="4" t="n">
        <v>8</v>
      </c>
      <c r="E8985" s="4" t="s">
        <v>5728</v>
      </c>
      <c r="F8985" s="4" t="n">
        <v>6</v>
      </c>
      <c r="G8985" s="4" t="n">
        <v>10</v>
      </c>
      <c r="H8985" s="4" t="n">
        <v>4</v>
      </c>
      <c r="I8985" s="4" t="str">
        <v>×</v>
      </c>
      <c r="J8985" s="4"/>
      <c r="K8985" s="4"/>
      <c r="L8985" s="4"/>
      <c r="M8985" s="5" t="s">
        <v>5346</v>
      </c>
    </row>
    <row r="8986" customFormat="false" ht="15.75" hidden="false" customHeight="false" outlineLevel="0" collapsed="false">
      <c r="A8986" s="6" t="n">
        <v>46173</v>
      </c>
      <c r="B8986" s="4" t="s">
        <v>4473</v>
      </c>
      <c r="C8986" s="4" t="n">
        <v>5</v>
      </c>
      <c r="D8986" s="4" t="n">
        <v>9</v>
      </c>
      <c r="E8986" s="4" t="s">
        <v>6011</v>
      </c>
      <c r="F8986" s="4" t="n">
        <v>10</v>
      </c>
      <c r="G8986" s="4" t="n">
        <v>9</v>
      </c>
      <c r="H8986" s="4" t="n">
        <v>4</v>
      </c>
      <c r="I8986" s="4" t="str">
        <v>×</v>
      </c>
      <c r="J8986" s="4"/>
      <c r="K8986" s="4"/>
      <c r="L8986" s="4"/>
      <c r="M8986" s="5" t="s">
        <v>5346</v>
      </c>
    </row>
    <row r="8987" customFormat="false" ht="15.75" hidden="false" customHeight="false" outlineLevel="0" collapsed="false">
      <c r="A8987" s="6" t="n">
        <v>46173</v>
      </c>
      <c r="B8987" s="4" t="s">
        <v>4473</v>
      </c>
      <c r="C8987" s="4" t="n">
        <v>5</v>
      </c>
      <c r="D8987" s="4" t="n">
        <v>10</v>
      </c>
      <c r="E8987" s="4" t="s">
        <v>6012</v>
      </c>
      <c r="F8987" s="4" t="n">
        <v>1</v>
      </c>
      <c r="G8987" s="4" t="n">
        <v>11</v>
      </c>
      <c r="H8987" s="4" t="n">
        <v>4</v>
      </c>
      <c r="I8987" s="4" t="str">
        <v>×</v>
      </c>
      <c r="J8987" s="4"/>
      <c r="K8987" s="4"/>
      <c r="L8987" s="4"/>
      <c r="M8987" s="5" t="s">
        <v>5346</v>
      </c>
    </row>
    <row r="8988" customFormat="false" ht="15.75" hidden="false" customHeight="false" outlineLevel="0" collapsed="false">
      <c r="A8988" s="6" t="n">
        <v>46173</v>
      </c>
      <c r="B8988" s="4" t="s">
        <v>4473</v>
      </c>
      <c r="C8988" s="4" t="n">
        <v>5</v>
      </c>
      <c r="D8988" s="4" t="n">
        <v>11</v>
      </c>
      <c r="E8988" s="4" t="s">
        <v>4986</v>
      </c>
      <c r="F8988" s="4" t="n">
        <v>15</v>
      </c>
      <c r="G8988" s="4" t="n">
        <v>7</v>
      </c>
      <c r="H8988" s="4" t="n">
        <v>2</v>
      </c>
      <c r="I8988" s="4" t="str">
        <v>○</v>
      </c>
      <c r="J8988" s="4" t="n">
        <v>430</v>
      </c>
      <c r="K8988" s="4"/>
      <c r="L8988" s="4"/>
      <c r="M8988" s="5" t="s">
        <v>5346</v>
      </c>
    </row>
    <row r="8989" customFormat="false" ht="15.75" hidden="false" customHeight="false" outlineLevel="0" collapsed="false">
      <c r="A8989" s="6" t="n">
        <v>46173</v>
      </c>
      <c r="B8989" s="4" t="s">
        <v>4473</v>
      </c>
      <c r="C8989" s="4" t="n">
        <v>5</v>
      </c>
      <c r="D8989" s="4" t="n">
        <v>12</v>
      </c>
      <c r="E8989" s="4" t="s">
        <v>2759</v>
      </c>
      <c r="F8989" s="4" t="n">
        <v>15</v>
      </c>
      <c r="G8989" s="4" t="n">
        <v>7</v>
      </c>
      <c r="H8989" s="4" t="n">
        <v>3</v>
      </c>
      <c r="I8989" s="4" t="str">
        <v>○</v>
      </c>
      <c r="J8989" s="4" t="n">
        <v>810</v>
      </c>
      <c r="K8989" s="4"/>
      <c r="L8989" s="4"/>
      <c r="M8989" s="5" t="s">
        <v>5346</v>
      </c>
    </row>
    <row r="8990" customFormat="false" ht="15.75" hidden="false" customHeight="false" outlineLevel="0" collapsed="false">
      <c r="A8990" s="6" t="n">
        <v>46173</v>
      </c>
      <c r="B8990" s="4" t="s">
        <v>4473</v>
      </c>
      <c r="C8990" s="4" t="n">
        <v>5</v>
      </c>
      <c r="D8990" s="4" t="n">
        <v>13</v>
      </c>
      <c r="E8990" s="4" t="s">
        <v>6013</v>
      </c>
      <c r="F8990" s="4" t="n">
        <v>23</v>
      </c>
      <c r="G8990" s="4" t="n">
        <v>5</v>
      </c>
      <c r="H8990" s="4" t="n">
        <v>4</v>
      </c>
      <c r="I8990" s="4" t="str">
        <v>×</v>
      </c>
      <c r="J8990" s="4"/>
      <c r="K8990" s="4"/>
      <c r="L8990" s="4"/>
      <c r="M8990" s="5" t="s">
        <v>5346</v>
      </c>
    </row>
    <row r="8991" customFormat="false" ht="15.75" hidden="false" customHeight="false" outlineLevel="0" collapsed="false">
      <c r="A8991" s="6" t="n">
        <v>46173</v>
      </c>
      <c r="B8991" s="4" t="s">
        <v>4473</v>
      </c>
      <c r="C8991" s="4" t="n">
        <v>6</v>
      </c>
      <c r="D8991" s="4" t="n">
        <v>1</v>
      </c>
      <c r="E8991" s="4" t="s">
        <v>6014</v>
      </c>
      <c r="F8991" s="4" t="n">
        <v>8</v>
      </c>
      <c r="G8991" s="4" t="n">
        <v>8</v>
      </c>
      <c r="H8991" s="4" t="n">
        <v>4</v>
      </c>
      <c r="I8991" s="4" t="str">
        <v>×</v>
      </c>
      <c r="J8991" s="4"/>
      <c r="K8991" s="4"/>
      <c r="L8991" s="4"/>
      <c r="M8991" s="5" t="s">
        <v>5346</v>
      </c>
    </row>
    <row r="8992" customFormat="false" ht="15.75" hidden="false" customHeight="false" outlineLevel="0" collapsed="false">
      <c r="A8992" s="6" t="n">
        <v>46173</v>
      </c>
      <c r="B8992" s="4" t="s">
        <v>4473</v>
      </c>
      <c r="C8992" s="4" t="n">
        <v>6</v>
      </c>
      <c r="D8992" s="4" t="n">
        <v>2</v>
      </c>
      <c r="E8992" s="4" t="s">
        <v>5472</v>
      </c>
      <c r="F8992" s="4" t="n">
        <v>3</v>
      </c>
      <c r="G8992" s="4" t="n">
        <v>9</v>
      </c>
      <c r="H8992" s="4" t="n">
        <v>4</v>
      </c>
      <c r="I8992" s="4" t="str">
        <v>×</v>
      </c>
      <c r="J8992" s="4"/>
      <c r="K8992" s="4"/>
      <c r="L8992" s="4"/>
      <c r="M8992" s="5" t="s">
        <v>5346</v>
      </c>
    </row>
    <row r="8993" customFormat="false" ht="15.75" hidden="false" customHeight="false" outlineLevel="0" collapsed="false">
      <c r="A8993" s="6" t="n">
        <v>46173</v>
      </c>
      <c r="B8993" s="4" t="s">
        <v>4473</v>
      </c>
      <c r="C8993" s="4" t="n">
        <v>6</v>
      </c>
      <c r="D8993" s="4" t="n">
        <v>3</v>
      </c>
      <c r="E8993" s="4" t="s">
        <v>4442</v>
      </c>
      <c r="F8993" s="4" t="n">
        <v>13</v>
      </c>
      <c r="G8993" s="4" t="n">
        <v>6</v>
      </c>
      <c r="H8993" s="4" t="n">
        <v>4</v>
      </c>
      <c r="I8993" s="4" t="str">
        <v>×</v>
      </c>
      <c r="J8993" s="4"/>
      <c r="K8993" s="4"/>
      <c r="L8993" s="4"/>
      <c r="M8993" s="5" t="s">
        <v>5346</v>
      </c>
    </row>
    <row r="8994" customFormat="false" ht="15.75" hidden="false" customHeight="false" outlineLevel="0" collapsed="false">
      <c r="A8994" s="6" t="n">
        <v>46173</v>
      </c>
      <c r="B8994" s="4" t="s">
        <v>4473</v>
      </c>
      <c r="C8994" s="4" t="n">
        <v>6</v>
      </c>
      <c r="D8994" s="4" t="n">
        <v>4</v>
      </c>
      <c r="E8994" s="4" t="s">
        <v>1348</v>
      </c>
      <c r="F8994" s="4" t="n">
        <v>66</v>
      </c>
      <c r="G8994" s="4" t="n">
        <v>1</v>
      </c>
      <c r="H8994" s="4" t="n">
        <v>2</v>
      </c>
      <c r="I8994" s="4" t="str">
        <v>○</v>
      </c>
      <c r="J8994" s="4" t="n">
        <v>140</v>
      </c>
      <c r="K8994" s="4"/>
      <c r="L8994" s="4"/>
      <c r="M8994" s="5" t="s">
        <v>5346</v>
      </c>
    </row>
    <row r="8995" customFormat="false" ht="15.75" hidden="false" customHeight="false" outlineLevel="0" collapsed="false">
      <c r="A8995" s="6" t="n">
        <v>46173</v>
      </c>
      <c r="B8995" s="4" t="s">
        <v>4473</v>
      </c>
      <c r="C8995" s="4" t="n">
        <v>6</v>
      </c>
      <c r="D8995" s="4" t="n">
        <v>5</v>
      </c>
      <c r="E8995" s="4" t="s">
        <v>6015</v>
      </c>
      <c r="F8995" s="4" t="n">
        <v>23</v>
      </c>
      <c r="G8995" s="4" t="n">
        <v>5</v>
      </c>
      <c r="H8995" s="4" t="n">
        <v>4</v>
      </c>
      <c r="I8995" s="4" t="str">
        <v>×</v>
      </c>
      <c r="J8995" s="4"/>
      <c r="K8995" s="4"/>
      <c r="L8995" s="4"/>
      <c r="M8995" s="5" t="s">
        <v>5346</v>
      </c>
    </row>
    <row r="8996" customFormat="false" ht="15.75" hidden="false" customHeight="false" outlineLevel="0" collapsed="false">
      <c r="A8996" s="6" t="n">
        <v>46173</v>
      </c>
      <c r="B8996" s="4" t="s">
        <v>4473</v>
      </c>
      <c r="C8996" s="4" t="n">
        <v>6</v>
      </c>
      <c r="D8996" s="4" t="n">
        <v>6</v>
      </c>
      <c r="E8996" s="4" t="s">
        <v>3747</v>
      </c>
      <c r="F8996" s="4" t="n">
        <v>25</v>
      </c>
      <c r="G8996" s="4" t="n">
        <v>4</v>
      </c>
      <c r="H8996" s="4" t="n">
        <v>1</v>
      </c>
      <c r="I8996" s="4" t="str">
        <v>○</v>
      </c>
      <c r="J8996" s="4" t="n">
        <v>120</v>
      </c>
      <c r="K8996" s="4"/>
      <c r="L8996" s="4"/>
      <c r="M8996" s="5" t="s">
        <v>5346</v>
      </c>
    </row>
    <row r="8997" customFormat="false" ht="15.75" hidden="false" customHeight="false" outlineLevel="0" collapsed="false">
      <c r="A8997" s="6" t="n">
        <v>46173</v>
      </c>
      <c r="B8997" s="4" t="s">
        <v>4473</v>
      </c>
      <c r="C8997" s="4" t="n">
        <v>6</v>
      </c>
      <c r="D8997" s="4" t="n">
        <v>7</v>
      </c>
      <c r="E8997" s="4" t="s">
        <v>5179</v>
      </c>
      <c r="F8997" s="4" t="n">
        <v>10</v>
      </c>
      <c r="G8997" s="4" t="n">
        <v>7</v>
      </c>
      <c r="H8997" s="4" t="n">
        <v>4</v>
      </c>
      <c r="I8997" s="4" t="str">
        <v>×</v>
      </c>
      <c r="J8997" s="4"/>
      <c r="K8997" s="4"/>
      <c r="L8997" s="4"/>
      <c r="M8997" s="5" t="s">
        <v>5346</v>
      </c>
    </row>
    <row r="8998" customFormat="false" ht="15.75" hidden="false" customHeight="false" outlineLevel="0" collapsed="false">
      <c r="A8998" s="6" t="n">
        <v>46173</v>
      </c>
      <c r="B8998" s="4" t="s">
        <v>4473</v>
      </c>
      <c r="C8998" s="4" t="n">
        <v>6</v>
      </c>
      <c r="D8998" s="4" t="n">
        <v>8</v>
      </c>
      <c r="E8998" s="4" t="s">
        <v>1485</v>
      </c>
      <c r="F8998" s="4" t="n">
        <v>39</v>
      </c>
      <c r="G8998" s="4" t="n">
        <v>3</v>
      </c>
      <c r="H8998" s="4" t="n">
        <v>4</v>
      </c>
      <c r="I8998" s="4" t="str">
        <v>×</v>
      </c>
      <c r="J8998" s="4"/>
      <c r="K8998" s="4"/>
      <c r="L8998" s="4"/>
      <c r="M8998" s="5" t="s">
        <v>5346</v>
      </c>
    </row>
    <row r="8999" customFormat="false" ht="15.75" hidden="false" customHeight="false" outlineLevel="0" collapsed="false">
      <c r="A8999" s="6" t="n">
        <v>46173</v>
      </c>
      <c r="B8999" s="4" t="s">
        <v>4473</v>
      </c>
      <c r="C8999" s="4" t="n">
        <v>6</v>
      </c>
      <c r="D8999" s="4" t="n">
        <v>9</v>
      </c>
      <c r="E8999" s="4" t="s">
        <v>6016</v>
      </c>
      <c r="F8999" s="4" t="n">
        <v>13</v>
      </c>
      <c r="G8999" s="4" t="n">
        <v>6</v>
      </c>
      <c r="H8999" s="4" t="n">
        <v>4</v>
      </c>
      <c r="I8999" s="4" t="str">
        <v>×</v>
      </c>
      <c r="J8999" s="4"/>
      <c r="K8999" s="4"/>
      <c r="L8999" s="4"/>
      <c r="M8999" s="5" t="s">
        <v>5346</v>
      </c>
    </row>
    <row r="9000" customFormat="false" ht="15.75" hidden="false" customHeight="false" outlineLevel="0" collapsed="false">
      <c r="A9000" s="6" t="n">
        <v>46173</v>
      </c>
      <c r="B9000" s="4" t="s">
        <v>4473</v>
      </c>
      <c r="C9000" s="4" t="n">
        <v>6</v>
      </c>
      <c r="D9000" s="4" t="n">
        <v>10</v>
      </c>
      <c r="E9000" s="4" t="s">
        <v>6017</v>
      </c>
      <c r="F9000" s="4" t="n">
        <v>65</v>
      </c>
      <c r="G9000" s="4" t="n">
        <v>2</v>
      </c>
      <c r="H9000" s="4" t="n">
        <v>3</v>
      </c>
      <c r="I9000" s="4" t="str">
        <v>○</v>
      </c>
      <c r="J9000" s="4" t="n">
        <v>130</v>
      </c>
      <c r="K9000" s="4"/>
      <c r="L9000" s="4"/>
      <c r="M9000" s="5" t="s">
        <v>5346</v>
      </c>
    </row>
    <row r="9001" customFormat="false" ht="15.75" hidden="false" customHeight="false" outlineLevel="0" collapsed="false">
      <c r="A9001" s="6" t="n">
        <v>46173</v>
      </c>
      <c r="B9001" s="4" t="s">
        <v>4473</v>
      </c>
      <c r="C9001" s="4" t="n">
        <v>6</v>
      </c>
      <c r="D9001" s="4" t="n">
        <v>11</v>
      </c>
      <c r="E9001" s="4" t="s">
        <v>6018</v>
      </c>
      <c r="F9001" s="4" t="n">
        <v>2</v>
      </c>
      <c r="G9001" s="4" t="n">
        <v>10</v>
      </c>
      <c r="H9001" s="4" t="n">
        <v>4</v>
      </c>
      <c r="I9001" s="4" t="str">
        <v>×</v>
      </c>
      <c r="J9001" s="4"/>
      <c r="K9001" s="4"/>
      <c r="L9001" s="4"/>
      <c r="M9001" s="5" t="s">
        <v>5346</v>
      </c>
    </row>
    <row r="9002" customFormat="false" ht="15.75" hidden="false" customHeight="false" outlineLevel="0" collapsed="false">
      <c r="A9002" s="6" t="n">
        <v>46173</v>
      </c>
      <c r="B9002" s="4" t="s">
        <v>4473</v>
      </c>
      <c r="C9002" s="4" t="n">
        <v>7</v>
      </c>
      <c r="D9002" s="4" t="n">
        <v>1</v>
      </c>
      <c r="E9002" s="4" t="s">
        <v>4471</v>
      </c>
      <c r="F9002" s="4" t="n">
        <v>34</v>
      </c>
      <c r="G9002" s="4" t="n">
        <v>4</v>
      </c>
      <c r="H9002" s="4" t="n">
        <v>4</v>
      </c>
      <c r="I9002" s="4" t="str">
        <v>×</v>
      </c>
      <c r="J9002" s="4"/>
      <c r="K9002" s="4"/>
      <c r="L9002" s="4"/>
      <c r="M9002" s="5" t="s">
        <v>5346</v>
      </c>
    </row>
    <row r="9003" customFormat="false" ht="15.75" hidden="false" customHeight="false" outlineLevel="0" collapsed="false">
      <c r="A9003" s="6" t="n">
        <v>46173</v>
      </c>
      <c r="B9003" s="4" t="s">
        <v>4473</v>
      </c>
      <c r="C9003" s="4" t="n">
        <v>7</v>
      </c>
      <c r="D9003" s="4" t="n">
        <v>2</v>
      </c>
      <c r="E9003" s="4" t="s">
        <v>6019</v>
      </c>
      <c r="F9003" s="4" t="n">
        <v>23</v>
      </c>
      <c r="G9003" s="4" t="n">
        <v>6</v>
      </c>
      <c r="H9003" s="4" t="n">
        <v>1</v>
      </c>
      <c r="I9003" s="4" t="str">
        <v>○</v>
      </c>
      <c r="J9003" s="4" t="n">
        <v>450</v>
      </c>
      <c r="K9003" s="4"/>
      <c r="L9003" s="4"/>
      <c r="M9003" s="5" t="s">
        <v>5346</v>
      </c>
    </row>
    <row r="9004" customFormat="false" ht="15.75" hidden="false" customHeight="false" outlineLevel="0" collapsed="false">
      <c r="A9004" s="6" t="n">
        <v>46173</v>
      </c>
      <c r="B9004" s="4" t="s">
        <v>4473</v>
      </c>
      <c r="C9004" s="4" t="n">
        <v>7</v>
      </c>
      <c r="D9004" s="4" t="n">
        <v>3</v>
      </c>
      <c r="E9004" s="4" t="s">
        <v>6020</v>
      </c>
      <c r="F9004" s="4" t="n">
        <v>3</v>
      </c>
      <c r="G9004" s="4" t="n">
        <v>12</v>
      </c>
      <c r="H9004" s="4" t="n">
        <v>4</v>
      </c>
      <c r="I9004" s="4" t="str">
        <v>×</v>
      </c>
      <c r="J9004" s="4"/>
      <c r="K9004" s="4"/>
      <c r="L9004" s="4"/>
      <c r="M9004" s="5" t="s">
        <v>5346</v>
      </c>
    </row>
    <row r="9005" customFormat="false" ht="15.75" hidden="false" customHeight="false" outlineLevel="0" collapsed="false">
      <c r="A9005" s="6" t="n">
        <v>46173</v>
      </c>
      <c r="B9005" s="4" t="s">
        <v>4473</v>
      </c>
      <c r="C9005" s="4" t="n">
        <v>7</v>
      </c>
      <c r="D9005" s="4" t="n">
        <v>4</v>
      </c>
      <c r="E9005" s="4" t="s">
        <v>532</v>
      </c>
      <c r="F9005" s="4" t="n">
        <v>29</v>
      </c>
      <c r="G9005" s="4" t="n">
        <v>5</v>
      </c>
      <c r="H9005" s="4" t="n">
        <v>3</v>
      </c>
      <c r="I9005" s="4" t="str">
        <v>○</v>
      </c>
      <c r="J9005" s="4" t="n">
        <v>400</v>
      </c>
      <c r="K9005" s="4"/>
      <c r="L9005" s="4"/>
      <c r="M9005" s="5" t="s">
        <v>5346</v>
      </c>
    </row>
    <row r="9006" customFormat="false" ht="15.75" hidden="false" customHeight="false" outlineLevel="0" collapsed="false">
      <c r="A9006" s="6" t="n">
        <v>46173</v>
      </c>
      <c r="B9006" s="4" t="s">
        <v>4473</v>
      </c>
      <c r="C9006" s="4" t="n">
        <v>7</v>
      </c>
      <c r="D9006" s="4" t="n">
        <v>5</v>
      </c>
      <c r="E9006" s="4" t="s">
        <v>6021</v>
      </c>
      <c r="F9006" s="4" t="n">
        <v>62</v>
      </c>
      <c r="G9006" s="4" t="n">
        <v>1</v>
      </c>
      <c r="H9006" s="4" t="n">
        <v>4</v>
      </c>
      <c r="I9006" s="4" t="str">
        <v>×</v>
      </c>
      <c r="J9006" s="4"/>
      <c r="K9006" s="4"/>
      <c r="L9006" s="4"/>
      <c r="M9006" s="5" t="s">
        <v>5346</v>
      </c>
    </row>
    <row r="9007" customFormat="false" ht="15.75" hidden="false" customHeight="false" outlineLevel="0" collapsed="false">
      <c r="A9007" s="6" t="n">
        <v>46173</v>
      </c>
      <c r="B9007" s="4" t="s">
        <v>4473</v>
      </c>
      <c r="C9007" s="4" t="n">
        <v>7</v>
      </c>
      <c r="D9007" s="4" t="n">
        <v>6</v>
      </c>
      <c r="E9007" s="4" t="s">
        <v>6022</v>
      </c>
      <c r="F9007" s="4" t="n">
        <v>8</v>
      </c>
      <c r="G9007" s="4" t="n">
        <v>10</v>
      </c>
      <c r="H9007" s="4" t="n">
        <v>4</v>
      </c>
      <c r="I9007" s="4" t="str">
        <v>×</v>
      </c>
      <c r="J9007" s="4"/>
      <c r="K9007" s="4"/>
      <c r="L9007" s="4"/>
      <c r="M9007" s="5" t="s">
        <v>5346</v>
      </c>
    </row>
    <row r="9008" customFormat="false" ht="15.75" hidden="false" customHeight="false" outlineLevel="0" collapsed="false">
      <c r="A9008" s="6" t="n">
        <v>46173</v>
      </c>
      <c r="B9008" s="4" t="s">
        <v>4473</v>
      </c>
      <c r="C9008" s="4" t="n">
        <v>7</v>
      </c>
      <c r="D9008" s="4" t="n">
        <v>7</v>
      </c>
      <c r="E9008" s="4" t="s">
        <v>2012</v>
      </c>
      <c r="F9008" s="4" t="n">
        <v>2</v>
      </c>
      <c r="G9008" s="4" t="n">
        <v>13</v>
      </c>
      <c r="H9008" s="4" t="n">
        <v>4</v>
      </c>
      <c r="I9008" s="4" t="str">
        <v>×</v>
      </c>
      <c r="J9008" s="4"/>
      <c r="K9008" s="4"/>
      <c r="L9008" s="4"/>
      <c r="M9008" s="5" t="s">
        <v>5346</v>
      </c>
    </row>
    <row r="9009" customFormat="false" ht="15.75" hidden="false" customHeight="false" outlineLevel="0" collapsed="false">
      <c r="A9009" s="6" t="n">
        <v>46173</v>
      </c>
      <c r="B9009" s="4" t="s">
        <v>4473</v>
      </c>
      <c r="C9009" s="4" t="n">
        <v>7</v>
      </c>
      <c r="D9009" s="4" t="n">
        <v>8</v>
      </c>
      <c r="E9009" s="4" t="s">
        <v>6023</v>
      </c>
      <c r="F9009" s="4" t="n">
        <v>8</v>
      </c>
      <c r="G9009" s="4" t="n">
        <v>10</v>
      </c>
      <c r="H9009" s="4" t="n">
        <v>2</v>
      </c>
      <c r="I9009" s="4" t="str">
        <v>○</v>
      </c>
      <c r="J9009" s="4" t="n">
        <v>1720</v>
      </c>
      <c r="K9009" s="4"/>
      <c r="L9009" s="4"/>
      <c r="M9009" s="5" t="s">
        <v>5346</v>
      </c>
    </row>
    <row r="9010" customFormat="false" ht="15.75" hidden="false" customHeight="false" outlineLevel="0" collapsed="false">
      <c r="A9010" s="6" t="n">
        <v>46173</v>
      </c>
      <c r="B9010" s="4" t="s">
        <v>4473</v>
      </c>
      <c r="C9010" s="4" t="n">
        <v>7</v>
      </c>
      <c r="D9010" s="4" t="n">
        <v>9</v>
      </c>
      <c r="E9010" s="4" t="s">
        <v>6024</v>
      </c>
      <c r="F9010" s="4" t="n">
        <v>13</v>
      </c>
      <c r="G9010" s="4" t="n">
        <v>9</v>
      </c>
      <c r="H9010" s="4" t="n">
        <v>4</v>
      </c>
      <c r="I9010" s="4" t="str">
        <v>×</v>
      </c>
      <c r="J9010" s="4"/>
      <c r="K9010" s="4"/>
      <c r="L9010" s="4"/>
      <c r="M9010" s="5" t="s">
        <v>5346</v>
      </c>
    </row>
    <row r="9011" customFormat="false" ht="15.75" hidden="false" customHeight="false" outlineLevel="0" collapsed="false">
      <c r="A9011" s="6" t="n">
        <v>46173</v>
      </c>
      <c r="B9011" s="4" t="s">
        <v>4473</v>
      </c>
      <c r="C9011" s="4" t="n">
        <v>7</v>
      </c>
      <c r="D9011" s="4" t="n">
        <v>10</v>
      </c>
      <c r="E9011" s="4" t="s">
        <v>6025</v>
      </c>
      <c r="F9011" s="4" t="n">
        <v>3</v>
      </c>
      <c r="G9011" s="4" t="n">
        <v>12</v>
      </c>
      <c r="H9011" s="4" t="n">
        <v>4</v>
      </c>
      <c r="I9011" s="4" t="str">
        <v>×</v>
      </c>
      <c r="J9011" s="4"/>
      <c r="K9011" s="4"/>
      <c r="L9011" s="4"/>
      <c r="M9011" s="5" t="s">
        <v>5346</v>
      </c>
    </row>
    <row r="9012" customFormat="false" ht="15.75" hidden="false" customHeight="false" outlineLevel="0" collapsed="false">
      <c r="A9012" s="6" t="n">
        <v>46173</v>
      </c>
      <c r="B9012" s="4" t="s">
        <v>4473</v>
      </c>
      <c r="C9012" s="4" t="n">
        <v>7</v>
      </c>
      <c r="D9012" s="4" t="n">
        <v>11</v>
      </c>
      <c r="E9012" s="4" t="s">
        <v>6026</v>
      </c>
      <c r="F9012" s="4" t="n">
        <v>37</v>
      </c>
      <c r="G9012" s="4" t="n">
        <v>3</v>
      </c>
      <c r="H9012" s="4" t="n">
        <v>4</v>
      </c>
      <c r="I9012" s="4" t="str">
        <v>×</v>
      </c>
      <c r="J9012" s="4"/>
      <c r="K9012" s="4"/>
      <c r="L9012" s="4"/>
      <c r="M9012" s="5" t="s">
        <v>5346</v>
      </c>
    </row>
    <row r="9013" customFormat="false" ht="15.75" hidden="false" customHeight="false" outlineLevel="0" collapsed="false">
      <c r="A9013" s="6" t="n">
        <v>46173</v>
      </c>
      <c r="B9013" s="4" t="s">
        <v>4473</v>
      </c>
      <c r="C9013" s="4" t="n">
        <v>7</v>
      </c>
      <c r="D9013" s="4" t="n">
        <v>12</v>
      </c>
      <c r="E9013" s="4" t="s">
        <v>408</v>
      </c>
      <c r="F9013" s="4" t="n">
        <v>13</v>
      </c>
      <c r="G9013" s="4" t="n">
        <v>9</v>
      </c>
      <c r="H9013" s="4" t="n">
        <v>4</v>
      </c>
      <c r="I9013" s="4" t="str">
        <v>×</v>
      </c>
      <c r="J9013" s="4"/>
      <c r="K9013" s="4"/>
      <c r="L9013" s="4"/>
      <c r="M9013" s="5" t="s">
        <v>5346</v>
      </c>
    </row>
    <row r="9014" customFormat="false" ht="15.75" hidden="false" customHeight="false" outlineLevel="0" collapsed="false">
      <c r="A9014" s="6" t="n">
        <v>46173</v>
      </c>
      <c r="B9014" s="4" t="s">
        <v>4473</v>
      </c>
      <c r="C9014" s="4" t="n">
        <v>7</v>
      </c>
      <c r="D9014" s="4" t="n">
        <v>13</v>
      </c>
      <c r="E9014" s="4" t="s">
        <v>4722</v>
      </c>
      <c r="F9014" s="4" t="n">
        <v>44</v>
      </c>
      <c r="G9014" s="4" t="n">
        <v>2</v>
      </c>
      <c r="H9014" s="4" t="n">
        <v>4</v>
      </c>
      <c r="I9014" s="4" t="str">
        <v>×</v>
      </c>
      <c r="J9014" s="4"/>
      <c r="K9014" s="4"/>
      <c r="L9014" s="4"/>
      <c r="M9014" s="5" t="s">
        <v>5346</v>
      </c>
    </row>
    <row r="9015" customFormat="false" ht="15.75" hidden="false" customHeight="false" outlineLevel="0" collapsed="false">
      <c r="A9015" s="6" t="n">
        <v>46173</v>
      </c>
      <c r="B9015" s="4" t="s">
        <v>4473</v>
      </c>
      <c r="C9015" s="4" t="n">
        <v>7</v>
      </c>
      <c r="D9015" s="4" t="n">
        <v>14</v>
      </c>
      <c r="E9015" s="4" t="s">
        <v>6027</v>
      </c>
      <c r="F9015" s="4" t="n">
        <v>4</v>
      </c>
      <c r="G9015" s="4" t="n">
        <v>11</v>
      </c>
      <c r="H9015" s="4" t="n">
        <v>4</v>
      </c>
      <c r="I9015" s="4" t="str">
        <v>×</v>
      </c>
      <c r="J9015" s="4"/>
      <c r="K9015" s="4"/>
      <c r="L9015" s="4"/>
      <c r="M9015" s="5" t="s">
        <v>5346</v>
      </c>
    </row>
    <row r="9016" customFormat="false" ht="15.75" hidden="false" customHeight="false" outlineLevel="0" collapsed="false">
      <c r="A9016" s="6" t="n">
        <v>46173</v>
      </c>
      <c r="B9016" s="4" t="s">
        <v>4473</v>
      </c>
      <c r="C9016" s="4" t="n">
        <v>7</v>
      </c>
      <c r="D9016" s="4" t="n">
        <v>15</v>
      </c>
      <c r="E9016" s="4" t="s">
        <v>6028</v>
      </c>
      <c r="F9016" s="4" t="n">
        <v>17</v>
      </c>
      <c r="G9016" s="4" t="n">
        <v>7</v>
      </c>
      <c r="H9016" s="4" t="n">
        <v>4</v>
      </c>
      <c r="I9016" s="4" t="str">
        <v>×</v>
      </c>
      <c r="J9016" s="4"/>
      <c r="K9016" s="4"/>
      <c r="L9016" s="4"/>
      <c r="M9016" s="5" t="s">
        <v>5346</v>
      </c>
    </row>
    <row r="9017" customFormat="false" ht="15.75" hidden="false" customHeight="false" outlineLevel="0" collapsed="false">
      <c r="A9017" s="6" t="n">
        <v>46173</v>
      </c>
      <c r="B9017" s="4" t="s">
        <v>4473</v>
      </c>
      <c r="C9017" s="4" t="n">
        <v>7</v>
      </c>
      <c r="D9017" s="4" t="n">
        <v>16</v>
      </c>
      <c r="E9017" s="4" t="s">
        <v>6029</v>
      </c>
      <c r="F9017" s="4" t="n">
        <v>15</v>
      </c>
      <c r="G9017" s="4" t="n">
        <v>8</v>
      </c>
      <c r="H9017" s="4" t="n">
        <v>4</v>
      </c>
      <c r="I9017" s="4" t="str">
        <v>×</v>
      </c>
      <c r="J9017" s="4"/>
      <c r="K9017" s="4"/>
      <c r="L9017" s="4"/>
      <c r="M9017" s="5" t="s">
        <v>5346</v>
      </c>
    </row>
    <row r="9018" customFormat="false" ht="15.75" hidden="false" customHeight="false" outlineLevel="0" collapsed="false">
      <c r="A9018" s="6" t="n">
        <v>46173</v>
      </c>
      <c r="B9018" s="4" t="s">
        <v>4473</v>
      </c>
      <c r="C9018" s="4" t="n">
        <v>8</v>
      </c>
      <c r="D9018" s="4" t="n">
        <v>1</v>
      </c>
      <c r="E9018" s="4" t="s">
        <v>437</v>
      </c>
      <c r="F9018" s="4" t="n">
        <v>31</v>
      </c>
      <c r="G9018" s="4" t="n">
        <v>3</v>
      </c>
      <c r="H9018" s="4" t="n">
        <v>4</v>
      </c>
      <c r="I9018" s="4" t="str">
        <v>×</v>
      </c>
      <c r="J9018" s="4"/>
      <c r="K9018" s="4"/>
      <c r="L9018" s="4"/>
      <c r="M9018" s="5" t="s">
        <v>5346</v>
      </c>
    </row>
    <row r="9019" customFormat="false" ht="15.75" hidden="false" customHeight="false" outlineLevel="0" collapsed="false">
      <c r="A9019" s="6" t="n">
        <v>46173</v>
      </c>
      <c r="B9019" s="4" t="s">
        <v>4473</v>
      </c>
      <c r="C9019" s="4" t="n">
        <v>8</v>
      </c>
      <c r="D9019" s="4" t="n">
        <v>2</v>
      </c>
      <c r="E9019" s="4" t="s">
        <v>6030</v>
      </c>
      <c r="F9019" s="4" t="n">
        <v>10</v>
      </c>
      <c r="G9019" s="4" t="n">
        <v>6</v>
      </c>
      <c r="H9019" s="4" t="n">
        <v>4</v>
      </c>
      <c r="I9019" s="4" t="str">
        <v>×</v>
      </c>
      <c r="J9019" s="4"/>
      <c r="K9019" s="4"/>
      <c r="L9019" s="4"/>
      <c r="M9019" s="5" t="s">
        <v>5346</v>
      </c>
    </row>
    <row r="9020" customFormat="false" ht="15.75" hidden="false" customHeight="false" outlineLevel="0" collapsed="false">
      <c r="A9020" s="6" t="n">
        <v>46173</v>
      </c>
      <c r="B9020" s="4" t="s">
        <v>4473</v>
      </c>
      <c r="C9020" s="4" t="n">
        <v>8</v>
      </c>
      <c r="D9020" s="4" t="n">
        <v>3</v>
      </c>
      <c r="E9020" s="4" t="s">
        <v>6031</v>
      </c>
      <c r="F9020" s="4" t="n">
        <v>2</v>
      </c>
      <c r="G9020" s="4" t="n">
        <v>10</v>
      </c>
      <c r="H9020" s="4" t="n">
        <v>4</v>
      </c>
      <c r="I9020" s="4" t="str">
        <v>×</v>
      </c>
      <c r="J9020" s="4"/>
      <c r="K9020" s="4"/>
      <c r="L9020" s="4"/>
      <c r="M9020" s="5" t="s">
        <v>5346</v>
      </c>
    </row>
    <row r="9021" customFormat="false" ht="15.75" hidden="false" customHeight="false" outlineLevel="0" collapsed="false">
      <c r="A9021" s="6" t="n">
        <v>46173</v>
      </c>
      <c r="B9021" s="4" t="s">
        <v>4473</v>
      </c>
      <c r="C9021" s="4" t="n">
        <v>8</v>
      </c>
      <c r="D9021" s="4" t="n">
        <v>4</v>
      </c>
      <c r="E9021" s="4" t="s">
        <v>6032</v>
      </c>
      <c r="F9021" s="4" t="n">
        <v>52</v>
      </c>
      <c r="G9021" s="4" t="n">
        <v>1</v>
      </c>
      <c r="H9021" s="4" t="n">
        <v>3</v>
      </c>
      <c r="I9021" s="4" t="str">
        <v>○</v>
      </c>
      <c r="J9021" s="4" t="n">
        <v>170</v>
      </c>
      <c r="K9021" s="4"/>
      <c r="L9021" s="4"/>
      <c r="M9021" s="5" t="s">
        <v>5346</v>
      </c>
    </row>
    <row r="9022" customFormat="false" ht="15.75" hidden="false" customHeight="false" outlineLevel="0" collapsed="false">
      <c r="A9022" s="6" t="n">
        <v>46173</v>
      </c>
      <c r="B9022" s="4" t="s">
        <v>4473</v>
      </c>
      <c r="C9022" s="4" t="n">
        <v>8</v>
      </c>
      <c r="D9022" s="4" t="n">
        <v>5</v>
      </c>
      <c r="E9022" s="4" t="s">
        <v>2522</v>
      </c>
      <c r="F9022" s="4" t="n">
        <v>6</v>
      </c>
      <c r="G9022" s="4" t="n">
        <v>8</v>
      </c>
      <c r="H9022" s="4" t="n">
        <v>4</v>
      </c>
      <c r="I9022" s="4" t="str">
        <v>×</v>
      </c>
      <c r="J9022" s="4"/>
      <c r="K9022" s="4"/>
      <c r="L9022" s="4"/>
      <c r="M9022" s="5" t="s">
        <v>5346</v>
      </c>
    </row>
    <row r="9023" customFormat="false" ht="15.75" hidden="false" customHeight="false" outlineLevel="0" collapsed="false">
      <c r="A9023" s="6" t="n">
        <v>46173</v>
      </c>
      <c r="B9023" s="4" t="s">
        <v>4473</v>
      </c>
      <c r="C9023" s="4" t="n">
        <v>8</v>
      </c>
      <c r="D9023" s="4" t="n">
        <v>6</v>
      </c>
      <c r="E9023" s="4" t="s">
        <v>6033</v>
      </c>
      <c r="F9023" s="4" t="n">
        <v>41</v>
      </c>
      <c r="G9023" s="4" t="n">
        <v>2</v>
      </c>
      <c r="H9023" s="4" t="n">
        <v>4</v>
      </c>
      <c r="I9023" s="4" t="str">
        <v>×</v>
      </c>
      <c r="J9023" s="4"/>
      <c r="K9023" s="4"/>
      <c r="L9023" s="4"/>
      <c r="M9023" s="5" t="s">
        <v>5346</v>
      </c>
    </row>
    <row r="9024" customFormat="false" ht="15.75" hidden="false" customHeight="false" outlineLevel="0" collapsed="false">
      <c r="A9024" s="6" t="n">
        <v>46173</v>
      </c>
      <c r="B9024" s="4" t="s">
        <v>4473</v>
      </c>
      <c r="C9024" s="4" t="n">
        <v>8</v>
      </c>
      <c r="D9024" s="4" t="n">
        <v>7</v>
      </c>
      <c r="E9024" s="4" t="s">
        <v>6034</v>
      </c>
      <c r="F9024" s="4" t="n">
        <v>8</v>
      </c>
      <c r="G9024" s="4" t="n">
        <v>7</v>
      </c>
      <c r="H9024" s="4" t="n">
        <v>2</v>
      </c>
      <c r="I9024" s="4" t="str">
        <v>○</v>
      </c>
      <c r="J9024" s="4" t="n">
        <v>750</v>
      </c>
      <c r="K9024" s="4"/>
      <c r="L9024" s="4"/>
      <c r="M9024" s="5" t="s">
        <v>5346</v>
      </c>
    </row>
    <row r="9025" customFormat="false" ht="15.75" hidden="false" customHeight="false" outlineLevel="0" collapsed="false">
      <c r="A9025" s="6" t="n">
        <v>46173</v>
      </c>
      <c r="B9025" s="4" t="s">
        <v>4473</v>
      </c>
      <c r="C9025" s="4" t="n">
        <v>8</v>
      </c>
      <c r="D9025" s="4" t="n">
        <v>8</v>
      </c>
      <c r="E9025" s="4" t="s">
        <v>3754</v>
      </c>
      <c r="F9025" s="4" t="n">
        <v>20</v>
      </c>
      <c r="G9025" s="4" t="n">
        <v>4</v>
      </c>
      <c r="H9025" s="4" t="n">
        <v>4</v>
      </c>
      <c r="I9025" s="4" t="str">
        <v>×</v>
      </c>
      <c r="J9025" s="4"/>
      <c r="K9025" s="4"/>
      <c r="L9025" s="4"/>
      <c r="M9025" s="5" t="s">
        <v>5346</v>
      </c>
    </row>
    <row r="9026" customFormat="false" ht="15.75" hidden="false" customHeight="false" outlineLevel="0" collapsed="false">
      <c r="A9026" s="6" t="n">
        <v>46173</v>
      </c>
      <c r="B9026" s="4" t="s">
        <v>4473</v>
      </c>
      <c r="C9026" s="4" t="n">
        <v>8</v>
      </c>
      <c r="D9026" s="4" t="n">
        <v>9</v>
      </c>
      <c r="E9026" s="4" t="s">
        <v>6035</v>
      </c>
      <c r="F9026" s="4" t="n">
        <v>4</v>
      </c>
      <c r="G9026" s="4" t="n">
        <v>9</v>
      </c>
      <c r="H9026" s="4" t="n">
        <v>4</v>
      </c>
      <c r="I9026" s="4" t="str">
        <v>×</v>
      </c>
      <c r="J9026" s="4"/>
      <c r="K9026" s="4"/>
      <c r="L9026" s="4"/>
      <c r="M9026" s="5" t="s">
        <v>5346</v>
      </c>
    </row>
    <row r="9027" customFormat="false" ht="15.75" hidden="false" customHeight="false" outlineLevel="0" collapsed="false">
      <c r="A9027" s="6" t="n">
        <v>46173</v>
      </c>
      <c r="B9027" s="4" t="s">
        <v>4473</v>
      </c>
      <c r="C9027" s="4" t="n">
        <v>8</v>
      </c>
      <c r="D9027" s="4" t="n">
        <v>10</v>
      </c>
      <c r="E9027" s="4" t="s">
        <v>2524</v>
      </c>
      <c r="F9027" s="4" t="n">
        <v>8</v>
      </c>
      <c r="G9027" s="4" t="n">
        <v>7</v>
      </c>
      <c r="H9027" s="4" t="n">
        <v>4</v>
      </c>
      <c r="I9027" s="4" t="str">
        <v>×</v>
      </c>
      <c r="J9027" s="4"/>
      <c r="K9027" s="4"/>
      <c r="L9027" s="4"/>
      <c r="M9027" s="5" t="s">
        <v>5346</v>
      </c>
    </row>
    <row r="9028" customFormat="false" ht="15.75" hidden="false" customHeight="false" outlineLevel="0" collapsed="false">
      <c r="A9028" s="6" t="n">
        <v>46173</v>
      </c>
      <c r="B9028" s="4" t="s">
        <v>4473</v>
      </c>
      <c r="C9028" s="4" t="n">
        <v>8</v>
      </c>
      <c r="D9028" s="4" t="n">
        <v>11</v>
      </c>
      <c r="E9028" s="4" t="s">
        <v>1515</v>
      </c>
      <c r="F9028" s="4" t="n">
        <v>52</v>
      </c>
      <c r="G9028" s="4" t="n">
        <v>1</v>
      </c>
      <c r="H9028" s="4" t="n">
        <v>4</v>
      </c>
      <c r="I9028" s="4" t="str">
        <v>×</v>
      </c>
      <c r="J9028" s="4"/>
      <c r="K9028" s="4"/>
      <c r="L9028" s="4"/>
      <c r="M9028" s="5" t="s">
        <v>5346</v>
      </c>
    </row>
    <row r="9029" customFormat="false" ht="15.75" hidden="false" customHeight="false" outlineLevel="0" collapsed="false">
      <c r="A9029" s="6" t="n">
        <v>46173</v>
      </c>
      <c r="B9029" s="4" t="s">
        <v>4473</v>
      </c>
      <c r="C9029" s="4" t="n">
        <v>8</v>
      </c>
      <c r="D9029" s="4" t="n">
        <v>12</v>
      </c>
      <c r="E9029" s="4" t="s">
        <v>6036</v>
      </c>
      <c r="F9029" s="4" t="n">
        <v>20</v>
      </c>
      <c r="G9029" s="4" t="n">
        <v>4</v>
      </c>
      <c r="H9029" s="4" t="n">
        <v>4</v>
      </c>
      <c r="I9029" s="4" t="str">
        <v>×</v>
      </c>
      <c r="J9029" s="4"/>
      <c r="K9029" s="4"/>
      <c r="L9029" s="4"/>
      <c r="M9029" s="5" t="s">
        <v>5346</v>
      </c>
    </row>
    <row r="9030" customFormat="false" ht="15.75" hidden="false" customHeight="false" outlineLevel="0" collapsed="false">
      <c r="A9030" s="6" t="n">
        <v>46173</v>
      </c>
      <c r="B9030" s="4" t="s">
        <v>4473</v>
      </c>
      <c r="C9030" s="4" t="n">
        <v>8</v>
      </c>
      <c r="D9030" s="4" t="n">
        <v>13</v>
      </c>
      <c r="E9030" s="4" t="s">
        <v>6037</v>
      </c>
      <c r="F9030" s="4" t="n">
        <v>41</v>
      </c>
      <c r="G9030" s="4" t="n">
        <v>2</v>
      </c>
      <c r="H9030" s="4" t="n">
        <v>1</v>
      </c>
      <c r="I9030" s="4" t="str">
        <v>○</v>
      </c>
      <c r="J9030" s="4" t="n">
        <v>270</v>
      </c>
      <c r="K9030" s="4"/>
      <c r="L9030" s="4"/>
      <c r="M9030" s="5" t="s">
        <v>5346</v>
      </c>
    </row>
    <row r="9031" customFormat="false" ht="15.75" hidden="false" customHeight="false" outlineLevel="0" collapsed="false">
      <c r="A9031" s="6" t="n">
        <v>46173</v>
      </c>
      <c r="B9031" s="4" t="s">
        <v>4473</v>
      </c>
      <c r="C9031" s="4" t="n">
        <v>8</v>
      </c>
      <c r="D9031" s="4" t="n">
        <v>14</v>
      </c>
      <c r="E9031" s="4" t="s">
        <v>3472</v>
      </c>
      <c r="F9031" s="4" t="n">
        <v>15</v>
      </c>
      <c r="G9031" s="4" t="n">
        <v>5</v>
      </c>
      <c r="H9031" s="4" t="n">
        <v>4</v>
      </c>
      <c r="I9031" s="4" t="str">
        <v>×</v>
      </c>
      <c r="J9031" s="4"/>
      <c r="K9031" s="4"/>
      <c r="L9031" s="4"/>
      <c r="M9031" s="5" t="s">
        <v>5346</v>
      </c>
    </row>
    <row r="9032" customFormat="false" ht="15.75" hidden="false" customHeight="false" outlineLevel="0" collapsed="false">
      <c r="A9032" s="6" t="n">
        <v>46173</v>
      </c>
      <c r="B9032" s="4" t="s">
        <v>4473</v>
      </c>
      <c r="C9032" s="4" t="n">
        <v>9</v>
      </c>
      <c r="D9032" s="4" t="n">
        <v>1</v>
      </c>
      <c r="E9032" s="4" t="s">
        <v>6038</v>
      </c>
      <c r="F9032" s="4" t="n">
        <v>6</v>
      </c>
      <c r="G9032" s="4" t="n">
        <v>9</v>
      </c>
      <c r="H9032" s="4" t="n">
        <v>4</v>
      </c>
      <c r="I9032" s="4" t="str">
        <v>×</v>
      </c>
      <c r="J9032" s="4"/>
      <c r="K9032" s="4"/>
      <c r="L9032" s="4"/>
      <c r="M9032" s="5" t="s">
        <v>5346</v>
      </c>
    </row>
    <row r="9033" customFormat="false" ht="15.75" hidden="false" customHeight="false" outlineLevel="0" collapsed="false">
      <c r="A9033" s="6" t="n">
        <v>46173</v>
      </c>
      <c r="B9033" s="4" t="s">
        <v>4473</v>
      </c>
      <c r="C9033" s="4" t="n">
        <v>9</v>
      </c>
      <c r="D9033" s="4" t="n">
        <v>2</v>
      </c>
      <c r="E9033" s="4" t="s">
        <v>6039</v>
      </c>
      <c r="F9033" s="4" t="n">
        <v>6</v>
      </c>
      <c r="G9033" s="4" t="n">
        <v>9</v>
      </c>
      <c r="H9033" s="4" t="n">
        <v>4</v>
      </c>
      <c r="I9033" s="4" t="str">
        <v>×</v>
      </c>
      <c r="J9033" s="4"/>
      <c r="K9033" s="4"/>
      <c r="L9033" s="4"/>
      <c r="M9033" s="5" t="s">
        <v>5346</v>
      </c>
    </row>
    <row r="9034" customFormat="false" ht="15.75" hidden="false" customHeight="false" outlineLevel="0" collapsed="false">
      <c r="A9034" s="6" t="n">
        <v>46173</v>
      </c>
      <c r="B9034" s="4" t="s">
        <v>4473</v>
      </c>
      <c r="C9034" s="4" t="n">
        <v>9</v>
      </c>
      <c r="D9034" s="4" t="n">
        <v>3</v>
      </c>
      <c r="E9034" s="4" t="s">
        <v>6040</v>
      </c>
      <c r="F9034" s="4" t="n">
        <v>10</v>
      </c>
      <c r="G9034" s="4" t="n">
        <v>7</v>
      </c>
      <c r="H9034" s="4" t="n">
        <v>4</v>
      </c>
      <c r="I9034" s="4" t="str">
        <v>×</v>
      </c>
      <c r="J9034" s="4"/>
      <c r="K9034" s="4"/>
      <c r="L9034" s="4"/>
      <c r="M9034" s="5" t="s">
        <v>5346</v>
      </c>
    </row>
    <row r="9035" customFormat="false" ht="15.75" hidden="false" customHeight="false" outlineLevel="0" collapsed="false">
      <c r="A9035" s="6" t="n">
        <v>46173</v>
      </c>
      <c r="B9035" s="4" t="s">
        <v>4473</v>
      </c>
      <c r="C9035" s="4" t="n">
        <v>9</v>
      </c>
      <c r="D9035" s="4" t="n">
        <v>4</v>
      </c>
      <c r="E9035" s="4" t="s">
        <v>6041</v>
      </c>
      <c r="F9035" s="4" t="n">
        <v>6</v>
      </c>
      <c r="G9035" s="4" t="n">
        <v>9</v>
      </c>
      <c r="H9035" s="4" t="n">
        <v>4</v>
      </c>
      <c r="I9035" s="4" t="str">
        <v>×</v>
      </c>
      <c r="J9035" s="4"/>
      <c r="K9035" s="4"/>
      <c r="L9035" s="4"/>
      <c r="M9035" s="5" t="s">
        <v>5346</v>
      </c>
    </row>
    <row r="9036" customFormat="false" ht="15.75" hidden="false" customHeight="false" outlineLevel="0" collapsed="false">
      <c r="A9036" s="6" t="n">
        <v>46173</v>
      </c>
      <c r="B9036" s="4" t="s">
        <v>4473</v>
      </c>
      <c r="C9036" s="4" t="n">
        <v>9</v>
      </c>
      <c r="D9036" s="4" t="n">
        <v>5</v>
      </c>
      <c r="E9036" s="4" t="s">
        <v>6042</v>
      </c>
      <c r="F9036" s="4" t="n">
        <v>2</v>
      </c>
      <c r="G9036" s="4" t="n">
        <v>11</v>
      </c>
      <c r="H9036" s="4" t="n">
        <v>4</v>
      </c>
      <c r="I9036" s="4" t="str">
        <v>×</v>
      </c>
      <c r="J9036" s="4"/>
      <c r="K9036" s="4"/>
      <c r="L9036" s="4"/>
      <c r="M9036" s="5" t="s">
        <v>5346</v>
      </c>
    </row>
    <row r="9037" customFormat="false" ht="15.75" hidden="false" customHeight="false" outlineLevel="0" collapsed="false">
      <c r="A9037" s="6" t="n">
        <v>46173</v>
      </c>
      <c r="B9037" s="4" t="s">
        <v>4473</v>
      </c>
      <c r="C9037" s="4" t="n">
        <v>9</v>
      </c>
      <c r="D9037" s="4" t="n">
        <v>6</v>
      </c>
      <c r="E9037" s="4" t="s">
        <v>1677</v>
      </c>
      <c r="F9037" s="4" t="n">
        <v>8</v>
      </c>
      <c r="G9037" s="4" t="n">
        <v>8</v>
      </c>
      <c r="H9037" s="4" t="n">
        <v>4</v>
      </c>
      <c r="I9037" s="4" t="str">
        <v>×</v>
      </c>
      <c r="J9037" s="4"/>
      <c r="K9037" s="4"/>
      <c r="L9037" s="4"/>
      <c r="M9037" s="5" t="s">
        <v>5346</v>
      </c>
    </row>
    <row r="9038" customFormat="false" ht="15.75" hidden="false" customHeight="false" outlineLevel="0" collapsed="false">
      <c r="A9038" s="6" t="n">
        <v>46173</v>
      </c>
      <c r="B9038" s="4" t="s">
        <v>4473</v>
      </c>
      <c r="C9038" s="4" t="n">
        <v>9</v>
      </c>
      <c r="D9038" s="4" t="n">
        <v>7</v>
      </c>
      <c r="E9038" s="4" t="s">
        <v>3760</v>
      </c>
      <c r="F9038" s="4" t="n">
        <v>13</v>
      </c>
      <c r="G9038" s="4" t="n">
        <v>6</v>
      </c>
      <c r="H9038" s="4" t="n">
        <v>4</v>
      </c>
      <c r="I9038" s="4" t="str">
        <v>×</v>
      </c>
      <c r="J9038" s="4"/>
      <c r="K9038" s="4"/>
      <c r="L9038" s="4"/>
      <c r="M9038" s="5" t="s">
        <v>5346</v>
      </c>
    </row>
    <row r="9039" customFormat="false" ht="15.75" hidden="false" customHeight="false" outlineLevel="0" collapsed="false">
      <c r="A9039" s="6" t="n">
        <v>46173</v>
      </c>
      <c r="B9039" s="4" t="s">
        <v>4473</v>
      </c>
      <c r="C9039" s="4" t="n">
        <v>9</v>
      </c>
      <c r="D9039" s="4" t="n">
        <v>8</v>
      </c>
      <c r="E9039" s="4" t="s">
        <v>6043</v>
      </c>
      <c r="F9039" s="4" t="n">
        <v>39</v>
      </c>
      <c r="G9039" s="4" t="n">
        <v>3</v>
      </c>
      <c r="H9039" s="4" t="n">
        <v>4</v>
      </c>
      <c r="I9039" s="4" t="str">
        <v>×</v>
      </c>
      <c r="J9039" s="4"/>
      <c r="K9039" s="4"/>
      <c r="L9039" s="4"/>
      <c r="M9039" s="5" t="s">
        <v>5346</v>
      </c>
    </row>
    <row r="9040" customFormat="false" ht="15.75" hidden="false" customHeight="false" outlineLevel="0" collapsed="false">
      <c r="A9040" s="6" t="n">
        <v>46173</v>
      </c>
      <c r="B9040" s="4" t="s">
        <v>4473</v>
      </c>
      <c r="C9040" s="4" t="n">
        <v>9</v>
      </c>
      <c r="D9040" s="4" t="n">
        <v>9</v>
      </c>
      <c r="E9040" s="4" t="s">
        <v>4156</v>
      </c>
      <c r="F9040" s="4" t="n">
        <v>29</v>
      </c>
      <c r="G9040" s="4" t="n">
        <v>5</v>
      </c>
      <c r="H9040" s="4" t="n">
        <v>2</v>
      </c>
      <c r="I9040" s="4" t="str">
        <v>○</v>
      </c>
      <c r="J9040" s="4" t="n">
        <v>250</v>
      </c>
      <c r="K9040" s="4"/>
      <c r="L9040" s="4"/>
      <c r="M9040" s="5" t="s">
        <v>5346</v>
      </c>
    </row>
    <row r="9041" customFormat="false" ht="15.75" hidden="false" customHeight="false" outlineLevel="0" collapsed="false">
      <c r="A9041" s="6" t="n">
        <v>46173</v>
      </c>
      <c r="B9041" s="4" t="s">
        <v>4473</v>
      </c>
      <c r="C9041" s="4" t="n">
        <v>9</v>
      </c>
      <c r="D9041" s="4" t="n">
        <v>10</v>
      </c>
      <c r="E9041" s="4" t="s">
        <v>6044</v>
      </c>
      <c r="F9041" s="4" t="n">
        <v>10</v>
      </c>
      <c r="G9041" s="4" t="n">
        <v>7</v>
      </c>
      <c r="H9041" s="4" t="n">
        <v>4</v>
      </c>
      <c r="I9041" s="4" t="str">
        <v>×</v>
      </c>
      <c r="J9041" s="4"/>
      <c r="K9041" s="4"/>
      <c r="L9041" s="4"/>
      <c r="M9041" s="5" t="s">
        <v>5346</v>
      </c>
    </row>
    <row r="9042" customFormat="false" ht="15.75" hidden="false" customHeight="false" outlineLevel="0" collapsed="false">
      <c r="A9042" s="6" t="n">
        <v>46173</v>
      </c>
      <c r="B9042" s="4" t="s">
        <v>4473</v>
      </c>
      <c r="C9042" s="4" t="n">
        <v>9</v>
      </c>
      <c r="D9042" s="4" t="n">
        <v>11</v>
      </c>
      <c r="E9042" s="4" t="s">
        <v>4956</v>
      </c>
      <c r="F9042" s="4" t="n">
        <v>31</v>
      </c>
      <c r="G9042" s="4" t="n">
        <v>4</v>
      </c>
      <c r="H9042" s="4" t="n">
        <v>3</v>
      </c>
      <c r="I9042" s="4" t="str">
        <v>○</v>
      </c>
      <c r="J9042" s="4" t="n">
        <v>160</v>
      </c>
      <c r="K9042" s="4"/>
      <c r="L9042" s="4"/>
      <c r="M9042" s="5" t="s">
        <v>5346</v>
      </c>
    </row>
    <row r="9043" customFormat="false" ht="15.75" hidden="false" customHeight="false" outlineLevel="0" collapsed="false">
      <c r="A9043" s="6" t="n">
        <v>46173</v>
      </c>
      <c r="B9043" s="4" t="s">
        <v>4473</v>
      </c>
      <c r="C9043" s="4" t="n">
        <v>9</v>
      </c>
      <c r="D9043" s="4" t="n">
        <v>12</v>
      </c>
      <c r="E9043" s="4" t="s">
        <v>4659</v>
      </c>
      <c r="F9043" s="4" t="n">
        <v>8</v>
      </c>
      <c r="G9043" s="4" t="n">
        <v>8</v>
      </c>
      <c r="H9043" s="4" t="n">
        <v>4</v>
      </c>
      <c r="I9043" s="4" t="str">
        <v>×</v>
      </c>
      <c r="J9043" s="4"/>
      <c r="K9043" s="4"/>
      <c r="L9043" s="4"/>
      <c r="M9043" s="5" t="s">
        <v>5346</v>
      </c>
    </row>
    <row r="9044" customFormat="false" ht="15.75" hidden="false" customHeight="false" outlineLevel="0" collapsed="false">
      <c r="A9044" s="6" t="n">
        <v>46173</v>
      </c>
      <c r="B9044" s="4" t="s">
        <v>4473</v>
      </c>
      <c r="C9044" s="4" t="n">
        <v>9</v>
      </c>
      <c r="D9044" s="4" t="n">
        <v>13</v>
      </c>
      <c r="E9044" s="4" t="s">
        <v>6045</v>
      </c>
      <c r="F9044" s="4" t="n">
        <v>50</v>
      </c>
      <c r="G9044" s="4" t="n">
        <v>2</v>
      </c>
      <c r="H9044" s="4" t="n">
        <v>4</v>
      </c>
      <c r="I9044" s="4" t="str">
        <v>×</v>
      </c>
      <c r="J9044" s="4"/>
      <c r="K9044" s="4"/>
      <c r="L9044" s="4"/>
      <c r="M9044" s="5" t="s">
        <v>5346</v>
      </c>
    </row>
    <row r="9045" customFormat="false" ht="15.75" hidden="false" customHeight="false" outlineLevel="0" collapsed="false">
      <c r="A9045" s="6" t="n">
        <v>46173</v>
      </c>
      <c r="B9045" s="4" t="s">
        <v>4473</v>
      </c>
      <c r="C9045" s="4" t="n">
        <v>9</v>
      </c>
      <c r="D9045" s="4" t="n">
        <v>14</v>
      </c>
      <c r="E9045" s="4" t="s">
        <v>708</v>
      </c>
      <c r="F9045" s="4" t="n">
        <v>74</v>
      </c>
      <c r="G9045" s="4" t="n">
        <v>1</v>
      </c>
      <c r="H9045" s="4" t="n">
        <v>1</v>
      </c>
      <c r="I9045" s="4" t="str">
        <v>○</v>
      </c>
      <c r="J9045" s="4" t="n">
        <v>140</v>
      </c>
      <c r="K9045" s="4"/>
      <c r="L9045" s="4"/>
      <c r="M9045" s="5" t="s">
        <v>5346</v>
      </c>
    </row>
    <row r="9046" customFormat="false" ht="15.75" hidden="false" customHeight="false" outlineLevel="0" collapsed="false">
      <c r="A9046" s="6" t="n">
        <v>46173</v>
      </c>
      <c r="B9046" s="4" t="s">
        <v>4473</v>
      </c>
      <c r="C9046" s="4" t="n">
        <v>9</v>
      </c>
      <c r="D9046" s="4" t="n">
        <v>15</v>
      </c>
      <c r="E9046" s="4" t="s">
        <v>4346</v>
      </c>
      <c r="F9046" s="4" t="n">
        <v>4</v>
      </c>
      <c r="G9046" s="4" t="n">
        <v>10</v>
      </c>
      <c r="H9046" s="4" t="n">
        <v>4</v>
      </c>
      <c r="I9046" s="4" t="str">
        <v>×</v>
      </c>
      <c r="J9046" s="4"/>
      <c r="K9046" s="4"/>
      <c r="L9046" s="4"/>
      <c r="M9046" s="5" t="s">
        <v>5346</v>
      </c>
    </row>
    <row r="9047" customFormat="false" ht="15.75" hidden="false" customHeight="false" outlineLevel="0" collapsed="false">
      <c r="A9047" s="6" t="n">
        <v>46173</v>
      </c>
      <c r="B9047" s="4" t="s">
        <v>4473</v>
      </c>
      <c r="C9047" s="4" t="n">
        <v>10</v>
      </c>
      <c r="D9047" s="4" t="n">
        <v>1</v>
      </c>
      <c r="E9047" s="4" t="s">
        <v>6046</v>
      </c>
      <c r="F9047" s="4" t="n">
        <v>6</v>
      </c>
      <c r="G9047" s="4" t="n">
        <v>12</v>
      </c>
      <c r="H9047" s="4" t="n">
        <v>4</v>
      </c>
      <c r="I9047" s="4" t="str">
        <v>×</v>
      </c>
      <c r="J9047" s="4"/>
      <c r="K9047" s="4"/>
      <c r="L9047" s="4"/>
      <c r="M9047" s="5" t="s">
        <v>5346</v>
      </c>
    </row>
    <row r="9048" customFormat="false" ht="15.75" hidden="false" customHeight="false" outlineLevel="0" collapsed="false">
      <c r="A9048" s="6" t="n">
        <v>46173</v>
      </c>
      <c r="B9048" s="4" t="s">
        <v>4473</v>
      </c>
      <c r="C9048" s="4" t="n">
        <v>10</v>
      </c>
      <c r="D9048" s="4" t="n">
        <v>2</v>
      </c>
      <c r="E9048" s="4" t="s">
        <v>6047</v>
      </c>
      <c r="F9048" s="4" t="n">
        <v>20</v>
      </c>
      <c r="G9048" s="4" t="n">
        <v>7</v>
      </c>
      <c r="H9048" s="4" t="n">
        <v>4</v>
      </c>
      <c r="I9048" s="4" t="str">
        <v>×</v>
      </c>
      <c r="J9048" s="4"/>
      <c r="K9048" s="4"/>
      <c r="L9048" s="4"/>
      <c r="M9048" s="5" t="s">
        <v>5346</v>
      </c>
    </row>
    <row r="9049" customFormat="false" ht="15.75" hidden="false" customHeight="false" outlineLevel="0" collapsed="false">
      <c r="A9049" s="6" t="n">
        <v>46173</v>
      </c>
      <c r="B9049" s="4" t="s">
        <v>4473</v>
      </c>
      <c r="C9049" s="4" t="n">
        <v>10</v>
      </c>
      <c r="D9049" s="4" t="n">
        <v>3</v>
      </c>
      <c r="E9049" s="4" t="s">
        <v>6048</v>
      </c>
      <c r="F9049" s="4" t="n">
        <v>4</v>
      </c>
      <c r="G9049" s="4" t="n">
        <v>13</v>
      </c>
      <c r="H9049" s="4" t="n">
        <v>4</v>
      </c>
      <c r="I9049" s="4" t="str">
        <v>×</v>
      </c>
      <c r="J9049" s="4"/>
      <c r="K9049" s="4"/>
      <c r="L9049" s="4"/>
      <c r="M9049" s="5" t="s">
        <v>5346</v>
      </c>
    </row>
    <row r="9050" customFormat="false" ht="15.75" hidden="false" customHeight="false" outlineLevel="0" collapsed="false">
      <c r="A9050" s="6" t="n">
        <v>46173</v>
      </c>
      <c r="B9050" s="4" t="s">
        <v>4473</v>
      </c>
      <c r="C9050" s="4" t="n">
        <v>10</v>
      </c>
      <c r="D9050" s="4" t="n">
        <v>4</v>
      </c>
      <c r="E9050" s="4" t="s">
        <v>6049</v>
      </c>
      <c r="F9050" s="4" t="n">
        <v>4</v>
      </c>
      <c r="G9050" s="4" t="n">
        <v>13</v>
      </c>
      <c r="H9050" s="4" t="n">
        <v>4</v>
      </c>
      <c r="I9050" s="4" t="str">
        <v>×</v>
      </c>
      <c r="J9050" s="4"/>
      <c r="K9050" s="4"/>
      <c r="L9050" s="4"/>
      <c r="M9050" s="5" t="s">
        <v>5346</v>
      </c>
    </row>
    <row r="9051" customFormat="false" ht="15.75" hidden="false" customHeight="false" outlineLevel="0" collapsed="false">
      <c r="A9051" s="6" t="n">
        <v>46173</v>
      </c>
      <c r="B9051" s="4" t="s">
        <v>4473</v>
      </c>
      <c r="C9051" s="4" t="n">
        <v>10</v>
      </c>
      <c r="D9051" s="4" t="n">
        <v>5</v>
      </c>
      <c r="E9051" s="4" t="s">
        <v>6050</v>
      </c>
      <c r="F9051" s="4" t="n">
        <v>44</v>
      </c>
      <c r="G9051" s="4" t="n">
        <v>2</v>
      </c>
      <c r="H9051" s="4"/>
      <c r="I9051" s="4" t="str">
        <v/>
      </c>
      <c r="J9051" s="4"/>
      <c r="K9051" s="4"/>
      <c r="L9051" s="4"/>
      <c r="M9051" s="5" t="s">
        <v>5346</v>
      </c>
    </row>
    <row r="9052" customFormat="false" ht="15.75" hidden="false" customHeight="false" outlineLevel="0" collapsed="false">
      <c r="A9052" s="6" t="n">
        <v>46173</v>
      </c>
      <c r="B9052" s="4" t="s">
        <v>4473</v>
      </c>
      <c r="C9052" s="4" t="n">
        <v>10</v>
      </c>
      <c r="D9052" s="4" t="n">
        <v>6</v>
      </c>
      <c r="E9052" s="4" t="s">
        <v>2911</v>
      </c>
      <c r="F9052" s="4" t="n">
        <v>15</v>
      </c>
      <c r="G9052" s="4" t="n">
        <v>9</v>
      </c>
      <c r="H9052" s="4" t="n">
        <v>4</v>
      </c>
      <c r="I9052" s="4" t="str">
        <v>×</v>
      </c>
      <c r="J9052" s="4"/>
      <c r="K9052" s="4"/>
      <c r="L9052" s="4"/>
      <c r="M9052" s="5" t="s">
        <v>5346</v>
      </c>
    </row>
    <row r="9053" customFormat="false" ht="15.75" hidden="false" customHeight="false" outlineLevel="0" collapsed="false">
      <c r="A9053" s="6" t="n">
        <v>46173</v>
      </c>
      <c r="B9053" s="4" t="s">
        <v>4473</v>
      </c>
      <c r="C9053" s="4" t="n">
        <v>10</v>
      </c>
      <c r="D9053" s="4" t="n">
        <v>7</v>
      </c>
      <c r="E9053" s="4" t="s">
        <v>3762</v>
      </c>
      <c r="F9053" s="4" t="n">
        <v>1</v>
      </c>
      <c r="G9053" s="4" t="n">
        <v>14</v>
      </c>
      <c r="H9053" s="4" t="n">
        <v>4</v>
      </c>
      <c r="I9053" s="4" t="str">
        <v>×</v>
      </c>
      <c r="J9053" s="4"/>
      <c r="K9053" s="4"/>
      <c r="L9053" s="4"/>
      <c r="M9053" s="5" t="s">
        <v>5346</v>
      </c>
    </row>
    <row r="9054" customFormat="false" ht="15.75" hidden="false" customHeight="false" outlineLevel="0" collapsed="false">
      <c r="A9054" s="6" t="n">
        <v>46173</v>
      </c>
      <c r="B9054" s="4" t="s">
        <v>4473</v>
      </c>
      <c r="C9054" s="4" t="n">
        <v>10</v>
      </c>
      <c r="D9054" s="4" t="n">
        <v>8</v>
      </c>
      <c r="E9054" s="4" t="s">
        <v>3642</v>
      </c>
      <c r="F9054" s="4" t="n">
        <v>25</v>
      </c>
      <c r="G9054" s="4" t="n">
        <v>5</v>
      </c>
      <c r="H9054" s="4" t="n">
        <v>4</v>
      </c>
      <c r="I9054" s="4" t="str">
        <v>×</v>
      </c>
      <c r="J9054" s="4"/>
      <c r="K9054" s="4"/>
      <c r="L9054" s="4"/>
      <c r="M9054" s="5" t="s">
        <v>5346</v>
      </c>
    </row>
    <row r="9055" customFormat="false" ht="15.75" hidden="false" customHeight="false" outlineLevel="0" collapsed="false">
      <c r="A9055" s="6" t="n">
        <v>46173</v>
      </c>
      <c r="B9055" s="4" t="s">
        <v>4473</v>
      </c>
      <c r="C9055" s="4" t="n">
        <v>10</v>
      </c>
      <c r="D9055" s="4" t="n">
        <v>9</v>
      </c>
      <c r="E9055" s="4" t="s">
        <v>2261</v>
      </c>
      <c r="F9055" s="4" t="n">
        <v>23</v>
      </c>
      <c r="G9055" s="4" t="n">
        <v>6</v>
      </c>
      <c r="H9055" s="4" t="n">
        <v>3</v>
      </c>
      <c r="I9055" s="4" t="str">
        <v>○</v>
      </c>
      <c r="J9055" s="4" t="n">
        <v>280</v>
      </c>
      <c r="K9055" s="4"/>
      <c r="L9055" s="4"/>
      <c r="M9055" s="5" t="s">
        <v>5346</v>
      </c>
    </row>
    <row r="9056" customFormat="false" ht="15.75" hidden="false" customHeight="false" outlineLevel="0" collapsed="false">
      <c r="A9056" s="6" t="n">
        <v>46173</v>
      </c>
      <c r="B9056" s="4" t="s">
        <v>4473</v>
      </c>
      <c r="C9056" s="4" t="n">
        <v>10</v>
      </c>
      <c r="D9056" s="4" t="n">
        <v>10</v>
      </c>
      <c r="E9056" s="4" t="s">
        <v>6051</v>
      </c>
      <c r="F9056" s="4" t="n">
        <v>50</v>
      </c>
      <c r="G9056" s="4" t="n">
        <v>1</v>
      </c>
      <c r="H9056" s="4" t="n">
        <v>2</v>
      </c>
      <c r="I9056" s="4" t="str">
        <v>○</v>
      </c>
      <c r="J9056" s="4" t="n">
        <v>120</v>
      </c>
      <c r="K9056" s="4"/>
      <c r="L9056" s="4"/>
      <c r="M9056" s="5" t="s">
        <v>5346</v>
      </c>
    </row>
    <row r="9057" customFormat="false" ht="15.75" hidden="false" customHeight="false" outlineLevel="0" collapsed="false">
      <c r="A9057" s="6" t="n">
        <v>46173</v>
      </c>
      <c r="B9057" s="4" t="s">
        <v>4473</v>
      </c>
      <c r="C9057" s="4" t="n">
        <v>10</v>
      </c>
      <c r="D9057" s="4" t="n">
        <v>11</v>
      </c>
      <c r="E9057" s="4" t="s">
        <v>6052</v>
      </c>
      <c r="F9057" s="4" t="n">
        <v>1</v>
      </c>
      <c r="G9057" s="4" t="n">
        <v>14</v>
      </c>
      <c r="H9057" s="4" t="n">
        <v>4</v>
      </c>
      <c r="I9057" s="4" t="str">
        <v>×</v>
      </c>
      <c r="J9057" s="4"/>
      <c r="K9057" s="4"/>
      <c r="L9057" s="4"/>
      <c r="M9057" s="5" t="s">
        <v>5346</v>
      </c>
    </row>
    <row r="9058" customFormat="false" ht="15.75" hidden="false" customHeight="false" outlineLevel="0" collapsed="false">
      <c r="A9058" s="6" t="n">
        <v>46173</v>
      </c>
      <c r="B9058" s="4" t="s">
        <v>4473</v>
      </c>
      <c r="C9058" s="4" t="n">
        <v>10</v>
      </c>
      <c r="D9058" s="4" t="n">
        <v>12</v>
      </c>
      <c r="E9058" s="4" t="s">
        <v>6053</v>
      </c>
      <c r="F9058" s="4" t="n">
        <v>34</v>
      </c>
      <c r="G9058" s="4" t="n">
        <v>4</v>
      </c>
      <c r="H9058" s="4" t="n">
        <v>1</v>
      </c>
      <c r="I9058" s="4" t="str">
        <v>○</v>
      </c>
      <c r="J9058" s="4" t="n">
        <v>150</v>
      </c>
      <c r="K9058" s="4"/>
      <c r="L9058" s="4"/>
      <c r="M9058" s="5" t="s">
        <v>5346</v>
      </c>
    </row>
    <row r="9059" customFormat="false" ht="15.75" hidden="false" customHeight="false" outlineLevel="0" collapsed="false">
      <c r="A9059" s="6" t="n">
        <v>46173</v>
      </c>
      <c r="B9059" s="4" t="s">
        <v>4473</v>
      </c>
      <c r="C9059" s="4" t="n">
        <v>10</v>
      </c>
      <c r="D9059" s="4" t="n">
        <v>13</v>
      </c>
      <c r="E9059" s="4" t="s">
        <v>6054</v>
      </c>
      <c r="F9059" s="4" t="n">
        <v>23</v>
      </c>
      <c r="G9059" s="4" t="n">
        <v>6</v>
      </c>
      <c r="H9059" s="4" t="n">
        <v>4</v>
      </c>
      <c r="I9059" s="4" t="str">
        <v>×</v>
      </c>
      <c r="J9059" s="4"/>
      <c r="K9059" s="4"/>
      <c r="L9059" s="4"/>
      <c r="M9059" s="5" t="s">
        <v>5346</v>
      </c>
    </row>
    <row r="9060" customFormat="false" ht="15.75" hidden="false" customHeight="false" outlineLevel="0" collapsed="false">
      <c r="A9060" s="6" t="n">
        <v>46173</v>
      </c>
      <c r="B9060" s="4" t="s">
        <v>4473</v>
      </c>
      <c r="C9060" s="4" t="n">
        <v>10</v>
      </c>
      <c r="D9060" s="4" t="n">
        <v>14</v>
      </c>
      <c r="E9060" s="4" t="s">
        <v>6055</v>
      </c>
      <c r="F9060" s="4" t="n">
        <v>10</v>
      </c>
      <c r="G9060" s="4" t="n">
        <v>10</v>
      </c>
      <c r="H9060" s="4" t="n">
        <v>4</v>
      </c>
      <c r="I9060" s="4" t="str">
        <v>×</v>
      </c>
      <c r="J9060" s="4"/>
      <c r="K9060" s="4"/>
      <c r="L9060" s="4"/>
      <c r="M9060" s="5" t="s">
        <v>5346</v>
      </c>
    </row>
    <row r="9061" customFormat="false" ht="15.75" hidden="false" customHeight="false" outlineLevel="0" collapsed="false">
      <c r="A9061" s="6" t="n">
        <v>46173</v>
      </c>
      <c r="B9061" s="4" t="s">
        <v>4473</v>
      </c>
      <c r="C9061" s="4" t="n">
        <v>10</v>
      </c>
      <c r="D9061" s="4" t="n">
        <v>15</v>
      </c>
      <c r="E9061" s="4" t="s">
        <v>6056</v>
      </c>
      <c r="F9061" s="4" t="n">
        <v>17</v>
      </c>
      <c r="G9061" s="4" t="n">
        <v>8</v>
      </c>
      <c r="H9061" s="4" t="n">
        <v>4</v>
      </c>
      <c r="I9061" s="4" t="str">
        <v>×</v>
      </c>
      <c r="J9061" s="4"/>
      <c r="K9061" s="4"/>
      <c r="L9061" s="4"/>
      <c r="M9061" s="5" t="s">
        <v>5346</v>
      </c>
    </row>
    <row r="9062" customFormat="false" ht="15.75" hidden="false" customHeight="false" outlineLevel="0" collapsed="false">
      <c r="A9062" s="6" t="n">
        <v>46173</v>
      </c>
      <c r="B9062" s="4" t="s">
        <v>4473</v>
      </c>
      <c r="C9062" s="4" t="n">
        <v>10</v>
      </c>
      <c r="D9062" s="4" t="n">
        <v>16</v>
      </c>
      <c r="E9062" s="4" t="s">
        <v>6057</v>
      </c>
      <c r="F9062" s="4" t="n">
        <v>39</v>
      </c>
      <c r="G9062" s="4" t="n">
        <v>3</v>
      </c>
      <c r="H9062" s="4" t="n">
        <v>4</v>
      </c>
      <c r="I9062" s="4" t="str">
        <v>×</v>
      </c>
      <c r="J9062" s="4"/>
      <c r="K9062" s="4"/>
      <c r="L9062" s="4"/>
      <c r="M9062" s="5" t="s">
        <v>5346</v>
      </c>
    </row>
    <row r="9063" customFormat="false" ht="15.75" hidden="false" customHeight="false" outlineLevel="0" collapsed="false">
      <c r="A9063" s="6" t="n">
        <v>46173</v>
      </c>
      <c r="B9063" s="4" t="s">
        <v>4473</v>
      </c>
      <c r="C9063" s="4" t="n">
        <v>10</v>
      </c>
      <c r="D9063" s="4" t="n">
        <v>17</v>
      </c>
      <c r="E9063" s="4" t="s">
        <v>4344</v>
      </c>
      <c r="F9063" s="4" t="n">
        <v>8</v>
      </c>
      <c r="G9063" s="4" t="n">
        <v>11</v>
      </c>
      <c r="H9063" s="4" t="n">
        <v>4</v>
      </c>
      <c r="I9063" s="4" t="str">
        <v>×</v>
      </c>
      <c r="J9063" s="4"/>
      <c r="K9063" s="4"/>
      <c r="L9063" s="4"/>
      <c r="M9063" s="5" t="s">
        <v>5346</v>
      </c>
    </row>
    <row r="9064" customFormat="false" ht="15.75" hidden="false" customHeight="false" outlineLevel="0" collapsed="false">
      <c r="A9064" s="6" t="n">
        <v>46173</v>
      </c>
      <c r="B9064" s="4" t="s">
        <v>4473</v>
      </c>
      <c r="C9064" s="4" t="n">
        <v>10</v>
      </c>
      <c r="D9064" s="4" t="n">
        <v>18</v>
      </c>
      <c r="E9064" s="4" t="s">
        <v>2914</v>
      </c>
      <c r="F9064" s="4" t="n">
        <v>44</v>
      </c>
      <c r="G9064" s="4" t="n">
        <v>2</v>
      </c>
      <c r="H9064" s="4" t="n">
        <v>4</v>
      </c>
      <c r="I9064" s="4" t="str">
        <v>×</v>
      </c>
      <c r="J9064" s="4"/>
      <c r="K9064" s="4"/>
      <c r="L9064" s="4"/>
      <c r="M9064" s="5" t="s">
        <v>5346</v>
      </c>
    </row>
    <row r="9065" customFormat="false" ht="15.75" hidden="false" customHeight="false" outlineLevel="0" collapsed="false">
      <c r="A9065" s="6" t="n">
        <v>46173</v>
      </c>
      <c r="B9065" s="4" t="s">
        <v>4473</v>
      </c>
      <c r="C9065" s="4" t="n">
        <v>11</v>
      </c>
      <c r="D9065" s="4" t="n">
        <v>1</v>
      </c>
      <c r="E9065" s="4" t="s">
        <v>6058</v>
      </c>
      <c r="F9065" s="4" t="n">
        <v>25</v>
      </c>
      <c r="G9065" s="4" t="n">
        <v>4</v>
      </c>
      <c r="H9065" s="4" t="n">
        <v>4</v>
      </c>
      <c r="I9065" s="4" t="str">
        <v>×</v>
      </c>
      <c r="J9065" s="4"/>
      <c r="K9065" s="4"/>
      <c r="L9065" s="4"/>
      <c r="M9065" s="5" t="s">
        <v>5346</v>
      </c>
    </row>
    <row r="9066" customFormat="false" ht="15.75" hidden="false" customHeight="false" outlineLevel="0" collapsed="false">
      <c r="A9066" s="6" t="n">
        <v>46173</v>
      </c>
      <c r="B9066" s="4" t="s">
        <v>4473</v>
      </c>
      <c r="C9066" s="4" t="n">
        <v>11</v>
      </c>
      <c r="D9066" s="4" t="n">
        <v>2</v>
      </c>
      <c r="E9066" s="4" t="s">
        <v>6059</v>
      </c>
      <c r="F9066" s="4" t="n">
        <v>10</v>
      </c>
      <c r="G9066" s="4" t="n">
        <v>8</v>
      </c>
      <c r="H9066" s="4" t="n">
        <v>4</v>
      </c>
      <c r="I9066" s="4" t="str">
        <v>×</v>
      </c>
      <c r="J9066" s="4"/>
      <c r="K9066" s="4"/>
      <c r="L9066" s="4"/>
      <c r="M9066" s="5" t="s">
        <v>5346</v>
      </c>
    </row>
    <row r="9067" customFormat="false" ht="15.75" hidden="false" customHeight="false" outlineLevel="0" collapsed="false">
      <c r="A9067" s="6" t="n">
        <v>46173</v>
      </c>
      <c r="B9067" s="4" t="s">
        <v>4473</v>
      </c>
      <c r="C9067" s="4" t="n">
        <v>11</v>
      </c>
      <c r="D9067" s="4" t="n">
        <v>3</v>
      </c>
      <c r="E9067" s="4" t="s">
        <v>6060</v>
      </c>
      <c r="F9067" s="4" t="n">
        <v>4</v>
      </c>
      <c r="G9067" s="4" t="n">
        <v>10</v>
      </c>
      <c r="H9067" s="4" t="n">
        <v>4</v>
      </c>
      <c r="I9067" s="4" t="str">
        <v>×</v>
      </c>
      <c r="J9067" s="4"/>
      <c r="K9067" s="4"/>
      <c r="L9067" s="4"/>
      <c r="M9067" s="5" t="s">
        <v>5346</v>
      </c>
    </row>
    <row r="9068" customFormat="false" ht="15.75" hidden="false" customHeight="false" outlineLevel="0" collapsed="false">
      <c r="A9068" s="6" t="n">
        <v>46173</v>
      </c>
      <c r="B9068" s="4" t="s">
        <v>4473</v>
      </c>
      <c r="C9068" s="4" t="n">
        <v>11</v>
      </c>
      <c r="D9068" s="4" t="n">
        <v>4</v>
      </c>
      <c r="E9068" s="4" t="s">
        <v>6061</v>
      </c>
      <c r="F9068" s="4" t="n">
        <v>4</v>
      </c>
      <c r="G9068" s="4" t="n">
        <v>10</v>
      </c>
      <c r="H9068" s="4" t="n">
        <v>4</v>
      </c>
      <c r="I9068" s="4" t="str">
        <v>×</v>
      </c>
      <c r="J9068" s="4"/>
      <c r="K9068" s="4"/>
      <c r="L9068" s="4"/>
      <c r="M9068" s="5" t="s">
        <v>5346</v>
      </c>
    </row>
    <row r="9069" customFormat="false" ht="15.75" hidden="false" customHeight="false" outlineLevel="0" collapsed="false">
      <c r="A9069" s="6" t="n">
        <v>46173</v>
      </c>
      <c r="B9069" s="4" t="s">
        <v>4473</v>
      </c>
      <c r="C9069" s="4" t="n">
        <v>11</v>
      </c>
      <c r="D9069" s="4" t="n">
        <v>5</v>
      </c>
      <c r="E9069" s="4" t="s">
        <v>6062</v>
      </c>
      <c r="F9069" s="4" t="n">
        <v>13</v>
      </c>
      <c r="G9069" s="4" t="n">
        <v>6</v>
      </c>
      <c r="H9069" s="4" t="n">
        <v>3</v>
      </c>
      <c r="I9069" s="4" t="str">
        <v>○</v>
      </c>
      <c r="J9069" s="4" t="n">
        <v>650</v>
      </c>
      <c r="K9069" s="4"/>
      <c r="L9069" s="4"/>
      <c r="M9069" s="5" t="s">
        <v>5346</v>
      </c>
    </row>
    <row r="9070" customFormat="false" ht="15.75" hidden="false" customHeight="false" outlineLevel="0" collapsed="false">
      <c r="A9070" s="6" t="n">
        <v>46173</v>
      </c>
      <c r="B9070" s="4" t="s">
        <v>4473</v>
      </c>
      <c r="C9070" s="4" t="n">
        <v>11</v>
      </c>
      <c r="D9070" s="4" t="n">
        <v>6</v>
      </c>
      <c r="E9070" s="4" t="s">
        <v>6063</v>
      </c>
      <c r="F9070" s="4" t="n">
        <v>25</v>
      </c>
      <c r="G9070" s="4" t="n">
        <v>4</v>
      </c>
      <c r="H9070" s="4" t="n">
        <v>4</v>
      </c>
      <c r="I9070" s="4" t="str">
        <v>×</v>
      </c>
      <c r="J9070" s="4"/>
      <c r="K9070" s="4"/>
      <c r="L9070" s="4"/>
      <c r="M9070" s="5" t="s">
        <v>5346</v>
      </c>
    </row>
    <row r="9071" customFormat="false" ht="15.75" hidden="false" customHeight="false" outlineLevel="0" collapsed="false">
      <c r="A9071" s="6" t="n">
        <v>46173</v>
      </c>
      <c r="B9071" s="4" t="s">
        <v>4473</v>
      </c>
      <c r="C9071" s="4" t="n">
        <v>11</v>
      </c>
      <c r="D9071" s="4" t="n">
        <v>7</v>
      </c>
      <c r="E9071" s="4" t="s">
        <v>6064</v>
      </c>
      <c r="F9071" s="4" t="n">
        <v>8</v>
      </c>
      <c r="G9071" s="4" t="n">
        <v>9</v>
      </c>
      <c r="H9071" s="4" t="n">
        <v>4</v>
      </c>
      <c r="I9071" s="4" t="str">
        <v>×</v>
      </c>
      <c r="J9071" s="4"/>
      <c r="K9071" s="4"/>
      <c r="L9071" s="4"/>
      <c r="M9071" s="5" t="s">
        <v>5346</v>
      </c>
    </row>
    <row r="9072" customFormat="false" ht="15.75" hidden="false" customHeight="false" outlineLevel="0" collapsed="false">
      <c r="A9072" s="6" t="n">
        <v>46173</v>
      </c>
      <c r="B9072" s="4" t="s">
        <v>4473</v>
      </c>
      <c r="C9072" s="4" t="n">
        <v>11</v>
      </c>
      <c r="D9072" s="4" t="n">
        <v>8</v>
      </c>
      <c r="E9072" s="4" t="s">
        <v>3404</v>
      </c>
      <c r="F9072" s="4" t="n">
        <v>2</v>
      </c>
      <c r="G9072" s="4" t="n">
        <v>11</v>
      </c>
      <c r="H9072" s="4" t="n">
        <v>4</v>
      </c>
      <c r="I9072" s="4" t="str">
        <v>×</v>
      </c>
      <c r="J9072" s="4"/>
      <c r="K9072" s="4"/>
      <c r="L9072" s="4"/>
      <c r="M9072" s="5" t="s">
        <v>5346</v>
      </c>
    </row>
    <row r="9073" customFormat="false" ht="15.75" hidden="false" customHeight="false" outlineLevel="0" collapsed="false">
      <c r="A9073" s="6" t="n">
        <v>46173</v>
      </c>
      <c r="B9073" s="4" t="s">
        <v>4473</v>
      </c>
      <c r="C9073" s="4" t="n">
        <v>11</v>
      </c>
      <c r="D9073" s="4" t="n">
        <v>9</v>
      </c>
      <c r="E9073" s="4" t="s">
        <v>6065</v>
      </c>
      <c r="F9073" s="4" t="n">
        <v>8</v>
      </c>
      <c r="G9073" s="4" t="n">
        <v>9</v>
      </c>
      <c r="H9073" s="4" t="n">
        <v>4</v>
      </c>
      <c r="I9073" s="4" t="str">
        <v>×</v>
      </c>
      <c r="J9073" s="4"/>
      <c r="K9073" s="4"/>
      <c r="L9073" s="4"/>
      <c r="M9073" s="5" t="s">
        <v>5346</v>
      </c>
    </row>
    <row r="9074" customFormat="false" ht="15.75" hidden="false" customHeight="false" outlineLevel="0" collapsed="false">
      <c r="A9074" s="6" t="n">
        <v>46173</v>
      </c>
      <c r="B9074" s="4" t="s">
        <v>4473</v>
      </c>
      <c r="C9074" s="4" t="n">
        <v>11</v>
      </c>
      <c r="D9074" s="4" t="n">
        <v>10</v>
      </c>
      <c r="E9074" s="4" t="s">
        <v>6066</v>
      </c>
      <c r="F9074" s="4" t="n">
        <v>8</v>
      </c>
      <c r="G9074" s="4" t="n">
        <v>9</v>
      </c>
      <c r="H9074" s="4" t="n">
        <v>4</v>
      </c>
      <c r="I9074" s="4" t="str">
        <v>×</v>
      </c>
      <c r="J9074" s="4"/>
      <c r="K9074" s="4"/>
      <c r="L9074" s="4"/>
      <c r="M9074" s="5" t="s">
        <v>5346</v>
      </c>
    </row>
    <row r="9075" customFormat="false" ht="15.75" hidden="false" customHeight="false" outlineLevel="0" collapsed="false">
      <c r="A9075" s="6" t="n">
        <v>46173</v>
      </c>
      <c r="B9075" s="4" t="s">
        <v>4473</v>
      </c>
      <c r="C9075" s="4" t="n">
        <v>11</v>
      </c>
      <c r="D9075" s="4" t="n">
        <v>11</v>
      </c>
      <c r="E9075" s="4" t="s">
        <v>6067</v>
      </c>
      <c r="F9075" s="4" t="n">
        <v>47</v>
      </c>
      <c r="G9075" s="4" t="n">
        <v>2</v>
      </c>
      <c r="H9075" s="4" t="n">
        <v>4</v>
      </c>
      <c r="I9075" s="4" t="str">
        <v>×</v>
      </c>
      <c r="J9075" s="4"/>
      <c r="K9075" s="4"/>
      <c r="L9075" s="4"/>
      <c r="M9075" s="5" t="s">
        <v>5346</v>
      </c>
    </row>
    <row r="9076" customFormat="false" ht="15.75" hidden="false" customHeight="false" outlineLevel="0" collapsed="false">
      <c r="A9076" s="6" t="n">
        <v>46173</v>
      </c>
      <c r="B9076" s="4" t="s">
        <v>4473</v>
      </c>
      <c r="C9076" s="4" t="n">
        <v>11</v>
      </c>
      <c r="D9076" s="4" t="n">
        <v>12</v>
      </c>
      <c r="E9076" s="4" t="s">
        <v>6068</v>
      </c>
      <c r="F9076" s="4" t="n">
        <v>13</v>
      </c>
      <c r="G9076" s="4" t="n">
        <v>6</v>
      </c>
      <c r="H9076" s="4" t="n">
        <v>4</v>
      </c>
      <c r="I9076" s="4" t="str">
        <v>×</v>
      </c>
      <c r="J9076" s="4"/>
      <c r="K9076" s="4"/>
      <c r="L9076" s="4"/>
      <c r="M9076" s="5" t="s">
        <v>5346</v>
      </c>
    </row>
    <row r="9077" customFormat="false" ht="15.75" hidden="false" customHeight="false" outlineLevel="0" collapsed="false">
      <c r="A9077" s="6" t="n">
        <v>46173</v>
      </c>
      <c r="B9077" s="4" t="s">
        <v>4473</v>
      </c>
      <c r="C9077" s="4" t="n">
        <v>11</v>
      </c>
      <c r="D9077" s="4" t="n">
        <v>13</v>
      </c>
      <c r="E9077" s="4" t="s">
        <v>6069</v>
      </c>
      <c r="F9077" s="4" t="n">
        <v>15</v>
      </c>
      <c r="G9077" s="4" t="n">
        <v>5</v>
      </c>
      <c r="H9077" s="4" t="n">
        <v>2</v>
      </c>
      <c r="I9077" s="4" t="str">
        <v>○</v>
      </c>
      <c r="J9077" s="4" t="n">
        <v>250</v>
      </c>
      <c r="K9077" s="4"/>
      <c r="L9077" s="4"/>
      <c r="M9077" s="5" t="s">
        <v>5346</v>
      </c>
    </row>
    <row r="9078" customFormat="false" ht="15.75" hidden="false" customHeight="false" outlineLevel="0" collapsed="false">
      <c r="A9078" s="6" t="n">
        <v>46173</v>
      </c>
      <c r="B9078" s="4" t="s">
        <v>4473</v>
      </c>
      <c r="C9078" s="4" t="n">
        <v>11</v>
      </c>
      <c r="D9078" s="4" t="n">
        <v>14</v>
      </c>
      <c r="E9078" s="4" t="s">
        <v>6070</v>
      </c>
      <c r="F9078" s="4" t="n">
        <v>39</v>
      </c>
      <c r="G9078" s="4" t="n">
        <v>3</v>
      </c>
      <c r="H9078" s="4" t="n">
        <v>4</v>
      </c>
      <c r="I9078" s="4" t="str">
        <v>×</v>
      </c>
      <c r="J9078" s="4"/>
      <c r="K9078" s="4"/>
      <c r="L9078" s="4"/>
      <c r="M9078" s="5" t="s">
        <v>5346</v>
      </c>
    </row>
    <row r="9079" customFormat="false" ht="15.75" hidden="false" customHeight="false" outlineLevel="0" collapsed="false">
      <c r="A9079" s="6" t="n">
        <v>46173</v>
      </c>
      <c r="B9079" s="4" t="s">
        <v>4473</v>
      </c>
      <c r="C9079" s="4" t="n">
        <v>11</v>
      </c>
      <c r="D9079" s="4" t="n">
        <v>15</v>
      </c>
      <c r="E9079" s="4" t="s">
        <v>6071</v>
      </c>
      <c r="F9079" s="4" t="n">
        <v>13</v>
      </c>
      <c r="G9079" s="4" t="n">
        <v>6</v>
      </c>
      <c r="H9079" s="4" t="n">
        <v>4</v>
      </c>
      <c r="I9079" s="4" t="str">
        <v>×</v>
      </c>
      <c r="J9079" s="4"/>
      <c r="K9079" s="4"/>
      <c r="L9079" s="4"/>
      <c r="M9079" s="5" t="s">
        <v>5346</v>
      </c>
    </row>
    <row r="9080" customFormat="false" ht="15.75" hidden="false" customHeight="false" outlineLevel="0" collapsed="false">
      <c r="A9080" s="6" t="n">
        <v>46173</v>
      </c>
      <c r="B9080" s="4" t="s">
        <v>4473</v>
      </c>
      <c r="C9080" s="4" t="n">
        <v>11</v>
      </c>
      <c r="D9080" s="4" t="n">
        <v>16</v>
      </c>
      <c r="E9080" s="4" t="s">
        <v>6072</v>
      </c>
      <c r="F9080" s="4" t="n">
        <v>25</v>
      </c>
      <c r="G9080" s="4" t="n">
        <v>4</v>
      </c>
      <c r="H9080" s="4" t="n">
        <v>4</v>
      </c>
      <c r="I9080" s="4" t="str">
        <v>×</v>
      </c>
      <c r="J9080" s="4"/>
      <c r="K9080" s="4"/>
      <c r="L9080" s="4"/>
      <c r="M9080" s="5" t="s">
        <v>5346</v>
      </c>
    </row>
    <row r="9081" customFormat="false" ht="15.75" hidden="false" customHeight="false" outlineLevel="0" collapsed="false">
      <c r="A9081" s="6" t="n">
        <v>46173</v>
      </c>
      <c r="B9081" s="4" t="s">
        <v>4473</v>
      </c>
      <c r="C9081" s="4" t="n">
        <v>11</v>
      </c>
      <c r="D9081" s="4" t="n">
        <v>17</v>
      </c>
      <c r="E9081" s="4" t="s">
        <v>6073</v>
      </c>
      <c r="F9081" s="4" t="n">
        <v>62</v>
      </c>
      <c r="G9081" s="4" t="n">
        <v>1</v>
      </c>
      <c r="H9081" s="4" t="n">
        <v>1</v>
      </c>
      <c r="I9081" s="4" t="str">
        <v>○</v>
      </c>
      <c r="J9081" s="4" t="n">
        <v>130</v>
      </c>
      <c r="K9081" s="4"/>
      <c r="L9081" s="4"/>
      <c r="M9081" s="5" t="s">
        <v>5346</v>
      </c>
    </row>
    <row r="9082" customFormat="false" ht="15.75" hidden="false" customHeight="false" outlineLevel="0" collapsed="false">
      <c r="A9082" s="6" t="n">
        <v>46173</v>
      </c>
      <c r="B9082" s="4" t="s">
        <v>4473</v>
      </c>
      <c r="C9082" s="4" t="n">
        <v>11</v>
      </c>
      <c r="D9082" s="4" t="n">
        <v>18</v>
      </c>
      <c r="E9082" s="4" t="s">
        <v>6074</v>
      </c>
      <c r="F9082" s="4" t="n">
        <v>11</v>
      </c>
      <c r="G9082" s="4" t="n">
        <v>7</v>
      </c>
      <c r="H9082" s="4" t="n">
        <v>4</v>
      </c>
      <c r="I9082" s="4" t="str">
        <v>×</v>
      </c>
      <c r="J9082" s="4"/>
      <c r="K9082" s="4"/>
      <c r="L9082" s="4"/>
      <c r="M9082" s="5" t="s">
        <v>5346</v>
      </c>
    </row>
    <row r="9083" customFormat="false" ht="15.75" hidden="false" customHeight="false" outlineLevel="0" collapsed="false">
      <c r="A9083" s="6" t="n">
        <v>46173</v>
      </c>
      <c r="B9083" s="4" t="s">
        <v>4473</v>
      </c>
      <c r="C9083" s="4" t="n">
        <v>12</v>
      </c>
      <c r="D9083" s="4" t="n">
        <v>1</v>
      </c>
      <c r="E9083" s="4" t="s">
        <v>903</v>
      </c>
      <c r="F9083" s="4" t="n">
        <v>23</v>
      </c>
      <c r="G9083" s="4" t="n">
        <v>7</v>
      </c>
      <c r="H9083" s="4" t="n">
        <v>4</v>
      </c>
      <c r="I9083" s="4" t="str">
        <v>×</v>
      </c>
      <c r="J9083" s="4"/>
      <c r="K9083" s="4"/>
      <c r="L9083" s="4"/>
      <c r="M9083" s="5" t="s">
        <v>5346</v>
      </c>
    </row>
    <row r="9084" customFormat="false" ht="15.75" hidden="false" customHeight="false" outlineLevel="0" collapsed="false">
      <c r="A9084" s="6" t="n">
        <v>46173</v>
      </c>
      <c r="B9084" s="4" t="s">
        <v>4473</v>
      </c>
      <c r="C9084" s="4" t="n">
        <v>12</v>
      </c>
      <c r="D9084" s="4" t="n">
        <v>2</v>
      </c>
      <c r="E9084" s="4" t="s">
        <v>6075</v>
      </c>
      <c r="F9084" s="4" t="n">
        <v>6</v>
      </c>
      <c r="G9084" s="4" t="n">
        <v>11</v>
      </c>
      <c r="H9084" s="4" t="n">
        <v>4</v>
      </c>
      <c r="I9084" s="4" t="str">
        <v>×</v>
      </c>
      <c r="J9084" s="4"/>
      <c r="K9084" s="4"/>
      <c r="L9084" s="4"/>
      <c r="M9084" s="5" t="s">
        <v>5346</v>
      </c>
    </row>
    <row r="9085" customFormat="false" ht="15.75" hidden="false" customHeight="false" outlineLevel="0" collapsed="false">
      <c r="A9085" s="6" t="n">
        <v>46173</v>
      </c>
      <c r="B9085" s="4" t="s">
        <v>4473</v>
      </c>
      <c r="C9085" s="4" t="n">
        <v>12</v>
      </c>
      <c r="D9085" s="4" t="n">
        <v>3</v>
      </c>
      <c r="E9085" s="4" t="s">
        <v>2400</v>
      </c>
      <c r="F9085" s="4" t="n">
        <v>13</v>
      </c>
      <c r="G9085" s="4" t="n">
        <v>10</v>
      </c>
      <c r="H9085" s="4" t="n">
        <v>4</v>
      </c>
      <c r="I9085" s="4" t="str">
        <v>×</v>
      </c>
      <c r="J9085" s="4"/>
      <c r="K9085" s="4"/>
      <c r="L9085" s="4"/>
      <c r="M9085" s="5" t="s">
        <v>5346</v>
      </c>
    </row>
    <row r="9086" customFormat="false" ht="15.75" hidden="false" customHeight="false" outlineLevel="0" collapsed="false">
      <c r="A9086" s="6" t="n">
        <v>46173</v>
      </c>
      <c r="B9086" s="4" t="s">
        <v>4473</v>
      </c>
      <c r="C9086" s="4" t="n">
        <v>12</v>
      </c>
      <c r="D9086" s="4" t="n">
        <v>4</v>
      </c>
      <c r="E9086" s="4" t="s">
        <v>6076</v>
      </c>
      <c r="F9086" s="4" t="n">
        <v>31</v>
      </c>
      <c r="G9086" s="4" t="n">
        <v>4</v>
      </c>
      <c r="H9086" s="4" t="n">
        <v>1</v>
      </c>
      <c r="I9086" s="4" t="str">
        <v>○</v>
      </c>
      <c r="J9086" s="4" t="n">
        <v>150</v>
      </c>
      <c r="K9086" s="4"/>
      <c r="L9086" s="4"/>
      <c r="M9086" s="5" t="s">
        <v>5346</v>
      </c>
    </row>
    <row r="9087" customFormat="false" ht="15.75" hidden="false" customHeight="false" outlineLevel="0" collapsed="false">
      <c r="A9087" s="6" t="n">
        <v>46173</v>
      </c>
      <c r="B9087" s="4" t="s">
        <v>4473</v>
      </c>
      <c r="C9087" s="4" t="n">
        <v>12</v>
      </c>
      <c r="D9087" s="4" t="n">
        <v>5</v>
      </c>
      <c r="E9087" s="4" t="s">
        <v>896</v>
      </c>
      <c r="F9087" s="4" t="n">
        <v>15</v>
      </c>
      <c r="G9087" s="4" t="n">
        <v>9</v>
      </c>
      <c r="H9087" s="4" t="n">
        <v>4</v>
      </c>
      <c r="I9087" s="4" t="str">
        <v>×</v>
      </c>
      <c r="J9087" s="4"/>
      <c r="K9087" s="4"/>
      <c r="L9087" s="4"/>
      <c r="M9087" s="5" t="s">
        <v>5346</v>
      </c>
    </row>
    <row r="9088" customFormat="false" ht="15.75" hidden="false" customHeight="false" outlineLevel="0" collapsed="false">
      <c r="A9088" s="6" t="n">
        <v>46173</v>
      </c>
      <c r="B9088" s="4" t="s">
        <v>4473</v>
      </c>
      <c r="C9088" s="4" t="n">
        <v>12</v>
      </c>
      <c r="D9088" s="4" t="n">
        <v>6</v>
      </c>
      <c r="E9088" s="4" t="s">
        <v>6077</v>
      </c>
      <c r="F9088" s="4" t="n">
        <v>62</v>
      </c>
      <c r="G9088" s="4" t="n">
        <v>1</v>
      </c>
      <c r="H9088" s="4" t="n">
        <v>2</v>
      </c>
      <c r="I9088" s="4" t="str">
        <v>○</v>
      </c>
      <c r="J9088" s="4" t="n">
        <v>130</v>
      </c>
      <c r="K9088" s="4"/>
      <c r="L9088" s="4"/>
      <c r="M9088" s="5" t="s">
        <v>5346</v>
      </c>
    </row>
    <row r="9089" customFormat="false" ht="15.75" hidden="false" customHeight="false" outlineLevel="0" collapsed="false">
      <c r="A9089" s="6" t="n">
        <v>46173</v>
      </c>
      <c r="B9089" s="4" t="s">
        <v>4473</v>
      </c>
      <c r="C9089" s="4" t="n">
        <v>12</v>
      </c>
      <c r="D9089" s="4" t="n">
        <v>7</v>
      </c>
      <c r="E9089" s="4" t="s">
        <v>6078</v>
      </c>
      <c r="F9089" s="4" t="n">
        <v>39</v>
      </c>
      <c r="G9089" s="4" t="n">
        <v>3</v>
      </c>
      <c r="H9089" s="4" t="n">
        <v>4</v>
      </c>
      <c r="I9089" s="4" t="str">
        <v>×</v>
      </c>
      <c r="J9089" s="4"/>
      <c r="K9089" s="4"/>
      <c r="L9089" s="4"/>
      <c r="M9089" s="5" t="s">
        <v>5346</v>
      </c>
    </row>
    <row r="9090" customFormat="false" ht="15.75" hidden="false" customHeight="false" outlineLevel="0" collapsed="false">
      <c r="A9090" s="6" t="n">
        <v>46173</v>
      </c>
      <c r="B9090" s="4" t="s">
        <v>4473</v>
      </c>
      <c r="C9090" s="4" t="n">
        <v>12</v>
      </c>
      <c r="D9090" s="4" t="n">
        <v>8</v>
      </c>
      <c r="E9090" s="4" t="s">
        <v>894</v>
      </c>
      <c r="F9090" s="4" t="n">
        <v>25</v>
      </c>
      <c r="G9090" s="4" t="n">
        <v>6</v>
      </c>
      <c r="H9090" s="4" t="n">
        <v>4</v>
      </c>
      <c r="I9090" s="4" t="str">
        <v>×</v>
      </c>
      <c r="J9090" s="4"/>
      <c r="K9090" s="4"/>
      <c r="L9090" s="4"/>
      <c r="M9090" s="5" t="s">
        <v>5346</v>
      </c>
    </row>
    <row r="9091" customFormat="false" ht="15.75" hidden="false" customHeight="false" outlineLevel="0" collapsed="false">
      <c r="A9091" s="6" t="n">
        <v>46173</v>
      </c>
      <c r="B9091" s="4" t="s">
        <v>4473</v>
      </c>
      <c r="C9091" s="4" t="n">
        <v>12</v>
      </c>
      <c r="D9091" s="4" t="n">
        <v>9</v>
      </c>
      <c r="E9091" s="4" t="s">
        <v>268</v>
      </c>
      <c r="F9091" s="4" t="n">
        <v>29</v>
      </c>
      <c r="G9091" s="4" t="n">
        <v>5</v>
      </c>
      <c r="H9091" s="4" t="n">
        <v>4</v>
      </c>
      <c r="I9091" s="4" t="str">
        <v>×</v>
      </c>
      <c r="J9091" s="4"/>
      <c r="K9091" s="4"/>
      <c r="L9091" s="4"/>
      <c r="M9091" s="5" t="s">
        <v>5346</v>
      </c>
    </row>
    <row r="9092" customFormat="false" ht="15.75" hidden="false" customHeight="false" outlineLevel="0" collapsed="false">
      <c r="A9092" s="6" t="n">
        <v>46173</v>
      </c>
      <c r="B9092" s="4" t="s">
        <v>4473</v>
      </c>
      <c r="C9092" s="4" t="n">
        <v>12</v>
      </c>
      <c r="D9092" s="4" t="n">
        <v>10</v>
      </c>
      <c r="E9092" s="4" t="s">
        <v>6079</v>
      </c>
      <c r="F9092" s="4" t="n">
        <v>20</v>
      </c>
      <c r="G9092" s="4" t="n">
        <v>8</v>
      </c>
      <c r="H9092" s="4" t="n">
        <v>4</v>
      </c>
      <c r="I9092" s="4" t="str">
        <v>×</v>
      </c>
      <c r="J9092" s="4"/>
      <c r="K9092" s="4"/>
      <c r="L9092" s="4"/>
      <c r="M9092" s="5" t="s">
        <v>5346</v>
      </c>
    </row>
    <row r="9093" customFormat="false" ht="15.75" hidden="false" customHeight="false" outlineLevel="0" collapsed="false">
      <c r="A9093" s="6" t="n">
        <v>46173</v>
      </c>
      <c r="B9093" s="4" t="s">
        <v>4473</v>
      </c>
      <c r="C9093" s="4" t="n">
        <v>12</v>
      </c>
      <c r="D9093" s="4" t="n">
        <v>11</v>
      </c>
      <c r="E9093" s="4" t="s">
        <v>6080</v>
      </c>
      <c r="F9093" s="4" t="n">
        <v>56</v>
      </c>
      <c r="G9093" s="4" t="n">
        <v>2</v>
      </c>
      <c r="H9093" s="4" t="n">
        <v>3</v>
      </c>
      <c r="I9093" s="4" t="str">
        <v>○</v>
      </c>
      <c r="J9093" s="4" t="n">
        <v>130</v>
      </c>
      <c r="K9093" s="4"/>
      <c r="L9093" s="4"/>
      <c r="M9093" s="5" t="s">
        <v>5346</v>
      </c>
    </row>
    <row r="9094" customFormat="false" ht="15.75" hidden="false" customHeight="false" outlineLevel="0" collapsed="false">
      <c r="A9094" s="6" t="n">
        <v>46173</v>
      </c>
      <c r="B9094" s="4" t="s">
        <v>4473</v>
      </c>
      <c r="C9094" s="4" t="n">
        <v>12</v>
      </c>
      <c r="D9094" s="4" t="n">
        <v>12</v>
      </c>
      <c r="E9094" s="4" t="s">
        <v>6081</v>
      </c>
      <c r="F9094" s="4" t="n">
        <v>6</v>
      </c>
      <c r="G9094" s="4" t="n">
        <v>11</v>
      </c>
      <c r="H9094" s="4" t="n">
        <v>4</v>
      </c>
      <c r="I9094" s="4" t="str">
        <v>×</v>
      </c>
      <c r="J9094" s="4"/>
      <c r="K9094" s="4"/>
      <c r="L9094" s="4"/>
      <c r="M9094" s="5" t="s">
        <v>5346</v>
      </c>
    </row>
    <row r="9095" customFormat="false" ht="15.75" hidden="false" customHeight="false" outlineLevel="0" collapsed="false">
      <c r="A9095" s="6" t="n">
        <v>46173</v>
      </c>
      <c r="B9095" s="4" t="s">
        <v>4473</v>
      </c>
      <c r="C9095" s="4" t="n">
        <v>12</v>
      </c>
      <c r="D9095" s="4" t="n">
        <v>13</v>
      </c>
      <c r="E9095" s="4" t="s">
        <v>6082</v>
      </c>
      <c r="F9095" s="4" t="n">
        <v>13</v>
      </c>
      <c r="G9095" s="4" t="n">
        <v>10</v>
      </c>
      <c r="H9095" s="4" t="n">
        <v>4</v>
      </c>
      <c r="I9095" s="4" t="str">
        <v>×</v>
      </c>
      <c r="J9095" s="4"/>
      <c r="K9095" s="4"/>
      <c r="L9095" s="4"/>
      <c r="M9095" s="5" t="s">
        <v>5346</v>
      </c>
    </row>
    <row r="9096" customFormat="false" ht="15.75" hidden="false" customHeight="false" outlineLevel="0" collapsed="false">
      <c r="A9096" s="6" t="n">
        <v>46173</v>
      </c>
      <c r="B9096" s="4" t="s">
        <v>4473</v>
      </c>
      <c r="C9096" s="4" t="n">
        <v>12</v>
      </c>
      <c r="D9096" s="4" t="n">
        <v>14</v>
      </c>
      <c r="E9096" s="4" t="s">
        <v>6083</v>
      </c>
      <c r="F9096" s="4" t="n">
        <v>20</v>
      </c>
      <c r="G9096" s="4" t="n">
        <v>8</v>
      </c>
      <c r="H9096" s="4" t="n">
        <v>4</v>
      </c>
      <c r="I9096" s="4" t="str">
        <v>×</v>
      </c>
      <c r="J9096" s="4"/>
      <c r="K9096" s="4"/>
      <c r="L9096" s="4"/>
      <c r="M9096" s="5" t="s">
        <v>5346</v>
      </c>
    </row>
    <row r="9097" customFormat="false" ht="15.75" hidden="false" customHeight="false" outlineLevel="0" collapsed="false">
      <c r="A9097" s="6" t="n">
        <v>46173</v>
      </c>
      <c r="B9097" s="4" t="s">
        <v>5435</v>
      </c>
      <c r="C9097" s="4" t="n">
        <v>1</v>
      </c>
      <c r="D9097" s="4" t="n">
        <v>1</v>
      </c>
      <c r="E9097" s="4" t="s">
        <v>4111</v>
      </c>
      <c r="F9097" s="4" t="n">
        <v>15</v>
      </c>
      <c r="G9097" s="4" t="n">
        <v>7</v>
      </c>
      <c r="H9097" s="4" t="n">
        <v>4</v>
      </c>
      <c r="I9097" s="4" t="str">
        <v>×</v>
      </c>
      <c r="J9097" s="4"/>
      <c r="K9097" s="4"/>
      <c r="L9097" s="4"/>
      <c r="M9097" s="5" t="s">
        <v>5346</v>
      </c>
    </row>
    <row r="9098" customFormat="false" ht="15.75" hidden="false" customHeight="false" outlineLevel="0" collapsed="false">
      <c r="A9098" s="6" t="n">
        <v>46173</v>
      </c>
      <c r="B9098" s="4" t="s">
        <v>5435</v>
      </c>
      <c r="C9098" s="4" t="n">
        <v>1</v>
      </c>
      <c r="D9098" s="4" t="n">
        <v>2</v>
      </c>
      <c r="E9098" s="4" t="s">
        <v>4817</v>
      </c>
      <c r="F9098" s="4" t="n">
        <v>47</v>
      </c>
      <c r="G9098" s="4" t="n">
        <v>3</v>
      </c>
      <c r="H9098" s="4" t="n">
        <v>1</v>
      </c>
      <c r="I9098" s="4" t="str">
        <v>○</v>
      </c>
      <c r="J9098" s="4" t="n">
        <v>150</v>
      </c>
      <c r="K9098" s="4"/>
      <c r="L9098" s="4"/>
      <c r="M9098" s="5" t="s">
        <v>5346</v>
      </c>
    </row>
    <row r="9099" customFormat="false" ht="15.75" hidden="false" customHeight="false" outlineLevel="0" collapsed="false">
      <c r="A9099" s="6" t="n">
        <v>46173</v>
      </c>
      <c r="B9099" s="4" t="s">
        <v>5435</v>
      </c>
      <c r="C9099" s="4" t="n">
        <v>1</v>
      </c>
      <c r="D9099" s="4" t="n">
        <v>3</v>
      </c>
      <c r="E9099" s="4" t="s">
        <v>6084</v>
      </c>
      <c r="F9099" s="4" t="n">
        <v>4</v>
      </c>
      <c r="G9099" s="4" t="n">
        <v>10</v>
      </c>
      <c r="H9099" s="4" t="n">
        <v>4</v>
      </c>
      <c r="I9099" s="4" t="str">
        <v>×</v>
      </c>
      <c r="J9099" s="4"/>
      <c r="K9099" s="4"/>
      <c r="L9099" s="4"/>
      <c r="M9099" s="5" t="s">
        <v>5346</v>
      </c>
    </row>
    <row r="9100" customFormat="false" ht="15.75" hidden="false" customHeight="false" outlineLevel="0" collapsed="false">
      <c r="A9100" s="6" t="n">
        <v>46173</v>
      </c>
      <c r="B9100" s="4" t="s">
        <v>5435</v>
      </c>
      <c r="C9100" s="4" t="n">
        <v>1</v>
      </c>
      <c r="D9100" s="4" t="n">
        <v>4</v>
      </c>
      <c r="E9100" s="4" t="s">
        <v>3148</v>
      </c>
      <c r="F9100" s="4" t="n">
        <v>4</v>
      </c>
      <c r="G9100" s="4" t="n">
        <v>10</v>
      </c>
      <c r="H9100" s="4" t="n">
        <v>4</v>
      </c>
      <c r="I9100" s="4" t="str">
        <v>×</v>
      </c>
      <c r="J9100" s="4"/>
      <c r="K9100" s="4"/>
      <c r="L9100" s="4"/>
      <c r="M9100" s="5" t="s">
        <v>5346</v>
      </c>
    </row>
    <row r="9101" customFormat="false" ht="15.75" hidden="false" customHeight="false" outlineLevel="0" collapsed="false">
      <c r="A9101" s="6" t="n">
        <v>46173</v>
      </c>
      <c r="B9101" s="4" t="s">
        <v>5435</v>
      </c>
      <c r="C9101" s="4" t="n">
        <v>1</v>
      </c>
      <c r="D9101" s="4" t="n">
        <v>5</v>
      </c>
      <c r="E9101" s="4" t="s">
        <v>3923</v>
      </c>
      <c r="F9101" s="4" t="n">
        <v>17</v>
      </c>
      <c r="G9101" s="4" t="n">
        <v>6</v>
      </c>
      <c r="H9101" s="4" t="n">
        <v>3</v>
      </c>
      <c r="I9101" s="4" t="str">
        <v>○</v>
      </c>
      <c r="J9101" s="4" t="n">
        <v>360</v>
      </c>
      <c r="K9101" s="4"/>
      <c r="L9101" s="4"/>
      <c r="M9101" s="5" t="s">
        <v>5346</v>
      </c>
    </row>
    <row r="9102" customFormat="false" ht="15.75" hidden="false" customHeight="false" outlineLevel="0" collapsed="false">
      <c r="A9102" s="6" t="n">
        <v>46173</v>
      </c>
      <c r="B9102" s="4" t="s">
        <v>5435</v>
      </c>
      <c r="C9102" s="4" t="n">
        <v>1</v>
      </c>
      <c r="D9102" s="4" t="n">
        <v>6</v>
      </c>
      <c r="E9102" s="4" t="s">
        <v>802</v>
      </c>
      <c r="F9102" s="4" t="n">
        <v>52</v>
      </c>
      <c r="G9102" s="4" t="n">
        <v>1</v>
      </c>
      <c r="H9102" s="4" t="n">
        <v>4</v>
      </c>
      <c r="I9102" s="4" t="str">
        <v>×</v>
      </c>
      <c r="J9102" s="4"/>
      <c r="K9102" s="4"/>
      <c r="L9102" s="4"/>
      <c r="M9102" s="5" t="s">
        <v>5346</v>
      </c>
    </row>
    <row r="9103" customFormat="false" ht="15.75" hidden="false" customHeight="false" outlineLevel="0" collapsed="false">
      <c r="A9103" s="6" t="n">
        <v>46173</v>
      </c>
      <c r="B9103" s="4" t="s">
        <v>5435</v>
      </c>
      <c r="C9103" s="4" t="n">
        <v>1</v>
      </c>
      <c r="D9103" s="4" t="n">
        <v>7</v>
      </c>
      <c r="E9103" s="4" t="s">
        <v>6085</v>
      </c>
      <c r="F9103" s="4" t="n">
        <v>44</v>
      </c>
      <c r="G9103" s="4" t="n">
        <v>4</v>
      </c>
      <c r="H9103" s="4" t="n">
        <v>4</v>
      </c>
      <c r="I9103" s="4" t="str">
        <v>×</v>
      </c>
      <c r="J9103" s="4"/>
      <c r="K9103" s="4"/>
      <c r="L9103" s="4"/>
      <c r="M9103" s="5" t="s">
        <v>5346</v>
      </c>
    </row>
    <row r="9104" customFormat="false" ht="15.75" hidden="false" customHeight="false" outlineLevel="0" collapsed="false">
      <c r="A9104" s="6" t="n">
        <v>46173</v>
      </c>
      <c r="B9104" s="4" t="s">
        <v>5435</v>
      </c>
      <c r="C9104" s="4" t="n">
        <v>1</v>
      </c>
      <c r="D9104" s="4" t="n">
        <v>8</v>
      </c>
      <c r="E9104" s="4" t="s">
        <v>3604</v>
      </c>
      <c r="F9104" s="4" t="n">
        <v>41</v>
      </c>
      <c r="G9104" s="4" t="n">
        <v>5</v>
      </c>
      <c r="H9104" s="4" t="n">
        <v>2</v>
      </c>
      <c r="I9104" s="4" t="str">
        <v>○</v>
      </c>
      <c r="J9104" s="4" t="n">
        <v>210</v>
      </c>
      <c r="K9104" s="4"/>
      <c r="L9104" s="4"/>
      <c r="M9104" s="5" t="s">
        <v>5346</v>
      </c>
    </row>
    <row r="9105" customFormat="false" ht="15.75" hidden="false" customHeight="false" outlineLevel="0" collapsed="false">
      <c r="A9105" s="6" t="n">
        <v>46173</v>
      </c>
      <c r="B9105" s="4" t="s">
        <v>5435</v>
      </c>
      <c r="C9105" s="4" t="n">
        <v>1</v>
      </c>
      <c r="D9105" s="4" t="n">
        <v>9</v>
      </c>
      <c r="E9105" s="4" t="s">
        <v>6086</v>
      </c>
      <c r="F9105" s="4" t="n">
        <v>6</v>
      </c>
      <c r="G9105" s="4" t="n">
        <v>9</v>
      </c>
      <c r="H9105" s="4" t="n">
        <v>4</v>
      </c>
      <c r="I9105" s="4" t="str">
        <v>×</v>
      </c>
      <c r="J9105" s="4"/>
      <c r="K9105" s="4"/>
      <c r="L9105" s="4"/>
      <c r="M9105" s="5" t="s">
        <v>5346</v>
      </c>
    </row>
    <row r="9106" customFormat="false" ht="15.75" hidden="false" customHeight="false" outlineLevel="0" collapsed="false">
      <c r="A9106" s="6" t="n">
        <v>46173</v>
      </c>
      <c r="B9106" s="4" t="s">
        <v>5435</v>
      </c>
      <c r="C9106" s="4" t="n">
        <v>1</v>
      </c>
      <c r="D9106" s="4" t="n">
        <v>10</v>
      </c>
      <c r="E9106" s="4" t="s">
        <v>6087</v>
      </c>
      <c r="F9106" s="4" t="n">
        <v>2</v>
      </c>
      <c r="G9106" s="4" t="n">
        <v>12</v>
      </c>
      <c r="H9106" s="4" t="n">
        <v>4</v>
      </c>
      <c r="I9106" s="4" t="str">
        <v>×</v>
      </c>
      <c r="J9106" s="4"/>
      <c r="K9106" s="4"/>
      <c r="L9106" s="4"/>
      <c r="M9106" s="5" t="s">
        <v>5346</v>
      </c>
    </row>
    <row r="9107" customFormat="false" ht="15.75" hidden="false" customHeight="false" outlineLevel="0" collapsed="false">
      <c r="A9107" s="6" t="n">
        <v>46173</v>
      </c>
      <c r="B9107" s="4" t="s">
        <v>5435</v>
      </c>
      <c r="C9107" s="4" t="n">
        <v>1</v>
      </c>
      <c r="D9107" s="4" t="n">
        <v>11</v>
      </c>
      <c r="E9107" s="4" t="s">
        <v>6088</v>
      </c>
      <c r="F9107" s="4" t="n">
        <v>3</v>
      </c>
      <c r="G9107" s="4" t="n">
        <v>11</v>
      </c>
      <c r="H9107" s="4" t="n">
        <v>4</v>
      </c>
      <c r="I9107" s="4" t="str">
        <v>×</v>
      </c>
      <c r="J9107" s="4"/>
      <c r="K9107" s="4"/>
      <c r="L9107" s="4"/>
      <c r="M9107" s="5" t="s">
        <v>5346</v>
      </c>
    </row>
    <row r="9108" customFormat="false" ht="15.75" hidden="false" customHeight="false" outlineLevel="0" collapsed="false">
      <c r="A9108" s="6" t="n">
        <v>46173</v>
      </c>
      <c r="B9108" s="4" t="s">
        <v>5435</v>
      </c>
      <c r="C9108" s="4" t="n">
        <v>1</v>
      </c>
      <c r="D9108" s="4" t="n">
        <v>12</v>
      </c>
      <c r="E9108" s="4" t="s">
        <v>6089</v>
      </c>
      <c r="F9108" s="4" t="n">
        <v>17</v>
      </c>
      <c r="G9108" s="4" t="n">
        <v>6</v>
      </c>
      <c r="H9108" s="4" t="n">
        <v>4</v>
      </c>
      <c r="I9108" s="4" t="str">
        <v>×</v>
      </c>
      <c r="J9108" s="4"/>
      <c r="K9108" s="4"/>
      <c r="L9108" s="4"/>
      <c r="M9108" s="5" t="s">
        <v>5346</v>
      </c>
    </row>
    <row r="9109" customFormat="false" ht="15.75" hidden="false" customHeight="false" outlineLevel="0" collapsed="false">
      <c r="A9109" s="6" t="n">
        <v>46173</v>
      </c>
      <c r="B9109" s="4" t="s">
        <v>5435</v>
      </c>
      <c r="C9109" s="4" t="n">
        <v>1</v>
      </c>
      <c r="D9109" s="4" t="n">
        <v>13</v>
      </c>
      <c r="E9109" s="4" t="s">
        <v>6090</v>
      </c>
      <c r="F9109" s="4" t="n">
        <v>4</v>
      </c>
      <c r="G9109" s="4" t="n">
        <v>10</v>
      </c>
      <c r="H9109" s="4" t="n">
        <v>4</v>
      </c>
      <c r="I9109" s="4" t="str">
        <v>×</v>
      </c>
      <c r="J9109" s="4"/>
      <c r="K9109" s="4"/>
      <c r="L9109" s="4"/>
      <c r="M9109" s="5" t="s">
        <v>5346</v>
      </c>
    </row>
    <row r="9110" customFormat="false" ht="15.75" hidden="false" customHeight="false" outlineLevel="0" collapsed="false">
      <c r="A9110" s="6" t="n">
        <v>46173</v>
      </c>
      <c r="B9110" s="4" t="s">
        <v>5435</v>
      </c>
      <c r="C9110" s="4" t="n">
        <v>1</v>
      </c>
      <c r="D9110" s="4" t="n">
        <v>14</v>
      </c>
      <c r="E9110" s="4" t="s">
        <v>6091</v>
      </c>
      <c r="F9110" s="4" t="n">
        <v>13</v>
      </c>
      <c r="G9110" s="4" t="n">
        <v>8</v>
      </c>
      <c r="H9110" s="4" t="n">
        <v>4</v>
      </c>
      <c r="I9110" s="4" t="str">
        <v>×</v>
      </c>
      <c r="J9110" s="4"/>
      <c r="K9110" s="4"/>
      <c r="L9110" s="4"/>
      <c r="M9110" s="5" t="s">
        <v>5346</v>
      </c>
    </row>
    <row r="9111" customFormat="false" ht="15.75" hidden="false" customHeight="false" outlineLevel="0" collapsed="false">
      <c r="A9111" s="6" t="n">
        <v>46173</v>
      </c>
      <c r="B9111" s="4" t="s">
        <v>5435</v>
      </c>
      <c r="C9111" s="4" t="n">
        <v>1</v>
      </c>
      <c r="D9111" s="4" t="n">
        <v>15</v>
      </c>
      <c r="E9111" s="4" t="s">
        <v>2055</v>
      </c>
      <c r="F9111" s="4" t="n">
        <v>4</v>
      </c>
      <c r="G9111" s="4" t="n">
        <v>10</v>
      </c>
      <c r="H9111" s="4" t="n">
        <v>4</v>
      </c>
      <c r="I9111" s="4" t="str">
        <v>×</v>
      </c>
      <c r="J9111" s="4"/>
      <c r="K9111" s="4"/>
      <c r="L9111" s="4"/>
      <c r="M9111" s="5" t="s">
        <v>5346</v>
      </c>
    </row>
    <row r="9112" customFormat="false" ht="15.75" hidden="false" customHeight="false" outlineLevel="0" collapsed="false">
      <c r="A9112" s="6" t="n">
        <v>46173</v>
      </c>
      <c r="B9112" s="4" t="s">
        <v>5435</v>
      </c>
      <c r="C9112" s="4" t="n">
        <v>1</v>
      </c>
      <c r="D9112" s="4" t="n">
        <v>16</v>
      </c>
      <c r="E9112" s="4" t="s">
        <v>1589</v>
      </c>
      <c r="F9112" s="4" t="n">
        <v>50</v>
      </c>
      <c r="G9112" s="4" t="n">
        <v>2</v>
      </c>
      <c r="H9112" s="4" t="n">
        <v>4</v>
      </c>
      <c r="I9112" s="4" t="str">
        <v>×</v>
      </c>
      <c r="J9112" s="4"/>
      <c r="K9112" s="4"/>
      <c r="L9112" s="4"/>
      <c r="M9112" s="5" t="s">
        <v>5346</v>
      </c>
    </row>
    <row r="9113" customFormat="false" ht="15.75" hidden="false" customHeight="false" outlineLevel="0" collapsed="false">
      <c r="A9113" s="6" t="n">
        <v>46173</v>
      </c>
      <c r="B9113" s="4" t="s">
        <v>5435</v>
      </c>
      <c r="C9113" s="4" t="n">
        <v>2</v>
      </c>
      <c r="D9113" s="4" t="n">
        <v>1</v>
      </c>
      <c r="E9113" s="4" t="s">
        <v>6092</v>
      </c>
      <c r="F9113" s="4" t="n">
        <v>4</v>
      </c>
      <c r="G9113" s="4" t="n">
        <v>10</v>
      </c>
      <c r="H9113" s="4" t="n">
        <v>4</v>
      </c>
      <c r="I9113" s="4" t="str">
        <v>×</v>
      </c>
      <c r="J9113" s="4"/>
      <c r="K9113" s="4"/>
      <c r="L9113" s="4"/>
      <c r="M9113" s="5" t="s">
        <v>5346</v>
      </c>
    </row>
    <row r="9114" customFormat="false" ht="15.75" hidden="false" customHeight="false" outlineLevel="0" collapsed="false">
      <c r="A9114" s="6" t="n">
        <v>46173</v>
      </c>
      <c r="B9114" s="4" t="s">
        <v>5435</v>
      </c>
      <c r="C9114" s="4" t="n">
        <v>2</v>
      </c>
      <c r="D9114" s="4" t="n">
        <v>2</v>
      </c>
      <c r="E9114" s="4" t="s">
        <v>3506</v>
      </c>
      <c r="F9114" s="4" t="n">
        <v>25</v>
      </c>
      <c r="G9114" s="4" t="n">
        <v>4</v>
      </c>
      <c r="H9114" s="4" t="n">
        <v>4</v>
      </c>
      <c r="I9114" s="4" t="str">
        <v>×</v>
      </c>
      <c r="J9114" s="4"/>
      <c r="K9114" s="4"/>
      <c r="L9114" s="4"/>
      <c r="M9114" s="5" t="s">
        <v>5346</v>
      </c>
    </row>
    <row r="9115" customFormat="false" ht="15.75" hidden="false" customHeight="false" outlineLevel="0" collapsed="false">
      <c r="A9115" s="6" t="n">
        <v>46173</v>
      </c>
      <c r="B9115" s="4" t="s">
        <v>5435</v>
      </c>
      <c r="C9115" s="4" t="n">
        <v>2</v>
      </c>
      <c r="D9115" s="4" t="n">
        <v>3</v>
      </c>
      <c r="E9115" s="4" t="s">
        <v>1152</v>
      </c>
      <c r="F9115" s="4" t="n">
        <v>41</v>
      </c>
      <c r="G9115" s="4" t="n">
        <v>3</v>
      </c>
      <c r="H9115" s="4" t="n">
        <v>4</v>
      </c>
      <c r="I9115" s="4" t="str">
        <v>×</v>
      </c>
      <c r="J9115" s="4"/>
      <c r="K9115" s="4"/>
      <c r="L9115" s="4"/>
      <c r="M9115" s="5" t="s">
        <v>5346</v>
      </c>
    </row>
    <row r="9116" customFormat="false" ht="15.75" hidden="false" customHeight="false" outlineLevel="0" collapsed="false">
      <c r="A9116" s="6" t="n">
        <v>46173</v>
      </c>
      <c r="B9116" s="4" t="s">
        <v>5435</v>
      </c>
      <c r="C9116" s="4" t="n">
        <v>2</v>
      </c>
      <c r="D9116" s="4" t="n">
        <v>4</v>
      </c>
      <c r="E9116" s="4" t="s">
        <v>1128</v>
      </c>
      <c r="F9116" s="4" t="n">
        <v>6</v>
      </c>
      <c r="G9116" s="4" t="n">
        <v>9</v>
      </c>
      <c r="H9116" s="4" t="n">
        <v>4</v>
      </c>
      <c r="I9116" s="4" t="str">
        <v>×</v>
      </c>
      <c r="J9116" s="4"/>
      <c r="K9116" s="4"/>
      <c r="L9116" s="4"/>
      <c r="M9116" s="5" t="s">
        <v>5346</v>
      </c>
    </row>
    <row r="9117" customFormat="false" ht="15.75" hidden="false" customHeight="false" outlineLevel="0" collapsed="false">
      <c r="A9117" s="6" t="n">
        <v>46173</v>
      </c>
      <c r="B9117" s="4" t="s">
        <v>5435</v>
      </c>
      <c r="C9117" s="4" t="n">
        <v>2</v>
      </c>
      <c r="D9117" s="4" t="n">
        <v>5</v>
      </c>
      <c r="E9117" s="4" t="s">
        <v>6093</v>
      </c>
      <c r="F9117" s="4" t="n">
        <v>15</v>
      </c>
      <c r="G9117" s="4" t="n">
        <v>6</v>
      </c>
      <c r="H9117" s="4" t="n">
        <v>4</v>
      </c>
      <c r="I9117" s="4" t="str">
        <v>×</v>
      </c>
      <c r="J9117" s="4"/>
      <c r="K9117" s="4"/>
      <c r="L9117" s="4"/>
      <c r="M9117" s="5" t="s">
        <v>5346</v>
      </c>
    </row>
    <row r="9118" customFormat="false" ht="15.75" hidden="false" customHeight="false" outlineLevel="0" collapsed="false">
      <c r="A9118" s="6" t="n">
        <v>46173</v>
      </c>
      <c r="B9118" s="4" t="s">
        <v>5435</v>
      </c>
      <c r="C9118" s="4" t="n">
        <v>2</v>
      </c>
      <c r="D9118" s="4" t="n">
        <v>6</v>
      </c>
      <c r="E9118" s="4" t="s">
        <v>6094</v>
      </c>
      <c r="F9118" s="4" t="n">
        <v>13</v>
      </c>
      <c r="G9118" s="4" t="n">
        <v>7</v>
      </c>
      <c r="H9118" s="4" t="n">
        <v>4</v>
      </c>
      <c r="I9118" s="4" t="str">
        <v>×</v>
      </c>
      <c r="J9118" s="4"/>
      <c r="K9118" s="4"/>
      <c r="L9118" s="4"/>
      <c r="M9118" s="5" t="s">
        <v>5346</v>
      </c>
    </row>
    <row r="9119" customFormat="false" ht="15.75" hidden="false" customHeight="false" outlineLevel="0" collapsed="false">
      <c r="A9119" s="6" t="n">
        <v>46173</v>
      </c>
      <c r="B9119" s="4" t="s">
        <v>5435</v>
      </c>
      <c r="C9119" s="4" t="n">
        <v>2</v>
      </c>
      <c r="D9119" s="4" t="n">
        <v>7</v>
      </c>
      <c r="E9119" s="4" t="s">
        <v>6095</v>
      </c>
      <c r="F9119" s="4" t="n">
        <v>3</v>
      </c>
      <c r="G9119" s="4" t="n">
        <v>11</v>
      </c>
      <c r="H9119" s="4" t="n">
        <v>4</v>
      </c>
      <c r="I9119" s="4" t="str">
        <v>×</v>
      </c>
      <c r="J9119" s="4"/>
      <c r="K9119" s="4"/>
      <c r="L9119" s="4"/>
      <c r="M9119" s="5" t="s">
        <v>5346</v>
      </c>
    </row>
    <row r="9120" customFormat="false" ht="15.75" hidden="false" customHeight="false" outlineLevel="0" collapsed="false">
      <c r="A9120" s="6" t="n">
        <v>46173</v>
      </c>
      <c r="B9120" s="4" t="s">
        <v>5435</v>
      </c>
      <c r="C9120" s="4" t="n">
        <v>2</v>
      </c>
      <c r="D9120" s="4" t="n">
        <v>8</v>
      </c>
      <c r="E9120" s="4" t="s">
        <v>1118</v>
      </c>
      <c r="F9120" s="4" t="n">
        <v>4</v>
      </c>
      <c r="G9120" s="4" t="n">
        <v>10</v>
      </c>
      <c r="H9120" s="4" t="n">
        <v>4</v>
      </c>
      <c r="I9120" s="4" t="str">
        <v>×</v>
      </c>
      <c r="J9120" s="4"/>
      <c r="K9120" s="4"/>
      <c r="L9120" s="4"/>
      <c r="M9120" s="5" t="s">
        <v>5346</v>
      </c>
    </row>
    <row r="9121" customFormat="false" ht="15.75" hidden="false" customHeight="false" outlineLevel="0" collapsed="false">
      <c r="A9121" s="6" t="n">
        <v>46173</v>
      </c>
      <c r="B9121" s="4" t="s">
        <v>5435</v>
      </c>
      <c r="C9121" s="4" t="n">
        <v>2</v>
      </c>
      <c r="D9121" s="4" t="n">
        <v>9</v>
      </c>
      <c r="E9121" s="4" t="s">
        <v>1103</v>
      </c>
      <c r="F9121" s="4" t="n">
        <v>4</v>
      </c>
      <c r="G9121" s="4" t="n">
        <v>10</v>
      </c>
      <c r="H9121" s="4" t="n">
        <v>4</v>
      </c>
      <c r="I9121" s="4" t="str">
        <v>×</v>
      </c>
      <c r="J9121" s="4"/>
      <c r="K9121" s="4"/>
      <c r="L9121" s="4"/>
      <c r="M9121" s="5" t="s">
        <v>5346</v>
      </c>
    </row>
    <row r="9122" customFormat="false" ht="15.75" hidden="false" customHeight="false" outlineLevel="0" collapsed="false">
      <c r="A9122" s="6" t="n">
        <v>46173</v>
      </c>
      <c r="B9122" s="4" t="s">
        <v>5435</v>
      </c>
      <c r="C9122" s="4" t="n">
        <v>2</v>
      </c>
      <c r="D9122" s="4" t="n">
        <v>10</v>
      </c>
      <c r="E9122" s="4" t="s">
        <v>1247</v>
      </c>
      <c r="F9122" s="4" t="n">
        <v>6</v>
      </c>
      <c r="G9122" s="4" t="n">
        <v>9</v>
      </c>
      <c r="H9122" s="4" t="n">
        <v>4</v>
      </c>
      <c r="I9122" s="4" t="str">
        <v>×</v>
      </c>
      <c r="J9122" s="4"/>
      <c r="K9122" s="4"/>
      <c r="L9122" s="4"/>
      <c r="M9122" s="5" t="s">
        <v>5346</v>
      </c>
    </row>
    <row r="9123" customFormat="false" ht="15.75" hidden="false" customHeight="false" outlineLevel="0" collapsed="false">
      <c r="A9123" s="6" t="n">
        <v>46173</v>
      </c>
      <c r="B9123" s="4" t="s">
        <v>5435</v>
      </c>
      <c r="C9123" s="4" t="n">
        <v>2</v>
      </c>
      <c r="D9123" s="4" t="n">
        <v>11</v>
      </c>
      <c r="E9123" s="4" t="s">
        <v>6096</v>
      </c>
      <c r="F9123" s="4" t="n">
        <v>4</v>
      </c>
      <c r="G9123" s="4" t="n">
        <v>10</v>
      </c>
      <c r="H9123" s="4" t="n">
        <v>4</v>
      </c>
      <c r="I9123" s="4" t="str">
        <v>×</v>
      </c>
      <c r="J9123" s="4"/>
      <c r="K9123" s="4"/>
      <c r="L9123" s="4"/>
      <c r="M9123" s="5" t="s">
        <v>5346</v>
      </c>
    </row>
    <row r="9124" customFormat="false" ht="15.75" hidden="false" customHeight="false" outlineLevel="0" collapsed="false">
      <c r="A9124" s="6" t="n">
        <v>46173</v>
      </c>
      <c r="B9124" s="4" t="s">
        <v>5435</v>
      </c>
      <c r="C9124" s="4" t="n">
        <v>2</v>
      </c>
      <c r="D9124" s="4" t="n">
        <v>12</v>
      </c>
      <c r="E9124" s="4" t="s">
        <v>6097</v>
      </c>
      <c r="F9124" s="4" t="n">
        <v>3</v>
      </c>
      <c r="G9124" s="4" t="n">
        <v>11</v>
      </c>
      <c r="H9124" s="4" t="n">
        <v>4</v>
      </c>
      <c r="I9124" s="4" t="str">
        <v>×</v>
      </c>
      <c r="J9124" s="4"/>
      <c r="K9124" s="4"/>
      <c r="L9124" s="4"/>
      <c r="M9124" s="5" t="s">
        <v>5346</v>
      </c>
    </row>
    <row r="9125" customFormat="false" ht="15.75" hidden="false" customHeight="false" outlineLevel="0" collapsed="false">
      <c r="A9125" s="6" t="n">
        <v>46173</v>
      </c>
      <c r="B9125" s="4" t="s">
        <v>5435</v>
      </c>
      <c r="C9125" s="4" t="n">
        <v>2</v>
      </c>
      <c r="D9125" s="4" t="n">
        <v>13</v>
      </c>
      <c r="E9125" s="4" t="s">
        <v>338</v>
      </c>
      <c r="F9125" s="4" t="n">
        <v>10</v>
      </c>
      <c r="G9125" s="4" t="n">
        <v>8</v>
      </c>
      <c r="H9125" s="4" t="n">
        <v>4</v>
      </c>
      <c r="I9125" s="4" t="str">
        <v>×</v>
      </c>
      <c r="J9125" s="4"/>
      <c r="K9125" s="4"/>
      <c r="L9125" s="4"/>
      <c r="M9125" s="5" t="s">
        <v>5346</v>
      </c>
    </row>
    <row r="9126" customFormat="false" ht="15.75" hidden="false" customHeight="false" outlineLevel="0" collapsed="false">
      <c r="A9126" s="6" t="n">
        <v>46173</v>
      </c>
      <c r="B9126" s="4" t="s">
        <v>5435</v>
      </c>
      <c r="C9126" s="4" t="n">
        <v>2</v>
      </c>
      <c r="D9126" s="4" t="n">
        <v>14</v>
      </c>
      <c r="E9126" s="4" t="s">
        <v>339</v>
      </c>
      <c r="F9126" s="4" t="n">
        <v>23</v>
      </c>
      <c r="G9126" s="4" t="n">
        <v>5</v>
      </c>
      <c r="H9126" s="4" t="n">
        <v>3</v>
      </c>
      <c r="I9126" s="4" t="str">
        <v>○</v>
      </c>
      <c r="J9126" s="4" t="n">
        <v>170</v>
      </c>
      <c r="K9126" s="4"/>
      <c r="L9126" s="4"/>
      <c r="M9126" s="5" t="s">
        <v>5346</v>
      </c>
    </row>
    <row r="9127" customFormat="false" ht="15.75" hidden="false" customHeight="false" outlineLevel="0" collapsed="false">
      <c r="A9127" s="6" t="n">
        <v>46173</v>
      </c>
      <c r="B9127" s="4" t="s">
        <v>5435</v>
      </c>
      <c r="C9127" s="4" t="n">
        <v>2</v>
      </c>
      <c r="D9127" s="4" t="n">
        <v>15</v>
      </c>
      <c r="E9127" s="4" t="s">
        <v>6098</v>
      </c>
      <c r="F9127" s="4" t="n">
        <v>60</v>
      </c>
      <c r="G9127" s="4" t="n">
        <v>2</v>
      </c>
      <c r="H9127" s="4" t="n">
        <v>2</v>
      </c>
      <c r="I9127" s="4" t="str">
        <v>○</v>
      </c>
      <c r="J9127" s="4" t="n">
        <v>110</v>
      </c>
      <c r="K9127" s="4"/>
      <c r="L9127" s="4"/>
      <c r="M9127" s="5" t="s">
        <v>5346</v>
      </c>
    </row>
    <row r="9128" customFormat="false" ht="15.75" hidden="false" customHeight="false" outlineLevel="0" collapsed="false">
      <c r="A9128" s="6" t="n">
        <v>46173</v>
      </c>
      <c r="B9128" s="4" t="s">
        <v>5435</v>
      </c>
      <c r="C9128" s="4" t="n">
        <v>2</v>
      </c>
      <c r="D9128" s="4" t="n">
        <v>16</v>
      </c>
      <c r="E9128" s="4" t="s">
        <v>5436</v>
      </c>
      <c r="F9128" s="4" t="n">
        <v>74</v>
      </c>
      <c r="G9128" s="4" t="n">
        <v>1</v>
      </c>
      <c r="H9128" s="4" t="n">
        <v>1</v>
      </c>
      <c r="I9128" s="4" t="str">
        <v>○</v>
      </c>
      <c r="J9128" s="4" t="n">
        <v>110</v>
      </c>
      <c r="K9128" s="4"/>
      <c r="L9128" s="4"/>
      <c r="M9128" s="5" t="s">
        <v>5346</v>
      </c>
    </row>
    <row r="9129" customFormat="false" ht="15.75" hidden="false" customHeight="false" outlineLevel="0" collapsed="false">
      <c r="A9129" s="6" t="n">
        <v>46173</v>
      </c>
      <c r="B9129" s="4" t="s">
        <v>5435</v>
      </c>
      <c r="C9129" s="4" t="n">
        <v>3</v>
      </c>
      <c r="D9129" s="4" t="n">
        <v>1</v>
      </c>
      <c r="E9129" s="4" t="s">
        <v>2063</v>
      </c>
      <c r="F9129" s="4" t="n">
        <v>25</v>
      </c>
      <c r="G9129" s="4" t="n">
        <v>5</v>
      </c>
      <c r="H9129" s="4" t="n">
        <v>4</v>
      </c>
      <c r="I9129" s="4" t="str">
        <v>×</v>
      </c>
      <c r="J9129" s="4"/>
      <c r="K9129" s="4"/>
      <c r="L9129" s="4"/>
      <c r="M9129" s="5" t="s">
        <v>5346</v>
      </c>
    </row>
    <row r="9130" customFormat="false" ht="15.75" hidden="false" customHeight="false" outlineLevel="0" collapsed="false">
      <c r="A9130" s="6" t="n">
        <v>46173</v>
      </c>
      <c r="B9130" s="4" t="s">
        <v>5435</v>
      </c>
      <c r="C9130" s="4" t="n">
        <v>3</v>
      </c>
      <c r="D9130" s="4" t="n">
        <v>2</v>
      </c>
      <c r="E9130" s="4" t="s">
        <v>5000</v>
      </c>
      <c r="F9130" s="4" t="n">
        <v>37</v>
      </c>
      <c r="G9130" s="4" t="n">
        <v>4</v>
      </c>
      <c r="H9130" s="4" t="n">
        <v>4</v>
      </c>
      <c r="I9130" s="4" t="str">
        <v>×</v>
      </c>
      <c r="J9130" s="4"/>
      <c r="K9130" s="4"/>
      <c r="L9130" s="4"/>
      <c r="M9130" s="5" t="s">
        <v>5346</v>
      </c>
    </row>
    <row r="9131" customFormat="false" ht="15.75" hidden="false" customHeight="false" outlineLevel="0" collapsed="false">
      <c r="A9131" s="6" t="n">
        <v>46173</v>
      </c>
      <c r="B9131" s="4" t="s">
        <v>5435</v>
      </c>
      <c r="C9131" s="4" t="n">
        <v>3</v>
      </c>
      <c r="D9131" s="4" t="n">
        <v>3</v>
      </c>
      <c r="E9131" s="4" t="s">
        <v>6099</v>
      </c>
      <c r="F9131" s="4" t="n">
        <v>37</v>
      </c>
      <c r="G9131" s="4" t="n">
        <v>4</v>
      </c>
      <c r="H9131" s="4" t="n">
        <v>4</v>
      </c>
      <c r="I9131" s="4" t="str">
        <v>×</v>
      </c>
      <c r="J9131" s="4"/>
      <c r="K9131" s="4"/>
      <c r="L9131" s="4"/>
      <c r="M9131" s="5" t="s">
        <v>5346</v>
      </c>
    </row>
    <row r="9132" customFormat="false" ht="15.75" hidden="false" customHeight="false" outlineLevel="0" collapsed="false">
      <c r="A9132" s="6" t="n">
        <v>46173</v>
      </c>
      <c r="B9132" s="4" t="s">
        <v>5435</v>
      </c>
      <c r="C9132" s="4" t="n">
        <v>3</v>
      </c>
      <c r="D9132" s="4" t="n">
        <v>4</v>
      </c>
      <c r="E9132" s="4" t="s">
        <v>671</v>
      </c>
      <c r="F9132" s="4" t="n">
        <v>10</v>
      </c>
      <c r="G9132" s="4" t="n">
        <v>7</v>
      </c>
      <c r="H9132" s="4" t="n">
        <v>4</v>
      </c>
      <c r="I9132" s="4" t="str">
        <v>×</v>
      </c>
      <c r="J9132" s="4"/>
      <c r="K9132" s="4"/>
      <c r="L9132" s="4"/>
      <c r="M9132" s="5" t="s">
        <v>5346</v>
      </c>
    </row>
    <row r="9133" customFormat="false" ht="15.75" hidden="false" customHeight="false" outlineLevel="0" collapsed="false">
      <c r="A9133" s="6" t="n">
        <v>46173</v>
      </c>
      <c r="B9133" s="4" t="s">
        <v>5435</v>
      </c>
      <c r="C9133" s="4" t="n">
        <v>3</v>
      </c>
      <c r="D9133" s="4" t="n">
        <v>5</v>
      </c>
      <c r="E9133" s="4" t="s">
        <v>5002</v>
      </c>
      <c r="F9133" s="4" t="n">
        <v>50</v>
      </c>
      <c r="G9133" s="4" t="n">
        <v>2</v>
      </c>
      <c r="H9133" s="4" t="n">
        <v>2</v>
      </c>
      <c r="I9133" s="4" t="str">
        <v>○</v>
      </c>
      <c r="J9133" s="4" t="n">
        <v>250</v>
      </c>
      <c r="K9133" s="4"/>
      <c r="L9133" s="4"/>
      <c r="M9133" s="5" t="s">
        <v>5346</v>
      </c>
    </row>
    <row r="9134" customFormat="false" ht="15.75" hidden="false" customHeight="false" outlineLevel="0" collapsed="false">
      <c r="A9134" s="6" t="n">
        <v>46173</v>
      </c>
      <c r="B9134" s="4" t="s">
        <v>5435</v>
      </c>
      <c r="C9134" s="4" t="n">
        <v>3</v>
      </c>
      <c r="D9134" s="4" t="n">
        <v>6</v>
      </c>
      <c r="E9134" s="4" t="s">
        <v>2057</v>
      </c>
      <c r="F9134" s="4" t="n">
        <v>6</v>
      </c>
      <c r="G9134" s="4" t="n">
        <v>8</v>
      </c>
      <c r="H9134" s="4" t="n">
        <v>3</v>
      </c>
      <c r="I9134" s="4" t="str">
        <v>○</v>
      </c>
      <c r="J9134" s="4" t="n">
        <v>1510</v>
      </c>
      <c r="K9134" s="4"/>
      <c r="L9134" s="4"/>
      <c r="M9134" s="5" t="s">
        <v>5346</v>
      </c>
    </row>
    <row r="9135" customFormat="false" ht="15.75" hidden="false" customHeight="false" outlineLevel="0" collapsed="false">
      <c r="A9135" s="6" t="n">
        <v>46173</v>
      </c>
      <c r="B9135" s="4" t="s">
        <v>5435</v>
      </c>
      <c r="C9135" s="4" t="n">
        <v>3</v>
      </c>
      <c r="D9135" s="4" t="n">
        <v>7</v>
      </c>
      <c r="E9135" s="4" t="s">
        <v>5001</v>
      </c>
      <c r="F9135" s="4" t="n">
        <v>10</v>
      </c>
      <c r="G9135" s="4" t="n">
        <v>7</v>
      </c>
      <c r="H9135" s="4" t="n">
        <v>4</v>
      </c>
      <c r="I9135" s="4" t="str">
        <v>×</v>
      </c>
      <c r="J9135" s="4"/>
      <c r="K9135" s="4"/>
      <c r="L9135" s="4"/>
      <c r="M9135" s="5" t="s">
        <v>5346</v>
      </c>
    </row>
    <row r="9136" customFormat="false" ht="15.75" hidden="false" customHeight="false" outlineLevel="0" collapsed="false">
      <c r="A9136" s="6" t="n">
        <v>46173</v>
      </c>
      <c r="B9136" s="4" t="s">
        <v>5435</v>
      </c>
      <c r="C9136" s="4" t="n">
        <v>3</v>
      </c>
      <c r="D9136" s="4" t="n">
        <v>8</v>
      </c>
      <c r="E9136" s="4" t="s">
        <v>6100</v>
      </c>
      <c r="F9136" s="4" t="n">
        <v>37</v>
      </c>
      <c r="G9136" s="4" t="n">
        <v>4</v>
      </c>
      <c r="H9136" s="4" t="n">
        <v>4</v>
      </c>
      <c r="I9136" s="4" t="str">
        <v>×</v>
      </c>
      <c r="J9136" s="4"/>
      <c r="K9136" s="4"/>
      <c r="L9136" s="4"/>
      <c r="M9136" s="5" t="s">
        <v>5346</v>
      </c>
    </row>
    <row r="9137" customFormat="false" ht="15.75" hidden="false" customHeight="false" outlineLevel="0" collapsed="false">
      <c r="A9137" s="6" t="n">
        <v>46173</v>
      </c>
      <c r="B9137" s="4" t="s">
        <v>5435</v>
      </c>
      <c r="C9137" s="4" t="n">
        <v>3</v>
      </c>
      <c r="D9137" s="4" t="n">
        <v>9</v>
      </c>
      <c r="E9137" s="4" t="s">
        <v>6101</v>
      </c>
      <c r="F9137" s="4" t="n">
        <v>10</v>
      </c>
      <c r="G9137" s="4" t="n">
        <v>7</v>
      </c>
      <c r="H9137" s="4" t="n">
        <v>4</v>
      </c>
      <c r="I9137" s="4" t="str">
        <v>×</v>
      </c>
      <c r="J9137" s="4"/>
      <c r="K9137" s="4"/>
      <c r="L9137" s="4"/>
      <c r="M9137" s="5" t="s">
        <v>5346</v>
      </c>
    </row>
    <row r="9138" customFormat="false" ht="15.75" hidden="false" customHeight="false" outlineLevel="0" collapsed="false">
      <c r="A9138" s="6" t="n">
        <v>46173</v>
      </c>
      <c r="B9138" s="4" t="s">
        <v>5435</v>
      </c>
      <c r="C9138" s="4" t="n">
        <v>3</v>
      </c>
      <c r="D9138" s="4" t="n">
        <v>10</v>
      </c>
      <c r="E9138" s="4" t="s">
        <v>5006</v>
      </c>
      <c r="F9138" s="4" t="n">
        <v>44</v>
      </c>
      <c r="G9138" s="4" t="n">
        <v>3</v>
      </c>
      <c r="H9138" s="4" t="n">
        <v>4</v>
      </c>
      <c r="I9138" s="4" t="str">
        <v>×</v>
      </c>
      <c r="J9138" s="4"/>
      <c r="K9138" s="4"/>
      <c r="L9138" s="4"/>
      <c r="M9138" s="5" t="s">
        <v>5346</v>
      </c>
    </row>
    <row r="9139" customFormat="false" ht="15.75" hidden="false" customHeight="false" outlineLevel="0" collapsed="false">
      <c r="A9139" s="6" t="n">
        <v>46173</v>
      </c>
      <c r="B9139" s="4" t="s">
        <v>5435</v>
      </c>
      <c r="C9139" s="4" t="n">
        <v>3</v>
      </c>
      <c r="D9139" s="4" t="n">
        <v>11</v>
      </c>
      <c r="E9139" s="4" t="s">
        <v>5667</v>
      </c>
      <c r="F9139" s="4" t="n">
        <v>56</v>
      </c>
      <c r="G9139" s="4" t="n">
        <v>1</v>
      </c>
      <c r="H9139" s="4" t="n">
        <v>4</v>
      </c>
      <c r="I9139" s="4" t="str">
        <v>×</v>
      </c>
      <c r="J9139" s="4"/>
      <c r="K9139" s="4"/>
      <c r="L9139" s="4"/>
      <c r="M9139" s="5" t="s">
        <v>5346</v>
      </c>
    </row>
    <row r="9140" customFormat="false" ht="15.75" hidden="false" customHeight="false" outlineLevel="0" collapsed="false">
      <c r="A9140" s="6" t="n">
        <v>46173</v>
      </c>
      <c r="B9140" s="4" t="s">
        <v>5435</v>
      </c>
      <c r="C9140" s="4" t="n">
        <v>3</v>
      </c>
      <c r="D9140" s="4" t="n">
        <v>12</v>
      </c>
      <c r="E9140" s="4" t="s">
        <v>3965</v>
      </c>
      <c r="F9140" s="4" t="n">
        <v>25</v>
      </c>
      <c r="G9140" s="4" t="n">
        <v>5</v>
      </c>
      <c r="H9140" s="4" t="n">
        <v>1</v>
      </c>
      <c r="I9140" s="4" t="str">
        <v>○</v>
      </c>
      <c r="J9140" s="4" t="n">
        <v>830</v>
      </c>
      <c r="K9140" s="4"/>
      <c r="L9140" s="4"/>
      <c r="M9140" s="5" t="s">
        <v>5346</v>
      </c>
    </row>
    <row r="9141" customFormat="false" ht="15.75" hidden="false" customHeight="false" outlineLevel="0" collapsed="false">
      <c r="A9141" s="6" t="n">
        <v>46173</v>
      </c>
      <c r="B9141" s="4" t="s">
        <v>5435</v>
      </c>
      <c r="C9141" s="4" t="n">
        <v>3</v>
      </c>
      <c r="D9141" s="4" t="n">
        <v>13</v>
      </c>
      <c r="E9141" s="4" t="s">
        <v>4996</v>
      </c>
      <c r="F9141" s="4" t="n">
        <v>23</v>
      </c>
      <c r="G9141" s="4" t="n">
        <v>6</v>
      </c>
      <c r="H9141" s="4" t="n">
        <v>4</v>
      </c>
      <c r="I9141" s="4" t="str">
        <v>×</v>
      </c>
      <c r="J9141" s="4"/>
      <c r="K9141" s="4"/>
      <c r="L9141" s="4"/>
      <c r="M9141" s="5" t="s">
        <v>5346</v>
      </c>
    </row>
    <row r="9142" customFormat="false" ht="15.75" hidden="false" customHeight="false" outlineLevel="0" collapsed="false">
      <c r="A9142" s="6" t="n">
        <v>46173</v>
      </c>
      <c r="B9142" s="4" t="s">
        <v>5435</v>
      </c>
      <c r="C9142" s="4" t="n">
        <v>3</v>
      </c>
      <c r="D9142" s="4" t="n">
        <v>14</v>
      </c>
      <c r="E9142" s="4" t="s">
        <v>6102</v>
      </c>
      <c r="F9142" s="4" t="n">
        <v>4</v>
      </c>
      <c r="G9142" s="4" t="n">
        <v>9</v>
      </c>
      <c r="H9142" s="4" t="n">
        <v>4</v>
      </c>
      <c r="I9142" s="4" t="str">
        <v>×</v>
      </c>
      <c r="J9142" s="4"/>
      <c r="K9142" s="4"/>
      <c r="L9142" s="4"/>
      <c r="M9142" s="5" t="s">
        <v>5346</v>
      </c>
    </row>
    <row r="9143" customFormat="false" ht="15.75" hidden="false" customHeight="false" outlineLevel="0" collapsed="false">
      <c r="A9143" s="6" t="n">
        <v>46173</v>
      </c>
      <c r="B9143" s="4" t="s">
        <v>5435</v>
      </c>
      <c r="C9143" s="4" t="n">
        <v>3</v>
      </c>
      <c r="D9143" s="4" t="n">
        <v>15</v>
      </c>
      <c r="E9143" s="4" t="s">
        <v>3611</v>
      </c>
      <c r="F9143" s="4" t="n">
        <v>10</v>
      </c>
      <c r="G9143" s="4" t="n">
        <v>7</v>
      </c>
      <c r="H9143" s="4" t="n">
        <v>4</v>
      </c>
      <c r="I9143" s="4" t="str">
        <v>×</v>
      </c>
      <c r="J9143" s="4"/>
      <c r="K9143" s="4"/>
      <c r="L9143" s="4"/>
      <c r="M9143" s="5" t="s">
        <v>5346</v>
      </c>
    </row>
    <row r="9144" customFormat="false" ht="15.75" hidden="false" customHeight="false" outlineLevel="0" collapsed="false">
      <c r="A9144" s="6" t="n">
        <v>46173</v>
      </c>
      <c r="B9144" s="4" t="s">
        <v>5435</v>
      </c>
      <c r="C9144" s="4" t="n">
        <v>3</v>
      </c>
      <c r="D9144" s="4" t="n">
        <v>16</v>
      </c>
      <c r="E9144" s="4" t="s">
        <v>6103</v>
      </c>
      <c r="F9144" s="4" t="n">
        <v>6</v>
      </c>
      <c r="G9144" s="4" t="n">
        <v>8</v>
      </c>
      <c r="H9144" s="4" t="n">
        <v>4</v>
      </c>
      <c r="I9144" s="4" t="str">
        <v>×</v>
      </c>
      <c r="J9144" s="4"/>
      <c r="K9144" s="4"/>
      <c r="L9144" s="4"/>
      <c r="M9144" s="5" t="s">
        <v>5346</v>
      </c>
    </row>
    <row r="9145" customFormat="false" ht="15.75" hidden="false" customHeight="false" outlineLevel="0" collapsed="false">
      <c r="A9145" s="6" t="n">
        <v>46173</v>
      </c>
      <c r="B9145" s="4" t="s">
        <v>5435</v>
      </c>
      <c r="C9145" s="4" t="n">
        <v>4</v>
      </c>
      <c r="D9145" s="4" t="n">
        <v>1</v>
      </c>
      <c r="E9145" s="4" t="s">
        <v>6104</v>
      </c>
      <c r="F9145" s="4" t="n">
        <v>37</v>
      </c>
      <c r="G9145" s="4" t="n">
        <v>3</v>
      </c>
      <c r="H9145" s="4" t="n">
        <v>4</v>
      </c>
      <c r="I9145" s="4" t="str">
        <v>×</v>
      </c>
      <c r="J9145" s="4"/>
      <c r="K9145" s="4"/>
      <c r="L9145" s="4"/>
      <c r="M9145" s="5" t="s">
        <v>5346</v>
      </c>
    </row>
    <row r="9146" customFormat="false" ht="15.75" hidden="false" customHeight="false" outlineLevel="0" collapsed="false">
      <c r="A9146" s="6" t="n">
        <v>46173</v>
      </c>
      <c r="B9146" s="4" t="s">
        <v>5435</v>
      </c>
      <c r="C9146" s="4" t="n">
        <v>4</v>
      </c>
      <c r="D9146" s="4" t="n">
        <v>2</v>
      </c>
      <c r="E9146" s="4" t="s">
        <v>6105</v>
      </c>
      <c r="F9146" s="4" t="n">
        <v>55</v>
      </c>
      <c r="G9146" s="4" t="n">
        <v>1</v>
      </c>
      <c r="H9146" s="4" t="n">
        <v>3</v>
      </c>
      <c r="I9146" s="4" t="str">
        <v>○</v>
      </c>
      <c r="J9146" s="4" t="n">
        <v>130</v>
      </c>
      <c r="K9146" s="4"/>
      <c r="L9146" s="4"/>
      <c r="M9146" s="5" t="s">
        <v>5346</v>
      </c>
    </row>
    <row r="9147" customFormat="false" ht="15.75" hidden="false" customHeight="false" outlineLevel="0" collapsed="false">
      <c r="A9147" s="6" t="n">
        <v>46173</v>
      </c>
      <c r="B9147" s="4" t="s">
        <v>5435</v>
      </c>
      <c r="C9147" s="4" t="n">
        <v>4</v>
      </c>
      <c r="D9147" s="4" t="n">
        <v>3</v>
      </c>
      <c r="E9147" s="4" t="s">
        <v>1130</v>
      </c>
      <c r="F9147" s="4" t="n">
        <v>55</v>
      </c>
      <c r="G9147" s="4" t="n">
        <v>1</v>
      </c>
      <c r="H9147" s="4" t="n">
        <v>1</v>
      </c>
      <c r="I9147" s="4" t="str">
        <v>○</v>
      </c>
      <c r="J9147" s="4" t="n">
        <v>140</v>
      </c>
      <c r="K9147" s="4"/>
      <c r="L9147" s="4"/>
      <c r="M9147" s="5" t="s">
        <v>5346</v>
      </c>
    </row>
    <row r="9148" customFormat="false" ht="15.75" hidden="false" customHeight="false" outlineLevel="0" collapsed="false">
      <c r="A9148" s="6" t="n">
        <v>46173</v>
      </c>
      <c r="B9148" s="4" t="s">
        <v>5435</v>
      </c>
      <c r="C9148" s="4" t="n">
        <v>4</v>
      </c>
      <c r="D9148" s="4" t="n">
        <v>4</v>
      </c>
      <c r="E9148" s="4" t="s">
        <v>6106</v>
      </c>
      <c r="F9148" s="4" t="n">
        <v>27</v>
      </c>
      <c r="G9148" s="4" t="n">
        <v>5</v>
      </c>
      <c r="H9148" s="4" t="n">
        <v>4</v>
      </c>
      <c r="I9148" s="4" t="str">
        <v>×</v>
      </c>
      <c r="J9148" s="4"/>
      <c r="K9148" s="4"/>
      <c r="L9148" s="4"/>
      <c r="M9148" s="5" t="s">
        <v>5346</v>
      </c>
    </row>
    <row r="9149" customFormat="false" ht="15.75" hidden="false" customHeight="false" outlineLevel="0" collapsed="false">
      <c r="A9149" s="6" t="n">
        <v>46173</v>
      </c>
      <c r="B9149" s="4" t="s">
        <v>5435</v>
      </c>
      <c r="C9149" s="4" t="n">
        <v>4</v>
      </c>
      <c r="D9149" s="4" t="n">
        <v>5</v>
      </c>
      <c r="E9149" s="4" t="s">
        <v>1135</v>
      </c>
      <c r="F9149" s="4" t="n">
        <v>44</v>
      </c>
      <c r="G9149" s="4" t="n">
        <v>2</v>
      </c>
      <c r="H9149" s="4" t="n">
        <v>2</v>
      </c>
      <c r="I9149" s="4" t="str">
        <v>○</v>
      </c>
      <c r="J9149" s="4" t="n">
        <v>220</v>
      </c>
      <c r="K9149" s="4"/>
      <c r="L9149" s="4"/>
      <c r="M9149" s="5" t="s">
        <v>5346</v>
      </c>
    </row>
    <row r="9150" customFormat="false" ht="15.75" hidden="false" customHeight="false" outlineLevel="0" collapsed="false">
      <c r="A9150" s="6" t="n">
        <v>46173</v>
      </c>
      <c r="B9150" s="4" t="s">
        <v>5435</v>
      </c>
      <c r="C9150" s="4" t="n">
        <v>4</v>
      </c>
      <c r="D9150" s="4" t="n">
        <v>6</v>
      </c>
      <c r="E9150" s="4" t="s">
        <v>1875</v>
      </c>
      <c r="F9150" s="4" t="n">
        <v>37</v>
      </c>
      <c r="G9150" s="4" t="n">
        <v>3</v>
      </c>
      <c r="H9150" s="4" t="n">
        <v>4</v>
      </c>
      <c r="I9150" s="4" t="str">
        <v>×</v>
      </c>
      <c r="J9150" s="4"/>
      <c r="K9150" s="4"/>
      <c r="L9150" s="4"/>
      <c r="M9150" s="5" t="s">
        <v>5346</v>
      </c>
    </row>
    <row r="9151" customFormat="false" ht="15.75" hidden="false" customHeight="false" outlineLevel="0" collapsed="false">
      <c r="A9151" s="6" t="n">
        <v>46173</v>
      </c>
      <c r="B9151" s="4" t="s">
        <v>5435</v>
      </c>
      <c r="C9151" s="4" t="n">
        <v>4</v>
      </c>
      <c r="D9151" s="4" t="n">
        <v>7</v>
      </c>
      <c r="E9151" s="4" t="s">
        <v>6107</v>
      </c>
      <c r="F9151" s="4" t="n">
        <v>21</v>
      </c>
      <c r="G9151" s="4" t="n">
        <v>6</v>
      </c>
      <c r="H9151" s="4" t="n">
        <v>4</v>
      </c>
      <c r="I9151" s="4" t="str">
        <v>×</v>
      </c>
      <c r="J9151" s="4"/>
      <c r="K9151" s="4"/>
      <c r="L9151" s="4"/>
      <c r="M9151" s="5" t="s">
        <v>5346</v>
      </c>
    </row>
    <row r="9152" customFormat="false" ht="15.75" hidden="false" customHeight="false" outlineLevel="0" collapsed="false">
      <c r="A9152" s="6" t="n">
        <v>46173</v>
      </c>
      <c r="B9152" s="4" t="s">
        <v>5435</v>
      </c>
      <c r="C9152" s="4" t="n">
        <v>4</v>
      </c>
      <c r="D9152" s="4" t="n">
        <v>8</v>
      </c>
      <c r="E9152" s="4" t="s">
        <v>6108</v>
      </c>
      <c r="F9152" s="4" t="n">
        <v>21</v>
      </c>
      <c r="G9152" s="4" t="n">
        <v>6</v>
      </c>
      <c r="H9152" s="4" t="n">
        <v>4</v>
      </c>
      <c r="I9152" s="4" t="str">
        <v>×</v>
      </c>
      <c r="J9152" s="4"/>
      <c r="K9152" s="4"/>
      <c r="L9152" s="4"/>
      <c r="M9152" s="5" t="s">
        <v>5346</v>
      </c>
    </row>
    <row r="9153" customFormat="false" ht="15.75" hidden="false" customHeight="false" outlineLevel="0" collapsed="false">
      <c r="A9153" s="6" t="n">
        <v>46173</v>
      </c>
      <c r="B9153" s="4" t="s">
        <v>5435</v>
      </c>
      <c r="C9153" s="4" t="n">
        <v>4</v>
      </c>
      <c r="D9153" s="4" t="n">
        <v>9</v>
      </c>
      <c r="E9153" s="4" t="s">
        <v>1136</v>
      </c>
      <c r="F9153" s="4" t="n">
        <v>31</v>
      </c>
      <c r="G9153" s="4" t="n">
        <v>4</v>
      </c>
      <c r="H9153" s="4" t="n">
        <v>4</v>
      </c>
      <c r="I9153" s="4" t="str">
        <v>×</v>
      </c>
      <c r="J9153" s="4"/>
      <c r="K9153" s="4"/>
      <c r="L9153" s="4"/>
      <c r="M9153" s="5" t="s">
        <v>5346</v>
      </c>
    </row>
    <row r="9154" customFormat="false" ht="15.75" hidden="false" customHeight="false" outlineLevel="0" collapsed="false">
      <c r="A9154" s="6" t="n">
        <v>46173</v>
      </c>
      <c r="B9154" s="4" t="s">
        <v>5435</v>
      </c>
      <c r="C9154" s="4" t="n">
        <v>4</v>
      </c>
      <c r="D9154" s="4" t="n">
        <v>10</v>
      </c>
      <c r="E9154" s="4" t="s">
        <v>6109</v>
      </c>
      <c r="F9154" s="4" t="n">
        <v>37</v>
      </c>
      <c r="G9154" s="4" t="n">
        <v>3</v>
      </c>
      <c r="H9154" s="4"/>
      <c r="I9154" s="4" t="str">
        <v/>
      </c>
      <c r="J9154" s="4"/>
      <c r="K9154" s="4"/>
      <c r="L9154" s="4"/>
      <c r="M9154" s="5" t="s">
        <v>5346</v>
      </c>
    </row>
    <row r="9155" customFormat="false" ht="15.75" hidden="false" customHeight="false" outlineLevel="0" collapsed="false">
      <c r="A9155" s="6" t="n">
        <v>46173</v>
      </c>
      <c r="B9155" s="4" t="s">
        <v>5435</v>
      </c>
      <c r="C9155" s="4" t="n">
        <v>5</v>
      </c>
      <c r="D9155" s="4" t="n">
        <v>1</v>
      </c>
      <c r="E9155" s="4" t="s">
        <v>2103</v>
      </c>
      <c r="F9155" s="4" t="n">
        <v>31</v>
      </c>
      <c r="G9155" s="4" t="n">
        <v>3</v>
      </c>
      <c r="H9155" s="4" t="n">
        <v>1</v>
      </c>
      <c r="I9155" s="4" t="str">
        <v>○</v>
      </c>
      <c r="J9155" s="4" t="n">
        <v>210</v>
      </c>
      <c r="K9155" s="4"/>
      <c r="L9155" s="4"/>
      <c r="M9155" s="5" t="s">
        <v>5346</v>
      </c>
    </row>
    <row r="9156" customFormat="false" ht="15.75" hidden="false" customHeight="false" outlineLevel="0" collapsed="false">
      <c r="A9156" s="6" t="n">
        <v>46173</v>
      </c>
      <c r="B9156" s="4" t="s">
        <v>5435</v>
      </c>
      <c r="C9156" s="4" t="n">
        <v>5</v>
      </c>
      <c r="D9156" s="4" t="n">
        <v>2</v>
      </c>
      <c r="E9156" s="4" t="s">
        <v>3978</v>
      </c>
      <c r="F9156" s="4" t="n">
        <v>2</v>
      </c>
      <c r="G9156" s="4" t="n">
        <v>13</v>
      </c>
      <c r="H9156" s="4" t="n">
        <v>4</v>
      </c>
      <c r="I9156" s="4" t="str">
        <v>×</v>
      </c>
      <c r="J9156" s="4"/>
      <c r="K9156" s="4"/>
      <c r="L9156" s="4"/>
      <c r="M9156" s="5" t="s">
        <v>5346</v>
      </c>
    </row>
    <row r="9157" customFormat="false" ht="15.75" hidden="false" customHeight="false" outlineLevel="0" collapsed="false">
      <c r="A9157" s="6" t="n">
        <v>46173</v>
      </c>
      <c r="B9157" s="4" t="s">
        <v>5435</v>
      </c>
      <c r="C9157" s="4" t="n">
        <v>5</v>
      </c>
      <c r="D9157" s="4" t="n">
        <v>3</v>
      </c>
      <c r="E9157" s="4" t="s">
        <v>364</v>
      </c>
      <c r="F9157" s="4" t="n">
        <v>60</v>
      </c>
      <c r="G9157" s="4" t="n">
        <v>1</v>
      </c>
      <c r="H9157" s="4" t="n">
        <v>4</v>
      </c>
      <c r="I9157" s="4" t="str">
        <v>×</v>
      </c>
      <c r="J9157" s="4"/>
      <c r="K9157" s="4"/>
      <c r="L9157" s="4"/>
      <c r="M9157" s="5" t="s">
        <v>5346</v>
      </c>
    </row>
    <row r="9158" customFormat="false" ht="15.75" hidden="false" customHeight="false" outlineLevel="0" collapsed="false">
      <c r="A9158" s="6" t="n">
        <v>46173</v>
      </c>
      <c r="B9158" s="4" t="s">
        <v>5435</v>
      </c>
      <c r="C9158" s="4" t="n">
        <v>5</v>
      </c>
      <c r="D9158" s="4" t="n">
        <v>4</v>
      </c>
      <c r="E9158" s="4" t="s">
        <v>322</v>
      </c>
      <c r="F9158" s="4" t="n">
        <v>20</v>
      </c>
      <c r="G9158" s="4" t="n">
        <v>6</v>
      </c>
      <c r="H9158" s="4" t="n">
        <v>4</v>
      </c>
      <c r="I9158" s="4" t="str">
        <v>×</v>
      </c>
      <c r="J9158" s="4"/>
      <c r="K9158" s="4"/>
      <c r="L9158" s="4"/>
      <c r="M9158" s="5" t="s">
        <v>5346</v>
      </c>
    </row>
    <row r="9159" customFormat="false" ht="15.75" hidden="false" customHeight="false" outlineLevel="0" collapsed="false">
      <c r="A9159" s="6" t="n">
        <v>46173</v>
      </c>
      <c r="B9159" s="4" t="s">
        <v>5435</v>
      </c>
      <c r="C9159" s="4" t="n">
        <v>5</v>
      </c>
      <c r="D9159" s="4" t="n">
        <v>5</v>
      </c>
      <c r="E9159" s="4" t="s">
        <v>4632</v>
      </c>
      <c r="F9159" s="4" t="n">
        <v>17</v>
      </c>
      <c r="G9159" s="4" t="n">
        <v>7</v>
      </c>
      <c r="H9159" s="4" t="n">
        <v>2</v>
      </c>
      <c r="I9159" s="4" t="str">
        <v>○</v>
      </c>
      <c r="J9159" s="4" t="n">
        <v>380</v>
      </c>
      <c r="K9159" s="4"/>
      <c r="L9159" s="4"/>
      <c r="M9159" s="5" t="s">
        <v>5346</v>
      </c>
    </row>
    <row r="9160" customFormat="false" ht="15.75" hidden="false" customHeight="false" outlineLevel="0" collapsed="false">
      <c r="A9160" s="6" t="n">
        <v>46173</v>
      </c>
      <c r="B9160" s="4" t="s">
        <v>5435</v>
      </c>
      <c r="C9160" s="4" t="n">
        <v>5</v>
      </c>
      <c r="D9160" s="4" t="n">
        <v>6</v>
      </c>
      <c r="E9160" s="4" t="s">
        <v>312</v>
      </c>
      <c r="F9160" s="4" t="n">
        <v>10</v>
      </c>
      <c r="G9160" s="4" t="n">
        <v>8</v>
      </c>
      <c r="H9160" s="4" t="n">
        <v>4</v>
      </c>
      <c r="I9160" s="4" t="str">
        <v>×</v>
      </c>
      <c r="J9160" s="4"/>
      <c r="K9160" s="4"/>
      <c r="L9160" s="4"/>
      <c r="M9160" s="5" t="s">
        <v>5346</v>
      </c>
    </row>
    <row r="9161" customFormat="false" ht="15.75" hidden="false" customHeight="false" outlineLevel="0" collapsed="false">
      <c r="A9161" s="6" t="n">
        <v>46173</v>
      </c>
      <c r="B9161" s="4" t="s">
        <v>5435</v>
      </c>
      <c r="C9161" s="4" t="n">
        <v>5</v>
      </c>
      <c r="D9161" s="4" t="n">
        <v>7</v>
      </c>
      <c r="E9161" s="4" t="s">
        <v>668</v>
      </c>
      <c r="F9161" s="4" t="n">
        <v>4</v>
      </c>
      <c r="G9161" s="4" t="n">
        <v>11</v>
      </c>
      <c r="H9161" s="4" t="n">
        <v>4</v>
      </c>
      <c r="I9161" s="4" t="str">
        <v>×</v>
      </c>
      <c r="J9161" s="4"/>
      <c r="K9161" s="4"/>
      <c r="L9161" s="4"/>
      <c r="M9161" s="5" t="s">
        <v>5346</v>
      </c>
    </row>
    <row r="9162" customFormat="false" ht="15.75" hidden="false" customHeight="false" outlineLevel="0" collapsed="false">
      <c r="A9162" s="6" t="n">
        <v>46173</v>
      </c>
      <c r="B9162" s="4" t="s">
        <v>5435</v>
      </c>
      <c r="C9162" s="4" t="n">
        <v>5</v>
      </c>
      <c r="D9162" s="4" t="n">
        <v>8</v>
      </c>
      <c r="E9162" s="4" t="s">
        <v>6110</v>
      </c>
      <c r="F9162" s="4" t="n">
        <v>4</v>
      </c>
      <c r="G9162" s="4" t="n">
        <v>11</v>
      </c>
      <c r="H9162" s="4" t="n">
        <v>4</v>
      </c>
      <c r="I9162" s="4" t="str">
        <v>×</v>
      </c>
      <c r="J9162" s="4"/>
      <c r="K9162" s="4"/>
      <c r="L9162" s="4"/>
      <c r="M9162" s="5" t="s">
        <v>5346</v>
      </c>
    </row>
    <row r="9163" customFormat="false" ht="15.75" hidden="false" customHeight="false" outlineLevel="0" collapsed="false">
      <c r="A9163" s="6" t="n">
        <v>46173</v>
      </c>
      <c r="B9163" s="4" t="s">
        <v>5435</v>
      </c>
      <c r="C9163" s="4" t="n">
        <v>5</v>
      </c>
      <c r="D9163" s="4" t="n">
        <v>9</v>
      </c>
      <c r="E9163" s="4" t="s">
        <v>3445</v>
      </c>
      <c r="F9163" s="4" t="n">
        <v>4</v>
      </c>
      <c r="G9163" s="4" t="n">
        <v>11</v>
      </c>
      <c r="H9163" s="4" t="n">
        <v>4</v>
      </c>
      <c r="I9163" s="4" t="str">
        <v>×</v>
      </c>
      <c r="J9163" s="4"/>
      <c r="K9163" s="4"/>
      <c r="L9163" s="4"/>
      <c r="M9163" s="5" t="s">
        <v>5346</v>
      </c>
    </row>
    <row r="9164" customFormat="false" ht="15.75" hidden="false" customHeight="false" outlineLevel="0" collapsed="false">
      <c r="A9164" s="6" t="n">
        <v>46173</v>
      </c>
      <c r="B9164" s="4" t="s">
        <v>5435</v>
      </c>
      <c r="C9164" s="4" t="n">
        <v>5</v>
      </c>
      <c r="D9164" s="4" t="n">
        <v>10</v>
      </c>
      <c r="E9164" s="4" t="s">
        <v>6111</v>
      </c>
      <c r="F9164" s="4" t="n">
        <v>23</v>
      </c>
      <c r="G9164" s="4" t="n">
        <v>5</v>
      </c>
      <c r="H9164" s="4" t="n">
        <v>4</v>
      </c>
      <c r="I9164" s="4" t="str">
        <v>×</v>
      </c>
      <c r="J9164" s="4"/>
      <c r="K9164" s="4"/>
      <c r="L9164" s="4"/>
      <c r="M9164" s="5" t="s">
        <v>5346</v>
      </c>
    </row>
    <row r="9165" customFormat="false" ht="15.75" hidden="false" customHeight="false" outlineLevel="0" collapsed="false">
      <c r="A9165" s="6" t="n">
        <v>46173</v>
      </c>
      <c r="B9165" s="4" t="s">
        <v>5435</v>
      </c>
      <c r="C9165" s="4" t="n">
        <v>5</v>
      </c>
      <c r="D9165" s="4" t="n">
        <v>11</v>
      </c>
      <c r="E9165" s="4" t="s">
        <v>1165</v>
      </c>
      <c r="F9165" s="4" t="n">
        <v>4</v>
      </c>
      <c r="G9165" s="4" t="n">
        <v>11</v>
      </c>
      <c r="H9165" s="4" t="n">
        <v>4</v>
      </c>
      <c r="I9165" s="4" t="str">
        <v>×</v>
      </c>
      <c r="J9165" s="4"/>
      <c r="K9165" s="4"/>
      <c r="L9165" s="4"/>
      <c r="M9165" s="5" t="s">
        <v>5346</v>
      </c>
    </row>
    <row r="9166" customFormat="false" ht="15.75" hidden="false" customHeight="false" outlineLevel="0" collapsed="false">
      <c r="A9166" s="6" t="n">
        <v>46173</v>
      </c>
      <c r="B9166" s="4" t="s">
        <v>5435</v>
      </c>
      <c r="C9166" s="4" t="n">
        <v>5</v>
      </c>
      <c r="D9166" s="4" t="n">
        <v>12</v>
      </c>
      <c r="E9166" s="4" t="s">
        <v>6112</v>
      </c>
      <c r="F9166" s="4" t="n">
        <v>4</v>
      </c>
      <c r="G9166" s="4" t="n">
        <v>11</v>
      </c>
      <c r="H9166" s="4" t="n">
        <v>4</v>
      </c>
      <c r="I9166" s="4" t="str">
        <v>×</v>
      </c>
      <c r="J9166" s="4"/>
      <c r="K9166" s="4"/>
      <c r="L9166" s="4"/>
      <c r="M9166" s="5" t="s">
        <v>5346</v>
      </c>
    </row>
    <row r="9167" customFormat="false" ht="15.75" hidden="false" customHeight="false" outlineLevel="0" collapsed="false">
      <c r="A9167" s="6" t="n">
        <v>46173</v>
      </c>
      <c r="B9167" s="4" t="s">
        <v>5435</v>
      </c>
      <c r="C9167" s="4" t="n">
        <v>5</v>
      </c>
      <c r="D9167" s="4" t="n">
        <v>13</v>
      </c>
      <c r="E9167" s="4" t="s">
        <v>5017</v>
      </c>
      <c r="F9167" s="4" t="n">
        <v>8</v>
      </c>
      <c r="G9167" s="4" t="n">
        <v>9</v>
      </c>
      <c r="H9167" s="4" t="n">
        <v>4</v>
      </c>
      <c r="I9167" s="4" t="str">
        <v>×</v>
      </c>
      <c r="J9167" s="4"/>
      <c r="K9167" s="4"/>
      <c r="L9167" s="4"/>
      <c r="M9167" s="5" t="s">
        <v>5346</v>
      </c>
    </row>
    <row r="9168" customFormat="false" ht="15.75" hidden="false" customHeight="false" outlineLevel="0" collapsed="false">
      <c r="A9168" s="6" t="n">
        <v>46173</v>
      </c>
      <c r="B9168" s="4" t="s">
        <v>5435</v>
      </c>
      <c r="C9168" s="4" t="n">
        <v>5</v>
      </c>
      <c r="D9168" s="4" t="n">
        <v>14</v>
      </c>
      <c r="E9168" s="4" t="s">
        <v>2054</v>
      </c>
      <c r="F9168" s="4" t="n">
        <v>37</v>
      </c>
      <c r="G9168" s="4" t="n">
        <v>2</v>
      </c>
      <c r="H9168" s="4" t="n">
        <v>4</v>
      </c>
      <c r="I9168" s="4" t="str">
        <v>×</v>
      </c>
      <c r="J9168" s="4"/>
      <c r="K9168" s="4"/>
      <c r="L9168" s="4"/>
      <c r="M9168" s="5" t="s">
        <v>5346</v>
      </c>
    </row>
    <row r="9169" customFormat="false" ht="15.75" hidden="false" customHeight="false" outlineLevel="0" collapsed="false">
      <c r="A9169" s="6" t="n">
        <v>46173</v>
      </c>
      <c r="B9169" s="4" t="s">
        <v>5435</v>
      </c>
      <c r="C9169" s="4" t="n">
        <v>5</v>
      </c>
      <c r="D9169" s="4" t="n">
        <v>15</v>
      </c>
      <c r="E9169" s="4" t="s">
        <v>6113</v>
      </c>
      <c r="F9169" s="4" t="n">
        <v>3</v>
      </c>
      <c r="G9169" s="4" t="n">
        <v>12</v>
      </c>
      <c r="H9169" s="4" t="n">
        <v>4</v>
      </c>
      <c r="I9169" s="4" t="str">
        <v>×</v>
      </c>
      <c r="J9169" s="4"/>
      <c r="K9169" s="4"/>
      <c r="L9169" s="4"/>
      <c r="M9169" s="5" t="s">
        <v>5346</v>
      </c>
    </row>
    <row r="9170" customFormat="false" ht="15.75" hidden="false" customHeight="false" outlineLevel="0" collapsed="false">
      <c r="A9170" s="6" t="n">
        <v>46173</v>
      </c>
      <c r="B9170" s="4" t="s">
        <v>5435</v>
      </c>
      <c r="C9170" s="4" t="n">
        <v>5</v>
      </c>
      <c r="D9170" s="4" t="n">
        <v>16</v>
      </c>
      <c r="E9170" s="4" t="s">
        <v>6114</v>
      </c>
      <c r="F9170" s="4" t="n">
        <v>3</v>
      </c>
      <c r="G9170" s="4" t="n">
        <v>12</v>
      </c>
      <c r="H9170" s="4" t="n">
        <v>4</v>
      </c>
      <c r="I9170" s="4" t="str">
        <v>×</v>
      </c>
      <c r="J9170" s="4"/>
      <c r="K9170" s="4"/>
      <c r="L9170" s="4"/>
      <c r="M9170" s="5" t="s">
        <v>5346</v>
      </c>
    </row>
    <row r="9171" customFormat="false" ht="15.75" hidden="false" customHeight="false" outlineLevel="0" collapsed="false">
      <c r="A9171" s="6" t="n">
        <v>46173</v>
      </c>
      <c r="B9171" s="4" t="s">
        <v>5435</v>
      </c>
      <c r="C9171" s="4" t="n">
        <v>5</v>
      </c>
      <c r="D9171" s="4" t="n">
        <v>17</v>
      </c>
      <c r="E9171" s="4" t="s">
        <v>2818</v>
      </c>
      <c r="F9171" s="4" t="n">
        <v>29</v>
      </c>
      <c r="G9171" s="4" t="n">
        <v>4</v>
      </c>
      <c r="H9171" s="4" t="n">
        <v>4</v>
      </c>
      <c r="I9171" s="4" t="str">
        <v>×</v>
      </c>
      <c r="J9171" s="4"/>
      <c r="K9171" s="4"/>
      <c r="L9171" s="4"/>
      <c r="M9171" s="5" t="s">
        <v>5346</v>
      </c>
    </row>
    <row r="9172" customFormat="false" ht="15.75" hidden="false" customHeight="false" outlineLevel="0" collapsed="false">
      <c r="A9172" s="6" t="n">
        <v>46173</v>
      </c>
      <c r="B9172" s="4" t="s">
        <v>5435</v>
      </c>
      <c r="C9172" s="4" t="n">
        <v>5</v>
      </c>
      <c r="D9172" s="4" t="n">
        <v>18</v>
      </c>
      <c r="E9172" s="4" t="s">
        <v>320</v>
      </c>
      <c r="F9172" s="4" t="n">
        <v>6</v>
      </c>
      <c r="G9172" s="4" t="n">
        <v>10</v>
      </c>
      <c r="H9172" s="4" t="n">
        <v>3</v>
      </c>
      <c r="I9172" s="4" t="str">
        <v>○</v>
      </c>
      <c r="J9172" s="4" t="n">
        <v>910</v>
      </c>
      <c r="K9172" s="4"/>
      <c r="L9172" s="4"/>
      <c r="M9172" s="5" t="s">
        <v>5346</v>
      </c>
    </row>
    <row r="9173" customFormat="false" ht="15.75" hidden="false" customHeight="false" outlineLevel="0" collapsed="false">
      <c r="A9173" s="6" t="n">
        <v>46173</v>
      </c>
      <c r="B9173" s="4" t="s">
        <v>5435</v>
      </c>
      <c r="C9173" s="4" t="n">
        <v>6</v>
      </c>
      <c r="D9173" s="4" t="n">
        <v>1</v>
      </c>
      <c r="E9173" s="4" t="s">
        <v>6115</v>
      </c>
      <c r="F9173" s="4" t="n">
        <v>4</v>
      </c>
      <c r="G9173" s="4" t="n">
        <v>12</v>
      </c>
      <c r="H9173" s="4" t="n">
        <v>4</v>
      </c>
      <c r="I9173" s="4" t="str">
        <v>×</v>
      </c>
      <c r="J9173" s="4"/>
      <c r="K9173" s="4"/>
      <c r="L9173" s="4"/>
      <c r="M9173" s="5" t="s">
        <v>5346</v>
      </c>
    </row>
    <row r="9174" customFormat="false" ht="15.75" hidden="false" customHeight="false" outlineLevel="0" collapsed="false">
      <c r="A9174" s="6" t="n">
        <v>46173</v>
      </c>
      <c r="B9174" s="4" t="s">
        <v>5435</v>
      </c>
      <c r="C9174" s="4" t="n">
        <v>6</v>
      </c>
      <c r="D9174" s="4" t="n">
        <v>2</v>
      </c>
      <c r="E9174" s="4" t="s">
        <v>6116</v>
      </c>
      <c r="F9174" s="4" t="n">
        <v>8</v>
      </c>
      <c r="G9174" s="4" t="n">
        <v>10</v>
      </c>
      <c r="H9174" s="4" t="n">
        <v>4</v>
      </c>
      <c r="I9174" s="4" t="str">
        <v>×</v>
      </c>
      <c r="J9174" s="4"/>
      <c r="K9174" s="4"/>
      <c r="L9174" s="4"/>
      <c r="M9174" s="5" t="s">
        <v>5346</v>
      </c>
    </row>
    <row r="9175" customFormat="false" ht="15.75" hidden="false" customHeight="false" outlineLevel="0" collapsed="false">
      <c r="A9175" s="6" t="n">
        <v>46173</v>
      </c>
      <c r="B9175" s="4" t="s">
        <v>5435</v>
      </c>
      <c r="C9175" s="4" t="n">
        <v>6</v>
      </c>
      <c r="D9175" s="4" t="n">
        <v>3</v>
      </c>
      <c r="E9175" s="4" t="s">
        <v>6117</v>
      </c>
      <c r="F9175" s="4" t="n">
        <v>31</v>
      </c>
      <c r="G9175" s="4" t="n">
        <v>4</v>
      </c>
      <c r="H9175" s="4" t="n">
        <v>2</v>
      </c>
      <c r="I9175" s="4" t="str">
        <v>○</v>
      </c>
      <c r="J9175" s="4" t="n">
        <v>200</v>
      </c>
      <c r="K9175" s="4"/>
      <c r="L9175" s="4"/>
      <c r="M9175" s="5" t="s">
        <v>5346</v>
      </c>
    </row>
    <row r="9176" customFormat="false" ht="15.75" hidden="false" customHeight="false" outlineLevel="0" collapsed="false">
      <c r="A9176" s="6" t="n">
        <v>46173</v>
      </c>
      <c r="B9176" s="4" t="s">
        <v>5435</v>
      </c>
      <c r="C9176" s="4" t="n">
        <v>6</v>
      </c>
      <c r="D9176" s="4" t="n">
        <v>4</v>
      </c>
      <c r="E9176" s="4" t="s">
        <v>6118</v>
      </c>
      <c r="F9176" s="4" t="n">
        <v>8</v>
      </c>
      <c r="G9176" s="4" t="n">
        <v>10</v>
      </c>
      <c r="H9176" s="4" t="n">
        <v>4</v>
      </c>
      <c r="I9176" s="4" t="str">
        <v>×</v>
      </c>
      <c r="J9176" s="4"/>
      <c r="K9176" s="4"/>
      <c r="L9176" s="4"/>
      <c r="M9176" s="5" t="s">
        <v>5346</v>
      </c>
    </row>
    <row r="9177" customFormat="false" ht="15.75" hidden="false" customHeight="false" outlineLevel="0" collapsed="false">
      <c r="A9177" s="6" t="n">
        <v>46173</v>
      </c>
      <c r="B9177" s="4" t="s">
        <v>5435</v>
      </c>
      <c r="C9177" s="4" t="n">
        <v>6</v>
      </c>
      <c r="D9177" s="4" t="n">
        <v>5</v>
      </c>
      <c r="E9177" s="4" t="s">
        <v>6119</v>
      </c>
      <c r="F9177" s="4" t="n">
        <v>10</v>
      </c>
      <c r="G9177" s="4" t="n">
        <v>9</v>
      </c>
      <c r="H9177" s="4" t="n">
        <v>4</v>
      </c>
      <c r="I9177" s="4" t="str">
        <v>×</v>
      </c>
      <c r="J9177" s="4"/>
      <c r="K9177" s="4"/>
      <c r="L9177" s="4"/>
      <c r="M9177" s="5" t="s">
        <v>5346</v>
      </c>
    </row>
    <row r="9178" customFormat="false" ht="15.75" hidden="false" customHeight="false" outlineLevel="0" collapsed="false">
      <c r="A9178" s="6" t="n">
        <v>46173</v>
      </c>
      <c r="B9178" s="4" t="s">
        <v>5435</v>
      </c>
      <c r="C9178" s="4" t="n">
        <v>6</v>
      </c>
      <c r="D9178" s="4" t="n">
        <v>6</v>
      </c>
      <c r="E9178" s="4" t="s">
        <v>6120</v>
      </c>
      <c r="F9178" s="4" t="n">
        <v>25</v>
      </c>
      <c r="G9178" s="4" t="n">
        <v>5</v>
      </c>
      <c r="H9178" s="4" t="n">
        <v>4</v>
      </c>
      <c r="I9178" s="4" t="str">
        <v>×</v>
      </c>
      <c r="J9178" s="4"/>
      <c r="K9178" s="4"/>
      <c r="L9178" s="4"/>
      <c r="M9178" s="5" t="s">
        <v>5346</v>
      </c>
    </row>
    <row r="9179" customFormat="false" ht="15.75" hidden="false" customHeight="false" outlineLevel="0" collapsed="false">
      <c r="A9179" s="6" t="n">
        <v>46173</v>
      </c>
      <c r="B9179" s="4" t="s">
        <v>5435</v>
      </c>
      <c r="C9179" s="4" t="n">
        <v>6</v>
      </c>
      <c r="D9179" s="4" t="n">
        <v>7</v>
      </c>
      <c r="E9179" s="4" t="s">
        <v>6121</v>
      </c>
      <c r="F9179" s="4" t="n">
        <v>23</v>
      </c>
      <c r="G9179" s="4" t="n">
        <v>6</v>
      </c>
      <c r="H9179" s="4" t="n">
        <v>4</v>
      </c>
      <c r="I9179" s="4" t="str">
        <v>×</v>
      </c>
      <c r="J9179" s="4"/>
      <c r="K9179" s="4"/>
      <c r="L9179" s="4"/>
      <c r="M9179" s="5" t="s">
        <v>5346</v>
      </c>
    </row>
    <row r="9180" customFormat="false" ht="15.75" hidden="false" customHeight="false" outlineLevel="0" collapsed="false">
      <c r="A9180" s="6" t="n">
        <v>46173</v>
      </c>
      <c r="B9180" s="4" t="s">
        <v>5435</v>
      </c>
      <c r="C9180" s="4" t="n">
        <v>6</v>
      </c>
      <c r="D9180" s="4" t="n">
        <v>8</v>
      </c>
      <c r="E9180" s="4" t="s">
        <v>6122</v>
      </c>
      <c r="F9180" s="4" t="n">
        <v>41</v>
      </c>
      <c r="G9180" s="4" t="n">
        <v>2</v>
      </c>
      <c r="H9180" s="4" t="n">
        <v>1</v>
      </c>
      <c r="I9180" s="4" t="str">
        <v>○</v>
      </c>
      <c r="J9180" s="4" t="n">
        <v>110</v>
      </c>
      <c r="K9180" s="4"/>
      <c r="L9180" s="4"/>
      <c r="M9180" s="5" t="s">
        <v>5346</v>
      </c>
    </row>
    <row r="9181" customFormat="false" ht="15.75" hidden="false" customHeight="false" outlineLevel="0" collapsed="false">
      <c r="A9181" s="6" t="n">
        <v>46173</v>
      </c>
      <c r="B9181" s="4" t="s">
        <v>5435</v>
      </c>
      <c r="C9181" s="4" t="n">
        <v>6</v>
      </c>
      <c r="D9181" s="4" t="n">
        <v>9</v>
      </c>
      <c r="E9181" s="4" t="s">
        <v>4175</v>
      </c>
      <c r="F9181" s="4" t="n">
        <v>52</v>
      </c>
      <c r="G9181" s="4" t="n">
        <v>1</v>
      </c>
      <c r="H9181" s="4" t="n">
        <v>3</v>
      </c>
      <c r="I9181" s="4" t="str">
        <v>○</v>
      </c>
      <c r="J9181" s="4" t="n">
        <v>140</v>
      </c>
      <c r="K9181" s="4"/>
      <c r="L9181" s="4"/>
      <c r="M9181" s="5" t="s">
        <v>5346</v>
      </c>
    </row>
    <row r="9182" customFormat="false" ht="15.75" hidden="false" customHeight="false" outlineLevel="0" collapsed="false">
      <c r="A9182" s="6" t="n">
        <v>46173</v>
      </c>
      <c r="B9182" s="4" t="s">
        <v>5435</v>
      </c>
      <c r="C9182" s="4" t="n">
        <v>6</v>
      </c>
      <c r="D9182" s="4" t="n">
        <v>10</v>
      </c>
      <c r="E9182" s="4" t="s">
        <v>6123</v>
      </c>
      <c r="F9182" s="4" t="n">
        <v>17</v>
      </c>
      <c r="G9182" s="4" t="n">
        <v>7</v>
      </c>
      <c r="H9182" s="4" t="n">
        <v>4</v>
      </c>
      <c r="I9182" s="4" t="str">
        <v>×</v>
      </c>
      <c r="J9182" s="4"/>
      <c r="K9182" s="4"/>
      <c r="L9182" s="4"/>
      <c r="M9182" s="5" t="s">
        <v>5346</v>
      </c>
    </row>
    <row r="9183" customFormat="false" ht="15.75" hidden="false" customHeight="false" outlineLevel="0" collapsed="false">
      <c r="A9183" s="6" t="n">
        <v>46173</v>
      </c>
      <c r="B9183" s="4" t="s">
        <v>5435</v>
      </c>
      <c r="C9183" s="4" t="n">
        <v>6</v>
      </c>
      <c r="D9183" s="4" t="n">
        <v>11</v>
      </c>
      <c r="E9183" s="4" t="s">
        <v>5479</v>
      </c>
      <c r="F9183" s="4" t="n">
        <v>13</v>
      </c>
      <c r="G9183" s="4" t="n">
        <v>8</v>
      </c>
      <c r="H9183" s="4" t="n">
        <v>4</v>
      </c>
      <c r="I9183" s="4" t="str">
        <v>×</v>
      </c>
      <c r="J9183" s="4"/>
      <c r="K9183" s="4"/>
      <c r="L9183" s="4"/>
      <c r="M9183" s="5" t="s">
        <v>5346</v>
      </c>
    </row>
    <row r="9184" customFormat="false" ht="15.75" hidden="false" customHeight="false" outlineLevel="0" collapsed="false">
      <c r="A9184" s="6" t="n">
        <v>46173</v>
      </c>
      <c r="B9184" s="4" t="s">
        <v>5435</v>
      </c>
      <c r="C9184" s="4" t="n">
        <v>6</v>
      </c>
      <c r="D9184" s="4" t="n">
        <v>12</v>
      </c>
      <c r="E9184" s="4" t="s">
        <v>6124</v>
      </c>
      <c r="F9184" s="4" t="n">
        <v>37</v>
      </c>
      <c r="G9184" s="4" t="n">
        <v>3</v>
      </c>
      <c r="H9184" s="4" t="n">
        <v>4</v>
      </c>
      <c r="I9184" s="4" t="str">
        <v>×</v>
      </c>
      <c r="J9184" s="4"/>
      <c r="K9184" s="4"/>
      <c r="L9184" s="4"/>
      <c r="M9184" s="5" t="s">
        <v>5346</v>
      </c>
    </row>
    <row r="9185" customFormat="false" ht="15.75" hidden="false" customHeight="false" outlineLevel="0" collapsed="false">
      <c r="A9185" s="6" t="n">
        <v>46173</v>
      </c>
      <c r="B9185" s="4" t="s">
        <v>5435</v>
      </c>
      <c r="C9185" s="4" t="n">
        <v>6</v>
      </c>
      <c r="D9185" s="4" t="n">
        <v>13</v>
      </c>
      <c r="E9185" s="4" t="s">
        <v>3497</v>
      </c>
      <c r="F9185" s="4" t="n">
        <v>17</v>
      </c>
      <c r="G9185" s="4" t="n">
        <v>7</v>
      </c>
      <c r="H9185" s="4" t="n">
        <v>4</v>
      </c>
      <c r="I9185" s="4" t="str">
        <v>×</v>
      </c>
      <c r="J9185" s="4"/>
      <c r="K9185" s="4"/>
      <c r="L9185" s="4"/>
      <c r="M9185" s="5" t="s">
        <v>5346</v>
      </c>
    </row>
    <row r="9186" customFormat="false" ht="15.75" hidden="false" customHeight="false" outlineLevel="0" collapsed="false">
      <c r="A9186" s="6" t="n">
        <v>46173</v>
      </c>
      <c r="B9186" s="4" t="s">
        <v>5435</v>
      </c>
      <c r="C9186" s="4" t="n">
        <v>6</v>
      </c>
      <c r="D9186" s="4" t="n">
        <v>14</v>
      </c>
      <c r="E9186" s="4" t="s">
        <v>6125</v>
      </c>
      <c r="F9186" s="4" t="n">
        <v>6</v>
      </c>
      <c r="G9186" s="4" t="n">
        <v>11</v>
      </c>
      <c r="H9186" s="4" t="n">
        <v>4</v>
      </c>
      <c r="I9186" s="4" t="str">
        <v>×</v>
      </c>
      <c r="J9186" s="4"/>
      <c r="K9186" s="4"/>
      <c r="L9186" s="4"/>
      <c r="M9186" s="5" t="s">
        <v>5346</v>
      </c>
    </row>
    <row r="9187" customFormat="false" ht="15.75" hidden="false" customHeight="false" outlineLevel="0" collapsed="false">
      <c r="A9187" s="6" t="n">
        <v>46173</v>
      </c>
      <c r="B9187" s="4" t="s">
        <v>5435</v>
      </c>
      <c r="C9187" s="4" t="n">
        <v>7</v>
      </c>
      <c r="D9187" s="4" t="n">
        <v>1</v>
      </c>
      <c r="E9187" s="4" t="s">
        <v>4189</v>
      </c>
      <c r="F9187" s="4" t="n">
        <v>52</v>
      </c>
      <c r="G9187" s="4" t="n">
        <v>1</v>
      </c>
      <c r="H9187" s="4" t="n">
        <v>1</v>
      </c>
      <c r="I9187" s="4" t="str">
        <v>○</v>
      </c>
      <c r="J9187" s="4" t="n">
        <v>120</v>
      </c>
      <c r="K9187" s="4"/>
      <c r="L9187" s="4"/>
      <c r="M9187" s="5" t="s">
        <v>5346</v>
      </c>
    </row>
    <row r="9188" customFormat="false" ht="15.75" hidden="false" customHeight="false" outlineLevel="0" collapsed="false">
      <c r="A9188" s="6" t="n">
        <v>46173</v>
      </c>
      <c r="B9188" s="4" t="s">
        <v>5435</v>
      </c>
      <c r="C9188" s="4" t="n">
        <v>7</v>
      </c>
      <c r="D9188" s="4" t="n">
        <v>2</v>
      </c>
      <c r="E9188" s="4" t="s">
        <v>6126</v>
      </c>
      <c r="F9188" s="4" t="n">
        <v>17</v>
      </c>
      <c r="G9188" s="4" t="n">
        <v>6</v>
      </c>
      <c r="H9188" s="4" t="n">
        <v>4</v>
      </c>
      <c r="I9188" s="4" t="str">
        <v>×</v>
      </c>
      <c r="J9188" s="4"/>
      <c r="K9188" s="4"/>
      <c r="L9188" s="4"/>
      <c r="M9188" s="5" t="s">
        <v>5346</v>
      </c>
    </row>
    <row r="9189" customFormat="false" ht="15.75" hidden="false" customHeight="false" outlineLevel="0" collapsed="false">
      <c r="A9189" s="6" t="n">
        <v>46173</v>
      </c>
      <c r="B9189" s="4" t="s">
        <v>5435</v>
      </c>
      <c r="C9189" s="4" t="n">
        <v>7</v>
      </c>
      <c r="D9189" s="4" t="n">
        <v>3</v>
      </c>
      <c r="E9189" s="4" t="s">
        <v>6127</v>
      </c>
      <c r="F9189" s="4" t="n">
        <v>34</v>
      </c>
      <c r="G9189" s="4" t="n">
        <v>4</v>
      </c>
      <c r="H9189" s="4" t="n">
        <v>3</v>
      </c>
      <c r="I9189" s="4" t="str">
        <v>○</v>
      </c>
      <c r="J9189" s="4" t="n">
        <v>160</v>
      </c>
      <c r="K9189" s="4"/>
      <c r="L9189" s="4"/>
      <c r="M9189" s="5" t="s">
        <v>5346</v>
      </c>
    </row>
    <row r="9190" customFormat="false" ht="15.75" hidden="false" customHeight="false" outlineLevel="0" collapsed="false">
      <c r="A9190" s="6" t="n">
        <v>46173</v>
      </c>
      <c r="B9190" s="4" t="s">
        <v>5435</v>
      </c>
      <c r="C9190" s="4" t="n">
        <v>7</v>
      </c>
      <c r="D9190" s="4" t="n">
        <v>4</v>
      </c>
      <c r="E9190" s="4" t="s">
        <v>6128</v>
      </c>
      <c r="F9190" s="4" t="n">
        <v>13</v>
      </c>
      <c r="G9190" s="4" t="n">
        <v>7</v>
      </c>
      <c r="H9190" s="4" t="n">
        <v>4</v>
      </c>
      <c r="I9190" s="4" t="str">
        <v>×</v>
      </c>
      <c r="J9190" s="4"/>
      <c r="K9190" s="4"/>
      <c r="L9190" s="4"/>
      <c r="M9190" s="5" t="s">
        <v>5346</v>
      </c>
    </row>
    <row r="9191" customFormat="false" ht="15.75" hidden="false" customHeight="false" outlineLevel="0" collapsed="false">
      <c r="A9191" s="6" t="n">
        <v>46173</v>
      </c>
      <c r="B9191" s="4" t="s">
        <v>5435</v>
      </c>
      <c r="C9191" s="4" t="n">
        <v>7</v>
      </c>
      <c r="D9191" s="4" t="n">
        <v>5</v>
      </c>
      <c r="E9191" s="4" t="s">
        <v>6129</v>
      </c>
      <c r="F9191" s="4" t="n">
        <v>17</v>
      </c>
      <c r="G9191" s="4" t="n">
        <v>6</v>
      </c>
      <c r="H9191" s="4" t="n">
        <v>4</v>
      </c>
      <c r="I9191" s="4" t="str">
        <v>×</v>
      </c>
      <c r="J9191" s="4"/>
      <c r="K9191" s="4"/>
      <c r="L9191" s="4"/>
      <c r="M9191" s="5" t="s">
        <v>5346</v>
      </c>
    </row>
    <row r="9192" customFormat="false" ht="15.75" hidden="false" customHeight="false" outlineLevel="0" collapsed="false">
      <c r="A9192" s="6" t="n">
        <v>46173</v>
      </c>
      <c r="B9192" s="4" t="s">
        <v>5435</v>
      </c>
      <c r="C9192" s="4" t="n">
        <v>7</v>
      </c>
      <c r="D9192" s="4" t="n">
        <v>6</v>
      </c>
      <c r="E9192" s="4" t="s">
        <v>6130</v>
      </c>
      <c r="F9192" s="4" t="n">
        <v>25</v>
      </c>
      <c r="G9192" s="4" t="n">
        <v>5</v>
      </c>
      <c r="H9192" s="4" t="n">
        <v>4</v>
      </c>
      <c r="I9192" s="4" t="str">
        <v>×</v>
      </c>
      <c r="J9192" s="4"/>
      <c r="K9192" s="4"/>
      <c r="L9192" s="4"/>
      <c r="M9192" s="5" t="s">
        <v>5346</v>
      </c>
    </row>
    <row r="9193" customFormat="false" ht="15.75" hidden="false" customHeight="false" outlineLevel="0" collapsed="false">
      <c r="A9193" s="6" t="n">
        <v>46173</v>
      </c>
      <c r="B9193" s="4" t="s">
        <v>5435</v>
      </c>
      <c r="C9193" s="4" t="n">
        <v>7</v>
      </c>
      <c r="D9193" s="4" t="n">
        <v>7</v>
      </c>
      <c r="E9193" s="4" t="s">
        <v>6131</v>
      </c>
      <c r="F9193" s="4" t="n">
        <v>10</v>
      </c>
      <c r="G9193" s="4" t="n">
        <v>8</v>
      </c>
      <c r="H9193" s="4" t="n">
        <v>4</v>
      </c>
      <c r="I9193" s="4" t="str">
        <v>×</v>
      </c>
      <c r="J9193" s="4"/>
      <c r="K9193" s="4"/>
      <c r="L9193" s="4"/>
      <c r="M9193" s="5" t="s">
        <v>5346</v>
      </c>
    </row>
    <row r="9194" customFormat="false" ht="15.75" hidden="false" customHeight="false" outlineLevel="0" collapsed="false">
      <c r="A9194" s="6" t="n">
        <v>46173</v>
      </c>
      <c r="B9194" s="4" t="s">
        <v>5435</v>
      </c>
      <c r="C9194" s="4" t="n">
        <v>7</v>
      </c>
      <c r="D9194" s="4" t="n">
        <v>8</v>
      </c>
      <c r="E9194" s="4" t="s">
        <v>6132</v>
      </c>
      <c r="F9194" s="4" t="n">
        <v>39</v>
      </c>
      <c r="G9194" s="4" t="n">
        <v>2</v>
      </c>
      <c r="H9194" s="4" t="n">
        <v>4</v>
      </c>
      <c r="I9194" s="4" t="str">
        <v>×</v>
      </c>
      <c r="J9194" s="4"/>
      <c r="K9194" s="4"/>
      <c r="L9194" s="4"/>
      <c r="M9194" s="5" t="s">
        <v>5346</v>
      </c>
    </row>
    <row r="9195" customFormat="false" ht="15.75" hidden="false" customHeight="false" outlineLevel="0" collapsed="false">
      <c r="A9195" s="6" t="n">
        <v>46173</v>
      </c>
      <c r="B9195" s="4" t="s">
        <v>5435</v>
      </c>
      <c r="C9195" s="4" t="n">
        <v>7</v>
      </c>
      <c r="D9195" s="4" t="n">
        <v>9</v>
      </c>
      <c r="E9195" s="4" t="s">
        <v>3967</v>
      </c>
      <c r="F9195" s="4" t="n">
        <v>6</v>
      </c>
      <c r="G9195" s="4" t="n">
        <v>9</v>
      </c>
      <c r="H9195" s="4" t="n">
        <v>4</v>
      </c>
      <c r="I9195" s="4" t="str">
        <v>×</v>
      </c>
      <c r="J9195" s="4"/>
      <c r="K9195" s="4"/>
      <c r="L9195" s="4"/>
      <c r="M9195" s="5" t="s">
        <v>5346</v>
      </c>
    </row>
    <row r="9196" customFormat="false" ht="15.75" hidden="false" customHeight="false" outlineLevel="0" collapsed="false">
      <c r="A9196" s="6" t="n">
        <v>46173</v>
      </c>
      <c r="B9196" s="4" t="s">
        <v>5435</v>
      </c>
      <c r="C9196" s="4" t="n">
        <v>7</v>
      </c>
      <c r="D9196" s="4" t="n">
        <v>10</v>
      </c>
      <c r="E9196" s="4" t="s">
        <v>2123</v>
      </c>
      <c r="F9196" s="4" t="n">
        <v>37</v>
      </c>
      <c r="G9196" s="4" t="n">
        <v>3</v>
      </c>
      <c r="H9196" s="4" t="n">
        <v>2</v>
      </c>
      <c r="I9196" s="4" t="str">
        <v>○</v>
      </c>
      <c r="J9196" s="4" t="n">
        <v>200</v>
      </c>
      <c r="K9196" s="4"/>
      <c r="L9196" s="4"/>
      <c r="M9196" s="5" t="s">
        <v>5346</v>
      </c>
    </row>
    <row r="9197" customFormat="false" ht="15.75" hidden="false" customHeight="false" outlineLevel="0" collapsed="false">
      <c r="A9197" s="6" t="n">
        <v>46173</v>
      </c>
      <c r="B9197" s="4" t="s">
        <v>5435</v>
      </c>
      <c r="C9197" s="4" t="n">
        <v>8</v>
      </c>
      <c r="D9197" s="4" t="n">
        <v>1</v>
      </c>
      <c r="E9197" s="4" t="s">
        <v>4348</v>
      </c>
      <c r="F9197" s="4" t="n">
        <v>47</v>
      </c>
      <c r="G9197" s="4" t="n">
        <v>3</v>
      </c>
      <c r="H9197" s="4" t="n">
        <v>1</v>
      </c>
      <c r="I9197" s="4" t="str">
        <v>○</v>
      </c>
      <c r="J9197" s="4" t="n">
        <v>230</v>
      </c>
      <c r="K9197" s="4"/>
      <c r="L9197" s="4"/>
      <c r="M9197" s="5" t="s">
        <v>5346</v>
      </c>
    </row>
    <row r="9198" customFormat="false" ht="15.75" hidden="false" customHeight="false" outlineLevel="0" collapsed="false">
      <c r="A9198" s="6" t="n">
        <v>46173</v>
      </c>
      <c r="B9198" s="4" t="s">
        <v>5435</v>
      </c>
      <c r="C9198" s="4" t="n">
        <v>8</v>
      </c>
      <c r="D9198" s="4" t="n">
        <v>2</v>
      </c>
      <c r="E9198" s="4" t="s">
        <v>4188</v>
      </c>
      <c r="F9198" s="4" t="n">
        <v>65</v>
      </c>
      <c r="G9198" s="4" t="n">
        <v>1</v>
      </c>
      <c r="H9198" s="4" t="n">
        <v>4</v>
      </c>
      <c r="I9198" s="4" t="str">
        <v>×</v>
      </c>
      <c r="J9198" s="4"/>
      <c r="K9198" s="4"/>
      <c r="L9198" s="4"/>
      <c r="M9198" s="5" t="s">
        <v>5346</v>
      </c>
    </row>
    <row r="9199" customFormat="false" ht="15.75" hidden="false" customHeight="false" outlineLevel="0" collapsed="false">
      <c r="A9199" s="6" t="n">
        <v>46173</v>
      </c>
      <c r="B9199" s="4" t="s">
        <v>5435</v>
      </c>
      <c r="C9199" s="4" t="n">
        <v>8</v>
      </c>
      <c r="D9199" s="4" t="n">
        <v>3</v>
      </c>
      <c r="E9199" s="4" t="s">
        <v>4193</v>
      </c>
      <c r="F9199" s="4" t="n">
        <v>25</v>
      </c>
      <c r="G9199" s="4" t="n">
        <v>8</v>
      </c>
      <c r="H9199" s="4" t="n">
        <v>4</v>
      </c>
      <c r="I9199" s="4" t="str">
        <v>×</v>
      </c>
      <c r="J9199" s="4"/>
      <c r="K9199" s="4"/>
      <c r="L9199" s="4"/>
      <c r="M9199" s="5" t="s">
        <v>5346</v>
      </c>
    </row>
    <row r="9200" customFormat="false" ht="15.75" hidden="false" customHeight="false" outlineLevel="0" collapsed="false">
      <c r="A9200" s="6" t="n">
        <v>46173</v>
      </c>
      <c r="B9200" s="4" t="s">
        <v>5435</v>
      </c>
      <c r="C9200" s="4" t="n">
        <v>8</v>
      </c>
      <c r="D9200" s="4" t="n">
        <v>4</v>
      </c>
      <c r="E9200" s="4" t="s">
        <v>692</v>
      </c>
      <c r="F9200" s="4" t="n">
        <v>39</v>
      </c>
      <c r="G9200" s="4" t="n">
        <v>4</v>
      </c>
      <c r="H9200" s="4" t="n">
        <v>2</v>
      </c>
      <c r="I9200" s="4" t="str">
        <v>○</v>
      </c>
      <c r="J9200" s="4" t="n">
        <v>200</v>
      </c>
      <c r="K9200" s="4"/>
      <c r="L9200" s="4"/>
      <c r="M9200" s="5" t="s">
        <v>5346</v>
      </c>
    </row>
    <row r="9201" customFormat="false" ht="15.75" hidden="false" customHeight="false" outlineLevel="0" collapsed="false">
      <c r="A9201" s="6" t="n">
        <v>46173</v>
      </c>
      <c r="B9201" s="4" t="s">
        <v>5435</v>
      </c>
      <c r="C9201" s="4" t="n">
        <v>8</v>
      </c>
      <c r="D9201" s="4" t="n">
        <v>5</v>
      </c>
      <c r="E9201" s="4" t="s">
        <v>6133</v>
      </c>
      <c r="F9201" s="4" t="n">
        <v>31</v>
      </c>
      <c r="G9201" s="4" t="n">
        <v>6</v>
      </c>
      <c r="H9201" s="4" t="n">
        <v>4</v>
      </c>
      <c r="I9201" s="4" t="str">
        <v>×</v>
      </c>
      <c r="J9201" s="4"/>
      <c r="K9201" s="4"/>
      <c r="L9201" s="4"/>
      <c r="M9201" s="5" t="s">
        <v>5346</v>
      </c>
    </row>
    <row r="9202" customFormat="false" ht="15.75" hidden="false" customHeight="false" outlineLevel="0" collapsed="false">
      <c r="A9202" s="6" t="n">
        <v>46173</v>
      </c>
      <c r="B9202" s="4" t="s">
        <v>5435</v>
      </c>
      <c r="C9202" s="4" t="n">
        <v>8</v>
      </c>
      <c r="D9202" s="4" t="n">
        <v>6</v>
      </c>
      <c r="E9202" s="4" t="s">
        <v>573</v>
      </c>
      <c r="F9202" s="4" t="n">
        <v>34</v>
      </c>
      <c r="G9202" s="4" t="n">
        <v>5</v>
      </c>
      <c r="H9202" s="4" t="n">
        <v>4</v>
      </c>
      <c r="I9202" s="4" t="str">
        <v>×</v>
      </c>
      <c r="J9202" s="4"/>
      <c r="K9202" s="4"/>
      <c r="L9202" s="4"/>
      <c r="M9202" s="5" t="s">
        <v>5346</v>
      </c>
    </row>
    <row r="9203" customFormat="false" ht="15.75" hidden="false" customHeight="false" outlineLevel="0" collapsed="false">
      <c r="A9203" s="6" t="n">
        <v>46173</v>
      </c>
      <c r="B9203" s="4" t="s">
        <v>5435</v>
      </c>
      <c r="C9203" s="4" t="n">
        <v>8</v>
      </c>
      <c r="D9203" s="4" t="n">
        <v>7</v>
      </c>
      <c r="E9203" s="4" t="s">
        <v>6134</v>
      </c>
      <c r="F9203" s="4" t="n">
        <v>29</v>
      </c>
      <c r="G9203" s="4" t="n">
        <v>7</v>
      </c>
      <c r="H9203" s="4" t="n">
        <v>3</v>
      </c>
      <c r="I9203" s="4" t="str">
        <v>○</v>
      </c>
      <c r="J9203" s="4" t="n">
        <v>260</v>
      </c>
      <c r="K9203" s="4"/>
      <c r="L9203" s="4"/>
      <c r="M9203" s="5" t="s">
        <v>5346</v>
      </c>
    </row>
    <row r="9204" customFormat="false" ht="15.75" hidden="false" customHeight="false" outlineLevel="0" collapsed="false">
      <c r="A9204" s="6" t="n">
        <v>46173</v>
      </c>
      <c r="B9204" s="4" t="s">
        <v>5435</v>
      </c>
      <c r="C9204" s="4" t="n">
        <v>8</v>
      </c>
      <c r="D9204" s="4" t="n">
        <v>8</v>
      </c>
      <c r="E9204" s="4" t="s">
        <v>6135</v>
      </c>
      <c r="F9204" s="4" t="n">
        <v>60</v>
      </c>
      <c r="G9204" s="4" t="n">
        <v>2</v>
      </c>
      <c r="H9204" s="4" t="n">
        <v>4</v>
      </c>
      <c r="I9204" s="4" t="str">
        <v>×</v>
      </c>
      <c r="J9204" s="4"/>
      <c r="K9204" s="4"/>
      <c r="L9204" s="4"/>
      <c r="M9204" s="5" t="s">
        <v>5346</v>
      </c>
    </row>
    <row r="9205" customFormat="false" ht="15.75" hidden="false" customHeight="false" outlineLevel="0" collapsed="false">
      <c r="A9205" s="6" t="n">
        <v>46173</v>
      </c>
      <c r="B9205" s="4" t="s">
        <v>5435</v>
      </c>
      <c r="C9205" s="4" t="n">
        <v>9</v>
      </c>
      <c r="D9205" s="4" t="n">
        <v>1</v>
      </c>
      <c r="E9205" s="4" t="s">
        <v>5497</v>
      </c>
      <c r="F9205" s="4" t="n">
        <v>6</v>
      </c>
      <c r="G9205" s="4" t="n">
        <v>9</v>
      </c>
      <c r="H9205" s="4"/>
      <c r="I9205" s="4" t="str">
        <v/>
      </c>
      <c r="J9205" s="4"/>
      <c r="K9205" s="4"/>
      <c r="L9205" s="4"/>
      <c r="M9205" s="5" t="s">
        <v>5346</v>
      </c>
    </row>
    <row r="9206" customFormat="false" ht="15.75" hidden="false" customHeight="false" outlineLevel="0" collapsed="false">
      <c r="A9206" s="6" t="n">
        <v>46173</v>
      </c>
      <c r="B9206" s="4" t="s">
        <v>5435</v>
      </c>
      <c r="C9206" s="4" t="n">
        <v>9</v>
      </c>
      <c r="D9206" s="4" t="n">
        <v>2</v>
      </c>
      <c r="E9206" s="4" t="s">
        <v>5226</v>
      </c>
      <c r="F9206" s="4" t="n">
        <v>1</v>
      </c>
      <c r="G9206" s="4" t="n">
        <v>10</v>
      </c>
      <c r="H9206" s="4" t="n">
        <v>4</v>
      </c>
      <c r="I9206" s="4" t="str">
        <v>×</v>
      </c>
      <c r="J9206" s="4"/>
      <c r="K9206" s="4"/>
      <c r="L9206" s="4"/>
      <c r="M9206" s="5" t="s">
        <v>5346</v>
      </c>
    </row>
    <row r="9207" customFormat="false" ht="15.75" hidden="false" customHeight="false" outlineLevel="0" collapsed="false">
      <c r="A9207" s="6" t="n">
        <v>46173</v>
      </c>
      <c r="B9207" s="4" t="s">
        <v>5435</v>
      </c>
      <c r="C9207" s="4" t="n">
        <v>9</v>
      </c>
      <c r="D9207" s="4" t="n">
        <v>3</v>
      </c>
      <c r="E9207" s="4" t="s">
        <v>2516</v>
      </c>
      <c r="F9207" s="4" t="n">
        <v>17</v>
      </c>
      <c r="G9207" s="4" t="n">
        <v>6</v>
      </c>
      <c r="H9207" s="4" t="n">
        <v>4</v>
      </c>
      <c r="I9207" s="4" t="str">
        <v>×</v>
      </c>
      <c r="J9207" s="4"/>
      <c r="K9207" s="4"/>
      <c r="L9207" s="4"/>
      <c r="M9207" s="5" t="s">
        <v>5346</v>
      </c>
    </row>
    <row r="9208" customFormat="false" ht="15.75" hidden="false" customHeight="false" outlineLevel="0" collapsed="false">
      <c r="A9208" s="6" t="n">
        <v>46173</v>
      </c>
      <c r="B9208" s="4" t="s">
        <v>5435</v>
      </c>
      <c r="C9208" s="4" t="n">
        <v>9</v>
      </c>
      <c r="D9208" s="4" t="n">
        <v>4</v>
      </c>
      <c r="E9208" s="4" t="s">
        <v>2515</v>
      </c>
      <c r="F9208" s="4" t="n">
        <v>13</v>
      </c>
      <c r="G9208" s="4" t="n">
        <v>7</v>
      </c>
      <c r="H9208" s="4" t="n">
        <v>4</v>
      </c>
      <c r="I9208" s="4" t="str">
        <v>×</v>
      </c>
      <c r="J9208" s="4"/>
      <c r="K9208" s="4"/>
      <c r="L9208" s="4"/>
      <c r="M9208" s="5" t="s">
        <v>5346</v>
      </c>
    </row>
    <row r="9209" customFormat="false" ht="15.75" hidden="false" customHeight="false" outlineLevel="0" collapsed="false">
      <c r="A9209" s="6" t="n">
        <v>46173</v>
      </c>
      <c r="B9209" s="4" t="s">
        <v>5435</v>
      </c>
      <c r="C9209" s="4" t="n">
        <v>9</v>
      </c>
      <c r="D9209" s="4" t="n">
        <v>5</v>
      </c>
      <c r="E9209" s="4" t="s">
        <v>3650</v>
      </c>
      <c r="F9209" s="4" t="n">
        <v>20</v>
      </c>
      <c r="G9209" s="4" t="n">
        <v>5</v>
      </c>
      <c r="H9209" s="4" t="n">
        <v>4</v>
      </c>
      <c r="I9209" s="4" t="str">
        <v>×</v>
      </c>
      <c r="J9209" s="4"/>
      <c r="K9209" s="4"/>
      <c r="L9209" s="4"/>
      <c r="M9209" s="5" t="s">
        <v>5346</v>
      </c>
    </row>
    <row r="9210" customFormat="false" ht="15.75" hidden="false" customHeight="false" outlineLevel="0" collapsed="false">
      <c r="A9210" s="6" t="n">
        <v>46173</v>
      </c>
      <c r="B9210" s="4" t="s">
        <v>5435</v>
      </c>
      <c r="C9210" s="4" t="n">
        <v>9</v>
      </c>
      <c r="D9210" s="4" t="n">
        <v>6</v>
      </c>
      <c r="E9210" s="4" t="s">
        <v>6136</v>
      </c>
      <c r="F9210" s="4" t="n">
        <v>37</v>
      </c>
      <c r="G9210" s="4" t="n">
        <v>3</v>
      </c>
      <c r="H9210" s="4" t="n">
        <v>3</v>
      </c>
      <c r="I9210" s="4" t="str">
        <v>○</v>
      </c>
      <c r="J9210" s="4" t="n">
        <v>160</v>
      </c>
      <c r="K9210" s="4"/>
      <c r="L9210" s="4"/>
      <c r="M9210" s="5" t="s">
        <v>5346</v>
      </c>
    </row>
    <row r="9211" customFormat="false" ht="15.75" hidden="false" customHeight="false" outlineLevel="0" collapsed="false">
      <c r="A9211" s="6" t="n">
        <v>46173</v>
      </c>
      <c r="B9211" s="4" t="s">
        <v>5435</v>
      </c>
      <c r="C9211" s="4" t="n">
        <v>9</v>
      </c>
      <c r="D9211" s="4" t="n">
        <v>7</v>
      </c>
      <c r="E9211" s="4" t="s">
        <v>4222</v>
      </c>
      <c r="F9211" s="4" t="n">
        <v>23</v>
      </c>
      <c r="G9211" s="4" t="n">
        <v>4</v>
      </c>
      <c r="H9211" s="4" t="n">
        <v>4</v>
      </c>
      <c r="I9211" s="4" t="str">
        <v>×</v>
      </c>
      <c r="J9211" s="4"/>
      <c r="K9211" s="4"/>
      <c r="L9211" s="4"/>
      <c r="M9211" s="5" t="s">
        <v>5346</v>
      </c>
    </row>
    <row r="9212" customFormat="false" ht="15.75" hidden="false" customHeight="false" outlineLevel="0" collapsed="false">
      <c r="A9212" s="6" t="n">
        <v>46173</v>
      </c>
      <c r="B9212" s="4" t="s">
        <v>5435</v>
      </c>
      <c r="C9212" s="4" t="n">
        <v>9</v>
      </c>
      <c r="D9212" s="4" t="n">
        <v>8</v>
      </c>
      <c r="E9212" s="4" t="s">
        <v>250</v>
      </c>
      <c r="F9212" s="4" t="n">
        <v>41</v>
      </c>
      <c r="G9212" s="4" t="n">
        <v>2</v>
      </c>
      <c r="H9212" s="4" t="n">
        <v>4</v>
      </c>
      <c r="I9212" s="4" t="str">
        <v>×</v>
      </c>
      <c r="J9212" s="4"/>
      <c r="K9212" s="4"/>
      <c r="L9212" s="4"/>
      <c r="M9212" s="5" t="s">
        <v>5346</v>
      </c>
    </row>
    <row r="9213" customFormat="false" ht="15.75" hidden="false" customHeight="false" outlineLevel="0" collapsed="false">
      <c r="A9213" s="6" t="n">
        <v>46173</v>
      </c>
      <c r="B9213" s="4" t="s">
        <v>5435</v>
      </c>
      <c r="C9213" s="4" t="n">
        <v>9</v>
      </c>
      <c r="D9213" s="4" t="n">
        <v>9</v>
      </c>
      <c r="E9213" s="4" t="s">
        <v>6137</v>
      </c>
      <c r="F9213" s="4" t="n">
        <v>8</v>
      </c>
      <c r="G9213" s="4" t="n">
        <v>8</v>
      </c>
      <c r="H9213" s="4" t="n">
        <v>4</v>
      </c>
      <c r="I9213" s="4" t="str">
        <v>×</v>
      </c>
      <c r="J9213" s="4"/>
      <c r="K9213" s="4"/>
      <c r="L9213" s="4"/>
      <c r="M9213" s="5" t="s">
        <v>5346</v>
      </c>
    </row>
    <row r="9214" customFormat="false" ht="15.75" hidden="false" customHeight="false" outlineLevel="0" collapsed="false">
      <c r="A9214" s="6" t="n">
        <v>46173</v>
      </c>
      <c r="B9214" s="4" t="s">
        <v>5435</v>
      </c>
      <c r="C9214" s="4" t="n">
        <v>9</v>
      </c>
      <c r="D9214" s="4" t="n">
        <v>10</v>
      </c>
      <c r="E9214" s="4" t="s">
        <v>6138</v>
      </c>
      <c r="F9214" s="4" t="n">
        <v>60</v>
      </c>
      <c r="G9214" s="4" t="n">
        <v>1</v>
      </c>
      <c r="H9214" s="4" t="n">
        <v>1</v>
      </c>
      <c r="I9214" s="4" t="str">
        <v>○</v>
      </c>
      <c r="J9214" s="4" t="n">
        <v>110</v>
      </c>
      <c r="K9214" s="4"/>
      <c r="L9214" s="4"/>
      <c r="M9214" s="5" t="s">
        <v>5346</v>
      </c>
    </row>
    <row r="9215" customFormat="false" ht="15.75" hidden="false" customHeight="false" outlineLevel="0" collapsed="false">
      <c r="A9215" s="6" t="n">
        <v>46173</v>
      </c>
      <c r="B9215" s="4" t="s">
        <v>5435</v>
      </c>
      <c r="C9215" s="4" t="n">
        <v>9</v>
      </c>
      <c r="D9215" s="4" t="n">
        <v>11</v>
      </c>
      <c r="E9215" s="4" t="s">
        <v>6139</v>
      </c>
      <c r="F9215" s="4" t="n">
        <v>60</v>
      </c>
      <c r="G9215" s="4" t="n">
        <v>1</v>
      </c>
      <c r="H9215" s="4" t="n">
        <v>2</v>
      </c>
      <c r="I9215" s="4" t="str">
        <v>○</v>
      </c>
      <c r="J9215" s="4" t="n">
        <v>130</v>
      </c>
      <c r="K9215" s="4"/>
      <c r="L9215" s="4"/>
      <c r="M9215" s="5" t="s">
        <v>5346</v>
      </c>
    </row>
    <row r="9216" customFormat="false" ht="15.75" hidden="false" customHeight="false" outlineLevel="0" collapsed="false">
      <c r="A9216" s="6" t="n">
        <v>46173</v>
      </c>
      <c r="B9216" s="4" t="s">
        <v>5435</v>
      </c>
      <c r="C9216" s="4" t="n">
        <v>10</v>
      </c>
      <c r="D9216" s="4" t="n">
        <v>1</v>
      </c>
      <c r="E9216" s="4" t="s">
        <v>6140</v>
      </c>
      <c r="F9216" s="4" t="n">
        <v>39</v>
      </c>
      <c r="G9216" s="4" t="n">
        <v>2</v>
      </c>
      <c r="H9216" s="4" t="n">
        <v>4</v>
      </c>
      <c r="I9216" s="4" t="str">
        <v>×</v>
      </c>
      <c r="J9216" s="4"/>
      <c r="K9216" s="4"/>
      <c r="L9216" s="4"/>
      <c r="M9216" s="5" t="s">
        <v>5346</v>
      </c>
    </row>
    <row r="9217" customFormat="false" ht="15.75" hidden="false" customHeight="false" outlineLevel="0" collapsed="false">
      <c r="A9217" s="6" t="n">
        <v>46173</v>
      </c>
      <c r="B9217" s="4" t="s">
        <v>5435</v>
      </c>
      <c r="C9217" s="4" t="n">
        <v>10</v>
      </c>
      <c r="D9217" s="4" t="n">
        <v>2</v>
      </c>
      <c r="E9217" s="4" t="s">
        <v>4208</v>
      </c>
      <c r="F9217" s="4" t="n">
        <v>34</v>
      </c>
      <c r="G9217" s="4" t="n">
        <v>3</v>
      </c>
      <c r="H9217" s="4" t="n">
        <v>4</v>
      </c>
      <c r="I9217" s="4" t="str">
        <v>×</v>
      </c>
      <c r="J9217" s="4"/>
      <c r="K9217" s="4"/>
      <c r="L9217" s="4"/>
      <c r="M9217" s="5" t="s">
        <v>5346</v>
      </c>
    </row>
    <row r="9218" customFormat="false" ht="15.75" hidden="false" customHeight="false" outlineLevel="0" collapsed="false">
      <c r="A9218" s="6" t="n">
        <v>46173</v>
      </c>
      <c r="B9218" s="4" t="s">
        <v>5435</v>
      </c>
      <c r="C9218" s="4" t="n">
        <v>10</v>
      </c>
      <c r="D9218" s="4" t="n">
        <v>3</v>
      </c>
      <c r="E9218" s="4" t="s">
        <v>6141</v>
      </c>
      <c r="F9218" s="4" t="n">
        <v>23</v>
      </c>
      <c r="G9218" s="4" t="n">
        <v>6</v>
      </c>
      <c r="H9218" s="4" t="n">
        <v>4</v>
      </c>
      <c r="I9218" s="4" t="str">
        <v>×</v>
      </c>
      <c r="J9218" s="4"/>
      <c r="K9218" s="4"/>
      <c r="L9218" s="4"/>
      <c r="M9218" s="5" t="s">
        <v>5346</v>
      </c>
    </row>
    <row r="9219" customFormat="false" ht="15.75" hidden="false" customHeight="false" outlineLevel="0" collapsed="false">
      <c r="A9219" s="6" t="n">
        <v>46173</v>
      </c>
      <c r="B9219" s="4" t="s">
        <v>5435</v>
      </c>
      <c r="C9219" s="4" t="n">
        <v>10</v>
      </c>
      <c r="D9219" s="4" t="n">
        <v>4</v>
      </c>
      <c r="E9219" s="4" t="s">
        <v>6142</v>
      </c>
      <c r="F9219" s="4" t="n">
        <v>2</v>
      </c>
      <c r="G9219" s="4" t="n">
        <v>14</v>
      </c>
      <c r="H9219" s="4" t="n">
        <v>4</v>
      </c>
      <c r="I9219" s="4" t="str">
        <v>×</v>
      </c>
      <c r="J9219" s="4"/>
      <c r="K9219" s="4"/>
      <c r="L9219" s="4"/>
      <c r="M9219" s="5" t="s">
        <v>5346</v>
      </c>
    </row>
    <row r="9220" customFormat="false" ht="15.75" hidden="false" customHeight="false" outlineLevel="0" collapsed="false">
      <c r="A9220" s="6" t="n">
        <v>46173</v>
      </c>
      <c r="B9220" s="4" t="s">
        <v>5435</v>
      </c>
      <c r="C9220" s="4" t="n">
        <v>10</v>
      </c>
      <c r="D9220" s="4" t="n">
        <v>5</v>
      </c>
      <c r="E9220" s="4" t="s">
        <v>4219</v>
      </c>
      <c r="F9220" s="4" t="n">
        <v>47</v>
      </c>
      <c r="G9220" s="4" t="n">
        <v>1</v>
      </c>
      <c r="H9220" s="4" t="n">
        <v>2</v>
      </c>
      <c r="I9220" s="4" t="str">
        <v>○</v>
      </c>
      <c r="J9220" s="4" t="n">
        <v>230</v>
      </c>
      <c r="K9220" s="4"/>
      <c r="L9220" s="4"/>
      <c r="M9220" s="5" t="s">
        <v>5346</v>
      </c>
    </row>
    <row r="9221" customFormat="false" ht="15.75" hidden="false" customHeight="false" outlineLevel="0" collapsed="false">
      <c r="A9221" s="6" t="n">
        <v>46173</v>
      </c>
      <c r="B9221" s="4" t="s">
        <v>5435</v>
      </c>
      <c r="C9221" s="4" t="n">
        <v>10</v>
      </c>
      <c r="D9221" s="4" t="n">
        <v>6</v>
      </c>
      <c r="E9221" s="4" t="s">
        <v>6143</v>
      </c>
      <c r="F9221" s="4" t="n">
        <v>10</v>
      </c>
      <c r="G9221" s="4" t="n">
        <v>10</v>
      </c>
      <c r="H9221" s="4" t="n">
        <v>4</v>
      </c>
      <c r="I9221" s="4" t="str">
        <v>×</v>
      </c>
      <c r="J9221" s="4"/>
      <c r="K9221" s="4"/>
      <c r="L9221" s="4"/>
      <c r="M9221" s="5" t="s">
        <v>5346</v>
      </c>
    </row>
    <row r="9222" customFormat="false" ht="15.75" hidden="false" customHeight="false" outlineLevel="0" collapsed="false">
      <c r="A9222" s="6" t="n">
        <v>46173</v>
      </c>
      <c r="B9222" s="4" t="s">
        <v>5435</v>
      </c>
      <c r="C9222" s="4" t="n">
        <v>10</v>
      </c>
      <c r="D9222" s="4" t="n">
        <v>7</v>
      </c>
      <c r="E9222" s="4" t="s">
        <v>4217</v>
      </c>
      <c r="F9222" s="4" t="n">
        <v>17</v>
      </c>
      <c r="G9222" s="4" t="n">
        <v>8</v>
      </c>
      <c r="H9222" s="4" t="n">
        <v>3</v>
      </c>
      <c r="I9222" s="4" t="str">
        <v>○</v>
      </c>
      <c r="J9222" s="4" t="n">
        <v>690</v>
      </c>
      <c r="K9222" s="4"/>
      <c r="L9222" s="4"/>
      <c r="M9222" s="5" t="s">
        <v>5346</v>
      </c>
    </row>
    <row r="9223" customFormat="false" ht="15.75" hidden="false" customHeight="false" outlineLevel="0" collapsed="false">
      <c r="A9223" s="6" t="n">
        <v>46173</v>
      </c>
      <c r="B9223" s="4" t="s">
        <v>5435</v>
      </c>
      <c r="C9223" s="4" t="n">
        <v>10</v>
      </c>
      <c r="D9223" s="4" t="n">
        <v>8</v>
      </c>
      <c r="E9223" s="4" t="s">
        <v>6144</v>
      </c>
      <c r="F9223" s="4" t="n">
        <v>20</v>
      </c>
      <c r="G9223" s="4" t="n">
        <v>7</v>
      </c>
      <c r="H9223" s="4" t="n">
        <v>4</v>
      </c>
      <c r="I9223" s="4" t="str">
        <v>×</v>
      </c>
      <c r="J9223" s="4"/>
      <c r="K9223" s="4"/>
      <c r="L9223" s="4"/>
      <c r="M9223" s="5" t="s">
        <v>5346</v>
      </c>
    </row>
    <row r="9224" customFormat="false" ht="15.75" hidden="false" customHeight="false" outlineLevel="0" collapsed="false">
      <c r="A9224" s="6" t="n">
        <v>46173</v>
      </c>
      <c r="B9224" s="4" t="s">
        <v>5435</v>
      </c>
      <c r="C9224" s="4" t="n">
        <v>10</v>
      </c>
      <c r="D9224" s="4" t="n">
        <v>9</v>
      </c>
      <c r="E9224" s="4" t="s">
        <v>6145</v>
      </c>
      <c r="F9224" s="4" t="n">
        <v>4</v>
      </c>
      <c r="G9224" s="4" t="n">
        <v>13</v>
      </c>
      <c r="H9224" s="4" t="n">
        <v>4</v>
      </c>
      <c r="I9224" s="4" t="str">
        <v>×</v>
      </c>
      <c r="J9224" s="4"/>
      <c r="K9224" s="4"/>
      <c r="L9224" s="4"/>
      <c r="M9224" s="5" t="s">
        <v>5346</v>
      </c>
    </row>
    <row r="9225" customFormat="false" ht="15.75" hidden="false" customHeight="false" outlineLevel="0" collapsed="false">
      <c r="A9225" s="6" t="n">
        <v>46173</v>
      </c>
      <c r="B9225" s="4" t="s">
        <v>5435</v>
      </c>
      <c r="C9225" s="4" t="n">
        <v>10</v>
      </c>
      <c r="D9225" s="4" t="n">
        <v>10</v>
      </c>
      <c r="E9225" s="4" t="s">
        <v>4209</v>
      </c>
      <c r="F9225" s="4" t="n">
        <v>13</v>
      </c>
      <c r="G9225" s="4" t="n">
        <v>9</v>
      </c>
      <c r="H9225" s="4" t="n">
        <v>4</v>
      </c>
      <c r="I9225" s="4" t="str">
        <v>×</v>
      </c>
      <c r="J9225" s="4"/>
      <c r="K9225" s="4"/>
      <c r="L9225" s="4"/>
      <c r="M9225" s="5" t="s">
        <v>5346</v>
      </c>
    </row>
    <row r="9226" customFormat="false" ht="15.75" hidden="false" customHeight="false" outlineLevel="0" collapsed="false">
      <c r="A9226" s="6" t="n">
        <v>46173</v>
      </c>
      <c r="B9226" s="4" t="s">
        <v>5435</v>
      </c>
      <c r="C9226" s="4" t="n">
        <v>10</v>
      </c>
      <c r="D9226" s="4" t="n">
        <v>11</v>
      </c>
      <c r="E9226" s="4" t="s">
        <v>6146</v>
      </c>
      <c r="F9226" s="4" t="n">
        <v>10</v>
      </c>
      <c r="G9226" s="4" t="n">
        <v>10</v>
      </c>
      <c r="H9226" s="4" t="n">
        <v>4</v>
      </c>
      <c r="I9226" s="4" t="str">
        <v>×</v>
      </c>
      <c r="J9226" s="4"/>
      <c r="K9226" s="4"/>
      <c r="L9226" s="4"/>
      <c r="M9226" s="5" t="s">
        <v>5346</v>
      </c>
    </row>
    <row r="9227" customFormat="false" ht="15.75" hidden="false" customHeight="false" outlineLevel="0" collapsed="false">
      <c r="A9227" s="6" t="n">
        <v>46173</v>
      </c>
      <c r="B9227" s="4" t="s">
        <v>5435</v>
      </c>
      <c r="C9227" s="4" t="n">
        <v>10</v>
      </c>
      <c r="D9227" s="4" t="n">
        <v>12</v>
      </c>
      <c r="E9227" s="4" t="s">
        <v>3225</v>
      </c>
      <c r="F9227" s="4" t="n">
        <v>31</v>
      </c>
      <c r="G9227" s="4" t="n">
        <v>4</v>
      </c>
      <c r="H9227" s="4" t="n">
        <v>4</v>
      </c>
      <c r="I9227" s="4" t="str">
        <v>×</v>
      </c>
      <c r="J9227" s="4"/>
      <c r="K9227" s="4"/>
      <c r="L9227" s="4"/>
      <c r="M9227" s="5" t="s">
        <v>5346</v>
      </c>
    </row>
    <row r="9228" customFormat="false" ht="15.75" hidden="false" customHeight="false" outlineLevel="0" collapsed="false">
      <c r="A9228" s="6" t="n">
        <v>46173</v>
      </c>
      <c r="B9228" s="4" t="s">
        <v>5435</v>
      </c>
      <c r="C9228" s="4" t="n">
        <v>10</v>
      </c>
      <c r="D9228" s="4" t="n">
        <v>13</v>
      </c>
      <c r="E9228" s="4" t="s">
        <v>5117</v>
      </c>
      <c r="F9228" s="4" t="n">
        <v>13</v>
      </c>
      <c r="G9228" s="4" t="n">
        <v>9</v>
      </c>
      <c r="H9228" s="4" t="n">
        <v>4</v>
      </c>
      <c r="I9228" s="4" t="str">
        <v>×</v>
      </c>
      <c r="J9228" s="4"/>
      <c r="K9228" s="4"/>
      <c r="L9228" s="4"/>
      <c r="M9228" s="5" t="s">
        <v>5346</v>
      </c>
    </row>
    <row r="9229" customFormat="false" ht="15.75" hidden="false" customHeight="false" outlineLevel="0" collapsed="false">
      <c r="A9229" s="6" t="n">
        <v>46173</v>
      </c>
      <c r="B9229" s="4" t="s">
        <v>5435</v>
      </c>
      <c r="C9229" s="4" t="n">
        <v>10</v>
      </c>
      <c r="D9229" s="4" t="n">
        <v>14</v>
      </c>
      <c r="E9229" s="4" t="s">
        <v>5214</v>
      </c>
      <c r="F9229" s="4" t="n">
        <v>20</v>
      </c>
      <c r="G9229" s="4" t="n">
        <v>7</v>
      </c>
      <c r="H9229" s="4" t="n">
        <v>4</v>
      </c>
      <c r="I9229" s="4" t="str">
        <v>×</v>
      </c>
      <c r="J9229" s="4"/>
      <c r="K9229" s="4"/>
      <c r="L9229" s="4"/>
      <c r="M9229" s="5" t="s">
        <v>5346</v>
      </c>
    </row>
    <row r="9230" customFormat="false" ht="15.75" hidden="false" customHeight="false" outlineLevel="0" collapsed="false">
      <c r="A9230" s="6" t="n">
        <v>46173</v>
      </c>
      <c r="B9230" s="4" t="s">
        <v>5435</v>
      </c>
      <c r="C9230" s="4" t="n">
        <v>10</v>
      </c>
      <c r="D9230" s="4" t="n">
        <v>15</v>
      </c>
      <c r="E9230" s="4" t="s">
        <v>6147</v>
      </c>
      <c r="F9230" s="4" t="n">
        <v>6</v>
      </c>
      <c r="G9230" s="4" t="n">
        <v>12</v>
      </c>
      <c r="H9230" s="4" t="n">
        <v>4</v>
      </c>
      <c r="I9230" s="4" t="str">
        <v>×</v>
      </c>
      <c r="J9230" s="4"/>
      <c r="K9230" s="4"/>
      <c r="L9230" s="4"/>
      <c r="M9230" s="5" t="s">
        <v>5346</v>
      </c>
    </row>
    <row r="9231" customFormat="false" ht="15.75" hidden="false" customHeight="false" outlineLevel="0" collapsed="false">
      <c r="A9231" s="6" t="n">
        <v>46173</v>
      </c>
      <c r="B9231" s="4" t="s">
        <v>5435</v>
      </c>
      <c r="C9231" s="4" t="n">
        <v>10</v>
      </c>
      <c r="D9231" s="4" t="n">
        <v>16</v>
      </c>
      <c r="E9231" s="4" t="s">
        <v>6148</v>
      </c>
      <c r="F9231" s="4" t="n">
        <v>8</v>
      </c>
      <c r="G9231" s="4" t="n">
        <v>11</v>
      </c>
      <c r="H9231" s="4" t="n">
        <v>4</v>
      </c>
      <c r="I9231" s="4" t="str">
        <v>×</v>
      </c>
      <c r="J9231" s="4"/>
      <c r="K9231" s="4"/>
      <c r="L9231" s="4"/>
      <c r="M9231" s="5" t="s">
        <v>5346</v>
      </c>
    </row>
    <row r="9232" customFormat="false" ht="15.75" hidden="false" customHeight="false" outlineLevel="0" collapsed="false">
      <c r="A9232" s="6" t="n">
        <v>46173</v>
      </c>
      <c r="B9232" s="4" t="s">
        <v>5435</v>
      </c>
      <c r="C9232" s="4" t="n">
        <v>10</v>
      </c>
      <c r="D9232" s="4" t="n">
        <v>17</v>
      </c>
      <c r="E9232" s="4" t="s">
        <v>6149</v>
      </c>
      <c r="F9232" s="4" t="n">
        <v>25</v>
      </c>
      <c r="G9232" s="4" t="n">
        <v>5</v>
      </c>
      <c r="H9232" s="4" t="n">
        <v>1</v>
      </c>
      <c r="I9232" s="4" t="str">
        <v>○</v>
      </c>
      <c r="J9232" s="4" t="n">
        <v>430</v>
      </c>
      <c r="K9232" s="4"/>
      <c r="L9232" s="4"/>
      <c r="M9232" s="5" t="s">
        <v>5346</v>
      </c>
    </row>
    <row r="9233" customFormat="false" ht="15.75" hidden="false" customHeight="false" outlineLevel="0" collapsed="false">
      <c r="A9233" s="6" t="n">
        <v>46173</v>
      </c>
      <c r="B9233" s="4" t="s">
        <v>5435</v>
      </c>
      <c r="C9233" s="4" t="n">
        <v>11</v>
      </c>
      <c r="D9233" s="4" t="n">
        <v>1</v>
      </c>
      <c r="E9233" s="4" t="s">
        <v>6150</v>
      </c>
      <c r="F9233" s="4" t="n">
        <v>41</v>
      </c>
      <c r="G9233" s="4" t="n">
        <v>4</v>
      </c>
      <c r="H9233" s="4" t="n">
        <v>1</v>
      </c>
      <c r="I9233" s="4" t="str">
        <v>○</v>
      </c>
      <c r="J9233" s="4" t="n">
        <v>180</v>
      </c>
      <c r="K9233" s="4"/>
      <c r="L9233" s="4"/>
      <c r="M9233" s="5" t="s">
        <v>5346</v>
      </c>
    </row>
    <row r="9234" customFormat="false" ht="15.75" hidden="false" customHeight="false" outlineLevel="0" collapsed="false">
      <c r="A9234" s="6" t="n">
        <v>46173</v>
      </c>
      <c r="B9234" s="4" t="s">
        <v>5435</v>
      </c>
      <c r="C9234" s="4" t="n">
        <v>11</v>
      </c>
      <c r="D9234" s="4" t="n">
        <v>2</v>
      </c>
      <c r="E9234" s="4" t="s">
        <v>6151</v>
      </c>
      <c r="F9234" s="4" t="n">
        <v>60</v>
      </c>
      <c r="G9234" s="4" t="n">
        <v>1</v>
      </c>
      <c r="H9234" s="4" t="n">
        <v>4</v>
      </c>
      <c r="I9234" s="4" t="str">
        <v>×</v>
      </c>
      <c r="J9234" s="4"/>
      <c r="K9234" s="4"/>
      <c r="L9234" s="4"/>
      <c r="M9234" s="5" t="s">
        <v>5346</v>
      </c>
    </row>
    <row r="9235" customFormat="false" ht="15.75" hidden="false" customHeight="false" outlineLevel="0" collapsed="false">
      <c r="A9235" s="6" t="n">
        <v>46173</v>
      </c>
      <c r="B9235" s="4" t="s">
        <v>5435</v>
      </c>
      <c r="C9235" s="4" t="n">
        <v>11</v>
      </c>
      <c r="D9235" s="4" t="n">
        <v>3</v>
      </c>
      <c r="E9235" s="4" t="s">
        <v>5463</v>
      </c>
      <c r="F9235" s="4" t="n">
        <v>2</v>
      </c>
      <c r="G9235" s="4" t="n">
        <v>9</v>
      </c>
      <c r="H9235" s="4" t="n">
        <v>4</v>
      </c>
      <c r="I9235" s="4" t="str">
        <v>×</v>
      </c>
      <c r="J9235" s="4"/>
      <c r="K9235" s="4"/>
      <c r="L9235" s="4"/>
      <c r="M9235" s="5" t="s">
        <v>5346</v>
      </c>
    </row>
    <row r="9236" customFormat="false" ht="15.75" hidden="false" customHeight="false" outlineLevel="0" collapsed="false">
      <c r="A9236" s="6" t="n">
        <v>46173</v>
      </c>
      <c r="B9236" s="4" t="s">
        <v>5435</v>
      </c>
      <c r="C9236" s="4" t="n">
        <v>11</v>
      </c>
      <c r="D9236" s="4" t="n">
        <v>4</v>
      </c>
      <c r="E9236" s="4" t="s">
        <v>5193</v>
      </c>
      <c r="F9236" s="4" t="n">
        <v>44</v>
      </c>
      <c r="G9236" s="4" t="n">
        <v>3</v>
      </c>
      <c r="H9236" s="4" t="n">
        <v>3</v>
      </c>
      <c r="I9236" s="4" t="str">
        <v>○</v>
      </c>
      <c r="J9236" s="4" t="n">
        <v>160</v>
      </c>
      <c r="K9236" s="4"/>
      <c r="L9236" s="4"/>
      <c r="M9236" s="5" t="s">
        <v>5346</v>
      </c>
    </row>
    <row r="9237" customFormat="false" ht="15.75" hidden="false" customHeight="false" outlineLevel="0" collapsed="false">
      <c r="A9237" s="6" t="n">
        <v>46173</v>
      </c>
      <c r="B9237" s="4" t="s">
        <v>5435</v>
      </c>
      <c r="C9237" s="4" t="n">
        <v>11</v>
      </c>
      <c r="D9237" s="4" t="n">
        <v>5</v>
      </c>
      <c r="E9237" s="4" t="s">
        <v>6152</v>
      </c>
      <c r="F9237" s="4" t="n">
        <v>13</v>
      </c>
      <c r="G9237" s="4" t="n">
        <v>8</v>
      </c>
      <c r="H9237" s="4" t="n">
        <v>4</v>
      </c>
      <c r="I9237" s="4" t="str">
        <v>×</v>
      </c>
      <c r="J9237" s="4"/>
      <c r="K9237" s="4"/>
      <c r="L9237" s="4"/>
      <c r="M9237" s="5" t="s">
        <v>5346</v>
      </c>
    </row>
    <row r="9238" customFormat="false" ht="15.75" hidden="false" customHeight="false" outlineLevel="0" collapsed="false">
      <c r="A9238" s="6" t="n">
        <v>46173</v>
      </c>
      <c r="B9238" s="4" t="s">
        <v>5435</v>
      </c>
      <c r="C9238" s="4" t="n">
        <v>11</v>
      </c>
      <c r="D9238" s="4" t="n">
        <v>6</v>
      </c>
      <c r="E9238" s="4" t="s">
        <v>3206</v>
      </c>
      <c r="F9238" s="4" t="n">
        <v>31</v>
      </c>
      <c r="G9238" s="4" t="n">
        <v>6</v>
      </c>
      <c r="H9238" s="4" t="n">
        <v>4</v>
      </c>
      <c r="I9238" s="4" t="str">
        <v>×</v>
      </c>
      <c r="J9238" s="4"/>
      <c r="K9238" s="4"/>
      <c r="L9238" s="4"/>
      <c r="M9238" s="5" t="s">
        <v>5346</v>
      </c>
    </row>
    <row r="9239" customFormat="false" ht="15.75" hidden="false" customHeight="false" outlineLevel="0" collapsed="false">
      <c r="A9239" s="6" t="n">
        <v>46173</v>
      </c>
      <c r="B9239" s="4" t="s">
        <v>5435</v>
      </c>
      <c r="C9239" s="4" t="n">
        <v>11</v>
      </c>
      <c r="D9239" s="4" t="n">
        <v>7</v>
      </c>
      <c r="E9239" s="4" t="s">
        <v>6153</v>
      </c>
      <c r="F9239" s="4" t="n">
        <v>23</v>
      </c>
      <c r="G9239" s="4" t="n">
        <v>7</v>
      </c>
      <c r="H9239" s="4" t="n">
        <v>2</v>
      </c>
      <c r="I9239" s="4" t="str">
        <v>○</v>
      </c>
      <c r="J9239" s="4" t="n">
        <v>290</v>
      </c>
      <c r="K9239" s="4"/>
      <c r="L9239" s="4"/>
      <c r="M9239" s="5" t="s">
        <v>5346</v>
      </c>
    </row>
    <row r="9240" customFormat="false" ht="15.75" hidden="false" customHeight="false" outlineLevel="0" collapsed="false">
      <c r="A9240" s="6" t="n">
        <v>46173</v>
      </c>
      <c r="B9240" s="4" t="s">
        <v>5435</v>
      </c>
      <c r="C9240" s="4" t="n">
        <v>11</v>
      </c>
      <c r="D9240" s="4" t="n">
        <v>8</v>
      </c>
      <c r="E9240" s="4" t="s">
        <v>6154</v>
      </c>
      <c r="F9240" s="4" t="n">
        <v>50</v>
      </c>
      <c r="G9240" s="4" t="n">
        <v>2</v>
      </c>
      <c r="H9240" s="4" t="n">
        <v>4</v>
      </c>
      <c r="I9240" s="4" t="str">
        <v>×</v>
      </c>
      <c r="J9240" s="4"/>
      <c r="K9240" s="4"/>
      <c r="L9240" s="4"/>
      <c r="M9240" s="5" t="s">
        <v>5346</v>
      </c>
    </row>
    <row r="9241" customFormat="false" ht="15.75" hidden="false" customHeight="false" outlineLevel="0" collapsed="false">
      <c r="A9241" s="6" t="n">
        <v>46173</v>
      </c>
      <c r="B9241" s="4" t="s">
        <v>5435</v>
      </c>
      <c r="C9241" s="4" t="n">
        <v>11</v>
      </c>
      <c r="D9241" s="4" t="n">
        <v>9</v>
      </c>
      <c r="E9241" s="4" t="s">
        <v>764</v>
      </c>
      <c r="F9241" s="4" t="n">
        <v>34</v>
      </c>
      <c r="G9241" s="4" t="n">
        <v>5</v>
      </c>
      <c r="H9241" s="4" t="n">
        <v>4</v>
      </c>
      <c r="I9241" s="4" t="str">
        <v>×</v>
      </c>
      <c r="J9241" s="4"/>
      <c r="K9241" s="4"/>
      <c r="L9241" s="4"/>
      <c r="M9241" s="5" t="s">
        <v>5346</v>
      </c>
    </row>
    <row r="9242" customFormat="false" ht="15.75" hidden="false" customHeight="false" outlineLevel="0" collapsed="false">
      <c r="A9242" s="6" t="n">
        <v>46173</v>
      </c>
      <c r="B9242" s="4" t="s">
        <v>5435</v>
      </c>
      <c r="C9242" s="4" t="n">
        <v>12</v>
      </c>
      <c r="D9242" s="4" t="n">
        <v>1</v>
      </c>
      <c r="E9242" s="4" t="s">
        <v>6155</v>
      </c>
      <c r="F9242" s="4" t="n">
        <v>10</v>
      </c>
      <c r="G9242" s="4" t="n">
        <v>8</v>
      </c>
      <c r="H9242" s="4" t="n">
        <v>4</v>
      </c>
      <c r="I9242" s="4" t="str">
        <v>×</v>
      </c>
      <c r="J9242" s="4"/>
      <c r="K9242" s="4"/>
      <c r="L9242" s="4"/>
      <c r="M9242" s="5" t="s">
        <v>5346</v>
      </c>
    </row>
    <row r="9243" customFormat="false" ht="15.75" hidden="false" customHeight="false" outlineLevel="0" collapsed="false">
      <c r="A9243" s="6" t="n">
        <v>46173</v>
      </c>
      <c r="B9243" s="4" t="s">
        <v>5435</v>
      </c>
      <c r="C9243" s="4" t="n">
        <v>12</v>
      </c>
      <c r="D9243" s="4" t="n">
        <v>2</v>
      </c>
      <c r="E9243" s="4" t="s">
        <v>6156</v>
      </c>
      <c r="F9243" s="4" t="n">
        <v>13</v>
      </c>
      <c r="G9243" s="4" t="n">
        <v>7</v>
      </c>
      <c r="H9243" s="4" t="n">
        <v>4</v>
      </c>
      <c r="I9243" s="4" t="str">
        <v>×</v>
      </c>
      <c r="J9243" s="4"/>
      <c r="K9243" s="4"/>
      <c r="L9243" s="4"/>
      <c r="M9243" s="5" t="s">
        <v>5346</v>
      </c>
    </row>
    <row r="9244" customFormat="false" ht="15.75" hidden="false" customHeight="false" outlineLevel="0" collapsed="false">
      <c r="A9244" s="6" t="n">
        <v>46173</v>
      </c>
      <c r="B9244" s="4" t="s">
        <v>5435</v>
      </c>
      <c r="C9244" s="4" t="n">
        <v>12</v>
      </c>
      <c r="D9244" s="4" t="n">
        <v>3</v>
      </c>
      <c r="E9244" s="4" t="s">
        <v>6157</v>
      </c>
      <c r="F9244" s="4" t="n">
        <v>25</v>
      </c>
      <c r="G9244" s="4" t="n">
        <v>4</v>
      </c>
      <c r="H9244" s="4" t="n">
        <v>4</v>
      </c>
      <c r="I9244" s="4" t="str">
        <v>×</v>
      </c>
      <c r="J9244" s="4"/>
      <c r="K9244" s="4"/>
      <c r="L9244" s="4"/>
      <c r="M9244" s="5" t="s">
        <v>5346</v>
      </c>
    </row>
    <row r="9245" customFormat="false" ht="15.75" hidden="false" customHeight="false" outlineLevel="0" collapsed="false">
      <c r="A9245" s="6" t="n">
        <v>46173</v>
      </c>
      <c r="B9245" s="4" t="s">
        <v>5435</v>
      </c>
      <c r="C9245" s="4" t="n">
        <v>12</v>
      </c>
      <c r="D9245" s="4" t="n">
        <v>4</v>
      </c>
      <c r="E9245" s="4" t="s">
        <v>101</v>
      </c>
      <c r="F9245" s="4" t="n">
        <v>2</v>
      </c>
      <c r="G9245" s="4" t="n">
        <v>11</v>
      </c>
      <c r="H9245" s="4" t="n">
        <v>4</v>
      </c>
      <c r="I9245" s="4" t="str">
        <v>×</v>
      </c>
      <c r="J9245" s="4"/>
      <c r="K9245" s="4"/>
      <c r="L9245" s="4"/>
      <c r="M9245" s="5" t="s">
        <v>5346</v>
      </c>
    </row>
    <row r="9246" customFormat="false" ht="15.75" hidden="false" customHeight="false" outlineLevel="0" collapsed="false">
      <c r="A9246" s="6" t="n">
        <v>46173</v>
      </c>
      <c r="B9246" s="4" t="s">
        <v>5435</v>
      </c>
      <c r="C9246" s="4" t="n">
        <v>12</v>
      </c>
      <c r="D9246" s="4" t="n">
        <v>5</v>
      </c>
      <c r="E9246" s="4" t="s">
        <v>6158</v>
      </c>
      <c r="F9246" s="4" t="n">
        <v>6</v>
      </c>
      <c r="G9246" s="4" t="n">
        <v>9</v>
      </c>
      <c r="H9246" s="4" t="n">
        <v>4</v>
      </c>
      <c r="I9246" s="4" t="str">
        <v>×</v>
      </c>
      <c r="J9246" s="4"/>
      <c r="K9246" s="4"/>
      <c r="L9246" s="4"/>
      <c r="M9246" s="5" t="s">
        <v>5346</v>
      </c>
    </row>
    <row r="9247" customFormat="false" ht="15.75" hidden="false" customHeight="false" outlineLevel="0" collapsed="false">
      <c r="A9247" s="6" t="n">
        <v>46173</v>
      </c>
      <c r="B9247" s="4" t="s">
        <v>5435</v>
      </c>
      <c r="C9247" s="4" t="n">
        <v>12</v>
      </c>
      <c r="D9247" s="4" t="n">
        <v>6</v>
      </c>
      <c r="E9247" s="4" t="s">
        <v>103</v>
      </c>
      <c r="F9247" s="4" t="n">
        <v>15</v>
      </c>
      <c r="G9247" s="4" t="n">
        <v>6</v>
      </c>
      <c r="H9247" s="4" t="n">
        <v>2</v>
      </c>
      <c r="I9247" s="4" t="str">
        <v>○</v>
      </c>
      <c r="J9247" s="4" t="n">
        <v>490</v>
      </c>
      <c r="K9247" s="4"/>
      <c r="L9247" s="4"/>
      <c r="M9247" s="5" t="s">
        <v>5346</v>
      </c>
    </row>
    <row r="9248" customFormat="false" ht="15.75" hidden="false" customHeight="false" outlineLevel="0" collapsed="false">
      <c r="A9248" s="6" t="n">
        <v>46173</v>
      </c>
      <c r="B9248" s="4" t="s">
        <v>5435</v>
      </c>
      <c r="C9248" s="4" t="n">
        <v>12</v>
      </c>
      <c r="D9248" s="4" t="n">
        <v>7</v>
      </c>
      <c r="E9248" s="4" t="s">
        <v>90</v>
      </c>
      <c r="F9248" s="4" t="n">
        <v>31</v>
      </c>
      <c r="G9248" s="4" t="n">
        <v>3</v>
      </c>
      <c r="H9248" s="4" t="n">
        <v>3</v>
      </c>
      <c r="I9248" s="4" t="str">
        <v>○</v>
      </c>
      <c r="J9248" s="4" t="n">
        <v>400</v>
      </c>
      <c r="K9248" s="4"/>
      <c r="L9248" s="4"/>
      <c r="M9248" s="5" t="s">
        <v>5346</v>
      </c>
    </row>
    <row r="9249" customFormat="false" ht="15.75" hidden="false" customHeight="false" outlineLevel="0" collapsed="false">
      <c r="A9249" s="6" t="n">
        <v>46173</v>
      </c>
      <c r="B9249" s="4" t="s">
        <v>5435</v>
      </c>
      <c r="C9249" s="4" t="n">
        <v>12</v>
      </c>
      <c r="D9249" s="4" t="n">
        <v>8</v>
      </c>
      <c r="E9249" s="4" t="s">
        <v>4206</v>
      </c>
      <c r="F9249" s="4" t="n">
        <v>58</v>
      </c>
      <c r="G9249" s="4" t="n">
        <v>1</v>
      </c>
      <c r="H9249" s="4" t="n">
        <v>1</v>
      </c>
      <c r="I9249" s="4" t="str">
        <v>○</v>
      </c>
      <c r="J9249" s="4" t="n">
        <v>190</v>
      </c>
      <c r="K9249" s="4"/>
      <c r="L9249" s="4"/>
      <c r="M9249" s="5" t="s">
        <v>5346</v>
      </c>
    </row>
    <row r="9250" customFormat="false" ht="15.75" hidden="false" customHeight="false" outlineLevel="0" collapsed="false">
      <c r="A9250" s="6" t="n">
        <v>46173</v>
      </c>
      <c r="B9250" s="4" t="s">
        <v>5435</v>
      </c>
      <c r="C9250" s="4" t="n">
        <v>12</v>
      </c>
      <c r="D9250" s="4" t="n">
        <v>9</v>
      </c>
      <c r="E9250" s="4" t="s">
        <v>6159</v>
      </c>
      <c r="F9250" s="4" t="n">
        <v>34</v>
      </c>
      <c r="G9250" s="4" t="n">
        <v>2</v>
      </c>
      <c r="H9250" s="4" t="n">
        <v>4</v>
      </c>
      <c r="I9250" s="4" t="str">
        <v>×</v>
      </c>
      <c r="J9250" s="4"/>
      <c r="K9250" s="4"/>
      <c r="L9250" s="4"/>
      <c r="M9250" s="5" t="s">
        <v>5346</v>
      </c>
    </row>
    <row r="9251" customFormat="false" ht="15.75" hidden="false" customHeight="false" outlineLevel="0" collapsed="false">
      <c r="A9251" s="6" t="n">
        <v>46173</v>
      </c>
      <c r="B9251" s="4" t="s">
        <v>5435</v>
      </c>
      <c r="C9251" s="4" t="n">
        <v>12</v>
      </c>
      <c r="D9251" s="4" t="n">
        <v>10</v>
      </c>
      <c r="E9251" s="4" t="s">
        <v>1218</v>
      </c>
      <c r="F9251" s="4" t="n">
        <v>4</v>
      </c>
      <c r="G9251" s="4" t="n">
        <v>10</v>
      </c>
      <c r="H9251" s="4" t="n">
        <v>4</v>
      </c>
      <c r="I9251" s="4" t="str">
        <v>×</v>
      </c>
      <c r="J9251" s="4"/>
      <c r="K9251" s="4"/>
      <c r="L9251" s="4"/>
      <c r="M9251" s="5" t="s">
        <v>5346</v>
      </c>
    </row>
    <row r="9252" customFormat="false" ht="15.75" hidden="false" customHeight="false" outlineLevel="0" collapsed="false">
      <c r="A9252" s="6" t="n">
        <v>46173</v>
      </c>
      <c r="B9252" s="4" t="s">
        <v>5435</v>
      </c>
      <c r="C9252" s="4" t="n">
        <v>12</v>
      </c>
      <c r="D9252" s="4" t="n">
        <v>11</v>
      </c>
      <c r="E9252" s="4" t="s">
        <v>6160</v>
      </c>
      <c r="F9252" s="4" t="n">
        <v>23</v>
      </c>
      <c r="G9252" s="4" t="n">
        <v>5</v>
      </c>
      <c r="H9252" s="4" t="n">
        <v>4</v>
      </c>
      <c r="I9252" s="4" t="str">
        <v>×</v>
      </c>
      <c r="J9252" s="4"/>
      <c r="K9252" s="4"/>
      <c r="L9252" s="4"/>
      <c r="M9252" s="5" t="s">
        <v>5346</v>
      </c>
    </row>
    <row r="9253" customFormat="false" ht="15.75" hidden="false" customHeight="false" outlineLevel="0" collapsed="false">
      <c r="A9253" s="6" t="n">
        <v>46173</v>
      </c>
      <c r="B9253" s="4" t="s">
        <v>5435</v>
      </c>
      <c r="C9253" s="4" t="n">
        <v>12</v>
      </c>
      <c r="D9253" s="4" t="n">
        <v>12</v>
      </c>
      <c r="E9253" s="4" t="s">
        <v>3645</v>
      </c>
      <c r="F9253" s="4" t="n">
        <v>34</v>
      </c>
      <c r="G9253" s="4" t="n">
        <v>2</v>
      </c>
      <c r="H9253" s="4" t="n">
        <v>4</v>
      </c>
      <c r="I9253" s="4" t="str">
        <v>×</v>
      </c>
      <c r="J9253" s="4"/>
      <c r="K9253" s="4"/>
      <c r="L9253" s="4"/>
      <c r="M9253" s="5" t="s">
        <v>5346</v>
      </c>
    </row>
    <row r="9254" customFormat="false" ht="15.75" hidden="false" customHeight="false" outlineLevel="0" collapsed="false">
      <c r="A9254" s="6" t="n">
        <v>46173</v>
      </c>
      <c r="B9254" s="4" t="s">
        <v>5435</v>
      </c>
      <c r="C9254" s="4" t="n">
        <v>12</v>
      </c>
      <c r="D9254" s="4" t="n">
        <v>13</v>
      </c>
      <c r="E9254" s="4" t="s">
        <v>6161</v>
      </c>
      <c r="F9254" s="4" t="n">
        <v>13</v>
      </c>
      <c r="G9254" s="4" t="n">
        <v>7</v>
      </c>
      <c r="H9254" s="4" t="n">
        <v>4</v>
      </c>
      <c r="I9254" s="4" t="str">
        <v>×</v>
      </c>
      <c r="J9254" s="4"/>
      <c r="K9254" s="4"/>
      <c r="L9254" s="4"/>
      <c r="M9254" s="5" t="s">
        <v>5346</v>
      </c>
    </row>
    <row r="9255" customFormat="false" ht="15.75" hidden="false" customHeight="false" outlineLevel="0" collapsed="false">
      <c r="A9255" s="6" t="n">
        <v>46173</v>
      </c>
      <c r="B9255" s="4" t="s">
        <v>5435</v>
      </c>
      <c r="C9255" s="4" t="n">
        <v>12</v>
      </c>
      <c r="D9255" s="4" t="n">
        <v>14</v>
      </c>
      <c r="E9255" s="4" t="s">
        <v>6162</v>
      </c>
      <c r="F9255" s="4" t="n">
        <v>10</v>
      </c>
      <c r="G9255" s="4" t="n">
        <v>8</v>
      </c>
      <c r="H9255" s="4" t="n">
        <v>4</v>
      </c>
      <c r="I9255" s="4" t="str">
        <v>×</v>
      </c>
      <c r="J9255" s="4"/>
      <c r="K9255" s="4"/>
      <c r="L9255" s="4"/>
      <c r="M9255" s="5" t="s">
        <v>5346</v>
      </c>
    </row>
    <row r="9256" customFormat="false" ht="15.75" hidden="false" customHeight="false" outlineLevel="0" collapsed="false">
      <c r="A9256" s="6" t="n">
        <v>46173</v>
      </c>
      <c r="B9256" s="4" t="s">
        <v>5435</v>
      </c>
      <c r="C9256" s="4" t="n">
        <v>12</v>
      </c>
      <c r="D9256" s="4" t="n">
        <v>15</v>
      </c>
      <c r="E9256" s="4" t="s">
        <v>6163</v>
      </c>
      <c r="F9256" s="4" t="n">
        <v>25</v>
      </c>
      <c r="G9256" s="4" t="n">
        <v>4</v>
      </c>
      <c r="H9256" s="4" t="n">
        <v>4</v>
      </c>
      <c r="I9256" s="4" t="str">
        <v>×</v>
      </c>
      <c r="J9256" s="4"/>
      <c r="K9256" s="4"/>
      <c r="L9256" s="4"/>
      <c r="M9256" s="5" t="s">
        <v>5346</v>
      </c>
    </row>
    <row r="9257" customFormat="false" ht="15.75" hidden="false" customHeight="false" outlineLevel="0" collapsed="false">
      <c r="A9257" s="6" t="n">
        <v>46173</v>
      </c>
      <c r="B9257" s="4" t="s">
        <v>5435</v>
      </c>
      <c r="C9257" s="4" t="n">
        <v>12</v>
      </c>
      <c r="D9257" s="4" t="n">
        <v>16</v>
      </c>
      <c r="E9257" s="4" t="s">
        <v>1073</v>
      </c>
      <c r="F9257" s="4" t="n">
        <v>6</v>
      </c>
      <c r="G9257" s="4" t="n">
        <v>9</v>
      </c>
      <c r="H9257" s="4" t="n">
        <v>4</v>
      </c>
      <c r="I9257" s="4" t="str">
        <v>×</v>
      </c>
      <c r="J9257" s="4"/>
      <c r="K9257" s="4"/>
      <c r="L9257" s="4"/>
      <c r="M9257" s="5" t="s">
        <v>5346</v>
      </c>
    </row>
    <row r="9258" customFormat="false" ht="15.75" hidden="false" customHeight="false" outlineLevel="0" collapsed="false">
      <c r="A9258" s="6" t="n">
        <v>46173</v>
      </c>
      <c r="B9258" s="4" t="s">
        <v>5435</v>
      </c>
      <c r="C9258" s="4" t="n">
        <v>12</v>
      </c>
      <c r="D9258" s="4" t="n">
        <v>17</v>
      </c>
      <c r="E9258" s="4" t="s">
        <v>6164</v>
      </c>
      <c r="F9258" s="4" t="n">
        <v>10</v>
      </c>
      <c r="G9258" s="4" t="n">
        <v>8</v>
      </c>
      <c r="H9258" s="4" t="n">
        <v>4</v>
      </c>
      <c r="I9258" s="4" t="str">
        <v>×</v>
      </c>
      <c r="J9258" s="4"/>
      <c r="K9258" s="4"/>
      <c r="L9258" s="4"/>
      <c r="M9258" s="5" t="s">
        <v>5346</v>
      </c>
    </row>
    <row r="9259" customFormat="false" ht="15.75" hidden="false" customHeight="false" outlineLevel="0" collapsed="false">
      <c r="A9259" s="6" t="n">
        <v>46173</v>
      </c>
      <c r="B9259" s="4" t="s">
        <v>5435</v>
      </c>
      <c r="C9259" s="4" t="n">
        <v>12</v>
      </c>
      <c r="D9259" s="4" t="n">
        <v>18</v>
      </c>
      <c r="E9259" s="4" t="s">
        <v>3487</v>
      </c>
      <c r="F9259" s="4" t="n">
        <v>15</v>
      </c>
      <c r="G9259" s="4" t="n">
        <v>6</v>
      </c>
      <c r="H9259" s="4" t="n">
        <v>4</v>
      </c>
      <c r="I9259" s="4" t="str">
        <v>×</v>
      </c>
      <c r="J9259" s="4"/>
      <c r="K9259" s="4"/>
      <c r="L9259" s="4"/>
      <c r="M9259" s="5" t="s">
        <v>5346</v>
      </c>
    </row>
    <row r="9260" customFormat="false" ht="15.75" hidden="false" customHeight="false" outlineLevel="0" collapsed="false">
      <c r="A9260" s="6" t="n">
        <v>46158</v>
      </c>
      <c r="B9260" s="4" t="s">
        <v>4473</v>
      </c>
      <c r="C9260" s="4" t="n">
        <v>1</v>
      </c>
      <c r="D9260" s="4" t="n">
        <v>1</v>
      </c>
      <c r="E9260" s="4" t="s">
        <v>6165</v>
      </c>
      <c r="F9260" s="4" t="n">
        <v>56</v>
      </c>
      <c r="G9260" s="4" t="n">
        <v>1</v>
      </c>
      <c r="H9260" s="4" t="n">
        <v>1</v>
      </c>
      <c r="I9260" s="4" t="str">
        <v>○</v>
      </c>
      <c r="J9260" s="4" t="n">
        <v>150</v>
      </c>
      <c r="K9260" s="4"/>
      <c r="L9260" s="4"/>
      <c r="M9260" s="5" t="s">
        <v>6166</v>
      </c>
    </row>
    <row r="9261" customFormat="false" ht="15.75" hidden="false" customHeight="false" outlineLevel="0" collapsed="false">
      <c r="A9261" s="6" t="n">
        <v>46158</v>
      </c>
      <c r="B9261" s="4" t="s">
        <v>4473</v>
      </c>
      <c r="C9261" s="4" t="n">
        <v>1</v>
      </c>
      <c r="D9261" s="4" t="n">
        <v>2</v>
      </c>
      <c r="E9261" s="4" t="s">
        <v>6167</v>
      </c>
      <c r="F9261" s="4" t="n">
        <v>4</v>
      </c>
      <c r="G9261" s="4" t="n">
        <v>10</v>
      </c>
      <c r="H9261" s="4" t="n">
        <v>4</v>
      </c>
      <c r="I9261" s="4" t="str">
        <v>×</v>
      </c>
      <c r="J9261" s="4"/>
      <c r="K9261" s="4"/>
      <c r="L9261" s="4"/>
      <c r="M9261" s="5" t="s">
        <v>6166</v>
      </c>
    </row>
    <row r="9262" customFormat="false" ht="15.75" hidden="false" customHeight="false" outlineLevel="0" collapsed="false">
      <c r="A9262" s="6" t="n">
        <v>46158</v>
      </c>
      <c r="B9262" s="4" t="s">
        <v>4473</v>
      </c>
      <c r="C9262" s="4" t="n">
        <v>1</v>
      </c>
      <c r="D9262" s="4" t="n">
        <v>3</v>
      </c>
      <c r="E9262" s="4" t="s">
        <v>4899</v>
      </c>
      <c r="F9262" s="4" t="n">
        <v>20</v>
      </c>
      <c r="G9262" s="4" t="n">
        <v>5</v>
      </c>
      <c r="H9262" s="4" t="n">
        <v>3</v>
      </c>
      <c r="I9262" s="4" t="str">
        <v>○</v>
      </c>
      <c r="J9262" s="4" t="n">
        <v>280</v>
      </c>
      <c r="K9262" s="4"/>
      <c r="L9262" s="4"/>
      <c r="M9262" s="5" t="s">
        <v>6166</v>
      </c>
    </row>
    <row r="9263" customFormat="false" ht="15.75" hidden="false" customHeight="false" outlineLevel="0" collapsed="false">
      <c r="A9263" s="6" t="n">
        <v>46158</v>
      </c>
      <c r="B9263" s="4" t="s">
        <v>4473</v>
      </c>
      <c r="C9263" s="4" t="n">
        <v>1</v>
      </c>
      <c r="D9263" s="4" t="n">
        <v>4</v>
      </c>
      <c r="E9263" s="4" t="s">
        <v>1424</v>
      </c>
      <c r="F9263" s="4" t="n">
        <v>47</v>
      </c>
      <c r="G9263" s="4" t="n">
        <v>2</v>
      </c>
      <c r="H9263" s="4" t="n">
        <v>4</v>
      </c>
      <c r="I9263" s="4" t="str">
        <v>×</v>
      </c>
      <c r="J9263" s="4"/>
      <c r="K9263" s="4"/>
      <c r="L9263" s="4"/>
      <c r="M9263" s="5" t="s">
        <v>6166</v>
      </c>
    </row>
    <row r="9264" customFormat="false" ht="15.75" hidden="false" customHeight="false" outlineLevel="0" collapsed="false">
      <c r="A9264" s="6" t="n">
        <v>46158</v>
      </c>
      <c r="B9264" s="4" t="s">
        <v>4473</v>
      </c>
      <c r="C9264" s="4" t="n">
        <v>1</v>
      </c>
      <c r="D9264" s="4" t="n">
        <v>5</v>
      </c>
      <c r="E9264" s="4" t="s">
        <v>2344</v>
      </c>
      <c r="F9264" s="4" t="n">
        <v>6</v>
      </c>
      <c r="G9264" s="4" t="n">
        <v>9</v>
      </c>
      <c r="H9264" s="4" t="n">
        <v>4</v>
      </c>
      <c r="I9264" s="4" t="str">
        <v>×</v>
      </c>
      <c r="J9264" s="4"/>
      <c r="K9264" s="4"/>
      <c r="L9264" s="4"/>
      <c r="M9264" s="5" t="s">
        <v>6166</v>
      </c>
    </row>
    <row r="9265" customFormat="false" ht="15.75" hidden="false" customHeight="false" outlineLevel="0" collapsed="false">
      <c r="A9265" s="6" t="n">
        <v>46158</v>
      </c>
      <c r="B9265" s="4" t="s">
        <v>4473</v>
      </c>
      <c r="C9265" s="4" t="n">
        <v>1</v>
      </c>
      <c r="D9265" s="4" t="n">
        <v>6</v>
      </c>
      <c r="E9265" s="4" t="s">
        <v>4718</v>
      </c>
      <c r="F9265" s="4" t="n">
        <v>4</v>
      </c>
      <c r="G9265" s="4" t="n">
        <v>10</v>
      </c>
      <c r="H9265" s="4" t="n">
        <v>4</v>
      </c>
      <c r="I9265" s="4" t="str">
        <v>×</v>
      </c>
      <c r="J9265" s="4"/>
      <c r="K9265" s="4"/>
      <c r="L9265" s="4"/>
      <c r="M9265" s="5" t="s">
        <v>6166</v>
      </c>
    </row>
    <row r="9266" customFormat="false" ht="15.75" hidden="false" customHeight="false" outlineLevel="0" collapsed="false">
      <c r="A9266" s="6" t="n">
        <v>46158</v>
      </c>
      <c r="B9266" s="4" t="s">
        <v>4473</v>
      </c>
      <c r="C9266" s="4" t="n">
        <v>1</v>
      </c>
      <c r="D9266" s="4" t="n">
        <v>7</v>
      </c>
      <c r="E9266" s="4" t="s">
        <v>1306</v>
      </c>
      <c r="F9266" s="4" t="n">
        <v>39</v>
      </c>
      <c r="G9266" s="4" t="n">
        <v>3</v>
      </c>
      <c r="H9266" s="4" t="n">
        <v>4</v>
      </c>
      <c r="I9266" s="4" t="str">
        <v>×</v>
      </c>
      <c r="J9266" s="4"/>
      <c r="K9266" s="4"/>
      <c r="L9266" s="4"/>
      <c r="M9266" s="5" t="s">
        <v>6166</v>
      </c>
    </row>
    <row r="9267" customFormat="false" ht="15.75" hidden="false" customHeight="false" outlineLevel="0" collapsed="false">
      <c r="A9267" s="6" t="n">
        <v>46158</v>
      </c>
      <c r="B9267" s="4" t="s">
        <v>4473</v>
      </c>
      <c r="C9267" s="4" t="n">
        <v>1</v>
      </c>
      <c r="D9267" s="4" t="n">
        <v>8</v>
      </c>
      <c r="E9267" s="4" t="s">
        <v>6168</v>
      </c>
      <c r="F9267" s="4" t="n">
        <v>2</v>
      </c>
      <c r="G9267" s="4" t="n">
        <v>11</v>
      </c>
      <c r="H9267" s="4" t="n">
        <v>4</v>
      </c>
      <c r="I9267" s="4" t="str">
        <v>×</v>
      </c>
      <c r="J9267" s="4"/>
      <c r="K9267" s="4"/>
      <c r="L9267" s="4"/>
      <c r="M9267" s="5" t="s">
        <v>6166</v>
      </c>
    </row>
    <row r="9268" customFormat="false" ht="15.75" hidden="false" customHeight="false" outlineLevel="0" collapsed="false">
      <c r="A9268" s="6" t="n">
        <v>46158</v>
      </c>
      <c r="B9268" s="4" t="s">
        <v>4473</v>
      </c>
      <c r="C9268" s="4" t="n">
        <v>1</v>
      </c>
      <c r="D9268" s="4" t="n">
        <v>9</v>
      </c>
      <c r="E9268" s="4" t="s">
        <v>3032</v>
      </c>
      <c r="F9268" s="4" t="n">
        <v>17</v>
      </c>
      <c r="G9268" s="4" t="n">
        <v>6</v>
      </c>
      <c r="H9268" s="4" t="n">
        <v>4</v>
      </c>
      <c r="I9268" s="4" t="str">
        <v>×</v>
      </c>
      <c r="J9268" s="4"/>
      <c r="K9268" s="4"/>
      <c r="L9268" s="4"/>
      <c r="M9268" s="5" t="s">
        <v>6166</v>
      </c>
    </row>
    <row r="9269" customFormat="false" ht="15.75" hidden="false" customHeight="false" outlineLevel="0" collapsed="false">
      <c r="A9269" s="6" t="n">
        <v>46158</v>
      </c>
      <c r="B9269" s="4" t="s">
        <v>4473</v>
      </c>
      <c r="C9269" s="4" t="n">
        <v>1</v>
      </c>
      <c r="D9269" s="4" t="n">
        <v>10</v>
      </c>
      <c r="E9269" s="4" t="s">
        <v>140</v>
      </c>
      <c r="F9269" s="4" t="n">
        <v>37</v>
      </c>
      <c r="G9269" s="4" t="n">
        <v>4</v>
      </c>
      <c r="H9269" s="4" t="n">
        <v>2</v>
      </c>
      <c r="I9269" s="4" t="str">
        <v>○</v>
      </c>
      <c r="J9269" s="4" t="n">
        <v>230</v>
      </c>
      <c r="K9269" s="4"/>
      <c r="L9269" s="4"/>
      <c r="M9269" s="5" t="s">
        <v>6166</v>
      </c>
    </row>
    <row r="9270" customFormat="false" ht="15.75" hidden="false" customHeight="false" outlineLevel="0" collapsed="false">
      <c r="A9270" s="6" t="n">
        <v>46158</v>
      </c>
      <c r="B9270" s="4" t="s">
        <v>4473</v>
      </c>
      <c r="C9270" s="4" t="n">
        <v>1</v>
      </c>
      <c r="D9270" s="4" t="n">
        <v>11</v>
      </c>
      <c r="E9270" s="4" t="s">
        <v>6169</v>
      </c>
      <c r="F9270" s="4" t="n">
        <v>17</v>
      </c>
      <c r="G9270" s="4" t="n">
        <v>6</v>
      </c>
      <c r="H9270" s="4" t="n">
        <v>4</v>
      </c>
      <c r="I9270" s="4" t="str">
        <v>×</v>
      </c>
      <c r="J9270" s="4"/>
      <c r="K9270" s="4"/>
      <c r="L9270" s="4"/>
      <c r="M9270" s="5" t="s">
        <v>6166</v>
      </c>
    </row>
    <row r="9271" customFormat="false" ht="15.75" hidden="false" customHeight="false" outlineLevel="0" collapsed="false">
      <c r="A9271" s="6" t="n">
        <v>46158</v>
      </c>
      <c r="B9271" s="4" t="s">
        <v>4473</v>
      </c>
      <c r="C9271" s="4" t="n">
        <v>1</v>
      </c>
      <c r="D9271" s="4" t="n">
        <v>12</v>
      </c>
      <c r="E9271" s="4" t="s">
        <v>6170</v>
      </c>
      <c r="F9271" s="4" t="n">
        <v>6</v>
      </c>
      <c r="G9271" s="4" t="n">
        <v>9</v>
      </c>
      <c r="H9271" s="4" t="n">
        <v>4</v>
      </c>
      <c r="I9271" s="4" t="str">
        <v>×</v>
      </c>
      <c r="J9271" s="4"/>
      <c r="K9271" s="4"/>
      <c r="L9271" s="4"/>
      <c r="M9271" s="5" t="s">
        <v>6166</v>
      </c>
    </row>
    <row r="9272" customFormat="false" ht="15.75" hidden="false" customHeight="false" outlineLevel="0" collapsed="false">
      <c r="A9272" s="6" t="n">
        <v>46158</v>
      </c>
      <c r="B9272" s="4" t="s">
        <v>4473</v>
      </c>
      <c r="C9272" s="4" t="n">
        <v>1</v>
      </c>
      <c r="D9272" s="4" t="n">
        <v>13</v>
      </c>
      <c r="E9272" s="4" t="s">
        <v>3247</v>
      </c>
      <c r="F9272" s="4" t="n">
        <v>20</v>
      </c>
      <c r="G9272" s="4" t="n">
        <v>5</v>
      </c>
      <c r="H9272" s="4" t="n">
        <v>4</v>
      </c>
      <c r="I9272" s="4" t="str">
        <v>×</v>
      </c>
      <c r="J9272" s="4"/>
      <c r="K9272" s="4"/>
      <c r="L9272" s="4"/>
      <c r="M9272" s="5" t="s">
        <v>6166</v>
      </c>
    </row>
    <row r="9273" customFormat="false" ht="15.75" hidden="false" customHeight="false" outlineLevel="0" collapsed="false">
      <c r="A9273" s="6" t="n">
        <v>46158</v>
      </c>
      <c r="B9273" s="4" t="s">
        <v>4473</v>
      </c>
      <c r="C9273" s="4" t="n">
        <v>1</v>
      </c>
      <c r="D9273" s="4" t="n">
        <v>14</v>
      </c>
      <c r="E9273" s="4" t="s">
        <v>6171</v>
      </c>
      <c r="F9273" s="4" t="n">
        <v>15</v>
      </c>
      <c r="G9273" s="4" t="n">
        <v>7</v>
      </c>
      <c r="H9273" s="4" t="n">
        <v>4</v>
      </c>
      <c r="I9273" s="4" t="str">
        <v>×</v>
      </c>
      <c r="J9273" s="4"/>
      <c r="K9273" s="4"/>
      <c r="L9273" s="4"/>
      <c r="M9273" s="5" t="s">
        <v>6166</v>
      </c>
    </row>
    <row r="9274" customFormat="false" ht="15.75" hidden="false" customHeight="false" outlineLevel="0" collapsed="false">
      <c r="A9274" s="6" t="n">
        <v>46158</v>
      </c>
      <c r="B9274" s="4" t="s">
        <v>4473</v>
      </c>
      <c r="C9274" s="4" t="n">
        <v>1</v>
      </c>
      <c r="D9274" s="4" t="n">
        <v>15</v>
      </c>
      <c r="E9274" s="4" t="s">
        <v>2339</v>
      </c>
      <c r="F9274" s="4" t="n">
        <v>15</v>
      </c>
      <c r="G9274" s="4" t="n">
        <v>7</v>
      </c>
      <c r="H9274" s="4" t="n">
        <v>4</v>
      </c>
      <c r="I9274" s="4" t="str">
        <v>×</v>
      </c>
      <c r="J9274" s="4"/>
      <c r="K9274" s="4"/>
      <c r="L9274" s="4"/>
      <c r="M9274" s="5" t="s">
        <v>6166</v>
      </c>
    </row>
    <row r="9275" customFormat="false" ht="15.75" hidden="false" customHeight="false" outlineLevel="0" collapsed="false">
      <c r="A9275" s="6" t="n">
        <v>46158</v>
      </c>
      <c r="B9275" s="4" t="s">
        <v>4473</v>
      </c>
      <c r="C9275" s="4" t="n">
        <v>1</v>
      </c>
      <c r="D9275" s="4" t="n">
        <v>16</v>
      </c>
      <c r="E9275" s="4" t="s">
        <v>950</v>
      </c>
      <c r="F9275" s="4" t="n">
        <v>10</v>
      </c>
      <c r="G9275" s="4" t="n">
        <v>8</v>
      </c>
      <c r="H9275" s="4" t="n">
        <v>4</v>
      </c>
      <c r="I9275" s="4" t="str">
        <v>×</v>
      </c>
      <c r="J9275" s="4"/>
      <c r="K9275" s="4"/>
      <c r="L9275" s="4"/>
      <c r="M9275" s="5" t="s">
        <v>6166</v>
      </c>
    </row>
    <row r="9276" customFormat="false" ht="15.75" hidden="false" customHeight="false" outlineLevel="0" collapsed="false">
      <c r="A9276" s="6" t="n">
        <v>46158</v>
      </c>
      <c r="B9276" s="4" t="s">
        <v>4473</v>
      </c>
      <c r="C9276" s="4" t="n">
        <v>2</v>
      </c>
      <c r="D9276" s="4" t="n">
        <v>1</v>
      </c>
      <c r="E9276" s="4" t="s">
        <v>6172</v>
      </c>
      <c r="F9276" s="4" t="n">
        <v>6</v>
      </c>
      <c r="G9276" s="4" t="n">
        <v>9</v>
      </c>
      <c r="H9276" s="4" t="n">
        <v>4</v>
      </c>
      <c r="I9276" s="4" t="str">
        <v>×</v>
      </c>
      <c r="J9276" s="4"/>
      <c r="K9276" s="4"/>
      <c r="L9276" s="4"/>
      <c r="M9276" s="5" t="s">
        <v>6166</v>
      </c>
    </row>
    <row r="9277" customFormat="false" ht="15.75" hidden="false" customHeight="false" outlineLevel="0" collapsed="false">
      <c r="A9277" s="6" t="n">
        <v>46158</v>
      </c>
      <c r="B9277" s="4" t="s">
        <v>4473</v>
      </c>
      <c r="C9277" s="4" t="n">
        <v>2</v>
      </c>
      <c r="D9277" s="4" t="n">
        <v>2</v>
      </c>
      <c r="E9277" s="4" t="s">
        <v>2311</v>
      </c>
      <c r="F9277" s="4" t="n">
        <v>17</v>
      </c>
      <c r="G9277" s="4" t="n">
        <v>6</v>
      </c>
      <c r="H9277" s="4" t="n">
        <v>4</v>
      </c>
      <c r="I9277" s="4" t="str">
        <v>×</v>
      </c>
      <c r="J9277" s="4"/>
      <c r="K9277" s="4"/>
      <c r="L9277" s="4"/>
      <c r="M9277" s="5" t="s">
        <v>6166</v>
      </c>
    </row>
    <row r="9278" customFormat="false" ht="15.75" hidden="false" customHeight="false" outlineLevel="0" collapsed="false">
      <c r="A9278" s="6" t="n">
        <v>46158</v>
      </c>
      <c r="B9278" s="4" t="s">
        <v>4473</v>
      </c>
      <c r="C9278" s="4" t="n">
        <v>2</v>
      </c>
      <c r="D9278" s="4" t="n">
        <v>3</v>
      </c>
      <c r="E9278" s="4" t="s">
        <v>996</v>
      </c>
      <c r="F9278" s="4" t="n">
        <v>6</v>
      </c>
      <c r="G9278" s="4" t="n">
        <v>9</v>
      </c>
      <c r="H9278" s="4" t="n">
        <v>4</v>
      </c>
      <c r="I9278" s="4" t="str">
        <v>×</v>
      </c>
      <c r="J9278" s="4"/>
      <c r="K9278" s="4"/>
      <c r="L9278" s="4"/>
      <c r="M9278" s="5" t="s">
        <v>6166</v>
      </c>
    </row>
    <row r="9279" customFormat="false" ht="15.75" hidden="false" customHeight="false" outlineLevel="0" collapsed="false">
      <c r="A9279" s="6" t="n">
        <v>46158</v>
      </c>
      <c r="B9279" s="4" t="s">
        <v>4473</v>
      </c>
      <c r="C9279" s="4" t="n">
        <v>2</v>
      </c>
      <c r="D9279" s="4" t="n">
        <v>4</v>
      </c>
      <c r="E9279" s="4" t="s">
        <v>2302</v>
      </c>
      <c r="F9279" s="4" t="n">
        <v>8</v>
      </c>
      <c r="G9279" s="4" t="n">
        <v>8</v>
      </c>
      <c r="H9279" s="4" t="n">
        <v>4</v>
      </c>
      <c r="I9279" s="4" t="str">
        <v>×</v>
      </c>
      <c r="J9279" s="4"/>
      <c r="K9279" s="4"/>
      <c r="L9279" s="4"/>
      <c r="M9279" s="5" t="s">
        <v>6166</v>
      </c>
    </row>
    <row r="9280" customFormat="false" ht="15.75" hidden="false" customHeight="false" outlineLevel="0" collapsed="false">
      <c r="A9280" s="6" t="n">
        <v>46158</v>
      </c>
      <c r="B9280" s="4" t="s">
        <v>4473</v>
      </c>
      <c r="C9280" s="4" t="n">
        <v>2</v>
      </c>
      <c r="D9280" s="4" t="n">
        <v>5</v>
      </c>
      <c r="E9280" s="4" t="s">
        <v>356</v>
      </c>
      <c r="F9280" s="4" t="n">
        <v>60</v>
      </c>
      <c r="G9280" s="4" t="n">
        <v>1</v>
      </c>
      <c r="H9280" s="4" t="n">
        <v>2</v>
      </c>
      <c r="I9280" s="4" t="str">
        <v>○</v>
      </c>
      <c r="J9280" s="4" t="n">
        <v>130</v>
      </c>
      <c r="K9280" s="4"/>
      <c r="L9280" s="4"/>
      <c r="M9280" s="5" t="s">
        <v>6166</v>
      </c>
    </row>
    <row r="9281" customFormat="false" ht="15.75" hidden="false" customHeight="false" outlineLevel="0" collapsed="false">
      <c r="A9281" s="6" t="n">
        <v>46158</v>
      </c>
      <c r="B9281" s="4" t="s">
        <v>4473</v>
      </c>
      <c r="C9281" s="4" t="n">
        <v>2</v>
      </c>
      <c r="D9281" s="4" t="n">
        <v>6</v>
      </c>
      <c r="E9281" s="4" t="s">
        <v>593</v>
      </c>
      <c r="F9281" s="4" t="n">
        <v>17</v>
      </c>
      <c r="G9281" s="4" t="n">
        <v>6</v>
      </c>
      <c r="H9281" s="4" t="n">
        <v>4</v>
      </c>
      <c r="I9281" s="4" t="str">
        <v>×</v>
      </c>
      <c r="J9281" s="4"/>
      <c r="K9281" s="4"/>
      <c r="L9281" s="4"/>
      <c r="M9281" s="5" t="s">
        <v>6166</v>
      </c>
    </row>
    <row r="9282" customFormat="false" ht="15.75" hidden="false" customHeight="false" outlineLevel="0" collapsed="false">
      <c r="A9282" s="6" t="n">
        <v>46158</v>
      </c>
      <c r="B9282" s="4" t="s">
        <v>4473</v>
      </c>
      <c r="C9282" s="4" t="n">
        <v>2</v>
      </c>
      <c r="D9282" s="4" t="n">
        <v>7</v>
      </c>
      <c r="E9282" s="4" t="s">
        <v>6173</v>
      </c>
      <c r="F9282" s="4" t="n">
        <v>6</v>
      </c>
      <c r="G9282" s="4" t="n">
        <v>9</v>
      </c>
      <c r="H9282" s="4" t="n">
        <v>4</v>
      </c>
      <c r="I9282" s="4" t="str">
        <v>×</v>
      </c>
      <c r="J9282" s="4"/>
      <c r="K9282" s="4"/>
      <c r="L9282" s="4"/>
      <c r="M9282" s="5" t="s">
        <v>6166</v>
      </c>
    </row>
    <row r="9283" customFormat="false" ht="15.75" hidden="false" customHeight="false" outlineLevel="0" collapsed="false">
      <c r="A9283" s="6" t="n">
        <v>46158</v>
      </c>
      <c r="B9283" s="4" t="s">
        <v>4473</v>
      </c>
      <c r="C9283" s="4" t="n">
        <v>2</v>
      </c>
      <c r="D9283" s="4" t="n">
        <v>8</v>
      </c>
      <c r="E9283" s="4" t="s">
        <v>6174</v>
      </c>
      <c r="F9283" s="4" t="n">
        <v>1</v>
      </c>
      <c r="G9283" s="4" t="n">
        <v>12</v>
      </c>
      <c r="H9283" s="4" t="n">
        <v>4</v>
      </c>
      <c r="I9283" s="4" t="str">
        <v>×</v>
      </c>
      <c r="J9283" s="4"/>
      <c r="K9283" s="4"/>
      <c r="L9283" s="4"/>
      <c r="M9283" s="5" t="s">
        <v>6166</v>
      </c>
    </row>
    <row r="9284" customFormat="false" ht="15.75" hidden="false" customHeight="false" outlineLevel="0" collapsed="false">
      <c r="A9284" s="6" t="n">
        <v>46158</v>
      </c>
      <c r="B9284" s="4" t="s">
        <v>4473</v>
      </c>
      <c r="C9284" s="4" t="n">
        <v>2</v>
      </c>
      <c r="D9284" s="4" t="n">
        <v>9</v>
      </c>
      <c r="E9284" s="4" t="s">
        <v>5134</v>
      </c>
      <c r="F9284" s="4" t="n">
        <v>23</v>
      </c>
      <c r="G9284" s="4" t="n">
        <v>4</v>
      </c>
      <c r="H9284" s="4" t="n">
        <v>4</v>
      </c>
      <c r="I9284" s="4" t="str">
        <v>×</v>
      </c>
      <c r="J9284" s="4"/>
      <c r="K9284" s="4"/>
      <c r="L9284" s="4"/>
      <c r="M9284" s="5" t="s">
        <v>6166</v>
      </c>
    </row>
    <row r="9285" customFormat="false" ht="15.75" hidden="false" customHeight="false" outlineLevel="0" collapsed="false">
      <c r="A9285" s="6" t="n">
        <v>46158</v>
      </c>
      <c r="B9285" s="4" t="s">
        <v>4473</v>
      </c>
      <c r="C9285" s="4" t="n">
        <v>2</v>
      </c>
      <c r="D9285" s="4" t="n">
        <v>10</v>
      </c>
      <c r="E9285" s="4" t="s">
        <v>1919</v>
      </c>
      <c r="F9285" s="4" t="n">
        <v>58</v>
      </c>
      <c r="G9285" s="4" t="n">
        <v>2</v>
      </c>
      <c r="H9285" s="4" t="n">
        <v>4</v>
      </c>
      <c r="I9285" s="4" t="str">
        <v>×</v>
      </c>
      <c r="J9285" s="4"/>
      <c r="K9285" s="4"/>
      <c r="L9285" s="4"/>
      <c r="M9285" s="5" t="s">
        <v>6166</v>
      </c>
    </row>
    <row r="9286" customFormat="false" ht="15.75" hidden="false" customHeight="false" outlineLevel="0" collapsed="false">
      <c r="A9286" s="6" t="n">
        <v>46158</v>
      </c>
      <c r="B9286" s="4" t="s">
        <v>4473</v>
      </c>
      <c r="C9286" s="4" t="n">
        <v>2</v>
      </c>
      <c r="D9286" s="4" t="n">
        <v>11</v>
      </c>
      <c r="E9286" s="4" t="s">
        <v>1913</v>
      </c>
      <c r="F9286" s="4" t="n">
        <v>20</v>
      </c>
      <c r="G9286" s="4" t="n">
        <v>5</v>
      </c>
      <c r="H9286" s="4" t="n">
        <v>4</v>
      </c>
      <c r="I9286" s="4" t="str">
        <v>×</v>
      </c>
      <c r="J9286" s="4"/>
      <c r="K9286" s="4"/>
      <c r="L9286" s="4"/>
      <c r="M9286" s="5" t="s">
        <v>6166</v>
      </c>
    </row>
    <row r="9287" customFormat="false" ht="15.75" hidden="false" customHeight="false" outlineLevel="0" collapsed="false">
      <c r="A9287" s="6" t="n">
        <v>46158</v>
      </c>
      <c r="B9287" s="4" t="s">
        <v>4473</v>
      </c>
      <c r="C9287" s="4" t="n">
        <v>2</v>
      </c>
      <c r="D9287" s="4" t="n">
        <v>12</v>
      </c>
      <c r="E9287" s="4" t="s">
        <v>5604</v>
      </c>
      <c r="F9287" s="4" t="n">
        <v>2</v>
      </c>
      <c r="G9287" s="4" t="n">
        <v>11</v>
      </c>
      <c r="H9287" s="4" t="n">
        <v>4</v>
      </c>
      <c r="I9287" s="4" t="str">
        <v>×</v>
      </c>
      <c r="J9287" s="4"/>
      <c r="K9287" s="4"/>
      <c r="L9287" s="4"/>
      <c r="M9287" s="5" t="s">
        <v>6166</v>
      </c>
    </row>
    <row r="9288" customFormat="false" ht="15.75" hidden="false" customHeight="false" outlineLevel="0" collapsed="false">
      <c r="A9288" s="6" t="n">
        <v>46158</v>
      </c>
      <c r="B9288" s="4" t="s">
        <v>4473</v>
      </c>
      <c r="C9288" s="4" t="n">
        <v>2</v>
      </c>
      <c r="D9288" s="4" t="n">
        <v>13</v>
      </c>
      <c r="E9288" s="4" t="s">
        <v>5830</v>
      </c>
      <c r="F9288" s="4" t="n">
        <v>4</v>
      </c>
      <c r="G9288" s="4" t="n">
        <v>10</v>
      </c>
      <c r="H9288" s="4" t="n">
        <v>1</v>
      </c>
      <c r="I9288" s="4" t="str">
        <v>○</v>
      </c>
      <c r="J9288" s="4" t="n">
        <v>1650</v>
      </c>
      <c r="K9288" s="4"/>
      <c r="L9288" s="4"/>
      <c r="M9288" s="5" t="s">
        <v>6166</v>
      </c>
    </row>
    <row r="9289" customFormat="false" ht="15.75" hidden="false" customHeight="false" outlineLevel="0" collapsed="false">
      <c r="A9289" s="6" t="n">
        <v>46158</v>
      </c>
      <c r="B9289" s="4" t="s">
        <v>4473</v>
      </c>
      <c r="C9289" s="4" t="n">
        <v>2</v>
      </c>
      <c r="D9289" s="4" t="n">
        <v>14</v>
      </c>
      <c r="E9289" s="4" t="s">
        <v>4692</v>
      </c>
      <c r="F9289" s="4" t="n">
        <v>56</v>
      </c>
      <c r="G9289" s="4" t="n">
        <v>3</v>
      </c>
      <c r="H9289" s="4" t="n">
        <v>3</v>
      </c>
      <c r="I9289" s="4" t="str">
        <v>○</v>
      </c>
      <c r="J9289" s="4" t="n">
        <v>120</v>
      </c>
      <c r="K9289" s="4"/>
      <c r="L9289" s="4"/>
      <c r="M9289" s="5" t="s">
        <v>6166</v>
      </c>
    </row>
    <row r="9290" customFormat="false" ht="15.75" hidden="false" customHeight="false" outlineLevel="0" collapsed="false">
      <c r="A9290" s="6" t="n">
        <v>46158</v>
      </c>
      <c r="B9290" s="4" t="s">
        <v>4473</v>
      </c>
      <c r="C9290" s="4" t="n">
        <v>2</v>
      </c>
      <c r="D9290" s="4" t="n">
        <v>15</v>
      </c>
      <c r="E9290" s="4" t="s">
        <v>6175</v>
      </c>
      <c r="F9290" s="4" t="n">
        <v>10</v>
      </c>
      <c r="G9290" s="4" t="n">
        <v>7</v>
      </c>
      <c r="H9290" s="4" t="n">
        <v>4</v>
      </c>
      <c r="I9290" s="4" t="str">
        <v>×</v>
      </c>
      <c r="J9290" s="4"/>
      <c r="K9290" s="4"/>
      <c r="L9290" s="4"/>
      <c r="M9290" s="5" t="s">
        <v>6166</v>
      </c>
    </row>
    <row r="9291" customFormat="false" ht="15.75" hidden="false" customHeight="false" outlineLevel="0" collapsed="false">
      <c r="A9291" s="6" t="n">
        <v>46158</v>
      </c>
      <c r="B9291" s="4" t="s">
        <v>4473</v>
      </c>
      <c r="C9291" s="4" t="n">
        <v>2</v>
      </c>
      <c r="D9291" s="4" t="n">
        <v>16</v>
      </c>
      <c r="E9291" s="4" t="s">
        <v>988</v>
      </c>
      <c r="F9291" s="4" t="n">
        <v>8</v>
      </c>
      <c r="G9291" s="4" t="n">
        <v>8</v>
      </c>
      <c r="H9291" s="4" t="n">
        <v>4</v>
      </c>
      <c r="I9291" s="4" t="str">
        <v>×</v>
      </c>
      <c r="J9291" s="4"/>
      <c r="K9291" s="4"/>
      <c r="L9291" s="4"/>
      <c r="M9291" s="5" t="s">
        <v>6166</v>
      </c>
    </row>
    <row r="9292" customFormat="false" ht="15.75" hidden="false" customHeight="false" outlineLevel="0" collapsed="false">
      <c r="A9292" s="6" t="n">
        <v>46158</v>
      </c>
      <c r="B9292" s="4" t="s">
        <v>4473</v>
      </c>
      <c r="C9292" s="4" t="n">
        <v>3</v>
      </c>
      <c r="D9292" s="4" t="n">
        <v>1</v>
      </c>
      <c r="E9292" s="4" t="s">
        <v>54</v>
      </c>
      <c r="F9292" s="4" t="n">
        <v>10</v>
      </c>
      <c r="G9292" s="4" t="n">
        <v>6</v>
      </c>
      <c r="H9292" s="4" t="n">
        <v>4</v>
      </c>
      <c r="I9292" s="4" t="str">
        <v>×</v>
      </c>
      <c r="J9292" s="4"/>
      <c r="K9292" s="4"/>
      <c r="L9292" s="4"/>
      <c r="M9292" s="5" t="s">
        <v>6166</v>
      </c>
    </row>
    <row r="9293" customFormat="false" ht="15.75" hidden="false" customHeight="false" outlineLevel="0" collapsed="false">
      <c r="A9293" s="6" t="n">
        <v>46158</v>
      </c>
      <c r="B9293" s="4" t="s">
        <v>4473</v>
      </c>
      <c r="C9293" s="4" t="n">
        <v>3</v>
      </c>
      <c r="D9293" s="4" t="n">
        <v>2</v>
      </c>
      <c r="E9293" s="4" t="s">
        <v>6176</v>
      </c>
      <c r="F9293" s="4" t="n">
        <v>2</v>
      </c>
      <c r="G9293" s="4" t="n">
        <v>11</v>
      </c>
      <c r="H9293" s="4" t="n">
        <v>4</v>
      </c>
      <c r="I9293" s="4" t="str">
        <v>×</v>
      </c>
      <c r="J9293" s="4"/>
      <c r="K9293" s="4"/>
      <c r="L9293" s="4"/>
      <c r="M9293" s="5" t="s">
        <v>6166</v>
      </c>
    </row>
    <row r="9294" customFormat="false" ht="15.75" hidden="false" customHeight="false" outlineLevel="0" collapsed="false">
      <c r="A9294" s="6" t="n">
        <v>46158</v>
      </c>
      <c r="B9294" s="4" t="s">
        <v>4473</v>
      </c>
      <c r="C9294" s="4" t="n">
        <v>3</v>
      </c>
      <c r="D9294" s="4" t="n">
        <v>3</v>
      </c>
      <c r="E9294" s="4" t="s">
        <v>6177</v>
      </c>
      <c r="F9294" s="4" t="n">
        <v>6</v>
      </c>
      <c r="G9294" s="4" t="n">
        <v>8</v>
      </c>
      <c r="H9294" s="4" t="n">
        <v>4</v>
      </c>
      <c r="I9294" s="4" t="str">
        <v>×</v>
      </c>
      <c r="J9294" s="4"/>
      <c r="K9294" s="4"/>
      <c r="L9294" s="4"/>
      <c r="M9294" s="5" t="s">
        <v>6166</v>
      </c>
    </row>
    <row r="9295" customFormat="false" ht="15.75" hidden="false" customHeight="false" outlineLevel="0" collapsed="false">
      <c r="A9295" s="6" t="n">
        <v>46158</v>
      </c>
      <c r="B9295" s="4" t="s">
        <v>4473</v>
      </c>
      <c r="C9295" s="4" t="n">
        <v>3</v>
      </c>
      <c r="D9295" s="4" t="n">
        <v>4</v>
      </c>
      <c r="E9295" s="4" t="s">
        <v>6178</v>
      </c>
      <c r="F9295" s="4" t="n">
        <v>6</v>
      </c>
      <c r="G9295" s="4" t="n">
        <v>8</v>
      </c>
      <c r="H9295" s="4" t="n">
        <v>4</v>
      </c>
      <c r="I9295" s="4" t="str">
        <v>×</v>
      </c>
      <c r="J9295" s="4"/>
      <c r="K9295" s="4"/>
      <c r="L9295" s="4"/>
      <c r="M9295" s="5" t="s">
        <v>6166</v>
      </c>
    </row>
    <row r="9296" customFormat="false" ht="15.75" hidden="false" customHeight="false" outlineLevel="0" collapsed="false">
      <c r="A9296" s="6" t="n">
        <v>46158</v>
      </c>
      <c r="B9296" s="4" t="s">
        <v>4473</v>
      </c>
      <c r="C9296" s="4" t="n">
        <v>3</v>
      </c>
      <c r="D9296" s="4" t="n">
        <v>5</v>
      </c>
      <c r="E9296" s="4" t="s">
        <v>6179</v>
      </c>
      <c r="F9296" s="4" t="n">
        <v>4</v>
      </c>
      <c r="G9296" s="4" t="n">
        <v>9</v>
      </c>
      <c r="H9296" s="4" t="n">
        <v>4</v>
      </c>
      <c r="I9296" s="4" t="str">
        <v>×</v>
      </c>
      <c r="J9296" s="4"/>
      <c r="K9296" s="4"/>
      <c r="L9296" s="4"/>
      <c r="M9296" s="5" t="s">
        <v>6166</v>
      </c>
    </row>
    <row r="9297" customFormat="false" ht="15.75" hidden="false" customHeight="false" outlineLevel="0" collapsed="false">
      <c r="A9297" s="6" t="n">
        <v>46158</v>
      </c>
      <c r="B9297" s="4" t="s">
        <v>4473</v>
      </c>
      <c r="C9297" s="4" t="n">
        <v>3</v>
      </c>
      <c r="D9297" s="4" t="n">
        <v>6</v>
      </c>
      <c r="E9297" s="4" t="s">
        <v>6180</v>
      </c>
      <c r="F9297" s="4" t="n">
        <v>8</v>
      </c>
      <c r="G9297" s="4" t="n">
        <v>7</v>
      </c>
      <c r="H9297" s="4" t="n">
        <v>4</v>
      </c>
      <c r="I9297" s="4" t="str">
        <v>×</v>
      </c>
      <c r="J9297" s="4"/>
      <c r="K9297" s="4"/>
      <c r="L9297" s="4"/>
      <c r="M9297" s="5" t="s">
        <v>6166</v>
      </c>
    </row>
    <row r="9298" customFormat="false" ht="15.75" hidden="false" customHeight="false" outlineLevel="0" collapsed="false">
      <c r="A9298" s="6" t="n">
        <v>46158</v>
      </c>
      <c r="B9298" s="4" t="s">
        <v>4473</v>
      </c>
      <c r="C9298" s="4" t="n">
        <v>3</v>
      </c>
      <c r="D9298" s="4" t="n">
        <v>7</v>
      </c>
      <c r="E9298" s="4" t="s">
        <v>4714</v>
      </c>
      <c r="F9298" s="4" t="n">
        <v>3</v>
      </c>
      <c r="G9298" s="4" t="n">
        <v>10</v>
      </c>
      <c r="H9298" s="4" t="n">
        <v>4</v>
      </c>
      <c r="I9298" s="4" t="str">
        <v>×</v>
      </c>
      <c r="J9298" s="4"/>
      <c r="K9298" s="4"/>
      <c r="L9298" s="4"/>
      <c r="M9298" s="5" t="s">
        <v>6166</v>
      </c>
    </row>
    <row r="9299" customFormat="false" ht="15.75" hidden="false" customHeight="false" outlineLevel="0" collapsed="false">
      <c r="A9299" s="6" t="n">
        <v>46158</v>
      </c>
      <c r="B9299" s="4" t="s">
        <v>4473</v>
      </c>
      <c r="C9299" s="4" t="n">
        <v>3</v>
      </c>
      <c r="D9299" s="4" t="n">
        <v>8</v>
      </c>
      <c r="E9299" s="4" t="s">
        <v>6181</v>
      </c>
      <c r="F9299" s="4" t="n">
        <v>56</v>
      </c>
      <c r="G9299" s="4" t="n">
        <v>2</v>
      </c>
      <c r="H9299" s="4" t="n">
        <v>4</v>
      </c>
      <c r="I9299" s="4" t="str">
        <v>×</v>
      </c>
      <c r="J9299" s="4"/>
      <c r="K9299" s="4"/>
      <c r="L9299" s="4"/>
      <c r="M9299" s="5" t="s">
        <v>6166</v>
      </c>
    </row>
    <row r="9300" customFormat="false" ht="15.75" hidden="false" customHeight="false" outlineLevel="0" collapsed="false">
      <c r="A9300" s="6" t="n">
        <v>46158</v>
      </c>
      <c r="B9300" s="4" t="s">
        <v>4473</v>
      </c>
      <c r="C9300" s="4" t="n">
        <v>3</v>
      </c>
      <c r="D9300" s="4" t="n">
        <v>9</v>
      </c>
      <c r="E9300" s="4" t="s">
        <v>3249</v>
      </c>
      <c r="F9300" s="4" t="n">
        <v>20</v>
      </c>
      <c r="G9300" s="4" t="n">
        <v>5</v>
      </c>
      <c r="H9300" s="4" t="n">
        <v>4</v>
      </c>
      <c r="I9300" s="4" t="str">
        <v>×</v>
      </c>
      <c r="J9300" s="4"/>
      <c r="K9300" s="4"/>
      <c r="L9300" s="4"/>
      <c r="M9300" s="5" t="s">
        <v>6166</v>
      </c>
    </row>
    <row r="9301" customFormat="false" ht="15.75" hidden="false" customHeight="false" outlineLevel="0" collapsed="false">
      <c r="A9301" s="6" t="n">
        <v>46158</v>
      </c>
      <c r="B9301" s="4" t="s">
        <v>4473</v>
      </c>
      <c r="C9301" s="4" t="n">
        <v>3</v>
      </c>
      <c r="D9301" s="4" t="n">
        <v>10</v>
      </c>
      <c r="E9301" s="4" t="s">
        <v>114</v>
      </c>
      <c r="F9301" s="4" t="n">
        <v>81</v>
      </c>
      <c r="G9301" s="4" t="n">
        <v>1</v>
      </c>
      <c r="H9301" s="4" t="n">
        <v>1</v>
      </c>
      <c r="I9301" s="4" t="str">
        <v>○</v>
      </c>
      <c r="J9301" s="4" t="n">
        <v>140</v>
      </c>
      <c r="K9301" s="4"/>
      <c r="L9301" s="4"/>
      <c r="M9301" s="5" t="s">
        <v>6166</v>
      </c>
    </row>
    <row r="9302" customFormat="false" ht="15.75" hidden="false" customHeight="false" outlineLevel="0" collapsed="false">
      <c r="A9302" s="6" t="n">
        <v>46158</v>
      </c>
      <c r="B9302" s="4" t="s">
        <v>4473</v>
      </c>
      <c r="C9302" s="4" t="n">
        <v>3</v>
      </c>
      <c r="D9302" s="4" t="n">
        <v>11</v>
      </c>
      <c r="E9302" s="4" t="s">
        <v>951</v>
      </c>
      <c r="F9302" s="4" t="n">
        <v>34</v>
      </c>
      <c r="G9302" s="4" t="n">
        <v>3</v>
      </c>
      <c r="H9302" s="4" t="n">
        <v>4</v>
      </c>
      <c r="I9302" s="4" t="str">
        <v>×</v>
      </c>
      <c r="J9302" s="4"/>
      <c r="K9302" s="4"/>
      <c r="L9302" s="4"/>
      <c r="M9302" s="5" t="s">
        <v>6166</v>
      </c>
    </row>
    <row r="9303" customFormat="false" ht="15.75" hidden="false" customHeight="false" outlineLevel="0" collapsed="false">
      <c r="A9303" s="6" t="n">
        <v>46158</v>
      </c>
      <c r="B9303" s="4" t="s">
        <v>4473</v>
      </c>
      <c r="C9303" s="4" t="n">
        <v>3</v>
      </c>
      <c r="D9303" s="4" t="n">
        <v>12</v>
      </c>
      <c r="E9303" s="4" t="s">
        <v>3736</v>
      </c>
      <c r="F9303" s="4" t="n">
        <v>20</v>
      </c>
      <c r="G9303" s="4" t="n">
        <v>5</v>
      </c>
      <c r="H9303" s="4" t="n">
        <v>2</v>
      </c>
      <c r="I9303" s="4" t="str">
        <v>○</v>
      </c>
      <c r="J9303" s="4" t="n">
        <v>380</v>
      </c>
      <c r="K9303" s="4"/>
      <c r="L9303" s="4"/>
      <c r="M9303" s="5" t="s">
        <v>6166</v>
      </c>
    </row>
    <row r="9304" customFormat="false" ht="15.75" hidden="false" customHeight="false" outlineLevel="0" collapsed="false">
      <c r="A9304" s="6" t="n">
        <v>46158</v>
      </c>
      <c r="B9304" s="4" t="s">
        <v>4473</v>
      </c>
      <c r="C9304" s="4" t="n">
        <v>3</v>
      </c>
      <c r="D9304" s="4" t="n">
        <v>13</v>
      </c>
      <c r="E9304" s="4" t="s">
        <v>1476</v>
      </c>
      <c r="F9304" s="4" t="n">
        <v>4</v>
      </c>
      <c r="G9304" s="4" t="n">
        <v>9</v>
      </c>
      <c r="H9304" s="4" t="n">
        <v>4</v>
      </c>
      <c r="I9304" s="4" t="str">
        <v>×</v>
      </c>
      <c r="J9304" s="4"/>
      <c r="K9304" s="4"/>
      <c r="L9304" s="4"/>
      <c r="M9304" s="5" t="s">
        <v>6166</v>
      </c>
    </row>
    <row r="9305" customFormat="false" ht="15.75" hidden="false" customHeight="false" outlineLevel="0" collapsed="false">
      <c r="A9305" s="6" t="n">
        <v>46158</v>
      </c>
      <c r="B9305" s="4" t="s">
        <v>4473</v>
      </c>
      <c r="C9305" s="4" t="n">
        <v>3</v>
      </c>
      <c r="D9305" s="4" t="n">
        <v>14</v>
      </c>
      <c r="E9305" s="4" t="s">
        <v>6182</v>
      </c>
      <c r="F9305" s="4" t="n">
        <v>8</v>
      </c>
      <c r="G9305" s="4" t="n">
        <v>7</v>
      </c>
      <c r="H9305" s="4" t="n">
        <v>4</v>
      </c>
      <c r="I9305" s="4" t="str">
        <v>×</v>
      </c>
      <c r="J9305" s="4"/>
      <c r="K9305" s="4"/>
      <c r="L9305" s="4"/>
      <c r="M9305" s="5" t="s">
        <v>6166</v>
      </c>
    </row>
    <row r="9306" customFormat="false" ht="15.75" hidden="false" customHeight="false" outlineLevel="0" collapsed="false">
      <c r="A9306" s="6" t="n">
        <v>46158</v>
      </c>
      <c r="B9306" s="4" t="s">
        <v>4473</v>
      </c>
      <c r="C9306" s="4" t="n">
        <v>3</v>
      </c>
      <c r="D9306" s="4" t="n">
        <v>15</v>
      </c>
      <c r="E9306" s="4" t="s">
        <v>6183</v>
      </c>
      <c r="F9306" s="4" t="n">
        <v>3</v>
      </c>
      <c r="G9306" s="4" t="n">
        <v>10</v>
      </c>
      <c r="H9306" s="4" t="n">
        <v>4</v>
      </c>
      <c r="I9306" s="4" t="str">
        <v>×</v>
      </c>
      <c r="J9306" s="4"/>
      <c r="K9306" s="4"/>
      <c r="L9306" s="4"/>
      <c r="M9306" s="5" t="s">
        <v>6166</v>
      </c>
    </row>
    <row r="9307" customFormat="false" ht="15.75" hidden="false" customHeight="false" outlineLevel="0" collapsed="false">
      <c r="A9307" s="6" t="n">
        <v>46158</v>
      </c>
      <c r="B9307" s="4" t="s">
        <v>4473</v>
      </c>
      <c r="C9307" s="4" t="n">
        <v>3</v>
      </c>
      <c r="D9307" s="4" t="n">
        <v>16</v>
      </c>
      <c r="E9307" s="4" t="s">
        <v>3735</v>
      </c>
      <c r="F9307" s="4" t="n">
        <v>31</v>
      </c>
      <c r="G9307" s="4" t="n">
        <v>4</v>
      </c>
      <c r="H9307" s="4" t="n">
        <v>3</v>
      </c>
      <c r="I9307" s="4" t="str">
        <v>○</v>
      </c>
      <c r="J9307" s="4" t="n">
        <v>270</v>
      </c>
      <c r="K9307" s="4"/>
      <c r="L9307" s="4"/>
      <c r="M9307" s="5" t="s">
        <v>6166</v>
      </c>
    </row>
    <row r="9308" customFormat="false" ht="15.75" hidden="false" customHeight="false" outlineLevel="0" collapsed="false">
      <c r="A9308" s="6" t="n">
        <v>46158</v>
      </c>
      <c r="B9308" s="4" t="s">
        <v>4473</v>
      </c>
      <c r="C9308" s="4" t="n">
        <v>4</v>
      </c>
      <c r="D9308" s="4" t="n">
        <v>1</v>
      </c>
      <c r="E9308" s="4" t="s">
        <v>3804</v>
      </c>
      <c r="F9308" s="4" t="n">
        <v>20</v>
      </c>
      <c r="G9308" s="4" t="n">
        <v>6</v>
      </c>
      <c r="H9308" s="4" t="n">
        <v>4</v>
      </c>
      <c r="I9308" s="4" t="str">
        <v>×</v>
      </c>
      <c r="J9308" s="4"/>
      <c r="K9308" s="4"/>
      <c r="L9308" s="4"/>
      <c r="M9308" s="5" t="s">
        <v>6166</v>
      </c>
    </row>
    <row r="9309" customFormat="false" ht="15.75" hidden="false" customHeight="false" outlineLevel="0" collapsed="false">
      <c r="A9309" s="6" t="n">
        <v>46158</v>
      </c>
      <c r="B9309" s="4" t="s">
        <v>4473</v>
      </c>
      <c r="C9309" s="4" t="n">
        <v>4</v>
      </c>
      <c r="D9309" s="4" t="n">
        <v>2</v>
      </c>
      <c r="E9309" s="4" t="s">
        <v>6184</v>
      </c>
      <c r="F9309" s="4" t="n">
        <v>8</v>
      </c>
      <c r="G9309" s="4" t="n">
        <v>10</v>
      </c>
      <c r="H9309" s="4" t="n">
        <v>4</v>
      </c>
      <c r="I9309" s="4" t="str">
        <v>×</v>
      </c>
      <c r="J9309" s="4"/>
      <c r="K9309" s="4"/>
      <c r="L9309" s="4"/>
      <c r="M9309" s="5" t="s">
        <v>6166</v>
      </c>
    </row>
    <row r="9310" customFormat="false" ht="15.75" hidden="false" customHeight="false" outlineLevel="0" collapsed="false">
      <c r="A9310" s="6" t="n">
        <v>46158</v>
      </c>
      <c r="B9310" s="4" t="s">
        <v>4473</v>
      </c>
      <c r="C9310" s="4" t="n">
        <v>4</v>
      </c>
      <c r="D9310" s="4" t="n">
        <v>3</v>
      </c>
      <c r="E9310" s="4" t="s">
        <v>5810</v>
      </c>
      <c r="F9310" s="4" t="n">
        <v>13</v>
      </c>
      <c r="G9310" s="4" t="n">
        <v>8</v>
      </c>
      <c r="H9310" s="4" t="n">
        <v>4</v>
      </c>
      <c r="I9310" s="4" t="str">
        <v>×</v>
      </c>
      <c r="J9310" s="4"/>
      <c r="K9310" s="4"/>
      <c r="L9310" s="4"/>
      <c r="M9310" s="5" t="s">
        <v>6166</v>
      </c>
    </row>
    <row r="9311" customFormat="false" ht="15.75" hidden="false" customHeight="false" outlineLevel="0" collapsed="false">
      <c r="A9311" s="6" t="n">
        <v>46158</v>
      </c>
      <c r="B9311" s="4" t="s">
        <v>4473</v>
      </c>
      <c r="C9311" s="4" t="n">
        <v>4</v>
      </c>
      <c r="D9311" s="4" t="n">
        <v>4</v>
      </c>
      <c r="E9311" s="4" t="s">
        <v>4240</v>
      </c>
      <c r="F9311" s="4" t="n">
        <v>10</v>
      </c>
      <c r="G9311" s="4" t="n">
        <v>9</v>
      </c>
      <c r="H9311" s="4" t="n">
        <v>2</v>
      </c>
      <c r="I9311" s="4" t="str">
        <v>○</v>
      </c>
      <c r="J9311" s="4" t="n">
        <v>130</v>
      </c>
      <c r="K9311" s="4"/>
      <c r="L9311" s="4"/>
      <c r="M9311" s="5" t="s">
        <v>6166</v>
      </c>
    </row>
    <row r="9312" customFormat="false" ht="15.75" hidden="false" customHeight="false" outlineLevel="0" collapsed="false">
      <c r="A9312" s="6" t="n">
        <v>46158</v>
      </c>
      <c r="B9312" s="4" t="s">
        <v>4473</v>
      </c>
      <c r="C9312" s="4" t="n">
        <v>4</v>
      </c>
      <c r="D9312" s="4" t="n">
        <v>5</v>
      </c>
      <c r="E9312" s="4" t="s">
        <v>4483</v>
      </c>
      <c r="F9312" s="4" t="n">
        <v>17</v>
      </c>
      <c r="G9312" s="4" t="n">
        <v>7</v>
      </c>
      <c r="H9312" s="4" t="n">
        <v>4</v>
      </c>
      <c r="I9312" s="4" t="str">
        <v>×</v>
      </c>
      <c r="J9312" s="4"/>
      <c r="K9312" s="4"/>
      <c r="L9312" s="4"/>
      <c r="M9312" s="5" t="s">
        <v>6166</v>
      </c>
    </row>
    <row r="9313" customFormat="false" ht="15.75" hidden="false" customHeight="false" outlineLevel="0" collapsed="false">
      <c r="A9313" s="6" t="n">
        <v>46158</v>
      </c>
      <c r="B9313" s="4" t="s">
        <v>4473</v>
      </c>
      <c r="C9313" s="4" t="n">
        <v>4</v>
      </c>
      <c r="D9313" s="4" t="n">
        <v>6</v>
      </c>
      <c r="E9313" s="4" t="s">
        <v>4886</v>
      </c>
      <c r="F9313" s="4" t="n">
        <v>25</v>
      </c>
      <c r="G9313" s="4" t="n">
        <v>5</v>
      </c>
      <c r="H9313" s="4" t="n">
        <v>4</v>
      </c>
      <c r="I9313" s="4" t="str">
        <v>×</v>
      </c>
      <c r="J9313" s="4"/>
      <c r="K9313" s="4"/>
      <c r="L9313" s="4"/>
      <c r="M9313" s="5" t="s">
        <v>6166</v>
      </c>
    </row>
    <row r="9314" customFormat="false" ht="15.75" hidden="false" customHeight="false" outlineLevel="0" collapsed="false">
      <c r="A9314" s="6" t="n">
        <v>46158</v>
      </c>
      <c r="B9314" s="4" t="s">
        <v>4473</v>
      </c>
      <c r="C9314" s="4" t="n">
        <v>4</v>
      </c>
      <c r="D9314" s="4" t="n">
        <v>7</v>
      </c>
      <c r="E9314" s="4" t="s">
        <v>2566</v>
      </c>
      <c r="F9314" s="4" t="n">
        <v>41</v>
      </c>
      <c r="G9314" s="4" t="n">
        <v>3</v>
      </c>
      <c r="H9314" s="4" t="n">
        <v>4</v>
      </c>
      <c r="I9314" s="4" t="str">
        <v>×</v>
      </c>
      <c r="J9314" s="4"/>
      <c r="K9314" s="4"/>
      <c r="L9314" s="4"/>
      <c r="M9314" s="5" t="s">
        <v>6166</v>
      </c>
    </row>
    <row r="9315" customFormat="false" ht="15.75" hidden="false" customHeight="false" outlineLevel="0" collapsed="false">
      <c r="A9315" s="6" t="n">
        <v>46158</v>
      </c>
      <c r="B9315" s="4" t="s">
        <v>4473</v>
      </c>
      <c r="C9315" s="4" t="n">
        <v>4</v>
      </c>
      <c r="D9315" s="4" t="n">
        <v>8</v>
      </c>
      <c r="E9315" s="4" t="s">
        <v>6185</v>
      </c>
      <c r="F9315" s="4" t="n">
        <v>52</v>
      </c>
      <c r="G9315" s="4" t="n">
        <v>2</v>
      </c>
      <c r="H9315" s="4" t="n">
        <v>1</v>
      </c>
      <c r="I9315" s="4" t="str">
        <v>○</v>
      </c>
      <c r="J9315" s="4" t="n">
        <v>110</v>
      </c>
      <c r="K9315" s="4"/>
      <c r="L9315" s="4"/>
      <c r="M9315" s="5" t="s">
        <v>6166</v>
      </c>
    </row>
    <row r="9316" customFormat="false" ht="15.75" hidden="false" customHeight="false" outlineLevel="0" collapsed="false">
      <c r="A9316" s="6" t="n">
        <v>46158</v>
      </c>
      <c r="B9316" s="4" t="s">
        <v>4473</v>
      </c>
      <c r="C9316" s="4" t="n">
        <v>4</v>
      </c>
      <c r="D9316" s="4" t="n">
        <v>9</v>
      </c>
      <c r="E9316" s="4" t="s">
        <v>2309</v>
      </c>
      <c r="F9316" s="4" t="n">
        <v>3</v>
      </c>
      <c r="G9316" s="4" t="n">
        <v>11</v>
      </c>
      <c r="H9316" s="4" t="n">
        <v>4</v>
      </c>
      <c r="I9316" s="4" t="str">
        <v>×</v>
      </c>
      <c r="J9316" s="4"/>
      <c r="K9316" s="4"/>
      <c r="L9316" s="4"/>
      <c r="M9316" s="5" t="s">
        <v>6166</v>
      </c>
    </row>
    <row r="9317" customFormat="false" ht="15.75" hidden="false" customHeight="false" outlineLevel="0" collapsed="false">
      <c r="A9317" s="6" t="n">
        <v>46158</v>
      </c>
      <c r="B9317" s="4" t="s">
        <v>4473</v>
      </c>
      <c r="C9317" s="4" t="n">
        <v>4</v>
      </c>
      <c r="D9317" s="4" t="n">
        <v>10</v>
      </c>
      <c r="E9317" s="4" t="s">
        <v>2749</v>
      </c>
      <c r="F9317" s="4" t="n">
        <v>13</v>
      </c>
      <c r="G9317" s="4" t="n">
        <v>8</v>
      </c>
      <c r="H9317" s="4" t="n">
        <v>4</v>
      </c>
      <c r="I9317" s="4" t="str">
        <v>×</v>
      </c>
      <c r="J9317" s="4"/>
      <c r="K9317" s="4"/>
      <c r="L9317" s="4"/>
      <c r="M9317" s="5" t="s">
        <v>6166</v>
      </c>
    </row>
    <row r="9318" customFormat="false" ht="15.75" hidden="false" customHeight="false" outlineLevel="0" collapsed="false">
      <c r="A9318" s="6" t="n">
        <v>46158</v>
      </c>
      <c r="B9318" s="4" t="s">
        <v>4473</v>
      </c>
      <c r="C9318" s="4" t="n">
        <v>4</v>
      </c>
      <c r="D9318" s="4" t="n">
        <v>11</v>
      </c>
      <c r="E9318" s="4" t="s">
        <v>6186</v>
      </c>
      <c r="F9318" s="4" t="n">
        <v>13</v>
      </c>
      <c r="G9318" s="4" t="n">
        <v>8</v>
      </c>
      <c r="H9318" s="4" t="n">
        <v>4</v>
      </c>
      <c r="I9318" s="4" t="str">
        <v>×</v>
      </c>
      <c r="J9318" s="4"/>
      <c r="K9318" s="4"/>
      <c r="L9318" s="4"/>
      <c r="M9318" s="5" t="s">
        <v>6166</v>
      </c>
    </row>
    <row r="9319" customFormat="false" ht="15.75" hidden="false" customHeight="false" outlineLevel="0" collapsed="false">
      <c r="A9319" s="6" t="n">
        <v>46158</v>
      </c>
      <c r="B9319" s="4" t="s">
        <v>4473</v>
      </c>
      <c r="C9319" s="4" t="n">
        <v>4</v>
      </c>
      <c r="D9319" s="4" t="n">
        <v>12</v>
      </c>
      <c r="E9319" s="4" t="s">
        <v>1007</v>
      </c>
      <c r="F9319" s="4" t="n">
        <v>62</v>
      </c>
      <c r="G9319" s="4" t="n">
        <v>1</v>
      </c>
      <c r="H9319" s="4" t="n">
        <v>3</v>
      </c>
      <c r="I9319" s="4" t="str">
        <v>○</v>
      </c>
      <c r="J9319" s="4" t="n">
        <v>120</v>
      </c>
      <c r="K9319" s="4"/>
      <c r="L9319" s="4"/>
      <c r="M9319" s="5" t="s">
        <v>6166</v>
      </c>
    </row>
    <row r="9320" customFormat="false" ht="15.75" hidden="false" customHeight="false" outlineLevel="0" collapsed="false">
      <c r="A9320" s="6" t="n">
        <v>46158</v>
      </c>
      <c r="B9320" s="4" t="s">
        <v>4473</v>
      </c>
      <c r="C9320" s="4" t="n">
        <v>4</v>
      </c>
      <c r="D9320" s="4" t="n">
        <v>13</v>
      </c>
      <c r="E9320" s="4" t="s">
        <v>129</v>
      </c>
      <c r="F9320" s="4" t="n">
        <v>29</v>
      </c>
      <c r="G9320" s="4" t="n">
        <v>4</v>
      </c>
      <c r="H9320" s="4" t="n">
        <v>4</v>
      </c>
      <c r="I9320" s="4" t="str">
        <v>×</v>
      </c>
      <c r="J9320" s="4"/>
      <c r="K9320" s="4"/>
      <c r="L9320" s="4"/>
      <c r="M9320" s="5" t="s">
        <v>6166</v>
      </c>
    </row>
    <row r="9321" customFormat="false" ht="15.75" hidden="false" customHeight="false" outlineLevel="0" collapsed="false">
      <c r="A9321" s="6" t="n">
        <v>46158</v>
      </c>
      <c r="B9321" s="4" t="s">
        <v>4473</v>
      </c>
      <c r="C9321" s="4" t="n">
        <v>5</v>
      </c>
      <c r="D9321" s="4" t="n">
        <v>1</v>
      </c>
      <c r="E9321" s="4" t="s">
        <v>6187</v>
      </c>
      <c r="F9321" s="4" t="n">
        <v>6</v>
      </c>
      <c r="G9321" s="4" t="n">
        <v>10</v>
      </c>
      <c r="H9321" s="4" t="n">
        <v>4</v>
      </c>
      <c r="I9321" s="4" t="str">
        <v>×</v>
      </c>
      <c r="J9321" s="4"/>
      <c r="K9321" s="4"/>
      <c r="L9321" s="4"/>
      <c r="M9321" s="5" t="s">
        <v>6166</v>
      </c>
    </row>
    <row r="9322" customFormat="false" ht="15.75" hidden="false" customHeight="false" outlineLevel="0" collapsed="false">
      <c r="A9322" s="6" t="n">
        <v>46158</v>
      </c>
      <c r="B9322" s="4" t="s">
        <v>4473</v>
      </c>
      <c r="C9322" s="4" t="n">
        <v>5</v>
      </c>
      <c r="D9322" s="4" t="n">
        <v>2</v>
      </c>
      <c r="E9322" s="4" t="s">
        <v>4925</v>
      </c>
      <c r="F9322" s="4" t="n">
        <v>37</v>
      </c>
      <c r="G9322" s="4" t="n">
        <v>3</v>
      </c>
      <c r="H9322" s="4" t="n">
        <v>3</v>
      </c>
      <c r="I9322" s="4" t="str">
        <v>○</v>
      </c>
      <c r="J9322" s="4" t="n">
        <v>130</v>
      </c>
      <c r="K9322" s="4"/>
      <c r="L9322" s="4"/>
      <c r="M9322" s="5" t="s">
        <v>6166</v>
      </c>
    </row>
    <row r="9323" customFormat="false" ht="15.75" hidden="false" customHeight="false" outlineLevel="0" collapsed="false">
      <c r="A9323" s="6" t="n">
        <v>46158</v>
      </c>
      <c r="B9323" s="4" t="s">
        <v>4473</v>
      </c>
      <c r="C9323" s="4" t="n">
        <v>5</v>
      </c>
      <c r="D9323" s="4" t="n">
        <v>3</v>
      </c>
      <c r="E9323" s="4" t="s">
        <v>6188</v>
      </c>
      <c r="F9323" s="4" t="n">
        <v>2</v>
      </c>
      <c r="G9323" s="4" t="n">
        <v>12</v>
      </c>
      <c r="H9323" s="4" t="n">
        <v>4</v>
      </c>
      <c r="I9323" s="4" t="str">
        <v>×</v>
      </c>
      <c r="J9323" s="4"/>
      <c r="K9323" s="4"/>
      <c r="L9323" s="4"/>
      <c r="M9323" s="5" t="s">
        <v>6166</v>
      </c>
    </row>
    <row r="9324" customFormat="false" ht="15.75" hidden="false" customHeight="false" outlineLevel="0" collapsed="false">
      <c r="A9324" s="6" t="n">
        <v>46158</v>
      </c>
      <c r="B9324" s="4" t="s">
        <v>4473</v>
      </c>
      <c r="C9324" s="4" t="n">
        <v>5</v>
      </c>
      <c r="D9324" s="4" t="n">
        <v>4</v>
      </c>
      <c r="E9324" s="4" t="s">
        <v>5145</v>
      </c>
      <c r="F9324" s="4" t="n">
        <v>23</v>
      </c>
      <c r="G9324" s="4" t="n">
        <v>6</v>
      </c>
      <c r="H9324" s="4" t="n">
        <v>4</v>
      </c>
      <c r="I9324" s="4" t="str">
        <v>×</v>
      </c>
      <c r="J9324" s="4"/>
      <c r="K9324" s="4"/>
      <c r="L9324" s="4"/>
      <c r="M9324" s="5" t="s">
        <v>6166</v>
      </c>
    </row>
    <row r="9325" customFormat="false" ht="15.75" hidden="false" customHeight="false" outlineLevel="0" collapsed="false">
      <c r="A9325" s="6" t="n">
        <v>46158</v>
      </c>
      <c r="B9325" s="4" t="s">
        <v>4473</v>
      </c>
      <c r="C9325" s="4" t="n">
        <v>5</v>
      </c>
      <c r="D9325" s="4" t="n">
        <v>5</v>
      </c>
      <c r="E9325" s="4" t="s">
        <v>2357</v>
      </c>
      <c r="F9325" s="4" t="n">
        <v>8</v>
      </c>
      <c r="G9325" s="4" t="n">
        <v>9</v>
      </c>
      <c r="H9325" s="4" t="n">
        <v>4</v>
      </c>
      <c r="I9325" s="4" t="str">
        <v>×</v>
      </c>
      <c r="J9325" s="4"/>
      <c r="K9325" s="4"/>
      <c r="L9325" s="4"/>
      <c r="M9325" s="5" t="s">
        <v>6166</v>
      </c>
    </row>
    <row r="9326" customFormat="false" ht="15.75" hidden="false" customHeight="false" outlineLevel="0" collapsed="false">
      <c r="A9326" s="6" t="n">
        <v>46158</v>
      </c>
      <c r="B9326" s="4" t="s">
        <v>4473</v>
      </c>
      <c r="C9326" s="4" t="n">
        <v>5</v>
      </c>
      <c r="D9326" s="4" t="n">
        <v>6</v>
      </c>
      <c r="E9326" s="4" t="s">
        <v>599</v>
      </c>
      <c r="F9326" s="4" t="n">
        <v>6</v>
      </c>
      <c r="G9326" s="4" t="n">
        <v>10</v>
      </c>
      <c r="H9326" s="4" t="n">
        <v>4</v>
      </c>
      <c r="I9326" s="4" t="str">
        <v>×</v>
      </c>
      <c r="J9326" s="4"/>
      <c r="K9326" s="4"/>
      <c r="L9326" s="4"/>
      <c r="M9326" s="5" t="s">
        <v>6166</v>
      </c>
    </row>
    <row r="9327" customFormat="false" ht="15.75" hidden="false" customHeight="false" outlineLevel="0" collapsed="false">
      <c r="A9327" s="6" t="n">
        <v>46158</v>
      </c>
      <c r="B9327" s="4" t="s">
        <v>4473</v>
      </c>
      <c r="C9327" s="4" t="n">
        <v>5</v>
      </c>
      <c r="D9327" s="4" t="n">
        <v>7</v>
      </c>
      <c r="E9327" s="4" t="s">
        <v>6189</v>
      </c>
      <c r="F9327" s="4" t="n">
        <v>10</v>
      </c>
      <c r="G9327" s="4" t="n">
        <v>8</v>
      </c>
      <c r="H9327" s="4" t="n">
        <v>4</v>
      </c>
      <c r="I9327" s="4" t="str">
        <v>×</v>
      </c>
      <c r="J9327" s="4"/>
      <c r="K9327" s="4"/>
      <c r="L9327" s="4"/>
      <c r="M9327" s="5" t="s">
        <v>6166</v>
      </c>
    </row>
    <row r="9328" customFormat="false" ht="15.75" hidden="false" customHeight="false" outlineLevel="0" collapsed="false">
      <c r="A9328" s="6" t="n">
        <v>46158</v>
      </c>
      <c r="B9328" s="4" t="s">
        <v>4473</v>
      </c>
      <c r="C9328" s="4" t="n">
        <v>5</v>
      </c>
      <c r="D9328" s="4" t="n">
        <v>8</v>
      </c>
      <c r="E9328" s="4" t="s">
        <v>149</v>
      </c>
      <c r="F9328" s="4" t="n">
        <v>8</v>
      </c>
      <c r="G9328" s="4" t="n">
        <v>9</v>
      </c>
      <c r="H9328" s="4" t="n">
        <v>4</v>
      </c>
      <c r="I9328" s="4" t="str">
        <v>×</v>
      </c>
      <c r="J9328" s="4"/>
      <c r="K9328" s="4"/>
      <c r="L9328" s="4"/>
      <c r="M9328" s="5" t="s">
        <v>6166</v>
      </c>
    </row>
    <row r="9329" customFormat="false" ht="15.75" hidden="false" customHeight="false" outlineLevel="0" collapsed="false">
      <c r="A9329" s="6" t="n">
        <v>46158</v>
      </c>
      <c r="B9329" s="4" t="s">
        <v>4473</v>
      </c>
      <c r="C9329" s="4" t="n">
        <v>5</v>
      </c>
      <c r="D9329" s="4" t="n">
        <v>9</v>
      </c>
      <c r="E9329" s="4" t="s">
        <v>148</v>
      </c>
      <c r="F9329" s="4" t="n">
        <v>25</v>
      </c>
      <c r="G9329" s="4" t="n">
        <v>5</v>
      </c>
      <c r="H9329" s="4" t="n">
        <v>4</v>
      </c>
      <c r="I9329" s="4" t="str">
        <v>×</v>
      </c>
      <c r="J9329" s="4"/>
      <c r="K9329" s="4"/>
      <c r="L9329" s="4"/>
      <c r="M9329" s="5" t="s">
        <v>6166</v>
      </c>
    </row>
    <row r="9330" customFormat="false" ht="15.75" hidden="false" customHeight="false" outlineLevel="0" collapsed="false">
      <c r="A9330" s="6" t="n">
        <v>46158</v>
      </c>
      <c r="B9330" s="4" t="s">
        <v>4473</v>
      </c>
      <c r="C9330" s="4" t="n">
        <v>5</v>
      </c>
      <c r="D9330" s="4" t="n">
        <v>10</v>
      </c>
      <c r="E9330" s="4" t="s">
        <v>6190</v>
      </c>
      <c r="F9330" s="4" t="n">
        <v>39</v>
      </c>
      <c r="G9330" s="4" t="n">
        <v>2</v>
      </c>
      <c r="H9330" s="4" t="n">
        <v>1</v>
      </c>
      <c r="I9330" s="4" t="str">
        <v>○</v>
      </c>
      <c r="J9330" s="4" t="n">
        <v>140</v>
      </c>
      <c r="K9330" s="4"/>
      <c r="L9330" s="4"/>
      <c r="M9330" s="5" t="s">
        <v>6166</v>
      </c>
    </row>
    <row r="9331" customFormat="false" ht="15.75" hidden="false" customHeight="false" outlineLevel="0" collapsed="false">
      <c r="A9331" s="6" t="n">
        <v>46158</v>
      </c>
      <c r="B9331" s="4" t="s">
        <v>4473</v>
      </c>
      <c r="C9331" s="4" t="n">
        <v>5</v>
      </c>
      <c r="D9331" s="4" t="n">
        <v>11</v>
      </c>
      <c r="E9331" s="4" t="s">
        <v>6191</v>
      </c>
      <c r="F9331" s="4" t="n">
        <v>15</v>
      </c>
      <c r="G9331" s="4" t="n">
        <v>7</v>
      </c>
      <c r="H9331" s="4" t="n">
        <v>4</v>
      </c>
      <c r="I9331" s="4" t="str">
        <v>×</v>
      </c>
      <c r="J9331" s="4"/>
      <c r="K9331" s="4"/>
      <c r="L9331" s="4"/>
      <c r="M9331" s="5" t="s">
        <v>6166</v>
      </c>
    </row>
    <row r="9332" customFormat="false" ht="15.75" hidden="false" customHeight="false" outlineLevel="0" collapsed="false">
      <c r="A9332" s="6" t="n">
        <v>46158</v>
      </c>
      <c r="B9332" s="4" t="s">
        <v>4473</v>
      </c>
      <c r="C9332" s="4" t="n">
        <v>5</v>
      </c>
      <c r="D9332" s="4" t="n">
        <v>12</v>
      </c>
      <c r="E9332" s="4" t="s">
        <v>5139</v>
      </c>
      <c r="F9332" s="4" t="n">
        <v>66</v>
      </c>
      <c r="G9332" s="4" t="n">
        <v>1</v>
      </c>
      <c r="H9332" s="4" t="n">
        <v>2</v>
      </c>
      <c r="I9332" s="4" t="str">
        <v>○</v>
      </c>
      <c r="J9332" s="4" t="n">
        <v>120</v>
      </c>
      <c r="K9332" s="4"/>
      <c r="L9332" s="4"/>
      <c r="M9332" s="5" t="s">
        <v>6166</v>
      </c>
    </row>
    <row r="9333" customFormat="false" ht="15.75" hidden="false" customHeight="false" outlineLevel="0" collapsed="false">
      <c r="A9333" s="6" t="n">
        <v>46158</v>
      </c>
      <c r="B9333" s="4" t="s">
        <v>4473</v>
      </c>
      <c r="C9333" s="4" t="n">
        <v>5</v>
      </c>
      <c r="D9333" s="4" t="n">
        <v>13</v>
      </c>
      <c r="E9333" s="4" t="s">
        <v>3814</v>
      </c>
      <c r="F9333" s="4" t="n">
        <v>8</v>
      </c>
      <c r="G9333" s="4" t="n">
        <v>9</v>
      </c>
      <c r="H9333" s="4" t="n">
        <v>4</v>
      </c>
      <c r="I9333" s="4" t="str">
        <v>×</v>
      </c>
      <c r="J9333" s="4"/>
      <c r="K9333" s="4"/>
      <c r="L9333" s="4"/>
      <c r="M9333" s="5" t="s">
        <v>6166</v>
      </c>
    </row>
    <row r="9334" customFormat="false" ht="15.75" hidden="false" customHeight="false" outlineLevel="0" collapsed="false">
      <c r="A9334" s="6" t="n">
        <v>46158</v>
      </c>
      <c r="B9334" s="4" t="s">
        <v>4473</v>
      </c>
      <c r="C9334" s="4" t="n">
        <v>5</v>
      </c>
      <c r="D9334" s="4" t="n">
        <v>14</v>
      </c>
      <c r="E9334" s="4" t="s">
        <v>2946</v>
      </c>
      <c r="F9334" s="4" t="n">
        <v>6</v>
      </c>
      <c r="G9334" s="4" t="n">
        <v>10</v>
      </c>
      <c r="H9334" s="4" t="n">
        <v>4</v>
      </c>
      <c r="I9334" s="4" t="str">
        <v>×</v>
      </c>
      <c r="J9334" s="4"/>
      <c r="K9334" s="4"/>
      <c r="L9334" s="4"/>
      <c r="M9334" s="5" t="s">
        <v>6166</v>
      </c>
    </row>
    <row r="9335" customFormat="false" ht="15.75" hidden="false" customHeight="false" outlineLevel="0" collapsed="false">
      <c r="A9335" s="6" t="n">
        <v>46158</v>
      </c>
      <c r="B9335" s="4" t="s">
        <v>4473</v>
      </c>
      <c r="C9335" s="4" t="n">
        <v>5</v>
      </c>
      <c r="D9335" s="4" t="n">
        <v>15</v>
      </c>
      <c r="E9335" s="4" t="s">
        <v>2805</v>
      </c>
      <c r="F9335" s="4" t="n">
        <v>8</v>
      </c>
      <c r="G9335" s="4" t="n">
        <v>9</v>
      </c>
      <c r="H9335" s="4" t="n">
        <v>4</v>
      </c>
      <c r="I9335" s="4" t="str">
        <v>×</v>
      </c>
      <c r="J9335" s="4"/>
      <c r="K9335" s="4"/>
      <c r="L9335" s="4"/>
      <c r="M9335" s="5" t="s">
        <v>6166</v>
      </c>
    </row>
    <row r="9336" customFormat="false" ht="15.75" hidden="false" customHeight="false" outlineLevel="0" collapsed="false">
      <c r="A9336" s="6" t="n">
        <v>46158</v>
      </c>
      <c r="B9336" s="4" t="s">
        <v>4473</v>
      </c>
      <c r="C9336" s="4" t="n">
        <v>5</v>
      </c>
      <c r="D9336" s="4" t="n">
        <v>16</v>
      </c>
      <c r="E9336" s="4" t="s">
        <v>4690</v>
      </c>
      <c r="F9336" s="4" t="n">
        <v>4</v>
      </c>
      <c r="G9336" s="4" t="n">
        <v>11</v>
      </c>
      <c r="H9336" s="4" t="n">
        <v>4</v>
      </c>
      <c r="I9336" s="4" t="str">
        <v>×</v>
      </c>
      <c r="J9336" s="4"/>
      <c r="K9336" s="4"/>
      <c r="L9336" s="4"/>
      <c r="M9336" s="5" t="s">
        <v>6166</v>
      </c>
    </row>
    <row r="9337" customFormat="false" ht="15.75" hidden="false" customHeight="false" outlineLevel="0" collapsed="false">
      <c r="A9337" s="6" t="n">
        <v>46158</v>
      </c>
      <c r="B9337" s="4" t="s">
        <v>4473</v>
      </c>
      <c r="C9337" s="4" t="n">
        <v>5</v>
      </c>
      <c r="D9337" s="4" t="n">
        <v>17</v>
      </c>
      <c r="E9337" s="4" t="s">
        <v>4099</v>
      </c>
      <c r="F9337" s="4" t="n">
        <v>29</v>
      </c>
      <c r="G9337" s="4" t="n">
        <v>4</v>
      </c>
      <c r="H9337" s="4" t="n">
        <v>4</v>
      </c>
      <c r="I9337" s="4" t="str">
        <v>×</v>
      </c>
      <c r="J9337" s="4"/>
      <c r="K9337" s="4"/>
      <c r="L9337" s="4"/>
      <c r="M9337" s="5" t="s">
        <v>6166</v>
      </c>
    </row>
    <row r="9338" customFormat="false" ht="15.75" hidden="false" customHeight="false" outlineLevel="0" collapsed="false">
      <c r="A9338" s="6" t="n">
        <v>46158</v>
      </c>
      <c r="B9338" s="4" t="s">
        <v>4473</v>
      </c>
      <c r="C9338" s="4" t="n">
        <v>5</v>
      </c>
      <c r="D9338" s="4" t="n">
        <v>18</v>
      </c>
      <c r="E9338" s="4" t="s">
        <v>6192</v>
      </c>
      <c r="F9338" s="4" t="n">
        <v>8</v>
      </c>
      <c r="G9338" s="4" t="n">
        <v>9</v>
      </c>
      <c r="H9338" s="4" t="n">
        <v>4</v>
      </c>
      <c r="I9338" s="4" t="str">
        <v>×</v>
      </c>
      <c r="J9338" s="4"/>
      <c r="K9338" s="4"/>
      <c r="L9338" s="4"/>
      <c r="M9338" s="5" t="s">
        <v>6166</v>
      </c>
    </row>
    <row r="9339" customFormat="false" ht="15.75" hidden="false" customHeight="false" outlineLevel="0" collapsed="false">
      <c r="A9339" s="6" t="n">
        <v>46158</v>
      </c>
      <c r="B9339" s="4" t="s">
        <v>4473</v>
      </c>
      <c r="C9339" s="4" t="n">
        <v>6</v>
      </c>
      <c r="D9339" s="4" t="n">
        <v>1</v>
      </c>
      <c r="E9339" s="4" t="s">
        <v>1033</v>
      </c>
      <c r="F9339" s="4" t="n">
        <v>17</v>
      </c>
      <c r="G9339" s="4" t="n">
        <v>6</v>
      </c>
      <c r="H9339" s="4" t="n">
        <v>4</v>
      </c>
      <c r="I9339" s="4" t="str">
        <v>×</v>
      </c>
      <c r="J9339" s="4"/>
      <c r="K9339" s="4"/>
      <c r="L9339" s="4"/>
      <c r="M9339" s="5" t="s">
        <v>6166</v>
      </c>
    </row>
    <row r="9340" customFormat="false" ht="15.75" hidden="false" customHeight="false" outlineLevel="0" collapsed="false">
      <c r="A9340" s="6" t="n">
        <v>46158</v>
      </c>
      <c r="B9340" s="4" t="s">
        <v>4473</v>
      </c>
      <c r="C9340" s="4" t="n">
        <v>6</v>
      </c>
      <c r="D9340" s="4" t="n">
        <v>2</v>
      </c>
      <c r="E9340" s="4" t="s">
        <v>6193</v>
      </c>
      <c r="F9340" s="4" t="n">
        <v>29</v>
      </c>
      <c r="G9340" s="4" t="n">
        <v>4</v>
      </c>
      <c r="H9340" s="4" t="n">
        <v>4</v>
      </c>
      <c r="I9340" s="4" t="str">
        <v>×</v>
      </c>
      <c r="J9340" s="4"/>
      <c r="K9340" s="4"/>
      <c r="L9340" s="4"/>
      <c r="M9340" s="5" t="s">
        <v>6166</v>
      </c>
    </row>
    <row r="9341" customFormat="false" ht="15.75" hidden="false" customHeight="false" outlineLevel="0" collapsed="false">
      <c r="A9341" s="6" t="n">
        <v>46158</v>
      </c>
      <c r="B9341" s="4" t="s">
        <v>4473</v>
      </c>
      <c r="C9341" s="4" t="n">
        <v>6</v>
      </c>
      <c r="D9341" s="4" t="n">
        <v>3</v>
      </c>
      <c r="E9341" s="4" t="s">
        <v>6194</v>
      </c>
      <c r="F9341" s="4" t="n">
        <v>66</v>
      </c>
      <c r="G9341" s="4" t="n">
        <v>1</v>
      </c>
      <c r="H9341" s="4" t="n">
        <v>1</v>
      </c>
      <c r="I9341" s="4" t="str">
        <v>○</v>
      </c>
      <c r="J9341" s="4" t="n">
        <v>130</v>
      </c>
      <c r="K9341" s="4"/>
      <c r="L9341" s="4"/>
      <c r="M9341" s="5" t="s">
        <v>6166</v>
      </c>
    </row>
    <row r="9342" customFormat="false" ht="15.75" hidden="false" customHeight="false" outlineLevel="0" collapsed="false">
      <c r="A9342" s="6" t="n">
        <v>46158</v>
      </c>
      <c r="B9342" s="4" t="s">
        <v>4473</v>
      </c>
      <c r="C9342" s="4" t="n">
        <v>6</v>
      </c>
      <c r="D9342" s="4" t="n">
        <v>4</v>
      </c>
      <c r="E9342" s="4" t="s">
        <v>4540</v>
      </c>
      <c r="F9342" s="4" t="n">
        <v>58</v>
      </c>
      <c r="G9342" s="4" t="n">
        <v>3</v>
      </c>
      <c r="H9342" s="4" t="n">
        <v>2</v>
      </c>
      <c r="I9342" s="4" t="str">
        <v>○</v>
      </c>
      <c r="J9342" s="4" t="n">
        <v>110</v>
      </c>
      <c r="K9342" s="4"/>
      <c r="L9342" s="4"/>
      <c r="M9342" s="5" t="s">
        <v>6166</v>
      </c>
    </row>
    <row r="9343" customFormat="false" ht="15.75" hidden="false" customHeight="false" outlineLevel="0" collapsed="false">
      <c r="A9343" s="6" t="n">
        <v>46158</v>
      </c>
      <c r="B9343" s="4" t="s">
        <v>4473</v>
      </c>
      <c r="C9343" s="4" t="n">
        <v>6</v>
      </c>
      <c r="D9343" s="4" t="n">
        <v>5</v>
      </c>
      <c r="E9343" s="4" t="s">
        <v>6195</v>
      </c>
      <c r="F9343" s="4" t="n">
        <v>8</v>
      </c>
      <c r="G9343" s="4" t="n">
        <v>7</v>
      </c>
      <c r="H9343" s="4" t="n">
        <v>4</v>
      </c>
      <c r="I9343" s="4" t="str">
        <v>×</v>
      </c>
      <c r="J9343" s="4"/>
      <c r="K9343" s="4"/>
      <c r="L9343" s="4"/>
      <c r="M9343" s="5" t="s">
        <v>6166</v>
      </c>
    </row>
    <row r="9344" customFormat="false" ht="15.75" hidden="false" customHeight="false" outlineLevel="0" collapsed="false">
      <c r="A9344" s="6" t="n">
        <v>46158</v>
      </c>
      <c r="B9344" s="4" t="s">
        <v>4473</v>
      </c>
      <c r="C9344" s="4" t="n">
        <v>6</v>
      </c>
      <c r="D9344" s="4" t="n">
        <v>6</v>
      </c>
      <c r="E9344" s="4" t="s">
        <v>6196</v>
      </c>
      <c r="F9344" s="4" t="n">
        <v>2</v>
      </c>
      <c r="G9344" s="4" t="n">
        <v>8</v>
      </c>
      <c r="H9344" s="4" t="n">
        <v>4</v>
      </c>
      <c r="I9344" s="4" t="str">
        <v>×</v>
      </c>
      <c r="J9344" s="4"/>
      <c r="K9344" s="4"/>
      <c r="L9344" s="4"/>
      <c r="M9344" s="5" t="s">
        <v>6166</v>
      </c>
    </row>
    <row r="9345" customFormat="false" ht="15.75" hidden="false" customHeight="false" outlineLevel="0" collapsed="false">
      <c r="A9345" s="6" t="n">
        <v>46158</v>
      </c>
      <c r="B9345" s="4" t="s">
        <v>4473</v>
      </c>
      <c r="C9345" s="4" t="n">
        <v>6</v>
      </c>
      <c r="D9345" s="4" t="n">
        <v>7</v>
      </c>
      <c r="E9345" s="4" t="s">
        <v>6197</v>
      </c>
      <c r="F9345" s="4" t="n">
        <v>23</v>
      </c>
      <c r="G9345" s="4" t="n">
        <v>5</v>
      </c>
      <c r="H9345" s="4" t="n">
        <v>4</v>
      </c>
      <c r="I9345" s="4" t="str">
        <v>×</v>
      </c>
      <c r="J9345" s="4"/>
      <c r="K9345" s="4"/>
      <c r="L9345" s="4"/>
      <c r="M9345" s="5" t="s">
        <v>6166</v>
      </c>
    </row>
    <row r="9346" customFormat="false" ht="15.75" hidden="false" customHeight="false" outlineLevel="0" collapsed="false">
      <c r="A9346" s="6" t="n">
        <v>46158</v>
      </c>
      <c r="B9346" s="4" t="s">
        <v>4473</v>
      </c>
      <c r="C9346" s="4" t="n">
        <v>6</v>
      </c>
      <c r="D9346" s="4" t="n">
        <v>8</v>
      </c>
      <c r="E9346" s="4" t="s">
        <v>6198</v>
      </c>
      <c r="F9346" s="4" t="n">
        <v>65</v>
      </c>
      <c r="G9346" s="4" t="n">
        <v>2</v>
      </c>
      <c r="H9346" s="4" t="n">
        <v>3</v>
      </c>
      <c r="I9346" s="4" t="str">
        <v>○</v>
      </c>
      <c r="J9346" s="4" t="n">
        <v>150</v>
      </c>
      <c r="K9346" s="4"/>
      <c r="L9346" s="4"/>
      <c r="M9346" s="5" t="s">
        <v>6166</v>
      </c>
    </row>
    <row r="9347" customFormat="false" ht="15.75" hidden="false" customHeight="false" outlineLevel="0" collapsed="false">
      <c r="A9347" s="6" t="n">
        <v>46158</v>
      </c>
      <c r="B9347" s="4" t="s">
        <v>4473</v>
      </c>
      <c r="C9347" s="4" t="n">
        <v>7</v>
      </c>
      <c r="D9347" s="4" t="n">
        <v>1</v>
      </c>
      <c r="E9347" s="4" t="s">
        <v>528</v>
      </c>
      <c r="F9347" s="4" t="n">
        <v>25</v>
      </c>
      <c r="G9347" s="4" t="n">
        <v>5</v>
      </c>
      <c r="H9347" s="4" t="n">
        <v>4</v>
      </c>
      <c r="I9347" s="4" t="str">
        <v>×</v>
      </c>
      <c r="J9347" s="4"/>
      <c r="K9347" s="4"/>
      <c r="L9347" s="4"/>
      <c r="M9347" s="5" t="s">
        <v>6166</v>
      </c>
    </row>
    <row r="9348" customFormat="false" ht="15.75" hidden="false" customHeight="false" outlineLevel="0" collapsed="false">
      <c r="A9348" s="6" t="n">
        <v>46158</v>
      </c>
      <c r="B9348" s="4" t="s">
        <v>4473</v>
      </c>
      <c r="C9348" s="4" t="n">
        <v>7</v>
      </c>
      <c r="D9348" s="4" t="n">
        <v>2</v>
      </c>
      <c r="E9348" s="4" t="s">
        <v>6199</v>
      </c>
      <c r="F9348" s="4" t="n">
        <v>44</v>
      </c>
      <c r="G9348" s="4" t="n">
        <v>1</v>
      </c>
      <c r="H9348" s="4" t="n">
        <v>4</v>
      </c>
      <c r="I9348" s="4" t="str">
        <v>×</v>
      </c>
      <c r="J9348" s="4"/>
      <c r="K9348" s="4"/>
      <c r="L9348" s="4"/>
      <c r="M9348" s="5" t="s">
        <v>6166</v>
      </c>
    </row>
    <row r="9349" customFormat="false" ht="15.75" hidden="false" customHeight="false" outlineLevel="0" collapsed="false">
      <c r="A9349" s="6" t="n">
        <v>46158</v>
      </c>
      <c r="B9349" s="4" t="s">
        <v>4473</v>
      </c>
      <c r="C9349" s="4" t="n">
        <v>7</v>
      </c>
      <c r="D9349" s="4" t="n">
        <v>3</v>
      </c>
      <c r="E9349" s="4" t="s">
        <v>6200</v>
      </c>
      <c r="F9349" s="4" t="n">
        <v>20</v>
      </c>
      <c r="G9349" s="4" t="n">
        <v>6</v>
      </c>
      <c r="H9349" s="4" t="n">
        <v>4</v>
      </c>
      <c r="I9349" s="4" t="str">
        <v>×</v>
      </c>
      <c r="J9349" s="4"/>
      <c r="K9349" s="4"/>
      <c r="L9349" s="4"/>
      <c r="M9349" s="5" t="s">
        <v>6166</v>
      </c>
    </row>
    <row r="9350" customFormat="false" ht="15.75" hidden="false" customHeight="false" outlineLevel="0" collapsed="false">
      <c r="A9350" s="6" t="n">
        <v>46158</v>
      </c>
      <c r="B9350" s="4" t="s">
        <v>4473</v>
      </c>
      <c r="C9350" s="4" t="n">
        <v>7</v>
      </c>
      <c r="D9350" s="4" t="n">
        <v>4</v>
      </c>
      <c r="E9350" s="4" t="s">
        <v>3784</v>
      </c>
      <c r="F9350" s="4" t="n">
        <v>41</v>
      </c>
      <c r="G9350" s="4" t="n">
        <v>2</v>
      </c>
      <c r="H9350" s="4" t="n">
        <v>3</v>
      </c>
      <c r="I9350" s="4" t="str">
        <v>○</v>
      </c>
      <c r="J9350" s="4" t="n">
        <v>140</v>
      </c>
      <c r="K9350" s="4"/>
      <c r="L9350" s="4"/>
      <c r="M9350" s="5" t="s">
        <v>6166</v>
      </c>
    </row>
    <row r="9351" customFormat="false" ht="15.75" hidden="false" customHeight="false" outlineLevel="0" collapsed="false">
      <c r="A9351" s="6" t="n">
        <v>46158</v>
      </c>
      <c r="B9351" s="4" t="s">
        <v>4473</v>
      </c>
      <c r="C9351" s="4" t="n">
        <v>7</v>
      </c>
      <c r="D9351" s="4" t="n">
        <v>5</v>
      </c>
      <c r="E9351" s="4" t="s">
        <v>6007</v>
      </c>
      <c r="F9351" s="4" t="n">
        <v>4</v>
      </c>
      <c r="G9351" s="4" t="n">
        <v>10</v>
      </c>
      <c r="H9351" s="4" t="n">
        <v>4</v>
      </c>
      <c r="I9351" s="4" t="str">
        <v>×</v>
      </c>
      <c r="J9351" s="4"/>
      <c r="K9351" s="4"/>
      <c r="L9351" s="4"/>
      <c r="M9351" s="5" t="s">
        <v>6166</v>
      </c>
    </row>
    <row r="9352" customFormat="false" ht="15.75" hidden="false" customHeight="false" outlineLevel="0" collapsed="false">
      <c r="A9352" s="6" t="n">
        <v>46158</v>
      </c>
      <c r="B9352" s="4" t="s">
        <v>4473</v>
      </c>
      <c r="C9352" s="4" t="n">
        <v>7</v>
      </c>
      <c r="D9352" s="4" t="n">
        <v>6</v>
      </c>
      <c r="E9352" s="4" t="s">
        <v>6201</v>
      </c>
      <c r="F9352" s="4" t="n">
        <v>29</v>
      </c>
      <c r="G9352" s="4" t="n">
        <v>4</v>
      </c>
      <c r="H9352" s="4" t="n">
        <v>4</v>
      </c>
      <c r="I9352" s="4" t="str">
        <v>×</v>
      </c>
      <c r="J9352" s="4"/>
      <c r="K9352" s="4"/>
      <c r="L9352" s="4"/>
      <c r="M9352" s="5" t="s">
        <v>6166</v>
      </c>
    </row>
    <row r="9353" customFormat="false" ht="15.75" hidden="false" customHeight="false" outlineLevel="0" collapsed="false">
      <c r="A9353" s="6" t="n">
        <v>46158</v>
      </c>
      <c r="B9353" s="4" t="s">
        <v>4473</v>
      </c>
      <c r="C9353" s="4" t="n">
        <v>7</v>
      </c>
      <c r="D9353" s="4" t="n">
        <v>7</v>
      </c>
      <c r="E9353" s="4" t="s">
        <v>6202</v>
      </c>
      <c r="F9353" s="4" t="n">
        <v>3</v>
      </c>
      <c r="G9353" s="4" t="n">
        <v>11</v>
      </c>
      <c r="H9353" s="4" t="n">
        <v>4</v>
      </c>
      <c r="I9353" s="4" t="str">
        <v>×</v>
      </c>
      <c r="J9353" s="4"/>
      <c r="K9353" s="4"/>
      <c r="L9353" s="4"/>
      <c r="M9353" s="5" t="s">
        <v>6166</v>
      </c>
    </row>
    <row r="9354" customFormat="false" ht="15.75" hidden="false" customHeight="false" outlineLevel="0" collapsed="false">
      <c r="A9354" s="6" t="n">
        <v>46158</v>
      </c>
      <c r="B9354" s="4" t="s">
        <v>4473</v>
      </c>
      <c r="C9354" s="4" t="n">
        <v>7</v>
      </c>
      <c r="D9354" s="4" t="n">
        <v>8</v>
      </c>
      <c r="E9354" s="4" t="s">
        <v>4720</v>
      </c>
      <c r="F9354" s="4" t="n">
        <v>6</v>
      </c>
      <c r="G9354" s="4" t="n">
        <v>9</v>
      </c>
      <c r="H9354" s="4" t="n">
        <v>4</v>
      </c>
      <c r="I9354" s="4" t="str">
        <v>×</v>
      </c>
      <c r="J9354" s="4"/>
      <c r="K9354" s="4"/>
      <c r="L9354" s="4"/>
      <c r="M9354" s="5" t="s">
        <v>6166</v>
      </c>
    </row>
    <row r="9355" customFormat="false" ht="15.75" hidden="false" customHeight="false" outlineLevel="0" collapsed="false">
      <c r="A9355" s="6" t="n">
        <v>46158</v>
      </c>
      <c r="B9355" s="4" t="s">
        <v>4473</v>
      </c>
      <c r="C9355" s="4" t="n">
        <v>7</v>
      </c>
      <c r="D9355" s="4" t="n">
        <v>9</v>
      </c>
      <c r="E9355" s="4" t="s">
        <v>6203</v>
      </c>
      <c r="F9355" s="4" t="n">
        <v>41</v>
      </c>
      <c r="G9355" s="4" t="n">
        <v>2</v>
      </c>
      <c r="H9355" s="4" t="n">
        <v>1</v>
      </c>
      <c r="I9355" s="4" t="str">
        <v>○</v>
      </c>
      <c r="J9355" s="4" t="n">
        <v>220</v>
      </c>
      <c r="K9355" s="4"/>
      <c r="L9355" s="4"/>
      <c r="M9355" s="5" t="s">
        <v>6166</v>
      </c>
    </row>
    <row r="9356" customFormat="false" ht="15.75" hidden="false" customHeight="false" outlineLevel="0" collapsed="false">
      <c r="A9356" s="6" t="n">
        <v>46158</v>
      </c>
      <c r="B9356" s="4" t="s">
        <v>4473</v>
      </c>
      <c r="C9356" s="4" t="n">
        <v>7</v>
      </c>
      <c r="D9356" s="4" t="n">
        <v>10</v>
      </c>
      <c r="E9356" s="4" t="s">
        <v>3843</v>
      </c>
      <c r="F9356" s="4" t="n">
        <v>8</v>
      </c>
      <c r="G9356" s="4" t="n">
        <v>8</v>
      </c>
      <c r="H9356" s="4" t="n">
        <v>4</v>
      </c>
      <c r="I9356" s="4" t="str">
        <v>×</v>
      </c>
      <c r="J9356" s="4"/>
      <c r="K9356" s="4"/>
      <c r="L9356" s="4"/>
      <c r="M9356" s="5" t="s">
        <v>6166</v>
      </c>
    </row>
    <row r="9357" customFormat="false" ht="15.75" hidden="false" customHeight="false" outlineLevel="0" collapsed="false">
      <c r="A9357" s="6" t="n">
        <v>46158</v>
      </c>
      <c r="B9357" s="4" t="s">
        <v>4473</v>
      </c>
      <c r="C9357" s="4" t="n">
        <v>7</v>
      </c>
      <c r="D9357" s="4" t="n">
        <v>11</v>
      </c>
      <c r="E9357" s="4" t="s">
        <v>2011</v>
      </c>
      <c r="F9357" s="4" t="n">
        <v>3</v>
      </c>
      <c r="G9357" s="4" t="n">
        <v>11</v>
      </c>
      <c r="H9357" s="4" t="n">
        <v>4</v>
      </c>
      <c r="I9357" s="4" t="str">
        <v>×</v>
      </c>
      <c r="J9357" s="4"/>
      <c r="K9357" s="4"/>
      <c r="L9357" s="4"/>
      <c r="M9357" s="5" t="s">
        <v>6166</v>
      </c>
    </row>
    <row r="9358" customFormat="false" ht="15.75" hidden="false" customHeight="false" outlineLevel="0" collapsed="false">
      <c r="A9358" s="6" t="n">
        <v>46158</v>
      </c>
      <c r="B9358" s="4" t="s">
        <v>4473</v>
      </c>
      <c r="C9358" s="4" t="n">
        <v>7</v>
      </c>
      <c r="D9358" s="4" t="n">
        <v>12</v>
      </c>
      <c r="E9358" s="4" t="s">
        <v>6204</v>
      </c>
      <c r="F9358" s="4" t="n">
        <v>10</v>
      </c>
      <c r="G9358" s="4" t="n">
        <v>7</v>
      </c>
      <c r="H9358" s="4" t="n">
        <v>4</v>
      </c>
      <c r="I9358" s="4" t="str">
        <v>×</v>
      </c>
      <c r="J9358" s="4"/>
      <c r="K9358" s="4"/>
      <c r="L9358" s="4"/>
      <c r="M9358" s="5" t="s">
        <v>6166</v>
      </c>
    </row>
    <row r="9359" customFormat="false" ht="15.75" hidden="false" customHeight="false" outlineLevel="0" collapsed="false">
      <c r="A9359" s="6" t="n">
        <v>46158</v>
      </c>
      <c r="B9359" s="4" t="s">
        <v>4473</v>
      </c>
      <c r="C9359" s="4" t="n">
        <v>7</v>
      </c>
      <c r="D9359" s="4" t="n">
        <v>13</v>
      </c>
      <c r="E9359" s="4" t="s">
        <v>6010</v>
      </c>
      <c r="F9359" s="4" t="n">
        <v>31</v>
      </c>
      <c r="G9359" s="4" t="n">
        <v>3</v>
      </c>
      <c r="H9359" s="4" t="n">
        <v>2</v>
      </c>
      <c r="I9359" s="4" t="str">
        <v>○</v>
      </c>
      <c r="J9359" s="4" t="n">
        <v>180</v>
      </c>
      <c r="K9359" s="4"/>
      <c r="L9359" s="4"/>
      <c r="M9359" s="5" t="s">
        <v>6166</v>
      </c>
    </row>
    <row r="9360" customFormat="false" ht="15.75" hidden="false" customHeight="false" outlineLevel="0" collapsed="false">
      <c r="A9360" s="6" t="n">
        <v>46158</v>
      </c>
      <c r="B9360" s="4" t="s">
        <v>4473</v>
      </c>
      <c r="C9360" s="4" t="n">
        <v>7</v>
      </c>
      <c r="D9360" s="4" t="n">
        <v>14</v>
      </c>
      <c r="E9360" s="4" t="s">
        <v>1960</v>
      </c>
      <c r="F9360" s="4" t="n">
        <v>6</v>
      </c>
      <c r="G9360" s="4" t="n">
        <v>9</v>
      </c>
      <c r="H9360" s="4" t="n">
        <v>4</v>
      </c>
      <c r="I9360" s="4" t="str">
        <v>×</v>
      </c>
      <c r="J9360" s="4"/>
      <c r="K9360" s="4"/>
      <c r="L9360" s="4"/>
      <c r="M9360" s="5" t="s">
        <v>6166</v>
      </c>
    </row>
    <row r="9361" customFormat="false" ht="15.75" hidden="false" customHeight="false" outlineLevel="0" collapsed="false">
      <c r="A9361" s="6" t="n">
        <v>46158</v>
      </c>
      <c r="B9361" s="4" t="s">
        <v>4473</v>
      </c>
      <c r="C9361" s="4" t="n">
        <v>7</v>
      </c>
      <c r="D9361" s="4" t="n">
        <v>15</v>
      </c>
      <c r="E9361" s="4" t="s">
        <v>1082</v>
      </c>
      <c r="F9361" s="4" t="n">
        <v>10</v>
      </c>
      <c r="G9361" s="4" t="n">
        <v>7</v>
      </c>
      <c r="H9361" s="4" t="n">
        <v>4</v>
      </c>
      <c r="I9361" s="4" t="str">
        <v>×</v>
      </c>
      <c r="J9361" s="4"/>
      <c r="K9361" s="4"/>
      <c r="L9361" s="4"/>
      <c r="M9361" s="5" t="s">
        <v>6166</v>
      </c>
    </row>
    <row r="9362" customFormat="false" ht="15.75" hidden="false" customHeight="false" outlineLevel="0" collapsed="false">
      <c r="A9362" s="6" t="n">
        <v>46158</v>
      </c>
      <c r="B9362" s="4" t="s">
        <v>4473</v>
      </c>
      <c r="C9362" s="4" t="n">
        <v>7</v>
      </c>
      <c r="D9362" s="4" t="n">
        <v>16</v>
      </c>
      <c r="E9362" s="4" t="s">
        <v>6205</v>
      </c>
      <c r="F9362" s="4" t="n">
        <v>2</v>
      </c>
      <c r="G9362" s="4" t="n">
        <v>12</v>
      </c>
      <c r="H9362" s="4" t="n">
        <v>4</v>
      </c>
      <c r="I9362" s="4" t="str">
        <v>×</v>
      </c>
      <c r="J9362" s="4"/>
      <c r="K9362" s="4"/>
      <c r="L9362" s="4"/>
      <c r="M9362" s="5" t="s">
        <v>6166</v>
      </c>
    </row>
    <row r="9363" customFormat="false" ht="15.75" hidden="false" customHeight="false" outlineLevel="0" collapsed="false">
      <c r="A9363" s="6" t="n">
        <v>46158</v>
      </c>
      <c r="B9363" s="4" t="s">
        <v>4473</v>
      </c>
      <c r="C9363" s="4" t="n">
        <v>8</v>
      </c>
      <c r="D9363" s="4" t="n">
        <v>1</v>
      </c>
      <c r="E9363" s="4" t="s">
        <v>6206</v>
      </c>
      <c r="F9363" s="4" t="n">
        <v>60</v>
      </c>
      <c r="G9363" s="4" t="n">
        <v>1</v>
      </c>
      <c r="H9363" s="4" t="n">
        <v>1</v>
      </c>
      <c r="I9363" s="4" t="str">
        <v>○</v>
      </c>
      <c r="J9363" s="4" t="n">
        <v>170</v>
      </c>
      <c r="K9363" s="4"/>
      <c r="L9363" s="4"/>
      <c r="M9363" s="5" t="s">
        <v>6166</v>
      </c>
    </row>
    <row r="9364" customFormat="false" ht="15.75" hidden="false" customHeight="false" outlineLevel="0" collapsed="false">
      <c r="A9364" s="6" t="n">
        <v>46158</v>
      </c>
      <c r="B9364" s="4" t="s">
        <v>4473</v>
      </c>
      <c r="C9364" s="4" t="n">
        <v>8</v>
      </c>
      <c r="D9364" s="4" t="n">
        <v>2</v>
      </c>
      <c r="E9364" s="4" t="s">
        <v>4452</v>
      </c>
      <c r="F9364" s="4" t="n">
        <v>31</v>
      </c>
      <c r="G9364" s="4" t="n">
        <v>4</v>
      </c>
      <c r="H9364" s="4" t="n">
        <v>4</v>
      </c>
      <c r="I9364" s="4" t="str">
        <v>×</v>
      </c>
      <c r="J9364" s="4"/>
      <c r="K9364" s="4"/>
      <c r="L9364" s="4"/>
      <c r="M9364" s="5" t="s">
        <v>6166</v>
      </c>
    </row>
    <row r="9365" customFormat="false" ht="15.75" hidden="false" customHeight="false" outlineLevel="0" collapsed="false">
      <c r="A9365" s="6" t="n">
        <v>46158</v>
      </c>
      <c r="B9365" s="4" t="s">
        <v>4473</v>
      </c>
      <c r="C9365" s="4" t="n">
        <v>8</v>
      </c>
      <c r="D9365" s="4" t="n">
        <v>3</v>
      </c>
      <c r="E9365" s="4" t="s">
        <v>1315</v>
      </c>
      <c r="F9365" s="4" t="n">
        <v>44</v>
      </c>
      <c r="G9365" s="4" t="n">
        <v>3</v>
      </c>
      <c r="H9365" s="4" t="n">
        <v>4</v>
      </c>
      <c r="I9365" s="4" t="str">
        <v>×</v>
      </c>
      <c r="J9365" s="4"/>
      <c r="K9365" s="4"/>
      <c r="L9365" s="4"/>
      <c r="M9365" s="5" t="s">
        <v>6166</v>
      </c>
    </row>
    <row r="9366" customFormat="false" ht="15.75" hidden="false" customHeight="false" outlineLevel="0" collapsed="false">
      <c r="A9366" s="6" t="n">
        <v>46158</v>
      </c>
      <c r="B9366" s="4" t="s">
        <v>4473</v>
      </c>
      <c r="C9366" s="4" t="n">
        <v>8</v>
      </c>
      <c r="D9366" s="4" t="n">
        <v>4</v>
      </c>
      <c r="E9366" s="4" t="s">
        <v>4573</v>
      </c>
      <c r="F9366" s="4" t="n">
        <v>6</v>
      </c>
      <c r="G9366" s="4" t="n">
        <v>9</v>
      </c>
      <c r="H9366" s="4" t="n">
        <v>4</v>
      </c>
      <c r="I9366" s="4" t="str">
        <v>×</v>
      </c>
      <c r="J9366" s="4"/>
      <c r="K9366" s="4"/>
      <c r="L9366" s="4"/>
      <c r="M9366" s="5" t="s">
        <v>6166</v>
      </c>
    </row>
    <row r="9367" customFormat="false" ht="15.75" hidden="false" customHeight="false" outlineLevel="0" collapsed="false">
      <c r="A9367" s="6" t="n">
        <v>46158</v>
      </c>
      <c r="B9367" s="4" t="s">
        <v>4473</v>
      </c>
      <c r="C9367" s="4" t="n">
        <v>8</v>
      </c>
      <c r="D9367" s="4" t="n">
        <v>5</v>
      </c>
      <c r="E9367" s="4" t="s">
        <v>5118</v>
      </c>
      <c r="F9367" s="4" t="n">
        <v>8</v>
      </c>
      <c r="G9367" s="4" t="n">
        <v>8</v>
      </c>
      <c r="H9367" s="4" t="n">
        <v>4</v>
      </c>
      <c r="I9367" s="4" t="str">
        <v>×</v>
      </c>
      <c r="J9367" s="4"/>
      <c r="K9367" s="4"/>
      <c r="L9367" s="4"/>
      <c r="M9367" s="5" t="s">
        <v>6166</v>
      </c>
    </row>
    <row r="9368" customFormat="false" ht="15.75" hidden="false" customHeight="false" outlineLevel="0" collapsed="false">
      <c r="A9368" s="6" t="n">
        <v>46158</v>
      </c>
      <c r="B9368" s="4" t="s">
        <v>4473</v>
      </c>
      <c r="C9368" s="4" t="n">
        <v>8</v>
      </c>
      <c r="D9368" s="4" t="n">
        <v>6</v>
      </c>
      <c r="E9368" s="4" t="s">
        <v>6207</v>
      </c>
      <c r="F9368" s="4" t="n">
        <v>17</v>
      </c>
      <c r="G9368" s="4" t="n">
        <v>6</v>
      </c>
      <c r="H9368" s="4" t="n">
        <v>4</v>
      </c>
      <c r="I9368" s="4" t="str">
        <v>×</v>
      </c>
      <c r="J9368" s="4"/>
      <c r="K9368" s="4"/>
      <c r="L9368" s="4"/>
      <c r="M9368" s="5" t="s">
        <v>6166</v>
      </c>
    </row>
    <row r="9369" customFormat="false" ht="15.75" hidden="false" customHeight="false" outlineLevel="0" collapsed="false">
      <c r="A9369" s="6" t="n">
        <v>46158</v>
      </c>
      <c r="B9369" s="4" t="s">
        <v>4473</v>
      </c>
      <c r="C9369" s="4" t="n">
        <v>8</v>
      </c>
      <c r="D9369" s="4" t="n">
        <v>7</v>
      </c>
      <c r="E9369" s="4" t="s">
        <v>4567</v>
      </c>
      <c r="F9369" s="4" t="n">
        <v>10</v>
      </c>
      <c r="G9369" s="4" t="n">
        <v>7</v>
      </c>
      <c r="H9369" s="4" t="n">
        <v>4</v>
      </c>
      <c r="I9369" s="4" t="str">
        <v>×</v>
      </c>
      <c r="J9369" s="4"/>
      <c r="K9369" s="4"/>
      <c r="L9369" s="4"/>
      <c r="M9369" s="5" t="s">
        <v>6166</v>
      </c>
    </row>
    <row r="9370" customFormat="false" ht="15.75" hidden="false" customHeight="false" outlineLevel="0" collapsed="false">
      <c r="A9370" s="6" t="n">
        <v>46158</v>
      </c>
      <c r="B9370" s="4" t="s">
        <v>4473</v>
      </c>
      <c r="C9370" s="4" t="n">
        <v>8</v>
      </c>
      <c r="D9370" s="4" t="n">
        <v>8</v>
      </c>
      <c r="E9370" s="4" t="s">
        <v>5183</v>
      </c>
      <c r="F9370" s="4" t="n">
        <v>4</v>
      </c>
      <c r="G9370" s="4" t="n">
        <v>10</v>
      </c>
      <c r="H9370" s="4" t="n">
        <v>4</v>
      </c>
      <c r="I9370" s="4" t="str">
        <v>×</v>
      </c>
      <c r="J9370" s="4"/>
      <c r="K9370" s="4"/>
      <c r="L9370" s="4"/>
      <c r="M9370" s="5" t="s">
        <v>6166</v>
      </c>
    </row>
    <row r="9371" customFormat="false" ht="15.75" hidden="false" customHeight="false" outlineLevel="0" collapsed="false">
      <c r="A9371" s="6" t="n">
        <v>46158</v>
      </c>
      <c r="B9371" s="4" t="s">
        <v>4473</v>
      </c>
      <c r="C9371" s="4" t="n">
        <v>8</v>
      </c>
      <c r="D9371" s="4" t="n">
        <v>9</v>
      </c>
      <c r="E9371" s="4" t="s">
        <v>6208</v>
      </c>
      <c r="F9371" s="4" t="n">
        <v>1</v>
      </c>
      <c r="G9371" s="4" t="n">
        <v>11</v>
      </c>
      <c r="H9371" s="4" t="n">
        <v>4</v>
      </c>
      <c r="I9371" s="4" t="str">
        <v>×</v>
      </c>
      <c r="J9371" s="4"/>
      <c r="K9371" s="4"/>
      <c r="L9371" s="4"/>
      <c r="M9371" s="5" t="s">
        <v>6166</v>
      </c>
    </row>
    <row r="9372" customFormat="false" ht="15.75" hidden="false" customHeight="false" outlineLevel="0" collapsed="false">
      <c r="A9372" s="6" t="n">
        <v>46158</v>
      </c>
      <c r="B9372" s="4" t="s">
        <v>4473</v>
      </c>
      <c r="C9372" s="4" t="n">
        <v>8</v>
      </c>
      <c r="D9372" s="4" t="n">
        <v>10</v>
      </c>
      <c r="E9372" s="4" t="s">
        <v>1551</v>
      </c>
      <c r="F9372" s="4" t="n">
        <v>6</v>
      </c>
      <c r="G9372" s="4" t="n">
        <v>9</v>
      </c>
      <c r="H9372" s="4" t="n">
        <v>4</v>
      </c>
      <c r="I9372" s="4" t="str">
        <v>×</v>
      </c>
      <c r="J9372" s="4"/>
      <c r="K9372" s="4"/>
      <c r="L9372" s="4"/>
      <c r="M9372" s="5" t="s">
        <v>6166</v>
      </c>
    </row>
    <row r="9373" customFormat="false" ht="15.75" hidden="false" customHeight="false" outlineLevel="0" collapsed="false">
      <c r="A9373" s="6" t="n">
        <v>46158</v>
      </c>
      <c r="B9373" s="4" t="s">
        <v>4473</v>
      </c>
      <c r="C9373" s="4" t="n">
        <v>8</v>
      </c>
      <c r="D9373" s="4" t="n">
        <v>11</v>
      </c>
      <c r="E9373" s="4" t="s">
        <v>419</v>
      </c>
      <c r="F9373" s="4" t="n">
        <v>20</v>
      </c>
      <c r="G9373" s="4" t="n">
        <v>5</v>
      </c>
      <c r="H9373" s="4" t="n">
        <v>4</v>
      </c>
      <c r="I9373" s="4" t="str">
        <v>×</v>
      </c>
      <c r="J9373" s="4"/>
      <c r="K9373" s="4"/>
      <c r="L9373" s="4"/>
      <c r="M9373" s="5" t="s">
        <v>6166</v>
      </c>
    </row>
    <row r="9374" customFormat="false" ht="15.75" hidden="false" customHeight="false" outlineLevel="0" collapsed="false">
      <c r="A9374" s="6" t="n">
        <v>46158</v>
      </c>
      <c r="B9374" s="4" t="s">
        <v>4473</v>
      </c>
      <c r="C9374" s="4" t="n">
        <v>8</v>
      </c>
      <c r="D9374" s="4" t="n">
        <v>12</v>
      </c>
      <c r="E9374" s="4" t="s">
        <v>410</v>
      </c>
      <c r="F9374" s="4" t="n">
        <v>31</v>
      </c>
      <c r="G9374" s="4" t="n">
        <v>4</v>
      </c>
      <c r="H9374" s="4" t="n">
        <v>4</v>
      </c>
      <c r="I9374" s="4" t="str">
        <v>×</v>
      </c>
      <c r="J9374" s="4"/>
      <c r="K9374" s="4"/>
      <c r="L9374" s="4"/>
      <c r="M9374" s="5" t="s">
        <v>6166</v>
      </c>
    </row>
    <row r="9375" customFormat="false" ht="15.75" hidden="false" customHeight="false" outlineLevel="0" collapsed="false">
      <c r="A9375" s="6" t="n">
        <v>46158</v>
      </c>
      <c r="B9375" s="4" t="s">
        <v>4473</v>
      </c>
      <c r="C9375" s="4" t="n">
        <v>8</v>
      </c>
      <c r="D9375" s="4" t="n">
        <v>13</v>
      </c>
      <c r="E9375" s="4" t="s">
        <v>4565</v>
      </c>
      <c r="F9375" s="4" t="n">
        <v>20</v>
      </c>
      <c r="G9375" s="4" t="n">
        <v>5</v>
      </c>
      <c r="H9375" s="4" t="n">
        <v>4</v>
      </c>
      <c r="I9375" s="4" t="str">
        <v>×</v>
      </c>
      <c r="J9375" s="4"/>
      <c r="K9375" s="4"/>
      <c r="L9375" s="4"/>
      <c r="M9375" s="5" t="s">
        <v>6166</v>
      </c>
    </row>
    <row r="9376" customFormat="false" ht="15.75" hidden="false" customHeight="false" outlineLevel="0" collapsed="false">
      <c r="A9376" s="6" t="n">
        <v>46158</v>
      </c>
      <c r="B9376" s="4" t="s">
        <v>4473</v>
      </c>
      <c r="C9376" s="4" t="n">
        <v>8</v>
      </c>
      <c r="D9376" s="4" t="n">
        <v>14</v>
      </c>
      <c r="E9376" s="4" t="s">
        <v>113</v>
      </c>
      <c r="F9376" s="4" t="n">
        <v>4</v>
      </c>
      <c r="G9376" s="4" t="n">
        <v>10</v>
      </c>
      <c r="H9376" s="4" t="n">
        <v>2</v>
      </c>
      <c r="I9376" s="4" t="str">
        <v>○</v>
      </c>
      <c r="J9376" s="4" t="n">
        <v>950</v>
      </c>
      <c r="K9376" s="4"/>
      <c r="L9376" s="4"/>
      <c r="M9376" s="5" t="s">
        <v>6166</v>
      </c>
    </row>
    <row r="9377" customFormat="false" ht="15.75" hidden="false" customHeight="false" outlineLevel="0" collapsed="false">
      <c r="A9377" s="6" t="n">
        <v>46158</v>
      </c>
      <c r="B9377" s="4" t="s">
        <v>4473</v>
      </c>
      <c r="C9377" s="4" t="n">
        <v>8</v>
      </c>
      <c r="D9377" s="4" t="n">
        <v>15</v>
      </c>
      <c r="E9377" s="4" t="s">
        <v>5184</v>
      </c>
      <c r="F9377" s="4" t="n">
        <v>55</v>
      </c>
      <c r="G9377" s="4" t="n">
        <v>2</v>
      </c>
      <c r="H9377" s="4" t="n">
        <v>3</v>
      </c>
      <c r="I9377" s="4" t="str">
        <v>○</v>
      </c>
      <c r="J9377" s="4" t="n">
        <v>120</v>
      </c>
      <c r="K9377" s="4"/>
      <c r="L9377" s="4"/>
      <c r="M9377" s="5" t="s">
        <v>6166</v>
      </c>
    </row>
    <row r="9378" customFormat="false" ht="15.75" hidden="false" customHeight="false" outlineLevel="0" collapsed="false">
      <c r="A9378" s="6" t="n">
        <v>46158</v>
      </c>
      <c r="B9378" s="4" t="s">
        <v>4473</v>
      </c>
      <c r="C9378" s="4" t="n">
        <v>8</v>
      </c>
      <c r="D9378" s="4" t="n">
        <v>16</v>
      </c>
      <c r="E9378" s="4" t="s">
        <v>6209</v>
      </c>
      <c r="F9378" s="4" t="n">
        <v>1</v>
      </c>
      <c r="G9378" s="4" t="n">
        <v>11</v>
      </c>
      <c r="H9378" s="4" t="n">
        <v>4</v>
      </c>
      <c r="I9378" s="4" t="str">
        <v>×</v>
      </c>
      <c r="J9378" s="4"/>
      <c r="K9378" s="4"/>
      <c r="L9378" s="4"/>
      <c r="M9378" s="5" t="s">
        <v>6166</v>
      </c>
    </row>
    <row r="9379" customFormat="false" ht="15.75" hidden="false" customHeight="false" outlineLevel="0" collapsed="false">
      <c r="A9379" s="6" t="n">
        <v>46158</v>
      </c>
      <c r="B9379" s="4" t="s">
        <v>4473</v>
      </c>
      <c r="C9379" s="4" t="n">
        <v>9</v>
      </c>
      <c r="D9379" s="4" t="n">
        <v>1</v>
      </c>
      <c r="E9379" s="4" t="s">
        <v>5200</v>
      </c>
      <c r="F9379" s="4" t="n">
        <v>41</v>
      </c>
      <c r="G9379" s="4" t="n">
        <v>3</v>
      </c>
      <c r="H9379" s="4" t="n">
        <v>4</v>
      </c>
      <c r="I9379" s="4" t="str">
        <v>×</v>
      </c>
      <c r="J9379" s="4"/>
      <c r="K9379" s="4"/>
      <c r="L9379" s="4"/>
      <c r="M9379" s="5" t="s">
        <v>6166</v>
      </c>
    </row>
    <row r="9380" customFormat="false" ht="15.75" hidden="false" customHeight="false" outlineLevel="0" collapsed="false">
      <c r="A9380" s="6" t="n">
        <v>46158</v>
      </c>
      <c r="B9380" s="4" t="s">
        <v>4473</v>
      </c>
      <c r="C9380" s="4" t="n">
        <v>9</v>
      </c>
      <c r="D9380" s="4" t="n">
        <v>2</v>
      </c>
      <c r="E9380" s="4" t="s">
        <v>1826</v>
      </c>
      <c r="F9380" s="4" t="n">
        <v>34</v>
      </c>
      <c r="G9380" s="4" t="n">
        <v>4</v>
      </c>
      <c r="H9380" s="4" t="n">
        <v>4</v>
      </c>
      <c r="I9380" s="4" t="str">
        <v>×</v>
      </c>
      <c r="J9380" s="4"/>
      <c r="K9380" s="4"/>
      <c r="L9380" s="4"/>
      <c r="M9380" s="5" t="s">
        <v>6166</v>
      </c>
    </row>
    <row r="9381" customFormat="false" ht="15.75" hidden="false" customHeight="false" outlineLevel="0" collapsed="false">
      <c r="A9381" s="6" t="n">
        <v>46158</v>
      </c>
      <c r="B9381" s="4" t="s">
        <v>4473</v>
      </c>
      <c r="C9381" s="4" t="n">
        <v>9</v>
      </c>
      <c r="D9381" s="4" t="n">
        <v>3</v>
      </c>
      <c r="E9381" s="4" t="s">
        <v>86</v>
      </c>
      <c r="F9381" s="4" t="n">
        <v>60</v>
      </c>
      <c r="G9381" s="4" t="n">
        <v>1</v>
      </c>
      <c r="H9381" s="4" t="n">
        <v>2</v>
      </c>
      <c r="I9381" s="4" t="str">
        <v>○</v>
      </c>
      <c r="J9381" s="4" t="n">
        <v>110</v>
      </c>
      <c r="K9381" s="4"/>
      <c r="L9381" s="4"/>
      <c r="M9381" s="5" t="s">
        <v>6166</v>
      </c>
    </row>
    <row r="9382" customFormat="false" ht="15.75" hidden="false" customHeight="false" outlineLevel="0" collapsed="false">
      <c r="A9382" s="6" t="n">
        <v>46158</v>
      </c>
      <c r="B9382" s="4" t="s">
        <v>4473</v>
      </c>
      <c r="C9382" s="4" t="n">
        <v>9</v>
      </c>
      <c r="D9382" s="4" t="n">
        <v>4</v>
      </c>
      <c r="E9382" s="4" t="s">
        <v>1519</v>
      </c>
      <c r="F9382" s="4" t="n">
        <v>15</v>
      </c>
      <c r="G9382" s="4" t="n">
        <v>8</v>
      </c>
      <c r="H9382" s="4" t="n">
        <v>4</v>
      </c>
      <c r="I9382" s="4" t="str">
        <v>×</v>
      </c>
      <c r="J9382" s="4"/>
      <c r="K9382" s="4"/>
      <c r="L9382" s="4"/>
      <c r="M9382" s="5" t="s">
        <v>6166</v>
      </c>
    </row>
    <row r="9383" customFormat="false" ht="15.75" hidden="false" customHeight="false" outlineLevel="0" collapsed="false">
      <c r="A9383" s="6" t="n">
        <v>46158</v>
      </c>
      <c r="B9383" s="4" t="s">
        <v>4473</v>
      </c>
      <c r="C9383" s="4" t="n">
        <v>9</v>
      </c>
      <c r="D9383" s="4" t="n">
        <v>5</v>
      </c>
      <c r="E9383" s="4" t="s">
        <v>3755</v>
      </c>
      <c r="F9383" s="4" t="n">
        <v>31</v>
      </c>
      <c r="G9383" s="4" t="n">
        <v>5</v>
      </c>
      <c r="H9383" s="4" t="n">
        <v>3</v>
      </c>
      <c r="I9383" s="4" t="str">
        <v>○</v>
      </c>
      <c r="J9383" s="4" t="n">
        <v>150</v>
      </c>
      <c r="K9383" s="4"/>
      <c r="L9383" s="4"/>
      <c r="M9383" s="5" t="s">
        <v>6166</v>
      </c>
    </row>
    <row r="9384" customFormat="false" ht="15.75" hidden="false" customHeight="false" outlineLevel="0" collapsed="false">
      <c r="A9384" s="6" t="n">
        <v>46158</v>
      </c>
      <c r="B9384" s="4" t="s">
        <v>4473</v>
      </c>
      <c r="C9384" s="4" t="n">
        <v>9</v>
      </c>
      <c r="D9384" s="4" t="n">
        <v>6</v>
      </c>
      <c r="E9384" s="4" t="s">
        <v>2639</v>
      </c>
      <c r="F9384" s="4" t="n">
        <v>58</v>
      </c>
      <c r="G9384" s="4" t="n">
        <v>2</v>
      </c>
      <c r="H9384" s="4" t="n">
        <v>4</v>
      </c>
      <c r="I9384" s="4" t="str">
        <v>×</v>
      </c>
      <c r="J9384" s="4"/>
      <c r="K9384" s="4"/>
      <c r="L9384" s="4"/>
      <c r="M9384" s="5" t="s">
        <v>6166</v>
      </c>
    </row>
    <row r="9385" customFormat="false" ht="15.75" hidden="false" customHeight="false" outlineLevel="0" collapsed="false">
      <c r="A9385" s="6" t="n">
        <v>46158</v>
      </c>
      <c r="B9385" s="4" t="s">
        <v>4473</v>
      </c>
      <c r="C9385" s="4" t="n">
        <v>9</v>
      </c>
      <c r="D9385" s="4" t="n">
        <v>7</v>
      </c>
      <c r="E9385" s="4" t="s">
        <v>1070</v>
      </c>
      <c r="F9385" s="4" t="n">
        <v>25</v>
      </c>
      <c r="G9385" s="4" t="n">
        <v>6</v>
      </c>
      <c r="H9385" s="4" t="n">
        <v>1</v>
      </c>
      <c r="I9385" s="4" t="str">
        <v>○</v>
      </c>
      <c r="J9385" s="4" t="n">
        <v>930</v>
      </c>
      <c r="K9385" s="4"/>
      <c r="L9385" s="4"/>
      <c r="M9385" s="5" t="s">
        <v>6166</v>
      </c>
    </row>
    <row r="9386" customFormat="false" ht="15.75" hidden="false" customHeight="false" outlineLevel="0" collapsed="false">
      <c r="A9386" s="6" t="n">
        <v>46158</v>
      </c>
      <c r="B9386" s="4" t="s">
        <v>4473</v>
      </c>
      <c r="C9386" s="4" t="n">
        <v>9</v>
      </c>
      <c r="D9386" s="4" t="n">
        <v>8</v>
      </c>
      <c r="E9386" s="4" t="s">
        <v>75</v>
      </c>
      <c r="F9386" s="4" t="n">
        <v>23</v>
      </c>
      <c r="G9386" s="4" t="n">
        <v>7</v>
      </c>
      <c r="H9386" s="4" t="n">
        <v>4</v>
      </c>
      <c r="I9386" s="4" t="str">
        <v>×</v>
      </c>
      <c r="J9386" s="4"/>
      <c r="K9386" s="4"/>
      <c r="L9386" s="4"/>
      <c r="M9386" s="5" t="s">
        <v>6166</v>
      </c>
    </row>
    <row r="9387" customFormat="false" ht="15.75" hidden="false" customHeight="false" outlineLevel="0" collapsed="false">
      <c r="A9387" s="6" t="n">
        <v>46158</v>
      </c>
      <c r="B9387" s="4" t="s">
        <v>4473</v>
      </c>
      <c r="C9387" s="4" t="n">
        <v>9</v>
      </c>
      <c r="D9387" s="4" t="n">
        <v>9</v>
      </c>
      <c r="E9387" s="4" t="s">
        <v>6210</v>
      </c>
      <c r="F9387" s="4" t="n">
        <v>15</v>
      </c>
      <c r="G9387" s="4" t="n">
        <v>8</v>
      </c>
      <c r="H9387" s="4" t="n">
        <v>4</v>
      </c>
      <c r="I9387" s="4" t="str">
        <v>×</v>
      </c>
      <c r="J9387" s="4"/>
      <c r="K9387" s="4"/>
      <c r="L9387" s="4"/>
      <c r="M9387" s="5" t="s">
        <v>6166</v>
      </c>
    </row>
    <row r="9388" customFormat="false" ht="15.75" hidden="false" customHeight="false" outlineLevel="0" collapsed="false">
      <c r="A9388" s="6" t="n">
        <v>46158</v>
      </c>
      <c r="B9388" s="4" t="s">
        <v>4473</v>
      </c>
      <c r="C9388" s="4" t="n">
        <v>10</v>
      </c>
      <c r="D9388" s="4" t="n">
        <v>1</v>
      </c>
      <c r="E9388" s="4" t="s">
        <v>1842</v>
      </c>
      <c r="F9388" s="4" t="n">
        <v>37</v>
      </c>
      <c r="G9388" s="4" t="n">
        <v>5</v>
      </c>
      <c r="H9388" s="4" t="n">
        <v>4</v>
      </c>
      <c r="I9388" s="4" t="str">
        <v>×</v>
      </c>
      <c r="J9388" s="4"/>
      <c r="K9388" s="4"/>
      <c r="L9388" s="4"/>
      <c r="M9388" s="5" t="s">
        <v>6166</v>
      </c>
    </row>
    <row r="9389" customFormat="false" ht="15.75" hidden="false" customHeight="false" outlineLevel="0" collapsed="false">
      <c r="A9389" s="6" t="n">
        <v>46158</v>
      </c>
      <c r="B9389" s="4" t="s">
        <v>4473</v>
      </c>
      <c r="C9389" s="4" t="n">
        <v>10</v>
      </c>
      <c r="D9389" s="4" t="n">
        <v>2</v>
      </c>
      <c r="E9389" s="4" t="s">
        <v>5854</v>
      </c>
      <c r="F9389" s="4" t="n">
        <v>15</v>
      </c>
      <c r="G9389" s="4" t="n">
        <v>8</v>
      </c>
      <c r="H9389" s="4" t="n">
        <v>4</v>
      </c>
      <c r="I9389" s="4" t="str">
        <v>×</v>
      </c>
      <c r="J9389" s="4"/>
      <c r="K9389" s="4"/>
      <c r="L9389" s="4"/>
      <c r="M9389" s="5" t="s">
        <v>6166</v>
      </c>
    </row>
    <row r="9390" customFormat="false" ht="15.75" hidden="false" customHeight="false" outlineLevel="0" collapsed="false">
      <c r="A9390" s="6" t="n">
        <v>46158</v>
      </c>
      <c r="B9390" s="4" t="s">
        <v>4473</v>
      </c>
      <c r="C9390" s="4" t="n">
        <v>10</v>
      </c>
      <c r="D9390" s="4" t="n">
        <v>3</v>
      </c>
      <c r="E9390" s="4" t="s">
        <v>4848</v>
      </c>
      <c r="F9390" s="4" t="n">
        <v>3</v>
      </c>
      <c r="G9390" s="4" t="n">
        <v>12</v>
      </c>
      <c r="H9390" s="4" t="n">
        <v>4</v>
      </c>
      <c r="I9390" s="4" t="str">
        <v>×</v>
      </c>
      <c r="J9390" s="4"/>
      <c r="K9390" s="4"/>
      <c r="L9390" s="4"/>
      <c r="M9390" s="5" t="s">
        <v>6166</v>
      </c>
    </row>
    <row r="9391" customFormat="false" ht="15.75" hidden="false" customHeight="false" outlineLevel="0" collapsed="false">
      <c r="A9391" s="6" t="n">
        <v>46158</v>
      </c>
      <c r="B9391" s="4" t="s">
        <v>4473</v>
      </c>
      <c r="C9391" s="4" t="n">
        <v>10</v>
      </c>
      <c r="D9391" s="4" t="n">
        <v>4</v>
      </c>
      <c r="E9391" s="4" t="s">
        <v>6211</v>
      </c>
      <c r="F9391" s="4" t="n">
        <v>4</v>
      </c>
      <c r="G9391" s="4" t="n">
        <v>11</v>
      </c>
      <c r="H9391" s="4" t="n">
        <v>4</v>
      </c>
      <c r="I9391" s="4" t="str">
        <v>×</v>
      </c>
      <c r="J9391" s="4"/>
      <c r="K9391" s="4"/>
      <c r="L9391" s="4"/>
      <c r="M9391" s="5" t="s">
        <v>6166</v>
      </c>
    </row>
    <row r="9392" customFormat="false" ht="15.75" hidden="false" customHeight="false" outlineLevel="0" collapsed="false">
      <c r="A9392" s="6" t="n">
        <v>46158</v>
      </c>
      <c r="B9392" s="4" t="s">
        <v>4473</v>
      </c>
      <c r="C9392" s="4" t="n">
        <v>10</v>
      </c>
      <c r="D9392" s="4" t="n">
        <v>5</v>
      </c>
      <c r="E9392" s="4" t="s">
        <v>1058</v>
      </c>
      <c r="F9392" s="4" t="n">
        <v>8</v>
      </c>
      <c r="G9392" s="4" t="n">
        <v>10</v>
      </c>
      <c r="H9392" s="4" t="n">
        <v>4</v>
      </c>
      <c r="I9392" s="4" t="str">
        <v>×</v>
      </c>
      <c r="J9392" s="4"/>
      <c r="K9392" s="4"/>
      <c r="L9392" s="4"/>
      <c r="M9392" s="5" t="s">
        <v>6166</v>
      </c>
    </row>
    <row r="9393" customFormat="false" ht="15.75" hidden="false" customHeight="false" outlineLevel="0" collapsed="false">
      <c r="A9393" s="6" t="n">
        <v>46158</v>
      </c>
      <c r="B9393" s="4" t="s">
        <v>4473</v>
      </c>
      <c r="C9393" s="4" t="n">
        <v>10</v>
      </c>
      <c r="D9393" s="4" t="n">
        <v>6</v>
      </c>
      <c r="E9393" s="4" t="s">
        <v>462</v>
      </c>
      <c r="F9393" s="4" t="n">
        <v>60</v>
      </c>
      <c r="G9393" s="4" t="n">
        <v>1</v>
      </c>
      <c r="H9393" s="4" t="n">
        <v>2</v>
      </c>
      <c r="I9393" s="4" t="str">
        <v>○</v>
      </c>
      <c r="J9393" s="4" t="n">
        <v>140</v>
      </c>
      <c r="K9393" s="4"/>
      <c r="L9393" s="4"/>
      <c r="M9393" s="5" t="s">
        <v>6166</v>
      </c>
    </row>
    <row r="9394" customFormat="false" ht="15.75" hidden="false" customHeight="false" outlineLevel="0" collapsed="false">
      <c r="A9394" s="6" t="n">
        <v>46158</v>
      </c>
      <c r="B9394" s="4" t="s">
        <v>4473</v>
      </c>
      <c r="C9394" s="4" t="n">
        <v>10</v>
      </c>
      <c r="D9394" s="4" t="n">
        <v>7</v>
      </c>
      <c r="E9394" s="4" t="s">
        <v>252</v>
      </c>
      <c r="F9394" s="4" t="n">
        <v>17</v>
      </c>
      <c r="G9394" s="4" t="n">
        <v>7</v>
      </c>
      <c r="H9394" s="4" t="n">
        <v>4</v>
      </c>
      <c r="I9394" s="4" t="str">
        <v>×</v>
      </c>
      <c r="J9394" s="4"/>
      <c r="K9394" s="4"/>
      <c r="L9394" s="4"/>
      <c r="M9394" s="5" t="s">
        <v>6166</v>
      </c>
    </row>
    <row r="9395" customFormat="false" ht="15.75" hidden="false" customHeight="false" outlineLevel="0" collapsed="false">
      <c r="A9395" s="6" t="n">
        <v>46158</v>
      </c>
      <c r="B9395" s="4" t="s">
        <v>4473</v>
      </c>
      <c r="C9395" s="4" t="n">
        <v>10</v>
      </c>
      <c r="D9395" s="4" t="n">
        <v>8</v>
      </c>
      <c r="E9395" s="4" t="s">
        <v>4556</v>
      </c>
      <c r="F9395" s="4" t="n">
        <v>39</v>
      </c>
      <c r="G9395" s="4" t="n">
        <v>4</v>
      </c>
      <c r="H9395" s="4" t="n">
        <v>1</v>
      </c>
      <c r="I9395" s="4" t="str">
        <v>○</v>
      </c>
      <c r="J9395" s="4" t="n">
        <v>140</v>
      </c>
      <c r="K9395" s="4"/>
      <c r="L9395" s="4"/>
      <c r="M9395" s="5" t="s">
        <v>6166</v>
      </c>
    </row>
    <row r="9396" customFormat="false" ht="15.75" hidden="false" customHeight="false" outlineLevel="0" collapsed="false">
      <c r="A9396" s="6" t="n">
        <v>46158</v>
      </c>
      <c r="B9396" s="4" t="s">
        <v>4473</v>
      </c>
      <c r="C9396" s="4" t="n">
        <v>10</v>
      </c>
      <c r="D9396" s="4" t="n">
        <v>9</v>
      </c>
      <c r="E9396" s="4" t="s">
        <v>6212</v>
      </c>
      <c r="F9396" s="4" t="n">
        <v>20</v>
      </c>
      <c r="G9396" s="4" t="n">
        <v>6</v>
      </c>
      <c r="H9396" s="4" t="n">
        <v>4</v>
      </c>
      <c r="I9396" s="4" t="str">
        <v>×</v>
      </c>
      <c r="J9396" s="4"/>
      <c r="K9396" s="4"/>
      <c r="L9396" s="4"/>
      <c r="M9396" s="5" t="s">
        <v>6166</v>
      </c>
    </row>
    <row r="9397" customFormat="false" ht="15.75" hidden="false" customHeight="false" outlineLevel="0" collapsed="false">
      <c r="A9397" s="6" t="n">
        <v>46158</v>
      </c>
      <c r="B9397" s="4" t="s">
        <v>4473</v>
      </c>
      <c r="C9397" s="4" t="n">
        <v>10</v>
      </c>
      <c r="D9397" s="4" t="n">
        <v>10</v>
      </c>
      <c r="E9397" s="4" t="s">
        <v>4774</v>
      </c>
      <c r="F9397" s="4" t="n">
        <v>10</v>
      </c>
      <c r="G9397" s="4" t="n">
        <v>9</v>
      </c>
      <c r="H9397" s="4" t="n">
        <v>4</v>
      </c>
      <c r="I9397" s="4" t="str">
        <v>×</v>
      </c>
      <c r="J9397" s="4"/>
      <c r="K9397" s="4"/>
      <c r="L9397" s="4"/>
      <c r="M9397" s="5" t="s">
        <v>6166</v>
      </c>
    </row>
    <row r="9398" customFormat="false" ht="15.75" hidden="false" customHeight="false" outlineLevel="0" collapsed="false">
      <c r="A9398" s="6" t="n">
        <v>46158</v>
      </c>
      <c r="B9398" s="4" t="s">
        <v>4473</v>
      </c>
      <c r="C9398" s="4" t="n">
        <v>10</v>
      </c>
      <c r="D9398" s="4" t="n">
        <v>11</v>
      </c>
      <c r="E9398" s="4" t="s">
        <v>4748</v>
      </c>
      <c r="F9398" s="4" t="n">
        <v>52</v>
      </c>
      <c r="G9398" s="4" t="n">
        <v>3</v>
      </c>
      <c r="H9398" s="4" t="n">
        <v>4</v>
      </c>
      <c r="I9398" s="4" t="str">
        <v>×</v>
      </c>
      <c r="J9398" s="4"/>
      <c r="K9398" s="4"/>
      <c r="L9398" s="4"/>
      <c r="M9398" s="5" t="s">
        <v>6166</v>
      </c>
    </row>
    <row r="9399" customFormat="false" ht="15.75" hidden="false" customHeight="false" outlineLevel="0" collapsed="false">
      <c r="A9399" s="6" t="n">
        <v>46158</v>
      </c>
      <c r="B9399" s="4" t="s">
        <v>4473</v>
      </c>
      <c r="C9399" s="4" t="n">
        <v>10</v>
      </c>
      <c r="D9399" s="4" t="n">
        <v>12</v>
      </c>
      <c r="E9399" s="4" t="s">
        <v>3478</v>
      </c>
      <c r="F9399" s="4" t="n">
        <v>56</v>
      </c>
      <c r="G9399" s="4" t="n">
        <v>2</v>
      </c>
      <c r="H9399" s="4" t="n">
        <v>3</v>
      </c>
      <c r="I9399" s="4" t="str">
        <v>○</v>
      </c>
      <c r="J9399" s="4" t="n">
        <v>130</v>
      </c>
      <c r="K9399" s="4"/>
      <c r="L9399" s="4"/>
      <c r="M9399" s="5" t="s">
        <v>6166</v>
      </c>
    </row>
    <row r="9400" customFormat="false" ht="15.75" hidden="false" customHeight="false" outlineLevel="0" collapsed="false">
      <c r="A9400" s="6" t="n">
        <v>46158</v>
      </c>
      <c r="B9400" s="4" t="s">
        <v>4473</v>
      </c>
      <c r="C9400" s="4" t="n">
        <v>11</v>
      </c>
      <c r="D9400" s="4" t="n">
        <v>1</v>
      </c>
      <c r="E9400" s="4" t="s">
        <v>264</v>
      </c>
      <c r="F9400" s="4" t="n">
        <v>6</v>
      </c>
      <c r="G9400" s="4" t="n">
        <v>11</v>
      </c>
      <c r="H9400" s="4" t="n">
        <v>4</v>
      </c>
      <c r="I9400" s="4" t="str">
        <v>×</v>
      </c>
      <c r="J9400" s="4"/>
      <c r="K9400" s="4"/>
      <c r="L9400" s="4"/>
      <c r="M9400" s="5" t="s">
        <v>6166</v>
      </c>
    </row>
    <row r="9401" customFormat="false" ht="15.75" hidden="false" customHeight="false" outlineLevel="0" collapsed="false">
      <c r="A9401" s="6" t="n">
        <v>46158</v>
      </c>
      <c r="B9401" s="4" t="s">
        <v>4473</v>
      </c>
      <c r="C9401" s="4" t="n">
        <v>11</v>
      </c>
      <c r="D9401" s="4" t="n">
        <v>2</v>
      </c>
      <c r="E9401" s="4" t="s">
        <v>5205</v>
      </c>
      <c r="F9401" s="4" t="n">
        <v>52</v>
      </c>
      <c r="G9401" s="4" t="n">
        <v>2</v>
      </c>
      <c r="H9401" s="4" t="n">
        <v>4</v>
      </c>
      <c r="I9401" s="4" t="str">
        <v>×</v>
      </c>
      <c r="J9401" s="4"/>
      <c r="K9401" s="4"/>
      <c r="L9401" s="4"/>
      <c r="M9401" s="5" t="s">
        <v>6166</v>
      </c>
    </row>
    <row r="9402" customFormat="false" ht="15.75" hidden="false" customHeight="false" outlineLevel="0" collapsed="false">
      <c r="A9402" s="6" t="n">
        <v>46158</v>
      </c>
      <c r="B9402" s="4" t="s">
        <v>4473</v>
      </c>
      <c r="C9402" s="4" t="n">
        <v>11</v>
      </c>
      <c r="D9402" s="4" t="n">
        <v>3</v>
      </c>
      <c r="E9402" s="4" t="s">
        <v>6213</v>
      </c>
      <c r="F9402" s="4" t="n">
        <v>8</v>
      </c>
      <c r="G9402" s="4" t="n">
        <v>10</v>
      </c>
      <c r="H9402" s="4" t="n">
        <v>4</v>
      </c>
      <c r="I9402" s="4" t="str">
        <v>×</v>
      </c>
      <c r="J9402" s="4"/>
      <c r="K9402" s="4"/>
      <c r="L9402" s="4"/>
      <c r="M9402" s="5" t="s">
        <v>6166</v>
      </c>
    </row>
    <row r="9403" customFormat="false" ht="15.75" hidden="false" customHeight="false" outlineLevel="0" collapsed="false">
      <c r="A9403" s="6" t="n">
        <v>46158</v>
      </c>
      <c r="B9403" s="4" t="s">
        <v>4473</v>
      </c>
      <c r="C9403" s="4" t="n">
        <v>11</v>
      </c>
      <c r="D9403" s="4" t="n">
        <v>4</v>
      </c>
      <c r="E9403" s="4" t="s">
        <v>268</v>
      </c>
      <c r="F9403" s="4" t="n">
        <v>17</v>
      </c>
      <c r="G9403" s="4" t="n">
        <v>7</v>
      </c>
      <c r="H9403" s="4" t="n">
        <v>3</v>
      </c>
      <c r="I9403" s="4" t="str">
        <v>○</v>
      </c>
      <c r="J9403" s="4" t="n">
        <v>420</v>
      </c>
      <c r="K9403" s="4"/>
      <c r="L9403" s="4"/>
      <c r="M9403" s="5" t="s">
        <v>6166</v>
      </c>
    </row>
    <row r="9404" customFormat="false" ht="15.75" hidden="false" customHeight="false" outlineLevel="0" collapsed="false">
      <c r="A9404" s="6" t="n">
        <v>46158</v>
      </c>
      <c r="B9404" s="4" t="s">
        <v>4473</v>
      </c>
      <c r="C9404" s="4" t="n">
        <v>11</v>
      </c>
      <c r="D9404" s="4" t="n">
        <v>5</v>
      </c>
      <c r="E9404" s="4" t="s">
        <v>5207</v>
      </c>
      <c r="F9404" s="4" t="n">
        <v>15</v>
      </c>
      <c r="G9404" s="4" t="n">
        <v>8</v>
      </c>
      <c r="H9404" s="4" t="n">
        <v>4</v>
      </c>
      <c r="I9404" s="4" t="str">
        <v>×</v>
      </c>
      <c r="J9404" s="4"/>
      <c r="K9404" s="4"/>
      <c r="L9404" s="4"/>
      <c r="M9404" s="5" t="s">
        <v>6166</v>
      </c>
    </row>
    <row r="9405" customFormat="false" ht="15.75" hidden="false" customHeight="false" outlineLevel="0" collapsed="false">
      <c r="A9405" s="6" t="n">
        <v>46158</v>
      </c>
      <c r="B9405" s="4" t="s">
        <v>4473</v>
      </c>
      <c r="C9405" s="4" t="n">
        <v>11</v>
      </c>
      <c r="D9405" s="4" t="n">
        <v>6</v>
      </c>
      <c r="E9405" s="4" t="s">
        <v>6214</v>
      </c>
      <c r="F9405" s="4" t="n">
        <v>56</v>
      </c>
      <c r="G9405" s="4" t="n">
        <v>1</v>
      </c>
      <c r="H9405" s="4" t="n">
        <v>4</v>
      </c>
      <c r="I9405" s="4" t="str">
        <v>×</v>
      </c>
      <c r="J9405" s="4"/>
      <c r="K9405" s="4"/>
      <c r="L9405" s="4"/>
      <c r="M9405" s="5" t="s">
        <v>6166</v>
      </c>
    </row>
    <row r="9406" customFormat="false" ht="15.75" hidden="false" customHeight="false" outlineLevel="0" collapsed="false">
      <c r="A9406" s="6" t="n">
        <v>46158</v>
      </c>
      <c r="B9406" s="4" t="s">
        <v>4473</v>
      </c>
      <c r="C9406" s="4" t="n">
        <v>11</v>
      </c>
      <c r="D9406" s="4" t="n">
        <v>7</v>
      </c>
      <c r="E9406" s="4" t="s">
        <v>6083</v>
      </c>
      <c r="F9406" s="4" t="n">
        <v>20</v>
      </c>
      <c r="G9406" s="4" t="n">
        <v>6</v>
      </c>
      <c r="H9406" s="4" t="n">
        <v>1</v>
      </c>
      <c r="I9406" s="4" t="str">
        <v>○</v>
      </c>
      <c r="J9406" s="4" t="n">
        <v>750</v>
      </c>
      <c r="K9406" s="4"/>
      <c r="L9406" s="4"/>
      <c r="M9406" s="5" t="s">
        <v>6166</v>
      </c>
    </row>
    <row r="9407" customFormat="false" ht="15.75" hidden="false" customHeight="false" outlineLevel="0" collapsed="false">
      <c r="A9407" s="6" t="n">
        <v>46158</v>
      </c>
      <c r="B9407" s="4" t="s">
        <v>4473</v>
      </c>
      <c r="C9407" s="4" t="n">
        <v>11</v>
      </c>
      <c r="D9407" s="4" t="n">
        <v>8</v>
      </c>
      <c r="E9407" s="4" t="s">
        <v>893</v>
      </c>
      <c r="F9407" s="4" t="n">
        <v>29</v>
      </c>
      <c r="G9407" s="4" t="n">
        <v>4</v>
      </c>
      <c r="H9407" s="4" t="n">
        <v>2</v>
      </c>
      <c r="I9407" s="4" t="str">
        <v>○</v>
      </c>
      <c r="J9407" s="4" t="n">
        <v>1080</v>
      </c>
      <c r="K9407" s="4"/>
      <c r="L9407" s="4"/>
      <c r="M9407" s="5" t="s">
        <v>6166</v>
      </c>
    </row>
    <row r="9408" customFormat="false" ht="15.75" hidden="false" customHeight="false" outlineLevel="0" collapsed="false">
      <c r="A9408" s="6" t="n">
        <v>46158</v>
      </c>
      <c r="B9408" s="4" t="s">
        <v>4473</v>
      </c>
      <c r="C9408" s="4" t="n">
        <v>11</v>
      </c>
      <c r="D9408" s="4" t="n">
        <v>9</v>
      </c>
      <c r="E9408" s="4" t="s">
        <v>5208</v>
      </c>
      <c r="F9408" s="4" t="n">
        <v>4</v>
      </c>
      <c r="G9408" s="4" t="n">
        <v>12</v>
      </c>
      <c r="H9408" s="4" t="n">
        <v>4</v>
      </c>
      <c r="I9408" s="4" t="str">
        <v>×</v>
      </c>
      <c r="J9408" s="4"/>
      <c r="K9408" s="4"/>
      <c r="L9408" s="4"/>
      <c r="M9408" s="5" t="s">
        <v>6166</v>
      </c>
    </row>
    <row r="9409" customFormat="false" ht="15.75" hidden="false" customHeight="false" outlineLevel="0" collapsed="false">
      <c r="A9409" s="6" t="n">
        <v>46158</v>
      </c>
      <c r="B9409" s="4" t="s">
        <v>4473</v>
      </c>
      <c r="C9409" s="4" t="n">
        <v>11</v>
      </c>
      <c r="D9409" s="4" t="n">
        <v>10</v>
      </c>
      <c r="E9409" s="4" t="s">
        <v>6215</v>
      </c>
      <c r="F9409" s="4" t="n">
        <v>44</v>
      </c>
      <c r="G9409" s="4" t="n">
        <v>3</v>
      </c>
      <c r="H9409" s="4" t="n">
        <v>4</v>
      </c>
      <c r="I9409" s="4" t="str">
        <v>×</v>
      </c>
      <c r="J9409" s="4"/>
      <c r="K9409" s="4"/>
      <c r="L9409" s="4"/>
      <c r="M9409" s="5" t="s">
        <v>6166</v>
      </c>
    </row>
    <row r="9410" customFormat="false" ht="15.75" hidden="false" customHeight="false" outlineLevel="0" collapsed="false">
      <c r="A9410" s="6" t="n">
        <v>46158</v>
      </c>
      <c r="B9410" s="4" t="s">
        <v>4473</v>
      </c>
      <c r="C9410" s="4" t="n">
        <v>11</v>
      </c>
      <c r="D9410" s="4" t="n">
        <v>11</v>
      </c>
      <c r="E9410" s="4" t="s">
        <v>2905</v>
      </c>
      <c r="F9410" s="4" t="n">
        <v>13</v>
      </c>
      <c r="G9410" s="4" t="n">
        <v>9</v>
      </c>
      <c r="H9410" s="4" t="n">
        <v>4</v>
      </c>
      <c r="I9410" s="4" t="str">
        <v>×</v>
      </c>
      <c r="J9410" s="4"/>
      <c r="K9410" s="4"/>
      <c r="L9410" s="4"/>
      <c r="M9410" s="5" t="s">
        <v>6166</v>
      </c>
    </row>
    <row r="9411" customFormat="false" ht="15.75" hidden="false" customHeight="false" outlineLevel="0" collapsed="false">
      <c r="A9411" s="6" t="n">
        <v>46158</v>
      </c>
      <c r="B9411" s="4" t="s">
        <v>4473</v>
      </c>
      <c r="C9411" s="4" t="n">
        <v>11</v>
      </c>
      <c r="D9411" s="4" t="n">
        <v>12</v>
      </c>
      <c r="E9411" s="4" t="s">
        <v>3874</v>
      </c>
      <c r="F9411" s="4" t="n">
        <v>8</v>
      </c>
      <c r="G9411" s="4" t="n">
        <v>10</v>
      </c>
      <c r="H9411" s="4" t="n">
        <v>4</v>
      </c>
      <c r="I9411" s="4" t="str">
        <v>×</v>
      </c>
      <c r="J9411" s="4"/>
      <c r="K9411" s="4"/>
      <c r="L9411" s="4"/>
      <c r="M9411" s="5" t="s">
        <v>6166</v>
      </c>
    </row>
    <row r="9412" customFormat="false" ht="15.75" hidden="false" customHeight="false" outlineLevel="0" collapsed="false">
      <c r="A9412" s="6" t="n">
        <v>46158</v>
      </c>
      <c r="B9412" s="4" t="s">
        <v>4473</v>
      </c>
      <c r="C9412" s="4" t="n">
        <v>11</v>
      </c>
      <c r="D9412" s="4" t="n">
        <v>13</v>
      </c>
      <c r="E9412" s="4" t="s">
        <v>263</v>
      </c>
      <c r="F9412" s="4" t="n">
        <v>4</v>
      </c>
      <c r="G9412" s="4" t="n">
        <v>12</v>
      </c>
      <c r="H9412" s="4" t="n">
        <v>4</v>
      </c>
      <c r="I9412" s="4" t="str">
        <v>×</v>
      </c>
      <c r="J9412" s="4"/>
      <c r="K9412" s="4"/>
      <c r="L9412" s="4"/>
      <c r="M9412" s="5" t="s">
        <v>6166</v>
      </c>
    </row>
    <row r="9413" customFormat="false" ht="15.75" hidden="false" customHeight="false" outlineLevel="0" collapsed="false">
      <c r="A9413" s="6" t="n">
        <v>46158</v>
      </c>
      <c r="B9413" s="4" t="s">
        <v>4473</v>
      </c>
      <c r="C9413" s="4" t="n">
        <v>11</v>
      </c>
      <c r="D9413" s="4" t="n">
        <v>14</v>
      </c>
      <c r="E9413" s="4" t="s">
        <v>900</v>
      </c>
      <c r="F9413" s="4" t="n">
        <v>25</v>
      </c>
      <c r="G9413" s="4" t="n">
        <v>5</v>
      </c>
      <c r="H9413" s="4" t="n">
        <v>4</v>
      </c>
      <c r="I9413" s="4" t="str">
        <v>×</v>
      </c>
      <c r="J9413" s="4"/>
      <c r="K9413" s="4"/>
      <c r="L9413" s="4"/>
      <c r="M9413" s="5" t="s">
        <v>6166</v>
      </c>
    </row>
    <row r="9414" customFormat="false" ht="15.75" hidden="false" customHeight="false" outlineLevel="0" collapsed="false">
      <c r="A9414" s="6" t="n">
        <v>46158</v>
      </c>
      <c r="B9414" s="4" t="s">
        <v>4473</v>
      </c>
      <c r="C9414" s="4" t="n">
        <v>11</v>
      </c>
      <c r="D9414" s="4" t="n">
        <v>15</v>
      </c>
      <c r="E9414" s="4" t="s">
        <v>6216</v>
      </c>
      <c r="F9414" s="4" t="n">
        <v>20</v>
      </c>
      <c r="G9414" s="4" t="n">
        <v>6</v>
      </c>
      <c r="H9414" s="4" t="n">
        <v>4</v>
      </c>
      <c r="I9414" s="4" t="str">
        <v>×</v>
      </c>
      <c r="J9414" s="4"/>
      <c r="K9414" s="4"/>
      <c r="L9414" s="4"/>
      <c r="M9414" s="5" t="s">
        <v>6166</v>
      </c>
    </row>
    <row r="9415" customFormat="false" ht="15.75" hidden="false" customHeight="false" outlineLevel="0" collapsed="false">
      <c r="A9415" s="6" t="n">
        <v>46158</v>
      </c>
      <c r="B9415" s="4" t="s">
        <v>4473</v>
      </c>
      <c r="C9415" s="4" t="n">
        <v>12</v>
      </c>
      <c r="D9415" s="4" t="n">
        <v>1</v>
      </c>
      <c r="E9415" s="4" t="s">
        <v>3069</v>
      </c>
      <c r="F9415" s="4" t="n">
        <v>17</v>
      </c>
      <c r="G9415" s="4" t="n">
        <v>5</v>
      </c>
      <c r="H9415" s="4" t="n">
        <v>4</v>
      </c>
      <c r="I9415" s="4" t="str">
        <v>×</v>
      </c>
      <c r="J9415" s="4"/>
      <c r="K9415" s="4"/>
      <c r="L9415" s="4"/>
      <c r="M9415" s="5" t="s">
        <v>6166</v>
      </c>
    </row>
    <row r="9416" customFormat="false" ht="15.75" hidden="false" customHeight="false" outlineLevel="0" collapsed="false">
      <c r="A9416" s="6" t="n">
        <v>46158</v>
      </c>
      <c r="B9416" s="4" t="s">
        <v>4473</v>
      </c>
      <c r="C9416" s="4" t="n">
        <v>12</v>
      </c>
      <c r="D9416" s="4" t="n">
        <v>2</v>
      </c>
      <c r="E9416" s="4" t="s">
        <v>6217</v>
      </c>
      <c r="F9416" s="4" t="n">
        <v>13</v>
      </c>
      <c r="G9416" s="4" t="n">
        <v>7</v>
      </c>
      <c r="H9416" s="4" t="n">
        <v>4</v>
      </c>
      <c r="I9416" s="4" t="str">
        <v>×</v>
      </c>
      <c r="J9416" s="4"/>
      <c r="K9416" s="4"/>
      <c r="L9416" s="4"/>
      <c r="M9416" s="5" t="s">
        <v>6166</v>
      </c>
    </row>
    <row r="9417" customFormat="false" ht="15.75" hidden="false" customHeight="false" outlineLevel="0" collapsed="false">
      <c r="A9417" s="6" t="n">
        <v>46158</v>
      </c>
      <c r="B9417" s="4" t="s">
        <v>4473</v>
      </c>
      <c r="C9417" s="4" t="n">
        <v>12</v>
      </c>
      <c r="D9417" s="4" t="n">
        <v>3</v>
      </c>
      <c r="E9417" s="4" t="s">
        <v>4576</v>
      </c>
      <c r="F9417" s="4" t="n">
        <v>29</v>
      </c>
      <c r="G9417" s="4" t="n">
        <v>3</v>
      </c>
      <c r="H9417" s="4" t="n">
        <v>4</v>
      </c>
      <c r="I9417" s="4" t="str">
        <v>×</v>
      </c>
      <c r="J9417" s="4"/>
      <c r="K9417" s="4"/>
      <c r="L9417" s="4"/>
      <c r="M9417" s="5" t="s">
        <v>6166</v>
      </c>
    </row>
    <row r="9418" customFormat="false" ht="15.75" hidden="false" customHeight="false" outlineLevel="0" collapsed="false">
      <c r="A9418" s="6" t="n">
        <v>46158</v>
      </c>
      <c r="B9418" s="4" t="s">
        <v>4473</v>
      </c>
      <c r="C9418" s="4" t="n">
        <v>12</v>
      </c>
      <c r="D9418" s="4" t="n">
        <v>4</v>
      </c>
      <c r="E9418" s="4" t="s">
        <v>2397</v>
      </c>
      <c r="F9418" s="4" t="n">
        <v>60</v>
      </c>
      <c r="G9418" s="4" t="n">
        <v>1</v>
      </c>
      <c r="H9418" s="4" t="n">
        <v>1</v>
      </c>
      <c r="I9418" s="4" t="str">
        <v>○</v>
      </c>
      <c r="J9418" s="4" t="n">
        <v>150</v>
      </c>
      <c r="K9418" s="4"/>
      <c r="L9418" s="4"/>
      <c r="M9418" s="5" t="s">
        <v>6166</v>
      </c>
    </row>
    <row r="9419" customFormat="false" ht="15.75" hidden="false" customHeight="false" outlineLevel="0" collapsed="false">
      <c r="A9419" s="6" t="n">
        <v>46158</v>
      </c>
      <c r="B9419" s="4" t="s">
        <v>4473</v>
      </c>
      <c r="C9419" s="4" t="n">
        <v>12</v>
      </c>
      <c r="D9419" s="4" t="n">
        <v>5</v>
      </c>
      <c r="E9419" s="4" t="s">
        <v>6218</v>
      </c>
      <c r="F9419" s="4" t="n">
        <v>17</v>
      </c>
      <c r="G9419" s="4" t="n">
        <v>5</v>
      </c>
      <c r="H9419" s="4" t="n">
        <v>4</v>
      </c>
      <c r="I9419" s="4" t="str">
        <v>×</v>
      </c>
      <c r="J9419" s="4"/>
      <c r="K9419" s="4"/>
      <c r="L9419" s="4"/>
      <c r="M9419" s="5" t="s">
        <v>6166</v>
      </c>
    </row>
    <row r="9420" customFormat="false" ht="15.75" hidden="false" customHeight="false" outlineLevel="0" collapsed="false">
      <c r="A9420" s="6" t="n">
        <v>46158</v>
      </c>
      <c r="B9420" s="4" t="s">
        <v>4473</v>
      </c>
      <c r="C9420" s="4" t="n">
        <v>12</v>
      </c>
      <c r="D9420" s="4" t="n">
        <v>6</v>
      </c>
      <c r="E9420" s="4" t="s">
        <v>2224</v>
      </c>
      <c r="F9420" s="4" t="n">
        <v>8</v>
      </c>
      <c r="G9420" s="4" t="n">
        <v>9</v>
      </c>
      <c r="H9420" s="4" t="n">
        <v>4</v>
      </c>
      <c r="I9420" s="4" t="str">
        <v>×</v>
      </c>
      <c r="J9420" s="4"/>
      <c r="K9420" s="4"/>
      <c r="L9420" s="4"/>
      <c r="M9420" s="5" t="s">
        <v>6166</v>
      </c>
    </row>
    <row r="9421" customFormat="false" ht="15.75" hidden="false" customHeight="false" outlineLevel="0" collapsed="false">
      <c r="A9421" s="6" t="n">
        <v>46158</v>
      </c>
      <c r="B9421" s="4" t="s">
        <v>4473</v>
      </c>
      <c r="C9421" s="4" t="n">
        <v>12</v>
      </c>
      <c r="D9421" s="4" t="n">
        <v>7</v>
      </c>
      <c r="E9421" s="4" t="s">
        <v>4088</v>
      </c>
      <c r="F9421" s="4" t="n">
        <v>4</v>
      </c>
      <c r="G9421" s="4" t="n">
        <v>11</v>
      </c>
      <c r="H9421" s="4" t="n">
        <v>4</v>
      </c>
      <c r="I9421" s="4" t="str">
        <v>×</v>
      </c>
      <c r="J9421" s="4"/>
      <c r="K9421" s="4"/>
      <c r="L9421" s="4"/>
      <c r="M9421" s="5" t="s">
        <v>6166</v>
      </c>
    </row>
    <row r="9422" customFormat="false" ht="15.75" hidden="false" customHeight="false" outlineLevel="0" collapsed="false">
      <c r="A9422" s="6" t="n">
        <v>46158</v>
      </c>
      <c r="B9422" s="4" t="s">
        <v>4473</v>
      </c>
      <c r="C9422" s="4" t="n">
        <v>12</v>
      </c>
      <c r="D9422" s="4" t="n">
        <v>8</v>
      </c>
      <c r="E9422" s="4" t="s">
        <v>6219</v>
      </c>
      <c r="F9422" s="4" t="n">
        <v>8</v>
      </c>
      <c r="G9422" s="4" t="n">
        <v>9</v>
      </c>
      <c r="H9422" s="4" t="n">
        <v>4</v>
      </c>
      <c r="I9422" s="4" t="str">
        <v>×</v>
      </c>
      <c r="J9422" s="4"/>
      <c r="K9422" s="4"/>
      <c r="L9422" s="4"/>
      <c r="M9422" s="5" t="s">
        <v>6166</v>
      </c>
    </row>
    <row r="9423" customFormat="false" ht="15.75" hidden="false" customHeight="false" outlineLevel="0" collapsed="false">
      <c r="A9423" s="6" t="n">
        <v>46158</v>
      </c>
      <c r="B9423" s="4" t="s">
        <v>4473</v>
      </c>
      <c r="C9423" s="4" t="n">
        <v>12</v>
      </c>
      <c r="D9423" s="4" t="n">
        <v>9</v>
      </c>
      <c r="E9423" s="4" t="s">
        <v>3062</v>
      </c>
      <c r="F9423" s="4" t="n">
        <v>41</v>
      </c>
      <c r="G9423" s="4" t="n">
        <v>2</v>
      </c>
      <c r="H9423" s="4" t="n">
        <v>2</v>
      </c>
      <c r="I9423" s="4" t="str">
        <v>○</v>
      </c>
      <c r="J9423" s="4" t="n">
        <v>140</v>
      </c>
      <c r="K9423" s="4"/>
      <c r="L9423" s="4"/>
      <c r="M9423" s="5" t="s">
        <v>6166</v>
      </c>
    </row>
    <row r="9424" customFormat="false" ht="15.75" hidden="false" customHeight="false" outlineLevel="0" collapsed="false">
      <c r="A9424" s="6" t="n">
        <v>46158</v>
      </c>
      <c r="B9424" s="4" t="s">
        <v>4473</v>
      </c>
      <c r="C9424" s="4" t="n">
        <v>12</v>
      </c>
      <c r="D9424" s="4" t="n">
        <v>10</v>
      </c>
      <c r="E9424" s="4" t="s">
        <v>5849</v>
      </c>
      <c r="F9424" s="4" t="n">
        <v>23</v>
      </c>
      <c r="G9424" s="4" t="n">
        <v>4</v>
      </c>
      <c r="H9424" s="4" t="n">
        <v>4</v>
      </c>
      <c r="I9424" s="4" t="str">
        <v>×</v>
      </c>
      <c r="J9424" s="4"/>
      <c r="K9424" s="4"/>
      <c r="L9424" s="4"/>
      <c r="M9424" s="5" t="s">
        <v>6166</v>
      </c>
    </row>
    <row r="9425" customFormat="false" ht="15.75" hidden="false" customHeight="false" outlineLevel="0" collapsed="false">
      <c r="A9425" s="6" t="n">
        <v>46158</v>
      </c>
      <c r="B9425" s="4" t="s">
        <v>4473</v>
      </c>
      <c r="C9425" s="4" t="n">
        <v>12</v>
      </c>
      <c r="D9425" s="4" t="n">
        <v>11</v>
      </c>
      <c r="E9425" s="4" t="s">
        <v>4526</v>
      </c>
      <c r="F9425" s="4" t="n">
        <v>15</v>
      </c>
      <c r="G9425" s="4" t="n">
        <v>6</v>
      </c>
      <c r="H9425" s="4" t="n">
        <v>3</v>
      </c>
      <c r="I9425" s="4" t="str">
        <v>○</v>
      </c>
      <c r="J9425" s="4" t="n">
        <v>380</v>
      </c>
      <c r="K9425" s="4"/>
      <c r="L9425" s="4"/>
      <c r="M9425" s="5" t="s">
        <v>6166</v>
      </c>
    </row>
    <row r="9426" customFormat="false" ht="15.75" hidden="false" customHeight="false" outlineLevel="0" collapsed="false">
      <c r="A9426" s="6" t="n">
        <v>46158</v>
      </c>
      <c r="B9426" s="4" t="s">
        <v>4473</v>
      </c>
      <c r="C9426" s="4" t="n">
        <v>12</v>
      </c>
      <c r="D9426" s="4" t="n">
        <v>12</v>
      </c>
      <c r="E9426" s="4" t="s">
        <v>6220</v>
      </c>
      <c r="F9426" s="4" t="n">
        <v>10</v>
      </c>
      <c r="G9426" s="4" t="n">
        <v>8</v>
      </c>
      <c r="H9426" s="4" t="n">
        <v>4</v>
      </c>
      <c r="I9426" s="4" t="str">
        <v>×</v>
      </c>
      <c r="J9426" s="4"/>
      <c r="K9426" s="4"/>
      <c r="L9426" s="4"/>
      <c r="M9426" s="5" t="s">
        <v>6166</v>
      </c>
    </row>
    <row r="9427" customFormat="false" ht="15.75" hidden="false" customHeight="false" outlineLevel="0" collapsed="false">
      <c r="A9427" s="6" t="n">
        <v>46158</v>
      </c>
      <c r="B9427" s="4" t="s">
        <v>4473</v>
      </c>
      <c r="C9427" s="4" t="n">
        <v>12</v>
      </c>
      <c r="D9427" s="4" t="n">
        <v>13</v>
      </c>
      <c r="E9427" s="4" t="s">
        <v>530</v>
      </c>
      <c r="F9427" s="4" t="n">
        <v>4</v>
      </c>
      <c r="G9427" s="4" t="n">
        <v>11</v>
      </c>
      <c r="H9427" s="4" t="n">
        <v>4</v>
      </c>
      <c r="I9427" s="4" t="str">
        <v>×</v>
      </c>
      <c r="J9427" s="4"/>
      <c r="K9427" s="4"/>
      <c r="L9427" s="4"/>
      <c r="M9427" s="5" t="s">
        <v>6166</v>
      </c>
    </row>
    <row r="9428" customFormat="false" ht="15.75" hidden="false" customHeight="false" outlineLevel="0" collapsed="false">
      <c r="A9428" s="6" t="n">
        <v>46158</v>
      </c>
      <c r="B9428" s="4" t="s">
        <v>4473</v>
      </c>
      <c r="C9428" s="4" t="n">
        <v>12</v>
      </c>
      <c r="D9428" s="4" t="n">
        <v>14</v>
      </c>
      <c r="E9428" s="4" t="s">
        <v>1030</v>
      </c>
      <c r="F9428" s="4" t="n">
        <v>6</v>
      </c>
      <c r="G9428" s="4" t="n">
        <v>10</v>
      </c>
      <c r="H9428" s="4" t="n">
        <v>4</v>
      </c>
      <c r="I9428" s="4" t="str">
        <v>×</v>
      </c>
      <c r="J9428" s="4"/>
      <c r="K9428" s="4"/>
      <c r="L9428" s="4"/>
      <c r="M9428" s="5" t="s">
        <v>6166</v>
      </c>
    </row>
    <row r="9429" customFormat="false" ht="15.75" hidden="false" customHeight="false" outlineLevel="0" collapsed="false">
      <c r="A9429" s="6" t="n">
        <v>46158</v>
      </c>
      <c r="B9429" s="4" t="s">
        <v>5435</v>
      </c>
      <c r="C9429" s="4" t="n">
        <v>1</v>
      </c>
      <c r="D9429" s="4" t="n">
        <v>1</v>
      </c>
      <c r="E9429" s="4" t="s">
        <v>6221</v>
      </c>
      <c r="F9429" s="4" t="n">
        <v>3</v>
      </c>
      <c r="G9429" s="4" t="n">
        <v>11</v>
      </c>
      <c r="H9429" s="4" t="n">
        <v>4</v>
      </c>
      <c r="I9429" s="4" t="str">
        <v>×</v>
      </c>
      <c r="J9429" s="4"/>
      <c r="K9429" s="4"/>
      <c r="L9429" s="4"/>
      <c r="M9429" s="5" t="s">
        <v>6166</v>
      </c>
    </row>
    <row r="9430" customFormat="false" ht="15.75" hidden="false" customHeight="false" outlineLevel="0" collapsed="false">
      <c r="A9430" s="6" t="n">
        <v>46158</v>
      </c>
      <c r="B9430" s="4" t="s">
        <v>5435</v>
      </c>
      <c r="C9430" s="4" t="n">
        <v>1</v>
      </c>
      <c r="D9430" s="4" t="n">
        <v>2</v>
      </c>
      <c r="E9430" s="4" t="s">
        <v>3910</v>
      </c>
      <c r="F9430" s="4" t="n">
        <v>6</v>
      </c>
      <c r="G9430" s="4" t="n">
        <v>9</v>
      </c>
      <c r="H9430" s="4" t="n">
        <v>4</v>
      </c>
      <c r="I9430" s="4" t="str">
        <v>×</v>
      </c>
      <c r="J9430" s="4"/>
      <c r="K9430" s="4"/>
      <c r="L9430" s="4"/>
      <c r="M9430" s="5" t="s">
        <v>6166</v>
      </c>
    </row>
    <row r="9431" customFormat="false" ht="15.75" hidden="false" customHeight="false" outlineLevel="0" collapsed="false">
      <c r="A9431" s="6" t="n">
        <v>46158</v>
      </c>
      <c r="B9431" s="4" t="s">
        <v>5435</v>
      </c>
      <c r="C9431" s="4" t="n">
        <v>1</v>
      </c>
      <c r="D9431" s="4" t="n">
        <v>3</v>
      </c>
      <c r="E9431" s="4" t="s">
        <v>6222</v>
      </c>
      <c r="F9431" s="4" t="n">
        <v>10</v>
      </c>
      <c r="G9431" s="4" t="n">
        <v>7</v>
      </c>
      <c r="H9431" s="4" t="n">
        <v>4</v>
      </c>
      <c r="I9431" s="4" t="str">
        <v>×</v>
      </c>
      <c r="J9431" s="4"/>
      <c r="K9431" s="4"/>
      <c r="L9431" s="4"/>
      <c r="M9431" s="5" t="s">
        <v>6166</v>
      </c>
    </row>
    <row r="9432" customFormat="false" ht="15.75" hidden="false" customHeight="false" outlineLevel="0" collapsed="false">
      <c r="A9432" s="6" t="n">
        <v>46158</v>
      </c>
      <c r="B9432" s="4" t="s">
        <v>5435</v>
      </c>
      <c r="C9432" s="4" t="n">
        <v>1</v>
      </c>
      <c r="D9432" s="4" t="n">
        <v>4</v>
      </c>
      <c r="E9432" s="4" t="s">
        <v>4994</v>
      </c>
      <c r="F9432" s="4" t="n">
        <v>17</v>
      </c>
      <c r="G9432" s="4" t="n">
        <v>6</v>
      </c>
      <c r="H9432" s="4" t="n">
        <v>3</v>
      </c>
      <c r="I9432" s="4" t="str">
        <v>○</v>
      </c>
      <c r="J9432" s="4" t="n">
        <v>290</v>
      </c>
      <c r="K9432" s="4"/>
      <c r="L9432" s="4"/>
      <c r="M9432" s="5" t="s">
        <v>6166</v>
      </c>
    </row>
    <row r="9433" customFormat="false" ht="15.75" hidden="false" customHeight="false" outlineLevel="0" collapsed="false">
      <c r="A9433" s="6" t="n">
        <v>46158</v>
      </c>
      <c r="B9433" s="4" t="s">
        <v>5435</v>
      </c>
      <c r="C9433" s="4" t="n">
        <v>1</v>
      </c>
      <c r="D9433" s="4" t="n">
        <v>5</v>
      </c>
      <c r="E9433" s="4" t="s">
        <v>727</v>
      </c>
      <c r="F9433" s="4" t="n">
        <v>41</v>
      </c>
      <c r="G9433" s="4" t="n">
        <v>3</v>
      </c>
      <c r="H9433" s="4" t="n">
        <v>1</v>
      </c>
      <c r="I9433" s="4" t="str">
        <v>○</v>
      </c>
      <c r="J9433" s="4" t="n">
        <v>180</v>
      </c>
      <c r="K9433" s="4"/>
      <c r="L9433" s="4"/>
      <c r="M9433" s="5" t="s">
        <v>6166</v>
      </c>
    </row>
    <row r="9434" customFormat="false" ht="15.75" hidden="false" customHeight="false" outlineLevel="0" collapsed="false">
      <c r="A9434" s="6" t="n">
        <v>46158</v>
      </c>
      <c r="B9434" s="4" t="s">
        <v>5435</v>
      </c>
      <c r="C9434" s="4" t="n">
        <v>1</v>
      </c>
      <c r="D9434" s="4" t="n">
        <v>6</v>
      </c>
      <c r="E9434" s="4" t="s">
        <v>6223</v>
      </c>
      <c r="F9434" s="4" t="n">
        <v>10</v>
      </c>
      <c r="G9434" s="4" t="n">
        <v>7</v>
      </c>
      <c r="H9434" s="4" t="n">
        <v>4</v>
      </c>
      <c r="I9434" s="4" t="str">
        <v>×</v>
      </c>
      <c r="J9434" s="4"/>
      <c r="K9434" s="4"/>
      <c r="L9434" s="4"/>
      <c r="M9434" s="5" t="s">
        <v>6166</v>
      </c>
    </row>
    <row r="9435" customFormat="false" ht="15.75" hidden="false" customHeight="false" outlineLevel="0" collapsed="false">
      <c r="A9435" s="6" t="n">
        <v>46158</v>
      </c>
      <c r="B9435" s="4" t="s">
        <v>5435</v>
      </c>
      <c r="C9435" s="4" t="n">
        <v>1</v>
      </c>
      <c r="D9435" s="4" t="n">
        <v>7</v>
      </c>
      <c r="E9435" s="4" t="s">
        <v>3923</v>
      </c>
      <c r="F9435" s="4" t="n">
        <v>34</v>
      </c>
      <c r="G9435" s="4" t="n">
        <v>4</v>
      </c>
      <c r="H9435" s="4" t="n">
        <v>4</v>
      </c>
      <c r="I9435" s="4" t="str">
        <v>×</v>
      </c>
      <c r="J9435" s="4"/>
      <c r="K9435" s="4"/>
      <c r="L9435" s="4"/>
      <c r="M9435" s="5" t="s">
        <v>6166</v>
      </c>
    </row>
    <row r="9436" customFormat="false" ht="15.75" hidden="false" customHeight="false" outlineLevel="0" collapsed="false">
      <c r="A9436" s="6" t="n">
        <v>46158</v>
      </c>
      <c r="B9436" s="4" t="s">
        <v>5435</v>
      </c>
      <c r="C9436" s="4" t="n">
        <v>1</v>
      </c>
      <c r="D9436" s="4" t="n">
        <v>8</v>
      </c>
      <c r="E9436" s="4" t="s">
        <v>1796</v>
      </c>
      <c r="F9436" s="4" t="n">
        <v>56</v>
      </c>
      <c r="G9436" s="4" t="n">
        <v>2</v>
      </c>
      <c r="H9436" s="4" t="n">
        <v>2</v>
      </c>
      <c r="I9436" s="4" t="str">
        <v>○</v>
      </c>
      <c r="J9436" s="4" t="n">
        <v>110</v>
      </c>
      <c r="K9436" s="4"/>
      <c r="L9436" s="4"/>
      <c r="M9436" s="5" t="s">
        <v>6166</v>
      </c>
    </row>
    <row r="9437" customFormat="false" ht="15.75" hidden="false" customHeight="false" outlineLevel="0" collapsed="false">
      <c r="A9437" s="6" t="n">
        <v>46158</v>
      </c>
      <c r="B9437" s="4" t="s">
        <v>5435</v>
      </c>
      <c r="C9437" s="4" t="n">
        <v>1</v>
      </c>
      <c r="D9437" s="4" t="n">
        <v>9</v>
      </c>
      <c r="E9437" s="4" t="s">
        <v>6224</v>
      </c>
      <c r="F9437" s="4" t="n">
        <v>4</v>
      </c>
      <c r="G9437" s="4" t="n">
        <v>10</v>
      </c>
      <c r="H9437" s="4" t="n">
        <v>4</v>
      </c>
      <c r="I9437" s="4" t="str">
        <v>×</v>
      </c>
      <c r="J9437" s="4"/>
      <c r="K9437" s="4"/>
      <c r="L9437" s="4"/>
      <c r="M9437" s="5" t="s">
        <v>6166</v>
      </c>
    </row>
    <row r="9438" customFormat="false" ht="15.75" hidden="false" customHeight="false" outlineLevel="0" collapsed="false">
      <c r="A9438" s="6" t="n">
        <v>46158</v>
      </c>
      <c r="B9438" s="4" t="s">
        <v>5435</v>
      </c>
      <c r="C9438" s="4" t="n">
        <v>1</v>
      </c>
      <c r="D9438" s="4" t="n">
        <v>10</v>
      </c>
      <c r="E9438" s="4" t="s">
        <v>6225</v>
      </c>
      <c r="F9438" s="4" t="n">
        <v>3</v>
      </c>
      <c r="G9438" s="4" t="n">
        <v>11</v>
      </c>
      <c r="H9438" s="4" t="n">
        <v>4</v>
      </c>
      <c r="I9438" s="4" t="str">
        <v>×</v>
      </c>
      <c r="J9438" s="4"/>
      <c r="K9438" s="4"/>
      <c r="L9438" s="4"/>
      <c r="M9438" s="5" t="s">
        <v>6166</v>
      </c>
    </row>
    <row r="9439" customFormat="false" ht="15.75" hidden="false" customHeight="false" outlineLevel="0" collapsed="false">
      <c r="A9439" s="6" t="n">
        <v>46158</v>
      </c>
      <c r="B9439" s="4" t="s">
        <v>5435</v>
      </c>
      <c r="C9439" s="4" t="n">
        <v>1</v>
      </c>
      <c r="D9439" s="4" t="n">
        <v>11</v>
      </c>
      <c r="E9439" s="4" t="s">
        <v>4110</v>
      </c>
      <c r="F9439" s="4" t="n">
        <v>4</v>
      </c>
      <c r="G9439" s="4" t="n">
        <v>10</v>
      </c>
      <c r="H9439" s="4" t="n">
        <v>4</v>
      </c>
      <c r="I9439" s="4" t="str">
        <v>×</v>
      </c>
      <c r="J9439" s="4"/>
      <c r="K9439" s="4"/>
      <c r="L9439" s="4"/>
      <c r="M9439" s="5" t="s">
        <v>6166</v>
      </c>
    </row>
    <row r="9440" customFormat="false" ht="15.75" hidden="false" customHeight="false" outlineLevel="0" collapsed="false">
      <c r="A9440" s="6" t="n">
        <v>46158</v>
      </c>
      <c r="B9440" s="4" t="s">
        <v>5435</v>
      </c>
      <c r="C9440" s="4" t="n">
        <v>1</v>
      </c>
      <c r="D9440" s="4" t="n">
        <v>12</v>
      </c>
      <c r="E9440" s="4" t="s">
        <v>5239</v>
      </c>
      <c r="F9440" s="4" t="n">
        <v>66</v>
      </c>
      <c r="G9440" s="4" t="n">
        <v>1</v>
      </c>
      <c r="H9440" s="4" t="n">
        <v>4</v>
      </c>
      <c r="I9440" s="4" t="str">
        <v>×</v>
      </c>
      <c r="J9440" s="4"/>
      <c r="K9440" s="4"/>
      <c r="L9440" s="4"/>
      <c r="M9440" s="5" t="s">
        <v>6166</v>
      </c>
    </row>
    <row r="9441" customFormat="false" ht="15.75" hidden="false" customHeight="false" outlineLevel="0" collapsed="false">
      <c r="A9441" s="6" t="n">
        <v>46158</v>
      </c>
      <c r="B9441" s="4" t="s">
        <v>5435</v>
      </c>
      <c r="C9441" s="4" t="n">
        <v>1</v>
      </c>
      <c r="D9441" s="4" t="n">
        <v>13</v>
      </c>
      <c r="E9441" s="4" t="s">
        <v>832</v>
      </c>
      <c r="F9441" s="4" t="n">
        <v>23</v>
      </c>
      <c r="G9441" s="4" t="n">
        <v>5</v>
      </c>
      <c r="H9441" s="4" t="n">
        <v>4</v>
      </c>
      <c r="I9441" s="4" t="str">
        <v>×</v>
      </c>
      <c r="J9441" s="4"/>
      <c r="K9441" s="4"/>
      <c r="L9441" s="4"/>
      <c r="M9441" s="5" t="s">
        <v>6166</v>
      </c>
    </row>
    <row r="9442" customFormat="false" ht="15.75" hidden="false" customHeight="false" outlineLevel="0" collapsed="false">
      <c r="A9442" s="6" t="n">
        <v>46158</v>
      </c>
      <c r="B9442" s="4" t="s">
        <v>5435</v>
      </c>
      <c r="C9442" s="4" t="n">
        <v>1</v>
      </c>
      <c r="D9442" s="4" t="n">
        <v>14</v>
      </c>
      <c r="E9442" s="4" t="s">
        <v>2183</v>
      </c>
      <c r="F9442" s="4" t="n">
        <v>17</v>
      </c>
      <c r="G9442" s="4" t="n">
        <v>6</v>
      </c>
      <c r="H9442" s="4" t="n">
        <v>4</v>
      </c>
      <c r="I9442" s="4" t="str">
        <v>×</v>
      </c>
      <c r="J9442" s="4"/>
      <c r="K9442" s="4"/>
      <c r="L9442" s="4"/>
      <c r="M9442" s="5" t="s">
        <v>6166</v>
      </c>
    </row>
    <row r="9443" customFormat="false" ht="15.75" hidden="false" customHeight="false" outlineLevel="0" collapsed="false">
      <c r="A9443" s="6" t="n">
        <v>46158</v>
      </c>
      <c r="B9443" s="4" t="s">
        <v>5435</v>
      </c>
      <c r="C9443" s="4" t="n">
        <v>1</v>
      </c>
      <c r="D9443" s="4" t="n">
        <v>15</v>
      </c>
      <c r="E9443" s="4" t="s">
        <v>664</v>
      </c>
      <c r="F9443" s="4" t="n">
        <v>8</v>
      </c>
      <c r="G9443" s="4" t="n">
        <v>8</v>
      </c>
      <c r="H9443" s="4" t="n">
        <v>4</v>
      </c>
      <c r="I9443" s="4" t="str">
        <v>×</v>
      </c>
      <c r="J9443" s="4"/>
      <c r="K9443" s="4"/>
      <c r="L9443" s="4"/>
      <c r="M9443" s="5" t="s">
        <v>6166</v>
      </c>
    </row>
    <row r="9444" customFormat="false" ht="15.75" hidden="false" customHeight="false" outlineLevel="0" collapsed="false">
      <c r="A9444" s="6" t="n">
        <v>46158</v>
      </c>
      <c r="B9444" s="4" t="s">
        <v>5435</v>
      </c>
      <c r="C9444" s="4" t="n">
        <v>1</v>
      </c>
      <c r="D9444" s="4" t="n">
        <v>16</v>
      </c>
      <c r="E9444" s="4" t="s">
        <v>4619</v>
      </c>
      <c r="F9444" s="4" t="n">
        <v>8</v>
      </c>
      <c r="G9444" s="4" t="n">
        <v>8</v>
      </c>
      <c r="H9444" s="4" t="n">
        <v>4</v>
      </c>
      <c r="I9444" s="4" t="str">
        <v>×</v>
      </c>
      <c r="J9444" s="4"/>
      <c r="K9444" s="4"/>
      <c r="L9444" s="4"/>
      <c r="M9444" s="5" t="s">
        <v>6166</v>
      </c>
    </row>
    <row r="9445" customFormat="false" ht="15.75" hidden="false" customHeight="false" outlineLevel="0" collapsed="false">
      <c r="A9445" s="6" t="n">
        <v>46158</v>
      </c>
      <c r="B9445" s="4" t="s">
        <v>5435</v>
      </c>
      <c r="C9445" s="4" t="n">
        <v>2</v>
      </c>
      <c r="D9445" s="4" t="n">
        <v>1</v>
      </c>
      <c r="E9445" s="4" t="s">
        <v>6226</v>
      </c>
      <c r="F9445" s="4" t="n">
        <v>10</v>
      </c>
      <c r="G9445" s="4" t="n">
        <v>7</v>
      </c>
      <c r="H9445" s="4" t="n">
        <v>1</v>
      </c>
      <c r="I9445" s="4" t="str">
        <v>○</v>
      </c>
      <c r="J9445" s="4" t="n">
        <v>280</v>
      </c>
      <c r="K9445" s="4"/>
      <c r="L9445" s="4"/>
      <c r="M9445" s="5" t="s">
        <v>6166</v>
      </c>
    </row>
    <row r="9446" customFormat="false" ht="15.75" hidden="false" customHeight="false" outlineLevel="0" collapsed="false">
      <c r="A9446" s="6" t="n">
        <v>46158</v>
      </c>
      <c r="B9446" s="4" t="s">
        <v>5435</v>
      </c>
      <c r="C9446" s="4" t="n">
        <v>2</v>
      </c>
      <c r="D9446" s="4" t="n">
        <v>2</v>
      </c>
      <c r="E9446" s="4" t="s">
        <v>6227</v>
      </c>
      <c r="F9446" s="4" t="n">
        <v>29</v>
      </c>
      <c r="G9446" s="4" t="n">
        <v>4</v>
      </c>
      <c r="H9446" s="4" t="n">
        <v>4</v>
      </c>
      <c r="I9446" s="4" t="str">
        <v>×</v>
      </c>
      <c r="J9446" s="4"/>
      <c r="K9446" s="4"/>
      <c r="L9446" s="4"/>
      <c r="M9446" s="5" t="s">
        <v>6166</v>
      </c>
    </row>
    <row r="9447" customFormat="false" ht="15.75" hidden="false" customHeight="false" outlineLevel="0" collapsed="false">
      <c r="A9447" s="6" t="n">
        <v>46158</v>
      </c>
      <c r="B9447" s="4" t="s">
        <v>5435</v>
      </c>
      <c r="C9447" s="4" t="n">
        <v>2</v>
      </c>
      <c r="D9447" s="4" t="n">
        <v>3</v>
      </c>
      <c r="E9447" s="4" t="s">
        <v>5245</v>
      </c>
      <c r="F9447" s="4" t="n">
        <v>37</v>
      </c>
      <c r="G9447" s="4" t="n">
        <v>2</v>
      </c>
      <c r="H9447" s="4" t="n">
        <v>4</v>
      </c>
      <c r="I9447" s="4" t="str">
        <v>×</v>
      </c>
      <c r="J9447" s="4"/>
      <c r="K9447" s="4"/>
      <c r="L9447" s="4"/>
      <c r="M9447" s="5" t="s">
        <v>6166</v>
      </c>
    </row>
    <row r="9448" customFormat="false" ht="15.75" hidden="false" customHeight="false" outlineLevel="0" collapsed="false">
      <c r="A9448" s="6" t="n">
        <v>46158</v>
      </c>
      <c r="B9448" s="4" t="s">
        <v>5435</v>
      </c>
      <c r="C9448" s="4" t="n">
        <v>2</v>
      </c>
      <c r="D9448" s="4" t="n">
        <v>4</v>
      </c>
      <c r="E9448" s="4" t="s">
        <v>1731</v>
      </c>
      <c r="F9448" s="4" t="n">
        <v>6</v>
      </c>
      <c r="G9448" s="4" t="n">
        <v>9</v>
      </c>
      <c r="H9448" s="4" t="n">
        <v>4</v>
      </c>
      <c r="I9448" s="4" t="str">
        <v>×</v>
      </c>
      <c r="J9448" s="4"/>
      <c r="K9448" s="4"/>
      <c r="L9448" s="4"/>
      <c r="M9448" s="5" t="s">
        <v>6166</v>
      </c>
    </row>
    <row r="9449" customFormat="false" ht="15.75" hidden="false" customHeight="false" outlineLevel="0" collapsed="false">
      <c r="A9449" s="6" t="n">
        <v>46158</v>
      </c>
      <c r="B9449" s="4" t="s">
        <v>5435</v>
      </c>
      <c r="C9449" s="4" t="n">
        <v>2</v>
      </c>
      <c r="D9449" s="4" t="n">
        <v>5</v>
      </c>
      <c r="E9449" s="4" t="s">
        <v>3612</v>
      </c>
      <c r="F9449" s="4" t="n">
        <v>10</v>
      </c>
      <c r="G9449" s="4" t="n">
        <v>7</v>
      </c>
      <c r="H9449" s="4" t="n">
        <v>4</v>
      </c>
      <c r="I9449" s="4" t="str">
        <v>×</v>
      </c>
      <c r="J9449" s="4"/>
      <c r="K9449" s="4"/>
      <c r="L9449" s="4"/>
      <c r="M9449" s="5" t="s">
        <v>6166</v>
      </c>
    </row>
    <row r="9450" customFormat="false" ht="15.75" hidden="false" customHeight="false" outlineLevel="0" collapsed="false">
      <c r="A9450" s="6" t="n">
        <v>46158</v>
      </c>
      <c r="B9450" s="4" t="s">
        <v>5435</v>
      </c>
      <c r="C9450" s="4" t="n">
        <v>2</v>
      </c>
      <c r="D9450" s="4" t="n">
        <v>6</v>
      </c>
      <c r="E9450" s="4" t="s">
        <v>2035</v>
      </c>
      <c r="F9450" s="4" t="n">
        <v>37</v>
      </c>
      <c r="G9450" s="4" t="n">
        <v>2</v>
      </c>
      <c r="H9450" s="4" t="n">
        <v>3</v>
      </c>
      <c r="I9450" s="4" t="str">
        <v>○</v>
      </c>
      <c r="J9450" s="4" t="n">
        <v>140</v>
      </c>
      <c r="K9450" s="4"/>
      <c r="L9450" s="4"/>
      <c r="M9450" s="5" t="s">
        <v>6166</v>
      </c>
    </row>
    <row r="9451" customFormat="false" ht="15.75" hidden="false" customHeight="false" outlineLevel="0" collapsed="false">
      <c r="A9451" s="6" t="n">
        <v>46158</v>
      </c>
      <c r="B9451" s="4" t="s">
        <v>5435</v>
      </c>
      <c r="C9451" s="4" t="n">
        <v>2</v>
      </c>
      <c r="D9451" s="4" t="n">
        <v>7</v>
      </c>
      <c r="E9451" s="4" t="s">
        <v>1291</v>
      </c>
      <c r="F9451" s="4" t="n">
        <v>17</v>
      </c>
      <c r="G9451" s="4" t="n">
        <v>6</v>
      </c>
      <c r="H9451" s="4" t="n">
        <v>4</v>
      </c>
      <c r="I9451" s="4" t="str">
        <v>×</v>
      </c>
      <c r="J9451" s="4"/>
      <c r="K9451" s="4"/>
      <c r="L9451" s="4"/>
      <c r="M9451" s="5" t="s">
        <v>6166</v>
      </c>
    </row>
    <row r="9452" customFormat="false" ht="15.75" hidden="false" customHeight="false" outlineLevel="0" collapsed="false">
      <c r="A9452" s="6" t="n">
        <v>46158</v>
      </c>
      <c r="B9452" s="4" t="s">
        <v>5435</v>
      </c>
      <c r="C9452" s="4" t="n">
        <v>2</v>
      </c>
      <c r="D9452" s="4" t="n">
        <v>8</v>
      </c>
      <c r="E9452" s="4" t="s">
        <v>1627</v>
      </c>
      <c r="F9452" s="4" t="n">
        <v>34</v>
      </c>
      <c r="G9452" s="4" t="n">
        <v>3</v>
      </c>
      <c r="H9452" s="4" t="n">
        <v>4</v>
      </c>
      <c r="I9452" s="4" t="str">
        <v>×</v>
      </c>
      <c r="J9452" s="4"/>
      <c r="K9452" s="4"/>
      <c r="L9452" s="4"/>
      <c r="M9452" s="5" t="s">
        <v>6166</v>
      </c>
    </row>
    <row r="9453" customFormat="false" ht="15.75" hidden="false" customHeight="false" outlineLevel="0" collapsed="false">
      <c r="A9453" s="6" t="n">
        <v>46158</v>
      </c>
      <c r="B9453" s="4" t="s">
        <v>5435</v>
      </c>
      <c r="C9453" s="4" t="n">
        <v>2</v>
      </c>
      <c r="D9453" s="4" t="n">
        <v>9</v>
      </c>
      <c r="E9453" s="4" t="s">
        <v>2950</v>
      </c>
      <c r="F9453" s="4" t="n">
        <v>81</v>
      </c>
      <c r="G9453" s="4" t="n">
        <v>1</v>
      </c>
      <c r="H9453" s="4" t="n">
        <v>2</v>
      </c>
      <c r="I9453" s="4" t="str">
        <v>○</v>
      </c>
      <c r="J9453" s="4" t="n">
        <v>110</v>
      </c>
      <c r="K9453" s="4"/>
      <c r="L9453" s="4"/>
      <c r="M9453" s="5" t="s">
        <v>6166</v>
      </c>
    </row>
    <row r="9454" customFormat="false" ht="15.75" hidden="false" customHeight="false" outlineLevel="0" collapsed="false">
      <c r="A9454" s="6" t="n">
        <v>46158</v>
      </c>
      <c r="B9454" s="4" t="s">
        <v>5435</v>
      </c>
      <c r="C9454" s="4" t="n">
        <v>2</v>
      </c>
      <c r="D9454" s="4" t="n">
        <v>10</v>
      </c>
      <c r="E9454" s="4" t="s">
        <v>4241</v>
      </c>
      <c r="F9454" s="4" t="n">
        <v>20</v>
      </c>
      <c r="G9454" s="4" t="n">
        <v>5</v>
      </c>
      <c r="H9454" s="4" t="n">
        <v>4</v>
      </c>
      <c r="I9454" s="4" t="str">
        <v>×</v>
      </c>
      <c r="J9454" s="4"/>
      <c r="K9454" s="4"/>
      <c r="L9454" s="4"/>
      <c r="M9454" s="5" t="s">
        <v>6166</v>
      </c>
    </row>
    <row r="9455" customFormat="false" ht="15.75" hidden="false" customHeight="false" outlineLevel="0" collapsed="false">
      <c r="A9455" s="6" t="n">
        <v>46158</v>
      </c>
      <c r="B9455" s="4" t="s">
        <v>5435</v>
      </c>
      <c r="C9455" s="4" t="n">
        <v>2</v>
      </c>
      <c r="D9455" s="4" t="n">
        <v>11</v>
      </c>
      <c r="E9455" s="4" t="s">
        <v>6228</v>
      </c>
      <c r="F9455" s="4" t="n">
        <v>8</v>
      </c>
      <c r="G9455" s="4" t="n">
        <v>8</v>
      </c>
      <c r="H9455" s="4" t="n">
        <v>4</v>
      </c>
      <c r="I9455" s="4" t="str">
        <v>×</v>
      </c>
      <c r="J9455" s="4"/>
      <c r="K9455" s="4"/>
      <c r="L9455" s="4"/>
      <c r="M9455" s="5" t="s">
        <v>6166</v>
      </c>
    </row>
    <row r="9456" customFormat="false" ht="15.75" hidden="false" customHeight="false" outlineLevel="0" collapsed="false">
      <c r="A9456" s="6" t="n">
        <v>46158</v>
      </c>
      <c r="B9456" s="4" t="s">
        <v>5435</v>
      </c>
      <c r="C9456" s="4" t="n">
        <v>3</v>
      </c>
      <c r="D9456" s="4" t="n">
        <v>1</v>
      </c>
      <c r="E9456" s="4" t="s">
        <v>3977</v>
      </c>
      <c r="F9456" s="4" t="n">
        <v>39</v>
      </c>
      <c r="G9456" s="4" t="n">
        <v>3</v>
      </c>
      <c r="H9456" s="4" t="n">
        <v>4</v>
      </c>
      <c r="I9456" s="4" t="str">
        <v>×</v>
      </c>
      <c r="J9456" s="4"/>
      <c r="K9456" s="4"/>
      <c r="L9456" s="4"/>
      <c r="M9456" s="5" t="s">
        <v>6166</v>
      </c>
    </row>
    <row r="9457" customFormat="false" ht="15.75" hidden="false" customHeight="false" outlineLevel="0" collapsed="false">
      <c r="A9457" s="6" t="n">
        <v>46158</v>
      </c>
      <c r="B9457" s="4" t="s">
        <v>5435</v>
      </c>
      <c r="C9457" s="4" t="n">
        <v>3</v>
      </c>
      <c r="D9457" s="4" t="n">
        <v>2</v>
      </c>
      <c r="E9457" s="4" t="s">
        <v>3420</v>
      </c>
      <c r="F9457" s="4" t="n">
        <v>8</v>
      </c>
      <c r="G9457" s="4" t="n">
        <v>9</v>
      </c>
      <c r="H9457" s="4" t="n">
        <v>3</v>
      </c>
      <c r="I9457" s="4" t="str">
        <v>○</v>
      </c>
      <c r="J9457" s="4" t="n">
        <v>780</v>
      </c>
      <c r="K9457" s="4"/>
      <c r="L9457" s="4"/>
      <c r="M9457" s="5" t="s">
        <v>6166</v>
      </c>
    </row>
    <row r="9458" customFormat="false" ht="15.75" hidden="false" customHeight="false" outlineLevel="0" collapsed="false">
      <c r="A9458" s="6" t="n">
        <v>46158</v>
      </c>
      <c r="B9458" s="4" t="s">
        <v>5435</v>
      </c>
      <c r="C9458" s="4" t="n">
        <v>3</v>
      </c>
      <c r="D9458" s="4" t="n">
        <v>3</v>
      </c>
      <c r="E9458" s="4" t="s">
        <v>4114</v>
      </c>
      <c r="F9458" s="4" t="n">
        <v>17</v>
      </c>
      <c r="G9458" s="4" t="n">
        <v>6</v>
      </c>
      <c r="H9458" s="4" t="n">
        <v>4</v>
      </c>
      <c r="I9458" s="4" t="str">
        <v>×</v>
      </c>
      <c r="J9458" s="4"/>
      <c r="K9458" s="4"/>
      <c r="L9458" s="4"/>
      <c r="M9458" s="5" t="s">
        <v>6166</v>
      </c>
    </row>
    <row r="9459" customFormat="false" ht="15.75" hidden="false" customHeight="false" outlineLevel="0" collapsed="false">
      <c r="A9459" s="6" t="n">
        <v>46158</v>
      </c>
      <c r="B9459" s="4" t="s">
        <v>5435</v>
      </c>
      <c r="C9459" s="4" t="n">
        <v>3</v>
      </c>
      <c r="D9459" s="4" t="n">
        <v>4</v>
      </c>
      <c r="E9459" s="4" t="s">
        <v>4583</v>
      </c>
      <c r="F9459" s="4" t="n">
        <v>75</v>
      </c>
      <c r="G9459" s="4" t="n">
        <v>1</v>
      </c>
      <c r="H9459" s="4" t="n">
        <v>4</v>
      </c>
      <c r="I9459" s="4" t="str">
        <v>×</v>
      </c>
      <c r="J9459" s="4"/>
      <c r="K9459" s="4"/>
      <c r="L9459" s="4"/>
      <c r="M9459" s="5" t="s">
        <v>6166</v>
      </c>
    </row>
    <row r="9460" customFormat="false" ht="15.75" hidden="false" customHeight="false" outlineLevel="0" collapsed="false">
      <c r="A9460" s="6" t="n">
        <v>46158</v>
      </c>
      <c r="B9460" s="4" t="s">
        <v>5435</v>
      </c>
      <c r="C9460" s="4" t="n">
        <v>3</v>
      </c>
      <c r="D9460" s="4" t="n">
        <v>5</v>
      </c>
      <c r="E9460" s="4" t="s">
        <v>2092</v>
      </c>
      <c r="F9460" s="4" t="n">
        <v>4</v>
      </c>
      <c r="G9460" s="4" t="n">
        <v>11</v>
      </c>
      <c r="H9460" s="4" t="n">
        <v>4</v>
      </c>
      <c r="I9460" s="4" t="str">
        <v>×</v>
      </c>
      <c r="J9460" s="4"/>
      <c r="K9460" s="4"/>
      <c r="L9460" s="4"/>
      <c r="M9460" s="5" t="s">
        <v>6166</v>
      </c>
    </row>
    <row r="9461" customFormat="false" ht="15.75" hidden="false" customHeight="false" outlineLevel="0" collapsed="false">
      <c r="A9461" s="6" t="n">
        <v>46158</v>
      </c>
      <c r="B9461" s="4" t="s">
        <v>5435</v>
      </c>
      <c r="C9461" s="4" t="n">
        <v>3</v>
      </c>
      <c r="D9461" s="4" t="n">
        <v>6</v>
      </c>
      <c r="E9461" s="4" t="s">
        <v>6229</v>
      </c>
      <c r="F9461" s="4" t="n">
        <v>6</v>
      </c>
      <c r="G9461" s="4" t="n">
        <v>10</v>
      </c>
      <c r="H9461" s="4" t="n">
        <v>4</v>
      </c>
      <c r="I9461" s="4" t="str">
        <v>×</v>
      </c>
      <c r="J9461" s="4"/>
      <c r="K9461" s="4"/>
      <c r="L9461" s="4"/>
      <c r="M9461" s="5" t="s">
        <v>6166</v>
      </c>
    </row>
    <row r="9462" customFormat="false" ht="15.75" hidden="false" customHeight="false" outlineLevel="0" collapsed="false">
      <c r="A9462" s="6" t="n">
        <v>46158</v>
      </c>
      <c r="B9462" s="4" t="s">
        <v>5435</v>
      </c>
      <c r="C9462" s="4" t="n">
        <v>3</v>
      </c>
      <c r="D9462" s="4" t="n">
        <v>7</v>
      </c>
      <c r="E9462" s="4" t="s">
        <v>2824</v>
      </c>
      <c r="F9462" s="4" t="n">
        <v>1</v>
      </c>
      <c r="G9462" s="4" t="n">
        <v>14</v>
      </c>
      <c r="H9462" s="4" t="n">
        <v>4</v>
      </c>
      <c r="I9462" s="4" t="str">
        <v>×</v>
      </c>
      <c r="J9462" s="4"/>
      <c r="K9462" s="4"/>
      <c r="L9462" s="4"/>
      <c r="M9462" s="5" t="s">
        <v>6166</v>
      </c>
    </row>
    <row r="9463" customFormat="false" ht="15.75" hidden="false" customHeight="false" outlineLevel="0" collapsed="false">
      <c r="A9463" s="6" t="n">
        <v>46158</v>
      </c>
      <c r="B9463" s="4" t="s">
        <v>5435</v>
      </c>
      <c r="C9463" s="4" t="n">
        <v>3</v>
      </c>
      <c r="D9463" s="4" t="n">
        <v>8</v>
      </c>
      <c r="E9463" s="4" t="s">
        <v>6230</v>
      </c>
      <c r="F9463" s="4" t="n">
        <v>13</v>
      </c>
      <c r="G9463" s="4" t="n">
        <v>7</v>
      </c>
      <c r="H9463" s="4" t="n">
        <v>4</v>
      </c>
      <c r="I9463" s="4" t="str">
        <v>×</v>
      </c>
      <c r="J9463" s="4"/>
      <c r="K9463" s="4"/>
      <c r="L9463" s="4"/>
      <c r="M9463" s="5" t="s">
        <v>6166</v>
      </c>
    </row>
    <row r="9464" customFormat="false" ht="15.75" hidden="false" customHeight="false" outlineLevel="0" collapsed="false">
      <c r="A9464" s="6" t="n">
        <v>46158</v>
      </c>
      <c r="B9464" s="4" t="s">
        <v>5435</v>
      </c>
      <c r="C9464" s="4" t="n">
        <v>3</v>
      </c>
      <c r="D9464" s="4" t="n">
        <v>9</v>
      </c>
      <c r="E9464" s="4" t="s">
        <v>6087</v>
      </c>
      <c r="F9464" s="4" t="n">
        <v>2</v>
      </c>
      <c r="G9464" s="4" t="n">
        <v>13</v>
      </c>
      <c r="H9464" s="4" t="n">
        <v>4</v>
      </c>
      <c r="I9464" s="4" t="str">
        <v>×</v>
      </c>
      <c r="J9464" s="4"/>
      <c r="K9464" s="4"/>
      <c r="L9464" s="4"/>
      <c r="M9464" s="5" t="s">
        <v>6166</v>
      </c>
    </row>
    <row r="9465" customFormat="false" ht="15.75" hidden="false" customHeight="false" outlineLevel="0" collapsed="false">
      <c r="A9465" s="6" t="n">
        <v>46158</v>
      </c>
      <c r="B9465" s="4" t="s">
        <v>5435</v>
      </c>
      <c r="C9465" s="4" t="n">
        <v>3</v>
      </c>
      <c r="D9465" s="4" t="n">
        <v>10</v>
      </c>
      <c r="E9465" s="4" t="s">
        <v>1606</v>
      </c>
      <c r="F9465" s="4" t="n">
        <v>4</v>
      </c>
      <c r="G9465" s="4" t="n">
        <v>11</v>
      </c>
      <c r="H9465" s="4" t="n">
        <v>4</v>
      </c>
      <c r="I9465" s="4" t="str">
        <v>×</v>
      </c>
      <c r="J9465" s="4"/>
      <c r="K9465" s="4"/>
      <c r="L9465" s="4"/>
      <c r="M9465" s="5" t="s">
        <v>6166</v>
      </c>
    </row>
    <row r="9466" customFormat="false" ht="15.75" hidden="false" customHeight="false" outlineLevel="0" collapsed="false">
      <c r="A9466" s="6" t="n">
        <v>46158</v>
      </c>
      <c r="B9466" s="4" t="s">
        <v>5435</v>
      </c>
      <c r="C9466" s="4" t="n">
        <v>3</v>
      </c>
      <c r="D9466" s="4" t="n">
        <v>11</v>
      </c>
      <c r="E9466" s="4" t="s">
        <v>6231</v>
      </c>
      <c r="F9466" s="4" t="n">
        <v>10</v>
      </c>
      <c r="G9466" s="4" t="n">
        <v>8</v>
      </c>
      <c r="H9466" s="4" t="n">
        <v>4</v>
      </c>
      <c r="I9466" s="4" t="str">
        <v>×</v>
      </c>
      <c r="J9466" s="4"/>
      <c r="K9466" s="4"/>
      <c r="L9466" s="4"/>
      <c r="M9466" s="5" t="s">
        <v>6166</v>
      </c>
    </row>
    <row r="9467" customFormat="false" ht="15.75" hidden="false" customHeight="false" outlineLevel="0" collapsed="false">
      <c r="A9467" s="6" t="n">
        <v>46158</v>
      </c>
      <c r="B9467" s="4" t="s">
        <v>5435</v>
      </c>
      <c r="C9467" s="4" t="n">
        <v>3</v>
      </c>
      <c r="D9467" s="4" t="n">
        <v>12</v>
      </c>
      <c r="E9467" s="4" t="s">
        <v>1275</v>
      </c>
      <c r="F9467" s="4" t="n">
        <v>3</v>
      </c>
      <c r="G9467" s="4" t="n">
        <v>12</v>
      </c>
      <c r="H9467" s="4" t="n">
        <v>4</v>
      </c>
      <c r="I9467" s="4" t="str">
        <v>×</v>
      </c>
      <c r="J9467" s="4"/>
      <c r="K9467" s="4"/>
      <c r="L9467" s="4"/>
      <c r="M9467" s="5" t="s">
        <v>6166</v>
      </c>
    </row>
    <row r="9468" customFormat="false" ht="15.75" hidden="false" customHeight="false" outlineLevel="0" collapsed="false">
      <c r="A9468" s="6" t="n">
        <v>46158</v>
      </c>
      <c r="B9468" s="4" t="s">
        <v>5435</v>
      </c>
      <c r="C9468" s="4" t="n">
        <v>3</v>
      </c>
      <c r="D9468" s="4" t="n">
        <v>13</v>
      </c>
      <c r="E9468" s="4" t="s">
        <v>6232</v>
      </c>
      <c r="F9468" s="4" t="n">
        <v>20</v>
      </c>
      <c r="G9468" s="4" t="n">
        <v>5</v>
      </c>
      <c r="H9468" s="4" t="n">
        <v>1</v>
      </c>
      <c r="I9468" s="4" t="str">
        <v>○</v>
      </c>
      <c r="J9468" s="4" t="n">
        <v>470</v>
      </c>
      <c r="K9468" s="4"/>
      <c r="L9468" s="4"/>
      <c r="M9468" s="5" t="s">
        <v>6166</v>
      </c>
    </row>
    <row r="9469" customFormat="false" ht="15.75" hidden="false" customHeight="false" outlineLevel="0" collapsed="false">
      <c r="A9469" s="6" t="n">
        <v>46158</v>
      </c>
      <c r="B9469" s="4" t="s">
        <v>5435</v>
      </c>
      <c r="C9469" s="4" t="n">
        <v>3</v>
      </c>
      <c r="D9469" s="4" t="n">
        <v>14</v>
      </c>
      <c r="E9469" s="4" t="s">
        <v>6233</v>
      </c>
      <c r="F9469" s="4" t="n">
        <v>3</v>
      </c>
      <c r="G9469" s="4" t="n">
        <v>12</v>
      </c>
      <c r="H9469" s="4" t="n">
        <v>4</v>
      </c>
      <c r="I9469" s="4" t="str">
        <v>×</v>
      </c>
      <c r="J9469" s="4"/>
      <c r="K9469" s="4"/>
      <c r="L9469" s="4"/>
      <c r="M9469" s="5" t="s">
        <v>6166</v>
      </c>
    </row>
    <row r="9470" customFormat="false" ht="15.75" hidden="false" customHeight="false" outlineLevel="0" collapsed="false">
      <c r="A9470" s="6" t="n">
        <v>46158</v>
      </c>
      <c r="B9470" s="4" t="s">
        <v>5435</v>
      </c>
      <c r="C9470" s="4" t="n">
        <v>3</v>
      </c>
      <c r="D9470" s="4" t="n">
        <v>15</v>
      </c>
      <c r="E9470" s="4" t="s">
        <v>6234</v>
      </c>
      <c r="F9470" s="4" t="n">
        <v>6</v>
      </c>
      <c r="G9470" s="4" t="n">
        <v>10</v>
      </c>
      <c r="H9470" s="4" t="n">
        <v>4</v>
      </c>
      <c r="I9470" s="4" t="str">
        <v>×</v>
      </c>
      <c r="J9470" s="4"/>
      <c r="K9470" s="4"/>
      <c r="L9470" s="4"/>
      <c r="M9470" s="5" t="s">
        <v>6166</v>
      </c>
    </row>
    <row r="9471" customFormat="false" ht="15.75" hidden="false" customHeight="false" outlineLevel="0" collapsed="false">
      <c r="A9471" s="6" t="n">
        <v>46158</v>
      </c>
      <c r="B9471" s="4" t="s">
        <v>5435</v>
      </c>
      <c r="C9471" s="4" t="n">
        <v>3</v>
      </c>
      <c r="D9471" s="4" t="n">
        <v>16</v>
      </c>
      <c r="E9471" s="4" t="s">
        <v>1570</v>
      </c>
      <c r="F9471" s="4" t="n">
        <v>23</v>
      </c>
      <c r="G9471" s="4" t="n">
        <v>4</v>
      </c>
      <c r="H9471" s="4" t="n">
        <v>4</v>
      </c>
      <c r="I9471" s="4" t="str">
        <v>×</v>
      </c>
      <c r="J9471" s="4"/>
      <c r="K9471" s="4"/>
      <c r="L9471" s="4"/>
      <c r="M9471" s="5" t="s">
        <v>6166</v>
      </c>
    </row>
    <row r="9472" customFormat="false" ht="15.75" hidden="false" customHeight="false" outlineLevel="0" collapsed="false">
      <c r="A9472" s="6" t="n">
        <v>46158</v>
      </c>
      <c r="B9472" s="4" t="s">
        <v>5435</v>
      </c>
      <c r="C9472" s="4" t="n">
        <v>3</v>
      </c>
      <c r="D9472" s="4" t="n">
        <v>17</v>
      </c>
      <c r="E9472" s="4" t="s">
        <v>6235</v>
      </c>
      <c r="F9472" s="4" t="n">
        <v>10</v>
      </c>
      <c r="G9472" s="4" t="n">
        <v>8</v>
      </c>
      <c r="H9472" s="4" t="n">
        <v>4</v>
      </c>
      <c r="I9472" s="4" t="str">
        <v>×</v>
      </c>
      <c r="J9472" s="4"/>
      <c r="K9472" s="4"/>
      <c r="L9472" s="4"/>
      <c r="M9472" s="5" t="s">
        <v>6166</v>
      </c>
    </row>
    <row r="9473" customFormat="false" ht="15.75" hidden="false" customHeight="false" outlineLevel="0" collapsed="false">
      <c r="A9473" s="6" t="n">
        <v>46158</v>
      </c>
      <c r="B9473" s="4" t="s">
        <v>5435</v>
      </c>
      <c r="C9473" s="4" t="n">
        <v>3</v>
      </c>
      <c r="D9473" s="4" t="n">
        <v>18</v>
      </c>
      <c r="E9473" s="4" t="s">
        <v>4607</v>
      </c>
      <c r="F9473" s="4" t="n">
        <v>47</v>
      </c>
      <c r="G9473" s="4" t="n">
        <v>2</v>
      </c>
      <c r="H9473" s="4" t="n">
        <v>2</v>
      </c>
      <c r="I9473" s="4" t="str">
        <v>○</v>
      </c>
      <c r="J9473" s="4" t="n">
        <v>230</v>
      </c>
      <c r="K9473" s="4"/>
      <c r="L9473" s="4"/>
      <c r="M9473" s="5" t="s">
        <v>6166</v>
      </c>
    </row>
    <row r="9474" customFormat="false" ht="15.75" hidden="false" customHeight="false" outlineLevel="0" collapsed="false">
      <c r="A9474" s="6" t="n">
        <v>46158</v>
      </c>
      <c r="B9474" s="4" t="s">
        <v>5435</v>
      </c>
      <c r="C9474" s="4" t="n">
        <v>4</v>
      </c>
      <c r="D9474" s="4" t="n">
        <v>1</v>
      </c>
      <c r="E9474" s="4" t="s">
        <v>3517</v>
      </c>
      <c r="F9474" s="4" t="n">
        <v>37</v>
      </c>
      <c r="G9474" s="4" t="n">
        <v>4</v>
      </c>
      <c r="H9474" s="4" t="n">
        <v>4</v>
      </c>
      <c r="I9474" s="4" t="str">
        <v>×</v>
      </c>
      <c r="J9474" s="4"/>
      <c r="K9474" s="4"/>
      <c r="L9474" s="4"/>
      <c r="M9474" s="5" t="s">
        <v>6166</v>
      </c>
    </row>
    <row r="9475" customFormat="false" ht="15.75" hidden="false" customHeight="false" outlineLevel="0" collapsed="false">
      <c r="A9475" s="6" t="n">
        <v>46158</v>
      </c>
      <c r="B9475" s="4" t="s">
        <v>5435</v>
      </c>
      <c r="C9475" s="4" t="n">
        <v>4</v>
      </c>
      <c r="D9475" s="4" t="n">
        <v>2</v>
      </c>
      <c r="E9475" s="4" t="s">
        <v>2834</v>
      </c>
      <c r="F9475" s="4" t="n">
        <v>34</v>
      </c>
      <c r="G9475" s="4" t="n">
        <v>5</v>
      </c>
      <c r="H9475" s="4" t="n">
        <v>2</v>
      </c>
      <c r="I9475" s="4" t="str">
        <v>○</v>
      </c>
      <c r="J9475" s="4" t="n">
        <v>190</v>
      </c>
      <c r="K9475" s="4"/>
      <c r="L9475" s="4"/>
      <c r="M9475" s="5" t="s">
        <v>6166</v>
      </c>
    </row>
    <row r="9476" customFormat="false" ht="15.75" hidden="false" customHeight="false" outlineLevel="0" collapsed="false">
      <c r="A9476" s="6" t="n">
        <v>46158</v>
      </c>
      <c r="B9476" s="4" t="s">
        <v>5435</v>
      </c>
      <c r="C9476" s="4" t="n">
        <v>4</v>
      </c>
      <c r="D9476" s="4" t="n">
        <v>3</v>
      </c>
      <c r="E9476" s="4" t="s">
        <v>2045</v>
      </c>
      <c r="F9476" s="4" t="n">
        <v>15</v>
      </c>
      <c r="G9476" s="4" t="n">
        <v>7</v>
      </c>
      <c r="H9476" s="4" t="n">
        <v>4</v>
      </c>
      <c r="I9476" s="4" t="str">
        <v>×</v>
      </c>
      <c r="J9476" s="4"/>
      <c r="K9476" s="4"/>
      <c r="L9476" s="4"/>
      <c r="M9476" s="5" t="s">
        <v>6166</v>
      </c>
    </row>
    <row r="9477" customFormat="false" ht="15.75" hidden="false" customHeight="false" outlineLevel="0" collapsed="false">
      <c r="A9477" s="6" t="n">
        <v>46158</v>
      </c>
      <c r="B9477" s="4" t="s">
        <v>5435</v>
      </c>
      <c r="C9477" s="4" t="n">
        <v>4</v>
      </c>
      <c r="D9477" s="4" t="n">
        <v>4</v>
      </c>
      <c r="E9477" s="4" t="s">
        <v>5923</v>
      </c>
      <c r="F9477" s="4" t="n">
        <v>20</v>
      </c>
      <c r="G9477" s="4" t="n">
        <v>6</v>
      </c>
      <c r="H9477" s="4" t="n">
        <v>4</v>
      </c>
      <c r="I9477" s="4" t="str">
        <v>×</v>
      </c>
      <c r="J9477" s="4"/>
      <c r="K9477" s="4"/>
      <c r="L9477" s="4"/>
      <c r="M9477" s="5" t="s">
        <v>6166</v>
      </c>
    </row>
    <row r="9478" customFormat="false" ht="15.75" hidden="false" customHeight="false" outlineLevel="0" collapsed="false">
      <c r="A9478" s="6" t="n">
        <v>46158</v>
      </c>
      <c r="B9478" s="4" t="s">
        <v>5435</v>
      </c>
      <c r="C9478" s="4" t="n">
        <v>4</v>
      </c>
      <c r="D9478" s="4" t="n">
        <v>5</v>
      </c>
      <c r="E9478" s="4" t="s">
        <v>5917</v>
      </c>
      <c r="F9478" s="4" t="n">
        <v>8</v>
      </c>
      <c r="G9478" s="4" t="n">
        <v>9</v>
      </c>
      <c r="H9478" s="4" t="n">
        <v>4</v>
      </c>
      <c r="I9478" s="4" t="str">
        <v>×</v>
      </c>
      <c r="J9478" s="4"/>
      <c r="K9478" s="4"/>
      <c r="L9478" s="4"/>
      <c r="M9478" s="5" t="s">
        <v>6166</v>
      </c>
    </row>
    <row r="9479" customFormat="false" ht="15.75" hidden="false" customHeight="false" outlineLevel="0" collapsed="false">
      <c r="A9479" s="6" t="n">
        <v>46158</v>
      </c>
      <c r="B9479" s="4" t="s">
        <v>5435</v>
      </c>
      <c r="C9479" s="4" t="n">
        <v>4</v>
      </c>
      <c r="D9479" s="4" t="n">
        <v>6</v>
      </c>
      <c r="E9479" s="4" t="s">
        <v>5924</v>
      </c>
      <c r="F9479" s="4" t="n">
        <v>52</v>
      </c>
      <c r="G9479" s="4" t="n">
        <v>1</v>
      </c>
      <c r="H9479" s="4" t="n">
        <v>3</v>
      </c>
      <c r="I9479" s="4" t="str">
        <v>○</v>
      </c>
      <c r="J9479" s="4" t="n">
        <v>150</v>
      </c>
      <c r="K9479" s="4"/>
      <c r="L9479" s="4"/>
      <c r="M9479" s="5" t="s">
        <v>6166</v>
      </c>
    </row>
    <row r="9480" customFormat="false" ht="15.75" hidden="false" customHeight="false" outlineLevel="0" collapsed="false">
      <c r="A9480" s="6" t="n">
        <v>46158</v>
      </c>
      <c r="B9480" s="4" t="s">
        <v>5435</v>
      </c>
      <c r="C9480" s="4" t="n">
        <v>4</v>
      </c>
      <c r="D9480" s="4" t="n">
        <v>7</v>
      </c>
      <c r="E9480" s="4" t="s">
        <v>654</v>
      </c>
      <c r="F9480" s="4" t="n">
        <v>47</v>
      </c>
      <c r="G9480" s="4" t="n">
        <v>2</v>
      </c>
      <c r="H9480" s="4" t="n">
        <v>4</v>
      </c>
      <c r="I9480" s="4" t="str">
        <v>×</v>
      </c>
      <c r="J9480" s="4"/>
      <c r="K9480" s="4"/>
      <c r="L9480" s="4"/>
      <c r="M9480" s="5" t="s">
        <v>6166</v>
      </c>
    </row>
    <row r="9481" customFormat="false" ht="15.75" hidden="false" customHeight="false" outlineLevel="0" collapsed="false">
      <c r="A9481" s="6" t="n">
        <v>46158</v>
      </c>
      <c r="B9481" s="4" t="s">
        <v>5435</v>
      </c>
      <c r="C9481" s="4" t="n">
        <v>4</v>
      </c>
      <c r="D9481" s="4" t="n">
        <v>8</v>
      </c>
      <c r="E9481" s="4" t="s">
        <v>4623</v>
      </c>
      <c r="F9481" s="4" t="n">
        <v>10</v>
      </c>
      <c r="G9481" s="4" t="n">
        <v>8</v>
      </c>
      <c r="H9481" s="4" t="n">
        <v>4</v>
      </c>
      <c r="I9481" s="4" t="str">
        <v>×</v>
      </c>
      <c r="J9481" s="4"/>
      <c r="K9481" s="4"/>
      <c r="L9481" s="4"/>
      <c r="M9481" s="5" t="s">
        <v>6166</v>
      </c>
    </row>
    <row r="9482" customFormat="false" ht="15.75" hidden="false" customHeight="false" outlineLevel="0" collapsed="false">
      <c r="A9482" s="6" t="n">
        <v>46158</v>
      </c>
      <c r="B9482" s="4" t="s">
        <v>5435</v>
      </c>
      <c r="C9482" s="4" t="n">
        <v>4</v>
      </c>
      <c r="D9482" s="4" t="n">
        <v>9</v>
      </c>
      <c r="E9482" s="4" t="s">
        <v>6236</v>
      </c>
      <c r="F9482" s="4" t="n">
        <v>10</v>
      </c>
      <c r="G9482" s="4" t="n">
        <v>8</v>
      </c>
      <c r="H9482" s="4" t="n">
        <v>1</v>
      </c>
      <c r="I9482" s="4" t="str">
        <v>○</v>
      </c>
      <c r="J9482" s="4" t="n">
        <v>1950</v>
      </c>
      <c r="K9482" s="4"/>
      <c r="L9482" s="4"/>
      <c r="M9482" s="5" t="s">
        <v>6166</v>
      </c>
    </row>
    <row r="9483" customFormat="false" ht="15.75" hidden="false" customHeight="false" outlineLevel="0" collapsed="false">
      <c r="A9483" s="6" t="n">
        <v>46158</v>
      </c>
      <c r="B9483" s="4" t="s">
        <v>5435</v>
      </c>
      <c r="C9483" s="4" t="n">
        <v>4</v>
      </c>
      <c r="D9483" s="4" t="n">
        <v>10</v>
      </c>
      <c r="E9483" s="4" t="s">
        <v>4383</v>
      </c>
      <c r="F9483" s="4" t="n">
        <v>44</v>
      </c>
      <c r="G9483" s="4" t="n">
        <v>3</v>
      </c>
      <c r="H9483" s="4" t="n">
        <v>4</v>
      </c>
      <c r="I9483" s="4" t="str">
        <v>×</v>
      </c>
      <c r="J9483" s="4"/>
      <c r="K9483" s="4"/>
      <c r="L9483" s="4"/>
      <c r="M9483" s="5" t="s">
        <v>6166</v>
      </c>
    </row>
    <row r="9484" customFormat="false" ht="15.75" hidden="false" customHeight="false" outlineLevel="0" collapsed="false">
      <c r="A9484" s="6" t="n">
        <v>46158</v>
      </c>
      <c r="B9484" s="4" t="s">
        <v>5435</v>
      </c>
      <c r="C9484" s="4" t="n">
        <v>5</v>
      </c>
      <c r="D9484" s="4" t="n">
        <v>1</v>
      </c>
      <c r="E9484" s="4" t="s">
        <v>2475</v>
      </c>
      <c r="F9484" s="4" t="n">
        <v>20</v>
      </c>
      <c r="G9484" s="4" t="n">
        <v>5</v>
      </c>
      <c r="H9484" s="4" t="n">
        <v>4</v>
      </c>
      <c r="I9484" s="4" t="str">
        <v>×</v>
      </c>
      <c r="J9484" s="4"/>
      <c r="K9484" s="4"/>
      <c r="L9484" s="4"/>
      <c r="M9484" s="5" t="s">
        <v>6166</v>
      </c>
    </row>
    <row r="9485" customFormat="false" ht="15.75" hidden="false" customHeight="false" outlineLevel="0" collapsed="false">
      <c r="A9485" s="6" t="n">
        <v>46158</v>
      </c>
      <c r="B9485" s="4" t="s">
        <v>5435</v>
      </c>
      <c r="C9485" s="4" t="n">
        <v>5</v>
      </c>
      <c r="D9485" s="4" t="n">
        <v>2</v>
      </c>
      <c r="E9485" s="4" t="s">
        <v>5243</v>
      </c>
      <c r="F9485" s="4" t="n">
        <v>86</v>
      </c>
      <c r="G9485" s="4" t="n">
        <v>1</v>
      </c>
      <c r="H9485" s="4" t="n">
        <v>3</v>
      </c>
      <c r="I9485" s="4" t="str">
        <v>○</v>
      </c>
      <c r="J9485" s="4" t="n">
        <v>110</v>
      </c>
      <c r="K9485" s="4"/>
      <c r="L9485" s="4"/>
      <c r="M9485" s="5" t="s">
        <v>6166</v>
      </c>
    </row>
    <row r="9486" customFormat="false" ht="15.75" hidden="false" customHeight="false" outlineLevel="0" collapsed="false">
      <c r="A9486" s="6" t="n">
        <v>46158</v>
      </c>
      <c r="B9486" s="4" t="s">
        <v>5435</v>
      </c>
      <c r="C9486" s="4" t="n">
        <v>5</v>
      </c>
      <c r="D9486" s="4" t="n">
        <v>3</v>
      </c>
      <c r="E9486" s="4" t="s">
        <v>1151</v>
      </c>
      <c r="F9486" s="4" t="n">
        <v>4</v>
      </c>
      <c r="G9486" s="4" t="n">
        <v>9</v>
      </c>
      <c r="H9486" s="4" t="n">
        <v>4</v>
      </c>
      <c r="I9486" s="4" t="str">
        <v>×</v>
      </c>
      <c r="J9486" s="4"/>
      <c r="K9486" s="4"/>
      <c r="L9486" s="4"/>
      <c r="M9486" s="5" t="s">
        <v>6166</v>
      </c>
    </row>
    <row r="9487" customFormat="false" ht="15.75" hidden="false" customHeight="false" outlineLevel="0" collapsed="false">
      <c r="A9487" s="6" t="n">
        <v>46158</v>
      </c>
      <c r="B9487" s="4" t="s">
        <v>5435</v>
      </c>
      <c r="C9487" s="4" t="n">
        <v>5</v>
      </c>
      <c r="D9487" s="4" t="n">
        <v>4</v>
      </c>
      <c r="E9487" s="4" t="s">
        <v>6237</v>
      </c>
      <c r="F9487" s="4" t="n">
        <v>10</v>
      </c>
      <c r="G9487" s="4" t="n">
        <v>7</v>
      </c>
      <c r="H9487" s="4" t="n">
        <v>4</v>
      </c>
      <c r="I9487" s="4" t="str">
        <v>×</v>
      </c>
      <c r="J9487" s="4"/>
      <c r="K9487" s="4"/>
      <c r="L9487" s="4"/>
      <c r="M9487" s="5" t="s">
        <v>6166</v>
      </c>
    </row>
    <row r="9488" customFormat="false" ht="15.75" hidden="false" customHeight="false" outlineLevel="0" collapsed="false">
      <c r="A9488" s="6" t="n">
        <v>46158</v>
      </c>
      <c r="B9488" s="4" t="s">
        <v>5435</v>
      </c>
      <c r="C9488" s="4" t="n">
        <v>5</v>
      </c>
      <c r="D9488" s="4" t="n">
        <v>5</v>
      </c>
      <c r="E9488" s="4" t="s">
        <v>6150</v>
      </c>
      <c r="F9488" s="4" t="n">
        <v>66</v>
      </c>
      <c r="G9488" s="4" t="n">
        <v>2</v>
      </c>
      <c r="H9488" s="4" t="n">
        <v>1</v>
      </c>
      <c r="I9488" s="4" t="str">
        <v>○</v>
      </c>
      <c r="J9488" s="4" t="n">
        <v>120</v>
      </c>
      <c r="K9488" s="4"/>
      <c r="L9488" s="4"/>
      <c r="M9488" s="5" t="s">
        <v>6166</v>
      </c>
    </row>
    <row r="9489" customFormat="false" ht="15.75" hidden="false" customHeight="false" outlineLevel="0" collapsed="false">
      <c r="A9489" s="6" t="n">
        <v>46158</v>
      </c>
      <c r="B9489" s="4" t="s">
        <v>5435</v>
      </c>
      <c r="C9489" s="4" t="n">
        <v>5</v>
      </c>
      <c r="D9489" s="4" t="n">
        <v>6</v>
      </c>
      <c r="E9489" s="4" t="s">
        <v>6238</v>
      </c>
      <c r="F9489" s="4" t="n">
        <v>8</v>
      </c>
      <c r="G9489" s="4" t="n">
        <v>8</v>
      </c>
      <c r="H9489" s="4" t="n">
        <v>4</v>
      </c>
      <c r="I9489" s="4" t="str">
        <v>×</v>
      </c>
      <c r="J9489" s="4"/>
      <c r="K9489" s="4"/>
      <c r="L9489" s="4"/>
      <c r="M9489" s="5" t="s">
        <v>6166</v>
      </c>
    </row>
    <row r="9490" customFormat="false" ht="15.75" hidden="false" customHeight="false" outlineLevel="0" collapsed="false">
      <c r="A9490" s="6" t="n">
        <v>46158</v>
      </c>
      <c r="B9490" s="4" t="s">
        <v>5435</v>
      </c>
      <c r="C9490" s="4" t="n">
        <v>5</v>
      </c>
      <c r="D9490" s="4" t="n">
        <v>7</v>
      </c>
      <c r="E9490" s="4" t="s">
        <v>4622</v>
      </c>
      <c r="F9490" s="4" t="n">
        <v>10</v>
      </c>
      <c r="G9490" s="4" t="n">
        <v>7</v>
      </c>
      <c r="H9490" s="4" t="n">
        <v>4</v>
      </c>
      <c r="I9490" s="4" t="str">
        <v>×</v>
      </c>
      <c r="J9490" s="4"/>
      <c r="K9490" s="4"/>
      <c r="L9490" s="4"/>
      <c r="M9490" s="5" t="s">
        <v>6166</v>
      </c>
    </row>
    <row r="9491" customFormat="false" ht="15.75" hidden="false" customHeight="false" outlineLevel="0" collapsed="false">
      <c r="A9491" s="6" t="n">
        <v>46158</v>
      </c>
      <c r="B9491" s="4" t="s">
        <v>5435</v>
      </c>
      <c r="C9491" s="4" t="n">
        <v>5</v>
      </c>
      <c r="D9491" s="4" t="n">
        <v>8</v>
      </c>
      <c r="E9491" s="4" t="s">
        <v>3432</v>
      </c>
      <c r="F9491" s="4" t="n">
        <v>15</v>
      </c>
      <c r="G9491" s="4" t="n">
        <v>6</v>
      </c>
      <c r="H9491" s="4" t="n">
        <v>4</v>
      </c>
      <c r="I9491" s="4" t="str">
        <v>×</v>
      </c>
      <c r="J9491" s="4"/>
      <c r="K9491" s="4"/>
      <c r="L9491" s="4"/>
      <c r="M9491" s="5" t="s">
        <v>6166</v>
      </c>
    </row>
    <row r="9492" customFormat="false" ht="15.75" hidden="false" customHeight="false" outlineLevel="0" collapsed="false">
      <c r="A9492" s="6" t="n">
        <v>46158</v>
      </c>
      <c r="B9492" s="4" t="s">
        <v>5435</v>
      </c>
      <c r="C9492" s="4" t="n">
        <v>5</v>
      </c>
      <c r="D9492" s="4" t="n">
        <v>9</v>
      </c>
      <c r="E9492" s="4" t="s">
        <v>649</v>
      </c>
      <c r="F9492" s="4" t="n">
        <v>8</v>
      </c>
      <c r="G9492" s="4" t="n">
        <v>8</v>
      </c>
      <c r="H9492" s="4" t="n">
        <v>4</v>
      </c>
      <c r="I9492" s="4" t="str">
        <v>×</v>
      </c>
      <c r="J9492" s="4"/>
      <c r="K9492" s="4"/>
      <c r="L9492" s="4"/>
      <c r="M9492" s="5" t="s">
        <v>6166</v>
      </c>
    </row>
    <row r="9493" customFormat="false" ht="15.75" hidden="false" customHeight="false" outlineLevel="0" collapsed="false">
      <c r="A9493" s="6" t="n">
        <v>46158</v>
      </c>
      <c r="B9493" s="4" t="s">
        <v>5435</v>
      </c>
      <c r="C9493" s="4" t="n">
        <v>5</v>
      </c>
      <c r="D9493" s="4" t="n">
        <v>10</v>
      </c>
      <c r="E9493" s="4" t="s">
        <v>5932</v>
      </c>
      <c r="F9493" s="4" t="n">
        <v>8</v>
      </c>
      <c r="G9493" s="4" t="n">
        <v>8</v>
      </c>
      <c r="H9493" s="4" t="n">
        <v>4</v>
      </c>
      <c r="I9493" s="4" t="str">
        <v>×</v>
      </c>
      <c r="J9493" s="4"/>
      <c r="K9493" s="4"/>
      <c r="L9493" s="4"/>
      <c r="M9493" s="5" t="s">
        <v>6166</v>
      </c>
    </row>
    <row r="9494" customFormat="false" ht="15.75" hidden="false" customHeight="false" outlineLevel="0" collapsed="false">
      <c r="A9494" s="6" t="n">
        <v>46158</v>
      </c>
      <c r="B9494" s="4" t="s">
        <v>5435</v>
      </c>
      <c r="C9494" s="4" t="n">
        <v>5</v>
      </c>
      <c r="D9494" s="4" t="n">
        <v>11</v>
      </c>
      <c r="E9494" s="4" t="s">
        <v>2463</v>
      </c>
      <c r="F9494" s="4" t="n">
        <v>2</v>
      </c>
      <c r="G9494" s="4" t="n">
        <v>10</v>
      </c>
      <c r="H9494" s="4" t="n">
        <v>4</v>
      </c>
      <c r="I9494" s="4" t="str">
        <v>×</v>
      </c>
      <c r="J9494" s="4"/>
      <c r="K9494" s="4"/>
      <c r="L9494" s="4"/>
      <c r="M9494" s="5" t="s">
        <v>6166</v>
      </c>
    </row>
    <row r="9495" customFormat="false" ht="15.75" hidden="false" customHeight="false" outlineLevel="0" collapsed="false">
      <c r="A9495" s="6" t="n">
        <v>46158</v>
      </c>
      <c r="B9495" s="4" t="s">
        <v>5435</v>
      </c>
      <c r="C9495" s="4" t="n">
        <v>5</v>
      </c>
      <c r="D9495" s="4" t="n">
        <v>12</v>
      </c>
      <c r="E9495" s="4" t="s">
        <v>855</v>
      </c>
      <c r="F9495" s="4" t="n">
        <v>25</v>
      </c>
      <c r="G9495" s="4" t="n">
        <v>3</v>
      </c>
      <c r="H9495" s="4" t="n">
        <v>4</v>
      </c>
      <c r="I9495" s="4" t="str">
        <v>×</v>
      </c>
      <c r="J9495" s="4"/>
      <c r="K9495" s="4"/>
      <c r="L9495" s="4"/>
      <c r="M9495" s="5" t="s">
        <v>6166</v>
      </c>
    </row>
    <row r="9496" customFormat="false" ht="15.75" hidden="false" customHeight="false" outlineLevel="0" collapsed="false">
      <c r="A9496" s="6" t="n">
        <v>46158</v>
      </c>
      <c r="B9496" s="4" t="s">
        <v>5435</v>
      </c>
      <c r="C9496" s="4" t="n">
        <v>5</v>
      </c>
      <c r="D9496" s="4" t="n">
        <v>13</v>
      </c>
      <c r="E9496" s="4" t="s">
        <v>331</v>
      </c>
      <c r="F9496" s="4" t="n">
        <v>8</v>
      </c>
      <c r="G9496" s="4" t="n">
        <v>8</v>
      </c>
      <c r="H9496" s="4" t="n">
        <v>4</v>
      </c>
      <c r="I9496" s="4" t="str">
        <v>×</v>
      </c>
      <c r="J9496" s="4"/>
      <c r="K9496" s="4"/>
      <c r="L9496" s="4"/>
      <c r="M9496" s="5" t="s">
        <v>6166</v>
      </c>
    </row>
    <row r="9497" customFormat="false" ht="15.75" hidden="false" customHeight="false" outlineLevel="0" collapsed="false">
      <c r="A9497" s="6" t="n">
        <v>46158</v>
      </c>
      <c r="B9497" s="4" t="s">
        <v>5435</v>
      </c>
      <c r="C9497" s="4" t="n">
        <v>5</v>
      </c>
      <c r="D9497" s="4" t="n">
        <v>14</v>
      </c>
      <c r="E9497" s="4" t="s">
        <v>3882</v>
      </c>
      <c r="F9497" s="4" t="n">
        <v>23</v>
      </c>
      <c r="G9497" s="4" t="n">
        <v>4</v>
      </c>
      <c r="H9497" s="4" t="n">
        <v>2</v>
      </c>
      <c r="I9497" s="4" t="str">
        <v>○</v>
      </c>
      <c r="J9497" s="4" t="n">
        <v>240</v>
      </c>
      <c r="K9497" s="4"/>
      <c r="L9497" s="4"/>
      <c r="M9497" s="5" t="s">
        <v>6166</v>
      </c>
    </row>
    <row r="9498" customFormat="false" ht="15.75" hidden="false" customHeight="false" outlineLevel="0" collapsed="false">
      <c r="A9498" s="6" t="n">
        <v>46158</v>
      </c>
      <c r="B9498" s="4" t="s">
        <v>5435</v>
      </c>
      <c r="C9498" s="4" t="n">
        <v>6</v>
      </c>
      <c r="D9498" s="4" t="n">
        <v>1</v>
      </c>
      <c r="E9498" s="4" t="s">
        <v>1380</v>
      </c>
      <c r="F9498" s="4" t="n">
        <v>8</v>
      </c>
      <c r="G9498" s="4" t="n">
        <v>9</v>
      </c>
      <c r="H9498" s="4" t="n">
        <v>4</v>
      </c>
      <c r="I9498" s="4" t="str">
        <v>×</v>
      </c>
      <c r="J9498" s="4"/>
      <c r="K9498" s="4"/>
      <c r="L9498" s="4"/>
      <c r="M9498" s="5" t="s">
        <v>6166</v>
      </c>
    </row>
    <row r="9499" customFormat="false" ht="15.75" hidden="false" customHeight="false" outlineLevel="0" collapsed="false">
      <c r="A9499" s="6" t="n">
        <v>46158</v>
      </c>
      <c r="B9499" s="4" t="s">
        <v>5435</v>
      </c>
      <c r="C9499" s="4" t="n">
        <v>6</v>
      </c>
      <c r="D9499" s="4" t="n">
        <v>2</v>
      </c>
      <c r="E9499" s="4" t="s">
        <v>1651</v>
      </c>
      <c r="F9499" s="4" t="n">
        <v>17</v>
      </c>
      <c r="G9499" s="4" t="n">
        <v>5</v>
      </c>
      <c r="H9499" s="4" t="n">
        <v>4</v>
      </c>
      <c r="I9499" s="4" t="str">
        <v>×</v>
      </c>
      <c r="J9499" s="4"/>
      <c r="K9499" s="4"/>
      <c r="L9499" s="4"/>
      <c r="M9499" s="5" t="s">
        <v>6166</v>
      </c>
    </row>
    <row r="9500" customFormat="false" ht="15.75" hidden="false" customHeight="false" outlineLevel="0" collapsed="false">
      <c r="A9500" s="6" t="n">
        <v>46158</v>
      </c>
      <c r="B9500" s="4" t="s">
        <v>5435</v>
      </c>
      <c r="C9500" s="4" t="n">
        <v>6</v>
      </c>
      <c r="D9500" s="4" t="n">
        <v>3</v>
      </c>
      <c r="E9500" s="4" t="s">
        <v>6239</v>
      </c>
      <c r="F9500" s="4" t="n">
        <v>15</v>
      </c>
      <c r="G9500" s="4" t="n">
        <v>6</v>
      </c>
      <c r="H9500" s="4" t="n">
        <v>4</v>
      </c>
      <c r="I9500" s="4" t="str">
        <v>×</v>
      </c>
      <c r="J9500" s="4"/>
      <c r="K9500" s="4"/>
      <c r="L9500" s="4"/>
      <c r="M9500" s="5" t="s">
        <v>6166</v>
      </c>
    </row>
    <row r="9501" customFormat="false" ht="15.75" hidden="false" customHeight="false" outlineLevel="0" collapsed="false">
      <c r="A9501" s="6" t="n">
        <v>46158</v>
      </c>
      <c r="B9501" s="4" t="s">
        <v>5435</v>
      </c>
      <c r="C9501" s="4" t="n">
        <v>6</v>
      </c>
      <c r="D9501" s="4" t="n">
        <v>4</v>
      </c>
      <c r="E9501" s="4" t="s">
        <v>6240</v>
      </c>
      <c r="F9501" s="4" t="n">
        <v>6</v>
      </c>
      <c r="G9501" s="4" t="n">
        <v>10</v>
      </c>
      <c r="H9501" s="4" t="n">
        <v>4</v>
      </c>
      <c r="I9501" s="4" t="str">
        <v>×</v>
      </c>
      <c r="J9501" s="4"/>
      <c r="K9501" s="4"/>
      <c r="L9501" s="4"/>
      <c r="M9501" s="5" t="s">
        <v>6166</v>
      </c>
    </row>
    <row r="9502" customFormat="false" ht="15.75" hidden="false" customHeight="false" outlineLevel="0" collapsed="false">
      <c r="A9502" s="6" t="n">
        <v>46158</v>
      </c>
      <c r="B9502" s="4" t="s">
        <v>5435</v>
      </c>
      <c r="C9502" s="4" t="n">
        <v>6</v>
      </c>
      <c r="D9502" s="4" t="n">
        <v>5</v>
      </c>
      <c r="E9502" s="4" t="s">
        <v>6241</v>
      </c>
      <c r="F9502" s="4" t="n">
        <v>61</v>
      </c>
      <c r="G9502" s="4" t="n">
        <v>1</v>
      </c>
      <c r="H9502" s="4" t="n">
        <v>1</v>
      </c>
      <c r="I9502" s="4" t="str">
        <v>○</v>
      </c>
      <c r="J9502" s="4" t="n">
        <v>130</v>
      </c>
      <c r="K9502" s="4"/>
      <c r="L9502" s="4"/>
      <c r="M9502" s="5" t="s">
        <v>6166</v>
      </c>
    </row>
    <row r="9503" customFormat="false" ht="15.75" hidden="false" customHeight="false" outlineLevel="0" collapsed="false">
      <c r="A9503" s="6" t="n">
        <v>46158</v>
      </c>
      <c r="B9503" s="4" t="s">
        <v>5435</v>
      </c>
      <c r="C9503" s="4" t="n">
        <v>6</v>
      </c>
      <c r="D9503" s="4" t="n">
        <v>6</v>
      </c>
      <c r="E9503" s="4" t="s">
        <v>6242</v>
      </c>
      <c r="F9503" s="4" t="n">
        <v>17</v>
      </c>
      <c r="G9503" s="4" t="n">
        <v>5</v>
      </c>
      <c r="H9503" s="4" t="n">
        <v>4</v>
      </c>
      <c r="I9503" s="4" t="str">
        <v>×</v>
      </c>
      <c r="J9503" s="4"/>
      <c r="K9503" s="4"/>
      <c r="L9503" s="4"/>
      <c r="M9503" s="5" t="s">
        <v>6166</v>
      </c>
    </row>
    <row r="9504" customFormat="false" ht="15.75" hidden="false" customHeight="false" outlineLevel="0" collapsed="false">
      <c r="A9504" s="6" t="n">
        <v>46158</v>
      </c>
      <c r="B9504" s="4" t="s">
        <v>5435</v>
      </c>
      <c r="C9504" s="4" t="n">
        <v>6</v>
      </c>
      <c r="D9504" s="4" t="n">
        <v>7</v>
      </c>
      <c r="E9504" s="4" t="s">
        <v>5277</v>
      </c>
      <c r="F9504" s="4" t="n">
        <v>39</v>
      </c>
      <c r="G9504" s="4" t="n">
        <v>2</v>
      </c>
      <c r="H9504" s="4" t="n">
        <v>2</v>
      </c>
      <c r="I9504" s="4" t="str">
        <v>○</v>
      </c>
      <c r="J9504" s="4" t="n">
        <v>190</v>
      </c>
      <c r="K9504" s="4"/>
      <c r="L9504" s="4"/>
      <c r="M9504" s="5" t="s">
        <v>6166</v>
      </c>
    </row>
    <row r="9505" customFormat="false" ht="15.75" hidden="false" customHeight="false" outlineLevel="0" collapsed="false">
      <c r="A9505" s="6" t="n">
        <v>46158</v>
      </c>
      <c r="B9505" s="4" t="s">
        <v>5435</v>
      </c>
      <c r="C9505" s="4" t="n">
        <v>6</v>
      </c>
      <c r="D9505" s="4" t="n">
        <v>8</v>
      </c>
      <c r="E9505" s="4" t="s">
        <v>5720</v>
      </c>
      <c r="F9505" s="4" t="n">
        <v>13</v>
      </c>
      <c r="G9505" s="4" t="n">
        <v>7</v>
      </c>
      <c r="H9505" s="4" t="n">
        <v>4</v>
      </c>
      <c r="I9505" s="4" t="str">
        <v>×</v>
      </c>
      <c r="J9505" s="4"/>
      <c r="K9505" s="4"/>
      <c r="L9505" s="4"/>
      <c r="M9505" s="5" t="s">
        <v>6166</v>
      </c>
    </row>
    <row r="9506" customFormat="false" ht="15.75" hidden="false" customHeight="false" outlineLevel="0" collapsed="false">
      <c r="A9506" s="6" t="n">
        <v>46158</v>
      </c>
      <c r="B9506" s="4" t="s">
        <v>5435</v>
      </c>
      <c r="C9506" s="4" t="n">
        <v>6</v>
      </c>
      <c r="D9506" s="4" t="n">
        <v>9</v>
      </c>
      <c r="E9506" s="4" t="s">
        <v>2884</v>
      </c>
      <c r="F9506" s="4" t="n">
        <v>1</v>
      </c>
      <c r="G9506" s="4" t="n">
        <v>12</v>
      </c>
      <c r="H9506" s="4" t="n">
        <v>4</v>
      </c>
      <c r="I9506" s="4" t="str">
        <v>×</v>
      </c>
      <c r="J9506" s="4"/>
      <c r="K9506" s="4"/>
      <c r="L9506" s="4"/>
      <c r="M9506" s="5" t="s">
        <v>6166</v>
      </c>
    </row>
    <row r="9507" customFormat="false" ht="15.75" hidden="false" customHeight="false" outlineLevel="0" collapsed="false">
      <c r="A9507" s="6" t="n">
        <v>46158</v>
      </c>
      <c r="B9507" s="4" t="s">
        <v>5435</v>
      </c>
      <c r="C9507" s="4" t="n">
        <v>6</v>
      </c>
      <c r="D9507" s="4" t="n">
        <v>10</v>
      </c>
      <c r="E9507" s="4" t="s">
        <v>3230</v>
      </c>
      <c r="F9507" s="4" t="n">
        <v>25</v>
      </c>
      <c r="G9507" s="4" t="n">
        <v>4</v>
      </c>
      <c r="H9507" s="4" t="n">
        <v>4</v>
      </c>
      <c r="I9507" s="4" t="str">
        <v>×</v>
      </c>
      <c r="J9507" s="4"/>
      <c r="K9507" s="4"/>
      <c r="L9507" s="4"/>
      <c r="M9507" s="5" t="s">
        <v>6166</v>
      </c>
    </row>
    <row r="9508" customFormat="false" ht="15.75" hidden="false" customHeight="false" outlineLevel="0" collapsed="false">
      <c r="A9508" s="6" t="n">
        <v>46158</v>
      </c>
      <c r="B9508" s="4" t="s">
        <v>5435</v>
      </c>
      <c r="C9508" s="4" t="n">
        <v>6</v>
      </c>
      <c r="D9508" s="4" t="n">
        <v>11</v>
      </c>
      <c r="E9508" s="4" t="s">
        <v>2880</v>
      </c>
      <c r="F9508" s="4" t="n">
        <v>31</v>
      </c>
      <c r="G9508" s="4" t="n">
        <v>3</v>
      </c>
      <c r="H9508" s="4" t="n">
        <v>4</v>
      </c>
      <c r="I9508" s="4" t="str">
        <v>×</v>
      </c>
      <c r="J9508" s="4"/>
      <c r="K9508" s="4"/>
      <c r="L9508" s="4"/>
      <c r="M9508" s="5" t="s">
        <v>6166</v>
      </c>
    </row>
    <row r="9509" customFormat="false" ht="15.75" hidden="false" customHeight="false" outlineLevel="0" collapsed="false">
      <c r="A9509" s="6" t="n">
        <v>46158</v>
      </c>
      <c r="B9509" s="4" t="s">
        <v>5435</v>
      </c>
      <c r="C9509" s="4" t="n">
        <v>6</v>
      </c>
      <c r="D9509" s="4" t="n">
        <v>12</v>
      </c>
      <c r="E9509" s="4" t="s">
        <v>2918</v>
      </c>
      <c r="F9509" s="4" t="n">
        <v>2</v>
      </c>
      <c r="G9509" s="4" t="n">
        <v>11</v>
      </c>
      <c r="H9509" s="4" t="n">
        <v>4</v>
      </c>
      <c r="I9509" s="4" t="str">
        <v>×</v>
      </c>
      <c r="J9509" s="4"/>
      <c r="K9509" s="4"/>
      <c r="L9509" s="4"/>
      <c r="M9509" s="5" t="s">
        <v>6166</v>
      </c>
    </row>
    <row r="9510" customFormat="false" ht="15.75" hidden="false" customHeight="false" outlineLevel="0" collapsed="false">
      <c r="A9510" s="6" t="n">
        <v>46158</v>
      </c>
      <c r="B9510" s="4" t="s">
        <v>5435</v>
      </c>
      <c r="C9510" s="4" t="n">
        <v>6</v>
      </c>
      <c r="D9510" s="4" t="n">
        <v>13</v>
      </c>
      <c r="E9510" s="4" t="s">
        <v>6243</v>
      </c>
      <c r="F9510" s="4" t="n">
        <v>15</v>
      </c>
      <c r="G9510" s="4" t="n">
        <v>6</v>
      </c>
      <c r="H9510" s="4" t="n">
        <v>4</v>
      </c>
      <c r="I9510" s="4" t="str">
        <v>×</v>
      </c>
      <c r="J9510" s="4"/>
      <c r="K9510" s="4"/>
      <c r="L9510" s="4"/>
      <c r="M9510" s="5" t="s">
        <v>6166</v>
      </c>
    </row>
    <row r="9511" customFormat="false" ht="15.75" hidden="false" customHeight="false" outlineLevel="0" collapsed="false">
      <c r="A9511" s="6" t="n">
        <v>46158</v>
      </c>
      <c r="B9511" s="4" t="s">
        <v>5435</v>
      </c>
      <c r="C9511" s="4" t="n">
        <v>6</v>
      </c>
      <c r="D9511" s="4" t="n">
        <v>14</v>
      </c>
      <c r="E9511" s="4" t="s">
        <v>1645</v>
      </c>
      <c r="F9511" s="4" t="n">
        <v>10</v>
      </c>
      <c r="G9511" s="4" t="n">
        <v>8</v>
      </c>
      <c r="H9511" s="4" t="n">
        <v>3</v>
      </c>
      <c r="I9511" s="4" t="str">
        <v>○</v>
      </c>
      <c r="J9511" s="4" t="n">
        <v>1110</v>
      </c>
      <c r="K9511" s="4"/>
      <c r="L9511" s="4"/>
      <c r="M9511" s="5" t="s">
        <v>6166</v>
      </c>
    </row>
    <row r="9512" customFormat="false" ht="15.75" hidden="false" customHeight="false" outlineLevel="0" collapsed="false">
      <c r="A9512" s="6" t="n">
        <v>46158</v>
      </c>
      <c r="B9512" s="4" t="s">
        <v>5435</v>
      </c>
      <c r="C9512" s="4" t="n">
        <v>6</v>
      </c>
      <c r="D9512" s="4" t="n">
        <v>15</v>
      </c>
      <c r="E9512" s="4" t="s">
        <v>6244</v>
      </c>
      <c r="F9512" s="4" t="n">
        <v>13</v>
      </c>
      <c r="G9512" s="4" t="n">
        <v>7</v>
      </c>
      <c r="H9512" s="4" t="n">
        <v>4</v>
      </c>
      <c r="I9512" s="4" t="str">
        <v>×</v>
      </c>
      <c r="J9512" s="4"/>
      <c r="K9512" s="4"/>
      <c r="L9512" s="4"/>
      <c r="M9512" s="5" t="s">
        <v>6166</v>
      </c>
    </row>
    <row r="9513" customFormat="false" ht="15.75" hidden="false" customHeight="false" outlineLevel="0" collapsed="false">
      <c r="A9513" s="6" t="n">
        <v>46158</v>
      </c>
      <c r="B9513" s="4" t="s">
        <v>5435</v>
      </c>
      <c r="C9513" s="4" t="n">
        <v>7</v>
      </c>
      <c r="D9513" s="4" t="n">
        <v>1</v>
      </c>
      <c r="E9513" s="4" t="s">
        <v>766</v>
      </c>
      <c r="F9513" s="4" t="n">
        <v>65</v>
      </c>
      <c r="G9513" s="4" t="n">
        <v>1</v>
      </c>
      <c r="H9513" s="4" t="n">
        <v>4</v>
      </c>
      <c r="I9513" s="4" t="str">
        <v>×</v>
      </c>
      <c r="J9513" s="4"/>
      <c r="K9513" s="4"/>
      <c r="L9513" s="4"/>
      <c r="M9513" s="5" t="s">
        <v>6166</v>
      </c>
    </row>
    <row r="9514" customFormat="false" ht="15.75" hidden="false" customHeight="false" outlineLevel="0" collapsed="false">
      <c r="A9514" s="6" t="n">
        <v>46158</v>
      </c>
      <c r="B9514" s="4" t="s">
        <v>5435</v>
      </c>
      <c r="C9514" s="4" t="n">
        <v>7</v>
      </c>
      <c r="D9514" s="4" t="n">
        <v>2</v>
      </c>
      <c r="E9514" s="4" t="s">
        <v>6245</v>
      </c>
      <c r="F9514" s="4" t="n">
        <v>15</v>
      </c>
      <c r="G9514" s="4" t="n">
        <v>5</v>
      </c>
      <c r="H9514" s="4" t="n">
        <v>4</v>
      </c>
      <c r="I9514" s="4" t="str">
        <v>×</v>
      </c>
      <c r="J9514" s="4"/>
      <c r="K9514" s="4"/>
      <c r="L9514" s="4"/>
      <c r="M9514" s="5" t="s">
        <v>6166</v>
      </c>
    </row>
    <row r="9515" customFormat="false" ht="15.75" hidden="false" customHeight="false" outlineLevel="0" collapsed="false">
      <c r="A9515" s="6" t="n">
        <v>46158</v>
      </c>
      <c r="B9515" s="4" t="s">
        <v>5435</v>
      </c>
      <c r="C9515" s="4" t="n">
        <v>7</v>
      </c>
      <c r="D9515" s="4" t="n">
        <v>3</v>
      </c>
      <c r="E9515" s="4" t="s">
        <v>5942</v>
      </c>
      <c r="F9515" s="4" t="n">
        <v>17</v>
      </c>
      <c r="G9515" s="4" t="n">
        <v>4</v>
      </c>
      <c r="H9515" s="4" t="n">
        <v>3</v>
      </c>
      <c r="I9515" s="4" t="str">
        <v>○</v>
      </c>
      <c r="J9515" s="4" t="n">
        <v>250</v>
      </c>
      <c r="K9515" s="4"/>
      <c r="L9515" s="4"/>
      <c r="M9515" s="5" t="s">
        <v>6166</v>
      </c>
    </row>
    <row r="9516" customFormat="false" ht="15.75" hidden="false" customHeight="false" outlineLevel="0" collapsed="false">
      <c r="A9516" s="6" t="n">
        <v>46158</v>
      </c>
      <c r="B9516" s="4" t="s">
        <v>5435</v>
      </c>
      <c r="C9516" s="4" t="n">
        <v>7</v>
      </c>
      <c r="D9516" s="4" t="n">
        <v>4</v>
      </c>
      <c r="E9516" s="4" t="s">
        <v>6246</v>
      </c>
      <c r="F9516" s="4" t="n">
        <v>15</v>
      </c>
      <c r="G9516" s="4" t="n">
        <v>5</v>
      </c>
      <c r="H9516" s="4" t="n">
        <v>4</v>
      </c>
      <c r="I9516" s="4" t="str">
        <v>×</v>
      </c>
      <c r="J9516" s="4"/>
      <c r="K9516" s="4"/>
      <c r="L9516" s="4"/>
      <c r="M9516" s="5" t="s">
        <v>6166</v>
      </c>
    </row>
    <row r="9517" customFormat="false" ht="15.75" hidden="false" customHeight="false" outlineLevel="0" collapsed="false">
      <c r="A9517" s="6" t="n">
        <v>46158</v>
      </c>
      <c r="B9517" s="4" t="s">
        <v>5435</v>
      </c>
      <c r="C9517" s="4" t="n">
        <v>7</v>
      </c>
      <c r="D9517" s="4" t="n">
        <v>5</v>
      </c>
      <c r="E9517" s="4" t="s">
        <v>3693</v>
      </c>
      <c r="F9517" s="4" t="n">
        <v>47</v>
      </c>
      <c r="G9517" s="4" t="n">
        <v>3</v>
      </c>
      <c r="H9517" s="4" t="n">
        <v>2</v>
      </c>
      <c r="I9517" s="4" t="str">
        <v>○</v>
      </c>
      <c r="J9517" s="4" t="n">
        <v>150</v>
      </c>
      <c r="K9517" s="4"/>
      <c r="L9517" s="4"/>
      <c r="M9517" s="5" t="s">
        <v>6166</v>
      </c>
    </row>
    <row r="9518" customFormat="false" ht="15.75" hidden="false" customHeight="false" outlineLevel="0" collapsed="false">
      <c r="A9518" s="6" t="n">
        <v>46158</v>
      </c>
      <c r="B9518" s="4" t="s">
        <v>5435</v>
      </c>
      <c r="C9518" s="4" t="n">
        <v>7</v>
      </c>
      <c r="D9518" s="4" t="n">
        <v>6</v>
      </c>
      <c r="E9518" s="4" t="s">
        <v>6247</v>
      </c>
      <c r="F9518" s="4" t="n">
        <v>62</v>
      </c>
      <c r="G9518" s="4" t="n">
        <v>2</v>
      </c>
      <c r="H9518" s="4" t="n">
        <v>1</v>
      </c>
      <c r="I9518" s="4" t="str">
        <v>○</v>
      </c>
      <c r="J9518" s="4" t="n">
        <v>120</v>
      </c>
      <c r="K9518" s="4"/>
      <c r="L9518" s="4"/>
      <c r="M9518" s="5" t="s">
        <v>6166</v>
      </c>
    </row>
    <row r="9519" customFormat="false" ht="15.75" hidden="false" customHeight="false" outlineLevel="0" collapsed="false">
      <c r="A9519" s="6" t="n">
        <v>46158</v>
      </c>
      <c r="B9519" s="4" t="s">
        <v>5435</v>
      </c>
      <c r="C9519" s="4" t="n">
        <v>7</v>
      </c>
      <c r="D9519" s="4" t="n">
        <v>7</v>
      </c>
      <c r="E9519" s="4" t="s">
        <v>4871</v>
      </c>
      <c r="F9519" s="4" t="n">
        <v>17</v>
      </c>
      <c r="G9519" s="4" t="n">
        <v>4</v>
      </c>
      <c r="H9519" s="4" t="n">
        <v>4</v>
      </c>
      <c r="I9519" s="4" t="str">
        <v>×</v>
      </c>
      <c r="J9519" s="4"/>
      <c r="K9519" s="4"/>
      <c r="L9519" s="4"/>
      <c r="M9519" s="5" t="s">
        <v>6166</v>
      </c>
    </row>
    <row r="9520" customFormat="false" ht="15.75" hidden="false" customHeight="false" outlineLevel="0" collapsed="false">
      <c r="A9520" s="6" t="n">
        <v>46158</v>
      </c>
      <c r="B9520" s="4" t="s">
        <v>5435</v>
      </c>
      <c r="C9520" s="4" t="n">
        <v>7</v>
      </c>
      <c r="D9520" s="4" t="n">
        <v>8</v>
      </c>
      <c r="E9520" s="4" t="s">
        <v>6248</v>
      </c>
      <c r="F9520" s="4" t="n">
        <v>17</v>
      </c>
      <c r="G9520" s="4" t="n">
        <v>4</v>
      </c>
      <c r="H9520" s="4" t="n">
        <v>4</v>
      </c>
      <c r="I9520" s="4" t="str">
        <v>×</v>
      </c>
      <c r="J9520" s="4"/>
      <c r="K9520" s="4"/>
      <c r="L9520" s="4"/>
      <c r="M9520" s="5" t="s">
        <v>6166</v>
      </c>
    </row>
    <row r="9521" customFormat="false" ht="15.75" hidden="false" customHeight="false" outlineLevel="0" collapsed="false">
      <c r="A9521" s="6" t="n">
        <v>46158</v>
      </c>
      <c r="B9521" s="4" t="s">
        <v>5435</v>
      </c>
      <c r="C9521" s="4" t="n">
        <v>7</v>
      </c>
      <c r="D9521" s="4" t="n">
        <v>9</v>
      </c>
      <c r="E9521" s="4" t="s">
        <v>5944</v>
      </c>
      <c r="F9521" s="4" t="n">
        <v>15</v>
      </c>
      <c r="G9521" s="4" t="n">
        <v>5</v>
      </c>
      <c r="H9521" s="4" t="n">
        <v>4</v>
      </c>
      <c r="I9521" s="4" t="str">
        <v>×</v>
      </c>
      <c r="J9521" s="4"/>
      <c r="K9521" s="4"/>
      <c r="L9521" s="4"/>
      <c r="M9521" s="5" t="s">
        <v>6166</v>
      </c>
    </row>
    <row r="9522" customFormat="false" ht="15.75" hidden="false" customHeight="false" outlineLevel="0" collapsed="false">
      <c r="A9522" s="6" t="n">
        <v>46158</v>
      </c>
      <c r="B9522" s="4" t="s">
        <v>5435</v>
      </c>
      <c r="C9522" s="4" t="n">
        <v>7</v>
      </c>
      <c r="D9522" s="4" t="n">
        <v>10</v>
      </c>
      <c r="E9522" s="4" t="s">
        <v>6249</v>
      </c>
      <c r="F9522" s="4" t="n">
        <v>4</v>
      </c>
      <c r="G9522" s="4" t="n">
        <v>7</v>
      </c>
      <c r="H9522" s="4" t="n">
        <v>4</v>
      </c>
      <c r="I9522" s="4" t="str">
        <v>×</v>
      </c>
      <c r="J9522" s="4"/>
      <c r="K9522" s="4"/>
      <c r="L9522" s="4"/>
      <c r="M9522" s="5" t="s">
        <v>6166</v>
      </c>
    </row>
    <row r="9523" customFormat="false" ht="15.75" hidden="false" customHeight="false" outlineLevel="0" collapsed="false">
      <c r="A9523" s="6" t="n">
        <v>46158</v>
      </c>
      <c r="B9523" s="4" t="s">
        <v>5435</v>
      </c>
      <c r="C9523" s="4" t="n">
        <v>7</v>
      </c>
      <c r="D9523" s="4" t="n">
        <v>11</v>
      </c>
      <c r="E9523" s="4" t="s">
        <v>6250</v>
      </c>
      <c r="F9523" s="4" t="n">
        <v>13</v>
      </c>
      <c r="G9523" s="4" t="n">
        <v>6</v>
      </c>
      <c r="H9523" s="4" t="n">
        <v>4</v>
      </c>
      <c r="I9523" s="4" t="str">
        <v>×</v>
      </c>
      <c r="J9523" s="4"/>
      <c r="K9523" s="4"/>
      <c r="L9523" s="4"/>
      <c r="M9523" s="5" t="s">
        <v>6166</v>
      </c>
    </row>
    <row r="9524" customFormat="false" ht="15.75" hidden="false" customHeight="false" outlineLevel="0" collapsed="false">
      <c r="A9524" s="6" t="n">
        <v>46158</v>
      </c>
      <c r="B9524" s="4" t="s">
        <v>5435</v>
      </c>
      <c r="C9524" s="4" t="n">
        <v>8</v>
      </c>
      <c r="D9524" s="4" t="n">
        <v>1</v>
      </c>
      <c r="E9524" s="4" t="s">
        <v>125</v>
      </c>
      <c r="F9524" s="4" t="n">
        <v>44</v>
      </c>
      <c r="G9524" s="4" t="n">
        <v>2</v>
      </c>
      <c r="H9524" s="4" t="n">
        <v>4</v>
      </c>
      <c r="I9524" s="4" t="str">
        <v>×</v>
      </c>
      <c r="J9524" s="4"/>
      <c r="K9524" s="4"/>
      <c r="L9524" s="4"/>
      <c r="M9524" s="5" t="s">
        <v>6166</v>
      </c>
    </row>
    <row r="9525" customFormat="false" ht="15.75" hidden="false" customHeight="false" outlineLevel="0" collapsed="false">
      <c r="A9525" s="6" t="n">
        <v>46158</v>
      </c>
      <c r="B9525" s="4" t="s">
        <v>5435</v>
      </c>
      <c r="C9525" s="4" t="n">
        <v>8</v>
      </c>
      <c r="D9525" s="4" t="n">
        <v>2</v>
      </c>
      <c r="E9525" s="4" t="s">
        <v>6251</v>
      </c>
      <c r="F9525" s="4" t="n">
        <v>37</v>
      </c>
      <c r="G9525" s="4" t="n">
        <v>3</v>
      </c>
      <c r="H9525" s="4" t="n">
        <v>4</v>
      </c>
      <c r="I9525" s="4" t="str">
        <v>×</v>
      </c>
      <c r="J9525" s="4"/>
      <c r="K9525" s="4"/>
      <c r="L9525" s="4"/>
      <c r="M9525" s="5" t="s">
        <v>6166</v>
      </c>
    </row>
    <row r="9526" customFormat="false" ht="15.75" hidden="false" customHeight="false" outlineLevel="0" collapsed="false">
      <c r="A9526" s="6" t="n">
        <v>46158</v>
      </c>
      <c r="B9526" s="4" t="s">
        <v>5435</v>
      </c>
      <c r="C9526" s="4" t="n">
        <v>8</v>
      </c>
      <c r="D9526" s="4" t="n">
        <v>3</v>
      </c>
      <c r="E9526" s="4" t="s">
        <v>6252</v>
      </c>
      <c r="F9526" s="4" t="n">
        <v>44</v>
      </c>
      <c r="G9526" s="4" t="n">
        <v>2</v>
      </c>
      <c r="H9526" s="4" t="n">
        <v>3</v>
      </c>
      <c r="I9526" s="4" t="str">
        <v>○</v>
      </c>
      <c r="J9526" s="4"/>
      <c r="K9526" s="4"/>
      <c r="L9526" s="4"/>
      <c r="M9526" s="5" t="s">
        <v>6166</v>
      </c>
    </row>
    <row r="9527" customFormat="false" ht="15.75" hidden="false" customHeight="false" outlineLevel="0" collapsed="false">
      <c r="A9527" s="6" t="n">
        <v>46158</v>
      </c>
      <c r="B9527" s="4" t="s">
        <v>5435</v>
      </c>
      <c r="C9527" s="4" t="n">
        <v>8</v>
      </c>
      <c r="D9527" s="4" t="n">
        <v>4</v>
      </c>
      <c r="E9527" s="4" t="s">
        <v>6253</v>
      </c>
      <c r="F9527" s="4" t="n">
        <v>55</v>
      </c>
      <c r="G9527" s="4" t="n">
        <v>1</v>
      </c>
      <c r="H9527" s="4" t="n">
        <v>4</v>
      </c>
      <c r="I9527" s="4" t="str">
        <v>×</v>
      </c>
      <c r="J9527" s="4"/>
      <c r="K9527" s="4"/>
      <c r="L9527" s="4"/>
      <c r="M9527" s="5" t="s">
        <v>6166</v>
      </c>
    </row>
    <row r="9528" customFormat="false" ht="15.75" hidden="false" customHeight="false" outlineLevel="0" collapsed="false">
      <c r="A9528" s="6" t="n">
        <v>46158</v>
      </c>
      <c r="B9528" s="4" t="s">
        <v>5435</v>
      </c>
      <c r="C9528" s="4" t="n">
        <v>8</v>
      </c>
      <c r="D9528" s="4" t="n">
        <v>5</v>
      </c>
      <c r="E9528" s="4" t="s">
        <v>6254</v>
      </c>
      <c r="F9528" s="4" t="n">
        <v>44</v>
      </c>
      <c r="G9528" s="4" t="n">
        <v>2</v>
      </c>
      <c r="H9528" s="4" t="n">
        <v>1</v>
      </c>
      <c r="I9528" s="4" t="str">
        <v>○</v>
      </c>
      <c r="J9528" s="4" t="n">
        <v>180</v>
      </c>
      <c r="K9528" s="4"/>
      <c r="L9528" s="4"/>
      <c r="M9528" s="5" t="s">
        <v>6166</v>
      </c>
    </row>
    <row r="9529" customFormat="false" ht="15.75" hidden="false" customHeight="false" outlineLevel="0" collapsed="false">
      <c r="A9529" s="6" t="n">
        <v>46158</v>
      </c>
      <c r="B9529" s="4" t="s">
        <v>5435</v>
      </c>
      <c r="C9529" s="4" t="n">
        <v>8</v>
      </c>
      <c r="D9529" s="4" t="n">
        <v>6</v>
      </c>
      <c r="E9529" s="4" t="s">
        <v>6255</v>
      </c>
      <c r="F9529" s="4" t="n">
        <v>37</v>
      </c>
      <c r="G9529" s="4" t="n">
        <v>3</v>
      </c>
      <c r="H9529" s="4" t="n">
        <v>2</v>
      </c>
      <c r="I9529" s="4" t="str">
        <v>○</v>
      </c>
      <c r="J9529" s="4" t="n">
        <v>470</v>
      </c>
      <c r="K9529" s="4"/>
      <c r="L9529" s="4"/>
      <c r="M9529" s="5" t="s">
        <v>6166</v>
      </c>
    </row>
    <row r="9530" customFormat="false" ht="15.75" hidden="false" customHeight="false" outlineLevel="0" collapsed="false">
      <c r="A9530" s="6" t="n">
        <v>46158</v>
      </c>
      <c r="B9530" s="4" t="s">
        <v>5435</v>
      </c>
      <c r="C9530" s="4" t="n">
        <v>9</v>
      </c>
      <c r="D9530" s="4" t="n">
        <v>1</v>
      </c>
      <c r="E9530" s="4" t="s">
        <v>1715</v>
      </c>
      <c r="F9530" s="4" t="n">
        <v>34</v>
      </c>
      <c r="G9530" s="4" t="n">
        <v>5</v>
      </c>
      <c r="H9530" s="4" t="n">
        <v>2</v>
      </c>
      <c r="I9530" s="4" t="str">
        <v>○</v>
      </c>
      <c r="J9530" s="4" t="n">
        <v>290</v>
      </c>
      <c r="K9530" s="4"/>
      <c r="L9530" s="4"/>
      <c r="M9530" s="5" t="s">
        <v>6166</v>
      </c>
    </row>
    <row r="9531" customFormat="false" ht="15.75" hidden="false" customHeight="false" outlineLevel="0" collapsed="false">
      <c r="A9531" s="6" t="n">
        <v>46158</v>
      </c>
      <c r="B9531" s="4" t="s">
        <v>5435</v>
      </c>
      <c r="C9531" s="4" t="n">
        <v>9</v>
      </c>
      <c r="D9531" s="4" t="n">
        <v>2</v>
      </c>
      <c r="E9531" s="4" t="s">
        <v>689</v>
      </c>
      <c r="F9531" s="4" t="n">
        <v>29</v>
      </c>
      <c r="G9531" s="4" t="n">
        <v>6</v>
      </c>
      <c r="H9531" s="4" t="n">
        <v>1</v>
      </c>
      <c r="I9531" s="4" t="str">
        <v>○</v>
      </c>
      <c r="J9531" s="4" t="n">
        <v>200</v>
      </c>
      <c r="K9531" s="4"/>
      <c r="L9531" s="4"/>
      <c r="M9531" s="5" t="s">
        <v>6166</v>
      </c>
    </row>
    <row r="9532" customFormat="false" ht="15.75" hidden="false" customHeight="false" outlineLevel="0" collapsed="false">
      <c r="A9532" s="6" t="n">
        <v>46158</v>
      </c>
      <c r="B9532" s="4" t="s">
        <v>5435</v>
      </c>
      <c r="C9532" s="4" t="n">
        <v>9</v>
      </c>
      <c r="D9532" s="4" t="n">
        <v>3</v>
      </c>
      <c r="E9532" s="4" t="s">
        <v>279</v>
      </c>
      <c r="F9532" s="4" t="n">
        <v>39</v>
      </c>
      <c r="G9532" s="4" t="n">
        <v>4</v>
      </c>
      <c r="H9532" s="4" t="n">
        <v>4</v>
      </c>
      <c r="I9532" s="4" t="str">
        <v>×</v>
      </c>
      <c r="J9532" s="4"/>
      <c r="K9532" s="4"/>
      <c r="L9532" s="4"/>
      <c r="M9532" s="5" t="s">
        <v>6166</v>
      </c>
    </row>
    <row r="9533" customFormat="false" ht="15.75" hidden="false" customHeight="false" outlineLevel="0" collapsed="false">
      <c r="A9533" s="6" t="n">
        <v>46158</v>
      </c>
      <c r="B9533" s="4" t="s">
        <v>5435</v>
      </c>
      <c r="C9533" s="4" t="n">
        <v>9</v>
      </c>
      <c r="D9533" s="4" t="n">
        <v>4</v>
      </c>
      <c r="E9533" s="4" t="s">
        <v>3196</v>
      </c>
      <c r="F9533" s="4" t="n">
        <v>56</v>
      </c>
      <c r="G9533" s="4" t="n">
        <v>1</v>
      </c>
      <c r="H9533" s="4" t="n">
        <v>4</v>
      </c>
      <c r="I9533" s="4" t="str">
        <v>×</v>
      </c>
      <c r="J9533" s="4"/>
      <c r="K9533" s="4"/>
      <c r="L9533" s="4"/>
      <c r="M9533" s="5" t="s">
        <v>6166</v>
      </c>
    </row>
    <row r="9534" customFormat="false" ht="15.75" hidden="false" customHeight="false" outlineLevel="0" collapsed="false">
      <c r="A9534" s="6" t="n">
        <v>46158</v>
      </c>
      <c r="B9534" s="4" t="s">
        <v>5435</v>
      </c>
      <c r="C9534" s="4" t="n">
        <v>9</v>
      </c>
      <c r="D9534" s="4" t="n">
        <v>5</v>
      </c>
      <c r="E9534" s="4" t="s">
        <v>1235</v>
      </c>
      <c r="F9534" s="4" t="n">
        <v>17</v>
      </c>
      <c r="G9534" s="4" t="n">
        <v>8</v>
      </c>
      <c r="H9534" s="4" t="n">
        <v>4</v>
      </c>
      <c r="I9534" s="4" t="str">
        <v>×</v>
      </c>
      <c r="J9534" s="4"/>
      <c r="K9534" s="4"/>
      <c r="L9534" s="4"/>
      <c r="M9534" s="5" t="s">
        <v>6166</v>
      </c>
    </row>
    <row r="9535" customFormat="false" ht="15.75" hidden="false" customHeight="false" outlineLevel="0" collapsed="false">
      <c r="A9535" s="6" t="n">
        <v>46158</v>
      </c>
      <c r="B9535" s="4" t="s">
        <v>5435</v>
      </c>
      <c r="C9535" s="4" t="n">
        <v>9</v>
      </c>
      <c r="D9535" s="4" t="n">
        <v>6</v>
      </c>
      <c r="E9535" s="4" t="s">
        <v>6256</v>
      </c>
      <c r="F9535" s="4" t="n">
        <v>52</v>
      </c>
      <c r="G9535" s="4" t="n">
        <v>2</v>
      </c>
      <c r="H9535" s="4" t="n">
        <v>4</v>
      </c>
      <c r="I9535" s="4" t="str">
        <v>×</v>
      </c>
      <c r="J9535" s="4"/>
      <c r="K9535" s="4"/>
      <c r="L9535" s="4"/>
      <c r="M9535" s="5" t="s">
        <v>6166</v>
      </c>
    </row>
    <row r="9536" customFormat="false" ht="15.75" hidden="false" customHeight="false" outlineLevel="0" collapsed="false">
      <c r="A9536" s="6" t="n">
        <v>46158</v>
      </c>
      <c r="B9536" s="4" t="s">
        <v>5435</v>
      </c>
      <c r="C9536" s="4" t="n">
        <v>9</v>
      </c>
      <c r="D9536" s="4" t="n">
        <v>7</v>
      </c>
      <c r="E9536" s="4" t="s">
        <v>6257</v>
      </c>
      <c r="F9536" s="4" t="n">
        <v>20</v>
      </c>
      <c r="G9536" s="4" t="n">
        <v>7</v>
      </c>
      <c r="H9536" s="4" t="n">
        <v>4</v>
      </c>
      <c r="I9536" s="4" t="str">
        <v>×</v>
      </c>
      <c r="J9536" s="4"/>
      <c r="K9536" s="4"/>
      <c r="L9536" s="4"/>
      <c r="M9536" s="5" t="s">
        <v>6166</v>
      </c>
    </row>
    <row r="9537" customFormat="false" ht="15.75" hidden="false" customHeight="false" outlineLevel="0" collapsed="false">
      <c r="A9537" s="6" t="n">
        <v>46158</v>
      </c>
      <c r="B9537" s="4" t="s">
        <v>5435</v>
      </c>
      <c r="C9537" s="4" t="n">
        <v>9</v>
      </c>
      <c r="D9537" s="4" t="n">
        <v>8</v>
      </c>
      <c r="E9537" s="4" t="s">
        <v>1325</v>
      </c>
      <c r="F9537" s="4" t="n">
        <v>17</v>
      </c>
      <c r="G9537" s="4" t="n">
        <v>8</v>
      </c>
      <c r="H9537" s="4" t="n">
        <v>3</v>
      </c>
      <c r="I9537" s="4" t="str">
        <v>○</v>
      </c>
      <c r="J9537" s="4" t="n">
        <v>560</v>
      </c>
      <c r="K9537" s="4"/>
      <c r="L9537" s="4"/>
      <c r="M9537" s="5" t="s">
        <v>6166</v>
      </c>
    </row>
    <row r="9538" customFormat="false" ht="15.75" hidden="false" customHeight="false" outlineLevel="0" collapsed="false">
      <c r="A9538" s="6" t="n">
        <v>46158</v>
      </c>
      <c r="B9538" s="4" t="s">
        <v>5435</v>
      </c>
      <c r="C9538" s="4" t="n">
        <v>9</v>
      </c>
      <c r="D9538" s="4" t="n">
        <v>9</v>
      </c>
      <c r="E9538" s="4" t="s">
        <v>6258</v>
      </c>
      <c r="F9538" s="4" t="n">
        <v>44</v>
      </c>
      <c r="G9538" s="4" t="n">
        <v>3</v>
      </c>
      <c r="H9538" s="4" t="n">
        <v>4</v>
      </c>
      <c r="I9538" s="4" t="str">
        <v>×</v>
      </c>
      <c r="J9538" s="4"/>
      <c r="K9538" s="4"/>
      <c r="L9538" s="4"/>
      <c r="M9538" s="5" t="s">
        <v>6166</v>
      </c>
    </row>
    <row r="9539" customFormat="false" ht="15.75" hidden="false" customHeight="false" outlineLevel="0" collapsed="false">
      <c r="A9539" s="6" t="n">
        <v>46158</v>
      </c>
      <c r="B9539" s="4" t="s">
        <v>5435</v>
      </c>
      <c r="C9539" s="4" t="n">
        <v>9</v>
      </c>
      <c r="D9539" s="4" t="n">
        <v>10</v>
      </c>
      <c r="E9539" s="4" t="s">
        <v>6259</v>
      </c>
      <c r="F9539" s="4" t="n">
        <v>10</v>
      </c>
      <c r="G9539" s="4" t="n">
        <v>9</v>
      </c>
      <c r="H9539" s="4" t="n">
        <v>4</v>
      </c>
      <c r="I9539" s="4" t="str">
        <v>×</v>
      </c>
      <c r="J9539" s="4"/>
      <c r="K9539" s="4"/>
      <c r="L9539" s="4"/>
      <c r="M9539" s="5" t="s">
        <v>6166</v>
      </c>
    </row>
    <row r="9540" customFormat="false" ht="15.75" hidden="false" customHeight="false" outlineLevel="0" collapsed="false">
      <c r="A9540" s="6" t="n">
        <v>46158</v>
      </c>
      <c r="B9540" s="4" t="s">
        <v>5435</v>
      </c>
      <c r="C9540" s="4" t="n">
        <v>10</v>
      </c>
      <c r="D9540" s="4" t="n">
        <v>1</v>
      </c>
      <c r="E9540" s="4" t="s">
        <v>3761</v>
      </c>
      <c r="F9540" s="4" t="n">
        <v>50</v>
      </c>
      <c r="G9540" s="4" t="n">
        <v>2</v>
      </c>
      <c r="H9540" s="4" t="n">
        <v>2</v>
      </c>
      <c r="I9540" s="4" t="str">
        <v>○</v>
      </c>
      <c r="J9540" s="4" t="n">
        <v>230</v>
      </c>
      <c r="K9540" s="4"/>
      <c r="L9540" s="4"/>
      <c r="M9540" s="5" t="s">
        <v>6166</v>
      </c>
    </row>
    <row r="9541" customFormat="false" ht="15.75" hidden="false" customHeight="false" outlineLevel="0" collapsed="false">
      <c r="A9541" s="6" t="n">
        <v>46158</v>
      </c>
      <c r="B9541" s="4" t="s">
        <v>5435</v>
      </c>
      <c r="C9541" s="4" t="n">
        <v>10</v>
      </c>
      <c r="D9541" s="4" t="n">
        <v>2</v>
      </c>
      <c r="E9541" s="4" t="s">
        <v>269</v>
      </c>
      <c r="F9541" s="4" t="n">
        <v>15</v>
      </c>
      <c r="G9541" s="4" t="n">
        <v>7</v>
      </c>
      <c r="H9541" s="4" t="n">
        <v>4</v>
      </c>
      <c r="I9541" s="4" t="str">
        <v>×</v>
      </c>
      <c r="J9541" s="4"/>
      <c r="K9541" s="4"/>
      <c r="L9541" s="4"/>
      <c r="M9541" s="5" t="s">
        <v>6166</v>
      </c>
    </row>
    <row r="9542" customFormat="false" ht="15.75" hidden="false" customHeight="false" outlineLevel="0" collapsed="false">
      <c r="A9542" s="6" t="n">
        <v>46158</v>
      </c>
      <c r="B9542" s="4" t="s">
        <v>5435</v>
      </c>
      <c r="C9542" s="4" t="n">
        <v>10</v>
      </c>
      <c r="D9542" s="4" t="n">
        <v>3</v>
      </c>
      <c r="E9542" s="4" t="s">
        <v>4410</v>
      </c>
      <c r="F9542" s="4" t="n">
        <v>34</v>
      </c>
      <c r="G9542" s="4" t="n">
        <v>3</v>
      </c>
      <c r="H9542" s="4" t="n">
        <v>4</v>
      </c>
      <c r="I9542" s="4" t="str">
        <v>×</v>
      </c>
      <c r="J9542" s="4"/>
      <c r="K9542" s="4"/>
      <c r="L9542" s="4"/>
      <c r="M9542" s="5" t="s">
        <v>6166</v>
      </c>
    </row>
    <row r="9543" customFormat="false" ht="15.75" hidden="false" customHeight="false" outlineLevel="0" collapsed="false">
      <c r="A9543" s="6" t="n">
        <v>46158</v>
      </c>
      <c r="B9543" s="4" t="s">
        <v>5435</v>
      </c>
      <c r="C9543" s="4" t="n">
        <v>10</v>
      </c>
      <c r="D9543" s="4" t="n">
        <v>4</v>
      </c>
      <c r="E9543" s="4" t="s">
        <v>6260</v>
      </c>
      <c r="F9543" s="4" t="n">
        <v>29</v>
      </c>
      <c r="G9543" s="4" t="n">
        <v>4</v>
      </c>
      <c r="H9543" s="4" t="n">
        <v>4</v>
      </c>
      <c r="I9543" s="4" t="str">
        <v>×</v>
      </c>
      <c r="J9543" s="4"/>
      <c r="K9543" s="4"/>
      <c r="L9543" s="4"/>
      <c r="M9543" s="5" t="s">
        <v>6166</v>
      </c>
    </row>
    <row r="9544" customFormat="false" ht="15.75" hidden="false" customHeight="false" outlineLevel="0" collapsed="false">
      <c r="A9544" s="6" t="n">
        <v>46158</v>
      </c>
      <c r="B9544" s="4" t="s">
        <v>5435</v>
      </c>
      <c r="C9544" s="4" t="n">
        <v>10</v>
      </c>
      <c r="D9544" s="4" t="n">
        <v>5</v>
      </c>
      <c r="E9544" s="4" t="s">
        <v>6261</v>
      </c>
      <c r="F9544" s="4" t="n">
        <v>13</v>
      </c>
      <c r="G9544" s="4" t="n">
        <v>8</v>
      </c>
      <c r="H9544" s="4" t="n">
        <v>4</v>
      </c>
      <c r="I9544" s="4" t="str">
        <v>×</v>
      </c>
      <c r="J9544" s="4"/>
      <c r="K9544" s="4"/>
      <c r="L9544" s="4"/>
      <c r="M9544" s="5" t="s">
        <v>6166</v>
      </c>
    </row>
    <row r="9545" customFormat="false" ht="15.75" hidden="false" customHeight="false" outlineLevel="0" collapsed="false">
      <c r="A9545" s="6" t="n">
        <v>46158</v>
      </c>
      <c r="B9545" s="4" t="s">
        <v>5435</v>
      </c>
      <c r="C9545" s="4" t="n">
        <v>10</v>
      </c>
      <c r="D9545" s="4" t="n">
        <v>6</v>
      </c>
      <c r="E9545" s="4" t="s">
        <v>6262</v>
      </c>
      <c r="F9545" s="4" t="n">
        <v>8</v>
      </c>
      <c r="G9545" s="4" t="n">
        <v>9</v>
      </c>
      <c r="H9545" s="4" t="n">
        <v>4</v>
      </c>
      <c r="I9545" s="4" t="str">
        <v>×</v>
      </c>
      <c r="J9545" s="4"/>
      <c r="K9545" s="4"/>
      <c r="L9545" s="4"/>
      <c r="M9545" s="5" t="s">
        <v>6166</v>
      </c>
    </row>
    <row r="9546" customFormat="false" ht="15.75" hidden="false" customHeight="false" outlineLevel="0" collapsed="false">
      <c r="A9546" s="6" t="n">
        <v>46158</v>
      </c>
      <c r="B9546" s="4" t="s">
        <v>5435</v>
      </c>
      <c r="C9546" s="4" t="n">
        <v>10</v>
      </c>
      <c r="D9546" s="4" t="n">
        <v>7</v>
      </c>
      <c r="E9546" s="4" t="s">
        <v>6263</v>
      </c>
      <c r="F9546" s="4" t="n">
        <v>15</v>
      </c>
      <c r="G9546" s="4" t="n">
        <v>7</v>
      </c>
      <c r="H9546" s="4" t="n">
        <v>4</v>
      </c>
      <c r="I9546" s="4" t="str">
        <v>×</v>
      </c>
      <c r="J9546" s="4"/>
      <c r="K9546" s="4"/>
      <c r="L9546" s="4"/>
      <c r="M9546" s="5" t="s">
        <v>6166</v>
      </c>
    </row>
    <row r="9547" customFormat="false" ht="15.75" hidden="false" customHeight="false" outlineLevel="0" collapsed="false">
      <c r="A9547" s="6" t="n">
        <v>46158</v>
      </c>
      <c r="B9547" s="4" t="s">
        <v>5435</v>
      </c>
      <c r="C9547" s="4" t="n">
        <v>10</v>
      </c>
      <c r="D9547" s="4" t="n">
        <v>8</v>
      </c>
      <c r="E9547" s="4" t="s">
        <v>1676</v>
      </c>
      <c r="F9547" s="4" t="n">
        <v>13</v>
      </c>
      <c r="G9547" s="4" t="n">
        <v>8</v>
      </c>
      <c r="H9547" s="4" t="n">
        <v>4</v>
      </c>
      <c r="I9547" s="4" t="str">
        <v>×</v>
      </c>
      <c r="J9547" s="4"/>
      <c r="K9547" s="4"/>
      <c r="L9547" s="4"/>
      <c r="M9547" s="5" t="s">
        <v>6166</v>
      </c>
    </row>
    <row r="9548" customFormat="false" ht="15.75" hidden="false" customHeight="false" outlineLevel="0" collapsed="false">
      <c r="A9548" s="6" t="n">
        <v>46158</v>
      </c>
      <c r="B9548" s="4" t="s">
        <v>5435</v>
      </c>
      <c r="C9548" s="4" t="n">
        <v>10</v>
      </c>
      <c r="D9548" s="4" t="n">
        <v>9</v>
      </c>
      <c r="E9548" s="4" t="s">
        <v>3767</v>
      </c>
      <c r="F9548" s="4" t="n">
        <v>23</v>
      </c>
      <c r="G9548" s="4" t="n">
        <v>6</v>
      </c>
      <c r="H9548" s="4" t="n">
        <v>4</v>
      </c>
      <c r="I9548" s="4" t="str">
        <v>×</v>
      </c>
      <c r="J9548" s="4"/>
      <c r="K9548" s="4"/>
      <c r="L9548" s="4"/>
      <c r="M9548" s="5" t="s">
        <v>6166</v>
      </c>
    </row>
    <row r="9549" customFormat="false" ht="15.75" hidden="false" customHeight="false" outlineLevel="0" collapsed="false">
      <c r="A9549" s="6" t="n">
        <v>46158</v>
      </c>
      <c r="B9549" s="4" t="s">
        <v>5435</v>
      </c>
      <c r="C9549" s="4" t="n">
        <v>10</v>
      </c>
      <c r="D9549" s="4" t="n">
        <v>10</v>
      </c>
      <c r="E9549" s="4" t="s">
        <v>6264</v>
      </c>
      <c r="F9549" s="4" t="n">
        <v>66</v>
      </c>
      <c r="G9549" s="4" t="n">
        <v>1</v>
      </c>
      <c r="H9549" s="4" t="n">
        <v>4</v>
      </c>
      <c r="I9549" s="4" t="str">
        <v>×</v>
      </c>
      <c r="J9549" s="4"/>
      <c r="K9549" s="4"/>
      <c r="L9549" s="4"/>
      <c r="M9549" s="5" t="s">
        <v>6166</v>
      </c>
    </row>
    <row r="9550" customFormat="false" ht="15.75" hidden="false" customHeight="false" outlineLevel="0" collapsed="false">
      <c r="A9550" s="6" t="n">
        <v>46158</v>
      </c>
      <c r="B9550" s="4" t="s">
        <v>5435</v>
      </c>
      <c r="C9550" s="4" t="n">
        <v>10</v>
      </c>
      <c r="D9550" s="4" t="n">
        <v>11</v>
      </c>
      <c r="E9550" s="4" t="s">
        <v>6265</v>
      </c>
      <c r="F9550" s="4" t="n">
        <v>6</v>
      </c>
      <c r="G9550" s="4" t="n">
        <v>10</v>
      </c>
      <c r="H9550" s="4" t="n">
        <v>4</v>
      </c>
      <c r="I9550" s="4" t="str">
        <v>×</v>
      </c>
      <c r="J9550" s="4"/>
      <c r="K9550" s="4"/>
      <c r="L9550" s="4"/>
      <c r="M9550" s="5" t="s">
        <v>6166</v>
      </c>
    </row>
    <row r="9551" customFormat="false" ht="15.75" hidden="false" customHeight="false" outlineLevel="0" collapsed="false">
      <c r="A9551" s="6" t="n">
        <v>46158</v>
      </c>
      <c r="B9551" s="4" t="s">
        <v>5435</v>
      </c>
      <c r="C9551" s="4" t="n">
        <v>10</v>
      </c>
      <c r="D9551" s="4" t="n">
        <v>12</v>
      </c>
      <c r="E9551" s="4" t="s">
        <v>4196</v>
      </c>
      <c r="F9551" s="4" t="n">
        <v>13</v>
      </c>
      <c r="G9551" s="4" t="n">
        <v>8</v>
      </c>
      <c r="H9551" s="4" t="n">
        <v>4</v>
      </c>
      <c r="I9551" s="4" t="str">
        <v>×</v>
      </c>
      <c r="J9551" s="4"/>
      <c r="K9551" s="4"/>
      <c r="L9551" s="4"/>
      <c r="M9551" s="5" t="s">
        <v>6166</v>
      </c>
    </row>
    <row r="9552" customFormat="false" ht="15.75" hidden="false" customHeight="false" outlineLevel="0" collapsed="false">
      <c r="A9552" s="6" t="n">
        <v>46158</v>
      </c>
      <c r="B9552" s="4" t="s">
        <v>5435</v>
      </c>
      <c r="C9552" s="4" t="n">
        <v>10</v>
      </c>
      <c r="D9552" s="4" t="n">
        <v>13</v>
      </c>
      <c r="E9552" s="4" t="s">
        <v>1369</v>
      </c>
      <c r="F9552" s="4" t="n">
        <v>29</v>
      </c>
      <c r="G9552" s="4" t="n">
        <v>4</v>
      </c>
      <c r="H9552" s="4" t="n">
        <v>1</v>
      </c>
      <c r="I9552" s="4" t="str">
        <v>○</v>
      </c>
      <c r="J9552" s="4" t="n">
        <v>330</v>
      </c>
      <c r="K9552" s="4"/>
      <c r="L9552" s="4"/>
      <c r="M9552" s="5" t="s">
        <v>6166</v>
      </c>
    </row>
    <row r="9553" customFormat="false" ht="15.75" hidden="false" customHeight="false" outlineLevel="0" collapsed="false">
      <c r="A9553" s="6" t="n">
        <v>46158</v>
      </c>
      <c r="B9553" s="4" t="s">
        <v>5435</v>
      </c>
      <c r="C9553" s="4" t="n">
        <v>10</v>
      </c>
      <c r="D9553" s="4" t="n">
        <v>14</v>
      </c>
      <c r="E9553" s="4" t="s">
        <v>5650</v>
      </c>
      <c r="F9553" s="4" t="n">
        <v>25</v>
      </c>
      <c r="G9553" s="4" t="n">
        <v>5</v>
      </c>
      <c r="H9553" s="4" t="n">
        <v>3</v>
      </c>
      <c r="I9553" s="4" t="str">
        <v>○</v>
      </c>
      <c r="J9553" s="4" t="n">
        <v>690</v>
      </c>
      <c r="K9553" s="4"/>
      <c r="L9553" s="4"/>
      <c r="M9553" s="5" t="s">
        <v>6166</v>
      </c>
    </row>
    <row r="9554" customFormat="false" ht="15.75" hidden="false" customHeight="false" outlineLevel="0" collapsed="false">
      <c r="A9554" s="6" t="n">
        <v>46158</v>
      </c>
      <c r="B9554" s="4" t="s">
        <v>5435</v>
      </c>
      <c r="C9554" s="4" t="n">
        <v>10</v>
      </c>
      <c r="D9554" s="4" t="n">
        <v>15</v>
      </c>
      <c r="E9554" s="4" t="s">
        <v>6266</v>
      </c>
      <c r="F9554" s="4" t="n">
        <v>13</v>
      </c>
      <c r="G9554" s="4" t="n">
        <v>8</v>
      </c>
      <c r="H9554" s="4" t="n">
        <v>4</v>
      </c>
      <c r="I9554" s="4" t="str">
        <v>×</v>
      </c>
      <c r="J9554" s="4"/>
      <c r="K9554" s="4"/>
      <c r="L9554" s="4"/>
      <c r="M9554" s="5" t="s">
        <v>6166</v>
      </c>
    </row>
    <row r="9555" customFormat="false" ht="15.75" hidden="false" customHeight="false" outlineLevel="0" collapsed="false">
      <c r="A9555" s="6" t="n">
        <v>46158</v>
      </c>
      <c r="B9555" s="4" t="s">
        <v>5435</v>
      </c>
      <c r="C9555" s="4" t="n">
        <v>11</v>
      </c>
      <c r="D9555" s="4" t="n">
        <v>1</v>
      </c>
      <c r="E9555" s="4" t="s">
        <v>6267</v>
      </c>
      <c r="F9555" s="4" t="n">
        <v>10</v>
      </c>
      <c r="G9555" s="4" t="n">
        <v>7</v>
      </c>
      <c r="H9555" s="4" t="n">
        <v>4</v>
      </c>
      <c r="I9555" s="4" t="str">
        <v>×</v>
      </c>
      <c r="J9555" s="4"/>
      <c r="K9555" s="4"/>
      <c r="L9555" s="4"/>
      <c r="M9555" s="5" t="s">
        <v>6166</v>
      </c>
    </row>
    <row r="9556" customFormat="false" ht="15.75" hidden="false" customHeight="false" outlineLevel="0" collapsed="false">
      <c r="A9556" s="6" t="n">
        <v>46158</v>
      </c>
      <c r="B9556" s="4" t="s">
        <v>5435</v>
      </c>
      <c r="C9556" s="4" t="n">
        <v>11</v>
      </c>
      <c r="D9556" s="4" t="n">
        <v>2</v>
      </c>
      <c r="E9556" s="4" t="s">
        <v>4463</v>
      </c>
      <c r="F9556" s="4" t="n">
        <v>10</v>
      </c>
      <c r="G9556" s="4" t="n">
        <v>7</v>
      </c>
      <c r="H9556" s="4" t="n">
        <v>4</v>
      </c>
      <c r="I9556" s="4" t="str">
        <v>×</v>
      </c>
      <c r="J9556" s="4"/>
      <c r="K9556" s="4"/>
      <c r="L9556" s="4"/>
      <c r="M9556" s="5" t="s">
        <v>6166</v>
      </c>
    </row>
    <row r="9557" customFormat="false" ht="15.75" hidden="false" customHeight="false" outlineLevel="0" collapsed="false">
      <c r="A9557" s="6" t="n">
        <v>46158</v>
      </c>
      <c r="B9557" s="4" t="s">
        <v>5435</v>
      </c>
      <c r="C9557" s="4" t="n">
        <v>11</v>
      </c>
      <c r="D9557" s="4" t="n">
        <v>3</v>
      </c>
      <c r="E9557" s="4" t="s">
        <v>6268</v>
      </c>
      <c r="F9557" s="4" t="n">
        <v>50</v>
      </c>
      <c r="G9557" s="4" t="n">
        <v>2</v>
      </c>
      <c r="H9557" s="4" t="n">
        <v>3</v>
      </c>
      <c r="I9557" s="4" t="str">
        <v>○</v>
      </c>
      <c r="J9557" s="4" t="n">
        <v>140</v>
      </c>
      <c r="K9557" s="4"/>
      <c r="L9557" s="4"/>
      <c r="M9557" s="5" t="s">
        <v>6166</v>
      </c>
    </row>
    <row r="9558" customFormat="false" ht="15.75" hidden="false" customHeight="false" outlineLevel="0" collapsed="false">
      <c r="A9558" s="6" t="n">
        <v>46158</v>
      </c>
      <c r="B9558" s="4" t="s">
        <v>5435</v>
      </c>
      <c r="C9558" s="4" t="n">
        <v>11</v>
      </c>
      <c r="D9558" s="4" t="n">
        <v>4</v>
      </c>
      <c r="E9558" s="4" t="s">
        <v>6269</v>
      </c>
      <c r="F9558" s="4" t="n">
        <v>8</v>
      </c>
      <c r="G9558" s="4" t="n">
        <v>8</v>
      </c>
      <c r="H9558" s="4" t="n">
        <v>4</v>
      </c>
      <c r="I9558" s="4" t="str">
        <v>×</v>
      </c>
      <c r="J9558" s="4"/>
      <c r="K9558" s="4"/>
      <c r="L9558" s="4"/>
      <c r="M9558" s="5" t="s">
        <v>6166</v>
      </c>
    </row>
    <row r="9559" customFormat="false" ht="15.75" hidden="false" customHeight="false" outlineLevel="0" collapsed="false">
      <c r="A9559" s="6" t="n">
        <v>46158</v>
      </c>
      <c r="B9559" s="4" t="s">
        <v>5435</v>
      </c>
      <c r="C9559" s="4" t="n">
        <v>11</v>
      </c>
      <c r="D9559" s="4" t="n">
        <v>5</v>
      </c>
      <c r="E9559" s="4" t="s">
        <v>4461</v>
      </c>
      <c r="F9559" s="4" t="n">
        <v>4</v>
      </c>
      <c r="G9559" s="4" t="n">
        <v>10</v>
      </c>
      <c r="H9559" s="4" t="n">
        <v>4</v>
      </c>
      <c r="I9559" s="4" t="str">
        <v>×</v>
      </c>
      <c r="J9559" s="4"/>
      <c r="K9559" s="4"/>
      <c r="L9559" s="4"/>
      <c r="M9559" s="5" t="s">
        <v>6166</v>
      </c>
    </row>
    <row r="9560" customFormat="false" ht="15.75" hidden="false" customHeight="false" outlineLevel="0" collapsed="false">
      <c r="A9560" s="6" t="n">
        <v>46158</v>
      </c>
      <c r="B9560" s="4" t="s">
        <v>5435</v>
      </c>
      <c r="C9560" s="4" t="n">
        <v>11</v>
      </c>
      <c r="D9560" s="4" t="n">
        <v>6</v>
      </c>
      <c r="E9560" s="4" t="s">
        <v>3221</v>
      </c>
      <c r="F9560" s="4" t="n">
        <v>31</v>
      </c>
      <c r="G9560" s="4" t="n">
        <v>4</v>
      </c>
      <c r="H9560" s="4" t="n">
        <v>2</v>
      </c>
      <c r="I9560" s="4" t="str">
        <v>○</v>
      </c>
      <c r="J9560" s="4" t="n">
        <v>170</v>
      </c>
      <c r="K9560" s="4"/>
      <c r="L9560" s="4"/>
      <c r="M9560" s="5" t="s">
        <v>6166</v>
      </c>
    </row>
    <row r="9561" customFormat="false" ht="15.75" hidden="false" customHeight="false" outlineLevel="0" collapsed="false">
      <c r="A9561" s="6" t="n">
        <v>46158</v>
      </c>
      <c r="B9561" s="4" t="s">
        <v>5435</v>
      </c>
      <c r="C9561" s="4" t="n">
        <v>11</v>
      </c>
      <c r="D9561" s="4" t="n">
        <v>7</v>
      </c>
      <c r="E9561" s="4" t="s">
        <v>3223</v>
      </c>
      <c r="F9561" s="4" t="n">
        <v>3</v>
      </c>
      <c r="G9561" s="4" t="n">
        <v>11</v>
      </c>
      <c r="H9561" s="4" t="n">
        <v>4</v>
      </c>
      <c r="I9561" s="4" t="str">
        <v>×</v>
      </c>
      <c r="J9561" s="4"/>
      <c r="K9561" s="4"/>
      <c r="L9561" s="4"/>
      <c r="M9561" s="5" t="s">
        <v>6166</v>
      </c>
    </row>
    <row r="9562" customFormat="false" ht="15.75" hidden="false" customHeight="false" outlineLevel="0" collapsed="false">
      <c r="A9562" s="6" t="n">
        <v>46158</v>
      </c>
      <c r="B9562" s="4" t="s">
        <v>5435</v>
      </c>
      <c r="C9562" s="4" t="n">
        <v>11</v>
      </c>
      <c r="D9562" s="4" t="n">
        <v>8</v>
      </c>
      <c r="E9562" s="4" t="s">
        <v>6270</v>
      </c>
      <c r="F9562" s="4" t="n">
        <v>6</v>
      </c>
      <c r="G9562" s="4" t="n">
        <v>9</v>
      </c>
      <c r="H9562" s="4" t="n">
        <v>4</v>
      </c>
      <c r="I9562" s="4" t="str">
        <v>×</v>
      </c>
      <c r="J9562" s="4"/>
      <c r="K9562" s="4"/>
      <c r="L9562" s="4"/>
      <c r="M9562" s="5" t="s">
        <v>6166</v>
      </c>
    </row>
    <row r="9563" customFormat="false" ht="15.75" hidden="false" customHeight="false" outlineLevel="0" collapsed="false">
      <c r="A9563" s="6" t="n">
        <v>46158</v>
      </c>
      <c r="B9563" s="4" t="s">
        <v>5435</v>
      </c>
      <c r="C9563" s="4" t="n">
        <v>11</v>
      </c>
      <c r="D9563" s="4" t="n">
        <v>9</v>
      </c>
      <c r="E9563" s="4" t="s">
        <v>4459</v>
      </c>
      <c r="F9563" s="4" t="n">
        <v>10</v>
      </c>
      <c r="G9563" s="4" t="n">
        <v>7</v>
      </c>
      <c r="H9563" s="4" t="n">
        <v>4</v>
      </c>
      <c r="I9563" s="4" t="str">
        <v>×</v>
      </c>
      <c r="J9563" s="4"/>
      <c r="K9563" s="4"/>
      <c r="L9563" s="4"/>
      <c r="M9563" s="5" t="s">
        <v>6166</v>
      </c>
    </row>
    <row r="9564" customFormat="false" ht="15.75" hidden="false" customHeight="false" outlineLevel="0" collapsed="false">
      <c r="A9564" s="6" t="n">
        <v>46158</v>
      </c>
      <c r="B9564" s="4" t="s">
        <v>5435</v>
      </c>
      <c r="C9564" s="4" t="n">
        <v>11</v>
      </c>
      <c r="D9564" s="4" t="n">
        <v>10</v>
      </c>
      <c r="E9564" s="4" t="s">
        <v>6271</v>
      </c>
      <c r="F9564" s="4" t="n">
        <v>8</v>
      </c>
      <c r="G9564" s="4" t="n">
        <v>8</v>
      </c>
      <c r="H9564" s="4"/>
      <c r="I9564" s="4" t="str">
        <v/>
      </c>
      <c r="J9564" s="4"/>
      <c r="K9564" s="4"/>
      <c r="L9564" s="4"/>
      <c r="M9564" s="5" t="s">
        <v>6166</v>
      </c>
    </row>
    <row r="9565" customFormat="false" ht="15.75" hidden="false" customHeight="false" outlineLevel="0" collapsed="false">
      <c r="A9565" s="6" t="n">
        <v>46158</v>
      </c>
      <c r="B9565" s="4" t="s">
        <v>5435</v>
      </c>
      <c r="C9565" s="4" t="n">
        <v>11</v>
      </c>
      <c r="D9565" s="4" t="n">
        <v>11</v>
      </c>
      <c r="E9565" s="4" t="s">
        <v>3229</v>
      </c>
      <c r="F9565" s="4" t="n">
        <v>8</v>
      </c>
      <c r="G9565" s="4" t="n">
        <v>8</v>
      </c>
      <c r="H9565" s="4" t="n">
        <v>4</v>
      </c>
      <c r="I9565" s="4" t="str">
        <v>×</v>
      </c>
      <c r="J9565" s="4"/>
      <c r="K9565" s="4"/>
      <c r="L9565" s="4"/>
      <c r="M9565" s="5" t="s">
        <v>6166</v>
      </c>
    </row>
    <row r="9566" customFormat="false" ht="15.75" hidden="false" customHeight="false" outlineLevel="0" collapsed="false">
      <c r="A9566" s="6" t="n">
        <v>46158</v>
      </c>
      <c r="B9566" s="4" t="s">
        <v>5435</v>
      </c>
      <c r="C9566" s="4" t="n">
        <v>11</v>
      </c>
      <c r="D9566" s="4" t="n">
        <v>12</v>
      </c>
      <c r="E9566" s="4" t="s">
        <v>3228</v>
      </c>
      <c r="F9566" s="4" t="n">
        <v>56</v>
      </c>
      <c r="G9566" s="4" t="n">
        <v>1</v>
      </c>
      <c r="H9566" s="4" t="n">
        <v>1</v>
      </c>
      <c r="I9566" s="4" t="str">
        <v>○</v>
      </c>
      <c r="J9566" s="4" t="n">
        <v>110</v>
      </c>
      <c r="K9566" s="4"/>
      <c r="L9566" s="4"/>
      <c r="M9566" s="5" t="s">
        <v>6166</v>
      </c>
    </row>
    <row r="9567" customFormat="false" ht="15.75" hidden="false" customHeight="false" outlineLevel="0" collapsed="false">
      <c r="A9567" s="6" t="n">
        <v>46158</v>
      </c>
      <c r="B9567" s="4" t="s">
        <v>5435</v>
      </c>
      <c r="C9567" s="4" t="n">
        <v>11</v>
      </c>
      <c r="D9567" s="4" t="n">
        <v>13</v>
      </c>
      <c r="E9567" s="4" t="s">
        <v>6272</v>
      </c>
      <c r="F9567" s="4" t="n">
        <v>44</v>
      </c>
      <c r="G9567" s="4" t="n">
        <v>3</v>
      </c>
      <c r="H9567" s="4"/>
      <c r="I9567" s="4" t="str">
        <v/>
      </c>
      <c r="J9567" s="4"/>
      <c r="K9567" s="4"/>
      <c r="L9567" s="4"/>
      <c r="M9567" s="5" t="s">
        <v>6166</v>
      </c>
    </row>
    <row r="9568" customFormat="false" ht="15.75" hidden="false" customHeight="false" outlineLevel="0" collapsed="false">
      <c r="A9568" s="6" t="n">
        <v>46158</v>
      </c>
      <c r="B9568" s="4" t="s">
        <v>5435</v>
      </c>
      <c r="C9568" s="4" t="n">
        <v>11</v>
      </c>
      <c r="D9568" s="4" t="n">
        <v>14</v>
      </c>
      <c r="E9568" s="4" t="s">
        <v>3222</v>
      </c>
      <c r="F9568" s="4" t="n">
        <v>29</v>
      </c>
      <c r="G9568" s="4" t="n">
        <v>5</v>
      </c>
      <c r="H9568" s="4" t="n">
        <v>4</v>
      </c>
      <c r="I9568" s="4" t="str">
        <v>×</v>
      </c>
      <c r="J9568" s="4"/>
      <c r="K9568" s="4"/>
      <c r="L9568" s="4"/>
      <c r="M9568" s="5" t="s">
        <v>6166</v>
      </c>
    </row>
    <row r="9569" customFormat="false" ht="15.75" hidden="false" customHeight="false" outlineLevel="0" collapsed="false">
      <c r="A9569" s="6" t="n">
        <v>46158</v>
      </c>
      <c r="B9569" s="4" t="s">
        <v>5435</v>
      </c>
      <c r="C9569" s="4" t="n">
        <v>11</v>
      </c>
      <c r="D9569" s="4" t="n">
        <v>15</v>
      </c>
      <c r="E9569" s="4" t="s">
        <v>6142</v>
      </c>
      <c r="F9569" s="4" t="n">
        <v>6</v>
      </c>
      <c r="G9569" s="4" t="n">
        <v>9</v>
      </c>
      <c r="H9569" s="4" t="n">
        <v>4</v>
      </c>
      <c r="I9569" s="4" t="str">
        <v>×</v>
      </c>
      <c r="J9569" s="4"/>
      <c r="K9569" s="4"/>
      <c r="L9569" s="4"/>
      <c r="M9569" s="5" t="s">
        <v>6166</v>
      </c>
    </row>
    <row r="9570" customFormat="false" ht="15.75" hidden="false" customHeight="false" outlineLevel="0" collapsed="false">
      <c r="A9570" s="6" t="n">
        <v>46158</v>
      </c>
      <c r="B9570" s="4" t="s">
        <v>5435</v>
      </c>
      <c r="C9570" s="4" t="n">
        <v>11</v>
      </c>
      <c r="D9570" s="4" t="n">
        <v>16</v>
      </c>
      <c r="E9570" s="4" t="s">
        <v>6148</v>
      </c>
      <c r="F9570" s="4" t="n">
        <v>17</v>
      </c>
      <c r="G9570" s="4" t="n">
        <v>6</v>
      </c>
      <c r="H9570" s="4" t="n">
        <v>4</v>
      </c>
      <c r="I9570" s="4" t="str">
        <v>×</v>
      </c>
      <c r="J9570" s="4"/>
      <c r="K9570" s="4"/>
      <c r="L9570" s="4"/>
      <c r="M9570" s="5" t="s">
        <v>6166</v>
      </c>
    </row>
    <row r="9571" customFormat="false" ht="15.75" hidden="false" customHeight="false" outlineLevel="0" collapsed="false">
      <c r="A9571" s="6" t="n">
        <v>46158</v>
      </c>
      <c r="B9571" s="4" t="s">
        <v>5435</v>
      </c>
      <c r="C9571" s="4" t="n">
        <v>12</v>
      </c>
      <c r="D9571" s="4" t="n">
        <v>1</v>
      </c>
      <c r="E9571" s="4" t="s">
        <v>1988</v>
      </c>
      <c r="F9571" s="4" t="n">
        <v>17</v>
      </c>
      <c r="G9571" s="4" t="n">
        <v>6</v>
      </c>
      <c r="H9571" s="4" t="n">
        <v>4</v>
      </c>
      <c r="I9571" s="4" t="str">
        <v>×</v>
      </c>
      <c r="J9571" s="4"/>
      <c r="K9571" s="4"/>
      <c r="L9571" s="4"/>
      <c r="M9571" s="5" t="s">
        <v>6166</v>
      </c>
    </row>
    <row r="9572" customFormat="false" ht="15.75" hidden="false" customHeight="false" outlineLevel="0" collapsed="false">
      <c r="A9572" s="6" t="n">
        <v>46158</v>
      </c>
      <c r="B9572" s="4" t="s">
        <v>5435</v>
      </c>
      <c r="C9572" s="4" t="n">
        <v>12</v>
      </c>
      <c r="D9572" s="4" t="n">
        <v>2</v>
      </c>
      <c r="E9572" s="4" t="s">
        <v>5979</v>
      </c>
      <c r="F9572" s="4" t="n">
        <v>60</v>
      </c>
      <c r="G9572" s="4" t="n">
        <v>2</v>
      </c>
      <c r="H9572" s="4" t="n">
        <v>4</v>
      </c>
      <c r="I9572" s="4" t="str">
        <v>×</v>
      </c>
      <c r="J9572" s="4"/>
      <c r="K9572" s="4"/>
      <c r="L9572" s="4"/>
      <c r="M9572" s="5" t="s">
        <v>6166</v>
      </c>
    </row>
    <row r="9573" customFormat="false" ht="15.75" hidden="false" customHeight="false" outlineLevel="0" collapsed="false">
      <c r="A9573" s="6" t="n">
        <v>46158</v>
      </c>
      <c r="B9573" s="4" t="s">
        <v>5435</v>
      </c>
      <c r="C9573" s="4" t="n">
        <v>12</v>
      </c>
      <c r="D9573" s="4" t="n">
        <v>3</v>
      </c>
      <c r="E9573" s="4" t="s">
        <v>6273</v>
      </c>
      <c r="F9573" s="4" t="n">
        <v>15</v>
      </c>
      <c r="G9573" s="4" t="n">
        <v>7</v>
      </c>
      <c r="H9573" s="4" t="n">
        <v>4</v>
      </c>
      <c r="I9573" s="4" t="str">
        <v>×</v>
      </c>
      <c r="J9573" s="4"/>
      <c r="K9573" s="4"/>
      <c r="L9573" s="4"/>
      <c r="M9573" s="5" t="s">
        <v>6166</v>
      </c>
    </row>
    <row r="9574" customFormat="false" ht="15.75" hidden="false" customHeight="false" outlineLevel="0" collapsed="false">
      <c r="A9574" s="6" t="n">
        <v>46158</v>
      </c>
      <c r="B9574" s="4" t="s">
        <v>5435</v>
      </c>
      <c r="C9574" s="4" t="n">
        <v>12</v>
      </c>
      <c r="D9574" s="4" t="n">
        <v>4</v>
      </c>
      <c r="E9574" s="4" t="s">
        <v>6274</v>
      </c>
      <c r="F9574" s="4" t="n">
        <v>3</v>
      </c>
      <c r="G9574" s="4" t="n">
        <v>11</v>
      </c>
      <c r="H9574" s="4" t="n">
        <v>4</v>
      </c>
      <c r="I9574" s="4" t="str">
        <v>×</v>
      </c>
      <c r="J9574" s="4"/>
      <c r="K9574" s="4"/>
      <c r="L9574" s="4"/>
      <c r="M9574" s="5" t="s">
        <v>6166</v>
      </c>
    </row>
    <row r="9575" customFormat="false" ht="15.75" hidden="false" customHeight="false" outlineLevel="0" collapsed="false">
      <c r="A9575" s="6" t="n">
        <v>46158</v>
      </c>
      <c r="B9575" s="4" t="s">
        <v>5435</v>
      </c>
      <c r="C9575" s="4" t="n">
        <v>12</v>
      </c>
      <c r="D9575" s="4" t="n">
        <v>5</v>
      </c>
      <c r="E9575" s="4" t="s">
        <v>1209</v>
      </c>
      <c r="F9575" s="4" t="n">
        <v>2</v>
      </c>
      <c r="G9575" s="4" t="n">
        <v>12</v>
      </c>
      <c r="H9575" s="4" t="n">
        <v>4</v>
      </c>
      <c r="I9575" s="4" t="str">
        <v>×</v>
      </c>
      <c r="J9575" s="4"/>
      <c r="K9575" s="4"/>
      <c r="L9575" s="4"/>
      <c r="M9575" s="5" t="s">
        <v>6166</v>
      </c>
    </row>
    <row r="9576" customFormat="false" ht="15.75" hidden="false" customHeight="false" outlineLevel="0" collapsed="false">
      <c r="A9576" s="6" t="n">
        <v>46158</v>
      </c>
      <c r="B9576" s="4" t="s">
        <v>5435</v>
      </c>
      <c r="C9576" s="4" t="n">
        <v>12</v>
      </c>
      <c r="D9576" s="4" t="n">
        <v>6</v>
      </c>
      <c r="E9576" s="4" t="s">
        <v>2418</v>
      </c>
      <c r="F9576" s="4" t="n">
        <v>10</v>
      </c>
      <c r="G9576" s="4" t="n">
        <v>9</v>
      </c>
      <c r="H9576" s="4" t="n">
        <v>4</v>
      </c>
      <c r="I9576" s="4" t="str">
        <v>×</v>
      </c>
      <c r="J9576" s="4"/>
      <c r="K9576" s="4"/>
      <c r="L9576" s="4"/>
      <c r="M9576" s="5" t="s">
        <v>6166</v>
      </c>
    </row>
    <row r="9577" customFormat="false" ht="15.75" hidden="false" customHeight="false" outlineLevel="0" collapsed="false">
      <c r="A9577" s="6" t="n">
        <v>46158</v>
      </c>
      <c r="B9577" s="4" t="s">
        <v>5435</v>
      </c>
      <c r="C9577" s="4" t="n">
        <v>12</v>
      </c>
      <c r="D9577" s="4" t="n">
        <v>7</v>
      </c>
      <c r="E9577" s="4" t="s">
        <v>2901</v>
      </c>
      <c r="F9577" s="4" t="n">
        <v>13</v>
      </c>
      <c r="G9577" s="4" t="n">
        <v>8</v>
      </c>
      <c r="H9577" s="4" t="n">
        <v>4</v>
      </c>
      <c r="I9577" s="4" t="str">
        <v>×</v>
      </c>
      <c r="J9577" s="4"/>
      <c r="K9577" s="4"/>
      <c r="L9577" s="4"/>
      <c r="M9577" s="5" t="s">
        <v>6166</v>
      </c>
    </row>
    <row r="9578" customFormat="false" ht="15.75" hidden="false" customHeight="false" outlineLevel="0" collapsed="false">
      <c r="A9578" s="6" t="n">
        <v>46158</v>
      </c>
      <c r="B9578" s="4" t="s">
        <v>5435</v>
      </c>
      <c r="C9578" s="4" t="n">
        <v>12</v>
      </c>
      <c r="D9578" s="4" t="n">
        <v>8</v>
      </c>
      <c r="E9578" s="4" t="s">
        <v>6275</v>
      </c>
      <c r="F9578" s="4" t="n">
        <v>8</v>
      </c>
      <c r="G9578" s="4" t="n">
        <v>10</v>
      </c>
      <c r="H9578" s="4" t="n">
        <v>4</v>
      </c>
      <c r="I9578" s="4" t="str">
        <v>×</v>
      </c>
      <c r="J9578" s="4"/>
      <c r="K9578" s="4"/>
      <c r="L9578" s="4"/>
      <c r="M9578" s="5" t="s">
        <v>6166</v>
      </c>
    </row>
    <row r="9579" customFormat="false" ht="15.75" hidden="false" customHeight="false" outlineLevel="0" collapsed="false">
      <c r="A9579" s="6" t="n">
        <v>46158</v>
      </c>
      <c r="B9579" s="4" t="s">
        <v>5435</v>
      </c>
      <c r="C9579" s="4" t="n">
        <v>12</v>
      </c>
      <c r="D9579" s="4" t="n">
        <v>9</v>
      </c>
      <c r="E9579" s="4" t="s">
        <v>2428</v>
      </c>
      <c r="F9579" s="4" t="n">
        <v>34</v>
      </c>
      <c r="G9579" s="4" t="n">
        <v>3</v>
      </c>
      <c r="H9579" s="4" t="n">
        <v>4</v>
      </c>
      <c r="I9579" s="4" t="str">
        <v>×</v>
      </c>
      <c r="J9579" s="4"/>
      <c r="K9579" s="4"/>
      <c r="L9579" s="4"/>
      <c r="M9579" s="5" t="s">
        <v>6166</v>
      </c>
    </row>
    <row r="9580" customFormat="false" ht="15.75" hidden="false" customHeight="false" outlineLevel="0" collapsed="false">
      <c r="A9580" s="6" t="n">
        <v>46158</v>
      </c>
      <c r="B9580" s="4" t="s">
        <v>5435</v>
      </c>
      <c r="C9580" s="4" t="n">
        <v>12</v>
      </c>
      <c r="D9580" s="4" t="n">
        <v>10</v>
      </c>
      <c r="E9580" s="4" t="s">
        <v>6276</v>
      </c>
      <c r="F9580" s="4" t="n">
        <v>62</v>
      </c>
      <c r="G9580" s="4" t="n">
        <v>1</v>
      </c>
      <c r="H9580" s="4" t="n">
        <v>1</v>
      </c>
      <c r="I9580" s="4" t="str">
        <v>○</v>
      </c>
      <c r="J9580" s="4" t="n">
        <v>130</v>
      </c>
      <c r="K9580" s="4"/>
      <c r="L9580" s="4"/>
      <c r="M9580" s="5" t="s">
        <v>6166</v>
      </c>
    </row>
    <row r="9581" customFormat="false" ht="15.75" hidden="false" customHeight="false" outlineLevel="0" collapsed="false">
      <c r="A9581" s="6" t="n">
        <v>46158</v>
      </c>
      <c r="B9581" s="4" t="s">
        <v>5435</v>
      </c>
      <c r="C9581" s="4" t="n">
        <v>12</v>
      </c>
      <c r="D9581" s="4" t="n">
        <v>11</v>
      </c>
      <c r="E9581" s="4" t="s">
        <v>4850</v>
      </c>
      <c r="F9581" s="4" t="n">
        <v>8</v>
      </c>
      <c r="G9581" s="4" t="n">
        <v>10</v>
      </c>
      <c r="H9581" s="4" t="n">
        <v>4</v>
      </c>
      <c r="I9581" s="4" t="str">
        <v>×</v>
      </c>
      <c r="J9581" s="4"/>
      <c r="K9581" s="4"/>
      <c r="L9581" s="4"/>
      <c r="M9581" s="5" t="s">
        <v>6166</v>
      </c>
    </row>
    <row r="9582" customFormat="false" ht="15.75" hidden="false" customHeight="false" outlineLevel="0" collapsed="false">
      <c r="A9582" s="6" t="n">
        <v>46158</v>
      </c>
      <c r="B9582" s="4" t="s">
        <v>5435</v>
      </c>
      <c r="C9582" s="4" t="n">
        <v>12</v>
      </c>
      <c r="D9582" s="4" t="n">
        <v>12</v>
      </c>
      <c r="E9582" s="4" t="s">
        <v>2420</v>
      </c>
      <c r="F9582" s="4" t="n">
        <v>2</v>
      </c>
      <c r="G9582" s="4" t="n">
        <v>12</v>
      </c>
      <c r="H9582" s="4" t="n">
        <v>4</v>
      </c>
      <c r="I9582" s="4" t="str">
        <v>×</v>
      </c>
      <c r="J9582" s="4"/>
      <c r="K9582" s="4"/>
      <c r="L9582" s="4"/>
      <c r="M9582" s="5" t="s">
        <v>6166</v>
      </c>
    </row>
    <row r="9583" customFormat="false" ht="15.75" hidden="false" customHeight="false" outlineLevel="0" collapsed="false">
      <c r="A9583" s="6" t="n">
        <v>46158</v>
      </c>
      <c r="B9583" s="4" t="s">
        <v>5435</v>
      </c>
      <c r="C9583" s="4" t="n">
        <v>12</v>
      </c>
      <c r="D9583" s="4" t="n">
        <v>13</v>
      </c>
      <c r="E9583" s="4" t="s">
        <v>6277</v>
      </c>
      <c r="F9583" s="4" t="n">
        <v>23</v>
      </c>
      <c r="G9583" s="4" t="n">
        <v>5</v>
      </c>
      <c r="H9583" s="4" t="n">
        <v>2</v>
      </c>
      <c r="I9583" s="4" t="str">
        <v>○</v>
      </c>
      <c r="J9583" s="4" t="n">
        <v>170</v>
      </c>
      <c r="K9583" s="4"/>
      <c r="L9583" s="4"/>
      <c r="M9583" s="5" t="s">
        <v>6166</v>
      </c>
    </row>
    <row r="9584" customFormat="false" ht="15.75" hidden="false" customHeight="false" outlineLevel="0" collapsed="false">
      <c r="A9584" s="6" t="n">
        <v>46158</v>
      </c>
      <c r="B9584" s="4" t="s">
        <v>5435</v>
      </c>
      <c r="C9584" s="4" t="n">
        <v>12</v>
      </c>
      <c r="D9584" s="4" t="n">
        <v>14</v>
      </c>
      <c r="E9584" s="4" t="s">
        <v>6278</v>
      </c>
      <c r="F9584" s="4" t="n">
        <v>25</v>
      </c>
      <c r="G9584" s="4" t="n">
        <v>4</v>
      </c>
      <c r="H9584" s="4" t="n">
        <v>4</v>
      </c>
      <c r="I9584" s="4" t="str">
        <v>×</v>
      </c>
      <c r="J9584" s="4"/>
      <c r="K9584" s="4"/>
      <c r="L9584" s="4"/>
      <c r="M9584" s="5" t="s">
        <v>6166</v>
      </c>
    </row>
    <row r="9585" customFormat="false" ht="15.75" hidden="false" customHeight="false" outlineLevel="0" collapsed="false">
      <c r="A9585" s="6" t="n">
        <v>46158</v>
      </c>
      <c r="B9585" s="4" t="s">
        <v>5435</v>
      </c>
      <c r="C9585" s="4" t="n">
        <v>12</v>
      </c>
      <c r="D9585" s="4" t="n">
        <v>15</v>
      </c>
      <c r="E9585" s="4" t="s">
        <v>5980</v>
      </c>
      <c r="F9585" s="4" t="n">
        <v>15</v>
      </c>
      <c r="G9585" s="4" t="n">
        <v>7</v>
      </c>
      <c r="H9585" s="4" t="n">
        <v>3</v>
      </c>
      <c r="I9585" s="4" t="str">
        <v>○</v>
      </c>
      <c r="J9585" s="4" t="n">
        <v>400</v>
      </c>
      <c r="K9585" s="4"/>
      <c r="L9585" s="4"/>
      <c r="M9585" s="5" t="s">
        <v>6166</v>
      </c>
    </row>
    <row r="9586" customFormat="false" ht="15.75" hidden="false" customHeight="false" outlineLevel="0" collapsed="false">
      <c r="A9586" s="6" t="n">
        <v>46158</v>
      </c>
      <c r="B9586" s="4" t="s">
        <v>13</v>
      </c>
      <c r="C9586" s="4" t="n">
        <v>1</v>
      </c>
      <c r="D9586" s="4" t="n">
        <v>1</v>
      </c>
      <c r="E9586" s="4" t="s">
        <v>594</v>
      </c>
      <c r="F9586" s="4" t="n">
        <v>6</v>
      </c>
      <c r="G9586" s="4" t="n">
        <v>9</v>
      </c>
      <c r="H9586" s="4" t="n">
        <v>4</v>
      </c>
      <c r="I9586" s="4" t="str">
        <v>×</v>
      </c>
      <c r="J9586" s="4"/>
      <c r="K9586" s="4"/>
      <c r="L9586" s="4"/>
      <c r="M9586" s="5" t="s">
        <v>6166</v>
      </c>
    </row>
    <row r="9587" customFormat="false" ht="15.75" hidden="false" customHeight="false" outlineLevel="0" collapsed="false">
      <c r="A9587" s="6" t="n">
        <v>46158</v>
      </c>
      <c r="B9587" s="4" t="s">
        <v>13</v>
      </c>
      <c r="C9587" s="4" t="n">
        <v>1</v>
      </c>
      <c r="D9587" s="4" t="n">
        <v>2</v>
      </c>
      <c r="E9587" s="4" t="s">
        <v>6279</v>
      </c>
      <c r="F9587" s="4" t="n">
        <v>6</v>
      </c>
      <c r="G9587" s="4" t="n">
        <v>9</v>
      </c>
      <c r="H9587" s="4" t="n">
        <v>4</v>
      </c>
      <c r="I9587" s="4" t="str">
        <v>×</v>
      </c>
      <c r="J9587" s="4"/>
      <c r="K9587" s="4"/>
      <c r="L9587" s="4"/>
      <c r="M9587" s="5" t="s">
        <v>6166</v>
      </c>
    </row>
    <row r="9588" customFormat="false" ht="15.75" hidden="false" customHeight="false" outlineLevel="0" collapsed="false">
      <c r="A9588" s="6" t="n">
        <v>46158</v>
      </c>
      <c r="B9588" s="4" t="s">
        <v>13</v>
      </c>
      <c r="C9588" s="4" t="n">
        <v>1</v>
      </c>
      <c r="D9588" s="4" t="n">
        <v>3</v>
      </c>
      <c r="E9588" s="4" t="s">
        <v>3594</v>
      </c>
      <c r="F9588" s="4" t="n">
        <v>31</v>
      </c>
      <c r="G9588" s="4" t="n">
        <v>3</v>
      </c>
      <c r="H9588" s="4" t="n">
        <v>4</v>
      </c>
      <c r="I9588" s="4" t="str">
        <v>×</v>
      </c>
      <c r="J9588" s="4"/>
      <c r="K9588" s="4"/>
      <c r="L9588" s="4"/>
      <c r="M9588" s="5" t="s">
        <v>6166</v>
      </c>
    </row>
    <row r="9589" customFormat="false" ht="15.75" hidden="false" customHeight="false" outlineLevel="0" collapsed="false">
      <c r="A9589" s="6" t="n">
        <v>46158</v>
      </c>
      <c r="B9589" s="4" t="s">
        <v>13</v>
      </c>
      <c r="C9589" s="4" t="n">
        <v>1</v>
      </c>
      <c r="D9589" s="4" t="n">
        <v>4</v>
      </c>
      <c r="E9589" s="4" t="s">
        <v>6280</v>
      </c>
      <c r="F9589" s="4" t="n">
        <v>31</v>
      </c>
      <c r="G9589" s="4" t="n">
        <v>3</v>
      </c>
      <c r="H9589" s="4" t="n">
        <v>1</v>
      </c>
      <c r="I9589" s="4" t="str">
        <v>○</v>
      </c>
      <c r="J9589" s="4" t="n">
        <v>210</v>
      </c>
      <c r="K9589" s="4"/>
      <c r="L9589" s="4"/>
      <c r="M9589" s="5" t="s">
        <v>6166</v>
      </c>
    </row>
    <row r="9590" customFormat="false" ht="15.75" hidden="false" customHeight="false" outlineLevel="0" collapsed="false">
      <c r="A9590" s="6" t="n">
        <v>46158</v>
      </c>
      <c r="B9590" s="4" t="s">
        <v>13</v>
      </c>
      <c r="C9590" s="4" t="n">
        <v>1</v>
      </c>
      <c r="D9590" s="4" t="n">
        <v>5</v>
      </c>
      <c r="E9590" s="4" t="s">
        <v>5442</v>
      </c>
      <c r="F9590" s="4" t="n">
        <v>20</v>
      </c>
      <c r="G9590" s="4" t="n">
        <v>5</v>
      </c>
      <c r="H9590" s="4" t="n">
        <v>4</v>
      </c>
      <c r="I9590" s="4" t="str">
        <v>×</v>
      </c>
      <c r="J9590" s="4"/>
      <c r="K9590" s="4"/>
      <c r="L9590" s="4"/>
      <c r="M9590" s="5" t="s">
        <v>6166</v>
      </c>
    </row>
    <row r="9591" customFormat="false" ht="15.75" hidden="false" customHeight="false" outlineLevel="0" collapsed="false">
      <c r="A9591" s="6" t="n">
        <v>46158</v>
      </c>
      <c r="B9591" s="4" t="s">
        <v>13</v>
      </c>
      <c r="C9591" s="4" t="n">
        <v>1</v>
      </c>
      <c r="D9591" s="4" t="n">
        <v>6</v>
      </c>
      <c r="E9591" s="4" t="s">
        <v>6281</v>
      </c>
      <c r="F9591" s="4" t="n">
        <v>3</v>
      </c>
      <c r="G9591" s="4" t="n">
        <v>11</v>
      </c>
      <c r="H9591" s="4" t="n">
        <v>4</v>
      </c>
      <c r="I9591" s="4" t="str">
        <v>×</v>
      </c>
      <c r="J9591" s="4"/>
      <c r="K9591" s="4"/>
      <c r="L9591" s="4"/>
      <c r="M9591" s="5" t="s">
        <v>6166</v>
      </c>
    </row>
    <row r="9592" customFormat="false" ht="15.75" hidden="false" customHeight="false" outlineLevel="0" collapsed="false">
      <c r="A9592" s="6" t="n">
        <v>46158</v>
      </c>
      <c r="B9592" s="4" t="s">
        <v>13</v>
      </c>
      <c r="C9592" s="4" t="n">
        <v>1</v>
      </c>
      <c r="D9592" s="4" t="n">
        <v>7</v>
      </c>
      <c r="E9592" s="4" t="s">
        <v>2303</v>
      </c>
      <c r="F9592" s="4" t="n">
        <v>34</v>
      </c>
      <c r="G9592" s="4" t="n">
        <v>2</v>
      </c>
      <c r="H9592" s="4" t="n">
        <v>2</v>
      </c>
      <c r="I9592" s="4" t="str">
        <v>○</v>
      </c>
      <c r="J9592" s="4" t="n">
        <v>130</v>
      </c>
      <c r="K9592" s="4"/>
      <c r="L9592" s="4"/>
      <c r="M9592" s="5" t="s">
        <v>6166</v>
      </c>
    </row>
    <row r="9593" customFormat="false" ht="15.75" hidden="false" customHeight="false" outlineLevel="0" collapsed="false">
      <c r="A9593" s="6" t="n">
        <v>46158</v>
      </c>
      <c r="B9593" s="4" t="s">
        <v>13</v>
      </c>
      <c r="C9593" s="4" t="n">
        <v>1</v>
      </c>
      <c r="D9593" s="4" t="n">
        <v>8</v>
      </c>
      <c r="E9593" s="4" t="s">
        <v>1321</v>
      </c>
      <c r="F9593" s="4" t="n">
        <v>71</v>
      </c>
      <c r="G9593" s="4" t="n">
        <v>1</v>
      </c>
      <c r="H9593" s="4" t="n">
        <v>3</v>
      </c>
      <c r="I9593" s="4" t="str">
        <v>○</v>
      </c>
      <c r="J9593" s="4" t="n">
        <v>120</v>
      </c>
      <c r="K9593" s="4"/>
      <c r="L9593" s="4"/>
      <c r="M9593" s="5" t="s">
        <v>6166</v>
      </c>
    </row>
    <row r="9594" customFormat="false" ht="15.75" hidden="false" customHeight="false" outlineLevel="0" collapsed="false">
      <c r="A9594" s="6" t="n">
        <v>46158</v>
      </c>
      <c r="B9594" s="4" t="s">
        <v>13</v>
      </c>
      <c r="C9594" s="4" t="n">
        <v>1</v>
      </c>
      <c r="D9594" s="4" t="n">
        <v>9</v>
      </c>
      <c r="E9594" s="4" t="s">
        <v>825</v>
      </c>
      <c r="F9594" s="4" t="n">
        <v>3</v>
      </c>
      <c r="G9594" s="4" t="n">
        <v>11</v>
      </c>
      <c r="H9594" s="4" t="n">
        <v>4</v>
      </c>
      <c r="I9594" s="4" t="str">
        <v>×</v>
      </c>
      <c r="J9594" s="4"/>
      <c r="K9594" s="4"/>
      <c r="L9594" s="4"/>
      <c r="M9594" s="5" t="s">
        <v>6166</v>
      </c>
    </row>
    <row r="9595" customFormat="false" ht="15.75" hidden="false" customHeight="false" outlineLevel="0" collapsed="false">
      <c r="A9595" s="6" t="n">
        <v>46158</v>
      </c>
      <c r="B9595" s="4" t="s">
        <v>13</v>
      </c>
      <c r="C9595" s="4" t="n">
        <v>1</v>
      </c>
      <c r="D9595" s="4" t="n">
        <v>10</v>
      </c>
      <c r="E9595" s="4" t="s">
        <v>6282</v>
      </c>
      <c r="F9595" s="4" t="n">
        <v>4</v>
      </c>
      <c r="G9595" s="4" t="n">
        <v>10</v>
      </c>
      <c r="H9595" s="4" t="n">
        <v>4</v>
      </c>
      <c r="I9595" s="4" t="str">
        <v>×</v>
      </c>
      <c r="J9595" s="4"/>
      <c r="K9595" s="4"/>
      <c r="L9595" s="4"/>
      <c r="M9595" s="5" t="s">
        <v>6166</v>
      </c>
    </row>
    <row r="9596" customFormat="false" ht="15.75" hidden="false" customHeight="false" outlineLevel="0" collapsed="false">
      <c r="A9596" s="6" t="n">
        <v>46158</v>
      </c>
      <c r="B9596" s="4" t="s">
        <v>13</v>
      </c>
      <c r="C9596" s="4" t="n">
        <v>1</v>
      </c>
      <c r="D9596" s="4" t="n">
        <v>11</v>
      </c>
      <c r="E9596" s="4" t="s">
        <v>1305</v>
      </c>
      <c r="F9596" s="4" t="n">
        <v>23</v>
      </c>
      <c r="G9596" s="4" t="n">
        <v>4</v>
      </c>
      <c r="H9596" s="4" t="n">
        <v>4</v>
      </c>
      <c r="I9596" s="4" t="str">
        <v>×</v>
      </c>
      <c r="J9596" s="4"/>
      <c r="K9596" s="4"/>
      <c r="L9596" s="4"/>
      <c r="M9596" s="5" t="s">
        <v>6166</v>
      </c>
    </row>
    <row r="9597" customFormat="false" ht="15.75" hidden="false" customHeight="false" outlineLevel="0" collapsed="false">
      <c r="A9597" s="6" t="n">
        <v>46158</v>
      </c>
      <c r="B9597" s="4" t="s">
        <v>13</v>
      </c>
      <c r="C9597" s="4" t="n">
        <v>1</v>
      </c>
      <c r="D9597" s="4" t="n">
        <v>12</v>
      </c>
      <c r="E9597" s="4" t="s">
        <v>5996</v>
      </c>
      <c r="F9597" s="4" t="n">
        <v>17</v>
      </c>
      <c r="G9597" s="4" t="n">
        <v>6</v>
      </c>
      <c r="H9597" s="4" t="n">
        <v>4</v>
      </c>
      <c r="I9597" s="4" t="str">
        <v>×</v>
      </c>
      <c r="J9597" s="4"/>
      <c r="K9597" s="4"/>
      <c r="L9597" s="4"/>
      <c r="M9597" s="5" t="s">
        <v>6166</v>
      </c>
    </row>
    <row r="9598" customFormat="false" ht="15.75" hidden="false" customHeight="false" outlineLevel="0" collapsed="false">
      <c r="A9598" s="6" t="n">
        <v>46158</v>
      </c>
      <c r="B9598" s="4" t="s">
        <v>13</v>
      </c>
      <c r="C9598" s="4" t="n">
        <v>1</v>
      </c>
      <c r="D9598" s="4" t="n">
        <v>13</v>
      </c>
      <c r="E9598" s="4" t="s">
        <v>6283</v>
      </c>
      <c r="F9598" s="4" t="n">
        <v>15</v>
      </c>
      <c r="G9598" s="4" t="n">
        <v>7</v>
      </c>
      <c r="H9598" s="4" t="n">
        <v>4</v>
      </c>
      <c r="I9598" s="4" t="str">
        <v>×</v>
      </c>
      <c r="J9598" s="4"/>
      <c r="K9598" s="4"/>
      <c r="L9598" s="4"/>
      <c r="M9598" s="5" t="s">
        <v>6166</v>
      </c>
    </row>
    <row r="9599" customFormat="false" ht="15.75" hidden="false" customHeight="false" outlineLevel="0" collapsed="false">
      <c r="A9599" s="6" t="n">
        <v>46158</v>
      </c>
      <c r="B9599" s="4" t="s">
        <v>13</v>
      </c>
      <c r="C9599" s="4" t="n">
        <v>1</v>
      </c>
      <c r="D9599" s="4" t="n">
        <v>14</v>
      </c>
      <c r="E9599" s="4" t="s">
        <v>2363</v>
      </c>
      <c r="F9599" s="4" t="n">
        <v>8</v>
      </c>
      <c r="G9599" s="4" t="n">
        <v>8</v>
      </c>
      <c r="H9599" s="4" t="n">
        <v>4</v>
      </c>
      <c r="I9599" s="4" t="str">
        <v>×</v>
      </c>
      <c r="J9599" s="4"/>
      <c r="K9599" s="4"/>
      <c r="L9599" s="4"/>
      <c r="M9599" s="5" t="s">
        <v>6166</v>
      </c>
    </row>
    <row r="9600" customFormat="false" ht="15.75" hidden="false" customHeight="false" outlineLevel="0" collapsed="false">
      <c r="A9600" s="6" t="n">
        <v>46158</v>
      </c>
      <c r="B9600" s="4" t="s">
        <v>13</v>
      </c>
      <c r="C9600" s="4" t="n">
        <v>1</v>
      </c>
      <c r="D9600" s="4" t="n">
        <v>15</v>
      </c>
      <c r="E9600" s="4" t="s">
        <v>6284</v>
      </c>
      <c r="F9600" s="4" t="n">
        <v>17</v>
      </c>
      <c r="G9600" s="4" t="n">
        <v>6</v>
      </c>
      <c r="H9600" s="4" t="n">
        <v>4</v>
      </c>
      <c r="I9600" s="4" t="str">
        <v>×</v>
      </c>
      <c r="J9600" s="4"/>
      <c r="K9600" s="4"/>
      <c r="L9600" s="4"/>
      <c r="M9600" s="5" t="s">
        <v>6166</v>
      </c>
    </row>
    <row r="9601" customFormat="false" ht="15.75" hidden="false" customHeight="false" outlineLevel="0" collapsed="false">
      <c r="A9601" s="6" t="n">
        <v>46158</v>
      </c>
      <c r="B9601" s="4" t="s">
        <v>13</v>
      </c>
      <c r="C9601" s="4" t="n">
        <v>2</v>
      </c>
      <c r="D9601" s="4" t="n">
        <v>1</v>
      </c>
      <c r="E9601" s="4" t="s">
        <v>6285</v>
      </c>
      <c r="F9601" s="4" t="n">
        <v>4</v>
      </c>
      <c r="G9601" s="4" t="n">
        <v>9</v>
      </c>
      <c r="H9601" s="4" t="n">
        <v>4</v>
      </c>
      <c r="I9601" s="4" t="str">
        <v>×</v>
      </c>
      <c r="J9601" s="4"/>
      <c r="K9601" s="4"/>
      <c r="L9601" s="4"/>
      <c r="M9601" s="5" t="s">
        <v>6166</v>
      </c>
    </row>
    <row r="9602" customFormat="false" ht="15.75" hidden="false" customHeight="false" outlineLevel="0" collapsed="false">
      <c r="A9602" s="6" t="n">
        <v>46158</v>
      </c>
      <c r="B9602" s="4" t="s">
        <v>13</v>
      </c>
      <c r="C9602" s="4" t="n">
        <v>2</v>
      </c>
      <c r="D9602" s="4" t="n">
        <v>2</v>
      </c>
      <c r="E9602" s="4" t="s">
        <v>1124</v>
      </c>
      <c r="F9602" s="4" t="n">
        <v>3</v>
      </c>
      <c r="G9602" s="4" t="n">
        <v>10</v>
      </c>
      <c r="H9602" s="4" t="n">
        <v>4</v>
      </c>
      <c r="I9602" s="4" t="str">
        <v>×</v>
      </c>
      <c r="J9602" s="4"/>
      <c r="K9602" s="4"/>
      <c r="L9602" s="4"/>
      <c r="M9602" s="5" t="s">
        <v>6166</v>
      </c>
    </row>
    <row r="9603" customFormat="false" ht="15.75" hidden="false" customHeight="false" outlineLevel="0" collapsed="false">
      <c r="A9603" s="6" t="n">
        <v>46158</v>
      </c>
      <c r="B9603" s="4" t="s">
        <v>13</v>
      </c>
      <c r="C9603" s="4" t="n">
        <v>2</v>
      </c>
      <c r="D9603" s="4" t="n">
        <v>3</v>
      </c>
      <c r="E9603" s="4" t="s">
        <v>3781</v>
      </c>
      <c r="F9603" s="4" t="n">
        <v>29</v>
      </c>
      <c r="G9603" s="4" t="n">
        <v>3</v>
      </c>
      <c r="H9603" s="4" t="n">
        <v>3</v>
      </c>
      <c r="I9603" s="4" t="str">
        <v>○</v>
      </c>
      <c r="J9603" s="4" t="n">
        <v>160</v>
      </c>
      <c r="K9603" s="4"/>
      <c r="L9603" s="4"/>
      <c r="M9603" s="5" t="s">
        <v>6166</v>
      </c>
    </row>
    <row r="9604" customFormat="false" ht="15.75" hidden="false" customHeight="false" outlineLevel="0" collapsed="false">
      <c r="A9604" s="6" t="n">
        <v>46158</v>
      </c>
      <c r="B9604" s="4" t="s">
        <v>13</v>
      </c>
      <c r="C9604" s="4" t="n">
        <v>2</v>
      </c>
      <c r="D9604" s="4" t="n">
        <v>4</v>
      </c>
      <c r="E9604" s="4" t="s">
        <v>6286</v>
      </c>
      <c r="F9604" s="4" t="n">
        <v>20</v>
      </c>
      <c r="G9604" s="4" t="n">
        <v>5</v>
      </c>
      <c r="H9604" s="4" t="n">
        <v>4</v>
      </c>
      <c r="I9604" s="4" t="str">
        <v>×</v>
      </c>
      <c r="J9604" s="4"/>
      <c r="K9604" s="4"/>
      <c r="L9604" s="4"/>
      <c r="M9604" s="5" t="s">
        <v>6166</v>
      </c>
    </row>
    <row r="9605" customFormat="false" ht="15.75" hidden="false" customHeight="false" outlineLevel="0" collapsed="false">
      <c r="A9605" s="6" t="n">
        <v>46158</v>
      </c>
      <c r="B9605" s="4" t="s">
        <v>13</v>
      </c>
      <c r="C9605" s="4" t="n">
        <v>2</v>
      </c>
      <c r="D9605" s="4" t="n">
        <v>5</v>
      </c>
      <c r="E9605" s="4" t="s">
        <v>2438</v>
      </c>
      <c r="F9605" s="4" t="n">
        <v>4</v>
      </c>
      <c r="G9605" s="4" t="n">
        <v>9</v>
      </c>
      <c r="H9605" s="4" t="n">
        <v>4</v>
      </c>
      <c r="I9605" s="4" t="str">
        <v>×</v>
      </c>
      <c r="J9605" s="4"/>
      <c r="K9605" s="4"/>
      <c r="L9605" s="4"/>
      <c r="M9605" s="5" t="s">
        <v>6166</v>
      </c>
    </row>
    <row r="9606" customFormat="false" ht="15.75" hidden="false" customHeight="false" outlineLevel="0" collapsed="false">
      <c r="A9606" s="6" t="n">
        <v>46158</v>
      </c>
      <c r="B9606" s="4" t="s">
        <v>13</v>
      </c>
      <c r="C9606" s="4" t="n">
        <v>2</v>
      </c>
      <c r="D9606" s="4" t="n">
        <v>6</v>
      </c>
      <c r="E9606" s="4" t="s">
        <v>3250</v>
      </c>
      <c r="F9606" s="4" t="n">
        <v>15</v>
      </c>
      <c r="G9606" s="4" t="n">
        <v>6</v>
      </c>
      <c r="H9606" s="4" t="n">
        <v>4</v>
      </c>
      <c r="I9606" s="4" t="str">
        <v>×</v>
      </c>
      <c r="J9606" s="4"/>
      <c r="K9606" s="4"/>
      <c r="L9606" s="4"/>
      <c r="M9606" s="5" t="s">
        <v>6166</v>
      </c>
    </row>
    <row r="9607" customFormat="false" ht="15.75" hidden="false" customHeight="false" outlineLevel="0" collapsed="false">
      <c r="A9607" s="6" t="n">
        <v>46158</v>
      </c>
      <c r="B9607" s="4" t="s">
        <v>13</v>
      </c>
      <c r="C9607" s="4" t="n">
        <v>2</v>
      </c>
      <c r="D9607" s="4" t="n">
        <v>7</v>
      </c>
      <c r="E9607" s="4" t="s">
        <v>4716</v>
      </c>
      <c r="F9607" s="4" t="n">
        <v>4</v>
      </c>
      <c r="G9607" s="4" t="n">
        <v>9</v>
      </c>
      <c r="H9607" s="4" t="n">
        <v>4</v>
      </c>
      <c r="I9607" s="4" t="str">
        <v>×</v>
      </c>
      <c r="J9607" s="4"/>
      <c r="K9607" s="4"/>
      <c r="L9607" s="4"/>
      <c r="M9607" s="5" t="s">
        <v>6166</v>
      </c>
    </row>
    <row r="9608" customFormat="false" ht="15.75" hidden="false" customHeight="false" outlineLevel="0" collapsed="false">
      <c r="A9608" s="6" t="n">
        <v>46158</v>
      </c>
      <c r="B9608" s="4" t="s">
        <v>13</v>
      </c>
      <c r="C9608" s="4" t="n">
        <v>2</v>
      </c>
      <c r="D9608" s="4" t="n">
        <v>8</v>
      </c>
      <c r="E9608" s="4" t="s">
        <v>3815</v>
      </c>
      <c r="F9608" s="4" t="n">
        <v>3</v>
      </c>
      <c r="G9608" s="4" t="n">
        <v>10</v>
      </c>
      <c r="H9608" s="4" t="n">
        <v>4</v>
      </c>
      <c r="I9608" s="4" t="str">
        <v>×</v>
      </c>
      <c r="J9608" s="4"/>
      <c r="K9608" s="4"/>
      <c r="L9608" s="4"/>
      <c r="M9608" s="5" t="s">
        <v>6166</v>
      </c>
    </row>
    <row r="9609" customFormat="false" ht="15.75" hidden="false" customHeight="false" outlineLevel="0" collapsed="false">
      <c r="A9609" s="6" t="n">
        <v>46158</v>
      </c>
      <c r="B9609" s="4" t="s">
        <v>13</v>
      </c>
      <c r="C9609" s="4" t="n">
        <v>2</v>
      </c>
      <c r="D9609" s="4" t="n">
        <v>9</v>
      </c>
      <c r="E9609" s="4" t="s">
        <v>4712</v>
      </c>
      <c r="F9609" s="4" t="n">
        <v>13</v>
      </c>
      <c r="G9609" s="4" t="n">
        <v>7</v>
      </c>
      <c r="H9609" s="4" t="n">
        <v>4</v>
      </c>
      <c r="I9609" s="4" t="str">
        <v>×</v>
      </c>
      <c r="J9609" s="4"/>
      <c r="K9609" s="4"/>
      <c r="L9609" s="4"/>
      <c r="M9609" s="5" t="s">
        <v>6166</v>
      </c>
    </row>
    <row r="9610" customFormat="false" ht="15.75" hidden="false" customHeight="false" outlineLevel="0" collapsed="false">
      <c r="A9610" s="6" t="n">
        <v>46158</v>
      </c>
      <c r="B9610" s="4" t="s">
        <v>13</v>
      </c>
      <c r="C9610" s="4" t="n">
        <v>2</v>
      </c>
      <c r="D9610" s="4" t="n">
        <v>10</v>
      </c>
      <c r="E9610" s="4" t="s">
        <v>6287</v>
      </c>
      <c r="F9610" s="4" t="n">
        <v>2</v>
      </c>
      <c r="G9610" s="4" t="n">
        <v>11</v>
      </c>
      <c r="H9610" s="4" t="n">
        <v>4</v>
      </c>
      <c r="I9610" s="4" t="str">
        <v>×</v>
      </c>
      <c r="J9610" s="4"/>
      <c r="K9610" s="4"/>
      <c r="L9610" s="4"/>
      <c r="M9610" s="5" t="s">
        <v>6166</v>
      </c>
    </row>
    <row r="9611" customFormat="false" ht="15.75" hidden="false" customHeight="false" outlineLevel="0" collapsed="false">
      <c r="A9611" s="6" t="n">
        <v>46158</v>
      </c>
      <c r="B9611" s="4" t="s">
        <v>13</v>
      </c>
      <c r="C9611" s="4" t="n">
        <v>2</v>
      </c>
      <c r="D9611" s="4" t="n">
        <v>11</v>
      </c>
      <c r="E9611" s="4" t="s">
        <v>497</v>
      </c>
      <c r="F9611" s="4" t="n">
        <v>4</v>
      </c>
      <c r="G9611" s="4" t="n">
        <v>9</v>
      </c>
      <c r="H9611" s="4" t="n">
        <v>4</v>
      </c>
      <c r="I9611" s="4" t="str">
        <v>×</v>
      </c>
      <c r="J9611" s="4"/>
      <c r="K9611" s="4"/>
      <c r="L9611" s="4"/>
      <c r="M9611" s="5" t="s">
        <v>6166</v>
      </c>
    </row>
    <row r="9612" customFormat="false" ht="15.75" hidden="false" customHeight="false" outlineLevel="0" collapsed="false">
      <c r="A9612" s="6" t="n">
        <v>46158</v>
      </c>
      <c r="B9612" s="4" t="s">
        <v>13</v>
      </c>
      <c r="C9612" s="4" t="n">
        <v>2</v>
      </c>
      <c r="D9612" s="4" t="n">
        <v>12</v>
      </c>
      <c r="E9612" s="4" t="s">
        <v>3920</v>
      </c>
      <c r="F9612" s="4" t="n">
        <v>62</v>
      </c>
      <c r="G9612" s="4" t="n">
        <v>2</v>
      </c>
      <c r="H9612" s="4" t="n">
        <v>2</v>
      </c>
      <c r="I9612" s="4" t="str">
        <v>○</v>
      </c>
      <c r="J9612" s="4" t="n">
        <v>110</v>
      </c>
      <c r="K9612" s="4"/>
      <c r="L9612" s="4"/>
      <c r="M9612" s="5" t="s">
        <v>6166</v>
      </c>
    </row>
    <row r="9613" customFormat="false" ht="15.75" hidden="false" customHeight="false" outlineLevel="0" collapsed="false">
      <c r="A9613" s="6" t="n">
        <v>46158</v>
      </c>
      <c r="B9613" s="4" t="s">
        <v>13</v>
      </c>
      <c r="C9613" s="4" t="n">
        <v>2</v>
      </c>
      <c r="D9613" s="4" t="n">
        <v>13</v>
      </c>
      <c r="E9613" s="4" t="s">
        <v>6288</v>
      </c>
      <c r="F9613" s="4" t="n">
        <v>25</v>
      </c>
      <c r="G9613" s="4" t="n">
        <v>4</v>
      </c>
      <c r="H9613" s="4" t="n">
        <v>4</v>
      </c>
      <c r="I9613" s="4" t="str">
        <v>×</v>
      </c>
      <c r="J9613" s="4"/>
      <c r="K9613" s="4"/>
      <c r="L9613" s="4"/>
      <c r="M9613" s="5" t="s">
        <v>6166</v>
      </c>
    </row>
    <row r="9614" customFormat="false" ht="15.75" hidden="false" customHeight="false" outlineLevel="0" collapsed="false">
      <c r="A9614" s="6" t="n">
        <v>46158</v>
      </c>
      <c r="B9614" s="4" t="s">
        <v>13</v>
      </c>
      <c r="C9614" s="4" t="n">
        <v>2</v>
      </c>
      <c r="D9614" s="4" t="n">
        <v>14</v>
      </c>
      <c r="E9614" s="4" t="s">
        <v>4725</v>
      </c>
      <c r="F9614" s="4" t="n">
        <v>81</v>
      </c>
      <c r="G9614" s="4" t="n">
        <v>1</v>
      </c>
      <c r="H9614" s="4" t="n">
        <v>1</v>
      </c>
      <c r="I9614" s="4" t="str">
        <v>○</v>
      </c>
      <c r="J9614" s="4" t="n">
        <v>110</v>
      </c>
      <c r="K9614" s="4"/>
      <c r="L9614" s="4"/>
      <c r="M9614" s="5" t="s">
        <v>6166</v>
      </c>
    </row>
    <row r="9615" customFormat="false" ht="15.75" hidden="false" customHeight="false" outlineLevel="0" collapsed="false">
      <c r="A9615" s="6" t="n">
        <v>46158</v>
      </c>
      <c r="B9615" s="4" t="s">
        <v>13</v>
      </c>
      <c r="C9615" s="4" t="n">
        <v>2</v>
      </c>
      <c r="D9615" s="4" t="n">
        <v>15</v>
      </c>
      <c r="E9615" s="4" t="s">
        <v>5348</v>
      </c>
      <c r="F9615" s="4" t="n">
        <v>10</v>
      </c>
      <c r="G9615" s="4" t="n">
        <v>8</v>
      </c>
      <c r="H9615" s="4" t="n">
        <v>4</v>
      </c>
      <c r="I9615" s="4" t="str">
        <v>×</v>
      </c>
      <c r="J9615" s="4"/>
      <c r="K9615" s="4"/>
      <c r="L9615" s="4"/>
      <c r="M9615" s="5" t="s">
        <v>6166</v>
      </c>
    </row>
    <row r="9616" customFormat="false" ht="15.75" hidden="false" customHeight="false" outlineLevel="0" collapsed="false">
      <c r="A9616" s="6" t="n">
        <v>46158</v>
      </c>
      <c r="B9616" s="4" t="s">
        <v>13</v>
      </c>
      <c r="C9616" s="4" t="n">
        <v>3</v>
      </c>
      <c r="D9616" s="4" t="n">
        <v>1</v>
      </c>
      <c r="E9616" s="4" t="s">
        <v>1410</v>
      </c>
      <c r="F9616" s="4" t="n">
        <v>50</v>
      </c>
      <c r="G9616" s="4" t="n">
        <v>2</v>
      </c>
      <c r="H9616" s="4" t="n">
        <v>4</v>
      </c>
      <c r="I9616" s="4" t="str">
        <v>×</v>
      </c>
      <c r="J9616" s="4"/>
      <c r="K9616" s="4"/>
      <c r="L9616" s="4"/>
      <c r="M9616" s="5" t="s">
        <v>6166</v>
      </c>
    </row>
    <row r="9617" customFormat="false" ht="15.75" hidden="false" customHeight="false" outlineLevel="0" collapsed="false">
      <c r="A9617" s="6" t="n">
        <v>46158</v>
      </c>
      <c r="B9617" s="4" t="s">
        <v>13</v>
      </c>
      <c r="C9617" s="4" t="n">
        <v>3</v>
      </c>
      <c r="D9617" s="4" t="n">
        <v>2</v>
      </c>
      <c r="E9617" s="4" t="s">
        <v>6289</v>
      </c>
      <c r="F9617" s="4" t="n">
        <v>3</v>
      </c>
      <c r="G9617" s="4" t="n">
        <v>10</v>
      </c>
      <c r="H9617" s="4" t="n">
        <v>4</v>
      </c>
      <c r="I9617" s="4" t="str">
        <v>×</v>
      </c>
      <c r="J9617" s="4"/>
      <c r="K9617" s="4"/>
      <c r="L9617" s="4"/>
      <c r="M9617" s="5" t="s">
        <v>6166</v>
      </c>
    </row>
    <row r="9618" customFormat="false" ht="15.75" hidden="false" customHeight="false" outlineLevel="0" collapsed="false">
      <c r="A9618" s="6" t="n">
        <v>46158</v>
      </c>
      <c r="B9618" s="4" t="s">
        <v>13</v>
      </c>
      <c r="C9618" s="4" t="n">
        <v>3</v>
      </c>
      <c r="D9618" s="4" t="n">
        <v>3</v>
      </c>
      <c r="E9618" s="4" t="s">
        <v>4121</v>
      </c>
      <c r="F9618" s="4" t="n">
        <v>23</v>
      </c>
      <c r="G9618" s="4" t="n">
        <v>5</v>
      </c>
      <c r="H9618" s="4" t="n">
        <v>4</v>
      </c>
      <c r="I9618" s="4" t="str">
        <v>×</v>
      </c>
      <c r="J9618" s="4"/>
      <c r="K9618" s="4"/>
      <c r="L9618" s="4"/>
      <c r="M9618" s="5" t="s">
        <v>6166</v>
      </c>
    </row>
    <row r="9619" customFormat="false" ht="15.75" hidden="false" customHeight="false" outlineLevel="0" collapsed="false">
      <c r="A9619" s="6" t="n">
        <v>46158</v>
      </c>
      <c r="B9619" s="4" t="s">
        <v>13</v>
      </c>
      <c r="C9619" s="4" t="n">
        <v>3</v>
      </c>
      <c r="D9619" s="4" t="n">
        <v>4</v>
      </c>
      <c r="E9619" s="4" t="s">
        <v>2747</v>
      </c>
      <c r="F9619" s="4" t="n">
        <v>17</v>
      </c>
      <c r="G9619" s="4" t="n">
        <v>6</v>
      </c>
      <c r="H9619" s="4" t="n">
        <v>4</v>
      </c>
      <c r="I9619" s="4" t="str">
        <v>×</v>
      </c>
      <c r="J9619" s="4"/>
      <c r="K9619" s="4"/>
      <c r="L9619" s="4"/>
      <c r="M9619" s="5" t="s">
        <v>6166</v>
      </c>
    </row>
    <row r="9620" customFormat="false" ht="15.75" hidden="false" customHeight="false" outlineLevel="0" collapsed="false">
      <c r="A9620" s="6" t="n">
        <v>46158</v>
      </c>
      <c r="B9620" s="4" t="s">
        <v>13</v>
      </c>
      <c r="C9620" s="4" t="n">
        <v>3</v>
      </c>
      <c r="D9620" s="4" t="n">
        <v>5</v>
      </c>
      <c r="E9620" s="4" t="s">
        <v>322</v>
      </c>
      <c r="F9620" s="4" t="n">
        <v>15</v>
      </c>
      <c r="G9620" s="4" t="n">
        <v>7</v>
      </c>
      <c r="H9620" s="4" t="n">
        <v>4</v>
      </c>
      <c r="I9620" s="4" t="str">
        <v>×</v>
      </c>
      <c r="J9620" s="4"/>
      <c r="K9620" s="4"/>
      <c r="L9620" s="4"/>
      <c r="M9620" s="5" t="s">
        <v>6166</v>
      </c>
    </row>
    <row r="9621" customFormat="false" ht="15.75" hidden="false" customHeight="false" outlineLevel="0" collapsed="false">
      <c r="A9621" s="6" t="n">
        <v>46158</v>
      </c>
      <c r="B9621" s="4" t="s">
        <v>13</v>
      </c>
      <c r="C9621" s="4" t="n">
        <v>3</v>
      </c>
      <c r="D9621" s="4" t="n">
        <v>6</v>
      </c>
      <c r="E9621" s="4" t="s">
        <v>6290</v>
      </c>
      <c r="F9621" s="4" t="n">
        <v>3</v>
      </c>
      <c r="G9621" s="4" t="n">
        <v>10</v>
      </c>
      <c r="H9621" s="4" t="n">
        <v>4</v>
      </c>
      <c r="I9621" s="4" t="str">
        <v>×</v>
      </c>
      <c r="J9621" s="4"/>
      <c r="K9621" s="4"/>
      <c r="L9621" s="4"/>
      <c r="M9621" s="5" t="s">
        <v>6166</v>
      </c>
    </row>
    <row r="9622" customFormat="false" ht="15.75" hidden="false" customHeight="false" outlineLevel="0" collapsed="false">
      <c r="A9622" s="6" t="n">
        <v>46158</v>
      </c>
      <c r="B9622" s="4" t="s">
        <v>13</v>
      </c>
      <c r="C9622" s="4" t="n">
        <v>3</v>
      </c>
      <c r="D9622" s="4" t="n">
        <v>7</v>
      </c>
      <c r="E9622" s="4" t="s">
        <v>6291</v>
      </c>
      <c r="F9622" s="4" t="n">
        <v>8</v>
      </c>
      <c r="G9622" s="4" t="n">
        <v>9</v>
      </c>
      <c r="H9622" s="4" t="n">
        <v>4</v>
      </c>
      <c r="I9622" s="4" t="str">
        <v>×</v>
      </c>
      <c r="J9622" s="4"/>
      <c r="K9622" s="4"/>
      <c r="L9622" s="4"/>
      <c r="M9622" s="5" t="s">
        <v>6166</v>
      </c>
    </row>
    <row r="9623" customFormat="false" ht="15.75" hidden="false" customHeight="false" outlineLevel="0" collapsed="false">
      <c r="A9623" s="6" t="n">
        <v>46158</v>
      </c>
      <c r="B9623" s="4" t="s">
        <v>13</v>
      </c>
      <c r="C9623" s="4" t="n">
        <v>3</v>
      </c>
      <c r="D9623" s="4" t="n">
        <v>8</v>
      </c>
      <c r="E9623" s="4" t="s">
        <v>3912</v>
      </c>
      <c r="F9623" s="4" t="n">
        <v>52</v>
      </c>
      <c r="G9623" s="4" t="n">
        <v>1</v>
      </c>
      <c r="H9623" s="4" t="n">
        <v>4</v>
      </c>
      <c r="I9623" s="4" t="str">
        <v>×</v>
      </c>
      <c r="J9623" s="4"/>
      <c r="K9623" s="4"/>
      <c r="L9623" s="4"/>
      <c r="M9623" s="5" t="s">
        <v>6166</v>
      </c>
    </row>
    <row r="9624" customFormat="false" ht="15.75" hidden="false" customHeight="false" outlineLevel="0" collapsed="false">
      <c r="A9624" s="6" t="n">
        <v>46158</v>
      </c>
      <c r="B9624" s="4" t="s">
        <v>13</v>
      </c>
      <c r="C9624" s="4" t="n">
        <v>3</v>
      </c>
      <c r="D9624" s="4" t="n">
        <v>9</v>
      </c>
      <c r="E9624" s="4" t="s">
        <v>4702</v>
      </c>
      <c r="F9624" s="4" t="n">
        <v>34</v>
      </c>
      <c r="G9624" s="4" t="n">
        <v>4</v>
      </c>
      <c r="H9624" s="4" t="n">
        <v>2</v>
      </c>
      <c r="I9624" s="4" t="str">
        <v>○</v>
      </c>
      <c r="J9624" s="4" t="n">
        <v>130</v>
      </c>
      <c r="K9624" s="4"/>
      <c r="L9624" s="4"/>
      <c r="M9624" s="5" t="s">
        <v>6166</v>
      </c>
    </row>
    <row r="9625" customFormat="false" ht="15.75" hidden="false" customHeight="false" outlineLevel="0" collapsed="false">
      <c r="A9625" s="6" t="n">
        <v>46158</v>
      </c>
      <c r="B9625" s="4" t="s">
        <v>13</v>
      </c>
      <c r="C9625" s="4" t="n">
        <v>3</v>
      </c>
      <c r="D9625" s="4" t="n">
        <v>10</v>
      </c>
      <c r="E9625" s="4" t="s">
        <v>4119</v>
      </c>
      <c r="F9625" s="4" t="n">
        <v>2</v>
      </c>
      <c r="G9625" s="4" t="n">
        <v>11</v>
      </c>
      <c r="H9625" s="4" t="n">
        <v>4</v>
      </c>
      <c r="I9625" s="4" t="str">
        <v>×</v>
      </c>
      <c r="J9625" s="4"/>
      <c r="K9625" s="4"/>
      <c r="L9625" s="4"/>
      <c r="M9625" s="5" t="s">
        <v>6166</v>
      </c>
    </row>
    <row r="9626" customFormat="false" ht="15.75" hidden="false" customHeight="false" outlineLevel="0" collapsed="false">
      <c r="A9626" s="6" t="n">
        <v>46158</v>
      </c>
      <c r="B9626" s="4" t="s">
        <v>13</v>
      </c>
      <c r="C9626" s="4" t="n">
        <v>3</v>
      </c>
      <c r="D9626" s="4" t="n">
        <v>11</v>
      </c>
      <c r="E9626" s="4" t="s">
        <v>2611</v>
      </c>
      <c r="F9626" s="4" t="n">
        <v>15</v>
      </c>
      <c r="G9626" s="4" t="n">
        <v>7</v>
      </c>
      <c r="H9626" s="4" t="n">
        <v>3</v>
      </c>
      <c r="I9626" s="4" t="str">
        <v>○</v>
      </c>
      <c r="J9626" s="4" t="n">
        <v>180</v>
      </c>
      <c r="K9626" s="4"/>
      <c r="L9626" s="4"/>
      <c r="M9626" s="5" t="s">
        <v>6166</v>
      </c>
    </row>
    <row r="9627" customFormat="false" ht="15.75" hidden="false" customHeight="false" outlineLevel="0" collapsed="false">
      <c r="A9627" s="6" t="n">
        <v>46158</v>
      </c>
      <c r="B9627" s="4" t="s">
        <v>13</v>
      </c>
      <c r="C9627" s="4" t="n">
        <v>3</v>
      </c>
      <c r="D9627" s="4" t="n">
        <v>12</v>
      </c>
      <c r="E9627" s="4" t="s">
        <v>232</v>
      </c>
      <c r="F9627" s="4" t="n">
        <v>23</v>
      </c>
      <c r="G9627" s="4" t="n">
        <v>5</v>
      </c>
      <c r="H9627" s="4" t="n">
        <v>4</v>
      </c>
      <c r="I9627" s="4" t="str">
        <v>×</v>
      </c>
      <c r="J9627" s="4"/>
      <c r="K9627" s="4"/>
      <c r="L9627" s="4"/>
      <c r="M9627" s="5" t="s">
        <v>6166</v>
      </c>
    </row>
    <row r="9628" customFormat="false" ht="15.75" hidden="false" customHeight="false" outlineLevel="0" collapsed="false">
      <c r="A9628" s="6" t="n">
        <v>46158</v>
      </c>
      <c r="B9628" s="4" t="s">
        <v>13</v>
      </c>
      <c r="C9628" s="4" t="n">
        <v>3</v>
      </c>
      <c r="D9628" s="4" t="n">
        <v>13</v>
      </c>
      <c r="E9628" s="4" t="s">
        <v>6292</v>
      </c>
      <c r="F9628" s="4" t="n">
        <v>3</v>
      </c>
      <c r="G9628" s="4" t="n">
        <v>10</v>
      </c>
      <c r="H9628" s="4" t="n">
        <v>4</v>
      </c>
      <c r="I9628" s="4" t="str">
        <v>×</v>
      </c>
      <c r="J9628" s="4"/>
      <c r="K9628" s="4"/>
      <c r="L9628" s="4"/>
      <c r="M9628" s="5" t="s">
        <v>6166</v>
      </c>
    </row>
    <row r="9629" customFormat="false" ht="15.75" hidden="false" customHeight="false" outlineLevel="0" collapsed="false">
      <c r="A9629" s="6" t="n">
        <v>46158</v>
      </c>
      <c r="B9629" s="4" t="s">
        <v>13</v>
      </c>
      <c r="C9629" s="4" t="n">
        <v>3</v>
      </c>
      <c r="D9629" s="4" t="n">
        <v>14</v>
      </c>
      <c r="E9629" s="4" t="s">
        <v>6293</v>
      </c>
      <c r="F9629" s="4" t="n">
        <v>41</v>
      </c>
      <c r="G9629" s="4" t="n">
        <v>3</v>
      </c>
      <c r="H9629" s="4" t="n">
        <v>1</v>
      </c>
      <c r="I9629" s="4" t="str">
        <v>○</v>
      </c>
      <c r="J9629" s="4" t="n">
        <v>160</v>
      </c>
      <c r="K9629" s="4"/>
      <c r="L9629" s="4"/>
      <c r="M9629" s="5" t="s">
        <v>6166</v>
      </c>
    </row>
    <row r="9630" customFormat="false" ht="15.75" hidden="false" customHeight="false" outlineLevel="0" collapsed="false">
      <c r="A9630" s="6" t="n">
        <v>46158</v>
      </c>
      <c r="B9630" s="4" t="s">
        <v>13</v>
      </c>
      <c r="C9630" s="4" t="n">
        <v>3</v>
      </c>
      <c r="D9630" s="4" t="n">
        <v>15</v>
      </c>
      <c r="E9630" s="4" t="s">
        <v>1168</v>
      </c>
      <c r="F9630" s="4" t="n">
        <v>10</v>
      </c>
      <c r="G9630" s="4" t="n">
        <v>8</v>
      </c>
      <c r="H9630" s="4" t="n">
        <v>4</v>
      </c>
      <c r="I9630" s="4" t="str">
        <v>×</v>
      </c>
      <c r="J9630" s="4"/>
      <c r="K9630" s="4"/>
      <c r="L9630" s="4"/>
      <c r="M9630" s="5" t="s">
        <v>6166</v>
      </c>
    </row>
    <row r="9631" customFormat="false" ht="15.75" hidden="false" customHeight="false" outlineLevel="0" collapsed="false">
      <c r="A9631" s="6" t="n">
        <v>46158</v>
      </c>
      <c r="B9631" s="4" t="s">
        <v>13</v>
      </c>
      <c r="C9631" s="4" t="n">
        <v>3</v>
      </c>
      <c r="D9631" s="4" t="n">
        <v>16</v>
      </c>
      <c r="E9631" s="4" t="s">
        <v>1307</v>
      </c>
      <c r="F9631" s="4" t="n">
        <v>23</v>
      </c>
      <c r="G9631" s="4" t="n">
        <v>5</v>
      </c>
      <c r="H9631" s="4" t="n">
        <v>4</v>
      </c>
      <c r="I9631" s="4" t="str">
        <v>×</v>
      </c>
      <c r="J9631" s="4"/>
      <c r="K9631" s="4"/>
      <c r="L9631" s="4"/>
      <c r="M9631" s="5" t="s">
        <v>6166</v>
      </c>
    </row>
    <row r="9632" customFormat="false" ht="15.75" hidden="false" customHeight="false" outlineLevel="0" collapsed="false">
      <c r="A9632" s="6" t="n">
        <v>46158</v>
      </c>
      <c r="B9632" s="4" t="s">
        <v>13</v>
      </c>
      <c r="C9632" s="4" t="n">
        <v>4</v>
      </c>
      <c r="D9632" s="4" t="n">
        <v>1</v>
      </c>
      <c r="E9632" s="4" t="s">
        <v>6294</v>
      </c>
      <c r="F9632" s="4" t="n">
        <v>4</v>
      </c>
      <c r="G9632" s="4" t="n">
        <v>9</v>
      </c>
      <c r="H9632" s="4" t="n">
        <v>4</v>
      </c>
      <c r="I9632" s="4" t="str">
        <v>×</v>
      </c>
      <c r="J9632" s="4"/>
      <c r="K9632" s="4"/>
      <c r="L9632" s="4"/>
      <c r="M9632" s="5" t="s">
        <v>6166</v>
      </c>
    </row>
    <row r="9633" customFormat="false" ht="15.75" hidden="false" customHeight="false" outlineLevel="0" collapsed="false">
      <c r="A9633" s="6" t="n">
        <v>46158</v>
      </c>
      <c r="B9633" s="4" t="s">
        <v>13</v>
      </c>
      <c r="C9633" s="4" t="n">
        <v>4</v>
      </c>
      <c r="D9633" s="4" t="n">
        <v>2</v>
      </c>
      <c r="E9633" s="4" t="s">
        <v>6295</v>
      </c>
      <c r="F9633" s="4" t="n">
        <v>8</v>
      </c>
      <c r="G9633" s="4" t="n">
        <v>7</v>
      </c>
      <c r="H9633" s="4" t="n">
        <v>4</v>
      </c>
      <c r="I9633" s="4" t="str">
        <v>×</v>
      </c>
      <c r="J9633" s="4"/>
      <c r="K9633" s="4"/>
      <c r="L9633" s="4"/>
      <c r="M9633" s="5" t="s">
        <v>6166</v>
      </c>
    </row>
    <row r="9634" customFormat="false" ht="15.75" hidden="false" customHeight="false" outlineLevel="0" collapsed="false">
      <c r="A9634" s="6" t="n">
        <v>46158</v>
      </c>
      <c r="B9634" s="4" t="s">
        <v>13</v>
      </c>
      <c r="C9634" s="4" t="n">
        <v>4</v>
      </c>
      <c r="D9634" s="4" t="n">
        <v>3</v>
      </c>
      <c r="E9634" s="4" t="s">
        <v>3789</v>
      </c>
      <c r="F9634" s="4" t="n">
        <v>6</v>
      </c>
      <c r="G9634" s="4" t="n">
        <v>8</v>
      </c>
      <c r="H9634" s="4" t="n">
        <v>4</v>
      </c>
      <c r="I9634" s="4" t="str">
        <v>×</v>
      </c>
      <c r="J9634" s="4"/>
      <c r="K9634" s="4"/>
      <c r="L9634" s="4"/>
      <c r="M9634" s="5" t="s">
        <v>6166</v>
      </c>
    </row>
    <row r="9635" customFormat="false" ht="15.75" hidden="false" customHeight="false" outlineLevel="0" collapsed="false">
      <c r="A9635" s="6" t="n">
        <v>46158</v>
      </c>
      <c r="B9635" s="4" t="s">
        <v>13</v>
      </c>
      <c r="C9635" s="4" t="n">
        <v>4</v>
      </c>
      <c r="D9635" s="4" t="n">
        <v>4</v>
      </c>
      <c r="E9635" s="4" t="s">
        <v>6296</v>
      </c>
      <c r="F9635" s="4" t="n">
        <v>56</v>
      </c>
      <c r="G9635" s="4" t="n">
        <v>3</v>
      </c>
      <c r="H9635" s="4" t="n">
        <v>4</v>
      </c>
      <c r="I9635" s="4" t="str">
        <v>×</v>
      </c>
      <c r="J9635" s="4"/>
      <c r="K9635" s="4"/>
      <c r="L9635" s="4"/>
      <c r="M9635" s="5" t="s">
        <v>6166</v>
      </c>
    </row>
    <row r="9636" customFormat="false" ht="15.75" hidden="false" customHeight="false" outlineLevel="0" collapsed="false">
      <c r="A9636" s="6" t="n">
        <v>46158</v>
      </c>
      <c r="B9636" s="4" t="s">
        <v>13</v>
      </c>
      <c r="C9636" s="4" t="n">
        <v>4</v>
      </c>
      <c r="D9636" s="4" t="n">
        <v>5</v>
      </c>
      <c r="E9636" s="4" t="s">
        <v>6297</v>
      </c>
      <c r="F9636" s="4" t="n">
        <v>4</v>
      </c>
      <c r="G9636" s="4" t="n">
        <v>9</v>
      </c>
      <c r="H9636" s="4" t="n">
        <v>4</v>
      </c>
      <c r="I9636" s="4" t="str">
        <v>×</v>
      </c>
      <c r="J9636" s="4"/>
      <c r="K9636" s="4"/>
      <c r="L9636" s="4"/>
      <c r="M9636" s="5" t="s">
        <v>6166</v>
      </c>
    </row>
    <row r="9637" customFormat="false" ht="15.75" hidden="false" customHeight="false" outlineLevel="0" collapsed="false">
      <c r="A9637" s="6" t="n">
        <v>46158</v>
      </c>
      <c r="B9637" s="4" t="s">
        <v>13</v>
      </c>
      <c r="C9637" s="4" t="n">
        <v>4</v>
      </c>
      <c r="D9637" s="4" t="n">
        <v>6</v>
      </c>
      <c r="E9637" s="4" t="s">
        <v>3965</v>
      </c>
      <c r="F9637" s="4" t="n">
        <v>15</v>
      </c>
      <c r="G9637" s="4" t="n">
        <v>6</v>
      </c>
      <c r="H9637" s="4" t="n">
        <v>4</v>
      </c>
      <c r="I9637" s="4" t="str">
        <v>×</v>
      </c>
      <c r="J9637" s="4"/>
      <c r="K9637" s="4"/>
      <c r="L9637" s="4"/>
      <c r="M9637" s="5" t="s">
        <v>6166</v>
      </c>
    </row>
    <row r="9638" customFormat="false" ht="15.75" hidden="false" customHeight="false" outlineLevel="0" collapsed="false">
      <c r="A9638" s="6" t="n">
        <v>46158</v>
      </c>
      <c r="B9638" s="4" t="s">
        <v>13</v>
      </c>
      <c r="C9638" s="4" t="n">
        <v>4</v>
      </c>
      <c r="D9638" s="4" t="n">
        <v>7</v>
      </c>
      <c r="E9638" s="4" t="s">
        <v>827</v>
      </c>
      <c r="F9638" s="4" t="n">
        <v>65</v>
      </c>
      <c r="G9638" s="4" t="n">
        <v>1</v>
      </c>
      <c r="H9638" s="4" t="n">
        <v>4</v>
      </c>
      <c r="I9638" s="4" t="str">
        <v>×</v>
      </c>
      <c r="J9638" s="4"/>
      <c r="K9638" s="4"/>
      <c r="L9638" s="4"/>
      <c r="M9638" s="5" t="s">
        <v>6166</v>
      </c>
    </row>
    <row r="9639" customFormat="false" ht="15.75" hidden="false" customHeight="false" outlineLevel="0" collapsed="false">
      <c r="A9639" s="6" t="n">
        <v>46158</v>
      </c>
      <c r="B9639" s="4" t="s">
        <v>13</v>
      </c>
      <c r="C9639" s="4" t="n">
        <v>4</v>
      </c>
      <c r="D9639" s="4" t="n">
        <v>8</v>
      </c>
      <c r="E9639" s="4" t="s">
        <v>217</v>
      </c>
      <c r="F9639" s="4" t="n">
        <v>20</v>
      </c>
      <c r="G9639" s="4" t="n">
        <v>5</v>
      </c>
      <c r="H9639" s="4" t="n">
        <v>2</v>
      </c>
      <c r="I9639" s="4" t="str">
        <v>○</v>
      </c>
      <c r="J9639" s="4" t="n">
        <v>220</v>
      </c>
      <c r="K9639" s="4"/>
      <c r="L9639" s="4"/>
      <c r="M9639" s="5" t="s">
        <v>6166</v>
      </c>
    </row>
    <row r="9640" customFormat="false" ht="15.75" hidden="false" customHeight="false" outlineLevel="0" collapsed="false">
      <c r="A9640" s="6" t="n">
        <v>46158</v>
      </c>
      <c r="B9640" s="4" t="s">
        <v>13</v>
      </c>
      <c r="C9640" s="4" t="n">
        <v>4</v>
      </c>
      <c r="D9640" s="4" t="n">
        <v>9</v>
      </c>
      <c r="E9640" s="4" t="s">
        <v>6298</v>
      </c>
      <c r="F9640" s="4" t="n">
        <v>3</v>
      </c>
      <c r="G9640" s="4" t="n">
        <v>10</v>
      </c>
      <c r="H9640" s="4" t="n">
        <v>4</v>
      </c>
      <c r="I9640" s="4" t="str">
        <v>×</v>
      </c>
      <c r="J9640" s="4"/>
      <c r="K9640" s="4"/>
      <c r="L9640" s="4"/>
      <c r="M9640" s="5" t="s">
        <v>6166</v>
      </c>
    </row>
    <row r="9641" customFormat="false" ht="15.75" hidden="false" customHeight="false" outlineLevel="0" collapsed="false">
      <c r="A9641" s="6" t="n">
        <v>46158</v>
      </c>
      <c r="B9641" s="4" t="s">
        <v>13</v>
      </c>
      <c r="C9641" s="4" t="n">
        <v>4</v>
      </c>
      <c r="D9641" s="4" t="n">
        <v>10</v>
      </c>
      <c r="E9641" s="4" t="s">
        <v>2701</v>
      </c>
      <c r="F9641" s="4" t="n">
        <v>47</v>
      </c>
      <c r="G9641" s="4" t="n">
        <v>4</v>
      </c>
      <c r="H9641" s="4" t="n">
        <v>3</v>
      </c>
      <c r="I9641" s="4" t="str">
        <v>○</v>
      </c>
      <c r="J9641" s="4" t="n">
        <v>110</v>
      </c>
      <c r="K9641" s="4"/>
      <c r="L9641" s="4"/>
      <c r="M9641" s="5" t="s">
        <v>6166</v>
      </c>
    </row>
    <row r="9642" customFormat="false" ht="15.75" hidden="false" customHeight="false" outlineLevel="0" collapsed="false">
      <c r="A9642" s="6" t="n">
        <v>46158</v>
      </c>
      <c r="B9642" s="4" t="s">
        <v>13</v>
      </c>
      <c r="C9642" s="4" t="n">
        <v>4</v>
      </c>
      <c r="D9642" s="4" t="n">
        <v>11</v>
      </c>
      <c r="E9642" s="4" t="s">
        <v>6299</v>
      </c>
      <c r="F9642" s="4" t="n">
        <v>60</v>
      </c>
      <c r="G9642" s="4" t="n">
        <v>2</v>
      </c>
      <c r="H9642" s="4" t="n">
        <v>1</v>
      </c>
      <c r="I9642" s="4" t="str">
        <v>○</v>
      </c>
      <c r="J9642" s="4" t="n">
        <v>130</v>
      </c>
      <c r="K9642" s="4"/>
      <c r="L9642" s="4"/>
      <c r="M9642" s="5" t="s">
        <v>6166</v>
      </c>
    </row>
    <row r="9643" customFormat="false" ht="15.75" hidden="false" customHeight="false" outlineLevel="0" collapsed="false">
      <c r="A9643" s="6" t="n">
        <v>46158</v>
      </c>
      <c r="B9643" s="4" t="s">
        <v>13</v>
      </c>
      <c r="C9643" s="4" t="n">
        <v>5</v>
      </c>
      <c r="D9643" s="4" t="n">
        <v>1</v>
      </c>
      <c r="E9643" s="4" t="s">
        <v>6300</v>
      </c>
      <c r="F9643" s="4" t="n">
        <v>34</v>
      </c>
      <c r="G9643" s="4" t="n">
        <v>3</v>
      </c>
      <c r="H9643" s="4" t="n">
        <v>1</v>
      </c>
      <c r="I9643" s="4" t="str">
        <v>○</v>
      </c>
      <c r="J9643" s="4" t="n">
        <v>160</v>
      </c>
      <c r="K9643" s="4"/>
      <c r="L9643" s="4"/>
      <c r="M9643" s="5" t="s">
        <v>6166</v>
      </c>
    </row>
    <row r="9644" customFormat="false" ht="15.75" hidden="false" customHeight="false" outlineLevel="0" collapsed="false">
      <c r="A9644" s="6" t="n">
        <v>46158</v>
      </c>
      <c r="B9644" s="4" t="s">
        <v>13</v>
      </c>
      <c r="C9644" s="4" t="n">
        <v>5</v>
      </c>
      <c r="D9644" s="4" t="n">
        <v>2</v>
      </c>
      <c r="E9644" s="4" t="s">
        <v>3798</v>
      </c>
      <c r="F9644" s="4" t="n">
        <v>31</v>
      </c>
      <c r="G9644" s="4" t="n">
        <v>4</v>
      </c>
      <c r="H9644" s="4" t="n">
        <v>4</v>
      </c>
      <c r="I9644" s="4" t="str">
        <v>×</v>
      </c>
      <c r="J9644" s="4"/>
      <c r="K9644" s="4"/>
      <c r="L9644" s="4"/>
      <c r="M9644" s="5" t="s">
        <v>6166</v>
      </c>
    </row>
    <row r="9645" customFormat="false" ht="15.75" hidden="false" customHeight="false" outlineLevel="0" collapsed="false">
      <c r="A9645" s="6" t="n">
        <v>46158</v>
      </c>
      <c r="B9645" s="4" t="s">
        <v>13</v>
      </c>
      <c r="C9645" s="4" t="n">
        <v>5</v>
      </c>
      <c r="D9645" s="4" t="n">
        <v>3</v>
      </c>
      <c r="E9645" s="4" t="s">
        <v>206</v>
      </c>
      <c r="F9645" s="4" t="n">
        <v>56</v>
      </c>
      <c r="G9645" s="4" t="n">
        <v>1</v>
      </c>
      <c r="H9645" s="4" t="n">
        <v>4</v>
      </c>
      <c r="I9645" s="4" t="str">
        <v>×</v>
      </c>
      <c r="J9645" s="4"/>
      <c r="K9645" s="4"/>
      <c r="L9645" s="4"/>
      <c r="M9645" s="5" t="s">
        <v>6166</v>
      </c>
    </row>
    <row r="9646" customFormat="false" ht="15.75" hidden="false" customHeight="false" outlineLevel="0" collapsed="false">
      <c r="A9646" s="6" t="n">
        <v>46158</v>
      </c>
      <c r="B9646" s="4" t="s">
        <v>13</v>
      </c>
      <c r="C9646" s="4" t="n">
        <v>5</v>
      </c>
      <c r="D9646" s="4" t="n">
        <v>4</v>
      </c>
      <c r="E9646" s="4" t="s">
        <v>1016</v>
      </c>
      <c r="F9646" s="4" t="n">
        <v>31</v>
      </c>
      <c r="G9646" s="4" t="n">
        <v>4</v>
      </c>
      <c r="H9646" s="4" t="n">
        <v>4</v>
      </c>
      <c r="I9646" s="4" t="str">
        <v>×</v>
      </c>
      <c r="J9646" s="4"/>
      <c r="K9646" s="4"/>
      <c r="L9646" s="4"/>
      <c r="M9646" s="5" t="s">
        <v>6166</v>
      </c>
    </row>
    <row r="9647" customFormat="false" ht="15.75" hidden="false" customHeight="false" outlineLevel="0" collapsed="false">
      <c r="A9647" s="6" t="n">
        <v>46158</v>
      </c>
      <c r="B9647" s="4" t="s">
        <v>13</v>
      </c>
      <c r="C9647" s="4" t="n">
        <v>5</v>
      </c>
      <c r="D9647" s="4" t="n">
        <v>5</v>
      </c>
      <c r="E9647" s="4" t="s">
        <v>387</v>
      </c>
      <c r="F9647" s="4" t="n">
        <v>25</v>
      </c>
      <c r="G9647" s="4" t="n">
        <v>5</v>
      </c>
      <c r="H9647" s="4" t="n">
        <v>4</v>
      </c>
      <c r="I9647" s="4" t="str">
        <v>×</v>
      </c>
      <c r="J9647" s="4"/>
      <c r="K9647" s="4"/>
      <c r="L9647" s="4"/>
      <c r="M9647" s="5" t="s">
        <v>6166</v>
      </c>
    </row>
    <row r="9648" customFormat="false" ht="15.75" hidden="false" customHeight="false" outlineLevel="0" collapsed="false">
      <c r="A9648" s="6" t="n">
        <v>46158</v>
      </c>
      <c r="B9648" s="4" t="s">
        <v>13</v>
      </c>
      <c r="C9648" s="4" t="n">
        <v>5</v>
      </c>
      <c r="D9648" s="4" t="n">
        <v>6</v>
      </c>
      <c r="E9648" s="4" t="s">
        <v>3434</v>
      </c>
      <c r="F9648" s="4" t="n">
        <v>8</v>
      </c>
      <c r="G9648" s="4" t="n">
        <v>11</v>
      </c>
      <c r="H9648" s="4" t="n">
        <v>4</v>
      </c>
      <c r="I9648" s="4" t="str">
        <v>×</v>
      </c>
      <c r="J9648" s="4"/>
      <c r="K9648" s="4"/>
      <c r="L9648" s="4"/>
      <c r="M9648" s="5" t="s">
        <v>6166</v>
      </c>
    </row>
    <row r="9649" customFormat="false" ht="15.75" hidden="false" customHeight="false" outlineLevel="0" collapsed="false">
      <c r="A9649" s="6" t="n">
        <v>46158</v>
      </c>
      <c r="B9649" s="4" t="s">
        <v>13</v>
      </c>
      <c r="C9649" s="4" t="n">
        <v>5</v>
      </c>
      <c r="D9649" s="4" t="n">
        <v>7</v>
      </c>
      <c r="E9649" s="4" t="s">
        <v>6301</v>
      </c>
      <c r="F9649" s="4" t="n">
        <v>2</v>
      </c>
      <c r="G9649" s="4" t="n">
        <v>13</v>
      </c>
      <c r="H9649" s="4" t="n">
        <v>4</v>
      </c>
      <c r="I9649" s="4" t="str">
        <v>×</v>
      </c>
      <c r="J9649" s="4"/>
      <c r="K9649" s="4"/>
      <c r="L9649" s="4"/>
      <c r="M9649" s="5" t="s">
        <v>6166</v>
      </c>
    </row>
    <row r="9650" customFormat="false" ht="15.75" hidden="false" customHeight="false" outlineLevel="0" collapsed="false">
      <c r="A9650" s="6" t="n">
        <v>46158</v>
      </c>
      <c r="B9650" s="4" t="s">
        <v>13</v>
      </c>
      <c r="C9650" s="4" t="n">
        <v>5</v>
      </c>
      <c r="D9650" s="4" t="n">
        <v>8</v>
      </c>
      <c r="E9650" s="4" t="s">
        <v>3597</v>
      </c>
      <c r="F9650" s="4" t="n">
        <v>15</v>
      </c>
      <c r="G9650" s="4" t="n">
        <v>8</v>
      </c>
      <c r="H9650" s="4" t="n">
        <v>4</v>
      </c>
      <c r="I9650" s="4" t="str">
        <v>×</v>
      </c>
      <c r="J9650" s="4"/>
      <c r="K9650" s="4"/>
      <c r="L9650" s="4"/>
      <c r="M9650" s="5" t="s">
        <v>6166</v>
      </c>
    </row>
    <row r="9651" customFormat="false" ht="15.75" hidden="false" customHeight="false" outlineLevel="0" collapsed="false">
      <c r="A9651" s="6" t="n">
        <v>46158</v>
      </c>
      <c r="B9651" s="4" t="s">
        <v>13</v>
      </c>
      <c r="C9651" s="4" t="n">
        <v>5</v>
      </c>
      <c r="D9651" s="4" t="n">
        <v>9</v>
      </c>
      <c r="E9651" s="4" t="s">
        <v>1300</v>
      </c>
      <c r="F9651" s="4" t="n">
        <v>39</v>
      </c>
      <c r="G9651" s="4" t="n">
        <v>2</v>
      </c>
      <c r="H9651" s="4" t="n">
        <v>2</v>
      </c>
      <c r="I9651" s="4" t="str">
        <v>○</v>
      </c>
      <c r="J9651" s="4" t="n">
        <v>260</v>
      </c>
      <c r="K9651" s="4"/>
      <c r="L9651" s="4"/>
      <c r="M9651" s="5" t="s">
        <v>6166</v>
      </c>
    </row>
    <row r="9652" customFormat="false" ht="15.75" hidden="false" customHeight="false" outlineLevel="0" collapsed="false">
      <c r="A9652" s="6" t="n">
        <v>46158</v>
      </c>
      <c r="B9652" s="4" t="s">
        <v>13</v>
      </c>
      <c r="C9652" s="4" t="n">
        <v>5</v>
      </c>
      <c r="D9652" s="4" t="n">
        <v>10</v>
      </c>
      <c r="E9652" s="4" t="s">
        <v>2360</v>
      </c>
      <c r="F9652" s="4" t="n">
        <v>10</v>
      </c>
      <c r="G9652" s="4" t="n">
        <v>10</v>
      </c>
      <c r="H9652" s="4" t="n">
        <v>4</v>
      </c>
      <c r="I9652" s="4" t="str">
        <v>×</v>
      </c>
      <c r="J9652" s="4"/>
      <c r="K9652" s="4"/>
      <c r="L9652" s="4"/>
      <c r="M9652" s="5" t="s">
        <v>6166</v>
      </c>
    </row>
    <row r="9653" customFormat="false" ht="15.75" hidden="false" customHeight="false" outlineLevel="0" collapsed="false">
      <c r="A9653" s="6" t="n">
        <v>46158</v>
      </c>
      <c r="B9653" s="4" t="s">
        <v>13</v>
      </c>
      <c r="C9653" s="4" t="n">
        <v>5</v>
      </c>
      <c r="D9653" s="4" t="n">
        <v>11</v>
      </c>
      <c r="E9653" s="4" t="s">
        <v>4694</v>
      </c>
      <c r="F9653" s="4" t="n">
        <v>17</v>
      </c>
      <c r="G9653" s="4" t="n">
        <v>7</v>
      </c>
      <c r="H9653" s="4" t="n">
        <v>3</v>
      </c>
      <c r="I9653" s="4" t="str">
        <v>○</v>
      </c>
      <c r="J9653" s="4" t="n">
        <v>510</v>
      </c>
      <c r="K9653" s="4"/>
      <c r="L9653" s="4"/>
      <c r="M9653" s="5" t="s">
        <v>6166</v>
      </c>
    </row>
    <row r="9654" customFormat="false" ht="15.75" hidden="false" customHeight="false" outlineLevel="0" collapsed="false">
      <c r="A9654" s="6" t="n">
        <v>46158</v>
      </c>
      <c r="B9654" s="4" t="s">
        <v>13</v>
      </c>
      <c r="C9654" s="4" t="n">
        <v>5</v>
      </c>
      <c r="D9654" s="4" t="n">
        <v>12</v>
      </c>
      <c r="E9654" s="4" t="s">
        <v>2085</v>
      </c>
      <c r="F9654" s="4" t="n">
        <v>13</v>
      </c>
      <c r="G9654" s="4" t="n">
        <v>9</v>
      </c>
      <c r="H9654" s="4" t="n">
        <v>4</v>
      </c>
      <c r="I9654" s="4" t="str">
        <v>×</v>
      </c>
      <c r="J9654" s="4"/>
      <c r="K9654" s="4"/>
      <c r="L9654" s="4"/>
      <c r="M9654" s="5" t="s">
        <v>6166</v>
      </c>
    </row>
    <row r="9655" customFormat="false" ht="15.75" hidden="false" customHeight="false" outlineLevel="0" collapsed="false">
      <c r="A9655" s="6" t="n">
        <v>46158</v>
      </c>
      <c r="B9655" s="4" t="s">
        <v>13</v>
      </c>
      <c r="C9655" s="4" t="n">
        <v>5</v>
      </c>
      <c r="D9655" s="4" t="n">
        <v>13</v>
      </c>
      <c r="E9655" s="4" t="s">
        <v>3253</v>
      </c>
      <c r="F9655" s="4" t="n">
        <v>4</v>
      </c>
      <c r="G9655" s="4" t="n">
        <v>12</v>
      </c>
      <c r="H9655" s="4" t="n">
        <v>4</v>
      </c>
      <c r="I9655" s="4" t="str">
        <v>×</v>
      </c>
      <c r="J9655" s="4"/>
      <c r="K9655" s="4"/>
      <c r="L9655" s="4"/>
      <c r="M9655" s="5" t="s">
        <v>6166</v>
      </c>
    </row>
    <row r="9656" customFormat="false" ht="15.75" hidden="false" customHeight="false" outlineLevel="0" collapsed="false">
      <c r="A9656" s="6" t="n">
        <v>46158</v>
      </c>
      <c r="B9656" s="4" t="s">
        <v>13</v>
      </c>
      <c r="C9656" s="4" t="n">
        <v>5</v>
      </c>
      <c r="D9656" s="4" t="n">
        <v>14</v>
      </c>
      <c r="E9656" s="4" t="s">
        <v>4090</v>
      </c>
      <c r="F9656" s="4" t="n">
        <v>17</v>
      </c>
      <c r="G9656" s="4" t="n">
        <v>7</v>
      </c>
      <c r="H9656" s="4" t="n">
        <v>4</v>
      </c>
      <c r="I9656" s="4" t="str">
        <v>×</v>
      </c>
      <c r="J9656" s="4"/>
      <c r="K9656" s="4"/>
      <c r="L9656" s="4"/>
      <c r="M9656" s="5" t="s">
        <v>6166</v>
      </c>
    </row>
    <row r="9657" customFormat="false" ht="15.75" hidden="false" customHeight="false" outlineLevel="0" collapsed="false">
      <c r="A9657" s="6" t="n">
        <v>46158</v>
      </c>
      <c r="B9657" s="4" t="s">
        <v>13</v>
      </c>
      <c r="C9657" s="4" t="n">
        <v>5</v>
      </c>
      <c r="D9657" s="4" t="n">
        <v>15</v>
      </c>
      <c r="E9657" s="4" t="s">
        <v>518</v>
      </c>
      <c r="F9657" s="4" t="n">
        <v>23</v>
      </c>
      <c r="G9657" s="4" t="n">
        <v>6</v>
      </c>
      <c r="H9657" s="4" t="n">
        <v>4</v>
      </c>
      <c r="I9657" s="4" t="str">
        <v>×</v>
      </c>
      <c r="J9657" s="4"/>
      <c r="K9657" s="4"/>
      <c r="L9657" s="4"/>
      <c r="M9657" s="5" t="s">
        <v>6166</v>
      </c>
    </row>
    <row r="9658" customFormat="false" ht="15.75" hidden="false" customHeight="false" outlineLevel="0" collapsed="false">
      <c r="A9658" s="6" t="n">
        <v>46158</v>
      </c>
      <c r="B9658" s="4" t="s">
        <v>13</v>
      </c>
      <c r="C9658" s="4" t="n">
        <v>5</v>
      </c>
      <c r="D9658" s="4" t="n">
        <v>16</v>
      </c>
      <c r="E9658" s="4" t="s">
        <v>4512</v>
      </c>
      <c r="F9658" s="4" t="n">
        <v>8</v>
      </c>
      <c r="G9658" s="4" t="n">
        <v>11</v>
      </c>
      <c r="H9658" s="4" t="n">
        <v>4</v>
      </c>
      <c r="I9658" s="4" t="str">
        <v>×</v>
      </c>
      <c r="J9658" s="4"/>
      <c r="K9658" s="4"/>
      <c r="L9658" s="4"/>
      <c r="M9658" s="5" t="s">
        <v>6166</v>
      </c>
    </row>
    <row r="9659" customFormat="false" ht="15.75" hidden="false" customHeight="false" outlineLevel="0" collapsed="false">
      <c r="A9659" s="6" t="n">
        <v>46158</v>
      </c>
      <c r="B9659" s="4" t="s">
        <v>13</v>
      </c>
      <c r="C9659" s="4" t="n">
        <v>6</v>
      </c>
      <c r="D9659" s="4" t="n">
        <v>1</v>
      </c>
      <c r="E9659" s="4" t="s">
        <v>2920</v>
      </c>
      <c r="F9659" s="4" t="n">
        <v>17</v>
      </c>
      <c r="G9659" s="4" t="n">
        <v>5</v>
      </c>
      <c r="H9659" s="4" t="n">
        <v>1</v>
      </c>
      <c r="I9659" s="4" t="str">
        <v>○</v>
      </c>
      <c r="J9659" s="4" t="n">
        <v>1510</v>
      </c>
      <c r="K9659" s="4"/>
      <c r="L9659" s="4"/>
      <c r="M9659" s="5" t="s">
        <v>6166</v>
      </c>
    </row>
    <row r="9660" customFormat="false" ht="15.75" hidden="false" customHeight="false" outlineLevel="0" collapsed="false">
      <c r="A9660" s="6" t="n">
        <v>46158</v>
      </c>
      <c r="B9660" s="4" t="s">
        <v>13</v>
      </c>
      <c r="C9660" s="4" t="n">
        <v>6</v>
      </c>
      <c r="D9660" s="4" t="n">
        <v>2</v>
      </c>
      <c r="E9660" s="4" t="s">
        <v>3002</v>
      </c>
      <c r="F9660" s="4" t="n">
        <v>20</v>
      </c>
      <c r="G9660" s="4" t="n">
        <v>4</v>
      </c>
      <c r="H9660" s="4" t="n">
        <v>4</v>
      </c>
      <c r="I9660" s="4" t="str">
        <v>×</v>
      </c>
      <c r="J9660" s="4"/>
      <c r="K9660" s="4"/>
      <c r="L9660" s="4"/>
      <c r="M9660" s="5" t="s">
        <v>6166</v>
      </c>
    </row>
    <row r="9661" customFormat="false" ht="15.75" hidden="false" customHeight="false" outlineLevel="0" collapsed="false">
      <c r="A9661" s="6" t="n">
        <v>46158</v>
      </c>
      <c r="B9661" s="4" t="s">
        <v>13</v>
      </c>
      <c r="C9661" s="4" t="n">
        <v>6</v>
      </c>
      <c r="D9661" s="4" t="n">
        <v>3</v>
      </c>
      <c r="E9661" s="4" t="s">
        <v>6302</v>
      </c>
      <c r="F9661" s="4" t="n">
        <v>4</v>
      </c>
      <c r="G9661" s="4" t="n">
        <v>10</v>
      </c>
      <c r="H9661" s="4" t="n">
        <v>4</v>
      </c>
      <c r="I9661" s="4" t="str">
        <v>×</v>
      </c>
      <c r="J9661" s="4"/>
      <c r="K9661" s="4"/>
      <c r="L9661" s="4"/>
      <c r="M9661" s="5" t="s">
        <v>6166</v>
      </c>
    </row>
    <row r="9662" customFormat="false" ht="15.75" hidden="false" customHeight="false" outlineLevel="0" collapsed="false">
      <c r="A9662" s="6" t="n">
        <v>46158</v>
      </c>
      <c r="B9662" s="4" t="s">
        <v>13</v>
      </c>
      <c r="C9662" s="4" t="n">
        <v>6</v>
      </c>
      <c r="D9662" s="4" t="n">
        <v>4</v>
      </c>
      <c r="E9662" s="4" t="s">
        <v>6303</v>
      </c>
      <c r="F9662" s="4" t="n">
        <v>4</v>
      </c>
      <c r="G9662" s="4" t="n">
        <v>10</v>
      </c>
      <c r="H9662" s="4" t="n">
        <v>4</v>
      </c>
      <c r="I9662" s="4" t="str">
        <v>×</v>
      </c>
      <c r="J9662" s="4"/>
      <c r="K9662" s="4"/>
      <c r="L9662" s="4"/>
      <c r="M9662" s="5" t="s">
        <v>6166</v>
      </c>
    </row>
    <row r="9663" customFormat="false" ht="15.75" hidden="false" customHeight="false" outlineLevel="0" collapsed="false">
      <c r="A9663" s="6" t="n">
        <v>46158</v>
      </c>
      <c r="B9663" s="4" t="s">
        <v>13</v>
      </c>
      <c r="C9663" s="4" t="n">
        <v>6</v>
      </c>
      <c r="D9663" s="4" t="n">
        <v>5</v>
      </c>
      <c r="E9663" s="4" t="s">
        <v>3919</v>
      </c>
      <c r="F9663" s="4" t="n">
        <v>8</v>
      </c>
      <c r="G9663" s="4" t="n">
        <v>8</v>
      </c>
      <c r="H9663" s="4" t="n">
        <v>4</v>
      </c>
      <c r="I9663" s="4" t="str">
        <v>×</v>
      </c>
      <c r="J9663" s="4"/>
      <c r="K9663" s="4"/>
      <c r="L9663" s="4"/>
      <c r="M9663" s="5" t="s">
        <v>6166</v>
      </c>
    </row>
    <row r="9664" customFormat="false" ht="15.75" hidden="false" customHeight="false" outlineLevel="0" collapsed="false">
      <c r="A9664" s="6" t="n">
        <v>46158</v>
      </c>
      <c r="B9664" s="4" t="s">
        <v>13</v>
      </c>
      <c r="C9664" s="4" t="n">
        <v>6</v>
      </c>
      <c r="D9664" s="4" t="n">
        <v>6</v>
      </c>
      <c r="E9664" s="4" t="s">
        <v>6304</v>
      </c>
      <c r="F9664" s="4" t="n">
        <v>6</v>
      </c>
      <c r="G9664" s="4" t="n">
        <v>9</v>
      </c>
      <c r="H9664" s="4" t="n">
        <v>4</v>
      </c>
      <c r="I9664" s="4" t="str">
        <v>×</v>
      </c>
      <c r="J9664" s="4"/>
      <c r="K9664" s="4"/>
      <c r="L9664" s="4"/>
      <c r="M9664" s="5" t="s">
        <v>6166</v>
      </c>
    </row>
    <row r="9665" customFormat="false" ht="15.75" hidden="false" customHeight="false" outlineLevel="0" collapsed="false">
      <c r="A9665" s="6" t="n">
        <v>46158</v>
      </c>
      <c r="B9665" s="4" t="s">
        <v>13</v>
      </c>
      <c r="C9665" s="4" t="n">
        <v>6</v>
      </c>
      <c r="D9665" s="4" t="n">
        <v>7</v>
      </c>
      <c r="E9665" s="4" t="s">
        <v>6305</v>
      </c>
      <c r="F9665" s="4" t="n">
        <v>4</v>
      </c>
      <c r="G9665" s="4" t="n">
        <v>10</v>
      </c>
      <c r="H9665" s="4" t="n">
        <v>4</v>
      </c>
      <c r="I9665" s="4" t="str">
        <v>×</v>
      </c>
      <c r="J9665" s="4"/>
      <c r="K9665" s="4"/>
      <c r="L9665" s="4"/>
      <c r="M9665" s="5" t="s">
        <v>6166</v>
      </c>
    </row>
    <row r="9666" customFormat="false" ht="15.75" hidden="false" customHeight="false" outlineLevel="0" collapsed="false">
      <c r="A9666" s="6" t="n">
        <v>46158</v>
      </c>
      <c r="B9666" s="4" t="s">
        <v>13</v>
      </c>
      <c r="C9666" s="4" t="n">
        <v>6</v>
      </c>
      <c r="D9666" s="4" t="n">
        <v>8</v>
      </c>
      <c r="E9666" s="4" t="s">
        <v>6306</v>
      </c>
      <c r="F9666" s="4" t="n">
        <v>8</v>
      </c>
      <c r="G9666" s="4" t="n">
        <v>8</v>
      </c>
      <c r="H9666" s="4" t="n">
        <v>4</v>
      </c>
      <c r="I9666" s="4" t="str">
        <v>×</v>
      </c>
      <c r="J9666" s="4"/>
      <c r="K9666" s="4"/>
      <c r="L9666" s="4"/>
      <c r="M9666" s="5" t="s">
        <v>6166</v>
      </c>
    </row>
    <row r="9667" customFormat="false" ht="15.75" hidden="false" customHeight="false" outlineLevel="0" collapsed="false">
      <c r="A9667" s="6" t="n">
        <v>46158</v>
      </c>
      <c r="B9667" s="4" t="s">
        <v>13</v>
      </c>
      <c r="C9667" s="4" t="n">
        <v>6</v>
      </c>
      <c r="D9667" s="4" t="n">
        <v>9</v>
      </c>
      <c r="E9667" s="4" t="s">
        <v>3268</v>
      </c>
      <c r="F9667" s="4" t="n">
        <v>3</v>
      </c>
      <c r="G9667" s="4" t="n">
        <v>11</v>
      </c>
      <c r="H9667" s="4" t="n">
        <v>4</v>
      </c>
      <c r="I9667" s="4" t="str">
        <v>×</v>
      </c>
      <c r="J9667" s="4"/>
      <c r="K9667" s="4"/>
      <c r="L9667" s="4"/>
      <c r="M9667" s="5" t="s">
        <v>6166</v>
      </c>
    </row>
    <row r="9668" customFormat="false" ht="15.75" hidden="false" customHeight="false" outlineLevel="0" collapsed="false">
      <c r="A9668" s="6" t="n">
        <v>46158</v>
      </c>
      <c r="B9668" s="4" t="s">
        <v>13</v>
      </c>
      <c r="C9668" s="4" t="n">
        <v>6</v>
      </c>
      <c r="D9668" s="4" t="n">
        <v>10</v>
      </c>
      <c r="E9668" s="4" t="s">
        <v>1115</v>
      </c>
      <c r="F9668" s="4" t="n">
        <v>15</v>
      </c>
      <c r="G9668" s="4" t="n">
        <v>6</v>
      </c>
      <c r="H9668" s="4" t="n">
        <v>4</v>
      </c>
      <c r="I9668" s="4" t="str">
        <v>×</v>
      </c>
      <c r="J9668" s="4"/>
      <c r="K9668" s="4"/>
      <c r="L9668" s="4"/>
      <c r="M9668" s="5" t="s">
        <v>6166</v>
      </c>
    </row>
    <row r="9669" customFormat="false" ht="15.75" hidden="false" customHeight="false" outlineLevel="0" collapsed="false">
      <c r="A9669" s="6" t="n">
        <v>46158</v>
      </c>
      <c r="B9669" s="4" t="s">
        <v>13</v>
      </c>
      <c r="C9669" s="4" t="n">
        <v>6</v>
      </c>
      <c r="D9669" s="4" t="n">
        <v>11</v>
      </c>
      <c r="E9669" s="4" t="s">
        <v>6307</v>
      </c>
      <c r="F9669" s="4" t="n">
        <v>71</v>
      </c>
      <c r="G9669" s="4" t="n">
        <v>1</v>
      </c>
      <c r="H9669" s="4" t="n">
        <v>4</v>
      </c>
      <c r="I9669" s="4" t="str">
        <v>×</v>
      </c>
      <c r="J9669" s="4"/>
      <c r="K9669" s="4"/>
      <c r="L9669" s="4"/>
      <c r="M9669" s="5" t="s">
        <v>6166</v>
      </c>
    </row>
    <row r="9670" customFormat="false" ht="15.75" hidden="false" customHeight="false" outlineLevel="0" collapsed="false">
      <c r="A9670" s="6" t="n">
        <v>46158</v>
      </c>
      <c r="B9670" s="4" t="s">
        <v>13</v>
      </c>
      <c r="C9670" s="4" t="n">
        <v>6</v>
      </c>
      <c r="D9670" s="4" t="n">
        <v>12</v>
      </c>
      <c r="E9670" s="4" t="s">
        <v>5743</v>
      </c>
      <c r="F9670" s="4" t="n">
        <v>3</v>
      </c>
      <c r="G9670" s="4" t="n">
        <v>11</v>
      </c>
      <c r="H9670" s="4" t="n">
        <v>4</v>
      </c>
      <c r="I9670" s="4" t="str">
        <v>×</v>
      </c>
      <c r="J9670" s="4"/>
      <c r="K9670" s="4"/>
      <c r="L9670" s="4"/>
      <c r="M9670" s="5" t="s">
        <v>6166</v>
      </c>
    </row>
    <row r="9671" customFormat="false" ht="15.75" hidden="false" customHeight="false" outlineLevel="0" collapsed="false">
      <c r="A9671" s="6" t="n">
        <v>46158</v>
      </c>
      <c r="B9671" s="4" t="s">
        <v>13</v>
      </c>
      <c r="C9671" s="4" t="n">
        <v>6</v>
      </c>
      <c r="D9671" s="4" t="n">
        <v>13</v>
      </c>
      <c r="E9671" s="4" t="s">
        <v>6308</v>
      </c>
      <c r="F9671" s="4" t="n">
        <v>62</v>
      </c>
      <c r="G9671" s="4" t="n">
        <v>2</v>
      </c>
      <c r="H9671" s="4" t="n">
        <v>4</v>
      </c>
      <c r="I9671" s="4" t="str">
        <v>×</v>
      </c>
      <c r="J9671" s="4"/>
      <c r="K9671" s="4"/>
      <c r="L9671" s="4"/>
      <c r="M9671" s="5" t="s">
        <v>6166</v>
      </c>
    </row>
    <row r="9672" customFormat="false" ht="15.75" hidden="false" customHeight="false" outlineLevel="0" collapsed="false">
      <c r="A9672" s="6" t="n">
        <v>46158</v>
      </c>
      <c r="B9672" s="4" t="s">
        <v>13</v>
      </c>
      <c r="C9672" s="4" t="n">
        <v>6</v>
      </c>
      <c r="D9672" s="4" t="n">
        <v>14</v>
      </c>
      <c r="E9672" s="4" t="s">
        <v>6309</v>
      </c>
      <c r="F9672" s="4" t="n">
        <v>10</v>
      </c>
      <c r="G9672" s="4" t="n">
        <v>7</v>
      </c>
      <c r="H9672" s="4"/>
      <c r="I9672" s="4" t="str">
        <v/>
      </c>
      <c r="J9672" s="4"/>
      <c r="K9672" s="4"/>
      <c r="L9672" s="4"/>
      <c r="M9672" s="5" t="s">
        <v>6166</v>
      </c>
    </row>
    <row r="9673" customFormat="false" ht="15.75" hidden="false" customHeight="false" outlineLevel="0" collapsed="false">
      <c r="A9673" s="6" t="n">
        <v>46158</v>
      </c>
      <c r="B9673" s="4" t="s">
        <v>13</v>
      </c>
      <c r="C9673" s="4" t="n">
        <v>6</v>
      </c>
      <c r="D9673" s="4" t="n">
        <v>15</v>
      </c>
      <c r="E9673" s="4" t="s">
        <v>2608</v>
      </c>
      <c r="F9673" s="4" t="n">
        <v>15</v>
      </c>
      <c r="G9673" s="4" t="n">
        <v>6</v>
      </c>
      <c r="H9673" s="4" t="n">
        <v>3</v>
      </c>
      <c r="I9673" s="4" t="str">
        <v>○</v>
      </c>
      <c r="J9673" s="4" t="n">
        <v>480</v>
      </c>
      <c r="K9673" s="4"/>
      <c r="L9673" s="4"/>
      <c r="M9673" s="5" t="s">
        <v>6166</v>
      </c>
    </row>
    <row r="9674" customFormat="false" ht="15.75" hidden="false" customHeight="false" outlineLevel="0" collapsed="false">
      <c r="A9674" s="6" t="n">
        <v>46158</v>
      </c>
      <c r="B9674" s="4" t="s">
        <v>13</v>
      </c>
      <c r="C9674" s="4" t="n">
        <v>6</v>
      </c>
      <c r="D9674" s="4" t="n">
        <v>16</v>
      </c>
      <c r="E9674" s="4" t="s">
        <v>5731</v>
      </c>
      <c r="F9674" s="4" t="n">
        <v>23</v>
      </c>
      <c r="G9674" s="4" t="n">
        <v>3</v>
      </c>
      <c r="H9674" s="4" t="n">
        <v>2</v>
      </c>
      <c r="I9674" s="4" t="str">
        <v>○</v>
      </c>
      <c r="J9674" s="4" t="n">
        <v>300</v>
      </c>
      <c r="K9674" s="4"/>
      <c r="L9674" s="4"/>
      <c r="M9674" s="5" t="s">
        <v>6166</v>
      </c>
    </row>
    <row r="9675" customFormat="false" ht="15.75" hidden="false" customHeight="false" outlineLevel="0" collapsed="false">
      <c r="A9675" s="6" t="n">
        <v>46158</v>
      </c>
      <c r="B9675" s="4" t="s">
        <v>13</v>
      </c>
      <c r="C9675" s="4" t="n">
        <v>7</v>
      </c>
      <c r="D9675" s="4" t="n">
        <v>1</v>
      </c>
      <c r="E9675" s="4" t="s">
        <v>6310</v>
      </c>
      <c r="F9675" s="4" t="n">
        <v>74</v>
      </c>
      <c r="G9675" s="4" t="n">
        <v>1</v>
      </c>
      <c r="H9675" s="4" t="n">
        <v>4</v>
      </c>
      <c r="I9675" s="4" t="str">
        <v>×</v>
      </c>
      <c r="J9675" s="4"/>
      <c r="K9675" s="4"/>
      <c r="L9675" s="4"/>
      <c r="M9675" s="5" t="s">
        <v>6166</v>
      </c>
    </row>
    <row r="9676" customFormat="false" ht="15.75" hidden="false" customHeight="false" outlineLevel="0" collapsed="false">
      <c r="A9676" s="6" t="n">
        <v>46158</v>
      </c>
      <c r="B9676" s="4" t="s">
        <v>13</v>
      </c>
      <c r="C9676" s="4" t="n">
        <v>7</v>
      </c>
      <c r="D9676" s="4" t="n">
        <v>2</v>
      </c>
      <c r="E9676" s="4" t="s">
        <v>4667</v>
      </c>
      <c r="F9676" s="4" t="n">
        <v>17</v>
      </c>
      <c r="G9676" s="4" t="n">
        <v>6</v>
      </c>
      <c r="H9676" s="4" t="n">
        <v>4</v>
      </c>
      <c r="I9676" s="4" t="str">
        <v>×</v>
      </c>
      <c r="J9676" s="4"/>
      <c r="K9676" s="4"/>
      <c r="L9676" s="4"/>
      <c r="M9676" s="5" t="s">
        <v>6166</v>
      </c>
    </row>
    <row r="9677" customFormat="false" ht="15.75" hidden="false" customHeight="false" outlineLevel="0" collapsed="false">
      <c r="A9677" s="6" t="n">
        <v>46158</v>
      </c>
      <c r="B9677" s="4" t="s">
        <v>13</v>
      </c>
      <c r="C9677" s="4" t="n">
        <v>7</v>
      </c>
      <c r="D9677" s="4" t="n">
        <v>3</v>
      </c>
      <c r="E9677" s="4" t="s">
        <v>6311</v>
      </c>
      <c r="F9677" s="4" t="n">
        <v>34</v>
      </c>
      <c r="G9677" s="4" t="n">
        <v>3</v>
      </c>
      <c r="H9677" s="4" t="n">
        <v>4</v>
      </c>
      <c r="I9677" s="4" t="str">
        <v>×</v>
      </c>
      <c r="J9677" s="4"/>
      <c r="K9677" s="4"/>
      <c r="L9677" s="4"/>
      <c r="M9677" s="5" t="s">
        <v>6166</v>
      </c>
    </row>
    <row r="9678" customFormat="false" ht="15.75" hidden="false" customHeight="false" outlineLevel="0" collapsed="false">
      <c r="A9678" s="6" t="n">
        <v>46158</v>
      </c>
      <c r="B9678" s="4" t="s">
        <v>13</v>
      </c>
      <c r="C9678" s="4" t="n">
        <v>7</v>
      </c>
      <c r="D9678" s="4" t="n">
        <v>4</v>
      </c>
      <c r="E9678" s="4" t="s">
        <v>5273</v>
      </c>
      <c r="F9678" s="4" t="n">
        <v>37</v>
      </c>
      <c r="G9678" s="4" t="n">
        <v>2</v>
      </c>
      <c r="H9678" s="4" t="n">
        <v>4</v>
      </c>
      <c r="I9678" s="4" t="str">
        <v>×</v>
      </c>
      <c r="J9678" s="4"/>
      <c r="K9678" s="4"/>
      <c r="L9678" s="4"/>
      <c r="M9678" s="5" t="s">
        <v>6166</v>
      </c>
    </row>
    <row r="9679" customFormat="false" ht="15.75" hidden="false" customHeight="false" outlineLevel="0" collapsed="false">
      <c r="A9679" s="6" t="n">
        <v>46158</v>
      </c>
      <c r="B9679" s="4" t="s">
        <v>13</v>
      </c>
      <c r="C9679" s="4" t="n">
        <v>7</v>
      </c>
      <c r="D9679" s="4" t="n">
        <v>5</v>
      </c>
      <c r="E9679" s="4" t="s">
        <v>6018</v>
      </c>
      <c r="F9679" s="4" t="n">
        <v>5</v>
      </c>
      <c r="G9679" s="4" t="n">
        <v>8</v>
      </c>
      <c r="H9679" s="4" t="n">
        <v>4</v>
      </c>
      <c r="I9679" s="4" t="str">
        <v>×</v>
      </c>
      <c r="J9679" s="4"/>
      <c r="K9679" s="4"/>
      <c r="L9679" s="4"/>
      <c r="M9679" s="5" t="s">
        <v>6166</v>
      </c>
    </row>
    <row r="9680" customFormat="false" ht="15.75" hidden="false" customHeight="false" outlineLevel="0" collapsed="false">
      <c r="A9680" s="6" t="n">
        <v>46158</v>
      </c>
      <c r="B9680" s="4" t="s">
        <v>13</v>
      </c>
      <c r="C9680" s="4" t="n">
        <v>7</v>
      </c>
      <c r="D9680" s="4" t="n">
        <v>6</v>
      </c>
      <c r="E9680" s="4" t="s">
        <v>3286</v>
      </c>
      <c r="F9680" s="4" t="n">
        <v>3</v>
      </c>
      <c r="G9680" s="4" t="n">
        <v>10</v>
      </c>
      <c r="H9680" s="4" t="n">
        <v>4</v>
      </c>
      <c r="I9680" s="4" t="str">
        <v>×</v>
      </c>
      <c r="J9680" s="4"/>
      <c r="K9680" s="4"/>
      <c r="L9680" s="4"/>
      <c r="M9680" s="5" t="s">
        <v>6166</v>
      </c>
    </row>
    <row r="9681" customFormat="false" ht="15.75" hidden="false" customHeight="false" outlineLevel="0" collapsed="false">
      <c r="A9681" s="6" t="n">
        <v>46158</v>
      </c>
      <c r="B9681" s="4" t="s">
        <v>13</v>
      </c>
      <c r="C9681" s="4" t="n">
        <v>7</v>
      </c>
      <c r="D9681" s="4" t="n">
        <v>7</v>
      </c>
      <c r="E9681" s="4" t="s">
        <v>6312</v>
      </c>
      <c r="F9681" s="4" t="n">
        <v>4</v>
      </c>
      <c r="G9681" s="4" t="n">
        <v>9</v>
      </c>
      <c r="H9681" s="4" t="n">
        <v>4</v>
      </c>
      <c r="I9681" s="4" t="str">
        <v>×</v>
      </c>
      <c r="J9681" s="4"/>
      <c r="K9681" s="4"/>
      <c r="L9681" s="4"/>
      <c r="M9681" s="5" t="s">
        <v>6166</v>
      </c>
    </row>
    <row r="9682" customFormat="false" ht="15.75" hidden="false" customHeight="false" outlineLevel="0" collapsed="false">
      <c r="A9682" s="6" t="n">
        <v>46158</v>
      </c>
      <c r="B9682" s="4" t="s">
        <v>13</v>
      </c>
      <c r="C9682" s="4" t="n">
        <v>7</v>
      </c>
      <c r="D9682" s="4" t="n">
        <v>8</v>
      </c>
      <c r="E9682" s="4" t="s">
        <v>6313</v>
      </c>
      <c r="F9682" s="4" t="n">
        <v>4</v>
      </c>
      <c r="G9682" s="4" t="n">
        <v>9</v>
      </c>
      <c r="H9682" s="4" t="n">
        <v>4</v>
      </c>
      <c r="I9682" s="4" t="str">
        <v>×</v>
      </c>
      <c r="J9682" s="4"/>
      <c r="K9682" s="4"/>
      <c r="L9682" s="4"/>
      <c r="M9682" s="5" t="s">
        <v>6166</v>
      </c>
    </row>
    <row r="9683" customFormat="false" ht="15.75" hidden="false" customHeight="false" outlineLevel="0" collapsed="false">
      <c r="A9683" s="6" t="n">
        <v>46158</v>
      </c>
      <c r="B9683" s="4" t="s">
        <v>13</v>
      </c>
      <c r="C9683" s="4" t="n">
        <v>7</v>
      </c>
      <c r="D9683" s="4" t="n">
        <v>9</v>
      </c>
      <c r="E9683" s="4" t="s">
        <v>6314</v>
      </c>
      <c r="F9683" s="4" t="n">
        <v>29</v>
      </c>
      <c r="G9683" s="4" t="n">
        <v>4</v>
      </c>
      <c r="H9683" s="4" t="n">
        <v>1</v>
      </c>
      <c r="I9683" s="4" t="str">
        <v>○</v>
      </c>
      <c r="J9683" s="4" t="n">
        <v>340</v>
      </c>
      <c r="K9683" s="4"/>
      <c r="L9683" s="4"/>
      <c r="M9683" s="5" t="s">
        <v>6166</v>
      </c>
    </row>
    <row r="9684" customFormat="false" ht="15.75" hidden="false" customHeight="false" outlineLevel="0" collapsed="false">
      <c r="A9684" s="6" t="n">
        <v>46158</v>
      </c>
      <c r="B9684" s="4" t="s">
        <v>13</v>
      </c>
      <c r="C9684" s="4" t="n">
        <v>7</v>
      </c>
      <c r="D9684" s="4" t="n">
        <v>10</v>
      </c>
      <c r="E9684" s="4" t="s">
        <v>6315</v>
      </c>
      <c r="F9684" s="4" t="n">
        <v>8</v>
      </c>
      <c r="G9684" s="4" t="n">
        <v>7</v>
      </c>
      <c r="H9684" s="4" t="n">
        <v>4</v>
      </c>
      <c r="I9684" s="4" t="str">
        <v>×</v>
      </c>
      <c r="J9684" s="4"/>
      <c r="K9684" s="4"/>
      <c r="L9684" s="4"/>
      <c r="M9684" s="5" t="s">
        <v>6166</v>
      </c>
    </row>
    <row r="9685" customFormat="false" ht="15.75" hidden="false" customHeight="false" outlineLevel="0" collapsed="false">
      <c r="A9685" s="6" t="n">
        <v>46158</v>
      </c>
      <c r="B9685" s="4" t="s">
        <v>13</v>
      </c>
      <c r="C9685" s="4" t="n">
        <v>7</v>
      </c>
      <c r="D9685" s="4" t="n">
        <v>11</v>
      </c>
      <c r="E9685" s="4" t="s">
        <v>3283</v>
      </c>
      <c r="F9685" s="4" t="n">
        <v>37</v>
      </c>
      <c r="G9685" s="4" t="n">
        <v>2</v>
      </c>
      <c r="H9685" s="4" t="n">
        <v>4</v>
      </c>
      <c r="I9685" s="4" t="str">
        <v>×</v>
      </c>
      <c r="J9685" s="4"/>
      <c r="K9685" s="4"/>
      <c r="L9685" s="4"/>
      <c r="M9685" s="5" t="s">
        <v>6166</v>
      </c>
    </row>
    <row r="9686" customFormat="false" ht="15.75" hidden="false" customHeight="false" outlineLevel="0" collapsed="false">
      <c r="A9686" s="6" t="n">
        <v>46158</v>
      </c>
      <c r="B9686" s="4" t="s">
        <v>13</v>
      </c>
      <c r="C9686" s="4" t="n">
        <v>7</v>
      </c>
      <c r="D9686" s="4" t="n">
        <v>12</v>
      </c>
      <c r="E9686" s="4" t="s">
        <v>5275</v>
      </c>
      <c r="F9686" s="4" t="n">
        <v>17</v>
      </c>
      <c r="G9686" s="4" t="n">
        <v>6</v>
      </c>
      <c r="H9686" s="4" t="n">
        <v>2</v>
      </c>
      <c r="I9686" s="4" t="str">
        <v>○</v>
      </c>
      <c r="J9686" s="4" t="n">
        <v>400</v>
      </c>
      <c r="K9686" s="4"/>
      <c r="L9686" s="4"/>
      <c r="M9686" s="5" t="s">
        <v>6166</v>
      </c>
    </row>
    <row r="9687" customFormat="false" ht="15.75" hidden="false" customHeight="false" outlineLevel="0" collapsed="false">
      <c r="A9687" s="6" t="n">
        <v>46158</v>
      </c>
      <c r="B9687" s="4" t="s">
        <v>13</v>
      </c>
      <c r="C9687" s="4" t="n">
        <v>7</v>
      </c>
      <c r="D9687" s="4" t="n">
        <v>13</v>
      </c>
      <c r="E9687" s="4" t="s">
        <v>1378</v>
      </c>
      <c r="F9687" s="4" t="n">
        <v>23</v>
      </c>
      <c r="G9687" s="4" t="n">
        <v>5</v>
      </c>
      <c r="H9687" s="4" t="n">
        <v>3</v>
      </c>
      <c r="I9687" s="4" t="str">
        <v>○</v>
      </c>
      <c r="J9687" s="4" t="n">
        <v>310</v>
      </c>
      <c r="K9687" s="4"/>
      <c r="L9687" s="4"/>
      <c r="M9687" s="5" t="s">
        <v>6166</v>
      </c>
    </row>
    <row r="9688" customFormat="false" ht="15.75" hidden="false" customHeight="false" outlineLevel="0" collapsed="false">
      <c r="A9688" s="6" t="n">
        <v>46158</v>
      </c>
      <c r="B9688" s="4" t="s">
        <v>13</v>
      </c>
      <c r="C9688" s="4" t="n">
        <v>8</v>
      </c>
      <c r="D9688" s="4" t="n">
        <v>1</v>
      </c>
      <c r="E9688" s="4" t="s">
        <v>6316</v>
      </c>
      <c r="F9688" s="4" t="n">
        <v>10</v>
      </c>
      <c r="G9688" s="4" t="n">
        <v>6</v>
      </c>
      <c r="H9688" s="4" t="n">
        <v>4</v>
      </c>
      <c r="I9688" s="4" t="str">
        <v>×</v>
      </c>
      <c r="J9688" s="4"/>
      <c r="K9688" s="4"/>
      <c r="L9688" s="4"/>
      <c r="M9688" s="5" t="s">
        <v>6166</v>
      </c>
    </row>
    <row r="9689" customFormat="false" ht="15.75" hidden="false" customHeight="false" outlineLevel="0" collapsed="false">
      <c r="A9689" s="6" t="n">
        <v>46158</v>
      </c>
      <c r="B9689" s="4" t="s">
        <v>13</v>
      </c>
      <c r="C9689" s="4" t="n">
        <v>8</v>
      </c>
      <c r="D9689" s="4" t="n">
        <v>2</v>
      </c>
      <c r="E9689" s="4" t="s">
        <v>6317</v>
      </c>
      <c r="F9689" s="4" t="n">
        <v>8</v>
      </c>
      <c r="G9689" s="4" t="n">
        <v>7</v>
      </c>
      <c r="H9689" s="4" t="n">
        <v>4</v>
      </c>
      <c r="I9689" s="4" t="str">
        <v>×</v>
      </c>
      <c r="J9689" s="4"/>
      <c r="K9689" s="4"/>
      <c r="L9689" s="4"/>
      <c r="M9689" s="5" t="s">
        <v>6166</v>
      </c>
    </row>
    <row r="9690" customFormat="false" ht="15.75" hidden="false" customHeight="false" outlineLevel="0" collapsed="false">
      <c r="A9690" s="6" t="n">
        <v>46158</v>
      </c>
      <c r="B9690" s="4" t="s">
        <v>13</v>
      </c>
      <c r="C9690" s="4" t="n">
        <v>8</v>
      </c>
      <c r="D9690" s="4" t="n">
        <v>3</v>
      </c>
      <c r="E9690" s="4" t="s">
        <v>1548</v>
      </c>
      <c r="F9690" s="4" t="n">
        <v>15</v>
      </c>
      <c r="G9690" s="4" t="n">
        <v>5</v>
      </c>
      <c r="H9690" s="4" t="n">
        <v>4</v>
      </c>
      <c r="I9690" s="4" t="str">
        <v>×</v>
      </c>
      <c r="J9690" s="4"/>
      <c r="K9690" s="4"/>
      <c r="L9690" s="4"/>
      <c r="M9690" s="5" t="s">
        <v>6166</v>
      </c>
    </row>
    <row r="9691" customFormat="false" ht="15.75" hidden="false" customHeight="false" outlineLevel="0" collapsed="false">
      <c r="A9691" s="6" t="n">
        <v>46158</v>
      </c>
      <c r="B9691" s="4" t="s">
        <v>13</v>
      </c>
      <c r="C9691" s="4" t="n">
        <v>8</v>
      </c>
      <c r="D9691" s="4" t="n">
        <v>4</v>
      </c>
      <c r="E9691" s="4" t="s">
        <v>6318</v>
      </c>
      <c r="F9691" s="4" t="n">
        <v>3</v>
      </c>
      <c r="G9691" s="4" t="n">
        <v>8</v>
      </c>
      <c r="H9691" s="4" t="n">
        <v>4</v>
      </c>
      <c r="I9691" s="4" t="str">
        <v>×</v>
      </c>
      <c r="J9691" s="4"/>
      <c r="K9691" s="4"/>
      <c r="L9691" s="4"/>
      <c r="M9691" s="5" t="s">
        <v>6166</v>
      </c>
    </row>
    <row r="9692" customFormat="false" ht="15.75" hidden="false" customHeight="false" outlineLevel="0" collapsed="false">
      <c r="A9692" s="6" t="n">
        <v>46158</v>
      </c>
      <c r="B9692" s="4" t="s">
        <v>13</v>
      </c>
      <c r="C9692" s="4" t="n">
        <v>8</v>
      </c>
      <c r="D9692" s="4" t="n">
        <v>5</v>
      </c>
      <c r="E9692" s="4" t="s">
        <v>6319</v>
      </c>
      <c r="F9692" s="4" t="n">
        <v>67</v>
      </c>
      <c r="G9692" s="4" t="n">
        <v>1</v>
      </c>
      <c r="H9692" s="4" t="n">
        <v>3</v>
      </c>
      <c r="I9692" s="4" t="str">
        <v>○</v>
      </c>
      <c r="J9692" s="4" t="n">
        <v>110</v>
      </c>
      <c r="K9692" s="4"/>
      <c r="L9692" s="4"/>
      <c r="M9692" s="5" t="s">
        <v>6166</v>
      </c>
    </row>
    <row r="9693" customFormat="false" ht="15.75" hidden="false" customHeight="false" outlineLevel="0" collapsed="false">
      <c r="A9693" s="6" t="n">
        <v>46158</v>
      </c>
      <c r="B9693" s="4" t="s">
        <v>13</v>
      </c>
      <c r="C9693" s="4" t="n">
        <v>8</v>
      </c>
      <c r="D9693" s="4" t="n">
        <v>6</v>
      </c>
      <c r="E9693" s="4" t="s">
        <v>1542</v>
      </c>
      <c r="F9693" s="4" t="n">
        <v>31</v>
      </c>
      <c r="G9693" s="4" t="n">
        <v>3</v>
      </c>
      <c r="H9693" s="4" t="n">
        <v>4</v>
      </c>
      <c r="I9693" s="4" t="str">
        <v>×</v>
      </c>
      <c r="J9693" s="4"/>
      <c r="K9693" s="4"/>
      <c r="L9693" s="4"/>
      <c r="M9693" s="5" t="s">
        <v>6166</v>
      </c>
    </row>
    <row r="9694" customFormat="false" ht="15.75" hidden="false" customHeight="false" outlineLevel="0" collapsed="false">
      <c r="A9694" s="6" t="n">
        <v>46158</v>
      </c>
      <c r="B9694" s="4" t="s">
        <v>13</v>
      </c>
      <c r="C9694" s="4" t="n">
        <v>8</v>
      </c>
      <c r="D9694" s="4" t="n">
        <v>7</v>
      </c>
      <c r="E9694" s="4" t="s">
        <v>4397</v>
      </c>
      <c r="F9694" s="4" t="n">
        <v>31</v>
      </c>
      <c r="G9694" s="4" t="n">
        <v>3</v>
      </c>
      <c r="H9694" s="4" t="n">
        <v>2</v>
      </c>
      <c r="I9694" s="4" t="str">
        <v>○</v>
      </c>
      <c r="J9694" s="4" t="n">
        <v>150</v>
      </c>
      <c r="K9694" s="4"/>
      <c r="L9694" s="4"/>
      <c r="M9694" s="5" t="s">
        <v>6166</v>
      </c>
    </row>
    <row r="9695" customFormat="false" ht="15.75" hidden="false" customHeight="false" outlineLevel="0" collapsed="false">
      <c r="A9695" s="6" t="n">
        <v>46158</v>
      </c>
      <c r="B9695" s="4" t="s">
        <v>13</v>
      </c>
      <c r="C9695" s="4" t="n">
        <v>8</v>
      </c>
      <c r="D9695" s="4" t="n">
        <v>8</v>
      </c>
      <c r="E9695" s="4" t="s">
        <v>6320</v>
      </c>
      <c r="F9695" s="4" t="n">
        <v>20</v>
      </c>
      <c r="G9695" s="4" t="n">
        <v>4</v>
      </c>
      <c r="H9695" s="4" t="n">
        <v>4</v>
      </c>
      <c r="I9695" s="4" t="str">
        <v>×</v>
      </c>
      <c r="J9695" s="4"/>
      <c r="K9695" s="4"/>
      <c r="L9695" s="4"/>
      <c r="M9695" s="5" t="s">
        <v>6166</v>
      </c>
    </row>
    <row r="9696" customFormat="false" ht="15.75" hidden="false" customHeight="false" outlineLevel="0" collapsed="false">
      <c r="A9696" s="6" t="n">
        <v>46158</v>
      </c>
      <c r="B9696" s="4" t="s">
        <v>13</v>
      </c>
      <c r="C9696" s="4" t="n">
        <v>8</v>
      </c>
      <c r="D9696" s="4" t="n">
        <v>9</v>
      </c>
      <c r="E9696" s="4" t="s">
        <v>6321</v>
      </c>
      <c r="F9696" s="4" t="n">
        <v>55</v>
      </c>
      <c r="G9696" s="4" t="n">
        <v>2</v>
      </c>
      <c r="H9696" s="4" t="n">
        <v>1</v>
      </c>
      <c r="I9696" s="4" t="str">
        <v>○</v>
      </c>
      <c r="J9696" s="4" t="n">
        <v>110</v>
      </c>
      <c r="K9696" s="4"/>
      <c r="L9696" s="4"/>
      <c r="M9696" s="5" t="s">
        <v>6166</v>
      </c>
    </row>
    <row r="9697" customFormat="false" ht="15.75" hidden="false" customHeight="false" outlineLevel="0" collapsed="false">
      <c r="A9697" s="6" t="n">
        <v>46158</v>
      </c>
      <c r="B9697" s="4" t="s">
        <v>13</v>
      </c>
      <c r="C9697" s="4" t="n">
        <v>9</v>
      </c>
      <c r="D9697" s="4" t="n">
        <v>1</v>
      </c>
      <c r="E9697" s="4" t="s">
        <v>1948</v>
      </c>
      <c r="F9697" s="4" t="n">
        <v>8</v>
      </c>
      <c r="G9697" s="4" t="n">
        <v>6</v>
      </c>
      <c r="H9697" s="4" t="n">
        <v>4</v>
      </c>
      <c r="I9697" s="4" t="str">
        <v>×</v>
      </c>
      <c r="J9697" s="4"/>
      <c r="K9697" s="4"/>
      <c r="L9697" s="4"/>
      <c r="M9697" s="5" t="s">
        <v>6166</v>
      </c>
    </row>
    <row r="9698" customFormat="false" ht="15.75" hidden="false" customHeight="false" outlineLevel="0" collapsed="false">
      <c r="A9698" s="6" t="n">
        <v>46158</v>
      </c>
      <c r="B9698" s="4" t="s">
        <v>13</v>
      </c>
      <c r="C9698" s="4" t="n">
        <v>9</v>
      </c>
      <c r="D9698" s="4" t="n">
        <v>2</v>
      </c>
      <c r="E9698" s="4" t="s">
        <v>4400</v>
      </c>
      <c r="F9698" s="4" t="n">
        <v>3</v>
      </c>
      <c r="G9698" s="4" t="n">
        <v>8</v>
      </c>
      <c r="H9698" s="4" t="n">
        <v>4</v>
      </c>
      <c r="I9698" s="4" t="str">
        <v>×</v>
      </c>
      <c r="J9698" s="4"/>
      <c r="K9698" s="4"/>
      <c r="L9698" s="4"/>
      <c r="M9698" s="5" t="s">
        <v>6166</v>
      </c>
    </row>
    <row r="9699" customFormat="false" ht="15.75" hidden="false" customHeight="false" outlineLevel="0" collapsed="false">
      <c r="A9699" s="6" t="n">
        <v>46158</v>
      </c>
      <c r="B9699" s="4" t="s">
        <v>13</v>
      </c>
      <c r="C9699" s="4" t="n">
        <v>9</v>
      </c>
      <c r="D9699" s="4" t="n">
        <v>3</v>
      </c>
      <c r="E9699" s="4" t="s">
        <v>6322</v>
      </c>
      <c r="F9699" s="4" t="n">
        <v>10</v>
      </c>
      <c r="G9699" s="4" t="n">
        <v>5</v>
      </c>
      <c r="H9699" s="4" t="n">
        <v>4</v>
      </c>
      <c r="I9699" s="4" t="str">
        <v>×</v>
      </c>
      <c r="J9699" s="4"/>
      <c r="K9699" s="4"/>
      <c r="L9699" s="4"/>
      <c r="M9699" s="5" t="s">
        <v>6166</v>
      </c>
    </row>
    <row r="9700" customFormat="false" ht="15.75" hidden="false" customHeight="false" outlineLevel="0" collapsed="false">
      <c r="A9700" s="6" t="n">
        <v>46158</v>
      </c>
      <c r="B9700" s="4" t="s">
        <v>13</v>
      </c>
      <c r="C9700" s="4" t="n">
        <v>9</v>
      </c>
      <c r="D9700" s="4" t="n">
        <v>4</v>
      </c>
      <c r="E9700" s="4" t="s">
        <v>5180</v>
      </c>
      <c r="F9700" s="4" t="n">
        <v>3</v>
      </c>
      <c r="G9700" s="4" t="n">
        <v>8</v>
      </c>
      <c r="H9700" s="4" t="n">
        <v>4</v>
      </c>
      <c r="I9700" s="4" t="str">
        <v>×</v>
      </c>
      <c r="J9700" s="4"/>
      <c r="K9700" s="4"/>
      <c r="L9700" s="4"/>
      <c r="M9700" s="5" t="s">
        <v>6166</v>
      </c>
    </row>
    <row r="9701" customFormat="false" ht="15.75" hidden="false" customHeight="false" outlineLevel="0" collapsed="false">
      <c r="A9701" s="6" t="n">
        <v>46158</v>
      </c>
      <c r="B9701" s="4" t="s">
        <v>13</v>
      </c>
      <c r="C9701" s="4" t="n">
        <v>9</v>
      </c>
      <c r="D9701" s="4" t="n">
        <v>5</v>
      </c>
      <c r="E9701" s="4" t="s">
        <v>174</v>
      </c>
      <c r="F9701" s="4" t="n">
        <v>29</v>
      </c>
      <c r="G9701" s="4" t="n">
        <v>4</v>
      </c>
      <c r="H9701" s="4" t="n">
        <v>4</v>
      </c>
      <c r="I9701" s="4" t="str">
        <v>×</v>
      </c>
      <c r="J9701" s="4"/>
      <c r="K9701" s="4"/>
      <c r="L9701" s="4"/>
      <c r="M9701" s="5" t="s">
        <v>6166</v>
      </c>
    </row>
    <row r="9702" customFormat="false" ht="15.75" hidden="false" customHeight="false" outlineLevel="0" collapsed="false">
      <c r="A9702" s="6" t="n">
        <v>46158</v>
      </c>
      <c r="B9702" s="4" t="s">
        <v>13</v>
      </c>
      <c r="C9702" s="4" t="n">
        <v>9</v>
      </c>
      <c r="D9702" s="4" t="n">
        <v>6</v>
      </c>
      <c r="E9702" s="4" t="s">
        <v>6017</v>
      </c>
      <c r="F9702" s="4" t="n">
        <v>37</v>
      </c>
      <c r="G9702" s="4" t="n">
        <v>3</v>
      </c>
      <c r="H9702" s="4" t="n">
        <v>2</v>
      </c>
      <c r="I9702" s="4" t="str">
        <v>○</v>
      </c>
      <c r="J9702" s="4" t="n">
        <v>230</v>
      </c>
      <c r="K9702" s="4"/>
      <c r="L9702" s="4"/>
      <c r="M9702" s="5" t="s">
        <v>6166</v>
      </c>
    </row>
    <row r="9703" customFormat="false" ht="15.75" hidden="false" customHeight="false" outlineLevel="0" collapsed="false">
      <c r="A9703" s="6" t="n">
        <v>46158</v>
      </c>
      <c r="B9703" s="4" t="s">
        <v>13</v>
      </c>
      <c r="C9703" s="4" t="n">
        <v>9</v>
      </c>
      <c r="D9703" s="4" t="n">
        <v>7</v>
      </c>
      <c r="E9703" s="4" t="s">
        <v>6323</v>
      </c>
      <c r="F9703" s="4" t="n">
        <v>10</v>
      </c>
      <c r="G9703" s="4" t="n">
        <v>5</v>
      </c>
      <c r="H9703" s="4" t="n">
        <v>4</v>
      </c>
      <c r="I9703" s="4" t="str">
        <v>×</v>
      </c>
      <c r="J9703" s="4"/>
      <c r="K9703" s="4"/>
      <c r="L9703" s="4"/>
      <c r="M9703" s="5" t="s">
        <v>6166</v>
      </c>
    </row>
    <row r="9704" customFormat="false" ht="15.75" hidden="false" customHeight="false" outlineLevel="0" collapsed="false">
      <c r="A9704" s="6" t="n">
        <v>46158</v>
      </c>
      <c r="B9704" s="4" t="s">
        <v>13</v>
      </c>
      <c r="C9704" s="4" t="n">
        <v>9</v>
      </c>
      <c r="D9704" s="4" t="n">
        <v>8</v>
      </c>
      <c r="E9704" s="4" t="s">
        <v>872</v>
      </c>
      <c r="F9704" s="4" t="n">
        <v>29</v>
      </c>
      <c r="G9704" s="4" t="n">
        <v>4</v>
      </c>
      <c r="H9704" s="4" t="n">
        <v>4</v>
      </c>
      <c r="I9704" s="4" t="str">
        <v>×</v>
      </c>
      <c r="J9704" s="4"/>
      <c r="K9704" s="4"/>
      <c r="L9704" s="4"/>
      <c r="M9704" s="5" t="s">
        <v>6166</v>
      </c>
    </row>
    <row r="9705" customFormat="false" ht="15.75" hidden="false" customHeight="false" outlineLevel="0" collapsed="false">
      <c r="A9705" s="6" t="n">
        <v>46158</v>
      </c>
      <c r="B9705" s="4" t="s">
        <v>13</v>
      </c>
      <c r="C9705" s="4" t="n">
        <v>9</v>
      </c>
      <c r="D9705" s="4" t="n">
        <v>9</v>
      </c>
      <c r="E9705" s="4" t="s">
        <v>1491</v>
      </c>
      <c r="F9705" s="4" t="n">
        <v>4</v>
      </c>
      <c r="G9705" s="4" t="n">
        <v>7</v>
      </c>
      <c r="H9705" s="4" t="n">
        <v>4</v>
      </c>
      <c r="I9705" s="4" t="str">
        <v>×</v>
      </c>
      <c r="J9705" s="4"/>
      <c r="K9705" s="4"/>
      <c r="L9705" s="4"/>
      <c r="M9705" s="5" t="s">
        <v>6166</v>
      </c>
    </row>
    <row r="9706" customFormat="false" ht="15.75" hidden="false" customHeight="false" outlineLevel="0" collapsed="false">
      <c r="A9706" s="6" t="n">
        <v>46158</v>
      </c>
      <c r="B9706" s="4" t="s">
        <v>13</v>
      </c>
      <c r="C9706" s="4" t="n">
        <v>9</v>
      </c>
      <c r="D9706" s="4" t="n">
        <v>10</v>
      </c>
      <c r="E9706" s="4" t="s">
        <v>3079</v>
      </c>
      <c r="F9706" s="4" t="n">
        <v>8</v>
      </c>
      <c r="G9706" s="4" t="n">
        <v>6</v>
      </c>
      <c r="H9706" s="4" t="n">
        <v>4</v>
      </c>
      <c r="I9706" s="4" t="str">
        <v>×</v>
      </c>
      <c r="J9706" s="4"/>
      <c r="K9706" s="4"/>
      <c r="L9706" s="4"/>
      <c r="M9706" s="5" t="s">
        <v>6166</v>
      </c>
    </row>
    <row r="9707" customFormat="false" ht="15.75" hidden="false" customHeight="false" outlineLevel="0" collapsed="false">
      <c r="A9707" s="6" t="n">
        <v>46158</v>
      </c>
      <c r="B9707" s="4" t="s">
        <v>13</v>
      </c>
      <c r="C9707" s="4" t="n">
        <v>9</v>
      </c>
      <c r="D9707" s="4" t="n">
        <v>11</v>
      </c>
      <c r="E9707" s="4" t="s">
        <v>6324</v>
      </c>
      <c r="F9707" s="4" t="n">
        <v>3</v>
      </c>
      <c r="G9707" s="4" t="n">
        <v>8</v>
      </c>
      <c r="H9707" s="4" t="n">
        <v>4</v>
      </c>
      <c r="I9707" s="4" t="str">
        <v>×</v>
      </c>
      <c r="J9707" s="4"/>
      <c r="K9707" s="4"/>
      <c r="L9707" s="4"/>
      <c r="M9707" s="5" t="s">
        <v>6166</v>
      </c>
    </row>
    <row r="9708" customFormat="false" ht="15.75" hidden="false" customHeight="false" outlineLevel="0" collapsed="false">
      <c r="A9708" s="6" t="n">
        <v>46158</v>
      </c>
      <c r="B9708" s="4" t="s">
        <v>13</v>
      </c>
      <c r="C9708" s="4" t="n">
        <v>9</v>
      </c>
      <c r="D9708" s="4" t="n">
        <v>12</v>
      </c>
      <c r="E9708" s="4" t="s">
        <v>1518</v>
      </c>
      <c r="F9708" s="4" t="n">
        <v>66</v>
      </c>
      <c r="G9708" s="4" t="n">
        <v>1</v>
      </c>
      <c r="H9708" s="4" t="n">
        <v>1</v>
      </c>
      <c r="I9708" s="4" t="str">
        <v>○</v>
      </c>
      <c r="J9708" s="4" t="n">
        <v>110</v>
      </c>
      <c r="K9708" s="4"/>
      <c r="L9708" s="4"/>
      <c r="M9708" s="5" t="s">
        <v>6166</v>
      </c>
    </row>
    <row r="9709" customFormat="false" ht="15.75" hidden="false" customHeight="false" outlineLevel="0" collapsed="false">
      <c r="A9709" s="6" t="n">
        <v>46158</v>
      </c>
      <c r="B9709" s="4" t="s">
        <v>13</v>
      </c>
      <c r="C9709" s="4" t="n">
        <v>9</v>
      </c>
      <c r="D9709" s="4" t="n">
        <v>13</v>
      </c>
      <c r="E9709" s="4" t="s">
        <v>177</v>
      </c>
      <c r="F9709" s="4" t="n">
        <v>10</v>
      </c>
      <c r="G9709" s="4" t="n">
        <v>5</v>
      </c>
      <c r="H9709" s="4" t="n">
        <v>4</v>
      </c>
      <c r="I9709" s="4" t="str">
        <v>×</v>
      </c>
      <c r="J9709" s="4"/>
      <c r="K9709" s="4"/>
      <c r="L9709" s="4"/>
      <c r="M9709" s="5" t="s">
        <v>6166</v>
      </c>
    </row>
    <row r="9710" customFormat="false" ht="15.75" hidden="false" customHeight="false" outlineLevel="0" collapsed="false">
      <c r="A9710" s="6" t="n">
        <v>46158</v>
      </c>
      <c r="B9710" s="4" t="s">
        <v>13</v>
      </c>
      <c r="C9710" s="4" t="n">
        <v>9</v>
      </c>
      <c r="D9710" s="4" t="n">
        <v>14</v>
      </c>
      <c r="E9710" s="4" t="s">
        <v>4057</v>
      </c>
      <c r="F9710" s="4" t="n">
        <v>39</v>
      </c>
      <c r="G9710" s="4" t="n">
        <v>2</v>
      </c>
      <c r="H9710" s="4" t="n">
        <v>3</v>
      </c>
      <c r="I9710" s="4" t="str">
        <v>○</v>
      </c>
      <c r="J9710" s="4" t="n">
        <v>150</v>
      </c>
      <c r="K9710" s="4"/>
      <c r="L9710" s="4"/>
      <c r="M9710" s="5" t="s">
        <v>6166</v>
      </c>
    </row>
    <row r="9711" customFormat="false" ht="15.75" hidden="false" customHeight="false" outlineLevel="0" collapsed="false">
      <c r="A9711" s="6" t="n">
        <v>46158</v>
      </c>
      <c r="B9711" s="4" t="s">
        <v>13</v>
      </c>
      <c r="C9711" s="4" t="n">
        <v>9</v>
      </c>
      <c r="D9711" s="4" t="n">
        <v>15</v>
      </c>
      <c r="E9711" s="4" t="s">
        <v>1031</v>
      </c>
      <c r="F9711" s="4" t="n">
        <v>4</v>
      </c>
      <c r="G9711" s="4" t="n">
        <v>7</v>
      </c>
      <c r="H9711" s="4" t="n">
        <v>4</v>
      </c>
      <c r="I9711" s="4" t="str">
        <v>×</v>
      </c>
      <c r="J9711" s="4"/>
      <c r="K9711" s="4"/>
      <c r="L9711" s="4"/>
      <c r="M9711" s="5" t="s">
        <v>6166</v>
      </c>
    </row>
    <row r="9712" customFormat="false" ht="15.75" hidden="false" customHeight="false" outlineLevel="0" collapsed="false">
      <c r="A9712" s="6" t="n">
        <v>46158</v>
      </c>
      <c r="B9712" s="4" t="s">
        <v>13</v>
      </c>
      <c r="C9712" s="4" t="n">
        <v>9</v>
      </c>
      <c r="D9712" s="4" t="n">
        <v>16</v>
      </c>
      <c r="E9712" s="4" t="s">
        <v>2128</v>
      </c>
      <c r="F9712" s="4" t="n">
        <v>10</v>
      </c>
      <c r="G9712" s="4" t="n">
        <v>5</v>
      </c>
      <c r="H9712" s="4" t="n">
        <v>4</v>
      </c>
      <c r="I9712" s="4" t="str">
        <v>×</v>
      </c>
      <c r="J9712" s="4"/>
      <c r="K9712" s="4"/>
      <c r="L9712" s="4"/>
      <c r="M9712" s="5" t="s">
        <v>6166</v>
      </c>
    </row>
    <row r="9713" customFormat="false" ht="15.75" hidden="false" customHeight="false" outlineLevel="0" collapsed="false">
      <c r="A9713" s="6" t="n">
        <v>46158</v>
      </c>
      <c r="B9713" s="4" t="s">
        <v>13</v>
      </c>
      <c r="C9713" s="4" t="n">
        <v>10</v>
      </c>
      <c r="D9713" s="4" t="n">
        <v>1</v>
      </c>
      <c r="E9713" s="4" t="s">
        <v>4195</v>
      </c>
      <c r="F9713" s="4" t="n">
        <v>4</v>
      </c>
      <c r="G9713" s="4" t="n">
        <v>9</v>
      </c>
      <c r="H9713" s="4" t="n">
        <v>1</v>
      </c>
      <c r="I9713" s="4" t="str">
        <v>○</v>
      </c>
      <c r="J9713" s="4" t="n">
        <v>440</v>
      </c>
      <c r="K9713" s="4"/>
      <c r="L9713" s="4"/>
      <c r="M9713" s="5" t="s">
        <v>6166</v>
      </c>
    </row>
    <row r="9714" customFormat="false" ht="15.75" hidden="false" customHeight="false" outlineLevel="0" collapsed="false">
      <c r="A9714" s="6" t="n">
        <v>46158</v>
      </c>
      <c r="B9714" s="4" t="s">
        <v>13</v>
      </c>
      <c r="C9714" s="4" t="n">
        <v>10</v>
      </c>
      <c r="D9714" s="4" t="n">
        <v>2</v>
      </c>
      <c r="E9714" s="4" t="s">
        <v>4031</v>
      </c>
      <c r="F9714" s="4" t="n">
        <v>29</v>
      </c>
      <c r="G9714" s="4" t="n">
        <v>4</v>
      </c>
      <c r="H9714" s="4" t="n">
        <v>3</v>
      </c>
      <c r="I9714" s="4" t="str">
        <v>○</v>
      </c>
      <c r="J9714" s="4" t="n">
        <v>2240</v>
      </c>
      <c r="K9714" s="4"/>
      <c r="L9714" s="4"/>
      <c r="M9714" s="5" t="s">
        <v>6166</v>
      </c>
    </row>
    <row r="9715" customFormat="false" ht="15.75" hidden="false" customHeight="false" outlineLevel="0" collapsed="false">
      <c r="A9715" s="6" t="n">
        <v>46158</v>
      </c>
      <c r="B9715" s="4" t="s">
        <v>13</v>
      </c>
      <c r="C9715" s="4" t="n">
        <v>10</v>
      </c>
      <c r="D9715" s="4" t="n">
        <v>3</v>
      </c>
      <c r="E9715" s="4" t="s">
        <v>1832</v>
      </c>
      <c r="F9715" s="4" t="n">
        <v>17</v>
      </c>
      <c r="G9715" s="4" t="n">
        <v>6</v>
      </c>
      <c r="H9715" s="4" t="n">
        <v>4</v>
      </c>
      <c r="I9715" s="4" t="str">
        <v>×</v>
      </c>
      <c r="J9715" s="4"/>
      <c r="K9715" s="4"/>
      <c r="L9715" s="4"/>
      <c r="M9715" s="5" t="s">
        <v>6166</v>
      </c>
    </row>
    <row r="9716" customFormat="false" ht="15.75" hidden="false" customHeight="false" outlineLevel="0" collapsed="false">
      <c r="A9716" s="6" t="n">
        <v>46158</v>
      </c>
      <c r="B9716" s="4" t="s">
        <v>13</v>
      </c>
      <c r="C9716" s="4" t="n">
        <v>10</v>
      </c>
      <c r="D9716" s="4" t="n">
        <v>4</v>
      </c>
      <c r="E9716" s="4" t="s">
        <v>5227</v>
      </c>
      <c r="F9716" s="4" t="n">
        <v>61</v>
      </c>
      <c r="G9716" s="4" t="n">
        <v>1</v>
      </c>
      <c r="H9716" s="4" t="n">
        <v>4</v>
      </c>
      <c r="I9716" s="4" t="str">
        <v>×</v>
      </c>
      <c r="J9716" s="4"/>
      <c r="K9716" s="4"/>
      <c r="L9716" s="4"/>
      <c r="M9716" s="5" t="s">
        <v>6166</v>
      </c>
    </row>
    <row r="9717" customFormat="false" ht="15.75" hidden="false" customHeight="false" outlineLevel="0" collapsed="false">
      <c r="A9717" s="6" t="n">
        <v>46158</v>
      </c>
      <c r="B9717" s="4" t="s">
        <v>13</v>
      </c>
      <c r="C9717" s="4" t="n">
        <v>10</v>
      </c>
      <c r="D9717" s="4" t="n">
        <v>5</v>
      </c>
      <c r="E9717" s="4" t="s">
        <v>6325</v>
      </c>
      <c r="F9717" s="4" t="n">
        <v>50</v>
      </c>
      <c r="G9717" s="4" t="n">
        <v>2</v>
      </c>
      <c r="H9717" s="4" t="n">
        <v>4</v>
      </c>
      <c r="I9717" s="4" t="str">
        <v>×</v>
      </c>
      <c r="J9717" s="4"/>
      <c r="K9717" s="4"/>
      <c r="L9717" s="4"/>
      <c r="M9717" s="5" t="s">
        <v>6166</v>
      </c>
    </row>
    <row r="9718" customFormat="false" ht="15.75" hidden="false" customHeight="false" outlineLevel="0" collapsed="false">
      <c r="A9718" s="6" t="n">
        <v>46158</v>
      </c>
      <c r="B9718" s="4" t="s">
        <v>13</v>
      </c>
      <c r="C9718" s="4" t="n">
        <v>10</v>
      </c>
      <c r="D9718" s="4" t="n">
        <v>6</v>
      </c>
      <c r="E9718" s="4" t="s">
        <v>5868</v>
      </c>
      <c r="F9718" s="4" t="n">
        <v>20</v>
      </c>
      <c r="G9718" s="4" t="n">
        <v>5</v>
      </c>
      <c r="H9718" s="4" t="n">
        <v>4</v>
      </c>
      <c r="I9718" s="4" t="str">
        <v>×</v>
      </c>
      <c r="J9718" s="4"/>
      <c r="K9718" s="4"/>
      <c r="L9718" s="4"/>
      <c r="M9718" s="5" t="s">
        <v>6166</v>
      </c>
    </row>
    <row r="9719" customFormat="false" ht="15.75" hidden="false" customHeight="false" outlineLevel="0" collapsed="false">
      <c r="A9719" s="6" t="n">
        <v>46158</v>
      </c>
      <c r="B9719" s="4" t="s">
        <v>13</v>
      </c>
      <c r="C9719" s="4" t="n">
        <v>10</v>
      </c>
      <c r="D9719" s="4" t="n">
        <v>7</v>
      </c>
      <c r="E9719" s="4" t="s">
        <v>6137</v>
      </c>
      <c r="F9719" s="4" t="n">
        <v>6</v>
      </c>
      <c r="G9719" s="4" t="n">
        <v>8</v>
      </c>
      <c r="H9719" s="4" t="n">
        <v>4</v>
      </c>
      <c r="I9719" s="4" t="str">
        <v>×</v>
      </c>
      <c r="J9719" s="4"/>
      <c r="K9719" s="4"/>
      <c r="L9719" s="4"/>
      <c r="M9719" s="5" t="s">
        <v>6166</v>
      </c>
    </row>
    <row r="9720" customFormat="false" ht="15.75" hidden="false" customHeight="false" outlineLevel="0" collapsed="false">
      <c r="A9720" s="6" t="n">
        <v>46158</v>
      </c>
      <c r="B9720" s="4" t="s">
        <v>13</v>
      </c>
      <c r="C9720" s="4" t="n">
        <v>10</v>
      </c>
      <c r="D9720" s="4" t="n">
        <v>8</v>
      </c>
      <c r="E9720" s="4" t="s">
        <v>2978</v>
      </c>
      <c r="F9720" s="4" t="n">
        <v>47</v>
      </c>
      <c r="G9720" s="4" t="n">
        <v>3</v>
      </c>
      <c r="H9720" s="4" t="n">
        <v>2</v>
      </c>
      <c r="I9720" s="4" t="str">
        <v>○</v>
      </c>
      <c r="J9720" s="4" t="n">
        <v>570</v>
      </c>
      <c r="K9720" s="4"/>
      <c r="L9720" s="4"/>
      <c r="M9720" s="5" t="s">
        <v>6166</v>
      </c>
    </row>
    <row r="9721" customFormat="false" ht="15.75" hidden="false" customHeight="false" outlineLevel="0" collapsed="false">
      <c r="A9721" s="6" t="n">
        <v>46158</v>
      </c>
      <c r="B9721" s="4" t="s">
        <v>13</v>
      </c>
      <c r="C9721" s="4" t="n">
        <v>10</v>
      </c>
      <c r="D9721" s="4" t="n">
        <v>9</v>
      </c>
      <c r="E9721" s="4" t="s">
        <v>4032</v>
      </c>
      <c r="F9721" s="4" t="n">
        <v>15</v>
      </c>
      <c r="G9721" s="4" t="n">
        <v>7</v>
      </c>
      <c r="H9721" s="4" t="n">
        <v>4</v>
      </c>
      <c r="I9721" s="4" t="str">
        <v>×</v>
      </c>
      <c r="J9721" s="4"/>
      <c r="K9721" s="4"/>
      <c r="L9721" s="4"/>
      <c r="M9721" s="5" t="s">
        <v>6166</v>
      </c>
    </row>
    <row r="9722" customFormat="false" ht="15.75" hidden="false" customHeight="false" outlineLevel="0" collapsed="false">
      <c r="A9722" s="6" t="n">
        <v>46158</v>
      </c>
      <c r="B9722" s="4" t="s">
        <v>13</v>
      </c>
      <c r="C9722" s="4" t="n">
        <v>11</v>
      </c>
      <c r="D9722" s="4" t="n">
        <v>1</v>
      </c>
      <c r="E9722" s="4" t="s">
        <v>905</v>
      </c>
      <c r="F9722" s="4" t="n">
        <v>20</v>
      </c>
      <c r="G9722" s="4" t="n">
        <v>5</v>
      </c>
      <c r="H9722" s="4" t="n">
        <v>4</v>
      </c>
      <c r="I9722" s="4" t="str">
        <v>×</v>
      </c>
      <c r="J9722" s="4"/>
      <c r="K9722" s="4"/>
      <c r="L9722" s="4"/>
      <c r="M9722" s="5" t="s">
        <v>6166</v>
      </c>
    </row>
    <row r="9723" customFormat="false" ht="15.75" hidden="false" customHeight="false" outlineLevel="0" collapsed="false">
      <c r="A9723" s="6" t="n">
        <v>46158</v>
      </c>
      <c r="B9723" s="4" t="s">
        <v>13</v>
      </c>
      <c r="C9723" s="4" t="n">
        <v>11</v>
      </c>
      <c r="D9723" s="4" t="n">
        <v>2</v>
      </c>
      <c r="E9723" s="4" t="s">
        <v>6326</v>
      </c>
      <c r="F9723" s="4" t="n">
        <v>8</v>
      </c>
      <c r="G9723" s="4" t="n">
        <v>9</v>
      </c>
      <c r="H9723" s="4" t="n">
        <v>4</v>
      </c>
      <c r="I9723" s="4" t="str">
        <v>×</v>
      </c>
      <c r="J9723" s="4"/>
      <c r="K9723" s="4"/>
      <c r="L9723" s="4"/>
      <c r="M9723" s="5" t="s">
        <v>6166</v>
      </c>
    </row>
    <row r="9724" customFormat="false" ht="15.75" hidden="false" customHeight="false" outlineLevel="0" collapsed="false">
      <c r="A9724" s="6" t="n">
        <v>46158</v>
      </c>
      <c r="B9724" s="4" t="s">
        <v>13</v>
      </c>
      <c r="C9724" s="4" t="n">
        <v>11</v>
      </c>
      <c r="D9724" s="4" t="n">
        <v>3</v>
      </c>
      <c r="E9724" s="4" t="s">
        <v>6327</v>
      </c>
      <c r="F9724" s="4" t="n">
        <v>37</v>
      </c>
      <c r="G9724" s="4" t="n">
        <v>2</v>
      </c>
      <c r="H9724" s="4" t="n">
        <v>1</v>
      </c>
      <c r="I9724" s="4" t="str">
        <v>○</v>
      </c>
      <c r="J9724" s="4" t="n">
        <v>430</v>
      </c>
      <c r="K9724" s="4"/>
      <c r="L9724" s="4"/>
      <c r="M9724" s="5" t="s">
        <v>6166</v>
      </c>
    </row>
    <row r="9725" customFormat="false" ht="15.75" hidden="false" customHeight="false" outlineLevel="0" collapsed="false">
      <c r="A9725" s="6" t="n">
        <v>46158</v>
      </c>
      <c r="B9725" s="4" t="s">
        <v>13</v>
      </c>
      <c r="C9725" s="4" t="n">
        <v>11</v>
      </c>
      <c r="D9725" s="4" t="n">
        <v>4</v>
      </c>
      <c r="E9725" s="4" t="s">
        <v>4162</v>
      </c>
      <c r="F9725" s="4" t="n">
        <v>25</v>
      </c>
      <c r="G9725" s="4" t="n">
        <v>4</v>
      </c>
      <c r="H9725" s="4" t="n">
        <v>4</v>
      </c>
      <c r="I9725" s="4" t="str">
        <v>×</v>
      </c>
      <c r="J9725" s="4"/>
      <c r="K9725" s="4"/>
      <c r="L9725" s="4"/>
      <c r="M9725" s="5" t="s">
        <v>6166</v>
      </c>
    </row>
    <row r="9726" customFormat="false" ht="15.75" hidden="false" customHeight="false" outlineLevel="0" collapsed="false">
      <c r="A9726" s="6" t="n">
        <v>46158</v>
      </c>
      <c r="B9726" s="4" t="s">
        <v>13</v>
      </c>
      <c r="C9726" s="4" t="n">
        <v>11</v>
      </c>
      <c r="D9726" s="4" t="n">
        <v>5</v>
      </c>
      <c r="E9726" s="4" t="s">
        <v>6328</v>
      </c>
      <c r="F9726" s="4" t="n">
        <v>8</v>
      </c>
      <c r="G9726" s="4" t="n">
        <v>9</v>
      </c>
      <c r="H9726" s="4" t="n">
        <v>4</v>
      </c>
      <c r="I9726" s="4" t="str">
        <v>×</v>
      </c>
      <c r="J9726" s="4"/>
      <c r="K9726" s="4"/>
      <c r="L9726" s="4"/>
      <c r="M9726" s="5" t="s">
        <v>6166</v>
      </c>
    </row>
    <row r="9727" customFormat="false" ht="15.75" hidden="false" customHeight="false" outlineLevel="0" collapsed="false">
      <c r="A9727" s="6" t="n">
        <v>46158</v>
      </c>
      <c r="B9727" s="4" t="s">
        <v>13</v>
      </c>
      <c r="C9727" s="4" t="n">
        <v>11</v>
      </c>
      <c r="D9727" s="4" t="n">
        <v>6</v>
      </c>
      <c r="E9727" s="4" t="s">
        <v>6329</v>
      </c>
      <c r="F9727" s="4" t="n">
        <v>65</v>
      </c>
      <c r="G9727" s="4" t="n">
        <v>1</v>
      </c>
      <c r="H9727" s="4" t="n">
        <v>4</v>
      </c>
      <c r="I9727" s="4" t="str">
        <v>×</v>
      </c>
      <c r="J9727" s="4"/>
      <c r="K9727" s="4"/>
      <c r="L9727" s="4"/>
      <c r="M9727" s="5" t="s">
        <v>6166</v>
      </c>
    </row>
    <row r="9728" customFormat="false" ht="15.75" hidden="false" customHeight="false" outlineLevel="0" collapsed="false">
      <c r="A9728" s="6" t="n">
        <v>46158</v>
      </c>
      <c r="B9728" s="4" t="s">
        <v>13</v>
      </c>
      <c r="C9728" s="4" t="n">
        <v>11</v>
      </c>
      <c r="D9728" s="4" t="n">
        <v>7</v>
      </c>
      <c r="E9728" s="4" t="s">
        <v>4974</v>
      </c>
      <c r="F9728" s="4" t="n">
        <v>17</v>
      </c>
      <c r="G9728" s="4" t="n">
        <v>6</v>
      </c>
      <c r="H9728" s="4" t="n">
        <v>4</v>
      </c>
      <c r="I9728" s="4" t="str">
        <v>×</v>
      </c>
      <c r="J9728" s="4"/>
      <c r="K9728" s="4"/>
      <c r="L9728" s="4"/>
      <c r="M9728" s="5" t="s">
        <v>6166</v>
      </c>
    </row>
    <row r="9729" customFormat="false" ht="15.75" hidden="false" customHeight="false" outlineLevel="0" collapsed="false">
      <c r="A9729" s="6" t="n">
        <v>46158</v>
      </c>
      <c r="B9729" s="4" t="s">
        <v>13</v>
      </c>
      <c r="C9729" s="4" t="n">
        <v>11</v>
      </c>
      <c r="D9729" s="4" t="n">
        <v>8</v>
      </c>
      <c r="E9729" s="4" t="s">
        <v>2414</v>
      </c>
      <c r="F9729" s="4" t="n">
        <v>17</v>
      </c>
      <c r="G9729" s="4" t="n">
        <v>6</v>
      </c>
      <c r="H9729" s="4" t="n">
        <v>4</v>
      </c>
      <c r="I9729" s="4" t="str">
        <v>×</v>
      </c>
      <c r="J9729" s="4"/>
      <c r="K9729" s="4"/>
      <c r="L9729" s="4"/>
      <c r="M9729" s="5" t="s">
        <v>6166</v>
      </c>
    </row>
    <row r="9730" customFormat="false" ht="15.75" hidden="false" customHeight="false" outlineLevel="0" collapsed="false">
      <c r="A9730" s="6" t="n">
        <v>46158</v>
      </c>
      <c r="B9730" s="4" t="s">
        <v>13</v>
      </c>
      <c r="C9730" s="4" t="n">
        <v>11</v>
      </c>
      <c r="D9730" s="4" t="n">
        <v>9</v>
      </c>
      <c r="E9730" s="4" t="s">
        <v>6330</v>
      </c>
      <c r="F9730" s="4" t="n">
        <v>10</v>
      </c>
      <c r="G9730" s="4" t="n">
        <v>8</v>
      </c>
      <c r="H9730" s="4" t="n">
        <v>3</v>
      </c>
      <c r="I9730" s="4" t="str">
        <v>○</v>
      </c>
      <c r="J9730" s="4" t="n">
        <v>570</v>
      </c>
      <c r="K9730" s="4"/>
      <c r="L9730" s="4"/>
      <c r="M9730" s="5" t="s">
        <v>6166</v>
      </c>
    </row>
    <row r="9731" customFormat="false" ht="15.75" hidden="false" customHeight="false" outlineLevel="0" collapsed="false">
      <c r="A9731" s="6" t="n">
        <v>46158</v>
      </c>
      <c r="B9731" s="4" t="s">
        <v>13</v>
      </c>
      <c r="C9731" s="4" t="n">
        <v>11</v>
      </c>
      <c r="D9731" s="4" t="n">
        <v>10</v>
      </c>
      <c r="E9731" s="4" t="s">
        <v>1698</v>
      </c>
      <c r="F9731" s="4" t="n">
        <v>17</v>
      </c>
      <c r="G9731" s="4" t="n">
        <v>6</v>
      </c>
      <c r="H9731" s="4" t="n">
        <v>4</v>
      </c>
      <c r="I9731" s="4" t="str">
        <v>×</v>
      </c>
      <c r="J9731" s="4"/>
      <c r="K9731" s="4"/>
      <c r="L9731" s="4"/>
      <c r="M9731" s="5" t="s">
        <v>6166</v>
      </c>
    </row>
    <row r="9732" customFormat="false" ht="15.75" hidden="false" customHeight="false" outlineLevel="0" collapsed="false">
      <c r="A9732" s="6" t="n">
        <v>46158</v>
      </c>
      <c r="B9732" s="4" t="s">
        <v>13</v>
      </c>
      <c r="C9732" s="4" t="n">
        <v>11</v>
      </c>
      <c r="D9732" s="4" t="n">
        <v>11</v>
      </c>
      <c r="E9732" s="4" t="s">
        <v>4971</v>
      </c>
      <c r="F9732" s="4" t="n">
        <v>10</v>
      </c>
      <c r="G9732" s="4" t="n">
        <v>8</v>
      </c>
      <c r="H9732" s="4" t="n">
        <v>2</v>
      </c>
      <c r="I9732" s="4" t="str">
        <v>○</v>
      </c>
      <c r="J9732" s="4" t="n">
        <v>1030</v>
      </c>
      <c r="K9732" s="4"/>
      <c r="L9732" s="4"/>
      <c r="M9732" s="5" t="s">
        <v>6166</v>
      </c>
    </row>
    <row r="9733" customFormat="false" ht="15.75" hidden="false" customHeight="false" outlineLevel="0" collapsed="false">
      <c r="A9733" s="6" t="n">
        <v>46158</v>
      </c>
      <c r="B9733" s="4" t="s">
        <v>13</v>
      </c>
      <c r="C9733" s="4" t="n">
        <v>11</v>
      </c>
      <c r="D9733" s="4" t="n">
        <v>12</v>
      </c>
      <c r="E9733" s="4" t="s">
        <v>6331</v>
      </c>
      <c r="F9733" s="4" t="n">
        <v>15</v>
      </c>
      <c r="G9733" s="4" t="n">
        <v>7</v>
      </c>
      <c r="H9733" s="4" t="n">
        <v>4</v>
      </c>
      <c r="I9733" s="4" t="str">
        <v>×</v>
      </c>
      <c r="J9733" s="4"/>
      <c r="K9733" s="4"/>
      <c r="L9733" s="4"/>
      <c r="M9733" s="5" t="s">
        <v>6166</v>
      </c>
    </row>
    <row r="9734" customFormat="false" ht="15.75" hidden="false" customHeight="false" outlineLevel="0" collapsed="false">
      <c r="A9734" s="6" t="n">
        <v>46158</v>
      </c>
      <c r="B9734" s="4" t="s">
        <v>13</v>
      </c>
      <c r="C9734" s="4" t="n">
        <v>11</v>
      </c>
      <c r="D9734" s="4" t="n">
        <v>13</v>
      </c>
      <c r="E9734" s="4" t="s">
        <v>6332</v>
      </c>
      <c r="F9734" s="4" t="n">
        <v>29</v>
      </c>
      <c r="G9734" s="4" t="n">
        <v>3</v>
      </c>
      <c r="H9734" s="4" t="n">
        <v>4</v>
      </c>
      <c r="I9734" s="4" t="str">
        <v>×</v>
      </c>
      <c r="J9734" s="4"/>
      <c r="K9734" s="4"/>
      <c r="L9734" s="4"/>
      <c r="M9734" s="5" t="s">
        <v>6166</v>
      </c>
    </row>
    <row r="9735" customFormat="false" ht="15.75" hidden="false" customHeight="false" outlineLevel="0" collapsed="false">
      <c r="A9735" s="6" t="n">
        <v>46158</v>
      </c>
      <c r="B9735" s="4" t="s">
        <v>13</v>
      </c>
      <c r="C9735" s="4" t="n">
        <v>11</v>
      </c>
      <c r="D9735" s="4" t="n">
        <v>14</v>
      </c>
      <c r="E9735" s="4" t="s">
        <v>6333</v>
      </c>
      <c r="F9735" s="4" t="n">
        <v>15</v>
      </c>
      <c r="G9735" s="4" t="n">
        <v>7</v>
      </c>
      <c r="H9735" s="4" t="n">
        <v>4</v>
      </c>
      <c r="I9735" s="4" t="str">
        <v>×</v>
      </c>
      <c r="J9735" s="4"/>
      <c r="K9735" s="4"/>
      <c r="L9735" s="4"/>
      <c r="M9735" s="5" t="s">
        <v>6166</v>
      </c>
    </row>
    <row r="9736" customFormat="false" ht="15.75" hidden="false" customHeight="false" outlineLevel="0" collapsed="false">
      <c r="A9736" s="6" t="n">
        <v>46158</v>
      </c>
      <c r="B9736" s="4" t="s">
        <v>13</v>
      </c>
      <c r="C9736" s="4" t="n">
        <v>11</v>
      </c>
      <c r="D9736" s="4" t="n">
        <v>15</v>
      </c>
      <c r="E9736" s="4" t="s">
        <v>5301</v>
      </c>
      <c r="F9736" s="4" t="n">
        <v>17</v>
      </c>
      <c r="G9736" s="4" t="n">
        <v>6</v>
      </c>
      <c r="H9736" s="4" t="n">
        <v>4</v>
      </c>
      <c r="I9736" s="4" t="str">
        <v>×</v>
      </c>
      <c r="J9736" s="4"/>
      <c r="K9736" s="4"/>
      <c r="L9736" s="4"/>
      <c r="M9736" s="5" t="s">
        <v>6166</v>
      </c>
    </row>
    <row r="9737" customFormat="false" ht="15.75" hidden="false" customHeight="false" outlineLevel="0" collapsed="false">
      <c r="A9737" s="6" t="n">
        <v>46158</v>
      </c>
      <c r="B9737" s="4" t="s">
        <v>13</v>
      </c>
      <c r="C9737" s="4" t="n">
        <v>12</v>
      </c>
      <c r="D9737" s="4" t="n">
        <v>1</v>
      </c>
      <c r="E9737" s="4" t="s">
        <v>751</v>
      </c>
      <c r="F9737" s="4" t="n">
        <v>25</v>
      </c>
      <c r="G9737" s="4" t="n">
        <v>5</v>
      </c>
      <c r="H9737" s="4" t="n">
        <v>4</v>
      </c>
      <c r="I9737" s="4" t="str">
        <v>×</v>
      </c>
      <c r="J9737" s="4"/>
      <c r="K9737" s="4"/>
      <c r="L9737" s="4"/>
      <c r="M9737" s="5" t="s">
        <v>6166</v>
      </c>
    </row>
    <row r="9738" customFormat="false" ht="15.75" hidden="false" customHeight="false" outlineLevel="0" collapsed="false">
      <c r="A9738" s="6" t="n">
        <v>46158</v>
      </c>
      <c r="B9738" s="4" t="s">
        <v>13</v>
      </c>
      <c r="C9738" s="4" t="n">
        <v>12</v>
      </c>
      <c r="D9738" s="4" t="n">
        <v>2</v>
      </c>
      <c r="E9738" s="4" t="s">
        <v>6334</v>
      </c>
      <c r="F9738" s="4" t="n">
        <v>3</v>
      </c>
      <c r="G9738" s="4" t="n">
        <v>12</v>
      </c>
      <c r="H9738" s="4" t="n">
        <v>4</v>
      </c>
      <c r="I9738" s="4" t="str">
        <v>×</v>
      </c>
      <c r="J9738" s="4"/>
      <c r="K9738" s="4"/>
      <c r="L9738" s="4"/>
      <c r="M9738" s="5" t="s">
        <v>6166</v>
      </c>
    </row>
    <row r="9739" customFormat="false" ht="15.75" hidden="false" customHeight="false" outlineLevel="0" collapsed="false">
      <c r="A9739" s="6" t="n">
        <v>46158</v>
      </c>
      <c r="B9739" s="4" t="s">
        <v>13</v>
      </c>
      <c r="C9739" s="4" t="n">
        <v>12</v>
      </c>
      <c r="D9739" s="4" t="n">
        <v>3</v>
      </c>
      <c r="E9739" s="4" t="s">
        <v>6335</v>
      </c>
      <c r="F9739" s="4" t="n">
        <v>17</v>
      </c>
      <c r="G9739" s="4" t="n">
        <v>6</v>
      </c>
      <c r="H9739" s="4" t="n">
        <v>4</v>
      </c>
      <c r="I9739" s="4" t="str">
        <v>×</v>
      </c>
      <c r="J9739" s="4"/>
      <c r="K9739" s="4"/>
      <c r="L9739" s="4"/>
      <c r="M9739" s="5" t="s">
        <v>6166</v>
      </c>
    </row>
    <row r="9740" customFormat="false" ht="15.75" hidden="false" customHeight="false" outlineLevel="0" collapsed="false">
      <c r="A9740" s="6" t="n">
        <v>46158</v>
      </c>
      <c r="B9740" s="4" t="s">
        <v>13</v>
      </c>
      <c r="C9740" s="4" t="n">
        <v>12</v>
      </c>
      <c r="D9740" s="4" t="n">
        <v>4</v>
      </c>
      <c r="E9740" s="4" t="s">
        <v>2922</v>
      </c>
      <c r="F9740" s="4" t="n">
        <v>6</v>
      </c>
      <c r="G9740" s="4" t="n">
        <v>10</v>
      </c>
      <c r="H9740" s="4" t="n">
        <v>4</v>
      </c>
      <c r="I9740" s="4" t="str">
        <v>×</v>
      </c>
      <c r="J9740" s="4"/>
      <c r="K9740" s="4"/>
      <c r="L9740" s="4"/>
      <c r="M9740" s="5" t="s">
        <v>6166</v>
      </c>
    </row>
    <row r="9741" customFormat="false" ht="15.75" hidden="false" customHeight="false" outlineLevel="0" collapsed="false">
      <c r="A9741" s="6" t="n">
        <v>46158</v>
      </c>
      <c r="B9741" s="4" t="s">
        <v>13</v>
      </c>
      <c r="C9741" s="4" t="n">
        <v>12</v>
      </c>
      <c r="D9741" s="4" t="n">
        <v>5</v>
      </c>
      <c r="E9741" s="4" t="s">
        <v>1636</v>
      </c>
      <c r="F9741" s="4" t="n">
        <v>37</v>
      </c>
      <c r="G9741" s="4" t="n">
        <v>4</v>
      </c>
      <c r="H9741" s="4" t="n">
        <v>4</v>
      </c>
      <c r="I9741" s="4" t="str">
        <v>×</v>
      </c>
      <c r="J9741" s="4"/>
      <c r="K9741" s="4"/>
      <c r="L9741" s="4"/>
      <c r="M9741" s="5" t="s">
        <v>6166</v>
      </c>
    </row>
    <row r="9742" customFormat="false" ht="15.75" hidden="false" customHeight="false" outlineLevel="0" collapsed="false">
      <c r="A9742" s="6" t="n">
        <v>46158</v>
      </c>
      <c r="B9742" s="4" t="s">
        <v>13</v>
      </c>
      <c r="C9742" s="4" t="n">
        <v>12</v>
      </c>
      <c r="D9742" s="4" t="n">
        <v>6</v>
      </c>
      <c r="E9742" s="4" t="s">
        <v>3859</v>
      </c>
      <c r="F9742" s="4" t="n">
        <v>13</v>
      </c>
      <c r="G9742" s="4" t="n">
        <v>8</v>
      </c>
      <c r="H9742" s="4" t="n">
        <v>4</v>
      </c>
      <c r="I9742" s="4" t="str">
        <v>×</v>
      </c>
      <c r="J9742" s="4"/>
      <c r="K9742" s="4"/>
      <c r="L9742" s="4"/>
      <c r="M9742" s="5" t="s">
        <v>6166</v>
      </c>
    </row>
    <row r="9743" customFormat="false" ht="15.75" hidden="false" customHeight="false" outlineLevel="0" collapsed="false">
      <c r="A9743" s="6" t="n">
        <v>46158</v>
      </c>
      <c r="B9743" s="4" t="s">
        <v>13</v>
      </c>
      <c r="C9743" s="4" t="n">
        <v>12</v>
      </c>
      <c r="D9743" s="4" t="n">
        <v>7</v>
      </c>
      <c r="E9743" s="4" t="s">
        <v>2797</v>
      </c>
      <c r="F9743" s="4" t="n">
        <v>4</v>
      </c>
      <c r="G9743" s="4" t="n">
        <v>11</v>
      </c>
      <c r="H9743" s="4" t="n">
        <v>4</v>
      </c>
      <c r="I9743" s="4" t="str">
        <v>×</v>
      </c>
      <c r="J9743" s="4"/>
      <c r="K9743" s="4"/>
      <c r="L9743" s="4"/>
      <c r="M9743" s="5" t="s">
        <v>6166</v>
      </c>
    </row>
    <row r="9744" customFormat="false" ht="15.75" hidden="false" customHeight="false" outlineLevel="0" collapsed="false">
      <c r="A9744" s="6" t="n">
        <v>46158</v>
      </c>
      <c r="B9744" s="4" t="s">
        <v>13</v>
      </c>
      <c r="C9744" s="4" t="n">
        <v>12</v>
      </c>
      <c r="D9744" s="4" t="n">
        <v>8</v>
      </c>
      <c r="E9744" s="4" t="s">
        <v>3810</v>
      </c>
      <c r="F9744" s="4" t="n">
        <v>13</v>
      </c>
      <c r="G9744" s="4" t="n">
        <v>8</v>
      </c>
      <c r="H9744" s="4" t="n">
        <v>4</v>
      </c>
      <c r="I9744" s="4" t="str">
        <v>×</v>
      </c>
      <c r="J9744" s="4"/>
      <c r="K9744" s="4"/>
      <c r="L9744" s="4"/>
      <c r="M9744" s="5" t="s">
        <v>6166</v>
      </c>
    </row>
    <row r="9745" customFormat="false" ht="15.75" hidden="false" customHeight="false" outlineLevel="0" collapsed="false">
      <c r="A9745" s="6" t="n">
        <v>46158</v>
      </c>
      <c r="B9745" s="4" t="s">
        <v>13</v>
      </c>
      <c r="C9745" s="4" t="n">
        <v>12</v>
      </c>
      <c r="D9745" s="4" t="n">
        <v>9</v>
      </c>
      <c r="E9745" s="4" t="s">
        <v>1864</v>
      </c>
      <c r="F9745" s="4" t="n">
        <v>8</v>
      </c>
      <c r="G9745" s="4" t="n">
        <v>9</v>
      </c>
      <c r="H9745" s="4" t="n">
        <v>4</v>
      </c>
      <c r="I9745" s="4" t="str">
        <v>×</v>
      </c>
      <c r="J9745" s="4"/>
      <c r="K9745" s="4"/>
      <c r="L9745" s="4"/>
      <c r="M9745" s="5" t="s">
        <v>6166</v>
      </c>
    </row>
    <row r="9746" customFormat="false" ht="15.75" hidden="false" customHeight="false" outlineLevel="0" collapsed="false">
      <c r="A9746" s="6" t="n">
        <v>46158</v>
      </c>
      <c r="B9746" s="4" t="s">
        <v>13</v>
      </c>
      <c r="C9746" s="4" t="n">
        <v>12</v>
      </c>
      <c r="D9746" s="4" t="n">
        <v>10</v>
      </c>
      <c r="E9746" s="4" t="s">
        <v>3303</v>
      </c>
      <c r="F9746" s="4" t="n">
        <v>58</v>
      </c>
      <c r="G9746" s="4" t="n">
        <v>1</v>
      </c>
      <c r="H9746" s="4" t="n">
        <v>1</v>
      </c>
      <c r="I9746" s="4" t="str">
        <v>○</v>
      </c>
      <c r="J9746" s="4" t="n">
        <v>190</v>
      </c>
      <c r="K9746" s="4"/>
      <c r="L9746" s="4"/>
      <c r="M9746" s="5" t="s">
        <v>6166</v>
      </c>
    </row>
    <row r="9747" customFormat="false" ht="15.75" hidden="false" customHeight="false" outlineLevel="0" collapsed="false">
      <c r="A9747" s="6" t="n">
        <v>46158</v>
      </c>
      <c r="B9747" s="4" t="s">
        <v>13</v>
      </c>
      <c r="C9747" s="4" t="n">
        <v>12</v>
      </c>
      <c r="D9747" s="4" t="n">
        <v>11</v>
      </c>
      <c r="E9747" s="4" t="s">
        <v>4838</v>
      </c>
      <c r="F9747" s="4" t="n">
        <v>52</v>
      </c>
      <c r="G9747" s="4" t="n">
        <v>2</v>
      </c>
      <c r="H9747" s="4" t="n">
        <v>2</v>
      </c>
      <c r="I9747" s="4" t="str">
        <v>○</v>
      </c>
      <c r="J9747" s="4" t="n">
        <v>170</v>
      </c>
      <c r="K9747" s="4"/>
      <c r="L9747" s="4"/>
      <c r="M9747" s="5" t="s">
        <v>6166</v>
      </c>
    </row>
    <row r="9748" customFormat="false" ht="15.75" hidden="false" customHeight="false" outlineLevel="0" collapsed="false">
      <c r="A9748" s="6" t="n">
        <v>46158</v>
      </c>
      <c r="B9748" s="4" t="s">
        <v>13</v>
      </c>
      <c r="C9748" s="4" t="n">
        <v>12</v>
      </c>
      <c r="D9748" s="4" t="n">
        <v>12</v>
      </c>
      <c r="E9748" s="4" t="s">
        <v>6336</v>
      </c>
      <c r="F9748" s="4" t="n">
        <v>6</v>
      </c>
      <c r="G9748" s="4" t="n">
        <v>10</v>
      </c>
      <c r="H9748" s="4" t="n">
        <v>4</v>
      </c>
      <c r="I9748" s="4" t="str">
        <v>×</v>
      </c>
      <c r="J9748" s="4"/>
      <c r="K9748" s="4"/>
      <c r="L9748" s="4"/>
      <c r="M9748" s="5" t="s">
        <v>6166</v>
      </c>
    </row>
    <row r="9749" customFormat="false" ht="15.75" hidden="false" customHeight="false" outlineLevel="0" collapsed="false">
      <c r="A9749" s="6" t="n">
        <v>46158</v>
      </c>
      <c r="B9749" s="4" t="s">
        <v>13</v>
      </c>
      <c r="C9749" s="4" t="n">
        <v>12</v>
      </c>
      <c r="D9749" s="4" t="n">
        <v>13</v>
      </c>
      <c r="E9749" s="4" t="s">
        <v>6337</v>
      </c>
      <c r="F9749" s="4" t="n">
        <v>15</v>
      </c>
      <c r="G9749" s="4" t="n">
        <v>7</v>
      </c>
      <c r="H9749" s="4" t="n">
        <v>3</v>
      </c>
      <c r="I9749" s="4" t="str">
        <v>○</v>
      </c>
      <c r="J9749" s="4" t="n">
        <v>360</v>
      </c>
      <c r="K9749" s="4"/>
      <c r="L9749" s="4"/>
      <c r="M9749" s="5" t="s">
        <v>6166</v>
      </c>
    </row>
    <row r="9750" customFormat="false" ht="15.75" hidden="false" customHeight="false" outlineLevel="0" collapsed="false">
      <c r="A9750" s="6" t="n">
        <v>46158</v>
      </c>
      <c r="B9750" s="4" t="s">
        <v>13</v>
      </c>
      <c r="C9750" s="4" t="n">
        <v>12</v>
      </c>
      <c r="D9750" s="4" t="n">
        <v>14</v>
      </c>
      <c r="E9750" s="4" t="s">
        <v>5389</v>
      </c>
      <c r="F9750" s="4" t="n">
        <v>1</v>
      </c>
      <c r="G9750" s="4" t="n">
        <v>13</v>
      </c>
      <c r="H9750" s="4" t="n">
        <v>4</v>
      </c>
      <c r="I9750" s="4" t="str">
        <v>×</v>
      </c>
      <c r="J9750" s="4"/>
      <c r="K9750" s="4"/>
      <c r="L9750" s="4"/>
      <c r="M9750" s="5" t="s">
        <v>6166</v>
      </c>
    </row>
    <row r="9751" customFormat="false" ht="15.75" hidden="false" customHeight="false" outlineLevel="0" collapsed="false">
      <c r="A9751" s="6" t="n">
        <v>46158</v>
      </c>
      <c r="B9751" s="4" t="s">
        <v>13</v>
      </c>
      <c r="C9751" s="4" t="n">
        <v>12</v>
      </c>
      <c r="D9751" s="4" t="n">
        <v>15</v>
      </c>
      <c r="E9751" s="4" t="s">
        <v>6338</v>
      </c>
      <c r="F9751" s="4" t="n">
        <v>1</v>
      </c>
      <c r="G9751" s="4" t="n">
        <v>13</v>
      </c>
      <c r="H9751" s="4" t="n">
        <v>4</v>
      </c>
      <c r="I9751" s="4" t="str">
        <v>×</v>
      </c>
      <c r="J9751" s="4"/>
      <c r="K9751" s="4"/>
      <c r="L9751" s="4"/>
      <c r="M9751" s="5" t="s">
        <v>6166</v>
      </c>
    </row>
    <row r="9752" customFormat="false" ht="15.75" hidden="false" customHeight="false" outlineLevel="0" collapsed="false">
      <c r="A9752" s="6" t="n">
        <v>46158</v>
      </c>
      <c r="B9752" s="4" t="s">
        <v>13</v>
      </c>
      <c r="C9752" s="4" t="n">
        <v>12</v>
      </c>
      <c r="D9752" s="4" t="n">
        <v>16</v>
      </c>
      <c r="E9752" s="4" t="s">
        <v>5945</v>
      </c>
      <c r="F9752" s="4" t="n">
        <v>50</v>
      </c>
      <c r="G9752" s="4" t="n">
        <v>3</v>
      </c>
      <c r="H9752" s="4" t="n">
        <v>4</v>
      </c>
      <c r="I9752" s="4" t="str">
        <v>×</v>
      </c>
      <c r="J9752" s="4"/>
      <c r="K9752" s="4"/>
      <c r="L9752" s="4"/>
      <c r="M9752" s="5" t="s">
        <v>6166</v>
      </c>
    </row>
    <row r="9753" customFormat="false" ht="15.75" hidden="false" customHeight="false" outlineLevel="0" collapsed="false">
      <c r="A9753" s="6" t="n">
        <v>46159</v>
      </c>
      <c r="B9753" s="4" t="s">
        <v>4473</v>
      </c>
      <c r="C9753" s="4" t="n">
        <v>1</v>
      </c>
      <c r="D9753" s="4" t="n">
        <v>1</v>
      </c>
      <c r="E9753" s="4" t="s">
        <v>1426</v>
      </c>
      <c r="F9753" s="4" t="n">
        <v>10</v>
      </c>
      <c r="G9753" s="4" t="n">
        <v>6</v>
      </c>
      <c r="H9753" s="4" t="n">
        <v>4</v>
      </c>
      <c r="I9753" s="4" t="str">
        <v>×</v>
      </c>
      <c r="J9753" s="4"/>
      <c r="K9753" s="4"/>
      <c r="L9753" s="4"/>
      <c r="M9753" s="5" t="s">
        <v>6166</v>
      </c>
    </row>
    <row r="9754" customFormat="false" ht="15.75" hidden="false" customHeight="false" outlineLevel="0" collapsed="false">
      <c r="A9754" s="6" t="n">
        <v>46159</v>
      </c>
      <c r="B9754" s="4" t="s">
        <v>4473</v>
      </c>
      <c r="C9754" s="4" t="n">
        <v>1</v>
      </c>
      <c r="D9754" s="4" t="n">
        <v>2</v>
      </c>
      <c r="E9754" s="4" t="s">
        <v>4527</v>
      </c>
      <c r="F9754" s="4" t="n">
        <v>37</v>
      </c>
      <c r="G9754" s="4" t="n">
        <v>2</v>
      </c>
      <c r="H9754" s="4" t="n">
        <v>1</v>
      </c>
      <c r="I9754" s="4" t="str">
        <v>○</v>
      </c>
      <c r="J9754" s="4" t="n">
        <v>230</v>
      </c>
      <c r="K9754" s="4"/>
      <c r="L9754" s="4"/>
      <c r="M9754" s="5" t="s">
        <v>6166</v>
      </c>
    </row>
    <row r="9755" customFormat="false" ht="15.75" hidden="false" customHeight="false" outlineLevel="0" collapsed="false">
      <c r="A9755" s="6" t="n">
        <v>46159</v>
      </c>
      <c r="B9755" s="4" t="s">
        <v>4473</v>
      </c>
      <c r="C9755" s="4" t="n">
        <v>1</v>
      </c>
      <c r="D9755" s="4" t="n">
        <v>3</v>
      </c>
      <c r="E9755" s="4" t="s">
        <v>4674</v>
      </c>
      <c r="F9755" s="4" t="n">
        <v>10</v>
      </c>
      <c r="G9755" s="4" t="n">
        <v>6</v>
      </c>
      <c r="H9755" s="4" t="n">
        <v>4</v>
      </c>
      <c r="I9755" s="4" t="str">
        <v>×</v>
      </c>
      <c r="J9755" s="4"/>
      <c r="K9755" s="4"/>
      <c r="L9755" s="4"/>
      <c r="M9755" s="5" t="s">
        <v>6166</v>
      </c>
    </row>
    <row r="9756" customFormat="false" ht="15.75" hidden="false" customHeight="false" outlineLevel="0" collapsed="false">
      <c r="A9756" s="6" t="n">
        <v>46159</v>
      </c>
      <c r="B9756" s="4" t="s">
        <v>4473</v>
      </c>
      <c r="C9756" s="4" t="n">
        <v>1</v>
      </c>
      <c r="D9756" s="4" t="n">
        <v>4</v>
      </c>
      <c r="E9756" s="4" t="s">
        <v>3731</v>
      </c>
      <c r="F9756" s="4" t="n">
        <v>34</v>
      </c>
      <c r="G9756" s="4" t="n">
        <v>3</v>
      </c>
      <c r="H9756" s="4" t="n">
        <v>3</v>
      </c>
      <c r="I9756" s="4" t="str">
        <v>○</v>
      </c>
      <c r="J9756" s="4" t="n">
        <v>210</v>
      </c>
      <c r="K9756" s="4"/>
      <c r="L9756" s="4"/>
      <c r="M9756" s="5" t="s">
        <v>6166</v>
      </c>
    </row>
    <row r="9757" customFormat="false" ht="15.75" hidden="false" customHeight="false" outlineLevel="0" collapsed="false">
      <c r="A9757" s="6" t="n">
        <v>46159</v>
      </c>
      <c r="B9757" s="4" t="s">
        <v>4473</v>
      </c>
      <c r="C9757" s="4" t="n">
        <v>1</v>
      </c>
      <c r="D9757" s="4" t="n">
        <v>5</v>
      </c>
      <c r="E9757" s="4" t="s">
        <v>2576</v>
      </c>
      <c r="F9757" s="4" t="n">
        <v>56</v>
      </c>
      <c r="G9757" s="4" t="n">
        <v>1</v>
      </c>
      <c r="H9757" s="4" t="n">
        <v>4</v>
      </c>
      <c r="I9757" s="4" t="str">
        <v>×</v>
      </c>
      <c r="J9757" s="4"/>
      <c r="K9757" s="4"/>
      <c r="L9757" s="4"/>
      <c r="M9757" s="5" t="s">
        <v>6166</v>
      </c>
    </row>
    <row r="9758" customFormat="false" ht="15.75" hidden="false" customHeight="false" outlineLevel="0" collapsed="false">
      <c r="A9758" s="6" t="n">
        <v>46159</v>
      </c>
      <c r="B9758" s="4" t="s">
        <v>4473</v>
      </c>
      <c r="C9758" s="4" t="n">
        <v>1</v>
      </c>
      <c r="D9758" s="4" t="n">
        <v>6</v>
      </c>
      <c r="E9758" s="4" t="s">
        <v>57</v>
      </c>
      <c r="F9758" s="4" t="n">
        <v>6</v>
      </c>
      <c r="G9758" s="4" t="n">
        <v>8</v>
      </c>
      <c r="H9758" s="4" t="n">
        <v>4</v>
      </c>
      <c r="I9758" s="4" t="str">
        <v>×</v>
      </c>
      <c r="J9758" s="4"/>
      <c r="K9758" s="4"/>
      <c r="L9758" s="4"/>
      <c r="M9758" s="5" t="s">
        <v>6166</v>
      </c>
    </row>
    <row r="9759" customFormat="false" ht="15.75" hidden="false" customHeight="false" outlineLevel="0" collapsed="false">
      <c r="A9759" s="6" t="n">
        <v>46159</v>
      </c>
      <c r="B9759" s="4" t="s">
        <v>4473</v>
      </c>
      <c r="C9759" s="4" t="n">
        <v>1</v>
      </c>
      <c r="D9759" s="4" t="n">
        <v>7</v>
      </c>
      <c r="E9759" s="4" t="s">
        <v>6339</v>
      </c>
      <c r="F9759" s="4" t="n">
        <v>4</v>
      </c>
      <c r="G9759" s="4" t="n">
        <v>9</v>
      </c>
      <c r="H9759" s="4" t="n">
        <v>4</v>
      </c>
      <c r="I9759" s="4" t="str">
        <v>×</v>
      </c>
      <c r="J9759" s="4"/>
      <c r="K9759" s="4"/>
      <c r="L9759" s="4"/>
      <c r="M9759" s="5" t="s">
        <v>6166</v>
      </c>
    </row>
    <row r="9760" customFormat="false" ht="15.75" hidden="false" customHeight="false" outlineLevel="0" collapsed="false">
      <c r="A9760" s="6" t="n">
        <v>46159</v>
      </c>
      <c r="B9760" s="4" t="s">
        <v>4473</v>
      </c>
      <c r="C9760" s="4" t="n">
        <v>1</v>
      </c>
      <c r="D9760" s="4" t="n">
        <v>8</v>
      </c>
      <c r="E9760" s="4" t="s">
        <v>4488</v>
      </c>
      <c r="F9760" s="4" t="n">
        <v>10</v>
      </c>
      <c r="G9760" s="4" t="n">
        <v>6</v>
      </c>
      <c r="H9760" s="4" t="n">
        <v>4</v>
      </c>
      <c r="I9760" s="4" t="str">
        <v>×</v>
      </c>
      <c r="J9760" s="4"/>
      <c r="K9760" s="4"/>
      <c r="L9760" s="4"/>
      <c r="M9760" s="5" t="s">
        <v>6166</v>
      </c>
    </row>
    <row r="9761" customFormat="false" ht="15.75" hidden="false" customHeight="false" outlineLevel="0" collapsed="false">
      <c r="A9761" s="6" t="n">
        <v>46159</v>
      </c>
      <c r="B9761" s="4" t="s">
        <v>4473</v>
      </c>
      <c r="C9761" s="4" t="n">
        <v>1</v>
      </c>
      <c r="D9761" s="4" t="n">
        <v>9</v>
      </c>
      <c r="E9761" s="4" t="s">
        <v>6340</v>
      </c>
      <c r="F9761" s="4" t="n">
        <v>4</v>
      </c>
      <c r="G9761" s="4" t="n">
        <v>9</v>
      </c>
      <c r="H9761" s="4" t="n">
        <v>4</v>
      </c>
      <c r="I9761" s="4" t="str">
        <v>×</v>
      </c>
      <c r="J9761" s="4"/>
      <c r="K9761" s="4"/>
      <c r="L9761" s="4"/>
      <c r="M9761" s="5" t="s">
        <v>6166</v>
      </c>
    </row>
    <row r="9762" customFormat="false" ht="15.75" hidden="false" customHeight="false" outlineLevel="0" collapsed="false">
      <c r="A9762" s="6" t="n">
        <v>46159</v>
      </c>
      <c r="B9762" s="4" t="s">
        <v>4473</v>
      </c>
      <c r="C9762" s="4" t="n">
        <v>1</v>
      </c>
      <c r="D9762" s="4" t="n">
        <v>10</v>
      </c>
      <c r="E9762" s="4" t="s">
        <v>6341</v>
      </c>
      <c r="F9762" s="4" t="n">
        <v>17</v>
      </c>
      <c r="G9762" s="4" t="n">
        <v>5</v>
      </c>
      <c r="H9762" s="4" t="n">
        <v>4</v>
      </c>
      <c r="I9762" s="4" t="str">
        <v>×</v>
      </c>
      <c r="J9762" s="4"/>
      <c r="K9762" s="4"/>
      <c r="L9762" s="4"/>
      <c r="M9762" s="5" t="s">
        <v>6166</v>
      </c>
    </row>
    <row r="9763" customFormat="false" ht="15.75" hidden="false" customHeight="false" outlineLevel="0" collapsed="false">
      <c r="A9763" s="6" t="n">
        <v>46159</v>
      </c>
      <c r="B9763" s="4" t="s">
        <v>4473</v>
      </c>
      <c r="C9763" s="4" t="n">
        <v>1</v>
      </c>
      <c r="D9763" s="4" t="n">
        <v>11</v>
      </c>
      <c r="E9763" s="4" t="s">
        <v>4273</v>
      </c>
      <c r="F9763" s="4" t="n">
        <v>2</v>
      </c>
      <c r="G9763" s="4" t="n">
        <v>10</v>
      </c>
      <c r="H9763" s="4" t="n">
        <v>4</v>
      </c>
      <c r="I9763" s="4" t="str">
        <v>×</v>
      </c>
      <c r="J9763" s="4"/>
      <c r="K9763" s="4"/>
      <c r="L9763" s="4"/>
      <c r="M9763" s="5" t="s">
        <v>6166</v>
      </c>
    </row>
    <row r="9764" customFormat="false" ht="15.75" hidden="false" customHeight="false" outlineLevel="0" collapsed="false">
      <c r="A9764" s="6" t="n">
        <v>46159</v>
      </c>
      <c r="B9764" s="4" t="s">
        <v>4473</v>
      </c>
      <c r="C9764" s="4" t="n">
        <v>1</v>
      </c>
      <c r="D9764" s="4" t="n">
        <v>12</v>
      </c>
      <c r="E9764" s="4" t="s">
        <v>1886</v>
      </c>
      <c r="F9764" s="4" t="n">
        <v>23</v>
      </c>
      <c r="G9764" s="4" t="n">
        <v>4</v>
      </c>
      <c r="H9764" s="4" t="n">
        <v>4</v>
      </c>
      <c r="I9764" s="4" t="str">
        <v>×</v>
      </c>
      <c r="J9764" s="4"/>
      <c r="K9764" s="4"/>
      <c r="L9764" s="4"/>
      <c r="M9764" s="5" t="s">
        <v>6166</v>
      </c>
    </row>
    <row r="9765" customFormat="false" ht="15.75" hidden="false" customHeight="false" outlineLevel="0" collapsed="false">
      <c r="A9765" s="6" t="n">
        <v>46159</v>
      </c>
      <c r="B9765" s="4" t="s">
        <v>4473</v>
      </c>
      <c r="C9765" s="4" t="n">
        <v>1</v>
      </c>
      <c r="D9765" s="4" t="n">
        <v>13</v>
      </c>
      <c r="E9765" s="4" t="s">
        <v>798</v>
      </c>
      <c r="F9765" s="4" t="n">
        <v>8</v>
      </c>
      <c r="G9765" s="4" t="n">
        <v>7</v>
      </c>
      <c r="H9765" s="4" t="n">
        <v>2</v>
      </c>
      <c r="I9765" s="4" t="str">
        <v>○</v>
      </c>
      <c r="J9765" s="4" t="n">
        <v>280</v>
      </c>
      <c r="K9765" s="4"/>
      <c r="L9765" s="4"/>
      <c r="M9765" s="5" t="s">
        <v>6166</v>
      </c>
    </row>
    <row r="9766" customFormat="false" ht="15.75" hidden="false" customHeight="false" outlineLevel="0" collapsed="false">
      <c r="A9766" s="6" t="n">
        <v>46159</v>
      </c>
      <c r="B9766" s="4" t="s">
        <v>4473</v>
      </c>
      <c r="C9766" s="4" t="n">
        <v>1</v>
      </c>
      <c r="D9766" s="4" t="n">
        <v>14</v>
      </c>
      <c r="E9766" s="4" t="s">
        <v>6000</v>
      </c>
      <c r="F9766" s="4" t="n">
        <v>2</v>
      </c>
      <c r="G9766" s="4" t="n">
        <v>10</v>
      </c>
      <c r="H9766" s="4" t="n">
        <v>4</v>
      </c>
      <c r="I9766" s="4" t="str">
        <v>×</v>
      </c>
      <c r="J9766" s="4"/>
      <c r="K9766" s="4"/>
      <c r="L9766" s="4"/>
      <c r="M9766" s="5" t="s">
        <v>6166</v>
      </c>
    </row>
    <row r="9767" customFormat="false" ht="15.75" hidden="false" customHeight="false" outlineLevel="0" collapsed="false">
      <c r="A9767" s="6" t="n">
        <v>46159</v>
      </c>
      <c r="B9767" s="4" t="s">
        <v>4473</v>
      </c>
      <c r="C9767" s="4" t="n">
        <v>1</v>
      </c>
      <c r="D9767" s="4" t="n">
        <v>15</v>
      </c>
      <c r="E9767" s="4" t="s">
        <v>6342</v>
      </c>
      <c r="F9767" s="4" t="n">
        <v>4</v>
      </c>
      <c r="G9767" s="4" t="n">
        <v>9</v>
      </c>
      <c r="H9767" s="4" t="n">
        <v>4</v>
      </c>
      <c r="I9767" s="4" t="str">
        <v>×</v>
      </c>
      <c r="J9767" s="4"/>
      <c r="K9767" s="4"/>
      <c r="L9767" s="4"/>
      <c r="M9767" s="5" t="s">
        <v>6166</v>
      </c>
    </row>
    <row r="9768" customFormat="false" ht="15.75" hidden="false" customHeight="false" outlineLevel="0" collapsed="false">
      <c r="A9768" s="6" t="n">
        <v>46159</v>
      </c>
      <c r="B9768" s="4" t="s">
        <v>4473</v>
      </c>
      <c r="C9768" s="4" t="n">
        <v>1</v>
      </c>
      <c r="D9768" s="4" t="n">
        <v>16</v>
      </c>
      <c r="E9768" s="4" t="s">
        <v>1749</v>
      </c>
      <c r="F9768" s="4" t="n">
        <v>23</v>
      </c>
      <c r="G9768" s="4" t="n">
        <v>4</v>
      </c>
      <c r="H9768" s="4" t="n">
        <v>4</v>
      </c>
      <c r="I9768" s="4" t="str">
        <v>×</v>
      </c>
      <c r="J9768" s="4"/>
      <c r="K9768" s="4"/>
      <c r="L9768" s="4"/>
      <c r="M9768" s="5" t="s">
        <v>6166</v>
      </c>
    </row>
    <row r="9769" customFormat="false" ht="15.75" hidden="false" customHeight="false" outlineLevel="0" collapsed="false">
      <c r="A9769" s="6" t="n">
        <v>46159</v>
      </c>
      <c r="B9769" s="4" t="s">
        <v>4473</v>
      </c>
      <c r="C9769" s="4" t="n">
        <v>2</v>
      </c>
      <c r="D9769" s="4" t="n">
        <v>1</v>
      </c>
      <c r="E9769" s="4" t="s">
        <v>6343</v>
      </c>
      <c r="F9769" s="4" t="n">
        <v>1</v>
      </c>
      <c r="G9769" s="4" t="n">
        <v>11</v>
      </c>
      <c r="H9769" s="4" t="n">
        <v>4</v>
      </c>
      <c r="I9769" s="4" t="str">
        <v>×</v>
      </c>
      <c r="J9769" s="4"/>
      <c r="K9769" s="4"/>
      <c r="L9769" s="4"/>
      <c r="M9769" s="5" t="s">
        <v>6166</v>
      </c>
    </row>
    <row r="9770" customFormat="false" ht="15.75" hidden="false" customHeight="false" outlineLevel="0" collapsed="false">
      <c r="A9770" s="6" t="n">
        <v>46159</v>
      </c>
      <c r="B9770" s="4" t="s">
        <v>4473</v>
      </c>
      <c r="C9770" s="4" t="n">
        <v>2</v>
      </c>
      <c r="D9770" s="4" t="n">
        <v>2</v>
      </c>
      <c r="E9770" s="4" t="s">
        <v>6344</v>
      </c>
      <c r="F9770" s="4" t="n">
        <v>8</v>
      </c>
      <c r="G9770" s="4" t="n">
        <v>7</v>
      </c>
      <c r="H9770" s="4" t="n">
        <v>4</v>
      </c>
      <c r="I9770" s="4" t="str">
        <v>×</v>
      </c>
      <c r="J9770" s="4"/>
      <c r="K9770" s="4"/>
      <c r="L9770" s="4"/>
      <c r="M9770" s="5" t="s">
        <v>6166</v>
      </c>
    </row>
    <row r="9771" customFormat="false" ht="15.75" hidden="false" customHeight="false" outlineLevel="0" collapsed="false">
      <c r="A9771" s="6" t="n">
        <v>46159</v>
      </c>
      <c r="B9771" s="4" t="s">
        <v>4473</v>
      </c>
      <c r="C9771" s="4" t="n">
        <v>2</v>
      </c>
      <c r="D9771" s="4" t="n">
        <v>3</v>
      </c>
      <c r="E9771" s="4" t="s">
        <v>952</v>
      </c>
      <c r="F9771" s="4" t="n">
        <v>15</v>
      </c>
      <c r="G9771" s="4" t="n">
        <v>4</v>
      </c>
      <c r="H9771" s="4" t="n">
        <v>4</v>
      </c>
      <c r="I9771" s="4" t="str">
        <v>×</v>
      </c>
      <c r="J9771" s="4"/>
      <c r="K9771" s="4"/>
      <c r="L9771" s="4"/>
      <c r="M9771" s="5" t="s">
        <v>6166</v>
      </c>
    </row>
    <row r="9772" customFormat="false" ht="15.75" hidden="false" customHeight="false" outlineLevel="0" collapsed="false">
      <c r="A9772" s="6" t="n">
        <v>46159</v>
      </c>
      <c r="B9772" s="4" t="s">
        <v>4473</v>
      </c>
      <c r="C9772" s="4" t="n">
        <v>2</v>
      </c>
      <c r="D9772" s="4" t="n">
        <v>4</v>
      </c>
      <c r="E9772" s="4" t="s">
        <v>598</v>
      </c>
      <c r="F9772" s="4" t="n">
        <v>8</v>
      </c>
      <c r="G9772" s="4" t="n">
        <v>7</v>
      </c>
      <c r="H9772" s="4" t="n">
        <v>3</v>
      </c>
      <c r="I9772" s="4" t="str">
        <v>○</v>
      </c>
      <c r="J9772" s="4" t="n">
        <v>490</v>
      </c>
      <c r="K9772" s="4"/>
      <c r="L9772" s="4"/>
      <c r="M9772" s="5" t="s">
        <v>6166</v>
      </c>
    </row>
    <row r="9773" customFormat="false" ht="15.75" hidden="false" customHeight="false" outlineLevel="0" collapsed="false">
      <c r="A9773" s="6" t="n">
        <v>46159</v>
      </c>
      <c r="B9773" s="4" t="s">
        <v>4473</v>
      </c>
      <c r="C9773" s="4" t="n">
        <v>2</v>
      </c>
      <c r="D9773" s="4" t="n">
        <v>5</v>
      </c>
      <c r="E9773" s="4" t="s">
        <v>60</v>
      </c>
      <c r="F9773" s="4" t="n">
        <v>47</v>
      </c>
      <c r="G9773" s="4" t="n">
        <v>2</v>
      </c>
      <c r="H9773" s="4" t="n">
        <v>2</v>
      </c>
      <c r="I9773" s="4" t="str">
        <v>○</v>
      </c>
      <c r="J9773" s="4" t="n">
        <v>130</v>
      </c>
      <c r="K9773" s="4"/>
      <c r="L9773" s="4"/>
      <c r="M9773" s="5" t="s">
        <v>6166</v>
      </c>
    </row>
    <row r="9774" customFormat="false" ht="15.75" hidden="false" customHeight="false" outlineLevel="0" collapsed="false">
      <c r="A9774" s="6" t="n">
        <v>46159</v>
      </c>
      <c r="B9774" s="4" t="s">
        <v>4473</v>
      </c>
      <c r="C9774" s="4" t="n">
        <v>2</v>
      </c>
      <c r="D9774" s="4" t="n">
        <v>6</v>
      </c>
      <c r="E9774" s="4" t="s">
        <v>2346</v>
      </c>
      <c r="F9774" s="4" t="n">
        <v>6</v>
      </c>
      <c r="G9774" s="4" t="n">
        <v>8</v>
      </c>
      <c r="H9774" s="4" t="n">
        <v>4</v>
      </c>
      <c r="I9774" s="4" t="str">
        <v>×</v>
      </c>
      <c r="J9774" s="4"/>
      <c r="K9774" s="4"/>
      <c r="L9774" s="4"/>
      <c r="M9774" s="5" t="s">
        <v>6166</v>
      </c>
    </row>
    <row r="9775" customFormat="false" ht="15.75" hidden="false" customHeight="false" outlineLevel="0" collapsed="false">
      <c r="A9775" s="6" t="n">
        <v>46159</v>
      </c>
      <c r="B9775" s="4" t="s">
        <v>4473</v>
      </c>
      <c r="C9775" s="4" t="n">
        <v>2</v>
      </c>
      <c r="D9775" s="4" t="n">
        <v>7</v>
      </c>
      <c r="E9775" s="4" t="s">
        <v>6345</v>
      </c>
      <c r="F9775" s="4" t="n">
        <v>13</v>
      </c>
      <c r="G9775" s="4" t="n">
        <v>5</v>
      </c>
      <c r="H9775" s="4" t="n">
        <v>4</v>
      </c>
      <c r="I9775" s="4" t="str">
        <v>×</v>
      </c>
      <c r="J9775" s="4"/>
      <c r="K9775" s="4"/>
      <c r="L9775" s="4"/>
      <c r="M9775" s="5" t="s">
        <v>6166</v>
      </c>
    </row>
    <row r="9776" customFormat="false" ht="15.75" hidden="false" customHeight="false" outlineLevel="0" collapsed="false">
      <c r="A9776" s="6" t="n">
        <v>46159</v>
      </c>
      <c r="B9776" s="4" t="s">
        <v>4473</v>
      </c>
      <c r="C9776" s="4" t="n">
        <v>2</v>
      </c>
      <c r="D9776" s="4" t="n">
        <v>8</v>
      </c>
      <c r="E9776" s="4" t="s">
        <v>6346</v>
      </c>
      <c r="F9776" s="4" t="n">
        <v>8</v>
      </c>
      <c r="G9776" s="4" t="n">
        <v>7</v>
      </c>
      <c r="H9776" s="4" t="n">
        <v>4</v>
      </c>
      <c r="I9776" s="4" t="str">
        <v>×</v>
      </c>
      <c r="J9776" s="4"/>
      <c r="K9776" s="4"/>
      <c r="L9776" s="4"/>
      <c r="M9776" s="5" t="s">
        <v>6166</v>
      </c>
    </row>
    <row r="9777" customFormat="false" ht="15.75" hidden="false" customHeight="false" outlineLevel="0" collapsed="false">
      <c r="A9777" s="6" t="n">
        <v>46159</v>
      </c>
      <c r="B9777" s="4" t="s">
        <v>4473</v>
      </c>
      <c r="C9777" s="4" t="n">
        <v>2</v>
      </c>
      <c r="D9777" s="4" t="n">
        <v>9</v>
      </c>
      <c r="E9777" s="4" t="s">
        <v>495</v>
      </c>
      <c r="F9777" s="4" t="n">
        <v>13</v>
      </c>
      <c r="G9777" s="4" t="n">
        <v>5</v>
      </c>
      <c r="H9777" s="4" t="n">
        <v>4</v>
      </c>
      <c r="I9777" s="4" t="str">
        <v>×</v>
      </c>
      <c r="J9777" s="4"/>
      <c r="K9777" s="4"/>
      <c r="L9777" s="4"/>
      <c r="M9777" s="5" t="s">
        <v>6166</v>
      </c>
    </row>
    <row r="9778" customFormat="false" ht="15.75" hidden="false" customHeight="false" outlineLevel="0" collapsed="false">
      <c r="A9778" s="6" t="n">
        <v>46159</v>
      </c>
      <c r="B9778" s="4" t="s">
        <v>4473</v>
      </c>
      <c r="C9778" s="4" t="n">
        <v>2</v>
      </c>
      <c r="D9778" s="4" t="n">
        <v>10</v>
      </c>
      <c r="E9778" s="4" t="s">
        <v>6347</v>
      </c>
      <c r="F9778" s="4" t="n">
        <v>23</v>
      </c>
      <c r="G9778" s="4" t="n">
        <v>3</v>
      </c>
      <c r="H9778" s="4" t="n">
        <v>4</v>
      </c>
      <c r="I9778" s="4" t="str">
        <v>×</v>
      </c>
      <c r="J9778" s="4"/>
      <c r="K9778" s="4"/>
      <c r="L9778" s="4"/>
      <c r="M9778" s="5" t="s">
        <v>6166</v>
      </c>
    </row>
    <row r="9779" customFormat="false" ht="15.75" hidden="false" customHeight="false" outlineLevel="0" collapsed="false">
      <c r="A9779" s="6" t="n">
        <v>46159</v>
      </c>
      <c r="B9779" s="4" t="s">
        <v>4473</v>
      </c>
      <c r="C9779" s="4" t="n">
        <v>2</v>
      </c>
      <c r="D9779" s="4" t="n">
        <v>11</v>
      </c>
      <c r="E9779" s="4" t="s">
        <v>5742</v>
      </c>
      <c r="F9779" s="4" t="n">
        <v>3</v>
      </c>
      <c r="G9779" s="4" t="n">
        <v>10</v>
      </c>
      <c r="H9779" s="4" t="n">
        <v>4</v>
      </c>
      <c r="I9779" s="4" t="str">
        <v>×</v>
      </c>
      <c r="J9779" s="4"/>
      <c r="K9779" s="4"/>
      <c r="L9779" s="4"/>
      <c r="M9779" s="5" t="s">
        <v>6166</v>
      </c>
    </row>
    <row r="9780" customFormat="false" ht="15.75" hidden="false" customHeight="false" outlineLevel="0" collapsed="false">
      <c r="A9780" s="6" t="n">
        <v>46159</v>
      </c>
      <c r="B9780" s="4" t="s">
        <v>4473</v>
      </c>
      <c r="C9780" s="4" t="n">
        <v>2</v>
      </c>
      <c r="D9780" s="4" t="n">
        <v>12</v>
      </c>
      <c r="E9780" s="4" t="s">
        <v>4691</v>
      </c>
      <c r="F9780" s="4" t="n">
        <v>10</v>
      </c>
      <c r="G9780" s="4" t="n">
        <v>6</v>
      </c>
      <c r="H9780" s="4" t="n">
        <v>4</v>
      </c>
      <c r="I9780" s="4" t="str">
        <v>×</v>
      </c>
      <c r="J9780" s="4"/>
      <c r="K9780" s="4"/>
      <c r="L9780" s="4"/>
      <c r="M9780" s="5" t="s">
        <v>6166</v>
      </c>
    </row>
    <row r="9781" customFormat="false" ht="15.75" hidden="false" customHeight="false" outlineLevel="0" collapsed="false">
      <c r="A9781" s="6" t="n">
        <v>46159</v>
      </c>
      <c r="B9781" s="4" t="s">
        <v>4473</v>
      </c>
      <c r="C9781" s="4" t="n">
        <v>2</v>
      </c>
      <c r="D9781" s="4" t="n">
        <v>13</v>
      </c>
      <c r="E9781" s="4" t="s">
        <v>52</v>
      </c>
      <c r="F9781" s="4" t="n">
        <v>8</v>
      </c>
      <c r="G9781" s="4" t="n">
        <v>7</v>
      </c>
      <c r="H9781" s="4" t="n">
        <v>4</v>
      </c>
      <c r="I9781" s="4" t="str">
        <v>×</v>
      </c>
      <c r="J9781" s="4"/>
      <c r="K9781" s="4"/>
      <c r="L9781" s="4"/>
      <c r="M9781" s="5" t="s">
        <v>6166</v>
      </c>
    </row>
    <row r="9782" customFormat="false" ht="15.75" hidden="false" customHeight="false" outlineLevel="0" collapsed="false">
      <c r="A9782" s="6" t="n">
        <v>46159</v>
      </c>
      <c r="B9782" s="4" t="s">
        <v>4473</v>
      </c>
      <c r="C9782" s="4" t="n">
        <v>2</v>
      </c>
      <c r="D9782" s="4" t="n">
        <v>14</v>
      </c>
      <c r="E9782" s="4" t="s">
        <v>4728</v>
      </c>
      <c r="F9782" s="4" t="n">
        <v>74</v>
      </c>
      <c r="G9782" s="4" t="n">
        <v>1</v>
      </c>
      <c r="H9782" s="4" t="n">
        <v>1</v>
      </c>
      <c r="I9782" s="4" t="str">
        <v>○</v>
      </c>
      <c r="J9782" s="4" t="n">
        <v>110</v>
      </c>
      <c r="K9782" s="4"/>
      <c r="L9782" s="4"/>
      <c r="M9782" s="5" t="s">
        <v>6166</v>
      </c>
    </row>
    <row r="9783" customFormat="false" ht="15.75" hidden="false" customHeight="false" outlineLevel="0" collapsed="false">
      <c r="A9783" s="6" t="n">
        <v>46159</v>
      </c>
      <c r="B9783" s="4" t="s">
        <v>4473</v>
      </c>
      <c r="C9783" s="4" t="n">
        <v>2</v>
      </c>
      <c r="D9783" s="4" t="n">
        <v>15</v>
      </c>
      <c r="E9783" s="4" t="s">
        <v>3792</v>
      </c>
      <c r="F9783" s="4" t="n">
        <v>4</v>
      </c>
      <c r="G9783" s="4" t="n">
        <v>9</v>
      </c>
      <c r="H9783" s="4" t="n">
        <v>4</v>
      </c>
      <c r="I9783" s="4" t="str">
        <v>×</v>
      </c>
      <c r="J9783" s="4"/>
      <c r="K9783" s="4"/>
      <c r="L9783" s="4"/>
      <c r="M9783" s="5" t="s">
        <v>6166</v>
      </c>
    </row>
    <row r="9784" customFormat="false" ht="15.75" hidden="false" customHeight="false" outlineLevel="0" collapsed="false">
      <c r="A9784" s="6" t="n">
        <v>46159</v>
      </c>
      <c r="B9784" s="4" t="s">
        <v>4473</v>
      </c>
      <c r="C9784" s="4" t="n">
        <v>2</v>
      </c>
      <c r="D9784" s="4" t="n">
        <v>16</v>
      </c>
      <c r="E9784" s="4" t="s">
        <v>5803</v>
      </c>
      <c r="F9784" s="4" t="n">
        <v>8</v>
      </c>
      <c r="G9784" s="4" t="n">
        <v>7</v>
      </c>
      <c r="H9784" s="4" t="n">
        <v>4</v>
      </c>
      <c r="I9784" s="4" t="str">
        <v>×</v>
      </c>
      <c r="J9784" s="4"/>
      <c r="K9784" s="4"/>
      <c r="L9784" s="4"/>
      <c r="M9784" s="5" t="s">
        <v>6166</v>
      </c>
    </row>
    <row r="9785" customFormat="false" ht="15.75" hidden="false" customHeight="false" outlineLevel="0" collapsed="false">
      <c r="A9785" s="6" t="n">
        <v>46159</v>
      </c>
      <c r="B9785" s="4" t="s">
        <v>4473</v>
      </c>
      <c r="C9785" s="4" t="n">
        <v>3</v>
      </c>
      <c r="D9785" s="4" t="n">
        <v>1</v>
      </c>
      <c r="E9785" s="4" t="s">
        <v>4010</v>
      </c>
      <c r="F9785" s="4" t="n">
        <v>15</v>
      </c>
      <c r="G9785" s="4" t="n">
        <v>5</v>
      </c>
      <c r="H9785" s="4" t="n">
        <v>4</v>
      </c>
      <c r="I9785" s="4" t="str">
        <v>×</v>
      </c>
      <c r="J9785" s="4"/>
      <c r="K9785" s="4"/>
      <c r="L9785" s="4"/>
      <c r="M9785" s="5" t="s">
        <v>6166</v>
      </c>
    </row>
    <row r="9786" customFormat="false" ht="15.75" hidden="false" customHeight="false" outlineLevel="0" collapsed="false">
      <c r="A9786" s="6" t="n">
        <v>46159</v>
      </c>
      <c r="B9786" s="4" t="s">
        <v>4473</v>
      </c>
      <c r="C9786" s="4" t="n">
        <v>3</v>
      </c>
      <c r="D9786" s="4" t="n">
        <v>2</v>
      </c>
      <c r="E9786" s="4" t="s">
        <v>358</v>
      </c>
      <c r="F9786" s="4" t="n">
        <v>41</v>
      </c>
      <c r="G9786" s="4" t="n">
        <v>2</v>
      </c>
      <c r="H9786" s="4" t="n">
        <v>2</v>
      </c>
      <c r="I9786" s="4" t="str">
        <v>○</v>
      </c>
      <c r="J9786" s="4" t="n">
        <v>160</v>
      </c>
      <c r="K9786" s="4"/>
      <c r="L9786" s="4"/>
      <c r="M9786" s="5" t="s">
        <v>6166</v>
      </c>
    </row>
    <row r="9787" customFormat="false" ht="15.75" hidden="false" customHeight="false" outlineLevel="0" collapsed="false">
      <c r="A9787" s="6" t="n">
        <v>46159</v>
      </c>
      <c r="B9787" s="4" t="s">
        <v>4473</v>
      </c>
      <c r="C9787" s="4" t="n">
        <v>3</v>
      </c>
      <c r="D9787" s="4" t="n">
        <v>3</v>
      </c>
      <c r="E9787" s="4" t="s">
        <v>4679</v>
      </c>
      <c r="F9787" s="4" t="n">
        <v>13</v>
      </c>
      <c r="G9787" s="4" t="n">
        <v>6</v>
      </c>
      <c r="H9787" s="4" t="n">
        <v>4</v>
      </c>
      <c r="I9787" s="4" t="str">
        <v>×</v>
      </c>
      <c r="J9787" s="4"/>
      <c r="K9787" s="4"/>
      <c r="L9787" s="4"/>
      <c r="M9787" s="5" t="s">
        <v>6166</v>
      </c>
    </row>
    <row r="9788" customFormat="false" ht="15.75" hidden="false" customHeight="false" outlineLevel="0" collapsed="false">
      <c r="A9788" s="6" t="n">
        <v>46159</v>
      </c>
      <c r="B9788" s="4" t="s">
        <v>4473</v>
      </c>
      <c r="C9788" s="4" t="n">
        <v>3</v>
      </c>
      <c r="D9788" s="4" t="n">
        <v>4</v>
      </c>
      <c r="E9788" s="4" t="s">
        <v>3957</v>
      </c>
      <c r="F9788" s="4" t="n">
        <v>56</v>
      </c>
      <c r="G9788" s="4" t="n">
        <v>1</v>
      </c>
      <c r="H9788" s="4" t="n">
        <v>1</v>
      </c>
      <c r="I9788" s="4" t="str">
        <v>○</v>
      </c>
      <c r="J9788" s="4" t="n">
        <v>140</v>
      </c>
      <c r="K9788" s="4"/>
      <c r="L9788" s="4"/>
      <c r="M9788" s="5" t="s">
        <v>6166</v>
      </c>
    </row>
    <row r="9789" customFormat="false" ht="15.75" hidden="false" customHeight="false" outlineLevel="0" collapsed="false">
      <c r="A9789" s="6" t="n">
        <v>46159</v>
      </c>
      <c r="B9789" s="4" t="s">
        <v>4473</v>
      </c>
      <c r="C9789" s="4" t="n">
        <v>3</v>
      </c>
      <c r="D9789" s="4" t="n">
        <v>5</v>
      </c>
      <c r="E9789" s="4" t="s">
        <v>6348</v>
      </c>
      <c r="F9789" s="4" t="n">
        <v>8</v>
      </c>
      <c r="G9789" s="4" t="n">
        <v>7</v>
      </c>
      <c r="H9789" s="4" t="n">
        <v>4</v>
      </c>
      <c r="I9789" s="4" t="str">
        <v>×</v>
      </c>
      <c r="J9789" s="4"/>
      <c r="K9789" s="4"/>
      <c r="L9789" s="4"/>
      <c r="M9789" s="5" t="s">
        <v>6166</v>
      </c>
    </row>
    <row r="9790" customFormat="false" ht="15.75" hidden="false" customHeight="false" outlineLevel="0" collapsed="false">
      <c r="A9790" s="6" t="n">
        <v>46159</v>
      </c>
      <c r="B9790" s="4" t="s">
        <v>4473</v>
      </c>
      <c r="C9790" s="4" t="n">
        <v>3</v>
      </c>
      <c r="D9790" s="4" t="n">
        <v>6</v>
      </c>
      <c r="E9790" s="4" t="s">
        <v>6349</v>
      </c>
      <c r="F9790" s="4" t="n">
        <v>3</v>
      </c>
      <c r="G9790" s="4" t="n">
        <v>8</v>
      </c>
      <c r="H9790" s="4" t="n">
        <v>4</v>
      </c>
      <c r="I9790" s="4" t="str">
        <v>×</v>
      </c>
      <c r="J9790" s="4"/>
      <c r="K9790" s="4"/>
      <c r="L9790" s="4"/>
      <c r="M9790" s="5" t="s">
        <v>6166</v>
      </c>
    </row>
    <row r="9791" customFormat="false" ht="15.75" hidden="false" customHeight="false" outlineLevel="0" collapsed="false">
      <c r="A9791" s="6" t="n">
        <v>46159</v>
      </c>
      <c r="B9791" s="4" t="s">
        <v>4473</v>
      </c>
      <c r="C9791" s="4" t="n">
        <v>3</v>
      </c>
      <c r="D9791" s="4" t="n">
        <v>7</v>
      </c>
      <c r="E9791" s="4" t="s">
        <v>4680</v>
      </c>
      <c r="F9791" s="4" t="n">
        <v>37</v>
      </c>
      <c r="G9791" s="4" t="n">
        <v>3</v>
      </c>
      <c r="H9791" s="4" t="n">
        <v>4</v>
      </c>
      <c r="I9791" s="4" t="str">
        <v>×</v>
      </c>
      <c r="J9791" s="4"/>
      <c r="K9791" s="4"/>
      <c r="L9791" s="4"/>
      <c r="M9791" s="5" t="s">
        <v>6166</v>
      </c>
    </row>
    <row r="9792" customFormat="false" ht="15.75" hidden="false" customHeight="false" outlineLevel="0" collapsed="false">
      <c r="A9792" s="6" t="n">
        <v>46159</v>
      </c>
      <c r="B9792" s="4" t="s">
        <v>4473</v>
      </c>
      <c r="C9792" s="4" t="n">
        <v>3</v>
      </c>
      <c r="D9792" s="4" t="n">
        <v>8</v>
      </c>
      <c r="E9792" s="4" t="s">
        <v>2694</v>
      </c>
      <c r="F9792" s="4" t="n">
        <v>41</v>
      </c>
      <c r="G9792" s="4" t="n">
        <v>2</v>
      </c>
      <c r="H9792" s="4" t="n">
        <v>4</v>
      </c>
      <c r="I9792" s="4" t="str">
        <v>×</v>
      </c>
      <c r="J9792" s="4"/>
      <c r="K9792" s="4"/>
      <c r="L9792" s="4"/>
      <c r="M9792" s="5" t="s">
        <v>6166</v>
      </c>
    </row>
    <row r="9793" customFormat="false" ht="15.75" hidden="false" customHeight="false" outlineLevel="0" collapsed="false">
      <c r="A9793" s="6" t="n">
        <v>46159</v>
      </c>
      <c r="B9793" s="4" t="s">
        <v>4473</v>
      </c>
      <c r="C9793" s="4" t="n">
        <v>3</v>
      </c>
      <c r="D9793" s="4" t="n">
        <v>9</v>
      </c>
      <c r="E9793" s="4" t="s">
        <v>4016</v>
      </c>
      <c r="F9793" s="4" t="n">
        <v>25</v>
      </c>
      <c r="G9793" s="4" t="n">
        <v>4</v>
      </c>
      <c r="H9793" s="4" t="n">
        <v>3</v>
      </c>
      <c r="I9793" s="4" t="str">
        <v>○</v>
      </c>
      <c r="J9793" s="4" t="n">
        <v>250</v>
      </c>
      <c r="K9793" s="4"/>
      <c r="L9793" s="4"/>
      <c r="M9793" s="5" t="s">
        <v>6166</v>
      </c>
    </row>
    <row r="9794" customFormat="false" ht="15.75" hidden="false" customHeight="false" outlineLevel="0" collapsed="false">
      <c r="A9794" s="6" t="n">
        <v>46159</v>
      </c>
      <c r="B9794" s="4" t="s">
        <v>4473</v>
      </c>
      <c r="C9794" s="4" t="n">
        <v>3</v>
      </c>
      <c r="D9794" s="4" t="n">
        <v>10</v>
      </c>
      <c r="E9794" s="4" t="s">
        <v>5362</v>
      </c>
      <c r="F9794" s="4" t="n">
        <v>8</v>
      </c>
      <c r="G9794" s="4" t="n">
        <v>7</v>
      </c>
      <c r="H9794" s="4" t="n">
        <v>4</v>
      </c>
      <c r="I9794" s="4" t="str">
        <v>×</v>
      </c>
      <c r="J9794" s="4"/>
      <c r="K9794" s="4"/>
      <c r="L9794" s="4"/>
      <c r="M9794" s="5" t="s">
        <v>6166</v>
      </c>
    </row>
    <row r="9795" customFormat="false" ht="15.75" hidden="false" customHeight="false" outlineLevel="0" collapsed="false">
      <c r="A9795" s="6" t="n">
        <v>46159</v>
      </c>
      <c r="B9795" s="4" t="s">
        <v>4473</v>
      </c>
      <c r="C9795" s="4" t="n">
        <v>3</v>
      </c>
      <c r="D9795" s="4" t="n">
        <v>11</v>
      </c>
      <c r="E9795" s="4" t="s">
        <v>5136</v>
      </c>
      <c r="F9795" s="4" t="n">
        <v>13</v>
      </c>
      <c r="G9795" s="4" t="n">
        <v>6</v>
      </c>
      <c r="H9795" s="4" t="n">
        <v>4</v>
      </c>
      <c r="I9795" s="4" t="str">
        <v>×</v>
      </c>
      <c r="J9795" s="4"/>
      <c r="K9795" s="4"/>
      <c r="L9795" s="4"/>
      <c r="M9795" s="5" t="s">
        <v>6166</v>
      </c>
    </row>
    <row r="9796" customFormat="false" ht="15.75" hidden="false" customHeight="false" outlineLevel="0" collapsed="false">
      <c r="A9796" s="6" t="n">
        <v>46159</v>
      </c>
      <c r="B9796" s="4" t="s">
        <v>4473</v>
      </c>
      <c r="C9796" s="4" t="n">
        <v>3</v>
      </c>
      <c r="D9796" s="4" t="n">
        <v>12</v>
      </c>
      <c r="E9796" s="4" t="s">
        <v>2685</v>
      </c>
      <c r="F9796" s="4" t="n">
        <v>8</v>
      </c>
      <c r="G9796" s="4" t="n">
        <v>7</v>
      </c>
      <c r="H9796" s="4" t="n">
        <v>4</v>
      </c>
      <c r="I9796" s="4" t="str">
        <v>×</v>
      </c>
      <c r="J9796" s="4"/>
      <c r="K9796" s="4"/>
      <c r="L9796" s="4"/>
      <c r="M9796" s="5" t="s">
        <v>6166</v>
      </c>
    </row>
    <row r="9797" customFormat="false" ht="15.75" hidden="false" customHeight="false" outlineLevel="0" collapsed="false">
      <c r="A9797" s="6" t="n">
        <v>46159</v>
      </c>
      <c r="B9797" s="4" t="s">
        <v>4473</v>
      </c>
      <c r="C9797" s="4" t="n">
        <v>4</v>
      </c>
      <c r="D9797" s="4" t="n">
        <v>1</v>
      </c>
      <c r="E9797" s="4" t="s">
        <v>6350</v>
      </c>
      <c r="F9797" s="4" t="n">
        <v>17</v>
      </c>
      <c r="G9797" s="4" t="n">
        <v>5</v>
      </c>
      <c r="H9797" s="4" t="n">
        <v>4</v>
      </c>
      <c r="I9797" s="4" t="str">
        <v>×</v>
      </c>
      <c r="J9797" s="4"/>
      <c r="K9797" s="4"/>
      <c r="L9797" s="4"/>
      <c r="M9797" s="5" t="s">
        <v>6166</v>
      </c>
    </row>
    <row r="9798" customFormat="false" ht="15.75" hidden="false" customHeight="false" outlineLevel="0" collapsed="false">
      <c r="A9798" s="6" t="n">
        <v>46159</v>
      </c>
      <c r="B9798" s="4" t="s">
        <v>4473</v>
      </c>
      <c r="C9798" s="4" t="n">
        <v>4</v>
      </c>
      <c r="D9798" s="4" t="n">
        <v>2</v>
      </c>
      <c r="E9798" s="4" t="s">
        <v>3802</v>
      </c>
      <c r="F9798" s="4" t="n">
        <v>8</v>
      </c>
      <c r="G9798" s="4" t="n">
        <v>8</v>
      </c>
      <c r="H9798" s="4" t="n">
        <v>4</v>
      </c>
      <c r="I9798" s="4" t="str">
        <v>×</v>
      </c>
      <c r="J9798" s="4"/>
      <c r="K9798" s="4"/>
      <c r="L9798" s="4"/>
      <c r="M9798" s="5" t="s">
        <v>6166</v>
      </c>
    </row>
    <row r="9799" customFormat="false" ht="15.75" hidden="false" customHeight="false" outlineLevel="0" collapsed="false">
      <c r="A9799" s="6" t="n">
        <v>46159</v>
      </c>
      <c r="B9799" s="4" t="s">
        <v>4473</v>
      </c>
      <c r="C9799" s="4" t="n">
        <v>4</v>
      </c>
      <c r="D9799" s="4" t="n">
        <v>3</v>
      </c>
      <c r="E9799" s="4" t="s">
        <v>6351</v>
      </c>
      <c r="F9799" s="4" t="n">
        <v>10</v>
      </c>
      <c r="G9799" s="4" t="n">
        <v>7</v>
      </c>
      <c r="H9799" s="4" t="n">
        <v>4</v>
      </c>
      <c r="I9799" s="4" t="str">
        <v>×</v>
      </c>
      <c r="J9799" s="4"/>
      <c r="K9799" s="4"/>
      <c r="L9799" s="4"/>
      <c r="M9799" s="5" t="s">
        <v>6166</v>
      </c>
    </row>
    <row r="9800" customFormat="false" ht="15.75" hidden="false" customHeight="false" outlineLevel="0" collapsed="false">
      <c r="A9800" s="6" t="n">
        <v>46159</v>
      </c>
      <c r="B9800" s="4" t="s">
        <v>4473</v>
      </c>
      <c r="C9800" s="4" t="n">
        <v>4</v>
      </c>
      <c r="D9800" s="4" t="n">
        <v>4</v>
      </c>
      <c r="E9800" s="4" t="s">
        <v>2932</v>
      </c>
      <c r="F9800" s="4" t="n">
        <v>23</v>
      </c>
      <c r="G9800" s="4" t="n">
        <v>4</v>
      </c>
      <c r="H9800" s="4" t="n">
        <v>2</v>
      </c>
      <c r="I9800" s="4" t="str">
        <v>○</v>
      </c>
      <c r="J9800" s="4" t="n">
        <v>340</v>
      </c>
      <c r="K9800" s="4"/>
      <c r="L9800" s="4"/>
      <c r="M9800" s="5" t="s">
        <v>6166</v>
      </c>
    </row>
    <row r="9801" customFormat="false" ht="15.75" hidden="false" customHeight="false" outlineLevel="0" collapsed="false">
      <c r="A9801" s="6" t="n">
        <v>46159</v>
      </c>
      <c r="B9801" s="4" t="s">
        <v>4473</v>
      </c>
      <c r="C9801" s="4" t="n">
        <v>4</v>
      </c>
      <c r="D9801" s="4" t="n">
        <v>5</v>
      </c>
      <c r="E9801" s="4" t="s">
        <v>366</v>
      </c>
      <c r="F9801" s="4" t="n">
        <v>44</v>
      </c>
      <c r="G9801" s="4" t="n">
        <v>2</v>
      </c>
      <c r="H9801" s="4" t="n">
        <v>4</v>
      </c>
      <c r="I9801" s="4" t="str">
        <v>×</v>
      </c>
      <c r="J9801" s="4"/>
      <c r="K9801" s="4"/>
      <c r="L9801" s="4"/>
      <c r="M9801" s="5" t="s">
        <v>6166</v>
      </c>
    </row>
    <row r="9802" customFormat="false" ht="15.75" hidden="false" customHeight="false" outlineLevel="0" collapsed="false">
      <c r="A9802" s="6" t="n">
        <v>46159</v>
      </c>
      <c r="B9802" s="4" t="s">
        <v>4473</v>
      </c>
      <c r="C9802" s="4" t="n">
        <v>4</v>
      </c>
      <c r="D9802" s="4" t="n">
        <v>6</v>
      </c>
      <c r="E9802" s="4" t="s">
        <v>6352</v>
      </c>
      <c r="F9802" s="4" t="n">
        <v>6</v>
      </c>
      <c r="G9802" s="4" t="n">
        <v>9</v>
      </c>
      <c r="H9802" s="4" t="n">
        <v>4</v>
      </c>
      <c r="I9802" s="4" t="str">
        <v>×</v>
      </c>
      <c r="J9802" s="4"/>
      <c r="K9802" s="4"/>
      <c r="L9802" s="4"/>
      <c r="M9802" s="5" t="s">
        <v>6166</v>
      </c>
    </row>
    <row r="9803" customFormat="false" ht="15.75" hidden="false" customHeight="false" outlineLevel="0" collapsed="false">
      <c r="A9803" s="6" t="n">
        <v>46159</v>
      </c>
      <c r="B9803" s="4" t="s">
        <v>4473</v>
      </c>
      <c r="C9803" s="4" t="n">
        <v>4</v>
      </c>
      <c r="D9803" s="4" t="n">
        <v>7</v>
      </c>
      <c r="E9803" s="4" t="s">
        <v>620</v>
      </c>
      <c r="F9803" s="4" t="n">
        <v>13</v>
      </c>
      <c r="G9803" s="4" t="n">
        <v>6</v>
      </c>
      <c r="H9803" s="4" t="n">
        <v>4</v>
      </c>
      <c r="I9803" s="4" t="str">
        <v>×</v>
      </c>
      <c r="J9803" s="4"/>
      <c r="K9803" s="4"/>
      <c r="L9803" s="4"/>
      <c r="M9803" s="5" t="s">
        <v>6166</v>
      </c>
    </row>
    <row r="9804" customFormat="false" ht="15.75" hidden="false" customHeight="false" outlineLevel="0" collapsed="false">
      <c r="A9804" s="6" t="n">
        <v>46159</v>
      </c>
      <c r="B9804" s="4" t="s">
        <v>4473</v>
      </c>
      <c r="C9804" s="4" t="n">
        <v>4</v>
      </c>
      <c r="D9804" s="4" t="n">
        <v>8</v>
      </c>
      <c r="E9804" s="4" t="s">
        <v>2595</v>
      </c>
      <c r="F9804" s="4" t="n">
        <v>8</v>
      </c>
      <c r="G9804" s="4" t="n">
        <v>8</v>
      </c>
      <c r="H9804" s="4" t="n">
        <v>4</v>
      </c>
      <c r="I9804" s="4" t="str">
        <v>×</v>
      </c>
      <c r="J9804" s="4"/>
      <c r="K9804" s="4"/>
      <c r="L9804" s="4"/>
      <c r="M9804" s="5" t="s">
        <v>6166</v>
      </c>
    </row>
    <row r="9805" customFormat="false" ht="15.75" hidden="false" customHeight="false" outlineLevel="0" collapsed="false">
      <c r="A9805" s="6" t="n">
        <v>46159</v>
      </c>
      <c r="B9805" s="4" t="s">
        <v>4473</v>
      </c>
      <c r="C9805" s="4" t="n">
        <v>4</v>
      </c>
      <c r="D9805" s="4" t="n">
        <v>9</v>
      </c>
      <c r="E9805" s="4" t="s">
        <v>4515</v>
      </c>
      <c r="F9805" s="4" t="n">
        <v>23</v>
      </c>
      <c r="G9805" s="4" t="n">
        <v>4</v>
      </c>
      <c r="H9805" s="4" t="n">
        <v>3</v>
      </c>
      <c r="I9805" s="4" t="str">
        <v>○</v>
      </c>
      <c r="J9805" s="4" t="n">
        <v>190</v>
      </c>
      <c r="K9805" s="4"/>
      <c r="L9805" s="4"/>
      <c r="M9805" s="5" t="s">
        <v>6166</v>
      </c>
    </row>
    <row r="9806" customFormat="false" ht="15.75" hidden="false" customHeight="false" outlineLevel="0" collapsed="false">
      <c r="A9806" s="6" t="n">
        <v>46159</v>
      </c>
      <c r="B9806" s="4" t="s">
        <v>4473</v>
      </c>
      <c r="C9806" s="4" t="n">
        <v>4</v>
      </c>
      <c r="D9806" s="4" t="n">
        <v>10</v>
      </c>
      <c r="E9806" s="4" t="s">
        <v>4430</v>
      </c>
      <c r="F9806" s="4" t="n">
        <v>8</v>
      </c>
      <c r="G9806" s="4" t="n">
        <v>8</v>
      </c>
      <c r="H9806" s="4" t="n">
        <v>4</v>
      </c>
      <c r="I9806" s="4" t="str">
        <v>×</v>
      </c>
      <c r="J9806" s="4"/>
      <c r="K9806" s="4"/>
      <c r="L9806" s="4"/>
      <c r="M9806" s="5" t="s">
        <v>6166</v>
      </c>
    </row>
    <row r="9807" customFormat="false" ht="15.75" hidden="false" customHeight="false" outlineLevel="0" collapsed="false">
      <c r="A9807" s="6" t="n">
        <v>46159</v>
      </c>
      <c r="B9807" s="4" t="s">
        <v>4473</v>
      </c>
      <c r="C9807" s="4" t="n">
        <v>4</v>
      </c>
      <c r="D9807" s="4" t="n">
        <v>11</v>
      </c>
      <c r="E9807" s="4" t="s">
        <v>365</v>
      </c>
      <c r="F9807" s="4" t="n">
        <v>2</v>
      </c>
      <c r="G9807" s="4" t="n">
        <v>11</v>
      </c>
      <c r="H9807" s="4" t="n">
        <v>4</v>
      </c>
      <c r="I9807" s="4" t="str">
        <v>×</v>
      </c>
      <c r="J9807" s="4"/>
      <c r="K9807" s="4"/>
      <c r="L9807" s="4"/>
      <c r="M9807" s="5" t="s">
        <v>6166</v>
      </c>
    </row>
    <row r="9808" customFormat="false" ht="15.75" hidden="false" customHeight="false" outlineLevel="0" collapsed="false">
      <c r="A9808" s="6" t="n">
        <v>46159</v>
      </c>
      <c r="B9808" s="4" t="s">
        <v>4473</v>
      </c>
      <c r="C9808" s="4" t="n">
        <v>4</v>
      </c>
      <c r="D9808" s="4" t="n">
        <v>12</v>
      </c>
      <c r="E9808" s="4" t="s">
        <v>511</v>
      </c>
      <c r="F9808" s="4" t="n">
        <v>39</v>
      </c>
      <c r="G9808" s="4" t="n">
        <v>3</v>
      </c>
      <c r="H9808" s="4" t="n">
        <v>4</v>
      </c>
      <c r="I9808" s="4" t="str">
        <v>×</v>
      </c>
      <c r="J9808" s="4"/>
      <c r="K9808" s="4"/>
      <c r="L9808" s="4"/>
      <c r="M9808" s="5" t="s">
        <v>6166</v>
      </c>
    </row>
    <row r="9809" customFormat="false" ht="15.75" hidden="false" customHeight="false" outlineLevel="0" collapsed="false">
      <c r="A9809" s="6" t="n">
        <v>46159</v>
      </c>
      <c r="B9809" s="4" t="s">
        <v>4473</v>
      </c>
      <c r="C9809" s="4" t="n">
        <v>4</v>
      </c>
      <c r="D9809" s="4" t="n">
        <v>13</v>
      </c>
      <c r="E9809" s="4" t="s">
        <v>509</v>
      </c>
      <c r="F9809" s="4" t="n">
        <v>3</v>
      </c>
      <c r="G9809" s="4" t="n">
        <v>10</v>
      </c>
      <c r="H9809" s="4" t="n">
        <v>4</v>
      </c>
      <c r="I9809" s="4" t="str">
        <v>×</v>
      </c>
      <c r="J9809" s="4"/>
      <c r="K9809" s="4"/>
      <c r="L9809" s="4"/>
      <c r="M9809" s="5" t="s">
        <v>6166</v>
      </c>
    </row>
    <row r="9810" customFormat="false" ht="15.75" hidden="false" customHeight="false" outlineLevel="0" collapsed="false">
      <c r="A9810" s="6" t="n">
        <v>46159</v>
      </c>
      <c r="B9810" s="4" t="s">
        <v>4473</v>
      </c>
      <c r="C9810" s="4" t="n">
        <v>4</v>
      </c>
      <c r="D9810" s="4" t="n">
        <v>14</v>
      </c>
      <c r="E9810" s="4" t="s">
        <v>1008</v>
      </c>
      <c r="F9810" s="4" t="n">
        <v>10</v>
      </c>
      <c r="G9810" s="4" t="n">
        <v>7</v>
      </c>
      <c r="H9810" s="4" t="n">
        <v>4</v>
      </c>
      <c r="I9810" s="4" t="str">
        <v>×</v>
      </c>
      <c r="J9810" s="4"/>
      <c r="K9810" s="4"/>
      <c r="L9810" s="4"/>
      <c r="M9810" s="5" t="s">
        <v>6166</v>
      </c>
    </row>
    <row r="9811" customFormat="false" ht="15.75" hidden="false" customHeight="false" outlineLevel="0" collapsed="false">
      <c r="A9811" s="6" t="n">
        <v>46159</v>
      </c>
      <c r="B9811" s="4" t="s">
        <v>4473</v>
      </c>
      <c r="C9811" s="4" t="n">
        <v>4</v>
      </c>
      <c r="D9811" s="4" t="n">
        <v>15</v>
      </c>
      <c r="E9811" s="4" t="s">
        <v>6353</v>
      </c>
      <c r="F9811" s="4" t="n">
        <v>3</v>
      </c>
      <c r="G9811" s="4" t="n">
        <v>10</v>
      </c>
      <c r="H9811" s="4" t="n">
        <v>4</v>
      </c>
      <c r="I9811" s="4" t="str">
        <v>×</v>
      </c>
      <c r="J9811" s="4"/>
      <c r="K9811" s="4"/>
      <c r="L9811" s="4"/>
      <c r="M9811" s="5" t="s">
        <v>6166</v>
      </c>
    </row>
    <row r="9812" customFormat="false" ht="15.75" hidden="false" customHeight="false" outlineLevel="0" collapsed="false">
      <c r="A9812" s="6" t="n">
        <v>46159</v>
      </c>
      <c r="B9812" s="4" t="s">
        <v>4473</v>
      </c>
      <c r="C9812" s="4" t="n">
        <v>4</v>
      </c>
      <c r="D9812" s="4" t="n">
        <v>16</v>
      </c>
      <c r="E9812" s="4" t="s">
        <v>3401</v>
      </c>
      <c r="F9812" s="4" t="n">
        <v>51</v>
      </c>
      <c r="G9812" s="4" t="n">
        <v>1</v>
      </c>
      <c r="H9812" s="4" t="n">
        <v>1</v>
      </c>
      <c r="I9812" s="4" t="str">
        <v>○</v>
      </c>
      <c r="J9812" s="4" t="n">
        <v>110</v>
      </c>
      <c r="K9812" s="4"/>
      <c r="L9812" s="4"/>
      <c r="M9812" s="5" t="s">
        <v>6166</v>
      </c>
    </row>
    <row r="9813" customFormat="false" ht="15.75" hidden="false" customHeight="false" outlineLevel="0" collapsed="false">
      <c r="A9813" s="6" t="n">
        <v>46159</v>
      </c>
      <c r="B9813" s="4" t="s">
        <v>4473</v>
      </c>
      <c r="C9813" s="4" t="n">
        <v>4</v>
      </c>
      <c r="D9813" s="4" t="n">
        <v>17</v>
      </c>
      <c r="E9813" s="4" t="s">
        <v>385</v>
      </c>
      <c r="F9813" s="4" t="n">
        <v>13</v>
      </c>
      <c r="G9813" s="4" t="n">
        <v>6</v>
      </c>
      <c r="H9813" s="4" t="n">
        <v>4</v>
      </c>
      <c r="I9813" s="4" t="str">
        <v>×</v>
      </c>
      <c r="J9813" s="4"/>
      <c r="K9813" s="4"/>
      <c r="L9813" s="4"/>
      <c r="M9813" s="5" t="s">
        <v>6166</v>
      </c>
    </row>
    <row r="9814" customFormat="false" ht="15.75" hidden="false" customHeight="false" outlineLevel="0" collapsed="false">
      <c r="A9814" s="6" t="n">
        <v>46159</v>
      </c>
      <c r="B9814" s="4" t="s">
        <v>4473</v>
      </c>
      <c r="C9814" s="4" t="n">
        <v>5</v>
      </c>
      <c r="D9814" s="4" t="n">
        <v>1</v>
      </c>
      <c r="E9814" s="4" t="s">
        <v>2217</v>
      </c>
      <c r="F9814" s="4" t="n">
        <v>31</v>
      </c>
      <c r="G9814" s="4" t="n">
        <v>4</v>
      </c>
      <c r="H9814" s="4" t="n">
        <v>4</v>
      </c>
      <c r="I9814" s="4" t="str">
        <v>×</v>
      </c>
      <c r="J9814" s="4"/>
      <c r="K9814" s="4"/>
      <c r="L9814" s="4"/>
      <c r="M9814" s="5" t="s">
        <v>6166</v>
      </c>
    </row>
    <row r="9815" customFormat="false" ht="15.75" hidden="false" customHeight="false" outlineLevel="0" collapsed="false">
      <c r="A9815" s="6" t="n">
        <v>46159</v>
      </c>
      <c r="B9815" s="4" t="s">
        <v>4473</v>
      </c>
      <c r="C9815" s="4" t="n">
        <v>5</v>
      </c>
      <c r="D9815" s="4" t="n">
        <v>2</v>
      </c>
      <c r="E9815" s="4" t="s">
        <v>4890</v>
      </c>
      <c r="F9815" s="4" t="n">
        <v>29</v>
      </c>
      <c r="G9815" s="4" t="n">
        <v>5</v>
      </c>
      <c r="H9815" s="4" t="n">
        <v>4</v>
      </c>
      <c r="I9815" s="4" t="str">
        <v>×</v>
      </c>
      <c r="J9815" s="4"/>
      <c r="K9815" s="4"/>
      <c r="L9815" s="4"/>
      <c r="M9815" s="5" t="s">
        <v>6166</v>
      </c>
    </row>
    <row r="9816" customFormat="false" ht="15.75" hidden="false" customHeight="false" outlineLevel="0" collapsed="false">
      <c r="A9816" s="6" t="n">
        <v>46159</v>
      </c>
      <c r="B9816" s="4" t="s">
        <v>4473</v>
      </c>
      <c r="C9816" s="4" t="n">
        <v>5</v>
      </c>
      <c r="D9816" s="4" t="n">
        <v>3</v>
      </c>
      <c r="E9816" s="4" t="s">
        <v>2750</v>
      </c>
      <c r="F9816" s="4" t="n">
        <v>15</v>
      </c>
      <c r="G9816" s="4" t="n">
        <v>7</v>
      </c>
      <c r="H9816" s="4" t="n">
        <v>4</v>
      </c>
      <c r="I9816" s="4" t="str">
        <v>×</v>
      </c>
      <c r="J9816" s="4"/>
      <c r="K9816" s="4"/>
      <c r="L9816" s="4"/>
      <c r="M9816" s="5" t="s">
        <v>6166</v>
      </c>
    </row>
    <row r="9817" customFormat="false" ht="15.75" hidden="false" customHeight="false" outlineLevel="0" collapsed="false">
      <c r="A9817" s="6" t="n">
        <v>46159</v>
      </c>
      <c r="B9817" s="4" t="s">
        <v>4473</v>
      </c>
      <c r="C9817" s="4" t="n">
        <v>5</v>
      </c>
      <c r="D9817" s="4" t="n">
        <v>4</v>
      </c>
      <c r="E9817" s="4" t="s">
        <v>5812</v>
      </c>
      <c r="F9817" s="4" t="n">
        <v>20</v>
      </c>
      <c r="G9817" s="4" t="n">
        <v>6</v>
      </c>
      <c r="H9817" s="4" t="n">
        <v>4</v>
      </c>
      <c r="I9817" s="4" t="str">
        <v>×</v>
      </c>
      <c r="J9817" s="4"/>
      <c r="K9817" s="4"/>
      <c r="L9817" s="4"/>
      <c r="M9817" s="5" t="s">
        <v>6166</v>
      </c>
    </row>
    <row r="9818" customFormat="false" ht="15.75" hidden="false" customHeight="false" outlineLevel="0" collapsed="false">
      <c r="A9818" s="6" t="n">
        <v>46159</v>
      </c>
      <c r="B9818" s="4" t="s">
        <v>4473</v>
      </c>
      <c r="C9818" s="4" t="n">
        <v>5</v>
      </c>
      <c r="D9818" s="4" t="n">
        <v>5</v>
      </c>
      <c r="E9818" s="4" t="s">
        <v>6354</v>
      </c>
      <c r="F9818" s="4" t="n">
        <v>71</v>
      </c>
      <c r="G9818" s="4" t="n">
        <v>1</v>
      </c>
      <c r="H9818" s="4" t="n">
        <v>1</v>
      </c>
      <c r="I9818" s="4" t="str">
        <v>○</v>
      </c>
      <c r="J9818" s="4" t="n">
        <v>110</v>
      </c>
      <c r="K9818" s="4"/>
      <c r="L9818" s="4"/>
      <c r="M9818" s="5" t="s">
        <v>6166</v>
      </c>
    </row>
    <row r="9819" customFormat="false" ht="15.75" hidden="false" customHeight="false" outlineLevel="0" collapsed="false">
      <c r="A9819" s="6" t="n">
        <v>46159</v>
      </c>
      <c r="B9819" s="4" t="s">
        <v>4473</v>
      </c>
      <c r="C9819" s="4" t="n">
        <v>5</v>
      </c>
      <c r="D9819" s="4" t="n">
        <v>6</v>
      </c>
      <c r="E9819" s="4" t="s">
        <v>1406</v>
      </c>
      <c r="F9819" s="4" t="n">
        <v>8</v>
      </c>
      <c r="G9819" s="4" t="n">
        <v>9</v>
      </c>
      <c r="H9819" s="4" t="n">
        <v>2</v>
      </c>
      <c r="I9819" s="4" t="str">
        <v>○</v>
      </c>
      <c r="J9819" s="4" t="n">
        <v>1880</v>
      </c>
      <c r="K9819" s="4"/>
      <c r="L9819" s="4"/>
      <c r="M9819" s="5" t="s">
        <v>6166</v>
      </c>
    </row>
    <row r="9820" customFormat="false" ht="15.75" hidden="false" customHeight="false" outlineLevel="0" collapsed="false">
      <c r="A9820" s="6" t="n">
        <v>46159</v>
      </c>
      <c r="B9820" s="4" t="s">
        <v>4473</v>
      </c>
      <c r="C9820" s="4" t="n">
        <v>5</v>
      </c>
      <c r="D9820" s="4" t="n">
        <v>7</v>
      </c>
      <c r="E9820" s="4" t="s">
        <v>1417</v>
      </c>
      <c r="F9820" s="4" t="n">
        <v>8</v>
      </c>
      <c r="G9820" s="4" t="n">
        <v>9</v>
      </c>
      <c r="H9820" s="4" t="n">
        <v>4</v>
      </c>
      <c r="I9820" s="4" t="str">
        <v>×</v>
      </c>
      <c r="J9820" s="4"/>
      <c r="K9820" s="4"/>
      <c r="L9820" s="4"/>
      <c r="M9820" s="5" t="s">
        <v>6166</v>
      </c>
    </row>
    <row r="9821" customFormat="false" ht="15.75" hidden="false" customHeight="false" outlineLevel="0" collapsed="false">
      <c r="A9821" s="6" t="n">
        <v>46159</v>
      </c>
      <c r="B9821" s="4" t="s">
        <v>4473</v>
      </c>
      <c r="C9821" s="4" t="n">
        <v>5</v>
      </c>
      <c r="D9821" s="4" t="n">
        <v>8</v>
      </c>
      <c r="E9821" s="4" t="s">
        <v>3805</v>
      </c>
      <c r="F9821" s="4" t="n">
        <v>8</v>
      </c>
      <c r="G9821" s="4" t="n">
        <v>9</v>
      </c>
      <c r="H9821" s="4" t="n">
        <v>4</v>
      </c>
      <c r="I9821" s="4" t="str">
        <v>×</v>
      </c>
      <c r="J9821" s="4"/>
      <c r="K9821" s="4"/>
      <c r="L9821" s="4"/>
      <c r="M9821" s="5" t="s">
        <v>6166</v>
      </c>
    </row>
    <row r="9822" customFormat="false" ht="15.75" hidden="false" customHeight="false" outlineLevel="0" collapsed="false">
      <c r="A9822" s="6" t="n">
        <v>46159</v>
      </c>
      <c r="B9822" s="4" t="s">
        <v>4473</v>
      </c>
      <c r="C9822" s="4" t="n">
        <v>5</v>
      </c>
      <c r="D9822" s="4" t="n">
        <v>9</v>
      </c>
      <c r="E9822" s="4" t="s">
        <v>5811</v>
      </c>
      <c r="F9822" s="4" t="n">
        <v>10</v>
      </c>
      <c r="G9822" s="4" t="n">
        <v>8</v>
      </c>
      <c r="H9822" s="4" t="n">
        <v>4</v>
      </c>
      <c r="I9822" s="4" t="str">
        <v>×</v>
      </c>
      <c r="J9822" s="4"/>
      <c r="K9822" s="4"/>
      <c r="L9822" s="4"/>
      <c r="M9822" s="5" t="s">
        <v>6166</v>
      </c>
    </row>
    <row r="9823" customFormat="false" ht="15.75" hidden="false" customHeight="false" outlineLevel="0" collapsed="false">
      <c r="A9823" s="6" t="n">
        <v>46159</v>
      </c>
      <c r="B9823" s="4" t="s">
        <v>4473</v>
      </c>
      <c r="C9823" s="4" t="n">
        <v>5</v>
      </c>
      <c r="D9823" s="4" t="n">
        <v>10</v>
      </c>
      <c r="E9823" s="4" t="s">
        <v>203</v>
      </c>
      <c r="F9823" s="4" t="n">
        <v>60</v>
      </c>
      <c r="G9823" s="4" t="n">
        <v>2</v>
      </c>
      <c r="H9823" s="4" t="n">
        <v>4</v>
      </c>
      <c r="I9823" s="4" t="str">
        <v>×</v>
      </c>
      <c r="J9823" s="4"/>
      <c r="K9823" s="4"/>
      <c r="L9823" s="4"/>
      <c r="M9823" s="5" t="s">
        <v>6166</v>
      </c>
    </row>
    <row r="9824" customFormat="false" ht="15.75" hidden="false" customHeight="false" outlineLevel="0" collapsed="false">
      <c r="A9824" s="6" t="n">
        <v>46159</v>
      </c>
      <c r="B9824" s="4" t="s">
        <v>4473</v>
      </c>
      <c r="C9824" s="4" t="n">
        <v>5</v>
      </c>
      <c r="D9824" s="4" t="n">
        <v>11</v>
      </c>
      <c r="E9824" s="4" t="s">
        <v>1310</v>
      </c>
      <c r="F9824" s="4" t="n">
        <v>52</v>
      </c>
      <c r="G9824" s="4" t="n">
        <v>3</v>
      </c>
      <c r="H9824" s="4" t="n">
        <v>3</v>
      </c>
      <c r="I9824" s="4" t="str">
        <v>○</v>
      </c>
      <c r="J9824" s="4" t="n">
        <v>110</v>
      </c>
      <c r="K9824" s="4"/>
      <c r="L9824" s="4"/>
      <c r="M9824" s="5" t="s">
        <v>6166</v>
      </c>
    </row>
    <row r="9825" customFormat="false" ht="15.75" hidden="false" customHeight="false" outlineLevel="0" collapsed="false">
      <c r="A9825" s="6" t="n">
        <v>46159</v>
      </c>
      <c r="B9825" s="4" t="s">
        <v>4473</v>
      </c>
      <c r="C9825" s="4" t="n">
        <v>6</v>
      </c>
      <c r="D9825" s="4" t="n">
        <v>1</v>
      </c>
      <c r="E9825" s="4" t="s">
        <v>3065</v>
      </c>
      <c r="F9825" s="4" t="n">
        <v>52</v>
      </c>
      <c r="G9825" s="4" t="n">
        <v>3</v>
      </c>
      <c r="H9825" s="4" t="n">
        <v>2</v>
      </c>
      <c r="I9825" s="4" t="str">
        <v>○</v>
      </c>
      <c r="J9825" s="4" t="n">
        <v>120</v>
      </c>
      <c r="K9825" s="4"/>
      <c r="L9825" s="4"/>
      <c r="M9825" s="5" t="s">
        <v>6166</v>
      </c>
    </row>
    <row r="9826" customFormat="false" ht="15.75" hidden="false" customHeight="false" outlineLevel="0" collapsed="false">
      <c r="A9826" s="6" t="n">
        <v>46159</v>
      </c>
      <c r="B9826" s="4" t="s">
        <v>4473</v>
      </c>
      <c r="C9826" s="4" t="n">
        <v>6</v>
      </c>
      <c r="D9826" s="4" t="n">
        <v>2</v>
      </c>
      <c r="E9826" s="4" t="s">
        <v>6124</v>
      </c>
      <c r="F9826" s="4" t="n">
        <v>56</v>
      </c>
      <c r="G9826" s="4" t="n">
        <v>2</v>
      </c>
      <c r="H9826" s="4" t="n">
        <v>4</v>
      </c>
      <c r="I9826" s="4" t="str">
        <v>×</v>
      </c>
      <c r="J9826" s="4"/>
      <c r="K9826" s="4"/>
      <c r="L9826" s="4"/>
      <c r="M9826" s="5" t="s">
        <v>6166</v>
      </c>
    </row>
    <row r="9827" customFormat="false" ht="15.75" hidden="false" customHeight="false" outlineLevel="0" collapsed="false">
      <c r="A9827" s="6" t="n">
        <v>46159</v>
      </c>
      <c r="B9827" s="4" t="s">
        <v>4473</v>
      </c>
      <c r="C9827" s="4" t="n">
        <v>6</v>
      </c>
      <c r="D9827" s="4" t="n">
        <v>3</v>
      </c>
      <c r="E9827" s="4" t="s">
        <v>4520</v>
      </c>
      <c r="F9827" s="4" t="n">
        <v>8</v>
      </c>
      <c r="G9827" s="4" t="n">
        <v>6</v>
      </c>
      <c r="H9827" s="4" t="n">
        <v>4</v>
      </c>
      <c r="I9827" s="4" t="str">
        <v>×</v>
      </c>
      <c r="J9827" s="4"/>
      <c r="K9827" s="4"/>
      <c r="L9827" s="4"/>
      <c r="M9827" s="5" t="s">
        <v>6166</v>
      </c>
    </row>
    <row r="9828" customFormat="false" ht="15.75" hidden="false" customHeight="false" outlineLevel="0" collapsed="false">
      <c r="A9828" s="6" t="n">
        <v>46159</v>
      </c>
      <c r="B9828" s="4" t="s">
        <v>4473</v>
      </c>
      <c r="C9828" s="4" t="n">
        <v>6</v>
      </c>
      <c r="D9828" s="4" t="n">
        <v>4</v>
      </c>
      <c r="E9828" s="4" t="s">
        <v>4522</v>
      </c>
      <c r="F9828" s="4" t="n">
        <v>29</v>
      </c>
      <c r="G9828" s="4" t="n">
        <v>5</v>
      </c>
      <c r="H9828" s="4" t="n">
        <v>4</v>
      </c>
      <c r="I9828" s="4" t="str">
        <v>×</v>
      </c>
      <c r="J9828" s="4"/>
      <c r="K9828" s="4"/>
      <c r="L9828" s="4"/>
      <c r="M9828" s="5" t="s">
        <v>6166</v>
      </c>
    </row>
    <row r="9829" customFormat="false" ht="15.75" hidden="false" customHeight="false" outlineLevel="0" collapsed="false">
      <c r="A9829" s="6" t="n">
        <v>46159</v>
      </c>
      <c r="B9829" s="4" t="s">
        <v>4473</v>
      </c>
      <c r="C9829" s="4" t="n">
        <v>6</v>
      </c>
      <c r="D9829" s="4" t="n">
        <v>5</v>
      </c>
      <c r="E9829" s="4" t="s">
        <v>6355</v>
      </c>
      <c r="F9829" s="4" t="n">
        <v>58</v>
      </c>
      <c r="G9829" s="4" t="n">
        <v>1</v>
      </c>
      <c r="H9829" s="4" t="n">
        <v>4</v>
      </c>
      <c r="I9829" s="4" t="str">
        <v>×</v>
      </c>
      <c r="J9829" s="4"/>
      <c r="K9829" s="4"/>
      <c r="L9829" s="4"/>
      <c r="M9829" s="5" t="s">
        <v>6166</v>
      </c>
    </row>
    <row r="9830" customFormat="false" ht="15.75" hidden="false" customHeight="false" outlineLevel="0" collapsed="false">
      <c r="A9830" s="6" t="n">
        <v>46159</v>
      </c>
      <c r="B9830" s="4" t="s">
        <v>4473</v>
      </c>
      <c r="C9830" s="4" t="n">
        <v>6</v>
      </c>
      <c r="D9830" s="4" t="n">
        <v>6</v>
      </c>
      <c r="E9830" s="4" t="s">
        <v>6356</v>
      </c>
      <c r="F9830" s="4" t="n">
        <v>29</v>
      </c>
      <c r="G9830" s="4" t="n">
        <v>5</v>
      </c>
      <c r="H9830" s="4" t="n">
        <v>1</v>
      </c>
      <c r="I9830" s="4" t="str">
        <v>○</v>
      </c>
      <c r="J9830" s="4" t="n">
        <v>140</v>
      </c>
      <c r="K9830" s="4"/>
      <c r="L9830" s="4"/>
      <c r="M9830" s="5" t="s">
        <v>6166</v>
      </c>
    </row>
    <row r="9831" customFormat="false" ht="15.75" hidden="false" customHeight="false" outlineLevel="0" collapsed="false">
      <c r="A9831" s="6" t="n">
        <v>46159</v>
      </c>
      <c r="B9831" s="4" t="s">
        <v>4473</v>
      </c>
      <c r="C9831" s="4" t="n">
        <v>6</v>
      </c>
      <c r="D9831" s="4" t="n">
        <v>7</v>
      </c>
      <c r="E9831" s="4" t="s">
        <v>281</v>
      </c>
      <c r="F9831" s="4" t="n">
        <v>44</v>
      </c>
      <c r="G9831" s="4" t="n">
        <v>4</v>
      </c>
      <c r="H9831" s="4" t="n">
        <v>3</v>
      </c>
      <c r="I9831" s="4" t="str">
        <v>○</v>
      </c>
      <c r="J9831" s="4" t="n">
        <v>140</v>
      </c>
      <c r="K9831" s="4"/>
      <c r="L9831" s="4"/>
      <c r="M9831" s="5" t="s">
        <v>6166</v>
      </c>
    </row>
    <row r="9832" customFormat="false" ht="15.75" hidden="false" customHeight="false" outlineLevel="0" collapsed="false">
      <c r="A9832" s="6" t="n">
        <v>46159</v>
      </c>
      <c r="B9832" s="4" t="s">
        <v>4473</v>
      </c>
      <c r="C9832" s="4" t="n">
        <v>6</v>
      </c>
      <c r="D9832" s="4" t="n">
        <v>8</v>
      </c>
      <c r="E9832" s="4" t="s">
        <v>4880</v>
      </c>
      <c r="F9832" s="4" t="n">
        <v>8</v>
      </c>
      <c r="G9832" s="4" t="n">
        <v>6</v>
      </c>
      <c r="H9832" s="4" t="n">
        <v>4</v>
      </c>
      <c r="I9832" s="4" t="str">
        <v>×</v>
      </c>
      <c r="J9832" s="4"/>
      <c r="K9832" s="4"/>
      <c r="L9832" s="4"/>
      <c r="M9832" s="5" t="s">
        <v>6166</v>
      </c>
    </row>
    <row r="9833" customFormat="false" ht="15.75" hidden="false" customHeight="false" outlineLevel="0" collapsed="false">
      <c r="A9833" s="6" t="n">
        <v>46159</v>
      </c>
      <c r="B9833" s="4" t="s">
        <v>4473</v>
      </c>
      <c r="C9833" s="4" t="n">
        <v>7</v>
      </c>
      <c r="D9833" s="4" t="n">
        <v>1</v>
      </c>
      <c r="E9833" s="4" t="s">
        <v>6357</v>
      </c>
      <c r="F9833" s="4" t="n">
        <v>41</v>
      </c>
      <c r="G9833" s="4" t="n">
        <v>4</v>
      </c>
      <c r="H9833" s="4" t="n">
        <v>4</v>
      </c>
      <c r="I9833" s="4" t="str">
        <v>×</v>
      </c>
      <c r="J9833" s="4"/>
      <c r="K9833" s="4"/>
      <c r="L9833" s="4"/>
      <c r="M9833" s="5" t="s">
        <v>6166</v>
      </c>
    </row>
    <row r="9834" customFormat="false" ht="15.75" hidden="false" customHeight="false" outlineLevel="0" collapsed="false">
      <c r="A9834" s="6" t="n">
        <v>46159</v>
      </c>
      <c r="B9834" s="4" t="s">
        <v>4473</v>
      </c>
      <c r="C9834" s="4" t="n">
        <v>7</v>
      </c>
      <c r="D9834" s="4" t="n">
        <v>2</v>
      </c>
      <c r="E9834" s="4" t="s">
        <v>3933</v>
      </c>
      <c r="F9834" s="4" t="n">
        <v>47</v>
      </c>
      <c r="G9834" s="4" t="n">
        <v>2</v>
      </c>
      <c r="H9834" s="4" t="n">
        <v>1</v>
      </c>
      <c r="I9834" s="4" t="str">
        <v>○</v>
      </c>
      <c r="J9834" s="4" t="n">
        <v>170</v>
      </c>
      <c r="K9834" s="4"/>
      <c r="L9834" s="4"/>
      <c r="M9834" s="5" t="s">
        <v>6166</v>
      </c>
    </row>
    <row r="9835" customFormat="false" ht="15.75" hidden="false" customHeight="false" outlineLevel="0" collapsed="false">
      <c r="A9835" s="6" t="n">
        <v>46159</v>
      </c>
      <c r="B9835" s="4" t="s">
        <v>4473</v>
      </c>
      <c r="C9835" s="4" t="n">
        <v>7</v>
      </c>
      <c r="D9835" s="4" t="n">
        <v>3</v>
      </c>
      <c r="E9835" s="4" t="s">
        <v>6358</v>
      </c>
      <c r="F9835" s="4" t="n">
        <v>6</v>
      </c>
      <c r="G9835" s="4" t="n">
        <v>7</v>
      </c>
      <c r="H9835" s="4" t="n">
        <v>4</v>
      </c>
      <c r="I9835" s="4" t="str">
        <v>×</v>
      </c>
      <c r="J9835" s="4"/>
      <c r="K9835" s="4"/>
      <c r="L9835" s="4"/>
      <c r="M9835" s="5" t="s">
        <v>6166</v>
      </c>
    </row>
    <row r="9836" customFormat="false" ht="15.75" hidden="false" customHeight="false" outlineLevel="0" collapsed="false">
      <c r="A9836" s="6" t="n">
        <v>46159</v>
      </c>
      <c r="B9836" s="4" t="s">
        <v>4473</v>
      </c>
      <c r="C9836" s="4" t="n">
        <v>7</v>
      </c>
      <c r="D9836" s="4" t="n">
        <v>4</v>
      </c>
      <c r="E9836" s="4" t="s">
        <v>3825</v>
      </c>
      <c r="F9836" s="4" t="n">
        <v>41</v>
      </c>
      <c r="G9836" s="4" t="n">
        <v>4</v>
      </c>
      <c r="H9836" s="4" t="n">
        <v>4</v>
      </c>
      <c r="I9836" s="4" t="str">
        <v>×</v>
      </c>
      <c r="J9836" s="4"/>
      <c r="K9836" s="4"/>
      <c r="L9836" s="4"/>
      <c r="M9836" s="5" t="s">
        <v>6166</v>
      </c>
    </row>
    <row r="9837" customFormat="false" ht="15.75" hidden="false" customHeight="false" outlineLevel="0" collapsed="false">
      <c r="A9837" s="6" t="n">
        <v>46159</v>
      </c>
      <c r="B9837" s="4" t="s">
        <v>4473</v>
      </c>
      <c r="C9837" s="4" t="n">
        <v>7</v>
      </c>
      <c r="D9837" s="4" t="n">
        <v>5</v>
      </c>
      <c r="E9837" s="4" t="s">
        <v>6359</v>
      </c>
      <c r="F9837" s="4" t="n">
        <v>31</v>
      </c>
      <c r="G9837" s="4" t="n">
        <v>5</v>
      </c>
      <c r="H9837" s="4" t="n">
        <v>2</v>
      </c>
      <c r="I9837" s="4" t="str">
        <v>○</v>
      </c>
      <c r="J9837" s="4" t="n">
        <v>160</v>
      </c>
      <c r="K9837" s="4"/>
      <c r="L9837" s="4"/>
      <c r="M9837" s="5" t="s">
        <v>6166</v>
      </c>
    </row>
    <row r="9838" customFormat="false" ht="15.75" hidden="false" customHeight="false" outlineLevel="0" collapsed="false">
      <c r="A9838" s="6" t="n">
        <v>46159</v>
      </c>
      <c r="B9838" s="4" t="s">
        <v>4473</v>
      </c>
      <c r="C9838" s="4" t="n">
        <v>7</v>
      </c>
      <c r="D9838" s="4" t="n">
        <v>6</v>
      </c>
      <c r="E9838" s="4" t="s">
        <v>176</v>
      </c>
      <c r="F9838" s="4" t="n">
        <v>62</v>
      </c>
      <c r="G9838" s="4" t="n">
        <v>1</v>
      </c>
      <c r="H9838" s="4" t="n">
        <v>3</v>
      </c>
      <c r="I9838" s="4" t="str">
        <v>○</v>
      </c>
      <c r="J9838" s="4" t="n">
        <v>270</v>
      </c>
      <c r="K9838" s="4"/>
      <c r="L9838" s="4"/>
      <c r="M9838" s="5" t="s">
        <v>6166</v>
      </c>
    </row>
    <row r="9839" customFormat="false" ht="15.75" hidden="false" customHeight="false" outlineLevel="0" collapsed="false">
      <c r="A9839" s="6" t="n">
        <v>46159</v>
      </c>
      <c r="B9839" s="4" t="s">
        <v>4473</v>
      </c>
      <c r="C9839" s="4" t="n">
        <v>7</v>
      </c>
      <c r="D9839" s="4" t="n">
        <v>7</v>
      </c>
      <c r="E9839" s="4" t="s">
        <v>6360</v>
      </c>
      <c r="F9839" s="4" t="n">
        <v>44</v>
      </c>
      <c r="G9839" s="4" t="n">
        <v>3</v>
      </c>
      <c r="H9839" s="4" t="n">
        <v>4</v>
      </c>
      <c r="I9839" s="4" t="str">
        <v>×</v>
      </c>
      <c r="J9839" s="4"/>
      <c r="K9839" s="4"/>
      <c r="L9839" s="4"/>
      <c r="M9839" s="5" t="s">
        <v>6166</v>
      </c>
    </row>
    <row r="9840" customFormat="false" ht="15.75" hidden="false" customHeight="false" outlineLevel="0" collapsed="false">
      <c r="A9840" s="6" t="n">
        <v>46159</v>
      </c>
      <c r="B9840" s="4" t="s">
        <v>4473</v>
      </c>
      <c r="C9840" s="4" t="n">
        <v>7</v>
      </c>
      <c r="D9840" s="4" t="n">
        <v>8</v>
      </c>
      <c r="E9840" s="4" t="s">
        <v>3794</v>
      </c>
      <c r="F9840" s="4" t="n">
        <v>10</v>
      </c>
      <c r="G9840" s="4" t="n">
        <v>6</v>
      </c>
      <c r="H9840" s="4" t="n">
        <v>4</v>
      </c>
      <c r="I9840" s="4" t="str">
        <v>×</v>
      </c>
      <c r="J9840" s="4"/>
      <c r="K9840" s="4"/>
      <c r="L9840" s="4"/>
      <c r="M9840" s="5" t="s">
        <v>6166</v>
      </c>
    </row>
    <row r="9841" customFormat="false" ht="15.75" hidden="false" customHeight="false" outlineLevel="0" collapsed="false">
      <c r="A9841" s="6" t="n">
        <v>46159</v>
      </c>
      <c r="B9841" s="4" t="s">
        <v>4473</v>
      </c>
      <c r="C9841" s="4" t="n">
        <v>8</v>
      </c>
      <c r="D9841" s="4" t="n">
        <v>1</v>
      </c>
      <c r="E9841" s="4" t="s">
        <v>1338</v>
      </c>
      <c r="F9841" s="4" t="n">
        <v>37</v>
      </c>
      <c r="G9841" s="4" t="n">
        <v>2</v>
      </c>
      <c r="H9841" s="4" t="n">
        <v>4</v>
      </c>
      <c r="I9841" s="4" t="str">
        <v>×</v>
      </c>
      <c r="J9841" s="4"/>
      <c r="K9841" s="4"/>
      <c r="L9841" s="4"/>
      <c r="M9841" s="5" t="s">
        <v>6166</v>
      </c>
    </row>
    <row r="9842" customFormat="false" ht="15.75" hidden="false" customHeight="false" outlineLevel="0" collapsed="false">
      <c r="A9842" s="6" t="n">
        <v>46159</v>
      </c>
      <c r="B9842" s="4" t="s">
        <v>4473</v>
      </c>
      <c r="C9842" s="4" t="n">
        <v>8</v>
      </c>
      <c r="D9842" s="4" t="n">
        <v>2</v>
      </c>
      <c r="E9842" s="4" t="s">
        <v>6361</v>
      </c>
      <c r="F9842" s="4" t="n">
        <v>17</v>
      </c>
      <c r="G9842" s="4" t="n">
        <v>6</v>
      </c>
      <c r="H9842" s="4" t="n">
        <v>4</v>
      </c>
      <c r="I9842" s="4" t="str">
        <v>×</v>
      </c>
      <c r="J9842" s="4"/>
      <c r="K9842" s="4"/>
      <c r="L9842" s="4"/>
      <c r="M9842" s="5" t="s">
        <v>6166</v>
      </c>
    </row>
    <row r="9843" customFormat="false" ht="15.75" hidden="false" customHeight="false" outlineLevel="0" collapsed="false">
      <c r="A9843" s="6" t="n">
        <v>46159</v>
      </c>
      <c r="B9843" s="4" t="s">
        <v>4473</v>
      </c>
      <c r="C9843" s="4" t="n">
        <v>8</v>
      </c>
      <c r="D9843" s="4" t="n">
        <v>3</v>
      </c>
      <c r="E9843" s="4" t="s">
        <v>4566</v>
      </c>
      <c r="F9843" s="4" t="n">
        <v>25</v>
      </c>
      <c r="G9843" s="4" t="n">
        <v>5</v>
      </c>
      <c r="H9843" s="4" t="n">
        <v>4</v>
      </c>
      <c r="I9843" s="4" t="str">
        <v>×</v>
      </c>
      <c r="J9843" s="4"/>
      <c r="K9843" s="4"/>
      <c r="L9843" s="4"/>
      <c r="M9843" s="5" t="s">
        <v>6166</v>
      </c>
    </row>
    <row r="9844" customFormat="false" ht="15.75" hidden="false" customHeight="false" outlineLevel="0" collapsed="false">
      <c r="A9844" s="6" t="n">
        <v>46159</v>
      </c>
      <c r="B9844" s="4" t="s">
        <v>4473</v>
      </c>
      <c r="C9844" s="4" t="n">
        <v>8</v>
      </c>
      <c r="D9844" s="4" t="n">
        <v>4</v>
      </c>
      <c r="E9844" s="4" t="s">
        <v>2376</v>
      </c>
      <c r="F9844" s="4" t="n">
        <v>34</v>
      </c>
      <c r="G9844" s="4" t="n">
        <v>3</v>
      </c>
      <c r="H9844" s="4" t="n">
        <v>4</v>
      </c>
      <c r="I9844" s="4" t="str">
        <v>×</v>
      </c>
      <c r="J9844" s="4"/>
      <c r="K9844" s="4"/>
      <c r="L9844" s="4"/>
      <c r="M9844" s="5" t="s">
        <v>6166</v>
      </c>
    </row>
    <row r="9845" customFormat="false" ht="15.75" hidden="false" customHeight="false" outlineLevel="0" collapsed="false">
      <c r="A9845" s="6" t="n">
        <v>46159</v>
      </c>
      <c r="B9845" s="4" t="s">
        <v>4473</v>
      </c>
      <c r="C9845" s="4" t="n">
        <v>8</v>
      </c>
      <c r="D9845" s="4" t="n">
        <v>5</v>
      </c>
      <c r="E9845" s="4" t="s">
        <v>6362</v>
      </c>
      <c r="F9845" s="4" t="n">
        <v>4</v>
      </c>
      <c r="G9845" s="4" t="n">
        <v>9</v>
      </c>
      <c r="H9845" s="4" t="n">
        <v>1</v>
      </c>
      <c r="I9845" s="4" t="str">
        <v>○</v>
      </c>
      <c r="J9845" s="4" t="n">
        <v>1260</v>
      </c>
      <c r="K9845" s="4"/>
      <c r="L9845" s="4"/>
      <c r="M9845" s="5" t="s">
        <v>6166</v>
      </c>
    </row>
    <row r="9846" customFormat="false" ht="15.75" hidden="false" customHeight="false" outlineLevel="0" collapsed="false">
      <c r="A9846" s="6" t="n">
        <v>46159</v>
      </c>
      <c r="B9846" s="4" t="s">
        <v>4473</v>
      </c>
      <c r="C9846" s="4" t="n">
        <v>8</v>
      </c>
      <c r="D9846" s="4" t="n">
        <v>6</v>
      </c>
      <c r="E9846" s="4" t="s">
        <v>4442</v>
      </c>
      <c r="F9846" s="4" t="n">
        <v>4</v>
      </c>
      <c r="G9846" s="4" t="n">
        <v>9</v>
      </c>
      <c r="H9846" s="4" t="n">
        <v>4</v>
      </c>
      <c r="I9846" s="4" t="str">
        <v>×</v>
      </c>
      <c r="J9846" s="4"/>
      <c r="K9846" s="4"/>
      <c r="L9846" s="4"/>
      <c r="M9846" s="5" t="s">
        <v>6166</v>
      </c>
    </row>
    <row r="9847" customFormat="false" ht="15.75" hidden="false" customHeight="false" outlineLevel="0" collapsed="false">
      <c r="A9847" s="6" t="n">
        <v>46159</v>
      </c>
      <c r="B9847" s="4" t="s">
        <v>4473</v>
      </c>
      <c r="C9847" s="4" t="n">
        <v>8</v>
      </c>
      <c r="D9847" s="4" t="n">
        <v>7</v>
      </c>
      <c r="E9847" s="4" t="s">
        <v>3078</v>
      </c>
      <c r="F9847" s="4" t="n">
        <v>2</v>
      </c>
      <c r="G9847" s="4" t="n">
        <v>10</v>
      </c>
      <c r="H9847" s="4" t="n">
        <v>4</v>
      </c>
      <c r="I9847" s="4" t="str">
        <v>×</v>
      </c>
      <c r="J9847" s="4"/>
      <c r="K9847" s="4"/>
      <c r="L9847" s="4"/>
      <c r="M9847" s="5" t="s">
        <v>6166</v>
      </c>
    </row>
    <row r="9848" customFormat="false" ht="15.75" hidden="false" customHeight="false" outlineLevel="0" collapsed="false">
      <c r="A9848" s="6" t="n">
        <v>46159</v>
      </c>
      <c r="B9848" s="4" t="s">
        <v>4473</v>
      </c>
      <c r="C9848" s="4" t="n">
        <v>8</v>
      </c>
      <c r="D9848" s="4" t="n">
        <v>8</v>
      </c>
      <c r="E9848" s="4" t="s">
        <v>6363</v>
      </c>
      <c r="F9848" s="4" t="n">
        <v>29</v>
      </c>
      <c r="G9848" s="4" t="n">
        <v>4</v>
      </c>
      <c r="H9848" s="4" t="n">
        <v>2</v>
      </c>
      <c r="I9848" s="4" t="str">
        <v>○</v>
      </c>
      <c r="J9848" s="4" t="n">
        <v>160</v>
      </c>
      <c r="K9848" s="4"/>
      <c r="L9848" s="4"/>
      <c r="M9848" s="5" t="s">
        <v>6166</v>
      </c>
    </row>
    <row r="9849" customFormat="false" ht="15.75" hidden="false" customHeight="false" outlineLevel="0" collapsed="false">
      <c r="A9849" s="6" t="n">
        <v>46159</v>
      </c>
      <c r="B9849" s="4" t="s">
        <v>4473</v>
      </c>
      <c r="C9849" s="4" t="n">
        <v>8</v>
      </c>
      <c r="D9849" s="4" t="n">
        <v>9</v>
      </c>
      <c r="E9849" s="4" t="s">
        <v>1339</v>
      </c>
      <c r="F9849" s="4" t="n">
        <v>44</v>
      </c>
      <c r="G9849" s="4" t="n">
        <v>1</v>
      </c>
      <c r="H9849" s="4" t="n">
        <v>4</v>
      </c>
      <c r="I9849" s="4" t="str">
        <v>×</v>
      </c>
      <c r="J9849" s="4"/>
      <c r="K9849" s="4"/>
      <c r="L9849" s="4"/>
      <c r="M9849" s="5" t="s">
        <v>6166</v>
      </c>
    </row>
    <row r="9850" customFormat="false" ht="15.75" hidden="false" customHeight="false" outlineLevel="0" collapsed="false">
      <c r="A9850" s="6" t="n">
        <v>46159</v>
      </c>
      <c r="B9850" s="4" t="s">
        <v>4473</v>
      </c>
      <c r="C9850" s="4" t="n">
        <v>8</v>
      </c>
      <c r="D9850" s="4" t="n">
        <v>10</v>
      </c>
      <c r="E9850" s="4" t="s">
        <v>2966</v>
      </c>
      <c r="F9850" s="4" t="n">
        <v>44</v>
      </c>
      <c r="G9850" s="4" t="n">
        <v>1</v>
      </c>
      <c r="H9850" s="4" t="n">
        <v>4</v>
      </c>
      <c r="I9850" s="4" t="str">
        <v>×</v>
      </c>
      <c r="J9850" s="4"/>
      <c r="K9850" s="4"/>
      <c r="L9850" s="4"/>
      <c r="M9850" s="5" t="s">
        <v>6166</v>
      </c>
    </row>
    <row r="9851" customFormat="false" ht="15.75" hidden="false" customHeight="false" outlineLevel="0" collapsed="false">
      <c r="A9851" s="6" t="n">
        <v>46159</v>
      </c>
      <c r="B9851" s="4" t="s">
        <v>4473</v>
      </c>
      <c r="C9851" s="4" t="n">
        <v>8</v>
      </c>
      <c r="D9851" s="4" t="n">
        <v>11</v>
      </c>
      <c r="E9851" s="4" t="s">
        <v>6364</v>
      </c>
      <c r="F9851" s="4" t="n">
        <v>8</v>
      </c>
      <c r="G9851" s="4" t="n">
        <v>7</v>
      </c>
      <c r="H9851" s="4" t="n">
        <v>3</v>
      </c>
      <c r="I9851" s="4" t="str">
        <v>○</v>
      </c>
      <c r="J9851" s="4" t="n">
        <v>1220</v>
      </c>
      <c r="K9851" s="4"/>
      <c r="L9851" s="4"/>
      <c r="M9851" s="5" t="s">
        <v>6166</v>
      </c>
    </row>
    <row r="9852" customFormat="false" ht="15.75" hidden="false" customHeight="false" outlineLevel="0" collapsed="false">
      <c r="A9852" s="6" t="n">
        <v>46159</v>
      </c>
      <c r="B9852" s="4" t="s">
        <v>4473</v>
      </c>
      <c r="C9852" s="4" t="n">
        <v>8</v>
      </c>
      <c r="D9852" s="4" t="n">
        <v>12</v>
      </c>
      <c r="E9852" s="4" t="s">
        <v>6365</v>
      </c>
      <c r="F9852" s="4" t="n">
        <v>1</v>
      </c>
      <c r="G9852" s="4" t="n">
        <v>11</v>
      </c>
      <c r="H9852" s="4" t="n">
        <v>4</v>
      </c>
      <c r="I9852" s="4" t="str">
        <v>×</v>
      </c>
      <c r="J9852" s="4"/>
      <c r="K9852" s="4"/>
      <c r="L9852" s="4"/>
      <c r="M9852" s="5" t="s">
        <v>6166</v>
      </c>
    </row>
    <row r="9853" customFormat="false" ht="15.75" hidden="false" customHeight="false" outlineLevel="0" collapsed="false">
      <c r="A9853" s="6" t="n">
        <v>46159</v>
      </c>
      <c r="B9853" s="4" t="s">
        <v>4473</v>
      </c>
      <c r="C9853" s="4" t="n">
        <v>8</v>
      </c>
      <c r="D9853" s="4" t="n">
        <v>13</v>
      </c>
      <c r="E9853" s="4" t="s">
        <v>3074</v>
      </c>
      <c r="F9853" s="4" t="n">
        <v>17</v>
      </c>
      <c r="G9853" s="4" t="n">
        <v>6</v>
      </c>
      <c r="H9853" s="4" t="n">
        <v>4</v>
      </c>
      <c r="I9853" s="4" t="str">
        <v>×</v>
      </c>
      <c r="J9853" s="4"/>
      <c r="K9853" s="4"/>
      <c r="L9853" s="4"/>
      <c r="M9853" s="5" t="s">
        <v>6166</v>
      </c>
    </row>
    <row r="9854" customFormat="false" ht="15.75" hidden="false" customHeight="false" outlineLevel="0" collapsed="false">
      <c r="A9854" s="6" t="n">
        <v>46159</v>
      </c>
      <c r="B9854" s="4" t="s">
        <v>4473</v>
      </c>
      <c r="C9854" s="4" t="n">
        <v>8</v>
      </c>
      <c r="D9854" s="4" t="n">
        <v>14</v>
      </c>
      <c r="E9854" s="4" t="s">
        <v>3680</v>
      </c>
      <c r="F9854" s="4" t="n">
        <v>6</v>
      </c>
      <c r="G9854" s="4" t="n">
        <v>8</v>
      </c>
      <c r="H9854" s="4" t="n">
        <v>4</v>
      </c>
      <c r="I9854" s="4" t="str">
        <v>×</v>
      </c>
      <c r="J9854" s="4"/>
      <c r="K9854" s="4"/>
      <c r="L9854" s="4"/>
      <c r="M9854" s="5" t="s">
        <v>6166</v>
      </c>
    </row>
    <row r="9855" customFormat="false" ht="15.75" hidden="false" customHeight="false" outlineLevel="0" collapsed="false">
      <c r="A9855" s="6" t="n">
        <v>46159</v>
      </c>
      <c r="B9855" s="4" t="s">
        <v>4473</v>
      </c>
      <c r="C9855" s="4" t="n">
        <v>8</v>
      </c>
      <c r="D9855" s="4" t="n">
        <v>15</v>
      </c>
      <c r="E9855" s="4" t="s">
        <v>6366</v>
      </c>
      <c r="F9855" s="4" t="n">
        <v>4</v>
      </c>
      <c r="G9855" s="4" t="n">
        <v>9</v>
      </c>
      <c r="H9855" s="4" t="n">
        <v>4</v>
      </c>
      <c r="I9855" s="4" t="str">
        <v>×</v>
      </c>
      <c r="J9855" s="4"/>
      <c r="K9855" s="4"/>
      <c r="L9855" s="4"/>
      <c r="M9855" s="5" t="s">
        <v>6166</v>
      </c>
    </row>
    <row r="9856" customFormat="false" ht="15.75" hidden="false" customHeight="false" outlineLevel="0" collapsed="false">
      <c r="A9856" s="6" t="n">
        <v>46159</v>
      </c>
      <c r="B9856" s="4" t="s">
        <v>4473</v>
      </c>
      <c r="C9856" s="4" t="n">
        <v>9</v>
      </c>
      <c r="D9856" s="4" t="n">
        <v>1</v>
      </c>
      <c r="E9856" s="4" t="s">
        <v>6367</v>
      </c>
      <c r="F9856" s="4" t="n">
        <v>41</v>
      </c>
      <c r="G9856" s="4" t="n">
        <v>3</v>
      </c>
      <c r="H9856" s="4" t="n">
        <v>2</v>
      </c>
      <c r="I9856" s="4" t="str">
        <v>○</v>
      </c>
      <c r="J9856" s="4" t="n">
        <v>210</v>
      </c>
      <c r="K9856" s="4"/>
      <c r="L9856" s="4"/>
      <c r="M9856" s="5" t="s">
        <v>6166</v>
      </c>
    </row>
    <row r="9857" customFormat="false" ht="15.75" hidden="false" customHeight="false" outlineLevel="0" collapsed="false">
      <c r="A9857" s="6" t="n">
        <v>46159</v>
      </c>
      <c r="B9857" s="4" t="s">
        <v>4473</v>
      </c>
      <c r="C9857" s="4" t="n">
        <v>9</v>
      </c>
      <c r="D9857" s="4" t="n">
        <v>2</v>
      </c>
      <c r="E9857" s="4" t="s">
        <v>76</v>
      </c>
      <c r="F9857" s="4" t="n">
        <v>17</v>
      </c>
      <c r="G9857" s="4" t="n">
        <v>6</v>
      </c>
      <c r="H9857" s="4" t="n">
        <v>4</v>
      </c>
      <c r="I9857" s="4" t="str">
        <v>×</v>
      </c>
      <c r="J9857" s="4"/>
      <c r="K9857" s="4"/>
      <c r="L9857" s="4"/>
      <c r="M9857" s="5" t="s">
        <v>6166</v>
      </c>
    </row>
    <row r="9858" customFormat="false" ht="15.75" hidden="false" customHeight="false" outlineLevel="0" collapsed="false">
      <c r="A9858" s="6" t="n">
        <v>46159</v>
      </c>
      <c r="B9858" s="4" t="s">
        <v>4473</v>
      </c>
      <c r="C9858" s="4" t="n">
        <v>9</v>
      </c>
      <c r="D9858" s="4" t="n">
        <v>3</v>
      </c>
      <c r="E9858" s="4" t="s">
        <v>6368</v>
      </c>
      <c r="F9858" s="4" t="n">
        <v>29</v>
      </c>
      <c r="G9858" s="4" t="n">
        <v>4</v>
      </c>
      <c r="H9858" s="4" t="n">
        <v>4</v>
      </c>
      <c r="I9858" s="4" t="str">
        <v>×</v>
      </c>
      <c r="J9858" s="4"/>
      <c r="K9858" s="4"/>
      <c r="L9858" s="4"/>
      <c r="M9858" s="5" t="s">
        <v>6166</v>
      </c>
    </row>
    <row r="9859" customFormat="false" ht="15.75" hidden="false" customHeight="false" outlineLevel="0" collapsed="false">
      <c r="A9859" s="6" t="n">
        <v>46159</v>
      </c>
      <c r="B9859" s="4" t="s">
        <v>4473</v>
      </c>
      <c r="C9859" s="4" t="n">
        <v>9</v>
      </c>
      <c r="D9859" s="4" t="n">
        <v>4</v>
      </c>
      <c r="E9859" s="4" t="s">
        <v>5872</v>
      </c>
      <c r="F9859" s="4" t="n">
        <v>65</v>
      </c>
      <c r="G9859" s="4" t="n">
        <v>1</v>
      </c>
      <c r="H9859" s="4" t="n">
        <v>4</v>
      </c>
      <c r="I9859" s="4" t="str">
        <v>×</v>
      </c>
      <c r="J9859" s="4"/>
      <c r="K9859" s="4"/>
      <c r="L9859" s="4"/>
      <c r="M9859" s="5" t="s">
        <v>6166</v>
      </c>
    </row>
    <row r="9860" customFormat="false" ht="15.75" hidden="false" customHeight="false" outlineLevel="0" collapsed="false">
      <c r="A9860" s="6" t="n">
        <v>46159</v>
      </c>
      <c r="B9860" s="4" t="s">
        <v>4473</v>
      </c>
      <c r="C9860" s="4" t="n">
        <v>9</v>
      </c>
      <c r="D9860" s="4" t="n">
        <v>5</v>
      </c>
      <c r="E9860" s="4" t="s">
        <v>3083</v>
      </c>
      <c r="F9860" s="4" t="n">
        <v>17</v>
      </c>
      <c r="G9860" s="4" t="n">
        <v>6</v>
      </c>
      <c r="H9860" s="4" t="n">
        <v>4</v>
      </c>
      <c r="I9860" s="4" t="str">
        <v>×</v>
      </c>
      <c r="J9860" s="4"/>
      <c r="K9860" s="4"/>
      <c r="L9860" s="4"/>
      <c r="M9860" s="5" t="s">
        <v>6166</v>
      </c>
    </row>
    <row r="9861" customFormat="false" ht="15.75" hidden="false" customHeight="false" outlineLevel="0" collapsed="false">
      <c r="A9861" s="6" t="n">
        <v>46159</v>
      </c>
      <c r="B9861" s="4" t="s">
        <v>4473</v>
      </c>
      <c r="C9861" s="4" t="n">
        <v>9</v>
      </c>
      <c r="D9861" s="4" t="n">
        <v>6</v>
      </c>
      <c r="E9861" s="4" t="s">
        <v>6369</v>
      </c>
      <c r="F9861" s="4" t="n">
        <v>8</v>
      </c>
      <c r="G9861" s="4" t="n">
        <v>8</v>
      </c>
      <c r="H9861" s="4" t="n">
        <v>4</v>
      </c>
      <c r="I9861" s="4" t="str">
        <v>×</v>
      </c>
      <c r="J9861" s="4"/>
      <c r="K9861" s="4"/>
      <c r="L9861" s="4"/>
      <c r="M9861" s="5" t="s">
        <v>6166</v>
      </c>
    </row>
    <row r="9862" customFormat="false" ht="15.75" hidden="false" customHeight="false" outlineLevel="0" collapsed="false">
      <c r="A9862" s="6" t="n">
        <v>46159</v>
      </c>
      <c r="B9862" s="4" t="s">
        <v>4473</v>
      </c>
      <c r="C9862" s="4" t="n">
        <v>9</v>
      </c>
      <c r="D9862" s="4" t="n">
        <v>7</v>
      </c>
      <c r="E9862" s="4" t="s">
        <v>85</v>
      </c>
      <c r="F9862" s="4" t="n">
        <v>23</v>
      </c>
      <c r="G9862" s="4" t="n">
        <v>5</v>
      </c>
      <c r="H9862" s="4" t="n">
        <v>3</v>
      </c>
      <c r="I9862" s="4" t="str">
        <v>○</v>
      </c>
      <c r="J9862" s="4" t="n">
        <v>250</v>
      </c>
      <c r="K9862" s="4"/>
      <c r="L9862" s="4"/>
      <c r="M9862" s="5" t="s">
        <v>6166</v>
      </c>
    </row>
    <row r="9863" customFormat="false" ht="15.75" hidden="false" customHeight="false" outlineLevel="0" collapsed="false">
      <c r="A9863" s="6" t="n">
        <v>46159</v>
      </c>
      <c r="B9863" s="4" t="s">
        <v>4473</v>
      </c>
      <c r="C9863" s="4" t="n">
        <v>9</v>
      </c>
      <c r="D9863" s="4" t="n">
        <v>8</v>
      </c>
      <c r="E9863" s="4" t="s">
        <v>3094</v>
      </c>
      <c r="F9863" s="4" t="n">
        <v>13</v>
      </c>
      <c r="G9863" s="4" t="n">
        <v>7</v>
      </c>
      <c r="H9863" s="4" t="n">
        <v>4</v>
      </c>
      <c r="I9863" s="4" t="str">
        <v>×</v>
      </c>
      <c r="J9863" s="4"/>
      <c r="K9863" s="4"/>
      <c r="L9863" s="4"/>
      <c r="M9863" s="5" t="s">
        <v>6166</v>
      </c>
    </row>
    <row r="9864" customFormat="false" ht="15.75" hidden="false" customHeight="false" outlineLevel="0" collapsed="false">
      <c r="A9864" s="6" t="n">
        <v>46159</v>
      </c>
      <c r="B9864" s="4" t="s">
        <v>4473</v>
      </c>
      <c r="C9864" s="4" t="n">
        <v>9</v>
      </c>
      <c r="D9864" s="4" t="n">
        <v>9</v>
      </c>
      <c r="E9864" s="4" t="s">
        <v>6370</v>
      </c>
      <c r="F9864" s="4" t="n">
        <v>29</v>
      </c>
      <c r="G9864" s="4" t="n">
        <v>4</v>
      </c>
      <c r="H9864" s="4" t="n">
        <v>4</v>
      </c>
      <c r="I9864" s="4" t="str">
        <v>×</v>
      </c>
      <c r="J9864" s="4"/>
      <c r="K9864" s="4"/>
      <c r="L9864" s="4"/>
      <c r="M9864" s="5" t="s">
        <v>6166</v>
      </c>
    </row>
    <row r="9865" customFormat="false" ht="15.75" hidden="false" customHeight="false" outlineLevel="0" collapsed="false">
      <c r="A9865" s="6" t="n">
        <v>46159</v>
      </c>
      <c r="B9865" s="4" t="s">
        <v>4473</v>
      </c>
      <c r="C9865" s="4" t="n">
        <v>9</v>
      </c>
      <c r="D9865" s="4" t="n">
        <v>10</v>
      </c>
      <c r="E9865" s="4" t="s">
        <v>5226</v>
      </c>
      <c r="F9865" s="4" t="n">
        <v>3</v>
      </c>
      <c r="G9865" s="4" t="n">
        <v>10</v>
      </c>
      <c r="H9865" s="4" t="n">
        <v>4</v>
      </c>
      <c r="I9865" s="4" t="str">
        <v>×</v>
      </c>
      <c r="J9865" s="4"/>
      <c r="K9865" s="4"/>
      <c r="L9865" s="4"/>
      <c r="M9865" s="5" t="s">
        <v>6166</v>
      </c>
    </row>
    <row r="9866" customFormat="false" ht="15.75" hidden="false" customHeight="false" outlineLevel="0" collapsed="false">
      <c r="A9866" s="6" t="n">
        <v>46159</v>
      </c>
      <c r="B9866" s="4" t="s">
        <v>4473</v>
      </c>
      <c r="C9866" s="4" t="n">
        <v>9</v>
      </c>
      <c r="D9866" s="4" t="n">
        <v>11</v>
      </c>
      <c r="E9866" s="4" t="s">
        <v>6371</v>
      </c>
      <c r="F9866" s="4" t="n">
        <v>6</v>
      </c>
      <c r="G9866" s="4" t="n">
        <v>9</v>
      </c>
      <c r="H9866" s="4" t="n">
        <v>4</v>
      </c>
      <c r="I9866" s="4" t="str">
        <v>×</v>
      </c>
      <c r="J9866" s="4"/>
      <c r="K9866" s="4"/>
      <c r="L9866" s="4"/>
      <c r="M9866" s="5" t="s">
        <v>6166</v>
      </c>
    </row>
    <row r="9867" customFormat="false" ht="15.75" hidden="false" customHeight="false" outlineLevel="0" collapsed="false">
      <c r="A9867" s="6" t="n">
        <v>46159</v>
      </c>
      <c r="B9867" s="4" t="s">
        <v>4473</v>
      </c>
      <c r="C9867" s="4" t="n">
        <v>9</v>
      </c>
      <c r="D9867" s="4" t="n">
        <v>12</v>
      </c>
      <c r="E9867" s="4" t="s">
        <v>6372</v>
      </c>
      <c r="F9867" s="4" t="n">
        <v>44</v>
      </c>
      <c r="G9867" s="4" t="n">
        <v>2</v>
      </c>
      <c r="H9867" s="4" t="n">
        <v>1</v>
      </c>
      <c r="I9867" s="4" t="str">
        <v>○</v>
      </c>
      <c r="J9867" s="4" t="n">
        <v>120</v>
      </c>
      <c r="K9867" s="4"/>
      <c r="L9867" s="4"/>
      <c r="M9867" s="5" t="s">
        <v>6166</v>
      </c>
    </row>
    <row r="9868" customFormat="false" ht="15.75" hidden="false" customHeight="false" outlineLevel="0" collapsed="false">
      <c r="A9868" s="6" t="n">
        <v>46159</v>
      </c>
      <c r="B9868" s="4" t="s">
        <v>4473</v>
      </c>
      <c r="C9868" s="4" t="n">
        <v>10</v>
      </c>
      <c r="D9868" s="4" t="n">
        <v>1</v>
      </c>
      <c r="E9868" s="4" t="s">
        <v>1046</v>
      </c>
      <c r="F9868" s="4" t="n">
        <v>50</v>
      </c>
      <c r="G9868" s="4" t="n">
        <v>1</v>
      </c>
      <c r="H9868" s="4" t="n">
        <v>4</v>
      </c>
      <c r="I9868" s="4" t="str">
        <v>×</v>
      </c>
      <c r="J9868" s="4"/>
      <c r="K9868" s="4"/>
      <c r="L9868" s="4"/>
      <c r="M9868" s="5" t="s">
        <v>6166</v>
      </c>
    </row>
    <row r="9869" customFormat="false" ht="15.75" hidden="false" customHeight="false" outlineLevel="0" collapsed="false">
      <c r="A9869" s="6" t="n">
        <v>46159</v>
      </c>
      <c r="B9869" s="4" t="s">
        <v>4473</v>
      </c>
      <c r="C9869" s="4" t="n">
        <v>10</v>
      </c>
      <c r="D9869" s="4" t="n">
        <v>2</v>
      </c>
      <c r="E9869" s="4" t="s">
        <v>6373</v>
      </c>
      <c r="F9869" s="4" t="n">
        <v>23</v>
      </c>
      <c r="G9869" s="4" t="n">
        <v>6</v>
      </c>
      <c r="H9869" s="4" t="n">
        <v>4</v>
      </c>
      <c r="I9869" s="4" t="str">
        <v>×</v>
      </c>
      <c r="J9869" s="4"/>
      <c r="K9869" s="4"/>
      <c r="L9869" s="4"/>
      <c r="M9869" s="5" t="s">
        <v>6166</v>
      </c>
    </row>
    <row r="9870" customFormat="false" ht="15.75" hidden="false" customHeight="false" outlineLevel="0" collapsed="false">
      <c r="A9870" s="6" t="n">
        <v>46159</v>
      </c>
      <c r="B9870" s="4" t="s">
        <v>4473</v>
      </c>
      <c r="C9870" s="4" t="n">
        <v>10</v>
      </c>
      <c r="D9870" s="4" t="n">
        <v>3</v>
      </c>
      <c r="E9870" s="4" t="s">
        <v>1839</v>
      </c>
      <c r="F9870" s="4" t="n">
        <v>20</v>
      </c>
      <c r="G9870" s="4" t="n">
        <v>7</v>
      </c>
      <c r="H9870" s="4" t="n">
        <v>4</v>
      </c>
      <c r="I9870" s="4" t="str">
        <v>×</v>
      </c>
      <c r="J9870" s="4"/>
      <c r="K9870" s="4"/>
      <c r="L9870" s="4"/>
      <c r="M9870" s="5" t="s">
        <v>6166</v>
      </c>
    </row>
    <row r="9871" customFormat="false" ht="15.75" hidden="false" customHeight="false" outlineLevel="0" collapsed="false">
      <c r="A9871" s="6" t="n">
        <v>46159</v>
      </c>
      <c r="B9871" s="4" t="s">
        <v>4473</v>
      </c>
      <c r="C9871" s="4" t="n">
        <v>10</v>
      </c>
      <c r="D9871" s="4" t="n">
        <v>4</v>
      </c>
      <c r="E9871" s="4" t="s">
        <v>4754</v>
      </c>
      <c r="F9871" s="4" t="n">
        <v>29</v>
      </c>
      <c r="G9871" s="4" t="n">
        <v>5</v>
      </c>
      <c r="H9871" s="4" t="n">
        <v>4</v>
      </c>
      <c r="I9871" s="4" t="str">
        <v>×</v>
      </c>
      <c r="J9871" s="4"/>
      <c r="K9871" s="4"/>
      <c r="L9871" s="4"/>
      <c r="M9871" s="5" t="s">
        <v>6166</v>
      </c>
    </row>
    <row r="9872" customFormat="false" ht="15.75" hidden="false" customHeight="false" outlineLevel="0" collapsed="false">
      <c r="A9872" s="6" t="n">
        <v>46159</v>
      </c>
      <c r="B9872" s="4" t="s">
        <v>4473</v>
      </c>
      <c r="C9872" s="4" t="n">
        <v>10</v>
      </c>
      <c r="D9872" s="4" t="n">
        <v>5</v>
      </c>
      <c r="E9872" s="4" t="s">
        <v>4778</v>
      </c>
      <c r="F9872" s="4" t="n">
        <v>4</v>
      </c>
      <c r="G9872" s="4" t="n">
        <v>12</v>
      </c>
      <c r="H9872" s="4" t="n">
        <v>4</v>
      </c>
      <c r="I9872" s="4" t="str">
        <v>×</v>
      </c>
      <c r="J9872" s="4"/>
      <c r="K9872" s="4"/>
      <c r="L9872" s="4"/>
      <c r="M9872" s="5" t="s">
        <v>6166</v>
      </c>
    </row>
    <row r="9873" customFormat="false" ht="15.75" hidden="false" customHeight="false" outlineLevel="0" collapsed="false">
      <c r="A9873" s="6" t="n">
        <v>46159</v>
      </c>
      <c r="B9873" s="4" t="s">
        <v>4473</v>
      </c>
      <c r="C9873" s="4" t="n">
        <v>10</v>
      </c>
      <c r="D9873" s="4" t="n">
        <v>6</v>
      </c>
      <c r="E9873" s="4" t="s">
        <v>2425</v>
      </c>
      <c r="F9873" s="4" t="n">
        <v>15</v>
      </c>
      <c r="G9873" s="4" t="n">
        <v>9</v>
      </c>
      <c r="H9873" s="4" t="n">
        <v>4</v>
      </c>
      <c r="I9873" s="4" t="str">
        <v>×</v>
      </c>
      <c r="J9873" s="4"/>
      <c r="K9873" s="4"/>
      <c r="L9873" s="4"/>
      <c r="M9873" s="5" t="s">
        <v>6166</v>
      </c>
    </row>
    <row r="9874" customFormat="false" ht="15.75" hidden="false" customHeight="false" outlineLevel="0" collapsed="false">
      <c r="A9874" s="6" t="n">
        <v>46159</v>
      </c>
      <c r="B9874" s="4" t="s">
        <v>4473</v>
      </c>
      <c r="C9874" s="4" t="n">
        <v>10</v>
      </c>
      <c r="D9874" s="4" t="n">
        <v>7</v>
      </c>
      <c r="E9874" s="4" t="s">
        <v>4967</v>
      </c>
      <c r="F9874" s="4" t="n">
        <v>34</v>
      </c>
      <c r="G9874" s="4" t="n">
        <v>4</v>
      </c>
      <c r="H9874" s="4" t="n">
        <v>1</v>
      </c>
      <c r="I9874" s="4" t="str">
        <v>○</v>
      </c>
      <c r="J9874" s="4" t="n">
        <v>580</v>
      </c>
      <c r="K9874" s="4"/>
      <c r="L9874" s="4"/>
      <c r="M9874" s="5" t="s">
        <v>6166</v>
      </c>
    </row>
    <row r="9875" customFormat="false" ht="15.75" hidden="false" customHeight="false" outlineLevel="0" collapsed="false">
      <c r="A9875" s="6" t="n">
        <v>46159</v>
      </c>
      <c r="B9875" s="4" t="s">
        <v>4473</v>
      </c>
      <c r="C9875" s="4" t="n">
        <v>10</v>
      </c>
      <c r="D9875" s="4" t="n">
        <v>8</v>
      </c>
      <c r="E9875" s="4" t="s">
        <v>2785</v>
      </c>
      <c r="F9875" s="4" t="n">
        <v>39</v>
      </c>
      <c r="G9875" s="4" t="n">
        <v>3</v>
      </c>
      <c r="H9875" s="4" t="n">
        <v>3</v>
      </c>
      <c r="I9875" s="4" t="str">
        <v>○</v>
      </c>
      <c r="J9875" s="4" t="n">
        <v>810</v>
      </c>
      <c r="K9875" s="4"/>
      <c r="L9875" s="4"/>
      <c r="M9875" s="5" t="s">
        <v>6166</v>
      </c>
    </row>
    <row r="9876" customFormat="false" ht="15.75" hidden="false" customHeight="false" outlineLevel="0" collapsed="false">
      <c r="A9876" s="6" t="n">
        <v>46159</v>
      </c>
      <c r="B9876" s="4" t="s">
        <v>4473</v>
      </c>
      <c r="C9876" s="4" t="n">
        <v>10</v>
      </c>
      <c r="D9876" s="4" t="n">
        <v>9</v>
      </c>
      <c r="E9876" s="4" t="s">
        <v>537</v>
      </c>
      <c r="F9876" s="4" t="n">
        <v>10</v>
      </c>
      <c r="G9876" s="4" t="n">
        <v>11</v>
      </c>
      <c r="H9876" s="4" t="n">
        <v>4</v>
      </c>
      <c r="I9876" s="4" t="str">
        <v>×</v>
      </c>
      <c r="J9876" s="4"/>
      <c r="K9876" s="4"/>
      <c r="L9876" s="4"/>
      <c r="M9876" s="5" t="s">
        <v>6166</v>
      </c>
    </row>
    <row r="9877" customFormat="false" ht="15.75" hidden="false" customHeight="false" outlineLevel="0" collapsed="false">
      <c r="A9877" s="6" t="n">
        <v>46159</v>
      </c>
      <c r="B9877" s="4" t="s">
        <v>4473</v>
      </c>
      <c r="C9877" s="4" t="n">
        <v>10</v>
      </c>
      <c r="D9877" s="4" t="n">
        <v>10</v>
      </c>
      <c r="E9877" s="4" t="s">
        <v>4338</v>
      </c>
      <c r="F9877" s="4" t="n">
        <v>15</v>
      </c>
      <c r="G9877" s="4" t="n">
        <v>9</v>
      </c>
      <c r="H9877" s="4" t="n">
        <v>4</v>
      </c>
      <c r="I9877" s="4" t="str">
        <v>×</v>
      </c>
      <c r="J9877" s="4"/>
      <c r="K9877" s="4"/>
      <c r="L9877" s="4"/>
      <c r="M9877" s="5" t="s">
        <v>6166</v>
      </c>
    </row>
    <row r="9878" customFormat="false" ht="15.75" hidden="false" customHeight="false" outlineLevel="0" collapsed="false">
      <c r="A9878" s="6" t="n">
        <v>46159</v>
      </c>
      <c r="B9878" s="4" t="s">
        <v>4473</v>
      </c>
      <c r="C9878" s="4" t="n">
        <v>10</v>
      </c>
      <c r="D9878" s="4" t="n">
        <v>11</v>
      </c>
      <c r="E9878" s="4" t="s">
        <v>4776</v>
      </c>
      <c r="F9878" s="4" t="n">
        <v>23</v>
      </c>
      <c r="G9878" s="4" t="n">
        <v>6</v>
      </c>
      <c r="H9878" s="4" t="n">
        <v>4</v>
      </c>
      <c r="I9878" s="4" t="str">
        <v>×</v>
      </c>
      <c r="J9878" s="4"/>
      <c r="K9878" s="4"/>
      <c r="L9878" s="4"/>
      <c r="M9878" s="5" t="s">
        <v>6166</v>
      </c>
    </row>
    <row r="9879" customFormat="false" ht="15.75" hidden="false" customHeight="false" outlineLevel="0" collapsed="false">
      <c r="A9879" s="6" t="n">
        <v>46159</v>
      </c>
      <c r="B9879" s="4" t="s">
        <v>4473</v>
      </c>
      <c r="C9879" s="4" t="n">
        <v>10</v>
      </c>
      <c r="D9879" s="4" t="n">
        <v>12</v>
      </c>
      <c r="E9879" s="4" t="s">
        <v>3542</v>
      </c>
      <c r="F9879" s="4" t="n">
        <v>3</v>
      </c>
      <c r="G9879" s="4" t="n">
        <v>13</v>
      </c>
      <c r="H9879" s="4" t="n">
        <v>4</v>
      </c>
      <c r="I9879" s="4" t="str">
        <v>×</v>
      </c>
      <c r="J9879" s="4"/>
      <c r="K9879" s="4"/>
      <c r="L9879" s="4"/>
      <c r="M9879" s="5" t="s">
        <v>6166</v>
      </c>
    </row>
    <row r="9880" customFormat="false" ht="15.75" hidden="false" customHeight="false" outlineLevel="0" collapsed="false">
      <c r="A9880" s="6" t="n">
        <v>46159</v>
      </c>
      <c r="B9880" s="4" t="s">
        <v>4473</v>
      </c>
      <c r="C9880" s="4" t="n">
        <v>10</v>
      </c>
      <c r="D9880" s="4" t="n">
        <v>13</v>
      </c>
      <c r="E9880" s="4" t="s">
        <v>4775</v>
      </c>
      <c r="F9880" s="4" t="n">
        <v>17</v>
      </c>
      <c r="G9880" s="4" t="n">
        <v>8</v>
      </c>
      <c r="H9880" s="4" t="n">
        <v>2</v>
      </c>
      <c r="I9880" s="4" t="str">
        <v>○</v>
      </c>
      <c r="J9880" s="4" t="n">
        <v>450</v>
      </c>
      <c r="K9880" s="4"/>
      <c r="L9880" s="4"/>
      <c r="M9880" s="5" t="s">
        <v>6166</v>
      </c>
    </row>
    <row r="9881" customFormat="false" ht="15.75" hidden="false" customHeight="false" outlineLevel="0" collapsed="false">
      <c r="A9881" s="6" t="n">
        <v>46159</v>
      </c>
      <c r="B9881" s="4" t="s">
        <v>4473</v>
      </c>
      <c r="C9881" s="4" t="n">
        <v>10</v>
      </c>
      <c r="D9881" s="4" t="n">
        <v>14</v>
      </c>
      <c r="E9881" s="4" t="s">
        <v>2514</v>
      </c>
      <c r="F9881" s="4" t="n">
        <v>41</v>
      </c>
      <c r="G9881" s="4" t="n">
        <v>2</v>
      </c>
      <c r="H9881" s="4" t="n">
        <v>4</v>
      </c>
      <c r="I9881" s="4" t="str">
        <v>×</v>
      </c>
      <c r="J9881" s="4"/>
      <c r="K9881" s="4"/>
      <c r="L9881" s="4"/>
      <c r="M9881" s="5" t="s">
        <v>6166</v>
      </c>
    </row>
    <row r="9882" customFormat="false" ht="15.75" hidden="false" customHeight="false" outlineLevel="0" collapsed="false">
      <c r="A9882" s="6" t="n">
        <v>46159</v>
      </c>
      <c r="B9882" s="4" t="s">
        <v>4473</v>
      </c>
      <c r="C9882" s="4" t="n">
        <v>10</v>
      </c>
      <c r="D9882" s="4" t="n">
        <v>15</v>
      </c>
      <c r="E9882" s="4" t="s">
        <v>6374</v>
      </c>
      <c r="F9882" s="4" t="n">
        <v>13</v>
      </c>
      <c r="G9882" s="4" t="n">
        <v>10</v>
      </c>
      <c r="H9882" s="4" t="n">
        <v>4</v>
      </c>
      <c r="I9882" s="4" t="str">
        <v>×</v>
      </c>
      <c r="J9882" s="4"/>
      <c r="K9882" s="4"/>
      <c r="L9882" s="4"/>
      <c r="M9882" s="5" t="s">
        <v>6166</v>
      </c>
    </row>
    <row r="9883" customFormat="false" ht="15.75" hidden="false" customHeight="false" outlineLevel="0" collapsed="false">
      <c r="A9883" s="6" t="n">
        <v>46159</v>
      </c>
      <c r="B9883" s="4" t="s">
        <v>4473</v>
      </c>
      <c r="C9883" s="4" t="n">
        <v>11</v>
      </c>
      <c r="D9883" s="4" t="n">
        <v>1</v>
      </c>
      <c r="E9883" s="4" t="s">
        <v>6375</v>
      </c>
      <c r="F9883" s="4" t="n">
        <v>2</v>
      </c>
      <c r="G9883" s="4" t="n">
        <v>11</v>
      </c>
      <c r="H9883" s="4" t="n">
        <v>4</v>
      </c>
      <c r="I9883" s="4" t="str">
        <v>×</v>
      </c>
      <c r="J9883" s="4"/>
      <c r="K9883" s="4"/>
      <c r="L9883" s="4"/>
      <c r="M9883" s="5" t="s">
        <v>6166</v>
      </c>
    </row>
    <row r="9884" customFormat="false" ht="15.75" hidden="false" customHeight="false" outlineLevel="0" collapsed="false">
      <c r="A9884" s="6" t="n">
        <v>46159</v>
      </c>
      <c r="B9884" s="4" t="s">
        <v>4473</v>
      </c>
      <c r="C9884" s="4" t="n">
        <v>11</v>
      </c>
      <c r="D9884" s="4" t="n">
        <v>2</v>
      </c>
      <c r="E9884" s="4" t="s">
        <v>6376</v>
      </c>
      <c r="F9884" s="4" t="n">
        <v>8</v>
      </c>
      <c r="G9884" s="4" t="n">
        <v>8</v>
      </c>
      <c r="H9884" s="4" t="n">
        <v>4</v>
      </c>
      <c r="I9884" s="4" t="str">
        <v>×</v>
      </c>
      <c r="J9884" s="4"/>
      <c r="K9884" s="4"/>
      <c r="L9884" s="4"/>
      <c r="M9884" s="5" t="s">
        <v>6166</v>
      </c>
    </row>
    <row r="9885" customFormat="false" ht="15.75" hidden="false" customHeight="false" outlineLevel="0" collapsed="false">
      <c r="A9885" s="6" t="n">
        <v>46159</v>
      </c>
      <c r="B9885" s="4" t="s">
        <v>4473</v>
      </c>
      <c r="C9885" s="4" t="n">
        <v>11</v>
      </c>
      <c r="D9885" s="4" t="n">
        <v>3</v>
      </c>
      <c r="E9885" s="4" t="s">
        <v>6377</v>
      </c>
      <c r="F9885" s="4" t="n">
        <v>13</v>
      </c>
      <c r="G9885" s="4" t="n">
        <v>7</v>
      </c>
      <c r="H9885" s="4" t="n">
        <v>4</v>
      </c>
      <c r="I9885" s="4" t="str">
        <v>×</v>
      </c>
      <c r="J9885" s="4"/>
      <c r="K9885" s="4"/>
      <c r="L9885" s="4"/>
      <c r="M9885" s="5" t="s">
        <v>6166</v>
      </c>
    </row>
    <row r="9886" customFormat="false" ht="15.75" hidden="false" customHeight="false" outlineLevel="0" collapsed="false">
      <c r="A9886" s="6" t="n">
        <v>46159</v>
      </c>
      <c r="B9886" s="4" t="s">
        <v>4473</v>
      </c>
      <c r="C9886" s="4" t="n">
        <v>11</v>
      </c>
      <c r="D9886" s="4" t="n">
        <v>4</v>
      </c>
      <c r="E9886" s="4" t="s">
        <v>4165</v>
      </c>
      <c r="F9886" s="4" t="n">
        <v>4</v>
      </c>
      <c r="G9886" s="4" t="n">
        <v>10</v>
      </c>
      <c r="H9886" s="4" t="n">
        <v>4</v>
      </c>
      <c r="I9886" s="4" t="str">
        <v>×</v>
      </c>
      <c r="J9886" s="4"/>
      <c r="K9886" s="4"/>
      <c r="L9886" s="4"/>
      <c r="M9886" s="5" t="s">
        <v>6166</v>
      </c>
    </row>
    <row r="9887" customFormat="false" ht="15.75" hidden="false" customHeight="false" outlineLevel="0" collapsed="false">
      <c r="A9887" s="6" t="n">
        <v>46159</v>
      </c>
      <c r="B9887" s="4" t="s">
        <v>4473</v>
      </c>
      <c r="C9887" s="4" t="n">
        <v>11</v>
      </c>
      <c r="D9887" s="4" t="n">
        <v>5</v>
      </c>
      <c r="E9887" s="4" t="s">
        <v>3556</v>
      </c>
      <c r="F9887" s="4" t="n">
        <v>8</v>
      </c>
      <c r="G9887" s="4" t="n">
        <v>8</v>
      </c>
      <c r="H9887" s="4" t="n">
        <v>4</v>
      </c>
      <c r="I9887" s="4" t="str">
        <v>×</v>
      </c>
      <c r="J9887" s="4"/>
      <c r="K9887" s="4"/>
      <c r="L9887" s="4"/>
      <c r="M9887" s="5" t="s">
        <v>6166</v>
      </c>
    </row>
    <row r="9888" customFormat="false" ht="15.75" hidden="false" customHeight="false" outlineLevel="0" collapsed="false">
      <c r="A9888" s="6" t="n">
        <v>46159</v>
      </c>
      <c r="B9888" s="4" t="s">
        <v>4473</v>
      </c>
      <c r="C9888" s="4" t="n">
        <v>11</v>
      </c>
      <c r="D9888" s="4" t="n">
        <v>6</v>
      </c>
      <c r="E9888" s="4" t="s">
        <v>6378</v>
      </c>
      <c r="F9888" s="4" t="n">
        <v>15</v>
      </c>
      <c r="G9888" s="4" t="n">
        <v>6</v>
      </c>
      <c r="H9888" s="4" t="n">
        <v>4</v>
      </c>
      <c r="I9888" s="4" t="str">
        <v>×</v>
      </c>
      <c r="J9888" s="4"/>
      <c r="K9888" s="4"/>
      <c r="L9888" s="4"/>
      <c r="M9888" s="5" t="s">
        <v>6166</v>
      </c>
    </row>
    <row r="9889" customFormat="false" ht="15.75" hidden="false" customHeight="false" outlineLevel="0" collapsed="false">
      <c r="A9889" s="6" t="n">
        <v>46159</v>
      </c>
      <c r="B9889" s="4" t="s">
        <v>4473</v>
      </c>
      <c r="C9889" s="4" t="n">
        <v>11</v>
      </c>
      <c r="D9889" s="4" t="n">
        <v>7</v>
      </c>
      <c r="E9889" s="4" t="s">
        <v>6379</v>
      </c>
      <c r="F9889" s="4" t="n">
        <v>41</v>
      </c>
      <c r="G9889" s="4" t="n">
        <v>3</v>
      </c>
      <c r="H9889" s="4" t="n">
        <v>3</v>
      </c>
      <c r="I9889" s="4" t="str">
        <v>○</v>
      </c>
      <c r="J9889" s="4" t="n">
        <v>210</v>
      </c>
      <c r="K9889" s="4"/>
      <c r="L9889" s="4"/>
      <c r="M9889" s="5" t="s">
        <v>6166</v>
      </c>
    </row>
    <row r="9890" customFormat="false" ht="15.75" hidden="false" customHeight="false" outlineLevel="0" collapsed="false">
      <c r="A9890" s="6" t="n">
        <v>46159</v>
      </c>
      <c r="B9890" s="4" t="s">
        <v>4473</v>
      </c>
      <c r="C9890" s="4" t="n">
        <v>11</v>
      </c>
      <c r="D9890" s="4" t="n">
        <v>8</v>
      </c>
      <c r="E9890" s="4" t="s">
        <v>6380</v>
      </c>
      <c r="F9890" s="4" t="n">
        <v>47</v>
      </c>
      <c r="G9890" s="4" t="n">
        <v>2</v>
      </c>
      <c r="H9890" s="4" t="n">
        <v>2</v>
      </c>
      <c r="I9890" s="4" t="str">
        <v>○</v>
      </c>
      <c r="J9890" s="4" t="n">
        <v>160</v>
      </c>
      <c r="K9890" s="4"/>
      <c r="L9890" s="4"/>
      <c r="M9890" s="5" t="s">
        <v>6166</v>
      </c>
    </row>
    <row r="9891" customFormat="false" ht="15.75" hidden="false" customHeight="false" outlineLevel="0" collapsed="false">
      <c r="A9891" s="6" t="n">
        <v>46159</v>
      </c>
      <c r="B9891" s="4" t="s">
        <v>4473</v>
      </c>
      <c r="C9891" s="4" t="n">
        <v>11</v>
      </c>
      <c r="D9891" s="4" t="n">
        <v>9</v>
      </c>
      <c r="E9891" s="4" t="s">
        <v>4164</v>
      </c>
      <c r="F9891" s="4" t="n">
        <v>20</v>
      </c>
      <c r="G9891" s="4" t="n">
        <v>5</v>
      </c>
      <c r="H9891" s="4" t="n">
        <v>4</v>
      </c>
      <c r="I9891" s="4" t="str">
        <v>×</v>
      </c>
      <c r="J9891" s="4"/>
      <c r="K9891" s="4"/>
      <c r="L9891" s="4"/>
      <c r="M9891" s="5" t="s">
        <v>6166</v>
      </c>
    </row>
    <row r="9892" customFormat="false" ht="15.75" hidden="false" customHeight="false" outlineLevel="0" collapsed="false">
      <c r="A9892" s="6" t="n">
        <v>46159</v>
      </c>
      <c r="B9892" s="4" t="s">
        <v>4473</v>
      </c>
      <c r="C9892" s="4" t="n">
        <v>11</v>
      </c>
      <c r="D9892" s="4" t="n">
        <v>10</v>
      </c>
      <c r="E9892" s="4" t="s">
        <v>555</v>
      </c>
      <c r="F9892" s="4" t="n">
        <v>8</v>
      </c>
      <c r="G9892" s="4" t="n">
        <v>8</v>
      </c>
      <c r="H9892" s="4" t="n">
        <v>4</v>
      </c>
      <c r="I9892" s="4" t="str">
        <v>×</v>
      </c>
      <c r="J9892" s="4"/>
      <c r="K9892" s="4"/>
      <c r="L9892" s="4"/>
      <c r="M9892" s="5" t="s">
        <v>6166</v>
      </c>
    </row>
    <row r="9893" customFormat="false" ht="15.75" hidden="false" customHeight="false" outlineLevel="0" collapsed="false">
      <c r="A9893" s="6" t="n">
        <v>46159</v>
      </c>
      <c r="B9893" s="4" t="s">
        <v>4473</v>
      </c>
      <c r="C9893" s="4" t="n">
        <v>11</v>
      </c>
      <c r="D9893" s="4" t="n">
        <v>11</v>
      </c>
      <c r="E9893" s="4" t="s">
        <v>4168</v>
      </c>
      <c r="F9893" s="4" t="n">
        <v>6</v>
      </c>
      <c r="G9893" s="4" t="n">
        <v>9</v>
      </c>
      <c r="H9893" s="4" t="n">
        <v>4</v>
      </c>
      <c r="I9893" s="4" t="str">
        <v>×</v>
      </c>
      <c r="J9893" s="4"/>
      <c r="K9893" s="4"/>
      <c r="L9893" s="4"/>
      <c r="M9893" s="5" t="s">
        <v>6166</v>
      </c>
    </row>
    <row r="9894" customFormat="false" ht="15.75" hidden="false" customHeight="false" outlineLevel="0" collapsed="false">
      <c r="A9894" s="6" t="n">
        <v>46159</v>
      </c>
      <c r="B9894" s="4" t="s">
        <v>4473</v>
      </c>
      <c r="C9894" s="4" t="n">
        <v>11</v>
      </c>
      <c r="D9894" s="4" t="n">
        <v>12</v>
      </c>
      <c r="E9894" s="4" t="s">
        <v>6381</v>
      </c>
      <c r="F9894" s="4" t="n">
        <v>66</v>
      </c>
      <c r="G9894" s="4" t="n">
        <v>1</v>
      </c>
      <c r="H9894" s="4" t="n">
        <v>1</v>
      </c>
      <c r="I9894" s="4" t="str">
        <v>○</v>
      </c>
      <c r="J9894" s="4" t="n">
        <v>110</v>
      </c>
      <c r="K9894" s="4"/>
      <c r="L9894" s="4"/>
      <c r="M9894" s="5" t="s">
        <v>6166</v>
      </c>
    </row>
    <row r="9895" customFormat="false" ht="15.75" hidden="false" customHeight="false" outlineLevel="0" collapsed="false">
      <c r="A9895" s="6" t="n">
        <v>46159</v>
      </c>
      <c r="B9895" s="4" t="s">
        <v>4473</v>
      </c>
      <c r="C9895" s="4" t="n">
        <v>11</v>
      </c>
      <c r="D9895" s="4" t="n">
        <v>13</v>
      </c>
      <c r="E9895" s="4" t="s">
        <v>6382</v>
      </c>
      <c r="F9895" s="4" t="n">
        <v>6</v>
      </c>
      <c r="G9895" s="4" t="n">
        <v>9</v>
      </c>
      <c r="H9895" s="4" t="n">
        <v>4</v>
      </c>
      <c r="I9895" s="4" t="str">
        <v>×</v>
      </c>
      <c r="J9895" s="4"/>
      <c r="K9895" s="4"/>
      <c r="L9895" s="4"/>
      <c r="M9895" s="5" t="s">
        <v>6166</v>
      </c>
    </row>
    <row r="9896" customFormat="false" ht="15.75" hidden="false" customHeight="false" outlineLevel="0" collapsed="false">
      <c r="A9896" s="6" t="n">
        <v>46159</v>
      </c>
      <c r="B9896" s="4" t="s">
        <v>4473</v>
      </c>
      <c r="C9896" s="4" t="n">
        <v>11</v>
      </c>
      <c r="D9896" s="4" t="n">
        <v>14</v>
      </c>
      <c r="E9896" s="4" t="s">
        <v>6383</v>
      </c>
      <c r="F9896" s="4" t="n">
        <v>34</v>
      </c>
      <c r="G9896" s="4" t="n">
        <v>4</v>
      </c>
      <c r="H9896" s="4" t="n">
        <v>4</v>
      </c>
      <c r="I9896" s="4" t="str">
        <v>×</v>
      </c>
      <c r="J9896" s="4"/>
      <c r="K9896" s="4"/>
      <c r="L9896" s="4"/>
      <c r="M9896" s="5" t="s">
        <v>6166</v>
      </c>
    </row>
    <row r="9897" customFormat="false" ht="15.75" hidden="false" customHeight="false" outlineLevel="0" collapsed="false">
      <c r="A9897" s="6" t="n">
        <v>46159</v>
      </c>
      <c r="B9897" s="4" t="s">
        <v>4473</v>
      </c>
      <c r="C9897" s="4" t="n">
        <v>11</v>
      </c>
      <c r="D9897" s="4" t="n">
        <v>15</v>
      </c>
      <c r="E9897" s="4" t="s">
        <v>6384</v>
      </c>
      <c r="F9897" s="4" t="n">
        <v>4</v>
      </c>
      <c r="G9897" s="4" t="n">
        <v>10</v>
      </c>
      <c r="H9897" s="4" t="n">
        <v>4</v>
      </c>
      <c r="I9897" s="4" t="str">
        <v>×</v>
      </c>
      <c r="J9897" s="4"/>
      <c r="K9897" s="4"/>
      <c r="L9897" s="4"/>
      <c r="M9897" s="5" t="s">
        <v>6166</v>
      </c>
    </row>
    <row r="9898" customFormat="false" ht="15.75" hidden="false" customHeight="false" outlineLevel="0" collapsed="false">
      <c r="A9898" s="6" t="n">
        <v>46159</v>
      </c>
      <c r="B9898" s="4" t="s">
        <v>4473</v>
      </c>
      <c r="C9898" s="4" t="n">
        <v>11</v>
      </c>
      <c r="D9898" s="4" t="n">
        <v>16</v>
      </c>
      <c r="E9898" s="4" t="s">
        <v>6385</v>
      </c>
      <c r="F9898" s="4" t="n">
        <v>15</v>
      </c>
      <c r="G9898" s="4" t="n">
        <v>6</v>
      </c>
      <c r="H9898" s="4" t="n">
        <v>4</v>
      </c>
      <c r="I9898" s="4" t="str">
        <v>×</v>
      </c>
      <c r="J9898" s="4"/>
      <c r="K9898" s="4"/>
      <c r="L9898" s="4"/>
      <c r="M9898" s="5" t="s">
        <v>6166</v>
      </c>
    </row>
    <row r="9899" customFormat="false" ht="15.75" hidden="false" customHeight="false" outlineLevel="0" collapsed="false">
      <c r="A9899" s="6" t="n">
        <v>46159</v>
      </c>
      <c r="B9899" s="4" t="s">
        <v>4473</v>
      </c>
      <c r="C9899" s="4" t="n">
        <v>11</v>
      </c>
      <c r="D9899" s="4" t="n">
        <v>17</v>
      </c>
      <c r="E9899" s="4" t="s">
        <v>6386</v>
      </c>
      <c r="F9899" s="4" t="n">
        <v>20</v>
      </c>
      <c r="G9899" s="4" t="n">
        <v>5</v>
      </c>
      <c r="H9899" s="4" t="n">
        <v>4</v>
      </c>
      <c r="I9899" s="4" t="str">
        <v>×</v>
      </c>
      <c r="J9899" s="4"/>
      <c r="K9899" s="4"/>
      <c r="L9899" s="4"/>
      <c r="M9899" s="5" t="s">
        <v>6166</v>
      </c>
    </row>
    <row r="9900" customFormat="false" ht="15.75" hidden="false" customHeight="false" outlineLevel="0" collapsed="false">
      <c r="A9900" s="6" t="n">
        <v>46159</v>
      </c>
      <c r="B9900" s="4" t="s">
        <v>4473</v>
      </c>
      <c r="C9900" s="4" t="n">
        <v>11</v>
      </c>
      <c r="D9900" s="4" t="n">
        <v>18</v>
      </c>
      <c r="E9900" s="4" t="s">
        <v>6387</v>
      </c>
      <c r="F9900" s="4" t="n">
        <v>13</v>
      </c>
      <c r="G9900" s="4" t="n">
        <v>7</v>
      </c>
      <c r="H9900" s="4" t="n">
        <v>4</v>
      </c>
      <c r="I9900" s="4" t="str">
        <v>×</v>
      </c>
      <c r="J9900" s="4"/>
      <c r="K9900" s="4"/>
      <c r="L9900" s="4"/>
      <c r="M9900" s="5" t="s">
        <v>6166</v>
      </c>
    </row>
    <row r="9901" customFormat="false" ht="15.75" hidden="false" customHeight="false" outlineLevel="0" collapsed="false">
      <c r="A9901" s="6" t="n">
        <v>46159</v>
      </c>
      <c r="B9901" s="4" t="s">
        <v>4473</v>
      </c>
      <c r="C9901" s="4" t="n">
        <v>12</v>
      </c>
      <c r="D9901" s="4" t="n">
        <v>1</v>
      </c>
      <c r="E9901" s="4" t="s">
        <v>6388</v>
      </c>
      <c r="F9901" s="4" t="n">
        <v>2</v>
      </c>
      <c r="G9901" s="4" t="n">
        <v>10</v>
      </c>
      <c r="H9901" s="4" t="n">
        <v>4</v>
      </c>
      <c r="I9901" s="4" t="str">
        <v>×</v>
      </c>
      <c r="J9901" s="4"/>
      <c r="K9901" s="4"/>
      <c r="L9901" s="4"/>
      <c r="M9901" s="5" t="s">
        <v>6166</v>
      </c>
    </row>
    <row r="9902" customFormat="false" ht="15.75" hidden="false" customHeight="false" outlineLevel="0" collapsed="false">
      <c r="A9902" s="6" t="n">
        <v>46159</v>
      </c>
      <c r="B9902" s="4" t="s">
        <v>4473</v>
      </c>
      <c r="C9902" s="4" t="n">
        <v>12</v>
      </c>
      <c r="D9902" s="4" t="n">
        <v>2</v>
      </c>
      <c r="E9902" s="4" t="s">
        <v>3622</v>
      </c>
      <c r="F9902" s="4" t="n">
        <v>34</v>
      </c>
      <c r="G9902" s="4" t="n">
        <v>3</v>
      </c>
      <c r="H9902" s="4" t="n">
        <v>4</v>
      </c>
      <c r="I9902" s="4" t="str">
        <v>×</v>
      </c>
      <c r="J9902" s="4"/>
      <c r="K9902" s="4"/>
      <c r="L9902" s="4"/>
      <c r="M9902" s="5" t="s">
        <v>6166</v>
      </c>
    </row>
    <row r="9903" customFormat="false" ht="15.75" hidden="false" customHeight="false" outlineLevel="0" collapsed="false">
      <c r="A9903" s="6" t="n">
        <v>46159</v>
      </c>
      <c r="B9903" s="4" t="s">
        <v>4473</v>
      </c>
      <c r="C9903" s="4" t="n">
        <v>12</v>
      </c>
      <c r="D9903" s="4" t="n">
        <v>3</v>
      </c>
      <c r="E9903" s="4" t="s">
        <v>6389</v>
      </c>
      <c r="F9903" s="4" t="n">
        <v>34</v>
      </c>
      <c r="G9903" s="4" t="n">
        <v>3</v>
      </c>
      <c r="H9903" s="4" t="n">
        <v>4</v>
      </c>
      <c r="I9903" s="4" t="str">
        <v>×</v>
      </c>
      <c r="J9903" s="4"/>
      <c r="K9903" s="4"/>
      <c r="L9903" s="4"/>
      <c r="M9903" s="5" t="s">
        <v>6166</v>
      </c>
    </row>
    <row r="9904" customFormat="false" ht="15.75" hidden="false" customHeight="false" outlineLevel="0" collapsed="false">
      <c r="A9904" s="6" t="n">
        <v>46159</v>
      </c>
      <c r="B9904" s="4" t="s">
        <v>4473</v>
      </c>
      <c r="C9904" s="4" t="n">
        <v>12</v>
      </c>
      <c r="D9904" s="4" t="n">
        <v>4</v>
      </c>
      <c r="E9904" s="4" t="s">
        <v>4966</v>
      </c>
      <c r="F9904" s="4" t="n">
        <v>6</v>
      </c>
      <c r="G9904" s="4" t="n">
        <v>8</v>
      </c>
      <c r="H9904" s="4" t="n">
        <v>4</v>
      </c>
      <c r="I9904" s="4" t="str">
        <v>×</v>
      </c>
      <c r="J9904" s="4"/>
      <c r="K9904" s="4"/>
      <c r="L9904" s="4"/>
      <c r="M9904" s="5" t="s">
        <v>6166</v>
      </c>
    </row>
    <row r="9905" customFormat="false" ht="15.75" hidden="false" customHeight="false" outlineLevel="0" collapsed="false">
      <c r="A9905" s="6" t="n">
        <v>46159</v>
      </c>
      <c r="B9905" s="4" t="s">
        <v>4473</v>
      </c>
      <c r="C9905" s="4" t="n">
        <v>12</v>
      </c>
      <c r="D9905" s="4" t="n">
        <v>5</v>
      </c>
      <c r="E9905" s="4" t="s">
        <v>6390</v>
      </c>
      <c r="F9905" s="4" t="n">
        <v>34</v>
      </c>
      <c r="G9905" s="4" t="n">
        <v>3</v>
      </c>
      <c r="H9905" s="4" t="n">
        <v>4</v>
      </c>
      <c r="I9905" s="4" t="str">
        <v>×</v>
      </c>
      <c r="J9905" s="4"/>
      <c r="K9905" s="4"/>
      <c r="L9905" s="4"/>
      <c r="M9905" s="5" t="s">
        <v>6166</v>
      </c>
    </row>
    <row r="9906" customFormat="false" ht="15.75" hidden="false" customHeight="false" outlineLevel="0" collapsed="false">
      <c r="A9906" s="6" t="n">
        <v>46159</v>
      </c>
      <c r="B9906" s="4" t="s">
        <v>4473</v>
      </c>
      <c r="C9906" s="4" t="n">
        <v>12</v>
      </c>
      <c r="D9906" s="4" t="n">
        <v>6</v>
      </c>
      <c r="E9906" s="4" t="s">
        <v>3758</v>
      </c>
      <c r="F9906" s="4" t="n">
        <v>6</v>
      </c>
      <c r="G9906" s="4" t="n">
        <v>8</v>
      </c>
      <c r="H9906" s="4" t="n">
        <v>4</v>
      </c>
      <c r="I9906" s="4" t="str">
        <v>×</v>
      </c>
      <c r="J9906" s="4"/>
      <c r="K9906" s="4"/>
      <c r="L9906" s="4"/>
      <c r="M9906" s="5" t="s">
        <v>6166</v>
      </c>
    </row>
    <row r="9907" customFormat="false" ht="15.75" hidden="false" customHeight="false" outlineLevel="0" collapsed="false">
      <c r="A9907" s="6" t="n">
        <v>46159</v>
      </c>
      <c r="B9907" s="4" t="s">
        <v>4473</v>
      </c>
      <c r="C9907" s="4" t="n">
        <v>12</v>
      </c>
      <c r="D9907" s="4" t="n">
        <v>7</v>
      </c>
      <c r="E9907" s="4" t="s">
        <v>6391</v>
      </c>
      <c r="F9907" s="4" t="n">
        <v>3</v>
      </c>
      <c r="G9907" s="4" t="n">
        <v>9</v>
      </c>
      <c r="H9907" s="4" t="n">
        <v>4</v>
      </c>
      <c r="I9907" s="4" t="str">
        <v>×</v>
      </c>
      <c r="J9907" s="4"/>
      <c r="K9907" s="4"/>
      <c r="L9907" s="4"/>
      <c r="M9907" s="5" t="s">
        <v>6166</v>
      </c>
    </row>
    <row r="9908" customFormat="false" ht="15.75" hidden="false" customHeight="false" outlineLevel="0" collapsed="false">
      <c r="A9908" s="6" t="n">
        <v>46159</v>
      </c>
      <c r="B9908" s="4" t="s">
        <v>4473</v>
      </c>
      <c r="C9908" s="4" t="n">
        <v>12</v>
      </c>
      <c r="D9908" s="4" t="n">
        <v>8</v>
      </c>
      <c r="E9908" s="4" t="s">
        <v>6392</v>
      </c>
      <c r="F9908" s="4" t="n">
        <v>50</v>
      </c>
      <c r="G9908" s="4" t="n">
        <v>1</v>
      </c>
      <c r="H9908" s="4" t="n">
        <v>1</v>
      </c>
      <c r="I9908" s="4" t="str">
        <v>○</v>
      </c>
      <c r="J9908" s="4" t="n">
        <v>170</v>
      </c>
      <c r="K9908" s="4"/>
      <c r="L9908" s="4"/>
      <c r="M9908" s="5" t="s">
        <v>6166</v>
      </c>
    </row>
    <row r="9909" customFormat="false" ht="15.75" hidden="false" customHeight="false" outlineLevel="0" collapsed="false">
      <c r="A9909" s="6" t="n">
        <v>46159</v>
      </c>
      <c r="B9909" s="4" t="s">
        <v>4473</v>
      </c>
      <c r="C9909" s="4" t="n">
        <v>12</v>
      </c>
      <c r="D9909" s="4" t="n">
        <v>9</v>
      </c>
      <c r="E9909" s="4" t="s">
        <v>6393</v>
      </c>
      <c r="F9909" s="4" t="n">
        <v>15</v>
      </c>
      <c r="G9909" s="4" t="n">
        <v>6</v>
      </c>
      <c r="H9909" s="4" t="n">
        <v>4</v>
      </c>
      <c r="I9909" s="4" t="str">
        <v>×</v>
      </c>
      <c r="J9909" s="4"/>
      <c r="K9909" s="4"/>
      <c r="L9909" s="4"/>
      <c r="M9909" s="5" t="s">
        <v>6166</v>
      </c>
    </row>
    <row r="9910" customFormat="false" ht="15.75" hidden="false" customHeight="false" outlineLevel="0" collapsed="false">
      <c r="A9910" s="6" t="n">
        <v>46159</v>
      </c>
      <c r="B9910" s="4" t="s">
        <v>4473</v>
      </c>
      <c r="C9910" s="4" t="n">
        <v>12</v>
      </c>
      <c r="D9910" s="4" t="n">
        <v>10</v>
      </c>
      <c r="E9910" s="4" t="s">
        <v>6394</v>
      </c>
      <c r="F9910" s="4" t="n">
        <v>34</v>
      </c>
      <c r="G9910" s="4" t="n">
        <v>3</v>
      </c>
      <c r="H9910" s="4" t="n">
        <v>4</v>
      </c>
      <c r="I9910" s="4" t="str">
        <v>×</v>
      </c>
      <c r="J9910" s="4"/>
      <c r="K9910" s="4"/>
      <c r="L9910" s="4"/>
      <c r="M9910" s="5" t="s">
        <v>6166</v>
      </c>
    </row>
    <row r="9911" customFormat="false" ht="15.75" hidden="false" customHeight="false" outlineLevel="0" collapsed="false">
      <c r="A9911" s="6" t="n">
        <v>46159</v>
      </c>
      <c r="B9911" s="4" t="s">
        <v>4473</v>
      </c>
      <c r="C9911" s="4" t="n">
        <v>12</v>
      </c>
      <c r="D9911" s="4" t="n">
        <v>11</v>
      </c>
      <c r="E9911" s="4" t="s">
        <v>6395</v>
      </c>
      <c r="F9911" s="4" t="n">
        <v>20</v>
      </c>
      <c r="G9911" s="4" t="n">
        <v>5</v>
      </c>
      <c r="H9911" s="4" t="n">
        <v>2</v>
      </c>
      <c r="I9911" s="4" t="str">
        <v>○</v>
      </c>
      <c r="J9911" s="4" t="n">
        <v>360</v>
      </c>
      <c r="K9911" s="4"/>
      <c r="L9911" s="4"/>
      <c r="M9911" s="5" t="s">
        <v>6166</v>
      </c>
    </row>
    <row r="9912" customFormat="false" ht="15.75" hidden="false" customHeight="false" outlineLevel="0" collapsed="false">
      <c r="A9912" s="6" t="n">
        <v>46159</v>
      </c>
      <c r="B9912" s="4" t="s">
        <v>4473</v>
      </c>
      <c r="C9912" s="4" t="n">
        <v>12</v>
      </c>
      <c r="D9912" s="4" t="n">
        <v>12</v>
      </c>
      <c r="E9912" s="4" t="s">
        <v>3628</v>
      </c>
      <c r="F9912" s="4" t="n">
        <v>47</v>
      </c>
      <c r="G9912" s="4" t="n">
        <v>2</v>
      </c>
      <c r="H9912" s="4" t="n">
        <v>3</v>
      </c>
      <c r="I9912" s="4" t="str">
        <v>○</v>
      </c>
      <c r="J9912" s="4" t="n">
        <v>370</v>
      </c>
      <c r="K9912" s="4"/>
      <c r="L9912" s="4"/>
      <c r="M9912" s="5" t="s">
        <v>6166</v>
      </c>
    </row>
    <row r="9913" customFormat="false" ht="15.75" hidden="false" customHeight="false" outlineLevel="0" collapsed="false">
      <c r="A9913" s="6" t="n">
        <v>46159</v>
      </c>
      <c r="B9913" s="4" t="s">
        <v>4473</v>
      </c>
      <c r="C9913" s="4" t="n">
        <v>12</v>
      </c>
      <c r="D9913" s="4" t="n">
        <v>13</v>
      </c>
      <c r="E9913" s="4" t="s">
        <v>6396</v>
      </c>
      <c r="F9913" s="4" t="n">
        <v>34</v>
      </c>
      <c r="G9913" s="4" t="n">
        <v>3</v>
      </c>
      <c r="H9913" s="4" t="n">
        <v>4</v>
      </c>
      <c r="I9913" s="4" t="str">
        <v>×</v>
      </c>
      <c r="J9913" s="4"/>
      <c r="K9913" s="4"/>
      <c r="L9913" s="4"/>
      <c r="M9913" s="5" t="s">
        <v>6166</v>
      </c>
    </row>
    <row r="9914" customFormat="false" ht="15.75" hidden="false" customHeight="false" outlineLevel="0" collapsed="false">
      <c r="A9914" s="6" t="n">
        <v>46159</v>
      </c>
      <c r="B9914" s="4" t="s">
        <v>4473</v>
      </c>
      <c r="C9914" s="4" t="n">
        <v>12</v>
      </c>
      <c r="D9914" s="4" t="n">
        <v>14</v>
      </c>
      <c r="E9914" s="4" t="s">
        <v>2158</v>
      </c>
      <c r="F9914" s="4" t="n">
        <v>8</v>
      </c>
      <c r="G9914" s="4" t="n">
        <v>7</v>
      </c>
      <c r="H9914" s="4" t="n">
        <v>4</v>
      </c>
      <c r="I9914" s="4" t="str">
        <v>×</v>
      </c>
      <c r="J9914" s="4"/>
      <c r="K9914" s="4"/>
      <c r="L9914" s="4"/>
      <c r="M9914" s="5" t="s">
        <v>6166</v>
      </c>
    </row>
    <row r="9915" customFormat="false" ht="15.75" hidden="false" customHeight="false" outlineLevel="0" collapsed="false">
      <c r="A9915" s="6" t="n">
        <v>46159</v>
      </c>
      <c r="B9915" s="4" t="s">
        <v>4473</v>
      </c>
      <c r="C9915" s="4" t="n">
        <v>12</v>
      </c>
      <c r="D9915" s="4" t="n">
        <v>15</v>
      </c>
      <c r="E9915" s="4" t="s">
        <v>6397</v>
      </c>
      <c r="F9915" s="4" t="n">
        <v>3</v>
      </c>
      <c r="G9915" s="4" t="n">
        <v>9</v>
      </c>
      <c r="H9915" s="4" t="n">
        <v>4</v>
      </c>
      <c r="I9915" s="4" t="str">
        <v>×</v>
      </c>
      <c r="J9915" s="4"/>
      <c r="K9915" s="4"/>
      <c r="L9915" s="4"/>
      <c r="M9915" s="5" t="s">
        <v>6166</v>
      </c>
    </row>
    <row r="9916" customFormat="false" ht="15.75" hidden="false" customHeight="false" outlineLevel="0" collapsed="false">
      <c r="A9916" s="6" t="n">
        <v>46159</v>
      </c>
      <c r="B9916" s="4" t="s">
        <v>4473</v>
      </c>
      <c r="C9916" s="4" t="n">
        <v>12</v>
      </c>
      <c r="D9916" s="4" t="n">
        <v>16</v>
      </c>
      <c r="E9916" s="4" t="s">
        <v>6398</v>
      </c>
      <c r="F9916" s="4" t="n">
        <v>31</v>
      </c>
      <c r="G9916" s="4" t="n">
        <v>4</v>
      </c>
      <c r="H9916" s="4" t="n">
        <v>4</v>
      </c>
      <c r="I9916" s="4" t="str">
        <v>×</v>
      </c>
      <c r="J9916" s="4"/>
      <c r="K9916" s="4"/>
      <c r="L9916" s="4"/>
      <c r="M9916" s="5" t="s">
        <v>6166</v>
      </c>
    </row>
    <row r="9917" customFormat="false" ht="15.75" hidden="false" customHeight="false" outlineLevel="0" collapsed="false">
      <c r="A9917" s="6" t="n">
        <v>46159</v>
      </c>
      <c r="B9917" s="4" t="s">
        <v>5435</v>
      </c>
      <c r="C9917" s="4" t="n">
        <v>1</v>
      </c>
      <c r="D9917" s="4" t="n">
        <v>1</v>
      </c>
      <c r="E9917" s="4" t="s">
        <v>1801</v>
      </c>
      <c r="F9917" s="4" t="n">
        <v>37</v>
      </c>
      <c r="G9917" s="4" t="n">
        <v>3</v>
      </c>
      <c r="H9917" s="4" t="n">
        <v>4</v>
      </c>
      <c r="I9917" s="4" t="str">
        <v>×</v>
      </c>
      <c r="J9917" s="4"/>
      <c r="K9917" s="4"/>
      <c r="L9917" s="4"/>
      <c r="M9917" s="5" t="s">
        <v>6166</v>
      </c>
    </row>
    <row r="9918" customFormat="false" ht="15.75" hidden="false" customHeight="false" outlineLevel="0" collapsed="false">
      <c r="A9918" s="6" t="n">
        <v>46159</v>
      </c>
      <c r="B9918" s="4" t="s">
        <v>5435</v>
      </c>
      <c r="C9918" s="4" t="n">
        <v>1</v>
      </c>
      <c r="D9918" s="4" t="n">
        <v>2</v>
      </c>
      <c r="E9918" s="4" t="s">
        <v>2575</v>
      </c>
      <c r="F9918" s="4" t="n">
        <v>4</v>
      </c>
      <c r="G9918" s="4" t="n">
        <v>9</v>
      </c>
      <c r="H9918" s="4" t="n">
        <v>4</v>
      </c>
      <c r="I9918" s="4" t="str">
        <v>×</v>
      </c>
      <c r="J9918" s="4"/>
      <c r="K9918" s="4"/>
      <c r="L9918" s="4"/>
      <c r="M9918" s="5" t="s">
        <v>6166</v>
      </c>
    </row>
    <row r="9919" customFormat="false" ht="15.75" hidden="false" customHeight="false" outlineLevel="0" collapsed="false">
      <c r="A9919" s="6" t="n">
        <v>46159</v>
      </c>
      <c r="B9919" s="4" t="s">
        <v>5435</v>
      </c>
      <c r="C9919" s="4" t="n">
        <v>1</v>
      </c>
      <c r="D9919" s="4" t="n">
        <v>3</v>
      </c>
      <c r="E9919" s="4" t="s">
        <v>2036</v>
      </c>
      <c r="F9919" s="4" t="n">
        <v>47</v>
      </c>
      <c r="G9919" s="4" t="n">
        <v>2</v>
      </c>
      <c r="H9919" s="4" t="n">
        <v>4</v>
      </c>
      <c r="I9919" s="4" t="str">
        <v>×</v>
      </c>
      <c r="J9919" s="4"/>
      <c r="K9919" s="4"/>
      <c r="L9919" s="4"/>
      <c r="M9919" s="5" t="s">
        <v>6166</v>
      </c>
    </row>
    <row r="9920" customFormat="false" ht="15.75" hidden="false" customHeight="false" outlineLevel="0" collapsed="false">
      <c r="A9920" s="6" t="n">
        <v>46159</v>
      </c>
      <c r="B9920" s="4" t="s">
        <v>5435</v>
      </c>
      <c r="C9920" s="4" t="n">
        <v>1</v>
      </c>
      <c r="D9920" s="4" t="n">
        <v>4</v>
      </c>
      <c r="E9920" s="4" t="s">
        <v>806</v>
      </c>
      <c r="F9920" s="4" t="n">
        <v>4</v>
      </c>
      <c r="G9920" s="4" t="n">
        <v>9</v>
      </c>
      <c r="H9920" s="4" t="n">
        <v>4</v>
      </c>
      <c r="I9920" s="4" t="str">
        <v>×</v>
      </c>
      <c r="J9920" s="4"/>
      <c r="K9920" s="4"/>
      <c r="L9920" s="4"/>
      <c r="M9920" s="5" t="s">
        <v>6166</v>
      </c>
    </row>
    <row r="9921" customFormat="false" ht="15.75" hidden="false" customHeight="false" outlineLevel="0" collapsed="false">
      <c r="A9921" s="6" t="n">
        <v>46159</v>
      </c>
      <c r="B9921" s="4" t="s">
        <v>5435</v>
      </c>
      <c r="C9921" s="4" t="n">
        <v>1</v>
      </c>
      <c r="D9921" s="4" t="n">
        <v>5</v>
      </c>
      <c r="E9921" s="4" t="s">
        <v>5925</v>
      </c>
      <c r="F9921" s="4" t="n">
        <v>3</v>
      </c>
      <c r="G9921" s="4" t="n">
        <v>10</v>
      </c>
      <c r="H9921" s="4" t="n">
        <v>4</v>
      </c>
      <c r="I9921" s="4" t="str">
        <v>×</v>
      </c>
      <c r="J9921" s="4"/>
      <c r="K9921" s="4"/>
      <c r="L9921" s="4"/>
      <c r="M9921" s="5" t="s">
        <v>6166</v>
      </c>
    </row>
    <row r="9922" customFormat="false" ht="15.75" hidden="false" customHeight="false" outlineLevel="0" collapsed="false">
      <c r="A9922" s="6" t="n">
        <v>46159</v>
      </c>
      <c r="B9922" s="4" t="s">
        <v>5435</v>
      </c>
      <c r="C9922" s="4" t="n">
        <v>1</v>
      </c>
      <c r="D9922" s="4" t="n">
        <v>6</v>
      </c>
      <c r="E9922" s="4" t="s">
        <v>1593</v>
      </c>
      <c r="F9922" s="4" t="n">
        <v>4</v>
      </c>
      <c r="G9922" s="4" t="n">
        <v>9</v>
      </c>
      <c r="H9922" s="4" t="n">
        <v>4</v>
      </c>
      <c r="I9922" s="4" t="str">
        <v>×</v>
      </c>
      <c r="J9922" s="4"/>
      <c r="K9922" s="4"/>
      <c r="L9922" s="4"/>
      <c r="M9922" s="5" t="s">
        <v>6166</v>
      </c>
    </row>
    <row r="9923" customFormat="false" ht="15.75" hidden="false" customHeight="false" outlineLevel="0" collapsed="false">
      <c r="A9923" s="6" t="n">
        <v>46159</v>
      </c>
      <c r="B9923" s="4" t="s">
        <v>5435</v>
      </c>
      <c r="C9923" s="4" t="n">
        <v>1</v>
      </c>
      <c r="D9923" s="4" t="n">
        <v>7</v>
      </c>
      <c r="E9923" s="4" t="s">
        <v>5740</v>
      </c>
      <c r="F9923" s="4" t="n">
        <v>8</v>
      </c>
      <c r="G9923" s="4" t="n">
        <v>8</v>
      </c>
      <c r="H9923" s="4" t="n">
        <v>4</v>
      </c>
      <c r="I9923" s="4" t="str">
        <v>×</v>
      </c>
      <c r="J9923" s="4"/>
      <c r="K9923" s="4"/>
      <c r="L9923" s="4"/>
      <c r="M9923" s="5" t="s">
        <v>6166</v>
      </c>
    </row>
    <row r="9924" customFormat="false" ht="15.75" hidden="false" customHeight="false" outlineLevel="0" collapsed="false">
      <c r="A9924" s="6" t="n">
        <v>46159</v>
      </c>
      <c r="B9924" s="4" t="s">
        <v>5435</v>
      </c>
      <c r="C9924" s="4" t="n">
        <v>1</v>
      </c>
      <c r="D9924" s="4" t="n">
        <v>8</v>
      </c>
      <c r="E9924" s="4" t="s">
        <v>6085</v>
      </c>
      <c r="F9924" s="4" t="n">
        <v>67</v>
      </c>
      <c r="G9924" s="4" t="n">
        <v>1</v>
      </c>
      <c r="H9924" s="4" t="n">
        <v>3</v>
      </c>
      <c r="I9924" s="4" t="str">
        <v>○</v>
      </c>
      <c r="J9924" s="4" t="n">
        <v>160</v>
      </c>
      <c r="K9924" s="4"/>
      <c r="L9924" s="4"/>
      <c r="M9924" s="5" t="s">
        <v>6166</v>
      </c>
    </row>
    <row r="9925" customFormat="false" ht="15.75" hidden="false" customHeight="false" outlineLevel="0" collapsed="false">
      <c r="A9925" s="6" t="n">
        <v>46159</v>
      </c>
      <c r="B9925" s="4" t="s">
        <v>5435</v>
      </c>
      <c r="C9925" s="4" t="n">
        <v>1</v>
      </c>
      <c r="D9925" s="4" t="n">
        <v>9</v>
      </c>
      <c r="E9925" s="4" t="s">
        <v>6399</v>
      </c>
      <c r="F9925" s="4" t="n">
        <v>4</v>
      </c>
      <c r="G9925" s="4" t="n">
        <v>9</v>
      </c>
      <c r="H9925" s="4" t="n">
        <v>4</v>
      </c>
      <c r="I9925" s="4" t="str">
        <v>×</v>
      </c>
      <c r="J9925" s="4"/>
      <c r="K9925" s="4"/>
      <c r="L9925" s="4"/>
      <c r="M9925" s="5" t="s">
        <v>6166</v>
      </c>
    </row>
    <row r="9926" customFormat="false" ht="15.75" hidden="false" customHeight="false" outlineLevel="0" collapsed="false">
      <c r="A9926" s="6" t="n">
        <v>46159</v>
      </c>
      <c r="B9926" s="4" t="s">
        <v>5435</v>
      </c>
      <c r="C9926" s="4" t="n">
        <v>1</v>
      </c>
      <c r="D9926" s="4" t="n">
        <v>10</v>
      </c>
      <c r="E9926" s="4" t="s">
        <v>2120</v>
      </c>
      <c r="F9926" s="4" t="n">
        <v>23</v>
      </c>
      <c r="G9926" s="4" t="n">
        <v>5</v>
      </c>
      <c r="H9926" s="4" t="n">
        <v>1</v>
      </c>
      <c r="I9926" s="4" t="str">
        <v>○</v>
      </c>
      <c r="J9926" s="4" t="n">
        <v>160</v>
      </c>
      <c r="K9926" s="4"/>
      <c r="L9926" s="4"/>
      <c r="M9926" s="5" t="s">
        <v>6166</v>
      </c>
    </row>
    <row r="9927" customFormat="false" ht="15.75" hidden="false" customHeight="false" outlineLevel="0" collapsed="false">
      <c r="A9927" s="6" t="n">
        <v>46159</v>
      </c>
      <c r="B9927" s="4" t="s">
        <v>5435</v>
      </c>
      <c r="C9927" s="4" t="n">
        <v>1</v>
      </c>
      <c r="D9927" s="4" t="n">
        <v>11</v>
      </c>
      <c r="E9927" s="4" t="s">
        <v>4625</v>
      </c>
      <c r="F9927" s="4" t="n">
        <v>13</v>
      </c>
      <c r="G9927" s="4" t="n">
        <v>7</v>
      </c>
      <c r="H9927" s="4" t="n">
        <v>4</v>
      </c>
      <c r="I9927" s="4" t="str">
        <v>×</v>
      </c>
      <c r="J9927" s="4"/>
      <c r="K9927" s="4"/>
      <c r="L9927" s="4"/>
      <c r="M9927" s="5" t="s">
        <v>6166</v>
      </c>
    </row>
    <row r="9928" customFormat="false" ht="15.75" hidden="false" customHeight="false" outlineLevel="0" collapsed="false">
      <c r="A9928" s="6" t="n">
        <v>46159</v>
      </c>
      <c r="B9928" s="4" t="s">
        <v>5435</v>
      </c>
      <c r="C9928" s="4" t="n">
        <v>1</v>
      </c>
      <c r="D9928" s="4" t="n">
        <v>12</v>
      </c>
      <c r="E9928" s="4" t="s">
        <v>804</v>
      </c>
      <c r="F9928" s="4" t="n">
        <v>29</v>
      </c>
      <c r="G9928" s="4" t="n">
        <v>4</v>
      </c>
      <c r="H9928" s="4" t="n">
        <v>2</v>
      </c>
      <c r="I9928" s="4" t="str">
        <v>○</v>
      </c>
      <c r="J9928" s="4" t="n">
        <v>240</v>
      </c>
      <c r="K9928" s="4"/>
      <c r="L9928" s="4"/>
      <c r="M9928" s="5" t="s">
        <v>6166</v>
      </c>
    </row>
    <row r="9929" customFormat="false" ht="15.75" hidden="false" customHeight="false" outlineLevel="0" collapsed="false">
      <c r="A9929" s="6" t="n">
        <v>46159</v>
      </c>
      <c r="B9929" s="4" t="s">
        <v>5435</v>
      </c>
      <c r="C9929" s="4" t="n">
        <v>1</v>
      </c>
      <c r="D9929" s="4" t="n">
        <v>13</v>
      </c>
      <c r="E9929" s="4" t="s">
        <v>239</v>
      </c>
      <c r="F9929" s="4" t="n">
        <v>20</v>
      </c>
      <c r="G9929" s="4" t="n">
        <v>6</v>
      </c>
      <c r="H9929" s="4" t="n">
        <v>4</v>
      </c>
      <c r="I9929" s="4" t="str">
        <v>×</v>
      </c>
      <c r="J9929" s="4"/>
      <c r="K9929" s="4"/>
      <c r="L9929" s="4"/>
      <c r="M9929" s="5" t="s">
        <v>6166</v>
      </c>
    </row>
    <row r="9930" customFormat="false" ht="15.75" hidden="false" customHeight="false" outlineLevel="0" collapsed="false">
      <c r="A9930" s="6" t="n">
        <v>46159</v>
      </c>
      <c r="B9930" s="4" t="s">
        <v>5435</v>
      </c>
      <c r="C9930" s="4" t="n">
        <v>1</v>
      </c>
      <c r="D9930" s="4" t="n">
        <v>14</v>
      </c>
      <c r="E9930" s="4" t="s">
        <v>6400</v>
      </c>
      <c r="F9930" s="4" t="n">
        <v>8</v>
      </c>
      <c r="G9930" s="4" t="n">
        <v>8</v>
      </c>
      <c r="H9930" s="4" t="n">
        <v>4</v>
      </c>
      <c r="I9930" s="4" t="str">
        <v>×</v>
      </c>
      <c r="J9930" s="4"/>
      <c r="K9930" s="4"/>
      <c r="L9930" s="4"/>
      <c r="M9930" s="5" t="s">
        <v>6166</v>
      </c>
    </row>
    <row r="9931" customFormat="false" ht="15.75" hidden="false" customHeight="false" outlineLevel="0" collapsed="false">
      <c r="A9931" s="6" t="n">
        <v>46159</v>
      </c>
      <c r="B9931" s="4" t="s">
        <v>5435</v>
      </c>
      <c r="C9931" s="4" t="n">
        <v>2</v>
      </c>
      <c r="D9931" s="4" t="n">
        <v>1</v>
      </c>
      <c r="E9931" s="4" t="s">
        <v>3917</v>
      </c>
      <c r="F9931" s="4" t="n">
        <v>39</v>
      </c>
      <c r="G9931" s="4" t="n">
        <v>3</v>
      </c>
      <c r="H9931" s="4" t="n">
        <v>4</v>
      </c>
      <c r="I9931" s="4" t="str">
        <v>×</v>
      </c>
      <c r="J9931" s="4"/>
      <c r="K9931" s="4"/>
      <c r="L9931" s="4"/>
      <c r="M9931" s="5" t="s">
        <v>6166</v>
      </c>
    </row>
    <row r="9932" customFormat="false" ht="15.75" hidden="false" customHeight="false" outlineLevel="0" collapsed="false">
      <c r="A9932" s="6" t="n">
        <v>46159</v>
      </c>
      <c r="B9932" s="4" t="s">
        <v>5435</v>
      </c>
      <c r="C9932" s="4" t="n">
        <v>2</v>
      </c>
      <c r="D9932" s="4" t="n">
        <v>2</v>
      </c>
      <c r="E9932" s="4" t="s">
        <v>6401</v>
      </c>
      <c r="F9932" s="4" t="n">
        <v>37</v>
      </c>
      <c r="G9932" s="4" t="n">
        <v>4</v>
      </c>
      <c r="H9932" s="4" t="n">
        <v>1</v>
      </c>
      <c r="I9932" s="4" t="str">
        <v>○</v>
      </c>
      <c r="J9932" s="4" t="n">
        <v>160</v>
      </c>
      <c r="K9932" s="4"/>
      <c r="L9932" s="4"/>
      <c r="M9932" s="5" t="s">
        <v>6166</v>
      </c>
    </row>
    <row r="9933" customFormat="false" ht="15.75" hidden="false" customHeight="false" outlineLevel="0" collapsed="false">
      <c r="A9933" s="6" t="n">
        <v>46159</v>
      </c>
      <c r="B9933" s="4" t="s">
        <v>5435</v>
      </c>
      <c r="C9933" s="4" t="n">
        <v>2</v>
      </c>
      <c r="D9933" s="4" t="n">
        <v>3</v>
      </c>
      <c r="E9933" s="4" t="s">
        <v>6402</v>
      </c>
      <c r="F9933" s="4" t="n">
        <v>15</v>
      </c>
      <c r="G9933" s="4" t="n">
        <v>7</v>
      </c>
      <c r="H9933" s="4" t="n">
        <v>4</v>
      </c>
      <c r="I9933" s="4" t="str">
        <v>×</v>
      </c>
      <c r="J9933" s="4"/>
      <c r="K9933" s="4"/>
      <c r="L9933" s="4"/>
      <c r="M9933" s="5" t="s">
        <v>6166</v>
      </c>
    </row>
    <row r="9934" customFormat="false" ht="15.75" hidden="false" customHeight="false" outlineLevel="0" collapsed="false">
      <c r="A9934" s="6" t="n">
        <v>46159</v>
      </c>
      <c r="B9934" s="4" t="s">
        <v>5435</v>
      </c>
      <c r="C9934" s="4" t="n">
        <v>2</v>
      </c>
      <c r="D9934" s="4" t="n">
        <v>4</v>
      </c>
      <c r="E9934" s="4" t="s">
        <v>6403</v>
      </c>
      <c r="F9934" s="4" t="n">
        <v>4</v>
      </c>
      <c r="G9934" s="4" t="n">
        <v>10</v>
      </c>
      <c r="H9934" s="4" t="n">
        <v>4</v>
      </c>
      <c r="I9934" s="4" t="str">
        <v>×</v>
      </c>
      <c r="J9934" s="4"/>
      <c r="K9934" s="4"/>
      <c r="L9934" s="4"/>
      <c r="M9934" s="5" t="s">
        <v>6166</v>
      </c>
    </row>
    <row r="9935" customFormat="false" ht="15.75" hidden="false" customHeight="false" outlineLevel="0" collapsed="false">
      <c r="A9935" s="6" t="n">
        <v>46159</v>
      </c>
      <c r="B9935" s="4" t="s">
        <v>5435</v>
      </c>
      <c r="C9935" s="4" t="n">
        <v>2</v>
      </c>
      <c r="D9935" s="4" t="n">
        <v>5</v>
      </c>
      <c r="E9935" s="4" t="s">
        <v>5446</v>
      </c>
      <c r="F9935" s="4" t="n">
        <v>2</v>
      </c>
      <c r="G9935" s="4" t="n">
        <v>12</v>
      </c>
      <c r="H9935" s="4" t="n">
        <v>4</v>
      </c>
      <c r="I9935" s="4" t="str">
        <v>×</v>
      </c>
      <c r="J9935" s="4"/>
      <c r="K9935" s="4"/>
      <c r="L9935" s="4"/>
      <c r="M9935" s="5" t="s">
        <v>6166</v>
      </c>
    </row>
    <row r="9936" customFormat="false" ht="15.75" hidden="false" customHeight="false" outlineLevel="0" collapsed="false">
      <c r="A9936" s="6" t="n">
        <v>46159</v>
      </c>
      <c r="B9936" s="4" t="s">
        <v>5435</v>
      </c>
      <c r="C9936" s="4" t="n">
        <v>2</v>
      </c>
      <c r="D9936" s="4" t="n">
        <v>6</v>
      </c>
      <c r="E9936" s="4" t="s">
        <v>1150</v>
      </c>
      <c r="F9936" s="4" t="n">
        <v>29</v>
      </c>
      <c r="G9936" s="4" t="n">
        <v>5</v>
      </c>
      <c r="H9936" s="4" t="n">
        <v>4</v>
      </c>
      <c r="I9936" s="4" t="str">
        <v>×</v>
      </c>
      <c r="J9936" s="4"/>
      <c r="K9936" s="4"/>
      <c r="L9936" s="4"/>
      <c r="M9936" s="5" t="s">
        <v>6166</v>
      </c>
    </row>
    <row r="9937" customFormat="false" ht="15.75" hidden="false" customHeight="false" outlineLevel="0" collapsed="false">
      <c r="A9937" s="6" t="n">
        <v>46159</v>
      </c>
      <c r="B9937" s="4" t="s">
        <v>5435</v>
      </c>
      <c r="C9937" s="4" t="n">
        <v>2</v>
      </c>
      <c r="D9937" s="4" t="n">
        <v>7</v>
      </c>
      <c r="E9937" s="4" t="s">
        <v>4621</v>
      </c>
      <c r="F9937" s="4" t="n">
        <v>1</v>
      </c>
      <c r="G9937" s="4" t="n">
        <v>13</v>
      </c>
      <c r="H9937" s="4" t="n">
        <v>4</v>
      </c>
      <c r="I9937" s="4" t="str">
        <v>×</v>
      </c>
      <c r="J9937" s="4"/>
      <c r="K9937" s="4"/>
      <c r="L9937" s="4"/>
      <c r="M9937" s="5" t="s">
        <v>6166</v>
      </c>
    </row>
    <row r="9938" customFormat="false" ht="15.75" hidden="false" customHeight="false" outlineLevel="0" collapsed="false">
      <c r="A9938" s="6" t="n">
        <v>46159</v>
      </c>
      <c r="B9938" s="4" t="s">
        <v>5435</v>
      </c>
      <c r="C9938" s="4" t="n">
        <v>2</v>
      </c>
      <c r="D9938" s="4" t="n">
        <v>8</v>
      </c>
      <c r="E9938" s="4" t="s">
        <v>6404</v>
      </c>
      <c r="F9938" s="4" t="n">
        <v>10</v>
      </c>
      <c r="G9938" s="4" t="n">
        <v>8</v>
      </c>
      <c r="H9938" s="4" t="n">
        <v>4</v>
      </c>
      <c r="I9938" s="4" t="str">
        <v>×</v>
      </c>
      <c r="J9938" s="4"/>
      <c r="K9938" s="4"/>
      <c r="L9938" s="4"/>
      <c r="M9938" s="5" t="s">
        <v>6166</v>
      </c>
    </row>
    <row r="9939" customFormat="false" ht="15.75" hidden="false" customHeight="false" outlineLevel="0" collapsed="false">
      <c r="A9939" s="6" t="n">
        <v>46159</v>
      </c>
      <c r="B9939" s="4" t="s">
        <v>5435</v>
      </c>
      <c r="C9939" s="4" t="n">
        <v>2</v>
      </c>
      <c r="D9939" s="4" t="n">
        <v>9</v>
      </c>
      <c r="E9939" s="4" t="s">
        <v>2609</v>
      </c>
      <c r="F9939" s="4" t="n">
        <v>44</v>
      </c>
      <c r="G9939" s="4" t="n">
        <v>2</v>
      </c>
      <c r="H9939" s="4" t="n">
        <v>3</v>
      </c>
      <c r="I9939" s="4" t="str">
        <v>○</v>
      </c>
      <c r="J9939" s="4" t="n">
        <v>140</v>
      </c>
      <c r="K9939" s="4"/>
      <c r="L9939" s="4"/>
      <c r="M9939" s="5" t="s">
        <v>6166</v>
      </c>
    </row>
    <row r="9940" customFormat="false" ht="15.75" hidden="false" customHeight="false" outlineLevel="0" collapsed="false">
      <c r="A9940" s="6" t="n">
        <v>46159</v>
      </c>
      <c r="B9940" s="4" t="s">
        <v>5435</v>
      </c>
      <c r="C9940" s="4" t="n">
        <v>2</v>
      </c>
      <c r="D9940" s="4" t="n">
        <v>10</v>
      </c>
      <c r="E9940" s="4" t="s">
        <v>6405</v>
      </c>
      <c r="F9940" s="4" t="n">
        <v>71</v>
      </c>
      <c r="G9940" s="4" t="n">
        <v>1</v>
      </c>
      <c r="H9940" s="4" t="n">
        <v>2</v>
      </c>
      <c r="I9940" s="4" t="str">
        <v>○</v>
      </c>
      <c r="J9940" s="4" t="n">
        <v>120</v>
      </c>
      <c r="K9940" s="4"/>
      <c r="L9940" s="4"/>
      <c r="M9940" s="5" t="s">
        <v>6166</v>
      </c>
    </row>
    <row r="9941" customFormat="false" ht="15.75" hidden="false" customHeight="false" outlineLevel="0" collapsed="false">
      <c r="A9941" s="6" t="n">
        <v>46159</v>
      </c>
      <c r="B9941" s="4" t="s">
        <v>5435</v>
      </c>
      <c r="C9941" s="4" t="n">
        <v>2</v>
      </c>
      <c r="D9941" s="4" t="n">
        <v>11</v>
      </c>
      <c r="E9941" s="4" t="s">
        <v>2090</v>
      </c>
      <c r="F9941" s="4" t="n">
        <v>4</v>
      </c>
      <c r="G9941" s="4" t="n">
        <v>10</v>
      </c>
      <c r="H9941" s="4" t="n">
        <v>4</v>
      </c>
      <c r="I9941" s="4" t="str">
        <v>×</v>
      </c>
      <c r="J9941" s="4"/>
      <c r="K9941" s="4"/>
      <c r="L9941" s="4"/>
      <c r="M9941" s="5" t="s">
        <v>6166</v>
      </c>
    </row>
    <row r="9942" customFormat="false" ht="15.75" hidden="false" customHeight="false" outlineLevel="0" collapsed="false">
      <c r="A9942" s="6" t="n">
        <v>46159</v>
      </c>
      <c r="B9942" s="4" t="s">
        <v>5435</v>
      </c>
      <c r="C9942" s="4" t="n">
        <v>2</v>
      </c>
      <c r="D9942" s="4" t="n">
        <v>12</v>
      </c>
      <c r="E9942" s="4" t="s">
        <v>2040</v>
      </c>
      <c r="F9942" s="4" t="n">
        <v>23</v>
      </c>
      <c r="G9942" s="4" t="n">
        <v>6</v>
      </c>
      <c r="H9942" s="4" t="n">
        <v>4</v>
      </c>
      <c r="I9942" s="4" t="str">
        <v>×</v>
      </c>
      <c r="J9942" s="4"/>
      <c r="K9942" s="4"/>
      <c r="L9942" s="4"/>
      <c r="M9942" s="5" t="s">
        <v>6166</v>
      </c>
    </row>
    <row r="9943" customFormat="false" ht="15.75" hidden="false" customHeight="false" outlineLevel="0" collapsed="false">
      <c r="A9943" s="6" t="n">
        <v>46159</v>
      </c>
      <c r="B9943" s="4" t="s">
        <v>5435</v>
      </c>
      <c r="C9943" s="4" t="n">
        <v>2</v>
      </c>
      <c r="D9943" s="4" t="n">
        <v>13</v>
      </c>
      <c r="E9943" s="4" t="s">
        <v>6102</v>
      </c>
      <c r="F9943" s="4" t="n">
        <v>3</v>
      </c>
      <c r="G9943" s="4" t="n">
        <v>11</v>
      </c>
      <c r="H9943" s="4" t="n">
        <v>4</v>
      </c>
      <c r="I9943" s="4" t="str">
        <v>×</v>
      </c>
      <c r="J9943" s="4"/>
      <c r="K9943" s="4"/>
      <c r="L9943" s="4"/>
      <c r="M9943" s="5" t="s">
        <v>6166</v>
      </c>
    </row>
    <row r="9944" customFormat="false" ht="15.75" hidden="false" customHeight="false" outlineLevel="0" collapsed="false">
      <c r="A9944" s="6" t="n">
        <v>46159</v>
      </c>
      <c r="B9944" s="4" t="s">
        <v>5435</v>
      </c>
      <c r="C9944" s="4" t="n">
        <v>2</v>
      </c>
      <c r="D9944" s="4" t="n">
        <v>14</v>
      </c>
      <c r="E9944" s="4" t="s">
        <v>6406</v>
      </c>
      <c r="F9944" s="4" t="n">
        <v>4</v>
      </c>
      <c r="G9944" s="4" t="n">
        <v>10</v>
      </c>
      <c r="H9944" s="4" t="n">
        <v>4</v>
      </c>
      <c r="I9944" s="4" t="str">
        <v>×</v>
      </c>
      <c r="J9944" s="4"/>
      <c r="K9944" s="4"/>
      <c r="L9944" s="4"/>
      <c r="M9944" s="5" t="s">
        <v>6166</v>
      </c>
    </row>
    <row r="9945" customFormat="false" ht="15.75" hidden="false" customHeight="false" outlineLevel="0" collapsed="false">
      <c r="A9945" s="6" t="n">
        <v>46159</v>
      </c>
      <c r="B9945" s="4" t="s">
        <v>5435</v>
      </c>
      <c r="C9945" s="4" t="n">
        <v>2</v>
      </c>
      <c r="D9945" s="4" t="n">
        <v>15</v>
      </c>
      <c r="E9945" s="4" t="s">
        <v>5935</v>
      </c>
      <c r="F9945" s="4" t="n">
        <v>4</v>
      </c>
      <c r="G9945" s="4" t="n">
        <v>10</v>
      </c>
      <c r="H9945" s="4" t="n">
        <v>4</v>
      </c>
      <c r="I9945" s="4" t="str">
        <v>×</v>
      </c>
      <c r="J9945" s="4"/>
      <c r="K9945" s="4"/>
      <c r="L9945" s="4"/>
      <c r="M9945" s="5" t="s">
        <v>6166</v>
      </c>
    </row>
    <row r="9946" customFormat="false" ht="15.75" hidden="false" customHeight="false" outlineLevel="0" collapsed="false">
      <c r="A9946" s="6" t="n">
        <v>46159</v>
      </c>
      <c r="B9946" s="4" t="s">
        <v>5435</v>
      </c>
      <c r="C9946" s="4" t="n">
        <v>2</v>
      </c>
      <c r="D9946" s="4" t="n">
        <v>16</v>
      </c>
      <c r="E9946" s="4" t="s">
        <v>6407</v>
      </c>
      <c r="F9946" s="4" t="n">
        <v>8</v>
      </c>
      <c r="G9946" s="4" t="n">
        <v>9</v>
      </c>
      <c r="H9946" s="4" t="n">
        <v>4</v>
      </c>
      <c r="I9946" s="4" t="str">
        <v>×</v>
      </c>
      <c r="J9946" s="4"/>
      <c r="K9946" s="4"/>
      <c r="L9946" s="4"/>
      <c r="M9946" s="5" t="s">
        <v>6166</v>
      </c>
    </row>
    <row r="9947" customFormat="false" ht="15.75" hidden="false" customHeight="false" outlineLevel="0" collapsed="false">
      <c r="A9947" s="6" t="n">
        <v>46159</v>
      </c>
      <c r="B9947" s="4" t="s">
        <v>5435</v>
      </c>
      <c r="C9947" s="4" t="n">
        <v>3</v>
      </c>
      <c r="D9947" s="4" t="n">
        <v>1</v>
      </c>
      <c r="E9947" s="4" t="s">
        <v>6408</v>
      </c>
      <c r="F9947" s="4" t="n">
        <v>13</v>
      </c>
      <c r="G9947" s="4" t="n">
        <v>7</v>
      </c>
      <c r="H9947" s="4" t="n">
        <v>3</v>
      </c>
      <c r="I9947" s="4" t="str">
        <v>○</v>
      </c>
      <c r="J9947" s="4" t="n">
        <v>560</v>
      </c>
      <c r="K9947" s="4"/>
      <c r="L9947" s="4"/>
      <c r="M9947" s="5" t="s">
        <v>6166</v>
      </c>
    </row>
    <row r="9948" customFormat="false" ht="15.75" hidden="false" customHeight="false" outlineLevel="0" collapsed="false">
      <c r="A9948" s="6" t="n">
        <v>46159</v>
      </c>
      <c r="B9948" s="4" t="s">
        <v>5435</v>
      </c>
      <c r="C9948" s="4" t="n">
        <v>3</v>
      </c>
      <c r="D9948" s="4" t="n">
        <v>2</v>
      </c>
      <c r="E9948" s="4" t="s">
        <v>661</v>
      </c>
      <c r="F9948" s="4" t="n">
        <v>6</v>
      </c>
      <c r="G9948" s="4" t="n">
        <v>8</v>
      </c>
      <c r="H9948" s="4" t="n">
        <v>4</v>
      </c>
      <c r="I9948" s="4" t="str">
        <v>×</v>
      </c>
      <c r="J9948" s="4"/>
      <c r="K9948" s="4"/>
      <c r="L9948" s="4"/>
      <c r="M9948" s="5" t="s">
        <v>6166</v>
      </c>
    </row>
    <row r="9949" customFormat="false" ht="15.75" hidden="false" customHeight="false" outlineLevel="0" collapsed="false">
      <c r="A9949" s="6" t="n">
        <v>46159</v>
      </c>
      <c r="B9949" s="4" t="s">
        <v>5435</v>
      </c>
      <c r="C9949" s="4" t="n">
        <v>3</v>
      </c>
      <c r="D9949" s="4" t="n">
        <v>3</v>
      </c>
      <c r="E9949" s="4" t="s">
        <v>6409</v>
      </c>
      <c r="F9949" s="4" t="n">
        <v>23</v>
      </c>
      <c r="G9949" s="4" t="n">
        <v>5</v>
      </c>
      <c r="H9949" s="4" t="n">
        <v>1</v>
      </c>
      <c r="I9949" s="4" t="str">
        <v>○</v>
      </c>
      <c r="J9949" s="4" t="n">
        <v>260</v>
      </c>
      <c r="K9949" s="4"/>
      <c r="L9949" s="4"/>
      <c r="M9949" s="5" t="s">
        <v>6166</v>
      </c>
    </row>
    <row r="9950" customFormat="false" ht="15.75" hidden="false" customHeight="false" outlineLevel="0" collapsed="false">
      <c r="A9950" s="6" t="n">
        <v>46159</v>
      </c>
      <c r="B9950" s="4" t="s">
        <v>5435</v>
      </c>
      <c r="C9950" s="4" t="n">
        <v>3</v>
      </c>
      <c r="D9950" s="4" t="n">
        <v>4</v>
      </c>
      <c r="E9950" s="4" t="s">
        <v>6410</v>
      </c>
      <c r="F9950" s="4" t="n">
        <v>81</v>
      </c>
      <c r="G9950" s="4" t="n">
        <v>1</v>
      </c>
      <c r="H9950" s="4"/>
      <c r="I9950" s="4" t="str">
        <v/>
      </c>
      <c r="J9950" s="4"/>
      <c r="K9950" s="4"/>
      <c r="L9950" s="4"/>
      <c r="M9950" s="5" t="s">
        <v>6166</v>
      </c>
    </row>
    <row r="9951" customFormat="false" ht="15.75" hidden="false" customHeight="false" outlineLevel="0" collapsed="false">
      <c r="A9951" s="6" t="n">
        <v>46159</v>
      </c>
      <c r="B9951" s="4" t="s">
        <v>5435</v>
      </c>
      <c r="C9951" s="4" t="n">
        <v>3</v>
      </c>
      <c r="D9951" s="4" t="n">
        <v>5</v>
      </c>
      <c r="E9951" s="4" t="s">
        <v>222</v>
      </c>
      <c r="F9951" s="4" t="n">
        <v>4</v>
      </c>
      <c r="G9951" s="4" t="n">
        <v>9</v>
      </c>
      <c r="H9951" s="4" t="n">
        <v>4</v>
      </c>
      <c r="I9951" s="4" t="str">
        <v>×</v>
      </c>
      <c r="J9951" s="4"/>
      <c r="K9951" s="4"/>
      <c r="L9951" s="4"/>
      <c r="M9951" s="5" t="s">
        <v>6166</v>
      </c>
    </row>
    <row r="9952" customFormat="false" ht="15.75" hidden="false" customHeight="false" outlineLevel="0" collapsed="false">
      <c r="A9952" s="6" t="n">
        <v>46159</v>
      </c>
      <c r="B9952" s="4" t="s">
        <v>5435</v>
      </c>
      <c r="C9952" s="4" t="n">
        <v>3</v>
      </c>
      <c r="D9952" s="4" t="n">
        <v>6</v>
      </c>
      <c r="E9952" s="4" t="s">
        <v>5254</v>
      </c>
      <c r="F9952" s="4" t="n">
        <v>15</v>
      </c>
      <c r="G9952" s="4" t="n">
        <v>6</v>
      </c>
      <c r="H9952" s="4" t="n">
        <v>4</v>
      </c>
      <c r="I9952" s="4" t="str">
        <v>×</v>
      </c>
      <c r="J9952" s="4"/>
      <c r="K9952" s="4"/>
      <c r="L9952" s="4"/>
      <c r="M9952" s="5" t="s">
        <v>6166</v>
      </c>
    </row>
    <row r="9953" customFormat="false" ht="15.75" hidden="false" customHeight="false" outlineLevel="0" collapsed="false">
      <c r="A9953" s="6" t="n">
        <v>46159</v>
      </c>
      <c r="B9953" s="4" t="s">
        <v>5435</v>
      </c>
      <c r="C9953" s="4" t="n">
        <v>3</v>
      </c>
      <c r="D9953" s="4" t="n">
        <v>7</v>
      </c>
      <c r="E9953" s="4" t="s">
        <v>5918</v>
      </c>
      <c r="F9953" s="4" t="n">
        <v>6</v>
      </c>
      <c r="G9953" s="4" t="n">
        <v>8</v>
      </c>
      <c r="H9953" s="4" t="n">
        <v>4</v>
      </c>
      <c r="I9953" s="4" t="str">
        <v>×</v>
      </c>
      <c r="J9953" s="4"/>
      <c r="K9953" s="4"/>
      <c r="L9953" s="4"/>
      <c r="M9953" s="5" t="s">
        <v>6166</v>
      </c>
    </row>
    <row r="9954" customFormat="false" ht="15.75" hidden="false" customHeight="false" outlineLevel="0" collapsed="false">
      <c r="A9954" s="6" t="n">
        <v>46159</v>
      </c>
      <c r="B9954" s="4" t="s">
        <v>5435</v>
      </c>
      <c r="C9954" s="4" t="n">
        <v>3</v>
      </c>
      <c r="D9954" s="4" t="n">
        <v>8</v>
      </c>
      <c r="E9954" s="4" t="s">
        <v>5259</v>
      </c>
      <c r="F9954" s="4" t="n">
        <v>29</v>
      </c>
      <c r="G9954" s="4" t="n">
        <v>4</v>
      </c>
      <c r="H9954" s="4" t="n">
        <v>2</v>
      </c>
      <c r="I9954" s="4" t="str">
        <v>○</v>
      </c>
      <c r="J9954" s="4" t="n">
        <v>210</v>
      </c>
      <c r="K9954" s="4"/>
      <c r="L9954" s="4"/>
      <c r="M9954" s="5" t="s">
        <v>6166</v>
      </c>
    </row>
    <row r="9955" customFormat="false" ht="15.75" hidden="false" customHeight="false" outlineLevel="0" collapsed="false">
      <c r="A9955" s="6" t="n">
        <v>46159</v>
      </c>
      <c r="B9955" s="4" t="s">
        <v>5435</v>
      </c>
      <c r="C9955" s="4" t="n">
        <v>3</v>
      </c>
      <c r="D9955" s="4" t="n">
        <v>9</v>
      </c>
      <c r="E9955" s="4" t="s">
        <v>2033</v>
      </c>
      <c r="F9955" s="4" t="n">
        <v>47</v>
      </c>
      <c r="G9955" s="4" t="n">
        <v>2</v>
      </c>
      <c r="H9955" s="4" t="n">
        <v>4</v>
      </c>
      <c r="I9955" s="4" t="str">
        <v>×</v>
      </c>
      <c r="J9955" s="4"/>
      <c r="K9955" s="4"/>
      <c r="L9955" s="4"/>
      <c r="M9955" s="5" t="s">
        <v>6166</v>
      </c>
    </row>
    <row r="9956" customFormat="false" ht="15.75" hidden="false" customHeight="false" outlineLevel="0" collapsed="false">
      <c r="A9956" s="6" t="n">
        <v>46159</v>
      </c>
      <c r="B9956" s="4" t="s">
        <v>5435</v>
      </c>
      <c r="C9956" s="4" t="n">
        <v>3</v>
      </c>
      <c r="D9956" s="4" t="n">
        <v>10</v>
      </c>
      <c r="E9956" s="4" t="s">
        <v>1258</v>
      </c>
      <c r="F9956" s="4" t="n">
        <v>6</v>
      </c>
      <c r="G9956" s="4" t="n">
        <v>8</v>
      </c>
      <c r="H9956" s="4" t="n">
        <v>4</v>
      </c>
      <c r="I9956" s="4" t="str">
        <v>×</v>
      </c>
      <c r="J9956" s="4"/>
      <c r="K9956" s="4"/>
      <c r="L9956" s="4"/>
      <c r="M9956" s="5" t="s">
        <v>6166</v>
      </c>
    </row>
    <row r="9957" customFormat="false" ht="15.75" hidden="false" customHeight="false" outlineLevel="0" collapsed="false">
      <c r="A9957" s="6" t="n">
        <v>46159</v>
      </c>
      <c r="B9957" s="4" t="s">
        <v>5435</v>
      </c>
      <c r="C9957" s="4" t="n">
        <v>3</v>
      </c>
      <c r="D9957" s="4" t="n">
        <v>11</v>
      </c>
      <c r="E9957" s="4" t="s">
        <v>2832</v>
      </c>
      <c r="F9957" s="4" t="n">
        <v>34</v>
      </c>
      <c r="G9957" s="4" t="n">
        <v>3</v>
      </c>
      <c r="H9957" s="4" t="n">
        <v>4</v>
      </c>
      <c r="I9957" s="4" t="str">
        <v>×</v>
      </c>
      <c r="J9957" s="4"/>
      <c r="K9957" s="4"/>
      <c r="L9957" s="4"/>
      <c r="M9957" s="5" t="s">
        <v>6166</v>
      </c>
    </row>
    <row r="9958" customFormat="false" ht="15.75" hidden="false" customHeight="false" outlineLevel="0" collapsed="false">
      <c r="A9958" s="6" t="n">
        <v>46159</v>
      </c>
      <c r="B9958" s="4" t="s">
        <v>5435</v>
      </c>
      <c r="C9958" s="4" t="n">
        <v>3</v>
      </c>
      <c r="D9958" s="4" t="n">
        <v>12</v>
      </c>
      <c r="E9958" s="4" t="s">
        <v>829</v>
      </c>
      <c r="F9958" s="4" t="n">
        <v>6</v>
      </c>
      <c r="G9958" s="4" t="n">
        <v>8</v>
      </c>
      <c r="H9958" s="4" t="n">
        <v>4</v>
      </c>
      <c r="I9958" s="4" t="str">
        <v>×</v>
      </c>
      <c r="J9958" s="4"/>
      <c r="K9958" s="4"/>
      <c r="L9958" s="4"/>
      <c r="M9958" s="5" t="s">
        <v>6166</v>
      </c>
    </row>
    <row r="9959" customFormat="false" ht="15.75" hidden="false" customHeight="false" outlineLevel="0" collapsed="false">
      <c r="A9959" s="6" t="n">
        <v>46159</v>
      </c>
      <c r="B9959" s="4" t="s">
        <v>5435</v>
      </c>
      <c r="C9959" s="4" t="n">
        <v>4</v>
      </c>
      <c r="D9959" s="4" t="n">
        <v>1</v>
      </c>
      <c r="E9959" s="4" t="s">
        <v>354</v>
      </c>
      <c r="F9959" s="4" t="n">
        <v>13</v>
      </c>
      <c r="G9959" s="4" t="n">
        <v>7</v>
      </c>
      <c r="H9959" s="4" t="n">
        <v>4</v>
      </c>
      <c r="I9959" s="4" t="str">
        <v>×</v>
      </c>
      <c r="J9959" s="4"/>
      <c r="K9959" s="4"/>
      <c r="L9959" s="4"/>
      <c r="M9959" s="5" t="s">
        <v>6166</v>
      </c>
    </row>
    <row r="9960" customFormat="false" ht="15.75" hidden="false" customHeight="false" outlineLevel="0" collapsed="false">
      <c r="A9960" s="6" t="n">
        <v>46159</v>
      </c>
      <c r="B9960" s="4" t="s">
        <v>5435</v>
      </c>
      <c r="C9960" s="4" t="n">
        <v>4</v>
      </c>
      <c r="D9960" s="4" t="n">
        <v>2</v>
      </c>
      <c r="E9960" s="4" t="s">
        <v>6411</v>
      </c>
      <c r="F9960" s="4" t="n">
        <v>8</v>
      </c>
      <c r="G9960" s="4" t="n">
        <v>9</v>
      </c>
      <c r="H9960" s="4" t="n">
        <v>4</v>
      </c>
      <c r="I9960" s="4" t="str">
        <v>×</v>
      </c>
      <c r="J9960" s="4"/>
      <c r="K9960" s="4"/>
      <c r="L9960" s="4"/>
      <c r="M9960" s="5" t="s">
        <v>6166</v>
      </c>
    </row>
    <row r="9961" customFormat="false" ht="15.75" hidden="false" customHeight="false" outlineLevel="0" collapsed="false">
      <c r="A9961" s="6" t="n">
        <v>46159</v>
      </c>
      <c r="B9961" s="4" t="s">
        <v>5435</v>
      </c>
      <c r="C9961" s="4" t="n">
        <v>4</v>
      </c>
      <c r="D9961" s="4" t="n">
        <v>3</v>
      </c>
      <c r="E9961" s="4" t="s">
        <v>363</v>
      </c>
      <c r="F9961" s="4" t="n">
        <v>50</v>
      </c>
      <c r="G9961" s="4" t="n">
        <v>2</v>
      </c>
      <c r="H9961" s="4" t="n">
        <v>4</v>
      </c>
      <c r="I9961" s="4" t="str">
        <v>×</v>
      </c>
      <c r="J9961" s="4"/>
      <c r="K9961" s="4"/>
      <c r="L9961" s="4"/>
      <c r="M9961" s="5" t="s">
        <v>6166</v>
      </c>
    </row>
    <row r="9962" customFormat="false" ht="15.75" hidden="false" customHeight="false" outlineLevel="0" collapsed="false">
      <c r="A9962" s="6" t="n">
        <v>46159</v>
      </c>
      <c r="B9962" s="4" t="s">
        <v>5435</v>
      </c>
      <c r="C9962" s="4" t="n">
        <v>4</v>
      </c>
      <c r="D9962" s="4" t="n">
        <v>4</v>
      </c>
      <c r="E9962" s="4" t="s">
        <v>6412</v>
      </c>
      <c r="F9962" s="4" t="n">
        <v>41</v>
      </c>
      <c r="G9962" s="4" t="n">
        <v>4</v>
      </c>
      <c r="H9962" s="4" t="n">
        <v>1</v>
      </c>
      <c r="I9962" s="4" t="str">
        <v>○</v>
      </c>
      <c r="J9962" s="4" t="n">
        <v>190</v>
      </c>
      <c r="K9962" s="4"/>
      <c r="L9962" s="4"/>
      <c r="M9962" s="5" t="s">
        <v>6166</v>
      </c>
    </row>
    <row r="9963" customFormat="false" ht="15.75" hidden="false" customHeight="false" outlineLevel="0" collapsed="false">
      <c r="A9963" s="6" t="n">
        <v>46159</v>
      </c>
      <c r="B9963" s="4" t="s">
        <v>5435</v>
      </c>
      <c r="C9963" s="4" t="n">
        <v>4</v>
      </c>
      <c r="D9963" s="4" t="n">
        <v>5</v>
      </c>
      <c r="E9963" s="4" t="s">
        <v>5927</v>
      </c>
      <c r="F9963" s="4" t="n">
        <v>1</v>
      </c>
      <c r="G9963" s="4" t="n">
        <v>12</v>
      </c>
      <c r="H9963" s="4" t="n">
        <v>4</v>
      </c>
      <c r="I9963" s="4" t="str">
        <v>×</v>
      </c>
      <c r="J9963" s="4"/>
      <c r="K9963" s="4"/>
      <c r="L9963" s="4"/>
      <c r="M9963" s="5" t="s">
        <v>6166</v>
      </c>
    </row>
    <row r="9964" customFormat="false" ht="15.75" hidden="false" customHeight="false" outlineLevel="0" collapsed="false">
      <c r="A9964" s="6" t="n">
        <v>46159</v>
      </c>
      <c r="B9964" s="4" t="s">
        <v>5435</v>
      </c>
      <c r="C9964" s="4" t="n">
        <v>4</v>
      </c>
      <c r="D9964" s="4" t="n">
        <v>6</v>
      </c>
      <c r="E9964" s="4" t="s">
        <v>4628</v>
      </c>
      <c r="F9964" s="4" t="n">
        <v>10</v>
      </c>
      <c r="G9964" s="4" t="n">
        <v>8</v>
      </c>
      <c r="H9964" s="4" t="n">
        <v>4</v>
      </c>
      <c r="I9964" s="4" t="str">
        <v>×</v>
      </c>
      <c r="J9964" s="4"/>
      <c r="K9964" s="4"/>
      <c r="L9964" s="4"/>
      <c r="M9964" s="5" t="s">
        <v>6166</v>
      </c>
    </row>
    <row r="9965" customFormat="false" ht="15.75" hidden="false" customHeight="false" outlineLevel="0" collapsed="false">
      <c r="A9965" s="6" t="n">
        <v>46159</v>
      </c>
      <c r="B9965" s="4" t="s">
        <v>5435</v>
      </c>
      <c r="C9965" s="4" t="n">
        <v>4</v>
      </c>
      <c r="D9965" s="4" t="n">
        <v>7</v>
      </c>
      <c r="E9965" s="4" t="s">
        <v>6413</v>
      </c>
      <c r="F9965" s="4" t="n">
        <v>2</v>
      </c>
      <c r="G9965" s="4" t="n">
        <v>11</v>
      </c>
      <c r="H9965" s="4"/>
      <c r="I9965" s="4" t="str">
        <v/>
      </c>
      <c r="J9965" s="4"/>
      <c r="K9965" s="4"/>
      <c r="L9965" s="4"/>
      <c r="M9965" s="5" t="s">
        <v>6166</v>
      </c>
    </row>
    <row r="9966" customFormat="false" ht="15.75" hidden="false" customHeight="false" outlineLevel="0" collapsed="false">
      <c r="A9966" s="6" t="n">
        <v>46159</v>
      </c>
      <c r="B9966" s="4" t="s">
        <v>5435</v>
      </c>
      <c r="C9966" s="4" t="n">
        <v>4</v>
      </c>
      <c r="D9966" s="4" t="n">
        <v>8</v>
      </c>
      <c r="E9966" s="4" t="s">
        <v>5010</v>
      </c>
      <c r="F9966" s="4" t="n">
        <v>10</v>
      </c>
      <c r="G9966" s="4" t="n">
        <v>8</v>
      </c>
      <c r="H9966" s="4" t="n">
        <v>3</v>
      </c>
      <c r="I9966" s="4" t="str">
        <v>○</v>
      </c>
      <c r="J9966" s="4" t="n">
        <v>610</v>
      </c>
      <c r="K9966" s="4"/>
      <c r="L9966" s="4"/>
      <c r="M9966" s="5" t="s">
        <v>6166</v>
      </c>
    </row>
    <row r="9967" customFormat="false" ht="15.75" hidden="false" customHeight="false" outlineLevel="0" collapsed="false">
      <c r="A9967" s="6" t="n">
        <v>46159</v>
      </c>
      <c r="B9967" s="4" t="s">
        <v>5435</v>
      </c>
      <c r="C9967" s="4" t="n">
        <v>4</v>
      </c>
      <c r="D9967" s="4" t="n">
        <v>9</v>
      </c>
      <c r="E9967" s="4" t="s">
        <v>6111</v>
      </c>
      <c r="F9967" s="4" t="n">
        <v>13</v>
      </c>
      <c r="G9967" s="4" t="n">
        <v>7</v>
      </c>
      <c r="H9967" s="4" t="n">
        <v>4</v>
      </c>
      <c r="I9967" s="4" t="str">
        <v>×</v>
      </c>
      <c r="J9967" s="4"/>
      <c r="K9967" s="4"/>
      <c r="L9967" s="4"/>
      <c r="M9967" s="5" t="s">
        <v>6166</v>
      </c>
    </row>
    <row r="9968" customFormat="false" ht="15.75" hidden="false" customHeight="false" outlineLevel="0" collapsed="false">
      <c r="A9968" s="6" t="n">
        <v>46159</v>
      </c>
      <c r="B9968" s="4" t="s">
        <v>5435</v>
      </c>
      <c r="C9968" s="4" t="n">
        <v>4</v>
      </c>
      <c r="D9968" s="4" t="n">
        <v>10</v>
      </c>
      <c r="E9968" s="4" t="s">
        <v>2207</v>
      </c>
      <c r="F9968" s="4" t="n">
        <v>10</v>
      </c>
      <c r="G9968" s="4" t="n">
        <v>8</v>
      </c>
      <c r="H9968" s="4" t="n">
        <v>4</v>
      </c>
      <c r="I9968" s="4" t="str">
        <v>×</v>
      </c>
      <c r="J9968" s="4"/>
      <c r="K9968" s="4"/>
      <c r="L9968" s="4"/>
      <c r="M9968" s="5" t="s">
        <v>6166</v>
      </c>
    </row>
    <row r="9969" customFormat="false" ht="15.75" hidden="false" customHeight="false" outlineLevel="0" collapsed="false">
      <c r="A9969" s="6" t="n">
        <v>46159</v>
      </c>
      <c r="B9969" s="4" t="s">
        <v>5435</v>
      </c>
      <c r="C9969" s="4" t="n">
        <v>4</v>
      </c>
      <c r="D9969" s="4" t="n">
        <v>11</v>
      </c>
      <c r="E9969" s="4" t="s">
        <v>364</v>
      </c>
      <c r="F9969" s="4" t="n">
        <v>39</v>
      </c>
      <c r="G9969" s="4" t="n">
        <v>5</v>
      </c>
      <c r="H9969" s="4" t="n">
        <v>2</v>
      </c>
      <c r="I9969" s="4" t="str">
        <v>○</v>
      </c>
      <c r="J9969" s="4" t="n">
        <v>210</v>
      </c>
      <c r="K9969" s="4"/>
      <c r="L9969" s="4"/>
      <c r="M9969" s="5" t="s">
        <v>6166</v>
      </c>
    </row>
    <row r="9970" customFormat="false" ht="15.75" hidden="false" customHeight="false" outlineLevel="0" collapsed="false">
      <c r="A9970" s="6" t="n">
        <v>46159</v>
      </c>
      <c r="B9970" s="4" t="s">
        <v>5435</v>
      </c>
      <c r="C9970" s="4" t="n">
        <v>4</v>
      </c>
      <c r="D9970" s="4" t="n">
        <v>12</v>
      </c>
      <c r="E9970" s="4" t="s">
        <v>234</v>
      </c>
      <c r="F9970" s="4" t="n">
        <v>47</v>
      </c>
      <c r="G9970" s="4" t="n">
        <v>3</v>
      </c>
      <c r="H9970" s="4" t="n">
        <v>4</v>
      </c>
      <c r="I9970" s="4" t="str">
        <v>×</v>
      </c>
      <c r="J9970" s="4"/>
      <c r="K9970" s="4"/>
      <c r="L9970" s="4"/>
      <c r="M9970" s="5" t="s">
        <v>6166</v>
      </c>
    </row>
    <row r="9971" customFormat="false" ht="15.75" hidden="false" customHeight="false" outlineLevel="0" collapsed="false">
      <c r="A9971" s="6" t="n">
        <v>46159</v>
      </c>
      <c r="B9971" s="4" t="s">
        <v>5435</v>
      </c>
      <c r="C9971" s="4" t="n">
        <v>4</v>
      </c>
      <c r="D9971" s="4" t="n">
        <v>13</v>
      </c>
      <c r="E9971" s="4" t="s">
        <v>6414</v>
      </c>
      <c r="F9971" s="4" t="n">
        <v>8</v>
      </c>
      <c r="G9971" s="4" t="n">
        <v>9</v>
      </c>
      <c r="H9971" s="4" t="n">
        <v>4</v>
      </c>
      <c r="I9971" s="4" t="str">
        <v>×</v>
      </c>
      <c r="J9971" s="4"/>
      <c r="K9971" s="4"/>
      <c r="L9971" s="4"/>
      <c r="M9971" s="5" t="s">
        <v>6166</v>
      </c>
    </row>
    <row r="9972" customFormat="false" ht="15.75" hidden="false" customHeight="false" outlineLevel="0" collapsed="false">
      <c r="A9972" s="6" t="n">
        <v>46159</v>
      </c>
      <c r="B9972" s="4" t="s">
        <v>5435</v>
      </c>
      <c r="C9972" s="4" t="n">
        <v>4</v>
      </c>
      <c r="D9972" s="4" t="n">
        <v>14</v>
      </c>
      <c r="E9972" s="4" t="s">
        <v>1162</v>
      </c>
      <c r="F9972" s="4" t="n">
        <v>8</v>
      </c>
      <c r="G9972" s="4" t="n">
        <v>9</v>
      </c>
      <c r="H9972" s="4" t="n">
        <v>4</v>
      </c>
      <c r="I9972" s="4" t="str">
        <v>×</v>
      </c>
      <c r="J9972" s="4"/>
      <c r="K9972" s="4"/>
      <c r="L9972" s="4"/>
      <c r="M9972" s="5" t="s">
        <v>6166</v>
      </c>
    </row>
    <row r="9973" customFormat="false" ht="15.75" hidden="false" customHeight="false" outlineLevel="0" collapsed="false">
      <c r="A9973" s="6" t="n">
        <v>46159</v>
      </c>
      <c r="B9973" s="4" t="s">
        <v>5435</v>
      </c>
      <c r="C9973" s="4" t="n">
        <v>4</v>
      </c>
      <c r="D9973" s="4" t="n">
        <v>15</v>
      </c>
      <c r="E9973" s="4" t="s">
        <v>1755</v>
      </c>
      <c r="F9973" s="4" t="n">
        <v>3</v>
      </c>
      <c r="G9973" s="4" t="n">
        <v>10</v>
      </c>
      <c r="H9973" s="4" t="n">
        <v>4</v>
      </c>
      <c r="I9973" s="4" t="str">
        <v>×</v>
      </c>
      <c r="J9973" s="4"/>
      <c r="K9973" s="4"/>
      <c r="L9973" s="4"/>
      <c r="M9973" s="5" t="s">
        <v>6166</v>
      </c>
    </row>
    <row r="9974" customFormat="false" ht="15.75" hidden="false" customHeight="false" outlineLevel="0" collapsed="false">
      <c r="A9974" s="6" t="n">
        <v>46159</v>
      </c>
      <c r="B9974" s="4" t="s">
        <v>5435</v>
      </c>
      <c r="C9974" s="4" t="n">
        <v>4</v>
      </c>
      <c r="D9974" s="4" t="n">
        <v>16</v>
      </c>
      <c r="E9974" s="4" t="s">
        <v>4369</v>
      </c>
      <c r="F9974" s="4" t="n">
        <v>17</v>
      </c>
      <c r="G9974" s="4" t="n">
        <v>6</v>
      </c>
      <c r="H9974" s="4" t="n">
        <v>4</v>
      </c>
      <c r="I9974" s="4" t="str">
        <v>×</v>
      </c>
      <c r="J9974" s="4"/>
      <c r="K9974" s="4"/>
      <c r="L9974" s="4"/>
      <c r="M9974" s="5" t="s">
        <v>6166</v>
      </c>
    </row>
    <row r="9975" customFormat="false" ht="15.75" hidden="false" customHeight="false" outlineLevel="0" collapsed="false">
      <c r="A9975" s="6" t="n">
        <v>46159</v>
      </c>
      <c r="B9975" s="4" t="s">
        <v>5435</v>
      </c>
      <c r="C9975" s="4" t="n">
        <v>4</v>
      </c>
      <c r="D9975" s="4" t="n">
        <v>17</v>
      </c>
      <c r="E9975" s="4" t="s">
        <v>371</v>
      </c>
      <c r="F9975" s="4" t="n">
        <v>58</v>
      </c>
      <c r="G9975" s="4" t="n">
        <v>1</v>
      </c>
      <c r="H9975" s="4" t="n">
        <v>4</v>
      </c>
      <c r="I9975" s="4" t="str">
        <v>×</v>
      </c>
      <c r="J9975" s="4"/>
      <c r="K9975" s="4"/>
      <c r="L9975" s="4"/>
      <c r="M9975" s="5" t="s">
        <v>6166</v>
      </c>
    </row>
    <row r="9976" customFormat="false" ht="15.75" hidden="false" customHeight="false" outlineLevel="0" collapsed="false">
      <c r="A9976" s="6" t="n">
        <v>46159</v>
      </c>
      <c r="B9976" s="4" t="s">
        <v>5435</v>
      </c>
      <c r="C9976" s="4" t="n">
        <v>5</v>
      </c>
      <c r="D9976" s="4" t="n">
        <v>1</v>
      </c>
      <c r="E9976" s="4" t="s">
        <v>1600</v>
      </c>
      <c r="F9976" s="4" t="n">
        <v>6</v>
      </c>
      <c r="G9976" s="4" t="n">
        <v>8</v>
      </c>
      <c r="H9976" s="4" t="n">
        <v>4</v>
      </c>
      <c r="I9976" s="4" t="str">
        <v>×</v>
      </c>
      <c r="J9976" s="4"/>
      <c r="K9976" s="4"/>
      <c r="L9976" s="4"/>
      <c r="M9976" s="5" t="s">
        <v>6166</v>
      </c>
    </row>
    <row r="9977" customFormat="false" ht="15.75" hidden="false" customHeight="false" outlineLevel="0" collapsed="false">
      <c r="A9977" s="6" t="n">
        <v>46159</v>
      </c>
      <c r="B9977" s="4" t="s">
        <v>5435</v>
      </c>
      <c r="C9977" s="4" t="n">
        <v>5</v>
      </c>
      <c r="D9977" s="4" t="n">
        <v>2</v>
      </c>
      <c r="E9977" s="4" t="s">
        <v>4431</v>
      </c>
      <c r="F9977" s="4" t="n">
        <v>52</v>
      </c>
      <c r="G9977" s="4" t="n">
        <v>2</v>
      </c>
      <c r="H9977" s="4" t="n">
        <v>4</v>
      </c>
      <c r="I9977" s="4" t="str">
        <v>×</v>
      </c>
      <c r="J9977" s="4"/>
      <c r="K9977" s="4"/>
      <c r="L9977" s="4"/>
      <c r="M9977" s="5" t="s">
        <v>6166</v>
      </c>
    </row>
    <row r="9978" customFormat="false" ht="15.75" hidden="false" customHeight="false" outlineLevel="0" collapsed="false">
      <c r="A9978" s="6" t="n">
        <v>46159</v>
      </c>
      <c r="B9978" s="4" t="s">
        <v>5435</v>
      </c>
      <c r="C9978" s="4" t="n">
        <v>5</v>
      </c>
      <c r="D9978" s="4" t="n">
        <v>3</v>
      </c>
      <c r="E9978" s="4" t="s">
        <v>4644</v>
      </c>
      <c r="F9978" s="4" t="n">
        <v>39</v>
      </c>
      <c r="G9978" s="4" t="n">
        <v>4</v>
      </c>
      <c r="H9978" s="4" t="n">
        <v>1</v>
      </c>
      <c r="I9978" s="4" t="str">
        <v>○</v>
      </c>
      <c r="J9978" s="4" t="n">
        <v>270</v>
      </c>
      <c r="K9978" s="4"/>
      <c r="L9978" s="4"/>
      <c r="M9978" s="5" t="s">
        <v>6166</v>
      </c>
    </row>
    <row r="9979" customFormat="false" ht="15.75" hidden="false" customHeight="false" outlineLevel="0" collapsed="false">
      <c r="A9979" s="6" t="n">
        <v>46159</v>
      </c>
      <c r="B9979" s="4" t="s">
        <v>5435</v>
      </c>
      <c r="C9979" s="4" t="n">
        <v>5</v>
      </c>
      <c r="D9979" s="4" t="n">
        <v>4</v>
      </c>
      <c r="E9979" s="4" t="s">
        <v>6415</v>
      </c>
      <c r="F9979" s="4" t="n">
        <v>8</v>
      </c>
      <c r="G9979" s="4" t="n">
        <v>7</v>
      </c>
      <c r="H9979" s="4" t="n">
        <v>4</v>
      </c>
      <c r="I9979" s="4" t="str">
        <v>×</v>
      </c>
      <c r="J9979" s="4"/>
      <c r="K9979" s="4"/>
      <c r="L9979" s="4"/>
      <c r="M9979" s="5" t="s">
        <v>6166</v>
      </c>
    </row>
    <row r="9980" customFormat="false" ht="15.75" hidden="false" customHeight="false" outlineLevel="0" collapsed="false">
      <c r="A9980" s="6" t="n">
        <v>46159</v>
      </c>
      <c r="B9980" s="4" t="s">
        <v>5435</v>
      </c>
      <c r="C9980" s="4" t="n">
        <v>5</v>
      </c>
      <c r="D9980" s="4" t="n">
        <v>5</v>
      </c>
      <c r="E9980" s="4" t="s">
        <v>416</v>
      </c>
      <c r="F9980" s="4" t="n">
        <v>41</v>
      </c>
      <c r="G9980" s="4" t="n">
        <v>3</v>
      </c>
      <c r="H9980" s="4" t="n">
        <v>4</v>
      </c>
      <c r="I9980" s="4" t="str">
        <v>×</v>
      </c>
      <c r="J9980" s="4"/>
      <c r="K9980" s="4"/>
      <c r="L9980" s="4"/>
      <c r="M9980" s="5" t="s">
        <v>6166</v>
      </c>
    </row>
    <row r="9981" customFormat="false" ht="15.75" hidden="false" customHeight="false" outlineLevel="0" collapsed="false">
      <c r="A9981" s="6" t="n">
        <v>46159</v>
      </c>
      <c r="B9981" s="4" t="s">
        <v>5435</v>
      </c>
      <c r="C9981" s="4" t="n">
        <v>5</v>
      </c>
      <c r="D9981" s="4" t="n">
        <v>6</v>
      </c>
      <c r="E9981" s="4" t="s">
        <v>3524</v>
      </c>
      <c r="F9981" s="4" t="n">
        <v>25</v>
      </c>
      <c r="G9981" s="4" t="n">
        <v>5</v>
      </c>
      <c r="H9981" s="4" t="n">
        <v>2</v>
      </c>
      <c r="I9981" s="4" t="str">
        <v>○</v>
      </c>
      <c r="J9981" s="4" t="n">
        <v>180</v>
      </c>
      <c r="K9981" s="4"/>
      <c r="L9981" s="4"/>
      <c r="M9981" s="5" t="s">
        <v>6166</v>
      </c>
    </row>
    <row r="9982" customFormat="false" ht="15.75" hidden="false" customHeight="false" outlineLevel="0" collapsed="false">
      <c r="A9982" s="6" t="n">
        <v>46159</v>
      </c>
      <c r="B9982" s="4" t="s">
        <v>5435</v>
      </c>
      <c r="C9982" s="4" t="n">
        <v>5</v>
      </c>
      <c r="D9982" s="4" t="n">
        <v>7</v>
      </c>
      <c r="E9982" s="4" t="s">
        <v>218</v>
      </c>
      <c r="F9982" s="4" t="n">
        <v>10</v>
      </c>
      <c r="G9982" s="4" t="n">
        <v>6</v>
      </c>
      <c r="H9982" s="4" t="n">
        <v>4</v>
      </c>
      <c r="I9982" s="4" t="str">
        <v>×</v>
      </c>
      <c r="J9982" s="4"/>
      <c r="K9982" s="4"/>
      <c r="L9982" s="4"/>
      <c r="M9982" s="5" t="s">
        <v>6166</v>
      </c>
    </row>
    <row r="9983" customFormat="false" ht="15.75" hidden="false" customHeight="false" outlineLevel="0" collapsed="false">
      <c r="A9983" s="6" t="n">
        <v>46159</v>
      </c>
      <c r="B9983" s="4" t="s">
        <v>5435</v>
      </c>
      <c r="C9983" s="4" t="n">
        <v>5</v>
      </c>
      <c r="D9983" s="4" t="n">
        <v>8</v>
      </c>
      <c r="E9983" s="4" t="s">
        <v>1585</v>
      </c>
      <c r="F9983" s="4" t="n">
        <v>25</v>
      </c>
      <c r="G9983" s="4" t="n">
        <v>5</v>
      </c>
      <c r="H9983" s="4" t="n">
        <v>4</v>
      </c>
      <c r="I9983" s="4" t="str">
        <v>×</v>
      </c>
      <c r="J9983" s="4"/>
      <c r="K9983" s="4"/>
      <c r="L9983" s="4"/>
      <c r="M9983" s="5" t="s">
        <v>6166</v>
      </c>
    </row>
    <row r="9984" customFormat="false" ht="15.75" hidden="false" customHeight="false" outlineLevel="0" collapsed="false">
      <c r="A9984" s="6" t="n">
        <v>46159</v>
      </c>
      <c r="B9984" s="4" t="s">
        <v>5435</v>
      </c>
      <c r="C9984" s="4" t="n">
        <v>5</v>
      </c>
      <c r="D9984" s="4" t="n">
        <v>9</v>
      </c>
      <c r="E9984" s="4" t="s">
        <v>4367</v>
      </c>
      <c r="F9984" s="4" t="n">
        <v>65</v>
      </c>
      <c r="G9984" s="4" t="n">
        <v>1</v>
      </c>
      <c r="H9984" s="4" t="n">
        <v>4</v>
      </c>
      <c r="I9984" s="4" t="str">
        <v>×</v>
      </c>
      <c r="J9984" s="4"/>
      <c r="K9984" s="4"/>
      <c r="L9984" s="4"/>
      <c r="M9984" s="5" t="s">
        <v>6166</v>
      </c>
    </row>
    <row r="9985" customFormat="false" ht="15.75" hidden="false" customHeight="false" outlineLevel="0" collapsed="false">
      <c r="A9985" s="6" t="n">
        <v>46159</v>
      </c>
      <c r="B9985" s="4" t="s">
        <v>5435</v>
      </c>
      <c r="C9985" s="4" t="n">
        <v>5</v>
      </c>
      <c r="D9985" s="4" t="n">
        <v>10</v>
      </c>
      <c r="E9985" s="4" t="s">
        <v>3886</v>
      </c>
      <c r="F9985" s="4" t="n">
        <v>8</v>
      </c>
      <c r="G9985" s="4" t="n">
        <v>7</v>
      </c>
      <c r="H9985" s="4" t="n">
        <v>3</v>
      </c>
      <c r="I9985" s="4" t="str">
        <v>○</v>
      </c>
      <c r="J9985" s="4" t="n">
        <v>1440</v>
      </c>
      <c r="K9985" s="4"/>
      <c r="L9985" s="4"/>
      <c r="M9985" s="5" t="s">
        <v>6166</v>
      </c>
    </row>
    <row r="9986" customFormat="false" ht="15.75" hidden="false" customHeight="false" outlineLevel="0" collapsed="false">
      <c r="A9986" s="6" t="n">
        <v>46159</v>
      </c>
      <c r="B9986" s="4" t="s">
        <v>5435</v>
      </c>
      <c r="C9986" s="4" t="n">
        <v>6</v>
      </c>
      <c r="D9986" s="4" t="n">
        <v>1</v>
      </c>
      <c r="E9986" s="4" t="s">
        <v>6416</v>
      </c>
      <c r="F9986" s="4" t="n">
        <v>15</v>
      </c>
      <c r="G9986" s="4" t="n">
        <v>7</v>
      </c>
      <c r="H9986" s="4" t="n">
        <v>4</v>
      </c>
      <c r="I9986" s="4" t="str">
        <v>×</v>
      </c>
      <c r="J9986" s="4"/>
      <c r="K9986" s="4"/>
      <c r="L9986" s="4"/>
      <c r="M9986" s="5" t="s">
        <v>6166</v>
      </c>
    </row>
    <row r="9987" customFormat="false" ht="15.75" hidden="false" customHeight="false" outlineLevel="0" collapsed="false">
      <c r="A9987" s="6" t="n">
        <v>46159</v>
      </c>
      <c r="B9987" s="4" t="s">
        <v>5435</v>
      </c>
      <c r="C9987" s="4" t="n">
        <v>6</v>
      </c>
      <c r="D9987" s="4" t="n">
        <v>2</v>
      </c>
      <c r="E9987" s="4" t="s">
        <v>6417</v>
      </c>
      <c r="F9987" s="4" t="n">
        <v>6</v>
      </c>
      <c r="G9987" s="4" t="n">
        <v>11</v>
      </c>
      <c r="H9987" s="4" t="n">
        <v>4</v>
      </c>
      <c r="I9987" s="4" t="str">
        <v>×</v>
      </c>
      <c r="J9987" s="4"/>
      <c r="K9987" s="4"/>
      <c r="L9987" s="4"/>
      <c r="M9987" s="5" t="s">
        <v>6166</v>
      </c>
    </row>
    <row r="9988" customFormat="false" ht="15.75" hidden="false" customHeight="false" outlineLevel="0" collapsed="false">
      <c r="A9988" s="6" t="n">
        <v>46159</v>
      </c>
      <c r="B9988" s="4" t="s">
        <v>5435</v>
      </c>
      <c r="C9988" s="4" t="n">
        <v>6</v>
      </c>
      <c r="D9988" s="4" t="n">
        <v>3</v>
      </c>
      <c r="E9988" s="4" t="s">
        <v>6125</v>
      </c>
      <c r="F9988" s="4" t="n">
        <v>4</v>
      </c>
      <c r="G9988" s="4" t="n">
        <v>12</v>
      </c>
      <c r="H9988" s="4" t="n">
        <v>4</v>
      </c>
      <c r="I9988" s="4" t="str">
        <v>×</v>
      </c>
      <c r="J9988" s="4"/>
      <c r="K9988" s="4"/>
      <c r="L9988" s="4"/>
      <c r="M9988" s="5" t="s">
        <v>6166</v>
      </c>
    </row>
    <row r="9989" customFormat="false" ht="15.75" hidden="false" customHeight="false" outlineLevel="0" collapsed="false">
      <c r="A9989" s="6" t="n">
        <v>46159</v>
      </c>
      <c r="B9989" s="4" t="s">
        <v>5435</v>
      </c>
      <c r="C9989" s="4" t="n">
        <v>6</v>
      </c>
      <c r="D9989" s="4" t="n">
        <v>4</v>
      </c>
      <c r="E9989" s="4" t="s">
        <v>4869</v>
      </c>
      <c r="F9989" s="4" t="n">
        <v>37</v>
      </c>
      <c r="G9989" s="4" t="n">
        <v>4</v>
      </c>
      <c r="H9989" s="4" t="n">
        <v>3</v>
      </c>
      <c r="I9989" s="4" t="str">
        <v>○</v>
      </c>
      <c r="J9989" s="4" t="n">
        <v>150</v>
      </c>
      <c r="K9989" s="4"/>
      <c r="L9989" s="4"/>
      <c r="M9989" s="5" t="s">
        <v>6166</v>
      </c>
    </row>
    <row r="9990" customFormat="false" ht="15.75" hidden="false" customHeight="false" outlineLevel="0" collapsed="false">
      <c r="A9990" s="6" t="n">
        <v>46159</v>
      </c>
      <c r="B9990" s="4" t="s">
        <v>5435</v>
      </c>
      <c r="C9990" s="4" t="n">
        <v>6</v>
      </c>
      <c r="D9990" s="4" t="n">
        <v>5</v>
      </c>
      <c r="E9990" s="4" t="s">
        <v>6418</v>
      </c>
      <c r="F9990" s="4" t="n">
        <v>2</v>
      </c>
      <c r="G9990" s="4" t="n">
        <v>13</v>
      </c>
      <c r="H9990" s="4" t="n">
        <v>4</v>
      </c>
      <c r="I9990" s="4" t="str">
        <v>×</v>
      </c>
      <c r="J9990" s="4"/>
      <c r="K9990" s="4"/>
      <c r="L9990" s="4"/>
      <c r="M9990" s="5" t="s">
        <v>6166</v>
      </c>
    </row>
    <row r="9991" customFormat="false" ht="15.75" hidden="false" customHeight="false" outlineLevel="0" collapsed="false">
      <c r="A9991" s="6" t="n">
        <v>46159</v>
      </c>
      <c r="B9991" s="4" t="s">
        <v>5435</v>
      </c>
      <c r="C9991" s="4" t="n">
        <v>6</v>
      </c>
      <c r="D9991" s="4" t="n">
        <v>6</v>
      </c>
      <c r="E9991" s="4" t="s">
        <v>3235</v>
      </c>
      <c r="F9991" s="4" t="n">
        <v>60</v>
      </c>
      <c r="G9991" s="4" t="n">
        <v>1</v>
      </c>
      <c r="H9991" s="4" t="n">
        <v>2</v>
      </c>
      <c r="I9991" s="4" t="str">
        <v>○</v>
      </c>
      <c r="J9991" s="4" t="n">
        <v>150</v>
      </c>
      <c r="K9991" s="4"/>
      <c r="L9991" s="4"/>
      <c r="M9991" s="5" t="s">
        <v>6166</v>
      </c>
    </row>
    <row r="9992" customFormat="false" ht="15.75" hidden="false" customHeight="false" outlineLevel="0" collapsed="false">
      <c r="A9992" s="6" t="n">
        <v>46159</v>
      </c>
      <c r="B9992" s="4" t="s">
        <v>5435</v>
      </c>
      <c r="C9992" s="4" t="n">
        <v>6</v>
      </c>
      <c r="D9992" s="4" t="n">
        <v>7</v>
      </c>
      <c r="E9992" s="4" t="s">
        <v>6419</v>
      </c>
      <c r="F9992" s="4" t="n">
        <v>23</v>
      </c>
      <c r="G9992" s="4" t="n">
        <v>6</v>
      </c>
      <c r="H9992" s="4" t="n">
        <v>4</v>
      </c>
      <c r="I9992" s="4" t="str">
        <v>×</v>
      </c>
      <c r="J9992" s="4"/>
      <c r="K9992" s="4"/>
      <c r="L9992" s="4"/>
      <c r="M9992" s="5" t="s">
        <v>6166</v>
      </c>
    </row>
    <row r="9993" customFormat="false" ht="15.75" hidden="false" customHeight="false" outlineLevel="0" collapsed="false">
      <c r="A9993" s="6" t="n">
        <v>46159</v>
      </c>
      <c r="B9993" s="4" t="s">
        <v>5435</v>
      </c>
      <c r="C9993" s="4" t="n">
        <v>6</v>
      </c>
      <c r="D9993" s="4" t="n">
        <v>8</v>
      </c>
      <c r="E9993" s="4" t="s">
        <v>6420</v>
      </c>
      <c r="F9993" s="4" t="n">
        <v>41</v>
      </c>
      <c r="G9993" s="4" t="n">
        <v>3</v>
      </c>
      <c r="H9993" s="4" t="n">
        <v>1</v>
      </c>
      <c r="I9993" s="4" t="str">
        <v>○</v>
      </c>
      <c r="J9993" s="4" t="n">
        <v>310</v>
      </c>
      <c r="K9993" s="4"/>
      <c r="L9993" s="4"/>
      <c r="M9993" s="5" t="s">
        <v>6166</v>
      </c>
    </row>
    <row r="9994" customFormat="false" ht="15.75" hidden="false" customHeight="false" outlineLevel="0" collapsed="false">
      <c r="A9994" s="6" t="n">
        <v>46159</v>
      </c>
      <c r="B9994" s="4" t="s">
        <v>5435</v>
      </c>
      <c r="C9994" s="4" t="n">
        <v>6</v>
      </c>
      <c r="D9994" s="4" t="n">
        <v>9</v>
      </c>
      <c r="E9994" s="4" t="s">
        <v>739</v>
      </c>
      <c r="F9994" s="4" t="n">
        <v>13</v>
      </c>
      <c r="G9994" s="4" t="n">
        <v>8</v>
      </c>
      <c r="H9994" s="4" t="n">
        <v>4</v>
      </c>
      <c r="I9994" s="4" t="str">
        <v>×</v>
      </c>
      <c r="J9994" s="4"/>
      <c r="K9994" s="4"/>
      <c r="L9994" s="4"/>
      <c r="M9994" s="5" t="s">
        <v>6166</v>
      </c>
    </row>
    <row r="9995" customFormat="false" ht="15.75" hidden="false" customHeight="false" outlineLevel="0" collapsed="false">
      <c r="A9995" s="6" t="n">
        <v>46159</v>
      </c>
      <c r="B9995" s="4" t="s">
        <v>5435</v>
      </c>
      <c r="C9995" s="4" t="n">
        <v>6</v>
      </c>
      <c r="D9995" s="4" t="n">
        <v>10</v>
      </c>
      <c r="E9995" s="4" t="s">
        <v>6421</v>
      </c>
      <c r="F9995" s="4" t="n">
        <v>13</v>
      </c>
      <c r="G9995" s="4" t="n">
        <v>8</v>
      </c>
      <c r="H9995" s="4" t="n">
        <v>4</v>
      </c>
      <c r="I9995" s="4" t="str">
        <v>×</v>
      </c>
      <c r="J9995" s="4"/>
      <c r="K9995" s="4"/>
      <c r="L9995" s="4"/>
      <c r="M9995" s="5" t="s">
        <v>6166</v>
      </c>
    </row>
    <row r="9996" customFormat="false" ht="15.75" hidden="false" customHeight="false" outlineLevel="0" collapsed="false">
      <c r="A9996" s="6" t="n">
        <v>46159</v>
      </c>
      <c r="B9996" s="4" t="s">
        <v>5435</v>
      </c>
      <c r="C9996" s="4" t="n">
        <v>6</v>
      </c>
      <c r="D9996" s="4" t="n">
        <v>11</v>
      </c>
      <c r="E9996" s="4" t="s">
        <v>6422</v>
      </c>
      <c r="F9996" s="4" t="n">
        <v>10</v>
      </c>
      <c r="G9996" s="4" t="n">
        <v>9</v>
      </c>
      <c r="H9996" s="4" t="n">
        <v>4</v>
      </c>
      <c r="I9996" s="4" t="str">
        <v>×</v>
      </c>
      <c r="J9996" s="4"/>
      <c r="K9996" s="4"/>
      <c r="L9996" s="4"/>
      <c r="M9996" s="5" t="s">
        <v>6166</v>
      </c>
    </row>
    <row r="9997" customFormat="false" ht="15.75" hidden="false" customHeight="false" outlineLevel="0" collapsed="false">
      <c r="A9997" s="6" t="n">
        <v>46159</v>
      </c>
      <c r="B9997" s="4" t="s">
        <v>5435</v>
      </c>
      <c r="C9997" s="4" t="n">
        <v>6</v>
      </c>
      <c r="D9997" s="4" t="n">
        <v>12</v>
      </c>
      <c r="E9997" s="4" t="s">
        <v>4075</v>
      </c>
      <c r="F9997" s="4" t="n">
        <v>13</v>
      </c>
      <c r="G9997" s="4" t="n">
        <v>8</v>
      </c>
      <c r="H9997" s="4" t="n">
        <v>4</v>
      </c>
      <c r="I9997" s="4" t="str">
        <v>×</v>
      </c>
      <c r="J9997" s="4"/>
      <c r="K9997" s="4"/>
      <c r="L9997" s="4"/>
      <c r="M9997" s="5" t="s">
        <v>6166</v>
      </c>
    </row>
    <row r="9998" customFormat="false" ht="15.75" hidden="false" customHeight="false" outlineLevel="0" collapsed="false">
      <c r="A9998" s="6" t="n">
        <v>46159</v>
      </c>
      <c r="B9998" s="4" t="s">
        <v>5435</v>
      </c>
      <c r="C9998" s="4" t="n">
        <v>6</v>
      </c>
      <c r="D9998" s="4" t="n">
        <v>13</v>
      </c>
      <c r="E9998" s="4" t="s">
        <v>6423</v>
      </c>
      <c r="F9998" s="4" t="n">
        <v>8</v>
      </c>
      <c r="G9998" s="4" t="n">
        <v>10</v>
      </c>
      <c r="H9998" s="4" t="n">
        <v>4</v>
      </c>
      <c r="I9998" s="4" t="str">
        <v>×</v>
      </c>
      <c r="J9998" s="4"/>
      <c r="K9998" s="4"/>
      <c r="L9998" s="4"/>
      <c r="M9998" s="5" t="s">
        <v>6166</v>
      </c>
    </row>
    <row r="9999" customFormat="false" ht="15.75" hidden="false" customHeight="false" outlineLevel="0" collapsed="false">
      <c r="A9999" s="6" t="n">
        <v>46159</v>
      </c>
      <c r="B9999" s="4" t="s">
        <v>5435</v>
      </c>
      <c r="C9999" s="4" t="n">
        <v>6</v>
      </c>
      <c r="D9999" s="4" t="n">
        <v>14</v>
      </c>
      <c r="E9999" s="4" t="s">
        <v>4141</v>
      </c>
      <c r="F9999" s="4" t="n">
        <v>47</v>
      </c>
      <c r="G9999" s="4" t="n">
        <v>2</v>
      </c>
      <c r="H9999" s="4" t="n">
        <v>4</v>
      </c>
      <c r="I9999" s="4" t="str">
        <v>×</v>
      </c>
      <c r="J9999" s="4"/>
      <c r="K9999" s="4"/>
      <c r="L9999" s="4"/>
      <c r="M9999" s="5" t="s">
        <v>6166</v>
      </c>
    </row>
    <row r="10000" customFormat="false" ht="15.75" hidden="false" customHeight="false" outlineLevel="0" collapsed="false">
      <c r="A10000" s="6" t="n">
        <v>46159</v>
      </c>
      <c r="B10000" s="4" t="s">
        <v>5435</v>
      </c>
      <c r="C10000" s="4" t="n">
        <v>6</v>
      </c>
      <c r="D10000" s="4" t="n">
        <v>15</v>
      </c>
      <c r="E10000" s="4" t="s">
        <v>1233</v>
      </c>
      <c r="F10000" s="4" t="n">
        <v>15</v>
      </c>
      <c r="G10000" s="4" t="n">
        <v>7</v>
      </c>
      <c r="H10000" s="4" t="n">
        <v>4</v>
      </c>
      <c r="I10000" s="4" t="str">
        <v>×</v>
      </c>
      <c r="J10000" s="4"/>
      <c r="K10000" s="4"/>
      <c r="L10000" s="4"/>
      <c r="M10000" s="5" t="s">
        <v>6166</v>
      </c>
    </row>
    <row r="10001" customFormat="false" ht="15.75" hidden="false" customHeight="false" outlineLevel="0" collapsed="false">
      <c r="A10001" s="6" t="n">
        <v>46159</v>
      </c>
      <c r="B10001" s="4" t="s">
        <v>5435</v>
      </c>
      <c r="C10001" s="4" t="n">
        <v>6</v>
      </c>
      <c r="D10001" s="4" t="n">
        <v>16</v>
      </c>
      <c r="E10001" s="4" t="s">
        <v>2497</v>
      </c>
      <c r="F10001" s="4" t="n">
        <v>25</v>
      </c>
      <c r="G10001" s="4" t="n">
        <v>5</v>
      </c>
      <c r="H10001" s="4" t="n">
        <v>4</v>
      </c>
      <c r="I10001" s="4" t="str">
        <v>×</v>
      </c>
      <c r="J10001" s="4"/>
      <c r="K10001" s="4"/>
      <c r="L10001" s="4"/>
      <c r="M10001" s="5" t="s">
        <v>6166</v>
      </c>
    </row>
    <row r="10002" customFormat="false" ht="15.75" hidden="false" customHeight="false" outlineLevel="0" collapsed="false">
      <c r="A10002" s="6" t="n">
        <v>46159</v>
      </c>
      <c r="B10002" s="4" t="s">
        <v>5435</v>
      </c>
      <c r="C10002" s="4" t="n">
        <v>7</v>
      </c>
      <c r="D10002" s="4" t="n">
        <v>1</v>
      </c>
      <c r="E10002" s="4" t="s">
        <v>3199</v>
      </c>
      <c r="F10002" s="4" t="n">
        <v>39</v>
      </c>
      <c r="G10002" s="4" t="n">
        <v>3</v>
      </c>
      <c r="H10002" s="4" t="n">
        <v>4</v>
      </c>
      <c r="I10002" s="4" t="str">
        <v>×</v>
      </c>
      <c r="J10002" s="4"/>
      <c r="K10002" s="4"/>
      <c r="L10002" s="4"/>
      <c r="M10002" s="5" t="s">
        <v>6166</v>
      </c>
    </row>
    <row r="10003" customFormat="false" ht="15.75" hidden="false" customHeight="false" outlineLevel="0" collapsed="false">
      <c r="A10003" s="6" t="n">
        <v>46159</v>
      </c>
      <c r="B10003" s="4" t="s">
        <v>5435</v>
      </c>
      <c r="C10003" s="4" t="n">
        <v>7</v>
      </c>
      <c r="D10003" s="4" t="n">
        <v>2</v>
      </c>
      <c r="E10003" s="4" t="s">
        <v>6424</v>
      </c>
      <c r="F10003" s="4" t="n">
        <v>17</v>
      </c>
      <c r="G10003" s="4" t="n">
        <v>6</v>
      </c>
      <c r="H10003" s="4" t="n">
        <v>4</v>
      </c>
      <c r="I10003" s="4" t="str">
        <v>×</v>
      </c>
      <c r="J10003" s="4"/>
      <c r="K10003" s="4"/>
      <c r="L10003" s="4"/>
      <c r="M10003" s="5" t="s">
        <v>6166</v>
      </c>
    </row>
    <row r="10004" customFormat="false" ht="15.75" hidden="false" customHeight="false" outlineLevel="0" collapsed="false">
      <c r="A10004" s="6" t="n">
        <v>46159</v>
      </c>
      <c r="B10004" s="4" t="s">
        <v>5435</v>
      </c>
      <c r="C10004" s="4" t="n">
        <v>7</v>
      </c>
      <c r="D10004" s="4" t="n">
        <v>3</v>
      </c>
      <c r="E10004" s="4" t="s">
        <v>6425</v>
      </c>
      <c r="F10004" s="4" t="n">
        <v>29</v>
      </c>
      <c r="G10004" s="4" t="n">
        <v>5</v>
      </c>
      <c r="H10004" s="4" t="n">
        <v>2</v>
      </c>
      <c r="I10004" s="4" t="str">
        <v>○</v>
      </c>
      <c r="J10004" s="4" t="n">
        <v>250</v>
      </c>
      <c r="K10004" s="4"/>
      <c r="L10004" s="4"/>
      <c r="M10004" s="5" t="s">
        <v>6166</v>
      </c>
    </row>
    <row r="10005" customFormat="false" ht="15.75" hidden="false" customHeight="false" outlineLevel="0" collapsed="false">
      <c r="A10005" s="6" t="n">
        <v>46159</v>
      </c>
      <c r="B10005" s="4" t="s">
        <v>5435</v>
      </c>
      <c r="C10005" s="4" t="n">
        <v>7</v>
      </c>
      <c r="D10005" s="4" t="n">
        <v>4</v>
      </c>
      <c r="E10005" s="4" t="s">
        <v>6426</v>
      </c>
      <c r="F10005" s="4" t="n">
        <v>52</v>
      </c>
      <c r="G10005" s="4" t="n">
        <v>1</v>
      </c>
      <c r="H10005" s="4" t="n">
        <v>4</v>
      </c>
      <c r="I10005" s="4" t="str">
        <v>×</v>
      </c>
      <c r="J10005" s="4"/>
      <c r="K10005" s="4"/>
      <c r="L10005" s="4"/>
      <c r="M10005" s="5" t="s">
        <v>6166</v>
      </c>
    </row>
    <row r="10006" customFormat="false" ht="15.75" hidden="false" customHeight="false" outlineLevel="0" collapsed="false">
      <c r="A10006" s="6" t="n">
        <v>46159</v>
      </c>
      <c r="B10006" s="4" t="s">
        <v>5435</v>
      </c>
      <c r="C10006" s="4" t="n">
        <v>7</v>
      </c>
      <c r="D10006" s="4" t="n">
        <v>5</v>
      </c>
      <c r="E10006" s="4" t="s">
        <v>6427</v>
      </c>
      <c r="F10006" s="4" t="n">
        <v>4</v>
      </c>
      <c r="G10006" s="4" t="n">
        <v>10</v>
      </c>
      <c r="H10006" s="4" t="n">
        <v>4</v>
      </c>
      <c r="I10006" s="4" t="str">
        <v>×</v>
      </c>
      <c r="J10006" s="4"/>
      <c r="K10006" s="4"/>
      <c r="L10006" s="4"/>
      <c r="M10006" s="5" t="s">
        <v>6166</v>
      </c>
    </row>
    <row r="10007" customFormat="false" ht="15.75" hidden="false" customHeight="false" outlineLevel="0" collapsed="false">
      <c r="A10007" s="6" t="n">
        <v>46159</v>
      </c>
      <c r="B10007" s="4" t="s">
        <v>5435</v>
      </c>
      <c r="C10007" s="4" t="n">
        <v>7</v>
      </c>
      <c r="D10007" s="4" t="n">
        <v>6</v>
      </c>
      <c r="E10007" s="4" t="s">
        <v>3967</v>
      </c>
      <c r="F10007" s="4" t="n">
        <v>6</v>
      </c>
      <c r="G10007" s="4" t="n">
        <v>9</v>
      </c>
      <c r="H10007" s="4" t="n">
        <v>4</v>
      </c>
      <c r="I10007" s="4" t="str">
        <v>×</v>
      </c>
      <c r="J10007" s="4"/>
      <c r="K10007" s="4"/>
      <c r="L10007" s="4"/>
      <c r="M10007" s="5" t="s">
        <v>6166</v>
      </c>
    </row>
    <row r="10008" customFormat="false" ht="15.75" hidden="false" customHeight="false" outlineLevel="0" collapsed="false">
      <c r="A10008" s="6" t="n">
        <v>46159</v>
      </c>
      <c r="B10008" s="4" t="s">
        <v>5435</v>
      </c>
      <c r="C10008" s="4" t="n">
        <v>7</v>
      </c>
      <c r="D10008" s="4" t="n">
        <v>7</v>
      </c>
      <c r="E10008" s="4" t="s">
        <v>4642</v>
      </c>
      <c r="F10008" s="4" t="n">
        <v>4</v>
      </c>
      <c r="G10008" s="4" t="n">
        <v>10</v>
      </c>
      <c r="H10008" s="4" t="n">
        <v>4</v>
      </c>
      <c r="I10008" s="4" t="str">
        <v>×</v>
      </c>
      <c r="J10008" s="4"/>
      <c r="K10008" s="4"/>
      <c r="L10008" s="4"/>
      <c r="M10008" s="5" t="s">
        <v>6166</v>
      </c>
    </row>
    <row r="10009" customFormat="false" ht="15.75" hidden="false" customHeight="false" outlineLevel="0" collapsed="false">
      <c r="A10009" s="6" t="n">
        <v>46159</v>
      </c>
      <c r="B10009" s="4" t="s">
        <v>5435</v>
      </c>
      <c r="C10009" s="4" t="n">
        <v>7</v>
      </c>
      <c r="D10009" s="4" t="n">
        <v>8</v>
      </c>
      <c r="E10009" s="4" t="s">
        <v>2122</v>
      </c>
      <c r="F10009" s="4" t="n">
        <v>10</v>
      </c>
      <c r="G10009" s="4" t="n">
        <v>8</v>
      </c>
      <c r="H10009" s="4" t="n">
        <v>4</v>
      </c>
      <c r="I10009" s="4" t="str">
        <v>×</v>
      </c>
      <c r="J10009" s="4"/>
      <c r="K10009" s="4"/>
      <c r="L10009" s="4"/>
      <c r="M10009" s="5" t="s">
        <v>6166</v>
      </c>
    </row>
    <row r="10010" customFormat="false" ht="15.75" hidden="false" customHeight="false" outlineLevel="0" collapsed="false">
      <c r="A10010" s="6" t="n">
        <v>46159</v>
      </c>
      <c r="B10010" s="4" t="s">
        <v>5435</v>
      </c>
      <c r="C10010" s="4" t="n">
        <v>7</v>
      </c>
      <c r="D10010" s="4" t="n">
        <v>9</v>
      </c>
      <c r="E10010" s="4" t="s">
        <v>1714</v>
      </c>
      <c r="F10010" s="4" t="n">
        <v>31</v>
      </c>
      <c r="G10010" s="4" t="n">
        <v>4</v>
      </c>
      <c r="H10010" s="4" t="n">
        <v>3</v>
      </c>
      <c r="I10010" s="4" t="str">
        <v>○</v>
      </c>
      <c r="J10010" s="4" t="n">
        <v>190</v>
      </c>
      <c r="K10010" s="4"/>
      <c r="L10010" s="4"/>
      <c r="M10010" s="5" t="s">
        <v>6166</v>
      </c>
    </row>
    <row r="10011" customFormat="false" ht="15.75" hidden="false" customHeight="false" outlineLevel="0" collapsed="false">
      <c r="A10011" s="6" t="n">
        <v>46159</v>
      </c>
      <c r="B10011" s="4" t="s">
        <v>5435</v>
      </c>
      <c r="C10011" s="4" t="n">
        <v>7</v>
      </c>
      <c r="D10011" s="4" t="n">
        <v>10</v>
      </c>
      <c r="E10011" s="4" t="s">
        <v>1176</v>
      </c>
      <c r="F10011" s="4" t="n">
        <v>13</v>
      </c>
      <c r="G10011" s="4" t="n">
        <v>7</v>
      </c>
      <c r="H10011" s="4" t="n">
        <v>4</v>
      </c>
      <c r="I10011" s="4" t="str">
        <v>×</v>
      </c>
      <c r="J10011" s="4"/>
      <c r="K10011" s="4"/>
      <c r="L10011" s="4"/>
      <c r="M10011" s="5" t="s">
        <v>6166</v>
      </c>
    </row>
    <row r="10012" customFormat="false" ht="15.75" hidden="false" customHeight="false" outlineLevel="0" collapsed="false">
      <c r="A10012" s="6" t="n">
        <v>46159</v>
      </c>
      <c r="B10012" s="4" t="s">
        <v>5435</v>
      </c>
      <c r="C10012" s="4" t="n">
        <v>7</v>
      </c>
      <c r="D10012" s="4" t="n">
        <v>11</v>
      </c>
      <c r="E10012" s="4" t="s">
        <v>6428</v>
      </c>
      <c r="F10012" s="4" t="n">
        <v>1</v>
      </c>
      <c r="G10012" s="4" t="n">
        <v>11</v>
      </c>
      <c r="H10012" s="4" t="n">
        <v>4</v>
      </c>
      <c r="I10012" s="4" t="str">
        <v>×</v>
      </c>
      <c r="J10012" s="4"/>
      <c r="K10012" s="4"/>
      <c r="L10012" s="4"/>
      <c r="M10012" s="5" t="s">
        <v>6166</v>
      </c>
    </row>
    <row r="10013" customFormat="false" ht="15.75" hidden="false" customHeight="false" outlineLevel="0" collapsed="false">
      <c r="A10013" s="6" t="n">
        <v>46159</v>
      </c>
      <c r="B10013" s="4" t="s">
        <v>5435</v>
      </c>
      <c r="C10013" s="4" t="n">
        <v>7</v>
      </c>
      <c r="D10013" s="4" t="n">
        <v>12</v>
      </c>
      <c r="E10013" s="4" t="s">
        <v>6429</v>
      </c>
      <c r="F10013" s="4" t="n">
        <v>50</v>
      </c>
      <c r="G10013" s="4" t="n">
        <v>2</v>
      </c>
      <c r="H10013" s="4" t="n">
        <v>1</v>
      </c>
      <c r="I10013" s="4" t="str">
        <v>○</v>
      </c>
      <c r="J10013" s="4" t="n">
        <v>180</v>
      </c>
      <c r="K10013" s="4"/>
      <c r="L10013" s="4"/>
      <c r="M10013" s="5" t="s">
        <v>6166</v>
      </c>
    </row>
    <row r="10014" customFormat="false" ht="15.75" hidden="false" customHeight="false" outlineLevel="0" collapsed="false">
      <c r="A10014" s="6" t="n">
        <v>46159</v>
      </c>
      <c r="B10014" s="4" t="s">
        <v>5435</v>
      </c>
      <c r="C10014" s="4" t="n">
        <v>8</v>
      </c>
      <c r="D10014" s="4" t="n">
        <v>1</v>
      </c>
      <c r="E10014" s="4" t="s">
        <v>4652</v>
      </c>
      <c r="F10014" s="4" t="n">
        <v>15</v>
      </c>
      <c r="G10014" s="4" t="n">
        <v>7</v>
      </c>
      <c r="H10014" s="4" t="n">
        <v>4</v>
      </c>
      <c r="I10014" s="4" t="str">
        <v>×</v>
      </c>
      <c r="J10014" s="4"/>
      <c r="K10014" s="4"/>
      <c r="L10014" s="4"/>
      <c r="M10014" s="5" t="s">
        <v>6166</v>
      </c>
    </row>
    <row r="10015" customFormat="false" ht="15.75" hidden="false" customHeight="false" outlineLevel="0" collapsed="false">
      <c r="A10015" s="6" t="n">
        <v>46159</v>
      </c>
      <c r="B10015" s="4" t="s">
        <v>5435</v>
      </c>
      <c r="C10015" s="4" t="n">
        <v>8</v>
      </c>
      <c r="D10015" s="4" t="n">
        <v>2</v>
      </c>
      <c r="E10015" s="4" t="s">
        <v>3653</v>
      </c>
      <c r="F10015" s="4" t="n">
        <v>44</v>
      </c>
      <c r="G10015" s="4" t="n">
        <v>2</v>
      </c>
      <c r="H10015" s="4" t="n">
        <v>4</v>
      </c>
      <c r="I10015" s="4" t="str">
        <v>×</v>
      </c>
      <c r="J10015" s="4"/>
      <c r="K10015" s="4"/>
      <c r="L10015" s="4"/>
      <c r="M10015" s="5" t="s">
        <v>6166</v>
      </c>
    </row>
    <row r="10016" customFormat="false" ht="15.75" hidden="false" customHeight="false" outlineLevel="0" collapsed="false">
      <c r="A10016" s="6" t="n">
        <v>46159</v>
      </c>
      <c r="B10016" s="4" t="s">
        <v>5435</v>
      </c>
      <c r="C10016" s="4" t="n">
        <v>8</v>
      </c>
      <c r="D10016" s="4" t="n">
        <v>3</v>
      </c>
      <c r="E10016" s="4" t="s">
        <v>6138</v>
      </c>
      <c r="F10016" s="4" t="n">
        <v>50</v>
      </c>
      <c r="G10016" s="4" t="n">
        <v>1</v>
      </c>
      <c r="H10016" s="4" t="n">
        <v>2</v>
      </c>
      <c r="I10016" s="4" t="str">
        <v>○</v>
      </c>
      <c r="J10016" s="4" t="n">
        <v>130</v>
      </c>
      <c r="K10016" s="4"/>
      <c r="L10016" s="4"/>
      <c r="M10016" s="5" t="s">
        <v>6166</v>
      </c>
    </row>
    <row r="10017" customFormat="false" ht="15.75" hidden="false" customHeight="false" outlineLevel="0" collapsed="false">
      <c r="A10017" s="6" t="n">
        <v>46159</v>
      </c>
      <c r="B10017" s="4" t="s">
        <v>5435</v>
      </c>
      <c r="C10017" s="4" t="n">
        <v>8</v>
      </c>
      <c r="D10017" s="4" t="n">
        <v>4</v>
      </c>
      <c r="E10017" s="4" t="s">
        <v>3650</v>
      </c>
      <c r="F10017" s="4" t="n">
        <v>25</v>
      </c>
      <c r="G10017" s="4" t="n">
        <v>6</v>
      </c>
      <c r="H10017" s="4" t="n">
        <v>4</v>
      </c>
      <c r="I10017" s="4" t="str">
        <v>×</v>
      </c>
      <c r="J10017" s="4"/>
      <c r="K10017" s="4"/>
      <c r="L10017" s="4"/>
      <c r="M10017" s="5" t="s">
        <v>6166</v>
      </c>
    </row>
    <row r="10018" customFormat="false" ht="15.75" hidden="false" customHeight="false" outlineLevel="0" collapsed="false">
      <c r="A10018" s="6" t="n">
        <v>46159</v>
      </c>
      <c r="B10018" s="4" t="s">
        <v>5435</v>
      </c>
      <c r="C10018" s="4" t="n">
        <v>8</v>
      </c>
      <c r="D10018" s="4" t="n">
        <v>5</v>
      </c>
      <c r="E10018" s="4" t="s">
        <v>4651</v>
      </c>
      <c r="F10018" s="4" t="n">
        <v>13</v>
      </c>
      <c r="G10018" s="4" t="n">
        <v>8</v>
      </c>
      <c r="H10018" s="4" t="n">
        <v>4</v>
      </c>
      <c r="I10018" s="4" t="str">
        <v>×</v>
      </c>
      <c r="J10018" s="4"/>
      <c r="K10018" s="4"/>
      <c r="L10018" s="4"/>
      <c r="M10018" s="5" t="s">
        <v>6166</v>
      </c>
    </row>
    <row r="10019" customFormat="false" ht="15.75" hidden="false" customHeight="false" outlineLevel="0" collapsed="false">
      <c r="A10019" s="6" t="n">
        <v>46159</v>
      </c>
      <c r="B10019" s="4" t="s">
        <v>5435</v>
      </c>
      <c r="C10019" s="4" t="n">
        <v>8</v>
      </c>
      <c r="D10019" s="4" t="n">
        <v>6</v>
      </c>
      <c r="E10019" s="4" t="s">
        <v>1200</v>
      </c>
      <c r="F10019" s="4" t="n">
        <v>39</v>
      </c>
      <c r="G10019" s="4" t="n">
        <v>3</v>
      </c>
      <c r="H10019" s="4" t="n">
        <v>4</v>
      </c>
      <c r="I10019" s="4" t="str">
        <v>×</v>
      </c>
      <c r="J10019" s="4"/>
      <c r="K10019" s="4"/>
      <c r="L10019" s="4"/>
      <c r="M10019" s="5" t="s">
        <v>6166</v>
      </c>
    </row>
    <row r="10020" customFormat="false" ht="15.75" hidden="false" customHeight="false" outlineLevel="0" collapsed="false">
      <c r="A10020" s="6" t="n">
        <v>46159</v>
      </c>
      <c r="B10020" s="4" t="s">
        <v>5435</v>
      </c>
      <c r="C10020" s="4" t="n">
        <v>8</v>
      </c>
      <c r="D10020" s="4" t="n">
        <v>7</v>
      </c>
      <c r="E10020" s="4" t="s">
        <v>6136</v>
      </c>
      <c r="F10020" s="4" t="n">
        <v>37</v>
      </c>
      <c r="G10020" s="4" t="n">
        <v>4</v>
      </c>
      <c r="H10020" s="4" t="n">
        <v>3</v>
      </c>
      <c r="I10020" s="4" t="str">
        <v>○</v>
      </c>
      <c r="J10020" s="4" t="n">
        <v>150</v>
      </c>
      <c r="K10020" s="4"/>
      <c r="L10020" s="4"/>
      <c r="M10020" s="5" t="s">
        <v>6166</v>
      </c>
    </row>
    <row r="10021" customFormat="false" ht="15.75" hidden="false" customHeight="false" outlineLevel="0" collapsed="false">
      <c r="A10021" s="6" t="n">
        <v>46159</v>
      </c>
      <c r="B10021" s="4" t="s">
        <v>5435</v>
      </c>
      <c r="C10021" s="4" t="n">
        <v>8</v>
      </c>
      <c r="D10021" s="4" t="n">
        <v>8</v>
      </c>
      <c r="E10021" s="4" t="s">
        <v>5966</v>
      </c>
      <c r="F10021" s="4" t="n">
        <v>34</v>
      </c>
      <c r="G10021" s="4" t="n">
        <v>5</v>
      </c>
      <c r="H10021" s="4" t="n">
        <v>1</v>
      </c>
      <c r="I10021" s="4" t="str">
        <v>○</v>
      </c>
      <c r="J10021" s="4" t="n">
        <v>170</v>
      </c>
      <c r="K10021" s="4"/>
      <c r="L10021" s="4"/>
      <c r="M10021" s="5" t="s">
        <v>6166</v>
      </c>
    </row>
    <row r="10022" customFormat="false" ht="15.75" hidden="false" customHeight="false" outlineLevel="0" collapsed="false">
      <c r="A10022" s="6" t="n">
        <v>46159</v>
      </c>
      <c r="B10022" s="4" t="s">
        <v>5435</v>
      </c>
      <c r="C10022" s="4" t="n">
        <v>9</v>
      </c>
      <c r="D10022" s="4" t="n">
        <v>1</v>
      </c>
      <c r="E10022" s="4" t="s">
        <v>1982</v>
      </c>
      <c r="F10022" s="4" t="n">
        <v>41</v>
      </c>
      <c r="G10022" s="4" t="n">
        <v>3</v>
      </c>
      <c r="H10022" s="4" t="n">
        <v>3</v>
      </c>
      <c r="I10022" s="4" t="str">
        <v>○</v>
      </c>
      <c r="J10022" s="4" t="n">
        <v>120</v>
      </c>
      <c r="K10022" s="4"/>
      <c r="L10022" s="4"/>
      <c r="M10022" s="5" t="s">
        <v>6166</v>
      </c>
    </row>
    <row r="10023" customFormat="false" ht="15.75" hidden="false" customHeight="false" outlineLevel="0" collapsed="false">
      <c r="A10023" s="6" t="n">
        <v>46159</v>
      </c>
      <c r="B10023" s="4" t="s">
        <v>5435</v>
      </c>
      <c r="C10023" s="4" t="n">
        <v>9</v>
      </c>
      <c r="D10023" s="4" t="n">
        <v>2</v>
      </c>
      <c r="E10023" s="4" t="s">
        <v>6430</v>
      </c>
      <c r="F10023" s="4" t="n">
        <v>2</v>
      </c>
      <c r="G10023" s="4" t="n">
        <v>8</v>
      </c>
      <c r="H10023" s="4" t="n">
        <v>4</v>
      </c>
      <c r="I10023" s="4" t="str">
        <v>×</v>
      </c>
      <c r="J10023" s="4"/>
      <c r="K10023" s="4"/>
      <c r="L10023" s="4"/>
      <c r="M10023" s="5" t="s">
        <v>6166</v>
      </c>
    </row>
    <row r="10024" customFormat="false" ht="15.75" hidden="false" customHeight="false" outlineLevel="0" collapsed="false">
      <c r="A10024" s="6" t="n">
        <v>46159</v>
      </c>
      <c r="B10024" s="4" t="s">
        <v>5435</v>
      </c>
      <c r="C10024" s="4" t="n">
        <v>9</v>
      </c>
      <c r="D10024" s="4" t="n">
        <v>3</v>
      </c>
      <c r="E10024" s="4" t="s">
        <v>6431</v>
      </c>
      <c r="F10024" s="4" t="n">
        <v>50</v>
      </c>
      <c r="G10024" s="4" t="n">
        <v>2</v>
      </c>
      <c r="H10024" s="4" t="n">
        <v>1</v>
      </c>
      <c r="I10024" s="4" t="str">
        <v>○</v>
      </c>
      <c r="J10024" s="4" t="n">
        <v>130</v>
      </c>
      <c r="K10024" s="4"/>
      <c r="L10024" s="4"/>
      <c r="M10024" s="5" t="s">
        <v>6166</v>
      </c>
    </row>
    <row r="10025" customFormat="false" ht="15.75" hidden="false" customHeight="false" outlineLevel="0" collapsed="false">
      <c r="A10025" s="6" t="n">
        <v>46159</v>
      </c>
      <c r="B10025" s="4" t="s">
        <v>5435</v>
      </c>
      <c r="C10025" s="4" t="n">
        <v>9</v>
      </c>
      <c r="D10025" s="4" t="n">
        <v>4</v>
      </c>
      <c r="E10025" s="4" t="s">
        <v>6432</v>
      </c>
      <c r="F10025" s="4" t="n">
        <v>6</v>
      </c>
      <c r="G10025" s="4" t="n">
        <v>7</v>
      </c>
      <c r="H10025" s="4" t="n">
        <v>4</v>
      </c>
      <c r="I10025" s="4" t="str">
        <v>×</v>
      </c>
      <c r="J10025" s="4"/>
      <c r="K10025" s="4"/>
      <c r="L10025" s="4"/>
      <c r="M10025" s="5" t="s">
        <v>6166</v>
      </c>
    </row>
    <row r="10026" customFormat="false" ht="15.75" hidden="false" customHeight="false" outlineLevel="0" collapsed="false">
      <c r="A10026" s="6" t="n">
        <v>46159</v>
      </c>
      <c r="B10026" s="4" t="s">
        <v>5435</v>
      </c>
      <c r="C10026" s="4" t="n">
        <v>9</v>
      </c>
      <c r="D10026" s="4" t="n">
        <v>5</v>
      </c>
      <c r="E10026" s="4" t="s">
        <v>6433</v>
      </c>
      <c r="F10026" s="4" t="n">
        <v>60</v>
      </c>
      <c r="G10026" s="4" t="n">
        <v>1</v>
      </c>
      <c r="H10026" s="4" t="n">
        <v>2</v>
      </c>
      <c r="I10026" s="4" t="str">
        <v>○</v>
      </c>
      <c r="J10026" s="4" t="n">
        <v>100</v>
      </c>
      <c r="K10026" s="4"/>
      <c r="L10026" s="4"/>
      <c r="M10026" s="5" t="s">
        <v>6166</v>
      </c>
    </row>
    <row r="10027" customFormat="false" ht="15.75" hidden="false" customHeight="false" outlineLevel="0" collapsed="false">
      <c r="A10027" s="6" t="n">
        <v>46159</v>
      </c>
      <c r="B10027" s="4" t="s">
        <v>5435</v>
      </c>
      <c r="C10027" s="4" t="n">
        <v>9</v>
      </c>
      <c r="D10027" s="4" t="n">
        <v>6</v>
      </c>
      <c r="E10027" s="4" t="s">
        <v>437</v>
      </c>
      <c r="F10027" s="4" t="n">
        <v>41</v>
      </c>
      <c r="G10027" s="4" t="n">
        <v>3</v>
      </c>
      <c r="H10027" s="4" t="n">
        <v>4</v>
      </c>
      <c r="I10027" s="4" t="str">
        <v>×</v>
      </c>
      <c r="J10027" s="4"/>
      <c r="K10027" s="4"/>
      <c r="L10027" s="4"/>
      <c r="M10027" s="5" t="s">
        <v>6166</v>
      </c>
    </row>
    <row r="10028" customFormat="false" ht="15.75" hidden="false" customHeight="false" outlineLevel="0" collapsed="false">
      <c r="A10028" s="6" t="n">
        <v>46159</v>
      </c>
      <c r="B10028" s="4" t="s">
        <v>5435</v>
      </c>
      <c r="C10028" s="4" t="n">
        <v>9</v>
      </c>
      <c r="D10028" s="4" t="n">
        <v>7</v>
      </c>
      <c r="E10028" s="4" t="s">
        <v>6434</v>
      </c>
      <c r="F10028" s="4" t="n">
        <v>1</v>
      </c>
      <c r="G10028" s="4" t="n">
        <v>9</v>
      </c>
      <c r="H10028" s="4" t="n">
        <v>4</v>
      </c>
      <c r="I10028" s="4" t="str">
        <v>×</v>
      </c>
      <c r="J10028" s="4"/>
      <c r="K10028" s="4"/>
      <c r="L10028" s="4"/>
      <c r="M10028" s="5" t="s">
        <v>6166</v>
      </c>
    </row>
    <row r="10029" customFormat="false" ht="15.75" hidden="false" customHeight="false" outlineLevel="0" collapsed="false">
      <c r="A10029" s="6" t="n">
        <v>46159</v>
      </c>
      <c r="B10029" s="4" t="s">
        <v>5435</v>
      </c>
      <c r="C10029" s="4" t="n">
        <v>9</v>
      </c>
      <c r="D10029" s="4" t="n">
        <v>8</v>
      </c>
      <c r="E10029" s="4" t="s">
        <v>5055</v>
      </c>
      <c r="F10029" s="4" t="n">
        <v>20</v>
      </c>
      <c r="G10029" s="4" t="n">
        <v>5</v>
      </c>
      <c r="H10029" s="4" t="n">
        <v>4</v>
      </c>
      <c r="I10029" s="4" t="str">
        <v>×</v>
      </c>
      <c r="J10029" s="4"/>
      <c r="K10029" s="4"/>
      <c r="L10029" s="4"/>
      <c r="M10029" s="5" t="s">
        <v>6166</v>
      </c>
    </row>
    <row r="10030" customFormat="false" ht="15.75" hidden="false" customHeight="false" outlineLevel="0" collapsed="false">
      <c r="A10030" s="6" t="n">
        <v>46159</v>
      </c>
      <c r="B10030" s="4" t="s">
        <v>5435</v>
      </c>
      <c r="C10030" s="4" t="n">
        <v>9</v>
      </c>
      <c r="D10030" s="4" t="n">
        <v>9</v>
      </c>
      <c r="E10030" s="4" t="s">
        <v>6435</v>
      </c>
      <c r="F10030" s="4" t="n">
        <v>29</v>
      </c>
      <c r="G10030" s="4" t="n">
        <v>4</v>
      </c>
      <c r="H10030" s="4" t="n">
        <v>4</v>
      </c>
      <c r="I10030" s="4" t="str">
        <v>×</v>
      </c>
      <c r="J10030" s="4"/>
      <c r="K10030" s="4"/>
      <c r="L10030" s="4"/>
      <c r="M10030" s="5" t="s">
        <v>6166</v>
      </c>
    </row>
    <row r="10031" customFormat="false" ht="15.75" hidden="false" customHeight="false" outlineLevel="0" collapsed="false">
      <c r="A10031" s="6" t="n">
        <v>46159</v>
      </c>
      <c r="B10031" s="4" t="s">
        <v>5435</v>
      </c>
      <c r="C10031" s="4" t="n">
        <v>9</v>
      </c>
      <c r="D10031" s="4" t="n">
        <v>10</v>
      </c>
      <c r="E10031" s="4" t="s">
        <v>6035</v>
      </c>
      <c r="F10031" s="4" t="n">
        <v>15</v>
      </c>
      <c r="G10031" s="4" t="n">
        <v>6</v>
      </c>
      <c r="H10031" s="4" t="n">
        <v>4</v>
      </c>
      <c r="I10031" s="4" t="str">
        <v>×</v>
      </c>
      <c r="J10031" s="4"/>
      <c r="K10031" s="4"/>
      <c r="L10031" s="4"/>
      <c r="M10031" s="5" t="s">
        <v>6166</v>
      </c>
    </row>
    <row r="10032" customFormat="false" ht="15.75" hidden="false" customHeight="false" outlineLevel="0" collapsed="false">
      <c r="A10032" s="6" t="n">
        <v>46159</v>
      </c>
      <c r="B10032" s="4" t="s">
        <v>5435</v>
      </c>
      <c r="C10032" s="4" t="n">
        <v>10</v>
      </c>
      <c r="D10032" s="4" t="n">
        <v>1</v>
      </c>
      <c r="E10032" s="4" t="s">
        <v>5298</v>
      </c>
      <c r="F10032" s="4" t="n">
        <v>34</v>
      </c>
      <c r="G10032" s="4" t="n">
        <v>2</v>
      </c>
      <c r="H10032" s="4" t="n">
        <v>4</v>
      </c>
      <c r="I10032" s="4" t="str">
        <v>×</v>
      </c>
      <c r="J10032" s="4"/>
      <c r="K10032" s="4"/>
      <c r="L10032" s="4"/>
      <c r="M10032" s="5" t="s">
        <v>6166</v>
      </c>
    </row>
    <row r="10033" customFormat="false" ht="15.75" hidden="false" customHeight="false" outlineLevel="0" collapsed="false">
      <c r="A10033" s="6" t="n">
        <v>46159</v>
      </c>
      <c r="B10033" s="4" t="s">
        <v>5435</v>
      </c>
      <c r="C10033" s="4" t="n">
        <v>10</v>
      </c>
      <c r="D10033" s="4" t="n">
        <v>2</v>
      </c>
      <c r="E10033" s="4" t="s">
        <v>6436</v>
      </c>
      <c r="F10033" s="4" t="n">
        <v>20</v>
      </c>
      <c r="G10033" s="4" t="n">
        <v>6</v>
      </c>
      <c r="H10033" s="4" t="n">
        <v>4</v>
      </c>
      <c r="I10033" s="4" t="str">
        <v>×</v>
      </c>
      <c r="J10033" s="4"/>
      <c r="K10033" s="4"/>
      <c r="L10033" s="4"/>
      <c r="M10033" s="5" t="s">
        <v>6166</v>
      </c>
    </row>
    <row r="10034" customFormat="false" ht="15.75" hidden="false" customHeight="false" outlineLevel="0" collapsed="false">
      <c r="A10034" s="6" t="n">
        <v>46159</v>
      </c>
      <c r="B10034" s="4" t="s">
        <v>5435</v>
      </c>
      <c r="C10034" s="4" t="n">
        <v>10</v>
      </c>
      <c r="D10034" s="4" t="n">
        <v>3</v>
      </c>
      <c r="E10034" s="4" t="s">
        <v>6437</v>
      </c>
      <c r="F10034" s="4" t="n">
        <v>23</v>
      </c>
      <c r="G10034" s="4" t="n">
        <v>5</v>
      </c>
      <c r="H10034" s="4" t="n">
        <v>2</v>
      </c>
      <c r="I10034" s="4" t="str">
        <v>○</v>
      </c>
      <c r="J10034" s="4" t="n">
        <v>400</v>
      </c>
      <c r="K10034" s="4"/>
      <c r="L10034" s="4"/>
      <c r="M10034" s="5" t="s">
        <v>6166</v>
      </c>
    </row>
    <row r="10035" customFormat="false" ht="15.75" hidden="false" customHeight="false" outlineLevel="0" collapsed="false">
      <c r="A10035" s="6" t="n">
        <v>46159</v>
      </c>
      <c r="B10035" s="4" t="s">
        <v>5435</v>
      </c>
      <c r="C10035" s="4" t="n">
        <v>10</v>
      </c>
      <c r="D10035" s="4" t="n">
        <v>4</v>
      </c>
      <c r="E10035" s="4" t="s">
        <v>1691</v>
      </c>
      <c r="F10035" s="4" t="n">
        <v>10</v>
      </c>
      <c r="G10035" s="4" t="n">
        <v>8</v>
      </c>
      <c r="H10035" s="4" t="n">
        <v>4</v>
      </c>
      <c r="I10035" s="4" t="str">
        <v>×</v>
      </c>
      <c r="J10035" s="4"/>
      <c r="K10035" s="4"/>
      <c r="L10035" s="4"/>
      <c r="M10035" s="5" t="s">
        <v>6166</v>
      </c>
    </row>
    <row r="10036" customFormat="false" ht="15.75" hidden="false" customHeight="false" outlineLevel="0" collapsed="false">
      <c r="A10036" s="6" t="n">
        <v>46159</v>
      </c>
      <c r="B10036" s="4" t="s">
        <v>5435</v>
      </c>
      <c r="C10036" s="4" t="n">
        <v>10</v>
      </c>
      <c r="D10036" s="4" t="n">
        <v>5</v>
      </c>
      <c r="E10036" s="4" t="s">
        <v>6438</v>
      </c>
      <c r="F10036" s="4" t="n">
        <v>20</v>
      </c>
      <c r="G10036" s="4" t="n">
        <v>6</v>
      </c>
      <c r="H10036" s="4" t="n">
        <v>4</v>
      </c>
      <c r="I10036" s="4" t="str">
        <v>×</v>
      </c>
      <c r="J10036" s="4"/>
      <c r="K10036" s="4"/>
      <c r="L10036" s="4"/>
      <c r="M10036" s="5" t="s">
        <v>6166</v>
      </c>
    </row>
    <row r="10037" customFormat="false" ht="15.75" hidden="false" customHeight="false" outlineLevel="0" collapsed="false">
      <c r="A10037" s="6" t="n">
        <v>46159</v>
      </c>
      <c r="B10037" s="4" t="s">
        <v>5435</v>
      </c>
      <c r="C10037" s="4" t="n">
        <v>10</v>
      </c>
      <c r="D10037" s="4" t="n">
        <v>6</v>
      </c>
      <c r="E10037" s="4" t="s">
        <v>5714</v>
      </c>
      <c r="F10037" s="4" t="n">
        <v>13</v>
      </c>
      <c r="G10037" s="4" t="n">
        <v>7</v>
      </c>
      <c r="H10037" s="4" t="n">
        <v>4</v>
      </c>
      <c r="I10037" s="4" t="str">
        <v>×</v>
      </c>
      <c r="J10037" s="4"/>
      <c r="K10037" s="4"/>
      <c r="L10037" s="4"/>
      <c r="M10037" s="5" t="s">
        <v>6166</v>
      </c>
    </row>
    <row r="10038" customFormat="false" ht="15.75" hidden="false" customHeight="false" outlineLevel="0" collapsed="false">
      <c r="A10038" s="6" t="n">
        <v>46159</v>
      </c>
      <c r="B10038" s="4" t="s">
        <v>5435</v>
      </c>
      <c r="C10038" s="4" t="n">
        <v>10</v>
      </c>
      <c r="D10038" s="4" t="n">
        <v>7</v>
      </c>
      <c r="E10038" s="4" t="s">
        <v>3642</v>
      </c>
      <c r="F10038" s="4" t="n">
        <v>29</v>
      </c>
      <c r="G10038" s="4" t="n">
        <v>3</v>
      </c>
      <c r="H10038" s="4" t="n">
        <v>3</v>
      </c>
      <c r="I10038" s="4" t="str">
        <v>○</v>
      </c>
      <c r="J10038" s="4" t="n">
        <v>290</v>
      </c>
      <c r="K10038" s="4"/>
      <c r="L10038" s="4"/>
      <c r="M10038" s="5" t="s">
        <v>6166</v>
      </c>
    </row>
    <row r="10039" customFormat="false" ht="15.75" hidden="false" customHeight="false" outlineLevel="0" collapsed="false">
      <c r="A10039" s="6" t="n">
        <v>46159</v>
      </c>
      <c r="B10039" s="4" t="s">
        <v>5435</v>
      </c>
      <c r="C10039" s="4" t="n">
        <v>10</v>
      </c>
      <c r="D10039" s="4" t="n">
        <v>8</v>
      </c>
      <c r="E10039" s="4" t="s">
        <v>6439</v>
      </c>
      <c r="F10039" s="4" t="n">
        <v>34</v>
      </c>
      <c r="G10039" s="4" t="n">
        <v>2</v>
      </c>
      <c r="H10039" s="4" t="n">
        <v>4</v>
      </c>
      <c r="I10039" s="4" t="str">
        <v>×</v>
      </c>
      <c r="J10039" s="4"/>
      <c r="K10039" s="4"/>
      <c r="L10039" s="4"/>
      <c r="M10039" s="5" t="s">
        <v>6166</v>
      </c>
    </row>
    <row r="10040" customFormat="false" ht="15.75" hidden="false" customHeight="false" outlineLevel="0" collapsed="false">
      <c r="A10040" s="6" t="n">
        <v>46159</v>
      </c>
      <c r="B10040" s="4" t="s">
        <v>5435</v>
      </c>
      <c r="C10040" s="4" t="n">
        <v>10</v>
      </c>
      <c r="D10040" s="4" t="n">
        <v>9</v>
      </c>
      <c r="E10040" s="4" t="s">
        <v>3646</v>
      </c>
      <c r="F10040" s="4" t="n">
        <v>34</v>
      </c>
      <c r="G10040" s="4" t="n">
        <v>2</v>
      </c>
      <c r="H10040" s="4" t="n">
        <v>4</v>
      </c>
      <c r="I10040" s="4" t="str">
        <v>×</v>
      </c>
      <c r="J10040" s="4"/>
      <c r="K10040" s="4"/>
      <c r="L10040" s="4"/>
      <c r="M10040" s="5" t="s">
        <v>6166</v>
      </c>
    </row>
    <row r="10041" customFormat="false" ht="15.75" hidden="false" customHeight="false" outlineLevel="0" collapsed="false">
      <c r="A10041" s="6" t="n">
        <v>46159</v>
      </c>
      <c r="B10041" s="4" t="s">
        <v>5435</v>
      </c>
      <c r="C10041" s="4" t="n">
        <v>10</v>
      </c>
      <c r="D10041" s="4" t="n">
        <v>10</v>
      </c>
      <c r="E10041" s="4" t="s">
        <v>2266</v>
      </c>
      <c r="F10041" s="4" t="n">
        <v>52</v>
      </c>
      <c r="G10041" s="4" t="n">
        <v>1</v>
      </c>
      <c r="H10041" s="4" t="n">
        <v>4</v>
      </c>
      <c r="I10041" s="4" t="str">
        <v>×</v>
      </c>
      <c r="J10041" s="4"/>
      <c r="K10041" s="4"/>
      <c r="L10041" s="4"/>
      <c r="M10041" s="5" t="s">
        <v>6166</v>
      </c>
    </row>
    <row r="10042" customFormat="false" ht="15.75" hidden="false" customHeight="false" outlineLevel="0" collapsed="false">
      <c r="A10042" s="6" t="n">
        <v>46159</v>
      </c>
      <c r="B10042" s="4" t="s">
        <v>5435</v>
      </c>
      <c r="C10042" s="4" t="n">
        <v>10</v>
      </c>
      <c r="D10042" s="4" t="n">
        <v>11</v>
      </c>
      <c r="E10042" s="4" t="s">
        <v>6440</v>
      </c>
      <c r="F10042" s="4" t="n">
        <v>20</v>
      </c>
      <c r="G10042" s="4" t="n">
        <v>6</v>
      </c>
      <c r="H10042" s="4" t="n">
        <v>4</v>
      </c>
      <c r="I10042" s="4" t="str">
        <v>×</v>
      </c>
      <c r="J10042" s="4"/>
      <c r="K10042" s="4"/>
      <c r="L10042" s="4"/>
      <c r="M10042" s="5" t="s">
        <v>6166</v>
      </c>
    </row>
    <row r="10043" customFormat="false" ht="15.75" hidden="false" customHeight="false" outlineLevel="0" collapsed="false">
      <c r="A10043" s="6" t="n">
        <v>46159</v>
      </c>
      <c r="B10043" s="4" t="s">
        <v>5435</v>
      </c>
      <c r="C10043" s="4" t="n">
        <v>10</v>
      </c>
      <c r="D10043" s="4" t="n">
        <v>12</v>
      </c>
      <c r="E10043" s="4" t="s">
        <v>4214</v>
      </c>
      <c r="F10043" s="4" t="n">
        <v>25</v>
      </c>
      <c r="G10043" s="4" t="n">
        <v>4</v>
      </c>
      <c r="H10043" s="4" t="n">
        <v>1</v>
      </c>
      <c r="I10043" s="4" t="str">
        <v>○</v>
      </c>
      <c r="J10043" s="4" t="n">
        <v>390</v>
      </c>
      <c r="K10043" s="4"/>
      <c r="L10043" s="4"/>
      <c r="M10043" s="5" t="s">
        <v>6166</v>
      </c>
    </row>
    <row r="10044" customFormat="false" ht="15.75" hidden="false" customHeight="false" outlineLevel="0" collapsed="false">
      <c r="A10044" s="6" t="n">
        <v>46159</v>
      </c>
      <c r="B10044" s="4" t="s">
        <v>5435</v>
      </c>
      <c r="C10044" s="4" t="n">
        <v>10</v>
      </c>
      <c r="D10044" s="4" t="n">
        <v>13</v>
      </c>
      <c r="E10044" s="4" t="s">
        <v>3643</v>
      </c>
      <c r="F10044" s="4" t="n">
        <v>10</v>
      </c>
      <c r="G10044" s="4" t="n">
        <v>8</v>
      </c>
      <c r="H10044" s="4" t="n">
        <v>4</v>
      </c>
      <c r="I10044" s="4" t="str">
        <v>×</v>
      </c>
      <c r="J10044" s="4"/>
      <c r="K10044" s="4"/>
      <c r="L10044" s="4"/>
      <c r="M10044" s="5" t="s">
        <v>6166</v>
      </c>
    </row>
    <row r="10045" customFormat="false" ht="15.75" hidden="false" customHeight="false" outlineLevel="0" collapsed="false">
      <c r="A10045" s="6" t="n">
        <v>46159</v>
      </c>
      <c r="B10045" s="4" t="s">
        <v>5435</v>
      </c>
      <c r="C10045" s="4" t="n">
        <v>11</v>
      </c>
      <c r="D10045" s="4" t="n">
        <v>1</v>
      </c>
      <c r="E10045" s="4" t="s">
        <v>706</v>
      </c>
      <c r="F10045" s="4" t="n">
        <v>47</v>
      </c>
      <c r="G10045" s="4" t="n">
        <v>1</v>
      </c>
      <c r="H10045" s="4" t="n">
        <v>3</v>
      </c>
      <c r="I10045" s="4" t="str">
        <v>○</v>
      </c>
      <c r="J10045" s="4" t="n">
        <v>180</v>
      </c>
      <c r="K10045" s="4"/>
      <c r="L10045" s="4"/>
      <c r="M10045" s="5" t="s">
        <v>6166</v>
      </c>
    </row>
    <row r="10046" customFormat="false" ht="15.75" hidden="false" customHeight="false" outlineLevel="0" collapsed="false">
      <c r="A10046" s="6" t="n">
        <v>46159</v>
      </c>
      <c r="B10046" s="4" t="s">
        <v>5435</v>
      </c>
      <c r="C10046" s="4" t="n">
        <v>11</v>
      </c>
      <c r="D10046" s="4" t="n">
        <v>2</v>
      </c>
      <c r="E10046" s="4" t="s">
        <v>1533</v>
      </c>
      <c r="F10046" s="4" t="n">
        <v>15</v>
      </c>
      <c r="G10046" s="4" t="n">
        <v>7</v>
      </c>
      <c r="H10046" s="4" t="n">
        <v>4</v>
      </c>
      <c r="I10046" s="4" t="str">
        <v>×</v>
      </c>
      <c r="J10046" s="4"/>
      <c r="K10046" s="4"/>
      <c r="L10046" s="4"/>
      <c r="M10046" s="5" t="s">
        <v>6166</v>
      </c>
    </row>
    <row r="10047" customFormat="false" ht="15.75" hidden="false" customHeight="false" outlineLevel="0" collapsed="false">
      <c r="A10047" s="6" t="n">
        <v>46159</v>
      </c>
      <c r="B10047" s="4" t="s">
        <v>5435</v>
      </c>
      <c r="C10047" s="4" t="n">
        <v>11</v>
      </c>
      <c r="D10047" s="4" t="n">
        <v>3</v>
      </c>
      <c r="E10047" s="4" t="s">
        <v>6441</v>
      </c>
      <c r="F10047" s="4" t="n">
        <v>13</v>
      </c>
      <c r="G10047" s="4" t="n">
        <v>8</v>
      </c>
      <c r="H10047" s="4" t="n">
        <v>4</v>
      </c>
      <c r="I10047" s="4" t="str">
        <v>×</v>
      </c>
      <c r="J10047" s="4"/>
      <c r="K10047" s="4"/>
      <c r="L10047" s="4"/>
      <c r="M10047" s="5" t="s">
        <v>6166</v>
      </c>
    </row>
    <row r="10048" customFormat="false" ht="15.75" hidden="false" customHeight="false" outlineLevel="0" collapsed="false">
      <c r="A10048" s="6" t="n">
        <v>46159</v>
      </c>
      <c r="B10048" s="4" t="s">
        <v>5435</v>
      </c>
      <c r="C10048" s="4" t="n">
        <v>11</v>
      </c>
      <c r="D10048" s="4" t="n">
        <v>4</v>
      </c>
      <c r="E10048" s="4" t="s">
        <v>6442</v>
      </c>
      <c r="F10048" s="4" t="n">
        <v>37</v>
      </c>
      <c r="G10048" s="4" t="n">
        <v>4</v>
      </c>
      <c r="H10048" s="4" t="n">
        <v>1</v>
      </c>
      <c r="I10048" s="4" t="str">
        <v>○</v>
      </c>
      <c r="J10048" s="4" t="n">
        <v>410</v>
      </c>
      <c r="K10048" s="4"/>
      <c r="L10048" s="4"/>
      <c r="M10048" s="5" t="s">
        <v>6166</v>
      </c>
    </row>
    <row r="10049" customFormat="false" ht="15.75" hidden="false" customHeight="false" outlineLevel="0" collapsed="false">
      <c r="A10049" s="6" t="n">
        <v>46159</v>
      </c>
      <c r="B10049" s="4" t="s">
        <v>5435</v>
      </c>
      <c r="C10049" s="4" t="n">
        <v>11</v>
      </c>
      <c r="D10049" s="4" t="n">
        <v>5</v>
      </c>
      <c r="E10049" s="4" t="s">
        <v>6443</v>
      </c>
      <c r="F10049" s="4" t="n">
        <v>20</v>
      </c>
      <c r="G10049" s="4" t="n">
        <v>5</v>
      </c>
      <c r="H10049" s="4" t="n">
        <v>4</v>
      </c>
      <c r="I10049" s="4" t="str">
        <v>×</v>
      </c>
      <c r="J10049" s="4"/>
      <c r="K10049" s="4"/>
      <c r="L10049" s="4"/>
      <c r="M10049" s="5" t="s">
        <v>6166</v>
      </c>
    </row>
    <row r="10050" customFormat="false" ht="15.75" hidden="false" customHeight="false" outlineLevel="0" collapsed="false">
      <c r="A10050" s="6" t="n">
        <v>46159</v>
      </c>
      <c r="B10050" s="4" t="s">
        <v>5435</v>
      </c>
      <c r="C10050" s="4" t="n">
        <v>11</v>
      </c>
      <c r="D10050" s="4" t="n">
        <v>6</v>
      </c>
      <c r="E10050" s="4" t="s">
        <v>6444</v>
      </c>
      <c r="F10050" s="4" t="n">
        <v>17</v>
      </c>
      <c r="G10050" s="4" t="n">
        <v>6</v>
      </c>
      <c r="H10050" s="4" t="n">
        <v>4</v>
      </c>
      <c r="I10050" s="4" t="str">
        <v>×</v>
      </c>
      <c r="J10050" s="4"/>
      <c r="K10050" s="4"/>
      <c r="L10050" s="4"/>
      <c r="M10050" s="5" t="s">
        <v>6166</v>
      </c>
    </row>
    <row r="10051" customFormat="false" ht="15.75" hidden="false" customHeight="false" outlineLevel="0" collapsed="false">
      <c r="A10051" s="6" t="n">
        <v>46159</v>
      </c>
      <c r="B10051" s="4" t="s">
        <v>5435</v>
      </c>
      <c r="C10051" s="4" t="n">
        <v>11</v>
      </c>
      <c r="D10051" s="4" t="n">
        <v>7</v>
      </c>
      <c r="E10051" s="4" t="s">
        <v>6445</v>
      </c>
      <c r="F10051" s="4" t="n">
        <v>6</v>
      </c>
      <c r="G10051" s="4" t="n">
        <v>10</v>
      </c>
      <c r="H10051" s="4" t="n">
        <v>4</v>
      </c>
      <c r="I10051" s="4" t="str">
        <v>×</v>
      </c>
      <c r="J10051" s="4"/>
      <c r="K10051" s="4"/>
      <c r="L10051" s="4"/>
      <c r="M10051" s="5" t="s">
        <v>6166</v>
      </c>
    </row>
    <row r="10052" customFormat="false" ht="15.75" hidden="false" customHeight="false" outlineLevel="0" collapsed="false">
      <c r="A10052" s="6" t="n">
        <v>46159</v>
      </c>
      <c r="B10052" s="4" t="s">
        <v>5435</v>
      </c>
      <c r="C10052" s="4" t="n">
        <v>11</v>
      </c>
      <c r="D10052" s="4" t="n">
        <v>8</v>
      </c>
      <c r="E10052" s="4" t="s">
        <v>6446</v>
      </c>
      <c r="F10052" s="4" t="n">
        <v>4</v>
      </c>
      <c r="G10052" s="4" t="n">
        <v>11</v>
      </c>
      <c r="H10052" s="4" t="n">
        <v>4</v>
      </c>
      <c r="I10052" s="4" t="str">
        <v>×</v>
      </c>
      <c r="J10052" s="4"/>
      <c r="K10052" s="4"/>
      <c r="L10052" s="4"/>
      <c r="M10052" s="5" t="s">
        <v>6166</v>
      </c>
    </row>
    <row r="10053" customFormat="false" ht="15.75" hidden="false" customHeight="false" outlineLevel="0" collapsed="false">
      <c r="A10053" s="6" t="n">
        <v>46159</v>
      </c>
      <c r="B10053" s="4" t="s">
        <v>5435</v>
      </c>
      <c r="C10053" s="4" t="n">
        <v>11</v>
      </c>
      <c r="D10053" s="4" t="n">
        <v>9</v>
      </c>
      <c r="E10053" s="4" t="s">
        <v>6447</v>
      </c>
      <c r="F10053" s="4" t="n">
        <v>1</v>
      </c>
      <c r="G10053" s="4" t="n">
        <v>12</v>
      </c>
      <c r="H10053" s="4" t="n">
        <v>4</v>
      </c>
      <c r="I10053" s="4" t="str">
        <v>×</v>
      </c>
      <c r="J10053" s="4"/>
      <c r="K10053" s="4"/>
      <c r="L10053" s="4"/>
      <c r="M10053" s="5" t="s">
        <v>6166</v>
      </c>
    </row>
    <row r="10054" customFormat="false" ht="15.75" hidden="false" customHeight="false" outlineLevel="0" collapsed="false">
      <c r="A10054" s="6" t="n">
        <v>46159</v>
      </c>
      <c r="B10054" s="4" t="s">
        <v>5435</v>
      </c>
      <c r="C10054" s="4" t="n">
        <v>11</v>
      </c>
      <c r="D10054" s="4" t="n">
        <v>10</v>
      </c>
      <c r="E10054" s="4" t="s">
        <v>700</v>
      </c>
      <c r="F10054" s="4" t="n">
        <v>10</v>
      </c>
      <c r="G10054" s="4" t="n">
        <v>9</v>
      </c>
      <c r="H10054" s="4" t="n">
        <v>4</v>
      </c>
      <c r="I10054" s="4" t="str">
        <v>×</v>
      </c>
      <c r="J10054" s="4"/>
      <c r="K10054" s="4"/>
      <c r="L10054" s="4"/>
      <c r="M10054" s="5" t="s">
        <v>6166</v>
      </c>
    </row>
    <row r="10055" customFormat="false" ht="15.75" hidden="false" customHeight="false" outlineLevel="0" collapsed="false">
      <c r="A10055" s="6" t="n">
        <v>46159</v>
      </c>
      <c r="B10055" s="4" t="s">
        <v>5435</v>
      </c>
      <c r="C10055" s="4" t="n">
        <v>11</v>
      </c>
      <c r="D10055" s="4" t="n">
        <v>11</v>
      </c>
      <c r="E10055" s="4" t="s">
        <v>705</v>
      </c>
      <c r="F10055" s="4" t="n">
        <v>44</v>
      </c>
      <c r="G10055" s="4" t="n">
        <v>2</v>
      </c>
      <c r="H10055" s="4" t="n">
        <v>2</v>
      </c>
      <c r="I10055" s="4" t="str">
        <v>○</v>
      </c>
      <c r="J10055" s="4" t="n">
        <v>180</v>
      </c>
      <c r="K10055" s="4"/>
      <c r="L10055" s="4"/>
      <c r="M10055" s="5" t="s">
        <v>6166</v>
      </c>
    </row>
    <row r="10056" customFormat="false" ht="15.75" hidden="false" customHeight="false" outlineLevel="0" collapsed="false">
      <c r="A10056" s="6" t="n">
        <v>46159</v>
      </c>
      <c r="B10056" s="4" t="s">
        <v>5435</v>
      </c>
      <c r="C10056" s="4" t="n">
        <v>11</v>
      </c>
      <c r="D10056" s="4" t="n">
        <v>12</v>
      </c>
      <c r="E10056" s="4" t="s">
        <v>6448</v>
      </c>
      <c r="F10056" s="4" t="n">
        <v>6</v>
      </c>
      <c r="G10056" s="4" t="n">
        <v>10</v>
      </c>
      <c r="H10056" s="4" t="n">
        <v>4</v>
      </c>
      <c r="I10056" s="4" t="str">
        <v>×</v>
      </c>
      <c r="J10056" s="4"/>
      <c r="K10056" s="4"/>
      <c r="L10056" s="4"/>
      <c r="M10056" s="5" t="s">
        <v>6166</v>
      </c>
    </row>
    <row r="10057" customFormat="false" ht="15.75" hidden="false" customHeight="false" outlineLevel="0" collapsed="false">
      <c r="A10057" s="6" t="n">
        <v>46159</v>
      </c>
      <c r="B10057" s="4" t="s">
        <v>5435</v>
      </c>
      <c r="C10057" s="4" t="n">
        <v>11</v>
      </c>
      <c r="D10057" s="4" t="n">
        <v>13</v>
      </c>
      <c r="E10057" s="4" t="s">
        <v>6449</v>
      </c>
      <c r="F10057" s="4" t="n">
        <v>39</v>
      </c>
      <c r="G10057" s="4" t="n">
        <v>3</v>
      </c>
      <c r="H10057" s="4" t="n">
        <v>4</v>
      </c>
      <c r="I10057" s="4" t="str">
        <v>×</v>
      </c>
      <c r="J10057" s="4"/>
      <c r="K10057" s="4"/>
      <c r="L10057" s="4"/>
      <c r="M10057" s="5" t="s">
        <v>6166</v>
      </c>
    </row>
    <row r="10058" customFormat="false" ht="15.75" hidden="false" customHeight="false" outlineLevel="0" collapsed="false">
      <c r="A10058" s="6" t="n">
        <v>46159</v>
      </c>
      <c r="B10058" s="4" t="s">
        <v>5435</v>
      </c>
      <c r="C10058" s="4" t="n">
        <v>11</v>
      </c>
      <c r="D10058" s="4" t="n">
        <v>14</v>
      </c>
      <c r="E10058" s="4" t="s">
        <v>4859</v>
      </c>
      <c r="F10058" s="4" t="n">
        <v>13</v>
      </c>
      <c r="G10058" s="4" t="n">
        <v>8</v>
      </c>
      <c r="H10058" s="4" t="n">
        <v>4</v>
      </c>
      <c r="I10058" s="4" t="str">
        <v>×</v>
      </c>
      <c r="J10058" s="4"/>
      <c r="K10058" s="4"/>
      <c r="L10058" s="4"/>
      <c r="M10058" s="5" t="s">
        <v>6166</v>
      </c>
    </row>
    <row r="10059" customFormat="false" ht="15.75" hidden="false" customHeight="false" outlineLevel="0" collapsed="false">
      <c r="A10059" s="6" t="n">
        <v>46159</v>
      </c>
      <c r="B10059" s="4" t="s">
        <v>5435</v>
      </c>
      <c r="C10059" s="4" t="n">
        <v>11</v>
      </c>
      <c r="D10059" s="4" t="n">
        <v>15</v>
      </c>
      <c r="E10059" s="4" t="s">
        <v>6450</v>
      </c>
      <c r="F10059" s="4" t="n">
        <v>1</v>
      </c>
      <c r="G10059" s="4" t="n">
        <v>12</v>
      </c>
      <c r="H10059" s="4" t="n">
        <v>4</v>
      </c>
      <c r="I10059" s="4" t="str">
        <v>×</v>
      </c>
      <c r="J10059" s="4"/>
      <c r="K10059" s="4"/>
      <c r="L10059" s="4"/>
      <c r="M10059" s="5" t="s">
        <v>6166</v>
      </c>
    </row>
    <row r="10060" customFormat="false" ht="15.75" hidden="false" customHeight="false" outlineLevel="0" collapsed="false">
      <c r="A10060" s="6" t="n">
        <v>46159</v>
      </c>
      <c r="B10060" s="4" t="s">
        <v>5435</v>
      </c>
      <c r="C10060" s="4" t="n">
        <v>11</v>
      </c>
      <c r="D10060" s="4" t="n">
        <v>16</v>
      </c>
      <c r="E10060" s="4" t="s">
        <v>4465</v>
      </c>
      <c r="F10060" s="4" t="n">
        <v>20</v>
      </c>
      <c r="G10060" s="4" t="n">
        <v>5</v>
      </c>
      <c r="H10060" s="4" t="n">
        <v>4</v>
      </c>
      <c r="I10060" s="4" t="str">
        <v>×</v>
      </c>
      <c r="J10060" s="4"/>
      <c r="K10060" s="4"/>
      <c r="L10060" s="4"/>
      <c r="M10060" s="5" t="s">
        <v>6166</v>
      </c>
    </row>
    <row r="10061" customFormat="false" ht="15.75" hidden="false" customHeight="false" outlineLevel="0" collapsed="false">
      <c r="A10061" s="6" t="n">
        <v>46159</v>
      </c>
      <c r="B10061" s="4" t="s">
        <v>5435</v>
      </c>
      <c r="C10061" s="4" t="n">
        <v>12</v>
      </c>
      <c r="D10061" s="4" t="n">
        <v>1</v>
      </c>
      <c r="E10061" s="4" t="s">
        <v>6451</v>
      </c>
      <c r="F10061" s="4" t="n">
        <v>1</v>
      </c>
      <c r="G10061" s="4" t="n">
        <v>11</v>
      </c>
      <c r="H10061" s="4" t="n">
        <v>4</v>
      </c>
      <c r="I10061" s="4" t="str">
        <v>×</v>
      </c>
      <c r="J10061" s="4"/>
      <c r="K10061" s="4"/>
      <c r="L10061" s="4"/>
      <c r="M10061" s="5" t="s">
        <v>6166</v>
      </c>
    </row>
    <row r="10062" customFormat="false" ht="15.75" hidden="false" customHeight="false" outlineLevel="0" collapsed="false">
      <c r="A10062" s="6" t="n">
        <v>46159</v>
      </c>
      <c r="B10062" s="4" t="s">
        <v>5435</v>
      </c>
      <c r="C10062" s="4" t="n">
        <v>12</v>
      </c>
      <c r="D10062" s="4" t="n">
        <v>2</v>
      </c>
      <c r="E10062" s="4" t="s">
        <v>6156</v>
      </c>
      <c r="F10062" s="4" t="n">
        <v>13</v>
      </c>
      <c r="G10062" s="4" t="n">
        <v>8</v>
      </c>
      <c r="H10062" s="4" t="n">
        <v>1</v>
      </c>
      <c r="I10062" s="4" t="str">
        <v>○</v>
      </c>
      <c r="J10062" s="4" t="n">
        <v>480</v>
      </c>
      <c r="K10062" s="4"/>
      <c r="L10062" s="4"/>
      <c r="M10062" s="5" t="s">
        <v>6166</v>
      </c>
    </row>
    <row r="10063" customFormat="false" ht="15.75" hidden="false" customHeight="false" outlineLevel="0" collapsed="false">
      <c r="A10063" s="6" t="n">
        <v>46159</v>
      </c>
      <c r="B10063" s="4" t="s">
        <v>5435</v>
      </c>
      <c r="C10063" s="4" t="n">
        <v>12</v>
      </c>
      <c r="D10063" s="4" t="n">
        <v>3</v>
      </c>
      <c r="E10063" s="4" t="s">
        <v>2145</v>
      </c>
      <c r="F10063" s="4" t="n">
        <v>37</v>
      </c>
      <c r="G10063" s="4" t="n">
        <v>4</v>
      </c>
      <c r="H10063" s="4" t="n">
        <v>3</v>
      </c>
      <c r="I10063" s="4" t="str">
        <v>○</v>
      </c>
      <c r="J10063" s="4" t="n">
        <v>290</v>
      </c>
      <c r="K10063" s="4"/>
      <c r="L10063" s="4"/>
      <c r="M10063" s="5" t="s">
        <v>6166</v>
      </c>
    </row>
    <row r="10064" customFormat="false" ht="15.75" hidden="false" customHeight="false" outlineLevel="0" collapsed="false">
      <c r="A10064" s="6" t="n">
        <v>46159</v>
      </c>
      <c r="B10064" s="4" t="s">
        <v>5435</v>
      </c>
      <c r="C10064" s="4" t="n">
        <v>12</v>
      </c>
      <c r="D10064" s="4" t="n">
        <v>4</v>
      </c>
      <c r="E10064" s="4" t="s">
        <v>538</v>
      </c>
      <c r="F10064" s="4" t="n">
        <v>8</v>
      </c>
      <c r="G10064" s="4" t="n">
        <v>10</v>
      </c>
      <c r="H10064" s="4" t="n">
        <v>4</v>
      </c>
      <c r="I10064" s="4" t="str">
        <v>×</v>
      </c>
      <c r="J10064" s="4"/>
      <c r="K10064" s="4"/>
      <c r="L10064" s="4"/>
      <c r="M10064" s="5" t="s">
        <v>6166</v>
      </c>
    </row>
    <row r="10065" customFormat="false" ht="15.75" hidden="false" customHeight="false" outlineLevel="0" collapsed="false">
      <c r="A10065" s="6" t="n">
        <v>46159</v>
      </c>
      <c r="B10065" s="4" t="s">
        <v>5435</v>
      </c>
      <c r="C10065" s="4" t="n">
        <v>12</v>
      </c>
      <c r="D10065" s="4" t="n">
        <v>5</v>
      </c>
      <c r="E10065" s="4" t="s">
        <v>6452</v>
      </c>
      <c r="F10065" s="4" t="n">
        <v>23</v>
      </c>
      <c r="G10065" s="4" t="n">
        <v>5</v>
      </c>
      <c r="H10065" s="4" t="n">
        <v>4</v>
      </c>
      <c r="I10065" s="4" t="str">
        <v>×</v>
      </c>
      <c r="J10065" s="4"/>
      <c r="K10065" s="4"/>
      <c r="L10065" s="4"/>
      <c r="M10065" s="5" t="s">
        <v>6166</v>
      </c>
    </row>
    <row r="10066" customFormat="false" ht="15.75" hidden="false" customHeight="false" outlineLevel="0" collapsed="false">
      <c r="A10066" s="6" t="n">
        <v>46159</v>
      </c>
      <c r="B10066" s="4" t="s">
        <v>5435</v>
      </c>
      <c r="C10066" s="4" t="n">
        <v>12</v>
      </c>
      <c r="D10066" s="4" t="n">
        <v>6</v>
      </c>
      <c r="E10066" s="4" t="s">
        <v>6453</v>
      </c>
      <c r="F10066" s="4" t="n">
        <v>13</v>
      </c>
      <c r="G10066" s="4" t="n">
        <v>8</v>
      </c>
      <c r="H10066" s="4" t="n">
        <v>4</v>
      </c>
      <c r="I10066" s="4" t="str">
        <v>×</v>
      </c>
      <c r="J10066" s="4"/>
      <c r="K10066" s="4"/>
      <c r="L10066" s="4"/>
      <c r="M10066" s="5" t="s">
        <v>6166</v>
      </c>
    </row>
    <row r="10067" customFormat="false" ht="15.75" hidden="false" customHeight="false" outlineLevel="0" collapsed="false">
      <c r="A10067" s="6" t="n">
        <v>46159</v>
      </c>
      <c r="B10067" s="4" t="s">
        <v>5435</v>
      </c>
      <c r="C10067" s="4" t="n">
        <v>12</v>
      </c>
      <c r="D10067" s="4" t="n">
        <v>7</v>
      </c>
      <c r="E10067" s="4" t="s">
        <v>3934</v>
      </c>
      <c r="F10067" s="4" t="n">
        <v>44</v>
      </c>
      <c r="G10067" s="4" t="n">
        <v>3</v>
      </c>
      <c r="H10067" s="4"/>
      <c r="I10067" s="4" t="str">
        <v/>
      </c>
      <c r="J10067" s="4"/>
      <c r="K10067" s="4"/>
      <c r="L10067" s="4"/>
      <c r="M10067" s="5" t="s">
        <v>6166</v>
      </c>
    </row>
    <row r="10068" customFormat="false" ht="15.75" hidden="false" customHeight="false" outlineLevel="0" collapsed="false">
      <c r="A10068" s="6" t="n">
        <v>46159</v>
      </c>
      <c r="B10068" s="4" t="s">
        <v>5435</v>
      </c>
      <c r="C10068" s="4" t="n">
        <v>12</v>
      </c>
      <c r="D10068" s="4" t="n">
        <v>8</v>
      </c>
      <c r="E10068" s="4" t="s">
        <v>3746</v>
      </c>
      <c r="F10068" s="4" t="n">
        <v>50</v>
      </c>
      <c r="G10068" s="4" t="n">
        <v>1</v>
      </c>
      <c r="H10068" s="4" t="n">
        <v>4</v>
      </c>
      <c r="I10068" s="4" t="str">
        <v>×</v>
      </c>
      <c r="J10068" s="4"/>
      <c r="K10068" s="4"/>
      <c r="L10068" s="4"/>
      <c r="M10068" s="5" t="s">
        <v>6166</v>
      </c>
    </row>
    <row r="10069" customFormat="false" ht="15.75" hidden="false" customHeight="false" outlineLevel="0" collapsed="false">
      <c r="A10069" s="6" t="n">
        <v>46159</v>
      </c>
      <c r="B10069" s="4" t="s">
        <v>5435</v>
      </c>
      <c r="C10069" s="4" t="n">
        <v>12</v>
      </c>
      <c r="D10069" s="4" t="n">
        <v>9</v>
      </c>
      <c r="E10069" s="4" t="s">
        <v>5288</v>
      </c>
      <c r="F10069" s="4" t="n">
        <v>10</v>
      </c>
      <c r="G10069" s="4" t="n">
        <v>9</v>
      </c>
      <c r="H10069" s="4" t="n">
        <v>4</v>
      </c>
      <c r="I10069" s="4" t="str">
        <v>×</v>
      </c>
      <c r="J10069" s="4"/>
      <c r="K10069" s="4"/>
      <c r="L10069" s="4"/>
      <c r="M10069" s="5" t="s">
        <v>6166</v>
      </c>
    </row>
    <row r="10070" customFormat="false" ht="15.75" hidden="false" customHeight="false" outlineLevel="0" collapsed="false">
      <c r="A10070" s="6" t="n">
        <v>46159</v>
      </c>
      <c r="B10070" s="4" t="s">
        <v>5435</v>
      </c>
      <c r="C10070" s="4" t="n">
        <v>12</v>
      </c>
      <c r="D10070" s="4" t="n">
        <v>10</v>
      </c>
      <c r="E10070" s="4" t="s">
        <v>6454</v>
      </c>
      <c r="F10070" s="4" t="n">
        <v>17</v>
      </c>
      <c r="G10070" s="4" t="n">
        <v>6</v>
      </c>
      <c r="H10070" s="4" t="n">
        <v>2</v>
      </c>
      <c r="I10070" s="4" t="str">
        <v>○</v>
      </c>
      <c r="J10070" s="4" t="n">
        <v>250</v>
      </c>
      <c r="K10070" s="4"/>
      <c r="L10070" s="4"/>
      <c r="M10070" s="5" t="s">
        <v>6166</v>
      </c>
    </row>
    <row r="10071" customFormat="false" ht="15.75" hidden="false" customHeight="false" outlineLevel="0" collapsed="false">
      <c r="A10071" s="6" t="n">
        <v>46159</v>
      </c>
      <c r="B10071" s="4" t="s">
        <v>5435</v>
      </c>
      <c r="C10071" s="4" t="n">
        <v>12</v>
      </c>
      <c r="D10071" s="4" t="n">
        <v>11</v>
      </c>
      <c r="E10071" s="4" t="s">
        <v>5955</v>
      </c>
      <c r="F10071" s="4" t="n">
        <v>47</v>
      </c>
      <c r="G10071" s="4" t="n">
        <v>2</v>
      </c>
      <c r="H10071" s="4" t="n">
        <v>4</v>
      </c>
      <c r="I10071" s="4" t="str">
        <v>×</v>
      </c>
      <c r="J10071" s="4"/>
      <c r="K10071" s="4"/>
      <c r="L10071" s="4"/>
      <c r="M10071" s="5" t="s">
        <v>6166</v>
      </c>
    </row>
    <row r="10072" customFormat="false" ht="15.75" hidden="false" customHeight="false" outlineLevel="0" collapsed="false">
      <c r="A10072" s="6" t="n">
        <v>46159</v>
      </c>
      <c r="B10072" s="4" t="s">
        <v>5435</v>
      </c>
      <c r="C10072" s="4" t="n">
        <v>12</v>
      </c>
      <c r="D10072" s="4" t="n">
        <v>12</v>
      </c>
      <c r="E10072" s="4" t="s">
        <v>1500</v>
      </c>
      <c r="F10072" s="4" t="n">
        <v>15</v>
      </c>
      <c r="G10072" s="4" t="n">
        <v>7</v>
      </c>
      <c r="H10072" s="4" t="n">
        <v>4</v>
      </c>
      <c r="I10072" s="4" t="str">
        <v>×</v>
      </c>
      <c r="J10072" s="4"/>
      <c r="K10072" s="4"/>
      <c r="L10072" s="4"/>
      <c r="M10072" s="5" t="s">
        <v>6166</v>
      </c>
    </row>
    <row r="10073" customFormat="false" ht="15.75" hidden="false" customHeight="false" outlineLevel="0" collapsed="false">
      <c r="A10073" s="6" t="n">
        <v>46159</v>
      </c>
      <c r="B10073" s="4" t="s">
        <v>5435</v>
      </c>
      <c r="C10073" s="4" t="n">
        <v>12</v>
      </c>
      <c r="D10073" s="4" t="n">
        <v>13</v>
      </c>
      <c r="E10073" s="4" t="s">
        <v>5950</v>
      </c>
      <c r="F10073" s="4" t="n">
        <v>10</v>
      </c>
      <c r="G10073" s="4" t="n">
        <v>9</v>
      </c>
      <c r="H10073" s="4" t="n">
        <v>4</v>
      </c>
      <c r="I10073" s="4" t="str">
        <v>×</v>
      </c>
      <c r="J10073" s="4"/>
      <c r="K10073" s="4"/>
      <c r="L10073" s="4"/>
      <c r="M10073" s="5" t="s">
        <v>6166</v>
      </c>
    </row>
    <row r="10074" customFormat="false" ht="15.75" hidden="false" customHeight="false" outlineLevel="0" collapsed="false">
      <c r="A10074" s="6" t="n">
        <v>46159</v>
      </c>
      <c r="B10074" s="4" t="s">
        <v>13</v>
      </c>
      <c r="C10074" s="4" t="n">
        <v>1</v>
      </c>
      <c r="D10074" s="4" t="n">
        <v>1</v>
      </c>
      <c r="E10074" s="4" t="s">
        <v>3201</v>
      </c>
      <c r="F10074" s="4" t="n">
        <v>27</v>
      </c>
      <c r="G10074" s="4" t="n">
        <v>4</v>
      </c>
      <c r="H10074" s="4" t="n">
        <v>4</v>
      </c>
      <c r="I10074" s="4" t="str">
        <v>×</v>
      </c>
      <c r="J10074" s="4"/>
      <c r="K10074" s="4"/>
      <c r="L10074" s="4"/>
      <c r="M10074" s="5" t="s">
        <v>6166</v>
      </c>
    </row>
    <row r="10075" customFormat="false" ht="15.75" hidden="false" customHeight="false" outlineLevel="0" collapsed="false">
      <c r="A10075" s="6" t="n">
        <v>46159</v>
      </c>
      <c r="B10075" s="4" t="s">
        <v>13</v>
      </c>
      <c r="C10075" s="4" t="n">
        <v>1</v>
      </c>
      <c r="D10075" s="4" t="n">
        <v>2</v>
      </c>
      <c r="E10075" s="4" t="s">
        <v>3326</v>
      </c>
      <c r="F10075" s="4" t="n">
        <v>16</v>
      </c>
      <c r="G10075" s="4" t="n">
        <v>7</v>
      </c>
      <c r="H10075" s="4" t="n">
        <v>4</v>
      </c>
      <c r="I10075" s="4" t="str">
        <v>×</v>
      </c>
      <c r="J10075" s="4"/>
      <c r="K10075" s="4"/>
      <c r="L10075" s="4"/>
      <c r="M10075" s="5" t="s">
        <v>6166</v>
      </c>
    </row>
    <row r="10076" customFormat="false" ht="15.75" hidden="false" customHeight="false" outlineLevel="0" collapsed="false">
      <c r="A10076" s="6" t="n">
        <v>46159</v>
      </c>
      <c r="B10076" s="4" t="s">
        <v>13</v>
      </c>
      <c r="C10076" s="4" t="n">
        <v>1</v>
      </c>
      <c r="D10076" s="4" t="n">
        <v>3</v>
      </c>
      <c r="E10076" s="4" t="s">
        <v>2289</v>
      </c>
      <c r="F10076" s="4" t="n">
        <v>16</v>
      </c>
      <c r="G10076" s="4" t="n">
        <v>7</v>
      </c>
      <c r="H10076" s="4" t="n">
        <v>3</v>
      </c>
      <c r="I10076" s="4" t="str">
        <v>○</v>
      </c>
      <c r="J10076" s="4" t="n">
        <v>220</v>
      </c>
      <c r="K10076" s="4"/>
      <c r="L10076" s="4"/>
      <c r="M10076" s="5" t="s">
        <v>6166</v>
      </c>
    </row>
    <row r="10077" customFormat="false" ht="15.75" hidden="false" customHeight="false" outlineLevel="0" collapsed="false">
      <c r="A10077" s="6" t="n">
        <v>46159</v>
      </c>
      <c r="B10077" s="4" t="s">
        <v>13</v>
      </c>
      <c r="C10077" s="4" t="n">
        <v>1</v>
      </c>
      <c r="D10077" s="4" t="n">
        <v>4</v>
      </c>
      <c r="E10077" s="4" t="s">
        <v>574</v>
      </c>
      <c r="F10077" s="4" t="n">
        <v>8</v>
      </c>
      <c r="G10077" s="4" t="n">
        <v>8</v>
      </c>
      <c r="H10077" s="4" t="n">
        <v>4</v>
      </c>
      <c r="I10077" s="4" t="str">
        <v>×</v>
      </c>
      <c r="J10077" s="4"/>
      <c r="K10077" s="4"/>
      <c r="L10077" s="4"/>
      <c r="M10077" s="5" t="s">
        <v>6166</v>
      </c>
    </row>
    <row r="10078" customFormat="false" ht="15.75" hidden="false" customHeight="false" outlineLevel="0" collapsed="false">
      <c r="A10078" s="6" t="n">
        <v>46159</v>
      </c>
      <c r="B10078" s="4" t="s">
        <v>13</v>
      </c>
      <c r="C10078" s="4" t="n">
        <v>1</v>
      </c>
      <c r="D10078" s="4" t="n">
        <v>5</v>
      </c>
      <c r="E10078" s="4" t="s">
        <v>2287</v>
      </c>
      <c r="F10078" s="4" t="n">
        <v>8</v>
      </c>
      <c r="G10078" s="4" t="n">
        <v>8</v>
      </c>
      <c r="H10078" s="4" t="n">
        <v>4</v>
      </c>
      <c r="I10078" s="4" t="str">
        <v>×</v>
      </c>
      <c r="J10078" s="4"/>
      <c r="K10078" s="4"/>
      <c r="L10078" s="4"/>
      <c r="M10078" s="5" t="s">
        <v>6166</v>
      </c>
    </row>
    <row r="10079" customFormat="false" ht="15.75" hidden="false" customHeight="false" outlineLevel="0" collapsed="false">
      <c r="A10079" s="6" t="n">
        <v>46159</v>
      </c>
      <c r="B10079" s="4" t="s">
        <v>13</v>
      </c>
      <c r="C10079" s="4" t="n">
        <v>1</v>
      </c>
      <c r="D10079" s="4" t="n">
        <v>6</v>
      </c>
      <c r="E10079" s="4" t="s">
        <v>6455</v>
      </c>
      <c r="F10079" s="4" t="n">
        <v>55</v>
      </c>
      <c r="G10079" s="4" t="n">
        <v>1</v>
      </c>
      <c r="H10079" s="4" t="n">
        <v>1</v>
      </c>
      <c r="I10079" s="4" t="str">
        <v>○</v>
      </c>
      <c r="J10079" s="4" t="n">
        <v>110</v>
      </c>
      <c r="K10079" s="4"/>
      <c r="L10079" s="4"/>
      <c r="M10079" s="5" t="s">
        <v>6166</v>
      </c>
    </row>
    <row r="10080" customFormat="false" ht="15.75" hidden="false" customHeight="false" outlineLevel="0" collapsed="false">
      <c r="A10080" s="6" t="n">
        <v>46159</v>
      </c>
      <c r="B10080" s="4" t="s">
        <v>13</v>
      </c>
      <c r="C10080" s="4" t="n">
        <v>1</v>
      </c>
      <c r="D10080" s="4" t="n">
        <v>7</v>
      </c>
      <c r="E10080" s="4" t="s">
        <v>6456</v>
      </c>
      <c r="F10080" s="4" t="n">
        <v>21</v>
      </c>
      <c r="G10080" s="4" t="n">
        <v>6</v>
      </c>
      <c r="H10080" s="4" t="n">
        <v>4</v>
      </c>
      <c r="I10080" s="4" t="str">
        <v>×</v>
      </c>
      <c r="J10080" s="4"/>
      <c r="K10080" s="4"/>
      <c r="L10080" s="4"/>
      <c r="M10080" s="5" t="s">
        <v>6166</v>
      </c>
    </row>
    <row r="10081" customFormat="false" ht="15.75" hidden="false" customHeight="false" outlineLevel="0" collapsed="false">
      <c r="A10081" s="6" t="n">
        <v>46159</v>
      </c>
      <c r="B10081" s="4" t="s">
        <v>13</v>
      </c>
      <c r="C10081" s="4" t="n">
        <v>1</v>
      </c>
      <c r="D10081" s="4" t="n">
        <v>8</v>
      </c>
      <c r="E10081" s="4" t="s">
        <v>5824</v>
      </c>
      <c r="F10081" s="4" t="n">
        <v>37</v>
      </c>
      <c r="G10081" s="4" t="n">
        <v>3</v>
      </c>
      <c r="H10081" s="4" t="n">
        <v>4</v>
      </c>
      <c r="I10081" s="4" t="str">
        <v>×</v>
      </c>
      <c r="J10081" s="4"/>
      <c r="K10081" s="4"/>
      <c r="L10081" s="4"/>
      <c r="M10081" s="5" t="s">
        <v>6166</v>
      </c>
    </row>
    <row r="10082" customFormat="false" ht="15.75" hidden="false" customHeight="false" outlineLevel="0" collapsed="false">
      <c r="A10082" s="6" t="n">
        <v>46159</v>
      </c>
      <c r="B10082" s="4" t="s">
        <v>13</v>
      </c>
      <c r="C10082" s="4" t="n">
        <v>1</v>
      </c>
      <c r="D10082" s="4" t="n">
        <v>9</v>
      </c>
      <c r="E10082" s="4" t="s">
        <v>4789</v>
      </c>
      <c r="F10082" s="4" t="n">
        <v>37</v>
      </c>
      <c r="G10082" s="4" t="n">
        <v>3</v>
      </c>
      <c r="H10082" s="4" t="n">
        <v>4</v>
      </c>
      <c r="I10082" s="4" t="str">
        <v>×</v>
      </c>
      <c r="J10082" s="4"/>
      <c r="K10082" s="4"/>
      <c r="L10082" s="4"/>
      <c r="M10082" s="5" t="s">
        <v>6166</v>
      </c>
    </row>
    <row r="10083" customFormat="false" ht="15.75" hidden="false" customHeight="false" outlineLevel="0" collapsed="false">
      <c r="A10083" s="6" t="n">
        <v>46159</v>
      </c>
      <c r="B10083" s="4" t="s">
        <v>13</v>
      </c>
      <c r="C10083" s="4" t="n">
        <v>1</v>
      </c>
      <c r="D10083" s="4" t="n">
        <v>10</v>
      </c>
      <c r="E10083" s="4" t="s">
        <v>6457</v>
      </c>
      <c r="F10083" s="4" t="n">
        <v>21</v>
      </c>
      <c r="G10083" s="4" t="n">
        <v>6</v>
      </c>
      <c r="H10083" s="4" t="n">
        <v>4</v>
      </c>
      <c r="I10083" s="4" t="str">
        <v>×</v>
      </c>
      <c r="J10083" s="4"/>
      <c r="K10083" s="4"/>
      <c r="L10083" s="4"/>
      <c r="M10083" s="5" t="s">
        <v>6166</v>
      </c>
    </row>
    <row r="10084" customFormat="false" ht="15.75" hidden="false" customHeight="false" outlineLevel="0" collapsed="false">
      <c r="A10084" s="6" t="n">
        <v>46159</v>
      </c>
      <c r="B10084" s="4" t="s">
        <v>13</v>
      </c>
      <c r="C10084" s="4" t="n">
        <v>1</v>
      </c>
      <c r="D10084" s="4" t="n">
        <v>11</v>
      </c>
      <c r="E10084" s="4" t="s">
        <v>2279</v>
      </c>
      <c r="F10084" s="4" t="n">
        <v>24</v>
      </c>
      <c r="G10084" s="4" t="n">
        <v>5</v>
      </c>
      <c r="H10084" s="4" t="n">
        <v>2</v>
      </c>
      <c r="I10084" s="4" t="str">
        <v>○</v>
      </c>
      <c r="J10084" s="4" t="n">
        <v>260</v>
      </c>
      <c r="K10084" s="4"/>
      <c r="L10084" s="4"/>
      <c r="M10084" s="5" t="s">
        <v>6166</v>
      </c>
    </row>
    <row r="10085" customFormat="false" ht="15.75" hidden="false" customHeight="false" outlineLevel="0" collapsed="false">
      <c r="A10085" s="6" t="n">
        <v>46159</v>
      </c>
      <c r="B10085" s="4" t="s">
        <v>13</v>
      </c>
      <c r="C10085" s="4" t="n">
        <v>1</v>
      </c>
      <c r="D10085" s="4" t="n">
        <v>12</v>
      </c>
      <c r="E10085" s="4" t="s">
        <v>2811</v>
      </c>
      <c r="F10085" s="4" t="n">
        <v>37</v>
      </c>
      <c r="G10085" s="4" t="n">
        <v>3</v>
      </c>
      <c r="H10085" s="4" t="n">
        <v>4</v>
      </c>
      <c r="I10085" s="4" t="str">
        <v>×</v>
      </c>
      <c r="J10085" s="4"/>
      <c r="K10085" s="4"/>
      <c r="L10085" s="4"/>
      <c r="M10085" s="5" t="s">
        <v>6166</v>
      </c>
    </row>
    <row r="10086" customFormat="false" ht="15.75" hidden="false" customHeight="false" outlineLevel="0" collapsed="false">
      <c r="A10086" s="6" t="n">
        <v>46159</v>
      </c>
      <c r="B10086" s="4" t="s">
        <v>13</v>
      </c>
      <c r="C10086" s="4" t="n">
        <v>1</v>
      </c>
      <c r="D10086" s="4" t="n">
        <v>13</v>
      </c>
      <c r="E10086" s="4" t="s">
        <v>4272</v>
      </c>
      <c r="F10086" s="4" t="n">
        <v>44</v>
      </c>
      <c r="G10086" s="4" t="n">
        <v>2</v>
      </c>
      <c r="H10086" s="4" t="n">
        <v>4</v>
      </c>
      <c r="I10086" s="4" t="str">
        <v>×</v>
      </c>
      <c r="J10086" s="4"/>
      <c r="K10086" s="4"/>
      <c r="L10086" s="4"/>
      <c r="M10086" s="5" t="s">
        <v>6166</v>
      </c>
    </row>
    <row r="10087" customFormat="false" ht="15.75" hidden="false" customHeight="false" outlineLevel="0" collapsed="false">
      <c r="A10087" s="6" t="n">
        <v>46159</v>
      </c>
      <c r="B10087" s="4" t="s">
        <v>13</v>
      </c>
      <c r="C10087" s="4" t="n">
        <v>1</v>
      </c>
      <c r="D10087" s="4" t="n">
        <v>14</v>
      </c>
      <c r="E10087" s="4" t="s">
        <v>1095</v>
      </c>
      <c r="F10087" s="4" t="n">
        <v>8</v>
      </c>
      <c r="G10087" s="4" t="n">
        <v>8</v>
      </c>
      <c r="H10087" s="4" t="n">
        <v>4</v>
      </c>
      <c r="I10087" s="4" t="str">
        <v>×</v>
      </c>
      <c r="J10087" s="4"/>
      <c r="K10087" s="4"/>
      <c r="L10087" s="4"/>
      <c r="M10087" s="5" t="s">
        <v>6166</v>
      </c>
    </row>
    <row r="10088" customFormat="false" ht="15.75" hidden="false" customHeight="false" outlineLevel="0" collapsed="false">
      <c r="A10088" s="6" t="n">
        <v>46159</v>
      </c>
      <c r="B10088" s="4" t="s">
        <v>13</v>
      </c>
      <c r="C10088" s="4" t="n">
        <v>2</v>
      </c>
      <c r="D10088" s="4" t="n">
        <v>1</v>
      </c>
      <c r="E10088" s="4" t="s">
        <v>221</v>
      </c>
      <c r="F10088" s="4" t="n">
        <v>41</v>
      </c>
      <c r="G10088" s="4" t="n">
        <v>3</v>
      </c>
      <c r="H10088" s="4" t="n">
        <v>3</v>
      </c>
      <c r="I10088" s="4" t="str">
        <v>○</v>
      </c>
      <c r="J10088" s="4" t="n">
        <v>110</v>
      </c>
      <c r="K10088" s="4"/>
      <c r="L10088" s="4"/>
      <c r="M10088" s="5" t="s">
        <v>6166</v>
      </c>
    </row>
    <row r="10089" customFormat="false" ht="15.75" hidden="false" customHeight="false" outlineLevel="0" collapsed="false">
      <c r="A10089" s="6" t="n">
        <v>46159</v>
      </c>
      <c r="B10089" s="4" t="s">
        <v>13</v>
      </c>
      <c r="C10089" s="4" t="n">
        <v>2</v>
      </c>
      <c r="D10089" s="4" t="n">
        <v>2</v>
      </c>
      <c r="E10089" s="4" t="s">
        <v>6458</v>
      </c>
      <c r="F10089" s="4" t="n">
        <v>13</v>
      </c>
      <c r="G10089" s="4" t="n">
        <v>6</v>
      </c>
      <c r="H10089" s="4" t="n">
        <v>4</v>
      </c>
      <c r="I10089" s="4" t="str">
        <v>×</v>
      </c>
      <c r="J10089" s="4"/>
      <c r="K10089" s="4"/>
      <c r="L10089" s="4"/>
      <c r="M10089" s="5" t="s">
        <v>6166</v>
      </c>
    </row>
    <row r="10090" customFormat="false" ht="15.75" hidden="false" customHeight="false" outlineLevel="0" collapsed="false">
      <c r="A10090" s="6" t="n">
        <v>46159</v>
      </c>
      <c r="B10090" s="4" t="s">
        <v>13</v>
      </c>
      <c r="C10090" s="4" t="n">
        <v>2</v>
      </c>
      <c r="D10090" s="4" t="n">
        <v>3</v>
      </c>
      <c r="E10090" s="4" t="s">
        <v>352</v>
      </c>
      <c r="F10090" s="4" t="n">
        <v>15</v>
      </c>
      <c r="G10090" s="4" t="n">
        <v>5</v>
      </c>
      <c r="H10090" s="4" t="n">
        <v>4</v>
      </c>
      <c r="I10090" s="4" t="str">
        <v>×</v>
      </c>
      <c r="J10090" s="4"/>
      <c r="K10090" s="4"/>
      <c r="L10090" s="4"/>
      <c r="M10090" s="5" t="s">
        <v>6166</v>
      </c>
    </row>
    <row r="10091" customFormat="false" ht="15.75" hidden="false" customHeight="false" outlineLevel="0" collapsed="false">
      <c r="A10091" s="6" t="n">
        <v>46159</v>
      </c>
      <c r="B10091" s="4" t="s">
        <v>13</v>
      </c>
      <c r="C10091" s="4" t="n">
        <v>2</v>
      </c>
      <c r="D10091" s="4" t="n">
        <v>4</v>
      </c>
      <c r="E10091" s="4" t="s">
        <v>4275</v>
      </c>
      <c r="F10091" s="4" t="n">
        <v>10</v>
      </c>
      <c r="G10091" s="4" t="n">
        <v>7</v>
      </c>
      <c r="H10091" s="4" t="n">
        <v>4</v>
      </c>
      <c r="I10091" s="4" t="str">
        <v>×</v>
      </c>
      <c r="J10091" s="4"/>
      <c r="K10091" s="4"/>
      <c r="L10091" s="4"/>
      <c r="M10091" s="5" t="s">
        <v>6166</v>
      </c>
    </row>
    <row r="10092" customFormat="false" ht="15.75" hidden="false" customHeight="false" outlineLevel="0" collapsed="false">
      <c r="A10092" s="6" t="n">
        <v>46159</v>
      </c>
      <c r="B10092" s="4" t="s">
        <v>13</v>
      </c>
      <c r="C10092" s="4" t="n">
        <v>2</v>
      </c>
      <c r="D10092" s="4" t="n">
        <v>5</v>
      </c>
      <c r="E10092" s="4" t="s">
        <v>6459</v>
      </c>
      <c r="F10092" s="4" t="n">
        <v>8</v>
      </c>
      <c r="G10092" s="4" t="n">
        <v>8</v>
      </c>
      <c r="H10092" s="4" t="n">
        <v>4</v>
      </c>
      <c r="I10092" s="4" t="str">
        <v>×</v>
      </c>
      <c r="J10092" s="4"/>
      <c r="K10092" s="4"/>
      <c r="L10092" s="4"/>
      <c r="M10092" s="5" t="s">
        <v>6166</v>
      </c>
    </row>
    <row r="10093" customFormat="false" ht="15.75" hidden="false" customHeight="false" outlineLevel="0" collapsed="false">
      <c r="A10093" s="6" t="n">
        <v>46159</v>
      </c>
      <c r="B10093" s="4" t="s">
        <v>13</v>
      </c>
      <c r="C10093" s="4" t="n">
        <v>2</v>
      </c>
      <c r="D10093" s="4" t="n">
        <v>6</v>
      </c>
      <c r="E10093" s="4" t="s">
        <v>3848</v>
      </c>
      <c r="F10093" s="4" t="n">
        <v>86</v>
      </c>
      <c r="G10093" s="4" t="n">
        <v>1</v>
      </c>
      <c r="H10093" s="4" t="n">
        <v>1</v>
      </c>
      <c r="I10093" s="4" t="str">
        <v>○</v>
      </c>
      <c r="J10093" s="4" t="n">
        <v>110</v>
      </c>
      <c r="K10093" s="4"/>
      <c r="L10093" s="4"/>
      <c r="M10093" s="5" t="s">
        <v>6166</v>
      </c>
    </row>
    <row r="10094" customFormat="false" ht="15.75" hidden="false" customHeight="false" outlineLevel="0" collapsed="false">
      <c r="A10094" s="6" t="n">
        <v>46159</v>
      </c>
      <c r="B10094" s="4" t="s">
        <v>13</v>
      </c>
      <c r="C10094" s="4" t="n">
        <v>2</v>
      </c>
      <c r="D10094" s="4" t="n">
        <v>7</v>
      </c>
      <c r="E10094" s="4" t="s">
        <v>997</v>
      </c>
      <c r="F10094" s="4" t="n">
        <v>74</v>
      </c>
      <c r="G10094" s="4" t="n">
        <v>2</v>
      </c>
      <c r="H10094" s="4" t="n">
        <v>2</v>
      </c>
      <c r="I10094" s="4" t="str">
        <v>○</v>
      </c>
      <c r="J10094" s="4" t="n">
        <v>110</v>
      </c>
      <c r="K10094" s="4"/>
      <c r="L10094" s="4"/>
      <c r="M10094" s="5" t="s">
        <v>6166</v>
      </c>
    </row>
    <row r="10095" customFormat="false" ht="15.75" hidden="false" customHeight="false" outlineLevel="0" collapsed="false">
      <c r="A10095" s="6" t="n">
        <v>46159</v>
      </c>
      <c r="B10095" s="4" t="s">
        <v>13</v>
      </c>
      <c r="C10095" s="4" t="n">
        <v>2</v>
      </c>
      <c r="D10095" s="4" t="n">
        <v>8</v>
      </c>
      <c r="E10095" s="4" t="s">
        <v>1260</v>
      </c>
      <c r="F10095" s="4" t="n">
        <v>10</v>
      </c>
      <c r="G10095" s="4" t="n">
        <v>7</v>
      </c>
      <c r="H10095" s="4" t="n">
        <v>4</v>
      </c>
      <c r="I10095" s="4" t="str">
        <v>×</v>
      </c>
      <c r="J10095" s="4"/>
      <c r="K10095" s="4"/>
      <c r="L10095" s="4"/>
      <c r="M10095" s="5" t="s">
        <v>6166</v>
      </c>
    </row>
    <row r="10096" customFormat="false" ht="15.75" hidden="false" customHeight="false" outlineLevel="0" collapsed="false">
      <c r="A10096" s="6" t="n">
        <v>46159</v>
      </c>
      <c r="B10096" s="4" t="s">
        <v>13</v>
      </c>
      <c r="C10096" s="4" t="n">
        <v>2</v>
      </c>
      <c r="D10096" s="4" t="n">
        <v>9</v>
      </c>
      <c r="E10096" s="4" t="s">
        <v>1601</v>
      </c>
      <c r="F10096" s="4" t="n">
        <v>39</v>
      </c>
      <c r="G10096" s="4" t="n">
        <v>4</v>
      </c>
      <c r="H10096" s="4" t="n">
        <v>4</v>
      </c>
      <c r="I10096" s="4" t="str">
        <v>×</v>
      </c>
      <c r="J10096" s="4"/>
      <c r="K10096" s="4"/>
      <c r="L10096" s="4"/>
      <c r="M10096" s="5" t="s">
        <v>6166</v>
      </c>
    </row>
    <row r="10097" customFormat="false" ht="15.75" hidden="false" customHeight="false" outlineLevel="0" collapsed="false">
      <c r="A10097" s="6" t="n">
        <v>46159</v>
      </c>
      <c r="B10097" s="4" t="s">
        <v>13</v>
      </c>
      <c r="C10097" s="4" t="n">
        <v>3</v>
      </c>
      <c r="D10097" s="4" t="n">
        <v>1</v>
      </c>
      <c r="E10097" s="4" t="s">
        <v>6460</v>
      </c>
      <c r="F10097" s="4" t="n">
        <v>4</v>
      </c>
      <c r="G10097" s="4" t="n">
        <v>7</v>
      </c>
      <c r="H10097" s="4" t="n">
        <v>4</v>
      </c>
      <c r="I10097" s="4" t="str">
        <v>×</v>
      </c>
      <c r="J10097" s="4"/>
      <c r="K10097" s="4"/>
      <c r="L10097" s="4"/>
      <c r="M10097" s="5" t="s">
        <v>6166</v>
      </c>
    </row>
    <row r="10098" customFormat="false" ht="15.75" hidden="false" customHeight="false" outlineLevel="0" collapsed="false">
      <c r="A10098" s="6" t="n">
        <v>46159</v>
      </c>
      <c r="B10098" s="4" t="s">
        <v>13</v>
      </c>
      <c r="C10098" s="4" t="n">
        <v>3</v>
      </c>
      <c r="D10098" s="4" t="n">
        <v>2</v>
      </c>
      <c r="E10098" s="4" t="s">
        <v>2361</v>
      </c>
      <c r="F10098" s="4" t="n">
        <v>44</v>
      </c>
      <c r="G10098" s="4" t="n">
        <v>3</v>
      </c>
      <c r="H10098" s="4" t="n">
        <v>4</v>
      </c>
      <c r="I10098" s="4" t="str">
        <v>×</v>
      </c>
      <c r="J10098" s="4"/>
      <c r="K10098" s="4"/>
      <c r="L10098" s="4"/>
      <c r="M10098" s="5" t="s">
        <v>6166</v>
      </c>
    </row>
    <row r="10099" customFormat="false" ht="15.75" hidden="false" customHeight="false" outlineLevel="0" collapsed="false">
      <c r="A10099" s="6" t="n">
        <v>46159</v>
      </c>
      <c r="B10099" s="4" t="s">
        <v>13</v>
      </c>
      <c r="C10099" s="4" t="n">
        <v>3</v>
      </c>
      <c r="D10099" s="4" t="n">
        <v>3</v>
      </c>
      <c r="E10099" s="4" t="s">
        <v>58</v>
      </c>
      <c r="F10099" s="4" t="n">
        <v>4</v>
      </c>
      <c r="G10099" s="4" t="n">
        <v>7</v>
      </c>
      <c r="H10099" s="4" t="n">
        <v>4</v>
      </c>
      <c r="I10099" s="4" t="str">
        <v>×</v>
      </c>
      <c r="J10099" s="4"/>
      <c r="K10099" s="4"/>
      <c r="L10099" s="4"/>
      <c r="M10099" s="5" t="s">
        <v>6166</v>
      </c>
    </row>
    <row r="10100" customFormat="false" ht="15.75" hidden="false" customHeight="false" outlineLevel="0" collapsed="false">
      <c r="A10100" s="6" t="n">
        <v>46159</v>
      </c>
      <c r="B10100" s="4" t="s">
        <v>13</v>
      </c>
      <c r="C10100" s="4" t="n">
        <v>3</v>
      </c>
      <c r="D10100" s="4" t="n">
        <v>4</v>
      </c>
      <c r="E10100" s="4" t="s">
        <v>3740</v>
      </c>
      <c r="F10100" s="4" t="n">
        <v>4</v>
      </c>
      <c r="G10100" s="4" t="n">
        <v>7</v>
      </c>
      <c r="H10100" s="4" t="n">
        <v>4</v>
      </c>
      <c r="I10100" s="4" t="str">
        <v>×</v>
      </c>
      <c r="J10100" s="4"/>
      <c r="K10100" s="4"/>
      <c r="L10100" s="4"/>
      <c r="M10100" s="5" t="s">
        <v>6166</v>
      </c>
    </row>
    <row r="10101" customFormat="false" ht="15.75" hidden="false" customHeight="false" outlineLevel="0" collapsed="false">
      <c r="A10101" s="6" t="n">
        <v>46159</v>
      </c>
      <c r="B10101" s="4" t="s">
        <v>13</v>
      </c>
      <c r="C10101" s="4" t="n">
        <v>3</v>
      </c>
      <c r="D10101" s="4" t="n">
        <v>5</v>
      </c>
      <c r="E10101" s="4" t="s">
        <v>5933</v>
      </c>
      <c r="F10101" s="4" t="n">
        <v>10</v>
      </c>
      <c r="G10101" s="4" t="n">
        <v>6</v>
      </c>
      <c r="H10101" s="4" t="n">
        <v>4</v>
      </c>
      <c r="I10101" s="4" t="str">
        <v>×</v>
      </c>
      <c r="J10101" s="4"/>
      <c r="K10101" s="4"/>
      <c r="L10101" s="4"/>
      <c r="M10101" s="5" t="s">
        <v>6166</v>
      </c>
    </row>
    <row r="10102" customFormat="false" ht="15.75" hidden="false" customHeight="false" outlineLevel="0" collapsed="false">
      <c r="A10102" s="6" t="n">
        <v>46159</v>
      </c>
      <c r="B10102" s="4" t="s">
        <v>13</v>
      </c>
      <c r="C10102" s="4" t="n">
        <v>3</v>
      </c>
      <c r="D10102" s="4" t="n">
        <v>6</v>
      </c>
      <c r="E10102" s="4" t="s">
        <v>6098</v>
      </c>
      <c r="F10102" s="4" t="n">
        <v>74</v>
      </c>
      <c r="G10102" s="4" t="n">
        <v>1</v>
      </c>
      <c r="H10102" s="4" t="n">
        <v>2</v>
      </c>
      <c r="I10102" s="4" t="str">
        <v>○</v>
      </c>
      <c r="J10102" s="4" t="n">
        <v>110</v>
      </c>
      <c r="K10102" s="4"/>
      <c r="L10102" s="4"/>
      <c r="M10102" s="5" t="s">
        <v>6166</v>
      </c>
    </row>
    <row r="10103" customFormat="false" ht="15.75" hidden="false" customHeight="false" outlineLevel="0" collapsed="false">
      <c r="A10103" s="6" t="n">
        <v>46159</v>
      </c>
      <c r="B10103" s="4" t="s">
        <v>13</v>
      </c>
      <c r="C10103" s="4" t="n">
        <v>3</v>
      </c>
      <c r="D10103" s="4" t="n">
        <v>7</v>
      </c>
      <c r="E10103" s="4" t="s">
        <v>141</v>
      </c>
      <c r="F10103" s="4" t="n">
        <v>4</v>
      </c>
      <c r="G10103" s="4" t="n">
        <v>7</v>
      </c>
      <c r="H10103" s="4" t="n">
        <v>4</v>
      </c>
      <c r="I10103" s="4" t="str">
        <v>×</v>
      </c>
      <c r="J10103" s="4"/>
      <c r="K10103" s="4"/>
      <c r="L10103" s="4"/>
      <c r="M10103" s="5" t="s">
        <v>6166</v>
      </c>
    </row>
    <row r="10104" customFormat="false" ht="15.75" hidden="false" customHeight="false" outlineLevel="0" collapsed="false">
      <c r="A10104" s="6" t="n">
        <v>46159</v>
      </c>
      <c r="B10104" s="4" t="s">
        <v>13</v>
      </c>
      <c r="C10104" s="4" t="n">
        <v>3</v>
      </c>
      <c r="D10104" s="4" t="n">
        <v>8</v>
      </c>
      <c r="E10104" s="4" t="s">
        <v>488</v>
      </c>
      <c r="F10104" s="4" t="n">
        <v>15</v>
      </c>
      <c r="G10104" s="4" t="n">
        <v>5</v>
      </c>
      <c r="H10104" s="4" t="n">
        <v>4</v>
      </c>
      <c r="I10104" s="4" t="str">
        <v>×</v>
      </c>
      <c r="J10104" s="4"/>
      <c r="K10104" s="4"/>
      <c r="L10104" s="4"/>
      <c r="M10104" s="5" t="s">
        <v>6166</v>
      </c>
    </row>
    <row r="10105" customFormat="false" ht="15.75" hidden="false" customHeight="false" outlineLevel="0" collapsed="false">
      <c r="A10105" s="6" t="n">
        <v>46159</v>
      </c>
      <c r="B10105" s="4" t="s">
        <v>13</v>
      </c>
      <c r="C10105" s="4" t="n">
        <v>3</v>
      </c>
      <c r="D10105" s="4" t="n">
        <v>9</v>
      </c>
      <c r="E10105" s="4" t="s">
        <v>6461</v>
      </c>
      <c r="F10105" s="4" t="n">
        <v>15</v>
      </c>
      <c r="G10105" s="4" t="n">
        <v>5</v>
      </c>
      <c r="H10105" s="4" t="n">
        <v>4</v>
      </c>
      <c r="I10105" s="4" t="str">
        <v>×</v>
      </c>
      <c r="J10105" s="4"/>
      <c r="K10105" s="4"/>
      <c r="L10105" s="4"/>
      <c r="M10105" s="5" t="s">
        <v>6166</v>
      </c>
    </row>
    <row r="10106" customFormat="false" ht="15.75" hidden="false" customHeight="false" outlineLevel="0" collapsed="false">
      <c r="A10106" s="6" t="n">
        <v>46159</v>
      </c>
      <c r="B10106" s="4" t="s">
        <v>13</v>
      </c>
      <c r="C10106" s="4" t="n">
        <v>3</v>
      </c>
      <c r="D10106" s="4" t="n">
        <v>10</v>
      </c>
      <c r="E10106" s="4" t="s">
        <v>6462</v>
      </c>
      <c r="F10106" s="4" t="n">
        <v>15</v>
      </c>
      <c r="G10106" s="4" t="n">
        <v>5</v>
      </c>
      <c r="H10106" s="4" t="n">
        <v>1</v>
      </c>
      <c r="I10106" s="4" t="str">
        <v>○</v>
      </c>
      <c r="J10106" s="4" t="n">
        <v>240</v>
      </c>
      <c r="K10106" s="4"/>
      <c r="L10106" s="4"/>
      <c r="M10106" s="5" t="s">
        <v>6166</v>
      </c>
    </row>
    <row r="10107" customFormat="false" ht="15.75" hidden="false" customHeight="false" outlineLevel="0" collapsed="false">
      <c r="A10107" s="6" t="n">
        <v>46159</v>
      </c>
      <c r="B10107" s="4" t="s">
        <v>13</v>
      </c>
      <c r="C10107" s="4" t="n">
        <v>3</v>
      </c>
      <c r="D10107" s="4" t="n">
        <v>11</v>
      </c>
      <c r="E10107" s="4" t="s">
        <v>2996</v>
      </c>
      <c r="F10107" s="4" t="n">
        <v>4</v>
      </c>
      <c r="G10107" s="4" t="n">
        <v>7</v>
      </c>
      <c r="H10107" s="4" t="n">
        <v>4</v>
      </c>
      <c r="I10107" s="4" t="str">
        <v>×</v>
      </c>
      <c r="J10107" s="4"/>
      <c r="K10107" s="4"/>
      <c r="L10107" s="4"/>
      <c r="M10107" s="5" t="s">
        <v>6166</v>
      </c>
    </row>
    <row r="10108" customFormat="false" ht="15.75" hidden="false" customHeight="false" outlineLevel="0" collapsed="false">
      <c r="A10108" s="6" t="n">
        <v>46159</v>
      </c>
      <c r="B10108" s="4" t="s">
        <v>13</v>
      </c>
      <c r="C10108" s="4" t="n">
        <v>3</v>
      </c>
      <c r="D10108" s="4" t="n">
        <v>12</v>
      </c>
      <c r="E10108" s="4" t="s">
        <v>1733</v>
      </c>
      <c r="F10108" s="4" t="n">
        <v>71</v>
      </c>
      <c r="G10108" s="4" t="n">
        <v>2</v>
      </c>
      <c r="H10108" s="4" t="n">
        <v>3</v>
      </c>
      <c r="I10108" s="4" t="str">
        <v>○</v>
      </c>
      <c r="J10108" s="4" t="n">
        <v>120</v>
      </c>
      <c r="K10108" s="4"/>
      <c r="L10108" s="4"/>
      <c r="M10108" s="5" t="s">
        <v>6166</v>
      </c>
    </row>
    <row r="10109" customFormat="false" ht="15.75" hidden="false" customHeight="false" outlineLevel="0" collapsed="false">
      <c r="A10109" s="6" t="n">
        <v>46159</v>
      </c>
      <c r="B10109" s="4" t="s">
        <v>13</v>
      </c>
      <c r="C10109" s="4" t="n">
        <v>3</v>
      </c>
      <c r="D10109" s="4" t="n">
        <v>13</v>
      </c>
      <c r="E10109" s="4" t="s">
        <v>948</v>
      </c>
      <c r="F10109" s="4" t="n">
        <v>4</v>
      </c>
      <c r="G10109" s="4" t="n">
        <v>7</v>
      </c>
      <c r="H10109" s="4" t="n">
        <v>4</v>
      </c>
      <c r="I10109" s="4" t="str">
        <v>×</v>
      </c>
      <c r="J10109" s="4"/>
      <c r="K10109" s="4"/>
      <c r="L10109" s="4"/>
      <c r="M10109" s="5" t="s">
        <v>6166</v>
      </c>
    </row>
    <row r="10110" customFormat="false" ht="15.75" hidden="false" customHeight="false" outlineLevel="0" collapsed="false">
      <c r="A10110" s="6" t="n">
        <v>46159</v>
      </c>
      <c r="B10110" s="4" t="s">
        <v>13</v>
      </c>
      <c r="C10110" s="4" t="n">
        <v>3</v>
      </c>
      <c r="D10110" s="4" t="n">
        <v>14</v>
      </c>
      <c r="E10110" s="4" t="s">
        <v>3155</v>
      </c>
      <c r="F10110" s="4" t="n">
        <v>34</v>
      </c>
      <c r="G10110" s="4" t="n">
        <v>4</v>
      </c>
      <c r="H10110" s="4" t="n">
        <v>4</v>
      </c>
      <c r="I10110" s="4" t="str">
        <v>×</v>
      </c>
      <c r="J10110" s="4"/>
      <c r="K10110" s="4"/>
      <c r="L10110" s="4"/>
      <c r="M10110" s="5" t="s">
        <v>6166</v>
      </c>
    </row>
    <row r="10111" customFormat="false" ht="15.75" hidden="false" customHeight="false" outlineLevel="0" collapsed="false">
      <c r="A10111" s="6" t="n">
        <v>46159</v>
      </c>
      <c r="B10111" s="4" t="s">
        <v>13</v>
      </c>
      <c r="C10111" s="4" t="n">
        <v>3</v>
      </c>
      <c r="D10111" s="4" t="n">
        <v>15</v>
      </c>
      <c r="E10111" s="4" t="s">
        <v>6463</v>
      </c>
      <c r="F10111" s="4" t="n">
        <v>4</v>
      </c>
      <c r="G10111" s="4" t="n">
        <v>7</v>
      </c>
      <c r="H10111" s="4" t="n">
        <v>4</v>
      </c>
      <c r="I10111" s="4" t="str">
        <v>×</v>
      </c>
      <c r="J10111" s="4"/>
      <c r="K10111" s="4"/>
      <c r="L10111" s="4"/>
      <c r="M10111" s="5" t="s">
        <v>6166</v>
      </c>
    </row>
    <row r="10112" customFormat="false" ht="15.75" hidden="false" customHeight="false" outlineLevel="0" collapsed="false">
      <c r="A10112" s="6" t="n">
        <v>46159</v>
      </c>
      <c r="B10112" s="4" t="s">
        <v>13</v>
      </c>
      <c r="C10112" s="4" t="n">
        <v>4</v>
      </c>
      <c r="D10112" s="4" t="n">
        <v>1</v>
      </c>
      <c r="E10112" s="4" t="s">
        <v>1098</v>
      </c>
      <c r="F10112" s="4" t="n">
        <v>16</v>
      </c>
      <c r="G10112" s="4" t="n">
        <v>4</v>
      </c>
      <c r="H10112" s="4" t="n">
        <v>4</v>
      </c>
      <c r="I10112" s="4" t="str">
        <v>×</v>
      </c>
      <c r="J10112" s="4"/>
      <c r="K10112" s="4"/>
      <c r="L10112" s="4"/>
      <c r="M10112" s="5" t="s">
        <v>6166</v>
      </c>
    </row>
    <row r="10113" customFormat="false" ht="15.75" hidden="false" customHeight="false" outlineLevel="0" collapsed="false">
      <c r="A10113" s="6" t="n">
        <v>46159</v>
      </c>
      <c r="B10113" s="4" t="s">
        <v>13</v>
      </c>
      <c r="C10113" s="4" t="n">
        <v>4</v>
      </c>
      <c r="D10113" s="4" t="n">
        <v>2</v>
      </c>
      <c r="E10113" s="4" t="s">
        <v>3325</v>
      </c>
      <c r="F10113" s="4" t="n">
        <v>6</v>
      </c>
      <c r="G10113" s="4" t="n">
        <v>8</v>
      </c>
      <c r="H10113" s="4" t="n">
        <v>4</v>
      </c>
      <c r="I10113" s="4" t="str">
        <v>×</v>
      </c>
      <c r="J10113" s="4"/>
      <c r="K10113" s="4"/>
      <c r="L10113" s="4"/>
      <c r="M10113" s="5" t="s">
        <v>6166</v>
      </c>
    </row>
    <row r="10114" customFormat="false" ht="15.75" hidden="false" customHeight="false" outlineLevel="0" collapsed="false">
      <c r="A10114" s="6" t="n">
        <v>46159</v>
      </c>
      <c r="B10114" s="4" t="s">
        <v>13</v>
      </c>
      <c r="C10114" s="4" t="n">
        <v>4</v>
      </c>
      <c r="D10114" s="4" t="n">
        <v>3</v>
      </c>
      <c r="E10114" s="4" t="s">
        <v>1556</v>
      </c>
      <c r="F10114" s="4" t="n">
        <v>37</v>
      </c>
      <c r="G10114" s="4" t="n">
        <v>2</v>
      </c>
      <c r="H10114" s="4" t="n">
        <v>4</v>
      </c>
      <c r="I10114" s="4" t="str">
        <v>×</v>
      </c>
      <c r="J10114" s="4"/>
      <c r="K10114" s="4"/>
      <c r="L10114" s="4"/>
      <c r="M10114" s="5" t="s">
        <v>6166</v>
      </c>
    </row>
    <row r="10115" customFormat="false" ht="15.75" hidden="false" customHeight="false" outlineLevel="0" collapsed="false">
      <c r="A10115" s="6" t="n">
        <v>46159</v>
      </c>
      <c r="B10115" s="4" t="s">
        <v>13</v>
      </c>
      <c r="C10115" s="4" t="n">
        <v>4</v>
      </c>
      <c r="D10115" s="4" t="n">
        <v>4</v>
      </c>
      <c r="E10115" s="4" t="s">
        <v>587</v>
      </c>
      <c r="F10115" s="4" t="n">
        <v>37</v>
      </c>
      <c r="G10115" s="4" t="n">
        <v>2</v>
      </c>
      <c r="H10115" s="4" t="n">
        <v>4</v>
      </c>
      <c r="I10115" s="4" t="str">
        <v>×</v>
      </c>
      <c r="J10115" s="4"/>
      <c r="K10115" s="4"/>
      <c r="L10115" s="4"/>
      <c r="M10115" s="5" t="s">
        <v>6166</v>
      </c>
    </row>
    <row r="10116" customFormat="false" ht="15.75" hidden="false" customHeight="false" outlineLevel="0" collapsed="false">
      <c r="A10116" s="6" t="n">
        <v>46159</v>
      </c>
      <c r="B10116" s="4" t="s">
        <v>13</v>
      </c>
      <c r="C10116" s="4" t="n">
        <v>4</v>
      </c>
      <c r="D10116" s="4" t="n">
        <v>5</v>
      </c>
      <c r="E10116" s="4" t="s">
        <v>2288</v>
      </c>
      <c r="F10116" s="4" t="n">
        <v>8</v>
      </c>
      <c r="G10116" s="4" t="n">
        <v>7</v>
      </c>
      <c r="H10116" s="4" t="n">
        <v>4</v>
      </c>
      <c r="I10116" s="4" t="str">
        <v>×</v>
      </c>
      <c r="J10116" s="4"/>
      <c r="K10116" s="4"/>
      <c r="L10116" s="4"/>
      <c r="M10116" s="5" t="s">
        <v>6166</v>
      </c>
    </row>
    <row r="10117" customFormat="false" ht="15.75" hidden="false" customHeight="false" outlineLevel="0" collapsed="false">
      <c r="A10117" s="6" t="n">
        <v>46159</v>
      </c>
      <c r="B10117" s="4" t="s">
        <v>13</v>
      </c>
      <c r="C10117" s="4" t="n">
        <v>4</v>
      </c>
      <c r="D10117" s="4" t="n">
        <v>6</v>
      </c>
      <c r="E10117" s="4" t="s">
        <v>6464</v>
      </c>
      <c r="F10117" s="4" t="n">
        <v>12</v>
      </c>
      <c r="G10117" s="4" t="n">
        <v>6</v>
      </c>
      <c r="H10117" s="4" t="n">
        <v>4</v>
      </c>
      <c r="I10117" s="4" t="str">
        <v>×</v>
      </c>
      <c r="J10117" s="4"/>
      <c r="K10117" s="4"/>
      <c r="L10117" s="4"/>
      <c r="M10117" s="5" t="s">
        <v>6166</v>
      </c>
    </row>
    <row r="10118" customFormat="false" ht="15.75" hidden="false" customHeight="false" outlineLevel="0" collapsed="false">
      <c r="A10118" s="6" t="n">
        <v>46159</v>
      </c>
      <c r="B10118" s="4" t="s">
        <v>13</v>
      </c>
      <c r="C10118" s="4" t="n">
        <v>4</v>
      </c>
      <c r="D10118" s="4" t="n">
        <v>7</v>
      </c>
      <c r="E10118" s="4" t="s">
        <v>3128</v>
      </c>
      <c r="F10118" s="4" t="n">
        <v>14</v>
      </c>
      <c r="G10118" s="4" t="n">
        <v>5</v>
      </c>
      <c r="H10118" s="4" t="n">
        <v>3</v>
      </c>
      <c r="I10118" s="4" t="str">
        <v>○</v>
      </c>
      <c r="J10118" s="4" t="n">
        <v>1070</v>
      </c>
      <c r="K10118" s="4"/>
      <c r="L10118" s="4"/>
      <c r="M10118" s="5" t="s">
        <v>6166</v>
      </c>
    </row>
    <row r="10119" customFormat="false" ht="15.75" hidden="false" customHeight="false" outlineLevel="0" collapsed="false">
      <c r="A10119" s="6" t="n">
        <v>46159</v>
      </c>
      <c r="B10119" s="4" t="s">
        <v>13</v>
      </c>
      <c r="C10119" s="4" t="n">
        <v>4</v>
      </c>
      <c r="D10119" s="4" t="n">
        <v>8</v>
      </c>
      <c r="E10119" s="4" t="s">
        <v>4299</v>
      </c>
      <c r="F10119" s="4" t="n">
        <v>12</v>
      </c>
      <c r="G10119" s="4" t="n">
        <v>6</v>
      </c>
      <c r="H10119" s="4" t="n">
        <v>1</v>
      </c>
      <c r="I10119" s="4" t="str">
        <v>○</v>
      </c>
      <c r="J10119" s="4" t="n">
        <v>180</v>
      </c>
      <c r="K10119" s="4"/>
      <c r="L10119" s="4"/>
      <c r="M10119" s="5" t="s">
        <v>6166</v>
      </c>
    </row>
    <row r="10120" customFormat="false" ht="15.75" hidden="false" customHeight="false" outlineLevel="0" collapsed="false">
      <c r="A10120" s="6" t="n">
        <v>46159</v>
      </c>
      <c r="B10120" s="4" t="s">
        <v>13</v>
      </c>
      <c r="C10120" s="4" t="n">
        <v>4</v>
      </c>
      <c r="D10120" s="4" t="n">
        <v>9</v>
      </c>
      <c r="E10120" s="4" t="s">
        <v>4477</v>
      </c>
      <c r="F10120" s="4" t="n">
        <v>24</v>
      </c>
      <c r="G10120" s="4" t="n">
        <v>3</v>
      </c>
      <c r="H10120" s="4" t="n">
        <v>4</v>
      </c>
      <c r="I10120" s="4" t="str">
        <v>×</v>
      </c>
      <c r="J10120" s="4"/>
      <c r="K10120" s="4"/>
      <c r="L10120" s="4"/>
      <c r="M10120" s="5" t="s">
        <v>6166</v>
      </c>
    </row>
    <row r="10121" customFormat="false" ht="15.75" hidden="false" customHeight="false" outlineLevel="0" collapsed="false">
      <c r="A10121" s="6" t="n">
        <v>46159</v>
      </c>
      <c r="B10121" s="4" t="s">
        <v>13</v>
      </c>
      <c r="C10121" s="4" t="n">
        <v>4</v>
      </c>
      <c r="D10121" s="4" t="n">
        <v>10</v>
      </c>
      <c r="E10121" s="4" t="s">
        <v>2813</v>
      </c>
      <c r="F10121" s="4" t="n">
        <v>6</v>
      </c>
      <c r="G10121" s="4" t="n">
        <v>8</v>
      </c>
      <c r="H10121" s="4" t="n">
        <v>4</v>
      </c>
      <c r="I10121" s="4" t="str">
        <v>×</v>
      </c>
      <c r="J10121" s="4"/>
      <c r="K10121" s="4"/>
      <c r="L10121" s="4"/>
      <c r="M10121" s="5" t="s">
        <v>6166</v>
      </c>
    </row>
    <row r="10122" customFormat="false" ht="15.75" hidden="false" customHeight="false" outlineLevel="0" collapsed="false">
      <c r="A10122" s="6" t="n">
        <v>46159</v>
      </c>
      <c r="B10122" s="4" t="s">
        <v>13</v>
      </c>
      <c r="C10122" s="4" t="n">
        <v>4</v>
      </c>
      <c r="D10122" s="4" t="n">
        <v>11</v>
      </c>
      <c r="E10122" s="4" t="s">
        <v>1102</v>
      </c>
      <c r="F10122" s="4" t="n">
        <v>55</v>
      </c>
      <c r="G10122" s="4" t="n">
        <v>1</v>
      </c>
      <c r="H10122" s="4" t="n">
        <v>4</v>
      </c>
      <c r="I10122" s="4" t="str">
        <v>×</v>
      </c>
      <c r="J10122" s="4"/>
      <c r="K10122" s="4"/>
      <c r="L10122" s="4"/>
      <c r="M10122" s="5" t="s">
        <v>6166</v>
      </c>
    </row>
    <row r="10123" customFormat="false" ht="15.75" hidden="false" customHeight="false" outlineLevel="0" collapsed="false">
      <c r="A10123" s="6" t="n">
        <v>46159</v>
      </c>
      <c r="B10123" s="4" t="s">
        <v>13</v>
      </c>
      <c r="C10123" s="4" t="n">
        <v>4</v>
      </c>
      <c r="D10123" s="4" t="n">
        <v>12</v>
      </c>
      <c r="E10123" s="4" t="s">
        <v>4784</v>
      </c>
      <c r="F10123" s="4" t="n">
        <v>37</v>
      </c>
      <c r="G10123" s="4" t="n">
        <v>2</v>
      </c>
      <c r="H10123" s="4" t="n">
        <v>2</v>
      </c>
      <c r="I10123" s="4" t="str">
        <v>○</v>
      </c>
      <c r="J10123" s="4" t="n">
        <v>140</v>
      </c>
      <c r="K10123" s="4"/>
      <c r="L10123" s="4"/>
      <c r="M10123" s="5" t="s">
        <v>6166</v>
      </c>
    </row>
    <row r="10124" customFormat="false" ht="15.75" hidden="false" customHeight="false" outlineLevel="0" collapsed="false">
      <c r="A10124" s="6" t="n">
        <v>46159</v>
      </c>
      <c r="B10124" s="4" t="s">
        <v>13</v>
      </c>
      <c r="C10124" s="4" t="n">
        <v>4</v>
      </c>
      <c r="D10124" s="4" t="n">
        <v>13</v>
      </c>
      <c r="E10124" s="4" t="s">
        <v>1967</v>
      </c>
      <c r="F10124" s="4" t="n">
        <v>6</v>
      </c>
      <c r="G10124" s="4" t="n">
        <v>8</v>
      </c>
      <c r="H10124" s="4"/>
      <c r="I10124" s="4" t="str">
        <v/>
      </c>
      <c r="J10124" s="4"/>
      <c r="K10124" s="4"/>
      <c r="L10124" s="4"/>
      <c r="M10124" s="5" t="s">
        <v>6166</v>
      </c>
    </row>
    <row r="10125" customFormat="false" ht="15.75" hidden="false" customHeight="false" outlineLevel="0" collapsed="false">
      <c r="A10125" s="6" t="n">
        <v>46159</v>
      </c>
      <c r="B10125" s="4" t="s">
        <v>13</v>
      </c>
      <c r="C10125" s="4" t="n">
        <v>4</v>
      </c>
      <c r="D10125" s="4" t="n">
        <v>14</v>
      </c>
      <c r="E10125" s="4" t="s">
        <v>3657</v>
      </c>
      <c r="F10125" s="4" t="n">
        <v>6</v>
      </c>
      <c r="G10125" s="4" t="n">
        <v>8</v>
      </c>
      <c r="H10125" s="4" t="n">
        <v>4</v>
      </c>
      <c r="I10125" s="4" t="str">
        <v>×</v>
      </c>
      <c r="J10125" s="4"/>
      <c r="K10125" s="4"/>
      <c r="L10125" s="4"/>
      <c r="M10125" s="5" t="s">
        <v>6166</v>
      </c>
    </row>
    <row r="10126" customFormat="false" ht="15.75" hidden="false" customHeight="false" outlineLevel="0" collapsed="false">
      <c r="A10126" s="6" t="n">
        <v>46159</v>
      </c>
      <c r="B10126" s="4" t="s">
        <v>13</v>
      </c>
      <c r="C10126" s="4" t="n">
        <v>5</v>
      </c>
      <c r="D10126" s="4" t="n">
        <v>1</v>
      </c>
      <c r="E10126" s="4" t="s">
        <v>6465</v>
      </c>
      <c r="F10126" s="4" t="n">
        <v>50</v>
      </c>
      <c r="G10126" s="4" t="n">
        <v>2</v>
      </c>
      <c r="H10126" s="4" t="n">
        <v>4</v>
      </c>
      <c r="I10126" s="4" t="str">
        <v>×</v>
      </c>
      <c r="J10126" s="4"/>
      <c r="K10126" s="4"/>
      <c r="L10126" s="4"/>
      <c r="M10126" s="5" t="s">
        <v>6166</v>
      </c>
    </row>
    <row r="10127" customFormat="false" ht="15.75" hidden="false" customHeight="false" outlineLevel="0" collapsed="false">
      <c r="A10127" s="6" t="n">
        <v>46159</v>
      </c>
      <c r="B10127" s="4" t="s">
        <v>13</v>
      </c>
      <c r="C10127" s="4" t="n">
        <v>5</v>
      </c>
      <c r="D10127" s="4" t="n">
        <v>2</v>
      </c>
      <c r="E10127" s="4" t="s">
        <v>3327</v>
      </c>
      <c r="F10127" s="4" t="n">
        <v>8</v>
      </c>
      <c r="G10127" s="4" t="n">
        <v>9</v>
      </c>
      <c r="H10127" s="4" t="n">
        <v>4</v>
      </c>
      <c r="I10127" s="4" t="str">
        <v>×</v>
      </c>
      <c r="J10127" s="4"/>
      <c r="K10127" s="4"/>
      <c r="L10127" s="4"/>
      <c r="M10127" s="5" t="s">
        <v>6166</v>
      </c>
    </row>
    <row r="10128" customFormat="false" ht="15.75" hidden="false" customHeight="false" outlineLevel="0" collapsed="false">
      <c r="A10128" s="6" t="n">
        <v>46159</v>
      </c>
      <c r="B10128" s="4" t="s">
        <v>13</v>
      </c>
      <c r="C10128" s="4" t="n">
        <v>5</v>
      </c>
      <c r="D10128" s="4" t="n">
        <v>3</v>
      </c>
      <c r="E10128" s="4" t="s">
        <v>1938</v>
      </c>
      <c r="F10128" s="4" t="n">
        <v>3</v>
      </c>
      <c r="G10128" s="4" t="n">
        <v>12</v>
      </c>
      <c r="H10128" s="4" t="n">
        <v>4</v>
      </c>
      <c r="I10128" s="4" t="str">
        <v>×</v>
      </c>
      <c r="J10128" s="4"/>
      <c r="K10128" s="4"/>
      <c r="L10128" s="4"/>
      <c r="M10128" s="5" t="s">
        <v>6166</v>
      </c>
    </row>
    <row r="10129" customFormat="false" ht="15.75" hidden="false" customHeight="false" outlineLevel="0" collapsed="false">
      <c r="A10129" s="6" t="n">
        <v>46159</v>
      </c>
      <c r="B10129" s="4" t="s">
        <v>13</v>
      </c>
      <c r="C10129" s="4" t="n">
        <v>5</v>
      </c>
      <c r="D10129" s="4" t="n">
        <v>4</v>
      </c>
      <c r="E10129" s="4" t="s">
        <v>4433</v>
      </c>
      <c r="F10129" s="4" t="n">
        <v>17</v>
      </c>
      <c r="G10129" s="4" t="n">
        <v>6</v>
      </c>
      <c r="H10129" s="4" t="n">
        <v>2</v>
      </c>
      <c r="I10129" s="4" t="str">
        <v>○</v>
      </c>
      <c r="J10129" s="4" t="n">
        <v>320</v>
      </c>
      <c r="K10129" s="4"/>
      <c r="L10129" s="4"/>
      <c r="M10129" s="5" t="s">
        <v>6166</v>
      </c>
    </row>
    <row r="10130" customFormat="false" ht="15.75" hidden="false" customHeight="false" outlineLevel="0" collapsed="false">
      <c r="A10130" s="6" t="n">
        <v>46159</v>
      </c>
      <c r="B10130" s="4" t="s">
        <v>13</v>
      </c>
      <c r="C10130" s="4" t="n">
        <v>5</v>
      </c>
      <c r="D10130" s="4" t="n">
        <v>5</v>
      </c>
      <c r="E10130" s="4" t="s">
        <v>3526</v>
      </c>
      <c r="F10130" s="4" t="n">
        <v>37</v>
      </c>
      <c r="G10130" s="4" t="n">
        <v>3</v>
      </c>
      <c r="H10130" s="4" t="n">
        <v>4</v>
      </c>
      <c r="I10130" s="4" t="str">
        <v>×</v>
      </c>
      <c r="J10130" s="4"/>
      <c r="K10130" s="4"/>
      <c r="L10130" s="4"/>
      <c r="M10130" s="5" t="s">
        <v>6166</v>
      </c>
    </row>
    <row r="10131" customFormat="false" ht="15.75" hidden="false" customHeight="false" outlineLevel="0" collapsed="false">
      <c r="A10131" s="6" t="n">
        <v>46159</v>
      </c>
      <c r="B10131" s="4" t="s">
        <v>13</v>
      </c>
      <c r="C10131" s="4" t="n">
        <v>5</v>
      </c>
      <c r="D10131" s="4" t="n">
        <v>6</v>
      </c>
      <c r="E10131" s="4" t="s">
        <v>3139</v>
      </c>
      <c r="F10131" s="4" t="n">
        <v>10</v>
      </c>
      <c r="G10131" s="4" t="n">
        <v>8</v>
      </c>
      <c r="H10131" s="4" t="n">
        <v>4</v>
      </c>
      <c r="I10131" s="4" t="str">
        <v>×</v>
      </c>
      <c r="J10131" s="4"/>
      <c r="K10131" s="4"/>
      <c r="L10131" s="4"/>
      <c r="M10131" s="5" t="s">
        <v>6166</v>
      </c>
    </row>
    <row r="10132" customFormat="false" ht="15.75" hidden="false" customHeight="false" outlineLevel="0" collapsed="false">
      <c r="A10132" s="6" t="n">
        <v>46159</v>
      </c>
      <c r="B10132" s="4" t="s">
        <v>13</v>
      </c>
      <c r="C10132" s="4" t="n">
        <v>5</v>
      </c>
      <c r="D10132" s="4" t="n">
        <v>7</v>
      </c>
      <c r="E10132" s="4" t="s">
        <v>1937</v>
      </c>
      <c r="F10132" s="4" t="n">
        <v>20</v>
      </c>
      <c r="G10132" s="4" t="n">
        <v>5</v>
      </c>
      <c r="H10132" s="4" t="n">
        <v>4</v>
      </c>
      <c r="I10132" s="4" t="str">
        <v>×</v>
      </c>
      <c r="J10132" s="4"/>
      <c r="K10132" s="4"/>
      <c r="L10132" s="4"/>
      <c r="M10132" s="5" t="s">
        <v>6166</v>
      </c>
    </row>
    <row r="10133" customFormat="false" ht="15.75" hidden="false" customHeight="false" outlineLevel="0" collapsed="false">
      <c r="A10133" s="6" t="n">
        <v>46159</v>
      </c>
      <c r="B10133" s="4" t="s">
        <v>13</v>
      </c>
      <c r="C10133" s="4" t="n">
        <v>5</v>
      </c>
      <c r="D10133" s="4" t="n">
        <v>8</v>
      </c>
      <c r="E10133" s="4" t="s">
        <v>4888</v>
      </c>
      <c r="F10133" s="4" t="n">
        <v>25</v>
      </c>
      <c r="G10133" s="4" t="n">
        <v>4</v>
      </c>
      <c r="H10133" s="4" t="n">
        <v>4</v>
      </c>
      <c r="I10133" s="4" t="str">
        <v>×</v>
      </c>
      <c r="J10133" s="4"/>
      <c r="K10133" s="4"/>
      <c r="L10133" s="4"/>
      <c r="M10133" s="5" t="s">
        <v>6166</v>
      </c>
    </row>
    <row r="10134" customFormat="false" ht="15.75" hidden="false" customHeight="false" outlineLevel="0" collapsed="false">
      <c r="A10134" s="6" t="n">
        <v>46159</v>
      </c>
      <c r="B10134" s="4" t="s">
        <v>13</v>
      </c>
      <c r="C10134" s="4" t="n">
        <v>5</v>
      </c>
      <c r="D10134" s="4" t="n">
        <v>9</v>
      </c>
      <c r="E10134" s="4" t="s">
        <v>1409</v>
      </c>
      <c r="F10134" s="4" t="n">
        <v>1</v>
      </c>
      <c r="G10134" s="4" t="n">
        <v>13</v>
      </c>
      <c r="H10134" s="4" t="n">
        <v>4</v>
      </c>
      <c r="I10134" s="4" t="str">
        <v>×</v>
      </c>
      <c r="J10134" s="4"/>
      <c r="K10134" s="4"/>
      <c r="L10134" s="4"/>
      <c r="M10134" s="5" t="s">
        <v>6166</v>
      </c>
    </row>
    <row r="10135" customFormat="false" ht="15.75" hidden="false" customHeight="false" outlineLevel="0" collapsed="false">
      <c r="A10135" s="6" t="n">
        <v>46159</v>
      </c>
      <c r="B10135" s="4" t="s">
        <v>13</v>
      </c>
      <c r="C10135" s="4" t="n">
        <v>5</v>
      </c>
      <c r="D10135" s="4" t="n">
        <v>10</v>
      </c>
      <c r="E10135" s="4" t="s">
        <v>4091</v>
      </c>
      <c r="F10135" s="4" t="n">
        <v>13</v>
      </c>
      <c r="G10135" s="4" t="n">
        <v>7</v>
      </c>
      <c r="H10135" s="4" t="n">
        <v>3</v>
      </c>
      <c r="I10135" s="4" t="str">
        <v>○</v>
      </c>
      <c r="J10135" s="4" t="n">
        <v>440</v>
      </c>
      <c r="K10135" s="4"/>
      <c r="L10135" s="4"/>
      <c r="M10135" s="5" t="s">
        <v>6166</v>
      </c>
    </row>
    <row r="10136" customFormat="false" ht="15.75" hidden="false" customHeight="false" outlineLevel="0" collapsed="false">
      <c r="A10136" s="6" t="n">
        <v>46159</v>
      </c>
      <c r="B10136" s="4" t="s">
        <v>13</v>
      </c>
      <c r="C10136" s="4" t="n">
        <v>5</v>
      </c>
      <c r="D10136" s="4" t="n">
        <v>11</v>
      </c>
      <c r="E10136" s="4" t="s">
        <v>5364</v>
      </c>
      <c r="F10136" s="4" t="n">
        <v>6</v>
      </c>
      <c r="G10136" s="4" t="n">
        <v>10</v>
      </c>
      <c r="H10136" s="4" t="n">
        <v>4</v>
      </c>
      <c r="I10136" s="4" t="str">
        <v>×</v>
      </c>
      <c r="J10136" s="4"/>
      <c r="K10136" s="4"/>
      <c r="L10136" s="4"/>
      <c r="M10136" s="5" t="s">
        <v>6166</v>
      </c>
    </row>
    <row r="10137" customFormat="false" ht="15.75" hidden="false" customHeight="false" outlineLevel="0" collapsed="false">
      <c r="A10137" s="6" t="n">
        <v>46159</v>
      </c>
      <c r="B10137" s="4" t="s">
        <v>13</v>
      </c>
      <c r="C10137" s="4" t="n">
        <v>5</v>
      </c>
      <c r="D10137" s="4" t="n">
        <v>12</v>
      </c>
      <c r="E10137" s="4" t="s">
        <v>3446</v>
      </c>
      <c r="F10137" s="4" t="n">
        <v>17</v>
      </c>
      <c r="G10137" s="4" t="n">
        <v>6</v>
      </c>
      <c r="H10137" s="4" t="n">
        <v>4</v>
      </c>
      <c r="I10137" s="4" t="str">
        <v>×</v>
      </c>
      <c r="J10137" s="4"/>
      <c r="K10137" s="4"/>
      <c r="L10137" s="4"/>
      <c r="M10137" s="5" t="s">
        <v>6166</v>
      </c>
    </row>
    <row r="10138" customFormat="false" ht="15.75" hidden="false" customHeight="false" outlineLevel="0" collapsed="false">
      <c r="A10138" s="6" t="n">
        <v>46159</v>
      </c>
      <c r="B10138" s="4" t="s">
        <v>13</v>
      </c>
      <c r="C10138" s="4" t="n">
        <v>5</v>
      </c>
      <c r="D10138" s="4" t="n">
        <v>13</v>
      </c>
      <c r="E10138" s="4" t="s">
        <v>6466</v>
      </c>
      <c r="F10138" s="4" t="n">
        <v>71</v>
      </c>
      <c r="G10138" s="4" t="n">
        <v>1</v>
      </c>
      <c r="H10138" s="4" t="n">
        <v>1</v>
      </c>
      <c r="I10138" s="4" t="str">
        <v>○</v>
      </c>
      <c r="J10138" s="4" t="n">
        <v>160</v>
      </c>
      <c r="K10138" s="4"/>
      <c r="L10138" s="4"/>
      <c r="M10138" s="5" t="s">
        <v>6166</v>
      </c>
    </row>
    <row r="10139" customFormat="false" ht="15.75" hidden="false" customHeight="false" outlineLevel="0" collapsed="false">
      <c r="A10139" s="6" t="n">
        <v>46159</v>
      </c>
      <c r="B10139" s="4" t="s">
        <v>13</v>
      </c>
      <c r="C10139" s="4" t="n">
        <v>5</v>
      </c>
      <c r="D10139" s="4" t="n">
        <v>14</v>
      </c>
      <c r="E10139" s="4" t="s">
        <v>6467</v>
      </c>
      <c r="F10139" s="4" t="n">
        <v>4</v>
      </c>
      <c r="G10139" s="4" t="n">
        <v>11</v>
      </c>
      <c r="H10139" s="4" t="n">
        <v>4</v>
      </c>
      <c r="I10139" s="4" t="str">
        <v>×</v>
      </c>
      <c r="J10139" s="4"/>
      <c r="K10139" s="4"/>
      <c r="L10139" s="4"/>
      <c r="M10139" s="5" t="s">
        <v>6166</v>
      </c>
    </row>
    <row r="10140" customFormat="false" ht="15.75" hidden="false" customHeight="false" outlineLevel="0" collapsed="false">
      <c r="A10140" s="6" t="n">
        <v>46159</v>
      </c>
      <c r="B10140" s="4" t="s">
        <v>13</v>
      </c>
      <c r="C10140" s="4" t="n">
        <v>5</v>
      </c>
      <c r="D10140" s="4" t="n">
        <v>15</v>
      </c>
      <c r="E10140" s="4" t="s">
        <v>2929</v>
      </c>
      <c r="F10140" s="4" t="n">
        <v>8</v>
      </c>
      <c r="G10140" s="4" t="n">
        <v>9</v>
      </c>
      <c r="H10140" s="4" t="n">
        <v>4</v>
      </c>
      <c r="I10140" s="4" t="str">
        <v>×</v>
      </c>
      <c r="J10140" s="4"/>
      <c r="K10140" s="4"/>
      <c r="L10140" s="4"/>
      <c r="M10140" s="5" t="s">
        <v>6166</v>
      </c>
    </row>
    <row r="10141" customFormat="false" ht="15.75" hidden="false" customHeight="false" outlineLevel="0" collapsed="false">
      <c r="A10141" s="6" t="n">
        <v>46159</v>
      </c>
      <c r="B10141" s="4" t="s">
        <v>13</v>
      </c>
      <c r="C10141" s="4" t="n">
        <v>5</v>
      </c>
      <c r="D10141" s="4" t="n">
        <v>16</v>
      </c>
      <c r="E10141" s="4" t="s">
        <v>5675</v>
      </c>
      <c r="F10141" s="4" t="n">
        <v>8</v>
      </c>
      <c r="G10141" s="4" t="n">
        <v>9</v>
      </c>
      <c r="H10141" s="4" t="n">
        <v>4</v>
      </c>
      <c r="I10141" s="4" t="str">
        <v>×</v>
      </c>
      <c r="J10141" s="4"/>
      <c r="K10141" s="4"/>
      <c r="L10141" s="4"/>
      <c r="M10141" s="5" t="s">
        <v>6166</v>
      </c>
    </row>
    <row r="10142" customFormat="false" ht="15.75" hidden="false" customHeight="false" outlineLevel="0" collapsed="false">
      <c r="A10142" s="6" t="n">
        <v>46159</v>
      </c>
      <c r="B10142" s="4" t="s">
        <v>13</v>
      </c>
      <c r="C10142" s="4" t="n">
        <v>6</v>
      </c>
      <c r="D10142" s="4" t="n">
        <v>1</v>
      </c>
      <c r="E10142" s="4" t="s">
        <v>2355</v>
      </c>
      <c r="F10142" s="4" t="n">
        <v>17</v>
      </c>
      <c r="G10142" s="4" t="n">
        <v>6</v>
      </c>
      <c r="H10142" s="4" t="n">
        <v>4</v>
      </c>
      <c r="I10142" s="4" t="str">
        <v>×</v>
      </c>
      <c r="J10142" s="4"/>
      <c r="K10142" s="4"/>
      <c r="L10142" s="4"/>
      <c r="M10142" s="5" t="s">
        <v>6166</v>
      </c>
    </row>
    <row r="10143" customFormat="false" ht="15.75" hidden="false" customHeight="false" outlineLevel="0" collapsed="false">
      <c r="A10143" s="6" t="n">
        <v>46159</v>
      </c>
      <c r="B10143" s="4" t="s">
        <v>13</v>
      </c>
      <c r="C10143" s="4" t="n">
        <v>6</v>
      </c>
      <c r="D10143" s="4" t="n">
        <v>2</v>
      </c>
      <c r="E10143" s="4" t="s">
        <v>6468</v>
      </c>
      <c r="F10143" s="4" t="n">
        <v>41</v>
      </c>
      <c r="G10143" s="4" t="n">
        <v>2</v>
      </c>
      <c r="H10143" s="4" t="n">
        <v>4</v>
      </c>
      <c r="I10143" s="4" t="str">
        <v>×</v>
      </c>
      <c r="J10143" s="4"/>
      <c r="K10143" s="4"/>
      <c r="L10143" s="4"/>
      <c r="M10143" s="5" t="s">
        <v>6166</v>
      </c>
    </row>
    <row r="10144" customFormat="false" ht="15.75" hidden="false" customHeight="false" outlineLevel="0" collapsed="false">
      <c r="A10144" s="6" t="n">
        <v>46159</v>
      </c>
      <c r="B10144" s="4" t="s">
        <v>13</v>
      </c>
      <c r="C10144" s="4" t="n">
        <v>6</v>
      </c>
      <c r="D10144" s="4" t="n">
        <v>3</v>
      </c>
      <c r="E10144" s="4" t="s">
        <v>6469</v>
      </c>
      <c r="F10144" s="4" t="n">
        <v>58</v>
      </c>
      <c r="G10144" s="4" t="n">
        <v>1</v>
      </c>
      <c r="H10144" s="4" t="n">
        <v>1</v>
      </c>
      <c r="I10144" s="4" t="str">
        <v>○</v>
      </c>
      <c r="J10144" s="4" t="n">
        <v>200</v>
      </c>
      <c r="K10144" s="4"/>
      <c r="L10144" s="4"/>
      <c r="M10144" s="5" t="s">
        <v>6166</v>
      </c>
    </row>
    <row r="10145" customFormat="false" ht="15.75" hidden="false" customHeight="false" outlineLevel="0" collapsed="false">
      <c r="A10145" s="6" t="n">
        <v>46159</v>
      </c>
      <c r="B10145" s="4" t="s">
        <v>13</v>
      </c>
      <c r="C10145" s="4" t="n">
        <v>6</v>
      </c>
      <c r="D10145" s="4" t="n">
        <v>4</v>
      </c>
      <c r="E10145" s="4" t="s">
        <v>2191</v>
      </c>
      <c r="F10145" s="4" t="n">
        <v>4</v>
      </c>
      <c r="G10145" s="4" t="n">
        <v>10</v>
      </c>
      <c r="H10145" s="4" t="n">
        <v>3</v>
      </c>
      <c r="I10145" s="4" t="str">
        <v>○</v>
      </c>
      <c r="J10145" s="4" t="n">
        <v>320</v>
      </c>
      <c r="K10145" s="4"/>
      <c r="L10145" s="4"/>
      <c r="M10145" s="5" t="s">
        <v>6166</v>
      </c>
    </row>
    <row r="10146" customFormat="false" ht="15.75" hidden="false" customHeight="false" outlineLevel="0" collapsed="false">
      <c r="A10146" s="6" t="n">
        <v>46159</v>
      </c>
      <c r="B10146" s="4" t="s">
        <v>13</v>
      </c>
      <c r="C10146" s="4" t="n">
        <v>6</v>
      </c>
      <c r="D10146" s="4" t="n">
        <v>5</v>
      </c>
      <c r="E10146" s="4" t="s">
        <v>1885</v>
      </c>
      <c r="F10146" s="4" t="n">
        <v>37</v>
      </c>
      <c r="G10146" s="4" t="n">
        <v>3</v>
      </c>
      <c r="H10146" s="4" t="n">
        <v>2</v>
      </c>
      <c r="I10146" s="4" t="str">
        <v>○</v>
      </c>
      <c r="J10146" s="4" t="n">
        <v>170</v>
      </c>
      <c r="K10146" s="4"/>
      <c r="L10146" s="4"/>
      <c r="M10146" s="5" t="s">
        <v>6166</v>
      </c>
    </row>
    <row r="10147" customFormat="false" ht="15.75" hidden="false" customHeight="false" outlineLevel="0" collapsed="false">
      <c r="A10147" s="6" t="n">
        <v>46159</v>
      </c>
      <c r="B10147" s="4" t="s">
        <v>13</v>
      </c>
      <c r="C10147" s="4" t="n">
        <v>6</v>
      </c>
      <c r="D10147" s="4" t="n">
        <v>6</v>
      </c>
      <c r="E10147" s="4" t="s">
        <v>823</v>
      </c>
      <c r="F10147" s="4" t="n">
        <v>34</v>
      </c>
      <c r="G10147" s="4" t="n">
        <v>4</v>
      </c>
      <c r="H10147" s="4" t="n">
        <v>4</v>
      </c>
      <c r="I10147" s="4" t="str">
        <v>×</v>
      </c>
      <c r="J10147" s="4"/>
      <c r="K10147" s="4"/>
      <c r="L10147" s="4"/>
      <c r="M10147" s="5" t="s">
        <v>6166</v>
      </c>
    </row>
    <row r="10148" customFormat="false" ht="15.75" hidden="false" customHeight="false" outlineLevel="0" collapsed="false">
      <c r="A10148" s="6" t="n">
        <v>46159</v>
      </c>
      <c r="B10148" s="4" t="s">
        <v>13</v>
      </c>
      <c r="C10148" s="4" t="n">
        <v>6</v>
      </c>
      <c r="D10148" s="4" t="n">
        <v>7</v>
      </c>
      <c r="E10148" s="4" t="s">
        <v>2292</v>
      </c>
      <c r="F10148" s="4" t="n">
        <v>17</v>
      </c>
      <c r="G10148" s="4" t="n">
        <v>6</v>
      </c>
      <c r="H10148" s="4" t="n">
        <v>4</v>
      </c>
      <c r="I10148" s="4" t="str">
        <v>×</v>
      </c>
      <c r="J10148" s="4"/>
      <c r="K10148" s="4"/>
      <c r="L10148" s="4"/>
      <c r="M10148" s="5" t="s">
        <v>6166</v>
      </c>
    </row>
    <row r="10149" customFormat="false" ht="15.75" hidden="false" customHeight="false" outlineLevel="0" collapsed="false">
      <c r="A10149" s="6" t="n">
        <v>46159</v>
      </c>
      <c r="B10149" s="4" t="s">
        <v>13</v>
      </c>
      <c r="C10149" s="4" t="n">
        <v>6</v>
      </c>
      <c r="D10149" s="4" t="n">
        <v>8</v>
      </c>
      <c r="E10149" s="4" t="s">
        <v>1779</v>
      </c>
      <c r="F10149" s="4" t="n">
        <v>25</v>
      </c>
      <c r="G10149" s="4" t="n">
        <v>5</v>
      </c>
      <c r="H10149" s="4" t="n">
        <v>4</v>
      </c>
      <c r="I10149" s="4" t="str">
        <v>×</v>
      </c>
      <c r="J10149" s="4"/>
      <c r="K10149" s="4"/>
      <c r="L10149" s="4"/>
      <c r="M10149" s="5" t="s">
        <v>6166</v>
      </c>
    </row>
    <row r="10150" customFormat="false" ht="15.75" hidden="false" customHeight="false" outlineLevel="0" collapsed="false">
      <c r="A10150" s="6" t="n">
        <v>46159</v>
      </c>
      <c r="B10150" s="4" t="s">
        <v>13</v>
      </c>
      <c r="C10150" s="4" t="n">
        <v>6</v>
      </c>
      <c r="D10150" s="4" t="n">
        <v>9</v>
      </c>
      <c r="E10150" s="4" t="s">
        <v>3601</v>
      </c>
      <c r="F10150" s="4" t="n">
        <v>8</v>
      </c>
      <c r="G10150" s="4" t="n">
        <v>8</v>
      </c>
      <c r="H10150" s="4" t="n">
        <v>4</v>
      </c>
      <c r="I10150" s="4" t="str">
        <v>×</v>
      </c>
      <c r="J10150" s="4"/>
      <c r="K10150" s="4"/>
      <c r="L10150" s="4"/>
      <c r="M10150" s="5" t="s">
        <v>6166</v>
      </c>
    </row>
    <row r="10151" customFormat="false" ht="15.75" hidden="false" customHeight="false" outlineLevel="0" collapsed="false">
      <c r="A10151" s="6" t="n">
        <v>46159</v>
      </c>
      <c r="B10151" s="4" t="s">
        <v>13</v>
      </c>
      <c r="C10151" s="4" t="n">
        <v>6</v>
      </c>
      <c r="D10151" s="4" t="n">
        <v>10</v>
      </c>
      <c r="E10151" s="4" t="s">
        <v>2436</v>
      </c>
      <c r="F10151" s="4" t="n">
        <v>10</v>
      </c>
      <c r="G10151" s="4" t="n">
        <v>7</v>
      </c>
      <c r="H10151" s="4" t="n">
        <v>4</v>
      </c>
      <c r="I10151" s="4" t="str">
        <v>×</v>
      </c>
      <c r="J10151" s="4"/>
      <c r="K10151" s="4"/>
      <c r="L10151" s="4"/>
      <c r="M10151" s="5" t="s">
        <v>6166</v>
      </c>
    </row>
    <row r="10152" customFormat="false" ht="15.75" hidden="false" customHeight="false" outlineLevel="0" collapsed="false">
      <c r="A10152" s="6" t="n">
        <v>46159</v>
      </c>
      <c r="B10152" s="4" t="s">
        <v>13</v>
      </c>
      <c r="C10152" s="4" t="n">
        <v>6</v>
      </c>
      <c r="D10152" s="4" t="n">
        <v>11</v>
      </c>
      <c r="E10152" s="4" t="s">
        <v>2755</v>
      </c>
      <c r="F10152" s="4" t="n">
        <v>6</v>
      </c>
      <c r="G10152" s="4" t="n">
        <v>9</v>
      </c>
      <c r="H10152" s="4" t="n">
        <v>4</v>
      </c>
      <c r="I10152" s="4" t="str">
        <v>×</v>
      </c>
      <c r="J10152" s="4"/>
      <c r="K10152" s="4"/>
      <c r="L10152" s="4"/>
      <c r="M10152" s="5" t="s">
        <v>6166</v>
      </c>
    </row>
    <row r="10153" customFormat="false" ht="15.75" hidden="false" customHeight="false" outlineLevel="0" collapsed="false">
      <c r="A10153" s="6" t="n">
        <v>46159</v>
      </c>
      <c r="B10153" s="4" t="s">
        <v>13</v>
      </c>
      <c r="C10153" s="4" t="n">
        <v>6</v>
      </c>
      <c r="D10153" s="4" t="n">
        <v>12</v>
      </c>
      <c r="E10153" s="4" t="s">
        <v>6470</v>
      </c>
      <c r="F10153" s="4" t="n">
        <v>10</v>
      </c>
      <c r="G10153" s="4" t="n">
        <v>7</v>
      </c>
      <c r="H10153" s="4" t="n">
        <v>4</v>
      </c>
      <c r="I10153" s="4" t="str">
        <v>×</v>
      </c>
      <c r="J10153" s="4"/>
      <c r="K10153" s="4"/>
      <c r="L10153" s="4"/>
      <c r="M10153" s="5" t="s">
        <v>6166</v>
      </c>
    </row>
    <row r="10154" customFormat="false" ht="15.75" hidden="false" customHeight="false" outlineLevel="0" collapsed="false">
      <c r="A10154" s="6" t="n">
        <v>46159</v>
      </c>
      <c r="B10154" s="4" t="s">
        <v>13</v>
      </c>
      <c r="C10154" s="4" t="n">
        <v>6</v>
      </c>
      <c r="D10154" s="4" t="n">
        <v>13</v>
      </c>
      <c r="E10154" s="4" t="s">
        <v>1403</v>
      </c>
      <c r="F10154" s="4" t="n">
        <v>10</v>
      </c>
      <c r="G10154" s="4" t="n">
        <v>7</v>
      </c>
      <c r="H10154" s="4" t="n">
        <v>4</v>
      </c>
      <c r="I10154" s="4" t="str">
        <v>×</v>
      </c>
      <c r="J10154" s="4"/>
      <c r="K10154" s="4"/>
      <c r="L10154" s="4"/>
      <c r="M10154" s="5" t="s">
        <v>6166</v>
      </c>
    </row>
    <row r="10155" customFormat="false" ht="15.75" hidden="false" customHeight="false" outlineLevel="0" collapsed="false">
      <c r="A10155" s="6" t="n">
        <v>46159</v>
      </c>
      <c r="B10155" s="4" t="s">
        <v>13</v>
      </c>
      <c r="C10155" s="4" t="n">
        <v>7</v>
      </c>
      <c r="D10155" s="4" t="n">
        <v>1</v>
      </c>
      <c r="E10155" s="4" t="s">
        <v>5611</v>
      </c>
      <c r="F10155" s="4" t="n">
        <v>29</v>
      </c>
      <c r="G10155" s="4" t="n">
        <v>3</v>
      </c>
      <c r="H10155" s="4" t="n">
        <v>4</v>
      </c>
      <c r="I10155" s="4" t="str">
        <v>×</v>
      </c>
      <c r="J10155" s="4"/>
      <c r="K10155" s="4"/>
      <c r="L10155" s="4"/>
      <c r="M10155" s="5" t="s">
        <v>6166</v>
      </c>
    </row>
    <row r="10156" customFormat="false" ht="15.75" hidden="false" customHeight="false" outlineLevel="0" collapsed="false">
      <c r="A10156" s="6" t="n">
        <v>46159</v>
      </c>
      <c r="B10156" s="4" t="s">
        <v>13</v>
      </c>
      <c r="C10156" s="4" t="n">
        <v>7</v>
      </c>
      <c r="D10156" s="4" t="n">
        <v>2</v>
      </c>
      <c r="E10156" s="4" t="s">
        <v>6471</v>
      </c>
      <c r="F10156" s="4" t="n">
        <v>15</v>
      </c>
      <c r="G10156" s="4" t="n">
        <v>4</v>
      </c>
      <c r="H10156" s="4" t="n">
        <v>4</v>
      </c>
      <c r="I10156" s="4" t="str">
        <v>×</v>
      </c>
      <c r="J10156" s="4"/>
      <c r="K10156" s="4"/>
      <c r="L10156" s="4"/>
      <c r="M10156" s="5" t="s">
        <v>6166</v>
      </c>
    </row>
    <row r="10157" customFormat="false" ht="15.75" hidden="false" customHeight="false" outlineLevel="0" collapsed="false">
      <c r="A10157" s="6" t="n">
        <v>46159</v>
      </c>
      <c r="B10157" s="4" t="s">
        <v>13</v>
      </c>
      <c r="C10157" s="4" t="n">
        <v>7</v>
      </c>
      <c r="D10157" s="4" t="n">
        <v>3</v>
      </c>
      <c r="E10157" s="4" t="s">
        <v>6472</v>
      </c>
      <c r="F10157" s="4" t="n">
        <v>3</v>
      </c>
      <c r="G10157" s="4" t="n">
        <v>9</v>
      </c>
      <c r="H10157" s="4" t="n">
        <v>4</v>
      </c>
      <c r="I10157" s="4" t="str">
        <v>×</v>
      </c>
      <c r="J10157" s="4"/>
      <c r="K10157" s="4"/>
      <c r="L10157" s="4"/>
      <c r="M10157" s="5" t="s">
        <v>6166</v>
      </c>
    </row>
    <row r="10158" customFormat="false" ht="15.75" hidden="false" customHeight="false" outlineLevel="0" collapsed="false">
      <c r="A10158" s="6" t="n">
        <v>46159</v>
      </c>
      <c r="B10158" s="4" t="s">
        <v>13</v>
      </c>
      <c r="C10158" s="4" t="n">
        <v>7</v>
      </c>
      <c r="D10158" s="4" t="n">
        <v>4</v>
      </c>
      <c r="E10158" s="4" t="s">
        <v>1496</v>
      </c>
      <c r="F10158" s="4" t="n">
        <v>13</v>
      </c>
      <c r="G10158" s="4" t="n">
        <v>5</v>
      </c>
      <c r="H10158" s="4" t="n">
        <v>2</v>
      </c>
      <c r="I10158" s="4" t="str">
        <v>○</v>
      </c>
      <c r="J10158" s="4" t="n">
        <v>280</v>
      </c>
      <c r="K10158" s="4"/>
      <c r="L10158" s="4"/>
      <c r="M10158" s="5" t="s">
        <v>6166</v>
      </c>
    </row>
    <row r="10159" customFormat="false" ht="15.75" hidden="false" customHeight="false" outlineLevel="0" collapsed="false">
      <c r="A10159" s="6" t="n">
        <v>46159</v>
      </c>
      <c r="B10159" s="4" t="s">
        <v>13</v>
      </c>
      <c r="C10159" s="4" t="n">
        <v>7</v>
      </c>
      <c r="D10159" s="4" t="n">
        <v>5</v>
      </c>
      <c r="E10159" s="4" t="s">
        <v>6473</v>
      </c>
      <c r="F10159" s="4" t="n">
        <v>10</v>
      </c>
      <c r="G10159" s="4" t="n">
        <v>6</v>
      </c>
      <c r="H10159" s="4" t="n">
        <v>4</v>
      </c>
      <c r="I10159" s="4" t="str">
        <v>×</v>
      </c>
      <c r="J10159" s="4"/>
      <c r="K10159" s="4"/>
      <c r="L10159" s="4"/>
      <c r="M10159" s="5" t="s">
        <v>6166</v>
      </c>
    </row>
    <row r="10160" customFormat="false" ht="15.75" hidden="false" customHeight="false" outlineLevel="0" collapsed="false">
      <c r="A10160" s="6" t="n">
        <v>46159</v>
      </c>
      <c r="B10160" s="4" t="s">
        <v>13</v>
      </c>
      <c r="C10160" s="4" t="n">
        <v>7</v>
      </c>
      <c r="D10160" s="4" t="n">
        <v>6</v>
      </c>
      <c r="E10160" s="4" t="s">
        <v>6474</v>
      </c>
      <c r="F10160" s="4" t="n">
        <v>2</v>
      </c>
      <c r="G10160" s="4" t="n">
        <v>10</v>
      </c>
      <c r="H10160" s="4" t="n">
        <v>4</v>
      </c>
      <c r="I10160" s="4" t="str">
        <v>×</v>
      </c>
      <c r="J10160" s="4"/>
      <c r="K10160" s="4"/>
      <c r="L10160" s="4"/>
      <c r="M10160" s="5" t="s">
        <v>6166</v>
      </c>
    </row>
    <row r="10161" customFormat="false" ht="15.75" hidden="false" customHeight="false" outlineLevel="0" collapsed="false">
      <c r="A10161" s="6" t="n">
        <v>46159</v>
      </c>
      <c r="B10161" s="4" t="s">
        <v>13</v>
      </c>
      <c r="C10161" s="4" t="n">
        <v>7</v>
      </c>
      <c r="D10161" s="4" t="n">
        <v>7</v>
      </c>
      <c r="E10161" s="4" t="s">
        <v>6475</v>
      </c>
      <c r="F10161" s="4" t="n">
        <v>2</v>
      </c>
      <c r="G10161" s="4" t="n">
        <v>10</v>
      </c>
      <c r="H10161" s="4" t="n">
        <v>4</v>
      </c>
      <c r="I10161" s="4" t="str">
        <v>×</v>
      </c>
      <c r="J10161" s="4"/>
      <c r="K10161" s="4"/>
      <c r="L10161" s="4"/>
      <c r="M10161" s="5" t="s">
        <v>6166</v>
      </c>
    </row>
    <row r="10162" customFormat="false" ht="15.75" hidden="false" customHeight="false" outlineLevel="0" collapsed="false">
      <c r="A10162" s="6" t="n">
        <v>46159</v>
      </c>
      <c r="B10162" s="4" t="s">
        <v>13</v>
      </c>
      <c r="C10162" s="4" t="n">
        <v>7</v>
      </c>
      <c r="D10162" s="4" t="n">
        <v>8</v>
      </c>
      <c r="E10162" s="4" t="s">
        <v>5108</v>
      </c>
      <c r="F10162" s="4" t="n">
        <v>50</v>
      </c>
      <c r="G10162" s="4" t="n">
        <v>2</v>
      </c>
      <c r="H10162" s="4" t="n">
        <v>1</v>
      </c>
      <c r="I10162" s="4" t="str">
        <v>○</v>
      </c>
      <c r="J10162" s="4" t="n">
        <v>140</v>
      </c>
      <c r="K10162" s="4"/>
      <c r="L10162" s="4"/>
      <c r="M10162" s="5" t="s">
        <v>6166</v>
      </c>
    </row>
    <row r="10163" customFormat="false" ht="15.75" hidden="false" customHeight="false" outlineLevel="0" collapsed="false">
      <c r="A10163" s="6" t="n">
        <v>46159</v>
      </c>
      <c r="B10163" s="4" t="s">
        <v>13</v>
      </c>
      <c r="C10163" s="4" t="n">
        <v>7</v>
      </c>
      <c r="D10163" s="4" t="n">
        <v>9</v>
      </c>
      <c r="E10163" s="4" t="s">
        <v>69</v>
      </c>
      <c r="F10163" s="4" t="n">
        <v>6</v>
      </c>
      <c r="G10163" s="4" t="n">
        <v>7</v>
      </c>
      <c r="H10163" s="4" t="n">
        <v>4</v>
      </c>
      <c r="I10163" s="4" t="str">
        <v>×</v>
      </c>
      <c r="J10163" s="4"/>
      <c r="K10163" s="4"/>
      <c r="L10163" s="4"/>
      <c r="M10163" s="5" t="s">
        <v>6166</v>
      </c>
    </row>
    <row r="10164" customFormat="false" ht="15.75" hidden="false" customHeight="false" outlineLevel="0" collapsed="false">
      <c r="A10164" s="6" t="n">
        <v>46159</v>
      </c>
      <c r="B10164" s="4" t="s">
        <v>13</v>
      </c>
      <c r="C10164" s="4" t="n">
        <v>7</v>
      </c>
      <c r="D10164" s="4" t="n">
        <v>10</v>
      </c>
      <c r="E10164" s="4" t="s">
        <v>6476</v>
      </c>
      <c r="F10164" s="4" t="n">
        <v>62</v>
      </c>
      <c r="G10164" s="4" t="n">
        <v>1</v>
      </c>
      <c r="H10164" s="4" t="n">
        <v>4</v>
      </c>
      <c r="I10164" s="4" t="str">
        <v>×</v>
      </c>
      <c r="J10164" s="4"/>
      <c r="K10164" s="4"/>
      <c r="L10164" s="4"/>
      <c r="M10164" s="5" t="s">
        <v>6166</v>
      </c>
    </row>
    <row r="10165" customFormat="false" ht="15.75" hidden="false" customHeight="false" outlineLevel="0" collapsed="false">
      <c r="A10165" s="6" t="n">
        <v>46159</v>
      </c>
      <c r="B10165" s="4" t="s">
        <v>13</v>
      </c>
      <c r="C10165" s="4" t="n">
        <v>7</v>
      </c>
      <c r="D10165" s="4" t="n">
        <v>11</v>
      </c>
      <c r="E10165" s="4" t="s">
        <v>1952</v>
      </c>
      <c r="F10165" s="4" t="n">
        <v>29</v>
      </c>
      <c r="G10165" s="4" t="n">
        <v>3</v>
      </c>
      <c r="H10165" s="4" t="n">
        <v>4</v>
      </c>
      <c r="I10165" s="4" t="str">
        <v>×</v>
      </c>
      <c r="J10165" s="4"/>
      <c r="K10165" s="4"/>
      <c r="L10165" s="4"/>
      <c r="M10165" s="5" t="s">
        <v>6166</v>
      </c>
    </row>
    <row r="10166" customFormat="false" ht="15.75" hidden="false" customHeight="false" outlineLevel="0" collapsed="false">
      <c r="A10166" s="6" t="n">
        <v>46159</v>
      </c>
      <c r="B10166" s="4" t="s">
        <v>13</v>
      </c>
      <c r="C10166" s="4" t="n">
        <v>7</v>
      </c>
      <c r="D10166" s="4" t="n">
        <v>12</v>
      </c>
      <c r="E10166" s="4" t="s">
        <v>1171</v>
      </c>
      <c r="F10166" s="4" t="n">
        <v>29</v>
      </c>
      <c r="G10166" s="4" t="n">
        <v>3</v>
      </c>
      <c r="H10166" s="4" t="n">
        <v>3</v>
      </c>
      <c r="I10166" s="4" t="str">
        <v>○</v>
      </c>
      <c r="J10166" s="4" t="n">
        <v>140</v>
      </c>
      <c r="K10166" s="4"/>
      <c r="L10166" s="4"/>
      <c r="M10166" s="5" t="s">
        <v>6166</v>
      </c>
    </row>
    <row r="10167" customFormat="false" ht="15.75" hidden="false" customHeight="false" outlineLevel="0" collapsed="false">
      <c r="A10167" s="6" t="n">
        <v>46159</v>
      </c>
      <c r="B10167" s="4" t="s">
        <v>13</v>
      </c>
      <c r="C10167" s="4" t="n">
        <v>7</v>
      </c>
      <c r="D10167" s="4" t="n">
        <v>13</v>
      </c>
      <c r="E10167" s="4" t="s">
        <v>6477</v>
      </c>
      <c r="F10167" s="4" t="n">
        <v>4</v>
      </c>
      <c r="G10167" s="4" t="n">
        <v>8</v>
      </c>
      <c r="H10167" s="4" t="n">
        <v>4</v>
      </c>
      <c r="I10167" s="4" t="str">
        <v>×</v>
      </c>
      <c r="J10167" s="4"/>
      <c r="K10167" s="4"/>
      <c r="L10167" s="4"/>
      <c r="M10167" s="5" t="s">
        <v>6166</v>
      </c>
    </row>
    <row r="10168" customFormat="false" ht="15.75" hidden="false" customHeight="false" outlineLevel="0" collapsed="false">
      <c r="A10168" s="6" t="n">
        <v>46159</v>
      </c>
      <c r="B10168" s="4" t="s">
        <v>13</v>
      </c>
      <c r="C10168" s="4" t="n">
        <v>8</v>
      </c>
      <c r="D10168" s="4" t="n">
        <v>1</v>
      </c>
      <c r="E10168" s="4" t="s">
        <v>6478</v>
      </c>
      <c r="F10168" s="4" t="n">
        <v>3</v>
      </c>
      <c r="G10168" s="4" t="n">
        <v>8</v>
      </c>
      <c r="H10168" s="4" t="n">
        <v>4</v>
      </c>
      <c r="I10168" s="4" t="str">
        <v>×</v>
      </c>
      <c r="J10168" s="4"/>
      <c r="K10168" s="4"/>
      <c r="L10168" s="4"/>
      <c r="M10168" s="5" t="s">
        <v>6166</v>
      </c>
    </row>
    <row r="10169" customFormat="false" ht="15.75" hidden="false" customHeight="false" outlineLevel="0" collapsed="false">
      <c r="A10169" s="6" t="n">
        <v>46159</v>
      </c>
      <c r="B10169" s="4" t="s">
        <v>13</v>
      </c>
      <c r="C10169" s="4" t="n">
        <v>8</v>
      </c>
      <c r="D10169" s="4" t="n">
        <v>2</v>
      </c>
      <c r="E10169" s="4" t="s">
        <v>4142</v>
      </c>
      <c r="F10169" s="4" t="n">
        <v>81</v>
      </c>
      <c r="G10169" s="4" t="n">
        <v>1</v>
      </c>
      <c r="H10169" s="4" t="n">
        <v>3</v>
      </c>
      <c r="I10169" s="4" t="str">
        <v>○</v>
      </c>
      <c r="J10169" s="4" t="n">
        <v>110</v>
      </c>
      <c r="K10169" s="4"/>
      <c r="L10169" s="4"/>
      <c r="M10169" s="5" t="s">
        <v>6166</v>
      </c>
    </row>
    <row r="10170" customFormat="false" ht="15.75" hidden="false" customHeight="false" outlineLevel="0" collapsed="false">
      <c r="A10170" s="6" t="n">
        <v>46159</v>
      </c>
      <c r="B10170" s="4" t="s">
        <v>13</v>
      </c>
      <c r="C10170" s="4" t="n">
        <v>8</v>
      </c>
      <c r="D10170" s="4" t="n">
        <v>3</v>
      </c>
      <c r="E10170" s="4" t="s">
        <v>3064</v>
      </c>
      <c r="F10170" s="4" t="n">
        <v>23</v>
      </c>
      <c r="G10170" s="4" t="n">
        <v>3</v>
      </c>
      <c r="H10170" s="4" t="n">
        <v>4</v>
      </c>
      <c r="I10170" s="4" t="str">
        <v>×</v>
      </c>
      <c r="J10170" s="4"/>
      <c r="K10170" s="4"/>
      <c r="L10170" s="4"/>
      <c r="M10170" s="5" t="s">
        <v>6166</v>
      </c>
    </row>
    <row r="10171" customFormat="false" ht="15.75" hidden="false" customHeight="false" outlineLevel="0" collapsed="false">
      <c r="A10171" s="6" t="n">
        <v>46159</v>
      </c>
      <c r="B10171" s="4" t="s">
        <v>13</v>
      </c>
      <c r="C10171" s="4" t="n">
        <v>8</v>
      </c>
      <c r="D10171" s="4" t="n">
        <v>4</v>
      </c>
      <c r="E10171" s="4" t="s">
        <v>1223</v>
      </c>
      <c r="F10171" s="4" t="n">
        <v>20</v>
      </c>
      <c r="G10171" s="4" t="n">
        <v>4</v>
      </c>
      <c r="H10171" s="4" t="n">
        <v>4</v>
      </c>
      <c r="I10171" s="4" t="str">
        <v>×</v>
      </c>
      <c r="J10171" s="4"/>
      <c r="K10171" s="4"/>
      <c r="L10171" s="4"/>
      <c r="M10171" s="5" t="s">
        <v>6166</v>
      </c>
    </row>
    <row r="10172" customFormat="false" ht="15.75" hidden="false" customHeight="false" outlineLevel="0" collapsed="false">
      <c r="A10172" s="6" t="n">
        <v>46159</v>
      </c>
      <c r="B10172" s="4" t="s">
        <v>13</v>
      </c>
      <c r="C10172" s="4" t="n">
        <v>8</v>
      </c>
      <c r="D10172" s="4" t="n">
        <v>5</v>
      </c>
      <c r="E10172" s="4" t="s">
        <v>6479</v>
      </c>
      <c r="F10172" s="4" t="n">
        <v>10</v>
      </c>
      <c r="G10172" s="4" t="n">
        <v>6</v>
      </c>
      <c r="H10172" s="4" t="n">
        <v>4</v>
      </c>
      <c r="I10172" s="4" t="str">
        <v>×</v>
      </c>
      <c r="J10172" s="4"/>
      <c r="K10172" s="4"/>
      <c r="L10172" s="4"/>
      <c r="M10172" s="5" t="s">
        <v>6166</v>
      </c>
    </row>
    <row r="10173" customFormat="false" ht="15.75" hidden="false" customHeight="false" outlineLevel="0" collapsed="false">
      <c r="A10173" s="6" t="n">
        <v>46159</v>
      </c>
      <c r="B10173" s="4" t="s">
        <v>13</v>
      </c>
      <c r="C10173" s="4" t="n">
        <v>8</v>
      </c>
      <c r="D10173" s="4" t="n">
        <v>6</v>
      </c>
      <c r="E10173" s="4" t="s">
        <v>4568</v>
      </c>
      <c r="F10173" s="4" t="n">
        <v>4</v>
      </c>
      <c r="G10173" s="4" t="n">
        <v>7</v>
      </c>
      <c r="H10173" s="4" t="n">
        <v>4</v>
      </c>
      <c r="I10173" s="4" t="str">
        <v>×</v>
      </c>
      <c r="J10173" s="4"/>
      <c r="K10173" s="4"/>
      <c r="L10173" s="4"/>
      <c r="M10173" s="5" t="s">
        <v>6166</v>
      </c>
    </row>
    <row r="10174" customFormat="false" ht="15.75" hidden="false" customHeight="false" outlineLevel="0" collapsed="false">
      <c r="A10174" s="6" t="n">
        <v>46159</v>
      </c>
      <c r="B10174" s="4" t="s">
        <v>13</v>
      </c>
      <c r="C10174" s="4" t="n">
        <v>8</v>
      </c>
      <c r="D10174" s="4" t="n">
        <v>7</v>
      </c>
      <c r="E10174" s="4" t="s">
        <v>2121</v>
      </c>
      <c r="F10174" s="4" t="n">
        <v>20</v>
      </c>
      <c r="G10174" s="4" t="n">
        <v>4</v>
      </c>
      <c r="H10174" s="4" t="n">
        <v>4</v>
      </c>
      <c r="I10174" s="4" t="str">
        <v>×</v>
      </c>
      <c r="J10174" s="4"/>
      <c r="K10174" s="4"/>
      <c r="L10174" s="4"/>
      <c r="M10174" s="5" t="s">
        <v>6166</v>
      </c>
    </row>
    <row r="10175" customFormat="false" ht="15.75" hidden="false" customHeight="false" outlineLevel="0" collapsed="false">
      <c r="A10175" s="6" t="n">
        <v>46159</v>
      </c>
      <c r="B10175" s="4" t="s">
        <v>13</v>
      </c>
      <c r="C10175" s="4" t="n">
        <v>8</v>
      </c>
      <c r="D10175" s="4" t="n">
        <v>8</v>
      </c>
      <c r="E10175" s="4" t="s">
        <v>5794</v>
      </c>
      <c r="F10175" s="4" t="n">
        <v>17</v>
      </c>
      <c r="G10175" s="4" t="n">
        <v>5</v>
      </c>
      <c r="H10175" s="4" t="n">
        <v>2</v>
      </c>
      <c r="I10175" s="4" t="str">
        <v>○</v>
      </c>
      <c r="J10175" s="4" t="n">
        <v>170</v>
      </c>
      <c r="K10175" s="4"/>
      <c r="L10175" s="4"/>
      <c r="M10175" s="5" t="s">
        <v>6166</v>
      </c>
    </row>
    <row r="10176" customFormat="false" ht="15.75" hidden="false" customHeight="false" outlineLevel="0" collapsed="false">
      <c r="A10176" s="6" t="n">
        <v>46159</v>
      </c>
      <c r="B10176" s="4" t="s">
        <v>13</v>
      </c>
      <c r="C10176" s="4" t="n">
        <v>8</v>
      </c>
      <c r="D10176" s="4" t="n">
        <v>9</v>
      </c>
      <c r="E10176" s="4" t="s">
        <v>3950</v>
      </c>
      <c r="F10176" s="4" t="n">
        <v>17</v>
      </c>
      <c r="G10176" s="4" t="n">
        <v>5</v>
      </c>
      <c r="H10176" s="4" t="n">
        <v>4</v>
      </c>
      <c r="I10176" s="4" t="str">
        <v>×</v>
      </c>
      <c r="J10176" s="4"/>
      <c r="K10176" s="4"/>
      <c r="L10176" s="4"/>
      <c r="M10176" s="5" t="s">
        <v>6166</v>
      </c>
    </row>
    <row r="10177" customFormat="false" ht="15.75" hidden="false" customHeight="false" outlineLevel="0" collapsed="false">
      <c r="A10177" s="6" t="n">
        <v>46159</v>
      </c>
      <c r="B10177" s="4" t="s">
        <v>13</v>
      </c>
      <c r="C10177" s="4" t="n">
        <v>8</v>
      </c>
      <c r="D10177" s="4" t="n">
        <v>10</v>
      </c>
      <c r="E10177" s="4" t="s">
        <v>4650</v>
      </c>
      <c r="F10177" s="4" t="n">
        <v>47</v>
      </c>
      <c r="G10177" s="4" t="n">
        <v>2</v>
      </c>
      <c r="H10177" s="4" t="n">
        <v>1</v>
      </c>
      <c r="I10177" s="4" t="str">
        <v>○</v>
      </c>
      <c r="J10177" s="4" t="n">
        <v>120</v>
      </c>
      <c r="K10177" s="4"/>
      <c r="L10177" s="4"/>
      <c r="M10177" s="5" t="s">
        <v>6166</v>
      </c>
    </row>
    <row r="10178" customFormat="false" ht="15.75" hidden="false" customHeight="false" outlineLevel="0" collapsed="false">
      <c r="A10178" s="6" t="n">
        <v>46159</v>
      </c>
      <c r="B10178" s="4" t="s">
        <v>13</v>
      </c>
      <c r="C10178" s="4" t="n">
        <v>9</v>
      </c>
      <c r="D10178" s="4" t="n">
        <v>1</v>
      </c>
      <c r="E10178" s="4" t="s">
        <v>2547</v>
      </c>
      <c r="F10178" s="4" t="n">
        <v>10</v>
      </c>
      <c r="G10178" s="4" t="n">
        <v>8</v>
      </c>
      <c r="H10178" s="4" t="n">
        <v>4</v>
      </c>
      <c r="I10178" s="4" t="str">
        <v>×</v>
      </c>
      <c r="J10178" s="4"/>
      <c r="K10178" s="4"/>
      <c r="L10178" s="4"/>
      <c r="M10178" s="5" t="s">
        <v>6166</v>
      </c>
    </row>
    <row r="10179" customFormat="false" ht="15.75" hidden="false" customHeight="false" outlineLevel="0" collapsed="false">
      <c r="A10179" s="6" t="n">
        <v>46159</v>
      </c>
      <c r="B10179" s="4" t="s">
        <v>13</v>
      </c>
      <c r="C10179" s="4" t="n">
        <v>9</v>
      </c>
      <c r="D10179" s="4" t="n">
        <v>2</v>
      </c>
      <c r="E10179" s="4" t="s">
        <v>614</v>
      </c>
      <c r="F10179" s="4" t="n">
        <v>17</v>
      </c>
      <c r="G10179" s="4" t="n">
        <v>5</v>
      </c>
      <c r="H10179" s="4" t="n">
        <v>4</v>
      </c>
      <c r="I10179" s="4" t="str">
        <v>×</v>
      </c>
      <c r="J10179" s="4"/>
      <c r="K10179" s="4"/>
      <c r="L10179" s="4"/>
      <c r="M10179" s="5" t="s">
        <v>6166</v>
      </c>
    </row>
    <row r="10180" customFormat="false" ht="15.75" hidden="false" customHeight="false" outlineLevel="0" collapsed="false">
      <c r="A10180" s="6" t="n">
        <v>46159</v>
      </c>
      <c r="B10180" s="4" t="s">
        <v>13</v>
      </c>
      <c r="C10180" s="4" t="n">
        <v>9</v>
      </c>
      <c r="D10180" s="4" t="n">
        <v>3</v>
      </c>
      <c r="E10180" s="4" t="s">
        <v>5391</v>
      </c>
      <c r="F10180" s="4" t="n">
        <v>1</v>
      </c>
      <c r="G10180" s="4" t="n">
        <v>11</v>
      </c>
      <c r="H10180" s="4" t="n">
        <v>4</v>
      </c>
      <c r="I10180" s="4" t="str">
        <v>×</v>
      </c>
      <c r="J10180" s="4"/>
      <c r="K10180" s="4"/>
      <c r="L10180" s="4"/>
      <c r="M10180" s="5" t="s">
        <v>6166</v>
      </c>
    </row>
    <row r="10181" customFormat="false" ht="15.75" hidden="false" customHeight="false" outlineLevel="0" collapsed="false">
      <c r="A10181" s="6" t="n">
        <v>46159</v>
      </c>
      <c r="B10181" s="4" t="s">
        <v>13</v>
      </c>
      <c r="C10181" s="4" t="n">
        <v>9</v>
      </c>
      <c r="D10181" s="4" t="n">
        <v>4</v>
      </c>
      <c r="E10181" s="4" t="s">
        <v>6480</v>
      </c>
      <c r="F10181" s="4" t="n">
        <v>44</v>
      </c>
      <c r="G10181" s="4" t="n">
        <v>1</v>
      </c>
      <c r="H10181" s="4" t="n">
        <v>4</v>
      </c>
      <c r="I10181" s="4" t="str">
        <v>×</v>
      </c>
      <c r="J10181" s="4"/>
      <c r="K10181" s="4"/>
      <c r="L10181" s="4"/>
      <c r="M10181" s="5" t="s">
        <v>6166</v>
      </c>
    </row>
    <row r="10182" customFormat="false" ht="15.75" hidden="false" customHeight="false" outlineLevel="0" collapsed="false">
      <c r="A10182" s="6" t="n">
        <v>46159</v>
      </c>
      <c r="B10182" s="4" t="s">
        <v>13</v>
      </c>
      <c r="C10182" s="4" t="n">
        <v>9</v>
      </c>
      <c r="D10182" s="4" t="n">
        <v>5</v>
      </c>
      <c r="E10182" s="4" t="s">
        <v>5339</v>
      </c>
      <c r="F10182" s="4" t="n">
        <v>13</v>
      </c>
      <c r="G10182" s="4" t="n">
        <v>7</v>
      </c>
      <c r="H10182" s="4" t="n">
        <v>4</v>
      </c>
      <c r="I10182" s="4" t="str">
        <v>×</v>
      </c>
      <c r="J10182" s="4"/>
      <c r="K10182" s="4"/>
      <c r="L10182" s="4"/>
      <c r="M10182" s="5" t="s">
        <v>6166</v>
      </c>
    </row>
    <row r="10183" customFormat="false" ht="15.75" hidden="false" customHeight="false" outlineLevel="0" collapsed="false">
      <c r="A10183" s="6" t="n">
        <v>46159</v>
      </c>
      <c r="B10183" s="4" t="s">
        <v>13</v>
      </c>
      <c r="C10183" s="4" t="n">
        <v>9</v>
      </c>
      <c r="D10183" s="4" t="n">
        <v>6</v>
      </c>
      <c r="E10183" s="4" t="s">
        <v>5076</v>
      </c>
      <c r="F10183" s="4" t="n">
        <v>15</v>
      </c>
      <c r="G10183" s="4" t="n">
        <v>6</v>
      </c>
      <c r="H10183" s="4" t="n">
        <v>4</v>
      </c>
      <c r="I10183" s="4" t="str">
        <v>×</v>
      </c>
      <c r="J10183" s="4"/>
      <c r="K10183" s="4"/>
      <c r="L10183" s="4"/>
      <c r="M10183" s="5" t="s">
        <v>6166</v>
      </c>
    </row>
    <row r="10184" customFormat="false" ht="15.75" hidden="false" customHeight="false" outlineLevel="0" collapsed="false">
      <c r="A10184" s="6" t="n">
        <v>46159</v>
      </c>
      <c r="B10184" s="4" t="s">
        <v>13</v>
      </c>
      <c r="C10184" s="4" t="n">
        <v>9</v>
      </c>
      <c r="D10184" s="4" t="n">
        <v>7</v>
      </c>
      <c r="E10184" s="4" t="s">
        <v>6481</v>
      </c>
      <c r="F10184" s="4" t="n">
        <v>17</v>
      </c>
      <c r="G10184" s="4" t="n">
        <v>5</v>
      </c>
      <c r="H10184" s="4" t="n">
        <v>1</v>
      </c>
      <c r="I10184" s="4" t="str">
        <v>○</v>
      </c>
      <c r="J10184" s="4" t="n">
        <v>1200</v>
      </c>
      <c r="K10184" s="4"/>
      <c r="L10184" s="4"/>
      <c r="M10184" s="5" t="s">
        <v>6166</v>
      </c>
    </row>
    <row r="10185" customFormat="false" ht="15.75" hidden="false" customHeight="false" outlineLevel="0" collapsed="false">
      <c r="A10185" s="6" t="n">
        <v>46159</v>
      </c>
      <c r="B10185" s="4" t="s">
        <v>13</v>
      </c>
      <c r="C10185" s="4" t="n">
        <v>9</v>
      </c>
      <c r="D10185" s="4" t="n">
        <v>8</v>
      </c>
      <c r="E10185" s="4" t="s">
        <v>2801</v>
      </c>
      <c r="F10185" s="4" t="n">
        <v>29</v>
      </c>
      <c r="G10185" s="4" t="n">
        <v>4</v>
      </c>
      <c r="H10185" s="4" t="n">
        <v>2</v>
      </c>
      <c r="I10185" s="4" t="str">
        <v>○</v>
      </c>
      <c r="J10185" s="4" t="n">
        <v>360</v>
      </c>
      <c r="K10185" s="4"/>
      <c r="L10185" s="4"/>
      <c r="M10185" s="5" t="s">
        <v>6166</v>
      </c>
    </row>
    <row r="10186" customFormat="false" ht="15.75" hidden="false" customHeight="false" outlineLevel="0" collapsed="false">
      <c r="A10186" s="6" t="n">
        <v>46159</v>
      </c>
      <c r="B10186" s="4" t="s">
        <v>13</v>
      </c>
      <c r="C10186" s="4" t="n">
        <v>9</v>
      </c>
      <c r="D10186" s="4" t="n">
        <v>9</v>
      </c>
      <c r="E10186" s="4" t="s">
        <v>1813</v>
      </c>
      <c r="F10186" s="4" t="n">
        <v>6</v>
      </c>
      <c r="G10186" s="4" t="n">
        <v>9</v>
      </c>
      <c r="H10186" s="4" t="n">
        <v>4</v>
      </c>
      <c r="I10186" s="4" t="str">
        <v>×</v>
      </c>
      <c r="J10186" s="4"/>
      <c r="K10186" s="4"/>
      <c r="L10186" s="4"/>
      <c r="M10186" s="5" t="s">
        <v>6166</v>
      </c>
    </row>
    <row r="10187" customFormat="false" ht="15.75" hidden="false" customHeight="false" outlineLevel="0" collapsed="false">
      <c r="A10187" s="6" t="n">
        <v>46159</v>
      </c>
      <c r="B10187" s="4" t="s">
        <v>13</v>
      </c>
      <c r="C10187" s="4" t="n">
        <v>9</v>
      </c>
      <c r="D10187" s="4" t="n">
        <v>10</v>
      </c>
      <c r="E10187" s="4" t="s">
        <v>1858</v>
      </c>
      <c r="F10187" s="4" t="n">
        <v>31</v>
      </c>
      <c r="G10187" s="4" t="n">
        <v>3</v>
      </c>
      <c r="H10187" s="4" t="n">
        <v>4</v>
      </c>
      <c r="I10187" s="4" t="str">
        <v>×</v>
      </c>
      <c r="J10187" s="4"/>
      <c r="K10187" s="4"/>
      <c r="L10187" s="4"/>
      <c r="M10187" s="5" t="s">
        <v>6166</v>
      </c>
    </row>
    <row r="10188" customFormat="false" ht="15.75" hidden="false" customHeight="false" outlineLevel="0" collapsed="false">
      <c r="A10188" s="6" t="n">
        <v>46159</v>
      </c>
      <c r="B10188" s="4" t="s">
        <v>13</v>
      </c>
      <c r="C10188" s="4" t="n">
        <v>9</v>
      </c>
      <c r="D10188" s="4" t="n">
        <v>11</v>
      </c>
      <c r="E10188" s="4" t="s">
        <v>6482</v>
      </c>
      <c r="F10188" s="4" t="n">
        <v>4</v>
      </c>
      <c r="G10188" s="4" t="n">
        <v>10</v>
      </c>
      <c r="H10188" s="4" t="n">
        <v>4</v>
      </c>
      <c r="I10188" s="4" t="str">
        <v>×</v>
      </c>
      <c r="J10188" s="4"/>
      <c r="K10188" s="4"/>
      <c r="L10188" s="4"/>
      <c r="M10188" s="5" t="s">
        <v>6166</v>
      </c>
    </row>
    <row r="10189" customFormat="false" ht="15.75" hidden="false" customHeight="false" outlineLevel="0" collapsed="false">
      <c r="A10189" s="6" t="n">
        <v>46159</v>
      </c>
      <c r="B10189" s="4" t="s">
        <v>13</v>
      </c>
      <c r="C10189" s="4" t="n">
        <v>9</v>
      </c>
      <c r="D10189" s="4" t="n">
        <v>12</v>
      </c>
      <c r="E10189" s="4" t="s">
        <v>2545</v>
      </c>
      <c r="F10189" s="4" t="n">
        <v>34</v>
      </c>
      <c r="G10189" s="4" t="n">
        <v>2</v>
      </c>
      <c r="H10189" s="4" t="n">
        <v>4</v>
      </c>
      <c r="I10189" s="4" t="str">
        <v>×</v>
      </c>
      <c r="J10189" s="4"/>
      <c r="K10189" s="4"/>
      <c r="L10189" s="4"/>
      <c r="M10189" s="5" t="s">
        <v>6166</v>
      </c>
    </row>
    <row r="10190" customFormat="false" ht="15.75" hidden="false" customHeight="false" outlineLevel="0" collapsed="false">
      <c r="A10190" s="6" t="n">
        <v>46159</v>
      </c>
      <c r="B10190" s="4" t="s">
        <v>13</v>
      </c>
      <c r="C10190" s="4" t="n">
        <v>9</v>
      </c>
      <c r="D10190" s="4" t="n">
        <v>13</v>
      </c>
      <c r="E10190" s="4" t="s">
        <v>6483</v>
      </c>
      <c r="F10190" s="4" t="n">
        <v>15</v>
      </c>
      <c r="G10190" s="4" t="n">
        <v>6</v>
      </c>
      <c r="H10190" s="4" t="n">
        <v>3</v>
      </c>
      <c r="I10190" s="4" t="str">
        <v>○</v>
      </c>
      <c r="J10190" s="4" t="n">
        <v>290</v>
      </c>
      <c r="K10190" s="4"/>
      <c r="L10190" s="4"/>
      <c r="M10190" s="5" t="s">
        <v>6166</v>
      </c>
    </row>
    <row r="10191" customFormat="false" ht="15.75" hidden="false" customHeight="false" outlineLevel="0" collapsed="false">
      <c r="A10191" s="6" t="n">
        <v>46159</v>
      </c>
      <c r="B10191" s="4" t="s">
        <v>13</v>
      </c>
      <c r="C10191" s="4" t="n">
        <v>9</v>
      </c>
      <c r="D10191" s="4" t="n">
        <v>14</v>
      </c>
      <c r="E10191" s="4" t="s">
        <v>6484</v>
      </c>
      <c r="F10191" s="4" t="n">
        <v>1</v>
      </c>
      <c r="G10191" s="4" t="n">
        <v>11</v>
      </c>
      <c r="H10191" s="4" t="n">
        <v>4</v>
      </c>
      <c r="I10191" s="4" t="str">
        <v>×</v>
      </c>
      <c r="J10191" s="4"/>
      <c r="K10191" s="4"/>
      <c r="L10191" s="4"/>
      <c r="M10191" s="5" t="s">
        <v>6166</v>
      </c>
    </row>
    <row r="10192" customFormat="false" ht="15.75" hidden="false" customHeight="false" outlineLevel="0" collapsed="false">
      <c r="A10192" s="6" t="n">
        <v>46159</v>
      </c>
      <c r="B10192" s="4" t="s">
        <v>13</v>
      </c>
      <c r="C10192" s="4" t="n">
        <v>9</v>
      </c>
      <c r="D10192" s="4" t="n">
        <v>15</v>
      </c>
      <c r="E10192" s="4" t="s">
        <v>1026</v>
      </c>
      <c r="F10192" s="4" t="n">
        <v>31</v>
      </c>
      <c r="G10192" s="4" t="n">
        <v>3</v>
      </c>
      <c r="H10192" s="4" t="n">
        <v>4</v>
      </c>
      <c r="I10192" s="4" t="str">
        <v>×</v>
      </c>
      <c r="J10192" s="4"/>
      <c r="K10192" s="4"/>
      <c r="L10192" s="4"/>
      <c r="M10192" s="5" t="s">
        <v>6166</v>
      </c>
    </row>
    <row r="10193" customFormat="false" ht="15.75" hidden="false" customHeight="false" outlineLevel="0" collapsed="false">
      <c r="A10193" s="6" t="n">
        <v>46159</v>
      </c>
      <c r="B10193" s="4" t="s">
        <v>13</v>
      </c>
      <c r="C10193" s="4" t="n">
        <v>9</v>
      </c>
      <c r="D10193" s="4" t="n">
        <v>16</v>
      </c>
      <c r="E10193" s="4" t="s">
        <v>611</v>
      </c>
      <c r="F10193" s="4" t="n">
        <v>29</v>
      </c>
      <c r="G10193" s="4" t="n">
        <v>4</v>
      </c>
      <c r="H10193" s="4" t="n">
        <v>4</v>
      </c>
      <c r="I10193" s="4" t="str">
        <v>×</v>
      </c>
      <c r="J10193" s="4"/>
      <c r="K10193" s="4"/>
      <c r="L10193" s="4"/>
      <c r="M10193" s="5" t="s">
        <v>6166</v>
      </c>
    </row>
    <row r="10194" customFormat="false" ht="15.75" hidden="false" customHeight="false" outlineLevel="0" collapsed="false">
      <c r="A10194" s="6" t="n">
        <v>46159</v>
      </c>
      <c r="B10194" s="4" t="s">
        <v>13</v>
      </c>
      <c r="C10194" s="4" t="n">
        <v>10</v>
      </c>
      <c r="D10194" s="4" t="n">
        <v>1</v>
      </c>
      <c r="E10194" s="4" t="s">
        <v>3753</v>
      </c>
      <c r="F10194" s="4" t="n">
        <v>50</v>
      </c>
      <c r="G10194" s="4" t="n">
        <v>2</v>
      </c>
      <c r="H10194" s="4" t="n">
        <v>3</v>
      </c>
      <c r="I10194" s="4" t="str">
        <v>○</v>
      </c>
      <c r="J10194" s="4" t="n">
        <v>180</v>
      </c>
      <c r="K10194" s="4"/>
      <c r="L10194" s="4"/>
      <c r="M10194" s="5" t="s">
        <v>6166</v>
      </c>
    </row>
    <row r="10195" customFormat="false" ht="15.75" hidden="false" customHeight="false" outlineLevel="0" collapsed="false">
      <c r="A10195" s="6" t="n">
        <v>46159</v>
      </c>
      <c r="B10195" s="4" t="s">
        <v>13</v>
      </c>
      <c r="C10195" s="4" t="n">
        <v>10</v>
      </c>
      <c r="D10195" s="4" t="n">
        <v>2</v>
      </c>
      <c r="E10195" s="4" t="s">
        <v>1523</v>
      </c>
      <c r="F10195" s="4" t="n">
        <v>15</v>
      </c>
      <c r="G10195" s="4" t="n">
        <v>6</v>
      </c>
      <c r="H10195" s="4" t="n">
        <v>4</v>
      </c>
      <c r="I10195" s="4" t="str">
        <v>×</v>
      </c>
      <c r="J10195" s="4"/>
      <c r="K10195" s="4"/>
      <c r="L10195" s="4"/>
      <c r="M10195" s="5" t="s">
        <v>6166</v>
      </c>
    </row>
    <row r="10196" customFormat="false" ht="15.75" hidden="false" customHeight="false" outlineLevel="0" collapsed="false">
      <c r="A10196" s="6" t="n">
        <v>46159</v>
      </c>
      <c r="B10196" s="4" t="s">
        <v>13</v>
      </c>
      <c r="C10196" s="4" t="n">
        <v>10</v>
      </c>
      <c r="D10196" s="4" t="n">
        <v>3</v>
      </c>
      <c r="E10196" s="4" t="s">
        <v>6485</v>
      </c>
      <c r="F10196" s="4" t="n">
        <v>2</v>
      </c>
      <c r="G10196" s="4" t="n">
        <v>12</v>
      </c>
      <c r="H10196" s="4" t="n">
        <v>4</v>
      </c>
      <c r="I10196" s="4" t="str">
        <v>×</v>
      </c>
      <c r="J10196" s="4"/>
      <c r="K10196" s="4"/>
      <c r="L10196" s="4"/>
      <c r="M10196" s="5" t="s">
        <v>6166</v>
      </c>
    </row>
    <row r="10197" customFormat="false" ht="15.75" hidden="false" customHeight="false" outlineLevel="0" collapsed="false">
      <c r="A10197" s="6" t="n">
        <v>46159</v>
      </c>
      <c r="B10197" s="4" t="s">
        <v>13</v>
      </c>
      <c r="C10197" s="4" t="n">
        <v>10</v>
      </c>
      <c r="D10197" s="4" t="n">
        <v>4</v>
      </c>
      <c r="E10197" s="4" t="s">
        <v>3386</v>
      </c>
      <c r="F10197" s="4" t="n">
        <v>23</v>
      </c>
      <c r="G10197" s="4" t="n">
        <v>5</v>
      </c>
      <c r="H10197" s="4" t="n">
        <v>2</v>
      </c>
      <c r="I10197" s="4" t="str">
        <v>○</v>
      </c>
      <c r="J10197" s="4" t="n">
        <v>360</v>
      </c>
      <c r="K10197" s="4"/>
      <c r="L10197" s="4"/>
      <c r="M10197" s="5" t="s">
        <v>6166</v>
      </c>
    </row>
    <row r="10198" customFormat="false" ht="15.75" hidden="false" customHeight="false" outlineLevel="0" collapsed="false">
      <c r="A10198" s="6" t="n">
        <v>46159</v>
      </c>
      <c r="B10198" s="4" t="s">
        <v>13</v>
      </c>
      <c r="C10198" s="4" t="n">
        <v>10</v>
      </c>
      <c r="D10198" s="4" t="n">
        <v>5</v>
      </c>
      <c r="E10198" s="4" t="s">
        <v>6486</v>
      </c>
      <c r="F10198" s="4" t="n">
        <v>15</v>
      </c>
      <c r="G10198" s="4" t="n">
        <v>6</v>
      </c>
      <c r="H10198" s="4" t="n">
        <v>4</v>
      </c>
      <c r="I10198" s="4" t="str">
        <v>×</v>
      </c>
      <c r="J10198" s="4"/>
      <c r="K10198" s="4"/>
      <c r="L10198" s="4"/>
      <c r="M10198" s="5" t="s">
        <v>6166</v>
      </c>
    </row>
    <row r="10199" customFormat="false" ht="15.75" hidden="false" customHeight="false" outlineLevel="0" collapsed="false">
      <c r="A10199" s="6" t="n">
        <v>46159</v>
      </c>
      <c r="B10199" s="4" t="s">
        <v>13</v>
      </c>
      <c r="C10199" s="4" t="n">
        <v>10</v>
      </c>
      <c r="D10199" s="4" t="n">
        <v>6</v>
      </c>
      <c r="E10199" s="4" t="s">
        <v>6031</v>
      </c>
      <c r="F10199" s="4" t="n">
        <v>4</v>
      </c>
      <c r="G10199" s="4" t="n">
        <v>10</v>
      </c>
      <c r="H10199" s="4" t="n">
        <v>4</v>
      </c>
      <c r="I10199" s="4" t="str">
        <v>×</v>
      </c>
      <c r="J10199" s="4"/>
      <c r="K10199" s="4"/>
      <c r="L10199" s="4"/>
      <c r="M10199" s="5" t="s">
        <v>6166</v>
      </c>
    </row>
    <row r="10200" customFormat="false" ht="15.75" hidden="false" customHeight="false" outlineLevel="0" collapsed="false">
      <c r="A10200" s="6" t="n">
        <v>46159</v>
      </c>
      <c r="B10200" s="4" t="s">
        <v>13</v>
      </c>
      <c r="C10200" s="4" t="n">
        <v>10</v>
      </c>
      <c r="D10200" s="4" t="n">
        <v>7</v>
      </c>
      <c r="E10200" s="4" t="s">
        <v>3093</v>
      </c>
      <c r="F10200" s="4" t="n">
        <v>13</v>
      </c>
      <c r="G10200" s="4" t="n">
        <v>7</v>
      </c>
      <c r="H10200" s="4" t="n">
        <v>4</v>
      </c>
      <c r="I10200" s="4" t="str">
        <v>×</v>
      </c>
      <c r="J10200" s="4"/>
      <c r="K10200" s="4"/>
      <c r="L10200" s="4"/>
      <c r="M10200" s="5" t="s">
        <v>6166</v>
      </c>
    </row>
    <row r="10201" customFormat="false" ht="15.75" hidden="false" customHeight="false" outlineLevel="0" collapsed="false">
      <c r="A10201" s="6" t="n">
        <v>46159</v>
      </c>
      <c r="B10201" s="4" t="s">
        <v>13</v>
      </c>
      <c r="C10201" s="4" t="n">
        <v>10</v>
      </c>
      <c r="D10201" s="4" t="n">
        <v>8</v>
      </c>
      <c r="E10201" s="4" t="s">
        <v>1671</v>
      </c>
      <c r="F10201" s="4" t="n">
        <v>2</v>
      </c>
      <c r="G10201" s="4" t="n">
        <v>12</v>
      </c>
      <c r="H10201" s="4" t="n">
        <v>4</v>
      </c>
      <c r="I10201" s="4" t="str">
        <v>×</v>
      </c>
      <c r="J10201" s="4"/>
      <c r="K10201" s="4"/>
      <c r="L10201" s="4"/>
      <c r="M10201" s="5" t="s">
        <v>6166</v>
      </c>
    </row>
    <row r="10202" customFormat="false" ht="15.75" hidden="false" customHeight="false" outlineLevel="0" collapsed="false">
      <c r="A10202" s="6" t="n">
        <v>46159</v>
      </c>
      <c r="B10202" s="4" t="s">
        <v>13</v>
      </c>
      <c r="C10202" s="4" t="n">
        <v>10</v>
      </c>
      <c r="D10202" s="4" t="n">
        <v>9</v>
      </c>
      <c r="E10202" s="4" t="s">
        <v>3387</v>
      </c>
      <c r="F10202" s="4" t="n">
        <v>29</v>
      </c>
      <c r="G10202" s="4" t="n">
        <v>4</v>
      </c>
      <c r="H10202" s="4" t="n">
        <v>4</v>
      </c>
      <c r="I10202" s="4" t="str">
        <v>×</v>
      </c>
      <c r="J10202" s="4"/>
      <c r="K10202" s="4"/>
      <c r="L10202" s="4"/>
      <c r="M10202" s="5" t="s">
        <v>6166</v>
      </c>
    </row>
    <row r="10203" customFormat="false" ht="15.75" hidden="false" customHeight="false" outlineLevel="0" collapsed="false">
      <c r="A10203" s="6" t="n">
        <v>46159</v>
      </c>
      <c r="B10203" s="4" t="s">
        <v>13</v>
      </c>
      <c r="C10203" s="4" t="n">
        <v>10</v>
      </c>
      <c r="D10203" s="4" t="n">
        <v>10</v>
      </c>
      <c r="E10203" s="4" t="s">
        <v>1512</v>
      </c>
      <c r="F10203" s="4" t="n">
        <v>10</v>
      </c>
      <c r="G10203" s="4" t="n">
        <v>8</v>
      </c>
      <c r="H10203" s="4" t="n">
        <v>4</v>
      </c>
      <c r="I10203" s="4" t="str">
        <v>×</v>
      </c>
      <c r="J10203" s="4"/>
      <c r="K10203" s="4"/>
      <c r="L10203" s="4"/>
      <c r="M10203" s="5" t="s">
        <v>6166</v>
      </c>
    </row>
    <row r="10204" customFormat="false" ht="15.75" hidden="false" customHeight="false" outlineLevel="0" collapsed="false">
      <c r="A10204" s="6" t="n">
        <v>46159</v>
      </c>
      <c r="B10204" s="4" t="s">
        <v>13</v>
      </c>
      <c r="C10204" s="4" t="n">
        <v>10</v>
      </c>
      <c r="D10204" s="4" t="n">
        <v>11</v>
      </c>
      <c r="E10204" s="4" t="s">
        <v>5049</v>
      </c>
      <c r="F10204" s="4" t="n">
        <v>8</v>
      </c>
      <c r="G10204" s="4" t="n">
        <v>9</v>
      </c>
      <c r="H10204" s="4" t="n">
        <v>4</v>
      </c>
      <c r="I10204" s="4" t="str">
        <v>×</v>
      </c>
      <c r="J10204" s="4"/>
      <c r="K10204" s="4"/>
      <c r="L10204" s="4"/>
      <c r="M10204" s="5" t="s">
        <v>6166</v>
      </c>
    </row>
    <row r="10205" customFormat="false" ht="15.75" hidden="false" customHeight="false" outlineLevel="0" collapsed="false">
      <c r="A10205" s="6" t="n">
        <v>46159</v>
      </c>
      <c r="B10205" s="4" t="s">
        <v>13</v>
      </c>
      <c r="C10205" s="4" t="n">
        <v>10</v>
      </c>
      <c r="D10205" s="4" t="n">
        <v>12</v>
      </c>
      <c r="E10205" s="4" t="s">
        <v>6487</v>
      </c>
      <c r="F10205" s="4" t="n">
        <v>3</v>
      </c>
      <c r="G10205" s="4" t="n">
        <v>11</v>
      </c>
      <c r="H10205" s="4" t="n">
        <v>4</v>
      </c>
      <c r="I10205" s="4" t="str">
        <v>×</v>
      </c>
      <c r="J10205" s="4"/>
      <c r="K10205" s="4"/>
      <c r="L10205" s="4"/>
      <c r="M10205" s="5" t="s">
        <v>6166</v>
      </c>
    </row>
    <row r="10206" customFormat="false" ht="15.75" hidden="false" customHeight="false" outlineLevel="0" collapsed="false">
      <c r="A10206" s="6" t="n">
        <v>46159</v>
      </c>
      <c r="B10206" s="4" t="s">
        <v>13</v>
      </c>
      <c r="C10206" s="4" t="n">
        <v>10</v>
      </c>
      <c r="D10206" s="4" t="n">
        <v>13</v>
      </c>
      <c r="E10206" s="4" t="s">
        <v>6488</v>
      </c>
      <c r="F10206" s="4" t="n">
        <v>29</v>
      </c>
      <c r="G10206" s="4" t="n">
        <v>4</v>
      </c>
      <c r="H10206" s="4"/>
      <c r="I10206" s="4" t="str">
        <v/>
      </c>
      <c r="J10206" s="4"/>
      <c r="K10206" s="4"/>
      <c r="L10206" s="4"/>
      <c r="M10206" s="5" t="s">
        <v>6166</v>
      </c>
    </row>
    <row r="10207" customFormat="false" ht="15.75" hidden="false" customHeight="false" outlineLevel="0" collapsed="false">
      <c r="A10207" s="6" t="n">
        <v>46159</v>
      </c>
      <c r="B10207" s="4" t="s">
        <v>13</v>
      </c>
      <c r="C10207" s="4" t="n">
        <v>10</v>
      </c>
      <c r="D10207" s="4" t="n">
        <v>14</v>
      </c>
      <c r="E10207" s="4" t="s">
        <v>4345</v>
      </c>
      <c r="F10207" s="4" t="n">
        <v>56</v>
      </c>
      <c r="G10207" s="4" t="n">
        <v>1</v>
      </c>
      <c r="H10207" s="4" t="n">
        <v>1</v>
      </c>
      <c r="I10207" s="4" t="str">
        <v>○</v>
      </c>
      <c r="J10207" s="4" t="n">
        <v>130</v>
      </c>
      <c r="K10207" s="4"/>
      <c r="L10207" s="4"/>
      <c r="M10207" s="5" t="s">
        <v>6166</v>
      </c>
    </row>
    <row r="10208" customFormat="false" ht="15.75" hidden="false" customHeight="false" outlineLevel="0" collapsed="false">
      <c r="A10208" s="6" t="n">
        <v>46159</v>
      </c>
      <c r="B10208" s="4" t="s">
        <v>13</v>
      </c>
      <c r="C10208" s="4" t="n">
        <v>10</v>
      </c>
      <c r="D10208" s="4" t="n">
        <v>15</v>
      </c>
      <c r="E10208" s="4" t="s">
        <v>6489</v>
      </c>
      <c r="F10208" s="4" t="n">
        <v>34</v>
      </c>
      <c r="G10208" s="4" t="n">
        <v>3</v>
      </c>
      <c r="H10208" s="4" t="n">
        <v>4</v>
      </c>
      <c r="I10208" s="4" t="str">
        <v>×</v>
      </c>
      <c r="J10208" s="4"/>
      <c r="K10208" s="4"/>
      <c r="L10208" s="4"/>
      <c r="M10208" s="5" t="s">
        <v>6166</v>
      </c>
    </row>
    <row r="10209" customFormat="false" ht="15.75" hidden="false" customHeight="false" outlineLevel="0" collapsed="false">
      <c r="A10209" s="6" t="n">
        <v>46159</v>
      </c>
      <c r="B10209" s="4" t="s">
        <v>13</v>
      </c>
      <c r="C10209" s="4" t="n">
        <v>10</v>
      </c>
      <c r="D10209" s="4" t="n">
        <v>16</v>
      </c>
      <c r="E10209" s="4" t="s">
        <v>4738</v>
      </c>
      <c r="F10209" s="4" t="n">
        <v>4</v>
      </c>
      <c r="G10209" s="4" t="n">
        <v>10</v>
      </c>
      <c r="H10209" s="4" t="n">
        <v>4</v>
      </c>
      <c r="I10209" s="4" t="str">
        <v>×</v>
      </c>
      <c r="J10209" s="4"/>
      <c r="K10209" s="4"/>
      <c r="L10209" s="4"/>
      <c r="M10209" s="5" t="s">
        <v>6166</v>
      </c>
    </row>
    <row r="10210" customFormat="false" ht="15.75" hidden="false" customHeight="false" outlineLevel="0" collapsed="false">
      <c r="A10210" s="6" t="n">
        <v>46159</v>
      </c>
      <c r="B10210" s="4" t="s">
        <v>13</v>
      </c>
      <c r="C10210" s="4" t="n">
        <v>11</v>
      </c>
      <c r="D10210" s="4" t="n">
        <v>1</v>
      </c>
      <c r="E10210" s="4" t="s">
        <v>6490</v>
      </c>
      <c r="F10210" s="4" t="n">
        <v>8</v>
      </c>
      <c r="G10210" s="4" t="n">
        <v>9</v>
      </c>
      <c r="H10210" s="4" t="n">
        <v>4</v>
      </c>
      <c r="I10210" s="4" t="str">
        <v>×</v>
      </c>
      <c r="J10210" s="4"/>
      <c r="K10210" s="4"/>
      <c r="L10210" s="4"/>
      <c r="M10210" s="5" t="s">
        <v>6166</v>
      </c>
    </row>
    <row r="10211" customFormat="false" ht="15.75" hidden="false" customHeight="false" outlineLevel="0" collapsed="false">
      <c r="A10211" s="6" t="n">
        <v>46159</v>
      </c>
      <c r="B10211" s="4" t="s">
        <v>13</v>
      </c>
      <c r="C10211" s="4" t="n">
        <v>11</v>
      </c>
      <c r="D10211" s="4" t="n">
        <v>2</v>
      </c>
      <c r="E10211" s="4" t="s">
        <v>5212</v>
      </c>
      <c r="F10211" s="4" t="n">
        <v>4</v>
      </c>
      <c r="G10211" s="4" t="n">
        <v>11</v>
      </c>
      <c r="H10211" s="4" t="n">
        <v>4</v>
      </c>
      <c r="I10211" s="4" t="str">
        <v>×</v>
      </c>
      <c r="J10211" s="4"/>
      <c r="K10211" s="4"/>
      <c r="L10211" s="4"/>
      <c r="M10211" s="5" t="s">
        <v>6166</v>
      </c>
    </row>
    <row r="10212" customFormat="false" ht="15.75" hidden="false" customHeight="false" outlineLevel="0" collapsed="false">
      <c r="A10212" s="6" t="n">
        <v>46159</v>
      </c>
      <c r="B10212" s="4" t="s">
        <v>13</v>
      </c>
      <c r="C10212" s="4" t="n">
        <v>11</v>
      </c>
      <c r="D10212" s="4" t="n">
        <v>3</v>
      </c>
      <c r="E10212" s="4" t="s">
        <v>5295</v>
      </c>
      <c r="F10212" s="4" t="n">
        <v>37</v>
      </c>
      <c r="G10212" s="4" t="n">
        <v>3</v>
      </c>
      <c r="H10212" s="4" t="n">
        <v>4</v>
      </c>
      <c r="I10212" s="4" t="str">
        <v>×</v>
      </c>
      <c r="J10212" s="4"/>
      <c r="K10212" s="4"/>
      <c r="L10212" s="4"/>
      <c r="M10212" s="5" t="s">
        <v>6166</v>
      </c>
    </row>
    <row r="10213" customFormat="false" ht="15.75" hidden="false" customHeight="false" outlineLevel="0" collapsed="false">
      <c r="A10213" s="6" t="n">
        <v>46159</v>
      </c>
      <c r="B10213" s="4" t="s">
        <v>13</v>
      </c>
      <c r="C10213" s="4" t="n">
        <v>11</v>
      </c>
      <c r="D10213" s="4" t="n">
        <v>4</v>
      </c>
      <c r="E10213" s="4" t="s">
        <v>6491</v>
      </c>
      <c r="F10213" s="4" t="n">
        <v>29</v>
      </c>
      <c r="G10213" s="4" t="n">
        <v>4</v>
      </c>
      <c r="H10213" s="4"/>
      <c r="I10213" s="4" t="str">
        <v/>
      </c>
      <c r="J10213" s="4"/>
      <c r="K10213" s="4"/>
      <c r="L10213" s="4"/>
      <c r="M10213" s="5" t="s">
        <v>6166</v>
      </c>
    </row>
    <row r="10214" customFormat="false" ht="15.75" hidden="false" customHeight="false" outlineLevel="0" collapsed="false">
      <c r="A10214" s="6" t="n">
        <v>46159</v>
      </c>
      <c r="B10214" s="4" t="s">
        <v>13</v>
      </c>
      <c r="C10214" s="4" t="n">
        <v>11</v>
      </c>
      <c r="D10214" s="4" t="n">
        <v>5</v>
      </c>
      <c r="E10214" s="4" t="s">
        <v>4202</v>
      </c>
      <c r="F10214" s="4" t="n">
        <v>4</v>
      </c>
      <c r="G10214" s="4" t="n">
        <v>11</v>
      </c>
      <c r="H10214" s="4" t="n">
        <v>4</v>
      </c>
      <c r="I10214" s="4" t="str">
        <v>×</v>
      </c>
      <c r="J10214" s="4"/>
      <c r="K10214" s="4"/>
      <c r="L10214" s="4"/>
      <c r="M10214" s="5" t="s">
        <v>6166</v>
      </c>
    </row>
    <row r="10215" customFormat="false" ht="15.75" hidden="false" customHeight="false" outlineLevel="0" collapsed="false">
      <c r="A10215" s="6" t="n">
        <v>46159</v>
      </c>
      <c r="B10215" s="4" t="s">
        <v>13</v>
      </c>
      <c r="C10215" s="4" t="n">
        <v>11</v>
      </c>
      <c r="D10215" s="4" t="n">
        <v>6</v>
      </c>
      <c r="E10215" s="4" t="s">
        <v>6492</v>
      </c>
      <c r="F10215" s="4" t="n">
        <v>39</v>
      </c>
      <c r="G10215" s="4" t="n">
        <v>2</v>
      </c>
      <c r="H10215" s="4" t="n">
        <v>1</v>
      </c>
      <c r="I10215" s="4" t="str">
        <v>○</v>
      </c>
      <c r="J10215" s="4" t="n">
        <v>130</v>
      </c>
      <c r="K10215" s="4"/>
      <c r="L10215" s="4"/>
      <c r="M10215" s="5" t="s">
        <v>6166</v>
      </c>
    </row>
    <row r="10216" customFormat="false" ht="15.75" hidden="false" customHeight="false" outlineLevel="0" collapsed="false">
      <c r="A10216" s="6" t="n">
        <v>46159</v>
      </c>
      <c r="B10216" s="4" t="s">
        <v>13</v>
      </c>
      <c r="C10216" s="4" t="n">
        <v>11</v>
      </c>
      <c r="D10216" s="4" t="n">
        <v>7</v>
      </c>
      <c r="E10216" s="4" t="s">
        <v>5293</v>
      </c>
      <c r="F10216" s="4" t="n">
        <v>41</v>
      </c>
      <c r="G10216" s="4" t="n">
        <v>1</v>
      </c>
      <c r="H10216" s="4" t="n">
        <v>4</v>
      </c>
      <c r="I10216" s="4" t="str">
        <v>×</v>
      </c>
      <c r="J10216" s="4"/>
      <c r="K10216" s="4"/>
      <c r="L10216" s="4"/>
      <c r="M10216" s="5" t="s">
        <v>6166</v>
      </c>
    </row>
    <row r="10217" customFormat="false" ht="15.75" hidden="false" customHeight="false" outlineLevel="0" collapsed="false">
      <c r="A10217" s="6" t="n">
        <v>46159</v>
      </c>
      <c r="B10217" s="4" t="s">
        <v>13</v>
      </c>
      <c r="C10217" s="4" t="n">
        <v>11</v>
      </c>
      <c r="D10217" s="4" t="n">
        <v>8</v>
      </c>
      <c r="E10217" s="4" t="s">
        <v>4656</v>
      </c>
      <c r="F10217" s="4" t="n">
        <v>41</v>
      </c>
      <c r="G10217" s="4" t="n">
        <v>1</v>
      </c>
      <c r="H10217" s="4" t="n">
        <v>4</v>
      </c>
      <c r="I10217" s="4" t="str">
        <v>×</v>
      </c>
      <c r="J10217" s="4"/>
      <c r="K10217" s="4"/>
      <c r="L10217" s="4"/>
      <c r="M10217" s="5" t="s">
        <v>6166</v>
      </c>
    </row>
    <row r="10218" customFormat="false" ht="15.75" hidden="false" customHeight="false" outlineLevel="0" collapsed="false">
      <c r="A10218" s="6" t="n">
        <v>46159</v>
      </c>
      <c r="B10218" s="4" t="s">
        <v>13</v>
      </c>
      <c r="C10218" s="4" t="n">
        <v>11</v>
      </c>
      <c r="D10218" s="4" t="n">
        <v>9</v>
      </c>
      <c r="E10218" s="4" t="s">
        <v>1062</v>
      </c>
      <c r="F10218" s="4" t="n">
        <v>3</v>
      </c>
      <c r="G10218" s="4" t="n">
        <v>12</v>
      </c>
      <c r="H10218" s="4" t="n">
        <v>4</v>
      </c>
      <c r="I10218" s="4" t="str">
        <v>×</v>
      </c>
      <c r="J10218" s="4"/>
      <c r="K10218" s="4"/>
      <c r="L10218" s="4"/>
      <c r="M10218" s="5" t="s">
        <v>6166</v>
      </c>
    </row>
    <row r="10219" customFormat="false" ht="15.75" hidden="false" customHeight="false" outlineLevel="0" collapsed="false">
      <c r="A10219" s="6" t="n">
        <v>46159</v>
      </c>
      <c r="B10219" s="4" t="s">
        <v>13</v>
      </c>
      <c r="C10219" s="4" t="n">
        <v>11</v>
      </c>
      <c r="D10219" s="4" t="n">
        <v>10</v>
      </c>
      <c r="E10219" s="4" t="s">
        <v>1068</v>
      </c>
      <c r="F10219" s="4" t="n">
        <v>6</v>
      </c>
      <c r="G10219" s="4" t="n">
        <v>10</v>
      </c>
      <c r="H10219" s="4" t="n">
        <v>4</v>
      </c>
      <c r="I10219" s="4" t="str">
        <v>×</v>
      </c>
      <c r="J10219" s="4"/>
      <c r="K10219" s="4"/>
      <c r="L10219" s="4"/>
      <c r="M10219" s="5" t="s">
        <v>6166</v>
      </c>
    </row>
    <row r="10220" customFormat="false" ht="15.75" hidden="false" customHeight="false" outlineLevel="0" collapsed="false">
      <c r="A10220" s="6" t="n">
        <v>46159</v>
      </c>
      <c r="B10220" s="4" t="s">
        <v>13</v>
      </c>
      <c r="C10220" s="4" t="n">
        <v>11</v>
      </c>
      <c r="D10220" s="4" t="n">
        <v>11</v>
      </c>
      <c r="E10220" s="4" t="s">
        <v>6493</v>
      </c>
      <c r="F10220" s="4" t="n">
        <v>15</v>
      </c>
      <c r="G10220" s="4" t="n">
        <v>7</v>
      </c>
      <c r="H10220" s="4" t="n">
        <v>4</v>
      </c>
      <c r="I10220" s="4" t="str">
        <v>×</v>
      </c>
      <c r="J10220" s="4"/>
      <c r="K10220" s="4"/>
      <c r="L10220" s="4"/>
      <c r="M10220" s="5" t="s">
        <v>6166</v>
      </c>
    </row>
    <row r="10221" customFormat="false" ht="15.75" hidden="false" customHeight="false" outlineLevel="0" collapsed="false">
      <c r="A10221" s="6" t="n">
        <v>46159</v>
      </c>
      <c r="B10221" s="4" t="s">
        <v>13</v>
      </c>
      <c r="C10221" s="4" t="n">
        <v>11</v>
      </c>
      <c r="D10221" s="4" t="n">
        <v>12</v>
      </c>
      <c r="E10221" s="4" t="s">
        <v>6494</v>
      </c>
      <c r="F10221" s="4" t="n">
        <v>4</v>
      </c>
      <c r="G10221" s="4" t="n">
        <v>11</v>
      </c>
      <c r="H10221" s="4" t="n">
        <v>4</v>
      </c>
      <c r="I10221" s="4" t="str">
        <v>×</v>
      </c>
      <c r="J10221" s="4"/>
      <c r="K10221" s="4"/>
      <c r="L10221" s="4"/>
      <c r="M10221" s="5" t="s">
        <v>6166</v>
      </c>
    </row>
    <row r="10222" customFormat="false" ht="15.75" hidden="false" customHeight="false" outlineLevel="0" collapsed="false">
      <c r="A10222" s="6" t="n">
        <v>46159</v>
      </c>
      <c r="B10222" s="4" t="s">
        <v>13</v>
      </c>
      <c r="C10222" s="4" t="n">
        <v>11</v>
      </c>
      <c r="D10222" s="4" t="n">
        <v>13</v>
      </c>
      <c r="E10222" s="4" t="s">
        <v>1064</v>
      </c>
      <c r="F10222" s="4" t="n">
        <v>10</v>
      </c>
      <c r="G10222" s="4" t="n">
        <v>8</v>
      </c>
      <c r="H10222" s="4" t="n">
        <v>3</v>
      </c>
      <c r="I10222" s="4" t="str">
        <v>○</v>
      </c>
      <c r="J10222" s="4" t="n">
        <v>520</v>
      </c>
      <c r="K10222" s="4"/>
      <c r="L10222" s="4"/>
      <c r="M10222" s="5" t="s">
        <v>6166</v>
      </c>
    </row>
    <row r="10223" customFormat="false" ht="15.75" hidden="false" customHeight="false" outlineLevel="0" collapsed="false">
      <c r="A10223" s="6" t="n">
        <v>46159</v>
      </c>
      <c r="B10223" s="4" t="s">
        <v>13</v>
      </c>
      <c r="C10223" s="4" t="n">
        <v>11</v>
      </c>
      <c r="D10223" s="4" t="n">
        <v>14</v>
      </c>
      <c r="E10223" s="4" t="s">
        <v>3641</v>
      </c>
      <c r="F10223" s="4" t="n">
        <v>25</v>
      </c>
      <c r="G10223" s="4" t="n">
        <v>5</v>
      </c>
      <c r="H10223" s="4" t="n">
        <v>4</v>
      </c>
      <c r="I10223" s="4" t="str">
        <v>×</v>
      </c>
      <c r="J10223" s="4"/>
      <c r="K10223" s="4"/>
      <c r="L10223" s="4"/>
      <c r="M10223" s="5" t="s">
        <v>6166</v>
      </c>
    </row>
    <row r="10224" customFormat="false" ht="15.75" hidden="false" customHeight="false" outlineLevel="0" collapsed="false">
      <c r="A10224" s="6" t="n">
        <v>46159</v>
      </c>
      <c r="B10224" s="4" t="s">
        <v>13</v>
      </c>
      <c r="C10224" s="4" t="n">
        <v>11</v>
      </c>
      <c r="D10224" s="4" t="n">
        <v>15</v>
      </c>
      <c r="E10224" s="4" t="s">
        <v>6047</v>
      </c>
      <c r="F10224" s="4" t="n">
        <v>20</v>
      </c>
      <c r="G10224" s="4" t="n">
        <v>6</v>
      </c>
      <c r="H10224" s="4" t="n">
        <v>2</v>
      </c>
      <c r="I10224" s="4" t="str">
        <v>○</v>
      </c>
      <c r="J10224" s="4" t="n">
        <v>640</v>
      </c>
      <c r="K10224" s="4"/>
      <c r="L10224" s="4"/>
      <c r="M10224" s="5" t="s">
        <v>6166</v>
      </c>
    </row>
    <row r="10225" customFormat="false" ht="15.75" hidden="false" customHeight="false" outlineLevel="0" collapsed="false">
      <c r="A10225" s="6" t="n">
        <v>46159</v>
      </c>
      <c r="B10225" s="4" t="s">
        <v>13</v>
      </c>
      <c r="C10225" s="4" t="n">
        <v>11</v>
      </c>
      <c r="D10225" s="4" t="n">
        <v>16</v>
      </c>
      <c r="E10225" s="4" t="s">
        <v>1071</v>
      </c>
      <c r="F10225" s="4" t="n">
        <v>15</v>
      </c>
      <c r="G10225" s="4" t="n">
        <v>7</v>
      </c>
      <c r="H10225" s="4" t="n">
        <v>4</v>
      </c>
      <c r="I10225" s="4" t="str">
        <v>×</v>
      </c>
      <c r="J10225" s="4"/>
      <c r="K10225" s="4"/>
      <c r="L10225" s="4"/>
      <c r="M10225" s="5" t="s">
        <v>6166</v>
      </c>
    </row>
    <row r="10226" customFormat="false" ht="15.75" hidden="false" customHeight="false" outlineLevel="0" collapsed="false">
      <c r="A10226" s="6" t="n">
        <v>46159</v>
      </c>
      <c r="B10226" s="4" t="s">
        <v>13</v>
      </c>
      <c r="C10226" s="4" t="n">
        <v>12</v>
      </c>
      <c r="D10226" s="4" t="n">
        <v>1</v>
      </c>
      <c r="E10226" s="4" t="s">
        <v>6495</v>
      </c>
      <c r="F10226" s="4" t="n">
        <v>39</v>
      </c>
      <c r="G10226" s="4" t="n">
        <v>4</v>
      </c>
      <c r="H10226" s="4" t="n">
        <v>4</v>
      </c>
      <c r="I10226" s="4" t="str">
        <v>×</v>
      </c>
      <c r="J10226" s="4"/>
      <c r="K10226" s="4"/>
      <c r="L10226" s="4"/>
      <c r="M10226" s="5" t="s">
        <v>6166</v>
      </c>
    </row>
    <row r="10227" customFormat="false" ht="15.75" hidden="false" customHeight="false" outlineLevel="0" collapsed="false">
      <c r="A10227" s="6" t="n">
        <v>46159</v>
      </c>
      <c r="B10227" s="4" t="s">
        <v>13</v>
      </c>
      <c r="C10227" s="4" t="n">
        <v>12</v>
      </c>
      <c r="D10227" s="4" t="n">
        <v>2</v>
      </c>
      <c r="E10227" s="4" t="s">
        <v>4084</v>
      </c>
      <c r="F10227" s="4" t="n">
        <v>13</v>
      </c>
      <c r="G10227" s="4" t="n">
        <v>7</v>
      </c>
      <c r="H10227" s="4" t="n">
        <v>4</v>
      </c>
      <c r="I10227" s="4" t="str">
        <v>×</v>
      </c>
      <c r="J10227" s="4"/>
      <c r="K10227" s="4"/>
      <c r="L10227" s="4"/>
      <c r="M10227" s="5" t="s">
        <v>6166</v>
      </c>
    </row>
    <row r="10228" customFormat="false" ht="15.75" hidden="false" customHeight="false" outlineLevel="0" collapsed="false">
      <c r="A10228" s="6" t="n">
        <v>46159</v>
      </c>
      <c r="B10228" s="4" t="s">
        <v>13</v>
      </c>
      <c r="C10228" s="4" t="n">
        <v>12</v>
      </c>
      <c r="D10228" s="4" t="n">
        <v>3</v>
      </c>
      <c r="E10228" s="4" t="s">
        <v>2620</v>
      </c>
      <c r="F10228" s="4" t="n">
        <v>20</v>
      </c>
      <c r="G10228" s="4" t="n">
        <v>6</v>
      </c>
      <c r="H10228" s="4" t="n">
        <v>4</v>
      </c>
      <c r="I10228" s="4" t="str">
        <v>×</v>
      </c>
      <c r="J10228" s="4"/>
      <c r="K10228" s="4"/>
      <c r="L10228" s="4"/>
      <c r="M10228" s="5" t="s">
        <v>6166</v>
      </c>
    </row>
    <row r="10229" customFormat="false" ht="15.75" hidden="false" customHeight="false" outlineLevel="0" collapsed="false">
      <c r="A10229" s="6" t="n">
        <v>46159</v>
      </c>
      <c r="B10229" s="4" t="s">
        <v>13</v>
      </c>
      <c r="C10229" s="4" t="n">
        <v>12</v>
      </c>
      <c r="D10229" s="4" t="n">
        <v>4</v>
      </c>
      <c r="E10229" s="4" t="s">
        <v>6496</v>
      </c>
      <c r="F10229" s="4" t="n">
        <v>41</v>
      </c>
      <c r="G10229" s="4" t="n">
        <v>3</v>
      </c>
      <c r="H10229" s="4" t="n">
        <v>4</v>
      </c>
      <c r="I10229" s="4" t="str">
        <v>×</v>
      </c>
      <c r="J10229" s="4"/>
      <c r="K10229" s="4"/>
      <c r="L10229" s="4"/>
      <c r="M10229" s="5" t="s">
        <v>6166</v>
      </c>
    </row>
    <row r="10230" customFormat="false" ht="15.75" hidden="false" customHeight="false" outlineLevel="0" collapsed="false">
      <c r="A10230" s="6" t="n">
        <v>46159</v>
      </c>
      <c r="B10230" s="4" t="s">
        <v>13</v>
      </c>
      <c r="C10230" s="4" t="n">
        <v>12</v>
      </c>
      <c r="D10230" s="4" t="n">
        <v>5</v>
      </c>
      <c r="E10230" s="4" t="s">
        <v>6497</v>
      </c>
      <c r="F10230" s="4" t="n">
        <v>44</v>
      </c>
      <c r="G10230" s="4" t="n">
        <v>2</v>
      </c>
      <c r="H10230" s="4" t="n">
        <v>4</v>
      </c>
      <c r="I10230" s="4" t="str">
        <v>×</v>
      </c>
      <c r="J10230" s="4"/>
      <c r="K10230" s="4"/>
      <c r="L10230" s="4"/>
      <c r="M10230" s="5" t="s">
        <v>6166</v>
      </c>
    </row>
    <row r="10231" customFormat="false" ht="15.75" hidden="false" customHeight="false" outlineLevel="0" collapsed="false">
      <c r="A10231" s="6" t="n">
        <v>46159</v>
      </c>
      <c r="B10231" s="4" t="s">
        <v>13</v>
      </c>
      <c r="C10231" s="4" t="n">
        <v>12</v>
      </c>
      <c r="D10231" s="4" t="n">
        <v>6</v>
      </c>
      <c r="E10231" s="4" t="s">
        <v>4563</v>
      </c>
      <c r="F10231" s="4" t="n">
        <v>10</v>
      </c>
      <c r="G10231" s="4" t="n">
        <v>8</v>
      </c>
      <c r="H10231" s="4" t="n">
        <v>4</v>
      </c>
      <c r="I10231" s="4" t="str">
        <v>×</v>
      </c>
      <c r="J10231" s="4"/>
      <c r="K10231" s="4"/>
      <c r="L10231" s="4"/>
      <c r="M10231" s="5" t="s">
        <v>6166</v>
      </c>
    </row>
    <row r="10232" customFormat="false" ht="15.75" hidden="false" customHeight="false" outlineLevel="0" collapsed="false">
      <c r="A10232" s="6" t="n">
        <v>46159</v>
      </c>
      <c r="B10232" s="4" t="s">
        <v>13</v>
      </c>
      <c r="C10232" s="4" t="n">
        <v>12</v>
      </c>
      <c r="D10232" s="4" t="n">
        <v>7</v>
      </c>
      <c r="E10232" s="4" t="s">
        <v>6498</v>
      </c>
      <c r="F10232" s="4" t="n">
        <v>50</v>
      </c>
      <c r="G10232" s="4" t="n">
        <v>1</v>
      </c>
      <c r="H10232" s="4" t="n">
        <v>3</v>
      </c>
      <c r="I10232" s="4" t="str">
        <v>○</v>
      </c>
      <c r="J10232" s="4" t="n">
        <v>200</v>
      </c>
      <c r="K10232" s="4"/>
      <c r="L10232" s="4"/>
      <c r="M10232" s="5" t="s">
        <v>6166</v>
      </c>
    </row>
    <row r="10233" customFormat="false" ht="15.75" hidden="false" customHeight="false" outlineLevel="0" collapsed="false">
      <c r="A10233" s="6" t="n">
        <v>46159</v>
      </c>
      <c r="B10233" s="4" t="s">
        <v>13</v>
      </c>
      <c r="C10233" s="4" t="n">
        <v>12</v>
      </c>
      <c r="D10233" s="4" t="n">
        <v>8</v>
      </c>
      <c r="E10233" s="4" t="s">
        <v>1075</v>
      </c>
      <c r="F10233" s="4" t="n">
        <v>3</v>
      </c>
      <c r="G10233" s="4" t="n">
        <v>10</v>
      </c>
      <c r="H10233" s="4" t="n">
        <v>4</v>
      </c>
      <c r="I10233" s="4" t="str">
        <v>×</v>
      </c>
      <c r="J10233" s="4"/>
      <c r="K10233" s="4"/>
      <c r="L10233" s="4"/>
      <c r="M10233" s="5" t="s">
        <v>6166</v>
      </c>
    </row>
    <row r="10234" customFormat="false" ht="15.75" hidden="false" customHeight="false" outlineLevel="0" collapsed="false">
      <c r="A10234" s="6" t="n">
        <v>46159</v>
      </c>
      <c r="B10234" s="4" t="s">
        <v>13</v>
      </c>
      <c r="C10234" s="4" t="n">
        <v>12</v>
      </c>
      <c r="D10234" s="4" t="n">
        <v>9</v>
      </c>
      <c r="E10234" s="4" t="s">
        <v>6499</v>
      </c>
      <c r="F10234" s="4" t="n">
        <v>25</v>
      </c>
      <c r="G10234" s="4" t="n">
        <v>5</v>
      </c>
      <c r="H10234" s="4" t="n">
        <v>2</v>
      </c>
      <c r="I10234" s="4" t="str">
        <v>○</v>
      </c>
      <c r="J10234" s="4" t="n">
        <v>390</v>
      </c>
      <c r="K10234" s="4"/>
      <c r="L10234" s="4"/>
      <c r="M10234" s="5" t="s">
        <v>6166</v>
      </c>
    </row>
    <row r="10235" customFormat="false" ht="15.75" hidden="false" customHeight="false" outlineLevel="0" collapsed="false">
      <c r="A10235" s="6" t="n">
        <v>46159</v>
      </c>
      <c r="B10235" s="4" t="s">
        <v>13</v>
      </c>
      <c r="C10235" s="4" t="n">
        <v>12</v>
      </c>
      <c r="D10235" s="4" t="n">
        <v>10</v>
      </c>
      <c r="E10235" s="4" t="s">
        <v>2424</v>
      </c>
      <c r="F10235" s="4" t="n">
        <v>39</v>
      </c>
      <c r="G10235" s="4" t="n">
        <v>4</v>
      </c>
      <c r="H10235" s="4" t="n">
        <v>1</v>
      </c>
      <c r="I10235" s="4" t="str">
        <v>○</v>
      </c>
      <c r="J10235" s="4" t="n">
        <v>170</v>
      </c>
      <c r="K10235" s="4"/>
      <c r="L10235" s="4"/>
      <c r="M10235" s="5" t="s">
        <v>6166</v>
      </c>
    </row>
    <row r="10236" customFormat="false" ht="15.75" hidden="false" customHeight="false" outlineLevel="0" collapsed="false">
      <c r="A10236" s="6" t="n">
        <v>46159</v>
      </c>
      <c r="B10236" s="4" t="s">
        <v>13</v>
      </c>
      <c r="C10236" s="4" t="n">
        <v>12</v>
      </c>
      <c r="D10236" s="4" t="n">
        <v>11</v>
      </c>
      <c r="E10236" s="4" t="s">
        <v>6500</v>
      </c>
      <c r="F10236" s="4" t="n">
        <v>4</v>
      </c>
      <c r="G10236" s="4" t="n">
        <v>9</v>
      </c>
      <c r="H10236" s="4" t="n">
        <v>4</v>
      </c>
      <c r="I10236" s="4" t="str">
        <v>×</v>
      </c>
      <c r="J10236" s="4"/>
      <c r="K10236" s="4"/>
      <c r="L10236" s="4"/>
      <c r="M10236" s="5" t="s">
        <v>6166</v>
      </c>
    </row>
    <row r="10237" customFormat="false" ht="15.75" hidden="false" customHeight="false" outlineLevel="0" collapsed="false">
      <c r="A10237" s="6" t="n">
        <v>46193</v>
      </c>
      <c r="B10237" s="4" t="s">
        <v>1237</v>
      </c>
      <c r="C10237" s="4" t="n">
        <v>1</v>
      </c>
      <c r="D10237" s="4" t="n">
        <v>1</v>
      </c>
      <c r="E10237" s="4"/>
      <c r="F10237" s="4" t="n">
        <v>29</v>
      </c>
      <c r="G10237" s="4" t="n">
        <v>4</v>
      </c>
      <c r="H10237" s="4" t="n">
        <v>4</v>
      </c>
      <c r="I10237" s="4" t="str">
        <v>×</v>
      </c>
      <c r="J10237" s="4"/>
      <c r="K10237" s="4"/>
      <c r="L10237" s="4"/>
      <c r="M10237" s="5" t="s">
        <v>6501</v>
      </c>
    </row>
    <row r="10238" customFormat="false" ht="15.75" hidden="false" customHeight="false" outlineLevel="0" collapsed="false">
      <c r="A10238" s="6" t="n">
        <v>46193</v>
      </c>
      <c r="B10238" s="4" t="s">
        <v>1237</v>
      </c>
      <c r="C10238" s="4" t="n">
        <v>1</v>
      </c>
      <c r="D10238" s="4" t="n">
        <v>2</v>
      </c>
      <c r="E10238" s="4"/>
      <c r="F10238" s="4" t="n">
        <v>8</v>
      </c>
      <c r="G10238" s="4" t="n">
        <v>9</v>
      </c>
      <c r="H10238" s="4" t="n">
        <v>4</v>
      </c>
      <c r="I10238" s="4" t="str">
        <v>×</v>
      </c>
      <c r="J10238" s="4"/>
      <c r="K10238" s="4"/>
      <c r="L10238" s="4"/>
      <c r="M10238" s="5" t="s">
        <v>6501</v>
      </c>
    </row>
    <row r="10239" customFormat="false" ht="15.75" hidden="false" customHeight="false" outlineLevel="0" collapsed="false">
      <c r="A10239" s="6" t="n">
        <v>46193</v>
      </c>
      <c r="B10239" s="4" t="s">
        <v>1237</v>
      </c>
      <c r="C10239" s="4" t="n">
        <v>1</v>
      </c>
      <c r="D10239" s="4" t="n">
        <v>3</v>
      </c>
      <c r="E10239" s="4"/>
      <c r="F10239" s="4" t="n">
        <v>17</v>
      </c>
      <c r="G10239" s="4" t="n">
        <v>5</v>
      </c>
      <c r="H10239" s="4" t="n">
        <v>4</v>
      </c>
      <c r="I10239" s="4" t="str">
        <v>×</v>
      </c>
      <c r="J10239" s="4"/>
      <c r="K10239" s="4"/>
      <c r="L10239" s="4"/>
      <c r="M10239" s="5" t="s">
        <v>6501</v>
      </c>
    </row>
    <row r="10240" customFormat="false" ht="15.75" hidden="false" customHeight="false" outlineLevel="0" collapsed="false">
      <c r="A10240" s="6" t="n">
        <v>46193</v>
      </c>
      <c r="B10240" s="4" t="s">
        <v>1237</v>
      </c>
      <c r="C10240" s="4" t="n">
        <v>1</v>
      </c>
      <c r="D10240" s="4" t="n">
        <v>4</v>
      </c>
      <c r="E10240" s="4"/>
      <c r="F10240" s="4" t="n">
        <v>66</v>
      </c>
      <c r="G10240" s="4" t="n">
        <v>1</v>
      </c>
      <c r="H10240" s="4" t="n">
        <v>4</v>
      </c>
      <c r="I10240" s="4" t="str">
        <v>×</v>
      </c>
      <c r="J10240" s="4"/>
      <c r="K10240" s="4"/>
      <c r="L10240" s="4"/>
      <c r="M10240" s="5" t="s">
        <v>6501</v>
      </c>
    </row>
    <row r="10241" customFormat="false" ht="15.75" hidden="false" customHeight="false" outlineLevel="0" collapsed="false">
      <c r="A10241" s="6" t="n">
        <v>46193</v>
      </c>
      <c r="B10241" s="4" t="s">
        <v>1237</v>
      </c>
      <c r="C10241" s="4" t="n">
        <v>1</v>
      </c>
      <c r="D10241" s="4" t="n">
        <v>5</v>
      </c>
      <c r="E10241" s="4"/>
      <c r="F10241" s="4" t="n">
        <v>15</v>
      </c>
      <c r="G10241" s="4" t="n">
        <v>6</v>
      </c>
      <c r="H10241" s="4" t="n">
        <v>4</v>
      </c>
      <c r="I10241" s="4" t="str">
        <v>×</v>
      </c>
      <c r="J10241" s="4"/>
      <c r="K10241" s="4"/>
      <c r="L10241" s="4"/>
      <c r="M10241" s="5" t="s">
        <v>6501</v>
      </c>
    </row>
    <row r="10242" customFormat="false" ht="15.75" hidden="false" customHeight="false" outlineLevel="0" collapsed="false">
      <c r="A10242" s="6" t="n">
        <v>46193</v>
      </c>
      <c r="B10242" s="4" t="s">
        <v>1237</v>
      </c>
      <c r="C10242" s="4" t="n">
        <v>1</v>
      </c>
      <c r="D10242" s="4" t="n">
        <v>6</v>
      </c>
      <c r="E10242" s="4"/>
      <c r="F10242" s="4" t="n">
        <v>17</v>
      </c>
      <c r="G10242" s="4" t="n">
        <v>5</v>
      </c>
      <c r="H10242" s="4" t="n">
        <v>4</v>
      </c>
      <c r="I10242" s="4" t="str">
        <v>×</v>
      </c>
      <c r="J10242" s="4"/>
      <c r="K10242" s="4"/>
      <c r="L10242" s="4"/>
      <c r="M10242" s="5" t="s">
        <v>6501</v>
      </c>
    </row>
    <row r="10243" customFormat="false" ht="15.75" hidden="false" customHeight="false" outlineLevel="0" collapsed="false">
      <c r="A10243" s="6" t="n">
        <v>46193</v>
      </c>
      <c r="B10243" s="4" t="s">
        <v>1237</v>
      </c>
      <c r="C10243" s="4" t="n">
        <v>1</v>
      </c>
      <c r="D10243" s="4" t="n">
        <v>7</v>
      </c>
      <c r="E10243" s="4"/>
      <c r="F10243" s="4" t="n">
        <v>4</v>
      </c>
      <c r="G10243" s="4" t="n">
        <v>11</v>
      </c>
      <c r="H10243" s="4" t="n">
        <v>4</v>
      </c>
      <c r="I10243" s="4" t="str">
        <v>×</v>
      </c>
      <c r="J10243" s="4"/>
      <c r="K10243" s="4"/>
      <c r="L10243" s="4"/>
      <c r="M10243" s="5" t="s">
        <v>6501</v>
      </c>
    </row>
    <row r="10244" customFormat="false" ht="15.75" hidden="false" customHeight="false" outlineLevel="0" collapsed="false">
      <c r="A10244" s="6" t="n">
        <v>46193</v>
      </c>
      <c r="B10244" s="4" t="s">
        <v>1237</v>
      </c>
      <c r="C10244" s="4" t="n">
        <v>1</v>
      </c>
      <c r="D10244" s="4" t="n">
        <v>8</v>
      </c>
      <c r="E10244" s="4"/>
      <c r="F10244" s="4" t="n">
        <v>17</v>
      </c>
      <c r="G10244" s="4" t="n">
        <v>5</v>
      </c>
      <c r="H10244" s="4" t="n">
        <v>2</v>
      </c>
      <c r="I10244" s="4" t="str">
        <v>○</v>
      </c>
      <c r="J10244" s="4" t="n">
        <v>510</v>
      </c>
      <c r="K10244" s="4"/>
      <c r="L10244" s="4"/>
      <c r="M10244" s="5" t="s">
        <v>6501</v>
      </c>
    </row>
    <row r="10245" customFormat="false" ht="15.75" hidden="false" customHeight="false" outlineLevel="0" collapsed="false">
      <c r="A10245" s="6" t="n">
        <v>46193</v>
      </c>
      <c r="B10245" s="4" t="s">
        <v>1237</v>
      </c>
      <c r="C10245" s="4" t="n">
        <v>1</v>
      </c>
      <c r="D10245" s="4" t="n">
        <v>9</v>
      </c>
      <c r="E10245" s="4"/>
      <c r="F10245" s="4" t="n">
        <v>47</v>
      </c>
      <c r="G10245" s="4" t="n">
        <v>3</v>
      </c>
      <c r="H10245" s="4" t="n">
        <v>4</v>
      </c>
      <c r="I10245" s="4" t="str">
        <v>×</v>
      </c>
      <c r="J10245" s="4"/>
      <c r="K10245" s="4"/>
      <c r="L10245" s="4"/>
      <c r="M10245" s="5" t="s">
        <v>6501</v>
      </c>
    </row>
    <row r="10246" customFormat="false" ht="15.75" hidden="false" customHeight="false" outlineLevel="0" collapsed="false">
      <c r="A10246" s="6" t="n">
        <v>46193</v>
      </c>
      <c r="B10246" s="4" t="s">
        <v>1237</v>
      </c>
      <c r="C10246" s="4" t="n">
        <v>1</v>
      </c>
      <c r="D10246" s="4" t="n">
        <v>10</v>
      </c>
      <c r="E10246" s="4"/>
      <c r="F10246" s="4" t="n">
        <v>4</v>
      </c>
      <c r="G10246" s="4" t="n">
        <v>11</v>
      </c>
      <c r="H10246" s="4" t="n">
        <v>4</v>
      </c>
      <c r="I10246" s="4" t="str">
        <v>×</v>
      </c>
      <c r="J10246" s="4"/>
      <c r="K10246" s="4"/>
      <c r="L10246" s="4"/>
      <c r="M10246" s="5" t="s">
        <v>6501</v>
      </c>
    </row>
    <row r="10247" customFormat="false" ht="15.75" hidden="false" customHeight="false" outlineLevel="0" collapsed="false">
      <c r="A10247" s="6" t="n">
        <v>46193</v>
      </c>
      <c r="B10247" s="4" t="s">
        <v>1237</v>
      </c>
      <c r="C10247" s="4" t="n">
        <v>1</v>
      </c>
      <c r="D10247" s="4" t="n">
        <v>11</v>
      </c>
      <c r="E10247" s="4"/>
      <c r="F10247" s="4" t="n">
        <v>10</v>
      </c>
      <c r="G10247" s="4" t="n">
        <v>8</v>
      </c>
      <c r="H10247" s="4" t="n">
        <v>4</v>
      </c>
      <c r="I10247" s="4" t="str">
        <v>×</v>
      </c>
      <c r="J10247" s="4"/>
      <c r="K10247" s="4"/>
      <c r="L10247" s="4"/>
      <c r="M10247" s="5" t="s">
        <v>6501</v>
      </c>
    </row>
    <row r="10248" customFormat="false" ht="15.75" hidden="false" customHeight="false" outlineLevel="0" collapsed="false">
      <c r="A10248" s="6" t="n">
        <v>46193</v>
      </c>
      <c r="B10248" s="4" t="s">
        <v>1237</v>
      </c>
      <c r="C10248" s="4" t="n">
        <v>1</v>
      </c>
      <c r="D10248" s="4" t="n">
        <v>12</v>
      </c>
      <c r="E10248" s="4"/>
      <c r="F10248" s="4" t="n">
        <v>13</v>
      </c>
      <c r="G10248" s="4" t="n">
        <v>7</v>
      </c>
      <c r="H10248" s="4" t="n">
        <v>4</v>
      </c>
      <c r="I10248" s="4" t="str">
        <v>×</v>
      </c>
      <c r="J10248" s="4"/>
      <c r="K10248" s="4"/>
      <c r="L10248" s="4"/>
      <c r="M10248" s="5" t="s">
        <v>6501</v>
      </c>
    </row>
    <row r="10249" customFormat="false" ht="15.75" hidden="false" customHeight="false" outlineLevel="0" collapsed="false">
      <c r="A10249" s="6" t="n">
        <v>46193</v>
      </c>
      <c r="B10249" s="4" t="s">
        <v>1237</v>
      </c>
      <c r="C10249" s="4" t="n">
        <v>1</v>
      </c>
      <c r="D10249" s="4" t="n">
        <v>13</v>
      </c>
      <c r="E10249" s="4"/>
      <c r="F10249" s="4" t="n">
        <v>6</v>
      </c>
      <c r="G10249" s="4" t="n">
        <v>10</v>
      </c>
      <c r="H10249" s="4" t="n">
        <v>1</v>
      </c>
      <c r="I10249" s="4" t="str">
        <v>○</v>
      </c>
      <c r="J10249" s="4" t="n">
        <v>1220</v>
      </c>
      <c r="K10249" s="4"/>
      <c r="L10249" s="4"/>
      <c r="M10249" s="5" t="s">
        <v>6501</v>
      </c>
    </row>
    <row r="10250" customFormat="false" ht="15.75" hidden="false" customHeight="false" outlineLevel="0" collapsed="false">
      <c r="A10250" s="6" t="n">
        <v>46193</v>
      </c>
      <c r="B10250" s="4" t="s">
        <v>1237</v>
      </c>
      <c r="C10250" s="4" t="n">
        <v>1</v>
      </c>
      <c r="D10250" s="4" t="n">
        <v>14</v>
      </c>
      <c r="E10250" s="4"/>
      <c r="F10250" s="4" t="n">
        <v>10</v>
      </c>
      <c r="G10250" s="4" t="n">
        <v>8</v>
      </c>
      <c r="H10250" s="4" t="n">
        <v>4</v>
      </c>
      <c r="I10250" s="4" t="str">
        <v>×</v>
      </c>
      <c r="J10250" s="4"/>
      <c r="K10250" s="4"/>
      <c r="L10250" s="4"/>
      <c r="M10250" s="5" t="s">
        <v>6501</v>
      </c>
    </row>
    <row r="10251" customFormat="false" ht="15.75" hidden="false" customHeight="false" outlineLevel="0" collapsed="false">
      <c r="A10251" s="6" t="n">
        <v>46193</v>
      </c>
      <c r="B10251" s="4" t="s">
        <v>1237</v>
      </c>
      <c r="C10251" s="4" t="n">
        <v>1</v>
      </c>
      <c r="D10251" s="4" t="n">
        <v>15</v>
      </c>
      <c r="E10251" s="4"/>
      <c r="F10251" s="4" t="n">
        <v>15</v>
      </c>
      <c r="G10251" s="4" t="n">
        <v>6</v>
      </c>
      <c r="H10251" s="4" t="n">
        <v>4</v>
      </c>
      <c r="I10251" s="4" t="str">
        <v>×</v>
      </c>
      <c r="J10251" s="4"/>
      <c r="K10251" s="4"/>
      <c r="L10251" s="4"/>
      <c r="M10251" s="5" t="s">
        <v>6501</v>
      </c>
    </row>
    <row r="10252" customFormat="false" ht="15.75" hidden="false" customHeight="false" outlineLevel="0" collapsed="false">
      <c r="A10252" s="6" t="n">
        <v>46193</v>
      </c>
      <c r="B10252" s="4" t="s">
        <v>1237</v>
      </c>
      <c r="C10252" s="4" t="n">
        <v>1</v>
      </c>
      <c r="D10252" s="4" t="n">
        <v>16</v>
      </c>
      <c r="E10252" s="4"/>
      <c r="F10252" s="4" t="n">
        <v>50</v>
      </c>
      <c r="G10252" s="4" t="n">
        <v>2</v>
      </c>
      <c r="H10252" s="4" t="n">
        <v>3</v>
      </c>
      <c r="I10252" s="4" t="str">
        <v>○</v>
      </c>
      <c r="J10252" s="4" t="n">
        <v>190</v>
      </c>
      <c r="K10252" s="4"/>
      <c r="L10252" s="4"/>
      <c r="M10252" s="5" t="s">
        <v>6501</v>
      </c>
    </row>
    <row r="10253" customFormat="false" ht="15.75" hidden="false" customHeight="false" outlineLevel="0" collapsed="false">
      <c r="A10253" s="6" t="n">
        <v>46193</v>
      </c>
      <c r="B10253" s="4" t="s">
        <v>1237</v>
      </c>
      <c r="C10253" s="4" t="n">
        <v>2</v>
      </c>
      <c r="D10253" s="4" t="n">
        <v>1</v>
      </c>
      <c r="E10253" s="4"/>
      <c r="F10253" s="4" t="n">
        <v>8</v>
      </c>
      <c r="G10253" s="4" t="n">
        <v>8</v>
      </c>
      <c r="H10253" s="4" t="n">
        <v>3</v>
      </c>
      <c r="I10253" s="4" t="str">
        <v>○</v>
      </c>
      <c r="J10253" s="4" t="n">
        <v>580</v>
      </c>
      <c r="K10253" s="4"/>
      <c r="L10253" s="4"/>
      <c r="M10253" s="5" t="s">
        <v>6501</v>
      </c>
    </row>
    <row r="10254" customFormat="false" ht="15.75" hidden="false" customHeight="false" outlineLevel="0" collapsed="false">
      <c r="A10254" s="6" t="n">
        <v>46193</v>
      </c>
      <c r="B10254" s="4" t="s">
        <v>1237</v>
      </c>
      <c r="C10254" s="4" t="n">
        <v>2</v>
      </c>
      <c r="D10254" s="4" t="n">
        <v>2</v>
      </c>
      <c r="E10254" s="4"/>
      <c r="F10254" s="4" t="n">
        <v>13</v>
      </c>
      <c r="G10254" s="4" t="n">
        <v>6</v>
      </c>
      <c r="H10254" s="4" t="n">
        <v>4</v>
      </c>
      <c r="I10254" s="4" t="str">
        <v>×</v>
      </c>
      <c r="J10254" s="4"/>
      <c r="K10254" s="4"/>
      <c r="L10254" s="4"/>
      <c r="M10254" s="5" t="s">
        <v>6501</v>
      </c>
    </row>
    <row r="10255" customFormat="false" ht="15.75" hidden="false" customHeight="false" outlineLevel="0" collapsed="false">
      <c r="A10255" s="6" t="n">
        <v>46193</v>
      </c>
      <c r="B10255" s="4" t="s">
        <v>1237</v>
      </c>
      <c r="C10255" s="4" t="n">
        <v>2</v>
      </c>
      <c r="D10255" s="4" t="n">
        <v>3</v>
      </c>
      <c r="E10255" s="4"/>
      <c r="F10255" s="4" t="n">
        <v>34</v>
      </c>
      <c r="G10255" s="4" t="n">
        <v>4</v>
      </c>
      <c r="H10255" s="4" t="n">
        <v>4</v>
      </c>
      <c r="I10255" s="4" t="str">
        <v>×</v>
      </c>
      <c r="J10255" s="4"/>
      <c r="K10255" s="4"/>
      <c r="L10255" s="4"/>
      <c r="M10255" s="5" t="s">
        <v>6501</v>
      </c>
    </row>
    <row r="10256" customFormat="false" ht="15.75" hidden="false" customHeight="false" outlineLevel="0" collapsed="false">
      <c r="A10256" s="6" t="n">
        <v>46193</v>
      </c>
      <c r="B10256" s="4" t="s">
        <v>1237</v>
      </c>
      <c r="C10256" s="4" t="n">
        <v>2</v>
      </c>
      <c r="D10256" s="4" t="n">
        <v>4</v>
      </c>
      <c r="E10256" s="4"/>
      <c r="F10256" s="4" t="n">
        <v>1</v>
      </c>
      <c r="G10256" s="4" t="n">
        <v>11</v>
      </c>
      <c r="H10256" s="4" t="n">
        <v>4</v>
      </c>
      <c r="I10256" s="4" t="str">
        <v>×</v>
      </c>
      <c r="J10256" s="4"/>
      <c r="K10256" s="4"/>
      <c r="L10256" s="4"/>
      <c r="M10256" s="5" t="s">
        <v>6501</v>
      </c>
    </row>
    <row r="10257" customFormat="false" ht="15.75" hidden="false" customHeight="false" outlineLevel="0" collapsed="false">
      <c r="A10257" s="6" t="n">
        <v>46193</v>
      </c>
      <c r="B10257" s="4" t="s">
        <v>1237</v>
      </c>
      <c r="C10257" s="4" t="n">
        <v>2</v>
      </c>
      <c r="D10257" s="4" t="n">
        <v>5</v>
      </c>
      <c r="E10257" s="4"/>
      <c r="F10257" s="4" t="n">
        <v>13</v>
      </c>
      <c r="G10257" s="4" t="n">
        <v>6</v>
      </c>
      <c r="H10257" s="4" t="n">
        <v>4</v>
      </c>
      <c r="I10257" s="4" t="str">
        <v>×</v>
      </c>
      <c r="J10257" s="4"/>
      <c r="K10257" s="4"/>
      <c r="L10257" s="4"/>
      <c r="M10257" s="5" t="s">
        <v>6501</v>
      </c>
    </row>
    <row r="10258" customFormat="false" ht="15.75" hidden="false" customHeight="false" outlineLevel="0" collapsed="false">
      <c r="A10258" s="6" t="n">
        <v>46193</v>
      </c>
      <c r="B10258" s="4" t="s">
        <v>1237</v>
      </c>
      <c r="C10258" s="4" t="n">
        <v>2</v>
      </c>
      <c r="D10258" s="4" t="n">
        <v>6</v>
      </c>
      <c r="E10258" s="4"/>
      <c r="F10258" s="4" t="n">
        <v>3</v>
      </c>
      <c r="G10258" s="4" t="n">
        <v>10</v>
      </c>
      <c r="H10258" s="4" t="n">
        <v>4</v>
      </c>
      <c r="I10258" s="4" t="str">
        <v>×</v>
      </c>
      <c r="J10258" s="4"/>
      <c r="K10258" s="4"/>
      <c r="L10258" s="4"/>
      <c r="M10258" s="5" t="s">
        <v>6501</v>
      </c>
    </row>
    <row r="10259" customFormat="false" ht="15.75" hidden="false" customHeight="false" outlineLevel="0" collapsed="false">
      <c r="A10259" s="6" t="n">
        <v>46193</v>
      </c>
      <c r="B10259" s="4" t="s">
        <v>1237</v>
      </c>
      <c r="C10259" s="4" t="n">
        <v>2</v>
      </c>
      <c r="D10259" s="4" t="n">
        <v>7</v>
      </c>
      <c r="E10259" s="4"/>
      <c r="F10259" s="4" t="n">
        <v>67</v>
      </c>
      <c r="G10259" s="4" t="n">
        <v>1</v>
      </c>
      <c r="H10259" s="4" t="n">
        <v>1</v>
      </c>
      <c r="I10259" s="4" t="str">
        <v>○</v>
      </c>
      <c r="J10259" s="4" t="n">
        <v>150</v>
      </c>
      <c r="K10259" s="4"/>
      <c r="L10259" s="4"/>
      <c r="M10259" s="5" t="s">
        <v>6501</v>
      </c>
    </row>
    <row r="10260" customFormat="false" ht="15.75" hidden="false" customHeight="false" outlineLevel="0" collapsed="false">
      <c r="A10260" s="6" t="n">
        <v>46193</v>
      </c>
      <c r="B10260" s="4" t="s">
        <v>1237</v>
      </c>
      <c r="C10260" s="4" t="n">
        <v>2</v>
      </c>
      <c r="D10260" s="4" t="n">
        <v>8</v>
      </c>
      <c r="E10260" s="4"/>
      <c r="F10260" s="4" t="n">
        <v>60</v>
      </c>
      <c r="G10260" s="4" t="n">
        <v>2</v>
      </c>
      <c r="H10260" s="4" t="n">
        <v>4</v>
      </c>
      <c r="I10260" s="4" t="str">
        <v>×</v>
      </c>
      <c r="J10260" s="4"/>
      <c r="K10260" s="4"/>
      <c r="L10260" s="4"/>
      <c r="M10260" s="5" t="s">
        <v>6501</v>
      </c>
    </row>
    <row r="10261" customFormat="false" ht="15.75" hidden="false" customHeight="false" outlineLevel="0" collapsed="false">
      <c r="A10261" s="6" t="n">
        <v>46193</v>
      </c>
      <c r="B10261" s="4" t="s">
        <v>1237</v>
      </c>
      <c r="C10261" s="4" t="n">
        <v>2</v>
      </c>
      <c r="D10261" s="4" t="n">
        <v>9</v>
      </c>
      <c r="E10261" s="4"/>
      <c r="F10261" s="4" t="n">
        <v>4</v>
      </c>
      <c r="G10261" s="4" t="n">
        <v>9</v>
      </c>
      <c r="H10261" s="4" t="n">
        <v>4</v>
      </c>
      <c r="I10261" s="4" t="str">
        <v>×</v>
      </c>
      <c r="J10261" s="4"/>
      <c r="K10261" s="4"/>
      <c r="L10261" s="4"/>
      <c r="M10261" s="5" t="s">
        <v>6501</v>
      </c>
    </row>
    <row r="10262" customFormat="false" ht="15.75" hidden="false" customHeight="false" outlineLevel="0" collapsed="false">
      <c r="A10262" s="6" t="n">
        <v>46193</v>
      </c>
      <c r="B10262" s="4" t="s">
        <v>1237</v>
      </c>
      <c r="C10262" s="4" t="n">
        <v>2</v>
      </c>
      <c r="D10262" s="4" t="n">
        <v>10</v>
      </c>
      <c r="E10262" s="4"/>
      <c r="F10262" s="4" t="n">
        <v>29</v>
      </c>
      <c r="G10262" s="4" t="n">
        <v>5</v>
      </c>
      <c r="H10262" s="4" t="n">
        <v>4</v>
      </c>
      <c r="I10262" s="4" t="str">
        <v>×</v>
      </c>
      <c r="J10262" s="4"/>
      <c r="K10262" s="4"/>
      <c r="L10262" s="4"/>
      <c r="M10262" s="5" t="s">
        <v>6501</v>
      </c>
    </row>
    <row r="10263" customFormat="false" ht="15.75" hidden="false" customHeight="false" outlineLevel="0" collapsed="false">
      <c r="A10263" s="6" t="n">
        <v>46193</v>
      </c>
      <c r="B10263" s="4" t="s">
        <v>1237</v>
      </c>
      <c r="C10263" s="4" t="n">
        <v>2</v>
      </c>
      <c r="D10263" s="4" t="n">
        <v>11</v>
      </c>
      <c r="E10263" s="4"/>
      <c r="F10263" s="4" t="n">
        <v>10</v>
      </c>
      <c r="G10263" s="4" t="n">
        <v>7</v>
      </c>
      <c r="H10263" s="4" t="n">
        <v>2</v>
      </c>
      <c r="I10263" s="4" t="str">
        <v>○</v>
      </c>
      <c r="J10263" s="4" t="n">
        <v>660</v>
      </c>
      <c r="K10263" s="4"/>
      <c r="L10263" s="4"/>
      <c r="M10263" s="5" t="s">
        <v>6501</v>
      </c>
    </row>
    <row r="10264" customFormat="false" ht="15.75" hidden="false" customHeight="false" outlineLevel="0" collapsed="false">
      <c r="A10264" s="6" t="n">
        <v>46193</v>
      </c>
      <c r="B10264" s="4" t="s">
        <v>1237</v>
      </c>
      <c r="C10264" s="4" t="n">
        <v>2</v>
      </c>
      <c r="D10264" s="4" t="n">
        <v>12</v>
      </c>
      <c r="E10264" s="4"/>
      <c r="F10264" s="4" t="n">
        <v>56</v>
      </c>
      <c r="G10264" s="4" t="n">
        <v>3</v>
      </c>
      <c r="H10264" s="4" t="n">
        <v>4</v>
      </c>
      <c r="I10264" s="4" t="str">
        <v>×</v>
      </c>
      <c r="J10264" s="4"/>
      <c r="K10264" s="4"/>
      <c r="L10264" s="4"/>
      <c r="M10264" s="5" t="s">
        <v>6501</v>
      </c>
    </row>
    <row r="10265" customFormat="false" ht="15.75" hidden="false" customHeight="false" outlineLevel="0" collapsed="false">
      <c r="A10265" s="6" t="n">
        <v>46193</v>
      </c>
      <c r="B10265" s="4" t="s">
        <v>1237</v>
      </c>
      <c r="C10265" s="4" t="n">
        <v>2</v>
      </c>
      <c r="D10265" s="4" t="n">
        <v>13</v>
      </c>
      <c r="E10265" s="4"/>
      <c r="F10265" s="4" t="n">
        <v>1</v>
      </c>
      <c r="G10265" s="4" t="n">
        <v>11</v>
      </c>
      <c r="H10265" s="4" t="n">
        <v>4</v>
      </c>
      <c r="I10265" s="4" t="str">
        <v>×</v>
      </c>
      <c r="J10265" s="4"/>
      <c r="K10265" s="4"/>
      <c r="L10265" s="4"/>
      <c r="M10265" s="5" t="s">
        <v>6501</v>
      </c>
    </row>
    <row r="10266" customFormat="false" ht="15.75" hidden="false" customHeight="false" outlineLevel="0" collapsed="false">
      <c r="A10266" s="6" t="n">
        <v>46193</v>
      </c>
      <c r="B10266" s="4" t="s">
        <v>1237</v>
      </c>
      <c r="C10266" s="4" t="n">
        <v>2</v>
      </c>
      <c r="D10266" s="4" t="n">
        <v>14</v>
      </c>
      <c r="E10266" s="4"/>
      <c r="F10266" s="4" t="n">
        <v>13</v>
      </c>
      <c r="G10266" s="4" t="n">
        <v>6</v>
      </c>
      <c r="H10266" s="4" t="n">
        <v>4</v>
      </c>
      <c r="I10266" s="4" t="str">
        <v>×</v>
      </c>
      <c r="J10266" s="4"/>
      <c r="K10266" s="4"/>
      <c r="L10266" s="4"/>
      <c r="M10266" s="5" t="s">
        <v>6501</v>
      </c>
    </row>
    <row r="10267" customFormat="false" ht="15.75" hidden="false" customHeight="false" outlineLevel="0" collapsed="false">
      <c r="A10267" s="6" t="n">
        <v>46193</v>
      </c>
      <c r="B10267" s="4" t="s">
        <v>1237</v>
      </c>
      <c r="C10267" s="4" t="n">
        <v>3</v>
      </c>
      <c r="D10267" s="4" t="n">
        <v>1</v>
      </c>
      <c r="E10267" s="4"/>
      <c r="F10267" s="4" t="n">
        <v>50</v>
      </c>
      <c r="G10267" s="4" t="n">
        <v>2</v>
      </c>
      <c r="H10267" s="4" t="n">
        <v>2</v>
      </c>
      <c r="I10267" s="4" t="str">
        <v>○</v>
      </c>
      <c r="J10267" s="4" t="n">
        <v>270</v>
      </c>
      <c r="K10267" s="4"/>
      <c r="L10267" s="4"/>
      <c r="M10267" s="5" t="s">
        <v>6501</v>
      </c>
    </row>
    <row r="10268" customFormat="false" ht="15.75" hidden="false" customHeight="false" outlineLevel="0" collapsed="false">
      <c r="A10268" s="6" t="n">
        <v>46193</v>
      </c>
      <c r="B10268" s="4" t="s">
        <v>1237</v>
      </c>
      <c r="C10268" s="4" t="n">
        <v>3</v>
      </c>
      <c r="D10268" s="4" t="n">
        <v>2</v>
      </c>
      <c r="E10268" s="4"/>
      <c r="F10268" s="4" t="n">
        <v>34</v>
      </c>
      <c r="G10268" s="4" t="n">
        <v>3</v>
      </c>
      <c r="H10268" s="4" t="n">
        <v>4</v>
      </c>
      <c r="I10268" s="4" t="str">
        <v>×</v>
      </c>
      <c r="J10268" s="4"/>
      <c r="K10268" s="4"/>
      <c r="L10268" s="4"/>
      <c r="M10268" s="5" t="s">
        <v>6501</v>
      </c>
    </row>
    <row r="10269" customFormat="false" ht="15.75" hidden="false" customHeight="false" outlineLevel="0" collapsed="false">
      <c r="A10269" s="6" t="n">
        <v>46193</v>
      </c>
      <c r="B10269" s="4" t="s">
        <v>1237</v>
      </c>
      <c r="C10269" s="4" t="n">
        <v>3</v>
      </c>
      <c r="D10269" s="4" t="n">
        <v>3</v>
      </c>
      <c r="E10269" s="4"/>
      <c r="F10269" s="4" t="n">
        <v>13</v>
      </c>
      <c r="G10269" s="4" t="n">
        <v>7</v>
      </c>
      <c r="H10269" s="4" t="n">
        <v>4</v>
      </c>
      <c r="I10269" s="4" t="str">
        <v>×</v>
      </c>
      <c r="J10269" s="4"/>
      <c r="K10269" s="4"/>
      <c r="L10269" s="4"/>
      <c r="M10269" s="5" t="s">
        <v>6501</v>
      </c>
    </row>
    <row r="10270" customFormat="false" ht="15.75" hidden="false" customHeight="false" outlineLevel="0" collapsed="false">
      <c r="A10270" s="6" t="n">
        <v>46193</v>
      </c>
      <c r="B10270" s="4" t="s">
        <v>1237</v>
      </c>
      <c r="C10270" s="4" t="n">
        <v>3</v>
      </c>
      <c r="D10270" s="4" t="n">
        <v>4</v>
      </c>
      <c r="E10270" s="4"/>
      <c r="F10270" s="4" t="n">
        <v>4</v>
      </c>
      <c r="G10270" s="4" t="n">
        <v>10</v>
      </c>
      <c r="H10270" s="4" t="n">
        <v>4</v>
      </c>
      <c r="I10270" s="4" t="str">
        <v>×</v>
      </c>
      <c r="J10270" s="4"/>
      <c r="K10270" s="4"/>
      <c r="L10270" s="4"/>
      <c r="M10270" s="5" t="s">
        <v>6501</v>
      </c>
    </row>
    <row r="10271" customFormat="false" ht="15.75" hidden="false" customHeight="false" outlineLevel="0" collapsed="false">
      <c r="A10271" s="6" t="n">
        <v>46193</v>
      </c>
      <c r="B10271" s="4" t="s">
        <v>1237</v>
      </c>
      <c r="C10271" s="4" t="n">
        <v>3</v>
      </c>
      <c r="D10271" s="4" t="n">
        <v>5</v>
      </c>
      <c r="E10271" s="4"/>
      <c r="F10271" s="4" t="n">
        <v>8</v>
      </c>
      <c r="G10271" s="4" t="n">
        <v>9</v>
      </c>
      <c r="H10271" s="4" t="n">
        <v>4</v>
      </c>
      <c r="I10271" s="4" t="str">
        <v>×</v>
      </c>
      <c r="J10271" s="4"/>
      <c r="K10271" s="4"/>
      <c r="L10271" s="4"/>
      <c r="M10271" s="5" t="s">
        <v>6501</v>
      </c>
    </row>
    <row r="10272" customFormat="false" ht="15.75" hidden="false" customHeight="false" outlineLevel="0" collapsed="false">
      <c r="A10272" s="6" t="n">
        <v>46193</v>
      </c>
      <c r="B10272" s="4" t="s">
        <v>1237</v>
      </c>
      <c r="C10272" s="4" t="n">
        <v>3</v>
      </c>
      <c r="D10272" s="4" t="n">
        <v>6</v>
      </c>
      <c r="E10272" s="4"/>
      <c r="F10272" s="4" t="n">
        <v>20</v>
      </c>
      <c r="G10272" s="4" t="n">
        <v>5</v>
      </c>
      <c r="H10272" s="4" t="n">
        <v>4</v>
      </c>
      <c r="I10272" s="4" t="str">
        <v>×</v>
      </c>
      <c r="J10272" s="4"/>
      <c r="K10272" s="4"/>
      <c r="L10272" s="4"/>
      <c r="M10272" s="5" t="s">
        <v>6501</v>
      </c>
    </row>
    <row r="10273" customFormat="false" ht="15.75" hidden="false" customHeight="false" outlineLevel="0" collapsed="false">
      <c r="A10273" s="6" t="n">
        <v>46193</v>
      </c>
      <c r="B10273" s="4" t="s">
        <v>1237</v>
      </c>
      <c r="C10273" s="4" t="n">
        <v>3</v>
      </c>
      <c r="D10273" s="4" t="n">
        <v>7</v>
      </c>
      <c r="E10273" s="4"/>
      <c r="F10273" s="4" t="n">
        <v>10</v>
      </c>
      <c r="G10273" s="4" t="n">
        <v>8</v>
      </c>
      <c r="H10273" s="4" t="n">
        <v>3</v>
      </c>
      <c r="I10273" s="4" t="str">
        <v>○</v>
      </c>
      <c r="J10273" s="4" t="n">
        <v>960</v>
      </c>
      <c r="K10273" s="4"/>
      <c r="L10273" s="4"/>
      <c r="M10273" s="5" t="s">
        <v>6501</v>
      </c>
    </row>
    <row r="10274" customFormat="false" ht="15.75" hidden="false" customHeight="false" outlineLevel="0" collapsed="false">
      <c r="A10274" s="6" t="n">
        <v>46193</v>
      </c>
      <c r="B10274" s="4" t="s">
        <v>1237</v>
      </c>
      <c r="C10274" s="4" t="n">
        <v>3</v>
      </c>
      <c r="D10274" s="4" t="n">
        <v>8</v>
      </c>
      <c r="E10274" s="4"/>
      <c r="F10274" s="4" t="n">
        <v>58</v>
      </c>
      <c r="G10274" s="4" t="n">
        <v>1</v>
      </c>
      <c r="H10274" s="4" t="n">
        <v>4</v>
      </c>
      <c r="I10274" s="4" t="str">
        <v>×</v>
      </c>
      <c r="J10274" s="4"/>
      <c r="K10274" s="4"/>
      <c r="L10274" s="4"/>
      <c r="M10274" s="5" t="s">
        <v>6501</v>
      </c>
    </row>
    <row r="10275" customFormat="false" ht="15.75" hidden="false" customHeight="false" outlineLevel="0" collapsed="false">
      <c r="A10275" s="6" t="n">
        <v>46193</v>
      </c>
      <c r="B10275" s="4" t="s">
        <v>1237</v>
      </c>
      <c r="C10275" s="4" t="n">
        <v>3</v>
      </c>
      <c r="D10275" s="4" t="n">
        <v>9</v>
      </c>
      <c r="E10275" s="4"/>
      <c r="F10275" s="4" t="n">
        <v>2</v>
      </c>
      <c r="G10275" s="4" t="n">
        <v>12</v>
      </c>
      <c r="H10275" s="4" t="n">
        <v>4</v>
      </c>
      <c r="I10275" s="4" t="str">
        <v>×</v>
      </c>
      <c r="J10275" s="4"/>
      <c r="K10275" s="4"/>
      <c r="L10275" s="4"/>
      <c r="M10275" s="5" t="s">
        <v>6501</v>
      </c>
    </row>
    <row r="10276" customFormat="false" ht="15.75" hidden="false" customHeight="false" outlineLevel="0" collapsed="false">
      <c r="A10276" s="6" t="n">
        <v>46193</v>
      </c>
      <c r="B10276" s="4" t="s">
        <v>1237</v>
      </c>
      <c r="C10276" s="4" t="n">
        <v>3</v>
      </c>
      <c r="D10276" s="4" t="n">
        <v>10</v>
      </c>
      <c r="E10276" s="4"/>
      <c r="F10276" s="4" t="n">
        <v>20</v>
      </c>
      <c r="G10276" s="4" t="n">
        <v>5</v>
      </c>
      <c r="H10276" s="4" t="n">
        <v>1</v>
      </c>
      <c r="I10276" s="4" t="str">
        <v>○</v>
      </c>
      <c r="J10276" s="4" t="n">
        <v>300</v>
      </c>
      <c r="K10276" s="4"/>
      <c r="L10276" s="4"/>
      <c r="M10276" s="5" t="s">
        <v>6501</v>
      </c>
    </row>
    <row r="10277" customFormat="false" ht="15.75" hidden="false" customHeight="false" outlineLevel="0" collapsed="false">
      <c r="A10277" s="6" t="n">
        <v>46193</v>
      </c>
      <c r="B10277" s="4" t="s">
        <v>1237</v>
      </c>
      <c r="C10277" s="4" t="n">
        <v>3</v>
      </c>
      <c r="D10277" s="4" t="n">
        <v>11</v>
      </c>
      <c r="E10277" s="4"/>
      <c r="F10277" s="4" t="n">
        <v>17</v>
      </c>
      <c r="G10277" s="4" t="n">
        <v>6</v>
      </c>
      <c r="H10277" s="4" t="n">
        <v>4</v>
      </c>
      <c r="I10277" s="4" t="str">
        <v>×</v>
      </c>
      <c r="J10277" s="4"/>
      <c r="K10277" s="4"/>
      <c r="L10277" s="4"/>
      <c r="M10277" s="5" t="s">
        <v>6501</v>
      </c>
    </row>
    <row r="10278" customFormat="false" ht="15.75" hidden="false" customHeight="false" outlineLevel="0" collapsed="false">
      <c r="A10278" s="6" t="n">
        <v>46193</v>
      </c>
      <c r="B10278" s="4" t="s">
        <v>1237</v>
      </c>
      <c r="C10278" s="4" t="n">
        <v>3</v>
      </c>
      <c r="D10278" s="4" t="n">
        <v>12</v>
      </c>
      <c r="E10278" s="4"/>
      <c r="F10278" s="4" t="n">
        <v>20</v>
      </c>
      <c r="G10278" s="4" t="n">
        <v>5</v>
      </c>
      <c r="H10278" s="4" t="n">
        <v>4</v>
      </c>
      <c r="I10278" s="4" t="str">
        <v>×</v>
      </c>
      <c r="J10278" s="4"/>
      <c r="K10278" s="4"/>
      <c r="L10278" s="4"/>
      <c r="M10278" s="5" t="s">
        <v>6501</v>
      </c>
    </row>
    <row r="10279" customFormat="false" ht="15.75" hidden="false" customHeight="false" outlineLevel="0" collapsed="false">
      <c r="A10279" s="6" t="n">
        <v>46193</v>
      </c>
      <c r="B10279" s="4" t="s">
        <v>1237</v>
      </c>
      <c r="C10279" s="4" t="n">
        <v>3</v>
      </c>
      <c r="D10279" s="4" t="n">
        <v>13</v>
      </c>
      <c r="E10279" s="4"/>
      <c r="F10279" s="4" t="n">
        <v>3</v>
      </c>
      <c r="G10279" s="4" t="n">
        <v>11</v>
      </c>
      <c r="H10279" s="4" t="n">
        <v>4</v>
      </c>
      <c r="I10279" s="4" t="str">
        <v>×</v>
      </c>
      <c r="J10279" s="4"/>
      <c r="K10279" s="4"/>
      <c r="L10279" s="4"/>
      <c r="M10279" s="5" t="s">
        <v>6501</v>
      </c>
    </row>
    <row r="10280" customFormat="false" ht="15.75" hidden="false" customHeight="false" outlineLevel="0" collapsed="false">
      <c r="A10280" s="6" t="n">
        <v>46193</v>
      </c>
      <c r="B10280" s="4" t="s">
        <v>1237</v>
      </c>
      <c r="C10280" s="4" t="n">
        <v>3</v>
      </c>
      <c r="D10280" s="4" t="n">
        <v>14</v>
      </c>
      <c r="E10280" s="4"/>
      <c r="F10280" s="4" t="n">
        <v>23</v>
      </c>
      <c r="G10280" s="4" t="n">
        <v>4</v>
      </c>
      <c r="H10280" s="4" t="n">
        <v>4</v>
      </c>
      <c r="I10280" s="4" t="str">
        <v>×</v>
      </c>
      <c r="J10280" s="4"/>
      <c r="K10280" s="4"/>
      <c r="L10280" s="4"/>
      <c r="M10280" s="5" t="s">
        <v>6501</v>
      </c>
    </row>
    <row r="10281" customFormat="false" ht="15.75" hidden="false" customHeight="false" outlineLevel="0" collapsed="false">
      <c r="A10281" s="6" t="n">
        <v>46193</v>
      </c>
      <c r="B10281" s="4" t="s">
        <v>1237</v>
      </c>
      <c r="C10281" s="4" t="n">
        <v>3</v>
      </c>
      <c r="D10281" s="4" t="n">
        <v>15</v>
      </c>
      <c r="E10281" s="4"/>
      <c r="F10281" s="4" t="n">
        <v>4</v>
      </c>
      <c r="G10281" s="4" t="n">
        <v>10</v>
      </c>
      <c r="H10281" s="4" t="n">
        <v>4</v>
      </c>
      <c r="I10281" s="4" t="str">
        <v>×</v>
      </c>
      <c r="J10281" s="4"/>
      <c r="K10281" s="4"/>
      <c r="L10281" s="4"/>
      <c r="M10281" s="5" t="s">
        <v>6501</v>
      </c>
    </row>
    <row r="10282" customFormat="false" ht="15.75" hidden="false" customHeight="false" outlineLevel="0" collapsed="false">
      <c r="A10282" s="6" t="n">
        <v>46193</v>
      </c>
      <c r="B10282" s="4" t="s">
        <v>1237</v>
      </c>
      <c r="C10282" s="4" t="n">
        <v>3</v>
      </c>
      <c r="D10282" s="4" t="n">
        <v>16</v>
      </c>
      <c r="E10282" s="4"/>
      <c r="F10282" s="4" t="n">
        <v>8</v>
      </c>
      <c r="G10282" s="4" t="n">
        <v>9</v>
      </c>
      <c r="H10282" s="4" t="n">
        <v>4</v>
      </c>
      <c r="I10282" s="4" t="str">
        <v>×</v>
      </c>
      <c r="J10282" s="4"/>
      <c r="K10282" s="4"/>
      <c r="L10282" s="4"/>
      <c r="M10282" s="5" t="s">
        <v>6501</v>
      </c>
    </row>
    <row r="10283" customFormat="false" ht="15.75" hidden="false" customHeight="false" outlineLevel="0" collapsed="false">
      <c r="A10283" s="6" t="n">
        <v>46193</v>
      </c>
      <c r="B10283" s="4" t="s">
        <v>1237</v>
      </c>
      <c r="C10283" s="4" t="n">
        <v>4</v>
      </c>
      <c r="D10283" s="4" t="n">
        <v>1</v>
      </c>
      <c r="E10283" s="4"/>
      <c r="F10283" s="4" t="n">
        <v>29</v>
      </c>
      <c r="G10283" s="4" t="n">
        <v>5</v>
      </c>
      <c r="H10283" s="4" t="n">
        <v>4</v>
      </c>
      <c r="I10283" s="4" t="str">
        <v>×</v>
      </c>
      <c r="J10283" s="4"/>
      <c r="K10283" s="4"/>
      <c r="L10283" s="4"/>
      <c r="M10283" s="5" t="s">
        <v>6501</v>
      </c>
    </row>
    <row r="10284" customFormat="false" ht="15.75" hidden="false" customHeight="false" outlineLevel="0" collapsed="false">
      <c r="A10284" s="6" t="n">
        <v>46193</v>
      </c>
      <c r="B10284" s="4" t="s">
        <v>1237</v>
      </c>
      <c r="C10284" s="4" t="n">
        <v>4</v>
      </c>
      <c r="D10284" s="4" t="n">
        <v>2</v>
      </c>
      <c r="E10284" s="4"/>
      <c r="F10284" s="4" t="n">
        <v>47</v>
      </c>
      <c r="G10284" s="4" t="n">
        <v>1</v>
      </c>
      <c r="H10284" s="4" t="n">
        <v>4</v>
      </c>
      <c r="I10284" s="4" t="str">
        <v>×</v>
      </c>
      <c r="J10284" s="4"/>
      <c r="K10284" s="4"/>
      <c r="L10284" s="4"/>
      <c r="M10284" s="5" t="s">
        <v>6501</v>
      </c>
    </row>
    <row r="10285" customFormat="false" ht="15.75" hidden="false" customHeight="false" outlineLevel="0" collapsed="false">
      <c r="A10285" s="6" t="n">
        <v>46193</v>
      </c>
      <c r="B10285" s="4" t="s">
        <v>1237</v>
      </c>
      <c r="C10285" s="4" t="n">
        <v>4</v>
      </c>
      <c r="D10285" s="4" t="n">
        <v>3</v>
      </c>
      <c r="E10285" s="4"/>
      <c r="F10285" s="4" t="n">
        <v>25</v>
      </c>
      <c r="G10285" s="4" t="n">
        <v>6</v>
      </c>
      <c r="H10285" s="4" t="n">
        <v>1</v>
      </c>
      <c r="I10285" s="4" t="str">
        <v>○</v>
      </c>
      <c r="J10285" s="4" t="n">
        <v>440</v>
      </c>
      <c r="K10285" s="4"/>
      <c r="L10285" s="4"/>
      <c r="M10285" s="5" t="s">
        <v>6501</v>
      </c>
    </row>
    <row r="10286" customFormat="false" ht="15.75" hidden="false" customHeight="false" outlineLevel="0" collapsed="false">
      <c r="A10286" s="6" t="n">
        <v>46193</v>
      </c>
      <c r="B10286" s="4" t="s">
        <v>1237</v>
      </c>
      <c r="C10286" s="4" t="n">
        <v>4</v>
      </c>
      <c r="D10286" s="4" t="n">
        <v>4</v>
      </c>
      <c r="E10286" s="4"/>
      <c r="F10286" s="4" t="n">
        <v>4</v>
      </c>
      <c r="G10286" s="4" t="n">
        <v>10</v>
      </c>
      <c r="H10286" s="4" t="n">
        <v>4</v>
      </c>
      <c r="I10286" s="4" t="str">
        <v>×</v>
      </c>
      <c r="J10286" s="4"/>
      <c r="K10286" s="4"/>
      <c r="L10286" s="4"/>
      <c r="M10286" s="5" t="s">
        <v>6501</v>
      </c>
    </row>
    <row r="10287" customFormat="false" ht="15.75" hidden="false" customHeight="false" outlineLevel="0" collapsed="false">
      <c r="A10287" s="6" t="n">
        <v>46193</v>
      </c>
      <c r="B10287" s="4" t="s">
        <v>1237</v>
      </c>
      <c r="C10287" s="4" t="n">
        <v>4</v>
      </c>
      <c r="D10287" s="4" t="n">
        <v>5</v>
      </c>
      <c r="E10287" s="4"/>
      <c r="F10287" s="4" t="n">
        <v>4</v>
      </c>
      <c r="G10287" s="4" t="n">
        <v>10</v>
      </c>
      <c r="H10287" s="4" t="n">
        <v>4</v>
      </c>
      <c r="I10287" s="4" t="str">
        <v>×</v>
      </c>
      <c r="J10287" s="4"/>
      <c r="K10287" s="4"/>
      <c r="L10287" s="4"/>
      <c r="M10287" s="5" t="s">
        <v>6501</v>
      </c>
    </row>
    <row r="10288" customFormat="false" ht="15.75" hidden="false" customHeight="false" outlineLevel="0" collapsed="false">
      <c r="A10288" s="6" t="n">
        <v>46193</v>
      </c>
      <c r="B10288" s="4" t="s">
        <v>1237</v>
      </c>
      <c r="C10288" s="4" t="n">
        <v>4</v>
      </c>
      <c r="D10288" s="4" t="n">
        <v>6</v>
      </c>
      <c r="E10288" s="4"/>
      <c r="F10288" s="4" t="n">
        <v>34</v>
      </c>
      <c r="G10288" s="4" t="n">
        <v>3</v>
      </c>
      <c r="H10288" s="4" t="n">
        <v>4</v>
      </c>
      <c r="I10288" s="4" t="str">
        <v>×</v>
      </c>
      <c r="J10288" s="4"/>
      <c r="K10288" s="4"/>
      <c r="L10288" s="4"/>
      <c r="M10288" s="5" t="s">
        <v>6501</v>
      </c>
    </row>
    <row r="10289" customFormat="false" ht="15.75" hidden="false" customHeight="false" outlineLevel="0" collapsed="false">
      <c r="A10289" s="6" t="n">
        <v>46193</v>
      </c>
      <c r="B10289" s="4" t="s">
        <v>1237</v>
      </c>
      <c r="C10289" s="4" t="n">
        <v>4</v>
      </c>
      <c r="D10289" s="4" t="n">
        <v>7</v>
      </c>
      <c r="E10289" s="4"/>
      <c r="F10289" s="4" t="n">
        <v>13</v>
      </c>
      <c r="G10289" s="4" t="n">
        <v>7</v>
      </c>
      <c r="H10289" s="4" t="n">
        <v>4</v>
      </c>
      <c r="I10289" s="4" t="str">
        <v>×</v>
      </c>
      <c r="J10289" s="4"/>
      <c r="K10289" s="4"/>
      <c r="L10289" s="4"/>
      <c r="M10289" s="5" t="s">
        <v>6501</v>
      </c>
    </row>
    <row r="10290" customFormat="false" ht="15.75" hidden="false" customHeight="false" outlineLevel="0" collapsed="false">
      <c r="A10290" s="6" t="n">
        <v>46193</v>
      </c>
      <c r="B10290" s="4" t="s">
        <v>1237</v>
      </c>
      <c r="C10290" s="4" t="n">
        <v>4</v>
      </c>
      <c r="D10290" s="4" t="n">
        <v>8</v>
      </c>
      <c r="E10290" s="4"/>
      <c r="F10290" s="4" t="n">
        <v>25</v>
      </c>
      <c r="G10290" s="4" t="n">
        <v>6</v>
      </c>
      <c r="H10290" s="4" t="n">
        <v>4</v>
      </c>
      <c r="I10290" s="4" t="str">
        <v>×</v>
      </c>
      <c r="J10290" s="4"/>
      <c r="K10290" s="4"/>
      <c r="L10290" s="4"/>
      <c r="M10290" s="5" t="s">
        <v>6501</v>
      </c>
    </row>
    <row r="10291" customFormat="false" ht="15.75" hidden="false" customHeight="false" outlineLevel="0" collapsed="false">
      <c r="A10291" s="6" t="n">
        <v>46193</v>
      </c>
      <c r="B10291" s="4" t="s">
        <v>1237</v>
      </c>
      <c r="C10291" s="4" t="n">
        <v>4</v>
      </c>
      <c r="D10291" s="4" t="n">
        <v>9</v>
      </c>
      <c r="E10291" s="4"/>
      <c r="F10291" s="4" t="n">
        <v>41</v>
      </c>
      <c r="G10291" s="4" t="n">
        <v>2</v>
      </c>
      <c r="H10291" s="4" t="n">
        <v>2</v>
      </c>
      <c r="I10291" s="4" t="str">
        <v>○</v>
      </c>
      <c r="J10291" s="4" t="n">
        <v>260</v>
      </c>
      <c r="K10291" s="4"/>
      <c r="L10291" s="4"/>
      <c r="M10291" s="5" t="s">
        <v>6501</v>
      </c>
    </row>
    <row r="10292" customFormat="false" ht="15.75" hidden="false" customHeight="false" outlineLevel="0" collapsed="false">
      <c r="A10292" s="6" t="n">
        <v>46193</v>
      </c>
      <c r="B10292" s="4" t="s">
        <v>1237</v>
      </c>
      <c r="C10292" s="4" t="n">
        <v>4</v>
      </c>
      <c r="D10292" s="4" t="n">
        <v>10</v>
      </c>
      <c r="E10292" s="4"/>
      <c r="F10292" s="4" t="n">
        <v>6</v>
      </c>
      <c r="G10292" s="4" t="n">
        <v>9</v>
      </c>
      <c r="H10292" s="4" t="n">
        <v>4</v>
      </c>
      <c r="I10292" s="4" t="str">
        <v>×</v>
      </c>
      <c r="J10292" s="4"/>
      <c r="K10292" s="4"/>
      <c r="L10292" s="4"/>
      <c r="M10292" s="5" t="s">
        <v>6501</v>
      </c>
    </row>
    <row r="10293" customFormat="false" ht="15.75" hidden="false" customHeight="false" outlineLevel="0" collapsed="false">
      <c r="A10293" s="6" t="n">
        <v>46193</v>
      </c>
      <c r="B10293" s="4" t="s">
        <v>1237</v>
      </c>
      <c r="C10293" s="4" t="n">
        <v>4</v>
      </c>
      <c r="D10293" s="4" t="n">
        <v>11</v>
      </c>
      <c r="E10293" s="4"/>
      <c r="F10293" s="4" t="n">
        <v>31</v>
      </c>
      <c r="G10293" s="4" t="n">
        <v>4</v>
      </c>
      <c r="H10293" s="4" t="n">
        <v>3</v>
      </c>
      <c r="I10293" s="4" t="str">
        <v>○</v>
      </c>
      <c r="J10293" s="4" t="n">
        <v>250</v>
      </c>
      <c r="K10293" s="4"/>
      <c r="L10293" s="4"/>
      <c r="M10293" s="5" t="s">
        <v>6501</v>
      </c>
    </row>
    <row r="10294" customFormat="false" ht="15.75" hidden="false" customHeight="false" outlineLevel="0" collapsed="false">
      <c r="A10294" s="6" t="n">
        <v>46193</v>
      </c>
      <c r="B10294" s="4" t="s">
        <v>1237</v>
      </c>
      <c r="C10294" s="4" t="n">
        <v>4</v>
      </c>
      <c r="D10294" s="4" t="n">
        <v>12</v>
      </c>
      <c r="E10294" s="4"/>
      <c r="F10294" s="4" t="n">
        <v>41</v>
      </c>
      <c r="G10294" s="4" t="n">
        <v>2</v>
      </c>
      <c r="H10294" s="4" t="n">
        <v>4</v>
      </c>
      <c r="I10294" s="4" t="str">
        <v>×</v>
      </c>
      <c r="J10294" s="4"/>
      <c r="K10294" s="4"/>
      <c r="L10294" s="4"/>
      <c r="M10294" s="5" t="s">
        <v>6501</v>
      </c>
    </row>
    <row r="10295" customFormat="false" ht="15.75" hidden="false" customHeight="false" outlineLevel="0" collapsed="false">
      <c r="A10295" s="6" t="n">
        <v>46193</v>
      </c>
      <c r="B10295" s="4" t="s">
        <v>1237</v>
      </c>
      <c r="C10295" s="4" t="n">
        <v>4</v>
      </c>
      <c r="D10295" s="4" t="n">
        <v>13</v>
      </c>
      <c r="E10295" s="4"/>
      <c r="F10295" s="4" t="n">
        <v>34</v>
      </c>
      <c r="G10295" s="4" t="n">
        <v>3</v>
      </c>
      <c r="H10295" s="4" t="n">
        <v>4</v>
      </c>
      <c r="I10295" s="4" t="str">
        <v>×</v>
      </c>
      <c r="J10295" s="4"/>
      <c r="K10295" s="4"/>
      <c r="L10295" s="4"/>
      <c r="M10295" s="5" t="s">
        <v>6501</v>
      </c>
    </row>
    <row r="10296" customFormat="false" ht="15.75" hidden="false" customHeight="false" outlineLevel="0" collapsed="false">
      <c r="A10296" s="6" t="n">
        <v>46193</v>
      </c>
      <c r="B10296" s="4" t="s">
        <v>1237</v>
      </c>
      <c r="C10296" s="4" t="n">
        <v>4</v>
      </c>
      <c r="D10296" s="4" t="n">
        <v>14</v>
      </c>
      <c r="E10296" s="4"/>
      <c r="F10296" s="4" t="n">
        <v>8</v>
      </c>
      <c r="G10296" s="4" t="n">
        <v>8</v>
      </c>
      <c r="H10296" s="4" t="n">
        <v>4</v>
      </c>
      <c r="I10296" s="4" t="str">
        <v>×</v>
      </c>
      <c r="J10296" s="4"/>
      <c r="K10296" s="4"/>
      <c r="L10296" s="4"/>
      <c r="M10296" s="5" t="s">
        <v>6501</v>
      </c>
    </row>
    <row r="10297" customFormat="false" ht="15.75" hidden="false" customHeight="false" outlineLevel="0" collapsed="false">
      <c r="A10297" s="6" t="n">
        <v>46193</v>
      </c>
      <c r="B10297" s="4" t="s">
        <v>1237</v>
      </c>
      <c r="C10297" s="4" t="n">
        <v>5</v>
      </c>
      <c r="D10297" s="4" t="n">
        <v>1</v>
      </c>
      <c r="E10297" s="4"/>
      <c r="F10297" s="4" t="n">
        <v>28</v>
      </c>
      <c r="G10297" s="4" t="n">
        <v>2</v>
      </c>
      <c r="H10297" s="4" t="n">
        <v>4</v>
      </c>
      <c r="I10297" s="4" t="str">
        <v>×</v>
      </c>
      <c r="J10297" s="4"/>
      <c r="K10297" s="4"/>
      <c r="L10297" s="4"/>
      <c r="M10297" s="5" t="s">
        <v>6501</v>
      </c>
    </row>
    <row r="10298" customFormat="false" ht="15.75" hidden="false" customHeight="false" outlineLevel="0" collapsed="false">
      <c r="A10298" s="6" t="n">
        <v>46193</v>
      </c>
      <c r="B10298" s="4" t="s">
        <v>1237</v>
      </c>
      <c r="C10298" s="4" t="n">
        <v>5</v>
      </c>
      <c r="D10298" s="4" t="n">
        <v>2</v>
      </c>
      <c r="E10298" s="4"/>
      <c r="F10298" s="4" t="n">
        <v>28</v>
      </c>
      <c r="G10298" s="4" t="n">
        <v>2</v>
      </c>
      <c r="H10298" s="4" t="n">
        <v>1</v>
      </c>
      <c r="I10298" s="4" t="str">
        <v>○</v>
      </c>
      <c r="J10298" s="4" t="n">
        <v>130</v>
      </c>
      <c r="K10298" s="4"/>
      <c r="L10298" s="4"/>
      <c r="M10298" s="5" t="s">
        <v>6501</v>
      </c>
    </row>
    <row r="10299" customFormat="false" ht="15.75" hidden="false" customHeight="false" outlineLevel="0" collapsed="false">
      <c r="A10299" s="6" t="n">
        <v>46193</v>
      </c>
      <c r="B10299" s="4" t="s">
        <v>1237</v>
      </c>
      <c r="C10299" s="4" t="n">
        <v>5</v>
      </c>
      <c r="D10299" s="4" t="n">
        <v>3</v>
      </c>
      <c r="E10299" s="4"/>
      <c r="F10299" s="4" t="n">
        <v>27</v>
      </c>
      <c r="G10299" s="4" t="n">
        <v>3</v>
      </c>
      <c r="H10299" s="4" t="n">
        <v>4</v>
      </c>
      <c r="I10299" s="4" t="str">
        <v>×</v>
      </c>
      <c r="J10299" s="4"/>
      <c r="K10299" s="4"/>
      <c r="L10299" s="4"/>
      <c r="M10299" s="5" t="s">
        <v>6501</v>
      </c>
    </row>
    <row r="10300" customFormat="false" ht="15.75" hidden="false" customHeight="false" outlineLevel="0" collapsed="false">
      <c r="A10300" s="6" t="n">
        <v>46193</v>
      </c>
      <c r="B10300" s="4" t="s">
        <v>1237</v>
      </c>
      <c r="C10300" s="4" t="n">
        <v>5</v>
      </c>
      <c r="D10300" s="4" t="n">
        <v>4</v>
      </c>
      <c r="E10300" s="4"/>
      <c r="F10300" s="4" t="n">
        <v>16</v>
      </c>
      <c r="G10300" s="4" t="n">
        <v>6</v>
      </c>
      <c r="H10300" s="4" t="n">
        <v>3</v>
      </c>
      <c r="I10300" s="4" t="str">
        <v>○</v>
      </c>
      <c r="J10300" s="4" t="n">
        <v>110</v>
      </c>
      <c r="K10300" s="4"/>
      <c r="L10300" s="4"/>
      <c r="M10300" s="5" t="s">
        <v>6501</v>
      </c>
    </row>
    <row r="10301" customFormat="false" ht="15.75" hidden="false" customHeight="false" outlineLevel="0" collapsed="false">
      <c r="A10301" s="6" t="n">
        <v>46193</v>
      </c>
      <c r="B10301" s="4" t="s">
        <v>1237</v>
      </c>
      <c r="C10301" s="4" t="n">
        <v>5</v>
      </c>
      <c r="D10301" s="4" t="n">
        <v>5</v>
      </c>
      <c r="E10301" s="4"/>
      <c r="F10301" s="4" t="n">
        <v>8</v>
      </c>
      <c r="G10301" s="4" t="n">
        <v>7</v>
      </c>
      <c r="H10301" s="4" t="n">
        <v>4</v>
      </c>
      <c r="I10301" s="4" t="str">
        <v>×</v>
      </c>
      <c r="J10301" s="4"/>
      <c r="K10301" s="4"/>
      <c r="L10301" s="4"/>
      <c r="M10301" s="5" t="s">
        <v>6501</v>
      </c>
    </row>
    <row r="10302" customFormat="false" ht="15.75" hidden="false" customHeight="false" outlineLevel="0" collapsed="false">
      <c r="A10302" s="6" t="n">
        <v>46193</v>
      </c>
      <c r="B10302" s="4" t="s">
        <v>1237</v>
      </c>
      <c r="C10302" s="4" t="n">
        <v>5</v>
      </c>
      <c r="D10302" s="4" t="n">
        <v>6</v>
      </c>
      <c r="E10302" s="4"/>
      <c r="F10302" s="4" t="n">
        <v>31</v>
      </c>
      <c r="G10302" s="4" t="n">
        <v>1</v>
      </c>
      <c r="H10302" s="4" t="n">
        <v>2</v>
      </c>
      <c r="I10302" s="4" t="str">
        <v>○</v>
      </c>
      <c r="J10302" s="4" t="n">
        <v>120</v>
      </c>
      <c r="K10302" s="4"/>
      <c r="L10302" s="4"/>
      <c r="M10302" s="5" t="s">
        <v>6501</v>
      </c>
    </row>
    <row r="10303" customFormat="false" ht="15.75" hidden="false" customHeight="false" outlineLevel="0" collapsed="false">
      <c r="A10303" s="6" t="n">
        <v>46193</v>
      </c>
      <c r="B10303" s="4" t="s">
        <v>1237</v>
      </c>
      <c r="C10303" s="4" t="n">
        <v>5</v>
      </c>
      <c r="D10303" s="4" t="n">
        <v>7</v>
      </c>
      <c r="E10303" s="4"/>
      <c r="F10303" s="4" t="n">
        <v>8</v>
      </c>
      <c r="G10303" s="4" t="n">
        <v>7</v>
      </c>
      <c r="H10303" s="4" t="n">
        <v>4</v>
      </c>
      <c r="I10303" s="4" t="str">
        <v>×</v>
      </c>
      <c r="J10303" s="4"/>
      <c r="K10303" s="4"/>
      <c r="L10303" s="4"/>
      <c r="M10303" s="5" t="s">
        <v>6501</v>
      </c>
    </row>
    <row r="10304" customFormat="false" ht="15.75" hidden="false" customHeight="false" outlineLevel="0" collapsed="false">
      <c r="A10304" s="6" t="n">
        <v>46193</v>
      </c>
      <c r="B10304" s="4" t="s">
        <v>1237</v>
      </c>
      <c r="C10304" s="4" t="n">
        <v>5</v>
      </c>
      <c r="D10304" s="4" t="n">
        <v>8</v>
      </c>
      <c r="E10304" s="4"/>
      <c r="F10304" s="4" t="n">
        <v>24</v>
      </c>
      <c r="G10304" s="4" t="n">
        <v>4</v>
      </c>
      <c r="H10304" s="4" t="n">
        <v>4</v>
      </c>
      <c r="I10304" s="4" t="str">
        <v>×</v>
      </c>
      <c r="J10304" s="4"/>
      <c r="K10304" s="4"/>
      <c r="L10304" s="4"/>
      <c r="M10304" s="5" t="s">
        <v>6501</v>
      </c>
    </row>
    <row r="10305" customFormat="false" ht="15.75" hidden="false" customHeight="false" outlineLevel="0" collapsed="false">
      <c r="A10305" s="6" t="n">
        <v>46193</v>
      </c>
      <c r="B10305" s="4" t="s">
        <v>1237</v>
      </c>
      <c r="C10305" s="4" t="n">
        <v>5</v>
      </c>
      <c r="D10305" s="4" t="n">
        <v>9</v>
      </c>
      <c r="E10305" s="4"/>
      <c r="F10305" s="4" t="n">
        <v>24</v>
      </c>
      <c r="G10305" s="4" t="n">
        <v>4</v>
      </c>
      <c r="H10305" s="4" t="n">
        <v>4</v>
      </c>
      <c r="I10305" s="4" t="str">
        <v>×</v>
      </c>
      <c r="J10305" s="4"/>
      <c r="K10305" s="4"/>
      <c r="L10305" s="4"/>
      <c r="M10305" s="5" t="s">
        <v>6501</v>
      </c>
    </row>
    <row r="10306" customFormat="false" ht="15.75" hidden="false" customHeight="false" outlineLevel="0" collapsed="false">
      <c r="A10306" s="6" t="n">
        <v>46193</v>
      </c>
      <c r="B10306" s="4" t="s">
        <v>1237</v>
      </c>
      <c r="C10306" s="4" t="n">
        <v>5</v>
      </c>
      <c r="D10306" s="4" t="n">
        <v>10</v>
      </c>
      <c r="E10306" s="4"/>
      <c r="F10306" s="4" t="n">
        <v>21</v>
      </c>
      <c r="G10306" s="4" t="n">
        <v>5</v>
      </c>
      <c r="H10306" s="4" t="n">
        <v>4</v>
      </c>
      <c r="I10306" s="4" t="str">
        <v>×</v>
      </c>
      <c r="J10306" s="4"/>
      <c r="K10306" s="4"/>
      <c r="L10306" s="4"/>
      <c r="M10306" s="5" t="s">
        <v>6501</v>
      </c>
    </row>
    <row r="10307" customFormat="false" ht="15.75" hidden="false" customHeight="false" outlineLevel="0" collapsed="false">
      <c r="A10307" s="6" t="n">
        <v>46193</v>
      </c>
      <c r="B10307" s="4" t="s">
        <v>1237</v>
      </c>
      <c r="C10307" s="4" t="n">
        <v>6</v>
      </c>
      <c r="D10307" s="4" t="n">
        <v>1</v>
      </c>
      <c r="E10307" s="4"/>
      <c r="F10307" s="4" t="n">
        <v>31</v>
      </c>
      <c r="G10307" s="4" t="n">
        <v>2</v>
      </c>
      <c r="H10307" s="4" t="n">
        <v>2</v>
      </c>
      <c r="I10307" s="4" t="str">
        <v>○</v>
      </c>
      <c r="J10307" s="4" t="n">
        <v>150</v>
      </c>
      <c r="K10307" s="4"/>
      <c r="L10307" s="4"/>
      <c r="M10307" s="5" t="s">
        <v>6501</v>
      </c>
    </row>
    <row r="10308" customFormat="false" ht="15.75" hidden="false" customHeight="false" outlineLevel="0" collapsed="false">
      <c r="A10308" s="6" t="n">
        <v>46193</v>
      </c>
      <c r="B10308" s="4" t="s">
        <v>1237</v>
      </c>
      <c r="C10308" s="4" t="n">
        <v>6</v>
      </c>
      <c r="D10308" s="4" t="n">
        <v>2</v>
      </c>
      <c r="E10308" s="4"/>
      <c r="F10308" s="4" t="n">
        <v>16</v>
      </c>
      <c r="G10308" s="4" t="n">
        <v>5</v>
      </c>
      <c r="H10308" s="4" t="n">
        <v>4</v>
      </c>
      <c r="I10308" s="4" t="str">
        <v>×</v>
      </c>
      <c r="J10308" s="4"/>
      <c r="K10308" s="4"/>
      <c r="L10308" s="4"/>
      <c r="M10308" s="5" t="s">
        <v>6501</v>
      </c>
    </row>
    <row r="10309" customFormat="false" ht="15.75" hidden="false" customHeight="false" outlineLevel="0" collapsed="false">
      <c r="A10309" s="6" t="n">
        <v>46193</v>
      </c>
      <c r="B10309" s="4" t="s">
        <v>1237</v>
      </c>
      <c r="C10309" s="4" t="n">
        <v>6</v>
      </c>
      <c r="D10309" s="4" t="n">
        <v>3</v>
      </c>
      <c r="E10309" s="4"/>
      <c r="F10309" s="4" t="n">
        <v>27</v>
      </c>
      <c r="G10309" s="4" t="n">
        <v>3</v>
      </c>
      <c r="H10309" s="4" t="n">
        <v>4</v>
      </c>
      <c r="I10309" s="4" t="str">
        <v>×</v>
      </c>
      <c r="J10309" s="4"/>
      <c r="K10309" s="4"/>
      <c r="L10309" s="4"/>
      <c r="M10309" s="5" t="s">
        <v>6501</v>
      </c>
    </row>
    <row r="10310" customFormat="false" ht="15.75" hidden="false" customHeight="false" outlineLevel="0" collapsed="false">
      <c r="A10310" s="6" t="n">
        <v>46193</v>
      </c>
      <c r="B10310" s="4" t="s">
        <v>1237</v>
      </c>
      <c r="C10310" s="4" t="n">
        <v>6</v>
      </c>
      <c r="D10310" s="4" t="n">
        <v>4</v>
      </c>
      <c r="E10310" s="4"/>
      <c r="F10310" s="4" t="n">
        <v>31</v>
      </c>
      <c r="G10310" s="4" t="n">
        <v>2</v>
      </c>
      <c r="H10310" s="4" t="n">
        <v>1</v>
      </c>
      <c r="I10310" s="4" t="str">
        <v>○</v>
      </c>
      <c r="J10310" s="4" t="n">
        <v>180</v>
      </c>
      <c r="K10310" s="4"/>
      <c r="L10310" s="4"/>
      <c r="M10310" s="5" t="s">
        <v>6501</v>
      </c>
    </row>
    <row r="10311" customFormat="false" ht="15.75" hidden="false" customHeight="false" outlineLevel="0" collapsed="false">
      <c r="A10311" s="6" t="n">
        <v>46193</v>
      </c>
      <c r="B10311" s="4" t="s">
        <v>1237</v>
      </c>
      <c r="C10311" s="4" t="n">
        <v>6</v>
      </c>
      <c r="D10311" s="4" t="n">
        <v>5</v>
      </c>
      <c r="E10311" s="4"/>
      <c r="F10311" s="4" t="n">
        <v>12</v>
      </c>
      <c r="G10311" s="4" t="n">
        <v>7</v>
      </c>
      <c r="H10311" s="4" t="n">
        <v>4</v>
      </c>
      <c r="I10311" s="4" t="str">
        <v>×</v>
      </c>
      <c r="J10311" s="4"/>
      <c r="K10311" s="4"/>
      <c r="L10311" s="4"/>
      <c r="M10311" s="5" t="s">
        <v>6501</v>
      </c>
    </row>
    <row r="10312" customFormat="false" ht="15.75" hidden="false" customHeight="false" outlineLevel="0" collapsed="false">
      <c r="A10312" s="6" t="n">
        <v>46193</v>
      </c>
      <c r="B10312" s="4" t="s">
        <v>1237</v>
      </c>
      <c r="C10312" s="4" t="n">
        <v>6</v>
      </c>
      <c r="D10312" s="4" t="n">
        <v>6</v>
      </c>
      <c r="E10312" s="4"/>
      <c r="F10312" s="4" t="n">
        <v>27</v>
      </c>
      <c r="G10312" s="4" t="n">
        <v>3</v>
      </c>
      <c r="H10312" s="4" t="n">
        <v>4</v>
      </c>
      <c r="I10312" s="4" t="str">
        <v>×</v>
      </c>
      <c r="J10312" s="4"/>
      <c r="K10312" s="4"/>
      <c r="L10312" s="4"/>
      <c r="M10312" s="5" t="s">
        <v>6501</v>
      </c>
    </row>
    <row r="10313" customFormat="false" ht="15.75" hidden="false" customHeight="false" outlineLevel="0" collapsed="false">
      <c r="A10313" s="6" t="n">
        <v>46193</v>
      </c>
      <c r="B10313" s="4" t="s">
        <v>1237</v>
      </c>
      <c r="C10313" s="4" t="n">
        <v>6</v>
      </c>
      <c r="D10313" s="4" t="n">
        <v>7</v>
      </c>
      <c r="E10313" s="4"/>
      <c r="F10313" s="4" t="n">
        <v>21</v>
      </c>
      <c r="G10313" s="4" t="n">
        <v>4</v>
      </c>
      <c r="H10313" s="4" t="n">
        <v>4</v>
      </c>
      <c r="I10313" s="4" t="str">
        <v>×</v>
      </c>
      <c r="J10313" s="4"/>
      <c r="K10313" s="4"/>
      <c r="L10313" s="4"/>
      <c r="M10313" s="5" t="s">
        <v>6501</v>
      </c>
    </row>
    <row r="10314" customFormat="false" ht="15.75" hidden="false" customHeight="false" outlineLevel="0" collapsed="false">
      <c r="A10314" s="6" t="n">
        <v>46193</v>
      </c>
      <c r="B10314" s="4" t="s">
        <v>1237</v>
      </c>
      <c r="C10314" s="4" t="n">
        <v>6</v>
      </c>
      <c r="D10314" s="4" t="n">
        <v>8</v>
      </c>
      <c r="E10314" s="4"/>
      <c r="F10314" s="4" t="n">
        <v>37</v>
      </c>
      <c r="G10314" s="4" t="n">
        <v>1</v>
      </c>
      <c r="H10314" s="4" t="n">
        <v>4</v>
      </c>
      <c r="I10314" s="4" t="str">
        <v>×</v>
      </c>
      <c r="J10314" s="4"/>
      <c r="K10314" s="4"/>
      <c r="L10314" s="4"/>
      <c r="M10314" s="5" t="s">
        <v>6501</v>
      </c>
    </row>
    <row r="10315" customFormat="false" ht="15.75" hidden="false" customHeight="false" outlineLevel="0" collapsed="false">
      <c r="A10315" s="6" t="n">
        <v>46193</v>
      </c>
      <c r="B10315" s="4" t="s">
        <v>1237</v>
      </c>
      <c r="C10315" s="4" t="n">
        <v>6</v>
      </c>
      <c r="D10315" s="4" t="n">
        <v>9</v>
      </c>
      <c r="E10315" s="4"/>
      <c r="F10315" s="4" t="n">
        <v>12</v>
      </c>
      <c r="G10315" s="4" t="n">
        <v>7</v>
      </c>
      <c r="H10315" s="4" t="n">
        <v>4</v>
      </c>
      <c r="I10315" s="4" t="str">
        <v>×</v>
      </c>
      <c r="J10315" s="4"/>
      <c r="K10315" s="4"/>
      <c r="L10315" s="4"/>
      <c r="M10315" s="5" t="s">
        <v>6501</v>
      </c>
    </row>
    <row r="10316" customFormat="false" ht="15.75" hidden="false" customHeight="false" outlineLevel="0" collapsed="false">
      <c r="A10316" s="6" t="n">
        <v>46193</v>
      </c>
      <c r="B10316" s="4" t="s">
        <v>1237</v>
      </c>
      <c r="C10316" s="4" t="n">
        <v>6</v>
      </c>
      <c r="D10316" s="4" t="n">
        <v>10</v>
      </c>
      <c r="E10316" s="4"/>
      <c r="F10316" s="4" t="n">
        <v>37</v>
      </c>
      <c r="G10316" s="4" t="n">
        <v>1</v>
      </c>
      <c r="H10316" s="4" t="n">
        <v>3</v>
      </c>
      <c r="I10316" s="4" t="str">
        <v>○</v>
      </c>
      <c r="J10316" s="4" t="n">
        <v>370</v>
      </c>
      <c r="K10316" s="4"/>
      <c r="L10316" s="4"/>
      <c r="M10316" s="5" t="s">
        <v>6501</v>
      </c>
    </row>
    <row r="10317" customFormat="false" ht="15.75" hidden="false" customHeight="false" outlineLevel="0" collapsed="false">
      <c r="A10317" s="6" t="n">
        <v>46193</v>
      </c>
      <c r="B10317" s="4" t="s">
        <v>1237</v>
      </c>
      <c r="C10317" s="4" t="n">
        <v>6</v>
      </c>
      <c r="D10317" s="4" t="n">
        <v>11</v>
      </c>
      <c r="E10317" s="4"/>
      <c r="F10317" s="4" t="n">
        <v>14</v>
      </c>
      <c r="G10317" s="4" t="n">
        <v>6</v>
      </c>
      <c r="H10317" s="4" t="n">
        <v>4</v>
      </c>
      <c r="I10317" s="4" t="str">
        <v>×</v>
      </c>
      <c r="J10317" s="4"/>
      <c r="K10317" s="4"/>
      <c r="L10317" s="4"/>
      <c r="M10317" s="5" t="s">
        <v>6501</v>
      </c>
    </row>
    <row r="10318" customFormat="false" ht="15.75" hidden="false" customHeight="false" outlineLevel="0" collapsed="false">
      <c r="A10318" s="6" t="n">
        <v>46193</v>
      </c>
      <c r="B10318" s="4" t="s">
        <v>1237</v>
      </c>
      <c r="C10318" s="4" t="n">
        <v>7</v>
      </c>
      <c r="D10318" s="4" t="n">
        <v>1</v>
      </c>
      <c r="E10318" s="4"/>
      <c r="F10318" s="4" t="n">
        <v>10</v>
      </c>
      <c r="G10318" s="4" t="n">
        <v>8</v>
      </c>
      <c r="H10318" s="4" t="n">
        <v>4</v>
      </c>
      <c r="I10318" s="4" t="str">
        <v>×</v>
      </c>
      <c r="J10318" s="4"/>
      <c r="K10318" s="4"/>
      <c r="L10318" s="4"/>
      <c r="M10318" s="5" t="s">
        <v>6501</v>
      </c>
    </row>
    <row r="10319" customFormat="false" ht="15.75" hidden="false" customHeight="false" outlineLevel="0" collapsed="false">
      <c r="A10319" s="6" t="n">
        <v>46193</v>
      </c>
      <c r="B10319" s="4" t="s">
        <v>1237</v>
      </c>
      <c r="C10319" s="4" t="n">
        <v>7</v>
      </c>
      <c r="D10319" s="4" t="n">
        <v>2</v>
      </c>
      <c r="E10319" s="4"/>
      <c r="F10319" s="4" t="n">
        <v>13</v>
      </c>
      <c r="G10319" s="4" t="n">
        <v>7</v>
      </c>
      <c r="H10319" s="4" t="n">
        <v>1</v>
      </c>
      <c r="I10319" s="4" t="str">
        <v>○</v>
      </c>
      <c r="J10319" s="4" t="n">
        <v>450</v>
      </c>
      <c r="K10319" s="4"/>
      <c r="L10319" s="4"/>
      <c r="M10319" s="5" t="s">
        <v>6501</v>
      </c>
    </row>
    <row r="10320" customFormat="false" ht="15.75" hidden="false" customHeight="false" outlineLevel="0" collapsed="false">
      <c r="A10320" s="6" t="n">
        <v>46193</v>
      </c>
      <c r="B10320" s="4" t="s">
        <v>1237</v>
      </c>
      <c r="C10320" s="4" t="n">
        <v>7</v>
      </c>
      <c r="D10320" s="4" t="n">
        <v>3</v>
      </c>
      <c r="E10320" s="4"/>
      <c r="F10320" s="4" t="n">
        <v>75</v>
      </c>
      <c r="G10320" s="4" t="n">
        <v>1</v>
      </c>
      <c r="H10320" s="4" t="n">
        <v>4</v>
      </c>
      <c r="I10320" s="4" t="str">
        <v>×</v>
      </c>
      <c r="J10320" s="4"/>
      <c r="K10320" s="4"/>
      <c r="L10320" s="4"/>
      <c r="M10320" s="5" t="s">
        <v>6501</v>
      </c>
    </row>
    <row r="10321" customFormat="false" ht="15.75" hidden="false" customHeight="false" outlineLevel="0" collapsed="false">
      <c r="A10321" s="6" t="n">
        <v>46193</v>
      </c>
      <c r="B10321" s="4" t="s">
        <v>1237</v>
      </c>
      <c r="C10321" s="4" t="n">
        <v>7</v>
      </c>
      <c r="D10321" s="4" t="n">
        <v>4</v>
      </c>
      <c r="E10321" s="4"/>
      <c r="F10321" s="4" t="n">
        <v>8</v>
      </c>
      <c r="G10321" s="4" t="n">
        <v>9</v>
      </c>
      <c r="H10321" s="4" t="n">
        <v>4</v>
      </c>
      <c r="I10321" s="4" t="str">
        <v>×</v>
      </c>
      <c r="J10321" s="4"/>
      <c r="K10321" s="4"/>
      <c r="L10321" s="4"/>
      <c r="M10321" s="5" t="s">
        <v>6501</v>
      </c>
    </row>
    <row r="10322" customFormat="false" ht="15.75" hidden="false" customHeight="false" outlineLevel="0" collapsed="false">
      <c r="A10322" s="6" t="n">
        <v>46193</v>
      </c>
      <c r="B10322" s="4" t="s">
        <v>1237</v>
      </c>
      <c r="C10322" s="4" t="n">
        <v>7</v>
      </c>
      <c r="D10322" s="4" t="n">
        <v>5</v>
      </c>
      <c r="E10322" s="4"/>
      <c r="F10322" s="4" t="n">
        <v>39</v>
      </c>
      <c r="G10322" s="4" t="n">
        <v>2</v>
      </c>
      <c r="H10322" s="4" t="n">
        <v>4</v>
      </c>
      <c r="I10322" s="4" t="str">
        <v>×</v>
      </c>
      <c r="J10322" s="4"/>
      <c r="K10322" s="4"/>
      <c r="L10322" s="4"/>
      <c r="M10322" s="5" t="s">
        <v>6501</v>
      </c>
    </row>
    <row r="10323" customFormat="false" ht="15.75" hidden="false" customHeight="false" outlineLevel="0" collapsed="false">
      <c r="A10323" s="6" t="n">
        <v>46193</v>
      </c>
      <c r="B10323" s="4" t="s">
        <v>1237</v>
      </c>
      <c r="C10323" s="4" t="n">
        <v>7</v>
      </c>
      <c r="D10323" s="4" t="n">
        <v>6</v>
      </c>
      <c r="E10323" s="4"/>
      <c r="F10323" s="4" t="n">
        <v>8</v>
      </c>
      <c r="G10323" s="4" t="n">
        <v>9</v>
      </c>
      <c r="H10323" s="4" t="n">
        <v>4</v>
      </c>
      <c r="I10323" s="4" t="str">
        <v>×</v>
      </c>
      <c r="J10323" s="4"/>
      <c r="K10323" s="4"/>
      <c r="L10323" s="4"/>
      <c r="M10323" s="5" t="s">
        <v>6501</v>
      </c>
    </row>
    <row r="10324" customFormat="false" ht="15.75" hidden="false" customHeight="false" outlineLevel="0" collapsed="false">
      <c r="A10324" s="6" t="n">
        <v>46193</v>
      </c>
      <c r="B10324" s="4" t="s">
        <v>1237</v>
      </c>
      <c r="C10324" s="4" t="n">
        <v>7</v>
      </c>
      <c r="D10324" s="4" t="n">
        <v>7</v>
      </c>
      <c r="E10324" s="4"/>
      <c r="F10324" s="4" t="n">
        <v>3</v>
      </c>
      <c r="G10324" s="4" t="n">
        <v>10</v>
      </c>
      <c r="H10324" s="4" t="n">
        <v>4</v>
      </c>
      <c r="I10324" s="4" t="str">
        <v>×</v>
      </c>
      <c r="J10324" s="4"/>
      <c r="K10324" s="4"/>
      <c r="L10324" s="4"/>
      <c r="M10324" s="5" t="s">
        <v>6501</v>
      </c>
    </row>
    <row r="10325" customFormat="false" ht="15.75" hidden="false" customHeight="false" outlineLevel="0" collapsed="false">
      <c r="A10325" s="6" t="n">
        <v>46193</v>
      </c>
      <c r="B10325" s="4" t="s">
        <v>1237</v>
      </c>
      <c r="C10325" s="4" t="n">
        <v>7</v>
      </c>
      <c r="D10325" s="4" t="n">
        <v>8</v>
      </c>
      <c r="E10325" s="4"/>
      <c r="F10325" s="4" t="n">
        <v>13</v>
      </c>
      <c r="G10325" s="4" t="n">
        <v>7</v>
      </c>
      <c r="H10325" s="4" t="n">
        <v>3</v>
      </c>
      <c r="I10325" s="4" t="str">
        <v>○</v>
      </c>
      <c r="J10325" s="4" t="n">
        <v>640</v>
      </c>
      <c r="K10325" s="4"/>
      <c r="L10325" s="4"/>
      <c r="M10325" s="5" t="s">
        <v>6501</v>
      </c>
    </row>
    <row r="10326" customFormat="false" ht="15.75" hidden="false" customHeight="false" outlineLevel="0" collapsed="false">
      <c r="A10326" s="6" t="n">
        <v>46193</v>
      </c>
      <c r="B10326" s="4" t="s">
        <v>1237</v>
      </c>
      <c r="C10326" s="4" t="n">
        <v>7</v>
      </c>
      <c r="D10326" s="4" t="n">
        <v>9</v>
      </c>
      <c r="E10326" s="4"/>
      <c r="F10326" s="4" t="n">
        <v>10</v>
      </c>
      <c r="G10326" s="4" t="n">
        <v>8</v>
      </c>
      <c r="H10326" s="4" t="n">
        <v>4</v>
      </c>
      <c r="I10326" s="4" t="str">
        <v>×</v>
      </c>
      <c r="J10326" s="4"/>
      <c r="K10326" s="4"/>
      <c r="L10326" s="4"/>
      <c r="M10326" s="5" t="s">
        <v>6501</v>
      </c>
    </row>
    <row r="10327" customFormat="false" ht="15.75" hidden="false" customHeight="false" outlineLevel="0" collapsed="false">
      <c r="A10327" s="6" t="n">
        <v>46193</v>
      </c>
      <c r="B10327" s="4" t="s">
        <v>1237</v>
      </c>
      <c r="C10327" s="4" t="n">
        <v>7</v>
      </c>
      <c r="D10327" s="4" t="n">
        <v>10</v>
      </c>
      <c r="E10327" s="4"/>
      <c r="F10327" s="4" t="n">
        <v>13</v>
      </c>
      <c r="G10327" s="4" t="n">
        <v>7</v>
      </c>
      <c r="H10327" s="4" t="n">
        <v>4</v>
      </c>
      <c r="I10327" s="4" t="str">
        <v>×</v>
      </c>
      <c r="J10327" s="4"/>
      <c r="K10327" s="4"/>
      <c r="L10327" s="4"/>
      <c r="M10327" s="5" t="s">
        <v>6501</v>
      </c>
    </row>
    <row r="10328" customFormat="false" ht="15.75" hidden="false" customHeight="false" outlineLevel="0" collapsed="false">
      <c r="A10328" s="6" t="n">
        <v>46193</v>
      </c>
      <c r="B10328" s="4" t="s">
        <v>1237</v>
      </c>
      <c r="C10328" s="4" t="n">
        <v>7</v>
      </c>
      <c r="D10328" s="4" t="n">
        <v>11</v>
      </c>
      <c r="E10328" s="4"/>
      <c r="F10328" s="4" t="n">
        <v>17</v>
      </c>
      <c r="G10328" s="4" t="n">
        <v>5</v>
      </c>
      <c r="H10328" s="4" t="n">
        <v>4</v>
      </c>
      <c r="I10328" s="4" t="str">
        <v>×</v>
      </c>
      <c r="J10328" s="4"/>
      <c r="K10328" s="4"/>
      <c r="L10328" s="4"/>
      <c r="M10328" s="5" t="s">
        <v>6501</v>
      </c>
    </row>
    <row r="10329" customFormat="false" ht="15.75" hidden="false" customHeight="false" outlineLevel="0" collapsed="false">
      <c r="A10329" s="6" t="n">
        <v>46193</v>
      </c>
      <c r="B10329" s="4" t="s">
        <v>1237</v>
      </c>
      <c r="C10329" s="4" t="n">
        <v>7</v>
      </c>
      <c r="D10329" s="4" t="n">
        <v>12</v>
      </c>
      <c r="E10329" s="4"/>
      <c r="F10329" s="4" t="n">
        <v>15</v>
      </c>
      <c r="G10329" s="4" t="n">
        <v>6</v>
      </c>
      <c r="H10329" s="4" t="n">
        <v>4</v>
      </c>
      <c r="I10329" s="4" t="str">
        <v>×</v>
      </c>
      <c r="J10329" s="4"/>
      <c r="K10329" s="4"/>
      <c r="L10329" s="4"/>
      <c r="M10329" s="5" t="s">
        <v>6501</v>
      </c>
    </row>
    <row r="10330" customFormat="false" ht="15.75" hidden="false" customHeight="false" outlineLevel="0" collapsed="false">
      <c r="A10330" s="6" t="n">
        <v>46193</v>
      </c>
      <c r="B10330" s="4" t="s">
        <v>1237</v>
      </c>
      <c r="C10330" s="4" t="n">
        <v>7</v>
      </c>
      <c r="D10330" s="4" t="n">
        <v>13</v>
      </c>
      <c r="E10330" s="4"/>
      <c r="F10330" s="4" t="n">
        <v>8</v>
      </c>
      <c r="G10330" s="4" t="n">
        <v>9</v>
      </c>
      <c r="H10330" s="4" t="n">
        <v>4</v>
      </c>
      <c r="I10330" s="4" t="str">
        <v>×</v>
      </c>
      <c r="J10330" s="4"/>
      <c r="K10330" s="4"/>
      <c r="L10330" s="4"/>
      <c r="M10330" s="5" t="s">
        <v>6501</v>
      </c>
    </row>
    <row r="10331" customFormat="false" ht="15.75" hidden="false" customHeight="false" outlineLevel="0" collapsed="false">
      <c r="A10331" s="6" t="n">
        <v>46193</v>
      </c>
      <c r="B10331" s="4" t="s">
        <v>1237</v>
      </c>
      <c r="C10331" s="4" t="n">
        <v>7</v>
      </c>
      <c r="D10331" s="4" t="n">
        <v>14</v>
      </c>
      <c r="E10331" s="4"/>
      <c r="F10331" s="4" t="n">
        <v>23</v>
      </c>
      <c r="G10331" s="4" t="n">
        <v>4</v>
      </c>
      <c r="H10331" s="4" t="n">
        <v>2</v>
      </c>
      <c r="I10331" s="4" t="str">
        <v>○</v>
      </c>
      <c r="J10331" s="4" t="n">
        <v>310</v>
      </c>
      <c r="K10331" s="4"/>
      <c r="L10331" s="4"/>
      <c r="M10331" s="5" t="s">
        <v>6501</v>
      </c>
    </row>
    <row r="10332" customFormat="false" ht="15.75" hidden="false" customHeight="false" outlineLevel="0" collapsed="false">
      <c r="A10332" s="6" t="n">
        <v>46193</v>
      </c>
      <c r="B10332" s="4" t="s">
        <v>1237</v>
      </c>
      <c r="C10332" s="4" t="n">
        <v>7</v>
      </c>
      <c r="D10332" s="4" t="n">
        <v>15</v>
      </c>
      <c r="E10332" s="4"/>
      <c r="F10332" s="4" t="n">
        <v>29</v>
      </c>
      <c r="G10332" s="4" t="n">
        <v>3</v>
      </c>
      <c r="H10332" s="4" t="n">
        <v>4</v>
      </c>
      <c r="I10332" s="4" t="str">
        <v>×</v>
      </c>
      <c r="J10332" s="4"/>
      <c r="K10332" s="4"/>
      <c r="L10332" s="4"/>
      <c r="M10332" s="5" t="s">
        <v>6501</v>
      </c>
    </row>
    <row r="10333" customFormat="false" ht="15.75" hidden="false" customHeight="false" outlineLevel="0" collapsed="false">
      <c r="A10333" s="6" t="n">
        <v>46193</v>
      </c>
      <c r="B10333" s="4" t="s">
        <v>1237</v>
      </c>
      <c r="C10333" s="4" t="n">
        <v>7</v>
      </c>
      <c r="D10333" s="4" t="n">
        <v>16</v>
      </c>
      <c r="E10333" s="4"/>
      <c r="F10333" s="4" t="n">
        <v>23</v>
      </c>
      <c r="G10333" s="4" t="n">
        <v>4</v>
      </c>
      <c r="H10333" s="4" t="n">
        <v>4</v>
      </c>
      <c r="I10333" s="4" t="str">
        <v>×</v>
      </c>
      <c r="J10333" s="4"/>
      <c r="K10333" s="4"/>
      <c r="L10333" s="4"/>
      <c r="M10333" s="5" t="s">
        <v>6501</v>
      </c>
    </row>
    <row r="10334" customFormat="false" ht="15.75" hidden="false" customHeight="false" outlineLevel="0" collapsed="false">
      <c r="A10334" s="6" t="n">
        <v>46193</v>
      </c>
      <c r="B10334" s="4" t="s">
        <v>1237</v>
      </c>
      <c r="C10334" s="4" t="n">
        <v>8</v>
      </c>
      <c r="D10334" s="4" t="n">
        <v>1</v>
      </c>
      <c r="E10334" s="4"/>
      <c r="F10334" s="4" t="n">
        <v>6</v>
      </c>
      <c r="G10334" s="4" t="n">
        <v>8</v>
      </c>
      <c r="H10334" s="4" t="n">
        <v>4</v>
      </c>
      <c r="I10334" s="4" t="str">
        <v>×</v>
      </c>
      <c r="J10334" s="4"/>
      <c r="K10334" s="4"/>
      <c r="L10334" s="4"/>
      <c r="M10334" s="5" t="s">
        <v>6501</v>
      </c>
    </row>
    <row r="10335" customFormat="false" ht="15.75" hidden="false" customHeight="false" outlineLevel="0" collapsed="false">
      <c r="A10335" s="6" t="n">
        <v>46193</v>
      </c>
      <c r="B10335" s="4" t="s">
        <v>1237</v>
      </c>
      <c r="C10335" s="4" t="n">
        <v>8</v>
      </c>
      <c r="D10335" s="4" t="n">
        <v>2</v>
      </c>
      <c r="E10335" s="4"/>
      <c r="F10335" s="4" t="n">
        <v>10</v>
      </c>
      <c r="G10335" s="4" t="n">
        <v>7</v>
      </c>
      <c r="H10335" s="4" t="n">
        <v>4</v>
      </c>
      <c r="I10335" s="4" t="str">
        <v>×</v>
      </c>
      <c r="J10335" s="4"/>
      <c r="K10335" s="4"/>
      <c r="L10335" s="4"/>
      <c r="M10335" s="5" t="s">
        <v>6501</v>
      </c>
    </row>
    <row r="10336" customFormat="false" ht="15.75" hidden="false" customHeight="false" outlineLevel="0" collapsed="false">
      <c r="A10336" s="6" t="n">
        <v>46193</v>
      </c>
      <c r="B10336" s="4" t="s">
        <v>1237</v>
      </c>
      <c r="C10336" s="4" t="n">
        <v>8</v>
      </c>
      <c r="D10336" s="4" t="n">
        <v>3</v>
      </c>
      <c r="E10336" s="4"/>
      <c r="F10336" s="4" t="n">
        <v>15</v>
      </c>
      <c r="G10336" s="4" t="n">
        <v>6</v>
      </c>
      <c r="H10336" s="4" t="n">
        <v>4</v>
      </c>
      <c r="I10336" s="4" t="str">
        <v>×</v>
      </c>
      <c r="J10336" s="4"/>
      <c r="K10336" s="4"/>
      <c r="L10336" s="4"/>
      <c r="M10336" s="5" t="s">
        <v>6501</v>
      </c>
    </row>
    <row r="10337" customFormat="false" ht="15.75" hidden="false" customHeight="false" outlineLevel="0" collapsed="false">
      <c r="A10337" s="6" t="n">
        <v>46193</v>
      </c>
      <c r="B10337" s="4" t="s">
        <v>1237</v>
      </c>
      <c r="C10337" s="4" t="n">
        <v>8</v>
      </c>
      <c r="D10337" s="4" t="n">
        <v>4</v>
      </c>
      <c r="E10337" s="4"/>
      <c r="F10337" s="4" t="n">
        <v>50</v>
      </c>
      <c r="G10337" s="4" t="n">
        <v>1</v>
      </c>
      <c r="H10337" s="4" t="n">
        <v>3</v>
      </c>
      <c r="I10337" s="4" t="str">
        <v>○</v>
      </c>
      <c r="J10337" s="4" t="n">
        <v>200</v>
      </c>
      <c r="K10337" s="4"/>
      <c r="L10337" s="4"/>
      <c r="M10337" s="5" t="s">
        <v>6501</v>
      </c>
    </row>
    <row r="10338" customFormat="false" ht="15.75" hidden="false" customHeight="false" outlineLevel="0" collapsed="false">
      <c r="A10338" s="6" t="n">
        <v>46193</v>
      </c>
      <c r="B10338" s="4" t="s">
        <v>1237</v>
      </c>
      <c r="C10338" s="4" t="n">
        <v>8</v>
      </c>
      <c r="D10338" s="4" t="n">
        <v>5</v>
      </c>
      <c r="E10338" s="4"/>
      <c r="F10338" s="4" t="n">
        <v>47</v>
      </c>
      <c r="G10338" s="4" t="n">
        <v>2</v>
      </c>
      <c r="H10338" s="4" t="n">
        <v>2</v>
      </c>
      <c r="I10338" s="4" t="str">
        <v>○</v>
      </c>
      <c r="J10338" s="4" t="n">
        <v>210</v>
      </c>
      <c r="K10338" s="4"/>
      <c r="L10338" s="4"/>
      <c r="M10338" s="5" t="s">
        <v>6501</v>
      </c>
    </row>
    <row r="10339" customFormat="false" ht="15.75" hidden="false" customHeight="false" outlineLevel="0" collapsed="false">
      <c r="A10339" s="6" t="n">
        <v>46193</v>
      </c>
      <c r="B10339" s="4" t="s">
        <v>1237</v>
      </c>
      <c r="C10339" s="4" t="n">
        <v>8</v>
      </c>
      <c r="D10339" s="4" t="n">
        <v>6</v>
      </c>
      <c r="E10339" s="4"/>
      <c r="F10339" s="4" t="n">
        <v>23</v>
      </c>
      <c r="G10339" s="4" t="n">
        <v>4</v>
      </c>
      <c r="H10339" s="4" t="n">
        <v>4</v>
      </c>
      <c r="I10339" s="4" t="str">
        <v>×</v>
      </c>
      <c r="J10339" s="4"/>
      <c r="K10339" s="4"/>
      <c r="L10339" s="4"/>
      <c r="M10339" s="5" t="s">
        <v>6501</v>
      </c>
    </row>
    <row r="10340" customFormat="false" ht="15.75" hidden="false" customHeight="false" outlineLevel="0" collapsed="false">
      <c r="A10340" s="6" t="n">
        <v>46193</v>
      </c>
      <c r="B10340" s="4" t="s">
        <v>1237</v>
      </c>
      <c r="C10340" s="4" t="n">
        <v>8</v>
      </c>
      <c r="D10340" s="4" t="n">
        <v>7</v>
      </c>
      <c r="E10340" s="4"/>
      <c r="F10340" s="4" t="n">
        <v>23</v>
      </c>
      <c r="G10340" s="4" t="n">
        <v>4</v>
      </c>
      <c r="H10340" s="4" t="n">
        <v>4</v>
      </c>
      <c r="I10340" s="4" t="str">
        <v>×</v>
      </c>
      <c r="J10340" s="4"/>
      <c r="K10340" s="4"/>
      <c r="L10340" s="4"/>
      <c r="M10340" s="5" t="s">
        <v>6501</v>
      </c>
    </row>
    <row r="10341" customFormat="false" ht="15.75" hidden="false" customHeight="false" outlineLevel="0" collapsed="false">
      <c r="A10341" s="6" t="n">
        <v>46193</v>
      </c>
      <c r="B10341" s="4" t="s">
        <v>1237</v>
      </c>
      <c r="C10341" s="4" t="n">
        <v>8</v>
      </c>
      <c r="D10341" s="4" t="n">
        <v>8</v>
      </c>
      <c r="E10341" s="4"/>
      <c r="F10341" s="4" t="n">
        <v>6</v>
      </c>
      <c r="G10341" s="4" t="n">
        <v>8</v>
      </c>
      <c r="H10341" s="4" t="n">
        <v>4</v>
      </c>
      <c r="I10341" s="4" t="str">
        <v>×</v>
      </c>
      <c r="J10341" s="4"/>
      <c r="K10341" s="4"/>
      <c r="L10341" s="4"/>
      <c r="M10341" s="5" t="s">
        <v>6501</v>
      </c>
    </row>
    <row r="10342" customFormat="false" ht="15.75" hidden="false" customHeight="false" outlineLevel="0" collapsed="false">
      <c r="A10342" s="6" t="n">
        <v>46193</v>
      </c>
      <c r="B10342" s="4" t="s">
        <v>1237</v>
      </c>
      <c r="C10342" s="4" t="n">
        <v>8</v>
      </c>
      <c r="D10342" s="4" t="n">
        <v>9</v>
      </c>
      <c r="E10342" s="4"/>
      <c r="F10342" s="4" t="n">
        <v>29</v>
      </c>
      <c r="G10342" s="4" t="n">
        <v>3</v>
      </c>
      <c r="H10342" s="4" t="n">
        <v>4</v>
      </c>
      <c r="I10342" s="4" t="str">
        <v>×</v>
      </c>
      <c r="J10342" s="4"/>
      <c r="K10342" s="4"/>
      <c r="L10342" s="4"/>
      <c r="M10342" s="5" t="s">
        <v>6501</v>
      </c>
    </row>
    <row r="10343" customFormat="false" ht="15.75" hidden="false" customHeight="false" outlineLevel="0" collapsed="false">
      <c r="A10343" s="6" t="n">
        <v>46193</v>
      </c>
      <c r="B10343" s="4" t="s">
        <v>1237</v>
      </c>
      <c r="C10343" s="4" t="n">
        <v>8</v>
      </c>
      <c r="D10343" s="4" t="n">
        <v>10</v>
      </c>
      <c r="E10343" s="4"/>
      <c r="F10343" s="4" t="n">
        <v>47</v>
      </c>
      <c r="G10343" s="4" t="n">
        <v>2</v>
      </c>
      <c r="H10343" s="4" t="n">
        <v>1</v>
      </c>
      <c r="I10343" s="4" t="str">
        <v>○</v>
      </c>
      <c r="J10343" s="4" t="n">
        <v>130</v>
      </c>
      <c r="K10343" s="4"/>
      <c r="L10343" s="4"/>
      <c r="M10343" s="5" t="s">
        <v>6501</v>
      </c>
    </row>
    <row r="10344" customFormat="false" ht="15.75" hidden="false" customHeight="false" outlineLevel="0" collapsed="false">
      <c r="A10344" s="6" t="n">
        <v>46193</v>
      </c>
      <c r="B10344" s="4" t="s">
        <v>1237</v>
      </c>
      <c r="C10344" s="4" t="n">
        <v>8</v>
      </c>
      <c r="D10344" s="4" t="n">
        <v>11</v>
      </c>
      <c r="E10344" s="4"/>
      <c r="F10344" s="4" t="n">
        <v>17</v>
      </c>
      <c r="G10344" s="4" t="n">
        <v>5</v>
      </c>
      <c r="H10344" s="4" t="n">
        <v>4</v>
      </c>
      <c r="I10344" s="4" t="str">
        <v>×</v>
      </c>
      <c r="J10344" s="4"/>
      <c r="K10344" s="4"/>
      <c r="L10344" s="4"/>
      <c r="M10344" s="5" t="s">
        <v>6501</v>
      </c>
    </row>
    <row r="10345" customFormat="false" ht="15.75" hidden="false" customHeight="false" outlineLevel="0" collapsed="false">
      <c r="A10345" s="6" t="n">
        <v>46193</v>
      </c>
      <c r="B10345" s="4" t="s">
        <v>1237</v>
      </c>
      <c r="C10345" s="4" t="n">
        <v>8</v>
      </c>
      <c r="D10345" s="4" t="n">
        <v>12</v>
      </c>
      <c r="E10345" s="4"/>
      <c r="F10345" s="4" t="n">
        <v>6</v>
      </c>
      <c r="G10345" s="4" t="n">
        <v>8</v>
      </c>
      <c r="H10345" s="4" t="n">
        <v>4</v>
      </c>
      <c r="I10345" s="4" t="str">
        <v>×</v>
      </c>
      <c r="J10345" s="4"/>
      <c r="K10345" s="4"/>
      <c r="L10345" s="4"/>
      <c r="M10345" s="5" t="s">
        <v>6501</v>
      </c>
    </row>
    <row r="10346" customFormat="false" ht="15.75" hidden="false" customHeight="false" outlineLevel="0" collapsed="false">
      <c r="A10346" s="6" t="n">
        <v>46193</v>
      </c>
      <c r="B10346" s="4" t="s">
        <v>1237</v>
      </c>
      <c r="C10346" s="4" t="n">
        <v>9</v>
      </c>
      <c r="D10346" s="4" t="n">
        <v>1</v>
      </c>
      <c r="E10346" s="4"/>
      <c r="F10346" s="4" t="n">
        <v>31</v>
      </c>
      <c r="G10346" s="4" t="n">
        <v>4</v>
      </c>
      <c r="H10346" s="4" t="n">
        <v>3</v>
      </c>
      <c r="I10346" s="4" t="str">
        <v>○</v>
      </c>
      <c r="J10346" s="4" t="n">
        <v>180</v>
      </c>
      <c r="K10346" s="4"/>
      <c r="L10346" s="4"/>
      <c r="M10346" s="5" t="s">
        <v>6501</v>
      </c>
    </row>
    <row r="10347" customFormat="false" ht="15.75" hidden="false" customHeight="false" outlineLevel="0" collapsed="false">
      <c r="A10347" s="6" t="n">
        <v>46193</v>
      </c>
      <c r="B10347" s="4" t="s">
        <v>1237</v>
      </c>
      <c r="C10347" s="4" t="n">
        <v>9</v>
      </c>
      <c r="D10347" s="4" t="n">
        <v>2</v>
      </c>
      <c r="E10347" s="4"/>
      <c r="F10347" s="4" t="n">
        <v>62</v>
      </c>
      <c r="G10347" s="4" t="n">
        <v>2</v>
      </c>
      <c r="H10347" s="4" t="n">
        <v>2</v>
      </c>
      <c r="I10347" s="4" t="str">
        <v>○</v>
      </c>
      <c r="J10347" s="4" t="n">
        <v>110</v>
      </c>
      <c r="K10347" s="4"/>
      <c r="L10347" s="4"/>
      <c r="M10347" s="5" t="s">
        <v>6501</v>
      </c>
    </row>
    <row r="10348" customFormat="false" ht="15.75" hidden="false" customHeight="false" outlineLevel="0" collapsed="false">
      <c r="A10348" s="6" t="n">
        <v>46193</v>
      </c>
      <c r="B10348" s="4" t="s">
        <v>1237</v>
      </c>
      <c r="C10348" s="4" t="n">
        <v>9</v>
      </c>
      <c r="D10348" s="4" t="n">
        <v>3</v>
      </c>
      <c r="E10348" s="4"/>
      <c r="F10348" s="4" t="n">
        <v>6</v>
      </c>
      <c r="G10348" s="4" t="n">
        <v>8</v>
      </c>
      <c r="H10348" s="4" t="n">
        <v>4</v>
      </c>
      <c r="I10348" s="4" t="str">
        <v>×</v>
      </c>
      <c r="J10348" s="4"/>
      <c r="K10348" s="4"/>
      <c r="L10348" s="4"/>
      <c r="M10348" s="5" t="s">
        <v>6501</v>
      </c>
    </row>
    <row r="10349" customFormat="false" ht="15.75" hidden="false" customHeight="false" outlineLevel="0" collapsed="false">
      <c r="A10349" s="6" t="n">
        <v>46193</v>
      </c>
      <c r="B10349" s="4" t="s">
        <v>1237</v>
      </c>
      <c r="C10349" s="4" t="n">
        <v>9</v>
      </c>
      <c r="D10349" s="4" t="n">
        <v>4</v>
      </c>
      <c r="E10349" s="4"/>
      <c r="F10349" s="4" t="n">
        <v>8</v>
      </c>
      <c r="G10349" s="4" t="n">
        <v>7</v>
      </c>
      <c r="H10349" s="4" t="n">
        <v>4</v>
      </c>
      <c r="I10349" s="4" t="str">
        <v>×</v>
      </c>
      <c r="J10349" s="4"/>
      <c r="K10349" s="4"/>
      <c r="L10349" s="4"/>
      <c r="M10349" s="5" t="s">
        <v>6501</v>
      </c>
    </row>
    <row r="10350" customFormat="false" ht="15.75" hidden="false" customHeight="false" outlineLevel="0" collapsed="false">
      <c r="A10350" s="6" t="n">
        <v>46193</v>
      </c>
      <c r="B10350" s="4" t="s">
        <v>1237</v>
      </c>
      <c r="C10350" s="4" t="n">
        <v>9</v>
      </c>
      <c r="D10350" s="4" t="n">
        <v>5</v>
      </c>
      <c r="E10350" s="4"/>
      <c r="F10350" s="4" t="n">
        <v>23</v>
      </c>
      <c r="G10350" s="4" t="n">
        <v>5</v>
      </c>
      <c r="H10350" s="4" t="n">
        <v>4</v>
      </c>
      <c r="I10350" s="4" t="str">
        <v>×</v>
      </c>
      <c r="J10350" s="4"/>
      <c r="K10350" s="4"/>
      <c r="L10350" s="4"/>
      <c r="M10350" s="5" t="s">
        <v>6501</v>
      </c>
    </row>
    <row r="10351" customFormat="false" ht="15.75" hidden="false" customHeight="false" outlineLevel="0" collapsed="false">
      <c r="A10351" s="6" t="n">
        <v>46193</v>
      </c>
      <c r="B10351" s="4" t="s">
        <v>1237</v>
      </c>
      <c r="C10351" s="4" t="n">
        <v>9</v>
      </c>
      <c r="D10351" s="4" t="n">
        <v>6</v>
      </c>
      <c r="E10351" s="4"/>
      <c r="F10351" s="4" t="n">
        <v>66</v>
      </c>
      <c r="G10351" s="4" t="n">
        <v>1</v>
      </c>
      <c r="H10351" s="4" t="n">
        <v>4</v>
      </c>
      <c r="I10351" s="4" t="str">
        <v>×</v>
      </c>
      <c r="J10351" s="4"/>
      <c r="K10351" s="4"/>
      <c r="L10351" s="4"/>
      <c r="M10351" s="5" t="s">
        <v>6501</v>
      </c>
    </row>
    <row r="10352" customFormat="false" ht="15.75" hidden="false" customHeight="false" outlineLevel="0" collapsed="false">
      <c r="A10352" s="6" t="n">
        <v>46193</v>
      </c>
      <c r="B10352" s="4" t="s">
        <v>1237</v>
      </c>
      <c r="C10352" s="4" t="n">
        <v>9</v>
      </c>
      <c r="D10352" s="4" t="n">
        <v>7</v>
      </c>
      <c r="E10352" s="4"/>
      <c r="F10352" s="4" t="n">
        <v>17</v>
      </c>
      <c r="G10352" s="4" t="n">
        <v>6</v>
      </c>
      <c r="H10352" s="4" t="n">
        <v>4</v>
      </c>
      <c r="I10352" s="4" t="str">
        <v>×</v>
      </c>
      <c r="J10352" s="4"/>
      <c r="K10352" s="4"/>
      <c r="L10352" s="4"/>
      <c r="M10352" s="5" t="s">
        <v>6501</v>
      </c>
    </row>
    <row r="10353" customFormat="false" ht="15.75" hidden="false" customHeight="false" outlineLevel="0" collapsed="false">
      <c r="A10353" s="6" t="n">
        <v>46193</v>
      </c>
      <c r="B10353" s="4" t="s">
        <v>1237</v>
      </c>
      <c r="C10353" s="4" t="n">
        <v>9</v>
      </c>
      <c r="D10353" s="4" t="n">
        <v>8</v>
      </c>
      <c r="E10353" s="4"/>
      <c r="F10353" s="4" t="n">
        <v>6</v>
      </c>
      <c r="G10353" s="4" t="n">
        <v>8</v>
      </c>
      <c r="H10353" s="4" t="n">
        <v>4</v>
      </c>
      <c r="I10353" s="4" t="str">
        <v>×</v>
      </c>
      <c r="J10353" s="4"/>
      <c r="K10353" s="4"/>
      <c r="L10353" s="4"/>
      <c r="M10353" s="5" t="s">
        <v>6501</v>
      </c>
    </row>
    <row r="10354" customFormat="false" ht="15.75" hidden="false" customHeight="false" outlineLevel="0" collapsed="false">
      <c r="A10354" s="6" t="n">
        <v>46193</v>
      </c>
      <c r="B10354" s="4" t="s">
        <v>1237</v>
      </c>
      <c r="C10354" s="4" t="n">
        <v>9</v>
      </c>
      <c r="D10354" s="4" t="n">
        <v>9</v>
      </c>
      <c r="E10354" s="4"/>
      <c r="F10354" s="4" t="n">
        <v>50</v>
      </c>
      <c r="G10354" s="4" t="n">
        <v>3</v>
      </c>
      <c r="H10354" s="4" t="n">
        <v>1</v>
      </c>
      <c r="I10354" s="4" t="str">
        <v>○</v>
      </c>
      <c r="J10354" s="4" t="n">
        <v>140</v>
      </c>
      <c r="K10354" s="4"/>
      <c r="L10354" s="4"/>
      <c r="M10354" s="5" t="s">
        <v>6501</v>
      </c>
    </row>
    <row r="10355" customFormat="false" ht="15.75" hidden="false" customHeight="false" outlineLevel="0" collapsed="false">
      <c r="A10355" s="6" t="n">
        <v>46193</v>
      </c>
      <c r="B10355" s="4" t="s">
        <v>1237</v>
      </c>
      <c r="C10355" s="4" t="n">
        <v>9</v>
      </c>
      <c r="D10355" s="4" t="n">
        <v>10</v>
      </c>
      <c r="E10355" s="4"/>
      <c r="F10355" s="4" t="n">
        <v>17</v>
      </c>
      <c r="G10355" s="4" t="n">
        <v>6</v>
      </c>
      <c r="H10355" s="4" t="n">
        <v>4</v>
      </c>
      <c r="I10355" s="4" t="str">
        <v>×</v>
      </c>
      <c r="J10355" s="4"/>
      <c r="K10355" s="4"/>
      <c r="L10355" s="4"/>
      <c r="M10355" s="5" t="s">
        <v>6501</v>
      </c>
    </row>
    <row r="10356" customFormat="false" ht="15.75" hidden="false" customHeight="false" outlineLevel="0" collapsed="false">
      <c r="A10356" s="6" t="n">
        <v>46193</v>
      </c>
      <c r="B10356" s="4" t="s">
        <v>1237</v>
      </c>
      <c r="C10356" s="4" t="n">
        <v>9</v>
      </c>
      <c r="D10356" s="4" t="n">
        <v>11</v>
      </c>
      <c r="E10356" s="4"/>
      <c r="F10356" s="4" t="n">
        <v>31</v>
      </c>
      <c r="G10356" s="4" t="n">
        <v>4</v>
      </c>
      <c r="H10356" s="4" t="n">
        <v>4</v>
      </c>
      <c r="I10356" s="4" t="str">
        <v>×</v>
      </c>
      <c r="J10356" s="4"/>
      <c r="K10356" s="4"/>
      <c r="L10356" s="4"/>
      <c r="M10356" s="5" t="s">
        <v>6501</v>
      </c>
    </row>
    <row r="10357" customFormat="false" ht="15.75" hidden="false" customHeight="false" outlineLevel="0" collapsed="false">
      <c r="A10357" s="6" t="n">
        <v>46193</v>
      </c>
      <c r="B10357" s="4" t="s">
        <v>1237</v>
      </c>
      <c r="C10357" s="4" t="n">
        <v>9</v>
      </c>
      <c r="D10357" s="4" t="n">
        <v>12</v>
      </c>
      <c r="E10357" s="4"/>
      <c r="F10357" s="4" t="n">
        <v>8</v>
      </c>
      <c r="G10357" s="4" t="n">
        <v>7</v>
      </c>
      <c r="H10357" s="4" t="n">
        <v>4</v>
      </c>
      <c r="I10357" s="4" t="str">
        <v>×</v>
      </c>
      <c r="J10357" s="4"/>
      <c r="K10357" s="4"/>
      <c r="L10357" s="4"/>
      <c r="M10357" s="5" t="s">
        <v>6501</v>
      </c>
    </row>
    <row r="10358" customFormat="false" ht="15.75" hidden="false" customHeight="false" outlineLevel="0" collapsed="false">
      <c r="A10358" s="6" t="n">
        <v>46193</v>
      </c>
      <c r="B10358" s="4" t="s">
        <v>1237</v>
      </c>
      <c r="C10358" s="4" t="n">
        <v>10</v>
      </c>
      <c r="D10358" s="4" t="n">
        <v>1</v>
      </c>
      <c r="E10358" s="4"/>
      <c r="F10358" s="4" t="n">
        <v>23</v>
      </c>
      <c r="G10358" s="4" t="n">
        <v>6</v>
      </c>
      <c r="H10358" s="4" t="n">
        <v>4</v>
      </c>
      <c r="I10358" s="4" t="str">
        <v>×</v>
      </c>
      <c r="J10358" s="4"/>
      <c r="K10358" s="4"/>
      <c r="L10358" s="4"/>
      <c r="M10358" s="5" t="s">
        <v>6501</v>
      </c>
    </row>
    <row r="10359" customFormat="false" ht="15.75" hidden="false" customHeight="false" outlineLevel="0" collapsed="false">
      <c r="A10359" s="6" t="n">
        <v>46193</v>
      </c>
      <c r="B10359" s="4" t="s">
        <v>1237</v>
      </c>
      <c r="C10359" s="4" t="n">
        <v>10</v>
      </c>
      <c r="D10359" s="4" t="n">
        <v>2</v>
      </c>
      <c r="E10359" s="4"/>
      <c r="F10359" s="4" t="n">
        <v>52</v>
      </c>
      <c r="G10359" s="4" t="n">
        <v>2</v>
      </c>
      <c r="H10359" s="4" t="n">
        <v>4</v>
      </c>
      <c r="I10359" s="4" t="str">
        <v>×</v>
      </c>
      <c r="J10359" s="4"/>
      <c r="K10359" s="4"/>
      <c r="L10359" s="4"/>
      <c r="M10359" s="5" t="s">
        <v>6501</v>
      </c>
    </row>
    <row r="10360" customFormat="false" ht="15.75" hidden="false" customHeight="false" outlineLevel="0" collapsed="false">
      <c r="A10360" s="6" t="n">
        <v>46193</v>
      </c>
      <c r="B10360" s="4" t="s">
        <v>1237</v>
      </c>
      <c r="C10360" s="4" t="n">
        <v>10</v>
      </c>
      <c r="D10360" s="4" t="n">
        <v>3</v>
      </c>
      <c r="E10360" s="4"/>
      <c r="F10360" s="4" t="n">
        <v>29</v>
      </c>
      <c r="G10360" s="4" t="n">
        <v>4</v>
      </c>
      <c r="H10360" s="4" t="n">
        <v>4</v>
      </c>
      <c r="I10360" s="4" t="str">
        <v>×</v>
      </c>
      <c r="J10360" s="4"/>
      <c r="K10360" s="4"/>
      <c r="L10360" s="4"/>
      <c r="M10360" s="5" t="s">
        <v>6501</v>
      </c>
    </row>
    <row r="10361" customFormat="false" ht="15.75" hidden="false" customHeight="false" outlineLevel="0" collapsed="false">
      <c r="A10361" s="6" t="n">
        <v>46193</v>
      </c>
      <c r="B10361" s="4" t="s">
        <v>1237</v>
      </c>
      <c r="C10361" s="4" t="n">
        <v>10</v>
      </c>
      <c r="D10361" s="4" t="n">
        <v>4</v>
      </c>
      <c r="E10361" s="4"/>
      <c r="F10361" s="4" t="n">
        <v>25</v>
      </c>
      <c r="G10361" s="4" t="n">
        <v>5</v>
      </c>
      <c r="H10361" s="4" t="n">
        <v>1</v>
      </c>
      <c r="I10361" s="4" t="str">
        <v>○</v>
      </c>
      <c r="J10361" s="4" t="n">
        <v>160</v>
      </c>
      <c r="K10361" s="4"/>
      <c r="L10361" s="4"/>
      <c r="M10361" s="5" t="s">
        <v>6501</v>
      </c>
    </row>
    <row r="10362" customFormat="false" ht="15.75" hidden="false" customHeight="false" outlineLevel="0" collapsed="false">
      <c r="A10362" s="6" t="n">
        <v>46193</v>
      </c>
      <c r="B10362" s="4" t="s">
        <v>1237</v>
      </c>
      <c r="C10362" s="4" t="n">
        <v>10</v>
      </c>
      <c r="D10362" s="4" t="n">
        <v>5</v>
      </c>
      <c r="E10362" s="4"/>
      <c r="F10362" s="4" t="n">
        <v>8</v>
      </c>
      <c r="G10362" s="4" t="n">
        <v>7</v>
      </c>
      <c r="H10362" s="4" t="n">
        <v>3</v>
      </c>
      <c r="I10362" s="4" t="str">
        <v>○</v>
      </c>
      <c r="J10362" s="4" t="n">
        <v>320</v>
      </c>
      <c r="K10362" s="4"/>
      <c r="L10362" s="4"/>
      <c r="M10362" s="5" t="s">
        <v>6501</v>
      </c>
    </row>
    <row r="10363" customFormat="false" ht="15.75" hidden="false" customHeight="false" outlineLevel="0" collapsed="false">
      <c r="A10363" s="6" t="n">
        <v>46193</v>
      </c>
      <c r="B10363" s="4" t="s">
        <v>1237</v>
      </c>
      <c r="C10363" s="4" t="n">
        <v>10</v>
      </c>
      <c r="D10363" s="4" t="n">
        <v>6</v>
      </c>
      <c r="E10363" s="4"/>
      <c r="F10363" s="4" t="n">
        <v>47</v>
      </c>
      <c r="G10363" s="4" t="n">
        <v>3</v>
      </c>
      <c r="H10363" s="4" t="n">
        <v>2</v>
      </c>
      <c r="I10363" s="4" t="str">
        <v>○</v>
      </c>
      <c r="J10363" s="4" t="n">
        <v>170</v>
      </c>
      <c r="K10363" s="4"/>
      <c r="L10363" s="4"/>
      <c r="M10363" s="5" t="s">
        <v>6501</v>
      </c>
    </row>
    <row r="10364" customFormat="false" ht="15.75" hidden="false" customHeight="false" outlineLevel="0" collapsed="false">
      <c r="A10364" s="6" t="n">
        <v>46193</v>
      </c>
      <c r="B10364" s="4" t="s">
        <v>1237</v>
      </c>
      <c r="C10364" s="4" t="n">
        <v>10</v>
      </c>
      <c r="D10364" s="4" t="n">
        <v>7</v>
      </c>
      <c r="E10364" s="4"/>
      <c r="F10364" s="4" t="n">
        <v>3</v>
      </c>
      <c r="G10364" s="4" t="n">
        <v>8</v>
      </c>
      <c r="H10364" s="4" t="n">
        <v>4</v>
      </c>
      <c r="I10364" s="4" t="str">
        <v>×</v>
      </c>
      <c r="J10364" s="4"/>
      <c r="K10364" s="4"/>
      <c r="L10364" s="4"/>
      <c r="M10364" s="5" t="s">
        <v>6501</v>
      </c>
    </row>
    <row r="10365" customFormat="false" ht="15.75" hidden="false" customHeight="false" outlineLevel="0" collapsed="false">
      <c r="A10365" s="6" t="n">
        <v>46193</v>
      </c>
      <c r="B10365" s="4" t="s">
        <v>1237</v>
      </c>
      <c r="C10365" s="4" t="n">
        <v>10</v>
      </c>
      <c r="D10365" s="4" t="n">
        <v>8</v>
      </c>
      <c r="E10365" s="4"/>
      <c r="F10365" s="4" t="n">
        <v>62</v>
      </c>
      <c r="G10365" s="4" t="n">
        <v>1</v>
      </c>
      <c r="H10365" s="4" t="n">
        <v>4</v>
      </c>
      <c r="I10365" s="4" t="str">
        <v>×</v>
      </c>
      <c r="J10365" s="4"/>
      <c r="K10365" s="4"/>
      <c r="L10365" s="4"/>
      <c r="M10365" s="5" t="s">
        <v>6501</v>
      </c>
    </row>
    <row r="10366" customFormat="false" ht="15.75" hidden="false" customHeight="false" outlineLevel="0" collapsed="false">
      <c r="A10366" s="6" t="n">
        <v>46193</v>
      </c>
      <c r="B10366" s="4" t="s">
        <v>1237</v>
      </c>
      <c r="C10366" s="4" t="n">
        <v>11</v>
      </c>
      <c r="D10366" s="4" t="n">
        <v>1</v>
      </c>
      <c r="E10366" s="4"/>
      <c r="F10366" s="4" t="n">
        <v>15</v>
      </c>
      <c r="G10366" s="4" t="n">
        <v>7</v>
      </c>
      <c r="H10366" s="4" t="n">
        <v>4</v>
      </c>
      <c r="I10366" s="4" t="str">
        <v>×</v>
      </c>
      <c r="J10366" s="4"/>
      <c r="K10366" s="4"/>
      <c r="L10366" s="4"/>
      <c r="M10366" s="5" t="s">
        <v>6501</v>
      </c>
    </row>
    <row r="10367" customFormat="false" ht="15.75" hidden="false" customHeight="false" outlineLevel="0" collapsed="false">
      <c r="A10367" s="6" t="n">
        <v>46193</v>
      </c>
      <c r="B10367" s="4" t="s">
        <v>1237</v>
      </c>
      <c r="C10367" s="4" t="n">
        <v>11</v>
      </c>
      <c r="D10367" s="4" t="n">
        <v>2</v>
      </c>
      <c r="E10367" s="4"/>
      <c r="F10367" s="4" t="n">
        <v>25</v>
      </c>
      <c r="G10367" s="4" t="n">
        <v>4</v>
      </c>
      <c r="H10367" s="4" t="n">
        <v>4</v>
      </c>
      <c r="I10367" s="4" t="str">
        <v>×</v>
      </c>
      <c r="J10367" s="4"/>
      <c r="K10367" s="4"/>
      <c r="L10367" s="4"/>
      <c r="M10367" s="5" t="s">
        <v>6501</v>
      </c>
    </row>
    <row r="10368" customFormat="false" ht="15.75" hidden="false" customHeight="false" outlineLevel="0" collapsed="false">
      <c r="A10368" s="6" t="n">
        <v>46193</v>
      </c>
      <c r="B10368" s="4" t="s">
        <v>1237</v>
      </c>
      <c r="C10368" s="4" t="n">
        <v>11</v>
      </c>
      <c r="D10368" s="4" t="n">
        <v>3</v>
      </c>
      <c r="E10368" s="4"/>
      <c r="F10368" s="4" t="n">
        <v>23</v>
      </c>
      <c r="G10368" s="4" t="n">
        <v>5</v>
      </c>
      <c r="H10368" s="4" t="n">
        <v>2</v>
      </c>
      <c r="I10368" s="4" t="str">
        <v>○</v>
      </c>
      <c r="J10368" s="4" t="n">
        <v>500</v>
      </c>
      <c r="K10368" s="4"/>
      <c r="L10368" s="4"/>
      <c r="M10368" s="5" t="s">
        <v>6501</v>
      </c>
    </row>
    <row r="10369" customFormat="false" ht="15.75" hidden="false" customHeight="false" outlineLevel="0" collapsed="false">
      <c r="A10369" s="6" t="n">
        <v>46193</v>
      </c>
      <c r="B10369" s="4" t="s">
        <v>1237</v>
      </c>
      <c r="C10369" s="4" t="n">
        <v>11</v>
      </c>
      <c r="D10369" s="4" t="n">
        <v>4</v>
      </c>
      <c r="E10369" s="4"/>
      <c r="F10369" s="4" t="n">
        <v>23</v>
      </c>
      <c r="G10369" s="4" t="n">
        <v>5</v>
      </c>
      <c r="H10369" s="4" t="n">
        <v>4</v>
      </c>
      <c r="I10369" s="4" t="str">
        <v>×</v>
      </c>
      <c r="J10369" s="4"/>
      <c r="K10369" s="4"/>
      <c r="L10369" s="4"/>
      <c r="M10369" s="5" t="s">
        <v>6501</v>
      </c>
    </row>
    <row r="10370" customFormat="false" ht="15.75" hidden="false" customHeight="false" outlineLevel="0" collapsed="false">
      <c r="A10370" s="6" t="n">
        <v>46193</v>
      </c>
      <c r="B10370" s="4" t="s">
        <v>1237</v>
      </c>
      <c r="C10370" s="4" t="n">
        <v>11</v>
      </c>
      <c r="D10370" s="4" t="n">
        <v>5</v>
      </c>
      <c r="E10370" s="4"/>
      <c r="F10370" s="4" t="n">
        <v>10</v>
      </c>
      <c r="G10370" s="4" t="n">
        <v>8</v>
      </c>
      <c r="H10370" s="4" t="n">
        <v>4</v>
      </c>
      <c r="I10370" s="4" t="str">
        <v>×</v>
      </c>
      <c r="J10370" s="4"/>
      <c r="K10370" s="4"/>
      <c r="L10370" s="4"/>
      <c r="M10370" s="5" t="s">
        <v>6501</v>
      </c>
    </row>
    <row r="10371" customFormat="false" ht="15.75" hidden="false" customHeight="false" outlineLevel="0" collapsed="false">
      <c r="A10371" s="6" t="n">
        <v>46193</v>
      </c>
      <c r="B10371" s="4" t="s">
        <v>1237</v>
      </c>
      <c r="C10371" s="4" t="n">
        <v>11</v>
      </c>
      <c r="D10371" s="4" t="n">
        <v>6</v>
      </c>
      <c r="E10371" s="4"/>
      <c r="F10371" s="4" t="n">
        <v>31</v>
      </c>
      <c r="G10371" s="4" t="n">
        <v>3</v>
      </c>
      <c r="H10371" s="4" t="n">
        <v>3</v>
      </c>
      <c r="I10371" s="4" t="str">
        <v>○</v>
      </c>
      <c r="J10371" s="4" t="n">
        <v>470</v>
      </c>
      <c r="K10371" s="4"/>
      <c r="L10371" s="4"/>
      <c r="M10371" s="5" t="s">
        <v>6501</v>
      </c>
    </row>
    <row r="10372" customFormat="false" ht="15.75" hidden="false" customHeight="false" outlineLevel="0" collapsed="false">
      <c r="A10372" s="6" t="n">
        <v>46193</v>
      </c>
      <c r="B10372" s="4" t="s">
        <v>1237</v>
      </c>
      <c r="C10372" s="4" t="n">
        <v>11</v>
      </c>
      <c r="D10372" s="4" t="n">
        <v>7</v>
      </c>
      <c r="E10372" s="4"/>
      <c r="F10372" s="4" t="n">
        <v>8</v>
      </c>
      <c r="G10372" s="4" t="n">
        <v>9</v>
      </c>
      <c r="H10372" s="4" t="n">
        <v>4</v>
      </c>
      <c r="I10372" s="4" t="str">
        <v>×</v>
      </c>
      <c r="J10372" s="4"/>
      <c r="K10372" s="4"/>
      <c r="L10372" s="4"/>
      <c r="M10372" s="5" t="s">
        <v>6501</v>
      </c>
    </row>
    <row r="10373" customFormat="false" ht="15.75" hidden="false" customHeight="false" outlineLevel="0" collapsed="false">
      <c r="A10373" s="6" t="n">
        <v>46193</v>
      </c>
      <c r="B10373" s="4" t="s">
        <v>1237</v>
      </c>
      <c r="C10373" s="4" t="n">
        <v>11</v>
      </c>
      <c r="D10373" s="4" t="n">
        <v>8</v>
      </c>
      <c r="E10373" s="4"/>
      <c r="F10373" s="4" t="n">
        <v>47</v>
      </c>
      <c r="G10373" s="4" t="n">
        <v>2</v>
      </c>
      <c r="H10373" s="4" t="n">
        <v>4</v>
      </c>
      <c r="I10373" s="4" t="str">
        <v>×</v>
      </c>
      <c r="J10373" s="4"/>
      <c r="K10373" s="4"/>
      <c r="L10373" s="4"/>
      <c r="M10373" s="5" t="s">
        <v>6501</v>
      </c>
    </row>
    <row r="10374" customFormat="false" ht="15.75" hidden="false" customHeight="false" outlineLevel="0" collapsed="false">
      <c r="A10374" s="6" t="n">
        <v>46193</v>
      </c>
      <c r="B10374" s="4" t="s">
        <v>1237</v>
      </c>
      <c r="C10374" s="4" t="n">
        <v>11</v>
      </c>
      <c r="D10374" s="4" t="n">
        <v>9</v>
      </c>
      <c r="E10374" s="4"/>
      <c r="F10374" s="4" t="n">
        <v>8</v>
      </c>
      <c r="G10374" s="4" t="n">
        <v>9</v>
      </c>
      <c r="H10374" s="4" t="n">
        <v>4</v>
      </c>
      <c r="I10374" s="4" t="str">
        <v>×</v>
      </c>
      <c r="J10374" s="4"/>
      <c r="K10374" s="4"/>
      <c r="L10374" s="4"/>
      <c r="M10374" s="5" t="s">
        <v>6501</v>
      </c>
    </row>
    <row r="10375" customFormat="false" ht="15.75" hidden="false" customHeight="false" outlineLevel="0" collapsed="false">
      <c r="A10375" s="6" t="n">
        <v>46193</v>
      </c>
      <c r="B10375" s="4" t="s">
        <v>1237</v>
      </c>
      <c r="C10375" s="4" t="n">
        <v>11</v>
      </c>
      <c r="D10375" s="4" t="n">
        <v>10</v>
      </c>
      <c r="E10375" s="4"/>
      <c r="F10375" s="4" t="n">
        <v>23</v>
      </c>
      <c r="G10375" s="4" t="n">
        <v>5</v>
      </c>
      <c r="H10375" s="4" t="n">
        <v>1</v>
      </c>
      <c r="I10375" s="4" t="str">
        <v>○</v>
      </c>
      <c r="J10375" s="4" t="n">
        <v>270</v>
      </c>
      <c r="K10375" s="4"/>
      <c r="L10375" s="4"/>
      <c r="M10375" s="5" t="s">
        <v>6501</v>
      </c>
    </row>
    <row r="10376" customFormat="false" ht="15.75" hidden="false" customHeight="false" outlineLevel="0" collapsed="false">
      <c r="A10376" s="6" t="n">
        <v>46193</v>
      </c>
      <c r="B10376" s="4" t="s">
        <v>1237</v>
      </c>
      <c r="C10376" s="4" t="n">
        <v>11</v>
      </c>
      <c r="D10376" s="4" t="n">
        <v>11</v>
      </c>
      <c r="E10376" s="4"/>
      <c r="F10376" s="4" t="n">
        <v>10</v>
      </c>
      <c r="G10376" s="4" t="n">
        <v>8</v>
      </c>
      <c r="H10376" s="4" t="n">
        <v>4</v>
      </c>
      <c r="I10376" s="4" t="str">
        <v>×</v>
      </c>
      <c r="J10376" s="4"/>
      <c r="K10376" s="4"/>
      <c r="L10376" s="4"/>
      <c r="M10376" s="5" t="s">
        <v>6501</v>
      </c>
    </row>
    <row r="10377" customFormat="false" ht="15.75" hidden="false" customHeight="false" outlineLevel="0" collapsed="false">
      <c r="A10377" s="6" t="n">
        <v>46193</v>
      </c>
      <c r="B10377" s="4" t="s">
        <v>1237</v>
      </c>
      <c r="C10377" s="4" t="n">
        <v>11</v>
      </c>
      <c r="D10377" s="4" t="n">
        <v>12</v>
      </c>
      <c r="E10377" s="4"/>
      <c r="F10377" s="4" t="n">
        <v>20</v>
      </c>
      <c r="G10377" s="4" t="n">
        <v>6</v>
      </c>
      <c r="H10377" s="4" t="n">
        <v>4</v>
      </c>
      <c r="I10377" s="4" t="str">
        <v>×</v>
      </c>
      <c r="J10377" s="4"/>
      <c r="K10377" s="4"/>
      <c r="L10377" s="4"/>
      <c r="M10377" s="5" t="s">
        <v>6501</v>
      </c>
    </row>
    <row r="10378" customFormat="false" ht="15.75" hidden="false" customHeight="false" outlineLevel="0" collapsed="false">
      <c r="A10378" s="6" t="n">
        <v>46193</v>
      </c>
      <c r="B10378" s="4" t="s">
        <v>1237</v>
      </c>
      <c r="C10378" s="4" t="n">
        <v>11</v>
      </c>
      <c r="D10378" s="4" t="n">
        <v>13</v>
      </c>
      <c r="E10378" s="4"/>
      <c r="F10378" s="4" t="n">
        <v>15</v>
      </c>
      <c r="G10378" s="4" t="n">
        <v>7</v>
      </c>
      <c r="H10378" s="4" t="n">
        <v>4</v>
      </c>
      <c r="I10378" s="4" t="str">
        <v>×</v>
      </c>
      <c r="J10378" s="4"/>
      <c r="K10378" s="4"/>
      <c r="L10378" s="4"/>
      <c r="M10378" s="5" t="s">
        <v>6501</v>
      </c>
    </row>
    <row r="10379" customFormat="false" ht="15.75" hidden="false" customHeight="false" outlineLevel="0" collapsed="false">
      <c r="A10379" s="6" t="n">
        <v>46193</v>
      </c>
      <c r="B10379" s="4" t="s">
        <v>1237</v>
      </c>
      <c r="C10379" s="4" t="n">
        <v>11</v>
      </c>
      <c r="D10379" s="4" t="n">
        <v>14</v>
      </c>
      <c r="E10379" s="4"/>
      <c r="F10379" s="4" t="n">
        <v>23</v>
      </c>
      <c r="G10379" s="4" t="n">
        <v>5</v>
      </c>
      <c r="H10379" s="4" t="n">
        <v>4</v>
      </c>
      <c r="I10379" s="4" t="str">
        <v>×</v>
      </c>
      <c r="J10379" s="4"/>
      <c r="K10379" s="4"/>
      <c r="L10379" s="4"/>
      <c r="M10379" s="5" t="s">
        <v>6501</v>
      </c>
    </row>
    <row r="10380" customFormat="false" ht="15.75" hidden="false" customHeight="false" outlineLevel="0" collapsed="false">
      <c r="A10380" s="6" t="n">
        <v>46193</v>
      </c>
      <c r="B10380" s="4" t="s">
        <v>1237</v>
      </c>
      <c r="C10380" s="4" t="n">
        <v>11</v>
      </c>
      <c r="D10380" s="4" t="n">
        <v>15</v>
      </c>
      <c r="E10380" s="4"/>
      <c r="F10380" s="4" t="n">
        <v>6</v>
      </c>
      <c r="G10380" s="4" t="n">
        <v>10</v>
      </c>
      <c r="H10380" s="4" t="n">
        <v>4</v>
      </c>
      <c r="I10380" s="4" t="str">
        <v>×</v>
      </c>
      <c r="J10380" s="4"/>
      <c r="K10380" s="4"/>
      <c r="L10380" s="4"/>
      <c r="M10380" s="5" t="s">
        <v>6501</v>
      </c>
    </row>
    <row r="10381" customFormat="false" ht="15.75" hidden="false" customHeight="false" outlineLevel="0" collapsed="false">
      <c r="A10381" s="6" t="n">
        <v>46193</v>
      </c>
      <c r="B10381" s="4" t="s">
        <v>1237</v>
      </c>
      <c r="C10381" s="4" t="n">
        <v>11</v>
      </c>
      <c r="D10381" s="4" t="n">
        <v>16</v>
      </c>
      <c r="E10381" s="4"/>
      <c r="F10381" s="4" t="n">
        <v>58</v>
      </c>
      <c r="G10381" s="4" t="n">
        <v>1</v>
      </c>
      <c r="H10381" s="4" t="n">
        <v>4</v>
      </c>
      <c r="I10381" s="4" t="str">
        <v>×</v>
      </c>
      <c r="J10381" s="4"/>
      <c r="K10381" s="4"/>
      <c r="L10381" s="4"/>
      <c r="M10381" s="5" t="s">
        <v>6501</v>
      </c>
    </row>
    <row r="10382" customFormat="false" ht="15.75" hidden="false" customHeight="false" outlineLevel="0" collapsed="false">
      <c r="A10382" s="6" t="n">
        <v>46193</v>
      </c>
      <c r="B10382" s="4" t="s">
        <v>1237</v>
      </c>
      <c r="C10382" s="4" t="n">
        <v>12</v>
      </c>
      <c r="D10382" s="4" t="n">
        <v>1</v>
      </c>
      <c r="E10382" s="4"/>
      <c r="F10382" s="4" t="n">
        <v>1</v>
      </c>
      <c r="G10382" s="4" t="n">
        <v>9</v>
      </c>
      <c r="H10382" s="4" t="n">
        <v>4</v>
      </c>
      <c r="I10382" s="4" t="str">
        <v>×</v>
      </c>
      <c r="J10382" s="4"/>
      <c r="K10382" s="4"/>
      <c r="L10382" s="4"/>
      <c r="M10382" s="5" t="s">
        <v>6501</v>
      </c>
    </row>
    <row r="10383" customFormat="false" ht="15.75" hidden="false" customHeight="false" outlineLevel="0" collapsed="false">
      <c r="A10383" s="6" t="n">
        <v>46193</v>
      </c>
      <c r="B10383" s="4" t="s">
        <v>1237</v>
      </c>
      <c r="C10383" s="4" t="n">
        <v>12</v>
      </c>
      <c r="D10383" s="4" t="n">
        <v>2</v>
      </c>
      <c r="E10383" s="4"/>
      <c r="F10383" s="4" t="n">
        <v>17</v>
      </c>
      <c r="G10383" s="4" t="n">
        <v>7</v>
      </c>
      <c r="H10383" s="4" t="n">
        <v>4</v>
      </c>
      <c r="I10383" s="4" t="str">
        <v>×</v>
      </c>
      <c r="J10383" s="4"/>
      <c r="K10383" s="4"/>
      <c r="L10383" s="4"/>
      <c r="M10383" s="5" t="s">
        <v>6501</v>
      </c>
    </row>
    <row r="10384" customFormat="false" ht="15.75" hidden="false" customHeight="false" outlineLevel="0" collapsed="false">
      <c r="A10384" s="6" t="n">
        <v>46193</v>
      </c>
      <c r="B10384" s="4" t="s">
        <v>1237</v>
      </c>
      <c r="C10384" s="4" t="n">
        <v>12</v>
      </c>
      <c r="D10384" s="4" t="n">
        <v>3</v>
      </c>
      <c r="E10384" s="4"/>
      <c r="F10384" s="4" t="n">
        <v>34</v>
      </c>
      <c r="G10384" s="4" t="n">
        <v>3</v>
      </c>
      <c r="H10384" s="4" t="n">
        <v>4</v>
      </c>
      <c r="I10384" s="4" t="str">
        <v>×</v>
      </c>
      <c r="J10384" s="4"/>
      <c r="K10384" s="4"/>
      <c r="L10384" s="4"/>
      <c r="M10384" s="5" t="s">
        <v>6501</v>
      </c>
    </row>
    <row r="10385" customFormat="false" ht="15.75" hidden="false" customHeight="false" outlineLevel="0" collapsed="false">
      <c r="A10385" s="6" t="n">
        <v>46193</v>
      </c>
      <c r="B10385" s="4" t="s">
        <v>1237</v>
      </c>
      <c r="C10385" s="4" t="n">
        <v>12</v>
      </c>
      <c r="D10385" s="4" t="n">
        <v>4</v>
      </c>
      <c r="E10385" s="4"/>
      <c r="F10385" s="4" t="n">
        <v>10</v>
      </c>
      <c r="G10385" s="4" t="n">
        <v>8</v>
      </c>
      <c r="H10385" s="4" t="n">
        <v>1</v>
      </c>
      <c r="I10385" s="4" t="str">
        <v>○</v>
      </c>
      <c r="J10385" s="4" t="n">
        <v>140</v>
      </c>
      <c r="K10385" s="4"/>
      <c r="L10385" s="4"/>
      <c r="M10385" s="5" t="s">
        <v>6501</v>
      </c>
    </row>
    <row r="10386" customFormat="false" ht="15.75" hidden="false" customHeight="false" outlineLevel="0" collapsed="false">
      <c r="A10386" s="6" t="n">
        <v>46193</v>
      </c>
      <c r="B10386" s="4" t="s">
        <v>1237</v>
      </c>
      <c r="C10386" s="4" t="n">
        <v>12</v>
      </c>
      <c r="D10386" s="4" t="n">
        <v>5</v>
      </c>
      <c r="E10386" s="4"/>
      <c r="F10386" s="4" t="n">
        <v>23</v>
      </c>
      <c r="G10386" s="4" t="n">
        <v>6</v>
      </c>
      <c r="H10386" s="4" t="n">
        <v>2</v>
      </c>
      <c r="I10386" s="4" t="str">
        <v>○</v>
      </c>
      <c r="J10386" s="4" t="n">
        <v>160</v>
      </c>
      <c r="K10386" s="4"/>
      <c r="L10386" s="4"/>
      <c r="M10386" s="5" t="s">
        <v>6501</v>
      </c>
    </row>
    <row r="10387" customFormat="false" ht="15.75" hidden="false" customHeight="false" outlineLevel="0" collapsed="false">
      <c r="A10387" s="6" t="n">
        <v>46193</v>
      </c>
      <c r="B10387" s="4" t="s">
        <v>1237</v>
      </c>
      <c r="C10387" s="4" t="n">
        <v>12</v>
      </c>
      <c r="D10387" s="4" t="n">
        <v>6</v>
      </c>
      <c r="E10387" s="4"/>
      <c r="F10387" s="4" t="n">
        <v>25</v>
      </c>
      <c r="G10387" s="4" t="n">
        <v>5</v>
      </c>
      <c r="H10387" s="4" t="n">
        <v>4</v>
      </c>
      <c r="I10387" s="4" t="str">
        <v>×</v>
      </c>
      <c r="J10387" s="4"/>
      <c r="K10387" s="4"/>
      <c r="L10387" s="4"/>
      <c r="M10387" s="5" t="s">
        <v>6501</v>
      </c>
    </row>
    <row r="10388" customFormat="false" ht="15.75" hidden="false" customHeight="false" outlineLevel="0" collapsed="false">
      <c r="A10388" s="6" t="n">
        <v>46193</v>
      </c>
      <c r="B10388" s="4" t="s">
        <v>1237</v>
      </c>
      <c r="C10388" s="4" t="n">
        <v>12</v>
      </c>
      <c r="D10388" s="4" t="n">
        <v>7</v>
      </c>
      <c r="E10388" s="4"/>
      <c r="F10388" s="4" t="n">
        <v>44</v>
      </c>
      <c r="G10388" s="4" t="n">
        <v>2</v>
      </c>
      <c r="H10388" s="4" t="n">
        <v>3</v>
      </c>
      <c r="I10388" s="4" t="str">
        <v>○</v>
      </c>
      <c r="J10388" s="4" t="n">
        <v>130</v>
      </c>
      <c r="K10388" s="4"/>
      <c r="L10388" s="4"/>
      <c r="M10388" s="5" t="s">
        <v>6501</v>
      </c>
    </row>
    <row r="10389" customFormat="false" ht="15.75" hidden="false" customHeight="false" outlineLevel="0" collapsed="false">
      <c r="A10389" s="6" t="n">
        <v>46193</v>
      </c>
      <c r="B10389" s="4" t="s">
        <v>1237</v>
      </c>
      <c r="C10389" s="4" t="n">
        <v>12</v>
      </c>
      <c r="D10389" s="4" t="n">
        <v>8</v>
      </c>
      <c r="E10389" s="4"/>
      <c r="F10389" s="4" t="n">
        <v>29</v>
      </c>
      <c r="G10389" s="4" t="n">
        <v>4</v>
      </c>
      <c r="H10389" s="4" t="n">
        <v>4</v>
      </c>
      <c r="I10389" s="4" t="str">
        <v>×</v>
      </c>
      <c r="J10389" s="4"/>
      <c r="K10389" s="4"/>
      <c r="L10389" s="4"/>
      <c r="M10389" s="5" t="s">
        <v>6501</v>
      </c>
    </row>
    <row r="10390" customFormat="false" ht="15.75" hidden="false" customHeight="false" outlineLevel="0" collapsed="false">
      <c r="A10390" s="6" t="n">
        <v>46193</v>
      </c>
      <c r="B10390" s="4" t="s">
        <v>1237</v>
      </c>
      <c r="C10390" s="4" t="n">
        <v>12</v>
      </c>
      <c r="D10390" s="4" t="n">
        <v>9</v>
      </c>
      <c r="E10390" s="4"/>
      <c r="F10390" s="4" t="n">
        <v>29</v>
      </c>
      <c r="G10390" s="4" t="n">
        <v>4</v>
      </c>
      <c r="H10390" s="4" t="n">
        <v>4</v>
      </c>
      <c r="I10390" s="4" t="str">
        <v>×</v>
      </c>
      <c r="J10390" s="4"/>
      <c r="K10390" s="4"/>
      <c r="L10390" s="4"/>
      <c r="M10390" s="5" t="s">
        <v>6501</v>
      </c>
    </row>
    <row r="10391" customFormat="false" ht="15.75" hidden="false" customHeight="false" outlineLevel="0" collapsed="false">
      <c r="A10391" s="6" t="n">
        <v>46193</v>
      </c>
      <c r="B10391" s="4" t="s">
        <v>1237</v>
      </c>
      <c r="C10391" s="4" t="n">
        <v>12</v>
      </c>
      <c r="D10391" s="4" t="n">
        <v>10</v>
      </c>
      <c r="E10391" s="4"/>
      <c r="F10391" s="4" t="n">
        <v>66</v>
      </c>
      <c r="G10391" s="4" t="n">
        <v>1</v>
      </c>
      <c r="H10391" s="4" t="n">
        <v>4</v>
      </c>
      <c r="I10391" s="4" t="str">
        <v>×</v>
      </c>
      <c r="J10391" s="4"/>
      <c r="K10391" s="4"/>
      <c r="L10391" s="4"/>
      <c r="M10391" s="5" t="s">
        <v>6501</v>
      </c>
    </row>
    <row r="10392" customFormat="false" ht="15.75" hidden="false" customHeight="false" outlineLevel="0" collapsed="false">
      <c r="A10392" s="6" t="n">
        <v>46193</v>
      </c>
      <c r="B10392" s="4" t="s">
        <v>1237</v>
      </c>
      <c r="C10392" s="4" t="n">
        <v>12</v>
      </c>
      <c r="D10392" s="4" t="n">
        <v>11</v>
      </c>
      <c r="E10392" s="4"/>
      <c r="F10392" s="4" t="n">
        <v>23</v>
      </c>
      <c r="G10392" s="4" t="n">
        <v>6</v>
      </c>
      <c r="H10392" s="4" t="n">
        <v>4</v>
      </c>
      <c r="I10392" s="4" t="str">
        <v>×</v>
      </c>
      <c r="J10392" s="4"/>
      <c r="K10392" s="4"/>
      <c r="L10392" s="4"/>
      <c r="M10392" s="5" t="s">
        <v>6501</v>
      </c>
    </row>
    <row r="10393" customFormat="false" ht="15.75" hidden="false" customHeight="false" outlineLevel="0" collapsed="false">
      <c r="A10393" s="6" t="n">
        <v>46193</v>
      </c>
      <c r="B10393" s="4" t="s">
        <v>4473</v>
      </c>
      <c r="C10393" s="4" t="n">
        <v>1</v>
      </c>
      <c r="D10393" s="4" t="n">
        <v>1</v>
      </c>
      <c r="E10393" s="4"/>
      <c r="F10393" s="4" t="n">
        <v>6</v>
      </c>
      <c r="G10393" s="4" t="n">
        <v>8</v>
      </c>
      <c r="H10393" s="4" t="n">
        <v>4</v>
      </c>
      <c r="I10393" s="4" t="str">
        <v>×</v>
      </c>
      <c r="J10393" s="4"/>
      <c r="K10393" s="4"/>
      <c r="L10393" s="4"/>
      <c r="M10393" s="5" t="s">
        <v>6501</v>
      </c>
    </row>
    <row r="10394" customFormat="false" ht="15.75" hidden="false" customHeight="false" outlineLevel="0" collapsed="false">
      <c r="A10394" s="6" t="n">
        <v>46193</v>
      </c>
      <c r="B10394" s="4" t="s">
        <v>4473</v>
      </c>
      <c r="C10394" s="4" t="n">
        <v>1</v>
      </c>
      <c r="D10394" s="4" t="n">
        <v>2</v>
      </c>
      <c r="E10394" s="4"/>
      <c r="F10394" s="4" t="n">
        <v>10</v>
      </c>
      <c r="G10394" s="4" t="n">
        <v>7</v>
      </c>
      <c r="H10394" s="4" t="n">
        <v>4</v>
      </c>
      <c r="I10394" s="4" t="str">
        <v>×</v>
      </c>
      <c r="J10394" s="4"/>
      <c r="K10394" s="4"/>
      <c r="L10394" s="4"/>
      <c r="M10394" s="5" t="s">
        <v>6501</v>
      </c>
    </row>
    <row r="10395" customFormat="false" ht="15.75" hidden="false" customHeight="false" outlineLevel="0" collapsed="false">
      <c r="A10395" s="6" t="n">
        <v>46193</v>
      </c>
      <c r="B10395" s="4" t="s">
        <v>4473</v>
      </c>
      <c r="C10395" s="4" t="n">
        <v>1</v>
      </c>
      <c r="D10395" s="4" t="n">
        <v>3</v>
      </c>
      <c r="E10395" s="4"/>
      <c r="F10395" s="4" t="n">
        <v>60</v>
      </c>
      <c r="G10395" s="4" t="n">
        <v>2</v>
      </c>
      <c r="H10395" s="4" t="n">
        <v>4</v>
      </c>
      <c r="I10395" s="4" t="str">
        <v>×</v>
      </c>
      <c r="J10395" s="4"/>
      <c r="K10395" s="4"/>
      <c r="L10395" s="4"/>
      <c r="M10395" s="5" t="s">
        <v>6501</v>
      </c>
    </row>
    <row r="10396" customFormat="false" ht="15.75" hidden="false" customHeight="false" outlineLevel="0" collapsed="false">
      <c r="A10396" s="6" t="n">
        <v>46193</v>
      </c>
      <c r="B10396" s="4" t="s">
        <v>4473</v>
      </c>
      <c r="C10396" s="4" t="n">
        <v>1</v>
      </c>
      <c r="D10396" s="4" t="n">
        <v>4</v>
      </c>
      <c r="E10396" s="4"/>
      <c r="F10396" s="4" t="n">
        <v>23</v>
      </c>
      <c r="G10396" s="4" t="n">
        <v>3</v>
      </c>
      <c r="H10396" s="4" t="n">
        <v>4</v>
      </c>
      <c r="I10396" s="4" t="str">
        <v>×</v>
      </c>
      <c r="J10396" s="4"/>
      <c r="K10396" s="4"/>
      <c r="L10396" s="4"/>
      <c r="M10396" s="5" t="s">
        <v>6501</v>
      </c>
    </row>
    <row r="10397" customFormat="false" ht="15.75" hidden="false" customHeight="false" outlineLevel="0" collapsed="false">
      <c r="A10397" s="6" t="n">
        <v>46193</v>
      </c>
      <c r="B10397" s="4" t="s">
        <v>4473</v>
      </c>
      <c r="C10397" s="4" t="n">
        <v>1</v>
      </c>
      <c r="D10397" s="4" t="n">
        <v>5</v>
      </c>
      <c r="E10397" s="4"/>
      <c r="F10397" s="4" t="n">
        <v>17</v>
      </c>
      <c r="G10397" s="4" t="n">
        <v>5</v>
      </c>
      <c r="H10397" s="4" t="n">
        <v>2</v>
      </c>
      <c r="I10397" s="4" t="str">
        <v>○</v>
      </c>
      <c r="J10397" s="4" t="n">
        <v>360</v>
      </c>
      <c r="K10397" s="4"/>
      <c r="L10397" s="4"/>
      <c r="M10397" s="5" t="s">
        <v>6501</v>
      </c>
    </row>
    <row r="10398" customFormat="false" ht="15.75" hidden="false" customHeight="false" outlineLevel="0" collapsed="false">
      <c r="A10398" s="6" t="n">
        <v>46193</v>
      </c>
      <c r="B10398" s="4" t="s">
        <v>4473</v>
      </c>
      <c r="C10398" s="4" t="n">
        <v>1</v>
      </c>
      <c r="D10398" s="4" t="n">
        <v>6</v>
      </c>
      <c r="E10398" s="4"/>
      <c r="F10398" s="4" t="n">
        <v>6</v>
      </c>
      <c r="G10398" s="4" t="n">
        <v>8</v>
      </c>
      <c r="H10398" s="4" t="n">
        <v>4</v>
      </c>
      <c r="I10398" s="4" t="str">
        <v>×</v>
      </c>
      <c r="J10398" s="4"/>
      <c r="K10398" s="4"/>
      <c r="L10398" s="4"/>
      <c r="M10398" s="5" t="s">
        <v>6501</v>
      </c>
    </row>
    <row r="10399" customFormat="false" ht="15.75" hidden="false" customHeight="false" outlineLevel="0" collapsed="false">
      <c r="A10399" s="6" t="n">
        <v>46193</v>
      </c>
      <c r="B10399" s="4" t="s">
        <v>4473</v>
      </c>
      <c r="C10399" s="4" t="n">
        <v>1</v>
      </c>
      <c r="D10399" s="4" t="n">
        <v>7</v>
      </c>
      <c r="E10399" s="4"/>
      <c r="F10399" s="4" t="n">
        <v>1</v>
      </c>
      <c r="G10399" s="4" t="n">
        <v>11</v>
      </c>
      <c r="H10399" s="4" t="n">
        <v>4</v>
      </c>
      <c r="I10399" s="4" t="str">
        <v>×</v>
      </c>
      <c r="J10399" s="4"/>
      <c r="K10399" s="4"/>
      <c r="L10399" s="4"/>
      <c r="M10399" s="5" t="s">
        <v>6501</v>
      </c>
    </row>
    <row r="10400" customFormat="false" ht="15.75" hidden="false" customHeight="false" outlineLevel="0" collapsed="false">
      <c r="A10400" s="6" t="n">
        <v>46193</v>
      </c>
      <c r="B10400" s="4" t="s">
        <v>4473</v>
      </c>
      <c r="C10400" s="4" t="n">
        <v>1</v>
      </c>
      <c r="D10400" s="4" t="n">
        <v>8</v>
      </c>
      <c r="E10400" s="4"/>
      <c r="F10400" s="4" t="n">
        <v>10</v>
      </c>
      <c r="G10400" s="4" t="n">
        <v>7</v>
      </c>
      <c r="H10400" s="4" t="n">
        <v>4</v>
      </c>
      <c r="I10400" s="4" t="str">
        <v>×</v>
      </c>
      <c r="J10400" s="4"/>
      <c r="K10400" s="4"/>
      <c r="L10400" s="4"/>
      <c r="M10400" s="5" t="s">
        <v>6501</v>
      </c>
    </row>
    <row r="10401" customFormat="false" ht="15.75" hidden="false" customHeight="false" outlineLevel="0" collapsed="false">
      <c r="A10401" s="6" t="n">
        <v>46193</v>
      </c>
      <c r="B10401" s="4" t="s">
        <v>4473</v>
      </c>
      <c r="C10401" s="4" t="n">
        <v>1</v>
      </c>
      <c r="D10401" s="4" t="n">
        <v>9</v>
      </c>
      <c r="E10401" s="4"/>
      <c r="F10401" s="4" t="n">
        <v>3</v>
      </c>
      <c r="G10401" s="4" t="n">
        <v>10</v>
      </c>
      <c r="H10401" s="4" t="n">
        <v>4</v>
      </c>
      <c r="I10401" s="4" t="str">
        <v>×</v>
      </c>
      <c r="J10401" s="4"/>
      <c r="K10401" s="4"/>
      <c r="L10401" s="4"/>
      <c r="M10401" s="5" t="s">
        <v>6501</v>
      </c>
    </row>
    <row r="10402" customFormat="false" ht="15.75" hidden="false" customHeight="false" outlineLevel="0" collapsed="false">
      <c r="A10402" s="6" t="n">
        <v>46193</v>
      </c>
      <c r="B10402" s="4" t="s">
        <v>4473</v>
      </c>
      <c r="C10402" s="4" t="n">
        <v>1</v>
      </c>
      <c r="D10402" s="4" t="n">
        <v>10</v>
      </c>
      <c r="E10402" s="4"/>
      <c r="F10402" s="4" t="n">
        <v>13</v>
      </c>
      <c r="G10402" s="4" t="n">
        <v>6</v>
      </c>
      <c r="H10402" s="4" t="n">
        <v>3</v>
      </c>
      <c r="I10402" s="4" t="str">
        <v>○</v>
      </c>
      <c r="J10402" s="4" t="n">
        <v>960</v>
      </c>
      <c r="K10402" s="4"/>
      <c r="L10402" s="4"/>
      <c r="M10402" s="5" t="s">
        <v>6501</v>
      </c>
    </row>
    <row r="10403" customFormat="false" ht="15.75" hidden="false" customHeight="false" outlineLevel="0" collapsed="false">
      <c r="A10403" s="6" t="n">
        <v>46193</v>
      </c>
      <c r="B10403" s="4" t="s">
        <v>4473</v>
      </c>
      <c r="C10403" s="4" t="n">
        <v>1</v>
      </c>
      <c r="D10403" s="4" t="n">
        <v>11</v>
      </c>
      <c r="E10403" s="4"/>
      <c r="F10403" s="4" t="n">
        <v>4</v>
      </c>
      <c r="G10403" s="4" t="n">
        <v>9</v>
      </c>
      <c r="H10403" s="4" t="n">
        <v>4</v>
      </c>
      <c r="I10403" s="4" t="str">
        <v>×</v>
      </c>
      <c r="J10403" s="4"/>
      <c r="K10403" s="4"/>
      <c r="L10403" s="4"/>
      <c r="M10403" s="5" t="s">
        <v>6501</v>
      </c>
    </row>
    <row r="10404" customFormat="false" ht="15.75" hidden="false" customHeight="false" outlineLevel="0" collapsed="false">
      <c r="A10404" s="6" t="n">
        <v>46193</v>
      </c>
      <c r="B10404" s="4" t="s">
        <v>4473</v>
      </c>
      <c r="C10404" s="4" t="n">
        <v>1</v>
      </c>
      <c r="D10404" s="4" t="n">
        <v>12</v>
      </c>
      <c r="E10404" s="4"/>
      <c r="F10404" s="4" t="n">
        <v>17</v>
      </c>
      <c r="G10404" s="4" t="n">
        <v>5</v>
      </c>
      <c r="H10404" s="4" t="n">
        <v>4</v>
      </c>
      <c r="I10404" s="4" t="str">
        <v>×</v>
      </c>
      <c r="J10404" s="4"/>
      <c r="K10404" s="4"/>
      <c r="L10404" s="4"/>
      <c r="M10404" s="5" t="s">
        <v>6501</v>
      </c>
    </row>
    <row r="10405" customFormat="false" ht="15.75" hidden="false" customHeight="false" outlineLevel="0" collapsed="false">
      <c r="A10405" s="6" t="n">
        <v>46193</v>
      </c>
      <c r="B10405" s="4" t="s">
        <v>4473</v>
      </c>
      <c r="C10405" s="4" t="n">
        <v>1</v>
      </c>
      <c r="D10405" s="4" t="n">
        <v>13</v>
      </c>
      <c r="E10405" s="4"/>
      <c r="F10405" s="4" t="n">
        <v>10</v>
      </c>
      <c r="G10405" s="4" t="n">
        <v>7</v>
      </c>
      <c r="H10405" s="4" t="n">
        <v>4</v>
      </c>
      <c r="I10405" s="4" t="str">
        <v>×</v>
      </c>
      <c r="J10405" s="4"/>
      <c r="K10405" s="4"/>
      <c r="L10405" s="4"/>
      <c r="M10405" s="5" t="s">
        <v>6501</v>
      </c>
    </row>
    <row r="10406" customFormat="false" ht="15.75" hidden="false" customHeight="false" outlineLevel="0" collapsed="false">
      <c r="A10406" s="6" t="n">
        <v>46193</v>
      </c>
      <c r="B10406" s="4" t="s">
        <v>4473</v>
      </c>
      <c r="C10406" s="4" t="n">
        <v>1</v>
      </c>
      <c r="D10406" s="4" t="n">
        <v>14</v>
      </c>
      <c r="E10406" s="4"/>
      <c r="F10406" s="4" t="n">
        <v>86</v>
      </c>
      <c r="G10406" s="4" t="n">
        <v>1</v>
      </c>
      <c r="H10406" s="4" t="n">
        <v>1</v>
      </c>
      <c r="I10406" s="4" t="str">
        <v>○</v>
      </c>
      <c r="J10406" s="4" t="n">
        <v>110</v>
      </c>
      <c r="K10406" s="4"/>
      <c r="L10406" s="4"/>
      <c r="M10406" s="5" t="s">
        <v>6501</v>
      </c>
    </row>
    <row r="10407" customFormat="false" ht="15.75" hidden="false" customHeight="false" outlineLevel="0" collapsed="false">
      <c r="A10407" s="6" t="n">
        <v>46193</v>
      </c>
      <c r="B10407" s="4" t="s">
        <v>4473</v>
      </c>
      <c r="C10407" s="4" t="n">
        <v>1</v>
      </c>
      <c r="D10407" s="4" t="n">
        <v>15</v>
      </c>
      <c r="E10407" s="4"/>
      <c r="F10407" s="4" t="n">
        <v>6</v>
      </c>
      <c r="G10407" s="4" t="n">
        <v>8</v>
      </c>
      <c r="H10407" s="4" t="n">
        <v>4</v>
      </c>
      <c r="I10407" s="4" t="str">
        <v>×</v>
      </c>
      <c r="J10407" s="4"/>
      <c r="K10407" s="4"/>
      <c r="L10407" s="4"/>
      <c r="M10407" s="5" t="s">
        <v>6501</v>
      </c>
    </row>
    <row r="10408" customFormat="false" ht="15.75" hidden="false" customHeight="false" outlineLevel="0" collapsed="false">
      <c r="A10408" s="6" t="n">
        <v>46193</v>
      </c>
      <c r="B10408" s="4" t="s">
        <v>4473</v>
      </c>
      <c r="C10408" s="4" t="n">
        <v>1</v>
      </c>
      <c r="D10408" s="4" t="n">
        <v>16</v>
      </c>
      <c r="E10408" s="4"/>
      <c r="F10408" s="4" t="n">
        <v>20</v>
      </c>
      <c r="G10408" s="4" t="n">
        <v>4</v>
      </c>
      <c r="H10408" s="4" t="n">
        <v>4</v>
      </c>
      <c r="I10408" s="4" t="str">
        <v>×</v>
      </c>
      <c r="J10408" s="4"/>
      <c r="K10408" s="4"/>
      <c r="L10408" s="4"/>
      <c r="M10408" s="5" t="s">
        <v>6501</v>
      </c>
    </row>
    <row r="10409" customFormat="false" ht="15.75" hidden="false" customHeight="false" outlineLevel="0" collapsed="false">
      <c r="A10409" s="6" t="n">
        <v>46193</v>
      </c>
      <c r="B10409" s="4" t="s">
        <v>4473</v>
      </c>
      <c r="C10409" s="4" t="n">
        <v>2</v>
      </c>
      <c r="D10409" s="4" t="n">
        <v>1</v>
      </c>
      <c r="E10409" s="4"/>
      <c r="F10409" s="4" t="n">
        <v>66</v>
      </c>
      <c r="G10409" s="4" t="n">
        <v>1</v>
      </c>
      <c r="H10409" s="4" t="n">
        <v>2</v>
      </c>
      <c r="I10409" s="4" t="str">
        <v>○</v>
      </c>
      <c r="J10409" s="4" t="n">
        <v>110</v>
      </c>
      <c r="K10409" s="4"/>
      <c r="L10409" s="4"/>
      <c r="M10409" s="5" t="s">
        <v>6501</v>
      </c>
    </row>
    <row r="10410" customFormat="false" ht="15.75" hidden="false" customHeight="false" outlineLevel="0" collapsed="false">
      <c r="A10410" s="6" t="n">
        <v>46193</v>
      </c>
      <c r="B10410" s="4" t="s">
        <v>4473</v>
      </c>
      <c r="C10410" s="4" t="n">
        <v>2</v>
      </c>
      <c r="D10410" s="4" t="n">
        <v>2</v>
      </c>
      <c r="E10410" s="4"/>
      <c r="F10410" s="4" t="n">
        <v>25</v>
      </c>
      <c r="G10410" s="4" t="n">
        <v>4</v>
      </c>
      <c r="H10410" s="4" t="n">
        <v>4</v>
      </c>
      <c r="I10410" s="4" t="str">
        <v>×</v>
      </c>
      <c r="J10410" s="4"/>
      <c r="K10410" s="4"/>
      <c r="L10410" s="4"/>
      <c r="M10410" s="5" t="s">
        <v>6501</v>
      </c>
    </row>
    <row r="10411" customFormat="false" ht="15.75" hidden="false" customHeight="false" outlineLevel="0" collapsed="false">
      <c r="A10411" s="6" t="n">
        <v>46193</v>
      </c>
      <c r="B10411" s="4" t="s">
        <v>4473</v>
      </c>
      <c r="C10411" s="4" t="n">
        <v>2</v>
      </c>
      <c r="D10411" s="4" t="n">
        <v>3</v>
      </c>
      <c r="E10411" s="4"/>
      <c r="F10411" s="4" t="n">
        <v>4</v>
      </c>
      <c r="G10411" s="4" t="n">
        <v>9</v>
      </c>
      <c r="H10411" s="4" t="n">
        <v>4</v>
      </c>
      <c r="I10411" s="4" t="str">
        <v>×</v>
      </c>
      <c r="J10411" s="4"/>
      <c r="K10411" s="4"/>
      <c r="L10411" s="4"/>
      <c r="M10411" s="5" t="s">
        <v>6501</v>
      </c>
    </row>
    <row r="10412" customFormat="false" ht="15.75" hidden="false" customHeight="false" outlineLevel="0" collapsed="false">
      <c r="A10412" s="6" t="n">
        <v>46193</v>
      </c>
      <c r="B10412" s="4" t="s">
        <v>4473</v>
      </c>
      <c r="C10412" s="4" t="n">
        <v>2</v>
      </c>
      <c r="D10412" s="4" t="n">
        <v>4</v>
      </c>
      <c r="E10412" s="4"/>
      <c r="F10412" s="4" t="n">
        <v>4</v>
      </c>
      <c r="G10412" s="4" t="n">
        <v>9</v>
      </c>
      <c r="H10412" s="4" t="n">
        <v>4</v>
      </c>
      <c r="I10412" s="4" t="str">
        <v>×</v>
      </c>
      <c r="J10412" s="4"/>
      <c r="K10412" s="4"/>
      <c r="L10412" s="4"/>
      <c r="M10412" s="5" t="s">
        <v>6501</v>
      </c>
    </row>
    <row r="10413" customFormat="false" ht="15.75" hidden="false" customHeight="false" outlineLevel="0" collapsed="false">
      <c r="A10413" s="6" t="n">
        <v>46193</v>
      </c>
      <c r="B10413" s="4" t="s">
        <v>4473</v>
      </c>
      <c r="C10413" s="4" t="n">
        <v>2</v>
      </c>
      <c r="D10413" s="4" t="n">
        <v>5</v>
      </c>
      <c r="E10413" s="4"/>
      <c r="F10413" s="4" t="n">
        <v>3</v>
      </c>
      <c r="G10413" s="4" t="n">
        <v>10</v>
      </c>
      <c r="H10413" s="4" t="n">
        <v>4</v>
      </c>
      <c r="I10413" s="4" t="str">
        <v>×</v>
      </c>
      <c r="J10413" s="4"/>
      <c r="K10413" s="4"/>
      <c r="L10413" s="4"/>
      <c r="M10413" s="5" t="s">
        <v>6501</v>
      </c>
    </row>
    <row r="10414" customFormat="false" ht="15.75" hidden="false" customHeight="false" outlineLevel="0" collapsed="false">
      <c r="A10414" s="6" t="n">
        <v>46193</v>
      </c>
      <c r="B10414" s="4" t="s">
        <v>4473</v>
      </c>
      <c r="C10414" s="4" t="n">
        <v>2</v>
      </c>
      <c r="D10414" s="4" t="n">
        <v>6</v>
      </c>
      <c r="E10414" s="4"/>
      <c r="F10414" s="4" t="n">
        <v>3</v>
      </c>
      <c r="G10414" s="4" t="n">
        <v>10</v>
      </c>
      <c r="H10414" s="4" t="n">
        <v>4</v>
      </c>
      <c r="I10414" s="4" t="str">
        <v>×</v>
      </c>
      <c r="J10414" s="4"/>
      <c r="K10414" s="4"/>
      <c r="L10414" s="4"/>
      <c r="M10414" s="5" t="s">
        <v>6501</v>
      </c>
    </row>
    <row r="10415" customFormat="false" ht="15.75" hidden="false" customHeight="false" outlineLevel="0" collapsed="false">
      <c r="A10415" s="6" t="n">
        <v>46193</v>
      </c>
      <c r="B10415" s="4" t="s">
        <v>4473</v>
      </c>
      <c r="C10415" s="4" t="n">
        <v>2</v>
      </c>
      <c r="D10415" s="4" t="n">
        <v>7</v>
      </c>
      <c r="E10415" s="4"/>
      <c r="F10415" s="4" t="n">
        <v>41</v>
      </c>
      <c r="G10415" s="4" t="n">
        <v>2</v>
      </c>
      <c r="H10415" s="4" t="n">
        <v>1</v>
      </c>
      <c r="I10415" s="4" t="str">
        <v>○</v>
      </c>
      <c r="J10415" s="4" t="n">
        <v>140</v>
      </c>
      <c r="K10415" s="4"/>
      <c r="L10415" s="4"/>
      <c r="M10415" s="5" t="s">
        <v>6501</v>
      </c>
    </row>
    <row r="10416" customFormat="false" ht="15.75" hidden="false" customHeight="false" outlineLevel="0" collapsed="false">
      <c r="A10416" s="6" t="n">
        <v>46193</v>
      </c>
      <c r="B10416" s="4" t="s">
        <v>4473</v>
      </c>
      <c r="C10416" s="4" t="n">
        <v>2</v>
      </c>
      <c r="D10416" s="4" t="n">
        <v>8</v>
      </c>
      <c r="E10416" s="4"/>
      <c r="F10416" s="4" t="n">
        <v>39</v>
      </c>
      <c r="G10416" s="4" t="n">
        <v>3</v>
      </c>
      <c r="H10416" s="4" t="n">
        <v>4</v>
      </c>
      <c r="I10416" s="4" t="str">
        <v>×</v>
      </c>
      <c r="J10416" s="4"/>
      <c r="K10416" s="4"/>
      <c r="L10416" s="4"/>
      <c r="M10416" s="5" t="s">
        <v>6501</v>
      </c>
    </row>
    <row r="10417" customFormat="false" ht="15.75" hidden="false" customHeight="false" outlineLevel="0" collapsed="false">
      <c r="A10417" s="6" t="n">
        <v>46193</v>
      </c>
      <c r="B10417" s="4" t="s">
        <v>4473</v>
      </c>
      <c r="C10417" s="4" t="n">
        <v>2</v>
      </c>
      <c r="D10417" s="4" t="n">
        <v>9</v>
      </c>
      <c r="E10417" s="4"/>
      <c r="F10417" s="4" t="n">
        <v>4</v>
      </c>
      <c r="G10417" s="4" t="n">
        <v>9</v>
      </c>
      <c r="H10417" s="4" t="n">
        <v>4</v>
      </c>
      <c r="I10417" s="4" t="str">
        <v>×</v>
      </c>
      <c r="J10417" s="4"/>
      <c r="K10417" s="4"/>
      <c r="L10417" s="4"/>
      <c r="M10417" s="5" t="s">
        <v>6501</v>
      </c>
    </row>
    <row r="10418" customFormat="false" ht="15.75" hidden="false" customHeight="false" outlineLevel="0" collapsed="false">
      <c r="A10418" s="6" t="n">
        <v>46193</v>
      </c>
      <c r="B10418" s="4" t="s">
        <v>4473</v>
      </c>
      <c r="C10418" s="4" t="n">
        <v>2</v>
      </c>
      <c r="D10418" s="4" t="n">
        <v>10</v>
      </c>
      <c r="E10418" s="4"/>
      <c r="F10418" s="4" t="n">
        <v>25</v>
      </c>
      <c r="G10418" s="4" t="n">
        <v>4</v>
      </c>
      <c r="H10418" s="4" t="n">
        <v>4</v>
      </c>
      <c r="I10418" s="4" t="str">
        <v>×</v>
      </c>
      <c r="J10418" s="4"/>
      <c r="K10418" s="4"/>
      <c r="L10418" s="4"/>
      <c r="M10418" s="5" t="s">
        <v>6501</v>
      </c>
    </row>
    <row r="10419" customFormat="false" ht="15.75" hidden="false" customHeight="false" outlineLevel="0" collapsed="false">
      <c r="A10419" s="6" t="n">
        <v>46193</v>
      </c>
      <c r="B10419" s="4" t="s">
        <v>4473</v>
      </c>
      <c r="C10419" s="4" t="n">
        <v>2</v>
      </c>
      <c r="D10419" s="4" t="n">
        <v>11</v>
      </c>
      <c r="E10419" s="4"/>
      <c r="F10419" s="4" t="n">
        <v>17</v>
      </c>
      <c r="G10419" s="4" t="n">
        <v>6</v>
      </c>
      <c r="H10419" s="4" t="n">
        <v>4</v>
      </c>
      <c r="I10419" s="4" t="str">
        <v>×</v>
      </c>
      <c r="J10419" s="4"/>
      <c r="K10419" s="4"/>
      <c r="L10419" s="4"/>
      <c r="M10419" s="5" t="s">
        <v>6501</v>
      </c>
    </row>
    <row r="10420" customFormat="false" ht="15.75" hidden="false" customHeight="false" outlineLevel="0" collapsed="false">
      <c r="A10420" s="6" t="n">
        <v>46193</v>
      </c>
      <c r="B10420" s="4" t="s">
        <v>4473</v>
      </c>
      <c r="C10420" s="4" t="n">
        <v>2</v>
      </c>
      <c r="D10420" s="4" t="n">
        <v>12</v>
      </c>
      <c r="E10420" s="4"/>
      <c r="F10420" s="4" t="n">
        <v>20</v>
      </c>
      <c r="G10420" s="4" t="n">
        <v>5</v>
      </c>
      <c r="H10420" s="4" t="n">
        <v>4</v>
      </c>
      <c r="I10420" s="4" t="str">
        <v>×</v>
      </c>
      <c r="J10420" s="4"/>
      <c r="K10420" s="4"/>
      <c r="L10420" s="4"/>
      <c r="M10420" s="5" t="s">
        <v>6501</v>
      </c>
    </row>
    <row r="10421" customFormat="false" ht="15.75" hidden="false" customHeight="false" outlineLevel="0" collapsed="false">
      <c r="A10421" s="6" t="n">
        <v>46193</v>
      </c>
      <c r="B10421" s="4" t="s">
        <v>4473</v>
      </c>
      <c r="C10421" s="4" t="n">
        <v>2</v>
      </c>
      <c r="D10421" s="4" t="n">
        <v>13</v>
      </c>
      <c r="E10421" s="4"/>
      <c r="F10421" s="4" t="n">
        <v>10</v>
      </c>
      <c r="G10421" s="4" t="n">
        <v>7</v>
      </c>
      <c r="H10421" s="4" t="n">
        <v>4</v>
      </c>
      <c r="I10421" s="4" t="str">
        <v>×</v>
      </c>
      <c r="J10421" s="4"/>
      <c r="K10421" s="4"/>
      <c r="L10421" s="4"/>
      <c r="M10421" s="5" t="s">
        <v>6501</v>
      </c>
    </row>
    <row r="10422" customFormat="false" ht="15.75" hidden="false" customHeight="false" outlineLevel="0" collapsed="false">
      <c r="A10422" s="6" t="n">
        <v>46193</v>
      </c>
      <c r="B10422" s="4" t="s">
        <v>4473</v>
      </c>
      <c r="C10422" s="4" t="n">
        <v>2</v>
      </c>
      <c r="D10422" s="4" t="n">
        <v>14</v>
      </c>
      <c r="E10422" s="4"/>
      <c r="F10422" s="4" t="n">
        <v>66</v>
      </c>
      <c r="G10422" s="4" t="n">
        <v>1</v>
      </c>
      <c r="H10422" s="4" t="n">
        <v>3</v>
      </c>
      <c r="I10422" s="4" t="str">
        <v>○</v>
      </c>
      <c r="J10422" s="4" t="n">
        <v>130</v>
      </c>
      <c r="K10422" s="4"/>
      <c r="L10422" s="4"/>
      <c r="M10422" s="5" t="s">
        <v>6501</v>
      </c>
    </row>
    <row r="10423" customFormat="false" ht="15.75" hidden="false" customHeight="false" outlineLevel="0" collapsed="false">
      <c r="A10423" s="6" t="n">
        <v>46193</v>
      </c>
      <c r="B10423" s="4" t="s">
        <v>4473</v>
      </c>
      <c r="C10423" s="4" t="n">
        <v>2</v>
      </c>
      <c r="D10423" s="4" t="n">
        <v>15</v>
      </c>
      <c r="E10423" s="4"/>
      <c r="F10423" s="4" t="n">
        <v>8</v>
      </c>
      <c r="G10423" s="4" t="n">
        <v>8</v>
      </c>
      <c r="H10423" s="4" t="n">
        <v>4</v>
      </c>
      <c r="I10423" s="4" t="str">
        <v>×</v>
      </c>
      <c r="J10423" s="4"/>
      <c r="K10423" s="4"/>
      <c r="L10423" s="4"/>
      <c r="M10423" s="5" t="s">
        <v>6501</v>
      </c>
    </row>
    <row r="10424" customFormat="false" ht="15.75" hidden="false" customHeight="false" outlineLevel="0" collapsed="false">
      <c r="A10424" s="6" t="n">
        <v>46193</v>
      </c>
      <c r="B10424" s="4" t="s">
        <v>4473</v>
      </c>
      <c r="C10424" s="4" t="n">
        <v>2</v>
      </c>
      <c r="D10424" s="4" t="n">
        <v>16</v>
      </c>
      <c r="E10424" s="4"/>
      <c r="F10424" s="4" t="n">
        <v>8</v>
      </c>
      <c r="G10424" s="4" t="n">
        <v>8</v>
      </c>
      <c r="H10424" s="4" t="n">
        <v>4</v>
      </c>
      <c r="I10424" s="4" t="str">
        <v>×</v>
      </c>
      <c r="J10424" s="4"/>
      <c r="K10424" s="4"/>
      <c r="L10424" s="4"/>
      <c r="M10424" s="5" t="s">
        <v>6501</v>
      </c>
    </row>
    <row r="10425" customFormat="false" ht="15.75" hidden="false" customHeight="false" outlineLevel="0" collapsed="false">
      <c r="A10425" s="6" t="n">
        <v>46193</v>
      </c>
      <c r="B10425" s="4" t="s">
        <v>4473</v>
      </c>
      <c r="C10425" s="4" t="n">
        <v>3</v>
      </c>
      <c r="D10425" s="4" t="n">
        <v>1</v>
      </c>
      <c r="E10425" s="4"/>
      <c r="F10425" s="4" t="n">
        <v>6</v>
      </c>
      <c r="G10425" s="4" t="n">
        <v>8</v>
      </c>
      <c r="H10425" s="4" t="n">
        <v>4</v>
      </c>
      <c r="I10425" s="4" t="str">
        <v>×</v>
      </c>
      <c r="J10425" s="4"/>
      <c r="K10425" s="4"/>
      <c r="L10425" s="4"/>
      <c r="M10425" s="5" t="s">
        <v>6501</v>
      </c>
    </row>
    <row r="10426" customFormat="false" ht="15.75" hidden="false" customHeight="false" outlineLevel="0" collapsed="false">
      <c r="A10426" s="6" t="n">
        <v>46193</v>
      </c>
      <c r="B10426" s="4" t="s">
        <v>4473</v>
      </c>
      <c r="C10426" s="4" t="n">
        <v>3</v>
      </c>
      <c r="D10426" s="4" t="n">
        <v>2</v>
      </c>
      <c r="E10426" s="4"/>
      <c r="F10426" s="4" t="n">
        <v>3</v>
      </c>
      <c r="G10426" s="4" t="n">
        <v>10</v>
      </c>
      <c r="H10426" s="4" t="n">
        <v>4</v>
      </c>
      <c r="I10426" s="4" t="str">
        <v>×</v>
      </c>
      <c r="J10426" s="4"/>
      <c r="K10426" s="4"/>
      <c r="L10426" s="4"/>
      <c r="M10426" s="5" t="s">
        <v>6501</v>
      </c>
    </row>
    <row r="10427" customFormat="false" ht="15.75" hidden="false" customHeight="false" outlineLevel="0" collapsed="false">
      <c r="A10427" s="6" t="n">
        <v>46193</v>
      </c>
      <c r="B10427" s="4" t="s">
        <v>4473</v>
      </c>
      <c r="C10427" s="4" t="n">
        <v>3</v>
      </c>
      <c r="D10427" s="4" t="n">
        <v>3</v>
      </c>
      <c r="E10427" s="4"/>
      <c r="F10427" s="4" t="n">
        <v>41</v>
      </c>
      <c r="G10427" s="4" t="n">
        <v>3</v>
      </c>
      <c r="H10427" s="4" t="n">
        <v>4</v>
      </c>
      <c r="I10427" s="4" t="str">
        <v>×</v>
      </c>
      <c r="J10427" s="4"/>
      <c r="K10427" s="4"/>
      <c r="L10427" s="4"/>
      <c r="M10427" s="5" t="s">
        <v>6501</v>
      </c>
    </row>
    <row r="10428" customFormat="false" ht="15.75" hidden="false" customHeight="false" outlineLevel="0" collapsed="false">
      <c r="A10428" s="6" t="n">
        <v>46193</v>
      </c>
      <c r="B10428" s="4" t="s">
        <v>4473</v>
      </c>
      <c r="C10428" s="4" t="n">
        <v>3</v>
      </c>
      <c r="D10428" s="4" t="n">
        <v>4</v>
      </c>
      <c r="E10428" s="4"/>
      <c r="F10428" s="4" t="n">
        <v>4</v>
      </c>
      <c r="G10428" s="4" t="n">
        <v>9</v>
      </c>
      <c r="H10428" s="4" t="n">
        <v>4</v>
      </c>
      <c r="I10428" s="4" t="str">
        <v>×</v>
      </c>
      <c r="J10428" s="4"/>
      <c r="K10428" s="4"/>
      <c r="L10428" s="4"/>
      <c r="M10428" s="5" t="s">
        <v>6501</v>
      </c>
    </row>
    <row r="10429" customFormat="false" ht="15.75" hidden="false" customHeight="false" outlineLevel="0" collapsed="false">
      <c r="A10429" s="6" t="n">
        <v>46193</v>
      </c>
      <c r="B10429" s="4" t="s">
        <v>4473</v>
      </c>
      <c r="C10429" s="4" t="n">
        <v>3</v>
      </c>
      <c r="D10429" s="4" t="n">
        <v>5</v>
      </c>
      <c r="E10429" s="4"/>
      <c r="F10429" s="4" t="n">
        <v>20</v>
      </c>
      <c r="G10429" s="4" t="n">
        <v>6</v>
      </c>
      <c r="H10429" s="4" t="n">
        <v>4</v>
      </c>
      <c r="I10429" s="4" t="str">
        <v>×</v>
      </c>
      <c r="J10429" s="4"/>
      <c r="K10429" s="4"/>
      <c r="L10429" s="4"/>
      <c r="M10429" s="5" t="s">
        <v>6501</v>
      </c>
    </row>
    <row r="10430" customFormat="false" ht="15.75" hidden="false" customHeight="false" outlineLevel="0" collapsed="false">
      <c r="A10430" s="6" t="n">
        <v>46193</v>
      </c>
      <c r="B10430" s="4" t="s">
        <v>4473</v>
      </c>
      <c r="C10430" s="4" t="n">
        <v>3</v>
      </c>
      <c r="D10430" s="4" t="n">
        <v>6</v>
      </c>
      <c r="E10430" s="4"/>
      <c r="F10430" s="4" t="n">
        <v>37</v>
      </c>
      <c r="G10430" s="4" t="n">
        <v>5</v>
      </c>
      <c r="H10430" s="4" t="n">
        <v>4</v>
      </c>
      <c r="I10430" s="4" t="str">
        <v>×</v>
      </c>
      <c r="J10430" s="4"/>
      <c r="K10430" s="4"/>
      <c r="L10430" s="4"/>
      <c r="M10430" s="5" t="s">
        <v>6501</v>
      </c>
    </row>
    <row r="10431" customFormat="false" ht="15.75" hidden="false" customHeight="false" outlineLevel="0" collapsed="false">
      <c r="A10431" s="6" t="n">
        <v>46193</v>
      </c>
      <c r="B10431" s="4" t="s">
        <v>4473</v>
      </c>
      <c r="C10431" s="4" t="n">
        <v>3</v>
      </c>
      <c r="D10431" s="4" t="n">
        <v>7</v>
      </c>
      <c r="E10431" s="4"/>
      <c r="F10431" s="4" t="n">
        <v>52</v>
      </c>
      <c r="G10431" s="4" t="n">
        <v>1</v>
      </c>
      <c r="H10431" s="4" t="n">
        <v>1</v>
      </c>
      <c r="I10431" s="4" t="str">
        <v>○</v>
      </c>
      <c r="J10431" s="4" t="n">
        <v>130</v>
      </c>
      <c r="K10431" s="4"/>
      <c r="L10431" s="4"/>
      <c r="M10431" s="5" t="s">
        <v>6501</v>
      </c>
    </row>
    <row r="10432" customFormat="false" ht="15.75" hidden="false" customHeight="false" outlineLevel="0" collapsed="false">
      <c r="A10432" s="6" t="n">
        <v>46193</v>
      </c>
      <c r="B10432" s="4" t="s">
        <v>4473</v>
      </c>
      <c r="C10432" s="4" t="n">
        <v>3</v>
      </c>
      <c r="D10432" s="4" t="n">
        <v>8</v>
      </c>
      <c r="E10432" s="4"/>
      <c r="F10432" s="4" t="n">
        <v>10</v>
      </c>
      <c r="G10432" s="4" t="n">
        <v>7</v>
      </c>
      <c r="H10432" s="4" t="n">
        <v>4</v>
      </c>
      <c r="I10432" s="4" t="str">
        <v>×</v>
      </c>
      <c r="J10432" s="4"/>
      <c r="K10432" s="4"/>
      <c r="L10432" s="4"/>
      <c r="M10432" s="5" t="s">
        <v>6501</v>
      </c>
    </row>
    <row r="10433" customFormat="false" ht="15.75" hidden="false" customHeight="false" outlineLevel="0" collapsed="false">
      <c r="A10433" s="6" t="n">
        <v>46193</v>
      </c>
      <c r="B10433" s="4" t="s">
        <v>4473</v>
      </c>
      <c r="C10433" s="4" t="n">
        <v>3</v>
      </c>
      <c r="D10433" s="4" t="n">
        <v>9</v>
      </c>
      <c r="E10433" s="4"/>
      <c r="F10433" s="4" t="n">
        <v>4</v>
      </c>
      <c r="G10433" s="4" t="n">
        <v>9</v>
      </c>
      <c r="H10433" s="4" t="n">
        <v>2</v>
      </c>
      <c r="I10433" s="4" t="str">
        <v>○</v>
      </c>
      <c r="J10433" s="4" t="n">
        <v>470</v>
      </c>
      <c r="K10433" s="4"/>
      <c r="L10433" s="4"/>
      <c r="M10433" s="5" t="s">
        <v>6501</v>
      </c>
    </row>
    <row r="10434" customFormat="false" ht="15.75" hidden="false" customHeight="false" outlineLevel="0" collapsed="false">
      <c r="A10434" s="6" t="n">
        <v>46193</v>
      </c>
      <c r="B10434" s="4" t="s">
        <v>4473</v>
      </c>
      <c r="C10434" s="4" t="n">
        <v>3</v>
      </c>
      <c r="D10434" s="4" t="n">
        <v>10</v>
      </c>
      <c r="E10434" s="4"/>
      <c r="F10434" s="4" t="n">
        <v>44</v>
      </c>
      <c r="G10434" s="4" t="n">
        <v>2</v>
      </c>
      <c r="H10434" s="4" t="n">
        <v>4</v>
      </c>
      <c r="I10434" s="4" t="str">
        <v>×</v>
      </c>
      <c r="J10434" s="4"/>
      <c r="K10434" s="4"/>
      <c r="L10434" s="4"/>
      <c r="M10434" s="5" t="s">
        <v>6501</v>
      </c>
    </row>
    <row r="10435" customFormat="false" ht="15.75" hidden="false" customHeight="false" outlineLevel="0" collapsed="false">
      <c r="A10435" s="6" t="n">
        <v>46193</v>
      </c>
      <c r="B10435" s="4" t="s">
        <v>4473</v>
      </c>
      <c r="C10435" s="4" t="n">
        <v>3</v>
      </c>
      <c r="D10435" s="4" t="n">
        <v>11</v>
      </c>
      <c r="E10435" s="4"/>
      <c r="F10435" s="4" t="n">
        <v>37</v>
      </c>
      <c r="G10435" s="4" t="n">
        <v>5</v>
      </c>
      <c r="H10435" s="4" t="n">
        <v>3</v>
      </c>
      <c r="I10435" s="4" t="str">
        <v>○</v>
      </c>
      <c r="J10435" s="4" t="n">
        <v>240</v>
      </c>
      <c r="K10435" s="4"/>
      <c r="L10435" s="4"/>
      <c r="M10435" s="5" t="s">
        <v>6501</v>
      </c>
    </row>
    <row r="10436" customFormat="false" ht="15.75" hidden="false" customHeight="false" outlineLevel="0" collapsed="false">
      <c r="A10436" s="6" t="n">
        <v>46193</v>
      </c>
      <c r="B10436" s="4" t="s">
        <v>4473</v>
      </c>
      <c r="C10436" s="4" t="n">
        <v>3</v>
      </c>
      <c r="D10436" s="4" t="n">
        <v>12</v>
      </c>
      <c r="E10436" s="4"/>
      <c r="F10436" s="4" t="n">
        <v>10</v>
      </c>
      <c r="G10436" s="4" t="n">
        <v>7</v>
      </c>
      <c r="H10436" s="4" t="n">
        <v>4</v>
      </c>
      <c r="I10436" s="4" t="str">
        <v>×</v>
      </c>
      <c r="J10436" s="4"/>
      <c r="K10436" s="4"/>
      <c r="L10436" s="4"/>
      <c r="M10436" s="5" t="s">
        <v>6501</v>
      </c>
    </row>
    <row r="10437" customFormat="false" ht="15.75" hidden="false" customHeight="false" outlineLevel="0" collapsed="false">
      <c r="A10437" s="6" t="n">
        <v>46193</v>
      </c>
      <c r="B10437" s="4" t="s">
        <v>4473</v>
      </c>
      <c r="C10437" s="4" t="n">
        <v>3</v>
      </c>
      <c r="D10437" s="4" t="n">
        <v>13</v>
      </c>
      <c r="E10437" s="4"/>
      <c r="F10437" s="4" t="n">
        <v>39</v>
      </c>
      <c r="G10437" s="4" t="n">
        <v>4</v>
      </c>
      <c r="H10437" s="4" t="n">
        <v>4</v>
      </c>
      <c r="I10437" s="4" t="str">
        <v>×</v>
      </c>
      <c r="J10437" s="4"/>
      <c r="K10437" s="4"/>
      <c r="L10437" s="4"/>
      <c r="M10437" s="5" t="s">
        <v>6501</v>
      </c>
    </row>
    <row r="10438" customFormat="false" ht="15.75" hidden="false" customHeight="false" outlineLevel="0" collapsed="false">
      <c r="A10438" s="6" t="n">
        <v>46193</v>
      </c>
      <c r="B10438" s="4" t="s">
        <v>4473</v>
      </c>
      <c r="C10438" s="4" t="n">
        <v>3</v>
      </c>
      <c r="D10438" s="4" t="n">
        <v>14</v>
      </c>
      <c r="E10438" s="4"/>
      <c r="F10438" s="4" t="n">
        <v>6</v>
      </c>
      <c r="G10438" s="4" t="n">
        <v>8</v>
      </c>
      <c r="H10438" s="4" t="n">
        <v>4</v>
      </c>
      <c r="I10438" s="4" t="str">
        <v>×</v>
      </c>
      <c r="J10438" s="4"/>
      <c r="K10438" s="4"/>
      <c r="L10438" s="4"/>
      <c r="M10438" s="5" t="s">
        <v>6501</v>
      </c>
    </row>
    <row r="10439" customFormat="false" ht="15.75" hidden="false" customHeight="false" outlineLevel="0" collapsed="false">
      <c r="A10439" s="6" t="n">
        <v>46193</v>
      </c>
      <c r="B10439" s="4" t="s">
        <v>4473</v>
      </c>
      <c r="C10439" s="4" t="n">
        <v>3</v>
      </c>
      <c r="D10439" s="4" t="n">
        <v>15</v>
      </c>
      <c r="E10439" s="4"/>
      <c r="F10439" s="4" t="n">
        <v>4</v>
      </c>
      <c r="G10439" s="4" t="n">
        <v>9</v>
      </c>
      <c r="H10439" s="4" t="n">
        <v>4</v>
      </c>
      <c r="I10439" s="4" t="str">
        <v>×</v>
      </c>
      <c r="J10439" s="4"/>
      <c r="K10439" s="4"/>
      <c r="L10439" s="4"/>
      <c r="M10439" s="5" t="s">
        <v>6501</v>
      </c>
    </row>
    <row r="10440" customFormat="false" ht="15.75" hidden="false" customHeight="false" outlineLevel="0" collapsed="false">
      <c r="A10440" s="6" t="n">
        <v>46193</v>
      </c>
      <c r="B10440" s="4" t="s">
        <v>4473</v>
      </c>
      <c r="C10440" s="4" t="n">
        <v>3</v>
      </c>
      <c r="D10440" s="4" t="n">
        <v>16</v>
      </c>
      <c r="E10440" s="4"/>
      <c r="F10440" s="4" t="n">
        <v>4</v>
      </c>
      <c r="G10440" s="4" t="n">
        <v>9</v>
      </c>
      <c r="H10440" s="4" t="n">
        <v>4</v>
      </c>
      <c r="I10440" s="4" t="str">
        <v>×</v>
      </c>
      <c r="J10440" s="4"/>
      <c r="K10440" s="4"/>
      <c r="L10440" s="4"/>
      <c r="M10440" s="5" t="s">
        <v>6501</v>
      </c>
    </row>
    <row r="10441" customFormat="false" ht="15.75" hidden="false" customHeight="false" outlineLevel="0" collapsed="false">
      <c r="A10441" s="6" t="n">
        <v>46193</v>
      </c>
      <c r="B10441" s="4" t="s">
        <v>4473</v>
      </c>
      <c r="C10441" s="4" t="n">
        <v>4</v>
      </c>
      <c r="D10441" s="4" t="n">
        <v>1</v>
      </c>
      <c r="E10441" s="4"/>
      <c r="F10441" s="4" t="n">
        <v>16</v>
      </c>
      <c r="G10441" s="4" t="n">
        <v>5</v>
      </c>
      <c r="H10441" s="4" t="n">
        <v>2</v>
      </c>
      <c r="I10441" s="4" t="str">
        <v>○</v>
      </c>
      <c r="J10441" s="4" t="n">
        <v>610</v>
      </c>
      <c r="K10441" s="4"/>
      <c r="L10441" s="4"/>
      <c r="M10441" s="5" t="s">
        <v>6501</v>
      </c>
    </row>
    <row r="10442" customFormat="false" ht="15.75" hidden="false" customHeight="false" outlineLevel="0" collapsed="false">
      <c r="A10442" s="6" t="n">
        <v>46193</v>
      </c>
      <c r="B10442" s="4" t="s">
        <v>4473</v>
      </c>
      <c r="C10442" s="4" t="n">
        <v>4</v>
      </c>
      <c r="D10442" s="4" t="n">
        <v>2</v>
      </c>
      <c r="E10442" s="4"/>
      <c r="F10442" s="4" t="n">
        <v>27</v>
      </c>
      <c r="G10442" s="4" t="n">
        <v>3</v>
      </c>
      <c r="H10442" s="4" t="n">
        <v>1</v>
      </c>
      <c r="I10442" s="4" t="str">
        <v>○</v>
      </c>
      <c r="J10442" s="4" t="n">
        <v>150</v>
      </c>
      <c r="K10442" s="4"/>
      <c r="L10442" s="4"/>
      <c r="M10442" s="5" t="s">
        <v>6501</v>
      </c>
    </row>
    <row r="10443" customFormat="false" ht="15.75" hidden="false" customHeight="false" outlineLevel="0" collapsed="false">
      <c r="A10443" s="6" t="n">
        <v>46193</v>
      </c>
      <c r="B10443" s="4" t="s">
        <v>4473</v>
      </c>
      <c r="C10443" s="4" t="n">
        <v>4</v>
      </c>
      <c r="D10443" s="4" t="n">
        <v>3</v>
      </c>
      <c r="E10443" s="4"/>
      <c r="F10443" s="4" t="n">
        <v>21</v>
      </c>
      <c r="G10443" s="4" t="n">
        <v>4</v>
      </c>
      <c r="H10443" s="4" t="n">
        <v>4</v>
      </c>
      <c r="I10443" s="4" t="str">
        <v>×</v>
      </c>
      <c r="J10443" s="4"/>
      <c r="K10443" s="4"/>
      <c r="L10443" s="4"/>
      <c r="M10443" s="5" t="s">
        <v>6501</v>
      </c>
    </row>
    <row r="10444" customFormat="false" ht="15.75" hidden="false" customHeight="false" outlineLevel="0" collapsed="false">
      <c r="A10444" s="6" t="n">
        <v>46193</v>
      </c>
      <c r="B10444" s="4" t="s">
        <v>4473</v>
      </c>
      <c r="C10444" s="4" t="n">
        <v>4</v>
      </c>
      <c r="D10444" s="4" t="n">
        <v>4</v>
      </c>
      <c r="E10444" s="4"/>
      <c r="F10444" s="4" t="n">
        <v>21</v>
      </c>
      <c r="G10444" s="4" t="n">
        <v>4</v>
      </c>
      <c r="H10444" s="4" t="n">
        <v>4</v>
      </c>
      <c r="I10444" s="4" t="str">
        <v>×</v>
      </c>
      <c r="J10444" s="4"/>
      <c r="K10444" s="4"/>
      <c r="L10444" s="4"/>
      <c r="M10444" s="5" t="s">
        <v>6501</v>
      </c>
    </row>
    <row r="10445" customFormat="false" ht="15.75" hidden="false" customHeight="false" outlineLevel="0" collapsed="false">
      <c r="A10445" s="6" t="n">
        <v>46193</v>
      </c>
      <c r="B10445" s="4" t="s">
        <v>4473</v>
      </c>
      <c r="C10445" s="4" t="n">
        <v>4</v>
      </c>
      <c r="D10445" s="4" t="n">
        <v>5</v>
      </c>
      <c r="E10445" s="4"/>
      <c r="F10445" s="4" t="n">
        <v>27</v>
      </c>
      <c r="G10445" s="4" t="n">
        <v>3</v>
      </c>
      <c r="H10445" s="4" t="n">
        <v>4</v>
      </c>
      <c r="I10445" s="4" t="str">
        <v>×</v>
      </c>
      <c r="J10445" s="4"/>
      <c r="K10445" s="4"/>
      <c r="L10445" s="4"/>
      <c r="M10445" s="5" t="s">
        <v>6501</v>
      </c>
    </row>
    <row r="10446" customFormat="false" ht="15.75" hidden="false" customHeight="false" outlineLevel="0" collapsed="false">
      <c r="A10446" s="6" t="n">
        <v>46193</v>
      </c>
      <c r="B10446" s="4" t="s">
        <v>4473</v>
      </c>
      <c r="C10446" s="4" t="n">
        <v>4</v>
      </c>
      <c r="D10446" s="4" t="n">
        <v>6</v>
      </c>
      <c r="E10446" s="4"/>
      <c r="F10446" s="4" t="n">
        <v>21</v>
      </c>
      <c r="G10446" s="4" t="n">
        <v>4</v>
      </c>
      <c r="H10446" s="4" t="n">
        <v>4</v>
      </c>
      <c r="I10446" s="4" t="str">
        <v>×</v>
      </c>
      <c r="J10446" s="4"/>
      <c r="K10446" s="4"/>
      <c r="L10446" s="4"/>
      <c r="M10446" s="5" t="s">
        <v>6501</v>
      </c>
    </row>
    <row r="10447" customFormat="false" ht="15.75" hidden="false" customHeight="false" outlineLevel="0" collapsed="false">
      <c r="A10447" s="6" t="n">
        <v>46193</v>
      </c>
      <c r="B10447" s="4" t="s">
        <v>4473</v>
      </c>
      <c r="C10447" s="4" t="n">
        <v>4</v>
      </c>
      <c r="D10447" s="4" t="n">
        <v>7</v>
      </c>
      <c r="E10447" s="4"/>
      <c r="F10447" s="4" t="n">
        <v>8</v>
      </c>
      <c r="G10447" s="4" t="n">
        <v>6</v>
      </c>
      <c r="H10447" s="4" t="n">
        <v>4</v>
      </c>
      <c r="I10447" s="4" t="str">
        <v>×</v>
      </c>
      <c r="J10447" s="4"/>
      <c r="K10447" s="4"/>
      <c r="L10447" s="4"/>
      <c r="M10447" s="5" t="s">
        <v>6501</v>
      </c>
    </row>
    <row r="10448" customFormat="false" ht="15.75" hidden="false" customHeight="false" outlineLevel="0" collapsed="false">
      <c r="A10448" s="6" t="n">
        <v>46193</v>
      </c>
      <c r="B10448" s="4" t="s">
        <v>4473</v>
      </c>
      <c r="C10448" s="4" t="n">
        <v>4</v>
      </c>
      <c r="D10448" s="4" t="n">
        <v>8</v>
      </c>
      <c r="E10448" s="4"/>
      <c r="F10448" s="4" t="n">
        <v>8</v>
      </c>
      <c r="G10448" s="4" t="n">
        <v>6</v>
      </c>
      <c r="H10448" s="4" t="n">
        <v>4</v>
      </c>
      <c r="I10448" s="4" t="str">
        <v>×</v>
      </c>
      <c r="J10448" s="4"/>
      <c r="K10448" s="4"/>
      <c r="L10448" s="4"/>
      <c r="M10448" s="5" t="s">
        <v>6501</v>
      </c>
    </row>
    <row r="10449" customFormat="false" ht="15.75" hidden="false" customHeight="false" outlineLevel="0" collapsed="false">
      <c r="A10449" s="6" t="n">
        <v>46193</v>
      </c>
      <c r="B10449" s="4" t="s">
        <v>4473</v>
      </c>
      <c r="C10449" s="4" t="n">
        <v>4</v>
      </c>
      <c r="D10449" s="4" t="n">
        <v>9</v>
      </c>
      <c r="E10449" s="4"/>
      <c r="F10449" s="4" t="n">
        <v>31</v>
      </c>
      <c r="G10449" s="4" t="n">
        <v>2</v>
      </c>
      <c r="H10449" s="4" t="n">
        <v>4</v>
      </c>
      <c r="I10449" s="4" t="str">
        <v>×</v>
      </c>
      <c r="J10449" s="4"/>
      <c r="K10449" s="4"/>
      <c r="L10449" s="4"/>
      <c r="M10449" s="5" t="s">
        <v>6501</v>
      </c>
    </row>
    <row r="10450" customFormat="false" ht="15.75" hidden="false" customHeight="false" outlineLevel="0" collapsed="false">
      <c r="A10450" s="6" t="n">
        <v>46193</v>
      </c>
      <c r="B10450" s="4" t="s">
        <v>4473</v>
      </c>
      <c r="C10450" s="4" t="n">
        <v>4</v>
      </c>
      <c r="D10450" s="4" t="n">
        <v>10</v>
      </c>
      <c r="E10450" s="4"/>
      <c r="F10450" s="4" t="n">
        <v>37</v>
      </c>
      <c r="G10450" s="4" t="n">
        <v>1</v>
      </c>
      <c r="H10450" s="4" t="n">
        <v>4</v>
      </c>
      <c r="I10450" s="4" t="str">
        <v>×</v>
      </c>
      <c r="J10450" s="4"/>
      <c r="K10450" s="4"/>
      <c r="L10450" s="4"/>
      <c r="M10450" s="5" t="s">
        <v>6501</v>
      </c>
    </row>
    <row r="10451" customFormat="false" ht="15.75" hidden="false" customHeight="false" outlineLevel="0" collapsed="false">
      <c r="A10451" s="6" t="n">
        <v>46193</v>
      </c>
      <c r="B10451" s="4" t="s">
        <v>4473</v>
      </c>
      <c r="C10451" s="4" t="n">
        <v>4</v>
      </c>
      <c r="D10451" s="4" t="n">
        <v>11</v>
      </c>
      <c r="E10451" s="4"/>
      <c r="F10451" s="4" t="n">
        <v>21</v>
      </c>
      <c r="G10451" s="4" t="n">
        <v>4</v>
      </c>
      <c r="H10451" s="4" t="n">
        <v>3</v>
      </c>
      <c r="I10451" s="4" t="str">
        <v>○</v>
      </c>
      <c r="J10451" s="4" t="n">
        <v>300</v>
      </c>
      <c r="K10451" s="4"/>
      <c r="L10451" s="4"/>
      <c r="M10451" s="5" t="s">
        <v>6501</v>
      </c>
    </row>
    <row r="10452" customFormat="false" ht="15.75" hidden="false" customHeight="false" outlineLevel="0" collapsed="false">
      <c r="A10452" s="6" t="n">
        <v>46193</v>
      </c>
      <c r="B10452" s="4" t="s">
        <v>4473</v>
      </c>
      <c r="C10452" s="4" t="n">
        <v>5</v>
      </c>
      <c r="D10452" s="4" t="n">
        <v>1</v>
      </c>
      <c r="E10452" s="4"/>
      <c r="F10452" s="4" t="n">
        <v>24</v>
      </c>
      <c r="G10452" s="4" t="n">
        <v>4</v>
      </c>
      <c r="H10452" s="4" t="n">
        <v>1</v>
      </c>
      <c r="I10452" s="4" t="str">
        <v>○</v>
      </c>
      <c r="J10452" s="4" t="n">
        <v>130</v>
      </c>
      <c r="K10452" s="4"/>
      <c r="L10452" s="4"/>
      <c r="M10452" s="5" t="s">
        <v>6501</v>
      </c>
    </row>
    <row r="10453" customFormat="false" ht="15.75" hidden="false" customHeight="false" outlineLevel="0" collapsed="false">
      <c r="A10453" s="6" t="n">
        <v>46193</v>
      </c>
      <c r="B10453" s="4" t="s">
        <v>4473</v>
      </c>
      <c r="C10453" s="4" t="n">
        <v>5</v>
      </c>
      <c r="D10453" s="4" t="n">
        <v>2</v>
      </c>
      <c r="E10453" s="4"/>
      <c r="F10453" s="4" t="n">
        <v>21</v>
      </c>
      <c r="G10453" s="4" t="n">
        <v>5</v>
      </c>
      <c r="H10453" s="4" t="n">
        <v>4</v>
      </c>
      <c r="I10453" s="4" t="str">
        <v>×</v>
      </c>
      <c r="J10453" s="4"/>
      <c r="K10453" s="4"/>
      <c r="L10453" s="4"/>
      <c r="M10453" s="5" t="s">
        <v>6501</v>
      </c>
    </row>
    <row r="10454" customFormat="false" ht="15.75" hidden="false" customHeight="false" outlineLevel="0" collapsed="false">
      <c r="A10454" s="6" t="n">
        <v>46193</v>
      </c>
      <c r="B10454" s="4" t="s">
        <v>4473</v>
      </c>
      <c r="C10454" s="4" t="n">
        <v>5</v>
      </c>
      <c r="D10454" s="4" t="n">
        <v>3</v>
      </c>
      <c r="E10454" s="4"/>
      <c r="F10454" s="4" t="n">
        <v>24</v>
      </c>
      <c r="G10454" s="4" t="n">
        <v>4</v>
      </c>
      <c r="H10454" s="4" t="n">
        <v>4</v>
      </c>
      <c r="I10454" s="4" t="str">
        <v>×</v>
      </c>
      <c r="J10454" s="4"/>
      <c r="K10454" s="4"/>
      <c r="L10454" s="4"/>
      <c r="M10454" s="5" t="s">
        <v>6501</v>
      </c>
    </row>
    <row r="10455" customFormat="false" ht="15.75" hidden="false" customHeight="false" outlineLevel="0" collapsed="false">
      <c r="A10455" s="6" t="n">
        <v>46193</v>
      </c>
      <c r="B10455" s="4" t="s">
        <v>4473</v>
      </c>
      <c r="C10455" s="4" t="n">
        <v>5</v>
      </c>
      <c r="D10455" s="4" t="n">
        <v>4</v>
      </c>
      <c r="E10455" s="4"/>
      <c r="F10455" s="4" t="n">
        <v>27</v>
      </c>
      <c r="G10455" s="4" t="n">
        <v>3</v>
      </c>
      <c r="H10455" s="4" t="n">
        <v>4</v>
      </c>
      <c r="I10455" s="4" t="str">
        <v>×</v>
      </c>
      <c r="J10455" s="4"/>
      <c r="K10455" s="4"/>
      <c r="L10455" s="4"/>
      <c r="M10455" s="5" t="s">
        <v>6501</v>
      </c>
    </row>
    <row r="10456" customFormat="false" ht="15.75" hidden="false" customHeight="false" outlineLevel="0" collapsed="false">
      <c r="A10456" s="6" t="n">
        <v>46193</v>
      </c>
      <c r="B10456" s="4" t="s">
        <v>4473</v>
      </c>
      <c r="C10456" s="4" t="n">
        <v>5</v>
      </c>
      <c r="D10456" s="4" t="n">
        <v>5</v>
      </c>
      <c r="E10456" s="4"/>
      <c r="F10456" s="4" t="n">
        <v>24</v>
      </c>
      <c r="G10456" s="4" t="n">
        <v>4</v>
      </c>
      <c r="H10456" s="4" t="n">
        <v>4</v>
      </c>
      <c r="I10456" s="4" t="str">
        <v>×</v>
      </c>
      <c r="J10456" s="4"/>
      <c r="K10456" s="4"/>
      <c r="L10456" s="4"/>
      <c r="M10456" s="5" t="s">
        <v>6501</v>
      </c>
    </row>
    <row r="10457" customFormat="false" ht="15.75" hidden="false" customHeight="false" outlineLevel="0" collapsed="false">
      <c r="A10457" s="6" t="n">
        <v>46193</v>
      </c>
      <c r="B10457" s="4" t="s">
        <v>4473</v>
      </c>
      <c r="C10457" s="4" t="n">
        <v>5</v>
      </c>
      <c r="D10457" s="4" t="n">
        <v>6</v>
      </c>
      <c r="E10457" s="4"/>
      <c r="F10457" s="4" t="n">
        <v>31</v>
      </c>
      <c r="G10457" s="4" t="n">
        <v>2</v>
      </c>
      <c r="H10457" s="4" t="n">
        <v>2</v>
      </c>
      <c r="I10457" s="4" t="str">
        <v>○</v>
      </c>
      <c r="J10457" s="4" t="n">
        <v>170</v>
      </c>
      <c r="K10457" s="4"/>
      <c r="L10457" s="4"/>
      <c r="M10457" s="5" t="s">
        <v>6501</v>
      </c>
    </row>
    <row r="10458" customFormat="false" ht="15.75" hidden="false" customHeight="false" outlineLevel="0" collapsed="false">
      <c r="A10458" s="6" t="n">
        <v>46193</v>
      </c>
      <c r="B10458" s="4" t="s">
        <v>4473</v>
      </c>
      <c r="C10458" s="4" t="n">
        <v>5</v>
      </c>
      <c r="D10458" s="4" t="n">
        <v>7</v>
      </c>
      <c r="E10458" s="4"/>
      <c r="F10458" s="4" t="n">
        <v>24</v>
      </c>
      <c r="G10458" s="4" t="n">
        <v>4</v>
      </c>
      <c r="H10458" s="4" t="n">
        <v>4</v>
      </c>
      <c r="I10458" s="4" t="str">
        <v>×</v>
      </c>
      <c r="J10458" s="4"/>
      <c r="K10458" s="4"/>
      <c r="L10458" s="4"/>
      <c r="M10458" s="5" t="s">
        <v>6501</v>
      </c>
    </row>
    <row r="10459" customFormat="false" ht="15.75" hidden="false" customHeight="false" outlineLevel="0" collapsed="false">
      <c r="A10459" s="6" t="n">
        <v>46193</v>
      </c>
      <c r="B10459" s="4" t="s">
        <v>4473</v>
      </c>
      <c r="C10459" s="4" t="n">
        <v>5</v>
      </c>
      <c r="D10459" s="4" t="n">
        <v>8</v>
      </c>
      <c r="E10459" s="4"/>
      <c r="F10459" s="4" t="n">
        <v>12</v>
      </c>
      <c r="G10459" s="4" t="n">
        <v>6</v>
      </c>
      <c r="H10459" s="4" t="n">
        <v>4</v>
      </c>
      <c r="I10459" s="4" t="str">
        <v>×</v>
      </c>
      <c r="J10459" s="4"/>
      <c r="K10459" s="4"/>
      <c r="L10459" s="4"/>
      <c r="M10459" s="5" t="s">
        <v>6501</v>
      </c>
    </row>
    <row r="10460" customFormat="false" ht="15.75" hidden="false" customHeight="false" outlineLevel="0" collapsed="false">
      <c r="A10460" s="6" t="n">
        <v>46193</v>
      </c>
      <c r="B10460" s="4" t="s">
        <v>4473</v>
      </c>
      <c r="C10460" s="4" t="n">
        <v>5</v>
      </c>
      <c r="D10460" s="4" t="n">
        <v>9</v>
      </c>
      <c r="E10460" s="4"/>
      <c r="F10460" s="4" t="n">
        <v>37</v>
      </c>
      <c r="G10460" s="4" t="n">
        <v>1</v>
      </c>
      <c r="H10460" s="4" t="n">
        <v>3</v>
      </c>
      <c r="I10460" s="4" t="str">
        <v>○</v>
      </c>
      <c r="J10460" s="4" t="n">
        <v>110</v>
      </c>
      <c r="K10460" s="4"/>
      <c r="L10460" s="4"/>
      <c r="M10460" s="5" t="s">
        <v>6501</v>
      </c>
    </row>
    <row r="10461" customFormat="false" ht="15.75" hidden="false" customHeight="false" outlineLevel="0" collapsed="false">
      <c r="A10461" s="6" t="n">
        <v>46193</v>
      </c>
      <c r="B10461" s="4" t="s">
        <v>4473</v>
      </c>
      <c r="C10461" s="4" t="n">
        <v>5</v>
      </c>
      <c r="D10461" s="4" t="n">
        <v>10</v>
      </c>
      <c r="E10461" s="4"/>
      <c r="F10461" s="4" t="n">
        <v>8</v>
      </c>
      <c r="G10461" s="4" t="n">
        <v>7</v>
      </c>
      <c r="H10461" s="4" t="n">
        <v>4</v>
      </c>
      <c r="I10461" s="4" t="str">
        <v>×</v>
      </c>
      <c r="J10461" s="4"/>
      <c r="K10461" s="4"/>
      <c r="L10461" s="4"/>
      <c r="M10461" s="5" t="s">
        <v>6501</v>
      </c>
    </row>
    <row r="10462" customFormat="false" ht="15.75" hidden="false" customHeight="false" outlineLevel="0" collapsed="false">
      <c r="A10462" s="6" t="n">
        <v>46193</v>
      </c>
      <c r="B10462" s="4" t="s">
        <v>4473</v>
      </c>
      <c r="C10462" s="4" t="n">
        <v>6</v>
      </c>
      <c r="D10462" s="4" t="n">
        <v>1</v>
      </c>
      <c r="E10462" s="4"/>
      <c r="F10462" s="4" t="n">
        <v>15</v>
      </c>
      <c r="G10462" s="4" t="n">
        <v>5</v>
      </c>
      <c r="H10462" s="4" t="n">
        <v>4</v>
      </c>
      <c r="I10462" s="4" t="str">
        <v>×</v>
      </c>
      <c r="J10462" s="4"/>
      <c r="K10462" s="4"/>
      <c r="L10462" s="4"/>
      <c r="M10462" s="5" t="s">
        <v>6501</v>
      </c>
    </row>
    <row r="10463" customFormat="false" ht="15.75" hidden="false" customHeight="false" outlineLevel="0" collapsed="false">
      <c r="A10463" s="6" t="n">
        <v>46193</v>
      </c>
      <c r="B10463" s="4" t="s">
        <v>4473</v>
      </c>
      <c r="C10463" s="4" t="n">
        <v>6</v>
      </c>
      <c r="D10463" s="4" t="n">
        <v>2</v>
      </c>
      <c r="E10463" s="4"/>
      <c r="F10463" s="4" t="n">
        <v>52</v>
      </c>
      <c r="G10463" s="4" t="n">
        <v>2</v>
      </c>
      <c r="H10463" s="4" t="n">
        <v>1</v>
      </c>
      <c r="I10463" s="4" t="str">
        <v>○</v>
      </c>
      <c r="J10463" s="4" t="n">
        <v>160</v>
      </c>
      <c r="K10463" s="4"/>
      <c r="L10463" s="4"/>
      <c r="M10463" s="5" t="s">
        <v>6501</v>
      </c>
    </row>
    <row r="10464" customFormat="false" ht="15.75" hidden="false" customHeight="false" outlineLevel="0" collapsed="false">
      <c r="A10464" s="6" t="n">
        <v>46193</v>
      </c>
      <c r="B10464" s="4" t="s">
        <v>4473</v>
      </c>
      <c r="C10464" s="4" t="n">
        <v>6</v>
      </c>
      <c r="D10464" s="4" t="n">
        <v>3</v>
      </c>
      <c r="E10464" s="4"/>
      <c r="F10464" s="4" t="n">
        <v>37</v>
      </c>
      <c r="G10464" s="4" t="n">
        <v>3</v>
      </c>
      <c r="H10464" s="4" t="n">
        <v>2</v>
      </c>
      <c r="I10464" s="4" t="str">
        <v>○</v>
      </c>
      <c r="J10464" s="4" t="n">
        <v>300</v>
      </c>
      <c r="K10464" s="4"/>
      <c r="L10464" s="4"/>
      <c r="M10464" s="5" t="s">
        <v>6501</v>
      </c>
    </row>
    <row r="10465" customFormat="false" ht="15.75" hidden="false" customHeight="false" outlineLevel="0" collapsed="false">
      <c r="A10465" s="6" t="n">
        <v>46193</v>
      </c>
      <c r="B10465" s="4" t="s">
        <v>4473</v>
      </c>
      <c r="C10465" s="4" t="n">
        <v>6</v>
      </c>
      <c r="D10465" s="4" t="n">
        <v>4</v>
      </c>
      <c r="E10465" s="4"/>
      <c r="F10465" s="4" t="n">
        <v>8</v>
      </c>
      <c r="G10465" s="4" t="n">
        <v>8</v>
      </c>
      <c r="H10465" s="4" t="n">
        <v>4</v>
      </c>
      <c r="I10465" s="4" t="str">
        <v>×</v>
      </c>
      <c r="J10465" s="4"/>
      <c r="K10465" s="4"/>
      <c r="L10465" s="4"/>
      <c r="M10465" s="5" t="s">
        <v>6501</v>
      </c>
    </row>
    <row r="10466" customFormat="false" ht="15.75" hidden="false" customHeight="false" outlineLevel="0" collapsed="false">
      <c r="A10466" s="6" t="n">
        <v>46193</v>
      </c>
      <c r="B10466" s="4" t="s">
        <v>4473</v>
      </c>
      <c r="C10466" s="4" t="n">
        <v>6</v>
      </c>
      <c r="D10466" s="4" t="n">
        <v>5</v>
      </c>
      <c r="E10466" s="4"/>
      <c r="F10466" s="4" t="n">
        <v>75</v>
      </c>
      <c r="G10466" s="4" t="n">
        <v>1</v>
      </c>
      <c r="H10466" s="4" t="n">
        <v>4</v>
      </c>
      <c r="I10466" s="4" t="str">
        <v>×</v>
      </c>
      <c r="J10466" s="4"/>
      <c r="K10466" s="4"/>
      <c r="L10466" s="4"/>
      <c r="M10466" s="5" t="s">
        <v>6501</v>
      </c>
    </row>
    <row r="10467" customFormat="false" ht="15.75" hidden="false" customHeight="false" outlineLevel="0" collapsed="false">
      <c r="A10467" s="6" t="n">
        <v>46193</v>
      </c>
      <c r="B10467" s="4" t="s">
        <v>4473</v>
      </c>
      <c r="C10467" s="4" t="n">
        <v>6</v>
      </c>
      <c r="D10467" s="4" t="n">
        <v>6</v>
      </c>
      <c r="E10467" s="4"/>
      <c r="F10467" s="4" t="n">
        <v>4</v>
      </c>
      <c r="G10467" s="4" t="n">
        <v>10</v>
      </c>
      <c r="H10467" s="4" t="n">
        <v>4</v>
      </c>
      <c r="I10467" s="4" t="str">
        <v>×</v>
      </c>
      <c r="J10467" s="4"/>
      <c r="K10467" s="4"/>
      <c r="L10467" s="4"/>
      <c r="M10467" s="5" t="s">
        <v>6501</v>
      </c>
    </row>
    <row r="10468" customFormat="false" ht="15.75" hidden="false" customHeight="false" outlineLevel="0" collapsed="false">
      <c r="A10468" s="6" t="n">
        <v>46193</v>
      </c>
      <c r="B10468" s="4" t="s">
        <v>4473</v>
      </c>
      <c r="C10468" s="4" t="n">
        <v>6</v>
      </c>
      <c r="D10468" s="4" t="n">
        <v>7</v>
      </c>
      <c r="E10468" s="4"/>
      <c r="F10468" s="4" t="n">
        <v>10</v>
      </c>
      <c r="G10468" s="4" t="n">
        <v>7</v>
      </c>
      <c r="H10468" s="4" t="n">
        <v>4</v>
      </c>
      <c r="I10468" s="4" t="str">
        <v>×</v>
      </c>
      <c r="J10468" s="4"/>
      <c r="K10468" s="4"/>
      <c r="L10468" s="4"/>
      <c r="M10468" s="5" t="s">
        <v>6501</v>
      </c>
    </row>
    <row r="10469" customFormat="false" ht="15.75" hidden="false" customHeight="false" outlineLevel="0" collapsed="false">
      <c r="A10469" s="6" t="n">
        <v>46193</v>
      </c>
      <c r="B10469" s="4" t="s">
        <v>4473</v>
      </c>
      <c r="C10469" s="4" t="n">
        <v>6</v>
      </c>
      <c r="D10469" s="4" t="n">
        <v>8</v>
      </c>
      <c r="E10469" s="4"/>
      <c r="F10469" s="4" t="n">
        <v>4</v>
      </c>
      <c r="G10469" s="4" t="n">
        <v>10</v>
      </c>
      <c r="H10469" s="4" t="n">
        <v>4</v>
      </c>
      <c r="I10469" s="4" t="str">
        <v>×</v>
      </c>
      <c r="J10469" s="4"/>
      <c r="K10469" s="4"/>
      <c r="L10469" s="4"/>
      <c r="M10469" s="5" t="s">
        <v>6501</v>
      </c>
    </row>
    <row r="10470" customFormat="false" ht="15.75" hidden="false" customHeight="false" outlineLevel="0" collapsed="false">
      <c r="A10470" s="6" t="n">
        <v>46193</v>
      </c>
      <c r="B10470" s="4" t="s">
        <v>4473</v>
      </c>
      <c r="C10470" s="4" t="n">
        <v>6</v>
      </c>
      <c r="D10470" s="4" t="n">
        <v>9</v>
      </c>
      <c r="E10470" s="4"/>
      <c r="F10470" s="4" t="n">
        <v>13</v>
      </c>
      <c r="G10470" s="4" t="n">
        <v>6</v>
      </c>
      <c r="H10470" s="4" t="n">
        <v>4</v>
      </c>
      <c r="I10470" s="4" t="str">
        <v>×</v>
      </c>
      <c r="J10470" s="4"/>
      <c r="K10470" s="4"/>
      <c r="L10470" s="4"/>
      <c r="M10470" s="5" t="s">
        <v>6501</v>
      </c>
    </row>
    <row r="10471" customFormat="false" ht="15.75" hidden="false" customHeight="false" outlineLevel="0" collapsed="false">
      <c r="A10471" s="6" t="n">
        <v>46193</v>
      </c>
      <c r="B10471" s="4" t="s">
        <v>4473</v>
      </c>
      <c r="C10471" s="4" t="n">
        <v>6</v>
      </c>
      <c r="D10471" s="4" t="n">
        <v>10</v>
      </c>
      <c r="E10471" s="4"/>
      <c r="F10471" s="4" t="n">
        <v>10</v>
      </c>
      <c r="G10471" s="4" t="n">
        <v>7</v>
      </c>
      <c r="H10471" s="4" t="n">
        <v>4</v>
      </c>
      <c r="I10471" s="4" t="str">
        <v>×</v>
      </c>
      <c r="J10471" s="4"/>
      <c r="K10471" s="4"/>
      <c r="L10471" s="4"/>
      <c r="M10471" s="5" t="s">
        <v>6501</v>
      </c>
    </row>
    <row r="10472" customFormat="false" ht="15.75" hidden="false" customHeight="false" outlineLevel="0" collapsed="false">
      <c r="A10472" s="6" t="n">
        <v>46193</v>
      </c>
      <c r="B10472" s="4" t="s">
        <v>4473</v>
      </c>
      <c r="C10472" s="4" t="n">
        <v>6</v>
      </c>
      <c r="D10472" s="4" t="n">
        <v>11</v>
      </c>
      <c r="E10472" s="4"/>
      <c r="F10472" s="4" t="n">
        <v>31</v>
      </c>
      <c r="G10472" s="4" t="n">
        <v>4</v>
      </c>
      <c r="H10472" s="4" t="n">
        <v>4</v>
      </c>
      <c r="I10472" s="4" t="str">
        <v>×</v>
      </c>
      <c r="J10472" s="4"/>
      <c r="K10472" s="4"/>
      <c r="L10472" s="4"/>
      <c r="M10472" s="5" t="s">
        <v>6501</v>
      </c>
    </row>
    <row r="10473" customFormat="false" ht="15.75" hidden="false" customHeight="false" outlineLevel="0" collapsed="false">
      <c r="A10473" s="6" t="n">
        <v>46193</v>
      </c>
      <c r="B10473" s="4" t="s">
        <v>4473</v>
      </c>
      <c r="C10473" s="4" t="n">
        <v>6</v>
      </c>
      <c r="D10473" s="4" t="n">
        <v>12</v>
      </c>
      <c r="E10473" s="4"/>
      <c r="F10473" s="4" t="n">
        <v>8</v>
      </c>
      <c r="G10473" s="4" t="n">
        <v>8</v>
      </c>
      <c r="H10473" s="4" t="n">
        <v>4</v>
      </c>
      <c r="I10473" s="4" t="str">
        <v>×</v>
      </c>
      <c r="J10473" s="4"/>
      <c r="K10473" s="4"/>
      <c r="L10473" s="4"/>
      <c r="M10473" s="5" t="s">
        <v>6501</v>
      </c>
    </row>
    <row r="10474" customFormat="false" ht="15.75" hidden="false" customHeight="false" outlineLevel="0" collapsed="false">
      <c r="A10474" s="6" t="n">
        <v>46193</v>
      </c>
      <c r="B10474" s="4" t="s">
        <v>4473</v>
      </c>
      <c r="C10474" s="4" t="n">
        <v>6</v>
      </c>
      <c r="D10474" s="4" t="n">
        <v>13</v>
      </c>
      <c r="E10474" s="4"/>
      <c r="F10474" s="4" t="n">
        <v>3</v>
      </c>
      <c r="G10474" s="4" t="n">
        <v>11</v>
      </c>
      <c r="H10474" s="4" t="n">
        <v>4</v>
      </c>
      <c r="I10474" s="4" t="str">
        <v>×</v>
      </c>
      <c r="J10474" s="4"/>
      <c r="K10474" s="4"/>
      <c r="L10474" s="4"/>
      <c r="M10474" s="5" t="s">
        <v>6501</v>
      </c>
    </row>
    <row r="10475" customFormat="false" ht="15.75" hidden="false" customHeight="false" outlineLevel="0" collapsed="false">
      <c r="A10475" s="6" t="n">
        <v>46193</v>
      </c>
      <c r="B10475" s="4" t="s">
        <v>4473</v>
      </c>
      <c r="C10475" s="4" t="n">
        <v>6</v>
      </c>
      <c r="D10475" s="4" t="n">
        <v>14</v>
      </c>
      <c r="E10475" s="4"/>
      <c r="F10475" s="4" t="n">
        <v>37</v>
      </c>
      <c r="G10475" s="4" t="n">
        <v>3</v>
      </c>
      <c r="H10475" s="4" t="n">
        <v>3</v>
      </c>
      <c r="I10475" s="4" t="str">
        <v>○</v>
      </c>
      <c r="J10475" s="4" t="n">
        <v>260</v>
      </c>
      <c r="K10475" s="4"/>
      <c r="L10475" s="4"/>
      <c r="M10475" s="5" t="s">
        <v>6501</v>
      </c>
    </row>
    <row r="10476" customFormat="false" ht="15.75" hidden="false" customHeight="false" outlineLevel="0" collapsed="false">
      <c r="A10476" s="6" t="n">
        <v>46193</v>
      </c>
      <c r="B10476" s="4" t="s">
        <v>4473</v>
      </c>
      <c r="C10476" s="4" t="n">
        <v>6</v>
      </c>
      <c r="D10476" s="4" t="n">
        <v>15</v>
      </c>
      <c r="E10476" s="4"/>
      <c r="F10476" s="4" t="n">
        <v>6</v>
      </c>
      <c r="G10476" s="4" t="n">
        <v>9</v>
      </c>
      <c r="H10476" s="4" t="n">
        <v>4</v>
      </c>
      <c r="I10476" s="4" t="str">
        <v>×</v>
      </c>
      <c r="J10476" s="4"/>
      <c r="K10476" s="4"/>
      <c r="L10476" s="4"/>
      <c r="M10476" s="5" t="s">
        <v>6501</v>
      </c>
    </row>
    <row r="10477" customFormat="false" ht="15.75" hidden="false" customHeight="false" outlineLevel="0" collapsed="false">
      <c r="A10477" s="6" t="n">
        <v>46193</v>
      </c>
      <c r="B10477" s="4" t="s">
        <v>4473</v>
      </c>
      <c r="C10477" s="4" t="n">
        <v>6</v>
      </c>
      <c r="D10477" s="4" t="n">
        <v>16</v>
      </c>
      <c r="E10477" s="4"/>
      <c r="F10477" s="4" t="n">
        <v>3</v>
      </c>
      <c r="G10477" s="4" t="n">
        <v>11</v>
      </c>
      <c r="H10477" s="4" t="n">
        <v>4</v>
      </c>
      <c r="I10477" s="4" t="str">
        <v>×</v>
      </c>
      <c r="J10477" s="4"/>
      <c r="K10477" s="4"/>
      <c r="L10477" s="4"/>
      <c r="M10477" s="5" t="s">
        <v>6501</v>
      </c>
    </row>
    <row r="10478" customFormat="false" ht="15.75" hidden="false" customHeight="false" outlineLevel="0" collapsed="false">
      <c r="A10478" s="6" t="n">
        <v>46193</v>
      </c>
      <c r="B10478" s="4" t="s">
        <v>4473</v>
      </c>
      <c r="C10478" s="4" t="n">
        <v>7</v>
      </c>
      <c r="D10478" s="4" t="n">
        <v>1</v>
      </c>
      <c r="E10478" s="4"/>
      <c r="F10478" s="4" t="n">
        <v>3</v>
      </c>
      <c r="G10478" s="4" t="n">
        <v>13</v>
      </c>
      <c r="H10478" s="4" t="n">
        <v>4</v>
      </c>
      <c r="I10478" s="4" t="str">
        <v>×</v>
      </c>
      <c r="J10478" s="4"/>
      <c r="K10478" s="4"/>
      <c r="L10478" s="4"/>
      <c r="M10478" s="5" t="s">
        <v>6501</v>
      </c>
    </row>
    <row r="10479" customFormat="false" ht="15.75" hidden="false" customHeight="false" outlineLevel="0" collapsed="false">
      <c r="A10479" s="6" t="n">
        <v>46193</v>
      </c>
      <c r="B10479" s="4" t="s">
        <v>4473</v>
      </c>
      <c r="C10479" s="4" t="n">
        <v>7</v>
      </c>
      <c r="D10479" s="4" t="n">
        <v>2</v>
      </c>
      <c r="E10479" s="4"/>
      <c r="F10479" s="4" t="n">
        <v>8</v>
      </c>
      <c r="G10479" s="4" t="n">
        <v>11</v>
      </c>
      <c r="H10479" s="4" t="n">
        <v>1</v>
      </c>
      <c r="I10479" s="4" t="str">
        <v>○</v>
      </c>
      <c r="J10479" s="4" t="n">
        <v>510</v>
      </c>
      <c r="K10479" s="4"/>
      <c r="L10479" s="4"/>
      <c r="M10479" s="5" t="s">
        <v>6501</v>
      </c>
    </row>
    <row r="10480" customFormat="false" ht="15.75" hidden="false" customHeight="false" outlineLevel="0" collapsed="false">
      <c r="A10480" s="6" t="n">
        <v>46193</v>
      </c>
      <c r="B10480" s="4" t="s">
        <v>4473</v>
      </c>
      <c r="C10480" s="4" t="n">
        <v>7</v>
      </c>
      <c r="D10480" s="4" t="n">
        <v>3</v>
      </c>
      <c r="E10480" s="4"/>
      <c r="F10480" s="4" t="n">
        <v>44</v>
      </c>
      <c r="G10480" s="4" t="n">
        <v>2</v>
      </c>
      <c r="H10480" s="4" t="n">
        <v>4</v>
      </c>
      <c r="I10480" s="4" t="str">
        <v>×</v>
      </c>
      <c r="J10480" s="4"/>
      <c r="K10480" s="4"/>
      <c r="L10480" s="4"/>
      <c r="M10480" s="5" t="s">
        <v>6501</v>
      </c>
    </row>
    <row r="10481" customFormat="false" ht="15.75" hidden="false" customHeight="false" outlineLevel="0" collapsed="false">
      <c r="A10481" s="6" t="n">
        <v>46193</v>
      </c>
      <c r="B10481" s="4" t="s">
        <v>4473</v>
      </c>
      <c r="C10481" s="4" t="n">
        <v>7</v>
      </c>
      <c r="D10481" s="4" t="n">
        <v>4</v>
      </c>
      <c r="E10481" s="4"/>
      <c r="F10481" s="4" t="n">
        <v>10</v>
      </c>
      <c r="G10481" s="4" t="n">
        <v>10</v>
      </c>
      <c r="H10481" s="4" t="n">
        <v>4</v>
      </c>
      <c r="I10481" s="4" t="str">
        <v>×</v>
      </c>
      <c r="J10481" s="4"/>
      <c r="K10481" s="4"/>
      <c r="L10481" s="4"/>
      <c r="M10481" s="5" t="s">
        <v>6501</v>
      </c>
    </row>
    <row r="10482" customFormat="false" ht="15.75" hidden="false" customHeight="false" outlineLevel="0" collapsed="false">
      <c r="A10482" s="6" t="n">
        <v>46193</v>
      </c>
      <c r="B10482" s="4" t="s">
        <v>4473</v>
      </c>
      <c r="C10482" s="4" t="n">
        <v>7</v>
      </c>
      <c r="D10482" s="4" t="n">
        <v>5</v>
      </c>
      <c r="E10482" s="4"/>
      <c r="F10482" s="4" t="n">
        <v>13</v>
      </c>
      <c r="G10482" s="4" t="n">
        <v>9</v>
      </c>
      <c r="H10482" s="4" t="n">
        <v>2</v>
      </c>
      <c r="I10482" s="4" t="str">
        <v>○</v>
      </c>
      <c r="J10482" s="4" t="n">
        <v>940</v>
      </c>
      <c r="K10482" s="4"/>
      <c r="L10482" s="4"/>
      <c r="M10482" s="5" t="s">
        <v>6501</v>
      </c>
    </row>
    <row r="10483" customFormat="false" ht="15.75" hidden="false" customHeight="false" outlineLevel="0" collapsed="false">
      <c r="A10483" s="6" t="n">
        <v>46193</v>
      </c>
      <c r="B10483" s="4" t="s">
        <v>4473</v>
      </c>
      <c r="C10483" s="4" t="n">
        <v>7</v>
      </c>
      <c r="D10483" s="4" t="n">
        <v>6</v>
      </c>
      <c r="E10483" s="4"/>
      <c r="F10483" s="4" t="n">
        <v>10</v>
      </c>
      <c r="G10483" s="4" t="n">
        <v>10</v>
      </c>
      <c r="H10483" s="4" t="n">
        <v>4</v>
      </c>
      <c r="I10483" s="4" t="str">
        <v>×</v>
      </c>
      <c r="J10483" s="4"/>
      <c r="K10483" s="4"/>
      <c r="L10483" s="4"/>
      <c r="M10483" s="5" t="s">
        <v>6501</v>
      </c>
    </row>
    <row r="10484" customFormat="false" ht="15.75" hidden="false" customHeight="false" outlineLevel="0" collapsed="false">
      <c r="A10484" s="6" t="n">
        <v>46193</v>
      </c>
      <c r="B10484" s="4" t="s">
        <v>4473</v>
      </c>
      <c r="C10484" s="4" t="n">
        <v>7</v>
      </c>
      <c r="D10484" s="4" t="n">
        <v>7</v>
      </c>
      <c r="E10484" s="4"/>
      <c r="F10484" s="4" t="n">
        <v>25</v>
      </c>
      <c r="G10484" s="4" t="n">
        <v>5</v>
      </c>
      <c r="H10484" s="4" t="n">
        <v>4</v>
      </c>
      <c r="I10484" s="4" t="str">
        <v>×</v>
      </c>
      <c r="J10484" s="4"/>
      <c r="K10484" s="4"/>
      <c r="L10484" s="4"/>
      <c r="M10484" s="5" t="s">
        <v>6501</v>
      </c>
    </row>
    <row r="10485" customFormat="false" ht="15.75" hidden="false" customHeight="false" outlineLevel="0" collapsed="false">
      <c r="A10485" s="6" t="n">
        <v>46193</v>
      </c>
      <c r="B10485" s="4" t="s">
        <v>4473</v>
      </c>
      <c r="C10485" s="4" t="n">
        <v>7</v>
      </c>
      <c r="D10485" s="4" t="n">
        <v>8</v>
      </c>
      <c r="E10485" s="4"/>
      <c r="F10485" s="4" t="n">
        <v>10</v>
      </c>
      <c r="G10485" s="4" t="n">
        <v>10</v>
      </c>
      <c r="H10485" s="4" t="n">
        <v>4</v>
      </c>
      <c r="I10485" s="4" t="str">
        <v>×</v>
      </c>
      <c r="J10485" s="4"/>
      <c r="K10485" s="4"/>
      <c r="L10485" s="4"/>
      <c r="M10485" s="5" t="s">
        <v>6501</v>
      </c>
    </row>
    <row r="10486" customFormat="false" ht="15.75" hidden="false" customHeight="false" outlineLevel="0" collapsed="false">
      <c r="A10486" s="6" t="n">
        <v>46193</v>
      </c>
      <c r="B10486" s="4" t="s">
        <v>4473</v>
      </c>
      <c r="C10486" s="4" t="n">
        <v>7</v>
      </c>
      <c r="D10486" s="4" t="n">
        <v>9</v>
      </c>
      <c r="E10486" s="4"/>
      <c r="F10486" s="4" t="n">
        <v>60</v>
      </c>
      <c r="G10486" s="4" t="n">
        <v>1</v>
      </c>
      <c r="H10486" s="4" t="n">
        <v>3</v>
      </c>
      <c r="I10486" s="4" t="str">
        <v>○</v>
      </c>
      <c r="J10486" s="4" t="n">
        <v>110</v>
      </c>
      <c r="K10486" s="4"/>
      <c r="L10486" s="4"/>
      <c r="M10486" s="5" t="s">
        <v>6501</v>
      </c>
    </row>
    <row r="10487" customFormat="false" ht="15.75" hidden="false" customHeight="false" outlineLevel="0" collapsed="false">
      <c r="A10487" s="6" t="n">
        <v>46193</v>
      </c>
      <c r="B10487" s="4" t="s">
        <v>4473</v>
      </c>
      <c r="C10487" s="4" t="n">
        <v>7</v>
      </c>
      <c r="D10487" s="4" t="n">
        <v>10</v>
      </c>
      <c r="E10487" s="4"/>
      <c r="F10487" s="4" t="n">
        <v>23</v>
      </c>
      <c r="G10487" s="4" t="n">
        <v>6</v>
      </c>
      <c r="H10487" s="4" t="n">
        <v>4</v>
      </c>
      <c r="I10487" s="4" t="str">
        <v>×</v>
      </c>
      <c r="J10487" s="4"/>
      <c r="K10487" s="4"/>
      <c r="L10487" s="4"/>
      <c r="M10487" s="5" t="s">
        <v>6501</v>
      </c>
    </row>
    <row r="10488" customFormat="false" ht="15.75" hidden="false" customHeight="false" outlineLevel="0" collapsed="false">
      <c r="A10488" s="6" t="n">
        <v>46193</v>
      </c>
      <c r="B10488" s="4" t="s">
        <v>4473</v>
      </c>
      <c r="C10488" s="4" t="n">
        <v>7</v>
      </c>
      <c r="D10488" s="4" t="n">
        <v>11</v>
      </c>
      <c r="E10488" s="4"/>
      <c r="F10488" s="4" t="n">
        <v>4</v>
      </c>
      <c r="G10488" s="4" t="n">
        <v>12</v>
      </c>
      <c r="H10488" s="4" t="n">
        <v>4</v>
      </c>
      <c r="I10488" s="4" t="str">
        <v>×</v>
      </c>
      <c r="J10488" s="4"/>
      <c r="K10488" s="4"/>
      <c r="L10488" s="4"/>
      <c r="M10488" s="5" t="s">
        <v>6501</v>
      </c>
    </row>
    <row r="10489" customFormat="false" ht="15.75" hidden="false" customHeight="false" outlineLevel="0" collapsed="false">
      <c r="A10489" s="6" t="n">
        <v>46193</v>
      </c>
      <c r="B10489" s="4" t="s">
        <v>4473</v>
      </c>
      <c r="C10489" s="4" t="n">
        <v>7</v>
      </c>
      <c r="D10489" s="4" t="n">
        <v>12</v>
      </c>
      <c r="E10489" s="4"/>
      <c r="F10489" s="4" t="n">
        <v>31</v>
      </c>
      <c r="G10489" s="4" t="n">
        <v>4</v>
      </c>
      <c r="H10489" s="4" t="n">
        <v>4</v>
      </c>
      <c r="I10489" s="4" t="str">
        <v>×</v>
      </c>
      <c r="J10489" s="4"/>
      <c r="K10489" s="4"/>
      <c r="L10489" s="4"/>
      <c r="M10489" s="5" t="s">
        <v>6501</v>
      </c>
    </row>
    <row r="10490" customFormat="false" ht="15.75" hidden="false" customHeight="false" outlineLevel="0" collapsed="false">
      <c r="A10490" s="6" t="n">
        <v>46193</v>
      </c>
      <c r="B10490" s="4" t="s">
        <v>4473</v>
      </c>
      <c r="C10490" s="4" t="n">
        <v>7</v>
      </c>
      <c r="D10490" s="4" t="n">
        <v>13</v>
      </c>
      <c r="E10490" s="4"/>
      <c r="F10490" s="4" t="n">
        <v>20</v>
      </c>
      <c r="G10490" s="4" t="n">
        <v>7</v>
      </c>
      <c r="H10490" s="4" t="n">
        <v>4</v>
      </c>
      <c r="I10490" s="4" t="str">
        <v>×</v>
      </c>
      <c r="J10490" s="4"/>
      <c r="K10490" s="4"/>
      <c r="L10490" s="4"/>
      <c r="M10490" s="5" t="s">
        <v>6501</v>
      </c>
    </row>
    <row r="10491" customFormat="false" ht="15.75" hidden="false" customHeight="false" outlineLevel="0" collapsed="false">
      <c r="A10491" s="6" t="n">
        <v>46193</v>
      </c>
      <c r="B10491" s="4" t="s">
        <v>4473</v>
      </c>
      <c r="C10491" s="4" t="n">
        <v>7</v>
      </c>
      <c r="D10491" s="4" t="n">
        <v>14</v>
      </c>
      <c r="E10491" s="4"/>
      <c r="F10491" s="4" t="n">
        <v>17</v>
      </c>
      <c r="G10491" s="4" t="n">
        <v>8</v>
      </c>
      <c r="H10491" s="4" t="n">
        <v>4</v>
      </c>
      <c r="I10491" s="4" t="str">
        <v>×</v>
      </c>
      <c r="J10491" s="4"/>
      <c r="K10491" s="4"/>
      <c r="L10491" s="4"/>
      <c r="M10491" s="5" t="s">
        <v>6501</v>
      </c>
    </row>
    <row r="10492" customFormat="false" ht="15.75" hidden="false" customHeight="false" outlineLevel="0" collapsed="false">
      <c r="A10492" s="6" t="n">
        <v>46193</v>
      </c>
      <c r="B10492" s="4" t="s">
        <v>4473</v>
      </c>
      <c r="C10492" s="4" t="n">
        <v>7</v>
      </c>
      <c r="D10492" s="4" t="n">
        <v>15</v>
      </c>
      <c r="E10492" s="4"/>
      <c r="F10492" s="4" t="n">
        <v>37</v>
      </c>
      <c r="G10492" s="4" t="n">
        <v>3</v>
      </c>
      <c r="H10492" s="4" t="n">
        <v>4</v>
      </c>
      <c r="I10492" s="4" t="str">
        <v>×</v>
      </c>
      <c r="J10492" s="4"/>
      <c r="K10492" s="4"/>
      <c r="L10492" s="4"/>
      <c r="M10492" s="5" t="s">
        <v>6501</v>
      </c>
    </row>
    <row r="10493" customFormat="false" ht="15.75" hidden="false" customHeight="false" outlineLevel="0" collapsed="false">
      <c r="A10493" s="6" t="n">
        <v>46193</v>
      </c>
      <c r="B10493" s="4" t="s">
        <v>4473</v>
      </c>
      <c r="C10493" s="4" t="n">
        <v>7</v>
      </c>
      <c r="D10493" s="4" t="n">
        <v>16</v>
      </c>
      <c r="E10493" s="4"/>
      <c r="F10493" s="4" t="n">
        <v>4</v>
      </c>
      <c r="G10493" s="4" t="n">
        <v>12</v>
      </c>
      <c r="H10493" s="4" t="n">
        <v>4</v>
      </c>
      <c r="I10493" s="4" t="str">
        <v>×</v>
      </c>
      <c r="J10493" s="4"/>
      <c r="K10493" s="4"/>
      <c r="L10493" s="4"/>
      <c r="M10493" s="5" t="s">
        <v>6501</v>
      </c>
    </row>
    <row r="10494" customFormat="false" ht="15.75" hidden="false" customHeight="false" outlineLevel="0" collapsed="false">
      <c r="A10494" s="6" t="n">
        <v>46193</v>
      </c>
      <c r="B10494" s="4" t="s">
        <v>4473</v>
      </c>
      <c r="C10494" s="4" t="n">
        <v>8</v>
      </c>
      <c r="D10494" s="4" t="n">
        <v>1</v>
      </c>
      <c r="E10494" s="4"/>
      <c r="F10494" s="4" t="n">
        <v>10</v>
      </c>
      <c r="G10494" s="4" t="n">
        <v>11</v>
      </c>
      <c r="H10494" s="4" t="n">
        <v>1</v>
      </c>
      <c r="I10494" s="4" t="str">
        <v>○</v>
      </c>
      <c r="J10494" s="4" t="n">
        <v>560</v>
      </c>
      <c r="K10494" s="4"/>
      <c r="L10494" s="4"/>
      <c r="M10494" s="5" t="s">
        <v>6501</v>
      </c>
    </row>
    <row r="10495" customFormat="false" ht="15.75" hidden="false" customHeight="false" outlineLevel="0" collapsed="false">
      <c r="A10495" s="6" t="n">
        <v>46193</v>
      </c>
      <c r="B10495" s="4" t="s">
        <v>4473</v>
      </c>
      <c r="C10495" s="4" t="n">
        <v>8</v>
      </c>
      <c r="D10495" s="4" t="n">
        <v>2</v>
      </c>
      <c r="E10495" s="4"/>
      <c r="F10495" s="4" t="n">
        <v>10</v>
      </c>
      <c r="G10495" s="4" t="n">
        <v>11</v>
      </c>
      <c r="H10495" s="4" t="n">
        <v>4</v>
      </c>
      <c r="I10495" s="4" t="str">
        <v>×</v>
      </c>
      <c r="J10495" s="4"/>
      <c r="K10495" s="4"/>
      <c r="L10495" s="4"/>
      <c r="M10495" s="5" t="s">
        <v>6501</v>
      </c>
    </row>
    <row r="10496" customFormat="false" ht="15.75" hidden="false" customHeight="false" outlineLevel="0" collapsed="false">
      <c r="A10496" s="6" t="n">
        <v>46193</v>
      </c>
      <c r="B10496" s="4" t="s">
        <v>4473</v>
      </c>
      <c r="C10496" s="4" t="n">
        <v>8</v>
      </c>
      <c r="D10496" s="4" t="n">
        <v>3</v>
      </c>
      <c r="E10496" s="4"/>
      <c r="F10496" s="4" t="n">
        <v>50</v>
      </c>
      <c r="G10496" s="4" t="n">
        <v>3</v>
      </c>
      <c r="H10496" s="4" t="n">
        <v>2</v>
      </c>
      <c r="I10496" s="4" t="str">
        <v>○</v>
      </c>
      <c r="J10496" s="4" t="n">
        <v>110</v>
      </c>
      <c r="K10496" s="4"/>
      <c r="L10496" s="4"/>
      <c r="M10496" s="5" t="s">
        <v>6501</v>
      </c>
    </row>
    <row r="10497" customFormat="false" ht="15.75" hidden="false" customHeight="false" outlineLevel="0" collapsed="false">
      <c r="A10497" s="6" t="n">
        <v>46193</v>
      </c>
      <c r="B10497" s="4" t="s">
        <v>4473</v>
      </c>
      <c r="C10497" s="4" t="n">
        <v>8</v>
      </c>
      <c r="D10497" s="4" t="n">
        <v>4</v>
      </c>
      <c r="E10497" s="4"/>
      <c r="F10497" s="4" t="n">
        <v>20</v>
      </c>
      <c r="G10497" s="4" t="n">
        <v>8</v>
      </c>
      <c r="H10497" s="4" t="n">
        <v>4</v>
      </c>
      <c r="I10497" s="4" t="str">
        <v>×</v>
      </c>
      <c r="J10497" s="4"/>
      <c r="K10497" s="4"/>
      <c r="L10497" s="4"/>
      <c r="M10497" s="5" t="s">
        <v>6501</v>
      </c>
    </row>
    <row r="10498" customFormat="false" ht="15.75" hidden="false" customHeight="false" outlineLevel="0" collapsed="false">
      <c r="A10498" s="6" t="n">
        <v>46193</v>
      </c>
      <c r="B10498" s="4" t="s">
        <v>4473</v>
      </c>
      <c r="C10498" s="4" t="n">
        <v>8</v>
      </c>
      <c r="D10498" s="4" t="n">
        <v>5</v>
      </c>
      <c r="E10498" s="4"/>
      <c r="F10498" s="4" t="n">
        <v>20</v>
      </c>
      <c r="G10498" s="4" t="n">
        <v>8</v>
      </c>
      <c r="H10498" s="4" t="n">
        <v>3</v>
      </c>
      <c r="I10498" s="4" t="str">
        <v>○</v>
      </c>
      <c r="J10498" s="4" t="n">
        <v>160</v>
      </c>
      <c r="K10498" s="4"/>
      <c r="L10498" s="4"/>
      <c r="M10498" s="5" t="s">
        <v>6501</v>
      </c>
    </row>
    <row r="10499" customFormat="false" ht="15.75" hidden="false" customHeight="false" outlineLevel="0" collapsed="false">
      <c r="A10499" s="6" t="n">
        <v>46193</v>
      </c>
      <c r="B10499" s="4" t="s">
        <v>4473</v>
      </c>
      <c r="C10499" s="4" t="n">
        <v>8</v>
      </c>
      <c r="D10499" s="4" t="n">
        <v>6</v>
      </c>
      <c r="E10499" s="4"/>
      <c r="F10499" s="4" t="n">
        <v>10</v>
      </c>
      <c r="G10499" s="4" t="n">
        <v>11</v>
      </c>
      <c r="H10499" s="4" t="n">
        <v>4</v>
      </c>
      <c r="I10499" s="4" t="str">
        <v>×</v>
      </c>
      <c r="J10499" s="4"/>
      <c r="K10499" s="4"/>
      <c r="L10499" s="4"/>
      <c r="M10499" s="5" t="s">
        <v>6501</v>
      </c>
    </row>
    <row r="10500" customFormat="false" ht="15.75" hidden="false" customHeight="false" outlineLevel="0" collapsed="false">
      <c r="A10500" s="6" t="n">
        <v>46193</v>
      </c>
      <c r="B10500" s="4" t="s">
        <v>4473</v>
      </c>
      <c r="C10500" s="4" t="n">
        <v>8</v>
      </c>
      <c r="D10500" s="4" t="n">
        <v>7</v>
      </c>
      <c r="E10500" s="4"/>
      <c r="F10500" s="4" t="n">
        <v>13</v>
      </c>
      <c r="G10500" s="4" t="n">
        <v>10</v>
      </c>
      <c r="H10500" s="4" t="n">
        <v>4</v>
      </c>
      <c r="I10500" s="4" t="str">
        <v>×</v>
      </c>
      <c r="J10500" s="4"/>
      <c r="K10500" s="4"/>
      <c r="L10500" s="4"/>
      <c r="M10500" s="5" t="s">
        <v>6501</v>
      </c>
    </row>
    <row r="10501" customFormat="false" ht="15.75" hidden="false" customHeight="false" outlineLevel="0" collapsed="false">
      <c r="A10501" s="6" t="n">
        <v>46193</v>
      </c>
      <c r="B10501" s="4" t="s">
        <v>4473</v>
      </c>
      <c r="C10501" s="4" t="n">
        <v>8</v>
      </c>
      <c r="D10501" s="4" t="n">
        <v>8</v>
      </c>
      <c r="E10501" s="4"/>
      <c r="F10501" s="4" t="n">
        <v>6</v>
      </c>
      <c r="G10501" s="4" t="n">
        <v>13</v>
      </c>
      <c r="H10501" s="4" t="n">
        <v>4</v>
      </c>
      <c r="I10501" s="4" t="str">
        <v>×</v>
      </c>
      <c r="J10501" s="4"/>
      <c r="K10501" s="4"/>
      <c r="L10501" s="4"/>
      <c r="M10501" s="5" t="s">
        <v>6501</v>
      </c>
    </row>
    <row r="10502" customFormat="false" ht="15.75" hidden="false" customHeight="false" outlineLevel="0" collapsed="false">
      <c r="A10502" s="6" t="n">
        <v>46193</v>
      </c>
      <c r="B10502" s="4" t="s">
        <v>4473</v>
      </c>
      <c r="C10502" s="4" t="n">
        <v>8</v>
      </c>
      <c r="D10502" s="4" t="n">
        <v>9</v>
      </c>
      <c r="E10502" s="4"/>
      <c r="F10502" s="4" t="n">
        <v>62</v>
      </c>
      <c r="G10502" s="4" t="n">
        <v>1</v>
      </c>
      <c r="H10502" s="4" t="n">
        <v>4</v>
      </c>
      <c r="I10502" s="4" t="str">
        <v>×</v>
      </c>
      <c r="J10502" s="4"/>
      <c r="K10502" s="4"/>
      <c r="L10502" s="4"/>
      <c r="M10502" s="5" t="s">
        <v>6501</v>
      </c>
    </row>
    <row r="10503" customFormat="false" ht="15.75" hidden="false" customHeight="false" outlineLevel="0" collapsed="false">
      <c r="A10503" s="6" t="n">
        <v>46193</v>
      </c>
      <c r="B10503" s="4" t="s">
        <v>4473</v>
      </c>
      <c r="C10503" s="4" t="n">
        <v>8</v>
      </c>
      <c r="D10503" s="4" t="n">
        <v>10</v>
      </c>
      <c r="E10503" s="4"/>
      <c r="F10503" s="4" t="n">
        <v>23</v>
      </c>
      <c r="G10503" s="4" t="n">
        <v>7</v>
      </c>
      <c r="H10503" s="4" t="n">
        <v>4</v>
      </c>
      <c r="I10503" s="4" t="str">
        <v>×</v>
      </c>
      <c r="J10503" s="4"/>
      <c r="K10503" s="4"/>
      <c r="L10503" s="4"/>
      <c r="M10503" s="5" t="s">
        <v>6501</v>
      </c>
    </row>
    <row r="10504" customFormat="false" ht="15.75" hidden="false" customHeight="false" outlineLevel="0" collapsed="false">
      <c r="A10504" s="6" t="n">
        <v>46193</v>
      </c>
      <c r="B10504" s="4" t="s">
        <v>4473</v>
      </c>
      <c r="C10504" s="4" t="n">
        <v>8</v>
      </c>
      <c r="D10504" s="4" t="n">
        <v>11</v>
      </c>
      <c r="E10504" s="4"/>
      <c r="F10504" s="4" t="n">
        <v>58</v>
      </c>
      <c r="G10504" s="4" t="n">
        <v>2</v>
      </c>
      <c r="H10504" s="4" t="n">
        <v>4</v>
      </c>
      <c r="I10504" s="4" t="str">
        <v>×</v>
      </c>
      <c r="J10504" s="4"/>
      <c r="K10504" s="4"/>
      <c r="L10504" s="4"/>
      <c r="M10504" s="5" t="s">
        <v>6501</v>
      </c>
    </row>
    <row r="10505" customFormat="false" ht="15.75" hidden="false" customHeight="false" outlineLevel="0" collapsed="false">
      <c r="A10505" s="6" t="n">
        <v>46193</v>
      </c>
      <c r="B10505" s="4" t="s">
        <v>4473</v>
      </c>
      <c r="C10505" s="4" t="n">
        <v>8</v>
      </c>
      <c r="D10505" s="4" t="n">
        <v>12</v>
      </c>
      <c r="E10505" s="4"/>
      <c r="F10505" s="4" t="n">
        <v>39</v>
      </c>
      <c r="G10505" s="4" t="n">
        <v>4</v>
      </c>
      <c r="H10505" s="4" t="n">
        <v>4</v>
      </c>
      <c r="I10505" s="4" t="str">
        <v>×</v>
      </c>
      <c r="J10505" s="4"/>
      <c r="K10505" s="4"/>
      <c r="L10505" s="4"/>
      <c r="M10505" s="5" t="s">
        <v>6501</v>
      </c>
    </row>
    <row r="10506" customFormat="false" ht="15.75" hidden="false" customHeight="false" outlineLevel="0" collapsed="false">
      <c r="A10506" s="6" t="n">
        <v>46193</v>
      </c>
      <c r="B10506" s="4" t="s">
        <v>4473</v>
      </c>
      <c r="C10506" s="4" t="n">
        <v>8</v>
      </c>
      <c r="D10506" s="4" t="n">
        <v>13</v>
      </c>
      <c r="E10506" s="4"/>
      <c r="F10506" s="4" t="n">
        <v>25</v>
      </c>
      <c r="G10506" s="4" t="n">
        <v>6</v>
      </c>
      <c r="H10506" s="4" t="n">
        <v>4</v>
      </c>
      <c r="I10506" s="4" t="str">
        <v>×</v>
      </c>
      <c r="J10506" s="4"/>
      <c r="K10506" s="4"/>
      <c r="L10506" s="4"/>
      <c r="M10506" s="5" t="s">
        <v>6501</v>
      </c>
    </row>
    <row r="10507" customFormat="false" ht="15.75" hidden="false" customHeight="false" outlineLevel="0" collapsed="false">
      <c r="A10507" s="6" t="n">
        <v>46193</v>
      </c>
      <c r="B10507" s="4" t="s">
        <v>4473</v>
      </c>
      <c r="C10507" s="4" t="n">
        <v>8</v>
      </c>
      <c r="D10507" s="4" t="n">
        <v>14</v>
      </c>
      <c r="E10507" s="4"/>
      <c r="F10507" s="4" t="n">
        <v>15</v>
      </c>
      <c r="G10507" s="4" t="n">
        <v>9</v>
      </c>
      <c r="H10507" s="4" t="n">
        <v>4</v>
      </c>
      <c r="I10507" s="4" t="str">
        <v>×</v>
      </c>
      <c r="J10507" s="4"/>
      <c r="K10507" s="4"/>
      <c r="L10507" s="4"/>
      <c r="M10507" s="5" t="s">
        <v>6501</v>
      </c>
    </row>
    <row r="10508" customFormat="false" ht="15.75" hidden="false" customHeight="false" outlineLevel="0" collapsed="false">
      <c r="A10508" s="6" t="n">
        <v>46193</v>
      </c>
      <c r="B10508" s="4" t="s">
        <v>4473</v>
      </c>
      <c r="C10508" s="4" t="n">
        <v>8</v>
      </c>
      <c r="D10508" s="4" t="n">
        <v>15</v>
      </c>
      <c r="E10508" s="4"/>
      <c r="F10508" s="4" t="n">
        <v>8</v>
      </c>
      <c r="G10508" s="4" t="n">
        <v>12</v>
      </c>
      <c r="H10508" s="4" t="n">
        <v>4</v>
      </c>
      <c r="I10508" s="4" t="str">
        <v>×</v>
      </c>
      <c r="J10508" s="4"/>
      <c r="K10508" s="4"/>
      <c r="L10508" s="4"/>
      <c r="M10508" s="5" t="s">
        <v>6501</v>
      </c>
    </row>
    <row r="10509" customFormat="false" ht="15.75" hidden="false" customHeight="false" outlineLevel="0" collapsed="false">
      <c r="A10509" s="6" t="n">
        <v>46193</v>
      </c>
      <c r="B10509" s="4" t="s">
        <v>4473</v>
      </c>
      <c r="C10509" s="4" t="n">
        <v>8</v>
      </c>
      <c r="D10509" s="4" t="n">
        <v>16</v>
      </c>
      <c r="E10509" s="4"/>
      <c r="F10509" s="4" t="n">
        <v>31</v>
      </c>
      <c r="G10509" s="4" t="n">
        <v>5</v>
      </c>
      <c r="H10509" s="4" t="n">
        <v>4</v>
      </c>
      <c r="I10509" s="4" t="str">
        <v>×</v>
      </c>
      <c r="J10509" s="4"/>
      <c r="K10509" s="4"/>
      <c r="L10509" s="4"/>
      <c r="M10509" s="5" t="s">
        <v>6501</v>
      </c>
    </row>
    <row r="10510" customFormat="false" ht="15.75" hidden="false" customHeight="false" outlineLevel="0" collapsed="false">
      <c r="A10510" s="6" t="n">
        <v>46193</v>
      </c>
      <c r="B10510" s="4" t="s">
        <v>4473</v>
      </c>
      <c r="C10510" s="4" t="n">
        <v>9</v>
      </c>
      <c r="D10510" s="4" t="n">
        <v>1</v>
      </c>
      <c r="E10510" s="4"/>
      <c r="F10510" s="4" t="n">
        <v>31</v>
      </c>
      <c r="G10510" s="4" t="n">
        <v>4</v>
      </c>
      <c r="H10510" s="4" t="n">
        <v>4</v>
      </c>
      <c r="I10510" s="4" t="str">
        <v>×</v>
      </c>
      <c r="J10510" s="4"/>
      <c r="K10510" s="4"/>
      <c r="L10510" s="4"/>
      <c r="M10510" s="5" t="s">
        <v>6501</v>
      </c>
    </row>
    <row r="10511" customFormat="false" ht="15.75" hidden="false" customHeight="false" outlineLevel="0" collapsed="false">
      <c r="A10511" s="6" t="n">
        <v>46193</v>
      </c>
      <c r="B10511" s="4" t="s">
        <v>4473</v>
      </c>
      <c r="C10511" s="4" t="n">
        <v>9</v>
      </c>
      <c r="D10511" s="4" t="n">
        <v>2</v>
      </c>
      <c r="E10511" s="4"/>
      <c r="F10511" s="4" t="n">
        <v>1</v>
      </c>
      <c r="G10511" s="4" t="n">
        <v>10</v>
      </c>
      <c r="H10511" s="4" t="n">
        <v>4</v>
      </c>
      <c r="I10511" s="4" t="str">
        <v>×</v>
      </c>
      <c r="J10511" s="4"/>
      <c r="K10511" s="4"/>
      <c r="L10511" s="4"/>
      <c r="M10511" s="5" t="s">
        <v>6501</v>
      </c>
    </row>
    <row r="10512" customFormat="false" ht="15.75" hidden="false" customHeight="false" outlineLevel="0" collapsed="false">
      <c r="A10512" s="6" t="n">
        <v>46193</v>
      </c>
      <c r="B10512" s="4" t="s">
        <v>4473</v>
      </c>
      <c r="C10512" s="4" t="n">
        <v>9</v>
      </c>
      <c r="D10512" s="4" t="n">
        <v>3</v>
      </c>
      <c r="E10512" s="4"/>
      <c r="F10512" s="4" t="n">
        <v>81</v>
      </c>
      <c r="G10512" s="4" t="n">
        <v>1</v>
      </c>
      <c r="H10512" s="4" t="n">
        <v>4</v>
      </c>
      <c r="I10512" s="4" t="str">
        <v>×</v>
      </c>
      <c r="J10512" s="4"/>
      <c r="K10512" s="4"/>
      <c r="L10512" s="4"/>
      <c r="M10512" s="5" t="s">
        <v>6501</v>
      </c>
    </row>
    <row r="10513" customFormat="false" ht="15.75" hidden="false" customHeight="false" outlineLevel="0" collapsed="false">
      <c r="A10513" s="6" t="n">
        <v>46193</v>
      </c>
      <c r="B10513" s="4" t="s">
        <v>4473</v>
      </c>
      <c r="C10513" s="4" t="n">
        <v>9</v>
      </c>
      <c r="D10513" s="4" t="n">
        <v>4</v>
      </c>
      <c r="E10513" s="4"/>
      <c r="F10513" s="4" t="n">
        <v>13</v>
      </c>
      <c r="G10513" s="4" t="n">
        <v>8</v>
      </c>
      <c r="H10513" s="4" t="n">
        <v>4</v>
      </c>
      <c r="I10513" s="4" t="str">
        <v>×</v>
      </c>
      <c r="J10513" s="4"/>
      <c r="K10513" s="4"/>
      <c r="L10513" s="4"/>
      <c r="M10513" s="5" t="s">
        <v>6501</v>
      </c>
    </row>
    <row r="10514" customFormat="false" ht="15.75" hidden="false" customHeight="false" outlineLevel="0" collapsed="false">
      <c r="A10514" s="6" t="n">
        <v>46193</v>
      </c>
      <c r="B10514" s="4" t="s">
        <v>4473</v>
      </c>
      <c r="C10514" s="4" t="n">
        <v>9</v>
      </c>
      <c r="D10514" s="4" t="n">
        <v>5</v>
      </c>
      <c r="E10514" s="4"/>
      <c r="F10514" s="4" t="n">
        <v>6</v>
      </c>
      <c r="G10514" s="4" t="n">
        <v>9</v>
      </c>
      <c r="H10514" s="4" t="n">
        <v>3</v>
      </c>
      <c r="I10514" s="4" t="str">
        <v>○</v>
      </c>
      <c r="J10514" s="4" t="n">
        <v>840</v>
      </c>
      <c r="K10514" s="4"/>
      <c r="L10514" s="4"/>
      <c r="M10514" s="5" t="s">
        <v>6501</v>
      </c>
    </row>
    <row r="10515" customFormat="false" ht="15.75" hidden="false" customHeight="false" outlineLevel="0" collapsed="false">
      <c r="A10515" s="6" t="n">
        <v>46193</v>
      </c>
      <c r="B10515" s="4" t="s">
        <v>4473</v>
      </c>
      <c r="C10515" s="4" t="n">
        <v>9</v>
      </c>
      <c r="D10515" s="4" t="n">
        <v>6</v>
      </c>
      <c r="E10515" s="4"/>
      <c r="F10515" s="4" t="n">
        <v>23</v>
      </c>
      <c r="G10515" s="4" t="n">
        <v>5</v>
      </c>
      <c r="H10515" s="4" t="n">
        <v>4</v>
      </c>
      <c r="I10515" s="4" t="str">
        <v>×</v>
      </c>
      <c r="J10515" s="4"/>
      <c r="K10515" s="4"/>
      <c r="L10515" s="4"/>
      <c r="M10515" s="5" t="s">
        <v>6501</v>
      </c>
    </row>
    <row r="10516" customFormat="false" ht="15.75" hidden="false" customHeight="false" outlineLevel="0" collapsed="false">
      <c r="A10516" s="6" t="n">
        <v>46193</v>
      </c>
      <c r="B10516" s="4" t="s">
        <v>4473</v>
      </c>
      <c r="C10516" s="4" t="n">
        <v>9</v>
      </c>
      <c r="D10516" s="4" t="n">
        <v>7</v>
      </c>
      <c r="E10516" s="4"/>
      <c r="F10516" s="4" t="n">
        <v>34</v>
      </c>
      <c r="G10516" s="4" t="n">
        <v>3</v>
      </c>
      <c r="H10516" s="4" t="n">
        <v>1</v>
      </c>
      <c r="I10516" s="4" t="str">
        <v>○</v>
      </c>
      <c r="J10516" s="4" t="n">
        <v>160</v>
      </c>
      <c r="K10516" s="4"/>
      <c r="L10516" s="4"/>
      <c r="M10516" s="5" t="s">
        <v>6501</v>
      </c>
    </row>
    <row r="10517" customFormat="false" ht="15.75" hidden="false" customHeight="false" outlineLevel="0" collapsed="false">
      <c r="A10517" s="6" t="n">
        <v>46193</v>
      </c>
      <c r="B10517" s="4" t="s">
        <v>4473</v>
      </c>
      <c r="C10517" s="4" t="n">
        <v>9</v>
      </c>
      <c r="D10517" s="4" t="n">
        <v>8</v>
      </c>
      <c r="E10517" s="4"/>
      <c r="F10517" s="4" t="n">
        <v>39</v>
      </c>
      <c r="G10517" s="4" t="n">
        <v>2</v>
      </c>
      <c r="H10517" s="4" t="n">
        <v>2</v>
      </c>
      <c r="I10517" s="4" t="str">
        <v>○</v>
      </c>
      <c r="J10517" s="4" t="n">
        <v>320</v>
      </c>
      <c r="K10517" s="4"/>
      <c r="L10517" s="4"/>
      <c r="M10517" s="5" t="s">
        <v>6501</v>
      </c>
    </row>
    <row r="10518" customFormat="false" ht="15.75" hidden="false" customHeight="false" outlineLevel="0" collapsed="false">
      <c r="A10518" s="6" t="n">
        <v>46193</v>
      </c>
      <c r="B10518" s="4" t="s">
        <v>4473</v>
      </c>
      <c r="C10518" s="4" t="n">
        <v>9</v>
      </c>
      <c r="D10518" s="4" t="n">
        <v>9</v>
      </c>
      <c r="E10518" s="4"/>
      <c r="F10518" s="4" t="n">
        <v>15</v>
      </c>
      <c r="G10518" s="4" t="n">
        <v>7</v>
      </c>
      <c r="H10518" s="4" t="n">
        <v>4</v>
      </c>
      <c r="I10518" s="4" t="str">
        <v>×</v>
      </c>
      <c r="J10518" s="4"/>
      <c r="K10518" s="4"/>
      <c r="L10518" s="4"/>
      <c r="M10518" s="5" t="s">
        <v>6501</v>
      </c>
    </row>
    <row r="10519" customFormat="false" ht="15.75" hidden="false" customHeight="false" outlineLevel="0" collapsed="false">
      <c r="A10519" s="6" t="n">
        <v>46193</v>
      </c>
      <c r="B10519" s="4" t="s">
        <v>4473</v>
      </c>
      <c r="C10519" s="4" t="n">
        <v>9</v>
      </c>
      <c r="D10519" s="4" t="n">
        <v>10</v>
      </c>
      <c r="E10519" s="4"/>
      <c r="F10519" s="4" t="n">
        <v>20</v>
      </c>
      <c r="G10519" s="4" t="n">
        <v>6</v>
      </c>
      <c r="H10519" s="4" t="n">
        <v>4</v>
      </c>
      <c r="I10519" s="4" t="str">
        <v>×</v>
      </c>
      <c r="J10519" s="4"/>
      <c r="K10519" s="4"/>
      <c r="L10519" s="4"/>
      <c r="M10519" s="5" t="s">
        <v>6501</v>
      </c>
    </row>
    <row r="10520" customFormat="false" ht="15.75" hidden="false" customHeight="false" outlineLevel="0" collapsed="false">
      <c r="A10520" s="6" t="n">
        <v>46193</v>
      </c>
      <c r="B10520" s="4" t="s">
        <v>4473</v>
      </c>
      <c r="C10520" s="4" t="n">
        <v>10</v>
      </c>
      <c r="D10520" s="4" t="n">
        <v>1</v>
      </c>
      <c r="E10520" s="4"/>
      <c r="F10520" s="4" t="n">
        <v>23</v>
      </c>
      <c r="G10520" s="4" t="n">
        <v>6</v>
      </c>
      <c r="H10520" s="4" t="n">
        <v>4</v>
      </c>
      <c r="I10520" s="4" t="str">
        <v>×</v>
      </c>
      <c r="J10520" s="4"/>
      <c r="K10520" s="4"/>
      <c r="L10520" s="4"/>
      <c r="M10520" s="5" t="s">
        <v>6501</v>
      </c>
    </row>
    <row r="10521" customFormat="false" ht="15.75" hidden="false" customHeight="false" outlineLevel="0" collapsed="false">
      <c r="A10521" s="6" t="n">
        <v>46193</v>
      </c>
      <c r="B10521" s="4" t="s">
        <v>4473</v>
      </c>
      <c r="C10521" s="4" t="n">
        <v>10</v>
      </c>
      <c r="D10521" s="4" t="n">
        <v>2</v>
      </c>
      <c r="E10521" s="4"/>
      <c r="F10521" s="4" t="n">
        <v>29</v>
      </c>
      <c r="G10521" s="4" t="n">
        <v>4</v>
      </c>
      <c r="H10521" s="4" t="n">
        <v>3</v>
      </c>
      <c r="I10521" s="4" t="str">
        <v>○</v>
      </c>
      <c r="J10521" s="4" t="n">
        <v>1330</v>
      </c>
      <c r="K10521" s="4"/>
      <c r="L10521" s="4"/>
      <c r="M10521" s="5" t="s">
        <v>6501</v>
      </c>
    </row>
    <row r="10522" customFormat="false" ht="15.75" hidden="false" customHeight="false" outlineLevel="0" collapsed="false">
      <c r="A10522" s="6" t="n">
        <v>46193</v>
      </c>
      <c r="B10522" s="4" t="s">
        <v>4473</v>
      </c>
      <c r="C10522" s="4" t="n">
        <v>10</v>
      </c>
      <c r="D10522" s="4" t="n">
        <v>3</v>
      </c>
      <c r="E10522" s="4"/>
      <c r="F10522" s="4" t="n">
        <v>39</v>
      </c>
      <c r="G10522" s="4" t="n">
        <v>3</v>
      </c>
      <c r="H10522" s="4" t="n">
        <v>2</v>
      </c>
      <c r="I10522" s="4" t="str">
        <v>○</v>
      </c>
      <c r="J10522" s="4" t="n">
        <v>290</v>
      </c>
      <c r="K10522" s="4"/>
      <c r="L10522" s="4"/>
      <c r="M10522" s="5" t="s">
        <v>6501</v>
      </c>
    </row>
    <row r="10523" customFormat="false" ht="15.75" hidden="false" customHeight="false" outlineLevel="0" collapsed="false">
      <c r="A10523" s="6" t="n">
        <v>46193</v>
      </c>
      <c r="B10523" s="4" t="s">
        <v>4473</v>
      </c>
      <c r="C10523" s="4" t="n">
        <v>10</v>
      </c>
      <c r="D10523" s="4" t="n">
        <v>4</v>
      </c>
      <c r="E10523" s="4"/>
      <c r="F10523" s="4" t="n">
        <v>20</v>
      </c>
      <c r="G10523" s="4" t="n">
        <v>7</v>
      </c>
      <c r="H10523" s="4" t="n">
        <v>4</v>
      </c>
      <c r="I10523" s="4" t="str">
        <v>×</v>
      </c>
      <c r="J10523" s="4"/>
      <c r="K10523" s="4"/>
      <c r="L10523" s="4"/>
      <c r="M10523" s="5" t="s">
        <v>6501</v>
      </c>
    </row>
    <row r="10524" customFormat="false" ht="15.75" hidden="false" customHeight="false" outlineLevel="0" collapsed="false">
      <c r="A10524" s="6" t="n">
        <v>46193</v>
      </c>
      <c r="B10524" s="4" t="s">
        <v>4473</v>
      </c>
      <c r="C10524" s="4" t="n">
        <v>10</v>
      </c>
      <c r="D10524" s="4" t="n">
        <v>5</v>
      </c>
      <c r="E10524" s="4"/>
      <c r="F10524" s="4" t="n">
        <v>15</v>
      </c>
      <c r="G10524" s="4" t="n">
        <v>8</v>
      </c>
      <c r="H10524" s="4" t="n">
        <v>4</v>
      </c>
      <c r="I10524" s="4" t="str">
        <v>×</v>
      </c>
      <c r="J10524" s="4"/>
      <c r="K10524" s="4"/>
      <c r="L10524" s="4"/>
      <c r="M10524" s="5" t="s">
        <v>6501</v>
      </c>
    </row>
    <row r="10525" customFormat="false" ht="15.75" hidden="false" customHeight="false" outlineLevel="0" collapsed="false">
      <c r="A10525" s="6" t="n">
        <v>46193</v>
      </c>
      <c r="B10525" s="4" t="s">
        <v>4473</v>
      </c>
      <c r="C10525" s="4" t="n">
        <v>10</v>
      </c>
      <c r="D10525" s="4" t="n">
        <v>6</v>
      </c>
      <c r="E10525" s="4"/>
      <c r="F10525" s="4" t="n">
        <v>23</v>
      </c>
      <c r="G10525" s="4" t="n">
        <v>6</v>
      </c>
      <c r="H10525" s="4" t="n">
        <v>4</v>
      </c>
      <c r="I10525" s="4" t="str">
        <v>×</v>
      </c>
      <c r="J10525" s="4"/>
      <c r="K10525" s="4"/>
      <c r="L10525" s="4"/>
      <c r="M10525" s="5" t="s">
        <v>6501</v>
      </c>
    </row>
    <row r="10526" customFormat="false" ht="15.75" hidden="false" customHeight="false" outlineLevel="0" collapsed="false">
      <c r="A10526" s="6" t="n">
        <v>46193</v>
      </c>
      <c r="B10526" s="4" t="s">
        <v>4473</v>
      </c>
      <c r="C10526" s="4" t="n">
        <v>10</v>
      </c>
      <c r="D10526" s="4" t="n">
        <v>7</v>
      </c>
      <c r="E10526" s="4"/>
      <c r="F10526" s="4" t="n">
        <v>67</v>
      </c>
      <c r="G10526" s="4" t="n">
        <v>1</v>
      </c>
      <c r="H10526" s="4" t="n">
        <v>4</v>
      </c>
      <c r="I10526" s="4" t="str">
        <v>×</v>
      </c>
      <c r="J10526" s="4"/>
      <c r="K10526" s="4"/>
      <c r="L10526" s="4"/>
      <c r="M10526" s="5" t="s">
        <v>6501</v>
      </c>
    </row>
    <row r="10527" customFormat="false" ht="15.75" hidden="false" customHeight="false" outlineLevel="0" collapsed="false">
      <c r="A10527" s="6" t="n">
        <v>46193</v>
      </c>
      <c r="B10527" s="4" t="s">
        <v>4473</v>
      </c>
      <c r="C10527" s="4" t="n">
        <v>10</v>
      </c>
      <c r="D10527" s="4" t="n">
        <v>8</v>
      </c>
      <c r="E10527" s="4"/>
      <c r="F10527" s="4" t="n">
        <v>50</v>
      </c>
      <c r="G10527" s="4" t="n">
        <v>2</v>
      </c>
      <c r="H10527" s="4" t="n">
        <v>4</v>
      </c>
      <c r="I10527" s="4" t="str">
        <v>×</v>
      </c>
      <c r="J10527" s="4"/>
      <c r="K10527" s="4"/>
      <c r="L10527" s="4"/>
      <c r="M10527" s="5" t="s">
        <v>6501</v>
      </c>
    </row>
    <row r="10528" customFormat="false" ht="15.75" hidden="false" customHeight="false" outlineLevel="0" collapsed="false">
      <c r="A10528" s="6" t="n">
        <v>46193</v>
      </c>
      <c r="B10528" s="4" t="s">
        <v>4473</v>
      </c>
      <c r="C10528" s="4" t="n">
        <v>10</v>
      </c>
      <c r="D10528" s="4" t="n">
        <v>9</v>
      </c>
      <c r="E10528" s="4"/>
      <c r="F10528" s="4" t="n">
        <v>25</v>
      </c>
      <c r="G10528" s="4" t="n">
        <v>5</v>
      </c>
      <c r="H10528" s="4" t="n">
        <v>4</v>
      </c>
      <c r="I10528" s="4" t="str">
        <v>×</v>
      </c>
      <c r="J10528" s="4"/>
      <c r="K10528" s="4"/>
      <c r="L10528" s="4"/>
      <c r="M10528" s="5" t="s">
        <v>6501</v>
      </c>
    </row>
    <row r="10529" customFormat="false" ht="15.75" hidden="false" customHeight="false" outlineLevel="0" collapsed="false">
      <c r="A10529" s="6" t="n">
        <v>46193</v>
      </c>
      <c r="B10529" s="4" t="s">
        <v>4473</v>
      </c>
      <c r="C10529" s="4" t="n">
        <v>10</v>
      </c>
      <c r="D10529" s="4" t="n">
        <v>10</v>
      </c>
      <c r="E10529" s="4"/>
      <c r="F10529" s="4" t="n">
        <v>13</v>
      </c>
      <c r="G10529" s="4" t="n">
        <v>9</v>
      </c>
      <c r="H10529" s="4" t="n">
        <v>4</v>
      </c>
      <c r="I10529" s="4" t="str">
        <v>×</v>
      </c>
      <c r="J10529" s="4"/>
      <c r="K10529" s="4"/>
      <c r="L10529" s="4"/>
      <c r="M10529" s="5" t="s">
        <v>6501</v>
      </c>
    </row>
    <row r="10530" customFormat="false" ht="15.75" hidden="false" customHeight="false" outlineLevel="0" collapsed="false">
      <c r="A10530" s="6" t="n">
        <v>46193</v>
      </c>
      <c r="B10530" s="4" t="s">
        <v>4473</v>
      </c>
      <c r="C10530" s="4" t="n">
        <v>10</v>
      </c>
      <c r="D10530" s="4" t="n">
        <v>11</v>
      </c>
      <c r="E10530" s="4"/>
      <c r="F10530" s="4" t="n">
        <v>23</v>
      </c>
      <c r="G10530" s="4" t="n">
        <v>6</v>
      </c>
      <c r="H10530" s="4" t="n">
        <v>4</v>
      </c>
      <c r="I10530" s="4" t="str">
        <v>×</v>
      </c>
      <c r="J10530" s="4"/>
      <c r="K10530" s="4"/>
      <c r="L10530" s="4"/>
      <c r="M10530" s="5" t="s">
        <v>6501</v>
      </c>
    </row>
    <row r="10531" customFormat="false" ht="15.75" hidden="false" customHeight="false" outlineLevel="0" collapsed="false">
      <c r="A10531" s="6" t="n">
        <v>46193</v>
      </c>
      <c r="B10531" s="4" t="s">
        <v>4473</v>
      </c>
      <c r="C10531" s="4" t="n">
        <v>10</v>
      </c>
      <c r="D10531" s="4" t="n">
        <v>12</v>
      </c>
      <c r="E10531" s="4"/>
      <c r="F10531" s="4" t="n">
        <v>8</v>
      </c>
      <c r="G10531" s="4" t="n">
        <v>10</v>
      </c>
      <c r="H10531" s="4" t="n">
        <v>4</v>
      </c>
      <c r="I10531" s="4" t="str">
        <v>×</v>
      </c>
      <c r="J10531" s="4"/>
      <c r="K10531" s="4"/>
      <c r="L10531" s="4"/>
      <c r="M10531" s="5" t="s">
        <v>6501</v>
      </c>
    </row>
    <row r="10532" customFormat="false" ht="15.75" hidden="false" customHeight="false" outlineLevel="0" collapsed="false">
      <c r="A10532" s="6" t="n">
        <v>46193</v>
      </c>
      <c r="B10532" s="4" t="s">
        <v>4473</v>
      </c>
      <c r="C10532" s="4" t="n">
        <v>10</v>
      </c>
      <c r="D10532" s="4" t="n">
        <v>13</v>
      </c>
      <c r="E10532" s="4"/>
      <c r="F10532" s="4" t="n">
        <v>29</v>
      </c>
      <c r="G10532" s="4" t="n">
        <v>4</v>
      </c>
      <c r="H10532" s="4" t="n">
        <v>4</v>
      </c>
      <c r="I10532" s="4" t="str">
        <v>×</v>
      </c>
      <c r="J10532" s="4"/>
      <c r="K10532" s="4"/>
      <c r="L10532" s="4"/>
      <c r="M10532" s="5" t="s">
        <v>6501</v>
      </c>
    </row>
    <row r="10533" customFormat="false" ht="15.75" hidden="false" customHeight="false" outlineLevel="0" collapsed="false">
      <c r="A10533" s="6" t="n">
        <v>46193</v>
      </c>
      <c r="B10533" s="4" t="s">
        <v>4473</v>
      </c>
      <c r="C10533" s="4" t="n">
        <v>10</v>
      </c>
      <c r="D10533" s="4" t="n">
        <v>14</v>
      </c>
      <c r="E10533" s="4"/>
      <c r="F10533" s="4" t="n">
        <v>15</v>
      </c>
      <c r="G10533" s="4" t="n">
        <v>8</v>
      </c>
      <c r="H10533" s="4" t="n">
        <v>1</v>
      </c>
      <c r="I10533" s="4" t="str">
        <v>○</v>
      </c>
      <c r="J10533" s="4" t="n">
        <v>760</v>
      </c>
      <c r="K10533" s="4"/>
      <c r="L10533" s="4"/>
      <c r="M10533" s="5" t="s">
        <v>6501</v>
      </c>
    </row>
    <row r="10534" customFormat="false" ht="15.75" hidden="false" customHeight="false" outlineLevel="0" collapsed="false">
      <c r="A10534" s="6" t="n">
        <v>46193</v>
      </c>
      <c r="B10534" s="4" t="s">
        <v>4473</v>
      </c>
      <c r="C10534" s="4" t="n">
        <v>11</v>
      </c>
      <c r="D10534" s="4" t="n">
        <v>1</v>
      </c>
      <c r="E10534" s="4"/>
      <c r="F10534" s="4" t="n">
        <v>15</v>
      </c>
      <c r="G10534" s="4" t="n">
        <v>6</v>
      </c>
      <c r="H10534" s="4" t="n">
        <v>4</v>
      </c>
      <c r="I10534" s="4" t="str">
        <v>×</v>
      </c>
      <c r="J10534" s="4"/>
      <c r="K10534" s="4"/>
      <c r="L10534" s="4"/>
      <c r="M10534" s="5" t="s">
        <v>6501</v>
      </c>
    </row>
    <row r="10535" customFormat="false" ht="15.75" hidden="false" customHeight="false" outlineLevel="0" collapsed="false">
      <c r="A10535" s="6" t="n">
        <v>46193</v>
      </c>
      <c r="B10535" s="4" t="s">
        <v>4473</v>
      </c>
      <c r="C10535" s="4" t="n">
        <v>11</v>
      </c>
      <c r="D10535" s="4" t="n">
        <v>2</v>
      </c>
      <c r="E10535" s="4"/>
      <c r="F10535" s="4" t="n">
        <v>34</v>
      </c>
      <c r="G10535" s="4" t="n">
        <v>3</v>
      </c>
      <c r="H10535" s="4" t="n">
        <v>2</v>
      </c>
      <c r="I10535" s="4" t="str">
        <v>○</v>
      </c>
      <c r="J10535" s="4" t="n">
        <v>240</v>
      </c>
      <c r="K10535" s="4"/>
      <c r="L10535" s="4"/>
      <c r="M10535" s="5" t="s">
        <v>6501</v>
      </c>
    </row>
    <row r="10536" customFormat="false" ht="15.75" hidden="false" customHeight="false" outlineLevel="0" collapsed="false">
      <c r="A10536" s="6" t="n">
        <v>46193</v>
      </c>
      <c r="B10536" s="4" t="s">
        <v>4473</v>
      </c>
      <c r="C10536" s="4" t="n">
        <v>11</v>
      </c>
      <c r="D10536" s="4" t="n">
        <v>3</v>
      </c>
      <c r="E10536" s="4"/>
      <c r="F10536" s="4" t="n">
        <v>13</v>
      </c>
      <c r="G10536" s="4" t="n">
        <v>7</v>
      </c>
      <c r="H10536" s="4" t="n">
        <v>4</v>
      </c>
      <c r="I10536" s="4" t="str">
        <v>×</v>
      </c>
      <c r="J10536" s="4"/>
      <c r="K10536" s="4"/>
      <c r="L10536" s="4"/>
      <c r="M10536" s="5" t="s">
        <v>6501</v>
      </c>
    </row>
    <row r="10537" customFormat="false" ht="15.75" hidden="false" customHeight="false" outlineLevel="0" collapsed="false">
      <c r="A10537" s="6" t="n">
        <v>46193</v>
      </c>
      <c r="B10537" s="4" t="s">
        <v>4473</v>
      </c>
      <c r="C10537" s="4" t="n">
        <v>11</v>
      </c>
      <c r="D10537" s="4" t="n">
        <v>4</v>
      </c>
      <c r="E10537" s="4"/>
      <c r="F10537" s="4" t="n">
        <v>10</v>
      </c>
      <c r="G10537" s="4" t="n">
        <v>8</v>
      </c>
      <c r="H10537" s="4" t="n">
        <v>3</v>
      </c>
      <c r="I10537" s="4" t="str">
        <v>○</v>
      </c>
      <c r="J10537" s="4" t="n">
        <v>950</v>
      </c>
      <c r="K10537" s="4"/>
      <c r="L10537" s="4"/>
      <c r="M10537" s="5" t="s">
        <v>6501</v>
      </c>
    </row>
    <row r="10538" customFormat="false" ht="15.75" hidden="false" customHeight="false" outlineLevel="0" collapsed="false">
      <c r="A10538" s="6" t="n">
        <v>46193</v>
      </c>
      <c r="B10538" s="4" t="s">
        <v>4473</v>
      </c>
      <c r="C10538" s="4" t="n">
        <v>11</v>
      </c>
      <c r="D10538" s="4" t="n">
        <v>5</v>
      </c>
      <c r="E10538" s="4"/>
      <c r="F10538" s="4" t="n">
        <v>1</v>
      </c>
      <c r="G10538" s="4" t="n">
        <v>10</v>
      </c>
      <c r="H10538" s="4" t="n">
        <v>4</v>
      </c>
      <c r="I10538" s="4" t="str">
        <v>×</v>
      </c>
      <c r="J10538" s="4"/>
      <c r="K10538" s="4"/>
      <c r="L10538" s="4"/>
      <c r="M10538" s="5" t="s">
        <v>6501</v>
      </c>
    </row>
    <row r="10539" customFormat="false" ht="15.75" hidden="false" customHeight="false" outlineLevel="0" collapsed="false">
      <c r="A10539" s="6" t="n">
        <v>46193</v>
      </c>
      <c r="B10539" s="4" t="s">
        <v>4473</v>
      </c>
      <c r="C10539" s="4" t="n">
        <v>11</v>
      </c>
      <c r="D10539" s="4" t="n">
        <v>6</v>
      </c>
      <c r="E10539" s="4"/>
      <c r="F10539" s="4" t="n">
        <v>50</v>
      </c>
      <c r="G10539" s="4" t="n">
        <v>2</v>
      </c>
      <c r="H10539" s="4" t="n">
        <v>4</v>
      </c>
      <c r="I10539" s="4" t="str">
        <v>×</v>
      </c>
      <c r="J10539" s="4"/>
      <c r="K10539" s="4"/>
      <c r="L10539" s="4"/>
      <c r="M10539" s="5" t="s">
        <v>6501</v>
      </c>
    </row>
    <row r="10540" customFormat="false" ht="15.75" hidden="false" customHeight="false" outlineLevel="0" collapsed="false">
      <c r="A10540" s="6" t="n">
        <v>46193</v>
      </c>
      <c r="B10540" s="4" t="s">
        <v>4473</v>
      </c>
      <c r="C10540" s="4" t="n">
        <v>11</v>
      </c>
      <c r="D10540" s="4" t="n">
        <v>7</v>
      </c>
      <c r="E10540" s="4"/>
      <c r="F10540" s="4" t="n">
        <v>8</v>
      </c>
      <c r="G10540" s="4" t="n">
        <v>9</v>
      </c>
      <c r="H10540" s="4" t="n">
        <v>4</v>
      </c>
      <c r="I10540" s="4" t="str">
        <v>×</v>
      </c>
      <c r="J10540" s="4"/>
      <c r="K10540" s="4"/>
      <c r="L10540" s="4"/>
      <c r="M10540" s="5" t="s">
        <v>6501</v>
      </c>
    </row>
    <row r="10541" customFormat="false" ht="15.75" hidden="false" customHeight="false" outlineLevel="0" collapsed="false">
      <c r="A10541" s="6" t="n">
        <v>46193</v>
      </c>
      <c r="B10541" s="4" t="s">
        <v>4473</v>
      </c>
      <c r="C10541" s="4" t="n">
        <v>11</v>
      </c>
      <c r="D10541" s="4" t="n">
        <v>8</v>
      </c>
      <c r="E10541" s="4"/>
      <c r="F10541" s="4" t="n">
        <v>15</v>
      </c>
      <c r="G10541" s="4" t="n">
        <v>6</v>
      </c>
      <c r="H10541" s="4" t="n">
        <v>4</v>
      </c>
      <c r="I10541" s="4" t="str">
        <v>×</v>
      </c>
      <c r="J10541" s="4"/>
      <c r="K10541" s="4"/>
      <c r="L10541" s="4"/>
      <c r="M10541" s="5" t="s">
        <v>6501</v>
      </c>
    </row>
    <row r="10542" customFormat="false" ht="15.75" hidden="false" customHeight="false" outlineLevel="0" collapsed="false">
      <c r="A10542" s="6" t="n">
        <v>46193</v>
      </c>
      <c r="B10542" s="4" t="s">
        <v>4473</v>
      </c>
      <c r="C10542" s="4" t="n">
        <v>11</v>
      </c>
      <c r="D10542" s="4" t="n">
        <v>9</v>
      </c>
      <c r="E10542" s="4"/>
      <c r="F10542" s="4" t="n">
        <v>13</v>
      </c>
      <c r="G10542" s="4" t="n">
        <v>7</v>
      </c>
      <c r="H10542" s="4" t="n">
        <v>4</v>
      </c>
      <c r="I10542" s="4" t="str">
        <v>×</v>
      </c>
      <c r="J10542" s="4"/>
      <c r="K10542" s="4"/>
      <c r="L10542" s="4"/>
      <c r="M10542" s="5" t="s">
        <v>6501</v>
      </c>
    </row>
    <row r="10543" customFormat="false" ht="15.75" hidden="false" customHeight="false" outlineLevel="0" collapsed="false">
      <c r="A10543" s="6" t="n">
        <v>46193</v>
      </c>
      <c r="B10543" s="4" t="s">
        <v>4473</v>
      </c>
      <c r="C10543" s="4" t="n">
        <v>11</v>
      </c>
      <c r="D10543" s="4" t="n">
        <v>10</v>
      </c>
      <c r="E10543" s="4"/>
      <c r="F10543" s="4" t="n">
        <v>15</v>
      </c>
      <c r="G10543" s="4" t="n">
        <v>6</v>
      </c>
      <c r="H10543" s="4" t="n">
        <v>1</v>
      </c>
      <c r="I10543" s="4" t="str">
        <v>○</v>
      </c>
      <c r="J10543" s="4" t="n">
        <v>760</v>
      </c>
      <c r="K10543" s="4"/>
      <c r="L10543" s="4"/>
      <c r="M10543" s="5" t="s">
        <v>6501</v>
      </c>
    </row>
    <row r="10544" customFormat="false" ht="15.75" hidden="false" customHeight="false" outlineLevel="0" collapsed="false">
      <c r="A10544" s="6" t="n">
        <v>46193</v>
      </c>
      <c r="B10544" s="4" t="s">
        <v>4473</v>
      </c>
      <c r="C10544" s="4" t="n">
        <v>11</v>
      </c>
      <c r="D10544" s="4" t="n">
        <v>11</v>
      </c>
      <c r="E10544" s="4"/>
      <c r="F10544" s="4" t="n">
        <v>25</v>
      </c>
      <c r="G10544" s="4" t="n">
        <v>4</v>
      </c>
      <c r="H10544" s="4" t="n">
        <v>4</v>
      </c>
      <c r="I10544" s="4" t="str">
        <v>×</v>
      </c>
      <c r="J10544" s="4"/>
      <c r="K10544" s="4"/>
      <c r="L10544" s="4"/>
      <c r="M10544" s="5" t="s">
        <v>6501</v>
      </c>
    </row>
    <row r="10545" customFormat="false" ht="15.75" hidden="false" customHeight="false" outlineLevel="0" collapsed="false">
      <c r="A10545" s="6" t="n">
        <v>46193</v>
      </c>
      <c r="B10545" s="4" t="s">
        <v>4473</v>
      </c>
      <c r="C10545" s="4" t="n">
        <v>11</v>
      </c>
      <c r="D10545" s="4" t="n">
        <v>12</v>
      </c>
      <c r="E10545" s="4"/>
      <c r="F10545" s="4" t="n">
        <v>15</v>
      </c>
      <c r="G10545" s="4" t="n">
        <v>6</v>
      </c>
      <c r="H10545" s="4" t="n">
        <v>4</v>
      </c>
      <c r="I10545" s="4" t="str">
        <v>×</v>
      </c>
      <c r="J10545" s="4"/>
      <c r="K10545" s="4"/>
      <c r="L10545" s="4"/>
      <c r="M10545" s="5" t="s">
        <v>6501</v>
      </c>
    </row>
    <row r="10546" customFormat="false" ht="15.75" hidden="false" customHeight="false" outlineLevel="0" collapsed="false">
      <c r="A10546" s="6" t="n">
        <v>46193</v>
      </c>
      <c r="B10546" s="4" t="s">
        <v>4473</v>
      </c>
      <c r="C10546" s="4" t="n">
        <v>11</v>
      </c>
      <c r="D10546" s="4" t="n">
        <v>13</v>
      </c>
      <c r="E10546" s="4"/>
      <c r="F10546" s="4" t="n">
        <v>52</v>
      </c>
      <c r="G10546" s="4" t="n">
        <v>1</v>
      </c>
      <c r="H10546" s="4" t="n">
        <v>4</v>
      </c>
      <c r="I10546" s="4" t="str">
        <v>×</v>
      </c>
      <c r="J10546" s="4"/>
      <c r="K10546" s="4"/>
      <c r="L10546" s="4"/>
      <c r="M10546" s="5" t="s">
        <v>6501</v>
      </c>
    </row>
    <row r="10547" customFormat="false" ht="15.75" hidden="false" customHeight="false" outlineLevel="0" collapsed="false">
      <c r="A10547" s="6" t="n">
        <v>46193</v>
      </c>
      <c r="B10547" s="4" t="s">
        <v>4473</v>
      </c>
      <c r="C10547" s="4" t="n">
        <v>11</v>
      </c>
      <c r="D10547" s="4" t="n">
        <v>14</v>
      </c>
      <c r="E10547" s="4"/>
      <c r="F10547" s="4" t="n">
        <v>23</v>
      </c>
      <c r="G10547" s="4" t="n">
        <v>5</v>
      </c>
      <c r="H10547" s="4" t="n">
        <v>4</v>
      </c>
      <c r="I10547" s="4" t="str">
        <v>×</v>
      </c>
      <c r="J10547" s="4"/>
      <c r="K10547" s="4"/>
      <c r="L10547" s="4"/>
      <c r="M10547" s="5" t="s">
        <v>6501</v>
      </c>
    </row>
    <row r="10548" customFormat="false" ht="15.75" hidden="false" customHeight="false" outlineLevel="0" collapsed="false">
      <c r="A10548" s="6" t="n">
        <v>46193</v>
      </c>
      <c r="B10548" s="4" t="s">
        <v>4473</v>
      </c>
      <c r="C10548" s="4" t="n">
        <v>11</v>
      </c>
      <c r="D10548" s="4" t="n">
        <v>15</v>
      </c>
      <c r="E10548" s="4"/>
      <c r="F10548" s="4" t="n">
        <v>15</v>
      </c>
      <c r="G10548" s="4" t="n">
        <v>6</v>
      </c>
      <c r="H10548" s="4" t="n">
        <v>4</v>
      </c>
      <c r="I10548" s="4" t="str">
        <v>×</v>
      </c>
      <c r="J10548" s="4"/>
      <c r="K10548" s="4"/>
      <c r="L10548" s="4"/>
      <c r="M10548" s="5" t="s">
        <v>6501</v>
      </c>
    </row>
    <row r="10549" customFormat="false" ht="15.75" hidden="false" customHeight="false" outlineLevel="0" collapsed="false">
      <c r="A10549" s="6" t="n">
        <v>46193</v>
      </c>
      <c r="B10549" s="4" t="s">
        <v>4473</v>
      </c>
      <c r="C10549" s="4" t="n">
        <v>12</v>
      </c>
      <c r="D10549" s="4" t="n">
        <v>1</v>
      </c>
      <c r="E10549" s="4"/>
      <c r="F10549" s="4" t="n">
        <v>13</v>
      </c>
      <c r="G10549" s="4" t="n">
        <v>7</v>
      </c>
      <c r="H10549" s="4" t="n">
        <v>2</v>
      </c>
      <c r="I10549" s="4" t="str">
        <v>○</v>
      </c>
      <c r="J10549" s="4" t="n">
        <v>1460</v>
      </c>
      <c r="K10549" s="4"/>
      <c r="L10549" s="4"/>
      <c r="M10549" s="5" t="s">
        <v>6501</v>
      </c>
    </row>
    <row r="10550" customFormat="false" ht="15.75" hidden="false" customHeight="false" outlineLevel="0" collapsed="false">
      <c r="A10550" s="6" t="n">
        <v>46193</v>
      </c>
      <c r="B10550" s="4" t="s">
        <v>4473</v>
      </c>
      <c r="C10550" s="4" t="n">
        <v>12</v>
      </c>
      <c r="D10550" s="4" t="n">
        <v>2</v>
      </c>
      <c r="E10550" s="4"/>
      <c r="F10550" s="4" t="n">
        <v>29</v>
      </c>
      <c r="G10550" s="4" t="n">
        <v>5</v>
      </c>
      <c r="H10550" s="4" t="n">
        <v>3</v>
      </c>
      <c r="I10550" s="4" t="str">
        <v>○</v>
      </c>
      <c r="J10550" s="4" t="n">
        <v>850</v>
      </c>
      <c r="K10550" s="4"/>
      <c r="L10550" s="4"/>
      <c r="M10550" s="5" t="s">
        <v>6501</v>
      </c>
    </row>
    <row r="10551" customFormat="false" ht="15.75" hidden="false" customHeight="false" outlineLevel="0" collapsed="false">
      <c r="A10551" s="6" t="n">
        <v>46193</v>
      </c>
      <c r="B10551" s="4" t="s">
        <v>4473</v>
      </c>
      <c r="C10551" s="4" t="n">
        <v>12</v>
      </c>
      <c r="D10551" s="4" t="n">
        <v>3</v>
      </c>
      <c r="E10551" s="4"/>
      <c r="F10551" s="4" t="n">
        <v>13</v>
      </c>
      <c r="G10551" s="4" t="n">
        <v>7</v>
      </c>
      <c r="H10551" s="4" t="n">
        <v>4</v>
      </c>
      <c r="I10551" s="4" t="str">
        <v>×</v>
      </c>
      <c r="J10551" s="4"/>
      <c r="K10551" s="4"/>
      <c r="L10551" s="4"/>
      <c r="M10551" s="5" t="s">
        <v>6501</v>
      </c>
    </row>
    <row r="10552" customFormat="false" ht="15.75" hidden="false" customHeight="false" outlineLevel="0" collapsed="false">
      <c r="A10552" s="6" t="n">
        <v>46193</v>
      </c>
      <c r="B10552" s="4" t="s">
        <v>4473</v>
      </c>
      <c r="C10552" s="4" t="n">
        <v>12</v>
      </c>
      <c r="D10552" s="4" t="n">
        <v>4</v>
      </c>
      <c r="E10552" s="4"/>
      <c r="F10552" s="4" t="n">
        <v>1</v>
      </c>
      <c r="G10552" s="4" t="n">
        <v>11</v>
      </c>
      <c r="H10552" s="4" t="n">
        <v>4</v>
      </c>
      <c r="I10552" s="4" t="str">
        <v>×</v>
      </c>
      <c r="J10552" s="4"/>
      <c r="K10552" s="4"/>
      <c r="L10552" s="4"/>
      <c r="M10552" s="5" t="s">
        <v>6501</v>
      </c>
    </row>
    <row r="10553" customFormat="false" ht="15.75" hidden="false" customHeight="false" outlineLevel="0" collapsed="false">
      <c r="A10553" s="6" t="n">
        <v>46193</v>
      </c>
      <c r="B10553" s="4" t="s">
        <v>4473</v>
      </c>
      <c r="C10553" s="4" t="n">
        <v>12</v>
      </c>
      <c r="D10553" s="4" t="n">
        <v>5</v>
      </c>
      <c r="E10553" s="4"/>
      <c r="F10553" s="4" t="n">
        <v>47</v>
      </c>
      <c r="G10553" s="4" t="n">
        <v>1</v>
      </c>
      <c r="H10553" s="4" t="n">
        <v>4</v>
      </c>
      <c r="I10553" s="4" t="str">
        <v>×</v>
      </c>
      <c r="J10553" s="4"/>
      <c r="K10553" s="4"/>
      <c r="L10553" s="4"/>
      <c r="M10553" s="5" t="s">
        <v>6501</v>
      </c>
    </row>
    <row r="10554" customFormat="false" ht="15.75" hidden="false" customHeight="false" outlineLevel="0" collapsed="false">
      <c r="A10554" s="6" t="n">
        <v>46193</v>
      </c>
      <c r="B10554" s="4" t="s">
        <v>4473</v>
      </c>
      <c r="C10554" s="4" t="n">
        <v>12</v>
      </c>
      <c r="D10554" s="4" t="n">
        <v>6</v>
      </c>
      <c r="E10554" s="4"/>
      <c r="F10554" s="4" t="n">
        <v>23</v>
      </c>
      <c r="G10554" s="4" t="n">
        <v>6</v>
      </c>
      <c r="H10554" s="4" t="n">
        <v>4</v>
      </c>
      <c r="I10554" s="4" t="str">
        <v>×</v>
      </c>
      <c r="J10554" s="4"/>
      <c r="K10554" s="4"/>
      <c r="L10554" s="4"/>
      <c r="M10554" s="5" t="s">
        <v>6501</v>
      </c>
    </row>
    <row r="10555" customFormat="false" ht="15.75" hidden="false" customHeight="false" outlineLevel="0" collapsed="false">
      <c r="A10555" s="6" t="n">
        <v>46193</v>
      </c>
      <c r="B10555" s="4" t="s">
        <v>4473</v>
      </c>
      <c r="C10555" s="4" t="n">
        <v>12</v>
      </c>
      <c r="D10555" s="4" t="n">
        <v>7</v>
      </c>
      <c r="E10555" s="4"/>
      <c r="F10555" s="4" t="n">
        <v>6</v>
      </c>
      <c r="G10555" s="4" t="n">
        <v>10</v>
      </c>
      <c r="H10555" s="4" t="n">
        <v>4</v>
      </c>
      <c r="I10555" s="4" t="str">
        <v>×</v>
      </c>
      <c r="J10555" s="4"/>
      <c r="K10555" s="4"/>
      <c r="L10555" s="4"/>
      <c r="M10555" s="5" t="s">
        <v>6501</v>
      </c>
    </row>
    <row r="10556" customFormat="false" ht="15.75" hidden="false" customHeight="false" outlineLevel="0" collapsed="false">
      <c r="A10556" s="6" t="n">
        <v>46193</v>
      </c>
      <c r="B10556" s="4" t="s">
        <v>4473</v>
      </c>
      <c r="C10556" s="4" t="n">
        <v>12</v>
      </c>
      <c r="D10556" s="4" t="n">
        <v>8</v>
      </c>
      <c r="E10556" s="4"/>
      <c r="F10556" s="4" t="n">
        <v>6</v>
      </c>
      <c r="G10556" s="4" t="n">
        <v>10</v>
      </c>
      <c r="H10556" s="4" t="n">
        <v>4</v>
      </c>
      <c r="I10556" s="4" t="str">
        <v>×</v>
      </c>
      <c r="J10556" s="4"/>
      <c r="K10556" s="4"/>
      <c r="L10556" s="4"/>
      <c r="M10556" s="5" t="s">
        <v>6501</v>
      </c>
    </row>
    <row r="10557" customFormat="false" ht="15.75" hidden="false" customHeight="false" outlineLevel="0" collapsed="false">
      <c r="A10557" s="6" t="n">
        <v>46193</v>
      </c>
      <c r="B10557" s="4" t="s">
        <v>4473</v>
      </c>
      <c r="C10557" s="4" t="n">
        <v>12</v>
      </c>
      <c r="D10557" s="4" t="n">
        <v>9</v>
      </c>
      <c r="E10557" s="4"/>
      <c r="F10557" s="4" t="n">
        <v>39</v>
      </c>
      <c r="G10557" s="4" t="n">
        <v>4</v>
      </c>
      <c r="H10557" s="4" t="n">
        <v>4</v>
      </c>
      <c r="I10557" s="4" t="str">
        <v>×</v>
      </c>
      <c r="J10557" s="4"/>
      <c r="K10557" s="4"/>
      <c r="L10557" s="4"/>
      <c r="M10557" s="5" t="s">
        <v>6501</v>
      </c>
    </row>
    <row r="10558" customFormat="false" ht="15.75" hidden="false" customHeight="false" outlineLevel="0" collapsed="false">
      <c r="A10558" s="6" t="n">
        <v>46193</v>
      </c>
      <c r="B10558" s="4" t="s">
        <v>4473</v>
      </c>
      <c r="C10558" s="4" t="n">
        <v>12</v>
      </c>
      <c r="D10558" s="4" t="n">
        <v>10</v>
      </c>
      <c r="E10558" s="4"/>
      <c r="F10558" s="4" t="n">
        <v>44</v>
      </c>
      <c r="G10558" s="4" t="n">
        <v>2</v>
      </c>
      <c r="H10558" s="4" t="n">
        <v>4</v>
      </c>
      <c r="I10558" s="4" t="str">
        <v>×</v>
      </c>
      <c r="J10558" s="4"/>
      <c r="K10558" s="4"/>
      <c r="L10558" s="4"/>
      <c r="M10558" s="5" t="s">
        <v>6501</v>
      </c>
    </row>
    <row r="10559" customFormat="false" ht="15.75" hidden="false" customHeight="false" outlineLevel="0" collapsed="false">
      <c r="A10559" s="6" t="n">
        <v>46193</v>
      </c>
      <c r="B10559" s="4" t="s">
        <v>4473</v>
      </c>
      <c r="C10559" s="4" t="n">
        <v>12</v>
      </c>
      <c r="D10559" s="4" t="n">
        <v>11</v>
      </c>
      <c r="E10559" s="4"/>
      <c r="F10559" s="4" t="n">
        <v>13</v>
      </c>
      <c r="G10559" s="4" t="n">
        <v>7</v>
      </c>
      <c r="H10559" s="4" t="n">
        <v>4</v>
      </c>
      <c r="I10559" s="4" t="str">
        <v>×</v>
      </c>
      <c r="J10559" s="4"/>
      <c r="K10559" s="4"/>
      <c r="L10559" s="4"/>
      <c r="M10559" s="5" t="s">
        <v>6501</v>
      </c>
    </row>
    <row r="10560" customFormat="false" ht="15.75" hidden="false" customHeight="false" outlineLevel="0" collapsed="false">
      <c r="A10560" s="6" t="n">
        <v>46193</v>
      </c>
      <c r="B10560" s="4" t="s">
        <v>4473</v>
      </c>
      <c r="C10560" s="4" t="n">
        <v>12</v>
      </c>
      <c r="D10560" s="4" t="n">
        <v>12</v>
      </c>
      <c r="E10560" s="4"/>
      <c r="F10560" s="4" t="n">
        <v>41</v>
      </c>
      <c r="G10560" s="4" t="n">
        <v>3</v>
      </c>
      <c r="H10560" s="4" t="n">
        <v>1</v>
      </c>
      <c r="I10560" s="4" t="str">
        <v>○</v>
      </c>
      <c r="J10560" s="4" t="n">
        <v>230</v>
      </c>
      <c r="K10560" s="4"/>
      <c r="L10560" s="4"/>
      <c r="M10560" s="5" t="s">
        <v>6501</v>
      </c>
    </row>
    <row r="10561" customFormat="false" ht="15.75" hidden="false" customHeight="false" outlineLevel="0" collapsed="false">
      <c r="A10561" s="6" t="n">
        <v>46193</v>
      </c>
      <c r="B10561" s="4" t="s">
        <v>4473</v>
      </c>
      <c r="C10561" s="4" t="n">
        <v>12</v>
      </c>
      <c r="D10561" s="4" t="n">
        <v>13</v>
      </c>
      <c r="E10561" s="4"/>
      <c r="F10561" s="4" t="n">
        <v>10</v>
      </c>
      <c r="G10561" s="4" t="n">
        <v>8</v>
      </c>
      <c r="H10561" s="4" t="n">
        <v>4</v>
      </c>
      <c r="I10561" s="4" t="str">
        <v>×</v>
      </c>
      <c r="J10561" s="4"/>
      <c r="K10561" s="4"/>
      <c r="L10561" s="4"/>
      <c r="M10561" s="5" t="s">
        <v>6501</v>
      </c>
    </row>
    <row r="10562" customFormat="false" ht="15.75" hidden="false" customHeight="false" outlineLevel="0" collapsed="false">
      <c r="A10562" s="6" t="n">
        <v>46193</v>
      </c>
      <c r="B10562" s="4" t="s">
        <v>4473</v>
      </c>
      <c r="C10562" s="4" t="n">
        <v>12</v>
      </c>
      <c r="D10562" s="4" t="n">
        <v>14</v>
      </c>
      <c r="E10562" s="4"/>
      <c r="F10562" s="4" t="n">
        <v>10</v>
      </c>
      <c r="G10562" s="4" t="n">
        <v>8</v>
      </c>
      <c r="H10562" s="4" t="n">
        <v>4</v>
      </c>
      <c r="I10562" s="4" t="str">
        <v>×</v>
      </c>
      <c r="J10562" s="4"/>
      <c r="K10562" s="4"/>
      <c r="L10562" s="4"/>
      <c r="M10562" s="5" t="s">
        <v>6501</v>
      </c>
    </row>
    <row r="10563" customFormat="false" ht="15.75" hidden="false" customHeight="false" outlineLevel="0" collapsed="false">
      <c r="A10563" s="6" t="n">
        <v>46193</v>
      </c>
      <c r="B10563" s="4" t="s">
        <v>4473</v>
      </c>
      <c r="C10563" s="4" t="n">
        <v>12</v>
      </c>
      <c r="D10563" s="4" t="n">
        <v>15</v>
      </c>
      <c r="E10563" s="4"/>
      <c r="F10563" s="4" t="n">
        <v>8</v>
      </c>
      <c r="G10563" s="4" t="n">
        <v>9</v>
      </c>
      <c r="H10563" s="4" t="n">
        <v>4</v>
      </c>
      <c r="I10563" s="4" t="str">
        <v>×</v>
      </c>
      <c r="J10563" s="4"/>
      <c r="K10563" s="4"/>
      <c r="L10563" s="4"/>
      <c r="M10563" s="5" t="s">
        <v>6501</v>
      </c>
    </row>
    <row r="10564" customFormat="false" ht="15.75" hidden="false" customHeight="false" outlineLevel="0" collapsed="false">
      <c r="A10564" s="6" t="n">
        <v>46193</v>
      </c>
      <c r="B10564" s="4" t="s">
        <v>4473</v>
      </c>
      <c r="C10564" s="4" t="n">
        <v>12</v>
      </c>
      <c r="D10564" s="4" t="n">
        <v>16</v>
      </c>
      <c r="E10564" s="4"/>
      <c r="F10564" s="4" t="n">
        <v>6</v>
      </c>
      <c r="G10564" s="4" t="n">
        <v>10</v>
      </c>
      <c r="H10564" s="4" t="n">
        <v>4</v>
      </c>
      <c r="I10564" s="4" t="str">
        <v>×</v>
      </c>
      <c r="J10564" s="4"/>
      <c r="K10564" s="4"/>
      <c r="L10564" s="4"/>
      <c r="M10564" s="5" t="s">
        <v>6501</v>
      </c>
    </row>
    <row r="10565" customFormat="false" ht="15.75" hidden="false" customHeight="false" outlineLevel="0" collapsed="false">
      <c r="A10565" s="6" t="n">
        <v>46193</v>
      </c>
      <c r="B10565" s="4" t="s">
        <v>4172</v>
      </c>
      <c r="C10565" s="4" t="n">
        <v>2</v>
      </c>
      <c r="D10565" s="4" t="n">
        <v>1</v>
      </c>
      <c r="E10565" s="4"/>
      <c r="F10565" s="4" t="n">
        <v>34</v>
      </c>
      <c r="G10565" s="4" t="n">
        <v>4</v>
      </c>
      <c r="H10565" s="4" t="n">
        <v>4</v>
      </c>
      <c r="I10565" s="4" t="str">
        <v>×</v>
      </c>
      <c r="J10565" s="4"/>
      <c r="K10565" s="4"/>
      <c r="L10565" s="4"/>
      <c r="M10565" s="5" t="s">
        <v>6501</v>
      </c>
    </row>
    <row r="10566" customFormat="false" ht="15.75" hidden="false" customHeight="false" outlineLevel="0" collapsed="false">
      <c r="A10566" s="6" t="n">
        <v>46193</v>
      </c>
      <c r="B10566" s="4" t="s">
        <v>4172</v>
      </c>
      <c r="C10566" s="4" t="n">
        <v>2</v>
      </c>
      <c r="D10566" s="4" t="n">
        <v>2</v>
      </c>
      <c r="E10566" s="4"/>
      <c r="F10566" s="4" t="n">
        <v>39</v>
      </c>
      <c r="G10566" s="4" t="n">
        <v>3</v>
      </c>
      <c r="H10566" s="4" t="n">
        <v>4</v>
      </c>
      <c r="I10566" s="4" t="str">
        <v>×</v>
      </c>
      <c r="J10566" s="4"/>
      <c r="K10566" s="4"/>
      <c r="L10566" s="4"/>
      <c r="M10566" s="5" t="s">
        <v>6501</v>
      </c>
    </row>
    <row r="10567" customFormat="false" ht="15.75" hidden="false" customHeight="false" outlineLevel="0" collapsed="false">
      <c r="A10567" s="6" t="n">
        <v>46193</v>
      </c>
      <c r="B10567" s="4" t="s">
        <v>4172</v>
      </c>
      <c r="C10567" s="4" t="n">
        <v>2</v>
      </c>
      <c r="D10567" s="4" t="n">
        <v>3</v>
      </c>
      <c r="E10567" s="4"/>
      <c r="F10567" s="4" t="n">
        <v>1</v>
      </c>
      <c r="G10567" s="4" t="n">
        <v>11</v>
      </c>
      <c r="H10567" s="4" t="n">
        <v>4</v>
      </c>
      <c r="I10567" s="4" t="str">
        <v>×</v>
      </c>
      <c r="J10567" s="4"/>
      <c r="K10567" s="4"/>
      <c r="L10567" s="4"/>
      <c r="M10567" s="5" t="s">
        <v>6501</v>
      </c>
    </row>
    <row r="10568" customFormat="false" ht="15.75" hidden="false" customHeight="false" outlineLevel="0" collapsed="false">
      <c r="A10568" s="6" t="n">
        <v>46193</v>
      </c>
      <c r="B10568" s="4" t="s">
        <v>4172</v>
      </c>
      <c r="C10568" s="4" t="n">
        <v>2</v>
      </c>
      <c r="D10568" s="4" t="n">
        <v>4</v>
      </c>
      <c r="E10568" s="4"/>
      <c r="F10568" s="4" t="n">
        <v>15</v>
      </c>
      <c r="G10568" s="4" t="n">
        <v>7</v>
      </c>
      <c r="H10568" s="4" t="n">
        <v>4</v>
      </c>
      <c r="I10568" s="4" t="str">
        <v>×</v>
      </c>
      <c r="J10568" s="4"/>
      <c r="K10568" s="4"/>
      <c r="L10568" s="4"/>
      <c r="M10568" s="5" t="s">
        <v>6501</v>
      </c>
    </row>
    <row r="10569" customFormat="false" ht="15.75" hidden="false" customHeight="false" outlineLevel="0" collapsed="false">
      <c r="A10569" s="6" t="n">
        <v>46193</v>
      </c>
      <c r="B10569" s="4" t="s">
        <v>4172</v>
      </c>
      <c r="C10569" s="4" t="n">
        <v>2</v>
      </c>
      <c r="D10569" s="4" t="n">
        <v>5</v>
      </c>
      <c r="E10569" s="4"/>
      <c r="F10569" s="4" t="n">
        <v>6</v>
      </c>
      <c r="G10569" s="4" t="n">
        <v>9</v>
      </c>
      <c r="H10569" s="4" t="n">
        <v>4</v>
      </c>
      <c r="I10569" s="4" t="str">
        <v>×</v>
      </c>
      <c r="J10569" s="4"/>
      <c r="K10569" s="4"/>
      <c r="L10569" s="4"/>
      <c r="M10569" s="5" t="s">
        <v>6501</v>
      </c>
    </row>
    <row r="10570" customFormat="false" ht="15.75" hidden="false" customHeight="false" outlineLevel="0" collapsed="false">
      <c r="A10570" s="6" t="n">
        <v>46193</v>
      </c>
      <c r="B10570" s="4" t="s">
        <v>4172</v>
      </c>
      <c r="C10570" s="4" t="n">
        <v>2</v>
      </c>
      <c r="D10570" s="4" t="n">
        <v>6</v>
      </c>
      <c r="E10570" s="4"/>
      <c r="F10570" s="4" t="n">
        <v>25</v>
      </c>
      <c r="G10570" s="4" t="n">
        <v>5</v>
      </c>
      <c r="H10570" s="4" t="n">
        <v>3</v>
      </c>
      <c r="I10570" s="4" t="str">
        <v>○</v>
      </c>
      <c r="J10570" s="4" t="n">
        <v>150</v>
      </c>
      <c r="K10570" s="4"/>
      <c r="L10570" s="4"/>
      <c r="M10570" s="5" t="s">
        <v>6501</v>
      </c>
    </row>
    <row r="10571" customFormat="false" ht="15.75" hidden="false" customHeight="false" outlineLevel="0" collapsed="false">
      <c r="A10571" s="6" t="n">
        <v>46193</v>
      </c>
      <c r="B10571" s="4" t="s">
        <v>4172</v>
      </c>
      <c r="C10571" s="4" t="n">
        <v>2</v>
      </c>
      <c r="D10571" s="4" t="n">
        <v>7</v>
      </c>
      <c r="E10571" s="4"/>
      <c r="F10571" s="4" t="n">
        <v>4</v>
      </c>
      <c r="G10571" s="4" t="n">
        <v>10</v>
      </c>
      <c r="H10571" s="4" t="n">
        <v>4</v>
      </c>
      <c r="I10571" s="4" t="str">
        <v>×</v>
      </c>
      <c r="J10571" s="4"/>
      <c r="K10571" s="4"/>
      <c r="L10571" s="4"/>
      <c r="M10571" s="5" t="s">
        <v>6501</v>
      </c>
    </row>
    <row r="10572" customFormat="false" ht="15.75" hidden="false" customHeight="false" outlineLevel="0" collapsed="false">
      <c r="A10572" s="6" t="n">
        <v>46193</v>
      </c>
      <c r="B10572" s="4" t="s">
        <v>4172</v>
      </c>
      <c r="C10572" s="4" t="n">
        <v>2</v>
      </c>
      <c r="D10572" s="4" t="n">
        <v>8</v>
      </c>
      <c r="E10572" s="4"/>
      <c r="F10572" s="4" t="n">
        <v>23</v>
      </c>
      <c r="G10572" s="4" t="n">
        <v>6</v>
      </c>
      <c r="H10572" s="4" t="n">
        <v>2</v>
      </c>
      <c r="I10572" s="4" t="str">
        <v>○</v>
      </c>
      <c r="J10572" s="4" t="n">
        <v>190</v>
      </c>
      <c r="K10572" s="4"/>
      <c r="L10572" s="4"/>
      <c r="M10572" s="5" t="s">
        <v>6501</v>
      </c>
    </row>
    <row r="10573" customFormat="false" ht="15.75" hidden="false" customHeight="false" outlineLevel="0" collapsed="false">
      <c r="A10573" s="6" t="n">
        <v>46193</v>
      </c>
      <c r="B10573" s="4" t="s">
        <v>4172</v>
      </c>
      <c r="C10573" s="4" t="n">
        <v>2</v>
      </c>
      <c r="D10573" s="4" t="n">
        <v>9</v>
      </c>
      <c r="E10573" s="4"/>
      <c r="F10573" s="4" t="n">
        <v>4</v>
      </c>
      <c r="G10573" s="4" t="n">
        <v>10</v>
      </c>
      <c r="H10573" s="4" t="n">
        <v>4</v>
      </c>
      <c r="I10573" s="4" t="str">
        <v>×</v>
      </c>
      <c r="J10573" s="4"/>
      <c r="K10573" s="4"/>
      <c r="L10573" s="4"/>
      <c r="M10573" s="5" t="s">
        <v>6501</v>
      </c>
    </row>
    <row r="10574" customFormat="false" ht="15.75" hidden="false" customHeight="false" outlineLevel="0" collapsed="false">
      <c r="A10574" s="6" t="n">
        <v>46193</v>
      </c>
      <c r="B10574" s="4" t="s">
        <v>4172</v>
      </c>
      <c r="C10574" s="4" t="n">
        <v>2</v>
      </c>
      <c r="D10574" s="4" t="n">
        <v>10</v>
      </c>
      <c r="E10574" s="4"/>
      <c r="F10574" s="4" t="n">
        <v>10</v>
      </c>
      <c r="G10574" s="4" t="n">
        <v>8</v>
      </c>
      <c r="H10574" s="4" t="n">
        <v>4</v>
      </c>
      <c r="I10574" s="4" t="str">
        <v>×</v>
      </c>
      <c r="J10574" s="4"/>
      <c r="K10574" s="4"/>
      <c r="L10574" s="4"/>
      <c r="M10574" s="5" t="s">
        <v>6501</v>
      </c>
    </row>
    <row r="10575" customFormat="false" ht="15.75" hidden="false" customHeight="false" outlineLevel="0" collapsed="false">
      <c r="A10575" s="6" t="n">
        <v>46193</v>
      </c>
      <c r="B10575" s="4" t="s">
        <v>4172</v>
      </c>
      <c r="C10575" s="4" t="n">
        <v>2</v>
      </c>
      <c r="D10575" s="4" t="n">
        <v>11</v>
      </c>
      <c r="E10575" s="4"/>
      <c r="F10575" s="4" t="n">
        <v>47</v>
      </c>
      <c r="G10575" s="4" t="n">
        <v>2</v>
      </c>
      <c r="H10575" s="4" t="n">
        <v>4</v>
      </c>
      <c r="I10575" s="4" t="str">
        <v>×</v>
      </c>
      <c r="J10575" s="4"/>
      <c r="K10575" s="4"/>
      <c r="L10575" s="4"/>
      <c r="M10575" s="5" t="s">
        <v>6501</v>
      </c>
    </row>
    <row r="10576" customFormat="false" ht="15.75" hidden="false" customHeight="false" outlineLevel="0" collapsed="false">
      <c r="A10576" s="6" t="n">
        <v>46193</v>
      </c>
      <c r="B10576" s="4" t="s">
        <v>4172</v>
      </c>
      <c r="C10576" s="4" t="n">
        <v>2</v>
      </c>
      <c r="D10576" s="4" t="n">
        <v>12</v>
      </c>
      <c r="E10576" s="4"/>
      <c r="F10576" s="4" t="n">
        <v>66</v>
      </c>
      <c r="G10576" s="4" t="n">
        <v>1</v>
      </c>
      <c r="H10576" s="4" t="n">
        <v>1</v>
      </c>
      <c r="I10576" s="4" t="str">
        <v>○</v>
      </c>
      <c r="J10576" s="4" t="n">
        <v>110</v>
      </c>
      <c r="K10576" s="4"/>
      <c r="L10576" s="4"/>
      <c r="M10576" s="5" t="s">
        <v>6501</v>
      </c>
    </row>
    <row r="10577" customFormat="false" ht="15.75" hidden="false" customHeight="false" outlineLevel="0" collapsed="false">
      <c r="A10577" s="6" t="n">
        <v>46193</v>
      </c>
      <c r="B10577" s="4" t="s">
        <v>4172</v>
      </c>
      <c r="C10577" s="4" t="n">
        <v>2</v>
      </c>
      <c r="D10577" s="4" t="n">
        <v>13</v>
      </c>
      <c r="E10577" s="4"/>
      <c r="F10577" s="4" t="n">
        <v>15</v>
      </c>
      <c r="G10577" s="4" t="n">
        <v>7</v>
      </c>
      <c r="H10577" s="4" t="n">
        <v>4</v>
      </c>
      <c r="I10577" s="4" t="str">
        <v>×</v>
      </c>
      <c r="J10577" s="4"/>
      <c r="K10577" s="4"/>
      <c r="L10577" s="4"/>
      <c r="M10577" s="5" t="s">
        <v>6501</v>
      </c>
    </row>
    <row r="10578" customFormat="false" ht="15.75" hidden="false" customHeight="false" outlineLevel="0" collapsed="false">
      <c r="A10578" s="6" t="n">
        <v>46193</v>
      </c>
      <c r="B10578" s="4" t="s">
        <v>4172</v>
      </c>
      <c r="C10578" s="4" t="n">
        <v>2</v>
      </c>
      <c r="D10578" s="4" t="n">
        <v>14</v>
      </c>
      <c r="E10578" s="4"/>
      <c r="F10578" s="4" t="n">
        <v>34</v>
      </c>
      <c r="G10578" s="4" t="n">
        <v>4</v>
      </c>
      <c r="H10578" s="4" t="n">
        <v>4</v>
      </c>
      <c r="I10578" s="4" t="str">
        <v>×</v>
      </c>
      <c r="J10578" s="4"/>
      <c r="K10578" s="4"/>
      <c r="L10578" s="4"/>
      <c r="M10578" s="5" t="s">
        <v>6501</v>
      </c>
    </row>
    <row r="10579" customFormat="false" ht="15.75" hidden="false" customHeight="false" outlineLevel="0" collapsed="false">
      <c r="A10579" s="6" t="n">
        <v>46193</v>
      </c>
      <c r="B10579" s="4" t="s">
        <v>4172</v>
      </c>
      <c r="C10579" s="4" t="n">
        <v>2</v>
      </c>
      <c r="D10579" s="4" t="n">
        <v>15</v>
      </c>
      <c r="E10579" s="4"/>
      <c r="F10579" s="4" t="n">
        <v>6</v>
      </c>
      <c r="G10579" s="4" t="n">
        <v>9</v>
      </c>
      <c r="H10579" s="4" t="n">
        <v>4</v>
      </c>
      <c r="I10579" s="4" t="str">
        <v>×</v>
      </c>
      <c r="J10579" s="4"/>
      <c r="K10579" s="4"/>
      <c r="L10579" s="4"/>
      <c r="M10579" s="5" t="s">
        <v>6501</v>
      </c>
    </row>
    <row r="10580" customFormat="false" ht="15.75" hidden="false" customHeight="false" outlineLevel="0" collapsed="false">
      <c r="A10580" s="6" t="n">
        <v>46193</v>
      </c>
      <c r="B10580" s="4" t="s">
        <v>4172</v>
      </c>
      <c r="C10580" s="4" t="n">
        <v>2</v>
      </c>
      <c r="D10580" s="4" t="n">
        <v>16</v>
      </c>
      <c r="E10580" s="4"/>
      <c r="F10580" s="4" t="n">
        <v>6</v>
      </c>
      <c r="G10580" s="4" t="n">
        <v>9</v>
      </c>
      <c r="H10580" s="4" t="n">
        <v>4</v>
      </c>
      <c r="I10580" s="4" t="str">
        <v>×</v>
      </c>
      <c r="J10580" s="4"/>
      <c r="K10580" s="4"/>
      <c r="L10580" s="4"/>
      <c r="M10580" s="5" t="s">
        <v>6501</v>
      </c>
    </row>
    <row r="10581" customFormat="false" ht="15.75" hidden="false" customHeight="false" outlineLevel="0" collapsed="false">
      <c r="A10581" s="6" t="n">
        <v>46193</v>
      </c>
      <c r="B10581" s="4" t="s">
        <v>4172</v>
      </c>
      <c r="C10581" s="4" t="n">
        <v>3</v>
      </c>
      <c r="D10581" s="4" t="n">
        <v>1</v>
      </c>
      <c r="E10581" s="4"/>
      <c r="F10581" s="4" t="n">
        <v>37</v>
      </c>
      <c r="G10581" s="4" t="n">
        <v>3</v>
      </c>
      <c r="H10581" s="4" t="n">
        <v>1</v>
      </c>
      <c r="I10581" s="4" t="str">
        <v>○</v>
      </c>
      <c r="J10581" s="4" t="n">
        <v>220</v>
      </c>
      <c r="K10581" s="4"/>
      <c r="L10581" s="4"/>
      <c r="M10581" s="5" t="s">
        <v>6501</v>
      </c>
    </row>
    <row r="10582" customFormat="false" ht="15.75" hidden="false" customHeight="false" outlineLevel="0" collapsed="false">
      <c r="A10582" s="6" t="n">
        <v>46193</v>
      </c>
      <c r="B10582" s="4" t="s">
        <v>4172</v>
      </c>
      <c r="C10582" s="4" t="n">
        <v>3</v>
      </c>
      <c r="D10582" s="4" t="n">
        <v>2</v>
      </c>
      <c r="E10582" s="4"/>
      <c r="F10582" s="4" t="n">
        <v>20</v>
      </c>
      <c r="G10582" s="4" t="n">
        <v>5</v>
      </c>
      <c r="H10582" s="4" t="n">
        <v>4</v>
      </c>
      <c r="I10582" s="4" t="str">
        <v>×</v>
      </c>
      <c r="J10582" s="4"/>
      <c r="K10582" s="4"/>
      <c r="L10582" s="4"/>
      <c r="M10582" s="5" t="s">
        <v>6501</v>
      </c>
    </row>
    <row r="10583" customFormat="false" ht="15.75" hidden="false" customHeight="false" outlineLevel="0" collapsed="false">
      <c r="A10583" s="6" t="n">
        <v>46193</v>
      </c>
      <c r="B10583" s="4" t="s">
        <v>4172</v>
      </c>
      <c r="C10583" s="4" t="n">
        <v>3</v>
      </c>
      <c r="D10583" s="4" t="n">
        <v>3</v>
      </c>
      <c r="E10583" s="4"/>
      <c r="F10583" s="4" t="n">
        <v>3</v>
      </c>
      <c r="G10583" s="4" t="n">
        <v>10</v>
      </c>
      <c r="H10583" s="4" t="n">
        <v>4</v>
      </c>
      <c r="I10583" s="4" t="str">
        <v>×</v>
      </c>
      <c r="J10583" s="4"/>
      <c r="K10583" s="4"/>
      <c r="L10583" s="4"/>
      <c r="M10583" s="5" t="s">
        <v>6501</v>
      </c>
    </row>
    <row r="10584" customFormat="false" ht="15.75" hidden="false" customHeight="false" outlineLevel="0" collapsed="false">
      <c r="A10584" s="6" t="n">
        <v>46193</v>
      </c>
      <c r="B10584" s="4" t="s">
        <v>4172</v>
      </c>
      <c r="C10584" s="4" t="n">
        <v>3</v>
      </c>
      <c r="D10584" s="4" t="n">
        <v>4</v>
      </c>
      <c r="E10584" s="4"/>
      <c r="F10584" s="4" t="n">
        <v>1</v>
      </c>
      <c r="G10584" s="4" t="n">
        <v>11</v>
      </c>
      <c r="H10584" s="4" t="n">
        <v>4</v>
      </c>
      <c r="I10584" s="4" t="str">
        <v>×</v>
      </c>
      <c r="J10584" s="4"/>
      <c r="K10584" s="4"/>
      <c r="L10584" s="4"/>
      <c r="M10584" s="5" t="s">
        <v>6501</v>
      </c>
    </row>
    <row r="10585" customFormat="false" ht="15.75" hidden="false" customHeight="false" outlineLevel="0" collapsed="false">
      <c r="A10585" s="6" t="n">
        <v>46193</v>
      </c>
      <c r="B10585" s="4" t="s">
        <v>4172</v>
      </c>
      <c r="C10585" s="4" t="n">
        <v>3</v>
      </c>
      <c r="D10585" s="4" t="n">
        <v>5</v>
      </c>
      <c r="E10585" s="4"/>
      <c r="F10585" s="4" t="n">
        <v>10</v>
      </c>
      <c r="G10585" s="4" t="n">
        <v>7</v>
      </c>
      <c r="H10585" s="4" t="n">
        <v>4</v>
      </c>
      <c r="I10585" s="4" t="str">
        <v>×</v>
      </c>
      <c r="J10585" s="4"/>
      <c r="K10585" s="4"/>
      <c r="L10585" s="4"/>
      <c r="M10585" s="5" t="s">
        <v>6501</v>
      </c>
    </row>
    <row r="10586" customFormat="false" ht="15.75" hidden="false" customHeight="false" outlineLevel="0" collapsed="false">
      <c r="A10586" s="6" t="n">
        <v>46193</v>
      </c>
      <c r="B10586" s="4" t="s">
        <v>4172</v>
      </c>
      <c r="C10586" s="4" t="n">
        <v>3</v>
      </c>
      <c r="D10586" s="4" t="n">
        <v>6</v>
      </c>
      <c r="E10586" s="4"/>
      <c r="F10586" s="4" t="n">
        <v>62</v>
      </c>
      <c r="G10586" s="4" t="n">
        <v>2</v>
      </c>
      <c r="H10586" s="4" t="n">
        <v>3</v>
      </c>
      <c r="I10586" s="4" t="str">
        <v>○</v>
      </c>
      <c r="J10586" s="4" t="n">
        <v>160</v>
      </c>
      <c r="K10586" s="4"/>
      <c r="L10586" s="4"/>
      <c r="M10586" s="5" t="s">
        <v>6501</v>
      </c>
    </row>
    <row r="10587" customFormat="false" ht="15.75" hidden="false" customHeight="false" outlineLevel="0" collapsed="false">
      <c r="A10587" s="6" t="n">
        <v>46193</v>
      </c>
      <c r="B10587" s="4" t="s">
        <v>4172</v>
      </c>
      <c r="C10587" s="4" t="n">
        <v>3</v>
      </c>
      <c r="D10587" s="4" t="n">
        <v>7</v>
      </c>
      <c r="E10587" s="4"/>
      <c r="F10587" s="4" t="n">
        <v>4</v>
      </c>
      <c r="G10587" s="4" t="n">
        <v>9</v>
      </c>
      <c r="H10587" s="4" t="n">
        <v>4</v>
      </c>
      <c r="I10587" s="4" t="str">
        <v>×</v>
      </c>
      <c r="J10587" s="4"/>
      <c r="K10587" s="4"/>
      <c r="L10587" s="4"/>
      <c r="M10587" s="5" t="s">
        <v>6501</v>
      </c>
    </row>
    <row r="10588" customFormat="false" ht="15.75" hidden="false" customHeight="false" outlineLevel="0" collapsed="false">
      <c r="A10588" s="6" t="n">
        <v>46193</v>
      </c>
      <c r="B10588" s="4" t="s">
        <v>4172</v>
      </c>
      <c r="C10588" s="4" t="n">
        <v>3</v>
      </c>
      <c r="D10588" s="4" t="n">
        <v>8</v>
      </c>
      <c r="E10588" s="4"/>
      <c r="F10588" s="4" t="n">
        <v>6</v>
      </c>
      <c r="G10588" s="4" t="n">
        <v>8</v>
      </c>
      <c r="H10588" s="4" t="n">
        <v>4</v>
      </c>
      <c r="I10588" s="4" t="str">
        <v>×</v>
      </c>
      <c r="J10588" s="4"/>
      <c r="K10588" s="4"/>
      <c r="L10588" s="4"/>
      <c r="M10588" s="5" t="s">
        <v>6501</v>
      </c>
    </row>
    <row r="10589" customFormat="false" ht="15.75" hidden="false" customHeight="false" outlineLevel="0" collapsed="false">
      <c r="A10589" s="6" t="n">
        <v>46193</v>
      </c>
      <c r="B10589" s="4" t="s">
        <v>4172</v>
      </c>
      <c r="C10589" s="4" t="n">
        <v>3</v>
      </c>
      <c r="D10589" s="4" t="n">
        <v>9</v>
      </c>
      <c r="E10589" s="4"/>
      <c r="F10589" s="4" t="n">
        <v>65</v>
      </c>
      <c r="G10589" s="4" t="n">
        <v>1</v>
      </c>
      <c r="H10589" s="4" t="n">
        <v>4</v>
      </c>
      <c r="I10589" s="4" t="str">
        <v>×</v>
      </c>
      <c r="J10589" s="4"/>
      <c r="K10589" s="4"/>
      <c r="L10589" s="4"/>
      <c r="M10589" s="5" t="s">
        <v>6501</v>
      </c>
    </row>
    <row r="10590" customFormat="false" ht="15.75" hidden="false" customHeight="false" outlineLevel="0" collapsed="false">
      <c r="A10590" s="6" t="n">
        <v>46193</v>
      </c>
      <c r="B10590" s="4" t="s">
        <v>4172</v>
      </c>
      <c r="C10590" s="4" t="n">
        <v>3</v>
      </c>
      <c r="D10590" s="4" t="n">
        <v>10</v>
      </c>
      <c r="E10590" s="4"/>
      <c r="F10590" s="4" t="n">
        <v>20</v>
      </c>
      <c r="G10590" s="4" t="n">
        <v>5</v>
      </c>
      <c r="H10590" s="4" t="n">
        <v>4</v>
      </c>
      <c r="I10590" s="4" t="str">
        <v>×</v>
      </c>
      <c r="J10590" s="4"/>
      <c r="K10590" s="4"/>
      <c r="L10590" s="4"/>
      <c r="M10590" s="5" t="s">
        <v>6501</v>
      </c>
    </row>
    <row r="10591" customFormat="false" ht="15.75" hidden="false" customHeight="false" outlineLevel="0" collapsed="false">
      <c r="A10591" s="6" t="n">
        <v>46193</v>
      </c>
      <c r="B10591" s="4" t="s">
        <v>4172</v>
      </c>
      <c r="C10591" s="4" t="n">
        <v>3</v>
      </c>
      <c r="D10591" s="4" t="n">
        <v>11</v>
      </c>
      <c r="E10591" s="4"/>
      <c r="F10591" s="4" t="n">
        <v>25</v>
      </c>
      <c r="G10591" s="4" t="n">
        <v>4</v>
      </c>
      <c r="H10591" s="4" t="n">
        <v>4</v>
      </c>
      <c r="I10591" s="4" t="str">
        <v>×</v>
      </c>
      <c r="J10591" s="4"/>
      <c r="K10591" s="4"/>
      <c r="L10591" s="4"/>
      <c r="M10591" s="5" t="s">
        <v>6501</v>
      </c>
    </row>
    <row r="10592" customFormat="false" ht="15.75" hidden="false" customHeight="false" outlineLevel="0" collapsed="false">
      <c r="A10592" s="6" t="n">
        <v>46193</v>
      </c>
      <c r="B10592" s="4" t="s">
        <v>4172</v>
      </c>
      <c r="C10592" s="4" t="n">
        <v>3</v>
      </c>
      <c r="D10592" s="4" t="n">
        <v>12</v>
      </c>
      <c r="E10592" s="4"/>
      <c r="F10592" s="4" t="n">
        <v>13</v>
      </c>
      <c r="G10592" s="4" t="n">
        <v>6</v>
      </c>
      <c r="H10592" s="4" t="n">
        <v>4</v>
      </c>
      <c r="I10592" s="4" t="str">
        <v>×</v>
      </c>
      <c r="J10592" s="4"/>
      <c r="K10592" s="4"/>
      <c r="L10592" s="4"/>
      <c r="M10592" s="5" t="s">
        <v>6501</v>
      </c>
    </row>
    <row r="10593" customFormat="false" ht="15.75" hidden="false" customHeight="false" outlineLevel="0" collapsed="false">
      <c r="A10593" s="6" t="n">
        <v>46193</v>
      </c>
      <c r="B10593" s="4" t="s">
        <v>4172</v>
      </c>
      <c r="C10593" s="4" t="n">
        <v>3</v>
      </c>
      <c r="D10593" s="4" t="n">
        <v>13</v>
      </c>
      <c r="E10593" s="4"/>
      <c r="F10593" s="4" t="n">
        <v>4</v>
      </c>
      <c r="G10593" s="4" t="n">
        <v>9</v>
      </c>
      <c r="H10593" s="4" t="n">
        <v>4</v>
      </c>
      <c r="I10593" s="4" t="str">
        <v>×</v>
      </c>
      <c r="J10593" s="4"/>
      <c r="K10593" s="4"/>
      <c r="L10593" s="4"/>
      <c r="M10593" s="5" t="s">
        <v>6501</v>
      </c>
    </row>
    <row r="10594" customFormat="false" ht="15.75" hidden="false" customHeight="false" outlineLevel="0" collapsed="false">
      <c r="A10594" s="6" t="n">
        <v>46193</v>
      </c>
      <c r="B10594" s="4" t="s">
        <v>4172</v>
      </c>
      <c r="C10594" s="4" t="n">
        <v>3</v>
      </c>
      <c r="D10594" s="4" t="n">
        <v>14</v>
      </c>
      <c r="E10594" s="4"/>
      <c r="F10594" s="4" t="n">
        <v>37</v>
      </c>
      <c r="G10594" s="4" t="n">
        <v>3</v>
      </c>
      <c r="H10594" s="4" t="n">
        <v>2</v>
      </c>
      <c r="I10594" s="4" t="str">
        <v>○</v>
      </c>
      <c r="J10594" s="4" t="n">
        <v>150</v>
      </c>
      <c r="K10594" s="4"/>
      <c r="L10594" s="4"/>
      <c r="M10594" s="5" t="s">
        <v>6501</v>
      </c>
    </row>
    <row r="10595" customFormat="false" ht="15.75" hidden="false" customHeight="false" outlineLevel="0" collapsed="false">
      <c r="A10595" s="6" t="n">
        <v>46193</v>
      </c>
      <c r="B10595" s="4" t="s">
        <v>4172</v>
      </c>
      <c r="C10595" s="4" t="n">
        <v>3</v>
      </c>
      <c r="D10595" s="4" t="n">
        <v>15</v>
      </c>
      <c r="E10595" s="4"/>
      <c r="F10595" s="4" t="n">
        <v>25</v>
      </c>
      <c r="G10595" s="4" t="n">
        <v>4</v>
      </c>
      <c r="H10595" s="4" t="n">
        <v>4</v>
      </c>
      <c r="I10595" s="4" t="str">
        <v>×</v>
      </c>
      <c r="J10595" s="4"/>
      <c r="K10595" s="4"/>
      <c r="L10595" s="4"/>
      <c r="M10595" s="5" t="s">
        <v>6501</v>
      </c>
    </row>
    <row r="10596" customFormat="false" ht="15.75" hidden="false" customHeight="false" outlineLevel="0" collapsed="false">
      <c r="A10596" s="6" t="n">
        <v>46193</v>
      </c>
      <c r="B10596" s="4" t="s">
        <v>4172</v>
      </c>
      <c r="C10596" s="4" t="n">
        <v>3</v>
      </c>
      <c r="D10596" s="4" t="n">
        <v>16</v>
      </c>
      <c r="E10596" s="4"/>
      <c r="F10596" s="4" t="n">
        <v>10</v>
      </c>
      <c r="G10596" s="4" t="n">
        <v>7</v>
      </c>
      <c r="H10596" s="4" t="n">
        <v>4</v>
      </c>
      <c r="I10596" s="4" t="str">
        <v>×</v>
      </c>
      <c r="J10596" s="4"/>
      <c r="K10596" s="4"/>
      <c r="L10596" s="4"/>
      <c r="M10596" s="5" t="s">
        <v>6501</v>
      </c>
    </row>
    <row r="10597" customFormat="false" ht="15.75" hidden="false" customHeight="false" outlineLevel="0" collapsed="false">
      <c r="A10597" s="6" t="n">
        <v>46193</v>
      </c>
      <c r="B10597" s="4" t="s">
        <v>4172</v>
      </c>
      <c r="C10597" s="4" t="n">
        <v>4</v>
      </c>
      <c r="D10597" s="4" t="n">
        <v>1</v>
      </c>
      <c r="E10597" s="4"/>
      <c r="F10597" s="4" t="n">
        <v>6</v>
      </c>
      <c r="G10597" s="4" t="n">
        <v>9</v>
      </c>
      <c r="H10597" s="4" t="n">
        <v>4</v>
      </c>
      <c r="I10597" s="4" t="str">
        <v>×</v>
      </c>
      <c r="J10597" s="4"/>
      <c r="K10597" s="4"/>
      <c r="L10597" s="4"/>
      <c r="M10597" s="5" t="s">
        <v>6501</v>
      </c>
    </row>
    <row r="10598" customFormat="false" ht="15.75" hidden="false" customHeight="false" outlineLevel="0" collapsed="false">
      <c r="A10598" s="6" t="n">
        <v>46193</v>
      </c>
      <c r="B10598" s="4" t="s">
        <v>4172</v>
      </c>
      <c r="C10598" s="4" t="n">
        <v>4</v>
      </c>
      <c r="D10598" s="4" t="n">
        <v>2</v>
      </c>
      <c r="E10598" s="4"/>
      <c r="F10598" s="4" t="n">
        <v>8</v>
      </c>
      <c r="G10598" s="4" t="n">
        <v>8</v>
      </c>
      <c r="H10598" s="4" t="n">
        <v>4</v>
      </c>
      <c r="I10598" s="4" t="str">
        <v>×</v>
      </c>
      <c r="J10598" s="4"/>
      <c r="K10598" s="4"/>
      <c r="L10598" s="4"/>
      <c r="M10598" s="5" t="s">
        <v>6501</v>
      </c>
    </row>
    <row r="10599" customFormat="false" ht="15.75" hidden="false" customHeight="false" outlineLevel="0" collapsed="false">
      <c r="A10599" s="6" t="n">
        <v>46193</v>
      </c>
      <c r="B10599" s="4" t="s">
        <v>4172</v>
      </c>
      <c r="C10599" s="4" t="n">
        <v>4</v>
      </c>
      <c r="D10599" s="4" t="n">
        <v>3</v>
      </c>
      <c r="E10599" s="4"/>
      <c r="F10599" s="4" t="n">
        <v>6</v>
      </c>
      <c r="G10599" s="4" t="n">
        <v>9</v>
      </c>
      <c r="H10599" s="4" t="n">
        <v>4</v>
      </c>
      <c r="I10599" s="4" t="str">
        <v>×</v>
      </c>
      <c r="J10599" s="4"/>
      <c r="K10599" s="4"/>
      <c r="L10599" s="4"/>
      <c r="M10599" s="5" t="s">
        <v>6501</v>
      </c>
    </row>
    <row r="10600" customFormat="false" ht="15.75" hidden="false" customHeight="false" outlineLevel="0" collapsed="false">
      <c r="A10600" s="6" t="n">
        <v>46193</v>
      </c>
      <c r="B10600" s="4" t="s">
        <v>4172</v>
      </c>
      <c r="C10600" s="4" t="n">
        <v>4</v>
      </c>
      <c r="D10600" s="4" t="n">
        <v>4</v>
      </c>
      <c r="E10600" s="4"/>
      <c r="F10600" s="4" t="n">
        <v>23</v>
      </c>
      <c r="G10600" s="4" t="n">
        <v>5</v>
      </c>
      <c r="H10600" s="4" t="n">
        <v>4</v>
      </c>
      <c r="I10600" s="4" t="str">
        <v>×</v>
      </c>
      <c r="J10600" s="4"/>
      <c r="K10600" s="4"/>
      <c r="L10600" s="4"/>
      <c r="M10600" s="5" t="s">
        <v>6501</v>
      </c>
    </row>
    <row r="10601" customFormat="false" ht="15.75" hidden="false" customHeight="false" outlineLevel="0" collapsed="false">
      <c r="A10601" s="6" t="n">
        <v>46193</v>
      </c>
      <c r="B10601" s="4" t="s">
        <v>4172</v>
      </c>
      <c r="C10601" s="4" t="n">
        <v>4</v>
      </c>
      <c r="D10601" s="4" t="n">
        <v>5</v>
      </c>
      <c r="E10601" s="4"/>
      <c r="F10601" s="4" t="n">
        <v>6</v>
      </c>
      <c r="G10601" s="4" t="n">
        <v>9</v>
      </c>
      <c r="H10601" s="4" t="n">
        <v>4</v>
      </c>
      <c r="I10601" s="4" t="str">
        <v>×</v>
      </c>
      <c r="J10601" s="4"/>
      <c r="K10601" s="4"/>
      <c r="L10601" s="4"/>
      <c r="M10601" s="5" t="s">
        <v>6501</v>
      </c>
    </row>
    <row r="10602" customFormat="false" ht="15.75" hidden="false" customHeight="false" outlineLevel="0" collapsed="false">
      <c r="A10602" s="6" t="n">
        <v>46193</v>
      </c>
      <c r="B10602" s="4" t="s">
        <v>4172</v>
      </c>
      <c r="C10602" s="4" t="n">
        <v>4</v>
      </c>
      <c r="D10602" s="4" t="n">
        <v>6</v>
      </c>
      <c r="E10602" s="4"/>
      <c r="F10602" s="4" t="n">
        <v>39</v>
      </c>
      <c r="G10602" s="4" t="n">
        <v>2</v>
      </c>
      <c r="H10602" s="4" t="n">
        <v>1</v>
      </c>
      <c r="I10602" s="4" t="str">
        <v>○</v>
      </c>
      <c r="J10602" s="4" t="n">
        <v>170</v>
      </c>
      <c r="K10602" s="4"/>
      <c r="L10602" s="4"/>
      <c r="M10602" s="5" t="s">
        <v>6501</v>
      </c>
    </row>
    <row r="10603" customFormat="false" ht="15.75" hidden="false" customHeight="false" outlineLevel="0" collapsed="false">
      <c r="A10603" s="6" t="n">
        <v>46193</v>
      </c>
      <c r="B10603" s="4" t="s">
        <v>4172</v>
      </c>
      <c r="C10603" s="4" t="n">
        <v>4</v>
      </c>
      <c r="D10603" s="4" t="n">
        <v>7</v>
      </c>
      <c r="E10603" s="4"/>
      <c r="F10603" s="4" t="n">
        <v>10</v>
      </c>
      <c r="G10603" s="4" t="n">
        <v>7</v>
      </c>
      <c r="H10603" s="4" t="n">
        <v>4</v>
      </c>
      <c r="I10603" s="4" t="str">
        <v>×</v>
      </c>
      <c r="J10603" s="4"/>
      <c r="K10603" s="4"/>
      <c r="L10603" s="4"/>
      <c r="M10603" s="5" t="s">
        <v>6501</v>
      </c>
    </row>
    <row r="10604" customFormat="false" ht="15.75" hidden="false" customHeight="false" outlineLevel="0" collapsed="false">
      <c r="A10604" s="6" t="n">
        <v>46193</v>
      </c>
      <c r="B10604" s="4" t="s">
        <v>4172</v>
      </c>
      <c r="C10604" s="4" t="n">
        <v>4</v>
      </c>
      <c r="D10604" s="4" t="n">
        <v>8</v>
      </c>
      <c r="E10604" s="4"/>
      <c r="F10604" s="4" t="n">
        <v>13</v>
      </c>
      <c r="G10604" s="4" t="n">
        <v>6</v>
      </c>
      <c r="H10604" s="4" t="n">
        <v>4</v>
      </c>
      <c r="I10604" s="4" t="str">
        <v>×</v>
      </c>
      <c r="J10604" s="4"/>
      <c r="K10604" s="4"/>
      <c r="L10604" s="4"/>
      <c r="M10604" s="5" t="s">
        <v>6501</v>
      </c>
    </row>
    <row r="10605" customFormat="false" ht="15.75" hidden="false" customHeight="false" outlineLevel="0" collapsed="false">
      <c r="A10605" s="6" t="n">
        <v>46193</v>
      </c>
      <c r="B10605" s="4" t="s">
        <v>4172</v>
      </c>
      <c r="C10605" s="4" t="n">
        <v>4</v>
      </c>
      <c r="D10605" s="4" t="n">
        <v>9</v>
      </c>
      <c r="E10605" s="4"/>
      <c r="F10605" s="4" t="n">
        <v>34</v>
      </c>
      <c r="G10605" s="4" t="n">
        <v>4</v>
      </c>
      <c r="H10605" s="4" t="n">
        <v>3</v>
      </c>
      <c r="I10605" s="4" t="str">
        <v>○</v>
      </c>
      <c r="J10605" s="4" t="n">
        <v>140</v>
      </c>
      <c r="K10605" s="4"/>
      <c r="L10605" s="4"/>
      <c r="M10605" s="5" t="s">
        <v>6501</v>
      </c>
    </row>
    <row r="10606" customFormat="false" ht="15.75" hidden="false" customHeight="false" outlineLevel="0" collapsed="false">
      <c r="A10606" s="6" t="n">
        <v>46193</v>
      </c>
      <c r="B10606" s="4" t="s">
        <v>4172</v>
      </c>
      <c r="C10606" s="4" t="n">
        <v>4</v>
      </c>
      <c r="D10606" s="4" t="n">
        <v>10</v>
      </c>
      <c r="E10606" s="4"/>
      <c r="F10606" s="4" t="n">
        <v>6</v>
      </c>
      <c r="G10606" s="4" t="n">
        <v>9</v>
      </c>
      <c r="H10606" s="4" t="n">
        <v>4</v>
      </c>
      <c r="I10606" s="4" t="str">
        <v>×</v>
      </c>
      <c r="J10606" s="4"/>
      <c r="K10606" s="4"/>
      <c r="L10606" s="4"/>
      <c r="M10606" s="5" t="s">
        <v>6501</v>
      </c>
    </row>
    <row r="10607" customFormat="false" ht="15.75" hidden="false" customHeight="false" outlineLevel="0" collapsed="false">
      <c r="A10607" s="6" t="n">
        <v>46193</v>
      </c>
      <c r="B10607" s="4" t="s">
        <v>4172</v>
      </c>
      <c r="C10607" s="4" t="n">
        <v>4</v>
      </c>
      <c r="D10607" s="4" t="n">
        <v>11</v>
      </c>
      <c r="E10607" s="4"/>
      <c r="F10607" s="4" t="n">
        <v>4</v>
      </c>
      <c r="G10607" s="4" t="n">
        <v>10</v>
      </c>
      <c r="H10607" s="4" t="n">
        <v>4</v>
      </c>
      <c r="I10607" s="4" t="str">
        <v>×</v>
      </c>
      <c r="J10607" s="4"/>
      <c r="K10607" s="4"/>
      <c r="L10607" s="4"/>
      <c r="M10607" s="5" t="s">
        <v>6501</v>
      </c>
    </row>
    <row r="10608" customFormat="false" ht="15.75" hidden="false" customHeight="false" outlineLevel="0" collapsed="false">
      <c r="A10608" s="6" t="n">
        <v>46193</v>
      </c>
      <c r="B10608" s="4" t="s">
        <v>4172</v>
      </c>
      <c r="C10608" s="4" t="n">
        <v>4</v>
      </c>
      <c r="D10608" s="4" t="n">
        <v>12</v>
      </c>
      <c r="E10608" s="4"/>
      <c r="F10608" s="4" t="n">
        <v>37</v>
      </c>
      <c r="G10608" s="4" t="n">
        <v>3</v>
      </c>
      <c r="H10608" s="4" t="n">
        <v>4</v>
      </c>
      <c r="I10608" s="4" t="str">
        <v>×</v>
      </c>
      <c r="J10608" s="4"/>
      <c r="K10608" s="4"/>
      <c r="L10608" s="4"/>
      <c r="M10608" s="5" t="s">
        <v>6501</v>
      </c>
    </row>
    <row r="10609" customFormat="false" ht="15.75" hidden="false" customHeight="false" outlineLevel="0" collapsed="false">
      <c r="A10609" s="6" t="n">
        <v>46193</v>
      </c>
      <c r="B10609" s="4" t="s">
        <v>4172</v>
      </c>
      <c r="C10609" s="4" t="n">
        <v>4</v>
      </c>
      <c r="D10609" s="4" t="n">
        <v>13</v>
      </c>
      <c r="E10609" s="4"/>
      <c r="F10609" s="4" t="n">
        <v>52</v>
      </c>
      <c r="G10609" s="4" t="n">
        <v>1</v>
      </c>
      <c r="H10609" s="4" t="n">
        <v>2</v>
      </c>
      <c r="I10609" s="4" t="str">
        <v>○</v>
      </c>
      <c r="J10609" s="4" t="n">
        <v>130</v>
      </c>
      <c r="K10609" s="4"/>
      <c r="L10609" s="4"/>
      <c r="M10609" s="5" t="s">
        <v>6501</v>
      </c>
    </row>
    <row r="10610" customFormat="false" ht="15.75" hidden="false" customHeight="false" outlineLevel="0" collapsed="false">
      <c r="A10610" s="6" t="n">
        <v>46193</v>
      </c>
      <c r="B10610" s="4" t="s">
        <v>4172</v>
      </c>
      <c r="C10610" s="4" t="n">
        <v>4</v>
      </c>
      <c r="D10610" s="4" t="n">
        <v>14</v>
      </c>
      <c r="E10610" s="4"/>
      <c r="F10610" s="4" t="n">
        <v>8</v>
      </c>
      <c r="G10610" s="4" t="n">
        <v>8</v>
      </c>
      <c r="H10610" s="4" t="n">
        <v>4</v>
      </c>
      <c r="I10610" s="4" t="str">
        <v>×</v>
      </c>
      <c r="J10610" s="4"/>
      <c r="K10610" s="4"/>
      <c r="L10610" s="4"/>
      <c r="M10610" s="5" t="s">
        <v>6501</v>
      </c>
    </row>
    <row r="10611" customFormat="false" ht="15.75" hidden="false" customHeight="false" outlineLevel="0" collapsed="false">
      <c r="A10611" s="6" t="n">
        <v>46193</v>
      </c>
      <c r="B10611" s="4" t="s">
        <v>4172</v>
      </c>
      <c r="C10611" s="4" t="n">
        <v>4</v>
      </c>
      <c r="D10611" s="4" t="n">
        <v>15</v>
      </c>
      <c r="E10611" s="4"/>
      <c r="F10611" s="4" t="n">
        <v>8</v>
      </c>
      <c r="G10611" s="4" t="n">
        <v>8</v>
      </c>
      <c r="H10611" s="4" t="n">
        <v>4</v>
      </c>
      <c r="I10611" s="4" t="str">
        <v>×</v>
      </c>
      <c r="J10611" s="4"/>
      <c r="K10611" s="4"/>
      <c r="L10611" s="4"/>
      <c r="M10611" s="5" t="s">
        <v>6501</v>
      </c>
    </row>
    <row r="10612" customFormat="false" ht="15.75" hidden="false" customHeight="false" outlineLevel="0" collapsed="false">
      <c r="A10612" s="6" t="n">
        <v>46193</v>
      </c>
      <c r="B10612" s="4" t="s">
        <v>4172</v>
      </c>
      <c r="C10612" s="4" t="n">
        <v>4</v>
      </c>
      <c r="D10612" s="4" t="n">
        <v>16</v>
      </c>
      <c r="E10612" s="4"/>
      <c r="F10612" s="4" t="n">
        <v>10</v>
      </c>
      <c r="G10612" s="4" t="n">
        <v>7</v>
      </c>
      <c r="H10612" s="4" t="n">
        <v>4</v>
      </c>
      <c r="I10612" s="4" t="str">
        <v>×</v>
      </c>
      <c r="J10612" s="4"/>
      <c r="K10612" s="4"/>
      <c r="L10612" s="4"/>
      <c r="M10612" s="5" t="s">
        <v>6501</v>
      </c>
    </row>
    <row r="10613" customFormat="false" ht="15.75" hidden="false" customHeight="false" outlineLevel="0" collapsed="false">
      <c r="A10613" s="6" t="n">
        <v>46193</v>
      </c>
      <c r="B10613" s="4" t="s">
        <v>4172</v>
      </c>
      <c r="C10613" s="4" t="n">
        <v>5</v>
      </c>
      <c r="D10613" s="4" t="n">
        <v>1</v>
      </c>
      <c r="E10613" s="4"/>
      <c r="F10613" s="4" t="n">
        <v>27</v>
      </c>
      <c r="G10613" s="4" t="n">
        <v>3</v>
      </c>
      <c r="H10613" s="4" t="n">
        <v>4</v>
      </c>
      <c r="I10613" s="4" t="str">
        <v>×</v>
      </c>
      <c r="J10613" s="4"/>
      <c r="K10613" s="4"/>
      <c r="L10613" s="4"/>
      <c r="M10613" s="5" t="s">
        <v>6501</v>
      </c>
    </row>
    <row r="10614" customFormat="false" ht="15.75" hidden="false" customHeight="false" outlineLevel="0" collapsed="false">
      <c r="A10614" s="6" t="n">
        <v>46193</v>
      </c>
      <c r="B10614" s="4" t="s">
        <v>4172</v>
      </c>
      <c r="C10614" s="4" t="n">
        <v>5</v>
      </c>
      <c r="D10614" s="4" t="n">
        <v>2</v>
      </c>
      <c r="E10614" s="4"/>
      <c r="F10614" s="4" t="n">
        <v>16</v>
      </c>
      <c r="G10614" s="4" t="n">
        <v>6</v>
      </c>
      <c r="H10614" s="4" t="n">
        <v>3</v>
      </c>
      <c r="I10614" s="4" t="str">
        <v>○</v>
      </c>
      <c r="J10614" s="4" t="n">
        <v>760</v>
      </c>
      <c r="K10614" s="4"/>
      <c r="L10614" s="4"/>
      <c r="M10614" s="5" t="s">
        <v>6501</v>
      </c>
    </row>
    <row r="10615" customFormat="false" ht="15.75" hidden="false" customHeight="false" outlineLevel="0" collapsed="false">
      <c r="A10615" s="6" t="n">
        <v>46193</v>
      </c>
      <c r="B10615" s="4" t="s">
        <v>4172</v>
      </c>
      <c r="C10615" s="4" t="n">
        <v>5</v>
      </c>
      <c r="D10615" s="4" t="n">
        <v>3</v>
      </c>
      <c r="E10615" s="4"/>
      <c r="F10615" s="4" t="n">
        <v>31</v>
      </c>
      <c r="G10615" s="4" t="n">
        <v>2</v>
      </c>
      <c r="H10615" s="4" t="n">
        <v>4</v>
      </c>
      <c r="I10615" s="4" t="str">
        <v>×</v>
      </c>
      <c r="J10615" s="4"/>
      <c r="K10615" s="4"/>
      <c r="L10615" s="4"/>
      <c r="M10615" s="5" t="s">
        <v>6501</v>
      </c>
    </row>
    <row r="10616" customFormat="false" ht="15.75" hidden="false" customHeight="false" outlineLevel="0" collapsed="false">
      <c r="A10616" s="6" t="n">
        <v>46193</v>
      </c>
      <c r="B10616" s="4" t="s">
        <v>4172</v>
      </c>
      <c r="C10616" s="4" t="n">
        <v>5</v>
      </c>
      <c r="D10616" s="4" t="n">
        <v>4</v>
      </c>
      <c r="E10616" s="4"/>
      <c r="F10616" s="4" t="n">
        <v>21</v>
      </c>
      <c r="G10616" s="4" t="n">
        <v>5</v>
      </c>
      <c r="H10616" s="4" t="n">
        <v>4</v>
      </c>
      <c r="I10616" s="4" t="str">
        <v>×</v>
      </c>
      <c r="J10616" s="4"/>
      <c r="K10616" s="4"/>
      <c r="L10616" s="4"/>
      <c r="M10616" s="5" t="s">
        <v>6501</v>
      </c>
    </row>
    <row r="10617" customFormat="false" ht="15.75" hidden="false" customHeight="false" outlineLevel="0" collapsed="false">
      <c r="A10617" s="6" t="n">
        <v>46193</v>
      </c>
      <c r="B10617" s="4" t="s">
        <v>4172</v>
      </c>
      <c r="C10617" s="4" t="n">
        <v>5</v>
      </c>
      <c r="D10617" s="4" t="n">
        <v>5</v>
      </c>
      <c r="E10617" s="4"/>
      <c r="F10617" s="4" t="n">
        <v>21</v>
      </c>
      <c r="G10617" s="4" t="n">
        <v>5</v>
      </c>
      <c r="H10617" s="4" t="n">
        <v>4</v>
      </c>
      <c r="I10617" s="4" t="str">
        <v>×</v>
      </c>
      <c r="J10617" s="4"/>
      <c r="K10617" s="4"/>
      <c r="L10617" s="4"/>
      <c r="M10617" s="5" t="s">
        <v>6501</v>
      </c>
    </row>
    <row r="10618" customFormat="false" ht="15.75" hidden="false" customHeight="false" outlineLevel="0" collapsed="false">
      <c r="A10618" s="6" t="n">
        <v>46193</v>
      </c>
      <c r="B10618" s="4" t="s">
        <v>4172</v>
      </c>
      <c r="C10618" s="4" t="n">
        <v>5</v>
      </c>
      <c r="D10618" s="4" t="n">
        <v>6</v>
      </c>
      <c r="E10618" s="4"/>
      <c r="F10618" s="4" t="n">
        <v>24</v>
      </c>
      <c r="G10618" s="4" t="n">
        <v>4</v>
      </c>
      <c r="H10618" s="4" t="n">
        <v>4</v>
      </c>
      <c r="I10618" s="4" t="str">
        <v>×</v>
      </c>
      <c r="J10618" s="4"/>
      <c r="K10618" s="4"/>
      <c r="L10618" s="4"/>
      <c r="M10618" s="5" t="s">
        <v>6501</v>
      </c>
    </row>
    <row r="10619" customFormat="false" ht="15.75" hidden="false" customHeight="false" outlineLevel="0" collapsed="false">
      <c r="A10619" s="6" t="n">
        <v>46193</v>
      </c>
      <c r="B10619" s="4" t="s">
        <v>4172</v>
      </c>
      <c r="C10619" s="4" t="n">
        <v>5</v>
      </c>
      <c r="D10619" s="4" t="n">
        <v>7</v>
      </c>
      <c r="E10619" s="4"/>
      <c r="F10619" s="4" t="n">
        <v>27</v>
      </c>
      <c r="G10619" s="4" t="n">
        <v>3</v>
      </c>
      <c r="H10619" s="4" t="n">
        <v>4</v>
      </c>
      <c r="I10619" s="4" t="str">
        <v>×</v>
      </c>
      <c r="J10619" s="4"/>
      <c r="K10619" s="4"/>
      <c r="L10619" s="4"/>
      <c r="M10619" s="5" t="s">
        <v>6501</v>
      </c>
    </row>
    <row r="10620" customFormat="false" ht="15.75" hidden="false" customHeight="false" outlineLevel="0" collapsed="false">
      <c r="A10620" s="6" t="n">
        <v>46193</v>
      </c>
      <c r="B10620" s="4" t="s">
        <v>4172</v>
      </c>
      <c r="C10620" s="4" t="n">
        <v>5</v>
      </c>
      <c r="D10620" s="4" t="n">
        <v>8</v>
      </c>
      <c r="E10620" s="4"/>
      <c r="F10620" s="4" t="n">
        <v>37</v>
      </c>
      <c r="G10620" s="4" t="n">
        <v>1</v>
      </c>
      <c r="H10620" s="4" t="n">
        <v>2</v>
      </c>
      <c r="I10620" s="4" t="str">
        <v>○</v>
      </c>
      <c r="J10620" s="4" t="n">
        <v>150</v>
      </c>
      <c r="K10620" s="4"/>
      <c r="L10620" s="4"/>
      <c r="M10620" s="5" t="s">
        <v>6501</v>
      </c>
    </row>
    <row r="10621" customFormat="false" ht="15.75" hidden="false" customHeight="false" outlineLevel="0" collapsed="false">
      <c r="A10621" s="6" t="n">
        <v>46193</v>
      </c>
      <c r="B10621" s="4" t="s">
        <v>4172</v>
      </c>
      <c r="C10621" s="4" t="n">
        <v>5</v>
      </c>
      <c r="D10621" s="4" t="n">
        <v>9</v>
      </c>
      <c r="E10621" s="4"/>
      <c r="F10621" s="4" t="n">
        <v>21</v>
      </c>
      <c r="G10621" s="4" t="n">
        <v>5</v>
      </c>
      <c r="H10621" s="4" t="n">
        <v>1</v>
      </c>
      <c r="I10621" s="4" t="str">
        <v>○</v>
      </c>
      <c r="J10621" s="4" t="n">
        <v>410</v>
      </c>
      <c r="K10621" s="4"/>
      <c r="L10621" s="4"/>
      <c r="M10621" s="5" t="s">
        <v>6501</v>
      </c>
    </row>
    <row r="10622" customFormat="false" ht="15.75" hidden="false" customHeight="false" outlineLevel="0" collapsed="false">
      <c r="A10622" s="6" t="n">
        <v>46193</v>
      </c>
      <c r="B10622" s="4" t="s">
        <v>4172</v>
      </c>
      <c r="C10622" s="4" t="n">
        <v>6</v>
      </c>
      <c r="D10622" s="4" t="n">
        <v>1</v>
      </c>
      <c r="E10622" s="4"/>
      <c r="F10622" s="4" t="n">
        <v>20</v>
      </c>
      <c r="G10622" s="4" t="n">
        <v>7</v>
      </c>
      <c r="H10622" s="4" t="n">
        <v>4</v>
      </c>
      <c r="I10622" s="4" t="str">
        <v>×</v>
      </c>
      <c r="J10622" s="4"/>
      <c r="K10622" s="4"/>
      <c r="L10622" s="4"/>
      <c r="M10622" s="5" t="s">
        <v>6501</v>
      </c>
    </row>
    <row r="10623" customFormat="false" ht="15.75" hidden="false" customHeight="false" outlineLevel="0" collapsed="false">
      <c r="A10623" s="6" t="n">
        <v>46193</v>
      </c>
      <c r="B10623" s="4" t="s">
        <v>4172</v>
      </c>
      <c r="C10623" s="4" t="n">
        <v>6</v>
      </c>
      <c r="D10623" s="4" t="n">
        <v>2</v>
      </c>
      <c r="E10623" s="4"/>
      <c r="F10623" s="4" t="n">
        <v>13</v>
      </c>
      <c r="G10623" s="4" t="n">
        <v>8</v>
      </c>
      <c r="H10623" s="4" t="n">
        <v>4</v>
      </c>
      <c r="I10623" s="4" t="str">
        <v>×</v>
      </c>
      <c r="J10623" s="4"/>
      <c r="K10623" s="4"/>
      <c r="L10623" s="4"/>
      <c r="M10623" s="5" t="s">
        <v>6501</v>
      </c>
    </row>
    <row r="10624" customFormat="false" ht="15.75" hidden="false" customHeight="false" outlineLevel="0" collapsed="false">
      <c r="A10624" s="6" t="n">
        <v>46193</v>
      </c>
      <c r="B10624" s="4" t="s">
        <v>4172</v>
      </c>
      <c r="C10624" s="4" t="n">
        <v>6</v>
      </c>
      <c r="D10624" s="4" t="n">
        <v>3</v>
      </c>
      <c r="E10624" s="4"/>
      <c r="F10624" s="4" t="n">
        <v>39</v>
      </c>
      <c r="G10624" s="4" t="n">
        <v>2</v>
      </c>
      <c r="H10624" s="4" t="n">
        <v>4</v>
      </c>
      <c r="I10624" s="4" t="str">
        <v>×</v>
      </c>
      <c r="J10624" s="4"/>
      <c r="K10624" s="4"/>
      <c r="L10624" s="4"/>
      <c r="M10624" s="5" t="s">
        <v>6501</v>
      </c>
    </row>
    <row r="10625" customFormat="false" ht="15.75" hidden="false" customHeight="false" outlineLevel="0" collapsed="false">
      <c r="A10625" s="6" t="n">
        <v>46193</v>
      </c>
      <c r="B10625" s="4" t="s">
        <v>4172</v>
      </c>
      <c r="C10625" s="4" t="n">
        <v>6</v>
      </c>
      <c r="D10625" s="4" t="n">
        <v>4</v>
      </c>
      <c r="E10625" s="4"/>
      <c r="F10625" s="4" t="n">
        <v>25</v>
      </c>
      <c r="G10625" s="4" t="n">
        <v>6</v>
      </c>
      <c r="H10625" s="4" t="n">
        <v>2</v>
      </c>
      <c r="I10625" s="4" t="str">
        <v>○</v>
      </c>
      <c r="J10625" s="4" t="n">
        <v>220</v>
      </c>
      <c r="K10625" s="4"/>
      <c r="L10625" s="4"/>
      <c r="M10625" s="5" t="s">
        <v>6501</v>
      </c>
    </row>
    <row r="10626" customFormat="false" ht="15.75" hidden="false" customHeight="false" outlineLevel="0" collapsed="false">
      <c r="A10626" s="6" t="n">
        <v>46193</v>
      </c>
      <c r="B10626" s="4" t="s">
        <v>4172</v>
      </c>
      <c r="C10626" s="4" t="n">
        <v>6</v>
      </c>
      <c r="D10626" s="4" t="n">
        <v>5</v>
      </c>
      <c r="E10626" s="4"/>
      <c r="F10626" s="4" t="n">
        <v>8</v>
      </c>
      <c r="G10626" s="4" t="n">
        <v>9</v>
      </c>
      <c r="H10626" s="4" t="n">
        <v>4</v>
      </c>
      <c r="I10626" s="4" t="str">
        <v>×</v>
      </c>
      <c r="J10626" s="4"/>
      <c r="K10626" s="4"/>
      <c r="L10626" s="4"/>
      <c r="M10626" s="5" t="s">
        <v>6501</v>
      </c>
    </row>
    <row r="10627" customFormat="false" ht="15.75" hidden="false" customHeight="false" outlineLevel="0" collapsed="false">
      <c r="A10627" s="6" t="n">
        <v>46193</v>
      </c>
      <c r="B10627" s="4" t="s">
        <v>4172</v>
      </c>
      <c r="C10627" s="4" t="n">
        <v>6</v>
      </c>
      <c r="D10627" s="4" t="n">
        <v>6</v>
      </c>
      <c r="E10627" s="4"/>
      <c r="F10627" s="4" t="n">
        <v>4</v>
      </c>
      <c r="G10627" s="4" t="n">
        <v>11</v>
      </c>
      <c r="H10627" s="4" t="n">
        <v>4</v>
      </c>
      <c r="I10627" s="4" t="str">
        <v>×</v>
      </c>
      <c r="J10627" s="4"/>
      <c r="K10627" s="4"/>
      <c r="L10627" s="4"/>
      <c r="M10627" s="5" t="s">
        <v>6501</v>
      </c>
    </row>
    <row r="10628" customFormat="false" ht="15.75" hidden="false" customHeight="false" outlineLevel="0" collapsed="false">
      <c r="A10628" s="6" t="n">
        <v>46193</v>
      </c>
      <c r="B10628" s="4" t="s">
        <v>4172</v>
      </c>
      <c r="C10628" s="4" t="n">
        <v>6</v>
      </c>
      <c r="D10628" s="4" t="n">
        <v>7</v>
      </c>
      <c r="E10628" s="4"/>
      <c r="F10628" s="4" t="n">
        <v>66</v>
      </c>
      <c r="G10628" s="4" t="n">
        <v>1</v>
      </c>
      <c r="H10628" s="4" t="n">
        <v>1</v>
      </c>
      <c r="I10628" s="4" t="str">
        <v>○</v>
      </c>
      <c r="J10628" s="4" t="n">
        <v>130</v>
      </c>
      <c r="K10628" s="4"/>
      <c r="L10628" s="4"/>
      <c r="M10628" s="5" t="s">
        <v>6501</v>
      </c>
    </row>
    <row r="10629" customFormat="false" ht="15.75" hidden="false" customHeight="false" outlineLevel="0" collapsed="false">
      <c r="A10629" s="6" t="n">
        <v>46193</v>
      </c>
      <c r="B10629" s="4" t="s">
        <v>4172</v>
      </c>
      <c r="C10629" s="4" t="n">
        <v>6</v>
      </c>
      <c r="D10629" s="4" t="n">
        <v>8</v>
      </c>
      <c r="E10629" s="4"/>
      <c r="F10629" s="4" t="n">
        <v>4</v>
      </c>
      <c r="G10629" s="4" t="n">
        <v>11</v>
      </c>
      <c r="H10629" s="4" t="n">
        <v>4</v>
      </c>
      <c r="I10629" s="4" t="str">
        <v>×</v>
      </c>
      <c r="J10629" s="4"/>
      <c r="K10629" s="4"/>
      <c r="L10629" s="4"/>
      <c r="M10629" s="5" t="s">
        <v>6501</v>
      </c>
    </row>
    <row r="10630" customFormat="false" ht="15.75" hidden="false" customHeight="false" outlineLevel="0" collapsed="false">
      <c r="A10630" s="6" t="n">
        <v>46193</v>
      </c>
      <c r="B10630" s="4" t="s">
        <v>4172</v>
      </c>
      <c r="C10630" s="4" t="n">
        <v>6</v>
      </c>
      <c r="D10630" s="4" t="n">
        <v>9</v>
      </c>
      <c r="E10630" s="4"/>
      <c r="F10630" s="4" t="n">
        <v>1</v>
      </c>
      <c r="G10630" s="4" t="n">
        <v>12</v>
      </c>
      <c r="H10630" s="4" t="n">
        <v>4</v>
      </c>
      <c r="I10630" s="4" t="str">
        <v>×</v>
      </c>
      <c r="J10630" s="4"/>
      <c r="K10630" s="4"/>
      <c r="L10630" s="4"/>
      <c r="M10630" s="5" t="s">
        <v>6501</v>
      </c>
    </row>
    <row r="10631" customFormat="false" ht="15.75" hidden="false" customHeight="false" outlineLevel="0" collapsed="false">
      <c r="A10631" s="6" t="n">
        <v>46193</v>
      </c>
      <c r="B10631" s="4" t="s">
        <v>4172</v>
      </c>
      <c r="C10631" s="4" t="n">
        <v>6</v>
      </c>
      <c r="D10631" s="4" t="n">
        <v>10</v>
      </c>
      <c r="E10631" s="4"/>
      <c r="F10631" s="4" t="n">
        <v>4</v>
      </c>
      <c r="G10631" s="4" t="n">
        <v>11</v>
      </c>
      <c r="H10631" s="4" t="n">
        <v>4</v>
      </c>
      <c r="I10631" s="4" t="str">
        <v>×</v>
      </c>
      <c r="J10631" s="4"/>
      <c r="K10631" s="4"/>
      <c r="L10631" s="4"/>
      <c r="M10631" s="5" t="s">
        <v>6501</v>
      </c>
    </row>
    <row r="10632" customFormat="false" ht="15.75" hidden="false" customHeight="false" outlineLevel="0" collapsed="false">
      <c r="A10632" s="6" t="n">
        <v>46193</v>
      </c>
      <c r="B10632" s="4" t="s">
        <v>4172</v>
      </c>
      <c r="C10632" s="4" t="n">
        <v>6</v>
      </c>
      <c r="D10632" s="4" t="n">
        <v>11</v>
      </c>
      <c r="E10632" s="4"/>
      <c r="F10632" s="4" t="n">
        <v>4</v>
      </c>
      <c r="G10632" s="4" t="n">
        <v>11</v>
      </c>
      <c r="H10632" s="4" t="n">
        <v>4</v>
      </c>
      <c r="I10632" s="4" t="str">
        <v>×</v>
      </c>
      <c r="J10632" s="4"/>
      <c r="K10632" s="4"/>
      <c r="L10632" s="4"/>
      <c r="M10632" s="5" t="s">
        <v>6501</v>
      </c>
    </row>
    <row r="10633" customFormat="false" ht="15.75" hidden="false" customHeight="false" outlineLevel="0" collapsed="false">
      <c r="A10633" s="6" t="n">
        <v>46193</v>
      </c>
      <c r="B10633" s="4" t="s">
        <v>4172</v>
      </c>
      <c r="C10633" s="4" t="n">
        <v>6</v>
      </c>
      <c r="D10633" s="4" t="n">
        <v>12</v>
      </c>
      <c r="E10633" s="4"/>
      <c r="F10633" s="4" t="n">
        <v>6</v>
      </c>
      <c r="G10633" s="4" t="n">
        <v>10</v>
      </c>
      <c r="H10633" s="4" t="n">
        <v>4</v>
      </c>
      <c r="I10633" s="4" t="str">
        <v>×</v>
      </c>
      <c r="J10633" s="4"/>
      <c r="K10633" s="4"/>
      <c r="L10633" s="4"/>
      <c r="M10633" s="5" t="s">
        <v>6501</v>
      </c>
    </row>
    <row r="10634" customFormat="false" ht="15.75" hidden="false" customHeight="false" outlineLevel="0" collapsed="false">
      <c r="A10634" s="6" t="n">
        <v>46193</v>
      </c>
      <c r="B10634" s="4" t="s">
        <v>4172</v>
      </c>
      <c r="C10634" s="4" t="n">
        <v>6</v>
      </c>
      <c r="D10634" s="4" t="n">
        <v>13</v>
      </c>
      <c r="E10634" s="4"/>
      <c r="F10634" s="4" t="n">
        <v>6</v>
      </c>
      <c r="G10634" s="4" t="n">
        <v>10</v>
      </c>
      <c r="H10634" s="4" t="n">
        <v>4</v>
      </c>
      <c r="I10634" s="4" t="str">
        <v>×</v>
      </c>
      <c r="J10634" s="4"/>
      <c r="K10634" s="4"/>
      <c r="L10634" s="4"/>
      <c r="M10634" s="5" t="s">
        <v>6501</v>
      </c>
    </row>
    <row r="10635" customFormat="false" ht="15.75" hidden="false" customHeight="false" outlineLevel="0" collapsed="false">
      <c r="A10635" s="6" t="n">
        <v>46193</v>
      </c>
      <c r="B10635" s="4" t="s">
        <v>4172</v>
      </c>
      <c r="C10635" s="4" t="n">
        <v>6</v>
      </c>
      <c r="D10635" s="4" t="n">
        <v>14</v>
      </c>
      <c r="E10635" s="4"/>
      <c r="F10635" s="4" t="n">
        <v>29</v>
      </c>
      <c r="G10635" s="4" t="n">
        <v>5</v>
      </c>
      <c r="H10635" s="4" t="n">
        <v>4</v>
      </c>
      <c r="I10635" s="4" t="str">
        <v>×</v>
      </c>
      <c r="J10635" s="4"/>
      <c r="K10635" s="4"/>
      <c r="L10635" s="4"/>
      <c r="M10635" s="5" t="s">
        <v>6501</v>
      </c>
    </row>
    <row r="10636" customFormat="false" ht="15.75" hidden="false" customHeight="false" outlineLevel="0" collapsed="false">
      <c r="A10636" s="6" t="n">
        <v>46193</v>
      </c>
      <c r="B10636" s="4" t="s">
        <v>4172</v>
      </c>
      <c r="C10636" s="4" t="n">
        <v>6</v>
      </c>
      <c r="D10636" s="4" t="n">
        <v>15</v>
      </c>
      <c r="E10636" s="4"/>
      <c r="F10636" s="4" t="n">
        <v>13</v>
      </c>
      <c r="G10636" s="4" t="n">
        <v>8</v>
      </c>
      <c r="H10636" s="4" t="n">
        <v>4</v>
      </c>
      <c r="I10636" s="4" t="str">
        <v>×</v>
      </c>
      <c r="J10636" s="4"/>
      <c r="K10636" s="4"/>
      <c r="L10636" s="4"/>
      <c r="M10636" s="5" t="s">
        <v>6501</v>
      </c>
    </row>
    <row r="10637" customFormat="false" ht="15.75" hidden="false" customHeight="false" outlineLevel="0" collapsed="false">
      <c r="A10637" s="6" t="n">
        <v>46193</v>
      </c>
      <c r="B10637" s="4" t="s">
        <v>4172</v>
      </c>
      <c r="C10637" s="4" t="n">
        <v>6</v>
      </c>
      <c r="D10637" s="4" t="n">
        <v>16</v>
      </c>
      <c r="E10637" s="4"/>
      <c r="F10637" s="4" t="n">
        <v>34</v>
      </c>
      <c r="G10637" s="4" t="n">
        <v>3</v>
      </c>
      <c r="H10637" s="4" t="n">
        <v>3</v>
      </c>
      <c r="I10637" s="4" t="str">
        <v>○</v>
      </c>
      <c r="J10637" s="4" t="n">
        <v>190</v>
      </c>
      <c r="K10637" s="4"/>
      <c r="L10637" s="4"/>
      <c r="M10637" s="5" t="s">
        <v>6501</v>
      </c>
    </row>
    <row r="10638" customFormat="false" ht="15.75" hidden="false" customHeight="false" outlineLevel="0" collapsed="false">
      <c r="A10638" s="6" t="n">
        <v>46193</v>
      </c>
      <c r="B10638" s="4" t="s">
        <v>4172</v>
      </c>
      <c r="C10638" s="4" t="n">
        <v>6</v>
      </c>
      <c r="D10638" s="4" t="n">
        <v>17</v>
      </c>
      <c r="E10638" s="4"/>
      <c r="F10638" s="4" t="n">
        <v>31</v>
      </c>
      <c r="G10638" s="4" t="n">
        <v>4</v>
      </c>
      <c r="H10638" s="4" t="n">
        <v>4</v>
      </c>
      <c r="I10638" s="4" t="str">
        <v>×</v>
      </c>
      <c r="J10638" s="4"/>
      <c r="K10638" s="4"/>
      <c r="L10638" s="4"/>
      <c r="M10638" s="5" t="s">
        <v>6501</v>
      </c>
    </row>
    <row r="10639" customFormat="false" ht="15.75" hidden="false" customHeight="false" outlineLevel="0" collapsed="false">
      <c r="A10639" s="6" t="n">
        <v>46193</v>
      </c>
      <c r="B10639" s="4" t="s">
        <v>4172</v>
      </c>
      <c r="C10639" s="4" t="n">
        <v>6</v>
      </c>
      <c r="D10639" s="4" t="n">
        <v>18</v>
      </c>
      <c r="E10639" s="4"/>
      <c r="F10639" s="4" t="n">
        <v>8</v>
      </c>
      <c r="G10639" s="4" t="n">
        <v>9</v>
      </c>
      <c r="H10639" s="4" t="n">
        <v>4</v>
      </c>
      <c r="I10639" s="4" t="str">
        <v>×</v>
      </c>
      <c r="J10639" s="4"/>
      <c r="K10639" s="4"/>
      <c r="L10639" s="4"/>
      <c r="M10639" s="5" t="s">
        <v>6501</v>
      </c>
    </row>
    <row r="10640" customFormat="false" ht="15.75" hidden="false" customHeight="false" outlineLevel="0" collapsed="false">
      <c r="A10640" s="6" t="n">
        <v>46193</v>
      </c>
      <c r="B10640" s="4" t="s">
        <v>4172</v>
      </c>
      <c r="C10640" s="4" t="n">
        <v>7</v>
      </c>
      <c r="D10640" s="4" t="n">
        <v>1</v>
      </c>
      <c r="E10640" s="4"/>
      <c r="F10640" s="4" t="n">
        <v>23</v>
      </c>
      <c r="G10640" s="4" t="n">
        <v>7</v>
      </c>
      <c r="H10640" s="4" t="n">
        <v>4</v>
      </c>
      <c r="I10640" s="4" t="str">
        <v>×</v>
      </c>
      <c r="J10640" s="4"/>
      <c r="K10640" s="4"/>
      <c r="L10640" s="4"/>
      <c r="M10640" s="5" t="s">
        <v>6501</v>
      </c>
    </row>
    <row r="10641" customFormat="false" ht="15.75" hidden="false" customHeight="false" outlineLevel="0" collapsed="false">
      <c r="A10641" s="6" t="n">
        <v>46193</v>
      </c>
      <c r="B10641" s="4" t="s">
        <v>4172</v>
      </c>
      <c r="C10641" s="4" t="n">
        <v>7</v>
      </c>
      <c r="D10641" s="4" t="n">
        <v>2</v>
      </c>
      <c r="E10641" s="4"/>
      <c r="F10641" s="4" t="n">
        <v>34</v>
      </c>
      <c r="G10641" s="4" t="n">
        <v>3</v>
      </c>
      <c r="H10641" s="4" t="n">
        <v>2</v>
      </c>
      <c r="I10641" s="4" t="str">
        <v>○</v>
      </c>
      <c r="J10641" s="4" t="n">
        <v>220</v>
      </c>
      <c r="K10641" s="4"/>
      <c r="L10641" s="4"/>
      <c r="M10641" s="5" t="s">
        <v>6501</v>
      </c>
    </row>
    <row r="10642" customFormat="false" ht="15.75" hidden="false" customHeight="false" outlineLevel="0" collapsed="false">
      <c r="A10642" s="6" t="n">
        <v>46193</v>
      </c>
      <c r="B10642" s="4" t="s">
        <v>4172</v>
      </c>
      <c r="C10642" s="4" t="n">
        <v>7</v>
      </c>
      <c r="D10642" s="4" t="n">
        <v>3</v>
      </c>
      <c r="E10642" s="4"/>
      <c r="F10642" s="4" t="n">
        <v>29</v>
      </c>
      <c r="G10642" s="4" t="n">
        <v>5</v>
      </c>
      <c r="H10642" s="4" t="n">
        <v>3</v>
      </c>
      <c r="I10642" s="4" t="str">
        <v>○</v>
      </c>
      <c r="J10642" s="4" t="n">
        <v>300</v>
      </c>
      <c r="K10642" s="4"/>
      <c r="L10642" s="4"/>
      <c r="M10642" s="5" t="s">
        <v>6501</v>
      </c>
    </row>
    <row r="10643" customFormat="false" ht="15.75" hidden="false" customHeight="false" outlineLevel="0" collapsed="false">
      <c r="A10643" s="6" t="n">
        <v>46193</v>
      </c>
      <c r="B10643" s="4" t="s">
        <v>4172</v>
      </c>
      <c r="C10643" s="4" t="n">
        <v>7</v>
      </c>
      <c r="D10643" s="4" t="n">
        <v>4</v>
      </c>
      <c r="E10643" s="4"/>
      <c r="F10643" s="4" t="n">
        <v>15</v>
      </c>
      <c r="G10643" s="4" t="n">
        <v>8</v>
      </c>
      <c r="H10643" s="4" t="n">
        <v>4</v>
      </c>
      <c r="I10643" s="4" t="str">
        <v>×</v>
      </c>
      <c r="J10643" s="4"/>
      <c r="K10643" s="4"/>
      <c r="L10643" s="4"/>
      <c r="M10643" s="5" t="s">
        <v>6501</v>
      </c>
    </row>
    <row r="10644" customFormat="false" ht="15.75" hidden="false" customHeight="false" outlineLevel="0" collapsed="false">
      <c r="A10644" s="6" t="n">
        <v>46193</v>
      </c>
      <c r="B10644" s="4" t="s">
        <v>4172</v>
      </c>
      <c r="C10644" s="4" t="n">
        <v>7</v>
      </c>
      <c r="D10644" s="4" t="n">
        <v>5</v>
      </c>
      <c r="E10644" s="4"/>
      <c r="F10644" s="4" t="n">
        <v>66</v>
      </c>
      <c r="G10644" s="4" t="n">
        <v>1</v>
      </c>
      <c r="H10644" s="4" t="n">
        <v>1</v>
      </c>
      <c r="I10644" s="4" t="str">
        <v>○</v>
      </c>
      <c r="J10644" s="4" t="n">
        <v>120</v>
      </c>
      <c r="K10644" s="4"/>
      <c r="L10644" s="4"/>
      <c r="M10644" s="5" t="s">
        <v>6501</v>
      </c>
    </row>
    <row r="10645" customFormat="false" ht="15.75" hidden="false" customHeight="false" outlineLevel="0" collapsed="false">
      <c r="A10645" s="6" t="n">
        <v>46193</v>
      </c>
      <c r="B10645" s="4" t="s">
        <v>4172</v>
      </c>
      <c r="C10645" s="4" t="n">
        <v>7</v>
      </c>
      <c r="D10645" s="4" t="n">
        <v>6</v>
      </c>
      <c r="E10645" s="4"/>
      <c r="F10645" s="4" t="n">
        <v>6</v>
      </c>
      <c r="G10645" s="4" t="n">
        <v>12</v>
      </c>
      <c r="H10645" s="4" t="n">
        <v>4</v>
      </c>
      <c r="I10645" s="4" t="str">
        <v>×</v>
      </c>
      <c r="J10645" s="4"/>
      <c r="K10645" s="4"/>
      <c r="L10645" s="4"/>
      <c r="M10645" s="5" t="s">
        <v>6501</v>
      </c>
    </row>
    <row r="10646" customFormat="false" ht="15.75" hidden="false" customHeight="false" outlineLevel="0" collapsed="false">
      <c r="A10646" s="6" t="n">
        <v>46193</v>
      </c>
      <c r="B10646" s="4" t="s">
        <v>4172</v>
      </c>
      <c r="C10646" s="4" t="n">
        <v>7</v>
      </c>
      <c r="D10646" s="4" t="n">
        <v>7</v>
      </c>
      <c r="E10646" s="4"/>
      <c r="F10646" s="4" t="n">
        <v>52</v>
      </c>
      <c r="G10646" s="4" t="n">
        <v>2</v>
      </c>
      <c r="H10646" s="4" t="n">
        <v>4</v>
      </c>
      <c r="I10646" s="4" t="str">
        <v>×</v>
      </c>
      <c r="J10646" s="4"/>
      <c r="K10646" s="4"/>
      <c r="L10646" s="4"/>
      <c r="M10646" s="5" t="s">
        <v>6501</v>
      </c>
    </row>
    <row r="10647" customFormat="false" ht="15.75" hidden="false" customHeight="false" outlineLevel="0" collapsed="false">
      <c r="A10647" s="6" t="n">
        <v>46193</v>
      </c>
      <c r="B10647" s="4" t="s">
        <v>4172</v>
      </c>
      <c r="C10647" s="4" t="n">
        <v>7</v>
      </c>
      <c r="D10647" s="4" t="n">
        <v>8</v>
      </c>
      <c r="E10647" s="4"/>
      <c r="F10647" s="4" t="n">
        <v>8</v>
      </c>
      <c r="G10647" s="4" t="n">
        <v>11</v>
      </c>
      <c r="H10647" s="4" t="n">
        <v>4</v>
      </c>
      <c r="I10647" s="4" t="str">
        <v>×</v>
      </c>
      <c r="J10647" s="4"/>
      <c r="K10647" s="4"/>
      <c r="L10647" s="4"/>
      <c r="M10647" s="5" t="s">
        <v>6501</v>
      </c>
    </row>
    <row r="10648" customFormat="false" ht="15.75" hidden="false" customHeight="false" outlineLevel="0" collapsed="false">
      <c r="A10648" s="6" t="n">
        <v>46193</v>
      </c>
      <c r="B10648" s="4" t="s">
        <v>4172</v>
      </c>
      <c r="C10648" s="4" t="n">
        <v>7</v>
      </c>
      <c r="D10648" s="4" t="n">
        <v>9</v>
      </c>
      <c r="E10648" s="4"/>
      <c r="F10648" s="4" t="n">
        <v>13</v>
      </c>
      <c r="G10648" s="4" t="n">
        <v>9</v>
      </c>
      <c r="H10648" s="4" t="n">
        <v>4</v>
      </c>
      <c r="I10648" s="4" t="str">
        <v>×</v>
      </c>
      <c r="J10648" s="4"/>
      <c r="K10648" s="4"/>
      <c r="L10648" s="4"/>
      <c r="M10648" s="5" t="s">
        <v>6501</v>
      </c>
    </row>
    <row r="10649" customFormat="false" ht="15.75" hidden="false" customHeight="false" outlineLevel="0" collapsed="false">
      <c r="A10649" s="6" t="n">
        <v>46193</v>
      </c>
      <c r="B10649" s="4" t="s">
        <v>4172</v>
      </c>
      <c r="C10649" s="4" t="n">
        <v>7</v>
      </c>
      <c r="D10649" s="4" t="n">
        <v>10</v>
      </c>
      <c r="E10649" s="4"/>
      <c r="F10649" s="4" t="n">
        <v>1</v>
      </c>
      <c r="G10649" s="4" t="n">
        <v>13</v>
      </c>
      <c r="H10649" s="4" t="n">
        <v>4</v>
      </c>
      <c r="I10649" s="4" t="str">
        <v>×</v>
      </c>
      <c r="J10649" s="4"/>
      <c r="K10649" s="4"/>
      <c r="L10649" s="4"/>
      <c r="M10649" s="5" t="s">
        <v>6501</v>
      </c>
    </row>
    <row r="10650" customFormat="false" ht="15.75" hidden="false" customHeight="false" outlineLevel="0" collapsed="false">
      <c r="A10650" s="6" t="n">
        <v>46193</v>
      </c>
      <c r="B10650" s="4" t="s">
        <v>4172</v>
      </c>
      <c r="C10650" s="4" t="n">
        <v>7</v>
      </c>
      <c r="D10650" s="4" t="n">
        <v>11</v>
      </c>
      <c r="E10650" s="4"/>
      <c r="F10650" s="4" t="n">
        <v>25</v>
      </c>
      <c r="G10650" s="4" t="n">
        <v>6</v>
      </c>
      <c r="H10650" s="4" t="n">
        <v>4</v>
      </c>
      <c r="I10650" s="4" t="str">
        <v>×</v>
      </c>
      <c r="J10650" s="4"/>
      <c r="K10650" s="4"/>
      <c r="L10650" s="4"/>
      <c r="M10650" s="5" t="s">
        <v>6501</v>
      </c>
    </row>
    <row r="10651" customFormat="false" ht="15.75" hidden="false" customHeight="false" outlineLevel="0" collapsed="false">
      <c r="A10651" s="6" t="n">
        <v>46193</v>
      </c>
      <c r="B10651" s="4" t="s">
        <v>4172</v>
      </c>
      <c r="C10651" s="4" t="n">
        <v>7</v>
      </c>
      <c r="D10651" s="4" t="n">
        <v>12</v>
      </c>
      <c r="E10651" s="4"/>
      <c r="F10651" s="4" t="n">
        <v>6</v>
      </c>
      <c r="G10651" s="4" t="n">
        <v>12</v>
      </c>
      <c r="H10651" s="4" t="n">
        <v>4</v>
      </c>
      <c r="I10651" s="4" t="str">
        <v>×</v>
      </c>
      <c r="J10651" s="4"/>
      <c r="K10651" s="4"/>
      <c r="L10651" s="4"/>
      <c r="M10651" s="5" t="s">
        <v>6501</v>
      </c>
    </row>
    <row r="10652" customFormat="false" ht="15.75" hidden="false" customHeight="false" outlineLevel="0" collapsed="false">
      <c r="A10652" s="6" t="n">
        <v>46193</v>
      </c>
      <c r="B10652" s="4" t="s">
        <v>4172</v>
      </c>
      <c r="C10652" s="4" t="n">
        <v>7</v>
      </c>
      <c r="D10652" s="4" t="n">
        <v>13</v>
      </c>
      <c r="E10652" s="4"/>
      <c r="F10652" s="4" t="n">
        <v>10</v>
      </c>
      <c r="G10652" s="4" t="n">
        <v>10</v>
      </c>
      <c r="H10652" s="4" t="n">
        <v>4</v>
      </c>
      <c r="I10652" s="4" t="str">
        <v>×</v>
      </c>
      <c r="J10652" s="4"/>
      <c r="K10652" s="4"/>
      <c r="L10652" s="4"/>
      <c r="M10652" s="5" t="s">
        <v>6501</v>
      </c>
    </row>
    <row r="10653" customFormat="false" ht="15.75" hidden="false" customHeight="false" outlineLevel="0" collapsed="false">
      <c r="A10653" s="6" t="n">
        <v>46193</v>
      </c>
      <c r="B10653" s="4" t="s">
        <v>4172</v>
      </c>
      <c r="C10653" s="4" t="n">
        <v>7</v>
      </c>
      <c r="D10653" s="4" t="n">
        <v>14</v>
      </c>
      <c r="E10653" s="4"/>
      <c r="F10653" s="4" t="n">
        <v>10</v>
      </c>
      <c r="G10653" s="4" t="n">
        <v>10</v>
      </c>
      <c r="H10653" s="4" t="n">
        <v>4</v>
      </c>
      <c r="I10653" s="4" t="str">
        <v>×</v>
      </c>
      <c r="J10653" s="4"/>
      <c r="K10653" s="4"/>
      <c r="L10653" s="4"/>
      <c r="M10653" s="5" t="s">
        <v>6501</v>
      </c>
    </row>
    <row r="10654" customFormat="false" ht="15.75" hidden="false" customHeight="false" outlineLevel="0" collapsed="false">
      <c r="A10654" s="6" t="n">
        <v>46193</v>
      </c>
      <c r="B10654" s="4" t="s">
        <v>4172</v>
      </c>
      <c r="C10654" s="4" t="n">
        <v>7</v>
      </c>
      <c r="D10654" s="4" t="n">
        <v>15</v>
      </c>
      <c r="E10654" s="4"/>
      <c r="F10654" s="4" t="n">
        <v>34</v>
      </c>
      <c r="G10654" s="4" t="n">
        <v>3</v>
      </c>
      <c r="H10654" s="4" t="n">
        <v>4</v>
      </c>
      <c r="I10654" s="4" t="str">
        <v>×</v>
      </c>
      <c r="J10654" s="4"/>
      <c r="K10654" s="4"/>
      <c r="L10654" s="4"/>
      <c r="M10654" s="5" t="s">
        <v>6501</v>
      </c>
    </row>
    <row r="10655" customFormat="false" ht="15.75" hidden="false" customHeight="false" outlineLevel="0" collapsed="false">
      <c r="A10655" s="6" t="n">
        <v>46193</v>
      </c>
      <c r="B10655" s="4" t="s">
        <v>4172</v>
      </c>
      <c r="C10655" s="4" t="n">
        <v>7</v>
      </c>
      <c r="D10655" s="4" t="n">
        <v>16</v>
      </c>
      <c r="E10655" s="4"/>
      <c r="F10655" s="4" t="n">
        <v>31</v>
      </c>
      <c r="G10655" s="4" t="n">
        <v>4</v>
      </c>
      <c r="H10655" s="4" t="n">
        <v>4</v>
      </c>
      <c r="I10655" s="4" t="str">
        <v>×</v>
      </c>
      <c r="J10655" s="4"/>
      <c r="K10655" s="4"/>
      <c r="L10655" s="4"/>
      <c r="M10655" s="5" t="s">
        <v>6501</v>
      </c>
    </row>
    <row r="10656" customFormat="false" ht="15.75" hidden="false" customHeight="false" outlineLevel="0" collapsed="false">
      <c r="A10656" s="6" t="n">
        <v>46193</v>
      </c>
      <c r="B10656" s="4" t="s">
        <v>4172</v>
      </c>
      <c r="C10656" s="4" t="n">
        <v>8</v>
      </c>
      <c r="D10656" s="4" t="n">
        <v>1</v>
      </c>
      <c r="E10656" s="4"/>
      <c r="F10656" s="4" t="n">
        <v>62</v>
      </c>
      <c r="G10656" s="4" t="n">
        <v>2</v>
      </c>
      <c r="H10656" s="4" t="n">
        <v>4</v>
      </c>
      <c r="I10656" s="4" t="str">
        <v>×</v>
      </c>
      <c r="J10656" s="4"/>
      <c r="K10656" s="4"/>
      <c r="L10656" s="4"/>
      <c r="M10656" s="5" t="s">
        <v>6501</v>
      </c>
    </row>
    <row r="10657" customFormat="false" ht="15.75" hidden="false" customHeight="false" outlineLevel="0" collapsed="false">
      <c r="A10657" s="6" t="n">
        <v>46193</v>
      </c>
      <c r="B10657" s="4" t="s">
        <v>4172</v>
      </c>
      <c r="C10657" s="4" t="n">
        <v>8</v>
      </c>
      <c r="D10657" s="4" t="n">
        <v>2</v>
      </c>
      <c r="E10657" s="4"/>
      <c r="F10657" s="4" t="n">
        <v>13</v>
      </c>
      <c r="G10657" s="4" t="n">
        <v>9</v>
      </c>
      <c r="H10657" s="4" t="n">
        <v>4</v>
      </c>
      <c r="I10657" s="4" t="str">
        <v>×</v>
      </c>
      <c r="J10657" s="4"/>
      <c r="K10657" s="4"/>
      <c r="L10657" s="4"/>
      <c r="M10657" s="5" t="s">
        <v>6501</v>
      </c>
    </row>
    <row r="10658" customFormat="false" ht="15.75" hidden="false" customHeight="false" outlineLevel="0" collapsed="false">
      <c r="A10658" s="6" t="n">
        <v>46193</v>
      </c>
      <c r="B10658" s="4" t="s">
        <v>4172</v>
      </c>
      <c r="C10658" s="4" t="n">
        <v>8</v>
      </c>
      <c r="D10658" s="4" t="n">
        <v>3</v>
      </c>
      <c r="E10658" s="4"/>
      <c r="F10658" s="4" t="n">
        <v>23</v>
      </c>
      <c r="G10658" s="4" t="n">
        <v>7</v>
      </c>
      <c r="H10658" s="4" t="n">
        <v>4</v>
      </c>
      <c r="I10658" s="4" t="str">
        <v>×</v>
      </c>
      <c r="J10658" s="4"/>
      <c r="K10658" s="4"/>
      <c r="L10658" s="4"/>
      <c r="M10658" s="5" t="s">
        <v>6501</v>
      </c>
    </row>
    <row r="10659" customFormat="false" ht="15.75" hidden="false" customHeight="false" outlineLevel="0" collapsed="false">
      <c r="A10659" s="6" t="n">
        <v>46193</v>
      </c>
      <c r="B10659" s="4" t="s">
        <v>4172</v>
      </c>
      <c r="C10659" s="4" t="n">
        <v>8</v>
      </c>
      <c r="D10659" s="4" t="n">
        <v>4</v>
      </c>
      <c r="E10659" s="4"/>
      <c r="F10659" s="4" t="n">
        <v>10</v>
      </c>
      <c r="G10659" s="4" t="n">
        <v>10</v>
      </c>
      <c r="H10659" s="4" t="n">
        <v>2</v>
      </c>
      <c r="I10659" s="4" t="str">
        <v>○</v>
      </c>
      <c r="J10659" s="4" t="n">
        <v>210</v>
      </c>
      <c r="K10659" s="4"/>
      <c r="L10659" s="4"/>
      <c r="M10659" s="5" t="s">
        <v>6501</v>
      </c>
    </row>
    <row r="10660" customFormat="false" ht="15.75" hidden="false" customHeight="false" outlineLevel="0" collapsed="false">
      <c r="A10660" s="6" t="n">
        <v>46193</v>
      </c>
      <c r="B10660" s="4" t="s">
        <v>4172</v>
      </c>
      <c r="C10660" s="4" t="n">
        <v>8</v>
      </c>
      <c r="D10660" s="4" t="n">
        <v>5</v>
      </c>
      <c r="E10660" s="4"/>
      <c r="F10660" s="4" t="n">
        <v>6</v>
      </c>
      <c r="G10660" s="4" t="n">
        <v>12</v>
      </c>
      <c r="H10660" s="4" t="n">
        <v>4</v>
      </c>
      <c r="I10660" s="4" t="str">
        <v>×</v>
      </c>
      <c r="J10660" s="4"/>
      <c r="K10660" s="4"/>
      <c r="L10660" s="4"/>
      <c r="M10660" s="5" t="s">
        <v>6501</v>
      </c>
    </row>
    <row r="10661" customFormat="false" ht="15.75" hidden="false" customHeight="false" outlineLevel="0" collapsed="false">
      <c r="A10661" s="6" t="n">
        <v>46193</v>
      </c>
      <c r="B10661" s="4" t="s">
        <v>4172</v>
      </c>
      <c r="C10661" s="4" t="n">
        <v>8</v>
      </c>
      <c r="D10661" s="4" t="n">
        <v>6</v>
      </c>
      <c r="E10661" s="4"/>
      <c r="F10661" s="4" t="n">
        <v>6</v>
      </c>
      <c r="G10661" s="4" t="n">
        <v>12</v>
      </c>
      <c r="H10661" s="4" t="n">
        <v>4</v>
      </c>
      <c r="I10661" s="4" t="str">
        <v>×</v>
      </c>
      <c r="J10661" s="4"/>
      <c r="K10661" s="4"/>
      <c r="L10661" s="4"/>
      <c r="M10661" s="5" t="s">
        <v>6501</v>
      </c>
    </row>
    <row r="10662" customFormat="false" ht="15.75" hidden="false" customHeight="false" outlineLevel="0" collapsed="false">
      <c r="A10662" s="6" t="n">
        <v>46193</v>
      </c>
      <c r="B10662" s="4" t="s">
        <v>4172</v>
      </c>
      <c r="C10662" s="4" t="n">
        <v>8</v>
      </c>
      <c r="D10662" s="4" t="n">
        <v>7</v>
      </c>
      <c r="E10662" s="4"/>
      <c r="F10662" s="4" t="n">
        <v>71</v>
      </c>
      <c r="G10662" s="4" t="n">
        <v>1</v>
      </c>
      <c r="H10662" s="4" t="n">
        <v>4</v>
      </c>
      <c r="I10662" s="4" t="str">
        <v>×</v>
      </c>
      <c r="J10662" s="4"/>
      <c r="K10662" s="4"/>
      <c r="L10662" s="4"/>
      <c r="M10662" s="5" t="s">
        <v>6501</v>
      </c>
    </row>
    <row r="10663" customFormat="false" ht="15.75" hidden="false" customHeight="false" outlineLevel="0" collapsed="false">
      <c r="A10663" s="6" t="n">
        <v>46193</v>
      </c>
      <c r="B10663" s="4" t="s">
        <v>4172</v>
      </c>
      <c r="C10663" s="4" t="n">
        <v>8</v>
      </c>
      <c r="D10663" s="4" t="n">
        <v>8</v>
      </c>
      <c r="E10663" s="4"/>
      <c r="F10663" s="4" t="n">
        <v>20</v>
      </c>
      <c r="G10663" s="4" t="n">
        <v>8</v>
      </c>
      <c r="H10663" s="4" t="n">
        <v>4</v>
      </c>
      <c r="I10663" s="4" t="str">
        <v>×</v>
      </c>
      <c r="J10663" s="4"/>
      <c r="K10663" s="4"/>
      <c r="L10663" s="4"/>
      <c r="M10663" s="5" t="s">
        <v>6501</v>
      </c>
    </row>
    <row r="10664" customFormat="false" ht="15.75" hidden="false" customHeight="false" outlineLevel="0" collapsed="false">
      <c r="A10664" s="6" t="n">
        <v>46193</v>
      </c>
      <c r="B10664" s="4" t="s">
        <v>4172</v>
      </c>
      <c r="C10664" s="4" t="n">
        <v>8</v>
      </c>
      <c r="D10664" s="4" t="n">
        <v>9</v>
      </c>
      <c r="E10664" s="4"/>
      <c r="F10664" s="4" t="n">
        <v>39</v>
      </c>
      <c r="G10664" s="4" t="n">
        <v>3</v>
      </c>
      <c r="H10664" s="4" t="n">
        <v>4</v>
      </c>
      <c r="I10664" s="4" t="str">
        <v>×</v>
      </c>
      <c r="J10664" s="4"/>
      <c r="K10664" s="4"/>
      <c r="L10664" s="4"/>
      <c r="M10664" s="5" t="s">
        <v>6501</v>
      </c>
    </row>
    <row r="10665" customFormat="false" ht="15.75" hidden="false" customHeight="false" outlineLevel="0" collapsed="false">
      <c r="A10665" s="6" t="n">
        <v>46193</v>
      </c>
      <c r="B10665" s="4" t="s">
        <v>4172</v>
      </c>
      <c r="C10665" s="4" t="n">
        <v>8</v>
      </c>
      <c r="D10665" s="4" t="n">
        <v>10</v>
      </c>
      <c r="E10665" s="4"/>
      <c r="F10665" s="4" t="n">
        <v>20</v>
      </c>
      <c r="G10665" s="4" t="n">
        <v>8</v>
      </c>
      <c r="H10665" s="4" t="n">
        <v>4</v>
      </c>
      <c r="I10665" s="4" t="str">
        <v>×</v>
      </c>
      <c r="J10665" s="4"/>
      <c r="K10665" s="4"/>
      <c r="L10665" s="4"/>
      <c r="M10665" s="5" t="s">
        <v>6501</v>
      </c>
    </row>
    <row r="10666" customFormat="false" ht="15.75" hidden="false" customHeight="false" outlineLevel="0" collapsed="false">
      <c r="A10666" s="6" t="n">
        <v>46193</v>
      </c>
      <c r="B10666" s="4" t="s">
        <v>4172</v>
      </c>
      <c r="C10666" s="4" t="n">
        <v>8</v>
      </c>
      <c r="D10666" s="4" t="n">
        <v>11</v>
      </c>
      <c r="E10666" s="4"/>
      <c r="F10666" s="4" t="n">
        <v>6</v>
      </c>
      <c r="G10666" s="4" t="n">
        <v>12</v>
      </c>
      <c r="H10666" s="4" t="n">
        <v>4</v>
      </c>
      <c r="I10666" s="4" t="str">
        <v>×</v>
      </c>
      <c r="J10666" s="4"/>
      <c r="K10666" s="4"/>
      <c r="L10666" s="4"/>
      <c r="M10666" s="5" t="s">
        <v>6501</v>
      </c>
    </row>
    <row r="10667" customFormat="false" ht="15.75" hidden="false" customHeight="false" outlineLevel="0" collapsed="false">
      <c r="A10667" s="6" t="n">
        <v>46193</v>
      </c>
      <c r="B10667" s="4" t="s">
        <v>4172</v>
      </c>
      <c r="C10667" s="4" t="n">
        <v>8</v>
      </c>
      <c r="D10667" s="4" t="n">
        <v>12</v>
      </c>
      <c r="E10667" s="4"/>
      <c r="F10667" s="4" t="n">
        <v>8</v>
      </c>
      <c r="G10667" s="4" t="n">
        <v>11</v>
      </c>
      <c r="H10667" s="4" t="n">
        <v>1</v>
      </c>
      <c r="I10667" s="4" t="str">
        <v>○</v>
      </c>
      <c r="J10667" s="4" t="n">
        <v>370</v>
      </c>
      <c r="K10667" s="4"/>
      <c r="L10667" s="4"/>
      <c r="M10667" s="5" t="s">
        <v>6501</v>
      </c>
    </row>
    <row r="10668" customFormat="false" ht="15.75" hidden="false" customHeight="false" outlineLevel="0" collapsed="false">
      <c r="A10668" s="6" t="n">
        <v>46193</v>
      </c>
      <c r="B10668" s="4" t="s">
        <v>4172</v>
      </c>
      <c r="C10668" s="4" t="n">
        <v>8</v>
      </c>
      <c r="D10668" s="4" t="n">
        <v>13</v>
      </c>
      <c r="E10668" s="4"/>
      <c r="F10668" s="4" t="n">
        <v>25</v>
      </c>
      <c r="G10668" s="4" t="n">
        <v>6</v>
      </c>
      <c r="H10668" s="4" t="n">
        <v>3</v>
      </c>
      <c r="I10668" s="4" t="str">
        <v>○</v>
      </c>
      <c r="J10668" s="4" t="n">
        <v>280</v>
      </c>
      <c r="K10668" s="4"/>
      <c r="L10668" s="4"/>
      <c r="M10668" s="5" t="s">
        <v>6501</v>
      </c>
    </row>
    <row r="10669" customFormat="false" ht="15.75" hidden="false" customHeight="false" outlineLevel="0" collapsed="false">
      <c r="A10669" s="6" t="n">
        <v>46193</v>
      </c>
      <c r="B10669" s="4" t="s">
        <v>4172</v>
      </c>
      <c r="C10669" s="4" t="n">
        <v>8</v>
      </c>
      <c r="D10669" s="4" t="n">
        <v>14</v>
      </c>
      <c r="E10669" s="4"/>
      <c r="F10669" s="4" t="n">
        <v>23</v>
      </c>
      <c r="G10669" s="4" t="n">
        <v>7</v>
      </c>
      <c r="H10669" s="4" t="n">
        <v>4</v>
      </c>
      <c r="I10669" s="4" t="str">
        <v>×</v>
      </c>
      <c r="J10669" s="4"/>
      <c r="K10669" s="4"/>
      <c r="L10669" s="4"/>
      <c r="M10669" s="5" t="s">
        <v>6501</v>
      </c>
    </row>
    <row r="10670" customFormat="false" ht="15.75" hidden="false" customHeight="false" outlineLevel="0" collapsed="false">
      <c r="A10670" s="6" t="n">
        <v>46193</v>
      </c>
      <c r="B10670" s="4" t="s">
        <v>4172</v>
      </c>
      <c r="C10670" s="4" t="n">
        <v>8</v>
      </c>
      <c r="D10670" s="4" t="n">
        <v>15</v>
      </c>
      <c r="E10670" s="4"/>
      <c r="F10670" s="4" t="n">
        <v>29</v>
      </c>
      <c r="G10670" s="4" t="n">
        <v>5</v>
      </c>
      <c r="H10670" s="4" t="n">
        <v>4</v>
      </c>
      <c r="I10670" s="4" t="str">
        <v>×</v>
      </c>
      <c r="J10670" s="4"/>
      <c r="K10670" s="4"/>
      <c r="L10670" s="4"/>
      <c r="M10670" s="5" t="s">
        <v>6501</v>
      </c>
    </row>
    <row r="10671" customFormat="false" ht="15.75" hidden="false" customHeight="false" outlineLevel="0" collapsed="false">
      <c r="A10671" s="6" t="n">
        <v>46193</v>
      </c>
      <c r="B10671" s="4" t="s">
        <v>4172</v>
      </c>
      <c r="C10671" s="4" t="n">
        <v>8</v>
      </c>
      <c r="D10671" s="4" t="n">
        <v>16</v>
      </c>
      <c r="E10671" s="4"/>
      <c r="F10671" s="4" t="n">
        <v>31</v>
      </c>
      <c r="G10671" s="4" t="n">
        <v>4</v>
      </c>
      <c r="H10671" s="4" t="n">
        <v>4</v>
      </c>
      <c r="I10671" s="4" t="str">
        <v>×</v>
      </c>
      <c r="J10671" s="4"/>
      <c r="K10671" s="4"/>
      <c r="L10671" s="4"/>
      <c r="M10671" s="5" t="s">
        <v>6501</v>
      </c>
    </row>
    <row r="10672" customFormat="false" ht="15.75" hidden="false" customHeight="false" outlineLevel="0" collapsed="false">
      <c r="A10672" s="6" t="n">
        <v>46193</v>
      </c>
      <c r="B10672" s="4" t="s">
        <v>4172</v>
      </c>
      <c r="C10672" s="4" t="n">
        <v>9</v>
      </c>
      <c r="D10672" s="4" t="n">
        <v>1</v>
      </c>
      <c r="E10672" s="4"/>
      <c r="F10672" s="4" t="n">
        <v>23</v>
      </c>
      <c r="G10672" s="4" t="n">
        <v>5</v>
      </c>
      <c r="H10672" s="4" t="n">
        <v>4</v>
      </c>
      <c r="I10672" s="4" t="str">
        <v>×</v>
      </c>
      <c r="J10672" s="4"/>
      <c r="K10672" s="4"/>
      <c r="L10672" s="4"/>
      <c r="M10672" s="5" t="s">
        <v>6501</v>
      </c>
    </row>
    <row r="10673" customFormat="false" ht="15.75" hidden="false" customHeight="false" outlineLevel="0" collapsed="false">
      <c r="A10673" s="6" t="n">
        <v>46193</v>
      </c>
      <c r="B10673" s="4" t="s">
        <v>4172</v>
      </c>
      <c r="C10673" s="4" t="n">
        <v>9</v>
      </c>
      <c r="D10673" s="4" t="n">
        <v>2</v>
      </c>
      <c r="E10673" s="4"/>
      <c r="F10673" s="4" t="n">
        <v>3</v>
      </c>
      <c r="G10673" s="4" t="n">
        <v>9</v>
      </c>
      <c r="H10673" s="4" t="n">
        <v>4</v>
      </c>
      <c r="I10673" s="4" t="str">
        <v>×</v>
      </c>
      <c r="J10673" s="4"/>
      <c r="K10673" s="4"/>
      <c r="L10673" s="4"/>
      <c r="M10673" s="5" t="s">
        <v>6501</v>
      </c>
    </row>
    <row r="10674" customFormat="false" ht="15.75" hidden="false" customHeight="false" outlineLevel="0" collapsed="false">
      <c r="A10674" s="6" t="n">
        <v>46193</v>
      </c>
      <c r="B10674" s="4" t="s">
        <v>4172</v>
      </c>
      <c r="C10674" s="4" t="n">
        <v>9</v>
      </c>
      <c r="D10674" s="4" t="n">
        <v>3</v>
      </c>
      <c r="E10674" s="4"/>
      <c r="F10674" s="4" t="n">
        <v>23</v>
      </c>
      <c r="G10674" s="4" t="n">
        <v>5</v>
      </c>
      <c r="H10674" s="4" t="n">
        <v>4</v>
      </c>
      <c r="I10674" s="4" t="str">
        <v>×</v>
      </c>
      <c r="J10674" s="4"/>
      <c r="K10674" s="4"/>
      <c r="L10674" s="4"/>
      <c r="M10674" s="5" t="s">
        <v>6501</v>
      </c>
    </row>
    <row r="10675" customFormat="false" ht="15.75" hidden="false" customHeight="false" outlineLevel="0" collapsed="false">
      <c r="A10675" s="6" t="n">
        <v>46193</v>
      </c>
      <c r="B10675" s="4" t="s">
        <v>4172</v>
      </c>
      <c r="C10675" s="4" t="n">
        <v>9</v>
      </c>
      <c r="D10675" s="4" t="n">
        <v>4</v>
      </c>
      <c r="E10675" s="4"/>
      <c r="F10675" s="4" t="n">
        <v>15</v>
      </c>
      <c r="G10675" s="4" t="n">
        <v>8</v>
      </c>
      <c r="H10675" s="4" t="n">
        <v>4</v>
      </c>
      <c r="I10675" s="4" t="str">
        <v>×</v>
      </c>
      <c r="J10675" s="4"/>
      <c r="K10675" s="4"/>
      <c r="L10675" s="4"/>
      <c r="M10675" s="5" t="s">
        <v>6501</v>
      </c>
    </row>
    <row r="10676" customFormat="false" ht="15.75" hidden="false" customHeight="false" outlineLevel="0" collapsed="false">
      <c r="A10676" s="6" t="n">
        <v>46193</v>
      </c>
      <c r="B10676" s="4" t="s">
        <v>4172</v>
      </c>
      <c r="C10676" s="4" t="n">
        <v>9</v>
      </c>
      <c r="D10676" s="4" t="n">
        <v>5</v>
      </c>
      <c r="E10676" s="4"/>
      <c r="F10676" s="4" t="n">
        <v>39</v>
      </c>
      <c r="G10676" s="4" t="n">
        <v>3</v>
      </c>
      <c r="H10676" s="4" t="n">
        <v>2</v>
      </c>
      <c r="I10676" s="4" t="str">
        <v>○</v>
      </c>
      <c r="J10676" s="4" t="n">
        <v>150</v>
      </c>
      <c r="K10676" s="4"/>
      <c r="L10676" s="4"/>
      <c r="M10676" s="5" t="s">
        <v>6501</v>
      </c>
    </row>
    <row r="10677" customFormat="false" ht="15.75" hidden="false" customHeight="false" outlineLevel="0" collapsed="false">
      <c r="A10677" s="6" t="n">
        <v>46193</v>
      </c>
      <c r="B10677" s="4" t="s">
        <v>4172</v>
      </c>
      <c r="C10677" s="4" t="n">
        <v>9</v>
      </c>
      <c r="D10677" s="4" t="n">
        <v>6</v>
      </c>
      <c r="E10677" s="4"/>
      <c r="F10677" s="4" t="n">
        <v>34</v>
      </c>
      <c r="G10677" s="4" t="n">
        <v>4</v>
      </c>
      <c r="H10677" s="4" t="n">
        <v>1</v>
      </c>
      <c r="I10677" s="4" t="str">
        <v>○</v>
      </c>
      <c r="J10677" s="4" t="n">
        <v>110</v>
      </c>
      <c r="K10677" s="4"/>
      <c r="L10677" s="4"/>
      <c r="M10677" s="5" t="s">
        <v>6501</v>
      </c>
    </row>
    <row r="10678" customFormat="false" ht="15.75" hidden="false" customHeight="false" outlineLevel="0" collapsed="false">
      <c r="A10678" s="6" t="n">
        <v>46193</v>
      </c>
      <c r="B10678" s="4" t="s">
        <v>4172</v>
      </c>
      <c r="C10678" s="4" t="n">
        <v>9</v>
      </c>
      <c r="D10678" s="4" t="n">
        <v>7</v>
      </c>
      <c r="E10678" s="4"/>
      <c r="F10678" s="4" t="n">
        <v>56</v>
      </c>
      <c r="G10678" s="4" t="n">
        <v>1</v>
      </c>
      <c r="H10678" s="4" t="n">
        <v>4</v>
      </c>
      <c r="I10678" s="4" t="str">
        <v>×</v>
      </c>
      <c r="J10678" s="4"/>
      <c r="K10678" s="4"/>
      <c r="L10678" s="4"/>
      <c r="M10678" s="5" t="s">
        <v>6501</v>
      </c>
    </row>
    <row r="10679" customFormat="false" ht="15.75" hidden="false" customHeight="false" outlineLevel="0" collapsed="false">
      <c r="A10679" s="6" t="n">
        <v>46193</v>
      </c>
      <c r="B10679" s="4" t="s">
        <v>4172</v>
      </c>
      <c r="C10679" s="4" t="n">
        <v>9</v>
      </c>
      <c r="D10679" s="4" t="n">
        <v>8</v>
      </c>
      <c r="E10679" s="4"/>
      <c r="F10679" s="4" t="n">
        <v>17</v>
      </c>
      <c r="G10679" s="4" t="n">
        <v>7</v>
      </c>
      <c r="H10679" s="4" t="n">
        <v>4</v>
      </c>
      <c r="I10679" s="4" t="str">
        <v>×</v>
      </c>
      <c r="J10679" s="4"/>
      <c r="K10679" s="4"/>
      <c r="L10679" s="4"/>
      <c r="M10679" s="5" t="s">
        <v>6501</v>
      </c>
    </row>
    <row r="10680" customFormat="false" ht="15.75" hidden="false" customHeight="false" outlineLevel="0" collapsed="false">
      <c r="A10680" s="6" t="n">
        <v>46193</v>
      </c>
      <c r="B10680" s="4" t="s">
        <v>4172</v>
      </c>
      <c r="C10680" s="4" t="n">
        <v>9</v>
      </c>
      <c r="D10680" s="4" t="n">
        <v>9</v>
      </c>
      <c r="E10680" s="4"/>
      <c r="F10680" s="4" t="n">
        <v>20</v>
      </c>
      <c r="G10680" s="4" t="n">
        <v>6</v>
      </c>
      <c r="H10680" s="4" t="n">
        <v>3</v>
      </c>
      <c r="I10680" s="4" t="str">
        <v>○</v>
      </c>
      <c r="J10680" s="4" t="n">
        <v>420</v>
      </c>
      <c r="K10680" s="4"/>
      <c r="L10680" s="4"/>
      <c r="M10680" s="5" t="s">
        <v>6501</v>
      </c>
    </row>
    <row r="10681" customFormat="false" ht="15.75" hidden="false" customHeight="false" outlineLevel="0" collapsed="false">
      <c r="A10681" s="6" t="n">
        <v>46193</v>
      </c>
      <c r="B10681" s="4" t="s">
        <v>4172</v>
      </c>
      <c r="C10681" s="4" t="n">
        <v>9</v>
      </c>
      <c r="D10681" s="4" t="n">
        <v>10</v>
      </c>
      <c r="E10681" s="4"/>
      <c r="F10681" s="4" t="n">
        <v>52</v>
      </c>
      <c r="G10681" s="4" t="n">
        <v>2</v>
      </c>
      <c r="H10681" s="4" t="n">
        <v>4</v>
      </c>
      <c r="I10681" s="4" t="str">
        <v>×</v>
      </c>
      <c r="J10681" s="4"/>
      <c r="K10681" s="4"/>
      <c r="L10681" s="4"/>
      <c r="M10681" s="5" t="s">
        <v>6501</v>
      </c>
    </row>
    <row r="10682" customFormat="false" ht="15.75" hidden="false" customHeight="false" outlineLevel="0" collapsed="false">
      <c r="A10682" s="6" t="n">
        <v>46193</v>
      </c>
      <c r="B10682" s="4" t="s">
        <v>4172</v>
      </c>
      <c r="C10682" s="4" t="n">
        <v>10</v>
      </c>
      <c r="D10682" s="4" t="n">
        <v>1</v>
      </c>
      <c r="E10682" s="4"/>
      <c r="F10682" s="4" t="n">
        <v>13</v>
      </c>
      <c r="G10682" s="4" t="n">
        <v>9</v>
      </c>
      <c r="H10682" s="4" t="n">
        <v>4</v>
      </c>
      <c r="I10682" s="4" t="str">
        <v>×</v>
      </c>
      <c r="J10682" s="4"/>
      <c r="K10682" s="4"/>
      <c r="L10682" s="4"/>
      <c r="M10682" s="5" t="s">
        <v>6501</v>
      </c>
    </row>
    <row r="10683" customFormat="false" ht="15.75" hidden="false" customHeight="false" outlineLevel="0" collapsed="false">
      <c r="A10683" s="6" t="n">
        <v>46193</v>
      </c>
      <c r="B10683" s="4" t="s">
        <v>4172</v>
      </c>
      <c r="C10683" s="4" t="n">
        <v>10</v>
      </c>
      <c r="D10683" s="4" t="n">
        <v>2</v>
      </c>
      <c r="E10683" s="4"/>
      <c r="F10683" s="4" t="n">
        <v>29</v>
      </c>
      <c r="G10683" s="4" t="n">
        <v>4</v>
      </c>
      <c r="H10683" s="4" t="n">
        <v>4</v>
      </c>
      <c r="I10683" s="4" t="str">
        <v>×</v>
      </c>
      <c r="J10683" s="4"/>
      <c r="K10683" s="4"/>
      <c r="L10683" s="4"/>
      <c r="M10683" s="5" t="s">
        <v>6501</v>
      </c>
    </row>
    <row r="10684" customFormat="false" ht="15.75" hidden="false" customHeight="false" outlineLevel="0" collapsed="false">
      <c r="A10684" s="6" t="n">
        <v>46193</v>
      </c>
      <c r="B10684" s="4" t="s">
        <v>4172</v>
      </c>
      <c r="C10684" s="4" t="n">
        <v>10</v>
      </c>
      <c r="D10684" s="4" t="n">
        <v>3</v>
      </c>
      <c r="E10684" s="4"/>
      <c r="F10684" s="4" t="n">
        <v>31</v>
      </c>
      <c r="G10684" s="4" t="n">
        <v>3</v>
      </c>
      <c r="H10684" s="4" t="n">
        <v>4</v>
      </c>
      <c r="I10684" s="4" t="str">
        <v>×</v>
      </c>
      <c r="J10684" s="4"/>
      <c r="K10684" s="4"/>
      <c r="L10684" s="4"/>
      <c r="M10684" s="5" t="s">
        <v>6501</v>
      </c>
    </row>
    <row r="10685" customFormat="false" ht="15.75" hidden="false" customHeight="false" outlineLevel="0" collapsed="false">
      <c r="A10685" s="6" t="n">
        <v>46193</v>
      </c>
      <c r="B10685" s="4" t="s">
        <v>4172</v>
      </c>
      <c r="C10685" s="4" t="n">
        <v>10</v>
      </c>
      <c r="D10685" s="4" t="n">
        <v>4</v>
      </c>
      <c r="E10685" s="4"/>
      <c r="F10685" s="4" t="n">
        <v>15</v>
      </c>
      <c r="G10685" s="4" t="n">
        <v>8</v>
      </c>
      <c r="H10685" s="4" t="n">
        <v>4</v>
      </c>
      <c r="I10685" s="4" t="str">
        <v>×</v>
      </c>
      <c r="J10685" s="4"/>
      <c r="K10685" s="4"/>
      <c r="L10685" s="4"/>
      <c r="M10685" s="5" t="s">
        <v>6501</v>
      </c>
    </row>
    <row r="10686" customFormat="false" ht="15.75" hidden="false" customHeight="false" outlineLevel="0" collapsed="false">
      <c r="A10686" s="6" t="n">
        <v>46193</v>
      </c>
      <c r="B10686" s="4" t="s">
        <v>4172</v>
      </c>
      <c r="C10686" s="4" t="n">
        <v>10</v>
      </c>
      <c r="D10686" s="4" t="n">
        <v>5</v>
      </c>
      <c r="E10686" s="4"/>
      <c r="F10686" s="4" t="n">
        <v>2</v>
      </c>
      <c r="G10686" s="4" t="n">
        <v>13</v>
      </c>
      <c r="H10686" s="4" t="n">
        <v>4</v>
      </c>
      <c r="I10686" s="4" t="str">
        <v>×</v>
      </c>
      <c r="J10686" s="4"/>
      <c r="K10686" s="4"/>
      <c r="L10686" s="4"/>
      <c r="M10686" s="5" t="s">
        <v>6501</v>
      </c>
    </row>
    <row r="10687" customFormat="false" ht="15.75" hidden="false" customHeight="false" outlineLevel="0" collapsed="false">
      <c r="A10687" s="6" t="n">
        <v>46193</v>
      </c>
      <c r="B10687" s="4" t="s">
        <v>4172</v>
      </c>
      <c r="C10687" s="4" t="n">
        <v>10</v>
      </c>
      <c r="D10687" s="4" t="n">
        <v>6</v>
      </c>
      <c r="E10687" s="4"/>
      <c r="F10687" s="4" t="n">
        <v>44</v>
      </c>
      <c r="G10687" s="4" t="n">
        <v>1</v>
      </c>
      <c r="H10687" s="4" t="n">
        <v>1</v>
      </c>
      <c r="I10687" s="4" t="str">
        <v>○</v>
      </c>
      <c r="J10687" s="4" t="n">
        <v>260</v>
      </c>
      <c r="K10687" s="4"/>
      <c r="L10687" s="4"/>
      <c r="M10687" s="5" t="s">
        <v>6501</v>
      </c>
    </row>
    <row r="10688" customFormat="false" ht="15.75" hidden="false" customHeight="false" outlineLevel="0" collapsed="false">
      <c r="A10688" s="6" t="n">
        <v>46193</v>
      </c>
      <c r="B10688" s="4" t="s">
        <v>4172</v>
      </c>
      <c r="C10688" s="4" t="n">
        <v>10</v>
      </c>
      <c r="D10688" s="4" t="n">
        <v>7</v>
      </c>
      <c r="E10688" s="4"/>
      <c r="F10688" s="4" t="n">
        <v>13</v>
      </c>
      <c r="G10688" s="4" t="n">
        <v>9</v>
      </c>
      <c r="H10688" s="4" t="n">
        <v>4</v>
      </c>
      <c r="I10688" s="4" t="str">
        <v>×</v>
      </c>
      <c r="J10688" s="4"/>
      <c r="K10688" s="4"/>
      <c r="L10688" s="4"/>
      <c r="M10688" s="5" t="s">
        <v>6501</v>
      </c>
    </row>
    <row r="10689" customFormat="false" ht="15.75" hidden="false" customHeight="false" outlineLevel="0" collapsed="false">
      <c r="A10689" s="6" t="n">
        <v>46193</v>
      </c>
      <c r="B10689" s="4" t="s">
        <v>4172</v>
      </c>
      <c r="C10689" s="4" t="n">
        <v>10</v>
      </c>
      <c r="D10689" s="4" t="n">
        <v>8</v>
      </c>
      <c r="E10689" s="4"/>
      <c r="F10689" s="4" t="n">
        <v>29</v>
      </c>
      <c r="G10689" s="4" t="n">
        <v>4</v>
      </c>
      <c r="H10689" s="4" t="n">
        <v>4</v>
      </c>
      <c r="I10689" s="4" t="str">
        <v>×</v>
      </c>
      <c r="J10689" s="4"/>
      <c r="K10689" s="4"/>
      <c r="L10689" s="4"/>
      <c r="M10689" s="5" t="s">
        <v>6501</v>
      </c>
    </row>
    <row r="10690" customFormat="false" ht="15.75" hidden="false" customHeight="false" outlineLevel="0" collapsed="false">
      <c r="A10690" s="6" t="n">
        <v>46193</v>
      </c>
      <c r="B10690" s="4" t="s">
        <v>4172</v>
      </c>
      <c r="C10690" s="4" t="n">
        <v>10</v>
      </c>
      <c r="D10690" s="4" t="n">
        <v>9</v>
      </c>
      <c r="E10690" s="4"/>
      <c r="F10690" s="4" t="n">
        <v>20</v>
      </c>
      <c r="G10690" s="4" t="n">
        <v>6</v>
      </c>
      <c r="H10690" s="4" t="n">
        <v>4</v>
      </c>
      <c r="I10690" s="4" t="str">
        <v>×</v>
      </c>
      <c r="J10690" s="4"/>
      <c r="K10690" s="4"/>
      <c r="L10690" s="4"/>
      <c r="M10690" s="5" t="s">
        <v>6501</v>
      </c>
    </row>
    <row r="10691" customFormat="false" ht="15.75" hidden="false" customHeight="false" outlineLevel="0" collapsed="false">
      <c r="A10691" s="6" t="n">
        <v>46193</v>
      </c>
      <c r="B10691" s="4" t="s">
        <v>4172</v>
      </c>
      <c r="C10691" s="4" t="n">
        <v>10</v>
      </c>
      <c r="D10691" s="4" t="n">
        <v>10</v>
      </c>
      <c r="E10691" s="4"/>
      <c r="F10691" s="4" t="n">
        <v>34</v>
      </c>
      <c r="G10691" s="4" t="n">
        <v>2</v>
      </c>
      <c r="H10691" s="4" t="n">
        <v>4</v>
      </c>
      <c r="I10691" s="4" t="str">
        <v>×</v>
      </c>
      <c r="J10691" s="4"/>
      <c r="K10691" s="4"/>
      <c r="L10691" s="4"/>
      <c r="M10691" s="5" t="s">
        <v>6501</v>
      </c>
    </row>
    <row r="10692" customFormat="false" ht="15.75" hidden="false" customHeight="false" outlineLevel="0" collapsed="false">
      <c r="A10692" s="6" t="n">
        <v>46193</v>
      </c>
      <c r="B10692" s="4" t="s">
        <v>4172</v>
      </c>
      <c r="C10692" s="4" t="n">
        <v>10</v>
      </c>
      <c r="D10692" s="4" t="n">
        <v>11</v>
      </c>
      <c r="E10692" s="4"/>
      <c r="F10692" s="4" t="n">
        <v>8</v>
      </c>
      <c r="G10692" s="4" t="n">
        <v>10</v>
      </c>
      <c r="H10692" s="4" t="n">
        <v>2</v>
      </c>
      <c r="I10692" s="4" t="str">
        <v>○</v>
      </c>
      <c r="J10692" s="4" t="n">
        <v>880</v>
      </c>
      <c r="K10692" s="4"/>
      <c r="L10692" s="4"/>
      <c r="M10692" s="5" t="s">
        <v>6501</v>
      </c>
    </row>
    <row r="10693" customFormat="false" ht="15.75" hidden="false" customHeight="false" outlineLevel="0" collapsed="false">
      <c r="A10693" s="6" t="n">
        <v>46193</v>
      </c>
      <c r="B10693" s="4" t="s">
        <v>4172</v>
      </c>
      <c r="C10693" s="4" t="n">
        <v>10</v>
      </c>
      <c r="D10693" s="4" t="n">
        <v>12</v>
      </c>
      <c r="E10693" s="4"/>
      <c r="F10693" s="4" t="n">
        <v>23</v>
      </c>
      <c r="G10693" s="4" t="n">
        <v>5</v>
      </c>
      <c r="H10693" s="4" t="n">
        <v>4</v>
      </c>
      <c r="I10693" s="4" t="str">
        <v>×</v>
      </c>
      <c r="J10693" s="4"/>
      <c r="K10693" s="4"/>
      <c r="L10693" s="4"/>
      <c r="M10693" s="5" t="s">
        <v>6501</v>
      </c>
    </row>
    <row r="10694" customFormat="false" ht="15.75" hidden="false" customHeight="false" outlineLevel="0" collapsed="false">
      <c r="A10694" s="6" t="n">
        <v>46193</v>
      </c>
      <c r="B10694" s="4" t="s">
        <v>4172</v>
      </c>
      <c r="C10694" s="4" t="n">
        <v>10</v>
      </c>
      <c r="D10694" s="4" t="n">
        <v>13</v>
      </c>
      <c r="E10694" s="4"/>
      <c r="F10694" s="4" t="n">
        <v>6</v>
      </c>
      <c r="G10694" s="4" t="n">
        <v>11</v>
      </c>
      <c r="H10694" s="4" t="n">
        <v>4</v>
      </c>
      <c r="I10694" s="4" t="str">
        <v>×</v>
      </c>
      <c r="J10694" s="4"/>
      <c r="K10694" s="4"/>
      <c r="L10694" s="4"/>
      <c r="M10694" s="5" t="s">
        <v>6501</v>
      </c>
    </row>
    <row r="10695" customFormat="false" ht="15.75" hidden="false" customHeight="false" outlineLevel="0" collapsed="false">
      <c r="A10695" s="6" t="n">
        <v>46193</v>
      </c>
      <c r="B10695" s="4" t="s">
        <v>4172</v>
      </c>
      <c r="C10695" s="4" t="n">
        <v>10</v>
      </c>
      <c r="D10695" s="4" t="n">
        <v>14</v>
      </c>
      <c r="E10695" s="4"/>
      <c r="F10695" s="4" t="n">
        <v>15</v>
      </c>
      <c r="G10695" s="4" t="n">
        <v>8</v>
      </c>
      <c r="H10695" s="4" t="n">
        <v>3</v>
      </c>
      <c r="I10695" s="4" t="str">
        <v>○</v>
      </c>
      <c r="J10695" s="4" t="n">
        <v>370</v>
      </c>
      <c r="K10695" s="4"/>
      <c r="L10695" s="4"/>
      <c r="M10695" s="5" t="s">
        <v>6501</v>
      </c>
    </row>
    <row r="10696" customFormat="false" ht="15.75" hidden="false" customHeight="false" outlineLevel="0" collapsed="false">
      <c r="A10696" s="6" t="n">
        <v>46193</v>
      </c>
      <c r="B10696" s="4" t="s">
        <v>4172</v>
      </c>
      <c r="C10696" s="4" t="n">
        <v>10</v>
      </c>
      <c r="D10696" s="4" t="n">
        <v>15</v>
      </c>
      <c r="E10696" s="4"/>
      <c r="F10696" s="4" t="n">
        <v>20</v>
      </c>
      <c r="G10696" s="4" t="n">
        <v>6</v>
      </c>
      <c r="H10696" s="4" t="n">
        <v>4</v>
      </c>
      <c r="I10696" s="4" t="str">
        <v>×</v>
      </c>
      <c r="J10696" s="4"/>
      <c r="K10696" s="4"/>
      <c r="L10696" s="4"/>
      <c r="M10696" s="5" t="s">
        <v>6501</v>
      </c>
    </row>
    <row r="10697" customFormat="false" ht="15.75" hidden="false" customHeight="false" outlineLevel="0" collapsed="false">
      <c r="A10697" s="6" t="n">
        <v>46193</v>
      </c>
      <c r="B10697" s="4" t="s">
        <v>4172</v>
      </c>
      <c r="C10697" s="4" t="n">
        <v>10</v>
      </c>
      <c r="D10697" s="4" t="n">
        <v>16</v>
      </c>
      <c r="E10697" s="4"/>
      <c r="F10697" s="4" t="n">
        <v>17</v>
      </c>
      <c r="G10697" s="4" t="n">
        <v>7</v>
      </c>
      <c r="H10697" s="4" t="n">
        <v>4</v>
      </c>
      <c r="I10697" s="4" t="str">
        <v>×</v>
      </c>
      <c r="J10697" s="4"/>
      <c r="K10697" s="4"/>
      <c r="L10697" s="4"/>
      <c r="M10697" s="5" t="s">
        <v>6501</v>
      </c>
    </row>
    <row r="10698" customFormat="false" ht="15.75" hidden="false" customHeight="false" outlineLevel="0" collapsed="false">
      <c r="A10698" s="6" t="n">
        <v>46193</v>
      </c>
      <c r="B10698" s="4" t="s">
        <v>4172</v>
      </c>
      <c r="C10698" s="4" t="n">
        <v>10</v>
      </c>
      <c r="D10698" s="4" t="n">
        <v>17</v>
      </c>
      <c r="E10698" s="4"/>
      <c r="F10698" s="4" t="n">
        <v>4</v>
      </c>
      <c r="G10698" s="4" t="n">
        <v>12</v>
      </c>
      <c r="H10698" s="4" t="n">
        <v>4</v>
      </c>
      <c r="I10698" s="4" t="str">
        <v>×</v>
      </c>
      <c r="J10698" s="4"/>
      <c r="K10698" s="4"/>
      <c r="L10698" s="4"/>
      <c r="M10698" s="5" t="s">
        <v>6501</v>
      </c>
    </row>
    <row r="10699" customFormat="false" ht="15.75" hidden="false" customHeight="false" outlineLevel="0" collapsed="false">
      <c r="A10699" s="6" t="n">
        <v>46193</v>
      </c>
      <c r="B10699" s="4" t="s">
        <v>4172</v>
      </c>
      <c r="C10699" s="4" t="n">
        <v>10</v>
      </c>
      <c r="D10699" s="4" t="n">
        <v>18</v>
      </c>
      <c r="E10699" s="4"/>
      <c r="F10699" s="4" t="n">
        <v>6</v>
      </c>
      <c r="G10699" s="4" t="n">
        <v>11</v>
      </c>
      <c r="H10699" s="4" t="n">
        <v>4</v>
      </c>
      <c r="I10699" s="4" t="str">
        <v>×</v>
      </c>
      <c r="J10699" s="4"/>
      <c r="K10699" s="4"/>
      <c r="L10699" s="4"/>
      <c r="M10699" s="5" t="s">
        <v>6501</v>
      </c>
    </row>
    <row r="10700" customFormat="false" ht="15.75" hidden="false" customHeight="false" outlineLevel="0" collapsed="false">
      <c r="A10700" s="6" t="n">
        <v>46193</v>
      </c>
      <c r="B10700" s="4" t="s">
        <v>4172</v>
      </c>
      <c r="C10700" s="4" t="n">
        <v>11</v>
      </c>
      <c r="D10700" s="4" t="n">
        <v>1</v>
      </c>
      <c r="E10700" s="4"/>
      <c r="F10700" s="4" t="n">
        <v>4</v>
      </c>
      <c r="G10700" s="4" t="n">
        <v>10</v>
      </c>
      <c r="H10700" s="4" t="n">
        <v>4</v>
      </c>
      <c r="I10700" s="4" t="str">
        <v>×</v>
      </c>
      <c r="J10700" s="4"/>
      <c r="K10700" s="4"/>
      <c r="L10700" s="4"/>
      <c r="M10700" s="5" t="s">
        <v>6501</v>
      </c>
    </row>
    <row r="10701" customFormat="false" ht="15.75" hidden="false" customHeight="false" outlineLevel="0" collapsed="false">
      <c r="A10701" s="6" t="n">
        <v>46193</v>
      </c>
      <c r="B10701" s="4" t="s">
        <v>4172</v>
      </c>
      <c r="C10701" s="4" t="n">
        <v>11</v>
      </c>
      <c r="D10701" s="4" t="n">
        <v>2</v>
      </c>
      <c r="E10701" s="4"/>
      <c r="F10701" s="4" t="n">
        <v>15</v>
      </c>
      <c r="G10701" s="4" t="n">
        <v>7</v>
      </c>
      <c r="H10701" s="4" t="n">
        <v>4</v>
      </c>
      <c r="I10701" s="4" t="str">
        <v>×</v>
      </c>
      <c r="J10701" s="4"/>
      <c r="K10701" s="4"/>
      <c r="L10701" s="4"/>
      <c r="M10701" s="5" t="s">
        <v>6501</v>
      </c>
    </row>
    <row r="10702" customFormat="false" ht="15.75" hidden="false" customHeight="false" outlineLevel="0" collapsed="false">
      <c r="A10702" s="6" t="n">
        <v>46193</v>
      </c>
      <c r="B10702" s="4" t="s">
        <v>4172</v>
      </c>
      <c r="C10702" s="4" t="n">
        <v>11</v>
      </c>
      <c r="D10702" s="4" t="n">
        <v>3</v>
      </c>
      <c r="E10702" s="4"/>
      <c r="F10702" s="4" t="n">
        <v>81</v>
      </c>
      <c r="G10702" s="4" t="n">
        <v>1</v>
      </c>
      <c r="H10702" s="4" t="n">
        <v>1</v>
      </c>
      <c r="I10702" s="4" t="str">
        <v>○</v>
      </c>
      <c r="J10702" s="4" t="n">
        <v>130</v>
      </c>
      <c r="K10702" s="4"/>
      <c r="L10702" s="4"/>
      <c r="M10702" s="5" t="s">
        <v>6501</v>
      </c>
    </row>
    <row r="10703" customFormat="false" ht="15.75" hidden="false" customHeight="false" outlineLevel="0" collapsed="false">
      <c r="A10703" s="6" t="n">
        <v>46193</v>
      </c>
      <c r="B10703" s="4" t="s">
        <v>4172</v>
      </c>
      <c r="C10703" s="4" t="n">
        <v>11</v>
      </c>
      <c r="D10703" s="4" t="n">
        <v>4</v>
      </c>
      <c r="E10703" s="4"/>
      <c r="F10703" s="4" t="n">
        <v>8</v>
      </c>
      <c r="G10703" s="4" t="n">
        <v>9</v>
      </c>
      <c r="H10703" s="4" t="n">
        <v>2</v>
      </c>
      <c r="I10703" s="4" t="str">
        <v>○</v>
      </c>
      <c r="J10703" s="4" t="n">
        <v>900</v>
      </c>
      <c r="K10703" s="4"/>
      <c r="L10703" s="4"/>
      <c r="M10703" s="5" t="s">
        <v>6501</v>
      </c>
    </row>
    <row r="10704" customFormat="false" ht="15.75" hidden="false" customHeight="false" outlineLevel="0" collapsed="false">
      <c r="A10704" s="6" t="n">
        <v>46193</v>
      </c>
      <c r="B10704" s="4" t="s">
        <v>4172</v>
      </c>
      <c r="C10704" s="4" t="n">
        <v>11</v>
      </c>
      <c r="D10704" s="4" t="n">
        <v>5</v>
      </c>
      <c r="E10704" s="4"/>
      <c r="F10704" s="4" t="n">
        <v>4</v>
      </c>
      <c r="G10704" s="4" t="n">
        <v>10</v>
      </c>
      <c r="H10704" s="4" t="n">
        <v>4</v>
      </c>
      <c r="I10704" s="4" t="str">
        <v>×</v>
      </c>
      <c r="J10704" s="4"/>
      <c r="K10704" s="4"/>
      <c r="L10704" s="4"/>
      <c r="M10704" s="5" t="s">
        <v>6501</v>
      </c>
    </row>
    <row r="10705" customFormat="false" ht="15.75" hidden="false" customHeight="false" outlineLevel="0" collapsed="false">
      <c r="A10705" s="6" t="n">
        <v>46193</v>
      </c>
      <c r="B10705" s="4" t="s">
        <v>4172</v>
      </c>
      <c r="C10705" s="4" t="n">
        <v>11</v>
      </c>
      <c r="D10705" s="4" t="n">
        <v>6</v>
      </c>
      <c r="E10705" s="4"/>
      <c r="F10705" s="4" t="n">
        <v>3</v>
      </c>
      <c r="G10705" s="4" t="n">
        <v>11</v>
      </c>
      <c r="H10705" s="4" t="n">
        <v>4</v>
      </c>
      <c r="I10705" s="4" t="str">
        <v>×</v>
      </c>
      <c r="J10705" s="4"/>
      <c r="K10705" s="4"/>
      <c r="L10705" s="4"/>
      <c r="M10705" s="5" t="s">
        <v>6501</v>
      </c>
    </row>
    <row r="10706" customFormat="false" ht="15.75" hidden="false" customHeight="false" outlineLevel="0" collapsed="false">
      <c r="A10706" s="6" t="n">
        <v>46193</v>
      </c>
      <c r="B10706" s="4" t="s">
        <v>4172</v>
      </c>
      <c r="C10706" s="4" t="n">
        <v>11</v>
      </c>
      <c r="D10706" s="4" t="n">
        <v>7</v>
      </c>
      <c r="E10706" s="4"/>
      <c r="F10706" s="4" t="n">
        <v>10</v>
      </c>
      <c r="G10706" s="4" t="n">
        <v>8</v>
      </c>
      <c r="H10706" s="4" t="n">
        <v>4</v>
      </c>
      <c r="I10706" s="4" t="str">
        <v>×</v>
      </c>
      <c r="J10706" s="4"/>
      <c r="K10706" s="4"/>
      <c r="L10706" s="4"/>
      <c r="M10706" s="5" t="s">
        <v>6501</v>
      </c>
    </row>
    <row r="10707" customFormat="false" ht="15.75" hidden="false" customHeight="false" outlineLevel="0" collapsed="false">
      <c r="A10707" s="6" t="n">
        <v>46193</v>
      </c>
      <c r="B10707" s="4" t="s">
        <v>4172</v>
      </c>
      <c r="C10707" s="4" t="n">
        <v>11</v>
      </c>
      <c r="D10707" s="4" t="n">
        <v>8</v>
      </c>
      <c r="E10707" s="4"/>
      <c r="F10707" s="4" t="n">
        <v>25</v>
      </c>
      <c r="G10707" s="4" t="n">
        <v>5</v>
      </c>
      <c r="H10707" s="4" t="n">
        <v>4</v>
      </c>
      <c r="I10707" s="4" t="str">
        <v>×</v>
      </c>
      <c r="J10707" s="4"/>
      <c r="K10707" s="4"/>
      <c r="L10707" s="4"/>
      <c r="M10707" s="5" t="s">
        <v>6501</v>
      </c>
    </row>
    <row r="10708" customFormat="false" ht="15.75" hidden="false" customHeight="false" outlineLevel="0" collapsed="false">
      <c r="A10708" s="6" t="n">
        <v>46193</v>
      </c>
      <c r="B10708" s="4" t="s">
        <v>4172</v>
      </c>
      <c r="C10708" s="4" t="n">
        <v>11</v>
      </c>
      <c r="D10708" s="4" t="n">
        <v>9</v>
      </c>
      <c r="E10708" s="4"/>
      <c r="F10708" s="4" t="n">
        <v>2</v>
      </c>
      <c r="G10708" s="4" t="n">
        <v>12</v>
      </c>
      <c r="H10708" s="4" t="n">
        <v>4</v>
      </c>
      <c r="I10708" s="4" t="str">
        <v>×</v>
      </c>
      <c r="J10708" s="4"/>
      <c r="K10708" s="4"/>
      <c r="L10708" s="4"/>
      <c r="M10708" s="5" t="s">
        <v>6501</v>
      </c>
    </row>
    <row r="10709" customFormat="false" ht="15.75" hidden="false" customHeight="false" outlineLevel="0" collapsed="false">
      <c r="A10709" s="6" t="n">
        <v>46193</v>
      </c>
      <c r="B10709" s="4" t="s">
        <v>4172</v>
      </c>
      <c r="C10709" s="4" t="n">
        <v>11</v>
      </c>
      <c r="D10709" s="4" t="n">
        <v>10</v>
      </c>
      <c r="E10709" s="4"/>
      <c r="F10709" s="4" t="n">
        <v>8</v>
      </c>
      <c r="G10709" s="4" t="n">
        <v>9</v>
      </c>
      <c r="H10709" s="4" t="n">
        <v>4</v>
      </c>
      <c r="I10709" s="4" t="str">
        <v>×</v>
      </c>
      <c r="J10709" s="4"/>
      <c r="K10709" s="4"/>
      <c r="L10709" s="4"/>
      <c r="M10709" s="5" t="s">
        <v>6501</v>
      </c>
    </row>
    <row r="10710" customFormat="false" ht="15.75" hidden="false" customHeight="false" outlineLevel="0" collapsed="false">
      <c r="A10710" s="6" t="n">
        <v>46193</v>
      </c>
      <c r="B10710" s="4" t="s">
        <v>4172</v>
      </c>
      <c r="C10710" s="4" t="n">
        <v>11</v>
      </c>
      <c r="D10710" s="4" t="n">
        <v>11</v>
      </c>
      <c r="E10710" s="4"/>
      <c r="F10710" s="4" t="n">
        <v>41</v>
      </c>
      <c r="G10710" s="4" t="n">
        <v>2</v>
      </c>
      <c r="H10710" s="4" t="n">
        <v>4</v>
      </c>
      <c r="I10710" s="4" t="str">
        <v>×</v>
      </c>
      <c r="J10710" s="4"/>
      <c r="K10710" s="4"/>
      <c r="L10710" s="4"/>
      <c r="M10710" s="5" t="s">
        <v>6501</v>
      </c>
    </row>
    <row r="10711" customFormat="false" ht="15.75" hidden="false" customHeight="false" outlineLevel="0" collapsed="false">
      <c r="A10711" s="6" t="n">
        <v>46193</v>
      </c>
      <c r="B10711" s="4" t="s">
        <v>4172</v>
      </c>
      <c r="C10711" s="4" t="n">
        <v>11</v>
      </c>
      <c r="D10711" s="4" t="n">
        <v>12</v>
      </c>
      <c r="E10711" s="4"/>
      <c r="F10711" s="4" t="n">
        <v>37</v>
      </c>
      <c r="G10711" s="4" t="n">
        <v>3</v>
      </c>
      <c r="H10711" s="4" t="n">
        <v>3</v>
      </c>
      <c r="I10711" s="4" t="str">
        <v>○</v>
      </c>
      <c r="J10711" s="4" t="n">
        <v>210</v>
      </c>
      <c r="K10711" s="4"/>
      <c r="L10711" s="4"/>
      <c r="M10711" s="5" t="s">
        <v>6501</v>
      </c>
    </row>
    <row r="10712" customFormat="false" ht="15.75" hidden="false" customHeight="false" outlineLevel="0" collapsed="false">
      <c r="A10712" s="6" t="n">
        <v>46193</v>
      </c>
      <c r="B10712" s="4" t="s">
        <v>4172</v>
      </c>
      <c r="C10712" s="4" t="n">
        <v>11</v>
      </c>
      <c r="D10712" s="4" t="n">
        <v>13</v>
      </c>
      <c r="E10712" s="4"/>
      <c r="F10712" s="4" t="n">
        <v>23</v>
      </c>
      <c r="G10712" s="4" t="n">
        <v>6</v>
      </c>
      <c r="H10712" s="4" t="n">
        <v>4</v>
      </c>
      <c r="I10712" s="4" t="str">
        <v>×</v>
      </c>
      <c r="J10712" s="4"/>
      <c r="K10712" s="4"/>
      <c r="L10712" s="4"/>
      <c r="M10712" s="5" t="s">
        <v>6501</v>
      </c>
    </row>
    <row r="10713" customFormat="false" ht="15.75" hidden="false" customHeight="false" outlineLevel="0" collapsed="false">
      <c r="A10713" s="6" t="n">
        <v>46193</v>
      </c>
      <c r="B10713" s="4" t="s">
        <v>4172</v>
      </c>
      <c r="C10713" s="4" t="n">
        <v>11</v>
      </c>
      <c r="D10713" s="4" t="n">
        <v>14</v>
      </c>
      <c r="E10713" s="4"/>
      <c r="F10713" s="4" t="n">
        <v>31</v>
      </c>
      <c r="G10713" s="4" t="n">
        <v>4</v>
      </c>
      <c r="H10713" s="4" t="n">
        <v>4</v>
      </c>
      <c r="I10713" s="4" t="str">
        <v>×</v>
      </c>
      <c r="J10713" s="4"/>
      <c r="K10713" s="4"/>
      <c r="L10713" s="4"/>
      <c r="M10713" s="5" t="s">
        <v>6501</v>
      </c>
    </row>
    <row r="10714" customFormat="false" ht="15.75" hidden="false" customHeight="false" outlineLevel="0" collapsed="false">
      <c r="A10714" s="6" t="n">
        <v>46193</v>
      </c>
      <c r="B10714" s="4" t="s">
        <v>4172</v>
      </c>
      <c r="C10714" s="4" t="n">
        <v>11</v>
      </c>
      <c r="D10714" s="4" t="n">
        <v>15</v>
      </c>
      <c r="E10714" s="4"/>
      <c r="F10714" s="4" t="n">
        <v>4</v>
      </c>
      <c r="G10714" s="4" t="n">
        <v>10</v>
      </c>
      <c r="H10714" s="4" t="n">
        <v>4</v>
      </c>
      <c r="I10714" s="4" t="str">
        <v>×</v>
      </c>
      <c r="J10714" s="4"/>
      <c r="K10714" s="4"/>
      <c r="L10714" s="4"/>
      <c r="M10714" s="5" t="s">
        <v>6501</v>
      </c>
    </row>
    <row r="10715" customFormat="false" ht="15.75" hidden="false" customHeight="false" outlineLevel="0" collapsed="false">
      <c r="A10715" s="6" t="n">
        <v>46193</v>
      </c>
      <c r="B10715" s="4" t="s">
        <v>4172</v>
      </c>
      <c r="C10715" s="4" t="n">
        <v>12</v>
      </c>
      <c r="D10715" s="4" t="n">
        <v>1</v>
      </c>
      <c r="E10715" s="4"/>
      <c r="F10715" s="4" t="n">
        <v>17</v>
      </c>
      <c r="G10715" s="4" t="n">
        <v>8</v>
      </c>
      <c r="H10715" s="4" t="n">
        <v>4</v>
      </c>
      <c r="I10715" s="4" t="str">
        <v>×</v>
      </c>
      <c r="J10715" s="4"/>
      <c r="K10715" s="4"/>
      <c r="L10715" s="4"/>
      <c r="M10715" s="5" t="s">
        <v>6501</v>
      </c>
    </row>
    <row r="10716" customFormat="false" ht="15.75" hidden="false" customHeight="false" outlineLevel="0" collapsed="false">
      <c r="A10716" s="6" t="n">
        <v>46193</v>
      </c>
      <c r="B10716" s="4" t="s">
        <v>4172</v>
      </c>
      <c r="C10716" s="4" t="n">
        <v>12</v>
      </c>
      <c r="D10716" s="4" t="n">
        <v>2</v>
      </c>
      <c r="E10716" s="4"/>
      <c r="F10716" s="4" t="n">
        <v>8</v>
      </c>
      <c r="G10716" s="4" t="n">
        <v>10</v>
      </c>
      <c r="H10716" s="4" t="n">
        <v>4</v>
      </c>
      <c r="I10716" s="4" t="str">
        <v>×</v>
      </c>
      <c r="J10716" s="4"/>
      <c r="K10716" s="4"/>
      <c r="L10716" s="4"/>
      <c r="M10716" s="5" t="s">
        <v>6501</v>
      </c>
    </row>
    <row r="10717" customFormat="false" ht="15.75" hidden="false" customHeight="false" outlineLevel="0" collapsed="false">
      <c r="A10717" s="6" t="n">
        <v>46193</v>
      </c>
      <c r="B10717" s="4" t="s">
        <v>4172</v>
      </c>
      <c r="C10717" s="4" t="n">
        <v>12</v>
      </c>
      <c r="D10717" s="4" t="n">
        <v>3</v>
      </c>
      <c r="E10717" s="4"/>
      <c r="F10717" s="4" t="n">
        <v>31</v>
      </c>
      <c r="G10717" s="4" t="n">
        <v>5</v>
      </c>
      <c r="H10717" s="4" t="n">
        <v>4</v>
      </c>
      <c r="I10717" s="4" t="str">
        <v>×</v>
      </c>
      <c r="J10717" s="4"/>
      <c r="K10717" s="4"/>
      <c r="L10717" s="4"/>
      <c r="M10717" s="5" t="s">
        <v>6501</v>
      </c>
    </row>
    <row r="10718" customFormat="false" ht="15.75" hidden="false" customHeight="false" outlineLevel="0" collapsed="false">
      <c r="A10718" s="6" t="n">
        <v>46193</v>
      </c>
      <c r="B10718" s="4" t="s">
        <v>4172</v>
      </c>
      <c r="C10718" s="4" t="n">
        <v>12</v>
      </c>
      <c r="D10718" s="4" t="n">
        <v>4</v>
      </c>
      <c r="E10718" s="4"/>
      <c r="F10718" s="4" t="n">
        <v>37</v>
      </c>
      <c r="G10718" s="4" t="n">
        <v>3</v>
      </c>
      <c r="H10718" s="4" t="n">
        <v>4</v>
      </c>
      <c r="I10718" s="4" t="str">
        <v>×</v>
      </c>
      <c r="J10718" s="4"/>
      <c r="K10718" s="4"/>
      <c r="L10718" s="4"/>
      <c r="M10718" s="5" t="s">
        <v>6501</v>
      </c>
    </row>
    <row r="10719" customFormat="false" ht="15.75" hidden="false" customHeight="false" outlineLevel="0" collapsed="false">
      <c r="A10719" s="6" t="n">
        <v>46193</v>
      </c>
      <c r="B10719" s="4" t="s">
        <v>4172</v>
      </c>
      <c r="C10719" s="4" t="n">
        <v>12</v>
      </c>
      <c r="D10719" s="4" t="n">
        <v>5</v>
      </c>
      <c r="E10719" s="4"/>
      <c r="F10719" s="4" t="n">
        <v>37</v>
      </c>
      <c r="G10719" s="4" t="n">
        <v>3</v>
      </c>
      <c r="H10719" s="4" t="n">
        <v>4</v>
      </c>
      <c r="I10719" s="4" t="str">
        <v>×</v>
      </c>
      <c r="J10719" s="4"/>
      <c r="K10719" s="4"/>
      <c r="L10719" s="4"/>
      <c r="M10719" s="5" t="s">
        <v>6501</v>
      </c>
    </row>
    <row r="10720" customFormat="false" ht="15.75" hidden="false" customHeight="false" outlineLevel="0" collapsed="false">
      <c r="A10720" s="6" t="n">
        <v>46193</v>
      </c>
      <c r="B10720" s="4" t="s">
        <v>4172</v>
      </c>
      <c r="C10720" s="4" t="n">
        <v>12</v>
      </c>
      <c r="D10720" s="4" t="n">
        <v>6</v>
      </c>
      <c r="E10720" s="4"/>
      <c r="F10720" s="4" t="n">
        <v>8</v>
      </c>
      <c r="G10720" s="4" t="n">
        <v>10</v>
      </c>
      <c r="H10720" s="4" t="n">
        <v>4</v>
      </c>
      <c r="I10720" s="4" t="str">
        <v>×</v>
      </c>
      <c r="J10720" s="4"/>
      <c r="K10720" s="4"/>
      <c r="L10720" s="4"/>
      <c r="M10720" s="5" t="s">
        <v>6501</v>
      </c>
    </row>
    <row r="10721" customFormat="false" ht="15.75" hidden="false" customHeight="false" outlineLevel="0" collapsed="false">
      <c r="A10721" s="6" t="n">
        <v>46193</v>
      </c>
      <c r="B10721" s="4" t="s">
        <v>4172</v>
      </c>
      <c r="C10721" s="4" t="n">
        <v>12</v>
      </c>
      <c r="D10721" s="4" t="n">
        <v>7</v>
      </c>
      <c r="E10721" s="4"/>
      <c r="F10721" s="4" t="n">
        <v>10</v>
      </c>
      <c r="G10721" s="4" t="n">
        <v>9</v>
      </c>
      <c r="H10721" s="4" t="n">
        <v>4</v>
      </c>
      <c r="I10721" s="4" t="str">
        <v>×</v>
      </c>
      <c r="J10721" s="4"/>
      <c r="K10721" s="4"/>
      <c r="L10721" s="4"/>
      <c r="M10721" s="5" t="s">
        <v>6501</v>
      </c>
    </row>
    <row r="10722" customFormat="false" ht="15.75" hidden="false" customHeight="false" outlineLevel="0" collapsed="false">
      <c r="A10722" s="6" t="n">
        <v>46193</v>
      </c>
      <c r="B10722" s="4" t="s">
        <v>4172</v>
      </c>
      <c r="C10722" s="4" t="n">
        <v>12</v>
      </c>
      <c r="D10722" s="4" t="n">
        <v>8</v>
      </c>
      <c r="E10722" s="4"/>
      <c r="F10722" s="4" t="n">
        <v>17</v>
      </c>
      <c r="G10722" s="4" t="n">
        <v>8</v>
      </c>
      <c r="H10722" s="4" t="n">
        <v>2</v>
      </c>
      <c r="I10722" s="4" t="str">
        <v>○</v>
      </c>
      <c r="J10722" s="4" t="n">
        <v>1290</v>
      </c>
      <c r="K10722" s="4"/>
      <c r="L10722" s="4"/>
      <c r="M10722" s="5" t="s">
        <v>6501</v>
      </c>
    </row>
    <row r="10723" customFormat="false" ht="15.75" hidden="false" customHeight="false" outlineLevel="0" collapsed="false">
      <c r="A10723" s="6" t="n">
        <v>46193</v>
      </c>
      <c r="B10723" s="4" t="s">
        <v>4172</v>
      </c>
      <c r="C10723" s="4" t="n">
        <v>12</v>
      </c>
      <c r="D10723" s="4" t="n">
        <v>9</v>
      </c>
      <c r="E10723" s="4"/>
      <c r="F10723" s="4" t="n">
        <v>6</v>
      </c>
      <c r="G10723" s="4" t="n">
        <v>11</v>
      </c>
      <c r="H10723" s="4" t="n">
        <v>4</v>
      </c>
      <c r="I10723" s="4" t="str">
        <v>×</v>
      </c>
      <c r="J10723" s="4"/>
      <c r="K10723" s="4"/>
      <c r="L10723" s="4"/>
      <c r="M10723" s="5" t="s">
        <v>6501</v>
      </c>
    </row>
    <row r="10724" customFormat="false" ht="15.75" hidden="false" customHeight="false" outlineLevel="0" collapsed="false">
      <c r="A10724" s="6" t="n">
        <v>46193</v>
      </c>
      <c r="B10724" s="4" t="s">
        <v>4172</v>
      </c>
      <c r="C10724" s="4" t="n">
        <v>12</v>
      </c>
      <c r="D10724" s="4" t="n">
        <v>10</v>
      </c>
      <c r="E10724" s="4"/>
      <c r="F10724" s="4" t="n">
        <v>44</v>
      </c>
      <c r="G10724" s="4" t="n">
        <v>1</v>
      </c>
      <c r="H10724" s="4" t="n">
        <v>4</v>
      </c>
      <c r="I10724" s="4" t="str">
        <v>×</v>
      </c>
      <c r="J10724" s="4"/>
      <c r="K10724" s="4"/>
      <c r="L10724" s="4"/>
      <c r="M10724" s="5" t="s">
        <v>6501</v>
      </c>
    </row>
    <row r="10725" customFormat="false" ht="15.75" hidden="false" customHeight="false" outlineLevel="0" collapsed="false">
      <c r="A10725" s="6" t="n">
        <v>46193</v>
      </c>
      <c r="B10725" s="4" t="s">
        <v>4172</v>
      </c>
      <c r="C10725" s="4" t="n">
        <v>12</v>
      </c>
      <c r="D10725" s="4" t="n">
        <v>11</v>
      </c>
      <c r="E10725" s="4"/>
      <c r="F10725" s="4" t="n">
        <v>39</v>
      </c>
      <c r="G10725" s="4" t="n">
        <v>2</v>
      </c>
      <c r="H10725" s="4" t="n">
        <v>4</v>
      </c>
      <c r="I10725" s="4" t="str">
        <v>×</v>
      </c>
      <c r="J10725" s="4"/>
      <c r="K10725" s="4"/>
      <c r="L10725" s="4"/>
      <c r="M10725" s="5" t="s">
        <v>6501</v>
      </c>
    </row>
    <row r="10726" customFormat="false" ht="15.75" hidden="false" customHeight="false" outlineLevel="0" collapsed="false">
      <c r="A10726" s="6" t="n">
        <v>46193</v>
      </c>
      <c r="B10726" s="4" t="s">
        <v>4172</v>
      </c>
      <c r="C10726" s="4" t="n">
        <v>12</v>
      </c>
      <c r="D10726" s="4" t="n">
        <v>12</v>
      </c>
      <c r="E10726" s="4"/>
      <c r="F10726" s="4" t="n">
        <v>10</v>
      </c>
      <c r="G10726" s="4" t="n">
        <v>9</v>
      </c>
      <c r="H10726" s="4" t="n">
        <v>1</v>
      </c>
      <c r="I10726" s="4" t="str">
        <v>○</v>
      </c>
      <c r="J10726" s="4" t="n">
        <v>1240</v>
      </c>
      <c r="K10726" s="4"/>
      <c r="L10726" s="4"/>
      <c r="M10726" s="5" t="s">
        <v>6501</v>
      </c>
    </row>
    <row r="10727" customFormat="false" ht="15.75" hidden="false" customHeight="false" outlineLevel="0" collapsed="false">
      <c r="A10727" s="6" t="n">
        <v>46193</v>
      </c>
      <c r="B10727" s="4" t="s">
        <v>4172</v>
      </c>
      <c r="C10727" s="4" t="n">
        <v>12</v>
      </c>
      <c r="D10727" s="4" t="n">
        <v>13</v>
      </c>
      <c r="E10727" s="4"/>
      <c r="F10727" s="4" t="n">
        <v>23</v>
      </c>
      <c r="G10727" s="4" t="n">
        <v>7</v>
      </c>
      <c r="H10727" s="4" t="n">
        <v>4</v>
      </c>
      <c r="I10727" s="4" t="str">
        <v>×</v>
      </c>
      <c r="J10727" s="4"/>
      <c r="K10727" s="4"/>
      <c r="L10727" s="4"/>
      <c r="M10727" s="5" t="s">
        <v>6501</v>
      </c>
    </row>
    <row r="10728" customFormat="false" ht="15.75" hidden="false" customHeight="false" outlineLevel="0" collapsed="false">
      <c r="A10728" s="6" t="n">
        <v>46193</v>
      </c>
      <c r="B10728" s="4" t="s">
        <v>4172</v>
      </c>
      <c r="C10728" s="4" t="n">
        <v>12</v>
      </c>
      <c r="D10728" s="4" t="n">
        <v>14</v>
      </c>
      <c r="E10728" s="4"/>
      <c r="F10728" s="4" t="n">
        <v>2</v>
      </c>
      <c r="G10728" s="4" t="n">
        <v>12</v>
      </c>
      <c r="H10728" s="4" t="n">
        <v>4</v>
      </c>
      <c r="I10728" s="4" t="str">
        <v>×</v>
      </c>
      <c r="J10728" s="4"/>
      <c r="K10728" s="4"/>
      <c r="L10728" s="4"/>
      <c r="M10728" s="5" t="s">
        <v>6501</v>
      </c>
    </row>
    <row r="10729" customFormat="false" ht="15.75" hidden="false" customHeight="false" outlineLevel="0" collapsed="false">
      <c r="A10729" s="6" t="n">
        <v>46193</v>
      </c>
      <c r="B10729" s="4" t="s">
        <v>4172</v>
      </c>
      <c r="C10729" s="4" t="n">
        <v>12</v>
      </c>
      <c r="D10729" s="4" t="n">
        <v>15</v>
      </c>
      <c r="E10729" s="4"/>
      <c r="F10729" s="4" t="n">
        <v>44</v>
      </c>
      <c r="G10729" s="4" t="n">
        <v>1</v>
      </c>
      <c r="H10729" s="4" t="n">
        <v>4</v>
      </c>
      <c r="I10729" s="4" t="str">
        <v>×</v>
      </c>
      <c r="J10729" s="4"/>
      <c r="K10729" s="4"/>
      <c r="L10729" s="4"/>
      <c r="M10729" s="5" t="s">
        <v>6501</v>
      </c>
    </row>
    <row r="10730" customFormat="false" ht="15.75" hidden="false" customHeight="false" outlineLevel="0" collapsed="false">
      <c r="A10730" s="6" t="n">
        <v>46193</v>
      </c>
      <c r="B10730" s="4" t="s">
        <v>4172</v>
      </c>
      <c r="C10730" s="4" t="n">
        <v>12</v>
      </c>
      <c r="D10730" s="4" t="n">
        <v>16</v>
      </c>
      <c r="E10730" s="4"/>
      <c r="F10730" s="4" t="n">
        <v>34</v>
      </c>
      <c r="G10730" s="4" t="n">
        <v>4</v>
      </c>
      <c r="H10730" s="4" t="n">
        <v>4</v>
      </c>
      <c r="I10730" s="4" t="str">
        <v>×</v>
      </c>
      <c r="J10730" s="4"/>
      <c r="K10730" s="4"/>
      <c r="L10730" s="4"/>
      <c r="M10730" s="5" t="s">
        <v>6501</v>
      </c>
    </row>
    <row r="10731" customFormat="false" ht="15.75" hidden="false" customHeight="false" outlineLevel="0" collapsed="false">
      <c r="A10731" s="6" t="n">
        <v>46193</v>
      </c>
      <c r="B10731" s="4" t="s">
        <v>4172</v>
      </c>
      <c r="C10731" s="4" t="n">
        <v>12</v>
      </c>
      <c r="D10731" s="4" t="n">
        <v>17</v>
      </c>
      <c r="E10731" s="4"/>
      <c r="F10731" s="4" t="n">
        <v>25</v>
      </c>
      <c r="G10731" s="4" t="n">
        <v>6</v>
      </c>
      <c r="H10731" s="4" t="n">
        <v>4</v>
      </c>
      <c r="I10731" s="4" t="str">
        <v>×</v>
      </c>
      <c r="J10731" s="4"/>
      <c r="K10731" s="4"/>
      <c r="L10731" s="4"/>
      <c r="M10731" s="5" t="s">
        <v>6501</v>
      </c>
    </row>
    <row r="10732" customFormat="false" ht="15.75" hidden="false" customHeight="false" outlineLevel="0" collapsed="false">
      <c r="A10732" s="6" t="n">
        <v>46193</v>
      </c>
      <c r="B10732" s="4" t="s">
        <v>4172</v>
      </c>
      <c r="C10732" s="4" t="n">
        <v>12</v>
      </c>
      <c r="D10732" s="4" t="n">
        <v>18</v>
      </c>
      <c r="E10732" s="4"/>
      <c r="F10732" s="4" t="n">
        <v>39</v>
      </c>
      <c r="G10732" s="4" t="n">
        <v>2</v>
      </c>
      <c r="H10732" s="4" t="n">
        <v>3</v>
      </c>
      <c r="I10732" s="4" t="str">
        <v>○</v>
      </c>
      <c r="J10732" s="4" t="n">
        <v>240</v>
      </c>
      <c r="K10732" s="4"/>
      <c r="L10732" s="4"/>
      <c r="M10732" s="5" t="s">
        <v>6501</v>
      </c>
    </row>
    <row r="10733" customFormat="false" ht="15.75" hidden="false" customHeight="false" outlineLevel="0" collapsed="false">
      <c r="A10733" s="6" t="n">
        <v>46194</v>
      </c>
      <c r="B10733" s="4" t="s">
        <v>1237</v>
      </c>
      <c r="C10733" s="4" t="n">
        <v>1</v>
      </c>
      <c r="D10733" s="4" t="n">
        <v>1</v>
      </c>
      <c r="E10733" s="4"/>
      <c r="F10733" s="4" t="n">
        <v>52</v>
      </c>
      <c r="G10733" s="4" t="n">
        <v>1</v>
      </c>
      <c r="H10733" s="4" t="n">
        <v>4</v>
      </c>
      <c r="I10733" s="4" t="str">
        <v>×</v>
      </c>
      <c r="J10733" s="4"/>
      <c r="K10733" s="4"/>
      <c r="L10733" s="4"/>
      <c r="M10733" s="5" t="s">
        <v>6501</v>
      </c>
    </row>
    <row r="10734" customFormat="false" ht="15.75" hidden="false" customHeight="false" outlineLevel="0" collapsed="false">
      <c r="A10734" s="6" t="n">
        <v>46194</v>
      </c>
      <c r="B10734" s="4" t="s">
        <v>1237</v>
      </c>
      <c r="C10734" s="4" t="n">
        <v>1</v>
      </c>
      <c r="D10734" s="4" t="n">
        <v>2</v>
      </c>
      <c r="E10734" s="4"/>
      <c r="F10734" s="4" t="n">
        <v>13</v>
      </c>
      <c r="G10734" s="4" t="n">
        <v>8</v>
      </c>
      <c r="H10734" s="4" t="n">
        <v>4</v>
      </c>
      <c r="I10734" s="4" t="str">
        <v>×</v>
      </c>
      <c r="J10734" s="4"/>
      <c r="K10734" s="4"/>
      <c r="L10734" s="4"/>
      <c r="M10734" s="5" t="s">
        <v>6501</v>
      </c>
    </row>
    <row r="10735" customFormat="false" ht="15.75" hidden="false" customHeight="false" outlineLevel="0" collapsed="false">
      <c r="A10735" s="6" t="n">
        <v>46194</v>
      </c>
      <c r="B10735" s="4" t="s">
        <v>1237</v>
      </c>
      <c r="C10735" s="4" t="n">
        <v>1</v>
      </c>
      <c r="D10735" s="4" t="n">
        <v>3</v>
      </c>
      <c r="E10735" s="4"/>
      <c r="F10735" s="4" t="n">
        <v>50</v>
      </c>
      <c r="G10735" s="4" t="n">
        <v>2</v>
      </c>
      <c r="H10735" s="4" t="n">
        <v>3</v>
      </c>
      <c r="I10735" s="4" t="str">
        <v>○</v>
      </c>
      <c r="J10735" s="4" t="n">
        <v>130</v>
      </c>
      <c r="K10735" s="4"/>
      <c r="L10735" s="4"/>
      <c r="M10735" s="5" t="s">
        <v>6501</v>
      </c>
    </row>
    <row r="10736" customFormat="false" ht="15.75" hidden="false" customHeight="false" outlineLevel="0" collapsed="false">
      <c r="A10736" s="6" t="n">
        <v>46194</v>
      </c>
      <c r="B10736" s="4" t="s">
        <v>1237</v>
      </c>
      <c r="C10736" s="4" t="n">
        <v>1</v>
      </c>
      <c r="D10736" s="4" t="n">
        <v>4</v>
      </c>
      <c r="E10736" s="4"/>
      <c r="F10736" s="4" t="n">
        <v>20</v>
      </c>
      <c r="G10736" s="4" t="n">
        <v>5</v>
      </c>
      <c r="H10736" s="4" t="n">
        <v>4</v>
      </c>
      <c r="I10736" s="4" t="str">
        <v>×</v>
      </c>
      <c r="J10736" s="4"/>
      <c r="K10736" s="4"/>
      <c r="L10736" s="4"/>
      <c r="M10736" s="5" t="s">
        <v>6501</v>
      </c>
    </row>
    <row r="10737" customFormat="false" ht="15.75" hidden="false" customHeight="false" outlineLevel="0" collapsed="false">
      <c r="A10737" s="6" t="n">
        <v>46194</v>
      </c>
      <c r="B10737" s="4" t="s">
        <v>1237</v>
      </c>
      <c r="C10737" s="4" t="n">
        <v>1</v>
      </c>
      <c r="D10737" s="4" t="n">
        <v>5</v>
      </c>
      <c r="E10737" s="4"/>
      <c r="F10737" s="4" t="n">
        <v>3</v>
      </c>
      <c r="G10737" s="4" t="n">
        <v>11</v>
      </c>
      <c r="H10737" s="4" t="n">
        <v>4</v>
      </c>
      <c r="I10737" s="4" t="str">
        <v>×</v>
      </c>
      <c r="J10737" s="4"/>
      <c r="K10737" s="4"/>
      <c r="L10737" s="4"/>
      <c r="M10737" s="5" t="s">
        <v>6501</v>
      </c>
    </row>
    <row r="10738" customFormat="false" ht="15.75" hidden="false" customHeight="false" outlineLevel="0" collapsed="false">
      <c r="A10738" s="6" t="n">
        <v>46194</v>
      </c>
      <c r="B10738" s="4" t="s">
        <v>1237</v>
      </c>
      <c r="C10738" s="4" t="n">
        <v>1</v>
      </c>
      <c r="D10738" s="4" t="n">
        <v>6</v>
      </c>
      <c r="E10738" s="4"/>
      <c r="F10738" s="4" t="n">
        <v>4</v>
      </c>
      <c r="G10738" s="4" t="n">
        <v>10</v>
      </c>
      <c r="H10738" s="4" t="n">
        <v>4</v>
      </c>
      <c r="I10738" s="4" t="str">
        <v>×</v>
      </c>
      <c r="J10738" s="4"/>
      <c r="K10738" s="4"/>
      <c r="L10738" s="4"/>
      <c r="M10738" s="5" t="s">
        <v>6501</v>
      </c>
    </row>
    <row r="10739" customFormat="false" ht="15.75" hidden="false" customHeight="false" outlineLevel="0" collapsed="false">
      <c r="A10739" s="6" t="n">
        <v>46194</v>
      </c>
      <c r="B10739" s="4" t="s">
        <v>1237</v>
      </c>
      <c r="C10739" s="4" t="n">
        <v>1</v>
      </c>
      <c r="D10739" s="4" t="n">
        <v>7</v>
      </c>
      <c r="E10739" s="4"/>
      <c r="F10739" s="4" t="n">
        <v>15</v>
      </c>
      <c r="G10739" s="4" t="n">
        <v>7</v>
      </c>
      <c r="H10739" s="4" t="n">
        <v>4</v>
      </c>
      <c r="I10739" s="4" t="str">
        <v>×</v>
      </c>
      <c r="J10739" s="4"/>
      <c r="K10739" s="4"/>
      <c r="L10739" s="4"/>
      <c r="M10739" s="5" t="s">
        <v>6501</v>
      </c>
    </row>
    <row r="10740" customFormat="false" ht="15.75" hidden="false" customHeight="false" outlineLevel="0" collapsed="false">
      <c r="A10740" s="6" t="n">
        <v>46194</v>
      </c>
      <c r="B10740" s="4" t="s">
        <v>1237</v>
      </c>
      <c r="C10740" s="4" t="n">
        <v>1</v>
      </c>
      <c r="D10740" s="4" t="n">
        <v>8</v>
      </c>
      <c r="E10740" s="4"/>
      <c r="F10740" s="4" t="n">
        <v>20</v>
      </c>
      <c r="G10740" s="4" t="n">
        <v>5</v>
      </c>
      <c r="H10740" s="4" t="n">
        <v>1</v>
      </c>
      <c r="I10740" s="4" t="str">
        <v>○</v>
      </c>
      <c r="J10740" s="4" t="n">
        <v>180</v>
      </c>
      <c r="K10740" s="4"/>
      <c r="L10740" s="4"/>
      <c r="M10740" s="5" t="s">
        <v>6501</v>
      </c>
    </row>
    <row r="10741" customFormat="false" ht="15.75" hidden="false" customHeight="false" outlineLevel="0" collapsed="false">
      <c r="A10741" s="6" t="n">
        <v>46194</v>
      </c>
      <c r="B10741" s="4" t="s">
        <v>1237</v>
      </c>
      <c r="C10741" s="4" t="n">
        <v>1</v>
      </c>
      <c r="D10741" s="4" t="n">
        <v>9</v>
      </c>
      <c r="E10741" s="4"/>
      <c r="F10741" s="4" t="n">
        <v>31</v>
      </c>
      <c r="G10741" s="4" t="n">
        <v>4</v>
      </c>
      <c r="H10741" s="4" t="n">
        <v>4</v>
      </c>
      <c r="I10741" s="4" t="str">
        <v>×</v>
      </c>
      <c r="J10741" s="4"/>
      <c r="K10741" s="4"/>
      <c r="L10741" s="4"/>
      <c r="M10741" s="5" t="s">
        <v>6501</v>
      </c>
    </row>
    <row r="10742" customFormat="false" ht="15.75" hidden="false" customHeight="false" outlineLevel="0" collapsed="false">
      <c r="A10742" s="6" t="n">
        <v>46194</v>
      </c>
      <c r="B10742" s="4" t="s">
        <v>1237</v>
      </c>
      <c r="C10742" s="4" t="n">
        <v>1</v>
      </c>
      <c r="D10742" s="4" t="n">
        <v>10</v>
      </c>
      <c r="E10742" s="4"/>
      <c r="F10742" s="4" t="n">
        <v>17</v>
      </c>
      <c r="G10742" s="4" t="n">
        <v>6</v>
      </c>
      <c r="H10742" s="4" t="n">
        <v>4</v>
      </c>
      <c r="I10742" s="4" t="str">
        <v>×</v>
      </c>
      <c r="J10742" s="4"/>
      <c r="K10742" s="4"/>
      <c r="L10742" s="4"/>
      <c r="M10742" s="5" t="s">
        <v>6501</v>
      </c>
    </row>
    <row r="10743" customFormat="false" ht="15.75" hidden="false" customHeight="false" outlineLevel="0" collapsed="false">
      <c r="A10743" s="6" t="n">
        <v>46194</v>
      </c>
      <c r="B10743" s="4" t="s">
        <v>1237</v>
      </c>
      <c r="C10743" s="4" t="n">
        <v>1</v>
      </c>
      <c r="D10743" s="4" t="n">
        <v>11</v>
      </c>
      <c r="E10743" s="4"/>
      <c r="F10743" s="4" t="n">
        <v>39</v>
      </c>
      <c r="G10743" s="4" t="n">
        <v>3</v>
      </c>
      <c r="H10743" s="4" t="n">
        <v>2</v>
      </c>
      <c r="I10743" s="4" t="str">
        <v>○</v>
      </c>
      <c r="J10743" s="4" t="n">
        <v>160</v>
      </c>
      <c r="K10743" s="4"/>
      <c r="L10743" s="4"/>
      <c r="M10743" s="5" t="s">
        <v>6501</v>
      </c>
    </row>
    <row r="10744" customFormat="false" ht="15.75" hidden="false" customHeight="false" outlineLevel="0" collapsed="false">
      <c r="A10744" s="6" t="n">
        <v>46194</v>
      </c>
      <c r="B10744" s="4" t="s">
        <v>1237</v>
      </c>
      <c r="C10744" s="4" t="n">
        <v>1</v>
      </c>
      <c r="D10744" s="4" t="n">
        <v>12</v>
      </c>
      <c r="E10744" s="4"/>
      <c r="F10744" s="4" t="n">
        <v>4</v>
      </c>
      <c r="G10744" s="4" t="n">
        <v>10</v>
      </c>
      <c r="H10744" s="4" t="n">
        <v>4</v>
      </c>
      <c r="I10744" s="4" t="str">
        <v>×</v>
      </c>
      <c r="J10744" s="4"/>
      <c r="K10744" s="4"/>
      <c r="L10744" s="4"/>
      <c r="M10744" s="5" t="s">
        <v>6501</v>
      </c>
    </row>
    <row r="10745" customFormat="false" ht="15.75" hidden="false" customHeight="false" outlineLevel="0" collapsed="false">
      <c r="A10745" s="6" t="n">
        <v>46194</v>
      </c>
      <c r="B10745" s="4" t="s">
        <v>1237</v>
      </c>
      <c r="C10745" s="4" t="n">
        <v>1</v>
      </c>
      <c r="D10745" s="4" t="n">
        <v>13</v>
      </c>
      <c r="E10745" s="4"/>
      <c r="F10745" s="4" t="n">
        <v>4</v>
      </c>
      <c r="G10745" s="4" t="n">
        <v>10</v>
      </c>
      <c r="H10745" s="4" t="n">
        <v>4</v>
      </c>
      <c r="I10745" s="4" t="str">
        <v>×</v>
      </c>
      <c r="J10745" s="4"/>
      <c r="K10745" s="4"/>
      <c r="L10745" s="4"/>
      <c r="M10745" s="5" t="s">
        <v>6501</v>
      </c>
    </row>
    <row r="10746" customFormat="false" ht="15.75" hidden="false" customHeight="false" outlineLevel="0" collapsed="false">
      <c r="A10746" s="6" t="n">
        <v>46194</v>
      </c>
      <c r="B10746" s="4" t="s">
        <v>1237</v>
      </c>
      <c r="C10746" s="4" t="n">
        <v>1</v>
      </c>
      <c r="D10746" s="4" t="n">
        <v>14</v>
      </c>
      <c r="E10746" s="4"/>
      <c r="F10746" s="4" t="n">
        <v>15</v>
      </c>
      <c r="G10746" s="4" t="n">
        <v>7</v>
      </c>
      <c r="H10746" s="4" t="n">
        <v>4</v>
      </c>
      <c r="I10746" s="4" t="str">
        <v>×</v>
      </c>
      <c r="J10746" s="4"/>
      <c r="K10746" s="4"/>
      <c r="L10746" s="4"/>
      <c r="M10746" s="5" t="s">
        <v>6501</v>
      </c>
    </row>
    <row r="10747" customFormat="false" ht="15.75" hidden="false" customHeight="false" outlineLevel="0" collapsed="false">
      <c r="A10747" s="6" t="n">
        <v>46194</v>
      </c>
      <c r="B10747" s="4" t="s">
        <v>1237</v>
      </c>
      <c r="C10747" s="4" t="n">
        <v>1</v>
      </c>
      <c r="D10747" s="4" t="n">
        <v>15</v>
      </c>
      <c r="E10747" s="4"/>
      <c r="F10747" s="4" t="n">
        <v>4</v>
      </c>
      <c r="G10747" s="4" t="n">
        <v>10</v>
      </c>
      <c r="H10747" s="4" t="n">
        <v>4</v>
      </c>
      <c r="I10747" s="4" t="str">
        <v>×</v>
      </c>
      <c r="J10747" s="4"/>
      <c r="K10747" s="4"/>
      <c r="L10747" s="4"/>
      <c r="M10747" s="5" t="s">
        <v>6501</v>
      </c>
    </row>
    <row r="10748" customFormat="false" ht="15.75" hidden="false" customHeight="false" outlineLevel="0" collapsed="false">
      <c r="A10748" s="6" t="n">
        <v>46194</v>
      </c>
      <c r="B10748" s="4" t="s">
        <v>1237</v>
      </c>
      <c r="C10748" s="4" t="n">
        <v>1</v>
      </c>
      <c r="D10748" s="4" t="n">
        <v>16</v>
      </c>
      <c r="E10748" s="4"/>
      <c r="F10748" s="4" t="n">
        <v>8</v>
      </c>
      <c r="G10748" s="4" t="n">
        <v>9</v>
      </c>
      <c r="H10748" s="4" t="n">
        <v>4</v>
      </c>
      <c r="I10748" s="4" t="str">
        <v>×</v>
      </c>
      <c r="J10748" s="4"/>
      <c r="K10748" s="4"/>
      <c r="L10748" s="4"/>
      <c r="M10748" s="5" t="s">
        <v>6501</v>
      </c>
    </row>
    <row r="10749" customFormat="false" ht="15.75" hidden="false" customHeight="false" outlineLevel="0" collapsed="false">
      <c r="A10749" s="6" t="n">
        <v>46194</v>
      </c>
      <c r="B10749" s="4" t="s">
        <v>1237</v>
      </c>
      <c r="C10749" s="4" t="n">
        <v>2</v>
      </c>
      <c r="D10749" s="4" t="n">
        <v>1</v>
      </c>
      <c r="E10749" s="4"/>
      <c r="F10749" s="4" t="n">
        <v>31</v>
      </c>
      <c r="G10749" s="4" t="n">
        <v>4</v>
      </c>
      <c r="H10749" s="4" t="n">
        <v>1</v>
      </c>
      <c r="I10749" s="4" t="str">
        <v>○</v>
      </c>
      <c r="J10749" s="4" t="n">
        <v>230</v>
      </c>
      <c r="K10749" s="4"/>
      <c r="L10749" s="4"/>
      <c r="M10749" s="5" t="s">
        <v>6501</v>
      </c>
    </row>
    <row r="10750" customFormat="false" ht="15.75" hidden="false" customHeight="false" outlineLevel="0" collapsed="false">
      <c r="A10750" s="6" t="n">
        <v>46194</v>
      </c>
      <c r="B10750" s="4" t="s">
        <v>1237</v>
      </c>
      <c r="C10750" s="4" t="n">
        <v>2</v>
      </c>
      <c r="D10750" s="4" t="n">
        <v>2</v>
      </c>
      <c r="E10750" s="4"/>
      <c r="F10750" s="4" t="n">
        <v>39</v>
      </c>
      <c r="G10750" s="4" t="n">
        <v>3</v>
      </c>
      <c r="H10750" s="4" t="n">
        <v>2</v>
      </c>
      <c r="I10750" s="4" t="str">
        <v>○</v>
      </c>
      <c r="J10750" s="4" t="n">
        <v>160</v>
      </c>
      <c r="K10750" s="4"/>
      <c r="L10750" s="4"/>
      <c r="M10750" s="5" t="s">
        <v>6501</v>
      </c>
    </row>
    <row r="10751" customFormat="false" ht="15.75" hidden="false" customHeight="false" outlineLevel="0" collapsed="false">
      <c r="A10751" s="6" t="n">
        <v>46194</v>
      </c>
      <c r="B10751" s="4" t="s">
        <v>1237</v>
      </c>
      <c r="C10751" s="4" t="n">
        <v>2</v>
      </c>
      <c r="D10751" s="4" t="n">
        <v>3</v>
      </c>
      <c r="E10751" s="4"/>
      <c r="F10751" s="4" t="n">
        <v>31</v>
      </c>
      <c r="G10751" s="4" t="n">
        <v>4</v>
      </c>
      <c r="H10751" s="4" t="n">
        <v>4</v>
      </c>
      <c r="I10751" s="4" t="str">
        <v>×</v>
      </c>
      <c r="J10751" s="4"/>
      <c r="K10751" s="4"/>
      <c r="L10751" s="4"/>
      <c r="M10751" s="5" t="s">
        <v>6501</v>
      </c>
    </row>
    <row r="10752" customFormat="false" ht="15.75" hidden="false" customHeight="false" outlineLevel="0" collapsed="false">
      <c r="A10752" s="6" t="n">
        <v>46194</v>
      </c>
      <c r="B10752" s="4" t="s">
        <v>1237</v>
      </c>
      <c r="C10752" s="4" t="n">
        <v>2</v>
      </c>
      <c r="D10752" s="4" t="n">
        <v>4</v>
      </c>
      <c r="E10752" s="4"/>
      <c r="F10752" s="4" t="n">
        <v>44</v>
      </c>
      <c r="G10752" s="4" t="n">
        <v>2</v>
      </c>
      <c r="H10752" s="4" t="n">
        <v>4</v>
      </c>
      <c r="I10752" s="4" t="str">
        <v>×</v>
      </c>
      <c r="J10752" s="4"/>
      <c r="K10752" s="4"/>
      <c r="L10752" s="4"/>
      <c r="M10752" s="5" t="s">
        <v>6501</v>
      </c>
    </row>
    <row r="10753" customFormat="false" ht="15.75" hidden="false" customHeight="false" outlineLevel="0" collapsed="false">
      <c r="A10753" s="6" t="n">
        <v>46194</v>
      </c>
      <c r="B10753" s="4" t="s">
        <v>1237</v>
      </c>
      <c r="C10753" s="4" t="n">
        <v>2</v>
      </c>
      <c r="D10753" s="4" t="n">
        <v>5</v>
      </c>
      <c r="E10753" s="4"/>
      <c r="F10753" s="4" t="n">
        <v>20</v>
      </c>
      <c r="G10753" s="4" t="n">
        <v>5</v>
      </c>
      <c r="H10753" s="4" t="n">
        <v>4</v>
      </c>
      <c r="I10753" s="4" t="str">
        <v>×</v>
      </c>
      <c r="J10753" s="4"/>
      <c r="K10753" s="4"/>
      <c r="L10753" s="4"/>
      <c r="M10753" s="5" t="s">
        <v>6501</v>
      </c>
    </row>
    <row r="10754" customFormat="false" ht="15.75" hidden="false" customHeight="false" outlineLevel="0" collapsed="false">
      <c r="A10754" s="6" t="n">
        <v>46194</v>
      </c>
      <c r="B10754" s="4" t="s">
        <v>1237</v>
      </c>
      <c r="C10754" s="4" t="n">
        <v>2</v>
      </c>
      <c r="D10754" s="4" t="n">
        <v>6</v>
      </c>
      <c r="E10754" s="4"/>
      <c r="F10754" s="4" t="n">
        <v>10</v>
      </c>
      <c r="G10754" s="4" t="n">
        <v>7</v>
      </c>
      <c r="H10754" s="4" t="n">
        <v>4</v>
      </c>
      <c r="I10754" s="4" t="str">
        <v>×</v>
      </c>
      <c r="J10754" s="4"/>
      <c r="K10754" s="4"/>
      <c r="L10754" s="4"/>
      <c r="M10754" s="5" t="s">
        <v>6501</v>
      </c>
    </row>
    <row r="10755" customFormat="false" ht="15.75" hidden="false" customHeight="false" outlineLevel="0" collapsed="false">
      <c r="A10755" s="6" t="n">
        <v>46194</v>
      </c>
      <c r="B10755" s="4" t="s">
        <v>1237</v>
      </c>
      <c r="C10755" s="4" t="n">
        <v>2</v>
      </c>
      <c r="D10755" s="4" t="n">
        <v>7</v>
      </c>
      <c r="E10755" s="4"/>
      <c r="F10755" s="4" t="n">
        <v>8</v>
      </c>
      <c r="G10755" s="4" t="n">
        <v>8</v>
      </c>
      <c r="H10755" s="4" t="n">
        <v>4</v>
      </c>
      <c r="I10755" s="4" t="str">
        <v>×</v>
      </c>
      <c r="J10755" s="4"/>
      <c r="K10755" s="4"/>
      <c r="L10755" s="4"/>
      <c r="M10755" s="5" t="s">
        <v>6501</v>
      </c>
    </row>
    <row r="10756" customFormat="false" ht="15.75" hidden="false" customHeight="false" outlineLevel="0" collapsed="false">
      <c r="A10756" s="6" t="n">
        <v>46194</v>
      </c>
      <c r="B10756" s="4" t="s">
        <v>1237</v>
      </c>
      <c r="C10756" s="4" t="n">
        <v>2</v>
      </c>
      <c r="D10756" s="4" t="n">
        <v>8</v>
      </c>
      <c r="E10756" s="4"/>
      <c r="F10756" s="4" t="n">
        <v>58</v>
      </c>
      <c r="G10756" s="4" t="n">
        <v>1</v>
      </c>
      <c r="H10756" s="4" t="n">
        <v>4</v>
      </c>
      <c r="I10756" s="4" t="str">
        <v>×</v>
      </c>
      <c r="J10756" s="4"/>
      <c r="K10756" s="4"/>
      <c r="L10756" s="4"/>
      <c r="M10756" s="5" t="s">
        <v>6501</v>
      </c>
    </row>
    <row r="10757" customFormat="false" ht="15.75" hidden="false" customHeight="false" outlineLevel="0" collapsed="false">
      <c r="A10757" s="6" t="n">
        <v>46194</v>
      </c>
      <c r="B10757" s="4" t="s">
        <v>1237</v>
      </c>
      <c r="C10757" s="4" t="n">
        <v>2</v>
      </c>
      <c r="D10757" s="4" t="n">
        <v>9</v>
      </c>
      <c r="E10757" s="4"/>
      <c r="F10757" s="4" t="n">
        <v>15</v>
      </c>
      <c r="G10757" s="4" t="n">
        <v>6</v>
      </c>
      <c r="H10757" s="4" t="n">
        <v>3</v>
      </c>
      <c r="I10757" s="4" t="str">
        <v>○</v>
      </c>
      <c r="J10757" s="4" t="n">
        <v>470</v>
      </c>
      <c r="K10757" s="4"/>
      <c r="L10757" s="4"/>
      <c r="M10757" s="5" t="s">
        <v>6501</v>
      </c>
    </row>
    <row r="10758" customFormat="false" ht="15.75" hidden="false" customHeight="false" outlineLevel="0" collapsed="false">
      <c r="A10758" s="6" t="n">
        <v>46194</v>
      </c>
      <c r="B10758" s="4" t="s">
        <v>1237</v>
      </c>
      <c r="C10758" s="4" t="n">
        <v>2</v>
      </c>
      <c r="D10758" s="4" t="n">
        <v>10</v>
      </c>
      <c r="E10758" s="4"/>
      <c r="F10758" s="4" t="n">
        <v>10</v>
      </c>
      <c r="G10758" s="4" t="n">
        <v>7</v>
      </c>
      <c r="H10758" s="4" t="n">
        <v>4</v>
      </c>
      <c r="I10758" s="4" t="str">
        <v>×</v>
      </c>
      <c r="J10758" s="4"/>
      <c r="K10758" s="4"/>
      <c r="L10758" s="4"/>
      <c r="M10758" s="5" t="s">
        <v>6501</v>
      </c>
    </row>
    <row r="10759" customFormat="false" ht="15.75" hidden="false" customHeight="false" outlineLevel="0" collapsed="false">
      <c r="A10759" s="6" t="n">
        <v>46194</v>
      </c>
      <c r="B10759" s="4" t="s">
        <v>1237</v>
      </c>
      <c r="C10759" s="4" t="n">
        <v>2</v>
      </c>
      <c r="D10759" s="4" t="n">
        <v>11</v>
      </c>
      <c r="E10759" s="4"/>
      <c r="F10759" s="4" t="n">
        <v>6</v>
      </c>
      <c r="G10759" s="4" t="n">
        <v>9</v>
      </c>
      <c r="H10759" s="4" t="n">
        <v>4</v>
      </c>
      <c r="I10759" s="4" t="str">
        <v>×</v>
      </c>
      <c r="J10759" s="4"/>
      <c r="K10759" s="4"/>
      <c r="L10759" s="4"/>
      <c r="M10759" s="5" t="s">
        <v>6501</v>
      </c>
    </row>
    <row r="10760" customFormat="false" ht="15.75" hidden="false" customHeight="false" outlineLevel="0" collapsed="false">
      <c r="A10760" s="6" t="n">
        <v>46194</v>
      </c>
      <c r="B10760" s="4" t="s">
        <v>1237</v>
      </c>
      <c r="C10760" s="4" t="n">
        <v>6</v>
      </c>
      <c r="D10760" s="4" t="n">
        <v>1</v>
      </c>
      <c r="E10760" s="4"/>
      <c r="F10760" s="4" t="n">
        <v>10</v>
      </c>
      <c r="G10760" s="4" t="n">
        <v>8</v>
      </c>
      <c r="H10760" s="4" t="n">
        <v>1</v>
      </c>
      <c r="I10760" s="4" t="str">
        <v>○</v>
      </c>
      <c r="J10760" s="4" t="n">
        <v>380</v>
      </c>
      <c r="K10760" s="4"/>
      <c r="L10760" s="4"/>
      <c r="M10760" s="5" t="s">
        <v>6501</v>
      </c>
    </row>
    <row r="10761" customFormat="false" ht="15.75" hidden="false" customHeight="false" outlineLevel="0" collapsed="false">
      <c r="A10761" s="6" t="n">
        <v>46194</v>
      </c>
      <c r="B10761" s="4" t="s">
        <v>1237</v>
      </c>
      <c r="C10761" s="4" t="n">
        <v>6</v>
      </c>
      <c r="D10761" s="4" t="n">
        <v>2</v>
      </c>
      <c r="E10761" s="4"/>
      <c r="F10761" s="4" t="n">
        <v>25</v>
      </c>
      <c r="G10761" s="4" t="n">
        <v>4</v>
      </c>
      <c r="H10761" s="4" t="n">
        <v>2</v>
      </c>
      <c r="I10761" s="4" t="str">
        <v>○</v>
      </c>
      <c r="J10761" s="4" t="n">
        <v>340</v>
      </c>
      <c r="K10761" s="4"/>
      <c r="L10761" s="4"/>
      <c r="M10761" s="5" t="s">
        <v>6501</v>
      </c>
    </row>
    <row r="10762" customFormat="false" ht="15.75" hidden="false" customHeight="false" outlineLevel="0" collapsed="false">
      <c r="A10762" s="6" t="n">
        <v>46194</v>
      </c>
      <c r="B10762" s="4" t="s">
        <v>1237</v>
      </c>
      <c r="C10762" s="4" t="n">
        <v>6</v>
      </c>
      <c r="D10762" s="4" t="n">
        <v>3</v>
      </c>
      <c r="E10762" s="4"/>
      <c r="F10762" s="4" t="n">
        <v>4</v>
      </c>
      <c r="G10762" s="4" t="n">
        <v>9</v>
      </c>
      <c r="H10762" s="4" t="n">
        <v>4</v>
      </c>
      <c r="I10762" s="4" t="str">
        <v>×</v>
      </c>
      <c r="J10762" s="4"/>
      <c r="K10762" s="4"/>
      <c r="L10762" s="4"/>
      <c r="M10762" s="5" t="s">
        <v>6501</v>
      </c>
    </row>
    <row r="10763" customFormat="false" ht="15.75" hidden="false" customHeight="false" outlineLevel="0" collapsed="false">
      <c r="A10763" s="6" t="n">
        <v>46194</v>
      </c>
      <c r="B10763" s="4" t="s">
        <v>1237</v>
      </c>
      <c r="C10763" s="4" t="n">
        <v>6</v>
      </c>
      <c r="D10763" s="4" t="n">
        <v>4</v>
      </c>
      <c r="E10763" s="4"/>
      <c r="F10763" s="4" t="n">
        <v>71</v>
      </c>
      <c r="G10763" s="4" t="n">
        <v>1</v>
      </c>
      <c r="H10763" s="4" t="n">
        <v>4</v>
      </c>
      <c r="I10763" s="4" t="str">
        <v>×</v>
      </c>
      <c r="J10763" s="4"/>
      <c r="K10763" s="4"/>
      <c r="L10763" s="4"/>
      <c r="M10763" s="5" t="s">
        <v>6501</v>
      </c>
    </row>
    <row r="10764" customFormat="false" ht="15.75" hidden="false" customHeight="false" outlineLevel="0" collapsed="false">
      <c r="A10764" s="6" t="n">
        <v>46194</v>
      </c>
      <c r="B10764" s="4" t="s">
        <v>1237</v>
      </c>
      <c r="C10764" s="4" t="n">
        <v>6</v>
      </c>
      <c r="D10764" s="4" t="n">
        <v>5</v>
      </c>
      <c r="E10764" s="4"/>
      <c r="F10764" s="4" t="n">
        <v>31</v>
      </c>
      <c r="G10764" s="4" t="n">
        <v>3</v>
      </c>
      <c r="H10764" s="4" t="n">
        <v>4</v>
      </c>
      <c r="I10764" s="4" t="str">
        <v>×</v>
      </c>
      <c r="J10764" s="4"/>
      <c r="K10764" s="4"/>
      <c r="L10764" s="4"/>
      <c r="M10764" s="5" t="s">
        <v>6501</v>
      </c>
    </row>
    <row r="10765" customFormat="false" ht="15.75" hidden="false" customHeight="false" outlineLevel="0" collapsed="false">
      <c r="A10765" s="6" t="n">
        <v>46194</v>
      </c>
      <c r="B10765" s="4" t="s">
        <v>1237</v>
      </c>
      <c r="C10765" s="4" t="n">
        <v>6</v>
      </c>
      <c r="D10765" s="4" t="n">
        <v>6</v>
      </c>
      <c r="E10765" s="4"/>
      <c r="F10765" s="4" t="n">
        <v>25</v>
      </c>
      <c r="G10765" s="4" t="n">
        <v>4</v>
      </c>
      <c r="H10765" s="4" t="n">
        <v>4</v>
      </c>
      <c r="I10765" s="4" t="str">
        <v>×</v>
      </c>
      <c r="J10765" s="4"/>
      <c r="K10765" s="4"/>
      <c r="L10765" s="4"/>
      <c r="M10765" s="5" t="s">
        <v>6501</v>
      </c>
    </row>
    <row r="10766" customFormat="false" ht="15.75" hidden="false" customHeight="false" outlineLevel="0" collapsed="false">
      <c r="A10766" s="6" t="n">
        <v>46194</v>
      </c>
      <c r="B10766" s="4" t="s">
        <v>1237</v>
      </c>
      <c r="C10766" s="4" t="n">
        <v>6</v>
      </c>
      <c r="D10766" s="4" t="n">
        <v>7</v>
      </c>
      <c r="E10766" s="4"/>
      <c r="F10766" s="4" t="n">
        <v>52</v>
      </c>
      <c r="G10766" s="4" t="n">
        <v>2</v>
      </c>
      <c r="H10766" s="4" t="n">
        <v>4</v>
      </c>
      <c r="I10766" s="4" t="str">
        <v>×</v>
      </c>
      <c r="J10766" s="4"/>
      <c r="K10766" s="4"/>
      <c r="L10766" s="4"/>
      <c r="M10766" s="5" t="s">
        <v>6501</v>
      </c>
    </row>
    <row r="10767" customFormat="false" ht="15.75" hidden="false" customHeight="false" outlineLevel="0" collapsed="false">
      <c r="A10767" s="6" t="n">
        <v>46194</v>
      </c>
      <c r="B10767" s="4" t="s">
        <v>1237</v>
      </c>
      <c r="C10767" s="4" t="n">
        <v>6</v>
      </c>
      <c r="D10767" s="4" t="n">
        <v>8</v>
      </c>
      <c r="E10767" s="4"/>
      <c r="F10767" s="4" t="n">
        <v>13</v>
      </c>
      <c r="G10767" s="4" t="n">
        <v>7</v>
      </c>
      <c r="H10767" s="4" t="n">
        <v>4</v>
      </c>
      <c r="I10767" s="4" t="str">
        <v>×</v>
      </c>
      <c r="J10767" s="4"/>
      <c r="K10767" s="4"/>
      <c r="L10767" s="4"/>
      <c r="M10767" s="5" t="s">
        <v>6501</v>
      </c>
    </row>
    <row r="10768" customFormat="false" ht="15.75" hidden="false" customHeight="false" outlineLevel="0" collapsed="false">
      <c r="A10768" s="6" t="n">
        <v>46194</v>
      </c>
      <c r="B10768" s="4" t="s">
        <v>1237</v>
      </c>
      <c r="C10768" s="4" t="n">
        <v>6</v>
      </c>
      <c r="D10768" s="4" t="n">
        <v>9</v>
      </c>
      <c r="E10768" s="4"/>
      <c r="F10768" s="4" t="n">
        <v>20</v>
      </c>
      <c r="G10768" s="4" t="n">
        <v>5</v>
      </c>
      <c r="H10768" s="4" t="n">
        <v>4</v>
      </c>
      <c r="I10768" s="4" t="str">
        <v>×</v>
      </c>
      <c r="J10768" s="4"/>
      <c r="K10768" s="4"/>
      <c r="L10768" s="4"/>
      <c r="M10768" s="5" t="s">
        <v>6501</v>
      </c>
    </row>
    <row r="10769" customFormat="false" ht="15.75" hidden="false" customHeight="false" outlineLevel="0" collapsed="false">
      <c r="A10769" s="6" t="n">
        <v>46194</v>
      </c>
      <c r="B10769" s="4" t="s">
        <v>1237</v>
      </c>
      <c r="C10769" s="4" t="n">
        <v>6</v>
      </c>
      <c r="D10769" s="4" t="n">
        <v>10</v>
      </c>
      <c r="E10769" s="4"/>
      <c r="F10769" s="4" t="n">
        <v>10</v>
      </c>
      <c r="G10769" s="4" t="n">
        <v>8</v>
      </c>
      <c r="H10769" s="4" t="n">
        <v>3</v>
      </c>
      <c r="I10769" s="4" t="str">
        <v>○</v>
      </c>
      <c r="J10769" s="4" t="n">
        <v>520</v>
      </c>
      <c r="K10769" s="4"/>
      <c r="L10769" s="4"/>
      <c r="M10769" s="5" t="s">
        <v>6501</v>
      </c>
    </row>
    <row r="10770" customFormat="false" ht="15.75" hidden="false" customHeight="false" outlineLevel="0" collapsed="false">
      <c r="A10770" s="6" t="n">
        <v>46194</v>
      </c>
      <c r="B10770" s="4" t="s">
        <v>1237</v>
      </c>
      <c r="C10770" s="4" t="n">
        <v>6</v>
      </c>
      <c r="D10770" s="4" t="n">
        <v>11</v>
      </c>
      <c r="E10770" s="4"/>
      <c r="F10770" s="4" t="n">
        <v>3</v>
      </c>
      <c r="G10770" s="4" t="n">
        <v>10</v>
      </c>
      <c r="H10770" s="4" t="n">
        <v>4</v>
      </c>
      <c r="I10770" s="4" t="str">
        <v>×</v>
      </c>
      <c r="J10770" s="4"/>
      <c r="K10770" s="4"/>
      <c r="L10770" s="4"/>
      <c r="M10770" s="5" t="s">
        <v>6501</v>
      </c>
    </row>
    <row r="10771" customFormat="false" ht="15.75" hidden="false" customHeight="false" outlineLevel="0" collapsed="false">
      <c r="A10771" s="6" t="n">
        <v>46194</v>
      </c>
      <c r="B10771" s="4" t="s">
        <v>1237</v>
      </c>
      <c r="C10771" s="4" t="n">
        <v>6</v>
      </c>
      <c r="D10771" s="4" t="n">
        <v>12</v>
      </c>
      <c r="E10771" s="4"/>
      <c r="F10771" s="4" t="n">
        <v>15</v>
      </c>
      <c r="G10771" s="4" t="n">
        <v>6</v>
      </c>
      <c r="H10771" s="4" t="n">
        <v>4</v>
      </c>
      <c r="I10771" s="4" t="str">
        <v>×</v>
      </c>
      <c r="J10771" s="4"/>
      <c r="K10771" s="4"/>
      <c r="L10771" s="4"/>
      <c r="M10771" s="5" t="s">
        <v>6501</v>
      </c>
    </row>
    <row r="10772" customFormat="false" ht="15.75" hidden="false" customHeight="false" outlineLevel="0" collapsed="false">
      <c r="A10772" s="6" t="n">
        <v>46194</v>
      </c>
      <c r="B10772" s="4" t="s">
        <v>1237</v>
      </c>
      <c r="C10772" s="4" t="n">
        <v>6</v>
      </c>
      <c r="D10772" s="4" t="n">
        <v>13</v>
      </c>
      <c r="E10772" s="4"/>
      <c r="F10772" s="4" t="n">
        <v>4</v>
      </c>
      <c r="G10772" s="4" t="n">
        <v>9</v>
      </c>
      <c r="H10772" s="4" t="n">
        <v>4</v>
      </c>
      <c r="I10772" s="4" t="str">
        <v>×</v>
      </c>
      <c r="J10772" s="4"/>
      <c r="K10772" s="4"/>
      <c r="L10772" s="4"/>
      <c r="M10772" s="5" t="s">
        <v>6501</v>
      </c>
    </row>
    <row r="10773" customFormat="false" ht="15.75" hidden="false" customHeight="false" outlineLevel="0" collapsed="false">
      <c r="A10773" s="6" t="n">
        <v>46194</v>
      </c>
      <c r="B10773" s="4" t="s">
        <v>1237</v>
      </c>
      <c r="C10773" s="4" t="n">
        <v>9</v>
      </c>
      <c r="D10773" s="4" t="n">
        <v>1</v>
      </c>
      <c r="E10773" s="4"/>
      <c r="F10773" s="4" t="n">
        <v>23</v>
      </c>
      <c r="G10773" s="4" t="n">
        <v>7</v>
      </c>
      <c r="H10773" s="4" t="n">
        <v>4</v>
      </c>
      <c r="I10773" s="4" t="str">
        <v>×</v>
      </c>
      <c r="J10773" s="4"/>
      <c r="K10773" s="4"/>
      <c r="L10773" s="4"/>
      <c r="M10773" s="5" t="s">
        <v>6501</v>
      </c>
    </row>
    <row r="10774" customFormat="false" ht="15.75" hidden="false" customHeight="false" outlineLevel="0" collapsed="false">
      <c r="A10774" s="6" t="n">
        <v>46194</v>
      </c>
      <c r="B10774" s="4" t="s">
        <v>1237</v>
      </c>
      <c r="C10774" s="4" t="n">
        <v>9</v>
      </c>
      <c r="D10774" s="4" t="n">
        <v>2</v>
      </c>
      <c r="E10774" s="4"/>
      <c r="F10774" s="4" t="n">
        <v>47</v>
      </c>
      <c r="G10774" s="4" t="n">
        <v>2</v>
      </c>
      <c r="H10774" s="4" t="n">
        <v>4</v>
      </c>
      <c r="I10774" s="4" t="str">
        <v>×</v>
      </c>
      <c r="J10774" s="4"/>
      <c r="K10774" s="4"/>
      <c r="L10774" s="4"/>
      <c r="M10774" s="5" t="s">
        <v>6501</v>
      </c>
    </row>
    <row r="10775" customFormat="false" ht="15.75" hidden="false" customHeight="false" outlineLevel="0" collapsed="false">
      <c r="A10775" s="6" t="n">
        <v>46194</v>
      </c>
      <c r="B10775" s="4" t="s">
        <v>1237</v>
      </c>
      <c r="C10775" s="4" t="n">
        <v>9</v>
      </c>
      <c r="D10775" s="4" t="n">
        <v>3</v>
      </c>
      <c r="E10775" s="4"/>
      <c r="F10775" s="4" t="n">
        <v>29</v>
      </c>
      <c r="G10775" s="4" t="n">
        <v>6</v>
      </c>
      <c r="H10775" s="4" t="n">
        <v>4</v>
      </c>
      <c r="I10775" s="4" t="str">
        <v>×</v>
      </c>
      <c r="J10775" s="4"/>
      <c r="K10775" s="4"/>
      <c r="L10775" s="4"/>
      <c r="M10775" s="5" t="s">
        <v>6501</v>
      </c>
    </row>
    <row r="10776" customFormat="false" ht="15.75" hidden="false" customHeight="false" outlineLevel="0" collapsed="false">
      <c r="A10776" s="6" t="n">
        <v>46194</v>
      </c>
      <c r="B10776" s="4" t="s">
        <v>1237</v>
      </c>
      <c r="C10776" s="4" t="n">
        <v>9</v>
      </c>
      <c r="D10776" s="4" t="n">
        <v>4</v>
      </c>
      <c r="E10776" s="4"/>
      <c r="F10776" s="4" t="n">
        <v>44</v>
      </c>
      <c r="G10776" s="4" t="n">
        <v>3</v>
      </c>
      <c r="H10776" s="4" t="n">
        <v>4</v>
      </c>
      <c r="I10776" s="4" t="str">
        <v>×</v>
      </c>
      <c r="J10776" s="4"/>
      <c r="K10776" s="4"/>
      <c r="L10776" s="4"/>
      <c r="M10776" s="5" t="s">
        <v>6501</v>
      </c>
    </row>
    <row r="10777" customFormat="false" ht="15.75" hidden="false" customHeight="false" outlineLevel="0" collapsed="false">
      <c r="A10777" s="6" t="n">
        <v>46194</v>
      </c>
      <c r="B10777" s="4" t="s">
        <v>1237</v>
      </c>
      <c r="C10777" s="4" t="n">
        <v>9</v>
      </c>
      <c r="D10777" s="4" t="n">
        <v>5</v>
      </c>
      <c r="E10777" s="4"/>
      <c r="F10777" s="4" t="n">
        <v>44</v>
      </c>
      <c r="G10777" s="4" t="n">
        <v>3</v>
      </c>
      <c r="H10777" s="4" t="n">
        <v>4</v>
      </c>
      <c r="I10777" s="4" t="str">
        <v>×</v>
      </c>
      <c r="J10777" s="4"/>
      <c r="K10777" s="4"/>
      <c r="L10777" s="4"/>
      <c r="M10777" s="5" t="s">
        <v>6501</v>
      </c>
    </row>
    <row r="10778" customFormat="false" ht="15.75" hidden="false" customHeight="false" outlineLevel="0" collapsed="false">
      <c r="A10778" s="6" t="n">
        <v>46194</v>
      </c>
      <c r="B10778" s="4" t="s">
        <v>1237</v>
      </c>
      <c r="C10778" s="4" t="n">
        <v>9</v>
      </c>
      <c r="D10778" s="4" t="n">
        <v>6</v>
      </c>
      <c r="E10778" s="4"/>
      <c r="F10778" s="4" t="n">
        <v>39</v>
      </c>
      <c r="G10778" s="4" t="n">
        <v>4</v>
      </c>
      <c r="H10778" s="4" t="n">
        <v>2</v>
      </c>
      <c r="I10778" s="4" t="str">
        <v>○</v>
      </c>
      <c r="J10778" s="4" t="n">
        <v>220</v>
      </c>
      <c r="K10778" s="4"/>
      <c r="L10778" s="4"/>
      <c r="M10778" s="5" t="s">
        <v>6501</v>
      </c>
    </row>
    <row r="10779" customFormat="false" ht="15.75" hidden="false" customHeight="false" outlineLevel="0" collapsed="false">
      <c r="A10779" s="6" t="n">
        <v>46194</v>
      </c>
      <c r="B10779" s="4" t="s">
        <v>1237</v>
      </c>
      <c r="C10779" s="4" t="n">
        <v>9</v>
      </c>
      <c r="D10779" s="4" t="n">
        <v>7</v>
      </c>
      <c r="E10779" s="4"/>
      <c r="F10779" s="4" t="n">
        <v>31</v>
      </c>
      <c r="G10779" s="4" t="n">
        <v>5</v>
      </c>
      <c r="H10779" s="4" t="n">
        <v>1</v>
      </c>
      <c r="I10779" s="4" t="str">
        <v>○</v>
      </c>
      <c r="J10779" s="4" t="n">
        <v>210</v>
      </c>
      <c r="K10779" s="4"/>
      <c r="L10779" s="4"/>
      <c r="M10779" s="5" t="s">
        <v>6501</v>
      </c>
    </row>
    <row r="10780" customFormat="false" ht="15.75" hidden="false" customHeight="false" outlineLevel="0" collapsed="false">
      <c r="A10780" s="6" t="n">
        <v>46194</v>
      </c>
      <c r="B10780" s="4" t="s">
        <v>1237</v>
      </c>
      <c r="C10780" s="4" t="n">
        <v>9</v>
      </c>
      <c r="D10780" s="4" t="n">
        <v>8</v>
      </c>
      <c r="E10780" s="4"/>
      <c r="F10780" s="4" t="n">
        <v>3</v>
      </c>
      <c r="G10780" s="4" t="n">
        <v>9</v>
      </c>
      <c r="H10780" s="4" t="n">
        <v>4</v>
      </c>
      <c r="I10780" s="4" t="str">
        <v>×</v>
      </c>
      <c r="J10780" s="4"/>
      <c r="K10780" s="4"/>
      <c r="L10780" s="4"/>
      <c r="M10780" s="5" t="s">
        <v>6501</v>
      </c>
    </row>
    <row r="10781" customFormat="false" ht="15.75" hidden="false" customHeight="false" outlineLevel="0" collapsed="false">
      <c r="A10781" s="6" t="n">
        <v>46194</v>
      </c>
      <c r="B10781" s="4" t="s">
        <v>1237</v>
      </c>
      <c r="C10781" s="4" t="n">
        <v>9</v>
      </c>
      <c r="D10781" s="4" t="n">
        <v>9</v>
      </c>
      <c r="E10781" s="4"/>
      <c r="F10781" s="4" t="n">
        <v>8</v>
      </c>
      <c r="G10781" s="4" t="n">
        <v>8</v>
      </c>
      <c r="H10781" s="4" t="n">
        <v>3</v>
      </c>
      <c r="I10781" s="4" t="str">
        <v>○</v>
      </c>
      <c r="J10781" s="4" t="n">
        <v>1050</v>
      </c>
      <c r="K10781" s="4"/>
      <c r="L10781" s="4"/>
      <c r="M10781" s="5" t="s">
        <v>6501</v>
      </c>
    </row>
    <row r="10782" customFormat="false" ht="15.75" hidden="false" customHeight="false" outlineLevel="0" collapsed="false">
      <c r="A10782" s="6" t="n">
        <v>46194</v>
      </c>
      <c r="B10782" s="4" t="s">
        <v>1237</v>
      </c>
      <c r="C10782" s="4" t="n">
        <v>9</v>
      </c>
      <c r="D10782" s="4" t="n">
        <v>10</v>
      </c>
      <c r="E10782" s="4"/>
      <c r="F10782" s="4" t="n">
        <v>52</v>
      </c>
      <c r="G10782" s="4" t="n">
        <v>1</v>
      </c>
      <c r="H10782" s="4" t="n">
        <v>4</v>
      </c>
      <c r="I10782" s="4" t="str">
        <v>×</v>
      </c>
      <c r="J10782" s="4"/>
      <c r="K10782" s="4"/>
      <c r="L10782" s="4"/>
      <c r="M10782" s="5" t="s">
        <v>6501</v>
      </c>
    </row>
    <row r="10783" customFormat="false" ht="15.75" hidden="false" customHeight="false" outlineLevel="0" collapsed="false">
      <c r="A10783" s="6" t="n">
        <v>46194</v>
      </c>
      <c r="B10783" s="4" t="s">
        <v>1237</v>
      </c>
      <c r="C10783" s="4" t="n">
        <v>9</v>
      </c>
      <c r="D10783" s="4" t="n">
        <v>11</v>
      </c>
      <c r="E10783" s="4"/>
      <c r="F10783" s="4" t="n">
        <v>3</v>
      </c>
      <c r="G10783" s="4" t="n">
        <v>9</v>
      </c>
      <c r="H10783" s="4" t="n">
        <v>4</v>
      </c>
      <c r="I10783" s="4" t="str">
        <v>×</v>
      </c>
      <c r="J10783" s="4"/>
      <c r="K10783" s="4"/>
      <c r="L10783" s="4"/>
      <c r="M10783" s="5" t="s">
        <v>6501</v>
      </c>
    </row>
    <row r="10784" customFormat="false" ht="15.75" hidden="false" customHeight="false" outlineLevel="0" collapsed="false">
      <c r="A10784" s="6" t="n">
        <v>46194</v>
      </c>
      <c r="B10784" s="4" t="s">
        <v>1237</v>
      </c>
      <c r="C10784" s="4" t="n">
        <v>9</v>
      </c>
      <c r="D10784" s="4" t="n">
        <v>12</v>
      </c>
      <c r="E10784" s="4"/>
      <c r="F10784" s="4" t="n">
        <v>29</v>
      </c>
      <c r="G10784" s="4" t="n">
        <v>6</v>
      </c>
      <c r="H10784" s="4" t="n">
        <v>4</v>
      </c>
      <c r="I10784" s="4" t="str">
        <v>×</v>
      </c>
      <c r="J10784" s="4"/>
      <c r="K10784" s="4"/>
      <c r="L10784" s="4"/>
      <c r="M10784" s="5" t="s">
        <v>6501</v>
      </c>
    </row>
    <row r="10785" customFormat="false" ht="15.75" hidden="false" customHeight="false" outlineLevel="0" collapsed="false">
      <c r="A10785" s="6" t="n">
        <v>46194</v>
      </c>
      <c r="B10785" s="4" t="s">
        <v>4473</v>
      </c>
      <c r="C10785" s="4" t="n">
        <v>1</v>
      </c>
      <c r="D10785" s="4" t="n">
        <v>1</v>
      </c>
      <c r="E10785" s="4"/>
      <c r="F10785" s="4" t="n">
        <v>55</v>
      </c>
      <c r="G10785" s="4" t="n">
        <v>1</v>
      </c>
      <c r="H10785" s="4" t="n">
        <v>4</v>
      </c>
      <c r="I10785" s="4" t="str">
        <v>×</v>
      </c>
      <c r="J10785" s="4"/>
      <c r="K10785" s="4"/>
      <c r="L10785" s="4"/>
      <c r="M10785" s="5" t="s">
        <v>6501</v>
      </c>
    </row>
    <row r="10786" customFormat="false" ht="15.75" hidden="false" customHeight="false" outlineLevel="0" collapsed="false">
      <c r="A10786" s="6" t="n">
        <v>46194</v>
      </c>
      <c r="B10786" s="4" t="s">
        <v>4473</v>
      </c>
      <c r="C10786" s="4" t="n">
        <v>1</v>
      </c>
      <c r="D10786" s="4" t="n">
        <v>2</v>
      </c>
      <c r="E10786" s="4"/>
      <c r="F10786" s="4" t="n">
        <v>24</v>
      </c>
      <c r="G10786" s="4" t="n">
        <v>4</v>
      </c>
      <c r="H10786" s="4" t="n">
        <v>4</v>
      </c>
      <c r="I10786" s="4" t="str">
        <v>×</v>
      </c>
      <c r="J10786" s="4"/>
      <c r="K10786" s="4"/>
      <c r="L10786" s="4"/>
      <c r="M10786" s="5" t="s">
        <v>6501</v>
      </c>
    </row>
    <row r="10787" customFormat="false" ht="15.75" hidden="false" customHeight="false" outlineLevel="0" collapsed="false">
      <c r="A10787" s="6" t="n">
        <v>46194</v>
      </c>
      <c r="B10787" s="4" t="s">
        <v>4473</v>
      </c>
      <c r="C10787" s="4" t="n">
        <v>1</v>
      </c>
      <c r="D10787" s="4" t="n">
        <v>3</v>
      </c>
      <c r="E10787" s="4"/>
      <c r="F10787" s="4" t="n">
        <v>24</v>
      </c>
      <c r="G10787" s="4" t="n">
        <v>4</v>
      </c>
      <c r="H10787" s="4" t="n">
        <v>4</v>
      </c>
      <c r="I10787" s="4" t="str">
        <v>×</v>
      </c>
      <c r="J10787" s="4"/>
      <c r="K10787" s="4"/>
      <c r="L10787" s="4"/>
      <c r="M10787" s="5" t="s">
        <v>6501</v>
      </c>
    </row>
    <row r="10788" customFormat="false" ht="15.75" hidden="false" customHeight="false" outlineLevel="0" collapsed="false">
      <c r="A10788" s="6" t="n">
        <v>46194</v>
      </c>
      <c r="B10788" s="4" t="s">
        <v>4473</v>
      </c>
      <c r="C10788" s="4" t="n">
        <v>1</v>
      </c>
      <c r="D10788" s="4" t="n">
        <v>4</v>
      </c>
      <c r="E10788" s="4"/>
      <c r="F10788" s="4" t="n">
        <v>8</v>
      </c>
      <c r="G10788" s="4" t="n">
        <v>9</v>
      </c>
      <c r="H10788" s="4" t="n">
        <v>4</v>
      </c>
      <c r="I10788" s="4" t="str">
        <v>×</v>
      </c>
      <c r="J10788" s="4"/>
      <c r="K10788" s="4"/>
      <c r="L10788" s="4"/>
      <c r="M10788" s="5" t="s">
        <v>6501</v>
      </c>
    </row>
    <row r="10789" customFormat="false" ht="15.75" hidden="false" customHeight="false" outlineLevel="0" collapsed="false">
      <c r="A10789" s="6" t="n">
        <v>46194</v>
      </c>
      <c r="B10789" s="4" t="s">
        <v>4473</v>
      </c>
      <c r="C10789" s="4" t="n">
        <v>1</v>
      </c>
      <c r="D10789" s="4" t="n">
        <v>5</v>
      </c>
      <c r="E10789" s="4"/>
      <c r="F10789" s="4" t="n">
        <v>14</v>
      </c>
      <c r="G10789" s="4" t="n">
        <v>7</v>
      </c>
      <c r="H10789" s="4" t="n">
        <v>4</v>
      </c>
      <c r="I10789" s="4" t="str">
        <v>×</v>
      </c>
      <c r="J10789" s="4"/>
      <c r="K10789" s="4"/>
      <c r="L10789" s="4"/>
      <c r="M10789" s="5" t="s">
        <v>6501</v>
      </c>
    </row>
    <row r="10790" customFormat="false" ht="15.75" hidden="false" customHeight="false" outlineLevel="0" collapsed="false">
      <c r="A10790" s="6" t="n">
        <v>46194</v>
      </c>
      <c r="B10790" s="4" t="s">
        <v>4473</v>
      </c>
      <c r="C10790" s="4" t="n">
        <v>1</v>
      </c>
      <c r="D10790" s="4" t="n">
        <v>6</v>
      </c>
      <c r="E10790" s="4"/>
      <c r="F10790" s="4" t="n">
        <v>6</v>
      </c>
      <c r="G10790" s="4" t="n">
        <v>10</v>
      </c>
      <c r="H10790" s="4" t="n">
        <v>4</v>
      </c>
      <c r="I10790" s="4" t="str">
        <v>×</v>
      </c>
      <c r="J10790" s="4"/>
      <c r="K10790" s="4"/>
      <c r="L10790" s="4"/>
      <c r="M10790" s="5" t="s">
        <v>6501</v>
      </c>
    </row>
    <row r="10791" customFormat="false" ht="15.75" hidden="false" customHeight="false" outlineLevel="0" collapsed="false">
      <c r="A10791" s="6" t="n">
        <v>46194</v>
      </c>
      <c r="B10791" s="4" t="s">
        <v>4473</v>
      </c>
      <c r="C10791" s="4" t="n">
        <v>1</v>
      </c>
      <c r="D10791" s="4" t="n">
        <v>7</v>
      </c>
      <c r="E10791" s="4"/>
      <c r="F10791" s="4" t="n">
        <v>6</v>
      </c>
      <c r="G10791" s="4" t="n">
        <v>10</v>
      </c>
      <c r="H10791" s="4" t="n">
        <v>4</v>
      </c>
      <c r="I10791" s="4" t="str">
        <v>×</v>
      </c>
      <c r="J10791" s="4"/>
      <c r="K10791" s="4"/>
      <c r="L10791" s="4"/>
      <c r="M10791" s="5" t="s">
        <v>6501</v>
      </c>
    </row>
    <row r="10792" customFormat="false" ht="15.75" hidden="false" customHeight="false" outlineLevel="0" collapsed="false">
      <c r="A10792" s="6" t="n">
        <v>46194</v>
      </c>
      <c r="B10792" s="4" t="s">
        <v>4473</v>
      </c>
      <c r="C10792" s="4" t="n">
        <v>1</v>
      </c>
      <c r="D10792" s="4" t="n">
        <v>8</v>
      </c>
      <c r="E10792" s="4"/>
      <c r="F10792" s="4" t="n">
        <v>27</v>
      </c>
      <c r="G10792" s="4" t="n">
        <v>3</v>
      </c>
      <c r="H10792" s="4" t="n">
        <v>1</v>
      </c>
      <c r="I10792" s="4" t="str">
        <v>○</v>
      </c>
      <c r="J10792" s="4" t="n">
        <v>160</v>
      </c>
      <c r="K10792" s="4"/>
      <c r="L10792" s="4"/>
      <c r="M10792" s="5" t="s">
        <v>6501</v>
      </c>
    </row>
    <row r="10793" customFormat="false" ht="15.75" hidden="false" customHeight="false" outlineLevel="0" collapsed="false">
      <c r="A10793" s="6" t="n">
        <v>46194</v>
      </c>
      <c r="B10793" s="4" t="s">
        <v>4473</v>
      </c>
      <c r="C10793" s="4" t="n">
        <v>1</v>
      </c>
      <c r="D10793" s="4" t="n">
        <v>9</v>
      </c>
      <c r="E10793" s="4"/>
      <c r="F10793" s="4" t="n">
        <v>44</v>
      </c>
      <c r="G10793" s="4" t="n">
        <v>2</v>
      </c>
      <c r="H10793" s="4" t="n">
        <v>3</v>
      </c>
      <c r="I10793" s="4" t="str">
        <v>○</v>
      </c>
      <c r="J10793" s="4" t="n">
        <v>130</v>
      </c>
      <c r="K10793" s="4"/>
      <c r="L10793" s="4"/>
      <c r="M10793" s="5" t="s">
        <v>6501</v>
      </c>
    </row>
    <row r="10794" customFormat="false" ht="15.75" hidden="false" customHeight="false" outlineLevel="0" collapsed="false">
      <c r="A10794" s="6" t="n">
        <v>46194</v>
      </c>
      <c r="B10794" s="4" t="s">
        <v>4473</v>
      </c>
      <c r="C10794" s="4" t="n">
        <v>1</v>
      </c>
      <c r="D10794" s="4" t="n">
        <v>10</v>
      </c>
      <c r="E10794" s="4"/>
      <c r="F10794" s="4" t="n">
        <v>27</v>
      </c>
      <c r="G10794" s="4" t="n">
        <v>3</v>
      </c>
      <c r="H10794" s="4" t="n">
        <v>4</v>
      </c>
      <c r="I10794" s="4" t="str">
        <v>×</v>
      </c>
      <c r="J10794" s="4"/>
      <c r="K10794" s="4"/>
      <c r="L10794" s="4"/>
      <c r="M10794" s="5" t="s">
        <v>6501</v>
      </c>
    </row>
    <row r="10795" customFormat="false" ht="15.75" hidden="false" customHeight="false" outlineLevel="0" collapsed="false">
      <c r="A10795" s="6" t="n">
        <v>46194</v>
      </c>
      <c r="B10795" s="4" t="s">
        <v>4473</v>
      </c>
      <c r="C10795" s="4" t="n">
        <v>1</v>
      </c>
      <c r="D10795" s="4" t="n">
        <v>11</v>
      </c>
      <c r="E10795" s="4"/>
      <c r="F10795" s="4" t="n">
        <v>44</v>
      </c>
      <c r="G10795" s="4" t="n">
        <v>2</v>
      </c>
      <c r="H10795" s="4" t="n">
        <v>2</v>
      </c>
      <c r="I10795" s="4" t="str">
        <v>○</v>
      </c>
      <c r="J10795" s="4" t="n">
        <v>120</v>
      </c>
      <c r="K10795" s="4"/>
      <c r="L10795" s="4"/>
      <c r="M10795" s="5" t="s">
        <v>6501</v>
      </c>
    </row>
    <row r="10796" customFormat="false" ht="15.75" hidden="false" customHeight="false" outlineLevel="0" collapsed="false">
      <c r="A10796" s="6" t="n">
        <v>46194</v>
      </c>
      <c r="B10796" s="4" t="s">
        <v>4473</v>
      </c>
      <c r="C10796" s="4" t="n">
        <v>1</v>
      </c>
      <c r="D10796" s="4" t="n">
        <v>12</v>
      </c>
      <c r="E10796" s="4"/>
      <c r="F10796" s="4" t="n">
        <v>12</v>
      </c>
      <c r="G10796" s="4" t="n">
        <v>8</v>
      </c>
      <c r="H10796" s="4" t="n">
        <v>4</v>
      </c>
      <c r="I10796" s="4" t="str">
        <v>×</v>
      </c>
      <c r="J10796" s="4"/>
      <c r="K10796" s="4"/>
      <c r="L10796" s="4"/>
      <c r="M10796" s="5" t="s">
        <v>6501</v>
      </c>
    </row>
    <row r="10797" customFormat="false" ht="15.75" hidden="false" customHeight="false" outlineLevel="0" collapsed="false">
      <c r="A10797" s="6" t="n">
        <v>46194</v>
      </c>
      <c r="B10797" s="4" t="s">
        <v>4473</v>
      </c>
      <c r="C10797" s="4" t="n">
        <v>1</v>
      </c>
      <c r="D10797" s="4" t="n">
        <v>13</v>
      </c>
      <c r="E10797" s="4"/>
      <c r="F10797" s="4" t="n">
        <v>21</v>
      </c>
      <c r="G10797" s="4" t="n">
        <v>5</v>
      </c>
      <c r="H10797" s="4" t="n">
        <v>4</v>
      </c>
      <c r="I10797" s="4" t="str">
        <v>×</v>
      </c>
      <c r="J10797" s="4"/>
      <c r="K10797" s="4"/>
      <c r="L10797" s="4"/>
      <c r="M10797" s="5" t="s">
        <v>6501</v>
      </c>
    </row>
    <row r="10798" customFormat="false" ht="15.75" hidden="false" customHeight="false" outlineLevel="0" collapsed="false">
      <c r="A10798" s="6" t="n">
        <v>46194</v>
      </c>
      <c r="B10798" s="4" t="s">
        <v>4473</v>
      </c>
      <c r="C10798" s="4" t="n">
        <v>1</v>
      </c>
      <c r="D10798" s="4" t="n">
        <v>14</v>
      </c>
      <c r="E10798" s="4"/>
      <c r="F10798" s="4" t="n">
        <v>16</v>
      </c>
      <c r="G10798" s="4" t="n">
        <v>6</v>
      </c>
      <c r="H10798" s="4" t="n">
        <v>4</v>
      </c>
      <c r="I10798" s="4" t="str">
        <v>×</v>
      </c>
      <c r="J10798" s="4"/>
      <c r="K10798" s="4"/>
      <c r="L10798" s="4"/>
      <c r="M10798" s="5" t="s">
        <v>6501</v>
      </c>
    </row>
    <row r="10799" customFormat="false" ht="15.75" hidden="false" customHeight="false" outlineLevel="0" collapsed="false">
      <c r="A10799" s="6" t="n">
        <v>46194</v>
      </c>
      <c r="B10799" s="4" t="s">
        <v>4473</v>
      </c>
      <c r="C10799" s="4" t="n">
        <v>2</v>
      </c>
      <c r="D10799" s="4" t="n">
        <v>1</v>
      </c>
      <c r="E10799" s="4"/>
      <c r="F10799" s="4" t="n">
        <v>3</v>
      </c>
      <c r="G10799" s="4" t="n">
        <v>11</v>
      </c>
      <c r="H10799" s="4" t="n">
        <v>4</v>
      </c>
      <c r="I10799" s="4" t="str">
        <v>×</v>
      </c>
      <c r="J10799" s="4"/>
      <c r="K10799" s="4"/>
      <c r="L10799" s="4"/>
      <c r="M10799" s="5" t="s">
        <v>6501</v>
      </c>
    </row>
    <row r="10800" customFormat="false" ht="15.75" hidden="false" customHeight="false" outlineLevel="0" collapsed="false">
      <c r="A10800" s="6" t="n">
        <v>46194</v>
      </c>
      <c r="B10800" s="4" t="s">
        <v>4473</v>
      </c>
      <c r="C10800" s="4" t="n">
        <v>2</v>
      </c>
      <c r="D10800" s="4" t="n">
        <v>2</v>
      </c>
      <c r="E10800" s="4"/>
      <c r="F10800" s="4" t="n">
        <v>56</v>
      </c>
      <c r="G10800" s="4" t="n">
        <v>2</v>
      </c>
      <c r="H10800" s="4" t="n">
        <v>2</v>
      </c>
      <c r="I10800" s="4" t="str">
        <v>○</v>
      </c>
      <c r="J10800" s="4" t="n">
        <v>120</v>
      </c>
      <c r="K10800" s="4"/>
      <c r="L10800" s="4"/>
      <c r="M10800" s="5" t="s">
        <v>6501</v>
      </c>
    </row>
    <row r="10801" customFormat="false" ht="15.75" hidden="false" customHeight="false" outlineLevel="0" collapsed="false">
      <c r="A10801" s="6" t="n">
        <v>46194</v>
      </c>
      <c r="B10801" s="4" t="s">
        <v>4473</v>
      </c>
      <c r="C10801" s="4" t="n">
        <v>2</v>
      </c>
      <c r="D10801" s="4" t="n">
        <v>3</v>
      </c>
      <c r="E10801" s="4"/>
      <c r="F10801" s="4" t="n">
        <v>31</v>
      </c>
      <c r="G10801" s="4" t="n">
        <v>4</v>
      </c>
      <c r="H10801" s="4" t="n">
        <v>4</v>
      </c>
      <c r="I10801" s="4" t="str">
        <v>×</v>
      </c>
      <c r="J10801" s="4"/>
      <c r="K10801" s="4"/>
      <c r="L10801" s="4"/>
      <c r="M10801" s="5" t="s">
        <v>6501</v>
      </c>
    </row>
    <row r="10802" customFormat="false" ht="15.75" hidden="false" customHeight="false" outlineLevel="0" collapsed="false">
      <c r="A10802" s="6" t="n">
        <v>46194</v>
      </c>
      <c r="B10802" s="4" t="s">
        <v>4473</v>
      </c>
      <c r="C10802" s="4" t="n">
        <v>2</v>
      </c>
      <c r="D10802" s="4" t="n">
        <v>4</v>
      </c>
      <c r="E10802" s="4"/>
      <c r="F10802" s="4" t="n">
        <v>4</v>
      </c>
      <c r="G10802" s="4" t="n">
        <v>10</v>
      </c>
      <c r="H10802" s="4" t="n">
        <v>4</v>
      </c>
      <c r="I10802" s="4" t="str">
        <v>×</v>
      </c>
      <c r="J10802" s="4"/>
      <c r="K10802" s="4"/>
      <c r="L10802" s="4"/>
      <c r="M10802" s="5" t="s">
        <v>6501</v>
      </c>
    </row>
    <row r="10803" customFormat="false" ht="15.75" hidden="false" customHeight="false" outlineLevel="0" collapsed="false">
      <c r="A10803" s="6" t="n">
        <v>46194</v>
      </c>
      <c r="B10803" s="4" t="s">
        <v>4473</v>
      </c>
      <c r="C10803" s="4" t="n">
        <v>2</v>
      </c>
      <c r="D10803" s="4" t="n">
        <v>5</v>
      </c>
      <c r="E10803" s="4"/>
      <c r="F10803" s="4" t="n">
        <v>10</v>
      </c>
      <c r="G10803" s="4" t="n">
        <v>8</v>
      </c>
      <c r="H10803" s="4" t="n">
        <v>4</v>
      </c>
      <c r="I10803" s="4" t="str">
        <v>×</v>
      </c>
      <c r="J10803" s="4"/>
      <c r="K10803" s="4"/>
      <c r="L10803" s="4"/>
      <c r="M10803" s="5" t="s">
        <v>6501</v>
      </c>
    </row>
    <row r="10804" customFormat="false" ht="15.75" hidden="false" customHeight="false" outlineLevel="0" collapsed="false">
      <c r="A10804" s="6" t="n">
        <v>46194</v>
      </c>
      <c r="B10804" s="4" t="s">
        <v>4473</v>
      </c>
      <c r="C10804" s="4" t="n">
        <v>2</v>
      </c>
      <c r="D10804" s="4" t="n">
        <v>6</v>
      </c>
      <c r="E10804" s="4"/>
      <c r="F10804" s="4" t="n">
        <v>4</v>
      </c>
      <c r="G10804" s="4" t="n">
        <v>10</v>
      </c>
      <c r="H10804" s="4" t="n">
        <v>4</v>
      </c>
      <c r="I10804" s="4" t="str">
        <v>×</v>
      </c>
      <c r="J10804" s="4"/>
      <c r="K10804" s="4"/>
      <c r="L10804" s="4"/>
      <c r="M10804" s="5" t="s">
        <v>6501</v>
      </c>
    </row>
    <row r="10805" customFormat="false" ht="15.75" hidden="false" customHeight="false" outlineLevel="0" collapsed="false">
      <c r="A10805" s="6" t="n">
        <v>46194</v>
      </c>
      <c r="B10805" s="4" t="s">
        <v>4473</v>
      </c>
      <c r="C10805" s="4" t="n">
        <v>2</v>
      </c>
      <c r="D10805" s="4" t="n">
        <v>7</v>
      </c>
      <c r="E10805" s="4"/>
      <c r="F10805" s="4" t="n">
        <v>3</v>
      </c>
      <c r="G10805" s="4" t="n">
        <v>11</v>
      </c>
      <c r="H10805" s="4" t="n">
        <v>4</v>
      </c>
      <c r="I10805" s="4" t="str">
        <v>×</v>
      </c>
      <c r="J10805" s="4"/>
      <c r="K10805" s="4"/>
      <c r="L10805" s="4"/>
      <c r="M10805" s="5" t="s">
        <v>6501</v>
      </c>
    </row>
    <row r="10806" customFormat="false" ht="15.75" hidden="false" customHeight="false" outlineLevel="0" collapsed="false">
      <c r="A10806" s="6" t="n">
        <v>46194</v>
      </c>
      <c r="B10806" s="4" t="s">
        <v>4473</v>
      </c>
      <c r="C10806" s="4" t="n">
        <v>2</v>
      </c>
      <c r="D10806" s="4" t="n">
        <v>8</v>
      </c>
      <c r="E10806" s="4"/>
      <c r="F10806" s="4" t="n">
        <v>34</v>
      </c>
      <c r="G10806" s="4" t="n">
        <v>3</v>
      </c>
      <c r="H10806" s="4" t="n">
        <v>1</v>
      </c>
      <c r="I10806" s="4" t="str">
        <v>○</v>
      </c>
      <c r="J10806" s="4" t="n">
        <v>160</v>
      </c>
      <c r="K10806" s="4"/>
      <c r="L10806" s="4"/>
      <c r="M10806" s="5" t="s">
        <v>6501</v>
      </c>
    </row>
    <row r="10807" customFormat="false" ht="15.75" hidden="false" customHeight="false" outlineLevel="0" collapsed="false">
      <c r="A10807" s="6" t="n">
        <v>46194</v>
      </c>
      <c r="B10807" s="4" t="s">
        <v>4473</v>
      </c>
      <c r="C10807" s="4" t="n">
        <v>2</v>
      </c>
      <c r="D10807" s="4" t="n">
        <v>9</v>
      </c>
      <c r="E10807" s="4"/>
      <c r="F10807" s="4" t="n">
        <v>13</v>
      </c>
      <c r="G10807" s="4" t="n">
        <v>7</v>
      </c>
      <c r="H10807" s="4" t="n">
        <v>4</v>
      </c>
      <c r="I10807" s="4" t="str">
        <v>×</v>
      </c>
      <c r="J10807" s="4"/>
      <c r="K10807" s="4"/>
      <c r="L10807" s="4"/>
      <c r="M10807" s="5" t="s">
        <v>6501</v>
      </c>
    </row>
    <row r="10808" customFormat="false" ht="15.75" hidden="false" customHeight="false" outlineLevel="0" collapsed="false">
      <c r="A10808" s="6" t="n">
        <v>46194</v>
      </c>
      <c r="B10808" s="4" t="s">
        <v>4473</v>
      </c>
      <c r="C10808" s="4" t="n">
        <v>2</v>
      </c>
      <c r="D10808" s="4" t="n">
        <v>10</v>
      </c>
      <c r="E10808" s="4"/>
      <c r="F10808" s="4" t="n">
        <v>10</v>
      </c>
      <c r="G10808" s="4" t="n">
        <v>8</v>
      </c>
      <c r="H10808" s="4" t="n">
        <v>4</v>
      </c>
      <c r="I10808" s="4" t="str">
        <v>×</v>
      </c>
      <c r="J10808" s="4"/>
      <c r="K10808" s="4"/>
      <c r="L10808" s="4"/>
      <c r="M10808" s="5" t="s">
        <v>6501</v>
      </c>
    </row>
    <row r="10809" customFormat="false" ht="15.75" hidden="false" customHeight="false" outlineLevel="0" collapsed="false">
      <c r="A10809" s="6" t="n">
        <v>46194</v>
      </c>
      <c r="B10809" s="4" t="s">
        <v>4473</v>
      </c>
      <c r="C10809" s="4" t="n">
        <v>2</v>
      </c>
      <c r="D10809" s="4" t="n">
        <v>11</v>
      </c>
      <c r="E10809" s="4"/>
      <c r="F10809" s="4" t="n">
        <v>67</v>
      </c>
      <c r="G10809" s="4" t="n">
        <v>1</v>
      </c>
      <c r="H10809" s="4" t="n">
        <v>3</v>
      </c>
      <c r="I10809" s="4" t="str">
        <v>○</v>
      </c>
      <c r="J10809" s="4" t="n">
        <v>130</v>
      </c>
      <c r="K10809" s="4"/>
      <c r="L10809" s="4"/>
      <c r="M10809" s="5" t="s">
        <v>6501</v>
      </c>
    </row>
    <row r="10810" customFormat="false" ht="15.75" hidden="false" customHeight="false" outlineLevel="0" collapsed="false">
      <c r="A10810" s="6" t="n">
        <v>46194</v>
      </c>
      <c r="B10810" s="4" t="s">
        <v>4473</v>
      </c>
      <c r="C10810" s="4" t="n">
        <v>2</v>
      </c>
      <c r="D10810" s="4" t="n">
        <v>12</v>
      </c>
      <c r="E10810" s="4"/>
      <c r="F10810" s="4" t="n">
        <v>4</v>
      </c>
      <c r="G10810" s="4" t="n">
        <v>10</v>
      </c>
      <c r="H10810" s="4" t="n">
        <v>4</v>
      </c>
      <c r="I10810" s="4" t="str">
        <v>×</v>
      </c>
      <c r="J10810" s="4"/>
      <c r="K10810" s="4"/>
      <c r="L10810" s="4"/>
      <c r="M10810" s="5" t="s">
        <v>6501</v>
      </c>
    </row>
    <row r="10811" customFormat="false" ht="15.75" hidden="false" customHeight="false" outlineLevel="0" collapsed="false">
      <c r="A10811" s="6" t="n">
        <v>46194</v>
      </c>
      <c r="B10811" s="4" t="s">
        <v>4473</v>
      </c>
      <c r="C10811" s="4" t="n">
        <v>2</v>
      </c>
      <c r="D10811" s="4" t="n">
        <v>13</v>
      </c>
      <c r="E10811" s="4"/>
      <c r="F10811" s="4" t="n">
        <v>34</v>
      </c>
      <c r="G10811" s="4" t="n">
        <v>3</v>
      </c>
      <c r="H10811" s="4" t="n">
        <v>4</v>
      </c>
      <c r="I10811" s="4" t="str">
        <v>×</v>
      </c>
      <c r="J10811" s="4"/>
      <c r="K10811" s="4"/>
      <c r="L10811" s="4"/>
      <c r="M10811" s="5" t="s">
        <v>6501</v>
      </c>
    </row>
    <row r="10812" customFormat="false" ht="15.75" hidden="false" customHeight="false" outlineLevel="0" collapsed="false">
      <c r="A10812" s="6" t="n">
        <v>46194</v>
      </c>
      <c r="B10812" s="4" t="s">
        <v>4473</v>
      </c>
      <c r="C10812" s="4" t="n">
        <v>2</v>
      </c>
      <c r="D10812" s="4" t="n">
        <v>14</v>
      </c>
      <c r="E10812" s="4"/>
      <c r="F10812" s="4" t="n">
        <v>6</v>
      </c>
      <c r="G10812" s="4" t="n">
        <v>9</v>
      </c>
      <c r="H10812" s="4" t="n">
        <v>4</v>
      </c>
      <c r="I10812" s="4" t="str">
        <v>×</v>
      </c>
      <c r="J10812" s="4"/>
      <c r="K10812" s="4"/>
      <c r="L10812" s="4"/>
      <c r="M10812" s="5" t="s">
        <v>6501</v>
      </c>
    </row>
    <row r="10813" customFormat="false" ht="15.75" hidden="false" customHeight="false" outlineLevel="0" collapsed="false">
      <c r="A10813" s="6" t="n">
        <v>46194</v>
      </c>
      <c r="B10813" s="4" t="s">
        <v>4473</v>
      </c>
      <c r="C10813" s="4" t="n">
        <v>2</v>
      </c>
      <c r="D10813" s="4" t="n">
        <v>15</v>
      </c>
      <c r="E10813" s="4"/>
      <c r="F10813" s="4" t="n">
        <v>15</v>
      </c>
      <c r="G10813" s="4" t="n">
        <v>6</v>
      </c>
      <c r="H10813" s="4" t="n">
        <v>4</v>
      </c>
      <c r="I10813" s="4" t="str">
        <v>×</v>
      </c>
      <c r="J10813" s="4"/>
      <c r="K10813" s="4"/>
      <c r="L10813" s="4"/>
      <c r="M10813" s="5" t="s">
        <v>6501</v>
      </c>
    </row>
    <row r="10814" customFormat="false" ht="15.75" hidden="false" customHeight="false" outlineLevel="0" collapsed="false">
      <c r="A10814" s="6" t="n">
        <v>46194</v>
      </c>
      <c r="B10814" s="4" t="s">
        <v>4473</v>
      </c>
      <c r="C10814" s="4" t="n">
        <v>2</v>
      </c>
      <c r="D10814" s="4" t="n">
        <v>16</v>
      </c>
      <c r="E10814" s="4"/>
      <c r="F10814" s="4" t="n">
        <v>25</v>
      </c>
      <c r="G10814" s="4" t="n">
        <v>5</v>
      </c>
      <c r="H10814" s="4" t="n">
        <v>4</v>
      </c>
      <c r="I10814" s="4" t="str">
        <v>×</v>
      </c>
      <c r="J10814" s="4"/>
      <c r="K10814" s="4"/>
      <c r="L10814" s="4"/>
      <c r="M10814" s="5" t="s">
        <v>6501</v>
      </c>
    </row>
    <row r="10815" customFormat="false" ht="15.75" hidden="false" customHeight="false" outlineLevel="0" collapsed="false">
      <c r="A10815" s="6" t="n">
        <v>46194</v>
      </c>
      <c r="B10815" s="4" t="s">
        <v>4473</v>
      </c>
      <c r="C10815" s="4" t="n">
        <v>3</v>
      </c>
      <c r="D10815" s="4" t="n">
        <v>1</v>
      </c>
      <c r="E10815" s="4"/>
      <c r="F10815" s="4" t="n">
        <v>3</v>
      </c>
      <c r="G10815" s="4" t="n">
        <v>10</v>
      </c>
      <c r="H10815" s="4" t="n">
        <v>4</v>
      </c>
      <c r="I10815" s="4" t="str">
        <v>×</v>
      </c>
      <c r="J10815" s="4"/>
      <c r="K10815" s="4"/>
      <c r="L10815" s="4"/>
      <c r="M10815" s="5" t="s">
        <v>6501</v>
      </c>
    </row>
    <row r="10816" customFormat="false" ht="15.75" hidden="false" customHeight="false" outlineLevel="0" collapsed="false">
      <c r="A10816" s="6" t="n">
        <v>46194</v>
      </c>
      <c r="B10816" s="4" t="s">
        <v>4473</v>
      </c>
      <c r="C10816" s="4" t="n">
        <v>3</v>
      </c>
      <c r="D10816" s="4" t="n">
        <v>2</v>
      </c>
      <c r="E10816" s="4"/>
      <c r="F10816" s="4" t="n">
        <v>23</v>
      </c>
      <c r="G10816" s="4" t="n">
        <v>5</v>
      </c>
      <c r="H10816" s="4" t="n">
        <v>3</v>
      </c>
      <c r="I10816" s="4" t="str">
        <v>○</v>
      </c>
      <c r="J10816" s="4" t="n">
        <v>470</v>
      </c>
      <c r="K10816" s="4"/>
      <c r="L10816" s="4"/>
      <c r="M10816" s="5" t="s">
        <v>6501</v>
      </c>
    </row>
    <row r="10817" customFormat="false" ht="15.75" hidden="false" customHeight="false" outlineLevel="0" collapsed="false">
      <c r="A10817" s="6" t="n">
        <v>46194</v>
      </c>
      <c r="B10817" s="4" t="s">
        <v>4473</v>
      </c>
      <c r="C10817" s="4" t="n">
        <v>3</v>
      </c>
      <c r="D10817" s="4" t="n">
        <v>3</v>
      </c>
      <c r="E10817" s="4"/>
      <c r="F10817" s="4" t="n">
        <v>47</v>
      </c>
      <c r="G10817" s="4" t="n">
        <v>2</v>
      </c>
      <c r="H10817" s="4" t="n">
        <v>4</v>
      </c>
      <c r="I10817" s="4" t="str">
        <v>×</v>
      </c>
      <c r="J10817" s="4"/>
      <c r="K10817" s="4"/>
      <c r="L10817" s="4"/>
      <c r="M10817" s="5" t="s">
        <v>6501</v>
      </c>
    </row>
    <row r="10818" customFormat="false" ht="15.75" hidden="false" customHeight="false" outlineLevel="0" collapsed="false">
      <c r="A10818" s="6" t="n">
        <v>46194</v>
      </c>
      <c r="B10818" s="4" t="s">
        <v>4473</v>
      </c>
      <c r="C10818" s="4" t="n">
        <v>3</v>
      </c>
      <c r="D10818" s="4" t="n">
        <v>4</v>
      </c>
      <c r="E10818" s="4"/>
      <c r="F10818" s="4" t="n">
        <v>71</v>
      </c>
      <c r="G10818" s="4" t="n">
        <v>1</v>
      </c>
      <c r="H10818" s="4" t="n">
        <v>4</v>
      </c>
      <c r="I10818" s="4" t="str">
        <v>×</v>
      </c>
      <c r="J10818" s="4"/>
      <c r="K10818" s="4"/>
      <c r="L10818" s="4"/>
      <c r="M10818" s="5" t="s">
        <v>6501</v>
      </c>
    </row>
    <row r="10819" customFormat="false" ht="15.75" hidden="false" customHeight="false" outlineLevel="0" collapsed="false">
      <c r="A10819" s="6" t="n">
        <v>46194</v>
      </c>
      <c r="B10819" s="4" t="s">
        <v>4473</v>
      </c>
      <c r="C10819" s="4" t="n">
        <v>3</v>
      </c>
      <c r="D10819" s="4" t="n">
        <v>5</v>
      </c>
      <c r="E10819" s="4"/>
      <c r="F10819" s="4" t="n">
        <v>17</v>
      </c>
      <c r="G10819" s="4" t="n">
        <v>6</v>
      </c>
      <c r="H10819" s="4" t="n">
        <v>4</v>
      </c>
      <c r="I10819" s="4" t="str">
        <v>×</v>
      </c>
      <c r="J10819" s="4"/>
      <c r="K10819" s="4"/>
      <c r="L10819" s="4"/>
      <c r="M10819" s="5" t="s">
        <v>6501</v>
      </c>
    </row>
    <row r="10820" customFormat="false" ht="15.75" hidden="false" customHeight="false" outlineLevel="0" collapsed="false">
      <c r="A10820" s="6" t="n">
        <v>46194</v>
      </c>
      <c r="B10820" s="4" t="s">
        <v>4473</v>
      </c>
      <c r="C10820" s="4" t="n">
        <v>3</v>
      </c>
      <c r="D10820" s="4" t="n">
        <v>6</v>
      </c>
      <c r="E10820" s="4"/>
      <c r="F10820" s="4" t="n">
        <v>31</v>
      </c>
      <c r="G10820" s="4" t="n">
        <v>4</v>
      </c>
      <c r="H10820" s="4" t="n">
        <v>4</v>
      </c>
      <c r="I10820" s="4" t="str">
        <v>×</v>
      </c>
      <c r="J10820" s="4"/>
      <c r="K10820" s="4"/>
      <c r="L10820" s="4"/>
      <c r="M10820" s="5" t="s">
        <v>6501</v>
      </c>
    </row>
    <row r="10821" customFormat="false" ht="15.75" hidden="false" customHeight="false" outlineLevel="0" collapsed="false">
      <c r="A10821" s="6" t="n">
        <v>46194</v>
      </c>
      <c r="B10821" s="4" t="s">
        <v>4473</v>
      </c>
      <c r="C10821" s="4" t="n">
        <v>3</v>
      </c>
      <c r="D10821" s="4" t="n">
        <v>7</v>
      </c>
      <c r="E10821" s="4"/>
      <c r="F10821" s="4" t="n">
        <v>3</v>
      </c>
      <c r="G10821" s="4" t="n">
        <v>10</v>
      </c>
      <c r="H10821" s="4" t="n">
        <v>1</v>
      </c>
      <c r="I10821" s="4" t="str">
        <v>○</v>
      </c>
      <c r="J10821" s="4" t="n">
        <v>1180</v>
      </c>
      <c r="K10821" s="4"/>
      <c r="L10821" s="4"/>
      <c r="M10821" s="5" t="s">
        <v>6501</v>
      </c>
    </row>
    <row r="10822" customFormat="false" ht="15.75" hidden="false" customHeight="false" outlineLevel="0" collapsed="false">
      <c r="A10822" s="6" t="n">
        <v>46194</v>
      </c>
      <c r="B10822" s="4" t="s">
        <v>4473</v>
      </c>
      <c r="C10822" s="4" t="n">
        <v>3</v>
      </c>
      <c r="D10822" s="4" t="n">
        <v>8</v>
      </c>
      <c r="E10822" s="4"/>
      <c r="F10822" s="4" t="n">
        <v>10</v>
      </c>
      <c r="G10822" s="4" t="n">
        <v>7</v>
      </c>
      <c r="H10822" s="4" t="n">
        <v>4</v>
      </c>
      <c r="I10822" s="4" t="str">
        <v>×</v>
      </c>
      <c r="J10822" s="4"/>
      <c r="K10822" s="4"/>
      <c r="L10822" s="4"/>
      <c r="M10822" s="5" t="s">
        <v>6501</v>
      </c>
    </row>
    <row r="10823" customFormat="false" ht="15.75" hidden="false" customHeight="false" outlineLevel="0" collapsed="false">
      <c r="A10823" s="6" t="n">
        <v>46194</v>
      </c>
      <c r="B10823" s="4" t="s">
        <v>4473</v>
      </c>
      <c r="C10823" s="4" t="n">
        <v>3</v>
      </c>
      <c r="D10823" s="4" t="n">
        <v>9</v>
      </c>
      <c r="E10823" s="4"/>
      <c r="F10823" s="4" t="n">
        <v>23</v>
      </c>
      <c r="G10823" s="4" t="n">
        <v>5</v>
      </c>
      <c r="H10823" s="4" t="n">
        <v>4</v>
      </c>
      <c r="I10823" s="4" t="str">
        <v>×</v>
      </c>
      <c r="J10823" s="4"/>
      <c r="K10823" s="4"/>
      <c r="L10823" s="4"/>
      <c r="M10823" s="5" t="s">
        <v>6501</v>
      </c>
    </row>
    <row r="10824" customFormat="false" ht="15.75" hidden="false" customHeight="false" outlineLevel="0" collapsed="false">
      <c r="A10824" s="6" t="n">
        <v>46194</v>
      </c>
      <c r="B10824" s="4" t="s">
        <v>4473</v>
      </c>
      <c r="C10824" s="4" t="n">
        <v>3</v>
      </c>
      <c r="D10824" s="4" t="n">
        <v>10</v>
      </c>
      <c r="E10824" s="4"/>
      <c r="F10824" s="4" t="n">
        <v>10</v>
      </c>
      <c r="G10824" s="4" t="n">
        <v>7</v>
      </c>
      <c r="H10824" s="4" t="n">
        <v>4</v>
      </c>
      <c r="I10824" s="4" t="str">
        <v>×</v>
      </c>
      <c r="J10824" s="4"/>
      <c r="K10824" s="4"/>
      <c r="L10824" s="4"/>
      <c r="M10824" s="5" t="s">
        <v>6501</v>
      </c>
    </row>
    <row r="10825" customFormat="false" ht="15.75" hidden="false" customHeight="false" outlineLevel="0" collapsed="false">
      <c r="A10825" s="6" t="n">
        <v>46194</v>
      </c>
      <c r="B10825" s="4" t="s">
        <v>4473</v>
      </c>
      <c r="C10825" s="4" t="n">
        <v>3</v>
      </c>
      <c r="D10825" s="4" t="n">
        <v>11</v>
      </c>
      <c r="E10825" s="4"/>
      <c r="F10825" s="4" t="n">
        <v>8</v>
      </c>
      <c r="G10825" s="4" t="n">
        <v>8</v>
      </c>
      <c r="H10825" s="4" t="n">
        <v>4</v>
      </c>
      <c r="I10825" s="4" t="str">
        <v>×</v>
      </c>
      <c r="J10825" s="4"/>
      <c r="K10825" s="4"/>
      <c r="L10825" s="4"/>
      <c r="M10825" s="5" t="s">
        <v>6501</v>
      </c>
    </row>
    <row r="10826" customFormat="false" ht="15.75" hidden="false" customHeight="false" outlineLevel="0" collapsed="false">
      <c r="A10826" s="6" t="n">
        <v>46194</v>
      </c>
      <c r="B10826" s="4" t="s">
        <v>4473</v>
      </c>
      <c r="C10826" s="4" t="n">
        <v>3</v>
      </c>
      <c r="D10826" s="4" t="n">
        <v>12</v>
      </c>
      <c r="E10826" s="4"/>
      <c r="F10826" s="4" t="n">
        <v>4</v>
      </c>
      <c r="G10826" s="4" t="n">
        <v>9</v>
      </c>
      <c r="H10826" s="4" t="n">
        <v>4</v>
      </c>
      <c r="I10826" s="4" t="str">
        <v>×</v>
      </c>
      <c r="J10826" s="4"/>
      <c r="K10826" s="4"/>
      <c r="L10826" s="4"/>
      <c r="M10826" s="5" t="s">
        <v>6501</v>
      </c>
    </row>
    <row r="10827" customFormat="false" ht="15.75" hidden="false" customHeight="false" outlineLevel="0" collapsed="false">
      <c r="A10827" s="6" t="n">
        <v>46194</v>
      </c>
      <c r="B10827" s="4" t="s">
        <v>4473</v>
      </c>
      <c r="C10827" s="4" t="n">
        <v>3</v>
      </c>
      <c r="D10827" s="4" t="n">
        <v>13</v>
      </c>
      <c r="E10827" s="4"/>
      <c r="F10827" s="4" t="n">
        <v>34</v>
      </c>
      <c r="G10827" s="4" t="n">
        <v>3</v>
      </c>
      <c r="H10827" s="4" t="n">
        <v>2</v>
      </c>
      <c r="I10827" s="4" t="str">
        <v>○</v>
      </c>
      <c r="J10827" s="4" t="n">
        <v>300</v>
      </c>
      <c r="K10827" s="4"/>
      <c r="L10827" s="4"/>
      <c r="M10827" s="5" t="s">
        <v>6501</v>
      </c>
    </row>
    <row r="10828" customFormat="false" ht="15.75" hidden="false" customHeight="false" outlineLevel="0" collapsed="false">
      <c r="A10828" s="6" t="n">
        <v>46194</v>
      </c>
      <c r="B10828" s="4" t="s">
        <v>4473</v>
      </c>
      <c r="C10828" s="4" t="n">
        <v>3</v>
      </c>
      <c r="D10828" s="4" t="n">
        <v>14</v>
      </c>
      <c r="E10828" s="4"/>
      <c r="F10828" s="4" t="n">
        <v>3</v>
      </c>
      <c r="G10828" s="4" t="n">
        <v>10</v>
      </c>
      <c r="H10828" s="4" t="n">
        <v>4</v>
      </c>
      <c r="I10828" s="4" t="str">
        <v>×</v>
      </c>
      <c r="J10828" s="4"/>
      <c r="K10828" s="4"/>
      <c r="L10828" s="4"/>
      <c r="M10828" s="5" t="s">
        <v>6501</v>
      </c>
    </row>
    <row r="10829" customFormat="false" ht="15.75" hidden="false" customHeight="false" outlineLevel="0" collapsed="false">
      <c r="A10829" s="6" t="n">
        <v>46194</v>
      </c>
      <c r="B10829" s="4" t="s">
        <v>4473</v>
      </c>
      <c r="C10829" s="4" t="n">
        <v>3</v>
      </c>
      <c r="D10829" s="4" t="n">
        <v>15</v>
      </c>
      <c r="E10829" s="4"/>
      <c r="F10829" s="4" t="n">
        <v>17</v>
      </c>
      <c r="G10829" s="4" t="n">
        <v>6</v>
      </c>
      <c r="H10829" s="4" t="n">
        <v>4</v>
      </c>
      <c r="I10829" s="4" t="str">
        <v>×</v>
      </c>
      <c r="J10829" s="4"/>
      <c r="K10829" s="4"/>
      <c r="L10829" s="4"/>
      <c r="M10829" s="5" t="s">
        <v>6501</v>
      </c>
    </row>
    <row r="10830" customFormat="false" ht="15.75" hidden="false" customHeight="false" outlineLevel="0" collapsed="false">
      <c r="A10830" s="6" t="n">
        <v>46194</v>
      </c>
      <c r="B10830" s="4" t="s">
        <v>4473</v>
      </c>
      <c r="C10830" s="4" t="n">
        <v>3</v>
      </c>
      <c r="D10830" s="4" t="n">
        <v>16</v>
      </c>
      <c r="E10830" s="4"/>
      <c r="F10830" s="4" t="n">
        <v>3</v>
      </c>
      <c r="G10830" s="4" t="n">
        <v>10</v>
      </c>
      <c r="H10830" s="4" t="n">
        <v>4</v>
      </c>
      <c r="I10830" s="4" t="str">
        <v>×</v>
      </c>
      <c r="J10830" s="4"/>
      <c r="K10830" s="4"/>
      <c r="L10830" s="4"/>
      <c r="M10830" s="5" t="s">
        <v>6501</v>
      </c>
    </row>
    <row r="10831" customFormat="false" ht="15.75" hidden="false" customHeight="false" outlineLevel="0" collapsed="false">
      <c r="A10831" s="6" t="n">
        <v>46194</v>
      </c>
      <c r="B10831" s="4" t="s">
        <v>4473</v>
      </c>
      <c r="C10831" s="4" t="n">
        <v>4</v>
      </c>
      <c r="D10831" s="4" t="n">
        <v>1</v>
      </c>
      <c r="E10831" s="4"/>
      <c r="F10831" s="4" t="n">
        <v>27</v>
      </c>
      <c r="G10831" s="4" t="n">
        <v>2</v>
      </c>
      <c r="H10831" s="4" t="n">
        <v>3</v>
      </c>
      <c r="I10831" s="4" t="str">
        <v>○</v>
      </c>
      <c r="J10831" s="4" t="n">
        <v>120</v>
      </c>
      <c r="K10831" s="4"/>
      <c r="L10831" s="4"/>
      <c r="M10831" s="5" t="s">
        <v>6501</v>
      </c>
    </row>
    <row r="10832" customFormat="false" ht="15.75" hidden="false" customHeight="false" outlineLevel="0" collapsed="false">
      <c r="A10832" s="6" t="n">
        <v>46194</v>
      </c>
      <c r="B10832" s="4" t="s">
        <v>4473</v>
      </c>
      <c r="C10832" s="4" t="n">
        <v>4</v>
      </c>
      <c r="D10832" s="4" t="n">
        <v>2</v>
      </c>
      <c r="E10832" s="4"/>
      <c r="F10832" s="4" t="n">
        <v>21</v>
      </c>
      <c r="G10832" s="4" t="n">
        <v>4</v>
      </c>
      <c r="H10832" s="4" t="n">
        <v>4</v>
      </c>
      <c r="I10832" s="4" t="str">
        <v>×</v>
      </c>
      <c r="J10832" s="4"/>
      <c r="K10832" s="4"/>
      <c r="L10832" s="4"/>
      <c r="M10832" s="5" t="s">
        <v>6501</v>
      </c>
    </row>
    <row r="10833" customFormat="false" ht="15.75" hidden="false" customHeight="false" outlineLevel="0" collapsed="false">
      <c r="A10833" s="6" t="n">
        <v>46194</v>
      </c>
      <c r="B10833" s="4" t="s">
        <v>4473</v>
      </c>
      <c r="C10833" s="4" t="n">
        <v>4</v>
      </c>
      <c r="D10833" s="4" t="n">
        <v>3</v>
      </c>
      <c r="E10833" s="4"/>
      <c r="F10833" s="4" t="n">
        <v>27</v>
      </c>
      <c r="G10833" s="4" t="n">
        <v>2</v>
      </c>
      <c r="H10833" s="4" t="n">
        <v>4</v>
      </c>
      <c r="I10833" s="4" t="str">
        <v>×</v>
      </c>
      <c r="J10833" s="4"/>
      <c r="K10833" s="4"/>
      <c r="L10833" s="4"/>
      <c r="M10833" s="5" t="s">
        <v>6501</v>
      </c>
    </row>
    <row r="10834" customFormat="false" ht="15.75" hidden="false" customHeight="false" outlineLevel="0" collapsed="false">
      <c r="A10834" s="6" t="n">
        <v>46194</v>
      </c>
      <c r="B10834" s="4" t="s">
        <v>4473</v>
      </c>
      <c r="C10834" s="4" t="n">
        <v>4</v>
      </c>
      <c r="D10834" s="4" t="n">
        <v>4</v>
      </c>
      <c r="E10834" s="4"/>
      <c r="F10834" s="4" t="n">
        <v>12</v>
      </c>
      <c r="G10834" s="4" t="n">
        <v>6</v>
      </c>
      <c r="H10834" s="4" t="n">
        <v>4</v>
      </c>
      <c r="I10834" s="4" t="str">
        <v>×</v>
      </c>
      <c r="J10834" s="4"/>
      <c r="K10834" s="4"/>
      <c r="L10834" s="4"/>
      <c r="M10834" s="5" t="s">
        <v>6501</v>
      </c>
    </row>
    <row r="10835" customFormat="false" ht="15.75" hidden="false" customHeight="false" outlineLevel="0" collapsed="false">
      <c r="A10835" s="6" t="n">
        <v>46194</v>
      </c>
      <c r="B10835" s="4" t="s">
        <v>4473</v>
      </c>
      <c r="C10835" s="4" t="n">
        <v>4</v>
      </c>
      <c r="D10835" s="4" t="n">
        <v>5</v>
      </c>
      <c r="E10835" s="4"/>
      <c r="F10835" s="4" t="n">
        <v>12</v>
      </c>
      <c r="G10835" s="4" t="n">
        <v>6</v>
      </c>
      <c r="H10835" s="4" t="n">
        <v>4</v>
      </c>
      <c r="I10835" s="4" t="str">
        <v>×</v>
      </c>
      <c r="J10835" s="4"/>
      <c r="K10835" s="4"/>
      <c r="L10835" s="4"/>
      <c r="M10835" s="5" t="s">
        <v>6501</v>
      </c>
    </row>
    <row r="10836" customFormat="false" ht="15.75" hidden="false" customHeight="false" outlineLevel="0" collapsed="false">
      <c r="A10836" s="6" t="n">
        <v>46194</v>
      </c>
      <c r="B10836" s="4" t="s">
        <v>4473</v>
      </c>
      <c r="C10836" s="4" t="n">
        <v>4</v>
      </c>
      <c r="D10836" s="4" t="n">
        <v>6</v>
      </c>
      <c r="E10836" s="4"/>
      <c r="F10836" s="4" t="n">
        <v>37</v>
      </c>
      <c r="G10836" s="4" t="n">
        <v>1</v>
      </c>
      <c r="H10836" s="4" t="n">
        <v>1</v>
      </c>
      <c r="I10836" s="4" t="str">
        <v>○</v>
      </c>
      <c r="J10836" s="4" t="n">
        <v>110</v>
      </c>
      <c r="K10836" s="4"/>
      <c r="L10836" s="4"/>
      <c r="M10836" s="5" t="s">
        <v>6501</v>
      </c>
    </row>
    <row r="10837" customFormat="false" ht="15.75" hidden="false" customHeight="false" outlineLevel="0" collapsed="false">
      <c r="A10837" s="6" t="n">
        <v>46194</v>
      </c>
      <c r="B10837" s="4" t="s">
        <v>4473</v>
      </c>
      <c r="C10837" s="4" t="n">
        <v>4</v>
      </c>
      <c r="D10837" s="4" t="n">
        <v>7</v>
      </c>
      <c r="E10837" s="4"/>
      <c r="F10837" s="4" t="n">
        <v>27</v>
      </c>
      <c r="G10837" s="4" t="n">
        <v>2</v>
      </c>
      <c r="H10837" s="4" t="n">
        <v>2</v>
      </c>
      <c r="I10837" s="4" t="str">
        <v>○</v>
      </c>
      <c r="J10837" s="4" t="n">
        <v>120</v>
      </c>
      <c r="K10837" s="4"/>
      <c r="L10837" s="4"/>
      <c r="M10837" s="5" t="s">
        <v>6501</v>
      </c>
    </row>
    <row r="10838" customFormat="false" ht="15.75" hidden="false" customHeight="false" outlineLevel="0" collapsed="false">
      <c r="A10838" s="6" t="n">
        <v>46194</v>
      </c>
      <c r="B10838" s="4" t="s">
        <v>4473</v>
      </c>
      <c r="C10838" s="4" t="n">
        <v>4</v>
      </c>
      <c r="D10838" s="4" t="n">
        <v>8</v>
      </c>
      <c r="E10838" s="4"/>
      <c r="F10838" s="4" t="n">
        <v>21</v>
      </c>
      <c r="G10838" s="4" t="n">
        <v>4</v>
      </c>
      <c r="H10838" s="4" t="n">
        <v>4</v>
      </c>
      <c r="I10838" s="4" t="str">
        <v>×</v>
      </c>
      <c r="J10838" s="4"/>
      <c r="K10838" s="4"/>
      <c r="L10838" s="4"/>
      <c r="M10838" s="5" t="s">
        <v>6501</v>
      </c>
    </row>
    <row r="10839" customFormat="false" ht="15.75" hidden="false" customHeight="false" outlineLevel="0" collapsed="false">
      <c r="A10839" s="6" t="n">
        <v>46194</v>
      </c>
      <c r="B10839" s="4" t="s">
        <v>4473</v>
      </c>
      <c r="C10839" s="4" t="n">
        <v>4</v>
      </c>
      <c r="D10839" s="4" t="n">
        <v>9</v>
      </c>
      <c r="E10839" s="4"/>
      <c r="F10839" s="4" t="n">
        <v>16</v>
      </c>
      <c r="G10839" s="4" t="n">
        <v>5</v>
      </c>
      <c r="H10839" s="4" t="n">
        <v>4</v>
      </c>
      <c r="I10839" s="4" t="str">
        <v>×</v>
      </c>
      <c r="J10839" s="4"/>
      <c r="K10839" s="4"/>
      <c r="L10839" s="4"/>
      <c r="M10839" s="5" t="s">
        <v>6501</v>
      </c>
    </row>
    <row r="10840" customFormat="false" ht="15.75" hidden="false" customHeight="false" outlineLevel="0" collapsed="false">
      <c r="A10840" s="6" t="n">
        <v>46194</v>
      </c>
      <c r="B10840" s="4" t="s">
        <v>4473</v>
      </c>
      <c r="C10840" s="4" t="n">
        <v>4</v>
      </c>
      <c r="D10840" s="4" t="n">
        <v>10</v>
      </c>
      <c r="E10840" s="4"/>
      <c r="F10840" s="4" t="n">
        <v>24</v>
      </c>
      <c r="G10840" s="4" t="n">
        <v>3</v>
      </c>
      <c r="H10840" s="4" t="n">
        <v>4</v>
      </c>
      <c r="I10840" s="4" t="str">
        <v>×</v>
      </c>
      <c r="J10840" s="4"/>
      <c r="K10840" s="4"/>
      <c r="L10840" s="4"/>
      <c r="M10840" s="5" t="s">
        <v>6501</v>
      </c>
    </row>
    <row r="10841" customFormat="false" ht="15.75" hidden="false" customHeight="false" outlineLevel="0" collapsed="false">
      <c r="A10841" s="6" t="n">
        <v>46194</v>
      </c>
      <c r="B10841" s="4" t="s">
        <v>4473</v>
      </c>
      <c r="C10841" s="4" t="n">
        <v>5</v>
      </c>
      <c r="D10841" s="4" t="n">
        <v>1</v>
      </c>
      <c r="E10841" s="4"/>
      <c r="F10841" s="4" t="n">
        <v>21</v>
      </c>
      <c r="G10841" s="4" t="n">
        <v>5</v>
      </c>
      <c r="H10841" s="4" t="n">
        <v>4</v>
      </c>
      <c r="I10841" s="4" t="str">
        <v>×</v>
      </c>
      <c r="J10841" s="4"/>
      <c r="K10841" s="4"/>
      <c r="L10841" s="4"/>
      <c r="M10841" s="5" t="s">
        <v>6501</v>
      </c>
    </row>
    <row r="10842" customFormat="false" ht="15.75" hidden="false" customHeight="false" outlineLevel="0" collapsed="false">
      <c r="A10842" s="6" t="n">
        <v>46194</v>
      </c>
      <c r="B10842" s="4" t="s">
        <v>4473</v>
      </c>
      <c r="C10842" s="4" t="n">
        <v>5</v>
      </c>
      <c r="D10842" s="4" t="n">
        <v>2</v>
      </c>
      <c r="E10842" s="4"/>
      <c r="F10842" s="4" t="n">
        <v>21</v>
      </c>
      <c r="G10842" s="4" t="n">
        <v>5</v>
      </c>
      <c r="H10842" s="4" t="n">
        <v>4</v>
      </c>
      <c r="I10842" s="4" t="str">
        <v>×</v>
      </c>
      <c r="J10842" s="4"/>
      <c r="K10842" s="4"/>
      <c r="L10842" s="4"/>
      <c r="M10842" s="5" t="s">
        <v>6501</v>
      </c>
    </row>
    <row r="10843" customFormat="false" ht="15.75" hidden="false" customHeight="false" outlineLevel="0" collapsed="false">
      <c r="A10843" s="6" t="n">
        <v>46194</v>
      </c>
      <c r="B10843" s="4" t="s">
        <v>4473</v>
      </c>
      <c r="C10843" s="4" t="n">
        <v>5</v>
      </c>
      <c r="D10843" s="4" t="n">
        <v>3</v>
      </c>
      <c r="E10843" s="4"/>
      <c r="F10843" s="4" t="n">
        <v>31</v>
      </c>
      <c r="G10843" s="4" t="n">
        <v>2</v>
      </c>
      <c r="H10843" s="4" t="n">
        <v>4</v>
      </c>
      <c r="I10843" s="4" t="str">
        <v>×</v>
      </c>
      <c r="J10843" s="4"/>
      <c r="K10843" s="4"/>
      <c r="L10843" s="4"/>
      <c r="M10843" s="5" t="s">
        <v>6501</v>
      </c>
    </row>
    <row r="10844" customFormat="false" ht="15.75" hidden="false" customHeight="false" outlineLevel="0" collapsed="false">
      <c r="A10844" s="6" t="n">
        <v>46194</v>
      </c>
      <c r="B10844" s="4" t="s">
        <v>4473</v>
      </c>
      <c r="C10844" s="4" t="n">
        <v>5</v>
      </c>
      <c r="D10844" s="4" t="n">
        <v>4</v>
      </c>
      <c r="E10844" s="4"/>
      <c r="F10844" s="4" t="n">
        <v>27</v>
      </c>
      <c r="G10844" s="4" t="n">
        <v>3</v>
      </c>
      <c r="H10844" s="4" t="n">
        <v>4</v>
      </c>
      <c r="I10844" s="4" t="str">
        <v>×</v>
      </c>
      <c r="J10844" s="4"/>
      <c r="K10844" s="4"/>
      <c r="L10844" s="4"/>
      <c r="M10844" s="5" t="s">
        <v>6501</v>
      </c>
    </row>
    <row r="10845" customFormat="false" ht="15.75" hidden="false" customHeight="false" outlineLevel="0" collapsed="false">
      <c r="A10845" s="6" t="n">
        <v>46194</v>
      </c>
      <c r="B10845" s="4" t="s">
        <v>4473</v>
      </c>
      <c r="C10845" s="4" t="n">
        <v>5</v>
      </c>
      <c r="D10845" s="4" t="n">
        <v>5</v>
      </c>
      <c r="E10845" s="4"/>
      <c r="F10845" s="4" t="n">
        <v>21</v>
      </c>
      <c r="G10845" s="4" t="n">
        <v>5</v>
      </c>
      <c r="H10845" s="4" t="n">
        <v>2</v>
      </c>
      <c r="I10845" s="4" t="str">
        <v>○</v>
      </c>
      <c r="J10845" s="4" t="n">
        <v>350</v>
      </c>
      <c r="K10845" s="4"/>
      <c r="L10845" s="4"/>
      <c r="M10845" s="5" t="s">
        <v>6501</v>
      </c>
    </row>
    <row r="10846" customFormat="false" ht="15.75" hidden="false" customHeight="false" outlineLevel="0" collapsed="false">
      <c r="A10846" s="6" t="n">
        <v>46194</v>
      </c>
      <c r="B10846" s="4" t="s">
        <v>4473</v>
      </c>
      <c r="C10846" s="4" t="n">
        <v>5</v>
      </c>
      <c r="D10846" s="4" t="n">
        <v>6</v>
      </c>
      <c r="E10846" s="4"/>
      <c r="F10846" s="4" t="n">
        <v>12</v>
      </c>
      <c r="G10846" s="4" t="n">
        <v>8</v>
      </c>
      <c r="H10846" s="4" t="n">
        <v>3</v>
      </c>
      <c r="I10846" s="4" t="str">
        <v>○</v>
      </c>
      <c r="J10846" s="4" t="n">
        <v>810</v>
      </c>
      <c r="K10846" s="4"/>
      <c r="L10846" s="4"/>
      <c r="M10846" s="5" t="s">
        <v>6501</v>
      </c>
    </row>
    <row r="10847" customFormat="false" ht="15.75" hidden="false" customHeight="false" outlineLevel="0" collapsed="false">
      <c r="A10847" s="6" t="n">
        <v>46194</v>
      </c>
      <c r="B10847" s="4" t="s">
        <v>4473</v>
      </c>
      <c r="C10847" s="4" t="n">
        <v>5</v>
      </c>
      <c r="D10847" s="4" t="n">
        <v>7</v>
      </c>
      <c r="E10847" s="4"/>
      <c r="F10847" s="4" t="n">
        <v>24</v>
      </c>
      <c r="G10847" s="4" t="n">
        <v>4</v>
      </c>
      <c r="H10847" s="4" t="n">
        <v>4</v>
      </c>
      <c r="I10847" s="4" t="str">
        <v>×</v>
      </c>
      <c r="J10847" s="4"/>
      <c r="K10847" s="4"/>
      <c r="L10847" s="4"/>
      <c r="M10847" s="5" t="s">
        <v>6501</v>
      </c>
    </row>
    <row r="10848" customFormat="false" ht="15.75" hidden="false" customHeight="false" outlineLevel="0" collapsed="false">
      <c r="A10848" s="6" t="n">
        <v>46194</v>
      </c>
      <c r="B10848" s="4" t="s">
        <v>4473</v>
      </c>
      <c r="C10848" s="4" t="n">
        <v>5</v>
      </c>
      <c r="D10848" s="4" t="n">
        <v>8</v>
      </c>
      <c r="E10848" s="4"/>
      <c r="F10848" s="4" t="n">
        <v>16</v>
      </c>
      <c r="G10848" s="4" t="n">
        <v>6</v>
      </c>
      <c r="H10848" s="4" t="n">
        <v>1</v>
      </c>
      <c r="I10848" s="4" t="str">
        <v>○</v>
      </c>
      <c r="J10848" s="4" t="n">
        <v>530</v>
      </c>
      <c r="K10848" s="4"/>
      <c r="L10848" s="4"/>
      <c r="M10848" s="5" t="s">
        <v>6501</v>
      </c>
    </row>
    <row r="10849" customFormat="false" ht="15.75" hidden="false" customHeight="false" outlineLevel="0" collapsed="false">
      <c r="A10849" s="6" t="n">
        <v>46194</v>
      </c>
      <c r="B10849" s="4" t="s">
        <v>4473</v>
      </c>
      <c r="C10849" s="4" t="n">
        <v>5</v>
      </c>
      <c r="D10849" s="4" t="n">
        <v>9</v>
      </c>
      <c r="E10849" s="4"/>
      <c r="F10849" s="4" t="n">
        <v>37</v>
      </c>
      <c r="G10849" s="4" t="n">
        <v>1</v>
      </c>
      <c r="H10849" s="4" t="n">
        <v>4</v>
      </c>
      <c r="I10849" s="4" t="str">
        <v>×</v>
      </c>
      <c r="J10849" s="4"/>
      <c r="K10849" s="4"/>
      <c r="L10849" s="4"/>
      <c r="M10849" s="5" t="s">
        <v>6501</v>
      </c>
    </row>
    <row r="10850" customFormat="false" ht="15.75" hidden="false" customHeight="false" outlineLevel="0" collapsed="false">
      <c r="A10850" s="6" t="n">
        <v>46194</v>
      </c>
      <c r="B10850" s="4" t="s">
        <v>4473</v>
      </c>
      <c r="C10850" s="4" t="n">
        <v>5</v>
      </c>
      <c r="D10850" s="4" t="n">
        <v>10</v>
      </c>
      <c r="E10850" s="4"/>
      <c r="F10850" s="4" t="n">
        <v>8</v>
      </c>
      <c r="G10850" s="4" t="n">
        <v>9</v>
      </c>
      <c r="H10850" s="4" t="n">
        <v>4</v>
      </c>
      <c r="I10850" s="4" t="str">
        <v>×</v>
      </c>
      <c r="J10850" s="4"/>
      <c r="K10850" s="4"/>
      <c r="L10850" s="4"/>
      <c r="M10850" s="5" t="s">
        <v>6501</v>
      </c>
    </row>
    <row r="10851" customFormat="false" ht="15.75" hidden="false" customHeight="false" outlineLevel="0" collapsed="false">
      <c r="A10851" s="6" t="n">
        <v>46194</v>
      </c>
      <c r="B10851" s="4" t="s">
        <v>4473</v>
      </c>
      <c r="C10851" s="4" t="n">
        <v>5</v>
      </c>
      <c r="D10851" s="4" t="n">
        <v>11</v>
      </c>
      <c r="E10851" s="4"/>
      <c r="F10851" s="4" t="n">
        <v>16</v>
      </c>
      <c r="G10851" s="4" t="n">
        <v>6</v>
      </c>
      <c r="H10851" s="4" t="n">
        <v>4</v>
      </c>
      <c r="I10851" s="4" t="str">
        <v>×</v>
      </c>
      <c r="J10851" s="4"/>
      <c r="K10851" s="4"/>
      <c r="L10851" s="4"/>
      <c r="M10851" s="5" t="s">
        <v>6501</v>
      </c>
    </row>
    <row r="10852" customFormat="false" ht="15.75" hidden="false" customHeight="false" outlineLevel="0" collapsed="false">
      <c r="A10852" s="6" t="n">
        <v>46194</v>
      </c>
      <c r="B10852" s="4" t="s">
        <v>4473</v>
      </c>
      <c r="C10852" s="4" t="n">
        <v>5</v>
      </c>
      <c r="D10852" s="4" t="n">
        <v>12</v>
      </c>
      <c r="E10852" s="4"/>
      <c r="F10852" s="4" t="n">
        <v>8</v>
      </c>
      <c r="G10852" s="4" t="n">
        <v>9</v>
      </c>
      <c r="H10852" s="4" t="n">
        <v>4</v>
      </c>
      <c r="I10852" s="4" t="str">
        <v>×</v>
      </c>
      <c r="J10852" s="4"/>
      <c r="K10852" s="4"/>
      <c r="L10852" s="4"/>
      <c r="M10852" s="5" t="s">
        <v>6501</v>
      </c>
    </row>
    <row r="10853" customFormat="false" ht="15.75" hidden="false" customHeight="false" outlineLevel="0" collapsed="false">
      <c r="A10853" s="6" t="n">
        <v>46194</v>
      </c>
      <c r="B10853" s="4" t="s">
        <v>4473</v>
      </c>
      <c r="C10853" s="4" t="n">
        <v>5</v>
      </c>
      <c r="D10853" s="4" t="n">
        <v>13</v>
      </c>
      <c r="E10853" s="4"/>
      <c r="F10853" s="4" t="n">
        <v>14</v>
      </c>
      <c r="G10853" s="4" t="n">
        <v>7</v>
      </c>
      <c r="H10853" s="4" t="n">
        <v>4</v>
      </c>
      <c r="I10853" s="4" t="str">
        <v>×</v>
      </c>
      <c r="J10853" s="4"/>
      <c r="K10853" s="4"/>
      <c r="L10853" s="4"/>
      <c r="M10853" s="5" t="s">
        <v>6501</v>
      </c>
    </row>
    <row r="10854" customFormat="false" ht="15.75" hidden="false" customHeight="false" outlineLevel="0" collapsed="false">
      <c r="A10854" s="6" t="n">
        <v>46194</v>
      </c>
      <c r="B10854" s="4" t="s">
        <v>4473</v>
      </c>
      <c r="C10854" s="4" t="n">
        <v>6</v>
      </c>
      <c r="D10854" s="4" t="n">
        <v>1</v>
      </c>
      <c r="E10854" s="4"/>
      <c r="F10854" s="4" t="n">
        <v>10</v>
      </c>
      <c r="G10854" s="4" t="n">
        <v>9</v>
      </c>
      <c r="H10854" s="4" t="n">
        <v>4</v>
      </c>
      <c r="I10854" s="4" t="str">
        <v>×</v>
      </c>
      <c r="J10854" s="4"/>
      <c r="K10854" s="4"/>
      <c r="L10854" s="4"/>
      <c r="M10854" s="5" t="s">
        <v>6501</v>
      </c>
    </row>
    <row r="10855" customFormat="false" ht="15.75" hidden="false" customHeight="false" outlineLevel="0" collapsed="false">
      <c r="A10855" s="6" t="n">
        <v>46194</v>
      </c>
      <c r="B10855" s="4" t="s">
        <v>4473</v>
      </c>
      <c r="C10855" s="4" t="n">
        <v>6</v>
      </c>
      <c r="D10855" s="4" t="n">
        <v>2</v>
      </c>
      <c r="E10855" s="4"/>
      <c r="F10855" s="4" t="n">
        <v>31</v>
      </c>
      <c r="G10855" s="4" t="n">
        <v>5</v>
      </c>
      <c r="H10855" s="4" t="n">
        <v>2</v>
      </c>
      <c r="I10855" s="4" t="str">
        <v>○</v>
      </c>
      <c r="J10855" s="4" t="n">
        <v>200</v>
      </c>
      <c r="K10855" s="4"/>
      <c r="L10855" s="4"/>
      <c r="M10855" s="5" t="s">
        <v>6501</v>
      </c>
    </row>
    <row r="10856" customFormat="false" ht="15.75" hidden="false" customHeight="false" outlineLevel="0" collapsed="false">
      <c r="A10856" s="6" t="n">
        <v>46194</v>
      </c>
      <c r="B10856" s="4" t="s">
        <v>4473</v>
      </c>
      <c r="C10856" s="4" t="n">
        <v>6</v>
      </c>
      <c r="D10856" s="4" t="n">
        <v>3</v>
      </c>
      <c r="E10856" s="4"/>
      <c r="F10856" s="4" t="n">
        <v>4</v>
      </c>
      <c r="G10856" s="4" t="n">
        <v>12</v>
      </c>
      <c r="H10856" s="4" t="n">
        <v>4</v>
      </c>
      <c r="I10856" s="4" t="str">
        <v>×</v>
      </c>
      <c r="J10856" s="4"/>
      <c r="K10856" s="4"/>
      <c r="L10856" s="4"/>
      <c r="M10856" s="5" t="s">
        <v>6501</v>
      </c>
    </row>
    <row r="10857" customFormat="false" ht="15.75" hidden="false" customHeight="false" outlineLevel="0" collapsed="false">
      <c r="A10857" s="6" t="n">
        <v>46194</v>
      </c>
      <c r="B10857" s="4" t="s">
        <v>4473</v>
      </c>
      <c r="C10857" s="4" t="n">
        <v>6</v>
      </c>
      <c r="D10857" s="4" t="n">
        <v>4</v>
      </c>
      <c r="E10857" s="4"/>
      <c r="F10857" s="4" t="n">
        <v>6</v>
      </c>
      <c r="G10857" s="4" t="n">
        <v>11</v>
      </c>
      <c r="H10857" s="4" t="n">
        <v>4</v>
      </c>
      <c r="I10857" s="4" t="str">
        <v>×</v>
      </c>
      <c r="J10857" s="4"/>
      <c r="K10857" s="4"/>
      <c r="L10857" s="4"/>
      <c r="M10857" s="5" t="s">
        <v>6501</v>
      </c>
    </row>
    <row r="10858" customFormat="false" ht="15.75" hidden="false" customHeight="false" outlineLevel="0" collapsed="false">
      <c r="A10858" s="6" t="n">
        <v>46194</v>
      </c>
      <c r="B10858" s="4" t="s">
        <v>4473</v>
      </c>
      <c r="C10858" s="4" t="n">
        <v>6</v>
      </c>
      <c r="D10858" s="4" t="n">
        <v>5</v>
      </c>
      <c r="E10858" s="4"/>
      <c r="F10858" s="4" t="n">
        <v>20</v>
      </c>
      <c r="G10858" s="4" t="n">
        <v>7</v>
      </c>
      <c r="H10858" s="4" t="n">
        <v>4</v>
      </c>
      <c r="I10858" s="4" t="str">
        <v>×</v>
      </c>
      <c r="J10858" s="4"/>
      <c r="K10858" s="4"/>
      <c r="L10858" s="4"/>
      <c r="M10858" s="5" t="s">
        <v>6501</v>
      </c>
    </row>
    <row r="10859" customFormat="false" ht="15.75" hidden="false" customHeight="false" outlineLevel="0" collapsed="false">
      <c r="A10859" s="6" t="n">
        <v>46194</v>
      </c>
      <c r="B10859" s="4" t="s">
        <v>4473</v>
      </c>
      <c r="C10859" s="4" t="n">
        <v>6</v>
      </c>
      <c r="D10859" s="4" t="n">
        <v>6</v>
      </c>
      <c r="E10859" s="4"/>
      <c r="F10859" s="4" t="n">
        <v>8</v>
      </c>
      <c r="G10859" s="4" t="n">
        <v>10</v>
      </c>
      <c r="H10859" s="4" t="n">
        <v>4</v>
      </c>
      <c r="I10859" s="4" t="str">
        <v>×</v>
      </c>
      <c r="J10859" s="4"/>
      <c r="K10859" s="4"/>
      <c r="L10859" s="4"/>
      <c r="M10859" s="5" t="s">
        <v>6501</v>
      </c>
    </row>
    <row r="10860" customFormat="false" ht="15.75" hidden="false" customHeight="false" outlineLevel="0" collapsed="false">
      <c r="A10860" s="6" t="n">
        <v>46194</v>
      </c>
      <c r="B10860" s="4" t="s">
        <v>4473</v>
      </c>
      <c r="C10860" s="4" t="n">
        <v>6</v>
      </c>
      <c r="D10860" s="4" t="n">
        <v>7</v>
      </c>
      <c r="E10860" s="4"/>
      <c r="F10860" s="4" t="n">
        <v>6</v>
      </c>
      <c r="G10860" s="4" t="n">
        <v>11</v>
      </c>
      <c r="H10860" s="4" t="n">
        <v>4</v>
      </c>
      <c r="I10860" s="4" t="str">
        <v>×</v>
      </c>
      <c r="J10860" s="4"/>
      <c r="K10860" s="4"/>
      <c r="L10860" s="4"/>
      <c r="M10860" s="5" t="s">
        <v>6501</v>
      </c>
    </row>
    <row r="10861" customFormat="false" ht="15.75" hidden="false" customHeight="false" outlineLevel="0" collapsed="false">
      <c r="A10861" s="6" t="n">
        <v>46194</v>
      </c>
      <c r="B10861" s="4" t="s">
        <v>4473</v>
      </c>
      <c r="C10861" s="4" t="n">
        <v>6</v>
      </c>
      <c r="D10861" s="4" t="n">
        <v>8</v>
      </c>
      <c r="E10861" s="4"/>
      <c r="F10861" s="4" t="n">
        <v>60</v>
      </c>
      <c r="G10861" s="4" t="n">
        <v>2</v>
      </c>
      <c r="H10861" s="4" t="n">
        <v>1</v>
      </c>
      <c r="I10861" s="4" t="str">
        <v>○</v>
      </c>
      <c r="J10861" s="4" t="n">
        <v>140</v>
      </c>
      <c r="K10861" s="4"/>
      <c r="L10861" s="4"/>
      <c r="M10861" s="5" t="s">
        <v>6501</v>
      </c>
    </row>
    <row r="10862" customFormat="false" ht="15.75" hidden="false" customHeight="false" outlineLevel="0" collapsed="false">
      <c r="A10862" s="6" t="n">
        <v>46194</v>
      </c>
      <c r="B10862" s="4" t="s">
        <v>4473</v>
      </c>
      <c r="C10862" s="4" t="n">
        <v>6</v>
      </c>
      <c r="D10862" s="4" t="n">
        <v>9</v>
      </c>
      <c r="E10862" s="4"/>
      <c r="F10862" s="4" t="n">
        <v>3</v>
      </c>
      <c r="G10862" s="4" t="n">
        <v>13</v>
      </c>
      <c r="H10862" s="4" t="n">
        <v>4</v>
      </c>
      <c r="I10862" s="4" t="str">
        <v>×</v>
      </c>
      <c r="J10862" s="4"/>
      <c r="K10862" s="4"/>
      <c r="L10862" s="4"/>
      <c r="M10862" s="5" t="s">
        <v>6501</v>
      </c>
    </row>
    <row r="10863" customFormat="false" ht="15.75" hidden="false" customHeight="false" outlineLevel="0" collapsed="false">
      <c r="A10863" s="6" t="n">
        <v>46194</v>
      </c>
      <c r="B10863" s="4" t="s">
        <v>4473</v>
      </c>
      <c r="C10863" s="4" t="n">
        <v>6</v>
      </c>
      <c r="D10863" s="4" t="n">
        <v>10</v>
      </c>
      <c r="E10863" s="4"/>
      <c r="F10863" s="4" t="n">
        <v>25</v>
      </c>
      <c r="G10863" s="4" t="n">
        <v>6</v>
      </c>
      <c r="H10863" s="4" t="n">
        <v>4</v>
      </c>
      <c r="I10863" s="4" t="str">
        <v>×</v>
      </c>
      <c r="J10863" s="4"/>
      <c r="K10863" s="4"/>
      <c r="L10863" s="4"/>
      <c r="M10863" s="5" t="s">
        <v>6501</v>
      </c>
    </row>
    <row r="10864" customFormat="false" ht="15.75" hidden="false" customHeight="false" outlineLevel="0" collapsed="false">
      <c r="A10864" s="6" t="n">
        <v>46194</v>
      </c>
      <c r="B10864" s="4" t="s">
        <v>4473</v>
      </c>
      <c r="C10864" s="4" t="n">
        <v>6</v>
      </c>
      <c r="D10864" s="4" t="n">
        <v>11</v>
      </c>
      <c r="E10864" s="4"/>
      <c r="F10864" s="4" t="n">
        <v>41</v>
      </c>
      <c r="G10864" s="4" t="n">
        <v>3</v>
      </c>
      <c r="H10864" s="4" t="n">
        <v>4</v>
      </c>
      <c r="I10864" s="4" t="str">
        <v>×</v>
      </c>
      <c r="J10864" s="4"/>
      <c r="K10864" s="4"/>
      <c r="L10864" s="4"/>
      <c r="M10864" s="5" t="s">
        <v>6501</v>
      </c>
    </row>
    <row r="10865" customFormat="false" ht="15.75" hidden="false" customHeight="false" outlineLevel="0" collapsed="false">
      <c r="A10865" s="6" t="n">
        <v>46194</v>
      </c>
      <c r="B10865" s="4" t="s">
        <v>4473</v>
      </c>
      <c r="C10865" s="4" t="n">
        <v>6</v>
      </c>
      <c r="D10865" s="4" t="n">
        <v>12</v>
      </c>
      <c r="E10865" s="4"/>
      <c r="F10865" s="4" t="n">
        <v>15</v>
      </c>
      <c r="G10865" s="4" t="n">
        <v>8</v>
      </c>
      <c r="H10865" s="4" t="n">
        <v>4</v>
      </c>
      <c r="I10865" s="4" t="str">
        <v>×</v>
      </c>
      <c r="J10865" s="4"/>
      <c r="K10865" s="4"/>
      <c r="L10865" s="4"/>
      <c r="M10865" s="5" t="s">
        <v>6501</v>
      </c>
    </row>
    <row r="10866" customFormat="false" ht="15.75" hidden="false" customHeight="false" outlineLevel="0" collapsed="false">
      <c r="A10866" s="6" t="n">
        <v>46194</v>
      </c>
      <c r="B10866" s="4" t="s">
        <v>4473</v>
      </c>
      <c r="C10866" s="4" t="n">
        <v>6</v>
      </c>
      <c r="D10866" s="4" t="n">
        <v>13</v>
      </c>
      <c r="E10866" s="4"/>
      <c r="F10866" s="4" t="n">
        <v>1</v>
      </c>
      <c r="G10866" s="4" t="n">
        <v>14</v>
      </c>
      <c r="H10866" s="4" t="n">
        <v>4</v>
      </c>
      <c r="I10866" s="4" t="str">
        <v>×</v>
      </c>
      <c r="J10866" s="4"/>
      <c r="K10866" s="4"/>
      <c r="L10866" s="4"/>
      <c r="M10866" s="5" t="s">
        <v>6501</v>
      </c>
    </row>
    <row r="10867" customFormat="false" ht="15.75" hidden="false" customHeight="false" outlineLevel="0" collapsed="false">
      <c r="A10867" s="6" t="n">
        <v>46194</v>
      </c>
      <c r="B10867" s="4" t="s">
        <v>4473</v>
      </c>
      <c r="C10867" s="4" t="n">
        <v>6</v>
      </c>
      <c r="D10867" s="4" t="n">
        <v>14</v>
      </c>
      <c r="E10867" s="4"/>
      <c r="F10867" s="4" t="n">
        <v>10</v>
      </c>
      <c r="G10867" s="4" t="n">
        <v>9</v>
      </c>
      <c r="H10867" s="4" t="n">
        <v>3</v>
      </c>
      <c r="I10867" s="4" t="str">
        <v>○</v>
      </c>
      <c r="J10867" s="4" t="n">
        <v>630</v>
      </c>
      <c r="K10867" s="4"/>
      <c r="L10867" s="4"/>
      <c r="M10867" s="5" t="s">
        <v>6501</v>
      </c>
    </row>
    <row r="10868" customFormat="false" ht="15.75" hidden="false" customHeight="false" outlineLevel="0" collapsed="false">
      <c r="A10868" s="6" t="n">
        <v>46194</v>
      </c>
      <c r="B10868" s="4" t="s">
        <v>4473</v>
      </c>
      <c r="C10868" s="4" t="n">
        <v>6</v>
      </c>
      <c r="D10868" s="4" t="n">
        <v>15</v>
      </c>
      <c r="E10868" s="4"/>
      <c r="F10868" s="4" t="n">
        <v>37</v>
      </c>
      <c r="G10868" s="4" t="n">
        <v>4</v>
      </c>
      <c r="H10868" s="4" t="n">
        <v>4</v>
      </c>
      <c r="I10868" s="4" t="str">
        <v>×</v>
      </c>
      <c r="J10868" s="4"/>
      <c r="K10868" s="4"/>
      <c r="L10868" s="4"/>
      <c r="M10868" s="5" t="s">
        <v>6501</v>
      </c>
    </row>
    <row r="10869" customFormat="false" ht="15.75" hidden="false" customHeight="false" outlineLevel="0" collapsed="false">
      <c r="A10869" s="6" t="n">
        <v>46194</v>
      </c>
      <c r="B10869" s="4" t="s">
        <v>4473</v>
      </c>
      <c r="C10869" s="4" t="n">
        <v>6</v>
      </c>
      <c r="D10869" s="4" t="n">
        <v>16</v>
      </c>
      <c r="E10869" s="4"/>
      <c r="F10869" s="4" t="n">
        <v>66</v>
      </c>
      <c r="G10869" s="4" t="n">
        <v>1</v>
      </c>
      <c r="H10869" s="4" t="n">
        <v>4</v>
      </c>
      <c r="I10869" s="4" t="str">
        <v>×</v>
      </c>
      <c r="J10869" s="4"/>
      <c r="K10869" s="4"/>
      <c r="L10869" s="4"/>
      <c r="M10869" s="5" t="s">
        <v>6501</v>
      </c>
    </row>
    <row r="10870" customFormat="false" ht="15.75" hidden="false" customHeight="false" outlineLevel="0" collapsed="false">
      <c r="A10870" s="6" t="n">
        <v>46194</v>
      </c>
      <c r="B10870" s="4" t="s">
        <v>4473</v>
      </c>
      <c r="C10870" s="4" t="n">
        <v>7</v>
      </c>
      <c r="D10870" s="4" t="n">
        <v>1</v>
      </c>
      <c r="E10870" s="4"/>
      <c r="F10870" s="4" t="n">
        <v>20</v>
      </c>
      <c r="G10870" s="4" t="n">
        <v>6</v>
      </c>
      <c r="H10870" s="4" t="n">
        <v>4</v>
      </c>
      <c r="I10870" s="4" t="str">
        <v>×</v>
      </c>
      <c r="J10870" s="4"/>
      <c r="K10870" s="4"/>
      <c r="L10870" s="4"/>
      <c r="M10870" s="5" t="s">
        <v>6501</v>
      </c>
    </row>
    <row r="10871" customFormat="false" ht="15.75" hidden="false" customHeight="false" outlineLevel="0" collapsed="false">
      <c r="A10871" s="6" t="n">
        <v>46194</v>
      </c>
      <c r="B10871" s="4" t="s">
        <v>4473</v>
      </c>
      <c r="C10871" s="4" t="n">
        <v>7</v>
      </c>
      <c r="D10871" s="4" t="n">
        <v>2</v>
      </c>
      <c r="E10871" s="4"/>
      <c r="F10871" s="4" t="n">
        <v>4</v>
      </c>
      <c r="G10871" s="4" t="n">
        <v>10</v>
      </c>
      <c r="H10871" s="4" t="n">
        <v>4</v>
      </c>
      <c r="I10871" s="4" t="str">
        <v>×</v>
      </c>
      <c r="J10871" s="4"/>
      <c r="K10871" s="4"/>
      <c r="L10871" s="4"/>
      <c r="M10871" s="5" t="s">
        <v>6501</v>
      </c>
    </row>
    <row r="10872" customFormat="false" ht="15.75" hidden="false" customHeight="false" outlineLevel="0" collapsed="false">
      <c r="A10872" s="6" t="n">
        <v>46194</v>
      </c>
      <c r="B10872" s="4" t="s">
        <v>4473</v>
      </c>
      <c r="C10872" s="4" t="n">
        <v>7</v>
      </c>
      <c r="D10872" s="4" t="n">
        <v>3</v>
      </c>
      <c r="E10872" s="4"/>
      <c r="F10872" s="4" t="n">
        <v>13</v>
      </c>
      <c r="G10872" s="4" t="n">
        <v>7</v>
      </c>
      <c r="H10872" s="4" t="n">
        <v>4</v>
      </c>
      <c r="I10872" s="4" t="str">
        <v>×</v>
      </c>
      <c r="J10872" s="4"/>
      <c r="K10872" s="4"/>
      <c r="L10872" s="4"/>
      <c r="M10872" s="5" t="s">
        <v>6501</v>
      </c>
    </row>
    <row r="10873" customFormat="false" ht="15.75" hidden="false" customHeight="false" outlineLevel="0" collapsed="false">
      <c r="A10873" s="6" t="n">
        <v>46194</v>
      </c>
      <c r="B10873" s="4" t="s">
        <v>4473</v>
      </c>
      <c r="C10873" s="4" t="n">
        <v>7</v>
      </c>
      <c r="D10873" s="4" t="n">
        <v>4</v>
      </c>
      <c r="E10873" s="4"/>
      <c r="F10873" s="4" t="n">
        <v>6</v>
      </c>
      <c r="G10873" s="4" t="n">
        <v>9</v>
      </c>
      <c r="H10873" s="4" t="n">
        <v>4</v>
      </c>
      <c r="I10873" s="4" t="str">
        <v>×</v>
      </c>
      <c r="J10873" s="4"/>
      <c r="K10873" s="4"/>
      <c r="L10873" s="4"/>
      <c r="M10873" s="5" t="s">
        <v>6501</v>
      </c>
    </row>
    <row r="10874" customFormat="false" ht="15.75" hidden="false" customHeight="false" outlineLevel="0" collapsed="false">
      <c r="A10874" s="6" t="n">
        <v>46194</v>
      </c>
      <c r="B10874" s="4" t="s">
        <v>4473</v>
      </c>
      <c r="C10874" s="4" t="n">
        <v>7</v>
      </c>
      <c r="D10874" s="4" t="n">
        <v>5</v>
      </c>
      <c r="E10874" s="4"/>
      <c r="F10874" s="4" t="n">
        <v>62</v>
      </c>
      <c r="G10874" s="4" t="n">
        <v>1</v>
      </c>
      <c r="H10874" s="4" t="n">
        <v>2</v>
      </c>
      <c r="I10874" s="4" t="str">
        <v>○</v>
      </c>
      <c r="J10874" s="4" t="n">
        <v>110</v>
      </c>
      <c r="K10874" s="4"/>
      <c r="L10874" s="4"/>
      <c r="M10874" s="5" t="s">
        <v>6501</v>
      </c>
    </row>
    <row r="10875" customFormat="false" ht="15.75" hidden="false" customHeight="false" outlineLevel="0" collapsed="false">
      <c r="A10875" s="6" t="n">
        <v>46194</v>
      </c>
      <c r="B10875" s="4" t="s">
        <v>4473</v>
      </c>
      <c r="C10875" s="4" t="n">
        <v>7</v>
      </c>
      <c r="D10875" s="4" t="n">
        <v>6</v>
      </c>
      <c r="E10875" s="4"/>
      <c r="F10875" s="4" t="n">
        <v>34</v>
      </c>
      <c r="G10875" s="4" t="n">
        <v>3</v>
      </c>
      <c r="H10875" s="4" t="n">
        <v>4</v>
      </c>
      <c r="I10875" s="4" t="str">
        <v>×</v>
      </c>
      <c r="J10875" s="4"/>
      <c r="K10875" s="4"/>
      <c r="L10875" s="4"/>
      <c r="M10875" s="5" t="s">
        <v>6501</v>
      </c>
    </row>
    <row r="10876" customFormat="false" ht="15.75" hidden="false" customHeight="false" outlineLevel="0" collapsed="false">
      <c r="A10876" s="6" t="n">
        <v>46194</v>
      </c>
      <c r="B10876" s="4" t="s">
        <v>4473</v>
      </c>
      <c r="C10876" s="4" t="n">
        <v>7</v>
      </c>
      <c r="D10876" s="4" t="n">
        <v>7</v>
      </c>
      <c r="E10876" s="4"/>
      <c r="F10876" s="4" t="n">
        <v>34</v>
      </c>
      <c r="G10876" s="4" t="n">
        <v>3</v>
      </c>
      <c r="H10876" s="4" t="n">
        <v>4</v>
      </c>
      <c r="I10876" s="4" t="str">
        <v>×</v>
      </c>
      <c r="J10876" s="4"/>
      <c r="K10876" s="4"/>
      <c r="L10876" s="4"/>
      <c r="M10876" s="5" t="s">
        <v>6501</v>
      </c>
    </row>
    <row r="10877" customFormat="false" ht="15.75" hidden="false" customHeight="false" outlineLevel="0" collapsed="false">
      <c r="A10877" s="6" t="n">
        <v>46194</v>
      </c>
      <c r="B10877" s="4" t="s">
        <v>4473</v>
      </c>
      <c r="C10877" s="4" t="n">
        <v>7</v>
      </c>
      <c r="D10877" s="4" t="n">
        <v>8</v>
      </c>
      <c r="E10877" s="4"/>
      <c r="F10877" s="4" t="n">
        <v>47</v>
      </c>
      <c r="G10877" s="4" t="n">
        <v>2</v>
      </c>
      <c r="H10877" s="4" t="n">
        <v>3</v>
      </c>
      <c r="I10877" s="4" t="str">
        <v>○</v>
      </c>
      <c r="J10877" s="4" t="n">
        <v>270</v>
      </c>
      <c r="K10877" s="4"/>
      <c r="L10877" s="4"/>
      <c r="M10877" s="5" t="s">
        <v>6501</v>
      </c>
    </row>
    <row r="10878" customFormat="false" ht="15.75" hidden="false" customHeight="false" outlineLevel="0" collapsed="false">
      <c r="A10878" s="6" t="n">
        <v>46194</v>
      </c>
      <c r="B10878" s="4" t="s">
        <v>4473</v>
      </c>
      <c r="C10878" s="4" t="n">
        <v>7</v>
      </c>
      <c r="D10878" s="4" t="n">
        <v>9</v>
      </c>
      <c r="E10878" s="4"/>
      <c r="F10878" s="4" t="n">
        <v>23</v>
      </c>
      <c r="G10878" s="4" t="n">
        <v>5</v>
      </c>
      <c r="H10878" s="4" t="n">
        <v>4</v>
      </c>
      <c r="I10878" s="4" t="str">
        <v>×</v>
      </c>
      <c r="J10878" s="4"/>
      <c r="K10878" s="4"/>
      <c r="L10878" s="4"/>
      <c r="M10878" s="5" t="s">
        <v>6501</v>
      </c>
    </row>
    <row r="10879" customFormat="false" ht="15.75" hidden="false" customHeight="false" outlineLevel="0" collapsed="false">
      <c r="A10879" s="6" t="n">
        <v>46194</v>
      </c>
      <c r="B10879" s="4" t="s">
        <v>4473</v>
      </c>
      <c r="C10879" s="4" t="n">
        <v>7</v>
      </c>
      <c r="D10879" s="4" t="n">
        <v>10</v>
      </c>
      <c r="E10879" s="4"/>
      <c r="F10879" s="4" t="n">
        <v>34</v>
      </c>
      <c r="G10879" s="4" t="n">
        <v>3</v>
      </c>
      <c r="H10879" s="4" t="n">
        <v>1</v>
      </c>
      <c r="I10879" s="4" t="str">
        <v>○</v>
      </c>
      <c r="J10879" s="4" t="n">
        <v>150</v>
      </c>
      <c r="K10879" s="4"/>
      <c r="L10879" s="4"/>
      <c r="M10879" s="5" t="s">
        <v>6501</v>
      </c>
    </row>
    <row r="10880" customFormat="false" ht="15.75" hidden="false" customHeight="false" outlineLevel="0" collapsed="false">
      <c r="A10880" s="6" t="n">
        <v>46194</v>
      </c>
      <c r="B10880" s="4" t="s">
        <v>4473</v>
      </c>
      <c r="C10880" s="4" t="n">
        <v>7</v>
      </c>
      <c r="D10880" s="4" t="n">
        <v>11</v>
      </c>
      <c r="E10880" s="4"/>
      <c r="F10880" s="4" t="n">
        <v>24</v>
      </c>
      <c r="G10880" s="4" t="n">
        <v>4</v>
      </c>
      <c r="H10880" s="4" t="n">
        <v>4</v>
      </c>
      <c r="I10880" s="4" t="str">
        <v>×</v>
      </c>
      <c r="J10880" s="4"/>
      <c r="K10880" s="4"/>
      <c r="L10880" s="4"/>
      <c r="M10880" s="5" t="s">
        <v>6501</v>
      </c>
    </row>
    <row r="10881" customFormat="false" ht="15.75" hidden="false" customHeight="false" outlineLevel="0" collapsed="false">
      <c r="A10881" s="6" t="n">
        <v>46194</v>
      </c>
      <c r="B10881" s="4" t="s">
        <v>4473</v>
      </c>
      <c r="C10881" s="4" t="n">
        <v>7</v>
      </c>
      <c r="D10881" s="4" t="n">
        <v>12</v>
      </c>
      <c r="E10881" s="4"/>
      <c r="F10881" s="4" t="n">
        <v>6</v>
      </c>
      <c r="G10881" s="4" t="n">
        <v>9</v>
      </c>
      <c r="H10881" s="4" t="n">
        <v>4</v>
      </c>
      <c r="I10881" s="4" t="str">
        <v>×</v>
      </c>
      <c r="J10881" s="4"/>
      <c r="K10881" s="4"/>
      <c r="L10881" s="4"/>
      <c r="M10881" s="5" t="s">
        <v>6501</v>
      </c>
    </row>
    <row r="10882" customFormat="false" ht="15.75" hidden="false" customHeight="false" outlineLevel="0" collapsed="false">
      <c r="A10882" s="6" t="n">
        <v>46194</v>
      </c>
      <c r="B10882" s="4" t="s">
        <v>4473</v>
      </c>
      <c r="C10882" s="4" t="n">
        <v>7</v>
      </c>
      <c r="D10882" s="4" t="n">
        <v>13</v>
      </c>
      <c r="E10882" s="4"/>
      <c r="F10882" s="4" t="n">
        <v>13</v>
      </c>
      <c r="G10882" s="4" t="n">
        <v>7</v>
      </c>
      <c r="H10882" s="4" t="n">
        <v>4</v>
      </c>
      <c r="I10882" s="4" t="str">
        <v>×</v>
      </c>
      <c r="J10882" s="4"/>
      <c r="K10882" s="4"/>
      <c r="L10882" s="4"/>
      <c r="M10882" s="5" t="s">
        <v>6501</v>
      </c>
    </row>
    <row r="10883" customFormat="false" ht="15.75" hidden="false" customHeight="false" outlineLevel="0" collapsed="false">
      <c r="A10883" s="6" t="n">
        <v>46194</v>
      </c>
      <c r="B10883" s="4" t="s">
        <v>4473</v>
      </c>
      <c r="C10883" s="4" t="n">
        <v>7</v>
      </c>
      <c r="D10883" s="4" t="n">
        <v>14</v>
      </c>
      <c r="E10883" s="4"/>
      <c r="F10883" s="4" t="n">
        <v>4</v>
      </c>
      <c r="G10883" s="4" t="n">
        <v>10</v>
      </c>
      <c r="H10883" s="4" t="n">
        <v>4</v>
      </c>
      <c r="I10883" s="4" t="str">
        <v>×</v>
      </c>
      <c r="J10883" s="4"/>
      <c r="K10883" s="4"/>
      <c r="L10883" s="4"/>
      <c r="M10883" s="5" t="s">
        <v>6501</v>
      </c>
    </row>
    <row r="10884" customFormat="false" ht="15.75" hidden="false" customHeight="false" outlineLevel="0" collapsed="false">
      <c r="A10884" s="6" t="n">
        <v>46194</v>
      </c>
      <c r="B10884" s="4" t="s">
        <v>4473</v>
      </c>
      <c r="C10884" s="4" t="n">
        <v>7</v>
      </c>
      <c r="D10884" s="4" t="n">
        <v>15</v>
      </c>
      <c r="E10884" s="4"/>
      <c r="F10884" s="4" t="n">
        <v>4</v>
      </c>
      <c r="G10884" s="4" t="n">
        <v>10</v>
      </c>
      <c r="H10884" s="4" t="n">
        <v>4</v>
      </c>
      <c r="I10884" s="4" t="str">
        <v>×</v>
      </c>
      <c r="J10884" s="4"/>
      <c r="K10884" s="4"/>
      <c r="L10884" s="4"/>
      <c r="M10884" s="5" t="s">
        <v>6501</v>
      </c>
    </row>
    <row r="10885" customFormat="false" ht="15.75" hidden="false" customHeight="false" outlineLevel="0" collapsed="false">
      <c r="A10885" s="6" t="n">
        <v>46194</v>
      </c>
      <c r="B10885" s="4" t="s">
        <v>4473</v>
      </c>
      <c r="C10885" s="4" t="n">
        <v>7</v>
      </c>
      <c r="D10885" s="4" t="n">
        <v>16</v>
      </c>
      <c r="E10885" s="4"/>
      <c r="F10885" s="4" t="n">
        <v>8</v>
      </c>
      <c r="G10885" s="4" t="n">
        <v>8</v>
      </c>
      <c r="H10885" s="4" t="n">
        <v>4</v>
      </c>
      <c r="I10885" s="4" t="str">
        <v>×</v>
      </c>
      <c r="J10885" s="4"/>
      <c r="K10885" s="4"/>
      <c r="L10885" s="4"/>
      <c r="M10885" s="5" t="s">
        <v>6501</v>
      </c>
    </row>
    <row r="10886" customFormat="false" ht="15.75" hidden="false" customHeight="false" outlineLevel="0" collapsed="false">
      <c r="A10886" s="6" t="n">
        <v>46194</v>
      </c>
      <c r="B10886" s="4" t="s">
        <v>4473</v>
      </c>
      <c r="C10886" s="4" t="n">
        <v>8</v>
      </c>
      <c r="D10886" s="4" t="n">
        <v>1</v>
      </c>
      <c r="E10886" s="4"/>
      <c r="F10886" s="4" t="n">
        <v>15</v>
      </c>
      <c r="G10886" s="4" t="n">
        <v>8</v>
      </c>
      <c r="H10886" s="4" t="n">
        <v>4</v>
      </c>
      <c r="I10886" s="4" t="str">
        <v>×</v>
      </c>
      <c r="J10886" s="4"/>
      <c r="K10886" s="4"/>
      <c r="L10886" s="4"/>
      <c r="M10886" s="5" t="s">
        <v>6501</v>
      </c>
    </row>
    <row r="10887" customFormat="false" ht="15.75" hidden="false" customHeight="false" outlineLevel="0" collapsed="false">
      <c r="A10887" s="6" t="n">
        <v>46194</v>
      </c>
      <c r="B10887" s="4" t="s">
        <v>4473</v>
      </c>
      <c r="C10887" s="4" t="n">
        <v>8</v>
      </c>
      <c r="D10887" s="4" t="n">
        <v>2</v>
      </c>
      <c r="E10887" s="4"/>
      <c r="F10887" s="4" t="n">
        <v>37</v>
      </c>
      <c r="G10887" s="4" t="n">
        <v>4</v>
      </c>
      <c r="H10887" s="4" t="n">
        <v>4</v>
      </c>
      <c r="I10887" s="4" t="str">
        <v>×</v>
      </c>
      <c r="J10887" s="4"/>
      <c r="K10887" s="4"/>
      <c r="L10887" s="4"/>
      <c r="M10887" s="5" t="s">
        <v>6501</v>
      </c>
    </row>
    <row r="10888" customFormat="false" ht="15.75" hidden="false" customHeight="false" outlineLevel="0" collapsed="false">
      <c r="A10888" s="6" t="n">
        <v>46194</v>
      </c>
      <c r="B10888" s="4" t="s">
        <v>4473</v>
      </c>
      <c r="C10888" s="4" t="n">
        <v>8</v>
      </c>
      <c r="D10888" s="4" t="n">
        <v>3</v>
      </c>
      <c r="E10888" s="4"/>
      <c r="F10888" s="4" t="n">
        <v>62</v>
      </c>
      <c r="G10888" s="4" t="n">
        <v>2</v>
      </c>
      <c r="H10888" s="4" t="n">
        <v>1</v>
      </c>
      <c r="I10888" s="4" t="str">
        <v>○</v>
      </c>
      <c r="J10888" s="4" t="n">
        <v>180</v>
      </c>
      <c r="K10888" s="4"/>
      <c r="L10888" s="4"/>
      <c r="M10888" s="5" t="s">
        <v>6501</v>
      </c>
    </row>
    <row r="10889" customFormat="false" ht="15.75" hidden="false" customHeight="false" outlineLevel="0" collapsed="false">
      <c r="A10889" s="6" t="n">
        <v>46194</v>
      </c>
      <c r="B10889" s="4" t="s">
        <v>4473</v>
      </c>
      <c r="C10889" s="4" t="n">
        <v>8</v>
      </c>
      <c r="D10889" s="4" t="n">
        <v>4</v>
      </c>
      <c r="E10889" s="4"/>
      <c r="F10889" s="4" t="n">
        <v>6</v>
      </c>
      <c r="G10889" s="4" t="n">
        <v>11</v>
      </c>
      <c r="H10889" s="4" t="n">
        <v>4</v>
      </c>
      <c r="I10889" s="4" t="str">
        <v>×</v>
      </c>
      <c r="J10889" s="4"/>
      <c r="K10889" s="4"/>
      <c r="L10889" s="4"/>
      <c r="M10889" s="5" t="s">
        <v>6501</v>
      </c>
    </row>
    <row r="10890" customFormat="false" ht="15.75" hidden="false" customHeight="false" outlineLevel="0" collapsed="false">
      <c r="A10890" s="6" t="n">
        <v>46194</v>
      </c>
      <c r="B10890" s="4" t="s">
        <v>4473</v>
      </c>
      <c r="C10890" s="4" t="n">
        <v>8</v>
      </c>
      <c r="D10890" s="4" t="n">
        <v>5</v>
      </c>
      <c r="E10890" s="4"/>
      <c r="F10890" s="4" t="n">
        <v>10</v>
      </c>
      <c r="G10890" s="4" t="n">
        <v>10</v>
      </c>
      <c r="H10890" s="4" t="n">
        <v>4</v>
      </c>
      <c r="I10890" s="4" t="str">
        <v>×</v>
      </c>
      <c r="J10890" s="4"/>
      <c r="K10890" s="4"/>
      <c r="L10890" s="4"/>
      <c r="M10890" s="5" t="s">
        <v>6501</v>
      </c>
    </row>
    <row r="10891" customFormat="false" ht="15.75" hidden="false" customHeight="false" outlineLevel="0" collapsed="false">
      <c r="A10891" s="6" t="n">
        <v>46194</v>
      </c>
      <c r="B10891" s="4" t="s">
        <v>4473</v>
      </c>
      <c r="C10891" s="4" t="n">
        <v>8</v>
      </c>
      <c r="D10891" s="4" t="n">
        <v>6</v>
      </c>
      <c r="E10891" s="4"/>
      <c r="F10891" s="4" t="n">
        <v>31</v>
      </c>
      <c r="G10891" s="4" t="n">
        <v>5</v>
      </c>
      <c r="H10891" s="4" t="n">
        <v>4</v>
      </c>
      <c r="I10891" s="4" t="str">
        <v>×</v>
      </c>
      <c r="J10891" s="4"/>
      <c r="K10891" s="4"/>
      <c r="L10891" s="4"/>
      <c r="M10891" s="5" t="s">
        <v>6501</v>
      </c>
    </row>
    <row r="10892" customFormat="false" ht="15.75" hidden="false" customHeight="false" outlineLevel="0" collapsed="false">
      <c r="A10892" s="6" t="n">
        <v>46194</v>
      </c>
      <c r="B10892" s="4" t="s">
        <v>4473</v>
      </c>
      <c r="C10892" s="4" t="n">
        <v>8</v>
      </c>
      <c r="D10892" s="4" t="n">
        <v>7</v>
      </c>
      <c r="E10892" s="4"/>
      <c r="F10892" s="4" t="n">
        <v>13</v>
      </c>
      <c r="G10892" s="4" t="n">
        <v>9</v>
      </c>
      <c r="H10892" s="4" t="n">
        <v>4</v>
      </c>
      <c r="I10892" s="4" t="str">
        <v>×</v>
      </c>
      <c r="J10892" s="4"/>
      <c r="K10892" s="4"/>
      <c r="L10892" s="4"/>
      <c r="M10892" s="5" t="s">
        <v>6501</v>
      </c>
    </row>
    <row r="10893" customFormat="false" ht="15.75" hidden="false" customHeight="false" outlineLevel="0" collapsed="false">
      <c r="A10893" s="6" t="n">
        <v>46194</v>
      </c>
      <c r="B10893" s="4" t="s">
        <v>4473</v>
      </c>
      <c r="C10893" s="4" t="n">
        <v>8</v>
      </c>
      <c r="D10893" s="4" t="n">
        <v>8</v>
      </c>
      <c r="E10893" s="4"/>
      <c r="F10893" s="4" t="n">
        <v>4</v>
      </c>
      <c r="G10893" s="4" t="n">
        <v>12</v>
      </c>
      <c r="H10893" s="4" t="n">
        <v>4</v>
      </c>
      <c r="I10893" s="4" t="str">
        <v>×</v>
      </c>
      <c r="J10893" s="4"/>
      <c r="K10893" s="4"/>
      <c r="L10893" s="4"/>
      <c r="M10893" s="5" t="s">
        <v>6501</v>
      </c>
    </row>
    <row r="10894" customFormat="false" ht="15.75" hidden="false" customHeight="false" outlineLevel="0" collapsed="false">
      <c r="A10894" s="6" t="n">
        <v>46194</v>
      </c>
      <c r="B10894" s="4" t="s">
        <v>4473</v>
      </c>
      <c r="C10894" s="4" t="n">
        <v>8</v>
      </c>
      <c r="D10894" s="4" t="n">
        <v>9</v>
      </c>
      <c r="E10894" s="4"/>
      <c r="F10894" s="4" t="n">
        <v>13</v>
      </c>
      <c r="G10894" s="4" t="n">
        <v>9</v>
      </c>
      <c r="H10894" s="4" t="n">
        <v>4</v>
      </c>
      <c r="I10894" s="4" t="str">
        <v>×</v>
      </c>
      <c r="J10894" s="4"/>
      <c r="K10894" s="4"/>
      <c r="L10894" s="4"/>
      <c r="M10894" s="5" t="s">
        <v>6501</v>
      </c>
    </row>
    <row r="10895" customFormat="false" ht="15.75" hidden="false" customHeight="false" outlineLevel="0" collapsed="false">
      <c r="A10895" s="6" t="n">
        <v>46194</v>
      </c>
      <c r="B10895" s="4" t="s">
        <v>4473</v>
      </c>
      <c r="C10895" s="4" t="n">
        <v>8</v>
      </c>
      <c r="D10895" s="4" t="n">
        <v>10</v>
      </c>
      <c r="E10895" s="4"/>
      <c r="F10895" s="4" t="n">
        <v>20</v>
      </c>
      <c r="G10895" s="4" t="n">
        <v>7</v>
      </c>
      <c r="H10895" s="4" t="n">
        <v>2</v>
      </c>
      <c r="I10895" s="4" t="str">
        <v>○</v>
      </c>
      <c r="J10895" s="4" t="n">
        <v>370</v>
      </c>
      <c r="K10895" s="4"/>
      <c r="L10895" s="4"/>
      <c r="M10895" s="5" t="s">
        <v>6501</v>
      </c>
    </row>
    <row r="10896" customFormat="false" ht="15.75" hidden="false" customHeight="false" outlineLevel="0" collapsed="false">
      <c r="A10896" s="6" t="n">
        <v>46194</v>
      </c>
      <c r="B10896" s="4" t="s">
        <v>4473</v>
      </c>
      <c r="C10896" s="4" t="n">
        <v>8</v>
      </c>
      <c r="D10896" s="4" t="n">
        <v>11</v>
      </c>
      <c r="E10896" s="4"/>
      <c r="F10896" s="4" t="n">
        <v>3</v>
      </c>
      <c r="G10896" s="4" t="n">
        <v>13</v>
      </c>
      <c r="H10896" s="4" t="n">
        <v>4</v>
      </c>
      <c r="I10896" s="4" t="str">
        <v>×</v>
      </c>
      <c r="J10896" s="4"/>
      <c r="K10896" s="4"/>
      <c r="L10896" s="4"/>
      <c r="M10896" s="5" t="s">
        <v>6501</v>
      </c>
    </row>
    <row r="10897" customFormat="false" ht="15.75" hidden="false" customHeight="false" outlineLevel="0" collapsed="false">
      <c r="A10897" s="6" t="n">
        <v>46194</v>
      </c>
      <c r="B10897" s="4" t="s">
        <v>4473</v>
      </c>
      <c r="C10897" s="4" t="n">
        <v>8</v>
      </c>
      <c r="D10897" s="4" t="n">
        <v>12</v>
      </c>
      <c r="E10897" s="4"/>
      <c r="F10897" s="4" t="n">
        <v>74</v>
      </c>
      <c r="G10897" s="4" t="n">
        <v>1</v>
      </c>
      <c r="H10897" s="4" t="n">
        <v>4</v>
      </c>
      <c r="I10897" s="4" t="str">
        <v>×</v>
      </c>
      <c r="J10897" s="4"/>
      <c r="K10897" s="4"/>
      <c r="L10897" s="4"/>
      <c r="M10897" s="5" t="s">
        <v>6501</v>
      </c>
    </row>
    <row r="10898" customFormat="false" ht="15.75" hidden="false" customHeight="false" outlineLevel="0" collapsed="false">
      <c r="A10898" s="6" t="n">
        <v>46194</v>
      </c>
      <c r="B10898" s="4" t="s">
        <v>4473</v>
      </c>
      <c r="C10898" s="4" t="n">
        <v>8</v>
      </c>
      <c r="D10898" s="4" t="n">
        <v>13</v>
      </c>
      <c r="E10898" s="4"/>
      <c r="F10898" s="4" t="n">
        <v>3</v>
      </c>
      <c r="G10898" s="4" t="n">
        <v>13</v>
      </c>
      <c r="H10898" s="4" t="n">
        <v>4</v>
      </c>
      <c r="I10898" s="4" t="str">
        <v>×</v>
      </c>
      <c r="J10898" s="4"/>
      <c r="K10898" s="4"/>
      <c r="L10898" s="4"/>
      <c r="M10898" s="5" t="s">
        <v>6501</v>
      </c>
    </row>
    <row r="10899" customFormat="false" ht="15.75" hidden="false" customHeight="false" outlineLevel="0" collapsed="false">
      <c r="A10899" s="6" t="n">
        <v>46194</v>
      </c>
      <c r="B10899" s="4" t="s">
        <v>4473</v>
      </c>
      <c r="C10899" s="4" t="n">
        <v>8</v>
      </c>
      <c r="D10899" s="4" t="n">
        <v>14</v>
      </c>
      <c r="E10899" s="4"/>
      <c r="F10899" s="4" t="n">
        <v>25</v>
      </c>
      <c r="G10899" s="4" t="n">
        <v>6</v>
      </c>
      <c r="H10899" s="4" t="n">
        <v>3</v>
      </c>
      <c r="I10899" s="4" t="str">
        <v>○</v>
      </c>
      <c r="J10899" s="4" t="n">
        <v>260</v>
      </c>
      <c r="K10899" s="4"/>
      <c r="L10899" s="4"/>
      <c r="M10899" s="5" t="s">
        <v>6501</v>
      </c>
    </row>
    <row r="10900" customFormat="false" ht="15.75" hidden="false" customHeight="false" outlineLevel="0" collapsed="false">
      <c r="A10900" s="6" t="n">
        <v>46194</v>
      </c>
      <c r="B10900" s="4" t="s">
        <v>4473</v>
      </c>
      <c r="C10900" s="4" t="n">
        <v>8</v>
      </c>
      <c r="D10900" s="4" t="n">
        <v>15</v>
      </c>
      <c r="E10900" s="4"/>
      <c r="F10900" s="4" t="n">
        <v>50</v>
      </c>
      <c r="G10900" s="4" t="n">
        <v>3</v>
      </c>
      <c r="H10900" s="4" t="n">
        <v>4</v>
      </c>
      <c r="I10900" s="4" t="str">
        <v>×</v>
      </c>
      <c r="J10900" s="4"/>
      <c r="K10900" s="4"/>
      <c r="L10900" s="4"/>
      <c r="M10900" s="5" t="s">
        <v>6501</v>
      </c>
    </row>
    <row r="10901" customFormat="false" ht="15.75" hidden="false" customHeight="false" outlineLevel="0" collapsed="false">
      <c r="A10901" s="6" t="n">
        <v>46194</v>
      </c>
      <c r="B10901" s="4" t="s">
        <v>4473</v>
      </c>
      <c r="C10901" s="4" t="n">
        <v>8</v>
      </c>
      <c r="D10901" s="4" t="n">
        <v>16</v>
      </c>
      <c r="E10901" s="4"/>
      <c r="F10901" s="4" t="n">
        <v>1</v>
      </c>
      <c r="G10901" s="4" t="n">
        <v>14</v>
      </c>
      <c r="H10901" s="4" t="n">
        <v>4</v>
      </c>
      <c r="I10901" s="4" t="str">
        <v>×</v>
      </c>
      <c r="J10901" s="4"/>
      <c r="K10901" s="4"/>
      <c r="L10901" s="4"/>
      <c r="M10901" s="5" t="s">
        <v>6501</v>
      </c>
    </row>
    <row r="10902" customFormat="false" ht="15.75" hidden="false" customHeight="false" outlineLevel="0" collapsed="false">
      <c r="A10902" s="6" t="n">
        <v>46194</v>
      </c>
      <c r="B10902" s="4" t="s">
        <v>4473</v>
      </c>
      <c r="C10902" s="4" t="n">
        <v>9</v>
      </c>
      <c r="D10902" s="4" t="n">
        <v>1</v>
      </c>
      <c r="E10902" s="4"/>
      <c r="F10902" s="4" t="n">
        <v>39</v>
      </c>
      <c r="G10902" s="4" t="n">
        <v>4</v>
      </c>
      <c r="H10902" s="4" t="n">
        <v>4</v>
      </c>
      <c r="I10902" s="4" t="str">
        <v>×</v>
      </c>
      <c r="J10902" s="4"/>
      <c r="K10902" s="4"/>
      <c r="L10902" s="4"/>
      <c r="M10902" s="5" t="s">
        <v>6501</v>
      </c>
    </row>
    <row r="10903" customFormat="false" ht="15.75" hidden="false" customHeight="false" outlineLevel="0" collapsed="false">
      <c r="A10903" s="6" t="n">
        <v>46194</v>
      </c>
      <c r="B10903" s="4" t="s">
        <v>4473</v>
      </c>
      <c r="C10903" s="4" t="n">
        <v>9</v>
      </c>
      <c r="D10903" s="4" t="n">
        <v>2</v>
      </c>
      <c r="E10903" s="4"/>
      <c r="F10903" s="4" t="n">
        <v>23</v>
      </c>
      <c r="G10903" s="4" t="n">
        <v>7</v>
      </c>
      <c r="H10903" s="4" t="n">
        <v>4</v>
      </c>
      <c r="I10903" s="4" t="str">
        <v>×</v>
      </c>
      <c r="J10903" s="4"/>
      <c r="K10903" s="4"/>
      <c r="L10903" s="4"/>
      <c r="M10903" s="5" t="s">
        <v>6501</v>
      </c>
    </row>
    <row r="10904" customFormat="false" ht="15.75" hidden="false" customHeight="false" outlineLevel="0" collapsed="false">
      <c r="A10904" s="6" t="n">
        <v>46194</v>
      </c>
      <c r="B10904" s="4" t="s">
        <v>4473</v>
      </c>
      <c r="C10904" s="4" t="n">
        <v>9</v>
      </c>
      <c r="D10904" s="4" t="n">
        <v>3</v>
      </c>
      <c r="E10904" s="4"/>
      <c r="F10904" s="4" t="n">
        <v>10</v>
      </c>
      <c r="G10904" s="4" t="n">
        <v>10</v>
      </c>
      <c r="H10904" s="4" t="n">
        <v>4</v>
      </c>
      <c r="I10904" s="4" t="str">
        <v>×</v>
      </c>
      <c r="J10904" s="4"/>
      <c r="K10904" s="4"/>
      <c r="L10904" s="4"/>
      <c r="M10904" s="5" t="s">
        <v>6501</v>
      </c>
    </row>
    <row r="10905" customFormat="false" ht="15.75" hidden="false" customHeight="false" outlineLevel="0" collapsed="false">
      <c r="A10905" s="6" t="n">
        <v>46194</v>
      </c>
      <c r="B10905" s="4" t="s">
        <v>4473</v>
      </c>
      <c r="C10905" s="4" t="n">
        <v>9</v>
      </c>
      <c r="D10905" s="4" t="n">
        <v>4</v>
      </c>
      <c r="E10905" s="4"/>
      <c r="F10905" s="4" t="n">
        <v>17</v>
      </c>
      <c r="G10905" s="4" t="n">
        <v>9</v>
      </c>
      <c r="H10905" s="4" t="n">
        <v>4</v>
      </c>
      <c r="I10905" s="4" t="str">
        <v>×</v>
      </c>
      <c r="J10905" s="4"/>
      <c r="K10905" s="4"/>
      <c r="L10905" s="4"/>
      <c r="M10905" s="5" t="s">
        <v>6501</v>
      </c>
    </row>
    <row r="10906" customFormat="false" ht="15.75" hidden="false" customHeight="false" outlineLevel="0" collapsed="false">
      <c r="A10906" s="6" t="n">
        <v>46194</v>
      </c>
      <c r="B10906" s="4" t="s">
        <v>4473</v>
      </c>
      <c r="C10906" s="4" t="n">
        <v>9</v>
      </c>
      <c r="D10906" s="4" t="n">
        <v>5</v>
      </c>
      <c r="E10906" s="4"/>
      <c r="F10906" s="4" t="n">
        <v>2</v>
      </c>
      <c r="G10906" s="4" t="n">
        <v>12</v>
      </c>
      <c r="H10906" s="4" t="n">
        <v>4</v>
      </c>
      <c r="I10906" s="4" t="str">
        <v>×</v>
      </c>
      <c r="J10906" s="4"/>
      <c r="K10906" s="4"/>
      <c r="L10906" s="4"/>
      <c r="M10906" s="5" t="s">
        <v>6501</v>
      </c>
    </row>
    <row r="10907" customFormat="false" ht="15.75" hidden="false" customHeight="false" outlineLevel="0" collapsed="false">
      <c r="A10907" s="6" t="n">
        <v>46194</v>
      </c>
      <c r="B10907" s="4" t="s">
        <v>4473</v>
      </c>
      <c r="C10907" s="4" t="n">
        <v>9</v>
      </c>
      <c r="D10907" s="4" t="n">
        <v>6</v>
      </c>
      <c r="E10907" s="4"/>
      <c r="F10907" s="4" t="n">
        <v>25</v>
      </c>
      <c r="G10907" s="4" t="n">
        <v>6</v>
      </c>
      <c r="H10907" s="4" t="n">
        <v>4</v>
      </c>
      <c r="I10907" s="4" t="str">
        <v>×</v>
      </c>
      <c r="J10907" s="4"/>
      <c r="K10907" s="4"/>
      <c r="L10907" s="4"/>
      <c r="M10907" s="5" t="s">
        <v>6501</v>
      </c>
    </row>
    <row r="10908" customFormat="false" ht="15.75" hidden="false" customHeight="false" outlineLevel="0" collapsed="false">
      <c r="A10908" s="6" t="n">
        <v>46194</v>
      </c>
      <c r="B10908" s="4" t="s">
        <v>4473</v>
      </c>
      <c r="C10908" s="4" t="n">
        <v>9</v>
      </c>
      <c r="D10908" s="4" t="n">
        <v>7</v>
      </c>
      <c r="E10908" s="4"/>
      <c r="F10908" s="4" t="n">
        <v>20</v>
      </c>
      <c r="G10908" s="4" t="n">
        <v>8</v>
      </c>
      <c r="H10908" s="4" t="n">
        <v>4</v>
      </c>
      <c r="I10908" s="4" t="str">
        <v>×</v>
      </c>
      <c r="J10908" s="4"/>
      <c r="K10908" s="4"/>
      <c r="L10908" s="4"/>
      <c r="M10908" s="5" t="s">
        <v>6501</v>
      </c>
    </row>
    <row r="10909" customFormat="false" ht="15.75" hidden="false" customHeight="false" outlineLevel="0" collapsed="false">
      <c r="A10909" s="6" t="n">
        <v>46194</v>
      </c>
      <c r="B10909" s="4" t="s">
        <v>4473</v>
      </c>
      <c r="C10909" s="4" t="n">
        <v>9</v>
      </c>
      <c r="D10909" s="4" t="n">
        <v>8</v>
      </c>
      <c r="E10909" s="4"/>
      <c r="F10909" s="4" t="n">
        <v>60</v>
      </c>
      <c r="G10909" s="4" t="n">
        <v>1</v>
      </c>
      <c r="H10909" s="4" t="n">
        <v>4</v>
      </c>
      <c r="I10909" s="4" t="str">
        <v>×</v>
      </c>
      <c r="J10909" s="4"/>
      <c r="K10909" s="4"/>
      <c r="L10909" s="4"/>
      <c r="M10909" s="5" t="s">
        <v>6501</v>
      </c>
    </row>
    <row r="10910" customFormat="false" ht="15.75" hidden="false" customHeight="false" outlineLevel="0" collapsed="false">
      <c r="A10910" s="6" t="n">
        <v>46194</v>
      </c>
      <c r="B10910" s="4" t="s">
        <v>4473</v>
      </c>
      <c r="C10910" s="4" t="n">
        <v>9</v>
      </c>
      <c r="D10910" s="4" t="n">
        <v>9</v>
      </c>
      <c r="E10910" s="4"/>
      <c r="F10910" s="4" t="n">
        <v>44</v>
      </c>
      <c r="G10910" s="4" t="n">
        <v>2</v>
      </c>
      <c r="H10910" s="4" t="n">
        <v>2</v>
      </c>
      <c r="I10910" s="4" t="str">
        <v>○</v>
      </c>
      <c r="J10910" s="4" t="n">
        <v>150</v>
      </c>
      <c r="K10910" s="4"/>
      <c r="L10910" s="4"/>
      <c r="M10910" s="5" t="s">
        <v>6501</v>
      </c>
    </row>
    <row r="10911" customFormat="false" ht="15.75" hidden="false" customHeight="false" outlineLevel="0" collapsed="false">
      <c r="A10911" s="6" t="n">
        <v>46194</v>
      </c>
      <c r="B10911" s="4" t="s">
        <v>4473</v>
      </c>
      <c r="C10911" s="4" t="n">
        <v>9</v>
      </c>
      <c r="D10911" s="4" t="n">
        <v>10</v>
      </c>
      <c r="E10911" s="4"/>
      <c r="F10911" s="4" t="n">
        <v>10</v>
      </c>
      <c r="G10911" s="4" t="n">
        <v>10</v>
      </c>
      <c r="H10911" s="4" t="n">
        <v>4</v>
      </c>
      <c r="I10911" s="4" t="str">
        <v>×</v>
      </c>
      <c r="J10911" s="4"/>
      <c r="K10911" s="4"/>
      <c r="L10911" s="4"/>
      <c r="M10911" s="5" t="s">
        <v>6501</v>
      </c>
    </row>
    <row r="10912" customFormat="false" ht="15.75" hidden="false" customHeight="false" outlineLevel="0" collapsed="false">
      <c r="A10912" s="6" t="n">
        <v>46194</v>
      </c>
      <c r="B10912" s="4" t="s">
        <v>4473</v>
      </c>
      <c r="C10912" s="4" t="n">
        <v>9</v>
      </c>
      <c r="D10912" s="4" t="n">
        <v>11</v>
      </c>
      <c r="E10912" s="4"/>
      <c r="F10912" s="4" t="n">
        <v>41</v>
      </c>
      <c r="G10912" s="4" t="n">
        <v>3</v>
      </c>
      <c r="H10912" s="4" t="n">
        <v>3</v>
      </c>
      <c r="I10912" s="4" t="str">
        <v>○</v>
      </c>
      <c r="J10912" s="4" t="n">
        <v>210</v>
      </c>
      <c r="K10912" s="4"/>
      <c r="L10912" s="4"/>
      <c r="M10912" s="5" t="s">
        <v>6501</v>
      </c>
    </row>
    <row r="10913" customFormat="false" ht="15.75" hidden="false" customHeight="false" outlineLevel="0" collapsed="false">
      <c r="A10913" s="6" t="n">
        <v>46194</v>
      </c>
      <c r="B10913" s="4" t="s">
        <v>4473</v>
      </c>
      <c r="C10913" s="4" t="n">
        <v>9</v>
      </c>
      <c r="D10913" s="4" t="n">
        <v>12</v>
      </c>
      <c r="E10913" s="4"/>
      <c r="F10913" s="4" t="n">
        <v>10</v>
      </c>
      <c r="G10913" s="4" t="n">
        <v>10</v>
      </c>
      <c r="H10913" s="4" t="n">
        <v>4</v>
      </c>
      <c r="I10913" s="4" t="str">
        <v>×</v>
      </c>
      <c r="J10913" s="4"/>
      <c r="K10913" s="4"/>
      <c r="L10913" s="4"/>
      <c r="M10913" s="5" t="s">
        <v>6501</v>
      </c>
    </row>
    <row r="10914" customFormat="false" ht="15.75" hidden="false" customHeight="false" outlineLevel="0" collapsed="false">
      <c r="A10914" s="6" t="n">
        <v>46194</v>
      </c>
      <c r="B10914" s="4" t="s">
        <v>4473</v>
      </c>
      <c r="C10914" s="4" t="n">
        <v>9</v>
      </c>
      <c r="D10914" s="4" t="n">
        <v>13</v>
      </c>
      <c r="E10914" s="4"/>
      <c r="F10914" s="4" t="n">
        <v>8</v>
      </c>
      <c r="G10914" s="4" t="n">
        <v>11</v>
      </c>
      <c r="H10914" s="4" t="n">
        <v>4</v>
      </c>
      <c r="I10914" s="4" t="str">
        <v>×</v>
      </c>
      <c r="J10914" s="4"/>
      <c r="K10914" s="4"/>
      <c r="L10914" s="4"/>
      <c r="M10914" s="5" t="s">
        <v>6501</v>
      </c>
    </row>
    <row r="10915" customFormat="false" ht="15.75" hidden="false" customHeight="false" outlineLevel="0" collapsed="false">
      <c r="A10915" s="6" t="n">
        <v>46194</v>
      </c>
      <c r="B10915" s="4" t="s">
        <v>4473</v>
      </c>
      <c r="C10915" s="4" t="n">
        <v>9</v>
      </c>
      <c r="D10915" s="4" t="n">
        <v>14</v>
      </c>
      <c r="E10915" s="4"/>
      <c r="F10915" s="4" t="n">
        <v>17</v>
      </c>
      <c r="G10915" s="4" t="n">
        <v>9</v>
      </c>
      <c r="H10915" s="4" t="n">
        <v>4</v>
      </c>
      <c r="I10915" s="4" t="str">
        <v>×</v>
      </c>
      <c r="J10915" s="4"/>
      <c r="K10915" s="4"/>
      <c r="L10915" s="4"/>
      <c r="M10915" s="5" t="s">
        <v>6501</v>
      </c>
    </row>
    <row r="10916" customFormat="false" ht="15.75" hidden="false" customHeight="false" outlineLevel="0" collapsed="false">
      <c r="A10916" s="6" t="n">
        <v>46194</v>
      </c>
      <c r="B10916" s="4" t="s">
        <v>4473</v>
      </c>
      <c r="C10916" s="4" t="n">
        <v>9</v>
      </c>
      <c r="D10916" s="4" t="n">
        <v>15</v>
      </c>
      <c r="E10916" s="4"/>
      <c r="F10916" s="4" t="n">
        <v>29</v>
      </c>
      <c r="G10916" s="4" t="n">
        <v>5</v>
      </c>
      <c r="H10916" s="4" t="n">
        <v>1</v>
      </c>
      <c r="I10916" s="4" t="str">
        <v>○</v>
      </c>
      <c r="J10916" s="4" t="n">
        <v>400</v>
      </c>
      <c r="K10916" s="4"/>
      <c r="L10916" s="4"/>
      <c r="M10916" s="5" t="s">
        <v>6501</v>
      </c>
    </row>
    <row r="10917" customFormat="false" ht="15.75" hidden="false" customHeight="false" outlineLevel="0" collapsed="false">
      <c r="A10917" s="6" t="n">
        <v>46194</v>
      </c>
      <c r="B10917" s="4" t="s">
        <v>4473</v>
      </c>
      <c r="C10917" s="4" t="n">
        <v>9</v>
      </c>
      <c r="D10917" s="4" t="n">
        <v>16</v>
      </c>
      <c r="E10917" s="4"/>
      <c r="F10917" s="4" t="n">
        <v>29</v>
      </c>
      <c r="G10917" s="4" t="n">
        <v>5</v>
      </c>
      <c r="H10917" s="4" t="n">
        <v>4</v>
      </c>
      <c r="I10917" s="4" t="str">
        <v>×</v>
      </c>
      <c r="J10917" s="4"/>
      <c r="K10917" s="4"/>
      <c r="L10917" s="4"/>
      <c r="M10917" s="5" t="s">
        <v>6501</v>
      </c>
    </row>
    <row r="10918" customFormat="false" ht="15.75" hidden="false" customHeight="false" outlineLevel="0" collapsed="false">
      <c r="A10918" s="6" t="n">
        <v>46194</v>
      </c>
      <c r="B10918" s="4" t="s">
        <v>4473</v>
      </c>
      <c r="C10918" s="4" t="n">
        <v>10</v>
      </c>
      <c r="D10918" s="4" t="n">
        <v>1</v>
      </c>
      <c r="E10918" s="4"/>
      <c r="F10918" s="4" t="n">
        <v>20</v>
      </c>
      <c r="G10918" s="4" t="n">
        <v>6</v>
      </c>
      <c r="H10918" s="4" t="n">
        <v>4</v>
      </c>
      <c r="I10918" s="4" t="str">
        <v>×</v>
      </c>
      <c r="J10918" s="4"/>
      <c r="K10918" s="4"/>
      <c r="L10918" s="4"/>
      <c r="M10918" s="5" t="s">
        <v>6501</v>
      </c>
    </row>
    <row r="10919" customFormat="false" ht="15.75" hidden="false" customHeight="false" outlineLevel="0" collapsed="false">
      <c r="A10919" s="6" t="n">
        <v>46194</v>
      </c>
      <c r="B10919" s="4" t="s">
        <v>4473</v>
      </c>
      <c r="C10919" s="4" t="n">
        <v>10</v>
      </c>
      <c r="D10919" s="4" t="n">
        <v>2</v>
      </c>
      <c r="E10919" s="4"/>
      <c r="F10919" s="4" t="n">
        <v>52</v>
      </c>
      <c r="G10919" s="4" t="n">
        <v>1</v>
      </c>
      <c r="H10919" s="4" t="n">
        <v>4</v>
      </c>
      <c r="I10919" s="4" t="str">
        <v>×</v>
      </c>
      <c r="J10919" s="4"/>
      <c r="K10919" s="4"/>
      <c r="L10919" s="4"/>
      <c r="M10919" s="5" t="s">
        <v>6501</v>
      </c>
    </row>
    <row r="10920" customFormat="false" ht="15.75" hidden="false" customHeight="false" outlineLevel="0" collapsed="false">
      <c r="A10920" s="6" t="n">
        <v>46194</v>
      </c>
      <c r="B10920" s="4" t="s">
        <v>4473</v>
      </c>
      <c r="C10920" s="4" t="n">
        <v>10</v>
      </c>
      <c r="D10920" s="4" t="n">
        <v>3</v>
      </c>
      <c r="E10920" s="4"/>
      <c r="F10920" s="4" t="n">
        <v>17</v>
      </c>
      <c r="G10920" s="4" t="n">
        <v>7</v>
      </c>
      <c r="H10920" s="4" t="n">
        <v>4</v>
      </c>
      <c r="I10920" s="4" t="str">
        <v>×</v>
      </c>
      <c r="J10920" s="4"/>
      <c r="K10920" s="4"/>
      <c r="L10920" s="4"/>
      <c r="M10920" s="5" t="s">
        <v>6501</v>
      </c>
    </row>
    <row r="10921" customFormat="false" ht="15.75" hidden="false" customHeight="false" outlineLevel="0" collapsed="false">
      <c r="A10921" s="6" t="n">
        <v>46194</v>
      </c>
      <c r="B10921" s="4" t="s">
        <v>4473</v>
      </c>
      <c r="C10921" s="4" t="n">
        <v>10</v>
      </c>
      <c r="D10921" s="4" t="n">
        <v>4</v>
      </c>
      <c r="E10921" s="4"/>
      <c r="F10921" s="4" t="n">
        <v>44</v>
      </c>
      <c r="G10921" s="4" t="n">
        <v>3</v>
      </c>
      <c r="H10921" s="4" t="n">
        <v>4</v>
      </c>
      <c r="I10921" s="4" t="str">
        <v>×</v>
      </c>
      <c r="J10921" s="4"/>
      <c r="K10921" s="4"/>
      <c r="L10921" s="4"/>
      <c r="M10921" s="5" t="s">
        <v>6501</v>
      </c>
    </row>
    <row r="10922" customFormat="false" ht="15.75" hidden="false" customHeight="false" outlineLevel="0" collapsed="false">
      <c r="A10922" s="6" t="n">
        <v>46194</v>
      </c>
      <c r="B10922" s="4" t="s">
        <v>4473</v>
      </c>
      <c r="C10922" s="4" t="n">
        <v>10</v>
      </c>
      <c r="D10922" s="4" t="n">
        <v>5</v>
      </c>
      <c r="E10922" s="4"/>
      <c r="F10922" s="4" t="n">
        <v>13</v>
      </c>
      <c r="G10922" s="4" t="n">
        <v>8</v>
      </c>
      <c r="H10922" s="4" t="n">
        <v>4</v>
      </c>
      <c r="I10922" s="4" t="str">
        <v>×</v>
      </c>
      <c r="J10922" s="4"/>
      <c r="K10922" s="4"/>
      <c r="L10922" s="4"/>
      <c r="M10922" s="5" t="s">
        <v>6501</v>
      </c>
    </row>
    <row r="10923" customFormat="false" ht="15.75" hidden="false" customHeight="false" outlineLevel="0" collapsed="false">
      <c r="A10923" s="6" t="n">
        <v>46194</v>
      </c>
      <c r="B10923" s="4" t="s">
        <v>4473</v>
      </c>
      <c r="C10923" s="4" t="n">
        <v>10</v>
      </c>
      <c r="D10923" s="4" t="n">
        <v>6</v>
      </c>
      <c r="E10923" s="4"/>
      <c r="F10923" s="4" t="n">
        <v>31</v>
      </c>
      <c r="G10923" s="4" t="n">
        <v>4</v>
      </c>
      <c r="H10923" s="4" t="n">
        <v>4</v>
      </c>
      <c r="I10923" s="4" t="str">
        <v>×</v>
      </c>
      <c r="J10923" s="4"/>
      <c r="K10923" s="4"/>
      <c r="L10923" s="4"/>
      <c r="M10923" s="5" t="s">
        <v>6501</v>
      </c>
    </row>
    <row r="10924" customFormat="false" ht="15.75" hidden="false" customHeight="false" outlineLevel="0" collapsed="false">
      <c r="A10924" s="6" t="n">
        <v>46194</v>
      </c>
      <c r="B10924" s="4" t="s">
        <v>4473</v>
      </c>
      <c r="C10924" s="4" t="n">
        <v>10</v>
      </c>
      <c r="D10924" s="4" t="n">
        <v>7</v>
      </c>
      <c r="E10924" s="4"/>
      <c r="F10924" s="4" t="n">
        <v>4</v>
      </c>
      <c r="G10924" s="4" t="n">
        <v>9</v>
      </c>
      <c r="H10924" s="4" t="n">
        <v>4</v>
      </c>
      <c r="I10924" s="4" t="str">
        <v>×</v>
      </c>
      <c r="J10924" s="4"/>
      <c r="K10924" s="4"/>
      <c r="L10924" s="4"/>
      <c r="M10924" s="5" t="s">
        <v>6501</v>
      </c>
    </row>
    <row r="10925" customFormat="false" ht="15.75" hidden="false" customHeight="false" outlineLevel="0" collapsed="false">
      <c r="A10925" s="6" t="n">
        <v>46194</v>
      </c>
      <c r="B10925" s="4" t="s">
        <v>4473</v>
      </c>
      <c r="C10925" s="4" t="n">
        <v>10</v>
      </c>
      <c r="D10925" s="4" t="n">
        <v>8</v>
      </c>
      <c r="E10925" s="4"/>
      <c r="F10925" s="4" t="n">
        <v>3</v>
      </c>
      <c r="G10925" s="4" t="n">
        <v>10</v>
      </c>
      <c r="H10925" s="4" t="n">
        <v>4</v>
      </c>
      <c r="I10925" s="4" t="str">
        <v>×</v>
      </c>
      <c r="J10925" s="4"/>
      <c r="K10925" s="4"/>
      <c r="L10925" s="4"/>
      <c r="M10925" s="5" t="s">
        <v>6501</v>
      </c>
    </row>
    <row r="10926" customFormat="false" ht="15.75" hidden="false" customHeight="false" outlineLevel="0" collapsed="false">
      <c r="A10926" s="6" t="n">
        <v>46194</v>
      </c>
      <c r="B10926" s="4" t="s">
        <v>4473</v>
      </c>
      <c r="C10926" s="4" t="n">
        <v>10</v>
      </c>
      <c r="D10926" s="4" t="n">
        <v>9</v>
      </c>
      <c r="E10926" s="4"/>
      <c r="F10926" s="4" t="n">
        <v>50</v>
      </c>
      <c r="G10926" s="4" t="n">
        <v>2</v>
      </c>
      <c r="H10926" s="4" t="n">
        <v>2</v>
      </c>
      <c r="I10926" s="4" t="str">
        <v>○</v>
      </c>
      <c r="J10926" s="4" t="n">
        <v>150</v>
      </c>
      <c r="K10926" s="4"/>
      <c r="L10926" s="4"/>
      <c r="M10926" s="5" t="s">
        <v>6501</v>
      </c>
    </row>
    <row r="10927" customFormat="false" ht="15.75" hidden="false" customHeight="false" outlineLevel="0" collapsed="false">
      <c r="A10927" s="6" t="n">
        <v>46194</v>
      </c>
      <c r="B10927" s="4" t="s">
        <v>4473</v>
      </c>
      <c r="C10927" s="4" t="n">
        <v>10</v>
      </c>
      <c r="D10927" s="4" t="n">
        <v>10</v>
      </c>
      <c r="E10927" s="4"/>
      <c r="F10927" s="4" t="n">
        <v>50</v>
      </c>
      <c r="G10927" s="4" t="n">
        <v>2</v>
      </c>
      <c r="H10927" s="4" t="n">
        <v>1</v>
      </c>
      <c r="I10927" s="4" t="str">
        <v>○</v>
      </c>
      <c r="J10927" s="4" t="n">
        <v>190</v>
      </c>
      <c r="K10927" s="4"/>
      <c r="L10927" s="4"/>
      <c r="M10927" s="5" t="s">
        <v>6501</v>
      </c>
    </row>
    <row r="10928" customFormat="false" ht="15.75" hidden="false" customHeight="false" outlineLevel="0" collapsed="false">
      <c r="A10928" s="6" t="n">
        <v>46194</v>
      </c>
      <c r="B10928" s="4" t="s">
        <v>4473</v>
      </c>
      <c r="C10928" s="4" t="n">
        <v>10</v>
      </c>
      <c r="D10928" s="4" t="n">
        <v>11</v>
      </c>
      <c r="E10928" s="4"/>
      <c r="F10928" s="4" t="n">
        <v>23</v>
      </c>
      <c r="G10928" s="4" t="n">
        <v>5</v>
      </c>
      <c r="H10928" s="4" t="n">
        <v>4</v>
      </c>
      <c r="I10928" s="4" t="str">
        <v>×</v>
      </c>
      <c r="J10928" s="4"/>
      <c r="K10928" s="4"/>
      <c r="L10928" s="4"/>
      <c r="M10928" s="5" t="s">
        <v>6501</v>
      </c>
    </row>
    <row r="10929" customFormat="false" ht="15.75" hidden="false" customHeight="false" outlineLevel="0" collapsed="false">
      <c r="A10929" s="6" t="n">
        <v>46194</v>
      </c>
      <c r="B10929" s="4" t="s">
        <v>4473</v>
      </c>
      <c r="C10929" s="4" t="n">
        <v>10</v>
      </c>
      <c r="D10929" s="4" t="n">
        <v>12</v>
      </c>
      <c r="E10929" s="4"/>
      <c r="F10929" s="4" t="n">
        <v>31</v>
      </c>
      <c r="G10929" s="4" t="n">
        <v>4</v>
      </c>
      <c r="H10929" s="4" t="n">
        <v>4</v>
      </c>
      <c r="I10929" s="4" t="str">
        <v>×</v>
      </c>
      <c r="J10929" s="4"/>
      <c r="K10929" s="4"/>
      <c r="L10929" s="4"/>
      <c r="M10929" s="5" t="s">
        <v>6501</v>
      </c>
    </row>
    <row r="10930" customFormat="false" ht="15.75" hidden="false" customHeight="false" outlineLevel="0" collapsed="false">
      <c r="A10930" s="6" t="n">
        <v>46194</v>
      </c>
      <c r="B10930" s="4" t="s">
        <v>4473</v>
      </c>
      <c r="C10930" s="4" t="n">
        <v>10</v>
      </c>
      <c r="D10930" s="4" t="n">
        <v>13</v>
      </c>
      <c r="E10930" s="4"/>
      <c r="F10930" s="4" t="n">
        <v>3</v>
      </c>
      <c r="G10930" s="4" t="n">
        <v>10</v>
      </c>
      <c r="H10930" s="4" t="n">
        <v>4</v>
      </c>
      <c r="I10930" s="4" t="str">
        <v>×</v>
      </c>
      <c r="J10930" s="4"/>
      <c r="K10930" s="4"/>
      <c r="L10930" s="4"/>
      <c r="M10930" s="5" t="s">
        <v>6501</v>
      </c>
    </row>
    <row r="10931" customFormat="false" ht="15.75" hidden="false" customHeight="false" outlineLevel="0" collapsed="false">
      <c r="A10931" s="6" t="n">
        <v>46194</v>
      </c>
      <c r="B10931" s="4" t="s">
        <v>4473</v>
      </c>
      <c r="C10931" s="4" t="n">
        <v>10</v>
      </c>
      <c r="D10931" s="4" t="n">
        <v>14</v>
      </c>
      <c r="E10931" s="4"/>
      <c r="F10931" s="4" t="n">
        <v>1</v>
      </c>
      <c r="G10931" s="4" t="n">
        <v>11</v>
      </c>
      <c r="H10931" s="4" t="n">
        <v>3</v>
      </c>
      <c r="I10931" s="4" t="str">
        <v>○</v>
      </c>
      <c r="J10931" s="4" t="n">
        <v>4210</v>
      </c>
      <c r="K10931" s="4"/>
      <c r="L10931" s="4"/>
      <c r="M10931" s="5" t="s">
        <v>6501</v>
      </c>
    </row>
    <row r="10932" customFormat="false" ht="15.75" hidden="false" customHeight="false" outlineLevel="0" collapsed="false">
      <c r="A10932" s="6" t="n">
        <v>46194</v>
      </c>
      <c r="B10932" s="4" t="s">
        <v>4473</v>
      </c>
      <c r="C10932" s="4" t="n">
        <v>10</v>
      </c>
      <c r="D10932" s="4" t="n">
        <v>15</v>
      </c>
      <c r="E10932" s="4"/>
      <c r="F10932" s="4" t="n">
        <v>4</v>
      </c>
      <c r="G10932" s="4" t="n">
        <v>9</v>
      </c>
      <c r="H10932" s="4" t="n">
        <v>4</v>
      </c>
      <c r="I10932" s="4" t="str">
        <v>×</v>
      </c>
      <c r="J10932" s="4"/>
      <c r="K10932" s="4"/>
      <c r="L10932" s="4"/>
      <c r="M10932" s="5" t="s">
        <v>6501</v>
      </c>
    </row>
    <row r="10933" customFormat="false" ht="15.75" hidden="false" customHeight="false" outlineLevel="0" collapsed="false">
      <c r="A10933" s="6" t="n">
        <v>46194</v>
      </c>
      <c r="B10933" s="4" t="s">
        <v>4473</v>
      </c>
      <c r="C10933" s="4" t="n">
        <v>10</v>
      </c>
      <c r="D10933" s="4" t="n">
        <v>16</v>
      </c>
      <c r="E10933" s="4"/>
      <c r="F10933" s="4" t="n">
        <v>4</v>
      </c>
      <c r="G10933" s="4" t="n">
        <v>9</v>
      </c>
      <c r="H10933" s="4" t="n">
        <v>4</v>
      </c>
      <c r="I10933" s="4" t="str">
        <v>×</v>
      </c>
      <c r="J10933" s="4"/>
      <c r="K10933" s="4"/>
      <c r="L10933" s="4"/>
      <c r="M10933" s="5" t="s">
        <v>6501</v>
      </c>
    </row>
    <row r="10934" customFormat="false" ht="15.75" hidden="false" customHeight="false" outlineLevel="0" collapsed="false">
      <c r="A10934" s="6" t="n">
        <v>46194</v>
      </c>
      <c r="B10934" s="4" t="s">
        <v>4473</v>
      </c>
      <c r="C10934" s="4" t="n">
        <v>11</v>
      </c>
      <c r="D10934" s="4" t="n">
        <v>1</v>
      </c>
      <c r="E10934" s="4"/>
      <c r="F10934" s="4" t="n">
        <v>8</v>
      </c>
      <c r="G10934" s="4" t="n">
        <v>10</v>
      </c>
      <c r="H10934" s="4" t="n">
        <v>4</v>
      </c>
      <c r="I10934" s="4" t="str">
        <v>×</v>
      </c>
      <c r="J10934" s="4"/>
      <c r="K10934" s="4"/>
      <c r="L10934" s="4"/>
      <c r="M10934" s="5" t="s">
        <v>6501</v>
      </c>
    </row>
    <row r="10935" customFormat="false" ht="15.75" hidden="false" customHeight="false" outlineLevel="0" collapsed="false">
      <c r="A10935" s="6" t="n">
        <v>46194</v>
      </c>
      <c r="B10935" s="4" t="s">
        <v>4473</v>
      </c>
      <c r="C10935" s="4" t="n">
        <v>11</v>
      </c>
      <c r="D10935" s="4" t="n">
        <v>2</v>
      </c>
      <c r="E10935" s="4"/>
      <c r="F10935" s="4" t="n">
        <v>20</v>
      </c>
      <c r="G10935" s="4" t="n">
        <v>8</v>
      </c>
      <c r="H10935" s="4" t="n">
        <v>2</v>
      </c>
      <c r="I10935" s="4" t="str">
        <v>○</v>
      </c>
      <c r="J10935" s="4" t="n">
        <v>980</v>
      </c>
      <c r="K10935" s="4"/>
      <c r="L10935" s="4"/>
      <c r="M10935" s="5" t="s">
        <v>6501</v>
      </c>
    </row>
    <row r="10936" customFormat="false" ht="15.75" hidden="false" customHeight="false" outlineLevel="0" collapsed="false">
      <c r="A10936" s="6" t="n">
        <v>46194</v>
      </c>
      <c r="B10936" s="4" t="s">
        <v>4473</v>
      </c>
      <c r="C10936" s="4" t="n">
        <v>11</v>
      </c>
      <c r="D10936" s="4" t="n">
        <v>3</v>
      </c>
      <c r="E10936" s="4"/>
      <c r="F10936" s="4" t="n">
        <v>8</v>
      </c>
      <c r="G10936" s="4" t="n">
        <v>10</v>
      </c>
      <c r="H10936" s="4" t="n">
        <v>4</v>
      </c>
      <c r="I10936" s="4" t="str">
        <v>×</v>
      </c>
      <c r="J10936" s="4"/>
      <c r="K10936" s="4"/>
      <c r="L10936" s="4"/>
      <c r="M10936" s="5" t="s">
        <v>6501</v>
      </c>
    </row>
    <row r="10937" customFormat="false" ht="15.75" hidden="false" customHeight="false" outlineLevel="0" collapsed="false">
      <c r="A10937" s="6" t="n">
        <v>46194</v>
      </c>
      <c r="B10937" s="4" t="s">
        <v>4473</v>
      </c>
      <c r="C10937" s="4" t="n">
        <v>11</v>
      </c>
      <c r="D10937" s="4" t="n">
        <v>4</v>
      </c>
      <c r="E10937" s="4"/>
      <c r="F10937" s="4" t="n">
        <v>3</v>
      </c>
      <c r="G10937" s="4" t="n">
        <v>11</v>
      </c>
      <c r="H10937" s="4" t="n">
        <v>3</v>
      </c>
      <c r="I10937" s="4" t="str">
        <v>○</v>
      </c>
      <c r="J10937" s="4" t="n">
        <v>2330</v>
      </c>
      <c r="K10937" s="4"/>
      <c r="L10937" s="4"/>
      <c r="M10937" s="5" t="s">
        <v>6501</v>
      </c>
    </row>
    <row r="10938" customFormat="false" ht="15.75" hidden="false" customHeight="false" outlineLevel="0" collapsed="false">
      <c r="A10938" s="6" t="n">
        <v>46194</v>
      </c>
      <c r="B10938" s="4" t="s">
        <v>4473</v>
      </c>
      <c r="C10938" s="4" t="n">
        <v>11</v>
      </c>
      <c r="D10938" s="4" t="n">
        <v>5</v>
      </c>
      <c r="E10938" s="4"/>
      <c r="F10938" s="4" t="n">
        <v>25</v>
      </c>
      <c r="G10938" s="4" t="n">
        <v>6</v>
      </c>
      <c r="H10938" s="4" t="n">
        <v>4</v>
      </c>
      <c r="I10938" s="4" t="str">
        <v>×</v>
      </c>
      <c r="J10938" s="4"/>
      <c r="K10938" s="4"/>
      <c r="L10938" s="4"/>
      <c r="M10938" s="5" t="s">
        <v>6501</v>
      </c>
    </row>
    <row r="10939" customFormat="false" ht="15.75" hidden="false" customHeight="false" outlineLevel="0" collapsed="false">
      <c r="A10939" s="6" t="n">
        <v>46194</v>
      </c>
      <c r="B10939" s="4" t="s">
        <v>4473</v>
      </c>
      <c r="C10939" s="4" t="n">
        <v>11</v>
      </c>
      <c r="D10939" s="4" t="n">
        <v>6</v>
      </c>
      <c r="E10939" s="4"/>
      <c r="F10939" s="4" t="n">
        <v>34</v>
      </c>
      <c r="G10939" s="4" t="n">
        <v>3</v>
      </c>
      <c r="H10939" s="4" t="n">
        <v>4</v>
      </c>
      <c r="I10939" s="4" t="str">
        <v>×</v>
      </c>
      <c r="J10939" s="4"/>
      <c r="K10939" s="4"/>
      <c r="L10939" s="4"/>
      <c r="M10939" s="5" t="s">
        <v>6501</v>
      </c>
    </row>
    <row r="10940" customFormat="false" ht="15.75" hidden="false" customHeight="false" outlineLevel="0" collapsed="false">
      <c r="A10940" s="6" t="n">
        <v>46194</v>
      </c>
      <c r="B10940" s="4" t="s">
        <v>4473</v>
      </c>
      <c r="C10940" s="4" t="n">
        <v>11</v>
      </c>
      <c r="D10940" s="4" t="n">
        <v>7</v>
      </c>
      <c r="E10940" s="4"/>
      <c r="F10940" s="4" t="n">
        <v>31</v>
      </c>
      <c r="G10940" s="4" t="n">
        <v>4</v>
      </c>
      <c r="H10940" s="4" t="n">
        <v>1</v>
      </c>
      <c r="I10940" s="4" t="str">
        <v>○</v>
      </c>
      <c r="J10940" s="4" t="n">
        <v>370</v>
      </c>
      <c r="K10940" s="4"/>
      <c r="L10940" s="4"/>
      <c r="M10940" s="5" t="s">
        <v>6501</v>
      </c>
    </row>
    <row r="10941" customFormat="false" ht="15.75" hidden="false" customHeight="false" outlineLevel="0" collapsed="false">
      <c r="A10941" s="6" t="n">
        <v>46194</v>
      </c>
      <c r="B10941" s="4" t="s">
        <v>4473</v>
      </c>
      <c r="C10941" s="4" t="n">
        <v>11</v>
      </c>
      <c r="D10941" s="4" t="n">
        <v>8</v>
      </c>
      <c r="E10941" s="4"/>
      <c r="F10941" s="4" t="n">
        <v>39</v>
      </c>
      <c r="G10941" s="4" t="n">
        <v>2</v>
      </c>
      <c r="H10941" s="4" t="n">
        <v>4</v>
      </c>
      <c r="I10941" s="4" t="str">
        <v>×</v>
      </c>
      <c r="J10941" s="4"/>
      <c r="K10941" s="4"/>
      <c r="L10941" s="4"/>
      <c r="M10941" s="5" t="s">
        <v>6501</v>
      </c>
    </row>
    <row r="10942" customFormat="false" ht="15.75" hidden="false" customHeight="false" outlineLevel="0" collapsed="false">
      <c r="A10942" s="6" t="n">
        <v>46194</v>
      </c>
      <c r="B10942" s="4" t="s">
        <v>4473</v>
      </c>
      <c r="C10942" s="4" t="n">
        <v>11</v>
      </c>
      <c r="D10942" s="4" t="n">
        <v>9</v>
      </c>
      <c r="E10942" s="4"/>
      <c r="F10942" s="4" t="n">
        <v>10</v>
      </c>
      <c r="G10942" s="4" t="n">
        <v>9</v>
      </c>
      <c r="H10942" s="4" t="n">
        <v>4</v>
      </c>
      <c r="I10942" s="4" t="str">
        <v>×</v>
      </c>
      <c r="J10942" s="4"/>
      <c r="K10942" s="4"/>
      <c r="L10942" s="4"/>
      <c r="M10942" s="5" t="s">
        <v>6501</v>
      </c>
    </row>
    <row r="10943" customFormat="false" ht="15.75" hidden="false" customHeight="false" outlineLevel="0" collapsed="false">
      <c r="A10943" s="6" t="n">
        <v>46194</v>
      </c>
      <c r="B10943" s="4" t="s">
        <v>4473</v>
      </c>
      <c r="C10943" s="4" t="n">
        <v>11</v>
      </c>
      <c r="D10943" s="4" t="n">
        <v>10</v>
      </c>
      <c r="E10943" s="4"/>
      <c r="F10943" s="4" t="n">
        <v>23</v>
      </c>
      <c r="G10943" s="4" t="n">
        <v>7</v>
      </c>
      <c r="H10943" s="4" t="n">
        <v>4</v>
      </c>
      <c r="I10943" s="4" t="str">
        <v>×</v>
      </c>
      <c r="J10943" s="4"/>
      <c r="K10943" s="4"/>
      <c r="L10943" s="4"/>
      <c r="M10943" s="5" t="s">
        <v>6501</v>
      </c>
    </row>
    <row r="10944" customFormat="false" ht="15.75" hidden="false" customHeight="false" outlineLevel="0" collapsed="false">
      <c r="A10944" s="6" t="n">
        <v>46194</v>
      </c>
      <c r="B10944" s="4" t="s">
        <v>4473</v>
      </c>
      <c r="C10944" s="4" t="n">
        <v>11</v>
      </c>
      <c r="D10944" s="4" t="n">
        <v>11</v>
      </c>
      <c r="E10944" s="4"/>
      <c r="F10944" s="4" t="n">
        <v>31</v>
      </c>
      <c r="G10944" s="4" t="n">
        <v>4</v>
      </c>
      <c r="H10944" s="4" t="n">
        <v>4</v>
      </c>
      <c r="I10944" s="4" t="str">
        <v>×</v>
      </c>
      <c r="J10944" s="4"/>
      <c r="K10944" s="4"/>
      <c r="L10944" s="4"/>
      <c r="M10944" s="5" t="s">
        <v>6501</v>
      </c>
    </row>
    <row r="10945" customFormat="false" ht="15.75" hidden="false" customHeight="false" outlineLevel="0" collapsed="false">
      <c r="A10945" s="6" t="n">
        <v>46194</v>
      </c>
      <c r="B10945" s="4" t="s">
        <v>4473</v>
      </c>
      <c r="C10945" s="4" t="n">
        <v>11</v>
      </c>
      <c r="D10945" s="4" t="n">
        <v>12</v>
      </c>
      <c r="E10945" s="4"/>
      <c r="F10945" s="4" t="n">
        <v>23</v>
      </c>
      <c r="G10945" s="4" t="n">
        <v>7</v>
      </c>
      <c r="H10945" s="4" t="n">
        <v>4</v>
      </c>
      <c r="I10945" s="4" t="str">
        <v>×</v>
      </c>
      <c r="J10945" s="4"/>
      <c r="K10945" s="4"/>
      <c r="L10945" s="4"/>
      <c r="M10945" s="5" t="s">
        <v>6501</v>
      </c>
    </row>
    <row r="10946" customFormat="false" ht="15.75" hidden="false" customHeight="false" outlineLevel="0" collapsed="false">
      <c r="A10946" s="6" t="n">
        <v>46194</v>
      </c>
      <c r="B10946" s="4" t="s">
        <v>4473</v>
      </c>
      <c r="C10946" s="4" t="n">
        <v>11</v>
      </c>
      <c r="D10946" s="4" t="n">
        <v>13</v>
      </c>
      <c r="E10946" s="4"/>
      <c r="F10946" s="4" t="n">
        <v>25</v>
      </c>
      <c r="G10946" s="4" t="n">
        <v>6</v>
      </c>
      <c r="H10946" s="4" t="n">
        <v>4</v>
      </c>
      <c r="I10946" s="4" t="str">
        <v>×</v>
      </c>
      <c r="J10946" s="4"/>
      <c r="K10946" s="4"/>
      <c r="L10946" s="4"/>
      <c r="M10946" s="5" t="s">
        <v>6501</v>
      </c>
    </row>
    <row r="10947" customFormat="false" ht="15.75" hidden="false" customHeight="false" outlineLevel="0" collapsed="false">
      <c r="A10947" s="6" t="n">
        <v>46194</v>
      </c>
      <c r="B10947" s="4" t="s">
        <v>4473</v>
      </c>
      <c r="C10947" s="4" t="n">
        <v>11</v>
      </c>
      <c r="D10947" s="4" t="n">
        <v>14</v>
      </c>
      <c r="E10947" s="4"/>
      <c r="F10947" s="4" t="n">
        <v>29</v>
      </c>
      <c r="G10947" s="4" t="n">
        <v>5</v>
      </c>
      <c r="H10947" s="4" t="n">
        <v>4</v>
      </c>
      <c r="I10947" s="4" t="str">
        <v>×</v>
      </c>
      <c r="J10947" s="4"/>
      <c r="K10947" s="4"/>
      <c r="L10947" s="4"/>
      <c r="M10947" s="5" t="s">
        <v>6501</v>
      </c>
    </row>
    <row r="10948" customFormat="false" ht="15.75" hidden="false" customHeight="false" outlineLevel="0" collapsed="false">
      <c r="A10948" s="6" t="n">
        <v>46194</v>
      </c>
      <c r="B10948" s="4" t="s">
        <v>4473</v>
      </c>
      <c r="C10948" s="4" t="n">
        <v>11</v>
      </c>
      <c r="D10948" s="4" t="n">
        <v>15</v>
      </c>
      <c r="E10948" s="4"/>
      <c r="F10948" s="4" t="n">
        <v>44</v>
      </c>
      <c r="G10948" s="4" t="n">
        <v>1</v>
      </c>
      <c r="H10948" s="4" t="n">
        <v>4</v>
      </c>
      <c r="I10948" s="4" t="str">
        <v>×</v>
      </c>
      <c r="J10948" s="4"/>
      <c r="K10948" s="4"/>
      <c r="L10948" s="4"/>
      <c r="M10948" s="5" t="s">
        <v>6501</v>
      </c>
    </row>
    <row r="10949" customFormat="false" ht="15.75" hidden="false" customHeight="false" outlineLevel="0" collapsed="false">
      <c r="A10949" s="6" t="n">
        <v>46194</v>
      </c>
      <c r="B10949" s="4" t="s">
        <v>4473</v>
      </c>
      <c r="C10949" s="4" t="n">
        <v>11</v>
      </c>
      <c r="D10949" s="4" t="n">
        <v>16</v>
      </c>
      <c r="E10949" s="4"/>
      <c r="F10949" s="4" t="n">
        <v>3</v>
      </c>
      <c r="G10949" s="4" t="n">
        <v>11</v>
      </c>
      <c r="H10949" s="4" t="n">
        <v>4</v>
      </c>
      <c r="I10949" s="4" t="str">
        <v>×</v>
      </c>
      <c r="J10949" s="4"/>
      <c r="K10949" s="4"/>
      <c r="L10949" s="4"/>
      <c r="M10949" s="5" t="s">
        <v>6501</v>
      </c>
    </row>
    <row r="10950" customFormat="false" ht="15.75" hidden="false" customHeight="false" outlineLevel="0" collapsed="false">
      <c r="A10950" s="6" t="n">
        <v>46194</v>
      </c>
      <c r="B10950" s="4" t="s">
        <v>4473</v>
      </c>
      <c r="C10950" s="4" t="n">
        <v>12</v>
      </c>
      <c r="D10950" s="4" t="n">
        <v>1</v>
      </c>
      <c r="E10950" s="4"/>
      <c r="F10950" s="4" t="n">
        <v>37</v>
      </c>
      <c r="G10950" s="4" t="n">
        <v>3</v>
      </c>
      <c r="H10950" s="4" t="n">
        <v>4</v>
      </c>
      <c r="I10950" s="4" t="str">
        <v>×</v>
      </c>
      <c r="J10950" s="4"/>
      <c r="K10950" s="4"/>
      <c r="L10950" s="4"/>
      <c r="M10950" s="5" t="s">
        <v>6501</v>
      </c>
    </row>
    <row r="10951" customFormat="false" ht="15.75" hidden="false" customHeight="false" outlineLevel="0" collapsed="false">
      <c r="A10951" s="6" t="n">
        <v>46194</v>
      </c>
      <c r="B10951" s="4" t="s">
        <v>4473</v>
      </c>
      <c r="C10951" s="4" t="n">
        <v>12</v>
      </c>
      <c r="D10951" s="4" t="n">
        <v>2</v>
      </c>
      <c r="E10951" s="4"/>
      <c r="F10951" s="4" t="n">
        <v>1</v>
      </c>
      <c r="G10951" s="4" t="n">
        <v>11</v>
      </c>
      <c r="H10951" s="4" t="n">
        <v>4</v>
      </c>
      <c r="I10951" s="4" t="str">
        <v>×</v>
      </c>
      <c r="J10951" s="4"/>
      <c r="K10951" s="4"/>
      <c r="L10951" s="4"/>
      <c r="M10951" s="5" t="s">
        <v>6501</v>
      </c>
    </row>
    <row r="10952" customFormat="false" ht="15.75" hidden="false" customHeight="false" outlineLevel="0" collapsed="false">
      <c r="A10952" s="6" t="n">
        <v>46194</v>
      </c>
      <c r="B10952" s="4" t="s">
        <v>4473</v>
      </c>
      <c r="C10952" s="4" t="n">
        <v>12</v>
      </c>
      <c r="D10952" s="4" t="n">
        <v>3</v>
      </c>
      <c r="E10952" s="4"/>
      <c r="F10952" s="4" t="n">
        <v>2</v>
      </c>
      <c r="G10952" s="4" t="n">
        <v>10</v>
      </c>
      <c r="H10952" s="4" t="n">
        <v>4</v>
      </c>
      <c r="I10952" s="4" t="str">
        <v>×</v>
      </c>
      <c r="J10952" s="4"/>
      <c r="K10952" s="4"/>
      <c r="L10952" s="4"/>
      <c r="M10952" s="5" t="s">
        <v>6501</v>
      </c>
    </row>
    <row r="10953" customFormat="false" ht="15.75" hidden="false" customHeight="false" outlineLevel="0" collapsed="false">
      <c r="A10953" s="6" t="n">
        <v>46194</v>
      </c>
      <c r="B10953" s="4" t="s">
        <v>4473</v>
      </c>
      <c r="C10953" s="4" t="n">
        <v>12</v>
      </c>
      <c r="D10953" s="4" t="n">
        <v>4</v>
      </c>
      <c r="E10953" s="4"/>
      <c r="F10953" s="4" t="n">
        <v>10</v>
      </c>
      <c r="G10953" s="4" t="n">
        <v>8</v>
      </c>
      <c r="H10953" s="4" t="n">
        <v>4</v>
      </c>
      <c r="I10953" s="4" t="str">
        <v>×</v>
      </c>
      <c r="J10953" s="4"/>
      <c r="K10953" s="4"/>
      <c r="L10953" s="4"/>
      <c r="M10953" s="5" t="s">
        <v>6501</v>
      </c>
    </row>
    <row r="10954" customFormat="false" ht="15.75" hidden="false" customHeight="false" outlineLevel="0" collapsed="false">
      <c r="A10954" s="6" t="n">
        <v>46194</v>
      </c>
      <c r="B10954" s="4" t="s">
        <v>4473</v>
      </c>
      <c r="C10954" s="4" t="n">
        <v>12</v>
      </c>
      <c r="D10954" s="4" t="n">
        <v>5</v>
      </c>
      <c r="E10954" s="4"/>
      <c r="F10954" s="4" t="n">
        <v>31</v>
      </c>
      <c r="G10954" s="4" t="n">
        <v>4</v>
      </c>
      <c r="H10954" s="4" t="n">
        <v>4</v>
      </c>
      <c r="I10954" s="4" t="str">
        <v>×</v>
      </c>
      <c r="J10954" s="4"/>
      <c r="K10954" s="4"/>
      <c r="L10954" s="4"/>
      <c r="M10954" s="5" t="s">
        <v>6501</v>
      </c>
    </row>
    <row r="10955" customFormat="false" ht="15.75" hidden="false" customHeight="false" outlineLevel="0" collapsed="false">
      <c r="A10955" s="6" t="n">
        <v>46194</v>
      </c>
      <c r="B10955" s="4" t="s">
        <v>4473</v>
      </c>
      <c r="C10955" s="4" t="n">
        <v>12</v>
      </c>
      <c r="D10955" s="4" t="n">
        <v>6</v>
      </c>
      <c r="E10955" s="4"/>
      <c r="F10955" s="4" t="n">
        <v>6</v>
      </c>
      <c r="G10955" s="4" t="n">
        <v>9</v>
      </c>
      <c r="H10955" s="4" t="n">
        <v>4</v>
      </c>
      <c r="I10955" s="4" t="str">
        <v>×</v>
      </c>
      <c r="J10955" s="4"/>
      <c r="K10955" s="4"/>
      <c r="L10955" s="4"/>
      <c r="M10955" s="5" t="s">
        <v>6501</v>
      </c>
    </row>
    <row r="10956" customFormat="false" ht="15.75" hidden="false" customHeight="false" outlineLevel="0" collapsed="false">
      <c r="A10956" s="6" t="n">
        <v>46194</v>
      </c>
      <c r="B10956" s="4" t="s">
        <v>4473</v>
      </c>
      <c r="C10956" s="4" t="n">
        <v>12</v>
      </c>
      <c r="D10956" s="4" t="n">
        <v>7</v>
      </c>
      <c r="E10956" s="4"/>
      <c r="F10956" s="4" t="n">
        <v>10</v>
      </c>
      <c r="G10956" s="4" t="n">
        <v>8</v>
      </c>
      <c r="H10956" s="4" t="n">
        <v>4</v>
      </c>
      <c r="I10956" s="4" t="str">
        <v>×</v>
      </c>
      <c r="J10956" s="4"/>
      <c r="K10956" s="4"/>
      <c r="L10956" s="4"/>
      <c r="M10956" s="5" t="s">
        <v>6501</v>
      </c>
    </row>
    <row r="10957" customFormat="false" ht="15.75" hidden="false" customHeight="false" outlineLevel="0" collapsed="false">
      <c r="A10957" s="6" t="n">
        <v>46194</v>
      </c>
      <c r="B10957" s="4" t="s">
        <v>4473</v>
      </c>
      <c r="C10957" s="4" t="n">
        <v>12</v>
      </c>
      <c r="D10957" s="4" t="n">
        <v>8</v>
      </c>
      <c r="E10957" s="4"/>
      <c r="F10957" s="4" t="n">
        <v>13</v>
      </c>
      <c r="G10957" s="4" t="n">
        <v>7</v>
      </c>
      <c r="H10957" s="4" t="n">
        <v>4</v>
      </c>
      <c r="I10957" s="4" t="str">
        <v>×</v>
      </c>
      <c r="J10957" s="4"/>
      <c r="K10957" s="4"/>
      <c r="L10957" s="4"/>
      <c r="M10957" s="5" t="s">
        <v>6501</v>
      </c>
    </row>
    <row r="10958" customFormat="false" ht="15.75" hidden="false" customHeight="false" outlineLevel="0" collapsed="false">
      <c r="A10958" s="6" t="n">
        <v>46194</v>
      </c>
      <c r="B10958" s="4" t="s">
        <v>4473</v>
      </c>
      <c r="C10958" s="4" t="n">
        <v>12</v>
      </c>
      <c r="D10958" s="4" t="n">
        <v>9</v>
      </c>
      <c r="E10958" s="4"/>
      <c r="F10958" s="4" t="n">
        <v>17</v>
      </c>
      <c r="G10958" s="4" t="n">
        <v>6</v>
      </c>
      <c r="H10958" s="4" t="n">
        <v>4</v>
      </c>
      <c r="I10958" s="4" t="str">
        <v>×</v>
      </c>
      <c r="J10958" s="4"/>
      <c r="K10958" s="4"/>
      <c r="L10958" s="4"/>
      <c r="M10958" s="5" t="s">
        <v>6501</v>
      </c>
    </row>
    <row r="10959" customFormat="false" ht="15.75" hidden="false" customHeight="false" outlineLevel="0" collapsed="false">
      <c r="A10959" s="6" t="n">
        <v>46194</v>
      </c>
      <c r="B10959" s="4" t="s">
        <v>4473</v>
      </c>
      <c r="C10959" s="4" t="n">
        <v>12</v>
      </c>
      <c r="D10959" s="4" t="n">
        <v>10</v>
      </c>
      <c r="E10959" s="4"/>
      <c r="F10959" s="4" t="n">
        <v>62</v>
      </c>
      <c r="G10959" s="4" t="n">
        <v>1</v>
      </c>
      <c r="H10959" s="4" t="n">
        <v>3</v>
      </c>
      <c r="I10959" s="4" t="str">
        <v>○</v>
      </c>
      <c r="J10959" s="4" t="n">
        <v>130</v>
      </c>
      <c r="K10959" s="4"/>
      <c r="L10959" s="4"/>
      <c r="M10959" s="5" t="s">
        <v>6501</v>
      </c>
    </row>
    <row r="10960" customFormat="false" ht="15.75" hidden="false" customHeight="false" outlineLevel="0" collapsed="false">
      <c r="A10960" s="6" t="n">
        <v>46194</v>
      </c>
      <c r="B10960" s="4" t="s">
        <v>4473</v>
      </c>
      <c r="C10960" s="4" t="n">
        <v>12</v>
      </c>
      <c r="D10960" s="4" t="n">
        <v>11</v>
      </c>
      <c r="E10960" s="4"/>
      <c r="F10960" s="4" t="n">
        <v>37</v>
      </c>
      <c r="G10960" s="4" t="n">
        <v>3</v>
      </c>
      <c r="H10960" s="4" t="n">
        <v>4</v>
      </c>
      <c r="I10960" s="4" t="str">
        <v>×</v>
      </c>
      <c r="J10960" s="4"/>
      <c r="K10960" s="4"/>
      <c r="L10960" s="4"/>
      <c r="M10960" s="5" t="s">
        <v>6501</v>
      </c>
    </row>
    <row r="10961" customFormat="false" ht="15.75" hidden="false" customHeight="false" outlineLevel="0" collapsed="false">
      <c r="A10961" s="6" t="n">
        <v>46194</v>
      </c>
      <c r="B10961" s="4" t="s">
        <v>4473</v>
      </c>
      <c r="C10961" s="4" t="n">
        <v>12</v>
      </c>
      <c r="D10961" s="4" t="n">
        <v>12</v>
      </c>
      <c r="E10961" s="4"/>
      <c r="F10961" s="4" t="n">
        <v>31</v>
      </c>
      <c r="G10961" s="4" t="n">
        <v>4</v>
      </c>
      <c r="H10961" s="4" t="n">
        <v>2</v>
      </c>
      <c r="I10961" s="4" t="str">
        <v>○</v>
      </c>
      <c r="J10961" s="4" t="n">
        <v>210</v>
      </c>
      <c r="K10961" s="4"/>
      <c r="L10961" s="4"/>
      <c r="M10961" s="5" t="s">
        <v>6501</v>
      </c>
    </row>
    <row r="10962" customFormat="false" ht="15.75" hidden="false" customHeight="false" outlineLevel="0" collapsed="false">
      <c r="A10962" s="6" t="n">
        <v>46194</v>
      </c>
      <c r="B10962" s="4" t="s">
        <v>4473</v>
      </c>
      <c r="C10962" s="4" t="n">
        <v>12</v>
      </c>
      <c r="D10962" s="4" t="n">
        <v>13</v>
      </c>
      <c r="E10962" s="4"/>
      <c r="F10962" s="4" t="n">
        <v>6</v>
      </c>
      <c r="G10962" s="4" t="n">
        <v>9</v>
      </c>
      <c r="H10962" s="4" t="n">
        <v>4</v>
      </c>
      <c r="I10962" s="4" t="str">
        <v>×</v>
      </c>
      <c r="J10962" s="4"/>
      <c r="K10962" s="4"/>
      <c r="L10962" s="4"/>
      <c r="M10962" s="5" t="s">
        <v>6501</v>
      </c>
    </row>
    <row r="10963" customFormat="false" ht="15.75" hidden="false" customHeight="false" outlineLevel="0" collapsed="false">
      <c r="A10963" s="6" t="n">
        <v>46194</v>
      </c>
      <c r="B10963" s="4" t="s">
        <v>4473</v>
      </c>
      <c r="C10963" s="4" t="n">
        <v>12</v>
      </c>
      <c r="D10963" s="4" t="n">
        <v>14</v>
      </c>
      <c r="E10963" s="4"/>
      <c r="F10963" s="4" t="n">
        <v>2</v>
      </c>
      <c r="G10963" s="4" t="n">
        <v>10</v>
      </c>
      <c r="H10963" s="4" t="n">
        <v>4</v>
      </c>
      <c r="I10963" s="4" t="str">
        <v>×</v>
      </c>
      <c r="J10963" s="4"/>
      <c r="K10963" s="4"/>
      <c r="L10963" s="4"/>
      <c r="M10963" s="5" t="s">
        <v>6501</v>
      </c>
    </row>
    <row r="10964" customFormat="false" ht="15.75" hidden="false" customHeight="false" outlineLevel="0" collapsed="false">
      <c r="A10964" s="6" t="n">
        <v>46194</v>
      </c>
      <c r="B10964" s="4" t="s">
        <v>4473</v>
      </c>
      <c r="C10964" s="4" t="n">
        <v>12</v>
      </c>
      <c r="D10964" s="4" t="n">
        <v>15</v>
      </c>
      <c r="E10964" s="4"/>
      <c r="F10964" s="4" t="n">
        <v>44</v>
      </c>
      <c r="G10964" s="4" t="n">
        <v>2</v>
      </c>
      <c r="H10964" s="4" t="n">
        <v>1</v>
      </c>
      <c r="I10964" s="4" t="str">
        <v>○</v>
      </c>
      <c r="J10964" s="4" t="n">
        <v>160</v>
      </c>
      <c r="K10964" s="4"/>
      <c r="L10964" s="4"/>
      <c r="M10964" s="5" t="s">
        <v>6501</v>
      </c>
    </row>
    <row r="10965" customFormat="false" ht="15.75" hidden="false" customHeight="false" outlineLevel="0" collapsed="false">
      <c r="A10965" s="6" t="n">
        <v>46194</v>
      </c>
      <c r="B10965" s="4" t="s">
        <v>4473</v>
      </c>
      <c r="C10965" s="4" t="n">
        <v>12</v>
      </c>
      <c r="D10965" s="4" t="n">
        <v>16</v>
      </c>
      <c r="E10965" s="4"/>
      <c r="F10965" s="4" t="n">
        <v>23</v>
      </c>
      <c r="G10965" s="4" t="n">
        <v>5</v>
      </c>
      <c r="H10965" s="4" t="n">
        <v>4</v>
      </c>
      <c r="I10965" s="4" t="str">
        <v>×</v>
      </c>
      <c r="J10965" s="4"/>
      <c r="K10965" s="4"/>
      <c r="L10965" s="4"/>
      <c r="M10965" s="5" t="s">
        <v>6501</v>
      </c>
    </row>
    <row r="10966" customFormat="false" ht="15.75" hidden="false" customHeight="false" outlineLevel="0" collapsed="false">
      <c r="A10966" s="6" t="n">
        <v>46194</v>
      </c>
      <c r="B10966" s="4" t="s">
        <v>4172</v>
      </c>
      <c r="C10966" s="4" t="n">
        <v>1</v>
      </c>
      <c r="D10966" s="4" t="n">
        <v>1</v>
      </c>
      <c r="E10966" s="4"/>
      <c r="F10966" s="4" t="n">
        <v>74</v>
      </c>
      <c r="G10966" s="4" t="n">
        <v>1</v>
      </c>
      <c r="H10966" s="4" t="n">
        <v>1</v>
      </c>
      <c r="I10966" s="4" t="str">
        <v>○</v>
      </c>
      <c r="J10966" s="4" t="n">
        <v>140</v>
      </c>
      <c r="K10966" s="4"/>
      <c r="L10966" s="4"/>
      <c r="M10966" s="5" t="s">
        <v>6501</v>
      </c>
    </row>
    <row r="10967" customFormat="false" ht="15.75" hidden="false" customHeight="false" outlineLevel="0" collapsed="false">
      <c r="A10967" s="6" t="n">
        <v>46194</v>
      </c>
      <c r="B10967" s="4" t="s">
        <v>4172</v>
      </c>
      <c r="C10967" s="4" t="n">
        <v>1</v>
      </c>
      <c r="D10967" s="4" t="n">
        <v>2</v>
      </c>
      <c r="E10967" s="4"/>
      <c r="F10967" s="4" t="n">
        <v>8</v>
      </c>
      <c r="G10967" s="4" t="n">
        <v>7</v>
      </c>
      <c r="H10967" s="4" t="n">
        <v>4</v>
      </c>
      <c r="I10967" s="4" t="str">
        <v>×</v>
      </c>
      <c r="J10967" s="4"/>
      <c r="K10967" s="4"/>
      <c r="L10967" s="4"/>
      <c r="M10967" s="5" t="s">
        <v>6501</v>
      </c>
    </row>
    <row r="10968" customFormat="false" ht="15.75" hidden="false" customHeight="false" outlineLevel="0" collapsed="false">
      <c r="A10968" s="6" t="n">
        <v>46194</v>
      </c>
      <c r="B10968" s="4" t="s">
        <v>4172</v>
      </c>
      <c r="C10968" s="4" t="n">
        <v>1</v>
      </c>
      <c r="D10968" s="4" t="n">
        <v>3</v>
      </c>
      <c r="E10968" s="4"/>
      <c r="F10968" s="4" t="n">
        <v>34</v>
      </c>
      <c r="G10968" s="4" t="n">
        <v>3</v>
      </c>
      <c r="H10968" s="4" t="n">
        <v>4</v>
      </c>
      <c r="I10968" s="4" t="str">
        <v>×</v>
      </c>
      <c r="J10968" s="4"/>
      <c r="K10968" s="4"/>
      <c r="L10968" s="4"/>
      <c r="M10968" s="5" t="s">
        <v>6501</v>
      </c>
    </row>
    <row r="10969" customFormat="false" ht="15.75" hidden="false" customHeight="false" outlineLevel="0" collapsed="false">
      <c r="A10969" s="6" t="n">
        <v>46194</v>
      </c>
      <c r="B10969" s="4" t="s">
        <v>4172</v>
      </c>
      <c r="C10969" s="4" t="n">
        <v>1</v>
      </c>
      <c r="D10969" s="4" t="n">
        <v>4</v>
      </c>
      <c r="E10969" s="4"/>
      <c r="F10969" s="4" t="n">
        <v>4</v>
      </c>
      <c r="G10969" s="4" t="n">
        <v>9</v>
      </c>
      <c r="H10969" s="4" t="n">
        <v>2</v>
      </c>
      <c r="I10969" s="4" t="str">
        <v>○</v>
      </c>
      <c r="J10969" s="4" t="n">
        <v>1360</v>
      </c>
      <c r="K10969" s="4"/>
      <c r="L10969" s="4"/>
      <c r="M10969" s="5" t="s">
        <v>6501</v>
      </c>
    </row>
    <row r="10970" customFormat="false" ht="15.75" hidden="false" customHeight="false" outlineLevel="0" collapsed="false">
      <c r="A10970" s="6" t="n">
        <v>46194</v>
      </c>
      <c r="B10970" s="4" t="s">
        <v>4172</v>
      </c>
      <c r="C10970" s="4" t="n">
        <v>1</v>
      </c>
      <c r="D10970" s="4" t="n">
        <v>5</v>
      </c>
      <c r="E10970" s="4"/>
      <c r="F10970" s="4" t="n">
        <v>3</v>
      </c>
      <c r="G10970" s="4" t="n">
        <v>10</v>
      </c>
      <c r="H10970" s="4" t="n">
        <v>4</v>
      </c>
      <c r="I10970" s="4" t="str">
        <v>×</v>
      </c>
      <c r="J10970" s="4"/>
      <c r="K10970" s="4"/>
      <c r="L10970" s="4"/>
      <c r="M10970" s="5" t="s">
        <v>6501</v>
      </c>
    </row>
    <row r="10971" customFormat="false" ht="15.75" hidden="false" customHeight="false" outlineLevel="0" collapsed="false">
      <c r="A10971" s="6" t="n">
        <v>46194</v>
      </c>
      <c r="B10971" s="4" t="s">
        <v>4172</v>
      </c>
      <c r="C10971" s="4" t="n">
        <v>1</v>
      </c>
      <c r="D10971" s="4" t="n">
        <v>6</v>
      </c>
      <c r="E10971" s="4"/>
      <c r="F10971" s="4" t="n">
        <v>13</v>
      </c>
      <c r="G10971" s="4" t="n">
        <v>6</v>
      </c>
      <c r="H10971" s="4" t="n">
        <v>4</v>
      </c>
      <c r="I10971" s="4" t="str">
        <v>×</v>
      </c>
      <c r="J10971" s="4"/>
      <c r="K10971" s="4"/>
      <c r="L10971" s="4"/>
      <c r="M10971" s="5" t="s">
        <v>6501</v>
      </c>
    </row>
    <row r="10972" customFormat="false" ht="15.75" hidden="false" customHeight="false" outlineLevel="0" collapsed="false">
      <c r="A10972" s="6" t="n">
        <v>46194</v>
      </c>
      <c r="B10972" s="4" t="s">
        <v>4172</v>
      </c>
      <c r="C10972" s="4" t="n">
        <v>1</v>
      </c>
      <c r="D10972" s="4" t="n">
        <v>7</v>
      </c>
      <c r="E10972" s="4"/>
      <c r="F10972" s="4" t="n">
        <v>4</v>
      </c>
      <c r="G10972" s="4" t="n">
        <v>9</v>
      </c>
      <c r="H10972" s="4" t="n">
        <v>4</v>
      </c>
      <c r="I10972" s="4" t="str">
        <v>×</v>
      </c>
      <c r="J10972" s="4"/>
      <c r="K10972" s="4"/>
      <c r="L10972" s="4"/>
      <c r="M10972" s="5" t="s">
        <v>6501</v>
      </c>
    </row>
    <row r="10973" customFormat="false" ht="15.75" hidden="false" customHeight="false" outlineLevel="0" collapsed="false">
      <c r="A10973" s="6" t="n">
        <v>46194</v>
      </c>
      <c r="B10973" s="4" t="s">
        <v>4172</v>
      </c>
      <c r="C10973" s="4" t="n">
        <v>1</v>
      </c>
      <c r="D10973" s="4" t="n">
        <v>8</v>
      </c>
      <c r="E10973" s="4"/>
      <c r="F10973" s="4" t="n">
        <v>2</v>
      </c>
      <c r="G10973" s="4" t="n">
        <v>11</v>
      </c>
      <c r="H10973" s="4" t="n">
        <v>4</v>
      </c>
      <c r="I10973" s="4" t="str">
        <v>×</v>
      </c>
      <c r="J10973" s="4"/>
      <c r="K10973" s="4"/>
      <c r="L10973" s="4"/>
      <c r="M10973" s="5" t="s">
        <v>6501</v>
      </c>
    </row>
    <row r="10974" customFormat="false" ht="15.75" hidden="false" customHeight="false" outlineLevel="0" collapsed="false">
      <c r="A10974" s="6" t="n">
        <v>46194</v>
      </c>
      <c r="B10974" s="4" t="s">
        <v>4172</v>
      </c>
      <c r="C10974" s="4" t="n">
        <v>1</v>
      </c>
      <c r="D10974" s="4" t="n">
        <v>9</v>
      </c>
      <c r="E10974" s="4"/>
      <c r="F10974" s="4" t="n">
        <v>2</v>
      </c>
      <c r="G10974" s="4" t="n">
        <v>11</v>
      </c>
      <c r="H10974" s="4" t="n">
        <v>4</v>
      </c>
      <c r="I10974" s="4" t="str">
        <v>×</v>
      </c>
      <c r="J10974" s="4"/>
      <c r="K10974" s="4"/>
      <c r="L10974" s="4"/>
      <c r="M10974" s="5" t="s">
        <v>6501</v>
      </c>
    </row>
    <row r="10975" customFormat="false" ht="15.75" hidden="false" customHeight="false" outlineLevel="0" collapsed="false">
      <c r="A10975" s="6" t="n">
        <v>46194</v>
      </c>
      <c r="B10975" s="4" t="s">
        <v>4172</v>
      </c>
      <c r="C10975" s="4" t="n">
        <v>1</v>
      </c>
      <c r="D10975" s="4" t="n">
        <v>10</v>
      </c>
      <c r="E10975" s="4"/>
      <c r="F10975" s="4" t="n">
        <v>6</v>
      </c>
      <c r="G10975" s="4" t="n">
        <v>8</v>
      </c>
      <c r="H10975" s="4" t="n">
        <v>4</v>
      </c>
      <c r="I10975" s="4" t="str">
        <v>×</v>
      </c>
      <c r="J10975" s="4"/>
      <c r="K10975" s="4"/>
      <c r="L10975" s="4"/>
      <c r="M10975" s="5" t="s">
        <v>6501</v>
      </c>
    </row>
    <row r="10976" customFormat="false" ht="15.75" hidden="false" customHeight="false" outlineLevel="0" collapsed="false">
      <c r="A10976" s="6" t="n">
        <v>46194</v>
      </c>
      <c r="B10976" s="4" t="s">
        <v>4172</v>
      </c>
      <c r="C10976" s="4" t="n">
        <v>1</v>
      </c>
      <c r="D10976" s="4" t="n">
        <v>11</v>
      </c>
      <c r="E10976" s="4"/>
      <c r="F10976" s="4" t="n">
        <v>15</v>
      </c>
      <c r="G10976" s="4" t="n">
        <v>5</v>
      </c>
      <c r="H10976" s="4" t="n">
        <v>4</v>
      </c>
      <c r="I10976" s="4" t="str">
        <v>×</v>
      </c>
      <c r="J10976" s="4"/>
      <c r="K10976" s="4"/>
      <c r="L10976" s="4"/>
      <c r="M10976" s="5" t="s">
        <v>6501</v>
      </c>
    </row>
    <row r="10977" customFormat="false" ht="15.75" hidden="false" customHeight="false" outlineLevel="0" collapsed="false">
      <c r="A10977" s="6" t="n">
        <v>46194</v>
      </c>
      <c r="B10977" s="4" t="s">
        <v>4172</v>
      </c>
      <c r="C10977" s="4" t="n">
        <v>1</v>
      </c>
      <c r="D10977" s="4" t="n">
        <v>12</v>
      </c>
      <c r="E10977" s="4"/>
      <c r="F10977" s="4" t="n">
        <v>34</v>
      </c>
      <c r="G10977" s="4" t="n">
        <v>3</v>
      </c>
      <c r="H10977" s="4" t="n">
        <v>4</v>
      </c>
      <c r="I10977" s="4" t="str">
        <v>×</v>
      </c>
      <c r="J10977" s="4"/>
      <c r="K10977" s="4"/>
      <c r="L10977" s="4"/>
      <c r="M10977" s="5" t="s">
        <v>6501</v>
      </c>
    </row>
    <row r="10978" customFormat="false" ht="15.75" hidden="false" customHeight="false" outlineLevel="0" collapsed="false">
      <c r="A10978" s="6" t="n">
        <v>46194</v>
      </c>
      <c r="B10978" s="4" t="s">
        <v>4172</v>
      </c>
      <c r="C10978" s="4" t="n">
        <v>1</v>
      </c>
      <c r="D10978" s="4" t="n">
        <v>13</v>
      </c>
      <c r="E10978" s="4"/>
      <c r="F10978" s="4" t="n">
        <v>4</v>
      </c>
      <c r="G10978" s="4" t="n">
        <v>9</v>
      </c>
      <c r="H10978" s="4" t="n">
        <v>4</v>
      </c>
      <c r="I10978" s="4" t="str">
        <v>×</v>
      </c>
      <c r="J10978" s="4"/>
      <c r="K10978" s="4"/>
      <c r="L10978" s="4"/>
      <c r="M10978" s="5" t="s">
        <v>6501</v>
      </c>
    </row>
    <row r="10979" customFormat="false" ht="15.75" hidden="false" customHeight="false" outlineLevel="0" collapsed="false">
      <c r="A10979" s="6" t="n">
        <v>46194</v>
      </c>
      <c r="B10979" s="4" t="s">
        <v>4172</v>
      </c>
      <c r="C10979" s="4" t="n">
        <v>1</v>
      </c>
      <c r="D10979" s="4" t="n">
        <v>14</v>
      </c>
      <c r="E10979" s="4"/>
      <c r="F10979" s="4" t="n">
        <v>52</v>
      </c>
      <c r="G10979" s="4" t="n">
        <v>2</v>
      </c>
      <c r="H10979" s="4" t="n">
        <v>4</v>
      </c>
      <c r="I10979" s="4" t="str">
        <v>×</v>
      </c>
      <c r="J10979" s="4"/>
      <c r="K10979" s="4"/>
      <c r="L10979" s="4"/>
      <c r="M10979" s="5" t="s">
        <v>6501</v>
      </c>
    </row>
    <row r="10980" customFormat="false" ht="15.75" hidden="false" customHeight="false" outlineLevel="0" collapsed="false">
      <c r="A10980" s="6" t="n">
        <v>46194</v>
      </c>
      <c r="B10980" s="4" t="s">
        <v>4172</v>
      </c>
      <c r="C10980" s="4" t="n">
        <v>1</v>
      </c>
      <c r="D10980" s="4" t="n">
        <v>15</v>
      </c>
      <c r="E10980" s="4"/>
      <c r="F10980" s="4" t="n">
        <v>4</v>
      </c>
      <c r="G10980" s="4" t="n">
        <v>9</v>
      </c>
      <c r="H10980" s="4" t="n">
        <v>4</v>
      </c>
      <c r="I10980" s="4" t="str">
        <v>×</v>
      </c>
      <c r="J10980" s="4"/>
      <c r="K10980" s="4"/>
      <c r="L10980" s="4"/>
      <c r="M10980" s="5" t="s">
        <v>6501</v>
      </c>
    </row>
    <row r="10981" customFormat="false" ht="15.75" hidden="false" customHeight="false" outlineLevel="0" collapsed="false">
      <c r="A10981" s="6" t="n">
        <v>46194</v>
      </c>
      <c r="B10981" s="4" t="s">
        <v>4172</v>
      </c>
      <c r="C10981" s="4" t="n">
        <v>1</v>
      </c>
      <c r="D10981" s="4" t="n">
        <v>16</v>
      </c>
      <c r="E10981" s="4"/>
      <c r="F10981" s="4" t="n">
        <v>25</v>
      </c>
      <c r="G10981" s="4" t="n">
        <v>4</v>
      </c>
      <c r="H10981" s="4" t="n">
        <v>3</v>
      </c>
      <c r="I10981" s="4" t="str">
        <v>○</v>
      </c>
      <c r="J10981" s="4" t="n">
        <v>270</v>
      </c>
      <c r="K10981" s="4"/>
      <c r="L10981" s="4"/>
      <c r="M10981" s="5" t="s">
        <v>6501</v>
      </c>
    </row>
    <row r="10982" customFormat="false" ht="15.75" hidden="false" customHeight="false" outlineLevel="0" collapsed="false">
      <c r="A10982" s="6" t="n">
        <v>46194</v>
      </c>
      <c r="B10982" s="4" t="s">
        <v>4172</v>
      </c>
      <c r="C10982" s="4" t="n">
        <v>2</v>
      </c>
      <c r="D10982" s="4" t="n">
        <v>1</v>
      </c>
      <c r="E10982" s="4"/>
      <c r="F10982" s="4" t="n">
        <v>6</v>
      </c>
      <c r="G10982" s="4" t="n">
        <v>9</v>
      </c>
      <c r="H10982" s="4" t="n">
        <v>4</v>
      </c>
      <c r="I10982" s="4" t="str">
        <v>×</v>
      </c>
      <c r="J10982" s="4"/>
      <c r="K10982" s="4"/>
      <c r="L10982" s="4"/>
      <c r="M10982" s="5" t="s">
        <v>6501</v>
      </c>
    </row>
    <row r="10983" customFormat="false" ht="15.75" hidden="false" customHeight="false" outlineLevel="0" collapsed="false">
      <c r="A10983" s="6" t="n">
        <v>46194</v>
      </c>
      <c r="B10983" s="4" t="s">
        <v>4172</v>
      </c>
      <c r="C10983" s="4" t="n">
        <v>2</v>
      </c>
      <c r="D10983" s="4" t="n">
        <v>2</v>
      </c>
      <c r="E10983" s="4"/>
      <c r="F10983" s="4" t="n">
        <v>29</v>
      </c>
      <c r="G10983" s="4" t="n">
        <v>4</v>
      </c>
      <c r="H10983" s="4" t="n">
        <v>4</v>
      </c>
      <c r="I10983" s="4" t="str">
        <v>×</v>
      </c>
      <c r="J10983" s="4"/>
      <c r="K10983" s="4"/>
      <c r="L10983" s="4"/>
      <c r="M10983" s="5" t="s">
        <v>6501</v>
      </c>
    </row>
    <row r="10984" customFormat="false" ht="15.75" hidden="false" customHeight="false" outlineLevel="0" collapsed="false">
      <c r="A10984" s="6" t="n">
        <v>46194</v>
      </c>
      <c r="B10984" s="4" t="s">
        <v>4172</v>
      </c>
      <c r="C10984" s="4" t="n">
        <v>2</v>
      </c>
      <c r="D10984" s="4" t="n">
        <v>3</v>
      </c>
      <c r="E10984" s="4"/>
      <c r="F10984" s="4" t="n">
        <v>8</v>
      </c>
      <c r="G10984" s="4" t="n">
        <v>8</v>
      </c>
      <c r="H10984" s="4" t="n">
        <v>4</v>
      </c>
      <c r="I10984" s="4" t="str">
        <v>×</v>
      </c>
      <c r="J10984" s="4"/>
      <c r="K10984" s="4"/>
      <c r="L10984" s="4"/>
      <c r="M10984" s="5" t="s">
        <v>6501</v>
      </c>
    </row>
    <row r="10985" customFormat="false" ht="15.75" hidden="false" customHeight="false" outlineLevel="0" collapsed="false">
      <c r="A10985" s="6" t="n">
        <v>46194</v>
      </c>
      <c r="B10985" s="4" t="s">
        <v>4172</v>
      </c>
      <c r="C10985" s="4" t="n">
        <v>2</v>
      </c>
      <c r="D10985" s="4" t="n">
        <v>4</v>
      </c>
      <c r="E10985" s="4"/>
      <c r="F10985" s="4" t="n">
        <v>6</v>
      </c>
      <c r="G10985" s="4" t="n">
        <v>9</v>
      </c>
      <c r="H10985" s="4" t="n">
        <v>4</v>
      </c>
      <c r="I10985" s="4" t="str">
        <v>×</v>
      </c>
      <c r="J10985" s="4"/>
      <c r="K10985" s="4"/>
      <c r="L10985" s="4"/>
      <c r="M10985" s="5" t="s">
        <v>6501</v>
      </c>
    </row>
    <row r="10986" customFormat="false" ht="15.75" hidden="false" customHeight="false" outlineLevel="0" collapsed="false">
      <c r="A10986" s="6" t="n">
        <v>46194</v>
      </c>
      <c r="B10986" s="4" t="s">
        <v>4172</v>
      </c>
      <c r="C10986" s="4" t="n">
        <v>2</v>
      </c>
      <c r="D10986" s="4" t="n">
        <v>5</v>
      </c>
      <c r="E10986" s="4"/>
      <c r="F10986" s="4" t="n">
        <v>58</v>
      </c>
      <c r="G10986" s="4" t="n">
        <v>1</v>
      </c>
      <c r="H10986" s="4" t="n">
        <v>4</v>
      </c>
      <c r="I10986" s="4" t="str">
        <v>×</v>
      </c>
      <c r="J10986" s="4"/>
      <c r="K10986" s="4"/>
      <c r="L10986" s="4"/>
      <c r="M10986" s="5" t="s">
        <v>6501</v>
      </c>
    </row>
    <row r="10987" customFormat="false" ht="15.75" hidden="false" customHeight="false" outlineLevel="0" collapsed="false">
      <c r="A10987" s="6" t="n">
        <v>46194</v>
      </c>
      <c r="B10987" s="4" t="s">
        <v>4172</v>
      </c>
      <c r="C10987" s="4" t="n">
        <v>2</v>
      </c>
      <c r="D10987" s="4" t="n">
        <v>6</v>
      </c>
      <c r="E10987" s="4"/>
      <c r="F10987" s="4" t="n">
        <v>17</v>
      </c>
      <c r="G10987" s="4" t="n">
        <v>7</v>
      </c>
      <c r="H10987" s="4" t="n">
        <v>4</v>
      </c>
      <c r="I10987" s="4" t="str">
        <v>×</v>
      </c>
      <c r="J10987" s="4"/>
      <c r="K10987" s="4"/>
      <c r="L10987" s="4"/>
      <c r="M10987" s="5" t="s">
        <v>6501</v>
      </c>
    </row>
    <row r="10988" customFormat="false" ht="15.75" hidden="false" customHeight="false" outlineLevel="0" collapsed="false">
      <c r="A10988" s="6" t="n">
        <v>46194</v>
      </c>
      <c r="B10988" s="4" t="s">
        <v>4172</v>
      </c>
      <c r="C10988" s="4" t="n">
        <v>2</v>
      </c>
      <c r="D10988" s="4" t="n">
        <v>7</v>
      </c>
      <c r="E10988" s="4"/>
      <c r="F10988" s="4" t="n">
        <v>39</v>
      </c>
      <c r="G10988" s="4" t="n">
        <v>2</v>
      </c>
      <c r="H10988" s="4" t="n">
        <v>4</v>
      </c>
      <c r="I10988" s="4" t="str">
        <v>×</v>
      </c>
      <c r="J10988" s="4"/>
      <c r="K10988" s="4"/>
      <c r="L10988" s="4"/>
      <c r="M10988" s="5" t="s">
        <v>6501</v>
      </c>
    </row>
    <row r="10989" customFormat="false" ht="15.75" hidden="false" customHeight="false" outlineLevel="0" collapsed="false">
      <c r="A10989" s="6" t="n">
        <v>46194</v>
      </c>
      <c r="B10989" s="4" t="s">
        <v>4172</v>
      </c>
      <c r="C10989" s="4" t="n">
        <v>2</v>
      </c>
      <c r="D10989" s="4" t="n">
        <v>8</v>
      </c>
      <c r="E10989" s="4"/>
      <c r="F10989" s="4" t="n">
        <v>23</v>
      </c>
      <c r="G10989" s="4" t="n">
        <v>6</v>
      </c>
      <c r="H10989" s="4" t="n">
        <v>2</v>
      </c>
      <c r="I10989" s="4" t="str">
        <v>○</v>
      </c>
      <c r="J10989" s="4" t="n">
        <v>270</v>
      </c>
      <c r="K10989" s="4"/>
      <c r="L10989" s="4"/>
      <c r="M10989" s="5" t="s">
        <v>6501</v>
      </c>
    </row>
    <row r="10990" customFormat="false" ht="15.75" hidden="false" customHeight="false" outlineLevel="0" collapsed="false">
      <c r="A10990" s="6" t="n">
        <v>46194</v>
      </c>
      <c r="B10990" s="4" t="s">
        <v>4172</v>
      </c>
      <c r="C10990" s="4" t="n">
        <v>2</v>
      </c>
      <c r="D10990" s="4" t="n">
        <v>9</v>
      </c>
      <c r="E10990" s="4"/>
      <c r="F10990" s="4" t="n">
        <v>25</v>
      </c>
      <c r="G10990" s="4" t="n">
        <v>5</v>
      </c>
      <c r="H10990" s="4" t="n">
        <v>3</v>
      </c>
      <c r="I10990" s="4" t="str">
        <v>○</v>
      </c>
      <c r="J10990" s="4" t="n">
        <v>360</v>
      </c>
      <c r="K10990" s="4"/>
      <c r="L10990" s="4"/>
      <c r="M10990" s="5" t="s">
        <v>6501</v>
      </c>
    </row>
    <row r="10991" customFormat="false" ht="15.75" hidden="false" customHeight="false" outlineLevel="0" collapsed="false">
      <c r="A10991" s="6" t="n">
        <v>46194</v>
      </c>
      <c r="B10991" s="4" t="s">
        <v>4172</v>
      </c>
      <c r="C10991" s="4" t="n">
        <v>2</v>
      </c>
      <c r="D10991" s="4" t="n">
        <v>10</v>
      </c>
      <c r="E10991" s="4"/>
      <c r="F10991" s="4" t="n">
        <v>29</v>
      </c>
      <c r="G10991" s="4" t="n">
        <v>4</v>
      </c>
      <c r="H10991" s="4" t="n">
        <v>4</v>
      </c>
      <c r="I10991" s="4" t="str">
        <v>×</v>
      </c>
      <c r="J10991" s="4"/>
      <c r="K10991" s="4"/>
      <c r="L10991" s="4"/>
      <c r="M10991" s="5" t="s">
        <v>6501</v>
      </c>
    </row>
    <row r="10992" customFormat="false" ht="15.75" hidden="false" customHeight="false" outlineLevel="0" collapsed="false">
      <c r="A10992" s="6" t="n">
        <v>46194</v>
      </c>
      <c r="B10992" s="4" t="s">
        <v>4172</v>
      </c>
      <c r="C10992" s="4" t="n">
        <v>2</v>
      </c>
      <c r="D10992" s="4" t="n">
        <v>11</v>
      </c>
      <c r="E10992" s="4"/>
      <c r="F10992" s="4" t="n">
        <v>6</v>
      </c>
      <c r="G10992" s="4" t="n">
        <v>9</v>
      </c>
      <c r="H10992" s="4" t="n">
        <v>4</v>
      </c>
      <c r="I10992" s="4" t="str">
        <v>×</v>
      </c>
      <c r="J10992" s="4"/>
      <c r="K10992" s="4"/>
      <c r="L10992" s="4"/>
      <c r="M10992" s="5" t="s">
        <v>6501</v>
      </c>
    </row>
    <row r="10993" customFormat="false" ht="15.75" hidden="false" customHeight="false" outlineLevel="0" collapsed="false">
      <c r="A10993" s="6" t="n">
        <v>46194</v>
      </c>
      <c r="B10993" s="4" t="s">
        <v>4172</v>
      </c>
      <c r="C10993" s="4" t="n">
        <v>2</v>
      </c>
      <c r="D10993" s="4" t="n">
        <v>12</v>
      </c>
      <c r="E10993" s="4"/>
      <c r="F10993" s="4" t="n">
        <v>39</v>
      </c>
      <c r="G10993" s="4" t="n">
        <v>2</v>
      </c>
      <c r="H10993" s="4" t="n">
        <v>4</v>
      </c>
      <c r="I10993" s="4" t="str">
        <v>×</v>
      </c>
      <c r="J10993" s="4"/>
      <c r="K10993" s="4"/>
      <c r="L10993" s="4"/>
      <c r="M10993" s="5" t="s">
        <v>6501</v>
      </c>
    </row>
    <row r="10994" customFormat="false" ht="15.75" hidden="false" customHeight="false" outlineLevel="0" collapsed="false">
      <c r="A10994" s="6" t="n">
        <v>46194</v>
      </c>
      <c r="B10994" s="4" t="s">
        <v>4172</v>
      </c>
      <c r="C10994" s="4" t="n">
        <v>2</v>
      </c>
      <c r="D10994" s="4" t="n">
        <v>13</v>
      </c>
      <c r="E10994" s="4"/>
      <c r="F10994" s="4" t="n">
        <v>2</v>
      </c>
      <c r="G10994" s="4" t="n">
        <v>11</v>
      </c>
      <c r="H10994" s="4" t="n">
        <v>4</v>
      </c>
      <c r="I10994" s="4" t="str">
        <v>×</v>
      </c>
      <c r="J10994" s="4"/>
      <c r="K10994" s="4"/>
      <c r="L10994" s="4"/>
      <c r="M10994" s="5" t="s">
        <v>6501</v>
      </c>
    </row>
    <row r="10995" customFormat="false" ht="15.75" hidden="false" customHeight="false" outlineLevel="0" collapsed="false">
      <c r="A10995" s="6" t="n">
        <v>46194</v>
      </c>
      <c r="B10995" s="4" t="s">
        <v>4172</v>
      </c>
      <c r="C10995" s="4" t="n">
        <v>2</v>
      </c>
      <c r="D10995" s="4" t="n">
        <v>14</v>
      </c>
      <c r="E10995" s="4"/>
      <c r="F10995" s="4" t="n">
        <v>8</v>
      </c>
      <c r="G10995" s="4" t="n">
        <v>8</v>
      </c>
      <c r="H10995" s="4" t="n">
        <v>4</v>
      </c>
      <c r="I10995" s="4" t="str">
        <v>×</v>
      </c>
      <c r="J10995" s="4"/>
      <c r="K10995" s="4"/>
      <c r="L10995" s="4"/>
      <c r="M10995" s="5" t="s">
        <v>6501</v>
      </c>
    </row>
    <row r="10996" customFormat="false" ht="15.75" hidden="false" customHeight="false" outlineLevel="0" collapsed="false">
      <c r="A10996" s="6" t="n">
        <v>46194</v>
      </c>
      <c r="B10996" s="4" t="s">
        <v>4172</v>
      </c>
      <c r="C10996" s="4" t="n">
        <v>2</v>
      </c>
      <c r="D10996" s="4" t="n">
        <v>15</v>
      </c>
      <c r="E10996" s="4"/>
      <c r="F10996" s="4" t="n">
        <v>6</v>
      </c>
      <c r="G10996" s="4" t="n">
        <v>9</v>
      </c>
      <c r="H10996" s="4" t="n">
        <v>4</v>
      </c>
      <c r="I10996" s="4" t="str">
        <v>×</v>
      </c>
      <c r="J10996" s="4"/>
      <c r="K10996" s="4"/>
      <c r="L10996" s="4"/>
      <c r="M10996" s="5" t="s">
        <v>6501</v>
      </c>
    </row>
    <row r="10997" customFormat="false" ht="15.75" hidden="false" customHeight="false" outlineLevel="0" collapsed="false">
      <c r="A10997" s="6" t="n">
        <v>46194</v>
      </c>
      <c r="B10997" s="4" t="s">
        <v>4172</v>
      </c>
      <c r="C10997" s="4" t="n">
        <v>2</v>
      </c>
      <c r="D10997" s="4" t="n">
        <v>16</v>
      </c>
      <c r="E10997" s="4"/>
      <c r="F10997" s="4" t="n">
        <v>4</v>
      </c>
      <c r="G10997" s="4" t="n">
        <v>10</v>
      </c>
      <c r="H10997" s="4" t="n">
        <v>4</v>
      </c>
      <c r="I10997" s="4" t="str">
        <v>×</v>
      </c>
      <c r="J10997" s="4"/>
      <c r="K10997" s="4"/>
      <c r="L10997" s="4"/>
      <c r="M10997" s="5" t="s">
        <v>6501</v>
      </c>
    </row>
    <row r="10998" customFormat="false" ht="15.75" hidden="false" customHeight="false" outlineLevel="0" collapsed="false">
      <c r="A10998" s="6" t="n">
        <v>46194</v>
      </c>
      <c r="B10998" s="4" t="s">
        <v>4172</v>
      </c>
      <c r="C10998" s="4" t="n">
        <v>2</v>
      </c>
      <c r="D10998" s="4" t="n">
        <v>17</v>
      </c>
      <c r="E10998" s="4"/>
      <c r="F10998" s="4" t="n">
        <v>31</v>
      </c>
      <c r="G10998" s="4" t="n">
        <v>3</v>
      </c>
      <c r="H10998" s="4" t="n">
        <v>1</v>
      </c>
      <c r="I10998" s="4" t="str">
        <v>○</v>
      </c>
      <c r="J10998" s="4" t="n">
        <v>270</v>
      </c>
      <c r="K10998" s="4"/>
      <c r="L10998" s="4"/>
      <c r="M10998" s="5" t="s">
        <v>6501</v>
      </c>
    </row>
    <row r="10999" customFormat="false" ht="15.75" hidden="false" customHeight="false" outlineLevel="0" collapsed="false">
      <c r="A10999" s="6" t="n">
        <v>46194</v>
      </c>
      <c r="B10999" s="4" t="s">
        <v>4172</v>
      </c>
      <c r="C10999" s="4" t="n">
        <v>2</v>
      </c>
      <c r="D10999" s="4" t="n">
        <v>18</v>
      </c>
      <c r="E10999" s="4"/>
      <c r="F10999" s="4" t="n">
        <v>4</v>
      </c>
      <c r="G10999" s="4" t="n">
        <v>10</v>
      </c>
      <c r="H10999" s="4" t="n">
        <v>4</v>
      </c>
      <c r="I10999" s="4" t="str">
        <v>×</v>
      </c>
      <c r="J10999" s="4"/>
      <c r="K10999" s="4"/>
      <c r="L10999" s="4"/>
      <c r="M10999" s="5" t="s">
        <v>6501</v>
      </c>
    </row>
    <row r="11000" customFormat="false" ht="15.75" hidden="false" customHeight="false" outlineLevel="0" collapsed="false">
      <c r="A11000" s="6" t="n">
        <v>46194</v>
      </c>
      <c r="B11000" s="4" t="s">
        <v>4172</v>
      </c>
      <c r="C11000" s="4" t="n">
        <v>3</v>
      </c>
      <c r="D11000" s="4" t="n">
        <v>1</v>
      </c>
      <c r="E11000" s="4"/>
      <c r="F11000" s="4" t="n">
        <v>17</v>
      </c>
      <c r="G11000" s="4" t="n">
        <v>5</v>
      </c>
      <c r="H11000" s="4" t="n">
        <v>2</v>
      </c>
      <c r="I11000" s="4" t="str">
        <v>○</v>
      </c>
      <c r="J11000" s="4" t="n">
        <v>250</v>
      </c>
      <c r="K11000" s="4"/>
      <c r="L11000" s="4"/>
      <c r="M11000" s="5" t="s">
        <v>6501</v>
      </c>
    </row>
    <row r="11001" customFormat="false" ht="15.75" hidden="false" customHeight="false" outlineLevel="0" collapsed="false">
      <c r="A11001" s="6" t="n">
        <v>46194</v>
      </c>
      <c r="B11001" s="4" t="s">
        <v>4172</v>
      </c>
      <c r="C11001" s="4" t="n">
        <v>3</v>
      </c>
      <c r="D11001" s="4" t="n">
        <v>2</v>
      </c>
      <c r="E11001" s="4"/>
      <c r="F11001" s="4" t="n">
        <v>10</v>
      </c>
      <c r="G11001" s="4" t="n">
        <v>6</v>
      </c>
      <c r="H11001" s="4" t="n">
        <v>4</v>
      </c>
      <c r="I11001" s="4" t="str">
        <v>×</v>
      </c>
      <c r="J11001" s="4"/>
      <c r="K11001" s="4"/>
      <c r="L11001" s="4"/>
      <c r="M11001" s="5" t="s">
        <v>6501</v>
      </c>
    </row>
    <row r="11002" customFormat="false" ht="15.75" hidden="false" customHeight="false" outlineLevel="0" collapsed="false">
      <c r="A11002" s="6" t="n">
        <v>46194</v>
      </c>
      <c r="B11002" s="4" t="s">
        <v>4172</v>
      </c>
      <c r="C11002" s="4" t="n">
        <v>3</v>
      </c>
      <c r="D11002" s="4" t="n">
        <v>3</v>
      </c>
      <c r="E11002" s="4"/>
      <c r="F11002" s="4" t="n">
        <v>4</v>
      </c>
      <c r="G11002" s="4" t="n">
        <v>8</v>
      </c>
      <c r="H11002" s="4" t="n">
        <v>4</v>
      </c>
      <c r="I11002" s="4" t="str">
        <v>×</v>
      </c>
      <c r="J11002" s="4"/>
      <c r="K11002" s="4"/>
      <c r="L11002" s="4"/>
      <c r="M11002" s="5" t="s">
        <v>6501</v>
      </c>
    </row>
    <row r="11003" customFormat="false" ht="15.75" hidden="false" customHeight="false" outlineLevel="0" collapsed="false">
      <c r="A11003" s="6" t="n">
        <v>46194</v>
      </c>
      <c r="B11003" s="4" t="s">
        <v>4172</v>
      </c>
      <c r="C11003" s="4" t="n">
        <v>3</v>
      </c>
      <c r="D11003" s="4" t="n">
        <v>4</v>
      </c>
      <c r="E11003" s="4"/>
      <c r="F11003" s="4" t="n">
        <v>10</v>
      </c>
      <c r="G11003" s="4" t="n">
        <v>6</v>
      </c>
      <c r="H11003" s="4" t="n">
        <v>4</v>
      </c>
      <c r="I11003" s="4" t="str">
        <v>×</v>
      </c>
      <c r="J11003" s="4"/>
      <c r="K11003" s="4"/>
      <c r="L11003" s="4"/>
      <c r="M11003" s="5" t="s">
        <v>6501</v>
      </c>
    </row>
    <row r="11004" customFormat="false" ht="15.75" hidden="false" customHeight="false" outlineLevel="0" collapsed="false">
      <c r="A11004" s="6" t="n">
        <v>46194</v>
      </c>
      <c r="B11004" s="4" t="s">
        <v>4172</v>
      </c>
      <c r="C11004" s="4" t="n">
        <v>3</v>
      </c>
      <c r="D11004" s="4" t="n">
        <v>5</v>
      </c>
      <c r="E11004" s="4"/>
      <c r="F11004" s="4" t="n">
        <v>58</v>
      </c>
      <c r="G11004" s="4" t="n">
        <v>2</v>
      </c>
      <c r="H11004" s="4" t="n">
        <v>4</v>
      </c>
      <c r="I11004" s="4" t="str">
        <v>×</v>
      </c>
      <c r="J11004" s="4"/>
      <c r="K11004" s="4"/>
      <c r="L11004" s="4"/>
      <c r="M11004" s="5" t="s">
        <v>6501</v>
      </c>
    </row>
    <row r="11005" customFormat="false" ht="15.75" hidden="false" customHeight="false" outlineLevel="0" collapsed="false">
      <c r="A11005" s="6" t="n">
        <v>46194</v>
      </c>
      <c r="B11005" s="4" t="s">
        <v>4172</v>
      </c>
      <c r="C11005" s="4" t="n">
        <v>3</v>
      </c>
      <c r="D11005" s="4" t="n">
        <v>6</v>
      </c>
      <c r="E11005" s="4"/>
      <c r="F11005" s="4" t="n">
        <v>8</v>
      </c>
      <c r="G11005" s="4" t="n">
        <v>7</v>
      </c>
      <c r="H11005" s="4" t="n">
        <v>4</v>
      </c>
      <c r="I11005" s="4" t="str">
        <v>×</v>
      </c>
      <c r="J11005" s="4"/>
      <c r="K11005" s="4"/>
      <c r="L11005" s="4"/>
      <c r="M11005" s="5" t="s">
        <v>6501</v>
      </c>
    </row>
    <row r="11006" customFormat="false" ht="15.75" hidden="false" customHeight="false" outlineLevel="0" collapsed="false">
      <c r="A11006" s="6" t="n">
        <v>46194</v>
      </c>
      <c r="B11006" s="4" t="s">
        <v>4172</v>
      </c>
      <c r="C11006" s="4" t="n">
        <v>3</v>
      </c>
      <c r="D11006" s="4" t="n">
        <v>7</v>
      </c>
      <c r="E11006" s="4"/>
      <c r="F11006" s="4" t="n">
        <v>8</v>
      </c>
      <c r="G11006" s="4" t="n">
        <v>7</v>
      </c>
      <c r="H11006" s="4" t="n">
        <v>4</v>
      </c>
      <c r="I11006" s="4" t="str">
        <v>×</v>
      </c>
      <c r="J11006" s="4"/>
      <c r="K11006" s="4"/>
      <c r="L11006" s="4"/>
      <c r="M11006" s="5" t="s">
        <v>6501</v>
      </c>
    </row>
    <row r="11007" customFormat="false" ht="15.75" hidden="false" customHeight="false" outlineLevel="0" collapsed="false">
      <c r="A11007" s="6" t="n">
        <v>46194</v>
      </c>
      <c r="B11007" s="4" t="s">
        <v>4172</v>
      </c>
      <c r="C11007" s="4" t="n">
        <v>3</v>
      </c>
      <c r="D11007" s="4" t="n">
        <v>8</v>
      </c>
      <c r="E11007" s="4"/>
      <c r="F11007" s="4" t="n">
        <v>25</v>
      </c>
      <c r="G11007" s="4" t="n">
        <v>4</v>
      </c>
      <c r="H11007" s="4" t="n">
        <v>4</v>
      </c>
      <c r="I11007" s="4" t="str">
        <v>×</v>
      </c>
      <c r="J11007" s="4"/>
      <c r="K11007" s="4"/>
      <c r="L11007" s="4"/>
      <c r="M11007" s="5" t="s">
        <v>6501</v>
      </c>
    </row>
    <row r="11008" customFormat="false" ht="15.75" hidden="false" customHeight="false" outlineLevel="0" collapsed="false">
      <c r="A11008" s="6" t="n">
        <v>46194</v>
      </c>
      <c r="B11008" s="4" t="s">
        <v>4172</v>
      </c>
      <c r="C11008" s="4" t="n">
        <v>3</v>
      </c>
      <c r="D11008" s="4" t="n">
        <v>9</v>
      </c>
      <c r="E11008" s="4"/>
      <c r="F11008" s="4" t="n">
        <v>8</v>
      </c>
      <c r="G11008" s="4" t="n">
        <v>7</v>
      </c>
      <c r="H11008" s="4" t="n">
        <v>4</v>
      </c>
      <c r="I11008" s="4" t="str">
        <v>×</v>
      </c>
      <c r="J11008" s="4"/>
      <c r="K11008" s="4"/>
      <c r="L11008" s="4"/>
      <c r="M11008" s="5" t="s">
        <v>6501</v>
      </c>
    </row>
    <row r="11009" customFormat="false" ht="15.75" hidden="false" customHeight="false" outlineLevel="0" collapsed="false">
      <c r="A11009" s="6" t="n">
        <v>46194</v>
      </c>
      <c r="B11009" s="4" t="s">
        <v>4172</v>
      </c>
      <c r="C11009" s="4" t="n">
        <v>3</v>
      </c>
      <c r="D11009" s="4" t="n">
        <v>10</v>
      </c>
      <c r="E11009" s="4"/>
      <c r="F11009" s="4" t="n">
        <v>8</v>
      </c>
      <c r="G11009" s="4" t="n">
        <v>7</v>
      </c>
      <c r="H11009" s="4" t="n">
        <v>4</v>
      </c>
      <c r="I11009" s="4" t="str">
        <v>×</v>
      </c>
      <c r="J11009" s="4"/>
      <c r="K11009" s="4"/>
      <c r="L11009" s="4"/>
      <c r="M11009" s="5" t="s">
        <v>6501</v>
      </c>
    </row>
    <row r="11010" customFormat="false" ht="15.75" hidden="false" customHeight="false" outlineLevel="0" collapsed="false">
      <c r="A11010" s="6" t="n">
        <v>46194</v>
      </c>
      <c r="B11010" s="4" t="s">
        <v>4172</v>
      </c>
      <c r="C11010" s="4" t="n">
        <v>3</v>
      </c>
      <c r="D11010" s="4" t="n">
        <v>11</v>
      </c>
      <c r="E11010" s="4"/>
      <c r="F11010" s="4" t="n">
        <v>71</v>
      </c>
      <c r="G11010" s="4" t="n">
        <v>1</v>
      </c>
      <c r="H11010" s="4" t="n">
        <v>3</v>
      </c>
      <c r="I11010" s="4" t="str">
        <v>○</v>
      </c>
      <c r="J11010" s="4" t="n">
        <v>140</v>
      </c>
      <c r="K11010" s="4"/>
      <c r="L11010" s="4"/>
      <c r="M11010" s="5" t="s">
        <v>6501</v>
      </c>
    </row>
    <row r="11011" customFormat="false" ht="15.75" hidden="false" customHeight="false" outlineLevel="0" collapsed="false">
      <c r="A11011" s="6" t="n">
        <v>46194</v>
      </c>
      <c r="B11011" s="4" t="s">
        <v>4172</v>
      </c>
      <c r="C11011" s="4" t="n">
        <v>3</v>
      </c>
      <c r="D11011" s="4" t="n">
        <v>12</v>
      </c>
      <c r="E11011" s="4"/>
      <c r="F11011" s="4" t="n">
        <v>3</v>
      </c>
      <c r="G11011" s="4" t="n">
        <v>9</v>
      </c>
      <c r="H11011" s="4" t="n">
        <v>4</v>
      </c>
      <c r="I11011" s="4" t="str">
        <v>×</v>
      </c>
      <c r="J11011" s="4"/>
      <c r="K11011" s="4"/>
      <c r="L11011" s="4"/>
      <c r="M11011" s="5" t="s">
        <v>6501</v>
      </c>
    </row>
    <row r="11012" customFormat="false" ht="15.75" hidden="false" customHeight="false" outlineLevel="0" collapsed="false">
      <c r="A11012" s="6" t="n">
        <v>46194</v>
      </c>
      <c r="B11012" s="4" t="s">
        <v>4172</v>
      </c>
      <c r="C11012" s="4" t="n">
        <v>3</v>
      </c>
      <c r="D11012" s="4" t="n">
        <v>13</v>
      </c>
      <c r="E11012" s="4"/>
      <c r="F11012" s="4" t="n">
        <v>39</v>
      </c>
      <c r="G11012" s="4" t="n">
        <v>3</v>
      </c>
      <c r="H11012" s="4" t="n">
        <v>4</v>
      </c>
      <c r="I11012" s="4" t="str">
        <v>×</v>
      </c>
      <c r="J11012" s="4"/>
      <c r="K11012" s="4"/>
      <c r="L11012" s="4"/>
      <c r="M11012" s="5" t="s">
        <v>6501</v>
      </c>
    </row>
    <row r="11013" customFormat="false" ht="15.75" hidden="false" customHeight="false" outlineLevel="0" collapsed="false">
      <c r="A11013" s="6" t="n">
        <v>46194</v>
      </c>
      <c r="B11013" s="4" t="s">
        <v>4172</v>
      </c>
      <c r="C11013" s="4" t="n">
        <v>3</v>
      </c>
      <c r="D11013" s="4" t="n">
        <v>14</v>
      </c>
      <c r="E11013" s="4"/>
      <c r="F11013" s="4" t="n">
        <v>17</v>
      </c>
      <c r="G11013" s="4" t="n">
        <v>5</v>
      </c>
      <c r="H11013" s="4" t="n">
        <v>4</v>
      </c>
      <c r="I11013" s="4" t="str">
        <v>×</v>
      </c>
      <c r="J11013" s="4"/>
      <c r="K11013" s="4"/>
      <c r="L11013" s="4"/>
      <c r="M11013" s="5" t="s">
        <v>6501</v>
      </c>
    </row>
    <row r="11014" customFormat="false" ht="15.75" hidden="false" customHeight="false" outlineLevel="0" collapsed="false">
      <c r="A11014" s="6" t="n">
        <v>46194</v>
      </c>
      <c r="B11014" s="4" t="s">
        <v>4172</v>
      </c>
      <c r="C11014" s="4" t="n">
        <v>3</v>
      </c>
      <c r="D11014" s="4" t="n">
        <v>15</v>
      </c>
      <c r="E11014" s="4"/>
      <c r="F11014" s="4" t="n">
        <v>10</v>
      </c>
      <c r="G11014" s="4" t="n">
        <v>6</v>
      </c>
      <c r="H11014" s="4" t="n">
        <v>1</v>
      </c>
      <c r="I11014" s="4" t="str">
        <v>○</v>
      </c>
      <c r="J11014" s="4" t="n">
        <v>180</v>
      </c>
      <c r="K11014" s="4"/>
      <c r="L11014" s="4"/>
      <c r="M11014" s="5" t="s">
        <v>6501</v>
      </c>
    </row>
    <row r="11015" customFormat="false" ht="15.75" hidden="false" customHeight="false" outlineLevel="0" collapsed="false">
      <c r="A11015" s="6" t="n">
        <v>46194</v>
      </c>
      <c r="B11015" s="4" t="s">
        <v>4172</v>
      </c>
      <c r="C11015" s="4" t="n">
        <v>3</v>
      </c>
      <c r="D11015" s="4" t="n">
        <v>16</v>
      </c>
      <c r="E11015" s="4"/>
      <c r="F11015" s="4" t="n">
        <v>3</v>
      </c>
      <c r="G11015" s="4" t="n">
        <v>9</v>
      </c>
      <c r="H11015" s="4" t="n">
        <v>4</v>
      </c>
      <c r="I11015" s="4" t="str">
        <v>×</v>
      </c>
      <c r="J11015" s="4"/>
      <c r="K11015" s="4"/>
      <c r="L11015" s="4"/>
      <c r="M11015" s="5" t="s">
        <v>6501</v>
      </c>
    </row>
    <row r="11016" customFormat="false" ht="15.75" hidden="false" customHeight="false" outlineLevel="0" collapsed="false">
      <c r="A11016" s="6" t="n">
        <v>46194</v>
      </c>
      <c r="B11016" s="4" t="s">
        <v>4172</v>
      </c>
      <c r="C11016" s="4" t="n">
        <v>4</v>
      </c>
      <c r="D11016" s="4" t="n">
        <v>1</v>
      </c>
      <c r="E11016" s="4"/>
      <c r="F11016" s="4" t="n">
        <v>17</v>
      </c>
      <c r="G11016" s="4" t="n">
        <v>5</v>
      </c>
      <c r="H11016" s="4" t="n">
        <v>4</v>
      </c>
      <c r="I11016" s="4" t="str">
        <v>×</v>
      </c>
      <c r="J11016" s="4"/>
      <c r="K11016" s="4"/>
      <c r="L11016" s="4"/>
      <c r="M11016" s="5" t="s">
        <v>6501</v>
      </c>
    </row>
    <row r="11017" customFormat="false" ht="15.75" hidden="false" customHeight="false" outlineLevel="0" collapsed="false">
      <c r="A11017" s="6" t="n">
        <v>46194</v>
      </c>
      <c r="B11017" s="4" t="s">
        <v>4172</v>
      </c>
      <c r="C11017" s="4" t="n">
        <v>4</v>
      </c>
      <c r="D11017" s="4" t="n">
        <v>2</v>
      </c>
      <c r="E11017" s="4"/>
      <c r="F11017" s="4" t="n">
        <v>31</v>
      </c>
      <c r="G11017" s="4" t="n">
        <v>3</v>
      </c>
      <c r="H11017" s="4" t="n">
        <v>4</v>
      </c>
      <c r="I11017" s="4" t="str">
        <v>×</v>
      </c>
      <c r="J11017" s="4"/>
      <c r="K11017" s="4"/>
      <c r="L11017" s="4"/>
      <c r="M11017" s="5" t="s">
        <v>6501</v>
      </c>
    </row>
    <row r="11018" customFormat="false" ht="15.75" hidden="false" customHeight="false" outlineLevel="0" collapsed="false">
      <c r="A11018" s="6" t="n">
        <v>46194</v>
      </c>
      <c r="B11018" s="4" t="s">
        <v>4172</v>
      </c>
      <c r="C11018" s="4" t="n">
        <v>4</v>
      </c>
      <c r="D11018" s="4" t="n">
        <v>3</v>
      </c>
      <c r="E11018" s="4"/>
      <c r="F11018" s="4" t="n">
        <v>13</v>
      </c>
      <c r="G11018" s="4" t="n">
        <v>6</v>
      </c>
      <c r="H11018" s="4" t="n">
        <v>4</v>
      </c>
      <c r="I11018" s="4" t="str">
        <v>×</v>
      </c>
      <c r="J11018" s="4"/>
      <c r="K11018" s="4"/>
      <c r="L11018" s="4"/>
      <c r="M11018" s="5" t="s">
        <v>6501</v>
      </c>
    </row>
    <row r="11019" customFormat="false" ht="15.75" hidden="false" customHeight="false" outlineLevel="0" collapsed="false">
      <c r="A11019" s="6" t="n">
        <v>46194</v>
      </c>
      <c r="B11019" s="4" t="s">
        <v>4172</v>
      </c>
      <c r="C11019" s="4" t="n">
        <v>4</v>
      </c>
      <c r="D11019" s="4" t="n">
        <v>4</v>
      </c>
      <c r="E11019" s="4"/>
      <c r="F11019" s="4" t="n">
        <v>29</v>
      </c>
      <c r="G11019" s="4" t="n">
        <v>4</v>
      </c>
      <c r="H11019" s="4" t="n">
        <v>4</v>
      </c>
      <c r="I11019" s="4" t="str">
        <v>×</v>
      </c>
      <c r="J11019" s="4"/>
      <c r="K11019" s="4"/>
      <c r="L11019" s="4"/>
      <c r="M11019" s="5" t="s">
        <v>6501</v>
      </c>
    </row>
    <row r="11020" customFormat="false" ht="15.75" hidden="false" customHeight="false" outlineLevel="0" collapsed="false">
      <c r="A11020" s="6" t="n">
        <v>46194</v>
      </c>
      <c r="B11020" s="4" t="s">
        <v>4172</v>
      </c>
      <c r="C11020" s="4" t="n">
        <v>4</v>
      </c>
      <c r="D11020" s="4" t="n">
        <v>5</v>
      </c>
      <c r="E11020" s="4"/>
      <c r="F11020" s="4" t="n">
        <v>56</v>
      </c>
      <c r="G11020" s="4" t="n">
        <v>1</v>
      </c>
      <c r="H11020" s="4" t="n">
        <v>2</v>
      </c>
      <c r="I11020" s="4" t="str">
        <v>○</v>
      </c>
      <c r="J11020" s="4" t="n">
        <v>130</v>
      </c>
      <c r="K11020" s="4"/>
      <c r="L11020" s="4"/>
      <c r="M11020" s="5" t="s">
        <v>6501</v>
      </c>
    </row>
    <row r="11021" customFormat="false" ht="15.75" hidden="false" customHeight="false" outlineLevel="0" collapsed="false">
      <c r="A11021" s="6" t="n">
        <v>46194</v>
      </c>
      <c r="B11021" s="4" t="s">
        <v>4172</v>
      </c>
      <c r="C11021" s="4" t="n">
        <v>4</v>
      </c>
      <c r="D11021" s="4" t="n">
        <v>6</v>
      </c>
      <c r="E11021" s="4"/>
      <c r="F11021" s="4" t="n">
        <v>39</v>
      </c>
      <c r="G11021" s="4" t="n">
        <v>2</v>
      </c>
      <c r="H11021" s="4" t="n">
        <v>3</v>
      </c>
      <c r="I11021" s="4" t="str">
        <v>○</v>
      </c>
      <c r="J11021" s="4" t="n">
        <v>140</v>
      </c>
      <c r="K11021" s="4"/>
      <c r="L11021" s="4"/>
      <c r="M11021" s="5" t="s">
        <v>6501</v>
      </c>
    </row>
    <row r="11022" customFormat="false" ht="15.75" hidden="false" customHeight="false" outlineLevel="0" collapsed="false">
      <c r="A11022" s="6" t="n">
        <v>46194</v>
      </c>
      <c r="B11022" s="4" t="s">
        <v>4172</v>
      </c>
      <c r="C11022" s="4" t="n">
        <v>4</v>
      </c>
      <c r="D11022" s="4" t="n">
        <v>7</v>
      </c>
      <c r="E11022" s="4"/>
      <c r="F11022" s="4" t="n">
        <v>2</v>
      </c>
      <c r="G11022" s="4" t="n">
        <v>11</v>
      </c>
      <c r="H11022" s="4" t="n">
        <v>4</v>
      </c>
      <c r="I11022" s="4" t="str">
        <v>×</v>
      </c>
      <c r="J11022" s="4"/>
      <c r="K11022" s="4"/>
      <c r="L11022" s="4"/>
      <c r="M11022" s="5" t="s">
        <v>6501</v>
      </c>
    </row>
    <row r="11023" customFormat="false" ht="15.75" hidden="false" customHeight="false" outlineLevel="0" collapsed="false">
      <c r="A11023" s="6" t="n">
        <v>46194</v>
      </c>
      <c r="B11023" s="4" t="s">
        <v>4172</v>
      </c>
      <c r="C11023" s="4" t="n">
        <v>4</v>
      </c>
      <c r="D11023" s="4" t="n">
        <v>8</v>
      </c>
      <c r="E11023" s="4"/>
      <c r="F11023" s="4" t="n">
        <v>17</v>
      </c>
      <c r="G11023" s="4" t="n">
        <v>5</v>
      </c>
      <c r="H11023" s="4" t="n">
        <v>4</v>
      </c>
      <c r="I11023" s="4" t="str">
        <v>×</v>
      </c>
      <c r="J11023" s="4"/>
      <c r="K11023" s="4"/>
      <c r="L11023" s="4"/>
      <c r="M11023" s="5" t="s">
        <v>6501</v>
      </c>
    </row>
    <row r="11024" customFormat="false" ht="15.75" hidden="false" customHeight="false" outlineLevel="0" collapsed="false">
      <c r="A11024" s="6" t="n">
        <v>46194</v>
      </c>
      <c r="B11024" s="4" t="s">
        <v>4172</v>
      </c>
      <c r="C11024" s="4" t="n">
        <v>4</v>
      </c>
      <c r="D11024" s="4" t="n">
        <v>9</v>
      </c>
      <c r="E11024" s="4"/>
      <c r="F11024" s="4" t="n">
        <v>3</v>
      </c>
      <c r="G11024" s="4" t="n">
        <v>10</v>
      </c>
      <c r="H11024" s="4" t="n">
        <v>4</v>
      </c>
      <c r="I11024" s="4" t="str">
        <v>×</v>
      </c>
      <c r="J11024" s="4"/>
      <c r="K11024" s="4"/>
      <c r="L11024" s="4"/>
      <c r="M11024" s="5" t="s">
        <v>6501</v>
      </c>
    </row>
    <row r="11025" customFormat="false" ht="15.75" hidden="false" customHeight="false" outlineLevel="0" collapsed="false">
      <c r="A11025" s="6" t="n">
        <v>46194</v>
      </c>
      <c r="B11025" s="4" t="s">
        <v>4172</v>
      </c>
      <c r="C11025" s="4" t="n">
        <v>4</v>
      </c>
      <c r="D11025" s="4" t="n">
        <v>10</v>
      </c>
      <c r="E11025" s="4"/>
      <c r="F11025" s="4" t="n">
        <v>4</v>
      </c>
      <c r="G11025" s="4" t="n">
        <v>9</v>
      </c>
      <c r="H11025" s="4" t="n">
        <v>4</v>
      </c>
      <c r="I11025" s="4" t="str">
        <v>×</v>
      </c>
      <c r="J11025" s="4"/>
      <c r="K11025" s="4"/>
      <c r="L11025" s="4"/>
      <c r="M11025" s="5" t="s">
        <v>6501</v>
      </c>
    </row>
    <row r="11026" customFormat="false" ht="15.75" hidden="false" customHeight="false" outlineLevel="0" collapsed="false">
      <c r="A11026" s="6" t="n">
        <v>46194</v>
      </c>
      <c r="B11026" s="4" t="s">
        <v>4172</v>
      </c>
      <c r="C11026" s="4" t="n">
        <v>4</v>
      </c>
      <c r="D11026" s="4" t="n">
        <v>11</v>
      </c>
      <c r="E11026" s="4"/>
      <c r="F11026" s="4" t="n">
        <v>4</v>
      </c>
      <c r="G11026" s="4" t="n">
        <v>9</v>
      </c>
      <c r="H11026" s="4" t="n">
        <v>4</v>
      </c>
      <c r="I11026" s="4" t="str">
        <v>×</v>
      </c>
      <c r="J11026" s="4"/>
      <c r="K11026" s="4"/>
      <c r="L11026" s="4"/>
      <c r="M11026" s="5" t="s">
        <v>6501</v>
      </c>
    </row>
    <row r="11027" customFormat="false" ht="15.75" hidden="false" customHeight="false" outlineLevel="0" collapsed="false">
      <c r="A11027" s="6" t="n">
        <v>46194</v>
      </c>
      <c r="B11027" s="4" t="s">
        <v>4172</v>
      </c>
      <c r="C11027" s="4" t="n">
        <v>4</v>
      </c>
      <c r="D11027" s="4" t="n">
        <v>12</v>
      </c>
      <c r="E11027" s="4"/>
      <c r="F11027" s="4" t="n">
        <v>10</v>
      </c>
      <c r="G11027" s="4" t="n">
        <v>7</v>
      </c>
      <c r="H11027" s="4" t="n">
        <v>4</v>
      </c>
      <c r="I11027" s="4" t="str">
        <v>×</v>
      </c>
      <c r="J11027" s="4"/>
      <c r="K11027" s="4"/>
      <c r="L11027" s="4"/>
      <c r="M11027" s="5" t="s">
        <v>6501</v>
      </c>
    </row>
    <row r="11028" customFormat="false" ht="15.75" hidden="false" customHeight="false" outlineLevel="0" collapsed="false">
      <c r="A11028" s="6" t="n">
        <v>46194</v>
      </c>
      <c r="B11028" s="4" t="s">
        <v>4172</v>
      </c>
      <c r="C11028" s="4" t="n">
        <v>4</v>
      </c>
      <c r="D11028" s="4" t="n">
        <v>13</v>
      </c>
      <c r="E11028" s="4"/>
      <c r="F11028" s="4" t="n">
        <v>6</v>
      </c>
      <c r="G11028" s="4" t="n">
        <v>8</v>
      </c>
      <c r="H11028" s="4" t="n">
        <v>4</v>
      </c>
      <c r="I11028" s="4" t="str">
        <v>×</v>
      </c>
      <c r="J11028" s="4"/>
      <c r="K11028" s="4"/>
      <c r="L11028" s="4"/>
      <c r="M11028" s="5" t="s">
        <v>6501</v>
      </c>
    </row>
    <row r="11029" customFormat="false" ht="15.75" hidden="false" customHeight="false" outlineLevel="0" collapsed="false">
      <c r="A11029" s="6" t="n">
        <v>46194</v>
      </c>
      <c r="B11029" s="4" t="s">
        <v>4172</v>
      </c>
      <c r="C11029" s="4" t="n">
        <v>4</v>
      </c>
      <c r="D11029" s="4" t="n">
        <v>14</v>
      </c>
      <c r="E11029" s="4"/>
      <c r="F11029" s="4" t="n">
        <v>2</v>
      </c>
      <c r="G11029" s="4" t="n">
        <v>11</v>
      </c>
      <c r="H11029" s="4" t="n">
        <v>4</v>
      </c>
      <c r="I11029" s="4" t="str">
        <v>×</v>
      </c>
      <c r="J11029" s="4"/>
      <c r="K11029" s="4"/>
      <c r="L11029" s="4"/>
      <c r="M11029" s="5" t="s">
        <v>6501</v>
      </c>
    </row>
    <row r="11030" customFormat="false" ht="15.75" hidden="false" customHeight="false" outlineLevel="0" collapsed="false">
      <c r="A11030" s="6" t="n">
        <v>46194</v>
      </c>
      <c r="B11030" s="4" t="s">
        <v>4172</v>
      </c>
      <c r="C11030" s="4" t="n">
        <v>4</v>
      </c>
      <c r="D11030" s="4" t="n">
        <v>15</v>
      </c>
      <c r="E11030" s="4"/>
      <c r="F11030" s="4" t="n">
        <v>13</v>
      </c>
      <c r="G11030" s="4" t="n">
        <v>6</v>
      </c>
      <c r="H11030" s="4" t="n">
        <v>1</v>
      </c>
      <c r="I11030" s="4" t="str">
        <v>○</v>
      </c>
      <c r="J11030" s="4" t="n">
        <v>330</v>
      </c>
      <c r="K11030" s="4"/>
      <c r="L11030" s="4"/>
      <c r="M11030" s="5" t="s">
        <v>6501</v>
      </c>
    </row>
    <row r="11031" customFormat="false" ht="15.75" hidden="false" customHeight="false" outlineLevel="0" collapsed="false">
      <c r="A11031" s="6" t="n">
        <v>46194</v>
      </c>
      <c r="B11031" s="4" t="s">
        <v>4172</v>
      </c>
      <c r="C11031" s="4" t="n">
        <v>4</v>
      </c>
      <c r="D11031" s="4" t="n">
        <v>16</v>
      </c>
      <c r="E11031" s="4"/>
      <c r="F11031" s="4" t="n">
        <v>3</v>
      </c>
      <c r="G11031" s="4" t="n">
        <v>10</v>
      </c>
      <c r="H11031" s="4" t="n">
        <v>4</v>
      </c>
      <c r="I11031" s="4" t="str">
        <v>×</v>
      </c>
      <c r="J11031" s="4"/>
      <c r="K11031" s="4"/>
      <c r="L11031" s="4"/>
      <c r="M11031" s="5" t="s">
        <v>6501</v>
      </c>
    </row>
    <row r="11032" customFormat="false" ht="15.75" hidden="false" customHeight="false" outlineLevel="0" collapsed="false">
      <c r="A11032" s="6" t="n">
        <v>46194</v>
      </c>
      <c r="B11032" s="4" t="s">
        <v>4172</v>
      </c>
      <c r="C11032" s="4" t="n">
        <v>4</v>
      </c>
      <c r="D11032" s="4" t="n">
        <v>17</v>
      </c>
      <c r="E11032" s="4"/>
      <c r="F11032" s="4" t="n">
        <v>6</v>
      </c>
      <c r="G11032" s="4" t="n">
        <v>8</v>
      </c>
      <c r="H11032" s="4" t="n">
        <v>4</v>
      </c>
      <c r="I11032" s="4" t="str">
        <v>×</v>
      </c>
      <c r="J11032" s="4"/>
      <c r="K11032" s="4"/>
      <c r="L11032" s="4"/>
      <c r="M11032" s="5" t="s">
        <v>6501</v>
      </c>
    </row>
    <row r="11033" customFormat="false" ht="15.75" hidden="false" customHeight="false" outlineLevel="0" collapsed="false">
      <c r="A11033" s="6" t="n">
        <v>46194</v>
      </c>
      <c r="B11033" s="4" t="s">
        <v>4172</v>
      </c>
      <c r="C11033" s="4" t="n">
        <v>4</v>
      </c>
      <c r="D11033" s="4" t="n">
        <v>18</v>
      </c>
      <c r="E11033" s="4"/>
      <c r="F11033" s="4" t="n">
        <v>3</v>
      </c>
      <c r="G11033" s="4" t="n">
        <v>10</v>
      </c>
      <c r="H11033" s="4" t="n">
        <v>4</v>
      </c>
      <c r="I11033" s="4" t="str">
        <v>×</v>
      </c>
      <c r="J11033" s="4"/>
      <c r="K11033" s="4"/>
      <c r="L11033" s="4"/>
      <c r="M11033" s="5" t="s">
        <v>6501</v>
      </c>
    </row>
    <row r="11034" customFormat="false" ht="15.75" hidden="false" customHeight="false" outlineLevel="0" collapsed="false">
      <c r="A11034" s="6" t="n">
        <v>46194</v>
      </c>
      <c r="B11034" s="4" t="s">
        <v>4172</v>
      </c>
      <c r="C11034" s="4" t="n">
        <v>5</v>
      </c>
      <c r="D11034" s="4" t="n">
        <v>1</v>
      </c>
      <c r="E11034" s="4"/>
      <c r="F11034" s="4" t="n">
        <v>27</v>
      </c>
      <c r="G11034" s="4" t="n">
        <v>2</v>
      </c>
      <c r="H11034" s="4" t="n">
        <v>4</v>
      </c>
      <c r="I11034" s="4" t="str">
        <v>×</v>
      </c>
      <c r="J11034" s="4"/>
      <c r="K11034" s="4"/>
      <c r="L11034" s="4"/>
      <c r="M11034" s="5" t="s">
        <v>6501</v>
      </c>
    </row>
    <row r="11035" customFormat="false" ht="15.75" hidden="false" customHeight="false" outlineLevel="0" collapsed="false">
      <c r="A11035" s="6" t="n">
        <v>46194</v>
      </c>
      <c r="B11035" s="4" t="s">
        <v>4172</v>
      </c>
      <c r="C11035" s="4" t="n">
        <v>5</v>
      </c>
      <c r="D11035" s="4" t="n">
        <v>2</v>
      </c>
      <c r="E11035" s="4"/>
      <c r="F11035" s="4" t="n">
        <v>37</v>
      </c>
      <c r="G11035" s="4" t="n">
        <v>1</v>
      </c>
      <c r="H11035" s="4" t="n">
        <v>3</v>
      </c>
      <c r="I11035" s="4" t="str">
        <v>○</v>
      </c>
      <c r="J11035" s="4" t="n">
        <v>170</v>
      </c>
      <c r="K11035" s="4"/>
      <c r="L11035" s="4"/>
      <c r="M11035" s="5" t="s">
        <v>6501</v>
      </c>
    </row>
    <row r="11036" customFormat="false" ht="15.75" hidden="false" customHeight="false" outlineLevel="0" collapsed="false">
      <c r="A11036" s="6" t="n">
        <v>46194</v>
      </c>
      <c r="B11036" s="4" t="s">
        <v>4172</v>
      </c>
      <c r="C11036" s="4" t="n">
        <v>5</v>
      </c>
      <c r="D11036" s="4" t="n">
        <v>3</v>
      </c>
      <c r="E11036" s="4"/>
      <c r="F11036" s="4" t="n">
        <v>24</v>
      </c>
      <c r="G11036" s="4" t="n">
        <v>3</v>
      </c>
      <c r="H11036" s="4" t="n">
        <v>4</v>
      </c>
      <c r="I11036" s="4" t="str">
        <v>×</v>
      </c>
      <c r="J11036" s="4"/>
      <c r="K11036" s="4"/>
      <c r="L11036" s="4"/>
      <c r="M11036" s="5" t="s">
        <v>6501</v>
      </c>
    </row>
    <row r="11037" customFormat="false" ht="15.75" hidden="false" customHeight="false" outlineLevel="0" collapsed="false">
      <c r="A11037" s="6" t="n">
        <v>46194</v>
      </c>
      <c r="B11037" s="4" t="s">
        <v>4172</v>
      </c>
      <c r="C11037" s="4" t="n">
        <v>5</v>
      </c>
      <c r="D11037" s="4" t="n">
        <v>4</v>
      </c>
      <c r="E11037" s="4"/>
      <c r="F11037" s="4" t="n">
        <v>24</v>
      </c>
      <c r="G11037" s="4" t="n">
        <v>3</v>
      </c>
      <c r="H11037" s="4" t="n">
        <v>4</v>
      </c>
      <c r="I11037" s="4" t="str">
        <v>×</v>
      </c>
      <c r="J11037" s="4"/>
      <c r="K11037" s="4"/>
      <c r="L11037" s="4"/>
      <c r="M11037" s="5" t="s">
        <v>6501</v>
      </c>
    </row>
    <row r="11038" customFormat="false" ht="15.75" hidden="false" customHeight="false" outlineLevel="0" collapsed="false">
      <c r="A11038" s="6" t="n">
        <v>46194</v>
      </c>
      <c r="B11038" s="4" t="s">
        <v>4172</v>
      </c>
      <c r="C11038" s="4" t="n">
        <v>5</v>
      </c>
      <c r="D11038" s="4" t="n">
        <v>5</v>
      </c>
      <c r="E11038" s="4"/>
      <c r="F11038" s="4" t="n">
        <v>24</v>
      </c>
      <c r="G11038" s="4" t="n">
        <v>3</v>
      </c>
      <c r="H11038" s="4" t="n">
        <v>1</v>
      </c>
      <c r="I11038" s="4" t="str">
        <v>○</v>
      </c>
      <c r="J11038" s="4" t="n">
        <v>130</v>
      </c>
      <c r="K11038" s="4"/>
      <c r="L11038" s="4"/>
      <c r="M11038" s="5" t="s">
        <v>6501</v>
      </c>
    </row>
    <row r="11039" customFormat="false" ht="15.75" hidden="false" customHeight="false" outlineLevel="0" collapsed="false">
      <c r="A11039" s="6" t="n">
        <v>46194</v>
      </c>
      <c r="B11039" s="4" t="s">
        <v>4172</v>
      </c>
      <c r="C11039" s="4" t="n">
        <v>5</v>
      </c>
      <c r="D11039" s="4" t="n">
        <v>6</v>
      </c>
      <c r="E11039" s="4"/>
      <c r="F11039" s="4" t="n">
        <v>24</v>
      </c>
      <c r="G11039" s="4" t="n">
        <v>3</v>
      </c>
      <c r="H11039" s="4" t="n">
        <v>2</v>
      </c>
      <c r="I11039" s="4" t="str">
        <v>○</v>
      </c>
      <c r="J11039" s="4" t="n">
        <v>300</v>
      </c>
      <c r="K11039" s="4"/>
      <c r="L11039" s="4"/>
      <c r="M11039" s="5" t="s">
        <v>6501</v>
      </c>
    </row>
    <row r="11040" customFormat="false" ht="15.75" hidden="false" customHeight="false" outlineLevel="0" collapsed="false">
      <c r="A11040" s="6" t="n">
        <v>46194</v>
      </c>
      <c r="B11040" s="4" t="s">
        <v>4172</v>
      </c>
      <c r="C11040" s="4" t="n">
        <v>5</v>
      </c>
      <c r="D11040" s="4" t="n">
        <v>7</v>
      </c>
      <c r="E11040" s="4"/>
      <c r="F11040" s="4" t="n">
        <v>21</v>
      </c>
      <c r="G11040" s="4" t="n">
        <v>4</v>
      </c>
      <c r="H11040" s="4" t="n">
        <v>4</v>
      </c>
      <c r="I11040" s="4" t="str">
        <v>×</v>
      </c>
      <c r="J11040" s="4"/>
      <c r="K11040" s="4"/>
      <c r="L11040" s="4"/>
      <c r="M11040" s="5" t="s">
        <v>6501</v>
      </c>
    </row>
    <row r="11041" customFormat="false" ht="15.75" hidden="false" customHeight="false" outlineLevel="0" collapsed="false">
      <c r="A11041" s="6" t="n">
        <v>46194</v>
      </c>
      <c r="B11041" s="4" t="s">
        <v>4172</v>
      </c>
      <c r="C11041" s="4" t="n">
        <v>5</v>
      </c>
      <c r="D11041" s="4" t="n">
        <v>8</v>
      </c>
      <c r="E11041" s="4"/>
      <c r="F11041" s="4" t="n">
        <v>27</v>
      </c>
      <c r="G11041" s="4" t="n">
        <v>2</v>
      </c>
      <c r="H11041" s="4" t="n">
        <v>4</v>
      </c>
      <c r="I11041" s="4" t="str">
        <v>×</v>
      </c>
      <c r="J11041" s="4"/>
      <c r="K11041" s="4"/>
      <c r="L11041" s="4"/>
      <c r="M11041" s="5" t="s">
        <v>6501</v>
      </c>
    </row>
    <row r="11042" customFormat="false" ht="15.75" hidden="false" customHeight="false" outlineLevel="0" collapsed="false">
      <c r="A11042" s="6" t="n">
        <v>46194</v>
      </c>
      <c r="B11042" s="4" t="s">
        <v>4172</v>
      </c>
      <c r="C11042" s="4" t="n">
        <v>5</v>
      </c>
      <c r="D11042" s="4" t="n">
        <v>9</v>
      </c>
      <c r="E11042" s="4"/>
      <c r="F11042" s="4" t="n">
        <v>21</v>
      </c>
      <c r="G11042" s="4" t="n">
        <v>4</v>
      </c>
      <c r="H11042" s="4" t="n">
        <v>4</v>
      </c>
      <c r="I11042" s="4" t="str">
        <v>×</v>
      </c>
      <c r="J11042" s="4"/>
      <c r="K11042" s="4"/>
      <c r="L11042" s="4"/>
      <c r="M11042" s="5" t="s">
        <v>6501</v>
      </c>
    </row>
    <row r="11043" customFormat="false" ht="15.75" hidden="false" customHeight="false" outlineLevel="0" collapsed="false">
      <c r="A11043" s="6" t="n">
        <v>46194</v>
      </c>
      <c r="B11043" s="4" t="s">
        <v>4172</v>
      </c>
      <c r="C11043" s="4" t="n">
        <v>6</v>
      </c>
      <c r="D11043" s="4" t="n">
        <v>1</v>
      </c>
      <c r="E11043" s="4"/>
      <c r="F11043" s="4" t="n">
        <v>37</v>
      </c>
      <c r="G11043" s="4" t="n">
        <v>4</v>
      </c>
      <c r="H11043" s="4" t="n">
        <v>4</v>
      </c>
      <c r="I11043" s="4" t="str">
        <v>×</v>
      </c>
      <c r="J11043" s="4"/>
      <c r="K11043" s="4"/>
      <c r="L11043" s="4"/>
      <c r="M11043" s="5" t="s">
        <v>6501</v>
      </c>
    </row>
    <row r="11044" customFormat="false" ht="15.75" hidden="false" customHeight="false" outlineLevel="0" collapsed="false">
      <c r="A11044" s="6" t="n">
        <v>46194</v>
      </c>
      <c r="B11044" s="4" t="s">
        <v>4172</v>
      </c>
      <c r="C11044" s="4" t="n">
        <v>6</v>
      </c>
      <c r="D11044" s="4" t="n">
        <v>2</v>
      </c>
      <c r="E11044" s="4"/>
      <c r="F11044" s="4" t="n">
        <v>56</v>
      </c>
      <c r="G11044" s="4" t="n">
        <v>1</v>
      </c>
      <c r="H11044" s="4" t="n">
        <v>3</v>
      </c>
      <c r="I11044" s="4" t="str">
        <v>○</v>
      </c>
      <c r="J11044" s="4" t="n">
        <v>140</v>
      </c>
      <c r="K11044" s="4"/>
      <c r="L11044" s="4"/>
      <c r="M11044" s="5" t="s">
        <v>6501</v>
      </c>
    </row>
    <row r="11045" customFormat="false" ht="15.75" hidden="false" customHeight="false" outlineLevel="0" collapsed="false">
      <c r="A11045" s="6" t="n">
        <v>46194</v>
      </c>
      <c r="B11045" s="4" t="s">
        <v>4172</v>
      </c>
      <c r="C11045" s="4" t="n">
        <v>6</v>
      </c>
      <c r="D11045" s="4" t="n">
        <v>3</v>
      </c>
      <c r="E11045" s="4"/>
      <c r="F11045" s="4" t="n">
        <v>13</v>
      </c>
      <c r="G11045" s="4" t="n">
        <v>5</v>
      </c>
      <c r="H11045" s="4" t="n">
        <v>4</v>
      </c>
      <c r="I11045" s="4" t="str">
        <v>×</v>
      </c>
      <c r="J11045" s="4"/>
      <c r="K11045" s="4"/>
      <c r="L11045" s="4"/>
      <c r="M11045" s="5" t="s">
        <v>6501</v>
      </c>
    </row>
    <row r="11046" customFormat="false" ht="15.75" hidden="false" customHeight="false" outlineLevel="0" collapsed="false">
      <c r="A11046" s="6" t="n">
        <v>46194</v>
      </c>
      <c r="B11046" s="4" t="s">
        <v>4172</v>
      </c>
      <c r="C11046" s="4" t="n">
        <v>6</v>
      </c>
      <c r="D11046" s="4" t="n">
        <v>4</v>
      </c>
      <c r="E11046" s="4"/>
      <c r="F11046" s="4" t="n">
        <v>10</v>
      </c>
      <c r="G11046" s="4" t="n">
        <v>6</v>
      </c>
      <c r="H11046" s="4" t="n">
        <v>4</v>
      </c>
      <c r="I11046" s="4" t="str">
        <v>×</v>
      </c>
      <c r="J11046" s="4"/>
      <c r="K11046" s="4"/>
      <c r="L11046" s="4"/>
      <c r="M11046" s="5" t="s">
        <v>6501</v>
      </c>
    </row>
    <row r="11047" customFormat="false" ht="15.75" hidden="false" customHeight="false" outlineLevel="0" collapsed="false">
      <c r="A11047" s="6" t="n">
        <v>46194</v>
      </c>
      <c r="B11047" s="4" t="s">
        <v>4172</v>
      </c>
      <c r="C11047" s="4" t="n">
        <v>6</v>
      </c>
      <c r="D11047" s="4" t="n">
        <v>5</v>
      </c>
      <c r="E11047" s="4"/>
      <c r="F11047" s="4" t="n">
        <v>10</v>
      </c>
      <c r="G11047" s="4" t="n">
        <v>6</v>
      </c>
      <c r="H11047" s="4" t="n">
        <v>4</v>
      </c>
      <c r="I11047" s="4" t="str">
        <v>×</v>
      </c>
      <c r="J11047" s="4"/>
      <c r="K11047" s="4"/>
      <c r="L11047" s="4"/>
      <c r="M11047" s="5" t="s">
        <v>6501</v>
      </c>
    </row>
    <row r="11048" customFormat="false" ht="15.75" hidden="false" customHeight="false" outlineLevel="0" collapsed="false">
      <c r="A11048" s="6" t="n">
        <v>46194</v>
      </c>
      <c r="B11048" s="4" t="s">
        <v>4172</v>
      </c>
      <c r="C11048" s="4" t="n">
        <v>6</v>
      </c>
      <c r="D11048" s="4" t="n">
        <v>6</v>
      </c>
      <c r="E11048" s="4"/>
      <c r="F11048" s="4" t="n">
        <v>4</v>
      </c>
      <c r="G11048" s="4" t="n">
        <v>8</v>
      </c>
      <c r="H11048" s="4" t="n">
        <v>4</v>
      </c>
      <c r="I11048" s="4" t="str">
        <v>×</v>
      </c>
      <c r="J11048" s="4"/>
      <c r="K11048" s="4"/>
      <c r="L11048" s="4"/>
      <c r="M11048" s="5" t="s">
        <v>6501</v>
      </c>
    </row>
    <row r="11049" customFormat="false" ht="15.75" hidden="false" customHeight="false" outlineLevel="0" collapsed="false">
      <c r="A11049" s="6" t="n">
        <v>46194</v>
      </c>
      <c r="B11049" s="4" t="s">
        <v>4172</v>
      </c>
      <c r="C11049" s="4" t="n">
        <v>6</v>
      </c>
      <c r="D11049" s="4" t="n">
        <v>7</v>
      </c>
      <c r="E11049" s="4"/>
      <c r="F11049" s="4" t="n">
        <v>4</v>
      </c>
      <c r="G11049" s="4" t="n">
        <v>8</v>
      </c>
      <c r="H11049" s="4" t="n">
        <v>4</v>
      </c>
      <c r="I11049" s="4" t="str">
        <v>×</v>
      </c>
      <c r="J11049" s="4"/>
      <c r="K11049" s="4"/>
      <c r="L11049" s="4"/>
      <c r="M11049" s="5" t="s">
        <v>6501</v>
      </c>
    </row>
    <row r="11050" customFormat="false" ht="15.75" hidden="false" customHeight="false" outlineLevel="0" collapsed="false">
      <c r="A11050" s="6" t="n">
        <v>46194</v>
      </c>
      <c r="B11050" s="4" t="s">
        <v>4172</v>
      </c>
      <c r="C11050" s="4" t="n">
        <v>6</v>
      </c>
      <c r="D11050" s="4" t="n">
        <v>8</v>
      </c>
      <c r="E11050" s="4"/>
      <c r="F11050" s="4" t="n">
        <v>13</v>
      </c>
      <c r="G11050" s="4" t="n">
        <v>5</v>
      </c>
      <c r="H11050" s="4" t="n">
        <v>4</v>
      </c>
      <c r="I11050" s="4" t="str">
        <v>×</v>
      </c>
      <c r="J11050" s="4"/>
      <c r="K11050" s="4"/>
      <c r="L11050" s="4"/>
      <c r="M11050" s="5" t="s">
        <v>6501</v>
      </c>
    </row>
    <row r="11051" customFormat="false" ht="15.75" hidden="false" customHeight="false" outlineLevel="0" collapsed="false">
      <c r="A11051" s="6" t="n">
        <v>46194</v>
      </c>
      <c r="B11051" s="4" t="s">
        <v>4172</v>
      </c>
      <c r="C11051" s="4" t="n">
        <v>6</v>
      </c>
      <c r="D11051" s="4" t="n">
        <v>9</v>
      </c>
      <c r="E11051" s="4"/>
      <c r="F11051" s="4" t="n">
        <v>50</v>
      </c>
      <c r="G11051" s="4" t="n">
        <v>2</v>
      </c>
      <c r="H11051" s="4" t="n">
        <v>1</v>
      </c>
      <c r="I11051" s="4" t="str">
        <v>○</v>
      </c>
      <c r="J11051" s="4" t="n">
        <v>130</v>
      </c>
      <c r="K11051" s="4"/>
      <c r="L11051" s="4"/>
      <c r="M11051" s="5" t="s">
        <v>6501</v>
      </c>
    </row>
    <row r="11052" customFormat="false" ht="15.75" hidden="false" customHeight="false" outlineLevel="0" collapsed="false">
      <c r="A11052" s="6" t="n">
        <v>46194</v>
      </c>
      <c r="B11052" s="4" t="s">
        <v>4172</v>
      </c>
      <c r="C11052" s="4" t="n">
        <v>6</v>
      </c>
      <c r="D11052" s="4" t="n">
        <v>10</v>
      </c>
      <c r="E11052" s="4"/>
      <c r="F11052" s="4" t="n">
        <v>4</v>
      </c>
      <c r="G11052" s="4" t="n">
        <v>8</v>
      </c>
      <c r="H11052" s="4" t="n">
        <v>4</v>
      </c>
      <c r="I11052" s="4" t="str">
        <v>×</v>
      </c>
      <c r="J11052" s="4"/>
      <c r="K11052" s="4"/>
      <c r="L11052" s="4"/>
      <c r="M11052" s="5" t="s">
        <v>6501</v>
      </c>
    </row>
    <row r="11053" customFormat="false" ht="15.75" hidden="false" customHeight="false" outlineLevel="0" collapsed="false">
      <c r="A11053" s="6" t="n">
        <v>46194</v>
      </c>
      <c r="B11053" s="4" t="s">
        <v>4172</v>
      </c>
      <c r="C11053" s="4" t="n">
        <v>6</v>
      </c>
      <c r="D11053" s="4" t="n">
        <v>11</v>
      </c>
      <c r="E11053" s="4"/>
      <c r="F11053" s="4" t="n">
        <v>2</v>
      </c>
      <c r="G11053" s="4" t="n">
        <v>9</v>
      </c>
      <c r="H11053" s="4" t="n">
        <v>4</v>
      </c>
      <c r="I11053" s="4" t="str">
        <v>×</v>
      </c>
      <c r="J11053" s="4"/>
      <c r="K11053" s="4"/>
      <c r="L11053" s="4"/>
      <c r="M11053" s="5" t="s">
        <v>6501</v>
      </c>
    </row>
    <row r="11054" customFormat="false" ht="15.75" hidden="false" customHeight="false" outlineLevel="0" collapsed="false">
      <c r="A11054" s="6" t="n">
        <v>46194</v>
      </c>
      <c r="B11054" s="4" t="s">
        <v>4172</v>
      </c>
      <c r="C11054" s="4" t="n">
        <v>6</v>
      </c>
      <c r="D11054" s="4" t="n">
        <v>12</v>
      </c>
      <c r="E11054" s="4"/>
      <c r="F11054" s="4" t="n">
        <v>4</v>
      </c>
      <c r="G11054" s="4" t="n">
        <v>8</v>
      </c>
      <c r="H11054" s="4" t="n">
        <v>4</v>
      </c>
      <c r="I11054" s="4" t="str">
        <v>×</v>
      </c>
      <c r="J11054" s="4"/>
      <c r="K11054" s="4"/>
      <c r="L11054" s="4"/>
      <c r="M11054" s="5" t="s">
        <v>6501</v>
      </c>
    </row>
    <row r="11055" customFormat="false" ht="15.75" hidden="false" customHeight="false" outlineLevel="0" collapsed="false">
      <c r="A11055" s="6" t="n">
        <v>46194</v>
      </c>
      <c r="B11055" s="4" t="s">
        <v>4172</v>
      </c>
      <c r="C11055" s="4" t="n">
        <v>6</v>
      </c>
      <c r="D11055" s="4" t="n">
        <v>13</v>
      </c>
      <c r="E11055" s="4"/>
      <c r="F11055" s="4" t="n">
        <v>4</v>
      </c>
      <c r="G11055" s="4" t="n">
        <v>8</v>
      </c>
      <c r="H11055" s="4" t="n">
        <v>4</v>
      </c>
      <c r="I11055" s="4" t="str">
        <v>×</v>
      </c>
      <c r="J11055" s="4"/>
      <c r="K11055" s="4"/>
      <c r="L11055" s="4"/>
      <c r="M11055" s="5" t="s">
        <v>6501</v>
      </c>
    </row>
    <row r="11056" customFormat="false" ht="15.75" hidden="false" customHeight="false" outlineLevel="0" collapsed="false">
      <c r="A11056" s="6" t="n">
        <v>46194</v>
      </c>
      <c r="B11056" s="4" t="s">
        <v>4172</v>
      </c>
      <c r="C11056" s="4" t="n">
        <v>6</v>
      </c>
      <c r="D11056" s="4" t="n">
        <v>14</v>
      </c>
      <c r="E11056" s="4"/>
      <c r="F11056" s="4" t="n">
        <v>10</v>
      </c>
      <c r="G11056" s="4" t="n">
        <v>6</v>
      </c>
      <c r="H11056" s="4" t="n">
        <v>4</v>
      </c>
      <c r="I11056" s="4" t="str">
        <v>×</v>
      </c>
      <c r="J11056" s="4"/>
      <c r="K11056" s="4"/>
      <c r="L11056" s="4"/>
      <c r="M11056" s="5" t="s">
        <v>6501</v>
      </c>
    </row>
    <row r="11057" customFormat="false" ht="15.75" hidden="false" customHeight="false" outlineLevel="0" collapsed="false">
      <c r="A11057" s="6" t="n">
        <v>46194</v>
      </c>
      <c r="B11057" s="4" t="s">
        <v>4172</v>
      </c>
      <c r="C11057" s="4" t="n">
        <v>6</v>
      </c>
      <c r="D11057" s="4" t="n">
        <v>15</v>
      </c>
      <c r="E11057" s="4"/>
      <c r="F11057" s="4" t="n">
        <v>6</v>
      </c>
      <c r="G11057" s="4" t="n">
        <v>7</v>
      </c>
      <c r="H11057" s="4" t="n">
        <v>4</v>
      </c>
      <c r="I11057" s="4" t="str">
        <v>×</v>
      </c>
      <c r="J11057" s="4"/>
      <c r="K11057" s="4"/>
      <c r="L11057" s="4"/>
      <c r="M11057" s="5" t="s">
        <v>6501</v>
      </c>
    </row>
    <row r="11058" customFormat="false" ht="15.75" hidden="false" customHeight="false" outlineLevel="0" collapsed="false">
      <c r="A11058" s="6" t="n">
        <v>46194</v>
      </c>
      <c r="B11058" s="4" t="s">
        <v>4172</v>
      </c>
      <c r="C11058" s="4" t="n">
        <v>6</v>
      </c>
      <c r="D11058" s="4" t="n">
        <v>16</v>
      </c>
      <c r="E11058" s="4"/>
      <c r="F11058" s="4" t="n">
        <v>41</v>
      </c>
      <c r="G11058" s="4" t="n">
        <v>3</v>
      </c>
      <c r="H11058" s="4" t="n">
        <v>2</v>
      </c>
      <c r="I11058" s="4" t="str">
        <v>○</v>
      </c>
      <c r="J11058" s="4" t="n">
        <v>130</v>
      </c>
      <c r="K11058" s="4"/>
      <c r="L11058" s="4"/>
      <c r="M11058" s="5" t="s">
        <v>6501</v>
      </c>
    </row>
    <row r="11059" customFormat="false" ht="15.75" hidden="false" customHeight="false" outlineLevel="0" collapsed="false">
      <c r="A11059" s="6" t="n">
        <v>46194</v>
      </c>
      <c r="B11059" s="4" t="s">
        <v>4172</v>
      </c>
      <c r="C11059" s="4" t="n">
        <v>6</v>
      </c>
      <c r="D11059" s="4" t="n">
        <v>17</v>
      </c>
      <c r="E11059" s="4"/>
      <c r="F11059" s="4" t="n">
        <v>10</v>
      </c>
      <c r="G11059" s="4" t="n">
        <v>6</v>
      </c>
      <c r="H11059" s="4" t="n">
        <v>4</v>
      </c>
      <c r="I11059" s="4" t="str">
        <v>×</v>
      </c>
      <c r="J11059" s="4"/>
      <c r="K11059" s="4"/>
      <c r="L11059" s="4"/>
      <c r="M11059" s="5" t="s">
        <v>6501</v>
      </c>
    </row>
    <row r="11060" customFormat="false" ht="15.75" hidden="false" customHeight="false" outlineLevel="0" collapsed="false">
      <c r="A11060" s="6" t="n">
        <v>46194</v>
      </c>
      <c r="B11060" s="4" t="s">
        <v>4172</v>
      </c>
      <c r="C11060" s="4" t="n">
        <v>6</v>
      </c>
      <c r="D11060" s="4" t="n">
        <v>18</v>
      </c>
      <c r="E11060" s="4"/>
      <c r="F11060" s="4" t="n">
        <v>4</v>
      </c>
      <c r="G11060" s="4" t="n">
        <v>8</v>
      </c>
      <c r="H11060" s="4" t="n">
        <v>4</v>
      </c>
      <c r="I11060" s="4" t="str">
        <v>×</v>
      </c>
      <c r="J11060" s="4"/>
      <c r="K11060" s="4"/>
      <c r="L11060" s="4"/>
      <c r="M11060" s="5" t="s">
        <v>6501</v>
      </c>
    </row>
    <row r="11061" customFormat="false" ht="15.75" hidden="false" customHeight="false" outlineLevel="0" collapsed="false">
      <c r="A11061" s="6" t="n">
        <v>46194</v>
      </c>
      <c r="B11061" s="4" t="s">
        <v>4172</v>
      </c>
      <c r="C11061" s="4" t="n">
        <v>7</v>
      </c>
      <c r="D11061" s="4" t="n">
        <v>1</v>
      </c>
      <c r="E11061" s="4"/>
      <c r="F11061" s="4" t="n">
        <v>3</v>
      </c>
      <c r="G11061" s="4" t="n">
        <v>10</v>
      </c>
      <c r="H11061" s="4" t="n">
        <v>4</v>
      </c>
      <c r="I11061" s="4" t="str">
        <v>×</v>
      </c>
      <c r="J11061" s="4"/>
      <c r="K11061" s="4"/>
      <c r="L11061" s="4"/>
      <c r="M11061" s="5" t="s">
        <v>6501</v>
      </c>
    </row>
    <row r="11062" customFormat="false" ht="15.75" hidden="false" customHeight="false" outlineLevel="0" collapsed="false">
      <c r="A11062" s="6" t="n">
        <v>46194</v>
      </c>
      <c r="B11062" s="4" t="s">
        <v>4172</v>
      </c>
      <c r="C11062" s="4" t="n">
        <v>7</v>
      </c>
      <c r="D11062" s="4" t="n">
        <v>2</v>
      </c>
      <c r="E11062" s="4"/>
      <c r="F11062" s="4" t="n">
        <v>10</v>
      </c>
      <c r="G11062" s="4" t="n">
        <v>7</v>
      </c>
      <c r="H11062" s="4" t="n">
        <v>4</v>
      </c>
      <c r="I11062" s="4" t="str">
        <v>×</v>
      </c>
      <c r="J11062" s="4"/>
      <c r="K11062" s="4"/>
      <c r="L11062" s="4"/>
      <c r="M11062" s="5" t="s">
        <v>6501</v>
      </c>
    </row>
    <row r="11063" customFormat="false" ht="15.75" hidden="false" customHeight="false" outlineLevel="0" collapsed="false">
      <c r="A11063" s="6" t="n">
        <v>46194</v>
      </c>
      <c r="B11063" s="4" t="s">
        <v>4172</v>
      </c>
      <c r="C11063" s="4" t="n">
        <v>7</v>
      </c>
      <c r="D11063" s="4" t="n">
        <v>3</v>
      </c>
      <c r="E11063" s="4"/>
      <c r="F11063" s="4" t="n">
        <v>58</v>
      </c>
      <c r="G11063" s="4" t="n">
        <v>1</v>
      </c>
      <c r="H11063" s="4" t="n">
        <v>4</v>
      </c>
      <c r="I11063" s="4" t="str">
        <v>×</v>
      </c>
      <c r="J11063" s="4"/>
      <c r="K11063" s="4"/>
      <c r="L11063" s="4"/>
      <c r="M11063" s="5" t="s">
        <v>6501</v>
      </c>
    </row>
    <row r="11064" customFormat="false" ht="15.75" hidden="false" customHeight="false" outlineLevel="0" collapsed="false">
      <c r="A11064" s="6" t="n">
        <v>46194</v>
      </c>
      <c r="B11064" s="4" t="s">
        <v>4172</v>
      </c>
      <c r="C11064" s="4" t="n">
        <v>7</v>
      </c>
      <c r="D11064" s="4" t="n">
        <v>4</v>
      </c>
      <c r="E11064" s="4"/>
      <c r="F11064" s="4" t="n">
        <v>44</v>
      </c>
      <c r="G11064" s="4" t="n">
        <v>2</v>
      </c>
      <c r="H11064" s="4" t="n">
        <v>1</v>
      </c>
      <c r="I11064" s="4" t="str">
        <v>○</v>
      </c>
      <c r="J11064" s="4" t="n">
        <v>280</v>
      </c>
      <c r="K11064" s="4"/>
      <c r="L11064" s="4"/>
      <c r="M11064" s="5" t="s">
        <v>6501</v>
      </c>
    </row>
    <row r="11065" customFormat="false" ht="15.75" hidden="false" customHeight="false" outlineLevel="0" collapsed="false">
      <c r="A11065" s="6" t="n">
        <v>46194</v>
      </c>
      <c r="B11065" s="4" t="s">
        <v>4172</v>
      </c>
      <c r="C11065" s="4" t="n">
        <v>7</v>
      </c>
      <c r="D11065" s="4" t="n">
        <v>5</v>
      </c>
      <c r="E11065" s="4"/>
      <c r="F11065" s="4" t="n">
        <v>39</v>
      </c>
      <c r="G11065" s="4" t="n">
        <v>3</v>
      </c>
      <c r="H11065" s="4" t="n">
        <v>4</v>
      </c>
      <c r="I11065" s="4" t="str">
        <v>×</v>
      </c>
      <c r="J11065" s="4"/>
      <c r="K11065" s="4"/>
      <c r="L11065" s="4"/>
      <c r="M11065" s="5" t="s">
        <v>6501</v>
      </c>
    </row>
    <row r="11066" customFormat="false" ht="15.75" hidden="false" customHeight="false" outlineLevel="0" collapsed="false">
      <c r="A11066" s="6" t="n">
        <v>46194</v>
      </c>
      <c r="B11066" s="4" t="s">
        <v>4172</v>
      </c>
      <c r="C11066" s="4" t="n">
        <v>7</v>
      </c>
      <c r="D11066" s="4" t="n">
        <v>6</v>
      </c>
      <c r="E11066" s="4"/>
      <c r="F11066" s="4" t="n">
        <v>10</v>
      </c>
      <c r="G11066" s="4" t="n">
        <v>7</v>
      </c>
      <c r="H11066" s="4" t="n">
        <v>4</v>
      </c>
      <c r="I11066" s="4" t="str">
        <v>×</v>
      </c>
      <c r="J11066" s="4"/>
      <c r="K11066" s="4"/>
      <c r="L11066" s="4"/>
      <c r="M11066" s="5" t="s">
        <v>6501</v>
      </c>
    </row>
    <row r="11067" customFormat="false" ht="15.75" hidden="false" customHeight="false" outlineLevel="0" collapsed="false">
      <c r="A11067" s="6" t="n">
        <v>46194</v>
      </c>
      <c r="B11067" s="4" t="s">
        <v>4172</v>
      </c>
      <c r="C11067" s="4" t="n">
        <v>7</v>
      </c>
      <c r="D11067" s="4" t="n">
        <v>7</v>
      </c>
      <c r="E11067" s="4"/>
      <c r="F11067" s="4" t="n">
        <v>8</v>
      </c>
      <c r="G11067" s="4" t="n">
        <v>8</v>
      </c>
      <c r="H11067" s="4" t="n">
        <v>4</v>
      </c>
      <c r="I11067" s="4" t="str">
        <v>×</v>
      </c>
      <c r="J11067" s="4"/>
      <c r="K11067" s="4"/>
      <c r="L11067" s="4"/>
      <c r="M11067" s="5" t="s">
        <v>6501</v>
      </c>
    </row>
    <row r="11068" customFormat="false" ht="15.75" hidden="false" customHeight="false" outlineLevel="0" collapsed="false">
      <c r="A11068" s="6" t="n">
        <v>46194</v>
      </c>
      <c r="B11068" s="4" t="s">
        <v>4172</v>
      </c>
      <c r="C11068" s="4" t="n">
        <v>7</v>
      </c>
      <c r="D11068" s="4" t="n">
        <v>8</v>
      </c>
      <c r="E11068" s="4"/>
      <c r="F11068" s="4" t="n">
        <v>1</v>
      </c>
      <c r="G11068" s="4" t="n">
        <v>11</v>
      </c>
      <c r="H11068" s="4" t="n">
        <v>4</v>
      </c>
      <c r="I11068" s="4" t="str">
        <v>×</v>
      </c>
      <c r="J11068" s="4"/>
      <c r="K11068" s="4"/>
      <c r="L11068" s="4"/>
      <c r="M11068" s="5" t="s">
        <v>6501</v>
      </c>
    </row>
    <row r="11069" customFormat="false" ht="15.75" hidden="false" customHeight="false" outlineLevel="0" collapsed="false">
      <c r="A11069" s="6" t="n">
        <v>46194</v>
      </c>
      <c r="B11069" s="4" t="s">
        <v>4172</v>
      </c>
      <c r="C11069" s="4" t="n">
        <v>7</v>
      </c>
      <c r="D11069" s="4" t="n">
        <v>9</v>
      </c>
      <c r="E11069" s="4"/>
      <c r="F11069" s="4" t="n">
        <v>37</v>
      </c>
      <c r="G11069" s="4" t="n">
        <v>4</v>
      </c>
      <c r="H11069" s="4" t="n">
        <v>4</v>
      </c>
      <c r="I11069" s="4" t="str">
        <v>×</v>
      </c>
      <c r="J11069" s="4"/>
      <c r="K11069" s="4"/>
      <c r="L11069" s="4"/>
      <c r="M11069" s="5" t="s">
        <v>6501</v>
      </c>
    </row>
    <row r="11070" customFormat="false" ht="15.75" hidden="false" customHeight="false" outlineLevel="0" collapsed="false">
      <c r="A11070" s="6" t="n">
        <v>46194</v>
      </c>
      <c r="B11070" s="4" t="s">
        <v>4172</v>
      </c>
      <c r="C11070" s="4" t="n">
        <v>7</v>
      </c>
      <c r="D11070" s="4" t="n">
        <v>10</v>
      </c>
      <c r="E11070" s="4"/>
      <c r="F11070" s="4" t="n">
        <v>13</v>
      </c>
      <c r="G11070" s="4" t="n">
        <v>6</v>
      </c>
      <c r="H11070" s="4" t="n">
        <v>3</v>
      </c>
      <c r="I11070" s="4" t="str">
        <v>○</v>
      </c>
      <c r="J11070" s="4" t="n">
        <v>520</v>
      </c>
      <c r="K11070" s="4"/>
      <c r="L11070" s="4"/>
      <c r="M11070" s="5" t="s">
        <v>6501</v>
      </c>
    </row>
    <row r="11071" customFormat="false" ht="15.75" hidden="false" customHeight="false" outlineLevel="0" collapsed="false">
      <c r="A11071" s="6" t="n">
        <v>46194</v>
      </c>
      <c r="B11071" s="4" t="s">
        <v>4172</v>
      </c>
      <c r="C11071" s="4" t="n">
        <v>7</v>
      </c>
      <c r="D11071" s="4" t="n">
        <v>11</v>
      </c>
      <c r="E11071" s="4"/>
      <c r="F11071" s="4" t="n">
        <v>4</v>
      </c>
      <c r="G11071" s="4" t="n">
        <v>9</v>
      </c>
      <c r="H11071" s="4" t="n">
        <v>4</v>
      </c>
      <c r="I11071" s="4" t="str">
        <v>×</v>
      </c>
      <c r="J11071" s="4"/>
      <c r="K11071" s="4"/>
      <c r="L11071" s="4"/>
      <c r="M11071" s="5" t="s">
        <v>6501</v>
      </c>
    </row>
    <row r="11072" customFormat="false" ht="15.75" hidden="false" customHeight="false" outlineLevel="0" collapsed="false">
      <c r="A11072" s="6" t="n">
        <v>46194</v>
      </c>
      <c r="B11072" s="4" t="s">
        <v>4172</v>
      </c>
      <c r="C11072" s="4" t="n">
        <v>7</v>
      </c>
      <c r="D11072" s="4" t="n">
        <v>12</v>
      </c>
      <c r="E11072" s="4"/>
      <c r="F11072" s="4" t="n">
        <v>39</v>
      </c>
      <c r="G11072" s="4" t="n">
        <v>3</v>
      </c>
      <c r="H11072" s="4" t="n">
        <v>2</v>
      </c>
      <c r="I11072" s="4" t="str">
        <v>○</v>
      </c>
      <c r="J11072" s="4" t="n">
        <v>240</v>
      </c>
      <c r="K11072" s="4"/>
      <c r="L11072" s="4"/>
      <c r="M11072" s="5" t="s">
        <v>6501</v>
      </c>
    </row>
    <row r="11073" customFormat="false" ht="15.75" hidden="false" customHeight="false" outlineLevel="0" collapsed="false">
      <c r="A11073" s="6" t="n">
        <v>46194</v>
      </c>
      <c r="B11073" s="4" t="s">
        <v>4172</v>
      </c>
      <c r="C11073" s="4" t="n">
        <v>7</v>
      </c>
      <c r="D11073" s="4" t="n">
        <v>13</v>
      </c>
      <c r="E11073" s="4"/>
      <c r="F11073" s="4" t="n">
        <v>13</v>
      </c>
      <c r="G11073" s="4" t="n">
        <v>6</v>
      </c>
      <c r="H11073" s="4" t="n">
        <v>4</v>
      </c>
      <c r="I11073" s="4" t="str">
        <v>×</v>
      </c>
      <c r="J11073" s="4"/>
      <c r="K11073" s="4"/>
      <c r="L11073" s="4"/>
      <c r="M11073" s="5" t="s">
        <v>6501</v>
      </c>
    </row>
    <row r="11074" customFormat="false" ht="15.75" hidden="false" customHeight="false" outlineLevel="0" collapsed="false">
      <c r="A11074" s="6" t="n">
        <v>46194</v>
      </c>
      <c r="B11074" s="4" t="s">
        <v>4172</v>
      </c>
      <c r="C11074" s="4" t="n">
        <v>7</v>
      </c>
      <c r="D11074" s="4" t="n">
        <v>14</v>
      </c>
      <c r="E11074" s="4"/>
      <c r="F11074" s="4" t="n">
        <v>3</v>
      </c>
      <c r="G11074" s="4" t="n">
        <v>10</v>
      </c>
      <c r="H11074" s="4" t="n">
        <v>4</v>
      </c>
      <c r="I11074" s="4" t="str">
        <v>×</v>
      </c>
      <c r="J11074" s="4"/>
      <c r="K11074" s="4"/>
      <c r="L11074" s="4"/>
      <c r="M11074" s="5" t="s">
        <v>6501</v>
      </c>
    </row>
    <row r="11075" customFormat="false" ht="15.75" hidden="false" customHeight="false" outlineLevel="0" collapsed="false">
      <c r="A11075" s="6" t="n">
        <v>46194</v>
      </c>
      <c r="B11075" s="4" t="s">
        <v>4172</v>
      </c>
      <c r="C11075" s="4" t="n">
        <v>7</v>
      </c>
      <c r="D11075" s="4" t="n">
        <v>15</v>
      </c>
      <c r="E11075" s="4"/>
      <c r="F11075" s="4" t="n">
        <v>17</v>
      </c>
      <c r="G11075" s="4" t="n">
        <v>5</v>
      </c>
      <c r="H11075" s="4" t="n">
        <v>4</v>
      </c>
      <c r="I11075" s="4" t="str">
        <v>×</v>
      </c>
      <c r="J11075" s="4"/>
      <c r="K11075" s="4"/>
      <c r="L11075" s="4"/>
      <c r="M11075" s="5" t="s">
        <v>6501</v>
      </c>
    </row>
    <row r="11076" customFormat="false" ht="15.75" hidden="false" customHeight="false" outlineLevel="0" collapsed="false">
      <c r="A11076" s="6" t="n">
        <v>46194</v>
      </c>
      <c r="B11076" s="4" t="s">
        <v>4172</v>
      </c>
      <c r="C11076" s="4" t="n">
        <v>7</v>
      </c>
      <c r="D11076" s="4" t="n">
        <v>16</v>
      </c>
      <c r="E11076" s="4"/>
      <c r="F11076" s="4" t="n">
        <v>13</v>
      </c>
      <c r="G11076" s="4" t="n">
        <v>6</v>
      </c>
      <c r="H11076" s="4" t="n">
        <v>4</v>
      </c>
      <c r="I11076" s="4" t="str">
        <v>×</v>
      </c>
      <c r="J11076" s="4"/>
      <c r="K11076" s="4"/>
      <c r="L11076" s="4"/>
      <c r="M11076" s="5" t="s">
        <v>6501</v>
      </c>
    </row>
    <row r="11077" customFormat="false" ht="15.75" hidden="false" customHeight="false" outlineLevel="0" collapsed="false">
      <c r="A11077" s="6" t="n">
        <v>46194</v>
      </c>
      <c r="B11077" s="4" t="s">
        <v>4172</v>
      </c>
      <c r="C11077" s="4" t="n">
        <v>8</v>
      </c>
      <c r="D11077" s="4" t="n">
        <v>1</v>
      </c>
      <c r="E11077" s="4"/>
      <c r="F11077" s="4" t="n">
        <v>6</v>
      </c>
      <c r="G11077" s="4" t="n">
        <v>8</v>
      </c>
      <c r="H11077" s="4" t="n">
        <v>4</v>
      </c>
      <c r="I11077" s="4" t="str">
        <v>×</v>
      </c>
      <c r="J11077" s="4"/>
      <c r="K11077" s="4"/>
      <c r="L11077" s="4"/>
      <c r="M11077" s="5" t="s">
        <v>6501</v>
      </c>
    </row>
    <row r="11078" customFormat="false" ht="15.75" hidden="false" customHeight="false" outlineLevel="0" collapsed="false">
      <c r="A11078" s="6" t="n">
        <v>46194</v>
      </c>
      <c r="B11078" s="4" t="s">
        <v>4172</v>
      </c>
      <c r="C11078" s="4" t="n">
        <v>8</v>
      </c>
      <c r="D11078" s="4" t="n">
        <v>2</v>
      </c>
      <c r="E11078" s="4"/>
      <c r="F11078" s="4" t="n">
        <v>17</v>
      </c>
      <c r="G11078" s="4" t="n">
        <v>7</v>
      </c>
      <c r="H11078" s="4" t="n">
        <v>4</v>
      </c>
      <c r="I11078" s="4" t="str">
        <v>×</v>
      </c>
      <c r="J11078" s="4"/>
      <c r="K11078" s="4"/>
      <c r="L11078" s="4"/>
      <c r="M11078" s="5" t="s">
        <v>6501</v>
      </c>
    </row>
    <row r="11079" customFormat="false" ht="15.75" hidden="false" customHeight="false" outlineLevel="0" collapsed="false">
      <c r="A11079" s="6" t="n">
        <v>46194</v>
      </c>
      <c r="B11079" s="4" t="s">
        <v>4172</v>
      </c>
      <c r="C11079" s="4" t="n">
        <v>8</v>
      </c>
      <c r="D11079" s="4" t="n">
        <v>3</v>
      </c>
      <c r="E11079" s="4"/>
      <c r="F11079" s="4" t="n">
        <v>47</v>
      </c>
      <c r="G11079" s="4" t="n">
        <v>2</v>
      </c>
      <c r="H11079" s="4" t="n">
        <v>1</v>
      </c>
      <c r="I11079" s="4" t="str">
        <v>○</v>
      </c>
      <c r="J11079" s="4" t="n">
        <v>180</v>
      </c>
      <c r="K11079" s="4"/>
      <c r="L11079" s="4"/>
      <c r="M11079" s="5" t="s">
        <v>6501</v>
      </c>
    </row>
    <row r="11080" customFormat="false" ht="15.75" hidden="false" customHeight="false" outlineLevel="0" collapsed="false">
      <c r="A11080" s="6" t="n">
        <v>46194</v>
      </c>
      <c r="B11080" s="4" t="s">
        <v>4172</v>
      </c>
      <c r="C11080" s="4" t="n">
        <v>8</v>
      </c>
      <c r="D11080" s="4" t="n">
        <v>4</v>
      </c>
      <c r="E11080" s="4"/>
      <c r="F11080" s="4" t="n">
        <v>29</v>
      </c>
      <c r="G11080" s="4" t="n">
        <v>5</v>
      </c>
      <c r="H11080" s="4" t="n">
        <v>2</v>
      </c>
      <c r="I11080" s="4" t="str">
        <v>○</v>
      </c>
      <c r="J11080" s="4" t="n">
        <v>400</v>
      </c>
      <c r="K11080" s="4"/>
      <c r="L11080" s="4"/>
      <c r="M11080" s="5" t="s">
        <v>6501</v>
      </c>
    </row>
    <row r="11081" customFormat="false" ht="15.75" hidden="false" customHeight="false" outlineLevel="0" collapsed="false">
      <c r="A11081" s="6" t="n">
        <v>46194</v>
      </c>
      <c r="B11081" s="4" t="s">
        <v>4172</v>
      </c>
      <c r="C11081" s="4" t="n">
        <v>8</v>
      </c>
      <c r="D11081" s="4" t="n">
        <v>5</v>
      </c>
      <c r="E11081" s="4"/>
      <c r="F11081" s="4" t="n">
        <v>41</v>
      </c>
      <c r="G11081" s="4" t="n">
        <v>3</v>
      </c>
      <c r="H11081" s="4" t="n">
        <v>4</v>
      </c>
      <c r="I11081" s="4" t="str">
        <v>×</v>
      </c>
      <c r="J11081" s="4"/>
      <c r="K11081" s="4"/>
      <c r="L11081" s="4"/>
      <c r="M11081" s="5" t="s">
        <v>6501</v>
      </c>
    </row>
    <row r="11082" customFormat="false" ht="15.75" hidden="false" customHeight="false" outlineLevel="0" collapsed="false">
      <c r="A11082" s="6" t="n">
        <v>46194</v>
      </c>
      <c r="B11082" s="4" t="s">
        <v>4172</v>
      </c>
      <c r="C11082" s="4" t="n">
        <v>8</v>
      </c>
      <c r="D11082" s="4" t="n">
        <v>6</v>
      </c>
      <c r="E11082" s="4"/>
      <c r="F11082" s="4" t="n">
        <v>65</v>
      </c>
      <c r="G11082" s="4" t="n">
        <v>1</v>
      </c>
      <c r="H11082" s="4" t="n">
        <v>3</v>
      </c>
      <c r="I11082" s="4" t="str">
        <v>○</v>
      </c>
      <c r="J11082" s="4" t="n">
        <v>160</v>
      </c>
      <c r="K11082" s="4"/>
      <c r="L11082" s="4"/>
      <c r="M11082" s="5" t="s">
        <v>6501</v>
      </c>
    </row>
    <row r="11083" customFormat="false" ht="15.75" hidden="false" customHeight="false" outlineLevel="0" collapsed="false">
      <c r="A11083" s="6" t="n">
        <v>46194</v>
      </c>
      <c r="B11083" s="4" t="s">
        <v>4172</v>
      </c>
      <c r="C11083" s="4" t="n">
        <v>8</v>
      </c>
      <c r="D11083" s="4" t="n">
        <v>7</v>
      </c>
      <c r="E11083" s="4"/>
      <c r="F11083" s="4" t="n">
        <v>23</v>
      </c>
      <c r="G11083" s="4" t="n">
        <v>6</v>
      </c>
      <c r="H11083" s="4" t="n">
        <v>4</v>
      </c>
      <c r="I11083" s="4" t="str">
        <v>×</v>
      </c>
      <c r="J11083" s="4"/>
      <c r="K11083" s="4"/>
      <c r="L11083" s="4"/>
      <c r="M11083" s="5" t="s">
        <v>6501</v>
      </c>
    </row>
    <row r="11084" customFormat="false" ht="15.75" hidden="false" customHeight="false" outlineLevel="0" collapsed="false">
      <c r="A11084" s="6" t="n">
        <v>46194</v>
      </c>
      <c r="B11084" s="4" t="s">
        <v>4172</v>
      </c>
      <c r="C11084" s="4" t="n">
        <v>8</v>
      </c>
      <c r="D11084" s="4" t="n">
        <v>8</v>
      </c>
      <c r="E11084" s="4"/>
      <c r="F11084" s="4" t="n">
        <v>31</v>
      </c>
      <c r="G11084" s="4" t="n">
        <v>4</v>
      </c>
      <c r="H11084" s="4" t="n">
        <v>4</v>
      </c>
      <c r="I11084" s="4" t="str">
        <v>×</v>
      </c>
      <c r="J11084" s="4"/>
      <c r="K11084" s="4"/>
      <c r="L11084" s="4"/>
      <c r="M11084" s="5" t="s">
        <v>6501</v>
      </c>
    </row>
    <row r="11085" customFormat="false" ht="15.75" hidden="false" customHeight="false" outlineLevel="0" collapsed="false">
      <c r="A11085" s="6" t="n">
        <v>46194</v>
      </c>
      <c r="B11085" s="4" t="s">
        <v>4172</v>
      </c>
      <c r="C11085" s="4" t="n">
        <v>9</v>
      </c>
      <c r="D11085" s="4" t="n">
        <v>1</v>
      </c>
      <c r="E11085" s="4"/>
      <c r="F11085" s="4" t="n">
        <v>56</v>
      </c>
      <c r="G11085" s="4" t="n">
        <v>3</v>
      </c>
      <c r="H11085" s="4" t="n">
        <v>2</v>
      </c>
      <c r="I11085" s="4" t="str">
        <v>○</v>
      </c>
      <c r="J11085" s="4" t="n">
        <v>150</v>
      </c>
      <c r="K11085" s="4"/>
      <c r="L11085" s="4"/>
      <c r="M11085" s="5" t="s">
        <v>6501</v>
      </c>
    </row>
    <row r="11086" customFormat="false" ht="15.75" hidden="false" customHeight="false" outlineLevel="0" collapsed="false">
      <c r="A11086" s="6" t="n">
        <v>46194</v>
      </c>
      <c r="B11086" s="4" t="s">
        <v>4172</v>
      </c>
      <c r="C11086" s="4" t="n">
        <v>9</v>
      </c>
      <c r="D11086" s="4" t="n">
        <v>2</v>
      </c>
      <c r="E11086" s="4"/>
      <c r="F11086" s="4" t="n">
        <v>66</v>
      </c>
      <c r="G11086" s="4" t="n">
        <v>1</v>
      </c>
      <c r="H11086" s="4" t="n">
        <v>1</v>
      </c>
      <c r="I11086" s="4" t="str">
        <v>○</v>
      </c>
      <c r="J11086" s="4" t="n">
        <v>210</v>
      </c>
      <c r="K11086" s="4"/>
      <c r="L11086" s="4"/>
      <c r="M11086" s="5" t="s">
        <v>6501</v>
      </c>
    </row>
    <row r="11087" customFormat="false" ht="15.75" hidden="false" customHeight="false" outlineLevel="0" collapsed="false">
      <c r="A11087" s="6" t="n">
        <v>46194</v>
      </c>
      <c r="B11087" s="4" t="s">
        <v>4172</v>
      </c>
      <c r="C11087" s="4" t="n">
        <v>9</v>
      </c>
      <c r="D11087" s="4" t="n">
        <v>3</v>
      </c>
      <c r="E11087" s="4"/>
      <c r="F11087" s="4" t="n">
        <v>17</v>
      </c>
      <c r="G11087" s="4" t="n">
        <v>4</v>
      </c>
      <c r="H11087" s="4" t="n">
        <v>4</v>
      </c>
      <c r="I11087" s="4" t="str">
        <v>×</v>
      </c>
      <c r="J11087" s="4"/>
      <c r="K11087" s="4"/>
      <c r="L11087" s="4"/>
      <c r="M11087" s="5" t="s">
        <v>6501</v>
      </c>
    </row>
    <row r="11088" customFormat="false" ht="15.75" hidden="false" customHeight="false" outlineLevel="0" collapsed="false">
      <c r="A11088" s="6" t="n">
        <v>46194</v>
      </c>
      <c r="B11088" s="4" t="s">
        <v>4172</v>
      </c>
      <c r="C11088" s="4" t="n">
        <v>9</v>
      </c>
      <c r="D11088" s="4" t="n">
        <v>4</v>
      </c>
      <c r="E11088" s="4"/>
      <c r="F11088" s="4" t="n">
        <v>17</v>
      </c>
      <c r="G11088" s="4" t="n">
        <v>4</v>
      </c>
      <c r="H11088" s="4" t="n">
        <v>4</v>
      </c>
      <c r="I11088" s="4" t="str">
        <v>×</v>
      </c>
      <c r="J11088" s="4"/>
      <c r="K11088" s="4"/>
      <c r="L11088" s="4"/>
      <c r="M11088" s="5" t="s">
        <v>6501</v>
      </c>
    </row>
    <row r="11089" customFormat="false" ht="15.75" hidden="false" customHeight="false" outlineLevel="0" collapsed="false">
      <c r="A11089" s="6" t="n">
        <v>46194</v>
      </c>
      <c r="B11089" s="4" t="s">
        <v>4172</v>
      </c>
      <c r="C11089" s="4" t="n">
        <v>9</v>
      </c>
      <c r="D11089" s="4" t="n">
        <v>5</v>
      </c>
      <c r="E11089" s="4"/>
      <c r="F11089" s="4" t="n">
        <v>60</v>
      </c>
      <c r="G11089" s="4" t="n">
        <v>2</v>
      </c>
      <c r="H11089" s="4" t="n">
        <v>3</v>
      </c>
      <c r="I11089" s="4" t="str">
        <v>○</v>
      </c>
      <c r="J11089" s="4"/>
      <c r="K11089" s="4"/>
      <c r="L11089" s="4"/>
      <c r="M11089" s="5" t="s">
        <v>6501</v>
      </c>
    </row>
    <row r="11090" customFormat="false" ht="15.75" hidden="false" customHeight="false" outlineLevel="0" collapsed="false">
      <c r="A11090" s="6" t="n">
        <v>46194</v>
      </c>
      <c r="B11090" s="4" t="s">
        <v>4172</v>
      </c>
      <c r="C11090" s="4" t="n">
        <v>9</v>
      </c>
      <c r="D11090" s="4" t="n">
        <v>6</v>
      </c>
      <c r="E11090" s="4"/>
      <c r="F11090" s="4" t="n">
        <v>3</v>
      </c>
      <c r="G11090" s="4" t="n">
        <v>5</v>
      </c>
      <c r="H11090" s="4" t="n">
        <v>4</v>
      </c>
      <c r="I11090" s="4" t="str">
        <v>×</v>
      </c>
      <c r="J11090" s="4"/>
      <c r="K11090" s="4"/>
      <c r="L11090" s="4"/>
      <c r="M11090" s="5" t="s">
        <v>6501</v>
      </c>
    </row>
    <row r="11091" customFormat="false" ht="15.75" hidden="false" customHeight="false" outlineLevel="0" collapsed="false">
      <c r="A11091" s="6" t="n">
        <v>46194</v>
      </c>
      <c r="B11091" s="4" t="s">
        <v>4172</v>
      </c>
      <c r="C11091" s="4" t="n">
        <v>9</v>
      </c>
      <c r="D11091" s="4" t="n">
        <v>7</v>
      </c>
      <c r="E11091" s="4"/>
      <c r="F11091" s="4" t="n">
        <v>17</v>
      </c>
      <c r="G11091" s="4" t="n">
        <v>4</v>
      </c>
      <c r="H11091" s="4" t="n">
        <v>4</v>
      </c>
      <c r="I11091" s="4" t="str">
        <v>×</v>
      </c>
      <c r="J11091" s="4"/>
      <c r="K11091" s="4"/>
      <c r="L11091" s="4"/>
      <c r="M11091" s="5" t="s">
        <v>6501</v>
      </c>
    </row>
    <row r="11092" customFormat="false" ht="15.75" hidden="false" customHeight="false" outlineLevel="0" collapsed="false">
      <c r="A11092" s="6" t="n">
        <v>46194</v>
      </c>
      <c r="B11092" s="4" t="s">
        <v>4172</v>
      </c>
      <c r="C11092" s="4" t="n">
        <v>10</v>
      </c>
      <c r="D11092" s="4" t="n">
        <v>1</v>
      </c>
      <c r="E11092" s="4"/>
      <c r="F11092" s="4" t="n">
        <v>4</v>
      </c>
      <c r="G11092" s="4" t="n">
        <v>13</v>
      </c>
      <c r="H11092" s="4" t="n">
        <v>4</v>
      </c>
      <c r="I11092" s="4" t="str">
        <v>×</v>
      </c>
      <c r="J11092" s="4"/>
      <c r="K11092" s="4"/>
      <c r="L11092" s="4"/>
      <c r="M11092" s="5" t="s">
        <v>6501</v>
      </c>
    </row>
    <row r="11093" customFormat="false" ht="15.75" hidden="false" customHeight="false" outlineLevel="0" collapsed="false">
      <c r="A11093" s="6" t="n">
        <v>46194</v>
      </c>
      <c r="B11093" s="4" t="s">
        <v>4172</v>
      </c>
      <c r="C11093" s="4" t="n">
        <v>10</v>
      </c>
      <c r="D11093" s="4" t="n">
        <v>2</v>
      </c>
      <c r="E11093" s="4"/>
      <c r="F11093" s="4" t="n">
        <v>13</v>
      </c>
      <c r="G11093" s="4" t="n">
        <v>10</v>
      </c>
      <c r="H11093" s="4" t="n">
        <v>4</v>
      </c>
      <c r="I11093" s="4" t="str">
        <v>×</v>
      </c>
      <c r="J11093" s="4"/>
      <c r="K11093" s="4"/>
      <c r="L11093" s="4"/>
      <c r="M11093" s="5" t="s">
        <v>6501</v>
      </c>
    </row>
    <row r="11094" customFormat="false" ht="15.75" hidden="false" customHeight="false" outlineLevel="0" collapsed="false">
      <c r="A11094" s="6" t="n">
        <v>46194</v>
      </c>
      <c r="B11094" s="4" t="s">
        <v>4172</v>
      </c>
      <c r="C11094" s="4" t="n">
        <v>10</v>
      </c>
      <c r="D11094" s="4" t="n">
        <v>3</v>
      </c>
      <c r="E11094" s="4"/>
      <c r="F11094" s="4" t="n">
        <v>6</v>
      </c>
      <c r="G11094" s="4" t="n">
        <v>12</v>
      </c>
      <c r="H11094" s="4" t="n">
        <v>4</v>
      </c>
      <c r="I11094" s="4" t="str">
        <v>×</v>
      </c>
      <c r="J11094" s="4"/>
      <c r="K11094" s="4"/>
      <c r="L11094" s="4"/>
      <c r="M11094" s="5" t="s">
        <v>6501</v>
      </c>
    </row>
    <row r="11095" customFormat="false" ht="15.75" hidden="false" customHeight="false" outlineLevel="0" collapsed="false">
      <c r="A11095" s="6" t="n">
        <v>46194</v>
      </c>
      <c r="B11095" s="4" t="s">
        <v>4172</v>
      </c>
      <c r="C11095" s="4" t="n">
        <v>10</v>
      </c>
      <c r="D11095" s="4" t="n">
        <v>4</v>
      </c>
      <c r="E11095" s="4"/>
      <c r="F11095" s="4" t="n">
        <v>15</v>
      </c>
      <c r="G11095" s="4" t="n">
        <v>9</v>
      </c>
      <c r="H11095" s="4" t="n">
        <v>4</v>
      </c>
      <c r="I11095" s="4" t="str">
        <v>×</v>
      </c>
      <c r="J11095" s="4"/>
      <c r="K11095" s="4"/>
      <c r="L11095" s="4"/>
      <c r="M11095" s="5" t="s">
        <v>6501</v>
      </c>
    </row>
    <row r="11096" customFormat="false" ht="15.75" hidden="false" customHeight="false" outlineLevel="0" collapsed="false">
      <c r="A11096" s="6" t="n">
        <v>46194</v>
      </c>
      <c r="B11096" s="4" t="s">
        <v>4172</v>
      </c>
      <c r="C11096" s="4" t="n">
        <v>10</v>
      </c>
      <c r="D11096" s="4" t="n">
        <v>5</v>
      </c>
      <c r="E11096" s="4"/>
      <c r="F11096" s="4" t="n">
        <v>20</v>
      </c>
      <c r="G11096" s="4" t="n">
        <v>7</v>
      </c>
      <c r="H11096" s="4" t="n">
        <v>4</v>
      </c>
      <c r="I11096" s="4" t="str">
        <v>×</v>
      </c>
      <c r="J11096" s="4"/>
      <c r="K11096" s="4"/>
      <c r="L11096" s="4"/>
      <c r="M11096" s="5" t="s">
        <v>6501</v>
      </c>
    </row>
    <row r="11097" customFormat="false" ht="15.75" hidden="false" customHeight="false" outlineLevel="0" collapsed="false">
      <c r="A11097" s="6" t="n">
        <v>46194</v>
      </c>
      <c r="B11097" s="4" t="s">
        <v>4172</v>
      </c>
      <c r="C11097" s="4" t="n">
        <v>10</v>
      </c>
      <c r="D11097" s="4" t="n">
        <v>6</v>
      </c>
      <c r="E11097" s="4"/>
      <c r="F11097" s="4" t="n">
        <v>23</v>
      </c>
      <c r="G11097" s="4" t="n">
        <v>6</v>
      </c>
      <c r="H11097" s="4" t="n">
        <v>4</v>
      </c>
      <c r="I11097" s="4" t="str">
        <v>×</v>
      </c>
      <c r="J11097" s="4"/>
      <c r="K11097" s="4"/>
      <c r="L11097" s="4"/>
      <c r="M11097" s="5" t="s">
        <v>6501</v>
      </c>
    </row>
    <row r="11098" customFormat="false" ht="15.75" hidden="false" customHeight="false" outlineLevel="0" collapsed="false">
      <c r="A11098" s="6" t="n">
        <v>46194</v>
      </c>
      <c r="B11098" s="4" t="s">
        <v>4172</v>
      </c>
      <c r="C11098" s="4" t="n">
        <v>10</v>
      </c>
      <c r="D11098" s="4" t="n">
        <v>7</v>
      </c>
      <c r="E11098" s="4"/>
      <c r="F11098" s="4" t="n">
        <v>10</v>
      </c>
      <c r="G11098" s="4" t="n">
        <v>11</v>
      </c>
      <c r="H11098" s="4" t="n">
        <v>3</v>
      </c>
      <c r="I11098" s="4" t="str">
        <v>○</v>
      </c>
      <c r="J11098" s="4" t="n">
        <v>960</v>
      </c>
      <c r="K11098" s="4"/>
      <c r="L11098" s="4"/>
      <c r="M11098" s="5" t="s">
        <v>6501</v>
      </c>
    </row>
    <row r="11099" customFormat="false" ht="15.75" hidden="false" customHeight="false" outlineLevel="0" collapsed="false">
      <c r="A11099" s="6" t="n">
        <v>46194</v>
      </c>
      <c r="B11099" s="4" t="s">
        <v>4172</v>
      </c>
      <c r="C11099" s="4" t="n">
        <v>10</v>
      </c>
      <c r="D11099" s="4" t="n">
        <v>8</v>
      </c>
      <c r="E11099" s="4"/>
      <c r="F11099" s="4" t="n">
        <v>50</v>
      </c>
      <c r="G11099" s="4" t="n">
        <v>2</v>
      </c>
      <c r="H11099" s="4" t="n">
        <v>2</v>
      </c>
      <c r="I11099" s="4" t="str">
        <v>○</v>
      </c>
      <c r="J11099" s="4" t="n">
        <v>290</v>
      </c>
      <c r="K11099" s="4"/>
      <c r="L11099" s="4"/>
      <c r="M11099" s="5" t="s">
        <v>6501</v>
      </c>
    </row>
    <row r="11100" customFormat="false" ht="15.75" hidden="false" customHeight="false" outlineLevel="0" collapsed="false">
      <c r="A11100" s="6" t="n">
        <v>46194</v>
      </c>
      <c r="B11100" s="4" t="s">
        <v>4172</v>
      </c>
      <c r="C11100" s="4" t="n">
        <v>10</v>
      </c>
      <c r="D11100" s="4" t="n">
        <v>9</v>
      </c>
      <c r="E11100" s="4"/>
      <c r="F11100" s="4" t="n">
        <v>74</v>
      </c>
      <c r="G11100" s="4" t="n">
        <v>1</v>
      </c>
      <c r="H11100" s="4" t="n">
        <v>4</v>
      </c>
      <c r="I11100" s="4" t="str">
        <v>×</v>
      </c>
      <c r="J11100" s="4"/>
      <c r="K11100" s="4"/>
      <c r="L11100" s="4"/>
      <c r="M11100" s="5" t="s">
        <v>6501</v>
      </c>
    </row>
    <row r="11101" customFormat="false" ht="15.75" hidden="false" customHeight="false" outlineLevel="0" collapsed="false">
      <c r="A11101" s="6" t="n">
        <v>46194</v>
      </c>
      <c r="B11101" s="4" t="s">
        <v>4172</v>
      </c>
      <c r="C11101" s="4" t="n">
        <v>10</v>
      </c>
      <c r="D11101" s="4" t="n">
        <v>10</v>
      </c>
      <c r="E11101" s="4"/>
      <c r="F11101" s="4" t="n">
        <v>29</v>
      </c>
      <c r="G11101" s="4" t="n">
        <v>5</v>
      </c>
      <c r="H11101" s="4" t="n">
        <v>4</v>
      </c>
      <c r="I11101" s="4" t="str">
        <v>×</v>
      </c>
      <c r="J11101" s="4"/>
      <c r="K11101" s="4"/>
      <c r="L11101" s="4"/>
      <c r="M11101" s="5" t="s">
        <v>6501</v>
      </c>
    </row>
    <row r="11102" customFormat="false" ht="15.75" hidden="false" customHeight="false" outlineLevel="0" collapsed="false">
      <c r="A11102" s="6" t="n">
        <v>46194</v>
      </c>
      <c r="B11102" s="4" t="s">
        <v>4172</v>
      </c>
      <c r="C11102" s="4" t="n">
        <v>10</v>
      </c>
      <c r="D11102" s="4" t="n">
        <v>11</v>
      </c>
      <c r="E11102" s="4"/>
      <c r="F11102" s="4" t="n">
        <v>6</v>
      </c>
      <c r="G11102" s="4" t="n">
        <v>12</v>
      </c>
      <c r="H11102" s="4" t="n">
        <v>4</v>
      </c>
      <c r="I11102" s="4" t="str">
        <v>×</v>
      </c>
      <c r="J11102" s="4"/>
      <c r="K11102" s="4"/>
      <c r="L11102" s="4"/>
      <c r="M11102" s="5" t="s">
        <v>6501</v>
      </c>
    </row>
    <row r="11103" customFormat="false" ht="15.75" hidden="false" customHeight="false" outlineLevel="0" collapsed="false">
      <c r="A11103" s="6" t="n">
        <v>46194</v>
      </c>
      <c r="B11103" s="4" t="s">
        <v>4172</v>
      </c>
      <c r="C11103" s="4" t="n">
        <v>10</v>
      </c>
      <c r="D11103" s="4" t="n">
        <v>12</v>
      </c>
      <c r="E11103" s="4"/>
      <c r="F11103" s="4" t="n">
        <v>2</v>
      </c>
      <c r="G11103" s="4" t="n">
        <v>14</v>
      </c>
      <c r="H11103" s="4" t="n">
        <v>4</v>
      </c>
      <c r="I11103" s="4" t="str">
        <v>×</v>
      </c>
      <c r="J11103" s="4"/>
      <c r="K11103" s="4"/>
      <c r="L11103" s="4"/>
      <c r="M11103" s="5" t="s">
        <v>6501</v>
      </c>
    </row>
    <row r="11104" customFormat="false" ht="15.75" hidden="false" customHeight="false" outlineLevel="0" collapsed="false">
      <c r="A11104" s="6" t="n">
        <v>46194</v>
      </c>
      <c r="B11104" s="4" t="s">
        <v>4172</v>
      </c>
      <c r="C11104" s="4" t="n">
        <v>10</v>
      </c>
      <c r="D11104" s="4" t="n">
        <v>13</v>
      </c>
      <c r="E11104" s="4"/>
      <c r="F11104" s="4" t="n">
        <v>6</v>
      </c>
      <c r="G11104" s="4" t="n">
        <v>12</v>
      </c>
      <c r="H11104" s="4" t="n">
        <v>1</v>
      </c>
      <c r="I11104" s="4" t="str">
        <v>○</v>
      </c>
      <c r="J11104" s="4" t="n">
        <v>2380</v>
      </c>
      <c r="K11104" s="4"/>
      <c r="L11104" s="4"/>
      <c r="M11104" s="5" t="s">
        <v>6501</v>
      </c>
    </row>
    <row r="11105" customFormat="false" ht="15.75" hidden="false" customHeight="false" outlineLevel="0" collapsed="false">
      <c r="A11105" s="6" t="n">
        <v>46194</v>
      </c>
      <c r="B11105" s="4" t="s">
        <v>4172</v>
      </c>
      <c r="C11105" s="4" t="n">
        <v>10</v>
      </c>
      <c r="D11105" s="4" t="n">
        <v>14</v>
      </c>
      <c r="E11105" s="4"/>
      <c r="F11105" s="4" t="n">
        <v>34</v>
      </c>
      <c r="G11105" s="4" t="n">
        <v>3</v>
      </c>
      <c r="H11105" s="4" t="n">
        <v>4</v>
      </c>
      <c r="I11105" s="4" t="str">
        <v>×</v>
      </c>
      <c r="J11105" s="4"/>
      <c r="K11105" s="4"/>
      <c r="L11105" s="4"/>
      <c r="M11105" s="5" t="s">
        <v>6501</v>
      </c>
    </row>
    <row r="11106" customFormat="false" ht="15.75" hidden="false" customHeight="false" outlineLevel="0" collapsed="false">
      <c r="A11106" s="6" t="n">
        <v>46194</v>
      </c>
      <c r="B11106" s="4" t="s">
        <v>4172</v>
      </c>
      <c r="C11106" s="4" t="n">
        <v>10</v>
      </c>
      <c r="D11106" s="4" t="n">
        <v>15</v>
      </c>
      <c r="E11106" s="4"/>
      <c r="F11106" s="4" t="n">
        <v>31</v>
      </c>
      <c r="G11106" s="4" t="n">
        <v>4</v>
      </c>
      <c r="H11106" s="4" t="n">
        <v>4</v>
      </c>
      <c r="I11106" s="4" t="str">
        <v>×</v>
      </c>
      <c r="J11106" s="4"/>
      <c r="K11106" s="4"/>
      <c r="L11106" s="4"/>
      <c r="M11106" s="5" t="s">
        <v>6501</v>
      </c>
    </row>
    <row r="11107" customFormat="false" ht="15.75" hidden="false" customHeight="false" outlineLevel="0" collapsed="false">
      <c r="A11107" s="6" t="n">
        <v>46194</v>
      </c>
      <c r="B11107" s="4" t="s">
        <v>4172</v>
      </c>
      <c r="C11107" s="4" t="n">
        <v>10</v>
      </c>
      <c r="D11107" s="4" t="n">
        <v>16</v>
      </c>
      <c r="E11107" s="4"/>
      <c r="F11107" s="4" t="n">
        <v>17</v>
      </c>
      <c r="G11107" s="4" t="n">
        <v>8</v>
      </c>
      <c r="H11107" s="4" t="n">
        <v>4</v>
      </c>
      <c r="I11107" s="4" t="str">
        <v>×</v>
      </c>
      <c r="J11107" s="4"/>
      <c r="K11107" s="4"/>
      <c r="L11107" s="4"/>
      <c r="M11107" s="5" t="s">
        <v>6501</v>
      </c>
    </row>
    <row r="11108" customFormat="false" ht="15.75" hidden="false" customHeight="false" outlineLevel="0" collapsed="false">
      <c r="A11108" s="6" t="n">
        <v>46194</v>
      </c>
      <c r="B11108" s="4" t="s">
        <v>4172</v>
      </c>
      <c r="C11108" s="4" t="n">
        <v>11</v>
      </c>
      <c r="D11108" s="4" t="n">
        <v>1</v>
      </c>
      <c r="E11108" s="4"/>
      <c r="F11108" s="4" t="n">
        <v>34</v>
      </c>
      <c r="G11108" s="4" t="n">
        <v>3</v>
      </c>
      <c r="H11108" s="4" t="n">
        <v>4</v>
      </c>
      <c r="I11108" s="4" t="str">
        <v>×</v>
      </c>
      <c r="J11108" s="4"/>
      <c r="K11108" s="4"/>
      <c r="L11108" s="4"/>
      <c r="M11108" s="5" t="s">
        <v>6501</v>
      </c>
    </row>
    <row r="11109" customFormat="false" ht="15.75" hidden="false" customHeight="false" outlineLevel="0" collapsed="false">
      <c r="A11109" s="6" t="n">
        <v>46194</v>
      </c>
      <c r="B11109" s="4" t="s">
        <v>4172</v>
      </c>
      <c r="C11109" s="4" t="n">
        <v>11</v>
      </c>
      <c r="D11109" s="4" t="n">
        <v>2</v>
      </c>
      <c r="E11109" s="4"/>
      <c r="F11109" s="4" t="n">
        <v>8</v>
      </c>
      <c r="G11109" s="4" t="n">
        <v>10</v>
      </c>
      <c r="H11109" s="4" t="n">
        <v>4</v>
      </c>
      <c r="I11109" s="4" t="str">
        <v>×</v>
      </c>
      <c r="J11109" s="4"/>
      <c r="K11109" s="4"/>
      <c r="L11109" s="4"/>
      <c r="M11109" s="5" t="s">
        <v>6501</v>
      </c>
    </row>
    <row r="11110" customFormat="false" ht="15.75" hidden="false" customHeight="false" outlineLevel="0" collapsed="false">
      <c r="A11110" s="6" t="n">
        <v>46194</v>
      </c>
      <c r="B11110" s="4" t="s">
        <v>4172</v>
      </c>
      <c r="C11110" s="4" t="n">
        <v>11</v>
      </c>
      <c r="D11110" s="4" t="n">
        <v>3</v>
      </c>
      <c r="E11110" s="4"/>
      <c r="F11110" s="4" t="n">
        <v>1</v>
      </c>
      <c r="G11110" s="4" t="n">
        <v>13</v>
      </c>
      <c r="H11110" s="4" t="n">
        <v>4</v>
      </c>
      <c r="I11110" s="4" t="str">
        <v>×</v>
      </c>
      <c r="J11110" s="4"/>
      <c r="K11110" s="4"/>
      <c r="L11110" s="4"/>
      <c r="M11110" s="5" t="s">
        <v>6501</v>
      </c>
    </row>
    <row r="11111" customFormat="false" ht="15.75" hidden="false" customHeight="false" outlineLevel="0" collapsed="false">
      <c r="A11111" s="6" t="n">
        <v>46194</v>
      </c>
      <c r="B11111" s="4" t="s">
        <v>4172</v>
      </c>
      <c r="C11111" s="4" t="n">
        <v>11</v>
      </c>
      <c r="D11111" s="4" t="n">
        <v>4</v>
      </c>
      <c r="E11111" s="4"/>
      <c r="F11111" s="4" t="n">
        <v>20</v>
      </c>
      <c r="G11111" s="4" t="n">
        <v>8</v>
      </c>
      <c r="H11111" s="4" t="n">
        <v>4</v>
      </c>
      <c r="I11111" s="4" t="str">
        <v>×</v>
      </c>
      <c r="J11111" s="4"/>
      <c r="K11111" s="4"/>
      <c r="L11111" s="4"/>
      <c r="M11111" s="5" t="s">
        <v>6501</v>
      </c>
    </row>
    <row r="11112" customFormat="false" ht="15.75" hidden="false" customHeight="false" outlineLevel="0" collapsed="false">
      <c r="A11112" s="6" t="n">
        <v>46194</v>
      </c>
      <c r="B11112" s="4" t="s">
        <v>4172</v>
      </c>
      <c r="C11112" s="4" t="n">
        <v>11</v>
      </c>
      <c r="D11112" s="4" t="n">
        <v>5</v>
      </c>
      <c r="E11112" s="4"/>
      <c r="F11112" s="4" t="n">
        <v>39</v>
      </c>
      <c r="G11112" s="4" t="n">
        <v>2</v>
      </c>
      <c r="H11112" s="4" t="n">
        <v>4</v>
      </c>
      <c r="I11112" s="4" t="str">
        <v>×</v>
      </c>
      <c r="J11112" s="4"/>
      <c r="K11112" s="4"/>
      <c r="L11112" s="4"/>
      <c r="M11112" s="5" t="s">
        <v>6501</v>
      </c>
    </row>
    <row r="11113" customFormat="false" ht="15.75" hidden="false" customHeight="false" outlineLevel="0" collapsed="false">
      <c r="A11113" s="6" t="n">
        <v>46194</v>
      </c>
      <c r="B11113" s="4" t="s">
        <v>4172</v>
      </c>
      <c r="C11113" s="4" t="n">
        <v>11</v>
      </c>
      <c r="D11113" s="4" t="n">
        <v>6</v>
      </c>
      <c r="E11113" s="4"/>
      <c r="F11113" s="4" t="n">
        <v>3</v>
      </c>
      <c r="G11113" s="4" t="n">
        <v>12</v>
      </c>
      <c r="H11113" s="4" t="n">
        <v>4</v>
      </c>
      <c r="I11113" s="4" t="str">
        <v>×</v>
      </c>
      <c r="J11113" s="4"/>
      <c r="K11113" s="4"/>
      <c r="L11113" s="4"/>
      <c r="M11113" s="5" t="s">
        <v>6501</v>
      </c>
    </row>
    <row r="11114" customFormat="false" ht="15.75" hidden="false" customHeight="false" outlineLevel="0" collapsed="false">
      <c r="A11114" s="6" t="n">
        <v>46194</v>
      </c>
      <c r="B11114" s="4" t="s">
        <v>4172</v>
      </c>
      <c r="C11114" s="4" t="n">
        <v>11</v>
      </c>
      <c r="D11114" s="4" t="n">
        <v>7</v>
      </c>
      <c r="E11114" s="4"/>
      <c r="F11114" s="4" t="n">
        <v>20</v>
      </c>
      <c r="G11114" s="4" t="n">
        <v>8</v>
      </c>
      <c r="H11114" s="4" t="n">
        <v>2</v>
      </c>
      <c r="I11114" s="4" t="str">
        <v>○</v>
      </c>
      <c r="J11114" s="4" t="n">
        <v>380</v>
      </c>
      <c r="K11114" s="4"/>
      <c r="L11114" s="4"/>
      <c r="M11114" s="5" t="s">
        <v>6501</v>
      </c>
    </row>
    <row r="11115" customFormat="false" ht="15.75" hidden="false" customHeight="false" outlineLevel="0" collapsed="false">
      <c r="A11115" s="6" t="n">
        <v>46194</v>
      </c>
      <c r="B11115" s="4" t="s">
        <v>4172</v>
      </c>
      <c r="C11115" s="4" t="n">
        <v>11</v>
      </c>
      <c r="D11115" s="4" t="n">
        <v>8</v>
      </c>
      <c r="E11115" s="4"/>
      <c r="F11115" s="4" t="n">
        <v>39</v>
      </c>
      <c r="G11115" s="4" t="n">
        <v>2</v>
      </c>
      <c r="H11115" s="4" t="n">
        <v>4</v>
      </c>
      <c r="I11115" s="4" t="str">
        <v>×</v>
      </c>
      <c r="J11115" s="4"/>
      <c r="K11115" s="4"/>
      <c r="L11115" s="4"/>
      <c r="M11115" s="5" t="s">
        <v>6501</v>
      </c>
    </row>
    <row r="11116" customFormat="false" ht="15.75" hidden="false" customHeight="false" outlineLevel="0" collapsed="false">
      <c r="A11116" s="6" t="n">
        <v>46194</v>
      </c>
      <c r="B11116" s="4" t="s">
        <v>4172</v>
      </c>
      <c r="C11116" s="4" t="n">
        <v>11</v>
      </c>
      <c r="D11116" s="4" t="n">
        <v>9</v>
      </c>
      <c r="E11116" s="4"/>
      <c r="F11116" s="4" t="n">
        <v>31</v>
      </c>
      <c r="G11116" s="4" t="n">
        <v>4</v>
      </c>
      <c r="H11116" s="4" t="n">
        <v>4</v>
      </c>
      <c r="I11116" s="4" t="str">
        <v>×</v>
      </c>
      <c r="J11116" s="4"/>
      <c r="K11116" s="4"/>
      <c r="L11116" s="4"/>
      <c r="M11116" s="5" t="s">
        <v>6501</v>
      </c>
    </row>
    <row r="11117" customFormat="false" ht="15.75" hidden="false" customHeight="false" outlineLevel="0" collapsed="false">
      <c r="A11117" s="6" t="n">
        <v>46194</v>
      </c>
      <c r="B11117" s="4" t="s">
        <v>4172</v>
      </c>
      <c r="C11117" s="4" t="n">
        <v>11</v>
      </c>
      <c r="D11117" s="4" t="n">
        <v>10</v>
      </c>
      <c r="E11117" s="4"/>
      <c r="F11117" s="4" t="n">
        <v>31</v>
      </c>
      <c r="G11117" s="4" t="n">
        <v>4</v>
      </c>
      <c r="H11117" s="4" t="n">
        <v>1</v>
      </c>
      <c r="I11117" s="4" t="str">
        <v>○</v>
      </c>
      <c r="J11117" s="4" t="n">
        <v>340</v>
      </c>
      <c r="K11117" s="4"/>
      <c r="L11117" s="4"/>
      <c r="M11117" s="5" t="s">
        <v>6501</v>
      </c>
    </row>
    <row r="11118" customFormat="false" ht="15.75" hidden="false" customHeight="false" outlineLevel="0" collapsed="false">
      <c r="A11118" s="6" t="n">
        <v>46194</v>
      </c>
      <c r="B11118" s="4" t="s">
        <v>4172</v>
      </c>
      <c r="C11118" s="4" t="n">
        <v>11</v>
      </c>
      <c r="D11118" s="4" t="n">
        <v>11</v>
      </c>
      <c r="E11118" s="4"/>
      <c r="F11118" s="4" t="n">
        <v>29</v>
      </c>
      <c r="G11118" s="4" t="n">
        <v>5</v>
      </c>
      <c r="H11118" s="4" t="n">
        <v>3</v>
      </c>
      <c r="I11118" s="4" t="str">
        <v>○</v>
      </c>
      <c r="J11118" s="4" t="n">
        <v>160</v>
      </c>
      <c r="K11118" s="4"/>
      <c r="L11118" s="4"/>
      <c r="M11118" s="5" t="s">
        <v>6501</v>
      </c>
    </row>
    <row r="11119" customFormat="false" ht="15.75" hidden="false" customHeight="false" outlineLevel="0" collapsed="false">
      <c r="A11119" s="6" t="n">
        <v>46194</v>
      </c>
      <c r="B11119" s="4" t="s">
        <v>4172</v>
      </c>
      <c r="C11119" s="4" t="n">
        <v>11</v>
      </c>
      <c r="D11119" s="4" t="n">
        <v>12</v>
      </c>
      <c r="E11119" s="4"/>
      <c r="F11119" s="4" t="n">
        <v>23</v>
      </c>
      <c r="G11119" s="4" t="n">
        <v>7</v>
      </c>
      <c r="H11119" s="4" t="n">
        <v>4</v>
      </c>
      <c r="I11119" s="4" t="str">
        <v>×</v>
      </c>
      <c r="J11119" s="4"/>
      <c r="K11119" s="4"/>
      <c r="L11119" s="4"/>
      <c r="M11119" s="5" t="s">
        <v>6501</v>
      </c>
    </row>
    <row r="11120" customFormat="false" ht="15.75" hidden="false" customHeight="false" outlineLevel="0" collapsed="false">
      <c r="A11120" s="6" t="n">
        <v>46194</v>
      </c>
      <c r="B11120" s="4" t="s">
        <v>4172</v>
      </c>
      <c r="C11120" s="4" t="n">
        <v>11</v>
      </c>
      <c r="D11120" s="4" t="n">
        <v>13</v>
      </c>
      <c r="E11120" s="4"/>
      <c r="F11120" s="4" t="n">
        <v>6</v>
      </c>
      <c r="G11120" s="4" t="n">
        <v>11</v>
      </c>
      <c r="H11120" s="4" t="n">
        <v>4</v>
      </c>
      <c r="I11120" s="4" t="str">
        <v>×</v>
      </c>
      <c r="J11120" s="4"/>
      <c r="K11120" s="4"/>
      <c r="L11120" s="4"/>
      <c r="M11120" s="5" t="s">
        <v>6501</v>
      </c>
    </row>
    <row r="11121" customFormat="false" ht="15.75" hidden="false" customHeight="false" outlineLevel="0" collapsed="false">
      <c r="A11121" s="6" t="n">
        <v>46194</v>
      </c>
      <c r="B11121" s="4" t="s">
        <v>4172</v>
      </c>
      <c r="C11121" s="4" t="n">
        <v>11</v>
      </c>
      <c r="D11121" s="4" t="n">
        <v>14</v>
      </c>
      <c r="E11121" s="4"/>
      <c r="F11121" s="4" t="n">
        <v>47</v>
      </c>
      <c r="G11121" s="4" t="n">
        <v>1</v>
      </c>
      <c r="H11121" s="4" t="n">
        <v>4</v>
      </c>
      <c r="I11121" s="4" t="str">
        <v>×</v>
      </c>
      <c r="J11121" s="4"/>
      <c r="K11121" s="4"/>
      <c r="L11121" s="4"/>
      <c r="M11121" s="5" t="s">
        <v>6501</v>
      </c>
    </row>
    <row r="11122" customFormat="false" ht="15.75" hidden="false" customHeight="false" outlineLevel="0" collapsed="false">
      <c r="A11122" s="6" t="n">
        <v>46194</v>
      </c>
      <c r="B11122" s="4" t="s">
        <v>4172</v>
      </c>
      <c r="C11122" s="4" t="n">
        <v>11</v>
      </c>
      <c r="D11122" s="4" t="n">
        <v>15</v>
      </c>
      <c r="E11122" s="4"/>
      <c r="F11122" s="4" t="n">
        <v>25</v>
      </c>
      <c r="G11122" s="4" t="n">
        <v>6</v>
      </c>
      <c r="H11122" s="4" t="n">
        <v>4</v>
      </c>
      <c r="I11122" s="4" t="str">
        <v>×</v>
      </c>
      <c r="J11122" s="4"/>
      <c r="K11122" s="4"/>
      <c r="L11122" s="4"/>
      <c r="M11122" s="5" t="s">
        <v>6501</v>
      </c>
    </row>
    <row r="11123" customFormat="false" ht="15.75" hidden="false" customHeight="false" outlineLevel="0" collapsed="false">
      <c r="A11123" s="6" t="n">
        <v>46194</v>
      </c>
      <c r="B11123" s="4" t="s">
        <v>4172</v>
      </c>
      <c r="C11123" s="4" t="n">
        <v>11</v>
      </c>
      <c r="D11123" s="4" t="n">
        <v>16</v>
      </c>
      <c r="E11123" s="4"/>
      <c r="F11123" s="4" t="n">
        <v>15</v>
      </c>
      <c r="G11123" s="4" t="n">
        <v>9</v>
      </c>
      <c r="H11123" s="4" t="n">
        <v>4</v>
      </c>
      <c r="I11123" s="4" t="str">
        <v>×</v>
      </c>
      <c r="J11123" s="4"/>
      <c r="K11123" s="4"/>
      <c r="L11123" s="4"/>
      <c r="M11123" s="5" t="s">
        <v>6501</v>
      </c>
    </row>
    <row r="11124" customFormat="false" ht="15.75" hidden="false" customHeight="false" outlineLevel="0" collapsed="false">
      <c r="A11124" s="6" t="n">
        <v>46194</v>
      </c>
      <c r="B11124" s="4" t="s">
        <v>4172</v>
      </c>
      <c r="C11124" s="4" t="n">
        <v>11</v>
      </c>
      <c r="D11124" s="4" t="n">
        <v>17</v>
      </c>
      <c r="E11124" s="4"/>
      <c r="F11124" s="4" t="n">
        <v>8</v>
      </c>
      <c r="G11124" s="4" t="n">
        <v>10</v>
      </c>
      <c r="H11124" s="4" t="n">
        <v>4</v>
      </c>
      <c r="I11124" s="4" t="str">
        <v>×</v>
      </c>
      <c r="J11124" s="4"/>
      <c r="K11124" s="4"/>
      <c r="L11124" s="4"/>
      <c r="M11124" s="5" t="s">
        <v>6501</v>
      </c>
    </row>
    <row r="11125" customFormat="false" ht="15.75" hidden="false" customHeight="false" outlineLevel="0" collapsed="false">
      <c r="A11125" s="6" t="n">
        <v>46194</v>
      </c>
      <c r="B11125" s="4" t="s">
        <v>4172</v>
      </c>
      <c r="C11125" s="4" t="n">
        <v>11</v>
      </c>
      <c r="D11125" s="4" t="n">
        <v>18</v>
      </c>
      <c r="E11125" s="4"/>
      <c r="F11125" s="4" t="n">
        <v>39</v>
      </c>
      <c r="G11125" s="4" t="n">
        <v>2</v>
      </c>
      <c r="H11125" s="4" t="n">
        <v>4</v>
      </c>
      <c r="I11125" s="4" t="str">
        <v>×</v>
      </c>
      <c r="J11125" s="4"/>
      <c r="K11125" s="4"/>
      <c r="L11125" s="4"/>
      <c r="M11125" s="5" t="s">
        <v>6501</v>
      </c>
    </row>
    <row r="11126" customFormat="false" ht="15.75" hidden="false" customHeight="false" outlineLevel="0" collapsed="false">
      <c r="A11126" s="6" t="n">
        <v>46194</v>
      </c>
      <c r="B11126" s="4" t="s">
        <v>4172</v>
      </c>
      <c r="C11126" s="4" t="n">
        <v>12</v>
      </c>
      <c r="D11126" s="4" t="n">
        <v>1</v>
      </c>
      <c r="E11126" s="4"/>
      <c r="F11126" s="4" t="n">
        <v>3</v>
      </c>
      <c r="G11126" s="4" t="n">
        <v>10</v>
      </c>
      <c r="H11126" s="4" t="n">
        <v>4</v>
      </c>
      <c r="I11126" s="4" t="str">
        <v>×</v>
      </c>
      <c r="J11126" s="4"/>
      <c r="K11126" s="4"/>
      <c r="L11126" s="4"/>
      <c r="M11126" s="5" t="s">
        <v>6501</v>
      </c>
    </row>
    <row r="11127" customFormat="false" ht="15.75" hidden="false" customHeight="false" outlineLevel="0" collapsed="false">
      <c r="A11127" s="6" t="n">
        <v>46194</v>
      </c>
      <c r="B11127" s="4" t="s">
        <v>4172</v>
      </c>
      <c r="C11127" s="4" t="n">
        <v>12</v>
      </c>
      <c r="D11127" s="4" t="n">
        <v>2</v>
      </c>
      <c r="E11127" s="4"/>
      <c r="F11127" s="4" t="n">
        <v>34</v>
      </c>
      <c r="G11127" s="4" t="n">
        <v>3</v>
      </c>
      <c r="H11127" s="4" t="n">
        <v>4</v>
      </c>
      <c r="I11127" s="4" t="str">
        <v>×</v>
      </c>
      <c r="J11127" s="4"/>
      <c r="K11127" s="4"/>
      <c r="L11127" s="4"/>
      <c r="M11127" s="5" t="s">
        <v>6501</v>
      </c>
    </row>
    <row r="11128" customFormat="false" ht="15.75" hidden="false" customHeight="false" outlineLevel="0" collapsed="false">
      <c r="A11128" s="6" t="n">
        <v>46194</v>
      </c>
      <c r="B11128" s="4" t="s">
        <v>4172</v>
      </c>
      <c r="C11128" s="4" t="n">
        <v>12</v>
      </c>
      <c r="D11128" s="4" t="n">
        <v>3</v>
      </c>
      <c r="E11128" s="4"/>
      <c r="F11128" s="4" t="n">
        <v>29</v>
      </c>
      <c r="G11128" s="4" t="n">
        <v>4</v>
      </c>
      <c r="H11128" s="4" t="n">
        <v>2</v>
      </c>
      <c r="I11128" s="4" t="str">
        <v>○</v>
      </c>
      <c r="J11128" s="4" t="n">
        <v>250</v>
      </c>
      <c r="K11128" s="4"/>
      <c r="L11128" s="4"/>
      <c r="M11128" s="5" t="s">
        <v>6501</v>
      </c>
    </row>
    <row r="11129" customFormat="false" ht="15.75" hidden="false" customHeight="false" outlineLevel="0" collapsed="false">
      <c r="A11129" s="6" t="n">
        <v>46194</v>
      </c>
      <c r="B11129" s="4" t="s">
        <v>4172</v>
      </c>
      <c r="C11129" s="4" t="n">
        <v>12</v>
      </c>
      <c r="D11129" s="4" t="n">
        <v>4</v>
      </c>
      <c r="E11129" s="4"/>
      <c r="F11129" s="4" t="n">
        <v>29</v>
      </c>
      <c r="G11129" s="4" t="n">
        <v>4</v>
      </c>
      <c r="H11129" s="4" t="n">
        <v>3</v>
      </c>
      <c r="I11129" s="4" t="str">
        <v>○</v>
      </c>
      <c r="J11129" s="4" t="n">
        <v>160</v>
      </c>
      <c r="K11129" s="4"/>
      <c r="L11129" s="4"/>
      <c r="M11129" s="5" t="s">
        <v>6501</v>
      </c>
    </row>
    <row r="11130" customFormat="false" ht="15.75" hidden="false" customHeight="false" outlineLevel="0" collapsed="false">
      <c r="A11130" s="6" t="n">
        <v>46194</v>
      </c>
      <c r="B11130" s="4" t="s">
        <v>4172</v>
      </c>
      <c r="C11130" s="4" t="n">
        <v>12</v>
      </c>
      <c r="D11130" s="4" t="n">
        <v>5</v>
      </c>
      <c r="E11130" s="4"/>
      <c r="F11130" s="4" t="n">
        <v>6</v>
      </c>
      <c r="G11130" s="4" t="n">
        <v>8</v>
      </c>
      <c r="H11130" s="4" t="n">
        <v>4</v>
      </c>
      <c r="I11130" s="4" t="str">
        <v>×</v>
      </c>
      <c r="J11130" s="4"/>
      <c r="K11130" s="4"/>
      <c r="L11130" s="4"/>
      <c r="M11130" s="5" t="s">
        <v>6501</v>
      </c>
    </row>
    <row r="11131" customFormat="false" ht="15.75" hidden="false" customHeight="false" outlineLevel="0" collapsed="false">
      <c r="A11131" s="6" t="n">
        <v>46194</v>
      </c>
      <c r="B11131" s="4" t="s">
        <v>4172</v>
      </c>
      <c r="C11131" s="4" t="n">
        <v>12</v>
      </c>
      <c r="D11131" s="4" t="n">
        <v>6</v>
      </c>
      <c r="E11131" s="4"/>
      <c r="F11131" s="4" t="n">
        <v>8</v>
      </c>
      <c r="G11131" s="4" t="n">
        <v>7</v>
      </c>
      <c r="H11131" s="4" t="n">
        <v>4</v>
      </c>
      <c r="I11131" s="4" t="str">
        <v>×</v>
      </c>
      <c r="J11131" s="4"/>
      <c r="K11131" s="4"/>
      <c r="L11131" s="4"/>
      <c r="M11131" s="5" t="s">
        <v>6501</v>
      </c>
    </row>
    <row r="11132" customFormat="false" ht="15.75" hidden="false" customHeight="false" outlineLevel="0" collapsed="false">
      <c r="A11132" s="6" t="n">
        <v>46194</v>
      </c>
      <c r="B11132" s="4" t="s">
        <v>4172</v>
      </c>
      <c r="C11132" s="4" t="n">
        <v>12</v>
      </c>
      <c r="D11132" s="4" t="n">
        <v>7</v>
      </c>
      <c r="E11132" s="4"/>
      <c r="F11132" s="4" t="n">
        <v>6</v>
      </c>
      <c r="G11132" s="4" t="n">
        <v>8</v>
      </c>
      <c r="H11132" s="4" t="n">
        <v>4</v>
      </c>
      <c r="I11132" s="4" t="str">
        <v>×</v>
      </c>
      <c r="J11132" s="4"/>
      <c r="K11132" s="4"/>
      <c r="L11132" s="4"/>
      <c r="M11132" s="5" t="s">
        <v>6501</v>
      </c>
    </row>
    <row r="11133" customFormat="false" ht="15.75" hidden="false" customHeight="false" outlineLevel="0" collapsed="false">
      <c r="A11133" s="6" t="n">
        <v>46194</v>
      </c>
      <c r="B11133" s="4" t="s">
        <v>4172</v>
      </c>
      <c r="C11133" s="4" t="n">
        <v>12</v>
      </c>
      <c r="D11133" s="4" t="n">
        <v>8</v>
      </c>
      <c r="E11133" s="4"/>
      <c r="F11133" s="4" t="n">
        <v>15</v>
      </c>
      <c r="G11133" s="4" t="n">
        <v>5</v>
      </c>
      <c r="H11133" s="4" t="n">
        <v>4</v>
      </c>
      <c r="I11133" s="4" t="str">
        <v>×</v>
      </c>
      <c r="J11133" s="4"/>
      <c r="K11133" s="4"/>
      <c r="L11133" s="4"/>
      <c r="M11133" s="5" t="s">
        <v>6501</v>
      </c>
    </row>
    <row r="11134" customFormat="false" ht="15.75" hidden="false" customHeight="false" outlineLevel="0" collapsed="false">
      <c r="A11134" s="6" t="n">
        <v>46194</v>
      </c>
      <c r="B11134" s="4" t="s">
        <v>4172</v>
      </c>
      <c r="C11134" s="4" t="n">
        <v>12</v>
      </c>
      <c r="D11134" s="4" t="n">
        <v>9</v>
      </c>
      <c r="E11134" s="4"/>
      <c r="F11134" s="4" t="n">
        <v>10</v>
      </c>
      <c r="G11134" s="4" t="n">
        <v>6</v>
      </c>
      <c r="H11134" s="4" t="n">
        <v>4</v>
      </c>
      <c r="I11134" s="4" t="str">
        <v>×</v>
      </c>
      <c r="J11134" s="4"/>
      <c r="K11134" s="4"/>
      <c r="L11134" s="4"/>
      <c r="M11134" s="5" t="s">
        <v>6501</v>
      </c>
    </row>
    <row r="11135" customFormat="false" ht="15.75" hidden="false" customHeight="false" outlineLevel="0" collapsed="false">
      <c r="A11135" s="6" t="n">
        <v>46194</v>
      </c>
      <c r="B11135" s="4" t="s">
        <v>4172</v>
      </c>
      <c r="C11135" s="4" t="n">
        <v>12</v>
      </c>
      <c r="D11135" s="4" t="n">
        <v>10</v>
      </c>
      <c r="E11135" s="4"/>
      <c r="F11135" s="4" t="n">
        <v>6</v>
      </c>
      <c r="G11135" s="4" t="n">
        <v>8</v>
      </c>
      <c r="H11135" s="4" t="n">
        <v>4</v>
      </c>
      <c r="I11135" s="4" t="str">
        <v>×</v>
      </c>
      <c r="J11135" s="4"/>
      <c r="K11135" s="4"/>
      <c r="L11135" s="4"/>
      <c r="M11135" s="5" t="s">
        <v>6501</v>
      </c>
    </row>
    <row r="11136" customFormat="false" ht="15.75" hidden="false" customHeight="false" outlineLevel="0" collapsed="false">
      <c r="A11136" s="6" t="n">
        <v>46194</v>
      </c>
      <c r="B11136" s="4" t="s">
        <v>4172</v>
      </c>
      <c r="C11136" s="4" t="n">
        <v>12</v>
      </c>
      <c r="D11136" s="4" t="n">
        <v>11</v>
      </c>
      <c r="E11136" s="4"/>
      <c r="F11136" s="4" t="n">
        <v>4</v>
      </c>
      <c r="G11136" s="4" t="n">
        <v>9</v>
      </c>
      <c r="H11136" s="4" t="n">
        <v>4</v>
      </c>
      <c r="I11136" s="4" t="str">
        <v>×</v>
      </c>
      <c r="J11136" s="4"/>
      <c r="K11136" s="4"/>
      <c r="L11136" s="4"/>
      <c r="M11136" s="5" t="s">
        <v>6501</v>
      </c>
    </row>
    <row r="11137" customFormat="false" ht="15.75" hidden="false" customHeight="false" outlineLevel="0" collapsed="false">
      <c r="A11137" s="6" t="n">
        <v>46194</v>
      </c>
      <c r="B11137" s="4" t="s">
        <v>4172</v>
      </c>
      <c r="C11137" s="4" t="n">
        <v>12</v>
      </c>
      <c r="D11137" s="4" t="n">
        <v>12</v>
      </c>
      <c r="E11137" s="4"/>
      <c r="F11137" s="4" t="n">
        <v>37</v>
      </c>
      <c r="G11137" s="4" t="n">
        <v>2</v>
      </c>
      <c r="H11137" s="4" t="n">
        <v>1</v>
      </c>
      <c r="I11137" s="4" t="str">
        <v>○</v>
      </c>
      <c r="J11137" s="4" t="n">
        <v>110</v>
      </c>
      <c r="K11137" s="4"/>
      <c r="L11137" s="4"/>
      <c r="M11137" s="5" t="s">
        <v>6501</v>
      </c>
    </row>
    <row r="11138" customFormat="false" ht="15.75" hidden="false" customHeight="false" outlineLevel="0" collapsed="false">
      <c r="A11138" s="6" t="n">
        <v>46194</v>
      </c>
      <c r="B11138" s="4" t="s">
        <v>4172</v>
      </c>
      <c r="C11138" s="4" t="n">
        <v>12</v>
      </c>
      <c r="D11138" s="4" t="n">
        <v>13</v>
      </c>
      <c r="E11138" s="4"/>
      <c r="F11138" s="4" t="n">
        <v>56</v>
      </c>
      <c r="G11138" s="4" t="n">
        <v>1</v>
      </c>
      <c r="H11138" s="4" t="n">
        <v>4</v>
      </c>
      <c r="I11138" s="4" t="str">
        <v>×</v>
      </c>
      <c r="J11138" s="4"/>
      <c r="K11138" s="4"/>
      <c r="L11138" s="4"/>
      <c r="M11138" s="5" t="s">
        <v>6502</v>
      </c>
    </row>
    <row r="11139" customFormat="false" ht="15.75" hidden="false" customHeight="false" outlineLevel="0" collapsed="false">
      <c r="A11139" s="6" t="n">
        <v>46221</v>
      </c>
      <c r="B11139" s="4" t="s">
        <v>1237</v>
      </c>
      <c r="C11139" s="4" t="n">
        <v>1</v>
      </c>
      <c r="D11139" s="4" t="n">
        <v>1</v>
      </c>
      <c r="E11139" s="4"/>
      <c r="F11139" s="4" t="n">
        <v>10</v>
      </c>
      <c r="G11139" s="4" t="n">
        <v>6</v>
      </c>
      <c r="H11139" s="4" t="n">
        <v>4</v>
      </c>
      <c r="I11139" s="4" t="str">
        <v>×</v>
      </c>
      <c r="J11139" s="4"/>
      <c r="K11139" s="4"/>
      <c r="L11139" s="4"/>
      <c r="M11139" s="5" t="s">
        <v>6502</v>
      </c>
    </row>
    <row r="11140" customFormat="false" ht="15.75" hidden="false" customHeight="false" outlineLevel="0" collapsed="false">
      <c r="A11140" s="6" t="n">
        <v>46221</v>
      </c>
      <c r="B11140" s="4" t="s">
        <v>1237</v>
      </c>
      <c r="C11140" s="4" t="n">
        <v>1</v>
      </c>
      <c r="D11140" s="4" t="n">
        <v>2</v>
      </c>
      <c r="E11140" s="4"/>
      <c r="F11140" s="4" t="n">
        <v>75</v>
      </c>
      <c r="G11140" s="4" t="n">
        <v>2</v>
      </c>
      <c r="H11140" s="4" t="n">
        <v>1</v>
      </c>
      <c r="I11140" s="4" t="str">
        <v>○</v>
      </c>
      <c r="J11140" s="4" t="n">
        <v>100</v>
      </c>
      <c r="K11140" s="4"/>
      <c r="L11140" s="4"/>
      <c r="M11140" s="5" t="s">
        <v>6502</v>
      </c>
    </row>
    <row r="11141" customFormat="false" ht="15.75" hidden="false" customHeight="false" outlineLevel="0" collapsed="false">
      <c r="A11141" s="6" t="n">
        <v>46221</v>
      </c>
      <c r="B11141" s="4" t="s">
        <v>1237</v>
      </c>
      <c r="C11141" s="4" t="n">
        <v>1</v>
      </c>
      <c r="D11141" s="4" t="n">
        <v>3</v>
      </c>
      <c r="E11141" s="4"/>
      <c r="F11141" s="4" t="n">
        <v>20</v>
      </c>
      <c r="G11141" s="4" t="n">
        <v>4</v>
      </c>
      <c r="H11141" s="4" t="n">
        <v>3</v>
      </c>
      <c r="I11141" s="4" t="str">
        <v>○</v>
      </c>
      <c r="J11141" s="4" t="n">
        <v>130</v>
      </c>
      <c r="K11141" s="4"/>
      <c r="L11141" s="4"/>
      <c r="M11141" s="5" t="s">
        <v>6502</v>
      </c>
    </row>
    <row r="11142" customFormat="false" ht="15.75" hidden="false" customHeight="false" outlineLevel="0" collapsed="false">
      <c r="A11142" s="6" t="n">
        <v>46221</v>
      </c>
      <c r="B11142" s="4" t="s">
        <v>1237</v>
      </c>
      <c r="C11142" s="4" t="n">
        <v>1</v>
      </c>
      <c r="D11142" s="4" t="n">
        <v>4</v>
      </c>
      <c r="E11142" s="4"/>
      <c r="F11142" s="4" t="n">
        <v>25</v>
      </c>
      <c r="G11142" s="4" t="n">
        <v>3</v>
      </c>
      <c r="H11142" s="4" t="n">
        <v>4</v>
      </c>
      <c r="I11142" s="4" t="str">
        <v>×</v>
      </c>
      <c r="J11142" s="4"/>
      <c r="K11142" s="4"/>
      <c r="L11142" s="4"/>
      <c r="M11142" s="5" t="s">
        <v>6502</v>
      </c>
    </row>
    <row r="11143" customFormat="false" ht="15.75" hidden="false" customHeight="false" outlineLevel="0" collapsed="false">
      <c r="A11143" s="6" t="n">
        <v>46221</v>
      </c>
      <c r="B11143" s="4" t="s">
        <v>1237</v>
      </c>
      <c r="C11143" s="4" t="n">
        <v>1</v>
      </c>
      <c r="D11143" s="4" t="n">
        <v>5</v>
      </c>
      <c r="E11143" s="4"/>
      <c r="F11143" s="4" t="n">
        <v>17</v>
      </c>
      <c r="G11143" s="4" t="n">
        <v>5</v>
      </c>
      <c r="H11143" s="4" t="n">
        <v>4</v>
      </c>
      <c r="I11143" s="4" t="str">
        <v>×</v>
      </c>
      <c r="J11143" s="4"/>
      <c r="K11143" s="4"/>
      <c r="L11143" s="4"/>
      <c r="M11143" s="5" t="s">
        <v>6502</v>
      </c>
    </row>
    <row r="11144" customFormat="false" ht="15.75" hidden="false" customHeight="false" outlineLevel="0" collapsed="false">
      <c r="A11144" s="6" t="n">
        <v>46221</v>
      </c>
      <c r="B11144" s="4" t="s">
        <v>1237</v>
      </c>
      <c r="C11144" s="4" t="n">
        <v>1</v>
      </c>
      <c r="D11144" s="4" t="n">
        <v>6</v>
      </c>
      <c r="E11144" s="4"/>
      <c r="F11144" s="4" t="n">
        <v>81</v>
      </c>
      <c r="G11144" s="4" t="n">
        <v>1</v>
      </c>
      <c r="H11144" s="4" t="n">
        <v>2</v>
      </c>
      <c r="I11144" s="4" t="str">
        <v>○</v>
      </c>
      <c r="J11144" s="4" t="n">
        <v>100</v>
      </c>
      <c r="K11144" s="4"/>
      <c r="L11144" s="4"/>
      <c r="M11144" s="5" t="s">
        <v>6502</v>
      </c>
    </row>
    <row r="11145" customFormat="false" ht="15.75" hidden="false" customHeight="false" outlineLevel="0" collapsed="false">
      <c r="A11145" s="6" t="n">
        <v>46221</v>
      </c>
      <c r="B11145" s="4" t="s">
        <v>1237</v>
      </c>
      <c r="C11145" s="4" t="n">
        <v>1</v>
      </c>
      <c r="D11145" s="4" t="n">
        <v>7</v>
      </c>
      <c r="E11145" s="4"/>
      <c r="F11145" s="4" t="n">
        <v>10</v>
      </c>
      <c r="G11145" s="4" t="n">
        <v>6</v>
      </c>
      <c r="H11145" s="4" t="n">
        <v>4</v>
      </c>
      <c r="I11145" s="4" t="str">
        <v>×</v>
      </c>
      <c r="J11145" s="4"/>
      <c r="K11145" s="4"/>
      <c r="L11145" s="4"/>
      <c r="M11145" s="5" t="s">
        <v>6502</v>
      </c>
    </row>
    <row r="11146" customFormat="false" ht="15.75" hidden="false" customHeight="false" outlineLevel="0" collapsed="false">
      <c r="A11146" s="6" t="n">
        <v>46221</v>
      </c>
      <c r="B11146" s="4" t="s">
        <v>1237</v>
      </c>
      <c r="C11146" s="4" t="n">
        <v>1</v>
      </c>
      <c r="D11146" s="4" t="n">
        <v>8</v>
      </c>
      <c r="E11146" s="4"/>
      <c r="F11146" s="4" t="n">
        <v>8</v>
      </c>
      <c r="G11146" s="4" t="n">
        <v>8</v>
      </c>
      <c r="H11146" s="4" t="n">
        <v>4</v>
      </c>
      <c r="I11146" s="4" t="str">
        <v>×</v>
      </c>
      <c r="J11146" s="4"/>
      <c r="K11146" s="4"/>
      <c r="L11146" s="4"/>
      <c r="M11146" s="5" t="s">
        <v>6502</v>
      </c>
    </row>
    <row r="11147" customFormat="false" ht="15.75" hidden="false" customHeight="false" outlineLevel="0" collapsed="false">
      <c r="A11147" s="6" t="n">
        <v>46221</v>
      </c>
      <c r="B11147" s="4" t="s">
        <v>1237</v>
      </c>
      <c r="C11147" s="4" t="n">
        <v>2</v>
      </c>
      <c r="D11147" s="4" t="n">
        <v>1</v>
      </c>
      <c r="E11147" s="4"/>
      <c r="F11147" s="4" t="n">
        <v>20</v>
      </c>
      <c r="G11147" s="4" t="n">
        <v>6</v>
      </c>
      <c r="H11147" s="4" t="n">
        <v>4</v>
      </c>
      <c r="I11147" s="4" t="str">
        <v>×</v>
      </c>
      <c r="J11147" s="4"/>
      <c r="K11147" s="4"/>
      <c r="L11147" s="4"/>
      <c r="M11147" s="5" t="s">
        <v>6502</v>
      </c>
    </row>
    <row r="11148" customFormat="false" ht="15.75" hidden="false" customHeight="false" outlineLevel="0" collapsed="false">
      <c r="A11148" s="6" t="n">
        <v>46221</v>
      </c>
      <c r="B11148" s="4" t="s">
        <v>1237</v>
      </c>
      <c r="C11148" s="4" t="n">
        <v>2</v>
      </c>
      <c r="D11148" s="4" t="n">
        <v>2</v>
      </c>
      <c r="E11148" s="4"/>
      <c r="F11148" s="4" t="n">
        <v>23</v>
      </c>
      <c r="G11148" s="4" t="n">
        <v>5</v>
      </c>
      <c r="H11148" s="4" t="n">
        <v>1</v>
      </c>
      <c r="I11148" s="4" t="str">
        <v>○</v>
      </c>
      <c r="J11148" s="4" t="n">
        <v>240</v>
      </c>
      <c r="K11148" s="4"/>
      <c r="L11148" s="4"/>
      <c r="M11148" s="5" t="s">
        <v>6502</v>
      </c>
    </row>
    <row r="11149" customFormat="false" ht="15.75" hidden="false" customHeight="false" outlineLevel="0" collapsed="false">
      <c r="A11149" s="6" t="n">
        <v>46221</v>
      </c>
      <c r="B11149" s="4" t="s">
        <v>1237</v>
      </c>
      <c r="C11149" s="4" t="n">
        <v>2</v>
      </c>
      <c r="D11149" s="4" t="n">
        <v>3</v>
      </c>
      <c r="E11149" s="4"/>
      <c r="F11149" s="4" t="n">
        <v>20</v>
      </c>
      <c r="G11149" s="4" t="n">
        <v>6</v>
      </c>
      <c r="H11149" s="4" t="n">
        <v>4</v>
      </c>
      <c r="I11149" s="4" t="str">
        <v>×</v>
      </c>
      <c r="J11149" s="4"/>
      <c r="K11149" s="4"/>
      <c r="L11149" s="4"/>
      <c r="M11149" s="5" t="s">
        <v>6502</v>
      </c>
    </row>
    <row r="11150" customFormat="false" ht="15.75" hidden="false" customHeight="false" outlineLevel="0" collapsed="false">
      <c r="A11150" s="6" t="n">
        <v>46221</v>
      </c>
      <c r="B11150" s="4" t="s">
        <v>1237</v>
      </c>
      <c r="C11150" s="4" t="n">
        <v>2</v>
      </c>
      <c r="D11150" s="4" t="n">
        <v>4</v>
      </c>
      <c r="E11150" s="4"/>
      <c r="F11150" s="4" t="n">
        <v>6</v>
      </c>
      <c r="G11150" s="4" t="n">
        <v>12</v>
      </c>
      <c r="H11150" s="4" t="n">
        <v>4</v>
      </c>
      <c r="I11150" s="4" t="str">
        <v>×</v>
      </c>
      <c r="J11150" s="4"/>
      <c r="K11150" s="4"/>
      <c r="L11150" s="4"/>
      <c r="M11150" s="5" t="s">
        <v>6502</v>
      </c>
    </row>
    <row r="11151" customFormat="false" ht="15.75" hidden="false" customHeight="false" outlineLevel="0" collapsed="false">
      <c r="A11151" s="6" t="n">
        <v>46221</v>
      </c>
      <c r="B11151" s="4" t="s">
        <v>1237</v>
      </c>
      <c r="C11151" s="4" t="n">
        <v>2</v>
      </c>
      <c r="D11151" s="4" t="n">
        <v>5</v>
      </c>
      <c r="E11151" s="4"/>
      <c r="F11151" s="4" t="n">
        <v>25</v>
      </c>
      <c r="G11151" s="4" t="n">
        <v>4</v>
      </c>
      <c r="H11151" s="4" t="n">
        <v>4</v>
      </c>
      <c r="I11151" s="4" t="str">
        <v>×</v>
      </c>
      <c r="J11151" s="4"/>
      <c r="K11151" s="4"/>
      <c r="L11151" s="4"/>
      <c r="M11151" s="5" t="s">
        <v>6502</v>
      </c>
    </row>
    <row r="11152" customFormat="false" ht="15.75" hidden="false" customHeight="false" outlineLevel="0" collapsed="false">
      <c r="A11152" s="6" t="n">
        <v>46221</v>
      </c>
      <c r="B11152" s="4" t="s">
        <v>1237</v>
      </c>
      <c r="C11152" s="4" t="n">
        <v>2</v>
      </c>
      <c r="D11152" s="4" t="n">
        <v>6</v>
      </c>
      <c r="E11152" s="4"/>
      <c r="F11152" s="4" t="n">
        <v>44</v>
      </c>
      <c r="G11152" s="4" t="n">
        <v>3</v>
      </c>
      <c r="H11152" s="4" t="n">
        <v>4</v>
      </c>
      <c r="I11152" s="4" t="str">
        <v>×</v>
      </c>
      <c r="J11152" s="4"/>
      <c r="K11152" s="4"/>
      <c r="L11152" s="4"/>
      <c r="M11152" s="5" t="s">
        <v>6502</v>
      </c>
    </row>
    <row r="11153" customFormat="false" ht="15.75" hidden="false" customHeight="false" outlineLevel="0" collapsed="false">
      <c r="A11153" s="6" t="n">
        <v>46221</v>
      </c>
      <c r="B11153" s="4" t="s">
        <v>1237</v>
      </c>
      <c r="C11153" s="4" t="n">
        <v>2</v>
      </c>
      <c r="D11153" s="4" t="n">
        <v>7</v>
      </c>
      <c r="E11153" s="4"/>
      <c r="F11153" s="4" t="n">
        <v>50</v>
      </c>
      <c r="G11153" s="4" t="n">
        <v>1</v>
      </c>
      <c r="H11153" s="4" t="n">
        <v>2</v>
      </c>
      <c r="I11153" s="4" t="str">
        <v>○</v>
      </c>
      <c r="J11153" s="4" t="n">
        <v>150</v>
      </c>
      <c r="K11153" s="4"/>
      <c r="L11153" s="4"/>
      <c r="M11153" s="5" t="s">
        <v>6502</v>
      </c>
    </row>
    <row r="11154" customFormat="false" ht="15.75" hidden="false" customHeight="false" outlineLevel="0" collapsed="false">
      <c r="A11154" s="6" t="n">
        <v>46221</v>
      </c>
      <c r="B11154" s="4" t="s">
        <v>1237</v>
      </c>
      <c r="C11154" s="4" t="n">
        <v>2</v>
      </c>
      <c r="D11154" s="4" t="n">
        <v>8</v>
      </c>
      <c r="E11154" s="4"/>
      <c r="F11154" s="4" t="n">
        <v>20</v>
      </c>
      <c r="G11154" s="4" t="n">
        <v>6</v>
      </c>
      <c r="H11154" s="4" t="n">
        <v>4</v>
      </c>
      <c r="I11154" s="4" t="str">
        <v>×</v>
      </c>
      <c r="J11154" s="4"/>
      <c r="K11154" s="4"/>
      <c r="L11154" s="4"/>
      <c r="M11154" s="5" t="s">
        <v>6502</v>
      </c>
    </row>
    <row r="11155" customFormat="false" ht="15.75" hidden="false" customHeight="false" outlineLevel="0" collapsed="false">
      <c r="A11155" s="6" t="n">
        <v>46221</v>
      </c>
      <c r="B11155" s="4" t="s">
        <v>1237</v>
      </c>
      <c r="C11155" s="4" t="n">
        <v>2</v>
      </c>
      <c r="D11155" s="4" t="n">
        <v>9</v>
      </c>
      <c r="E11155" s="4"/>
      <c r="F11155" s="4" t="n">
        <v>10</v>
      </c>
      <c r="G11155" s="4" t="n">
        <v>11</v>
      </c>
      <c r="H11155" s="4" t="n">
        <v>4</v>
      </c>
      <c r="I11155" s="4" t="str">
        <v>×</v>
      </c>
      <c r="J11155" s="4"/>
      <c r="K11155" s="4"/>
      <c r="L11155" s="4"/>
      <c r="M11155" s="5" t="s">
        <v>6502</v>
      </c>
    </row>
    <row r="11156" customFormat="false" ht="15.75" hidden="false" customHeight="false" outlineLevel="0" collapsed="false">
      <c r="A11156" s="6" t="n">
        <v>46221</v>
      </c>
      <c r="B11156" s="4" t="s">
        <v>1237</v>
      </c>
      <c r="C11156" s="4" t="n">
        <v>2</v>
      </c>
      <c r="D11156" s="4" t="n">
        <v>10</v>
      </c>
      <c r="E11156" s="4"/>
      <c r="F11156" s="4" t="n">
        <v>20</v>
      </c>
      <c r="G11156" s="4" t="n">
        <v>6</v>
      </c>
      <c r="H11156" s="4" t="n">
        <v>4</v>
      </c>
      <c r="I11156" s="4" t="str">
        <v>×</v>
      </c>
      <c r="J11156" s="4"/>
      <c r="K11156" s="4"/>
      <c r="L11156" s="4"/>
      <c r="M11156" s="5" t="s">
        <v>6502</v>
      </c>
    </row>
    <row r="11157" customFormat="false" ht="15.75" hidden="false" customHeight="false" outlineLevel="0" collapsed="false">
      <c r="A11157" s="6" t="n">
        <v>46221</v>
      </c>
      <c r="B11157" s="4" t="s">
        <v>1237</v>
      </c>
      <c r="C11157" s="4" t="n">
        <v>2</v>
      </c>
      <c r="D11157" s="4" t="n">
        <v>11</v>
      </c>
      <c r="E11157" s="4"/>
      <c r="F11157" s="4" t="n">
        <v>47</v>
      </c>
      <c r="G11157" s="4" t="n">
        <v>2</v>
      </c>
      <c r="H11157" s="4" t="n">
        <v>4</v>
      </c>
      <c r="I11157" s="4" t="str">
        <v>×</v>
      </c>
      <c r="J11157" s="4"/>
      <c r="K11157" s="4"/>
      <c r="L11157" s="4"/>
      <c r="M11157" s="5" t="s">
        <v>6502</v>
      </c>
    </row>
    <row r="11158" customFormat="false" ht="15.75" hidden="false" customHeight="false" outlineLevel="0" collapsed="false">
      <c r="A11158" s="6" t="n">
        <v>46221</v>
      </c>
      <c r="B11158" s="4" t="s">
        <v>1237</v>
      </c>
      <c r="C11158" s="4" t="n">
        <v>2</v>
      </c>
      <c r="D11158" s="4" t="n">
        <v>12</v>
      </c>
      <c r="E11158" s="4"/>
      <c r="F11158" s="4" t="n">
        <v>15</v>
      </c>
      <c r="G11158" s="4" t="n">
        <v>10</v>
      </c>
      <c r="H11158" s="4" t="n">
        <v>3</v>
      </c>
      <c r="I11158" s="4" t="str">
        <v>○</v>
      </c>
      <c r="J11158" s="4" t="n">
        <v>770</v>
      </c>
      <c r="K11158" s="4"/>
      <c r="L11158" s="4"/>
      <c r="M11158" s="5" t="s">
        <v>6502</v>
      </c>
    </row>
    <row r="11159" customFormat="false" ht="15.75" hidden="false" customHeight="false" outlineLevel="0" collapsed="false">
      <c r="A11159" s="6" t="n">
        <v>46221</v>
      </c>
      <c r="B11159" s="4" t="s">
        <v>1237</v>
      </c>
      <c r="C11159" s="4" t="n">
        <v>3</v>
      </c>
      <c r="D11159" s="4" t="n">
        <v>1</v>
      </c>
      <c r="E11159" s="4"/>
      <c r="F11159" s="4" t="n">
        <v>10</v>
      </c>
      <c r="G11159" s="4" t="n">
        <v>10</v>
      </c>
      <c r="H11159" s="4" t="n">
        <v>4</v>
      </c>
      <c r="I11159" s="4" t="str">
        <v>×</v>
      </c>
      <c r="J11159" s="4"/>
      <c r="K11159" s="4"/>
      <c r="L11159" s="4"/>
      <c r="M11159" s="5" t="s">
        <v>6502</v>
      </c>
    </row>
    <row r="11160" customFormat="false" ht="15.75" hidden="false" customHeight="false" outlineLevel="0" collapsed="false">
      <c r="A11160" s="6" t="n">
        <v>46221</v>
      </c>
      <c r="B11160" s="4" t="s">
        <v>1237</v>
      </c>
      <c r="C11160" s="4" t="n">
        <v>3</v>
      </c>
      <c r="D11160" s="4" t="n">
        <v>2</v>
      </c>
      <c r="E11160" s="4"/>
      <c r="F11160" s="4" t="n">
        <v>56</v>
      </c>
      <c r="G11160" s="4" t="n">
        <v>3</v>
      </c>
      <c r="H11160" s="4" t="n">
        <v>4</v>
      </c>
      <c r="I11160" s="4" t="str">
        <v>×</v>
      </c>
      <c r="J11160" s="4"/>
      <c r="K11160" s="4"/>
      <c r="L11160" s="4"/>
      <c r="M11160" s="5" t="s">
        <v>6502</v>
      </c>
    </row>
    <row r="11161" customFormat="false" ht="15.75" hidden="false" customHeight="false" outlineLevel="0" collapsed="false">
      <c r="A11161" s="6" t="n">
        <v>46221</v>
      </c>
      <c r="B11161" s="4" t="s">
        <v>1237</v>
      </c>
      <c r="C11161" s="4" t="n">
        <v>3</v>
      </c>
      <c r="D11161" s="4" t="n">
        <v>3</v>
      </c>
      <c r="E11161" s="4"/>
      <c r="F11161" s="4" t="n">
        <v>15</v>
      </c>
      <c r="G11161" s="4" t="n">
        <v>6</v>
      </c>
      <c r="H11161" s="4" t="n">
        <v>4</v>
      </c>
      <c r="I11161" s="4" t="str">
        <v>×</v>
      </c>
      <c r="J11161" s="4"/>
      <c r="K11161" s="4"/>
      <c r="L11161" s="4"/>
      <c r="M11161" s="5" t="s">
        <v>6502</v>
      </c>
    </row>
    <row r="11162" customFormat="false" ht="15.75" hidden="false" customHeight="false" outlineLevel="0" collapsed="false">
      <c r="A11162" s="6" t="n">
        <v>46221</v>
      </c>
      <c r="B11162" s="4" t="s">
        <v>1237</v>
      </c>
      <c r="C11162" s="4" t="n">
        <v>3</v>
      </c>
      <c r="D11162" s="4" t="n">
        <v>4</v>
      </c>
      <c r="E11162" s="4"/>
      <c r="F11162" s="4" t="n">
        <v>65</v>
      </c>
      <c r="G11162" s="4" t="n">
        <v>1</v>
      </c>
      <c r="H11162" s="4" t="n">
        <v>2</v>
      </c>
      <c r="I11162" s="4" t="str">
        <v>○</v>
      </c>
      <c r="J11162" s="4" t="n">
        <v>140</v>
      </c>
      <c r="K11162" s="4"/>
      <c r="L11162" s="4"/>
      <c r="M11162" s="5" t="s">
        <v>6502</v>
      </c>
    </row>
    <row r="11163" customFormat="false" ht="15.75" hidden="false" customHeight="false" outlineLevel="0" collapsed="false">
      <c r="A11163" s="6" t="n">
        <v>46221</v>
      </c>
      <c r="B11163" s="4" t="s">
        <v>1237</v>
      </c>
      <c r="C11163" s="4" t="n">
        <v>3</v>
      </c>
      <c r="D11163" s="4" t="n">
        <v>5</v>
      </c>
      <c r="E11163" s="4"/>
      <c r="F11163" s="4" t="n">
        <v>15</v>
      </c>
      <c r="G11163" s="4" t="n">
        <v>6</v>
      </c>
      <c r="H11163" s="4" t="n">
        <v>4</v>
      </c>
      <c r="I11163" s="4" t="str">
        <v>×</v>
      </c>
      <c r="J11163" s="4"/>
      <c r="K11163" s="4"/>
      <c r="L11163" s="4"/>
      <c r="M11163" s="5" t="s">
        <v>6502</v>
      </c>
    </row>
    <row r="11164" customFormat="false" ht="15.75" hidden="false" customHeight="false" outlineLevel="0" collapsed="false">
      <c r="A11164" s="6" t="n">
        <v>46221</v>
      </c>
      <c r="B11164" s="4" t="s">
        <v>1237</v>
      </c>
      <c r="C11164" s="4" t="n">
        <v>3</v>
      </c>
      <c r="D11164" s="4" t="n">
        <v>6</v>
      </c>
      <c r="E11164" s="4"/>
      <c r="F11164" s="4" t="n">
        <v>6</v>
      </c>
      <c r="G11164" s="4" t="n">
        <v>12</v>
      </c>
      <c r="H11164" s="4" t="n">
        <v>4</v>
      </c>
      <c r="I11164" s="4" t="str">
        <v>×</v>
      </c>
      <c r="J11164" s="4"/>
      <c r="K11164" s="4"/>
      <c r="L11164" s="4"/>
      <c r="M11164" s="5" t="s">
        <v>6502</v>
      </c>
    </row>
    <row r="11165" customFormat="false" ht="15.75" hidden="false" customHeight="false" outlineLevel="0" collapsed="false">
      <c r="A11165" s="6" t="n">
        <v>46221</v>
      </c>
      <c r="B11165" s="4" t="s">
        <v>1237</v>
      </c>
      <c r="C11165" s="4" t="n">
        <v>3</v>
      </c>
      <c r="D11165" s="4" t="n">
        <v>7</v>
      </c>
      <c r="E11165" s="4"/>
      <c r="F11165" s="4" t="n">
        <v>8</v>
      </c>
      <c r="G11165" s="4" t="n">
        <v>11</v>
      </c>
      <c r="H11165" s="4" t="n">
        <v>4</v>
      </c>
      <c r="I11165" s="4" t="str">
        <v>×</v>
      </c>
      <c r="J11165" s="4"/>
      <c r="K11165" s="4"/>
      <c r="L11165" s="4"/>
      <c r="M11165" s="5" t="s">
        <v>6502</v>
      </c>
    </row>
    <row r="11166" customFormat="false" ht="15.75" hidden="false" customHeight="false" outlineLevel="0" collapsed="false">
      <c r="A11166" s="6" t="n">
        <v>46221</v>
      </c>
      <c r="B11166" s="4" t="s">
        <v>1237</v>
      </c>
      <c r="C11166" s="4" t="n">
        <v>3</v>
      </c>
      <c r="D11166" s="4" t="n">
        <v>8</v>
      </c>
      <c r="E11166" s="4"/>
      <c r="F11166" s="4" t="n">
        <v>60</v>
      </c>
      <c r="G11166" s="4" t="n">
        <v>2</v>
      </c>
      <c r="H11166" s="4" t="n">
        <v>1</v>
      </c>
      <c r="I11166" s="4" t="str">
        <v>○</v>
      </c>
      <c r="J11166" s="4" t="n">
        <v>150</v>
      </c>
      <c r="K11166" s="4"/>
      <c r="L11166" s="4"/>
      <c r="M11166" s="5" t="s">
        <v>6502</v>
      </c>
    </row>
    <row r="11167" customFormat="false" ht="15.75" hidden="false" customHeight="false" outlineLevel="0" collapsed="false">
      <c r="A11167" s="6" t="n">
        <v>46221</v>
      </c>
      <c r="B11167" s="4" t="s">
        <v>1237</v>
      </c>
      <c r="C11167" s="4" t="n">
        <v>3</v>
      </c>
      <c r="D11167" s="4" t="n">
        <v>9</v>
      </c>
      <c r="E11167" s="4"/>
      <c r="F11167" s="4" t="n">
        <v>17</v>
      </c>
      <c r="G11167" s="4" t="n">
        <v>5</v>
      </c>
      <c r="H11167" s="4" t="n">
        <v>4</v>
      </c>
      <c r="I11167" s="4" t="str">
        <v>×</v>
      </c>
      <c r="J11167" s="4"/>
      <c r="K11167" s="4"/>
      <c r="L11167" s="4"/>
      <c r="M11167" s="5" t="s">
        <v>6502</v>
      </c>
    </row>
    <row r="11168" customFormat="false" ht="15.75" hidden="false" customHeight="false" outlineLevel="0" collapsed="false">
      <c r="A11168" s="6" t="n">
        <v>46221</v>
      </c>
      <c r="B11168" s="4" t="s">
        <v>1237</v>
      </c>
      <c r="C11168" s="4" t="n">
        <v>3</v>
      </c>
      <c r="D11168" s="4" t="n">
        <v>10</v>
      </c>
      <c r="E11168" s="4"/>
      <c r="F11168" s="4" t="n">
        <v>15</v>
      </c>
      <c r="G11168" s="4" t="n">
        <v>6</v>
      </c>
      <c r="H11168" s="4" t="n">
        <v>4</v>
      </c>
      <c r="I11168" s="4" t="str">
        <v>×</v>
      </c>
      <c r="J11168" s="4"/>
      <c r="K11168" s="4"/>
      <c r="L11168" s="4"/>
      <c r="M11168" s="5" t="s">
        <v>6502</v>
      </c>
    </row>
    <row r="11169" customFormat="false" ht="15.75" hidden="false" customHeight="false" outlineLevel="0" collapsed="false">
      <c r="A11169" s="6" t="n">
        <v>46221</v>
      </c>
      <c r="B11169" s="4" t="s">
        <v>1237</v>
      </c>
      <c r="C11169" s="4" t="n">
        <v>3</v>
      </c>
      <c r="D11169" s="4" t="n">
        <v>11</v>
      </c>
      <c r="E11169" s="4"/>
      <c r="F11169" s="4" t="n">
        <v>44</v>
      </c>
      <c r="G11169" s="4" t="n">
        <v>4</v>
      </c>
      <c r="H11169" s="4" t="n">
        <v>3</v>
      </c>
      <c r="I11169" s="4" t="str">
        <v>○</v>
      </c>
      <c r="J11169" s="4" t="n">
        <v>130</v>
      </c>
      <c r="K11169" s="4"/>
      <c r="L11169" s="4"/>
      <c r="M11169" s="5" t="s">
        <v>6502</v>
      </c>
    </row>
    <row r="11170" customFormat="false" ht="15.75" hidden="false" customHeight="false" outlineLevel="0" collapsed="false">
      <c r="A11170" s="6" t="n">
        <v>46221</v>
      </c>
      <c r="B11170" s="4" t="s">
        <v>1237</v>
      </c>
      <c r="C11170" s="4" t="n">
        <v>3</v>
      </c>
      <c r="D11170" s="4" t="n">
        <v>12</v>
      </c>
      <c r="E11170" s="4"/>
      <c r="F11170" s="4" t="n">
        <v>13</v>
      </c>
      <c r="G11170" s="4" t="n">
        <v>9</v>
      </c>
      <c r="H11170" s="4" t="n">
        <v>4</v>
      </c>
      <c r="I11170" s="4" t="str">
        <v>×</v>
      </c>
      <c r="J11170" s="4"/>
      <c r="K11170" s="4"/>
      <c r="L11170" s="4"/>
      <c r="M11170" s="5" t="s">
        <v>6502</v>
      </c>
    </row>
    <row r="11171" customFormat="false" ht="15.75" hidden="false" customHeight="false" outlineLevel="0" collapsed="false">
      <c r="A11171" s="6" t="n">
        <v>46221</v>
      </c>
      <c r="B11171" s="4" t="s">
        <v>1237</v>
      </c>
      <c r="C11171" s="4" t="n">
        <v>4</v>
      </c>
      <c r="D11171" s="4" t="n">
        <v>1</v>
      </c>
      <c r="E11171" s="4"/>
      <c r="F11171" s="4" t="n">
        <v>44</v>
      </c>
      <c r="G11171" s="4" t="n">
        <v>2</v>
      </c>
      <c r="H11171" s="4" t="n">
        <v>4</v>
      </c>
      <c r="I11171" s="4" t="str">
        <v>×</v>
      </c>
      <c r="J11171" s="4"/>
      <c r="K11171" s="4"/>
      <c r="L11171" s="4"/>
      <c r="M11171" s="5" t="s">
        <v>6502</v>
      </c>
    </row>
    <row r="11172" customFormat="false" ht="15.75" hidden="false" customHeight="false" outlineLevel="0" collapsed="false">
      <c r="A11172" s="6" t="n">
        <v>46221</v>
      </c>
      <c r="B11172" s="4" t="s">
        <v>1237</v>
      </c>
      <c r="C11172" s="4" t="n">
        <v>4</v>
      </c>
      <c r="D11172" s="4" t="n">
        <v>2</v>
      </c>
      <c r="E11172" s="4"/>
      <c r="F11172" s="4" t="n">
        <v>8</v>
      </c>
      <c r="G11172" s="4" t="n">
        <v>10</v>
      </c>
      <c r="H11172" s="4" t="n">
        <v>4</v>
      </c>
      <c r="I11172" s="4" t="str">
        <v>×</v>
      </c>
      <c r="J11172" s="4"/>
      <c r="K11172" s="4"/>
      <c r="L11172" s="4"/>
      <c r="M11172" s="5" t="s">
        <v>6502</v>
      </c>
    </row>
    <row r="11173" customFormat="false" ht="15.75" hidden="false" customHeight="false" outlineLevel="0" collapsed="false">
      <c r="A11173" s="6" t="n">
        <v>46221</v>
      </c>
      <c r="B11173" s="4" t="s">
        <v>1237</v>
      </c>
      <c r="C11173" s="4" t="n">
        <v>4</v>
      </c>
      <c r="D11173" s="4" t="n">
        <v>3</v>
      </c>
      <c r="E11173" s="4"/>
      <c r="F11173" s="4" t="n">
        <v>25</v>
      </c>
      <c r="G11173" s="4" t="n">
        <v>6</v>
      </c>
      <c r="H11173" s="4" t="n">
        <v>3</v>
      </c>
      <c r="I11173" s="4" t="str">
        <v>○</v>
      </c>
      <c r="J11173" s="4" t="n">
        <v>200</v>
      </c>
      <c r="K11173" s="4"/>
      <c r="L11173" s="4"/>
      <c r="M11173" s="5" t="s">
        <v>6502</v>
      </c>
    </row>
    <row r="11174" customFormat="false" ht="15.75" hidden="false" customHeight="false" outlineLevel="0" collapsed="false">
      <c r="A11174" s="6" t="n">
        <v>46221</v>
      </c>
      <c r="B11174" s="4" t="s">
        <v>1237</v>
      </c>
      <c r="C11174" s="4" t="n">
        <v>4</v>
      </c>
      <c r="D11174" s="4" t="n">
        <v>4</v>
      </c>
      <c r="E11174" s="4"/>
      <c r="F11174" s="4" t="n">
        <v>2</v>
      </c>
      <c r="G11174" s="4" t="n">
        <v>15</v>
      </c>
      <c r="H11174" s="4" t="n">
        <v>4</v>
      </c>
      <c r="I11174" s="4" t="str">
        <v>×</v>
      </c>
      <c r="J11174" s="4"/>
      <c r="K11174" s="4"/>
      <c r="L11174" s="4"/>
      <c r="M11174" s="5" t="s">
        <v>6502</v>
      </c>
    </row>
    <row r="11175" customFormat="false" ht="15.75" hidden="false" customHeight="false" outlineLevel="0" collapsed="false">
      <c r="A11175" s="6" t="n">
        <v>46221</v>
      </c>
      <c r="B11175" s="4" t="s">
        <v>1237</v>
      </c>
      <c r="C11175" s="4" t="n">
        <v>4</v>
      </c>
      <c r="D11175" s="4" t="n">
        <v>5</v>
      </c>
      <c r="E11175" s="4"/>
      <c r="F11175" s="4" t="n">
        <v>15</v>
      </c>
      <c r="G11175" s="4" t="n">
        <v>8</v>
      </c>
      <c r="H11175" s="4" t="n">
        <v>2</v>
      </c>
      <c r="I11175" s="4" t="str">
        <v>○</v>
      </c>
      <c r="J11175" s="4" t="n">
        <v>380</v>
      </c>
      <c r="K11175" s="4"/>
      <c r="L11175" s="4"/>
      <c r="M11175" s="5" t="s">
        <v>6502</v>
      </c>
    </row>
    <row r="11176" customFormat="false" ht="15.75" hidden="false" customHeight="false" outlineLevel="0" collapsed="false">
      <c r="A11176" s="6" t="n">
        <v>46221</v>
      </c>
      <c r="B11176" s="4" t="s">
        <v>1237</v>
      </c>
      <c r="C11176" s="4" t="n">
        <v>4</v>
      </c>
      <c r="D11176" s="4" t="n">
        <v>6</v>
      </c>
      <c r="E11176" s="4"/>
      <c r="F11176" s="4" t="n">
        <v>13</v>
      </c>
      <c r="G11176" s="4" t="n">
        <v>9</v>
      </c>
      <c r="H11176" s="4" t="n">
        <v>4</v>
      </c>
      <c r="I11176" s="4" t="str">
        <v>×</v>
      </c>
      <c r="J11176" s="4"/>
      <c r="K11176" s="4"/>
      <c r="L11176" s="4"/>
      <c r="M11176" s="5" t="s">
        <v>6502</v>
      </c>
    </row>
    <row r="11177" customFormat="false" ht="15.75" hidden="false" customHeight="false" outlineLevel="0" collapsed="false">
      <c r="A11177" s="6" t="n">
        <v>46221</v>
      </c>
      <c r="B11177" s="4" t="s">
        <v>1237</v>
      </c>
      <c r="C11177" s="4" t="n">
        <v>4</v>
      </c>
      <c r="D11177" s="4" t="n">
        <v>7</v>
      </c>
      <c r="E11177" s="4"/>
      <c r="F11177" s="4" t="n">
        <v>8</v>
      </c>
      <c r="G11177" s="4" t="n">
        <v>10</v>
      </c>
      <c r="H11177" s="4" t="n">
        <v>4</v>
      </c>
      <c r="I11177" s="4" t="str">
        <v>×</v>
      </c>
      <c r="J11177" s="4"/>
      <c r="K11177" s="4"/>
      <c r="L11177" s="4"/>
      <c r="M11177" s="5" t="s">
        <v>6502</v>
      </c>
    </row>
    <row r="11178" customFormat="false" ht="15.75" hidden="false" customHeight="false" outlineLevel="0" collapsed="false">
      <c r="A11178" s="6" t="n">
        <v>46221</v>
      </c>
      <c r="B11178" s="4" t="s">
        <v>1237</v>
      </c>
      <c r="C11178" s="4" t="n">
        <v>4</v>
      </c>
      <c r="D11178" s="4" t="n">
        <v>8</v>
      </c>
      <c r="E11178" s="4"/>
      <c r="F11178" s="4" t="n">
        <v>47</v>
      </c>
      <c r="G11178" s="4" t="n">
        <v>1</v>
      </c>
      <c r="H11178" s="4" t="n">
        <v>1</v>
      </c>
      <c r="I11178" s="4" t="str">
        <v>○</v>
      </c>
      <c r="J11178" s="4" t="n">
        <v>130</v>
      </c>
      <c r="K11178" s="4"/>
      <c r="L11178" s="4"/>
      <c r="M11178" s="5" t="s">
        <v>6502</v>
      </c>
    </row>
    <row r="11179" customFormat="false" ht="15.75" hidden="false" customHeight="false" outlineLevel="0" collapsed="false">
      <c r="A11179" s="6" t="n">
        <v>46221</v>
      </c>
      <c r="B11179" s="4" t="s">
        <v>1237</v>
      </c>
      <c r="C11179" s="4" t="n">
        <v>4</v>
      </c>
      <c r="D11179" s="4" t="n">
        <v>9</v>
      </c>
      <c r="E11179" s="4"/>
      <c r="F11179" s="4" t="n">
        <v>6</v>
      </c>
      <c r="G11179" s="4" t="n">
        <v>12</v>
      </c>
      <c r="H11179" s="4" t="n">
        <v>4</v>
      </c>
      <c r="I11179" s="4" t="str">
        <v>×</v>
      </c>
      <c r="J11179" s="4"/>
      <c r="K11179" s="4"/>
      <c r="L11179" s="4"/>
      <c r="M11179" s="5" t="s">
        <v>6502</v>
      </c>
    </row>
    <row r="11180" customFormat="false" ht="15.75" hidden="false" customHeight="false" outlineLevel="0" collapsed="false">
      <c r="A11180" s="6" t="n">
        <v>46221</v>
      </c>
      <c r="B11180" s="4" t="s">
        <v>1237</v>
      </c>
      <c r="C11180" s="4" t="n">
        <v>4</v>
      </c>
      <c r="D11180" s="4" t="n">
        <v>10</v>
      </c>
      <c r="E11180" s="4"/>
      <c r="F11180" s="4" t="n">
        <v>20</v>
      </c>
      <c r="G11180" s="4" t="n">
        <v>7</v>
      </c>
      <c r="H11180" s="4" t="n">
        <v>4</v>
      </c>
      <c r="I11180" s="4" t="str">
        <v>×</v>
      </c>
      <c r="J11180" s="4"/>
      <c r="K11180" s="4"/>
      <c r="L11180" s="4"/>
      <c r="M11180" s="5" t="s">
        <v>6502</v>
      </c>
    </row>
    <row r="11181" customFormat="false" ht="15.75" hidden="false" customHeight="false" outlineLevel="0" collapsed="false">
      <c r="A11181" s="6" t="n">
        <v>46221</v>
      </c>
      <c r="B11181" s="4" t="s">
        <v>1237</v>
      </c>
      <c r="C11181" s="4" t="n">
        <v>4</v>
      </c>
      <c r="D11181" s="4" t="n">
        <v>11</v>
      </c>
      <c r="E11181" s="4"/>
      <c r="F11181" s="4" t="n">
        <v>2</v>
      </c>
      <c r="G11181" s="4" t="n">
        <v>15</v>
      </c>
      <c r="H11181" s="4" t="n">
        <v>4</v>
      </c>
      <c r="I11181" s="4" t="str">
        <v>×</v>
      </c>
      <c r="J11181" s="4"/>
      <c r="K11181" s="4"/>
      <c r="L11181" s="4"/>
      <c r="M11181" s="5" t="s">
        <v>6502</v>
      </c>
    </row>
    <row r="11182" customFormat="false" ht="15.75" hidden="false" customHeight="false" outlineLevel="0" collapsed="false">
      <c r="A11182" s="6" t="n">
        <v>46221</v>
      </c>
      <c r="B11182" s="4" t="s">
        <v>1237</v>
      </c>
      <c r="C11182" s="4" t="n">
        <v>4</v>
      </c>
      <c r="D11182" s="4" t="n">
        <v>12</v>
      </c>
      <c r="E11182" s="4"/>
      <c r="F11182" s="4" t="n">
        <v>4</v>
      </c>
      <c r="G11182" s="4" t="n">
        <v>13</v>
      </c>
      <c r="H11182" s="4" t="n">
        <v>4</v>
      </c>
      <c r="I11182" s="4" t="str">
        <v>×</v>
      </c>
      <c r="J11182" s="4"/>
      <c r="K11182" s="4"/>
      <c r="L11182" s="4"/>
      <c r="M11182" s="5" t="s">
        <v>6502</v>
      </c>
    </row>
    <row r="11183" customFormat="false" ht="15.75" hidden="false" customHeight="false" outlineLevel="0" collapsed="false">
      <c r="A11183" s="6" t="n">
        <v>46221</v>
      </c>
      <c r="B11183" s="4" t="s">
        <v>1237</v>
      </c>
      <c r="C11183" s="4" t="n">
        <v>4</v>
      </c>
      <c r="D11183" s="4" t="n">
        <v>13</v>
      </c>
      <c r="E11183" s="4"/>
      <c r="F11183" s="4" t="n">
        <v>3</v>
      </c>
      <c r="G11183" s="4" t="n">
        <v>14</v>
      </c>
      <c r="H11183" s="4" t="n">
        <v>4</v>
      </c>
      <c r="I11183" s="4" t="str">
        <v>×</v>
      </c>
      <c r="J11183" s="4"/>
      <c r="K11183" s="4"/>
      <c r="L11183" s="4"/>
      <c r="M11183" s="5" t="s">
        <v>6502</v>
      </c>
    </row>
    <row r="11184" customFormat="false" ht="15.75" hidden="false" customHeight="false" outlineLevel="0" collapsed="false">
      <c r="A11184" s="6" t="n">
        <v>46221</v>
      </c>
      <c r="B11184" s="4" t="s">
        <v>1237</v>
      </c>
      <c r="C11184" s="4" t="n">
        <v>4</v>
      </c>
      <c r="D11184" s="4" t="n">
        <v>14</v>
      </c>
      <c r="E11184" s="4"/>
      <c r="F11184" s="4" t="n">
        <v>37</v>
      </c>
      <c r="G11184" s="4" t="n">
        <v>3</v>
      </c>
      <c r="H11184" s="4" t="n">
        <v>4</v>
      </c>
      <c r="I11184" s="4" t="str">
        <v>×</v>
      </c>
      <c r="J11184" s="4"/>
      <c r="K11184" s="4"/>
      <c r="L11184" s="4"/>
      <c r="M11184" s="5" t="s">
        <v>6502</v>
      </c>
    </row>
    <row r="11185" customFormat="false" ht="15.75" hidden="false" customHeight="false" outlineLevel="0" collapsed="false">
      <c r="A11185" s="6" t="n">
        <v>46221</v>
      </c>
      <c r="B11185" s="4" t="s">
        <v>1237</v>
      </c>
      <c r="C11185" s="4" t="n">
        <v>4</v>
      </c>
      <c r="D11185" s="4" t="n">
        <v>15</v>
      </c>
      <c r="E11185" s="4"/>
      <c r="F11185" s="4" t="n">
        <v>29</v>
      </c>
      <c r="G11185" s="4" t="n">
        <v>4</v>
      </c>
      <c r="H11185" s="4" t="n">
        <v>4</v>
      </c>
      <c r="I11185" s="4" t="str">
        <v>×</v>
      </c>
      <c r="J11185" s="4"/>
      <c r="K11185" s="4"/>
      <c r="L11185" s="4"/>
      <c r="M11185" s="5" t="s">
        <v>6502</v>
      </c>
    </row>
    <row r="11186" customFormat="false" ht="15.75" hidden="false" customHeight="false" outlineLevel="0" collapsed="false">
      <c r="A11186" s="6" t="n">
        <v>46221</v>
      </c>
      <c r="B11186" s="4" t="s">
        <v>1237</v>
      </c>
      <c r="C11186" s="4" t="n">
        <v>4</v>
      </c>
      <c r="D11186" s="4" t="n">
        <v>16</v>
      </c>
      <c r="E11186" s="4"/>
      <c r="F11186" s="4" t="n">
        <v>29</v>
      </c>
      <c r="G11186" s="4" t="n">
        <v>4</v>
      </c>
      <c r="H11186" s="4" t="n">
        <v>4</v>
      </c>
      <c r="I11186" s="4" t="str">
        <v>×</v>
      </c>
      <c r="J11186" s="4"/>
      <c r="K11186" s="4"/>
      <c r="L11186" s="4"/>
      <c r="M11186" s="5" t="s">
        <v>6502</v>
      </c>
    </row>
    <row r="11187" customFormat="false" ht="15.75" hidden="false" customHeight="false" outlineLevel="0" collapsed="false">
      <c r="A11187" s="6" t="n">
        <v>46221</v>
      </c>
      <c r="B11187" s="4" t="s">
        <v>1237</v>
      </c>
      <c r="C11187" s="4" t="n">
        <v>5</v>
      </c>
      <c r="D11187" s="4" t="n">
        <v>1</v>
      </c>
      <c r="E11187" s="4"/>
      <c r="F11187" s="4" t="n">
        <v>34</v>
      </c>
      <c r="G11187" s="4" t="n">
        <v>5</v>
      </c>
      <c r="H11187" s="4" t="n">
        <v>4</v>
      </c>
      <c r="I11187" s="4" t="str">
        <v>×</v>
      </c>
      <c r="J11187" s="4"/>
      <c r="K11187" s="4"/>
      <c r="L11187" s="4"/>
      <c r="M11187" s="5" t="s">
        <v>6502</v>
      </c>
    </row>
    <row r="11188" customFormat="false" ht="15.75" hidden="false" customHeight="false" outlineLevel="0" collapsed="false">
      <c r="A11188" s="6" t="n">
        <v>46221</v>
      </c>
      <c r="B11188" s="4" t="s">
        <v>1237</v>
      </c>
      <c r="C11188" s="4" t="n">
        <v>5</v>
      </c>
      <c r="D11188" s="4" t="n">
        <v>2</v>
      </c>
      <c r="E11188" s="4"/>
      <c r="F11188" s="4" t="n">
        <v>34</v>
      </c>
      <c r="G11188" s="4" t="n">
        <v>5</v>
      </c>
      <c r="H11188" s="4" t="n">
        <v>2</v>
      </c>
      <c r="I11188" s="4" t="str">
        <v>○</v>
      </c>
      <c r="J11188" s="4" t="n">
        <v>580</v>
      </c>
      <c r="K11188" s="4"/>
      <c r="L11188" s="4"/>
      <c r="M11188" s="5" t="s">
        <v>6502</v>
      </c>
    </row>
    <row r="11189" customFormat="false" ht="15.75" hidden="false" customHeight="false" outlineLevel="0" collapsed="false">
      <c r="A11189" s="6" t="n">
        <v>46221</v>
      </c>
      <c r="B11189" s="4" t="s">
        <v>1237</v>
      </c>
      <c r="C11189" s="4" t="n">
        <v>5</v>
      </c>
      <c r="D11189" s="4" t="n">
        <v>3</v>
      </c>
      <c r="E11189" s="4"/>
      <c r="F11189" s="4" t="n">
        <v>41</v>
      </c>
      <c r="G11189" s="4" t="n">
        <v>3</v>
      </c>
      <c r="H11189" s="4" t="n">
        <v>4</v>
      </c>
      <c r="I11189" s="4" t="str">
        <v>×</v>
      </c>
      <c r="J11189" s="4"/>
      <c r="K11189" s="4"/>
      <c r="L11189" s="4"/>
      <c r="M11189" s="5" t="s">
        <v>6502</v>
      </c>
    </row>
    <row r="11190" customFormat="false" ht="15.75" hidden="false" customHeight="false" outlineLevel="0" collapsed="false">
      <c r="A11190" s="6" t="n">
        <v>46221</v>
      </c>
      <c r="B11190" s="4" t="s">
        <v>1237</v>
      </c>
      <c r="C11190" s="4" t="n">
        <v>5</v>
      </c>
      <c r="D11190" s="4" t="n">
        <v>4</v>
      </c>
      <c r="E11190" s="4"/>
      <c r="F11190" s="4" t="n">
        <v>20</v>
      </c>
      <c r="G11190" s="4" t="n">
        <v>8</v>
      </c>
      <c r="H11190" s="4" t="n">
        <v>4</v>
      </c>
      <c r="I11190" s="4" t="str">
        <v>×</v>
      </c>
      <c r="J11190" s="4"/>
      <c r="K11190" s="4"/>
      <c r="L11190" s="4"/>
      <c r="M11190" s="5" t="s">
        <v>6502</v>
      </c>
    </row>
    <row r="11191" customFormat="false" ht="15.75" hidden="false" customHeight="false" outlineLevel="0" collapsed="false">
      <c r="A11191" s="6" t="n">
        <v>46221</v>
      </c>
      <c r="B11191" s="4" t="s">
        <v>1237</v>
      </c>
      <c r="C11191" s="4" t="n">
        <v>5</v>
      </c>
      <c r="D11191" s="4" t="n">
        <v>5</v>
      </c>
      <c r="E11191" s="4"/>
      <c r="F11191" s="4" t="n">
        <v>8</v>
      </c>
      <c r="G11191" s="4" t="n">
        <v>12</v>
      </c>
      <c r="H11191" s="4" t="n">
        <v>4</v>
      </c>
      <c r="I11191" s="4" t="str">
        <v>×</v>
      </c>
      <c r="J11191" s="4"/>
      <c r="K11191" s="4"/>
      <c r="L11191" s="4"/>
      <c r="M11191" s="5" t="s">
        <v>6502</v>
      </c>
    </row>
    <row r="11192" customFormat="false" ht="15.75" hidden="false" customHeight="false" outlineLevel="0" collapsed="false">
      <c r="A11192" s="6" t="n">
        <v>46221</v>
      </c>
      <c r="B11192" s="4" t="s">
        <v>1237</v>
      </c>
      <c r="C11192" s="4" t="n">
        <v>5</v>
      </c>
      <c r="D11192" s="4" t="n">
        <v>6</v>
      </c>
      <c r="E11192" s="4"/>
      <c r="F11192" s="4" t="n">
        <v>47</v>
      </c>
      <c r="G11192" s="4" t="n">
        <v>2</v>
      </c>
      <c r="H11192" s="4" t="n">
        <v>3</v>
      </c>
      <c r="I11192" s="4" t="str">
        <v>○</v>
      </c>
      <c r="J11192" s="4" t="n">
        <v>260</v>
      </c>
      <c r="K11192" s="4"/>
      <c r="L11192" s="4"/>
      <c r="M11192" s="5" t="s">
        <v>6502</v>
      </c>
    </row>
    <row r="11193" customFormat="false" ht="15.75" hidden="false" customHeight="false" outlineLevel="0" collapsed="false">
      <c r="A11193" s="6" t="n">
        <v>46221</v>
      </c>
      <c r="B11193" s="4" t="s">
        <v>1237</v>
      </c>
      <c r="C11193" s="4" t="n">
        <v>5</v>
      </c>
      <c r="D11193" s="4" t="n">
        <v>7</v>
      </c>
      <c r="E11193" s="4"/>
      <c r="F11193" s="4" t="n">
        <v>3</v>
      </c>
      <c r="G11193" s="4" t="n">
        <v>14</v>
      </c>
      <c r="H11193" s="4" t="n">
        <v>4</v>
      </c>
      <c r="I11193" s="4" t="str">
        <v>×</v>
      </c>
      <c r="J11193" s="4"/>
      <c r="K11193" s="4"/>
      <c r="L11193" s="4"/>
      <c r="M11193" s="5" t="s">
        <v>6502</v>
      </c>
    </row>
    <row r="11194" customFormat="false" ht="15.75" hidden="false" customHeight="false" outlineLevel="0" collapsed="false">
      <c r="A11194" s="6" t="n">
        <v>46221</v>
      </c>
      <c r="B11194" s="4" t="s">
        <v>1237</v>
      </c>
      <c r="C11194" s="4" t="n">
        <v>5</v>
      </c>
      <c r="D11194" s="4" t="n">
        <v>8</v>
      </c>
      <c r="E11194" s="4"/>
      <c r="F11194" s="4" t="n">
        <v>15</v>
      </c>
      <c r="G11194" s="4" t="n">
        <v>10</v>
      </c>
      <c r="H11194" s="4" t="n">
        <v>1</v>
      </c>
      <c r="I11194" s="4" t="str">
        <v>○</v>
      </c>
      <c r="J11194" s="4" t="n">
        <v>830</v>
      </c>
      <c r="K11194" s="4"/>
      <c r="L11194" s="4"/>
      <c r="M11194" s="5" t="s">
        <v>6502</v>
      </c>
    </row>
    <row r="11195" customFormat="false" ht="15.75" hidden="false" customHeight="false" outlineLevel="0" collapsed="false">
      <c r="A11195" s="6" t="n">
        <v>46221</v>
      </c>
      <c r="B11195" s="4" t="s">
        <v>1237</v>
      </c>
      <c r="C11195" s="4" t="n">
        <v>5</v>
      </c>
      <c r="D11195" s="4" t="n">
        <v>9</v>
      </c>
      <c r="E11195" s="4"/>
      <c r="F11195" s="4" t="n">
        <v>15</v>
      </c>
      <c r="G11195" s="4" t="n">
        <v>10</v>
      </c>
      <c r="H11195" s="4" t="n">
        <v>4</v>
      </c>
      <c r="I11195" s="4" t="str">
        <v>×</v>
      </c>
      <c r="J11195" s="4"/>
      <c r="K11195" s="4"/>
      <c r="L11195" s="4"/>
      <c r="M11195" s="5" t="s">
        <v>6502</v>
      </c>
    </row>
    <row r="11196" customFormat="false" ht="15.75" hidden="false" customHeight="false" outlineLevel="0" collapsed="false">
      <c r="A11196" s="6" t="n">
        <v>46221</v>
      </c>
      <c r="B11196" s="4" t="s">
        <v>1237</v>
      </c>
      <c r="C11196" s="4" t="n">
        <v>5</v>
      </c>
      <c r="D11196" s="4" t="n">
        <v>10</v>
      </c>
      <c r="E11196" s="4"/>
      <c r="F11196" s="4" t="n">
        <v>17</v>
      </c>
      <c r="G11196" s="4" t="n">
        <v>9</v>
      </c>
      <c r="H11196" s="4" t="n">
        <v>4</v>
      </c>
      <c r="I11196" s="4" t="str">
        <v>×</v>
      </c>
      <c r="J11196" s="4"/>
      <c r="K11196" s="4"/>
      <c r="L11196" s="4"/>
      <c r="M11196" s="5" t="s">
        <v>6502</v>
      </c>
    </row>
    <row r="11197" customFormat="false" ht="15.75" hidden="false" customHeight="false" outlineLevel="0" collapsed="false">
      <c r="A11197" s="6" t="n">
        <v>46221</v>
      </c>
      <c r="B11197" s="4" t="s">
        <v>1237</v>
      </c>
      <c r="C11197" s="4" t="n">
        <v>5</v>
      </c>
      <c r="D11197" s="4" t="n">
        <v>11</v>
      </c>
      <c r="E11197" s="4"/>
      <c r="F11197" s="4" t="n">
        <v>8</v>
      </c>
      <c r="G11197" s="4" t="n">
        <v>12</v>
      </c>
      <c r="H11197" s="4" t="n">
        <v>4</v>
      </c>
      <c r="I11197" s="4" t="str">
        <v>×</v>
      </c>
      <c r="J11197" s="4"/>
      <c r="K11197" s="4"/>
      <c r="L11197" s="4"/>
      <c r="M11197" s="5" t="s">
        <v>6502</v>
      </c>
    </row>
    <row r="11198" customFormat="false" ht="15.75" hidden="false" customHeight="false" outlineLevel="0" collapsed="false">
      <c r="A11198" s="6" t="n">
        <v>46221</v>
      </c>
      <c r="B11198" s="4" t="s">
        <v>1237</v>
      </c>
      <c r="C11198" s="4" t="n">
        <v>5</v>
      </c>
      <c r="D11198" s="4" t="n">
        <v>12</v>
      </c>
      <c r="E11198" s="4"/>
      <c r="F11198" s="4" t="n">
        <v>41</v>
      </c>
      <c r="G11198" s="4" t="n">
        <v>3</v>
      </c>
      <c r="H11198" s="4" t="n">
        <v>4</v>
      </c>
      <c r="I11198" s="4" t="str">
        <v>×</v>
      </c>
      <c r="J11198" s="4"/>
      <c r="K11198" s="4"/>
      <c r="L11198" s="4"/>
      <c r="M11198" s="5" t="s">
        <v>6502</v>
      </c>
    </row>
    <row r="11199" customFormat="false" ht="15.75" hidden="false" customHeight="false" outlineLevel="0" collapsed="false">
      <c r="A11199" s="6" t="n">
        <v>46221</v>
      </c>
      <c r="B11199" s="4" t="s">
        <v>1237</v>
      </c>
      <c r="C11199" s="4" t="n">
        <v>5</v>
      </c>
      <c r="D11199" s="4" t="n">
        <v>13</v>
      </c>
      <c r="E11199" s="4"/>
      <c r="F11199" s="4" t="n">
        <v>31</v>
      </c>
      <c r="G11199" s="4" t="n">
        <v>7</v>
      </c>
      <c r="H11199" s="4" t="n">
        <v>4</v>
      </c>
      <c r="I11199" s="4" t="str">
        <v>×</v>
      </c>
      <c r="J11199" s="4"/>
      <c r="K11199" s="4"/>
      <c r="L11199" s="4"/>
      <c r="M11199" s="5" t="s">
        <v>6502</v>
      </c>
    </row>
    <row r="11200" customFormat="false" ht="15.75" hidden="false" customHeight="false" outlineLevel="0" collapsed="false">
      <c r="A11200" s="6" t="n">
        <v>46221</v>
      </c>
      <c r="B11200" s="4" t="s">
        <v>1237</v>
      </c>
      <c r="C11200" s="4" t="n">
        <v>5</v>
      </c>
      <c r="D11200" s="4" t="n">
        <v>14</v>
      </c>
      <c r="E11200" s="4"/>
      <c r="F11200" s="4" t="n">
        <v>50</v>
      </c>
      <c r="G11200" s="4" t="n">
        <v>1</v>
      </c>
      <c r="H11200" s="4" t="n">
        <v>4</v>
      </c>
      <c r="I11200" s="4" t="str">
        <v>×</v>
      </c>
      <c r="J11200" s="4"/>
      <c r="K11200" s="4"/>
      <c r="L11200" s="4"/>
      <c r="M11200" s="5" t="s">
        <v>6502</v>
      </c>
    </row>
    <row r="11201" customFormat="false" ht="15.75" hidden="false" customHeight="false" outlineLevel="0" collapsed="false">
      <c r="A11201" s="6" t="n">
        <v>46221</v>
      </c>
      <c r="B11201" s="4" t="s">
        <v>1237</v>
      </c>
      <c r="C11201" s="4" t="n">
        <v>6</v>
      </c>
      <c r="D11201" s="4" t="n">
        <v>1</v>
      </c>
      <c r="E11201" s="4"/>
      <c r="F11201" s="4" t="n">
        <v>4</v>
      </c>
      <c r="G11201" s="4" t="n">
        <v>12</v>
      </c>
      <c r="H11201" s="4" t="n">
        <v>4</v>
      </c>
      <c r="I11201" s="4" t="str">
        <v>×</v>
      </c>
      <c r="J11201" s="4"/>
      <c r="K11201" s="4"/>
      <c r="L11201" s="4"/>
      <c r="M11201" s="5" t="s">
        <v>6502</v>
      </c>
    </row>
    <row r="11202" customFormat="false" ht="15.75" hidden="false" customHeight="false" outlineLevel="0" collapsed="false">
      <c r="A11202" s="6" t="n">
        <v>46221</v>
      </c>
      <c r="B11202" s="4" t="s">
        <v>1237</v>
      </c>
      <c r="C11202" s="4" t="n">
        <v>6</v>
      </c>
      <c r="D11202" s="4" t="n">
        <v>2</v>
      </c>
      <c r="E11202" s="4"/>
      <c r="F11202" s="4" t="n">
        <v>62</v>
      </c>
      <c r="G11202" s="4" t="n">
        <v>1</v>
      </c>
      <c r="H11202" s="4" t="n">
        <v>2</v>
      </c>
      <c r="I11202" s="4" t="str">
        <v>○</v>
      </c>
      <c r="J11202" s="4" t="n">
        <v>110</v>
      </c>
      <c r="K11202" s="4"/>
      <c r="L11202" s="4"/>
      <c r="M11202" s="5" t="s">
        <v>6502</v>
      </c>
    </row>
    <row r="11203" customFormat="false" ht="15.75" hidden="false" customHeight="false" outlineLevel="0" collapsed="false">
      <c r="A11203" s="6" t="n">
        <v>46221</v>
      </c>
      <c r="B11203" s="4" t="s">
        <v>1237</v>
      </c>
      <c r="C11203" s="4" t="n">
        <v>6</v>
      </c>
      <c r="D11203" s="4" t="n">
        <v>3</v>
      </c>
      <c r="E11203" s="4"/>
      <c r="F11203" s="4" t="n">
        <v>13</v>
      </c>
      <c r="G11203" s="4" t="n">
        <v>10</v>
      </c>
      <c r="H11203" s="4" t="n">
        <v>4</v>
      </c>
      <c r="I11203" s="4" t="str">
        <v>×</v>
      </c>
      <c r="J11203" s="4"/>
      <c r="K11203" s="4"/>
      <c r="L11203" s="4"/>
      <c r="M11203" s="5" t="s">
        <v>6502</v>
      </c>
    </row>
    <row r="11204" customFormat="false" ht="15.75" hidden="false" customHeight="false" outlineLevel="0" collapsed="false">
      <c r="A11204" s="6" t="n">
        <v>46221</v>
      </c>
      <c r="B11204" s="4" t="s">
        <v>1237</v>
      </c>
      <c r="C11204" s="4" t="n">
        <v>6</v>
      </c>
      <c r="D11204" s="4" t="n">
        <v>4</v>
      </c>
      <c r="E11204" s="4"/>
      <c r="F11204" s="4" t="n">
        <v>23</v>
      </c>
      <c r="G11204" s="4" t="n">
        <v>6</v>
      </c>
      <c r="H11204" s="4" t="n">
        <v>4</v>
      </c>
      <c r="I11204" s="4" t="str">
        <v>×</v>
      </c>
      <c r="J11204" s="4"/>
      <c r="K11204" s="4"/>
      <c r="L11204" s="4"/>
      <c r="M11204" s="5" t="s">
        <v>6502</v>
      </c>
    </row>
    <row r="11205" customFormat="false" ht="15.75" hidden="false" customHeight="false" outlineLevel="0" collapsed="false">
      <c r="A11205" s="6" t="n">
        <v>46221</v>
      </c>
      <c r="B11205" s="4" t="s">
        <v>1237</v>
      </c>
      <c r="C11205" s="4" t="n">
        <v>6</v>
      </c>
      <c r="D11205" s="4" t="n">
        <v>5</v>
      </c>
      <c r="E11205" s="4"/>
      <c r="F11205" s="4" t="n">
        <v>39</v>
      </c>
      <c r="G11205" s="4" t="n">
        <v>3</v>
      </c>
      <c r="H11205" s="4" t="n">
        <v>4</v>
      </c>
      <c r="I11205" s="4" t="str">
        <v>×</v>
      </c>
      <c r="J11205" s="4"/>
      <c r="K11205" s="4"/>
      <c r="L11205" s="4"/>
      <c r="M11205" s="5" t="s">
        <v>6502</v>
      </c>
    </row>
    <row r="11206" customFormat="false" ht="15.75" hidden="false" customHeight="false" outlineLevel="0" collapsed="false">
      <c r="A11206" s="6" t="n">
        <v>46221</v>
      </c>
      <c r="B11206" s="4" t="s">
        <v>1237</v>
      </c>
      <c r="C11206" s="4" t="n">
        <v>6</v>
      </c>
      <c r="D11206" s="4" t="n">
        <v>6</v>
      </c>
      <c r="E11206" s="4"/>
      <c r="F11206" s="4" t="n">
        <v>17</v>
      </c>
      <c r="G11206" s="4" t="n">
        <v>7</v>
      </c>
      <c r="H11206" s="4" t="n">
        <v>3</v>
      </c>
      <c r="I11206" s="4" t="str">
        <v>○</v>
      </c>
      <c r="J11206" s="4" t="n">
        <v>430</v>
      </c>
      <c r="K11206" s="4"/>
      <c r="L11206" s="4"/>
      <c r="M11206" s="5" t="s">
        <v>6502</v>
      </c>
    </row>
    <row r="11207" customFormat="false" ht="15.75" hidden="false" customHeight="false" outlineLevel="0" collapsed="false">
      <c r="A11207" s="6" t="n">
        <v>46221</v>
      </c>
      <c r="B11207" s="4" t="s">
        <v>1237</v>
      </c>
      <c r="C11207" s="4" t="n">
        <v>6</v>
      </c>
      <c r="D11207" s="4" t="n">
        <v>7</v>
      </c>
      <c r="E11207" s="4"/>
      <c r="F11207" s="4" t="n">
        <v>8</v>
      </c>
      <c r="G11207" s="4" t="n">
        <v>11</v>
      </c>
      <c r="H11207" s="4" t="n">
        <v>4</v>
      </c>
      <c r="I11207" s="4" t="str">
        <v>×</v>
      </c>
      <c r="J11207" s="4"/>
      <c r="K11207" s="4"/>
      <c r="L11207" s="4"/>
      <c r="M11207" s="5" t="s">
        <v>6502</v>
      </c>
    </row>
    <row r="11208" customFormat="false" ht="15.75" hidden="false" customHeight="false" outlineLevel="0" collapsed="false">
      <c r="A11208" s="6" t="n">
        <v>46221</v>
      </c>
      <c r="B11208" s="4" t="s">
        <v>1237</v>
      </c>
      <c r="C11208" s="4" t="n">
        <v>6</v>
      </c>
      <c r="D11208" s="4" t="n">
        <v>8</v>
      </c>
      <c r="E11208" s="4"/>
      <c r="F11208" s="4" t="n">
        <v>25</v>
      </c>
      <c r="G11208" s="4" t="n">
        <v>5</v>
      </c>
      <c r="H11208" s="4" t="n">
        <v>4</v>
      </c>
      <c r="I11208" s="4" t="str">
        <v>×</v>
      </c>
      <c r="J11208" s="4"/>
      <c r="K11208" s="4"/>
      <c r="L11208" s="4"/>
      <c r="M11208" s="5" t="s">
        <v>6502</v>
      </c>
    </row>
    <row r="11209" customFormat="false" ht="15.75" hidden="false" customHeight="false" outlineLevel="0" collapsed="false">
      <c r="A11209" s="6" t="n">
        <v>46221</v>
      </c>
      <c r="B11209" s="4" t="s">
        <v>1237</v>
      </c>
      <c r="C11209" s="4" t="n">
        <v>6</v>
      </c>
      <c r="D11209" s="4" t="n">
        <v>9</v>
      </c>
      <c r="E11209" s="4"/>
      <c r="F11209" s="4" t="n">
        <v>17</v>
      </c>
      <c r="G11209" s="4" t="n">
        <v>7</v>
      </c>
      <c r="H11209" s="4" t="n">
        <v>4</v>
      </c>
      <c r="I11209" s="4" t="str">
        <v>×</v>
      </c>
      <c r="J11209" s="4"/>
      <c r="K11209" s="4"/>
      <c r="L11209" s="4"/>
      <c r="M11209" s="5" t="s">
        <v>6502</v>
      </c>
    </row>
    <row r="11210" customFormat="false" ht="15.75" hidden="false" customHeight="false" outlineLevel="0" collapsed="false">
      <c r="A11210" s="6" t="n">
        <v>46221</v>
      </c>
      <c r="B11210" s="4" t="s">
        <v>1237</v>
      </c>
      <c r="C11210" s="4" t="n">
        <v>6</v>
      </c>
      <c r="D11210" s="4" t="n">
        <v>10</v>
      </c>
      <c r="E11210" s="4"/>
      <c r="F11210" s="4" t="n">
        <v>17</v>
      </c>
      <c r="G11210" s="4" t="n">
        <v>7</v>
      </c>
      <c r="H11210" s="4" t="n">
        <v>4</v>
      </c>
      <c r="I11210" s="4" t="str">
        <v>×</v>
      </c>
      <c r="J11210" s="4"/>
      <c r="K11210" s="4"/>
      <c r="L11210" s="4"/>
      <c r="M11210" s="5" t="s">
        <v>6502</v>
      </c>
    </row>
    <row r="11211" customFormat="false" ht="15.75" hidden="false" customHeight="false" outlineLevel="0" collapsed="false">
      <c r="A11211" s="6" t="n">
        <v>46221</v>
      </c>
      <c r="B11211" s="4" t="s">
        <v>1237</v>
      </c>
      <c r="C11211" s="4" t="n">
        <v>6</v>
      </c>
      <c r="D11211" s="4" t="n">
        <v>11</v>
      </c>
      <c r="E11211" s="4"/>
      <c r="F11211" s="4" t="n">
        <v>39</v>
      </c>
      <c r="G11211" s="4" t="n">
        <v>3</v>
      </c>
      <c r="H11211" s="4" t="n">
        <v>4</v>
      </c>
      <c r="I11211" s="4" t="str">
        <v>×</v>
      </c>
      <c r="J11211" s="4"/>
      <c r="K11211" s="4"/>
      <c r="L11211" s="4"/>
      <c r="M11211" s="5" t="s">
        <v>6502</v>
      </c>
    </row>
    <row r="11212" customFormat="false" ht="15.75" hidden="false" customHeight="false" outlineLevel="0" collapsed="false">
      <c r="A11212" s="6" t="n">
        <v>46221</v>
      </c>
      <c r="B11212" s="4" t="s">
        <v>1237</v>
      </c>
      <c r="C11212" s="4" t="n">
        <v>6</v>
      </c>
      <c r="D11212" s="4" t="n">
        <v>12</v>
      </c>
      <c r="E11212" s="4"/>
      <c r="F11212" s="4" t="n">
        <v>52</v>
      </c>
      <c r="G11212" s="4" t="n">
        <v>2</v>
      </c>
      <c r="H11212" s="4" t="n">
        <v>1</v>
      </c>
      <c r="I11212" s="4" t="str">
        <v>○</v>
      </c>
      <c r="J11212" s="4" t="n">
        <v>130</v>
      </c>
      <c r="K11212" s="4"/>
      <c r="L11212" s="4"/>
      <c r="M11212" s="5" t="s">
        <v>6502</v>
      </c>
    </row>
    <row r="11213" customFormat="false" ht="15.75" hidden="false" customHeight="false" outlineLevel="0" collapsed="false">
      <c r="A11213" s="6" t="n">
        <v>46221</v>
      </c>
      <c r="B11213" s="4" t="s">
        <v>1237</v>
      </c>
      <c r="C11213" s="4" t="n">
        <v>7</v>
      </c>
      <c r="D11213" s="4" t="n">
        <v>1</v>
      </c>
      <c r="E11213" s="4"/>
      <c r="F11213" s="4" t="n">
        <v>47</v>
      </c>
      <c r="G11213" s="4" t="n">
        <v>3</v>
      </c>
      <c r="H11213" s="4" t="n">
        <v>4</v>
      </c>
      <c r="I11213" s="4" t="str">
        <v>×</v>
      </c>
      <c r="J11213" s="4"/>
      <c r="K11213" s="4"/>
      <c r="L11213" s="4"/>
      <c r="M11213" s="5" t="s">
        <v>6502</v>
      </c>
    </row>
    <row r="11214" customFormat="false" ht="15.75" hidden="false" customHeight="false" outlineLevel="0" collapsed="false">
      <c r="A11214" s="6" t="n">
        <v>46221</v>
      </c>
      <c r="B11214" s="4" t="s">
        <v>1237</v>
      </c>
      <c r="C11214" s="4" t="n">
        <v>7</v>
      </c>
      <c r="D11214" s="4" t="n">
        <v>2</v>
      </c>
      <c r="E11214" s="4"/>
      <c r="F11214" s="4" t="n">
        <v>17</v>
      </c>
      <c r="G11214" s="4" t="n">
        <v>7</v>
      </c>
      <c r="H11214" s="4" t="n">
        <v>3</v>
      </c>
      <c r="I11214" s="4" t="str">
        <v>○</v>
      </c>
      <c r="J11214" s="4" t="n">
        <v>1940</v>
      </c>
      <c r="K11214" s="4"/>
      <c r="L11214" s="4"/>
      <c r="M11214" s="5" t="s">
        <v>6502</v>
      </c>
    </row>
    <row r="11215" customFormat="false" ht="15.75" hidden="false" customHeight="false" outlineLevel="0" collapsed="false">
      <c r="A11215" s="6" t="n">
        <v>46221</v>
      </c>
      <c r="B11215" s="4" t="s">
        <v>1237</v>
      </c>
      <c r="C11215" s="4" t="n">
        <v>7</v>
      </c>
      <c r="D11215" s="4" t="n">
        <v>3</v>
      </c>
      <c r="E11215" s="4"/>
      <c r="F11215" s="4" t="n">
        <v>15</v>
      </c>
      <c r="G11215" s="4" t="n">
        <v>8</v>
      </c>
      <c r="H11215" s="4" t="n">
        <v>4</v>
      </c>
      <c r="I11215" s="4" t="str">
        <v>×</v>
      </c>
      <c r="J11215" s="4"/>
      <c r="K11215" s="4"/>
      <c r="L11215" s="4"/>
      <c r="M11215" s="5" t="s">
        <v>6502</v>
      </c>
    </row>
    <row r="11216" customFormat="false" ht="15.75" hidden="false" customHeight="false" outlineLevel="0" collapsed="false">
      <c r="A11216" s="6" t="n">
        <v>46221</v>
      </c>
      <c r="B11216" s="4" t="s">
        <v>1237</v>
      </c>
      <c r="C11216" s="4" t="n">
        <v>7</v>
      </c>
      <c r="D11216" s="4" t="n">
        <v>4</v>
      </c>
      <c r="E11216" s="4"/>
      <c r="F11216" s="4" t="n">
        <v>13</v>
      </c>
      <c r="G11216" s="4" t="n">
        <v>11</v>
      </c>
      <c r="H11216" s="4" t="n">
        <v>4</v>
      </c>
      <c r="I11216" s="4" t="str">
        <v>×</v>
      </c>
      <c r="J11216" s="4"/>
      <c r="K11216" s="4"/>
      <c r="L11216" s="4"/>
      <c r="M11216" s="5" t="s">
        <v>6502</v>
      </c>
    </row>
    <row r="11217" customFormat="false" ht="15.75" hidden="false" customHeight="false" outlineLevel="0" collapsed="false">
      <c r="A11217" s="6" t="n">
        <v>46221</v>
      </c>
      <c r="B11217" s="4" t="s">
        <v>1237</v>
      </c>
      <c r="C11217" s="4" t="n">
        <v>7</v>
      </c>
      <c r="D11217" s="4" t="n">
        <v>5</v>
      </c>
      <c r="E11217" s="4"/>
      <c r="F11217" s="4" t="n">
        <v>50</v>
      </c>
      <c r="G11217" s="4" t="n">
        <v>2</v>
      </c>
      <c r="H11217" s="4" t="n">
        <v>4</v>
      </c>
      <c r="I11217" s="4" t="str">
        <v>×</v>
      </c>
      <c r="J11217" s="4"/>
      <c r="K11217" s="4"/>
      <c r="L11217" s="4"/>
      <c r="M11217" s="5" t="s">
        <v>6502</v>
      </c>
    </row>
    <row r="11218" customFormat="false" ht="15.75" hidden="false" customHeight="false" outlineLevel="0" collapsed="false">
      <c r="A11218" s="6" t="n">
        <v>46221</v>
      </c>
      <c r="B11218" s="4" t="s">
        <v>1237</v>
      </c>
      <c r="C11218" s="4" t="n">
        <v>7</v>
      </c>
      <c r="D11218" s="4" t="n">
        <v>6</v>
      </c>
      <c r="E11218" s="4"/>
      <c r="F11218" s="4" t="n">
        <v>15</v>
      </c>
      <c r="G11218" s="4" t="n">
        <v>8</v>
      </c>
      <c r="H11218" s="4" t="n">
        <v>4</v>
      </c>
      <c r="I11218" s="4" t="str">
        <v>×</v>
      </c>
      <c r="J11218" s="4"/>
      <c r="K11218" s="4"/>
      <c r="L11218" s="4"/>
      <c r="M11218" s="5" t="s">
        <v>6502</v>
      </c>
    </row>
    <row r="11219" customFormat="false" ht="15.75" hidden="false" customHeight="false" outlineLevel="0" collapsed="false">
      <c r="A11219" s="6" t="n">
        <v>46221</v>
      </c>
      <c r="B11219" s="4" t="s">
        <v>1237</v>
      </c>
      <c r="C11219" s="4" t="n">
        <v>7</v>
      </c>
      <c r="D11219" s="4" t="n">
        <v>7</v>
      </c>
      <c r="E11219" s="4"/>
      <c r="F11219" s="4" t="n">
        <v>13</v>
      </c>
      <c r="G11219" s="4" t="n">
        <v>11</v>
      </c>
      <c r="H11219" s="4" t="n">
        <v>4</v>
      </c>
      <c r="I11219" s="4" t="str">
        <v>×</v>
      </c>
      <c r="J11219" s="4"/>
      <c r="K11219" s="4"/>
      <c r="L11219" s="4"/>
      <c r="M11219" s="5" t="s">
        <v>6502</v>
      </c>
    </row>
    <row r="11220" customFormat="false" ht="15.75" hidden="false" customHeight="false" outlineLevel="0" collapsed="false">
      <c r="A11220" s="6" t="n">
        <v>46221</v>
      </c>
      <c r="B11220" s="4" t="s">
        <v>1237</v>
      </c>
      <c r="C11220" s="4" t="n">
        <v>7</v>
      </c>
      <c r="D11220" s="4" t="n">
        <v>8</v>
      </c>
      <c r="E11220" s="4"/>
      <c r="F11220" s="4" t="n">
        <v>52</v>
      </c>
      <c r="G11220" s="4" t="n">
        <v>1</v>
      </c>
      <c r="H11220" s="4" t="n">
        <v>1</v>
      </c>
      <c r="I11220" s="4" t="str">
        <v>○</v>
      </c>
      <c r="J11220" s="4" t="n">
        <v>140</v>
      </c>
      <c r="K11220" s="4"/>
      <c r="L11220" s="4"/>
      <c r="M11220" s="5" t="s">
        <v>6502</v>
      </c>
    </row>
    <row r="11221" customFormat="false" ht="15.75" hidden="false" customHeight="false" outlineLevel="0" collapsed="false">
      <c r="A11221" s="6" t="n">
        <v>46221</v>
      </c>
      <c r="B11221" s="4" t="s">
        <v>1237</v>
      </c>
      <c r="C11221" s="4" t="n">
        <v>7</v>
      </c>
      <c r="D11221" s="4" t="n">
        <v>9</v>
      </c>
      <c r="E11221" s="4"/>
      <c r="F11221" s="4" t="n">
        <v>2</v>
      </c>
      <c r="G11221" s="4" t="n">
        <v>14</v>
      </c>
      <c r="H11221" s="4" t="n">
        <v>4</v>
      </c>
      <c r="I11221" s="4" t="str">
        <v>×</v>
      </c>
      <c r="J11221" s="4"/>
      <c r="K11221" s="4"/>
      <c r="L11221" s="4"/>
      <c r="M11221" s="5" t="s">
        <v>6502</v>
      </c>
    </row>
    <row r="11222" customFormat="false" ht="15.75" hidden="false" customHeight="false" outlineLevel="0" collapsed="false">
      <c r="A11222" s="6" t="n">
        <v>46221</v>
      </c>
      <c r="B11222" s="4" t="s">
        <v>1237</v>
      </c>
      <c r="C11222" s="4" t="n">
        <v>7</v>
      </c>
      <c r="D11222" s="4" t="n">
        <v>10</v>
      </c>
      <c r="E11222" s="4"/>
      <c r="F11222" s="4" t="n">
        <v>31</v>
      </c>
      <c r="G11222" s="4" t="n">
        <v>4</v>
      </c>
      <c r="H11222" s="4" t="n">
        <v>4</v>
      </c>
      <c r="I11222" s="4" t="str">
        <v>×</v>
      </c>
      <c r="J11222" s="4"/>
      <c r="K11222" s="4"/>
      <c r="L11222" s="4"/>
      <c r="M11222" s="5" t="s">
        <v>6502</v>
      </c>
    </row>
    <row r="11223" customFormat="false" ht="15.75" hidden="false" customHeight="false" outlineLevel="0" collapsed="false">
      <c r="A11223" s="6" t="n">
        <v>46221</v>
      </c>
      <c r="B11223" s="4" t="s">
        <v>1237</v>
      </c>
      <c r="C11223" s="4" t="n">
        <v>7</v>
      </c>
      <c r="D11223" s="4" t="n">
        <v>11</v>
      </c>
      <c r="E11223" s="4"/>
      <c r="F11223" s="4" t="n">
        <v>31</v>
      </c>
      <c r="G11223" s="4" t="n">
        <v>4</v>
      </c>
      <c r="H11223" s="4" t="n">
        <v>2</v>
      </c>
      <c r="I11223" s="4" t="str">
        <v>○</v>
      </c>
      <c r="J11223" s="4" t="n">
        <v>170</v>
      </c>
      <c r="K11223" s="4"/>
      <c r="L11223" s="4"/>
      <c r="M11223" s="5" t="s">
        <v>6502</v>
      </c>
    </row>
    <row r="11224" customFormat="false" ht="15.75" hidden="false" customHeight="false" outlineLevel="0" collapsed="false">
      <c r="A11224" s="6" t="n">
        <v>46221</v>
      </c>
      <c r="B11224" s="4" t="s">
        <v>1237</v>
      </c>
      <c r="C11224" s="4" t="n">
        <v>7</v>
      </c>
      <c r="D11224" s="4" t="n">
        <v>12</v>
      </c>
      <c r="E11224" s="4"/>
      <c r="F11224" s="4" t="n">
        <v>15</v>
      </c>
      <c r="G11224" s="4" t="n">
        <v>8</v>
      </c>
      <c r="H11224" s="4" t="n">
        <v>4</v>
      </c>
      <c r="I11224" s="4" t="str">
        <v>×</v>
      </c>
      <c r="J11224" s="4"/>
      <c r="K11224" s="4"/>
      <c r="L11224" s="4"/>
      <c r="M11224" s="5" t="s">
        <v>6502</v>
      </c>
    </row>
    <row r="11225" customFormat="false" ht="15.75" hidden="false" customHeight="false" outlineLevel="0" collapsed="false">
      <c r="A11225" s="6" t="n">
        <v>46221</v>
      </c>
      <c r="B11225" s="4" t="s">
        <v>1237</v>
      </c>
      <c r="C11225" s="4" t="n">
        <v>7</v>
      </c>
      <c r="D11225" s="4" t="n">
        <v>13</v>
      </c>
      <c r="E11225" s="4"/>
      <c r="F11225" s="4" t="n">
        <v>6</v>
      </c>
      <c r="G11225" s="4" t="n">
        <v>13</v>
      </c>
      <c r="H11225" s="4" t="n">
        <v>4</v>
      </c>
      <c r="I11225" s="4" t="str">
        <v>×</v>
      </c>
      <c r="J11225" s="4"/>
      <c r="K11225" s="4"/>
      <c r="L11225" s="4"/>
      <c r="M11225" s="5" t="s">
        <v>6502</v>
      </c>
    </row>
    <row r="11226" customFormat="false" ht="15.75" hidden="false" customHeight="false" outlineLevel="0" collapsed="false">
      <c r="A11226" s="6" t="n">
        <v>46221</v>
      </c>
      <c r="B11226" s="4" t="s">
        <v>1237</v>
      </c>
      <c r="C11226" s="4" t="n">
        <v>7</v>
      </c>
      <c r="D11226" s="4" t="n">
        <v>14</v>
      </c>
      <c r="E11226" s="4"/>
      <c r="F11226" s="4" t="n">
        <v>23</v>
      </c>
      <c r="G11226" s="4" t="n">
        <v>6</v>
      </c>
      <c r="H11226" s="4" t="n">
        <v>4</v>
      </c>
      <c r="I11226" s="4" t="str">
        <v>×</v>
      </c>
      <c r="J11226" s="4"/>
      <c r="K11226" s="4"/>
      <c r="L11226" s="4"/>
      <c r="M11226" s="5" t="s">
        <v>6502</v>
      </c>
    </row>
    <row r="11227" customFormat="false" ht="15.75" hidden="false" customHeight="false" outlineLevel="0" collapsed="false">
      <c r="A11227" s="6" t="n">
        <v>46221</v>
      </c>
      <c r="B11227" s="4" t="s">
        <v>1237</v>
      </c>
      <c r="C11227" s="4" t="n">
        <v>8</v>
      </c>
      <c r="D11227" s="4" t="n">
        <v>1</v>
      </c>
      <c r="E11227" s="4"/>
      <c r="F11227" s="4" t="n">
        <v>29</v>
      </c>
      <c r="G11227" s="4" t="n">
        <v>6</v>
      </c>
      <c r="H11227" s="4" t="n">
        <v>2</v>
      </c>
      <c r="I11227" s="4" t="str">
        <v>○</v>
      </c>
      <c r="J11227" s="4" t="n">
        <v>630</v>
      </c>
      <c r="K11227" s="4"/>
      <c r="L11227" s="4"/>
      <c r="M11227" s="5" t="s">
        <v>6502</v>
      </c>
    </row>
    <row r="11228" customFormat="false" ht="15.75" hidden="false" customHeight="false" outlineLevel="0" collapsed="false">
      <c r="A11228" s="6" t="n">
        <v>46221</v>
      </c>
      <c r="B11228" s="4" t="s">
        <v>1237</v>
      </c>
      <c r="C11228" s="4" t="n">
        <v>8</v>
      </c>
      <c r="D11228" s="4" t="n">
        <v>2</v>
      </c>
      <c r="E11228" s="4"/>
      <c r="F11228" s="4" t="n">
        <v>10</v>
      </c>
      <c r="G11228" s="4" t="n">
        <v>9</v>
      </c>
      <c r="H11228" s="4" t="n">
        <v>4</v>
      </c>
      <c r="I11228" s="4" t="str">
        <v>×</v>
      </c>
      <c r="J11228" s="4"/>
      <c r="K11228" s="4"/>
      <c r="L11228" s="4"/>
      <c r="M11228" s="5" t="s">
        <v>6502</v>
      </c>
    </row>
    <row r="11229" customFormat="false" ht="15.75" hidden="false" customHeight="false" outlineLevel="0" collapsed="false">
      <c r="A11229" s="6" t="n">
        <v>46221</v>
      </c>
      <c r="B11229" s="4" t="s">
        <v>1237</v>
      </c>
      <c r="C11229" s="4" t="n">
        <v>8</v>
      </c>
      <c r="D11229" s="4" t="n">
        <v>3</v>
      </c>
      <c r="E11229" s="4"/>
      <c r="F11229" s="4" t="n">
        <v>23</v>
      </c>
      <c r="G11229" s="4" t="n">
        <v>7</v>
      </c>
      <c r="H11229" s="4" t="n">
        <v>3</v>
      </c>
      <c r="I11229" s="4" t="str">
        <v>○</v>
      </c>
      <c r="J11229" s="4" t="n">
        <v>1510</v>
      </c>
      <c r="K11229" s="4"/>
      <c r="L11229" s="4"/>
      <c r="M11229" s="5" t="s">
        <v>6502</v>
      </c>
    </row>
    <row r="11230" customFormat="false" ht="15.75" hidden="false" customHeight="false" outlineLevel="0" collapsed="false">
      <c r="A11230" s="6" t="n">
        <v>46221</v>
      </c>
      <c r="B11230" s="4" t="s">
        <v>1237</v>
      </c>
      <c r="C11230" s="4" t="n">
        <v>8</v>
      </c>
      <c r="D11230" s="4" t="n">
        <v>4</v>
      </c>
      <c r="E11230" s="4"/>
      <c r="F11230" s="4" t="n">
        <v>47</v>
      </c>
      <c r="G11230" s="4" t="n">
        <v>2</v>
      </c>
      <c r="H11230" s="4" t="n">
        <v>4</v>
      </c>
      <c r="I11230" s="4" t="str">
        <v>×</v>
      </c>
      <c r="J11230" s="4"/>
      <c r="K11230" s="4"/>
      <c r="L11230" s="4"/>
      <c r="M11230" s="5" t="s">
        <v>6502</v>
      </c>
    </row>
    <row r="11231" customFormat="false" ht="15.75" hidden="false" customHeight="false" outlineLevel="0" collapsed="false">
      <c r="A11231" s="6" t="n">
        <v>46221</v>
      </c>
      <c r="B11231" s="4" t="s">
        <v>1237</v>
      </c>
      <c r="C11231" s="4" t="n">
        <v>8</v>
      </c>
      <c r="D11231" s="4" t="n">
        <v>5</v>
      </c>
      <c r="E11231" s="4"/>
      <c r="F11231" s="4" t="n">
        <v>55</v>
      </c>
      <c r="G11231" s="4" t="n">
        <v>1</v>
      </c>
      <c r="H11231" s="4" t="n">
        <v>4</v>
      </c>
      <c r="I11231" s="4" t="str">
        <v>×</v>
      </c>
      <c r="J11231" s="4"/>
      <c r="K11231" s="4"/>
      <c r="L11231" s="4"/>
      <c r="M11231" s="5" t="s">
        <v>6502</v>
      </c>
    </row>
    <row r="11232" customFormat="false" ht="15.75" hidden="false" customHeight="false" outlineLevel="0" collapsed="false">
      <c r="A11232" s="6" t="n">
        <v>46221</v>
      </c>
      <c r="B11232" s="4" t="s">
        <v>1237</v>
      </c>
      <c r="C11232" s="4" t="n">
        <v>8</v>
      </c>
      <c r="D11232" s="4" t="n">
        <v>6</v>
      </c>
      <c r="E11232" s="4"/>
      <c r="F11232" s="4" t="n">
        <v>39</v>
      </c>
      <c r="G11232" s="4" t="n">
        <v>4</v>
      </c>
      <c r="H11232" s="4" t="n">
        <v>1</v>
      </c>
      <c r="I11232" s="4" t="str">
        <v>○</v>
      </c>
      <c r="J11232" s="4" t="n">
        <v>820</v>
      </c>
      <c r="K11232" s="4"/>
      <c r="L11232" s="4"/>
      <c r="M11232" s="5" t="s">
        <v>6502</v>
      </c>
    </row>
    <row r="11233" customFormat="false" ht="15.75" hidden="false" customHeight="false" outlineLevel="0" collapsed="false">
      <c r="A11233" s="6" t="n">
        <v>46221</v>
      </c>
      <c r="B11233" s="4" t="s">
        <v>1237</v>
      </c>
      <c r="C11233" s="4" t="n">
        <v>8</v>
      </c>
      <c r="D11233" s="4" t="n">
        <v>7</v>
      </c>
      <c r="E11233" s="4"/>
      <c r="F11233" s="4" t="n">
        <v>23</v>
      </c>
      <c r="G11233" s="4" t="n">
        <v>7</v>
      </c>
      <c r="H11233" s="4" t="n">
        <v>4</v>
      </c>
      <c r="I11233" s="4" t="str">
        <v>×</v>
      </c>
      <c r="J11233" s="4"/>
      <c r="K11233" s="4"/>
      <c r="L11233" s="4"/>
      <c r="M11233" s="5" t="s">
        <v>6502</v>
      </c>
    </row>
    <row r="11234" customFormat="false" ht="15.75" hidden="false" customHeight="false" outlineLevel="0" collapsed="false">
      <c r="A11234" s="6" t="n">
        <v>46221</v>
      </c>
      <c r="B11234" s="4" t="s">
        <v>1237</v>
      </c>
      <c r="C11234" s="4" t="n">
        <v>8</v>
      </c>
      <c r="D11234" s="4" t="n">
        <v>8</v>
      </c>
      <c r="E11234" s="4"/>
      <c r="F11234" s="4" t="n">
        <v>6</v>
      </c>
      <c r="G11234" s="4" t="n">
        <v>10</v>
      </c>
      <c r="H11234" s="4" t="n">
        <v>4</v>
      </c>
      <c r="I11234" s="4" t="str">
        <v>×</v>
      </c>
      <c r="J11234" s="4"/>
      <c r="K11234" s="4"/>
      <c r="L11234" s="4"/>
      <c r="M11234" s="5" t="s">
        <v>6502</v>
      </c>
    </row>
    <row r="11235" customFormat="false" ht="15.75" hidden="false" customHeight="false" outlineLevel="0" collapsed="false">
      <c r="A11235" s="6" t="n">
        <v>46221</v>
      </c>
      <c r="B11235" s="4" t="s">
        <v>1237</v>
      </c>
      <c r="C11235" s="4" t="n">
        <v>8</v>
      </c>
      <c r="D11235" s="4" t="n">
        <v>9</v>
      </c>
      <c r="E11235" s="4"/>
      <c r="F11235" s="4" t="n">
        <v>6</v>
      </c>
      <c r="G11235" s="4" t="n">
        <v>10</v>
      </c>
      <c r="H11235" s="4" t="n">
        <v>4</v>
      </c>
      <c r="I11235" s="4" t="str">
        <v>×</v>
      </c>
      <c r="J11235" s="4"/>
      <c r="K11235" s="4"/>
      <c r="L11235" s="4"/>
      <c r="M11235" s="5" t="s">
        <v>6502</v>
      </c>
    </row>
    <row r="11236" customFormat="false" ht="15.75" hidden="false" customHeight="false" outlineLevel="0" collapsed="false">
      <c r="A11236" s="6" t="n">
        <v>46221</v>
      </c>
      <c r="B11236" s="4" t="s">
        <v>1237</v>
      </c>
      <c r="C11236" s="4" t="n">
        <v>8</v>
      </c>
      <c r="D11236" s="4" t="n">
        <v>10</v>
      </c>
      <c r="E11236" s="4"/>
      <c r="F11236" s="4" t="n">
        <v>41</v>
      </c>
      <c r="G11236" s="4" t="n">
        <v>3</v>
      </c>
      <c r="H11236" s="4" t="n">
        <v>4</v>
      </c>
      <c r="I11236" s="4" t="str">
        <v>×</v>
      </c>
      <c r="J11236" s="4"/>
      <c r="K11236" s="4"/>
      <c r="L11236" s="4"/>
      <c r="M11236" s="5" t="s">
        <v>6502</v>
      </c>
    </row>
    <row r="11237" customFormat="false" ht="15.75" hidden="false" customHeight="false" outlineLevel="0" collapsed="false">
      <c r="A11237" s="6" t="n">
        <v>46221</v>
      </c>
      <c r="B11237" s="4" t="s">
        <v>1237</v>
      </c>
      <c r="C11237" s="4" t="n">
        <v>8</v>
      </c>
      <c r="D11237" s="4" t="n">
        <v>11</v>
      </c>
      <c r="E11237" s="4"/>
      <c r="F11237" s="4" t="n">
        <v>3</v>
      </c>
      <c r="G11237" s="4" t="n">
        <v>12</v>
      </c>
      <c r="H11237" s="4" t="n">
        <v>4</v>
      </c>
      <c r="I11237" s="4" t="str">
        <v>×</v>
      </c>
      <c r="J11237" s="4"/>
      <c r="K11237" s="4"/>
      <c r="L11237" s="4"/>
      <c r="M11237" s="5" t="s">
        <v>6502</v>
      </c>
    </row>
    <row r="11238" customFormat="false" ht="15.75" hidden="false" customHeight="false" outlineLevel="0" collapsed="false">
      <c r="A11238" s="6" t="n">
        <v>46221</v>
      </c>
      <c r="B11238" s="4" t="s">
        <v>1237</v>
      </c>
      <c r="C11238" s="4" t="n">
        <v>8</v>
      </c>
      <c r="D11238" s="4" t="n">
        <v>12</v>
      </c>
      <c r="E11238" s="4"/>
      <c r="F11238" s="4" t="n">
        <v>39</v>
      </c>
      <c r="G11238" s="4" t="n">
        <v>4</v>
      </c>
      <c r="H11238" s="4" t="n">
        <v>4</v>
      </c>
      <c r="I11238" s="4" t="str">
        <v>×</v>
      </c>
      <c r="J11238" s="4"/>
      <c r="K11238" s="4"/>
      <c r="L11238" s="4"/>
      <c r="M11238" s="5" t="s">
        <v>6502</v>
      </c>
    </row>
    <row r="11239" customFormat="false" ht="15.75" hidden="false" customHeight="false" outlineLevel="0" collapsed="false">
      <c r="A11239" s="6" t="n">
        <v>46221</v>
      </c>
      <c r="B11239" s="4" t="s">
        <v>1237</v>
      </c>
      <c r="C11239" s="4" t="n">
        <v>9</v>
      </c>
      <c r="D11239" s="4" t="n">
        <v>1</v>
      </c>
      <c r="E11239" s="4"/>
      <c r="F11239" s="4" t="n">
        <v>23</v>
      </c>
      <c r="G11239" s="4" t="n">
        <v>8</v>
      </c>
      <c r="H11239" s="4" t="n">
        <v>4</v>
      </c>
      <c r="I11239" s="4" t="str">
        <v>×</v>
      </c>
      <c r="J11239" s="4"/>
      <c r="K11239" s="4"/>
      <c r="L11239" s="4"/>
      <c r="M11239" s="5" t="s">
        <v>6502</v>
      </c>
    </row>
    <row r="11240" customFormat="false" ht="15.75" hidden="false" customHeight="false" outlineLevel="0" collapsed="false">
      <c r="A11240" s="6" t="n">
        <v>46221</v>
      </c>
      <c r="B11240" s="4" t="s">
        <v>1237</v>
      </c>
      <c r="C11240" s="4" t="n">
        <v>9</v>
      </c>
      <c r="D11240" s="4" t="n">
        <v>2</v>
      </c>
      <c r="E11240" s="4"/>
      <c r="F11240" s="4" t="n">
        <v>37</v>
      </c>
      <c r="G11240" s="4" t="n">
        <v>4</v>
      </c>
      <c r="H11240" s="4" t="n">
        <v>4</v>
      </c>
      <c r="I11240" s="4" t="str">
        <v>×</v>
      </c>
      <c r="J11240" s="4"/>
      <c r="K11240" s="4"/>
      <c r="L11240" s="4"/>
      <c r="M11240" s="5" t="s">
        <v>6502</v>
      </c>
    </row>
    <row r="11241" customFormat="false" ht="15.75" hidden="false" customHeight="false" outlineLevel="0" collapsed="false">
      <c r="A11241" s="6" t="n">
        <v>46221</v>
      </c>
      <c r="B11241" s="4" t="s">
        <v>1237</v>
      </c>
      <c r="C11241" s="4" t="n">
        <v>9</v>
      </c>
      <c r="D11241" s="4" t="n">
        <v>3</v>
      </c>
      <c r="E11241" s="4"/>
      <c r="F11241" s="4" t="n">
        <v>15</v>
      </c>
      <c r="G11241" s="4" t="n">
        <v>11</v>
      </c>
      <c r="H11241" s="4" t="n">
        <v>4</v>
      </c>
      <c r="I11241" s="4" t="str">
        <v>×</v>
      </c>
      <c r="J11241" s="4"/>
      <c r="K11241" s="4"/>
      <c r="L11241" s="4"/>
      <c r="M11241" s="5" t="s">
        <v>6502</v>
      </c>
    </row>
    <row r="11242" customFormat="false" ht="15.75" hidden="false" customHeight="false" outlineLevel="0" collapsed="false">
      <c r="A11242" s="6" t="n">
        <v>46221</v>
      </c>
      <c r="B11242" s="4" t="s">
        <v>1237</v>
      </c>
      <c r="C11242" s="4" t="n">
        <v>9</v>
      </c>
      <c r="D11242" s="4" t="n">
        <v>4</v>
      </c>
      <c r="E11242" s="4"/>
      <c r="F11242" s="4" t="n">
        <v>41</v>
      </c>
      <c r="G11242" s="4" t="n">
        <v>2</v>
      </c>
      <c r="H11242" s="4" t="n">
        <v>3</v>
      </c>
      <c r="I11242" s="4" t="str">
        <v>○</v>
      </c>
      <c r="J11242" s="4" t="n">
        <v>230</v>
      </c>
      <c r="K11242" s="4"/>
      <c r="L11242" s="4"/>
      <c r="M11242" s="5" t="s">
        <v>6502</v>
      </c>
    </row>
    <row r="11243" customFormat="false" ht="15.75" hidden="false" customHeight="false" outlineLevel="0" collapsed="false">
      <c r="A11243" s="6" t="n">
        <v>46221</v>
      </c>
      <c r="B11243" s="4" t="s">
        <v>1237</v>
      </c>
      <c r="C11243" s="4" t="n">
        <v>9</v>
      </c>
      <c r="D11243" s="4" t="n">
        <v>5</v>
      </c>
      <c r="E11243" s="4"/>
      <c r="F11243" s="4" t="n">
        <v>50</v>
      </c>
      <c r="G11243" s="4" t="n">
        <v>1</v>
      </c>
      <c r="H11243" s="4" t="n">
        <v>1</v>
      </c>
      <c r="I11243" s="4" t="str">
        <v>○</v>
      </c>
      <c r="J11243" s="4" t="n">
        <v>120</v>
      </c>
      <c r="K11243" s="4"/>
      <c r="L11243" s="4"/>
      <c r="M11243" s="5" t="s">
        <v>6502</v>
      </c>
    </row>
    <row r="11244" customFormat="false" ht="15.75" hidden="false" customHeight="false" outlineLevel="0" collapsed="false">
      <c r="A11244" s="6" t="n">
        <v>46221</v>
      </c>
      <c r="B11244" s="4" t="s">
        <v>1237</v>
      </c>
      <c r="C11244" s="4" t="n">
        <v>9</v>
      </c>
      <c r="D11244" s="4" t="n">
        <v>6</v>
      </c>
      <c r="E11244" s="4"/>
      <c r="F11244" s="4" t="n">
        <v>23</v>
      </c>
      <c r="G11244" s="4" t="n">
        <v>8</v>
      </c>
      <c r="H11244" s="4" t="n">
        <v>4</v>
      </c>
      <c r="I11244" s="4" t="str">
        <v>×</v>
      </c>
      <c r="J11244" s="4"/>
      <c r="K11244" s="4"/>
      <c r="L11244" s="4"/>
      <c r="M11244" s="5" t="s">
        <v>6502</v>
      </c>
    </row>
    <row r="11245" customFormat="false" ht="15.75" hidden="false" customHeight="false" outlineLevel="0" collapsed="false">
      <c r="A11245" s="6" t="n">
        <v>46221</v>
      </c>
      <c r="B11245" s="4" t="s">
        <v>1237</v>
      </c>
      <c r="C11245" s="4" t="n">
        <v>9</v>
      </c>
      <c r="D11245" s="4" t="n">
        <v>7</v>
      </c>
      <c r="E11245" s="4"/>
      <c r="F11245" s="4" t="n">
        <v>39</v>
      </c>
      <c r="G11245" s="4" t="n">
        <v>3</v>
      </c>
      <c r="H11245" s="4" t="n">
        <v>2</v>
      </c>
      <c r="I11245" s="4" t="str">
        <v>○</v>
      </c>
      <c r="J11245" s="4" t="n">
        <v>200</v>
      </c>
      <c r="K11245" s="4"/>
      <c r="L11245" s="4"/>
      <c r="M11245" s="5" t="s">
        <v>6502</v>
      </c>
    </row>
    <row r="11246" customFormat="false" ht="15.75" hidden="false" customHeight="false" outlineLevel="0" collapsed="false">
      <c r="A11246" s="6" t="n">
        <v>46221</v>
      </c>
      <c r="B11246" s="4" t="s">
        <v>1237</v>
      </c>
      <c r="C11246" s="4" t="n">
        <v>9</v>
      </c>
      <c r="D11246" s="4" t="n">
        <v>8</v>
      </c>
      <c r="E11246" s="4"/>
      <c r="F11246" s="4" t="n">
        <v>17</v>
      </c>
      <c r="G11246" s="4" t="n">
        <v>10</v>
      </c>
      <c r="H11246" s="4" t="n">
        <v>4</v>
      </c>
      <c r="I11246" s="4" t="str">
        <v>×</v>
      </c>
      <c r="J11246" s="4"/>
      <c r="K11246" s="4"/>
      <c r="L11246" s="4"/>
      <c r="M11246" s="5" t="s">
        <v>6502</v>
      </c>
    </row>
    <row r="11247" customFormat="false" ht="15.75" hidden="false" customHeight="false" outlineLevel="0" collapsed="false">
      <c r="A11247" s="6" t="n">
        <v>46221</v>
      </c>
      <c r="B11247" s="4" t="s">
        <v>1237</v>
      </c>
      <c r="C11247" s="4" t="n">
        <v>9</v>
      </c>
      <c r="D11247" s="4" t="n">
        <v>9</v>
      </c>
      <c r="E11247" s="4"/>
      <c r="F11247" s="4" t="n">
        <v>25</v>
      </c>
      <c r="G11247" s="4" t="n">
        <v>7</v>
      </c>
      <c r="H11247" s="4" t="n">
        <v>4</v>
      </c>
      <c r="I11247" s="4" t="str">
        <v>×</v>
      </c>
      <c r="J11247" s="4"/>
      <c r="K11247" s="4"/>
      <c r="L11247" s="4"/>
      <c r="M11247" s="5" t="s">
        <v>6502</v>
      </c>
    </row>
    <row r="11248" customFormat="false" ht="15.75" hidden="false" customHeight="false" outlineLevel="0" collapsed="false">
      <c r="A11248" s="6" t="n">
        <v>46221</v>
      </c>
      <c r="B11248" s="4" t="s">
        <v>1237</v>
      </c>
      <c r="C11248" s="4" t="n">
        <v>9</v>
      </c>
      <c r="D11248" s="4" t="n">
        <v>10</v>
      </c>
      <c r="E11248" s="4"/>
      <c r="F11248" s="4" t="n">
        <v>37</v>
      </c>
      <c r="G11248" s="4" t="n">
        <v>4</v>
      </c>
      <c r="H11248" s="4" t="n">
        <v>4</v>
      </c>
      <c r="I11248" s="4" t="str">
        <v>×</v>
      </c>
      <c r="J11248" s="4"/>
      <c r="K11248" s="4"/>
      <c r="L11248" s="4"/>
      <c r="M11248" s="5" t="s">
        <v>6502</v>
      </c>
    </row>
    <row r="11249" customFormat="false" ht="15.75" hidden="false" customHeight="false" outlineLevel="0" collapsed="false">
      <c r="A11249" s="6" t="n">
        <v>46221</v>
      </c>
      <c r="B11249" s="4" t="s">
        <v>1237</v>
      </c>
      <c r="C11249" s="4" t="n">
        <v>9</v>
      </c>
      <c r="D11249" s="4" t="n">
        <v>11</v>
      </c>
      <c r="E11249" s="4"/>
      <c r="F11249" s="4" t="n">
        <v>4</v>
      </c>
      <c r="G11249" s="4" t="n">
        <v>12</v>
      </c>
      <c r="H11249" s="4" t="n">
        <v>4</v>
      </c>
      <c r="I11249" s="4" t="str">
        <v>×</v>
      </c>
      <c r="J11249" s="4"/>
      <c r="K11249" s="4"/>
      <c r="L11249" s="4"/>
      <c r="M11249" s="5" t="s">
        <v>6502</v>
      </c>
    </row>
    <row r="11250" customFormat="false" ht="15.75" hidden="false" customHeight="false" outlineLevel="0" collapsed="false">
      <c r="A11250" s="6" t="n">
        <v>46221</v>
      </c>
      <c r="B11250" s="4" t="s">
        <v>1237</v>
      </c>
      <c r="C11250" s="4" t="n">
        <v>9</v>
      </c>
      <c r="D11250" s="4" t="n">
        <v>12</v>
      </c>
      <c r="E11250" s="4"/>
      <c r="F11250" s="4" t="n">
        <v>1</v>
      </c>
      <c r="G11250" s="4" t="n">
        <v>13</v>
      </c>
      <c r="H11250" s="4" t="n">
        <v>4</v>
      </c>
      <c r="I11250" s="4" t="str">
        <v>×</v>
      </c>
      <c r="J11250" s="4"/>
      <c r="K11250" s="4"/>
      <c r="L11250" s="4"/>
      <c r="M11250" s="5" t="s">
        <v>6502</v>
      </c>
    </row>
    <row r="11251" customFormat="false" ht="15.75" hidden="false" customHeight="false" outlineLevel="0" collapsed="false">
      <c r="A11251" s="6" t="n">
        <v>46221</v>
      </c>
      <c r="B11251" s="4" t="s">
        <v>1237</v>
      </c>
      <c r="C11251" s="4" t="n">
        <v>9</v>
      </c>
      <c r="D11251" s="4" t="n">
        <v>13</v>
      </c>
      <c r="E11251" s="4"/>
      <c r="F11251" s="4" t="n">
        <v>29</v>
      </c>
      <c r="G11251" s="4" t="n">
        <v>6</v>
      </c>
      <c r="H11251" s="4" t="n">
        <v>4</v>
      </c>
      <c r="I11251" s="4" t="str">
        <v>×</v>
      </c>
      <c r="J11251" s="4"/>
      <c r="K11251" s="4"/>
      <c r="L11251" s="4"/>
      <c r="M11251" s="5" t="s">
        <v>6502</v>
      </c>
    </row>
    <row r="11252" customFormat="false" ht="15.75" hidden="false" customHeight="false" outlineLevel="0" collapsed="false">
      <c r="A11252" s="6" t="n">
        <v>46221</v>
      </c>
      <c r="B11252" s="4" t="s">
        <v>1237</v>
      </c>
      <c r="C11252" s="4" t="n">
        <v>10</v>
      </c>
      <c r="D11252" s="4" t="n">
        <v>1</v>
      </c>
      <c r="E11252" s="4"/>
      <c r="F11252" s="4" t="n">
        <v>20</v>
      </c>
      <c r="G11252" s="4" t="n">
        <v>7</v>
      </c>
      <c r="H11252" s="4" t="n">
        <v>4</v>
      </c>
      <c r="I11252" s="4" t="str">
        <v>×</v>
      </c>
      <c r="J11252" s="4"/>
      <c r="K11252" s="4"/>
      <c r="L11252" s="4"/>
      <c r="M11252" s="5" t="s">
        <v>6502</v>
      </c>
    </row>
    <row r="11253" customFormat="false" ht="15.75" hidden="false" customHeight="false" outlineLevel="0" collapsed="false">
      <c r="A11253" s="6" t="n">
        <v>46221</v>
      </c>
      <c r="B11253" s="4" t="s">
        <v>1237</v>
      </c>
      <c r="C11253" s="4" t="n">
        <v>10</v>
      </c>
      <c r="D11253" s="4" t="n">
        <v>2</v>
      </c>
      <c r="E11253" s="4"/>
      <c r="F11253" s="4" t="n">
        <v>6</v>
      </c>
      <c r="G11253" s="4" t="n">
        <v>10</v>
      </c>
      <c r="H11253" s="4" t="n">
        <v>4</v>
      </c>
      <c r="I11253" s="4" t="str">
        <v>×</v>
      </c>
      <c r="J11253" s="4"/>
      <c r="K11253" s="4"/>
      <c r="L11253" s="4"/>
      <c r="M11253" s="5" t="s">
        <v>6502</v>
      </c>
    </row>
    <row r="11254" customFormat="false" ht="15.75" hidden="false" customHeight="false" outlineLevel="0" collapsed="false">
      <c r="A11254" s="6" t="n">
        <v>46221</v>
      </c>
      <c r="B11254" s="4" t="s">
        <v>1237</v>
      </c>
      <c r="C11254" s="4" t="n">
        <v>10</v>
      </c>
      <c r="D11254" s="4" t="n">
        <v>3</v>
      </c>
      <c r="E11254" s="4"/>
      <c r="F11254" s="4" t="n">
        <v>13</v>
      </c>
      <c r="G11254" s="4" t="n">
        <v>8</v>
      </c>
      <c r="H11254" s="4" t="n">
        <v>4</v>
      </c>
      <c r="I11254" s="4" t="str">
        <v>×</v>
      </c>
      <c r="J11254" s="4"/>
      <c r="K11254" s="4"/>
      <c r="L11254" s="4"/>
      <c r="M11254" s="5" t="s">
        <v>6502</v>
      </c>
    </row>
    <row r="11255" customFormat="false" ht="15.75" hidden="false" customHeight="false" outlineLevel="0" collapsed="false">
      <c r="A11255" s="6" t="n">
        <v>46221</v>
      </c>
      <c r="B11255" s="4" t="s">
        <v>1237</v>
      </c>
      <c r="C11255" s="4" t="n">
        <v>10</v>
      </c>
      <c r="D11255" s="4" t="n">
        <v>4</v>
      </c>
      <c r="E11255" s="4"/>
      <c r="F11255" s="4" t="n">
        <v>67</v>
      </c>
      <c r="G11255" s="4" t="n">
        <v>1</v>
      </c>
      <c r="H11255" s="4" t="n">
        <v>2</v>
      </c>
      <c r="I11255" s="4" t="str">
        <v>○</v>
      </c>
      <c r="J11255" s="4" t="n">
        <v>110</v>
      </c>
      <c r="K11255" s="4"/>
      <c r="L11255" s="4"/>
      <c r="M11255" s="5" t="s">
        <v>6502</v>
      </c>
    </row>
    <row r="11256" customFormat="false" ht="15.75" hidden="false" customHeight="false" outlineLevel="0" collapsed="false">
      <c r="A11256" s="6" t="n">
        <v>46221</v>
      </c>
      <c r="B11256" s="4" t="s">
        <v>1237</v>
      </c>
      <c r="C11256" s="4" t="n">
        <v>10</v>
      </c>
      <c r="D11256" s="4" t="n">
        <v>5</v>
      </c>
      <c r="E11256" s="4"/>
      <c r="F11256" s="4" t="n">
        <v>47</v>
      </c>
      <c r="G11256" s="4" t="n">
        <v>2</v>
      </c>
      <c r="H11256" s="4" t="n">
        <v>3</v>
      </c>
      <c r="I11256" s="4" t="str">
        <v>○</v>
      </c>
      <c r="J11256" s="4" t="n">
        <v>140</v>
      </c>
      <c r="K11256" s="4"/>
      <c r="L11256" s="4"/>
      <c r="M11256" s="5" t="s">
        <v>6502</v>
      </c>
    </row>
    <row r="11257" customFormat="false" ht="15.75" hidden="false" customHeight="false" outlineLevel="0" collapsed="false">
      <c r="A11257" s="6" t="n">
        <v>46221</v>
      </c>
      <c r="B11257" s="4" t="s">
        <v>1237</v>
      </c>
      <c r="C11257" s="4" t="n">
        <v>10</v>
      </c>
      <c r="D11257" s="4" t="n">
        <v>6</v>
      </c>
      <c r="E11257" s="4"/>
      <c r="F11257" s="4" t="n">
        <v>10</v>
      </c>
      <c r="G11257" s="4" t="n">
        <v>9</v>
      </c>
      <c r="H11257" s="4" t="n">
        <v>4</v>
      </c>
      <c r="I11257" s="4" t="str">
        <v>×</v>
      </c>
      <c r="J11257" s="4"/>
      <c r="K11257" s="4"/>
      <c r="L11257" s="4"/>
      <c r="M11257" s="5" t="s">
        <v>6502</v>
      </c>
    </row>
    <row r="11258" customFormat="false" ht="15.75" hidden="false" customHeight="false" outlineLevel="0" collapsed="false">
      <c r="A11258" s="6" t="n">
        <v>46221</v>
      </c>
      <c r="B11258" s="4" t="s">
        <v>1237</v>
      </c>
      <c r="C11258" s="4" t="n">
        <v>10</v>
      </c>
      <c r="D11258" s="4" t="n">
        <v>7</v>
      </c>
      <c r="E11258" s="4"/>
      <c r="F11258" s="4" t="n">
        <v>25</v>
      </c>
      <c r="G11258" s="4" t="n">
        <v>5</v>
      </c>
      <c r="H11258" s="4" t="n">
        <v>4</v>
      </c>
      <c r="I11258" s="4" t="str">
        <v>×</v>
      </c>
      <c r="J11258" s="4"/>
      <c r="K11258" s="4"/>
      <c r="L11258" s="4"/>
      <c r="M11258" s="5" t="s">
        <v>6502</v>
      </c>
    </row>
    <row r="11259" customFormat="false" ht="15.75" hidden="false" customHeight="false" outlineLevel="0" collapsed="false">
      <c r="A11259" s="6" t="n">
        <v>46221</v>
      </c>
      <c r="B11259" s="4" t="s">
        <v>1237</v>
      </c>
      <c r="C11259" s="4" t="n">
        <v>10</v>
      </c>
      <c r="D11259" s="4" t="n">
        <v>8</v>
      </c>
      <c r="E11259" s="4"/>
      <c r="F11259" s="4" t="n">
        <v>39</v>
      </c>
      <c r="G11259" s="4" t="n">
        <v>4</v>
      </c>
      <c r="H11259" s="4" t="n">
        <v>4</v>
      </c>
      <c r="I11259" s="4" t="str">
        <v>×</v>
      </c>
      <c r="J11259" s="4"/>
      <c r="K11259" s="4"/>
      <c r="L11259" s="4"/>
      <c r="M11259" s="5" t="s">
        <v>6502</v>
      </c>
    </row>
    <row r="11260" customFormat="false" ht="15.75" hidden="false" customHeight="false" outlineLevel="0" collapsed="false">
      <c r="A11260" s="6" t="n">
        <v>46221</v>
      </c>
      <c r="B11260" s="4" t="s">
        <v>1237</v>
      </c>
      <c r="C11260" s="4" t="n">
        <v>10</v>
      </c>
      <c r="D11260" s="4" t="n">
        <v>9</v>
      </c>
      <c r="E11260" s="4"/>
      <c r="F11260" s="4" t="n">
        <v>23</v>
      </c>
      <c r="G11260" s="4" t="n">
        <v>6</v>
      </c>
      <c r="H11260" s="4" t="n">
        <v>4</v>
      </c>
      <c r="I11260" s="4" t="str">
        <v>×</v>
      </c>
      <c r="J11260" s="4"/>
      <c r="K11260" s="4"/>
      <c r="L11260" s="4"/>
      <c r="M11260" s="5" t="s">
        <v>6502</v>
      </c>
    </row>
    <row r="11261" customFormat="false" ht="15.75" hidden="false" customHeight="false" outlineLevel="0" collapsed="false">
      <c r="A11261" s="6" t="n">
        <v>46221</v>
      </c>
      <c r="B11261" s="4" t="s">
        <v>1237</v>
      </c>
      <c r="C11261" s="4" t="n">
        <v>10</v>
      </c>
      <c r="D11261" s="4" t="n">
        <v>10</v>
      </c>
      <c r="E11261" s="4"/>
      <c r="F11261" s="4" t="n">
        <v>47</v>
      </c>
      <c r="G11261" s="4" t="n">
        <v>2</v>
      </c>
      <c r="H11261" s="4" t="n">
        <v>1</v>
      </c>
      <c r="I11261" s="4" t="str">
        <v>○</v>
      </c>
      <c r="J11261" s="4" t="n">
        <v>160</v>
      </c>
      <c r="K11261" s="4"/>
      <c r="L11261" s="4"/>
      <c r="M11261" s="5" t="s">
        <v>6502</v>
      </c>
    </row>
    <row r="11262" customFormat="false" ht="15.75" hidden="false" customHeight="false" outlineLevel="0" collapsed="false">
      <c r="A11262" s="6" t="n">
        <v>46221</v>
      </c>
      <c r="B11262" s="4" t="s">
        <v>1237</v>
      </c>
      <c r="C11262" s="4" t="n">
        <v>11</v>
      </c>
      <c r="D11262" s="4" t="n">
        <v>1</v>
      </c>
      <c r="E11262" s="4"/>
      <c r="F11262" s="4" t="n">
        <v>20</v>
      </c>
      <c r="G11262" s="4" t="n">
        <v>6</v>
      </c>
      <c r="H11262" s="4" t="n">
        <v>4</v>
      </c>
      <c r="I11262" s="4" t="str">
        <v>×</v>
      </c>
      <c r="J11262" s="4"/>
      <c r="K11262" s="4"/>
      <c r="L11262" s="4"/>
      <c r="M11262" s="5" t="s">
        <v>6502</v>
      </c>
    </row>
    <row r="11263" customFormat="false" ht="15.75" hidden="false" customHeight="false" outlineLevel="0" collapsed="false">
      <c r="A11263" s="6" t="n">
        <v>46221</v>
      </c>
      <c r="B11263" s="4" t="s">
        <v>1237</v>
      </c>
      <c r="C11263" s="4" t="n">
        <v>11</v>
      </c>
      <c r="D11263" s="4" t="n">
        <v>2</v>
      </c>
      <c r="E11263" s="4"/>
      <c r="F11263" s="4" t="n">
        <v>20</v>
      </c>
      <c r="G11263" s="4" t="n">
        <v>6</v>
      </c>
      <c r="H11263" s="4" t="n">
        <v>4</v>
      </c>
      <c r="I11263" s="4" t="str">
        <v>×</v>
      </c>
      <c r="J11263" s="4"/>
      <c r="K11263" s="4"/>
      <c r="L11263" s="4"/>
      <c r="M11263" s="5" t="s">
        <v>6502</v>
      </c>
    </row>
    <row r="11264" customFormat="false" ht="15.75" hidden="false" customHeight="false" outlineLevel="0" collapsed="false">
      <c r="A11264" s="6" t="n">
        <v>46221</v>
      </c>
      <c r="B11264" s="4" t="s">
        <v>1237</v>
      </c>
      <c r="C11264" s="4" t="n">
        <v>11</v>
      </c>
      <c r="D11264" s="4" t="n">
        <v>3</v>
      </c>
      <c r="E11264" s="4"/>
      <c r="F11264" s="4" t="n">
        <v>17</v>
      </c>
      <c r="G11264" s="4" t="n">
        <v>8</v>
      </c>
      <c r="H11264" s="4" t="n">
        <v>4</v>
      </c>
      <c r="I11264" s="4" t="str">
        <v>×</v>
      </c>
      <c r="J11264" s="4"/>
      <c r="K11264" s="4"/>
      <c r="L11264" s="4"/>
      <c r="M11264" s="5" t="s">
        <v>6502</v>
      </c>
    </row>
    <row r="11265" customFormat="false" ht="15.75" hidden="false" customHeight="false" outlineLevel="0" collapsed="false">
      <c r="A11265" s="6" t="n">
        <v>46221</v>
      </c>
      <c r="B11265" s="4" t="s">
        <v>1237</v>
      </c>
      <c r="C11265" s="4" t="n">
        <v>11</v>
      </c>
      <c r="D11265" s="4" t="n">
        <v>4</v>
      </c>
      <c r="E11265" s="4"/>
      <c r="F11265" s="4" t="n">
        <v>15</v>
      </c>
      <c r="G11265" s="4" t="n">
        <v>10</v>
      </c>
      <c r="H11265" s="4" t="n">
        <v>4</v>
      </c>
      <c r="I11265" s="4" t="str">
        <v>×</v>
      </c>
      <c r="J11265" s="4"/>
      <c r="K11265" s="4"/>
      <c r="L11265" s="4"/>
      <c r="M11265" s="5" t="s">
        <v>6502</v>
      </c>
    </row>
    <row r="11266" customFormat="false" ht="15.75" hidden="false" customHeight="false" outlineLevel="0" collapsed="false">
      <c r="A11266" s="6" t="n">
        <v>46221</v>
      </c>
      <c r="B11266" s="4" t="s">
        <v>1237</v>
      </c>
      <c r="C11266" s="4" t="n">
        <v>11</v>
      </c>
      <c r="D11266" s="4" t="n">
        <v>5</v>
      </c>
      <c r="E11266" s="4"/>
      <c r="F11266" s="4" t="n">
        <v>37</v>
      </c>
      <c r="G11266" s="4" t="n">
        <v>5</v>
      </c>
      <c r="H11266" s="4" t="n">
        <v>4</v>
      </c>
      <c r="I11266" s="4" t="str">
        <v>×</v>
      </c>
      <c r="J11266" s="4"/>
      <c r="K11266" s="4"/>
      <c r="L11266" s="4"/>
      <c r="M11266" s="5" t="s">
        <v>6502</v>
      </c>
    </row>
    <row r="11267" customFormat="false" ht="15.75" hidden="false" customHeight="false" outlineLevel="0" collapsed="false">
      <c r="A11267" s="6" t="n">
        <v>46221</v>
      </c>
      <c r="B11267" s="4" t="s">
        <v>1237</v>
      </c>
      <c r="C11267" s="4" t="n">
        <v>11</v>
      </c>
      <c r="D11267" s="4" t="n">
        <v>6</v>
      </c>
      <c r="E11267" s="4"/>
      <c r="F11267" s="4" t="n">
        <v>15</v>
      </c>
      <c r="G11267" s="4" t="n">
        <v>10</v>
      </c>
      <c r="H11267" s="4" t="n">
        <v>4</v>
      </c>
      <c r="I11267" s="4" t="str">
        <v>×</v>
      </c>
      <c r="J11267" s="4"/>
      <c r="K11267" s="4"/>
      <c r="L11267" s="4"/>
      <c r="M11267" s="5" t="s">
        <v>6502</v>
      </c>
    </row>
    <row r="11268" customFormat="false" ht="15.75" hidden="false" customHeight="false" outlineLevel="0" collapsed="false">
      <c r="A11268" s="6" t="n">
        <v>46221</v>
      </c>
      <c r="B11268" s="4" t="s">
        <v>1237</v>
      </c>
      <c r="C11268" s="4" t="n">
        <v>11</v>
      </c>
      <c r="D11268" s="4" t="n">
        <v>7</v>
      </c>
      <c r="E11268" s="4"/>
      <c r="F11268" s="4" t="n">
        <v>41</v>
      </c>
      <c r="G11268" s="4" t="n">
        <v>3</v>
      </c>
      <c r="H11268" s="4" t="n">
        <v>4</v>
      </c>
      <c r="I11268" s="4" t="str">
        <v>×</v>
      </c>
      <c r="J11268" s="4"/>
      <c r="K11268" s="4"/>
      <c r="L11268" s="4"/>
      <c r="M11268" s="5" t="s">
        <v>6502</v>
      </c>
    </row>
    <row r="11269" customFormat="false" ht="15.75" hidden="false" customHeight="false" outlineLevel="0" collapsed="false">
      <c r="A11269" s="6" t="n">
        <v>46221</v>
      </c>
      <c r="B11269" s="4" t="s">
        <v>1237</v>
      </c>
      <c r="C11269" s="4" t="n">
        <v>11</v>
      </c>
      <c r="D11269" s="4" t="n">
        <v>8</v>
      </c>
      <c r="E11269" s="4"/>
      <c r="F11269" s="4" t="n">
        <v>17</v>
      </c>
      <c r="G11269" s="4" t="n">
        <v>8</v>
      </c>
      <c r="H11269" s="4" t="n">
        <v>4</v>
      </c>
      <c r="I11269" s="4" t="str">
        <v>×</v>
      </c>
      <c r="J11269" s="4"/>
      <c r="K11269" s="4"/>
      <c r="L11269" s="4"/>
      <c r="M11269" s="5" t="s">
        <v>6502</v>
      </c>
    </row>
    <row r="11270" customFormat="false" ht="15.75" hidden="false" customHeight="false" outlineLevel="0" collapsed="false">
      <c r="A11270" s="6" t="n">
        <v>46221</v>
      </c>
      <c r="B11270" s="4" t="s">
        <v>1237</v>
      </c>
      <c r="C11270" s="4" t="n">
        <v>11</v>
      </c>
      <c r="D11270" s="4" t="n">
        <v>9</v>
      </c>
      <c r="E11270" s="4"/>
      <c r="F11270" s="4" t="n">
        <v>3</v>
      </c>
      <c r="G11270" s="4" t="n">
        <v>13</v>
      </c>
      <c r="H11270" s="4" t="n">
        <v>4</v>
      </c>
      <c r="I11270" s="4" t="str">
        <v>×</v>
      </c>
      <c r="J11270" s="4"/>
      <c r="K11270" s="4"/>
      <c r="L11270" s="4"/>
      <c r="M11270" s="5" t="s">
        <v>6502</v>
      </c>
    </row>
    <row r="11271" customFormat="false" ht="15.75" hidden="false" customHeight="false" outlineLevel="0" collapsed="false">
      <c r="A11271" s="6" t="n">
        <v>46221</v>
      </c>
      <c r="B11271" s="4" t="s">
        <v>1237</v>
      </c>
      <c r="C11271" s="4" t="n">
        <v>11</v>
      </c>
      <c r="D11271" s="4" t="n">
        <v>10</v>
      </c>
      <c r="E11271" s="4"/>
      <c r="F11271" s="4" t="n">
        <v>47</v>
      </c>
      <c r="G11271" s="4" t="n">
        <v>1</v>
      </c>
      <c r="H11271" s="4" t="n">
        <v>1</v>
      </c>
      <c r="I11271" s="4" t="str">
        <v>○</v>
      </c>
      <c r="J11271" s="4" t="n">
        <v>150</v>
      </c>
      <c r="K11271" s="4"/>
      <c r="L11271" s="4"/>
      <c r="M11271" s="5" t="s">
        <v>6502</v>
      </c>
    </row>
    <row r="11272" customFormat="false" ht="15.75" hidden="false" customHeight="false" outlineLevel="0" collapsed="false">
      <c r="A11272" s="6" t="n">
        <v>46221</v>
      </c>
      <c r="B11272" s="4" t="s">
        <v>1237</v>
      </c>
      <c r="C11272" s="4" t="n">
        <v>11</v>
      </c>
      <c r="D11272" s="4" t="n">
        <v>11</v>
      </c>
      <c r="E11272" s="4"/>
      <c r="F11272" s="4" t="n">
        <v>39</v>
      </c>
      <c r="G11272" s="4" t="n">
        <v>4</v>
      </c>
      <c r="H11272" s="4" t="n">
        <v>3</v>
      </c>
      <c r="I11272" s="4" t="str">
        <v>○</v>
      </c>
      <c r="J11272" s="4" t="n">
        <v>180</v>
      </c>
      <c r="K11272" s="4"/>
      <c r="L11272" s="4"/>
      <c r="M11272" s="5" t="s">
        <v>6502</v>
      </c>
    </row>
    <row r="11273" customFormat="false" ht="15.75" hidden="false" customHeight="false" outlineLevel="0" collapsed="false">
      <c r="A11273" s="6" t="n">
        <v>46221</v>
      </c>
      <c r="B11273" s="4" t="s">
        <v>1237</v>
      </c>
      <c r="C11273" s="4" t="n">
        <v>11</v>
      </c>
      <c r="D11273" s="4" t="n">
        <v>12</v>
      </c>
      <c r="E11273" s="4"/>
      <c r="F11273" s="4" t="n">
        <v>44</v>
      </c>
      <c r="G11273" s="4" t="n">
        <v>2</v>
      </c>
      <c r="H11273" s="4" t="n">
        <v>2</v>
      </c>
      <c r="I11273" s="4" t="str">
        <v>○</v>
      </c>
      <c r="J11273" s="4" t="n">
        <v>200</v>
      </c>
      <c r="K11273" s="4"/>
      <c r="L11273" s="4"/>
      <c r="M11273" s="5" t="s">
        <v>6502</v>
      </c>
    </row>
    <row r="11274" customFormat="false" ht="15.75" hidden="false" customHeight="false" outlineLevel="0" collapsed="false">
      <c r="A11274" s="6" t="n">
        <v>46221</v>
      </c>
      <c r="B11274" s="4" t="s">
        <v>1237</v>
      </c>
      <c r="C11274" s="4" t="n">
        <v>11</v>
      </c>
      <c r="D11274" s="4" t="n">
        <v>13</v>
      </c>
      <c r="E11274" s="4"/>
      <c r="F11274" s="4" t="n">
        <v>15</v>
      </c>
      <c r="G11274" s="4" t="n">
        <v>10</v>
      </c>
      <c r="H11274" s="4" t="n">
        <v>4</v>
      </c>
      <c r="I11274" s="4" t="str">
        <v>×</v>
      </c>
      <c r="J11274" s="4"/>
      <c r="K11274" s="4"/>
      <c r="L11274" s="4"/>
      <c r="M11274" s="5" t="s">
        <v>6502</v>
      </c>
    </row>
    <row r="11275" customFormat="false" ht="15.75" hidden="false" customHeight="false" outlineLevel="0" collapsed="false">
      <c r="A11275" s="6" t="n">
        <v>46221</v>
      </c>
      <c r="B11275" s="4" t="s">
        <v>1237</v>
      </c>
      <c r="C11275" s="4" t="n">
        <v>12</v>
      </c>
      <c r="D11275" s="4" t="n">
        <v>1</v>
      </c>
      <c r="E11275" s="4"/>
      <c r="F11275" s="4" t="n">
        <v>47</v>
      </c>
      <c r="G11275" s="4" t="n">
        <v>1</v>
      </c>
      <c r="H11275" s="4" t="n">
        <v>1</v>
      </c>
      <c r="I11275" s="4" t="str">
        <v>○</v>
      </c>
      <c r="J11275" s="4" t="n">
        <v>250</v>
      </c>
      <c r="K11275" s="4"/>
      <c r="L11275" s="4"/>
      <c r="M11275" s="5" t="s">
        <v>6502</v>
      </c>
    </row>
    <row r="11276" customFormat="false" ht="15.75" hidden="false" customHeight="false" outlineLevel="0" collapsed="false">
      <c r="A11276" s="6" t="n">
        <v>46221</v>
      </c>
      <c r="B11276" s="4" t="s">
        <v>1237</v>
      </c>
      <c r="C11276" s="4" t="n">
        <v>12</v>
      </c>
      <c r="D11276" s="4" t="n">
        <v>2</v>
      </c>
      <c r="E11276" s="4"/>
      <c r="F11276" s="4" t="n">
        <v>23</v>
      </c>
      <c r="G11276" s="4" t="n">
        <v>8</v>
      </c>
      <c r="H11276" s="4" t="n">
        <v>4</v>
      </c>
      <c r="I11276" s="4" t="str">
        <v>×</v>
      </c>
      <c r="J11276" s="4"/>
      <c r="K11276" s="4"/>
      <c r="L11276" s="4"/>
      <c r="M11276" s="5" t="s">
        <v>6502</v>
      </c>
    </row>
    <row r="11277" customFormat="false" ht="15.75" hidden="false" customHeight="false" outlineLevel="0" collapsed="false">
      <c r="A11277" s="6" t="n">
        <v>46221</v>
      </c>
      <c r="B11277" s="4" t="s">
        <v>1237</v>
      </c>
      <c r="C11277" s="4" t="n">
        <v>12</v>
      </c>
      <c r="D11277" s="4" t="n">
        <v>3</v>
      </c>
      <c r="E11277" s="4"/>
      <c r="F11277" s="4" t="n">
        <v>44</v>
      </c>
      <c r="G11277" s="4" t="n">
        <v>2</v>
      </c>
      <c r="H11277" s="4" t="n">
        <v>2</v>
      </c>
      <c r="I11277" s="4" t="str">
        <v>○</v>
      </c>
      <c r="J11277" s="4" t="n">
        <v>190</v>
      </c>
      <c r="K11277" s="4"/>
      <c r="L11277" s="4"/>
      <c r="M11277" s="5" t="s">
        <v>6502</v>
      </c>
    </row>
    <row r="11278" customFormat="false" ht="15.75" hidden="false" customHeight="false" outlineLevel="0" collapsed="false">
      <c r="A11278" s="6" t="n">
        <v>46221</v>
      </c>
      <c r="B11278" s="4" t="s">
        <v>1237</v>
      </c>
      <c r="C11278" s="4" t="n">
        <v>12</v>
      </c>
      <c r="D11278" s="4" t="n">
        <v>4</v>
      </c>
      <c r="E11278" s="4"/>
      <c r="F11278" s="4" t="n">
        <v>23</v>
      </c>
      <c r="G11278" s="4" t="n">
        <v>8</v>
      </c>
      <c r="H11278" s="4" t="n">
        <v>4</v>
      </c>
      <c r="I11278" s="4" t="str">
        <v>×</v>
      </c>
      <c r="J11278" s="4"/>
      <c r="K11278" s="4"/>
      <c r="L11278" s="4"/>
      <c r="M11278" s="5" t="s">
        <v>6502</v>
      </c>
    </row>
    <row r="11279" customFormat="false" ht="15.75" hidden="false" customHeight="false" outlineLevel="0" collapsed="false">
      <c r="A11279" s="6" t="n">
        <v>46221</v>
      </c>
      <c r="B11279" s="4" t="s">
        <v>1237</v>
      </c>
      <c r="C11279" s="4" t="n">
        <v>12</v>
      </c>
      <c r="D11279" s="4" t="n">
        <v>5</v>
      </c>
      <c r="E11279" s="4"/>
      <c r="F11279" s="4" t="n">
        <v>25</v>
      </c>
      <c r="G11279" s="4" t="n">
        <v>7</v>
      </c>
      <c r="H11279" s="4" t="n">
        <v>4</v>
      </c>
      <c r="I11279" s="4" t="str">
        <v>×</v>
      </c>
      <c r="J11279" s="4"/>
      <c r="K11279" s="4"/>
      <c r="L11279" s="4"/>
      <c r="M11279" s="5" t="s">
        <v>6502</v>
      </c>
    </row>
    <row r="11280" customFormat="false" ht="15.75" hidden="false" customHeight="false" outlineLevel="0" collapsed="false">
      <c r="A11280" s="6" t="n">
        <v>46221</v>
      </c>
      <c r="B11280" s="4" t="s">
        <v>1237</v>
      </c>
      <c r="C11280" s="4" t="n">
        <v>12</v>
      </c>
      <c r="D11280" s="4" t="n">
        <v>6</v>
      </c>
      <c r="E11280" s="4"/>
      <c r="F11280" s="4" t="n">
        <v>37</v>
      </c>
      <c r="G11280" s="4" t="n">
        <v>4</v>
      </c>
      <c r="H11280" s="4" t="n">
        <v>4</v>
      </c>
      <c r="I11280" s="4" t="str">
        <v>×</v>
      </c>
      <c r="J11280" s="4"/>
      <c r="K11280" s="4"/>
      <c r="L11280" s="4"/>
      <c r="M11280" s="5" t="s">
        <v>6502</v>
      </c>
    </row>
    <row r="11281" customFormat="false" ht="15.75" hidden="false" customHeight="false" outlineLevel="0" collapsed="false">
      <c r="A11281" s="6" t="n">
        <v>46221</v>
      </c>
      <c r="B11281" s="4" t="s">
        <v>1237</v>
      </c>
      <c r="C11281" s="4" t="n">
        <v>12</v>
      </c>
      <c r="D11281" s="4" t="n">
        <v>7</v>
      </c>
      <c r="E11281" s="4"/>
      <c r="F11281" s="4" t="n">
        <v>44</v>
      </c>
      <c r="G11281" s="4" t="n">
        <v>2</v>
      </c>
      <c r="H11281" s="4" t="n">
        <v>3</v>
      </c>
      <c r="I11281" s="4" t="str">
        <v>○</v>
      </c>
      <c r="J11281" s="4" t="n">
        <v>300</v>
      </c>
      <c r="K11281" s="4"/>
      <c r="L11281" s="4"/>
      <c r="M11281" s="5" t="s">
        <v>6502</v>
      </c>
    </row>
    <row r="11282" customFormat="false" ht="15.75" hidden="false" customHeight="false" outlineLevel="0" collapsed="false">
      <c r="A11282" s="6" t="n">
        <v>46221</v>
      </c>
      <c r="B11282" s="4" t="s">
        <v>1237</v>
      </c>
      <c r="C11282" s="4" t="n">
        <v>12</v>
      </c>
      <c r="D11282" s="4" t="n">
        <v>8</v>
      </c>
      <c r="E11282" s="4"/>
      <c r="F11282" s="4" t="n">
        <v>6</v>
      </c>
      <c r="G11282" s="4" t="n">
        <v>11</v>
      </c>
      <c r="H11282" s="4" t="n">
        <v>4</v>
      </c>
      <c r="I11282" s="4" t="str">
        <v>×</v>
      </c>
      <c r="J11282" s="4"/>
      <c r="K11282" s="4"/>
      <c r="L11282" s="4"/>
      <c r="M11282" s="5" t="s">
        <v>6502</v>
      </c>
    </row>
    <row r="11283" customFormat="false" ht="15.75" hidden="false" customHeight="false" outlineLevel="0" collapsed="false">
      <c r="A11283" s="6" t="n">
        <v>46221</v>
      </c>
      <c r="B11283" s="4" t="s">
        <v>1237</v>
      </c>
      <c r="C11283" s="4" t="n">
        <v>12</v>
      </c>
      <c r="D11283" s="4" t="n">
        <v>9</v>
      </c>
      <c r="E11283" s="4"/>
      <c r="F11283" s="4" t="n">
        <v>31</v>
      </c>
      <c r="G11283" s="4" t="n">
        <v>6</v>
      </c>
      <c r="H11283" s="4" t="n">
        <v>4</v>
      </c>
      <c r="I11283" s="4" t="str">
        <v>×</v>
      </c>
      <c r="J11283" s="4"/>
      <c r="K11283" s="4"/>
      <c r="L11283" s="4"/>
      <c r="M11283" s="5" t="s">
        <v>6502</v>
      </c>
    </row>
    <row r="11284" customFormat="false" ht="15.75" hidden="false" customHeight="false" outlineLevel="0" collapsed="false">
      <c r="A11284" s="6" t="n">
        <v>46221</v>
      </c>
      <c r="B11284" s="4" t="s">
        <v>1237</v>
      </c>
      <c r="C11284" s="4" t="n">
        <v>12</v>
      </c>
      <c r="D11284" s="4" t="n">
        <v>10</v>
      </c>
      <c r="E11284" s="4"/>
      <c r="F11284" s="4" t="n">
        <v>37</v>
      </c>
      <c r="G11284" s="4" t="n">
        <v>4</v>
      </c>
      <c r="H11284" s="4" t="n">
        <v>4</v>
      </c>
      <c r="I11284" s="4" t="str">
        <v>×</v>
      </c>
      <c r="J11284" s="4"/>
      <c r="K11284" s="4"/>
      <c r="L11284" s="4"/>
      <c r="M11284" s="5" t="s">
        <v>6502</v>
      </c>
    </row>
    <row r="11285" customFormat="false" ht="15.75" hidden="false" customHeight="false" outlineLevel="0" collapsed="false">
      <c r="A11285" s="6" t="n">
        <v>46221</v>
      </c>
      <c r="B11285" s="4" t="s">
        <v>1237</v>
      </c>
      <c r="C11285" s="4" t="n">
        <v>12</v>
      </c>
      <c r="D11285" s="4" t="n">
        <v>11</v>
      </c>
      <c r="E11285" s="4"/>
      <c r="F11285" s="4" t="n">
        <v>6</v>
      </c>
      <c r="G11285" s="4" t="n">
        <v>11</v>
      </c>
      <c r="H11285" s="4" t="n">
        <v>4</v>
      </c>
      <c r="I11285" s="4" t="str">
        <v>×</v>
      </c>
      <c r="J11285" s="4"/>
      <c r="K11285" s="4"/>
      <c r="L11285" s="4"/>
      <c r="M11285" s="5" t="s">
        <v>6502</v>
      </c>
    </row>
    <row r="11286" customFormat="false" ht="15.75" hidden="false" customHeight="false" outlineLevel="0" collapsed="false">
      <c r="A11286" s="6" t="n">
        <v>46221</v>
      </c>
      <c r="B11286" s="4" t="s">
        <v>1237</v>
      </c>
      <c r="C11286" s="4" t="n">
        <v>12</v>
      </c>
      <c r="D11286" s="4" t="n">
        <v>12</v>
      </c>
      <c r="E11286" s="4"/>
      <c r="F11286" s="4" t="n">
        <v>10</v>
      </c>
      <c r="G11286" s="4" t="n">
        <v>10</v>
      </c>
      <c r="H11286" s="4" t="n">
        <v>4</v>
      </c>
      <c r="I11286" s="4" t="str">
        <v>×</v>
      </c>
      <c r="J11286" s="4"/>
      <c r="K11286" s="4"/>
      <c r="L11286" s="4"/>
      <c r="M11286" s="5" t="s">
        <v>6502</v>
      </c>
    </row>
    <row r="11287" customFormat="false" ht="15.75" hidden="false" customHeight="false" outlineLevel="0" collapsed="false">
      <c r="A11287" s="6" t="n">
        <v>46221</v>
      </c>
      <c r="B11287" s="4" t="s">
        <v>1091</v>
      </c>
      <c r="C11287" s="4" t="n">
        <v>1</v>
      </c>
      <c r="D11287" s="4" t="n">
        <v>1</v>
      </c>
      <c r="E11287" s="4"/>
      <c r="F11287" s="4" t="n">
        <v>37</v>
      </c>
      <c r="G11287" s="4" t="n">
        <v>2</v>
      </c>
      <c r="H11287" s="4" t="n">
        <v>4</v>
      </c>
      <c r="I11287" s="4" t="str">
        <v>×</v>
      </c>
      <c r="J11287" s="4"/>
      <c r="K11287" s="4"/>
      <c r="L11287" s="4"/>
      <c r="M11287" s="5" t="s">
        <v>6502</v>
      </c>
    </row>
    <row r="11288" customFormat="false" ht="15.75" hidden="false" customHeight="false" outlineLevel="0" collapsed="false">
      <c r="A11288" s="6" t="n">
        <v>46221</v>
      </c>
      <c r="B11288" s="4" t="s">
        <v>1091</v>
      </c>
      <c r="C11288" s="4" t="n">
        <v>1</v>
      </c>
      <c r="D11288" s="4" t="n">
        <v>2</v>
      </c>
      <c r="E11288" s="4"/>
      <c r="F11288" s="4" t="n">
        <v>27</v>
      </c>
      <c r="G11288" s="4" t="n">
        <v>5</v>
      </c>
      <c r="H11288" s="4" t="n">
        <v>1</v>
      </c>
      <c r="I11288" s="4" t="str">
        <v>○</v>
      </c>
      <c r="J11288" s="4" t="n">
        <v>170</v>
      </c>
      <c r="K11288" s="4"/>
      <c r="L11288" s="4"/>
      <c r="M11288" s="5" t="s">
        <v>6502</v>
      </c>
    </row>
    <row r="11289" customFormat="false" ht="15.75" hidden="false" customHeight="false" outlineLevel="0" collapsed="false">
      <c r="A11289" s="6" t="n">
        <v>46221</v>
      </c>
      <c r="B11289" s="4" t="s">
        <v>1091</v>
      </c>
      <c r="C11289" s="4" t="n">
        <v>1</v>
      </c>
      <c r="D11289" s="4" t="n">
        <v>3</v>
      </c>
      <c r="E11289" s="4"/>
      <c r="F11289" s="4" t="n">
        <v>16</v>
      </c>
      <c r="G11289" s="4" t="n">
        <v>9</v>
      </c>
      <c r="H11289" s="4" t="n">
        <v>4</v>
      </c>
      <c r="I11289" s="4" t="str">
        <v>×</v>
      </c>
      <c r="J11289" s="4"/>
      <c r="K11289" s="4"/>
      <c r="L11289" s="4"/>
      <c r="M11289" s="5" t="s">
        <v>6502</v>
      </c>
    </row>
    <row r="11290" customFormat="false" ht="15.75" hidden="false" customHeight="false" outlineLevel="0" collapsed="false">
      <c r="A11290" s="6" t="n">
        <v>46221</v>
      </c>
      <c r="B11290" s="4" t="s">
        <v>1091</v>
      </c>
      <c r="C11290" s="4" t="n">
        <v>1</v>
      </c>
      <c r="D11290" s="4" t="n">
        <v>4</v>
      </c>
      <c r="E11290" s="4"/>
      <c r="F11290" s="4" t="n">
        <v>24</v>
      </c>
      <c r="G11290" s="4" t="n">
        <v>7</v>
      </c>
      <c r="H11290" s="4" t="n">
        <v>4</v>
      </c>
      <c r="I11290" s="4" t="str">
        <v>×</v>
      </c>
      <c r="J11290" s="4"/>
      <c r="K11290" s="4"/>
      <c r="L11290" s="4"/>
      <c r="M11290" s="5" t="s">
        <v>6502</v>
      </c>
    </row>
    <row r="11291" customFormat="false" ht="15.75" hidden="false" customHeight="false" outlineLevel="0" collapsed="false">
      <c r="A11291" s="6" t="n">
        <v>46221</v>
      </c>
      <c r="B11291" s="4" t="s">
        <v>1091</v>
      </c>
      <c r="C11291" s="4" t="n">
        <v>1</v>
      </c>
      <c r="D11291" s="4" t="n">
        <v>5</v>
      </c>
      <c r="E11291" s="4"/>
      <c r="F11291" s="4" t="n">
        <v>58</v>
      </c>
      <c r="G11291" s="4" t="n">
        <v>1</v>
      </c>
      <c r="H11291" s="4" t="n">
        <v>4</v>
      </c>
      <c r="I11291" s="4" t="str">
        <v>×</v>
      </c>
      <c r="J11291" s="4"/>
      <c r="K11291" s="4"/>
      <c r="L11291" s="4"/>
      <c r="M11291" s="5" t="s">
        <v>6502</v>
      </c>
    </row>
    <row r="11292" customFormat="false" ht="15.75" hidden="false" customHeight="false" outlineLevel="0" collapsed="false">
      <c r="A11292" s="6" t="n">
        <v>46221</v>
      </c>
      <c r="B11292" s="4" t="s">
        <v>1091</v>
      </c>
      <c r="C11292" s="4" t="n">
        <v>1</v>
      </c>
      <c r="D11292" s="4" t="n">
        <v>6</v>
      </c>
      <c r="E11292" s="4"/>
      <c r="F11292" s="4" t="n">
        <v>37</v>
      </c>
      <c r="G11292" s="4" t="n">
        <v>2</v>
      </c>
      <c r="H11292" s="4" t="n">
        <v>2</v>
      </c>
      <c r="I11292" s="4" t="str">
        <v>○</v>
      </c>
      <c r="J11292" s="4" t="n">
        <v>200</v>
      </c>
      <c r="K11292" s="4"/>
      <c r="L11292" s="4"/>
      <c r="M11292" s="5" t="s">
        <v>6502</v>
      </c>
    </row>
    <row r="11293" customFormat="false" ht="15.75" hidden="false" customHeight="false" outlineLevel="0" collapsed="false">
      <c r="A11293" s="6" t="n">
        <v>46221</v>
      </c>
      <c r="B11293" s="4" t="s">
        <v>1091</v>
      </c>
      <c r="C11293" s="4" t="n">
        <v>1</v>
      </c>
      <c r="D11293" s="4" t="n">
        <v>7</v>
      </c>
      <c r="E11293" s="4"/>
      <c r="F11293" s="4" t="n">
        <v>12</v>
      </c>
      <c r="G11293" s="4" t="n">
        <v>10</v>
      </c>
      <c r="H11293" s="4" t="n">
        <v>4</v>
      </c>
      <c r="I11293" s="4" t="str">
        <v>×</v>
      </c>
      <c r="J11293" s="4"/>
      <c r="K11293" s="4"/>
      <c r="L11293" s="4"/>
      <c r="M11293" s="5" t="s">
        <v>6502</v>
      </c>
    </row>
    <row r="11294" customFormat="false" ht="15.75" hidden="false" customHeight="false" outlineLevel="0" collapsed="false">
      <c r="A11294" s="6" t="n">
        <v>46221</v>
      </c>
      <c r="B11294" s="4" t="s">
        <v>1091</v>
      </c>
      <c r="C11294" s="4" t="n">
        <v>1</v>
      </c>
      <c r="D11294" s="4" t="n">
        <v>8</v>
      </c>
      <c r="E11294" s="4"/>
      <c r="F11294" s="4" t="n">
        <v>12</v>
      </c>
      <c r="G11294" s="4" t="n">
        <v>10</v>
      </c>
      <c r="H11294" s="4" t="n">
        <v>4</v>
      </c>
      <c r="I11294" s="4" t="str">
        <v>×</v>
      </c>
      <c r="J11294" s="4"/>
      <c r="K11294" s="4"/>
      <c r="L11294" s="4"/>
      <c r="M11294" s="5" t="s">
        <v>6502</v>
      </c>
    </row>
    <row r="11295" customFormat="false" ht="15.75" hidden="false" customHeight="false" outlineLevel="0" collapsed="false">
      <c r="A11295" s="6" t="n">
        <v>46221</v>
      </c>
      <c r="B11295" s="4" t="s">
        <v>1091</v>
      </c>
      <c r="C11295" s="4" t="n">
        <v>1</v>
      </c>
      <c r="D11295" s="4" t="n">
        <v>9</v>
      </c>
      <c r="E11295" s="4"/>
      <c r="F11295" s="4" t="n">
        <v>37</v>
      </c>
      <c r="G11295" s="4" t="n">
        <v>2</v>
      </c>
      <c r="H11295" s="4" t="n">
        <v>3</v>
      </c>
      <c r="I11295" s="4" t="str">
        <v>○</v>
      </c>
      <c r="J11295" s="4" t="n">
        <v>170</v>
      </c>
      <c r="K11295" s="4"/>
      <c r="L11295" s="4"/>
      <c r="M11295" s="5" t="s">
        <v>6502</v>
      </c>
    </row>
    <row r="11296" customFormat="false" ht="15.75" hidden="false" customHeight="false" outlineLevel="0" collapsed="false">
      <c r="A11296" s="6" t="n">
        <v>46221</v>
      </c>
      <c r="B11296" s="4" t="s">
        <v>1091</v>
      </c>
      <c r="C11296" s="4" t="n">
        <v>1</v>
      </c>
      <c r="D11296" s="4" t="n">
        <v>10</v>
      </c>
      <c r="E11296" s="4"/>
      <c r="F11296" s="4" t="n">
        <v>24</v>
      </c>
      <c r="G11296" s="4" t="n">
        <v>7</v>
      </c>
      <c r="H11296" s="4" t="n">
        <v>4</v>
      </c>
      <c r="I11296" s="4" t="str">
        <v>×</v>
      </c>
      <c r="J11296" s="4"/>
      <c r="K11296" s="4"/>
      <c r="L11296" s="4"/>
      <c r="M11296" s="5" t="s">
        <v>6502</v>
      </c>
    </row>
    <row r="11297" customFormat="false" ht="15.75" hidden="false" customHeight="false" outlineLevel="0" collapsed="false">
      <c r="A11297" s="6" t="n">
        <v>46221</v>
      </c>
      <c r="B11297" s="4" t="s">
        <v>1091</v>
      </c>
      <c r="C11297" s="4" t="n">
        <v>1</v>
      </c>
      <c r="D11297" s="4" t="n">
        <v>11</v>
      </c>
      <c r="E11297" s="4"/>
      <c r="F11297" s="4" t="n">
        <v>27</v>
      </c>
      <c r="G11297" s="4" t="n">
        <v>5</v>
      </c>
      <c r="H11297" s="4" t="n">
        <v>4</v>
      </c>
      <c r="I11297" s="4" t="str">
        <v>×</v>
      </c>
      <c r="J11297" s="4"/>
      <c r="K11297" s="4"/>
      <c r="L11297" s="4"/>
      <c r="M11297" s="5" t="s">
        <v>6502</v>
      </c>
    </row>
    <row r="11298" customFormat="false" ht="15.75" hidden="false" customHeight="false" outlineLevel="0" collapsed="false">
      <c r="A11298" s="6" t="n">
        <v>46221</v>
      </c>
      <c r="B11298" s="4" t="s">
        <v>1091</v>
      </c>
      <c r="C11298" s="4" t="n">
        <v>1</v>
      </c>
      <c r="D11298" s="4" t="n">
        <v>12</v>
      </c>
      <c r="E11298" s="4"/>
      <c r="F11298" s="4" t="n">
        <v>8</v>
      </c>
      <c r="G11298" s="4" t="n">
        <v>12</v>
      </c>
      <c r="H11298" s="4" t="n">
        <v>4</v>
      </c>
      <c r="I11298" s="4" t="str">
        <v>×</v>
      </c>
      <c r="J11298" s="4"/>
      <c r="K11298" s="4"/>
      <c r="L11298" s="4"/>
      <c r="M11298" s="5" t="s">
        <v>6502</v>
      </c>
    </row>
    <row r="11299" customFormat="false" ht="15.75" hidden="false" customHeight="false" outlineLevel="0" collapsed="false">
      <c r="A11299" s="6" t="n">
        <v>46221</v>
      </c>
      <c r="B11299" s="4" t="s">
        <v>1091</v>
      </c>
      <c r="C11299" s="4" t="n">
        <v>2</v>
      </c>
      <c r="D11299" s="4" t="n">
        <v>1</v>
      </c>
      <c r="E11299" s="4"/>
      <c r="F11299" s="4" t="n">
        <v>17</v>
      </c>
      <c r="G11299" s="4" t="n">
        <v>6</v>
      </c>
      <c r="H11299" s="4" t="n">
        <v>4</v>
      </c>
      <c r="I11299" s="4" t="str">
        <v>×</v>
      </c>
      <c r="J11299" s="4"/>
      <c r="K11299" s="4"/>
      <c r="L11299" s="4"/>
      <c r="M11299" s="5" t="s">
        <v>6502</v>
      </c>
    </row>
    <row r="11300" customFormat="false" ht="15.75" hidden="false" customHeight="false" outlineLevel="0" collapsed="false">
      <c r="A11300" s="6" t="n">
        <v>46221</v>
      </c>
      <c r="B11300" s="4" t="s">
        <v>1091</v>
      </c>
      <c r="C11300" s="4" t="n">
        <v>2</v>
      </c>
      <c r="D11300" s="4" t="n">
        <v>2</v>
      </c>
      <c r="E11300" s="4"/>
      <c r="F11300" s="4" t="n">
        <v>10</v>
      </c>
      <c r="G11300" s="4" t="n">
        <v>8</v>
      </c>
      <c r="H11300" s="4" t="n">
        <v>4</v>
      </c>
      <c r="I11300" s="4" t="str">
        <v>×</v>
      </c>
      <c r="J11300" s="4"/>
      <c r="K11300" s="4"/>
      <c r="L11300" s="4"/>
      <c r="M11300" s="5" t="s">
        <v>6502</v>
      </c>
    </row>
    <row r="11301" customFormat="false" ht="15.75" hidden="false" customHeight="false" outlineLevel="0" collapsed="false">
      <c r="A11301" s="6" t="n">
        <v>46221</v>
      </c>
      <c r="B11301" s="4" t="s">
        <v>1091</v>
      </c>
      <c r="C11301" s="4" t="n">
        <v>2</v>
      </c>
      <c r="D11301" s="4" t="n">
        <v>3</v>
      </c>
      <c r="E11301" s="4"/>
      <c r="F11301" s="4" t="n">
        <v>2</v>
      </c>
      <c r="G11301" s="4" t="n">
        <v>11</v>
      </c>
      <c r="H11301" s="4" t="n">
        <v>4</v>
      </c>
      <c r="I11301" s="4" t="str">
        <v>×</v>
      </c>
      <c r="J11301" s="4"/>
      <c r="K11301" s="4"/>
      <c r="L11301" s="4"/>
      <c r="M11301" s="5" t="s">
        <v>6502</v>
      </c>
    </row>
    <row r="11302" customFormat="false" ht="15.75" hidden="false" customHeight="false" outlineLevel="0" collapsed="false">
      <c r="A11302" s="6" t="n">
        <v>46221</v>
      </c>
      <c r="B11302" s="4" t="s">
        <v>1091</v>
      </c>
      <c r="C11302" s="4" t="n">
        <v>2</v>
      </c>
      <c r="D11302" s="4" t="n">
        <v>4</v>
      </c>
      <c r="E11302" s="4"/>
      <c r="F11302" s="4" t="n">
        <v>8</v>
      </c>
      <c r="G11302" s="4" t="n">
        <v>9</v>
      </c>
      <c r="H11302" s="4" t="n">
        <v>3</v>
      </c>
      <c r="I11302" s="4" t="str">
        <v>○</v>
      </c>
      <c r="J11302" s="4" t="n">
        <v>360</v>
      </c>
      <c r="K11302" s="4"/>
      <c r="L11302" s="4"/>
      <c r="M11302" s="5" t="s">
        <v>6502</v>
      </c>
    </row>
    <row r="11303" customFormat="false" ht="15.75" hidden="false" customHeight="false" outlineLevel="0" collapsed="false">
      <c r="A11303" s="6" t="n">
        <v>46221</v>
      </c>
      <c r="B11303" s="4" t="s">
        <v>1091</v>
      </c>
      <c r="C11303" s="4" t="n">
        <v>2</v>
      </c>
      <c r="D11303" s="4" t="n">
        <v>5</v>
      </c>
      <c r="E11303" s="4"/>
      <c r="F11303" s="4" t="n">
        <v>58</v>
      </c>
      <c r="G11303" s="4" t="n">
        <v>2</v>
      </c>
      <c r="H11303" s="4" t="n">
        <v>2</v>
      </c>
      <c r="I11303" s="4" t="str">
        <v>○</v>
      </c>
      <c r="J11303" s="4" t="n">
        <v>110</v>
      </c>
      <c r="K11303" s="4"/>
      <c r="L11303" s="4"/>
      <c r="M11303" s="5" t="s">
        <v>6502</v>
      </c>
    </row>
    <row r="11304" customFormat="false" ht="15.75" hidden="false" customHeight="false" outlineLevel="0" collapsed="false">
      <c r="A11304" s="6" t="n">
        <v>46221</v>
      </c>
      <c r="B11304" s="4" t="s">
        <v>1091</v>
      </c>
      <c r="C11304" s="4" t="n">
        <v>2</v>
      </c>
      <c r="D11304" s="4" t="n">
        <v>6</v>
      </c>
      <c r="E11304" s="4"/>
      <c r="F11304" s="4" t="n">
        <v>8</v>
      </c>
      <c r="G11304" s="4" t="n">
        <v>9</v>
      </c>
      <c r="H11304" s="4" t="n">
        <v>4</v>
      </c>
      <c r="I11304" s="4" t="str">
        <v>×</v>
      </c>
      <c r="J11304" s="4"/>
      <c r="K11304" s="4"/>
      <c r="L11304" s="4"/>
      <c r="M11304" s="5" t="s">
        <v>6502</v>
      </c>
    </row>
    <row r="11305" customFormat="false" ht="15.75" hidden="false" customHeight="false" outlineLevel="0" collapsed="false">
      <c r="A11305" s="6" t="n">
        <v>46221</v>
      </c>
      <c r="B11305" s="4" t="s">
        <v>1091</v>
      </c>
      <c r="C11305" s="4" t="n">
        <v>2</v>
      </c>
      <c r="D11305" s="4" t="n">
        <v>7</v>
      </c>
      <c r="E11305" s="4"/>
      <c r="F11305" s="4" t="n">
        <v>23</v>
      </c>
      <c r="G11305" s="4" t="n">
        <v>4</v>
      </c>
      <c r="H11305" s="4" t="n">
        <v>4</v>
      </c>
      <c r="I11305" s="4" t="str">
        <v>×</v>
      </c>
      <c r="J11305" s="4"/>
      <c r="K11305" s="4"/>
      <c r="L11305" s="4"/>
      <c r="M11305" s="5" t="s">
        <v>6502</v>
      </c>
    </row>
    <row r="11306" customFormat="false" ht="15.75" hidden="false" customHeight="false" outlineLevel="0" collapsed="false">
      <c r="A11306" s="6" t="n">
        <v>46221</v>
      </c>
      <c r="B11306" s="4" t="s">
        <v>1091</v>
      </c>
      <c r="C11306" s="4" t="n">
        <v>2</v>
      </c>
      <c r="D11306" s="4" t="n">
        <v>8</v>
      </c>
      <c r="E11306" s="4"/>
      <c r="F11306" s="4" t="n">
        <v>20</v>
      </c>
      <c r="G11306" s="4" t="n">
        <v>5</v>
      </c>
      <c r="H11306" s="4" t="n">
        <v>4</v>
      </c>
      <c r="I11306" s="4" t="str">
        <v>×</v>
      </c>
      <c r="J11306" s="4"/>
      <c r="K11306" s="4"/>
      <c r="L11306" s="4"/>
      <c r="M11306" s="5" t="s">
        <v>6502</v>
      </c>
    </row>
    <row r="11307" customFormat="false" ht="15.75" hidden="false" customHeight="false" outlineLevel="0" collapsed="false">
      <c r="A11307" s="6" t="n">
        <v>46221</v>
      </c>
      <c r="B11307" s="4" t="s">
        <v>1091</v>
      </c>
      <c r="C11307" s="4" t="n">
        <v>2</v>
      </c>
      <c r="D11307" s="4" t="n">
        <v>9</v>
      </c>
      <c r="E11307" s="4"/>
      <c r="F11307" s="4" t="n">
        <v>15</v>
      </c>
      <c r="G11307" s="4" t="n">
        <v>7</v>
      </c>
      <c r="H11307" s="4" t="n">
        <v>4</v>
      </c>
      <c r="I11307" s="4" t="str">
        <v>×</v>
      </c>
      <c r="J11307" s="4"/>
      <c r="K11307" s="4"/>
      <c r="L11307" s="4"/>
      <c r="M11307" s="5" t="s">
        <v>6502</v>
      </c>
    </row>
    <row r="11308" customFormat="false" ht="15.75" hidden="false" customHeight="false" outlineLevel="0" collapsed="false">
      <c r="A11308" s="6" t="n">
        <v>46221</v>
      </c>
      <c r="B11308" s="4" t="s">
        <v>1091</v>
      </c>
      <c r="C11308" s="4" t="n">
        <v>2</v>
      </c>
      <c r="D11308" s="4" t="n">
        <v>10</v>
      </c>
      <c r="E11308" s="4"/>
      <c r="F11308" s="4" t="n">
        <v>60</v>
      </c>
      <c r="G11308" s="4" t="n">
        <v>1</v>
      </c>
      <c r="H11308" s="4" t="n">
        <v>1</v>
      </c>
      <c r="I11308" s="4" t="str">
        <v>○</v>
      </c>
      <c r="J11308" s="4" t="n">
        <v>150</v>
      </c>
      <c r="K11308" s="4"/>
      <c r="L11308" s="4"/>
      <c r="M11308" s="5" t="s">
        <v>6502</v>
      </c>
    </row>
    <row r="11309" customFormat="false" ht="15.75" hidden="false" customHeight="false" outlineLevel="0" collapsed="false">
      <c r="A11309" s="6" t="n">
        <v>46221</v>
      </c>
      <c r="B11309" s="4" t="s">
        <v>1091</v>
      </c>
      <c r="C11309" s="4" t="n">
        <v>2</v>
      </c>
      <c r="D11309" s="4" t="n">
        <v>11</v>
      </c>
      <c r="E11309" s="4"/>
      <c r="F11309" s="4" t="n">
        <v>34</v>
      </c>
      <c r="G11309" s="4" t="n">
        <v>3</v>
      </c>
      <c r="H11309" s="4" t="n">
        <v>4</v>
      </c>
      <c r="I11309" s="4" t="str">
        <v>×</v>
      </c>
      <c r="J11309" s="4"/>
      <c r="K11309" s="4"/>
      <c r="L11309" s="4"/>
      <c r="M11309" s="5" t="s">
        <v>6502</v>
      </c>
    </row>
    <row r="11310" customFormat="false" ht="15.75" hidden="false" customHeight="false" outlineLevel="0" collapsed="false">
      <c r="A11310" s="6" t="n">
        <v>46221</v>
      </c>
      <c r="B11310" s="4" t="s">
        <v>1091</v>
      </c>
      <c r="C11310" s="4" t="n">
        <v>3</v>
      </c>
      <c r="D11310" s="4" t="n">
        <v>1</v>
      </c>
      <c r="E11310" s="4"/>
      <c r="F11310" s="4" t="n">
        <v>15</v>
      </c>
      <c r="G11310" s="4" t="n">
        <v>6</v>
      </c>
      <c r="H11310" s="4" t="n">
        <v>4</v>
      </c>
      <c r="I11310" s="4" t="str">
        <v>×</v>
      </c>
      <c r="J11310" s="4"/>
      <c r="K11310" s="4"/>
      <c r="L11310" s="4"/>
      <c r="M11310" s="5" t="s">
        <v>6502</v>
      </c>
    </row>
    <row r="11311" customFormat="false" ht="15.75" hidden="false" customHeight="false" outlineLevel="0" collapsed="false">
      <c r="A11311" s="6" t="n">
        <v>46221</v>
      </c>
      <c r="B11311" s="4" t="s">
        <v>1091</v>
      </c>
      <c r="C11311" s="4" t="n">
        <v>3</v>
      </c>
      <c r="D11311" s="4" t="n">
        <v>2</v>
      </c>
      <c r="E11311" s="4"/>
      <c r="F11311" s="4" t="n">
        <v>67</v>
      </c>
      <c r="G11311" s="4" t="n">
        <v>1</v>
      </c>
      <c r="H11311" s="4" t="n">
        <v>1</v>
      </c>
      <c r="I11311" s="4" t="str">
        <v>○</v>
      </c>
      <c r="J11311" s="4" t="n">
        <v>140</v>
      </c>
      <c r="K11311" s="4"/>
      <c r="L11311" s="4"/>
      <c r="M11311" s="5" t="s">
        <v>6502</v>
      </c>
    </row>
    <row r="11312" customFormat="false" ht="15.75" hidden="false" customHeight="false" outlineLevel="0" collapsed="false">
      <c r="A11312" s="6" t="n">
        <v>46221</v>
      </c>
      <c r="B11312" s="4" t="s">
        <v>1091</v>
      </c>
      <c r="C11312" s="4" t="n">
        <v>3</v>
      </c>
      <c r="D11312" s="4" t="n">
        <v>3</v>
      </c>
      <c r="E11312" s="4"/>
      <c r="F11312" s="4" t="n">
        <v>10</v>
      </c>
      <c r="G11312" s="4" t="n">
        <v>7</v>
      </c>
      <c r="H11312" s="4" t="n">
        <v>4</v>
      </c>
      <c r="I11312" s="4" t="str">
        <v>×</v>
      </c>
      <c r="J11312" s="4"/>
      <c r="K11312" s="4"/>
      <c r="L11312" s="4"/>
      <c r="M11312" s="5" t="s">
        <v>6502</v>
      </c>
    </row>
    <row r="11313" customFormat="false" ht="15.75" hidden="false" customHeight="false" outlineLevel="0" collapsed="false">
      <c r="A11313" s="6" t="n">
        <v>46221</v>
      </c>
      <c r="B11313" s="4" t="s">
        <v>1091</v>
      </c>
      <c r="C11313" s="4" t="n">
        <v>3</v>
      </c>
      <c r="D11313" s="4" t="n">
        <v>4</v>
      </c>
      <c r="E11313" s="4"/>
      <c r="F11313" s="4" t="n">
        <v>4</v>
      </c>
      <c r="G11313" s="4" t="n">
        <v>11</v>
      </c>
      <c r="H11313" s="4" t="n">
        <v>4</v>
      </c>
      <c r="I11313" s="4" t="str">
        <v>×</v>
      </c>
      <c r="J11313" s="4"/>
      <c r="K11313" s="4"/>
      <c r="L11313" s="4"/>
      <c r="M11313" s="5" t="s">
        <v>6502</v>
      </c>
    </row>
    <row r="11314" customFormat="false" ht="15.75" hidden="false" customHeight="false" outlineLevel="0" collapsed="false">
      <c r="A11314" s="6" t="n">
        <v>46221</v>
      </c>
      <c r="B11314" s="4" t="s">
        <v>1091</v>
      </c>
      <c r="C11314" s="4" t="n">
        <v>3</v>
      </c>
      <c r="D11314" s="4" t="n">
        <v>5</v>
      </c>
      <c r="E11314" s="4"/>
      <c r="F11314" s="4" t="n">
        <v>20</v>
      </c>
      <c r="G11314" s="4" t="n">
        <v>5</v>
      </c>
      <c r="H11314" s="4" t="n">
        <v>2</v>
      </c>
      <c r="I11314" s="4" t="str">
        <v>○</v>
      </c>
      <c r="J11314" s="4" t="n">
        <v>280</v>
      </c>
      <c r="K11314" s="4"/>
      <c r="L11314" s="4"/>
      <c r="M11314" s="5" t="s">
        <v>6502</v>
      </c>
    </row>
    <row r="11315" customFormat="false" ht="15.75" hidden="false" customHeight="false" outlineLevel="0" collapsed="false">
      <c r="A11315" s="6" t="n">
        <v>46221</v>
      </c>
      <c r="B11315" s="4" t="s">
        <v>1091</v>
      </c>
      <c r="C11315" s="4" t="n">
        <v>3</v>
      </c>
      <c r="D11315" s="4" t="n">
        <v>6</v>
      </c>
      <c r="E11315" s="4"/>
      <c r="F11315" s="4" t="n">
        <v>4</v>
      </c>
      <c r="G11315" s="4" t="n">
        <v>11</v>
      </c>
      <c r="H11315" s="4" t="n">
        <v>4</v>
      </c>
      <c r="I11315" s="4" t="str">
        <v>×</v>
      </c>
      <c r="J11315" s="4"/>
      <c r="K11315" s="4"/>
      <c r="L11315" s="4"/>
      <c r="M11315" s="5" t="s">
        <v>6502</v>
      </c>
    </row>
    <row r="11316" customFormat="false" ht="15.75" hidden="false" customHeight="false" outlineLevel="0" collapsed="false">
      <c r="A11316" s="6" t="n">
        <v>46221</v>
      </c>
      <c r="B11316" s="4" t="s">
        <v>1091</v>
      </c>
      <c r="C11316" s="4" t="n">
        <v>3</v>
      </c>
      <c r="D11316" s="4" t="n">
        <v>7</v>
      </c>
      <c r="E11316" s="4"/>
      <c r="F11316" s="4" t="n">
        <v>29</v>
      </c>
      <c r="G11316" s="4" t="n">
        <v>4</v>
      </c>
      <c r="H11316" s="4" t="n">
        <v>4</v>
      </c>
      <c r="I11316" s="4" t="str">
        <v>×</v>
      </c>
      <c r="J11316" s="4"/>
      <c r="K11316" s="4"/>
      <c r="L11316" s="4"/>
      <c r="M11316" s="5" t="s">
        <v>6502</v>
      </c>
    </row>
    <row r="11317" customFormat="false" ht="15.75" hidden="false" customHeight="false" outlineLevel="0" collapsed="false">
      <c r="A11317" s="6" t="n">
        <v>46221</v>
      </c>
      <c r="B11317" s="4" t="s">
        <v>1091</v>
      </c>
      <c r="C11317" s="4" t="n">
        <v>3</v>
      </c>
      <c r="D11317" s="4" t="n">
        <v>8</v>
      </c>
      <c r="E11317" s="4"/>
      <c r="F11317" s="4" t="n">
        <v>3</v>
      </c>
      <c r="G11317" s="4" t="n">
        <v>13</v>
      </c>
      <c r="H11317" s="4" t="n">
        <v>4</v>
      </c>
      <c r="I11317" s="4" t="str">
        <v>×</v>
      </c>
      <c r="J11317" s="4"/>
      <c r="K11317" s="4"/>
      <c r="L11317" s="4"/>
      <c r="M11317" s="5" t="s">
        <v>6502</v>
      </c>
    </row>
    <row r="11318" customFormat="false" ht="15.75" hidden="false" customHeight="false" outlineLevel="0" collapsed="false">
      <c r="A11318" s="6" t="n">
        <v>46221</v>
      </c>
      <c r="B11318" s="4" t="s">
        <v>1091</v>
      </c>
      <c r="C11318" s="4" t="n">
        <v>3</v>
      </c>
      <c r="D11318" s="4" t="n">
        <v>9</v>
      </c>
      <c r="E11318" s="4"/>
      <c r="F11318" s="4" t="n">
        <v>10</v>
      </c>
      <c r="G11318" s="4" t="n">
        <v>7</v>
      </c>
      <c r="H11318" s="4" t="n">
        <v>4</v>
      </c>
      <c r="I11318" s="4" t="str">
        <v>×</v>
      </c>
      <c r="J11318" s="4"/>
      <c r="K11318" s="4"/>
      <c r="L11318" s="4"/>
      <c r="M11318" s="5" t="s">
        <v>6502</v>
      </c>
    </row>
    <row r="11319" customFormat="false" ht="15.75" hidden="false" customHeight="false" outlineLevel="0" collapsed="false">
      <c r="A11319" s="6" t="n">
        <v>46221</v>
      </c>
      <c r="B11319" s="4" t="s">
        <v>1091</v>
      </c>
      <c r="C11319" s="4" t="n">
        <v>3</v>
      </c>
      <c r="D11319" s="4" t="n">
        <v>10</v>
      </c>
      <c r="E11319" s="4"/>
      <c r="F11319" s="4" t="n">
        <v>3</v>
      </c>
      <c r="G11319" s="4" t="n">
        <v>13</v>
      </c>
      <c r="H11319" s="4" t="n">
        <v>4</v>
      </c>
      <c r="I11319" s="4" t="str">
        <v>×</v>
      </c>
      <c r="J11319" s="4"/>
      <c r="K11319" s="4"/>
      <c r="L11319" s="4"/>
      <c r="M11319" s="5" t="s">
        <v>6502</v>
      </c>
    </row>
    <row r="11320" customFormat="false" ht="15.75" hidden="false" customHeight="false" outlineLevel="0" collapsed="false">
      <c r="A11320" s="6" t="n">
        <v>46221</v>
      </c>
      <c r="B11320" s="4" t="s">
        <v>1091</v>
      </c>
      <c r="C11320" s="4" t="n">
        <v>3</v>
      </c>
      <c r="D11320" s="4" t="n">
        <v>11</v>
      </c>
      <c r="E11320" s="4"/>
      <c r="F11320" s="4" t="n">
        <v>47</v>
      </c>
      <c r="G11320" s="4" t="n">
        <v>2</v>
      </c>
      <c r="H11320" s="4" t="n">
        <v>4</v>
      </c>
      <c r="I11320" s="4" t="str">
        <v>×</v>
      </c>
      <c r="J11320" s="4"/>
      <c r="K11320" s="4"/>
      <c r="L11320" s="4"/>
      <c r="M11320" s="5" t="s">
        <v>6502</v>
      </c>
    </row>
    <row r="11321" customFormat="false" ht="15.75" hidden="false" customHeight="false" outlineLevel="0" collapsed="false">
      <c r="A11321" s="6" t="n">
        <v>46221</v>
      </c>
      <c r="B11321" s="4" t="s">
        <v>1091</v>
      </c>
      <c r="C11321" s="4" t="n">
        <v>3</v>
      </c>
      <c r="D11321" s="4" t="n">
        <v>12</v>
      </c>
      <c r="E11321" s="4"/>
      <c r="F11321" s="4" t="n">
        <v>10</v>
      </c>
      <c r="G11321" s="4" t="n">
        <v>7</v>
      </c>
      <c r="H11321" s="4" t="n">
        <v>4</v>
      </c>
      <c r="I11321" s="4" t="str">
        <v>×</v>
      </c>
      <c r="J11321" s="4"/>
      <c r="K11321" s="4"/>
      <c r="L11321" s="4"/>
      <c r="M11321" s="5" t="s">
        <v>6502</v>
      </c>
    </row>
    <row r="11322" customFormat="false" ht="15.75" hidden="false" customHeight="false" outlineLevel="0" collapsed="false">
      <c r="A11322" s="6" t="n">
        <v>46221</v>
      </c>
      <c r="B11322" s="4" t="s">
        <v>1091</v>
      </c>
      <c r="C11322" s="4" t="n">
        <v>3</v>
      </c>
      <c r="D11322" s="4" t="n">
        <v>13</v>
      </c>
      <c r="E11322" s="4"/>
      <c r="F11322" s="4" t="n">
        <v>8</v>
      </c>
      <c r="G11322" s="4" t="n">
        <v>10</v>
      </c>
      <c r="H11322" s="4" t="n">
        <v>4</v>
      </c>
      <c r="I11322" s="4" t="str">
        <v>×</v>
      </c>
      <c r="J11322" s="4"/>
      <c r="K11322" s="4"/>
      <c r="L11322" s="4"/>
      <c r="M11322" s="5" t="s">
        <v>6502</v>
      </c>
    </row>
    <row r="11323" customFormat="false" ht="15.75" hidden="false" customHeight="false" outlineLevel="0" collapsed="false">
      <c r="A11323" s="6" t="n">
        <v>46221</v>
      </c>
      <c r="B11323" s="4" t="s">
        <v>1091</v>
      </c>
      <c r="C11323" s="4" t="n">
        <v>3</v>
      </c>
      <c r="D11323" s="4" t="n">
        <v>14</v>
      </c>
      <c r="E11323" s="4"/>
      <c r="F11323" s="4" t="n">
        <v>44</v>
      </c>
      <c r="G11323" s="4" t="n">
        <v>3</v>
      </c>
      <c r="H11323" s="4" t="n">
        <v>3</v>
      </c>
      <c r="I11323" s="4" t="str">
        <v>○</v>
      </c>
      <c r="J11323" s="4" t="n">
        <v>170</v>
      </c>
      <c r="K11323" s="4"/>
      <c r="L11323" s="4"/>
      <c r="M11323" s="5" t="s">
        <v>6502</v>
      </c>
    </row>
    <row r="11324" customFormat="false" ht="15.75" hidden="false" customHeight="false" outlineLevel="0" collapsed="false">
      <c r="A11324" s="6" t="n">
        <v>46221</v>
      </c>
      <c r="B11324" s="4" t="s">
        <v>1091</v>
      </c>
      <c r="C11324" s="4" t="n">
        <v>4</v>
      </c>
      <c r="D11324" s="4" t="n">
        <v>1</v>
      </c>
      <c r="E11324" s="4"/>
      <c r="F11324" s="4" t="n">
        <v>37</v>
      </c>
      <c r="G11324" s="4" t="n">
        <v>4</v>
      </c>
      <c r="H11324" s="4" t="n">
        <v>4</v>
      </c>
      <c r="I11324" s="4" t="str">
        <v>×</v>
      </c>
      <c r="J11324" s="4"/>
      <c r="K11324" s="4"/>
      <c r="L11324" s="4"/>
      <c r="M11324" s="5" t="s">
        <v>6502</v>
      </c>
    </row>
    <row r="11325" customFormat="false" ht="15.75" hidden="false" customHeight="false" outlineLevel="0" collapsed="false">
      <c r="A11325" s="6" t="n">
        <v>46221</v>
      </c>
      <c r="B11325" s="4" t="s">
        <v>1091</v>
      </c>
      <c r="C11325" s="4" t="n">
        <v>4</v>
      </c>
      <c r="D11325" s="4" t="n">
        <v>2</v>
      </c>
      <c r="E11325" s="4"/>
      <c r="F11325" s="4" t="n">
        <v>55</v>
      </c>
      <c r="G11325" s="4" t="n">
        <v>1</v>
      </c>
      <c r="H11325" s="4" t="n">
        <v>4</v>
      </c>
      <c r="I11325" s="4" t="str">
        <v>×</v>
      </c>
      <c r="J11325" s="4"/>
      <c r="K11325" s="4"/>
      <c r="L11325" s="4"/>
      <c r="M11325" s="5" t="s">
        <v>6502</v>
      </c>
    </row>
    <row r="11326" customFormat="false" ht="15.75" hidden="false" customHeight="false" outlineLevel="0" collapsed="false">
      <c r="A11326" s="6" t="n">
        <v>46221</v>
      </c>
      <c r="B11326" s="4" t="s">
        <v>1091</v>
      </c>
      <c r="C11326" s="4" t="n">
        <v>4</v>
      </c>
      <c r="D11326" s="4" t="n">
        <v>3</v>
      </c>
      <c r="E11326" s="4"/>
      <c r="F11326" s="4" t="n">
        <v>27</v>
      </c>
      <c r="G11326" s="4" t="n">
        <v>7</v>
      </c>
      <c r="H11326" s="4" t="n">
        <v>4</v>
      </c>
      <c r="I11326" s="4" t="str">
        <v>×</v>
      </c>
      <c r="J11326" s="4"/>
      <c r="K11326" s="4"/>
      <c r="L11326" s="4"/>
      <c r="M11326" s="5" t="s">
        <v>6502</v>
      </c>
    </row>
    <row r="11327" customFormat="false" ht="15.75" hidden="false" customHeight="false" outlineLevel="0" collapsed="false">
      <c r="A11327" s="6" t="n">
        <v>46221</v>
      </c>
      <c r="B11327" s="4" t="s">
        <v>1091</v>
      </c>
      <c r="C11327" s="4" t="n">
        <v>4</v>
      </c>
      <c r="D11327" s="4" t="n">
        <v>4</v>
      </c>
      <c r="E11327" s="4"/>
      <c r="F11327" s="4" t="n">
        <v>55</v>
      </c>
      <c r="G11327" s="4" t="n">
        <v>1</v>
      </c>
      <c r="H11327" s="4" t="n">
        <v>3</v>
      </c>
      <c r="I11327" s="4" t="str">
        <v>○</v>
      </c>
      <c r="J11327" s="4" t="n">
        <v>110</v>
      </c>
      <c r="K11327" s="4"/>
      <c r="L11327" s="4"/>
      <c r="M11327" s="5" t="s">
        <v>6502</v>
      </c>
    </row>
    <row r="11328" customFormat="false" ht="15.75" hidden="false" customHeight="false" outlineLevel="0" collapsed="false">
      <c r="A11328" s="6" t="n">
        <v>46221</v>
      </c>
      <c r="B11328" s="4" t="s">
        <v>1091</v>
      </c>
      <c r="C11328" s="4" t="n">
        <v>4</v>
      </c>
      <c r="D11328" s="4" t="n">
        <v>5</v>
      </c>
      <c r="E11328" s="4"/>
      <c r="F11328" s="4" t="n">
        <v>16</v>
      </c>
      <c r="G11328" s="4" t="n">
        <v>8</v>
      </c>
      <c r="H11328" s="4" t="n">
        <v>1</v>
      </c>
      <c r="I11328" s="4" t="str">
        <v>○</v>
      </c>
      <c r="J11328" s="4" t="n">
        <v>810</v>
      </c>
      <c r="K11328" s="4"/>
      <c r="L11328" s="4"/>
      <c r="M11328" s="5" t="s">
        <v>6502</v>
      </c>
    </row>
    <row r="11329" customFormat="false" ht="15.75" hidden="false" customHeight="false" outlineLevel="0" collapsed="false">
      <c r="A11329" s="6" t="n">
        <v>46221</v>
      </c>
      <c r="B11329" s="4" t="s">
        <v>1091</v>
      </c>
      <c r="C11329" s="4" t="n">
        <v>4</v>
      </c>
      <c r="D11329" s="4" t="n">
        <v>6</v>
      </c>
      <c r="E11329" s="4"/>
      <c r="F11329" s="4" t="n">
        <v>37</v>
      </c>
      <c r="G11329" s="4" t="n">
        <v>4</v>
      </c>
      <c r="H11329" s="4" t="n">
        <v>4</v>
      </c>
      <c r="I11329" s="4" t="str">
        <v>×</v>
      </c>
      <c r="J11329" s="4"/>
      <c r="K11329" s="4"/>
      <c r="L11329" s="4"/>
      <c r="M11329" s="5" t="s">
        <v>6502</v>
      </c>
    </row>
    <row r="11330" customFormat="false" ht="15.75" hidden="false" customHeight="false" outlineLevel="0" collapsed="false">
      <c r="A11330" s="6" t="n">
        <v>46221</v>
      </c>
      <c r="B11330" s="4" t="s">
        <v>1091</v>
      </c>
      <c r="C11330" s="4" t="n">
        <v>4</v>
      </c>
      <c r="D11330" s="4" t="n">
        <v>7</v>
      </c>
      <c r="E11330" s="4"/>
      <c r="F11330" s="4" t="n">
        <v>44</v>
      </c>
      <c r="G11330" s="4" t="n">
        <v>3</v>
      </c>
      <c r="H11330" s="4" t="n">
        <v>2</v>
      </c>
      <c r="I11330" s="4" t="str">
        <v>○</v>
      </c>
      <c r="J11330" s="4" t="n">
        <v>260</v>
      </c>
      <c r="K11330" s="4"/>
      <c r="L11330" s="4"/>
      <c r="M11330" s="5" t="s">
        <v>6502</v>
      </c>
    </row>
    <row r="11331" customFormat="false" ht="15.75" hidden="false" customHeight="false" outlineLevel="0" collapsed="false">
      <c r="A11331" s="6" t="n">
        <v>46221</v>
      </c>
      <c r="B11331" s="4" t="s">
        <v>1091</v>
      </c>
      <c r="C11331" s="4" t="n">
        <v>4</v>
      </c>
      <c r="D11331" s="4" t="n">
        <v>8</v>
      </c>
      <c r="E11331" s="4"/>
      <c r="F11331" s="4" t="n">
        <v>37</v>
      </c>
      <c r="G11331" s="4" t="n">
        <v>4</v>
      </c>
      <c r="H11331" s="4" t="n">
        <v>4</v>
      </c>
      <c r="I11331" s="4" t="str">
        <v>×</v>
      </c>
      <c r="J11331" s="4"/>
      <c r="K11331" s="4"/>
      <c r="L11331" s="4"/>
      <c r="M11331" s="5" t="s">
        <v>6502</v>
      </c>
    </row>
    <row r="11332" customFormat="false" ht="15.75" hidden="false" customHeight="false" outlineLevel="0" collapsed="false">
      <c r="A11332" s="6" t="n">
        <v>46221</v>
      </c>
      <c r="B11332" s="4" t="s">
        <v>1091</v>
      </c>
      <c r="C11332" s="4" t="n">
        <v>5</v>
      </c>
      <c r="D11332" s="4" t="n">
        <v>1</v>
      </c>
      <c r="E11332" s="4"/>
      <c r="F11332" s="4" t="n">
        <v>37</v>
      </c>
      <c r="G11332" s="4" t="n">
        <v>1</v>
      </c>
      <c r="H11332" s="4" t="n">
        <v>1</v>
      </c>
      <c r="I11332" s="4" t="str">
        <v>○</v>
      </c>
      <c r="J11332" s="4" t="n">
        <v>110</v>
      </c>
      <c r="K11332" s="4"/>
      <c r="L11332" s="4"/>
      <c r="M11332" s="5" t="s">
        <v>6502</v>
      </c>
    </row>
    <row r="11333" customFormat="false" ht="15.75" hidden="false" customHeight="false" outlineLevel="0" collapsed="false">
      <c r="A11333" s="6" t="n">
        <v>46221</v>
      </c>
      <c r="B11333" s="4" t="s">
        <v>1091</v>
      </c>
      <c r="C11333" s="4" t="n">
        <v>5</v>
      </c>
      <c r="D11333" s="4" t="n">
        <v>2</v>
      </c>
      <c r="E11333" s="4"/>
      <c r="F11333" s="4" t="n">
        <v>24</v>
      </c>
      <c r="G11333" s="4" t="n">
        <v>3</v>
      </c>
      <c r="H11333" s="4" t="n">
        <v>4</v>
      </c>
      <c r="I11333" s="4" t="str">
        <v>×</v>
      </c>
      <c r="J11333" s="4"/>
      <c r="K11333" s="4"/>
      <c r="L11333" s="4"/>
      <c r="M11333" s="5" t="s">
        <v>6502</v>
      </c>
    </row>
    <row r="11334" customFormat="false" ht="15.75" hidden="false" customHeight="false" outlineLevel="0" collapsed="false">
      <c r="A11334" s="6" t="n">
        <v>46221</v>
      </c>
      <c r="B11334" s="4" t="s">
        <v>1091</v>
      </c>
      <c r="C11334" s="4" t="n">
        <v>5</v>
      </c>
      <c r="D11334" s="4" t="n">
        <v>3</v>
      </c>
      <c r="E11334" s="4"/>
      <c r="F11334" s="4" t="n">
        <v>21</v>
      </c>
      <c r="G11334" s="4" t="n">
        <v>5</v>
      </c>
      <c r="H11334" s="4" t="n">
        <v>2</v>
      </c>
      <c r="I11334" s="4" t="str">
        <v>○</v>
      </c>
      <c r="J11334" s="4" t="n">
        <v>150</v>
      </c>
      <c r="K11334" s="4"/>
      <c r="L11334" s="4"/>
      <c r="M11334" s="5" t="s">
        <v>6502</v>
      </c>
    </row>
    <row r="11335" customFormat="false" ht="15.75" hidden="false" customHeight="false" outlineLevel="0" collapsed="false">
      <c r="A11335" s="6" t="n">
        <v>46221</v>
      </c>
      <c r="B11335" s="4" t="s">
        <v>1091</v>
      </c>
      <c r="C11335" s="4" t="n">
        <v>5</v>
      </c>
      <c r="D11335" s="4" t="n">
        <v>4</v>
      </c>
      <c r="E11335" s="4"/>
      <c r="F11335" s="4" t="n">
        <v>12</v>
      </c>
      <c r="G11335" s="4" t="n">
        <v>7</v>
      </c>
      <c r="H11335" s="4" t="n">
        <v>4</v>
      </c>
      <c r="I11335" s="4" t="str">
        <v>×</v>
      </c>
      <c r="J11335" s="4"/>
      <c r="K11335" s="4"/>
      <c r="L11335" s="4"/>
      <c r="M11335" s="5" t="s">
        <v>6502</v>
      </c>
    </row>
    <row r="11336" customFormat="false" ht="15.75" hidden="false" customHeight="false" outlineLevel="0" collapsed="false">
      <c r="A11336" s="6" t="n">
        <v>46221</v>
      </c>
      <c r="B11336" s="4" t="s">
        <v>1091</v>
      </c>
      <c r="C11336" s="4" t="n">
        <v>5</v>
      </c>
      <c r="D11336" s="4" t="n">
        <v>5</v>
      </c>
      <c r="E11336" s="4"/>
      <c r="F11336" s="4" t="n">
        <v>31</v>
      </c>
      <c r="G11336" s="4" t="n">
        <v>2</v>
      </c>
      <c r="H11336" s="4" t="n">
        <v>3</v>
      </c>
      <c r="I11336" s="4" t="str">
        <v>○</v>
      </c>
      <c r="J11336" s="4"/>
      <c r="K11336" s="4"/>
      <c r="L11336" s="4"/>
      <c r="M11336" s="5" t="s">
        <v>6502</v>
      </c>
    </row>
    <row r="11337" customFormat="false" ht="15.75" hidden="false" customHeight="false" outlineLevel="0" collapsed="false">
      <c r="A11337" s="6" t="n">
        <v>46221</v>
      </c>
      <c r="B11337" s="4" t="s">
        <v>1091</v>
      </c>
      <c r="C11337" s="4" t="n">
        <v>5</v>
      </c>
      <c r="D11337" s="4" t="n">
        <v>6</v>
      </c>
      <c r="E11337" s="4"/>
      <c r="F11337" s="4" t="n">
        <v>21</v>
      </c>
      <c r="G11337" s="4" t="n">
        <v>5</v>
      </c>
      <c r="H11337" s="4" t="n">
        <v>4</v>
      </c>
      <c r="I11337" s="4" t="str">
        <v>×</v>
      </c>
      <c r="J11337" s="4"/>
      <c r="K11337" s="4"/>
      <c r="L11337" s="4"/>
      <c r="M11337" s="5" t="s">
        <v>6502</v>
      </c>
    </row>
    <row r="11338" customFormat="false" ht="15.75" hidden="false" customHeight="false" outlineLevel="0" collapsed="false">
      <c r="A11338" s="6" t="n">
        <v>46221</v>
      </c>
      <c r="B11338" s="4" t="s">
        <v>1091</v>
      </c>
      <c r="C11338" s="4" t="n">
        <v>5</v>
      </c>
      <c r="D11338" s="4" t="n">
        <v>7</v>
      </c>
      <c r="E11338" s="4"/>
      <c r="F11338" s="4" t="n">
        <v>24</v>
      </c>
      <c r="G11338" s="4" t="n">
        <v>3</v>
      </c>
      <c r="H11338" s="4" t="n">
        <v>4</v>
      </c>
      <c r="I11338" s="4" t="str">
        <v>×</v>
      </c>
      <c r="J11338" s="4"/>
      <c r="K11338" s="4"/>
      <c r="L11338" s="4"/>
      <c r="M11338" s="5" t="s">
        <v>6502</v>
      </c>
    </row>
    <row r="11339" customFormat="false" ht="15.75" hidden="false" customHeight="false" outlineLevel="0" collapsed="false">
      <c r="A11339" s="6" t="n">
        <v>46221</v>
      </c>
      <c r="B11339" s="4" t="s">
        <v>1091</v>
      </c>
      <c r="C11339" s="4" t="n">
        <v>6</v>
      </c>
      <c r="D11339" s="4" t="n">
        <v>1</v>
      </c>
      <c r="E11339" s="4"/>
      <c r="F11339" s="4" t="n">
        <v>3</v>
      </c>
      <c r="G11339" s="4" t="n">
        <v>13</v>
      </c>
      <c r="H11339" s="4" t="n">
        <v>4</v>
      </c>
      <c r="I11339" s="4" t="str">
        <v>×</v>
      </c>
      <c r="J11339" s="4"/>
      <c r="K11339" s="4"/>
      <c r="L11339" s="4"/>
      <c r="M11339" s="5" t="s">
        <v>6502</v>
      </c>
    </row>
    <row r="11340" customFormat="false" ht="15.75" hidden="false" customHeight="false" outlineLevel="0" collapsed="false">
      <c r="A11340" s="6" t="n">
        <v>46221</v>
      </c>
      <c r="B11340" s="4" t="s">
        <v>1091</v>
      </c>
      <c r="C11340" s="4" t="n">
        <v>6</v>
      </c>
      <c r="D11340" s="4" t="n">
        <v>2</v>
      </c>
      <c r="E11340" s="4"/>
      <c r="F11340" s="4" t="n">
        <v>39</v>
      </c>
      <c r="G11340" s="4" t="n">
        <v>3</v>
      </c>
      <c r="H11340" s="4" t="n">
        <v>4</v>
      </c>
      <c r="I11340" s="4" t="str">
        <v>×</v>
      </c>
      <c r="J11340" s="4"/>
      <c r="K11340" s="4"/>
      <c r="L11340" s="4"/>
      <c r="M11340" s="5" t="s">
        <v>6502</v>
      </c>
    </row>
    <row r="11341" customFormat="false" ht="15.75" hidden="false" customHeight="false" outlineLevel="0" collapsed="false">
      <c r="A11341" s="6" t="n">
        <v>46221</v>
      </c>
      <c r="B11341" s="4" t="s">
        <v>1091</v>
      </c>
      <c r="C11341" s="4" t="n">
        <v>6</v>
      </c>
      <c r="D11341" s="4" t="n">
        <v>3</v>
      </c>
      <c r="E11341" s="4"/>
      <c r="F11341" s="4" t="n">
        <v>8</v>
      </c>
      <c r="G11341" s="4" t="n">
        <v>9</v>
      </c>
      <c r="H11341" s="4" t="n">
        <v>3</v>
      </c>
      <c r="I11341" s="4" t="str">
        <v>○</v>
      </c>
      <c r="J11341" s="4" t="n">
        <v>320</v>
      </c>
      <c r="K11341" s="4"/>
      <c r="L11341" s="4"/>
      <c r="M11341" s="5" t="s">
        <v>6502</v>
      </c>
    </row>
    <row r="11342" customFormat="false" ht="15.75" hidden="false" customHeight="false" outlineLevel="0" collapsed="false">
      <c r="A11342" s="6" t="n">
        <v>46221</v>
      </c>
      <c r="B11342" s="4" t="s">
        <v>1091</v>
      </c>
      <c r="C11342" s="4" t="n">
        <v>6</v>
      </c>
      <c r="D11342" s="4" t="n">
        <v>4</v>
      </c>
      <c r="E11342" s="4"/>
      <c r="F11342" s="4" t="n">
        <v>4</v>
      </c>
      <c r="G11342" s="4" t="n">
        <v>10</v>
      </c>
      <c r="H11342" s="4" t="n">
        <v>4</v>
      </c>
      <c r="I11342" s="4" t="str">
        <v>×</v>
      </c>
      <c r="J11342" s="4"/>
      <c r="K11342" s="4"/>
      <c r="L11342" s="4"/>
      <c r="M11342" s="5" t="s">
        <v>6502</v>
      </c>
    </row>
    <row r="11343" customFormat="false" ht="15.75" hidden="false" customHeight="false" outlineLevel="0" collapsed="false">
      <c r="A11343" s="6" t="n">
        <v>46221</v>
      </c>
      <c r="B11343" s="4" t="s">
        <v>1091</v>
      </c>
      <c r="C11343" s="4" t="n">
        <v>6</v>
      </c>
      <c r="D11343" s="4" t="n">
        <v>5</v>
      </c>
      <c r="E11343" s="4"/>
      <c r="F11343" s="4" t="n">
        <v>4</v>
      </c>
      <c r="G11343" s="4" t="n">
        <v>10</v>
      </c>
      <c r="H11343" s="4" t="n">
        <v>4</v>
      </c>
      <c r="I11343" s="4" t="str">
        <v>×</v>
      </c>
      <c r="J11343" s="4"/>
      <c r="K11343" s="4"/>
      <c r="L11343" s="4"/>
      <c r="M11343" s="5" t="s">
        <v>6502</v>
      </c>
    </row>
    <row r="11344" customFormat="false" ht="15.75" hidden="false" customHeight="false" outlineLevel="0" collapsed="false">
      <c r="A11344" s="6" t="n">
        <v>46221</v>
      </c>
      <c r="B11344" s="4" t="s">
        <v>1091</v>
      </c>
      <c r="C11344" s="4" t="n">
        <v>6</v>
      </c>
      <c r="D11344" s="4" t="n">
        <v>6</v>
      </c>
      <c r="E11344" s="4"/>
      <c r="F11344" s="4" t="n">
        <v>52</v>
      </c>
      <c r="G11344" s="4" t="n">
        <v>2</v>
      </c>
      <c r="H11344" s="4" t="n">
        <v>1</v>
      </c>
      <c r="I11344" s="4" t="str">
        <v>○</v>
      </c>
      <c r="J11344" s="4" t="n">
        <v>150</v>
      </c>
      <c r="K11344" s="4"/>
      <c r="L11344" s="4"/>
      <c r="M11344" s="5" t="s">
        <v>6502</v>
      </c>
    </row>
    <row r="11345" customFormat="false" ht="15.75" hidden="false" customHeight="false" outlineLevel="0" collapsed="false">
      <c r="A11345" s="6" t="n">
        <v>46221</v>
      </c>
      <c r="B11345" s="4" t="s">
        <v>1091</v>
      </c>
      <c r="C11345" s="4" t="n">
        <v>6</v>
      </c>
      <c r="D11345" s="4" t="n">
        <v>7</v>
      </c>
      <c r="E11345" s="4"/>
      <c r="F11345" s="4" t="n">
        <v>13</v>
      </c>
      <c r="G11345" s="4" t="n">
        <v>7</v>
      </c>
      <c r="H11345" s="4" t="n">
        <v>4</v>
      </c>
      <c r="I11345" s="4" t="str">
        <v>×</v>
      </c>
      <c r="J11345" s="4"/>
      <c r="K11345" s="4"/>
      <c r="L11345" s="4"/>
      <c r="M11345" s="5" t="s">
        <v>6502</v>
      </c>
    </row>
    <row r="11346" customFormat="false" ht="15.75" hidden="false" customHeight="false" outlineLevel="0" collapsed="false">
      <c r="A11346" s="6" t="n">
        <v>46221</v>
      </c>
      <c r="B11346" s="4" t="s">
        <v>1091</v>
      </c>
      <c r="C11346" s="4" t="n">
        <v>6</v>
      </c>
      <c r="D11346" s="4" t="n">
        <v>8</v>
      </c>
      <c r="E11346" s="4"/>
      <c r="F11346" s="4" t="n">
        <v>17</v>
      </c>
      <c r="G11346" s="4" t="n">
        <v>6</v>
      </c>
      <c r="H11346" s="4" t="n">
        <v>4</v>
      </c>
      <c r="I11346" s="4" t="str">
        <v>×</v>
      </c>
      <c r="J11346" s="4"/>
      <c r="K11346" s="4"/>
      <c r="L11346" s="4"/>
      <c r="M11346" s="5" t="s">
        <v>6502</v>
      </c>
    </row>
    <row r="11347" customFormat="false" ht="15.75" hidden="false" customHeight="false" outlineLevel="0" collapsed="false">
      <c r="A11347" s="6" t="n">
        <v>46221</v>
      </c>
      <c r="B11347" s="4" t="s">
        <v>1091</v>
      </c>
      <c r="C11347" s="4" t="n">
        <v>6</v>
      </c>
      <c r="D11347" s="4" t="n">
        <v>9</v>
      </c>
      <c r="E11347" s="4"/>
      <c r="F11347" s="4" t="n">
        <v>31</v>
      </c>
      <c r="G11347" s="4" t="n">
        <v>4</v>
      </c>
      <c r="H11347" s="4" t="n">
        <v>4</v>
      </c>
      <c r="I11347" s="4" t="str">
        <v>×</v>
      </c>
      <c r="J11347" s="4"/>
      <c r="K11347" s="4"/>
      <c r="L11347" s="4"/>
      <c r="M11347" s="5" t="s">
        <v>6502</v>
      </c>
    </row>
    <row r="11348" customFormat="false" ht="15.75" hidden="false" customHeight="false" outlineLevel="0" collapsed="false">
      <c r="A11348" s="6" t="n">
        <v>46221</v>
      </c>
      <c r="B11348" s="4" t="s">
        <v>1091</v>
      </c>
      <c r="C11348" s="4" t="n">
        <v>6</v>
      </c>
      <c r="D11348" s="4" t="n">
        <v>10</v>
      </c>
      <c r="E11348" s="4"/>
      <c r="F11348" s="4" t="n">
        <v>4</v>
      </c>
      <c r="G11348" s="4" t="n">
        <v>10</v>
      </c>
      <c r="H11348" s="4" t="n">
        <v>4</v>
      </c>
      <c r="I11348" s="4" t="str">
        <v>×</v>
      </c>
      <c r="J11348" s="4"/>
      <c r="K11348" s="4"/>
      <c r="L11348" s="4"/>
      <c r="M11348" s="5" t="s">
        <v>6502</v>
      </c>
    </row>
    <row r="11349" customFormat="false" ht="15.75" hidden="false" customHeight="false" outlineLevel="0" collapsed="false">
      <c r="A11349" s="6" t="n">
        <v>46221</v>
      </c>
      <c r="B11349" s="4" t="s">
        <v>1091</v>
      </c>
      <c r="C11349" s="4" t="n">
        <v>6</v>
      </c>
      <c r="D11349" s="4" t="n">
        <v>11</v>
      </c>
      <c r="E11349" s="4"/>
      <c r="F11349" s="4" t="n">
        <v>31</v>
      </c>
      <c r="G11349" s="4" t="n">
        <v>4</v>
      </c>
      <c r="H11349" s="4" t="n">
        <v>4</v>
      </c>
      <c r="I11349" s="4" t="str">
        <v>×</v>
      </c>
      <c r="J11349" s="4"/>
      <c r="K11349" s="4"/>
      <c r="L11349" s="4"/>
      <c r="M11349" s="5" t="s">
        <v>6502</v>
      </c>
    </row>
    <row r="11350" customFormat="false" ht="15.75" hidden="false" customHeight="false" outlineLevel="0" collapsed="false">
      <c r="A11350" s="6" t="n">
        <v>46221</v>
      </c>
      <c r="B11350" s="4" t="s">
        <v>1091</v>
      </c>
      <c r="C11350" s="4" t="n">
        <v>6</v>
      </c>
      <c r="D11350" s="4" t="n">
        <v>12</v>
      </c>
      <c r="E11350" s="4"/>
      <c r="F11350" s="4" t="n">
        <v>65</v>
      </c>
      <c r="G11350" s="4" t="n">
        <v>1</v>
      </c>
      <c r="H11350" s="4" t="n">
        <v>2</v>
      </c>
      <c r="I11350" s="4" t="str">
        <v>○</v>
      </c>
      <c r="J11350" s="4" t="n">
        <v>150</v>
      </c>
      <c r="K11350" s="4"/>
      <c r="L11350" s="4"/>
      <c r="M11350" s="5" t="s">
        <v>6502</v>
      </c>
    </row>
    <row r="11351" customFormat="false" ht="15.75" hidden="false" customHeight="false" outlineLevel="0" collapsed="false">
      <c r="A11351" s="6" t="n">
        <v>46221</v>
      </c>
      <c r="B11351" s="4" t="s">
        <v>1091</v>
      </c>
      <c r="C11351" s="4" t="n">
        <v>6</v>
      </c>
      <c r="D11351" s="4" t="n">
        <v>13</v>
      </c>
      <c r="E11351" s="4"/>
      <c r="F11351" s="4" t="n">
        <v>10</v>
      </c>
      <c r="G11351" s="4" t="n">
        <v>8</v>
      </c>
      <c r="H11351" s="4" t="n">
        <v>4</v>
      </c>
      <c r="I11351" s="4" t="str">
        <v>×</v>
      </c>
      <c r="J11351" s="4"/>
      <c r="K11351" s="4"/>
      <c r="L11351" s="4"/>
      <c r="M11351" s="5" t="s">
        <v>6502</v>
      </c>
    </row>
    <row r="11352" customFormat="false" ht="15.75" hidden="false" customHeight="false" outlineLevel="0" collapsed="false">
      <c r="A11352" s="6" t="n">
        <v>46221</v>
      </c>
      <c r="B11352" s="4" t="s">
        <v>1091</v>
      </c>
      <c r="C11352" s="4" t="n">
        <v>7</v>
      </c>
      <c r="D11352" s="4" t="n">
        <v>1</v>
      </c>
      <c r="E11352" s="4"/>
      <c r="F11352" s="4" t="n">
        <v>2</v>
      </c>
      <c r="G11352" s="4" t="n">
        <v>14</v>
      </c>
      <c r="H11352" s="4" t="n">
        <v>4</v>
      </c>
      <c r="I11352" s="4" t="str">
        <v>×</v>
      </c>
      <c r="J11352" s="4"/>
      <c r="K11352" s="4"/>
      <c r="L11352" s="4"/>
      <c r="M11352" s="5" t="s">
        <v>6502</v>
      </c>
    </row>
    <row r="11353" customFormat="false" ht="15.75" hidden="false" customHeight="false" outlineLevel="0" collapsed="false">
      <c r="A11353" s="6" t="n">
        <v>46221</v>
      </c>
      <c r="B11353" s="4" t="s">
        <v>1091</v>
      </c>
      <c r="C11353" s="4" t="n">
        <v>7</v>
      </c>
      <c r="D11353" s="4" t="n">
        <v>2</v>
      </c>
      <c r="E11353" s="4"/>
      <c r="F11353" s="4" t="n">
        <v>15</v>
      </c>
      <c r="G11353" s="4" t="n">
        <v>7</v>
      </c>
      <c r="H11353" s="4" t="n">
        <v>4</v>
      </c>
      <c r="I11353" s="4" t="str">
        <v>×</v>
      </c>
      <c r="J11353" s="4"/>
      <c r="K11353" s="4"/>
      <c r="L11353" s="4"/>
      <c r="M11353" s="5" t="s">
        <v>6502</v>
      </c>
    </row>
    <row r="11354" customFormat="false" ht="15.75" hidden="false" customHeight="false" outlineLevel="0" collapsed="false">
      <c r="A11354" s="6" t="n">
        <v>46221</v>
      </c>
      <c r="B11354" s="4" t="s">
        <v>1091</v>
      </c>
      <c r="C11354" s="4" t="n">
        <v>7</v>
      </c>
      <c r="D11354" s="4" t="n">
        <v>3</v>
      </c>
      <c r="E11354" s="4"/>
      <c r="F11354" s="4" t="n">
        <v>4</v>
      </c>
      <c r="G11354" s="4" t="n">
        <v>13</v>
      </c>
      <c r="H11354" s="4" t="n">
        <v>4</v>
      </c>
      <c r="I11354" s="4" t="str">
        <v>×</v>
      </c>
      <c r="J11354" s="4"/>
      <c r="K11354" s="4"/>
      <c r="L11354" s="4"/>
      <c r="M11354" s="5" t="s">
        <v>6502</v>
      </c>
    </row>
    <row r="11355" customFormat="false" ht="15.75" hidden="false" customHeight="false" outlineLevel="0" collapsed="false">
      <c r="A11355" s="6" t="n">
        <v>46221</v>
      </c>
      <c r="B11355" s="4" t="s">
        <v>1091</v>
      </c>
      <c r="C11355" s="4" t="n">
        <v>7</v>
      </c>
      <c r="D11355" s="4" t="n">
        <v>4</v>
      </c>
      <c r="E11355" s="4"/>
      <c r="F11355" s="4" t="n">
        <v>23</v>
      </c>
      <c r="G11355" s="4" t="n">
        <v>6</v>
      </c>
      <c r="H11355" s="4" t="n">
        <v>4</v>
      </c>
      <c r="I11355" s="4" t="str">
        <v>×</v>
      </c>
      <c r="J11355" s="4"/>
      <c r="K11355" s="4"/>
      <c r="L11355" s="4"/>
      <c r="M11355" s="5" t="s">
        <v>6502</v>
      </c>
    </row>
    <row r="11356" customFormat="false" ht="15.75" hidden="false" customHeight="false" outlineLevel="0" collapsed="false">
      <c r="A11356" s="6" t="n">
        <v>46221</v>
      </c>
      <c r="B11356" s="4" t="s">
        <v>1091</v>
      </c>
      <c r="C11356" s="4" t="n">
        <v>7</v>
      </c>
      <c r="D11356" s="4" t="n">
        <v>5</v>
      </c>
      <c r="E11356" s="4"/>
      <c r="F11356" s="4" t="n">
        <v>6</v>
      </c>
      <c r="G11356" s="4" t="n">
        <v>10</v>
      </c>
      <c r="H11356" s="4" t="n">
        <v>4</v>
      </c>
      <c r="I11356" s="4" t="str">
        <v>×</v>
      </c>
      <c r="J11356" s="4"/>
      <c r="K11356" s="4"/>
      <c r="L11356" s="4"/>
      <c r="M11356" s="5" t="s">
        <v>6502</v>
      </c>
    </row>
    <row r="11357" customFormat="false" ht="15.75" hidden="false" customHeight="false" outlineLevel="0" collapsed="false">
      <c r="A11357" s="6" t="n">
        <v>46221</v>
      </c>
      <c r="B11357" s="4" t="s">
        <v>1091</v>
      </c>
      <c r="C11357" s="4" t="n">
        <v>7</v>
      </c>
      <c r="D11357" s="4" t="n">
        <v>6</v>
      </c>
      <c r="E11357" s="4"/>
      <c r="F11357" s="4" t="n">
        <v>31</v>
      </c>
      <c r="G11357" s="4" t="n">
        <v>5</v>
      </c>
      <c r="H11357" s="4" t="n">
        <v>4</v>
      </c>
      <c r="I11357" s="4" t="str">
        <v>×</v>
      </c>
      <c r="J11357" s="4"/>
      <c r="K11357" s="4"/>
      <c r="L11357" s="4"/>
      <c r="M11357" s="5" t="s">
        <v>6502</v>
      </c>
    </row>
    <row r="11358" customFormat="false" ht="15.75" hidden="false" customHeight="false" outlineLevel="0" collapsed="false">
      <c r="A11358" s="6" t="n">
        <v>46221</v>
      </c>
      <c r="B11358" s="4" t="s">
        <v>1091</v>
      </c>
      <c r="C11358" s="4" t="n">
        <v>7</v>
      </c>
      <c r="D11358" s="4" t="n">
        <v>7</v>
      </c>
      <c r="E11358" s="4"/>
      <c r="F11358" s="4" t="n">
        <v>15</v>
      </c>
      <c r="G11358" s="4" t="n">
        <v>7</v>
      </c>
      <c r="H11358" s="4" t="n">
        <v>4</v>
      </c>
      <c r="I11358" s="4" t="str">
        <v>×</v>
      </c>
      <c r="J11358" s="4"/>
      <c r="K11358" s="4"/>
      <c r="L11358" s="4"/>
      <c r="M11358" s="5" t="s">
        <v>6502</v>
      </c>
    </row>
    <row r="11359" customFormat="false" ht="15.75" hidden="false" customHeight="false" outlineLevel="0" collapsed="false">
      <c r="A11359" s="6" t="n">
        <v>46221</v>
      </c>
      <c r="B11359" s="4" t="s">
        <v>1091</v>
      </c>
      <c r="C11359" s="4" t="n">
        <v>7</v>
      </c>
      <c r="D11359" s="4" t="n">
        <v>8</v>
      </c>
      <c r="E11359" s="4"/>
      <c r="F11359" s="4" t="n">
        <v>39</v>
      </c>
      <c r="G11359" s="4" t="n">
        <v>2</v>
      </c>
      <c r="H11359" s="4" t="n">
        <v>2</v>
      </c>
      <c r="I11359" s="4" t="str">
        <v>○</v>
      </c>
      <c r="J11359" s="4" t="n">
        <v>180</v>
      </c>
      <c r="K11359" s="4"/>
      <c r="L11359" s="4"/>
      <c r="M11359" s="5" t="s">
        <v>6502</v>
      </c>
    </row>
    <row r="11360" customFormat="false" ht="15.75" hidden="false" customHeight="false" outlineLevel="0" collapsed="false">
      <c r="A11360" s="6" t="n">
        <v>46221</v>
      </c>
      <c r="B11360" s="4" t="s">
        <v>1091</v>
      </c>
      <c r="C11360" s="4" t="n">
        <v>7</v>
      </c>
      <c r="D11360" s="4" t="n">
        <v>9</v>
      </c>
      <c r="E11360" s="4"/>
      <c r="F11360" s="4" t="n">
        <v>6</v>
      </c>
      <c r="G11360" s="4" t="n">
        <v>10</v>
      </c>
      <c r="H11360" s="4" t="n">
        <v>4</v>
      </c>
      <c r="I11360" s="4" t="str">
        <v>×</v>
      </c>
      <c r="J11360" s="4"/>
      <c r="K11360" s="4"/>
      <c r="L11360" s="4"/>
      <c r="M11360" s="5" t="s">
        <v>6502</v>
      </c>
    </row>
    <row r="11361" customFormat="false" ht="15.75" hidden="false" customHeight="false" outlineLevel="0" collapsed="false">
      <c r="A11361" s="6" t="n">
        <v>46221</v>
      </c>
      <c r="B11361" s="4" t="s">
        <v>1091</v>
      </c>
      <c r="C11361" s="4" t="n">
        <v>7</v>
      </c>
      <c r="D11361" s="4" t="n">
        <v>10</v>
      </c>
      <c r="E11361" s="4"/>
      <c r="F11361" s="4" t="n">
        <v>6</v>
      </c>
      <c r="G11361" s="4" t="n">
        <v>10</v>
      </c>
      <c r="H11361" s="4" t="n">
        <v>4</v>
      </c>
      <c r="I11361" s="4" t="str">
        <v>×</v>
      </c>
      <c r="J11361" s="4"/>
      <c r="K11361" s="4"/>
      <c r="L11361" s="4"/>
      <c r="M11361" s="5" t="s">
        <v>6502</v>
      </c>
    </row>
    <row r="11362" customFormat="false" ht="15.75" hidden="false" customHeight="false" outlineLevel="0" collapsed="false">
      <c r="A11362" s="6" t="n">
        <v>46221</v>
      </c>
      <c r="B11362" s="4" t="s">
        <v>1091</v>
      </c>
      <c r="C11362" s="4" t="n">
        <v>7</v>
      </c>
      <c r="D11362" s="4" t="n">
        <v>11</v>
      </c>
      <c r="E11362" s="4"/>
      <c r="F11362" s="4" t="n">
        <v>39</v>
      </c>
      <c r="G11362" s="4" t="n">
        <v>2</v>
      </c>
      <c r="H11362" s="4" t="n">
        <v>4</v>
      </c>
      <c r="I11362" s="4" t="str">
        <v>×</v>
      </c>
      <c r="J11362" s="4"/>
      <c r="K11362" s="4"/>
      <c r="L11362" s="4"/>
      <c r="M11362" s="5" t="s">
        <v>6502</v>
      </c>
    </row>
    <row r="11363" customFormat="false" ht="15.75" hidden="false" customHeight="false" outlineLevel="0" collapsed="false">
      <c r="A11363" s="6" t="n">
        <v>46221</v>
      </c>
      <c r="B11363" s="4" t="s">
        <v>1091</v>
      </c>
      <c r="C11363" s="4" t="n">
        <v>7</v>
      </c>
      <c r="D11363" s="4" t="n">
        <v>12</v>
      </c>
      <c r="E11363" s="4"/>
      <c r="F11363" s="4" t="n">
        <v>37</v>
      </c>
      <c r="G11363" s="4" t="n">
        <v>4</v>
      </c>
      <c r="H11363" s="4" t="n">
        <v>3</v>
      </c>
      <c r="I11363" s="4" t="str">
        <v>○</v>
      </c>
      <c r="J11363" s="4" t="n">
        <v>150</v>
      </c>
      <c r="K11363" s="4"/>
      <c r="L11363" s="4"/>
      <c r="M11363" s="5" t="s">
        <v>6502</v>
      </c>
    </row>
    <row r="11364" customFormat="false" ht="15.75" hidden="false" customHeight="false" outlineLevel="0" collapsed="false">
      <c r="A11364" s="6" t="n">
        <v>46221</v>
      </c>
      <c r="B11364" s="4" t="s">
        <v>1091</v>
      </c>
      <c r="C11364" s="4" t="n">
        <v>7</v>
      </c>
      <c r="D11364" s="4" t="n">
        <v>13</v>
      </c>
      <c r="E11364" s="4"/>
      <c r="F11364" s="4" t="n">
        <v>58</v>
      </c>
      <c r="G11364" s="4" t="n">
        <v>1</v>
      </c>
      <c r="H11364" s="4" t="n">
        <v>1</v>
      </c>
      <c r="I11364" s="4" t="str">
        <v>○</v>
      </c>
      <c r="J11364" s="4" t="n">
        <v>140</v>
      </c>
      <c r="K11364" s="4"/>
      <c r="L11364" s="4"/>
      <c r="M11364" s="5" t="s">
        <v>6502</v>
      </c>
    </row>
    <row r="11365" customFormat="false" ht="15.75" hidden="false" customHeight="false" outlineLevel="0" collapsed="false">
      <c r="A11365" s="6" t="n">
        <v>46221</v>
      </c>
      <c r="B11365" s="4" t="s">
        <v>1091</v>
      </c>
      <c r="C11365" s="4" t="n">
        <v>7</v>
      </c>
      <c r="D11365" s="4" t="n">
        <v>14</v>
      </c>
      <c r="E11365" s="4"/>
      <c r="F11365" s="4" t="n">
        <v>15</v>
      </c>
      <c r="G11365" s="4" t="n">
        <v>7</v>
      </c>
      <c r="H11365" s="4" t="n">
        <v>4</v>
      </c>
      <c r="I11365" s="4" t="str">
        <v>×</v>
      </c>
      <c r="J11365" s="4"/>
      <c r="K11365" s="4"/>
      <c r="L11365" s="4"/>
      <c r="M11365" s="5" t="s">
        <v>6502</v>
      </c>
    </row>
    <row r="11366" customFormat="false" ht="15.75" hidden="false" customHeight="false" outlineLevel="0" collapsed="false">
      <c r="A11366" s="6" t="n">
        <v>46221</v>
      </c>
      <c r="B11366" s="4" t="s">
        <v>1091</v>
      </c>
      <c r="C11366" s="4" t="n">
        <v>8</v>
      </c>
      <c r="D11366" s="4" t="n">
        <v>1</v>
      </c>
      <c r="E11366" s="4"/>
      <c r="F11366" s="4" t="n">
        <v>29</v>
      </c>
      <c r="G11366" s="4" t="n">
        <v>5</v>
      </c>
      <c r="H11366" s="4" t="n">
        <v>4</v>
      </c>
      <c r="I11366" s="4" t="str">
        <v>×</v>
      </c>
      <c r="J11366" s="4"/>
      <c r="K11366" s="4"/>
      <c r="L11366" s="4"/>
      <c r="M11366" s="5" t="s">
        <v>6502</v>
      </c>
    </row>
    <row r="11367" customFormat="false" ht="15.75" hidden="false" customHeight="false" outlineLevel="0" collapsed="false">
      <c r="A11367" s="6" t="n">
        <v>46221</v>
      </c>
      <c r="B11367" s="4" t="s">
        <v>1091</v>
      </c>
      <c r="C11367" s="4" t="n">
        <v>8</v>
      </c>
      <c r="D11367" s="4" t="n">
        <v>2</v>
      </c>
      <c r="E11367" s="4"/>
      <c r="F11367" s="4" t="n">
        <v>13</v>
      </c>
      <c r="G11367" s="4" t="n">
        <v>8</v>
      </c>
      <c r="H11367" s="4" t="n">
        <v>4</v>
      </c>
      <c r="I11367" s="4" t="str">
        <v>×</v>
      </c>
      <c r="J11367" s="4"/>
      <c r="K11367" s="4"/>
      <c r="L11367" s="4"/>
      <c r="M11367" s="5" t="s">
        <v>6502</v>
      </c>
    </row>
    <row r="11368" customFormat="false" ht="15.75" hidden="false" customHeight="false" outlineLevel="0" collapsed="false">
      <c r="A11368" s="6" t="n">
        <v>46221</v>
      </c>
      <c r="B11368" s="4" t="s">
        <v>1091</v>
      </c>
      <c r="C11368" s="4" t="n">
        <v>8</v>
      </c>
      <c r="D11368" s="4" t="n">
        <v>3</v>
      </c>
      <c r="E11368" s="4"/>
      <c r="F11368" s="4" t="n">
        <v>39</v>
      </c>
      <c r="G11368" s="4" t="n">
        <v>3</v>
      </c>
      <c r="H11368" s="4" t="n">
        <v>1</v>
      </c>
      <c r="I11368" s="4" t="str">
        <v>○</v>
      </c>
      <c r="J11368" s="4" t="n">
        <v>140</v>
      </c>
      <c r="K11368" s="4"/>
      <c r="L11368" s="4"/>
      <c r="M11368" s="5" t="s">
        <v>6502</v>
      </c>
    </row>
    <row r="11369" customFormat="false" ht="15.75" hidden="false" customHeight="false" outlineLevel="0" collapsed="false">
      <c r="A11369" s="6" t="n">
        <v>46221</v>
      </c>
      <c r="B11369" s="4" t="s">
        <v>1091</v>
      </c>
      <c r="C11369" s="4" t="n">
        <v>8</v>
      </c>
      <c r="D11369" s="4" t="n">
        <v>4</v>
      </c>
      <c r="E11369" s="4"/>
      <c r="F11369" s="4" t="n">
        <v>62</v>
      </c>
      <c r="G11369" s="4" t="n">
        <v>1</v>
      </c>
      <c r="H11369" s="4" t="n">
        <v>4</v>
      </c>
      <c r="I11369" s="4" t="str">
        <v>×</v>
      </c>
      <c r="J11369" s="4"/>
      <c r="K11369" s="4"/>
      <c r="L11369" s="4"/>
      <c r="M11369" s="5" t="s">
        <v>6502</v>
      </c>
    </row>
    <row r="11370" customFormat="false" ht="15.75" hidden="false" customHeight="false" outlineLevel="0" collapsed="false">
      <c r="A11370" s="6" t="n">
        <v>46221</v>
      </c>
      <c r="B11370" s="4" t="s">
        <v>1091</v>
      </c>
      <c r="C11370" s="4" t="n">
        <v>8</v>
      </c>
      <c r="D11370" s="4" t="n">
        <v>5</v>
      </c>
      <c r="E11370" s="4"/>
      <c r="F11370" s="4" t="n">
        <v>50</v>
      </c>
      <c r="G11370" s="4" t="n">
        <v>2</v>
      </c>
      <c r="H11370" s="4" t="n">
        <v>2</v>
      </c>
      <c r="I11370" s="4" t="str">
        <v>○</v>
      </c>
      <c r="J11370" s="4" t="n">
        <v>150</v>
      </c>
      <c r="K11370" s="4"/>
      <c r="L11370" s="4"/>
      <c r="M11370" s="5" t="s">
        <v>6502</v>
      </c>
    </row>
    <row r="11371" customFormat="false" ht="15.75" hidden="false" customHeight="false" outlineLevel="0" collapsed="false">
      <c r="A11371" s="6" t="n">
        <v>46221</v>
      </c>
      <c r="B11371" s="4" t="s">
        <v>1091</v>
      </c>
      <c r="C11371" s="4" t="n">
        <v>8</v>
      </c>
      <c r="D11371" s="4" t="n">
        <v>6</v>
      </c>
      <c r="E11371" s="4"/>
      <c r="F11371" s="4" t="n">
        <v>31</v>
      </c>
      <c r="G11371" s="4" t="n">
        <v>4</v>
      </c>
      <c r="H11371" s="4" t="n">
        <v>4</v>
      </c>
      <c r="I11371" s="4" t="str">
        <v>×</v>
      </c>
      <c r="J11371" s="4"/>
      <c r="K11371" s="4"/>
      <c r="L11371" s="4"/>
      <c r="M11371" s="5" t="s">
        <v>6502</v>
      </c>
    </row>
    <row r="11372" customFormat="false" ht="15.75" hidden="false" customHeight="false" outlineLevel="0" collapsed="false">
      <c r="A11372" s="6" t="n">
        <v>46221</v>
      </c>
      <c r="B11372" s="4" t="s">
        <v>1091</v>
      </c>
      <c r="C11372" s="4" t="n">
        <v>8</v>
      </c>
      <c r="D11372" s="4" t="n">
        <v>7</v>
      </c>
      <c r="E11372" s="4"/>
      <c r="F11372" s="4" t="n">
        <v>23</v>
      </c>
      <c r="G11372" s="4" t="n">
        <v>6</v>
      </c>
      <c r="H11372" s="4" t="n">
        <v>4</v>
      </c>
      <c r="I11372" s="4" t="str">
        <v>×</v>
      </c>
      <c r="J11372" s="4"/>
      <c r="K11372" s="4"/>
      <c r="L11372" s="4"/>
      <c r="M11372" s="5" t="s">
        <v>6502</v>
      </c>
    </row>
    <row r="11373" customFormat="false" ht="15.75" hidden="false" customHeight="false" outlineLevel="0" collapsed="false">
      <c r="A11373" s="6" t="n">
        <v>46221</v>
      </c>
      <c r="B11373" s="4" t="s">
        <v>1091</v>
      </c>
      <c r="C11373" s="4" t="n">
        <v>8</v>
      </c>
      <c r="D11373" s="4" t="n">
        <v>8</v>
      </c>
      <c r="E11373" s="4"/>
      <c r="F11373" s="4" t="n">
        <v>4</v>
      </c>
      <c r="G11373" s="4" t="n">
        <v>10</v>
      </c>
      <c r="H11373" s="4" t="n">
        <v>4</v>
      </c>
      <c r="I11373" s="4" t="str">
        <v>×</v>
      </c>
      <c r="J11373" s="4"/>
      <c r="K11373" s="4"/>
      <c r="L11373" s="4"/>
      <c r="M11373" s="5" t="s">
        <v>6502</v>
      </c>
    </row>
    <row r="11374" customFormat="false" ht="15.75" hidden="false" customHeight="false" outlineLevel="0" collapsed="false">
      <c r="A11374" s="6" t="n">
        <v>46221</v>
      </c>
      <c r="B11374" s="4" t="s">
        <v>1091</v>
      </c>
      <c r="C11374" s="4" t="n">
        <v>8</v>
      </c>
      <c r="D11374" s="4" t="n">
        <v>9</v>
      </c>
      <c r="E11374" s="4"/>
      <c r="F11374" s="4" t="n">
        <v>10</v>
      </c>
      <c r="G11374" s="4" t="n">
        <v>9</v>
      </c>
      <c r="H11374" s="4" t="n">
        <v>3</v>
      </c>
      <c r="I11374" s="4" t="str">
        <v>○</v>
      </c>
      <c r="J11374" s="4" t="n">
        <v>350</v>
      </c>
      <c r="K11374" s="4"/>
      <c r="L11374" s="4"/>
      <c r="M11374" s="5" t="s">
        <v>6502</v>
      </c>
    </row>
    <row r="11375" customFormat="false" ht="15.75" hidden="false" customHeight="false" outlineLevel="0" collapsed="false">
      <c r="A11375" s="6" t="n">
        <v>46221</v>
      </c>
      <c r="B11375" s="4" t="s">
        <v>1091</v>
      </c>
      <c r="C11375" s="4" t="n">
        <v>8</v>
      </c>
      <c r="D11375" s="4" t="n">
        <v>10</v>
      </c>
      <c r="E11375" s="4"/>
      <c r="F11375" s="4" t="n">
        <v>23</v>
      </c>
      <c r="G11375" s="4" t="n">
        <v>6</v>
      </c>
      <c r="H11375" s="4" t="n">
        <v>4</v>
      </c>
      <c r="I11375" s="4" t="str">
        <v>×</v>
      </c>
      <c r="J11375" s="4"/>
      <c r="K11375" s="4"/>
      <c r="L11375" s="4"/>
      <c r="M11375" s="5" t="s">
        <v>6502</v>
      </c>
    </row>
    <row r="11376" customFormat="false" ht="15.75" hidden="false" customHeight="false" outlineLevel="0" collapsed="false">
      <c r="A11376" s="6" t="n">
        <v>46221</v>
      </c>
      <c r="B11376" s="4" t="s">
        <v>1091</v>
      </c>
      <c r="C11376" s="4" t="n">
        <v>9</v>
      </c>
      <c r="D11376" s="4" t="n">
        <v>1</v>
      </c>
      <c r="E11376" s="4"/>
      <c r="F11376" s="4" t="n">
        <v>8</v>
      </c>
      <c r="G11376" s="4" t="n">
        <v>9</v>
      </c>
      <c r="H11376" s="4" t="n">
        <v>4</v>
      </c>
      <c r="I11376" s="4" t="str">
        <v>×</v>
      </c>
      <c r="J11376" s="4"/>
      <c r="K11376" s="4"/>
      <c r="L11376" s="4"/>
      <c r="M11376" s="5" t="s">
        <v>6502</v>
      </c>
    </row>
    <row r="11377" customFormat="false" ht="15.75" hidden="false" customHeight="false" outlineLevel="0" collapsed="false">
      <c r="A11377" s="6" t="n">
        <v>46221</v>
      </c>
      <c r="B11377" s="4" t="s">
        <v>1091</v>
      </c>
      <c r="C11377" s="4" t="n">
        <v>9</v>
      </c>
      <c r="D11377" s="4" t="n">
        <v>2</v>
      </c>
      <c r="E11377" s="4"/>
      <c r="F11377" s="4" t="n">
        <v>10</v>
      </c>
      <c r="G11377" s="4" t="n">
        <v>6</v>
      </c>
      <c r="H11377" s="4" t="n">
        <v>4</v>
      </c>
      <c r="I11377" s="4" t="str">
        <v>×</v>
      </c>
      <c r="J11377" s="4"/>
      <c r="K11377" s="4"/>
      <c r="L11377" s="4"/>
      <c r="M11377" s="5" t="s">
        <v>6502</v>
      </c>
    </row>
    <row r="11378" customFormat="false" ht="15.75" hidden="false" customHeight="false" outlineLevel="0" collapsed="false">
      <c r="A11378" s="6" t="n">
        <v>46221</v>
      </c>
      <c r="B11378" s="4" t="s">
        <v>1091</v>
      </c>
      <c r="C11378" s="4" t="n">
        <v>9</v>
      </c>
      <c r="D11378" s="4" t="n">
        <v>3</v>
      </c>
      <c r="E11378" s="4"/>
      <c r="F11378" s="4" t="n">
        <v>65</v>
      </c>
      <c r="G11378" s="4" t="n">
        <v>2</v>
      </c>
      <c r="H11378" s="4" t="n">
        <v>4</v>
      </c>
      <c r="I11378" s="4" t="str">
        <v>×</v>
      </c>
      <c r="J11378" s="4"/>
      <c r="K11378" s="4"/>
      <c r="L11378" s="4"/>
      <c r="M11378" s="5" t="s">
        <v>6502</v>
      </c>
    </row>
    <row r="11379" customFormat="false" ht="15.75" hidden="false" customHeight="false" outlineLevel="0" collapsed="false">
      <c r="A11379" s="6" t="n">
        <v>46221</v>
      </c>
      <c r="B11379" s="4" t="s">
        <v>1091</v>
      </c>
      <c r="C11379" s="4" t="n">
        <v>9</v>
      </c>
      <c r="D11379" s="4" t="n">
        <v>4</v>
      </c>
      <c r="E11379" s="4"/>
      <c r="F11379" s="4" t="n">
        <v>4</v>
      </c>
      <c r="G11379" s="4" t="n">
        <v>12</v>
      </c>
      <c r="H11379" s="4" t="n">
        <v>4</v>
      </c>
      <c r="I11379" s="4" t="str">
        <v>×</v>
      </c>
      <c r="J11379" s="4"/>
      <c r="K11379" s="4"/>
      <c r="L11379" s="4"/>
      <c r="M11379" s="5" t="s">
        <v>6502</v>
      </c>
    </row>
    <row r="11380" customFormat="false" ht="15.75" hidden="false" customHeight="false" outlineLevel="0" collapsed="false">
      <c r="A11380" s="6" t="n">
        <v>46221</v>
      </c>
      <c r="B11380" s="4" t="s">
        <v>1091</v>
      </c>
      <c r="C11380" s="4" t="n">
        <v>9</v>
      </c>
      <c r="D11380" s="4" t="n">
        <v>5</v>
      </c>
      <c r="E11380" s="4"/>
      <c r="F11380" s="4" t="n">
        <v>1</v>
      </c>
      <c r="G11380" s="4" t="n">
        <v>17</v>
      </c>
      <c r="H11380" s="4" t="n">
        <v>4</v>
      </c>
      <c r="I11380" s="4" t="str">
        <v>×</v>
      </c>
      <c r="J11380" s="4"/>
      <c r="K11380" s="4"/>
      <c r="L11380" s="4"/>
      <c r="M11380" s="5" t="s">
        <v>6502</v>
      </c>
    </row>
    <row r="11381" customFormat="false" ht="15.75" hidden="false" customHeight="false" outlineLevel="0" collapsed="false">
      <c r="A11381" s="6" t="n">
        <v>46221</v>
      </c>
      <c r="B11381" s="4" t="s">
        <v>1091</v>
      </c>
      <c r="C11381" s="4" t="n">
        <v>9</v>
      </c>
      <c r="D11381" s="4" t="n">
        <v>6</v>
      </c>
      <c r="E11381" s="4"/>
      <c r="F11381" s="4" t="n">
        <v>4</v>
      </c>
      <c r="G11381" s="4" t="n">
        <v>12</v>
      </c>
      <c r="H11381" s="4" t="n">
        <v>4</v>
      </c>
      <c r="I11381" s="4" t="str">
        <v>×</v>
      </c>
      <c r="J11381" s="4"/>
      <c r="K11381" s="4"/>
      <c r="L11381" s="4"/>
      <c r="M11381" s="5" t="s">
        <v>6502</v>
      </c>
    </row>
    <row r="11382" customFormat="false" ht="15.75" hidden="false" customHeight="false" outlineLevel="0" collapsed="false">
      <c r="A11382" s="6" t="n">
        <v>46221</v>
      </c>
      <c r="B11382" s="4" t="s">
        <v>1091</v>
      </c>
      <c r="C11382" s="4" t="n">
        <v>9</v>
      </c>
      <c r="D11382" s="4" t="n">
        <v>7</v>
      </c>
      <c r="E11382" s="4"/>
      <c r="F11382" s="4" t="n">
        <v>3</v>
      </c>
      <c r="G11382" s="4" t="n">
        <v>15</v>
      </c>
      <c r="H11382" s="4" t="n">
        <v>4</v>
      </c>
      <c r="I11382" s="4" t="str">
        <v>×</v>
      </c>
      <c r="J11382" s="4"/>
      <c r="K11382" s="4"/>
      <c r="L11382" s="4"/>
      <c r="M11382" s="5" t="s">
        <v>6502</v>
      </c>
    </row>
    <row r="11383" customFormat="false" ht="15.75" hidden="false" customHeight="false" outlineLevel="0" collapsed="false">
      <c r="A11383" s="6" t="n">
        <v>46221</v>
      </c>
      <c r="B11383" s="4" t="s">
        <v>1091</v>
      </c>
      <c r="C11383" s="4" t="n">
        <v>9</v>
      </c>
      <c r="D11383" s="4" t="n">
        <v>8</v>
      </c>
      <c r="E11383" s="4"/>
      <c r="F11383" s="4" t="n">
        <v>8</v>
      </c>
      <c r="G11383" s="4" t="n">
        <v>9</v>
      </c>
      <c r="H11383" s="4" t="n">
        <v>2</v>
      </c>
      <c r="I11383" s="4" t="str">
        <v>○</v>
      </c>
      <c r="J11383" s="4" t="n">
        <v>490</v>
      </c>
      <c r="K11383" s="4"/>
      <c r="L11383" s="4"/>
      <c r="M11383" s="5" t="s">
        <v>6502</v>
      </c>
    </row>
    <row r="11384" customFormat="false" ht="15.75" hidden="false" customHeight="false" outlineLevel="0" collapsed="false">
      <c r="A11384" s="6" t="n">
        <v>46221</v>
      </c>
      <c r="B11384" s="4" t="s">
        <v>1091</v>
      </c>
      <c r="C11384" s="4" t="n">
        <v>9</v>
      </c>
      <c r="D11384" s="4" t="n">
        <v>9</v>
      </c>
      <c r="E11384" s="4"/>
      <c r="F11384" s="4" t="n">
        <v>10</v>
      </c>
      <c r="G11384" s="4" t="n">
        <v>6</v>
      </c>
      <c r="H11384" s="4" t="n">
        <v>4</v>
      </c>
      <c r="I11384" s="4" t="str">
        <v>×</v>
      </c>
      <c r="J11384" s="4"/>
      <c r="K11384" s="4"/>
      <c r="L11384" s="4"/>
      <c r="M11384" s="5" t="s">
        <v>6502</v>
      </c>
    </row>
    <row r="11385" customFormat="false" ht="15.75" hidden="false" customHeight="false" outlineLevel="0" collapsed="false">
      <c r="A11385" s="6" t="n">
        <v>46221</v>
      </c>
      <c r="B11385" s="4" t="s">
        <v>1091</v>
      </c>
      <c r="C11385" s="4" t="n">
        <v>9</v>
      </c>
      <c r="D11385" s="4" t="n">
        <v>10</v>
      </c>
      <c r="E11385" s="4"/>
      <c r="F11385" s="4" t="n">
        <v>17</v>
      </c>
      <c r="G11385" s="4" t="n">
        <v>5</v>
      </c>
      <c r="H11385" s="4" t="n">
        <v>3</v>
      </c>
      <c r="I11385" s="4" t="str">
        <v>○</v>
      </c>
      <c r="J11385" s="4" t="n">
        <v>240</v>
      </c>
      <c r="K11385" s="4"/>
      <c r="L11385" s="4"/>
      <c r="M11385" s="5" t="s">
        <v>6502</v>
      </c>
    </row>
    <row r="11386" customFormat="false" ht="15.75" hidden="false" customHeight="false" outlineLevel="0" collapsed="false">
      <c r="A11386" s="6" t="n">
        <v>46221</v>
      </c>
      <c r="B11386" s="4" t="s">
        <v>1091</v>
      </c>
      <c r="C11386" s="4" t="n">
        <v>9</v>
      </c>
      <c r="D11386" s="4" t="n">
        <v>11</v>
      </c>
      <c r="E11386" s="4"/>
      <c r="F11386" s="4" t="n">
        <v>41</v>
      </c>
      <c r="G11386" s="4" t="n">
        <v>3</v>
      </c>
      <c r="H11386" s="4" t="n">
        <v>4</v>
      </c>
      <c r="I11386" s="4" t="str">
        <v>×</v>
      </c>
      <c r="J11386" s="4"/>
      <c r="K11386" s="4"/>
      <c r="L11386" s="4"/>
      <c r="M11386" s="5" t="s">
        <v>6502</v>
      </c>
    </row>
    <row r="11387" customFormat="false" ht="15.75" hidden="false" customHeight="false" outlineLevel="0" collapsed="false">
      <c r="A11387" s="6" t="n">
        <v>46221</v>
      </c>
      <c r="B11387" s="4" t="s">
        <v>1091</v>
      </c>
      <c r="C11387" s="4" t="n">
        <v>9</v>
      </c>
      <c r="D11387" s="4" t="n">
        <v>12</v>
      </c>
      <c r="E11387" s="4"/>
      <c r="F11387" s="4" t="n">
        <v>10</v>
      </c>
      <c r="G11387" s="4" t="n">
        <v>6</v>
      </c>
      <c r="H11387" s="4" t="n">
        <v>4</v>
      </c>
      <c r="I11387" s="4" t="str">
        <v>×</v>
      </c>
      <c r="J11387" s="4"/>
      <c r="K11387" s="4"/>
      <c r="L11387" s="4"/>
      <c r="M11387" s="5" t="s">
        <v>6502</v>
      </c>
    </row>
    <row r="11388" customFormat="false" ht="15.75" hidden="false" customHeight="false" outlineLevel="0" collapsed="false">
      <c r="A11388" s="6" t="n">
        <v>46221</v>
      </c>
      <c r="B11388" s="4" t="s">
        <v>1091</v>
      </c>
      <c r="C11388" s="4" t="n">
        <v>9</v>
      </c>
      <c r="D11388" s="4" t="n">
        <v>13</v>
      </c>
      <c r="E11388" s="4"/>
      <c r="F11388" s="4" t="n">
        <v>3</v>
      </c>
      <c r="G11388" s="4" t="n">
        <v>15</v>
      </c>
      <c r="H11388" s="4" t="n">
        <v>4</v>
      </c>
      <c r="I11388" s="4" t="str">
        <v>×</v>
      </c>
      <c r="J11388" s="4"/>
      <c r="K11388" s="4"/>
      <c r="L11388" s="4"/>
      <c r="M11388" s="5" t="s">
        <v>6502</v>
      </c>
    </row>
    <row r="11389" customFormat="false" ht="15.75" hidden="false" customHeight="false" outlineLevel="0" collapsed="false">
      <c r="A11389" s="6" t="n">
        <v>46221</v>
      </c>
      <c r="B11389" s="4" t="s">
        <v>1091</v>
      </c>
      <c r="C11389" s="4" t="n">
        <v>9</v>
      </c>
      <c r="D11389" s="4" t="n">
        <v>14</v>
      </c>
      <c r="E11389" s="4"/>
      <c r="F11389" s="4" t="n">
        <v>1</v>
      </c>
      <c r="G11389" s="4" t="n">
        <v>17</v>
      </c>
      <c r="H11389" s="4" t="n">
        <v>4</v>
      </c>
      <c r="I11389" s="4" t="str">
        <v>×</v>
      </c>
      <c r="J11389" s="4"/>
      <c r="K11389" s="4"/>
      <c r="L11389" s="4"/>
      <c r="M11389" s="5" t="s">
        <v>6502</v>
      </c>
    </row>
    <row r="11390" customFormat="false" ht="15.75" hidden="false" customHeight="false" outlineLevel="0" collapsed="false">
      <c r="A11390" s="6" t="n">
        <v>46221</v>
      </c>
      <c r="B11390" s="4" t="s">
        <v>1091</v>
      </c>
      <c r="C11390" s="4" t="n">
        <v>9</v>
      </c>
      <c r="D11390" s="4" t="n">
        <v>15</v>
      </c>
      <c r="E11390" s="4"/>
      <c r="F11390" s="4" t="n">
        <v>4</v>
      </c>
      <c r="G11390" s="4" t="n">
        <v>12</v>
      </c>
      <c r="H11390" s="4" t="n">
        <v>4</v>
      </c>
      <c r="I11390" s="4" t="str">
        <v>×</v>
      </c>
      <c r="J11390" s="4"/>
      <c r="K11390" s="4"/>
      <c r="L11390" s="4"/>
      <c r="M11390" s="5" t="s">
        <v>6502</v>
      </c>
    </row>
    <row r="11391" customFormat="false" ht="15.75" hidden="false" customHeight="false" outlineLevel="0" collapsed="false">
      <c r="A11391" s="6" t="n">
        <v>46221</v>
      </c>
      <c r="B11391" s="4" t="s">
        <v>1091</v>
      </c>
      <c r="C11391" s="4" t="n">
        <v>9</v>
      </c>
      <c r="D11391" s="4" t="n">
        <v>16</v>
      </c>
      <c r="E11391" s="4"/>
      <c r="F11391" s="4" t="n">
        <v>67</v>
      </c>
      <c r="G11391" s="4" t="n">
        <v>1</v>
      </c>
      <c r="H11391" s="4" t="n">
        <v>1</v>
      </c>
      <c r="I11391" s="4" t="str">
        <v>○</v>
      </c>
      <c r="J11391" s="4" t="n">
        <v>120</v>
      </c>
      <c r="K11391" s="4"/>
      <c r="L11391" s="4"/>
      <c r="M11391" s="5" t="s">
        <v>6502</v>
      </c>
    </row>
    <row r="11392" customFormat="false" ht="15.75" hidden="false" customHeight="false" outlineLevel="0" collapsed="false">
      <c r="A11392" s="6" t="n">
        <v>46221</v>
      </c>
      <c r="B11392" s="4" t="s">
        <v>1091</v>
      </c>
      <c r="C11392" s="4" t="n">
        <v>9</v>
      </c>
      <c r="D11392" s="4" t="n">
        <v>17</v>
      </c>
      <c r="E11392" s="4"/>
      <c r="F11392" s="4" t="n">
        <v>37</v>
      </c>
      <c r="G11392" s="4" t="n">
        <v>4</v>
      </c>
      <c r="H11392" s="4" t="n">
        <v>4</v>
      </c>
      <c r="I11392" s="4" t="str">
        <v>×</v>
      </c>
      <c r="J11392" s="4"/>
      <c r="K11392" s="4"/>
      <c r="L11392" s="4"/>
      <c r="M11392" s="5" t="s">
        <v>6502</v>
      </c>
    </row>
    <row r="11393" customFormat="false" ht="15.75" hidden="false" customHeight="false" outlineLevel="0" collapsed="false">
      <c r="A11393" s="6" t="n">
        <v>46221</v>
      </c>
      <c r="B11393" s="4" t="s">
        <v>1091</v>
      </c>
      <c r="C11393" s="4" t="n">
        <v>9</v>
      </c>
      <c r="D11393" s="4" t="n">
        <v>18</v>
      </c>
      <c r="E11393" s="4"/>
      <c r="F11393" s="4" t="n">
        <v>8</v>
      </c>
      <c r="G11393" s="4" t="n">
        <v>9</v>
      </c>
      <c r="H11393" s="4" t="n">
        <v>4</v>
      </c>
      <c r="I11393" s="4" t="str">
        <v>×</v>
      </c>
      <c r="J11393" s="4"/>
      <c r="K11393" s="4"/>
      <c r="L11393" s="4"/>
      <c r="M11393" s="5" t="s">
        <v>6502</v>
      </c>
    </row>
    <row r="11394" customFormat="false" ht="15.75" hidden="false" customHeight="false" outlineLevel="0" collapsed="false">
      <c r="A11394" s="6" t="n">
        <v>46221</v>
      </c>
      <c r="B11394" s="4" t="s">
        <v>1091</v>
      </c>
      <c r="C11394" s="4" t="n">
        <v>10</v>
      </c>
      <c r="D11394" s="4" t="n">
        <v>1</v>
      </c>
      <c r="E11394" s="4"/>
      <c r="F11394" s="4" t="n">
        <v>65</v>
      </c>
      <c r="G11394" s="4" t="n">
        <v>1</v>
      </c>
      <c r="H11394" s="4" t="n">
        <v>2</v>
      </c>
      <c r="I11394" s="4" t="str">
        <v>○</v>
      </c>
      <c r="J11394" s="4" t="n">
        <v>140</v>
      </c>
      <c r="K11394" s="4"/>
      <c r="L11394" s="4"/>
      <c r="M11394" s="5" t="s">
        <v>6502</v>
      </c>
    </row>
    <row r="11395" customFormat="false" ht="15.75" hidden="false" customHeight="false" outlineLevel="0" collapsed="false">
      <c r="A11395" s="6" t="n">
        <v>46221</v>
      </c>
      <c r="B11395" s="4" t="s">
        <v>1091</v>
      </c>
      <c r="C11395" s="4" t="n">
        <v>10</v>
      </c>
      <c r="D11395" s="4" t="n">
        <v>2</v>
      </c>
      <c r="E11395" s="4"/>
      <c r="F11395" s="4" t="n">
        <v>23</v>
      </c>
      <c r="G11395" s="4" t="n">
        <v>6</v>
      </c>
      <c r="H11395" s="4" t="n">
        <v>1</v>
      </c>
      <c r="I11395" s="4" t="str">
        <v>○</v>
      </c>
      <c r="J11395" s="4" t="n">
        <v>180</v>
      </c>
      <c r="K11395" s="4"/>
      <c r="L11395" s="4"/>
      <c r="M11395" s="5" t="s">
        <v>6502</v>
      </c>
    </row>
    <row r="11396" customFormat="false" ht="15.75" hidden="false" customHeight="false" outlineLevel="0" collapsed="false">
      <c r="A11396" s="6" t="n">
        <v>46221</v>
      </c>
      <c r="B11396" s="4" t="s">
        <v>1091</v>
      </c>
      <c r="C11396" s="4" t="n">
        <v>10</v>
      </c>
      <c r="D11396" s="4" t="n">
        <v>3</v>
      </c>
      <c r="E11396" s="4"/>
      <c r="F11396" s="4" t="n">
        <v>6</v>
      </c>
      <c r="G11396" s="4" t="n">
        <v>10</v>
      </c>
      <c r="H11396" s="4" t="n">
        <v>4</v>
      </c>
      <c r="I11396" s="4" t="str">
        <v>×</v>
      </c>
      <c r="J11396" s="4"/>
      <c r="K11396" s="4"/>
      <c r="L11396" s="4"/>
      <c r="M11396" s="5" t="s">
        <v>6502</v>
      </c>
    </row>
    <row r="11397" customFormat="false" ht="15.75" hidden="false" customHeight="false" outlineLevel="0" collapsed="false">
      <c r="A11397" s="6" t="n">
        <v>46221</v>
      </c>
      <c r="B11397" s="4" t="s">
        <v>1091</v>
      </c>
      <c r="C11397" s="4" t="n">
        <v>10</v>
      </c>
      <c r="D11397" s="4" t="n">
        <v>4</v>
      </c>
      <c r="E11397" s="4"/>
      <c r="F11397" s="4" t="n">
        <v>8</v>
      </c>
      <c r="G11397" s="4" t="n">
        <v>7</v>
      </c>
      <c r="H11397" s="4" t="n">
        <v>4</v>
      </c>
      <c r="I11397" s="4" t="str">
        <v>×</v>
      </c>
      <c r="J11397" s="4"/>
      <c r="K11397" s="4"/>
      <c r="L11397" s="4"/>
      <c r="M11397" s="5" t="s">
        <v>6502</v>
      </c>
    </row>
    <row r="11398" customFormat="false" ht="15.75" hidden="false" customHeight="false" outlineLevel="0" collapsed="false">
      <c r="A11398" s="6" t="n">
        <v>46221</v>
      </c>
      <c r="B11398" s="4" t="s">
        <v>1091</v>
      </c>
      <c r="C11398" s="4" t="n">
        <v>10</v>
      </c>
      <c r="D11398" s="4" t="n">
        <v>5</v>
      </c>
      <c r="E11398" s="4"/>
      <c r="F11398" s="4" t="n">
        <v>25</v>
      </c>
      <c r="G11398" s="4" t="n">
        <v>5</v>
      </c>
      <c r="H11398" s="4" t="n">
        <v>4</v>
      </c>
      <c r="I11398" s="4" t="str">
        <v>×</v>
      </c>
      <c r="J11398" s="4"/>
      <c r="K11398" s="4"/>
      <c r="L11398" s="4"/>
      <c r="M11398" s="5" t="s">
        <v>6502</v>
      </c>
    </row>
    <row r="11399" customFormat="false" ht="15.75" hidden="false" customHeight="false" outlineLevel="0" collapsed="false">
      <c r="A11399" s="6" t="n">
        <v>46221</v>
      </c>
      <c r="B11399" s="4" t="s">
        <v>1091</v>
      </c>
      <c r="C11399" s="4" t="n">
        <v>10</v>
      </c>
      <c r="D11399" s="4" t="n">
        <v>6</v>
      </c>
      <c r="E11399" s="4"/>
      <c r="F11399" s="4" t="n">
        <v>31</v>
      </c>
      <c r="G11399" s="4" t="n">
        <v>3</v>
      </c>
      <c r="H11399" s="4" t="n">
        <v>4</v>
      </c>
      <c r="I11399" s="4" t="str">
        <v>×</v>
      </c>
      <c r="J11399" s="4"/>
      <c r="K11399" s="4"/>
      <c r="L11399" s="4"/>
      <c r="M11399" s="5" t="s">
        <v>6502</v>
      </c>
    </row>
    <row r="11400" customFormat="false" ht="15.75" hidden="false" customHeight="false" outlineLevel="0" collapsed="false">
      <c r="A11400" s="6" t="n">
        <v>46221</v>
      </c>
      <c r="B11400" s="4" t="s">
        <v>1091</v>
      </c>
      <c r="C11400" s="4" t="n">
        <v>10</v>
      </c>
      <c r="D11400" s="4" t="n">
        <v>7</v>
      </c>
      <c r="E11400" s="4"/>
      <c r="F11400" s="4" t="n">
        <v>8</v>
      </c>
      <c r="G11400" s="4" t="n">
        <v>7</v>
      </c>
      <c r="H11400" s="4" t="n">
        <v>3</v>
      </c>
      <c r="I11400" s="4" t="str">
        <v>○</v>
      </c>
      <c r="J11400" s="4" t="n">
        <v>370</v>
      </c>
      <c r="K11400" s="4"/>
      <c r="L11400" s="4"/>
      <c r="M11400" s="5" t="s">
        <v>6502</v>
      </c>
    </row>
    <row r="11401" customFormat="false" ht="15.75" hidden="false" customHeight="false" outlineLevel="0" collapsed="false">
      <c r="A11401" s="6" t="n">
        <v>46221</v>
      </c>
      <c r="B11401" s="4" t="s">
        <v>1091</v>
      </c>
      <c r="C11401" s="4" t="n">
        <v>10</v>
      </c>
      <c r="D11401" s="4" t="n">
        <v>8</v>
      </c>
      <c r="E11401" s="4"/>
      <c r="F11401" s="4" t="n">
        <v>52</v>
      </c>
      <c r="G11401" s="4" t="n">
        <v>2</v>
      </c>
      <c r="H11401" s="4" t="n">
        <v>4</v>
      </c>
      <c r="I11401" s="4" t="str">
        <v>×</v>
      </c>
      <c r="J11401" s="4"/>
      <c r="K11401" s="4"/>
      <c r="L11401" s="4"/>
      <c r="M11401" s="5" t="s">
        <v>6502</v>
      </c>
    </row>
    <row r="11402" customFormat="false" ht="15.75" hidden="false" customHeight="false" outlineLevel="0" collapsed="false">
      <c r="A11402" s="6" t="n">
        <v>46221</v>
      </c>
      <c r="B11402" s="4" t="s">
        <v>1091</v>
      </c>
      <c r="C11402" s="4" t="n">
        <v>10</v>
      </c>
      <c r="D11402" s="4" t="n">
        <v>9</v>
      </c>
      <c r="E11402" s="4"/>
      <c r="F11402" s="4" t="n">
        <v>2</v>
      </c>
      <c r="G11402" s="4" t="n">
        <v>11</v>
      </c>
      <c r="H11402" s="4" t="n">
        <v>4</v>
      </c>
      <c r="I11402" s="4" t="str">
        <v>×</v>
      </c>
      <c r="J11402" s="4"/>
      <c r="K11402" s="4"/>
      <c r="L11402" s="4"/>
      <c r="M11402" s="5" t="s">
        <v>6502</v>
      </c>
    </row>
    <row r="11403" customFormat="false" ht="15.75" hidden="false" customHeight="false" outlineLevel="0" collapsed="false">
      <c r="A11403" s="6" t="n">
        <v>46221</v>
      </c>
      <c r="B11403" s="4" t="s">
        <v>1091</v>
      </c>
      <c r="C11403" s="4" t="n">
        <v>10</v>
      </c>
      <c r="D11403" s="4" t="n">
        <v>10</v>
      </c>
      <c r="E11403" s="4"/>
      <c r="F11403" s="4" t="n">
        <v>8</v>
      </c>
      <c r="G11403" s="4" t="n">
        <v>7</v>
      </c>
      <c r="H11403" s="4" t="n">
        <v>4</v>
      </c>
      <c r="I11403" s="4" t="str">
        <v>×</v>
      </c>
      <c r="J11403" s="4"/>
      <c r="K11403" s="4"/>
      <c r="L11403" s="4"/>
      <c r="M11403" s="5" t="s">
        <v>6502</v>
      </c>
    </row>
    <row r="11404" customFormat="false" ht="15.75" hidden="false" customHeight="false" outlineLevel="0" collapsed="false">
      <c r="A11404" s="6" t="n">
        <v>46221</v>
      </c>
      <c r="B11404" s="4" t="s">
        <v>1091</v>
      </c>
      <c r="C11404" s="4" t="n">
        <v>10</v>
      </c>
      <c r="D11404" s="4" t="n">
        <v>11</v>
      </c>
      <c r="E11404" s="4"/>
      <c r="F11404" s="4" t="n">
        <v>2</v>
      </c>
      <c r="G11404" s="4" t="n">
        <v>11</v>
      </c>
      <c r="H11404" s="4" t="n">
        <v>4</v>
      </c>
      <c r="I11404" s="4" t="str">
        <v>×</v>
      </c>
      <c r="J11404" s="4"/>
      <c r="K11404" s="4"/>
      <c r="L11404" s="4"/>
      <c r="M11404" s="5" t="s">
        <v>6502</v>
      </c>
    </row>
    <row r="11405" customFormat="false" ht="15.75" hidden="false" customHeight="false" outlineLevel="0" collapsed="false">
      <c r="A11405" s="6" t="n">
        <v>46221</v>
      </c>
      <c r="B11405" s="4" t="s">
        <v>1091</v>
      </c>
      <c r="C11405" s="4" t="n">
        <v>10</v>
      </c>
      <c r="D11405" s="4" t="n">
        <v>12</v>
      </c>
      <c r="E11405" s="4"/>
      <c r="F11405" s="4" t="n">
        <v>29</v>
      </c>
      <c r="G11405" s="4" t="n">
        <v>4</v>
      </c>
      <c r="H11405" s="4" t="n">
        <v>4</v>
      </c>
      <c r="I11405" s="4" t="str">
        <v>×</v>
      </c>
      <c r="J11405" s="4"/>
      <c r="K11405" s="4"/>
      <c r="L11405" s="4"/>
      <c r="M11405" s="5" t="s">
        <v>6502</v>
      </c>
    </row>
    <row r="11406" customFormat="false" ht="15.75" hidden="false" customHeight="false" outlineLevel="0" collapsed="false">
      <c r="A11406" s="6" t="n">
        <v>46221</v>
      </c>
      <c r="B11406" s="4" t="s">
        <v>1091</v>
      </c>
      <c r="C11406" s="4" t="n">
        <v>11</v>
      </c>
      <c r="D11406" s="4" t="n">
        <v>1</v>
      </c>
      <c r="E11406" s="4"/>
      <c r="F11406" s="4" t="n">
        <v>29</v>
      </c>
      <c r="G11406" s="4" t="n">
        <v>4</v>
      </c>
      <c r="H11406" s="4" t="n">
        <v>4</v>
      </c>
      <c r="I11406" s="4" t="str">
        <v>×</v>
      </c>
      <c r="J11406" s="4"/>
      <c r="K11406" s="4"/>
      <c r="L11406" s="4"/>
      <c r="M11406" s="5" t="s">
        <v>6502</v>
      </c>
    </row>
    <row r="11407" customFormat="false" ht="15.75" hidden="false" customHeight="false" outlineLevel="0" collapsed="false">
      <c r="A11407" s="6" t="n">
        <v>46221</v>
      </c>
      <c r="B11407" s="4" t="s">
        <v>1091</v>
      </c>
      <c r="C11407" s="4" t="n">
        <v>11</v>
      </c>
      <c r="D11407" s="4" t="n">
        <v>2</v>
      </c>
      <c r="E11407" s="4"/>
      <c r="F11407" s="4" t="n">
        <v>31</v>
      </c>
      <c r="G11407" s="4" t="n">
        <v>3</v>
      </c>
      <c r="H11407" s="4" t="n">
        <v>4</v>
      </c>
      <c r="I11407" s="4" t="str">
        <v>×</v>
      </c>
      <c r="J11407" s="4"/>
      <c r="K11407" s="4"/>
      <c r="L11407" s="4"/>
      <c r="M11407" s="5" t="s">
        <v>6502</v>
      </c>
    </row>
    <row r="11408" customFormat="false" ht="15.75" hidden="false" customHeight="false" outlineLevel="0" collapsed="false">
      <c r="A11408" s="6" t="n">
        <v>46221</v>
      </c>
      <c r="B11408" s="4" t="s">
        <v>1091</v>
      </c>
      <c r="C11408" s="4" t="n">
        <v>11</v>
      </c>
      <c r="D11408" s="4" t="n">
        <v>3</v>
      </c>
      <c r="E11408" s="4"/>
      <c r="F11408" s="4" t="n">
        <v>17</v>
      </c>
      <c r="G11408" s="4" t="n">
        <v>7</v>
      </c>
      <c r="H11408" s="4" t="n">
        <v>2</v>
      </c>
      <c r="I11408" s="4" t="str">
        <v>○</v>
      </c>
      <c r="J11408" s="4" t="n">
        <v>440</v>
      </c>
      <c r="K11408" s="4"/>
      <c r="L11408" s="4"/>
      <c r="M11408" s="5" t="s">
        <v>6502</v>
      </c>
    </row>
    <row r="11409" customFormat="false" ht="15.75" hidden="false" customHeight="false" outlineLevel="0" collapsed="false">
      <c r="A11409" s="6" t="n">
        <v>46221</v>
      </c>
      <c r="B11409" s="4" t="s">
        <v>1091</v>
      </c>
      <c r="C11409" s="4" t="n">
        <v>11</v>
      </c>
      <c r="D11409" s="4" t="n">
        <v>4</v>
      </c>
      <c r="E11409" s="4"/>
      <c r="F11409" s="4" t="n">
        <v>6</v>
      </c>
      <c r="G11409" s="4" t="n">
        <v>12</v>
      </c>
      <c r="H11409" s="4" t="n">
        <v>4</v>
      </c>
      <c r="I11409" s="4" t="str">
        <v>×</v>
      </c>
      <c r="J11409" s="4"/>
      <c r="K11409" s="4"/>
      <c r="L11409" s="4"/>
      <c r="M11409" s="5" t="s">
        <v>6502</v>
      </c>
    </row>
    <row r="11410" customFormat="false" ht="15.75" hidden="false" customHeight="false" outlineLevel="0" collapsed="false">
      <c r="A11410" s="6" t="n">
        <v>46221</v>
      </c>
      <c r="B11410" s="4" t="s">
        <v>1091</v>
      </c>
      <c r="C11410" s="4" t="n">
        <v>11</v>
      </c>
      <c r="D11410" s="4" t="n">
        <v>5</v>
      </c>
      <c r="E11410" s="4"/>
      <c r="F11410" s="4" t="n">
        <v>58</v>
      </c>
      <c r="G11410" s="4" t="n">
        <v>1</v>
      </c>
      <c r="H11410" s="4" t="n">
        <v>1</v>
      </c>
      <c r="I11410" s="4" t="str">
        <v>○</v>
      </c>
      <c r="J11410" s="4" t="n">
        <v>110</v>
      </c>
      <c r="K11410" s="4"/>
      <c r="L11410" s="4"/>
      <c r="M11410" s="5" t="s">
        <v>6502</v>
      </c>
    </row>
    <row r="11411" customFormat="false" ht="15.75" hidden="false" customHeight="false" outlineLevel="0" collapsed="false">
      <c r="A11411" s="6" t="n">
        <v>46221</v>
      </c>
      <c r="B11411" s="4" t="s">
        <v>1091</v>
      </c>
      <c r="C11411" s="4" t="n">
        <v>11</v>
      </c>
      <c r="D11411" s="4" t="n">
        <v>6</v>
      </c>
      <c r="E11411" s="4"/>
      <c r="F11411" s="4" t="n">
        <v>23</v>
      </c>
      <c r="G11411" s="4" t="n">
        <v>6</v>
      </c>
      <c r="H11411" s="4" t="n">
        <v>4</v>
      </c>
      <c r="I11411" s="4" t="str">
        <v>×</v>
      </c>
      <c r="J11411" s="4"/>
      <c r="K11411" s="4"/>
      <c r="L11411" s="4"/>
      <c r="M11411" s="5" t="s">
        <v>6502</v>
      </c>
    </row>
    <row r="11412" customFormat="false" ht="15.75" hidden="false" customHeight="false" outlineLevel="0" collapsed="false">
      <c r="A11412" s="6" t="n">
        <v>46221</v>
      </c>
      <c r="B11412" s="4" t="s">
        <v>1091</v>
      </c>
      <c r="C11412" s="4" t="n">
        <v>11</v>
      </c>
      <c r="D11412" s="4" t="n">
        <v>7</v>
      </c>
      <c r="E11412" s="4"/>
      <c r="F11412" s="4" t="n">
        <v>13</v>
      </c>
      <c r="G11412" s="4" t="n">
        <v>9</v>
      </c>
      <c r="H11412" s="4" t="n">
        <v>4</v>
      </c>
      <c r="I11412" s="4" t="str">
        <v>×</v>
      </c>
      <c r="J11412" s="4"/>
      <c r="K11412" s="4"/>
      <c r="L11412" s="4"/>
      <c r="M11412" s="5" t="s">
        <v>6502</v>
      </c>
    </row>
    <row r="11413" customFormat="false" ht="15.75" hidden="false" customHeight="false" outlineLevel="0" collapsed="false">
      <c r="A11413" s="6" t="n">
        <v>46221</v>
      </c>
      <c r="B11413" s="4" t="s">
        <v>1091</v>
      </c>
      <c r="C11413" s="4" t="n">
        <v>11</v>
      </c>
      <c r="D11413" s="4" t="n">
        <v>8</v>
      </c>
      <c r="E11413" s="4"/>
      <c r="F11413" s="4" t="n">
        <v>10</v>
      </c>
      <c r="G11413" s="4" t="n">
        <v>10</v>
      </c>
      <c r="H11413" s="4" t="n">
        <v>4</v>
      </c>
      <c r="I11413" s="4" t="str">
        <v>×</v>
      </c>
      <c r="J11413" s="4"/>
      <c r="K11413" s="4"/>
      <c r="L11413" s="4"/>
      <c r="M11413" s="5" t="s">
        <v>6502</v>
      </c>
    </row>
    <row r="11414" customFormat="false" ht="15.75" hidden="false" customHeight="false" outlineLevel="0" collapsed="false">
      <c r="A11414" s="6" t="n">
        <v>46221</v>
      </c>
      <c r="B11414" s="4" t="s">
        <v>1091</v>
      </c>
      <c r="C11414" s="4" t="n">
        <v>11</v>
      </c>
      <c r="D11414" s="4" t="n">
        <v>9</v>
      </c>
      <c r="E11414" s="4"/>
      <c r="F11414" s="4" t="n">
        <v>10</v>
      </c>
      <c r="G11414" s="4" t="n">
        <v>10</v>
      </c>
      <c r="H11414" s="4" t="n">
        <v>4</v>
      </c>
      <c r="I11414" s="4" t="str">
        <v>×</v>
      </c>
      <c r="J11414" s="4"/>
      <c r="K11414" s="4"/>
      <c r="L11414" s="4"/>
      <c r="M11414" s="5" t="s">
        <v>6502</v>
      </c>
    </row>
    <row r="11415" customFormat="false" ht="15.75" hidden="false" customHeight="false" outlineLevel="0" collapsed="false">
      <c r="A11415" s="6" t="n">
        <v>46221</v>
      </c>
      <c r="B11415" s="4" t="s">
        <v>1091</v>
      </c>
      <c r="C11415" s="4" t="n">
        <v>11</v>
      </c>
      <c r="D11415" s="4" t="n">
        <v>10</v>
      </c>
      <c r="E11415" s="4"/>
      <c r="F11415" s="4" t="n">
        <v>41</v>
      </c>
      <c r="G11415" s="4" t="n">
        <v>2</v>
      </c>
      <c r="H11415" s="4" t="n">
        <v>3</v>
      </c>
      <c r="I11415" s="4" t="str">
        <v>○</v>
      </c>
      <c r="J11415" s="4" t="n">
        <v>250</v>
      </c>
      <c r="K11415" s="4"/>
      <c r="L11415" s="4"/>
      <c r="M11415" s="5" t="s">
        <v>6502</v>
      </c>
    </row>
    <row r="11416" customFormat="false" ht="15.75" hidden="false" customHeight="false" outlineLevel="0" collapsed="false">
      <c r="A11416" s="6" t="n">
        <v>46221</v>
      </c>
      <c r="B11416" s="4" t="s">
        <v>1091</v>
      </c>
      <c r="C11416" s="4" t="n">
        <v>11</v>
      </c>
      <c r="D11416" s="4" t="n">
        <v>11</v>
      </c>
      <c r="E11416" s="4"/>
      <c r="F11416" s="4" t="n">
        <v>17</v>
      </c>
      <c r="G11416" s="4" t="n">
        <v>7</v>
      </c>
      <c r="H11416" s="4" t="n">
        <v>4</v>
      </c>
      <c r="I11416" s="4" t="str">
        <v>×</v>
      </c>
      <c r="J11416" s="4"/>
      <c r="K11416" s="4"/>
      <c r="L11416" s="4"/>
      <c r="M11416" s="5" t="s">
        <v>6502</v>
      </c>
    </row>
    <row r="11417" customFormat="false" ht="15.75" hidden="false" customHeight="false" outlineLevel="0" collapsed="false">
      <c r="A11417" s="6" t="n">
        <v>46221</v>
      </c>
      <c r="B11417" s="4" t="s">
        <v>1091</v>
      </c>
      <c r="C11417" s="4" t="n">
        <v>11</v>
      </c>
      <c r="D11417" s="4" t="n">
        <v>12</v>
      </c>
      <c r="E11417" s="4"/>
      <c r="F11417" s="4" t="n">
        <v>25</v>
      </c>
      <c r="G11417" s="4" t="n">
        <v>5</v>
      </c>
      <c r="H11417" s="4" t="n">
        <v>4</v>
      </c>
      <c r="I11417" s="4" t="str">
        <v>×</v>
      </c>
      <c r="J11417" s="4"/>
      <c r="K11417" s="4"/>
      <c r="L11417" s="4"/>
      <c r="M11417" s="5" t="s">
        <v>6502</v>
      </c>
    </row>
    <row r="11418" customFormat="false" ht="15.75" hidden="false" customHeight="false" outlineLevel="0" collapsed="false">
      <c r="A11418" s="6" t="n">
        <v>46221</v>
      </c>
      <c r="B11418" s="4" t="s">
        <v>1091</v>
      </c>
      <c r="C11418" s="4" t="n">
        <v>12</v>
      </c>
      <c r="D11418" s="4" t="n">
        <v>1</v>
      </c>
      <c r="E11418" s="4"/>
      <c r="F11418" s="4" t="n">
        <v>4</v>
      </c>
      <c r="G11418" s="4" t="n">
        <v>14</v>
      </c>
      <c r="H11418" s="4" t="n">
        <v>4</v>
      </c>
      <c r="I11418" s="4" t="str">
        <v>×</v>
      </c>
      <c r="J11418" s="4"/>
      <c r="K11418" s="4"/>
      <c r="L11418" s="4"/>
      <c r="M11418" s="5" t="s">
        <v>6502</v>
      </c>
    </row>
    <row r="11419" customFormat="false" ht="15.75" hidden="false" customHeight="false" outlineLevel="0" collapsed="false">
      <c r="A11419" s="6" t="n">
        <v>46221</v>
      </c>
      <c r="B11419" s="4" t="s">
        <v>1091</v>
      </c>
      <c r="C11419" s="4" t="n">
        <v>12</v>
      </c>
      <c r="D11419" s="4" t="n">
        <v>2</v>
      </c>
      <c r="E11419" s="4"/>
      <c r="F11419" s="4" t="n">
        <v>10</v>
      </c>
      <c r="G11419" s="4" t="n">
        <v>13</v>
      </c>
      <c r="H11419" s="4" t="n">
        <v>4</v>
      </c>
      <c r="I11419" s="4" t="str">
        <v>×</v>
      </c>
      <c r="J11419" s="4"/>
      <c r="K11419" s="4"/>
      <c r="L11419" s="4"/>
      <c r="M11419" s="5" t="s">
        <v>6502</v>
      </c>
    </row>
    <row r="11420" customFormat="false" ht="15.75" hidden="false" customHeight="false" outlineLevel="0" collapsed="false">
      <c r="A11420" s="6" t="n">
        <v>46221</v>
      </c>
      <c r="B11420" s="4" t="s">
        <v>1091</v>
      </c>
      <c r="C11420" s="4" t="n">
        <v>12</v>
      </c>
      <c r="D11420" s="4" t="n">
        <v>3</v>
      </c>
      <c r="E11420" s="4"/>
      <c r="F11420" s="4" t="n">
        <v>20</v>
      </c>
      <c r="G11420" s="4" t="n">
        <v>7</v>
      </c>
      <c r="H11420" s="4" t="n">
        <v>4</v>
      </c>
      <c r="I11420" s="4" t="str">
        <v>×</v>
      </c>
      <c r="J11420" s="4"/>
      <c r="K11420" s="4"/>
      <c r="L11420" s="4"/>
      <c r="M11420" s="5" t="s">
        <v>6502</v>
      </c>
    </row>
    <row r="11421" customFormat="false" ht="15.75" hidden="false" customHeight="false" outlineLevel="0" collapsed="false">
      <c r="A11421" s="6" t="n">
        <v>46221</v>
      </c>
      <c r="B11421" s="4" t="s">
        <v>1091</v>
      </c>
      <c r="C11421" s="4" t="n">
        <v>12</v>
      </c>
      <c r="D11421" s="4" t="n">
        <v>4</v>
      </c>
      <c r="E11421" s="4"/>
      <c r="F11421" s="4" t="n">
        <v>17</v>
      </c>
      <c r="G11421" s="4" t="n">
        <v>8</v>
      </c>
      <c r="H11421" s="4" t="n">
        <v>4</v>
      </c>
      <c r="I11421" s="4" t="str">
        <v>×</v>
      </c>
      <c r="J11421" s="4"/>
      <c r="K11421" s="4"/>
      <c r="L11421" s="4"/>
      <c r="M11421" s="5" t="s">
        <v>6502</v>
      </c>
    </row>
    <row r="11422" customFormat="false" ht="15.75" hidden="false" customHeight="false" outlineLevel="0" collapsed="false">
      <c r="A11422" s="6" t="n">
        <v>46221</v>
      </c>
      <c r="B11422" s="4" t="s">
        <v>1091</v>
      </c>
      <c r="C11422" s="4" t="n">
        <v>12</v>
      </c>
      <c r="D11422" s="4" t="n">
        <v>5</v>
      </c>
      <c r="E11422" s="4"/>
      <c r="F11422" s="4" t="n">
        <v>74</v>
      </c>
      <c r="G11422" s="4" t="n">
        <v>1</v>
      </c>
      <c r="H11422" s="4" t="n">
        <v>1</v>
      </c>
      <c r="I11422" s="4" t="str">
        <v>○</v>
      </c>
      <c r="J11422" s="4" t="n">
        <v>110</v>
      </c>
      <c r="K11422" s="4"/>
      <c r="L11422" s="4"/>
      <c r="M11422" s="5" t="s">
        <v>6502</v>
      </c>
    </row>
    <row r="11423" customFormat="false" ht="15.75" hidden="false" customHeight="false" outlineLevel="0" collapsed="false">
      <c r="A11423" s="6" t="n">
        <v>46221</v>
      </c>
      <c r="B11423" s="4" t="s">
        <v>1091</v>
      </c>
      <c r="C11423" s="4" t="n">
        <v>12</v>
      </c>
      <c r="D11423" s="4" t="n">
        <v>6</v>
      </c>
      <c r="E11423" s="4"/>
      <c r="F11423" s="4" t="n">
        <v>37</v>
      </c>
      <c r="G11423" s="4" t="n">
        <v>4</v>
      </c>
      <c r="H11423" s="4" t="n">
        <v>4</v>
      </c>
      <c r="I11423" s="4" t="str">
        <v>×</v>
      </c>
      <c r="J11423" s="4"/>
      <c r="K11423" s="4"/>
      <c r="L11423" s="4"/>
      <c r="M11423" s="5" t="s">
        <v>6502</v>
      </c>
    </row>
    <row r="11424" customFormat="false" ht="15.75" hidden="false" customHeight="false" outlineLevel="0" collapsed="false">
      <c r="A11424" s="6" t="n">
        <v>46221</v>
      </c>
      <c r="B11424" s="4" t="s">
        <v>1091</v>
      </c>
      <c r="C11424" s="4" t="n">
        <v>12</v>
      </c>
      <c r="D11424" s="4" t="n">
        <v>7</v>
      </c>
      <c r="E11424" s="4"/>
      <c r="F11424" s="4" t="n">
        <v>50</v>
      </c>
      <c r="G11424" s="4" t="n">
        <v>2</v>
      </c>
      <c r="H11424" s="4" t="n">
        <v>2</v>
      </c>
      <c r="I11424" s="4" t="str">
        <v>○</v>
      </c>
      <c r="J11424" s="4" t="n">
        <v>180</v>
      </c>
      <c r="K11424" s="4"/>
      <c r="L11424" s="4"/>
      <c r="M11424" s="5" t="s">
        <v>6502</v>
      </c>
    </row>
    <row r="11425" customFormat="false" ht="15.75" hidden="false" customHeight="false" outlineLevel="0" collapsed="false">
      <c r="A11425" s="6" t="n">
        <v>46221</v>
      </c>
      <c r="B11425" s="4" t="s">
        <v>1091</v>
      </c>
      <c r="C11425" s="4" t="n">
        <v>12</v>
      </c>
      <c r="D11425" s="4" t="n">
        <v>8</v>
      </c>
      <c r="E11425" s="4"/>
      <c r="F11425" s="4" t="n">
        <v>15</v>
      </c>
      <c r="G11425" s="4" t="n">
        <v>10</v>
      </c>
      <c r="H11425" s="4" t="n">
        <v>4</v>
      </c>
      <c r="I11425" s="4" t="str">
        <v>×</v>
      </c>
      <c r="J11425" s="4"/>
      <c r="K11425" s="4"/>
      <c r="L11425" s="4"/>
      <c r="M11425" s="5" t="s">
        <v>6502</v>
      </c>
    </row>
    <row r="11426" customFormat="false" ht="15.75" hidden="false" customHeight="false" outlineLevel="0" collapsed="false">
      <c r="A11426" s="6" t="n">
        <v>46221</v>
      </c>
      <c r="B11426" s="4" t="s">
        <v>1091</v>
      </c>
      <c r="C11426" s="4" t="n">
        <v>12</v>
      </c>
      <c r="D11426" s="4" t="n">
        <v>9</v>
      </c>
      <c r="E11426" s="4"/>
      <c r="F11426" s="4" t="n">
        <v>13</v>
      </c>
      <c r="G11426" s="4" t="n">
        <v>11</v>
      </c>
      <c r="H11426" s="4" t="n">
        <v>4</v>
      </c>
      <c r="I11426" s="4" t="str">
        <v>×</v>
      </c>
      <c r="J11426" s="4"/>
      <c r="K11426" s="4"/>
      <c r="L11426" s="4"/>
      <c r="M11426" s="5" t="s">
        <v>6502</v>
      </c>
    </row>
    <row r="11427" customFormat="false" ht="15.75" hidden="false" customHeight="false" outlineLevel="0" collapsed="false">
      <c r="A11427" s="6" t="n">
        <v>46221</v>
      </c>
      <c r="B11427" s="4" t="s">
        <v>1091</v>
      </c>
      <c r="C11427" s="4" t="n">
        <v>12</v>
      </c>
      <c r="D11427" s="4" t="n">
        <v>10</v>
      </c>
      <c r="E11427" s="4"/>
      <c r="F11427" s="4" t="n">
        <v>29</v>
      </c>
      <c r="G11427" s="4" t="n">
        <v>5</v>
      </c>
      <c r="H11427" s="4" t="n">
        <v>4</v>
      </c>
      <c r="I11427" s="4" t="str">
        <v>×</v>
      </c>
      <c r="J11427" s="4"/>
      <c r="K11427" s="4"/>
      <c r="L11427" s="4"/>
      <c r="M11427" s="5" t="s">
        <v>6502</v>
      </c>
    </row>
    <row r="11428" customFormat="false" ht="15.75" hidden="false" customHeight="false" outlineLevel="0" collapsed="false">
      <c r="A11428" s="6" t="n">
        <v>46221</v>
      </c>
      <c r="B11428" s="4" t="s">
        <v>1091</v>
      </c>
      <c r="C11428" s="4" t="n">
        <v>12</v>
      </c>
      <c r="D11428" s="4" t="n">
        <v>11</v>
      </c>
      <c r="E11428" s="4"/>
      <c r="F11428" s="4" t="n">
        <v>17</v>
      </c>
      <c r="G11428" s="4" t="n">
        <v>8</v>
      </c>
      <c r="H11428" s="4" t="n">
        <v>4</v>
      </c>
      <c r="I11428" s="4" t="str">
        <v>×</v>
      </c>
      <c r="J11428" s="4"/>
      <c r="K11428" s="4"/>
      <c r="L11428" s="4"/>
      <c r="M11428" s="5" t="s">
        <v>6502</v>
      </c>
    </row>
    <row r="11429" customFormat="false" ht="15.75" hidden="false" customHeight="false" outlineLevel="0" collapsed="false">
      <c r="A11429" s="6" t="n">
        <v>46221</v>
      </c>
      <c r="B11429" s="4" t="s">
        <v>1091</v>
      </c>
      <c r="C11429" s="4" t="n">
        <v>12</v>
      </c>
      <c r="D11429" s="4" t="n">
        <v>12</v>
      </c>
      <c r="E11429" s="4"/>
      <c r="F11429" s="4" t="n">
        <v>13</v>
      </c>
      <c r="G11429" s="4" t="n">
        <v>11</v>
      </c>
      <c r="H11429" s="4" t="n">
        <v>4</v>
      </c>
      <c r="I11429" s="4" t="str">
        <v>×</v>
      </c>
      <c r="J11429" s="4"/>
      <c r="K11429" s="4"/>
      <c r="L11429" s="4"/>
      <c r="M11429" s="5" t="s">
        <v>6502</v>
      </c>
    </row>
    <row r="11430" customFormat="false" ht="15.75" hidden="false" customHeight="false" outlineLevel="0" collapsed="false">
      <c r="A11430" s="6" t="n">
        <v>46221</v>
      </c>
      <c r="B11430" s="4" t="s">
        <v>1091</v>
      </c>
      <c r="C11430" s="4" t="n">
        <v>12</v>
      </c>
      <c r="D11430" s="4" t="n">
        <v>13</v>
      </c>
      <c r="E11430" s="4"/>
      <c r="F11430" s="4" t="n">
        <v>29</v>
      </c>
      <c r="G11430" s="4" t="n">
        <v>5</v>
      </c>
      <c r="H11430" s="4" t="n">
        <v>4</v>
      </c>
      <c r="I11430" s="4" t="str">
        <v>×</v>
      </c>
      <c r="J11430" s="4"/>
      <c r="K11430" s="4"/>
      <c r="L11430" s="4"/>
      <c r="M11430" s="5" t="s">
        <v>6502</v>
      </c>
    </row>
    <row r="11431" customFormat="false" ht="15.75" hidden="false" customHeight="false" outlineLevel="0" collapsed="false">
      <c r="A11431" s="6" t="n">
        <v>46221</v>
      </c>
      <c r="B11431" s="4" t="s">
        <v>1091</v>
      </c>
      <c r="C11431" s="4" t="n">
        <v>12</v>
      </c>
      <c r="D11431" s="4" t="n">
        <v>14</v>
      </c>
      <c r="E11431" s="4"/>
      <c r="F11431" s="4" t="n">
        <v>47</v>
      </c>
      <c r="G11431" s="4" t="n">
        <v>3</v>
      </c>
      <c r="H11431" s="4" t="n">
        <v>3</v>
      </c>
      <c r="I11431" s="4" t="str">
        <v>○</v>
      </c>
      <c r="J11431" s="4" t="n">
        <v>230</v>
      </c>
      <c r="K11431" s="4"/>
      <c r="L11431" s="4"/>
      <c r="M11431" s="5" t="s">
        <v>6502</v>
      </c>
    </row>
    <row r="11432" customFormat="false" ht="15.75" hidden="false" customHeight="false" outlineLevel="0" collapsed="false">
      <c r="A11432" s="6" t="n">
        <v>46221</v>
      </c>
      <c r="B11432" s="4" t="s">
        <v>915</v>
      </c>
      <c r="C11432" s="4" t="n">
        <v>1</v>
      </c>
      <c r="D11432" s="4" t="n">
        <v>1</v>
      </c>
      <c r="E11432" s="4"/>
      <c r="F11432" s="4" t="n">
        <v>3</v>
      </c>
      <c r="G11432" s="4" t="n">
        <v>12</v>
      </c>
      <c r="H11432" s="4" t="n">
        <v>4</v>
      </c>
      <c r="I11432" s="4" t="str">
        <v>×</v>
      </c>
      <c r="J11432" s="4"/>
      <c r="K11432" s="4"/>
      <c r="L11432" s="4"/>
      <c r="M11432" s="5" t="s">
        <v>6502</v>
      </c>
    </row>
    <row r="11433" customFormat="false" ht="15.75" hidden="false" customHeight="false" outlineLevel="0" collapsed="false">
      <c r="A11433" s="6" t="n">
        <v>46221</v>
      </c>
      <c r="B11433" s="4" t="s">
        <v>915</v>
      </c>
      <c r="C11433" s="4" t="n">
        <v>1</v>
      </c>
      <c r="D11433" s="4" t="n">
        <v>2</v>
      </c>
      <c r="E11433" s="4"/>
      <c r="F11433" s="4" t="n">
        <v>13</v>
      </c>
      <c r="G11433" s="4" t="n">
        <v>6</v>
      </c>
      <c r="H11433" s="4" t="n">
        <v>4</v>
      </c>
      <c r="I11433" s="4" t="str">
        <v>×</v>
      </c>
      <c r="J11433" s="4"/>
      <c r="K11433" s="4"/>
      <c r="L11433" s="4"/>
      <c r="M11433" s="5" t="s">
        <v>6502</v>
      </c>
    </row>
    <row r="11434" customFormat="false" ht="15.75" hidden="false" customHeight="false" outlineLevel="0" collapsed="false">
      <c r="A11434" s="6" t="n">
        <v>46221</v>
      </c>
      <c r="B11434" s="4" t="s">
        <v>915</v>
      </c>
      <c r="C11434" s="4" t="n">
        <v>1</v>
      </c>
      <c r="D11434" s="4" t="n">
        <v>3</v>
      </c>
      <c r="E11434" s="4"/>
      <c r="F11434" s="4" t="n">
        <v>10</v>
      </c>
      <c r="G11434" s="4" t="n">
        <v>8</v>
      </c>
      <c r="H11434" s="4" t="n">
        <v>4</v>
      </c>
      <c r="I11434" s="4" t="str">
        <v>×</v>
      </c>
      <c r="J11434" s="4"/>
      <c r="K11434" s="4"/>
      <c r="L11434" s="4"/>
      <c r="M11434" s="5" t="s">
        <v>6502</v>
      </c>
    </row>
    <row r="11435" customFormat="false" ht="15.75" hidden="false" customHeight="false" outlineLevel="0" collapsed="false">
      <c r="A11435" s="6" t="n">
        <v>46221</v>
      </c>
      <c r="B11435" s="4" t="s">
        <v>915</v>
      </c>
      <c r="C11435" s="4" t="n">
        <v>1</v>
      </c>
      <c r="D11435" s="4" t="n">
        <v>4</v>
      </c>
      <c r="E11435" s="4"/>
      <c r="F11435" s="4" t="n">
        <v>81</v>
      </c>
      <c r="G11435" s="4" t="n">
        <v>1</v>
      </c>
      <c r="H11435" s="4" t="n">
        <v>4</v>
      </c>
      <c r="I11435" s="4" t="str">
        <v>×</v>
      </c>
      <c r="J11435" s="4"/>
      <c r="K11435" s="4"/>
      <c r="L11435" s="4"/>
      <c r="M11435" s="5" t="s">
        <v>6502</v>
      </c>
    </row>
    <row r="11436" customFormat="false" ht="15.75" hidden="false" customHeight="false" outlineLevel="0" collapsed="false">
      <c r="A11436" s="6" t="n">
        <v>46221</v>
      </c>
      <c r="B11436" s="4" t="s">
        <v>915</v>
      </c>
      <c r="C11436" s="4" t="n">
        <v>1</v>
      </c>
      <c r="D11436" s="4" t="n">
        <v>5</v>
      </c>
      <c r="E11436" s="4"/>
      <c r="F11436" s="4" t="n">
        <v>41</v>
      </c>
      <c r="G11436" s="4" t="n">
        <v>3</v>
      </c>
      <c r="H11436" s="4" t="n">
        <v>2</v>
      </c>
      <c r="I11436" s="4" t="str">
        <v>○</v>
      </c>
      <c r="J11436" s="4" t="n">
        <v>330</v>
      </c>
      <c r="K11436" s="4"/>
      <c r="L11436" s="4"/>
      <c r="M11436" s="5" t="s">
        <v>6502</v>
      </c>
    </row>
    <row r="11437" customFormat="false" ht="15.75" hidden="false" customHeight="false" outlineLevel="0" collapsed="false">
      <c r="A11437" s="6" t="n">
        <v>46221</v>
      </c>
      <c r="B11437" s="4" t="s">
        <v>915</v>
      </c>
      <c r="C11437" s="4" t="n">
        <v>1</v>
      </c>
      <c r="D11437" s="4" t="n">
        <v>6</v>
      </c>
      <c r="E11437" s="4"/>
      <c r="F11437" s="4" t="n">
        <v>13</v>
      </c>
      <c r="G11437" s="4" t="n">
        <v>6</v>
      </c>
      <c r="H11437" s="4" t="n">
        <v>4</v>
      </c>
      <c r="I11437" s="4" t="str">
        <v>×</v>
      </c>
      <c r="J11437" s="4"/>
      <c r="K11437" s="4"/>
      <c r="L11437" s="4"/>
      <c r="M11437" s="5" t="s">
        <v>6502</v>
      </c>
    </row>
    <row r="11438" customFormat="false" ht="15.75" hidden="false" customHeight="false" outlineLevel="0" collapsed="false">
      <c r="A11438" s="6" t="n">
        <v>46221</v>
      </c>
      <c r="B11438" s="4" t="s">
        <v>915</v>
      </c>
      <c r="C11438" s="4" t="n">
        <v>1</v>
      </c>
      <c r="D11438" s="4" t="n">
        <v>7</v>
      </c>
      <c r="E11438" s="4"/>
      <c r="F11438" s="4" t="n">
        <v>6</v>
      </c>
      <c r="G11438" s="4" t="n">
        <v>9</v>
      </c>
      <c r="H11438" s="4" t="n">
        <v>4</v>
      </c>
      <c r="I11438" s="4" t="str">
        <v>×</v>
      </c>
      <c r="J11438" s="4"/>
      <c r="K11438" s="4"/>
      <c r="L11438" s="4"/>
      <c r="M11438" s="5" t="s">
        <v>6502</v>
      </c>
    </row>
    <row r="11439" customFormat="false" ht="15.75" hidden="false" customHeight="false" outlineLevel="0" collapsed="false">
      <c r="A11439" s="6" t="n">
        <v>46221</v>
      </c>
      <c r="B11439" s="4" t="s">
        <v>915</v>
      </c>
      <c r="C11439" s="4" t="n">
        <v>1</v>
      </c>
      <c r="D11439" s="4" t="n">
        <v>8</v>
      </c>
      <c r="E11439" s="4"/>
      <c r="F11439" s="4" t="n">
        <v>66</v>
      </c>
      <c r="G11439" s="4" t="n">
        <v>2</v>
      </c>
      <c r="H11439" s="4" t="n">
        <v>3</v>
      </c>
      <c r="I11439" s="4" t="str">
        <v>○</v>
      </c>
      <c r="J11439" s="4" t="n">
        <v>280</v>
      </c>
      <c r="K11439" s="4"/>
      <c r="L11439" s="4"/>
      <c r="M11439" s="5" t="s">
        <v>6502</v>
      </c>
    </row>
    <row r="11440" customFormat="false" ht="15.75" hidden="false" customHeight="false" outlineLevel="0" collapsed="false">
      <c r="A11440" s="6" t="n">
        <v>46221</v>
      </c>
      <c r="B11440" s="4" t="s">
        <v>915</v>
      </c>
      <c r="C11440" s="4" t="n">
        <v>1</v>
      </c>
      <c r="D11440" s="4" t="n">
        <v>9</v>
      </c>
      <c r="E11440" s="4"/>
      <c r="F11440" s="4" t="n">
        <v>6</v>
      </c>
      <c r="G11440" s="4" t="n">
        <v>9</v>
      </c>
      <c r="H11440" s="4" t="n">
        <v>4</v>
      </c>
      <c r="I11440" s="4" t="str">
        <v>×</v>
      </c>
      <c r="J11440" s="4"/>
      <c r="K11440" s="4"/>
      <c r="L11440" s="4"/>
      <c r="M11440" s="5" t="s">
        <v>6502</v>
      </c>
    </row>
    <row r="11441" customFormat="false" ht="15.75" hidden="false" customHeight="false" outlineLevel="0" collapsed="false">
      <c r="A11441" s="6" t="n">
        <v>46221</v>
      </c>
      <c r="B11441" s="4" t="s">
        <v>915</v>
      </c>
      <c r="C11441" s="4" t="n">
        <v>1</v>
      </c>
      <c r="D11441" s="4" t="n">
        <v>10</v>
      </c>
      <c r="E11441" s="4"/>
      <c r="F11441" s="4" t="n">
        <v>4</v>
      </c>
      <c r="G11441" s="4" t="n">
        <v>11</v>
      </c>
      <c r="H11441" s="4" t="n">
        <v>4</v>
      </c>
      <c r="I11441" s="4" t="str">
        <v>×</v>
      </c>
      <c r="J11441" s="4"/>
      <c r="K11441" s="4"/>
      <c r="L11441" s="4"/>
      <c r="M11441" s="5" t="s">
        <v>6502</v>
      </c>
    </row>
    <row r="11442" customFormat="false" ht="15.75" hidden="false" customHeight="false" outlineLevel="0" collapsed="false">
      <c r="A11442" s="6" t="n">
        <v>46221</v>
      </c>
      <c r="B11442" s="4" t="s">
        <v>915</v>
      </c>
      <c r="C11442" s="4" t="n">
        <v>1</v>
      </c>
      <c r="D11442" s="4" t="n">
        <v>11</v>
      </c>
      <c r="E11442" s="4"/>
      <c r="F11442" s="4" t="n">
        <v>17</v>
      </c>
      <c r="G11442" s="4" t="n">
        <v>5</v>
      </c>
      <c r="H11442" s="4" t="n">
        <v>4</v>
      </c>
      <c r="I11442" s="4" t="str">
        <v>×</v>
      </c>
      <c r="J11442" s="4"/>
      <c r="K11442" s="4"/>
      <c r="L11442" s="4"/>
      <c r="M11442" s="5" t="s">
        <v>6502</v>
      </c>
    </row>
    <row r="11443" customFormat="false" ht="15.75" hidden="false" customHeight="false" outlineLevel="0" collapsed="false">
      <c r="A11443" s="6" t="n">
        <v>46221</v>
      </c>
      <c r="B11443" s="4" t="s">
        <v>915</v>
      </c>
      <c r="C11443" s="4" t="n">
        <v>1</v>
      </c>
      <c r="D11443" s="4" t="n">
        <v>12</v>
      </c>
      <c r="E11443" s="4"/>
      <c r="F11443" s="4" t="n">
        <v>37</v>
      </c>
      <c r="G11443" s="4" t="n">
        <v>4</v>
      </c>
      <c r="H11443" s="4" t="n">
        <v>1</v>
      </c>
      <c r="I11443" s="4" t="str">
        <v>○</v>
      </c>
      <c r="J11443" s="4" t="n">
        <v>290</v>
      </c>
      <c r="K11443" s="4"/>
      <c r="L11443" s="4"/>
      <c r="M11443" s="5" t="s">
        <v>6502</v>
      </c>
    </row>
    <row r="11444" customFormat="false" ht="15.75" hidden="false" customHeight="false" outlineLevel="0" collapsed="false">
      <c r="A11444" s="6" t="n">
        <v>46221</v>
      </c>
      <c r="B11444" s="4" t="s">
        <v>915</v>
      </c>
      <c r="C11444" s="4" t="n">
        <v>1</v>
      </c>
      <c r="D11444" s="4" t="n">
        <v>13</v>
      </c>
      <c r="E11444" s="4"/>
      <c r="F11444" s="4" t="n">
        <v>3</v>
      </c>
      <c r="G11444" s="4" t="n">
        <v>12</v>
      </c>
      <c r="H11444" s="4" t="n">
        <v>4</v>
      </c>
      <c r="I11444" s="4" t="str">
        <v>×</v>
      </c>
      <c r="J11444" s="4"/>
      <c r="K11444" s="4"/>
      <c r="L11444" s="4"/>
      <c r="M11444" s="5" t="s">
        <v>6502</v>
      </c>
    </row>
    <row r="11445" customFormat="false" ht="15.75" hidden="false" customHeight="false" outlineLevel="0" collapsed="false">
      <c r="A11445" s="6" t="n">
        <v>46221</v>
      </c>
      <c r="B11445" s="4" t="s">
        <v>915</v>
      </c>
      <c r="C11445" s="4" t="n">
        <v>2</v>
      </c>
      <c r="D11445" s="4" t="n">
        <v>1</v>
      </c>
      <c r="E11445" s="4"/>
      <c r="F11445" s="4" t="n">
        <v>58</v>
      </c>
      <c r="G11445" s="4" t="n">
        <v>2</v>
      </c>
      <c r="H11445" s="4" t="n">
        <v>3</v>
      </c>
      <c r="I11445" s="4" t="str">
        <v>○</v>
      </c>
      <c r="J11445" s="4" t="n">
        <v>110</v>
      </c>
      <c r="K11445" s="4"/>
      <c r="L11445" s="4"/>
      <c r="M11445" s="5" t="s">
        <v>6502</v>
      </c>
    </row>
    <row r="11446" customFormat="false" ht="15.75" hidden="false" customHeight="false" outlineLevel="0" collapsed="false">
      <c r="A11446" s="6" t="n">
        <v>46221</v>
      </c>
      <c r="B11446" s="4" t="s">
        <v>915</v>
      </c>
      <c r="C11446" s="4" t="n">
        <v>2</v>
      </c>
      <c r="D11446" s="4" t="n">
        <v>2</v>
      </c>
      <c r="E11446" s="4"/>
      <c r="F11446" s="4" t="n">
        <v>81</v>
      </c>
      <c r="G11446" s="4" t="n">
        <v>1</v>
      </c>
      <c r="H11446" s="4" t="n">
        <v>1</v>
      </c>
      <c r="I11446" s="4" t="str">
        <v>○</v>
      </c>
      <c r="J11446" s="4" t="n">
        <v>110</v>
      </c>
      <c r="K11446" s="4"/>
      <c r="L11446" s="4"/>
      <c r="M11446" s="5" t="s">
        <v>6502</v>
      </c>
    </row>
    <row r="11447" customFormat="false" ht="15.75" hidden="false" customHeight="false" outlineLevel="0" collapsed="false">
      <c r="A11447" s="6" t="n">
        <v>46221</v>
      </c>
      <c r="B11447" s="4" t="s">
        <v>915</v>
      </c>
      <c r="C11447" s="4" t="n">
        <v>2</v>
      </c>
      <c r="D11447" s="4" t="n">
        <v>3</v>
      </c>
      <c r="E11447" s="4"/>
      <c r="F11447" s="4" t="n">
        <v>39</v>
      </c>
      <c r="G11447" s="4" t="n">
        <v>3</v>
      </c>
      <c r="H11447" s="4" t="n">
        <v>2</v>
      </c>
      <c r="I11447" s="4" t="str">
        <v>○</v>
      </c>
      <c r="J11447" s="4" t="n">
        <v>150</v>
      </c>
      <c r="K11447" s="4"/>
      <c r="L11447" s="4"/>
      <c r="M11447" s="5" t="s">
        <v>6502</v>
      </c>
    </row>
    <row r="11448" customFormat="false" ht="15.75" hidden="false" customHeight="false" outlineLevel="0" collapsed="false">
      <c r="A11448" s="6" t="n">
        <v>46221</v>
      </c>
      <c r="B11448" s="4" t="s">
        <v>915</v>
      </c>
      <c r="C11448" s="4" t="n">
        <v>2</v>
      </c>
      <c r="D11448" s="4" t="n">
        <v>4</v>
      </c>
      <c r="E11448" s="4"/>
      <c r="F11448" s="4" t="n">
        <v>25</v>
      </c>
      <c r="G11448" s="4" t="n">
        <v>4</v>
      </c>
      <c r="H11448" s="4" t="n">
        <v>4</v>
      </c>
      <c r="I11448" s="4" t="str">
        <v>×</v>
      </c>
      <c r="J11448" s="4"/>
      <c r="K11448" s="4"/>
      <c r="L11448" s="4"/>
      <c r="M11448" s="5" t="s">
        <v>6502</v>
      </c>
    </row>
    <row r="11449" customFormat="false" ht="15.75" hidden="false" customHeight="false" outlineLevel="0" collapsed="false">
      <c r="A11449" s="6" t="n">
        <v>46221</v>
      </c>
      <c r="B11449" s="4" t="s">
        <v>915</v>
      </c>
      <c r="C11449" s="4" t="n">
        <v>2</v>
      </c>
      <c r="D11449" s="4" t="n">
        <v>5</v>
      </c>
      <c r="E11449" s="4"/>
      <c r="F11449" s="4" t="n">
        <v>8</v>
      </c>
      <c r="G11449" s="4" t="n">
        <v>8</v>
      </c>
      <c r="H11449" s="4" t="n">
        <v>4</v>
      </c>
      <c r="I11449" s="4" t="str">
        <v>×</v>
      </c>
      <c r="J11449" s="4"/>
      <c r="K11449" s="4"/>
      <c r="L11449" s="4"/>
      <c r="M11449" s="5" t="s">
        <v>6502</v>
      </c>
    </row>
    <row r="11450" customFormat="false" ht="15.75" hidden="false" customHeight="false" outlineLevel="0" collapsed="false">
      <c r="A11450" s="6" t="n">
        <v>46221</v>
      </c>
      <c r="B11450" s="4" t="s">
        <v>915</v>
      </c>
      <c r="C11450" s="4" t="n">
        <v>2</v>
      </c>
      <c r="D11450" s="4" t="n">
        <v>6</v>
      </c>
      <c r="E11450" s="4"/>
      <c r="F11450" s="4" t="n">
        <v>23</v>
      </c>
      <c r="G11450" s="4" t="n">
        <v>5</v>
      </c>
      <c r="H11450" s="4" t="n">
        <v>4</v>
      </c>
      <c r="I11450" s="4" t="str">
        <v>×</v>
      </c>
      <c r="J11450" s="4"/>
      <c r="K11450" s="4"/>
      <c r="L11450" s="4"/>
      <c r="M11450" s="5" t="s">
        <v>6502</v>
      </c>
    </row>
    <row r="11451" customFormat="false" ht="15.75" hidden="false" customHeight="false" outlineLevel="0" collapsed="false">
      <c r="A11451" s="6" t="n">
        <v>46221</v>
      </c>
      <c r="B11451" s="4" t="s">
        <v>915</v>
      </c>
      <c r="C11451" s="4" t="n">
        <v>2</v>
      </c>
      <c r="D11451" s="4" t="n">
        <v>7</v>
      </c>
      <c r="E11451" s="4"/>
      <c r="F11451" s="4" t="n">
        <v>6</v>
      </c>
      <c r="G11451" s="4" t="n">
        <v>9</v>
      </c>
      <c r="H11451" s="4" t="n">
        <v>4</v>
      </c>
      <c r="I11451" s="4" t="str">
        <v>×</v>
      </c>
      <c r="J11451" s="4"/>
      <c r="K11451" s="4"/>
      <c r="L11451" s="4"/>
      <c r="M11451" s="5" t="s">
        <v>6502</v>
      </c>
    </row>
    <row r="11452" customFormat="false" ht="15.75" hidden="false" customHeight="false" outlineLevel="0" collapsed="false">
      <c r="A11452" s="6" t="n">
        <v>46221</v>
      </c>
      <c r="B11452" s="4" t="s">
        <v>915</v>
      </c>
      <c r="C11452" s="4" t="n">
        <v>2</v>
      </c>
      <c r="D11452" s="4" t="n">
        <v>8</v>
      </c>
      <c r="E11452" s="4"/>
      <c r="F11452" s="4" t="n">
        <v>17</v>
      </c>
      <c r="G11452" s="4" t="n">
        <v>6</v>
      </c>
      <c r="H11452" s="4" t="n">
        <v>4</v>
      </c>
      <c r="I11452" s="4" t="str">
        <v>×</v>
      </c>
      <c r="J11452" s="4"/>
      <c r="K11452" s="4"/>
      <c r="L11452" s="4"/>
      <c r="M11452" s="5" t="s">
        <v>6502</v>
      </c>
    </row>
    <row r="11453" customFormat="false" ht="15.75" hidden="false" customHeight="false" outlineLevel="0" collapsed="false">
      <c r="A11453" s="6" t="n">
        <v>46221</v>
      </c>
      <c r="B11453" s="4" t="s">
        <v>915</v>
      </c>
      <c r="C11453" s="4" t="n">
        <v>2</v>
      </c>
      <c r="D11453" s="4" t="n">
        <v>9</v>
      </c>
      <c r="E11453" s="4"/>
      <c r="F11453" s="4" t="n">
        <v>15</v>
      </c>
      <c r="G11453" s="4" t="n">
        <v>7</v>
      </c>
      <c r="H11453" s="4" t="n">
        <v>4</v>
      </c>
      <c r="I11453" s="4" t="str">
        <v>×</v>
      </c>
      <c r="J11453" s="4"/>
      <c r="K11453" s="4"/>
      <c r="L11453" s="4"/>
      <c r="M11453" s="5" t="s">
        <v>6502</v>
      </c>
    </row>
    <row r="11454" customFormat="false" ht="15.75" hidden="false" customHeight="false" outlineLevel="0" collapsed="false">
      <c r="A11454" s="6" t="n">
        <v>46221</v>
      </c>
      <c r="B11454" s="4" t="s">
        <v>915</v>
      </c>
      <c r="C11454" s="4" t="n">
        <v>3</v>
      </c>
      <c r="D11454" s="4" t="n">
        <v>1</v>
      </c>
      <c r="E11454" s="4"/>
      <c r="F11454" s="4" t="n">
        <v>3</v>
      </c>
      <c r="G11454" s="4" t="n">
        <v>12</v>
      </c>
      <c r="H11454" s="4" t="n">
        <v>4</v>
      </c>
      <c r="I11454" s="4" t="str">
        <v>×</v>
      </c>
      <c r="J11454" s="4"/>
      <c r="K11454" s="4"/>
      <c r="L11454" s="4"/>
      <c r="M11454" s="5" t="s">
        <v>6502</v>
      </c>
    </row>
    <row r="11455" customFormat="false" ht="15.75" hidden="false" customHeight="false" outlineLevel="0" collapsed="false">
      <c r="A11455" s="6" t="n">
        <v>46221</v>
      </c>
      <c r="B11455" s="4" t="s">
        <v>915</v>
      </c>
      <c r="C11455" s="4" t="n">
        <v>3</v>
      </c>
      <c r="D11455" s="4" t="n">
        <v>2</v>
      </c>
      <c r="E11455" s="4"/>
      <c r="F11455" s="4" t="n">
        <v>10</v>
      </c>
      <c r="G11455" s="4" t="n">
        <v>7</v>
      </c>
      <c r="H11455" s="4" t="n">
        <v>4</v>
      </c>
      <c r="I11455" s="4" t="str">
        <v>×</v>
      </c>
      <c r="J11455" s="4"/>
      <c r="K11455" s="4"/>
      <c r="L11455" s="4"/>
      <c r="M11455" s="5" t="s">
        <v>6502</v>
      </c>
    </row>
    <row r="11456" customFormat="false" ht="15.75" hidden="false" customHeight="false" outlineLevel="0" collapsed="false">
      <c r="A11456" s="6" t="n">
        <v>46221</v>
      </c>
      <c r="B11456" s="4" t="s">
        <v>915</v>
      </c>
      <c r="C11456" s="4" t="n">
        <v>3</v>
      </c>
      <c r="D11456" s="4" t="n">
        <v>3</v>
      </c>
      <c r="E11456" s="4"/>
      <c r="F11456" s="4" t="n">
        <v>6</v>
      </c>
      <c r="G11456" s="4" t="n">
        <v>8</v>
      </c>
      <c r="H11456" s="4" t="n">
        <v>4</v>
      </c>
      <c r="I11456" s="4" t="str">
        <v>×</v>
      </c>
      <c r="J11456" s="4"/>
      <c r="K11456" s="4"/>
      <c r="L11456" s="4"/>
      <c r="M11456" s="5" t="s">
        <v>6502</v>
      </c>
    </row>
    <row r="11457" customFormat="false" ht="15.75" hidden="false" customHeight="false" outlineLevel="0" collapsed="false">
      <c r="A11457" s="6" t="n">
        <v>46221</v>
      </c>
      <c r="B11457" s="4" t="s">
        <v>915</v>
      </c>
      <c r="C11457" s="4" t="n">
        <v>3</v>
      </c>
      <c r="D11457" s="4" t="n">
        <v>4</v>
      </c>
      <c r="E11457" s="4"/>
      <c r="F11457" s="4" t="n">
        <v>3</v>
      </c>
      <c r="G11457" s="4" t="n">
        <v>12</v>
      </c>
      <c r="H11457" s="4" t="n">
        <v>4</v>
      </c>
      <c r="I11457" s="4" t="str">
        <v>×</v>
      </c>
      <c r="J11457" s="4"/>
      <c r="K11457" s="4"/>
      <c r="L11457" s="4"/>
      <c r="M11457" s="5" t="s">
        <v>6502</v>
      </c>
    </row>
    <row r="11458" customFormat="false" ht="15.75" hidden="false" customHeight="false" outlineLevel="0" collapsed="false">
      <c r="A11458" s="6" t="n">
        <v>46221</v>
      </c>
      <c r="B11458" s="4" t="s">
        <v>915</v>
      </c>
      <c r="C11458" s="4" t="n">
        <v>3</v>
      </c>
      <c r="D11458" s="4" t="n">
        <v>5</v>
      </c>
      <c r="E11458" s="4"/>
      <c r="F11458" s="4" t="n">
        <v>17</v>
      </c>
      <c r="G11458" s="4" t="n">
        <v>5</v>
      </c>
      <c r="H11458" s="4" t="n">
        <v>4</v>
      </c>
      <c r="I11458" s="4" t="str">
        <v>×</v>
      </c>
      <c r="J11458" s="4"/>
      <c r="K11458" s="4"/>
      <c r="L11458" s="4"/>
      <c r="M11458" s="5" t="s">
        <v>6502</v>
      </c>
    </row>
    <row r="11459" customFormat="false" ht="15.75" hidden="false" customHeight="false" outlineLevel="0" collapsed="false">
      <c r="A11459" s="6" t="n">
        <v>46221</v>
      </c>
      <c r="B11459" s="4" t="s">
        <v>915</v>
      </c>
      <c r="C11459" s="4" t="n">
        <v>3</v>
      </c>
      <c r="D11459" s="4" t="n">
        <v>6</v>
      </c>
      <c r="E11459" s="4"/>
      <c r="F11459" s="4" t="n">
        <v>52</v>
      </c>
      <c r="G11459" s="4" t="n">
        <v>2</v>
      </c>
      <c r="H11459" s="4" t="n">
        <v>2</v>
      </c>
      <c r="I11459" s="4" t="str">
        <v>○</v>
      </c>
      <c r="J11459" s="4" t="n">
        <v>120</v>
      </c>
      <c r="K11459" s="4"/>
      <c r="L11459" s="4"/>
      <c r="M11459" s="5" t="s">
        <v>6502</v>
      </c>
    </row>
    <row r="11460" customFormat="false" ht="15.75" hidden="false" customHeight="false" outlineLevel="0" collapsed="false">
      <c r="A11460" s="6" t="n">
        <v>46221</v>
      </c>
      <c r="B11460" s="4" t="s">
        <v>915</v>
      </c>
      <c r="C11460" s="4" t="n">
        <v>3</v>
      </c>
      <c r="D11460" s="4" t="n">
        <v>7</v>
      </c>
      <c r="E11460" s="4"/>
      <c r="F11460" s="4" t="n">
        <v>3</v>
      </c>
      <c r="G11460" s="4" t="n">
        <v>12</v>
      </c>
      <c r="H11460" s="4" t="n">
        <v>4</v>
      </c>
      <c r="I11460" s="4" t="str">
        <v>×</v>
      </c>
      <c r="J11460" s="4"/>
      <c r="K11460" s="4"/>
      <c r="L11460" s="4"/>
      <c r="M11460" s="5" t="s">
        <v>6502</v>
      </c>
    </row>
    <row r="11461" customFormat="false" ht="15.75" hidden="false" customHeight="false" outlineLevel="0" collapsed="false">
      <c r="A11461" s="6" t="n">
        <v>46221</v>
      </c>
      <c r="B11461" s="4" t="s">
        <v>915</v>
      </c>
      <c r="C11461" s="4" t="n">
        <v>3</v>
      </c>
      <c r="D11461" s="4" t="n">
        <v>8</v>
      </c>
      <c r="E11461" s="4"/>
      <c r="F11461" s="4" t="n">
        <v>1</v>
      </c>
      <c r="G11461" s="4" t="n">
        <v>16</v>
      </c>
      <c r="H11461" s="4" t="n">
        <v>4</v>
      </c>
      <c r="I11461" s="4" t="str">
        <v>×</v>
      </c>
      <c r="J11461" s="4"/>
      <c r="K11461" s="4"/>
      <c r="L11461" s="4"/>
      <c r="M11461" s="5" t="s">
        <v>6502</v>
      </c>
    </row>
    <row r="11462" customFormat="false" ht="15.75" hidden="false" customHeight="false" outlineLevel="0" collapsed="false">
      <c r="A11462" s="6" t="n">
        <v>46221</v>
      </c>
      <c r="B11462" s="4" t="s">
        <v>915</v>
      </c>
      <c r="C11462" s="4" t="n">
        <v>3</v>
      </c>
      <c r="D11462" s="4" t="n">
        <v>9</v>
      </c>
      <c r="E11462" s="4"/>
      <c r="F11462" s="4" t="n">
        <v>62</v>
      </c>
      <c r="G11462" s="4" t="n">
        <v>1</v>
      </c>
      <c r="H11462" s="4" t="n">
        <v>3</v>
      </c>
      <c r="I11462" s="4" t="str">
        <v>○</v>
      </c>
      <c r="J11462" s="4" t="n">
        <v>120</v>
      </c>
      <c r="K11462" s="4"/>
      <c r="L11462" s="4"/>
      <c r="M11462" s="5" t="s">
        <v>6502</v>
      </c>
    </row>
    <row r="11463" customFormat="false" ht="15.75" hidden="false" customHeight="false" outlineLevel="0" collapsed="false">
      <c r="A11463" s="6" t="n">
        <v>46221</v>
      </c>
      <c r="B11463" s="4" t="s">
        <v>915</v>
      </c>
      <c r="C11463" s="4" t="n">
        <v>3</v>
      </c>
      <c r="D11463" s="4" t="n">
        <v>10</v>
      </c>
      <c r="E11463" s="4"/>
      <c r="F11463" s="4" t="n">
        <v>3</v>
      </c>
      <c r="G11463" s="4" t="n">
        <v>12</v>
      </c>
      <c r="H11463" s="4" t="n">
        <v>4</v>
      </c>
      <c r="I11463" s="4" t="str">
        <v>×</v>
      </c>
      <c r="J11463" s="4"/>
      <c r="K11463" s="4"/>
      <c r="L11463" s="4"/>
      <c r="M11463" s="5" t="s">
        <v>6502</v>
      </c>
    </row>
    <row r="11464" customFormat="false" ht="15.75" hidden="false" customHeight="false" outlineLevel="0" collapsed="false">
      <c r="A11464" s="6" t="n">
        <v>46221</v>
      </c>
      <c r="B11464" s="4" t="s">
        <v>915</v>
      </c>
      <c r="C11464" s="4" t="n">
        <v>3</v>
      </c>
      <c r="D11464" s="4" t="n">
        <v>11</v>
      </c>
      <c r="E11464" s="4"/>
      <c r="F11464" s="4" t="n">
        <v>4</v>
      </c>
      <c r="G11464" s="4" t="n">
        <v>10</v>
      </c>
      <c r="H11464" s="4" t="n">
        <v>4</v>
      </c>
      <c r="I11464" s="4" t="str">
        <v>×</v>
      </c>
      <c r="J11464" s="4"/>
      <c r="K11464" s="4"/>
      <c r="L11464" s="4"/>
      <c r="M11464" s="5" t="s">
        <v>6502</v>
      </c>
    </row>
    <row r="11465" customFormat="false" ht="15.75" hidden="false" customHeight="false" outlineLevel="0" collapsed="false">
      <c r="A11465" s="6" t="n">
        <v>46221</v>
      </c>
      <c r="B11465" s="4" t="s">
        <v>915</v>
      </c>
      <c r="C11465" s="4" t="n">
        <v>3</v>
      </c>
      <c r="D11465" s="4" t="n">
        <v>12</v>
      </c>
      <c r="E11465" s="4"/>
      <c r="F11465" s="4" t="n">
        <v>4</v>
      </c>
      <c r="G11465" s="4" t="n">
        <v>10</v>
      </c>
      <c r="H11465" s="4" t="n">
        <v>4</v>
      </c>
      <c r="I11465" s="4" t="str">
        <v>×</v>
      </c>
      <c r="J11465" s="4"/>
      <c r="K11465" s="4"/>
      <c r="L11465" s="4"/>
      <c r="M11465" s="5" t="s">
        <v>6502</v>
      </c>
    </row>
    <row r="11466" customFormat="false" ht="15.75" hidden="false" customHeight="false" outlineLevel="0" collapsed="false">
      <c r="A11466" s="6" t="n">
        <v>46221</v>
      </c>
      <c r="B11466" s="4" t="s">
        <v>915</v>
      </c>
      <c r="C11466" s="4" t="n">
        <v>3</v>
      </c>
      <c r="D11466" s="4" t="n">
        <v>13</v>
      </c>
      <c r="E11466" s="4"/>
      <c r="F11466" s="4" t="n">
        <v>34</v>
      </c>
      <c r="G11466" s="4" t="n">
        <v>3</v>
      </c>
      <c r="H11466" s="4" t="n">
        <v>1</v>
      </c>
      <c r="I11466" s="4" t="str">
        <v>○</v>
      </c>
      <c r="J11466" s="4" t="n">
        <v>140</v>
      </c>
      <c r="K11466" s="4"/>
      <c r="L11466" s="4"/>
      <c r="M11466" s="5" t="s">
        <v>6502</v>
      </c>
    </row>
    <row r="11467" customFormat="false" ht="15.75" hidden="false" customHeight="false" outlineLevel="0" collapsed="false">
      <c r="A11467" s="6" t="n">
        <v>46221</v>
      </c>
      <c r="B11467" s="4" t="s">
        <v>915</v>
      </c>
      <c r="C11467" s="4" t="n">
        <v>3</v>
      </c>
      <c r="D11467" s="4" t="n">
        <v>14</v>
      </c>
      <c r="E11467" s="4"/>
      <c r="F11467" s="4" t="n">
        <v>6</v>
      </c>
      <c r="G11467" s="4" t="n">
        <v>8</v>
      </c>
      <c r="H11467" s="4" t="n">
        <v>4</v>
      </c>
      <c r="I11467" s="4" t="str">
        <v>×</v>
      </c>
      <c r="J11467" s="4"/>
      <c r="K11467" s="4"/>
      <c r="L11467" s="4"/>
      <c r="M11467" s="5" t="s">
        <v>6502</v>
      </c>
    </row>
    <row r="11468" customFormat="false" ht="15.75" hidden="false" customHeight="false" outlineLevel="0" collapsed="false">
      <c r="A11468" s="6" t="n">
        <v>46221</v>
      </c>
      <c r="B11468" s="4" t="s">
        <v>915</v>
      </c>
      <c r="C11468" s="4" t="n">
        <v>3</v>
      </c>
      <c r="D11468" s="4" t="n">
        <v>15</v>
      </c>
      <c r="E11468" s="4"/>
      <c r="F11468" s="4" t="n">
        <v>29</v>
      </c>
      <c r="G11468" s="4" t="n">
        <v>4</v>
      </c>
      <c r="H11468" s="4" t="n">
        <v>4</v>
      </c>
      <c r="I11468" s="4" t="str">
        <v>×</v>
      </c>
      <c r="J11468" s="4"/>
      <c r="K11468" s="4"/>
      <c r="L11468" s="4"/>
      <c r="M11468" s="5" t="s">
        <v>6502</v>
      </c>
    </row>
    <row r="11469" customFormat="false" ht="15.75" hidden="false" customHeight="false" outlineLevel="0" collapsed="false">
      <c r="A11469" s="6" t="n">
        <v>46221</v>
      </c>
      <c r="B11469" s="4" t="s">
        <v>915</v>
      </c>
      <c r="C11469" s="4" t="n">
        <v>3</v>
      </c>
      <c r="D11469" s="4" t="n">
        <v>16</v>
      </c>
      <c r="E11469" s="4"/>
      <c r="F11469" s="4" t="n">
        <v>17</v>
      </c>
      <c r="G11469" s="4" t="n">
        <v>5</v>
      </c>
      <c r="H11469" s="4" t="n">
        <v>4</v>
      </c>
      <c r="I11469" s="4" t="str">
        <v>×</v>
      </c>
      <c r="J11469" s="4"/>
      <c r="K11469" s="4"/>
      <c r="L11469" s="4"/>
      <c r="M11469" s="5" t="s">
        <v>6502</v>
      </c>
    </row>
    <row r="11470" customFormat="false" ht="15.75" hidden="false" customHeight="false" outlineLevel="0" collapsed="false">
      <c r="A11470" s="6" t="n">
        <v>46221</v>
      </c>
      <c r="B11470" s="4" t="s">
        <v>915</v>
      </c>
      <c r="C11470" s="4" t="n">
        <v>4</v>
      </c>
      <c r="D11470" s="4" t="n">
        <v>1</v>
      </c>
      <c r="E11470" s="4"/>
      <c r="F11470" s="4" t="n">
        <v>3</v>
      </c>
      <c r="G11470" s="4" t="n">
        <v>13</v>
      </c>
      <c r="H11470" s="4" t="n">
        <v>4</v>
      </c>
      <c r="I11470" s="4" t="str">
        <v>×</v>
      </c>
      <c r="J11470" s="4"/>
      <c r="K11470" s="4"/>
      <c r="L11470" s="4"/>
      <c r="M11470" s="5" t="s">
        <v>6502</v>
      </c>
    </row>
    <row r="11471" customFormat="false" ht="15.75" hidden="false" customHeight="false" outlineLevel="0" collapsed="false">
      <c r="A11471" s="6" t="n">
        <v>46221</v>
      </c>
      <c r="B11471" s="4" t="s">
        <v>915</v>
      </c>
      <c r="C11471" s="4" t="n">
        <v>4</v>
      </c>
      <c r="D11471" s="4" t="n">
        <v>2</v>
      </c>
      <c r="E11471" s="4"/>
      <c r="F11471" s="4" t="n">
        <v>44</v>
      </c>
      <c r="G11471" s="4" t="n">
        <v>2</v>
      </c>
      <c r="H11471" s="4" t="n">
        <v>4</v>
      </c>
      <c r="I11471" s="4" t="str">
        <v>×</v>
      </c>
      <c r="J11471" s="4"/>
      <c r="K11471" s="4"/>
      <c r="L11471" s="4"/>
      <c r="M11471" s="5" t="s">
        <v>6502</v>
      </c>
    </row>
    <row r="11472" customFormat="false" ht="15.75" hidden="false" customHeight="false" outlineLevel="0" collapsed="false">
      <c r="A11472" s="6" t="n">
        <v>46221</v>
      </c>
      <c r="B11472" s="4" t="s">
        <v>915</v>
      </c>
      <c r="C11472" s="4" t="n">
        <v>4</v>
      </c>
      <c r="D11472" s="4" t="n">
        <v>3</v>
      </c>
      <c r="E11472" s="4"/>
      <c r="F11472" s="4" t="n">
        <v>66</v>
      </c>
      <c r="G11472" s="4" t="n">
        <v>1</v>
      </c>
      <c r="H11472" s="4" t="n">
        <v>4</v>
      </c>
      <c r="I11472" s="4" t="str">
        <v>×</v>
      </c>
      <c r="J11472" s="4"/>
      <c r="K11472" s="4"/>
      <c r="L11472" s="4"/>
      <c r="M11472" s="5" t="s">
        <v>6502</v>
      </c>
    </row>
    <row r="11473" customFormat="false" ht="15.75" hidden="false" customHeight="false" outlineLevel="0" collapsed="false">
      <c r="A11473" s="6" t="n">
        <v>46221</v>
      </c>
      <c r="B11473" s="4" t="s">
        <v>915</v>
      </c>
      <c r="C11473" s="4" t="n">
        <v>4</v>
      </c>
      <c r="D11473" s="4" t="n">
        <v>4</v>
      </c>
      <c r="E11473" s="4"/>
      <c r="F11473" s="4" t="n">
        <v>23</v>
      </c>
      <c r="G11473" s="4" t="n">
        <v>7</v>
      </c>
      <c r="H11473" s="4" t="n">
        <v>2</v>
      </c>
      <c r="I11473" s="4" t="str">
        <v>○</v>
      </c>
      <c r="J11473" s="4" t="n">
        <v>290</v>
      </c>
      <c r="K11473" s="4"/>
      <c r="L11473" s="4"/>
      <c r="M11473" s="5" t="s">
        <v>6502</v>
      </c>
    </row>
    <row r="11474" customFormat="false" ht="15.75" hidden="false" customHeight="false" outlineLevel="0" collapsed="false">
      <c r="A11474" s="6" t="n">
        <v>46221</v>
      </c>
      <c r="B11474" s="4" t="s">
        <v>915</v>
      </c>
      <c r="C11474" s="4" t="n">
        <v>4</v>
      </c>
      <c r="D11474" s="4" t="n">
        <v>5</v>
      </c>
      <c r="E11474" s="4"/>
      <c r="F11474" s="4" t="n">
        <v>2</v>
      </c>
      <c r="G11474" s="4" t="n">
        <v>15</v>
      </c>
      <c r="H11474" s="4" t="n">
        <v>4</v>
      </c>
      <c r="I11474" s="4" t="str">
        <v>×</v>
      </c>
      <c r="J11474" s="4"/>
      <c r="K11474" s="4"/>
      <c r="L11474" s="4"/>
      <c r="M11474" s="5" t="s">
        <v>6502</v>
      </c>
    </row>
    <row r="11475" customFormat="false" ht="15.75" hidden="false" customHeight="false" outlineLevel="0" collapsed="false">
      <c r="A11475" s="6" t="n">
        <v>46221</v>
      </c>
      <c r="B11475" s="4" t="s">
        <v>915</v>
      </c>
      <c r="C11475" s="4" t="n">
        <v>4</v>
      </c>
      <c r="D11475" s="4" t="n">
        <v>6</v>
      </c>
      <c r="E11475" s="4"/>
      <c r="F11475" s="4" t="n">
        <v>31</v>
      </c>
      <c r="G11475" s="4" t="n">
        <v>4</v>
      </c>
      <c r="H11475" s="4" t="n">
        <v>4</v>
      </c>
      <c r="I11475" s="4" t="str">
        <v>×</v>
      </c>
      <c r="J11475" s="4"/>
      <c r="K11475" s="4"/>
      <c r="L11475" s="4"/>
      <c r="M11475" s="5" t="s">
        <v>6502</v>
      </c>
    </row>
    <row r="11476" customFormat="false" ht="15.75" hidden="false" customHeight="false" outlineLevel="0" collapsed="false">
      <c r="A11476" s="6" t="n">
        <v>46221</v>
      </c>
      <c r="B11476" s="4" t="s">
        <v>915</v>
      </c>
      <c r="C11476" s="4" t="n">
        <v>4</v>
      </c>
      <c r="D11476" s="4" t="n">
        <v>7</v>
      </c>
      <c r="E11476" s="4"/>
      <c r="F11476" s="4" t="n">
        <v>13</v>
      </c>
      <c r="G11476" s="4" t="n">
        <v>9</v>
      </c>
      <c r="H11476" s="4" t="n">
        <v>4</v>
      </c>
      <c r="I11476" s="4" t="str">
        <v>×</v>
      </c>
      <c r="J11476" s="4"/>
      <c r="K11476" s="4"/>
      <c r="L11476" s="4"/>
      <c r="M11476" s="5" t="s">
        <v>6502</v>
      </c>
    </row>
    <row r="11477" customFormat="false" ht="15.75" hidden="false" customHeight="false" outlineLevel="0" collapsed="false">
      <c r="A11477" s="6" t="n">
        <v>46221</v>
      </c>
      <c r="B11477" s="4" t="s">
        <v>915</v>
      </c>
      <c r="C11477" s="4" t="n">
        <v>4</v>
      </c>
      <c r="D11477" s="4" t="n">
        <v>8</v>
      </c>
      <c r="E11477" s="4"/>
      <c r="F11477" s="4" t="n">
        <v>10</v>
      </c>
      <c r="G11477" s="4" t="n">
        <v>10</v>
      </c>
      <c r="H11477" s="4" t="n">
        <v>4</v>
      </c>
      <c r="I11477" s="4" t="str">
        <v>×</v>
      </c>
      <c r="J11477" s="4"/>
      <c r="K11477" s="4"/>
      <c r="L11477" s="4"/>
      <c r="M11477" s="5" t="s">
        <v>6502</v>
      </c>
    </row>
    <row r="11478" customFormat="false" ht="15.75" hidden="false" customHeight="false" outlineLevel="0" collapsed="false">
      <c r="A11478" s="6" t="n">
        <v>46221</v>
      </c>
      <c r="B11478" s="4" t="s">
        <v>915</v>
      </c>
      <c r="C11478" s="4" t="n">
        <v>4</v>
      </c>
      <c r="D11478" s="4" t="n">
        <v>9</v>
      </c>
      <c r="E11478" s="4"/>
      <c r="F11478" s="4" t="n">
        <v>15</v>
      </c>
      <c r="G11478" s="4" t="n">
        <v>8</v>
      </c>
      <c r="H11478" s="4" t="n">
        <v>3</v>
      </c>
      <c r="I11478" s="4" t="str">
        <v>○</v>
      </c>
      <c r="J11478" s="4" t="n">
        <v>400</v>
      </c>
      <c r="K11478" s="4"/>
      <c r="L11478" s="4"/>
      <c r="M11478" s="5" t="s">
        <v>6502</v>
      </c>
    </row>
    <row r="11479" customFormat="false" ht="15.75" hidden="false" customHeight="false" outlineLevel="0" collapsed="false">
      <c r="A11479" s="6" t="n">
        <v>46221</v>
      </c>
      <c r="B11479" s="4" t="s">
        <v>915</v>
      </c>
      <c r="C11479" s="4" t="n">
        <v>4</v>
      </c>
      <c r="D11479" s="4" t="n">
        <v>10</v>
      </c>
      <c r="E11479" s="4"/>
      <c r="F11479" s="4" t="n">
        <v>25</v>
      </c>
      <c r="G11479" s="4" t="n">
        <v>6</v>
      </c>
      <c r="H11479" s="4" t="n">
        <v>4</v>
      </c>
      <c r="I11479" s="4" t="str">
        <v>×</v>
      </c>
      <c r="J11479" s="4"/>
      <c r="K11479" s="4"/>
      <c r="L11479" s="4"/>
      <c r="M11479" s="5" t="s">
        <v>6502</v>
      </c>
    </row>
    <row r="11480" customFormat="false" ht="15.75" hidden="false" customHeight="false" outlineLevel="0" collapsed="false">
      <c r="A11480" s="6" t="n">
        <v>46221</v>
      </c>
      <c r="B11480" s="4" t="s">
        <v>915</v>
      </c>
      <c r="C11480" s="4" t="n">
        <v>4</v>
      </c>
      <c r="D11480" s="4" t="n">
        <v>11</v>
      </c>
      <c r="E11480" s="4"/>
      <c r="F11480" s="4" t="n">
        <v>39</v>
      </c>
      <c r="G11480" s="4" t="n">
        <v>3</v>
      </c>
      <c r="H11480" s="4" t="n">
        <v>4</v>
      </c>
      <c r="I11480" s="4" t="str">
        <v>×</v>
      </c>
      <c r="J11480" s="4"/>
      <c r="K11480" s="4"/>
      <c r="L11480" s="4"/>
      <c r="M11480" s="5" t="s">
        <v>6502</v>
      </c>
    </row>
    <row r="11481" customFormat="false" ht="15.75" hidden="false" customHeight="false" outlineLevel="0" collapsed="false">
      <c r="A11481" s="6" t="n">
        <v>46221</v>
      </c>
      <c r="B11481" s="4" t="s">
        <v>915</v>
      </c>
      <c r="C11481" s="4" t="n">
        <v>4</v>
      </c>
      <c r="D11481" s="4" t="n">
        <v>12</v>
      </c>
      <c r="E11481" s="4"/>
      <c r="F11481" s="4" t="n">
        <v>29</v>
      </c>
      <c r="G11481" s="4" t="n">
        <v>5</v>
      </c>
      <c r="H11481" s="4" t="n">
        <v>1</v>
      </c>
      <c r="I11481" s="4" t="str">
        <v>○</v>
      </c>
      <c r="J11481" s="4" t="n">
        <v>170</v>
      </c>
      <c r="K11481" s="4"/>
      <c r="L11481" s="4"/>
      <c r="M11481" s="5" t="s">
        <v>6502</v>
      </c>
    </row>
    <row r="11482" customFormat="false" ht="15.75" hidden="false" customHeight="false" outlineLevel="0" collapsed="false">
      <c r="A11482" s="6" t="n">
        <v>46221</v>
      </c>
      <c r="B11482" s="4" t="s">
        <v>915</v>
      </c>
      <c r="C11482" s="4" t="n">
        <v>4</v>
      </c>
      <c r="D11482" s="4" t="n">
        <v>13</v>
      </c>
      <c r="E11482" s="4"/>
      <c r="F11482" s="4" t="n">
        <v>8</v>
      </c>
      <c r="G11482" s="4" t="n">
        <v>11</v>
      </c>
      <c r="H11482" s="4" t="n">
        <v>4</v>
      </c>
      <c r="I11482" s="4" t="str">
        <v>×</v>
      </c>
      <c r="J11482" s="4"/>
      <c r="K11482" s="4"/>
      <c r="L11482" s="4"/>
      <c r="M11482" s="5" t="s">
        <v>6502</v>
      </c>
    </row>
    <row r="11483" customFormat="false" ht="15.75" hidden="false" customHeight="false" outlineLevel="0" collapsed="false">
      <c r="A11483" s="6" t="n">
        <v>46221</v>
      </c>
      <c r="B11483" s="4" t="s">
        <v>915</v>
      </c>
      <c r="C11483" s="4" t="n">
        <v>4</v>
      </c>
      <c r="D11483" s="4" t="n">
        <v>14</v>
      </c>
      <c r="E11483" s="4"/>
      <c r="F11483" s="4" t="n">
        <v>2</v>
      </c>
      <c r="G11483" s="4" t="n">
        <v>15</v>
      </c>
      <c r="H11483" s="4" t="n">
        <v>4</v>
      </c>
      <c r="I11483" s="4" t="str">
        <v>×</v>
      </c>
      <c r="J11483" s="4"/>
      <c r="K11483" s="4"/>
      <c r="L11483" s="4"/>
      <c r="M11483" s="5" t="s">
        <v>6502</v>
      </c>
    </row>
    <row r="11484" customFormat="false" ht="15.75" hidden="false" customHeight="false" outlineLevel="0" collapsed="false">
      <c r="A11484" s="6" t="n">
        <v>46221</v>
      </c>
      <c r="B11484" s="4" t="s">
        <v>915</v>
      </c>
      <c r="C11484" s="4" t="n">
        <v>4</v>
      </c>
      <c r="D11484" s="4" t="n">
        <v>15</v>
      </c>
      <c r="E11484" s="4"/>
      <c r="F11484" s="4" t="n">
        <v>4</v>
      </c>
      <c r="G11484" s="4" t="n">
        <v>12</v>
      </c>
      <c r="H11484" s="4" t="n">
        <v>4</v>
      </c>
      <c r="I11484" s="4" t="str">
        <v>×</v>
      </c>
      <c r="J11484" s="4"/>
      <c r="K11484" s="4"/>
      <c r="L11484" s="4"/>
      <c r="M11484" s="5" t="s">
        <v>6502</v>
      </c>
    </row>
    <row r="11485" customFormat="false" ht="15.75" hidden="false" customHeight="false" outlineLevel="0" collapsed="false">
      <c r="A11485" s="6" t="n">
        <v>46221</v>
      </c>
      <c r="B11485" s="4" t="s">
        <v>915</v>
      </c>
      <c r="C11485" s="4" t="n">
        <v>4</v>
      </c>
      <c r="D11485" s="4" t="n">
        <v>16</v>
      </c>
      <c r="E11485" s="4"/>
      <c r="F11485" s="4" t="n">
        <v>3</v>
      </c>
      <c r="G11485" s="4" t="n">
        <v>13</v>
      </c>
      <c r="H11485" s="4" t="n">
        <v>4</v>
      </c>
      <c r="I11485" s="4" t="str">
        <v>×</v>
      </c>
      <c r="J11485" s="4"/>
      <c r="K11485" s="4"/>
      <c r="L11485" s="4"/>
      <c r="M11485" s="5" t="s">
        <v>6502</v>
      </c>
    </row>
    <row r="11486" customFormat="false" ht="15.75" hidden="false" customHeight="false" outlineLevel="0" collapsed="false">
      <c r="A11486" s="6" t="n">
        <v>46221</v>
      </c>
      <c r="B11486" s="4" t="s">
        <v>915</v>
      </c>
      <c r="C11486" s="4" t="n">
        <v>5</v>
      </c>
      <c r="D11486" s="4" t="n">
        <v>1</v>
      </c>
      <c r="E11486" s="4"/>
      <c r="F11486" s="4" t="n">
        <v>27</v>
      </c>
      <c r="G11486" s="4" t="n">
        <v>2</v>
      </c>
      <c r="H11486" s="4" t="n">
        <v>3</v>
      </c>
      <c r="I11486" s="4" t="str">
        <v>○</v>
      </c>
      <c r="J11486" s="4" t="n">
        <v>190</v>
      </c>
      <c r="K11486" s="4"/>
      <c r="L11486" s="4"/>
      <c r="M11486" s="5" t="s">
        <v>6502</v>
      </c>
    </row>
    <row r="11487" customFormat="false" ht="15.75" hidden="false" customHeight="false" outlineLevel="0" collapsed="false">
      <c r="A11487" s="6" t="n">
        <v>46221</v>
      </c>
      <c r="B11487" s="4" t="s">
        <v>915</v>
      </c>
      <c r="C11487" s="4" t="n">
        <v>5</v>
      </c>
      <c r="D11487" s="4" t="n">
        <v>2</v>
      </c>
      <c r="E11487" s="4"/>
      <c r="F11487" s="4" t="n">
        <v>27</v>
      </c>
      <c r="G11487" s="4" t="n">
        <v>2</v>
      </c>
      <c r="H11487" s="4" t="n">
        <v>1</v>
      </c>
      <c r="I11487" s="4" t="str">
        <v>○</v>
      </c>
      <c r="J11487" s="4" t="n">
        <v>140</v>
      </c>
      <c r="K11487" s="4"/>
      <c r="L11487" s="4"/>
      <c r="M11487" s="5" t="s">
        <v>6502</v>
      </c>
    </row>
    <row r="11488" customFormat="false" ht="15.75" hidden="false" customHeight="false" outlineLevel="0" collapsed="false">
      <c r="A11488" s="6" t="n">
        <v>46221</v>
      </c>
      <c r="B11488" s="4" t="s">
        <v>915</v>
      </c>
      <c r="C11488" s="4" t="n">
        <v>5</v>
      </c>
      <c r="D11488" s="4" t="n">
        <v>3</v>
      </c>
      <c r="E11488" s="4"/>
      <c r="F11488" s="4" t="n">
        <v>27</v>
      </c>
      <c r="G11488" s="4" t="n">
        <v>2</v>
      </c>
      <c r="H11488" s="4" t="n">
        <v>4</v>
      </c>
      <c r="I11488" s="4" t="str">
        <v>×</v>
      </c>
      <c r="J11488" s="4"/>
      <c r="K11488" s="4"/>
      <c r="L11488" s="4"/>
      <c r="M11488" s="5" t="s">
        <v>6502</v>
      </c>
    </row>
    <row r="11489" customFormat="false" ht="15.75" hidden="false" customHeight="false" outlineLevel="0" collapsed="false">
      <c r="A11489" s="6" t="n">
        <v>46221</v>
      </c>
      <c r="B11489" s="4" t="s">
        <v>915</v>
      </c>
      <c r="C11489" s="4" t="n">
        <v>5</v>
      </c>
      <c r="D11489" s="4" t="n">
        <v>4</v>
      </c>
      <c r="E11489" s="4"/>
      <c r="F11489" s="4" t="n">
        <v>12</v>
      </c>
      <c r="G11489" s="4" t="n">
        <v>9</v>
      </c>
      <c r="H11489" s="4" t="n">
        <v>4</v>
      </c>
      <c r="I11489" s="4" t="str">
        <v>×</v>
      </c>
      <c r="J11489" s="4"/>
      <c r="K11489" s="4"/>
      <c r="L11489" s="4"/>
      <c r="M11489" s="5" t="s">
        <v>6502</v>
      </c>
    </row>
    <row r="11490" customFormat="false" ht="15.75" hidden="false" customHeight="false" outlineLevel="0" collapsed="false">
      <c r="A11490" s="6" t="n">
        <v>46221</v>
      </c>
      <c r="B11490" s="4" t="s">
        <v>915</v>
      </c>
      <c r="C11490" s="4" t="n">
        <v>5</v>
      </c>
      <c r="D11490" s="4" t="n">
        <v>5</v>
      </c>
      <c r="E11490" s="4"/>
      <c r="F11490" s="4" t="n">
        <v>8</v>
      </c>
      <c r="G11490" s="4" t="n">
        <v>12</v>
      </c>
      <c r="H11490" s="4" t="n">
        <v>4</v>
      </c>
      <c r="I11490" s="4" t="str">
        <v>×</v>
      </c>
      <c r="J11490" s="4"/>
      <c r="K11490" s="4"/>
      <c r="L11490" s="4"/>
      <c r="M11490" s="5" t="s">
        <v>6502</v>
      </c>
    </row>
    <row r="11491" customFormat="false" ht="15.75" hidden="false" customHeight="false" outlineLevel="0" collapsed="false">
      <c r="A11491" s="6" t="n">
        <v>46221</v>
      </c>
      <c r="B11491" s="4" t="s">
        <v>915</v>
      </c>
      <c r="C11491" s="4" t="n">
        <v>5</v>
      </c>
      <c r="D11491" s="4" t="n">
        <v>6</v>
      </c>
      <c r="E11491" s="4"/>
      <c r="F11491" s="4" t="n">
        <v>24</v>
      </c>
      <c r="G11491" s="4" t="n">
        <v>5</v>
      </c>
      <c r="H11491" s="4" t="n">
        <v>4</v>
      </c>
      <c r="I11491" s="4" t="str">
        <v>×</v>
      </c>
      <c r="J11491" s="4"/>
      <c r="K11491" s="4"/>
      <c r="L11491" s="4"/>
      <c r="M11491" s="5" t="s">
        <v>6502</v>
      </c>
    </row>
    <row r="11492" customFormat="false" ht="15.75" hidden="false" customHeight="false" outlineLevel="0" collapsed="false">
      <c r="A11492" s="6" t="n">
        <v>46221</v>
      </c>
      <c r="B11492" s="4" t="s">
        <v>915</v>
      </c>
      <c r="C11492" s="4" t="n">
        <v>5</v>
      </c>
      <c r="D11492" s="4" t="n">
        <v>7</v>
      </c>
      <c r="E11492" s="4"/>
      <c r="F11492" s="4" t="n">
        <v>12</v>
      </c>
      <c r="G11492" s="4" t="n">
        <v>9</v>
      </c>
      <c r="H11492" s="4" t="n">
        <v>4</v>
      </c>
      <c r="I11492" s="4" t="str">
        <v>×</v>
      </c>
      <c r="J11492" s="4"/>
      <c r="K11492" s="4"/>
      <c r="L11492" s="4"/>
      <c r="M11492" s="5" t="s">
        <v>6502</v>
      </c>
    </row>
    <row r="11493" customFormat="false" ht="15.75" hidden="false" customHeight="false" outlineLevel="0" collapsed="false">
      <c r="A11493" s="6" t="n">
        <v>46221</v>
      </c>
      <c r="B11493" s="4" t="s">
        <v>915</v>
      </c>
      <c r="C11493" s="4" t="n">
        <v>5</v>
      </c>
      <c r="D11493" s="4" t="n">
        <v>8</v>
      </c>
      <c r="E11493" s="4"/>
      <c r="F11493" s="4" t="n">
        <v>8</v>
      </c>
      <c r="G11493" s="4" t="n">
        <v>12</v>
      </c>
      <c r="H11493" s="4" t="n">
        <v>4</v>
      </c>
      <c r="I11493" s="4" t="str">
        <v>×</v>
      </c>
      <c r="J11493" s="4"/>
      <c r="K11493" s="4"/>
      <c r="L11493" s="4"/>
      <c r="M11493" s="5" t="s">
        <v>6502</v>
      </c>
    </row>
    <row r="11494" customFormat="false" ht="15.75" hidden="false" customHeight="false" outlineLevel="0" collapsed="false">
      <c r="A11494" s="6" t="n">
        <v>46221</v>
      </c>
      <c r="B11494" s="4" t="s">
        <v>915</v>
      </c>
      <c r="C11494" s="4" t="n">
        <v>5</v>
      </c>
      <c r="D11494" s="4" t="n">
        <v>9</v>
      </c>
      <c r="E11494" s="4"/>
      <c r="F11494" s="4" t="n">
        <v>31</v>
      </c>
      <c r="G11494" s="4" t="n">
        <v>1</v>
      </c>
      <c r="H11494" s="4" t="n">
        <v>4</v>
      </c>
      <c r="I11494" s="4" t="str">
        <v>×</v>
      </c>
      <c r="J11494" s="4"/>
      <c r="K11494" s="4"/>
      <c r="L11494" s="4"/>
      <c r="M11494" s="5" t="s">
        <v>6502</v>
      </c>
    </row>
    <row r="11495" customFormat="false" ht="15.75" hidden="false" customHeight="false" outlineLevel="0" collapsed="false">
      <c r="A11495" s="6" t="n">
        <v>46221</v>
      </c>
      <c r="B11495" s="4" t="s">
        <v>915</v>
      </c>
      <c r="C11495" s="4" t="n">
        <v>5</v>
      </c>
      <c r="D11495" s="4" t="n">
        <v>10</v>
      </c>
      <c r="E11495" s="4"/>
      <c r="F11495" s="4" t="n">
        <v>8</v>
      </c>
      <c r="G11495" s="4" t="n">
        <v>12</v>
      </c>
      <c r="H11495" s="4" t="n">
        <v>4</v>
      </c>
      <c r="I11495" s="4" t="str">
        <v>×</v>
      </c>
      <c r="J11495" s="4"/>
      <c r="K11495" s="4"/>
      <c r="L11495" s="4"/>
      <c r="M11495" s="5" t="s">
        <v>6502</v>
      </c>
    </row>
    <row r="11496" customFormat="false" ht="15.75" hidden="false" customHeight="false" outlineLevel="0" collapsed="false">
      <c r="A11496" s="6" t="n">
        <v>46221</v>
      </c>
      <c r="B11496" s="4" t="s">
        <v>915</v>
      </c>
      <c r="C11496" s="4" t="n">
        <v>5</v>
      </c>
      <c r="D11496" s="4" t="n">
        <v>11</v>
      </c>
      <c r="E11496" s="4"/>
      <c r="F11496" s="4" t="n">
        <v>21</v>
      </c>
      <c r="G11496" s="4" t="n">
        <v>6</v>
      </c>
      <c r="H11496" s="4" t="n">
        <v>4</v>
      </c>
      <c r="I11496" s="4" t="str">
        <v>×</v>
      </c>
      <c r="J11496" s="4"/>
      <c r="K11496" s="4"/>
      <c r="L11496" s="4"/>
      <c r="M11496" s="5" t="s">
        <v>6502</v>
      </c>
    </row>
    <row r="11497" customFormat="false" ht="15.75" hidden="false" customHeight="false" outlineLevel="0" collapsed="false">
      <c r="A11497" s="6" t="n">
        <v>46221</v>
      </c>
      <c r="B11497" s="4" t="s">
        <v>915</v>
      </c>
      <c r="C11497" s="4" t="n">
        <v>5</v>
      </c>
      <c r="D11497" s="4" t="n">
        <v>12</v>
      </c>
      <c r="E11497" s="4"/>
      <c r="F11497" s="4" t="n">
        <v>12</v>
      </c>
      <c r="G11497" s="4" t="n">
        <v>9</v>
      </c>
      <c r="H11497" s="4" t="n">
        <v>4</v>
      </c>
      <c r="I11497" s="4" t="str">
        <v>×</v>
      </c>
      <c r="J11497" s="4"/>
      <c r="K11497" s="4"/>
      <c r="L11497" s="4"/>
      <c r="M11497" s="5" t="s">
        <v>6502</v>
      </c>
    </row>
    <row r="11498" customFormat="false" ht="15.75" hidden="false" customHeight="false" outlineLevel="0" collapsed="false">
      <c r="A11498" s="6" t="n">
        <v>46221</v>
      </c>
      <c r="B11498" s="4" t="s">
        <v>915</v>
      </c>
      <c r="C11498" s="4" t="n">
        <v>5</v>
      </c>
      <c r="D11498" s="4" t="n">
        <v>13</v>
      </c>
      <c r="E11498" s="4"/>
      <c r="F11498" s="4" t="n">
        <v>21</v>
      </c>
      <c r="G11498" s="4" t="n">
        <v>6</v>
      </c>
      <c r="H11498" s="4" t="n">
        <v>2</v>
      </c>
      <c r="I11498" s="4" t="str">
        <v>○</v>
      </c>
      <c r="J11498" s="4" t="n">
        <v>280</v>
      </c>
      <c r="K11498" s="4"/>
      <c r="L11498" s="4"/>
      <c r="M11498" s="5" t="s">
        <v>6502</v>
      </c>
    </row>
    <row r="11499" customFormat="false" ht="15.75" hidden="false" customHeight="false" outlineLevel="0" collapsed="false">
      <c r="A11499" s="6" t="n">
        <v>46221</v>
      </c>
      <c r="B11499" s="4" t="s">
        <v>915</v>
      </c>
      <c r="C11499" s="4" t="n">
        <v>5</v>
      </c>
      <c r="D11499" s="4" t="n">
        <v>14</v>
      </c>
      <c r="E11499" s="4"/>
      <c r="F11499" s="4" t="n">
        <v>8</v>
      </c>
      <c r="G11499" s="4" t="n">
        <v>12</v>
      </c>
      <c r="H11499" s="4" t="n">
        <v>4</v>
      </c>
      <c r="I11499" s="4" t="str">
        <v>×</v>
      </c>
      <c r="J11499" s="4"/>
      <c r="K11499" s="4"/>
      <c r="L11499" s="4"/>
      <c r="M11499" s="5" t="s">
        <v>6502</v>
      </c>
    </row>
    <row r="11500" customFormat="false" ht="15.75" hidden="false" customHeight="false" outlineLevel="0" collapsed="false">
      <c r="A11500" s="6" t="n">
        <v>46221</v>
      </c>
      <c r="B11500" s="4" t="s">
        <v>915</v>
      </c>
      <c r="C11500" s="4" t="n">
        <v>5</v>
      </c>
      <c r="D11500" s="4" t="n">
        <v>15</v>
      </c>
      <c r="E11500" s="4"/>
      <c r="F11500" s="4" t="n">
        <v>16</v>
      </c>
      <c r="G11500" s="4" t="n">
        <v>8</v>
      </c>
      <c r="H11500" s="4" t="n">
        <v>4</v>
      </c>
      <c r="I11500" s="4" t="str">
        <v>×</v>
      </c>
      <c r="J11500" s="4"/>
      <c r="K11500" s="4"/>
      <c r="L11500" s="4"/>
      <c r="M11500" s="5" t="s">
        <v>6502</v>
      </c>
    </row>
    <row r="11501" customFormat="false" ht="15.75" hidden="false" customHeight="false" outlineLevel="0" collapsed="false">
      <c r="A11501" s="6" t="n">
        <v>46221</v>
      </c>
      <c r="B11501" s="4" t="s">
        <v>915</v>
      </c>
      <c r="C11501" s="4" t="n">
        <v>6</v>
      </c>
      <c r="D11501" s="4" t="n">
        <v>1</v>
      </c>
      <c r="E11501" s="4"/>
      <c r="F11501" s="4" t="n">
        <v>58</v>
      </c>
      <c r="G11501" s="4" t="n">
        <v>1</v>
      </c>
      <c r="H11501" s="4" t="n">
        <v>4</v>
      </c>
      <c r="I11501" s="4" t="str">
        <v>×</v>
      </c>
      <c r="J11501" s="4"/>
      <c r="K11501" s="4"/>
      <c r="L11501" s="4"/>
      <c r="M11501" s="5" t="s">
        <v>6502</v>
      </c>
    </row>
    <row r="11502" customFormat="false" ht="15.75" hidden="false" customHeight="false" outlineLevel="0" collapsed="false">
      <c r="A11502" s="6" t="n">
        <v>46221</v>
      </c>
      <c r="B11502" s="4" t="s">
        <v>915</v>
      </c>
      <c r="C11502" s="4" t="n">
        <v>6</v>
      </c>
      <c r="D11502" s="4" t="n">
        <v>2</v>
      </c>
      <c r="E11502" s="4"/>
      <c r="F11502" s="4" t="n">
        <v>31</v>
      </c>
      <c r="G11502" s="4" t="n">
        <v>5</v>
      </c>
      <c r="H11502" s="4" t="n">
        <v>1</v>
      </c>
      <c r="I11502" s="4" t="str">
        <v>○</v>
      </c>
      <c r="J11502" s="4" t="n">
        <v>350</v>
      </c>
      <c r="K11502" s="4"/>
      <c r="L11502" s="4"/>
      <c r="M11502" s="5" t="s">
        <v>6502</v>
      </c>
    </row>
    <row r="11503" customFormat="false" ht="15.75" hidden="false" customHeight="false" outlineLevel="0" collapsed="false">
      <c r="A11503" s="6" t="n">
        <v>46221</v>
      </c>
      <c r="B11503" s="4" t="s">
        <v>915</v>
      </c>
      <c r="C11503" s="4" t="n">
        <v>6</v>
      </c>
      <c r="D11503" s="4" t="n">
        <v>3</v>
      </c>
      <c r="E11503" s="4"/>
      <c r="F11503" s="4" t="n">
        <v>6</v>
      </c>
      <c r="G11503" s="4" t="n">
        <v>11</v>
      </c>
      <c r="H11503" s="4" t="n">
        <v>3</v>
      </c>
      <c r="I11503" s="4" t="str">
        <v>○</v>
      </c>
      <c r="J11503" s="4" t="n">
        <v>2550</v>
      </c>
      <c r="K11503" s="4"/>
      <c r="L11503" s="4"/>
      <c r="M11503" s="5" t="s">
        <v>6502</v>
      </c>
    </row>
    <row r="11504" customFormat="false" ht="15.75" hidden="false" customHeight="false" outlineLevel="0" collapsed="false">
      <c r="A11504" s="6" t="n">
        <v>46221</v>
      </c>
      <c r="B11504" s="4" t="s">
        <v>915</v>
      </c>
      <c r="C11504" s="4" t="n">
        <v>6</v>
      </c>
      <c r="D11504" s="4" t="n">
        <v>4</v>
      </c>
      <c r="E11504" s="4"/>
      <c r="F11504" s="4" t="n">
        <v>8</v>
      </c>
      <c r="G11504" s="4" t="n">
        <v>10</v>
      </c>
      <c r="H11504" s="4" t="n">
        <v>4</v>
      </c>
      <c r="I11504" s="4" t="str">
        <v>×</v>
      </c>
      <c r="J11504" s="4"/>
      <c r="K11504" s="4"/>
      <c r="L11504" s="4"/>
      <c r="M11504" s="5" t="s">
        <v>6502</v>
      </c>
    </row>
    <row r="11505" customFormat="false" ht="15.75" hidden="false" customHeight="false" outlineLevel="0" collapsed="false">
      <c r="A11505" s="6" t="n">
        <v>46221</v>
      </c>
      <c r="B11505" s="4" t="s">
        <v>915</v>
      </c>
      <c r="C11505" s="4" t="n">
        <v>6</v>
      </c>
      <c r="D11505" s="4" t="n">
        <v>5</v>
      </c>
      <c r="E11505" s="4"/>
      <c r="F11505" s="4" t="n">
        <v>41</v>
      </c>
      <c r="G11505" s="4" t="n">
        <v>4</v>
      </c>
      <c r="H11505" s="4" t="n">
        <v>4</v>
      </c>
      <c r="I11505" s="4" t="str">
        <v>×</v>
      </c>
      <c r="J11505" s="4"/>
      <c r="K11505" s="4"/>
      <c r="L11505" s="4"/>
      <c r="M11505" s="5" t="s">
        <v>6502</v>
      </c>
    </row>
    <row r="11506" customFormat="false" ht="15.75" hidden="false" customHeight="false" outlineLevel="0" collapsed="false">
      <c r="A11506" s="6" t="n">
        <v>46221</v>
      </c>
      <c r="B11506" s="4" t="s">
        <v>915</v>
      </c>
      <c r="C11506" s="4" t="n">
        <v>6</v>
      </c>
      <c r="D11506" s="4" t="n">
        <v>6</v>
      </c>
      <c r="E11506" s="4"/>
      <c r="F11506" s="4" t="n">
        <v>3</v>
      </c>
      <c r="G11506" s="4" t="n">
        <v>13</v>
      </c>
      <c r="H11506" s="4" t="n">
        <v>4</v>
      </c>
      <c r="I11506" s="4" t="str">
        <v>×</v>
      </c>
      <c r="J11506" s="4"/>
      <c r="K11506" s="4"/>
      <c r="L11506" s="4"/>
      <c r="M11506" s="5" t="s">
        <v>6502</v>
      </c>
    </row>
    <row r="11507" customFormat="false" ht="15.75" hidden="false" customHeight="false" outlineLevel="0" collapsed="false">
      <c r="A11507" s="6" t="n">
        <v>46221</v>
      </c>
      <c r="B11507" s="4" t="s">
        <v>915</v>
      </c>
      <c r="C11507" s="4" t="n">
        <v>6</v>
      </c>
      <c r="D11507" s="4" t="n">
        <v>7</v>
      </c>
      <c r="E11507" s="4"/>
      <c r="F11507" s="4" t="n">
        <v>15</v>
      </c>
      <c r="G11507" s="4" t="n">
        <v>7</v>
      </c>
      <c r="H11507" s="4" t="n">
        <v>4</v>
      </c>
      <c r="I11507" s="4" t="str">
        <v>×</v>
      </c>
      <c r="J11507" s="4"/>
      <c r="K11507" s="4"/>
      <c r="L11507" s="4"/>
      <c r="M11507" s="5" t="s">
        <v>6502</v>
      </c>
    </row>
    <row r="11508" customFormat="false" ht="15.75" hidden="false" customHeight="false" outlineLevel="0" collapsed="false">
      <c r="A11508" s="6" t="n">
        <v>46221</v>
      </c>
      <c r="B11508" s="4" t="s">
        <v>915</v>
      </c>
      <c r="C11508" s="4" t="n">
        <v>6</v>
      </c>
      <c r="D11508" s="4" t="n">
        <v>8</v>
      </c>
      <c r="E11508" s="4"/>
      <c r="F11508" s="4" t="n">
        <v>3</v>
      </c>
      <c r="G11508" s="4" t="n">
        <v>13</v>
      </c>
      <c r="H11508" s="4" t="n">
        <v>4</v>
      </c>
      <c r="I11508" s="4" t="str">
        <v>×</v>
      </c>
      <c r="J11508" s="4"/>
      <c r="K11508" s="4"/>
      <c r="L11508" s="4"/>
      <c r="M11508" s="5" t="s">
        <v>6502</v>
      </c>
    </row>
    <row r="11509" customFormat="false" ht="15.75" hidden="false" customHeight="false" outlineLevel="0" collapsed="false">
      <c r="A11509" s="6" t="n">
        <v>46221</v>
      </c>
      <c r="B11509" s="4" t="s">
        <v>915</v>
      </c>
      <c r="C11509" s="4" t="n">
        <v>6</v>
      </c>
      <c r="D11509" s="4" t="n">
        <v>9</v>
      </c>
      <c r="E11509" s="4"/>
      <c r="F11509" s="4" t="n">
        <v>10</v>
      </c>
      <c r="G11509" s="4" t="n">
        <v>8</v>
      </c>
      <c r="H11509" s="4" t="n">
        <v>4</v>
      </c>
      <c r="I11509" s="4" t="str">
        <v>×</v>
      </c>
      <c r="J11509" s="4"/>
      <c r="K11509" s="4"/>
      <c r="L11509" s="4"/>
      <c r="M11509" s="5" t="s">
        <v>6502</v>
      </c>
    </row>
    <row r="11510" customFormat="false" ht="15.75" hidden="false" customHeight="false" outlineLevel="0" collapsed="false">
      <c r="A11510" s="6" t="n">
        <v>46221</v>
      </c>
      <c r="B11510" s="4" t="s">
        <v>915</v>
      </c>
      <c r="C11510" s="4" t="n">
        <v>6</v>
      </c>
      <c r="D11510" s="4" t="n">
        <v>10</v>
      </c>
      <c r="E11510" s="4"/>
      <c r="F11510" s="4" t="n">
        <v>10</v>
      </c>
      <c r="G11510" s="4" t="n">
        <v>8</v>
      </c>
      <c r="H11510" s="4" t="n">
        <v>4</v>
      </c>
      <c r="I11510" s="4" t="str">
        <v>×</v>
      </c>
      <c r="J11510" s="4"/>
      <c r="K11510" s="4"/>
      <c r="L11510" s="4"/>
      <c r="M11510" s="5" t="s">
        <v>6502</v>
      </c>
    </row>
    <row r="11511" customFormat="false" ht="15.75" hidden="false" customHeight="false" outlineLevel="0" collapsed="false">
      <c r="A11511" s="6" t="n">
        <v>46221</v>
      </c>
      <c r="B11511" s="4" t="s">
        <v>915</v>
      </c>
      <c r="C11511" s="4" t="n">
        <v>6</v>
      </c>
      <c r="D11511" s="4" t="n">
        <v>11</v>
      </c>
      <c r="E11511" s="4"/>
      <c r="F11511" s="4" t="n">
        <v>6</v>
      </c>
      <c r="G11511" s="4" t="n">
        <v>11</v>
      </c>
      <c r="H11511" s="4" t="n">
        <v>4</v>
      </c>
      <c r="I11511" s="4" t="str">
        <v>×</v>
      </c>
      <c r="J11511" s="4"/>
      <c r="K11511" s="4"/>
      <c r="L11511" s="4"/>
      <c r="M11511" s="5" t="s">
        <v>6502</v>
      </c>
    </row>
    <row r="11512" customFormat="false" ht="15.75" hidden="false" customHeight="false" outlineLevel="0" collapsed="false">
      <c r="A11512" s="6" t="n">
        <v>46221</v>
      </c>
      <c r="B11512" s="4" t="s">
        <v>915</v>
      </c>
      <c r="C11512" s="4" t="n">
        <v>6</v>
      </c>
      <c r="D11512" s="4" t="n">
        <v>12</v>
      </c>
      <c r="E11512" s="4"/>
      <c r="F11512" s="4" t="n">
        <v>50</v>
      </c>
      <c r="G11512" s="4" t="n">
        <v>3</v>
      </c>
      <c r="H11512" s="4" t="n">
        <v>4</v>
      </c>
      <c r="I11512" s="4" t="str">
        <v>×</v>
      </c>
      <c r="J11512" s="4"/>
      <c r="K11512" s="4"/>
      <c r="L11512" s="4"/>
      <c r="M11512" s="5" t="s">
        <v>6502</v>
      </c>
    </row>
    <row r="11513" customFormat="false" ht="15.75" hidden="false" customHeight="false" outlineLevel="0" collapsed="false">
      <c r="A11513" s="6" t="n">
        <v>46221</v>
      </c>
      <c r="B11513" s="4" t="s">
        <v>915</v>
      </c>
      <c r="C11513" s="4" t="n">
        <v>6</v>
      </c>
      <c r="D11513" s="4" t="n">
        <v>13</v>
      </c>
      <c r="E11513" s="4"/>
      <c r="F11513" s="4" t="n">
        <v>20</v>
      </c>
      <c r="G11513" s="4" t="n">
        <v>6</v>
      </c>
      <c r="H11513" s="4" t="n">
        <v>4</v>
      </c>
      <c r="I11513" s="4" t="str">
        <v>×</v>
      </c>
      <c r="J11513" s="4"/>
      <c r="K11513" s="4"/>
      <c r="L11513" s="4"/>
      <c r="M11513" s="5" t="s">
        <v>6502</v>
      </c>
    </row>
    <row r="11514" customFormat="false" ht="15.75" hidden="false" customHeight="false" outlineLevel="0" collapsed="false">
      <c r="A11514" s="6" t="n">
        <v>46221</v>
      </c>
      <c r="B11514" s="4" t="s">
        <v>915</v>
      </c>
      <c r="C11514" s="4" t="n">
        <v>6</v>
      </c>
      <c r="D11514" s="4" t="n">
        <v>14</v>
      </c>
      <c r="E11514" s="4"/>
      <c r="F11514" s="4" t="n">
        <v>3</v>
      </c>
      <c r="G11514" s="4" t="n">
        <v>13</v>
      </c>
      <c r="H11514" s="4" t="n">
        <v>4</v>
      </c>
      <c r="I11514" s="4" t="str">
        <v>×</v>
      </c>
      <c r="J11514" s="4"/>
      <c r="K11514" s="4"/>
      <c r="L11514" s="4"/>
      <c r="M11514" s="5" t="s">
        <v>6502</v>
      </c>
    </row>
    <row r="11515" customFormat="false" ht="15.75" hidden="false" customHeight="false" outlineLevel="0" collapsed="false">
      <c r="A11515" s="6" t="n">
        <v>46221</v>
      </c>
      <c r="B11515" s="4" t="s">
        <v>915</v>
      </c>
      <c r="C11515" s="4" t="n">
        <v>6</v>
      </c>
      <c r="D11515" s="4" t="n">
        <v>15</v>
      </c>
      <c r="E11515" s="4"/>
      <c r="F11515" s="4" t="n">
        <v>56</v>
      </c>
      <c r="G11515" s="4" t="n">
        <v>2</v>
      </c>
      <c r="H11515" s="4" t="n">
        <v>2</v>
      </c>
      <c r="I11515" s="4" t="str">
        <v>○</v>
      </c>
      <c r="J11515" s="4" t="n">
        <v>250</v>
      </c>
      <c r="K11515" s="4"/>
      <c r="L11515" s="4"/>
      <c r="M11515" s="5" t="s">
        <v>6502</v>
      </c>
    </row>
    <row r="11516" customFormat="false" ht="15.75" hidden="false" customHeight="false" outlineLevel="0" collapsed="false">
      <c r="A11516" s="6" t="n">
        <v>46221</v>
      </c>
      <c r="B11516" s="4" t="s">
        <v>915</v>
      </c>
      <c r="C11516" s="4" t="n">
        <v>7</v>
      </c>
      <c r="D11516" s="4" t="n">
        <v>1</v>
      </c>
      <c r="E11516" s="4"/>
      <c r="F11516" s="4" t="n">
        <v>34</v>
      </c>
      <c r="G11516" s="4" t="n">
        <v>4</v>
      </c>
      <c r="H11516" s="4" t="n">
        <v>4</v>
      </c>
      <c r="I11516" s="4" t="str">
        <v>×</v>
      </c>
      <c r="J11516" s="4"/>
      <c r="K11516" s="4"/>
      <c r="L11516" s="4"/>
      <c r="M11516" s="5" t="s">
        <v>6502</v>
      </c>
    </row>
    <row r="11517" customFormat="false" ht="15.75" hidden="false" customHeight="false" outlineLevel="0" collapsed="false">
      <c r="A11517" s="6" t="n">
        <v>46221</v>
      </c>
      <c r="B11517" s="4" t="s">
        <v>915</v>
      </c>
      <c r="C11517" s="4" t="n">
        <v>7</v>
      </c>
      <c r="D11517" s="4" t="n">
        <v>2</v>
      </c>
      <c r="E11517" s="4"/>
      <c r="F11517" s="4" t="n">
        <v>10</v>
      </c>
      <c r="G11517" s="4" t="n">
        <v>11</v>
      </c>
      <c r="H11517" s="4" t="n">
        <v>4</v>
      </c>
      <c r="I11517" s="4" t="str">
        <v>×</v>
      </c>
      <c r="J11517" s="4"/>
      <c r="K11517" s="4"/>
      <c r="L11517" s="4"/>
      <c r="M11517" s="5" t="s">
        <v>6502</v>
      </c>
    </row>
    <row r="11518" customFormat="false" ht="15.75" hidden="false" customHeight="false" outlineLevel="0" collapsed="false">
      <c r="A11518" s="6" t="n">
        <v>46221</v>
      </c>
      <c r="B11518" s="4" t="s">
        <v>915</v>
      </c>
      <c r="C11518" s="4" t="n">
        <v>7</v>
      </c>
      <c r="D11518" s="4" t="n">
        <v>3</v>
      </c>
      <c r="E11518" s="4"/>
      <c r="F11518" s="4" t="n">
        <v>10</v>
      </c>
      <c r="G11518" s="4" t="n">
        <v>11</v>
      </c>
      <c r="H11518" s="4" t="n">
        <v>4</v>
      </c>
      <c r="I11518" s="4" t="str">
        <v>×</v>
      </c>
      <c r="J11518" s="4"/>
      <c r="K11518" s="4"/>
      <c r="L11518" s="4"/>
      <c r="M11518" s="5" t="s">
        <v>6502</v>
      </c>
    </row>
    <row r="11519" customFormat="false" ht="15.75" hidden="false" customHeight="false" outlineLevel="0" collapsed="false">
      <c r="A11519" s="6" t="n">
        <v>46221</v>
      </c>
      <c r="B11519" s="4" t="s">
        <v>915</v>
      </c>
      <c r="C11519" s="4" t="n">
        <v>7</v>
      </c>
      <c r="D11519" s="4" t="n">
        <v>4</v>
      </c>
      <c r="E11519" s="4"/>
      <c r="F11519" s="4" t="n">
        <v>41</v>
      </c>
      <c r="G11519" s="4" t="n">
        <v>3</v>
      </c>
      <c r="H11519" s="4" t="n">
        <v>4</v>
      </c>
      <c r="I11519" s="4" t="str">
        <v>×</v>
      </c>
      <c r="J11519" s="4"/>
      <c r="K11519" s="4"/>
      <c r="L11519" s="4"/>
      <c r="M11519" s="5" t="s">
        <v>6502</v>
      </c>
    </row>
    <row r="11520" customFormat="false" ht="15.75" hidden="false" customHeight="false" outlineLevel="0" collapsed="false">
      <c r="A11520" s="6" t="n">
        <v>46221</v>
      </c>
      <c r="B11520" s="4" t="s">
        <v>915</v>
      </c>
      <c r="C11520" s="4" t="n">
        <v>7</v>
      </c>
      <c r="D11520" s="4" t="n">
        <v>5</v>
      </c>
      <c r="E11520" s="4"/>
      <c r="F11520" s="4" t="n">
        <v>15</v>
      </c>
      <c r="G11520" s="4" t="n">
        <v>7</v>
      </c>
      <c r="H11520" s="4" t="n">
        <v>4</v>
      </c>
      <c r="I11520" s="4" t="str">
        <v>×</v>
      </c>
      <c r="J11520" s="4"/>
      <c r="K11520" s="4"/>
      <c r="L11520" s="4"/>
      <c r="M11520" s="5" t="s">
        <v>6502</v>
      </c>
    </row>
    <row r="11521" customFormat="false" ht="15.75" hidden="false" customHeight="false" outlineLevel="0" collapsed="false">
      <c r="A11521" s="6" t="n">
        <v>46221</v>
      </c>
      <c r="B11521" s="4" t="s">
        <v>915</v>
      </c>
      <c r="C11521" s="4" t="n">
        <v>7</v>
      </c>
      <c r="D11521" s="4" t="n">
        <v>6</v>
      </c>
      <c r="E11521" s="4"/>
      <c r="F11521" s="4" t="n">
        <v>3</v>
      </c>
      <c r="G11521" s="4" t="n">
        <v>15</v>
      </c>
      <c r="H11521" s="4" t="n">
        <v>4</v>
      </c>
      <c r="I11521" s="4" t="str">
        <v>×</v>
      </c>
      <c r="J11521" s="4"/>
      <c r="K11521" s="4"/>
      <c r="L11521" s="4"/>
      <c r="M11521" s="5" t="s">
        <v>6502</v>
      </c>
    </row>
    <row r="11522" customFormat="false" ht="15.75" hidden="false" customHeight="false" outlineLevel="0" collapsed="false">
      <c r="A11522" s="6" t="n">
        <v>46221</v>
      </c>
      <c r="B11522" s="4" t="s">
        <v>915</v>
      </c>
      <c r="C11522" s="4" t="n">
        <v>7</v>
      </c>
      <c r="D11522" s="4" t="n">
        <v>7</v>
      </c>
      <c r="E11522" s="4"/>
      <c r="F11522" s="4" t="n">
        <v>15</v>
      </c>
      <c r="G11522" s="4" t="n">
        <v>7</v>
      </c>
      <c r="H11522" s="4" t="n">
        <v>3</v>
      </c>
      <c r="I11522" s="4" t="str">
        <v>○</v>
      </c>
      <c r="J11522" s="4" t="n">
        <v>490</v>
      </c>
      <c r="K11522" s="4"/>
      <c r="L11522" s="4"/>
      <c r="M11522" s="5" t="s">
        <v>6502</v>
      </c>
    </row>
    <row r="11523" customFormat="false" ht="15.75" hidden="false" customHeight="false" outlineLevel="0" collapsed="false">
      <c r="A11523" s="6" t="n">
        <v>46221</v>
      </c>
      <c r="B11523" s="4" t="s">
        <v>915</v>
      </c>
      <c r="C11523" s="4" t="n">
        <v>7</v>
      </c>
      <c r="D11523" s="4" t="n">
        <v>8</v>
      </c>
      <c r="E11523" s="4"/>
      <c r="F11523" s="4" t="n">
        <v>20</v>
      </c>
      <c r="G11523" s="4" t="n">
        <v>5</v>
      </c>
      <c r="H11523" s="4" t="n">
        <v>4</v>
      </c>
      <c r="I11523" s="4" t="str">
        <v>×</v>
      </c>
      <c r="J11523" s="4"/>
      <c r="K11523" s="4"/>
      <c r="L11523" s="4"/>
      <c r="M11523" s="5" t="s">
        <v>6502</v>
      </c>
    </row>
    <row r="11524" customFormat="false" ht="15.75" hidden="false" customHeight="false" outlineLevel="0" collapsed="false">
      <c r="A11524" s="6" t="n">
        <v>46221</v>
      </c>
      <c r="B11524" s="4" t="s">
        <v>915</v>
      </c>
      <c r="C11524" s="4" t="n">
        <v>7</v>
      </c>
      <c r="D11524" s="4" t="n">
        <v>9</v>
      </c>
      <c r="E11524" s="4"/>
      <c r="F11524" s="4" t="n">
        <v>17</v>
      </c>
      <c r="G11524" s="4" t="n">
        <v>6</v>
      </c>
      <c r="H11524" s="4" t="n">
        <v>4</v>
      </c>
      <c r="I11524" s="4" t="str">
        <v>×</v>
      </c>
      <c r="J11524" s="4"/>
      <c r="K11524" s="4"/>
      <c r="L11524" s="4"/>
      <c r="M11524" s="5" t="s">
        <v>6502</v>
      </c>
    </row>
    <row r="11525" customFormat="false" ht="15.75" hidden="false" customHeight="false" outlineLevel="0" collapsed="false">
      <c r="A11525" s="6" t="n">
        <v>46221</v>
      </c>
      <c r="B11525" s="4" t="s">
        <v>915</v>
      </c>
      <c r="C11525" s="4" t="n">
        <v>7</v>
      </c>
      <c r="D11525" s="4" t="n">
        <v>10</v>
      </c>
      <c r="E11525" s="4"/>
      <c r="F11525" s="4" t="n">
        <v>2</v>
      </c>
      <c r="G11525" s="4" t="n">
        <v>16</v>
      </c>
      <c r="H11525" s="4" t="n">
        <v>4</v>
      </c>
      <c r="I11525" s="4" t="str">
        <v>×</v>
      </c>
      <c r="J11525" s="4"/>
      <c r="K11525" s="4"/>
      <c r="L11525" s="4"/>
      <c r="M11525" s="5" t="s">
        <v>6502</v>
      </c>
    </row>
    <row r="11526" customFormat="false" ht="15.75" hidden="false" customHeight="false" outlineLevel="0" collapsed="false">
      <c r="A11526" s="6" t="n">
        <v>46221</v>
      </c>
      <c r="B11526" s="4" t="s">
        <v>915</v>
      </c>
      <c r="C11526" s="4" t="n">
        <v>7</v>
      </c>
      <c r="D11526" s="4" t="n">
        <v>11</v>
      </c>
      <c r="E11526" s="4"/>
      <c r="F11526" s="4" t="n">
        <v>44</v>
      </c>
      <c r="G11526" s="4" t="n">
        <v>2</v>
      </c>
      <c r="H11526" s="4" t="n">
        <v>1</v>
      </c>
      <c r="I11526" s="4" t="str">
        <v>○</v>
      </c>
      <c r="J11526" s="4" t="n">
        <v>190</v>
      </c>
      <c r="K11526" s="4"/>
      <c r="L11526" s="4"/>
      <c r="M11526" s="5" t="s">
        <v>6502</v>
      </c>
    </row>
    <row r="11527" customFormat="false" ht="15.75" hidden="false" customHeight="false" outlineLevel="0" collapsed="false">
      <c r="A11527" s="6" t="n">
        <v>46221</v>
      </c>
      <c r="B11527" s="4" t="s">
        <v>915</v>
      </c>
      <c r="C11527" s="4" t="n">
        <v>7</v>
      </c>
      <c r="D11527" s="4" t="n">
        <v>12</v>
      </c>
      <c r="E11527" s="4"/>
      <c r="F11527" s="4" t="n">
        <v>62</v>
      </c>
      <c r="G11527" s="4" t="n">
        <v>1</v>
      </c>
      <c r="H11527" s="4" t="n">
        <v>4</v>
      </c>
      <c r="I11527" s="4" t="str">
        <v>×</v>
      </c>
      <c r="J11527" s="4"/>
      <c r="K11527" s="4"/>
      <c r="L11527" s="4"/>
      <c r="M11527" s="5" t="s">
        <v>6502</v>
      </c>
    </row>
    <row r="11528" customFormat="false" ht="15.75" hidden="false" customHeight="false" outlineLevel="0" collapsed="false">
      <c r="A11528" s="6" t="n">
        <v>46221</v>
      </c>
      <c r="B11528" s="4" t="s">
        <v>915</v>
      </c>
      <c r="C11528" s="4" t="n">
        <v>7</v>
      </c>
      <c r="D11528" s="4" t="n">
        <v>13</v>
      </c>
      <c r="E11528" s="4"/>
      <c r="F11528" s="4" t="n">
        <v>15</v>
      </c>
      <c r="G11528" s="4" t="n">
        <v>7</v>
      </c>
      <c r="H11528" s="4" t="n">
        <v>2</v>
      </c>
      <c r="I11528" s="4" t="str">
        <v>○</v>
      </c>
      <c r="J11528" s="4" t="n">
        <v>890</v>
      </c>
      <c r="K11528" s="4"/>
      <c r="L11528" s="4"/>
      <c r="M11528" s="5" t="s">
        <v>6502</v>
      </c>
    </row>
    <row r="11529" customFormat="false" ht="15.75" hidden="false" customHeight="false" outlineLevel="0" collapsed="false">
      <c r="A11529" s="6" t="n">
        <v>46221</v>
      </c>
      <c r="B11529" s="4" t="s">
        <v>915</v>
      </c>
      <c r="C11529" s="4" t="n">
        <v>7</v>
      </c>
      <c r="D11529" s="4" t="n">
        <v>14</v>
      </c>
      <c r="E11529" s="4"/>
      <c r="F11529" s="4" t="n">
        <v>13</v>
      </c>
      <c r="G11529" s="4" t="n">
        <v>10</v>
      </c>
      <c r="H11529" s="4" t="n">
        <v>4</v>
      </c>
      <c r="I11529" s="4" t="str">
        <v>×</v>
      </c>
      <c r="J11529" s="4"/>
      <c r="K11529" s="4"/>
      <c r="L11529" s="4"/>
      <c r="M11529" s="5" t="s">
        <v>6502</v>
      </c>
    </row>
    <row r="11530" customFormat="false" ht="15.75" hidden="false" customHeight="false" outlineLevel="0" collapsed="false">
      <c r="A11530" s="6" t="n">
        <v>46221</v>
      </c>
      <c r="B11530" s="4" t="s">
        <v>915</v>
      </c>
      <c r="C11530" s="4" t="n">
        <v>7</v>
      </c>
      <c r="D11530" s="4" t="n">
        <v>15</v>
      </c>
      <c r="E11530" s="4"/>
      <c r="F11530" s="4" t="n">
        <v>10</v>
      </c>
      <c r="G11530" s="4" t="n">
        <v>11</v>
      </c>
      <c r="H11530" s="4" t="n">
        <v>4</v>
      </c>
      <c r="I11530" s="4" t="str">
        <v>×</v>
      </c>
      <c r="J11530" s="4"/>
      <c r="K11530" s="4"/>
      <c r="L11530" s="4"/>
      <c r="M11530" s="5" t="s">
        <v>6502</v>
      </c>
    </row>
    <row r="11531" customFormat="false" ht="15.75" hidden="false" customHeight="false" outlineLevel="0" collapsed="false">
      <c r="A11531" s="6" t="n">
        <v>46221</v>
      </c>
      <c r="B11531" s="4" t="s">
        <v>915</v>
      </c>
      <c r="C11531" s="4" t="n">
        <v>7</v>
      </c>
      <c r="D11531" s="4" t="n">
        <v>16</v>
      </c>
      <c r="E11531" s="4"/>
      <c r="F11531" s="4" t="n">
        <v>10</v>
      </c>
      <c r="G11531" s="4" t="n">
        <v>11</v>
      </c>
      <c r="H11531" s="4" t="n">
        <v>4</v>
      </c>
      <c r="I11531" s="4" t="str">
        <v>×</v>
      </c>
      <c r="J11531" s="4"/>
      <c r="K11531" s="4"/>
      <c r="L11531" s="4"/>
      <c r="M11531" s="5" t="s">
        <v>6502</v>
      </c>
    </row>
    <row r="11532" customFormat="false" ht="15.75" hidden="false" customHeight="false" outlineLevel="0" collapsed="false">
      <c r="A11532" s="6" t="n">
        <v>46221</v>
      </c>
      <c r="B11532" s="4" t="s">
        <v>915</v>
      </c>
      <c r="C11532" s="4" t="n">
        <v>8</v>
      </c>
      <c r="D11532" s="4" t="n">
        <v>1</v>
      </c>
      <c r="E11532" s="4"/>
      <c r="F11532" s="4" t="n">
        <v>31</v>
      </c>
      <c r="G11532" s="4" t="n">
        <v>6</v>
      </c>
      <c r="H11532" s="4" t="n">
        <v>4</v>
      </c>
      <c r="I11532" s="4" t="str">
        <v>×</v>
      </c>
      <c r="J11532" s="4"/>
      <c r="K11532" s="4"/>
      <c r="L11532" s="4"/>
      <c r="M11532" s="5" t="s">
        <v>6502</v>
      </c>
    </row>
    <row r="11533" customFormat="false" ht="15.75" hidden="false" customHeight="false" outlineLevel="0" collapsed="false">
      <c r="A11533" s="6" t="n">
        <v>46221</v>
      </c>
      <c r="B11533" s="4" t="s">
        <v>915</v>
      </c>
      <c r="C11533" s="4" t="n">
        <v>8</v>
      </c>
      <c r="D11533" s="4" t="n">
        <v>2</v>
      </c>
      <c r="E11533" s="4"/>
      <c r="F11533" s="4" t="n">
        <v>44</v>
      </c>
      <c r="G11533" s="4" t="n">
        <v>1</v>
      </c>
      <c r="H11533" s="4" t="n">
        <v>4</v>
      </c>
      <c r="I11533" s="4" t="str">
        <v>×</v>
      </c>
      <c r="J11533" s="4"/>
      <c r="K11533" s="4"/>
      <c r="L11533" s="4"/>
      <c r="M11533" s="5" t="s">
        <v>6502</v>
      </c>
    </row>
    <row r="11534" customFormat="false" ht="15.75" hidden="false" customHeight="false" outlineLevel="0" collapsed="false">
      <c r="A11534" s="6" t="n">
        <v>46221</v>
      </c>
      <c r="B11534" s="4" t="s">
        <v>915</v>
      </c>
      <c r="C11534" s="4" t="n">
        <v>8</v>
      </c>
      <c r="D11534" s="4" t="n">
        <v>3</v>
      </c>
      <c r="E11534" s="4"/>
      <c r="F11534" s="4" t="n">
        <v>6</v>
      </c>
      <c r="G11534" s="4" t="n">
        <v>13</v>
      </c>
      <c r="H11534" s="4" t="n">
        <v>4</v>
      </c>
      <c r="I11534" s="4" t="str">
        <v>×</v>
      </c>
      <c r="J11534" s="4"/>
      <c r="K11534" s="4"/>
      <c r="L11534" s="4"/>
      <c r="M11534" s="5" t="s">
        <v>6502</v>
      </c>
    </row>
    <row r="11535" customFormat="false" ht="15.75" hidden="false" customHeight="false" outlineLevel="0" collapsed="false">
      <c r="A11535" s="6" t="n">
        <v>46221</v>
      </c>
      <c r="B11535" s="4" t="s">
        <v>915</v>
      </c>
      <c r="C11535" s="4" t="n">
        <v>8</v>
      </c>
      <c r="D11535" s="4" t="n">
        <v>4</v>
      </c>
      <c r="E11535" s="4"/>
      <c r="F11535" s="4" t="n">
        <v>4</v>
      </c>
      <c r="G11535" s="4" t="n">
        <v>14</v>
      </c>
      <c r="H11535" s="4" t="n">
        <v>4</v>
      </c>
      <c r="I11535" s="4" t="str">
        <v>×</v>
      </c>
      <c r="J11535" s="4"/>
      <c r="K11535" s="4"/>
      <c r="L11535" s="4"/>
      <c r="M11535" s="5" t="s">
        <v>6502</v>
      </c>
    </row>
    <row r="11536" customFormat="false" ht="15.75" hidden="false" customHeight="false" outlineLevel="0" collapsed="false">
      <c r="A11536" s="6" t="n">
        <v>46221</v>
      </c>
      <c r="B11536" s="4" t="s">
        <v>915</v>
      </c>
      <c r="C11536" s="4" t="n">
        <v>8</v>
      </c>
      <c r="D11536" s="4" t="n">
        <v>5</v>
      </c>
      <c r="E11536" s="4"/>
      <c r="F11536" s="4" t="n">
        <v>37</v>
      </c>
      <c r="G11536" s="4" t="n">
        <v>3</v>
      </c>
      <c r="H11536" s="4" t="n">
        <v>4</v>
      </c>
      <c r="I11536" s="4" t="str">
        <v>×</v>
      </c>
      <c r="J11536" s="4"/>
      <c r="K11536" s="4"/>
      <c r="L11536" s="4"/>
      <c r="M11536" s="5" t="s">
        <v>6502</v>
      </c>
    </row>
    <row r="11537" customFormat="false" ht="15.75" hidden="false" customHeight="false" outlineLevel="0" collapsed="false">
      <c r="A11537" s="6" t="n">
        <v>46221</v>
      </c>
      <c r="B11537" s="4" t="s">
        <v>915</v>
      </c>
      <c r="C11537" s="4" t="n">
        <v>8</v>
      </c>
      <c r="D11537" s="4" t="n">
        <v>6</v>
      </c>
      <c r="E11537" s="4"/>
      <c r="F11537" s="4" t="n">
        <v>25</v>
      </c>
      <c r="G11537" s="4" t="n">
        <v>8</v>
      </c>
      <c r="H11537" s="4" t="n">
        <v>4</v>
      </c>
      <c r="I11537" s="4" t="str">
        <v>×</v>
      </c>
      <c r="J11537" s="4"/>
      <c r="K11537" s="4"/>
      <c r="L11537" s="4"/>
      <c r="M11537" s="5" t="s">
        <v>6502</v>
      </c>
    </row>
    <row r="11538" customFormat="false" ht="15.75" hidden="false" customHeight="false" outlineLevel="0" collapsed="false">
      <c r="A11538" s="6" t="n">
        <v>46221</v>
      </c>
      <c r="B11538" s="4" t="s">
        <v>915</v>
      </c>
      <c r="C11538" s="4" t="n">
        <v>8</v>
      </c>
      <c r="D11538" s="4" t="n">
        <v>7</v>
      </c>
      <c r="E11538" s="4"/>
      <c r="F11538" s="4" t="n">
        <v>4</v>
      </c>
      <c r="G11538" s="4" t="n">
        <v>14</v>
      </c>
      <c r="H11538" s="4" t="n">
        <v>3</v>
      </c>
      <c r="I11538" s="4" t="str">
        <v>○</v>
      </c>
      <c r="J11538" s="4" t="n">
        <v>4660</v>
      </c>
      <c r="K11538" s="4"/>
      <c r="L11538" s="4"/>
      <c r="M11538" s="5" t="s">
        <v>6502</v>
      </c>
    </row>
    <row r="11539" customFormat="false" ht="15.75" hidden="false" customHeight="false" outlineLevel="0" collapsed="false">
      <c r="A11539" s="6" t="n">
        <v>46221</v>
      </c>
      <c r="B11539" s="4" t="s">
        <v>915</v>
      </c>
      <c r="C11539" s="4" t="n">
        <v>8</v>
      </c>
      <c r="D11539" s="4" t="n">
        <v>8</v>
      </c>
      <c r="E11539" s="4"/>
      <c r="F11539" s="4" t="n">
        <v>20</v>
      </c>
      <c r="G11539" s="4" t="n">
        <v>9</v>
      </c>
      <c r="H11539" s="4" t="n">
        <v>4</v>
      </c>
      <c r="I11539" s="4" t="str">
        <v>×</v>
      </c>
      <c r="J11539" s="4"/>
      <c r="K11539" s="4"/>
      <c r="L11539" s="4"/>
      <c r="M11539" s="5" t="s">
        <v>6502</v>
      </c>
    </row>
    <row r="11540" customFormat="false" ht="15.75" hidden="false" customHeight="false" outlineLevel="0" collapsed="false">
      <c r="A11540" s="6" t="n">
        <v>46221</v>
      </c>
      <c r="B11540" s="4" t="s">
        <v>915</v>
      </c>
      <c r="C11540" s="4" t="n">
        <v>8</v>
      </c>
      <c r="D11540" s="4" t="n">
        <v>9</v>
      </c>
      <c r="E11540" s="4"/>
      <c r="F11540" s="4" t="n">
        <v>8</v>
      </c>
      <c r="G11540" s="4" t="n">
        <v>12</v>
      </c>
      <c r="H11540" s="4" t="n">
        <v>4</v>
      </c>
      <c r="I11540" s="4" t="str">
        <v>×</v>
      </c>
      <c r="J11540" s="4"/>
      <c r="K11540" s="4"/>
      <c r="L11540" s="4"/>
      <c r="M11540" s="5" t="s">
        <v>6502</v>
      </c>
    </row>
    <row r="11541" customFormat="false" ht="15.75" hidden="false" customHeight="false" outlineLevel="0" collapsed="false">
      <c r="A11541" s="6" t="n">
        <v>46221</v>
      </c>
      <c r="B11541" s="4" t="s">
        <v>915</v>
      </c>
      <c r="C11541" s="4" t="n">
        <v>8</v>
      </c>
      <c r="D11541" s="4" t="n">
        <v>10</v>
      </c>
      <c r="E11541" s="4"/>
      <c r="F11541" s="4" t="n">
        <v>39</v>
      </c>
      <c r="G11541" s="4" t="n">
        <v>2</v>
      </c>
      <c r="H11541" s="4" t="n">
        <v>4</v>
      </c>
      <c r="I11541" s="4" t="str">
        <v>×</v>
      </c>
      <c r="J11541" s="4"/>
      <c r="K11541" s="4"/>
      <c r="L11541" s="4"/>
      <c r="M11541" s="5" t="s">
        <v>6502</v>
      </c>
    </row>
    <row r="11542" customFormat="false" ht="15.75" hidden="false" customHeight="false" outlineLevel="0" collapsed="false">
      <c r="A11542" s="6" t="n">
        <v>46221</v>
      </c>
      <c r="B11542" s="4" t="s">
        <v>915</v>
      </c>
      <c r="C11542" s="4" t="n">
        <v>8</v>
      </c>
      <c r="D11542" s="4" t="n">
        <v>11</v>
      </c>
      <c r="E11542" s="4"/>
      <c r="F11542" s="4" t="n">
        <v>17</v>
      </c>
      <c r="G11542" s="4" t="n">
        <v>10</v>
      </c>
      <c r="H11542" s="4" t="n">
        <v>2</v>
      </c>
      <c r="I11542" s="4" t="str">
        <v>○</v>
      </c>
      <c r="J11542" s="4" t="n">
        <v>400</v>
      </c>
      <c r="K11542" s="4"/>
      <c r="L11542" s="4"/>
      <c r="M11542" s="5" t="s">
        <v>6502</v>
      </c>
    </row>
    <row r="11543" customFormat="false" ht="15.75" hidden="false" customHeight="false" outlineLevel="0" collapsed="false">
      <c r="A11543" s="6" t="n">
        <v>46221</v>
      </c>
      <c r="B11543" s="4" t="s">
        <v>915</v>
      </c>
      <c r="C11543" s="4" t="n">
        <v>8</v>
      </c>
      <c r="D11543" s="4" t="n">
        <v>12</v>
      </c>
      <c r="E11543" s="4"/>
      <c r="F11543" s="4" t="n">
        <v>34</v>
      </c>
      <c r="G11543" s="4" t="n">
        <v>5</v>
      </c>
      <c r="H11543" s="4" t="n">
        <v>1</v>
      </c>
      <c r="I11543" s="4" t="str">
        <v>○</v>
      </c>
      <c r="J11543" s="4" t="n">
        <v>230</v>
      </c>
      <c r="K11543" s="4"/>
      <c r="L11543" s="4"/>
      <c r="M11543" s="5" t="s">
        <v>6502</v>
      </c>
    </row>
    <row r="11544" customFormat="false" ht="15.75" hidden="false" customHeight="false" outlineLevel="0" collapsed="false">
      <c r="A11544" s="6" t="n">
        <v>46221</v>
      </c>
      <c r="B11544" s="4" t="s">
        <v>915</v>
      </c>
      <c r="C11544" s="4" t="n">
        <v>8</v>
      </c>
      <c r="D11544" s="4" t="n">
        <v>13</v>
      </c>
      <c r="E11544" s="4"/>
      <c r="F11544" s="4" t="n">
        <v>37</v>
      </c>
      <c r="G11544" s="4" t="n">
        <v>3</v>
      </c>
      <c r="H11544" s="4" t="n">
        <v>4</v>
      </c>
      <c r="I11544" s="4" t="str">
        <v>×</v>
      </c>
      <c r="J11544" s="4"/>
      <c r="K11544" s="4"/>
      <c r="L11544" s="4"/>
      <c r="M11544" s="5" t="s">
        <v>6502</v>
      </c>
    </row>
    <row r="11545" customFormat="false" ht="15.75" hidden="false" customHeight="false" outlineLevel="0" collapsed="false">
      <c r="A11545" s="6" t="n">
        <v>46221</v>
      </c>
      <c r="B11545" s="4" t="s">
        <v>915</v>
      </c>
      <c r="C11545" s="4" t="n">
        <v>8</v>
      </c>
      <c r="D11545" s="4" t="n">
        <v>14</v>
      </c>
      <c r="E11545" s="4"/>
      <c r="F11545" s="4" t="n">
        <v>4</v>
      </c>
      <c r="G11545" s="4" t="n">
        <v>14</v>
      </c>
      <c r="H11545" s="4" t="n">
        <v>4</v>
      </c>
      <c r="I11545" s="4" t="str">
        <v>×</v>
      </c>
      <c r="J11545" s="4"/>
      <c r="K11545" s="4"/>
      <c r="L11545" s="4"/>
      <c r="M11545" s="5" t="s">
        <v>6502</v>
      </c>
    </row>
    <row r="11546" customFormat="false" ht="15.75" hidden="false" customHeight="false" outlineLevel="0" collapsed="false">
      <c r="A11546" s="6" t="n">
        <v>46221</v>
      </c>
      <c r="B11546" s="4" t="s">
        <v>915</v>
      </c>
      <c r="C11546" s="4" t="n">
        <v>8</v>
      </c>
      <c r="D11546" s="4" t="n">
        <v>15</v>
      </c>
      <c r="E11546" s="4"/>
      <c r="F11546" s="4" t="n">
        <v>29</v>
      </c>
      <c r="G11546" s="4" t="n">
        <v>7</v>
      </c>
      <c r="H11546" s="4" t="n">
        <v>4</v>
      </c>
      <c r="I11546" s="4" t="str">
        <v>×</v>
      </c>
      <c r="J11546" s="4"/>
      <c r="K11546" s="4"/>
      <c r="L11546" s="4"/>
      <c r="M11546" s="5" t="s">
        <v>6502</v>
      </c>
    </row>
    <row r="11547" customFormat="false" ht="15.75" hidden="false" customHeight="false" outlineLevel="0" collapsed="false">
      <c r="A11547" s="6" t="n">
        <v>46221</v>
      </c>
      <c r="B11547" s="4" t="s">
        <v>915</v>
      </c>
      <c r="C11547" s="4" t="n">
        <v>8</v>
      </c>
      <c r="D11547" s="4" t="n">
        <v>16</v>
      </c>
      <c r="E11547" s="4"/>
      <c r="F11547" s="4" t="n">
        <v>17</v>
      </c>
      <c r="G11547" s="4" t="n">
        <v>10</v>
      </c>
      <c r="H11547" s="4" t="n">
        <v>4</v>
      </c>
      <c r="I11547" s="4" t="str">
        <v>×</v>
      </c>
      <c r="J11547" s="4"/>
      <c r="K11547" s="4"/>
      <c r="L11547" s="4"/>
      <c r="M11547" s="5" t="s">
        <v>6502</v>
      </c>
    </row>
    <row r="11548" customFormat="false" ht="15.75" hidden="false" customHeight="false" outlineLevel="0" collapsed="false">
      <c r="A11548" s="6" t="n">
        <v>46221</v>
      </c>
      <c r="B11548" s="4" t="s">
        <v>915</v>
      </c>
      <c r="C11548" s="4" t="n">
        <v>9</v>
      </c>
      <c r="D11548" s="4" t="n">
        <v>1</v>
      </c>
      <c r="E11548" s="4"/>
      <c r="F11548" s="4" t="n">
        <v>10</v>
      </c>
      <c r="G11548" s="4" t="n">
        <v>8</v>
      </c>
      <c r="H11548" s="4" t="n">
        <v>4</v>
      </c>
      <c r="I11548" s="4" t="str">
        <v>×</v>
      </c>
      <c r="J11548" s="4"/>
      <c r="K11548" s="4"/>
      <c r="L11548" s="4"/>
      <c r="M11548" s="5" t="s">
        <v>6502</v>
      </c>
    </row>
    <row r="11549" customFormat="false" ht="15.75" hidden="false" customHeight="false" outlineLevel="0" collapsed="false">
      <c r="A11549" s="6" t="n">
        <v>46221</v>
      </c>
      <c r="B11549" s="4" t="s">
        <v>915</v>
      </c>
      <c r="C11549" s="4" t="n">
        <v>9</v>
      </c>
      <c r="D11549" s="4" t="n">
        <v>2</v>
      </c>
      <c r="E11549" s="4"/>
      <c r="F11549" s="4" t="n">
        <v>20</v>
      </c>
      <c r="G11549" s="4" t="n">
        <v>6</v>
      </c>
      <c r="H11549" s="4" t="n">
        <v>4</v>
      </c>
      <c r="I11549" s="4" t="str">
        <v>×</v>
      </c>
      <c r="J11549" s="4"/>
      <c r="K11549" s="4"/>
      <c r="L11549" s="4"/>
      <c r="M11549" s="5" t="s">
        <v>6502</v>
      </c>
    </row>
    <row r="11550" customFormat="false" ht="15.75" hidden="false" customHeight="false" outlineLevel="0" collapsed="false">
      <c r="A11550" s="6" t="n">
        <v>46221</v>
      </c>
      <c r="B11550" s="4" t="s">
        <v>915</v>
      </c>
      <c r="C11550" s="4" t="n">
        <v>9</v>
      </c>
      <c r="D11550" s="4" t="n">
        <v>3</v>
      </c>
      <c r="E11550" s="4"/>
      <c r="F11550" s="4" t="n">
        <v>8</v>
      </c>
      <c r="G11550" s="4" t="n">
        <v>10</v>
      </c>
      <c r="H11550" s="4" t="n">
        <v>4</v>
      </c>
      <c r="I11550" s="4" t="str">
        <v>×</v>
      </c>
      <c r="J11550" s="4"/>
      <c r="K11550" s="4"/>
      <c r="L11550" s="4"/>
      <c r="M11550" s="5" t="s">
        <v>6502</v>
      </c>
    </row>
    <row r="11551" customFormat="false" ht="15.75" hidden="false" customHeight="false" outlineLevel="0" collapsed="false">
      <c r="A11551" s="6" t="n">
        <v>46221</v>
      </c>
      <c r="B11551" s="4" t="s">
        <v>915</v>
      </c>
      <c r="C11551" s="4" t="n">
        <v>9</v>
      </c>
      <c r="D11551" s="4" t="n">
        <v>4</v>
      </c>
      <c r="E11551" s="4"/>
      <c r="F11551" s="4" t="n">
        <v>25</v>
      </c>
      <c r="G11551" s="4" t="n">
        <v>4</v>
      </c>
      <c r="H11551" s="4" t="n">
        <v>4</v>
      </c>
      <c r="I11551" s="4" t="str">
        <v>×</v>
      </c>
      <c r="J11551" s="4"/>
      <c r="K11551" s="4"/>
      <c r="L11551" s="4"/>
      <c r="M11551" s="5" t="s">
        <v>6502</v>
      </c>
    </row>
    <row r="11552" customFormat="false" ht="15.75" hidden="false" customHeight="false" outlineLevel="0" collapsed="false">
      <c r="A11552" s="6" t="n">
        <v>46221</v>
      </c>
      <c r="B11552" s="4" t="s">
        <v>915</v>
      </c>
      <c r="C11552" s="4" t="n">
        <v>9</v>
      </c>
      <c r="D11552" s="4" t="n">
        <v>5</v>
      </c>
      <c r="E11552" s="4"/>
      <c r="F11552" s="4" t="n">
        <v>81</v>
      </c>
      <c r="G11552" s="4" t="n">
        <v>1</v>
      </c>
      <c r="H11552" s="4" t="n">
        <v>3</v>
      </c>
      <c r="I11552" s="4" t="str">
        <v>○</v>
      </c>
      <c r="J11552" s="4" t="n">
        <v>110</v>
      </c>
      <c r="K11552" s="4"/>
      <c r="L11552" s="4"/>
      <c r="M11552" s="5" t="s">
        <v>6502</v>
      </c>
    </row>
    <row r="11553" customFormat="false" ht="15.75" hidden="false" customHeight="false" outlineLevel="0" collapsed="false">
      <c r="A11553" s="6" t="n">
        <v>46221</v>
      </c>
      <c r="B11553" s="4" t="s">
        <v>915</v>
      </c>
      <c r="C11553" s="4" t="n">
        <v>9</v>
      </c>
      <c r="D11553" s="4" t="n">
        <v>6</v>
      </c>
      <c r="E11553" s="4"/>
      <c r="F11553" s="4" t="n">
        <v>8</v>
      </c>
      <c r="G11553" s="4" t="n">
        <v>10</v>
      </c>
      <c r="H11553" s="4" t="n">
        <v>4</v>
      </c>
      <c r="I11553" s="4" t="str">
        <v>×</v>
      </c>
      <c r="J11553" s="4"/>
      <c r="K11553" s="4"/>
      <c r="L11553" s="4"/>
      <c r="M11553" s="5" t="s">
        <v>6502</v>
      </c>
    </row>
    <row r="11554" customFormat="false" ht="15.75" hidden="false" customHeight="false" outlineLevel="0" collapsed="false">
      <c r="A11554" s="6" t="n">
        <v>46221</v>
      </c>
      <c r="B11554" s="4" t="s">
        <v>915</v>
      </c>
      <c r="C11554" s="4" t="n">
        <v>9</v>
      </c>
      <c r="D11554" s="4" t="n">
        <v>7</v>
      </c>
      <c r="E11554" s="4"/>
      <c r="F11554" s="4" t="n">
        <v>29</v>
      </c>
      <c r="G11554" s="4" t="n">
        <v>3</v>
      </c>
      <c r="H11554" s="4" t="n">
        <v>4</v>
      </c>
      <c r="I11554" s="4" t="str">
        <v>×</v>
      </c>
      <c r="J11554" s="4"/>
      <c r="K11554" s="4"/>
      <c r="L11554" s="4"/>
      <c r="M11554" s="5" t="s">
        <v>6502</v>
      </c>
    </row>
    <row r="11555" customFormat="false" ht="15.75" hidden="false" customHeight="false" outlineLevel="0" collapsed="false">
      <c r="A11555" s="6" t="n">
        <v>46221</v>
      </c>
      <c r="B11555" s="4" t="s">
        <v>915</v>
      </c>
      <c r="C11555" s="4" t="n">
        <v>9</v>
      </c>
      <c r="D11555" s="4" t="n">
        <v>8</v>
      </c>
      <c r="E11555" s="4"/>
      <c r="F11555" s="4" t="n">
        <v>20</v>
      </c>
      <c r="G11555" s="4" t="n">
        <v>6</v>
      </c>
      <c r="H11555" s="4" t="n">
        <v>1</v>
      </c>
      <c r="I11555" s="4" t="str">
        <v>○</v>
      </c>
      <c r="J11555" s="4" t="n">
        <v>400</v>
      </c>
      <c r="K11555" s="4"/>
      <c r="L11555" s="4"/>
      <c r="M11555" s="5" t="s">
        <v>6502</v>
      </c>
    </row>
    <row r="11556" customFormat="false" ht="15.75" hidden="false" customHeight="false" outlineLevel="0" collapsed="false">
      <c r="A11556" s="6" t="n">
        <v>46221</v>
      </c>
      <c r="B11556" s="4" t="s">
        <v>915</v>
      </c>
      <c r="C11556" s="4" t="n">
        <v>9</v>
      </c>
      <c r="D11556" s="4" t="n">
        <v>9</v>
      </c>
      <c r="E11556" s="4"/>
      <c r="F11556" s="4" t="n">
        <v>10</v>
      </c>
      <c r="G11556" s="4" t="n">
        <v>8</v>
      </c>
      <c r="H11556" s="4" t="n">
        <v>4</v>
      </c>
      <c r="I11556" s="4" t="str">
        <v>×</v>
      </c>
      <c r="J11556" s="4"/>
      <c r="K11556" s="4"/>
      <c r="L11556" s="4"/>
      <c r="M11556" s="5" t="s">
        <v>6502</v>
      </c>
    </row>
    <row r="11557" customFormat="false" ht="15.75" hidden="false" customHeight="false" outlineLevel="0" collapsed="false">
      <c r="A11557" s="6" t="n">
        <v>46221</v>
      </c>
      <c r="B11557" s="4" t="s">
        <v>915</v>
      </c>
      <c r="C11557" s="4" t="n">
        <v>9</v>
      </c>
      <c r="D11557" s="4" t="n">
        <v>10</v>
      </c>
      <c r="E11557" s="4"/>
      <c r="F11557" s="4" t="n">
        <v>23</v>
      </c>
      <c r="G11557" s="4" t="n">
        <v>5</v>
      </c>
      <c r="H11557" s="4" t="n">
        <v>4</v>
      </c>
      <c r="I11557" s="4" t="str">
        <v>×</v>
      </c>
      <c r="J11557" s="4"/>
      <c r="K11557" s="4"/>
      <c r="L11557" s="4"/>
      <c r="M11557" s="5" t="s">
        <v>6502</v>
      </c>
    </row>
    <row r="11558" customFormat="false" ht="15.75" hidden="false" customHeight="false" outlineLevel="0" collapsed="false">
      <c r="A11558" s="6" t="n">
        <v>46221</v>
      </c>
      <c r="B11558" s="4" t="s">
        <v>915</v>
      </c>
      <c r="C11558" s="4" t="n">
        <v>9</v>
      </c>
      <c r="D11558" s="4" t="n">
        <v>11</v>
      </c>
      <c r="E11558" s="4"/>
      <c r="F11558" s="4" t="n">
        <v>41</v>
      </c>
      <c r="G11558" s="4" t="n">
        <v>2</v>
      </c>
      <c r="H11558" s="4" t="n">
        <v>2</v>
      </c>
      <c r="I11558" s="4" t="str">
        <v>○</v>
      </c>
      <c r="J11558" s="4" t="n">
        <v>140</v>
      </c>
      <c r="K11558" s="4"/>
      <c r="L11558" s="4"/>
      <c r="M11558" s="5" t="s">
        <v>6502</v>
      </c>
    </row>
    <row r="11559" customFormat="false" ht="15.75" hidden="false" customHeight="false" outlineLevel="0" collapsed="false">
      <c r="A11559" s="6" t="n">
        <v>46221</v>
      </c>
      <c r="B11559" s="4" t="s">
        <v>915</v>
      </c>
      <c r="C11559" s="4" t="n">
        <v>9</v>
      </c>
      <c r="D11559" s="4" t="n">
        <v>12</v>
      </c>
      <c r="E11559" s="4"/>
      <c r="F11559" s="4" t="n">
        <v>8</v>
      </c>
      <c r="G11559" s="4" t="n">
        <v>10</v>
      </c>
      <c r="H11559" s="4" t="n">
        <v>4</v>
      </c>
      <c r="I11559" s="4" t="str">
        <v>×</v>
      </c>
      <c r="J11559" s="4"/>
      <c r="K11559" s="4"/>
      <c r="L11559" s="4"/>
      <c r="M11559" s="5" t="s">
        <v>6502</v>
      </c>
    </row>
    <row r="11560" customFormat="false" ht="15.75" hidden="false" customHeight="false" outlineLevel="0" collapsed="false">
      <c r="A11560" s="6" t="n">
        <v>46221</v>
      </c>
      <c r="B11560" s="4" t="s">
        <v>915</v>
      </c>
      <c r="C11560" s="4" t="n">
        <v>10</v>
      </c>
      <c r="D11560" s="4" t="n">
        <v>1</v>
      </c>
      <c r="E11560" s="4"/>
      <c r="F11560" s="4" t="n">
        <v>23</v>
      </c>
      <c r="G11560" s="4" t="n">
        <v>5</v>
      </c>
      <c r="H11560" s="4" t="n">
        <v>4</v>
      </c>
      <c r="I11560" s="4" t="str">
        <v>×</v>
      </c>
      <c r="J11560" s="4"/>
      <c r="K11560" s="4"/>
      <c r="L11560" s="4"/>
      <c r="M11560" s="5" t="s">
        <v>6502</v>
      </c>
    </row>
    <row r="11561" customFormat="false" ht="15.75" hidden="false" customHeight="false" outlineLevel="0" collapsed="false">
      <c r="A11561" s="6" t="n">
        <v>46221</v>
      </c>
      <c r="B11561" s="4" t="s">
        <v>915</v>
      </c>
      <c r="C11561" s="4" t="n">
        <v>10</v>
      </c>
      <c r="D11561" s="4" t="n">
        <v>2</v>
      </c>
      <c r="E11561" s="4"/>
      <c r="F11561" s="4" t="n">
        <v>2</v>
      </c>
      <c r="G11561" s="4" t="n">
        <v>14</v>
      </c>
      <c r="H11561" s="4" t="n">
        <v>4</v>
      </c>
      <c r="I11561" s="4" t="str">
        <v>×</v>
      </c>
      <c r="J11561" s="4"/>
      <c r="K11561" s="4"/>
      <c r="L11561" s="4"/>
      <c r="M11561" s="5" t="s">
        <v>6502</v>
      </c>
    </row>
    <row r="11562" customFormat="false" ht="15.75" hidden="false" customHeight="false" outlineLevel="0" collapsed="false">
      <c r="A11562" s="6" t="n">
        <v>46221</v>
      </c>
      <c r="B11562" s="4" t="s">
        <v>915</v>
      </c>
      <c r="C11562" s="4" t="n">
        <v>10</v>
      </c>
      <c r="D11562" s="4" t="n">
        <v>3</v>
      </c>
      <c r="E11562" s="4"/>
      <c r="F11562" s="4" t="n">
        <v>47</v>
      </c>
      <c r="G11562" s="4" t="n">
        <v>1</v>
      </c>
      <c r="H11562" s="4" t="n">
        <v>4</v>
      </c>
      <c r="I11562" s="4" t="str">
        <v>×</v>
      </c>
      <c r="J11562" s="4"/>
      <c r="K11562" s="4"/>
      <c r="L11562" s="4"/>
      <c r="M11562" s="5" t="s">
        <v>6502</v>
      </c>
    </row>
    <row r="11563" customFormat="false" ht="15.75" hidden="false" customHeight="false" outlineLevel="0" collapsed="false">
      <c r="A11563" s="6" t="n">
        <v>46221</v>
      </c>
      <c r="B11563" s="4" t="s">
        <v>915</v>
      </c>
      <c r="C11563" s="4" t="n">
        <v>10</v>
      </c>
      <c r="D11563" s="4" t="n">
        <v>4</v>
      </c>
      <c r="E11563" s="4"/>
      <c r="F11563" s="4" t="n">
        <v>10</v>
      </c>
      <c r="G11563" s="4" t="n">
        <v>9</v>
      </c>
      <c r="H11563" s="4" t="n">
        <v>4</v>
      </c>
      <c r="I11563" s="4" t="str">
        <v>×</v>
      </c>
      <c r="J11563" s="4"/>
      <c r="K11563" s="4"/>
      <c r="L11563" s="4"/>
      <c r="M11563" s="5" t="s">
        <v>6502</v>
      </c>
    </row>
    <row r="11564" customFormat="false" ht="15.75" hidden="false" customHeight="false" outlineLevel="0" collapsed="false">
      <c r="A11564" s="6" t="n">
        <v>46221</v>
      </c>
      <c r="B11564" s="4" t="s">
        <v>915</v>
      </c>
      <c r="C11564" s="4" t="n">
        <v>10</v>
      </c>
      <c r="D11564" s="4" t="n">
        <v>5</v>
      </c>
      <c r="E11564" s="4"/>
      <c r="F11564" s="4" t="n">
        <v>10</v>
      </c>
      <c r="G11564" s="4" t="n">
        <v>9</v>
      </c>
      <c r="H11564" s="4" t="n">
        <v>4</v>
      </c>
      <c r="I11564" s="4" t="str">
        <v>×</v>
      </c>
      <c r="J11564" s="4"/>
      <c r="K11564" s="4"/>
      <c r="L11564" s="4"/>
      <c r="M11564" s="5" t="s">
        <v>6502</v>
      </c>
    </row>
    <row r="11565" customFormat="false" ht="15.75" hidden="false" customHeight="false" outlineLevel="0" collapsed="false">
      <c r="A11565" s="6" t="n">
        <v>46221</v>
      </c>
      <c r="B11565" s="4" t="s">
        <v>915</v>
      </c>
      <c r="C11565" s="4" t="n">
        <v>10</v>
      </c>
      <c r="D11565" s="4" t="n">
        <v>6</v>
      </c>
      <c r="E11565" s="4"/>
      <c r="F11565" s="4" t="n">
        <v>47</v>
      </c>
      <c r="G11565" s="4" t="n">
        <v>1</v>
      </c>
      <c r="H11565" s="4" t="n">
        <v>3</v>
      </c>
      <c r="I11565" s="4" t="str">
        <v>○</v>
      </c>
      <c r="J11565" s="4" t="n">
        <v>190</v>
      </c>
      <c r="K11565" s="4"/>
      <c r="L11565" s="4"/>
      <c r="M11565" s="5" t="s">
        <v>6502</v>
      </c>
    </row>
    <row r="11566" customFormat="false" ht="15.75" hidden="false" customHeight="false" outlineLevel="0" collapsed="false">
      <c r="A11566" s="6" t="n">
        <v>46221</v>
      </c>
      <c r="B11566" s="4" t="s">
        <v>915</v>
      </c>
      <c r="C11566" s="4" t="n">
        <v>10</v>
      </c>
      <c r="D11566" s="4" t="n">
        <v>7</v>
      </c>
      <c r="E11566" s="4"/>
      <c r="F11566" s="4" t="n">
        <v>25</v>
      </c>
      <c r="G11566" s="4" t="n">
        <v>4</v>
      </c>
      <c r="H11566" s="4" t="n">
        <v>4</v>
      </c>
      <c r="I11566" s="4" t="str">
        <v>×</v>
      </c>
      <c r="J11566" s="4"/>
      <c r="K11566" s="4"/>
      <c r="L11566" s="4"/>
      <c r="M11566" s="5" t="s">
        <v>6502</v>
      </c>
    </row>
    <row r="11567" customFormat="false" ht="15.75" hidden="false" customHeight="false" outlineLevel="0" collapsed="false">
      <c r="A11567" s="6" t="n">
        <v>46221</v>
      </c>
      <c r="B11567" s="4" t="s">
        <v>915</v>
      </c>
      <c r="C11567" s="4" t="n">
        <v>10</v>
      </c>
      <c r="D11567" s="4" t="n">
        <v>8</v>
      </c>
      <c r="E11567" s="4"/>
      <c r="F11567" s="4" t="n">
        <v>17</v>
      </c>
      <c r="G11567" s="4" t="n">
        <v>6</v>
      </c>
      <c r="H11567" s="4" t="n">
        <v>4</v>
      </c>
      <c r="I11567" s="4" t="str">
        <v>×</v>
      </c>
      <c r="J11567" s="4"/>
      <c r="K11567" s="4"/>
      <c r="L11567" s="4"/>
      <c r="M11567" s="5" t="s">
        <v>6502</v>
      </c>
    </row>
    <row r="11568" customFormat="false" ht="15.75" hidden="false" customHeight="false" outlineLevel="0" collapsed="false">
      <c r="A11568" s="6" t="n">
        <v>46221</v>
      </c>
      <c r="B11568" s="4" t="s">
        <v>915</v>
      </c>
      <c r="C11568" s="4" t="n">
        <v>10</v>
      </c>
      <c r="D11568" s="4" t="n">
        <v>9</v>
      </c>
      <c r="E11568" s="4"/>
      <c r="F11568" s="4" t="n">
        <v>1</v>
      </c>
      <c r="G11568" s="4" t="n">
        <v>15</v>
      </c>
      <c r="H11568" s="4" t="n">
        <v>4</v>
      </c>
      <c r="I11568" s="4" t="str">
        <v>×</v>
      </c>
      <c r="J11568" s="4"/>
      <c r="K11568" s="4"/>
      <c r="L11568" s="4"/>
      <c r="M11568" s="5" t="s">
        <v>6502</v>
      </c>
    </row>
    <row r="11569" customFormat="false" ht="15.75" hidden="false" customHeight="false" outlineLevel="0" collapsed="false">
      <c r="A11569" s="6" t="n">
        <v>46221</v>
      </c>
      <c r="B11569" s="4" t="s">
        <v>915</v>
      </c>
      <c r="C11569" s="4" t="n">
        <v>10</v>
      </c>
      <c r="D11569" s="4" t="n">
        <v>10</v>
      </c>
      <c r="E11569" s="4"/>
      <c r="F11569" s="4" t="n">
        <v>6</v>
      </c>
      <c r="G11569" s="4" t="n">
        <v>12</v>
      </c>
      <c r="H11569" s="4" t="n">
        <v>4</v>
      </c>
      <c r="I11569" s="4" t="str">
        <v>×</v>
      </c>
      <c r="J11569" s="4"/>
      <c r="K11569" s="4"/>
      <c r="L11569" s="4"/>
      <c r="M11569" s="5" t="s">
        <v>6502</v>
      </c>
    </row>
    <row r="11570" customFormat="false" ht="15.75" hidden="false" customHeight="false" outlineLevel="0" collapsed="false">
      <c r="A11570" s="6" t="n">
        <v>46221</v>
      </c>
      <c r="B11570" s="4" t="s">
        <v>915</v>
      </c>
      <c r="C11570" s="4" t="n">
        <v>10</v>
      </c>
      <c r="D11570" s="4" t="n">
        <v>11</v>
      </c>
      <c r="E11570" s="4"/>
      <c r="F11570" s="4" t="n">
        <v>4</v>
      </c>
      <c r="G11570" s="4" t="n">
        <v>13</v>
      </c>
      <c r="H11570" s="4" t="n">
        <v>4</v>
      </c>
      <c r="I11570" s="4" t="str">
        <v>×</v>
      </c>
      <c r="J11570" s="4"/>
      <c r="K11570" s="4"/>
      <c r="L11570" s="4"/>
      <c r="M11570" s="5" t="s">
        <v>6502</v>
      </c>
    </row>
    <row r="11571" customFormat="false" ht="15.75" hidden="false" customHeight="false" outlineLevel="0" collapsed="false">
      <c r="A11571" s="6" t="n">
        <v>46221</v>
      </c>
      <c r="B11571" s="4" t="s">
        <v>915</v>
      </c>
      <c r="C11571" s="4" t="n">
        <v>10</v>
      </c>
      <c r="D11571" s="4" t="n">
        <v>12</v>
      </c>
      <c r="E11571" s="4"/>
      <c r="F11571" s="4" t="n">
        <v>31</v>
      </c>
      <c r="G11571" s="4" t="n">
        <v>3</v>
      </c>
      <c r="H11571" s="4" t="n">
        <v>4</v>
      </c>
      <c r="I11571" s="4" t="str">
        <v>×</v>
      </c>
      <c r="J11571" s="4"/>
      <c r="K11571" s="4"/>
      <c r="L11571" s="4"/>
      <c r="M11571" s="5" t="s">
        <v>6502</v>
      </c>
    </row>
    <row r="11572" customFormat="false" ht="15.75" hidden="false" customHeight="false" outlineLevel="0" collapsed="false">
      <c r="A11572" s="6" t="n">
        <v>46221</v>
      </c>
      <c r="B11572" s="4" t="s">
        <v>915</v>
      </c>
      <c r="C11572" s="4" t="n">
        <v>10</v>
      </c>
      <c r="D11572" s="4" t="n">
        <v>13</v>
      </c>
      <c r="E11572" s="4"/>
      <c r="F11572" s="4" t="n">
        <v>10</v>
      </c>
      <c r="G11572" s="4" t="n">
        <v>9</v>
      </c>
      <c r="H11572" s="4" t="n">
        <v>4</v>
      </c>
      <c r="I11572" s="4" t="str">
        <v>×</v>
      </c>
      <c r="J11572" s="4"/>
      <c r="K11572" s="4"/>
      <c r="L11572" s="4"/>
      <c r="M11572" s="5" t="s">
        <v>6502</v>
      </c>
    </row>
    <row r="11573" customFormat="false" ht="15.75" hidden="false" customHeight="false" outlineLevel="0" collapsed="false">
      <c r="A11573" s="6" t="n">
        <v>46221</v>
      </c>
      <c r="B11573" s="4" t="s">
        <v>915</v>
      </c>
      <c r="C11573" s="4" t="n">
        <v>10</v>
      </c>
      <c r="D11573" s="4" t="n">
        <v>14</v>
      </c>
      <c r="E11573" s="4"/>
      <c r="F11573" s="4" t="n">
        <v>13</v>
      </c>
      <c r="G11573" s="4" t="n">
        <v>8</v>
      </c>
      <c r="H11573" s="4" t="n">
        <v>2</v>
      </c>
      <c r="I11573" s="4" t="str">
        <v>○</v>
      </c>
      <c r="J11573" s="4" t="n">
        <v>450</v>
      </c>
      <c r="K11573" s="4"/>
      <c r="L11573" s="4"/>
      <c r="M11573" s="5" t="s">
        <v>6502</v>
      </c>
    </row>
    <row r="11574" customFormat="false" ht="15.75" hidden="false" customHeight="false" outlineLevel="0" collapsed="false">
      <c r="A11574" s="6" t="n">
        <v>46221</v>
      </c>
      <c r="B11574" s="4" t="s">
        <v>915</v>
      </c>
      <c r="C11574" s="4" t="n">
        <v>10</v>
      </c>
      <c r="D11574" s="4" t="n">
        <v>15</v>
      </c>
      <c r="E11574" s="4"/>
      <c r="F11574" s="4" t="n">
        <v>15</v>
      </c>
      <c r="G11574" s="4" t="n">
        <v>7</v>
      </c>
      <c r="H11574" s="4" t="n">
        <v>1</v>
      </c>
      <c r="I11574" s="4" t="str">
        <v>○</v>
      </c>
      <c r="J11574" s="4" t="n">
        <v>540</v>
      </c>
      <c r="K11574" s="4"/>
      <c r="L11574" s="4"/>
      <c r="M11574" s="5" t="s">
        <v>6502</v>
      </c>
    </row>
    <row r="11575" customFormat="false" ht="15.75" hidden="false" customHeight="false" outlineLevel="0" collapsed="false">
      <c r="A11575" s="6" t="n">
        <v>46221</v>
      </c>
      <c r="B11575" s="4" t="s">
        <v>915</v>
      </c>
      <c r="C11575" s="4" t="n">
        <v>11</v>
      </c>
      <c r="D11575" s="4" t="n">
        <v>1</v>
      </c>
      <c r="E11575" s="4"/>
      <c r="F11575" s="4" t="n">
        <v>4</v>
      </c>
      <c r="G11575" s="4" t="n">
        <v>15</v>
      </c>
      <c r="H11575" s="4" t="n">
        <v>4</v>
      </c>
      <c r="I11575" s="4" t="str">
        <v>×</v>
      </c>
      <c r="J11575" s="4"/>
      <c r="K11575" s="4"/>
      <c r="L11575" s="4"/>
      <c r="M11575" s="5" t="s">
        <v>6502</v>
      </c>
    </row>
    <row r="11576" customFormat="false" ht="15.75" hidden="false" customHeight="false" outlineLevel="0" collapsed="false">
      <c r="A11576" s="6" t="n">
        <v>46221</v>
      </c>
      <c r="B11576" s="4" t="s">
        <v>915</v>
      </c>
      <c r="C11576" s="4" t="n">
        <v>11</v>
      </c>
      <c r="D11576" s="4" t="n">
        <v>2</v>
      </c>
      <c r="E11576" s="4"/>
      <c r="F11576" s="4" t="n">
        <v>15</v>
      </c>
      <c r="G11576" s="4" t="n">
        <v>8</v>
      </c>
      <c r="H11576" s="4" t="n">
        <v>4</v>
      </c>
      <c r="I11576" s="4" t="str">
        <v>×</v>
      </c>
      <c r="J11576" s="4"/>
      <c r="K11576" s="4"/>
      <c r="L11576" s="4"/>
      <c r="M11576" s="5" t="s">
        <v>6502</v>
      </c>
    </row>
    <row r="11577" customFormat="false" ht="15.75" hidden="false" customHeight="false" outlineLevel="0" collapsed="false">
      <c r="A11577" s="6" t="n">
        <v>46221</v>
      </c>
      <c r="B11577" s="4" t="s">
        <v>915</v>
      </c>
      <c r="C11577" s="4" t="n">
        <v>11</v>
      </c>
      <c r="D11577" s="4" t="n">
        <v>3</v>
      </c>
      <c r="E11577" s="4"/>
      <c r="F11577" s="4" t="n">
        <v>13</v>
      </c>
      <c r="G11577" s="4" t="n">
        <v>9</v>
      </c>
      <c r="H11577" s="4" t="n">
        <v>4</v>
      </c>
      <c r="I11577" s="4" t="str">
        <v>×</v>
      </c>
      <c r="J11577" s="4"/>
      <c r="K11577" s="4"/>
      <c r="L11577" s="4"/>
      <c r="M11577" s="5" t="s">
        <v>6502</v>
      </c>
    </row>
    <row r="11578" customFormat="false" ht="15.75" hidden="false" customHeight="false" outlineLevel="0" collapsed="false">
      <c r="A11578" s="6" t="n">
        <v>46221</v>
      </c>
      <c r="B11578" s="4" t="s">
        <v>915</v>
      </c>
      <c r="C11578" s="4" t="n">
        <v>11</v>
      </c>
      <c r="D11578" s="4" t="n">
        <v>4</v>
      </c>
      <c r="E11578" s="4"/>
      <c r="F11578" s="4" t="n">
        <v>13</v>
      </c>
      <c r="G11578" s="4" t="n">
        <v>9</v>
      </c>
      <c r="H11578" s="4" t="n">
        <v>3</v>
      </c>
      <c r="I11578" s="4" t="str">
        <v>○</v>
      </c>
      <c r="J11578" s="4" t="n">
        <v>380</v>
      </c>
      <c r="K11578" s="4"/>
      <c r="L11578" s="4"/>
      <c r="M11578" s="5" t="s">
        <v>6502</v>
      </c>
    </row>
    <row r="11579" customFormat="false" ht="15.75" hidden="false" customHeight="false" outlineLevel="0" collapsed="false">
      <c r="A11579" s="6" t="n">
        <v>46221</v>
      </c>
      <c r="B11579" s="4" t="s">
        <v>915</v>
      </c>
      <c r="C11579" s="4" t="n">
        <v>11</v>
      </c>
      <c r="D11579" s="4" t="n">
        <v>5</v>
      </c>
      <c r="E11579" s="4"/>
      <c r="F11579" s="4" t="n">
        <v>29</v>
      </c>
      <c r="G11579" s="4" t="n">
        <v>4</v>
      </c>
      <c r="H11579" s="4" t="n">
        <v>4</v>
      </c>
      <c r="I11579" s="4" t="str">
        <v>×</v>
      </c>
      <c r="J11579" s="4"/>
      <c r="K11579" s="4"/>
      <c r="L11579" s="4"/>
      <c r="M11579" s="5" t="s">
        <v>6502</v>
      </c>
    </row>
    <row r="11580" customFormat="false" ht="15.75" hidden="false" customHeight="false" outlineLevel="0" collapsed="false">
      <c r="A11580" s="6" t="n">
        <v>46221</v>
      </c>
      <c r="B11580" s="4" t="s">
        <v>915</v>
      </c>
      <c r="C11580" s="4" t="n">
        <v>11</v>
      </c>
      <c r="D11580" s="4" t="n">
        <v>6</v>
      </c>
      <c r="E11580" s="4"/>
      <c r="F11580" s="4" t="n">
        <v>31</v>
      </c>
      <c r="G11580" s="4" t="n">
        <v>3</v>
      </c>
      <c r="H11580" s="4" t="n">
        <v>4</v>
      </c>
      <c r="I11580" s="4" t="str">
        <v>×</v>
      </c>
      <c r="J11580" s="4"/>
      <c r="K11580" s="4"/>
      <c r="L11580" s="4"/>
      <c r="M11580" s="5" t="s">
        <v>6502</v>
      </c>
    </row>
    <row r="11581" customFormat="false" ht="15.75" hidden="false" customHeight="false" outlineLevel="0" collapsed="false">
      <c r="A11581" s="6" t="n">
        <v>46221</v>
      </c>
      <c r="B11581" s="4" t="s">
        <v>915</v>
      </c>
      <c r="C11581" s="4" t="n">
        <v>11</v>
      </c>
      <c r="D11581" s="4" t="n">
        <v>7</v>
      </c>
      <c r="E11581" s="4"/>
      <c r="F11581" s="4" t="n">
        <v>8</v>
      </c>
      <c r="G11581" s="4" t="n">
        <v>13</v>
      </c>
      <c r="H11581" s="4" t="n">
        <v>4</v>
      </c>
      <c r="I11581" s="4" t="str">
        <v>×</v>
      </c>
      <c r="J11581" s="4"/>
      <c r="K11581" s="4"/>
      <c r="L11581" s="4"/>
      <c r="M11581" s="5" t="s">
        <v>6502</v>
      </c>
    </row>
    <row r="11582" customFormat="false" ht="15.75" hidden="false" customHeight="false" outlineLevel="0" collapsed="false">
      <c r="A11582" s="6" t="n">
        <v>46221</v>
      </c>
      <c r="B11582" s="4" t="s">
        <v>915</v>
      </c>
      <c r="C11582" s="4" t="n">
        <v>11</v>
      </c>
      <c r="D11582" s="4" t="n">
        <v>8</v>
      </c>
      <c r="E11582" s="4"/>
      <c r="F11582" s="4" t="n">
        <v>29</v>
      </c>
      <c r="G11582" s="4" t="n">
        <v>4</v>
      </c>
      <c r="H11582" s="4" t="n">
        <v>2</v>
      </c>
      <c r="I11582" s="4" t="str">
        <v>○</v>
      </c>
      <c r="J11582" s="4" t="n">
        <v>660</v>
      </c>
      <c r="K11582" s="4"/>
      <c r="L11582" s="4"/>
      <c r="M11582" s="5" t="s">
        <v>6502</v>
      </c>
    </row>
    <row r="11583" customFormat="false" ht="15.75" hidden="false" customHeight="false" outlineLevel="0" collapsed="false">
      <c r="A11583" s="6" t="n">
        <v>46221</v>
      </c>
      <c r="B11583" s="4" t="s">
        <v>915</v>
      </c>
      <c r="C11583" s="4" t="n">
        <v>11</v>
      </c>
      <c r="D11583" s="4" t="n">
        <v>9</v>
      </c>
      <c r="E11583" s="4"/>
      <c r="F11583" s="4" t="n">
        <v>13</v>
      </c>
      <c r="G11583" s="4" t="n">
        <v>9</v>
      </c>
      <c r="H11583" s="4" t="n">
        <v>4</v>
      </c>
      <c r="I11583" s="4" t="str">
        <v>×</v>
      </c>
      <c r="J11583" s="4"/>
      <c r="K11583" s="4"/>
      <c r="L11583" s="4"/>
      <c r="M11583" s="5" t="s">
        <v>6502</v>
      </c>
    </row>
    <row r="11584" customFormat="false" ht="15.75" hidden="false" customHeight="false" outlineLevel="0" collapsed="false">
      <c r="A11584" s="6" t="n">
        <v>46221</v>
      </c>
      <c r="B11584" s="4" t="s">
        <v>915</v>
      </c>
      <c r="C11584" s="4" t="n">
        <v>11</v>
      </c>
      <c r="D11584" s="4" t="n">
        <v>10</v>
      </c>
      <c r="E11584" s="4"/>
      <c r="F11584" s="4" t="n">
        <v>10</v>
      </c>
      <c r="G11584" s="4" t="n">
        <v>12</v>
      </c>
      <c r="H11584" s="4" t="n">
        <v>4</v>
      </c>
      <c r="I11584" s="4" t="str">
        <v>×</v>
      </c>
      <c r="J11584" s="4"/>
      <c r="K11584" s="4"/>
      <c r="L11584" s="4"/>
      <c r="M11584" s="5" t="s">
        <v>6502</v>
      </c>
    </row>
    <row r="11585" customFormat="false" ht="15.75" hidden="false" customHeight="false" outlineLevel="0" collapsed="false">
      <c r="A11585" s="6" t="n">
        <v>46221</v>
      </c>
      <c r="B11585" s="4" t="s">
        <v>915</v>
      </c>
      <c r="C11585" s="4" t="n">
        <v>11</v>
      </c>
      <c r="D11585" s="4" t="n">
        <v>11</v>
      </c>
      <c r="E11585" s="4"/>
      <c r="F11585" s="4" t="n">
        <v>3</v>
      </c>
      <c r="G11585" s="4" t="n">
        <v>16</v>
      </c>
      <c r="H11585" s="4" t="n">
        <v>4</v>
      </c>
      <c r="I11585" s="4" t="str">
        <v>×</v>
      </c>
      <c r="J11585" s="4"/>
      <c r="K11585" s="4"/>
      <c r="L11585" s="4"/>
      <c r="M11585" s="5" t="s">
        <v>6502</v>
      </c>
    </row>
    <row r="11586" customFormat="false" ht="15.75" hidden="false" customHeight="false" outlineLevel="0" collapsed="false">
      <c r="A11586" s="6" t="n">
        <v>46221</v>
      </c>
      <c r="B11586" s="4" t="s">
        <v>915</v>
      </c>
      <c r="C11586" s="4" t="n">
        <v>11</v>
      </c>
      <c r="D11586" s="4" t="n">
        <v>12</v>
      </c>
      <c r="E11586" s="4"/>
      <c r="F11586" s="4" t="n">
        <v>29</v>
      </c>
      <c r="G11586" s="4" t="n">
        <v>4</v>
      </c>
      <c r="H11586" s="4" t="n">
        <v>4</v>
      </c>
      <c r="I11586" s="4" t="str">
        <v>×</v>
      </c>
      <c r="J11586" s="4"/>
      <c r="K11586" s="4"/>
      <c r="L11586" s="4"/>
      <c r="M11586" s="5" t="s">
        <v>6502</v>
      </c>
    </row>
    <row r="11587" customFormat="false" ht="15.75" hidden="false" customHeight="false" outlineLevel="0" collapsed="false">
      <c r="A11587" s="6" t="n">
        <v>46221</v>
      </c>
      <c r="B11587" s="4" t="s">
        <v>915</v>
      </c>
      <c r="C11587" s="4" t="n">
        <v>11</v>
      </c>
      <c r="D11587" s="4" t="n">
        <v>13</v>
      </c>
      <c r="E11587" s="4"/>
      <c r="F11587" s="4" t="n">
        <v>41</v>
      </c>
      <c r="G11587" s="4" t="n">
        <v>2</v>
      </c>
      <c r="H11587" s="4" t="n">
        <v>1</v>
      </c>
      <c r="I11587" s="4" t="str">
        <v>○</v>
      </c>
      <c r="J11587" s="4" t="n">
        <v>230</v>
      </c>
      <c r="K11587" s="4"/>
      <c r="L11587" s="4"/>
      <c r="M11587" s="5" t="s">
        <v>6502</v>
      </c>
    </row>
    <row r="11588" customFormat="false" ht="15.75" hidden="false" customHeight="false" outlineLevel="0" collapsed="false">
      <c r="A11588" s="6" t="n">
        <v>46221</v>
      </c>
      <c r="B11588" s="4" t="s">
        <v>915</v>
      </c>
      <c r="C11588" s="4" t="n">
        <v>11</v>
      </c>
      <c r="D11588" s="4" t="n">
        <v>14</v>
      </c>
      <c r="E11588" s="4"/>
      <c r="F11588" s="4" t="n">
        <v>23</v>
      </c>
      <c r="G11588" s="4" t="n">
        <v>7</v>
      </c>
      <c r="H11588" s="4" t="n">
        <v>4</v>
      </c>
      <c r="I11588" s="4" t="str">
        <v>×</v>
      </c>
      <c r="J11588" s="4"/>
      <c r="K11588" s="4"/>
      <c r="L11588" s="4"/>
      <c r="M11588" s="5" t="s">
        <v>6502</v>
      </c>
    </row>
    <row r="11589" customFormat="false" ht="15.75" hidden="false" customHeight="false" outlineLevel="0" collapsed="false">
      <c r="A11589" s="6" t="n">
        <v>46221</v>
      </c>
      <c r="B11589" s="4" t="s">
        <v>915</v>
      </c>
      <c r="C11589" s="4" t="n">
        <v>11</v>
      </c>
      <c r="D11589" s="4" t="n">
        <v>15</v>
      </c>
      <c r="E11589" s="4"/>
      <c r="F11589" s="4" t="n">
        <v>8</v>
      </c>
      <c r="G11589" s="4" t="n">
        <v>13</v>
      </c>
      <c r="H11589" s="4" t="n">
        <v>4</v>
      </c>
      <c r="I11589" s="4" t="str">
        <v>×</v>
      </c>
      <c r="J11589" s="4"/>
      <c r="K11589" s="4"/>
      <c r="L11589" s="4"/>
      <c r="M11589" s="5" t="s">
        <v>6502</v>
      </c>
    </row>
    <row r="11590" customFormat="false" ht="15.75" hidden="false" customHeight="false" outlineLevel="0" collapsed="false">
      <c r="A11590" s="6" t="n">
        <v>46221</v>
      </c>
      <c r="B11590" s="4" t="s">
        <v>915</v>
      </c>
      <c r="C11590" s="4" t="n">
        <v>11</v>
      </c>
      <c r="D11590" s="4" t="n">
        <v>16</v>
      </c>
      <c r="E11590" s="4"/>
      <c r="F11590" s="4" t="n">
        <v>56</v>
      </c>
      <c r="G11590" s="4" t="n">
        <v>1</v>
      </c>
      <c r="H11590" s="4" t="n">
        <v>4</v>
      </c>
      <c r="I11590" s="4" t="str">
        <v>×</v>
      </c>
      <c r="J11590" s="4"/>
      <c r="K11590" s="4"/>
      <c r="L11590" s="4"/>
      <c r="M11590" s="5" t="s">
        <v>6502</v>
      </c>
    </row>
    <row r="11591" customFormat="false" ht="15.75" hidden="false" customHeight="false" outlineLevel="0" collapsed="false">
      <c r="A11591" s="6" t="n">
        <v>46221</v>
      </c>
      <c r="B11591" s="4" t="s">
        <v>915</v>
      </c>
      <c r="C11591" s="4" t="n">
        <v>12</v>
      </c>
      <c r="D11591" s="4" t="n">
        <v>1</v>
      </c>
      <c r="E11591" s="4"/>
      <c r="F11591" s="4" t="n">
        <v>1</v>
      </c>
      <c r="G11591" s="4" t="n">
        <v>16</v>
      </c>
      <c r="H11591" s="4" t="n">
        <v>4</v>
      </c>
      <c r="I11591" s="4" t="str">
        <v>×</v>
      </c>
      <c r="J11591" s="4"/>
      <c r="K11591" s="4"/>
      <c r="L11591" s="4"/>
      <c r="M11591" s="5" t="s">
        <v>6502</v>
      </c>
    </row>
    <row r="11592" customFormat="false" ht="15.75" hidden="false" customHeight="false" outlineLevel="0" collapsed="false">
      <c r="A11592" s="6" t="n">
        <v>46221</v>
      </c>
      <c r="B11592" s="4" t="s">
        <v>915</v>
      </c>
      <c r="C11592" s="4" t="n">
        <v>12</v>
      </c>
      <c r="D11592" s="4" t="n">
        <v>2</v>
      </c>
      <c r="E11592" s="4"/>
      <c r="F11592" s="4" t="n">
        <v>52</v>
      </c>
      <c r="G11592" s="4" t="n">
        <v>2</v>
      </c>
      <c r="H11592" s="4" t="n">
        <v>2</v>
      </c>
      <c r="I11592" s="4" t="str">
        <v>○</v>
      </c>
      <c r="J11592" s="4" t="n">
        <v>140</v>
      </c>
      <c r="K11592" s="4"/>
      <c r="L11592" s="4"/>
      <c r="M11592" s="5" t="s">
        <v>6502</v>
      </c>
    </row>
    <row r="11593" customFormat="false" ht="15.75" hidden="false" customHeight="false" outlineLevel="0" collapsed="false">
      <c r="A11593" s="6" t="n">
        <v>46221</v>
      </c>
      <c r="B11593" s="4" t="s">
        <v>915</v>
      </c>
      <c r="C11593" s="4" t="n">
        <v>12</v>
      </c>
      <c r="D11593" s="4" t="n">
        <v>3</v>
      </c>
      <c r="E11593" s="4"/>
      <c r="F11593" s="4" t="n">
        <v>29</v>
      </c>
      <c r="G11593" s="4" t="n">
        <v>5</v>
      </c>
      <c r="H11593" s="4" t="n">
        <v>4</v>
      </c>
      <c r="I11593" s="4" t="str">
        <v>×</v>
      </c>
      <c r="J11593" s="4"/>
      <c r="K11593" s="4"/>
      <c r="L11593" s="4"/>
      <c r="M11593" s="5" t="s">
        <v>6502</v>
      </c>
    </row>
    <row r="11594" customFormat="false" ht="15.75" hidden="false" customHeight="false" outlineLevel="0" collapsed="false">
      <c r="A11594" s="6" t="n">
        <v>46221</v>
      </c>
      <c r="B11594" s="4" t="s">
        <v>915</v>
      </c>
      <c r="C11594" s="4" t="n">
        <v>12</v>
      </c>
      <c r="D11594" s="4" t="n">
        <v>4</v>
      </c>
      <c r="E11594" s="4"/>
      <c r="F11594" s="4" t="n">
        <v>20</v>
      </c>
      <c r="G11594" s="4" t="n">
        <v>6</v>
      </c>
      <c r="H11594" s="4" t="n">
        <v>4</v>
      </c>
      <c r="I11594" s="4" t="str">
        <v>×</v>
      </c>
      <c r="J11594" s="4"/>
      <c r="K11594" s="4"/>
      <c r="L11594" s="4"/>
      <c r="M11594" s="5" t="s">
        <v>6502</v>
      </c>
    </row>
    <row r="11595" customFormat="false" ht="15.75" hidden="false" customHeight="false" outlineLevel="0" collapsed="false">
      <c r="A11595" s="6" t="n">
        <v>46221</v>
      </c>
      <c r="B11595" s="4" t="s">
        <v>915</v>
      </c>
      <c r="C11595" s="4" t="n">
        <v>12</v>
      </c>
      <c r="D11595" s="4" t="n">
        <v>5</v>
      </c>
      <c r="E11595" s="4"/>
      <c r="F11595" s="4" t="n">
        <v>15</v>
      </c>
      <c r="G11595" s="4" t="n">
        <v>7</v>
      </c>
      <c r="H11595" s="4" t="n">
        <v>4</v>
      </c>
      <c r="I11595" s="4" t="str">
        <v>×</v>
      </c>
      <c r="J11595" s="4"/>
      <c r="K11595" s="4"/>
      <c r="L11595" s="4"/>
      <c r="M11595" s="5" t="s">
        <v>6502</v>
      </c>
    </row>
    <row r="11596" customFormat="false" ht="15.75" hidden="false" customHeight="false" outlineLevel="0" collapsed="false">
      <c r="A11596" s="6" t="n">
        <v>46221</v>
      </c>
      <c r="B11596" s="4" t="s">
        <v>915</v>
      </c>
      <c r="C11596" s="4" t="n">
        <v>12</v>
      </c>
      <c r="D11596" s="4" t="n">
        <v>6</v>
      </c>
      <c r="E11596" s="4"/>
      <c r="F11596" s="4" t="n">
        <v>39</v>
      </c>
      <c r="G11596" s="4" t="n">
        <v>3</v>
      </c>
      <c r="H11596" s="4" t="n">
        <v>1</v>
      </c>
      <c r="I11596" s="4" t="str">
        <v>○</v>
      </c>
      <c r="J11596" s="4" t="n">
        <v>160</v>
      </c>
      <c r="K11596" s="4"/>
      <c r="L11596" s="4"/>
      <c r="M11596" s="5" t="s">
        <v>6502</v>
      </c>
    </row>
    <row r="11597" customFormat="false" ht="15.75" hidden="false" customHeight="false" outlineLevel="0" collapsed="false">
      <c r="A11597" s="6" t="n">
        <v>46221</v>
      </c>
      <c r="B11597" s="4" t="s">
        <v>915</v>
      </c>
      <c r="C11597" s="4" t="n">
        <v>12</v>
      </c>
      <c r="D11597" s="4" t="n">
        <v>7</v>
      </c>
      <c r="E11597" s="4"/>
      <c r="F11597" s="4" t="n">
        <v>10</v>
      </c>
      <c r="G11597" s="4" t="n">
        <v>10</v>
      </c>
      <c r="H11597" s="4" t="n">
        <v>4</v>
      </c>
      <c r="I11597" s="4" t="str">
        <v>×</v>
      </c>
      <c r="J11597" s="4"/>
      <c r="K11597" s="4"/>
      <c r="L11597" s="4"/>
      <c r="M11597" s="5" t="s">
        <v>6502</v>
      </c>
    </row>
    <row r="11598" customFormat="false" ht="15.75" hidden="false" customHeight="false" outlineLevel="0" collapsed="false">
      <c r="A11598" s="6" t="n">
        <v>46221</v>
      </c>
      <c r="B11598" s="4" t="s">
        <v>915</v>
      </c>
      <c r="C11598" s="4" t="n">
        <v>12</v>
      </c>
      <c r="D11598" s="4" t="n">
        <v>8</v>
      </c>
      <c r="E11598" s="4"/>
      <c r="F11598" s="4" t="n">
        <v>13</v>
      </c>
      <c r="G11598" s="4" t="n">
        <v>9</v>
      </c>
      <c r="H11598" s="4" t="n">
        <v>3</v>
      </c>
      <c r="I11598" s="4" t="str">
        <v>○</v>
      </c>
      <c r="J11598" s="4" t="n">
        <v>250</v>
      </c>
      <c r="K11598" s="4"/>
      <c r="L11598" s="4"/>
      <c r="M11598" s="5" t="s">
        <v>6502</v>
      </c>
    </row>
    <row r="11599" customFormat="false" ht="15.75" hidden="false" customHeight="false" outlineLevel="0" collapsed="false">
      <c r="A11599" s="6" t="n">
        <v>46221</v>
      </c>
      <c r="B11599" s="4" t="s">
        <v>915</v>
      </c>
      <c r="C11599" s="4" t="n">
        <v>12</v>
      </c>
      <c r="D11599" s="4" t="n">
        <v>9</v>
      </c>
      <c r="E11599" s="4"/>
      <c r="F11599" s="4" t="n">
        <v>10</v>
      </c>
      <c r="G11599" s="4" t="n">
        <v>10</v>
      </c>
      <c r="H11599" s="4" t="n">
        <v>4</v>
      </c>
      <c r="I11599" s="4" t="str">
        <v>×</v>
      </c>
      <c r="J11599" s="4"/>
      <c r="K11599" s="4"/>
      <c r="L11599" s="4"/>
      <c r="M11599" s="5" t="s">
        <v>6502</v>
      </c>
    </row>
    <row r="11600" customFormat="false" ht="15.75" hidden="false" customHeight="false" outlineLevel="0" collapsed="false">
      <c r="A11600" s="6" t="n">
        <v>46221</v>
      </c>
      <c r="B11600" s="4" t="s">
        <v>915</v>
      </c>
      <c r="C11600" s="4" t="n">
        <v>12</v>
      </c>
      <c r="D11600" s="4" t="n">
        <v>10</v>
      </c>
      <c r="E11600" s="4"/>
      <c r="F11600" s="4" t="n">
        <v>8</v>
      </c>
      <c r="G11600" s="4" t="n">
        <v>14</v>
      </c>
      <c r="H11600" s="4" t="n">
        <v>4</v>
      </c>
      <c r="I11600" s="4" t="str">
        <v>×</v>
      </c>
      <c r="J11600" s="4"/>
      <c r="K11600" s="4"/>
      <c r="L11600" s="4"/>
      <c r="M11600" s="5" t="s">
        <v>6502</v>
      </c>
    </row>
    <row r="11601" customFormat="false" ht="15.75" hidden="false" customHeight="false" outlineLevel="0" collapsed="false">
      <c r="A11601" s="6" t="n">
        <v>46221</v>
      </c>
      <c r="B11601" s="4" t="s">
        <v>915</v>
      </c>
      <c r="C11601" s="4" t="n">
        <v>12</v>
      </c>
      <c r="D11601" s="4" t="n">
        <v>11</v>
      </c>
      <c r="E11601" s="4"/>
      <c r="F11601" s="4" t="n">
        <v>4</v>
      </c>
      <c r="G11601" s="4" t="n">
        <v>15</v>
      </c>
      <c r="H11601" s="4" t="n">
        <v>4</v>
      </c>
      <c r="I11601" s="4" t="str">
        <v>×</v>
      </c>
      <c r="J11601" s="4"/>
      <c r="K11601" s="4"/>
      <c r="L11601" s="4"/>
      <c r="M11601" s="5" t="s">
        <v>6502</v>
      </c>
    </row>
    <row r="11602" customFormat="false" ht="15.75" hidden="false" customHeight="false" outlineLevel="0" collapsed="false">
      <c r="A11602" s="6" t="n">
        <v>46221</v>
      </c>
      <c r="B11602" s="4" t="s">
        <v>915</v>
      </c>
      <c r="C11602" s="4" t="n">
        <v>12</v>
      </c>
      <c r="D11602" s="4" t="n">
        <v>12</v>
      </c>
      <c r="E11602" s="4"/>
      <c r="F11602" s="4" t="n">
        <v>10</v>
      </c>
      <c r="G11602" s="4" t="n">
        <v>10</v>
      </c>
      <c r="H11602" s="4" t="n">
        <v>4</v>
      </c>
      <c r="I11602" s="4" t="str">
        <v>×</v>
      </c>
      <c r="J11602" s="4"/>
      <c r="K11602" s="4"/>
      <c r="L11602" s="4"/>
      <c r="M11602" s="5" t="s">
        <v>6502</v>
      </c>
    </row>
    <row r="11603" customFormat="false" ht="15.75" hidden="false" customHeight="false" outlineLevel="0" collapsed="false">
      <c r="A11603" s="6" t="n">
        <v>46221</v>
      </c>
      <c r="B11603" s="4" t="s">
        <v>915</v>
      </c>
      <c r="C11603" s="4" t="n">
        <v>12</v>
      </c>
      <c r="D11603" s="4" t="n">
        <v>13</v>
      </c>
      <c r="E11603" s="4"/>
      <c r="F11603" s="4" t="n">
        <v>58</v>
      </c>
      <c r="G11603" s="4" t="n">
        <v>1</v>
      </c>
      <c r="H11603" s="4" t="n">
        <v>4</v>
      </c>
      <c r="I11603" s="4" t="str">
        <v>×</v>
      </c>
      <c r="J11603" s="4"/>
      <c r="K11603" s="4"/>
      <c r="L11603" s="4"/>
      <c r="M11603" s="5" t="s">
        <v>6502</v>
      </c>
    </row>
    <row r="11604" customFormat="false" ht="15.75" hidden="false" customHeight="false" outlineLevel="0" collapsed="false">
      <c r="A11604" s="6" t="n">
        <v>46221</v>
      </c>
      <c r="B11604" s="4" t="s">
        <v>915</v>
      </c>
      <c r="C11604" s="4" t="n">
        <v>12</v>
      </c>
      <c r="D11604" s="4" t="n">
        <v>14</v>
      </c>
      <c r="E11604" s="4"/>
      <c r="F11604" s="4" t="n">
        <v>34</v>
      </c>
      <c r="G11604" s="4" t="n">
        <v>4</v>
      </c>
      <c r="H11604" s="4" t="n">
        <v>4</v>
      </c>
      <c r="I11604" s="4" t="str">
        <v>×</v>
      </c>
      <c r="J11604" s="4"/>
      <c r="K11604" s="4"/>
      <c r="L11604" s="4"/>
      <c r="M11604" s="5" t="s">
        <v>6502</v>
      </c>
    </row>
    <row r="11605" customFormat="false" ht="15.75" hidden="false" customHeight="false" outlineLevel="0" collapsed="false">
      <c r="A11605" s="6" t="n">
        <v>46221</v>
      </c>
      <c r="B11605" s="4" t="s">
        <v>915</v>
      </c>
      <c r="C11605" s="4" t="n">
        <v>12</v>
      </c>
      <c r="D11605" s="4" t="n">
        <v>15</v>
      </c>
      <c r="E11605" s="4"/>
      <c r="F11605" s="4" t="n">
        <v>10</v>
      </c>
      <c r="G11605" s="4" t="n">
        <v>10</v>
      </c>
      <c r="H11605" s="4" t="n">
        <v>4</v>
      </c>
      <c r="I11605" s="4" t="str">
        <v>×</v>
      </c>
      <c r="J11605" s="4"/>
      <c r="K11605" s="4"/>
      <c r="L11605" s="4"/>
      <c r="M11605" s="5" t="s">
        <v>6502</v>
      </c>
    </row>
    <row r="11606" customFormat="false" ht="15.75" hidden="false" customHeight="false" outlineLevel="0" collapsed="false">
      <c r="A11606" s="6" t="n">
        <v>46221</v>
      </c>
      <c r="B11606" s="4" t="s">
        <v>915</v>
      </c>
      <c r="C11606" s="4" t="n">
        <v>12</v>
      </c>
      <c r="D11606" s="4" t="n">
        <v>16</v>
      </c>
      <c r="E11606" s="4"/>
      <c r="F11606" s="4" t="n">
        <v>15</v>
      </c>
      <c r="G11606" s="4" t="n">
        <v>7</v>
      </c>
      <c r="H11606" s="4" t="n">
        <v>4</v>
      </c>
      <c r="I11606" s="4" t="str">
        <v>×</v>
      </c>
      <c r="J11606" s="4"/>
      <c r="K11606" s="4"/>
      <c r="L11606" s="4"/>
      <c r="M11606" s="5" t="s">
        <v>6502</v>
      </c>
    </row>
    <row r="11607" customFormat="false" ht="15.75" hidden="false" customHeight="false" outlineLevel="0" collapsed="false">
      <c r="A11607" s="6" t="n">
        <v>46222</v>
      </c>
      <c r="B11607" s="4" t="s">
        <v>1237</v>
      </c>
      <c r="C11607" s="4" t="n">
        <v>1</v>
      </c>
      <c r="D11607" s="4" t="n">
        <v>1</v>
      </c>
      <c r="E11607" s="4"/>
      <c r="F11607" s="4" t="n">
        <v>62</v>
      </c>
      <c r="G11607" s="4" t="n">
        <v>1</v>
      </c>
      <c r="H11607" s="4" t="n">
        <v>1</v>
      </c>
      <c r="I11607" s="4" t="str">
        <v>○</v>
      </c>
      <c r="J11607" s="4" t="n">
        <v>110</v>
      </c>
      <c r="K11607" s="4"/>
      <c r="L11607" s="4"/>
      <c r="M11607" s="5" t="s">
        <v>6502</v>
      </c>
    </row>
    <row r="11608" customFormat="false" ht="15.75" hidden="false" customHeight="false" outlineLevel="0" collapsed="false">
      <c r="A11608" s="6" t="n">
        <v>46222</v>
      </c>
      <c r="B11608" s="4" t="s">
        <v>1237</v>
      </c>
      <c r="C11608" s="4" t="n">
        <v>1</v>
      </c>
      <c r="D11608" s="4" t="n">
        <v>2</v>
      </c>
      <c r="E11608" s="4"/>
      <c r="F11608" s="4" t="n">
        <v>31</v>
      </c>
      <c r="G11608" s="4" t="n">
        <v>5</v>
      </c>
      <c r="H11608" s="4" t="n">
        <v>4</v>
      </c>
      <c r="I11608" s="4" t="str">
        <v>×</v>
      </c>
      <c r="J11608" s="4"/>
      <c r="K11608" s="4"/>
      <c r="L11608" s="4"/>
      <c r="M11608" s="5" t="s">
        <v>6502</v>
      </c>
    </row>
    <row r="11609" customFormat="false" ht="15.75" hidden="false" customHeight="false" outlineLevel="0" collapsed="false">
      <c r="A11609" s="6" t="n">
        <v>46222</v>
      </c>
      <c r="B11609" s="4" t="s">
        <v>1237</v>
      </c>
      <c r="C11609" s="4" t="n">
        <v>1</v>
      </c>
      <c r="D11609" s="4" t="n">
        <v>3</v>
      </c>
      <c r="E11609" s="4"/>
      <c r="F11609" s="4" t="n">
        <v>20</v>
      </c>
      <c r="G11609" s="4" t="n">
        <v>6</v>
      </c>
      <c r="H11609" s="4" t="n">
        <v>3</v>
      </c>
      <c r="I11609" s="4" t="str">
        <v>○</v>
      </c>
      <c r="J11609" s="4" t="n">
        <v>270</v>
      </c>
      <c r="K11609" s="4"/>
      <c r="L11609" s="4"/>
      <c r="M11609" s="5" t="s">
        <v>6502</v>
      </c>
    </row>
    <row r="11610" customFormat="false" ht="15.75" hidden="false" customHeight="false" outlineLevel="0" collapsed="false">
      <c r="A11610" s="6" t="n">
        <v>46222</v>
      </c>
      <c r="B11610" s="4" t="s">
        <v>1237</v>
      </c>
      <c r="C11610" s="4" t="n">
        <v>1</v>
      </c>
      <c r="D11610" s="4" t="n">
        <v>4</v>
      </c>
      <c r="E11610" s="4"/>
      <c r="F11610" s="4" t="n">
        <v>52</v>
      </c>
      <c r="G11610" s="4" t="n">
        <v>2</v>
      </c>
      <c r="H11610" s="4" t="n">
        <v>4</v>
      </c>
      <c r="I11610" s="4" t="str">
        <v>×</v>
      </c>
      <c r="J11610" s="4"/>
      <c r="K11610" s="4"/>
      <c r="L11610" s="4"/>
      <c r="M11610" s="5" t="s">
        <v>6502</v>
      </c>
    </row>
    <row r="11611" customFormat="false" ht="15.75" hidden="false" customHeight="false" outlineLevel="0" collapsed="false">
      <c r="A11611" s="6" t="n">
        <v>46222</v>
      </c>
      <c r="B11611" s="4" t="s">
        <v>1237</v>
      </c>
      <c r="C11611" s="4" t="n">
        <v>1</v>
      </c>
      <c r="D11611" s="4" t="n">
        <v>5</v>
      </c>
      <c r="E11611" s="4"/>
      <c r="F11611" s="4" t="n">
        <v>50</v>
      </c>
      <c r="G11611" s="4" t="n">
        <v>3</v>
      </c>
      <c r="H11611" s="4" t="n">
        <v>2</v>
      </c>
      <c r="I11611" s="4" t="str">
        <v>○</v>
      </c>
      <c r="J11611" s="4" t="n">
        <v>170</v>
      </c>
      <c r="K11611" s="4"/>
      <c r="L11611" s="4"/>
      <c r="M11611" s="5" t="s">
        <v>6502</v>
      </c>
    </row>
    <row r="11612" customFormat="false" ht="15.75" hidden="false" customHeight="false" outlineLevel="0" collapsed="false">
      <c r="A11612" s="6" t="n">
        <v>46222</v>
      </c>
      <c r="B11612" s="4" t="s">
        <v>1237</v>
      </c>
      <c r="C11612" s="4" t="n">
        <v>1</v>
      </c>
      <c r="D11612" s="4" t="n">
        <v>6</v>
      </c>
      <c r="E11612" s="4"/>
      <c r="F11612" s="4" t="n">
        <v>13</v>
      </c>
      <c r="G11612" s="4" t="n">
        <v>7</v>
      </c>
      <c r="H11612" s="4" t="n">
        <v>4</v>
      </c>
      <c r="I11612" s="4" t="str">
        <v>×</v>
      </c>
      <c r="J11612" s="4"/>
      <c r="K11612" s="4"/>
      <c r="L11612" s="4"/>
      <c r="M11612" s="5" t="s">
        <v>6502</v>
      </c>
    </row>
    <row r="11613" customFormat="false" ht="15.75" hidden="false" customHeight="false" outlineLevel="0" collapsed="false">
      <c r="A11613" s="6" t="n">
        <v>46222</v>
      </c>
      <c r="B11613" s="4" t="s">
        <v>1237</v>
      </c>
      <c r="C11613" s="4" t="n">
        <v>1</v>
      </c>
      <c r="D11613" s="4" t="n">
        <v>7</v>
      </c>
      <c r="E11613" s="4"/>
      <c r="F11613" s="4" t="n">
        <v>10</v>
      </c>
      <c r="G11613" s="4" t="n">
        <v>8</v>
      </c>
      <c r="H11613" s="4" t="n">
        <v>4</v>
      </c>
      <c r="I11613" s="4" t="str">
        <v>×</v>
      </c>
      <c r="J11613" s="4"/>
      <c r="K11613" s="4"/>
      <c r="L11613" s="4"/>
      <c r="M11613" s="5" t="s">
        <v>6502</v>
      </c>
    </row>
    <row r="11614" customFormat="false" ht="15.75" hidden="false" customHeight="false" outlineLevel="0" collapsed="false">
      <c r="A11614" s="6" t="n">
        <v>46222</v>
      </c>
      <c r="B11614" s="4" t="s">
        <v>1237</v>
      </c>
      <c r="C11614" s="4" t="n">
        <v>1</v>
      </c>
      <c r="D11614" s="4" t="n">
        <v>8</v>
      </c>
      <c r="E11614" s="4"/>
      <c r="F11614" s="4" t="n">
        <v>39</v>
      </c>
      <c r="G11614" s="4" t="n">
        <v>4</v>
      </c>
      <c r="H11614" s="4" t="n">
        <v>4</v>
      </c>
      <c r="I11614" s="4" t="str">
        <v>×</v>
      </c>
      <c r="J11614" s="4"/>
      <c r="K11614" s="4"/>
      <c r="L11614" s="4"/>
      <c r="M11614" s="5" t="s">
        <v>6502</v>
      </c>
    </row>
    <row r="11615" customFormat="false" ht="15.75" hidden="false" customHeight="false" outlineLevel="0" collapsed="false">
      <c r="A11615" s="6" t="n">
        <v>46222</v>
      </c>
      <c r="B11615" s="4" t="s">
        <v>1237</v>
      </c>
      <c r="C11615" s="4" t="n">
        <v>2</v>
      </c>
      <c r="D11615" s="4" t="n">
        <v>1</v>
      </c>
      <c r="E11615" s="4"/>
      <c r="F11615" s="4" t="n">
        <v>8</v>
      </c>
      <c r="G11615" s="4" t="n">
        <v>9</v>
      </c>
      <c r="H11615" s="4" t="n">
        <v>3</v>
      </c>
      <c r="I11615" s="4" t="str">
        <v>○</v>
      </c>
      <c r="J11615" s="4" t="n">
        <v>870</v>
      </c>
      <c r="K11615" s="4"/>
      <c r="L11615" s="4"/>
      <c r="M11615" s="5" t="s">
        <v>6502</v>
      </c>
    </row>
    <row r="11616" customFormat="false" ht="15.75" hidden="false" customHeight="false" outlineLevel="0" collapsed="false">
      <c r="A11616" s="6" t="n">
        <v>46222</v>
      </c>
      <c r="B11616" s="4" t="s">
        <v>1237</v>
      </c>
      <c r="C11616" s="4" t="n">
        <v>2</v>
      </c>
      <c r="D11616" s="4" t="n">
        <v>2</v>
      </c>
      <c r="E11616" s="4"/>
      <c r="F11616" s="4" t="n">
        <v>4</v>
      </c>
      <c r="G11616" s="4" t="n">
        <v>10</v>
      </c>
      <c r="H11616" s="4" t="n">
        <v>4</v>
      </c>
      <c r="I11616" s="4" t="str">
        <v>×</v>
      </c>
      <c r="J11616" s="4"/>
      <c r="K11616" s="4"/>
      <c r="L11616" s="4"/>
      <c r="M11616" s="5" t="s">
        <v>6502</v>
      </c>
    </row>
    <row r="11617" customFormat="false" ht="15.75" hidden="false" customHeight="false" outlineLevel="0" collapsed="false">
      <c r="A11617" s="6" t="n">
        <v>46222</v>
      </c>
      <c r="B11617" s="4" t="s">
        <v>1237</v>
      </c>
      <c r="C11617" s="4" t="n">
        <v>2</v>
      </c>
      <c r="D11617" s="4" t="n">
        <v>3</v>
      </c>
      <c r="E11617" s="4"/>
      <c r="F11617" s="4" t="n">
        <v>10</v>
      </c>
      <c r="G11617" s="4" t="n">
        <v>6</v>
      </c>
      <c r="H11617" s="4" t="n">
        <v>4</v>
      </c>
      <c r="I11617" s="4" t="str">
        <v>×</v>
      </c>
      <c r="J11617" s="4"/>
      <c r="K11617" s="4"/>
      <c r="L11617" s="4"/>
      <c r="M11617" s="5" t="s">
        <v>6502</v>
      </c>
    </row>
    <row r="11618" customFormat="false" ht="15.75" hidden="false" customHeight="false" outlineLevel="0" collapsed="false">
      <c r="A11618" s="6" t="n">
        <v>46222</v>
      </c>
      <c r="B11618" s="4" t="s">
        <v>1237</v>
      </c>
      <c r="C11618" s="4" t="n">
        <v>2</v>
      </c>
      <c r="D11618" s="4" t="n">
        <v>4</v>
      </c>
      <c r="E11618" s="4"/>
      <c r="F11618" s="4" t="n">
        <v>62</v>
      </c>
      <c r="G11618" s="4" t="n">
        <v>1</v>
      </c>
      <c r="H11618" s="4" t="n">
        <v>2</v>
      </c>
      <c r="I11618" s="4" t="str">
        <v>○</v>
      </c>
      <c r="J11618" s="4" t="n">
        <v>130</v>
      </c>
      <c r="K11618" s="4"/>
      <c r="L11618" s="4"/>
      <c r="M11618" s="5" t="s">
        <v>6502</v>
      </c>
    </row>
    <row r="11619" customFormat="false" ht="15.75" hidden="false" customHeight="false" outlineLevel="0" collapsed="false">
      <c r="A11619" s="6" t="n">
        <v>46222</v>
      </c>
      <c r="B11619" s="4" t="s">
        <v>1237</v>
      </c>
      <c r="C11619" s="4" t="n">
        <v>2</v>
      </c>
      <c r="D11619" s="4" t="n">
        <v>5</v>
      </c>
      <c r="E11619" s="4"/>
      <c r="F11619" s="4" t="n">
        <v>10</v>
      </c>
      <c r="G11619" s="4" t="n">
        <v>6</v>
      </c>
      <c r="H11619" s="4" t="n">
        <v>4</v>
      </c>
      <c r="I11619" s="4" t="str">
        <v>×</v>
      </c>
      <c r="J11619" s="4"/>
      <c r="K11619" s="4"/>
      <c r="L11619" s="4"/>
      <c r="M11619" s="5" t="s">
        <v>6502</v>
      </c>
    </row>
    <row r="11620" customFormat="false" ht="15.75" hidden="false" customHeight="false" outlineLevel="0" collapsed="false">
      <c r="A11620" s="6" t="n">
        <v>46222</v>
      </c>
      <c r="B11620" s="4" t="s">
        <v>1237</v>
      </c>
      <c r="C11620" s="4" t="n">
        <v>2</v>
      </c>
      <c r="D11620" s="4" t="n">
        <v>6</v>
      </c>
      <c r="E11620" s="4"/>
      <c r="F11620" s="4" t="n">
        <v>20</v>
      </c>
      <c r="G11620" s="4" t="n">
        <v>4</v>
      </c>
      <c r="H11620" s="4" t="n">
        <v>4</v>
      </c>
      <c r="I11620" s="4" t="str">
        <v>×</v>
      </c>
      <c r="J11620" s="4"/>
      <c r="K11620" s="4"/>
      <c r="L11620" s="4"/>
      <c r="M11620" s="5" t="s">
        <v>6502</v>
      </c>
    </row>
    <row r="11621" customFormat="false" ht="15.75" hidden="false" customHeight="false" outlineLevel="0" collapsed="false">
      <c r="A11621" s="6" t="n">
        <v>46222</v>
      </c>
      <c r="B11621" s="4" t="s">
        <v>1237</v>
      </c>
      <c r="C11621" s="4" t="n">
        <v>2</v>
      </c>
      <c r="D11621" s="4" t="n">
        <v>7</v>
      </c>
      <c r="E11621" s="4"/>
      <c r="F11621" s="4" t="n">
        <v>20</v>
      </c>
      <c r="G11621" s="4" t="n">
        <v>4</v>
      </c>
      <c r="H11621" s="4" t="n">
        <v>1</v>
      </c>
      <c r="I11621" s="4" t="str">
        <v>○</v>
      </c>
      <c r="J11621" s="4" t="n">
        <v>300</v>
      </c>
      <c r="K11621" s="4"/>
      <c r="L11621" s="4"/>
      <c r="M11621" s="5" t="s">
        <v>6502</v>
      </c>
    </row>
    <row r="11622" customFormat="false" ht="15.75" hidden="false" customHeight="false" outlineLevel="0" collapsed="false">
      <c r="A11622" s="6" t="n">
        <v>46222</v>
      </c>
      <c r="B11622" s="4" t="s">
        <v>1237</v>
      </c>
      <c r="C11622" s="4" t="n">
        <v>2</v>
      </c>
      <c r="D11622" s="4" t="n">
        <v>8</v>
      </c>
      <c r="E11622" s="4"/>
      <c r="F11622" s="4" t="n">
        <v>58</v>
      </c>
      <c r="G11622" s="4" t="n">
        <v>2</v>
      </c>
      <c r="H11622" s="4" t="n">
        <v>4</v>
      </c>
      <c r="I11622" s="4" t="str">
        <v>×</v>
      </c>
      <c r="J11622" s="4"/>
      <c r="K11622" s="4"/>
      <c r="L11622" s="4"/>
      <c r="M11622" s="5" t="s">
        <v>6502</v>
      </c>
    </row>
    <row r="11623" customFormat="false" ht="15.75" hidden="false" customHeight="false" outlineLevel="0" collapsed="false">
      <c r="A11623" s="6" t="n">
        <v>46222</v>
      </c>
      <c r="B11623" s="4" t="s">
        <v>1237</v>
      </c>
      <c r="C11623" s="4" t="n">
        <v>2</v>
      </c>
      <c r="D11623" s="4" t="n">
        <v>9</v>
      </c>
      <c r="E11623" s="4"/>
      <c r="F11623" s="4" t="n">
        <v>10</v>
      </c>
      <c r="G11623" s="4" t="n">
        <v>6</v>
      </c>
      <c r="H11623" s="4" t="n">
        <v>4</v>
      </c>
      <c r="I11623" s="4" t="str">
        <v>×</v>
      </c>
      <c r="J11623" s="4"/>
      <c r="K11623" s="4"/>
      <c r="L11623" s="4"/>
      <c r="M11623" s="5" t="s">
        <v>6502</v>
      </c>
    </row>
    <row r="11624" customFormat="false" ht="15.75" hidden="false" customHeight="false" outlineLevel="0" collapsed="false">
      <c r="A11624" s="6" t="n">
        <v>46222</v>
      </c>
      <c r="B11624" s="4" t="s">
        <v>1237</v>
      </c>
      <c r="C11624" s="4" t="n">
        <v>2</v>
      </c>
      <c r="D11624" s="4" t="n">
        <v>10</v>
      </c>
      <c r="E11624" s="4"/>
      <c r="F11624" s="4" t="n">
        <v>37</v>
      </c>
      <c r="G11624" s="4" t="n">
        <v>3</v>
      </c>
      <c r="H11624" s="4" t="n">
        <v>4</v>
      </c>
      <c r="I11624" s="4" t="str">
        <v>×</v>
      </c>
      <c r="J11624" s="4"/>
      <c r="K11624" s="4"/>
      <c r="L11624" s="4"/>
      <c r="M11624" s="5" t="s">
        <v>6502</v>
      </c>
    </row>
    <row r="11625" customFormat="false" ht="15.75" hidden="false" customHeight="false" outlineLevel="0" collapsed="false">
      <c r="A11625" s="6" t="n">
        <v>46222</v>
      </c>
      <c r="B11625" s="4" t="s">
        <v>1237</v>
      </c>
      <c r="C11625" s="4" t="n">
        <v>3</v>
      </c>
      <c r="D11625" s="4" t="n">
        <v>1</v>
      </c>
      <c r="E11625" s="4"/>
      <c r="F11625" s="4" t="n">
        <v>17</v>
      </c>
      <c r="G11625" s="4" t="n">
        <v>4</v>
      </c>
      <c r="H11625" s="4" t="n">
        <v>4</v>
      </c>
      <c r="I11625" s="4" t="str">
        <v>×</v>
      </c>
      <c r="J11625" s="4"/>
      <c r="K11625" s="4"/>
      <c r="L11625" s="4"/>
      <c r="M11625" s="5" t="s">
        <v>6502</v>
      </c>
    </row>
    <row r="11626" customFormat="false" ht="15.75" hidden="false" customHeight="false" outlineLevel="0" collapsed="false">
      <c r="A11626" s="6" t="n">
        <v>46222</v>
      </c>
      <c r="B11626" s="4" t="s">
        <v>1237</v>
      </c>
      <c r="C11626" s="4" t="n">
        <v>3</v>
      </c>
      <c r="D11626" s="4" t="n">
        <v>2</v>
      </c>
      <c r="E11626" s="4"/>
      <c r="F11626" s="4" t="n">
        <v>17</v>
      </c>
      <c r="G11626" s="4" t="n">
        <v>4</v>
      </c>
      <c r="H11626" s="4" t="n">
        <v>4</v>
      </c>
      <c r="I11626" s="4" t="str">
        <v>×</v>
      </c>
      <c r="J11626" s="4"/>
      <c r="K11626" s="4"/>
      <c r="L11626" s="4"/>
      <c r="M11626" s="5" t="s">
        <v>6502</v>
      </c>
    </row>
    <row r="11627" customFormat="false" ht="15.75" hidden="false" customHeight="false" outlineLevel="0" collapsed="false">
      <c r="A11627" s="6" t="n">
        <v>46222</v>
      </c>
      <c r="B11627" s="4" t="s">
        <v>1237</v>
      </c>
      <c r="C11627" s="4" t="n">
        <v>3</v>
      </c>
      <c r="D11627" s="4" t="n">
        <v>3</v>
      </c>
      <c r="E11627" s="4"/>
      <c r="F11627" s="4" t="n">
        <v>60</v>
      </c>
      <c r="G11627" s="4" t="n">
        <v>2</v>
      </c>
      <c r="H11627" s="4" t="n">
        <v>2</v>
      </c>
      <c r="I11627" s="4" t="str">
        <v>○</v>
      </c>
      <c r="J11627" s="4" t="n">
        <v>190</v>
      </c>
      <c r="K11627" s="4"/>
      <c r="L11627" s="4"/>
      <c r="M11627" s="5" t="s">
        <v>6502</v>
      </c>
    </row>
    <row r="11628" customFormat="false" ht="15.75" hidden="false" customHeight="false" outlineLevel="0" collapsed="false">
      <c r="A11628" s="6" t="n">
        <v>46222</v>
      </c>
      <c r="B11628" s="4" t="s">
        <v>1237</v>
      </c>
      <c r="C11628" s="4" t="n">
        <v>3</v>
      </c>
      <c r="D11628" s="4" t="n">
        <v>4</v>
      </c>
      <c r="E11628" s="4"/>
      <c r="F11628" s="4" t="n">
        <v>6</v>
      </c>
      <c r="G11628" s="4" t="n">
        <v>10</v>
      </c>
      <c r="H11628" s="4" t="n">
        <v>4</v>
      </c>
      <c r="I11628" s="4" t="str">
        <v>×</v>
      </c>
      <c r="J11628" s="4"/>
      <c r="K11628" s="4"/>
      <c r="L11628" s="4"/>
      <c r="M11628" s="5" t="s">
        <v>6502</v>
      </c>
    </row>
    <row r="11629" customFormat="false" ht="15.75" hidden="false" customHeight="false" outlineLevel="0" collapsed="false">
      <c r="A11629" s="6" t="n">
        <v>46222</v>
      </c>
      <c r="B11629" s="4" t="s">
        <v>1237</v>
      </c>
      <c r="C11629" s="4" t="n">
        <v>3</v>
      </c>
      <c r="D11629" s="4" t="n">
        <v>5</v>
      </c>
      <c r="E11629" s="4"/>
      <c r="F11629" s="4" t="n">
        <v>6</v>
      </c>
      <c r="G11629" s="4" t="n">
        <v>10</v>
      </c>
      <c r="H11629" s="4" t="n">
        <v>4</v>
      </c>
      <c r="I11629" s="4" t="str">
        <v>×</v>
      </c>
      <c r="J11629" s="4"/>
      <c r="K11629" s="4"/>
      <c r="L11629" s="4"/>
      <c r="M11629" s="5" t="s">
        <v>6502</v>
      </c>
    </row>
    <row r="11630" customFormat="false" ht="15.75" hidden="false" customHeight="false" outlineLevel="0" collapsed="false">
      <c r="A11630" s="6" t="n">
        <v>46222</v>
      </c>
      <c r="B11630" s="4" t="s">
        <v>1237</v>
      </c>
      <c r="C11630" s="4" t="n">
        <v>3</v>
      </c>
      <c r="D11630" s="4" t="n">
        <v>6</v>
      </c>
      <c r="E11630" s="4"/>
      <c r="F11630" s="4" t="n">
        <v>8</v>
      </c>
      <c r="G11630" s="4" t="n">
        <v>9</v>
      </c>
      <c r="H11630" s="4" t="n">
        <v>4</v>
      </c>
      <c r="I11630" s="4" t="str">
        <v>×</v>
      </c>
      <c r="J11630" s="4"/>
      <c r="K11630" s="4"/>
      <c r="L11630" s="4"/>
      <c r="M11630" s="5" t="s">
        <v>6502</v>
      </c>
    </row>
    <row r="11631" customFormat="false" ht="15.75" hidden="false" customHeight="false" outlineLevel="0" collapsed="false">
      <c r="A11631" s="6" t="n">
        <v>46222</v>
      </c>
      <c r="B11631" s="4" t="s">
        <v>1237</v>
      </c>
      <c r="C11631" s="4" t="n">
        <v>3</v>
      </c>
      <c r="D11631" s="4" t="n">
        <v>7</v>
      </c>
      <c r="E11631" s="4"/>
      <c r="F11631" s="4" t="n">
        <v>17</v>
      </c>
      <c r="G11631" s="4" t="n">
        <v>4</v>
      </c>
      <c r="H11631" s="4" t="n">
        <v>4</v>
      </c>
      <c r="I11631" s="4" t="str">
        <v>×</v>
      </c>
      <c r="J11631" s="4"/>
      <c r="K11631" s="4"/>
      <c r="L11631" s="4"/>
      <c r="M11631" s="5" t="s">
        <v>6502</v>
      </c>
    </row>
    <row r="11632" customFormat="false" ht="15.75" hidden="false" customHeight="false" outlineLevel="0" collapsed="false">
      <c r="A11632" s="6" t="n">
        <v>46222</v>
      </c>
      <c r="B11632" s="4" t="s">
        <v>1237</v>
      </c>
      <c r="C11632" s="4" t="n">
        <v>3</v>
      </c>
      <c r="D11632" s="4" t="n">
        <v>8</v>
      </c>
      <c r="E11632" s="4"/>
      <c r="F11632" s="4" t="n">
        <v>6</v>
      </c>
      <c r="G11632" s="4" t="n">
        <v>10</v>
      </c>
      <c r="H11632" s="4" t="n">
        <v>4</v>
      </c>
      <c r="I11632" s="4" t="str">
        <v>×</v>
      </c>
      <c r="J11632" s="4"/>
      <c r="K11632" s="4"/>
      <c r="L11632" s="4"/>
      <c r="M11632" s="5" t="s">
        <v>6502</v>
      </c>
    </row>
    <row r="11633" customFormat="false" ht="15.75" hidden="false" customHeight="false" outlineLevel="0" collapsed="false">
      <c r="A11633" s="6" t="n">
        <v>46222</v>
      </c>
      <c r="B11633" s="4" t="s">
        <v>1237</v>
      </c>
      <c r="C11633" s="4" t="n">
        <v>3</v>
      </c>
      <c r="D11633" s="4" t="n">
        <v>9</v>
      </c>
      <c r="E11633" s="4"/>
      <c r="F11633" s="4" t="n">
        <v>62</v>
      </c>
      <c r="G11633" s="4" t="n">
        <v>1</v>
      </c>
      <c r="H11633" s="4" t="n">
        <v>1</v>
      </c>
      <c r="I11633" s="4" t="str">
        <v>○</v>
      </c>
      <c r="J11633" s="4" t="n">
        <v>140</v>
      </c>
      <c r="K11633" s="4"/>
      <c r="L11633" s="4"/>
      <c r="M11633" s="5" t="s">
        <v>6502</v>
      </c>
    </row>
    <row r="11634" customFormat="false" ht="15.75" hidden="false" customHeight="false" outlineLevel="0" collapsed="false">
      <c r="A11634" s="6" t="n">
        <v>46222</v>
      </c>
      <c r="B11634" s="4" t="s">
        <v>1237</v>
      </c>
      <c r="C11634" s="4" t="n">
        <v>3</v>
      </c>
      <c r="D11634" s="4" t="n">
        <v>10</v>
      </c>
      <c r="E11634" s="4"/>
      <c r="F11634" s="4" t="n">
        <v>3</v>
      </c>
      <c r="G11634" s="4" t="n">
        <v>14</v>
      </c>
      <c r="H11634" s="4" t="n">
        <v>4</v>
      </c>
      <c r="I11634" s="4" t="str">
        <v>×</v>
      </c>
      <c r="J11634" s="4"/>
      <c r="K11634" s="4"/>
      <c r="L11634" s="4"/>
      <c r="M11634" s="5" t="s">
        <v>6502</v>
      </c>
    </row>
    <row r="11635" customFormat="false" ht="15.75" hidden="false" customHeight="false" outlineLevel="0" collapsed="false">
      <c r="A11635" s="6" t="n">
        <v>46222</v>
      </c>
      <c r="B11635" s="4" t="s">
        <v>1237</v>
      </c>
      <c r="C11635" s="4" t="n">
        <v>3</v>
      </c>
      <c r="D11635" s="4" t="n">
        <v>11</v>
      </c>
      <c r="E11635" s="4"/>
      <c r="F11635" s="4" t="n">
        <v>15</v>
      </c>
      <c r="G11635" s="4" t="n">
        <v>7</v>
      </c>
      <c r="H11635" s="4" t="n">
        <v>3</v>
      </c>
      <c r="I11635" s="4" t="str">
        <v>○</v>
      </c>
      <c r="J11635" s="4" t="n">
        <v>170</v>
      </c>
      <c r="K11635" s="4"/>
      <c r="L11635" s="4"/>
      <c r="M11635" s="5" t="s">
        <v>6502</v>
      </c>
    </row>
    <row r="11636" customFormat="false" ht="15.75" hidden="false" customHeight="false" outlineLevel="0" collapsed="false">
      <c r="A11636" s="6" t="n">
        <v>46222</v>
      </c>
      <c r="B11636" s="4" t="s">
        <v>1237</v>
      </c>
      <c r="C11636" s="4" t="n">
        <v>3</v>
      </c>
      <c r="D11636" s="4" t="n">
        <v>12</v>
      </c>
      <c r="E11636" s="4"/>
      <c r="F11636" s="4" t="n">
        <v>15</v>
      </c>
      <c r="G11636" s="4" t="n">
        <v>7</v>
      </c>
      <c r="H11636" s="4" t="n">
        <v>4</v>
      </c>
      <c r="I11636" s="4" t="str">
        <v>×</v>
      </c>
      <c r="J11636" s="4"/>
      <c r="K11636" s="4"/>
      <c r="L11636" s="4"/>
      <c r="M11636" s="5" t="s">
        <v>6502</v>
      </c>
    </row>
    <row r="11637" customFormat="false" ht="15.75" hidden="false" customHeight="false" outlineLevel="0" collapsed="false">
      <c r="A11637" s="6" t="n">
        <v>46222</v>
      </c>
      <c r="B11637" s="4" t="s">
        <v>1237</v>
      </c>
      <c r="C11637" s="4" t="n">
        <v>3</v>
      </c>
      <c r="D11637" s="4" t="n">
        <v>13</v>
      </c>
      <c r="E11637" s="4"/>
      <c r="F11637" s="4" t="n">
        <v>58</v>
      </c>
      <c r="G11637" s="4" t="n">
        <v>3</v>
      </c>
      <c r="H11637" s="4" t="n">
        <v>4</v>
      </c>
      <c r="I11637" s="4" t="str">
        <v>×</v>
      </c>
      <c r="J11637" s="4"/>
      <c r="K11637" s="4"/>
      <c r="L11637" s="4"/>
      <c r="M11637" s="5" t="s">
        <v>6502</v>
      </c>
    </row>
    <row r="11638" customFormat="false" ht="15.75" hidden="false" customHeight="false" outlineLevel="0" collapsed="false">
      <c r="A11638" s="6" t="n">
        <v>46222</v>
      </c>
      <c r="B11638" s="4" t="s">
        <v>1237</v>
      </c>
      <c r="C11638" s="4" t="n">
        <v>3</v>
      </c>
      <c r="D11638" s="4" t="n">
        <v>14</v>
      </c>
      <c r="E11638" s="4"/>
      <c r="F11638" s="4" t="n">
        <v>6</v>
      </c>
      <c r="G11638" s="4" t="n">
        <v>10</v>
      </c>
      <c r="H11638" s="4" t="n">
        <v>4</v>
      </c>
      <c r="I11638" s="4" t="str">
        <v>×</v>
      </c>
      <c r="J11638" s="4"/>
      <c r="K11638" s="4"/>
      <c r="L11638" s="4"/>
      <c r="M11638" s="5" t="s">
        <v>6502</v>
      </c>
    </row>
    <row r="11639" customFormat="false" ht="15.75" hidden="false" customHeight="false" outlineLevel="0" collapsed="false">
      <c r="A11639" s="6" t="n">
        <v>46222</v>
      </c>
      <c r="B11639" s="4" t="s">
        <v>1237</v>
      </c>
      <c r="C11639" s="4" t="n">
        <v>4</v>
      </c>
      <c r="D11639" s="4" t="n">
        <v>1</v>
      </c>
      <c r="E11639" s="4"/>
      <c r="F11639" s="4" t="n">
        <v>6</v>
      </c>
      <c r="G11639" s="4" t="n">
        <v>12</v>
      </c>
      <c r="H11639" s="4" t="n">
        <v>4</v>
      </c>
      <c r="I11639" s="4" t="str">
        <v>×</v>
      </c>
      <c r="J11639" s="4"/>
      <c r="K11639" s="4"/>
      <c r="L11639" s="4"/>
      <c r="M11639" s="5" t="s">
        <v>6502</v>
      </c>
    </row>
    <row r="11640" customFormat="false" ht="15.75" hidden="false" customHeight="false" outlineLevel="0" collapsed="false">
      <c r="A11640" s="6" t="n">
        <v>46222</v>
      </c>
      <c r="B11640" s="4" t="s">
        <v>1237</v>
      </c>
      <c r="C11640" s="4" t="n">
        <v>4</v>
      </c>
      <c r="D11640" s="4" t="n">
        <v>2</v>
      </c>
      <c r="E11640" s="4"/>
      <c r="F11640" s="4" t="n">
        <v>23</v>
      </c>
      <c r="G11640" s="4" t="n">
        <v>6</v>
      </c>
      <c r="H11640" s="4" t="n">
        <v>4</v>
      </c>
      <c r="I11640" s="4" t="str">
        <v>×</v>
      </c>
      <c r="J11640" s="4"/>
      <c r="K11640" s="4"/>
      <c r="L11640" s="4"/>
      <c r="M11640" s="5" t="s">
        <v>6502</v>
      </c>
    </row>
    <row r="11641" customFormat="false" ht="15.75" hidden="false" customHeight="false" outlineLevel="0" collapsed="false">
      <c r="A11641" s="6" t="n">
        <v>46222</v>
      </c>
      <c r="B11641" s="4" t="s">
        <v>1237</v>
      </c>
      <c r="C11641" s="4" t="n">
        <v>4</v>
      </c>
      <c r="D11641" s="4" t="n">
        <v>3</v>
      </c>
      <c r="E11641" s="4"/>
      <c r="F11641" s="4" t="n">
        <v>34</v>
      </c>
      <c r="G11641" s="4" t="n">
        <v>4</v>
      </c>
      <c r="H11641" s="4" t="n">
        <v>2</v>
      </c>
      <c r="I11641" s="4" t="str">
        <v>○</v>
      </c>
      <c r="J11641" s="4" t="n">
        <v>230</v>
      </c>
      <c r="K11641" s="4"/>
      <c r="L11641" s="4"/>
      <c r="M11641" s="5" t="s">
        <v>6502</v>
      </c>
    </row>
    <row r="11642" customFormat="false" ht="15.75" hidden="false" customHeight="false" outlineLevel="0" collapsed="false">
      <c r="A11642" s="6" t="n">
        <v>46222</v>
      </c>
      <c r="B11642" s="4" t="s">
        <v>1237</v>
      </c>
      <c r="C11642" s="4" t="n">
        <v>4</v>
      </c>
      <c r="D11642" s="4" t="n">
        <v>4</v>
      </c>
      <c r="E11642" s="4"/>
      <c r="F11642" s="4" t="n">
        <v>20</v>
      </c>
      <c r="G11642" s="4" t="n">
        <v>8</v>
      </c>
      <c r="H11642" s="4" t="n">
        <v>4</v>
      </c>
      <c r="I11642" s="4" t="str">
        <v>×</v>
      </c>
      <c r="J11642" s="4"/>
      <c r="K11642" s="4"/>
      <c r="L11642" s="4"/>
      <c r="M11642" s="5" t="s">
        <v>6502</v>
      </c>
    </row>
    <row r="11643" customFormat="false" ht="15.75" hidden="false" customHeight="false" outlineLevel="0" collapsed="false">
      <c r="A11643" s="6" t="n">
        <v>46222</v>
      </c>
      <c r="B11643" s="4" t="s">
        <v>1237</v>
      </c>
      <c r="C11643" s="4" t="n">
        <v>4</v>
      </c>
      <c r="D11643" s="4" t="n">
        <v>5</v>
      </c>
      <c r="E11643" s="4"/>
      <c r="F11643" s="4" t="n">
        <v>6</v>
      </c>
      <c r="G11643" s="4" t="n">
        <v>12</v>
      </c>
      <c r="H11643" s="4" t="n">
        <v>4</v>
      </c>
      <c r="I11643" s="4" t="str">
        <v>×</v>
      </c>
      <c r="J11643" s="4"/>
      <c r="K11643" s="4"/>
      <c r="L11643" s="4"/>
      <c r="M11643" s="5" t="s">
        <v>6502</v>
      </c>
    </row>
    <row r="11644" customFormat="false" ht="15.75" hidden="false" customHeight="false" outlineLevel="0" collapsed="false">
      <c r="A11644" s="6" t="n">
        <v>46222</v>
      </c>
      <c r="B11644" s="4" t="s">
        <v>1237</v>
      </c>
      <c r="C11644" s="4" t="n">
        <v>4</v>
      </c>
      <c r="D11644" s="4" t="n">
        <v>6</v>
      </c>
      <c r="E11644" s="4"/>
      <c r="F11644" s="4" t="n">
        <v>23</v>
      </c>
      <c r="G11644" s="4" t="n">
        <v>6</v>
      </c>
      <c r="H11644" s="4" t="n">
        <v>4</v>
      </c>
      <c r="I11644" s="4" t="str">
        <v>×</v>
      </c>
      <c r="J11644" s="4"/>
      <c r="K11644" s="4"/>
      <c r="L11644" s="4"/>
      <c r="M11644" s="5" t="s">
        <v>6502</v>
      </c>
    </row>
    <row r="11645" customFormat="false" ht="15.75" hidden="false" customHeight="false" outlineLevel="0" collapsed="false">
      <c r="A11645" s="6" t="n">
        <v>46222</v>
      </c>
      <c r="B11645" s="4" t="s">
        <v>1237</v>
      </c>
      <c r="C11645" s="4" t="n">
        <v>4</v>
      </c>
      <c r="D11645" s="4" t="n">
        <v>7</v>
      </c>
      <c r="E11645" s="4"/>
      <c r="F11645" s="4" t="n">
        <v>60</v>
      </c>
      <c r="G11645" s="4" t="n">
        <v>1</v>
      </c>
      <c r="H11645" s="4" t="n">
        <v>4</v>
      </c>
      <c r="I11645" s="4" t="str">
        <v>×</v>
      </c>
      <c r="J11645" s="4"/>
      <c r="K11645" s="4"/>
      <c r="L11645" s="4"/>
      <c r="M11645" s="5" t="s">
        <v>6502</v>
      </c>
    </row>
    <row r="11646" customFormat="false" ht="15.75" hidden="false" customHeight="false" outlineLevel="0" collapsed="false">
      <c r="A11646" s="6" t="n">
        <v>46222</v>
      </c>
      <c r="B11646" s="4" t="s">
        <v>1237</v>
      </c>
      <c r="C11646" s="4" t="n">
        <v>4</v>
      </c>
      <c r="D11646" s="4" t="n">
        <v>8</v>
      </c>
      <c r="E11646" s="4"/>
      <c r="F11646" s="4" t="n">
        <v>17</v>
      </c>
      <c r="G11646" s="4" t="n">
        <v>10</v>
      </c>
      <c r="H11646" s="4" t="n">
        <v>1</v>
      </c>
      <c r="I11646" s="4" t="str">
        <v>○</v>
      </c>
      <c r="J11646" s="4" t="n">
        <v>490</v>
      </c>
      <c r="K11646" s="4"/>
      <c r="L11646" s="4"/>
      <c r="M11646" s="5" t="s">
        <v>6502</v>
      </c>
    </row>
    <row r="11647" customFormat="false" ht="15.75" hidden="false" customHeight="false" outlineLevel="0" collapsed="false">
      <c r="A11647" s="6" t="n">
        <v>46222</v>
      </c>
      <c r="B11647" s="4" t="s">
        <v>1237</v>
      </c>
      <c r="C11647" s="4" t="n">
        <v>4</v>
      </c>
      <c r="D11647" s="4" t="n">
        <v>9</v>
      </c>
      <c r="E11647" s="4"/>
      <c r="F11647" s="4" t="n">
        <v>25</v>
      </c>
      <c r="G11647" s="4" t="n">
        <v>5</v>
      </c>
      <c r="H11647" s="4" t="n">
        <v>4</v>
      </c>
      <c r="I11647" s="4" t="str">
        <v>×</v>
      </c>
      <c r="J11647" s="4"/>
      <c r="K11647" s="4"/>
      <c r="L11647" s="4"/>
      <c r="M11647" s="5" t="s">
        <v>6502</v>
      </c>
    </row>
    <row r="11648" customFormat="false" ht="15.75" hidden="false" customHeight="false" outlineLevel="0" collapsed="false">
      <c r="A11648" s="6" t="n">
        <v>46222</v>
      </c>
      <c r="B11648" s="4" t="s">
        <v>1237</v>
      </c>
      <c r="C11648" s="4" t="n">
        <v>4</v>
      </c>
      <c r="D11648" s="4" t="n">
        <v>10</v>
      </c>
      <c r="E11648" s="4"/>
      <c r="F11648" s="4" t="n">
        <v>17</v>
      </c>
      <c r="G11648" s="4" t="n">
        <v>10</v>
      </c>
      <c r="H11648" s="4" t="n">
        <v>4</v>
      </c>
      <c r="I11648" s="4" t="str">
        <v>×</v>
      </c>
      <c r="J11648" s="4"/>
      <c r="K11648" s="4"/>
      <c r="L11648" s="4"/>
      <c r="M11648" s="5" t="s">
        <v>6502</v>
      </c>
    </row>
    <row r="11649" customFormat="false" ht="15.75" hidden="false" customHeight="false" outlineLevel="0" collapsed="false">
      <c r="A11649" s="6" t="n">
        <v>46222</v>
      </c>
      <c r="B11649" s="4" t="s">
        <v>1237</v>
      </c>
      <c r="C11649" s="4" t="n">
        <v>4</v>
      </c>
      <c r="D11649" s="4" t="n">
        <v>11</v>
      </c>
      <c r="E11649" s="4"/>
      <c r="F11649" s="4" t="n">
        <v>39</v>
      </c>
      <c r="G11649" s="4" t="n">
        <v>3</v>
      </c>
      <c r="H11649" s="4" t="n">
        <v>3</v>
      </c>
      <c r="I11649" s="4" t="str">
        <v>○</v>
      </c>
      <c r="J11649" s="4" t="n">
        <v>260</v>
      </c>
      <c r="K11649" s="4"/>
      <c r="L11649" s="4"/>
      <c r="M11649" s="5" t="s">
        <v>6502</v>
      </c>
    </row>
    <row r="11650" customFormat="false" ht="15.75" hidden="false" customHeight="false" outlineLevel="0" collapsed="false">
      <c r="A11650" s="6" t="n">
        <v>46222</v>
      </c>
      <c r="B11650" s="4" t="s">
        <v>1237</v>
      </c>
      <c r="C11650" s="4" t="n">
        <v>4</v>
      </c>
      <c r="D11650" s="4" t="n">
        <v>12</v>
      </c>
      <c r="E11650" s="4"/>
      <c r="F11650" s="4" t="n">
        <v>44</v>
      </c>
      <c r="G11650" s="4" t="n">
        <v>2</v>
      </c>
      <c r="H11650" s="4" t="n">
        <v>4</v>
      </c>
      <c r="I11650" s="4" t="str">
        <v>×</v>
      </c>
      <c r="J11650" s="4"/>
      <c r="K11650" s="4"/>
      <c r="L11650" s="4"/>
      <c r="M11650" s="5" t="s">
        <v>6502</v>
      </c>
    </row>
    <row r="11651" customFormat="false" ht="15.75" hidden="false" customHeight="false" outlineLevel="0" collapsed="false">
      <c r="A11651" s="6" t="n">
        <v>46222</v>
      </c>
      <c r="B11651" s="4" t="s">
        <v>1237</v>
      </c>
      <c r="C11651" s="4" t="n">
        <v>4</v>
      </c>
      <c r="D11651" s="4" t="n">
        <v>13</v>
      </c>
      <c r="E11651" s="4"/>
      <c r="F11651" s="4" t="n">
        <v>20</v>
      </c>
      <c r="G11651" s="4" t="n">
        <v>8</v>
      </c>
      <c r="H11651" s="4" t="n">
        <v>4</v>
      </c>
      <c r="I11651" s="4" t="str">
        <v>×</v>
      </c>
      <c r="J11651" s="4"/>
      <c r="K11651" s="4"/>
      <c r="L11651" s="4"/>
      <c r="M11651" s="5" t="s">
        <v>6502</v>
      </c>
    </row>
    <row r="11652" customFormat="false" ht="15.75" hidden="false" customHeight="false" outlineLevel="0" collapsed="false">
      <c r="A11652" s="6" t="n">
        <v>46222</v>
      </c>
      <c r="B11652" s="4" t="s">
        <v>1237</v>
      </c>
      <c r="C11652" s="4" t="n">
        <v>5</v>
      </c>
      <c r="D11652" s="4" t="n">
        <v>1</v>
      </c>
      <c r="E11652" s="4"/>
      <c r="F11652" s="4" t="n">
        <v>21</v>
      </c>
      <c r="G11652" s="4" t="n">
        <v>4</v>
      </c>
      <c r="H11652" s="4" t="n">
        <v>2</v>
      </c>
      <c r="I11652" s="4" t="str">
        <v>○</v>
      </c>
      <c r="J11652" s="4" t="n">
        <v>340</v>
      </c>
      <c r="K11652" s="4"/>
      <c r="L11652" s="4"/>
      <c r="M11652" s="5" t="s">
        <v>6502</v>
      </c>
    </row>
    <row r="11653" customFormat="false" ht="15.75" hidden="false" customHeight="false" outlineLevel="0" collapsed="false">
      <c r="A11653" s="6" t="n">
        <v>46222</v>
      </c>
      <c r="B11653" s="4" t="s">
        <v>1237</v>
      </c>
      <c r="C11653" s="4" t="n">
        <v>5</v>
      </c>
      <c r="D11653" s="4" t="n">
        <v>2</v>
      </c>
      <c r="E11653" s="4"/>
      <c r="F11653" s="4" t="n">
        <v>21</v>
      </c>
      <c r="G11653" s="4" t="n">
        <v>4</v>
      </c>
      <c r="H11653" s="4" t="n">
        <v>4</v>
      </c>
      <c r="I11653" s="4" t="str">
        <v>×</v>
      </c>
      <c r="J11653" s="4"/>
      <c r="K11653" s="4"/>
      <c r="L11653" s="4"/>
      <c r="M11653" s="5" t="s">
        <v>6502</v>
      </c>
    </row>
    <row r="11654" customFormat="false" ht="15.75" hidden="false" customHeight="false" outlineLevel="0" collapsed="false">
      <c r="A11654" s="6" t="n">
        <v>46222</v>
      </c>
      <c r="B11654" s="4" t="s">
        <v>1237</v>
      </c>
      <c r="C11654" s="4" t="n">
        <v>5</v>
      </c>
      <c r="D11654" s="4" t="n">
        <v>3</v>
      </c>
      <c r="E11654" s="4"/>
      <c r="F11654" s="4" t="n">
        <v>31</v>
      </c>
      <c r="G11654" s="4" t="n">
        <v>1</v>
      </c>
      <c r="H11654" s="4" t="n">
        <v>4</v>
      </c>
      <c r="I11654" s="4" t="str">
        <v>×</v>
      </c>
      <c r="J11654" s="4"/>
      <c r="K11654" s="4"/>
      <c r="L11654" s="4"/>
      <c r="M11654" s="5" t="s">
        <v>6502</v>
      </c>
    </row>
    <row r="11655" customFormat="false" ht="15.75" hidden="false" customHeight="false" outlineLevel="0" collapsed="false">
      <c r="A11655" s="6" t="n">
        <v>46222</v>
      </c>
      <c r="B11655" s="4" t="s">
        <v>1237</v>
      </c>
      <c r="C11655" s="4" t="n">
        <v>5</v>
      </c>
      <c r="D11655" s="4" t="n">
        <v>4</v>
      </c>
      <c r="E11655" s="4"/>
      <c r="F11655" s="4" t="n">
        <v>8</v>
      </c>
      <c r="G11655" s="4" t="n">
        <v>12</v>
      </c>
      <c r="H11655" s="4" t="n">
        <v>1</v>
      </c>
      <c r="I11655" s="4" t="str">
        <v>○</v>
      </c>
      <c r="J11655" s="4" t="n">
        <v>480</v>
      </c>
      <c r="K11655" s="4"/>
      <c r="L11655" s="4"/>
      <c r="M11655" s="5" t="s">
        <v>6502</v>
      </c>
    </row>
    <row r="11656" customFormat="false" ht="15.75" hidden="false" customHeight="false" outlineLevel="0" collapsed="false">
      <c r="A11656" s="6" t="n">
        <v>46222</v>
      </c>
      <c r="B11656" s="4" t="s">
        <v>1237</v>
      </c>
      <c r="C11656" s="4" t="n">
        <v>5</v>
      </c>
      <c r="D11656" s="4" t="n">
        <v>5</v>
      </c>
      <c r="E11656" s="4"/>
      <c r="F11656" s="4" t="n">
        <v>6</v>
      </c>
      <c r="G11656" s="4" t="n">
        <v>14</v>
      </c>
      <c r="H11656" s="4" t="n">
        <v>3</v>
      </c>
      <c r="I11656" s="4" t="str">
        <v>○</v>
      </c>
      <c r="J11656" s="4" t="n">
        <v>830</v>
      </c>
      <c r="K11656" s="4"/>
      <c r="L11656" s="4"/>
      <c r="M11656" s="5" t="s">
        <v>6502</v>
      </c>
    </row>
    <row r="11657" customFormat="false" ht="15.75" hidden="false" customHeight="false" outlineLevel="0" collapsed="false">
      <c r="A11657" s="6" t="n">
        <v>46222</v>
      </c>
      <c r="B11657" s="4" t="s">
        <v>1237</v>
      </c>
      <c r="C11657" s="4" t="n">
        <v>5</v>
      </c>
      <c r="D11657" s="4" t="n">
        <v>6</v>
      </c>
      <c r="E11657" s="4"/>
      <c r="F11657" s="4" t="n">
        <v>14</v>
      </c>
      <c r="G11657" s="4" t="n">
        <v>10</v>
      </c>
      <c r="H11657" s="4" t="n">
        <v>4</v>
      </c>
      <c r="I11657" s="4" t="str">
        <v>×</v>
      </c>
      <c r="J11657" s="4"/>
      <c r="K11657" s="4"/>
      <c r="L11657" s="4"/>
      <c r="M11657" s="5" t="s">
        <v>6502</v>
      </c>
    </row>
    <row r="11658" customFormat="false" ht="15.75" hidden="false" customHeight="false" outlineLevel="0" collapsed="false">
      <c r="A11658" s="6" t="n">
        <v>46222</v>
      </c>
      <c r="B11658" s="4" t="s">
        <v>1237</v>
      </c>
      <c r="C11658" s="4" t="n">
        <v>5</v>
      </c>
      <c r="D11658" s="4" t="n">
        <v>7</v>
      </c>
      <c r="E11658" s="4"/>
      <c r="F11658" s="4" t="n">
        <v>21</v>
      </c>
      <c r="G11658" s="4" t="n">
        <v>4</v>
      </c>
      <c r="H11658" s="4" t="n">
        <v>4</v>
      </c>
      <c r="I11658" s="4" t="str">
        <v>×</v>
      </c>
      <c r="J11658" s="4"/>
      <c r="K11658" s="4"/>
      <c r="L11658" s="4"/>
      <c r="M11658" s="5" t="s">
        <v>6502</v>
      </c>
    </row>
    <row r="11659" customFormat="false" ht="15.75" hidden="false" customHeight="false" outlineLevel="0" collapsed="false">
      <c r="A11659" s="6" t="n">
        <v>46222</v>
      </c>
      <c r="B11659" s="4" t="s">
        <v>1237</v>
      </c>
      <c r="C11659" s="4" t="n">
        <v>5</v>
      </c>
      <c r="D11659" s="4" t="n">
        <v>8</v>
      </c>
      <c r="E11659" s="4"/>
      <c r="F11659" s="4" t="n">
        <v>27</v>
      </c>
      <c r="G11659" s="4" t="n">
        <v>2</v>
      </c>
      <c r="H11659" s="4" t="n">
        <v>4</v>
      </c>
      <c r="I11659" s="4" t="str">
        <v>×</v>
      </c>
      <c r="J11659" s="4"/>
      <c r="K11659" s="4"/>
      <c r="L11659" s="4"/>
      <c r="M11659" s="5" t="s">
        <v>6502</v>
      </c>
    </row>
    <row r="11660" customFormat="false" ht="15.75" hidden="false" customHeight="false" outlineLevel="0" collapsed="false">
      <c r="A11660" s="6" t="n">
        <v>46222</v>
      </c>
      <c r="B11660" s="4" t="s">
        <v>1237</v>
      </c>
      <c r="C11660" s="4" t="n">
        <v>5</v>
      </c>
      <c r="D11660" s="4" t="n">
        <v>9</v>
      </c>
      <c r="E11660" s="4"/>
      <c r="F11660" s="4" t="n">
        <v>16</v>
      </c>
      <c r="G11660" s="4" t="n">
        <v>9</v>
      </c>
      <c r="H11660" s="4" t="n">
        <v>4</v>
      </c>
      <c r="I11660" s="4" t="str">
        <v>×</v>
      </c>
      <c r="J11660" s="4"/>
      <c r="K11660" s="4"/>
      <c r="L11660" s="4"/>
      <c r="M11660" s="5" t="s">
        <v>6502</v>
      </c>
    </row>
    <row r="11661" customFormat="false" ht="15.75" hidden="false" customHeight="false" outlineLevel="0" collapsed="false">
      <c r="A11661" s="6" t="n">
        <v>46222</v>
      </c>
      <c r="B11661" s="4" t="s">
        <v>1237</v>
      </c>
      <c r="C11661" s="4" t="n">
        <v>5</v>
      </c>
      <c r="D11661" s="4" t="n">
        <v>10</v>
      </c>
      <c r="E11661" s="4"/>
      <c r="F11661" s="4" t="n">
        <v>21</v>
      </c>
      <c r="G11661" s="4" t="n">
        <v>4</v>
      </c>
      <c r="H11661" s="4" t="n">
        <v>4</v>
      </c>
      <c r="I11661" s="4" t="str">
        <v>×</v>
      </c>
      <c r="J11661" s="4"/>
      <c r="K11661" s="4"/>
      <c r="L11661" s="4"/>
      <c r="M11661" s="5" t="s">
        <v>6502</v>
      </c>
    </row>
    <row r="11662" customFormat="false" ht="15.75" hidden="false" customHeight="false" outlineLevel="0" collapsed="false">
      <c r="A11662" s="6" t="n">
        <v>46222</v>
      </c>
      <c r="B11662" s="4" t="s">
        <v>1237</v>
      </c>
      <c r="C11662" s="4" t="n">
        <v>5</v>
      </c>
      <c r="D11662" s="4" t="n">
        <v>11</v>
      </c>
      <c r="E11662" s="4"/>
      <c r="F11662" s="4" t="n">
        <v>8</v>
      </c>
      <c r="G11662" s="4" t="n">
        <v>12</v>
      </c>
      <c r="H11662" s="4" t="n">
        <v>4</v>
      </c>
      <c r="I11662" s="4" t="str">
        <v>×</v>
      </c>
      <c r="J11662" s="4"/>
      <c r="K11662" s="4"/>
      <c r="L11662" s="4"/>
      <c r="M11662" s="5" t="s">
        <v>6502</v>
      </c>
    </row>
    <row r="11663" customFormat="false" ht="15.75" hidden="false" customHeight="false" outlineLevel="0" collapsed="false">
      <c r="A11663" s="6" t="n">
        <v>46222</v>
      </c>
      <c r="B11663" s="4" t="s">
        <v>1237</v>
      </c>
      <c r="C11663" s="4" t="n">
        <v>5</v>
      </c>
      <c r="D11663" s="4" t="n">
        <v>12</v>
      </c>
      <c r="E11663" s="4"/>
      <c r="F11663" s="4" t="n">
        <v>21</v>
      </c>
      <c r="G11663" s="4" t="n">
        <v>4</v>
      </c>
      <c r="H11663" s="4" t="n">
        <v>4</v>
      </c>
      <c r="I11663" s="4" t="str">
        <v>×</v>
      </c>
      <c r="J11663" s="4"/>
      <c r="K11663" s="4"/>
      <c r="L11663" s="4"/>
      <c r="M11663" s="5" t="s">
        <v>6502</v>
      </c>
    </row>
    <row r="11664" customFormat="false" ht="15.75" hidden="false" customHeight="false" outlineLevel="0" collapsed="false">
      <c r="A11664" s="6" t="n">
        <v>46222</v>
      </c>
      <c r="B11664" s="4" t="s">
        <v>1237</v>
      </c>
      <c r="C11664" s="4" t="n">
        <v>5</v>
      </c>
      <c r="D11664" s="4" t="n">
        <v>13</v>
      </c>
      <c r="E11664" s="4"/>
      <c r="F11664" s="4" t="n">
        <v>14</v>
      </c>
      <c r="G11664" s="4" t="n">
        <v>10</v>
      </c>
      <c r="H11664" s="4" t="n">
        <v>4</v>
      </c>
      <c r="I11664" s="4" t="str">
        <v>×</v>
      </c>
      <c r="J11664" s="4"/>
      <c r="K11664" s="4"/>
      <c r="L11664" s="4"/>
      <c r="M11664" s="5" t="s">
        <v>6502</v>
      </c>
    </row>
    <row r="11665" customFormat="false" ht="15.75" hidden="false" customHeight="false" outlineLevel="0" collapsed="false">
      <c r="A11665" s="6" t="n">
        <v>46222</v>
      </c>
      <c r="B11665" s="4" t="s">
        <v>1237</v>
      </c>
      <c r="C11665" s="4" t="n">
        <v>5</v>
      </c>
      <c r="D11665" s="4" t="n">
        <v>14</v>
      </c>
      <c r="E11665" s="4"/>
      <c r="F11665" s="4" t="n">
        <v>24</v>
      </c>
      <c r="G11665" s="4" t="n">
        <v>3</v>
      </c>
      <c r="H11665" s="4" t="n">
        <v>4</v>
      </c>
      <c r="I11665" s="4" t="str">
        <v>×</v>
      </c>
      <c r="J11665" s="4"/>
      <c r="K11665" s="4"/>
      <c r="L11665" s="4"/>
      <c r="M11665" s="5" t="s">
        <v>6502</v>
      </c>
    </row>
    <row r="11666" customFormat="false" ht="15.75" hidden="false" customHeight="false" outlineLevel="0" collapsed="false">
      <c r="A11666" s="6" t="n">
        <v>46222</v>
      </c>
      <c r="B11666" s="4" t="s">
        <v>1237</v>
      </c>
      <c r="C11666" s="4" t="n">
        <v>6</v>
      </c>
      <c r="D11666" s="4" t="n">
        <v>1</v>
      </c>
      <c r="E11666" s="4"/>
      <c r="F11666" s="4" t="n">
        <v>52</v>
      </c>
      <c r="G11666" s="4" t="n">
        <v>1</v>
      </c>
      <c r="H11666" s="4" t="n">
        <v>1</v>
      </c>
      <c r="I11666" s="4" t="str">
        <v>○</v>
      </c>
      <c r="J11666" s="4" t="n">
        <v>150</v>
      </c>
      <c r="K11666" s="4"/>
      <c r="L11666" s="4"/>
      <c r="M11666" s="5" t="s">
        <v>6502</v>
      </c>
    </row>
    <row r="11667" customFormat="false" ht="15.75" hidden="false" customHeight="false" outlineLevel="0" collapsed="false">
      <c r="A11667" s="6" t="n">
        <v>46222</v>
      </c>
      <c r="B11667" s="4" t="s">
        <v>1237</v>
      </c>
      <c r="C11667" s="4" t="n">
        <v>6</v>
      </c>
      <c r="D11667" s="4" t="n">
        <v>2</v>
      </c>
      <c r="E11667" s="4"/>
      <c r="F11667" s="4" t="n">
        <v>13</v>
      </c>
      <c r="G11667" s="4" t="n">
        <v>7</v>
      </c>
      <c r="H11667" s="4" t="n">
        <v>4</v>
      </c>
      <c r="I11667" s="4" t="str">
        <v>×</v>
      </c>
      <c r="J11667" s="4"/>
      <c r="K11667" s="4"/>
      <c r="L11667" s="4"/>
      <c r="M11667" s="5" t="s">
        <v>6502</v>
      </c>
    </row>
    <row r="11668" customFormat="false" ht="15.75" hidden="false" customHeight="false" outlineLevel="0" collapsed="false">
      <c r="A11668" s="6" t="n">
        <v>46222</v>
      </c>
      <c r="B11668" s="4" t="s">
        <v>1237</v>
      </c>
      <c r="C11668" s="4" t="n">
        <v>6</v>
      </c>
      <c r="D11668" s="4" t="n">
        <v>3</v>
      </c>
      <c r="E11668" s="4"/>
      <c r="F11668" s="4" t="n">
        <v>17</v>
      </c>
      <c r="G11668" s="4" t="n">
        <v>5</v>
      </c>
      <c r="H11668" s="4" t="n">
        <v>4</v>
      </c>
      <c r="I11668" s="4" t="str">
        <v>×</v>
      </c>
      <c r="J11668" s="4"/>
      <c r="K11668" s="4"/>
      <c r="L11668" s="4"/>
      <c r="M11668" s="5" t="s">
        <v>6502</v>
      </c>
    </row>
    <row r="11669" customFormat="false" ht="15.75" hidden="false" customHeight="false" outlineLevel="0" collapsed="false">
      <c r="A11669" s="6" t="n">
        <v>46222</v>
      </c>
      <c r="B11669" s="4" t="s">
        <v>1237</v>
      </c>
      <c r="C11669" s="4" t="n">
        <v>6</v>
      </c>
      <c r="D11669" s="4" t="n">
        <v>4</v>
      </c>
      <c r="E11669" s="4"/>
      <c r="F11669" s="4" t="n">
        <v>10</v>
      </c>
      <c r="G11669" s="4" t="n">
        <v>10</v>
      </c>
      <c r="H11669" s="4" t="n">
        <v>4</v>
      </c>
      <c r="I11669" s="4" t="str">
        <v>×</v>
      </c>
      <c r="J11669" s="4"/>
      <c r="K11669" s="4"/>
      <c r="L11669" s="4"/>
      <c r="M11669" s="5" t="s">
        <v>6502</v>
      </c>
    </row>
    <row r="11670" customFormat="false" ht="15.75" hidden="false" customHeight="false" outlineLevel="0" collapsed="false">
      <c r="A11670" s="6" t="n">
        <v>46222</v>
      </c>
      <c r="B11670" s="4" t="s">
        <v>1237</v>
      </c>
      <c r="C11670" s="4" t="n">
        <v>6</v>
      </c>
      <c r="D11670" s="4" t="n">
        <v>5</v>
      </c>
      <c r="E11670" s="4"/>
      <c r="F11670" s="4" t="n">
        <v>13</v>
      </c>
      <c r="G11670" s="4" t="n">
        <v>7</v>
      </c>
      <c r="H11670" s="4" t="n">
        <v>4</v>
      </c>
      <c r="I11670" s="4" t="str">
        <v>×</v>
      </c>
      <c r="J11670" s="4"/>
      <c r="K11670" s="4"/>
      <c r="L11670" s="4"/>
      <c r="M11670" s="5" t="s">
        <v>6502</v>
      </c>
    </row>
    <row r="11671" customFormat="false" ht="15.75" hidden="false" customHeight="false" outlineLevel="0" collapsed="false">
      <c r="A11671" s="6" t="n">
        <v>46222</v>
      </c>
      <c r="B11671" s="4" t="s">
        <v>1237</v>
      </c>
      <c r="C11671" s="4" t="n">
        <v>6</v>
      </c>
      <c r="D11671" s="4" t="n">
        <v>6</v>
      </c>
      <c r="E11671" s="4"/>
      <c r="F11671" s="4" t="n">
        <v>20</v>
      </c>
      <c r="G11671" s="4" t="n">
        <v>4</v>
      </c>
      <c r="H11671" s="4" t="n">
        <v>4</v>
      </c>
      <c r="I11671" s="4" t="str">
        <v>×</v>
      </c>
      <c r="J11671" s="4"/>
      <c r="K11671" s="4"/>
      <c r="L11671" s="4"/>
      <c r="M11671" s="5" t="s">
        <v>6502</v>
      </c>
    </row>
    <row r="11672" customFormat="false" ht="15.75" hidden="false" customHeight="false" outlineLevel="0" collapsed="false">
      <c r="A11672" s="6" t="n">
        <v>46222</v>
      </c>
      <c r="B11672" s="4" t="s">
        <v>1237</v>
      </c>
      <c r="C11672" s="4" t="n">
        <v>6</v>
      </c>
      <c r="D11672" s="4" t="n">
        <v>7</v>
      </c>
      <c r="E11672" s="4"/>
      <c r="F11672" s="4" t="n">
        <v>6</v>
      </c>
      <c r="G11672" s="4" t="n">
        <v>13</v>
      </c>
      <c r="H11672" s="4" t="n">
        <v>4</v>
      </c>
      <c r="I11672" s="4" t="str">
        <v>×</v>
      </c>
      <c r="J11672" s="4"/>
      <c r="K11672" s="4"/>
      <c r="L11672" s="4"/>
      <c r="M11672" s="5" t="s">
        <v>6502</v>
      </c>
    </row>
    <row r="11673" customFormat="false" ht="15.75" hidden="false" customHeight="false" outlineLevel="0" collapsed="false">
      <c r="A11673" s="6" t="n">
        <v>46222</v>
      </c>
      <c r="B11673" s="4" t="s">
        <v>1237</v>
      </c>
      <c r="C11673" s="4" t="n">
        <v>6</v>
      </c>
      <c r="D11673" s="4" t="n">
        <v>8</v>
      </c>
      <c r="E11673" s="4"/>
      <c r="F11673" s="4" t="n">
        <v>6</v>
      </c>
      <c r="G11673" s="4" t="n">
        <v>13</v>
      </c>
      <c r="H11673" s="4" t="n">
        <v>4</v>
      </c>
      <c r="I11673" s="4" t="str">
        <v>×</v>
      </c>
      <c r="J11673" s="4"/>
      <c r="K11673" s="4"/>
      <c r="L11673" s="4"/>
      <c r="M11673" s="5" t="s">
        <v>6502</v>
      </c>
    </row>
    <row r="11674" customFormat="false" ht="15.75" hidden="false" customHeight="false" outlineLevel="0" collapsed="false">
      <c r="A11674" s="6" t="n">
        <v>46222</v>
      </c>
      <c r="B11674" s="4" t="s">
        <v>1237</v>
      </c>
      <c r="C11674" s="4" t="n">
        <v>6</v>
      </c>
      <c r="D11674" s="4" t="n">
        <v>9</v>
      </c>
      <c r="E11674" s="4"/>
      <c r="F11674" s="4" t="n">
        <v>29</v>
      </c>
      <c r="G11674" s="4" t="n">
        <v>3</v>
      </c>
      <c r="H11674" s="4" t="n">
        <v>2</v>
      </c>
      <c r="I11674" s="4" t="str">
        <v>○</v>
      </c>
      <c r="J11674" s="4" t="n">
        <v>240</v>
      </c>
      <c r="K11674" s="4"/>
      <c r="L11674" s="4"/>
      <c r="M11674" s="5" t="s">
        <v>6502</v>
      </c>
    </row>
    <row r="11675" customFormat="false" ht="15.75" hidden="false" customHeight="false" outlineLevel="0" collapsed="false">
      <c r="A11675" s="6" t="n">
        <v>46222</v>
      </c>
      <c r="B11675" s="4" t="s">
        <v>1237</v>
      </c>
      <c r="C11675" s="4" t="n">
        <v>6</v>
      </c>
      <c r="D11675" s="4" t="n">
        <v>10</v>
      </c>
      <c r="E11675" s="4"/>
      <c r="F11675" s="4" t="n">
        <v>37</v>
      </c>
      <c r="G11675" s="4" t="n">
        <v>2</v>
      </c>
      <c r="H11675" s="4" t="n">
        <v>3</v>
      </c>
      <c r="I11675" s="4" t="str">
        <v>○</v>
      </c>
      <c r="J11675" s="4" t="n">
        <v>130</v>
      </c>
      <c r="K11675" s="4"/>
      <c r="L11675" s="4"/>
      <c r="M11675" s="5" t="s">
        <v>6502</v>
      </c>
    </row>
    <row r="11676" customFormat="false" ht="15.75" hidden="false" customHeight="false" outlineLevel="0" collapsed="false">
      <c r="A11676" s="6" t="n">
        <v>46222</v>
      </c>
      <c r="B11676" s="4" t="s">
        <v>1237</v>
      </c>
      <c r="C11676" s="4" t="n">
        <v>6</v>
      </c>
      <c r="D11676" s="4" t="n">
        <v>11</v>
      </c>
      <c r="E11676" s="4"/>
      <c r="F11676" s="4" t="n">
        <v>10</v>
      </c>
      <c r="G11676" s="4" t="n">
        <v>10</v>
      </c>
      <c r="H11676" s="4" t="n">
        <v>4</v>
      </c>
      <c r="I11676" s="4" t="str">
        <v>×</v>
      </c>
      <c r="J11676" s="4"/>
      <c r="K11676" s="4"/>
      <c r="L11676" s="4"/>
      <c r="M11676" s="5" t="s">
        <v>6502</v>
      </c>
    </row>
    <row r="11677" customFormat="false" ht="15.75" hidden="false" customHeight="false" outlineLevel="0" collapsed="false">
      <c r="A11677" s="6" t="n">
        <v>46222</v>
      </c>
      <c r="B11677" s="4" t="s">
        <v>1237</v>
      </c>
      <c r="C11677" s="4" t="n">
        <v>6</v>
      </c>
      <c r="D11677" s="4" t="n">
        <v>12</v>
      </c>
      <c r="E11677" s="4"/>
      <c r="F11677" s="4" t="n">
        <v>15</v>
      </c>
      <c r="G11677" s="4" t="n">
        <v>6</v>
      </c>
      <c r="H11677" s="4" t="n">
        <v>4</v>
      </c>
      <c r="I11677" s="4" t="str">
        <v>×</v>
      </c>
      <c r="J11677" s="4"/>
      <c r="K11677" s="4"/>
      <c r="L11677" s="4"/>
      <c r="M11677" s="5" t="s">
        <v>6502</v>
      </c>
    </row>
    <row r="11678" customFormat="false" ht="15.75" hidden="false" customHeight="false" outlineLevel="0" collapsed="false">
      <c r="A11678" s="6" t="n">
        <v>46222</v>
      </c>
      <c r="B11678" s="4" t="s">
        <v>1237</v>
      </c>
      <c r="C11678" s="4" t="n">
        <v>6</v>
      </c>
      <c r="D11678" s="4" t="n">
        <v>13</v>
      </c>
      <c r="E11678" s="4"/>
      <c r="F11678" s="4" t="n">
        <v>3</v>
      </c>
      <c r="G11678" s="4" t="n">
        <v>16</v>
      </c>
      <c r="H11678" s="4" t="n">
        <v>4</v>
      </c>
      <c r="I11678" s="4" t="str">
        <v>×</v>
      </c>
      <c r="J11678" s="4"/>
      <c r="K11678" s="4"/>
      <c r="L11678" s="4"/>
      <c r="M11678" s="5" t="s">
        <v>6502</v>
      </c>
    </row>
    <row r="11679" customFormat="false" ht="15.75" hidden="false" customHeight="false" outlineLevel="0" collapsed="false">
      <c r="A11679" s="6" t="n">
        <v>46222</v>
      </c>
      <c r="B11679" s="4" t="s">
        <v>1237</v>
      </c>
      <c r="C11679" s="4" t="n">
        <v>6</v>
      </c>
      <c r="D11679" s="4" t="n">
        <v>14</v>
      </c>
      <c r="E11679" s="4"/>
      <c r="F11679" s="4" t="n">
        <v>8</v>
      </c>
      <c r="G11679" s="4" t="n">
        <v>12</v>
      </c>
      <c r="H11679" s="4" t="n">
        <v>4</v>
      </c>
      <c r="I11679" s="4" t="str">
        <v>×</v>
      </c>
      <c r="J11679" s="4"/>
      <c r="K11679" s="4"/>
      <c r="L11679" s="4"/>
      <c r="M11679" s="5" t="s">
        <v>6502</v>
      </c>
    </row>
    <row r="11680" customFormat="false" ht="15.75" hidden="false" customHeight="false" outlineLevel="0" collapsed="false">
      <c r="A11680" s="6" t="n">
        <v>46222</v>
      </c>
      <c r="B11680" s="4" t="s">
        <v>1237</v>
      </c>
      <c r="C11680" s="4" t="n">
        <v>6</v>
      </c>
      <c r="D11680" s="4" t="n">
        <v>15</v>
      </c>
      <c r="E11680" s="4"/>
      <c r="F11680" s="4" t="n">
        <v>4</v>
      </c>
      <c r="G11680" s="4" t="n">
        <v>15</v>
      </c>
      <c r="H11680" s="4" t="n">
        <v>4</v>
      </c>
      <c r="I11680" s="4" t="str">
        <v>×</v>
      </c>
      <c r="J11680" s="4"/>
      <c r="K11680" s="4"/>
      <c r="L11680" s="4"/>
      <c r="M11680" s="5" t="s">
        <v>6502</v>
      </c>
    </row>
    <row r="11681" customFormat="false" ht="15.75" hidden="false" customHeight="false" outlineLevel="0" collapsed="false">
      <c r="A11681" s="6" t="n">
        <v>46222</v>
      </c>
      <c r="B11681" s="4" t="s">
        <v>1237</v>
      </c>
      <c r="C11681" s="4" t="n">
        <v>6</v>
      </c>
      <c r="D11681" s="4" t="n">
        <v>16</v>
      </c>
      <c r="E11681" s="4"/>
      <c r="F11681" s="4" t="n">
        <v>13</v>
      </c>
      <c r="G11681" s="4" t="n">
        <v>7</v>
      </c>
      <c r="H11681" s="4" t="n">
        <v>4</v>
      </c>
      <c r="I11681" s="4" t="str">
        <v>×</v>
      </c>
      <c r="J11681" s="4"/>
      <c r="K11681" s="4"/>
      <c r="L11681" s="4"/>
      <c r="M11681" s="5" t="s">
        <v>6502</v>
      </c>
    </row>
    <row r="11682" customFormat="false" ht="15.75" hidden="false" customHeight="false" outlineLevel="0" collapsed="false">
      <c r="A11682" s="6" t="n">
        <v>46222</v>
      </c>
      <c r="B11682" s="4" t="s">
        <v>1237</v>
      </c>
      <c r="C11682" s="4" t="n">
        <v>7</v>
      </c>
      <c r="D11682" s="4" t="n">
        <v>1</v>
      </c>
      <c r="E11682" s="4"/>
      <c r="F11682" s="4" t="n">
        <v>10</v>
      </c>
      <c r="G11682" s="4" t="n">
        <v>12</v>
      </c>
      <c r="H11682" s="4" t="n">
        <v>4</v>
      </c>
      <c r="I11682" s="4" t="str">
        <v>×</v>
      </c>
      <c r="J11682" s="4"/>
      <c r="K11682" s="4"/>
      <c r="L11682" s="4"/>
      <c r="M11682" s="5" t="s">
        <v>6502</v>
      </c>
    </row>
    <row r="11683" customFormat="false" ht="15.75" hidden="false" customHeight="false" outlineLevel="0" collapsed="false">
      <c r="A11683" s="6" t="n">
        <v>46222</v>
      </c>
      <c r="B11683" s="4" t="s">
        <v>1237</v>
      </c>
      <c r="C11683" s="4" t="n">
        <v>7</v>
      </c>
      <c r="D11683" s="4" t="n">
        <v>2</v>
      </c>
      <c r="E11683" s="4"/>
      <c r="F11683" s="4" t="n">
        <v>20</v>
      </c>
      <c r="G11683" s="4" t="n">
        <v>6</v>
      </c>
      <c r="H11683" s="4" t="n">
        <v>4</v>
      </c>
      <c r="I11683" s="4" t="str">
        <v>×</v>
      </c>
      <c r="J11683" s="4"/>
      <c r="K11683" s="4"/>
      <c r="L11683" s="4"/>
      <c r="M11683" s="5" t="s">
        <v>6502</v>
      </c>
    </row>
    <row r="11684" customFormat="false" ht="15.75" hidden="false" customHeight="false" outlineLevel="0" collapsed="false">
      <c r="A11684" s="6" t="n">
        <v>46222</v>
      </c>
      <c r="B11684" s="4" t="s">
        <v>1237</v>
      </c>
      <c r="C11684" s="4" t="n">
        <v>7</v>
      </c>
      <c r="D11684" s="4" t="n">
        <v>3</v>
      </c>
      <c r="E11684" s="4"/>
      <c r="F11684" s="4" t="n">
        <v>37</v>
      </c>
      <c r="G11684" s="4" t="n">
        <v>4</v>
      </c>
      <c r="H11684" s="4" t="n">
        <v>4</v>
      </c>
      <c r="I11684" s="4" t="str">
        <v>×</v>
      </c>
      <c r="J11684" s="4"/>
      <c r="K11684" s="4"/>
      <c r="L11684" s="4"/>
      <c r="M11684" s="5" t="s">
        <v>6502</v>
      </c>
    </row>
    <row r="11685" customFormat="false" ht="15.75" hidden="false" customHeight="false" outlineLevel="0" collapsed="false">
      <c r="A11685" s="6" t="n">
        <v>46222</v>
      </c>
      <c r="B11685" s="4" t="s">
        <v>1237</v>
      </c>
      <c r="C11685" s="4" t="n">
        <v>7</v>
      </c>
      <c r="D11685" s="4" t="n">
        <v>4</v>
      </c>
      <c r="E11685" s="4"/>
      <c r="F11685" s="4" t="n">
        <v>44</v>
      </c>
      <c r="G11685" s="4" t="n">
        <v>3</v>
      </c>
      <c r="H11685" s="4" t="n">
        <v>1</v>
      </c>
      <c r="I11685" s="4" t="str">
        <v>○</v>
      </c>
      <c r="J11685" s="4" t="n">
        <v>130</v>
      </c>
      <c r="K11685" s="4"/>
      <c r="L11685" s="4"/>
      <c r="M11685" s="5" t="s">
        <v>6502</v>
      </c>
    </row>
    <row r="11686" customFormat="false" ht="15.75" hidden="false" customHeight="false" outlineLevel="0" collapsed="false">
      <c r="A11686" s="6" t="n">
        <v>46222</v>
      </c>
      <c r="B11686" s="4" t="s">
        <v>1237</v>
      </c>
      <c r="C11686" s="4" t="n">
        <v>7</v>
      </c>
      <c r="D11686" s="4" t="n">
        <v>5</v>
      </c>
      <c r="E11686" s="4"/>
      <c r="F11686" s="4" t="n">
        <v>20</v>
      </c>
      <c r="G11686" s="4" t="n">
        <v>6</v>
      </c>
      <c r="H11686" s="4" t="n">
        <v>4</v>
      </c>
      <c r="I11686" s="4" t="str">
        <v>×</v>
      </c>
      <c r="J11686" s="4"/>
      <c r="K11686" s="4"/>
      <c r="L11686" s="4"/>
      <c r="M11686" s="5" t="s">
        <v>6502</v>
      </c>
    </row>
    <row r="11687" customFormat="false" ht="15.75" hidden="false" customHeight="false" outlineLevel="0" collapsed="false">
      <c r="A11687" s="6" t="n">
        <v>46222</v>
      </c>
      <c r="B11687" s="4" t="s">
        <v>1237</v>
      </c>
      <c r="C11687" s="4" t="n">
        <v>7</v>
      </c>
      <c r="D11687" s="4" t="n">
        <v>6</v>
      </c>
      <c r="E11687" s="4"/>
      <c r="F11687" s="4" t="n">
        <v>50</v>
      </c>
      <c r="G11687" s="4" t="n">
        <v>1</v>
      </c>
      <c r="H11687" s="4" t="n">
        <v>2</v>
      </c>
      <c r="I11687" s="4" t="str">
        <v>○</v>
      </c>
      <c r="J11687" s="4" t="n">
        <v>140</v>
      </c>
      <c r="K11687" s="4"/>
      <c r="L11687" s="4"/>
      <c r="M11687" s="5" t="s">
        <v>6502</v>
      </c>
    </row>
    <row r="11688" customFormat="false" ht="15.75" hidden="false" customHeight="false" outlineLevel="0" collapsed="false">
      <c r="A11688" s="6" t="n">
        <v>46222</v>
      </c>
      <c r="B11688" s="4" t="s">
        <v>1237</v>
      </c>
      <c r="C11688" s="4" t="n">
        <v>7</v>
      </c>
      <c r="D11688" s="4" t="n">
        <v>7</v>
      </c>
      <c r="E11688" s="4"/>
      <c r="F11688" s="4" t="n">
        <v>17</v>
      </c>
      <c r="G11688" s="4" t="n">
        <v>9</v>
      </c>
      <c r="H11688" s="4" t="n">
        <v>4</v>
      </c>
      <c r="I11688" s="4" t="str">
        <v>×</v>
      </c>
      <c r="J11688" s="4"/>
      <c r="K11688" s="4"/>
      <c r="L11688" s="4"/>
      <c r="M11688" s="5" t="s">
        <v>6502</v>
      </c>
    </row>
    <row r="11689" customFormat="false" ht="15.75" hidden="false" customHeight="false" outlineLevel="0" collapsed="false">
      <c r="A11689" s="6" t="n">
        <v>46222</v>
      </c>
      <c r="B11689" s="4" t="s">
        <v>1237</v>
      </c>
      <c r="C11689" s="4" t="n">
        <v>7</v>
      </c>
      <c r="D11689" s="4" t="n">
        <v>8</v>
      </c>
      <c r="E11689" s="4"/>
      <c r="F11689" s="4" t="n">
        <v>15</v>
      </c>
      <c r="G11689" s="4" t="n">
        <v>11</v>
      </c>
      <c r="H11689" s="4" t="n">
        <v>4</v>
      </c>
      <c r="I11689" s="4" t="str">
        <v>×</v>
      </c>
      <c r="J11689" s="4"/>
      <c r="K11689" s="4"/>
      <c r="L11689" s="4"/>
      <c r="M11689" s="5" t="s">
        <v>6502</v>
      </c>
    </row>
    <row r="11690" customFormat="false" ht="15.75" hidden="false" customHeight="false" outlineLevel="0" collapsed="false">
      <c r="A11690" s="6" t="n">
        <v>46222</v>
      </c>
      <c r="B11690" s="4" t="s">
        <v>1237</v>
      </c>
      <c r="C11690" s="4" t="n">
        <v>7</v>
      </c>
      <c r="D11690" s="4" t="n">
        <v>9</v>
      </c>
      <c r="E11690" s="4"/>
      <c r="F11690" s="4" t="n">
        <v>10</v>
      </c>
      <c r="G11690" s="4" t="n">
        <v>12</v>
      </c>
      <c r="H11690" s="4" t="n">
        <v>4</v>
      </c>
      <c r="I11690" s="4" t="str">
        <v>×</v>
      </c>
      <c r="J11690" s="4"/>
      <c r="K11690" s="4"/>
      <c r="L11690" s="4"/>
      <c r="M11690" s="5" t="s">
        <v>6502</v>
      </c>
    </row>
    <row r="11691" customFormat="false" ht="15.75" hidden="false" customHeight="false" outlineLevel="0" collapsed="false">
      <c r="A11691" s="6" t="n">
        <v>46222</v>
      </c>
      <c r="B11691" s="4" t="s">
        <v>1237</v>
      </c>
      <c r="C11691" s="4" t="n">
        <v>7</v>
      </c>
      <c r="D11691" s="4" t="n">
        <v>10</v>
      </c>
      <c r="E11691" s="4"/>
      <c r="F11691" s="4" t="n">
        <v>25</v>
      </c>
      <c r="G11691" s="4" t="n">
        <v>5</v>
      </c>
      <c r="H11691" s="4" t="n">
        <v>3</v>
      </c>
      <c r="I11691" s="4" t="str">
        <v>○</v>
      </c>
      <c r="J11691" s="4" t="n">
        <v>320</v>
      </c>
      <c r="K11691" s="4"/>
      <c r="L11691" s="4"/>
      <c r="M11691" s="5" t="s">
        <v>6502</v>
      </c>
    </row>
    <row r="11692" customFormat="false" ht="15.75" hidden="false" customHeight="false" outlineLevel="0" collapsed="false">
      <c r="A11692" s="6" t="n">
        <v>46222</v>
      </c>
      <c r="B11692" s="4" t="s">
        <v>1237</v>
      </c>
      <c r="C11692" s="4" t="n">
        <v>7</v>
      </c>
      <c r="D11692" s="4" t="n">
        <v>11</v>
      </c>
      <c r="E11692" s="4"/>
      <c r="F11692" s="4" t="n">
        <v>17</v>
      </c>
      <c r="G11692" s="4" t="n">
        <v>9</v>
      </c>
      <c r="H11692" s="4" t="n">
        <v>4</v>
      </c>
      <c r="I11692" s="4" t="str">
        <v>×</v>
      </c>
      <c r="J11692" s="4"/>
      <c r="K11692" s="4"/>
      <c r="L11692" s="4"/>
      <c r="M11692" s="5" t="s">
        <v>6502</v>
      </c>
    </row>
    <row r="11693" customFormat="false" ht="15.75" hidden="false" customHeight="false" outlineLevel="0" collapsed="false">
      <c r="A11693" s="6" t="n">
        <v>46222</v>
      </c>
      <c r="B11693" s="4" t="s">
        <v>1237</v>
      </c>
      <c r="C11693" s="4" t="n">
        <v>7</v>
      </c>
      <c r="D11693" s="4" t="n">
        <v>12</v>
      </c>
      <c r="E11693" s="4"/>
      <c r="F11693" s="4" t="n">
        <v>20</v>
      </c>
      <c r="G11693" s="4" t="n">
        <v>6</v>
      </c>
      <c r="H11693" s="4" t="n">
        <v>4</v>
      </c>
      <c r="I11693" s="4" t="str">
        <v>×</v>
      </c>
      <c r="J11693" s="4"/>
      <c r="K11693" s="4"/>
      <c r="L11693" s="4"/>
      <c r="M11693" s="5" t="s">
        <v>6502</v>
      </c>
    </row>
    <row r="11694" customFormat="false" ht="15.75" hidden="false" customHeight="false" outlineLevel="0" collapsed="false">
      <c r="A11694" s="6" t="n">
        <v>46222</v>
      </c>
      <c r="B11694" s="4" t="s">
        <v>1237</v>
      </c>
      <c r="C11694" s="4" t="n">
        <v>7</v>
      </c>
      <c r="D11694" s="4" t="n">
        <v>13</v>
      </c>
      <c r="E11694" s="4"/>
      <c r="F11694" s="4" t="n">
        <v>1</v>
      </c>
      <c r="G11694" s="4" t="n">
        <v>14</v>
      </c>
      <c r="H11694" s="4" t="n">
        <v>4</v>
      </c>
      <c r="I11694" s="4" t="str">
        <v>×</v>
      </c>
      <c r="J11694" s="4"/>
      <c r="K11694" s="4"/>
      <c r="L11694" s="4"/>
      <c r="M11694" s="5" t="s">
        <v>6502</v>
      </c>
    </row>
    <row r="11695" customFormat="false" ht="15.75" hidden="false" customHeight="false" outlineLevel="0" collapsed="false">
      <c r="A11695" s="6" t="n">
        <v>46222</v>
      </c>
      <c r="B11695" s="4" t="s">
        <v>1237</v>
      </c>
      <c r="C11695" s="4" t="n">
        <v>7</v>
      </c>
      <c r="D11695" s="4" t="n">
        <v>14</v>
      </c>
      <c r="E11695" s="4"/>
      <c r="F11695" s="4" t="n">
        <v>50</v>
      </c>
      <c r="G11695" s="4" t="n">
        <v>1</v>
      </c>
      <c r="H11695" s="4" t="n">
        <v>4</v>
      </c>
      <c r="I11695" s="4" t="str">
        <v>×</v>
      </c>
      <c r="J11695" s="4"/>
      <c r="K11695" s="4"/>
      <c r="L11695" s="4"/>
      <c r="M11695" s="5" t="s">
        <v>6502</v>
      </c>
    </row>
    <row r="11696" customFormat="false" ht="15.75" hidden="false" customHeight="false" outlineLevel="0" collapsed="false">
      <c r="A11696" s="6" t="n">
        <v>46222</v>
      </c>
      <c r="B11696" s="4" t="s">
        <v>1237</v>
      </c>
      <c r="C11696" s="4" t="n">
        <v>8</v>
      </c>
      <c r="D11696" s="4" t="n">
        <v>1</v>
      </c>
      <c r="E11696" s="4"/>
      <c r="F11696" s="4" t="n">
        <v>29</v>
      </c>
      <c r="G11696" s="4" t="n">
        <v>6</v>
      </c>
      <c r="H11696" s="4" t="n">
        <v>4</v>
      </c>
      <c r="I11696" s="4" t="str">
        <v>×</v>
      </c>
      <c r="J11696" s="4"/>
      <c r="K11696" s="4"/>
      <c r="L11696" s="4"/>
      <c r="M11696" s="5" t="s">
        <v>6502</v>
      </c>
    </row>
    <row r="11697" customFormat="false" ht="15.75" hidden="false" customHeight="false" outlineLevel="0" collapsed="false">
      <c r="A11697" s="6" t="n">
        <v>46222</v>
      </c>
      <c r="B11697" s="4" t="s">
        <v>1237</v>
      </c>
      <c r="C11697" s="4" t="n">
        <v>8</v>
      </c>
      <c r="D11697" s="4" t="n">
        <v>2</v>
      </c>
      <c r="E11697" s="4"/>
      <c r="F11697" s="4" t="n">
        <v>13</v>
      </c>
      <c r="G11697" s="4" t="n">
        <v>10</v>
      </c>
      <c r="H11697" s="4" t="n">
        <v>4</v>
      </c>
      <c r="I11697" s="4" t="str">
        <v>×</v>
      </c>
      <c r="J11697" s="4"/>
      <c r="K11697" s="4"/>
      <c r="L11697" s="4"/>
      <c r="M11697" s="5" t="s">
        <v>6502</v>
      </c>
    </row>
    <row r="11698" customFormat="false" ht="15.75" hidden="false" customHeight="false" outlineLevel="0" collapsed="false">
      <c r="A11698" s="6" t="n">
        <v>46222</v>
      </c>
      <c r="B11698" s="4" t="s">
        <v>1237</v>
      </c>
      <c r="C11698" s="4" t="n">
        <v>8</v>
      </c>
      <c r="D11698" s="4" t="n">
        <v>3</v>
      </c>
      <c r="E11698" s="4"/>
      <c r="F11698" s="4" t="n">
        <v>39</v>
      </c>
      <c r="G11698" s="4" t="n">
        <v>4</v>
      </c>
      <c r="H11698" s="4" t="n">
        <v>4</v>
      </c>
      <c r="I11698" s="4" t="str">
        <v>×</v>
      </c>
      <c r="J11698" s="4"/>
      <c r="K11698" s="4"/>
      <c r="L11698" s="4"/>
      <c r="M11698" s="5" t="s">
        <v>6502</v>
      </c>
    </row>
    <row r="11699" customFormat="false" ht="15.75" hidden="false" customHeight="false" outlineLevel="0" collapsed="false">
      <c r="A11699" s="6" t="n">
        <v>46222</v>
      </c>
      <c r="B11699" s="4" t="s">
        <v>1237</v>
      </c>
      <c r="C11699" s="4" t="n">
        <v>8</v>
      </c>
      <c r="D11699" s="4" t="n">
        <v>4</v>
      </c>
      <c r="E11699" s="4"/>
      <c r="F11699" s="4" t="n">
        <v>65</v>
      </c>
      <c r="G11699" s="4" t="n">
        <v>1</v>
      </c>
      <c r="H11699" s="4" t="n">
        <v>2</v>
      </c>
      <c r="I11699" s="4" t="str">
        <v>○</v>
      </c>
      <c r="J11699" s="4" t="n">
        <v>190</v>
      </c>
      <c r="K11699" s="4"/>
      <c r="L11699" s="4"/>
      <c r="M11699" s="5" t="s">
        <v>6502</v>
      </c>
    </row>
    <row r="11700" customFormat="false" ht="15.75" hidden="false" customHeight="false" outlineLevel="0" collapsed="false">
      <c r="A11700" s="6" t="n">
        <v>46222</v>
      </c>
      <c r="B11700" s="4" t="s">
        <v>1237</v>
      </c>
      <c r="C11700" s="4" t="n">
        <v>8</v>
      </c>
      <c r="D11700" s="4" t="n">
        <v>5</v>
      </c>
      <c r="E11700" s="4"/>
      <c r="F11700" s="4" t="n">
        <v>31</v>
      </c>
      <c r="G11700" s="4" t="n">
        <v>5</v>
      </c>
      <c r="H11700" s="4" t="n">
        <v>3</v>
      </c>
      <c r="I11700" s="4" t="str">
        <v>○</v>
      </c>
      <c r="J11700" s="4" t="n">
        <v>200</v>
      </c>
      <c r="K11700" s="4"/>
      <c r="L11700" s="4"/>
      <c r="M11700" s="5" t="s">
        <v>6502</v>
      </c>
    </row>
    <row r="11701" customFormat="false" ht="15.75" hidden="false" customHeight="false" outlineLevel="0" collapsed="false">
      <c r="A11701" s="6" t="n">
        <v>46222</v>
      </c>
      <c r="B11701" s="4" t="s">
        <v>1237</v>
      </c>
      <c r="C11701" s="4" t="n">
        <v>8</v>
      </c>
      <c r="D11701" s="4" t="n">
        <v>6</v>
      </c>
      <c r="E11701" s="4"/>
      <c r="F11701" s="4" t="n">
        <v>47</v>
      </c>
      <c r="G11701" s="4" t="n">
        <v>2</v>
      </c>
      <c r="H11701" s="4" t="n">
        <v>4</v>
      </c>
      <c r="I11701" s="4" t="str">
        <v>×</v>
      </c>
      <c r="J11701" s="4"/>
      <c r="K11701" s="4"/>
      <c r="L11701" s="4"/>
      <c r="M11701" s="5" t="s">
        <v>6502</v>
      </c>
    </row>
    <row r="11702" customFormat="false" ht="15.75" hidden="false" customHeight="false" outlineLevel="0" collapsed="false">
      <c r="A11702" s="6" t="n">
        <v>46222</v>
      </c>
      <c r="B11702" s="4" t="s">
        <v>1237</v>
      </c>
      <c r="C11702" s="4" t="n">
        <v>8</v>
      </c>
      <c r="D11702" s="4" t="n">
        <v>7</v>
      </c>
      <c r="E11702" s="4"/>
      <c r="F11702" s="4" t="n">
        <v>15</v>
      </c>
      <c r="G11702" s="4" t="n">
        <v>9</v>
      </c>
      <c r="H11702" s="4" t="n">
        <v>4</v>
      </c>
      <c r="I11702" s="4" t="str">
        <v>×</v>
      </c>
      <c r="J11702" s="4"/>
      <c r="K11702" s="4"/>
      <c r="L11702" s="4"/>
      <c r="M11702" s="5" t="s">
        <v>6502</v>
      </c>
    </row>
    <row r="11703" customFormat="false" ht="15.75" hidden="false" customHeight="false" outlineLevel="0" collapsed="false">
      <c r="A11703" s="6" t="n">
        <v>46222</v>
      </c>
      <c r="B11703" s="4" t="s">
        <v>1237</v>
      </c>
      <c r="C11703" s="4" t="n">
        <v>8</v>
      </c>
      <c r="D11703" s="4" t="n">
        <v>8</v>
      </c>
      <c r="E11703" s="4"/>
      <c r="F11703" s="4" t="n">
        <v>41</v>
      </c>
      <c r="G11703" s="4" t="n">
        <v>3</v>
      </c>
      <c r="H11703" s="4" t="n">
        <v>1</v>
      </c>
      <c r="I11703" s="4" t="str">
        <v>○</v>
      </c>
      <c r="J11703" s="4" t="n">
        <v>200</v>
      </c>
      <c r="K11703" s="4"/>
      <c r="L11703" s="4"/>
      <c r="M11703" s="5" t="s">
        <v>6502</v>
      </c>
    </row>
    <row r="11704" customFormat="false" ht="15.75" hidden="false" customHeight="false" outlineLevel="0" collapsed="false">
      <c r="A11704" s="6" t="n">
        <v>46222</v>
      </c>
      <c r="B11704" s="4" t="s">
        <v>1237</v>
      </c>
      <c r="C11704" s="4" t="n">
        <v>8</v>
      </c>
      <c r="D11704" s="4" t="n">
        <v>9</v>
      </c>
      <c r="E11704" s="4"/>
      <c r="F11704" s="4" t="n">
        <v>20</v>
      </c>
      <c r="G11704" s="4" t="n">
        <v>8</v>
      </c>
      <c r="H11704" s="4" t="n">
        <v>4</v>
      </c>
      <c r="I11704" s="4" t="str">
        <v>×</v>
      </c>
      <c r="J11704" s="4"/>
      <c r="K11704" s="4"/>
      <c r="L11704" s="4"/>
      <c r="M11704" s="5" t="s">
        <v>6502</v>
      </c>
    </row>
    <row r="11705" customFormat="false" ht="15.75" hidden="false" customHeight="false" outlineLevel="0" collapsed="false">
      <c r="A11705" s="6" t="n">
        <v>46222</v>
      </c>
      <c r="B11705" s="4" t="s">
        <v>1237</v>
      </c>
      <c r="C11705" s="4" t="n">
        <v>8</v>
      </c>
      <c r="D11705" s="4" t="n">
        <v>10</v>
      </c>
      <c r="E11705" s="4"/>
      <c r="F11705" s="4" t="n">
        <v>23</v>
      </c>
      <c r="G11705" s="4" t="n">
        <v>7</v>
      </c>
      <c r="H11705" s="4" t="n">
        <v>4</v>
      </c>
      <c r="I11705" s="4" t="str">
        <v>×</v>
      </c>
      <c r="J11705" s="4"/>
      <c r="K11705" s="4"/>
      <c r="L11705" s="4"/>
      <c r="M11705" s="5" t="s">
        <v>6502</v>
      </c>
    </row>
    <row r="11706" customFormat="false" ht="15.75" hidden="false" customHeight="false" outlineLevel="0" collapsed="false">
      <c r="A11706" s="6" t="n">
        <v>46222</v>
      </c>
      <c r="B11706" s="4" t="s">
        <v>1237</v>
      </c>
      <c r="C11706" s="4" t="n">
        <v>9</v>
      </c>
      <c r="D11706" s="4" t="n">
        <v>1</v>
      </c>
      <c r="E11706" s="4"/>
      <c r="F11706" s="4" t="n">
        <v>50</v>
      </c>
      <c r="G11706" s="4" t="n">
        <v>2</v>
      </c>
      <c r="H11706" s="4" t="n">
        <v>4</v>
      </c>
      <c r="I11706" s="4" t="str">
        <v>×</v>
      </c>
      <c r="J11706" s="4"/>
      <c r="K11706" s="4"/>
      <c r="L11706" s="4"/>
      <c r="M11706" s="5" t="s">
        <v>6502</v>
      </c>
    </row>
    <row r="11707" customFormat="false" ht="15.75" hidden="false" customHeight="false" outlineLevel="0" collapsed="false">
      <c r="A11707" s="6" t="n">
        <v>46222</v>
      </c>
      <c r="B11707" s="4" t="s">
        <v>1237</v>
      </c>
      <c r="C11707" s="4" t="n">
        <v>9</v>
      </c>
      <c r="D11707" s="4" t="n">
        <v>2</v>
      </c>
      <c r="E11707" s="4"/>
      <c r="F11707" s="4" t="n">
        <v>62</v>
      </c>
      <c r="G11707" s="4" t="n">
        <v>1</v>
      </c>
      <c r="H11707" s="4" t="n">
        <v>4</v>
      </c>
      <c r="I11707" s="4" t="str">
        <v>×</v>
      </c>
      <c r="J11707" s="4"/>
      <c r="K11707" s="4"/>
      <c r="L11707" s="4"/>
      <c r="M11707" s="5" t="s">
        <v>6502</v>
      </c>
    </row>
    <row r="11708" customFormat="false" ht="15.75" hidden="false" customHeight="false" outlineLevel="0" collapsed="false">
      <c r="A11708" s="6" t="n">
        <v>46222</v>
      </c>
      <c r="B11708" s="4" t="s">
        <v>1237</v>
      </c>
      <c r="C11708" s="4" t="n">
        <v>9</v>
      </c>
      <c r="D11708" s="4" t="n">
        <v>3</v>
      </c>
      <c r="E11708" s="4"/>
      <c r="F11708" s="4" t="n">
        <v>15</v>
      </c>
      <c r="G11708" s="4" t="n">
        <v>8</v>
      </c>
      <c r="H11708" s="4" t="n">
        <v>4</v>
      </c>
      <c r="I11708" s="4" t="str">
        <v>×</v>
      </c>
      <c r="J11708" s="4"/>
      <c r="K11708" s="4"/>
      <c r="L11708" s="4"/>
      <c r="M11708" s="5" t="s">
        <v>6502</v>
      </c>
    </row>
    <row r="11709" customFormat="false" ht="15.75" hidden="false" customHeight="false" outlineLevel="0" collapsed="false">
      <c r="A11709" s="6" t="n">
        <v>46222</v>
      </c>
      <c r="B11709" s="4" t="s">
        <v>1237</v>
      </c>
      <c r="C11709" s="4" t="n">
        <v>9</v>
      </c>
      <c r="D11709" s="4" t="n">
        <v>4</v>
      </c>
      <c r="E11709" s="4"/>
      <c r="F11709" s="4" t="n">
        <v>44</v>
      </c>
      <c r="G11709" s="4" t="n">
        <v>4</v>
      </c>
      <c r="H11709" s="4" t="n">
        <v>2</v>
      </c>
      <c r="I11709" s="4" t="str">
        <v>○</v>
      </c>
      <c r="J11709" s="4" t="n">
        <v>140</v>
      </c>
      <c r="K11709" s="4"/>
      <c r="L11709" s="4"/>
      <c r="M11709" s="5" t="s">
        <v>6502</v>
      </c>
    </row>
    <row r="11710" customFormat="false" ht="15.75" hidden="false" customHeight="false" outlineLevel="0" collapsed="false">
      <c r="A11710" s="6" t="n">
        <v>46222</v>
      </c>
      <c r="B11710" s="4" t="s">
        <v>1237</v>
      </c>
      <c r="C11710" s="4" t="n">
        <v>9</v>
      </c>
      <c r="D11710" s="4" t="n">
        <v>5</v>
      </c>
      <c r="E11710" s="4"/>
      <c r="F11710" s="4" t="n">
        <v>4</v>
      </c>
      <c r="G11710" s="4" t="n">
        <v>12</v>
      </c>
      <c r="H11710" s="4" t="n">
        <v>4</v>
      </c>
      <c r="I11710" s="4" t="str">
        <v>×</v>
      </c>
      <c r="J11710" s="4"/>
      <c r="K11710" s="4"/>
      <c r="L11710" s="4"/>
      <c r="M11710" s="5" t="s">
        <v>6502</v>
      </c>
    </row>
    <row r="11711" customFormat="false" ht="15.75" hidden="false" customHeight="false" outlineLevel="0" collapsed="false">
      <c r="A11711" s="6" t="n">
        <v>46222</v>
      </c>
      <c r="B11711" s="4" t="s">
        <v>1237</v>
      </c>
      <c r="C11711" s="4" t="n">
        <v>9</v>
      </c>
      <c r="D11711" s="4" t="n">
        <v>6</v>
      </c>
      <c r="E11711" s="4"/>
      <c r="F11711" s="4" t="n">
        <v>20</v>
      </c>
      <c r="G11711" s="4" t="n">
        <v>6</v>
      </c>
      <c r="H11711" s="4" t="n">
        <v>3</v>
      </c>
      <c r="I11711" s="4" t="str">
        <v>○</v>
      </c>
      <c r="J11711" s="4" t="n">
        <v>240</v>
      </c>
      <c r="K11711" s="4"/>
      <c r="L11711" s="4"/>
      <c r="M11711" s="5" t="s">
        <v>6502</v>
      </c>
    </row>
    <row r="11712" customFormat="false" ht="15.75" hidden="false" customHeight="false" outlineLevel="0" collapsed="false">
      <c r="A11712" s="6" t="n">
        <v>46222</v>
      </c>
      <c r="B11712" s="4" t="s">
        <v>1237</v>
      </c>
      <c r="C11712" s="4" t="n">
        <v>9</v>
      </c>
      <c r="D11712" s="4" t="n">
        <v>7</v>
      </c>
      <c r="E11712" s="4"/>
      <c r="F11712" s="4" t="n">
        <v>13</v>
      </c>
      <c r="G11712" s="4" t="n">
        <v>10</v>
      </c>
      <c r="H11712" s="4" t="n">
        <v>4</v>
      </c>
      <c r="I11712" s="4" t="str">
        <v>×</v>
      </c>
      <c r="J11712" s="4"/>
      <c r="K11712" s="4"/>
      <c r="L11712" s="4"/>
      <c r="M11712" s="5" t="s">
        <v>6502</v>
      </c>
    </row>
    <row r="11713" customFormat="false" ht="15.75" hidden="false" customHeight="false" outlineLevel="0" collapsed="false">
      <c r="A11713" s="6" t="n">
        <v>46222</v>
      </c>
      <c r="B11713" s="4" t="s">
        <v>1237</v>
      </c>
      <c r="C11713" s="4" t="n">
        <v>9</v>
      </c>
      <c r="D11713" s="4" t="n">
        <v>8</v>
      </c>
      <c r="E11713" s="4"/>
      <c r="F11713" s="4" t="n">
        <v>25</v>
      </c>
      <c r="G11713" s="4" t="n">
        <v>5</v>
      </c>
      <c r="H11713" s="4" t="n">
        <v>4</v>
      </c>
      <c r="I11713" s="4" t="str">
        <v>×</v>
      </c>
      <c r="J11713" s="4"/>
      <c r="K11713" s="4"/>
      <c r="L11713" s="4"/>
      <c r="M11713" s="5" t="s">
        <v>6502</v>
      </c>
    </row>
    <row r="11714" customFormat="false" ht="15.75" hidden="false" customHeight="false" outlineLevel="0" collapsed="false">
      <c r="A11714" s="6" t="n">
        <v>46222</v>
      </c>
      <c r="B11714" s="4" t="s">
        <v>1237</v>
      </c>
      <c r="C11714" s="4" t="n">
        <v>9</v>
      </c>
      <c r="D11714" s="4" t="n">
        <v>9</v>
      </c>
      <c r="E11714" s="4"/>
      <c r="F11714" s="4" t="n">
        <v>50</v>
      </c>
      <c r="G11714" s="4" t="n">
        <v>2</v>
      </c>
      <c r="H11714" s="4" t="n">
        <v>1</v>
      </c>
      <c r="I11714" s="4" t="str">
        <v>○</v>
      </c>
      <c r="J11714" s="4" t="n">
        <v>110</v>
      </c>
      <c r="K11714" s="4"/>
      <c r="L11714" s="4"/>
      <c r="M11714" s="5" t="s">
        <v>6502</v>
      </c>
    </row>
    <row r="11715" customFormat="false" ht="15.75" hidden="false" customHeight="false" outlineLevel="0" collapsed="false">
      <c r="A11715" s="6" t="n">
        <v>46222</v>
      </c>
      <c r="B11715" s="4" t="s">
        <v>1237</v>
      </c>
      <c r="C11715" s="4" t="n">
        <v>9</v>
      </c>
      <c r="D11715" s="4" t="n">
        <v>10</v>
      </c>
      <c r="E11715" s="4"/>
      <c r="F11715" s="4" t="n">
        <v>15</v>
      </c>
      <c r="G11715" s="4" t="n">
        <v>8</v>
      </c>
      <c r="H11715" s="4" t="n">
        <v>4</v>
      </c>
      <c r="I11715" s="4" t="str">
        <v>×</v>
      </c>
      <c r="J11715" s="4"/>
      <c r="K11715" s="4"/>
      <c r="L11715" s="4"/>
      <c r="M11715" s="5" t="s">
        <v>6502</v>
      </c>
    </row>
    <row r="11716" customFormat="false" ht="15.75" hidden="false" customHeight="false" outlineLevel="0" collapsed="false">
      <c r="A11716" s="6" t="n">
        <v>46222</v>
      </c>
      <c r="B11716" s="4" t="s">
        <v>1237</v>
      </c>
      <c r="C11716" s="4" t="n">
        <v>9</v>
      </c>
      <c r="D11716" s="4" t="n">
        <v>11</v>
      </c>
      <c r="E11716" s="4"/>
      <c r="F11716" s="4" t="n">
        <v>6</v>
      </c>
      <c r="G11716" s="4" t="n">
        <v>11</v>
      </c>
      <c r="H11716" s="4" t="n">
        <v>4</v>
      </c>
      <c r="I11716" s="4" t="str">
        <v>×</v>
      </c>
      <c r="J11716" s="4"/>
      <c r="K11716" s="4"/>
      <c r="L11716" s="4"/>
      <c r="M11716" s="5" t="s">
        <v>6502</v>
      </c>
    </row>
    <row r="11717" customFormat="false" ht="15.75" hidden="false" customHeight="false" outlineLevel="0" collapsed="false">
      <c r="A11717" s="6" t="n">
        <v>46222</v>
      </c>
      <c r="B11717" s="4" t="s">
        <v>1237</v>
      </c>
      <c r="C11717" s="4" t="n">
        <v>9</v>
      </c>
      <c r="D11717" s="4" t="n">
        <v>12</v>
      </c>
      <c r="E11717" s="4"/>
      <c r="F11717" s="4" t="n">
        <v>2</v>
      </c>
      <c r="G11717" s="4" t="n">
        <v>13</v>
      </c>
      <c r="H11717" s="4" t="n">
        <v>4</v>
      </c>
      <c r="I11717" s="4" t="str">
        <v>×</v>
      </c>
      <c r="J11717" s="4"/>
      <c r="K11717" s="4"/>
      <c r="L11717" s="4"/>
      <c r="M11717" s="5" t="s">
        <v>6502</v>
      </c>
    </row>
    <row r="11718" customFormat="false" ht="15.75" hidden="false" customHeight="false" outlineLevel="0" collapsed="false">
      <c r="A11718" s="6" t="n">
        <v>46222</v>
      </c>
      <c r="B11718" s="4" t="s">
        <v>1237</v>
      </c>
      <c r="C11718" s="4" t="n">
        <v>9</v>
      </c>
      <c r="D11718" s="4" t="n">
        <v>13</v>
      </c>
      <c r="E11718" s="4"/>
      <c r="F11718" s="4" t="n">
        <v>17</v>
      </c>
      <c r="G11718" s="4" t="n">
        <v>7</v>
      </c>
      <c r="H11718" s="4" t="n">
        <v>4</v>
      </c>
      <c r="I11718" s="4" t="str">
        <v>×</v>
      </c>
      <c r="J11718" s="4"/>
      <c r="K11718" s="4"/>
      <c r="L11718" s="4"/>
      <c r="M11718" s="5" t="s">
        <v>6502</v>
      </c>
    </row>
    <row r="11719" customFormat="false" ht="15.75" hidden="false" customHeight="false" outlineLevel="0" collapsed="false">
      <c r="A11719" s="6" t="n">
        <v>46222</v>
      </c>
      <c r="B11719" s="4" t="s">
        <v>1237</v>
      </c>
      <c r="C11719" s="4" t="n">
        <v>10</v>
      </c>
      <c r="D11719" s="4" t="n">
        <v>1</v>
      </c>
      <c r="E11719" s="4"/>
      <c r="F11719" s="4" t="n">
        <v>41</v>
      </c>
      <c r="G11719" s="4" t="n">
        <v>3</v>
      </c>
      <c r="H11719" s="4" t="n">
        <v>4</v>
      </c>
      <c r="I11719" s="4" t="str">
        <v>×</v>
      </c>
      <c r="J11719" s="4"/>
      <c r="K11719" s="4"/>
      <c r="L11719" s="4"/>
      <c r="M11719" s="5" t="s">
        <v>6502</v>
      </c>
    </row>
    <row r="11720" customFormat="false" ht="15.75" hidden="false" customHeight="false" outlineLevel="0" collapsed="false">
      <c r="A11720" s="6" t="n">
        <v>46222</v>
      </c>
      <c r="B11720" s="4" t="s">
        <v>1237</v>
      </c>
      <c r="C11720" s="4" t="n">
        <v>10</v>
      </c>
      <c r="D11720" s="4" t="n">
        <v>2</v>
      </c>
      <c r="E11720" s="4"/>
      <c r="F11720" s="4" t="n">
        <v>4</v>
      </c>
      <c r="G11720" s="4" t="n">
        <v>12</v>
      </c>
      <c r="H11720" s="4" t="n">
        <v>4</v>
      </c>
      <c r="I11720" s="4" t="str">
        <v>×</v>
      </c>
      <c r="J11720" s="4"/>
      <c r="K11720" s="4"/>
      <c r="L11720" s="4"/>
      <c r="M11720" s="5" t="s">
        <v>6502</v>
      </c>
    </row>
    <row r="11721" customFormat="false" ht="15.75" hidden="false" customHeight="false" outlineLevel="0" collapsed="false">
      <c r="A11721" s="6" t="n">
        <v>46222</v>
      </c>
      <c r="B11721" s="4" t="s">
        <v>1237</v>
      </c>
      <c r="C11721" s="4" t="n">
        <v>10</v>
      </c>
      <c r="D11721" s="4" t="n">
        <v>3</v>
      </c>
      <c r="E11721" s="4"/>
      <c r="F11721" s="4" t="n">
        <v>13</v>
      </c>
      <c r="G11721" s="4" t="n">
        <v>10</v>
      </c>
      <c r="H11721" s="4" t="n">
        <v>4</v>
      </c>
      <c r="I11721" s="4" t="str">
        <v>×</v>
      </c>
      <c r="J11721" s="4"/>
      <c r="K11721" s="4"/>
      <c r="L11721" s="4"/>
      <c r="M11721" s="5" t="s">
        <v>6502</v>
      </c>
    </row>
    <row r="11722" customFormat="false" ht="15.75" hidden="false" customHeight="false" outlineLevel="0" collapsed="false">
      <c r="A11722" s="6" t="n">
        <v>46222</v>
      </c>
      <c r="B11722" s="4" t="s">
        <v>1237</v>
      </c>
      <c r="C11722" s="4" t="n">
        <v>10</v>
      </c>
      <c r="D11722" s="4" t="n">
        <v>4</v>
      </c>
      <c r="E11722" s="4"/>
      <c r="F11722" s="4" t="n">
        <v>15</v>
      </c>
      <c r="G11722" s="4" t="n">
        <v>9</v>
      </c>
      <c r="H11722" s="4" t="n">
        <v>4</v>
      </c>
      <c r="I11722" s="4" t="str">
        <v>×</v>
      </c>
      <c r="J11722" s="4"/>
      <c r="K11722" s="4"/>
      <c r="L11722" s="4"/>
      <c r="M11722" s="5" t="s">
        <v>6502</v>
      </c>
    </row>
    <row r="11723" customFormat="false" ht="15.75" hidden="false" customHeight="false" outlineLevel="0" collapsed="false">
      <c r="A11723" s="6" t="n">
        <v>46222</v>
      </c>
      <c r="B11723" s="4" t="s">
        <v>1237</v>
      </c>
      <c r="C11723" s="4" t="n">
        <v>10</v>
      </c>
      <c r="D11723" s="4" t="n">
        <v>5</v>
      </c>
      <c r="E11723" s="4"/>
      <c r="F11723" s="4" t="n">
        <v>17</v>
      </c>
      <c r="G11723" s="4" t="n">
        <v>7</v>
      </c>
      <c r="H11723" s="4" t="n">
        <v>4</v>
      </c>
      <c r="I11723" s="4" t="str">
        <v>×</v>
      </c>
      <c r="J11723" s="4"/>
      <c r="K11723" s="4"/>
      <c r="L11723" s="4"/>
      <c r="M11723" s="5" t="s">
        <v>6502</v>
      </c>
    </row>
    <row r="11724" customFormat="false" ht="15.75" hidden="false" customHeight="false" outlineLevel="0" collapsed="false">
      <c r="A11724" s="6" t="n">
        <v>46222</v>
      </c>
      <c r="B11724" s="4" t="s">
        <v>1237</v>
      </c>
      <c r="C11724" s="4" t="n">
        <v>10</v>
      </c>
      <c r="D11724" s="4" t="n">
        <v>6</v>
      </c>
      <c r="E11724" s="4"/>
      <c r="F11724" s="4" t="n">
        <v>8</v>
      </c>
      <c r="G11724" s="4" t="n">
        <v>11</v>
      </c>
      <c r="H11724" s="4" t="n">
        <v>4</v>
      </c>
      <c r="I11724" s="4" t="str">
        <v>×</v>
      </c>
      <c r="J11724" s="4"/>
      <c r="K11724" s="4"/>
      <c r="L11724" s="4"/>
      <c r="M11724" s="5" t="s">
        <v>6502</v>
      </c>
    </row>
    <row r="11725" customFormat="false" ht="15.75" hidden="false" customHeight="false" outlineLevel="0" collapsed="false">
      <c r="A11725" s="6" t="n">
        <v>46222</v>
      </c>
      <c r="B11725" s="4" t="s">
        <v>1237</v>
      </c>
      <c r="C11725" s="4" t="n">
        <v>10</v>
      </c>
      <c r="D11725" s="4" t="n">
        <v>7</v>
      </c>
      <c r="E11725" s="4"/>
      <c r="F11725" s="4" t="n">
        <v>29</v>
      </c>
      <c r="G11725" s="4" t="n">
        <v>5</v>
      </c>
      <c r="H11725" s="4" t="n">
        <v>4</v>
      </c>
      <c r="I11725" s="4" t="str">
        <v>×</v>
      </c>
      <c r="J11725" s="4"/>
      <c r="K11725" s="4"/>
      <c r="L11725" s="4"/>
      <c r="M11725" s="5" t="s">
        <v>6502</v>
      </c>
    </row>
    <row r="11726" customFormat="false" ht="15.75" hidden="false" customHeight="false" outlineLevel="0" collapsed="false">
      <c r="A11726" s="6" t="n">
        <v>46222</v>
      </c>
      <c r="B11726" s="4" t="s">
        <v>1237</v>
      </c>
      <c r="C11726" s="4" t="n">
        <v>10</v>
      </c>
      <c r="D11726" s="4" t="n">
        <v>8</v>
      </c>
      <c r="E11726" s="4"/>
      <c r="F11726" s="4" t="n">
        <v>1</v>
      </c>
      <c r="G11726" s="4" t="n">
        <v>13</v>
      </c>
      <c r="H11726" s="4" t="n">
        <v>4</v>
      </c>
      <c r="I11726" s="4" t="str">
        <v>×</v>
      </c>
      <c r="J11726" s="4"/>
      <c r="K11726" s="4"/>
      <c r="L11726" s="4"/>
      <c r="M11726" s="5" t="s">
        <v>6502</v>
      </c>
    </row>
    <row r="11727" customFormat="false" ht="15.75" hidden="false" customHeight="false" outlineLevel="0" collapsed="false">
      <c r="A11727" s="6" t="n">
        <v>46222</v>
      </c>
      <c r="B11727" s="4" t="s">
        <v>1237</v>
      </c>
      <c r="C11727" s="4" t="n">
        <v>10</v>
      </c>
      <c r="D11727" s="4" t="n">
        <v>9</v>
      </c>
      <c r="E11727" s="4"/>
      <c r="F11727" s="4" t="n">
        <v>34</v>
      </c>
      <c r="G11727" s="4" t="n">
        <v>4</v>
      </c>
      <c r="H11727" s="4" t="n">
        <v>1</v>
      </c>
      <c r="I11727" s="4" t="str">
        <v>○</v>
      </c>
      <c r="J11727" s="4" t="n">
        <v>150</v>
      </c>
      <c r="K11727" s="4"/>
      <c r="L11727" s="4"/>
      <c r="M11727" s="5" t="s">
        <v>6502</v>
      </c>
    </row>
    <row r="11728" customFormat="false" ht="15.75" hidden="false" customHeight="false" outlineLevel="0" collapsed="false">
      <c r="A11728" s="6" t="n">
        <v>46222</v>
      </c>
      <c r="B11728" s="4" t="s">
        <v>1237</v>
      </c>
      <c r="C11728" s="4" t="n">
        <v>10</v>
      </c>
      <c r="D11728" s="4" t="n">
        <v>10</v>
      </c>
      <c r="E11728" s="4"/>
      <c r="F11728" s="4" t="n">
        <v>17</v>
      </c>
      <c r="G11728" s="4" t="n">
        <v>7</v>
      </c>
      <c r="H11728" s="4" t="n">
        <v>4</v>
      </c>
      <c r="I11728" s="4" t="str">
        <v>×</v>
      </c>
      <c r="J11728" s="4"/>
      <c r="K11728" s="4"/>
      <c r="L11728" s="4"/>
      <c r="M11728" s="5" t="s">
        <v>6502</v>
      </c>
    </row>
    <row r="11729" customFormat="false" ht="15.75" hidden="false" customHeight="false" outlineLevel="0" collapsed="false">
      <c r="A11729" s="6" t="n">
        <v>46222</v>
      </c>
      <c r="B11729" s="4" t="s">
        <v>1237</v>
      </c>
      <c r="C11729" s="4" t="n">
        <v>10</v>
      </c>
      <c r="D11729" s="4" t="n">
        <v>11</v>
      </c>
      <c r="E11729" s="4"/>
      <c r="F11729" s="4" t="n">
        <v>20</v>
      </c>
      <c r="G11729" s="4" t="n">
        <v>6</v>
      </c>
      <c r="H11729" s="4" t="n">
        <v>4</v>
      </c>
      <c r="I11729" s="4" t="str">
        <v>×</v>
      </c>
      <c r="J11729" s="4"/>
      <c r="K11729" s="4"/>
      <c r="L11729" s="4"/>
      <c r="M11729" s="5" t="s">
        <v>6502</v>
      </c>
    </row>
    <row r="11730" customFormat="false" ht="15.75" hidden="false" customHeight="false" outlineLevel="0" collapsed="false">
      <c r="A11730" s="6" t="n">
        <v>46222</v>
      </c>
      <c r="B11730" s="4" t="s">
        <v>1237</v>
      </c>
      <c r="C11730" s="4" t="n">
        <v>10</v>
      </c>
      <c r="D11730" s="4" t="n">
        <v>12</v>
      </c>
      <c r="E11730" s="4"/>
      <c r="F11730" s="4" t="n">
        <v>56</v>
      </c>
      <c r="G11730" s="4" t="n">
        <v>1</v>
      </c>
      <c r="H11730" s="4" t="n">
        <v>2</v>
      </c>
      <c r="I11730" s="4" t="str">
        <v>○</v>
      </c>
      <c r="J11730" s="4" t="n">
        <v>120</v>
      </c>
      <c r="K11730" s="4"/>
      <c r="L11730" s="4"/>
      <c r="M11730" s="5" t="s">
        <v>6502</v>
      </c>
    </row>
    <row r="11731" customFormat="false" ht="15.75" hidden="false" customHeight="false" outlineLevel="0" collapsed="false">
      <c r="A11731" s="6" t="n">
        <v>46222</v>
      </c>
      <c r="B11731" s="4" t="s">
        <v>1237</v>
      </c>
      <c r="C11731" s="4" t="n">
        <v>10</v>
      </c>
      <c r="D11731" s="4" t="n">
        <v>13</v>
      </c>
      <c r="E11731" s="4"/>
      <c r="F11731" s="4" t="n">
        <v>1</v>
      </c>
      <c r="G11731" s="4" t="n">
        <v>13</v>
      </c>
      <c r="H11731" s="4" t="n">
        <v>4</v>
      </c>
      <c r="I11731" s="4" t="str">
        <v>×</v>
      </c>
      <c r="J11731" s="4"/>
      <c r="K11731" s="4"/>
      <c r="L11731" s="4"/>
      <c r="M11731" s="5" t="s">
        <v>6502</v>
      </c>
    </row>
    <row r="11732" customFormat="false" ht="15.75" hidden="false" customHeight="false" outlineLevel="0" collapsed="false">
      <c r="A11732" s="6" t="n">
        <v>46222</v>
      </c>
      <c r="B11732" s="4" t="s">
        <v>1237</v>
      </c>
      <c r="C11732" s="4" t="n">
        <v>10</v>
      </c>
      <c r="D11732" s="4" t="n">
        <v>14</v>
      </c>
      <c r="E11732" s="4"/>
      <c r="F11732" s="4" t="n">
        <v>52</v>
      </c>
      <c r="G11732" s="4" t="n">
        <v>2</v>
      </c>
      <c r="H11732" s="4" t="n">
        <v>3</v>
      </c>
      <c r="I11732" s="4" t="str">
        <v>○</v>
      </c>
      <c r="J11732" s="4" t="n">
        <v>200</v>
      </c>
      <c r="K11732" s="4"/>
      <c r="L11732" s="4"/>
      <c r="M11732" s="5" t="s">
        <v>6502</v>
      </c>
    </row>
    <row r="11733" customFormat="false" ht="15.75" hidden="false" customHeight="false" outlineLevel="0" collapsed="false">
      <c r="A11733" s="6" t="n">
        <v>46222</v>
      </c>
      <c r="B11733" s="4" t="s">
        <v>1237</v>
      </c>
      <c r="C11733" s="4" t="n">
        <v>11</v>
      </c>
      <c r="D11733" s="4" t="n">
        <v>1</v>
      </c>
      <c r="E11733" s="4"/>
      <c r="F11733" s="4" t="n">
        <v>13</v>
      </c>
      <c r="G11733" s="4" t="n">
        <v>10</v>
      </c>
      <c r="H11733" s="4" t="n">
        <v>4</v>
      </c>
      <c r="I11733" s="4" t="str">
        <v>×</v>
      </c>
      <c r="J11733" s="4"/>
      <c r="K11733" s="4"/>
      <c r="L11733" s="4"/>
      <c r="M11733" s="5" t="s">
        <v>6502</v>
      </c>
    </row>
    <row r="11734" customFormat="false" ht="15.75" hidden="false" customHeight="false" outlineLevel="0" collapsed="false">
      <c r="A11734" s="6" t="n">
        <v>46222</v>
      </c>
      <c r="B11734" s="4" t="s">
        <v>1237</v>
      </c>
      <c r="C11734" s="4" t="n">
        <v>11</v>
      </c>
      <c r="D11734" s="4" t="n">
        <v>2</v>
      </c>
      <c r="E11734" s="4"/>
      <c r="F11734" s="4" t="n">
        <v>25</v>
      </c>
      <c r="G11734" s="4" t="n">
        <v>8</v>
      </c>
      <c r="H11734" s="4" t="n">
        <v>3</v>
      </c>
      <c r="I11734" s="4" t="str">
        <v>○</v>
      </c>
      <c r="J11734" s="4" t="n">
        <v>430</v>
      </c>
      <c r="K11734" s="4"/>
      <c r="L11734" s="4"/>
      <c r="M11734" s="5" t="s">
        <v>6502</v>
      </c>
    </row>
    <row r="11735" customFormat="false" ht="15.75" hidden="false" customHeight="false" outlineLevel="0" collapsed="false">
      <c r="A11735" s="6" t="n">
        <v>46222</v>
      </c>
      <c r="B11735" s="4" t="s">
        <v>1237</v>
      </c>
      <c r="C11735" s="4" t="n">
        <v>11</v>
      </c>
      <c r="D11735" s="4" t="n">
        <v>3</v>
      </c>
      <c r="E11735" s="4"/>
      <c r="F11735" s="4" t="n">
        <v>13</v>
      </c>
      <c r="G11735" s="4" t="n">
        <v>10</v>
      </c>
      <c r="H11735" s="4" t="n">
        <v>4</v>
      </c>
      <c r="I11735" s="4" t="str">
        <v>×</v>
      </c>
      <c r="J11735" s="4"/>
      <c r="K11735" s="4"/>
      <c r="L11735" s="4"/>
      <c r="M11735" s="5" t="s">
        <v>6502</v>
      </c>
    </row>
    <row r="11736" customFormat="false" ht="15.75" hidden="false" customHeight="false" outlineLevel="0" collapsed="false">
      <c r="A11736" s="6" t="n">
        <v>46222</v>
      </c>
      <c r="B11736" s="4" t="s">
        <v>1237</v>
      </c>
      <c r="C11736" s="4" t="n">
        <v>11</v>
      </c>
      <c r="D11736" s="4" t="n">
        <v>4</v>
      </c>
      <c r="E11736" s="4"/>
      <c r="F11736" s="4" t="n">
        <v>29</v>
      </c>
      <c r="G11736" s="4" t="n">
        <v>4</v>
      </c>
      <c r="H11736" s="4" t="n">
        <v>4</v>
      </c>
      <c r="I11736" s="4" t="str">
        <v>×</v>
      </c>
      <c r="J11736" s="4"/>
      <c r="K11736" s="4"/>
      <c r="L11736" s="4"/>
      <c r="M11736" s="5" t="s">
        <v>6502</v>
      </c>
    </row>
    <row r="11737" customFormat="false" ht="15.75" hidden="false" customHeight="false" outlineLevel="0" collapsed="false">
      <c r="A11737" s="6" t="n">
        <v>46222</v>
      </c>
      <c r="B11737" s="4" t="s">
        <v>1237</v>
      </c>
      <c r="C11737" s="4" t="n">
        <v>11</v>
      </c>
      <c r="D11737" s="4" t="n">
        <v>5</v>
      </c>
      <c r="E11737" s="4"/>
      <c r="F11737" s="4" t="n">
        <v>23</v>
      </c>
      <c r="G11737" s="4" t="n">
        <v>9</v>
      </c>
      <c r="H11737" s="4" t="n">
        <v>1</v>
      </c>
      <c r="I11737" s="4" t="str">
        <v>○</v>
      </c>
      <c r="J11737" s="4" t="n">
        <v>650</v>
      </c>
      <c r="K11737" s="4"/>
      <c r="L11737" s="4"/>
      <c r="M11737" s="5" t="s">
        <v>6502</v>
      </c>
    </row>
    <row r="11738" customFormat="false" ht="15.75" hidden="false" customHeight="false" outlineLevel="0" collapsed="false">
      <c r="A11738" s="6" t="n">
        <v>46222</v>
      </c>
      <c r="B11738" s="4" t="s">
        <v>1237</v>
      </c>
      <c r="C11738" s="4" t="n">
        <v>11</v>
      </c>
      <c r="D11738" s="4" t="n">
        <v>6</v>
      </c>
      <c r="E11738" s="4"/>
      <c r="F11738" s="4" t="n">
        <v>4</v>
      </c>
      <c r="G11738" s="4" t="n">
        <v>13</v>
      </c>
      <c r="H11738" s="4" t="n">
        <v>4</v>
      </c>
      <c r="I11738" s="4" t="str">
        <v>×</v>
      </c>
      <c r="J11738" s="4"/>
      <c r="K11738" s="4"/>
      <c r="L11738" s="4"/>
      <c r="M11738" s="5" t="s">
        <v>6502</v>
      </c>
    </row>
    <row r="11739" customFormat="false" ht="15.75" hidden="false" customHeight="false" outlineLevel="0" collapsed="false">
      <c r="A11739" s="6" t="n">
        <v>46222</v>
      </c>
      <c r="B11739" s="4" t="s">
        <v>1237</v>
      </c>
      <c r="C11739" s="4" t="n">
        <v>11</v>
      </c>
      <c r="D11739" s="4" t="n">
        <v>7</v>
      </c>
      <c r="E11739" s="4"/>
      <c r="F11739" s="4" t="n">
        <v>13</v>
      </c>
      <c r="G11739" s="4" t="n">
        <v>10</v>
      </c>
      <c r="H11739" s="4" t="n">
        <v>4</v>
      </c>
      <c r="I11739" s="4" t="str">
        <v>×</v>
      </c>
      <c r="J11739" s="4"/>
      <c r="K11739" s="4"/>
      <c r="L11739" s="4"/>
      <c r="M11739" s="5" t="s">
        <v>6502</v>
      </c>
    </row>
    <row r="11740" customFormat="false" ht="15.75" hidden="false" customHeight="false" outlineLevel="0" collapsed="false">
      <c r="A11740" s="6" t="n">
        <v>46222</v>
      </c>
      <c r="B11740" s="4" t="s">
        <v>1237</v>
      </c>
      <c r="C11740" s="4" t="n">
        <v>11</v>
      </c>
      <c r="D11740" s="4" t="n">
        <v>8</v>
      </c>
      <c r="E11740" s="4"/>
      <c r="F11740" s="4" t="n">
        <v>29</v>
      </c>
      <c r="G11740" s="4" t="n">
        <v>4</v>
      </c>
      <c r="H11740" s="4" t="n">
        <v>4</v>
      </c>
      <c r="I11740" s="4" t="str">
        <v>×</v>
      </c>
      <c r="J11740" s="4"/>
      <c r="K11740" s="4"/>
      <c r="L11740" s="4"/>
      <c r="M11740" s="5" t="s">
        <v>6502</v>
      </c>
    </row>
    <row r="11741" customFormat="false" ht="15.75" hidden="false" customHeight="false" outlineLevel="0" collapsed="false">
      <c r="A11741" s="6" t="n">
        <v>46222</v>
      </c>
      <c r="B11741" s="4" t="s">
        <v>1237</v>
      </c>
      <c r="C11741" s="4" t="n">
        <v>11</v>
      </c>
      <c r="D11741" s="4" t="n">
        <v>9</v>
      </c>
      <c r="E11741" s="4"/>
      <c r="F11741" s="4" t="n">
        <v>29</v>
      </c>
      <c r="G11741" s="4" t="n">
        <v>4</v>
      </c>
      <c r="H11741" s="4" t="n">
        <v>2</v>
      </c>
      <c r="I11741" s="4" t="str">
        <v>○</v>
      </c>
      <c r="J11741" s="4" t="n">
        <v>170</v>
      </c>
      <c r="K11741" s="4"/>
      <c r="L11741" s="4"/>
      <c r="M11741" s="5" t="s">
        <v>6502</v>
      </c>
    </row>
    <row r="11742" customFormat="false" ht="15.75" hidden="false" customHeight="false" outlineLevel="0" collapsed="false">
      <c r="A11742" s="6" t="n">
        <v>46222</v>
      </c>
      <c r="B11742" s="4" t="s">
        <v>1237</v>
      </c>
      <c r="C11742" s="4" t="n">
        <v>11</v>
      </c>
      <c r="D11742" s="4" t="n">
        <v>10</v>
      </c>
      <c r="E11742" s="4"/>
      <c r="F11742" s="4" t="n">
        <v>41</v>
      </c>
      <c r="G11742" s="4" t="n">
        <v>2</v>
      </c>
      <c r="H11742" s="4" t="n">
        <v>4</v>
      </c>
      <c r="I11742" s="4" t="str">
        <v>×</v>
      </c>
      <c r="J11742" s="4"/>
      <c r="K11742" s="4"/>
      <c r="L11742" s="4"/>
      <c r="M11742" s="5" t="s">
        <v>6502</v>
      </c>
    </row>
    <row r="11743" customFormat="false" ht="15.75" hidden="false" customHeight="false" outlineLevel="0" collapsed="false">
      <c r="A11743" s="6" t="n">
        <v>46222</v>
      </c>
      <c r="B11743" s="4" t="s">
        <v>1237</v>
      </c>
      <c r="C11743" s="4" t="n">
        <v>11</v>
      </c>
      <c r="D11743" s="4" t="n">
        <v>11</v>
      </c>
      <c r="E11743" s="4"/>
      <c r="F11743" s="4" t="n">
        <v>37</v>
      </c>
      <c r="G11743" s="4" t="n">
        <v>3</v>
      </c>
      <c r="H11743" s="4" t="n">
        <v>4</v>
      </c>
      <c r="I11743" s="4" t="str">
        <v>×</v>
      </c>
      <c r="J11743" s="4"/>
      <c r="K11743" s="4"/>
      <c r="L11743" s="4"/>
      <c r="M11743" s="5" t="s">
        <v>6502</v>
      </c>
    </row>
    <row r="11744" customFormat="false" ht="15.75" hidden="false" customHeight="false" outlineLevel="0" collapsed="false">
      <c r="A11744" s="6" t="n">
        <v>46222</v>
      </c>
      <c r="B11744" s="4" t="s">
        <v>1237</v>
      </c>
      <c r="C11744" s="4" t="n">
        <v>11</v>
      </c>
      <c r="D11744" s="4" t="n">
        <v>12</v>
      </c>
      <c r="E11744" s="4"/>
      <c r="F11744" s="4" t="n">
        <v>29</v>
      </c>
      <c r="G11744" s="4" t="n">
        <v>4</v>
      </c>
      <c r="H11744" s="4" t="n">
        <v>4</v>
      </c>
      <c r="I11744" s="4" t="str">
        <v>×</v>
      </c>
      <c r="J11744" s="4"/>
      <c r="K11744" s="4"/>
      <c r="L11744" s="4"/>
      <c r="M11744" s="5" t="s">
        <v>6502</v>
      </c>
    </row>
    <row r="11745" customFormat="false" ht="15.75" hidden="false" customHeight="false" outlineLevel="0" collapsed="false">
      <c r="A11745" s="6" t="n">
        <v>46222</v>
      </c>
      <c r="B11745" s="4" t="s">
        <v>1237</v>
      </c>
      <c r="C11745" s="4" t="n">
        <v>11</v>
      </c>
      <c r="D11745" s="4" t="n">
        <v>13</v>
      </c>
      <c r="E11745" s="4"/>
      <c r="F11745" s="4" t="n">
        <v>58</v>
      </c>
      <c r="G11745" s="4" t="n">
        <v>1</v>
      </c>
      <c r="H11745" s="4" t="n">
        <v>4</v>
      </c>
      <c r="I11745" s="4" t="str">
        <v>×</v>
      </c>
      <c r="J11745" s="4"/>
      <c r="K11745" s="4"/>
      <c r="L11745" s="4"/>
      <c r="M11745" s="5" t="s">
        <v>6502</v>
      </c>
    </row>
    <row r="11746" customFormat="false" ht="15.75" hidden="false" customHeight="false" outlineLevel="0" collapsed="false">
      <c r="A11746" s="6" t="n">
        <v>46222</v>
      </c>
      <c r="B11746" s="4" t="s">
        <v>1237</v>
      </c>
      <c r="C11746" s="4" t="n">
        <v>12</v>
      </c>
      <c r="D11746" s="4" t="n">
        <v>1</v>
      </c>
      <c r="E11746" s="4"/>
      <c r="F11746" s="4" t="n">
        <v>44</v>
      </c>
      <c r="G11746" s="4" t="n">
        <v>2</v>
      </c>
      <c r="H11746" s="4" t="n">
        <v>2</v>
      </c>
      <c r="I11746" s="4" t="str">
        <v>○</v>
      </c>
      <c r="J11746" s="4" t="n">
        <v>260</v>
      </c>
      <c r="K11746" s="4"/>
      <c r="L11746" s="4"/>
      <c r="M11746" s="5" t="s">
        <v>6502</v>
      </c>
    </row>
    <row r="11747" customFormat="false" ht="15.75" hidden="false" customHeight="false" outlineLevel="0" collapsed="false">
      <c r="A11747" s="6" t="n">
        <v>46222</v>
      </c>
      <c r="B11747" s="4" t="s">
        <v>1237</v>
      </c>
      <c r="C11747" s="4" t="n">
        <v>12</v>
      </c>
      <c r="D11747" s="4" t="n">
        <v>2</v>
      </c>
      <c r="E11747" s="4"/>
      <c r="F11747" s="4" t="n">
        <v>37</v>
      </c>
      <c r="G11747" s="4" t="n">
        <v>4</v>
      </c>
      <c r="H11747" s="4" t="n">
        <v>4</v>
      </c>
      <c r="I11747" s="4" t="str">
        <v>×</v>
      </c>
      <c r="J11747" s="4"/>
      <c r="K11747" s="4"/>
      <c r="L11747" s="4"/>
      <c r="M11747" s="5" t="s">
        <v>6502</v>
      </c>
    </row>
    <row r="11748" customFormat="false" ht="15.75" hidden="false" customHeight="false" outlineLevel="0" collapsed="false">
      <c r="A11748" s="6" t="n">
        <v>46222</v>
      </c>
      <c r="B11748" s="4" t="s">
        <v>1237</v>
      </c>
      <c r="C11748" s="4" t="n">
        <v>12</v>
      </c>
      <c r="D11748" s="4" t="n">
        <v>3</v>
      </c>
      <c r="E11748" s="4"/>
      <c r="F11748" s="4" t="n">
        <v>50</v>
      </c>
      <c r="G11748" s="4" t="n">
        <v>1</v>
      </c>
      <c r="H11748" s="4" t="n">
        <v>3</v>
      </c>
      <c r="I11748" s="4" t="str">
        <v>○</v>
      </c>
      <c r="J11748" s="4" t="n">
        <v>180</v>
      </c>
      <c r="K11748" s="4"/>
      <c r="L11748" s="4"/>
      <c r="M11748" s="5" t="s">
        <v>6502</v>
      </c>
    </row>
    <row r="11749" customFormat="false" ht="15.75" hidden="false" customHeight="false" outlineLevel="0" collapsed="false">
      <c r="A11749" s="6" t="n">
        <v>46222</v>
      </c>
      <c r="B11749" s="4" t="s">
        <v>1237</v>
      </c>
      <c r="C11749" s="4" t="n">
        <v>12</v>
      </c>
      <c r="D11749" s="4" t="n">
        <v>4</v>
      </c>
      <c r="E11749" s="4"/>
      <c r="F11749" s="4" t="n">
        <v>39</v>
      </c>
      <c r="G11749" s="4" t="n">
        <v>3</v>
      </c>
      <c r="H11749" s="4" t="n">
        <v>1</v>
      </c>
      <c r="I11749" s="4" t="str">
        <v>○</v>
      </c>
      <c r="J11749" s="4" t="n">
        <v>170</v>
      </c>
      <c r="K11749" s="4"/>
      <c r="L11749" s="4"/>
      <c r="M11749" s="5" t="s">
        <v>6502</v>
      </c>
    </row>
    <row r="11750" customFormat="false" ht="15.75" hidden="false" customHeight="false" outlineLevel="0" collapsed="false">
      <c r="A11750" s="6" t="n">
        <v>46222</v>
      </c>
      <c r="B11750" s="4" t="s">
        <v>1237</v>
      </c>
      <c r="C11750" s="4" t="n">
        <v>12</v>
      </c>
      <c r="D11750" s="4" t="n">
        <v>5</v>
      </c>
      <c r="E11750" s="4"/>
      <c r="F11750" s="4" t="n">
        <v>34</v>
      </c>
      <c r="G11750" s="4" t="n">
        <v>5</v>
      </c>
      <c r="H11750" s="4" t="n">
        <v>4</v>
      </c>
      <c r="I11750" s="4" t="str">
        <v>×</v>
      </c>
      <c r="J11750" s="4"/>
      <c r="K11750" s="4"/>
      <c r="L11750" s="4"/>
      <c r="M11750" s="5" t="s">
        <v>6502</v>
      </c>
    </row>
    <row r="11751" customFormat="false" ht="15.75" hidden="false" customHeight="false" outlineLevel="0" collapsed="false">
      <c r="A11751" s="6" t="n">
        <v>46222</v>
      </c>
      <c r="B11751" s="4" t="s">
        <v>1237</v>
      </c>
      <c r="C11751" s="4" t="n">
        <v>12</v>
      </c>
      <c r="D11751" s="4" t="n">
        <v>6</v>
      </c>
      <c r="E11751" s="4"/>
      <c r="F11751" s="4" t="n">
        <v>3</v>
      </c>
      <c r="G11751" s="4" t="n">
        <v>14</v>
      </c>
      <c r="H11751" s="4" t="n">
        <v>4</v>
      </c>
      <c r="I11751" s="4" t="str">
        <v>×</v>
      </c>
      <c r="J11751" s="4"/>
      <c r="K11751" s="4"/>
      <c r="L11751" s="4"/>
      <c r="M11751" s="5" t="s">
        <v>6502</v>
      </c>
    </row>
    <row r="11752" customFormat="false" ht="15.75" hidden="false" customHeight="false" outlineLevel="0" collapsed="false">
      <c r="A11752" s="6" t="n">
        <v>46222</v>
      </c>
      <c r="B11752" s="4" t="s">
        <v>1237</v>
      </c>
      <c r="C11752" s="4" t="n">
        <v>12</v>
      </c>
      <c r="D11752" s="4" t="n">
        <v>7</v>
      </c>
      <c r="E11752" s="4"/>
      <c r="F11752" s="4" t="n">
        <v>10</v>
      </c>
      <c r="G11752" s="4" t="n">
        <v>10</v>
      </c>
      <c r="H11752" s="4" t="n">
        <v>4</v>
      </c>
      <c r="I11752" s="4" t="str">
        <v>×</v>
      </c>
      <c r="J11752" s="4"/>
      <c r="K11752" s="4"/>
      <c r="L11752" s="4"/>
      <c r="M11752" s="5" t="s">
        <v>6502</v>
      </c>
    </row>
    <row r="11753" customFormat="false" ht="15.75" hidden="false" customHeight="false" outlineLevel="0" collapsed="false">
      <c r="A11753" s="6" t="n">
        <v>46222</v>
      </c>
      <c r="B11753" s="4" t="s">
        <v>1237</v>
      </c>
      <c r="C11753" s="4" t="n">
        <v>12</v>
      </c>
      <c r="D11753" s="4" t="n">
        <v>8</v>
      </c>
      <c r="E11753" s="4"/>
      <c r="F11753" s="4" t="n">
        <v>13</v>
      </c>
      <c r="G11753" s="4" t="n">
        <v>7</v>
      </c>
      <c r="H11753" s="4" t="n">
        <v>4</v>
      </c>
      <c r="I11753" s="4" t="str">
        <v>×</v>
      </c>
      <c r="J11753" s="4"/>
      <c r="K11753" s="4"/>
      <c r="L11753" s="4"/>
      <c r="M11753" s="5" t="s">
        <v>6502</v>
      </c>
    </row>
    <row r="11754" customFormat="false" ht="15.75" hidden="false" customHeight="false" outlineLevel="0" collapsed="false">
      <c r="A11754" s="6" t="n">
        <v>46222</v>
      </c>
      <c r="B11754" s="4" t="s">
        <v>1237</v>
      </c>
      <c r="C11754" s="4" t="n">
        <v>12</v>
      </c>
      <c r="D11754" s="4" t="n">
        <v>9</v>
      </c>
      <c r="E11754" s="4"/>
      <c r="F11754" s="4" t="n">
        <v>6</v>
      </c>
      <c r="G11754" s="4" t="n">
        <v>13</v>
      </c>
      <c r="H11754" s="4" t="n">
        <v>4</v>
      </c>
      <c r="I11754" s="4" t="str">
        <v>×</v>
      </c>
      <c r="J11754" s="4"/>
      <c r="K11754" s="4"/>
      <c r="L11754" s="4"/>
      <c r="M11754" s="5" t="s">
        <v>6502</v>
      </c>
    </row>
    <row r="11755" customFormat="false" ht="15.75" hidden="false" customHeight="false" outlineLevel="0" collapsed="false">
      <c r="A11755" s="6" t="n">
        <v>46222</v>
      </c>
      <c r="B11755" s="4" t="s">
        <v>1237</v>
      </c>
      <c r="C11755" s="4" t="n">
        <v>12</v>
      </c>
      <c r="D11755" s="4" t="n">
        <v>10</v>
      </c>
      <c r="E11755" s="4"/>
      <c r="F11755" s="4" t="n">
        <v>8</v>
      </c>
      <c r="G11755" s="4" t="n">
        <v>12</v>
      </c>
      <c r="H11755" s="4" t="n">
        <v>4</v>
      </c>
      <c r="I11755" s="4" t="str">
        <v>×</v>
      </c>
      <c r="J11755" s="4"/>
      <c r="K11755" s="4"/>
      <c r="L11755" s="4"/>
      <c r="M11755" s="5" t="s">
        <v>6502</v>
      </c>
    </row>
    <row r="11756" customFormat="false" ht="15.75" hidden="false" customHeight="false" outlineLevel="0" collapsed="false">
      <c r="A11756" s="6" t="n">
        <v>46222</v>
      </c>
      <c r="B11756" s="4" t="s">
        <v>1237</v>
      </c>
      <c r="C11756" s="4" t="n">
        <v>12</v>
      </c>
      <c r="D11756" s="4" t="n">
        <v>11</v>
      </c>
      <c r="E11756" s="4"/>
      <c r="F11756" s="4" t="n">
        <v>10</v>
      </c>
      <c r="G11756" s="4" t="n">
        <v>10</v>
      </c>
      <c r="H11756" s="4" t="n">
        <v>4</v>
      </c>
      <c r="I11756" s="4" t="str">
        <v>×</v>
      </c>
      <c r="J11756" s="4"/>
      <c r="K11756" s="4"/>
      <c r="L11756" s="4"/>
      <c r="M11756" s="5" t="s">
        <v>6502</v>
      </c>
    </row>
    <row r="11757" customFormat="false" ht="15.75" hidden="false" customHeight="false" outlineLevel="0" collapsed="false">
      <c r="A11757" s="6" t="n">
        <v>46222</v>
      </c>
      <c r="B11757" s="4" t="s">
        <v>1237</v>
      </c>
      <c r="C11757" s="4" t="n">
        <v>12</v>
      </c>
      <c r="D11757" s="4" t="n">
        <v>12</v>
      </c>
      <c r="E11757" s="4"/>
      <c r="F11757" s="4" t="n">
        <v>20</v>
      </c>
      <c r="G11757" s="4" t="n">
        <v>6</v>
      </c>
      <c r="H11757" s="4" t="n">
        <v>4</v>
      </c>
      <c r="I11757" s="4" t="str">
        <v>×</v>
      </c>
      <c r="J11757" s="4"/>
      <c r="K11757" s="4"/>
      <c r="L11757" s="4"/>
      <c r="M11757" s="5" t="s">
        <v>6502</v>
      </c>
    </row>
    <row r="11758" customFormat="false" ht="15.75" hidden="false" customHeight="false" outlineLevel="0" collapsed="false">
      <c r="A11758" s="6" t="n">
        <v>46222</v>
      </c>
      <c r="B11758" s="4" t="s">
        <v>1237</v>
      </c>
      <c r="C11758" s="4" t="n">
        <v>12</v>
      </c>
      <c r="D11758" s="4" t="n">
        <v>13</v>
      </c>
      <c r="E11758" s="4"/>
      <c r="F11758" s="4" t="n">
        <v>13</v>
      </c>
      <c r="G11758" s="4" t="n">
        <v>7</v>
      </c>
      <c r="H11758" s="4" t="n">
        <v>4</v>
      </c>
      <c r="I11758" s="4" t="str">
        <v>×</v>
      </c>
      <c r="J11758" s="4"/>
      <c r="K11758" s="4"/>
      <c r="L11758" s="4"/>
      <c r="M11758" s="5" t="s">
        <v>6502</v>
      </c>
    </row>
    <row r="11759" customFormat="false" ht="15.75" hidden="false" customHeight="false" outlineLevel="0" collapsed="false">
      <c r="A11759" s="6" t="n">
        <v>46222</v>
      </c>
      <c r="B11759" s="4" t="s">
        <v>1237</v>
      </c>
      <c r="C11759" s="4" t="n">
        <v>12</v>
      </c>
      <c r="D11759" s="4" t="n">
        <v>14</v>
      </c>
      <c r="E11759" s="4"/>
      <c r="F11759" s="4" t="n">
        <v>13</v>
      </c>
      <c r="G11759" s="4" t="n">
        <v>7</v>
      </c>
      <c r="H11759" s="4" t="n">
        <v>4</v>
      </c>
      <c r="I11759" s="4" t="str">
        <v>×</v>
      </c>
      <c r="J11759" s="4"/>
      <c r="K11759" s="4"/>
      <c r="L11759" s="4"/>
      <c r="M11759" s="5" t="s">
        <v>6502</v>
      </c>
    </row>
    <row r="11760" customFormat="false" ht="15.75" hidden="false" customHeight="false" outlineLevel="0" collapsed="false">
      <c r="A11760" s="6" t="n">
        <v>46222</v>
      </c>
      <c r="B11760" s="4" t="s">
        <v>1091</v>
      </c>
      <c r="C11760" s="4" t="n">
        <v>1</v>
      </c>
      <c r="D11760" s="4" t="n">
        <v>1</v>
      </c>
      <c r="E11760" s="4"/>
      <c r="F11760" s="4" t="n">
        <v>37</v>
      </c>
      <c r="G11760" s="4" t="n">
        <v>4</v>
      </c>
      <c r="H11760" s="4" t="n">
        <v>4</v>
      </c>
      <c r="I11760" s="4" t="str">
        <v>×</v>
      </c>
      <c r="J11760" s="4"/>
      <c r="K11760" s="4"/>
      <c r="L11760" s="4"/>
      <c r="M11760" s="5" t="s">
        <v>6502</v>
      </c>
    </row>
    <row r="11761" customFormat="false" ht="15.75" hidden="false" customHeight="false" outlineLevel="0" collapsed="false">
      <c r="A11761" s="6" t="n">
        <v>46222</v>
      </c>
      <c r="B11761" s="4" t="s">
        <v>1091</v>
      </c>
      <c r="C11761" s="4" t="n">
        <v>1</v>
      </c>
      <c r="D11761" s="4" t="n">
        <v>2</v>
      </c>
      <c r="E11761" s="4"/>
      <c r="F11761" s="4" t="n">
        <v>24</v>
      </c>
      <c r="G11761" s="4" t="n">
        <v>7</v>
      </c>
      <c r="H11761" s="4" t="n">
        <v>4</v>
      </c>
      <c r="I11761" s="4" t="str">
        <v>×</v>
      </c>
      <c r="J11761" s="4"/>
      <c r="K11761" s="4"/>
      <c r="L11761" s="4"/>
      <c r="M11761" s="5" t="s">
        <v>6502</v>
      </c>
    </row>
    <row r="11762" customFormat="false" ht="15.75" hidden="false" customHeight="false" outlineLevel="0" collapsed="false">
      <c r="A11762" s="6" t="n">
        <v>46222</v>
      </c>
      <c r="B11762" s="4" t="s">
        <v>1091</v>
      </c>
      <c r="C11762" s="4" t="n">
        <v>1</v>
      </c>
      <c r="D11762" s="4" t="n">
        <v>3</v>
      </c>
      <c r="E11762" s="4"/>
      <c r="F11762" s="4" t="n">
        <v>6</v>
      </c>
      <c r="G11762" s="4" t="n">
        <v>10</v>
      </c>
      <c r="H11762" s="4" t="n">
        <v>4</v>
      </c>
      <c r="I11762" s="4" t="str">
        <v>×</v>
      </c>
      <c r="J11762" s="4"/>
      <c r="K11762" s="4"/>
      <c r="L11762" s="4"/>
      <c r="M11762" s="5" t="s">
        <v>6502</v>
      </c>
    </row>
    <row r="11763" customFormat="false" ht="15.75" hidden="false" customHeight="false" outlineLevel="0" collapsed="false">
      <c r="A11763" s="6" t="n">
        <v>46222</v>
      </c>
      <c r="B11763" s="4" t="s">
        <v>1091</v>
      </c>
      <c r="C11763" s="4" t="n">
        <v>1</v>
      </c>
      <c r="D11763" s="4" t="n">
        <v>4</v>
      </c>
      <c r="E11763" s="4"/>
      <c r="F11763" s="4" t="n">
        <v>31</v>
      </c>
      <c r="G11763" s="4" t="n">
        <v>6</v>
      </c>
      <c r="H11763" s="4" t="n">
        <v>4</v>
      </c>
      <c r="I11763" s="4" t="str">
        <v>×</v>
      </c>
      <c r="J11763" s="4"/>
      <c r="K11763" s="4"/>
      <c r="L11763" s="4"/>
      <c r="M11763" s="5" t="s">
        <v>6502</v>
      </c>
    </row>
    <row r="11764" customFormat="false" ht="15.75" hidden="false" customHeight="false" outlineLevel="0" collapsed="false">
      <c r="A11764" s="6" t="n">
        <v>46222</v>
      </c>
      <c r="B11764" s="4" t="s">
        <v>1091</v>
      </c>
      <c r="C11764" s="4" t="n">
        <v>1</v>
      </c>
      <c r="D11764" s="4" t="n">
        <v>5</v>
      </c>
      <c r="E11764" s="4"/>
      <c r="F11764" s="4" t="n">
        <v>16</v>
      </c>
      <c r="G11764" s="4" t="n">
        <v>9</v>
      </c>
      <c r="H11764" s="4" t="n">
        <v>2</v>
      </c>
      <c r="I11764" s="4" t="str">
        <v>○</v>
      </c>
      <c r="J11764" s="4" t="n">
        <v>440</v>
      </c>
      <c r="K11764" s="4"/>
      <c r="L11764" s="4"/>
      <c r="M11764" s="5" t="s">
        <v>6502</v>
      </c>
    </row>
    <row r="11765" customFormat="false" ht="15.75" hidden="false" customHeight="false" outlineLevel="0" collapsed="false">
      <c r="A11765" s="6" t="n">
        <v>46222</v>
      </c>
      <c r="B11765" s="4" t="s">
        <v>1091</v>
      </c>
      <c r="C11765" s="4" t="n">
        <v>1</v>
      </c>
      <c r="D11765" s="4" t="n">
        <v>6</v>
      </c>
      <c r="E11765" s="4"/>
      <c r="F11765" s="4" t="n">
        <v>44</v>
      </c>
      <c r="G11765" s="4" t="n">
        <v>3</v>
      </c>
      <c r="H11765" s="4" t="n">
        <v>4</v>
      </c>
      <c r="I11765" s="4" t="str">
        <v>×</v>
      </c>
      <c r="J11765" s="4"/>
      <c r="K11765" s="4"/>
      <c r="L11765" s="4"/>
      <c r="M11765" s="5" t="s">
        <v>6502</v>
      </c>
    </row>
    <row r="11766" customFormat="false" ht="15.75" hidden="false" customHeight="false" outlineLevel="0" collapsed="false">
      <c r="A11766" s="6" t="n">
        <v>46222</v>
      </c>
      <c r="B11766" s="4" t="s">
        <v>1091</v>
      </c>
      <c r="C11766" s="4" t="n">
        <v>1</v>
      </c>
      <c r="D11766" s="4" t="n">
        <v>7</v>
      </c>
      <c r="E11766" s="4"/>
      <c r="F11766" s="4" t="n">
        <v>6</v>
      </c>
      <c r="G11766" s="4" t="n">
        <v>10</v>
      </c>
      <c r="H11766" s="4" t="n">
        <v>4</v>
      </c>
      <c r="I11766" s="4" t="str">
        <v>×</v>
      </c>
      <c r="J11766" s="4"/>
      <c r="K11766" s="4"/>
      <c r="L11766" s="4"/>
      <c r="M11766" s="5" t="s">
        <v>6502</v>
      </c>
    </row>
    <row r="11767" customFormat="false" ht="15.75" hidden="false" customHeight="false" outlineLevel="0" collapsed="false">
      <c r="A11767" s="6" t="n">
        <v>46222</v>
      </c>
      <c r="B11767" s="4" t="s">
        <v>1091</v>
      </c>
      <c r="C11767" s="4" t="n">
        <v>1</v>
      </c>
      <c r="D11767" s="4" t="n">
        <v>8</v>
      </c>
      <c r="E11767" s="4"/>
      <c r="F11767" s="4" t="n">
        <v>55</v>
      </c>
      <c r="G11767" s="4" t="n">
        <v>1</v>
      </c>
      <c r="H11767" s="4" t="n">
        <v>3</v>
      </c>
      <c r="I11767" s="4" t="str">
        <v>○</v>
      </c>
      <c r="J11767" s="4" t="n">
        <v>190</v>
      </c>
      <c r="K11767" s="4"/>
      <c r="L11767" s="4"/>
      <c r="M11767" s="5" t="s">
        <v>6502</v>
      </c>
    </row>
    <row r="11768" customFormat="false" ht="15.75" hidden="false" customHeight="false" outlineLevel="0" collapsed="false">
      <c r="A11768" s="6" t="n">
        <v>46222</v>
      </c>
      <c r="B11768" s="4" t="s">
        <v>1091</v>
      </c>
      <c r="C11768" s="4" t="n">
        <v>1</v>
      </c>
      <c r="D11768" s="4" t="n">
        <v>9</v>
      </c>
      <c r="E11768" s="4"/>
      <c r="F11768" s="4" t="n">
        <v>55</v>
      </c>
      <c r="G11768" s="4" t="n">
        <v>1</v>
      </c>
      <c r="H11768" s="4" t="n">
        <v>4</v>
      </c>
      <c r="I11768" s="4" t="str">
        <v>×</v>
      </c>
      <c r="J11768" s="4"/>
      <c r="K11768" s="4"/>
      <c r="L11768" s="4"/>
      <c r="M11768" s="5" t="s">
        <v>6502</v>
      </c>
    </row>
    <row r="11769" customFormat="false" ht="15.75" hidden="false" customHeight="false" outlineLevel="0" collapsed="false">
      <c r="A11769" s="6" t="n">
        <v>46222</v>
      </c>
      <c r="B11769" s="4" t="s">
        <v>1091</v>
      </c>
      <c r="C11769" s="4" t="n">
        <v>1</v>
      </c>
      <c r="D11769" s="4" t="n">
        <v>10</v>
      </c>
      <c r="E11769" s="4"/>
      <c r="F11769" s="4" t="n">
        <v>37</v>
      </c>
      <c r="G11769" s="4" t="n">
        <v>4</v>
      </c>
      <c r="H11769" s="4" t="n">
        <v>1</v>
      </c>
      <c r="I11769" s="4" t="str">
        <v>○</v>
      </c>
      <c r="J11769" s="4" t="n">
        <v>320</v>
      </c>
      <c r="K11769" s="4"/>
      <c r="L11769" s="4"/>
      <c r="M11769" s="5" t="s">
        <v>6502</v>
      </c>
    </row>
    <row r="11770" customFormat="false" ht="15.75" hidden="false" customHeight="false" outlineLevel="0" collapsed="false">
      <c r="A11770" s="6" t="n">
        <v>46222</v>
      </c>
      <c r="B11770" s="4" t="s">
        <v>1091</v>
      </c>
      <c r="C11770" s="4" t="n">
        <v>1</v>
      </c>
      <c r="D11770" s="4" t="n">
        <v>11</v>
      </c>
      <c r="E11770" s="4"/>
      <c r="F11770" s="4" t="n">
        <v>21</v>
      </c>
      <c r="G11770" s="4" t="n">
        <v>8</v>
      </c>
      <c r="H11770" s="4" t="n">
        <v>4</v>
      </c>
      <c r="I11770" s="4" t="str">
        <v>×</v>
      </c>
      <c r="J11770" s="4"/>
      <c r="K11770" s="4"/>
      <c r="L11770" s="4"/>
      <c r="M11770" s="5" t="s">
        <v>6502</v>
      </c>
    </row>
    <row r="11771" customFormat="false" ht="15.75" hidden="false" customHeight="false" outlineLevel="0" collapsed="false">
      <c r="A11771" s="6" t="n">
        <v>46222</v>
      </c>
      <c r="B11771" s="4" t="s">
        <v>1091</v>
      </c>
      <c r="C11771" s="4" t="n">
        <v>2</v>
      </c>
      <c r="D11771" s="4" t="n">
        <v>1</v>
      </c>
      <c r="E11771" s="4"/>
      <c r="F11771" s="4" t="n">
        <v>23</v>
      </c>
      <c r="G11771" s="4" t="n">
        <v>6</v>
      </c>
      <c r="H11771" s="4" t="n">
        <v>4</v>
      </c>
      <c r="I11771" s="4" t="str">
        <v>×</v>
      </c>
      <c r="J11771" s="4"/>
      <c r="K11771" s="4"/>
      <c r="L11771" s="4"/>
      <c r="M11771" s="5" t="s">
        <v>6502</v>
      </c>
    </row>
    <row r="11772" customFormat="false" ht="15.75" hidden="false" customHeight="false" outlineLevel="0" collapsed="false">
      <c r="A11772" s="6" t="n">
        <v>46222</v>
      </c>
      <c r="B11772" s="4" t="s">
        <v>1091</v>
      </c>
      <c r="C11772" s="4" t="n">
        <v>2</v>
      </c>
      <c r="D11772" s="4" t="n">
        <v>2</v>
      </c>
      <c r="E11772" s="4"/>
      <c r="F11772" s="4" t="n">
        <v>29</v>
      </c>
      <c r="G11772" s="4" t="n">
        <v>5</v>
      </c>
      <c r="H11772" s="4" t="n">
        <v>1</v>
      </c>
      <c r="I11772" s="4" t="str">
        <v>○</v>
      </c>
      <c r="J11772" s="4" t="n">
        <v>240</v>
      </c>
      <c r="K11772" s="4"/>
      <c r="L11772" s="4"/>
      <c r="M11772" s="5" t="s">
        <v>6502</v>
      </c>
    </row>
    <row r="11773" customFormat="false" ht="15.75" hidden="false" customHeight="false" outlineLevel="0" collapsed="false">
      <c r="A11773" s="6" t="n">
        <v>46222</v>
      </c>
      <c r="B11773" s="4" t="s">
        <v>1091</v>
      </c>
      <c r="C11773" s="4" t="n">
        <v>2</v>
      </c>
      <c r="D11773" s="4" t="n">
        <v>3</v>
      </c>
      <c r="E11773" s="4"/>
      <c r="F11773" s="4" t="n">
        <v>37</v>
      </c>
      <c r="G11773" s="4" t="n">
        <v>2</v>
      </c>
      <c r="H11773" s="4" t="n">
        <v>2</v>
      </c>
      <c r="I11773" s="4" t="str">
        <v>○</v>
      </c>
      <c r="J11773" s="4" t="n">
        <v>330</v>
      </c>
      <c r="K11773" s="4"/>
      <c r="L11773" s="4"/>
      <c r="M11773" s="5" t="s">
        <v>6502</v>
      </c>
    </row>
    <row r="11774" customFormat="false" ht="15.75" hidden="false" customHeight="false" outlineLevel="0" collapsed="false">
      <c r="A11774" s="6" t="n">
        <v>46222</v>
      </c>
      <c r="B11774" s="4" t="s">
        <v>1091</v>
      </c>
      <c r="C11774" s="4" t="n">
        <v>2</v>
      </c>
      <c r="D11774" s="4" t="n">
        <v>4</v>
      </c>
      <c r="E11774" s="4"/>
      <c r="F11774" s="4" t="n">
        <v>6</v>
      </c>
      <c r="G11774" s="4" t="n">
        <v>14</v>
      </c>
      <c r="H11774" s="4" t="n">
        <v>4</v>
      </c>
      <c r="I11774" s="4" t="str">
        <v>×</v>
      </c>
      <c r="J11774" s="4"/>
      <c r="K11774" s="4"/>
      <c r="L11774" s="4"/>
      <c r="M11774" s="5" t="s">
        <v>6502</v>
      </c>
    </row>
    <row r="11775" customFormat="false" ht="15.75" hidden="false" customHeight="false" outlineLevel="0" collapsed="false">
      <c r="A11775" s="6" t="n">
        <v>46222</v>
      </c>
      <c r="B11775" s="4" t="s">
        <v>1091</v>
      </c>
      <c r="C11775" s="4" t="n">
        <v>2</v>
      </c>
      <c r="D11775" s="4" t="n">
        <v>5</v>
      </c>
      <c r="E11775" s="4"/>
      <c r="F11775" s="4" t="n">
        <v>37</v>
      </c>
      <c r="G11775" s="4" t="n">
        <v>2</v>
      </c>
      <c r="H11775" s="4" t="n">
        <v>3</v>
      </c>
      <c r="I11775" s="4" t="str">
        <v>○</v>
      </c>
      <c r="J11775" s="4" t="n">
        <v>200</v>
      </c>
      <c r="K11775" s="4"/>
      <c r="L11775" s="4"/>
      <c r="M11775" s="5" t="s">
        <v>6502</v>
      </c>
    </row>
    <row r="11776" customFormat="false" ht="15.75" hidden="false" customHeight="false" outlineLevel="0" collapsed="false">
      <c r="A11776" s="6" t="n">
        <v>46222</v>
      </c>
      <c r="B11776" s="4" t="s">
        <v>1091</v>
      </c>
      <c r="C11776" s="4" t="n">
        <v>2</v>
      </c>
      <c r="D11776" s="4" t="n">
        <v>6</v>
      </c>
      <c r="E11776" s="4"/>
      <c r="F11776" s="4" t="n">
        <v>62</v>
      </c>
      <c r="G11776" s="4" t="n">
        <v>1</v>
      </c>
      <c r="H11776" s="4" t="n">
        <v>4</v>
      </c>
      <c r="I11776" s="4" t="str">
        <v>×</v>
      </c>
      <c r="J11776" s="4"/>
      <c r="K11776" s="4"/>
      <c r="L11776" s="4"/>
      <c r="M11776" s="5" t="s">
        <v>6502</v>
      </c>
    </row>
    <row r="11777" customFormat="false" ht="15.75" hidden="false" customHeight="false" outlineLevel="0" collapsed="false">
      <c r="A11777" s="6" t="n">
        <v>46222</v>
      </c>
      <c r="B11777" s="4" t="s">
        <v>1091</v>
      </c>
      <c r="C11777" s="4" t="n">
        <v>2</v>
      </c>
      <c r="D11777" s="4" t="n">
        <v>7</v>
      </c>
      <c r="E11777" s="4"/>
      <c r="F11777" s="4" t="n">
        <v>13</v>
      </c>
      <c r="G11777" s="4" t="n">
        <v>9</v>
      </c>
      <c r="H11777" s="4" t="n">
        <v>4</v>
      </c>
      <c r="I11777" s="4" t="str">
        <v>×</v>
      </c>
      <c r="J11777" s="4"/>
      <c r="K11777" s="4"/>
      <c r="L11777" s="4"/>
      <c r="M11777" s="5" t="s">
        <v>6502</v>
      </c>
    </row>
    <row r="11778" customFormat="false" ht="15.75" hidden="false" customHeight="false" outlineLevel="0" collapsed="false">
      <c r="A11778" s="6" t="n">
        <v>46222</v>
      </c>
      <c r="B11778" s="4" t="s">
        <v>1091</v>
      </c>
      <c r="C11778" s="4" t="n">
        <v>2</v>
      </c>
      <c r="D11778" s="4" t="n">
        <v>8</v>
      </c>
      <c r="E11778" s="4"/>
      <c r="F11778" s="4" t="n">
        <v>8</v>
      </c>
      <c r="G11778" s="4" t="n">
        <v>12</v>
      </c>
      <c r="H11778" s="4" t="n">
        <v>4</v>
      </c>
      <c r="I11778" s="4" t="str">
        <v>×</v>
      </c>
      <c r="J11778" s="4"/>
      <c r="K11778" s="4"/>
      <c r="L11778" s="4"/>
      <c r="M11778" s="5" t="s">
        <v>6502</v>
      </c>
    </row>
    <row r="11779" customFormat="false" ht="15.75" hidden="false" customHeight="false" outlineLevel="0" collapsed="false">
      <c r="A11779" s="6" t="n">
        <v>46222</v>
      </c>
      <c r="B11779" s="4" t="s">
        <v>1091</v>
      </c>
      <c r="C11779" s="4" t="n">
        <v>2</v>
      </c>
      <c r="D11779" s="4" t="n">
        <v>9</v>
      </c>
      <c r="E11779" s="4"/>
      <c r="F11779" s="4" t="n">
        <v>13</v>
      </c>
      <c r="G11779" s="4" t="n">
        <v>9</v>
      </c>
      <c r="H11779" s="4" t="n">
        <v>4</v>
      </c>
      <c r="I11779" s="4" t="str">
        <v>×</v>
      </c>
      <c r="J11779" s="4"/>
      <c r="K11779" s="4"/>
      <c r="L11779" s="4"/>
      <c r="M11779" s="5" t="s">
        <v>6502</v>
      </c>
    </row>
    <row r="11780" customFormat="false" ht="15.75" hidden="false" customHeight="false" outlineLevel="0" collapsed="false">
      <c r="A11780" s="6" t="n">
        <v>46222</v>
      </c>
      <c r="B11780" s="4" t="s">
        <v>1091</v>
      </c>
      <c r="C11780" s="4" t="n">
        <v>2</v>
      </c>
      <c r="D11780" s="4" t="n">
        <v>10</v>
      </c>
      <c r="E11780" s="4"/>
      <c r="F11780" s="4" t="n">
        <v>4</v>
      </c>
      <c r="G11780" s="4" t="n">
        <v>15</v>
      </c>
      <c r="H11780" s="4" t="n">
        <v>4</v>
      </c>
      <c r="I11780" s="4" t="str">
        <v>×</v>
      </c>
      <c r="J11780" s="4"/>
      <c r="K11780" s="4"/>
      <c r="L11780" s="4"/>
      <c r="M11780" s="5" t="s">
        <v>6502</v>
      </c>
    </row>
    <row r="11781" customFormat="false" ht="15.75" hidden="false" customHeight="false" outlineLevel="0" collapsed="false">
      <c r="A11781" s="6" t="n">
        <v>46222</v>
      </c>
      <c r="B11781" s="4" t="s">
        <v>1091</v>
      </c>
      <c r="C11781" s="4" t="n">
        <v>2</v>
      </c>
      <c r="D11781" s="4" t="n">
        <v>11</v>
      </c>
      <c r="E11781" s="4"/>
      <c r="F11781" s="4" t="n">
        <v>10</v>
      </c>
      <c r="G11781" s="4" t="n">
        <v>11</v>
      </c>
      <c r="H11781" s="4" t="n">
        <v>4</v>
      </c>
      <c r="I11781" s="4" t="str">
        <v>×</v>
      </c>
      <c r="J11781" s="4"/>
      <c r="K11781" s="4"/>
      <c r="L11781" s="4"/>
      <c r="M11781" s="5" t="s">
        <v>6502</v>
      </c>
    </row>
    <row r="11782" customFormat="false" ht="15.75" hidden="false" customHeight="false" outlineLevel="0" collapsed="false">
      <c r="A11782" s="6" t="n">
        <v>46222</v>
      </c>
      <c r="B11782" s="4" t="s">
        <v>1091</v>
      </c>
      <c r="C11782" s="4" t="n">
        <v>2</v>
      </c>
      <c r="D11782" s="4" t="n">
        <v>12</v>
      </c>
      <c r="E11782" s="4"/>
      <c r="F11782" s="4" t="n">
        <v>4</v>
      </c>
      <c r="G11782" s="4" t="n">
        <v>15</v>
      </c>
      <c r="H11782" s="4" t="n">
        <v>4</v>
      </c>
      <c r="I11782" s="4" t="str">
        <v>×</v>
      </c>
      <c r="J11782" s="4"/>
      <c r="K11782" s="4"/>
      <c r="L11782" s="4"/>
      <c r="M11782" s="5" t="s">
        <v>6502</v>
      </c>
    </row>
    <row r="11783" customFormat="false" ht="15.75" hidden="false" customHeight="false" outlineLevel="0" collapsed="false">
      <c r="A11783" s="6" t="n">
        <v>46222</v>
      </c>
      <c r="B11783" s="4" t="s">
        <v>1091</v>
      </c>
      <c r="C11783" s="4" t="n">
        <v>2</v>
      </c>
      <c r="D11783" s="4" t="n">
        <v>13</v>
      </c>
      <c r="E11783" s="4"/>
      <c r="F11783" s="4" t="n">
        <v>31</v>
      </c>
      <c r="G11783" s="4" t="n">
        <v>4</v>
      </c>
      <c r="H11783" s="4" t="n">
        <v>4</v>
      </c>
      <c r="I11783" s="4" t="str">
        <v>×</v>
      </c>
      <c r="J11783" s="4"/>
      <c r="K11783" s="4"/>
      <c r="L11783" s="4"/>
      <c r="M11783" s="5" t="s">
        <v>6502</v>
      </c>
    </row>
    <row r="11784" customFormat="false" ht="15.75" hidden="false" customHeight="false" outlineLevel="0" collapsed="false">
      <c r="A11784" s="6" t="n">
        <v>46222</v>
      </c>
      <c r="B11784" s="4" t="s">
        <v>1091</v>
      </c>
      <c r="C11784" s="4" t="n">
        <v>2</v>
      </c>
      <c r="D11784" s="4" t="n">
        <v>14</v>
      </c>
      <c r="E11784" s="4"/>
      <c r="F11784" s="4" t="n">
        <v>15</v>
      </c>
      <c r="G11784" s="4" t="n">
        <v>8</v>
      </c>
      <c r="H11784" s="4" t="n">
        <v>4</v>
      </c>
      <c r="I11784" s="4" t="str">
        <v>×</v>
      </c>
      <c r="J11784" s="4"/>
      <c r="K11784" s="4"/>
      <c r="L11784" s="4"/>
      <c r="M11784" s="5" t="s">
        <v>6502</v>
      </c>
    </row>
    <row r="11785" customFormat="false" ht="15.75" hidden="false" customHeight="false" outlineLevel="0" collapsed="false">
      <c r="A11785" s="6" t="n">
        <v>46222</v>
      </c>
      <c r="B11785" s="4" t="s">
        <v>1091</v>
      </c>
      <c r="C11785" s="4" t="n">
        <v>2</v>
      </c>
      <c r="D11785" s="4" t="n">
        <v>15</v>
      </c>
      <c r="E11785" s="4"/>
      <c r="F11785" s="4" t="n">
        <v>2</v>
      </c>
      <c r="G11785" s="4" t="n">
        <v>18</v>
      </c>
      <c r="H11785" s="4" t="n">
        <v>4</v>
      </c>
      <c r="I11785" s="4" t="str">
        <v>×</v>
      </c>
      <c r="J11785" s="4"/>
      <c r="K11785" s="4"/>
      <c r="L11785" s="4"/>
      <c r="M11785" s="5" t="s">
        <v>6502</v>
      </c>
    </row>
    <row r="11786" customFormat="false" ht="15.75" hidden="false" customHeight="false" outlineLevel="0" collapsed="false">
      <c r="A11786" s="6" t="n">
        <v>46222</v>
      </c>
      <c r="B11786" s="4" t="s">
        <v>1091</v>
      </c>
      <c r="C11786" s="4" t="n">
        <v>2</v>
      </c>
      <c r="D11786" s="4" t="n">
        <v>16</v>
      </c>
      <c r="E11786" s="4"/>
      <c r="F11786" s="4" t="n">
        <v>8</v>
      </c>
      <c r="G11786" s="4" t="n">
        <v>12</v>
      </c>
      <c r="H11786" s="4" t="n">
        <v>4</v>
      </c>
      <c r="I11786" s="4" t="str">
        <v>×</v>
      </c>
      <c r="J11786" s="4"/>
      <c r="K11786" s="4"/>
      <c r="L11786" s="4"/>
      <c r="M11786" s="5" t="s">
        <v>6502</v>
      </c>
    </row>
    <row r="11787" customFormat="false" ht="15.75" hidden="false" customHeight="false" outlineLevel="0" collapsed="false">
      <c r="A11787" s="6" t="n">
        <v>46222</v>
      </c>
      <c r="B11787" s="4" t="s">
        <v>1091</v>
      </c>
      <c r="C11787" s="4" t="n">
        <v>2</v>
      </c>
      <c r="D11787" s="4" t="n">
        <v>17</v>
      </c>
      <c r="E11787" s="4"/>
      <c r="F11787" s="4" t="n">
        <v>20</v>
      </c>
      <c r="G11787" s="4" t="n">
        <v>7</v>
      </c>
      <c r="H11787" s="4" t="n">
        <v>4</v>
      </c>
      <c r="I11787" s="4" t="str">
        <v>×</v>
      </c>
      <c r="J11787" s="4"/>
      <c r="K11787" s="4"/>
      <c r="L11787" s="4"/>
      <c r="M11787" s="5" t="s">
        <v>6502</v>
      </c>
    </row>
    <row r="11788" customFormat="false" ht="15.75" hidden="false" customHeight="false" outlineLevel="0" collapsed="false">
      <c r="A11788" s="6" t="n">
        <v>46222</v>
      </c>
      <c r="B11788" s="4" t="s">
        <v>1091</v>
      </c>
      <c r="C11788" s="4" t="n">
        <v>2</v>
      </c>
      <c r="D11788" s="4" t="n">
        <v>18</v>
      </c>
      <c r="E11788" s="4"/>
      <c r="F11788" s="4" t="n">
        <v>3</v>
      </c>
      <c r="G11788" s="4" t="n">
        <v>17</v>
      </c>
      <c r="H11788" s="4" t="n">
        <v>4</v>
      </c>
      <c r="I11788" s="4" t="str">
        <v>×</v>
      </c>
      <c r="J11788" s="4"/>
      <c r="K11788" s="4"/>
      <c r="L11788" s="4"/>
      <c r="M11788" s="5" t="s">
        <v>6502</v>
      </c>
    </row>
    <row r="11789" customFormat="false" ht="15.75" hidden="false" customHeight="false" outlineLevel="0" collapsed="false">
      <c r="A11789" s="6" t="n">
        <v>46222</v>
      </c>
      <c r="B11789" s="4" t="s">
        <v>1091</v>
      </c>
      <c r="C11789" s="4" t="n">
        <v>3</v>
      </c>
      <c r="D11789" s="4" t="n">
        <v>1</v>
      </c>
      <c r="E11789" s="4"/>
      <c r="F11789" s="4" t="n">
        <v>8</v>
      </c>
      <c r="G11789" s="4" t="n">
        <v>12</v>
      </c>
      <c r="H11789" s="4" t="n">
        <v>4</v>
      </c>
      <c r="I11789" s="4" t="str">
        <v>×</v>
      </c>
      <c r="J11789" s="4"/>
      <c r="K11789" s="4"/>
      <c r="L11789" s="4"/>
      <c r="M11789" s="5" t="s">
        <v>6502</v>
      </c>
    </row>
    <row r="11790" customFormat="false" ht="15.75" hidden="false" customHeight="false" outlineLevel="0" collapsed="false">
      <c r="A11790" s="6" t="n">
        <v>46222</v>
      </c>
      <c r="B11790" s="4" t="s">
        <v>1091</v>
      </c>
      <c r="C11790" s="4" t="n">
        <v>3</v>
      </c>
      <c r="D11790" s="4" t="n">
        <v>2</v>
      </c>
      <c r="E11790" s="4"/>
      <c r="F11790" s="4" t="n">
        <v>15</v>
      </c>
      <c r="G11790" s="4" t="n">
        <v>8</v>
      </c>
      <c r="H11790" s="4" t="n">
        <v>4</v>
      </c>
      <c r="I11790" s="4" t="str">
        <v>×</v>
      </c>
      <c r="J11790" s="4"/>
      <c r="K11790" s="4"/>
      <c r="L11790" s="4"/>
      <c r="M11790" s="5" t="s">
        <v>6502</v>
      </c>
    </row>
    <row r="11791" customFormat="false" ht="15.75" hidden="false" customHeight="false" outlineLevel="0" collapsed="false">
      <c r="A11791" s="6" t="n">
        <v>46222</v>
      </c>
      <c r="B11791" s="4" t="s">
        <v>1091</v>
      </c>
      <c r="C11791" s="4" t="n">
        <v>3</v>
      </c>
      <c r="D11791" s="4" t="n">
        <v>3</v>
      </c>
      <c r="E11791" s="4"/>
      <c r="F11791" s="4" t="n">
        <v>10</v>
      </c>
      <c r="G11791" s="4" t="n">
        <v>10</v>
      </c>
      <c r="H11791" s="4" t="n">
        <v>4</v>
      </c>
      <c r="I11791" s="4" t="str">
        <v>×</v>
      </c>
      <c r="J11791" s="4"/>
      <c r="K11791" s="4"/>
      <c r="L11791" s="4"/>
      <c r="M11791" s="5" t="s">
        <v>6502</v>
      </c>
    </row>
    <row r="11792" customFormat="false" ht="15.75" hidden="false" customHeight="false" outlineLevel="0" collapsed="false">
      <c r="A11792" s="6" t="n">
        <v>46222</v>
      </c>
      <c r="B11792" s="4" t="s">
        <v>1091</v>
      </c>
      <c r="C11792" s="4" t="n">
        <v>3</v>
      </c>
      <c r="D11792" s="4" t="n">
        <v>4</v>
      </c>
      <c r="E11792" s="4"/>
      <c r="F11792" s="4" t="n">
        <v>3</v>
      </c>
      <c r="G11792" s="4" t="n">
        <v>15</v>
      </c>
      <c r="H11792" s="4" t="n">
        <v>4</v>
      </c>
      <c r="I11792" s="4" t="str">
        <v>×</v>
      </c>
      <c r="J11792" s="4"/>
      <c r="K11792" s="4"/>
      <c r="L11792" s="4"/>
      <c r="M11792" s="5" t="s">
        <v>6502</v>
      </c>
    </row>
    <row r="11793" customFormat="false" ht="15.75" hidden="false" customHeight="false" outlineLevel="0" collapsed="false">
      <c r="A11793" s="6" t="n">
        <v>46222</v>
      </c>
      <c r="B11793" s="4" t="s">
        <v>1091</v>
      </c>
      <c r="C11793" s="4" t="n">
        <v>3</v>
      </c>
      <c r="D11793" s="4" t="n">
        <v>5</v>
      </c>
      <c r="E11793" s="4"/>
      <c r="F11793" s="4" t="n">
        <v>3</v>
      </c>
      <c r="G11793" s="4" t="n">
        <v>15</v>
      </c>
      <c r="H11793" s="4" t="n">
        <v>4</v>
      </c>
      <c r="I11793" s="4" t="str">
        <v>×</v>
      </c>
      <c r="J11793" s="4"/>
      <c r="K11793" s="4"/>
      <c r="L11793" s="4"/>
      <c r="M11793" s="5" t="s">
        <v>6502</v>
      </c>
    </row>
    <row r="11794" customFormat="false" ht="15.75" hidden="false" customHeight="false" outlineLevel="0" collapsed="false">
      <c r="A11794" s="6" t="n">
        <v>46222</v>
      </c>
      <c r="B11794" s="4" t="s">
        <v>1091</v>
      </c>
      <c r="C11794" s="4" t="n">
        <v>3</v>
      </c>
      <c r="D11794" s="4" t="n">
        <v>6</v>
      </c>
      <c r="E11794" s="4"/>
      <c r="F11794" s="4" t="n">
        <v>41</v>
      </c>
      <c r="G11794" s="4" t="n">
        <v>2</v>
      </c>
      <c r="H11794" s="4" t="n">
        <v>3</v>
      </c>
      <c r="I11794" s="4" t="str">
        <v>○</v>
      </c>
      <c r="J11794" s="4" t="n">
        <v>180</v>
      </c>
      <c r="K11794" s="4"/>
      <c r="L11794" s="4"/>
      <c r="M11794" s="5" t="s">
        <v>6502</v>
      </c>
    </row>
    <row r="11795" customFormat="false" ht="15.75" hidden="false" customHeight="false" outlineLevel="0" collapsed="false">
      <c r="A11795" s="6" t="n">
        <v>46222</v>
      </c>
      <c r="B11795" s="4" t="s">
        <v>1091</v>
      </c>
      <c r="C11795" s="4" t="n">
        <v>3</v>
      </c>
      <c r="D11795" s="4" t="n">
        <v>7</v>
      </c>
      <c r="E11795" s="4"/>
      <c r="F11795" s="4" t="n">
        <v>65</v>
      </c>
      <c r="G11795" s="4" t="n">
        <v>1</v>
      </c>
      <c r="H11795" s="4" t="n">
        <v>4</v>
      </c>
      <c r="I11795" s="4" t="str">
        <v>×</v>
      </c>
      <c r="J11795" s="4"/>
      <c r="K11795" s="4"/>
      <c r="L11795" s="4"/>
      <c r="M11795" s="5" t="s">
        <v>6502</v>
      </c>
    </row>
    <row r="11796" customFormat="false" ht="15.75" hidden="false" customHeight="false" outlineLevel="0" collapsed="false">
      <c r="A11796" s="6" t="n">
        <v>46222</v>
      </c>
      <c r="B11796" s="4" t="s">
        <v>1091</v>
      </c>
      <c r="C11796" s="4" t="n">
        <v>3</v>
      </c>
      <c r="D11796" s="4" t="n">
        <v>8</v>
      </c>
      <c r="E11796" s="4"/>
      <c r="F11796" s="4" t="n">
        <v>17</v>
      </c>
      <c r="G11796" s="4" t="n">
        <v>6</v>
      </c>
      <c r="H11796" s="4" t="n">
        <v>4</v>
      </c>
      <c r="I11796" s="4" t="str">
        <v>×</v>
      </c>
      <c r="J11796" s="4"/>
      <c r="K11796" s="4"/>
      <c r="L11796" s="4"/>
      <c r="M11796" s="5" t="s">
        <v>6502</v>
      </c>
    </row>
    <row r="11797" customFormat="false" ht="15.75" hidden="false" customHeight="false" outlineLevel="0" collapsed="false">
      <c r="A11797" s="6" t="n">
        <v>46222</v>
      </c>
      <c r="B11797" s="4" t="s">
        <v>1091</v>
      </c>
      <c r="C11797" s="4" t="n">
        <v>3</v>
      </c>
      <c r="D11797" s="4" t="n">
        <v>9</v>
      </c>
      <c r="E11797" s="4"/>
      <c r="F11797" s="4" t="n">
        <v>25</v>
      </c>
      <c r="G11797" s="4" t="n">
        <v>4</v>
      </c>
      <c r="H11797" s="4" t="n">
        <v>4</v>
      </c>
      <c r="I11797" s="4" t="str">
        <v>×</v>
      </c>
      <c r="J11797" s="4"/>
      <c r="K11797" s="4"/>
      <c r="L11797" s="4"/>
      <c r="M11797" s="5" t="s">
        <v>6502</v>
      </c>
    </row>
    <row r="11798" customFormat="false" ht="15.75" hidden="false" customHeight="false" outlineLevel="0" collapsed="false">
      <c r="A11798" s="6" t="n">
        <v>46222</v>
      </c>
      <c r="B11798" s="4" t="s">
        <v>1091</v>
      </c>
      <c r="C11798" s="4" t="n">
        <v>3</v>
      </c>
      <c r="D11798" s="4" t="n">
        <v>10</v>
      </c>
      <c r="E11798" s="4"/>
      <c r="F11798" s="4" t="n">
        <v>4</v>
      </c>
      <c r="G11798" s="4" t="n">
        <v>13</v>
      </c>
      <c r="H11798" s="4" t="n">
        <v>4</v>
      </c>
      <c r="I11798" s="4" t="str">
        <v>×</v>
      </c>
      <c r="J11798" s="4"/>
      <c r="K11798" s="4"/>
      <c r="L11798" s="4"/>
      <c r="M11798" s="5" t="s">
        <v>6502</v>
      </c>
    </row>
    <row r="11799" customFormat="false" ht="15.75" hidden="false" customHeight="false" outlineLevel="0" collapsed="false">
      <c r="A11799" s="6" t="n">
        <v>46222</v>
      </c>
      <c r="B11799" s="4" t="s">
        <v>1091</v>
      </c>
      <c r="C11799" s="4" t="n">
        <v>3</v>
      </c>
      <c r="D11799" s="4" t="n">
        <v>11</v>
      </c>
      <c r="E11799" s="4"/>
      <c r="F11799" s="4" t="n">
        <v>13</v>
      </c>
      <c r="G11799" s="4" t="n">
        <v>9</v>
      </c>
      <c r="H11799" s="4" t="n">
        <v>4</v>
      </c>
      <c r="I11799" s="4" t="str">
        <v>×</v>
      </c>
      <c r="J11799" s="4"/>
      <c r="K11799" s="4"/>
      <c r="L11799" s="4"/>
      <c r="M11799" s="5" t="s">
        <v>6502</v>
      </c>
    </row>
    <row r="11800" customFormat="false" ht="15.75" hidden="false" customHeight="false" outlineLevel="0" collapsed="false">
      <c r="A11800" s="6" t="n">
        <v>46222</v>
      </c>
      <c r="B11800" s="4" t="s">
        <v>1091</v>
      </c>
      <c r="C11800" s="4" t="n">
        <v>3</v>
      </c>
      <c r="D11800" s="4" t="n">
        <v>12</v>
      </c>
      <c r="E11800" s="4"/>
      <c r="F11800" s="4" t="n">
        <v>20</v>
      </c>
      <c r="G11800" s="4" t="n">
        <v>5</v>
      </c>
      <c r="H11800" s="4" t="n">
        <v>1</v>
      </c>
      <c r="I11800" s="4" t="str">
        <v>○</v>
      </c>
      <c r="J11800" s="4" t="n">
        <v>310</v>
      </c>
      <c r="K11800" s="4"/>
      <c r="L11800" s="4"/>
      <c r="M11800" s="5" t="s">
        <v>6502</v>
      </c>
    </row>
    <row r="11801" customFormat="false" ht="15.75" hidden="false" customHeight="false" outlineLevel="0" collapsed="false">
      <c r="A11801" s="6" t="n">
        <v>46222</v>
      </c>
      <c r="B11801" s="4" t="s">
        <v>1091</v>
      </c>
      <c r="C11801" s="4" t="n">
        <v>3</v>
      </c>
      <c r="D11801" s="4" t="n">
        <v>13</v>
      </c>
      <c r="E11801" s="4"/>
      <c r="F11801" s="4" t="n">
        <v>10</v>
      </c>
      <c r="G11801" s="4" t="n">
        <v>10</v>
      </c>
      <c r="H11801" s="4" t="n">
        <v>4</v>
      </c>
      <c r="I11801" s="4" t="str">
        <v>×</v>
      </c>
      <c r="J11801" s="4"/>
      <c r="K11801" s="4"/>
      <c r="L11801" s="4"/>
      <c r="M11801" s="5" t="s">
        <v>6502</v>
      </c>
    </row>
    <row r="11802" customFormat="false" ht="15.75" hidden="false" customHeight="false" outlineLevel="0" collapsed="false">
      <c r="A11802" s="6" t="n">
        <v>46222</v>
      </c>
      <c r="B11802" s="4" t="s">
        <v>1091</v>
      </c>
      <c r="C11802" s="4" t="n">
        <v>3</v>
      </c>
      <c r="D11802" s="4" t="n">
        <v>14</v>
      </c>
      <c r="E11802" s="4"/>
      <c r="F11802" s="4" t="n">
        <v>34</v>
      </c>
      <c r="G11802" s="4" t="n">
        <v>3</v>
      </c>
      <c r="H11802" s="4" t="n">
        <v>2</v>
      </c>
      <c r="I11802" s="4" t="str">
        <v>○</v>
      </c>
      <c r="J11802" s="4" t="n">
        <v>180</v>
      </c>
      <c r="K11802" s="4"/>
      <c r="L11802" s="4"/>
      <c r="M11802" s="5" t="s">
        <v>6502</v>
      </c>
    </row>
    <row r="11803" customFormat="false" ht="15.75" hidden="false" customHeight="false" outlineLevel="0" collapsed="false">
      <c r="A11803" s="6" t="n">
        <v>46222</v>
      </c>
      <c r="B11803" s="4" t="s">
        <v>1091</v>
      </c>
      <c r="C11803" s="4" t="n">
        <v>3</v>
      </c>
      <c r="D11803" s="4" t="n">
        <v>15</v>
      </c>
      <c r="E11803" s="4"/>
      <c r="F11803" s="4" t="n">
        <v>4</v>
      </c>
      <c r="G11803" s="4" t="n">
        <v>13</v>
      </c>
      <c r="H11803" s="4" t="n">
        <v>4</v>
      </c>
      <c r="I11803" s="4" t="str">
        <v>×</v>
      </c>
      <c r="J11803" s="4"/>
      <c r="K11803" s="4"/>
      <c r="L11803" s="4"/>
      <c r="M11803" s="5" t="s">
        <v>6502</v>
      </c>
    </row>
    <row r="11804" customFormat="false" ht="15.75" hidden="false" customHeight="false" outlineLevel="0" collapsed="false">
      <c r="A11804" s="6" t="n">
        <v>46222</v>
      </c>
      <c r="B11804" s="4" t="s">
        <v>1091</v>
      </c>
      <c r="C11804" s="4" t="n">
        <v>3</v>
      </c>
      <c r="D11804" s="4" t="n">
        <v>16</v>
      </c>
      <c r="E11804" s="4"/>
      <c r="F11804" s="4" t="n">
        <v>17</v>
      </c>
      <c r="G11804" s="4" t="n">
        <v>6</v>
      </c>
      <c r="H11804" s="4" t="n">
        <v>4</v>
      </c>
      <c r="I11804" s="4" t="str">
        <v>×</v>
      </c>
      <c r="J11804" s="4"/>
      <c r="K11804" s="4"/>
      <c r="L11804" s="4"/>
      <c r="M11804" s="5" t="s">
        <v>6502</v>
      </c>
    </row>
    <row r="11805" customFormat="false" ht="15.75" hidden="false" customHeight="false" outlineLevel="0" collapsed="false">
      <c r="A11805" s="6" t="n">
        <v>46222</v>
      </c>
      <c r="B11805" s="4" t="s">
        <v>1091</v>
      </c>
      <c r="C11805" s="4" t="n">
        <v>4</v>
      </c>
      <c r="D11805" s="4" t="n">
        <v>1</v>
      </c>
      <c r="E11805" s="4"/>
      <c r="F11805" s="4" t="n">
        <v>4</v>
      </c>
      <c r="G11805" s="4" t="n">
        <v>10</v>
      </c>
      <c r="H11805" s="4" t="n">
        <v>4</v>
      </c>
      <c r="I11805" s="4" t="str">
        <v>×</v>
      </c>
      <c r="J11805" s="4"/>
      <c r="K11805" s="4"/>
      <c r="L11805" s="4"/>
      <c r="M11805" s="5" t="s">
        <v>6502</v>
      </c>
    </row>
    <row r="11806" customFormat="false" ht="15.75" hidden="false" customHeight="false" outlineLevel="0" collapsed="false">
      <c r="A11806" s="6" t="n">
        <v>46222</v>
      </c>
      <c r="B11806" s="4" t="s">
        <v>1091</v>
      </c>
      <c r="C11806" s="4" t="n">
        <v>4</v>
      </c>
      <c r="D11806" s="4" t="n">
        <v>2</v>
      </c>
      <c r="E11806" s="4"/>
      <c r="F11806" s="4" t="n">
        <v>3</v>
      </c>
      <c r="G11806" s="4" t="n">
        <v>12</v>
      </c>
      <c r="H11806" s="4" t="n">
        <v>4</v>
      </c>
      <c r="I11806" s="4" t="str">
        <v>×</v>
      </c>
      <c r="J11806" s="4"/>
      <c r="K11806" s="4"/>
      <c r="L11806" s="4"/>
      <c r="M11806" s="5" t="s">
        <v>6502</v>
      </c>
    </row>
    <row r="11807" customFormat="false" ht="15.75" hidden="false" customHeight="false" outlineLevel="0" collapsed="false">
      <c r="A11807" s="6" t="n">
        <v>46222</v>
      </c>
      <c r="B11807" s="4" t="s">
        <v>1091</v>
      </c>
      <c r="C11807" s="4" t="n">
        <v>4</v>
      </c>
      <c r="D11807" s="4" t="n">
        <v>3</v>
      </c>
      <c r="E11807" s="4"/>
      <c r="F11807" s="4" t="n">
        <v>44</v>
      </c>
      <c r="G11807" s="4" t="n">
        <v>3</v>
      </c>
      <c r="H11807" s="4" t="n">
        <v>2</v>
      </c>
      <c r="I11807" s="4" t="str">
        <v>○</v>
      </c>
      <c r="J11807" s="4" t="n">
        <v>160</v>
      </c>
      <c r="K11807" s="4"/>
      <c r="L11807" s="4"/>
      <c r="M11807" s="5" t="s">
        <v>6502</v>
      </c>
    </row>
    <row r="11808" customFormat="false" ht="15.75" hidden="false" customHeight="false" outlineLevel="0" collapsed="false">
      <c r="A11808" s="6" t="n">
        <v>46222</v>
      </c>
      <c r="B11808" s="4" t="s">
        <v>1091</v>
      </c>
      <c r="C11808" s="4" t="n">
        <v>4</v>
      </c>
      <c r="D11808" s="4" t="n">
        <v>4</v>
      </c>
      <c r="E11808" s="4"/>
      <c r="F11808" s="4" t="n">
        <v>15</v>
      </c>
      <c r="G11808" s="4" t="n">
        <v>6</v>
      </c>
      <c r="H11808" s="4" t="n">
        <v>4</v>
      </c>
      <c r="I11808" s="4" t="str">
        <v>×</v>
      </c>
      <c r="J11808" s="4"/>
      <c r="K11808" s="4"/>
      <c r="L11808" s="4"/>
      <c r="M11808" s="5" t="s">
        <v>6502</v>
      </c>
    </row>
    <row r="11809" customFormat="false" ht="15.75" hidden="false" customHeight="false" outlineLevel="0" collapsed="false">
      <c r="A11809" s="6" t="n">
        <v>46222</v>
      </c>
      <c r="B11809" s="4" t="s">
        <v>1091</v>
      </c>
      <c r="C11809" s="4" t="n">
        <v>4</v>
      </c>
      <c r="D11809" s="4" t="n">
        <v>5</v>
      </c>
      <c r="E11809" s="4"/>
      <c r="F11809" s="4" t="n">
        <v>10</v>
      </c>
      <c r="G11809" s="4" t="n">
        <v>7</v>
      </c>
      <c r="H11809" s="4" t="n">
        <v>4</v>
      </c>
      <c r="I11809" s="4" t="str">
        <v>×</v>
      </c>
      <c r="J11809" s="4"/>
      <c r="K11809" s="4"/>
      <c r="L11809" s="4"/>
      <c r="M11809" s="5" t="s">
        <v>6502</v>
      </c>
    </row>
    <row r="11810" customFormat="false" ht="15.75" hidden="false" customHeight="false" outlineLevel="0" collapsed="false">
      <c r="A11810" s="6" t="n">
        <v>46222</v>
      </c>
      <c r="B11810" s="4" t="s">
        <v>1091</v>
      </c>
      <c r="C11810" s="4" t="n">
        <v>4</v>
      </c>
      <c r="D11810" s="4" t="n">
        <v>6</v>
      </c>
      <c r="E11810" s="4"/>
      <c r="F11810" s="4" t="n">
        <v>6</v>
      </c>
      <c r="G11810" s="4" t="n">
        <v>9</v>
      </c>
      <c r="H11810" s="4" t="n">
        <v>4</v>
      </c>
      <c r="I11810" s="4" t="str">
        <v>×</v>
      </c>
      <c r="J11810" s="4"/>
      <c r="K11810" s="4"/>
      <c r="L11810" s="4"/>
      <c r="M11810" s="5" t="s">
        <v>6502</v>
      </c>
    </row>
    <row r="11811" customFormat="false" ht="15.75" hidden="false" customHeight="false" outlineLevel="0" collapsed="false">
      <c r="A11811" s="6" t="n">
        <v>46222</v>
      </c>
      <c r="B11811" s="4" t="s">
        <v>1091</v>
      </c>
      <c r="C11811" s="4" t="n">
        <v>4</v>
      </c>
      <c r="D11811" s="4" t="n">
        <v>7</v>
      </c>
      <c r="E11811" s="4"/>
      <c r="F11811" s="4" t="n">
        <v>3</v>
      </c>
      <c r="G11811" s="4" t="n">
        <v>12</v>
      </c>
      <c r="H11811" s="4" t="n">
        <v>4</v>
      </c>
      <c r="I11811" s="4" t="str">
        <v>×</v>
      </c>
      <c r="J11811" s="4"/>
      <c r="K11811" s="4"/>
      <c r="L11811" s="4"/>
      <c r="M11811" s="5" t="s">
        <v>6502</v>
      </c>
    </row>
    <row r="11812" customFormat="false" ht="15.75" hidden="false" customHeight="false" outlineLevel="0" collapsed="false">
      <c r="A11812" s="6" t="n">
        <v>46222</v>
      </c>
      <c r="B11812" s="4" t="s">
        <v>1091</v>
      </c>
      <c r="C11812" s="4" t="n">
        <v>4</v>
      </c>
      <c r="D11812" s="4" t="n">
        <v>8</v>
      </c>
      <c r="E11812" s="4"/>
      <c r="F11812" s="4" t="n">
        <v>47</v>
      </c>
      <c r="G11812" s="4" t="n">
        <v>2</v>
      </c>
      <c r="H11812" s="4" t="n">
        <v>1</v>
      </c>
      <c r="I11812" s="4" t="str">
        <v>○</v>
      </c>
      <c r="J11812" s="4" t="n">
        <v>110</v>
      </c>
      <c r="K11812" s="4"/>
      <c r="L11812" s="4"/>
      <c r="M11812" s="5" t="s">
        <v>6502</v>
      </c>
    </row>
    <row r="11813" customFormat="false" ht="15.75" hidden="false" customHeight="false" outlineLevel="0" collapsed="false">
      <c r="A11813" s="6" t="n">
        <v>46222</v>
      </c>
      <c r="B11813" s="4" t="s">
        <v>1091</v>
      </c>
      <c r="C11813" s="4" t="n">
        <v>4</v>
      </c>
      <c r="D11813" s="4" t="n">
        <v>9</v>
      </c>
      <c r="E11813" s="4"/>
      <c r="F11813" s="4" t="n">
        <v>10</v>
      </c>
      <c r="G11813" s="4" t="n">
        <v>7</v>
      </c>
      <c r="H11813" s="4" t="n">
        <v>4</v>
      </c>
      <c r="I11813" s="4" t="str">
        <v>×</v>
      </c>
      <c r="J11813" s="4"/>
      <c r="K11813" s="4"/>
      <c r="L11813" s="4"/>
      <c r="M11813" s="5" t="s">
        <v>6502</v>
      </c>
    </row>
    <row r="11814" customFormat="false" ht="15.75" hidden="false" customHeight="false" outlineLevel="0" collapsed="false">
      <c r="A11814" s="6" t="n">
        <v>46222</v>
      </c>
      <c r="B11814" s="4" t="s">
        <v>1091</v>
      </c>
      <c r="C11814" s="4" t="n">
        <v>4</v>
      </c>
      <c r="D11814" s="4" t="n">
        <v>10</v>
      </c>
      <c r="E11814" s="4"/>
      <c r="F11814" s="4" t="n">
        <v>2</v>
      </c>
      <c r="G11814" s="4" t="n">
        <v>14</v>
      </c>
      <c r="H11814" s="4" t="n">
        <v>4</v>
      </c>
      <c r="I11814" s="4" t="str">
        <v>×</v>
      </c>
      <c r="J11814" s="4"/>
      <c r="K11814" s="4"/>
      <c r="L11814" s="4"/>
      <c r="M11814" s="5" t="s">
        <v>6502</v>
      </c>
    </row>
    <row r="11815" customFormat="false" ht="15.75" hidden="false" customHeight="false" outlineLevel="0" collapsed="false">
      <c r="A11815" s="6" t="n">
        <v>46222</v>
      </c>
      <c r="B11815" s="4" t="s">
        <v>1091</v>
      </c>
      <c r="C11815" s="4" t="n">
        <v>4</v>
      </c>
      <c r="D11815" s="4" t="n">
        <v>11</v>
      </c>
      <c r="E11815" s="4"/>
      <c r="F11815" s="4" t="n">
        <v>66</v>
      </c>
      <c r="G11815" s="4" t="n">
        <v>1</v>
      </c>
      <c r="H11815" s="4" t="n">
        <v>3</v>
      </c>
      <c r="I11815" s="4" t="str">
        <v>○</v>
      </c>
      <c r="J11815" s="4" t="n">
        <v>110</v>
      </c>
      <c r="K11815" s="4"/>
      <c r="L11815" s="4"/>
      <c r="M11815" s="5" t="s">
        <v>6502</v>
      </c>
    </row>
    <row r="11816" customFormat="false" ht="15.75" hidden="false" customHeight="false" outlineLevel="0" collapsed="false">
      <c r="A11816" s="6" t="n">
        <v>46222</v>
      </c>
      <c r="B11816" s="4" t="s">
        <v>1091</v>
      </c>
      <c r="C11816" s="4" t="n">
        <v>4</v>
      </c>
      <c r="D11816" s="4" t="n">
        <v>12</v>
      </c>
      <c r="E11816" s="4"/>
      <c r="F11816" s="4" t="n">
        <v>41</v>
      </c>
      <c r="G11816" s="4" t="n">
        <v>4</v>
      </c>
      <c r="H11816" s="4" t="n">
        <v>4</v>
      </c>
      <c r="I11816" s="4" t="str">
        <v>×</v>
      </c>
      <c r="J11816" s="4"/>
      <c r="K11816" s="4"/>
      <c r="L11816" s="4"/>
      <c r="M11816" s="5" t="s">
        <v>6502</v>
      </c>
    </row>
    <row r="11817" customFormat="false" ht="15.75" hidden="false" customHeight="false" outlineLevel="0" collapsed="false">
      <c r="A11817" s="6" t="n">
        <v>46222</v>
      </c>
      <c r="B11817" s="4" t="s">
        <v>1091</v>
      </c>
      <c r="C11817" s="4" t="n">
        <v>4</v>
      </c>
      <c r="D11817" s="4" t="n">
        <v>13</v>
      </c>
      <c r="E11817" s="4"/>
      <c r="F11817" s="4" t="n">
        <v>29</v>
      </c>
      <c r="G11817" s="4" t="n">
        <v>5</v>
      </c>
      <c r="H11817" s="4" t="n">
        <v>4</v>
      </c>
      <c r="I11817" s="4" t="str">
        <v>×</v>
      </c>
      <c r="J11817" s="4"/>
      <c r="K11817" s="4"/>
      <c r="L11817" s="4"/>
      <c r="M11817" s="5" t="s">
        <v>6502</v>
      </c>
    </row>
    <row r="11818" customFormat="false" ht="15.75" hidden="false" customHeight="false" outlineLevel="0" collapsed="false">
      <c r="A11818" s="6" t="n">
        <v>46222</v>
      </c>
      <c r="B11818" s="4" t="s">
        <v>1091</v>
      </c>
      <c r="C11818" s="4" t="n">
        <v>4</v>
      </c>
      <c r="D11818" s="4" t="n">
        <v>14</v>
      </c>
      <c r="E11818" s="4"/>
      <c r="F11818" s="4" t="n">
        <v>4</v>
      </c>
      <c r="G11818" s="4" t="n">
        <v>10</v>
      </c>
      <c r="H11818" s="4" t="n">
        <v>4</v>
      </c>
      <c r="I11818" s="4" t="str">
        <v>×</v>
      </c>
      <c r="J11818" s="4"/>
      <c r="K11818" s="4"/>
      <c r="L11818" s="4"/>
      <c r="M11818" s="5" t="s">
        <v>6502</v>
      </c>
    </row>
    <row r="11819" customFormat="false" ht="15.75" hidden="false" customHeight="false" outlineLevel="0" collapsed="false">
      <c r="A11819" s="6" t="n">
        <v>46222</v>
      </c>
      <c r="B11819" s="4" t="s">
        <v>1091</v>
      </c>
      <c r="C11819" s="4" t="n">
        <v>5</v>
      </c>
      <c r="D11819" s="4" t="n">
        <v>1</v>
      </c>
      <c r="E11819" s="4"/>
      <c r="F11819" s="4" t="n">
        <v>12</v>
      </c>
      <c r="G11819" s="4" t="n">
        <v>8</v>
      </c>
      <c r="H11819" s="4" t="n">
        <v>4</v>
      </c>
      <c r="I11819" s="4" t="str">
        <v>×</v>
      </c>
      <c r="J11819" s="4"/>
      <c r="K11819" s="4"/>
      <c r="L11819" s="4"/>
      <c r="M11819" s="5" t="s">
        <v>6502</v>
      </c>
    </row>
    <row r="11820" customFormat="false" ht="15.75" hidden="false" customHeight="false" outlineLevel="0" collapsed="false">
      <c r="A11820" s="6" t="n">
        <v>46222</v>
      </c>
      <c r="B11820" s="4" t="s">
        <v>1091</v>
      </c>
      <c r="C11820" s="4" t="n">
        <v>5</v>
      </c>
      <c r="D11820" s="4" t="n">
        <v>2</v>
      </c>
      <c r="E11820" s="4"/>
      <c r="F11820" s="4" t="n">
        <v>27</v>
      </c>
      <c r="G11820" s="4" t="n">
        <v>3</v>
      </c>
      <c r="H11820" s="4" t="n">
        <v>4</v>
      </c>
      <c r="I11820" s="4" t="str">
        <v>×</v>
      </c>
      <c r="J11820" s="4"/>
      <c r="K11820" s="4"/>
      <c r="L11820" s="4"/>
      <c r="M11820" s="5" t="s">
        <v>6502</v>
      </c>
    </row>
    <row r="11821" customFormat="false" ht="15.75" hidden="false" customHeight="false" outlineLevel="0" collapsed="false">
      <c r="A11821" s="6" t="n">
        <v>46222</v>
      </c>
      <c r="B11821" s="4" t="s">
        <v>1091</v>
      </c>
      <c r="C11821" s="4" t="n">
        <v>5</v>
      </c>
      <c r="D11821" s="4" t="n">
        <v>3</v>
      </c>
      <c r="E11821" s="4"/>
      <c r="F11821" s="4" t="n">
        <v>21</v>
      </c>
      <c r="G11821" s="4" t="n">
        <v>6</v>
      </c>
      <c r="H11821" s="4" t="n">
        <v>2</v>
      </c>
      <c r="I11821" s="4" t="str">
        <v>○</v>
      </c>
      <c r="J11821" s="4" t="n">
        <v>420</v>
      </c>
      <c r="K11821" s="4"/>
      <c r="L11821" s="4"/>
      <c r="M11821" s="5" t="s">
        <v>6502</v>
      </c>
    </row>
    <row r="11822" customFormat="false" ht="15.75" hidden="false" customHeight="false" outlineLevel="0" collapsed="false">
      <c r="A11822" s="6" t="n">
        <v>46222</v>
      </c>
      <c r="B11822" s="4" t="s">
        <v>1091</v>
      </c>
      <c r="C11822" s="4" t="n">
        <v>5</v>
      </c>
      <c r="D11822" s="4" t="n">
        <v>4</v>
      </c>
      <c r="E11822" s="4"/>
      <c r="F11822" s="4" t="n">
        <v>24</v>
      </c>
      <c r="G11822" s="4" t="n">
        <v>4</v>
      </c>
      <c r="H11822" s="4" t="n">
        <v>4</v>
      </c>
      <c r="I11822" s="4" t="str">
        <v>×</v>
      </c>
      <c r="J11822" s="4"/>
      <c r="K11822" s="4"/>
      <c r="L11822" s="4"/>
      <c r="M11822" s="5" t="s">
        <v>6502</v>
      </c>
    </row>
    <row r="11823" customFormat="false" ht="15.75" hidden="false" customHeight="false" outlineLevel="0" collapsed="false">
      <c r="A11823" s="6" t="n">
        <v>46222</v>
      </c>
      <c r="B11823" s="4" t="s">
        <v>1091</v>
      </c>
      <c r="C11823" s="4" t="n">
        <v>5</v>
      </c>
      <c r="D11823" s="4" t="n">
        <v>5</v>
      </c>
      <c r="E11823" s="4"/>
      <c r="F11823" s="4" t="n">
        <v>14</v>
      </c>
      <c r="G11823" s="4" t="n">
        <v>7</v>
      </c>
      <c r="H11823" s="4" t="n">
        <v>4</v>
      </c>
      <c r="I11823" s="4" t="str">
        <v>×</v>
      </c>
      <c r="J11823" s="4"/>
      <c r="K11823" s="4"/>
      <c r="L11823" s="4"/>
      <c r="M11823" s="5" t="s">
        <v>6502</v>
      </c>
    </row>
    <row r="11824" customFormat="false" ht="15.75" hidden="false" customHeight="false" outlineLevel="0" collapsed="false">
      <c r="A11824" s="6" t="n">
        <v>46222</v>
      </c>
      <c r="B11824" s="4" t="s">
        <v>1091</v>
      </c>
      <c r="C11824" s="4" t="n">
        <v>5</v>
      </c>
      <c r="D11824" s="4" t="n">
        <v>6</v>
      </c>
      <c r="E11824" s="4"/>
      <c r="F11824" s="4" t="n">
        <v>24</v>
      </c>
      <c r="G11824" s="4" t="n">
        <v>4</v>
      </c>
      <c r="H11824" s="4" t="n">
        <v>3</v>
      </c>
      <c r="I11824" s="4" t="str">
        <v>○</v>
      </c>
      <c r="J11824" s="4" t="n">
        <v>260</v>
      </c>
      <c r="K11824" s="4"/>
      <c r="L11824" s="4"/>
      <c r="M11824" s="5" t="s">
        <v>6502</v>
      </c>
    </row>
    <row r="11825" customFormat="false" ht="15.75" hidden="false" customHeight="false" outlineLevel="0" collapsed="false">
      <c r="A11825" s="6" t="n">
        <v>46222</v>
      </c>
      <c r="B11825" s="4" t="s">
        <v>1091</v>
      </c>
      <c r="C11825" s="4" t="n">
        <v>5</v>
      </c>
      <c r="D11825" s="4" t="n">
        <v>7</v>
      </c>
      <c r="E11825" s="4"/>
      <c r="F11825" s="4" t="n">
        <v>37</v>
      </c>
      <c r="G11825" s="4" t="n">
        <v>1</v>
      </c>
      <c r="H11825" s="4" t="n">
        <v>1</v>
      </c>
      <c r="I11825" s="4" t="str">
        <v>○</v>
      </c>
      <c r="J11825" s="4" t="n">
        <v>140</v>
      </c>
      <c r="K11825" s="4"/>
      <c r="L11825" s="4"/>
      <c r="M11825" s="5" t="s">
        <v>6502</v>
      </c>
    </row>
    <row r="11826" customFormat="false" ht="15.75" hidden="false" customHeight="false" outlineLevel="0" collapsed="false">
      <c r="A11826" s="6" t="n">
        <v>46222</v>
      </c>
      <c r="B11826" s="4" t="s">
        <v>1091</v>
      </c>
      <c r="C11826" s="4" t="n">
        <v>5</v>
      </c>
      <c r="D11826" s="4" t="n">
        <v>8</v>
      </c>
      <c r="E11826" s="4"/>
      <c r="F11826" s="4" t="n">
        <v>31</v>
      </c>
      <c r="G11826" s="4" t="n">
        <v>2</v>
      </c>
      <c r="H11826" s="4" t="n">
        <v>4</v>
      </c>
      <c r="I11826" s="4" t="str">
        <v>×</v>
      </c>
      <c r="J11826" s="4"/>
      <c r="K11826" s="4"/>
      <c r="L11826" s="4"/>
      <c r="M11826" s="5" t="s">
        <v>6502</v>
      </c>
    </row>
    <row r="11827" customFormat="false" ht="15.75" hidden="false" customHeight="false" outlineLevel="0" collapsed="false">
      <c r="A11827" s="6" t="n">
        <v>46222</v>
      </c>
      <c r="B11827" s="4" t="s">
        <v>1091</v>
      </c>
      <c r="C11827" s="4" t="n">
        <v>6</v>
      </c>
      <c r="D11827" s="4" t="n">
        <v>1</v>
      </c>
      <c r="E11827" s="4"/>
      <c r="F11827" s="4" t="n">
        <v>10</v>
      </c>
      <c r="G11827" s="4" t="n">
        <v>7</v>
      </c>
      <c r="H11827" s="4" t="n">
        <v>4</v>
      </c>
      <c r="I11827" s="4" t="str">
        <v>×</v>
      </c>
      <c r="J11827" s="4"/>
      <c r="K11827" s="4"/>
      <c r="L11827" s="4"/>
      <c r="M11827" s="5" t="s">
        <v>6502</v>
      </c>
    </row>
    <row r="11828" customFormat="false" ht="15.75" hidden="false" customHeight="false" outlineLevel="0" collapsed="false">
      <c r="A11828" s="6" t="n">
        <v>46222</v>
      </c>
      <c r="B11828" s="4" t="s">
        <v>1091</v>
      </c>
      <c r="C11828" s="4" t="n">
        <v>6</v>
      </c>
      <c r="D11828" s="4" t="n">
        <v>2</v>
      </c>
      <c r="E11828" s="4"/>
      <c r="F11828" s="4" t="n">
        <v>8</v>
      </c>
      <c r="G11828" s="4" t="n">
        <v>9</v>
      </c>
      <c r="H11828" s="4" t="n">
        <v>4</v>
      </c>
      <c r="I11828" s="4" t="str">
        <v>×</v>
      </c>
      <c r="J11828" s="4"/>
      <c r="K11828" s="4"/>
      <c r="L11828" s="4"/>
      <c r="M11828" s="5" t="s">
        <v>6502</v>
      </c>
    </row>
    <row r="11829" customFormat="false" ht="15.75" hidden="false" customHeight="false" outlineLevel="0" collapsed="false">
      <c r="A11829" s="6" t="n">
        <v>46222</v>
      </c>
      <c r="B11829" s="4" t="s">
        <v>1091</v>
      </c>
      <c r="C11829" s="4" t="n">
        <v>6</v>
      </c>
      <c r="D11829" s="4" t="n">
        <v>3</v>
      </c>
      <c r="E11829" s="4"/>
      <c r="F11829" s="4" t="n">
        <v>10</v>
      </c>
      <c r="G11829" s="4" t="n">
        <v>7</v>
      </c>
      <c r="H11829" s="4" t="n">
        <v>4</v>
      </c>
      <c r="I11829" s="4" t="str">
        <v>×</v>
      </c>
      <c r="J11829" s="4"/>
      <c r="K11829" s="4"/>
      <c r="L11829" s="4"/>
      <c r="M11829" s="5" t="s">
        <v>6502</v>
      </c>
    </row>
    <row r="11830" customFormat="false" ht="15.75" hidden="false" customHeight="false" outlineLevel="0" collapsed="false">
      <c r="A11830" s="6" t="n">
        <v>46222</v>
      </c>
      <c r="B11830" s="4" t="s">
        <v>1091</v>
      </c>
      <c r="C11830" s="4" t="n">
        <v>6</v>
      </c>
      <c r="D11830" s="4" t="n">
        <v>4</v>
      </c>
      <c r="E11830" s="4"/>
      <c r="F11830" s="4" t="n">
        <v>74</v>
      </c>
      <c r="G11830" s="4" t="n">
        <v>1</v>
      </c>
      <c r="H11830" s="4" t="n">
        <v>4</v>
      </c>
      <c r="I11830" s="4" t="str">
        <v>×</v>
      </c>
      <c r="J11830" s="4"/>
      <c r="K11830" s="4"/>
      <c r="L11830" s="4"/>
      <c r="M11830" s="5" t="s">
        <v>6502</v>
      </c>
    </row>
    <row r="11831" customFormat="false" ht="15.75" hidden="false" customHeight="false" outlineLevel="0" collapsed="false">
      <c r="A11831" s="6" t="n">
        <v>46222</v>
      </c>
      <c r="B11831" s="4" t="s">
        <v>1091</v>
      </c>
      <c r="C11831" s="4" t="n">
        <v>6</v>
      </c>
      <c r="D11831" s="4" t="n">
        <v>5</v>
      </c>
      <c r="E11831" s="4"/>
      <c r="F11831" s="4" t="n">
        <v>8</v>
      </c>
      <c r="G11831" s="4" t="n">
        <v>9</v>
      </c>
      <c r="H11831" s="4" t="n">
        <v>4</v>
      </c>
      <c r="I11831" s="4" t="str">
        <v>×</v>
      </c>
      <c r="J11831" s="4"/>
      <c r="K11831" s="4"/>
      <c r="L11831" s="4"/>
      <c r="M11831" s="5" t="s">
        <v>6502</v>
      </c>
    </row>
    <row r="11832" customFormat="false" ht="15.75" hidden="false" customHeight="false" outlineLevel="0" collapsed="false">
      <c r="A11832" s="6" t="n">
        <v>46222</v>
      </c>
      <c r="B11832" s="4" t="s">
        <v>1091</v>
      </c>
      <c r="C11832" s="4" t="n">
        <v>6</v>
      </c>
      <c r="D11832" s="4" t="n">
        <v>6</v>
      </c>
      <c r="E11832" s="4"/>
      <c r="F11832" s="4" t="n">
        <v>20</v>
      </c>
      <c r="G11832" s="4" t="n">
        <v>5</v>
      </c>
      <c r="H11832" s="4" t="n">
        <v>2</v>
      </c>
      <c r="I11832" s="4" t="str">
        <v>○</v>
      </c>
      <c r="J11832" s="4" t="n">
        <v>230</v>
      </c>
      <c r="K11832" s="4"/>
      <c r="L11832" s="4"/>
      <c r="M11832" s="5" t="s">
        <v>6502</v>
      </c>
    </row>
    <row r="11833" customFormat="false" ht="15.75" hidden="false" customHeight="false" outlineLevel="0" collapsed="false">
      <c r="A11833" s="6" t="n">
        <v>46222</v>
      </c>
      <c r="B11833" s="4" t="s">
        <v>1091</v>
      </c>
      <c r="C11833" s="4" t="n">
        <v>6</v>
      </c>
      <c r="D11833" s="4" t="n">
        <v>7</v>
      </c>
      <c r="E11833" s="4"/>
      <c r="F11833" s="4" t="n">
        <v>6</v>
      </c>
      <c r="G11833" s="4" t="n">
        <v>12</v>
      </c>
      <c r="H11833" s="4" t="n">
        <v>4</v>
      </c>
      <c r="I11833" s="4" t="str">
        <v>×</v>
      </c>
      <c r="J11833" s="4"/>
      <c r="K11833" s="4"/>
      <c r="L11833" s="4"/>
      <c r="M11833" s="5" t="s">
        <v>6502</v>
      </c>
    </row>
    <row r="11834" customFormat="false" ht="15.75" hidden="false" customHeight="false" outlineLevel="0" collapsed="false">
      <c r="A11834" s="6" t="n">
        <v>46222</v>
      </c>
      <c r="B11834" s="4" t="s">
        <v>1091</v>
      </c>
      <c r="C11834" s="4" t="n">
        <v>6</v>
      </c>
      <c r="D11834" s="4" t="n">
        <v>8</v>
      </c>
      <c r="E11834" s="4"/>
      <c r="F11834" s="4" t="n">
        <v>67</v>
      </c>
      <c r="G11834" s="4" t="n">
        <v>2</v>
      </c>
      <c r="H11834" s="4" t="n">
        <v>4</v>
      </c>
      <c r="I11834" s="4" t="str">
        <v>×</v>
      </c>
      <c r="J11834" s="4"/>
      <c r="K11834" s="4"/>
      <c r="L11834" s="4"/>
      <c r="M11834" s="5" t="s">
        <v>6502</v>
      </c>
    </row>
    <row r="11835" customFormat="false" ht="15.75" hidden="false" customHeight="false" outlineLevel="0" collapsed="false">
      <c r="A11835" s="6" t="n">
        <v>46222</v>
      </c>
      <c r="B11835" s="4" t="s">
        <v>1091</v>
      </c>
      <c r="C11835" s="4" t="n">
        <v>6</v>
      </c>
      <c r="D11835" s="4" t="n">
        <v>9</v>
      </c>
      <c r="E11835" s="4"/>
      <c r="F11835" s="4" t="n">
        <v>15</v>
      </c>
      <c r="G11835" s="4" t="n">
        <v>6</v>
      </c>
      <c r="H11835" s="4" t="n">
        <v>4</v>
      </c>
      <c r="I11835" s="4" t="str">
        <v>×</v>
      </c>
      <c r="J11835" s="4"/>
      <c r="K11835" s="4"/>
      <c r="L11835" s="4"/>
      <c r="M11835" s="5" t="s">
        <v>6502</v>
      </c>
    </row>
    <row r="11836" customFormat="false" ht="15.75" hidden="false" customHeight="false" outlineLevel="0" collapsed="false">
      <c r="A11836" s="6" t="n">
        <v>46222</v>
      </c>
      <c r="B11836" s="4" t="s">
        <v>1091</v>
      </c>
      <c r="C11836" s="4" t="n">
        <v>6</v>
      </c>
      <c r="D11836" s="4" t="n">
        <v>10</v>
      </c>
      <c r="E11836" s="4"/>
      <c r="F11836" s="4" t="n">
        <v>4</v>
      </c>
      <c r="G11836" s="4" t="n">
        <v>14</v>
      </c>
      <c r="H11836" s="4" t="n">
        <v>4</v>
      </c>
      <c r="I11836" s="4" t="str">
        <v>×</v>
      </c>
      <c r="J11836" s="4"/>
      <c r="K11836" s="4"/>
      <c r="L11836" s="4"/>
      <c r="M11836" s="5" t="s">
        <v>6502</v>
      </c>
    </row>
    <row r="11837" customFormat="false" ht="15.75" hidden="false" customHeight="false" outlineLevel="0" collapsed="false">
      <c r="A11837" s="6" t="n">
        <v>46222</v>
      </c>
      <c r="B11837" s="4" t="s">
        <v>1091</v>
      </c>
      <c r="C11837" s="4" t="n">
        <v>6</v>
      </c>
      <c r="D11837" s="4" t="n">
        <v>11</v>
      </c>
      <c r="E11837" s="4"/>
      <c r="F11837" s="4" t="n">
        <v>25</v>
      </c>
      <c r="G11837" s="4" t="n">
        <v>4</v>
      </c>
      <c r="H11837" s="4" t="n">
        <v>3</v>
      </c>
      <c r="I11837" s="4" t="str">
        <v>○</v>
      </c>
      <c r="J11837" s="4" t="n">
        <v>790</v>
      </c>
      <c r="K11837" s="4"/>
      <c r="L11837" s="4"/>
      <c r="M11837" s="5" t="s">
        <v>6502</v>
      </c>
    </row>
    <row r="11838" customFormat="false" ht="15.75" hidden="false" customHeight="false" outlineLevel="0" collapsed="false">
      <c r="A11838" s="6" t="n">
        <v>46222</v>
      </c>
      <c r="B11838" s="4" t="s">
        <v>1091</v>
      </c>
      <c r="C11838" s="4" t="n">
        <v>6</v>
      </c>
      <c r="D11838" s="4" t="n">
        <v>12</v>
      </c>
      <c r="E11838" s="4"/>
      <c r="F11838" s="4" t="n">
        <v>6</v>
      </c>
      <c r="G11838" s="4" t="n">
        <v>12</v>
      </c>
      <c r="H11838" s="4" t="n">
        <v>4</v>
      </c>
      <c r="I11838" s="4" t="str">
        <v>×</v>
      </c>
      <c r="J11838" s="4"/>
      <c r="K11838" s="4"/>
      <c r="L11838" s="4"/>
      <c r="M11838" s="5" t="s">
        <v>6502</v>
      </c>
    </row>
    <row r="11839" customFormat="false" ht="15.75" hidden="false" customHeight="false" outlineLevel="0" collapsed="false">
      <c r="A11839" s="6" t="n">
        <v>46222</v>
      </c>
      <c r="B11839" s="4" t="s">
        <v>1091</v>
      </c>
      <c r="C11839" s="4" t="n">
        <v>6</v>
      </c>
      <c r="D11839" s="4" t="n">
        <v>13</v>
      </c>
      <c r="E11839" s="4"/>
      <c r="F11839" s="4" t="n">
        <v>31</v>
      </c>
      <c r="G11839" s="4" t="n">
        <v>3</v>
      </c>
      <c r="H11839" s="4" t="n">
        <v>1</v>
      </c>
      <c r="I11839" s="4" t="str">
        <v>○</v>
      </c>
      <c r="J11839" s="4" t="n">
        <v>280</v>
      </c>
      <c r="K11839" s="4"/>
      <c r="L11839" s="4"/>
      <c r="M11839" s="5" t="s">
        <v>6502</v>
      </c>
    </row>
    <row r="11840" customFormat="false" ht="15.75" hidden="false" customHeight="false" outlineLevel="0" collapsed="false">
      <c r="A11840" s="6" t="n">
        <v>46222</v>
      </c>
      <c r="B11840" s="4" t="s">
        <v>1091</v>
      </c>
      <c r="C11840" s="4" t="n">
        <v>6</v>
      </c>
      <c r="D11840" s="4" t="n">
        <v>14</v>
      </c>
      <c r="E11840" s="4"/>
      <c r="F11840" s="4" t="n">
        <v>8</v>
      </c>
      <c r="G11840" s="4" t="n">
        <v>9</v>
      </c>
      <c r="H11840" s="4" t="n">
        <v>4</v>
      </c>
      <c r="I11840" s="4" t="str">
        <v>×</v>
      </c>
      <c r="J11840" s="4"/>
      <c r="K11840" s="4"/>
      <c r="L11840" s="4"/>
      <c r="M11840" s="5" t="s">
        <v>6502</v>
      </c>
    </row>
    <row r="11841" customFormat="false" ht="15.75" hidden="false" customHeight="false" outlineLevel="0" collapsed="false">
      <c r="A11841" s="6" t="n">
        <v>46222</v>
      </c>
      <c r="B11841" s="4" t="s">
        <v>1091</v>
      </c>
      <c r="C11841" s="4" t="n">
        <v>7</v>
      </c>
      <c r="D11841" s="4" t="n">
        <v>1</v>
      </c>
      <c r="E11841" s="4"/>
      <c r="F11841" s="4" t="n">
        <v>47</v>
      </c>
      <c r="G11841" s="4" t="n">
        <v>1</v>
      </c>
      <c r="H11841" s="4" t="n">
        <v>1</v>
      </c>
      <c r="I11841" s="4" t="str">
        <v>○</v>
      </c>
      <c r="J11841" s="4" t="n">
        <v>180</v>
      </c>
      <c r="K11841" s="4"/>
      <c r="L11841" s="4"/>
      <c r="M11841" s="5" t="s">
        <v>6502</v>
      </c>
    </row>
    <row r="11842" customFormat="false" ht="15.75" hidden="false" customHeight="false" outlineLevel="0" collapsed="false">
      <c r="A11842" s="6" t="n">
        <v>46222</v>
      </c>
      <c r="B11842" s="4" t="s">
        <v>1091</v>
      </c>
      <c r="C11842" s="4" t="n">
        <v>7</v>
      </c>
      <c r="D11842" s="4" t="n">
        <v>2</v>
      </c>
      <c r="E11842" s="4"/>
      <c r="F11842" s="4" t="n">
        <v>34</v>
      </c>
      <c r="G11842" s="4" t="n">
        <v>4</v>
      </c>
      <c r="H11842" s="4" t="n">
        <v>4</v>
      </c>
      <c r="I11842" s="4" t="str">
        <v>×</v>
      </c>
      <c r="J11842" s="4"/>
      <c r="K11842" s="4"/>
      <c r="L11842" s="4"/>
      <c r="M11842" s="5" t="s">
        <v>6502</v>
      </c>
    </row>
    <row r="11843" customFormat="false" ht="15.75" hidden="false" customHeight="false" outlineLevel="0" collapsed="false">
      <c r="A11843" s="6" t="n">
        <v>46222</v>
      </c>
      <c r="B11843" s="4" t="s">
        <v>1091</v>
      </c>
      <c r="C11843" s="4" t="n">
        <v>7</v>
      </c>
      <c r="D11843" s="4" t="n">
        <v>3</v>
      </c>
      <c r="E11843" s="4"/>
      <c r="F11843" s="4" t="n">
        <v>6</v>
      </c>
      <c r="G11843" s="4" t="n">
        <v>15</v>
      </c>
      <c r="H11843" s="4" t="n">
        <v>4</v>
      </c>
      <c r="I11843" s="4" t="str">
        <v>×</v>
      </c>
      <c r="J11843" s="4"/>
      <c r="K11843" s="4"/>
      <c r="L11843" s="4"/>
      <c r="M11843" s="5" t="s">
        <v>6502</v>
      </c>
    </row>
    <row r="11844" customFormat="false" ht="15.75" hidden="false" customHeight="false" outlineLevel="0" collapsed="false">
      <c r="A11844" s="6" t="n">
        <v>46222</v>
      </c>
      <c r="B11844" s="4" t="s">
        <v>1091</v>
      </c>
      <c r="C11844" s="4" t="n">
        <v>7</v>
      </c>
      <c r="D11844" s="4" t="n">
        <v>4</v>
      </c>
      <c r="E11844" s="4"/>
      <c r="F11844" s="4" t="n">
        <v>20</v>
      </c>
      <c r="G11844" s="4" t="n">
        <v>9</v>
      </c>
      <c r="H11844" s="4" t="n">
        <v>4</v>
      </c>
      <c r="I11844" s="4" t="str">
        <v>×</v>
      </c>
      <c r="J11844" s="4"/>
      <c r="K11844" s="4"/>
      <c r="L11844" s="4"/>
      <c r="M11844" s="5" t="s">
        <v>6502</v>
      </c>
    </row>
    <row r="11845" customFormat="false" ht="15.75" hidden="false" customHeight="false" outlineLevel="0" collapsed="false">
      <c r="A11845" s="6" t="n">
        <v>46222</v>
      </c>
      <c r="B11845" s="4" t="s">
        <v>1091</v>
      </c>
      <c r="C11845" s="4" t="n">
        <v>7</v>
      </c>
      <c r="D11845" s="4" t="n">
        <v>5</v>
      </c>
      <c r="E11845" s="4"/>
      <c r="F11845" s="4" t="n">
        <v>37</v>
      </c>
      <c r="G11845" s="4" t="n">
        <v>3</v>
      </c>
      <c r="H11845" s="4" t="n">
        <v>4</v>
      </c>
      <c r="I11845" s="4" t="str">
        <v>×</v>
      </c>
      <c r="J11845" s="4"/>
      <c r="K11845" s="4"/>
      <c r="L11845" s="4"/>
      <c r="M11845" s="5" t="s">
        <v>6502</v>
      </c>
    </row>
    <row r="11846" customFormat="false" ht="15.75" hidden="false" customHeight="false" outlineLevel="0" collapsed="false">
      <c r="A11846" s="6" t="n">
        <v>46222</v>
      </c>
      <c r="B11846" s="4" t="s">
        <v>1091</v>
      </c>
      <c r="C11846" s="4" t="n">
        <v>7</v>
      </c>
      <c r="D11846" s="4" t="n">
        <v>6</v>
      </c>
      <c r="E11846" s="4"/>
      <c r="F11846" s="4" t="n">
        <v>17</v>
      </c>
      <c r="G11846" s="4" t="n">
        <v>10</v>
      </c>
      <c r="H11846" s="4" t="n">
        <v>4</v>
      </c>
      <c r="I11846" s="4" t="str">
        <v>×</v>
      </c>
      <c r="J11846" s="4"/>
      <c r="K11846" s="4"/>
      <c r="L11846" s="4"/>
      <c r="M11846" s="5" t="s">
        <v>6502</v>
      </c>
    </row>
    <row r="11847" customFormat="false" ht="15.75" hidden="false" customHeight="false" outlineLevel="0" collapsed="false">
      <c r="A11847" s="6" t="n">
        <v>46222</v>
      </c>
      <c r="B11847" s="4" t="s">
        <v>1091</v>
      </c>
      <c r="C11847" s="4" t="n">
        <v>7</v>
      </c>
      <c r="D11847" s="4" t="n">
        <v>7</v>
      </c>
      <c r="E11847" s="4"/>
      <c r="F11847" s="4" t="n">
        <v>23</v>
      </c>
      <c r="G11847" s="4" t="n">
        <v>7</v>
      </c>
      <c r="H11847" s="4" t="n">
        <v>4</v>
      </c>
      <c r="I11847" s="4" t="str">
        <v>×</v>
      </c>
      <c r="J11847" s="4"/>
      <c r="K11847" s="4"/>
      <c r="L11847" s="4"/>
      <c r="M11847" s="5" t="s">
        <v>6502</v>
      </c>
    </row>
    <row r="11848" customFormat="false" ht="15.75" hidden="false" customHeight="false" outlineLevel="0" collapsed="false">
      <c r="A11848" s="6" t="n">
        <v>46222</v>
      </c>
      <c r="B11848" s="4" t="s">
        <v>1091</v>
      </c>
      <c r="C11848" s="4" t="n">
        <v>7</v>
      </c>
      <c r="D11848" s="4" t="n">
        <v>8</v>
      </c>
      <c r="E11848" s="4"/>
      <c r="F11848" s="4" t="n">
        <v>17</v>
      </c>
      <c r="G11848" s="4" t="n">
        <v>10</v>
      </c>
      <c r="H11848" s="4" t="n">
        <v>4</v>
      </c>
      <c r="I11848" s="4" t="str">
        <v>×</v>
      </c>
      <c r="J11848" s="4"/>
      <c r="K11848" s="4"/>
      <c r="L11848" s="4"/>
      <c r="M11848" s="5" t="s">
        <v>6502</v>
      </c>
    </row>
    <row r="11849" customFormat="false" ht="15.75" hidden="false" customHeight="false" outlineLevel="0" collapsed="false">
      <c r="A11849" s="6" t="n">
        <v>46222</v>
      </c>
      <c r="B11849" s="4" t="s">
        <v>1091</v>
      </c>
      <c r="C11849" s="4" t="n">
        <v>7</v>
      </c>
      <c r="D11849" s="4" t="n">
        <v>9</v>
      </c>
      <c r="E11849" s="4"/>
      <c r="F11849" s="4" t="n">
        <v>29</v>
      </c>
      <c r="G11849" s="4" t="n">
        <v>6</v>
      </c>
      <c r="H11849" s="4" t="n">
        <v>4</v>
      </c>
      <c r="I11849" s="4" t="str">
        <v>×</v>
      </c>
      <c r="J11849" s="4"/>
      <c r="K11849" s="4"/>
      <c r="L11849" s="4"/>
      <c r="M11849" s="5" t="s">
        <v>6502</v>
      </c>
    </row>
    <row r="11850" customFormat="false" ht="15.75" hidden="false" customHeight="false" outlineLevel="0" collapsed="false">
      <c r="A11850" s="6" t="n">
        <v>46222</v>
      </c>
      <c r="B11850" s="4" t="s">
        <v>1091</v>
      </c>
      <c r="C11850" s="4" t="n">
        <v>7</v>
      </c>
      <c r="D11850" s="4" t="n">
        <v>10</v>
      </c>
      <c r="E11850" s="4"/>
      <c r="F11850" s="4" t="n">
        <v>39</v>
      </c>
      <c r="G11850" s="4" t="n">
        <v>2</v>
      </c>
      <c r="H11850" s="4" t="n">
        <v>2</v>
      </c>
      <c r="I11850" s="4" t="str">
        <v>○</v>
      </c>
      <c r="J11850" s="4" t="n">
        <v>200</v>
      </c>
      <c r="K11850" s="4"/>
      <c r="L11850" s="4"/>
      <c r="M11850" s="5" t="s">
        <v>6502</v>
      </c>
    </row>
    <row r="11851" customFormat="false" ht="15.75" hidden="false" customHeight="false" outlineLevel="0" collapsed="false">
      <c r="A11851" s="6" t="n">
        <v>46222</v>
      </c>
      <c r="B11851" s="4" t="s">
        <v>1091</v>
      </c>
      <c r="C11851" s="4" t="n">
        <v>7</v>
      </c>
      <c r="D11851" s="4" t="n">
        <v>11</v>
      </c>
      <c r="E11851" s="4"/>
      <c r="F11851" s="4" t="n">
        <v>31</v>
      </c>
      <c r="G11851" s="4" t="n">
        <v>5</v>
      </c>
      <c r="H11851" s="4" t="n">
        <v>4</v>
      </c>
      <c r="I11851" s="4" t="str">
        <v>×</v>
      </c>
      <c r="J11851" s="4"/>
      <c r="K11851" s="4"/>
      <c r="L11851" s="4"/>
      <c r="M11851" s="5" t="s">
        <v>6502</v>
      </c>
    </row>
    <row r="11852" customFormat="false" ht="15.75" hidden="false" customHeight="false" outlineLevel="0" collapsed="false">
      <c r="A11852" s="6" t="n">
        <v>46222</v>
      </c>
      <c r="B11852" s="4" t="s">
        <v>1091</v>
      </c>
      <c r="C11852" s="4" t="n">
        <v>7</v>
      </c>
      <c r="D11852" s="4" t="n">
        <v>12</v>
      </c>
      <c r="E11852" s="4"/>
      <c r="F11852" s="4" t="n">
        <v>8</v>
      </c>
      <c r="G11852" s="4" t="n">
        <v>14</v>
      </c>
      <c r="H11852" s="4" t="n">
        <v>4</v>
      </c>
      <c r="I11852" s="4" t="str">
        <v>×</v>
      </c>
      <c r="J11852" s="4"/>
      <c r="K11852" s="4"/>
      <c r="L11852" s="4"/>
      <c r="M11852" s="5" t="s">
        <v>6502</v>
      </c>
    </row>
    <row r="11853" customFormat="false" ht="15.75" hidden="false" customHeight="false" outlineLevel="0" collapsed="false">
      <c r="A11853" s="6" t="n">
        <v>46222</v>
      </c>
      <c r="B11853" s="4" t="s">
        <v>1091</v>
      </c>
      <c r="C11853" s="4" t="n">
        <v>7</v>
      </c>
      <c r="D11853" s="4" t="n">
        <v>13</v>
      </c>
      <c r="E11853" s="4"/>
      <c r="F11853" s="4" t="n">
        <v>23</v>
      </c>
      <c r="G11853" s="4" t="n">
        <v>7</v>
      </c>
      <c r="H11853" s="4" t="n">
        <v>3</v>
      </c>
      <c r="I11853" s="4" t="str">
        <v>○</v>
      </c>
      <c r="J11853" s="4" t="n">
        <v>360</v>
      </c>
      <c r="K11853" s="4"/>
      <c r="L11853" s="4"/>
      <c r="M11853" s="5" t="s">
        <v>6502</v>
      </c>
    </row>
    <row r="11854" customFormat="false" ht="15.75" hidden="false" customHeight="false" outlineLevel="0" collapsed="false">
      <c r="A11854" s="6" t="n">
        <v>46222</v>
      </c>
      <c r="B11854" s="4" t="s">
        <v>1091</v>
      </c>
      <c r="C11854" s="4" t="n">
        <v>7</v>
      </c>
      <c r="D11854" s="4" t="n">
        <v>14</v>
      </c>
      <c r="E11854" s="4"/>
      <c r="F11854" s="4" t="n">
        <v>10</v>
      </c>
      <c r="G11854" s="4" t="n">
        <v>12</v>
      </c>
      <c r="H11854" s="4" t="n">
        <v>4</v>
      </c>
      <c r="I11854" s="4" t="str">
        <v>×</v>
      </c>
      <c r="J11854" s="4"/>
      <c r="K11854" s="4"/>
      <c r="L11854" s="4"/>
      <c r="M11854" s="5" t="s">
        <v>6502</v>
      </c>
    </row>
    <row r="11855" customFormat="false" ht="15.75" hidden="false" customHeight="false" outlineLevel="0" collapsed="false">
      <c r="A11855" s="6" t="n">
        <v>46222</v>
      </c>
      <c r="B11855" s="4" t="s">
        <v>1091</v>
      </c>
      <c r="C11855" s="4" t="n">
        <v>7</v>
      </c>
      <c r="D11855" s="4" t="n">
        <v>15</v>
      </c>
      <c r="E11855" s="4"/>
      <c r="F11855" s="4" t="n">
        <v>4</v>
      </c>
      <c r="G11855" s="4" t="n">
        <v>17</v>
      </c>
      <c r="H11855" s="4" t="n">
        <v>4</v>
      </c>
      <c r="I11855" s="4" t="str">
        <v>×</v>
      </c>
      <c r="J11855" s="4"/>
      <c r="K11855" s="4"/>
      <c r="L11855" s="4"/>
      <c r="M11855" s="5" t="s">
        <v>6502</v>
      </c>
    </row>
    <row r="11856" customFormat="false" ht="15.75" hidden="false" customHeight="false" outlineLevel="0" collapsed="false">
      <c r="A11856" s="6" t="n">
        <v>46222</v>
      </c>
      <c r="B11856" s="4" t="s">
        <v>1091</v>
      </c>
      <c r="C11856" s="4" t="n">
        <v>7</v>
      </c>
      <c r="D11856" s="4" t="n">
        <v>16</v>
      </c>
      <c r="E11856" s="4"/>
      <c r="F11856" s="4" t="n">
        <v>6</v>
      </c>
      <c r="G11856" s="4" t="n">
        <v>15</v>
      </c>
      <c r="H11856" s="4" t="n">
        <v>4</v>
      </c>
      <c r="I11856" s="4" t="str">
        <v>×</v>
      </c>
      <c r="J11856" s="4"/>
      <c r="K11856" s="4"/>
      <c r="L11856" s="4"/>
      <c r="M11856" s="5" t="s">
        <v>6502</v>
      </c>
    </row>
    <row r="11857" customFormat="false" ht="15.75" hidden="false" customHeight="false" outlineLevel="0" collapsed="false">
      <c r="A11857" s="6" t="n">
        <v>46222</v>
      </c>
      <c r="B11857" s="4" t="s">
        <v>1091</v>
      </c>
      <c r="C11857" s="4" t="n">
        <v>7</v>
      </c>
      <c r="D11857" s="4" t="n">
        <v>17</v>
      </c>
      <c r="E11857" s="4"/>
      <c r="F11857" s="4" t="n">
        <v>10</v>
      </c>
      <c r="G11857" s="4" t="n">
        <v>12</v>
      </c>
      <c r="H11857" s="4" t="n">
        <v>4</v>
      </c>
      <c r="I11857" s="4" t="str">
        <v>×</v>
      </c>
      <c r="J11857" s="4"/>
      <c r="K11857" s="4"/>
      <c r="L11857" s="4"/>
      <c r="M11857" s="5" t="s">
        <v>6502</v>
      </c>
    </row>
    <row r="11858" customFormat="false" ht="15.75" hidden="false" customHeight="false" outlineLevel="0" collapsed="false">
      <c r="A11858" s="6" t="n">
        <v>46222</v>
      </c>
      <c r="B11858" s="4" t="s">
        <v>1091</v>
      </c>
      <c r="C11858" s="4" t="n">
        <v>8</v>
      </c>
      <c r="D11858" s="4" t="n">
        <v>1</v>
      </c>
      <c r="E11858" s="4"/>
      <c r="F11858" s="4" t="n">
        <v>50</v>
      </c>
      <c r="G11858" s="4" t="n">
        <v>1</v>
      </c>
      <c r="H11858" s="4" t="n">
        <v>4</v>
      </c>
      <c r="I11858" s="4" t="str">
        <v>×</v>
      </c>
      <c r="J11858" s="4"/>
      <c r="K11858" s="4"/>
      <c r="L11858" s="4"/>
      <c r="M11858" s="5" t="s">
        <v>6502</v>
      </c>
    </row>
    <row r="11859" customFormat="false" ht="15.75" hidden="false" customHeight="false" outlineLevel="0" collapsed="false">
      <c r="A11859" s="6" t="n">
        <v>46222</v>
      </c>
      <c r="B11859" s="4" t="s">
        <v>1091</v>
      </c>
      <c r="C11859" s="4" t="n">
        <v>8</v>
      </c>
      <c r="D11859" s="4" t="n">
        <v>2</v>
      </c>
      <c r="E11859" s="4"/>
      <c r="F11859" s="4" t="n">
        <v>17</v>
      </c>
      <c r="G11859" s="4" t="n">
        <v>10</v>
      </c>
      <c r="H11859" s="4" t="n">
        <v>4</v>
      </c>
      <c r="I11859" s="4" t="str">
        <v>×</v>
      </c>
      <c r="J11859" s="4"/>
      <c r="K11859" s="4"/>
      <c r="L11859" s="4"/>
      <c r="M11859" s="5" t="s">
        <v>6502</v>
      </c>
    </row>
    <row r="11860" customFormat="false" ht="15.75" hidden="false" customHeight="false" outlineLevel="0" collapsed="false">
      <c r="A11860" s="6" t="n">
        <v>46222</v>
      </c>
      <c r="B11860" s="4" t="s">
        <v>1091</v>
      </c>
      <c r="C11860" s="4" t="n">
        <v>8</v>
      </c>
      <c r="D11860" s="4" t="n">
        <v>3</v>
      </c>
      <c r="E11860" s="4"/>
      <c r="F11860" s="4" t="n">
        <v>25</v>
      </c>
      <c r="G11860" s="4" t="n">
        <v>4</v>
      </c>
      <c r="H11860" s="4" t="n">
        <v>4</v>
      </c>
      <c r="I11860" s="4" t="str">
        <v>×</v>
      </c>
      <c r="J11860" s="4"/>
      <c r="K11860" s="4"/>
      <c r="L11860" s="4"/>
      <c r="M11860" s="5" t="s">
        <v>6502</v>
      </c>
    </row>
    <row r="11861" customFormat="false" ht="15.75" hidden="false" customHeight="false" outlineLevel="0" collapsed="false">
      <c r="A11861" s="6" t="n">
        <v>46222</v>
      </c>
      <c r="B11861" s="4" t="s">
        <v>1091</v>
      </c>
      <c r="C11861" s="4" t="n">
        <v>8</v>
      </c>
      <c r="D11861" s="4" t="n">
        <v>4</v>
      </c>
      <c r="E11861" s="4"/>
      <c r="F11861" s="4" t="n">
        <v>25</v>
      </c>
      <c r="G11861" s="4" t="n">
        <v>4</v>
      </c>
      <c r="H11861" s="4" t="n">
        <v>4</v>
      </c>
      <c r="I11861" s="4" t="str">
        <v>×</v>
      </c>
      <c r="J11861" s="4"/>
      <c r="K11861" s="4"/>
      <c r="L11861" s="4"/>
      <c r="M11861" s="5" t="s">
        <v>6502</v>
      </c>
    </row>
    <row r="11862" customFormat="false" ht="15.75" hidden="false" customHeight="false" outlineLevel="0" collapsed="false">
      <c r="A11862" s="6" t="n">
        <v>46222</v>
      </c>
      <c r="B11862" s="4" t="s">
        <v>1091</v>
      </c>
      <c r="C11862" s="4" t="n">
        <v>8</v>
      </c>
      <c r="D11862" s="4" t="n">
        <v>5</v>
      </c>
      <c r="E11862" s="4"/>
      <c r="F11862" s="4" t="n">
        <v>15</v>
      </c>
      <c r="G11862" s="4" t="n">
        <v>11</v>
      </c>
      <c r="H11862" s="4" t="n">
        <v>4</v>
      </c>
      <c r="I11862" s="4" t="str">
        <v>×</v>
      </c>
      <c r="J11862" s="4"/>
      <c r="K11862" s="4"/>
      <c r="L11862" s="4"/>
      <c r="M11862" s="5" t="s">
        <v>6502</v>
      </c>
    </row>
    <row r="11863" customFormat="false" ht="15.75" hidden="false" customHeight="false" outlineLevel="0" collapsed="false">
      <c r="A11863" s="6" t="n">
        <v>46222</v>
      </c>
      <c r="B11863" s="4" t="s">
        <v>1091</v>
      </c>
      <c r="C11863" s="4" t="n">
        <v>8</v>
      </c>
      <c r="D11863" s="4" t="n">
        <v>6</v>
      </c>
      <c r="E11863" s="4"/>
      <c r="F11863" s="4" t="n">
        <v>44</v>
      </c>
      <c r="G11863" s="4" t="n">
        <v>2</v>
      </c>
      <c r="H11863" s="4" t="n">
        <v>4</v>
      </c>
      <c r="I11863" s="4" t="str">
        <v>×</v>
      </c>
      <c r="J11863" s="4"/>
      <c r="K11863" s="4"/>
      <c r="L11863" s="4"/>
      <c r="M11863" s="5" t="s">
        <v>6502</v>
      </c>
    </row>
    <row r="11864" customFormat="false" ht="15.75" hidden="false" customHeight="false" outlineLevel="0" collapsed="false">
      <c r="A11864" s="6" t="n">
        <v>46222</v>
      </c>
      <c r="B11864" s="4" t="s">
        <v>1091</v>
      </c>
      <c r="C11864" s="4" t="n">
        <v>8</v>
      </c>
      <c r="D11864" s="4" t="n">
        <v>7</v>
      </c>
      <c r="E11864" s="4"/>
      <c r="F11864" s="4" t="n">
        <v>20</v>
      </c>
      <c r="G11864" s="4" t="n">
        <v>8</v>
      </c>
      <c r="H11864" s="4" t="n">
        <v>3</v>
      </c>
      <c r="I11864" s="4" t="str">
        <v>○</v>
      </c>
      <c r="J11864" s="4" t="n">
        <v>330</v>
      </c>
      <c r="K11864" s="4"/>
      <c r="L11864" s="4"/>
      <c r="M11864" s="5" t="s">
        <v>6502</v>
      </c>
    </row>
    <row r="11865" customFormat="false" ht="15.75" hidden="false" customHeight="false" outlineLevel="0" collapsed="false">
      <c r="A11865" s="6" t="n">
        <v>46222</v>
      </c>
      <c r="B11865" s="4" t="s">
        <v>1091</v>
      </c>
      <c r="C11865" s="4" t="n">
        <v>8</v>
      </c>
      <c r="D11865" s="4" t="n">
        <v>8</v>
      </c>
      <c r="E11865" s="4"/>
      <c r="F11865" s="4" t="n">
        <v>13</v>
      </c>
      <c r="G11865" s="4" t="n">
        <v>12</v>
      </c>
      <c r="H11865" s="4" t="n">
        <v>4</v>
      </c>
      <c r="I11865" s="4" t="str">
        <v>×</v>
      </c>
      <c r="J11865" s="4"/>
      <c r="K11865" s="4"/>
      <c r="L11865" s="4"/>
      <c r="M11865" s="5" t="s">
        <v>6502</v>
      </c>
    </row>
    <row r="11866" customFormat="false" ht="15.75" hidden="false" customHeight="false" outlineLevel="0" collapsed="false">
      <c r="A11866" s="6" t="n">
        <v>46222</v>
      </c>
      <c r="B11866" s="4" t="s">
        <v>1091</v>
      </c>
      <c r="C11866" s="4" t="n">
        <v>8</v>
      </c>
      <c r="D11866" s="4" t="n">
        <v>9</v>
      </c>
      <c r="E11866" s="4"/>
      <c r="F11866" s="4" t="n">
        <v>23</v>
      </c>
      <c r="G11866" s="4" t="n">
        <v>6</v>
      </c>
      <c r="H11866" s="4" t="n">
        <v>4</v>
      </c>
      <c r="I11866" s="4" t="str">
        <v>×</v>
      </c>
      <c r="J11866" s="4"/>
      <c r="K11866" s="4"/>
      <c r="L11866" s="4"/>
      <c r="M11866" s="5" t="s">
        <v>6502</v>
      </c>
    </row>
    <row r="11867" customFormat="false" ht="15.75" hidden="false" customHeight="false" outlineLevel="0" collapsed="false">
      <c r="A11867" s="6" t="n">
        <v>46222</v>
      </c>
      <c r="B11867" s="4" t="s">
        <v>1091</v>
      </c>
      <c r="C11867" s="4" t="n">
        <v>8</v>
      </c>
      <c r="D11867" s="4" t="n">
        <v>10</v>
      </c>
      <c r="E11867" s="4"/>
      <c r="F11867" s="4" t="n">
        <v>41</v>
      </c>
      <c r="G11867" s="4" t="n">
        <v>3</v>
      </c>
      <c r="H11867" s="4" t="n">
        <v>4</v>
      </c>
      <c r="I11867" s="4" t="str">
        <v>×</v>
      </c>
      <c r="J11867" s="4"/>
      <c r="K11867" s="4"/>
      <c r="L11867" s="4"/>
      <c r="M11867" s="5" t="s">
        <v>6502</v>
      </c>
    </row>
    <row r="11868" customFormat="false" ht="15.75" hidden="false" customHeight="false" outlineLevel="0" collapsed="false">
      <c r="A11868" s="6" t="n">
        <v>46222</v>
      </c>
      <c r="B11868" s="4" t="s">
        <v>1091</v>
      </c>
      <c r="C11868" s="4" t="n">
        <v>8</v>
      </c>
      <c r="D11868" s="4" t="n">
        <v>11</v>
      </c>
      <c r="E11868" s="4"/>
      <c r="F11868" s="4" t="n">
        <v>13</v>
      </c>
      <c r="G11868" s="4" t="n">
        <v>12</v>
      </c>
      <c r="H11868" s="4" t="n">
        <v>4</v>
      </c>
      <c r="I11868" s="4" t="str">
        <v>×</v>
      </c>
      <c r="J11868" s="4"/>
      <c r="K11868" s="4"/>
      <c r="L11868" s="4"/>
      <c r="M11868" s="5" t="s">
        <v>6502</v>
      </c>
    </row>
    <row r="11869" customFormat="false" ht="15.75" hidden="false" customHeight="false" outlineLevel="0" collapsed="false">
      <c r="A11869" s="6" t="n">
        <v>46222</v>
      </c>
      <c r="B11869" s="4" t="s">
        <v>1091</v>
      </c>
      <c r="C11869" s="4" t="n">
        <v>8</v>
      </c>
      <c r="D11869" s="4" t="n">
        <v>12</v>
      </c>
      <c r="E11869" s="4"/>
      <c r="F11869" s="4" t="n">
        <v>6</v>
      </c>
      <c r="G11869" s="4" t="n">
        <v>14</v>
      </c>
      <c r="H11869" s="4" t="n">
        <v>1</v>
      </c>
      <c r="I11869" s="4" t="str">
        <v>○</v>
      </c>
      <c r="J11869" s="4" t="n">
        <v>1190</v>
      </c>
      <c r="K11869" s="4"/>
      <c r="L11869" s="4"/>
      <c r="M11869" s="5" t="s">
        <v>6502</v>
      </c>
    </row>
    <row r="11870" customFormat="false" ht="15.75" hidden="false" customHeight="false" outlineLevel="0" collapsed="false">
      <c r="A11870" s="6" t="n">
        <v>46222</v>
      </c>
      <c r="B11870" s="4" t="s">
        <v>1091</v>
      </c>
      <c r="C11870" s="4" t="n">
        <v>8</v>
      </c>
      <c r="D11870" s="4" t="n">
        <v>13</v>
      </c>
      <c r="E11870" s="4"/>
      <c r="F11870" s="4" t="n">
        <v>20</v>
      </c>
      <c r="G11870" s="4" t="n">
        <v>8</v>
      </c>
      <c r="H11870" s="4" t="n">
        <v>4</v>
      </c>
      <c r="I11870" s="4" t="str">
        <v>×</v>
      </c>
      <c r="J11870" s="4"/>
      <c r="K11870" s="4"/>
      <c r="L11870" s="4"/>
      <c r="M11870" s="5" t="s">
        <v>6502</v>
      </c>
    </row>
    <row r="11871" customFormat="false" ht="15.75" hidden="false" customHeight="false" outlineLevel="0" collapsed="false">
      <c r="A11871" s="6" t="n">
        <v>46222</v>
      </c>
      <c r="B11871" s="4" t="s">
        <v>1091</v>
      </c>
      <c r="C11871" s="4" t="n">
        <v>8</v>
      </c>
      <c r="D11871" s="4" t="n">
        <v>14</v>
      </c>
      <c r="E11871" s="4"/>
      <c r="F11871" s="4" t="n">
        <v>23</v>
      </c>
      <c r="G11871" s="4" t="n">
        <v>6</v>
      </c>
      <c r="H11871" s="4" t="n">
        <v>2</v>
      </c>
      <c r="I11871" s="4" t="str">
        <v>○</v>
      </c>
      <c r="J11871" s="4" t="n">
        <v>650</v>
      </c>
      <c r="K11871" s="4"/>
      <c r="L11871" s="4"/>
      <c r="M11871" s="5" t="s">
        <v>6502</v>
      </c>
    </row>
    <row r="11872" customFormat="false" ht="15.75" hidden="false" customHeight="false" outlineLevel="0" collapsed="false">
      <c r="A11872" s="6" t="n">
        <v>46222</v>
      </c>
      <c r="B11872" s="4" t="s">
        <v>1091</v>
      </c>
      <c r="C11872" s="4" t="n">
        <v>9</v>
      </c>
      <c r="D11872" s="4" t="n">
        <v>1</v>
      </c>
      <c r="E11872" s="4"/>
      <c r="F11872" s="4" t="n">
        <v>13</v>
      </c>
      <c r="G11872" s="4" t="n">
        <v>8</v>
      </c>
      <c r="H11872" s="4" t="n">
        <v>4</v>
      </c>
      <c r="I11872" s="4" t="str">
        <v>×</v>
      </c>
      <c r="J11872" s="4"/>
      <c r="K11872" s="4"/>
      <c r="L11872" s="4"/>
      <c r="M11872" s="5" t="s">
        <v>6502</v>
      </c>
    </row>
    <row r="11873" customFormat="false" ht="15.75" hidden="false" customHeight="false" outlineLevel="0" collapsed="false">
      <c r="A11873" s="6" t="n">
        <v>46222</v>
      </c>
      <c r="B11873" s="4" t="s">
        <v>1091</v>
      </c>
      <c r="C11873" s="4" t="n">
        <v>9</v>
      </c>
      <c r="D11873" s="4" t="n">
        <v>2</v>
      </c>
      <c r="E11873" s="4"/>
      <c r="F11873" s="4" t="n">
        <v>25</v>
      </c>
      <c r="G11873" s="4" t="n">
        <v>4</v>
      </c>
      <c r="H11873" s="4" t="n">
        <v>4</v>
      </c>
      <c r="I11873" s="4" t="str">
        <v>×</v>
      </c>
      <c r="J11873" s="4"/>
      <c r="K11873" s="4"/>
      <c r="L11873" s="4"/>
      <c r="M11873" s="5" t="s">
        <v>6502</v>
      </c>
    </row>
    <row r="11874" customFormat="false" ht="15.75" hidden="false" customHeight="false" outlineLevel="0" collapsed="false">
      <c r="A11874" s="6" t="n">
        <v>46222</v>
      </c>
      <c r="B11874" s="4" t="s">
        <v>1091</v>
      </c>
      <c r="C11874" s="4" t="n">
        <v>9</v>
      </c>
      <c r="D11874" s="4" t="n">
        <v>3</v>
      </c>
      <c r="E11874" s="4"/>
      <c r="F11874" s="4" t="n">
        <v>66</v>
      </c>
      <c r="G11874" s="4" t="n">
        <v>1</v>
      </c>
      <c r="H11874" s="4" t="n">
        <v>2</v>
      </c>
      <c r="I11874" s="4" t="str">
        <v>○</v>
      </c>
      <c r="J11874" s="4" t="n">
        <v>110</v>
      </c>
      <c r="K11874" s="4"/>
      <c r="L11874" s="4"/>
      <c r="M11874" s="5" t="s">
        <v>6502</v>
      </c>
    </row>
    <row r="11875" customFormat="false" ht="15.75" hidden="false" customHeight="false" outlineLevel="0" collapsed="false">
      <c r="A11875" s="6" t="n">
        <v>46222</v>
      </c>
      <c r="B11875" s="4" t="s">
        <v>1091</v>
      </c>
      <c r="C11875" s="4" t="n">
        <v>9</v>
      </c>
      <c r="D11875" s="4" t="n">
        <v>4</v>
      </c>
      <c r="E11875" s="4"/>
      <c r="F11875" s="4" t="n">
        <v>23</v>
      </c>
      <c r="G11875" s="4" t="n">
        <v>6</v>
      </c>
      <c r="H11875" s="4" t="n">
        <v>4</v>
      </c>
      <c r="I11875" s="4" t="str">
        <v>×</v>
      </c>
      <c r="J11875" s="4"/>
      <c r="K11875" s="4"/>
      <c r="L11875" s="4"/>
      <c r="M11875" s="5" t="s">
        <v>6502</v>
      </c>
    </row>
    <row r="11876" customFormat="false" ht="15.75" hidden="false" customHeight="false" outlineLevel="0" collapsed="false">
      <c r="A11876" s="6" t="n">
        <v>46222</v>
      </c>
      <c r="B11876" s="4" t="s">
        <v>1091</v>
      </c>
      <c r="C11876" s="4" t="n">
        <v>9</v>
      </c>
      <c r="D11876" s="4" t="n">
        <v>5</v>
      </c>
      <c r="E11876" s="4"/>
      <c r="F11876" s="4" t="n">
        <v>17</v>
      </c>
      <c r="G11876" s="4" t="n">
        <v>7</v>
      </c>
      <c r="H11876" s="4" t="n">
        <v>4</v>
      </c>
      <c r="I11876" s="4" t="str">
        <v>×</v>
      </c>
      <c r="J11876" s="4"/>
      <c r="K11876" s="4"/>
      <c r="L11876" s="4"/>
      <c r="M11876" s="5" t="s">
        <v>6502</v>
      </c>
    </row>
    <row r="11877" customFormat="false" ht="15.75" hidden="false" customHeight="false" outlineLevel="0" collapsed="false">
      <c r="A11877" s="6" t="n">
        <v>46222</v>
      </c>
      <c r="B11877" s="4" t="s">
        <v>1091</v>
      </c>
      <c r="C11877" s="4" t="n">
        <v>9</v>
      </c>
      <c r="D11877" s="4" t="n">
        <v>6</v>
      </c>
      <c r="E11877" s="4"/>
      <c r="F11877" s="4" t="n">
        <v>44</v>
      </c>
      <c r="G11877" s="4" t="n">
        <v>2</v>
      </c>
      <c r="H11877" s="4" t="n">
        <v>3</v>
      </c>
      <c r="I11877" s="4" t="str">
        <v>○</v>
      </c>
      <c r="J11877" s="4" t="n">
        <v>130</v>
      </c>
      <c r="K11877" s="4"/>
      <c r="L11877" s="4"/>
      <c r="M11877" s="5" t="s">
        <v>6502</v>
      </c>
    </row>
    <row r="11878" customFormat="false" ht="15.75" hidden="false" customHeight="false" outlineLevel="0" collapsed="false">
      <c r="A11878" s="6" t="n">
        <v>46222</v>
      </c>
      <c r="B11878" s="4" t="s">
        <v>1091</v>
      </c>
      <c r="C11878" s="4" t="n">
        <v>9</v>
      </c>
      <c r="D11878" s="4" t="n">
        <v>7</v>
      </c>
      <c r="E11878" s="4"/>
      <c r="F11878" s="4" t="n">
        <v>25</v>
      </c>
      <c r="G11878" s="4" t="n">
        <v>4</v>
      </c>
      <c r="H11878" s="4" t="n">
        <v>1</v>
      </c>
      <c r="I11878" s="4" t="str">
        <v>○</v>
      </c>
      <c r="J11878" s="4" t="n">
        <v>190</v>
      </c>
      <c r="K11878" s="4"/>
      <c r="L11878" s="4"/>
      <c r="M11878" s="5" t="s">
        <v>6502</v>
      </c>
    </row>
    <row r="11879" customFormat="false" ht="15.75" hidden="false" customHeight="false" outlineLevel="0" collapsed="false">
      <c r="A11879" s="6" t="n">
        <v>46222</v>
      </c>
      <c r="B11879" s="4" t="s">
        <v>1091</v>
      </c>
      <c r="C11879" s="4" t="n">
        <v>9</v>
      </c>
      <c r="D11879" s="4" t="n">
        <v>8</v>
      </c>
      <c r="E11879" s="4"/>
      <c r="F11879" s="4" t="n">
        <v>29</v>
      </c>
      <c r="G11879" s="4" t="n">
        <v>3</v>
      </c>
      <c r="H11879" s="4" t="n">
        <v>4</v>
      </c>
      <c r="I11879" s="4" t="str">
        <v>×</v>
      </c>
      <c r="J11879" s="4"/>
      <c r="K11879" s="4"/>
      <c r="L11879" s="4"/>
      <c r="M11879" s="5" t="s">
        <v>6502</v>
      </c>
    </row>
    <row r="11880" customFormat="false" ht="15.75" hidden="false" customHeight="false" outlineLevel="0" collapsed="false">
      <c r="A11880" s="6" t="n">
        <v>46222</v>
      </c>
      <c r="B11880" s="4" t="s">
        <v>1091</v>
      </c>
      <c r="C11880" s="4" t="n">
        <v>10</v>
      </c>
      <c r="D11880" s="4" t="n">
        <v>1</v>
      </c>
      <c r="E11880" s="4"/>
      <c r="F11880" s="4" t="n">
        <v>41</v>
      </c>
      <c r="G11880" s="4" t="n">
        <v>2</v>
      </c>
      <c r="H11880" s="4" t="n">
        <v>2</v>
      </c>
      <c r="I11880" s="4" t="str">
        <v>○</v>
      </c>
      <c r="J11880" s="4" t="n">
        <v>220</v>
      </c>
      <c r="K11880" s="4"/>
      <c r="L11880" s="4"/>
      <c r="M11880" s="5" t="s">
        <v>6502</v>
      </c>
    </row>
    <row r="11881" customFormat="false" ht="15.75" hidden="false" customHeight="false" outlineLevel="0" collapsed="false">
      <c r="A11881" s="6" t="n">
        <v>46222</v>
      </c>
      <c r="B11881" s="4" t="s">
        <v>1091</v>
      </c>
      <c r="C11881" s="4" t="n">
        <v>10</v>
      </c>
      <c r="D11881" s="4" t="n">
        <v>2</v>
      </c>
      <c r="E11881" s="4"/>
      <c r="F11881" s="4" t="n">
        <v>15</v>
      </c>
      <c r="G11881" s="4" t="n">
        <v>8</v>
      </c>
      <c r="H11881" s="4" t="n">
        <v>4</v>
      </c>
      <c r="I11881" s="4" t="str">
        <v>×</v>
      </c>
      <c r="J11881" s="4"/>
      <c r="K11881" s="4"/>
      <c r="L11881" s="4"/>
      <c r="M11881" s="5" t="s">
        <v>6502</v>
      </c>
    </row>
    <row r="11882" customFormat="false" ht="15.75" hidden="false" customHeight="false" outlineLevel="0" collapsed="false">
      <c r="A11882" s="6" t="n">
        <v>46222</v>
      </c>
      <c r="B11882" s="4" t="s">
        <v>1091</v>
      </c>
      <c r="C11882" s="4" t="n">
        <v>10</v>
      </c>
      <c r="D11882" s="4" t="n">
        <v>3</v>
      </c>
      <c r="E11882" s="4"/>
      <c r="F11882" s="4" t="n">
        <v>10</v>
      </c>
      <c r="G11882" s="4" t="n">
        <v>12</v>
      </c>
      <c r="H11882" s="4" t="n">
        <v>4</v>
      </c>
      <c r="I11882" s="4" t="str">
        <v>×</v>
      </c>
      <c r="J11882" s="4"/>
      <c r="K11882" s="4"/>
      <c r="L11882" s="4"/>
      <c r="M11882" s="5" t="s">
        <v>6502</v>
      </c>
    </row>
    <row r="11883" customFormat="false" ht="15.75" hidden="false" customHeight="false" outlineLevel="0" collapsed="false">
      <c r="A11883" s="6" t="n">
        <v>46222</v>
      </c>
      <c r="B11883" s="4" t="s">
        <v>1091</v>
      </c>
      <c r="C11883" s="4" t="n">
        <v>10</v>
      </c>
      <c r="D11883" s="4" t="n">
        <v>4</v>
      </c>
      <c r="E11883" s="4"/>
      <c r="F11883" s="4" t="n">
        <v>8</v>
      </c>
      <c r="G11883" s="4" t="n">
        <v>14</v>
      </c>
      <c r="H11883" s="4" t="n">
        <v>1</v>
      </c>
      <c r="I11883" s="4" t="str">
        <v>○</v>
      </c>
      <c r="J11883" s="4" t="n">
        <v>560</v>
      </c>
      <c r="K11883" s="4"/>
      <c r="L11883" s="4"/>
      <c r="M11883" s="5" t="s">
        <v>6502</v>
      </c>
    </row>
    <row r="11884" customFormat="false" ht="15.75" hidden="false" customHeight="false" outlineLevel="0" collapsed="false">
      <c r="A11884" s="6" t="n">
        <v>46222</v>
      </c>
      <c r="B11884" s="4" t="s">
        <v>1091</v>
      </c>
      <c r="C11884" s="4" t="n">
        <v>10</v>
      </c>
      <c r="D11884" s="4" t="n">
        <v>5</v>
      </c>
      <c r="E11884" s="4"/>
      <c r="F11884" s="4" t="n">
        <v>13</v>
      </c>
      <c r="G11884" s="4" t="n">
        <v>9</v>
      </c>
      <c r="H11884" s="4" t="n">
        <v>4</v>
      </c>
      <c r="I11884" s="4" t="str">
        <v>×</v>
      </c>
      <c r="J11884" s="4"/>
      <c r="K11884" s="4"/>
      <c r="L11884" s="4"/>
      <c r="M11884" s="5" t="s">
        <v>6502</v>
      </c>
    </row>
    <row r="11885" customFormat="false" ht="15.75" hidden="false" customHeight="false" outlineLevel="0" collapsed="false">
      <c r="A11885" s="6" t="n">
        <v>46222</v>
      </c>
      <c r="B11885" s="4" t="s">
        <v>1091</v>
      </c>
      <c r="C11885" s="4" t="n">
        <v>10</v>
      </c>
      <c r="D11885" s="4" t="n">
        <v>6</v>
      </c>
      <c r="E11885" s="4"/>
      <c r="F11885" s="4" t="n">
        <v>20</v>
      </c>
      <c r="G11885" s="4" t="n">
        <v>6</v>
      </c>
      <c r="H11885" s="4" t="n">
        <v>4</v>
      </c>
      <c r="I11885" s="4" t="str">
        <v>×</v>
      </c>
      <c r="J11885" s="4"/>
      <c r="K11885" s="4"/>
      <c r="L11885" s="4"/>
      <c r="M11885" s="5" t="s">
        <v>6502</v>
      </c>
    </row>
    <row r="11886" customFormat="false" ht="15.75" hidden="false" customHeight="false" outlineLevel="0" collapsed="false">
      <c r="A11886" s="6" t="n">
        <v>46222</v>
      </c>
      <c r="B11886" s="4" t="s">
        <v>1091</v>
      </c>
      <c r="C11886" s="4" t="n">
        <v>10</v>
      </c>
      <c r="D11886" s="4" t="n">
        <v>7</v>
      </c>
      <c r="E11886" s="4"/>
      <c r="F11886" s="4" t="n">
        <v>13</v>
      </c>
      <c r="G11886" s="4" t="n">
        <v>9</v>
      </c>
      <c r="H11886" s="4" t="n">
        <v>3</v>
      </c>
      <c r="I11886" s="4" t="str">
        <v>○</v>
      </c>
      <c r="J11886" s="4" t="n">
        <v>660</v>
      </c>
      <c r="K11886" s="4"/>
      <c r="L11886" s="4"/>
      <c r="M11886" s="5" t="s">
        <v>6502</v>
      </c>
    </row>
    <row r="11887" customFormat="false" ht="15.75" hidden="false" customHeight="false" outlineLevel="0" collapsed="false">
      <c r="A11887" s="6" t="n">
        <v>46222</v>
      </c>
      <c r="B11887" s="4" t="s">
        <v>1091</v>
      </c>
      <c r="C11887" s="4" t="n">
        <v>10</v>
      </c>
      <c r="D11887" s="4" t="n">
        <v>8</v>
      </c>
      <c r="E11887" s="4"/>
      <c r="F11887" s="4" t="n">
        <v>10</v>
      </c>
      <c r="G11887" s="4" t="n">
        <v>12</v>
      </c>
      <c r="H11887" s="4" t="n">
        <v>4</v>
      </c>
      <c r="I11887" s="4" t="str">
        <v>×</v>
      </c>
      <c r="J11887" s="4"/>
      <c r="K11887" s="4"/>
      <c r="L11887" s="4"/>
      <c r="M11887" s="5" t="s">
        <v>6502</v>
      </c>
    </row>
    <row r="11888" customFormat="false" ht="15.75" hidden="false" customHeight="false" outlineLevel="0" collapsed="false">
      <c r="A11888" s="6" t="n">
        <v>46222</v>
      </c>
      <c r="B11888" s="4" t="s">
        <v>1091</v>
      </c>
      <c r="C11888" s="4" t="n">
        <v>10</v>
      </c>
      <c r="D11888" s="4" t="n">
        <v>9</v>
      </c>
      <c r="E11888" s="4"/>
      <c r="F11888" s="4" t="n">
        <v>6</v>
      </c>
      <c r="G11888" s="4" t="n">
        <v>15</v>
      </c>
      <c r="H11888" s="4" t="n">
        <v>4</v>
      </c>
      <c r="I11888" s="4" t="str">
        <v>×</v>
      </c>
      <c r="J11888" s="4"/>
      <c r="K11888" s="4"/>
      <c r="L11888" s="4"/>
      <c r="M11888" s="5" t="s">
        <v>6502</v>
      </c>
    </row>
    <row r="11889" customFormat="false" ht="15.75" hidden="false" customHeight="false" outlineLevel="0" collapsed="false">
      <c r="A11889" s="6" t="n">
        <v>46222</v>
      </c>
      <c r="B11889" s="4" t="s">
        <v>1091</v>
      </c>
      <c r="C11889" s="4" t="n">
        <v>10</v>
      </c>
      <c r="D11889" s="4" t="n">
        <v>10</v>
      </c>
      <c r="E11889" s="4"/>
      <c r="F11889" s="4" t="n">
        <v>13</v>
      </c>
      <c r="G11889" s="4" t="n">
        <v>9</v>
      </c>
      <c r="H11889" s="4" t="n">
        <v>4</v>
      </c>
      <c r="I11889" s="4" t="str">
        <v>×</v>
      </c>
      <c r="J11889" s="4"/>
      <c r="K11889" s="4"/>
      <c r="L11889" s="4"/>
      <c r="M11889" s="5" t="s">
        <v>6502</v>
      </c>
    </row>
    <row r="11890" customFormat="false" ht="15.75" hidden="false" customHeight="false" outlineLevel="0" collapsed="false">
      <c r="A11890" s="6" t="n">
        <v>46222</v>
      </c>
      <c r="B11890" s="4" t="s">
        <v>1091</v>
      </c>
      <c r="C11890" s="4" t="n">
        <v>10</v>
      </c>
      <c r="D11890" s="4" t="n">
        <v>11</v>
      </c>
      <c r="E11890" s="4"/>
      <c r="F11890" s="4" t="n">
        <v>2</v>
      </c>
      <c r="G11890" s="4" t="n">
        <v>16</v>
      </c>
      <c r="H11890" s="4" t="n">
        <v>4</v>
      </c>
      <c r="I11890" s="4" t="str">
        <v>×</v>
      </c>
      <c r="J11890" s="4"/>
      <c r="K11890" s="4"/>
      <c r="L11890" s="4"/>
      <c r="M11890" s="5" t="s">
        <v>6502</v>
      </c>
    </row>
    <row r="11891" customFormat="false" ht="15.75" hidden="false" customHeight="false" outlineLevel="0" collapsed="false">
      <c r="A11891" s="6" t="n">
        <v>46222</v>
      </c>
      <c r="B11891" s="4" t="s">
        <v>1091</v>
      </c>
      <c r="C11891" s="4" t="n">
        <v>10</v>
      </c>
      <c r="D11891" s="4" t="n">
        <v>12</v>
      </c>
      <c r="E11891" s="4"/>
      <c r="F11891" s="4" t="n">
        <v>34</v>
      </c>
      <c r="G11891" s="4" t="n">
        <v>4</v>
      </c>
      <c r="H11891" s="4" t="n">
        <v>4</v>
      </c>
      <c r="I11891" s="4" t="str">
        <v>×</v>
      </c>
      <c r="J11891" s="4"/>
      <c r="K11891" s="4"/>
      <c r="L11891" s="4"/>
      <c r="M11891" s="5" t="s">
        <v>6502</v>
      </c>
    </row>
    <row r="11892" customFormat="false" ht="15.75" hidden="false" customHeight="false" outlineLevel="0" collapsed="false">
      <c r="A11892" s="6" t="n">
        <v>46222</v>
      </c>
      <c r="B11892" s="4" t="s">
        <v>1091</v>
      </c>
      <c r="C11892" s="4" t="n">
        <v>10</v>
      </c>
      <c r="D11892" s="4" t="n">
        <v>13</v>
      </c>
      <c r="E11892" s="4"/>
      <c r="F11892" s="4" t="n">
        <v>44</v>
      </c>
      <c r="G11892" s="4" t="n">
        <v>1</v>
      </c>
      <c r="H11892" s="4" t="n">
        <v>4</v>
      </c>
      <c r="I11892" s="4" t="str">
        <v>×</v>
      </c>
      <c r="J11892" s="4"/>
      <c r="K11892" s="4"/>
      <c r="L11892" s="4"/>
      <c r="M11892" s="5" t="s">
        <v>6502</v>
      </c>
    </row>
    <row r="11893" customFormat="false" ht="15.75" hidden="false" customHeight="false" outlineLevel="0" collapsed="false">
      <c r="A11893" s="6" t="n">
        <v>46222</v>
      </c>
      <c r="B11893" s="4" t="s">
        <v>1091</v>
      </c>
      <c r="C11893" s="4" t="n">
        <v>10</v>
      </c>
      <c r="D11893" s="4" t="n">
        <v>14</v>
      </c>
      <c r="E11893" s="4"/>
      <c r="F11893" s="4" t="n">
        <v>29</v>
      </c>
      <c r="G11893" s="4" t="n">
        <v>5</v>
      </c>
      <c r="H11893" s="4" t="n">
        <v>4</v>
      </c>
      <c r="I11893" s="4" t="str">
        <v>×</v>
      </c>
      <c r="J11893" s="4"/>
      <c r="K11893" s="4"/>
      <c r="L11893" s="4"/>
      <c r="M11893" s="5" t="s">
        <v>6502</v>
      </c>
    </row>
    <row r="11894" customFormat="false" ht="15.75" hidden="false" customHeight="false" outlineLevel="0" collapsed="false">
      <c r="A11894" s="6" t="n">
        <v>46222</v>
      </c>
      <c r="B11894" s="4" t="s">
        <v>1091</v>
      </c>
      <c r="C11894" s="4" t="n">
        <v>10</v>
      </c>
      <c r="D11894" s="4" t="n">
        <v>15</v>
      </c>
      <c r="E11894" s="4"/>
      <c r="F11894" s="4" t="n">
        <v>20</v>
      </c>
      <c r="G11894" s="4" t="n">
        <v>6</v>
      </c>
      <c r="H11894" s="4" t="n">
        <v>4</v>
      </c>
      <c r="I11894" s="4" t="str">
        <v>×</v>
      </c>
      <c r="J11894" s="4"/>
      <c r="K11894" s="4"/>
      <c r="L11894" s="4"/>
      <c r="M11894" s="5" t="s">
        <v>6502</v>
      </c>
    </row>
    <row r="11895" customFormat="false" ht="15.75" hidden="false" customHeight="false" outlineLevel="0" collapsed="false">
      <c r="A11895" s="6" t="n">
        <v>46222</v>
      </c>
      <c r="B11895" s="4" t="s">
        <v>1091</v>
      </c>
      <c r="C11895" s="4" t="n">
        <v>10</v>
      </c>
      <c r="D11895" s="4" t="n">
        <v>16</v>
      </c>
      <c r="E11895" s="4"/>
      <c r="F11895" s="4" t="n">
        <v>37</v>
      </c>
      <c r="G11895" s="4" t="n">
        <v>3</v>
      </c>
      <c r="H11895" s="4" t="n">
        <v>4</v>
      </c>
      <c r="I11895" s="4" t="str">
        <v>×</v>
      </c>
      <c r="J11895" s="4"/>
      <c r="K11895" s="4"/>
      <c r="L11895" s="4"/>
      <c r="M11895" s="5" t="s">
        <v>6502</v>
      </c>
    </row>
    <row r="11896" customFormat="false" ht="15.75" hidden="false" customHeight="false" outlineLevel="0" collapsed="false">
      <c r="A11896" s="6" t="n">
        <v>46222</v>
      </c>
      <c r="B11896" s="4" t="s">
        <v>1091</v>
      </c>
      <c r="C11896" s="4" t="n">
        <v>11</v>
      </c>
      <c r="D11896" s="4" t="n">
        <v>1</v>
      </c>
      <c r="E11896" s="4"/>
      <c r="F11896" s="4" t="n">
        <v>3</v>
      </c>
      <c r="G11896" s="4" t="n">
        <v>13</v>
      </c>
      <c r="H11896" s="4" t="n">
        <v>1</v>
      </c>
      <c r="I11896" s="4" t="str">
        <v>○</v>
      </c>
      <c r="J11896" s="4" t="n">
        <v>600</v>
      </c>
      <c r="K11896" s="4"/>
      <c r="L11896" s="4"/>
      <c r="M11896" s="5" t="s">
        <v>6502</v>
      </c>
    </row>
    <row r="11897" customFormat="false" ht="15.75" hidden="false" customHeight="false" outlineLevel="0" collapsed="false">
      <c r="A11897" s="6" t="n">
        <v>46222</v>
      </c>
      <c r="B11897" s="4" t="s">
        <v>1091</v>
      </c>
      <c r="C11897" s="4" t="n">
        <v>11</v>
      </c>
      <c r="D11897" s="4" t="n">
        <v>2</v>
      </c>
      <c r="E11897" s="4"/>
      <c r="F11897" s="4" t="n">
        <v>23</v>
      </c>
      <c r="G11897" s="4" t="n">
        <v>6</v>
      </c>
      <c r="H11897" s="4" t="n">
        <v>4</v>
      </c>
      <c r="I11897" s="4" t="str">
        <v>×</v>
      </c>
      <c r="J11897" s="4"/>
      <c r="K11897" s="4"/>
      <c r="L11897" s="4"/>
      <c r="M11897" s="5" t="s">
        <v>6502</v>
      </c>
    </row>
    <row r="11898" customFormat="false" ht="15.75" hidden="false" customHeight="false" outlineLevel="0" collapsed="false">
      <c r="A11898" s="6" t="n">
        <v>46222</v>
      </c>
      <c r="B11898" s="4" t="s">
        <v>1091</v>
      </c>
      <c r="C11898" s="4" t="n">
        <v>11</v>
      </c>
      <c r="D11898" s="4" t="n">
        <v>3</v>
      </c>
      <c r="E11898" s="4"/>
      <c r="F11898" s="4" t="n">
        <v>13</v>
      </c>
      <c r="G11898" s="4" t="n">
        <v>8</v>
      </c>
      <c r="H11898" s="4" t="n">
        <v>4</v>
      </c>
      <c r="I11898" s="4" t="str">
        <v>×</v>
      </c>
      <c r="J11898" s="4"/>
      <c r="K11898" s="4"/>
      <c r="L11898" s="4"/>
      <c r="M11898" s="5" t="s">
        <v>6502</v>
      </c>
    </row>
    <row r="11899" customFormat="false" ht="15.75" hidden="false" customHeight="false" outlineLevel="0" collapsed="false">
      <c r="A11899" s="6" t="n">
        <v>46222</v>
      </c>
      <c r="B11899" s="4" t="s">
        <v>1091</v>
      </c>
      <c r="C11899" s="4" t="n">
        <v>11</v>
      </c>
      <c r="D11899" s="4" t="n">
        <v>4</v>
      </c>
      <c r="E11899" s="4"/>
      <c r="F11899" s="4" t="n">
        <v>1</v>
      </c>
      <c r="G11899" s="4" t="n">
        <v>17</v>
      </c>
      <c r="H11899" s="4" t="n">
        <v>4</v>
      </c>
      <c r="I11899" s="4" t="str">
        <v>×</v>
      </c>
      <c r="J11899" s="4"/>
      <c r="K11899" s="4"/>
      <c r="L11899" s="4"/>
      <c r="M11899" s="5" t="s">
        <v>6502</v>
      </c>
    </row>
    <row r="11900" customFormat="false" ht="15.75" hidden="false" customHeight="false" outlineLevel="0" collapsed="false">
      <c r="A11900" s="6" t="n">
        <v>46222</v>
      </c>
      <c r="B11900" s="4" t="s">
        <v>1091</v>
      </c>
      <c r="C11900" s="4" t="n">
        <v>11</v>
      </c>
      <c r="D11900" s="4" t="n">
        <v>5</v>
      </c>
      <c r="E11900" s="4"/>
      <c r="F11900" s="4" t="n">
        <v>29</v>
      </c>
      <c r="G11900" s="4" t="n">
        <v>5</v>
      </c>
      <c r="H11900" s="4" t="n">
        <v>4</v>
      </c>
      <c r="I11900" s="4" t="str">
        <v>×</v>
      </c>
      <c r="J11900" s="4"/>
      <c r="K11900" s="4"/>
      <c r="L11900" s="4"/>
      <c r="M11900" s="5" t="s">
        <v>6502</v>
      </c>
    </row>
    <row r="11901" customFormat="false" ht="15.75" hidden="false" customHeight="false" outlineLevel="0" collapsed="false">
      <c r="A11901" s="6" t="n">
        <v>46222</v>
      </c>
      <c r="B11901" s="4" t="s">
        <v>1091</v>
      </c>
      <c r="C11901" s="4" t="n">
        <v>11</v>
      </c>
      <c r="D11901" s="4" t="n">
        <v>6</v>
      </c>
      <c r="E11901" s="4"/>
      <c r="F11901" s="4" t="n">
        <v>41</v>
      </c>
      <c r="G11901" s="4" t="n">
        <v>4</v>
      </c>
      <c r="H11901" s="4" t="n">
        <v>4</v>
      </c>
      <c r="I11901" s="4" t="str">
        <v>×</v>
      </c>
      <c r="J11901" s="4"/>
      <c r="K11901" s="4"/>
      <c r="L11901" s="4"/>
      <c r="M11901" s="5" t="s">
        <v>6502</v>
      </c>
    </row>
    <row r="11902" customFormat="false" ht="15.75" hidden="false" customHeight="false" outlineLevel="0" collapsed="false">
      <c r="A11902" s="6" t="n">
        <v>46222</v>
      </c>
      <c r="B11902" s="4" t="s">
        <v>1091</v>
      </c>
      <c r="C11902" s="4" t="n">
        <v>11</v>
      </c>
      <c r="D11902" s="4" t="n">
        <v>7</v>
      </c>
      <c r="E11902" s="4"/>
      <c r="F11902" s="4" t="n">
        <v>3</v>
      </c>
      <c r="G11902" s="4" t="n">
        <v>13</v>
      </c>
      <c r="H11902" s="4" t="n">
        <v>4</v>
      </c>
      <c r="I11902" s="4" t="str">
        <v>×</v>
      </c>
      <c r="J11902" s="4"/>
      <c r="K11902" s="4"/>
      <c r="L11902" s="4"/>
      <c r="M11902" s="5" t="s">
        <v>6502</v>
      </c>
    </row>
    <row r="11903" customFormat="false" ht="15.75" hidden="false" customHeight="false" outlineLevel="0" collapsed="false">
      <c r="A11903" s="6" t="n">
        <v>46222</v>
      </c>
      <c r="B11903" s="4" t="s">
        <v>1091</v>
      </c>
      <c r="C11903" s="4" t="n">
        <v>11</v>
      </c>
      <c r="D11903" s="4" t="n">
        <v>8</v>
      </c>
      <c r="E11903" s="4"/>
      <c r="F11903" s="4" t="n">
        <v>15</v>
      </c>
      <c r="G11903" s="4" t="n">
        <v>7</v>
      </c>
      <c r="H11903" s="4" t="n">
        <v>4</v>
      </c>
      <c r="I11903" s="4" t="str">
        <v>×</v>
      </c>
      <c r="J11903" s="4"/>
      <c r="K11903" s="4"/>
      <c r="L11903" s="4"/>
      <c r="M11903" s="5" t="s">
        <v>6502</v>
      </c>
    </row>
    <row r="11904" customFormat="false" ht="15.75" hidden="false" customHeight="false" outlineLevel="0" collapsed="false">
      <c r="A11904" s="6" t="n">
        <v>46222</v>
      </c>
      <c r="B11904" s="4" t="s">
        <v>1091</v>
      </c>
      <c r="C11904" s="4" t="n">
        <v>11</v>
      </c>
      <c r="D11904" s="4" t="n">
        <v>9</v>
      </c>
      <c r="E11904" s="4"/>
      <c r="F11904" s="4" t="n">
        <v>44</v>
      </c>
      <c r="G11904" s="4" t="n">
        <v>3</v>
      </c>
      <c r="H11904" s="4" t="n">
        <v>4</v>
      </c>
      <c r="I11904" s="4" t="str">
        <v>×</v>
      </c>
      <c r="J11904" s="4"/>
      <c r="K11904" s="4"/>
      <c r="L11904" s="4"/>
      <c r="M11904" s="5" t="s">
        <v>6502</v>
      </c>
    </row>
    <row r="11905" customFormat="false" ht="15.75" hidden="false" customHeight="false" outlineLevel="0" collapsed="false">
      <c r="A11905" s="6" t="n">
        <v>46222</v>
      </c>
      <c r="B11905" s="4" t="s">
        <v>1091</v>
      </c>
      <c r="C11905" s="4" t="n">
        <v>11</v>
      </c>
      <c r="D11905" s="4" t="n">
        <v>10</v>
      </c>
      <c r="E11905" s="4"/>
      <c r="F11905" s="4" t="n">
        <v>6</v>
      </c>
      <c r="G11905" s="4" t="n">
        <v>11</v>
      </c>
      <c r="H11905" s="4" t="n">
        <v>4</v>
      </c>
      <c r="I11905" s="4" t="str">
        <v>×</v>
      </c>
      <c r="J11905" s="4"/>
      <c r="K11905" s="4"/>
      <c r="L11905" s="4"/>
      <c r="M11905" s="5" t="s">
        <v>6502</v>
      </c>
    </row>
    <row r="11906" customFormat="false" ht="15.75" hidden="false" customHeight="false" outlineLevel="0" collapsed="false">
      <c r="A11906" s="6" t="n">
        <v>46222</v>
      </c>
      <c r="B11906" s="4" t="s">
        <v>1091</v>
      </c>
      <c r="C11906" s="4" t="n">
        <v>11</v>
      </c>
      <c r="D11906" s="4" t="n">
        <v>11</v>
      </c>
      <c r="E11906" s="4"/>
      <c r="F11906" s="4" t="n">
        <v>3</v>
      </c>
      <c r="G11906" s="4" t="n">
        <v>13</v>
      </c>
      <c r="H11906" s="4" t="n">
        <v>4</v>
      </c>
      <c r="I11906" s="4" t="str">
        <v>×</v>
      </c>
      <c r="J11906" s="4"/>
      <c r="K11906" s="4"/>
      <c r="L11906" s="4"/>
      <c r="M11906" s="5" t="s">
        <v>6502</v>
      </c>
    </row>
    <row r="11907" customFormat="false" ht="15.75" hidden="false" customHeight="false" outlineLevel="0" collapsed="false">
      <c r="A11907" s="6" t="n">
        <v>46222</v>
      </c>
      <c r="B11907" s="4" t="s">
        <v>1091</v>
      </c>
      <c r="C11907" s="4" t="n">
        <v>11</v>
      </c>
      <c r="D11907" s="4" t="n">
        <v>12</v>
      </c>
      <c r="E11907" s="4"/>
      <c r="F11907" s="4" t="n">
        <v>4</v>
      </c>
      <c r="G11907" s="4" t="n">
        <v>12</v>
      </c>
      <c r="H11907" s="4" t="n">
        <v>4</v>
      </c>
      <c r="I11907" s="4" t="str">
        <v>×</v>
      </c>
      <c r="J11907" s="4"/>
      <c r="K11907" s="4"/>
      <c r="L11907" s="4"/>
      <c r="M11907" s="5" t="s">
        <v>6502</v>
      </c>
    </row>
    <row r="11908" customFormat="false" ht="15.75" hidden="false" customHeight="false" outlineLevel="0" collapsed="false">
      <c r="A11908" s="6" t="n">
        <v>46222</v>
      </c>
      <c r="B11908" s="4" t="s">
        <v>1091</v>
      </c>
      <c r="C11908" s="4" t="n">
        <v>11</v>
      </c>
      <c r="D11908" s="4" t="n">
        <v>13</v>
      </c>
      <c r="E11908" s="4"/>
      <c r="F11908" s="4" t="n">
        <v>10</v>
      </c>
      <c r="G11908" s="4" t="n">
        <v>9</v>
      </c>
      <c r="H11908" s="4" t="n">
        <v>4</v>
      </c>
      <c r="I11908" s="4" t="str">
        <v>×</v>
      </c>
      <c r="J11908" s="4"/>
      <c r="K11908" s="4"/>
      <c r="L11908" s="4"/>
      <c r="M11908" s="5" t="s">
        <v>6502</v>
      </c>
    </row>
    <row r="11909" customFormat="false" ht="15.75" hidden="false" customHeight="false" outlineLevel="0" collapsed="false">
      <c r="A11909" s="6" t="n">
        <v>46222</v>
      </c>
      <c r="B11909" s="4" t="s">
        <v>1091</v>
      </c>
      <c r="C11909" s="4" t="n">
        <v>11</v>
      </c>
      <c r="D11909" s="4" t="n">
        <v>14</v>
      </c>
      <c r="E11909" s="4"/>
      <c r="F11909" s="4" t="n">
        <v>47</v>
      </c>
      <c r="G11909" s="4" t="n">
        <v>2</v>
      </c>
      <c r="H11909" s="4" t="n">
        <v>4</v>
      </c>
      <c r="I11909" s="4" t="str">
        <v>×</v>
      </c>
      <c r="J11909" s="4"/>
      <c r="K11909" s="4"/>
      <c r="L11909" s="4"/>
      <c r="M11909" s="5" t="s">
        <v>6502</v>
      </c>
    </row>
    <row r="11910" customFormat="false" ht="15.75" hidden="false" customHeight="false" outlineLevel="0" collapsed="false">
      <c r="A11910" s="6" t="n">
        <v>46222</v>
      </c>
      <c r="B11910" s="4" t="s">
        <v>1091</v>
      </c>
      <c r="C11910" s="4" t="n">
        <v>11</v>
      </c>
      <c r="D11910" s="4" t="n">
        <v>15</v>
      </c>
      <c r="E11910" s="4"/>
      <c r="F11910" s="4" t="n">
        <v>2</v>
      </c>
      <c r="G11910" s="4" t="n">
        <v>16</v>
      </c>
      <c r="H11910" s="4" t="n">
        <v>4</v>
      </c>
      <c r="I11910" s="4" t="str">
        <v>×</v>
      </c>
      <c r="J11910" s="4"/>
      <c r="K11910" s="4"/>
      <c r="L11910" s="4"/>
      <c r="M11910" s="5" t="s">
        <v>6502</v>
      </c>
    </row>
    <row r="11911" customFormat="false" ht="15.75" hidden="false" customHeight="false" outlineLevel="0" collapsed="false">
      <c r="A11911" s="6" t="n">
        <v>46222</v>
      </c>
      <c r="B11911" s="4" t="s">
        <v>1091</v>
      </c>
      <c r="C11911" s="4" t="n">
        <v>11</v>
      </c>
      <c r="D11911" s="4" t="n">
        <v>16</v>
      </c>
      <c r="E11911" s="4"/>
      <c r="F11911" s="4" t="n">
        <v>1</v>
      </c>
      <c r="G11911" s="4" t="n">
        <v>17</v>
      </c>
      <c r="H11911" s="4" t="n">
        <v>4</v>
      </c>
      <c r="I11911" s="4" t="str">
        <v>×</v>
      </c>
      <c r="J11911" s="4"/>
      <c r="K11911" s="4"/>
      <c r="L11911" s="4"/>
      <c r="M11911" s="5" t="s">
        <v>6502</v>
      </c>
    </row>
    <row r="11912" customFormat="false" ht="15.75" hidden="false" customHeight="false" outlineLevel="0" collapsed="false">
      <c r="A11912" s="6" t="n">
        <v>46222</v>
      </c>
      <c r="B11912" s="4" t="s">
        <v>1091</v>
      </c>
      <c r="C11912" s="4" t="n">
        <v>11</v>
      </c>
      <c r="D11912" s="4" t="n">
        <v>17</v>
      </c>
      <c r="E11912" s="4"/>
      <c r="F11912" s="4" t="n">
        <v>50</v>
      </c>
      <c r="G11912" s="4" t="n">
        <v>1</v>
      </c>
      <c r="H11912" s="4" t="n">
        <v>2</v>
      </c>
      <c r="I11912" s="4" t="str">
        <v>○</v>
      </c>
      <c r="J11912" s="4" t="n">
        <v>150</v>
      </c>
      <c r="K11912" s="4"/>
      <c r="L11912" s="4"/>
      <c r="M11912" s="5" t="s">
        <v>6502</v>
      </c>
    </row>
    <row r="11913" customFormat="false" ht="15.75" hidden="false" customHeight="false" outlineLevel="0" collapsed="false">
      <c r="A11913" s="6" t="n">
        <v>46222</v>
      </c>
      <c r="B11913" s="4" t="s">
        <v>1091</v>
      </c>
      <c r="C11913" s="4" t="n">
        <v>11</v>
      </c>
      <c r="D11913" s="4" t="n">
        <v>18</v>
      </c>
      <c r="E11913" s="4"/>
      <c r="F11913" s="4" t="n">
        <v>10</v>
      </c>
      <c r="G11913" s="4" t="n">
        <v>9</v>
      </c>
      <c r="H11913" s="4" t="n">
        <v>3</v>
      </c>
      <c r="I11913" s="4" t="str">
        <v>○</v>
      </c>
      <c r="J11913" s="4" t="n">
        <v>420</v>
      </c>
      <c r="K11913" s="4"/>
      <c r="L11913" s="4"/>
      <c r="M11913" s="5" t="s">
        <v>6502</v>
      </c>
    </row>
    <row r="11914" customFormat="false" ht="15.75" hidden="false" customHeight="false" outlineLevel="0" collapsed="false">
      <c r="A11914" s="6" t="n">
        <v>46222</v>
      </c>
      <c r="B11914" s="4" t="s">
        <v>1091</v>
      </c>
      <c r="C11914" s="4" t="n">
        <v>12</v>
      </c>
      <c r="D11914" s="4" t="n">
        <v>1</v>
      </c>
      <c r="E11914" s="4"/>
      <c r="F11914" s="4" t="n">
        <v>8</v>
      </c>
      <c r="G11914" s="4" t="n">
        <v>8</v>
      </c>
      <c r="H11914" s="4" t="n">
        <v>4</v>
      </c>
      <c r="I11914" s="4" t="str">
        <v>×</v>
      </c>
      <c r="J11914" s="4"/>
      <c r="K11914" s="4"/>
      <c r="L11914" s="4"/>
      <c r="M11914" s="5" t="s">
        <v>6502</v>
      </c>
    </row>
    <row r="11915" customFormat="false" ht="15.75" hidden="false" customHeight="false" outlineLevel="0" collapsed="false">
      <c r="A11915" s="6" t="n">
        <v>46222</v>
      </c>
      <c r="B11915" s="4" t="s">
        <v>1091</v>
      </c>
      <c r="C11915" s="4" t="n">
        <v>12</v>
      </c>
      <c r="D11915" s="4" t="n">
        <v>2</v>
      </c>
      <c r="E11915" s="4"/>
      <c r="F11915" s="4" t="n">
        <v>13</v>
      </c>
      <c r="G11915" s="4" t="n">
        <v>6</v>
      </c>
      <c r="H11915" s="4" t="n">
        <v>2</v>
      </c>
      <c r="I11915" s="4" t="str">
        <v>○</v>
      </c>
      <c r="J11915" s="4" t="n">
        <v>340</v>
      </c>
      <c r="K11915" s="4"/>
      <c r="L11915" s="4"/>
      <c r="M11915" s="5" t="s">
        <v>6502</v>
      </c>
    </row>
    <row r="11916" customFormat="false" ht="15.75" hidden="false" customHeight="false" outlineLevel="0" collapsed="false">
      <c r="A11916" s="6" t="n">
        <v>46222</v>
      </c>
      <c r="B11916" s="4" t="s">
        <v>1091</v>
      </c>
      <c r="C11916" s="4" t="n">
        <v>12</v>
      </c>
      <c r="D11916" s="4" t="n">
        <v>3</v>
      </c>
      <c r="E11916" s="4"/>
      <c r="F11916" s="4" t="n">
        <v>8</v>
      </c>
      <c r="G11916" s="4" t="n">
        <v>8</v>
      </c>
      <c r="H11916" s="4" t="n">
        <v>4</v>
      </c>
      <c r="I11916" s="4" t="str">
        <v>×</v>
      </c>
      <c r="J11916" s="4"/>
      <c r="K11916" s="4"/>
      <c r="L11916" s="4"/>
      <c r="M11916" s="5" t="s">
        <v>6502</v>
      </c>
    </row>
    <row r="11917" customFormat="false" ht="15.75" hidden="false" customHeight="false" outlineLevel="0" collapsed="false">
      <c r="A11917" s="6" t="n">
        <v>46222</v>
      </c>
      <c r="B11917" s="4" t="s">
        <v>1091</v>
      </c>
      <c r="C11917" s="4" t="n">
        <v>12</v>
      </c>
      <c r="D11917" s="4" t="n">
        <v>4</v>
      </c>
      <c r="E11917" s="4"/>
      <c r="F11917" s="4" t="n">
        <v>60</v>
      </c>
      <c r="G11917" s="4" t="n">
        <v>2</v>
      </c>
      <c r="H11917" s="4" t="n">
        <v>3</v>
      </c>
      <c r="I11917" s="4" t="str">
        <v>○</v>
      </c>
      <c r="J11917" s="4" t="n">
        <v>120</v>
      </c>
      <c r="K11917" s="4"/>
      <c r="L11917" s="4"/>
      <c r="M11917" s="5" t="s">
        <v>6502</v>
      </c>
    </row>
    <row r="11918" customFormat="false" ht="15.75" hidden="false" customHeight="false" outlineLevel="0" collapsed="false">
      <c r="A11918" s="6" t="n">
        <v>46222</v>
      </c>
      <c r="B11918" s="4" t="s">
        <v>1091</v>
      </c>
      <c r="C11918" s="4" t="n">
        <v>12</v>
      </c>
      <c r="D11918" s="4" t="n">
        <v>5</v>
      </c>
      <c r="E11918" s="4"/>
      <c r="F11918" s="4" t="n">
        <v>34</v>
      </c>
      <c r="G11918" s="4" t="n">
        <v>3</v>
      </c>
      <c r="H11918" s="4" t="n">
        <v>4</v>
      </c>
      <c r="I11918" s="4" t="str">
        <v>×</v>
      </c>
      <c r="J11918" s="4"/>
      <c r="K11918" s="4"/>
      <c r="L11918" s="4"/>
      <c r="M11918" s="5" t="s">
        <v>6502</v>
      </c>
    </row>
    <row r="11919" customFormat="false" ht="15.75" hidden="false" customHeight="false" outlineLevel="0" collapsed="false">
      <c r="A11919" s="6" t="n">
        <v>46222</v>
      </c>
      <c r="B11919" s="4" t="s">
        <v>1091</v>
      </c>
      <c r="C11919" s="4" t="n">
        <v>12</v>
      </c>
      <c r="D11919" s="4" t="n">
        <v>6</v>
      </c>
      <c r="E11919" s="4"/>
      <c r="F11919" s="4" t="n">
        <v>10</v>
      </c>
      <c r="G11919" s="4" t="n">
        <v>7</v>
      </c>
      <c r="H11919" s="4" t="n">
        <v>4</v>
      </c>
      <c r="I11919" s="4" t="str">
        <v>×</v>
      </c>
      <c r="J11919" s="4"/>
      <c r="K11919" s="4"/>
      <c r="L11919" s="4"/>
      <c r="M11919" s="5" t="s">
        <v>6502</v>
      </c>
    </row>
    <row r="11920" customFormat="false" ht="15.75" hidden="false" customHeight="false" outlineLevel="0" collapsed="false">
      <c r="A11920" s="6" t="n">
        <v>46222</v>
      </c>
      <c r="B11920" s="4" t="s">
        <v>1091</v>
      </c>
      <c r="C11920" s="4" t="n">
        <v>12</v>
      </c>
      <c r="D11920" s="4" t="n">
        <v>7</v>
      </c>
      <c r="E11920" s="4"/>
      <c r="F11920" s="4" t="n">
        <v>65</v>
      </c>
      <c r="G11920" s="4" t="n">
        <v>1</v>
      </c>
      <c r="H11920" s="4" t="n">
        <v>1</v>
      </c>
      <c r="I11920" s="4" t="str">
        <v>○</v>
      </c>
      <c r="J11920" s="4" t="n">
        <v>110</v>
      </c>
      <c r="K11920" s="4"/>
      <c r="L11920" s="4"/>
      <c r="M11920" s="5" t="s">
        <v>6502</v>
      </c>
    </row>
    <row r="11921" customFormat="false" ht="15.75" hidden="false" customHeight="false" outlineLevel="0" collapsed="false">
      <c r="A11921" s="6" t="n">
        <v>46222</v>
      </c>
      <c r="B11921" s="4" t="s">
        <v>1091</v>
      </c>
      <c r="C11921" s="4" t="n">
        <v>12</v>
      </c>
      <c r="D11921" s="4" t="n">
        <v>8</v>
      </c>
      <c r="E11921" s="4"/>
      <c r="F11921" s="4" t="n">
        <v>29</v>
      </c>
      <c r="G11921" s="4" t="n">
        <v>4</v>
      </c>
      <c r="H11921" s="4" t="n">
        <v>4</v>
      </c>
      <c r="I11921" s="4" t="str">
        <v>×</v>
      </c>
      <c r="J11921" s="4"/>
      <c r="K11921" s="4"/>
      <c r="L11921" s="4"/>
      <c r="M11921" s="5" t="s">
        <v>6502</v>
      </c>
    </row>
    <row r="11922" customFormat="false" ht="15.75" hidden="false" customHeight="false" outlineLevel="0" collapsed="false">
      <c r="A11922" s="6" t="n">
        <v>46222</v>
      </c>
      <c r="B11922" s="4" t="s">
        <v>1091</v>
      </c>
      <c r="C11922" s="4" t="n">
        <v>12</v>
      </c>
      <c r="D11922" s="4" t="n">
        <v>9</v>
      </c>
      <c r="E11922" s="4"/>
      <c r="F11922" s="4" t="n">
        <v>23</v>
      </c>
      <c r="G11922" s="4" t="n">
        <v>5</v>
      </c>
      <c r="H11922" s="4" t="n">
        <v>4</v>
      </c>
      <c r="I11922" s="4" t="str">
        <v>×</v>
      </c>
      <c r="J11922" s="4"/>
      <c r="K11922" s="4"/>
      <c r="L11922" s="4"/>
      <c r="M11922" s="5" t="s">
        <v>6502</v>
      </c>
    </row>
    <row r="11923" customFormat="false" ht="15.75" hidden="false" customHeight="false" outlineLevel="0" collapsed="false">
      <c r="A11923" s="6" t="n">
        <v>46222</v>
      </c>
      <c r="B11923" s="4" t="s">
        <v>915</v>
      </c>
      <c r="C11923" s="4" t="n">
        <v>1</v>
      </c>
      <c r="D11923" s="4" t="n">
        <v>1</v>
      </c>
      <c r="E11923" s="4"/>
      <c r="F11923" s="4" t="n">
        <v>81</v>
      </c>
      <c r="G11923" s="4" t="n">
        <v>1</v>
      </c>
      <c r="H11923" s="4" t="n">
        <v>1</v>
      </c>
      <c r="I11923" s="4" t="str">
        <v>○</v>
      </c>
      <c r="J11923" s="4" t="n">
        <v>110</v>
      </c>
      <c r="K11923" s="4"/>
      <c r="L11923" s="4"/>
      <c r="M11923" s="5" t="s">
        <v>6502</v>
      </c>
    </row>
    <row r="11924" customFormat="false" ht="15.75" hidden="false" customHeight="false" outlineLevel="0" collapsed="false">
      <c r="A11924" s="6" t="n">
        <v>46222</v>
      </c>
      <c r="B11924" s="4" t="s">
        <v>915</v>
      </c>
      <c r="C11924" s="4" t="n">
        <v>1</v>
      </c>
      <c r="D11924" s="4" t="n">
        <v>2</v>
      </c>
      <c r="E11924" s="4"/>
      <c r="F11924" s="4" t="n">
        <v>17</v>
      </c>
      <c r="G11924" s="4" t="n">
        <v>4</v>
      </c>
      <c r="H11924" s="4" t="n">
        <v>4</v>
      </c>
      <c r="I11924" s="4" t="str">
        <v>×</v>
      </c>
      <c r="J11924" s="4"/>
      <c r="K11924" s="4"/>
      <c r="L11924" s="4"/>
      <c r="M11924" s="5" t="s">
        <v>6502</v>
      </c>
    </row>
    <row r="11925" customFormat="false" ht="15.75" hidden="false" customHeight="false" outlineLevel="0" collapsed="false">
      <c r="A11925" s="6" t="n">
        <v>46222</v>
      </c>
      <c r="B11925" s="4" t="s">
        <v>915</v>
      </c>
      <c r="C11925" s="4" t="n">
        <v>1</v>
      </c>
      <c r="D11925" s="4" t="n">
        <v>3</v>
      </c>
      <c r="E11925" s="4"/>
      <c r="F11925" s="4" t="n">
        <v>17</v>
      </c>
      <c r="G11925" s="4" t="n">
        <v>4</v>
      </c>
      <c r="H11925" s="4" t="n">
        <v>4</v>
      </c>
      <c r="I11925" s="4" t="str">
        <v>×</v>
      </c>
      <c r="J11925" s="4"/>
      <c r="K11925" s="4"/>
      <c r="L11925" s="4"/>
      <c r="M11925" s="5" t="s">
        <v>6502</v>
      </c>
    </row>
    <row r="11926" customFormat="false" ht="15.75" hidden="false" customHeight="false" outlineLevel="0" collapsed="false">
      <c r="A11926" s="6" t="n">
        <v>46222</v>
      </c>
      <c r="B11926" s="4" t="s">
        <v>915</v>
      </c>
      <c r="C11926" s="4" t="n">
        <v>1</v>
      </c>
      <c r="D11926" s="4" t="n">
        <v>4</v>
      </c>
      <c r="E11926" s="4"/>
      <c r="F11926" s="4" t="n">
        <v>8</v>
      </c>
      <c r="G11926" s="4" t="n">
        <v>7</v>
      </c>
      <c r="H11926" s="4" t="n">
        <v>4</v>
      </c>
      <c r="I11926" s="4" t="str">
        <v>×</v>
      </c>
      <c r="J11926" s="4"/>
      <c r="K11926" s="4"/>
      <c r="L11926" s="4"/>
      <c r="M11926" s="5" t="s">
        <v>6502</v>
      </c>
    </row>
    <row r="11927" customFormat="false" ht="15.75" hidden="false" customHeight="false" outlineLevel="0" collapsed="false">
      <c r="A11927" s="6" t="n">
        <v>46222</v>
      </c>
      <c r="B11927" s="4" t="s">
        <v>915</v>
      </c>
      <c r="C11927" s="4" t="n">
        <v>1</v>
      </c>
      <c r="D11927" s="4" t="n">
        <v>5</v>
      </c>
      <c r="E11927" s="4"/>
      <c r="F11927" s="4" t="n">
        <v>6</v>
      </c>
      <c r="G11927" s="4" t="n">
        <v>8</v>
      </c>
      <c r="H11927" s="4" t="n">
        <v>4</v>
      </c>
      <c r="I11927" s="4" t="str">
        <v>×</v>
      </c>
      <c r="J11927" s="4"/>
      <c r="K11927" s="4"/>
      <c r="L11927" s="4"/>
      <c r="M11927" s="5" t="s">
        <v>6502</v>
      </c>
    </row>
    <row r="11928" customFormat="false" ht="15.75" hidden="false" customHeight="false" outlineLevel="0" collapsed="false">
      <c r="A11928" s="6" t="n">
        <v>46222</v>
      </c>
      <c r="B11928" s="4" t="s">
        <v>915</v>
      </c>
      <c r="C11928" s="4" t="n">
        <v>1</v>
      </c>
      <c r="D11928" s="4" t="n">
        <v>6</v>
      </c>
      <c r="E11928" s="4"/>
      <c r="F11928" s="4" t="n">
        <v>25</v>
      </c>
      <c r="G11928" s="4" t="n">
        <v>3</v>
      </c>
      <c r="H11928" s="4" t="n">
        <v>2</v>
      </c>
      <c r="I11928" s="4" t="str">
        <v>○</v>
      </c>
      <c r="J11928" s="4" t="n">
        <v>180</v>
      </c>
      <c r="K11928" s="4"/>
      <c r="L11928" s="4"/>
      <c r="M11928" s="5" t="s">
        <v>6502</v>
      </c>
    </row>
    <row r="11929" customFormat="false" ht="15.75" hidden="false" customHeight="false" outlineLevel="0" collapsed="false">
      <c r="A11929" s="6" t="n">
        <v>46222</v>
      </c>
      <c r="B11929" s="4" t="s">
        <v>915</v>
      </c>
      <c r="C11929" s="4" t="n">
        <v>1</v>
      </c>
      <c r="D11929" s="4" t="n">
        <v>7</v>
      </c>
      <c r="E11929" s="4"/>
      <c r="F11929" s="4" t="n">
        <v>2</v>
      </c>
      <c r="G11929" s="4" t="n">
        <v>10</v>
      </c>
      <c r="H11929" s="4" t="n">
        <v>4</v>
      </c>
      <c r="I11929" s="4" t="str">
        <v>×</v>
      </c>
      <c r="J11929" s="4"/>
      <c r="K11929" s="4"/>
      <c r="L11929" s="4"/>
      <c r="M11929" s="5" t="s">
        <v>6502</v>
      </c>
    </row>
    <row r="11930" customFormat="false" ht="15.75" hidden="false" customHeight="false" outlineLevel="0" collapsed="false">
      <c r="A11930" s="6" t="n">
        <v>46222</v>
      </c>
      <c r="B11930" s="4" t="s">
        <v>915</v>
      </c>
      <c r="C11930" s="4" t="n">
        <v>1</v>
      </c>
      <c r="D11930" s="4" t="n">
        <v>8</v>
      </c>
      <c r="E11930" s="4"/>
      <c r="F11930" s="4" t="n">
        <v>15</v>
      </c>
      <c r="G11930" s="4" t="n">
        <v>6</v>
      </c>
      <c r="H11930" s="4" t="n">
        <v>4</v>
      </c>
      <c r="I11930" s="4" t="str">
        <v>×</v>
      </c>
      <c r="J11930" s="4"/>
      <c r="K11930" s="4"/>
      <c r="L11930" s="4"/>
      <c r="M11930" s="5" t="s">
        <v>6502</v>
      </c>
    </row>
    <row r="11931" customFormat="false" ht="15.75" hidden="false" customHeight="false" outlineLevel="0" collapsed="false">
      <c r="A11931" s="6" t="n">
        <v>46222</v>
      </c>
      <c r="B11931" s="4" t="s">
        <v>915</v>
      </c>
      <c r="C11931" s="4" t="n">
        <v>1</v>
      </c>
      <c r="D11931" s="4" t="n">
        <v>9</v>
      </c>
      <c r="E11931" s="4"/>
      <c r="F11931" s="4" t="n">
        <v>6</v>
      </c>
      <c r="G11931" s="4" t="n">
        <v>8</v>
      </c>
      <c r="H11931" s="4" t="n">
        <v>4</v>
      </c>
      <c r="I11931" s="4" t="str">
        <v>×</v>
      </c>
      <c r="J11931" s="4"/>
      <c r="K11931" s="4"/>
      <c r="L11931" s="4"/>
      <c r="M11931" s="5" t="s">
        <v>6502</v>
      </c>
    </row>
    <row r="11932" customFormat="false" ht="15.75" hidden="false" customHeight="false" outlineLevel="0" collapsed="false">
      <c r="A11932" s="6" t="n">
        <v>46222</v>
      </c>
      <c r="B11932" s="4" t="s">
        <v>915</v>
      </c>
      <c r="C11932" s="4" t="n">
        <v>1</v>
      </c>
      <c r="D11932" s="4" t="n">
        <v>10</v>
      </c>
      <c r="E11932" s="4"/>
      <c r="F11932" s="4" t="n">
        <v>75</v>
      </c>
      <c r="G11932" s="4" t="n">
        <v>2</v>
      </c>
      <c r="H11932" s="4" t="n">
        <v>3</v>
      </c>
      <c r="I11932" s="4" t="str">
        <v>○</v>
      </c>
      <c r="J11932" s="4" t="n">
        <v>110</v>
      </c>
      <c r="K11932" s="4"/>
      <c r="L11932" s="4"/>
      <c r="M11932" s="5" t="s">
        <v>6502</v>
      </c>
    </row>
    <row r="11933" customFormat="false" ht="15.75" hidden="false" customHeight="false" outlineLevel="0" collapsed="false">
      <c r="A11933" s="6" t="n">
        <v>46222</v>
      </c>
      <c r="B11933" s="4" t="s">
        <v>915</v>
      </c>
      <c r="C11933" s="4" t="n">
        <v>2</v>
      </c>
      <c r="D11933" s="4" t="n">
        <v>1</v>
      </c>
      <c r="E11933" s="4"/>
      <c r="F11933" s="4" t="n">
        <v>6</v>
      </c>
      <c r="G11933" s="4" t="n">
        <v>9</v>
      </c>
      <c r="H11933" s="4" t="n">
        <v>4</v>
      </c>
      <c r="I11933" s="4" t="str">
        <v>×</v>
      </c>
      <c r="J11933" s="4"/>
      <c r="K11933" s="4"/>
      <c r="L11933" s="4"/>
      <c r="M11933" s="5" t="s">
        <v>6502</v>
      </c>
    </row>
    <row r="11934" customFormat="false" ht="15.75" hidden="false" customHeight="false" outlineLevel="0" collapsed="false">
      <c r="A11934" s="6" t="n">
        <v>46222</v>
      </c>
      <c r="B11934" s="4" t="s">
        <v>915</v>
      </c>
      <c r="C11934" s="4" t="n">
        <v>2</v>
      </c>
      <c r="D11934" s="4" t="n">
        <v>2</v>
      </c>
      <c r="E11934" s="4"/>
      <c r="F11934" s="4" t="n">
        <v>44</v>
      </c>
      <c r="G11934" s="4" t="n">
        <v>2</v>
      </c>
      <c r="H11934" s="4" t="n">
        <v>4</v>
      </c>
      <c r="I11934" s="4" t="str">
        <v>×</v>
      </c>
      <c r="J11934" s="4"/>
      <c r="K11934" s="4"/>
      <c r="L11934" s="4"/>
      <c r="M11934" s="5" t="s">
        <v>6502</v>
      </c>
    </row>
    <row r="11935" customFormat="false" ht="15.75" hidden="false" customHeight="false" outlineLevel="0" collapsed="false">
      <c r="A11935" s="6" t="n">
        <v>46222</v>
      </c>
      <c r="B11935" s="4" t="s">
        <v>915</v>
      </c>
      <c r="C11935" s="4" t="n">
        <v>2</v>
      </c>
      <c r="D11935" s="4" t="n">
        <v>3</v>
      </c>
      <c r="E11935" s="4"/>
      <c r="F11935" s="4" t="n">
        <v>6</v>
      </c>
      <c r="G11935" s="4" t="n">
        <v>9</v>
      </c>
      <c r="H11935" s="4" t="n">
        <v>4</v>
      </c>
      <c r="I11935" s="4" t="str">
        <v>×</v>
      </c>
      <c r="J11935" s="4"/>
      <c r="K11935" s="4"/>
      <c r="L11935" s="4"/>
      <c r="M11935" s="5" t="s">
        <v>6502</v>
      </c>
    </row>
    <row r="11936" customFormat="false" ht="15.75" hidden="false" customHeight="false" outlineLevel="0" collapsed="false">
      <c r="A11936" s="6" t="n">
        <v>46222</v>
      </c>
      <c r="B11936" s="4" t="s">
        <v>915</v>
      </c>
      <c r="C11936" s="4" t="n">
        <v>2</v>
      </c>
      <c r="D11936" s="4" t="n">
        <v>4</v>
      </c>
      <c r="E11936" s="4"/>
      <c r="F11936" s="4" t="n">
        <v>3</v>
      </c>
      <c r="G11936" s="4" t="n">
        <v>14</v>
      </c>
      <c r="H11936" s="4" t="n">
        <v>4</v>
      </c>
      <c r="I11936" s="4" t="str">
        <v>×</v>
      </c>
      <c r="J11936" s="4"/>
      <c r="K11936" s="4"/>
      <c r="L11936" s="4"/>
      <c r="M11936" s="5" t="s">
        <v>6502</v>
      </c>
    </row>
    <row r="11937" customFormat="false" ht="15.75" hidden="false" customHeight="false" outlineLevel="0" collapsed="false">
      <c r="A11937" s="6" t="n">
        <v>46222</v>
      </c>
      <c r="B11937" s="4" t="s">
        <v>915</v>
      </c>
      <c r="C11937" s="4" t="n">
        <v>2</v>
      </c>
      <c r="D11937" s="4" t="n">
        <v>5</v>
      </c>
      <c r="E11937" s="4"/>
      <c r="F11937" s="4" t="n">
        <v>20</v>
      </c>
      <c r="G11937" s="4" t="n">
        <v>6</v>
      </c>
      <c r="H11937" s="4" t="n">
        <v>4</v>
      </c>
      <c r="I11937" s="4" t="str">
        <v>×</v>
      </c>
      <c r="J11937" s="4"/>
      <c r="K11937" s="4"/>
      <c r="L11937" s="4"/>
      <c r="M11937" s="5" t="s">
        <v>6502</v>
      </c>
    </row>
    <row r="11938" customFormat="false" ht="15.75" hidden="false" customHeight="false" outlineLevel="0" collapsed="false">
      <c r="A11938" s="6" t="n">
        <v>46222</v>
      </c>
      <c r="B11938" s="4" t="s">
        <v>915</v>
      </c>
      <c r="C11938" s="4" t="n">
        <v>2</v>
      </c>
      <c r="D11938" s="4" t="n">
        <v>6</v>
      </c>
      <c r="E11938" s="4"/>
      <c r="F11938" s="4" t="n">
        <v>13</v>
      </c>
      <c r="G11938" s="4" t="n">
        <v>7</v>
      </c>
      <c r="H11938" s="4" t="n">
        <v>4</v>
      </c>
      <c r="I11938" s="4" t="str">
        <v>×</v>
      </c>
      <c r="J11938" s="4"/>
      <c r="K11938" s="4"/>
      <c r="L11938" s="4"/>
      <c r="M11938" s="5" t="s">
        <v>6502</v>
      </c>
    </row>
    <row r="11939" customFormat="false" ht="15.75" hidden="false" customHeight="false" outlineLevel="0" collapsed="false">
      <c r="A11939" s="6" t="n">
        <v>46222</v>
      </c>
      <c r="B11939" s="4" t="s">
        <v>915</v>
      </c>
      <c r="C11939" s="4" t="n">
        <v>2</v>
      </c>
      <c r="D11939" s="4" t="n">
        <v>7</v>
      </c>
      <c r="E11939" s="4"/>
      <c r="F11939" s="4" t="n">
        <v>6</v>
      </c>
      <c r="G11939" s="4" t="n">
        <v>9</v>
      </c>
      <c r="H11939" s="4" t="n">
        <v>4</v>
      </c>
      <c r="I11939" s="4" t="str">
        <v>×</v>
      </c>
      <c r="J11939" s="4"/>
      <c r="K11939" s="4"/>
      <c r="L11939" s="4"/>
      <c r="M11939" s="5" t="s">
        <v>6502</v>
      </c>
    </row>
    <row r="11940" customFormat="false" ht="15.75" hidden="false" customHeight="false" outlineLevel="0" collapsed="false">
      <c r="A11940" s="6" t="n">
        <v>46222</v>
      </c>
      <c r="B11940" s="4" t="s">
        <v>915</v>
      </c>
      <c r="C11940" s="4" t="n">
        <v>2</v>
      </c>
      <c r="D11940" s="4" t="n">
        <v>8</v>
      </c>
      <c r="E11940" s="4"/>
      <c r="F11940" s="4" t="n">
        <v>29</v>
      </c>
      <c r="G11940" s="4" t="n">
        <v>5</v>
      </c>
      <c r="H11940" s="4" t="n">
        <v>4</v>
      </c>
      <c r="I11940" s="4" t="str">
        <v>×</v>
      </c>
      <c r="J11940" s="4"/>
      <c r="K11940" s="4"/>
      <c r="L11940" s="4"/>
      <c r="M11940" s="5" t="s">
        <v>6502</v>
      </c>
    </row>
    <row r="11941" customFormat="false" ht="15.75" hidden="false" customHeight="false" outlineLevel="0" collapsed="false">
      <c r="A11941" s="6" t="n">
        <v>46222</v>
      </c>
      <c r="B11941" s="4" t="s">
        <v>915</v>
      </c>
      <c r="C11941" s="4" t="n">
        <v>2</v>
      </c>
      <c r="D11941" s="4" t="n">
        <v>9</v>
      </c>
      <c r="E11941" s="4"/>
      <c r="F11941" s="4" t="n">
        <v>4</v>
      </c>
      <c r="G11941" s="4" t="n">
        <v>13</v>
      </c>
      <c r="H11941" s="4" t="n">
        <v>4</v>
      </c>
      <c r="I11941" s="4" t="str">
        <v>×</v>
      </c>
      <c r="J11941" s="4"/>
      <c r="K11941" s="4"/>
      <c r="L11941" s="4"/>
      <c r="M11941" s="5" t="s">
        <v>6502</v>
      </c>
    </row>
    <row r="11942" customFormat="false" ht="15.75" hidden="false" customHeight="false" outlineLevel="0" collapsed="false">
      <c r="A11942" s="6" t="n">
        <v>46222</v>
      </c>
      <c r="B11942" s="4" t="s">
        <v>915</v>
      </c>
      <c r="C11942" s="4" t="n">
        <v>2</v>
      </c>
      <c r="D11942" s="4" t="n">
        <v>10</v>
      </c>
      <c r="E11942" s="4"/>
      <c r="F11942" s="4" t="n">
        <v>3</v>
      </c>
      <c r="G11942" s="4" t="n">
        <v>14</v>
      </c>
      <c r="H11942" s="4" t="n">
        <v>4</v>
      </c>
      <c r="I11942" s="4" t="str">
        <v>×</v>
      </c>
      <c r="J11942" s="4"/>
      <c r="K11942" s="4"/>
      <c r="L11942" s="4"/>
      <c r="M11942" s="5" t="s">
        <v>6502</v>
      </c>
    </row>
    <row r="11943" customFormat="false" ht="15.75" hidden="false" customHeight="false" outlineLevel="0" collapsed="false">
      <c r="A11943" s="6" t="n">
        <v>46222</v>
      </c>
      <c r="B11943" s="4" t="s">
        <v>915</v>
      </c>
      <c r="C11943" s="4" t="n">
        <v>2</v>
      </c>
      <c r="D11943" s="4" t="n">
        <v>11</v>
      </c>
      <c r="E11943" s="4"/>
      <c r="F11943" s="4" t="n">
        <v>13</v>
      </c>
      <c r="G11943" s="4" t="n">
        <v>7</v>
      </c>
      <c r="H11943" s="4" t="n">
        <v>4</v>
      </c>
      <c r="I11943" s="4" t="str">
        <v>×</v>
      </c>
      <c r="J11943" s="4"/>
      <c r="K11943" s="4"/>
      <c r="L11943" s="4"/>
      <c r="M11943" s="5" t="s">
        <v>6502</v>
      </c>
    </row>
    <row r="11944" customFormat="false" ht="15.75" hidden="false" customHeight="false" outlineLevel="0" collapsed="false">
      <c r="A11944" s="6" t="n">
        <v>46222</v>
      </c>
      <c r="B11944" s="4" t="s">
        <v>915</v>
      </c>
      <c r="C11944" s="4" t="n">
        <v>2</v>
      </c>
      <c r="D11944" s="4" t="n">
        <v>12</v>
      </c>
      <c r="E11944" s="4"/>
      <c r="F11944" s="4" t="n">
        <v>2</v>
      </c>
      <c r="G11944" s="4" t="n">
        <v>16</v>
      </c>
      <c r="H11944" s="4" t="n">
        <v>4</v>
      </c>
      <c r="I11944" s="4" t="str">
        <v>×</v>
      </c>
      <c r="J11944" s="4"/>
      <c r="K11944" s="4"/>
      <c r="L11944" s="4"/>
      <c r="M11944" s="5" t="s">
        <v>6502</v>
      </c>
    </row>
    <row r="11945" customFormat="false" ht="15.75" hidden="false" customHeight="false" outlineLevel="0" collapsed="false">
      <c r="A11945" s="6" t="n">
        <v>46222</v>
      </c>
      <c r="B11945" s="4" t="s">
        <v>915</v>
      </c>
      <c r="C11945" s="4" t="n">
        <v>2</v>
      </c>
      <c r="D11945" s="4" t="n">
        <v>13</v>
      </c>
      <c r="E11945" s="4"/>
      <c r="F11945" s="4" t="n">
        <v>6</v>
      </c>
      <c r="G11945" s="4" t="n">
        <v>9</v>
      </c>
      <c r="H11945" s="4" t="n">
        <v>3</v>
      </c>
      <c r="I11945" s="4" t="str">
        <v>○</v>
      </c>
      <c r="J11945" s="4" t="n">
        <v>710</v>
      </c>
      <c r="K11945" s="4"/>
      <c r="L11945" s="4"/>
      <c r="M11945" s="5" t="s">
        <v>6502</v>
      </c>
    </row>
    <row r="11946" customFormat="false" ht="15.75" hidden="false" customHeight="false" outlineLevel="0" collapsed="false">
      <c r="A11946" s="6" t="n">
        <v>46222</v>
      </c>
      <c r="B11946" s="4" t="s">
        <v>915</v>
      </c>
      <c r="C11946" s="4" t="n">
        <v>2</v>
      </c>
      <c r="D11946" s="4" t="n">
        <v>14</v>
      </c>
      <c r="E11946" s="4"/>
      <c r="F11946" s="4" t="n">
        <v>39</v>
      </c>
      <c r="G11946" s="4" t="n">
        <v>3</v>
      </c>
      <c r="H11946" s="4" t="n">
        <v>4</v>
      </c>
      <c r="I11946" s="4" t="str">
        <v>×</v>
      </c>
      <c r="J11946" s="4"/>
      <c r="K11946" s="4"/>
      <c r="L11946" s="4"/>
      <c r="M11946" s="5" t="s">
        <v>6502</v>
      </c>
    </row>
    <row r="11947" customFormat="false" ht="15.75" hidden="false" customHeight="false" outlineLevel="0" collapsed="false">
      <c r="A11947" s="6" t="n">
        <v>46222</v>
      </c>
      <c r="B11947" s="4" t="s">
        <v>915</v>
      </c>
      <c r="C11947" s="4" t="n">
        <v>2</v>
      </c>
      <c r="D11947" s="4" t="n">
        <v>15</v>
      </c>
      <c r="E11947" s="4"/>
      <c r="F11947" s="4" t="n">
        <v>31</v>
      </c>
      <c r="G11947" s="4" t="n">
        <v>4</v>
      </c>
      <c r="H11947" s="4" t="n">
        <v>2</v>
      </c>
      <c r="I11947" s="4" t="str">
        <v>○</v>
      </c>
      <c r="J11947" s="4" t="n">
        <v>180</v>
      </c>
      <c r="K11947" s="4"/>
      <c r="L11947" s="4"/>
      <c r="M11947" s="5" t="s">
        <v>6502</v>
      </c>
    </row>
    <row r="11948" customFormat="false" ht="15.75" hidden="false" customHeight="false" outlineLevel="0" collapsed="false">
      <c r="A11948" s="6" t="n">
        <v>46222</v>
      </c>
      <c r="B11948" s="4" t="s">
        <v>915</v>
      </c>
      <c r="C11948" s="4" t="n">
        <v>2</v>
      </c>
      <c r="D11948" s="4" t="n">
        <v>16</v>
      </c>
      <c r="E11948" s="4"/>
      <c r="F11948" s="4" t="n">
        <v>60</v>
      </c>
      <c r="G11948" s="4" t="n">
        <v>1</v>
      </c>
      <c r="H11948" s="4" t="n">
        <v>1</v>
      </c>
      <c r="I11948" s="4" t="str">
        <v>○</v>
      </c>
      <c r="J11948" s="4" t="n">
        <v>170</v>
      </c>
      <c r="K11948" s="4"/>
      <c r="L11948" s="4"/>
      <c r="M11948" s="5" t="s">
        <v>6502</v>
      </c>
    </row>
    <row r="11949" customFormat="false" ht="15.75" hidden="false" customHeight="false" outlineLevel="0" collapsed="false">
      <c r="A11949" s="6" t="n">
        <v>46222</v>
      </c>
      <c r="B11949" s="4" t="s">
        <v>915</v>
      </c>
      <c r="C11949" s="4" t="n">
        <v>3</v>
      </c>
      <c r="D11949" s="4" t="n">
        <v>1</v>
      </c>
      <c r="E11949" s="4"/>
      <c r="F11949" s="4" t="n">
        <v>1</v>
      </c>
      <c r="G11949" s="4" t="n">
        <v>15</v>
      </c>
      <c r="H11949" s="4" t="n">
        <v>4</v>
      </c>
      <c r="I11949" s="4" t="str">
        <v>×</v>
      </c>
      <c r="J11949" s="4"/>
      <c r="K11949" s="4"/>
      <c r="L11949" s="4"/>
      <c r="M11949" s="5" t="s">
        <v>6502</v>
      </c>
    </row>
    <row r="11950" customFormat="false" ht="15.75" hidden="false" customHeight="false" outlineLevel="0" collapsed="false">
      <c r="A11950" s="6" t="n">
        <v>46222</v>
      </c>
      <c r="B11950" s="4" t="s">
        <v>915</v>
      </c>
      <c r="C11950" s="4" t="n">
        <v>3</v>
      </c>
      <c r="D11950" s="4" t="n">
        <v>2</v>
      </c>
      <c r="E11950" s="4"/>
      <c r="F11950" s="4" t="n">
        <v>2</v>
      </c>
      <c r="G11950" s="4" t="n">
        <v>14</v>
      </c>
      <c r="H11950" s="4" t="n">
        <v>3</v>
      </c>
      <c r="I11950" s="4" t="str">
        <v>○</v>
      </c>
      <c r="J11950" s="4" t="n">
        <v>1760</v>
      </c>
      <c r="K11950" s="4"/>
      <c r="L11950" s="4"/>
      <c r="M11950" s="5" t="s">
        <v>6502</v>
      </c>
    </row>
    <row r="11951" customFormat="false" ht="15.75" hidden="false" customHeight="false" outlineLevel="0" collapsed="false">
      <c r="A11951" s="6" t="n">
        <v>46222</v>
      </c>
      <c r="B11951" s="4" t="s">
        <v>915</v>
      </c>
      <c r="C11951" s="4" t="n">
        <v>3</v>
      </c>
      <c r="D11951" s="4" t="n">
        <v>3</v>
      </c>
      <c r="E11951" s="4"/>
      <c r="F11951" s="4" t="n">
        <v>3</v>
      </c>
      <c r="G11951" s="4" t="n">
        <v>13</v>
      </c>
      <c r="H11951" s="4" t="n">
        <v>4</v>
      </c>
      <c r="I11951" s="4" t="str">
        <v>×</v>
      </c>
      <c r="J11951" s="4"/>
      <c r="K11951" s="4"/>
      <c r="L11951" s="4"/>
      <c r="M11951" s="5" t="s">
        <v>6502</v>
      </c>
    </row>
    <row r="11952" customFormat="false" ht="15.75" hidden="false" customHeight="false" outlineLevel="0" collapsed="false">
      <c r="A11952" s="6" t="n">
        <v>46222</v>
      </c>
      <c r="B11952" s="4" t="s">
        <v>915</v>
      </c>
      <c r="C11952" s="4" t="n">
        <v>3</v>
      </c>
      <c r="D11952" s="4" t="n">
        <v>4</v>
      </c>
      <c r="E11952" s="4"/>
      <c r="F11952" s="4" t="n">
        <v>25</v>
      </c>
      <c r="G11952" s="4" t="n">
        <v>4</v>
      </c>
      <c r="H11952" s="4" t="n">
        <v>4</v>
      </c>
      <c r="I11952" s="4" t="str">
        <v>×</v>
      </c>
      <c r="J11952" s="4"/>
      <c r="K11952" s="4"/>
      <c r="L11952" s="4"/>
      <c r="M11952" s="5" t="s">
        <v>6502</v>
      </c>
    </row>
    <row r="11953" customFormat="false" ht="15.75" hidden="false" customHeight="false" outlineLevel="0" collapsed="false">
      <c r="A11953" s="6" t="n">
        <v>46222</v>
      </c>
      <c r="B11953" s="4" t="s">
        <v>915</v>
      </c>
      <c r="C11953" s="4" t="n">
        <v>3</v>
      </c>
      <c r="D11953" s="4" t="n">
        <v>5</v>
      </c>
      <c r="E11953" s="4"/>
      <c r="F11953" s="4" t="n">
        <v>10</v>
      </c>
      <c r="G11953" s="4" t="n">
        <v>9</v>
      </c>
      <c r="H11953" s="4" t="n">
        <v>4</v>
      </c>
      <c r="I11953" s="4" t="str">
        <v>×</v>
      </c>
      <c r="J11953" s="4"/>
      <c r="K11953" s="4"/>
      <c r="L11953" s="4"/>
      <c r="M11953" s="5" t="s">
        <v>6502</v>
      </c>
    </row>
    <row r="11954" customFormat="false" ht="15.75" hidden="false" customHeight="false" outlineLevel="0" collapsed="false">
      <c r="A11954" s="6" t="n">
        <v>46222</v>
      </c>
      <c r="B11954" s="4" t="s">
        <v>915</v>
      </c>
      <c r="C11954" s="4" t="n">
        <v>3</v>
      </c>
      <c r="D11954" s="4" t="n">
        <v>6</v>
      </c>
      <c r="E11954" s="4"/>
      <c r="F11954" s="4" t="n">
        <v>41</v>
      </c>
      <c r="G11954" s="4" t="n">
        <v>2</v>
      </c>
      <c r="H11954" s="4" t="n">
        <v>4</v>
      </c>
      <c r="I11954" s="4" t="str">
        <v>×</v>
      </c>
      <c r="J11954" s="4"/>
      <c r="K11954" s="4"/>
      <c r="L11954" s="4"/>
      <c r="M11954" s="5" t="s">
        <v>6502</v>
      </c>
    </row>
    <row r="11955" customFormat="false" ht="15.75" hidden="false" customHeight="false" outlineLevel="0" collapsed="false">
      <c r="A11955" s="6" t="n">
        <v>46222</v>
      </c>
      <c r="B11955" s="4" t="s">
        <v>915</v>
      </c>
      <c r="C11955" s="4" t="n">
        <v>3</v>
      </c>
      <c r="D11955" s="4" t="n">
        <v>7</v>
      </c>
      <c r="E11955" s="4"/>
      <c r="F11955" s="4" t="n">
        <v>10</v>
      </c>
      <c r="G11955" s="4" t="n">
        <v>9</v>
      </c>
      <c r="H11955" s="4" t="n">
        <v>4</v>
      </c>
      <c r="I11955" s="4" t="str">
        <v>×</v>
      </c>
      <c r="J11955" s="4"/>
      <c r="K11955" s="4"/>
      <c r="L11955" s="4"/>
      <c r="M11955" s="5" t="s">
        <v>6502</v>
      </c>
    </row>
    <row r="11956" customFormat="false" ht="15.75" hidden="false" customHeight="false" outlineLevel="0" collapsed="false">
      <c r="A11956" s="6" t="n">
        <v>46222</v>
      </c>
      <c r="B11956" s="4" t="s">
        <v>915</v>
      </c>
      <c r="C11956" s="4" t="n">
        <v>3</v>
      </c>
      <c r="D11956" s="4" t="n">
        <v>8</v>
      </c>
      <c r="E11956" s="4"/>
      <c r="F11956" s="4" t="n">
        <v>67</v>
      </c>
      <c r="G11956" s="4" t="n">
        <v>1</v>
      </c>
      <c r="H11956" s="4" t="n">
        <v>1</v>
      </c>
      <c r="I11956" s="4" t="str">
        <v>○</v>
      </c>
      <c r="J11956" s="4" t="n">
        <v>130</v>
      </c>
      <c r="K11956" s="4"/>
      <c r="L11956" s="4"/>
      <c r="M11956" s="5" t="s">
        <v>6502</v>
      </c>
    </row>
    <row r="11957" customFormat="false" ht="15.75" hidden="false" customHeight="false" outlineLevel="0" collapsed="false">
      <c r="A11957" s="6" t="n">
        <v>46222</v>
      </c>
      <c r="B11957" s="4" t="s">
        <v>915</v>
      </c>
      <c r="C11957" s="4" t="n">
        <v>3</v>
      </c>
      <c r="D11957" s="4" t="n">
        <v>9</v>
      </c>
      <c r="E11957" s="4"/>
      <c r="F11957" s="4" t="n">
        <v>20</v>
      </c>
      <c r="G11957" s="4" t="n">
        <v>6</v>
      </c>
      <c r="H11957" s="4" t="n">
        <v>4</v>
      </c>
      <c r="I11957" s="4" t="str">
        <v>×</v>
      </c>
      <c r="J11957" s="4"/>
      <c r="K11957" s="4"/>
      <c r="L11957" s="4"/>
      <c r="M11957" s="5" t="s">
        <v>6502</v>
      </c>
    </row>
    <row r="11958" customFormat="false" ht="15.75" hidden="false" customHeight="false" outlineLevel="0" collapsed="false">
      <c r="A11958" s="6" t="n">
        <v>46222</v>
      </c>
      <c r="B11958" s="4" t="s">
        <v>915</v>
      </c>
      <c r="C11958" s="4" t="n">
        <v>3</v>
      </c>
      <c r="D11958" s="4" t="n">
        <v>10</v>
      </c>
      <c r="E11958" s="4"/>
      <c r="F11958" s="4" t="n">
        <v>13</v>
      </c>
      <c r="G11958" s="4" t="n">
        <v>8</v>
      </c>
      <c r="H11958" s="4" t="n">
        <v>4</v>
      </c>
      <c r="I11958" s="4" t="str">
        <v>×</v>
      </c>
      <c r="J11958" s="4"/>
      <c r="K11958" s="4"/>
      <c r="L11958" s="4"/>
      <c r="M11958" s="5" t="s">
        <v>6502</v>
      </c>
    </row>
    <row r="11959" customFormat="false" ht="15.75" hidden="false" customHeight="false" outlineLevel="0" collapsed="false">
      <c r="A11959" s="6" t="n">
        <v>46222</v>
      </c>
      <c r="B11959" s="4" t="s">
        <v>915</v>
      </c>
      <c r="C11959" s="4" t="n">
        <v>3</v>
      </c>
      <c r="D11959" s="4" t="n">
        <v>11</v>
      </c>
      <c r="E11959" s="4"/>
      <c r="F11959" s="4" t="n">
        <v>1</v>
      </c>
      <c r="G11959" s="4" t="n">
        <v>15</v>
      </c>
      <c r="H11959" s="4" t="n">
        <v>4</v>
      </c>
      <c r="I11959" s="4" t="str">
        <v>×</v>
      </c>
      <c r="J11959" s="4"/>
      <c r="K11959" s="4"/>
      <c r="L11959" s="4"/>
      <c r="M11959" s="5" t="s">
        <v>6502</v>
      </c>
    </row>
    <row r="11960" customFormat="false" ht="15.75" hidden="false" customHeight="false" outlineLevel="0" collapsed="false">
      <c r="A11960" s="6" t="n">
        <v>46222</v>
      </c>
      <c r="B11960" s="4" t="s">
        <v>915</v>
      </c>
      <c r="C11960" s="4" t="n">
        <v>3</v>
      </c>
      <c r="D11960" s="4" t="n">
        <v>12</v>
      </c>
      <c r="E11960" s="4"/>
      <c r="F11960" s="4" t="n">
        <v>4</v>
      </c>
      <c r="G11960" s="4" t="n">
        <v>11</v>
      </c>
      <c r="H11960" s="4" t="n">
        <v>4</v>
      </c>
      <c r="I11960" s="4" t="str">
        <v>×</v>
      </c>
      <c r="J11960" s="4"/>
      <c r="K11960" s="4"/>
      <c r="L11960" s="4"/>
      <c r="M11960" s="5" t="s">
        <v>6502</v>
      </c>
    </row>
    <row r="11961" customFormat="false" ht="15.75" hidden="false" customHeight="false" outlineLevel="0" collapsed="false">
      <c r="A11961" s="6" t="n">
        <v>46222</v>
      </c>
      <c r="B11961" s="4" t="s">
        <v>915</v>
      </c>
      <c r="C11961" s="4" t="n">
        <v>3</v>
      </c>
      <c r="D11961" s="4" t="n">
        <v>13</v>
      </c>
      <c r="E11961" s="4"/>
      <c r="F11961" s="4" t="n">
        <v>23</v>
      </c>
      <c r="G11961" s="4" t="n">
        <v>5</v>
      </c>
      <c r="H11961" s="4" t="n">
        <v>2</v>
      </c>
      <c r="I11961" s="4" t="str">
        <v>○</v>
      </c>
      <c r="J11961" s="4" t="n">
        <v>250</v>
      </c>
      <c r="K11961" s="4"/>
      <c r="L11961" s="4"/>
      <c r="M11961" s="5" t="s">
        <v>6502</v>
      </c>
    </row>
    <row r="11962" customFormat="false" ht="15.75" hidden="false" customHeight="false" outlineLevel="0" collapsed="false">
      <c r="A11962" s="6" t="n">
        <v>46222</v>
      </c>
      <c r="B11962" s="4" t="s">
        <v>915</v>
      </c>
      <c r="C11962" s="4" t="n">
        <v>3</v>
      </c>
      <c r="D11962" s="4" t="n">
        <v>14</v>
      </c>
      <c r="E11962" s="4"/>
      <c r="F11962" s="4" t="n">
        <v>39</v>
      </c>
      <c r="G11962" s="4" t="n">
        <v>3</v>
      </c>
      <c r="H11962" s="4" t="n">
        <v>4</v>
      </c>
      <c r="I11962" s="4" t="str">
        <v>×</v>
      </c>
      <c r="J11962" s="4"/>
      <c r="K11962" s="4"/>
      <c r="L11962" s="4"/>
      <c r="M11962" s="5" t="s">
        <v>6502</v>
      </c>
    </row>
    <row r="11963" customFormat="false" ht="15.75" hidden="false" customHeight="false" outlineLevel="0" collapsed="false">
      <c r="A11963" s="6" t="n">
        <v>46222</v>
      </c>
      <c r="B11963" s="4" t="s">
        <v>915</v>
      </c>
      <c r="C11963" s="4" t="n">
        <v>3</v>
      </c>
      <c r="D11963" s="4" t="n">
        <v>15</v>
      </c>
      <c r="E11963" s="4"/>
      <c r="F11963" s="4" t="n">
        <v>4</v>
      </c>
      <c r="G11963" s="4" t="n">
        <v>11</v>
      </c>
      <c r="H11963" s="4" t="n">
        <v>4</v>
      </c>
      <c r="I11963" s="4" t="str">
        <v>×</v>
      </c>
      <c r="J11963" s="4"/>
      <c r="K11963" s="4"/>
      <c r="L11963" s="4"/>
      <c r="M11963" s="5" t="s">
        <v>6502</v>
      </c>
    </row>
    <row r="11964" customFormat="false" ht="15.75" hidden="false" customHeight="false" outlineLevel="0" collapsed="false">
      <c r="A11964" s="6" t="n">
        <v>46222</v>
      </c>
      <c r="B11964" s="4" t="s">
        <v>915</v>
      </c>
      <c r="C11964" s="4" t="n">
        <v>3</v>
      </c>
      <c r="D11964" s="4" t="n">
        <v>16</v>
      </c>
      <c r="E11964" s="4"/>
      <c r="F11964" s="4" t="n">
        <v>17</v>
      </c>
      <c r="G11964" s="4" t="n">
        <v>7</v>
      </c>
      <c r="H11964" s="4" t="n">
        <v>4</v>
      </c>
      <c r="I11964" s="4" t="str">
        <v>×</v>
      </c>
      <c r="J11964" s="4"/>
      <c r="K11964" s="4"/>
      <c r="L11964" s="4"/>
      <c r="M11964" s="5" t="s">
        <v>6502</v>
      </c>
    </row>
    <row r="11965" customFormat="false" ht="15.75" hidden="false" customHeight="false" outlineLevel="0" collapsed="false">
      <c r="A11965" s="6" t="n">
        <v>46222</v>
      </c>
      <c r="B11965" s="4" t="s">
        <v>915</v>
      </c>
      <c r="C11965" s="4" t="n">
        <v>4</v>
      </c>
      <c r="D11965" s="4" t="n">
        <v>1</v>
      </c>
      <c r="E11965" s="4"/>
      <c r="F11965" s="4" t="n">
        <v>6</v>
      </c>
      <c r="G11965" s="4" t="n">
        <v>13</v>
      </c>
      <c r="H11965" s="4" t="n">
        <v>4</v>
      </c>
      <c r="I11965" s="4" t="str">
        <v>×</v>
      </c>
      <c r="J11965" s="4"/>
      <c r="K11965" s="4"/>
      <c r="L11965" s="4"/>
      <c r="M11965" s="5" t="s">
        <v>6502</v>
      </c>
    </row>
    <row r="11966" customFormat="false" ht="15.75" hidden="false" customHeight="false" outlineLevel="0" collapsed="false">
      <c r="A11966" s="6" t="n">
        <v>46222</v>
      </c>
      <c r="B11966" s="4" t="s">
        <v>915</v>
      </c>
      <c r="C11966" s="4" t="n">
        <v>4</v>
      </c>
      <c r="D11966" s="4" t="n">
        <v>2</v>
      </c>
      <c r="E11966" s="4"/>
      <c r="F11966" s="4" t="n">
        <v>29</v>
      </c>
      <c r="G11966" s="4" t="n">
        <v>4</v>
      </c>
      <c r="H11966" s="4" t="n">
        <v>1</v>
      </c>
      <c r="I11966" s="4" t="str">
        <v>○</v>
      </c>
      <c r="J11966" s="4" t="n">
        <v>250</v>
      </c>
      <c r="K11966" s="4"/>
      <c r="L11966" s="4"/>
      <c r="M11966" s="5" t="s">
        <v>6502</v>
      </c>
    </row>
    <row r="11967" customFormat="false" ht="15.75" hidden="false" customHeight="false" outlineLevel="0" collapsed="false">
      <c r="A11967" s="6" t="n">
        <v>46222</v>
      </c>
      <c r="B11967" s="4" t="s">
        <v>915</v>
      </c>
      <c r="C11967" s="4" t="n">
        <v>4</v>
      </c>
      <c r="D11967" s="4" t="n">
        <v>3</v>
      </c>
      <c r="E11967" s="4"/>
      <c r="F11967" s="4" t="n">
        <v>65</v>
      </c>
      <c r="G11967" s="4" t="n">
        <v>1</v>
      </c>
      <c r="H11967" s="4" t="n">
        <v>4</v>
      </c>
      <c r="I11967" s="4" t="str">
        <v>×</v>
      </c>
      <c r="J11967" s="4"/>
      <c r="K11967" s="4"/>
      <c r="L11967" s="4"/>
      <c r="M11967" s="5" t="s">
        <v>6502</v>
      </c>
    </row>
    <row r="11968" customFormat="false" ht="15.75" hidden="false" customHeight="false" outlineLevel="0" collapsed="false">
      <c r="A11968" s="6" t="n">
        <v>46222</v>
      </c>
      <c r="B11968" s="4" t="s">
        <v>915</v>
      </c>
      <c r="C11968" s="4" t="n">
        <v>4</v>
      </c>
      <c r="D11968" s="4" t="n">
        <v>4</v>
      </c>
      <c r="E11968" s="4"/>
      <c r="F11968" s="4" t="n">
        <v>13</v>
      </c>
      <c r="G11968" s="4" t="n">
        <v>7</v>
      </c>
      <c r="H11968" s="4" t="n">
        <v>4</v>
      </c>
      <c r="I11968" s="4" t="str">
        <v>×</v>
      </c>
      <c r="J11968" s="4"/>
      <c r="K11968" s="4"/>
      <c r="L11968" s="4"/>
      <c r="M11968" s="5" t="s">
        <v>6502</v>
      </c>
    </row>
    <row r="11969" customFormat="false" ht="15.75" hidden="false" customHeight="false" outlineLevel="0" collapsed="false">
      <c r="A11969" s="6" t="n">
        <v>46222</v>
      </c>
      <c r="B11969" s="4" t="s">
        <v>915</v>
      </c>
      <c r="C11969" s="4" t="n">
        <v>4</v>
      </c>
      <c r="D11969" s="4" t="n">
        <v>5</v>
      </c>
      <c r="E11969" s="4"/>
      <c r="F11969" s="4" t="n">
        <v>47</v>
      </c>
      <c r="G11969" s="4" t="n">
        <v>3</v>
      </c>
      <c r="H11969" s="4" t="n">
        <v>2</v>
      </c>
      <c r="I11969" s="4" t="str">
        <v>○</v>
      </c>
      <c r="J11969" s="4" t="n">
        <v>190</v>
      </c>
      <c r="K11969" s="4"/>
      <c r="L11969" s="4"/>
      <c r="M11969" s="5" t="s">
        <v>6502</v>
      </c>
    </row>
    <row r="11970" customFormat="false" ht="15.75" hidden="false" customHeight="false" outlineLevel="0" collapsed="false">
      <c r="A11970" s="6" t="n">
        <v>46222</v>
      </c>
      <c r="B11970" s="4" t="s">
        <v>915</v>
      </c>
      <c r="C11970" s="4" t="n">
        <v>4</v>
      </c>
      <c r="D11970" s="4" t="n">
        <v>6</v>
      </c>
      <c r="E11970" s="4"/>
      <c r="F11970" s="4" t="n">
        <v>10</v>
      </c>
      <c r="G11970" s="4" t="n">
        <v>8</v>
      </c>
      <c r="H11970" s="4" t="n">
        <v>4</v>
      </c>
      <c r="I11970" s="4" t="str">
        <v>×</v>
      </c>
      <c r="J11970" s="4"/>
      <c r="K11970" s="4"/>
      <c r="L11970" s="4"/>
      <c r="M11970" s="5" t="s">
        <v>6502</v>
      </c>
    </row>
    <row r="11971" customFormat="false" ht="15.75" hidden="false" customHeight="false" outlineLevel="0" collapsed="false">
      <c r="A11971" s="6" t="n">
        <v>46222</v>
      </c>
      <c r="B11971" s="4" t="s">
        <v>915</v>
      </c>
      <c r="C11971" s="4" t="n">
        <v>4</v>
      </c>
      <c r="D11971" s="4" t="n">
        <v>7</v>
      </c>
      <c r="E11971" s="4"/>
      <c r="F11971" s="4" t="n">
        <v>20</v>
      </c>
      <c r="G11971" s="4" t="n">
        <v>5</v>
      </c>
      <c r="H11971" s="4" t="n">
        <v>4</v>
      </c>
      <c r="I11971" s="4" t="str">
        <v>×</v>
      </c>
      <c r="J11971" s="4"/>
      <c r="K11971" s="4"/>
      <c r="L11971" s="4"/>
      <c r="M11971" s="5" t="s">
        <v>6502</v>
      </c>
    </row>
    <row r="11972" customFormat="false" ht="15.75" hidden="false" customHeight="false" outlineLevel="0" collapsed="false">
      <c r="A11972" s="6" t="n">
        <v>46222</v>
      </c>
      <c r="B11972" s="4" t="s">
        <v>915</v>
      </c>
      <c r="C11972" s="4" t="n">
        <v>4</v>
      </c>
      <c r="D11972" s="4" t="n">
        <v>8</v>
      </c>
      <c r="E11972" s="4"/>
      <c r="F11972" s="4" t="n">
        <v>4</v>
      </c>
      <c r="G11972" s="4" t="n">
        <v>14</v>
      </c>
      <c r="H11972" s="4" t="n">
        <v>4</v>
      </c>
      <c r="I11972" s="4" t="str">
        <v>×</v>
      </c>
      <c r="J11972" s="4"/>
      <c r="K11972" s="4"/>
      <c r="L11972" s="4"/>
      <c r="M11972" s="5" t="s">
        <v>6502</v>
      </c>
    </row>
    <row r="11973" customFormat="false" ht="15.75" hidden="false" customHeight="false" outlineLevel="0" collapsed="false">
      <c r="A11973" s="6" t="n">
        <v>46222</v>
      </c>
      <c r="B11973" s="4" t="s">
        <v>915</v>
      </c>
      <c r="C11973" s="4" t="n">
        <v>4</v>
      </c>
      <c r="D11973" s="4" t="n">
        <v>9</v>
      </c>
      <c r="E11973" s="4"/>
      <c r="F11973" s="4" t="n">
        <v>58</v>
      </c>
      <c r="G11973" s="4" t="n">
        <v>2</v>
      </c>
      <c r="H11973" s="4" t="n">
        <v>3</v>
      </c>
      <c r="I11973" s="4" t="str">
        <v>○</v>
      </c>
      <c r="J11973" s="4" t="n">
        <v>220</v>
      </c>
      <c r="K11973" s="4"/>
      <c r="L11973" s="4"/>
      <c r="M11973" s="5" t="s">
        <v>6502</v>
      </c>
    </row>
    <row r="11974" customFormat="false" ht="15.75" hidden="false" customHeight="false" outlineLevel="0" collapsed="false">
      <c r="A11974" s="6" t="n">
        <v>46222</v>
      </c>
      <c r="B11974" s="4" t="s">
        <v>915</v>
      </c>
      <c r="C11974" s="4" t="n">
        <v>4</v>
      </c>
      <c r="D11974" s="4" t="n">
        <v>10</v>
      </c>
      <c r="E11974" s="4"/>
      <c r="F11974" s="4" t="n">
        <v>8</v>
      </c>
      <c r="G11974" s="4" t="n">
        <v>10</v>
      </c>
      <c r="H11974" s="4" t="n">
        <v>4</v>
      </c>
      <c r="I11974" s="4" t="str">
        <v>×</v>
      </c>
      <c r="J11974" s="4"/>
      <c r="K11974" s="4"/>
      <c r="L11974" s="4"/>
      <c r="M11974" s="5" t="s">
        <v>6502</v>
      </c>
    </row>
    <row r="11975" customFormat="false" ht="15.75" hidden="false" customHeight="false" outlineLevel="0" collapsed="false">
      <c r="A11975" s="6" t="n">
        <v>46222</v>
      </c>
      <c r="B11975" s="4" t="s">
        <v>915</v>
      </c>
      <c r="C11975" s="4" t="n">
        <v>4</v>
      </c>
      <c r="D11975" s="4" t="n">
        <v>11</v>
      </c>
      <c r="E11975" s="4"/>
      <c r="F11975" s="4" t="n">
        <v>4</v>
      </c>
      <c r="G11975" s="4" t="n">
        <v>14</v>
      </c>
      <c r="H11975" s="4" t="n">
        <v>4</v>
      </c>
      <c r="I11975" s="4" t="str">
        <v>×</v>
      </c>
      <c r="J11975" s="4"/>
      <c r="K11975" s="4"/>
      <c r="L11975" s="4"/>
      <c r="M11975" s="5" t="s">
        <v>6502</v>
      </c>
    </row>
    <row r="11976" customFormat="false" ht="15.75" hidden="false" customHeight="false" outlineLevel="0" collapsed="false">
      <c r="A11976" s="6" t="n">
        <v>46222</v>
      </c>
      <c r="B11976" s="4" t="s">
        <v>915</v>
      </c>
      <c r="C11976" s="4" t="n">
        <v>4</v>
      </c>
      <c r="D11976" s="4" t="n">
        <v>12</v>
      </c>
      <c r="E11976" s="4"/>
      <c r="F11976" s="4" t="n">
        <v>8</v>
      </c>
      <c r="G11976" s="4" t="n">
        <v>10</v>
      </c>
      <c r="H11976" s="4" t="n">
        <v>4</v>
      </c>
      <c r="I11976" s="4" t="str">
        <v>×</v>
      </c>
      <c r="J11976" s="4"/>
      <c r="K11976" s="4"/>
      <c r="L11976" s="4"/>
      <c r="M11976" s="5" t="s">
        <v>6502</v>
      </c>
    </row>
    <row r="11977" customFormat="false" ht="15.75" hidden="false" customHeight="false" outlineLevel="0" collapsed="false">
      <c r="A11977" s="6" t="n">
        <v>46222</v>
      </c>
      <c r="B11977" s="4" t="s">
        <v>915</v>
      </c>
      <c r="C11977" s="4" t="n">
        <v>4</v>
      </c>
      <c r="D11977" s="4" t="n">
        <v>13</v>
      </c>
      <c r="E11977" s="4"/>
      <c r="F11977" s="4" t="n">
        <v>17</v>
      </c>
      <c r="G11977" s="4" t="n">
        <v>6</v>
      </c>
      <c r="H11977" s="4" t="n">
        <v>4</v>
      </c>
      <c r="I11977" s="4" t="str">
        <v>×</v>
      </c>
      <c r="J11977" s="4"/>
      <c r="K11977" s="4"/>
      <c r="L11977" s="4"/>
      <c r="M11977" s="5" t="s">
        <v>6502</v>
      </c>
    </row>
    <row r="11978" customFormat="false" ht="15.75" hidden="false" customHeight="false" outlineLevel="0" collapsed="false">
      <c r="A11978" s="6" t="n">
        <v>46222</v>
      </c>
      <c r="B11978" s="4" t="s">
        <v>915</v>
      </c>
      <c r="C11978" s="4" t="n">
        <v>4</v>
      </c>
      <c r="D11978" s="4" t="n">
        <v>14</v>
      </c>
      <c r="E11978" s="4"/>
      <c r="F11978" s="4" t="n">
        <v>8</v>
      </c>
      <c r="G11978" s="4" t="n">
        <v>10</v>
      </c>
      <c r="H11978" s="4" t="n">
        <v>4</v>
      </c>
      <c r="I11978" s="4" t="str">
        <v>×</v>
      </c>
      <c r="J11978" s="4"/>
      <c r="K11978" s="4"/>
      <c r="L11978" s="4"/>
      <c r="M11978" s="5" t="s">
        <v>6502</v>
      </c>
    </row>
    <row r="11979" customFormat="false" ht="15.75" hidden="false" customHeight="false" outlineLevel="0" collapsed="false">
      <c r="A11979" s="6" t="n">
        <v>46222</v>
      </c>
      <c r="B11979" s="4" t="s">
        <v>915</v>
      </c>
      <c r="C11979" s="4" t="n">
        <v>4</v>
      </c>
      <c r="D11979" s="4" t="n">
        <v>15</v>
      </c>
      <c r="E11979" s="4"/>
      <c r="F11979" s="4" t="n">
        <v>10</v>
      </c>
      <c r="G11979" s="4" t="n">
        <v>8</v>
      </c>
      <c r="H11979" s="4" t="n">
        <v>4</v>
      </c>
      <c r="I11979" s="4" t="str">
        <v>×</v>
      </c>
      <c r="J11979" s="4"/>
      <c r="K11979" s="4"/>
      <c r="L11979" s="4"/>
      <c r="M11979" s="5" t="s">
        <v>6502</v>
      </c>
    </row>
    <row r="11980" customFormat="false" ht="15.75" hidden="false" customHeight="false" outlineLevel="0" collapsed="false">
      <c r="A11980" s="6" t="n">
        <v>46222</v>
      </c>
      <c r="B11980" s="4" t="s">
        <v>915</v>
      </c>
      <c r="C11980" s="4" t="n">
        <v>5</v>
      </c>
      <c r="D11980" s="4" t="n">
        <v>1</v>
      </c>
      <c r="E11980" s="4"/>
      <c r="F11980" s="4" t="n">
        <v>8</v>
      </c>
      <c r="G11980" s="4" t="n">
        <v>10</v>
      </c>
      <c r="H11980" s="4" t="n">
        <v>4</v>
      </c>
      <c r="I11980" s="4" t="str">
        <v>×</v>
      </c>
      <c r="J11980" s="4"/>
      <c r="K11980" s="4"/>
      <c r="L11980" s="4"/>
      <c r="M11980" s="5" t="s">
        <v>6502</v>
      </c>
    </row>
    <row r="11981" customFormat="false" ht="15.75" hidden="false" customHeight="false" outlineLevel="0" collapsed="false">
      <c r="A11981" s="6" t="n">
        <v>46222</v>
      </c>
      <c r="B11981" s="4" t="s">
        <v>915</v>
      </c>
      <c r="C11981" s="4" t="n">
        <v>5</v>
      </c>
      <c r="D11981" s="4" t="n">
        <v>2</v>
      </c>
      <c r="E11981" s="4"/>
      <c r="F11981" s="4" t="n">
        <v>31</v>
      </c>
      <c r="G11981" s="4" t="n">
        <v>1</v>
      </c>
      <c r="H11981" s="4" t="n">
        <v>4</v>
      </c>
      <c r="I11981" s="4" t="str">
        <v>×</v>
      </c>
      <c r="J11981" s="4"/>
      <c r="K11981" s="4"/>
      <c r="L11981" s="4"/>
      <c r="M11981" s="5" t="s">
        <v>6502</v>
      </c>
    </row>
    <row r="11982" customFormat="false" ht="15.75" hidden="false" customHeight="false" outlineLevel="0" collapsed="false">
      <c r="A11982" s="6" t="n">
        <v>46222</v>
      </c>
      <c r="B11982" s="4" t="s">
        <v>915</v>
      </c>
      <c r="C11982" s="4" t="n">
        <v>5</v>
      </c>
      <c r="D11982" s="4" t="n">
        <v>3</v>
      </c>
      <c r="E11982" s="4"/>
      <c r="F11982" s="4" t="n">
        <v>16</v>
      </c>
      <c r="G11982" s="4" t="n">
        <v>7</v>
      </c>
      <c r="H11982" s="4" t="n">
        <v>4</v>
      </c>
      <c r="I11982" s="4" t="str">
        <v>×</v>
      </c>
      <c r="J11982" s="4"/>
      <c r="K11982" s="4"/>
      <c r="L11982" s="4"/>
      <c r="M11982" s="5" t="s">
        <v>6502</v>
      </c>
    </row>
    <row r="11983" customFormat="false" ht="15.75" hidden="false" customHeight="false" outlineLevel="0" collapsed="false">
      <c r="A11983" s="6" t="n">
        <v>46222</v>
      </c>
      <c r="B11983" s="4" t="s">
        <v>915</v>
      </c>
      <c r="C11983" s="4" t="n">
        <v>5</v>
      </c>
      <c r="D11983" s="4" t="n">
        <v>4</v>
      </c>
      <c r="E11983" s="4"/>
      <c r="F11983" s="4" t="n">
        <v>31</v>
      </c>
      <c r="G11983" s="4" t="n">
        <v>1</v>
      </c>
      <c r="H11983" s="4" t="n">
        <v>1</v>
      </c>
      <c r="I11983" s="4" t="str">
        <v>○</v>
      </c>
      <c r="J11983" s="4" t="n">
        <v>110</v>
      </c>
      <c r="K11983" s="4"/>
      <c r="L11983" s="4"/>
      <c r="M11983" s="5" t="s">
        <v>6502</v>
      </c>
    </row>
    <row r="11984" customFormat="false" ht="15.75" hidden="false" customHeight="false" outlineLevel="0" collapsed="false">
      <c r="A11984" s="6" t="n">
        <v>46222</v>
      </c>
      <c r="B11984" s="4" t="s">
        <v>915</v>
      </c>
      <c r="C11984" s="4" t="n">
        <v>5</v>
      </c>
      <c r="D11984" s="4" t="n">
        <v>5</v>
      </c>
      <c r="E11984" s="4"/>
      <c r="F11984" s="4" t="n">
        <v>12</v>
      </c>
      <c r="G11984" s="4" t="n">
        <v>8</v>
      </c>
      <c r="H11984" s="4" t="n">
        <v>4</v>
      </c>
      <c r="I11984" s="4" t="str">
        <v>×</v>
      </c>
      <c r="J11984" s="4"/>
      <c r="K11984" s="4"/>
      <c r="L11984" s="4"/>
      <c r="M11984" s="5" t="s">
        <v>6502</v>
      </c>
    </row>
    <row r="11985" customFormat="false" ht="15.75" hidden="false" customHeight="false" outlineLevel="0" collapsed="false">
      <c r="A11985" s="6" t="n">
        <v>46222</v>
      </c>
      <c r="B11985" s="4" t="s">
        <v>915</v>
      </c>
      <c r="C11985" s="4" t="n">
        <v>5</v>
      </c>
      <c r="D11985" s="4" t="n">
        <v>6</v>
      </c>
      <c r="E11985" s="4"/>
      <c r="F11985" s="4" t="n">
        <v>24</v>
      </c>
      <c r="G11985" s="4" t="n">
        <v>3</v>
      </c>
      <c r="H11985" s="4" t="n">
        <v>4</v>
      </c>
      <c r="I11985" s="4" t="str">
        <v>×</v>
      </c>
      <c r="J11985" s="4"/>
      <c r="K11985" s="4"/>
      <c r="L11985" s="4"/>
      <c r="M11985" s="5" t="s">
        <v>6502</v>
      </c>
    </row>
    <row r="11986" customFormat="false" ht="15.75" hidden="false" customHeight="false" outlineLevel="0" collapsed="false">
      <c r="A11986" s="6" t="n">
        <v>46222</v>
      </c>
      <c r="B11986" s="4" t="s">
        <v>915</v>
      </c>
      <c r="C11986" s="4" t="n">
        <v>5</v>
      </c>
      <c r="D11986" s="4" t="n">
        <v>7</v>
      </c>
      <c r="E11986" s="4"/>
      <c r="F11986" s="4" t="n">
        <v>8</v>
      </c>
      <c r="G11986" s="4" t="n">
        <v>10</v>
      </c>
      <c r="H11986" s="4" t="n">
        <v>4</v>
      </c>
      <c r="I11986" s="4" t="str">
        <v>×</v>
      </c>
      <c r="J11986" s="4"/>
      <c r="K11986" s="4"/>
      <c r="L11986" s="4"/>
      <c r="M11986" s="5" t="s">
        <v>6502</v>
      </c>
    </row>
    <row r="11987" customFormat="false" ht="15.75" hidden="false" customHeight="false" outlineLevel="0" collapsed="false">
      <c r="A11987" s="6" t="n">
        <v>46222</v>
      </c>
      <c r="B11987" s="4" t="s">
        <v>915</v>
      </c>
      <c r="C11987" s="4" t="n">
        <v>5</v>
      </c>
      <c r="D11987" s="4" t="n">
        <v>8</v>
      </c>
      <c r="E11987" s="4"/>
      <c r="F11987" s="4" t="n">
        <v>6</v>
      </c>
      <c r="G11987" s="4" t="n">
        <v>12</v>
      </c>
      <c r="H11987" s="4" t="n">
        <v>4</v>
      </c>
      <c r="I11987" s="4" t="str">
        <v>×</v>
      </c>
      <c r="J11987" s="4"/>
      <c r="K11987" s="4"/>
      <c r="L11987" s="4"/>
      <c r="M11987" s="5" t="s">
        <v>6502</v>
      </c>
    </row>
    <row r="11988" customFormat="false" ht="15.75" hidden="false" customHeight="false" outlineLevel="0" collapsed="false">
      <c r="A11988" s="6" t="n">
        <v>46222</v>
      </c>
      <c r="B11988" s="4" t="s">
        <v>915</v>
      </c>
      <c r="C11988" s="4" t="n">
        <v>5</v>
      </c>
      <c r="D11988" s="4" t="n">
        <v>9</v>
      </c>
      <c r="E11988" s="4"/>
      <c r="F11988" s="4" t="n">
        <v>24</v>
      </c>
      <c r="G11988" s="4" t="n">
        <v>3</v>
      </c>
      <c r="H11988" s="4" t="n">
        <v>3</v>
      </c>
      <c r="I11988" s="4" t="str">
        <v>○</v>
      </c>
      <c r="J11988" s="4" t="n">
        <v>130</v>
      </c>
      <c r="K11988" s="4"/>
      <c r="L11988" s="4"/>
      <c r="M11988" s="5" t="s">
        <v>6502</v>
      </c>
    </row>
    <row r="11989" customFormat="false" ht="15.75" hidden="false" customHeight="false" outlineLevel="0" collapsed="false">
      <c r="A11989" s="6" t="n">
        <v>46222</v>
      </c>
      <c r="B11989" s="4" t="s">
        <v>915</v>
      </c>
      <c r="C11989" s="4" t="n">
        <v>5</v>
      </c>
      <c r="D11989" s="4" t="n">
        <v>10</v>
      </c>
      <c r="E11989" s="4"/>
      <c r="F11989" s="4" t="n">
        <v>21</v>
      </c>
      <c r="G11989" s="4" t="n">
        <v>6</v>
      </c>
      <c r="H11989" s="4" t="n">
        <v>4</v>
      </c>
      <c r="I11989" s="4" t="str">
        <v>×</v>
      </c>
      <c r="J11989" s="4"/>
      <c r="K11989" s="4"/>
      <c r="L11989" s="4"/>
      <c r="M11989" s="5" t="s">
        <v>6502</v>
      </c>
    </row>
    <row r="11990" customFormat="false" ht="15.75" hidden="false" customHeight="false" outlineLevel="0" collapsed="false">
      <c r="A11990" s="6" t="n">
        <v>46222</v>
      </c>
      <c r="B11990" s="4" t="s">
        <v>915</v>
      </c>
      <c r="C11990" s="4" t="n">
        <v>5</v>
      </c>
      <c r="D11990" s="4" t="n">
        <v>11</v>
      </c>
      <c r="E11990" s="4"/>
      <c r="F11990" s="4" t="n">
        <v>24</v>
      </c>
      <c r="G11990" s="4" t="n">
        <v>3</v>
      </c>
      <c r="H11990" s="4" t="n">
        <v>2</v>
      </c>
      <c r="I11990" s="4" t="str">
        <v>○</v>
      </c>
      <c r="J11990" s="4" t="n">
        <v>210</v>
      </c>
      <c r="K11990" s="4"/>
      <c r="L11990" s="4"/>
      <c r="M11990" s="5" t="s">
        <v>6502</v>
      </c>
    </row>
    <row r="11991" customFormat="false" ht="15.75" hidden="false" customHeight="false" outlineLevel="0" collapsed="false">
      <c r="A11991" s="6" t="n">
        <v>46222</v>
      </c>
      <c r="B11991" s="4" t="s">
        <v>915</v>
      </c>
      <c r="C11991" s="4" t="n">
        <v>5</v>
      </c>
      <c r="D11991" s="4" t="n">
        <v>12</v>
      </c>
      <c r="E11991" s="4"/>
      <c r="F11991" s="4" t="n">
        <v>6</v>
      </c>
      <c r="G11991" s="4" t="n">
        <v>12</v>
      </c>
      <c r="H11991" s="4" t="n">
        <v>4</v>
      </c>
      <c r="I11991" s="4" t="str">
        <v>×</v>
      </c>
      <c r="J11991" s="4"/>
      <c r="K11991" s="4"/>
      <c r="L11991" s="4"/>
      <c r="M11991" s="5" t="s">
        <v>6502</v>
      </c>
    </row>
    <row r="11992" customFormat="false" ht="15.75" hidden="false" customHeight="false" outlineLevel="0" collapsed="false">
      <c r="A11992" s="6" t="n">
        <v>46222</v>
      </c>
      <c r="B11992" s="4" t="s">
        <v>915</v>
      </c>
      <c r="C11992" s="4" t="n">
        <v>5</v>
      </c>
      <c r="D11992" s="4" t="n">
        <v>13</v>
      </c>
      <c r="E11992" s="4"/>
      <c r="F11992" s="4" t="n">
        <v>12</v>
      </c>
      <c r="G11992" s="4" t="n">
        <v>8</v>
      </c>
      <c r="H11992" s="4" t="n">
        <v>4</v>
      </c>
      <c r="I11992" s="4" t="str">
        <v>×</v>
      </c>
      <c r="J11992" s="4"/>
      <c r="K11992" s="4"/>
      <c r="L11992" s="4"/>
      <c r="M11992" s="5" t="s">
        <v>6502</v>
      </c>
    </row>
    <row r="11993" customFormat="false" ht="15.75" hidden="false" customHeight="false" outlineLevel="0" collapsed="false">
      <c r="A11993" s="6" t="n">
        <v>46222</v>
      </c>
      <c r="B11993" s="4" t="s">
        <v>915</v>
      </c>
      <c r="C11993" s="4" t="n">
        <v>6</v>
      </c>
      <c r="D11993" s="4" t="n">
        <v>1</v>
      </c>
      <c r="E11993" s="4"/>
      <c r="F11993" s="4" t="n">
        <v>8</v>
      </c>
      <c r="G11993" s="4" t="n">
        <v>12</v>
      </c>
      <c r="H11993" s="4" t="n">
        <v>4</v>
      </c>
      <c r="I11993" s="4" t="str">
        <v>×</v>
      </c>
      <c r="J11993" s="4"/>
      <c r="K11993" s="4"/>
      <c r="L11993" s="4"/>
      <c r="M11993" s="5" t="s">
        <v>6502</v>
      </c>
    </row>
    <row r="11994" customFormat="false" ht="15.75" hidden="false" customHeight="false" outlineLevel="0" collapsed="false">
      <c r="A11994" s="6" t="n">
        <v>46222</v>
      </c>
      <c r="B11994" s="4" t="s">
        <v>915</v>
      </c>
      <c r="C11994" s="4" t="n">
        <v>6</v>
      </c>
      <c r="D11994" s="4" t="n">
        <v>2</v>
      </c>
      <c r="E11994" s="4"/>
      <c r="F11994" s="4" t="n">
        <v>21</v>
      </c>
      <c r="G11994" s="4" t="n">
        <v>4</v>
      </c>
      <c r="H11994" s="4" t="n">
        <v>4</v>
      </c>
      <c r="I11994" s="4" t="str">
        <v>×</v>
      </c>
      <c r="J11994" s="4"/>
      <c r="K11994" s="4"/>
      <c r="L11994" s="4"/>
      <c r="M11994" s="5" t="s">
        <v>6502</v>
      </c>
    </row>
    <row r="11995" customFormat="false" ht="15.75" hidden="false" customHeight="false" outlineLevel="0" collapsed="false">
      <c r="A11995" s="6" t="n">
        <v>46222</v>
      </c>
      <c r="B11995" s="4" t="s">
        <v>915</v>
      </c>
      <c r="C11995" s="4" t="n">
        <v>6</v>
      </c>
      <c r="D11995" s="4" t="n">
        <v>3</v>
      </c>
      <c r="E11995" s="4"/>
      <c r="F11995" s="4" t="n">
        <v>16</v>
      </c>
      <c r="G11995" s="4" t="n">
        <v>10</v>
      </c>
      <c r="H11995" s="4" t="n">
        <v>4</v>
      </c>
      <c r="I11995" s="4" t="str">
        <v>×</v>
      </c>
      <c r="J11995" s="4"/>
      <c r="K11995" s="4"/>
      <c r="L11995" s="4"/>
      <c r="M11995" s="5" t="s">
        <v>6502</v>
      </c>
    </row>
    <row r="11996" customFormat="false" ht="15.75" hidden="false" customHeight="false" outlineLevel="0" collapsed="false">
      <c r="A11996" s="6" t="n">
        <v>46222</v>
      </c>
      <c r="B11996" s="4" t="s">
        <v>915</v>
      </c>
      <c r="C11996" s="4" t="n">
        <v>6</v>
      </c>
      <c r="D11996" s="4" t="n">
        <v>4</v>
      </c>
      <c r="E11996" s="4"/>
      <c r="F11996" s="4" t="n">
        <v>21</v>
      </c>
      <c r="G11996" s="4" t="n">
        <v>4</v>
      </c>
      <c r="H11996" s="4" t="n">
        <v>4</v>
      </c>
      <c r="I11996" s="4" t="str">
        <v>×</v>
      </c>
      <c r="J11996" s="4"/>
      <c r="K11996" s="4"/>
      <c r="L11996" s="4"/>
      <c r="M11996" s="5" t="s">
        <v>6502</v>
      </c>
    </row>
    <row r="11997" customFormat="false" ht="15.75" hidden="false" customHeight="false" outlineLevel="0" collapsed="false">
      <c r="A11997" s="6" t="n">
        <v>46222</v>
      </c>
      <c r="B11997" s="4" t="s">
        <v>915</v>
      </c>
      <c r="C11997" s="4" t="n">
        <v>6</v>
      </c>
      <c r="D11997" s="4" t="n">
        <v>5</v>
      </c>
      <c r="E11997" s="4"/>
      <c r="F11997" s="4" t="n">
        <v>21</v>
      </c>
      <c r="G11997" s="4" t="n">
        <v>4</v>
      </c>
      <c r="H11997" s="4" t="n">
        <v>4</v>
      </c>
      <c r="I11997" s="4" t="str">
        <v>×</v>
      </c>
      <c r="J11997" s="4"/>
      <c r="K11997" s="4"/>
      <c r="L11997" s="4"/>
      <c r="M11997" s="5" t="s">
        <v>6502</v>
      </c>
    </row>
    <row r="11998" customFormat="false" ht="15.75" hidden="false" customHeight="false" outlineLevel="0" collapsed="false">
      <c r="A11998" s="6" t="n">
        <v>46222</v>
      </c>
      <c r="B11998" s="4" t="s">
        <v>915</v>
      </c>
      <c r="C11998" s="4" t="n">
        <v>6</v>
      </c>
      <c r="D11998" s="4" t="n">
        <v>6</v>
      </c>
      <c r="E11998" s="4"/>
      <c r="F11998" s="4" t="n">
        <v>8</v>
      </c>
      <c r="G11998" s="4" t="n">
        <v>12</v>
      </c>
      <c r="H11998" s="4" t="n">
        <v>2</v>
      </c>
      <c r="I11998" s="4" t="str">
        <v>○</v>
      </c>
      <c r="J11998" s="4" t="n">
        <v>190</v>
      </c>
      <c r="K11998" s="4"/>
      <c r="L11998" s="4"/>
      <c r="M11998" s="5" t="s">
        <v>6502</v>
      </c>
    </row>
    <row r="11999" customFormat="false" ht="15.75" hidden="false" customHeight="false" outlineLevel="0" collapsed="false">
      <c r="A11999" s="6" t="n">
        <v>46222</v>
      </c>
      <c r="B11999" s="4" t="s">
        <v>915</v>
      </c>
      <c r="C11999" s="4" t="n">
        <v>6</v>
      </c>
      <c r="D11999" s="4" t="n">
        <v>7</v>
      </c>
      <c r="E11999" s="4"/>
      <c r="F11999" s="4" t="n">
        <v>8</v>
      </c>
      <c r="G11999" s="4" t="n">
        <v>12</v>
      </c>
      <c r="H11999" s="4" t="n">
        <v>4</v>
      </c>
      <c r="I11999" s="4" t="str">
        <v>×</v>
      </c>
      <c r="J11999" s="4"/>
      <c r="K11999" s="4"/>
      <c r="L11999" s="4"/>
      <c r="M11999" s="5" t="s">
        <v>6502</v>
      </c>
    </row>
    <row r="12000" customFormat="false" ht="15.75" hidden="false" customHeight="false" outlineLevel="0" collapsed="false">
      <c r="A12000" s="6" t="n">
        <v>46222</v>
      </c>
      <c r="B12000" s="4" t="s">
        <v>915</v>
      </c>
      <c r="C12000" s="4" t="n">
        <v>6</v>
      </c>
      <c r="D12000" s="4" t="n">
        <v>8</v>
      </c>
      <c r="E12000" s="4"/>
      <c r="F12000" s="4" t="n">
        <v>21</v>
      </c>
      <c r="G12000" s="4" t="n">
        <v>4</v>
      </c>
      <c r="H12000" s="4" t="n">
        <v>4</v>
      </c>
      <c r="I12000" s="4" t="str">
        <v>×</v>
      </c>
      <c r="J12000" s="4"/>
      <c r="K12000" s="4"/>
      <c r="L12000" s="4"/>
      <c r="M12000" s="5" t="s">
        <v>6502</v>
      </c>
    </row>
    <row r="12001" customFormat="false" ht="15.75" hidden="false" customHeight="false" outlineLevel="0" collapsed="false">
      <c r="A12001" s="6" t="n">
        <v>46222</v>
      </c>
      <c r="B12001" s="4" t="s">
        <v>915</v>
      </c>
      <c r="C12001" s="4" t="n">
        <v>6</v>
      </c>
      <c r="D12001" s="4" t="n">
        <v>9</v>
      </c>
      <c r="E12001" s="4"/>
      <c r="F12001" s="4" t="n">
        <v>21</v>
      </c>
      <c r="G12001" s="4" t="n">
        <v>4</v>
      </c>
      <c r="H12001" s="4" t="n">
        <v>4</v>
      </c>
      <c r="I12001" s="4" t="str">
        <v>×</v>
      </c>
      <c r="J12001" s="4"/>
      <c r="K12001" s="4"/>
      <c r="L12001" s="4"/>
      <c r="M12001" s="5" t="s">
        <v>6502</v>
      </c>
    </row>
    <row r="12002" customFormat="false" ht="15.75" hidden="false" customHeight="false" outlineLevel="0" collapsed="false">
      <c r="A12002" s="6" t="n">
        <v>46222</v>
      </c>
      <c r="B12002" s="4" t="s">
        <v>915</v>
      </c>
      <c r="C12002" s="4" t="n">
        <v>6</v>
      </c>
      <c r="D12002" s="4" t="n">
        <v>10</v>
      </c>
      <c r="E12002" s="4"/>
      <c r="F12002" s="4" t="n">
        <v>8</v>
      </c>
      <c r="G12002" s="4" t="n">
        <v>12</v>
      </c>
      <c r="H12002" s="4" t="n">
        <v>3</v>
      </c>
      <c r="I12002" s="4" t="str">
        <v>○</v>
      </c>
      <c r="J12002" s="4" t="n">
        <v>390</v>
      </c>
      <c r="K12002" s="4"/>
      <c r="L12002" s="4"/>
      <c r="M12002" s="5" t="s">
        <v>6502</v>
      </c>
    </row>
    <row r="12003" customFormat="false" ht="15.75" hidden="false" customHeight="false" outlineLevel="0" collapsed="false">
      <c r="A12003" s="6" t="n">
        <v>46222</v>
      </c>
      <c r="B12003" s="4" t="s">
        <v>915</v>
      </c>
      <c r="C12003" s="4" t="n">
        <v>6</v>
      </c>
      <c r="D12003" s="4" t="n">
        <v>11</v>
      </c>
      <c r="E12003" s="4"/>
      <c r="F12003" s="4" t="n">
        <v>21</v>
      </c>
      <c r="G12003" s="4" t="n">
        <v>4</v>
      </c>
      <c r="H12003" s="4" t="n">
        <v>4</v>
      </c>
      <c r="I12003" s="4" t="str">
        <v>×</v>
      </c>
      <c r="J12003" s="4"/>
      <c r="K12003" s="4"/>
      <c r="L12003" s="4"/>
      <c r="M12003" s="5" t="s">
        <v>6502</v>
      </c>
    </row>
    <row r="12004" customFormat="false" ht="15.75" hidden="false" customHeight="false" outlineLevel="0" collapsed="false">
      <c r="A12004" s="6" t="n">
        <v>46222</v>
      </c>
      <c r="B12004" s="4" t="s">
        <v>915</v>
      </c>
      <c r="C12004" s="4" t="n">
        <v>6</v>
      </c>
      <c r="D12004" s="4" t="n">
        <v>12</v>
      </c>
      <c r="E12004" s="4"/>
      <c r="F12004" s="4" t="n">
        <v>6</v>
      </c>
      <c r="G12004" s="4" t="n">
        <v>16</v>
      </c>
      <c r="H12004" s="4" t="n">
        <v>4</v>
      </c>
      <c r="I12004" s="4" t="str">
        <v>×</v>
      </c>
      <c r="J12004" s="4"/>
      <c r="K12004" s="4"/>
      <c r="L12004" s="4"/>
      <c r="M12004" s="5" t="s">
        <v>6502</v>
      </c>
    </row>
    <row r="12005" customFormat="false" ht="15.75" hidden="false" customHeight="false" outlineLevel="0" collapsed="false">
      <c r="A12005" s="6" t="n">
        <v>46222</v>
      </c>
      <c r="B12005" s="4" t="s">
        <v>915</v>
      </c>
      <c r="C12005" s="4" t="n">
        <v>6</v>
      </c>
      <c r="D12005" s="4" t="n">
        <v>13</v>
      </c>
      <c r="E12005" s="4"/>
      <c r="F12005" s="4" t="n">
        <v>24</v>
      </c>
      <c r="G12005" s="4" t="n">
        <v>2</v>
      </c>
      <c r="H12005" s="4" t="n">
        <v>4</v>
      </c>
      <c r="I12005" s="4" t="str">
        <v>×</v>
      </c>
      <c r="J12005" s="4"/>
      <c r="K12005" s="4"/>
      <c r="L12005" s="4"/>
      <c r="M12005" s="5" t="s">
        <v>6502</v>
      </c>
    </row>
    <row r="12006" customFormat="false" ht="15.75" hidden="false" customHeight="false" outlineLevel="0" collapsed="false">
      <c r="A12006" s="6" t="n">
        <v>46222</v>
      </c>
      <c r="B12006" s="4" t="s">
        <v>915</v>
      </c>
      <c r="C12006" s="4" t="n">
        <v>6</v>
      </c>
      <c r="D12006" s="4" t="n">
        <v>14</v>
      </c>
      <c r="E12006" s="4"/>
      <c r="F12006" s="4" t="n">
        <v>37</v>
      </c>
      <c r="G12006" s="4" t="n">
        <v>1</v>
      </c>
      <c r="H12006" s="4" t="n">
        <v>1</v>
      </c>
      <c r="I12006" s="4" t="str">
        <v>○</v>
      </c>
      <c r="J12006" s="4" t="n">
        <v>150</v>
      </c>
      <c r="K12006" s="4"/>
      <c r="L12006" s="4"/>
      <c r="M12006" s="5" t="s">
        <v>6502</v>
      </c>
    </row>
    <row r="12007" customFormat="false" ht="15.75" hidden="false" customHeight="false" outlineLevel="0" collapsed="false">
      <c r="A12007" s="6" t="n">
        <v>46222</v>
      </c>
      <c r="B12007" s="4" t="s">
        <v>915</v>
      </c>
      <c r="C12007" s="4" t="n">
        <v>6</v>
      </c>
      <c r="D12007" s="4" t="n">
        <v>15</v>
      </c>
      <c r="E12007" s="4"/>
      <c r="F12007" s="4" t="n">
        <v>16</v>
      </c>
      <c r="G12007" s="4" t="n">
        <v>10</v>
      </c>
      <c r="H12007" s="4" t="n">
        <v>4</v>
      </c>
      <c r="I12007" s="4" t="str">
        <v>×</v>
      </c>
      <c r="J12007" s="4"/>
      <c r="K12007" s="4"/>
      <c r="L12007" s="4"/>
      <c r="M12007" s="5" t="s">
        <v>6502</v>
      </c>
    </row>
    <row r="12008" customFormat="false" ht="15.75" hidden="false" customHeight="false" outlineLevel="0" collapsed="false">
      <c r="A12008" s="6" t="n">
        <v>46222</v>
      </c>
      <c r="B12008" s="4" t="s">
        <v>915</v>
      </c>
      <c r="C12008" s="4" t="n">
        <v>6</v>
      </c>
      <c r="D12008" s="4" t="n">
        <v>16</v>
      </c>
      <c r="E12008" s="4"/>
      <c r="F12008" s="4" t="n">
        <v>24</v>
      </c>
      <c r="G12008" s="4" t="n">
        <v>2</v>
      </c>
      <c r="H12008" s="4" t="n">
        <v>4</v>
      </c>
      <c r="I12008" s="4" t="str">
        <v>×</v>
      </c>
      <c r="J12008" s="4"/>
      <c r="K12008" s="4"/>
      <c r="L12008" s="4"/>
      <c r="M12008" s="5" t="s">
        <v>6502</v>
      </c>
    </row>
    <row r="12009" customFormat="false" ht="15.75" hidden="false" customHeight="false" outlineLevel="0" collapsed="false">
      <c r="A12009" s="6" t="n">
        <v>46222</v>
      </c>
      <c r="B12009" s="4" t="s">
        <v>915</v>
      </c>
      <c r="C12009" s="4" t="n">
        <v>7</v>
      </c>
      <c r="D12009" s="4" t="n">
        <v>1</v>
      </c>
      <c r="E12009" s="4"/>
      <c r="F12009" s="4" t="n">
        <v>1</v>
      </c>
      <c r="G12009" s="4" t="n">
        <v>15</v>
      </c>
      <c r="H12009" s="4" t="n">
        <v>4</v>
      </c>
      <c r="I12009" s="4" t="str">
        <v>×</v>
      </c>
      <c r="J12009" s="4"/>
      <c r="K12009" s="4"/>
      <c r="L12009" s="4"/>
      <c r="M12009" s="5" t="s">
        <v>6502</v>
      </c>
    </row>
    <row r="12010" customFormat="false" ht="15.75" hidden="false" customHeight="false" outlineLevel="0" collapsed="false">
      <c r="A12010" s="6" t="n">
        <v>46222</v>
      </c>
      <c r="B12010" s="4" t="s">
        <v>915</v>
      </c>
      <c r="C12010" s="4" t="n">
        <v>7</v>
      </c>
      <c r="D12010" s="4" t="n">
        <v>2</v>
      </c>
      <c r="E12010" s="4"/>
      <c r="F12010" s="4" t="n">
        <v>2</v>
      </c>
      <c r="G12010" s="4" t="n">
        <v>14</v>
      </c>
      <c r="H12010" s="4" t="n">
        <v>4</v>
      </c>
      <c r="I12010" s="4" t="str">
        <v>×</v>
      </c>
      <c r="J12010" s="4"/>
      <c r="K12010" s="4"/>
      <c r="L12010" s="4"/>
      <c r="M12010" s="5" t="s">
        <v>6502</v>
      </c>
    </row>
    <row r="12011" customFormat="false" ht="15.75" hidden="false" customHeight="false" outlineLevel="0" collapsed="false">
      <c r="A12011" s="6" t="n">
        <v>46222</v>
      </c>
      <c r="B12011" s="4" t="s">
        <v>915</v>
      </c>
      <c r="C12011" s="4" t="n">
        <v>7</v>
      </c>
      <c r="D12011" s="4" t="n">
        <v>3</v>
      </c>
      <c r="E12011" s="4"/>
      <c r="F12011" s="4" t="n">
        <v>50</v>
      </c>
      <c r="G12011" s="4" t="n">
        <v>2</v>
      </c>
      <c r="H12011" s="4" t="n">
        <v>1</v>
      </c>
      <c r="I12011" s="4" t="str">
        <v>○</v>
      </c>
      <c r="J12011" s="4" t="n">
        <v>150</v>
      </c>
      <c r="K12011" s="4"/>
      <c r="L12011" s="4"/>
      <c r="M12011" s="5" t="s">
        <v>6502</v>
      </c>
    </row>
    <row r="12012" customFormat="false" ht="15.75" hidden="false" customHeight="false" outlineLevel="0" collapsed="false">
      <c r="A12012" s="6" t="n">
        <v>46222</v>
      </c>
      <c r="B12012" s="4" t="s">
        <v>915</v>
      </c>
      <c r="C12012" s="4" t="n">
        <v>7</v>
      </c>
      <c r="D12012" s="4" t="n">
        <v>4</v>
      </c>
      <c r="E12012" s="4"/>
      <c r="F12012" s="4" t="n">
        <v>60</v>
      </c>
      <c r="G12012" s="4" t="n">
        <v>1</v>
      </c>
      <c r="H12012" s="4" t="n">
        <v>4</v>
      </c>
      <c r="I12012" s="4" t="str">
        <v>×</v>
      </c>
      <c r="J12012" s="4"/>
      <c r="K12012" s="4"/>
      <c r="L12012" s="4"/>
      <c r="M12012" s="5" t="s">
        <v>6502</v>
      </c>
    </row>
    <row r="12013" customFormat="false" ht="15.75" hidden="false" customHeight="false" outlineLevel="0" collapsed="false">
      <c r="A12013" s="6" t="n">
        <v>46222</v>
      </c>
      <c r="B12013" s="4" t="s">
        <v>915</v>
      </c>
      <c r="C12013" s="4" t="n">
        <v>7</v>
      </c>
      <c r="D12013" s="4" t="n">
        <v>5</v>
      </c>
      <c r="E12013" s="4"/>
      <c r="F12013" s="4" t="n">
        <v>34</v>
      </c>
      <c r="G12013" s="4" t="n">
        <v>4</v>
      </c>
      <c r="H12013" s="4" t="n">
        <v>4</v>
      </c>
      <c r="I12013" s="4" t="str">
        <v>×</v>
      </c>
      <c r="J12013" s="4"/>
      <c r="K12013" s="4"/>
      <c r="L12013" s="4"/>
      <c r="M12013" s="5" t="s">
        <v>6502</v>
      </c>
    </row>
    <row r="12014" customFormat="false" ht="15.75" hidden="false" customHeight="false" outlineLevel="0" collapsed="false">
      <c r="A12014" s="6" t="n">
        <v>46222</v>
      </c>
      <c r="B12014" s="4" t="s">
        <v>915</v>
      </c>
      <c r="C12014" s="4" t="n">
        <v>7</v>
      </c>
      <c r="D12014" s="4" t="n">
        <v>6</v>
      </c>
      <c r="E12014" s="4"/>
      <c r="F12014" s="4" t="n">
        <v>10</v>
      </c>
      <c r="G12014" s="4" t="n">
        <v>9</v>
      </c>
      <c r="H12014" s="4" t="n">
        <v>4</v>
      </c>
      <c r="I12014" s="4" t="str">
        <v>×</v>
      </c>
      <c r="J12014" s="4"/>
      <c r="K12014" s="4"/>
      <c r="L12014" s="4"/>
      <c r="M12014" s="5" t="s">
        <v>6502</v>
      </c>
    </row>
    <row r="12015" customFormat="false" ht="15.75" hidden="false" customHeight="false" outlineLevel="0" collapsed="false">
      <c r="A12015" s="6" t="n">
        <v>46222</v>
      </c>
      <c r="B12015" s="4" t="s">
        <v>915</v>
      </c>
      <c r="C12015" s="4" t="n">
        <v>7</v>
      </c>
      <c r="D12015" s="4" t="n">
        <v>7</v>
      </c>
      <c r="E12015" s="4"/>
      <c r="F12015" s="4" t="n">
        <v>17</v>
      </c>
      <c r="G12015" s="4" t="n">
        <v>5</v>
      </c>
      <c r="H12015" s="4" t="n">
        <v>2</v>
      </c>
      <c r="I12015" s="4" t="str">
        <v>○</v>
      </c>
      <c r="J12015" s="4" t="n">
        <v>310</v>
      </c>
      <c r="K12015" s="4"/>
      <c r="L12015" s="4"/>
      <c r="M12015" s="5" t="s">
        <v>6502</v>
      </c>
    </row>
    <row r="12016" customFormat="false" ht="15.75" hidden="false" customHeight="false" outlineLevel="0" collapsed="false">
      <c r="A12016" s="6" t="n">
        <v>46222</v>
      </c>
      <c r="B12016" s="4" t="s">
        <v>915</v>
      </c>
      <c r="C12016" s="4" t="n">
        <v>7</v>
      </c>
      <c r="D12016" s="4" t="n">
        <v>8</v>
      </c>
      <c r="E12016" s="4"/>
      <c r="F12016" s="4" t="n">
        <v>4</v>
      </c>
      <c r="G12016" s="4" t="n">
        <v>10</v>
      </c>
      <c r="H12016" s="4" t="n">
        <v>4</v>
      </c>
      <c r="I12016" s="4" t="str">
        <v>×</v>
      </c>
      <c r="J12016" s="4"/>
      <c r="K12016" s="4"/>
      <c r="L12016" s="4"/>
      <c r="M12016" s="5" t="s">
        <v>6502</v>
      </c>
    </row>
    <row r="12017" customFormat="false" ht="15.75" hidden="false" customHeight="false" outlineLevel="0" collapsed="false">
      <c r="A12017" s="6" t="n">
        <v>46222</v>
      </c>
      <c r="B12017" s="4" t="s">
        <v>915</v>
      </c>
      <c r="C12017" s="4" t="n">
        <v>7</v>
      </c>
      <c r="D12017" s="4" t="n">
        <v>9</v>
      </c>
      <c r="E12017" s="4"/>
      <c r="F12017" s="4" t="n">
        <v>17</v>
      </c>
      <c r="G12017" s="4" t="n">
        <v>5</v>
      </c>
      <c r="H12017" s="4" t="n">
        <v>4</v>
      </c>
      <c r="I12017" s="4" t="str">
        <v>×</v>
      </c>
      <c r="J12017" s="4"/>
      <c r="K12017" s="4"/>
      <c r="L12017" s="4"/>
      <c r="M12017" s="5" t="s">
        <v>6502</v>
      </c>
    </row>
    <row r="12018" customFormat="false" ht="15.75" hidden="false" customHeight="false" outlineLevel="0" collapsed="false">
      <c r="A12018" s="6" t="n">
        <v>46222</v>
      </c>
      <c r="B12018" s="4" t="s">
        <v>915</v>
      </c>
      <c r="C12018" s="4" t="n">
        <v>7</v>
      </c>
      <c r="D12018" s="4" t="n">
        <v>10</v>
      </c>
      <c r="E12018" s="4"/>
      <c r="F12018" s="4" t="n">
        <v>4</v>
      </c>
      <c r="G12018" s="4" t="n">
        <v>10</v>
      </c>
      <c r="H12018" s="4" t="n">
        <v>4</v>
      </c>
      <c r="I12018" s="4" t="str">
        <v>×</v>
      </c>
      <c r="J12018" s="4"/>
      <c r="K12018" s="4"/>
      <c r="L12018" s="4"/>
      <c r="M12018" s="5" t="s">
        <v>6502</v>
      </c>
    </row>
    <row r="12019" customFormat="false" ht="15.75" hidden="false" customHeight="false" outlineLevel="0" collapsed="false">
      <c r="A12019" s="6" t="n">
        <v>46222</v>
      </c>
      <c r="B12019" s="4" t="s">
        <v>915</v>
      </c>
      <c r="C12019" s="4" t="n">
        <v>7</v>
      </c>
      <c r="D12019" s="4" t="n">
        <v>11</v>
      </c>
      <c r="E12019" s="4"/>
      <c r="F12019" s="4" t="n">
        <v>13</v>
      </c>
      <c r="G12019" s="4" t="n">
        <v>8</v>
      </c>
      <c r="H12019" s="4" t="n">
        <v>4</v>
      </c>
      <c r="I12019" s="4" t="str">
        <v>×</v>
      </c>
      <c r="J12019" s="4"/>
      <c r="K12019" s="4"/>
      <c r="L12019" s="4"/>
      <c r="M12019" s="5" t="s">
        <v>6502</v>
      </c>
    </row>
    <row r="12020" customFormat="false" ht="15.75" hidden="false" customHeight="false" outlineLevel="0" collapsed="false">
      <c r="A12020" s="6" t="n">
        <v>46222</v>
      </c>
      <c r="B12020" s="4" t="s">
        <v>915</v>
      </c>
      <c r="C12020" s="4" t="n">
        <v>7</v>
      </c>
      <c r="D12020" s="4" t="n">
        <v>12</v>
      </c>
      <c r="E12020" s="4"/>
      <c r="F12020" s="4" t="n">
        <v>3</v>
      </c>
      <c r="G12020" s="4" t="n">
        <v>13</v>
      </c>
      <c r="H12020" s="4" t="n">
        <v>4</v>
      </c>
      <c r="I12020" s="4" t="str">
        <v>×</v>
      </c>
      <c r="J12020" s="4"/>
      <c r="K12020" s="4"/>
      <c r="L12020" s="4"/>
      <c r="M12020" s="5" t="s">
        <v>6502</v>
      </c>
    </row>
    <row r="12021" customFormat="false" ht="15.75" hidden="false" customHeight="false" outlineLevel="0" collapsed="false">
      <c r="A12021" s="6" t="n">
        <v>46222</v>
      </c>
      <c r="B12021" s="4" t="s">
        <v>915</v>
      </c>
      <c r="C12021" s="4" t="n">
        <v>7</v>
      </c>
      <c r="D12021" s="4" t="n">
        <v>13</v>
      </c>
      <c r="E12021" s="4"/>
      <c r="F12021" s="4" t="n">
        <v>39</v>
      </c>
      <c r="G12021" s="4" t="n">
        <v>3</v>
      </c>
      <c r="H12021" s="4" t="n">
        <v>3</v>
      </c>
      <c r="I12021" s="4" t="str">
        <v>○</v>
      </c>
      <c r="J12021" s="4" t="n">
        <v>220</v>
      </c>
      <c r="K12021" s="4"/>
      <c r="L12021" s="4"/>
      <c r="M12021" s="5" t="s">
        <v>6502</v>
      </c>
    </row>
    <row r="12022" customFormat="false" ht="15.75" hidden="false" customHeight="false" outlineLevel="0" collapsed="false">
      <c r="A12022" s="6" t="n">
        <v>46222</v>
      </c>
      <c r="B12022" s="4" t="s">
        <v>915</v>
      </c>
      <c r="C12022" s="4" t="n">
        <v>7</v>
      </c>
      <c r="D12022" s="4" t="n">
        <v>14</v>
      </c>
      <c r="E12022" s="4"/>
      <c r="F12022" s="4" t="n">
        <v>4</v>
      </c>
      <c r="G12022" s="4" t="n">
        <v>10</v>
      </c>
      <c r="H12022" s="4" t="n">
        <v>4</v>
      </c>
      <c r="I12022" s="4" t="str">
        <v>×</v>
      </c>
      <c r="J12022" s="4"/>
      <c r="K12022" s="4"/>
      <c r="L12022" s="4"/>
      <c r="M12022" s="5" t="s">
        <v>6502</v>
      </c>
    </row>
    <row r="12023" customFormat="false" ht="15.75" hidden="false" customHeight="false" outlineLevel="0" collapsed="false">
      <c r="A12023" s="6" t="n">
        <v>46222</v>
      </c>
      <c r="B12023" s="4" t="s">
        <v>915</v>
      </c>
      <c r="C12023" s="4" t="n">
        <v>7</v>
      </c>
      <c r="D12023" s="4" t="n">
        <v>15</v>
      </c>
      <c r="E12023" s="4"/>
      <c r="F12023" s="4" t="n">
        <v>17</v>
      </c>
      <c r="G12023" s="4" t="n">
        <v>5</v>
      </c>
      <c r="H12023" s="4" t="n">
        <v>4</v>
      </c>
      <c r="I12023" s="4" t="str">
        <v>×</v>
      </c>
      <c r="J12023" s="4"/>
      <c r="K12023" s="4"/>
      <c r="L12023" s="4"/>
      <c r="M12023" s="5" t="s">
        <v>6502</v>
      </c>
    </row>
    <row r="12024" customFormat="false" ht="15.75" hidden="false" customHeight="false" outlineLevel="0" collapsed="false">
      <c r="A12024" s="6" t="n">
        <v>46222</v>
      </c>
      <c r="B12024" s="4" t="s">
        <v>915</v>
      </c>
      <c r="C12024" s="4" t="n">
        <v>8</v>
      </c>
      <c r="D12024" s="4" t="n">
        <v>1</v>
      </c>
      <c r="E12024" s="4"/>
      <c r="F12024" s="4" t="n">
        <v>4</v>
      </c>
      <c r="G12024" s="4" t="n">
        <v>14</v>
      </c>
      <c r="H12024" s="4" t="n">
        <v>4</v>
      </c>
      <c r="I12024" s="4" t="str">
        <v>×</v>
      </c>
      <c r="J12024" s="4"/>
      <c r="K12024" s="4"/>
      <c r="L12024" s="4"/>
      <c r="M12024" s="5" t="s">
        <v>6502</v>
      </c>
    </row>
    <row r="12025" customFormat="false" ht="15.75" hidden="false" customHeight="false" outlineLevel="0" collapsed="false">
      <c r="A12025" s="6" t="n">
        <v>46222</v>
      </c>
      <c r="B12025" s="4" t="s">
        <v>915</v>
      </c>
      <c r="C12025" s="4" t="n">
        <v>8</v>
      </c>
      <c r="D12025" s="4" t="n">
        <v>2</v>
      </c>
      <c r="E12025" s="4"/>
      <c r="F12025" s="4" t="n">
        <v>44</v>
      </c>
      <c r="G12025" s="4" t="n">
        <v>2</v>
      </c>
      <c r="H12025" s="4" t="n">
        <v>4</v>
      </c>
      <c r="I12025" s="4" t="str">
        <v>×</v>
      </c>
      <c r="J12025" s="4"/>
      <c r="K12025" s="4"/>
      <c r="L12025" s="4"/>
      <c r="M12025" s="5" t="s">
        <v>6502</v>
      </c>
    </row>
    <row r="12026" customFormat="false" ht="15.75" hidden="false" customHeight="false" outlineLevel="0" collapsed="false">
      <c r="A12026" s="6" t="n">
        <v>46222</v>
      </c>
      <c r="B12026" s="4" t="s">
        <v>915</v>
      </c>
      <c r="C12026" s="4" t="n">
        <v>8</v>
      </c>
      <c r="D12026" s="4" t="n">
        <v>3</v>
      </c>
      <c r="E12026" s="4"/>
      <c r="F12026" s="4" t="n">
        <v>37</v>
      </c>
      <c r="G12026" s="4" t="n">
        <v>4</v>
      </c>
      <c r="H12026" s="4" t="n">
        <v>2</v>
      </c>
      <c r="I12026" s="4" t="str">
        <v>○</v>
      </c>
      <c r="J12026" s="4" t="n">
        <v>340</v>
      </c>
      <c r="K12026" s="4"/>
      <c r="L12026" s="4"/>
      <c r="M12026" s="5" t="s">
        <v>6502</v>
      </c>
    </row>
    <row r="12027" customFormat="false" ht="15.75" hidden="false" customHeight="false" outlineLevel="0" collapsed="false">
      <c r="A12027" s="6" t="n">
        <v>46222</v>
      </c>
      <c r="B12027" s="4" t="s">
        <v>915</v>
      </c>
      <c r="C12027" s="4" t="n">
        <v>8</v>
      </c>
      <c r="D12027" s="4" t="n">
        <v>4</v>
      </c>
      <c r="E12027" s="4"/>
      <c r="F12027" s="4" t="n">
        <v>23</v>
      </c>
      <c r="G12027" s="4" t="n">
        <v>10</v>
      </c>
      <c r="H12027" s="4" t="n">
        <v>4</v>
      </c>
      <c r="I12027" s="4" t="str">
        <v>×</v>
      </c>
      <c r="J12027" s="4"/>
      <c r="K12027" s="4"/>
      <c r="L12027" s="4"/>
      <c r="M12027" s="5" t="s">
        <v>6502</v>
      </c>
    </row>
    <row r="12028" customFormat="false" ht="15.75" hidden="false" customHeight="false" outlineLevel="0" collapsed="false">
      <c r="A12028" s="6" t="n">
        <v>46222</v>
      </c>
      <c r="B12028" s="4" t="s">
        <v>915</v>
      </c>
      <c r="C12028" s="4" t="n">
        <v>8</v>
      </c>
      <c r="D12028" s="4" t="n">
        <v>5</v>
      </c>
      <c r="E12028" s="4"/>
      <c r="F12028" s="4" t="n">
        <v>29</v>
      </c>
      <c r="G12028" s="4" t="n">
        <v>8</v>
      </c>
      <c r="H12028" s="4" t="n">
        <v>4</v>
      </c>
      <c r="I12028" s="4" t="str">
        <v>×</v>
      </c>
      <c r="J12028" s="4"/>
      <c r="K12028" s="4"/>
      <c r="L12028" s="4"/>
      <c r="M12028" s="5" t="s">
        <v>6502</v>
      </c>
    </row>
    <row r="12029" customFormat="false" ht="15.75" hidden="false" customHeight="false" outlineLevel="0" collapsed="false">
      <c r="A12029" s="6" t="n">
        <v>46222</v>
      </c>
      <c r="B12029" s="4" t="s">
        <v>915</v>
      </c>
      <c r="C12029" s="4" t="n">
        <v>8</v>
      </c>
      <c r="D12029" s="4" t="n">
        <v>6</v>
      </c>
      <c r="E12029" s="4"/>
      <c r="F12029" s="4" t="n">
        <v>34</v>
      </c>
      <c r="G12029" s="4" t="n">
        <v>5</v>
      </c>
      <c r="H12029" s="4" t="n">
        <v>3</v>
      </c>
      <c r="I12029" s="4" t="str">
        <v>○</v>
      </c>
      <c r="J12029" s="4" t="n">
        <v>890</v>
      </c>
      <c r="K12029" s="4"/>
      <c r="L12029" s="4"/>
      <c r="M12029" s="5" t="s">
        <v>6502</v>
      </c>
    </row>
    <row r="12030" customFormat="false" ht="15.75" hidden="false" customHeight="false" outlineLevel="0" collapsed="false">
      <c r="A12030" s="6" t="n">
        <v>46222</v>
      </c>
      <c r="B12030" s="4" t="s">
        <v>915</v>
      </c>
      <c r="C12030" s="4" t="n">
        <v>8</v>
      </c>
      <c r="D12030" s="4" t="n">
        <v>7</v>
      </c>
      <c r="E12030" s="4"/>
      <c r="F12030" s="4" t="n">
        <v>39</v>
      </c>
      <c r="G12030" s="4" t="n">
        <v>3</v>
      </c>
      <c r="H12030" s="4" t="n">
        <v>4</v>
      </c>
      <c r="I12030" s="4" t="str">
        <v>×</v>
      </c>
      <c r="J12030" s="4"/>
      <c r="K12030" s="4"/>
      <c r="L12030" s="4"/>
      <c r="M12030" s="5" t="s">
        <v>6502</v>
      </c>
    </row>
    <row r="12031" customFormat="false" ht="15.75" hidden="false" customHeight="false" outlineLevel="0" collapsed="false">
      <c r="A12031" s="6" t="n">
        <v>46222</v>
      </c>
      <c r="B12031" s="4" t="s">
        <v>915</v>
      </c>
      <c r="C12031" s="4" t="n">
        <v>8</v>
      </c>
      <c r="D12031" s="4" t="n">
        <v>8</v>
      </c>
      <c r="E12031" s="4"/>
      <c r="F12031" s="4" t="n">
        <v>62</v>
      </c>
      <c r="G12031" s="4" t="n">
        <v>1</v>
      </c>
      <c r="H12031" s="4" t="n">
        <v>4</v>
      </c>
      <c r="I12031" s="4" t="str">
        <v>×</v>
      </c>
      <c r="J12031" s="4"/>
      <c r="K12031" s="4"/>
      <c r="L12031" s="4"/>
      <c r="M12031" s="5" t="s">
        <v>6502</v>
      </c>
    </row>
    <row r="12032" customFormat="false" ht="15.75" hidden="false" customHeight="false" outlineLevel="0" collapsed="false">
      <c r="A12032" s="6" t="n">
        <v>46222</v>
      </c>
      <c r="B12032" s="4" t="s">
        <v>915</v>
      </c>
      <c r="C12032" s="4" t="n">
        <v>8</v>
      </c>
      <c r="D12032" s="4" t="n">
        <v>9</v>
      </c>
      <c r="E12032" s="4"/>
      <c r="F12032" s="4" t="n">
        <v>15</v>
      </c>
      <c r="G12032" s="4" t="n">
        <v>12</v>
      </c>
      <c r="H12032" s="4" t="n">
        <v>4</v>
      </c>
      <c r="I12032" s="4" t="str">
        <v>×</v>
      </c>
      <c r="J12032" s="4"/>
      <c r="K12032" s="4"/>
      <c r="L12032" s="4"/>
      <c r="M12032" s="5" t="s">
        <v>6502</v>
      </c>
    </row>
    <row r="12033" customFormat="false" ht="15.75" hidden="false" customHeight="false" outlineLevel="0" collapsed="false">
      <c r="A12033" s="6" t="n">
        <v>46222</v>
      </c>
      <c r="B12033" s="4" t="s">
        <v>915</v>
      </c>
      <c r="C12033" s="4" t="n">
        <v>8</v>
      </c>
      <c r="D12033" s="4" t="n">
        <v>10</v>
      </c>
      <c r="E12033" s="4"/>
      <c r="F12033" s="4" t="n">
        <v>1</v>
      </c>
      <c r="G12033" s="4" t="n">
        <v>16</v>
      </c>
      <c r="H12033" s="4" t="n">
        <v>4</v>
      </c>
      <c r="I12033" s="4" t="str">
        <v>×</v>
      </c>
      <c r="J12033" s="4"/>
      <c r="K12033" s="4"/>
      <c r="L12033" s="4"/>
      <c r="M12033" s="5" t="s">
        <v>6502</v>
      </c>
    </row>
    <row r="12034" customFormat="false" ht="15.75" hidden="false" customHeight="false" outlineLevel="0" collapsed="false">
      <c r="A12034" s="6" t="n">
        <v>46222</v>
      </c>
      <c r="B12034" s="4" t="s">
        <v>915</v>
      </c>
      <c r="C12034" s="4" t="n">
        <v>8</v>
      </c>
      <c r="D12034" s="4" t="n">
        <v>11</v>
      </c>
      <c r="E12034" s="4"/>
      <c r="F12034" s="4" t="n">
        <v>3</v>
      </c>
      <c r="G12034" s="4" t="n">
        <v>15</v>
      </c>
      <c r="H12034" s="4" t="n">
        <v>4</v>
      </c>
      <c r="I12034" s="4" t="str">
        <v>×</v>
      </c>
      <c r="J12034" s="4"/>
      <c r="K12034" s="4"/>
      <c r="L12034" s="4"/>
      <c r="M12034" s="5" t="s">
        <v>6502</v>
      </c>
    </row>
    <row r="12035" customFormat="false" ht="15.75" hidden="false" customHeight="false" outlineLevel="0" collapsed="false">
      <c r="A12035" s="6" t="n">
        <v>46222</v>
      </c>
      <c r="B12035" s="4" t="s">
        <v>915</v>
      </c>
      <c r="C12035" s="4" t="n">
        <v>8</v>
      </c>
      <c r="D12035" s="4" t="n">
        <v>12</v>
      </c>
      <c r="E12035" s="4"/>
      <c r="F12035" s="4" t="n">
        <v>34</v>
      </c>
      <c r="G12035" s="4" t="n">
        <v>5</v>
      </c>
      <c r="H12035" s="4" t="n">
        <v>4</v>
      </c>
      <c r="I12035" s="4" t="str">
        <v>×</v>
      </c>
      <c r="J12035" s="4"/>
      <c r="K12035" s="4"/>
      <c r="L12035" s="4"/>
      <c r="M12035" s="5" t="s">
        <v>6502</v>
      </c>
    </row>
    <row r="12036" customFormat="false" ht="15.75" hidden="false" customHeight="false" outlineLevel="0" collapsed="false">
      <c r="A12036" s="6" t="n">
        <v>46222</v>
      </c>
      <c r="B12036" s="4" t="s">
        <v>915</v>
      </c>
      <c r="C12036" s="4" t="n">
        <v>8</v>
      </c>
      <c r="D12036" s="4" t="n">
        <v>13</v>
      </c>
      <c r="E12036" s="4"/>
      <c r="F12036" s="4" t="n">
        <v>10</v>
      </c>
      <c r="G12036" s="4" t="n">
        <v>13</v>
      </c>
      <c r="H12036" s="4" t="n">
        <v>1</v>
      </c>
      <c r="I12036" s="4" t="str">
        <v>○</v>
      </c>
      <c r="J12036" s="4" t="n">
        <v>800</v>
      </c>
      <c r="K12036" s="4"/>
      <c r="L12036" s="4"/>
      <c r="M12036" s="5" t="s">
        <v>6502</v>
      </c>
    </row>
    <row r="12037" customFormat="false" ht="15.75" hidden="false" customHeight="false" outlineLevel="0" collapsed="false">
      <c r="A12037" s="6" t="n">
        <v>46222</v>
      </c>
      <c r="B12037" s="4" t="s">
        <v>915</v>
      </c>
      <c r="C12037" s="4" t="n">
        <v>8</v>
      </c>
      <c r="D12037" s="4" t="n">
        <v>14</v>
      </c>
      <c r="E12037" s="4"/>
      <c r="F12037" s="4" t="n">
        <v>17</v>
      </c>
      <c r="G12037" s="4" t="n">
        <v>11</v>
      </c>
      <c r="H12037" s="4" t="n">
        <v>4</v>
      </c>
      <c r="I12037" s="4" t="str">
        <v>×</v>
      </c>
      <c r="J12037" s="4"/>
      <c r="K12037" s="4"/>
      <c r="L12037" s="4"/>
      <c r="M12037" s="5" t="s">
        <v>6502</v>
      </c>
    </row>
    <row r="12038" customFormat="false" ht="15.75" hidden="false" customHeight="false" outlineLevel="0" collapsed="false">
      <c r="A12038" s="6" t="n">
        <v>46222</v>
      </c>
      <c r="B12038" s="4" t="s">
        <v>915</v>
      </c>
      <c r="C12038" s="4" t="n">
        <v>8</v>
      </c>
      <c r="D12038" s="4" t="n">
        <v>15</v>
      </c>
      <c r="E12038" s="4"/>
      <c r="F12038" s="4" t="n">
        <v>34</v>
      </c>
      <c r="G12038" s="4" t="n">
        <v>5</v>
      </c>
      <c r="H12038" s="4" t="n">
        <v>4</v>
      </c>
      <c r="I12038" s="4" t="str">
        <v>×</v>
      </c>
      <c r="J12038" s="4"/>
      <c r="K12038" s="4"/>
      <c r="L12038" s="4"/>
      <c r="M12038" s="5" t="s">
        <v>6502</v>
      </c>
    </row>
    <row r="12039" customFormat="false" ht="15.75" hidden="false" customHeight="false" outlineLevel="0" collapsed="false">
      <c r="A12039" s="6" t="n">
        <v>46222</v>
      </c>
      <c r="B12039" s="4" t="s">
        <v>915</v>
      </c>
      <c r="C12039" s="4" t="n">
        <v>8</v>
      </c>
      <c r="D12039" s="4" t="n">
        <v>16</v>
      </c>
      <c r="E12039" s="4"/>
      <c r="F12039" s="4" t="n">
        <v>29</v>
      </c>
      <c r="G12039" s="4" t="n">
        <v>8</v>
      </c>
      <c r="H12039" s="4" t="n">
        <v>4</v>
      </c>
      <c r="I12039" s="4" t="str">
        <v>×</v>
      </c>
      <c r="J12039" s="4"/>
      <c r="K12039" s="4"/>
      <c r="L12039" s="4"/>
      <c r="M12039" s="5" t="s">
        <v>6502</v>
      </c>
    </row>
    <row r="12040" customFormat="false" ht="15.75" hidden="false" customHeight="false" outlineLevel="0" collapsed="false">
      <c r="A12040" s="6" t="n">
        <v>46222</v>
      </c>
      <c r="B12040" s="4" t="s">
        <v>915</v>
      </c>
      <c r="C12040" s="4" t="n">
        <v>9</v>
      </c>
      <c r="D12040" s="4" t="n">
        <v>1</v>
      </c>
      <c r="E12040" s="4"/>
      <c r="F12040" s="4" t="n">
        <v>37</v>
      </c>
      <c r="G12040" s="4" t="n">
        <v>4</v>
      </c>
      <c r="H12040" s="4" t="n">
        <v>3</v>
      </c>
      <c r="I12040" s="4" t="str">
        <v>○</v>
      </c>
      <c r="J12040" s="4" t="n">
        <v>190</v>
      </c>
      <c r="K12040" s="4"/>
      <c r="L12040" s="4"/>
      <c r="M12040" s="5" t="s">
        <v>6502</v>
      </c>
    </row>
    <row r="12041" customFormat="false" ht="15.75" hidden="false" customHeight="false" outlineLevel="0" collapsed="false">
      <c r="A12041" s="6" t="n">
        <v>46222</v>
      </c>
      <c r="B12041" s="4" t="s">
        <v>915</v>
      </c>
      <c r="C12041" s="4" t="n">
        <v>9</v>
      </c>
      <c r="D12041" s="4" t="n">
        <v>2</v>
      </c>
      <c r="E12041" s="4"/>
      <c r="F12041" s="4" t="n">
        <v>31</v>
      </c>
      <c r="G12041" s="4" t="n">
        <v>5</v>
      </c>
      <c r="H12041" s="4" t="n">
        <v>4</v>
      </c>
      <c r="I12041" s="4" t="str">
        <v>×</v>
      </c>
      <c r="J12041" s="4"/>
      <c r="K12041" s="4"/>
      <c r="L12041" s="4"/>
      <c r="M12041" s="5" t="s">
        <v>6502</v>
      </c>
    </row>
    <row r="12042" customFormat="false" ht="15.75" hidden="false" customHeight="false" outlineLevel="0" collapsed="false">
      <c r="A12042" s="6" t="n">
        <v>46222</v>
      </c>
      <c r="B12042" s="4" t="s">
        <v>915</v>
      </c>
      <c r="C12042" s="4" t="n">
        <v>9</v>
      </c>
      <c r="D12042" s="4" t="n">
        <v>3</v>
      </c>
      <c r="E12042" s="4"/>
      <c r="F12042" s="4" t="n">
        <v>58</v>
      </c>
      <c r="G12042" s="4" t="n">
        <v>1</v>
      </c>
      <c r="H12042" s="4" t="n">
        <v>4</v>
      </c>
      <c r="I12042" s="4" t="str">
        <v>×</v>
      </c>
      <c r="J12042" s="4"/>
      <c r="K12042" s="4"/>
      <c r="L12042" s="4"/>
      <c r="M12042" s="5" t="s">
        <v>6502</v>
      </c>
    </row>
    <row r="12043" customFormat="false" ht="15.75" hidden="false" customHeight="false" outlineLevel="0" collapsed="false">
      <c r="A12043" s="6" t="n">
        <v>46222</v>
      </c>
      <c r="B12043" s="4" t="s">
        <v>915</v>
      </c>
      <c r="C12043" s="4" t="n">
        <v>9</v>
      </c>
      <c r="D12043" s="4" t="n">
        <v>4</v>
      </c>
      <c r="E12043" s="4"/>
      <c r="F12043" s="4" t="n">
        <v>8</v>
      </c>
      <c r="G12043" s="4" t="n">
        <v>13</v>
      </c>
      <c r="H12043" s="4" t="n">
        <v>4</v>
      </c>
      <c r="I12043" s="4" t="str">
        <v>×</v>
      </c>
      <c r="J12043" s="4"/>
      <c r="K12043" s="4"/>
      <c r="L12043" s="4"/>
      <c r="M12043" s="5" t="s">
        <v>6502</v>
      </c>
    </row>
    <row r="12044" customFormat="false" ht="15.75" hidden="false" customHeight="false" outlineLevel="0" collapsed="false">
      <c r="A12044" s="6" t="n">
        <v>46222</v>
      </c>
      <c r="B12044" s="4" t="s">
        <v>915</v>
      </c>
      <c r="C12044" s="4" t="n">
        <v>9</v>
      </c>
      <c r="D12044" s="4" t="n">
        <v>5</v>
      </c>
      <c r="E12044" s="4"/>
      <c r="F12044" s="4" t="n">
        <v>3</v>
      </c>
      <c r="G12044" s="4" t="n">
        <v>16</v>
      </c>
      <c r="H12044" s="4" t="n">
        <v>4</v>
      </c>
      <c r="I12044" s="4" t="str">
        <v>×</v>
      </c>
      <c r="J12044" s="4"/>
      <c r="K12044" s="4"/>
      <c r="L12044" s="4"/>
      <c r="M12044" s="5" t="s">
        <v>6502</v>
      </c>
    </row>
    <row r="12045" customFormat="false" ht="15.75" hidden="false" customHeight="false" outlineLevel="0" collapsed="false">
      <c r="A12045" s="6" t="n">
        <v>46222</v>
      </c>
      <c r="B12045" s="4" t="s">
        <v>915</v>
      </c>
      <c r="C12045" s="4" t="n">
        <v>9</v>
      </c>
      <c r="D12045" s="4" t="n">
        <v>6</v>
      </c>
      <c r="E12045" s="4"/>
      <c r="F12045" s="4" t="n">
        <v>41</v>
      </c>
      <c r="G12045" s="4" t="n">
        <v>2</v>
      </c>
      <c r="H12045" s="4" t="n">
        <v>4</v>
      </c>
      <c r="I12045" s="4" t="str">
        <v>×</v>
      </c>
      <c r="J12045" s="4"/>
      <c r="K12045" s="4"/>
      <c r="L12045" s="4"/>
      <c r="M12045" s="5" t="s">
        <v>6502</v>
      </c>
    </row>
    <row r="12046" customFormat="false" ht="15.75" hidden="false" customHeight="false" outlineLevel="0" collapsed="false">
      <c r="A12046" s="6" t="n">
        <v>46222</v>
      </c>
      <c r="B12046" s="4" t="s">
        <v>915</v>
      </c>
      <c r="C12046" s="4" t="n">
        <v>9</v>
      </c>
      <c r="D12046" s="4" t="n">
        <v>7</v>
      </c>
      <c r="E12046" s="4"/>
      <c r="F12046" s="4" t="n">
        <v>13</v>
      </c>
      <c r="G12046" s="4" t="n">
        <v>12</v>
      </c>
      <c r="H12046" s="4" t="n">
        <v>4</v>
      </c>
      <c r="I12046" s="4" t="str">
        <v>×</v>
      </c>
      <c r="J12046" s="4"/>
      <c r="K12046" s="4"/>
      <c r="L12046" s="4"/>
      <c r="M12046" s="5" t="s">
        <v>6502</v>
      </c>
    </row>
    <row r="12047" customFormat="false" ht="15.75" hidden="false" customHeight="false" outlineLevel="0" collapsed="false">
      <c r="A12047" s="6" t="n">
        <v>46222</v>
      </c>
      <c r="B12047" s="4" t="s">
        <v>915</v>
      </c>
      <c r="C12047" s="4" t="n">
        <v>9</v>
      </c>
      <c r="D12047" s="4" t="n">
        <v>8</v>
      </c>
      <c r="E12047" s="4"/>
      <c r="F12047" s="4" t="n">
        <v>29</v>
      </c>
      <c r="G12047" s="4" t="n">
        <v>6</v>
      </c>
      <c r="H12047" s="4" t="n">
        <v>2</v>
      </c>
      <c r="I12047" s="4" t="str">
        <v>○</v>
      </c>
      <c r="J12047" s="4" t="n">
        <v>340</v>
      </c>
      <c r="K12047" s="4"/>
      <c r="L12047" s="4"/>
      <c r="M12047" s="5" t="s">
        <v>6502</v>
      </c>
    </row>
    <row r="12048" customFormat="false" ht="15.75" hidden="false" customHeight="false" outlineLevel="0" collapsed="false">
      <c r="A12048" s="6" t="n">
        <v>46222</v>
      </c>
      <c r="B12048" s="4" t="s">
        <v>915</v>
      </c>
      <c r="C12048" s="4" t="n">
        <v>9</v>
      </c>
      <c r="D12048" s="4" t="n">
        <v>9</v>
      </c>
      <c r="E12048" s="4"/>
      <c r="F12048" s="4" t="n">
        <v>6</v>
      </c>
      <c r="G12048" s="4" t="n">
        <v>14</v>
      </c>
      <c r="H12048" s="4" t="n">
        <v>4</v>
      </c>
      <c r="I12048" s="4" t="str">
        <v>×</v>
      </c>
      <c r="J12048" s="4"/>
      <c r="K12048" s="4"/>
      <c r="L12048" s="4"/>
      <c r="M12048" s="5" t="s">
        <v>6502</v>
      </c>
    </row>
    <row r="12049" customFormat="false" ht="15.75" hidden="false" customHeight="false" outlineLevel="0" collapsed="false">
      <c r="A12049" s="6" t="n">
        <v>46222</v>
      </c>
      <c r="B12049" s="4" t="s">
        <v>915</v>
      </c>
      <c r="C12049" s="4" t="n">
        <v>9</v>
      </c>
      <c r="D12049" s="4" t="n">
        <v>10</v>
      </c>
      <c r="E12049" s="4"/>
      <c r="F12049" s="4" t="n">
        <v>25</v>
      </c>
      <c r="G12049" s="4" t="n">
        <v>7</v>
      </c>
      <c r="H12049" s="4" t="n">
        <v>4</v>
      </c>
      <c r="I12049" s="4" t="str">
        <v>×</v>
      </c>
      <c r="J12049" s="4"/>
      <c r="K12049" s="4"/>
      <c r="L12049" s="4"/>
      <c r="M12049" s="5" t="s">
        <v>6502</v>
      </c>
    </row>
    <row r="12050" customFormat="false" ht="15.75" hidden="false" customHeight="false" outlineLevel="0" collapsed="false">
      <c r="A12050" s="6" t="n">
        <v>46222</v>
      </c>
      <c r="B12050" s="4" t="s">
        <v>915</v>
      </c>
      <c r="C12050" s="4" t="n">
        <v>9</v>
      </c>
      <c r="D12050" s="4" t="n">
        <v>11</v>
      </c>
      <c r="E12050" s="4"/>
      <c r="F12050" s="4" t="n">
        <v>23</v>
      </c>
      <c r="G12050" s="4" t="n">
        <v>8</v>
      </c>
      <c r="H12050" s="4" t="n">
        <v>4</v>
      </c>
      <c r="I12050" s="4" t="str">
        <v>×</v>
      </c>
      <c r="J12050" s="4"/>
      <c r="K12050" s="4"/>
      <c r="L12050" s="4"/>
      <c r="M12050" s="5" t="s">
        <v>6502</v>
      </c>
    </row>
    <row r="12051" customFormat="false" ht="15.75" hidden="false" customHeight="false" outlineLevel="0" collapsed="false">
      <c r="A12051" s="6" t="n">
        <v>46222</v>
      </c>
      <c r="B12051" s="4" t="s">
        <v>915</v>
      </c>
      <c r="C12051" s="4" t="n">
        <v>9</v>
      </c>
      <c r="D12051" s="4" t="n">
        <v>12</v>
      </c>
      <c r="E12051" s="4"/>
      <c r="F12051" s="4" t="n">
        <v>15</v>
      </c>
      <c r="G12051" s="4" t="n">
        <v>11</v>
      </c>
      <c r="H12051" s="4" t="n">
        <v>4</v>
      </c>
      <c r="I12051" s="4" t="str">
        <v>×</v>
      </c>
      <c r="J12051" s="4"/>
      <c r="K12051" s="4"/>
      <c r="L12051" s="4"/>
      <c r="M12051" s="5" t="s">
        <v>6502</v>
      </c>
    </row>
    <row r="12052" customFormat="false" ht="15.75" hidden="false" customHeight="false" outlineLevel="0" collapsed="false">
      <c r="A12052" s="6" t="n">
        <v>46222</v>
      </c>
      <c r="B12052" s="4" t="s">
        <v>915</v>
      </c>
      <c r="C12052" s="4" t="n">
        <v>9</v>
      </c>
      <c r="D12052" s="4" t="n">
        <v>13</v>
      </c>
      <c r="E12052" s="4"/>
      <c r="F12052" s="4" t="n">
        <v>20</v>
      </c>
      <c r="G12052" s="4" t="n">
        <v>10</v>
      </c>
      <c r="H12052" s="4" t="n">
        <v>1</v>
      </c>
      <c r="I12052" s="4" t="str">
        <v>○</v>
      </c>
      <c r="J12052" s="4" t="n">
        <v>200</v>
      </c>
      <c r="K12052" s="4"/>
      <c r="L12052" s="4"/>
      <c r="M12052" s="5" t="s">
        <v>6502</v>
      </c>
    </row>
    <row r="12053" customFormat="false" ht="15.75" hidden="false" customHeight="false" outlineLevel="0" collapsed="false">
      <c r="A12053" s="6" t="n">
        <v>46222</v>
      </c>
      <c r="B12053" s="4" t="s">
        <v>915</v>
      </c>
      <c r="C12053" s="4" t="n">
        <v>9</v>
      </c>
      <c r="D12053" s="4" t="n">
        <v>14</v>
      </c>
      <c r="E12053" s="4"/>
      <c r="F12053" s="4" t="n">
        <v>23</v>
      </c>
      <c r="G12053" s="4" t="n">
        <v>8</v>
      </c>
      <c r="H12053" s="4" t="n">
        <v>4</v>
      </c>
      <c r="I12053" s="4" t="str">
        <v>×</v>
      </c>
      <c r="J12053" s="4"/>
      <c r="K12053" s="4"/>
      <c r="L12053" s="4"/>
      <c r="M12053" s="5" t="s">
        <v>6502</v>
      </c>
    </row>
    <row r="12054" customFormat="false" ht="15.75" hidden="false" customHeight="false" outlineLevel="0" collapsed="false">
      <c r="A12054" s="6" t="n">
        <v>46222</v>
      </c>
      <c r="B12054" s="4" t="s">
        <v>915</v>
      </c>
      <c r="C12054" s="4" t="n">
        <v>9</v>
      </c>
      <c r="D12054" s="4" t="n">
        <v>15</v>
      </c>
      <c r="E12054" s="4"/>
      <c r="F12054" s="4" t="n">
        <v>41</v>
      </c>
      <c r="G12054" s="4" t="n">
        <v>2</v>
      </c>
      <c r="H12054" s="4" t="n">
        <v>4</v>
      </c>
      <c r="I12054" s="4" t="str">
        <v>×</v>
      </c>
      <c r="J12054" s="4"/>
      <c r="K12054" s="4"/>
      <c r="L12054" s="4"/>
      <c r="M12054" s="5" t="s">
        <v>6502</v>
      </c>
    </row>
    <row r="12055" customFormat="false" ht="15.75" hidden="false" customHeight="false" outlineLevel="0" collapsed="false">
      <c r="A12055" s="6" t="n">
        <v>46222</v>
      </c>
      <c r="B12055" s="4" t="s">
        <v>915</v>
      </c>
      <c r="C12055" s="4" t="n">
        <v>9</v>
      </c>
      <c r="D12055" s="4" t="n">
        <v>16</v>
      </c>
      <c r="E12055" s="4"/>
      <c r="F12055" s="4" t="n">
        <v>6</v>
      </c>
      <c r="G12055" s="4" t="n">
        <v>14</v>
      </c>
      <c r="H12055" s="4" t="n">
        <v>4</v>
      </c>
      <c r="I12055" s="4" t="str">
        <v>×</v>
      </c>
      <c r="J12055" s="4"/>
      <c r="K12055" s="4"/>
      <c r="L12055" s="4"/>
      <c r="M12055" s="5" t="s">
        <v>6502</v>
      </c>
    </row>
    <row r="12056" customFormat="false" ht="15.75" hidden="false" customHeight="false" outlineLevel="0" collapsed="false">
      <c r="A12056" s="6" t="n">
        <v>46222</v>
      </c>
      <c r="B12056" s="4" t="s">
        <v>915</v>
      </c>
      <c r="C12056" s="4" t="n">
        <v>10</v>
      </c>
      <c r="D12056" s="4" t="n">
        <v>1</v>
      </c>
      <c r="E12056" s="4"/>
      <c r="F12056" s="4" t="n">
        <v>17</v>
      </c>
      <c r="G12056" s="4" t="n">
        <v>6</v>
      </c>
      <c r="H12056" s="4" t="n">
        <v>4</v>
      </c>
      <c r="I12056" s="4" t="str">
        <v>×</v>
      </c>
      <c r="J12056" s="4"/>
      <c r="K12056" s="4"/>
      <c r="L12056" s="4"/>
      <c r="M12056" s="5" t="s">
        <v>6502</v>
      </c>
    </row>
    <row r="12057" customFormat="false" ht="15.75" hidden="false" customHeight="false" outlineLevel="0" collapsed="false">
      <c r="A12057" s="6" t="n">
        <v>46222</v>
      </c>
      <c r="B12057" s="4" t="s">
        <v>915</v>
      </c>
      <c r="C12057" s="4" t="n">
        <v>10</v>
      </c>
      <c r="D12057" s="4" t="n">
        <v>2</v>
      </c>
      <c r="E12057" s="4"/>
      <c r="F12057" s="4" t="n">
        <v>8</v>
      </c>
      <c r="G12057" s="4" t="n">
        <v>9</v>
      </c>
      <c r="H12057" s="4" t="n">
        <v>4</v>
      </c>
      <c r="I12057" s="4" t="str">
        <v>×</v>
      </c>
      <c r="J12057" s="4"/>
      <c r="K12057" s="4"/>
      <c r="L12057" s="4"/>
      <c r="M12057" s="5" t="s">
        <v>6502</v>
      </c>
    </row>
    <row r="12058" customFormat="false" ht="15.75" hidden="false" customHeight="false" outlineLevel="0" collapsed="false">
      <c r="A12058" s="6" t="n">
        <v>46222</v>
      </c>
      <c r="B12058" s="4" t="s">
        <v>915</v>
      </c>
      <c r="C12058" s="4" t="n">
        <v>10</v>
      </c>
      <c r="D12058" s="4" t="n">
        <v>3</v>
      </c>
      <c r="E12058" s="4"/>
      <c r="F12058" s="4" t="n">
        <v>1</v>
      </c>
      <c r="G12058" s="4" t="n">
        <v>11</v>
      </c>
      <c r="H12058" s="4" t="n">
        <v>4</v>
      </c>
      <c r="I12058" s="4" t="str">
        <v>×</v>
      </c>
      <c r="J12058" s="4"/>
      <c r="K12058" s="4"/>
      <c r="L12058" s="4"/>
      <c r="M12058" s="5" t="s">
        <v>6502</v>
      </c>
    </row>
    <row r="12059" customFormat="false" ht="15.75" hidden="false" customHeight="false" outlineLevel="0" collapsed="false">
      <c r="A12059" s="6" t="n">
        <v>46222</v>
      </c>
      <c r="B12059" s="4" t="s">
        <v>915</v>
      </c>
      <c r="C12059" s="4" t="n">
        <v>10</v>
      </c>
      <c r="D12059" s="4" t="n">
        <v>4</v>
      </c>
      <c r="E12059" s="4"/>
      <c r="F12059" s="4" t="n">
        <v>74</v>
      </c>
      <c r="G12059" s="4" t="n">
        <v>1</v>
      </c>
      <c r="H12059" s="4" t="n">
        <v>2</v>
      </c>
      <c r="I12059" s="4" t="str">
        <v>○</v>
      </c>
      <c r="J12059" s="4" t="n">
        <v>120</v>
      </c>
      <c r="K12059" s="4"/>
      <c r="L12059" s="4"/>
      <c r="M12059" s="5" t="s">
        <v>6502</v>
      </c>
    </row>
    <row r="12060" customFormat="false" ht="15.75" hidden="false" customHeight="false" outlineLevel="0" collapsed="false">
      <c r="A12060" s="6" t="n">
        <v>46222</v>
      </c>
      <c r="B12060" s="4" t="s">
        <v>915</v>
      </c>
      <c r="C12060" s="4" t="n">
        <v>10</v>
      </c>
      <c r="D12060" s="4" t="n">
        <v>5</v>
      </c>
      <c r="E12060" s="4"/>
      <c r="F12060" s="4" t="n">
        <v>6</v>
      </c>
      <c r="G12060" s="4" t="n">
        <v>10</v>
      </c>
      <c r="H12060" s="4" t="n">
        <v>4</v>
      </c>
      <c r="I12060" s="4" t="str">
        <v>×</v>
      </c>
      <c r="J12060" s="4"/>
      <c r="K12060" s="4"/>
      <c r="L12060" s="4"/>
      <c r="M12060" s="5" t="s">
        <v>6502</v>
      </c>
    </row>
    <row r="12061" customFormat="false" ht="15.75" hidden="false" customHeight="false" outlineLevel="0" collapsed="false">
      <c r="A12061" s="6" t="n">
        <v>46222</v>
      </c>
      <c r="B12061" s="4" t="s">
        <v>915</v>
      </c>
      <c r="C12061" s="4" t="n">
        <v>10</v>
      </c>
      <c r="D12061" s="4" t="n">
        <v>6</v>
      </c>
      <c r="E12061" s="4"/>
      <c r="F12061" s="4" t="n">
        <v>44</v>
      </c>
      <c r="G12061" s="4" t="n">
        <v>2</v>
      </c>
      <c r="H12061" s="4" t="n">
        <v>3</v>
      </c>
      <c r="I12061" s="4" t="str">
        <v>○</v>
      </c>
      <c r="J12061" s="4" t="n">
        <v>130</v>
      </c>
      <c r="K12061" s="4"/>
      <c r="L12061" s="4"/>
      <c r="M12061" s="5" t="s">
        <v>6502</v>
      </c>
    </row>
    <row r="12062" customFormat="false" ht="15.75" hidden="false" customHeight="false" outlineLevel="0" collapsed="false">
      <c r="A12062" s="6" t="n">
        <v>46222</v>
      </c>
      <c r="B12062" s="4" t="s">
        <v>915</v>
      </c>
      <c r="C12062" s="4" t="n">
        <v>10</v>
      </c>
      <c r="D12062" s="4" t="n">
        <v>7</v>
      </c>
      <c r="E12062" s="4"/>
      <c r="F12062" s="4" t="n">
        <v>39</v>
      </c>
      <c r="G12062" s="4" t="n">
        <v>3</v>
      </c>
      <c r="H12062" s="4" t="n">
        <v>1</v>
      </c>
      <c r="I12062" s="4" t="str">
        <v>○</v>
      </c>
      <c r="J12062" s="4" t="n">
        <v>130</v>
      </c>
      <c r="K12062" s="4"/>
      <c r="L12062" s="4"/>
      <c r="M12062" s="5" t="s">
        <v>6502</v>
      </c>
    </row>
    <row r="12063" customFormat="false" ht="15.75" hidden="false" customHeight="false" outlineLevel="0" collapsed="false">
      <c r="A12063" s="6" t="n">
        <v>46222</v>
      </c>
      <c r="B12063" s="4" t="s">
        <v>915</v>
      </c>
      <c r="C12063" s="4" t="n">
        <v>10</v>
      </c>
      <c r="D12063" s="4" t="n">
        <v>8</v>
      </c>
      <c r="E12063" s="4"/>
      <c r="F12063" s="4" t="n">
        <v>20</v>
      </c>
      <c r="G12063" s="4" t="n">
        <v>5</v>
      </c>
      <c r="H12063" s="4" t="n">
        <v>4</v>
      </c>
      <c r="I12063" s="4" t="str">
        <v>×</v>
      </c>
      <c r="J12063" s="4"/>
      <c r="K12063" s="4"/>
      <c r="L12063" s="4"/>
      <c r="M12063" s="5" t="s">
        <v>6502</v>
      </c>
    </row>
    <row r="12064" customFormat="false" ht="15.75" hidden="false" customHeight="false" outlineLevel="0" collapsed="false">
      <c r="A12064" s="6" t="n">
        <v>46222</v>
      </c>
      <c r="B12064" s="4" t="s">
        <v>915</v>
      </c>
      <c r="C12064" s="4" t="n">
        <v>10</v>
      </c>
      <c r="D12064" s="4" t="n">
        <v>9</v>
      </c>
      <c r="E12064" s="4"/>
      <c r="F12064" s="4" t="n">
        <v>10</v>
      </c>
      <c r="G12064" s="4" t="n">
        <v>8</v>
      </c>
      <c r="H12064" s="4" t="n">
        <v>4</v>
      </c>
      <c r="I12064" s="4" t="str">
        <v>×</v>
      </c>
      <c r="J12064" s="4"/>
      <c r="K12064" s="4"/>
      <c r="L12064" s="4"/>
      <c r="M12064" s="5" t="s">
        <v>6502</v>
      </c>
    </row>
    <row r="12065" customFormat="false" ht="15.75" hidden="false" customHeight="false" outlineLevel="0" collapsed="false">
      <c r="A12065" s="6" t="n">
        <v>46222</v>
      </c>
      <c r="B12065" s="4" t="s">
        <v>915</v>
      </c>
      <c r="C12065" s="4" t="n">
        <v>10</v>
      </c>
      <c r="D12065" s="4" t="n">
        <v>10</v>
      </c>
      <c r="E12065" s="4"/>
      <c r="F12065" s="4" t="n">
        <v>29</v>
      </c>
      <c r="G12065" s="4" t="n">
        <v>4</v>
      </c>
      <c r="H12065" s="4" t="n">
        <v>4</v>
      </c>
      <c r="I12065" s="4" t="str">
        <v>×</v>
      </c>
      <c r="J12065" s="4"/>
      <c r="K12065" s="4"/>
      <c r="L12065" s="4"/>
      <c r="M12065" s="5" t="s">
        <v>6502</v>
      </c>
    </row>
    <row r="12066" customFormat="false" ht="15.75" hidden="false" customHeight="false" outlineLevel="0" collapsed="false">
      <c r="A12066" s="6" t="n">
        <v>46222</v>
      </c>
      <c r="B12066" s="4" t="s">
        <v>915</v>
      </c>
      <c r="C12066" s="4" t="n">
        <v>10</v>
      </c>
      <c r="D12066" s="4" t="n">
        <v>11</v>
      </c>
      <c r="E12066" s="4"/>
      <c r="F12066" s="4" t="n">
        <v>1</v>
      </c>
      <c r="G12066" s="4" t="n">
        <v>11</v>
      </c>
      <c r="H12066" s="4" t="n">
        <v>4</v>
      </c>
      <c r="I12066" s="4" t="str">
        <v>×</v>
      </c>
      <c r="J12066" s="4"/>
      <c r="K12066" s="4"/>
      <c r="L12066" s="4"/>
      <c r="M12066" s="5" t="s">
        <v>6502</v>
      </c>
    </row>
    <row r="12067" customFormat="false" ht="15.75" hidden="false" customHeight="false" outlineLevel="0" collapsed="false">
      <c r="A12067" s="6" t="n">
        <v>46222</v>
      </c>
      <c r="B12067" s="4" t="s">
        <v>915</v>
      </c>
      <c r="C12067" s="4" t="n">
        <v>10</v>
      </c>
      <c r="D12067" s="4" t="n">
        <v>12</v>
      </c>
      <c r="E12067" s="4"/>
      <c r="F12067" s="4" t="n">
        <v>17</v>
      </c>
      <c r="G12067" s="4" t="n">
        <v>6</v>
      </c>
      <c r="H12067" s="4" t="n">
        <v>4</v>
      </c>
      <c r="I12067" s="4" t="str">
        <v>×</v>
      </c>
      <c r="J12067" s="4"/>
      <c r="K12067" s="4"/>
      <c r="L12067" s="4"/>
      <c r="M12067" s="5" t="s">
        <v>6502</v>
      </c>
    </row>
    <row r="12068" customFormat="false" ht="15.75" hidden="false" customHeight="false" outlineLevel="0" collapsed="false">
      <c r="A12068" s="6" t="n">
        <v>46222</v>
      </c>
      <c r="B12068" s="4" t="s">
        <v>915</v>
      </c>
      <c r="C12068" s="4" t="n">
        <v>11</v>
      </c>
      <c r="D12068" s="4" t="n">
        <v>1</v>
      </c>
      <c r="E12068" s="4"/>
      <c r="F12068" s="4" t="n">
        <v>29</v>
      </c>
      <c r="G12068" s="4" t="n">
        <v>5</v>
      </c>
      <c r="H12068" s="4" t="n">
        <v>4</v>
      </c>
      <c r="I12068" s="4" t="str">
        <v>×</v>
      </c>
      <c r="J12068" s="4"/>
      <c r="K12068" s="4"/>
      <c r="L12068" s="4"/>
      <c r="M12068" s="5" t="s">
        <v>6502</v>
      </c>
    </row>
    <row r="12069" customFormat="false" ht="15.75" hidden="false" customHeight="false" outlineLevel="0" collapsed="false">
      <c r="A12069" s="6" t="n">
        <v>46222</v>
      </c>
      <c r="B12069" s="4" t="s">
        <v>915</v>
      </c>
      <c r="C12069" s="4" t="n">
        <v>11</v>
      </c>
      <c r="D12069" s="4" t="n">
        <v>2</v>
      </c>
      <c r="E12069" s="4"/>
      <c r="F12069" s="4" t="n">
        <v>6</v>
      </c>
      <c r="G12069" s="4" t="n">
        <v>12</v>
      </c>
      <c r="H12069" s="4" t="n">
        <v>1</v>
      </c>
      <c r="I12069" s="4" t="str">
        <v>○</v>
      </c>
      <c r="J12069" s="4" t="n">
        <v>760</v>
      </c>
      <c r="K12069" s="4"/>
      <c r="L12069" s="4"/>
      <c r="M12069" s="5" t="s">
        <v>6502</v>
      </c>
    </row>
    <row r="12070" customFormat="false" ht="15.75" hidden="false" customHeight="false" outlineLevel="0" collapsed="false">
      <c r="A12070" s="6" t="n">
        <v>46222</v>
      </c>
      <c r="B12070" s="4" t="s">
        <v>915</v>
      </c>
      <c r="C12070" s="4" t="n">
        <v>11</v>
      </c>
      <c r="D12070" s="4" t="n">
        <v>3</v>
      </c>
      <c r="E12070" s="4"/>
      <c r="F12070" s="4" t="n">
        <v>34</v>
      </c>
      <c r="G12070" s="4" t="n">
        <v>3</v>
      </c>
      <c r="H12070" s="4" t="n">
        <v>4</v>
      </c>
      <c r="I12070" s="4" t="str">
        <v>×</v>
      </c>
      <c r="J12070" s="4"/>
      <c r="K12070" s="4"/>
      <c r="L12070" s="4"/>
      <c r="M12070" s="5" t="s">
        <v>6502</v>
      </c>
    </row>
    <row r="12071" customFormat="false" ht="15.75" hidden="false" customHeight="false" outlineLevel="0" collapsed="false">
      <c r="A12071" s="6" t="n">
        <v>46222</v>
      </c>
      <c r="B12071" s="4" t="s">
        <v>915</v>
      </c>
      <c r="C12071" s="4" t="n">
        <v>11</v>
      </c>
      <c r="D12071" s="4" t="n">
        <v>4</v>
      </c>
      <c r="E12071" s="4"/>
      <c r="F12071" s="4" t="n">
        <v>4</v>
      </c>
      <c r="G12071" s="4" t="n">
        <v>13</v>
      </c>
      <c r="H12071" s="4" t="n">
        <v>4</v>
      </c>
      <c r="I12071" s="4" t="str">
        <v>×</v>
      </c>
      <c r="J12071" s="4"/>
      <c r="K12071" s="4"/>
      <c r="L12071" s="4"/>
      <c r="M12071" s="5" t="s">
        <v>6502</v>
      </c>
    </row>
    <row r="12072" customFormat="false" ht="15.75" hidden="false" customHeight="false" outlineLevel="0" collapsed="false">
      <c r="A12072" s="6" t="n">
        <v>46222</v>
      </c>
      <c r="B12072" s="4" t="s">
        <v>915</v>
      </c>
      <c r="C12072" s="4" t="n">
        <v>11</v>
      </c>
      <c r="D12072" s="4" t="n">
        <v>5</v>
      </c>
      <c r="E12072" s="4"/>
      <c r="F12072" s="4" t="n">
        <v>65</v>
      </c>
      <c r="G12072" s="4" t="n">
        <v>1</v>
      </c>
      <c r="H12072" s="4" t="n">
        <v>4</v>
      </c>
      <c r="I12072" s="4" t="str">
        <v>×</v>
      </c>
      <c r="J12072" s="4"/>
      <c r="K12072" s="4"/>
      <c r="L12072" s="4"/>
      <c r="M12072" s="5" t="s">
        <v>6502</v>
      </c>
    </row>
    <row r="12073" customFormat="false" ht="15.75" hidden="false" customHeight="false" outlineLevel="0" collapsed="false">
      <c r="A12073" s="6" t="n">
        <v>46222</v>
      </c>
      <c r="B12073" s="4" t="s">
        <v>915</v>
      </c>
      <c r="C12073" s="4" t="n">
        <v>11</v>
      </c>
      <c r="D12073" s="4" t="n">
        <v>6</v>
      </c>
      <c r="E12073" s="4"/>
      <c r="F12073" s="4" t="n">
        <v>4</v>
      </c>
      <c r="G12073" s="4" t="n">
        <v>13</v>
      </c>
      <c r="H12073" s="4" t="n">
        <v>4</v>
      </c>
      <c r="I12073" s="4" t="str">
        <v>×</v>
      </c>
      <c r="J12073" s="4"/>
      <c r="K12073" s="4"/>
      <c r="L12073" s="4"/>
      <c r="M12073" s="5" t="s">
        <v>6502</v>
      </c>
    </row>
    <row r="12074" customFormat="false" ht="15.75" hidden="false" customHeight="false" outlineLevel="0" collapsed="false">
      <c r="A12074" s="6" t="n">
        <v>46222</v>
      </c>
      <c r="B12074" s="4" t="s">
        <v>915</v>
      </c>
      <c r="C12074" s="4" t="n">
        <v>11</v>
      </c>
      <c r="D12074" s="4" t="n">
        <v>7</v>
      </c>
      <c r="E12074" s="4"/>
      <c r="F12074" s="4" t="n">
        <v>17</v>
      </c>
      <c r="G12074" s="4" t="n">
        <v>8</v>
      </c>
      <c r="H12074" s="4" t="n">
        <v>2</v>
      </c>
      <c r="I12074" s="4" t="str">
        <v>○</v>
      </c>
      <c r="J12074" s="4" t="n">
        <v>280</v>
      </c>
      <c r="K12074" s="4"/>
      <c r="L12074" s="4"/>
      <c r="M12074" s="5" t="s">
        <v>6502</v>
      </c>
    </row>
    <row r="12075" customFormat="false" ht="15.75" hidden="false" customHeight="false" outlineLevel="0" collapsed="false">
      <c r="A12075" s="6" t="n">
        <v>46222</v>
      </c>
      <c r="B12075" s="4" t="s">
        <v>915</v>
      </c>
      <c r="C12075" s="4" t="n">
        <v>11</v>
      </c>
      <c r="D12075" s="4" t="n">
        <v>8</v>
      </c>
      <c r="E12075" s="4"/>
      <c r="F12075" s="4" t="n">
        <v>25</v>
      </c>
      <c r="G12075" s="4" t="n">
        <v>6</v>
      </c>
      <c r="H12075" s="4" t="n">
        <v>4</v>
      </c>
      <c r="I12075" s="4" t="str">
        <v>×</v>
      </c>
      <c r="J12075" s="4"/>
      <c r="K12075" s="4"/>
      <c r="L12075" s="4"/>
      <c r="M12075" s="5" t="s">
        <v>6502</v>
      </c>
    </row>
    <row r="12076" customFormat="false" ht="15.75" hidden="false" customHeight="false" outlineLevel="0" collapsed="false">
      <c r="A12076" s="6" t="n">
        <v>46222</v>
      </c>
      <c r="B12076" s="4" t="s">
        <v>915</v>
      </c>
      <c r="C12076" s="4" t="n">
        <v>11</v>
      </c>
      <c r="D12076" s="4" t="n">
        <v>9</v>
      </c>
      <c r="E12076" s="4"/>
      <c r="F12076" s="4" t="n">
        <v>4</v>
      </c>
      <c r="G12076" s="4" t="n">
        <v>13</v>
      </c>
      <c r="H12076" s="4" t="n">
        <v>4</v>
      </c>
      <c r="I12076" s="4" t="str">
        <v>×</v>
      </c>
      <c r="J12076" s="4"/>
      <c r="K12076" s="4"/>
      <c r="L12076" s="4"/>
      <c r="M12076" s="5" t="s">
        <v>6502</v>
      </c>
    </row>
    <row r="12077" customFormat="false" ht="15.75" hidden="false" customHeight="false" outlineLevel="0" collapsed="false">
      <c r="A12077" s="6" t="n">
        <v>46222</v>
      </c>
      <c r="B12077" s="4" t="s">
        <v>915</v>
      </c>
      <c r="C12077" s="4" t="n">
        <v>11</v>
      </c>
      <c r="D12077" s="4" t="n">
        <v>10</v>
      </c>
      <c r="E12077" s="4"/>
      <c r="F12077" s="4" t="n">
        <v>10</v>
      </c>
      <c r="G12077" s="4" t="n">
        <v>11</v>
      </c>
      <c r="H12077" s="4" t="n">
        <v>4</v>
      </c>
      <c r="I12077" s="4" t="str">
        <v>×</v>
      </c>
      <c r="J12077" s="4"/>
      <c r="K12077" s="4"/>
      <c r="L12077" s="4"/>
      <c r="M12077" s="5" t="s">
        <v>6502</v>
      </c>
    </row>
    <row r="12078" customFormat="false" ht="15.75" hidden="false" customHeight="false" outlineLevel="0" collapsed="false">
      <c r="A12078" s="6" t="n">
        <v>46222</v>
      </c>
      <c r="B12078" s="4" t="s">
        <v>915</v>
      </c>
      <c r="C12078" s="4" t="n">
        <v>11</v>
      </c>
      <c r="D12078" s="4" t="n">
        <v>11</v>
      </c>
      <c r="E12078" s="4"/>
      <c r="F12078" s="4" t="n">
        <v>13</v>
      </c>
      <c r="G12078" s="4" t="n">
        <v>10</v>
      </c>
      <c r="H12078" s="4" t="n">
        <v>4</v>
      </c>
      <c r="I12078" s="4" t="str">
        <v>×</v>
      </c>
      <c r="J12078" s="4"/>
      <c r="K12078" s="4"/>
      <c r="L12078" s="4"/>
      <c r="M12078" s="5" t="s">
        <v>6502</v>
      </c>
    </row>
    <row r="12079" customFormat="false" ht="15.75" hidden="false" customHeight="false" outlineLevel="0" collapsed="false">
      <c r="A12079" s="6" t="n">
        <v>46222</v>
      </c>
      <c r="B12079" s="4" t="s">
        <v>915</v>
      </c>
      <c r="C12079" s="4" t="n">
        <v>11</v>
      </c>
      <c r="D12079" s="4" t="n">
        <v>12</v>
      </c>
      <c r="E12079" s="4"/>
      <c r="F12079" s="4" t="n">
        <v>3</v>
      </c>
      <c r="G12079" s="4" t="n">
        <v>16</v>
      </c>
      <c r="H12079" s="4" t="n">
        <v>4</v>
      </c>
      <c r="I12079" s="4" t="str">
        <v>×</v>
      </c>
      <c r="J12079" s="4"/>
      <c r="K12079" s="4"/>
      <c r="L12079" s="4"/>
      <c r="M12079" s="5" t="s">
        <v>6502</v>
      </c>
    </row>
    <row r="12080" customFormat="false" ht="15.75" hidden="false" customHeight="false" outlineLevel="0" collapsed="false">
      <c r="A12080" s="6" t="n">
        <v>46222</v>
      </c>
      <c r="B12080" s="4" t="s">
        <v>915</v>
      </c>
      <c r="C12080" s="4" t="n">
        <v>11</v>
      </c>
      <c r="D12080" s="4" t="n">
        <v>13</v>
      </c>
      <c r="E12080" s="4"/>
      <c r="F12080" s="4" t="n">
        <v>31</v>
      </c>
      <c r="G12080" s="4" t="n">
        <v>4</v>
      </c>
      <c r="H12080" s="4" t="n">
        <v>4</v>
      </c>
      <c r="I12080" s="4" t="str">
        <v>×</v>
      </c>
      <c r="J12080" s="4"/>
      <c r="K12080" s="4"/>
      <c r="L12080" s="4"/>
      <c r="M12080" s="5" t="s">
        <v>6502</v>
      </c>
    </row>
    <row r="12081" customFormat="false" ht="15.75" hidden="false" customHeight="false" outlineLevel="0" collapsed="false">
      <c r="A12081" s="6" t="n">
        <v>46222</v>
      </c>
      <c r="B12081" s="4" t="s">
        <v>915</v>
      </c>
      <c r="C12081" s="4" t="n">
        <v>11</v>
      </c>
      <c r="D12081" s="4" t="n">
        <v>14</v>
      </c>
      <c r="E12081" s="4"/>
      <c r="F12081" s="4" t="n">
        <v>15</v>
      </c>
      <c r="G12081" s="4" t="n">
        <v>9</v>
      </c>
      <c r="H12081" s="4" t="n">
        <v>3</v>
      </c>
      <c r="I12081" s="4" t="str">
        <v>○</v>
      </c>
      <c r="J12081" s="4" t="n">
        <v>400</v>
      </c>
      <c r="K12081" s="4"/>
      <c r="L12081" s="4"/>
      <c r="M12081" s="5" t="s">
        <v>6502</v>
      </c>
    </row>
    <row r="12082" customFormat="false" ht="15.75" hidden="false" customHeight="false" outlineLevel="0" collapsed="false">
      <c r="A12082" s="6" t="n">
        <v>46222</v>
      </c>
      <c r="B12082" s="4" t="s">
        <v>915</v>
      </c>
      <c r="C12082" s="4" t="n">
        <v>11</v>
      </c>
      <c r="D12082" s="4" t="n">
        <v>15</v>
      </c>
      <c r="E12082" s="4"/>
      <c r="F12082" s="4" t="n">
        <v>37</v>
      </c>
      <c r="G12082" s="4" t="n">
        <v>2</v>
      </c>
      <c r="H12082" s="4" t="n">
        <v>4</v>
      </c>
      <c r="I12082" s="4" t="str">
        <v>×</v>
      </c>
      <c r="J12082" s="4"/>
      <c r="K12082" s="4"/>
      <c r="L12082" s="4"/>
      <c r="M12082" s="5" t="s">
        <v>6502</v>
      </c>
    </row>
    <row r="12083" customFormat="false" ht="15.75" hidden="false" customHeight="false" outlineLevel="0" collapsed="false">
      <c r="A12083" s="6" t="n">
        <v>46222</v>
      </c>
      <c r="B12083" s="4" t="s">
        <v>915</v>
      </c>
      <c r="C12083" s="4" t="n">
        <v>11</v>
      </c>
      <c r="D12083" s="4" t="n">
        <v>16</v>
      </c>
      <c r="E12083" s="4"/>
      <c r="F12083" s="4" t="n">
        <v>20</v>
      </c>
      <c r="G12083" s="4" t="n">
        <v>7</v>
      </c>
      <c r="H12083" s="4" t="n">
        <v>4</v>
      </c>
      <c r="I12083" s="4" t="str">
        <v>×</v>
      </c>
      <c r="J12083" s="4"/>
      <c r="K12083" s="4"/>
      <c r="L12083" s="4"/>
      <c r="M12083" s="5" t="s">
        <v>6502</v>
      </c>
    </row>
    <row r="12084" customFormat="false" ht="15.75" hidden="false" customHeight="false" outlineLevel="0" collapsed="false">
      <c r="A12084" s="6" t="n">
        <v>46222</v>
      </c>
      <c r="B12084" s="4" t="s">
        <v>915</v>
      </c>
      <c r="C12084" s="4" t="n">
        <v>12</v>
      </c>
      <c r="D12084" s="4" t="n">
        <v>1</v>
      </c>
      <c r="E12084" s="4"/>
      <c r="F12084" s="4" t="n">
        <v>13</v>
      </c>
      <c r="G12084" s="4" t="n">
        <v>8</v>
      </c>
      <c r="H12084" s="4" t="n">
        <v>4</v>
      </c>
      <c r="I12084" s="4" t="str">
        <v>×</v>
      </c>
      <c r="J12084" s="4"/>
      <c r="K12084" s="4"/>
      <c r="L12084" s="4"/>
      <c r="M12084" s="5" t="s">
        <v>6502</v>
      </c>
    </row>
    <row r="12085" customFormat="false" ht="15.75" hidden="false" customHeight="false" outlineLevel="0" collapsed="false">
      <c r="A12085" s="6" t="n">
        <v>46222</v>
      </c>
      <c r="B12085" s="4" t="s">
        <v>915</v>
      </c>
      <c r="C12085" s="4" t="n">
        <v>12</v>
      </c>
      <c r="D12085" s="4" t="n">
        <v>2</v>
      </c>
      <c r="E12085" s="4"/>
      <c r="F12085" s="4" t="n">
        <v>3</v>
      </c>
      <c r="G12085" s="4" t="n">
        <v>11</v>
      </c>
      <c r="H12085" s="4" t="n">
        <v>4</v>
      </c>
      <c r="I12085" s="4" t="str">
        <v>×</v>
      </c>
      <c r="J12085" s="4"/>
      <c r="K12085" s="4"/>
      <c r="L12085" s="4"/>
      <c r="M12085" s="5" t="s">
        <v>6502</v>
      </c>
    </row>
    <row r="12086" customFormat="false" ht="15.75" hidden="false" customHeight="false" outlineLevel="0" collapsed="false">
      <c r="A12086" s="6" t="n">
        <v>46222</v>
      </c>
      <c r="B12086" s="4" t="s">
        <v>915</v>
      </c>
      <c r="C12086" s="4" t="n">
        <v>12</v>
      </c>
      <c r="D12086" s="4" t="n">
        <v>3</v>
      </c>
      <c r="E12086" s="4"/>
      <c r="F12086" s="4" t="n">
        <v>23</v>
      </c>
      <c r="G12086" s="4" t="n">
        <v>5</v>
      </c>
      <c r="H12086" s="4" t="n">
        <v>4</v>
      </c>
      <c r="I12086" s="4" t="str">
        <v>×</v>
      </c>
      <c r="J12086" s="4"/>
      <c r="K12086" s="4"/>
      <c r="L12086" s="4"/>
      <c r="M12086" s="5" t="s">
        <v>6502</v>
      </c>
    </row>
    <row r="12087" customFormat="false" ht="15.75" hidden="false" customHeight="false" outlineLevel="0" collapsed="false">
      <c r="A12087" s="6" t="n">
        <v>46222</v>
      </c>
      <c r="B12087" s="4" t="s">
        <v>915</v>
      </c>
      <c r="C12087" s="4" t="n">
        <v>12</v>
      </c>
      <c r="D12087" s="4" t="n">
        <v>4</v>
      </c>
      <c r="E12087" s="4"/>
      <c r="F12087" s="4" t="n">
        <v>20</v>
      </c>
      <c r="G12087" s="4" t="n">
        <v>6</v>
      </c>
      <c r="H12087" s="4" t="n">
        <v>2</v>
      </c>
      <c r="I12087" s="4" t="str">
        <v>○</v>
      </c>
      <c r="J12087" s="4" t="n">
        <v>330</v>
      </c>
      <c r="K12087" s="4"/>
      <c r="L12087" s="4"/>
      <c r="M12087" s="5" t="s">
        <v>6502</v>
      </c>
    </row>
    <row r="12088" customFormat="false" ht="15.75" hidden="false" customHeight="false" outlineLevel="0" collapsed="false">
      <c r="A12088" s="6" t="n">
        <v>46222</v>
      </c>
      <c r="B12088" s="4" t="s">
        <v>915</v>
      </c>
      <c r="C12088" s="4" t="n">
        <v>12</v>
      </c>
      <c r="D12088" s="4" t="n">
        <v>5</v>
      </c>
      <c r="E12088" s="4"/>
      <c r="F12088" s="4" t="n">
        <v>2</v>
      </c>
      <c r="G12088" s="4" t="n">
        <v>15</v>
      </c>
      <c r="H12088" s="4" t="n">
        <v>4</v>
      </c>
      <c r="I12088" s="4" t="str">
        <v>×</v>
      </c>
      <c r="J12088" s="4"/>
      <c r="K12088" s="4"/>
      <c r="L12088" s="4"/>
      <c r="M12088" s="5" t="s">
        <v>6502</v>
      </c>
    </row>
    <row r="12089" customFormat="false" ht="15.75" hidden="false" customHeight="false" outlineLevel="0" collapsed="false">
      <c r="A12089" s="6" t="n">
        <v>46222</v>
      </c>
      <c r="B12089" s="4" t="s">
        <v>915</v>
      </c>
      <c r="C12089" s="4" t="n">
        <v>12</v>
      </c>
      <c r="D12089" s="4" t="n">
        <v>6</v>
      </c>
      <c r="E12089" s="4"/>
      <c r="F12089" s="4" t="n">
        <v>37</v>
      </c>
      <c r="G12089" s="4" t="n">
        <v>4</v>
      </c>
      <c r="H12089" s="4" t="n">
        <v>3</v>
      </c>
      <c r="I12089" s="4" t="str">
        <v>○</v>
      </c>
      <c r="J12089" s="4" t="n">
        <v>220</v>
      </c>
      <c r="K12089" s="4"/>
      <c r="L12089" s="4"/>
      <c r="M12089" s="5" t="s">
        <v>6502</v>
      </c>
    </row>
    <row r="12090" customFormat="false" ht="15.75" hidden="false" customHeight="false" outlineLevel="0" collapsed="false">
      <c r="A12090" s="6" t="n">
        <v>46222</v>
      </c>
      <c r="B12090" s="4" t="s">
        <v>915</v>
      </c>
      <c r="C12090" s="4" t="n">
        <v>12</v>
      </c>
      <c r="D12090" s="4" t="n">
        <v>7</v>
      </c>
      <c r="E12090" s="4"/>
      <c r="F12090" s="4" t="n">
        <v>15</v>
      </c>
      <c r="G12090" s="4" t="n">
        <v>7</v>
      </c>
      <c r="H12090" s="4" t="n">
        <v>4</v>
      </c>
      <c r="I12090" s="4" t="str">
        <v>×</v>
      </c>
      <c r="J12090" s="4"/>
      <c r="K12090" s="4"/>
      <c r="L12090" s="4"/>
      <c r="M12090" s="5" t="s">
        <v>6502</v>
      </c>
    </row>
    <row r="12091" customFormat="false" ht="15.75" hidden="false" customHeight="false" outlineLevel="0" collapsed="false">
      <c r="A12091" s="6" t="n">
        <v>46222</v>
      </c>
      <c r="B12091" s="4" t="s">
        <v>915</v>
      </c>
      <c r="C12091" s="4" t="n">
        <v>12</v>
      </c>
      <c r="D12091" s="4" t="n">
        <v>8</v>
      </c>
      <c r="E12091" s="4"/>
      <c r="F12091" s="4" t="n">
        <v>3</v>
      </c>
      <c r="G12091" s="4" t="n">
        <v>11</v>
      </c>
      <c r="H12091" s="4" t="n">
        <v>4</v>
      </c>
      <c r="I12091" s="4" t="str">
        <v>×</v>
      </c>
      <c r="J12091" s="4"/>
      <c r="K12091" s="4"/>
      <c r="L12091" s="4"/>
      <c r="M12091" s="5" t="s">
        <v>6502</v>
      </c>
    </row>
    <row r="12092" customFormat="false" ht="15.75" hidden="false" customHeight="false" outlineLevel="0" collapsed="false">
      <c r="A12092" s="6" t="n">
        <v>46222</v>
      </c>
      <c r="B12092" s="4" t="s">
        <v>915</v>
      </c>
      <c r="C12092" s="4" t="n">
        <v>12</v>
      </c>
      <c r="D12092" s="4" t="n">
        <v>9</v>
      </c>
      <c r="E12092" s="4"/>
      <c r="F12092" s="4" t="n">
        <v>3</v>
      </c>
      <c r="G12092" s="4" t="n">
        <v>11</v>
      </c>
      <c r="H12092" s="4" t="n">
        <v>4</v>
      </c>
      <c r="I12092" s="4" t="str">
        <v>×</v>
      </c>
      <c r="J12092" s="4"/>
      <c r="K12092" s="4"/>
      <c r="L12092" s="4"/>
      <c r="M12092" s="5" t="s">
        <v>6502</v>
      </c>
    </row>
    <row r="12093" customFormat="false" ht="15.75" hidden="false" customHeight="false" outlineLevel="0" collapsed="false">
      <c r="A12093" s="6" t="n">
        <v>46222</v>
      </c>
      <c r="B12093" s="4" t="s">
        <v>915</v>
      </c>
      <c r="C12093" s="4" t="n">
        <v>12</v>
      </c>
      <c r="D12093" s="4" t="n">
        <v>10</v>
      </c>
      <c r="E12093" s="4"/>
      <c r="F12093" s="4" t="n">
        <v>3</v>
      </c>
      <c r="G12093" s="4" t="n">
        <v>11</v>
      </c>
      <c r="H12093" s="4" t="n">
        <v>4</v>
      </c>
      <c r="I12093" s="4" t="str">
        <v>×</v>
      </c>
      <c r="J12093" s="4"/>
      <c r="K12093" s="4"/>
      <c r="L12093" s="4"/>
      <c r="M12093" s="5" t="s">
        <v>6502</v>
      </c>
    </row>
    <row r="12094" customFormat="false" ht="15.75" hidden="false" customHeight="false" outlineLevel="0" collapsed="false">
      <c r="A12094" s="6" t="n">
        <v>46222</v>
      </c>
      <c r="B12094" s="4" t="s">
        <v>915</v>
      </c>
      <c r="C12094" s="4" t="n">
        <v>12</v>
      </c>
      <c r="D12094" s="4" t="n">
        <v>11</v>
      </c>
      <c r="E12094" s="4"/>
      <c r="F12094" s="4" t="n">
        <v>52</v>
      </c>
      <c r="G12094" s="4" t="n">
        <v>2</v>
      </c>
      <c r="H12094" s="4" t="n">
        <v>1</v>
      </c>
      <c r="I12094" s="4" t="str">
        <v>○</v>
      </c>
      <c r="J12094" s="4" t="n">
        <v>150</v>
      </c>
      <c r="K12094" s="4"/>
      <c r="L12094" s="4"/>
      <c r="M12094" s="5" t="s">
        <v>6502</v>
      </c>
    </row>
    <row r="12095" customFormat="false" ht="15.75" hidden="false" customHeight="false" outlineLevel="0" collapsed="false">
      <c r="A12095" s="6" t="n">
        <v>46222</v>
      </c>
      <c r="B12095" s="4" t="s">
        <v>915</v>
      </c>
      <c r="C12095" s="4" t="n">
        <v>12</v>
      </c>
      <c r="D12095" s="4" t="n">
        <v>12</v>
      </c>
      <c r="E12095" s="4"/>
      <c r="F12095" s="4" t="n">
        <v>4</v>
      </c>
      <c r="G12095" s="4" t="n">
        <v>10</v>
      </c>
      <c r="H12095" s="4" t="n">
        <v>4</v>
      </c>
      <c r="I12095" s="4" t="str">
        <v>×</v>
      </c>
      <c r="J12095" s="4"/>
      <c r="K12095" s="4"/>
      <c r="L12095" s="4"/>
      <c r="M12095" s="5" t="s">
        <v>6502</v>
      </c>
    </row>
    <row r="12096" customFormat="false" ht="15.75" hidden="false" customHeight="false" outlineLevel="0" collapsed="false">
      <c r="A12096" s="6" t="n">
        <v>46222</v>
      </c>
      <c r="B12096" s="4" t="s">
        <v>915</v>
      </c>
      <c r="C12096" s="4" t="n">
        <v>12</v>
      </c>
      <c r="D12096" s="4" t="n">
        <v>13</v>
      </c>
      <c r="E12096" s="4"/>
      <c r="F12096" s="4" t="n">
        <v>6</v>
      </c>
      <c r="G12096" s="4" t="n">
        <v>9</v>
      </c>
      <c r="H12096" s="4" t="n">
        <v>4</v>
      </c>
      <c r="I12096" s="4" t="str">
        <v>×</v>
      </c>
      <c r="J12096" s="4"/>
      <c r="K12096" s="4"/>
      <c r="L12096" s="4"/>
      <c r="M12096" s="5" t="s">
        <v>6502</v>
      </c>
    </row>
    <row r="12097" customFormat="false" ht="15.75" hidden="false" customHeight="false" outlineLevel="0" collapsed="false">
      <c r="A12097" s="6" t="n">
        <v>46222</v>
      </c>
      <c r="B12097" s="4" t="s">
        <v>915</v>
      </c>
      <c r="C12097" s="4" t="n">
        <v>12</v>
      </c>
      <c r="D12097" s="4" t="n">
        <v>14</v>
      </c>
      <c r="E12097" s="4"/>
      <c r="F12097" s="4" t="n">
        <v>62</v>
      </c>
      <c r="G12097" s="4" t="n">
        <v>1</v>
      </c>
      <c r="H12097" s="4" t="n">
        <v>4</v>
      </c>
      <c r="I12097" s="4" t="str">
        <v>×</v>
      </c>
      <c r="J12097" s="4"/>
      <c r="K12097" s="4"/>
      <c r="L12097" s="4"/>
      <c r="M12097" s="5" t="s">
        <v>6502</v>
      </c>
    </row>
    <row r="12098" customFormat="false" ht="15.75" hidden="false" customHeight="false" outlineLevel="0" collapsed="false">
      <c r="A12098" s="6" t="n">
        <v>46222</v>
      </c>
      <c r="B12098" s="4" t="s">
        <v>915</v>
      </c>
      <c r="C12098" s="4" t="n">
        <v>12</v>
      </c>
      <c r="D12098" s="4" t="n">
        <v>15</v>
      </c>
      <c r="E12098" s="4"/>
      <c r="F12098" s="4" t="n">
        <v>44</v>
      </c>
      <c r="G12098" s="4" t="n">
        <v>3</v>
      </c>
      <c r="H12098" s="4" t="n">
        <v>4</v>
      </c>
      <c r="I12098" s="4" t="str">
        <v>×</v>
      </c>
      <c r="J12098" s="4"/>
      <c r="K12098" s="4"/>
      <c r="L12098" s="4"/>
      <c r="M12098" s="5" t="s">
        <v>6502</v>
      </c>
    </row>
    <row r="12099" customFormat="false" ht="15.75" hidden="false" customHeight="false" outlineLevel="0" collapsed="false">
      <c r="A12099" s="6" t="n">
        <f aca="false">DATE(2026,8,22)</f>
        <v>46256</v>
      </c>
      <c r="B12099" s="4" t="s">
        <v>13</v>
      </c>
      <c r="C12099" s="4" t="n">
        <v>1</v>
      </c>
      <c r="D12099" s="4" t="n">
        <v>1</v>
      </c>
      <c r="E12099" s="4"/>
      <c r="F12099" s="4" t="n">
        <v>67</v>
      </c>
      <c r="G12099" s="4" t="n">
        <v>2</v>
      </c>
      <c r="H12099" s="4" t="n">
        <v>4</v>
      </c>
      <c r="I12099" s="4" t="str">
        <v>×</v>
      </c>
      <c r="J12099" s="4"/>
      <c r="K12099" s="4"/>
      <c r="L12099" s="4"/>
      <c r="M12099" s="7" t="s">
        <v>6503</v>
      </c>
    </row>
    <row r="12100" customFormat="false" ht="15.75" hidden="false" customHeight="false" outlineLevel="0" collapsed="false">
      <c r="A12100" s="6" t="n">
        <f aca="false">DATE(2026,8,22)</f>
        <v>46256</v>
      </c>
      <c r="B12100" s="4" t="s">
        <v>13</v>
      </c>
      <c r="C12100" s="4" t="n">
        <v>1</v>
      </c>
      <c r="D12100" s="4" t="n">
        <v>2</v>
      </c>
      <c r="E12100" s="4" t="s">
        <v>3699</v>
      </c>
      <c r="F12100" s="4" t="n">
        <v>60</v>
      </c>
      <c r="G12100" s="4" t="n">
        <v>3</v>
      </c>
      <c r="H12100" s="4" t="n">
        <v>2</v>
      </c>
      <c r="I12100" s="4" t="str">
        <v>○</v>
      </c>
      <c r="J12100" s="4" t="n">
        <v>160</v>
      </c>
      <c r="K12100" s="4"/>
      <c r="L12100" s="4"/>
      <c r="M12100" s="7" t="s">
        <v>6503</v>
      </c>
    </row>
    <row r="12101" customFormat="false" ht="15.75" hidden="false" customHeight="false" outlineLevel="0" collapsed="false">
      <c r="A12101" s="6" t="n">
        <f aca="false">DATE(2026,8,22)</f>
        <v>46256</v>
      </c>
      <c r="B12101" s="4" t="s">
        <v>13</v>
      </c>
      <c r="C12101" s="4" t="n">
        <v>1</v>
      </c>
      <c r="D12101" s="4" t="n">
        <v>3</v>
      </c>
      <c r="E12101" s="4"/>
      <c r="F12101" s="4" t="n">
        <v>25</v>
      </c>
      <c r="G12101" s="4" t="n">
        <v>4</v>
      </c>
      <c r="H12101" s="4" t="n">
        <v>4</v>
      </c>
      <c r="I12101" s="4" t="str">
        <v>×</v>
      </c>
      <c r="J12101" s="4"/>
      <c r="K12101" s="4"/>
      <c r="L12101" s="4"/>
      <c r="M12101" s="7" t="s">
        <v>6503</v>
      </c>
    </row>
    <row r="12102" customFormat="false" ht="15.75" hidden="false" customHeight="false" outlineLevel="0" collapsed="false">
      <c r="A12102" s="6" t="n">
        <f aca="false">DATE(2026,8,22)</f>
        <v>46256</v>
      </c>
      <c r="B12102" s="4" t="s">
        <v>13</v>
      </c>
      <c r="C12102" s="4" t="n">
        <v>1</v>
      </c>
      <c r="D12102" s="4" t="n">
        <v>4</v>
      </c>
      <c r="E12102" s="4" t="s">
        <v>6504</v>
      </c>
      <c r="F12102" s="4" t="n">
        <v>10</v>
      </c>
      <c r="G12102" s="4" t="n">
        <v>6</v>
      </c>
      <c r="H12102" s="4" t="n">
        <v>3</v>
      </c>
      <c r="I12102" s="4" t="str">
        <v>○</v>
      </c>
      <c r="J12102" s="4"/>
      <c r="K12102" s="4"/>
      <c r="L12102" s="4"/>
      <c r="M12102" s="7" t="s">
        <v>6503</v>
      </c>
    </row>
    <row r="12103" customFormat="false" ht="15.75" hidden="false" customHeight="false" outlineLevel="0" collapsed="false">
      <c r="A12103" s="6" t="n">
        <f aca="false">DATE(2026,8,22)</f>
        <v>46256</v>
      </c>
      <c r="B12103" s="4" t="s">
        <v>13</v>
      </c>
      <c r="C12103" s="4" t="n">
        <v>1</v>
      </c>
      <c r="D12103" s="4" t="n">
        <v>5</v>
      </c>
      <c r="E12103" s="4" t="s">
        <v>3702</v>
      </c>
      <c r="F12103" s="4" t="n">
        <v>75</v>
      </c>
      <c r="G12103" s="4" t="n">
        <v>1</v>
      </c>
      <c r="H12103" s="4" t="n">
        <v>1</v>
      </c>
      <c r="I12103" s="4" t="str">
        <v>○</v>
      </c>
      <c r="J12103" s="4" t="n">
        <v>110</v>
      </c>
      <c r="K12103" s="4"/>
      <c r="L12103" s="4"/>
      <c r="M12103" s="7" t="s">
        <v>6503</v>
      </c>
    </row>
    <row r="12104" customFormat="false" ht="15.75" hidden="false" customHeight="false" outlineLevel="0" collapsed="false">
      <c r="A12104" s="6" t="n">
        <f aca="false">DATE(2026,8,22)</f>
        <v>46256</v>
      </c>
      <c r="B12104" s="4" t="s">
        <v>13</v>
      </c>
      <c r="C12104" s="4" t="n">
        <v>1</v>
      </c>
      <c r="D12104" s="4" t="n">
        <v>6</v>
      </c>
      <c r="E12104" s="4"/>
      <c r="F12104" s="4" t="n">
        <v>6</v>
      </c>
      <c r="G12104" s="4" t="n">
        <v>7</v>
      </c>
      <c r="H12104" s="4" t="n">
        <v>4</v>
      </c>
      <c r="I12104" s="4" t="str">
        <v>×</v>
      </c>
      <c r="J12104" s="4"/>
      <c r="K12104" s="4"/>
      <c r="L12104" s="4"/>
      <c r="M12104" s="7" t="s">
        <v>6503</v>
      </c>
    </row>
    <row r="12105" customFormat="false" ht="15.75" hidden="false" customHeight="false" outlineLevel="0" collapsed="false">
      <c r="A12105" s="6" t="n">
        <f aca="false">DATE(2026,8,22)</f>
        <v>46256</v>
      </c>
      <c r="B12105" s="4" t="s">
        <v>13</v>
      </c>
      <c r="C12105" s="4" t="n">
        <v>1</v>
      </c>
      <c r="D12105" s="4" t="n">
        <v>7</v>
      </c>
      <c r="E12105" s="4"/>
      <c r="F12105" s="4" t="n">
        <v>23</v>
      </c>
      <c r="G12105" s="4" t="n">
        <v>5</v>
      </c>
      <c r="H12105" s="4" t="n">
        <v>4</v>
      </c>
      <c r="I12105" s="4" t="str">
        <v>×</v>
      </c>
      <c r="J12105" s="4"/>
      <c r="K12105" s="4"/>
      <c r="L12105" s="4"/>
      <c r="M12105" s="7" t="s">
        <v>6503</v>
      </c>
    </row>
    <row r="12106" customFormat="false" ht="15.75" hidden="false" customHeight="false" outlineLevel="0" collapsed="false">
      <c r="A12106" s="6" t="n">
        <f aca="false">DATE(2026,8,22)</f>
        <v>46256</v>
      </c>
      <c r="B12106" s="4" t="s">
        <v>13</v>
      </c>
      <c r="C12106" s="4" t="n">
        <v>2</v>
      </c>
      <c r="D12106" s="4" t="n">
        <v>1</v>
      </c>
      <c r="E12106" s="4"/>
      <c r="F12106" s="4" t="n">
        <v>25</v>
      </c>
      <c r="G12106" s="4" t="n">
        <v>3</v>
      </c>
      <c r="H12106" s="4" t="n">
        <v>4</v>
      </c>
      <c r="I12106" s="4" t="str">
        <v>×</v>
      </c>
      <c r="J12106" s="4"/>
      <c r="K12106" s="4"/>
      <c r="L12106" s="4"/>
      <c r="M12106" s="7" t="s">
        <v>6503</v>
      </c>
    </row>
    <row r="12107" customFormat="false" ht="15.75" hidden="false" customHeight="false" outlineLevel="0" collapsed="false">
      <c r="A12107" s="6" t="n">
        <f aca="false">DATE(2026,8,22)</f>
        <v>46256</v>
      </c>
      <c r="B12107" s="4" t="s">
        <v>13</v>
      </c>
      <c r="C12107" s="4" t="n">
        <v>2</v>
      </c>
      <c r="D12107" s="4" t="n">
        <v>2</v>
      </c>
      <c r="E12107" s="4"/>
      <c r="F12107" s="4" t="n">
        <v>6</v>
      </c>
      <c r="G12107" s="4" t="n">
        <v>10</v>
      </c>
      <c r="H12107" s="4" t="n">
        <v>4</v>
      </c>
      <c r="I12107" s="4" t="str">
        <v>×</v>
      </c>
      <c r="J12107" s="4"/>
      <c r="K12107" s="4"/>
      <c r="L12107" s="4"/>
      <c r="M12107" s="7" t="s">
        <v>6503</v>
      </c>
    </row>
    <row r="12108" customFormat="false" ht="15.75" hidden="false" customHeight="false" outlineLevel="0" collapsed="false">
      <c r="A12108" s="6" t="n">
        <f aca="false">DATE(2026,8,22)</f>
        <v>46256</v>
      </c>
      <c r="B12108" s="4" t="s">
        <v>13</v>
      </c>
      <c r="C12108" s="4" t="n">
        <v>2</v>
      </c>
      <c r="D12108" s="4" t="n">
        <v>3</v>
      </c>
      <c r="E12108" s="4"/>
      <c r="F12108" s="4" t="n">
        <v>8</v>
      </c>
      <c r="G12108" s="4" t="n">
        <v>9</v>
      </c>
      <c r="H12108" s="4" t="n">
        <v>4</v>
      </c>
      <c r="I12108" s="4" t="str">
        <v>×</v>
      </c>
      <c r="J12108" s="4"/>
      <c r="K12108" s="4"/>
      <c r="L12108" s="4"/>
      <c r="M12108" s="7" t="s">
        <v>6503</v>
      </c>
    </row>
    <row r="12109" customFormat="false" ht="15.75" hidden="false" customHeight="false" outlineLevel="0" collapsed="false">
      <c r="A12109" s="6" t="n">
        <f aca="false">DATE(2026,8,22)</f>
        <v>46256</v>
      </c>
      <c r="B12109" s="4" t="s">
        <v>13</v>
      </c>
      <c r="C12109" s="4" t="n">
        <v>2</v>
      </c>
      <c r="D12109" s="4" t="n">
        <v>4</v>
      </c>
      <c r="E12109" s="4"/>
      <c r="F12109" s="4" t="n">
        <v>15</v>
      </c>
      <c r="G12109" s="4" t="n">
        <v>8</v>
      </c>
      <c r="H12109" s="4" t="n">
        <v>4</v>
      </c>
      <c r="I12109" s="4" t="str">
        <v>×</v>
      </c>
      <c r="J12109" s="4"/>
      <c r="K12109" s="4"/>
      <c r="L12109" s="4"/>
      <c r="M12109" s="7" t="s">
        <v>6503</v>
      </c>
    </row>
    <row r="12110" customFormat="false" ht="15.75" hidden="false" customHeight="false" outlineLevel="0" collapsed="false">
      <c r="A12110" s="6" t="n">
        <f aca="false">DATE(2026,8,22)</f>
        <v>46256</v>
      </c>
      <c r="B12110" s="4" t="s">
        <v>13</v>
      </c>
      <c r="C12110" s="4" t="n">
        <v>2</v>
      </c>
      <c r="D12110" s="4" t="n">
        <v>5</v>
      </c>
      <c r="E12110" s="4"/>
      <c r="F12110" s="4" t="n">
        <v>56</v>
      </c>
      <c r="G12110" s="4" t="n">
        <v>2</v>
      </c>
      <c r="H12110" s="4" t="n">
        <v>4</v>
      </c>
      <c r="I12110" s="4" t="str">
        <v>×</v>
      </c>
      <c r="J12110" s="4"/>
      <c r="K12110" s="4"/>
      <c r="L12110" s="4"/>
      <c r="M12110" s="7" t="s">
        <v>6503</v>
      </c>
    </row>
    <row r="12111" customFormat="false" ht="15.75" hidden="false" customHeight="false" outlineLevel="0" collapsed="false">
      <c r="A12111" s="6" t="n">
        <f aca="false">DATE(2026,8,22)</f>
        <v>46256</v>
      </c>
      <c r="B12111" s="4" t="s">
        <v>13</v>
      </c>
      <c r="C12111" s="4" t="n">
        <v>2</v>
      </c>
      <c r="D12111" s="4" t="n">
        <v>6</v>
      </c>
      <c r="E12111" s="4" t="s">
        <v>6505</v>
      </c>
      <c r="F12111" s="4" t="n">
        <v>25</v>
      </c>
      <c r="G12111" s="4" t="n">
        <v>3</v>
      </c>
      <c r="H12111" s="4" t="n">
        <v>3</v>
      </c>
      <c r="I12111" s="4" t="str">
        <v>○</v>
      </c>
      <c r="J12111" s="4" t="n">
        <v>290</v>
      </c>
      <c r="K12111" s="4"/>
      <c r="L12111" s="4"/>
      <c r="M12111" s="7" t="s">
        <v>6503</v>
      </c>
    </row>
    <row r="12112" customFormat="false" ht="15.75" hidden="false" customHeight="false" outlineLevel="0" collapsed="false">
      <c r="A12112" s="6" t="n">
        <f aca="false">DATE(2026,8,22)</f>
        <v>46256</v>
      </c>
      <c r="B12112" s="4" t="s">
        <v>13</v>
      </c>
      <c r="C12112" s="4" t="n">
        <v>2</v>
      </c>
      <c r="D12112" s="4" t="n">
        <v>7</v>
      </c>
      <c r="E12112" s="4"/>
      <c r="F12112" s="4" t="n">
        <v>3</v>
      </c>
      <c r="G12112" s="4" t="n">
        <v>12</v>
      </c>
      <c r="H12112" s="4" t="n">
        <v>4</v>
      </c>
      <c r="I12112" s="4" t="str">
        <v>×</v>
      </c>
      <c r="J12112" s="4"/>
      <c r="K12112" s="4"/>
      <c r="L12112" s="4"/>
      <c r="M12112" s="7" t="s">
        <v>6503</v>
      </c>
    </row>
    <row r="12113" customFormat="false" ht="15.75" hidden="false" customHeight="false" outlineLevel="0" collapsed="false">
      <c r="A12113" s="6" t="n">
        <f aca="false">DATE(2026,8,22)</f>
        <v>46256</v>
      </c>
      <c r="B12113" s="4" t="s">
        <v>13</v>
      </c>
      <c r="C12113" s="4" t="n">
        <v>2</v>
      </c>
      <c r="D12113" s="4" t="n">
        <v>8</v>
      </c>
      <c r="E12113" s="4"/>
      <c r="F12113" s="4" t="n">
        <v>23</v>
      </c>
      <c r="G12113" s="4" t="n">
        <v>7</v>
      </c>
      <c r="H12113" s="4" t="n">
        <v>4</v>
      </c>
      <c r="I12113" s="4" t="str">
        <v>×</v>
      </c>
      <c r="J12113" s="4"/>
      <c r="K12113" s="4"/>
      <c r="L12113" s="4"/>
      <c r="M12113" s="7" t="s">
        <v>6503</v>
      </c>
    </row>
    <row r="12114" customFormat="false" ht="15.75" hidden="false" customHeight="false" outlineLevel="0" collapsed="false">
      <c r="A12114" s="6" t="n">
        <f aca="false">DATE(2026,8,22)</f>
        <v>46256</v>
      </c>
      <c r="B12114" s="4" t="s">
        <v>13</v>
      </c>
      <c r="C12114" s="4" t="n">
        <v>2</v>
      </c>
      <c r="D12114" s="4" t="n">
        <v>9</v>
      </c>
      <c r="E12114" s="4"/>
      <c r="F12114" s="4" t="n">
        <v>6</v>
      </c>
      <c r="G12114" s="4" t="n">
        <v>10</v>
      </c>
      <c r="H12114" s="4" t="n">
        <v>4</v>
      </c>
      <c r="I12114" s="4" t="str">
        <v>×</v>
      </c>
      <c r="J12114" s="4"/>
      <c r="K12114" s="4"/>
      <c r="L12114" s="4"/>
      <c r="M12114" s="7" t="s">
        <v>6503</v>
      </c>
    </row>
    <row r="12115" customFormat="false" ht="15.75" hidden="false" customHeight="false" outlineLevel="0" collapsed="false">
      <c r="A12115" s="6" t="n">
        <f aca="false">DATE(2026,8,22)</f>
        <v>46256</v>
      </c>
      <c r="B12115" s="4" t="s">
        <v>13</v>
      </c>
      <c r="C12115" s="4" t="n">
        <v>2</v>
      </c>
      <c r="D12115" s="4" t="n">
        <v>10</v>
      </c>
      <c r="E12115" s="4" t="s">
        <v>2739</v>
      </c>
      <c r="F12115" s="4" t="n">
        <v>71</v>
      </c>
      <c r="G12115" s="4" t="n">
        <v>1</v>
      </c>
      <c r="H12115" s="4" t="n">
        <v>1</v>
      </c>
      <c r="I12115" s="4" t="str">
        <v>○</v>
      </c>
      <c r="J12115" s="4" t="n">
        <v>140</v>
      </c>
      <c r="K12115" s="4"/>
      <c r="L12115" s="4"/>
      <c r="M12115" s="7" t="s">
        <v>6503</v>
      </c>
    </row>
    <row r="12116" customFormat="false" ht="15.75" hidden="false" customHeight="false" outlineLevel="0" collapsed="false">
      <c r="A12116" s="6" t="n">
        <f aca="false">DATE(2026,8,22)</f>
        <v>46256</v>
      </c>
      <c r="B12116" s="4" t="s">
        <v>13</v>
      </c>
      <c r="C12116" s="4" t="n">
        <v>2</v>
      </c>
      <c r="D12116" s="4" t="n">
        <v>11</v>
      </c>
      <c r="E12116" s="4" t="s">
        <v>2735</v>
      </c>
      <c r="F12116" s="4" t="n">
        <v>25</v>
      </c>
      <c r="G12116" s="4" t="n">
        <v>3</v>
      </c>
      <c r="H12116" s="4" t="n">
        <v>2</v>
      </c>
      <c r="I12116" s="4" t="str">
        <v>○</v>
      </c>
      <c r="J12116" s="4" t="n">
        <v>230</v>
      </c>
      <c r="K12116" s="4"/>
      <c r="L12116" s="4"/>
      <c r="M12116" s="7" t="s">
        <v>6503</v>
      </c>
    </row>
    <row r="12117" customFormat="false" ht="15.75" hidden="false" customHeight="false" outlineLevel="0" collapsed="false">
      <c r="A12117" s="6" t="n">
        <f aca="false">DATE(2026,8,22)</f>
        <v>46256</v>
      </c>
      <c r="B12117" s="4" t="s">
        <v>13</v>
      </c>
      <c r="C12117" s="4" t="n">
        <v>2</v>
      </c>
      <c r="D12117" s="4" t="n">
        <v>12</v>
      </c>
      <c r="E12117" s="4"/>
      <c r="F12117" s="4" t="n">
        <v>25</v>
      </c>
      <c r="G12117" s="4" t="n">
        <v>3</v>
      </c>
      <c r="H12117" s="4" t="n">
        <v>4</v>
      </c>
      <c r="I12117" s="4" t="str">
        <v>×</v>
      </c>
      <c r="J12117" s="4"/>
      <c r="K12117" s="4"/>
      <c r="L12117" s="4"/>
      <c r="M12117" s="7" t="s">
        <v>6503</v>
      </c>
    </row>
    <row r="12118" customFormat="false" ht="15.75" hidden="false" customHeight="false" outlineLevel="0" collapsed="false">
      <c r="A12118" s="6" t="n">
        <f aca="false">DATE(2026,8,22)</f>
        <v>46256</v>
      </c>
      <c r="B12118" s="4" t="s">
        <v>13</v>
      </c>
      <c r="C12118" s="4" t="n">
        <v>3</v>
      </c>
      <c r="D12118" s="4" t="n">
        <v>1</v>
      </c>
      <c r="E12118" s="4"/>
      <c r="F12118" s="4" t="n">
        <v>37</v>
      </c>
      <c r="G12118" s="4" t="n">
        <v>1</v>
      </c>
      <c r="H12118" s="4" t="n">
        <v>4</v>
      </c>
      <c r="I12118" s="4" t="str">
        <v>×</v>
      </c>
      <c r="J12118" s="4"/>
      <c r="K12118" s="4"/>
      <c r="L12118" s="4"/>
      <c r="M12118" s="7" t="s">
        <v>6503</v>
      </c>
    </row>
    <row r="12119" customFormat="false" ht="15.75" hidden="false" customHeight="false" outlineLevel="0" collapsed="false">
      <c r="A12119" s="6" t="n">
        <f aca="false">DATE(2026,8,22)</f>
        <v>46256</v>
      </c>
      <c r="B12119" s="4" t="s">
        <v>13</v>
      </c>
      <c r="C12119" s="4" t="n">
        <v>3</v>
      </c>
      <c r="D12119" s="4" t="n">
        <v>2</v>
      </c>
      <c r="E12119" s="4"/>
      <c r="F12119" s="4" t="n">
        <v>27</v>
      </c>
      <c r="G12119" s="4" t="n">
        <v>2</v>
      </c>
      <c r="H12119" s="4" t="n">
        <v>4</v>
      </c>
      <c r="I12119" s="4" t="str">
        <v>×</v>
      </c>
      <c r="J12119" s="4"/>
      <c r="K12119" s="4"/>
      <c r="L12119" s="4"/>
      <c r="M12119" s="7" t="s">
        <v>6503</v>
      </c>
    </row>
    <row r="12120" customFormat="false" ht="15.75" hidden="false" customHeight="false" outlineLevel="0" collapsed="false">
      <c r="A12120" s="6" t="n">
        <f aca="false">DATE(2026,8,22)</f>
        <v>46256</v>
      </c>
      <c r="B12120" s="4" t="s">
        <v>13</v>
      </c>
      <c r="C12120" s="4" t="n">
        <v>3</v>
      </c>
      <c r="D12120" s="4" t="n">
        <v>3</v>
      </c>
      <c r="E12120" s="4"/>
      <c r="F12120" s="4" t="n">
        <v>16</v>
      </c>
      <c r="G12120" s="4" t="n">
        <v>9</v>
      </c>
      <c r="H12120" s="4" t="n">
        <v>4</v>
      </c>
      <c r="I12120" s="4" t="str">
        <v>×</v>
      </c>
      <c r="J12120" s="4"/>
      <c r="K12120" s="4"/>
      <c r="L12120" s="4"/>
      <c r="M12120" s="7" t="s">
        <v>6503</v>
      </c>
    </row>
    <row r="12121" customFormat="false" ht="15.75" hidden="false" customHeight="false" outlineLevel="0" collapsed="false">
      <c r="A12121" s="6" t="n">
        <f aca="false">DATE(2026,8,22)</f>
        <v>46256</v>
      </c>
      <c r="B12121" s="4" t="s">
        <v>13</v>
      </c>
      <c r="C12121" s="4" t="n">
        <v>3</v>
      </c>
      <c r="D12121" s="4" t="n">
        <v>4</v>
      </c>
      <c r="E12121" s="4"/>
      <c r="F12121" s="4" t="n">
        <v>24</v>
      </c>
      <c r="G12121" s="4" t="n">
        <v>5</v>
      </c>
      <c r="H12121" s="4" t="n">
        <v>4</v>
      </c>
      <c r="I12121" s="4" t="str">
        <v>×</v>
      </c>
      <c r="J12121" s="4"/>
      <c r="K12121" s="4"/>
      <c r="L12121" s="4"/>
      <c r="M12121" s="7" t="s">
        <v>6503</v>
      </c>
    </row>
    <row r="12122" customFormat="false" ht="15.75" hidden="false" customHeight="false" outlineLevel="0" collapsed="false">
      <c r="A12122" s="6" t="n">
        <f aca="false">DATE(2026,8,22)</f>
        <v>46256</v>
      </c>
      <c r="B12122" s="4" t="s">
        <v>13</v>
      </c>
      <c r="C12122" s="4" t="n">
        <v>3</v>
      </c>
      <c r="D12122" s="4" t="n">
        <v>5</v>
      </c>
      <c r="E12122" s="4"/>
      <c r="F12122" s="4" t="n">
        <v>27</v>
      </c>
      <c r="G12122" s="4" t="n">
        <v>2</v>
      </c>
      <c r="H12122" s="4" t="n">
        <v>4</v>
      </c>
      <c r="I12122" s="4" t="str">
        <v>×</v>
      </c>
      <c r="J12122" s="4"/>
      <c r="K12122" s="4"/>
      <c r="L12122" s="4"/>
      <c r="M12122" s="7" t="s">
        <v>6503</v>
      </c>
    </row>
    <row r="12123" customFormat="false" ht="15.75" hidden="false" customHeight="false" outlineLevel="0" collapsed="false">
      <c r="A12123" s="6" t="n">
        <f aca="false">DATE(2026,8,22)</f>
        <v>46256</v>
      </c>
      <c r="B12123" s="4" t="s">
        <v>13</v>
      </c>
      <c r="C12123" s="4" t="n">
        <v>3</v>
      </c>
      <c r="D12123" s="4" t="n">
        <v>6</v>
      </c>
      <c r="E12123" s="4"/>
      <c r="F12123" s="4" t="n">
        <v>24</v>
      </c>
      <c r="G12123" s="4" t="n">
        <v>5</v>
      </c>
      <c r="H12123" s="4" t="n">
        <v>4</v>
      </c>
      <c r="I12123" s="4" t="str">
        <v>×</v>
      </c>
      <c r="J12123" s="4"/>
      <c r="K12123" s="4"/>
      <c r="L12123" s="4"/>
      <c r="M12123" s="7" t="s">
        <v>6503</v>
      </c>
    </row>
    <row r="12124" customFormat="false" ht="15.75" hidden="false" customHeight="false" outlineLevel="0" collapsed="false">
      <c r="A12124" s="6" t="n">
        <f aca="false">DATE(2026,8,22)</f>
        <v>46256</v>
      </c>
      <c r="B12124" s="4" t="s">
        <v>13</v>
      </c>
      <c r="C12124" s="4" t="n">
        <v>3</v>
      </c>
      <c r="D12124" s="4" t="n">
        <v>7</v>
      </c>
      <c r="E12124" s="4"/>
      <c r="F12124" s="4" t="n">
        <v>27</v>
      </c>
      <c r="G12124" s="4" t="n">
        <v>2</v>
      </c>
      <c r="H12124" s="4" t="n">
        <v>4</v>
      </c>
      <c r="I12124" s="4" t="str">
        <v>×</v>
      </c>
      <c r="J12124" s="4"/>
      <c r="K12124" s="4"/>
      <c r="L12124" s="4"/>
      <c r="M12124" s="7" t="s">
        <v>6503</v>
      </c>
    </row>
    <row r="12125" customFormat="false" ht="15.75" hidden="false" customHeight="false" outlineLevel="0" collapsed="false">
      <c r="A12125" s="6" t="n">
        <f aca="false">DATE(2026,8,22)</f>
        <v>46256</v>
      </c>
      <c r="B12125" s="4" t="s">
        <v>13</v>
      </c>
      <c r="C12125" s="4" t="n">
        <v>3</v>
      </c>
      <c r="D12125" s="4" t="n">
        <v>8</v>
      </c>
      <c r="E12125" s="4" t="s">
        <v>6506</v>
      </c>
      <c r="F12125" s="4" t="n">
        <v>21</v>
      </c>
      <c r="G12125" s="4" t="n">
        <v>7</v>
      </c>
      <c r="H12125" s="4" t="n">
        <v>3</v>
      </c>
      <c r="I12125" s="4" t="str">
        <v>○</v>
      </c>
      <c r="J12125" s="4" t="n">
        <v>280</v>
      </c>
      <c r="K12125" s="4"/>
      <c r="L12125" s="4"/>
      <c r="M12125" s="7" t="s">
        <v>6503</v>
      </c>
    </row>
    <row r="12126" customFormat="false" ht="15.75" hidden="false" customHeight="false" outlineLevel="0" collapsed="false">
      <c r="A12126" s="6" t="n">
        <f aca="false">DATE(2026,8,22)</f>
        <v>46256</v>
      </c>
      <c r="B12126" s="4" t="s">
        <v>13</v>
      </c>
      <c r="C12126" s="4" t="n">
        <v>3</v>
      </c>
      <c r="D12126" s="4" t="n">
        <v>9</v>
      </c>
      <c r="E12126" s="4"/>
      <c r="F12126" s="4" t="n">
        <v>16</v>
      </c>
      <c r="G12126" s="4" t="n">
        <v>9</v>
      </c>
      <c r="H12126" s="4" t="n">
        <v>4</v>
      </c>
      <c r="I12126" s="4" t="str">
        <v>×</v>
      </c>
      <c r="J12126" s="4"/>
      <c r="K12126" s="4"/>
      <c r="L12126" s="4"/>
      <c r="M12126" s="7" t="s">
        <v>6503</v>
      </c>
    </row>
    <row r="12127" customFormat="false" ht="15.75" hidden="false" customHeight="false" outlineLevel="0" collapsed="false">
      <c r="A12127" s="6" t="n">
        <f aca="false">DATE(2026,8,22)</f>
        <v>46256</v>
      </c>
      <c r="B12127" s="4" t="s">
        <v>13</v>
      </c>
      <c r="C12127" s="4" t="n">
        <v>3</v>
      </c>
      <c r="D12127" s="4" t="n">
        <v>10</v>
      </c>
      <c r="E12127" s="4"/>
      <c r="F12127" s="4" t="n">
        <v>6</v>
      </c>
      <c r="G12127" s="4" t="n">
        <v>13</v>
      </c>
      <c r="H12127" s="4" t="n">
        <v>4</v>
      </c>
      <c r="I12127" s="4" t="str">
        <v>×</v>
      </c>
      <c r="J12127" s="4"/>
      <c r="K12127" s="4"/>
      <c r="L12127" s="4"/>
      <c r="M12127" s="7" t="s">
        <v>6503</v>
      </c>
    </row>
    <row r="12128" customFormat="false" ht="15.75" hidden="false" customHeight="false" outlineLevel="0" collapsed="false">
      <c r="A12128" s="6" t="n">
        <f aca="false">DATE(2026,8,22)</f>
        <v>46256</v>
      </c>
      <c r="B12128" s="4" t="s">
        <v>13</v>
      </c>
      <c r="C12128" s="4" t="n">
        <v>3</v>
      </c>
      <c r="D12128" s="4" t="n">
        <v>11</v>
      </c>
      <c r="E12128" s="4" t="s">
        <v>6507</v>
      </c>
      <c r="F12128" s="4" t="n">
        <v>21</v>
      </c>
      <c r="G12128" s="4" t="n">
        <v>7</v>
      </c>
      <c r="H12128" s="4" t="n">
        <v>1</v>
      </c>
      <c r="I12128" s="4" t="str">
        <v>○</v>
      </c>
      <c r="J12128" s="4" t="n">
        <v>120</v>
      </c>
      <c r="K12128" s="4"/>
      <c r="L12128" s="4"/>
      <c r="M12128" s="7" t="s">
        <v>6503</v>
      </c>
    </row>
    <row r="12129" customFormat="false" ht="15.75" hidden="false" customHeight="false" outlineLevel="0" collapsed="false">
      <c r="A12129" s="6" t="n">
        <f aca="false">DATE(2026,8,22)</f>
        <v>46256</v>
      </c>
      <c r="B12129" s="4" t="s">
        <v>13</v>
      </c>
      <c r="C12129" s="4" t="n">
        <v>3</v>
      </c>
      <c r="D12129" s="4" t="n">
        <v>12</v>
      </c>
      <c r="E12129" s="4"/>
      <c r="F12129" s="4" t="n">
        <v>8</v>
      </c>
      <c r="G12129" s="4" t="n">
        <v>12</v>
      </c>
      <c r="H12129" s="4" t="n">
        <v>4</v>
      </c>
      <c r="I12129" s="4" t="str">
        <v>×</v>
      </c>
      <c r="J12129" s="4"/>
      <c r="K12129" s="4"/>
      <c r="L12129" s="4"/>
      <c r="M12129" s="7" t="s">
        <v>6503</v>
      </c>
    </row>
    <row r="12130" customFormat="false" ht="15.75" hidden="false" customHeight="false" outlineLevel="0" collapsed="false">
      <c r="A12130" s="6" t="n">
        <f aca="false">DATE(2026,8,22)</f>
        <v>46256</v>
      </c>
      <c r="B12130" s="4" t="s">
        <v>13</v>
      </c>
      <c r="C12130" s="4" t="n">
        <v>3</v>
      </c>
      <c r="D12130" s="4" t="n">
        <v>13</v>
      </c>
      <c r="E12130" s="4" t="s">
        <v>6508</v>
      </c>
      <c r="F12130" s="4" t="n">
        <v>16</v>
      </c>
      <c r="G12130" s="4" t="n">
        <v>9</v>
      </c>
      <c r="H12130" s="4" t="n">
        <v>2</v>
      </c>
      <c r="I12130" s="4" t="str">
        <v>○</v>
      </c>
      <c r="J12130" s="4" t="n">
        <v>1760</v>
      </c>
      <c r="K12130" s="4"/>
      <c r="L12130" s="4"/>
      <c r="M12130" s="7" t="s">
        <v>6503</v>
      </c>
    </row>
    <row r="12131" customFormat="false" ht="15.75" hidden="false" customHeight="false" outlineLevel="0" collapsed="false">
      <c r="A12131" s="6" t="n">
        <f aca="false">DATE(2026,8,22)</f>
        <v>46256</v>
      </c>
      <c r="B12131" s="4" t="s">
        <v>13</v>
      </c>
      <c r="C12131" s="4" t="n">
        <v>4</v>
      </c>
      <c r="D12131" s="4" t="n">
        <v>1</v>
      </c>
      <c r="E12131" s="4"/>
      <c r="F12131" s="4" t="n">
        <v>15</v>
      </c>
      <c r="G12131" s="4" t="n">
        <v>8</v>
      </c>
      <c r="H12131" s="4" t="n">
        <v>4</v>
      </c>
      <c r="I12131" s="4" t="str">
        <v>×</v>
      </c>
      <c r="J12131" s="4"/>
      <c r="K12131" s="4"/>
      <c r="L12131" s="4"/>
      <c r="M12131" s="7" t="s">
        <v>6503</v>
      </c>
    </row>
    <row r="12132" customFormat="false" ht="15.75" hidden="false" customHeight="false" outlineLevel="0" collapsed="false">
      <c r="A12132" s="6" t="n">
        <f aca="false">DATE(2026,8,22)</f>
        <v>46256</v>
      </c>
      <c r="B12132" s="4" t="s">
        <v>13</v>
      </c>
      <c r="C12132" s="4" t="n">
        <v>4</v>
      </c>
      <c r="D12132" s="4" t="n">
        <v>2</v>
      </c>
      <c r="E12132" s="4"/>
      <c r="F12132" s="4" t="n">
        <v>23</v>
      </c>
      <c r="G12132" s="4" t="n">
        <v>5</v>
      </c>
      <c r="H12132" s="4" t="n">
        <v>4</v>
      </c>
      <c r="I12132" s="4" t="str">
        <v>×</v>
      </c>
      <c r="J12132" s="4"/>
      <c r="K12132" s="4"/>
      <c r="L12132" s="4"/>
      <c r="M12132" s="7" t="s">
        <v>6503</v>
      </c>
    </row>
    <row r="12133" customFormat="false" ht="15.75" hidden="false" customHeight="false" outlineLevel="0" collapsed="false">
      <c r="A12133" s="6" t="n">
        <f aca="false">DATE(2026,8,22)</f>
        <v>46256</v>
      </c>
      <c r="B12133" s="4" t="s">
        <v>13</v>
      </c>
      <c r="C12133" s="4" t="n">
        <v>4</v>
      </c>
      <c r="D12133" s="4" t="n">
        <v>3</v>
      </c>
      <c r="E12133" s="4"/>
      <c r="F12133" s="4" t="n">
        <v>41</v>
      </c>
      <c r="G12133" s="4" t="n">
        <v>3</v>
      </c>
      <c r="H12133" s="4" t="n">
        <v>4</v>
      </c>
      <c r="I12133" s="4" t="str">
        <v>×</v>
      </c>
      <c r="J12133" s="4"/>
      <c r="K12133" s="4"/>
      <c r="L12133" s="4"/>
      <c r="M12133" s="7" t="s">
        <v>6503</v>
      </c>
    </row>
    <row r="12134" customFormat="false" ht="15.75" hidden="false" customHeight="false" outlineLevel="0" collapsed="false">
      <c r="A12134" s="6" t="n">
        <f aca="false">DATE(2026,8,22)</f>
        <v>46256</v>
      </c>
      <c r="B12134" s="4" t="s">
        <v>13</v>
      </c>
      <c r="C12134" s="4" t="n">
        <v>4</v>
      </c>
      <c r="D12134" s="4" t="n">
        <v>4</v>
      </c>
      <c r="E12134" s="4" t="s">
        <v>4027</v>
      </c>
      <c r="F12134" s="4" t="n">
        <v>17</v>
      </c>
      <c r="G12134" s="4" t="n">
        <v>7</v>
      </c>
      <c r="H12134" s="4" t="n">
        <v>1</v>
      </c>
      <c r="I12134" s="4" t="str">
        <v>○</v>
      </c>
      <c r="J12134" s="4" t="n">
        <v>380</v>
      </c>
      <c r="K12134" s="4"/>
      <c r="L12134" s="4"/>
      <c r="M12134" s="7" t="s">
        <v>6503</v>
      </c>
    </row>
    <row r="12135" customFormat="false" ht="15.75" hidden="false" customHeight="false" outlineLevel="0" collapsed="false">
      <c r="A12135" s="6" t="n">
        <f aca="false">DATE(2026,8,22)</f>
        <v>46256</v>
      </c>
      <c r="B12135" s="4" t="s">
        <v>13</v>
      </c>
      <c r="C12135" s="4" t="n">
        <v>4</v>
      </c>
      <c r="D12135" s="4" t="n">
        <v>5</v>
      </c>
      <c r="E12135" s="4"/>
      <c r="F12135" s="4" t="n">
        <v>4</v>
      </c>
      <c r="G12135" s="4" t="n">
        <v>13</v>
      </c>
      <c r="H12135" s="4" t="n">
        <v>4</v>
      </c>
      <c r="I12135" s="4" t="str">
        <v>×</v>
      </c>
      <c r="J12135" s="4"/>
      <c r="K12135" s="4"/>
      <c r="L12135" s="4"/>
      <c r="M12135" s="7" t="s">
        <v>6503</v>
      </c>
    </row>
    <row r="12136" customFormat="false" ht="15.75" hidden="false" customHeight="false" outlineLevel="0" collapsed="false">
      <c r="A12136" s="6" t="n">
        <f aca="false">DATE(2026,8,22)</f>
        <v>46256</v>
      </c>
      <c r="B12136" s="4" t="s">
        <v>13</v>
      </c>
      <c r="C12136" s="4" t="n">
        <v>4</v>
      </c>
      <c r="D12136" s="4" t="n">
        <v>6</v>
      </c>
      <c r="E12136" s="4"/>
      <c r="F12136" s="4" t="n">
        <v>1</v>
      </c>
      <c r="G12136" s="4" t="n">
        <v>15</v>
      </c>
      <c r="H12136" s="4" t="n">
        <v>4</v>
      </c>
      <c r="I12136" s="4" t="str">
        <v>×</v>
      </c>
      <c r="J12136" s="4"/>
      <c r="K12136" s="4"/>
      <c r="L12136" s="4"/>
      <c r="M12136" s="7" t="s">
        <v>6503</v>
      </c>
    </row>
    <row r="12137" customFormat="false" ht="15.75" hidden="false" customHeight="false" outlineLevel="0" collapsed="false">
      <c r="A12137" s="6" t="n">
        <f aca="false">DATE(2026,8,22)</f>
        <v>46256</v>
      </c>
      <c r="B12137" s="4" t="s">
        <v>13</v>
      </c>
      <c r="C12137" s="4" t="n">
        <v>4</v>
      </c>
      <c r="D12137" s="4" t="n">
        <v>7</v>
      </c>
      <c r="E12137" s="4" t="s">
        <v>2934</v>
      </c>
      <c r="F12137" s="4" t="n">
        <v>62</v>
      </c>
      <c r="G12137" s="4" t="n">
        <v>1</v>
      </c>
      <c r="H12137" s="4" t="n">
        <v>3</v>
      </c>
      <c r="I12137" s="4" t="str">
        <v>○</v>
      </c>
      <c r="J12137" s="4" t="n">
        <v>120</v>
      </c>
      <c r="K12137" s="4"/>
      <c r="L12137" s="4"/>
      <c r="M12137" s="7" t="s">
        <v>6503</v>
      </c>
    </row>
    <row r="12138" customFormat="false" ht="15.75" hidden="false" customHeight="false" outlineLevel="0" collapsed="false">
      <c r="A12138" s="6" t="n">
        <f aca="false">DATE(2026,8,22)</f>
        <v>46256</v>
      </c>
      <c r="B12138" s="4" t="s">
        <v>13</v>
      </c>
      <c r="C12138" s="4" t="n">
        <v>4</v>
      </c>
      <c r="D12138" s="4" t="n">
        <v>8</v>
      </c>
      <c r="E12138" s="4" t="s">
        <v>3729</v>
      </c>
      <c r="F12138" s="4" t="n">
        <v>29</v>
      </c>
      <c r="G12138" s="4" t="n">
        <v>4</v>
      </c>
      <c r="H12138" s="4" t="n">
        <v>2</v>
      </c>
      <c r="I12138" s="4" t="str">
        <v>○</v>
      </c>
      <c r="J12138" s="4" t="n">
        <v>290</v>
      </c>
      <c r="K12138" s="4"/>
      <c r="L12138" s="4"/>
      <c r="M12138" s="7" t="s">
        <v>6503</v>
      </c>
    </row>
    <row r="12139" customFormat="false" ht="15.75" hidden="false" customHeight="false" outlineLevel="0" collapsed="false">
      <c r="A12139" s="6" t="n">
        <f aca="false">DATE(2026,8,22)</f>
        <v>46256</v>
      </c>
      <c r="B12139" s="4" t="s">
        <v>13</v>
      </c>
      <c r="C12139" s="4" t="n">
        <v>4</v>
      </c>
      <c r="D12139" s="4" t="n">
        <v>9</v>
      </c>
      <c r="E12139" s="4"/>
      <c r="F12139" s="4" t="n">
        <v>60</v>
      </c>
      <c r="G12139" s="4" t="n">
        <v>2</v>
      </c>
      <c r="H12139" s="4" t="n">
        <v>4</v>
      </c>
      <c r="I12139" s="4" t="str">
        <v>×</v>
      </c>
      <c r="J12139" s="4"/>
      <c r="K12139" s="4"/>
      <c r="L12139" s="4"/>
      <c r="M12139" s="7" t="s">
        <v>6503</v>
      </c>
    </row>
    <row r="12140" customFormat="false" ht="15.75" hidden="false" customHeight="false" outlineLevel="0" collapsed="false">
      <c r="A12140" s="6" t="n">
        <f aca="false">DATE(2026,8,22)</f>
        <v>46256</v>
      </c>
      <c r="B12140" s="4" t="s">
        <v>13</v>
      </c>
      <c r="C12140" s="4" t="n">
        <v>4</v>
      </c>
      <c r="D12140" s="4" t="n">
        <v>10</v>
      </c>
      <c r="E12140" s="4"/>
      <c r="F12140" s="4" t="n">
        <v>20</v>
      </c>
      <c r="G12140" s="4" t="n">
        <v>6</v>
      </c>
      <c r="H12140" s="4" t="n">
        <v>4</v>
      </c>
      <c r="I12140" s="4" t="str">
        <v>×</v>
      </c>
      <c r="J12140" s="4"/>
      <c r="K12140" s="4"/>
      <c r="L12140" s="4"/>
      <c r="M12140" s="7" t="s">
        <v>6503</v>
      </c>
    </row>
    <row r="12141" customFormat="false" ht="15.75" hidden="false" customHeight="false" outlineLevel="0" collapsed="false">
      <c r="A12141" s="6" t="n">
        <f aca="false">DATE(2026,8,22)</f>
        <v>46256</v>
      </c>
      <c r="B12141" s="4" t="s">
        <v>13</v>
      </c>
      <c r="C12141" s="4" t="n">
        <v>4</v>
      </c>
      <c r="D12141" s="4" t="n">
        <v>11</v>
      </c>
      <c r="E12141" s="4"/>
      <c r="F12141" s="4" t="n">
        <v>6</v>
      </c>
      <c r="G12141" s="4" t="n">
        <v>12</v>
      </c>
      <c r="H12141" s="4" t="n">
        <v>4</v>
      </c>
      <c r="I12141" s="4" t="str">
        <v>×</v>
      </c>
      <c r="J12141" s="4"/>
      <c r="K12141" s="4"/>
      <c r="L12141" s="4"/>
      <c r="M12141" s="7" t="s">
        <v>6503</v>
      </c>
    </row>
    <row r="12142" customFormat="false" ht="15.75" hidden="false" customHeight="false" outlineLevel="0" collapsed="false">
      <c r="A12142" s="6" t="n">
        <f aca="false">DATE(2026,8,22)</f>
        <v>46256</v>
      </c>
      <c r="B12142" s="4" t="s">
        <v>13</v>
      </c>
      <c r="C12142" s="4" t="n">
        <v>4</v>
      </c>
      <c r="D12142" s="4" t="n">
        <v>12</v>
      </c>
      <c r="E12142" s="4"/>
      <c r="F12142" s="4" t="n">
        <v>10</v>
      </c>
      <c r="G12142" s="4" t="n">
        <v>9</v>
      </c>
      <c r="H12142" s="4" t="n">
        <v>4</v>
      </c>
      <c r="I12142" s="4" t="str">
        <v>×</v>
      </c>
      <c r="J12142" s="4"/>
      <c r="K12142" s="4"/>
      <c r="L12142" s="4"/>
      <c r="M12142" s="7" t="s">
        <v>6503</v>
      </c>
    </row>
    <row r="12143" customFormat="false" ht="15.75" hidden="false" customHeight="false" outlineLevel="0" collapsed="false">
      <c r="A12143" s="6" t="n">
        <f aca="false">DATE(2026,8,22)</f>
        <v>46256</v>
      </c>
      <c r="B12143" s="4" t="s">
        <v>13</v>
      </c>
      <c r="C12143" s="4" t="n">
        <v>4</v>
      </c>
      <c r="D12143" s="4" t="n">
        <v>13</v>
      </c>
      <c r="E12143" s="4"/>
      <c r="F12143" s="4" t="n">
        <v>3</v>
      </c>
      <c r="G12143" s="4" t="n">
        <v>14</v>
      </c>
      <c r="H12143" s="4" t="n">
        <v>4</v>
      </c>
      <c r="I12143" s="4" t="str">
        <v>×</v>
      </c>
      <c r="J12143" s="4"/>
      <c r="K12143" s="4"/>
      <c r="L12143" s="4"/>
      <c r="M12143" s="7" t="s">
        <v>6503</v>
      </c>
    </row>
    <row r="12144" customFormat="false" ht="15.75" hidden="false" customHeight="false" outlineLevel="0" collapsed="false">
      <c r="A12144" s="6" t="n">
        <f aca="false">DATE(2026,8,22)</f>
        <v>46256</v>
      </c>
      <c r="B12144" s="4" t="s">
        <v>13</v>
      </c>
      <c r="C12144" s="4" t="n">
        <v>4</v>
      </c>
      <c r="D12144" s="4" t="n">
        <v>14</v>
      </c>
      <c r="E12144" s="4"/>
      <c r="F12144" s="4" t="n">
        <v>8</v>
      </c>
      <c r="G12144" s="4" t="n">
        <v>10</v>
      </c>
      <c r="H12144" s="4" t="n">
        <v>4</v>
      </c>
      <c r="I12144" s="4" t="str">
        <v>×</v>
      </c>
      <c r="J12144" s="4"/>
      <c r="K12144" s="4"/>
      <c r="L12144" s="4"/>
      <c r="M12144" s="7" t="s">
        <v>6503</v>
      </c>
    </row>
    <row r="12145" customFormat="false" ht="15.75" hidden="false" customHeight="false" outlineLevel="0" collapsed="false">
      <c r="A12145" s="6" t="n">
        <f aca="false">DATE(2026,8,22)</f>
        <v>46256</v>
      </c>
      <c r="B12145" s="4" t="s">
        <v>13</v>
      </c>
      <c r="C12145" s="4" t="n">
        <v>4</v>
      </c>
      <c r="D12145" s="4" t="n">
        <v>15</v>
      </c>
      <c r="E12145" s="4"/>
      <c r="F12145" s="4" t="n">
        <v>8</v>
      </c>
      <c r="G12145" s="4" t="n">
        <v>10</v>
      </c>
      <c r="H12145" s="4" t="n">
        <v>4</v>
      </c>
      <c r="I12145" s="4" t="str">
        <v>×</v>
      </c>
      <c r="J12145" s="4"/>
      <c r="K12145" s="4"/>
      <c r="L12145" s="4"/>
      <c r="M12145" s="7" t="s">
        <v>6503</v>
      </c>
    </row>
    <row r="12146" customFormat="false" ht="15.75" hidden="false" customHeight="false" outlineLevel="0" collapsed="false">
      <c r="A12146" s="6" t="n">
        <f aca="false">DATE(2026,8,22)</f>
        <v>46256</v>
      </c>
      <c r="B12146" s="4" t="s">
        <v>13</v>
      </c>
      <c r="C12146" s="4" t="n">
        <v>5</v>
      </c>
      <c r="D12146" s="4" t="n">
        <v>1</v>
      </c>
      <c r="E12146" s="4"/>
      <c r="F12146" s="4" t="n">
        <v>15</v>
      </c>
      <c r="G12146" s="4" t="n">
        <v>10</v>
      </c>
      <c r="H12146" s="4" t="n">
        <v>4</v>
      </c>
      <c r="I12146" s="4" t="str">
        <v>×</v>
      </c>
      <c r="J12146" s="4"/>
      <c r="K12146" s="4"/>
      <c r="L12146" s="4"/>
      <c r="M12146" s="7" t="s">
        <v>6503</v>
      </c>
    </row>
    <row r="12147" customFormat="false" ht="15.75" hidden="false" customHeight="false" outlineLevel="0" collapsed="false">
      <c r="A12147" s="6" t="n">
        <f aca="false">DATE(2026,8,22)</f>
        <v>46256</v>
      </c>
      <c r="B12147" s="4" t="s">
        <v>13</v>
      </c>
      <c r="C12147" s="4" t="n">
        <v>5</v>
      </c>
      <c r="D12147" s="4" t="n">
        <v>2</v>
      </c>
      <c r="E12147" s="4"/>
      <c r="F12147" s="4" t="n">
        <v>6</v>
      </c>
      <c r="G12147" s="4" t="n">
        <v>13</v>
      </c>
      <c r="H12147" s="4" t="n">
        <v>4</v>
      </c>
      <c r="I12147" s="4" t="str">
        <v>×</v>
      </c>
      <c r="J12147" s="4"/>
      <c r="K12147" s="4"/>
      <c r="L12147" s="4"/>
      <c r="M12147" s="7" t="s">
        <v>6503</v>
      </c>
    </row>
    <row r="12148" customFormat="false" ht="15.75" hidden="false" customHeight="false" outlineLevel="0" collapsed="false">
      <c r="A12148" s="6" t="n">
        <f aca="false">DATE(2026,8,22)</f>
        <v>46256</v>
      </c>
      <c r="B12148" s="4" t="s">
        <v>13</v>
      </c>
      <c r="C12148" s="4" t="n">
        <v>5</v>
      </c>
      <c r="D12148" s="4" t="n">
        <v>3</v>
      </c>
      <c r="E12148" s="4"/>
      <c r="F12148" s="4" t="n">
        <v>60</v>
      </c>
      <c r="G12148" s="4" t="n">
        <v>1</v>
      </c>
      <c r="H12148" s="4" t="n">
        <v>4</v>
      </c>
      <c r="I12148" s="4" t="str">
        <v>×</v>
      </c>
      <c r="J12148" s="4"/>
      <c r="K12148" s="4"/>
      <c r="L12148" s="4"/>
      <c r="M12148" s="7" t="s">
        <v>6503</v>
      </c>
    </row>
    <row r="12149" customFormat="false" ht="15.75" hidden="false" customHeight="false" outlineLevel="0" collapsed="false">
      <c r="A12149" s="6" t="n">
        <f aca="false">DATE(2026,8,22)</f>
        <v>46256</v>
      </c>
      <c r="B12149" s="4" t="s">
        <v>13</v>
      </c>
      <c r="C12149" s="4" t="n">
        <v>5</v>
      </c>
      <c r="D12149" s="4" t="n">
        <v>4</v>
      </c>
      <c r="E12149" s="4"/>
      <c r="F12149" s="4" t="n">
        <v>4</v>
      </c>
      <c r="G12149" s="4" t="n">
        <v>15</v>
      </c>
      <c r="H12149" s="4" t="n">
        <v>4</v>
      </c>
      <c r="I12149" s="4" t="str">
        <v>×</v>
      </c>
      <c r="J12149" s="4"/>
      <c r="K12149" s="4"/>
      <c r="L12149" s="4"/>
      <c r="M12149" s="7" t="s">
        <v>6503</v>
      </c>
    </row>
    <row r="12150" customFormat="false" ht="15.75" hidden="false" customHeight="false" outlineLevel="0" collapsed="false">
      <c r="A12150" s="6" t="n">
        <f aca="false">DATE(2026,8,22)</f>
        <v>46256</v>
      </c>
      <c r="B12150" s="4" t="s">
        <v>13</v>
      </c>
      <c r="C12150" s="4" t="n">
        <v>5</v>
      </c>
      <c r="D12150" s="4" t="n">
        <v>5</v>
      </c>
      <c r="E12150" s="4"/>
      <c r="F12150" s="4" t="n">
        <v>1</v>
      </c>
      <c r="G12150" s="4" t="n">
        <v>17</v>
      </c>
      <c r="H12150" s="4" t="n">
        <v>4</v>
      </c>
      <c r="I12150" s="4" t="str">
        <v>×</v>
      </c>
      <c r="J12150" s="4"/>
      <c r="K12150" s="4"/>
      <c r="L12150" s="4"/>
      <c r="M12150" s="7" t="s">
        <v>6503</v>
      </c>
    </row>
    <row r="12151" customFormat="false" ht="15.75" hidden="false" customHeight="false" outlineLevel="0" collapsed="false">
      <c r="A12151" s="6" t="n">
        <f aca="false">DATE(2026,8,22)</f>
        <v>46256</v>
      </c>
      <c r="B12151" s="4" t="s">
        <v>13</v>
      </c>
      <c r="C12151" s="4" t="n">
        <v>5</v>
      </c>
      <c r="D12151" s="4" t="n">
        <v>6</v>
      </c>
      <c r="E12151" s="4" t="s">
        <v>3015</v>
      </c>
      <c r="F12151" s="4" t="n">
        <v>20</v>
      </c>
      <c r="G12151" s="4" t="n">
        <v>6</v>
      </c>
      <c r="H12151" s="4" t="n">
        <v>1</v>
      </c>
      <c r="I12151" s="4" t="str">
        <v>○</v>
      </c>
      <c r="J12151" s="4" t="n">
        <v>1140</v>
      </c>
      <c r="K12151" s="4"/>
      <c r="L12151" s="4"/>
      <c r="M12151" s="7" t="s">
        <v>6503</v>
      </c>
    </row>
    <row r="12152" customFormat="false" ht="15.75" hidden="false" customHeight="false" outlineLevel="0" collapsed="false">
      <c r="A12152" s="6" t="n">
        <f aca="false">DATE(2026,8,22)</f>
        <v>46256</v>
      </c>
      <c r="B12152" s="4" t="s">
        <v>13</v>
      </c>
      <c r="C12152" s="4" t="n">
        <v>5</v>
      </c>
      <c r="D12152" s="4" t="n">
        <v>7</v>
      </c>
      <c r="E12152" s="4"/>
      <c r="F12152" s="4" t="n">
        <v>17</v>
      </c>
      <c r="G12152" s="4" t="n">
        <v>9</v>
      </c>
      <c r="H12152" s="4" t="n">
        <v>4</v>
      </c>
      <c r="I12152" s="4" t="str">
        <v>×</v>
      </c>
      <c r="J12152" s="4"/>
      <c r="K12152" s="4"/>
      <c r="L12152" s="4"/>
      <c r="M12152" s="7" t="s">
        <v>6503</v>
      </c>
    </row>
    <row r="12153" customFormat="false" ht="15.75" hidden="false" customHeight="false" outlineLevel="0" collapsed="false">
      <c r="A12153" s="6" t="n">
        <f aca="false">DATE(2026,8,22)</f>
        <v>46256</v>
      </c>
      <c r="B12153" s="4" t="s">
        <v>13</v>
      </c>
      <c r="C12153" s="4" t="n">
        <v>5</v>
      </c>
      <c r="D12153" s="4" t="n">
        <v>8</v>
      </c>
      <c r="E12153" s="4"/>
      <c r="F12153" s="4" t="n">
        <v>10</v>
      </c>
      <c r="G12153" s="4" t="n">
        <v>12</v>
      </c>
      <c r="H12153" s="4" t="n">
        <v>4</v>
      </c>
      <c r="I12153" s="4" t="str">
        <v>×</v>
      </c>
      <c r="J12153" s="4"/>
      <c r="K12153" s="4"/>
      <c r="L12153" s="4"/>
      <c r="M12153" s="7" t="s">
        <v>6503</v>
      </c>
    </row>
    <row r="12154" customFormat="false" ht="15.75" hidden="false" customHeight="false" outlineLevel="0" collapsed="false">
      <c r="A12154" s="6" t="n">
        <f aca="false">DATE(2026,8,22)</f>
        <v>46256</v>
      </c>
      <c r="B12154" s="4" t="s">
        <v>13</v>
      </c>
      <c r="C12154" s="4" t="n">
        <v>5</v>
      </c>
      <c r="D12154" s="4" t="n">
        <v>9</v>
      </c>
      <c r="E12154" s="4" t="s">
        <v>3022</v>
      </c>
      <c r="F12154" s="4" t="n">
        <v>41</v>
      </c>
      <c r="G12154" s="4" t="n">
        <v>3</v>
      </c>
      <c r="H12154" s="4" t="n">
        <v>2</v>
      </c>
      <c r="I12154" s="4" t="str">
        <v>○</v>
      </c>
      <c r="J12154" s="4" t="n">
        <v>260</v>
      </c>
      <c r="K12154" s="4"/>
      <c r="L12154" s="4"/>
      <c r="M12154" s="7" t="s">
        <v>6503</v>
      </c>
    </row>
    <row r="12155" customFormat="false" ht="15.75" hidden="false" customHeight="false" outlineLevel="0" collapsed="false">
      <c r="A12155" s="6" t="n">
        <f aca="false">DATE(2026,8,22)</f>
        <v>46256</v>
      </c>
      <c r="B12155" s="4" t="s">
        <v>13</v>
      </c>
      <c r="C12155" s="4" t="n">
        <v>5</v>
      </c>
      <c r="D12155" s="4" t="n">
        <v>10</v>
      </c>
      <c r="E12155" s="4"/>
      <c r="F12155" s="4" t="n">
        <v>13</v>
      </c>
      <c r="G12155" s="4" t="n">
        <v>11</v>
      </c>
      <c r="H12155" s="4" t="n">
        <v>4</v>
      </c>
      <c r="I12155" s="4" t="str">
        <v>×</v>
      </c>
      <c r="J12155" s="4"/>
      <c r="K12155" s="4"/>
      <c r="L12155" s="4"/>
      <c r="M12155" s="7" t="s">
        <v>6503</v>
      </c>
    </row>
    <row r="12156" customFormat="false" ht="15.75" hidden="false" customHeight="false" outlineLevel="0" collapsed="false">
      <c r="A12156" s="6" t="n">
        <f aca="false">DATE(2026,8,22)</f>
        <v>46256</v>
      </c>
      <c r="B12156" s="4" t="s">
        <v>13</v>
      </c>
      <c r="C12156" s="4" t="n">
        <v>5</v>
      </c>
      <c r="D12156" s="4" t="n">
        <v>11</v>
      </c>
      <c r="E12156" s="4" t="s">
        <v>5817</v>
      </c>
      <c r="F12156" s="4" t="n">
        <v>20</v>
      </c>
      <c r="G12156" s="4" t="n">
        <v>6</v>
      </c>
      <c r="H12156" s="4" t="n">
        <v>3</v>
      </c>
      <c r="I12156" s="4" t="str">
        <v>○</v>
      </c>
      <c r="J12156" s="4" t="n">
        <v>410</v>
      </c>
      <c r="K12156" s="4"/>
      <c r="L12156" s="4"/>
      <c r="M12156" s="7" t="s">
        <v>6503</v>
      </c>
    </row>
    <row r="12157" customFormat="false" ht="15.75" hidden="false" customHeight="false" outlineLevel="0" collapsed="false">
      <c r="A12157" s="6" t="n">
        <f aca="false">DATE(2026,8,22)</f>
        <v>46256</v>
      </c>
      <c r="B12157" s="4" t="s">
        <v>13</v>
      </c>
      <c r="C12157" s="4" t="n">
        <v>5</v>
      </c>
      <c r="D12157" s="4" t="n">
        <v>12</v>
      </c>
      <c r="E12157" s="4"/>
      <c r="F12157" s="4" t="n">
        <v>6</v>
      </c>
      <c r="G12157" s="4" t="n">
        <v>13</v>
      </c>
      <c r="H12157" s="4" t="n">
        <v>4</v>
      </c>
      <c r="I12157" s="4" t="str">
        <v>×</v>
      </c>
      <c r="J12157" s="4"/>
      <c r="K12157" s="4"/>
      <c r="L12157" s="4"/>
      <c r="M12157" s="7" t="s">
        <v>6503</v>
      </c>
    </row>
    <row r="12158" customFormat="false" ht="15.75" hidden="false" customHeight="false" outlineLevel="0" collapsed="false">
      <c r="A12158" s="6" t="n">
        <f aca="false">DATE(2026,8,22)</f>
        <v>46256</v>
      </c>
      <c r="B12158" s="4" t="s">
        <v>13</v>
      </c>
      <c r="C12158" s="4" t="n">
        <v>5</v>
      </c>
      <c r="D12158" s="4" t="n">
        <v>13</v>
      </c>
      <c r="E12158" s="4"/>
      <c r="F12158" s="4" t="n">
        <v>23</v>
      </c>
      <c r="G12158" s="4" t="n">
        <v>5</v>
      </c>
      <c r="H12158" s="4" t="n">
        <v>4</v>
      </c>
      <c r="I12158" s="4" t="str">
        <v>×</v>
      </c>
      <c r="J12158" s="4"/>
      <c r="K12158" s="4"/>
      <c r="L12158" s="4"/>
      <c r="M12158" s="7" t="s">
        <v>6503</v>
      </c>
    </row>
    <row r="12159" customFormat="false" ht="15.75" hidden="false" customHeight="false" outlineLevel="0" collapsed="false">
      <c r="A12159" s="6" t="n">
        <f aca="false">DATE(2026,8,22)</f>
        <v>46256</v>
      </c>
      <c r="B12159" s="4" t="s">
        <v>13</v>
      </c>
      <c r="C12159" s="4" t="n">
        <v>5</v>
      </c>
      <c r="D12159" s="4" t="n">
        <v>14</v>
      </c>
      <c r="E12159" s="4"/>
      <c r="F12159" s="4" t="n">
        <v>1</v>
      </c>
      <c r="G12159" s="4" t="n">
        <v>17</v>
      </c>
      <c r="H12159" s="4" t="n">
        <v>4</v>
      </c>
      <c r="I12159" s="4" t="str">
        <v>×</v>
      </c>
      <c r="J12159" s="4"/>
      <c r="K12159" s="4"/>
      <c r="L12159" s="4"/>
      <c r="M12159" s="7" t="s">
        <v>6503</v>
      </c>
    </row>
    <row r="12160" customFormat="false" ht="15.75" hidden="false" customHeight="false" outlineLevel="0" collapsed="false">
      <c r="A12160" s="6" t="n">
        <f aca="false">DATE(2026,8,22)</f>
        <v>46256</v>
      </c>
      <c r="B12160" s="4" t="s">
        <v>13</v>
      </c>
      <c r="C12160" s="4" t="n">
        <v>5</v>
      </c>
      <c r="D12160" s="4" t="n">
        <v>15</v>
      </c>
      <c r="E12160" s="4"/>
      <c r="F12160" s="4" t="n">
        <v>20</v>
      </c>
      <c r="G12160" s="4" t="n">
        <v>6</v>
      </c>
      <c r="H12160" s="4" t="n">
        <v>4</v>
      </c>
      <c r="I12160" s="4" t="str">
        <v>×</v>
      </c>
      <c r="J12160" s="4"/>
      <c r="K12160" s="4"/>
      <c r="L12160" s="4"/>
      <c r="M12160" s="7" t="s">
        <v>6503</v>
      </c>
    </row>
    <row r="12161" customFormat="false" ht="15.75" hidden="false" customHeight="false" outlineLevel="0" collapsed="false">
      <c r="A12161" s="6" t="n">
        <f aca="false">DATE(2026,8,22)</f>
        <v>46256</v>
      </c>
      <c r="B12161" s="4" t="s">
        <v>13</v>
      </c>
      <c r="C12161" s="4" t="n">
        <v>5</v>
      </c>
      <c r="D12161" s="4" t="n">
        <v>16</v>
      </c>
      <c r="E12161" s="4"/>
      <c r="F12161" s="4" t="n">
        <v>60</v>
      </c>
      <c r="G12161" s="4" t="n">
        <v>1</v>
      </c>
      <c r="H12161" s="4" t="n">
        <v>4</v>
      </c>
      <c r="I12161" s="4" t="str">
        <v>×</v>
      </c>
      <c r="J12161" s="4"/>
      <c r="K12161" s="4"/>
      <c r="L12161" s="4"/>
      <c r="M12161" s="7" t="s">
        <v>6503</v>
      </c>
    </row>
    <row r="12162" customFormat="false" ht="15.75" hidden="false" customHeight="false" outlineLevel="0" collapsed="false">
      <c r="A12162" s="6" t="n">
        <f aca="false">DATE(2026,8,22)</f>
        <v>46256</v>
      </c>
      <c r="B12162" s="4" t="s">
        <v>13</v>
      </c>
      <c r="C12162" s="4" t="n">
        <v>5</v>
      </c>
      <c r="D12162" s="4" t="n">
        <v>17</v>
      </c>
      <c r="E12162" s="4"/>
      <c r="F12162" s="4" t="n">
        <v>3</v>
      </c>
      <c r="G12162" s="4" t="n">
        <v>16</v>
      </c>
      <c r="H12162" s="4" t="n">
        <v>4</v>
      </c>
      <c r="I12162" s="4" t="str">
        <v>×</v>
      </c>
      <c r="J12162" s="4"/>
      <c r="K12162" s="4"/>
      <c r="L12162" s="4"/>
      <c r="M12162" s="7" t="s">
        <v>6503</v>
      </c>
    </row>
    <row r="12163" customFormat="false" ht="15.75" hidden="false" customHeight="false" outlineLevel="0" collapsed="false">
      <c r="A12163" s="6" t="n">
        <f aca="false">DATE(2026,8,22)</f>
        <v>46256</v>
      </c>
      <c r="B12163" s="4" t="s">
        <v>13</v>
      </c>
      <c r="C12163" s="4" t="n">
        <v>5</v>
      </c>
      <c r="D12163" s="4" t="n">
        <v>18</v>
      </c>
      <c r="E12163" s="4"/>
      <c r="F12163" s="4" t="n">
        <v>25</v>
      </c>
      <c r="G12163" s="4" t="n">
        <v>4</v>
      </c>
      <c r="H12163" s="4" t="n">
        <v>4</v>
      </c>
      <c r="I12163" s="4" t="str">
        <v>×</v>
      </c>
      <c r="J12163" s="4"/>
      <c r="K12163" s="4"/>
      <c r="L12163" s="4"/>
      <c r="M12163" s="7" t="s">
        <v>6503</v>
      </c>
    </row>
    <row r="12164" customFormat="false" ht="15.75" hidden="false" customHeight="false" outlineLevel="0" collapsed="false">
      <c r="A12164" s="6" t="n">
        <f aca="false">DATE(2026,8,22)</f>
        <v>46256</v>
      </c>
      <c r="B12164" s="4" t="s">
        <v>13</v>
      </c>
      <c r="C12164" s="4" t="n">
        <v>6</v>
      </c>
      <c r="D12164" s="4" t="n">
        <v>1</v>
      </c>
      <c r="E12164" s="4" t="s">
        <v>5871</v>
      </c>
      <c r="F12164" s="4" t="n">
        <v>44</v>
      </c>
      <c r="G12164" s="4" t="n">
        <v>2</v>
      </c>
      <c r="H12164" s="4" t="n">
        <v>2</v>
      </c>
      <c r="I12164" s="4" t="str">
        <v>○</v>
      </c>
      <c r="J12164" s="4" t="n">
        <v>150</v>
      </c>
      <c r="K12164" s="4"/>
      <c r="L12164" s="4"/>
      <c r="M12164" s="7" t="s">
        <v>6503</v>
      </c>
    </row>
    <row r="12165" customFormat="false" ht="15.75" hidden="false" customHeight="false" outlineLevel="0" collapsed="false">
      <c r="A12165" s="6" t="n">
        <f aca="false">DATE(2026,8,22)</f>
        <v>46256</v>
      </c>
      <c r="B12165" s="4" t="s">
        <v>13</v>
      </c>
      <c r="C12165" s="4" t="n">
        <v>6</v>
      </c>
      <c r="D12165" s="4" t="n">
        <v>2</v>
      </c>
      <c r="E12165" s="4"/>
      <c r="F12165" s="4" t="n">
        <v>44</v>
      </c>
      <c r="G12165" s="4" t="n">
        <v>2</v>
      </c>
      <c r="H12165" s="4" t="n">
        <v>4</v>
      </c>
      <c r="I12165" s="4" t="str">
        <v>×</v>
      </c>
      <c r="J12165" s="4"/>
      <c r="K12165" s="4"/>
      <c r="L12165" s="4"/>
      <c r="M12165" s="7" t="s">
        <v>6503</v>
      </c>
    </row>
    <row r="12166" customFormat="false" ht="15.75" hidden="false" customHeight="false" outlineLevel="0" collapsed="false">
      <c r="A12166" s="6" t="n">
        <f aca="false">DATE(2026,8,22)</f>
        <v>46256</v>
      </c>
      <c r="B12166" s="4" t="s">
        <v>13</v>
      </c>
      <c r="C12166" s="4" t="n">
        <v>6</v>
      </c>
      <c r="D12166" s="4" t="n">
        <v>3</v>
      </c>
      <c r="E12166" s="4"/>
      <c r="F12166" s="4" t="n">
        <v>13</v>
      </c>
      <c r="G12166" s="4" t="n">
        <v>10</v>
      </c>
      <c r="H12166" s="4" t="n">
        <v>4</v>
      </c>
      <c r="I12166" s="4" t="str">
        <v>×</v>
      </c>
      <c r="J12166" s="4"/>
      <c r="K12166" s="4"/>
      <c r="L12166" s="4"/>
      <c r="M12166" s="7" t="s">
        <v>6503</v>
      </c>
    </row>
    <row r="12167" customFormat="false" ht="15.75" hidden="false" customHeight="false" outlineLevel="0" collapsed="false">
      <c r="A12167" s="6" t="n">
        <f aca="false">DATE(2026,8,22)</f>
        <v>46256</v>
      </c>
      <c r="B12167" s="4" t="s">
        <v>13</v>
      </c>
      <c r="C12167" s="4" t="n">
        <v>6</v>
      </c>
      <c r="D12167" s="4" t="n">
        <v>4</v>
      </c>
      <c r="E12167" s="4"/>
      <c r="F12167" s="4" t="n">
        <v>29</v>
      </c>
      <c r="G12167" s="4" t="n">
        <v>5</v>
      </c>
      <c r="H12167" s="4" t="n">
        <v>4</v>
      </c>
      <c r="I12167" s="4" t="str">
        <v>×</v>
      </c>
      <c r="J12167" s="4"/>
      <c r="K12167" s="4"/>
      <c r="L12167" s="4"/>
      <c r="M12167" s="7" t="s">
        <v>6503</v>
      </c>
    </row>
    <row r="12168" customFormat="false" ht="15.75" hidden="false" customHeight="false" outlineLevel="0" collapsed="false">
      <c r="A12168" s="6" t="n">
        <f aca="false">DATE(2026,8,22)</f>
        <v>46256</v>
      </c>
      <c r="B12168" s="4" t="s">
        <v>13</v>
      </c>
      <c r="C12168" s="4" t="n">
        <v>6</v>
      </c>
      <c r="D12168" s="4" t="n">
        <v>5</v>
      </c>
      <c r="E12168" s="4"/>
      <c r="F12168" s="4" t="n">
        <v>3</v>
      </c>
      <c r="G12168" s="4" t="n">
        <v>17</v>
      </c>
      <c r="H12168" s="4" t="n">
        <v>4</v>
      </c>
      <c r="I12168" s="4" t="str">
        <v>×</v>
      </c>
      <c r="J12168" s="4"/>
      <c r="K12168" s="4"/>
      <c r="L12168" s="4"/>
      <c r="M12168" s="7" t="s">
        <v>6503</v>
      </c>
    </row>
    <row r="12169" customFormat="false" ht="15.75" hidden="false" customHeight="false" outlineLevel="0" collapsed="false">
      <c r="A12169" s="6" t="n">
        <f aca="false">DATE(2026,8,22)</f>
        <v>46256</v>
      </c>
      <c r="B12169" s="4" t="s">
        <v>13</v>
      </c>
      <c r="C12169" s="4" t="n">
        <v>6</v>
      </c>
      <c r="D12169" s="4" t="n">
        <v>6</v>
      </c>
      <c r="E12169" s="4"/>
      <c r="F12169" s="4" t="n">
        <v>4</v>
      </c>
      <c r="G12169" s="4" t="n">
        <v>14</v>
      </c>
      <c r="H12169" s="4" t="n">
        <v>4</v>
      </c>
      <c r="I12169" s="4" t="str">
        <v>×</v>
      </c>
      <c r="J12169" s="4"/>
      <c r="K12169" s="4"/>
      <c r="L12169" s="4"/>
      <c r="M12169" s="7" t="s">
        <v>6503</v>
      </c>
    </row>
    <row r="12170" customFormat="false" ht="15.75" hidden="false" customHeight="false" outlineLevel="0" collapsed="false">
      <c r="A12170" s="6" t="n">
        <f aca="false">DATE(2026,8,22)</f>
        <v>46256</v>
      </c>
      <c r="B12170" s="4" t="s">
        <v>13</v>
      </c>
      <c r="C12170" s="4" t="n">
        <v>6</v>
      </c>
      <c r="D12170" s="4" t="n">
        <v>7</v>
      </c>
      <c r="E12170" s="4"/>
      <c r="F12170" s="4" t="n">
        <v>4</v>
      </c>
      <c r="G12170" s="4" t="n">
        <v>14</v>
      </c>
      <c r="H12170" s="4" t="n">
        <v>4</v>
      </c>
      <c r="I12170" s="4" t="str">
        <v>×</v>
      </c>
      <c r="J12170" s="4"/>
      <c r="K12170" s="4"/>
      <c r="L12170" s="4"/>
      <c r="M12170" s="7" t="s">
        <v>6503</v>
      </c>
    </row>
    <row r="12171" customFormat="false" ht="15.75" hidden="false" customHeight="false" outlineLevel="0" collapsed="false">
      <c r="A12171" s="6" t="n">
        <f aca="false">DATE(2026,8,22)</f>
        <v>46256</v>
      </c>
      <c r="B12171" s="4" t="s">
        <v>13</v>
      </c>
      <c r="C12171" s="4" t="n">
        <v>6</v>
      </c>
      <c r="D12171" s="4" t="n">
        <v>8</v>
      </c>
      <c r="E12171" s="4"/>
      <c r="F12171" s="4" t="n">
        <v>20</v>
      </c>
      <c r="G12171" s="4" t="n">
        <v>8</v>
      </c>
      <c r="H12171" s="4" t="n">
        <v>4</v>
      </c>
      <c r="I12171" s="4" t="str">
        <v>×</v>
      </c>
      <c r="J12171" s="4"/>
      <c r="K12171" s="4"/>
      <c r="L12171" s="4"/>
      <c r="M12171" s="7" t="s">
        <v>6503</v>
      </c>
    </row>
    <row r="12172" customFormat="false" ht="15.75" hidden="false" customHeight="false" outlineLevel="0" collapsed="false">
      <c r="A12172" s="6" t="n">
        <f aca="false">DATE(2026,8,22)</f>
        <v>46256</v>
      </c>
      <c r="B12172" s="4" t="s">
        <v>13</v>
      </c>
      <c r="C12172" s="4" t="n">
        <v>6</v>
      </c>
      <c r="D12172" s="4" t="n">
        <v>9</v>
      </c>
      <c r="E12172" s="4"/>
      <c r="F12172" s="4" t="n">
        <v>44</v>
      </c>
      <c r="G12172" s="4" t="n">
        <v>2</v>
      </c>
      <c r="H12172" s="4" t="n">
        <v>4</v>
      </c>
      <c r="I12172" s="4" t="str">
        <v>×</v>
      </c>
      <c r="J12172" s="4"/>
      <c r="K12172" s="4"/>
      <c r="L12172" s="4"/>
      <c r="M12172" s="7" t="s">
        <v>6503</v>
      </c>
    </row>
    <row r="12173" customFormat="false" ht="15.75" hidden="false" customHeight="false" outlineLevel="0" collapsed="false">
      <c r="A12173" s="6" t="n">
        <f aca="false">DATE(2026,8,22)</f>
        <v>46256</v>
      </c>
      <c r="B12173" s="4" t="s">
        <v>13</v>
      </c>
      <c r="C12173" s="4" t="n">
        <v>6</v>
      </c>
      <c r="D12173" s="4" t="n">
        <v>10</v>
      </c>
      <c r="E12173" s="4" t="s">
        <v>6051</v>
      </c>
      <c r="F12173" s="4" t="n">
        <v>56</v>
      </c>
      <c r="G12173" s="4" t="n">
        <v>1</v>
      </c>
      <c r="H12173" s="4" t="n">
        <v>3</v>
      </c>
      <c r="I12173" s="4" t="str">
        <v>○</v>
      </c>
      <c r="J12173" s="4" t="n">
        <v>140</v>
      </c>
      <c r="K12173" s="4"/>
      <c r="L12173" s="4"/>
      <c r="M12173" s="7" t="s">
        <v>6503</v>
      </c>
    </row>
    <row r="12174" customFormat="false" ht="15.75" hidden="false" customHeight="false" outlineLevel="0" collapsed="false">
      <c r="A12174" s="6" t="n">
        <f aca="false">DATE(2026,8,22)</f>
        <v>46256</v>
      </c>
      <c r="B12174" s="4" t="s">
        <v>13</v>
      </c>
      <c r="C12174" s="4" t="n">
        <v>6</v>
      </c>
      <c r="D12174" s="4" t="n">
        <v>11</v>
      </c>
      <c r="E12174" s="4"/>
      <c r="F12174" s="4" t="n">
        <v>6</v>
      </c>
      <c r="G12174" s="4" t="n">
        <v>12</v>
      </c>
      <c r="H12174" s="4" t="n">
        <v>4</v>
      </c>
      <c r="I12174" s="4" t="str">
        <v>×</v>
      </c>
      <c r="J12174" s="4"/>
      <c r="K12174" s="4"/>
      <c r="L12174" s="4"/>
      <c r="M12174" s="7" t="s">
        <v>6503</v>
      </c>
    </row>
    <row r="12175" customFormat="false" ht="15.75" hidden="false" customHeight="false" outlineLevel="0" collapsed="false">
      <c r="A12175" s="6" t="n">
        <f aca="false">DATE(2026,8,22)</f>
        <v>46256</v>
      </c>
      <c r="B12175" s="4" t="s">
        <v>13</v>
      </c>
      <c r="C12175" s="4" t="n">
        <v>6</v>
      </c>
      <c r="D12175" s="4" t="n">
        <v>12</v>
      </c>
      <c r="E12175" s="4" t="s">
        <v>3638</v>
      </c>
      <c r="F12175" s="4" t="n">
        <v>23</v>
      </c>
      <c r="G12175" s="4" t="n">
        <v>7</v>
      </c>
      <c r="H12175" s="4" t="n">
        <v>1</v>
      </c>
      <c r="I12175" s="4" t="str">
        <v>○</v>
      </c>
      <c r="J12175" s="4" t="n">
        <v>250</v>
      </c>
      <c r="K12175" s="4"/>
      <c r="L12175" s="4"/>
      <c r="M12175" s="7" t="s">
        <v>6503</v>
      </c>
    </row>
    <row r="12176" customFormat="false" ht="15.75" hidden="false" customHeight="false" outlineLevel="0" collapsed="false">
      <c r="A12176" s="6" t="n">
        <f aca="false">DATE(2026,8,22)</f>
        <v>46256</v>
      </c>
      <c r="B12176" s="4" t="s">
        <v>13</v>
      </c>
      <c r="C12176" s="4" t="n">
        <v>6</v>
      </c>
      <c r="D12176" s="4" t="n">
        <v>13</v>
      </c>
      <c r="E12176" s="4"/>
      <c r="F12176" s="4" t="n">
        <v>6</v>
      </c>
      <c r="G12176" s="4" t="n">
        <v>12</v>
      </c>
      <c r="H12176" s="4" t="n">
        <v>4</v>
      </c>
      <c r="I12176" s="4" t="str">
        <v>×</v>
      </c>
      <c r="J12176" s="4"/>
      <c r="K12176" s="4"/>
      <c r="L12176" s="4"/>
      <c r="M12176" s="7" t="s">
        <v>6503</v>
      </c>
    </row>
    <row r="12177" customFormat="false" ht="15.75" hidden="false" customHeight="false" outlineLevel="0" collapsed="false">
      <c r="A12177" s="6" t="n">
        <f aca="false">DATE(2026,8,22)</f>
        <v>46256</v>
      </c>
      <c r="B12177" s="4" t="s">
        <v>13</v>
      </c>
      <c r="C12177" s="4" t="n">
        <v>6</v>
      </c>
      <c r="D12177" s="4" t="n">
        <v>14</v>
      </c>
      <c r="E12177" s="4"/>
      <c r="F12177" s="4" t="n">
        <v>4</v>
      </c>
      <c r="G12177" s="4" t="n">
        <v>14</v>
      </c>
      <c r="H12177" s="4" t="n">
        <v>4</v>
      </c>
      <c r="I12177" s="4" t="str">
        <v>×</v>
      </c>
      <c r="J12177" s="4"/>
      <c r="K12177" s="4"/>
      <c r="L12177" s="4"/>
      <c r="M12177" s="7" t="s">
        <v>6503</v>
      </c>
    </row>
    <row r="12178" customFormat="false" ht="15.75" hidden="false" customHeight="false" outlineLevel="0" collapsed="false">
      <c r="A12178" s="6" t="n">
        <f aca="false">DATE(2026,8,22)</f>
        <v>46256</v>
      </c>
      <c r="B12178" s="4" t="s">
        <v>13</v>
      </c>
      <c r="C12178" s="4" t="n">
        <v>6</v>
      </c>
      <c r="D12178" s="4" t="n">
        <v>15</v>
      </c>
      <c r="E12178" s="4"/>
      <c r="F12178" s="4" t="n">
        <v>2</v>
      </c>
      <c r="G12178" s="4" t="n">
        <v>18</v>
      </c>
      <c r="H12178" s="4" t="n">
        <v>4</v>
      </c>
      <c r="I12178" s="4" t="str">
        <v>×</v>
      </c>
      <c r="J12178" s="4"/>
      <c r="K12178" s="4"/>
      <c r="L12178" s="4"/>
      <c r="M12178" s="7" t="s">
        <v>6503</v>
      </c>
    </row>
    <row r="12179" customFormat="false" ht="15.75" hidden="false" customHeight="false" outlineLevel="0" collapsed="false">
      <c r="A12179" s="6" t="n">
        <f aca="false">DATE(2026,8,22)</f>
        <v>46256</v>
      </c>
      <c r="B12179" s="4" t="s">
        <v>13</v>
      </c>
      <c r="C12179" s="4" t="n">
        <v>6</v>
      </c>
      <c r="D12179" s="4" t="n">
        <v>16</v>
      </c>
      <c r="E12179" s="4"/>
      <c r="F12179" s="4" t="n">
        <v>13</v>
      </c>
      <c r="G12179" s="4" t="n">
        <v>10</v>
      </c>
      <c r="H12179" s="4" t="n">
        <v>4</v>
      </c>
      <c r="I12179" s="4" t="str">
        <v>×</v>
      </c>
      <c r="J12179" s="4"/>
      <c r="K12179" s="4"/>
      <c r="L12179" s="4"/>
      <c r="M12179" s="7" t="s">
        <v>6503</v>
      </c>
    </row>
    <row r="12180" customFormat="false" ht="15.75" hidden="false" customHeight="false" outlineLevel="0" collapsed="false">
      <c r="A12180" s="6" t="n">
        <f aca="false">DATE(2026,8,22)</f>
        <v>46256</v>
      </c>
      <c r="B12180" s="4" t="s">
        <v>13</v>
      </c>
      <c r="C12180" s="4" t="n">
        <v>6</v>
      </c>
      <c r="D12180" s="4" t="n">
        <v>17</v>
      </c>
      <c r="E12180" s="4"/>
      <c r="F12180" s="4" t="n">
        <v>29</v>
      </c>
      <c r="G12180" s="4" t="n">
        <v>5</v>
      </c>
      <c r="H12180" s="4" t="n">
        <v>4</v>
      </c>
      <c r="I12180" s="4" t="str">
        <v>×</v>
      </c>
      <c r="J12180" s="4"/>
      <c r="K12180" s="4"/>
      <c r="L12180" s="4"/>
      <c r="M12180" s="7" t="s">
        <v>6503</v>
      </c>
    </row>
    <row r="12181" customFormat="false" ht="15.75" hidden="false" customHeight="false" outlineLevel="0" collapsed="false">
      <c r="A12181" s="6" t="n">
        <f aca="false">DATE(2026,8,22)</f>
        <v>46256</v>
      </c>
      <c r="B12181" s="4" t="s">
        <v>13</v>
      </c>
      <c r="C12181" s="4" t="n">
        <v>6</v>
      </c>
      <c r="D12181" s="4" t="n">
        <v>18</v>
      </c>
      <c r="E12181" s="4"/>
      <c r="F12181" s="4" t="n">
        <v>17</v>
      </c>
      <c r="G12181" s="4" t="n">
        <v>9</v>
      </c>
      <c r="H12181" s="4" t="n">
        <v>4</v>
      </c>
      <c r="I12181" s="4" t="str">
        <v>×</v>
      </c>
      <c r="J12181" s="4"/>
      <c r="K12181" s="4"/>
      <c r="L12181" s="4"/>
      <c r="M12181" s="7" t="s">
        <v>6503</v>
      </c>
    </row>
    <row r="12182" customFormat="false" ht="15.75" hidden="false" customHeight="false" outlineLevel="0" collapsed="false">
      <c r="A12182" s="6" t="n">
        <f aca="false">DATE(2026,8,22)</f>
        <v>46256</v>
      </c>
      <c r="B12182" s="4" t="s">
        <v>13</v>
      </c>
      <c r="C12182" s="4" t="n">
        <v>7</v>
      </c>
      <c r="D12182" s="4" t="n">
        <v>1</v>
      </c>
      <c r="E12182" s="4" t="s">
        <v>6509</v>
      </c>
      <c r="F12182" s="4" t="n">
        <v>13</v>
      </c>
      <c r="G12182" s="4" t="n">
        <v>10</v>
      </c>
      <c r="H12182" s="4" t="n">
        <v>3</v>
      </c>
      <c r="I12182" s="4" t="str">
        <v>○</v>
      </c>
      <c r="J12182" s="4" t="n">
        <v>590</v>
      </c>
      <c r="K12182" s="4"/>
      <c r="L12182" s="4"/>
      <c r="M12182" s="7" t="s">
        <v>6503</v>
      </c>
    </row>
    <row r="12183" customFormat="false" ht="15.75" hidden="false" customHeight="false" outlineLevel="0" collapsed="false">
      <c r="A12183" s="6" t="n">
        <f aca="false">DATE(2026,8,22)</f>
        <v>46256</v>
      </c>
      <c r="B12183" s="4" t="s">
        <v>13</v>
      </c>
      <c r="C12183" s="4" t="n">
        <v>7</v>
      </c>
      <c r="D12183" s="4" t="n">
        <v>2</v>
      </c>
      <c r="E12183" s="4"/>
      <c r="F12183" s="4" t="n">
        <v>10</v>
      </c>
      <c r="G12183" s="4" t="n">
        <v>12</v>
      </c>
      <c r="H12183" s="4" t="n">
        <v>4</v>
      </c>
      <c r="I12183" s="4" t="str">
        <v>×</v>
      </c>
      <c r="J12183" s="4"/>
      <c r="K12183" s="4"/>
      <c r="L12183" s="4"/>
      <c r="M12183" s="7" t="s">
        <v>6503</v>
      </c>
    </row>
    <row r="12184" customFormat="false" ht="15.75" hidden="false" customHeight="false" outlineLevel="0" collapsed="false">
      <c r="A12184" s="6" t="n">
        <f aca="false">DATE(2026,8,22)</f>
        <v>46256</v>
      </c>
      <c r="B12184" s="4" t="s">
        <v>13</v>
      </c>
      <c r="C12184" s="4" t="n">
        <v>7</v>
      </c>
      <c r="D12184" s="4" t="n">
        <v>3</v>
      </c>
      <c r="E12184" s="4"/>
      <c r="F12184" s="4" t="n">
        <v>31</v>
      </c>
      <c r="G12184" s="4" t="n">
        <v>3</v>
      </c>
      <c r="H12184" s="4" t="n">
        <v>4</v>
      </c>
      <c r="I12184" s="4" t="str">
        <v>×</v>
      </c>
      <c r="J12184" s="4"/>
      <c r="K12184" s="4"/>
      <c r="L12184" s="4"/>
      <c r="M12184" s="7" t="s">
        <v>6503</v>
      </c>
    </row>
    <row r="12185" customFormat="false" ht="15.75" hidden="false" customHeight="false" outlineLevel="0" collapsed="false">
      <c r="A12185" s="6" t="n">
        <f aca="false">DATE(2026,8,22)</f>
        <v>46256</v>
      </c>
      <c r="B12185" s="4" t="s">
        <v>13</v>
      </c>
      <c r="C12185" s="4" t="n">
        <v>7</v>
      </c>
      <c r="D12185" s="4" t="n">
        <v>4</v>
      </c>
      <c r="E12185" s="4"/>
      <c r="F12185" s="4" t="n">
        <v>3</v>
      </c>
      <c r="G12185" s="4" t="n">
        <v>17</v>
      </c>
      <c r="H12185" s="4" t="n">
        <v>4</v>
      </c>
      <c r="I12185" s="4" t="str">
        <v>×</v>
      </c>
      <c r="J12185" s="4"/>
      <c r="K12185" s="4"/>
      <c r="L12185" s="4"/>
      <c r="M12185" s="7" t="s">
        <v>6503</v>
      </c>
    </row>
    <row r="12186" customFormat="false" ht="15.75" hidden="false" customHeight="false" outlineLevel="0" collapsed="false">
      <c r="A12186" s="6" t="n">
        <f aca="false">DATE(2026,8,22)</f>
        <v>46256</v>
      </c>
      <c r="B12186" s="4" t="s">
        <v>13</v>
      </c>
      <c r="C12186" s="4" t="n">
        <v>7</v>
      </c>
      <c r="D12186" s="4" t="n">
        <v>5</v>
      </c>
      <c r="E12186" s="4" t="s">
        <v>6269</v>
      </c>
      <c r="F12186" s="4" t="n">
        <v>6</v>
      </c>
      <c r="G12186" s="4" t="n">
        <v>15</v>
      </c>
      <c r="H12186" s="4" t="n">
        <v>2</v>
      </c>
      <c r="I12186" s="4" t="str">
        <v>○</v>
      </c>
      <c r="J12186" s="4" t="n">
        <v>1340</v>
      </c>
      <c r="K12186" s="4"/>
      <c r="L12186" s="4"/>
      <c r="M12186" s="7" t="s">
        <v>6503</v>
      </c>
    </row>
    <row r="12187" customFormat="false" ht="15.75" hidden="false" customHeight="false" outlineLevel="0" collapsed="false">
      <c r="A12187" s="6" t="n">
        <f aca="false">DATE(2026,8,22)</f>
        <v>46256</v>
      </c>
      <c r="B12187" s="4" t="s">
        <v>13</v>
      </c>
      <c r="C12187" s="4" t="n">
        <v>7</v>
      </c>
      <c r="D12187" s="4" t="n">
        <v>6</v>
      </c>
      <c r="E12187" s="4"/>
      <c r="F12187" s="4" t="n">
        <v>37</v>
      </c>
      <c r="G12187" s="4" t="n">
        <v>2</v>
      </c>
      <c r="H12187" s="4" t="n">
        <v>4</v>
      </c>
      <c r="I12187" s="4" t="str">
        <v>×</v>
      </c>
      <c r="J12187" s="4"/>
      <c r="K12187" s="4"/>
      <c r="L12187" s="4"/>
      <c r="M12187" s="7" t="s">
        <v>6503</v>
      </c>
    </row>
    <row r="12188" customFormat="false" ht="15.75" hidden="false" customHeight="false" outlineLevel="0" collapsed="false">
      <c r="A12188" s="6" t="n">
        <f aca="false">DATE(2026,8,22)</f>
        <v>46256</v>
      </c>
      <c r="B12188" s="4" t="s">
        <v>13</v>
      </c>
      <c r="C12188" s="4" t="n">
        <v>7</v>
      </c>
      <c r="D12188" s="4" t="n">
        <v>7</v>
      </c>
      <c r="E12188" s="4"/>
      <c r="F12188" s="4" t="n">
        <v>23</v>
      </c>
      <c r="G12188" s="4" t="n">
        <v>7</v>
      </c>
      <c r="H12188" s="4" t="n">
        <v>4</v>
      </c>
      <c r="I12188" s="4" t="str">
        <v>×</v>
      </c>
      <c r="J12188" s="4"/>
      <c r="K12188" s="4"/>
      <c r="L12188" s="4"/>
      <c r="M12188" s="7" t="s">
        <v>6503</v>
      </c>
    </row>
    <row r="12189" customFormat="false" ht="15.75" hidden="false" customHeight="false" outlineLevel="0" collapsed="false">
      <c r="A12189" s="6" t="n">
        <f aca="false">DATE(2026,8,22)</f>
        <v>46256</v>
      </c>
      <c r="B12189" s="4" t="s">
        <v>13</v>
      </c>
      <c r="C12189" s="4" t="n">
        <v>7</v>
      </c>
      <c r="D12189" s="4" t="n">
        <v>8</v>
      </c>
      <c r="E12189" s="4"/>
      <c r="F12189" s="4" t="n">
        <v>41</v>
      </c>
      <c r="G12189" s="4" t="n">
        <v>1</v>
      </c>
      <c r="H12189" s="4" t="n">
        <v>4</v>
      </c>
      <c r="I12189" s="4" t="str">
        <v>×</v>
      </c>
      <c r="J12189" s="4"/>
      <c r="K12189" s="4"/>
      <c r="L12189" s="4"/>
      <c r="M12189" s="7" t="s">
        <v>6503</v>
      </c>
    </row>
    <row r="12190" customFormat="false" ht="15.75" hidden="false" customHeight="false" outlineLevel="0" collapsed="false">
      <c r="A12190" s="6" t="n">
        <f aca="false">DATE(2026,8,22)</f>
        <v>46256</v>
      </c>
      <c r="B12190" s="4" t="s">
        <v>13</v>
      </c>
      <c r="C12190" s="4" t="n">
        <v>7</v>
      </c>
      <c r="D12190" s="4" t="n">
        <v>9</v>
      </c>
      <c r="E12190" s="4"/>
      <c r="F12190" s="4" t="n">
        <v>29</v>
      </c>
      <c r="G12190" s="4" t="n">
        <v>5</v>
      </c>
      <c r="H12190" s="4" t="n">
        <v>4</v>
      </c>
      <c r="I12190" s="4" t="str">
        <v>×</v>
      </c>
      <c r="J12190" s="4"/>
      <c r="K12190" s="4"/>
      <c r="L12190" s="4"/>
      <c r="M12190" s="7" t="s">
        <v>6503</v>
      </c>
    </row>
    <row r="12191" customFormat="false" ht="15.75" hidden="false" customHeight="false" outlineLevel="0" collapsed="false">
      <c r="A12191" s="6" t="n">
        <f aca="false">DATE(2026,8,22)</f>
        <v>46256</v>
      </c>
      <c r="B12191" s="4" t="s">
        <v>13</v>
      </c>
      <c r="C12191" s="4" t="n">
        <v>7</v>
      </c>
      <c r="D12191" s="4" t="n">
        <v>10</v>
      </c>
      <c r="E12191" s="4"/>
      <c r="F12191" s="4" t="n">
        <v>6</v>
      </c>
      <c r="G12191" s="4" t="n">
        <v>15</v>
      </c>
      <c r="H12191" s="4" t="n">
        <v>4</v>
      </c>
      <c r="I12191" s="4" t="str">
        <v>×</v>
      </c>
      <c r="J12191" s="4"/>
      <c r="K12191" s="4"/>
      <c r="L12191" s="4"/>
      <c r="M12191" s="7" t="s">
        <v>6503</v>
      </c>
    </row>
    <row r="12192" customFormat="false" ht="15.75" hidden="false" customHeight="false" outlineLevel="0" collapsed="false">
      <c r="A12192" s="6" t="n">
        <f aca="false">DATE(2026,8,22)</f>
        <v>46256</v>
      </c>
      <c r="B12192" s="4" t="s">
        <v>13</v>
      </c>
      <c r="C12192" s="4" t="n">
        <v>7</v>
      </c>
      <c r="D12192" s="4" t="n">
        <v>11</v>
      </c>
      <c r="E12192" s="4"/>
      <c r="F12192" s="4" t="n">
        <v>3</v>
      </c>
      <c r="G12192" s="4" t="n">
        <v>17</v>
      </c>
      <c r="H12192" s="4" t="n">
        <v>4</v>
      </c>
      <c r="I12192" s="4" t="str">
        <v>×</v>
      </c>
      <c r="J12192" s="4"/>
      <c r="K12192" s="4"/>
      <c r="L12192" s="4"/>
      <c r="M12192" s="7" t="s">
        <v>6503</v>
      </c>
    </row>
    <row r="12193" customFormat="false" ht="15.75" hidden="false" customHeight="false" outlineLevel="0" collapsed="false">
      <c r="A12193" s="6" t="n">
        <f aca="false">DATE(2026,8,22)</f>
        <v>46256</v>
      </c>
      <c r="B12193" s="4" t="s">
        <v>13</v>
      </c>
      <c r="C12193" s="4" t="n">
        <v>7</v>
      </c>
      <c r="D12193" s="4" t="n">
        <v>12</v>
      </c>
      <c r="E12193" s="4"/>
      <c r="F12193" s="4" t="n">
        <v>10</v>
      </c>
      <c r="G12193" s="4" t="n">
        <v>12</v>
      </c>
      <c r="H12193" s="4" t="n">
        <v>4</v>
      </c>
      <c r="I12193" s="4" t="str">
        <v>×</v>
      </c>
      <c r="J12193" s="4"/>
      <c r="K12193" s="4"/>
      <c r="L12193" s="4"/>
      <c r="M12193" s="7" t="s">
        <v>6503</v>
      </c>
    </row>
    <row r="12194" customFormat="false" ht="15.75" hidden="false" customHeight="false" outlineLevel="0" collapsed="false">
      <c r="A12194" s="6" t="n">
        <f aca="false">DATE(2026,8,22)</f>
        <v>46256</v>
      </c>
      <c r="B12194" s="4" t="s">
        <v>13</v>
      </c>
      <c r="C12194" s="4" t="n">
        <v>7</v>
      </c>
      <c r="D12194" s="4" t="n">
        <v>13</v>
      </c>
      <c r="E12194" s="4"/>
      <c r="F12194" s="4" t="n">
        <v>10</v>
      </c>
      <c r="G12194" s="4" t="n">
        <v>12</v>
      </c>
      <c r="H12194" s="4" t="n">
        <v>4</v>
      </c>
      <c r="I12194" s="4" t="str">
        <v>×</v>
      </c>
      <c r="J12194" s="4"/>
      <c r="K12194" s="4"/>
      <c r="L12194" s="4"/>
      <c r="M12194" s="7" t="s">
        <v>6503</v>
      </c>
    </row>
    <row r="12195" customFormat="false" ht="15.75" hidden="false" customHeight="false" outlineLevel="0" collapsed="false">
      <c r="A12195" s="6" t="n">
        <f aca="false">DATE(2026,8,22)</f>
        <v>46256</v>
      </c>
      <c r="B12195" s="4" t="s">
        <v>13</v>
      </c>
      <c r="C12195" s="4" t="n">
        <v>7</v>
      </c>
      <c r="D12195" s="4" t="n">
        <v>14</v>
      </c>
      <c r="E12195" s="4"/>
      <c r="F12195" s="4" t="n">
        <v>13</v>
      </c>
      <c r="G12195" s="4" t="n">
        <v>10</v>
      </c>
      <c r="H12195" s="4" t="n">
        <v>4</v>
      </c>
      <c r="I12195" s="4" t="str">
        <v>×</v>
      </c>
      <c r="J12195" s="4"/>
      <c r="K12195" s="4"/>
      <c r="L12195" s="4"/>
      <c r="M12195" s="7" t="s">
        <v>6503</v>
      </c>
    </row>
    <row r="12196" customFormat="false" ht="15.75" hidden="false" customHeight="false" outlineLevel="0" collapsed="false">
      <c r="A12196" s="6" t="n">
        <f aca="false">DATE(2026,8,22)</f>
        <v>46256</v>
      </c>
      <c r="B12196" s="4" t="s">
        <v>13</v>
      </c>
      <c r="C12196" s="4" t="n">
        <v>7</v>
      </c>
      <c r="D12196" s="4" t="n">
        <v>15</v>
      </c>
      <c r="E12196" s="4"/>
      <c r="F12196" s="4" t="n">
        <v>17</v>
      </c>
      <c r="G12196" s="4" t="n">
        <v>9</v>
      </c>
      <c r="H12196" s="4" t="n">
        <v>4</v>
      </c>
      <c r="I12196" s="4" t="str">
        <v>×</v>
      </c>
      <c r="J12196" s="4"/>
      <c r="K12196" s="4"/>
      <c r="L12196" s="4"/>
      <c r="M12196" s="7" t="s">
        <v>6503</v>
      </c>
    </row>
    <row r="12197" customFormat="false" ht="15.75" hidden="false" customHeight="false" outlineLevel="0" collapsed="false">
      <c r="A12197" s="6" t="n">
        <f aca="false">DATE(2026,8,22)</f>
        <v>46256</v>
      </c>
      <c r="B12197" s="4" t="s">
        <v>13</v>
      </c>
      <c r="C12197" s="4" t="n">
        <v>7</v>
      </c>
      <c r="D12197" s="4" t="n">
        <v>16</v>
      </c>
      <c r="E12197" s="4" t="s">
        <v>5215</v>
      </c>
      <c r="F12197" s="4" t="n">
        <v>23</v>
      </c>
      <c r="G12197" s="4" t="n">
        <v>7</v>
      </c>
      <c r="H12197" s="4" t="n">
        <v>1</v>
      </c>
      <c r="I12197" s="4" t="str">
        <v>○</v>
      </c>
      <c r="J12197" s="4" t="n">
        <v>510</v>
      </c>
      <c r="K12197" s="4"/>
      <c r="L12197" s="4"/>
      <c r="M12197" s="7" t="s">
        <v>6503</v>
      </c>
    </row>
    <row r="12198" customFormat="false" ht="15.75" hidden="false" customHeight="false" outlineLevel="0" collapsed="false">
      <c r="A12198" s="6" t="n">
        <f aca="false">DATE(2026,8,22)</f>
        <v>46256</v>
      </c>
      <c r="B12198" s="4" t="s">
        <v>13</v>
      </c>
      <c r="C12198" s="4" t="n">
        <v>7</v>
      </c>
      <c r="D12198" s="4" t="n">
        <v>17</v>
      </c>
      <c r="E12198" s="4"/>
      <c r="F12198" s="4" t="n">
        <v>25</v>
      </c>
      <c r="G12198" s="4" t="n">
        <v>6</v>
      </c>
      <c r="H12198" s="4" t="n">
        <v>4</v>
      </c>
      <c r="I12198" s="4" t="str">
        <v>×</v>
      </c>
      <c r="J12198" s="4"/>
      <c r="K12198" s="4"/>
      <c r="L12198" s="4"/>
      <c r="M12198" s="7" t="s">
        <v>6503</v>
      </c>
    </row>
    <row r="12199" customFormat="false" ht="15.75" hidden="false" customHeight="false" outlineLevel="0" collapsed="false">
      <c r="A12199" s="6" t="n">
        <f aca="false">DATE(2026,8,22)</f>
        <v>46256</v>
      </c>
      <c r="B12199" s="4" t="s">
        <v>13</v>
      </c>
      <c r="C12199" s="4" t="n">
        <v>7</v>
      </c>
      <c r="D12199" s="4" t="n">
        <v>18</v>
      </c>
      <c r="E12199" s="4"/>
      <c r="F12199" s="4" t="n">
        <v>31</v>
      </c>
      <c r="G12199" s="4" t="n">
        <v>3</v>
      </c>
      <c r="H12199" s="4" t="n">
        <v>4</v>
      </c>
      <c r="I12199" s="4" t="str">
        <v>×</v>
      </c>
      <c r="J12199" s="4"/>
      <c r="K12199" s="4"/>
      <c r="L12199" s="4"/>
      <c r="M12199" s="7" t="s">
        <v>6503</v>
      </c>
    </row>
    <row r="12200" customFormat="false" ht="15.75" hidden="false" customHeight="false" outlineLevel="0" collapsed="false">
      <c r="A12200" s="6" t="n">
        <f aca="false">DATE(2026,8,22)</f>
        <v>46256</v>
      </c>
      <c r="B12200" s="4" t="s">
        <v>13</v>
      </c>
      <c r="C12200" s="4" t="n">
        <v>8</v>
      </c>
      <c r="D12200" s="4" t="n">
        <v>1</v>
      </c>
      <c r="E12200" s="4"/>
      <c r="F12200" s="4" t="n">
        <v>13</v>
      </c>
      <c r="G12200" s="4" t="n">
        <v>8</v>
      </c>
      <c r="H12200" s="4" t="n">
        <v>4</v>
      </c>
      <c r="I12200" s="4" t="str">
        <v>×</v>
      </c>
      <c r="J12200" s="4"/>
      <c r="K12200" s="4"/>
      <c r="L12200" s="4"/>
      <c r="M12200" s="7" t="s">
        <v>6503</v>
      </c>
    </row>
    <row r="12201" customFormat="false" ht="15.75" hidden="false" customHeight="false" outlineLevel="0" collapsed="false">
      <c r="A12201" s="6" t="n">
        <f aca="false">DATE(2026,8,22)</f>
        <v>46256</v>
      </c>
      <c r="B12201" s="4" t="s">
        <v>13</v>
      </c>
      <c r="C12201" s="4" t="n">
        <v>8</v>
      </c>
      <c r="D12201" s="4" t="n">
        <v>2</v>
      </c>
      <c r="E12201" s="4"/>
      <c r="F12201" s="4" t="n">
        <v>13</v>
      </c>
      <c r="G12201" s="4" t="n">
        <v>8</v>
      </c>
      <c r="H12201" s="4" t="n">
        <v>4</v>
      </c>
      <c r="I12201" s="4" t="str">
        <v>×</v>
      </c>
      <c r="J12201" s="4"/>
      <c r="K12201" s="4"/>
      <c r="L12201" s="4"/>
      <c r="M12201" s="7" t="s">
        <v>6503</v>
      </c>
    </row>
    <row r="12202" customFormat="false" ht="15.75" hidden="false" customHeight="false" outlineLevel="0" collapsed="false">
      <c r="A12202" s="6" t="n">
        <f aca="false">DATE(2026,8,22)</f>
        <v>46256</v>
      </c>
      <c r="B12202" s="4" t="s">
        <v>13</v>
      </c>
      <c r="C12202" s="4" t="n">
        <v>8</v>
      </c>
      <c r="D12202" s="4" t="n">
        <v>3</v>
      </c>
      <c r="E12202" s="4"/>
      <c r="F12202" s="4" t="n">
        <v>6</v>
      </c>
      <c r="G12202" s="4" t="n">
        <v>12</v>
      </c>
      <c r="H12202" s="4" t="n">
        <v>4</v>
      </c>
      <c r="I12202" s="4" t="str">
        <v>×</v>
      </c>
      <c r="J12202" s="4"/>
      <c r="K12202" s="4"/>
      <c r="L12202" s="4"/>
      <c r="M12202" s="7" t="s">
        <v>6503</v>
      </c>
    </row>
    <row r="12203" customFormat="false" ht="15.75" hidden="false" customHeight="false" outlineLevel="0" collapsed="false">
      <c r="A12203" s="6" t="n">
        <f aca="false">DATE(2026,8,22)</f>
        <v>46256</v>
      </c>
      <c r="B12203" s="4" t="s">
        <v>13</v>
      </c>
      <c r="C12203" s="4" t="n">
        <v>8</v>
      </c>
      <c r="D12203" s="4" t="n">
        <v>4</v>
      </c>
      <c r="E12203" s="4"/>
      <c r="F12203" s="4" t="n">
        <v>10</v>
      </c>
      <c r="G12203" s="4" t="n">
        <v>10</v>
      </c>
      <c r="H12203" s="4" t="n">
        <v>4</v>
      </c>
      <c r="I12203" s="4" t="str">
        <v>×</v>
      </c>
      <c r="J12203" s="4"/>
      <c r="K12203" s="4"/>
      <c r="L12203" s="4"/>
      <c r="M12203" s="7" t="s">
        <v>6503</v>
      </c>
    </row>
    <row r="12204" customFormat="false" ht="15.75" hidden="false" customHeight="false" outlineLevel="0" collapsed="false">
      <c r="A12204" s="6" t="n">
        <f aca="false">DATE(2026,8,22)</f>
        <v>46256</v>
      </c>
      <c r="B12204" s="4" t="s">
        <v>13</v>
      </c>
      <c r="C12204" s="4" t="n">
        <v>8</v>
      </c>
      <c r="D12204" s="4" t="n">
        <v>5</v>
      </c>
      <c r="E12204" s="4"/>
      <c r="F12204" s="4" t="n">
        <v>1</v>
      </c>
      <c r="G12204" s="4" t="n">
        <v>14</v>
      </c>
      <c r="H12204" s="4" t="n">
        <v>4</v>
      </c>
      <c r="I12204" s="4" t="str">
        <v>×</v>
      </c>
      <c r="J12204" s="4"/>
      <c r="K12204" s="4"/>
      <c r="L12204" s="4"/>
      <c r="M12204" s="7" t="s">
        <v>6503</v>
      </c>
    </row>
    <row r="12205" customFormat="false" ht="15.75" hidden="false" customHeight="false" outlineLevel="0" collapsed="false">
      <c r="A12205" s="6" t="n">
        <f aca="false">DATE(2026,8,22)</f>
        <v>46256</v>
      </c>
      <c r="B12205" s="4" t="s">
        <v>13</v>
      </c>
      <c r="C12205" s="4" t="n">
        <v>8</v>
      </c>
      <c r="D12205" s="4" t="n">
        <v>6</v>
      </c>
      <c r="E12205" s="4"/>
      <c r="F12205" s="4" t="n">
        <v>37</v>
      </c>
      <c r="G12205" s="4" t="n">
        <v>2</v>
      </c>
      <c r="H12205" s="4" t="n">
        <v>4</v>
      </c>
      <c r="I12205" s="4" t="str">
        <v>×</v>
      </c>
      <c r="J12205" s="4"/>
      <c r="K12205" s="4"/>
      <c r="L12205" s="4"/>
      <c r="M12205" s="7" t="s">
        <v>6503</v>
      </c>
    </row>
    <row r="12206" customFormat="false" ht="15.75" hidden="false" customHeight="false" outlineLevel="0" collapsed="false">
      <c r="A12206" s="6" t="n">
        <f aca="false">DATE(2026,8,22)</f>
        <v>46256</v>
      </c>
      <c r="B12206" s="4" t="s">
        <v>13</v>
      </c>
      <c r="C12206" s="4" t="n">
        <v>8</v>
      </c>
      <c r="D12206" s="4" t="n">
        <v>7</v>
      </c>
      <c r="E12206" s="4" t="s">
        <v>5724</v>
      </c>
      <c r="F12206" s="4" t="n">
        <v>29</v>
      </c>
      <c r="G12206" s="4" t="n">
        <v>4</v>
      </c>
      <c r="H12206" s="4" t="n">
        <v>3</v>
      </c>
      <c r="I12206" s="4" t="str">
        <v>○</v>
      </c>
      <c r="J12206" s="4" t="n">
        <v>360</v>
      </c>
      <c r="K12206" s="4"/>
      <c r="L12206" s="4"/>
      <c r="M12206" s="7" t="s">
        <v>6503</v>
      </c>
    </row>
    <row r="12207" customFormat="false" ht="15.75" hidden="false" customHeight="false" outlineLevel="0" collapsed="false">
      <c r="A12207" s="6" t="n">
        <f aca="false">DATE(2026,8,22)</f>
        <v>46256</v>
      </c>
      <c r="B12207" s="4" t="s">
        <v>13</v>
      </c>
      <c r="C12207" s="4" t="n">
        <v>8</v>
      </c>
      <c r="D12207" s="4" t="n">
        <v>8</v>
      </c>
      <c r="E12207" s="4"/>
      <c r="F12207" s="4" t="n">
        <v>15</v>
      </c>
      <c r="G12207" s="4" t="n">
        <v>7</v>
      </c>
      <c r="H12207" s="4" t="n">
        <v>4</v>
      </c>
      <c r="I12207" s="4" t="str">
        <v>×</v>
      </c>
      <c r="J12207" s="4"/>
      <c r="K12207" s="4"/>
      <c r="L12207" s="4"/>
      <c r="M12207" s="7" t="s">
        <v>6503</v>
      </c>
    </row>
    <row r="12208" customFormat="false" ht="15.75" hidden="false" customHeight="false" outlineLevel="0" collapsed="false">
      <c r="A12208" s="6" t="n">
        <f aca="false">DATE(2026,8,22)</f>
        <v>46256</v>
      </c>
      <c r="B12208" s="4" t="s">
        <v>13</v>
      </c>
      <c r="C12208" s="4" t="n">
        <v>8</v>
      </c>
      <c r="D12208" s="4" t="n">
        <v>9</v>
      </c>
      <c r="E12208" s="4"/>
      <c r="F12208" s="4" t="n">
        <v>1</v>
      </c>
      <c r="G12208" s="4" t="n">
        <v>14</v>
      </c>
      <c r="H12208" s="4" t="n">
        <v>4</v>
      </c>
      <c r="I12208" s="4" t="str">
        <v>×</v>
      </c>
      <c r="J12208" s="4"/>
      <c r="K12208" s="4"/>
      <c r="L12208" s="4"/>
      <c r="M12208" s="7" t="s">
        <v>6503</v>
      </c>
    </row>
    <row r="12209" customFormat="false" ht="15.75" hidden="false" customHeight="false" outlineLevel="0" collapsed="false">
      <c r="A12209" s="6" t="n">
        <f aca="false">DATE(2026,8,22)</f>
        <v>46256</v>
      </c>
      <c r="B12209" s="4" t="s">
        <v>13</v>
      </c>
      <c r="C12209" s="4" t="n">
        <v>8</v>
      </c>
      <c r="D12209" s="4" t="n">
        <v>10</v>
      </c>
      <c r="E12209" s="4" t="s">
        <v>3674</v>
      </c>
      <c r="F12209" s="4" t="n">
        <v>74</v>
      </c>
      <c r="G12209" s="4" t="n">
        <v>1</v>
      </c>
      <c r="H12209" s="4" t="n">
        <v>1</v>
      </c>
      <c r="I12209" s="4" t="str">
        <v>○</v>
      </c>
      <c r="J12209" s="4" t="n">
        <v>110</v>
      </c>
      <c r="K12209" s="4"/>
      <c r="L12209" s="4"/>
      <c r="M12209" s="7" t="s">
        <v>6503</v>
      </c>
    </row>
    <row r="12210" customFormat="false" ht="15.75" hidden="false" customHeight="false" outlineLevel="0" collapsed="false">
      <c r="A12210" s="6" t="n">
        <f aca="false">DATE(2026,8,22)</f>
        <v>46256</v>
      </c>
      <c r="B12210" s="4" t="s">
        <v>13</v>
      </c>
      <c r="C12210" s="4" t="n">
        <v>8</v>
      </c>
      <c r="D12210" s="4" t="n">
        <v>11</v>
      </c>
      <c r="E12210" s="4"/>
      <c r="F12210" s="4" t="n">
        <v>2</v>
      </c>
      <c r="G12210" s="4" t="n">
        <v>13</v>
      </c>
      <c r="H12210" s="4" t="n">
        <v>4</v>
      </c>
      <c r="I12210" s="4" t="str">
        <v>×</v>
      </c>
      <c r="J12210" s="4"/>
      <c r="K12210" s="4"/>
      <c r="L12210" s="4"/>
      <c r="M12210" s="7" t="s">
        <v>6503</v>
      </c>
    </row>
    <row r="12211" customFormat="false" ht="15.75" hidden="false" customHeight="false" outlineLevel="0" collapsed="false">
      <c r="A12211" s="6" t="n">
        <f aca="false">DATE(2026,8,22)</f>
        <v>46256</v>
      </c>
      <c r="B12211" s="4" t="s">
        <v>13</v>
      </c>
      <c r="C12211" s="4" t="n">
        <v>8</v>
      </c>
      <c r="D12211" s="4" t="n">
        <v>12</v>
      </c>
      <c r="E12211" s="4"/>
      <c r="F12211" s="4" t="n">
        <v>10</v>
      </c>
      <c r="G12211" s="4" t="n">
        <v>10</v>
      </c>
      <c r="H12211" s="4" t="n">
        <v>4</v>
      </c>
      <c r="I12211" s="4" t="str">
        <v>×</v>
      </c>
      <c r="J12211" s="4"/>
      <c r="K12211" s="4"/>
      <c r="L12211" s="4"/>
      <c r="M12211" s="7" t="s">
        <v>6503</v>
      </c>
    </row>
    <row r="12212" customFormat="false" ht="15.75" hidden="false" customHeight="false" outlineLevel="0" collapsed="false">
      <c r="A12212" s="6" t="n">
        <f aca="false">DATE(2026,8,22)</f>
        <v>46256</v>
      </c>
      <c r="B12212" s="4" t="s">
        <v>13</v>
      </c>
      <c r="C12212" s="4" t="n">
        <v>8</v>
      </c>
      <c r="D12212" s="4" t="n">
        <v>13</v>
      </c>
      <c r="E12212" s="4"/>
      <c r="F12212" s="4" t="n">
        <v>25</v>
      </c>
      <c r="G12212" s="4" t="n">
        <v>5</v>
      </c>
      <c r="H12212" s="4" t="n">
        <v>4</v>
      </c>
      <c r="I12212" s="4" t="str">
        <v>×</v>
      </c>
      <c r="J12212" s="4"/>
      <c r="K12212" s="4"/>
      <c r="L12212" s="4"/>
      <c r="M12212" s="7" t="s">
        <v>6503</v>
      </c>
    </row>
    <row r="12213" customFormat="false" ht="15.75" hidden="false" customHeight="false" outlineLevel="0" collapsed="false">
      <c r="A12213" s="6" t="n">
        <f aca="false">DATE(2026,8,22)</f>
        <v>46256</v>
      </c>
      <c r="B12213" s="4" t="s">
        <v>13</v>
      </c>
      <c r="C12213" s="4" t="n">
        <v>8</v>
      </c>
      <c r="D12213" s="4" t="n">
        <v>14</v>
      </c>
      <c r="E12213" s="4"/>
      <c r="F12213" s="4" t="n">
        <v>37</v>
      </c>
      <c r="G12213" s="4" t="n">
        <v>2</v>
      </c>
      <c r="H12213" s="4" t="n">
        <v>4</v>
      </c>
      <c r="I12213" s="4" t="str">
        <v>×</v>
      </c>
      <c r="J12213" s="4"/>
      <c r="K12213" s="4"/>
      <c r="L12213" s="4"/>
      <c r="M12213" s="7" t="s">
        <v>6503</v>
      </c>
    </row>
    <row r="12214" customFormat="false" ht="15.75" hidden="false" customHeight="false" outlineLevel="0" collapsed="false">
      <c r="A12214" s="6" t="n">
        <f aca="false">DATE(2026,8,22)</f>
        <v>46256</v>
      </c>
      <c r="B12214" s="4" t="s">
        <v>13</v>
      </c>
      <c r="C12214" s="4" t="n">
        <v>8</v>
      </c>
      <c r="D12214" s="4" t="n">
        <v>15</v>
      </c>
      <c r="E12214" s="4" t="s">
        <v>5982</v>
      </c>
      <c r="F12214" s="4" t="n">
        <v>20</v>
      </c>
      <c r="G12214" s="4" t="n">
        <v>6</v>
      </c>
      <c r="H12214" s="4" t="n">
        <v>2</v>
      </c>
      <c r="I12214" s="4" t="str">
        <v>○</v>
      </c>
      <c r="J12214" s="4" t="n">
        <v>190</v>
      </c>
      <c r="K12214" s="4"/>
      <c r="L12214" s="4"/>
      <c r="M12214" s="7" t="s">
        <v>6503</v>
      </c>
    </row>
    <row r="12215" customFormat="false" ht="15.75" hidden="false" customHeight="false" outlineLevel="0" collapsed="false">
      <c r="A12215" s="6" t="n">
        <f aca="false">DATE(2026,8,22)</f>
        <v>46256</v>
      </c>
      <c r="B12215" s="4" t="s">
        <v>13</v>
      </c>
      <c r="C12215" s="4" t="n">
        <v>9</v>
      </c>
      <c r="D12215" s="4" t="n">
        <v>1</v>
      </c>
      <c r="E12215" s="4"/>
      <c r="F12215" s="4" t="n">
        <v>47</v>
      </c>
      <c r="G12215" s="4" t="n">
        <v>2</v>
      </c>
      <c r="H12215" s="4" t="n">
        <v>4</v>
      </c>
      <c r="I12215" s="4" t="str">
        <v>×</v>
      </c>
      <c r="J12215" s="4"/>
      <c r="K12215" s="4"/>
      <c r="L12215" s="4"/>
      <c r="M12215" s="7" t="s">
        <v>6503</v>
      </c>
    </row>
    <row r="12216" customFormat="false" ht="15.75" hidden="false" customHeight="false" outlineLevel="0" collapsed="false">
      <c r="A12216" s="6" t="n">
        <f aca="false">DATE(2026,8,22)</f>
        <v>46256</v>
      </c>
      <c r="B12216" s="4" t="s">
        <v>13</v>
      </c>
      <c r="C12216" s="4" t="n">
        <v>9</v>
      </c>
      <c r="D12216" s="4" t="n">
        <v>2</v>
      </c>
      <c r="E12216" s="4"/>
      <c r="F12216" s="4" t="n">
        <v>17</v>
      </c>
      <c r="G12216" s="4" t="n">
        <v>8</v>
      </c>
      <c r="H12216" s="4" t="n">
        <v>4</v>
      </c>
      <c r="I12216" s="4" t="str">
        <v>×</v>
      </c>
      <c r="J12216" s="4"/>
      <c r="K12216" s="4"/>
      <c r="L12216" s="4"/>
      <c r="M12216" s="7" t="s">
        <v>6503</v>
      </c>
    </row>
    <row r="12217" customFormat="false" ht="15.75" hidden="false" customHeight="false" outlineLevel="0" collapsed="false">
      <c r="A12217" s="6" t="n">
        <f aca="false">DATE(2026,8,22)</f>
        <v>46256</v>
      </c>
      <c r="B12217" s="4" t="s">
        <v>13</v>
      </c>
      <c r="C12217" s="4" t="n">
        <v>9</v>
      </c>
      <c r="D12217" s="4" t="n">
        <v>3</v>
      </c>
      <c r="E12217" s="4"/>
      <c r="F12217" s="4" t="n">
        <v>3</v>
      </c>
      <c r="G12217" s="4" t="n">
        <v>14</v>
      </c>
      <c r="H12217" s="4" t="n">
        <v>4</v>
      </c>
      <c r="I12217" s="4" t="str">
        <v>×</v>
      </c>
      <c r="J12217" s="4"/>
      <c r="K12217" s="4"/>
      <c r="L12217" s="4"/>
      <c r="M12217" s="7" t="s">
        <v>6503</v>
      </c>
    </row>
    <row r="12218" customFormat="false" ht="15.75" hidden="false" customHeight="false" outlineLevel="0" collapsed="false">
      <c r="A12218" s="6" t="n">
        <f aca="false">DATE(2026,8,22)</f>
        <v>46256</v>
      </c>
      <c r="B12218" s="4" t="s">
        <v>13</v>
      </c>
      <c r="C12218" s="4" t="n">
        <v>9</v>
      </c>
      <c r="D12218" s="4" t="n">
        <v>4</v>
      </c>
      <c r="E12218" s="4"/>
      <c r="F12218" s="4" t="n">
        <v>13</v>
      </c>
      <c r="G12218" s="4" t="n">
        <v>10</v>
      </c>
      <c r="H12218" s="4" t="n">
        <v>4</v>
      </c>
      <c r="I12218" s="4" t="str">
        <v>×</v>
      </c>
      <c r="J12218" s="4"/>
      <c r="K12218" s="4"/>
      <c r="L12218" s="4"/>
      <c r="M12218" s="7" t="s">
        <v>6503</v>
      </c>
    </row>
    <row r="12219" customFormat="false" ht="15.75" hidden="false" customHeight="false" outlineLevel="0" collapsed="false">
      <c r="A12219" s="6" t="n">
        <f aca="false">DATE(2026,8,22)</f>
        <v>46256</v>
      </c>
      <c r="B12219" s="4" t="s">
        <v>13</v>
      </c>
      <c r="C12219" s="4" t="n">
        <v>9</v>
      </c>
      <c r="D12219" s="4" t="n">
        <v>5</v>
      </c>
      <c r="E12219" s="4"/>
      <c r="F12219" s="4" t="n">
        <v>6</v>
      </c>
      <c r="G12219" s="4" t="n">
        <v>12</v>
      </c>
      <c r="H12219" s="4" t="n">
        <v>4</v>
      </c>
      <c r="I12219" s="4" t="str">
        <v>×</v>
      </c>
      <c r="J12219" s="4"/>
      <c r="K12219" s="4"/>
      <c r="L12219" s="4"/>
      <c r="M12219" s="7" t="s">
        <v>6503</v>
      </c>
    </row>
    <row r="12220" customFormat="false" ht="15.75" hidden="false" customHeight="false" outlineLevel="0" collapsed="false">
      <c r="A12220" s="6" t="n">
        <f aca="false">DATE(2026,8,22)</f>
        <v>46256</v>
      </c>
      <c r="B12220" s="4" t="s">
        <v>13</v>
      </c>
      <c r="C12220" s="4" t="n">
        <v>9</v>
      </c>
      <c r="D12220" s="4" t="n">
        <v>6</v>
      </c>
      <c r="E12220" s="4" t="s">
        <v>3070</v>
      </c>
      <c r="F12220" s="4" t="n">
        <v>56</v>
      </c>
      <c r="G12220" s="4" t="n">
        <v>1</v>
      </c>
      <c r="H12220" s="4" t="n">
        <v>2</v>
      </c>
      <c r="I12220" s="4" t="str">
        <v>○</v>
      </c>
      <c r="J12220" s="4" t="n">
        <v>150</v>
      </c>
      <c r="K12220" s="4"/>
      <c r="L12220" s="4"/>
      <c r="M12220" s="7" t="s">
        <v>6503</v>
      </c>
    </row>
    <row r="12221" customFormat="false" ht="15.75" hidden="false" customHeight="false" outlineLevel="0" collapsed="false">
      <c r="A12221" s="6" t="n">
        <f aca="false">DATE(2026,8,22)</f>
        <v>46256</v>
      </c>
      <c r="B12221" s="4" t="s">
        <v>13</v>
      </c>
      <c r="C12221" s="4" t="n">
        <v>9</v>
      </c>
      <c r="D12221" s="4" t="n">
        <v>7</v>
      </c>
      <c r="E12221" s="4"/>
      <c r="F12221" s="4" t="n">
        <v>8</v>
      </c>
      <c r="G12221" s="4" t="n">
        <v>11</v>
      </c>
      <c r="H12221" s="4" t="n">
        <v>4</v>
      </c>
      <c r="I12221" s="4" t="str">
        <v>×</v>
      </c>
      <c r="J12221" s="4"/>
      <c r="K12221" s="4"/>
      <c r="L12221" s="4"/>
      <c r="M12221" s="7" t="s">
        <v>6503</v>
      </c>
    </row>
    <row r="12222" customFormat="false" ht="15.75" hidden="false" customHeight="false" outlineLevel="0" collapsed="false">
      <c r="A12222" s="6" t="n">
        <f aca="false">DATE(2026,8,22)</f>
        <v>46256</v>
      </c>
      <c r="B12222" s="4" t="s">
        <v>13</v>
      </c>
      <c r="C12222" s="4" t="n">
        <v>9</v>
      </c>
      <c r="D12222" s="4" t="n">
        <v>8</v>
      </c>
      <c r="E12222" s="4" t="s">
        <v>6510</v>
      </c>
      <c r="F12222" s="4" t="n">
        <v>25</v>
      </c>
      <c r="G12222" s="4" t="n">
        <v>6</v>
      </c>
      <c r="H12222" s="4" t="n">
        <v>3</v>
      </c>
      <c r="I12222" s="4" t="str">
        <v>○</v>
      </c>
      <c r="J12222" s="4" t="n">
        <v>260</v>
      </c>
      <c r="K12222" s="4"/>
      <c r="L12222" s="4"/>
      <c r="M12222" s="7" t="s">
        <v>6503</v>
      </c>
    </row>
    <row r="12223" customFormat="false" ht="15.75" hidden="false" customHeight="false" outlineLevel="0" collapsed="false">
      <c r="A12223" s="6" t="n">
        <f aca="false">DATE(2026,8,22)</f>
        <v>46256</v>
      </c>
      <c r="B12223" s="4" t="s">
        <v>13</v>
      </c>
      <c r="C12223" s="4" t="n">
        <v>9</v>
      </c>
      <c r="D12223" s="4" t="n">
        <v>9</v>
      </c>
      <c r="E12223" s="4"/>
      <c r="F12223" s="4" t="n">
        <v>6</v>
      </c>
      <c r="G12223" s="4" t="n">
        <v>12</v>
      </c>
      <c r="H12223" s="4" t="n">
        <v>4</v>
      </c>
      <c r="I12223" s="4" t="str">
        <v>×</v>
      </c>
      <c r="J12223" s="4"/>
      <c r="K12223" s="4"/>
      <c r="L12223" s="4"/>
      <c r="M12223" s="7" t="s">
        <v>6503</v>
      </c>
    </row>
    <row r="12224" customFormat="false" ht="15.75" hidden="false" customHeight="false" outlineLevel="0" collapsed="false">
      <c r="A12224" s="6" t="n">
        <f aca="false">DATE(2026,8,22)</f>
        <v>46256</v>
      </c>
      <c r="B12224" s="4" t="s">
        <v>13</v>
      </c>
      <c r="C12224" s="4" t="n">
        <v>9</v>
      </c>
      <c r="D12224" s="4" t="n">
        <v>10</v>
      </c>
      <c r="E12224" s="4"/>
      <c r="F12224" s="4" t="n">
        <v>1</v>
      </c>
      <c r="G12224" s="4" t="n">
        <v>15</v>
      </c>
      <c r="H12224" s="4" t="n">
        <v>4</v>
      </c>
      <c r="I12224" s="4" t="str">
        <v>×</v>
      </c>
      <c r="J12224" s="4"/>
      <c r="K12224" s="4"/>
      <c r="L12224" s="4"/>
      <c r="M12224" s="7" t="s">
        <v>6503</v>
      </c>
    </row>
    <row r="12225" customFormat="false" ht="15.75" hidden="false" customHeight="false" outlineLevel="0" collapsed="false">
      <c r="A12225" s="6" t="n">
        <f aca="false">DATE(2026,8,22)</f>
        <v>46256</v>
      </c>
      <c r="B12225" s="4" t="s">
        <v>13</v>
      </c>
      <c r="C12225" s="4" t="n">
        <v>9</v>
      </c>
      <c r="D12225" s="4" t="n">
        <v>11</v>
      </c>
      <c r="E12225" s="4"/>
      <c r="F12225" s="4" t="n">
        <v>20</v>
      </c>
      <c r="G12225" s="4" t="n">
        <v>7</v>
      </c>
      <c r="H12225" s="4" t="n">
        <v>4</v>
      </c>
      <c r="I12225" s="4" t="str">
        <v>×</v>
      </c>
      <c r="J12225" s="4"/>
      <c r="K12225" s="4"/>
      <c r="L12225" s="4"/>
      <c r="M12225" s="7" t="s">
        <v>6503</v>
      </c>
    </row>
    <row r="12226" customFormat="false" ht="15.75" hidden="false" customHeight="false" outlineLevel="0" collapsed="false">
      <c r="A12226" s="6" t="n">
        <f aca="false">DATE(2026,8,22)</f>
        <v>46256</v>
      </c>
      <c r="B12226" s="4" t="s">
        <v>13</v>
      </c>
      <c r="C12226" s="4" t="n">
        <v>9</v>
      </c>
      <c r="D12226" s="4" t="n">
        <v>12</v>
      </c>
      <c r="E12226" s="4" t="s">
        <v>1884</v>
      </c>
      <c r="F12226" s="4" t="n">
        <v>29</v>
      </c>
      <c r="G12226" s="4" t="n">
        <v>4</v>
      </c>
      <c r="H12226" s="4" t="n">
        <v>1</v>
      </c>
      <c r="I12226" s="4" t="str">
        <v>○</v>
      </c>
      <c r="J12226" s="4" t="n">
        <v>170</v>
      </c>
      <c r="K12226" s="4"/>
      <c r="L12226" s="4"/>
      <c r="M12226" s="7" t="s">
        <v>6503</v>
      </c>
    </row>
    <row r="12227" customFormat="false" ht="15.75" hidden="false" customHeight="false" outlineLevel="0" collapsed="false">
      <c r="A12227" s="6" t="n">
        <f aca="false">DATE(2026,8,22)</f>
        <v>46256</v>
      </c>
      <c r="B12227" s="4" t="s">
        <v>13</v>
      </c>
      <c r="C12227" s="4" t="n">
        <v>9</v>
      </c>
      <c r="D12227" s="4" t="n">
        <v>13</v>
      </c>
      <c r="E12227" s="4"/>
      <c r="F12227" s="4" t="n">
        <v>29</v>
      </c>
      <c r="G12227" s="4" t="n">
        <v>4</v>
      </c>
      <c r="H12227" s="4" t="n">
        <v>4</v>
      </c>
      <c r="I12227" s="4" t="str">
        <v>×</v>
      </c>
      <c r="J12227" s="4"/>
      <c r="K12227" s="4"/>
      <c r="L12227" s="4"/>
      <c r="M12227" s="7" t="s">
        <v>6503</v>
      </c>
    </row>
    <row r="12228" customFormat="false" ht="15.75" hidden="false" customHeight="false" outlineLevel="0" collapsed="false">
      <c r="A12228" s="6" t="n">
        <f aca="false">DATE(2026,8,22)</f>
        <v>46256</v>
      </c>
      <c r="B12228" s="4" t="s">
        <v>13</v>
      </c>
      <c r="C12228" s="4" t="n">
        <v>9</v>
      </c>
      <c r="D12228" s="4" t="n">
        <v>14</v>
      </c>
      <c r="E12228" s="4"/>
      <c r="F12228" s="4" t="n">
        <v>47</v>
      </c>
      <c r="G12228" s="4" t="n">
        <v>2</v>
      </c>
      <c r="H12228" s="4" t="n">
        <v>4</v>
      </c>
      <c r="I12228" s="4" t="str">
        <v>×</v>
      </c>
      <c r="J12228" s="4"/>
      <c r="K12228" s="4"/>
      <c r="L12228" s="4"/>
      <c r="M12228" s="7" t="s">
        <v>6503</v>
      </c>
    </row>
    <row r="12229" customFormat="false" ht="15.75" hidden="false" customHeight="false" outlineLevel="0" collapsed="false">
      <c r="A12229" s="6" t="n">
        <f aca="false">DATE(2026,8,22)</f>
        <v>46256</v>
      </c>
      <c r="B12229" s="4" t="s">
        <v>13</v>
      </c>
      <c r="C12229" s="4" t="n">
        <v>9</v>
      </c>
      <c r="D12229" s="4" t="n">
        <v>15</v>
      </c>
      <c r="E12229" s="4"/>
      <c r="F12229" s="4" t="n">
        <v>15</v>
      </c>
      <c r="G12229" s="4" t="n">
        <v>9</v>
      </c>
      <c r="H12229" s="4" t="n">
        <v>4</v>
      </c>
      <c r="I12229" s="4" t="str">
        <v>×</v>
      </c>
      <c r="J12229" s="4"/>
      <c r="K12229" s="4"/>
      <c r="L12229" s="4"/>
      <c r="M12229" s="7" t="s">
        <v>6503</v>
      </c>
    </row>
    <row r="12230" customFormat="false" ht="15.75" hidden="false" customHeight="false" outlineLevel="0" collapsed="false">
      <c r="A12230" s="6" t="n">
        <f aca="false">DATE(2026,8,22)</f>
        <v>46256</v>
      </c>
      <c r="B12230" s="4" t="s">
        <v>13</v>
      </c>
      <c r="C12230" s="4" t="n">
        <v>10</v>
      </c>
      <c r="D12230" s="4" t="n">
        <v>1</v>
      </c>
      <c r="E12230" s="4"/>
      <c r="F12230" s="4" t="n">
        <v>29</v>
      </c>
      <c r="G12230" s="4" t="n">
        <v>4</v>
      </c>
      <c r="H12230" s="4" t="n">
        <v>4</v>
      </c>
      <c r="I12230" s="4" t="str">
        <v>×</v>
      </c>
      <c r="J12230" s="4"/>
      <c r="K12230" s="4"/>
      <c r="L12230" s="4"/>
      <c r="M12230" s="7" t="s">
        <v>6503</v>
      </c>
    </row>
    <row r="12231" customFormat="false" ht="15.75" hidden="false" customHeight="false" outlineLevel="0" collapsed="false">
      <c r="A12231" s="6" t="n">
        <f aca="false">DATE(2026,8,22)</f>
        <v>46256</v>
      </c>
      <c r="B12231" s="4" t="s">
        <v>13</v>
      </c>
      <c r="C12231" s="4" t="n">
        <v>10</v>
      </c>
      <c r="D12231" s="4" t="n">
        <v>2</v>
      </c>
      <c r="E12231" s="4"/>
      <c r="F12231" s="4" t="n">
        <v>34</v>
      </c>
      <c r="G12231" s="4" t="n">
        <v>2</v>
      </c>
      <c r="H12231" s="4" t="n">
        <v>4</v>
      </c>
      <c r="I12231" s="4" t="str">
        <v>×</v>
      </c>
      <c r="J12231" s="4"/>
      <c r="K12231" s="4"/>
      <c r="L12231" s="4"/>
      <c r="M12231" s="7" t="s">
        <v>6503</v>
      </c>
    </row>
    <row r="12232" customFormat="false" ht="15.75" hidden="false" customHeight="false" outlineLevel="0" collapsed="false">
      <c r="A12232" s="6" t="n">
        <f aca="false">DATE(2026,8,22)</f>
        <v>46256</v>
      </c>
      <c r="B12232" s="4" t="s">
        <v>13</v>
      </c>
      <c r="C12232" s="4" t="n">
        <v>10</v>
      </c>
      <c r="D12232" s="4" t="n">
        <v>3</v>
      </c>
      <c r="E12232" s="4"/>
      <c r="F12232" s="4" t="n">
        <v>4</v>
      </c>
      <c r="G12232" s="4" t="n">
        <v>15</v>
      </c>
      <c r="H12232" s="4" t="n">
        <v>4</v>
      </c>
      <c r="I12232" s="4" t="str">
        <v>×</v>
      </c>
      <c r="J12232" s="4"/>
      <c r="K12232" s="4"/>
      <c r="L12232" s="4"/>
      <c r="M12232" s="7" t="s">
        <v>6503</v>
      </c>
    </row>
    <row r="12233" customFormat="false" ht="15.75" hidden="false" customHeight="false" outlineLevel="0" collapsed="false">
      <c r="A12233" s="6" t="n">
        <f aca="false">DATE(2026,8,22)</f>
        <v>46256</v>
      </c>
      <c r="B12233" s="4" t="s">
        <v>13</v>
      </c>
      <c r="C12233" s="4" t="n">
        <v>10</v>
      </c>
      <c r="D12233" s="4" t="n">
        <v>4</v>
      </c>
      <c r="E12233" s="4"/>
      <c r="F12233" s="4" t="n">
        <v>13</v>
      </c>
      <c r="G12233" s="4" t="n">
        <v>10</v>
      </c>
      <c r="H12233" s="4" t="n">
        <v>4</v>
      </c>
      <c r="I12233" s="4" t="str">
        <v>×</v>
      </c>
      <c r="J12233" s="4"/>
      <c r="K12233" s="4"/>
      <c r="L12233" s="4"/>
      <c r="M12233" s="7" t="s">
        <v>6503</v>
      </c>
    </row>
    <row r="12234" customFormat="false" ht="15.75" hidden="false" customHeight="false" outlineLevel="0" collapsed="false">
      <c r="A12234" s="6" t="n">
        <f aca="false">DATE(2026,8,22)</f>
        <v>46256</v>
      </c>
      <c r="B12234" s="4" t="s">
        <v>13</v>
      </c>
      <c r="C12234" s="4" t="n">
        <v>10</v>
      </c>
      <c r="D12234" s="4" t="n">
        <v>5</v>
      </c>
      <c r="E12234" s="4"/>
      <c r="F12234" s="4" t="n">
        <v>15</v>
      </c>
      <c r="G12234" s="4" t="n">
        <v>9</v>
      </c>
      <c r="H12234" s="4" t="n">
        <v>4</v>
      </c>
      <c r="I12234" s="4" t="str">
        <v>×</v>
      </c>
      <c r="J12234" s="4"/>
      <c r="K12234" s="4"/>
      <c r="L12234" s="4"/>
      <c r="M12234" s="7" t="s">
        <v>6503</v>
      </c>
    </row>
    <row r="12235" customFormat="false" ht="15.75" hidden="false" customHeight="false" outlineLevel="0" collapsed="false">
      <c r="A12235" s="6" t="n">
        <f aca="false">DATE(2026,8,22)</f>
        <v>46256</v>
      </c>
      <c r="B12235" s="4" t="s">
        <v>13</v>
      </c>
      <c r="C12235" s="4" t="n">
        <v>10</v>
      </c>
      <c r="D12235" s="4" t="n">
        <v>6</v>
      </c>
      <c r="E12235" s="4" t="s">
        <v>6511</v>
      </c>
      <c r="F12235" s="4" t="n">
        <v>17</v>
      </c>
      <c r="G12235" s="4" t="n">
        <v>6</v>
      </c>
      <c r="H12235" s="4" t="n">
        <v>3</v>
      </c>
      <c r="I12235" s="4" t="str">
        <v>○</v>
      </c>
      <c r="J12235" s="4" t="n">
        <v>770</v>
      </c>
      <c r="K12235" s="4"/>
      <c r="L12235" s="4"/>
      <c r="M12235" s="7" t="s">
        <v>6503</v>
      </c>
    </row>
    <row r="12236" customFormat="false" ht="15.75" hidden="false" customHeight="false" outlineLevel="0" collapsed="false">
      <c r="A12236" s="6" t="n">
        <f aca="false">DATE(2026,8,22)</f>
        <v>46256</v>
      </c>
      <c r="B12236" s="4" t="s">
        <v>13</v>
      </c>
      <c r="C12236" s="4" t="n">
        <v>10</v>
      </c>
      <c r="D12236" s="4" t="n">
        <v>7</v>
      </c>
      <c r="E12236" s="4"/>
      <c r="F12236" s="4" t="n">
        <v>17</v>
      </c>
      <c r="G12236" s="4" t="n">
        <v>6</v>
      </c>
      <c r="H12236" s="4" t="n">
        <v>4</v>
      </c>
      <c r="I12236" s="4" t="str">
        <v>×</v>
      </c>
      <c r="J12236" s="4"/>
      <c r="K12236" s="4"/>
      <c r="L12236" s="4"/>
      <c r="M12236" s="7" t="s">
        <v>6503</v>
      </c>
    </row>
    <row r="12237" customFormat="false" ht="15.75" hidden="false" customHeight="false" outlineLevel="0" collapsed="false">
      <c r="A12237" s="6" t="n">
        <f aca="false">DATE(2026,8,22)</f>
        <v>46256</v>
      </c>
      <c r="B12237" s="4" t="s">
        <v>13</v>
      </c>
      <c r="C12237" s="4" t="n">
        <v>10</v>
      </c>
      <c r="D12237" s="4" t="n">
        <v>8</v>
      </c>
      <c r="E12237" s="4"/>
      <c r="F12237" s="4" t="n">
        <v>10</v>
      </c>
      <c r="G12237" s="4" t="n">
        <v>12</v>
      </c>
      <c r="H12237" s="4" t="n">
        <v>4</v>
      </c>
      <c r="I12237" s="4" t="str">
        <v>×</v>
      </c>
      <c r="J12237" s="4"/>
      <c r="K12237" s="4"/>
      <c r="L12237" s="4"/>
      <c r="M12237" s="7" t="s">
        <v>6503</v>
      </c>
    </row>
    <row r="12238" customFormat="false" ht="15.75" hidden="false" customHeight="false" outlineLevel="0" collapsed="false">
      <c r="A12238" s="6" t="n">
        <f aca="false">DATE(2026,8,22)</f>
        <v>46256</v>
      </c>
      <c r="B12238" s="4" t="s">
        <v>13</v>
      </c>
      <c r="C12238" s="4" t="n">
        <v>10</v>
      </c>
      <c r="D12238" s="4" t="n">
        <v>9</v>
      </c>
      <c r="E12238" s="4" t="s">
        <v>765</v>
      </c>
      <c r="F12238" s="4" t="n">
        <v>29</v>
      </c>
      <c r="G12238" s="4" t="n">
        <v>4</v>
      </c>
      <c r="H12238" s="4" t="n">
        <v>1</v>
      </c>
      <c r="I12238" s="4" t="str">
        <v>○</v>
      </c>
      <c r="J12238" s="4" t="n">
        <v>200</v>
      </c>
      <c r="K12238" s="4"/>
      <c r="L12238" s="4"/>
      <c r="M12238" s="7" t="s">
        <v>6503</v>
      </c>
    </row>
    <row r="12239" customFormat="false" ht="15.75" hidden="false" customHeight="false" outlineLevel="0" collapsed="false">
      <c r="A12239" s="6" t="n">
        <f aca="false">DATE(2026,8,22)</f>
        <v>46256</v>
      </c>
      <c r="B12239" s="4" t="s">
        <v>13</v>
      </c>
      <c r="C12239" s="4" t="n">
        <v>10</v>
      </c>
      <c r="D12239" s="4" t="n">
        <v>10</v>
      </c>
      <c r="E12239" s="4"/>
      <c r="F12239" s="4" t="n">
        <v>17</v>
      </c>
      <c r="G12239" s="4" t="n">
        <v>6</v>
      </c>
      <c r="H12239" s="4" t="n">
        <v>4</v>
      </c>
      <c r="I12239" s="4" t="str">
        <v>×</v>
      </c>
      <c r="J12239" s="4"/>
      <c r="K12239" s="4"/>
      <c r="L12239" s="4"/>
      <c r="M12239" s="7" t="s">
        <v>6503</v>
      </c>
    </row>
    <row r="12240" customFormat="false" ht="15.75" hidden="false" customHeight="false" outlineLevel="0" collapsed="false">
      <c r="A12240" s="6" t="n">
        <f aca="false">DATE(2026,8,22)</f>
        <v>46256</v>
      </c>
      <c r="B12240" s="4" t="s">
        <v>13</v>
      </c>
      <c r="C12240" s="4" t="n">
        <v>10</v>
      </c>
      <c r="D12240" s="4" t="n">
        <v>11</v>
      </c>
      <c r="E12240" s="4"/>
      <c r="F12240" s="4" t="n">
        <v>13</v>
      </c>
      <c r="G12240" s="4" t="n">
        <v>10</v>
      </c>
      <c r="H12240" s="4" t="n">
        <v>4</v>
      </c>
      <c r="I12240" s="4" t="str">
        <v>×</v>
      </c>
      <c r="J12240" s="4"/>
      <c r="K12240" s="4"/>
      <c r="L12240" s="4"/>
      <c r="M12240" s="7" t="s">
        <v>6503</v>
      </c>
    </row>
    <row r="12241" customFormat="false" ht="15.75" hidden="false" customHeight="false" outlineLevel="0" collapsed="false">
      <c r="A12241" s="6" t="n">
        <f aca="false">DATE(2026,8,22)</f>
        <v>46256</v>
      </c>
      <c r="B12241" s="4" t="s">
        <v>13</v>
      </c>
      <c r="C12241" s="4" t="n">
        <v>10</v>
      </c>
      <c r="D12241" s="4" t="n">
        <v>12</v>
      </c>
      <c r="E12241" s="4"/>
      <c r="F12241" s="4" t="n">
        <v>10</v>
      </c>
      <c r="G12241" s="4" t="n">
        <v>12</v>
      </c>
      <c r="H12241" s="4" t="n">
        <v>4</v>
      </c>
      <c r="I12241" s="4" t="str">
        <v>×</v>
      </c>
      <c r="J12241" s="4"/>
      <c r="K12241" s="4"/>
      <c r="L12241" s="4"/>
      <c r="M12241" s="7" t="s">
        <v>6503</v>
      </c>
    </row>
    <row r="12242" customFormat="false" ht="15.75" hidden="false" customHeight="false" outlineLevel="0" collapsed="false">
      <c r="A12242" s="6" t="n">
        <f aca="false">DATE(2026,8,22)</f>
        <v>46256</v>
      </c>
      <c r="B12242" s="4" t="s">
        <v>13</v>
      </c>
      <c r="C12242" s="4" t="n">
        <v>10</v>
      </c>
      <c r="D12242" s="4" t="n">
        <v>13</v>
      </c>
      <c r="E12242" s="4"/>
      <c r="F12242" s="4" t="n">
        <v>34</v>
      </c>
      <c r="G12242" s="4" t="n">
        <v>2</v>
      </c>
      <c r="H12242" s="4" t="n">
        <v>4</v>
      </c>
      <c r="I12242" s="4" t="str">
        <v>×</v>
      </c>
      <c r="J12242" s="4"/>
      <c r="K12242" s="4"/>
      <c r="L12242" s="4"/>
      <c r="M12242" s="7" t="s">
        <v>6503</v>
      </c>
    </row>
    <row r="12243" customFormat="false" ht="15.75" hidden="false" customHeight="false" outlineLevel="0" collapsed="false">
      <c r="A12243" s="6" t="n">
        <f aca="false">DATE(2026,8,22)</f>
        <v>46256</v>
      </c>
      <c r="B12243" s="4" t="s">
        <v>13</v>
      </c>
      <c r="C12243" s="4" t="n">
        <v>10</v>
      </c>
      <c r="D12243" s="4" t="n">
        <v>14</v>
      </c>
      <c r="E12243" s="4" t="s">
        <v>6512</v>
      </c>
      <c r="F12243" s="4" t="n">
        <v>65</v>
      </c>
      <c r="G12243" s="4" t="n">
        <v>1</v>
      </c>
      <c r="H12243" s="4" t="n">
        <v>2</v>
      </c>
      <c r="I12243" s="4" t="str">
        <v>○</v>
      </c>
      <c r="J12243" s="4" t="n">
        <v>120</v>
      </c>
      <c r="K12243" s="4"/>
      <c r="L12243" s="4"/>
      <c r="M12243" s="7" t="s">
        <v>6503</v>
      </c>
    </row>
    <row r="12244" customFormat="false" ht="15.75" hidden="false" customHeight="false" outlineLevel="0" collapsed="false">
      <c r="A12244" s="6" t="n">
        <f aca="false">DATE(2026,8,22)</f>
        <v>46256</v>
      </c>
      <c r="B12244" s="4" t="s">
        <v>13</v>
      </c>
      <c r="C12244" s="4" t="n">
        <v>10</v>
      </c>
      <c r="D12244" s="4" t="n">
        <v>15</v>
      </c>
      <c r="E12244" s="4"/>
      <c r="F12244" s="4" t="n">
        <v>10</v>
      </c>
      <c r="G12244" s="4" t="n">
        <v>12</v>
      </c>
      <c r="H12244" s="4" t="n">
        <v>4</v>
      </c>
      <c r="I12244" s="4" t="str">
        <v>×</v>
      </c>
      <c r="J12244" s="4"/>
      <c r="K12244" s="4"/>
      <c r="L12244" s="4"/>
      <c r="M12244" s="7" t="s">
        <v>6503</v>
      </c>
    </row>
    <row r="12245" customFormat="false" ht="15.75" hidden="false" customHeight="false" outlineLevel="0" collapsed="false">
      <c r="A12245" s="6" t="n">
        <f aca="false">DATE(2026,8,22)</f>
        <v>46256</v>
      </c>
      <c r="B12245" s="4" t="s">
        <v>13</v>
      </c>
      <c r="C12245" s="4" t="n">
        <v>11</v>
      </c>
      <c r="D12245" s="4" t="n">
        <v>1</v>
      </c>
      <c r="E12245" s="4"/>
      <c r="F12245" s="4" t="n">
        <v>2</v>
      </c>
      <c r="G12245" s="4" t="n">
        <v>12</v>
      </c>
      <c r="H12245" s="4" t="n">
        <v>4</v>
      </c>
      <c r="I12245" s="4" t="str">
        <v>×</v>
      </c>
      <c r="J12245" s="4"/>
      <c r="K12245" s="4"/>
      <c r="L12245" s="4"/>
      <c r="M12245" s="7" t="s">
        <v>6503</v>
      </c>
    </row>
    <row r="12246" customFormat="false" ht="15.75" hidden="false" customHeight="false" outlineLevel="0" collapsed="false">
      <c r="A12246" s="6" t="n">
        <f aca="false">DATE(2026,8,22)</f>
        <v>46256</v>
      </c>
      <c r="B12246" s="4" t="s">
        <v>13</v>
      </c>
      <c r="C12246" s="4" t="n">
        <v>11</v>
      </c>
      <c r="D12246" s="4" t="n">
        <v>2</v>
      </c>
      <c r="E12246" s="4"/>
      <c r="F12246" s="4" t="n">
        <v>23</v>
      </c>
      <c r="G12246" s="4" t="n">
        <v>4</v>
      </c>
      <c r="H12246" s="4" t="n">
        <v>4</v>
      </c>
      <c r="I12246" s="4" t="str">
        <v>×</v>
      </c>
      <c r="J12246" s="4"/>
      <c r="K12246" s="4"/>
      <c r="L12246" s="4"/>
      <c r="M12246" s="7" t="s">
        <v>6503</v>
      </c>
    </row>
    <row r="12247" customFormat="false" ht="15.75" hidden="false" customHeight="false" outlineLevel="0" collapsed="false">
      <c r="A12247" s="6" t="n">
        <f aca="false">DATE(2026,8,22)</f>
        <v>46256</v>
      </c>
      <c r="B12247" s="4" t="s">
        <v>13</v>
      </c>
      <c r="C12247" s="4" t="n">
        <v>11</v>
      </c>
      <c r="D12247" s="4" t="n">
        <v>3</v>
      </c>
      <c r="E12247" s="4" t="s">
        <v>1406</v>
      </c>
      <c r="F12247" s="4" t="n">
        <v>74</v>
      </c>
      <c r="G12247" s="4" t="n">
        <v>1</v>
      </c>
      <c r="H12247" s="4" t="n">
        <v>3</v>
      </c>
      <c r="I12247" s="4" t="str">
        <v>○</v>
      </c>
      <c r="J12247" s="4" t="n">
        <v>110</v>
      </c>
      <c r="K12247" s="4"/>
      <c r="L12247" s="4"/>
      <c r="M12247" s="7" t="s">
        <v>6503</v>
      </c>
    </row>
    <row r="12248" customFormat="false" ht="15.75" hidden="false" customHeight="false" outlineLevel="0" collapsed="false">
      <c r="A12248" s="6" t="n">
        <f aca="false">DATE(2026,8,22)</f>
        <v>46256</v>
      </c>
      <c r="B12248" s="4" t="s">
        <v>13</v>
      </c>
      <c r="C12248" s="4" t="n">
        <v>11</v>
      </c>
      <c r="D12248" s="4" t="n">
        <v>4</v>
      </c>
      <c r="E12248" s="4"/>
      <c r="F12248" s="4" t="n">
        <v>10</v>
      </c>
      <c r="G12248" s="4" t="n">
        <v>8</v>
      </c>
      <c r="H12248" s="4" t="n">
        <v>4</v>
      </c>
      <c r="I12248" s="4" t="str">
        <v>×</v>
      </c>
      <c r="J12248" s="4"/>
      <c r="K12248" s="4"/>
      <c r="L12248" s="4"/>
      <c r="M12248" s="7" t="s">
        <v>6503</v>
      </c>
    </row>
    <row r="12249" customFormat="false" ht="15.75" hidden="false" customHeight="false" outlineLevel="0" collapsed="false">
      <c r="A12249" s="6" t="n">
        <f aca="false">DATE(2026,8,22)</f>
        <v>46256</v>
      </c>
      <c r="B12249" s="4" t="s">
        <v>13</v>
      </c>
      <c r="C12249" s="4" t="n">
        <v>11</v>
      </c>
      <c r="D12249" s="4" t="n">
        <v>5</v>
      </c>
      <c r="E12249" s="4" t="s">
        <v>4020</v>
      </c>
      <c r="F12249" s="4" t="n">
        <v>37</v>
      </c>
      <c r="G12249" s="4" t="n">
        <v>3</v>
      </c>
      <c r="H12249" s="4" t="n">
        <v>2</v>
      </c>
      <c r="I12249" s="4" t="str">
        <v>○</v>
      </c>
      <c r="J12249" s="4" t="n">
        <v>130</v>
      </c>
      <c r="K12249" s="4"/>
      <c r="L12249" s="4"/>
      <c r="M12249" s="7" t="s">
        <v>6503</v>
      </c>
    </row>
    <row r="12250" customFormat="false" ht="15.75" hidden="false" customHeight="false" outlineLevel="0" collapsed="false">
      <c r="A12250" s="6" t="n">
        <f aca="false">DATE(2026,8,22)</f>
        <v>46256</v>
      </c>
      <c r="B12250" s="4" t="s">
        <v>13</v>
      </c>
      <c r="C12250" s="4" t="n">
        <v>11</v>
      </c>
      <c r="D12250" s="4" t="n">
        <v>6</v>
      </c>
      <c r="E12250" s="4"/>
      <c r="F12250" s="4" t="n">
        <v>20</v>
      </c>
      <c r="G12250" s="4" t="n">
        <v>6</v>
      </c>
      <c r="H12250" s="4" t="n">
        <v>4</v>
      </c>
      <c r="I12250" s="4" t="str">
        <v>×</v>
      </c>
      <c r="J12250" s="4"/>
      <c r="K12250" s="4"/>
      <c r="L12250" s="4"/>
      <c r="M12250" s="7" t="s">
        <v>6503</v>
      </c>
    </row>
    <row r="12251" customFormat="false" ht="15.75" hidden="false" customHeight="false" outlineLevel="0" collapsed="false">
      <c r="A12251" s="6" t="n">
        <f aca="false">DATE(2026,8,22)</f>
        <v>46256</v>
      </c>
      <c r="B12251" s="4" t="s">
        <v>13</v>
      </c>
      <c r="C12251" s="4" t="n">
        <v>11</v>
      </c>
      <c r="D12251" s="4" t="n">
        <v>7</v>
      </c>
      <c r="E12251" s="4" t="s">
        <v>2055</v>
      </c>
      <c r="F12251" s="4" t="n">
        <v>20</v>
      </c>
      <c r="G12251" s="4" t="n">
        <v>6</v>
      </c>
      <c r="H12251" s="4" t="n">
        <v>1</v>
      </c>
      <c r="I12251" s="4" t="str">
        <v>○</v>
      </c>
      <c r="J12251" s="4" t="n">
        <v>370</v>
      </c>
      <c r="K12251" s="4"/>
      <c r="L12251" s="4"/>
      <c r="M12251" s="7" t="s">
        <v>6503</v>
      </c>
    </row>
    <row r="12252" customFormat="false" ht="15.75" hidden="false" customHeight="false" outlineLevel="0" collapsed="false">
      <c r="A12252" s="6" t="n">
        <f aca="false">DATE(2026,8,22)</f>
        <v>46256</v>
      </c>
      <c r="B12252" s="4" t="s">
        <v>13</v>
      </c>
      <c r="C12252" s="4" t="n">
        <v>11</v>
      </c>
      <c r="D12252" s="4" t="n">
        <v>8</v>
      </c>
      <c r="E12252" s="4"/>
      <c r="F12252" s="4" t="n">
        <v>44</v>
      </c>
      <c r="G12252" s="4" t="n">
        <v>2</v>
      </c>
      <c r="H12252" s="4" t="n">
        <v>4</v>
      </c>
      <c r="I12252" s="4" t="str">
        <v>×</v>
      </c>
      <c r="J12252" s="4"/>
      <c r="K12252" s="4"/>
      <c r="L12252" s="4"/>
      <c r="M12252" s="7" t="s">
        <v>6503</v>
      </c>
    </row>
    <row r="12253" customFormat="false" ht="15.75" hidden="false" customHeight="false" outlineLevel="0" collapsed="false">
      <c r="A12253" s="6" t="n">
        <f aca="false">DATE(2026,8,22)</f>
        <v>46256</v>
      </c>
      <c r="B12253" s="4" t="s">
        <v>13</v>
      </c>
      <c r="C12253" s="4" t="n">
        <v>11</v>
      </c>
      <c r="D12253" s="4" t="n">
        <v>9</v>
      </c>
      <c r="E12253" s="4"/>
      <c r="F12253" s="4" t="n">
        <v>6</v>
      </c>
      <c r="G12253" s="4" t="n">
        <v>11</v>
      </c>
      <c r="H12253" s="4" t="n">
        <v>4</v>
      </c>
      <c r="I12253" s="4" t="str">
        <v>×</v>
      </c>
      <c r="J12253" s="4"/>
      <c r="K12253" s="4"/>
      <c r="L12253" s="4"/>
      <c r="M12253" s="7" t="s">
        <v>6503</v>
      </c>
    </row>
    <row r="12254" customFormat="false" ht="15.75" hidden="false" customHeight="false" outlineLevel="0" collapsed="false">
      <c r="A12254" s="6" t="n">
        <f aca="false">DATE(2026,8,22)</f>
        <v>46256</v>
      </c>
      <c r="B12254" s="4" t="s">
        <v>13</v>
      </c>
      <c r="C12254" s="4" t="n">
        <v>11</v>
      </c>
      <c r="D12254" s="4" t="n">
        <v>10</v>
      </c>
      <c r="E12254" s="4"/>
      <c r="F12254" s="4" t="n">
        <v>10</v>
      </c>
      <c r="G12254" s="4" t="n">
        <v>8</v>
      </c>
      <c r="H12254" s="4" t="n">
        <v>4</v>
      </c>
      <c r="I12254" s="4" t="str">
        <v>×</v>
      </c>
      <c r="J12254" s="4"/>
      <c r="K12254" s="4"/>
      <c r="L12254" s="4"/>
      <c r="M12254" s="7" t="s">
        <v>6503</v>
      </c>
    </row>
    <row r="12255" customFormat="false" ht="15.75" hidden="false" customHeight="false" outlineLevel="0" collapsed="false">
      <c r="A12255" s="6" t="n">
        <f aca="false">DATE(2026,8,22)</f>
        <v>46256</v>
      </c>
      <c r="B12255" s="4" t="s">
        <v>13</v>
      </c>
      <c r="C12255" s="4" t="n">
        <v>11</v>
      </c>
      <c r="D12255" s="4" t="n">
        <v>11</v>
      </c>
      <c r="E12255" s="4"/>
      <c r="F12255" s="4" t="n">
        <v>23</v>
      </c>
      <c r="G12255" s="4" t="n">
        <v>4</v>
      </c>
      <c r="H12255" s="4" t="n">
        <v>4</v>
      </c>
      <c r="I12255" s="4" t="str">
        <v>×</v>
      </c>
      <c r="J12255" s="4"/>
      <c r="K12255" s="4"/>
      <c r="L12255" s="4"/>
      <c r="M12255" s="7" t="s">
        <v>6503</v>
      </c>
    </row>
    <row r="12256" customFormat="false" ht="15.75" hidden="false" customHeight="false" outlineLevel="0" collapsed="false">
      <c r="A12256" s="6" t="n">
        <f aca="false">DATE(2026,8,22)</f>
        <v>46256</v>
      </c>
      <c r="B12256" s="4" t="s">
        <v>13</v>
      </c>
      <c r="C12256" s="4" t="n">
        <v>11</v>
      </c>
      <c r="D12256" s="4" t="n">
        <v>12</v>
      </c>
      <c r="E12256" s="4"/>
      <c r="F12256" s="4" t="n">
        <v>10</v>
      </c>
      <c r="G12256" s="4" t="n">
        <v>8</v>
      </c>
      <c r="H12256" s="4" t="n">
        <v>4</v>
      </c>
      <c r="I12256" s="4" t="str">
        <v>×</v>
      </c>
      <c r="J12256" s="4"/>
      <c r="K12256" s="4"/>
      <c r="L12256" s="4"/>
      <c r="M12256" s="7" t="s">
        <v>6503</v>
      </c>
    </row>
    <row r="12257" customFormat="false" ht="15.75" hidden="false" customHeight="false" outlineLevel="0" collapsed="false">
      <c r="A12257" s="6" t="n">
        <f aca="false">DATE(2026,8,22)</f>
        <v>46256</v>
      </c>
      <c r="B12257" s="4" t="s">
        <v>13</v>
      </c>
      <c r="C12257" s="4" t="n">
        <v>12</v>
      </c>
      <c r="D12257" s="4" t="n">
        <v>1</v>
      </c>
      <c r="E12257" s="4"/>
      <c r="F12257" s="4" t="n">
        <v>2</v>
      </c>
      <c r="G12257" s="4" t="n">
        <v>14</v>
      </c>
      <c r="H12257" s="4" t="n">
        <v>4</v>
      </c>
      <c r="I12257" s="4" t="str">
        <v>×</v>
      </c>
      <c r="J12257" s="4"/>
      <c r="K12257" s="4"/>
      <c r="L12257" s="4"/>
      <c r="M12257" s="7" t="s">
        <v>6503</v>
      </c>
    </row>
    <row r="12258" customFormat="false" ht="15.75" hidden="false" customHeight="false" outlineLevel="0" collapsed="false">
      <c r="A12258" s="6" t="n">
        <f aca="false">DATE(2026,8,22)</f>
        <v>46256</v>
      </c>
      <c r="B12258" s="4" t="s">
        <v>13</v>
      </c>
      <c r="C12258" s="4" t="n">
        <v>12</v>
      </c>
      <c r="D12258" s="4" t="n">
        <v>2</v>
      </c>
      <c r="E12258" s="4"/>
      <c r="F12258" s="4" t="n">
        <v>47</v>
      </c>
      <c r="G12258" s="4" t="n">
        <v>2</v>
      </c>
      <c r="H12258" s="4" t="n">
        <v>4</v>
      </c>
      <c r="I12258" s="4" t="str">
        <v>×</v>
      </c>
      <c r="J12258" s="4"/>
      <c r="K12258" s="4"/>
      <c r="L12258" s="4"/>
      <c r="M12258" s="7" t="s">
        <v>6503</v>
      </c>
    </row>
    <row r="12259" customFormat="false" ht="15.75" hidden="false" customHeight="false" outlineLevel="0" collapsed="false">
      <c r="A12259" s="6" t="n">
        <f aca="false">DATE(2026,8,22)</f>
        <v>46256</v>
      </c>
      <c r="B12259" s="4" t="s">
        <v>13</v>
      </c>
      <c r="C12259" s="4" t="n">
        <v>12</v>
      </c>
      <c r="D12259" s="4" t="n">
        <v>3</v>
      </c>
      <c r="E12259" s="4"/>
      <c r="F12259" s="4" t="n">
        <v>6</v>
      </c>
      <c r="G12259" s="4" t="n">
        <v>8</v>
      </c>
      <c r="H12259" s="4" t="n">
        <v>4</v>
      </c>
      <c r="I12259" s="4" t="str">
        <v>×</v>
      </c>
      <c r="J12259" s="4"/>
      <c r="K12259" s="4"/>
      <c r="L12259" s="4"/>
      <c r="M12259" s="7" t="s">
        <v>6503</v>
      </c>
    </row>
    <row r="12260" customFormat="false" ht="15.75" hidden="false" customHeight="false" outlineLevel="0" collapsed="false">
      <c r="A12260" s="6" t="n">
        <f aca="false">DATE(2026,8,22)</f>
        <v>46256</v>
      </c>
      <c r="B12260" s="4" t="s">
        <v>13</v>
      </c>
      <c r="C12260" s="4" t="n">
        <v>12</v>
      </c>
      <c r="D12260" s="4" t="n">
        <v>4</v>
      </c>
      <c r="E12260" s="4"/>
      <c r="F12260" s="4" t="n">
        <v>20</v>
      </c>
      <c r="G12260" s="4" t="n">
        <v>5</v>
      </c>
      <c r="H12260" s="4" t="n">
        <v>4</v>
      </c>
      <c r="I12260" s="4" t="str">
        <v>×</v>
      </c>
      <c r="J12260" s="4"/>
      <c r="K12260" s="4"/>
      <c r="L12260" s="4"/>
      <c r="M12260" s="7" t="s">
        <v>6503</v>
      </c>
    </row>
    <row r="12261" customFormat="false" ht="15.75" hidden="false" customHeight="false" outlineLevel="0" collapsed="false">
      <c r="A12261" s="6" t="n">
        <f aca="false">DATE(2026,8,22)</f>
        <v>46256</v>
      </c>
      <c r="B12261" s="4" t="s">
        <v>13</v>
      </c>
      <c r="C12261" s="4" t="n">
        <v>12</v>
      </c>
      <c r="D12261" s="4" t="n">
        <v>5</v>
      </c>
      <c r="E12261" s="4"/>
      <c r="F12261" s="4" t="n">
        <v>6</v>
      </c>
      <c r="G12261" s="4" t="n">
        <v>8</v>
      </c>
      <c r="H12261" s="4" t="n">
        <v>4</v>
      </c>
      <c r="I12261" s="4" t="str">
        <v>×</v>
      </c>
      <c r="J12261" s="4"/>
      <c r="K12261" s="4"/>
      <c r="L12261" s="4"/>
      <c r="M12261" s="7" t="s">
        <v>6503</v>
      </c>
    </row>
    <row r="12262" customFormat="false" ht="15.75" hidden="false" customHeight="false" outlineLevel="0" collapsed="false">
      <c r="A12262" s="6" t="n">
        <f aca="false">DATE(2026,8,22)</f>
        <v>46256</v>
      </c>
      <c r="B12262" s="4" t="s">
        <v>13</v>
      </c>
      <c r="C12262" s="4" t="n">
        <v>12</v>
      </c>
      <c r="D12262" s="4" t="n">
        <v>6</v>
      </c>
      <c r="E12262" s="4"/>
      <c r="F12262" s="4" t="n">
        <v>3</v>
      </c>
      <c r="G12262" s="4" t="n">
        <v>12</v>
      </c>
      <c r="H12262" s="4" t="n">
        <v>4</v>
      </c>
      <c r="I12262" s="4" t="str">
        <v>×</v>
      </c>
      <c r="J12262" s="4"/>
      <c r="K12262" s="4"/>
      <c r="L12262" s="4"/>
      <c r="M12262" s="7" t="s">
        <v>6503</v>
      </c>
    </row>
    <row r="12263" customFormat="false" ht="15.75" hidden="false" customHeight="false" outlineLevel="0" collapsed="false">
      <c r="A12263" s="6" t="n">
        <f aca="false">DATE(2026,8,22)</f>
        <v>46256</v>
      </c>
      <c r="B12263" s="4" t="s">
        <v>13</v>
      </c>
      <c r="C12263" s="4" t="n">
        <v>12</v>
      </c>
      <c r="D12263" s="4" t="n">
        <v>7</v>
      </c>
      <c r="E12263" s="4"/>
      <c r="F12263" s="4" t="n">
        <v>6</v>
      </c>
      <c r="G12263" s="4" t="n">
        <v>8</v>
      </c>
      <c r="H12263" s="4" t="n">
        <v>4</v>
      </c>
      <c r="I12263" s="4" t="str">
        <v>×</v>
      </c>
      <c r="J12263" s="4"/>
      <c r="K12263" s="4"/>
      <c r="L12263" s="4"/>
      <c r="M12263" s="7" t="s">
        <v>6503</v>
      </c>
    </row>
    <row r="12264" customFormat="false" ht="15.75" hidden="false" customHeight="false" outlineLevel="0" collapsed="false">
      <c r="A12264" s="6" t="n">
        <f aca="false">DATE(2026,8,22)</f>
        <v>46256</v>
      </c>
      <c r="B12264" s="4" t="s">
        <v>13</v>
      </c>
      <c r="C12264" s="4" t="n">
        <v>12</v>
      </c>
      <c r="D12264" s="4" t="n">
        <v>8</v>
      </c>
      <c r="E12264" s="4"/>
      <c r="F12264" s="4" t="n">
        <v>3</v>
      </c>
      <c r="G12264" s="4" t="n">
        <v>12</v>
      </c>
      <c r="H12264" s="4" t="n">
        <v>4</v>
      </c>
      <c r="I12264" s="4" t="str">
        <v>×</v>
      </c>
      <c r="J12264" s="4"/>
      <c r="K12264" s="4"/>
      <c r="L12264" s="4"/>
      <c r="M12264" s="7" t="s">
        <v>6503</v>
      </c>
    </row>
    <row r="12265" customFormat="false" ht="15.75" hidden="false" customHeight="false" outlineLevel="0" collapsed="false">
      <c r="A12265" s="6" t="n">
        <f aca="false">DATE(2026,8,22)</f>
        <v>46256</v>
      </c>
      <c r="B12265" s="4" t="s">
        <v>13</v>
      </c>
      <c r="C12265" s="4" t="n">
        <v>12</v>
      </c>
      <c r="D12265" s="4" t="n">
        <v>9</v>
      </c>
      <c r="E12265" s="4"/>
      <c r="F12265" s="4" t="n">
        <v>8</v>
      </c>
      <c r="G12265" s="4" t="n">
        <v>7</v>
      </c>
      <c r="H12265" s="4" t="n">
        <v>4</v>
      </c>
      <c r="I12265" s="4" t="str">
        <v>×</v>
      </c>
      <c r="J12265" s="4"/>
      <c r="K12265" s="4"/>
      <c r="L12265" s="4"/>
      <c r="M12265" s="7" t="s">
        <v>6503</v>
      </c>
    </row>
    <row r="12266" customFormat="false" ht="15.75" hidden="false" customHeight="false" outlineLevel="0" collapsed="false">
      <c r="A12266" s="6" t="n">
        <f aca="false">DATE(2026,8,22)</f>
        <v>46256</v>
      </c>
      <c r="B12266" s="4" t="s">
        <v>13</v>
      </c>
      <c r="C12266" s="4" t="n">
        <v>12</v>
      </c>
      <c r="D12266" s="4" t="n">
        <v>10</v>
      </c>
      <c r="E12266" s="4" t="s">
        <v>493</v>
      </c>
      <c r="F12266" s="4" t="n">
        <v>67</v>
      </c>
      <c r="G12266" s="4" t="n">
        <v>1</v>
      </c>
      <c r="H12266" s="4" t="n">
        <v>1</v>
      </c>
      <c r="I12266" s="4" t="str">
        <v>○</v>
      </c>
      <c r="J12266" s="4" t="n">
        <v>110</v>
      </c>
      <c r="K12266" s="4"/>
      <c r="L12266" s="4"/>
      <c r="M12266" s="7" t="s">
        <v>6503</v>
      </c>
    </row>
    <row r="12267" customFormat="false" ht="15.75" hidden="false" customHeight="false" outlineLevel="0" collapsed="false">
      <c r="A12267" s="6" t="n">
        <f aca="false">DATE(2026,8,22)</f>
        <v>46256</v>
      </c>
      <c r="B12267" s="4" t="s">
        <v>13</v>
      </c>
      <c r="C12267" s="4" t="n">
        <v>12</v>
      </c>
      <c r="D12267" s="4" t="n">
        <v>11</v>
      </c>
      <c r="E12267" s="4"/>
      <c r="F12267" s="4" t="n">
        <v>2</v>
      </c>
      <c r="G12267" s="4" t="n">
        <v>14</v>
      </c>
      <c r="H12267" s="4" t="n">
        <v>4</v>
      </c>
      <c r="I12267" s="4" t="str">
        <v>×</v>
      </c>
      <c r="J12267" s="4"/>
      <c r="K12267" s="4"/>
      <c r="L12267" s="4"/>
      <c r="M12267" s="7" t="s">
        <v>6503</v>
      </c>
    </row>
    <row r="12268" customFormat="false" ht="15.75" hidden="false" customHeight="false" outlineLevel="0" collapsed="false">
      <c r="A12268" s="6" t="n">
        <f aca="false">DATE(2026,8,22)</f>
        <v>46256</v>
      </c>
      <c r="B12268" s="4" t="s">
        <v>13</v>
      </c>
      <c r="C12268" s="4" t="n">
        <v>12</v>
      </c>
      <c r="D12268" s="4" t="n">
        <v>12</v>
      </c>
      <c r="E12268" s="4" t="s">
        <v>2336</v>
      </c>
      <c r="F12268" s="4" t="n">
        <v>31</v>
      </c>
      <c r="G12268" s="4" t="n">
        <v>3</v>
      </c>
      <c r="H12268" s="4" t="n">
        <v>2</v>
      </c>
      <c r="I12268" s="4" t="str">
        <v>○</v>
      </c>
      <c r="J12268" s="4" t="n">
        <v>170</v>
      </c>
      <c r="K12268" s="4"/>
      <c r="L12268" s="4"/>
      <c r="M12268" s="7" t="s">
        <v>6503</v>
      </c>
    </row>
    <row r="12269" customFormat="false" ht="15.75" hidden="false" customHeight="false" outlineLevel="0" collapsed="false">
      <c r="A12269" s="6" t="n">
        <f aca="false">DATE(2026,8,22)</f>
        <v>46256</v>
      </c>
      <c r="B12269" s="4" t="s">
        <v>13</v>
      </c>
      <c r="C12269" s="4" t="n">
        <v>12</v>
      </c>
      <c r="D12269" s="4" t="n">
        <v>13</v>
      </c>
      <c r="E12269" s="4"/>
      <c r="F12269" s="4" t="n">
        <v>10</v>
      </c>
      <c r="G12269" s="4" t="n">
        <v>6</v>
      </c>
      <c r="H12269" s="4" t="n">
        <v>4</v>
      </c>
      <c r="I12269" s="4" t="str">
        <v>×</v>
      </c>
      <c r="J12269" s="4"/>
      <c r="K12269" s="4"/>
      <c r="L12269" s="4"/>
      <c r="M12269" s="7" t="s">
        <v>6503</v>
      </c>
    </row>
    <row r="12270" customFormat="false" ht="15.75" hidden="false" customHeight="false" outlineLevel="0" collapsed="false">
      <c r="A12270" s="6" t="n">
        <f aca="false">DATE(2026,8,22)</f>
        <v>46256</v>
      </c>
      <c r="B12270" s="4" t="s">
        <v>13</v>
      </c>
      <c r="C12270" s="4" t="n">
        <v>12</v>
      </c>
      <c r="D12270" s="4" t="n">
        <v>14</v>
      </c>
      <c r="E12270" s="4"/>
      <c r="F12270" s="4" t="n">
        <v>4</v>
      </c>
      <c r="G12270" s="4" t="n">
        <v>11</v>
      </c>
      <c r="H12270" s="4" t="n">
        <v>4</v>
      </c>
      <c r="I12270" s="4" t="str">
        <v>×</v>
      </c>
      <c r="J12270" s="4"/>
      <c r="K12270" s="4"/>
      <c r="L12270" s="4"/>
      <c r="M12270" s="7" t="s">
        <v>6503</v>
      </c>
    </row>
    <row r="12271" customFormat="false" ht="15.75" hidden="false" customHeight="false" outlineLevel="0" collapsed="false">
      <c r="A12271" s="6" t="n">
        <f aca="false">DATE(2026,8,22)</f>
        <v>46256</v>
      </c>
      <c r="B12271" s="4" t="s">
        <v>13</v>
      </c>
      <c r="C12271" s="4" t="n">
        <v>12</v>
      </c>
      <c r="D12271" s="4" t="n">
        <v>15</v>
      </c>
      <c r="E12271" s="4" t="s">
        <v>6513</v>
      </c>
      <c r="F12271" s="4" t="n">
        <v>31</v>
      </c>
      <c r="G12271" s="4" t="n">
        <v>3</v>
      </c>
      <c r="H12271" s="4" t="n">
        <v>3</v>
      </c>
      <c r="I12271" s="4" t="str">
        <v>○</v>
      </c>
      <c r="J12271" s="4" t="n">
        <v>130</v>
      </c>
      <c r="K12271" s="4"/>
      <c r="L12271" s="4"/>
      <c r="M12271" s="7" t="s">
        <v>6503</v>
      </c>
    </row>
    <row r="12272" customFormat="false" ht="15.75" hidden="false" customHeight="false" outlineLevel="0" collapsed="false">
      <c r="A12272" s="6" t="n">
        <f aca="false">DATE(2026,8,22)</f>
        <v>46256</v>
      </c>
      <c r="B12272" s="4" t="s">
        <v>179</v>
      </c>
      <c r="C12272" s="4" t="n">
        <v>1</v>
      </c>
      <c r="D12272" s="4" t="n">
        <v>1</v>
      </c>
      <c r="E12272" s="4"/>
      <c r="F12272" s="4" t="n">
        <v>15</v>
      </c>
      <c r="G12272" s="4" t="n">
        <v>5</v>
      </c>
      <c r="H12272" s="4" t="n">
        <v>4</v>
      </c>
      <c r="I12272" s="4" t="str">
        <v>×</v>
      </c>
      <c r="J12272" s="4"/>
      <c r="K12272" s="4"/>
      <c r="L12272" s="4"/>
      <c r="M12272" s="7" t="s">
        <v>6503</v>
      </c>
    </row>
    <row r="12273" customFormat="false" ht="15.75" hidden="false" customHeight="false" outlineLevel="0" collapsed="false">
      <c r="A12273" s="6" t="n">
        <f aca="false">DATE(2026,8,22)</f>
        <v>46256</v>
      </c>
      <c r="B12273" s="4" t="s">
        <v>179</v>
      </c>
      <c r="C12273" s="4" t="n">
        <v>1</v>
      </c>
      <c r="D12273" s="4" t="n">
        <v>2</v>
      </c>
      <c r="E12273" s="4" t="s">
        <v>633</v>
      </c>
      <c r="F12273" s="4" t="n">
        <v>75</v>
      </c>
      <c r="G12273" s="4" t="n">
        <v>1</v>
      </c>
      <c r="H12273" s="4" t="n">
        <v>1</v>
      </c>
      <c r="I12273" s="4" t="str">
        <v>○</v>
      </c>
      <c r="J12273" s="4" t="n">
        <v>110</v>
      </c>
      <c r="K12273" s="4"/>
      <c r="L12273" s="4"/>
      <c r="M12273" s="7" t="s">
        <v>6503</v>
      </c>
    </row>
    <row r="12274" customFormat="false" ht="15.75" hidden="false" customHeight="false" outlineLevel="0" collapsed="false">
      <c r="A12274" s="6" t="n">
        <f aca="false">DATE(2026,8,22)</f>
        <v>46256</v>
      </c>
      <c r="B12274" s="4" t="s">
        <v>179</v>
      </c>
      <c r="C12274" s="4" t="n">
        <v>1</v>
      </c>
      <c r="D12274" s="4" t="n">
        <v>3</v>
      </c>
      <c r="E12274" s="4"/>
      <c r="F12274" s="4" t="n">
        <v>65</v>
      </c>
      <c r="G12274" s="4" t="n">
        <v>2</v>
      </c>
      <c r="H12274" s="4" t="n">
        <v>4</v>
      </c>
      <c r="I12274" s="4" t="str">
        <v>×</v>
      </c>
      <c r="J12274" s="4"/>
      <c r="K12274" s="4"/>
      <c r="L12274" s="4"/>
      <c r="M12274" s="7" t="s">
        <v>6503</v>
      </c>
    </row>
    <row r="12275" customFormat="false" ht="15.75" hidden="false" customHeight="false" outlineLevel="0" collapsed="false">
      <c r="A12275" s="6" t="n">
        <f aca="false">DATE(2026,8,22)</f>
        <v>46256</v>
      </c>
      <c r="B12275" s="4" t="s">
        <v>179</v>
      </c>
      <c r="C12275" s="4" t="n">
        <v>1</v>
      </c>
      <c r="D12275" s="4" t="n">
        <v>4</v>
      </c>
      <c r="E12275" s="4" t="s">
        <v>3903</v>
      </c>
      <c r="F12275" s="4" t="n">
        <v>20</v>
      </c>
      <c r="G12275" s="4" t="n">
        <v>4</v>
      </c>
      <c r="H12275" s="4" t="n">
        <v>3</v>
      </c>
      <c r="I12275" s="4" t="str">
        <v>○</v>
      </c>
      <c r="J12275" s="4" t="n">
        <v>140</v>
      </c>
      <c r="K12275" s="4"/>
      <c r="L12275" s="4"/>
      <c r="M12275" s="7" t="s">
        <v>6503</v>
      </c>
    </row>
    <row r="12276" customFormat="false" ht="15.75" hidden="false" customHeight="false" outlineLevel="0" collapsed="false">
      <c r="A12276" s="6" t="n">
        <f aca="false">DATE(2026,8,22)</f>
        <v>46256</v>
      </c>
      <c r="B12276" s="4" t="s">
        <v>179</v>
      </c>
      <c r="C12276" s="4" t="n">
        <v>1</v>
      </c>
      <c r="D12276" s="4" t="n">
        <v>5</v>
      </c>
      <c r="E12276" s="4"/>
      <c r="F12276" s="4" t="n">
        <v>3</v>
      </c>
      <c r="G12276" s="4" t="n">
        <v>9</v>
      </c>
      <c r="H12276" s="4" t="n">
        <v>4</v>
      </c>
      <c r="I12276" s="4" t="str">
        <v>×</v>
      </c>
      <c r="J12276" s="4"/>
      <c r="K12276" s="4"/>
      <c r="L12276" s="4"/>
      <c r="M12276" s="7" t="s">
        <v>6503</v>
      </c>
    </row>
    <row r="12277" customFormat="false" ht="15.75" hidden="false" customHeight="false" outlineLevel="0" collapsed="false">
      <c r="A12277" s="6" t="n">
        <f aca="false">DATE(2026,8,22)</f>
        <v>46256</v>
      </c>
      <c r="B12277" s="4" t="s">
        <v>179</v>
      </c>
      <c r="C12277" s="4" t="n">
        <v>1</v>
      </c>
      <c r="D12277" s="4" t="n">
        <v>6</v>
      </c>
      <c r="E12277" s="4" t="s">
        <v>6514</v>
      </c>
      <c r="F12277" s="4" t="n">
        <v>60</v>
      </c>
      <c r="G12277" s="4" t="n">
        <v>3</v>
      </c>
      <c r="H12277" s="4" t="n">
        <v>2</v>
      </c>
      <c r="I12277" s="4" t="str">
        <v>○</v>
      </c>
      <c r="J12277" s="4" t="n">
        <v>110</v>
      </c>
      <c r="K12277" s="4"/>
      <c r="L12277" s="4"/>
      <c r="M12277" s="7" t="s">
        <v>6503</v>
      </c>
    </row>
    <row r="12278" customFormat="false" ht="15.75" hidden="false" customHeight="false" outlineLevel="0" collapsed="false">
      <c r="A12278" s="6" t="n">
        <f aca="false">DATE(2026,8,22)</f>
        <v>46256</v>
      </c>
      <c r="B12278" s="4" t="s">
        <v>179</v>
      </c>
      <c r="C12278" s="4" t="n">
        <v>1</v>
      </c>
      <c r="D12278" s="4" t="n">
        <v>7</v>
      </c>
      <c r="E12278" s="4"/>
      <c r="F12278" s="4" t="n">
        <v>8</v>
      </c>
      <c r="G12278" s="4" t="n">
        <v>6</v>
      </c>
      <c r="H12278" s="4" t="n">
        <v>4</v>
      </c>
      <c r="I12278" s="4" t="str">
        <v>×</v>
      </c>
      <c r="J12278" s="4"/>
      <c r="K12278" s="4"/>
      <c r="L12278" s="4"/>
      <c r="M12278" s="7" t="s">
        <v>6503</v>
      </c>
    </row>
    <row r="12279" customFormat="false" ht="15.75" hidden="false" customHeight="false" outlineLevel="0" collapsed="false">
      <c r="A12279" s="6" t="n">
        <f aca="false">DATE(2026,8,22)</f>
        <v>46256</v>
      </c>
      <c r="B12279" s="4" t="s">
        <v>179</v>
      </c>
      <c r="C12279" s="4" t="n">
        <v>1</v>
      </c>
      <c r="D12279" s="4" t="n">
        <v>8</v>
      </c>
      <c r="E12279" s="4"/>
      <c r="F12279" s="4" t="n">
        <v>6</v>
      </c>
      <c r="G12279" s="4" t="n">
        <v>7</v>
      </c>
      <c r="H12279" s="4" t="n">
        <v>4</v>
      </c>
      <c r="I12279" s="4" t="str">
        <v>×</v>
      </c>
      <c r="J12279" s="4"/>
      <c r="K12279" s="4"/>
      <c r="L12279" s="4"/>
      <c r="M12279" s="7" t="s">
        <v>6503</v>
      </c>
    </row>
    <row r="12280" customFormat="false" ht="15.75" hidden="false" customHeight="false" outlineLevel="0" collapsed="false">
      <c r="A12280" s="6" t="n">
        <f aca="false">DATE(2026,8,22)</f>
        <v>46256</v>
      </c>
      <c r="B12280" s="4" t="s">
        <v>179</v>
      </c>
      <c r="C12280" s="4" t="n">
        <v>1</v>
      </c>
      <c r="D12280" s="4" t="n">
        <v>9</v>
      </c>
      <c r="E12280" s="4"/>
      <c r="F12280" s="4" t="n">
        <v>6</v>
      </c>
      <c r="G12280" s="4" t="n">
        <v>7</v>
      </c>
      <c r="H12280" s="4" t="n">
        <v>4</v>
      </c>
      <c r="I12280" s="4" t="str">
        <v>×</v>
      </c>
      <c r="J12280" s="4"/>
      <c r="K12280" s="4"/>
      <c r="L12280" s="4"/>
      <c r="M12280" s="7" t="s">
        <v>6503</v>
      </c>
    </row>
    <row r="12281" customFormat="false" ht="15.75" hidden="false" customHeight="false" outlineLevel="0" collapsed="false">
      <c r="A12281" s="6" t="n">
        <f aca="false">DATE(2026,8,22)</f>
        <v>46256</v>
      </c>
      <c r="B12281" s="4" t="s">
        <v>179</v>
      </c>
      <c r="C12281" s="4" t="n">
        <v>2</v>
      </c>
      <c r="D12281" s="4" t="n">
        <v>1</v>
      </c>
      <c r="E12281" s="4"/>
      <c r="F12281" s="4" t="n">
        <v>31</v>
      </c>
      <c r="G12281" s="4" t="n">
        <v>5</v>
      </c>
      <c r="H12281" s="4" t="n">
        <v>4</v>
      </c>
      <c r="I12281" s="4" t="str">
        <v>×</v>
      </c>
      <c r="J12281" s="4"/>
      <c r="K12281" s="4"/>
      <c r="L12281" s="4"/>
      <c r="M12281" s="7" t="s">
        <v>6503</v>
      </c>
    </row>
    <row r="12282" customFormat="false" ht="15.75" hidden="false" customHeight="false" outlineLevel="0" collapsed="false">
      <c r="A12282" s="6" t="n">
        <f aca="false">DATE(2026,8,22)</f>
        <v>46256</v>
      </c>
      <c r="B12282" s="4" t="s">
        <v>179</v>
      </c>
      <c r="C12282" s="4" t="n">
        <v>2</v>
      </c>
      <c r="D12282" s="4" t="n">
        <v>2</v>
      </c>
      <c r="E12282" s="4" t="s">
        <v>6515</v>
      </c>
      <c r="F12282" s="4" t="n">
        <v>31</v>
      </c>
      <c r="G12282" s="4" t="n">
        <v>5</v>
      </c>
      <c r="H12282" s="4" t="n">
        <v>3</v>
      </c>
      <c r="I12282" s="4" t="str">
        <v>○</v>
      </c>
      <c r="J12282" s="4" t="n">
        <v>110</v>
      </c>
      <c r="K12282" s="4"/>
      <c r="L12282" s="4"/>
      <c r="M12282" s="7" t="s">
        <v>6503</v>
      </c>
    </row>
    <row r="12283" customFormat="false" ht="15.75" hidden="false" customHeight="false" outlineLevel="0" collapsed="false">
      <c r="A12283" s="6" t="n">
        <f aca="false">DATE(2026,8,22)</f>
        <v>46256</v>
      </c>
      <c r="B12283" s="4" t="s">
        <v>179</v>
      </c>
      <c r="C12283" s="4" t="n">
        <v>2</v>
      </c>
      <c r="D12283" s="4" t="n">
        <v>3</v>
      </c>
      <c r="E12283" s="4"/>
      <c r="F12283" s="4" t="n">
        <v>37</v>
      </c>
      <c r="G12283" s="4" t="n">
        <v>1</v>
      </c>
      <c r="H12283" s="4" t="n">
        <v>4</v>
      </c>
      <c r="I12283" s="4" t="str">
        <v>×</v>
      </c>
      <c r="J12283" s="4"/>
      <c r="K12283" s="4"/>
      <c r="L12283" s="4"/>
      <c r="M12283" s="7" t="s">
        <v>6503</v>
      </c>
    </row>
    <row r="12284" customFormat="false" ht="15.75" hidden="false" customHeight="false" outlineLevel="0" collapsed="false">
      <c r="A12284" s="6" t="n">
        <f aca="false">DATE(2026,8,22)</f>
        <v>46256</v>
      </c>
      <c r="B12284" s="4" t="s">
        <v>179</v>
      </c>
      <c r="C12284" s="4" t="n">
        <v>2</v>
      </c>
      <c r="D12284" s="4" t="n">
        <v>4</v>
      </c>
      <c r="E12284" s="4"/>
      <c r="F12284" s="4" t="n">
        <v>8</v>
      </c>
      <c r="G12284" s="4" t="n">
        <v>10</v>
      </c>
      <c r="H12284" s="4" t="n">
        <v>4</v>
      </c>
      <c r="I12284" s="4" t="str">
        <v>×</v>
      </c>
      <c r="J12284" s="4"/>
      <c r="K12284" s="4"/>
      <c r="L12284" s="4"/>
      <c r="M12284" s="7" t="s">
        <v>6503</v>
      </c>
    </row>
    <row r="12285" customFormat="false" ht="15.75" hidden="false" customHeight="false" outlineLevel="0" collapsed="false">
      <c r="A12285" s="6" t="n">
        <f aca="false">DATE(2026,8,22)</f>
        <v>46256</v>
      </c>
      <c r="B12285" s="4" t="s">
        <v>179</v>
      </c>
      <c r="C12285" s="4" t="n">
        <v>2</v>
      </c>
      <c r="D12285" s="4" t="n">
        <v>5</v>
      </c>
      <c r="E12285" s="4" t="s">
        <v>6516</v>
      </c>
      <c r="F12285" s="4" t="n">
        <v>31</v>
      </c>
      <c r="G12285" s="4" t="n">
        <v>5</v>
      </c>
      <c r="H12285" s="4" t="n">
        <v>2</v>
      </c>
      <c r="I12285" s="4" t="str">
        <v>○</v>
      </c>
      <c r="J12285" s="4" t="n">
        <v>610</v>
      </c>
      <c r="K12285" s="4"/>
      <c r="L12285" s="4"/>
      <c r="M12285" s="7" t="s">
        <v>6503</v>
      </c>
    </row>
    <row r="12286" customFormat="false" ht="15.75" hidden="false" customHeight="false" outlineLevel="0" collapsed="false">
      <c r="A12286" s="6" t="n">
        <f aca="false">DATE(2026,8,22)</f>
        <v>46256</v>
      </c>
      <c r="B12286" s="4" t="s">
        <v>179</v>
      </c>
      <c r="C12286" s="4" t="n">
        <v>2</v>
      </c>
      <c r="D12286" s="4" t="n">
        <v>6</v>
      </c>
      <c r="E12286" s="4"/>
      <c r="F12286" s="4" t="n">
        <v>37</v>
      </c>
      <c r="G12286" s="4" t="n">
        <v>1</v>
      </c>
      <c r="H12286" s="4" t="n">
        <v>4</v>
      </c>
      <c r="I12286" s="4" t="str">
        <v>×</v>
      </c>
      <c r="J12286" s="4"/>
      <c r="K12286" s="4"/>
      <c r="L12286" s="4"/>
      <c r="M12286" s="7" t="s">
        <v>6503</v>
      </c>
    </row>
    <row r="12287" customFormat="false" ht="15.75" hidden="false" customHeight="false" outlineLevel="0" collapsed="false">
      <c r="A12287" s="6" t="n">
        <f aca="false">DATE(2026,8,22)</f>
        <v>46256</v>
      </c>
      <c r="B12287" s="4" t="s">
        <v>179</v>
      </c>
      <c r="C12287" s="4" t="n">
        <v>2</v>
      </c>
      <c r="D12287" s="4" t="n">
        <v>7</v>
      </c>
      <c r="E12287" s="4"/>
      <c r="F12287" s="4" t="n">
        <v>31</v>
      </c>
      <c r="G12287" s="4" t="n">
        <v>5</v>
      </c>
      <c r="H12287" s="4" t="n">
        <v>4</v>
      </c>
      <c r="I12287" s="4" t="str">
        <v>×</v>
      </c>
      <c r="J12287" s="4"/>
      <c r="K12287" s="4"/>
      <c r="L12287" s="4"/>
      <c r="M12287" s="7" t="s">
        <v>6503</v>
      </c>
    </row>
    <row r="12288" customFormat="false" ht="15.75" hidden="false" customHeight="false" outlineLevel="0" collapsed="false">
      <c r="A12288" s="6" t="n">
        <f aca="false">DATE(2026,8,22)</f>
        <v>46256</v>
      </c>
      <c r="B12288" s="4" t="s">
        <v>179</v>
      </c>
      <c r="C12288" s="4" t="n">
        <v>2</v>
      </c>
      <c r="D12288" s="4" t="n">
        <v>8</v>
      </c>
      <c r="E12288" s="4"/>
      <c r="F12288" s="4" t="n">
        <v>37</v>
      </c>
      <c r="G12288" s="4" t="n">
        <v>1</v>
      </c>
      <c r="H12288" s="4" t="n">
        <v>4</v>
      </c>
      <c r="I12288" s="4" t="str">
        <v>×</v>
      </c>
      <c r="J12288" s="4"/>
      <c r="K12288" s="4"/>
      <c r="L12288" s="4"/>
      <c r="M12288" s="7" t="s">
        <v>6503</v>
      </c>
    </row>
    <row r="12289" customFormat="false" ht="15.75" hidden="false" customHeight="false" outlineLevel="0" collapsed="false">
      <c r="A12289" s="6" t="n">
        <f aca="false">DATE(2026,8,22)</f>
        <v>46256</v>
      </c>
      <c r="B12289" s="4" t="s">
        <v>179</v>
      </c>
      <c r="C12289" s="4" t="n">
        <v>2</v>
      </c>
      <c r="D12289" s="4" t="n">
        <v>9</v>
      </c>
      <c r="E12289" s="4" t="s">
        <v>6517</v>
      </c>
      <c r="F12289" s="4" t="n">
        <v>31</v>
      </c>
      <c r="G12289" s="4" t="n">
        <v>5</v>
      </c>
      <c r="H12289" s="4" t="n">
        <v>1</v>
      </c>
      <c r="I12289" s="4" t="str">
        <v>○</v>
      </c>
      <c r="J12289" s="4" t="n">
        <v>220</v>
      </c>
      <c r="K12289" s="4"/>
      <c r="L12289" s="4"/>
      <c r="M12289" s="7" t="s">
        <v>6503</v>
      </c>
    </row>
    <row r="12290" customFormat="false" ht="15.75" hidden="false" customHeight="false" outlineLevel="0" collapsed="false">
      <c r="A12290" s="6" t="n">
        <f aca="false">DATE(2026,8,22)</f>
        <v>46256</v>
      </c>
      <c r="B12290" s="4" t="s">
        <v>179</v>
      </c>
      <c r="C12290" s="4" t="n">
        <v>2</v>
      </c>
      <c r="D12290" s="4" t="n">
        <v>10</v>
      </c>
      <c r="E12290" s="4"/>
      <c r="F12290" s="4" t="n">
        <v>37</v>
      </c>
      <c r="G12290" s="4" t="n">
        <v>1</v>
      </c>
      <c r="H12290" s="4" t="n">
        <v>4</v>
      </c>
      <c r="I12290" s="4" t="str">
        <v>×</v>
      </c>
      <c r="J12290" s="4"/>
      <c r="K12290" s="4"/>
      <c r="L12290" s="4"/>
      <c r="M12290" s="7" t="s">
        <v>6503</v>
      </c>
    </row>
    <row r="12291" customFormat="false" ht="15.75" hidden="false" customHeight="false" outlineLevel="0" collapsed="false">
      <c r="A12291" s="6" t="n">
        <f aca="false">DATE(2026,8,22)</f>
        <v>46256</v>
      </c>
      <c r="B12291" s="4" t="s">
        <v>179</v>
      </c>
      <c r="C12291" s="4" t="n">
        <v>3</v>
      </c>
      <c r="D12291" s="4" t="n">
        <v>1</v>
      </c>
      <c r="E12291" s="4"/>
      <c r="F12291" s="4" t="n">
        <v>6</v>
      </c>
      <c r="G12291" s="4" t="n">
        <v>8</v>
      </c>
      <c r="H12291" s="4" t="n">
        <v>4</v>
      </c>
      <c r="I12291" s="4" t="str">
        <v>×</v>
      </c>
      <c r="J12291" s="4"/>
      <c r="K12291" s="4"/>
      <c r="L12291" s="4"/>
      <c r="M12291" s="7" t="s">
        <v>6503</v>
      </c>
    </row>
    <row r="12292" customFormat="false" ht="15.75" hidden="false" customHeight="false" outlineLevel="0" collapsed="false">
      <c r="A12292" s="6" t="n">
        <f aca="false">DATE(2026,8,22)</f>
        <v>46256</v>
      </c>
      <c r="B12292" s="4" t="s">
        <v>179</v>
      </c>
      <c r="C12292" s="4" t="n">
        <v>3</v>
      </c>
      <c r="D12292" s="4" t="n">
        <v>2</v>
      </c>
      <c r="E12292" s="4" t="s">
        <v>5406</v>
      </c>
      <c r="F12292" s="4" t="n">
        <v>37</v>
      </c>
      <c r="G12292" s="4" t="n">
        <v>3</v>
      </c>
      <c r="H12292" s="4" t="n">
        <v>2</v>
      </c>
      <c r="I12292" s="4" t="str">
        <v>○</v>
      </c>
      <c r="J12292" s="4" t="n">
        <v>460</v>
      </c>
      <c r="K12292" s="4"/>
      <c r="L12292" s="4"/>
      <c r="M12292" s="7" t="s">
        <v>6503</v>
      </c>
    </row>
    <row r="12293" customFormat="false" ht="15.75" hidden="false" customHeight="false" outlineLevel="0" collapsed="false">
      <c r="A12293" s="6" t="n">
        <f aca="false">DATE(2026,8,22)</f>
        <v>46256</v>
      </c>
      <c r="B12293" s="4" t="s">
        <v>179</v>
      </c>
      <c r="C12293" s="4" t="n">
        <v>3</v>
      </c>
      <c r="D12293" s="4" t="n">
        <v>3</v>
      </c>
      <c r="E12293" s="4" t="s">
        <v>4827</v>
      </c>
      <c r="F12293" s="4" t="n">
        <v>52</v>
      </c>
      <c r="G12293" s="4" t="n">
        <v>2</v>
      </c>
      <c r="H12293" s="4" t="n">
        <v>3</v>
      </c>
      <c r="I12293" s="4" t="str">
        <v>○</v>
      </c>
      <c r="J12293" s="4" t="n">
        <v>570</v>
      </c>
      <c r="K12293" s="4"/>
      <c r="L12293" s="4"/>
      <c r="M12293" s="7" t="s">
        <v>6503</v>
      </c>
    </row>
    <row r="12294" customFormat="false" ht="15.75" hidden="false" customHeight="false" outlineLevel="0" collapsed="false">
      <c r="A12294" s="6" t="n">
        <f aca="false">DATE(2026,8,22)</f>
        <v>46256</v>
      </c>
      <c r="B12294" s="4" t="s">
        <v>179</v>
      </c>
      <c r="C12294" s="4" t="n">
        <v>3</v>
      </c>
      <c r="D12294" s="4" t="n">
        <v>4</v>
      </c>
      <c r="E12294" s="4"/>
      <c r="F12294" s="4" t="n">
        <v>17</v>
      </c>
      <c r="G12294" s="4" t="n">
        <v>6</v>
      </c>
      <c r="H12294" s="4" t="n">
        <v>4</v>
      </c>
      <c r="I12294" s="4" t="str">
        <v>×</v>
      </c>
      <c r="J12294" s="4"/>
      <c r="K12294" s="4"/>
      <c r="L12294" s="4"/>
      <c r="M12294" s="7" t="s">
        <v>6503</v>
      </c>
    </row>
    <row r="12295" customFormat="false" ht="15.75" hidden="false" customHeight="false" outlineLevel="0" collapsed="false">
      <c r="A12295" s="6" t="n">
        <f aca="false">DATE(2026,8,22)</f>
        <v>46256</v>
      </c>
      <c r="B12295" s="4" t="s">
        <v>179</v>
      </c>
      <c r="C12295" s="4" t="n">
        <v>3</v>
      </c>
      <c r="D12295" s="4" t="n">
        <v>5</v>
      </c>
      <c r="E12295" s="4"/>
      <c r="F12295" s="4" t="n">
        <v>37</v>
      </c>
      <c r="G12295" s="4" t="n">
        <v>3</v>
      </c>
      <c r="H12295" s="4" t="n">
        <v>4</v>
      </c>
      <c r="I12295" s="4" t="str">
        <v>×</v>
      </c>
      <c r="J12295" s="4"/>
      <c r="K12295" s="4"/>
      <c r="L12295" s="4"/>
      <c r="M12295" s="7" t="s">
        <v>6503</v>
      </c>
    </row>
    <row r="12296" customFormat="false" ht="15.75" hidden="false" customHeight="false" outlineLevel="0" collapsed="false">
      <c r="A12296" s="6" t="n">
        <f aca="false">DATE(2026,8,22)</f>
        <v>46256</v>
      </c>
      <c r="B12296" s="4" t="s">
        <v>179</v>
      </c>
      <c r="C12296" s="4" t="n">
        <v>3</v>
      </c>
      <c r="D12296" s="4" t="n">
        <v>6</v>
      </c>
      <c r="E12296" s="4" t="s">
        <v>3968</v>
      </c>
      <c r="F12296" s="4" t="n">
        <v>31</v>
      </c>
      <c r="G12296" s="4" t="n">
        <v>5</v>
      </c>
      <c r="H12296" s="4" t="n">
        <v>1</v>
      </c>
      <c r="I12296" s="4" t="str">
        <v>○</v>
      </c>
      <c r="J12296" s="4" t="n">
        <v>350</v>
      </c>
      <c r="K12296" s="4"/>
      <c r="L12296" s="4"/>
      <c r="M12296" s="7" t="s">
        <v>6503</v>
      </c>
    </row>
    <row r="12297" customFormat="false" ht="15.75" hidden="false" customHeight="false" outlineLevel="0" collapsed="false">
      <c r="A12297" s="6" t="n">
        <f aca="false">DATE(2026,8,22)</f>
        <v>46256</v>
      </c>
      <c r="B12297" s="4" t="s">
        <v>179</v>
      </c>
      <c r="C12297" s="4" t="n">
        <v>3</v>
      </c>
      <c r="D12297" s="4" t="n">
        <v>7</v>
      </c>
      <c r="E12297" s="4"/>
      <c r="F12297" s="4" t="n">
        <v>81</v>
      </c>
      <c r="G12297" s="4" t="n">
        <v>1</v>
      </c>
      <c r="H12297" s="4" t="n">
        <v>4</v>
      </c>
      <c r="I12297" s="4" t="str">
        <v>×</v>
      </c>
      <c r="J12297" s="4"/>
      <c r="K12297" s="4"/>
      <c r="L12297" s="4"/>
      <c r="M12297" s="7" t="s">
        <v>6503</v>
      </c>
    </row>
    <row r="12298" customFormat="false" ht="15.75" hidden="false" customHeight="false" outlineLevel="0" collapsed="false">
      <c r="A12298" s="6" t="n">
        <f aca="false">DATE(2026,8,22)</f>
        <v>46256</v>
      </c>
      <c r="B12298" s="4" t="s">
        <v>179</v>
      </c>
      <c r="C12298" s="4" t="n">
        <v>3</v>
      </c>
      <c r="D12298" s="4" t="n">
        <v>8</v>
      </c>
      <c r="E12298" s="4"/>
      <c r="F12298" s="4" t="n">
        <v>10</v>
      </c>
      <c r="G12298" s="4" t="n">
        <v>7</v>
      </c>
      <c r="H12298" s="4" t="n">
        <v>4</v>
      </c>
      <c r="I12298" s="4" t="str">
        <v>×</v>
      </c>
      <c r="J12298" s="4"/>
      <c r="K12298" s="4"/>
      <c r="L12298" s="4"/>
      <c r="M12298" s="7" t="s">
        <v>6503</v>
      </c>
    </row>
    <row r="12299" customFormat="false" ht="15.75" hidden="false" customHeight="false" outlineLevel="0" collapsed="false">
      <c r="A12299" s="6" t="n">
        <f aca="false">DATE(2026,8,22)</f>
        <v>46256</v>
      </c>
      <c r="B12299" s="4" t="s">
        <v>179</v>
      </c>
      <c r="C12299" s="4" t="n">
        <v>4</v>
      </c>
      <c r="D12299" s="4" t="n">
        <v>1</v>
      </c>
      <c r="E12299" s="4"/>
      <c r="F12299" s="4" t="n">
        <v>31</v>
      </c>
      <c r="G12299" s="4" t="n">
        <v>3</v>
      </c>
      <c r="H12299" s="4" t="n">
        <v>4</v>
      </c>
      <c r="I12299" s="4" t="str">
        <v>×</v>
      </c>
      <c r="J12299" s="4"/>
      <c r="K12299" s="4"/>
      <c r="L12299" s="4"/>
      <c r="M12299" s="7" t="s">
        <v>6503</v>
      </c>
    </row>
    <row r="12300" customFormat="false" ht="15.75" hidden="false" customHeight="false" outlineLevel="0" collapsed="false">
      <c r="A12300" s="6" t="n">
        <f aca="false">DATE(2026,8,22)</f>
        <v>46256</v>
      </c>
      <c r="B12300" s="4" t="s">
        <v>179</v>
      </c>
      <c r="C12300" s="4" t="n">
        <v>4</v>
      </c>
      <c r="D12300" s="4" t="n">
        <v>2</v>
      </c>
      <c r="E12300" s="4"/>
      <c r="F12300" s="4" t="n">
        <v>6</v>
      </c>
      <c r="G12300" s="4" t="n">
        <v>12</v>
      </c>
      <c r="H12300" s="4" t="n">
        <v>4</v>
      </c>
      <c r="I12300" s="4" t="str">
        <v>×</v>
      </c>
      <c r="J12300" s="4"/>
      <c r="K12300" s="4"/>
      <c r="L12300" s="4"/>
      <c r="M12300" s="7" t="s">
        <v>6503</v>
      </c>
    </row>
    <row r="12301" customFormat="false" ht="15.75" hidden="false" customHeight="false" outlineLevel="0" collapsed="false">
      <c r="A12301" s="6" t="n">
        <f aca="false">DATE(2026,8,22)</f>
        <v>46256</v>
      </c>
      <c r="B12301" s="4" t="s">
        <v>179</v>
      </c>
      <c r="C12301" s="4" t="n">
        <v>4</v>
      </c>
      <c r="D12301" s="4" t="n">
        <v>3</v>
      </c>
      <c r="E12301" s="4" t="s">
        <v>3890</v>
      </c>
      <c r="F12301" s="4" t="n">
        <v>17</v>
      </c>
      <c r="G12301" s="4" t="n">
        <v>7</v>
      </c>
      <c r="H12301" s="4" t="n">
        <v>3</v>
      </c>
      <c r="I12301" s="4" t="str">
        <v>○</v>
      </c>
      <c r="J12301" s="4" t="n">
        <v>520</v>
      </c>
      <c r="K12301" s="4"/>
      <c r="L12301" s="4"/>
      <c r="M12301" s="7" t="s">
        <v>6503</v>
      </c>
    </row>
    <row r="12302" customFormat="false" ht="15.75" hidden="false" customHeight="false" outlineLevel="0" collapsed="false">
      <c r="A12302" s="6" t="n">
        <f aca="false">DATE(2026,8,22)</f>
        <v>46256</v>
      </c>
      <c r="B12302" s="4" t="s">
        <v>179</v>
      </c>
      <c r="C12302" s="4" t="n">
        <v>4</v>
      </c>
      <c r="D12302" s="4" t="n">
        <v>4</v>
      </c>
      <c r="E12302" s="4"/>
      <c r="F12302" s="4" t="n">
        <v>23</v>
      </c>
      <c r="G12302" s="4" t="n">
        <v>4</v>
      </c>
      <c r="H12302" s="4" t="n">
        <v>4</v>
      </c>
      <c r="I12302" s="4" t="str">
        <v>×</v>
      </c>
      <c r="J12302" s="4"/>
      <c r="K12302" s="4"/>
      <c r="L12302" s="4"/>
      <c r="M12302" s="7" t="s">
        <v>6503</v>
      </c>
    </row>
    <row r="12303" customFormat="false" ht="15.75" hidden="false" customHeight="false" outlineLevel="0" collapsed="false">
      <c r="A12303" s="6" t="n">
        <f aca="false">DATE(2026,8,22)</f>
        <v>46256</v>
      </c>
      <c r="B12303" s="4" t="s">
        <v>179</v>
      </c>
      <c r="C12303" s="4" t="n">
        <v>4</v>
      </c>
      <c r="D12303" s="4" t="n">
        <v>5</v>
      </c>
      <c r="E12303" s="4"/>
      <c r="F12303" s="4" t="n">
        <v>4</v>
      </c>
      <c r="G12303" s="4" t="n">
        <v>14</v>
      </c>
      <c r="H12303" s="4" t="n">
        <v>4</v>
      </c>
      <c r="I12303" s="4" t="str">
        <v>×</v>
      </c>
      <c r="J12303" s="4"/>
      <c r="K12303" s="4"/>
      <c r="L12303" s="4"/>
      <c r="M12303" s="7" t="s">
        <v>6503</v>
      </c>
    </row>
    <row r="12304" customFormat="false" ht="15.75" hidden="false" customHeight="false" outlineLevel="0" collapsed="false">
      <c r="A12304" s="6" t="n">
        <f aca="false">DATE(2026,8,22)</f>
        <v>46256</v>
      </c>
      <c r="B12304" s="4" t="s">
        <v>179</v>
      </c>
      <c r="C12304" s="4" t="n">
        <v>4</v>
      </c>
      <c r="D12304" s="4" t="n">
        <v>6</v>
      </c>
      <c r="E12304" s="4"/>
      <c r="F12304" s="4" t="n">
        <v>10</v>
      </c>
      <c r="G12304" s="4" t="n">
        <v>9</v>
      </c>
      <c r="H12304" s="4" t="n">
        <v>4</v>
      </c>
      <c r="I12304" s="4" t="str">
        <v>×</v>
      </c>
      <c r="J12304" s="4"/>
      <c r="K12304" s="4"/>
      <c r="L12304" s="4"/>
      <c r="M12304" s="7" t="s">
        <v>6503</v>
      </c>
    </row>
    <row r="12305" customFormat="false" ht="15.75" hidden="false" customHeight="false" outlineLevel="0" collapsed="false">
      <c r="A12305" s="6" t="n">
        <f aca="false">DATE(2026,8,22)</f>
        <v>46256</v>
      </c>
      <c r="B12305" s="4" t="s">
        <v>179</v>
      </c>
      <c r="C12305" s="4" t="n">
        <v>4</v>
      </c>
      <c r="D12305" s="4" t="n">
        <v>7</v>
      </c>
      <c r="E12305" s="4"/>
      <c r="F12305" s="4" t="n">
        <v>2</v>
      </c>
      <c r="G12305" s="4" t="n">
        <v>16</v>
      </c>
      <c r="H12305" s="4" t="n">
        <v>4</v>
      </c>
      <c r="I12305" s="4" t="str">
        <v>×</v>
      </c>
      <c r="J12305" s="4"/>
      <c r="K12305" s="4"/>
      <c r="L12305" s="4"/>
      <c r="M12305" s="7" t="s">
        <v>6503</v>
      </c>
    </row>
    <row r="12306" customFormat="false" ht="15.75" hidden="false" customHeight="false" outlineLevel="0" collapsed="false">
      <c r="A12306" s="6" t="n">
        <f aca="false">DATE(2026,8,22)</f>
        <v>46256</v>
      </c>
      <c r="B12306" s="4" t="s">
        <v>179</v>
      </c>
      <c r="C12306" s="4" t="n">
        <v>4</v>
      </c>
      <c r="D12306" s="4" t="n">
        <v>8</v>
      </c>
      <c r="E12306" s="4"/>
      <c r="F12306" s="4" t="n">
        <v>8</v>
      </c>
      <c r="G12306" s="4" t="n">
        <v>11</v>
      </c>
      <c r="H12306" s="4" t="n">
        <v>4</v>
      </c>
      <c r="I12306" s="4" t="str">
        <v>×</v>
      </c>
      <c r="J12306" s="4"/>
      <c r="K12306" s="4"/>
      <c r="L12306" s="4"/>
      <c r="M12306" s="7" t="s">
        <v>6503</v>
      </c>
    </row>
    <row r="12307" customFormat="false" ht="15.75" hidden="false" customHeight="false" outlineLevel="0" collapsed="false">
      <c r="A12307" s="6" t="n">
        <f aca="false">DATE(2026,8,22)</f>
        <v>46256</v>
      </c>
      <c r="B12307" s="4" t="s">
        <v>179</v>
      </c>
      <c r="C12307" s="4" t="n">
        <v>4</v>
      </c>
      <c r="D12307" s="4" t="n">
        <v>9</v>
      </c>
      <c r="E12307" s="4" t="s">
        <v>324</v>
      </c>
      <c r="F12307" s="4" t="n">
        <v>20</v>
      </c>
      <c r="G12307" s="4" t="n">
        <v>6</v>
      </c>
      <c r="H12307" s="4" t="n">
        <v>1</v>
      </c>
      <c r="I12307" s="4" t="str">
        <v>○</v>
      </c>
      <c r="J12307" s="4" t="n">
        <v>270</v>
      </c>
      <c r="K12307" s="4"/>
      <c r="L12307" s="4"/>
      <c r="M12307" s="7" t="s">
        <v>6503</v>
      </c>
    </row>
    <row r="12308" customFormat="false" ht="15.75" hidden="false" customHeight="false" outlineLevel="0" collapsed="false">
      <c r="A12308" s="6" t="n">
        <f aca="false">DATE(2026,8,22)</f>
        <v>46256</v>
      </c>
      <c r="B12308" s="4" t="s">
        <v>179</v>
      </c>
      <c r="C12308" s="4" t="n">
        <v>4</v>
      </c>
      <c r="D12308" s="4" t="n">
        <v>10</v>
      </c>
      <c r="E12308" s="4"/>
      <c r="F12308" s="4" t="n">
        <v>2</v>
      </c>
      <c r="G12308" s="4" t="n">
        <v>16</v>
      </c>
      <c r="H12308" s="4" t="n">
        <v>4</v>
      </c>
      <c r="I12308" s="4" t="str">
        <v>×</v>
      </c>
      <c r="J12308" s="4"/>
      <c r="K12308" s="4"/>
      <c r="L12308" s="4"/>
      <c r="M12308" s="7" t="s">
        <v>6503</v>
      </c>
    </row>
    <row r="12309" customFormat="false" ht="15.75" hidden="false" customHeight="false" outlineLevel="0" collapsed="false">
      <c r="A12309" s="6" t="n">
        <f aca="false">DATE(2026,8,22)</f>
        <v>46256</v>
      </c>
      <c r="B12309" s="4" t="s">
        <v>179</v>
      </c>
      <c r="C12309" s="4" t="n">
        <v>4</v>
      </c>
      <c r="D12309" s="4" t="n">
        <v>11</v>
      </c>
      <c r="E12309" s="4"/>
      <c r="F12309" s="4" t="n">
        <v>1</v>
      </c>
      <c r="G12309" s="4" t="n">
        <v>18</v>
      </c>
      <c r="H12309" s="4" t="n">
        <v>4</v>
      </c>
      <c r="I12309" s="4" t="str">
        <v>×</v>
      </c>
      <c r="J12309" s="4"/>
      <c r="K12309" s="4"/>
      <c r="L12309" s="4"/>
      <c r="M12309" s="7" t="s">
        <v>6503</v>
      </c>
    </row>
    <row r="12310" customFormat="false" ht="15.75" hidden="false" customHeight="false" outlineLevel="0" collapsed="false">
      <c r="A12310" s="6" t="n">
        <f aca="false">DATE(2026,8,22)</f>
        <v>46256</v>
      </c>
      <c r="B12310" s="4" t="s">
        <v>179</v>
      </c>
      <c r="C12310" s="4" t="n">
        <v>4</v>
      </c>
      <c r="D12310" s="4" t="n">
        <v>12</v>
      </c>
      <c r="E12310" s="4" t="s">
        <v>3888</v>
      </c>
      <c r="F12310" s="4" t="n">
        <v>23</v>
      </c>
      <c r="G12310" s="4" t="n">
        <v>4</v>
      </c>
      <c r="H12310" s="4" t="n">
        <v>2</v>
      </c>
      <c r="I12310" s="4" t="str">
        <v>○</v>
      </c>
      <c r="J12310" s="4" t="n">
        <v>370</v>
      </c>
      <c r="K12310" s="4"/>
      <c r="L12310" s="4"/>
      <c r="M12310" s="7" t="s">
        <v>6503</v>
      </c>
    </row>
    <row r="12311" customFormat="false" ht="15.75" hidden="false" customHeight="false" outlineLevel="0" collapsed="false">
      <c r="A12311" s="6" t="n">
        <f aca="false">DATE(2026,8,22)</f>
        <v>46256</v>
      </c>
      <c r="B12311" s="4" t="s">
        <v>179</v>
      </c>
      <c r="C12311" s="4" t="n">
        <v>4</v>
      </c>
      <c r="D12311" s="4" t="n">
        <v>13</v>
      </c>
      <c r="E12311" s="4"/>
      <c r="F12311" s="4" t="n">
        <v>6</v>
      </c>
      <c r="G12311" s="4" t="n">
        <v>12</v>
      </c>
      <c r="H12311" s="4" t="n">
        <v>4</v>
      </c>
      <c r="I12311" s="4" t="str">
        <v>×</v>
      </c>
      <c r="J12311" s="4"/>
      <c r="K12311" s="4"/>
      <c r="L12311" s="4"/>
      <c r="M12311" s="7" t="s">
        <v>6503</v>
      </c>
    </row>
    <row r="12312" customFormat="false" ht="15.75" hidden="false" customHeight="false" outlineLevel="0" collapsed="false">
      <c r="A12312" s="6" t="n">
        <f aca="false">DATE(2026,8,22)</f>
        <v>46256</v>
      </c>
      <c r="B12312" s="4" t="s">
        <v>179</v>
      </c>
      <c r="C12312" s="4" t="n">
        <v>4</v>
      </c>
      <c r="D12312" s="4" t="n">
        <v>14</v>
      </c>
      <c r="E12312" s="4"/>
      <c r="F12312" s="4" t="n">
        <v>10</v>
      </c>
      <c r="G12312" s="4" t="n">
        <v>9</v>
      </c>
      <c r="H12312" s="4" t="n">
        <v>4</v>
      </c>
      <c r="I12312" s="4" t="str">
        <v>×</v>
      </c>
      <c r="J12312" s="4"/>
      <c r="K12312" s="4"/>
      <c r="L12312" s="4"/>
      <c r="M12312" s="7" t="s">
        <v>6503</v>
      </c>
    </row>
    <row r="12313" customFormat="false" ht="15.75" hidden="false" customHeight="false" outlineLevel="0" collapsed="false">
      <c r="A12313" s="6" t="n">
        <f aca="false">DATE(2026,8,22)</f>
        <v>46256</v>
      </c>
      <c r="B12313" s="4" t="s">
        <v>179</v>
      </c>
      <c r="C12313" s="4" t="n">
        <v>4</v>
      </c>
      <c r="D12313" s="4" t="n">
        <v>15</v>
      </c>
      <c r="E12313" s="4"/>
      <c r="F12313" s="4" t="n">
        <v>41</v>
      </c>
      <c r="G12313" s="4" t="n">
        <v>2</v>
      </c>
      <c r="H12313" s="4" t="n">
        <v>4</v>
      </c>
      <c r="I12313" s="4" t="str">
        <v>×</v>
      </c>
      <c r="J12313" s="4"/>
      <c r="K12313" s="4"/>
      <c r="L12313" s="4"/>
      <c r="M12313" s="7" t="s">
        <v>6503</v>
      </c>
    </row>
    <row r="12314" customFormat="false" ht="15.75" hidden="false" customHeight="false" outlineLevel="0" collapsed="false">
      <c r="A12314" s="6" t="n">
        <f aca="false">DATE(2026,8,22)</f>
        <v>46256</v>
      </c>
      <c r="B12314" s="4" t="s">
        <v>179</v>
      </c>
      <c r="C12314" s="4" t="n">
        <v>4</v>
      </c>
      <c r="D12314" s="4" t="n">
        <v>16</v>
      </c>
      <c r="E12314" s="4"/>
      <c r="F12314" s="4" t="n">
        <v>3</v>
      </c>
      <c r="G12314" s="4" t="n">
        <v>15</v>
      </c>
      <c r="H12314" s="4" t="n">
        <v>4</v>
      </c>
      <c r="I12314" s="4" t="str">
        <v>×</v>
      </c>
      <c r="J12314" s="4"/>
      <c r="K12314" s="4"/>
      <c r="L12314" s="4"/>
      <c r="M12314" s="7" t="s">
        <v>6503</v>
      </c>
    </row>
    <row r="12315" customFormat="false" ht="15.75" hidden="false" customHeight="false" outlineLevel="0" collapsed="false">
      <c r="A12315" s="6" t="n">
        <f aca="false">DATE(2026,8,22)</f>
        <v>46256</v>
      </c>
      <c r="B12315" s="4" t="s">
        <v>179</v>
      </c>
      <c r="C12315" s="4" t="n">
        <v>4</v>
      </c>
      <c r="D12315" s="4" t="n">
        <v>17</v>
      </c>
      <c r="E12315" s="4"/>
      <c r="F12315" s="4" t="n">
        <v>47</v>
      </c>
      <c r="G12315" s="4" t="n">
        <v>1</v>
      </c>
      <c r="H12315" s="4" t="n">
        <v>4</v>
      </c>
      <c r="I12315" s="4" t="str">
        <v>×</v>
      </c>
      <c r="J12315" s="4"/>
      <c r="K12315" s="4"/>
      <c r="L12315" s="4"/>
      <c r="M12315" s="7" t="s">
        <v>6503</v>
      </c>
    </row>
    <row r="12316" customFormat="false" ht="15.75" hidden="false" customHeight="false" outlineLevel="0" collapsed="false">
      <c r="A12316" s="6" t="n">
        <f aca="false">DATE(2026,8,22)</f>
        <v>46256</v>
      </c>
      <c r="B12316" s="4" t="s">
        <v>179</v>
      </c>
      <c r="C12316" s="4" t="n">
        <v>4</v>
      </c>
      <c r="D12316" s="4" t="n">
        <v>18</v>
      </c>
      <c r="E12316" s="4"/>
      <c r="F12316" s="4" t="n">
        <v>15</v>
      </c>
      <c r="G12316" s="4" t="n">
        <v>8</v>
      </c>
      <c r="H12316" s="4" t="n">
        <v>4</v>
      </c>
      <c r="I12316" s="4" t="str">
        <v>×</v>
      </c>
      <c r="J12316" s="4"/>
      <c r="K12316" s="4"/>
      <c r="L12316" s="4"/>
      <c r="M12316" s="7" t="s">
        <v>6503</v>
      </c>
    </row>
    <row r="12317" customFormat="false" ht="15.75" hidden="false" customHeight="false" outlineLevel="0" collapsed="false">
      <c r="A12317" s="6" t="n">
        <f aca="false">DATE(2026,8,22)</f>
        <v>46256</v>
      </c>
      <c r="B12317" s="4" t="s">
        <v>179</v>
      </c>
      <c r="C12317" s="4" t="n">
        <v>5</v>
      </c>
      <c r="D12317" s="4" t="n">
        <v>1</v>
      </c>
      <c r="E12317" s="4"/>
      <c r="F12317" s="4" t="n">
        <v>8</v>
      </c>
      <c r="G12317" s="4" t="n">
        <v>10</v>
      </c>
      <c r="H12317" s="4" t="n">
        <v>4</v>
      </c>
      <c r="I12317" s="4" t="str">
        <v>×</v>
      </c>
      <c r="J12317" s="4"/>
      <c r="K12317" s="4"/>
      <c r="L12317" s="4"/>
      <c r="M12317" s="7" t="s">
        <v>6503</v>
      </c>
    </row>
    <row r="12318" customFormat="false" ht="15.75" hidden="false" customHeight="false" outlineLevel="0" collapsed="false">
      <c r="A12318" s="6" t="n">
        <f aca="false">DATE(2026,8,22)</f>
        <v>46256</v>
      </c>
      <c r="B12318" s="4" t="s">
        <v>179</v>
      </c>
      <c r="C12318" s="4" t="n">
        <v>5</v>
      </c>
      <c r="D12318" s="4" t="n">
        <v>2</v>
      </c>
      <c r="E12318" s="4"/>
      <c r="F12318" s="4" t="n">
        <v>2</v>
      </c>
      <c r="G12318" s="4" t="n">
        <v>16</v>
      </c>
      <c r="H12318" s="4" t="n">
        <v>4</v>
      </c>
      <c r="I12318" s="4" t="str">
        <v>×</v>
      </c>
      <c r="J12318" s="4"/>
      <c r="K12318" s="4"/>
      <c r="L12318" s="4"/>
      <c r="M12318" s="7" t="s">
        <v>6503</v>
      </c>
    </row>
    <row r="12319" customFormat="false" ht="15.75" hidden="false" customHeight="false" outlineLevel="0" collapsed="false">
      <c r="A12319" s="6" t="n">
        <f aca="false">DATE(2026,8,22)</f>
        <v>46256</v>
      </c>
      <c r="B12319" s="4" t="s">
        <v>179</v>
      </c>
      <c r="C12319" s="4" t="n">
        <v>5</v>
      </c>
      <c r="D12319" s="4" t="n">
        <v>3</v>
      </c>
      <c r="E12319" s="4"/>
      <c r="F12319" s="4" t="n">
        <v>4</v>
      </c>
      <c r="G12319" s="4" t="n">
        <v>12</v>
      </c>
      <c r="H12319" s="4" t="n">
        <v>4</v>
      </c>
      <c r="I12319" s="4" t="str">
        <v>×</v>
      </c>
      <c r="J12319" s="4"/>
      <c r="K12319" s="4"/>
      <c r="L12319" s="4"/>
      <c r="M12319" s="7" t="s">
        <v>6503</v>
      </c>
    </row>
    <row r="12320" customFormat="false" ht="15.75" hidden="false" customHeight="false" outlineLevel="0" collapsed="false">
      <c r="A12320" s="6" t="n">
        <f aca="false">DATE(2026,8,22)</f>
        <v>46256</v>
      </c>
      <c r="B12320" s="4" t="s">
        <v>179</v>
      </c>
      <c r="C12320" s="4" t="n">
        <v>5</v>
      </c>
      <c r="D12320" s="4" t="n">
        <v>4</v>
      </c>
      <c r="E12320" s="4"/>
      <c r="F12320" s="4" t="n">
        <v>4</v>
      </c>
      <c r="G12320" s="4" t="n">
        <v>12</v>
      </c>
      <c r="H12320" s="4" t="n">
        <v>4</v>
      </c>
      <c r="I12320" s="4" t="str">
        <v>×</v>
      </c>
      <c r="J12320" s="4"/>
      <c r="K12320" s="4"/>
      <c r="L12320" s="4"/>
      <c r="M12320" s="7" t="s">
        <v>6503</v>
      </c>
    </row>
    <row r="12321" customFormat="false" ht="15.75" hidden="false" customHeight="false" outlineLevel="0" collapsed="false">
      <c r="A12321" s="6" t="n">
        <f aca="false">DATE(2026,8,22)</f>
        <v>46256</v>
      </c>
      <c r="B12321" s="4" t="s">
        <v>179</v>
      </c>
      <c r="C12321" s="4" t="n">
        <v>5</v>
      </c>
      <c r="D12321" s="4" t="n">
        <v>5</v>
      </c>
      <c r="E12321" s="4"/>
      <c r="F12321" s="4" t="n">
        <v>15</v>
      </c>
      <c r="G12321" s="4" t="n">
        <v>8</v>
      </c>
      <c r="H12321" s="4" t="n">
        <v>4</v>
      </c>
      <c r="I12321" s="4" t="str">
        <v>×</v>
      </c>
      <c r="J12321" s="4"/>
      <c r="K12321" s="4"/>
      <c r="L12321" s="4"/>
      <c r="M12321" s="7" t="s">
        <v>6503</v>
      </c>
    </row>
    <row r="12322" customFormat="false" ht="15.75" hidden="false" customHeight="false" outlineLevel="0" collapsed="false">
      <c r="A12322" s="6" t="n">
        <f aca="false">DATE(2026,8,22)</f>
        <v>46256</v>
      </c>
      <c r="B12322" s="4" t="s">
        <v>179</v>
      </c>
      <c r="C12322" s="4" t="n">
        <v>5</v>
      </c>
      <c r="D12322" s="4" t="n">
        <v>6</v>
      </c>
      <c r="E12322" s="4" t="s">
        <v>3918</v>
      </c>
      <c r="F12322" s="4" t="n">
        <v>34</v>
      </c>
      <c r="G12322" s="4" t="n">
        <v>4</v>
      </c>
      <c r="H12322" s="4" t="n">
        <v>2</v>
      </c>
      <c r="I12322" s="4" t="str">
        <v>○</v>
      </c>
      <c r="J12322" s="4" t="n">
        <v>190</v>
      </c>
      <c r="K12322" s="4"/>
      <c r="L12322" s="4"/>
      <c r="M12322" s="7" t="s">
        <v>6503</v>
      </c>
    </row>
    <row r="12323" customFormat="false" ht="15.75" hidden="false" customHeight="false" outlineLevel="0" collapsed="false">
      <c r="A12323" s="6" t="n">
        <f aca="false">DATE(2026,8,22)</f>
        <v>46256</v>
      </c>
      <c r="B12323" s="4" t="s">
        <v>179</v>
      </c>
      <c r="C12323" s="4" t="n">
        <v>5</v>
      </c>
      <c r="D12323" s="4" t="n">
        <v>7</v>
      </c>
      <c r="E12323" s="4"/>
      <c r="F12323" s="4" t="n">
        <v>4</v>
      </c>
      <c r="G12323" s="4" t="n">
        <v>12</v>
      </c>
      <c r="H12323" s="4" t="n">
        <v>4</v>
      </c>
      <c r="I12323" s="4" t="str">
        <v>×</v>
      </c>
      <c r="J12323" s="4"/>
      <c r="K12323" s="4"/>
      <c r="L12323" s="4"/>
      <c r="M12323" s="7" t="s">
        <v>6503</v>
      </c>
    </row>
    <row r="12324" customFormat="false" ht="15.75" hidden="false" customHeight="false" outlineLevel="0" collapsed="false">
      <c r="A12324" s="6" t="n">
        <f aca="false">DATE(2026,8,22)</f>
        <v>46256</v>
      </c>
      <c r="B12324" s="4" t="s">
        <v>179</v>
      </c>
      <c r="C12324" s="4" t="n">
        <v>5</v>
      </c>
      <c r="D12324" s="4" t="n">
        <v>8</v>
      </c>
      <c r="E12324" s="4"/>
      <c r="F12324" s="4" t="n">
        <v>10</v>
      </c>
      <c r="G12324" s="4" t="n">
        <v>9</v>
      </c>
      <c r="H12324" s="4" t="n">
        <v>4</v>
      </c>
      <c r="I12324" s="4" t="str">
        <v>×</v>
      </c>
      <c r="J12324" s="4"/>
      <c r="K12324" s="4"/>
      <c r="L12324" s="4"/>
      <c r="M12324" s="7" t="s">
        <v>6503</v>
      </c>
    </row>
    <row r="12325" customFormat="false" ht="15.75" hidden="false" customHeight="false" outlineLevel="0" collapsed="false">
      <c r="A12325" s="6" t="n">
        <f aca="false">DATE(2026,8,22)</f>
        <v>46256</v>
      </c>
      <c r="B12325" s="4" t="s">
        <v>179</v>
      </c>
      <c r="C12325" s="4" t="n">
        <v>5</v>
      </c>
      <c r="D12325" s="4" t="n">
        <v>9</v>
      </c>
      <c r="E12325" s="4"/>
      <c r="F12325" s="4" t="n">
        <v>6</v>
      </c>
      <c r="G12325" s="4" t="n">
        <v>11</v>
      </c>
      <c r="H12325" s="4" t="n">
        <v>4</v>
      </c>
      <c r="I12325" s="4" t="str">
        <v>×</v>
      </c>
      <c r="J12325" s="4"/>
      <c r="K12325" s="4"/>
      <c r="L12325" s="4"/>
      <c r="M12325" s="7" t="s">
        <v>6503</v>
      </c>
    </row>
    <row r="12326" customFormat="false" ht="15.75" hidden="false" customHeight="false" outlineLevel="0" collapsed="false">
      <c r="A12326" s="6" t="n">
        <f aca="false">DATE(2026,8,22)</f>
        <v>46256</v>
      </c>
      <c r="B12326" s="4" t="s">
        <v>179</v>
      </c>
      <c r="C12326" s="4" t="n">
        <v>5</v>
      </c>
      <c r="D12326" s="4" t="n">
        <v>10</v>
      </c>
      <c r="E12326" s="4" t="s">
        <v>2445</v>
      </c>
      <c r="F12326" s="4" t="n">
        <v>65</v>
      </c>
      <c r="G12326" s="4" t="n">
        <v>1</v>
      </c>
      <c r="H12326" s="4" t="n">
        <v>1</v>
      </c>
      <c r="I12326" s="4" t="str">
        <v>○</v>
      </c>
      <c r="J12326" s="4" t="n">
        <v>110</v>
      </c>
      <c r="K12326" s="4"/>
      <c r="L12326" s="4"/>
      <c r="M12326" s="7" t="s">
        <v>6503</v>
      </c>
    </row>
    <row r="12327" customFormat="false" ht="15.75" hidden="false" customHeight="false" outlineLevel="0" collapsed="false">
      <c r="A12327" s="6" t="n">
        <f aca="false">DATE(2026,8,22)</f>
        <v>46256</v>
      </c>
      <c r="B12327" s="4" t="s">
        <v>179</v>
      </c>
      <c r="C12327" s="4" t="n">
        <v>5</v>
      </c>
      <c r="D12327" s="4" t="n">
        <v>11</v>
      </c>
      <c r="E12327" s="4"/>
      <c r="F12327" s="4" t="n">
        <v>17</v>
      </c>
      <c r="G12327" s="4" t="n">
        <v>7</v>
      </c>
      <c r="H12327" s="4" t="n">
        <v>4</v>
      </c>
      <c r="I12327" s="4" t="str">
        <v>×</v>
      </c>
      <c r="J12327" s="4"/>
      <c r="K12327" s="4"/>
      <c r="L12327" s="4"/>
      <c r="M12327" s="7" t="s">
        <v>6503</v>
      </c>
    </row>
    <row r="12328" customFormat="false" ht="15.75" hidden="false" customHeight="false" outlineLevel="0" collapsed="false">
      <c r="A12328" s="6" t="n">
        <f aca="false">DATE(2026,8,22)</f>
        <v>46256</v>
      </c>
      <c r="B12328" s="4" t="s">
        <v>179</v>
      </c>
      <c r="C12328" s="4" t="n">
        <v>5</v>
      </c>
      <c r="D12328" s="4" t="n">
        <v>12</v>
      </c>
      <c r="E12328" s="4"/>
      <c r="F12328" s="4" t="n">
        <v>39</v>
      </c>
      <c r="G12328" s="4" t="n">
        <v>2</v>
      </c>
      <c r="H12328" s="4" t="n">
        <v>4</v>
      </c>
      <c r="I12328" s="4" t="str">
        <v>×</v>
      </c>
      <c r="J12328" s="4"/>
      <c r="K12328" s="4"/>
      <c r="L12328" s="4"/>
      <c r="M12328" s="7" t="s">
        <v>6503</v>
      </c>
    </row>
    <row r="12329" customFormat="false" ht="15.75" hidden="false" customHeight="false" outlineLevel="0" collapsed="false">
      <c r="A12329" s="6" t="n">
        <f aca="false">DATE(2026,8,22)</f>
        <v>46256</v>
      </c>
      <c r="B12329" s="4" t="s">
        <v>179</v>
      </c>
      <c r="C12329" s="4" t="n">
        <v>5</v>
      </c>
      <c r="D12329" s="4" t="n">
        <v>13</v>
      </c>
      <c r="E12329" s="4"/>
      <c r="F12329" s="4" t="n">
        <v>20</v>
      </c>
      <c r="G12329" s="4" t="n">
        <v>5</v>
      </c>
      <c r="H12329" s="4" t="n">
        <v>4</v>
      </c>
      <c r="I12329" s="4" t="str">
        <v>×</v>
      </c>
      <c r="J12329" s="4"/>
      <c r="K12329" s="4"/>
      <c r="L12329" s="4"/>
      <c r="M12329" s="7" t="s">
        <v>6503</v>
      </c>
    </row>
    <row r="12330" customFormat="false" ht="15.75" hidden="false" customHeight="false" outlineLevel="0" collapsed="false">
      <c r="A12330" s="6" t="n">
        <f aca="false">DATE(2026,8,22)</f>
        <v>46256</v>
      </c>
      <c r="B12330" s="4" t="s">
        <v>179</v>
      </c>
      <c r="C12330" s="4" t="n">
        <v>5</v>
      </c>
      <c r="D12330" s="4" t="n">
        <v>14</v>
      </c>
      <c r="E12330" s="4" t="s">
        <v>2036</v>
      </c>
      <c r="F12330" s="4" t="n">
        <v>39</v>
      </c>
      <c r="G12330" s="4" t="n">
        <v>2</v>
      </c>
      <c r="H12330" s="4" t="n">
        <v>3</v>
      </c>
      <c r="I12330" s="4" t="str">
        <v>○</v>
      </c>
      <c r="J12330" s="4" t="n">
        <v>150</v>
      </c>
      <c r="K12330" s="4"/>
      <c r="L12330" s="4"/>
      <c r="M12330" s="7" t="s">
        <v>6503</v>
      </c>
    </row>
    <row r="12331" customFormat="false" ht="15.75" hidden="false" customHeight="false" outlineLevel="0" collapsed="false">
      <c r="A12331" s="6" t="n">
        <f aca="false">DATE(2026,8,22)</f>
        <v>46256</v>
      </c>
      <c r="B12331" s="4" t="s">
        <v>179</v>
      </c>
      <c r="C12331" s="4" t="n">
        <v>5</v>
      </c>
      <c r="D12331" s="4" t="n">
        <v>15</v>
      </c>
      <c r="E12331" s="4"/>
      <c r="F12331" s="4" t="n">
        <v>20</v>
      </c>
      <c r="G12331" s="4" t="n">
        <v>5</v>
      </c>
      <c r="H12331" s="4" t="n">
        <v>4</v>
      </c>
      <c r="I12331" s="4" t="str">
        <v>×</v>
      </c>
      <c r="J12331" s="4"/>
      <c r="K12331" s="4"/>
      <c r="L12331" s="4"/>
      <c r="M12331" s="7" t="s">
        <v>6503</v>
      </c>
    </row>
    <row r="12332" customFormat="false" ht="15.75" hidden="false" customHeight="false" outlineLevel="0" collapsed="false">
      <c r="A12332" s="6" t="n">
        <f aca="false">DATE(2026,8,22)</f>
        <v>46256</v>
      </c>
      <c r="B12332" s="4" t="s">
        <v>179</v>
      </c>
      <c r="C12332" s="4" t="n">
        <v>5</v>
      </c>
      <c r="D12332" s="4" t="n">
        <v>16</v>
      </c>
      <c r="E12332" s="4"/>
      <c r="F12332" s="4" t="n">
        <v>3</v>
      </c>
      <c r="G12332" s="4" t="n">
        <v>15</v>
      </c>
      <c r="H12332" s="4" t="n">
        <v>4</v>
      </c>
      <c r="I12332" s="4" t="str">
        <v>×</v>
      </c>
      <c r="J12332" s="4"/>
      <c r="K12332" s="4"/>
      <c r="L12332" s="4"/>
      <c r="M12332" s="7" t="s">
        <v>6503</v>
      </c>
    </row>
    <row r="12333" customFormat="false" ht="15.75" hidden="false" customHeight="false" outlineLevel="0" collapsed="false">
      <c r="A12333" s="6" t="n">
        <f aca="false">DATE(2026,8,22)</f>
        <v>46256</v>
      </c>
      <c r="B12333" s="4" t="s">
        <v>179</v>
      </c>
      <c r="C12333" s="4" t="n">
        <v>6</v>
      </c>
      <c r="D12333" s="4" t="n">
        <v>1</v>
      </c>
      <c r="E12333" s="4"/>
      <c r="F12333" s="4" t="n">
        <v>29</v>
      </c>
      <c r="G12333" s="4" t="n">
        <v>5</v>
      </c>
      <c r="H12333" s="4" t="n">
        <v>4</v>
      </c>
      <c r="I12333" s="4" t="str">
        <v>×</v>
      </c>
      <c r="J12333" s="4"/>
      <c r="K12333" s="4"/>
      <c r="L12333" s="4"/>
      <c r="M12333" s="7" t="s">
        <v>6503</v>
      </c>
    </row>
    <row r="12334" customFormat="false" ht="15.75" hidden="false" customHeight="false" outlineLevel="0" collapsed="false">
      <c r="A12334" s="6" t="n">
        <f aca="false">DATE(2026,8,22)</f>
        <v>46256</v>
      </c>
      <c r="B12334" s="4" t="s">
        <v>179</v>
      </c>
      <c r="C12334" s="4" t="n">
        <v>6</v>
      </c>
      <c r="D12334" s="4" t="n">
        <v>2</v>
      </c>
      <c r="E12334" s="4"/>
      <c r="F12334" s="4" t="n">
        <v>17</v>
      </c>
      <c r="G12334" s="4" t="n">
        <v>8</v>
      </c>
      <c r="H12334" s="4" t="n">
        <v>4</v>
      </c>
      <c r="I12334" s="4" t="str">
        <v>×</v>
      </c>
      <c r="J12334" s="4"/>
      <c r="K12334" s="4"/>
      <c r="L12334" s="4"/>
      <c r="M12334" s="7" t="s">
        <v>6503</v>
      </c>
    </row>
    <row r="12335" customFormat="false" ht="15.75" hidden="false" customHeight="false" outlineLevel="0" collapsed="false">
      <c r="A12335" s="6" t="n">
        <f aca="false">DATE(2026,8,22)</f>
        <v>46256</v>
      </c>
      <c r="B12335" s="4" t="s">
        <v>179</v>
      </c>
      <c r="C12335" s="4" t="n">
        <v>6</v>
      </c>
      <c r="D12335" s="4" t="n">
        <v>3</v>
      </c>
      <c r="E12335" s="4"/>
      <c r="F12335" s="4" t="n">
        <v>8</v>
      </c>
      <c r="G12335" s="4" t="n">
        <v>12</v>
      </c>
      <c r="H12335" s="4" t="n">
        <v>4</v>
      </c>
      <c r="I12335" s="4" t="str">
        <v>×</v>
      </c>
      <c r="J12335" s="4"/>
      <c r="K12335" s="4"/>
      <c r="L12335" s="4"/>
      <c r="M12335" s="7" t="s">
        <v>6503</v>
      </c>
    </row>
    <row r="12336" customFormat="false" ht="15.75" hidden="false" customHeight="false" outlineLevel="0" collapsed="false">
      <c r="A12336" s="6" t="n">
        <f aca="false">DATE(2026,8,22)</f>
        <v>46256</v>
      </c>
      <c r="B12336" s="4" t="s">
        <v>179</v>
      </c>
      <c r="C12336" s="4" t="n">
        <v>6</v>
      </c>
      <c r="D12336" s="4" t="n">
        <v>4</v>
      </c>
      <c r="E12336" s="4"/>
      <c r="F12336" s="4" t="n">
        <v>29</v>
      </c>
      <c r="G12336" s="4" t="n">
        <v>5</v>
      </c>
      <c r="H12336" s="4" t="n">
        <v>4</v>
      </c>
      <c r="I12336" s="4" t="str">
        <v>×</v>
      </c>
      <c r="J12336" s="4"/>
      <c r="K12336" s="4"/>
      <c r="L12336" s="4"/>
      <c r="M12336" s="7" t="s">
        <v>6503</v>
      </c>
    </row>
    <row r="12337" customFormat="false" ht="15.75" hidden="false" customHeight="false" outlineLevel="0" collapsed="false">
      <c r="A12337" s="6" t="n">
        <f aca="false">DATE(2026,8,22)</f>
        <v>46256</v>
      </c>
      <c r="B12337" s="4" t="s">
        <v>179</v>
      </c>
      <c r="C12337" s="4" t="n">
        <v>6</v>
      </c>
      <c r="D12337" s="4" t="n">
        <v>5</v>
      </c>
      <c r="E12337" s="4"/>
      <c r="F12337" s="4" t="n">
        <v>39</v>
      </c>
      <c r="G12337" s="4" t="n">
        <v>3</v>
      </c>
      <c r="H12337" s="4" t="n">
        <v>4</v>
      </c>
      <c r="I12337" s="4" t="str">
        <v>×</v>
      </c>
      <c r="J12337" s="4"/>
      <c r="K12337" s="4"/>
      <c r="L12337" s="4"/>
      <c r="M12337" s="7" t="s">
        <v>6503</v>
      </c>
    </row>
    <row r="12338" customFormat="false" ht="15.75" hidden="false" customHeight="false" outlineLevel="0" collapsed="false">
      <c r="A12338" s="6" t="n">
        <f aca="false">DATE(2026,8,22)</f>
        <v>46256</v>
      </c>
      <c r="B12338" s="4" t="s">
        <v>179</v>
      </c>
      <c r="C12338" s="4" t="n">
        <v>6</v>
      </c>
      <c r="D12338" s="4" t="n">
        <v>6</v>
      </c>
      <c r="E12338" s="4"/>
      <c r="F12338" s="4" t="n">
        <v>4</v>
      </c>
      <c r="G12338" s="4" t="n">
        <v>13</v>
      </c>
      <c r="H12338" s="4" t="n">
        <v>4</v>
      </c>
      <c r="I12338" s="4" t="str">
        <v>×</v>
      </c>
      <c r="J12338" s="4"/>
      <c r="K12338" s="4"/>
      <c r="L12338" s="4"/>
      <c r="M12338" s="7" t="s">
        <v>6503</v>
      </c>
    </row>
    <row r="12339" customFormat="false" ht="15.75" hidden="false" customHeight="false" outlineLevel="0" collapsed="false">
      <c r="A12339" s="6" t="n">
        <f aca="false">DATE(2026,8,22)</f>
        <v>46256</v>
      </c>
      <c r="B12339" s="4" t="s">
        <v>179</v>
      </c>
      <c r="C12339" s="4" t="n">
        <v>6</v>
      </c>
      <c r="D12339" s="4" t="n">
        <v>7</v>
      </c>
      <c r="E12339" s="4" t="s">
        <v>4649</v>
      </c>
      <c r="F12339" s="4" t="n">
        <v>3</v>
      </c>
      <c r="G12339" s="4" t="n">
        <v>14</v>
      </c>
      <c r="H12339" s="4" t="n">
        <v>3</v>
      </c>
      <c r="I12339" s="4" t="str">
        <v>○</v>
      </c>
      <c r="J12339" s="4" t="n">
        <v>1350</v>
      </c>
      <c r="K12339" s="4"/>
      <c r="L12339" s="4"/>
      <c r="M12339" s="7" t="s">
        <v>6503</v>
      </c>
    </row>
    <row r="12340" customFormat="false" ht="15.75" hidden="false" customHeight="false" outlineLevel="0" collapsed="false">
      <c r="A12340" s="6" t="n">
        <f aca="false">DATE(2026,8,22)</f>
        <v>46256</v>
      </c>
      <c r="B12340" s="4" t="s">
        <v>179</v>
      </c>
      <c r="C12340" s="4" t="n">
        <v>6</v>
      </c>
      <c r="D12340" s="4" t="n">
        <v>8</v>
      </c>
      <c r="E12340" s="4"/>
      <c r="F12340" s="4" t="n">
        <v>15</v>
      </c>
      <c r="G12340" s="4" t="n">
        <v>9</v>
      </c>
      <c r="H12340" s="4" t="n">
        <v>4</v>
      </c>
      <c r="I12340" s="4" t="str">
        <v>×</v>
      </c>
      <c r="J12340" s="4"/>
      <c r="K12340" s="4"/>
      <c r="L12340" s="4"/>
      <c r="M12340" s="7" t="s">
        <v>6503</v>
      </c>
    </row>
    <row r="12341" customFormat="false" ht="15.75" hidden="false" customHeight="false" outlineLevel="0" collapsed="false">
      <c r="A12341" s="6" t="n">
        <f aca="false">DATE(2026,8,22)</f>
        <v>46256</v>
      </c>
      <c r="B12341" s="4" t="s">
        <v>179</v>
      </c>
      <c r="C12341" s="4" t="n">
        <v>6</v>
      </c>
      <c r="D12341" s="4" t="n">
        <v>9</v>
      </c>
      <c r="E12341" s="4" t="s">
        <v>6518</v>
      </c>
      <c r="F12341" s="4" t="n">
        <v>44</v>
      </c>
      <c r="G12341" s="4" t="n">
        <v>2</v>
      </c>
      <c r="H12341" s="4" t="n">
        <v>1</v>
      </c>
      <c r="I12341" s="4" t="str">
        <v>○</v>
      </c>
      <c r="J12341" s="4" t="n">
        <v>280</v>
      </c>
      <c r="K12341" s="4"/>
      <c r="L12341" s="4"/>
      <c r="M12341" s="7" t="s">
        <v>6503</v>
      </c>
    </row>
    <row r="12342" customFormat="false" ht="15.75" hidden="false" customHeight="false" outlineLevel="0" collapsed="false">
      <c r="A12342" s="6" t="n">
        <f aca="false">DATE(2026,8,22)</f>
        <v>46256</v>
      </c>
      <c r="B12342" s="4" t="s">
        <v>179</v>
      </c>
      <c r="C12342" s="4" t="n">
        <v>6</v>
      </c>
      <c r="D12342" s="4" t="n">
        <v>10</v>
      </c>
      <c r="E12342" s="4"/>
      <c r="F12342" s="4" t="n">
        <v>13</v>
      </c>
      <c r="G12342" s="4" t="n">
        <v>10</v>
      </c>
      <c r="H12342" s="4" t="n">
        <v>4</v>
      </c>
      <c r="I12342" s="4" t="str">
        <v>×</v>
      </c>
      <c r="J12342" s="4"/>
      <c r="K12342" s="4"/>
      <c r="L12342" s="4"/>
      <c r="M12342" s="7" t="s">
        <v>6503</v>
      </c>
    </row>
    <row r="12343" customFormat="false" ht="15.75" hidden="false" customHeight="false" outlineLevel="0" collapsed="false">
      <c r="A12343" s="6" t="n">
        <f aca="false">DATE(2026,8,22)</f>
        <v>46256</v>
      </c>
      <c r="B12343" s="4" t="s">
        <v>179</v>
      </c>
      <c r="C12343" s="4" t="n">
        <v>6</v>
      </c>
      <c r="D12343" s="4" t="n">
        <v>11</v>
      </c>
      <c r="E12343" s="4"/>
      <c r="F12343" s="4" t="n">
        <v>31</v>
      </c>
      <c r="G12343" s="4" t="n">
        <v>4</v>
      </c>
      <c r="H12343" s="4" t="n">
        <v>4</v>
      </c>
      <c r="I12343" s="4" t="str">
        <v>×</v>
      </c>
      <c r="J12343" s="4"/>
      <c r="K12343" s="4"/>
      <c r="L12343" s="4"/>
      <c r="M12343" s="7" t="s">
        <v>6503</v>
      </c>
    </row>
    <row r="12344" customFormat="false" ht="15.75" hidden="false" customHeight="false" outlineLevel="0" collapsed="false">
      <c r="A12344" s="6" t="n">
        <f aca="false">DATE(2026,8,22)</f>
        <v>46256</v>
      </c>
      <c r="B12344" s="4" t="s">
        <v>179</v>
      </c>
      <c r="C12344" s="4" t="n">
        <v>6</v>
      </c>
      <c r="D12344" s="4" t="n">
        <v>12</v>
      </c>
      <c r="E12344" s="4" t="s">
        <v>3650</v>
      </c>
      <c r="F12344" s="4" t="n">
        <v>67</v>
      </c>
      <c r="G12344" s="4" t="n">
        <v>1</v>
      </c>
      <c r="H12344" s="4" t="n">
        <v>2</v>
      </c>
      <c r="I12344" s="4" t="str">
        <v>○</v>
      </c>
      <c r="J12344" s="4" t="n">
        <v>180</v>
      </c>
      <c r="K12344" s="4"/>
      <c r="L12344" s="4"/>
      <c r="M12344" s="7" t="s">
        <v>6503</v>
      </c>
    </row>
    <row r="12345" customFormat="false" ht="15.75" hidden="false" customHeight="false" outlineLevel="0" collapsed="false">
      <c r="A12345" s="6" t="n">
        <f aca="false">DATE(2026,8,22)</f>
        <v>46256</v>
      </c>
      <c r="B12345" s="4" t="s">
        <v>179</v>
      </c>
      <c r="C12345" s="4" t="n">
        <v>6</v>
      </c>
      <c r="D12345" s="4" t="n">
        <v>13</v>
      </c>
      <c r="E12345" s="4"/>
      <c r="F12345" s="4" t="n">
        <v>13</v>
      </c>
      <c r="G12345" s="4" t="n">
        <v>10</v>
      </c>
      <c r="H12345" s="4" t="n">
        <v>4</v>
      </c>
      <c r="I12345" s="4" t="str">
        <v>×</v>
      </c>
      <c r="J12345" s="4"/>
      <c r="K12345" s="4"/>
      <c r="L12345" s="4"/>
      <c r="M12345" s="7" t="s">
        <v>6503</v>
      </c>
    </row>
    <row r="12346" customFormat="false" ht="15.75" hidden="false" customHeight="false" outlineLevel="0" collapsed="false">
      <c r="A12346" s="6" t="n">
        <f aca="false">DATE(2026,8,22)</f>
        <v>46256</v>
      </c>
      <c r="B12346" s="4" t="s">
        <v>179</v>
      </c>
      <c r="C12346" s="4" t="n">
        <v>6</v>
      </c>
      <c r="D12346" s="4" t="n">
        <v>14</v>
      </c>
      <c r="E12346" s="4"/>
      <c r="F12346" s="4" t="n">
        <v>25</v>
      </c>
      <c r="G12346" s="4" t="n">
        <v>7</v>
      </c>
      <c r="H12346" s="4" t="n">
        <v>4</v>
      </c>
      <c r="I12346" s="4" t="str">
        <v>×</v>
      </c>
      <c r="J12346" s="4"/>
      <c r="K12346" s="4"/>
      <c r="L12346" s="4"/>
      <c r="M12346" s="7" t="s">
        <v>6503</v>
      </c>
    </row>
    <row r="12347" customFormat="false" ht="15.75" hidden="false" customHeight="false" outlineLevel="0" collapsed="false">
      <c r="A12347" s="6" t="n">
        <f aca="false">DATE(2026,8,22)</f>
        <v>46256</v>
      </c>
      <c r="B12347" s="4" t="s">
        <v>179</v>
      </c>
      <c r="C12347" s="4" t="n">
        <v>7</v>
      </c>
      <c r="D12347" s="4" t="n">
        <v>1</v>
      </c>
      <c r="E12347" s="4"/>
      <c r="F12347" s="4" t="n">
        <v>8</v>
      </c>
      <c r="G12347" s="4" t="n">
        <v>11</v>
      </c>
      <c r="H12347" s="4" t="n">
        <v>4</v>
      </c>
      <c r="I12347" s="4" t="str">
        <v>×</v>
      </c>
      <c r="J12347" s="4"/>
      <c r="K12347" s="4"/>
      <c r="L12347" s="4"/>
      <c r="M12347" s="7" t="s">
        <v>6503</v>
      </c>
    </row>
    <row r="12348" customFormat="false" ht="15.75" hidden="false" customHeight="false" outlineLevel="0" collapsed="false">
      <c r="A12348" s="6" t="n">
        <f aca="false">DATE(2026,8,22)</f>
        <v>46256</v>
      </c>
      <c r="B12348" s="4" t="s">
        <v>179</v>
      </c>
      <c r="C12348" s="4" t="n">
        <v>7</v>
      </c>
      <c r="D12348" s="4" t="n">
        <v>2</v>
      </c>
      <c r="E12348" s="4"/>
      <c r="F12348" s="4" t="n">
        <v>15</v>
      </c>
      <c r="G12348" s="4" t="n">
        <v>9</v>
      </c>
      <c r="H12348" s="4" t="n">
        <v>4</v>
      </c>
      <c r="I12348" s="4" t="str">
        <v>×</v>
      </c>
      <c r="J12348" s="4"/>
      <c r="K12348" s="4"/>
      <c r="L12348" s="4"/>
      <c r="M12348" s="7" t="s">
        <v>6503</v>
      </c>
    </row>
    <row r="12349" customFormat="false" ht="15.75" hidden="false" customHeight="false" outlineLevel="0" collapsed="false">
      <c r="A12349" s="6" t="n">
        <f aca="false">DATE(2026,8,22)</f>
        <v>46256</v>
      </c>
      <c r="B12349" s="4" t="s">
        <v>179</v>
      </c>
      <c r="C12349" s="4" t="n">
        <v>7</v>
      </c>
      <c r="D12349" s="4" t="n">
        <v>3</v>
      </c>
      <c r="E12349" s="4" t="s">
        <v>3634</v>
      </c>
      <c r="F12349" s="4" t="n">
        <v>66</v>
      </c>
      <c r="G12349" s="4" t="n">
        <v>1</v>
      </c>
      <c r="H12349" s="4" t="n">
        <v>1</v>
      </c>
      <c r="I12349" s="4" t="str">
        <v>○</v>
      </c>
      <c r="J12349" s="4" t="n">
        <v>150</v>
      </c>
      <c r="K12349" s="4"/>
      <c r="L12349" s="4"/>
      <c r="M12349" s="7" t="s">
        <v>6503</v>
      </c>
    </row>
    <row r="12350" customFormat="false" ht="15.75" hidden="false" customHeight="false" outlineLevel="0" collapsed="false">
      <c r="A12350" s="6" t="n">
        <f aca="false">DATE(2026,8,22)</f>
        <v>46256</v>
      </c>
      <c r="B12350" s="4" t="s">
        <v>179</v>
      </c>
      <c r="C12350" s="4" t="n">
        <v>7</v>
      </c>
      <c r="D12350" s="4" t="n">
        <v>4</v>
      </c>
      <c r="E12350" s="4"/>
      <c r="F12350" s="4" t="n">
        <v>31</v>
      </c>
      <c r="G12350" s="4" t="n">
        <v>3</v>
      </c>
      <c r="H12350" s="4" t="n">
        <v>4</v>
      </c>
      <c r="I12350" s="4" t="str">
        <v>×</v>
      </c>
      <c r="J12350" s="4"/>
      <c r="K12350" s="4"/>
      <c r="L12350" s="4"/>
      <c r="M12350" s="7" t="s">
        <v>6503</v>
      </c>
    </row>
    <row r="12351" customFormat="false" ht="15.75" hidden="false" customHeight="false" outlineLevel="0" collapsed="false">
      <c r="A12351" s="6" t="n">
        <f aca="false">DATE(2026,8,22)</f>
        <v>46256</v>
      </c>
      <c r="B12351" s="4" t="s">
        <v>179</v>
      </c>
      <c r="C12351" s="4" t="n">
        <v>7</v>
      </c>
      <c r="D12351" s="4" t="n">
        <v>5</v>
      </c>
      <c r="E12351" s="4"/>
      <c r="F12351" s="4" t="n">
        <v>6</v>
      </c>
      <c r="G12351" s="4" t="n">
        <v>12</v>
      </c>
      <c r="H12351" s="4" t="n">
        <v>4</v>
      </c>
      <c r="I12351" s="4" t="str">
        <v>×</v>
      </c>
      <c r="J12351" s="4"/>
      <c r="K12351" s="4"/>
      <c r="L12351" s="4"/>
      <c r="M12351" s="7" t="s">
        <v>6503</v>
      </c>
    </row>
    <row r="12352" customFormat="false" ht="15.75" hidden="false" customHeight="false" outlineLevel="0" collapsed="false">
      <c r="A12352" s="6" t="n">
        <f aca="false">DATE(2026,8,22)</f>
        <v>46256</v>
      </c>
      <c r="B12352" s="4" t="s">
        <v>179</v>
      </c>
      <c r="C12352" s="4" t="n">
        <v>7</v>
      </c>
      <c r="D12352" s="4" t="n">
        <v>6</v>
      </c>
      <c r="E12352" s="4" t="s">
        <v>4407</v>
      </c>
      <c r="F12352" s="4" t="n">
        <v>29</v>
      </c>
      <c r="G12352" s="4" t="n">
        <v>4</v>
      </c>
      <c r="H12352" s="4" t="n">
        <v>3</v>
      </c>
      <c r="I12352" s="4" t="str">
        <v>○</v>
      </c>
      <c r="J12352" s="4" t="n">
        <v>280</v>
      </c>
      <c r="K12352" s="4"/>
      <c r="L12352" s="4"/>
      <c r="M12352" s="7" t="s">
        <v>6503</v>
      </c>
    </row>
    <row r="12353" customFormat="false" ht="15.75" hidden="false" customHeight="false" outlineLevel="0" collapsed="false">
      <c r="A12353" s="6" t="n">
        <f aca="false">DATE(2026,8,22)</f>
        <v>46256</v>
      </c>
      <c r="B12353" s="4" t="s">
        <v>179</v>
      </c>
      <c r="C12353" s="4" t="n">
        <v>7</v>
      </c>
      <c r="D12353" s="4" t="n">
        <v>7</v>
      </c>
      <c r="E12353" s="4"/>
      <c r="F12353" s="4" t="n">
        <v>6</v>
      </c>
      <c r="G12353" s="4" t="n">
        <v>12</v>
      </c>
      <c r="H12353" s="4" t="n">
        <v>4</v>
      </c>
      <c r="I12353" s="4" t="str">
        <v>×</v>
      </c>
      <c r="J12353" s="4"/>
      <c r="K12353" s="4"/>
      <c r="L12353" s="4"/>
      <c r="M12353" s="7" t="s">
        <v>6503</v>
      </c>
    </row>
    <row r="12354" customFormat="false" ht="15.75" hidden="false" customHeight="false" outlineLevel="0" collapsed="false">
      <c r="A12354" s="6" t="n">
        <f aca="false">DATE(2026,8,22)</f>
        <v>46256</v>
      </c>
      <c r="B12354" s="4" t="s">
        <v>179</v>
      </c>
      <c r="C12354" s="4" t="n">
        <v>7</v>
      </c>
      <c r="D12354" s="4" t="n">
        <v>8</v>
      </c>
      <c r="E12354" s="4"/>
      <c r="F12354" s="4" t="n">
        <v>1</v>
      </c>
      <c r="G12354" s="4" t="n">
        <v>15</v>
      </c>
      <c r="H12354" s="4" t="n">
        <v>4</v>
      </c>
      <c r="I12354" s="4" t="str">
        <v>×</v>
      </c>
      <c r="J12354" s="4"/>
      <c r="K12354" s="4"/>
      <c r="L12354" s="4"/>
      <c r="M12354" s="7" t="s">
        <v>6503</v>
      </c>
    </row>
    <row r="12355" customFormat="false" ht="15.75" hidden="false" customHeight="false" outlineLevel="0" collapsed="false">
      <c r="A12355" s="6" t="n">
        <f aca="false">DATE(2026,8,22)</f>
        <v>46256</v>
      </c>
      <c r="B12355" s="4" t="s">
        <v>179</v>
      </c>
      <c r="C12355" s="4" t="n">
        <v>7</v>
      </c>
      <c r="D12355" s="4" t="n">
        <v>9</v>
      </c>
      <c r="E12355" s="4"/>
      <c r="F12355" s="4" t="n">
        <v>52</v>
      </c>
      <c r="G12355" s="4" t="n">
        <v>2</v>
      </c>
      <c r="H12355" s="4" t="n">
        <v>4</v>
      </c>
      <c r="I12355" s="4" t="str">
        <v>×</v>
      </c>
      <c r="J12355" s="4"/>
      <c r="K12355" s="4"/>
      <c r="L12355" s="4"/>
      <c r="M12355" s="7" t="s">
        <v>6503</v>
      </c>
    </row>
    <row r="12356" customFormat="false" ht="15.75" hidden="false" customHeight="false" outlineLevel="0" collapsed="false">
      <c r="A12356" s="6" t="n">
        <f aca="false">DATE(2026,8,22)</f>
        <v>46256</v>
      </c>
      <c r="B12356" s="4" t="s">
        <v>179</v>
      </c>
      <c r="C12356" s="4" t="n">
        <v>7</v>
      </c>
      <c r="D12356" s="4" t="n">
        <v>10</v>
      </c>
      <c r="E12356" s="4"/>
      <c r="F12356" s="4" t="n">
        <v>20</v>
      </c>
      <c r="G12356" s="4" t="n">
        <v>6</v>
      </c>
      <c r="H12356" s="4" t="n">
        <v>4</v>
      </c>
      <c r="I12356" s="4" t="str">
        <v>×</v>
      </c>
      <c r="J12356" s="4"/>
      <c r="K12356" s="4"/>
      <c r="L12356" s="4"/>
      <c r="M12356" s="7" t="s">
        <v>6503</v>
      </c>
    </row>
    <row r="12357" customFormat="false" ht="15.75" hidden="false" customHeight="false" outlineLevel="0" collapsed="false">
      <c r="A12357" s="6" t="n">
        <f aca="false">DATE(2026,8,22)</f>
        <v>46256</v>
      </c>
      <c r="B12357" s="4" t="s">
        <v>179</v>
      </c>
      <c r="C12357" s="4" t="n">
        <v>7</v>
      </c>
      <c r="D12357" s="4" t="n">
        <v>11</v>
      </c>
      <c r="E12357" s="4" t="s">
        <v>5319</v>
      </c>
      <c r="F12357" s="4" t="n">
        <v>3</v>
      </c>
      <c r="G12357" s="4" t="n">
        <v>14</v>
      </c>
      <c r="H12357" s="4" t="n">
        <v>2</v>
      </c>
      <c r="I12357" s="4" t="str">
        <v>○</v>
      </c>
      <c r="J12357" s="4" t="n">
        <v>1780</v>
      </c>
      <c r="K12357" s="4"/>
      <c r="L12357" s="4"/>
      <c r="M12357" s="7" t="s">
        <v>6503</v>
      </c>
    </row>
    <row r="12358" customFormat="false" ht="15.75" hidden="false" customHeight="false" outlineLevel="0" collapsed="false">
      <c r="A12358" s="6" t="n">
        <f aca="false">DATE(2026,8,22)</f>
        <v>46256</v>
      </c>
      <c r="B12358" s="4" t="s">
        <v>179</v>
      </c>
      <c r="C12358" s="4" t="n">
        <v>7</v>
      </c>
      <c r="D12358" s="4" t="n">
        <v>12</v>
      </c>
      <c r="E12358" s="4"/>
      <c r="F12358" s="4" t="n">
        <v>17</v>
      </c>
      <c r="G12358" s="4" t="n">
        <v>7</v>
      </c>
      <c r="H12358" s="4" t="n">
        <v>4</v>
      </c>
      <c r="I12358" s="4" t="str">
        <v>×</v>
      </c>
      <c r="J12358" s="4"/>
      <c r="K12358" s="4"/>
      <c r="L12358" s="4"/>
      <c r="M12358" s="7" t="s">
        <v>6503</v>
      </c>
    </row>
    <row r="12359" customFormat="false" ht="15.75" hidden="false" customHeight="false" outlineLevel="0" collapsed="false">
      <c r="A12359" s="6" t="n">
        <f aca="false">DATE(2026,8,22)</f>
        <v>46256</v>
      </c>
      <c r="B12359" s="4" t="s">
        <v>179</v>
      </c>
      <c r="C12359" s="4" t="n">
        <v>7</v>
      </c>
      <c r="D12359" s="4" t="n">
        <v>13</v>
      </c>
      <c r="E12359" s="4"/>
      <c r="F12359" s="4" t="n">
        <v>25</v>
      </c>
      <c r="G12359" s="4" t="n">
        <v>5</v>
      </c>
      <c r="H12359" s="4" t="n">
        <v>4</v>
      </c>
      <c r="I12359" s="4" t="str">
        <v>×</v>
      </c>
      <c r="J12359" s="4"/>
      <c r="K12359" s="4"/>
      <c r="L12359" s="4"/>
      <c r="M12359" s="7" t="s">
        <v>6503</v>
      </c>
    </row>
    <row r="12360" customFormat="false" ht="15.75" hidden="false" customHeight="false" outlineLevel="0" collapsed="false">
      <c r="A12360" s="6" t="n">
        <f aca="false">DATE(2026,8,22)</f>
        <v>46256</v>
      </c>
      <c r="B12360" s="4" t="s">
        <v>179</v>
      </c>
      <c r="C12360" s="4" t="n">
        <v>7</v>
      </c>
      <c r="D12360" s="4" t="n">
        <v>14</v>
      </c>
      <c r="E12360" s="4"/>
      <c r="F12360" s="4" t="n">
        <v>10</v>
      </c>
      <c r="G12360" s="4" t="n">
        <v>10</v>
      </c>
      <c r="H12360" s="4" t="n">
        <v>4</v>
      </c>
      <c r="I12360" s="4" t="str">
        <v>×</v>
      </c>
      <c r="J12360" s="4"/>
      <c r="K12360" s="4"/>
      <c r="L12360" s="4"/>
      <c r="M12360" s="7" t="s">
        <v>6503</v>
      </c>
    </row>
    <row r="12361" customFormat="false" ht="15.75" hidden="false" customHeight="false" outlineLevel="0" collapsed="false">
      <c r="A12361" s="6" t="n">
        <f aca="false">DATE(2026,8,22)</f>
        <v>46256</v>
      </c>
      <c r="B12361" s="4" t="s">
        <v>179</v>
      </c>
      <c r="C12361" s="4" t="n">
        <v>7</v>
      </c>
      <c r="D12361" s="4" t="n">
        <v>15</v>
      </c>
      <c r="E12361" s="4"/>
      <c r="F12361" s="4" t="n">
        <v>1</v>
      </c>
      <c r="G12361" s="4" t="n">
        <v>15</v>
      </c>
      <c r="H12361" s="4" t="n">
        <v>4</v>
      </c>
      <c r="I12361" s="4" t="str">
        <v>×</v>
      </c>
      <c r="J12361" s="4"/>
      <c r="K12361" s="4"/>
      <c r="L12361" s="4"/>
      <c r="M12361" s="7" t="s">
        <v>6503</v>
      </c>
    </row>
    <row r="12362" customFormat="false" ht="15.75" hidden="false" customHeight="false" outlineLevel="0" collapsed="false">
      <c r="A12362" s="6" t="n">
        <f aca="false">DATE(2026,8,22)</f>
        <v>46256</v>
      </c>
      <c r="B12362" s="4" t="s">
        <v>179</v>
      </c>
      <c r="C12362" s="4" t="n">
        <v>7</v>
      </c>
      <c r="D12362" s="4" t="n">
        <v>16</v>
      </c>
      <c r="E12362" s="4"/>
      <c r="F12362" s="4" t="n">
        <v>17</v>
      </c>
      <c r="G12362" s="4" t="n">
        <v>7</v>
      </c>
      <c r="H12362" s="4" t="n">
        <v>4</v>
      </c>
      <c r="I12362" s="4" t="str">
        <v>×</v>
      </c>
      <c r="J12362" s="4"/>
      <c r="K12362" s="4"/>
      <c r="L12362" s="4"/>
      <c r="M12362" s="7" t="s">
        <v>6503</v>
      </c>
    </row>
    <row r="12363" customFormat="false" ht="15.75" hidden="false" customHeight="false" outlineLevel="0" collapsed="false">
      <c r="A12363" s="6" t="n">
        <f aca="false">DATE(2026,8,22)</f>
        <v>46256</v>
      </c>
      <c r="B12363" s="4" t="s">
        <v>179</v>
      </c>
      <c r="C12363" s="4" t="n">
        <v>8</v>
      </c>
      <c r="D12363" s="4" t="n">
        <v>1</v>
      </c>
      <c r="E12363" s="4"/>
      <c r="F12363" s="4" t="n">
        <v>39</v>
      </c>
      <c r="G12363" s="4" t="n">
        <v>3</v>
      </c>
      <c r="H12363" s="4" t="n">
        <v>4</v>
      </c>
      <c r="I12363" s="4" t="str">
        <v>×</v>
      </c>
      <c r="J12363" s="4"/>
      <c r="K12363" s="4"/>
      <c r="L12363" s="4"/>
      <c r="M12363" s="7" t="s">
        <v>6503</v>
      </c>
    </row>
    <row r="12364" customFormat="false" ht="15.75" hidden="false" customHeight="false" outlineLevel="0" collapsed="false">
      <c r="A12364" s="6" t="n">
        <f aca="false">DATE(2026,8,22)</f>
        <v>46256</v>
      </c>
      <c r="B12364" s="4" t="s">
        <v>179</v>
      </c>
      <c r="C12364" s="4" t="n">
        <v>8</v>
      </c>
      <c r="D12364" s="4" t="n">
        <v>2</v>
      </c>
      <c r="E12364" s="4"/>
      <c r="F12364" s="4" t="n">
        <v>25</v>
      </c>
      <c r="G12364" s="4" t="n">
        <v>4</v>
      </c>
      <c r="H12364" s="4" t="n">
        <v>4</v>
      </c>
      <c r="I12364" s="4" t="str">
        <v>×</v>
      </c>
      <c r="J12364" s="4"/>
      <c r="K12364" s="4"/>
      <c r="L12364" s="4"/>
      <c r="M12364" s="7" t="s">
        <v>6503</v>
      </c>
    </row>
    <row r="12365" customFormat="false" ht="15.75" hidden="false" customHeight="false" outlineLevel="0" collapsed="false">
      <c r="A12365" s="6" t="n">
        <f aca="false">DATE(2026,8,22)</f>
        <v>46256</v>
      </c>
      <c r="B12365" s="4" t="s">
        <v>179</v>
      </c>
      <c r="C12365" s="4" t="n">
        <v>8</v>
      </c>
      <c r="D12365" s="4" t="n">
        <v>3</v>
      </c>
      <c r="E12365" s="4"/>
      <c r="F12365" s="4" t="n">
        <v>17</v>
      </c>
      <c r="G12365" s="4" t="n">
        <v>5</v>
      </c>
      <c r="H12365" s="4" t="n">
        <v>4</v>
      </c>
      <c r="I12365" s="4" t="str">
        <v>×</v>
      </c>
      <c r="J12365" s="4"/>
      <c r="K12365" s="4"/>
      <c r="L12365" s="4"/>
      <c r="M12365" s="7" t="s">
        <v>6503</v>
      </c>
    </row>
    <row r="12366" customFormat="false" ht="15.75" hidden="false" customHeight="false" outlineLevel="0" collapsed="false">
      <c r="A12366" s="6" t="n">
        <f aca="false">DATE(2026,8,22)</f>
        <v>46256</v>
      </c>
      <c r="B12366" s="4" t="s">
        <v>179</v>
      </c>
      <c r="C12366" s="4" t="n">
        <v>8</v>
      </c>
      <c r="D12366" s="4" t="n">
        <v>4</v>
      </c>
      <c r="E12366" s="4" t="s">
        <v>309</v>
      </c>
      <c r="F12366" s="4" t="n">
        <v>74</v>
      </c>
      <c r="G12366" s="4" t="n">
        <v>1</v>
      </c>
      <c r="H12366" s="4" t="n">
        <v>1</v>
      </c>
      <c r="I12366" s="4" t="str">
        <v>○</v>
      </c>
      <c r="J12366" s="4" t="n">
        <v>120</v>
      </c>
      <c r="K12366" s="4"/>
      <c r="L12366" s="4"/>
      <c r="M12366" s="7" t="s">
        <v>6503</v>
      </c>
    </row>
    <row r="12367" customFormat="false" ht="15.75" hidden="false" customHeight="false" outlineLevel="0" collapsed="false">
      <c r="A12367" s="6" t="n">
        <f aca="false">DATE(2026,8,22)</f>
        <v>46256</v>
      </c>
      <c r="B12367" s="4" t="s">
        <v>179</v>
      </c>
      <c r="C12367" s="4" t="n">
        <v>8</v>
      </c>
      <c r="D12367" s="4" t="n">
        <v>5</v>
      </c>
      <c r="E12367" s="4" t="s">
        <v>4873</v>
      </c>
      <c r="F12367" s="4" t="n">
        <v>17</v>
      </c>
      <c r="G12367" s="4" t="n">
        <v>5</v>
      </c>
      <c r="H12367" s="4" t="n">
        <v>3</v>
      </c>
      <c r="I12367" s="4" t="str">
        <v>○</v>
      </c>
      <c r="J12367" s="4" t="n">
        <v>330</v>
      </c>
      <c r="K12367" s="4"/>
      <c r="L12367" s="4"/>
      <c r="M12367" s="7" t="s">
        <v>6503</v>
      </c>
    </row>
    <row r="12368" customFormat="false" ht="15.75" hidden="false" customHeight="false" outlineLevel="0" collapsed="false">
      <c r="A12368" s="6" t="n">
        <f aca="false">DATE(2026,8,22)</f>
        <v>46256</v>
      </c>
      <c r="B12368" s="4" t="s">
        <v>179</v>
      </c>
      <c r="C12368" s="4" t="n">
        <v>8</v>
      </c>
      <c r="D12368" s="4" t="n">
        <v>6</v>
      </c>
      <c r="E12368" s="4"/>
      <c r="F12368" s="4" t="n">
        <v>8</v>
      </c>
      <c r="G12368" s="4" t="n">
        <v>10</v>
      </c>
      <c r="H12368" s="4" t="n">
        <v>4</v>
      </c>
      <c r="I12368" s="4" t="str">
        <v>×</v>
      </c>
      <c r="J12368" s="4"/>
      <c r="K12368" s="4"/>
      <c r="L12368" s="4"/>
      <c r="M12368" s="7" t="s">
        <v>6503</v>
      </c>
    </row>
    <row r="12369" customFormat="false" ht="15.75" hidden="false" customHeight="false" outlineLevel="0" collapsed="false">
      <c r="A12369" s="6" t="n">
        <f aca="false">DATE(2026,8,22)</f>
        <v>46256</v>
      </c>
      <c r="B12369" s="4" t="s">
        <v>179</v>
      </c>
      <c r="C12369" s="4" t="n">
        <v>8</v>
      </c>
      <c r="D12369" s="4" t="n">
        <v>7</v>
      </c>
      <c r="E12369" s="4"/>
      <c r="F12369" s="4" t="n">
        <v>17</v>
      </c>
      <c r="G12369" s="4" t="n">
        <v>5</v>
      </c>
      <c r="H12369" s="4" t="n">
        <v>4</v>
      </c>
      <c r="I12369" s="4" t="str">
        <v>×</v>
      </c>
      <c r="J12369" s="4"/>
      <c r="K12369" s="4"/>
      <c r="L12369" s="4"/>
      <c r="M12369" s="7" t="s">
        <v>6503</v>
      </c>
    </row>
    <row r="12370" customFormat="false" ht="15.75" hidden="false" customHeight="false" outlineLevel="0" collapsed="false">
      <c r="A12370" s="6" t="n">
        <f aca="false">DATE(2026,8,22)</f>
        <v>46256</v>
      </c>
      <c r="B12370" s="4" t="s">
        <v>179</v>
      </c>
      <c r="C12370" s="4" t="n">
        <v>8</v>
      </c>
      <c r="D12370" s="4" t="n">
        <v>8</v>
      </c>
      <c r="E12370" s="4" t="s">
        <v>5683</v>
      </c>
      <c r="F12370" s="4" t="n">
        <v>66</v>
      </c>
      <c r="G12370" s="4" t="n">
        <v>2</v>
      </c>
      <c r="H12370" s="4" t="n">
        <v>2</v>
      </c>
      <c r="I12370" s="4" t="str">
        <v>○</v>
      </c>
      <c r="J12370" s="4" t="n">
        <v>120</v>
      </c>
      <c r="K12370" s="4"/>
      <c r="L12370" s="4"/>
      <c r="M12370" s="7" t="s">
        <v>6503</v>
      </c>
    </row>
    <row r="12371" customFormat="false" ht="15.75" hidden="false" customHeight="false" outlineLevel="0" collapsed="false">
      <c r="A12371" s="6" t="n">
        <f aca="false">DATE(2026,8,22)</f>
        <v>46256</v>
      </c>
      <c r="B12371" s="4" t="s">
        <v>179</v>
      </c>
      <c r="C12371" s="4" t="n">
        <v>8</v>
      </c>
      <c r="D12371" s="4" t="n">
        <v>9</v>
      </c>
      <c r="E12371" s="4"/>
      <c r="F12371" s="4" t="n">
        <v>15</v>
      </c>
      <c r="G12371" s="4" t="n">
        <v>8</v>
      </c>
      <c r="H12371" s="4" t="n">
        <v>4</v>
      </c>
      <c r="I12371" s="4" t="str">
        <v>×</v>
      </c>
      <c r="J12371" s="4"/>
      <c r="K12371" s="4"/>
      <c r="L12371" s="4"/>
      <c r="M12371" s="7" t="s">
        <v>6503</v>
      </c>
    </row>
    <row r="12372" customFormat="false" ht="15.75" hidden="false" customHeight="false" outlineLevel="0" collapsed="false">
      <c r="A12372" s="6" t="n">
        <f aca="false">DATE(2026,8,22)</f>
        <v>46256</v>
      </c>
      <c r="B12372" s="4" t="s">
        <v>179</v>
      </c>
      <c r="C12372" s="4" t="n">
        <v>8</v>
      </c>
      <c r="D12372" s="4" t="n">
        <v>10</v>
      </c>
      <c r="E12372" s="4"/>
      <c r="F12372" s="4" t="n">
        <v>10</v>
      </c>
      <c r="G12372" s="4" t="n">
        <v>9</v>
      </c>
      <c r="H12372" s="4" t="n">
        <v>4</v>
      </c>
      <c r="I12372" s="4" t="str">
        <v>×</v>
      </c>
      <c r="J12372" s="4"/>
      <c r="K12372" s="4"/>
      <c r="L12372" s="4"/>
      <c r="M12372" s="7" t="s">
        <v>6503</v>
      </c>
    </row>
    <row r="12373" customFormat="false" ht="15.75" hidden="false" customHeight="false" outlineLevel="0" collapsed="false">
      <c r="A12373" s="6" t="n">
        <f aca="false">DATE(2026,8,22)</f>
        <v>46256</v>
      </c>
      <c r="B12373" s="4" t="s">
        <v>179</v>
      </c>
      <c r="C12373" s="4" t="n">
        <v>9</v>
      </c>
      <c r="D12373" s="4" t="n">
        <v>1</v>
      </c>
      <c r="E12373" s="4" t="s">
        <v>4296</v>
      </c>
      <c r="F12373" s="4" t="n">
        <v>27</v>
      </c>
      <c r="G12373" s="4" t="n">
        <v>6</v>
      </c>
      <c r="H12373" s="4" t="n">
        <v>2</v>
      </c>
      <c r="I12373" s="4" t="str">
        <v>○</v>
      </c>
      <c r="J12373" s="4" t="n">
        <v>890</v>
      </c>
      <c r="K12373" s="4"/>
      <c r="L12373" s="4"/>
      <c r="M12373" s="7" t="s">
        <v>6503</v>
      </c>
    </row>
    <row r="12374" customFormat="false" ht="15.75" hidden="false" customHeight="false" outlineLevel="0" collapsed="false">
      <c r="A12374" s="6" t="n">
        <f aca="false">DATE(2026,8,22)</f>
        <v>46256</v>
      </c>
      <c r="B12374" s="4" t="s">
        <v>179</v>
      </c>
      <c r="C12374" s="4" t="n">
        <v>9</v>
      </c>
      <c r="D12374" s="4" t="n">
        <v>2</v>
      </c>
      <c r="E12374" s="4"/>
      <c r="F12374" s="4" t="n">
        <v>44</v>
      </c>
      <c r="G12374" s="4" t="n">
        <v>1</v>
      </c>
      <c r="H12374" s="4" t="n">
        <v>4</v>
      </c>
      <c r="I12374" s="4" t="str">
        <v>×</v>
      </c>
      <c r="J12374" s="4"/>
      <c r="K12374" s="4"/>
      <c r="L12374" s="4"/>
      <c r="M12374" s="7" t="s">
        <v>6503</v>
      </c>
    </row>
    <row r="12375" customFormat="false" ht="15.75" hidden="false" customHeight="false" outlineLevel="0" collapsed="false">
      <c r="A12375" s="6" t="n">
        <f aca="false">DATE(2026,8,22)</f>
        <v>46256</v>
      </c>
      <c r="B12375" s="4" t="s">
        <v>179</v>
      </c>
      <c r="C12375" s="4" t="n">
        <v>9</v>
      </c>
      <c r="D12375" s="4" t="n">
        <v>3</v>
      </c>
      <c r="E12375" s="4"/>
      <c r="F12375" s="4" t="n">
        <v>44</v>
      </c>
      <c r="G12375" s="4" t="n">
        <v>1</v>
      </c>
      <c r="H12375" s="4" t="n">
        <v>4</v>
      </c>
      <c r="I12375" s="4" t="str">
        <v>×</v>
      </c>
      <c r="J12375" s="4"/>
      <c r="K12375" s="4"/>
      <c r="L12375" s="4"/>
      <c r="M12375" s="7" t="s">
        <v>6503</v>
      </c>
    </row>
    <row r="12376" customFormat="false" ht="15.75" hidden="false" customHeight="false" outlineLevel="0" collapsed="false">
      <c r="A12376" s="6" t="n">
        <f aca="false">DATE(2026,8,22)</f>
        <v>46256</v>
      </c>
      <c r="B12376" s="4" t="s">
        <v>179</v>
      </c>
      <c r="C12376" s="4" t="n">
        <v>9</v>
      </c>
      <c r="D12376" s="4" t="n">
        <v>4</v>
      </c>
      <c r="E12376" s="4"/>
      <c r="F12376" s="4" t="n">
        <v>44</v>
      </c>
      <c r="G12376" s="4" t="n">
        <v>1</v>
      </c>
      <c r="H12376" s="4" t="n">
        <v>4</v>
      </c>
      <c r="I12376" s="4" t="str">
        <v>×</v>
      </c>
      <c r="J12376" s="4"/>
      <c r="K12376" s="4"/>
      <c r="L12376" s="4"/>
      <c r="M12376" s="7" t="s">
        <v>6503</v>
      </c>
    </row>
    <row r="12377" customFormat="false" ht="15.75" hidden="false" customHeight="false" outlineLevel="0" collapsed="false">
      <c r="A12377" s="6" t="n">
        <f aca="false">DATE(2026,8,22)</f>
        <v>46256</v>
      </c>
      <c r="B12377" s="4" t="s">
        <v>179</v>
      </c>
      <c r="C12377" s="4" t="n">
        <v>9</v>
      </c>
      <c r="D12377" s="4" t="n">
        <v>5</v>
      </c>
      <c r="E12377" s="4" t="s">
        <v>578</v>
      </c>
      <c r="F12377" s="4" t="n">
        <v>44</v>
      </c>
      <c r="G12377" s="4" t="n">
        <v>1</v>
      </c>
      <c r="H12377" s="4" t="n">
        <v>1</v>
      </c>
      <c r="I12377" s="4" t="str">
        <v>○</v>
      </c>
      <c r="J12377" s="4" t="n">
        <v>170</v>
      </c>
      <c r="K12377" s="4"/>
      <c r="L12377" s="4"/>
      <c r="M12377" s="7" t="s">
        <v>6503</v>
      </c>
    </row>
    <row r="12378" customFormat="false" ht="15.75" hidden="false" customHeight="false" outlineLevel="0" collapsed="false">
      <c r="A12378" s="6" t="n">
        <f aca="false">DATE(2026,8,22)</f>
        <v>46256</v>
      </c>
      <c r="B12378" s="4" t="s">
        <v>179</v>
      </c>
      <c r="C12378" s="4" t="n">
        <v>9</v>
      </c>
      <c r="D12378" s="4" t="n">
        <v>6</v>
      </c>
      <c r="E12378" s="4" t="s">
        <v>6251</v>
      </c>
      <c r="F12378" s="4" t="n">
        <v>44</v>
      </c>
      <c r="G12378" s="4" t="n">
        <v>1</v>
      </c>
      <c r="H12378" s="4" t="n">
        <v>3</v>
      </c>
      <c r="I12378" s="4" t="str">
        <v>○</v>
      </c>
      <c r="J12378" s="4"/>
      <c r="K12378" s="4"/>
      <c r="L12378" s="4"/>
      <c r="M12378" s="7" t="s">
        <v>6503</v>
      </c>
    </row>
    <row r="12379" customFormat="false" ht="15.75" hidden="false" customHeight="false" outlineLevel="0" collapsed="false">
      <c r="A12379" s="6" t="n">
        <f aca="false">DATE(2026,8,22)</f>
        <v>46256</v>
      </c>
      <c r="B12379" s="4" t="s">
        <v>179</v>
      </c>
      <c r="C12379" s="4" t="n">
        <v>10</v>
      </c>
      <c r="D12379" s="4" t="n">
        <v>1</v>
      </c>
      <c r="E12379" s="4"/>
      <c r="F12379" s="4" t="n">
        <v>56</v>
      </c>
      <c r="G12379" s="4" t="n">
        <v>1</v>
      </c>
      <c r="H12379" s="4" t="n">
        <v>4</v>
      </c>
      <c r="I12379" s="4" t="str">
        <v>×</v>
      </c>
      <c r="J12379" s="4"/>
      <c r="K12379" s="4"/>
      <c r="L12379" s="4"/>
      <c r="M12379" s="7" t="s">
        <v>6503</v>
      </c>
    </row>
    <row r="12380" customFormat="false" ht="15.75" hidden="false" customHeight="false" outlineLevel="0" collapsed="false">
      <c r="A12380" s="6" t="n">
        <f aca="false">DATE(2026,8,22)</f>
        <v>46256</v>
      </c>
      <c r="B12380" s="4" t="s">
        <v>179</v>
      </c>
      <c r="C12380" s="4" t="n">
        <v>10</v>
      </c>
      <c r="D12380" s="4" t="n">
        <v>2</v>
      </c>
      <c r="E12380" s="4" t="s">
        <v>6519</v>
      </c>
      <c r="F12380" s="4" t="n">
        <v>23</v>
      </c>
      <c r="G12380" s="4" t="n">
        <v>7</v>
      </c>
      <c r="H12380" s="4" t="n">
        <v>3</v>
      </c>
      <c r="I12380" s="4" t="str">
        <v>○</v>
      </c>
      <c r="J12380" s="4" t="n">
        <v>400</v>
      </c>
      <c r="K12380" s="4"/>
      <c r="L12380" s="4"/>
      <c r="M12380" s="7" t="s">
        <v>6503</v>
      </c>
    </row>
    <row r="12381" customFormat="false" ht="15.75" hidden="false" customHeight="false" outlineLevel="0" collapsed="false">
      <c r="A12381" s="6" t="n">
        <f aca="false">DATE(2026,8,22)</f>
        <v>46256</v>
      </c>
      <c r="B12381" s="4" t="s">
        <v>179</v>
      </c>
      <c r="C12381" s="4" t="n">
        <v>10</v>
      </c>
      <c r="D12381" s="4" t="n">
        <v>3</v>
      </c>
      <c r="E12381" s="4" t="s">
        <v>5537</v>
      </c>
      <c r="F12381" s="4" t="n">
        <v>50</v>
      </c>
      <c r="G12381" s="4" t="n">
        <v>2</v>
      </c>
      <c r="H12381" s="4" t="n">
        <v>1</v>
      </c>
      <c r="I12381" s="4" t="str">
        <v>○</v>
      </c>
      <c r="J12381" s="4" t="n">
        <v>190</v>
      </c>
      <c r="K12381" s="4"/>
      <c r="L12381" s="4"/>
      <c r="M12381" s="7" t="s">
        <v>6503</v>
      </c>
    </row>
    <row r="12382" customFormat="false" ht="15.75" hidden="false" customHeight="false" outlineLevel="0" collapsed="false">
      <c r="A12382" s="6" t="n">
        <f aca="false">DATE(2026,8,22)</f>
        <v>46256</v>
      </c>
      <c r="B12382" s="4" t="s">
        <v>179</v>
      </c>
      <c r="C12382" s="4" t="n">
        <v>10</v>
      </c>
      <c r="D12382" s="4" t="n">
        <v>4</v>
      </c>
      <c r="E12382" s="4"/>
      <c r="F12382" s="4" t="n">
        <v>10</v>
      </c>
      <c r="G12382" s="4" t="n">
        <v>9</v>
      </c>
      <c r="H12382" s="4" t="n">
        <v>4</v>
      </c>
      <c r="I12382" s="4" t="str">
        <v>×</v>
      </c>
      <c r="J12382" s="4"/>
      <c r="K12382" s="4"/>
      <c r="L12382" s="4"/>
      <c r="M12382" s="7" t="s">
        <v>6503</v>
      </c>
    </row>
    <row r="12383" customFormat="false" ht="15.75" hidden="false" customHeight="false" outlineLevel="0" collapsed="false">
      <c r="A12383" s="6" t="n">
        <f aca="false">DATE(2026,8,22)</f>
        <v>46256</v>
      </c>
      <c r="B12383" s="4" t="s">
        <v>179</v>
      </c>
      <c r="C12383" s="4" t="n">
        <v>10</v>
      </c>
      <c r="D12383" s="4" t="n">
        <v>5</v>
      </c>
      <c r="E12383" s="4"/>
      <c r="F12383" s="4" t="n">
        <v>8</v>
      </c>
      <c r="G12383" s="4" t="n">
        <v>10</v>
      </c>
      <c r="H12383" s="4" t="n">
        <v>4</v>
      </c>
      <c r="I12383" s="4" t="str">
        <v>×</v>
      </c>
      <c r="J12383" s="4"/>
      <c r="K12383" s="4"/>
      <c r="L12383" s="4"/>
      <c r="M12383" s="7" t="s">
        <v>6503</v>
      </c>
    </row>
    <row r="12384" customFormat="false" ht="15.75" hidden="false" customHeight="false" outlineLevel="0" collapsed="false">
      <c r="A12384" s="6" t="n">
        <f aca="false">DATE(2026,8,22)</f>
        <v>46256</v>
      </c>
      <c r="B12384" s="4" t="s">
        <v>179</v>
      </c>
      <c r="C12384" s="4" t="n">
        <v>10</v>
      </c>
      <c r="D12384" s="4" t="n">
        <v>6</v>
      </c>
      <c r="E12384" s="4"/>
      <c r="F12384" s="4" t="n">
        <v>3</v>
      </c>
      <c r="G12384" s="4" t="n">
        <v>12</v>
      </c>
      <c r="H12384" s="4" t="n">
        <v>4</v>
      </c>
      <c r="I12384" s="4" t="str">
        <v>×</v>
      </c>
      <c r="J12384" s="4"/>
      <c r="K12384" s="4"/>
      <c r="L12384" s="4"/>
      <c r="M12384" s="7" t="s">
        <v>6503</v>
      </c>
    </row>
    <row r="12385" customFormat="false" ht="15.75" hidden="false" customHeight="false" outlineLevel="0" collapsed="false">
      <c r="A12385" s="6" t="n">
        <f aca="false">DATE(2026,8,22)</f>
        <v>46256</v>
      </c>
      <c r="B12385" s="4" t="s">
        <v>179</v>
      </c>
      <c r="C12385" s="4" t="n">
        <v>10</v>
      </c>
      <c r="D12385" s="4" t="n">
        <v>7</v>
      </c>
      <c r="E12385" s="4"/>
      <c r="F12385" s="4" t="n">
        <v>39</v>
      </c>
      <c r="G12385" s="4" t="n">
        <v>3</v>
      </c>
      <c r="H12385" s="4" t="n">
        <v>4</v>
      </c>
      <c r="I12385" s="4" t="str">
        <v>×</v>
      </c>
      <c r="J12385" s="4"/>
      <c r="K12385" s="4"/>
      <c r="L12385" s="4"/>
      <c r="M12385" s="7" t="s">
        <v>6503</v>
      </c>
    </row>
    <row r="12386" customFormat="false" ht="15.75" hidden="false" customHeight="false" outlineLevel="0" collapsed="false">
      <c r="A12386" s="6" t="n">
        <f aca="false">DATE(2026,8,22)</f>
        <v>46256</v>
      </c>
      <c r="B12386" s="4" t="s">
        <v>179</v>
      </c>
      <c r="C12386" s="4" t="n">
        <v>10</v>
      </c>
      <c r="D12386" s="4" t="n">
        <v>8</v>
      </c>
      <c r="E12386" s="4"/>
      <c r="F12386" s="4" t="n">
        <v>4</v>
      </c>
      <c r="G12386" s="4" t="n">
        <v>11</v>
      </c>
      <c r="H12386" s="4" t="n">
        <v>4</v>
      </c>
      <c r="I12386" s="4" t="str">
        <v>×</v>
      </c>
      <c r="J12386" s="4"/>
      <c r="K12386" s="4"/>
      <c r="L12386" s="4"/>
      <c r="M12386" s="7" t="s">
        <v>6503</v>
      </c>
    </row>
    <row r="12387" customFormat="false" ht="15.75" hidden="false" customHeight="false" outlineLevel="0" collapsed="false">
      <c r="A12387" s="6" t="n">
        <f aca="false">DATE(2026,8,22)</f>
        <v>46256</v>
      </c>
      <c r="B12387" s="4" t="s">
        <v>179</v>
      </c>
      <c r="C12387" s="4" t="n">
        <v>10</v>
      </c>
      <c r="D12387" s="4" t="n">
        <v>9</v>
      </c>
      <c r="E12387" s="4"/>
      <c r="F12387" s="4" t="n">
        <v>39</v>
      </c>
      <c r="G12387" s="4" t="n">
        <v>3</v>
      </c>
      <c r="H12387" s="4" t="n">
        <v>4</v>
      </c>
      <c r="I12387" s="4" t="str">
        <v>×</v>
      </c>
      <c r="J12387" s="4"/>
      <c r="K12387" s="4"/>
      <c r="L12387" s="4"/>
      <c r="M12387" s="7" t="s">
        <v>6503</v>
      </c>
    </row>
    <row r="12388" customFormat="false" ht="15.75" hidden="false" customHeight="false" outlineLevel="0" collapsed="false">
      <c r="A12388" s="6" t="n">
        <f aca="false">DATE(2026,8,22)</f>
        <v>46256</v>
      </c>
      <c r="B12388" s="4" t="s">
        <v>179</v>
      </c>
      <c r="C12388" s="4" t="n">
        <v>10</v>
      </c>
      <c r="D12388" s="4" t="n">
        <v>10</v>
      </c>
      <c r="E12388" s="4" t="s">
        <v>6421</v>
      </c>
      <c r="F12388" s="4" t="n">
        <v>29</v>
      </c>
      <c r="G12388" s="4" t="n">
        <v>5</v>
      </c>
      <c r="H12388" s="4" t="n">
        <v>2</v>
      </c>
      <c r="I12388" s="4" t="str">
        <v>○</v>
      </c>
      <c r="J12388" s="4" t="n">
        <v>490</v>
      </c>
      <c r="K12388" s="4"/>
      <c r="L12388" s="4"/>
      <c r="M12388" s="7" t="s">
        <v>6503</v>
      </c>
    </row>
    <row r="12389" customFormat="false" ht="15.75" hidden="false" customHeight="false" outlineLevel="0" collapsed="false">
      <c r="A12389" s="6" t="n">
        <f aca="false">DATE(2026,8,22)</f>
        <v>46256</v>
      </c>
      <c r="B12389" s="4" t="s">
        <v>179</v>
      </c>
      <c r="C12389" s="4" t="n">
        <v>10</v>
      </c>
      <c r="D12389" s="4" t="n">
        <v>11</v>
      </c>
      <c r="E12389" s="4"/>
      <c r="F12389" s="4" t="n">
        <v>13</v>
      </c>
      <c r="G12389" s="4" t="n">
        <v>8</v>
      </c>
      <c r="H12389" s="4" t="n">
        <v>4</v>
      </c>
      <c r="I12389" s="4" t="str">
        <v>×</v>
      </c>
      <c r="J12389" s="4"/>
      <c r="K12389" s="4"/>
      <c r="L12389" s="4"/>
      <c r="M12389" s="7" t="s">
        <v>6503</v>
      </c>
    </row>
    <row r="12390" customFormat="false" ht="15.75" hidden="false" customHeight="false" outlineLevel="0" collapsed="false">
      <c r="A12390" s="6" t="n">
        <f aca="false">DATE(2026,8,22)</f>
        <v>46256</v>
      </c>
      <c r="B12390" s="4" t="s">
        <v>179</v>
      </c>
      <c r="C12390" s="4" t="n">
        <v>10</v>
      </c>
      <c r="D12390" s="4" t="n">
        <v>12</v>
      </c>
      <c r="E12390" s="4"/>
      <c r="F12390" s="4" t="n">
        <v>25</v>
      </c>
      <c r="G12390" s="4" t="n">
        <v>6</v>
      </c>
      <c r="H12390" s="4" t="n">
        <v>4</v>
      </c>
      <c r="I12390" s="4" t="str">
        <v>×</v>
      </c>
      <c r="J12390" s="4"/>
      <c r="K12390" s="4"/>
      <c r="L12390" s="4"/>
      <c r="M12390" s="7" t="s">
        <v>6503</v>
      </c>
    </row>
    <row r="12391" customFormat="false" ht="15.75" hidden="false" customHeight="false" outlineLevel="0" collapsed="false">
      <c r="A12391" s="6" t="n">
        <f aca="false">DATE(2026,8,22)</f>
        <v>46256</v>
      </c>
      <c r="B12391" s="4" t="s">
        <v>179</v>
      </c>
      <c r="C12391" s="4" t="n">
        <v>11</v>
      </c>
      <c r="D12391" s="4" t="n">
        <v>1</v>
      </c>
      <c r="E12391" s="4"/>
      <c r="F12391" s="4" t="n">
        <v>8</v>
      </c>
      <c r="G12391" s="4" t="n">
        <v>11</v>
      </c>
      <c r="H12391" s="4" t="n">
        <v>4</v>
      </c>
      <c r="I12391" s="4" t="str">
        <v>×</v>
      </c>
      <c r="J12391" s="4"/>
      <c r="K12391" s="4"/>
      <c r="L12391" s="4"/>
      <c r="M12391" s="7" t="s">
        <v>6503</v>
      </c>
    </row>
    <row r="12392" customFormat="false" ht="15.75" hidden="false" customHeight="false" outlineLevel="0" collapsed="false">
      <c r="A12392" s="6" t="n">
        <f aca="false">DATE(2026,8,22)</f>
        <v>46256</v>
      </c>
      <c r="B12392" s="4" t="s">
        <v>179</v>
      </c>
      <c r="C12392" s="4" t="n">
        <v>11</v>
      </c>
      <c r="D12392" s="4" t="n">
        <v>2</v>
      </c>
      <c r="E12392" s="4"/>
      <c r="F12392" s="4" t="n">
        <v>4</v>
      </c>
      <c r="G12392" s="4" t="n">
        <v>15</v>
      </c>
      <c r="H12392" s="4" t="n">
        <v>4</v>
      </c>
      <c r="I12392" s="4" t="str">
        <v>×</v>
      </c>
      <c r="J12392" s="4"/>
      <c r="K12392" s="4"/>
      <c r="L12392" s="4"/>
      <c r="M12392" s="7" t="s">
        <v>6503</v>
      </c>
    </row>
    <row r="12393" customFormat="false" ht="15.75" hidden="false" customHeight="false" outlineLevel="0" collapsed="false">
      <c r="A12393" s="6" t="n">
        <f aca="false">DATE(2026,8,22)</f>
        <v>46256</v>
      </c>
      <c r="B12393" s="4" t="s">
        <v>179</v>
      </c>
      <c r="C12393" s="4" t="n">
        <v>11</v>
      </c>
      <c r="D12393" s="4" t="n">
        <v>3</v>
      </c>
      <c r="E12393" s="4"/>
      <c r="F12393" s="4" t="n">
        <v>44</v>
      </c>
      <c r="G12393" s="4" t="n">
        <v>3</v>
      </c>
      <c r="H12393" s="4" t="n">
        <v>4</v>
      </c>
      <c r="I12393" s="4" t="str">
        <v>×</v>
      </c>
      <c r="J12393" s="4"/>
      <c r="K12393" s="4"/>
      <c r="L12393" s="4"/>
      <c r="M12393" s="7" t="s">
        <v>6503</v>
      </c>
    </row>
    <row r="12394" customFormat="false" ht="15.75" hidden="false" customHeight="false" outlineLevel="0" collapsed="false">
      <c r="A12394" s="6" t="n">
        <f aca="false">DATE(2026,8,22)</f>
        <v>46256</v>
      </c>
      <c r="B12394" s="4" t="s">
        <v>179</v>
      </c>
      <c r="C12394" s="4" t="n">
        <v>11</v>
      </c>
      <c r="D12394" s="4" t="n">
        <v>4</v>
      </c>
      <c r="E12394" s="4" t="s">
        <v>232</v>
      </c>
      <c r="F12394" s="4" t="n">
        <v>34</v>
      </c>
      <c r="G12394" s="4" t="n">
        <v>4</v>
      </c>
      <c r="H12394" s="4" t="n">
        <v>3</v>
      </c>
      <c r="I12394" s="4" t="str">
        <v>○</v>
      </c>
      <c r="J12394" s="4" t="n">
        <v>190</v>
      </c>
      <c r="K12394" s="4"/>
      <c r="L12394" s="4"/>
      <c r="M12394" s="7" t="s">
        <v>6503</v>
      </c>
    </row>
    <row r="12395" customFormat="false" ht="15.75" hidden="false" customHeight="false" outlineLevel="0" collapsed="false">
      <c r="A12395" s="6" t="n">
        <f aca="false">DATE(2026,8,22)</f>
        <v>46256</v>
      </c>
      <c r="B12395" s="4" t="s">
        <v>179</v>
      </c>
      <c r="C12395" s="4" t="n">
        <v>11</v>
      </c>
      <c r="D12395" s="4" t="n">
        <v>5</v>
      </c>
      <c r="E12395" s="4"/>
      <c r="F12395" s="4" t="n">
        <v>10</v>
      </c>
      <c r="G12395" s="4" t="n">
        <v>9</v>
      </c>
      <c r="H12395" s="4" t="n">
        <v>4</v>
      </c>
      <c r="I12395" s="4" t="str">
        <v>×</v>
      </c>
      <c r="J12395" s="4"/>
      <c r="K12395" s="4"/>
      <c r="L12395" s="4"/>
      <c r="M12395" s="7" t="s">
        <v>6503</v>
      </c>
    </row>
    <row r="12396" customFormat="false" ht="15.75" hidden="false" customHeight="false" outlineLevel="0" collapsed="false">
      <c r="A12396" s="6" t="n">
        <f aca="false">DATE(2026,8,22)</f>
        <v>46256</v>
      </c>
      <c r="B12396" s="4" t="s">
        <v>179</v>
      </c>
      <c r="C12396" s="4" t="n">
        <v>11</v>
      </c>
      <c r="D12396" s="4" t="n">
        <v>6</v>
      </c>
      <c r="E12396" s="4"/>
      <c r="F12396" s="4" t="n">
        <v>8</v>
      </c>
      <c r="G12396" s="4" t="n">
        <v>11</v>
      </c>
      <c r="H12396" s="4" t="n">
        <v>4</v>
      </c>
      <c r="I12396" s="4" t="str">
        <v>×</v>
      </c>
      <c r="J12396" s="4"/>
      <c r="K12396" s="4"/>
      <c r="L12396" s="4"/>
      <c r="M12396" s="7" t="s">
        <v>6503</v>
      </c>
    </row>
    <row r="12397" customFormat="false" ht="15.75" hidden="false" customHeight="false" outlineLevel="0" collapsed="false">
      <c r="A12397" s="6" t="n">
        <f aca="false">DATE(2026,8,22)</f>
        <v>46256</v>
      </c>
      <c r="B12397" s="4" t="s">
        <v>179</v>
      </c>
      <c r="C12397" s="4" t="n">
        <v>11</v>
      </c>
      <c r="D12397" s="4" t="n">
        <v>7</v>
      </c>
      <c r="E12397" s="4" t="s">
        <v>3910</v>
      </c>
      <c r="F12397" s="4" t="n">
        <v>25</v>
      </c>
      <c r="G12397" s="4" t="n">
        <v>6</v>
      </c>
      <c r="H12397" s="4" t="n">
        <v>2</v>
      </c>
      <c r="I12397" s="4" t="str">
        <v>○</v>
      </c>
      <c r="J12397" s="4" t="n">
        <v>360</v>
      </c>
      <c r="K12397" s="4"/>
      <c r="L12397" s="4"/>
      <c r="M12397" s="7" t="s">
        <v>6503</v>
      </c>
    </row>
    <row r="12398" customFormat="false" ht="15.75" hidden="false" customHeight="false" outlineLevel="0" collapsed="false">
      <c r="A12398" s="6" t="n">
        <f aca="false">DATE(2026,8,22)</f>
        <v>46256</v>
      </c>
      <c r="B12398" s="4" t="s">
        <v>179</v>
      </c>
      <c r="C12398" s="4" t="n">
        <v>11</v>
      </c>
      <c r="D12398" s="4" t="n">
        <v>8</v>
      </c>
      <c r="E12398" s="4"/>
      <c r="F12398" s="4" t="n">
        <v>31</v>
      </c>
      <c r="G12398" s="4" t="n">
        <v>5</v>
      </c>
      <c r="H12398" s="4" t="n">
        <v>4</v>
      </c>
      <c r="I12398" s="4" t="str">
        <v>×</v>
      </c>
      <c r="J12398" s="4"/>
      <c r="K12398" s="4"/>
      <c r="L12398" s="4"/>
      <c r="M12398" s="7" t="s">
        <v>6503</v>
      </c>
    </row>
    <row r="12399" customFormat="false" ht="15.75" hidden="false" customHeight="false" outlineLevel="0" collapsed="false">
      <c r="A12399" s="6" t="n">
        <f aca="false">DATE(2026,8,22)</f>
        <v>46256</v>
      </c>
      <c r="B12399" s="4" t="s">
        <v>179</v>
      </c>
      <c r="C12399" s="4" t="n">
        <v>11</v>
      </c>
      <c r="D12399" s="4" t="n">
        <v>9</v>
      </c>
      <c r="E12399" s="4"/>
      <c r="F12399" s="4" t="n">
        <v>20</v>
      </c>
      <c r="G12399" s="4" t="n">
        <v>7</v>
      </c>
      <c r="H12399" s="4" t="n">
        <v>4</v>
      </c>
      <c r="I12399" s="4" t="str">
        <v>×</v>
      </c>
      <c r="J12399" s="4"/>
      <c r="K12399" s="4"/>
      <c r="L12399" s="4"/>
      <c r="M12399" s="7" t="s">
        <v>6503</v>
      </c>
    </row>
    <row r="12400" customFormat="false" ht="15.75" hidden="false" customHeight="false" outlineLevel="0" collapsed="false">
      <c r="A12400" s="6" t="n">
        <f aca="false">DATE(2026,8,22)</f>
        <v>46256</v>
      </c>
      <c r="B12400" s="4" t="s">
        <v>179</v>
      </c>
      <c r="C12400" s="4" t="n">
        <v>11</v>
      </c>
      <c r="D12400" s="4" t="n">
        <v>10</v>
      </c>
      <c r="E12400" s="4"/>
      <c r="F12400" s="4" t="n">
        <v>8</v>
      </c>
      <c r="G12400" s="4" t="n">
        <v>11</v>
      </c>
      <c r="H12400" s="4" t="n">
        <v>4</v>
      </c>
      <c r="I12400" s="4" t="str">
        <v>×</v>
      </c>
      <c r="J12400" s="4"/>
      <c r="K12400" s="4"/>
      <c r="L12400" s="4"/>
      <c r="M12400" s="7" t="s">
        <v>6503</v>
      </c>
    </row>
    <row r="12401" customFormat="false" ht="15.75" hidden="false" customHeight="false" outlineLevel="0" collapsed="false">
      <c r="A12401" s="6" t="n">
        <f aca="false">DATE(2026,8,22)</f>
        <v>46256</v>
      </c>
      <c r="B12401" s="4" t="s">
        <v>179</v>
      </c>
      <c r="C12401" s="4" t="n">
        <v>11</v>
      </c>
      <c r="D12401" s="4" t="n">
        <v>11</v>
      </c>
      <c r="E12401" s="4"/>
      <c r="F12401" s="4" t="n">
        <v>3</v>
      </c>
      <c r="G12401" s="4" t="n">
        <v>16</v>
      </c>
      <c r="H12401" s="4" t="n">
        <v>4</v>
      </c>
      <c r="I12401" s="4" t="str">
        <v>×</v>
      </c>
      <c r="J12401" s="4"/>
      <c r="K12401" s="4"/>
      <c r="L12401" s="4"/>
      <c r="M12401" s="7" t="s">
        <v>6503</v>
      </c>
    </row>
    <row r="12402" customFormat="false" ht="15.75" hidden="false" customHeight="false" outlineLevel="0" collapsed="false">
      <c r="A12402" s="6" t="n">
        <f aca="false">DATE(2026,8,22)</f>
        <v>46256</v>
      </c>
      <c r="B12402" s="4" t="s">
        <v>179</v>
      </c>
      <c r="C12402" s="4" t="n">
        <v>11</v>
      </c>
      <c r="D12402" s="4" t="n">
        <v>12</v>
      </c>
      <c r="E12402" s="4" t="s">
        <v>6520</v>
      </c>
      <c r="F12402" s="4" t="n">
        <v>56</v>
      </c>
      <c r="G12402" s="4" t="n">
        <v>1</v>
      </c>
      <c r="H12402" s="4" t="n">
        <v>1</v>
      </c>
      <c r="I12402" s="4" t="str">
        <v>○</v>
      </c>
      <c r="J12402" s="4" t="n">
        <v>150</v>
      </c>
      <c r="K12402" s="4"/>
      <c r="L12402" s="4"/>
      <c r="M12402" s="7" t="s">
        <v>6503</v>
      </c>
    </row>
    <row r="12403" customFormat="false" ht="15.75" hidden="false" customHeight="false" outlineLevel="0" collapsed="false">
      <c r="A12403" s="6" t="n">
        <f aca="false">DATE(2026,8,22)</f>
        <v>46256</v>
      </c>
      <c r="B12403" s="4" t="s">
        <v>179</v>
      </c>
      <c r="C12403" s="4" t="n">
        <v>11</v>
      </c>
      <c r="D12403" s="4" t="n">
        <v>13</v>
      </c>
      <c r="E12403" s="4"/>
      <c r="F12403" s="4" t="n">
        <v>47</v>
      </c>
      <c r="G12403" s="4" t="n">
        <v>2</v>
      </c>
      <c r="H12403" s="4" t="n">
        <v>4</v>
      </c>
      <c r="I12403" s="4" t="str">
        <v>×</v>
      </c>
      <c r="J12403" s="4"/>
      <c r="K12403" s="4"/>
      <c r="L12403" s="4"/>
      <c r="M12403" s="7" t="s">
        <v>6503</v>
      </c>
    </row>
    <row r="12404" customFormat="false" ht="15.75" hidden="false" customHeight="false" outlineLevel="0" collapsed="false">
      <c r="A12404" s="6" t="n">
        <f aca="false">DATE(2026,8,22)</f>
        <v>46256</v>
      </c>
      <c r="B12404" s="4" t="s">
        <v>179</v>
      </c>
      <c r="C12404" s="4" t="n">
        <v>11</v>
      </c>
      <c r="D12404" s="4" t="n">
        <v>14</v>
      </c>
      <c r="E12404" s="4"/>
      <c r="F12404" s="4" t="n">
        <v>6</v>
      </c>
      <c r="G12404" s="4" t="n">
        <v>14</v>
      </c>
      <c r="H12404" s="4" t="n">
        <v>4</v>
      </c>
      <c r="I12404" s="4" t="str">
        <v>×</v>
      </c>
      <c r="J12404" s="4"/>
      <c r="K12404" s="4"/>
      <c r="L12404" s="4"/>
      <c r="M12404" s="7" t="s">
        <v>6503</v>
      </c>
    </row>
    <row r="12405" customFormat="false" ht="15.75" hidden="false" customHeight="false" outlineLevel="0" collapsed="false">
      <c r="A12405" s="6" t="n">
        <f aca="false">DATE(2026,8,22)</f>
        <v>46256</v>
      </c>
      <c r="B12405" s="4" t="s">
        <v>179</v>
      </c>
      <c r="C12405" s="4" t="n">
        <v>11</v>
      </c>
      <c r="D12405" s="4" t="n">
        <v>15</v>
      </c>
      <c r="E12405" s="4"/>
      <c r="F12405" s="4" t="n">
        <v>20</v>
      </c>
      <c r="G12405" s="4" t="n">
        <v>7</v>
      </c>
      <c r="H12405" s="4" t="n">
        <v>4</v>
      </c>
      <c r="I12405" s="4" t="str">
        <v>×</v>
      </c>
      <c r="J12405" s="4"/>
      <c r="K12405" s="4"/>
      <c r="L12405" s="4"/>
      <c r="M12405" s="7" t="s">
        <v>6503</v>
      </c>
    </row>
    <row r="12406" customFormat="false" ht="15.75" hidden="false" customHeight="false" outlineLevel="0" collapsed="false">
      <c r="A12406" s="6" t="n">
        <f aca="false">DATE(2026,8,22)</f>
        <v>46256</v>
      </c>
      <c r="B12406" s="4" t="s">
        <v>179</v>
      </c>
      <c r="C12406" s="4" t="n">
        <v>11</v>
      </c>
      <c r="D12406" s="4" t="n">
        <v>16</v>
      </c>
      <c r="E12406" s="4"/>
      <c r="F12406" s="4" t="n">
        <v>10</v>
      </c>
      <c r="G12406" s="4" t="n">
        <v>9</v>
      </c>
      <c r="H12406" s="4" t="n">
        <v>4</v>
      </c>
      <c r="I12406" s="4" t="str">
        <v>×</v>
      </c>
      <c r="J12406" s="4"/>
      <c r="K12406" s="4"/>
      <c r="L12406" s="4"/>
      <c r="M12406" s="7" t="s">
        <v>6503</v>
      </c>
    </row>
    <row r="12407" customFormat="false" ht="15.75" hidden="false" customHeight="false" outlineLevel="0" collapsed="false">
      <c r="A12407" s="6" t="n">
        <f aca="false">DATE(2026,8,22)</f>
        <v>46256</v>
      </c>
      <c r="B12407" s="4" t="s">
        <v>179</v>
      </c>
      <c r="C12407" s="4" t="n">
        <v>12</v>
      </c>
      <c r="D12407" s="4" t="n">
        <v>1</v>
      </c>
      <c r="E12407" s="4"/>
      <c r="F12407" s="4" t="n">
        <v>4</v>
      </c>
      <c r="G12407" s="4" t="n">
        <v>14</v>
      </c>
      <c r="H12407" s="4" t="n">
        <v>4</v>
      </c>
      <c r="I12407" s="4" t="str">
        <v>×</v>
      </c>
      <c r="J12407" s="4"/>
      <c r="K12407" s="4"/>
      <c r="L12407" s="4"/>
      <c r="M12407" s="7" t="s">
        <v>6503</v>
      </c>
    </row>
    <row r="12408" customFormat="false" ht="15.75" hidden="false" customHeight="false" outlineLevel="0" collapsed="false">
      <c r="A12408" s="6" t="n">
        <f aca="false">DATE(2026,8,22)</f>
        <v>46256</v>
      </c>
      <c r="B12408" s="4" t="s">
        <v>179</v>
      </c>
      <c r="C12408" s="4" t="n">
        <v>12</v>
      </c>
      <c r="D12408" s="4" t="n">
        <v>2</v>
      </c>
      <c r="E12408" s="4"/>
      <c r="F12408" s="4" t="n">
        <v>6</v>
      </c>
      <c r="G12408" s="4" t="n">
        <v>12</v>
      </c>
      <c r="H12408" s="4" t="n">
        <v>4</v>
      </c>
      <c r="I12408" s="4" t="str">
        <v>×</v>
      </c>
      <c r="J12408" s="4"/>
      <c r="K12408" s="4"/>
      <c r="L12408" s="4"/>
      <c r="M12408" s="7" t="s">
        <v>6503</v>
      </c>
    </row>
    <row r="12409" customFormat="false" ht="15.75" hidden="false" customHeight="false" outlineLevel="0" collapsed="false">
      <c r="A12409" s="6" t="n">
        <f aca="false">DATE(2026,8,22)</f>
        <v>46256</v>
      </c>
      <c r="B12409" s="4" t="s">
        <v>179</v>
      </c>
      <c r="C12409" s="4" t="n">
        <v>12</v>
      </c>
      <c r="D12409" s="4" t="n">
        <v>3</v>
      </c>
      <c r="E12409" s="4"/>
      <c r="F12409" s="4" t="n">
        <v>10</v>
      </c>
      <c r="G12409" s="4" t="n">
        <v>8</v>
      </c>
      <c r="H12409" s="4" t="n">
        <v>4</v>
      </c>
      <c r="I12409" s="4" t="str">
        <v>×</v>
      </c>
      <c r="J12409" s="4"/>
      <c r="K12409" s="4"/>
      <c r="L12409" s="4"/>
      <c r="M12409" s="7" t="s">
        <v>6503</v>
      </c>
    </row>
    <row r="12410" customFormat="false" ht="15.75" hidden="false" customHeight="false" outlineLevel="0" collapsed="false">
      <c r="A12410" s="6" t="n">
        <f aca="false">DATE(2026,8,22)</f>
        <v>46256</v>
      </c>
      <c r="B12410" s="4" t="s">
        <v>179</v>
      </c>
      <c r="C12410" s="4" t="n">
        <v>12</v>
      </c>
      <c r="D12410" s="4" t="n">
        <v>4</v>
      </c>
      <c r="E12410" s="4" t="s">
        <v>3444</v>
      </c>
      <c r="F12410" s="4" t="n">
        <v>8</v>
      </c>
      <c r="G12410" s="4" t="n">
        <v>11</v>
      </c>
      <c r="H12410" s="4" t="n">
        <v>3</v>
      </c>
      <c r="I12410" s="4" t="str">
        <v>○</v>
      </c>
      <c r="J12410" s="4" t="n">
        <v>510</v>
      </c>
      <c r="K12410" s="4"/>
      <c r="L12410" s="4"/>
      <c r="M12410" s="7" t="s">
        <v>6503</v>
      </c>
    </row>
    <row r="12411" customFormat="false" ht="15.75" hidden="false" customHeight="false" outlineLevel="0" collapsed="false">
      <c r="A12411" s="6" t="n">
        <f aca="false">DATE(2026,8,22)</f>
        <v>46256</v>
      </c>
      <c r="B12411" s="4" t="s">
        <v>179</v>
      </c>
      <c r="C12411" s="4" t="n">
        <v>12</v>
      </c>
      <c r="D12411" s="4" t="n">
        <v>5</v>
      </c>
      <c r="E12411" s="4"/>
      <c r="F12411" s="4" t="n">
        <v>4</v>
      </c>
      <c r="G12411" s="4" t="n">
        <v>14</v>
      </c>
      <c r="H12411" s="4" t="n">
        <v>4</v>
      </c>
      <c r="I12411" s="4" t="str">
        <v>×</v>
      </c>
      <c r="J12411" s="4"/>
      <c r="K12411" s="4"/>
      <c r="L12411" s="4"/>
      <c r="M12411" s="7" t="s">
        <v>6503</v>
      </c>
    </row>
    <row r="12412" customFormat="false" ht="15.75" hidden="false" customHeight="false" outlineLevel="0" collapsed="false">
      <c r="A12412" s="6" t="n">
        <f aca="false">DATE(2026,8,22)</f>
        <v>46256</v>
      </c>
      <c r="B12412" s="4" t="s">
        <v>179</v>
      </c>
      <c r="C12412" s="4" t="n">
        <v>12</v>
      </c>
      <c r="D12412" s="4" t="n">
        <v>6</v>
      </c>
      <c r="E12412" s="4"/>
      <c r="F12412" s="4" t="n">
        <v>4</v>
      </c>
      <c r="G12412" s="4" t="n">
        <v>14</v>
      </c>
      <c r="H12412" s="4" t="n">
        <v>4</v>
      </c>
      <c r="I12412" s="4" t="str">
        <v>×</v>
      </c>
      <c r="J12412" s="4"/>
      <c r="K12412" s="4"/>
      <c r="L12412" s="4"/>
      <c r="M12412" s="7" t="s">
        <v>6503</v>
      </c>
    </row>
    <row r="12413" customFormat="false" ht="15.75" hidden="false" customHeight="false" outlineLevel="0" collapsed="false">
      <c r="A12413" s="6" t="n">
        <f aca="false">DATE(2026,8,22)</f>
        <v>46256</v>
      </c>
      <c r="B12413" s="4" t="s">
        <v>179</v>
      </c>
      <c r="C12413" s="4" t="n">
        <v>12</v>
      </c>
      <c r="D12413" s="4" t="n">
        <v>7</v>
      </c>
      <c r="E12413" s="4"/>
      <c r="F12413" s="4" t="n">
        <v>13</v>
      </c>
      <c r="G12413" s="4" t="n">
        <v>6</v>
      </c>
      <c r="H12413" s="4" t="n">
        <v>4</v>
      </c>
      <c r="I12413" s="4" t="str">
        <v>×</v>
      </c>
      <c r="J12413" s="4"/>
      <c r="K12413" s="4"/>
      <c r="L12413" s="4"/>
      <c r="M12413" s="7" t="s">
        <v>6503</v>
      </c>
    </row>
    <row r="12414" customFormat="false" ht="15.75" hidden="false" customHeight="false" outlineLevel="0" collapsed="false">
      <c r="A12414" s="6" t="n">
        <f aca="false">DATE(2026,8,22)</f>
        <v>46256</v>
      </c>
      <c r="B12414" s="4" t="s">
        <v>179</v>
      </c>
      <c r="C12414" s="4" t="n">
        <v>12</v>
      </c>
      <c r="D12414" s="4" t="n">
        <v>8</v>
      </c>
      <c r="E12414" s="4"/>
      <c r="F12414" s="4" t="n">
        <v>10</v>
      </c>
      <c r="G12414" s="4" t="n">
        <v>8</v>
      </c>
      <c r="H12414" s="4" t="n">
        <v>4</v>
      </c>
      <c r="I12414" s="4" t="str">
        <v>×</v>
      </c>
      <c r="J12414" s="4"/>
      <c r="K12414" s="4"/>
      <c r="L12414" s="4"/>
      <c r="M12414" s="7" t="s">
        <v>6503</v>
      </c>
    </row>
    <row r="12415" customFormat="false" ht="15.75" hidden="false" customHeight="false" outlineLevel="0" collapsed="false">
      <c r="A12415" s="6" t="n">
        <f aca="false">DATE(2026,8,22)</f>
        <v>46256</v>
      </c>
      <c r="B12415" s="4" t="s">
        <v>179</v>
      </c>
      <c r="C12415" s="4" t="n">
        <v>12</v>
      </c>
      <c r="D12415" s="4" t="n">
        <v>9</v>
      </c>
      <c r="E12415" s="4"/>
      <c r="F12415" s="4" t="n">
        <v>47</v>
      </c>
      <c r="G12415" s="4" t="n">
        <v>2</v>
      </c>
      <c r="H12415" s="4" t="n">
        <v>4</v>
      </c>
      <c r="I12415" s="4" t="str">
        <v>×</v>
      </c>
      <c r="J12415" s="4"/>
      <c r="K12415" s="4"/>
      <c r="L12415" s="4"/>
      <c r="M12415" s="7" t="s">
        <v>6503</v>
      </c>
    </row>
    <row r="12416" customFormat="false" ht="15.75" hidden="false" customHeight="false" outlineLevel="0" collapsed="false">
      <c r="A12416" s="6" t="n">
        <f aca="false">DATE(2026,8,22)</f>
        <v>46256</v>
      </c>
      <c r="B12416" s="4" t="s">
        <v>179</v>
      </c>
      <c r="C12416" s="4" t="n">
        <v>12</v>
      </c>
      <c r="D12416" s="4" t="n">
        <v>10</v>
      </c>
      <c r="E12416" s="4"/>
      <c r="F12416" s="4" t="n">
        <v>29</v>
      </c>
      <c r="G12416" s="4" t="n">
        <v>4</v>
      </c>
      <c r="H12416" s="4" t="n">
        <v>4</v>
      </c>
      <c r="I12416" s="4" t="str">
        <v>×</v>
      </c>
      <c r="J12416" s="4"/>
      <c r="K12416" s="4"/>
      <c r="L12416" s="4"/>
      <c r="M12416" s="7" t="s">
        <v>6503</v>
      </c>
    </row>
    <row r="12417" customFormat="false" ht="15.75" hidden="false" customHeight="false" outlineLevel="0" collapsed="false">
      <c r="A12417" s="6" t="n">
        <f aca="false">DATE(2026,8,22)</f>
        <v>46256</v>
      </c>
      <c r="B12417" s="4" t="s">
        <v>179</v>
      </c>
      <c r="C12417" s="4" t="n">
        <v>12</v>
      </c>
      <c r="D12417" s="4" t="n">
        <v>11</v>
      </c>
      <c r="E12417" s="4" t="s">
        <v>3422</v>
      </c>
      <c r="F12417" s="4" t="n">
        <v>50</v>
      </c>
      <c r="G12417" s="4" t="n">
        <v>1</v>
      </c>
      <c r="H12417" s="4" t="n">
        <v>2</v>
      </c>
      <c r="I12417" s="4" t="str">
        <v>○</v>
      </c>
      <c r="J12417" s="4" t="n">
        <v>190</v>
      </c>
      <c r="K12417" s="4"/>
      <c r="L12417" s="4"/>
      <c r="M12417" s="7" t="s">
        <v>6503</v>
      </c>
    </row>
    <row r="12418" customFormat="false" ht="15.75" hidden="false" customHeight="false" outlineLevel="0" collapsed="false">
      <c r="A12418" s="6" t="n">
        <f aca="false">DATE(2026,8,22)</f>
        <v>46256</v>
      </c>
      <c r="B12418" s="4" t="s">
        <v>179</v>
      </c>
      <c r="C12418" s="4" t="n">
        <v>12</v>
      </c>
      <c r="D12418" s="4" t="n">
        <v>12</v>
      </c>
      <c r="E12418" s="4" t="s">
        <v>776</v>
      </c>
      <c r="F12418" s="4" t="n">
        <v>39</v>
      </c>
      <c r="G12418" s="4" t="n">
        <v>3</v>
      </c>
      <c r="H12418" s="4" t="n">
        <v>1</v>
      </c>
      <c r="I12418" s="4" t="str">
        <v>○</v>
      </c>
      <c r="J12418" s="4" t="n">
        <v>150</v>
      </c>
      <c r="K12418" s="4"/>
      <c r="L12418" s="4"/>
      <c r="M12418" s="7" t="s">
        <v>6503</v>
      </c>
    </row>
    <row r="12419" customFormat="false" ht="15.75" hidden="false" customHeight="false" outlineLevel="0" collapsed="false">
      <c r="A12419" s="6" t="n">
        <f aca="false">DATE(2026,8,22)</f>
        <v>46256</v>
      </c>
      <c r="B12419" s="4" t="s">
        <v>179</v>
      </c>
      <c r="C12419" s="4" t="n">
        <v>12</v>
      </c>
      <c r="D12419" s="4" t="n">
        <v>13</v>
      </c>
      <c r="E12419" s="4"/>
      <c r="F12419" s="4" t="n">
        <v>10</v>
      </c>
      <c r="G12419" s="4" t="n">
        <v>8</v>
      </c>
      <c r="H12419" s="4" t="n">
        <v>4</v>
      </c>
      <c r="I12419" s="4" t="str">
        <v>×</v>
      </c>
      <c r="J12419" s="4"/>
      <c r="K12419" s="4"/>
      <c r="L12419" s="4"/>
      <c r="M12419" s="7" t="s">
        <v>6503</v>
      </c>
    </row>
    <row r="12420" customFormat="false" ht="15.75" hidden="false" customHeight="false" outlineLevel="0" collapsed="false">
      <c r="A12420" s="6" t="n">
        <f aca="false">DATE(2026,8,22)</f>
        <v>46256</v>
      </c>
      <c r="B12420" s="4" t="s">
        <v>179</v>
      </c>
      <c r="C12420" s="4" t="n">
        <v>12</v>
      </c>
      <c r="D12420" s="4" t="n">
        <v>14</v>
      </c>
      <c r="E12420" s="4"/>
      <c r="F12420" s="4" t="n">
        <v>3</v>
      </c>
      <c r="G12420" s="4" t="n">
        <v>17</v>
      </c>
      <c r="H12420" s="4" t="n">
        <v>4</v>
      </c>
      <c r="I12420" s="4" t="str">
        <v>×</v>
      </c>
      <c r="J12420" s="4"/>
      <c r="K12420" s="4"/>
      <c r="L12420" s="4"/>
      <c r="M12420" s="7" t="s">
        <v>6503</v>
      </c>
    </row>
    <row r="12421" customFormat="false" ht="15.75" hidden="false" customHeight="false" outlineLevel="0" collapsed="false">
      <c r="A12421" s="6" t="n">
        <f aca="false">DATE(2026,8,22)</f>
        <v>46256</v>
      </c>
      <c r="B12421" s="4" t="s">
        <v>179</v>
      </c>
      <c r="C12421" s="4" t="n">
        <v>12</v>
      </c>
      <c r="D12421" s="4" t="n">
        <v>15</v>
      </c>
      <c r="E12421" s="4"/>
      <c r="F12421" s="4" t="n">
        <v>13</v>
      </c>
      <c r="G12421" s="4" t="n">
        <v>6</v>
      </c>
      <c r="H12421" s="4" t="n">
        <v>4</v>
      </c>
      <c r="I12421" s="4" t="str">
        <v>×</v>
      </c>
      <c r="J12421" s="4"/>
      <c r="K12421" s="4"/>
      <c r="L12421" s="4"/>
      <c r="M12421" s="7" t="s">
        <v>6503</v>
      </c>
    </row>
    <row r="12422" customFormat="false" ht="15.75" hidden="false" customHeight="false" outlineLevel="0" collapsed="false">
      <c r="A12422" s="6" t="n">
        <f aca="false">DATE(2026,8,22)</f>
        <v>46256</v>
      </c>
      <c r="B12422" s="4" t="s">
        <v>179</v>
      </c>
      <c r="C12422" s="4" t="n">
        <v>12</v>
      </c>
      <c r="D12422" s="4" t="n">
        <v>16</v>
      </c>
      <c r="E12422" s="4"/>
      <c r="F12422" s="4" t="n">
        <v>3</v>
      </c>
      <c r="G12422" s="4" t="n">
        <v>17</v>
      </c>
      <c r="H12422" s="4" t="n">
        <v>4</v>
      </c>
      <c r="I12422" s="4" t="str">
        <v>×</v>
      </c>
      <c r="J12422" s="4"/>
      <c r="K12422" s="4"/>
      <c r="L12422" s="4"/>
      <c r="M12422" s="7" t="s">
        <v>6503</v>
      </c>
    </row>
    <row r="12423" customFormat="false" ht="15.75" hidden="false" customHeight="false" outlineLevel="0" collapsed="false">
      <c r="A12423" s="6" t="n">
        <f aca="false">DATE(2026,8,22)</f>
        <v>46256</v>
      </c>
      <c r="B12423" s="4" t="s">
        <v>179</v>
      </c>
      <c r="C12423" s="4" t="n">
        <v>12</v>
      </c>
      <c r="D12423" s="4" t="n">
        <v>17</v>
      </c>
      <c r="E12423" s="4"/>
      <c r="F12423" s="4" t="n">
        <v>15</v>
      </c>
      <c r="G12423" s="4" t="n">
        <v>5</v>
      </c>
      <c r="H12423" s="4" t="n">
        <v>4</v>
      </c>
      <c r="I12423" s="4" t="str">
        <v>×</v>
      </c>
      <c r="J12423" s="4"/>
      <c r="K12423" s="4"/>
      <c r="L12423" s="4"/>
      <c r="M12423" s="7" t="s">
        <v>6503</v>
      </c>
    </row>
    <row r="12424" customFormat="false" ht="15.75" hidden="false" customHeight="false" outlineLevel="0" collapsed="false">
      <c r="A12424" s="6" t="n">
        <f aca="false">DATE(2026,8,22)</f>
        <v>46256</v>
      </c>
      <c r="B12424" s="4" t="s">
        <v>179</v>
      </c>
      <c r="C12424" s="4" t="n">
        <v>12</v>
      </c>
      <c r="D12424" s="4" t="n">
        <v>18</v>
      </c>
      <c r="E12424" s="4"/>
      <c r="F12424" s="4" t="n">
        <v>6</v>
      </c>
      <c r="G12424" s="4" t="n">
        <v>12</v>
      </c>
      <c r="H12424" s="4" t="n">
        <v>4</v>
      </c>
      <c r="I12424" s="4" t="str">
        <v>×</v>
      </c>
      <c r="J12424" s="4"/>
      <c r="K12424" s="4"/>
      <c r="L12424" s="4"/>
      <c r="M12424" s="7" t="s">
        <v>6503</v>
      </c>
    </row>
    <row r="12425" customFormat="false" ht="15.75" hidden="false" customHeight="false" outlineLevel="0" collapsed="false">
      <c r="A12425" s="6" t="n">
        <f aca="false">DATE(2026,8,22)</f>
        <v>46256</v>
      </c>
      <c r="B12425" s="4" t="s">
        <v>334</v>
      </c>
      <c r="C12425" s="4" t="n">
        <v>1</v>
      </c>
      <c r="D12425" s="4" t="n">
        <v>1</v>
      </c>
      <c r="E12425" s="4"/>
      <c r="F12425" s="4" t="n">
        <v>3</v>
      </c>
      <c r="G12425" s="4" t="n">
        <v>11</v>
      </c>
      <c r="H12425" s="4" t="n">
        <v>4</v>
      </c>
      <c r="I12425" s="4" t="str">
        <v>×</v>
      </c>
      <c r="J12425" s="4"/>
      <c r="K12425" s="4"/>
      <c r="L12425" s="4"/>
      <c r="M12425" s="7" t="s">
        <v>6503</v>
      </c>
    </row>
    <row r="12426" customFormat="false" ht="15.75" hidden="false" customHeight="false" outlineLevel="0" collapsed="false">
      <c r="A12426" s="6" t="n">
        <f aca="false">DATE(2026,8,22)</f>
        <v>46256</v>
      </c>
      <c r="B12426" s="4" t="s">
        <v>334</v>
      </c>
      <c r="C12426" s="4" t="n">
        <v>1</v>
      </c>
      <c r="D12426" s="4" t="n">
        <v>2</v>
      </c>
      <c r="E12426" s="4"/>
      <c r="F12426" s="4" t="n">
        <v>15</v>
      </c>
      <c r="G12426" s="4" t="n">
        <v>3</v>
      </c>
      <c r="H12426" s="4" t="n">
        <v>4</v>
      </c>
      <c r="I12426" s="4" t="str">
        <v>×</v>
      </c>
      <c r="J12426" s="4"/>
      <c r="K12426" s="4"/>
      <c r="L12426" s="4"/>
      <c r="M12426" s="7" t="s">
        <v>6503</v>
      </c>
    </row>
    <row r="12427" customFormat="false" ht="15.75" hidden="false" customHeight="false" outlineLevel="0" collapsed="false">
      <c r="A12427" s="6" t="n">
        <f aca="false">DATE(2026,8,22)</f>
        <v>46256</v>
      </c>
      <c r="B12427" s="4" t="s">
        <v>334</v>
      </c>
      <c r="C12427" s="4" t="n">
        <v>1</v>
      </c>
      <c r="D12427" s="4" t="n">
        <v>3</v>
      </c>
      <c r="E12427" s="4"/>
      <c r="F12427" s="4" t="n">
        <v>13</v>
      </c>
      <c r="G12427" s="4" t="n">
        <v>4</v>
      </c>
      <c r="H12427" s="4" t="n">
        <v>4</v>
      </c>
      <c r="I12427" s="4" t="str">
        <v>×</v>
      </c>
      <c r="J12427" s="4"/>
      <c r="K12427" s="4"/>
      <c r="L12427" s="4"/>
      <c r="M12427" s="7" t="s">
        <v>6503</v>
      </c>
    </row>
    <row r="12428" customFormat="false" ht="15.75" hidden="false" customHeight="false" outlineLevel="0" collapsed="false">
      <c r="A12428" s="6" t="n">
        <f aca="false">DATE(2026,8,22)</f>
        <v>46256</v>
      </c>
      <c r="B12428" s="4" t="s">
        <v>334</v>
      </c>
      <c r="C12428" s="4" t="n">
        <v>1</v>
      </c>
      <c r="D12428" s="4" t="n">
        <v>4</v>
      </c>
      <c r="E12428" s="4"/>
      <c r="F12428" s="4" t="n">
        <v>75</v>
      </c>
      <c r="G12428" s="4" t="n">
        <v>1</v>
      </c>
      <c r="H12428" s="4" t="n">
        <v>4</v>
      </c>
      <c r="I12428" s="4" t="str">
        <v>×</v>
      </c>
      <c r="J12428" s="4"/>
      <c r="K12428" s="4"/>
      <c r="L12428" s="4"/>
      <c r="M12428" s="7" t="s">
        <v>6503</v>
      </c>
    </row>
    <row r="12429" customFormat="false" ht="15.75" hidden="false" customHeight="false" outlineLevel="0" collapsed="false">
      <c r="A12429" s="6" t="n">
        <f aca="false">DATE(2026,8,22)</f>
        <v>46256</v>
      </c>
      <c r="B12429" s="4" t="s">
        <v>334</v>
      </c>
      <c r="C12429" s="4" t="n">
        <v>1</v>
      </c>
      <c r="D12429" s="4" t="n">
        <v>5</v>
      </c>
      <c r="E12429" s="4"/>
      <c r="F12429" s="4" t="n">
        <v>4</v>
      </c>
      <c r="G12429" s="4" t="n">
        <v>10</v>
      </c>
      <c r="H12429" s="4" t="n">
        <v>4</v>
      </c>
      <c r="I12429" s="4" t="str">
        <v>×</v>
      </c>
      <c r="J12429" s="4"/>
      <c r="K12429" s="4"/>
      <c r="L12429" s="4"/>
      <c r="M12429" s="7" t="s">
        <v>6503</v>
      </c>
    </row>
    <row r="12430" customFormat="false" ht="15.75" hidden="false" customHeight="false" outlineLevel="0" collapsed="false">
      <c r="A12430" s="6" t="n">
        <f aca="false">DATE(2026,8,22)</f>
        <v>46256</v>
      </c>
      <c r="B12430" s="4" t="s">
        <v>334</v>
      </c>
      <c r="C12430" s="4" t="n">
        <v>1</v>
      </c>
      <c r="D12430" s="4" t="n">
        <v>6</v>
      </c>
      <c r="E12430" s="4" t="s">
        <v>6521</v>
      </c>
      <c r="F12430" s="4" t="n">
        <v>13</v>
      </c>
      <c r="G12430" s="4" t="n">
        <v>4</v>
      </c>
      <c r="H12430" s="4" t="n">
        <v>2</v>
      </c>
      <c r="I12430" s="4" t="str">
        <v>○</v>
      </c>
      <c r="J12430" s="4" t="n">
        <v>540</v>
      </c>
      <c r="K12430" s="4"/>
      <c r="L12430" s="4"/>
      <c r="M12430" s="7" t="s">
        <v>6503</v>
      </c>
    </row>
    <row r="12431" customFormat="false" ht="15.75" hidden="false" customHeight="false" outlineLevel="0" collapsed="false">
      <c r="A12431" s="6" t="n">
        <f aca="false">DATE(2026,8,22)</f>
        <v>46256</v>
      </c>
      <c r="B12431" s="4" t="s">
        <v>334</v>
      </c>
      <c r="C12431" s="4" t="n">
        <v>1</v>
      </c>
      <c r="D12431" s="4" t="n">
        <v>7</v>
      </c>
      <c r="E12431" s="4" t="s">
        <v>5151</v>
      </c>
      <c r="F12431" s="4" t="n">
        <v>75</v>
      </c>
      <c r="G12431" s="4" t="n">
        <v>1</v>
      </c>
      <c r="H12431" s="4" t="n">
        <v>1</v>
      </c>
      <c r="I12431" s="4" t="str">
        <v>○</v>
      </c>
      <c r="J12431" s="4" t="n">
        <v>110</v>
      </c>
      <c r="K12431" s="4"/>
      <c r="L12431" s="4"/>
      <c r="M12431" s="7" t="s">
        <v>6503</v>
      </c>
    </row>
    <row r="12432" customFormat="false" ht="15.75" hidden="false" customHeight="false" outlineLevel="0" collapsed="false">
      <c r="A12432" s="6" t="n">
        <f aca="false">DATE(2026,8,22)</f>
        <v>46256</v>
      </c>
      <c r="B12432" s="4" t="s">
        <v>334</v>
      </c>
      <c r="C12432" s="4" t="n">
        <v>1</v>
      </c>
      <c r="D12432" s="4" t="n">
        <v>8</v>
      </c>
      <c r="E12432" s="4"/>
      <c r="F12432" s="4" t="n">
        <v>3</v>
      </c>
      <c r="G12432" s="4" t="n">
        <v>11</v>
      </c>
      <c r="H12432" s="4" t="n">
        <v>4</v>
      </c>
      <c r="I12432" s="4" t="str">
        <v>×</v>
      </c>
      <c r="J12432" s="4"/>
      <c r="K12432" s="4"/>
      <c r="L12432" s="4"/>
      <c r="M12432" s="7" t="s">
        <v>6503</v>
      </c>
    </row>
    <row r="12433" customFormat="false" ht="15.75" hidden="false" customHeight="false" outlineLevel="0" collapsed="false">
      <c r="A12433" s="6" t="n">
        <f aca="false">DATE(2026,8,22)</f>
        <v>46256</v>
      </c>
      <c r="B12433" s="4" t="s">
        <v>334</v>
      </c>
      <c r="C12433" s="4" t="n">
        <v>1</v>
      </c>
      <c r="D12433" s="4" t="n">
        <v>9</v>
      </c>
      <c r="E12433" s="4" t="s">
        <v>785</v>
      </c>
      <c r="F12433" s="4" t="n">
        <v>13</v>
      </c>
      <c r="G12433" s="4" t="n">
        <v>4</v>
      </c>
      <c r="H12433" s="4" t="n">
        <v>3</v>
      </c>
      <c r="I12433" s="4" t="str">
        <v>○</v>
      </c>
      <c r="J12433" s="4" t="n">
        <v>760</v>
      </c>
      <c r="K12433" s="4"/>
      <c r="L12433" s="4"/>
      <c r="M12433" s="7" t="s">
        <v>6503</v>
      </c>
    </row>
    <row r="12434" customFormat="false" ht="15.75" hidden="false" customHeight="false" outlineLevel="0" collapsed="false">
      <c r="A12434" s="6" t="n">
        <f aca="false">DATE(2026,8,22)</f>
        <v>46256</v>
      </c>
      <c r="B12434" s="4" t="s">
        <v>334</v>
      </c>
      <c r="C12434" s="4" t="n">
        <v>1</v>
      </c>
      <c r="D12434" s="4" t="n">
        <v>10</v>
      </c>
      <c r="E12434" s="4"/>
      <c r="F12434" s="4" t="n">
        <v>8</v>
      </c>
      <c r="G12434" s="4" t="n">
        <v>8</v>
      </c>
      <c r="H12434" s="4" t="n">
        <v>4</v>
      </c>
      <c r="I12434" s="4" t="str">
        <v>×</v>
      </c>
      <c r="J12434" s="4"/>
      <c r="K12434" s="4"/>
      <c r="L12434" s="4"/>
      <c r="M12434" s="7" t="s">
        <v>6503</v>
      </c>
    </row>
    <row r="12435" customFormat="false" ht="15.75" hidden="false" customHeight="false" outlineLevel="0" collapsed="false">
      <c r="A12435" s="6" t="n">
        <f aca="false">DATE(2026,8,22)</f>
        <v>46256</v>
      </c>
      <c r="B12435" s="4" t="s">
        <v>334</v>
      </c>
      <c r="C12435" s="4" t="n">
        <v>1</v>
      </c>
      <c r="D12435" s="4" t="n">
        <v>11</v>
      </c>
      <c r="E12435" s="4"/>
      <c r="F12435" s="4" t="n">
        <v>10</v>
      </c>
      <c r="G12435" s="4" t="n">
        <v>7</v>
      </c>
      <c r="H12435" s="4" t="n">
        <v>4</v>
      </c>
      <c r="I12435" s="4" t="str">
        <v>×</v>
      </c>
      <c r="J12435" s="4"/>
      <c r="K12435" s="4"/>
      <c r="L12435" s="4"/>
      <c r="M12435" s="7" t="s">
        <v>6503</v>
      </c>
    </row>
    <row r="12436" customFormat="false" ht="15.75" hidden="false" customHeight="false" outlineLevel="0" collapsed="false">
      <c r="A12436" s="6" t="n">
        <f aca="false">DATE(2026,8,22)</f>
        <v>46256</v>
      </c>
      <c r="B12436" s="4" t="s">
        <v>334</v>
      </c>
      <c r="C12436" s="4" t="n">
        <v>1</v>
      </c>
      <c r="D12436" s="4" t="n">
        <v>12</v>
      </c>
      <c r="E12436" s="4"/>
      <c r="F12436" s="4" t="n">
        <v>8</v>
      </c>
      <c r="G12436" s="4" t="n">
        <v>8</v>
      </c>
      <c r="H12436" s="4" t="n">
        <v>4</v>
      </c>
      <c r="I12436" s="4" t="str">
        <v>×</v>
      </c>
      <c r="J12436" s="4"/>
      <c r="K12436" s="4"/>
      <c r="L12436" s="4"/>
      <c r="M12436" s="7" t="s">
        <v>6503</v>
      </c>
    </row>
    <row r="12437" customFormat="false" ht="15.75" hidden="false" customHeight="false" outlineLevel="0" collapsed="false">
      <c r="A12437" s="6" t="n">
        <f aca="false">DATE(2026,8,22)</f>
        <v>46256</v>
      </c>
      <c r="B12437" s="4" t="s">
        <v>334</v>
      </c>
      <c r="C12437" s="4" t="n">
        <v>2</v>
      </c>
      <c r="D12437" s="4" t="n">
        <v>1</v>
      </c>
      <c r="E12437" s="4"/>
      <c r="F12437" s="4" t="n">
        <v>37</v>
      </c>
      <c r="G12437" s="4" t="n">
        <v>4</v>
      </c>
      <c r="H12437" s="4" t="n">
        <v>4</v>
      </c>
      <c r="I12437" s="4" t="str">
        <v>×</v>
      </c>
      <c r="J12437" s="4"/>
      <c r="K12437" s="4"/>
      <c r="L12437" s="4"/>
      <c r="M12437" s="7" t="s">
        <v>6503</v>
      </c>
    </row>
    <row r="12438" customFormat="false" ht="15.75" hidden="false" customHeight="false" outlineLevel="0" collapsed="false">
      <c r="A12438" s="6" t="n">
        <f aca="false">DATE(2026,8,22)</f>
        <v>46256</v>
      </c>
      <c r="B12438" s="4" t="s">
        <v>334</v>
      </c>
      <c r="C12438" s="4" t="n">
        <v>2</v>
      </c>
      <c r="D12438" s="4" t="n">
        <v>2</v>
      </c>
      <c r="E12438" s="4" t="s">
        <v>1763</v>
      </c>
      <c r="F12438" s="4" t="n">
        <v>71</v>
      </c>
      <c r="G12438" s="4" t="n">
        <v>1</v>
      </c>
      <c r="H12438" s="4" t="n">
        <v>2</v>
      </c>
      <c r="I12438" s="4" t="str">
        <v>○</v>
      </c>
      <c r="J12438" s="4" t="n">
        <v>110</v>
      </c>
      <c r="K12438" s="4"/>
      <c r="L12438" s="4"/>
      <c r="M12438" s="7" t="s">
        <v>6503</v>
      </c>
    </row>
    <row r="12439" customFormat="false" ht="15.75" hidden="false" customHeight="false" outlineLevel="0" collapsed="false">
      <c r="A12439" s="6" t="n">
        <f aca="false">DATE(2026,8,22)</f>
        <v>46256</v>
      </c>
      <c r="B12439" s="4" t="s">
        <v>334</v>
      </c>
      <c r="C12439" s="4" t="n">
        <v>2</v>
      </c>
      <c r="D12439" s="4" t="n">
        <v>3</v>
      </c>
      <c r="E12439" s="4"/>
      <c r="F12439" s="4" t="n">
        <v>15</v>
      </c>
      <c r="G12439" s="4" t="n">
        <v>5</v>
      </c>
      <c r="H12439" s="4" t="n">
        <v>4</v>
      </c>
      <c r="I12439" s="4" t="str">
        <v>×</v>
      </c>
      <c r="J12439" s="4"/>
      <c r="K12439" s="4"/>
      <c r="L12439" s="4"/>
      <c r="M12439" s="7" t="s">
        <v>6503</v>
      </c>
    </row>
    <row r="12440" customFormat="false" ht="15.75" hidden="false" customHeight="false" outlineLevel="0" collapsed="false">
      <c r="A12440" s="6" t="n">
        <f aca="false">DATE(2026,8,22)</f>
        <v>46256</v>
      </c>
      <c r="B12440" s="4" t="s">
        <v>334</v>
      </c>
      <c r="C12440" s="4" t="n">
        <v>2</v>
      </c>
      <c r="D12440" s="4" t="n">
        <v>4</v>
      </c>
      <c r="E12440" s="4" t="s">
        <v>3830</v>
      </c>
      <c r="F12440" s="4" t="n">
        <v>67</v>
      </c>
      <c r="G12440" s="4" t="n">
        <v>2</v>
      </c>
      <c r="H12440" s="4" t="n">
        <v>3</v>
      </c>
      <c r="I12440" s="4" t="str">
        <v>○</v>
      </c>
      <c r="J12440" s="4"/>
      <c r="K12440" s="4"/>
      <c r="L12440" s="4"/>
      <c r="M12440" s="7" t="s">
        <v>6503</v>
      </c>
    </row>
    <row r="12441" customFormat="false" ht="15.75" hidden="false" customHeight="false" outlineLevel="0" collapsed="false">
      <c r="A12441" s="6" t="n">
        <f aca="false">DATE(2026,8,22)</f>
        <v>46256</v>
      </c>
      <c r="B12441" s="4" t="s">
        <v>334</v>
      </c>
      <c r="C12441" s="4" t="n">
        <v>2</v>
      </c>
      <c r="D12441" s="4" t="n">
        <v>5</v>
      </c>
      <c r="E12441" s="4"/>
      <c r="F12441" s="4" t="n">
        <v>15</v>
      </c>
      <c r="G12441" s="4" t="n">
        <v>5</v>
      </c>
      <c r="H12441" s="4" t="n">
        <v>4</v>
      </c>
      <c r="I12441" s="4" t="str">
        <v>×</v>
      </c>
      <c r="J12441" s="4"/>
      <c r="K12441" s="4"/>
      <c r="L12441" s="4"/>
      <c r="M12441" s="7" t="s">
        <v>6503</v>
      </c>
    </row>
    <row r="12442" customFormat="false" ht="15.75" hidden="false" customHeight="false" outlineLevel="0" collapsed="false">
      <c r="A12442" s="6" t="n">
        <f aca="false">DATE(2026,8,22)</f>
        <v>46256</v>
      </c>
      <c r="B12442" s="4" t="s">
        <v>334</v>
      </c>
      <c r="C12442" s="4" t="n">
        <v>2</v>
      </c>
      <c r="D12442" s="4" t="n">
        <v>6</v>
      </c>
      <c r="E12442" s="4" t="s">
        <v>1776</v>
      </c>
      <c r="F12442" s="4" t="n">
        <v>39</v>
      </c>
      <c r="G12442" s="4" t="n">
        <v>3</v>
      </c>
      <c r="H12442" s="4" t="n">
        <v>1</v>
      </c>
      <c r="I12442" s="4" t="str">
        <v>○</v>
      </c>
      <c r="J12442" s="4" t="n">
        <v>120</v>
      </c>
      <c r="K12442" s="4"/>
      <c r="L12442" s="4"/>
      <c r="M12442" s="7" t="s">
        <v>6503</v>
      </c>
    </row>
    <row r="12443" customFormat="false" ht="15.75" hidden="false" customHeight="false" outlineLevel="0" collapsed="false">
      <c r="A12443" s="6" t="n">
        <f aca="false">DATE(2026,8,22)</f>
        <v>46256</v>
      </c>
      <c r="B12443" s="4" t="s">
        <v>334</v>
      </c>
      <c r="C12443" s="4" t="n">
        <v>3</v>
      </c>
      <c r="D12443" s="4" t="n">
        <v>1</v>
      </c>
      <c r="E12443" s="4"/>
      <c r="F12443" s="4" t="n">
        <v>13</v>
      </c>
      <c r="G12443" s="4" t="n">
        <v>7</v>
      </c>
      <c r="H12443" s="4" t="n">
        <v>4</v>
      </c>
      <c r="I12443" s="4" t="str">
        <v>×</v>
      </c>
      <c r="J12443" s="4"/>
      <c r="K12443" s="4"/>
      <c r="L12443" s="4"/>
      <c r="M12443" s="7" t="s">
        <v>6503</v>
      </c>
    </row>
    <row r="12444" customFormat="false" ht="15.75" hidden="false" customHeight="false" outlineLevel="0" collapsed="false">
      <c r="A12444" s="6" t="n">
        <f aca="false">DATE(2026,8,22)</f>
        <v>46256</v>
      </c>
      <c r="B12444" s="4" t="s">
        <v>334</v>
      </c>
      <c r="C12444" s="4" t="n">
        <v>3</v>
      </c>
      <c r="D12444" s="4" t="n">
        <v>2</v>
      </c>
      <c r="E12444" s="4"/>
      <c r="F12444" s="4" t="n">
        <v>3</v>
      </c>
      <c r="G12444" s="4" t="n">
        <v>13</v>
      </c>
      <c r="H12444" s="4" t="n">
        <v>4</v>
      </c>
      <c r="I12444" s="4" t="str">
        <v>×</v>
      </c>
      <c r="J12444" s="4"/>
      <c r="K12444" s="4"/>
      <c r="L12444" s="4"/>
      <c r="M12444" s="7" t="s">
        <v>6503</v>
      </c>
    </row>
    <row r="12445" customFormat="false" ht="15.75" hidden="false" customHeight="false" outlineLevel="0" collapsed="false">
      <c r="A12445" s="6" t="n">
        <f aca="false">DATE(2026,8,22)</f>
        <v>46256</v>
      </c>
      <c r="B12445" s="4" t="s">
        <v>334</v>
      </c>
      <c r="C12445" s="4" t="n">
        <v>3</v>
      </c>
      <c r="D12445" s="4" t="n">
        <v>3</v>
      </c>
      <c r="E12445" s="4"/>
      <c r="F12445" s="4" t="n">
        <v>25</v>
      </c>
      <c r="G12445" s="4" t="n">
        <v>3</v>
      </c>
      <c r="H12445" s="4" t="n">
        <v>4</v>
      </c>
      <c r="I12445" s="4" t="str">
        <v>×</v>
      </c>
      <c r="J12445" s="4"/>
      <c r="K12445" s="4"/>
      <c r="L12445" s="4"/>
      <c r="M12445" s="7" t="s">
        <v>6503</v>
      </c>
    </row>
    <row r="12446" customFormat="false" ht="15.75" hidden="false" customHeight="false" outlineLevel="0" collapsed="false">
      <c r="A12446" s="6" t="n">
        <f aca="false">DATE(2026,8,22)</f>
        <v>46256</v>
      </c>
      <c r="B12446" s="4" t="s">
        <v>334</v>
      </c>
      <c r="C12446" s="4" t="n">
        <v>3</v>
      </c>
      <c r="D12446" s="4" t="n">
        <v>4</v>
      </c>
      <c r="E12446" s="4" t="s">
        <v>1307</v>
      </c>
      <c r="F12446" s="4" t="n">
        <v>13</v>
      </c>
      <c r="G12446" s="4" t="n">
        <v>7</v>
      </c>
      <c r="H12446" s="4" t="n">
        <v>3</v>
      </c>
      <c r="I12446" s="4" t="str">
        <v>○</v>
      </c>
      <c r="J12446" s="4" t="n">
        <v>180</v>
      </c>
      <c r="K12446" s="4"/>
      <c r="L12446" s="4"/>
      <c r="M12446" s="7" t="s">
        <v>6503</v>
      </c>
    </row>
    <row r="12447" customFormat="false" ht="15.75" hidden="false" customHeight="false" outlineLevel="0" collapsed="false">
      <c r="A12447" s="6" t="n">
        <f aca="false">DATE(2026,8,22)</f>
        <v>46256</v>
      </c>
      <c r="B12447" s="4" t="s">
        <v>334</v>
      </c>
      <c r="C12447" s="4" t="n">
        <v>3</v>
      </c>
      <c r="D12447" s="4" t="n">
        <v>5</v>
      </c>
      <c r="E12447" s="4"/>
      <c r="F12447" s="4" t="n">
        <v>8</v>
      </c>
      <c r="G12447" s="4" t="n">
        <v>9</v>
      </c>
      <c r="H12447" s="4" t="n">
        <v>4</v>
      </c>
      <c r="I12447" s="4" t="str">
        <v>×</v>
      </c>
      <c r="J12447" s="4"/>
      <c r="K12447" s="4"/>
      <c r="L12447" s="4"/>
      <c r="M12447" s="7" t="s">
        <v>6503</v>
      </c>
    </row>
    <row r="12448" customFormat="false" ht="15.75" hidden="false" customHeight="false" outlineLevel="0" collapsed="false">
      <c r="A12448" s="6" t="n">
        <f aca="false">DATE(2026,8,22)</f>
        <v>46256</v>
      </c>
      <c r="B12448" s="4" t="s">
        <v>334</v>
      </c>
      <c r="C12448" s="4" t="n">
        <v>3</v>
      </c>
      <c r="D12448" s="4" t="n">
        <v>6</v>
      </c>
      <c r="E12448" s="4"/>
      <c r="F12448" s="4" t="n">
        <v>6</v>
      </c>
      <c r="G12448" s="4" t="n">
        <v>10</v>
      </c>
      <c r="H12448" s="4" t="n">
        <v>4</v>
      </c>
      <c r="I12448" s="4" t="str">
        <v>×</v>
      </c>
      <c r="J12448" s="4"/>
      <c r="K12448" s="4"/>
      <c r="L12448" s="4"/>
      <c r="M12448" s="7" t="s">
        <v>6503</v>
      </c>
    </row>
    <row r="12449" customFormat="false" ht="15.75" hidden="false" customHeight="false" outlineLevel="0" collapsed="false">
      <c r="A12449" s="6" t="n">
        <f aca="false">DATE(2026,8,22)</f>
        <v>46256</v>
      </c>
      <c r="B12449" s="4" t="s">
        <v>334</v>
      </c>
      <c r="C12449" s="4" t="n">
        <v>3</v>
      </c>
      <c r="D12449" s="4" t="n">
        <v>7</v>
      </c>
      <c r="E12449" s="4"/>
      <c r="F12449" s="4" t="n">
        <v>4</v>
      </c>
      <c r="G12449" s="4" t="n">
        <v>12</v>
      </c>
      <c r="H12449" s="4" t="n">
        <v>4</v>
      </c>
      <c r="I12449" s="4" t="str">
        <v>×</v>
      </c>
      <c r="J12449" s="4"/>
      <c r="K12449" s="4"/>
      <c r="L12449" s="4"/>
      <c r="M12449" s="7" t="s">
        <v>6503</v>
      </c>
    </row>
    <row r="12450" customFormat="false" ht="15.75" hidden="false" customHeight="false" outlineLevel="0" collapsed="false">
      <c r="A12450" s="6" t="n">
        <f aca="false">DATE(2026,8,22)</f>
        <v>46256</v>
      </c>
      <c r="B12450" s="4" t="s">
        <v>334</v>
      </c>
      <c r="C12450" s="4" t="n">
        <v>3</v>
      </c>
      <c r="D12450" s="4" t="n">
        <v>8</v>
      </c>
      <c r="E12450" s="4" t="s">
        <v>1298</v>
      </c>
      <c r="F12450" s="4" t="n">
        <v>71</v>
      </c>
      <c r="G12450" s="4" t="n">
        <v>2</v>
      </c>
      <c r="H12450" s="4" t="n">
        <v>2</v>
      </c>
      <c r="I12450" s="4" t="str">
        <v>○</v>
      </c>
      <c r="J12450" s="4" t="n">
        <v>120</v>
      </c>
      <c r="K12450" s="4"/>
      <c r="L12450" s="4"/>
      <c r="M12450" s="7" t="s">
        <v>6503</v>
      </c>
    </row>
    <row r="12451" customFormat="false" ht="15.75" hidden="false" customHeight="false" outlineLevel="0" collapsed="false">
      <c r="A12451" s="6" t="n">
        <f aca="false">DATE(2026,8,22)</f>
        <v>46256</v>
      </c>
      <c r="B12451" s="4" t="s">
        <v>334</v>
      </c>
      <c r="C12451" s="4" t="n">
        <v>3</v>
      </c>
      <c r="D12451" s="4" t="n">
        <v>9</v>
      </c>
      <c r="E12451" s="4"/>
      <c r="F12451" s="4" t="n">
        <v>15</v>
      </c>
      <c r="G12451" s="4" t="n">
        <v>6</v>
      </c>
      <c r="H12451" s="4" t="n">
        <v>4</v>
      </c>
      <c r="I12451" s="4" t="str">
        <v>×</v>
      </c>
      <c r="J12451" s="4"/>
      <c r="K12451" s="4"/>
      <c r="L12451" s="4"/>
      <c r="M12451" s="7" t="s">
        <v>6503</v>
      </c>
    </row>
    <row r="12452" customFormat="false" ht="15.75" hidden="false" customHeight="false" outlineLevel="0" collapsed="false">
      <c r="A12452" s="6" t="n">
        <f aca="false">DATE(2026,8,22)</f>
        <v>46256</v>
      </c>
      <c r="B12452" s="4" t="s">
        <v>334</v>
      </c>
      <c r="C12452" s="4" t="n">
        <v>3</v>
      </c>
      <c r="D12452" s="4" t="n">
        <v>10</v>
      </c>
      <c r="E12452" s="4"/>
      <c r="F12452" s="4" t="n">
        <v>6</v>
      </c>
      <c r="G12452" s="4" t="n">
        <v>10</v>
      </c>
      <c r="H12452" s="4" t="n">
        <v>4</v>
      </c>
      <c r="I12452" s="4" t="str">
        <v>×</v>
      </c>
      <c r="J12452" s="4"/>
      <c r="K12452" s="4"/>
      <c r="L12452" s="4"/>
      <c r="M12452" s="7" t="s">
        <v>6503</v>
      </c>
    </row>
    <row r="12453" customFormat="false" ht="15.75" hidden="false" customHeight="false" outlineLevel="0" collapsed="false">
      <c r="A12453" s="6" t="n">
        <f aca="false">DATE(2026,8,22)</f>
        <v>46256</v>
      </c>
      <c r="B12453" s="4" t="s">
        <v>334</v>
      </c>
      <c r="C12453" s="4" t="n">
        <v>3</v>
      </c>
      <c r="D12453" s="4" t="n">
        <v>11</v>
      </c>
      <c r="E12453" s="4"/>
      <c r="F12453" s="4" t="n">
        <v>17</v>
      </c>
      <c r="G12453" s="4" t="n">
        <v>5</v>
      </c>
      <c r="H12453" s="4" t="n">
        <v>4</v>
      </c>
      <c r="I12453" s="4" t="str">
        <v>×</v>
      </c>
      <c r="J12453" s="4"/>
      <c r="K12453" s="4"/>
      <c r="L12453" s="4"/>
      <c r="M12453" s="7" t="s">
        <v>6503</v>
      </c>
    </row>
    <row r="12454" customFormat="false" ht="15.75" hidden="false" customHeight="false" outlineLevel="0" collapsed="false">
      <c r="A12454" s="6" t="n">
        <f aca="false">DATE(2026,8,22)</f>
        <v>46256</v>
      </c>
      <c r="B12454" s="4" t="s">
        <v>334</v>
      </c>
      <c r="C12454" s="4" t="n">
        <v>3</v>
      </c>
      <c r="D12454" s="4" t="n">
        <v>12</v>
      </c>
      <c r="E12454" s="4"/>
      <c r="F12454" s="4" t="n">
        <v>23</v>
      </c>
      <c r="G12454" s="4" t="n">
        <v>4</v>
      </c>
      <c r="H12454" s="4" t="n">
        <v>4</v>
      </c>
      <c r="I12454" s="4" t="str">
        <v>×</v>
      </c>
      <c r="J12454" s="4"/>
      <c r="K12454" s="4"/>
      <c r="L12454" s="4"/>
      <c r="M12454" s="7" t="s">
        <v>6503</v>
      </c>
    </row>
    <row r="12455" customFormat="false" ht="15.75" hidden="false" customHeight="false" outlineLevel="0" collapsed="false">
      <c r="A12455" s="6" t="n">
        <f aca="false">DATE(2026,8,22)</f>
        <v>46256</v>
      </c>
      <c r="B12455" s="4" t="s">
        <v>334</v>
      </c>
      <c r="C12455" s="4" t="n">
        <v>3</v>
      </c>
      <c r="D12455" s="4" t="n">
        <v>13</v>
      </c>
      <c r="E12455" s="4"/>
      <c r="F12455" s="4" t="n">
        <v>2</v>
      </c>
      <c r="G12455" s="4" t="n">
        <v>14</v>
      </c>
      <c r="H12455" s="4" t="n">
        <v>4</v>
      </c>
      <c r="I12455" s="4" t="str">
        <v>×</v>
      </c>
      <c r="J12455" s="4"/>
      <c r="K12455" s="4"/>
      <c r="L12455" s="4"/>
      <c r="M12455" s="7" t="s">
        <v>6503</v>
      </c>
    </row>
    <row r="12456" customFormat="false" ht="15.75" hidden="false" customHeight="false" outlineLevel="0" collapsed="false">
      <c r="A12456" s="6" t="n">
        <f aca="false">DATE(2026,8,22)</f>
        <v>46256</v>
      </c>
      <c r="B12456" s="4" t="s">
        <v>334</v>
      </c>
      <c r="C12456" s="4" t="n">
        <v>3</v>
      </c>
      <c r="D12456" s="4" t="n">
        <v>14</v>
      </c>
      <c r="E12456" s="4" t="s">
        <v>5011</v>
      </c>
      <c r="F12456" s="4" t="n">
        <v>81</v>
      </c>
      <c r="G12456" s="4" t="n">
        <v>1</v>
      </c>
      <c r="H12456" s="4" t="n">
        <v>1</v>
      </c>
      <c r="I12456" s="4" t="str">
        <v>○</v>
      </c>
      <c r="J12456" s="4" t="n">
        <v>110</v>
      </c>
      <c r="K12456" s="4"/>
      <c r="L12456" s="4"/>
      <c r="M12456" s="7" t="s">
        <v>6503</v>
      </c>
    </row>
    <row r="12457" customFormat="false" ht="15.75" hidden="false" customHeight="false" outlineLevel="0" collapsed="false">
      <c r="A12457" s="6" t="n">
        <f aca="false">DATE(2026,8,22)</f>
        <v>46256</v>
      </c>
      <c r="B12457" s="4" t="s">
        <v>334</v>
      </c>
      <c r="C12457" s="4" t="n">
        <v>4</v>
      </c>
      <c r="D12457" s="4" t="n">
        <v>1</v>
      </c>
      <c r="E12457" s="4"/>
      <c r="F12457" s="4" t="n">
        <v>56</v>
      </c>
      <c r="G12457" s="4" t="n">
        <v>2</v>
      </c>
      <c r="H12457" s="4" t="n">
        <v>4</v>
      </c>
      <c r="I12457" s="4" t="str">
        <v>×</v>
      </c>
      <c r="J12457" s="4"/>
      <c r="K12457" s="4"/>
      <c r="L12457" s="4"/>
      <c r="M12457" s="7" t="s">
        <v>6503</v>
      </c>
    </row>
    <row r="12458" customFormat="false" ht="15.75" hidden="false" customHeight="false" outlineLevel="0" collapsed="false">
      <c r="A12458" s="6" t="n">
        <f aca="false">DATE(2026,8,22)</f>
        <v>46256</v>
      </c>
      <c r="B12458" s="4" t="s">
        <v>334</v>
      </c>
      <c r="C12458" s="4" t="n">
        <v>4</v>
      </c>
      <c r="D12458" s="4" t="n">
        <v>2</v>
      </c>
      <c r="E12458" s="4"/>
      <c r="F12458" s="4" t="n">
        <v>58</v>
      </c>
      <c r="G12458" s="4" t="n">
        <v>1</v>
      </c>
      <c r="H12458" s="4" t="n">
        <v>4</v>
      </c>
      <c r="I12458" s="4" t="str">
        <v>×</v>
      </c>
      <c r="J12458" s="4"/>
      <c r="K12458" s="4"/>
      <c r="L12458" s="4"/>
      <c r="M12458" s="7" t="s">
        <v>6503</v>
      </c>
    </row>
    <row r="12459" customFormat="false" ht="15.75" hidden="false" customHeight="false" outlineLevel="0" collapsed="false">
      <c r="A12459" s="6" t="n">
        <f aca="false">DATE(2026,8,22)</f>
        <v>46256</v>
      </c>
      <c r="B12459" s="4" t="s">
        <v>334</v>
      </c>
      <c r="C12459" s="4" t="n">
        <v>4</v>
      </c>
      <c r="D12459" s="4" t="n">
        <v>3</v>
      </c>
      <c r="E12459" s="4"/>
      <c r="F12459" s="4" t="n">
        <v>6</v>
      </c>
      <c r="G12459" s="4" t="n">
        <v>11</v>
      </c>
      <c r="H12459" s="4" t="n">
        <v>4</v>
      </c>
      <c r="I12459" s="4" t="str">
        <v>×</v>
      </c>
      <c r="J12459" s="4"/>
      <c r="K12459" s="4"/>
      <c r="L12459" s="4"/>
      <c r="M12459" s="7" t="s">
        <v>6503</v>
      </c>
    </row>
    <row r="12460" customFormat="false" ht="15.75" hidden="false" customHeight="false" outlineLevel="0" collapsed="false">
      <c r="A12460" s="6" t="n">
        <f aca="false">DATE(2026,8,22)</f>
        <v>46256</v>
      </c>
      <c r="B12460" s="4" t="s">
        <v>334</v>
      </c>
      <c r="C12460" s="4" t="n">
        <v>4</v>
      </c>
      <c r="D12460" s="4" t="n">
        <v>4</v>
      </c>
      <c r="E12460" s="4"/>
      <c r="F12460" s="4" t="n">
        <v>13</v>
      </c>
      <c r="G12460" s="4" t="n">
        <v>7</v>
      </c>
      <c r="H12460" s="4" t="n">
        <v>4</v>
      </c>
      <c r="I12460" s="4" t="str">
        <v>×</v>
      </c>
      <c r="J12460" s="4"/>
      <c r="K12460" s="4"/>
      <c r="L12460" s="4"/>
      <c r="M12460" s="7" t="s">
        <v>6503</v>
      </c>
    </row>
    <row r="12461" customFormat="false" ht="15.75" hidden="false" customHeight="false" outlineLevel="0" collapsed="false">
      <c r="A12461" s="6" t="n">
        <f aca="false">DATE(2026,8,22)</f>
        <v>46256</v>
      </c>
      <c r="B12461" s="4" t="s">
        <v>334</v>
      </c>
      <c r="C12461" s="4" t="n">
        <v>4</v>
      </c>
      <c r="D12461" s="4" t="n">
        <v>5</v>
      </c>
      <c r="E12461" s="4"/>
      <c r="F12461" s="4" t="n">
        <v>13</v>
      </c>
      <c r="G12461" s="4" t="n">
        <v>7</v>
      </c>
      <c r="H12461" s="4" t="n">
        <v>4</v>
      </c>
      <c r="I12461" s="4" t="str">
        <v>×</v>
      </c>
      <c r="J12461" s="4"/>
      <c r="K12461" s="4"/>
      <c r="L12461" s="4"/>
      <c r="M12461" s="7" t="s">
        <v>6503</v>
      </c>
    </row>
    <row r="12462" customFormat="false" ht="15.75" hidden="false" customHeight="false" outlineLevel="0" collapsed="false">
      <c r="A12462" s="6" t="n">
        <f aca="false">DATE(2026,8,22)</f>
        <v>46256</v>
      </c>
      <c r="B12462" s="4" t="s">
        <v>334</v>
      </c>
      <c r="C12462" s="4" t="n">
        <v>4</v>
      </c>
      <c r="D12462" s="4" t="n">
        <v>6</v>
      </c>
      <c r="E12462" s="4"/>
      <c r="F12462" s="4" t="n">
        <v>8</v>
      </c>
      <c r="G12462" s="4" t="n">
        <v>9</v>
      </c>
      <c r="H12462" s="4" t="n">
        <v>4</v>
      </c>
      <c r="I12462" s="4" t="str">
        <v>×</v>
      </c>
      <c r="J12462" s="4"/>
      <c r="K12462" s="4"/>
      <c r="L12462" s="4"/>
      <c r="M12462" s="7" t="s">
        <v>6503</v>
      </c>
    </row>
    <row r="12463" customFormat="false" ht="15.75" hidden="false" customHeight="false" outlineLevel="0" collapsed="false">
      <c r="A12463" s="6" t="n">
        <f aca="false">DATE(2026,8,22)</f>
        <v>46256</v>
      </c>
      <c r="B12463" s="4" t="s">
        <v>334</v>
      </c>
      <c r="C12463" s="4" t="n">
        <v>4</v>
      </c>
      <c r="D12463" s="4" t="n">
        <v>7</v>
      </c>
      <c r="E12463" s="4"/>
      <c r="F12463" s="4" t="n">
        <v>6</v>
      </c>
      <c r="G12463" s="4" t="n">
        <v>11</v>
      </c>
      <c r="H12463" s="4" t="n">
        <v>4</v>
      </c>
      <c r="I12463" s="4" t="str">
        <v>×</v>
      </c>
      <c r="J12463" s="4"/>
      <c r="K12463" s="4"/>
      <c r="L12463" s="4"/>
      <c r="M12463" s="7" t="s">
        <v>6503</v>
      </c>
    </row>
    <row r="12464" customFormat="false" ht="15.75" hidden="false" customHeight="false" outlineLevel="0" collapsed="false">
      <c r="A12464" s="6" t="n">
        <f aca="false">DATE(2026,8,22)</f>
        <v>46256</v>
      </c>
      <c r="B12464" s="4" t="s">
        <v>334</v>
      </c>
      <c r="C12464" s="4" t="n">
        <v>4</v>
      </c>
      <c r="D12464" s="4" t="n">
        <v>8</v>
      </c>
      <c r="E12464" s="4" t="s">
        <v>1761</v>
      </c>
      <c r="F12464" s="4" t="n">
        <v>29</v>
      </c>
      <c r="G12464" s="4" t="n">
        <v>5</v>
      </c>
      <c r="H12464" s="4" t="n">
        <v>3</v>
      </c>
      <c r="I12464" s="4" t="str">
        <v>○</v>
      </c>
      <c r="J12464" s="4" t="n">
        <v>400</v>
      </c>
      <c r="K12464" s="4"/>
      <c r="L12464" s="4"/>
      <c r="M12464" s="7" t="s">
        <v>6503</v>
      </c>
    </row>
    <row r="12465" customFormat="false" ht="15.75" hidden="false" customHeight="false" outlineLevel="0" collapsed="false">
      <c r="A12465" s="6" t="n">
        <f aca="false">DATE(2026,8,22)</f>
        <v>46256</v>
      </c>
      <c r="B12465" s="4" t="s">
        <v>334</v>
      </c>
      <c r="C12465" s="4" t="n">
        <v>4</v>
      </c>
      <c r="D12465" s="4" t="n">
        <v>9</v>
      </c>
      <c r="E12465" s="4"/>
      <c r="F12465" s="4" t="n">
        <v>15</v>
      </c>
      <c r="G12465" s="4" t="n">
        <v>6</v>
      </c>
      <c r="H12465" s="4" t="n">
        <v>4</v>
      </c>
      <c r="I12465" s="4" t="str">
        <v>×</v>
      </c>
      <c r="J12465" s="4"/>
      <c r="K12465" s="4"/>
      <c r="L12465" s="4"/>
      <c r="M12465" s="7" t="s">
        <v>6503</v>
      </c>
    </row>
    <row r="12466" customFormat="false" ht="15.75" hidden="false" customHeight="false" outlineLevel="0" collapsed="false">
      <c r="A12466" s="6" t="n">
        <f aca="false">DATE(2026,8,22)</f>
        <v>46256</v>
      </c>
      <c r="B12466" s="4" t="s">
        <v>334</v>
      </c>
      <c r="C12466" s="4" t="n">
        <v>4</v>
      </c>
      <c r="D12466" s="4" t="n">
        <v>10</v>
      </c>
      <c r="E12466" s="4" t="s">
        <v>2210</v>
      </c>
      <c r="F12466" s="4" t="n">
        <v>2</v>
      </c>
      <c r="G12466" s="4" t="n">
        <v>16</v>
      </c>
      <c r="H12466" s="4" t="n">
        <v>2</v>
      </c>
      <c r="I12466" s="4" t="str">
        <v>○</v>
      </c>
      <c r="J12466" s="4" t="n">
        <v>380</v>
      </c>
      <c r="K12466" s="4"/>
      <c r="L12466" s="4"/>
      <c r="M12466" s="7" t="s">
        <v>6503</v>
      </c>
    </row>
    <row r="12467" customFormat="false" ht="15.75" hidden="false" customHeight="false" outlineLevel="0" collapsed="false">
      <c r="A12467" s="6" t="n">
        <f aca="false">DATE(2026,8,22)</f>
        <v>46256</v>
      </c>
      <c r="B12467" s="4" t="s">
        <v>334</v>
      </c>
      <c r="C12467" s="4" t="n">
        <v>4</v>
      </c>
      <c r="D12467" s="4" t="n">
        <v>11</v>
      </c>
      <c r="E12467" s="4" t="s">
        <v>390</v>
      </c>
      <c r="F12467" s="4" t="n">
        <v>39</v>
      </c>
      <c r="G12467" s="4" t="n">
        <v>3</v>
      </c>
      <c r="H12467" s="4" t="n">
        <v>1</v>
      </c>
      <c r="I12467" s="4" t="str">
        <v>○</v>
      </c>
      <c r="J12467" s="4" t="n">
        <v>260</v>
      </c>
      <c r="K12467" s="4"/>
      <c r="L12467" s="4"/>
      <c r="M12467" s="7" t="s">
        <v>6503</v>
      </c>
    </row>
    <row r="12468" customFormat="false" ht="15.75" hidden="false" customHeight="false" outlineLevel="0" collapsed="false">
      <c r="A12468" s="6" t="n">
        <f aca="false">DATE(2026,8,22)</f>
        <v>46256</v>
      </c>
      <c r="B12468" s="4" t="s">
        <v>334</v>
      </c>
      <c r="C12468" s="4" t="n">
        <v>4</v>
      </c>
      <c r="D12468" s="4" t="n">
        <v>12</v>
      </c>
      <c r="E12468" s="4"/>
      <c r="F12468" s="4" t="n">
        <v>37</v>
      </c>
      <c r="G12468" s="4" t="n">
        <v>4</v>
      </c>
      <c r="H12468" s="4" t="n">
        <v>4</v>
      </c>
      <c r="I12468" s="4" t="str">
        <v>×</v>
      </c>
      <c r="J12468" s="4"/>
      <c r="K12468" s="4"/>
      <c r="L12468" s="4"/>
      <c r="M12468" s="7" t="s">
        <v>6503</v>
      </c>
    </row>
    <row r="12469" customFormat="false" ht="15.75" hidden="false" customHeight="false" outlineLevel="0" collapsed="false">
      <c r="A12469" s="6" t="n">
        <f aca="false">DATE(2026,8,22)</f>
        <v>46256</v>
      </c>
      <c r="B12469" s="4" t="s">
        <v>334</v>
      </c>
      <c r="C12469" s="4" t="n">
        <v>4</v>
      </c>
      <c r="D12469" s="4" t="n">
        <v>13</v>
      </c>
      <c r="E12469" s="4"/>
      <c r="F12469" s="4" t="n">
        <v>8</v>
      </c>
      <c r="G12469" s="4" t="n">
        <v>9</v>
      </c>
      <c r="H12469" s="4" t="n">
        <v>4</v>
      </c>
      <c r="I12469" s="4" t="str">
        <v>×</v>
      </c>
      <c r="J12469" s="4"/>
      <c r="K12469" s="4"/>
      <c r="L12469" s="4"/>
      <c r="M12469" s="7" t="s">
        <v>6503</v>
      </c>
    </row>
    <row r="12470" customFormat="false" ht="15.75" hidden="false" customHeight="false" outlineLevel="0" collapsed="false">
      <c r="A12470" s="6" t="n">
        <f aca="false">DATE(2026,8,22)</f>
        <v>46256</v>
      </c>
      <c r="B12470" s="4" t="s">
        <v>334</v>
      </c>
      <c r="C12470" s="4" t="n">
        <v>4</v>
      </c>
      <c r="D12470" s="4" t="n">
        <v>14</v>
      </c>
      <c r="E12470" s="4"/>
      <c r="F12470" s="4" t="n">
        <v>4</v>
      </c>
      <c r="G12470" s="4" t="n">
        <v>13</v>
      </c>
      <c r="H12470" s="4" t="n">
        <v>4</v>
      </c>
      <c r="I12470" s="4" t="str">
        <v>×</v>
      </c>
      <c r="J12470" s="4"/>
      <c r="K12470" s="4"/>
      <c r="L12470" s="4"/>
      <c r="M12470" s="7" t="s">
        <v>6503</v>
      </c>
    </row>
    <row r="12471" customFormat="false" ht="15.75" hidden="false" customHeight="false" outlineLevel="0" collapsed="false">
      <c r="A12471" s="6" t="n">
        <f aca="false">DATE(2026,8,22)</f>
        <v>46256</v>
      </c>
      <c r="B12471" s="4" t="s">
        <v>334</v>
      </c>
      <c r="C12471" s="4" t="n">
        <v>4</v>
      </c>
      <c r="D12471" s="4" t="n">
        <v>15</v>
      </c>
      <c r="E12471" s="4"/>
      <c r="F12471" s="4" t="n">
        <v>3</v>
      </c>
      <c r="G12471" s="4" t="n">
        <v>14</v>
      </c>
      <c r="H12471" s="4" t="n">
        <v>4</v>
      </c>
      <c r="I12471" s="4" t="str">
        <v>×</v>
      </c>
      <c r="J12471" s="4"/>
      <c r="K12471" s="4"/>
      <c r="L12471" s="4"/>
      <c r="M12471" s="7" t="s">
        <v>6503</v>
      </c>
    </row>
    <row r="12472" customFormat="false" ht="15.75" hidden="false" customHeight="false" outlineLevel="0" collapsed="false">
      <c r="A12472" s="6" t="n">
        <f aca="false">DATE(2026,8,22)</f>
        <v>46256</v>
      </c>
      <c r="B12472" s="4" t="s">
        <v>334</v>
      </c>
      <c r="C12472" s="4" t="n">
        <v>4</v>
      </c>
      <c r="D12472" s="4" t="n">
        <v>16</v>
      </c>
      <c r="E12472" s="4"/>
      <c r="F12472" s="4" t="n">
        <v>3</v>
      </c>
      <c r="G12472" s="4" t="n">
        <v>14</v>
      </c>
      <c r="H12472" s="4" t="n">
        <v>4</v>
      </c>
      <c r="I12472" s="4" t="str">
        <v>×</v>
      </c>
      <c r="J12472" s="4"/>
      <c r="K12472" s="4"/>
      <c r="L12472" s="4"/>
      <c r="M12472" s="7" t="s">
        <v>6503</v>
      </c>
    </row>
    <row r="12473" customFormat="false" ht="15.75" hidden="false" customHeight="false" outlineLevel="0" collapsed="false">
      <c r="A12473" s="6" t="n">
        <f aca="false">DATE(2026,8,22)</f>
        <v>46256</v>
      </c>
      <c r="B12473" s="4" t="s">
        <v>334</v>
      </c>
      <c r="C12473" s="4" t="n">
        <v>5</v>
      </c>
      <c r="D12473" s="4" t="n">
        <v>1</v>
      </c>
      <c r="E12473" s="4"/>
      <c r="F12473" s="4" t="n">
        <v>8</v>
      </c>
      <c r="G12473" s="4" t="n">
        <v>10</v>
      </c>
      <c r="H12473" s="4" t="n">
        <v>4</v>
      </c>
      <c r="I12473" s="4" t="str">
        <v>×</v>
      </c>
      <c r="J12473" s="4"/>
      <c r="K12473" s="4"/>
      <c r="L12473" s="4"/>
      <c r="M12473" s="7" t="s">
        <v>6503</v>
      </c>
    </row>
    <row r="12474" customFormat="false" ht="15.75" hidden="false" customHeight="false" outlineLevel="0" collapsed="false">
      <c r="A12474" s="6" t="n">
        <f aca="false">DATE(2026,8,22)</f>
        <v>46256</v>
      </c>
      <c r="B12474" s="4" t="s">
        <v>334</v>
      </c>
      <c r="C12474" s="4" t="n">
        <v>5</v>
      </c>
      <c r="D12474" s="4" t="n">
        <v>2</v>
      </c>
      <c r="E12474" s="4"/>
      <c r="F12474" s="4" t="n">
        <v>12</v>
      </c>
      <c r="G12474" s="4" t="n">
        <v>9</v>
      </c>
      <c r="H12474" s="4" t="n">
        <v>4</v>
      </c>
      <c r="I12474" s="4" t="str">
        <v>×</v>
      </c>
      <c r="J12474" s="4"/>
      <c r="K12474" s="4"/>
      <c r="L12474" s="4"/>
      <c r="M12474" s="7" t="s">
        <v>6503</v>
      </c>
    </row>
    <row r="12475" customFormat="false" ht="15.75" hidden="false" customHeight="false" outlineLevel="0" collapsed="false">
      <c r="A12475" s="6" t="n">
        <f aca="false">DATE(2026,8,22)</f>
        <v>46256</v>
      </c>
      <c r="B12475" s="4" t="s">
        <v>334</v>
      </c>
      <c r="C12475" s="4" t="n">
        <v>5</v>
      </c>
      <c r="D12475" s="4" t="n">
        <v>3</v>
      </c>
      <c r="E12475" s="4"/>
      <c r="F12475" s="4" t="n">
        <v>27</v>
      </c>
      <c r="G12475" s="4" t="n">
        <v>1</v>
      </c>
      <c r="H12475" s="4" t="n">
        <v>4</v>
      </c>
      <c r="I12475" s="4" t="str">
        <v>×</v>
      </c>
      <c r="J12475" s="4"/>
      <c r="K12475" s="4"/>
      <c r="L12475" s="4"/>
      <c r="M12475" s="7" t="s">
        <v>6503</v>
      </c>
    </row>
    <row r="12476" customFormat="false" ht="15.75" hidden="false" customHeight="false" outlineLevel="0" collapsed="false">
      <c r="A12476" s="6" t="n">
        <f aca="false">DATE(2026,8,22)</f>
        <v>46256</v>
      </c>
      <c r="B12476" s="4" t="s">
        <v>334</v>
      </c>
      <c r="C12476" s="4" t="n">
        <v>5</v>
      </c>
      <c r="D12476" s="4" t="n">
        <v>4</v>
      </c>
      <c r="E12476" s="4"/>
      <c r="F12476" s="4" t="n">
        <v>24</v>
      </c>
      <c r="G12476" s="4" t="n">
        <v>2</v>
      </c>
      <c r="H12476" s="4" t="n">
        <v>4</v>
      </c>
      <c r="I12476" s="4" t="str">
        <v>×</v>
      </c>
      <c r="J12476" s="4"/>
      <c r="K12476" s="4"/>
      <c r="L12476" s="4"/>
      <c r="M12476" s="7" t="s">
        <v>6503</v>
      </c>
    </row>
    <row r="12477" customFormat="false" ht="15.75" hidden="false" customHeight="false" outlineLevel="0" collapsed="false">
      <c r="A12477" s="6" t="n">
        <f aca="false">DATE(2026,8,22)</f>
        <v>46256</v>
      </c>
      <c r="B12477" s="4" t="s">
        <v>334</v>
      </c>
      <c r="C12477" s="4" t="n">
        <v>5</v>
      </c>
      <c r="D12477" s="4" t="n">
        <v>5</v>
      </c>
      <c r="E12477" s="4" t="s">
        <v>6522</v>
      </c>
      <c r="F12477" s="4" t="n">
        <v>21</v>
      </c>
      <c r="G12477" s="4" t="n">
        <v>4</v>
      </c>
      <c r="H12477" s="4" t="n">
        <v>2</v>
      </c>
      <c r="I12477" s="4" t="str">
        <v>○</v>
      </c>
      <c r="J12477" s="4" t="n">
        <v>280</v>
      </c>
      <c r="K12477" s="4"/>
      <c r="L12477" s="4"/>
      <c r="M12477" s="7" t="s">
        <v>6503</v>
      </c>
    </row>
    <row r="12478" customFormat="false" ht="15.75" hidden="false" customHeight="false" outlineLevel="0" collapsed="false">
      <c r="A12478" s="6" t="n">
        <f aca="false">DATE(2026,8,22)</f>
        <v>46256</v>
      </c>
      <c r="B12478" s="4" t="s">
        <v>334</v>
      </c>
      <c r="C12478" s="4" t="n">
        <v>5</v>
      </c>
      <c r="D12478" s="4" t="n">
        <v>6</v>
      </c>
      <c r="E12478" s="4" t="s">
        <v>6523</v>
      </c>
      <c r="F12478" s="4" t="n">
        <v>21</v>
      </c>
      <c r="G12478" s="4" t="n">
        <v>4</v>
      </c>
      <c r="H12478" s="4" t="n">
        <v>3</v>
      </c>
      <c r="I12478" s="4" t="str">
        <v>○</v>
      </c>
      <c r="J12478" s="4" t="n">
        <v>360</v>
      </c>
      <c r="K12478" s="4"/>
      <c r="L12478" s="4"/>
      <c r="M12478" s="7" t="s">
        <v>6503</v>
      </c>
    </row>
    <row r="12479" customFormat="false" ht="15.75" hidden="false" customHeight="false" outlineLevel="0" collapsed="false">
      <c r="A12479" s="6" t="n">
        <f aca="false">DATE(2026,8,22)</f>
        <v>46256</v>
      </c>
      <c r="B12479" s="4" t="s">
        <v>334</v>
      </c>
      <c r="C12479" s="4" t="n">
        <v>5</v>
      </c>
      <c r="D12479" s="4" t="n">
        <v>7</v>
      </c>
      <c r="E12479" s="4"/>
      <c r="F12479" s="4" t="n">
        <v>16</v>
      </c>
      <c r="G12479" s="4" t="n">
        <v>7</v>
      </c>
      <c r="H12479" s="4" t="n">
        <v>4</v>
      </c>
      <c r="I12479" s="4" t="str">
        <v>×</v>
      </c>
      <c r="J12479" s="4"/>
      <c r="K12479" s="4"/>
      <c r="L12479" s="4"/>
      <c r="M12479" s="7" t="s">
        <v>6503</v>
      </c>
    </row>
    <row r="12480" customFormat="false" ht="15.75" hidden="false" customHeight="false" outlineLevel="0" collapsed="false">
      <c r="A12480" s="6" t="n">
        <f aca="false">DATE(2026,8,22)</f>
        <v>46256</v>
      </c>
      <c r="B12480" s="4" t="s">
        <v>334</v>
      </c>
      <c r="C12480" s="4" t="n">
        <v>5</v>
      </c>
      <c r="D12480" s="4" t="n">
        <v>8</v>
      </c>
      <c r="E12480" s="4"/>
      <c r="F12480" s="4" t="n">
        <v>16</v>
      </c>
      <c r="G12480" s="4" t="n">
        <v>7</v>
      </c>
      <c r="H12480" s="4" t="n">
        <v>4</v>
      </c>
      <c r="I12480" s="4" t="str">
        <v>×</v>
      </c>
      <c r="J12480" s="4"/>
      <c r="K12480" s="4"/>
      <c r="L12480" s="4"/>
      <c r="M12480" s="7" t="s">
        <v>6503</v>
      </c>
    </row>
    <row r="12481" customFormat="false" ht="15.75" hidden="false" customHeight="false" outlineLevel="0" collapsed="false">
      <c r="A12481" s="6" t="n">
        <f aca="false">DATE(2026,8,22)</f>
        <v>46256</v>
      </c>
      <c r="B12481" s="4" t="s">
        <v>334</v>
      </c>
      <c r="C12481" s="4" t="n">
        <v>5</v>
      </c>
      <c r="D12481" s="4" t="n">
        <v>9</v>
      </c>
      <c r="E12481" s="4"/>
      <c r="F12481" s="4" t="n">
        <v>6</v>
      </c>
      <c r="G12481" s="4" t="n">
        <v>13</v>
      </c>
      <c r="H12481" s="4" t="n">
        <v>4</v>
      </c>
      <c r="I12481" s="4" t="str">
        <v>×</v>
      </c>
      <c r="J12481" s="4"/>
      <c r="K12481" s="4"/>
      <c r="L12481" s="4"/>
      <c r="M12481" s="7" t="s">
        <v>6503</v>
      </c>
    </row>
    <row r="12482" customFormat="false" ht="15.75" hidden="false" customHeight="false" outlineLevel="0" collapsed="false">
      <c r="A12482" s="6" t="n">
        <f aca="false">DATE(2026,8,22)</f>
        <v>46256</v>
      </c>
      <c r="B12482" s="4" t="s">
        <v>334</v>
      </c>
      <c r="C12482" s="4" t="n">
        <v>5</v>
      </c>
      <c r="D12482" s="4" t="n">
        <v>10</v>
      </c>
      <c r="E12482" s="4"/>
      <c r="F12482" s="4" t="n">
        <v>8</v>
      </c>
      <c r="G12482" s="4" t="n">
        <v>10</v>
      </c>
      <c r="H12482" s="4" t="n">
        <v>4</v>
      </c>
      <c r="I12482" s="4" t="str">
        <v>×</v>
      </c>
      <c r="J12482" s="4"/>
      <c r="K12482" s="4"/>
      <c r="L12482" s="4"/>
      <c r="M12482" s="7" t="s">
        <v>6503</v>
      </c>
    </row>
    <row r="12483" customFormat="false" ht="15.75" hidden="false" customHeight="false" outlineLevel="0" collapsed="false">
      <c r="A12483" s="6" t="n">
        <f aca="false">DATE(2026,8,22)</f>
        <v>46256</v>
      </c>
      <c r="B12483" s="4" t="s">
        <v>334</v>
      </c>
      <c r="C12483" s="4" t="n">
        <v>5</v>
      </c>
      <c r="D12483" s="4" t="n">
        <v>11</v>
      </c>
      <c r="E12483" s="4" t="s">
        <v>6524</v>
      </c>
      <c r="F12483" s="4" t="n">
        <v>21</v>
      </c>
      <c r="G12483" s="4" t="n">
        <v>4</v>
      </c>
      <c r="H12483" s="4" t="n">
        <v>1</v>
      </c>
      <c r="I12483" s="4" t="str">
        <v>○</v>
      </c>
      <c r="J12483" s="4" t="n">
        <v>160</v>
      </c>
      <c r="K12483" s="4"/>
      <c r="L12483" s="4"/>
      <c r="M12483" s="7" t="s">
        <v>6503</v>
      </c>
    </row>
    <row r="12484" customFormat="false" ht="15.75" hidden="false" customHeight="false" outlineLevel="0" collapsed="false">
      <c r="A12484" s="6" t="n">
        <f aca="false">DATE(2026,8,22)</f>
        <v>46256</v>
      </c>
      <c r="B12484" s="4" t="s">
        <v>334</v>
      </c>
      <c r="C12484" s="4" t="n">
        <v>5</v>
      </c>
      <c r="D12484" s="4" t="n">
        <v>12</v>
      </c>
      <c r="E12484" s="4"/>
      <c r="F12484" s="4" t="n">
        <v>8</v>
      </c>
      <c r="G12484" s="4" t="n">
        <v>10</v>
      </c>
      <c r="H12484" s="4" t="n">
        <v>4</v>
      </c>
      <c r="I12484" s="4" t="str">
        <v>×</v>
      </c>
      <c r="J12484" s="4"/>
      <c r="K12484" s="4"/>
      <c r="L12484" s="4"/>
      <c r="M12484" s="7" t="s">
        <v>6503</v>
      </c>
    </row>
    <row r="12485" customFormat="false" ht="15.75" hidden="false" customHeight="false" outlineLevel="0" collapsed="false">
      <c r="A12485" s="6" t="n">
        <f aca="false">DATE(2026,8,22)</f>
        <v>46256</v>
      </c>
      <c r="B12485" s="4" t="s">
        <v>334</v>
      </c>
      <c r="C12485" s="4" t="n">
        <v>5</v>
      </c>
      <c r="D12485" s="4" t="n">
        <v>13</v>
      </c>
      <c r="E12485" s="4"/>
      <c r="F12485" s="4" t="n">
        <v>24</v>
      </c>
      <c r="G12485" s="4" t="n">
        <v>2</v>
      </c>
      <c r="H12485" s="4" t="n">
        <v>4</v>
      </c>
      <c r="I12485" s="4" t="str">
        <v>×</v>
      </c>
      <c r="J12485" s="4"/>
      <c r="K12485" s="4"/>
      <c r="L12485" s="4"/>
      <c r="M12485" s="7" t="s">
        <v>6503</v>
      </c>
    </row>
    <row r="12486" customFormat="false" ht="15.75" hidden="false" customHeight="false" outlineLevel="0" collapsed="false">
      <c r="A12486" s="6" t="n">
        <f aca="false">DATE(2026,8,22)</f>
        <v>46256</v>
      </c>
      <c r="B12486" s="4" t="s">
        <v>334</v>
      </c>
      <c r="C12486" s="4" t="n">
        <v>5</v>
      </c>
      <c r="D12486" s="4" t="n">
        <v>14</v>
      </c>
      <c r="E12486" s="4"/>
      <c r="F12486" s="4" t="n">
        <v>6</v>
      </c>
      <c r="G12486" s="4" t="n">
        <v>13</v>
      </c>
      <c r="H12486" s="4" t="n">
        <v>4</v>
      </c>
      <c r="I12486" s="4" t="str">
        <v>×</v>
      </c>
      <c r="J12486" s="4"/>
      <c r="K12486" s="4"/>
      <c r="L12486" s="4"/>
      <c r="M12486" s="7" t="s">
        <v>6503</v>
      </c>
    </row>
    <row r="12487" customFormat="false" ht="15.75" hidden="false" customHeight="false" outlineLevel="0" collapsed="false">
      <c r="A12487" s="6" t="n">
        <f aca="false">DATE(2026,8,22)</f>
        <v>46256</v>
      </c>
      <c r="B12487" s="4" t="s">
        <v>334</v>
      </c>
      <c r="C12487" s="4" t="n">
        <v>6</v>
      </c>
      <c r="D12487" s="4" t="n">
        <v>1</v>
      </c>
      <c r="E12487" s="4"/>
      <c r="F12487" s="4" t="n">
        <v>3</v>
      </c>
      <c r="G12487" s="4" t="n">
        <v>14</v>
      </c>
      <c r="H12487" s="4" t="n">
        <v>4</v>
      </c>
      <c r="I12487" s="4" t="str">
        <v>×</v>
      </c>
      <c r="J12487" s="4"/>
      <c r="K12487" s="4"/>
      <c r="L12487" s="4"/>
      <c r="M12487" s="7" t="s">
        <v>6503</v>
      </c>
    </row>
    <row r="12488" customFormat="false" ht="15.75" hidden="false" customHeight="false" outlineLevel="0" collapsed="false">
      <c r="A12488" s="6" t="n">
        <f aca="false">DATE(2026,8,22)</f>
        <v>46256</v>
      </c>
      <c r="B12488" s="4" t="s">
        <v>334</v>
      </c>
      <c r="C12488" s="4" t="n">
        <v>6</v>
      </c>
      <c r="D12488" s="4" t="n">
        <v>2</v>
      </c>
      <c r="E12488" s="4"/>
      <c r="F12488" s="4" t="n">
        <v>37</v>
      </c>
      <c r="G12488" s="4" t="n">
        <v>4</v>
      </c>
      <c r="H12488" s="4" t="n">
        <v>4</v>
      </c>
      <c r="I12488" s="4" t="str">
        <v>×</v>
      </c>
      <c r="J12488" s="4"/>
      <c r="K12488" s="4"/>
      <c r="L12488" s="4"/>
      <c r="M12488" s="7" t="s">
        <v>6503</v>
      </c>
    </row>
    <row r="12489" customFormat="false" ht="15.75" hidden="false" customHeight="false" outlineLevel="0" collapsed="false">
      <c r="A12489" s="6" t="n">
        <f aca="false">DATE(2026,8,22)</f>
        <v>46256</v>
      </c>
      <c r="B12489" s="4" t="s">
        <v>334</v>
      </c>
      <c r="C12489" s="4" t="n">
        <v>6</v>
      </c>
      <c r="D12489" s="4" t="n">
        <v>3</v>
      </c>
      <c r="E12489" s="4"/>
      <c r="F12489" s="4" t="n">
        <v>10</v>
      </c>
      <c r="G12489" s="4" t="n">
        <v>8</v>
      </c>
      <c r="H12489" s="4" t="n">
        <v>4</v>
      </c>
      <c r="I12489" s="4" t="str">
        <v>×</v>
      </c>
      <c r="J12489" s="4"/>
      <c r="K12489" s="4"/>
      <c r="L12489" s="4"/>
      <c r="M12489" s="7" t="s">
        <v>6503</v>
      </c>
    </row>
    <row r="12490" customFormat="false" ht="15.75" hidden="false" customHeight="false" outlineLevel="0" collapsed="false">
      <c r="A12490" s="6" t="n">
        <f aca="false">DATE(2026,8,22)</f>
        <v>46256</v>
      </c>
      <c r="B12490" s="4" t="s">
        <v>334</v>
      </c>
      <c r="C12490" s="4" t="n">
        <v>6</v>
      </c>
      <c r="D12490" s="4" t="n">
        <v>4</v>
      </c>
      <c r="E12490" s="4"/>
      <c r="F12490" s="4" t="n">
        <v>39</v>
      </c>
      <c r="G12490" s="4" t="n">
        <v>3</v>
      </c>
      <c r="H12490" s="4" t="n">
        <v>4</v>
      </c>
      <c r="I12490" s="4" t="str">
        <v>×</v>
      </c>
      <c r="J12490" s="4"/>
      <c r="K12490" s="4"/>
      <c r="L12490" s="4"/>
      <c r="M12490" s="7" t="s">
        <v>6503</v>
      </c>
    </row>
    <row r="12491" customFormat="false" ht="15.75" hidden="false" customHeight="false" outlineLevel="0" collapsed="false">
      <c r="A12491" s="6" t="n">
        <f aca="false">DATE(2026,8,22)</f>
        <v>46256</v>
      </c>
      <c r="B12491" s="4" t="s">
        <v>334</v>
      </c>
      <c r="C12491" s="4" t="n">
        <v>6</v>
      </c>
      <c r="D12491" s="4" t="n">
        <v>5</v>
      </c>
      <c r="E12491" s="4" t="s">
        <v>2045</v>
      </c>
      <c r="F12491" s="4" t="n">
        <v>13</v>
      </c>
      <c r="G12491" s="4" t="n">
        <v>7</v>
      </c>
      <c r="H12491" s="4" t="n">
        <v>1</v>
      </c>
      <c r="I12491" s="4" t="str">
        <v>○</v>
      </c>
      <c r="J12491" s="4" t="n">
        <v>580</v>
      </c>
      <c r="K12491" s="4"/>
      <c r="L12491" s="4"/>
      <c r="M12491" s="7" t="s">
        <v>6503</v>
      </c>
    </row>
    <row r="12492" customFormat="false" ht="15.75" hidden="false" customHeight="false" outlineLevel="0" collapsed="false">
      <c r="A12492" s="6" t="n">
        <f aca="false">DATE(2026,8,22)</f>
        <v>46256</v>
      </c>
      <c r="B12492" s="4" t="s">
        <v>334</v>
      </c>
      <c r="C12492" s="4" t="n">
        <v>6</v>
      </c>
      <c r="D12492" s="4" t="n">
        <v>6</v>
      </c>
      <c r="E12492" s="4"/>
      <c r="F12492" s="4" t="n">
        <v>8</v>
      </c>
      <c r="G12492" s="4" t="n">
        <v>9</v>
      </c>
      <c r="H12492" s="4" t="n">
        <v>4</v>
      </c>
      <c r="I12492" s="4" t="str">
        <v>×</v>
      </c>
      <c r="J12492" s="4"/>
      <c r="K12492" s="4"/>
      <c r="L12492" s="4"/>
      <c r="M12492" s="7" t="s">
        <v>6503</v>
      </c>
    </row>
    <row r="12493" customFormat="false" ht="15.75" hidden="false" customHeight="false" outlineLevel="0" collapsed="false">
      <c r="A12493" s="6" t="n">
        <f aca="false">DATE(2026,8,22)</f>
        <v>46256</v>
      </c>
      <c r="B12493" s="4" t="s">
        <v>334</v>
      </c>
      <c r="C12493" s="4" t="n">
        <v>6</v>
      </c>
      <c r="D12493" s="4" t="n">
        <v>7</v>
      </c>
      <c r="E12493" s="4"/>
      <c r="F12493" s="4" t="n">
        <v>6</v>
      </c>
      <c r="G12493" s="4" t="n">
        <v>10</v>
      </c>
      <c r="H12493" s="4" t="n">
        <v>4</v>
      </c>
      <c r="I12493" s="4" t="str">
        <v>×</v>
      </c>
      <c r="J12493" s="4"/>
      <c r="K12493" s="4"/>
      <c r="L12493" s="4"/>
      <c r="M12493" s="7" t="s">
        <v>6503</v>
      </c>
    </row>
    <row r="12494" customFormat="false" ht="15.75" hidden="false" customHeight="false" outlineLevel="0" collapsed="false">
      <c r="A12494" s="6" t="n">
        <f aca="false">DATE(2026,8,22)</f>
        <v>46256</v>
      </c>
      <c r="B12494" s="4" t="s">
        <v>334</v>
      </c>
      <c r="C12494" s="4" t="n">
        <v>6</v>
      </c>
      <c r="D12494" s="4" t="n">
        <v>8</v>
      </c>
      <c r="E12494" s="4"/>
      <c r="F12494" s="4" t="n">
        <v>4</v>
      </c>
      <c r="G12494" s="4" t="n">
        <v>12</v>
      </c>
      <c r="H12494" s="4" t="n">
        <v>4</v>
      </c>
      <c r="I12494" s="4" t="str">
        <v>×</v>
      </c>
      <c r="J12494" s="4"/>
      <c r="K12494" s="4"/>
      <c r="L12494" s="4"/>
      <c r="M12494" s="7" t="s">
        <v>6503</v>
      </c>
    </row>
    <row r="12495" customFormat="false" ht="15.75" hidden="false" customHeight="false" outlineLevel="0" collapsed="false">
      <c r="A12495" s="6" t="n">
        <f aca="false">DATE(2026,8,22)</f>
        <v>46256</v>
      </c>
      <c r="B12495" s="4" t="s">
        <v>334</v>
      </c>
      <c r="C12495" s="4" t="n">
        <v>6</v>
      </c>
      <c r="D12495" s="4" t="n">
        <v>9</v>
      </c>
      <c r="E12495" s="4"/>
      <c r="F12495" s="4" t="n">
        <v>65</v>
      </c>
      <c r="G12495" s="4" t="n">
        <v>1</v>
      </c>
      <c r="H12495" s="4" t="n">
        <v>4</v>
      </c>
      <c r="I12495" s="4" t="str">
        <v>×</v>
      </c>
      <c r="J12495" s="4"/>
      <c r="K12495" s="4"/>
      <c r="L12495" s="4"/>
      <c r="M12495" s="7" t="s">
        <v>6503</v>
      </c>
    </row>
    <row r="12496" customFormat="false" ht="15.75" hidden="false" customHeight="false" outlineLevel="0" collapsed="false">
      <c r="A12496" s="6" t="n">
        <f aca="false">DATE(2026,8,22)</f>
        <v>46256</v>
      </c>
      <c r="B12496" s="4" t="s">
        <v>334</v>
      </c>
      <c r="C12496" s="4" t="n">
        <v>6</v>
      </c>
      <c r="D12496" s="4" t="n">
        <v>10</v>
      </c>
      <c r="E12496" s="4" t="s">
        <v>2827</v>
      </c>
      <c r="F12496" s="4" t="n">
        <v>23</v>
      </c>
      <c r="G12496" s="4" t="n">
        <v>5</v>
      </c>
      <c r="H12496" s="4" t="n">
        <v>3</v>
      </c>
      <c r="I12496" s="4" t="str">
        <v>○</v>
      </c>
      <c r="J12496" s="4" t="n">
        <v>380</v>
      </c>
      <c r="K12496" s="4"/>
      <c r="L12496" s="4"/>
      <c r="M12496" s="7" t="s">
        <v>6503</v>
      </c>
    </row>
    <row r="12497" customFormat="false" ht="15.75" hidden="false" customHeight="false" outlineLevel="0" collapsed="false">
      <c r="A12497" s="6" t="n">
        <f aca="false">DATE(2026,8,22)</f>
        <v>46256</v>
      </c>
      <c r="B12497" s="4" t="s">
        <v>334</v>
      </c>
      <c r="C12497" s="4" t="n">
        <v>6</v>
      </c>
      <c r="D12497" s="4" t="n">
        <v>11</v>
      </c>
      <c r="E12497" s="4"/>
      <c r="F12497" s="4" t="n">
        <v>4</v>
      </c>
      <c r="G12497" s="4" t="n">
        <v>12</v>
      </c>
      <c r="H12497" s="4" t="n">
        <v>4</v>
      </c>
      <c r="I12497" s="4" t="str">
        <v>×</v>
      </c>
      <c r="J12497" s="4"/>
      <c r="K12497" s="4"/>
      <c r="L12497" s="4"/>
      <c r="M12497" s="7" t="s">
        <v>6503</v>
      </c>
    </row>
    <row r="12498" customFormat="false" ht="15.75" hidden="false" customHeight="false" outlineLevel="0" collapsed="false">
      <c r="A12498" s="6" t="n">
        <f aca="false">DATE(2026,8,22)</f>
        <v>46256</v>
      </c>
      <c r="B12498" s="4" t="s">
        <v>334</v>
      </c>
      <c r="C12498" s="4" t="n">
        <v>6</v>
      </c>
      <c r="D12498" s="4" t="n">
        <v>12</v>
      </c>
      <c r="E12498" s="4" t="s">
        <v>1756</v>
      </c>
      <c r="F12498" s="4" t="n">
        <v>41</v>
      </c>
      <c r="G12498" s="4" t="n">
        <v>2</v>
      </c>
      <c r="H12498" s="4" t="n">
        <v>2</v>
      </c>
      <c r="I12498" s="4" t="str">
        <v>○</v>
      </c>
      <c r="J12498" s="4" t="n">
        <v>200</v>
      </c>
      <c r="K12498" s="4"/>
      <c r="L12498" s="4"/>
      <c r="M12498" s="7" t="s">
        <v>6503</v>
      </c>
    </row>
    <row r="12499" customFormat="false" ht="15.75" hidden="false" customHeight="false" outlineLevel="0" collapsed="false">
      <c r="A12499" s="6" t="n">
        <f aca="false">DATE(2026,8,22)</f>
        <v>46256</v>
      </c>
      <c r="B12499" s="4" t="s">
        <v>334</v>
      </c>
      <c r="C12499" s="4" t="n">
        <v>6</v>
      </c>
      <c r="D12499" s="4" t="n">
        <v>13</v>
      </c>
      <c r="E12499" s="4"/>
      <c r="F12499" s="4" t="n">
        <v>6</v>
      </c>
      <c r="G12499" s="4" t="n">
        <v>10</v>
      </c>
      <c r="H12499" s="4" t="n">
        <v>4</v>
      </c>
      <c r="I12499" s="4" t="str">
        <v>×</v>
      </c>
      <c r="J12499" s="4"/>
      <c r="K12499" s="4"/>
      <c r="L12499" s="4"/>
      <c r="M12499" s="7" t="s">
        <v>6503</v>
      </c>
    </row>
    <row r="12500" customFormat="false" ht="15.75" hidden="false" customHeight="false" outlineLevel="0" collapsed="false">
      <c r="A12500" s="6" t="n">
        <f aca="false">DATE(2026,8,22)</f>
        <v>46256</v>
      </c>
      <c r="B12500" s="4" t="s">
        <v>334</v>
      </c>
      <c r="C12500" s="4" t="n">
        <v>6</v>
      </c>
      <c r="D12500" s="4" t="n">
        <v>14</v>
      </c>
      <c r="E12500" s="4"/>
      <c r="F12500" s="4" t="n">
        <v>15</v>
      </c>
      <c r="G12500" s="4" t="n">
        <v>6</v>
      </c>
      <c r="H12500" s="4" t="n">
        <v>4</v>
      </c>
      <c r="I12500" s="4" t="str">
        <v>×</v>
      </c>
      <c r="J12500" s="4"/>
      <c r="K12500" s="4"/>
      <c r="L12500" s="4"/>
      <c r="M12500" s="7" t="s">
        <v>6503</v>
      </c>
    </row>
    <row r="12501" customFormat="false" ht="15.75" hidden="false" customHeight="false" outlineLevel="0" collapsed="false">
      <c r="A12501" s="6" t="n">
        <f aca="false">DATE(2026,8,22)</f>
        <v>46256</v>
      </c>
      <c r="B12501" s="4" t="s">
        <v>334</v>
      </c>
      <c r="C12501" s="4" t="n">
        <v>7</v>
      </c>
      <c r="D12501" s="4" t="n">
        <v>1</v>
      </c>
      <c r="E12501" s="4"/>
      <c r="F12501" s="4" t="n">
        <v>56</v>
      </c>
      <c r="G12501" s="4" t="n">
        <v>2</v>
      </c>
      <c r="H12501" s="4" t="n">
        <v>4</v>
      </c>
      <c r="I12501" s="4" t="str">
        <v>×</v>
      </c>
      <c r="J12501" s="4"/>
      <c r="K12501" s="4"/>
      <c r="L12501" s="4"/>
      <c r="M12501" s="7" t="s">
        <v>6503</v>
      </c>
    </row>
    <row r="12502" customFormat="false" ht="15.75" hidden="false" customHeight="false" outlineLevel="0" collapsed="false">
      <c r="A12502" s="6" t="n">
        <f aca="false">DATE(2026,8,22)</f>
        <v>46256</v>
      </c>
      <c r="B12502" s="4" t="s">
        <v>334</v>
      </c>
      <c r="C12502" s="4" t="n">
        <v>7</v>
      </c>
      <c r="D12502" s="4" t="n">
        <v>2</v>
      </c>
      <c r="E12502" s="4"/>
      <c r="F12502" s="4" t="n">
        <v>3</v>
      </c>
      <c r="G12502" s="4" t="n">
        <v>11</v>
      </c>
      <c r="H12502" s="4" t="n">
        <v>4</v>
      </c>
      <c r="I12502" s="4" t="str">
        <v>×</v>
      </c>
      <c r="J12502" s="4"/>
      <c r="K12502" s="4"/>
      <c r="L12502" s="4"/>
      <c r="M12502" s="7" t="s">
        <v>6503</v>
      </c>
    </row>
    <row r="12503" customFormat="false" ht="15.75" hidden="false" customHeight="false" outlineLevel="0" collapsed="false">
      <c r="A12503" s="6" t="n">
        <f aca="false">DATE(2026,8,22)</f>
        <v>46256</v>
      </c>
      <c r="B12503" s="4" t="s">
        <v>334</v>
      </c>
      <c r="C12503" s="4" t="n">
        <v>7</v>
      </c>
      <c r="D12503" s="4" t="n">
        <v>3</v>
      </c>
      <c r="E12503" s="4" t="s">
        <v>1807</v>
      </c>
      <c r="F12503" s="4" t="n">
        <v>25</v>
      </c>
      <c r="G12503" s="4" t="n">
        <v>5</v>
      </c>
      <c r="H12503" s="4" t="n">
        <v>2</v>
      </c>
      <c r="I12503" s="4" t="str">
        <v>○</v>
      </c>
      <c r="J12503" s="4" t="n">
        <v>270</v>
      </c>
      <c r="K12503" s="4"/>
      <c r="L12503" s="4"/>
      <c r="M12503" s="7" t="s">
        <v>6503</v>
      </c>
    </row>
    <row r="12504" customFormat="false" ht="15.75" hidden="false" customHeight="false" outlineLevel="0" collapsed="false">
      <c r="A12504" s="6" t="n">
        <f aca="false">DATE(2026,8,22)</f>
        <v>46256</v>
      </c>
      <c r="B12504" s="4" t="s">
        <v>334</v>
      </c>
      <c r="C12504" s="4" t="n">
        <v>7</v>
      </c>
      <c r="D12504" s="4" t="n">
        <v>4</v>
      </c>
      <c r="E12504" s="4"/>
      <c r="F12504" s="4" t="n">
        <v>65</v>
      </c>
      <c r="G12504" s="4" t="n">
        <v>1</v>
      </c>
      <c r="H12504" s="4" t="n">
        <v>4</v>
      </c>
      <c r="I12504" s="4" t="str">
        <v>×</v>
      </c>
      <c r="J12504" s="4"/>
      <c r="K12504" s="4"/>
      <c r="L12504" s="4"/>
      <c r="M12504" s="7" t="s">
        <v>6503</v>
      </c>
    </row>
    <row r="12505" customFormat="false" ht="15.75" hidden="false" customHeight="false" outlineLevel="0" collapsed="false">
      <c r="A12505" s="6" t="n">
        <f aca="false">DATE(2026,8,22)</f>
        <v>46256</v>
      </c>
      <c r="B12505" s="4" t="s">
        <v>334</v>
      </c>
      <c r="C12505" s="4" t="n">
        <v>7</v>
      </c>
      <c r="D12505" s="4" t="n">
        <v>5</v>
      </c>
      <c r="E12505" s="4" t="s">
        <v>1252</v>
      </c>
      <c r="F12505" s="4" t="n">
        <v>20</v>
      </c>
      <c r="G12505" s="4" t="n">
        <v>7</v>
      </c>
      <c r="H12505" s="4" t="n">
        <v>3</v>
      </c>
      <c r="I12505" s="4" t="str">
        <v>○</v>
      </c>
      <c r="J12505" s="4" t="n">
        <v>150</v>
      </c>
      <c r="K12505" s="4"/>
      <c r="L12505" s="4"/>
      <c r="M12505" s="7" t="s">
        <v>6503</v>
      </c>
    </row>
    <row r="12506" customFormat="false" ht="15.75" hidden="false" customHeight="false" outlineLevel="0" collapsed="false">
      <c r="A12506" s="6" t="n">
        <f aca="false">DATE(2026,8,22)</f>
        <v>46256</v>
      </c>
      <c r="B12506" s="4" t="s">
        <v>334</v>
      </c>
      <c r="C12506" s="4" t="n">
        <v>7</v>
      </c>
      <c r="D12506" s="4" t="n">
        <v>6</v>
      </c>
      <c r="E12506" s="4"/>
      <c r="F12506" s="4" t="n">
        <v>13</v>
      </c>
      <c r="G12506" s="4" t="n">
        <v>9</v>
      </c>
      <c r="H12506" s="4" t="n">
        <v>4</v>
      </c>
      <c r="I12506" s="4" t="str">
        <v>×</v>
      </c>
      <c r="J12506" s="4"/>
      <c r="K12506" s="4"/>
      <c r="L12506" s="4"/>
      <c r="M12506" s="7" t="s">
        <v>6503</v>
      </c>
    </row>
    <row r="12507" customFormat="false" ht="15.75" hidden="false" customHeight="false" outlineLevel="0" collapsed="false">
      <c r="A12507" s="6" t="n">
        <f aca="false">DATE(2026,8,22)</f>
        <v>46256</v>
      </c>
      <c r="B12507" s="4" t="s">
        <v>334</v>
      </c>
      <c r="C12507" s="4" t="n">
        <v>7</v>
      </c>
      <c r="D12507" s="4" t="n">
        <v>7</v>
      </c>
      <c r="E12507" s="4" t="s">
        <v>4445</v>
      </c>
      <c r="F12507" s="4" t="n">
        <v>37</v>
      </c>
      <c r="G12507" s="4" t="n">
        <v>3</v>
      </c>
      <c r="H12507" s="4" t="n">
        <v>1</v>
      </c>
      <c r="I12507" s="4" t="str">
        <v>○</v>
      </c>
      <c r="J12507" s="4" t="n">
        <v>180</v>
      </c>
      <c r="K12507" s="4"/>
      <c r="L12507" s="4"/>
      <c r="M12507" s="7" t="s">
        <v>6503</v>
      </c>
    </row>
    <row r="12508" customFormat="false" ht="15.75" hidden="false" customHeight="false" outlineLevel="0" collapsed="false">
      <c r="A12508" s="6" t="n">
        <f aca="false">DATE(2026,8,22)</f>
        <v>46256</v>
      </c>
      <c r="B12508" s="4" t="s">
        <v>334</v>
      </c>
      <c r="C12508" s="4" t="n">
        <v>7</v>
      </c>
      <c r="D12508" s="4" t="n">
        <v>8</v>
      </c>
      <c r="E12508" s="4"/>
      <c r="F12508" s="4" t="n">
        <v>15</v>
      </c>
      <c r="G12508" s="4" t="n">
        <v>8</v>
      </c>
      <c r="H12508" s="4" t="n">
        <v>4</v>
      </c>
      <c r="I12508" s="4" t="str">
        <v>×</v>
      </c>
      <c r="J12508" s="4"/>
      <c r="K12508" s="4"/>
      <c r="L12508" s="4"/>
      <c r="M12508" s="7" t="s">
        <v>6503</v>
      </c>
    </row>
    <row r="12509" customFormat="false" ht="15.75" hidden="false" customHeight="false" outlineLevel="0" collapsed="false">
      <c r="A12509" s="6" t="n">
        <f aca="false">DATE(2026,8,22)</f>
        <v>46256</v>
      </c>
      <c r="B12509" s="4" t="s">
        <v>334</v>
      </c>
      <c r="C12509" s="4" t="n">
        <v>7</v>
      </c>
      <c r="D12509" s="4" t="n">
        <v>9</v>
      </c>
      <c r="E12509" s="4"/>
      <c r="F12509" s="4" t="n">
        <v>23</v>
      </c>
      <c r="G12509" s="4" t="n">
        <v>6</v>
      </c>
      <c r="H12509" s="4" t="n">
        <v>4</v>
      </c>
      <c r="I12509" s="4" t="str">
        <v>×</v>
      </c>
      <c r="J12509" s="4"/>
      <c r="K12509" s="4"/>
      <c r="L12509" s="4"/>
      <c r="M12509" s="7" t="s">
        <v>6503</v>
      </c>
    </row>
    <row r="12510" customFormat="false" ht="15.75" hidden="false" customHeight="false" outlineLevel="0" collapsed="false">
      <c r="A12510" s="6" t="n">
        <f aca="false">DATE(2026,8,22)</f>
        <v>46256</v>
      </c>
      <c r="B12510" s="4" t="s">
        <v>334</v>
      </c>
      <c r="C12510" s="4" t="n">
        <v>7</v>
      </c>
      <c r="D12510" s="4" t="n">
        <v>10</v>
      </c>
      <c r="E12510" s="4"/>
      <c r="F12510" s="4" t="n">
        <v>6</v>
      </c>
      <c r="G12510" s="4" t="n">
        <v>10</v>
      </c>
      <c r="H12510" s="4" t="n">
        <v>4</v>
      </c>
      <c r="I12510" s="4" t="str">
        <v>×</v>
      </c>
      <c r="J12510" s="4"/>
      <c r="K12510" s="4"/>
      <c r="L12510" s="4"/>
      <c r="M12510" s="7" t="s">
        <v>6503</v>
      </c>
    </row>
    <row r="12511" customFormat="false" ht="15.75" hidden="false" customHeight="false" outlineLevel="0" collapsed="false">
      <c r="A12511" s="6" t="n">
        <f aca="false">DATE(2026,8,22)</f>
        <v>46256</v>
      </c>
      <c r="B12511" s="4" t="s">
        <v>334</v>
      </c>
      <c r="C12511" s="4" t="n">
        <v>7</v>
      </c>
      <c r="D12511" s="4" t="n">
        <v>11</v>
      </c>
      <c r="E12511" s="4"/>
      <c r="F12511" s="4" t="n">
        <v>2</v>
      </c>
      <c r="G12511" s="4" t="n">
        <v>12</v>
      </c>
      <c r="H12511" s="4" t="n">
        <v>4</v>
      </c>
      <c r="I12511" s="4" t="str">
        <v>×</v>
      </c>
      <c r="J12511" s="4"/>
      <c r="K12511" s="4"/>
      <c r="L12511" s="4"/>
      <c r="M12511" s="7" t="s">
        <v>6503</v>
      </c>
    </row>
    <row r="12512" customFormat="false" ht="15.75" hidden="false" customHeight="false" outlineLevel="0" collapsed="false">
      <c r="A12512" s="6" t="n">
        <f aca="false">DATE(2026,8,22)</f>
        <v>46256</v>
      </c>
      <c r="B12512" s="4" t="s">
        <v>334</v>
      </c>
      <c r="C12512" s="4" t="n">
        <v>7</v>
      </c>
      <c r="D12512" s="4" t="n">
        <v>12</v>
      </c>
      <c r="E12512" s="4"/>
      <c r="F12512" s="4" t="n">
        <v>31</v>
      </c>
      <c r="G12512" s="4" t="n">
        <v>4</v>
      </c>
      <c r="H12512" s="4" t="n">
        <v>4</v>
      </c>
      <c r="I12512" s="4" t="str">
        <v>×</v>
      </c>
      <c r="J12512" s="4"/>
      <c r="K12512" s="4"/>
      <c r="L12512" s="4"/>
      <c r="M12512" s="7" t="s">
        <v>6503</v>
      </c>
    </row>
    <row r="12513" customFormat="false" ht="15.75" hidden="false" customHeight="false" outlineLevel="0" collapsed="false">
      <c r="A12513" s="6" t="n">
        <f aca="false">DATE(2026,8,22)</f>
        <v>46256</v>
      </c>
      <c r="B12513" s="4" t="s">
        <v>334</v>
      </c>
      <c r="C12513" s="4" t="n">
        <v>8</v>
      </c>
      <c r="D12513" s="4" t="n">
        <v>1</v>
      </c>
      <c r="E12513" s="4" t="s">
        <v>875</v>
      </c>
      <c r="F12513" s="4" t="n">
        <v>47</v>
      </c>
      <c r="G12513" s="4" t="n">
        <v>2</v>
      </c>
      <c r="H12513" s="4" t="n">
        <v>1</v>
      </c>
      <c r="I12513" s="4" t="str">
        <v>○</v>
      </c>
      <c r="J12513" s="4" t="n">
        <v>120</v>
      </c>
      <c r="K12513" s="4"/>
      <c r="L12513" s="4"/>
      <c r="M12513" s="7" t="s">
        <v>6503</v>
      </c>
    </row>
    <row r="12514" customFormat="false" ht="15.75" hidden="false" customHeight="false" outlineLevel="0" collapsed="false">
      <c r="A12514" s="6" t="n">
        <f aca="false">DATE(2026,8,22)</f>
        <v>46256</v>
      </c>
      <c r="B12514" s="4" t="s">
        <v>334</v>
      </c>
      <c r="C12514" s="4" t="n">
        <v>8</v>
      </c>
      <c r="D12514" s="4" t="n">
        <v>2</v>
      </c>
      <c r="E12514" s="4"/>
      <c r="F12514" s="4" t="n">
        <v>20</v>
      </c>
      <c r="G12514" s="4" t="n">
        <v>7</v>
      </c>
      <c r="H12514" s="4" t="n">
        <v>4</v>
      </c>
      <c r="I12514" s="4" t="str">
        <v>×</v>
      </c>
      <c r="J12514" s="4"/>
      <c r="K12514" s="4"/>
      <c r="L12514" s="4"/>
      <c r="M12514" s="7" t="s">
        <v>6503</v>
      </c>
    </row>
    <row r="12515" customFormat="false" ht="15.75" hidden="false" customHeight="false" outlineLevel="0" collapsed="false">
      <c r="A12515" s="6" t="n">
        <f aca="false">DATE(2026,8,22)</f>
        <v>46256</v>
      </c>
      <c r="B12515" s="4" t="s">
        <v>334</v>
      </c>
      <c r="C12515" s="4" t="n">
        <v>8</v>
      </c>
      <c r="D12515" s="4" t="n">
        <v>3</v>
      </c>
      <c r="E12515" s="4"/>
      <c r="F12515" s="4" t="n">
        <v>41</v>
      </c>
      <c r="G12515" s="4" t="n">
        <v>3</v>
      </c>
      <c r="H12515" s="4" t="n">
        <v>4</v>
      </c>
      <c r="I12515" s="4" t="str">
        <v>×</v>
      </c>
      <c r="J12515" s="4"/>
      <c r="K12515" s="4"/>
      <c r="L12515" s="4"/>
      <c r="M12515" s="7" t="s">
        <v>6503</v>
      </c>
    </row>
    <row r="12516" customFormat="false" ht="15.75" hidden="false" customHeight="false" outlineLevel="0" collapsed="false">
      <c r="A12516" s="6" t="n">
        <f aca="false">DATE(2026,8,22)</f>
        <v>46256</v>
      </c>
      <c r="B12516" s="4" t="s">
        <v>334</v>
      </c>
      <c r="C12516" s="4" t="n">
        <v>8</v>
      </c>
      <c r="D12516" s="4" t="n">
        <v>4</v>
      </c>
      <c r="E12516" s="4"/>
      <c r="F12516" s="4" t="n">
        <v>8</v>
      </c>
      <c r="G12516" s="4" t="n">
        <v>10</v>
      </c>
      <c r="H12516" s="4" t="n">
        <v>4</v>
      </c>
      <c r="I12516" s="4" t="str">
        <v>×</v>
      </c>
      <c r="J12516" s="4"/>
      <c r="K12516" s="4"/>
      <c r="L12516" s="4"/>
      <c r="M12516" s="7" t="s">
        <v>6503</v>
      </c>
    </row>
    <row r="12517" customFormat="false" ht="15.75" hidden="false" customHeight="false" outlineLevel="0" collapsed="false">
      <c r="A12517" s="6" t="n">
        <f aca="false">DATE(2026,8,22)</f>
        <v>46256</v>
      </c>
      <c r="B12517" s="4" t="s">
        <v>334</v>
      </c>
      <c r="C12517" s="4" t="n">
        <v>8</v>
      </c>
      <c r="D12517" s="4" t="n">
        <v>5</v>
      </c>
      <c r="E12517" s="4"/>
      <c r="F12517" s="4" t="n">
        <v>34</v>
      </c>
      <c r="G12517" s="4" t="n">
        <v>5</v>
      </c>
      <c r="H12517" s="4" t="n">
        <v>4</v>
      </c>
      <c r="I12517" s="4" t="str">
        <v>×</v>
      </c>
      <c r="J12517" s="4"/>
      <c r="K12517" s="4"/>
      <c r="L12517" s="4"/>
      <c r="M12517" s="7" t="s">
        <v>6503</v>
      </c>
    </row>
    <row r="12518" customFormat="false" ht="15.75" hidden="false" customHeight="false" outlineLevel="0" collapsed="false">
      <c r="A12518" s="6" t="n">
        <f aca="false">DATE(2026,8,22)</f>
        <v>46256</v>
      </c>
      <c r="B12518" s="4" t="s">
        <v>334</v>
      </c>
      <c r="C12518" s="4" t="n">
        <v>8</v>
      </c>
      <c r="D12518" s="4" t="n">
        <v>6</v>
      </c>
      <c r="E12518" s="4"/>
      <c r="F12518" s="4" t="n">
        <v>29</v>
      </c>
      <c r="G12518" s="4" t="n">
        <v>6</v>
      </c>
      <c r="H12518" s="4" t="n">
        <v>4</v>
      </c>
      <c r="I12518" s="4" t="str">
        <v>×</v>
      </c>
      <c r="J12518" s="4"/>
      <c r="K12518" s="4"/>
      <c r="L12518" s="4"/>
      <c r="M12518" s="7" t="s">
        <v>6503</v>
      </c>
    </row>
    <row r="12519" customFormat="false" ht="15.75" hidden="false" customHeight="false" outlineLevel="0" collapsed="false">
      <c r="A12519" s="6" t="n">
        <f aca="false">DATE(2026,8,22)</f>
        <v>46256</v>
      </c>
      <c r="B12519" s="4" t="s">
        <v>334</v>
      </c>
      <c r="C12519" s="4" t="n">
        <v>8</v>
      </c>
      <c r="D12519" s="4" t="n">
        <v>7</v>
      </c>
      <c r="E12519" s="4" t="s">
        <v>3062</v>
      </c>
      <c r="F12519" s="4" t="n">
        <v>60</v>
      </c>
      <c r="G12519" s="4" t="n">
        <v>1</v>
      </c>
      <c r="H12519" s="4" t="n">
        <v>3</v>
      </c>
      <c r="I12519" s="4" t="str">
        <v>○</v>
      </c>
      <c r="J12519" s="4" t="n">
        <v>130</v>
      </c>
      <c r="K12519" s="4"/>
      <c r="L12519" s="4"/>
      <c r="M12519" s="7" t="s">
        <v>6503</v>
      </c>
    </row>
    <row r="12520" customFormat="false" ht="15.75" hidden="false" customHeight="false" outlineLevel="0" collapsed="false">
      <c r="A12520" s="6" t="n">
        <f aca="false">DATE(2026,8,22)</f>
        <v>46256</v>
      </c>
      <c r="B12520" s="4" t="s">
        <v>334</v>
      </c>
      <c r="C12520" s="4" t="n">
        <v>8</v>
      </c>
      <c r="D12520" s="4" t="n">
        <v>8</v>
      </c>
      <c r="E12520" s="4"/>
      <c r="F12520" s="4" t="n">
        <v>10</v>
      </c>
      <c r="G12520" s="4" t="n">
        <v>9</v>
      </c>
      <c r="H12520" s="4" t="n">
        <v>4</v>
      </c>
      <c r="I12520" s="4" t="str">
        <v>×</v>
      </c>
      <c r="J12520" s="4"/>
      <c r="K12520" s="4"/>
      <c r="L12520" s="4"/>
      <c r="M12520" s="7" t="s">
        <v>6503</v>
      </c>
    </row>
    <row r="12521" customFormat="false" ht="15.75" hidden="false" customHeight="false" outlineLevel="0" collapsed="false">
      <c r="A12521" s="6" t="n">
        <f aca="false">DATE(2026,8,22)</f>
        <v>46256</v>
      </c>
      <c r="B12521" s="4" t="s">
        <v>334</v>
      </c>
      <c r="C12521" s="4" t="n">
        <v>8</v>
      </c>
      <c r="D12521" s="4" t="n">
        <v>9</v>
      </c>
      <c r="E12521" s="4" t="s">
        <v>4823</v>
      </c>
      <c r="F12521" s="4" t="n">
        <v>39</v>
      </c>
      <c r="G12521" s="4" t="n">
        <v>4</v>
      </c>
      <c r="H12521" s="4" t="n">
        <v>2</v>
      </c>
      <c r="I12521" s="4" t="str">
        <v>○</v>
      </c>
      <c r="J12521" s="4" t="n">
        <v>160</v>
      </c>
      <c r="K12521" s="4"/>
      <c r="L12521" s="4"/>
      <c r="M12521" s="7" t="s">
        <v>6503</v>
      </c>
    </row>
    <row r="12522" customFormat="false" ht="15.75" hidden="false" customHeight="false" outlineLevel="0" collapsed="false">
      <c r="A12522" s="6" t="n">
        <f aca="false">DATE(2026,8,22)</f>
        <v>46256</v>
      </c>
      <c r="B12522" s="4" t="s">
        <v>334</v>
      </c>
      <c r="C12522" s="4" t="n">
        <v>8</v>
      </c>
      <c r="D12522" s="4" t="n">
        <v>10</v>
      </c>
      <c r="E12522" s="4"/>
      <c r="F12522" s="4" t="n">
        <v>17</v>
      </c>
      <c r="G12522" s="4" t="n">
        <v>8</v>
      </c>
      <c r="H12522" s="4" t="n">
        <v>4</v>
      </c>
      <c r="I12522" s="4" t="str">
        <v>×</v>
      </c>
      <c r="J12522" s="4"/>
      <c r="K12522" s="4"/>
      <c r="L12522" s="4"/>
      <c r="M12522" s="7" t="s">
        <v>6503</v>
      </c>
    </row>
    <row r="12523" customFormat="false" ht="15.75" hidden="false" customHeight="false" outlineLevel="0" collapsed="false">
      <c r="A12523" s="6" t="n">
        <f aca="false">DATE(2026,8,22)</f>
        <v>46256</v>
      </c>
      <c r="B12523" s="4" t="s">
        <v>334</v>
      </c>
      <c r="C12523" s="4" t="n">
        <v>9</v>
      </c>
      <c r="D12523" s="4" t="n">
        <v>1</v>
      </c>
      <c r="E12523" s="4"/>
      <c r="F12523" s="4" t="n">
        <v>25</v>
      </c>
      <c r="G12523" s="4" t="n">
        <v>5</v>
      </c>
      <c r="H12523" s="4" t="n">
        <v>4</v>
      </c>
      <c r="I12523" s="4" t="str">
        <v>×</v>
      </c>
      <c r="J12523" s="4"/>
      <c r="K12523" s="4"/>
      <c r="L12523" s="4"/>
      <c r="M12523" s="7" t="s">
        <v>6503</v>
      </c>
    </row>
    <row r="12524" customFormat="false" ht="15.75" hidden="false" customHeight="false" outlineLevel="0" collapsed="false">
      <c r="A12524" s="6" t="n">
        <f aca="false">DATE(2026,8,22)</f>
        <v>46256</v>
      </c>
      <c r="B12524" s="4" t="s">
        <v>334</v>
      </c>
      <c r="C12524" s="4" t="n">
        <v>9</v>
      </c>
      <c r="D12524" s="4" t="n">
        <v>2</v>
      </c>
      <c r="E12524" s="4"/>
      <c r="F12524" s="4" t="n">
        <v>8</v>
      </c>
      <c r="G12524" s="4" t="n">
        <v>10</v>
      </c>
      <c r="H12524" s="4" t="n">
        <v>4</v>
      </c>
      <c r="I12524" s="4" t="str">
        <v>×</v>
      </c>
      <c r="J12524" s="4"/>
      <c r="K12524" s="4"/>
      <c r="L12524" s="4"/>
      <c r="M12524" s="7" t="s">
        <v>6503</v>
      </c>
    </row>
    <row r="12525" customFormat="false" ht="15.75" hidden="false" customHeight="false" outlineLevel="0" collapsed="false">
      <c r="A12525" s="6" t="n">
        <f aca="false">DATE(2026,8,22)</f>
        <v>46256</v>
      </c>
      <c r="B12525" s="4" t="s">
        <v>334</v>
      </c>
      <c r="C12525" s="4" t="n">
        <v>9</v>
      </c>
      <c r="D12525" s="4" t="n">
        <v>3</v>
      </c>
      <c r="E12525" s="4"/>
      <c r="F12525" s="4" t="n">
        <v>13</v>
      </c>
      <c r="G12525" s="4" t="n">
        <v>8</v>
      </c>
      <c r="H12525" s="4" t="n">
        <v>4</v>
      </c>
      <c r="I12525" s="4" t="str">
        <v>×</v>
      </c>
      <c r="J12525" s="4"/>
      <c r="K12525" s="4"/>
      <c r="L12525" s="4"/>
      <c r="M12525" s="7" t="s">
        <v>6503</v>
      </c>
    </row>
    <row r="12526" customFormat="false" ht="15.75" hidden="false" customHeight="false" outlineLevel="0" collapsed="false">
      <c r="A12526" s="6" t="n">
        <f aca="false">DATE(2026,8,22)</f>
        <v>46256</v>
      </c>
      <c r="B12526" s="4" t="s">
        <v>334</v>
      </c>
      <c r="C12526" s="4" t="n">
        <v>9</v>
      </c>
      <c r="D12526" s="4" t="n">
        <v>4</v>
      </c>
      <c r="E12526" s="4"/>
      <c r="F12526" s="4" t="n">
        <v>10</v>
      </c>
      <c r="G12526" s="4" t="n">
        <v>9</v>
      </c>
      <c r="H12526" s="4" t="n">
        <v>4</v>
      </c>
      <c r="I12526" s="4" t="str">
        <v>×</v>
      </c>
      <c r="J12526" s="4"/>
      <c r="K12526" s="4"/>
      <c r="L12526" s="4"/>
      <c r="M12526" s="7" t="s">
        <v>6503</v>
      </c>
    </row>
    <row r="12527" customFormat="false" ht="15.75" hidden="false" customHeight="false" outlineLevel="0" collapsed="false">
      <c r="A12527" s="6" t="n">
        <f aca="false">DATE(2026,8,22)</f>
        <v>46256</v>
      </c>
      <c r="B12527" s="4" t="s">
        <v>334</v>
      </c>
      <c r="C12527" s="4" t="n">
        <v>9</v>
      </c>
      <c r="D12527" s="4" t="n">
        <v>5</v>
      </c>
      <c r="E12527" s="4"/>
      <c r="F12527" s="4" t="n">
        <v>8</v>
      </c>
      <c r="G12527" s="4" t="n">
        <v>10</v>
      </c>
      <c r="H12527" s="4" t="n">
        <v>4</v>
      </c>
      <c r="I12527" s="4" t="str">
        <v>×</v>
      </c>
      <c r="J12527" s="4"/>
      <c r="K12527" s="4"/>
      <c r="L12527" s="4"/>
      <c r="M12527" s="7" t="s">
        <v>6503</v>
      </c>
    </row>
    <row r="12528" customFormat="false" ht="15.75" hidden="false" customHeight="false" outlineLevel="0" collapsed="false">
      <c r="A12528" s="6" t="n">
        <f aca="false">DATE(2026,8,22)</f>
        <v>46256</v>
      </c>
      <c r="B12528" s="4" t="s">
        <v>334</v>
      </c>
      <c r="C12528" s="4" t="n">
        <v>9</v>
      </c>
      <c r="D12528" s="4" t="n">
        <v>6</v>
      </c>
      <c r="E12528" s="4" t="s">
        <v>3836</v>
      </c>
      <c r="F12528" s="4" t="n">
        <v>71</v>
      </c>
      <c r="G12528" s="4" t="n">
        <v>2</v>
      </c>
      <c r="H12528" s="4" t="n">
        <v>1</v>
      </c>
      <c r="I12528" s="4" t="str">
        <v>○</v>
      </c>
      <c r="J12528" s="4" t="n">
        <v>170</v>
      </c>
      <c r="K12528" s="4"/>
      <c r="L12528" s="4"/>
      <c r="M12528" s="7" t="s">
        <v>6503</v>
      </c>
    </row>
    <row r="12529" customFormat="false" ht="15.75" hidden="false" customHeight="false" outlineLevel="0" collapsed="false">
      <c r="A12529" s="6" t="n">
        <f aca="false">DATE(2026,8,22)</f>
        <v>46256</v>
      </c>
      <c r="B12529" s="4" t="s">
        <v>334</v>
      </c>
      <c r="C12529" s="4" t="n">
        <v>9</v>
      </c>
      <c r="D12529" s="4" t="n">
        <v>7</v>
      </c>
      <c r="E12529" s="4" t="s">
        <v>2215</v>
      </c>
      <c r="F12529" s="4" t="n">
        <v>75</v>
      </c>
      <c r="G12529" s="4" t="n">
        <v>1</v>
      </c>
      <c r="H12529" s="4" t="n">
        <v>2</v>
      </c>
      <c r="I12529" s="4" t="str">
        <v>○</v>
      </c>
      <c r="J12529" s="4" t="n">
        <v>120</v>
      </c>
      <c r="K12529" s="4"/>
      <c r="L12529" s="4"/>
      <c r="M12529" s="7" t="s">
        <v>6503</v>
      </c>
    </row>
    <row r="12530" customFormat="false" ht="15.75" hidden="false" customHeight="false" outlineLevel="0" collapsed="false">
      <c r="A12530" s="6" t="n">
        <f aca="false">DATE(2026,8,22)</f>
        <v>46256</v>
      </c>
      <c r="B12530" s="4" t="s">
        <v>334</v>
      </c>
      <c r="C12530" s="4" t="n">
        <v>9</v>
      </c>
      <c r="D12530" s="4" t="n">
        <v>8</v>
      </c>
      <c r="E12530" s="4"/>
      <c r="F12530" s="4" t="n">
        <v>8</v>
      </c>
      <c r="G12530" s="4" t="n">
        <v>10</v>
      </c>
      <c r="H12530" s="4" t="n">
        <v>4</v>
      </c>
      <c r="I12530" s="4" t="str">
        <v>×</v>
      </c>
      <c r="J12530" s="4"/>
      <c r="K12530" s="4"/>
      <c r="L12530" s="4"/>
      <c r="M12530" s="7" t="s">
        <v>6503</v>
      </c>
    </row>
    <row r="12531" customFormat="false" ht="15.75" hidden="false" customHeight="false" outlineLevel="0" collapsed="false">
      <c r="A12531" s="6" t="n">
        <f aca="false">DATE(2026,8,22)</f>
        <v>46256</v>
      </c>
      <c r="B12531" s="4" t="s">
        <v>334</v>
      </c>
      <c r="C12531" s="4" t="n">
        <v>9</v>
      </c>
      <c r="D12531" s="4" t="n">
        <v>9</v>
      </c>
      <c r="E12531" s="4"/>
      <c r="F12531" s="4" t="n">
        <v>23</v>
      </c>
      <c r="G12531" s="4" t="n">
        <v>6</v>
      </c>
      <c r="H12531" s="4" t="n">
        <v>4</v>
      </c>
      <c r="I12531" s="4" t="str">
        <v>×</v>
      </c>
      <c r="J12531" s="4"/>
      <c r="K12531" s="4"/>
      <c r="L12531" s="4"/>
      <c r="M12531" s="7" t="s">
        <v>6503</v>
      </c>
    </row>
    <row r="12532" customFormat="false" ht="15.75" hidden="false" customHeight="false" outlineLevel="0" collapsed="false">
      <c r="A12532" s="6" t="n">
        <f aca="false">DATE(2026,8,22)</f>
        <v>46256</v>
      </c>
      <c r="B12532" s="4" t="s">
        <v>334</v>
      </c>
      <c r="C12532" s="4" t="n">
        <v>9</v>
      </c>
      <c r="D12532" s="4" t="n">
        <v>10</v>
      </c>
      <c r="E12532" s="4"/>
      <c r="F12532" s="4" t="n">
        <v>29</v>
      </c>
      <c r="G12532" s="4" t="n">
        <v>4</v>
      </c>
      <c r="H12532" s="4" t="n">
        <v>4</v>
      </c>
      <c r="I12532" s="4" t="str">
        <v>×</v>
      </c>
      <c r="J12532" s="4"/>
      <c r="K12532" s="4"/>
      <c r="L12532" s="4"/>
      <c r="M12532" s="7" t="s">
        <v>6503</v>
      </c>
    </row>
    <row r="12533" customFormat="false" ht="15.75" hidden="false" customHeight="false" outlineLevel="0" collapsed="false">
      <c r="A12533" s="6" t="n">
        <f aca="false">DATE(2026,8,22)</f>
        <v>46256</v>
      </c>
      <c r="B12533" s="4" t="s">
        <v>334</v>
      </c>
      <c r="C12533" s="4" t="n">
        <v>9</v>
      </c>
      <c r="D12533" s="4" t="n">
        <v>11</v>
      </c>
      <c r="E12533" s="4"/>
      <c r="F12533" s="4" t="n">
        <v>4</v>
      </c>
      <c r="G12533" s="4" t="n">
        <v>14</v>
      </c>
      <c r="H12533" s="4" t="n">
        <v>4</v>
      </c>
      <c r="I12533" s="4" t="str">
        <v>×</v>
      </c>
      <c r="J12533" s="4"/>
      <c r="K12533" s="4"/>
      <c r="L12533" s="4"/>
      <c r="M12533" s="7" t="s">
        <v>6503</v>
      </c>
    </row>
    <row r="12534" customFormat="false" ht="15.75" hidden="false" customHeight="false" outlineLevel="0" collapsed="false">
      <c r="A12534" s="6" t="n">
        <f aca="false">DATE(2026,8,22)</f>
        <v>46256</v>
      </c>
      <c r="B12534" s="4" t="s">
        <v>334</v>
      </c>
      <c r="C12534" s="4" t="n">
        <v>9</v>
      </c>
      <c r="D12534" s="4" t="n">
        <v>12</v>
      </c>
      <c r="E12534" s="4" t="s">
        <v>6525</v>
      </c>
      <c r="F12534" s="4" t="n">
        <v>8</v>
      </c>
      <c r="G12534" s="4" t="n">
        <v>10</v>
      </c>
      <c r="H12534" s="4" t="n">
        <v>3</v>
      </c>
      <c r="I12534" s="4" t="str">
        <v>○</v>
      </c>
      <c r="J12534" s="4" t="n">
        <v>720</v>
      </c>
      <c r="K12534" s="4"/>
      <c r="L12534" s="4"/>
      <c r="M12534" s="7" t="s">
        <v>6503</v>
      </c>
    </row>
    <row r="12535" customFormat="false" ht="15.75" hidden="false" customHeight="false" outlineLevel="0" collapsed="false">
      <c r="A12535" s="6" t="n">
        <f aca="false">DATE(2026,8,22)</f>
        <v>46256</v>
      </c>
      <c r="B12535" s="4" t="s">
        <v>334</v>
      </c>
      <c r="C12535" s="4" t="n">
        <v>9</v>
      </c>
      <c r="D12535" s="4" t="n">
        <v>13</v>
      </c>
      <c r="E12535" s="4"/>
      <c r="F12535" s="4" t="n">
        <v>34</v>
      </c>
      <c r="G12535" s="4" t="n">
        <v>3</v>
      </c>
      <c r="H12535" s="4" t="n">
        <v>4</v>
      </c>
      <c r="I12535" s="4" t="str">
        <v>×</v>
      </c>
      <c r="J12535" s="4"/>
      <c r="K12535" s="4"/>
      <c r="L12535" s="4"/>
      <c r="M12535" s="7" t="s">
        <v>6503</v>
      </c>
    </row>
    <row r="12536" customFormat="false" ht="15.75" hidden="false" customHeight="false" outlineLevel="0" collapsed="false">
      <c r="A12536" s="6" t="n">
        <f aca="false">DATE(2026,8,22)</f>
        <v>46256</v>
      </c>
      <c r="B12536" s="4" t="s">
        <v>334</v>
      </c>
      <c r="C12536" s="4" t="n">
        <v>9</v>
      </c>
      <c r="D12536" s="4" t="n">
        <v>14</v>
      </c>
      <c r="E12536" s="4"/>
      <c r="F12536" s="4" t="n">
        <v>20</v>
      </c>
      <c r="G12536" s="4" t="n">
        <v>7</v>
      </c>
      <c r="H12536" s="4" t="n">
        <v>4</v>
      </c>
      <c r="I12536" s="4" t="str">
        <v>×</v>
      </c>
      <c r="J12536" s="4"/>
      <c r="K12536" s="4"/>
      <c r="L12536" s="4"/>
      <c r="M12536" s="7" t="s">
        <v>6503</v>
      </c>
    </row>
    <row r="12537" customFormat="false" ht="15.75" hidden="false" customHeight="false" outlineLevel="0" collapsed="false">
      <c r="A12537" s="6" t="n">
        <f aca="false">DATE(2026,8,22)</f>
        <v>46256</v>
      </c>
      <c r="B12537" s="4" t="s">
        <v>334</v>
      </c>
      <c r="C12537" s="4" t="n">
        <v>10</v>
      </c>
      <c r="D12537" s="4" t="n">
        <v>1</v>
      </c>
      <c r="E12537" s="4"/>
      <c r="F12537" s="4" t="n">
        <v>20</v>
      </c>
      <c r="G12537" s="4" t="n">
        <v>8</v>
      </c>
      <c r="H12537" s="4" t="n">
        <v>4</v>
      </c>
      <c r="I12537" s="4" t="str">
        <v>×</v>
      </c>
      <c r="J12537" s="4"/>
      <c r="K12537" s="4"/>
      <c r="L12537" s="4"/>
      <c r="M12537" s="7" t="s">
        <v>6503</v>
      </c>
    </row>
    <row r="12538" customFormat="false" ht="15.75" hidden="false" customHeight="false" outlineLevel="0" collapsed="false">
      <c r="A12538" s="6" t="n">
        <f aca="false">DATE(2026,8,22)</f>
        <v>46256</v>
      </c>
      <c r="B12538" s="4" t="s">
        <v>334</v>
      </c>
      <c r="C12538" s="4" t="n">
        <v>10</v>
      </c>
      <c r="D12538" s="4" t="n">
        <v>2</v>
      </c>
      <c r="E12538" s="4"/>
      <c r="F12538" s="4" t="n">
        <v>15</v>
      </c>
      <c r="G12538" s="4" t="n">
        <v>9</v>
      </c>
      <c r="H12538" s="4" t="n">
        <v>4</v>
      </c>
      <c r="I12538" s="4" t="str">
        <v>×</v>
      </c>
      <c r="J12538" s="4"/>
      <c r="K12538" s="4"/>
      <c r="L12538" s="4"/>
      <c r="M12538" s="7" t="s">
        <v>6503</v>
      </c>
    </row>
    <row r="12539" customFormat="false" ht="15.75" hidden="false" customHeight="false" outlineLevel="0" collapsed="false">
      <c r="A12539" s="6" t="n">
        <f aca="false">DATE(2026,8,22)</f>
        <v>46256</v>
      </c>
      <c r="B12539" s="4" t="s">
        <v>334</v>
      </c>
      <c r="C12539" s="4" t="n">
        <v>10</v>
      </c>
      <c r="D12539" s="4" t="n">
        <v>3</v>
      </c>
      <c r="E12539" s="4"/>
      <c r="F12539" s="4" t="n">
        <v>34</v>
      </c>
      <c r="G12539" s="4" t="n">
        <v>1</v>
      </c>
      <c r="H12539" s="4" t="n">
        <v>4</v>
      </c>
      <c r="I12539" s="4" t="str">
        <v>×</v>
      </c>
      <c r="J12539" s="4"/>
      <c r="K12539" s="4"/>
      <c r="L12539" s="4"/>
      <c r="M12539" s="7" t="s">
        <v>6503</v>
      </c>
    </row>
    <row r="12540" customFormat="false" ht="15.75" hidden="false" customHeight="false" outlineLevel="0" collapsed="false">
      <c r="A12540" s="6" t="n">
        <f aca="false">DATE(2026,8,22)</f>
        <v>46256</v>
      </c>
      <c r="B12540" s="4" t="s">
        <v>334</v>
      </c>
      <c r="C12540" s="4" t="n">
        <v>10</v>
      </c>
      <c r="D12540" s="4" t="n">
        <v>4</v>
      </c>
      <c r="E12540" s="4"/>
      <c r="F12540" s="4" t="n">
        <v>23</v>
      </c>
      <c r="G12540" s="4" t="n">
        <v>6</v>
      </c>
      <c r="H12540" s="4" t="n">
        <v>4</v>
      </c>
      <c r="I12540" s="4" t="str">
        <v>×</v>
      </c>
      <c r="J12540" s="4"/>
      <c r="K12540" s="4"/>
      <c r="L12540" s="4"/>
      <c r="M12540" s="7" t="s">
        <v>6503</v>
      </c>
    </row>
    <row r="12541" customFormat="false" ht="15.75" hidden="false" customHeight="false" outlineLevel="0" collapsed="false">
      <c r="A12541" s="6" t="n">
        <f aca="false">DATE(2026,8,22)</f>
        <v>46256</v>
      </c>
      <c r="B12541" s="4" t="s">
        <v>334</v>
      </c>
      <c r="C12541" s="4" t="n">
        <v>10</v>
      </c>
      <c r="D12541" s="4" t="n">
        <v>5</v>
      </c>
      <c r="E12541" s="4" t="s">
        <v>5564</v>
      </c>
      <c r="F12541" s="4" t="n">
        <v>29</v>
      </c>
      <c r="G12541" s="4" t="n">
        <v>5</v>
      </c>
      <c r="H12541" s="4" t="n">
        <v>2</v>
      </c>
      <c r="I12541" s="4" t="str">
        <v>○</v>
      </c>
      <c r="J12541" s="4" t="n">
        <v>220</v>
      </c>
      <c r="K12541" s="4"/>
      <c r="L12541" s="4"/>
      <c r="M12541" s="7" t="s">
        <v>6503</v>
      </c>
    </row>
    <row r="12542" customFormat="false" ht="15.75" hidden="false" customHeight="false" outlineLevel="0" collapsed="false">
      <c r="A12542" s="6" t="n">
        <f aca="false">DATE(2026,8,22)</f>
        <v>46256</v>
      </c>
      <c r="B12542" s="4" t="s">
        <v>334</v>
      </c>
      <c r="C12542" s="4" t="n">
        <v>10</v>
      </c>
      <c r="D12542" s="4" t="n">
        <v>6</v>
      </c>
      <c r="E12542" s="4"/>
      <c r="F12542" s="4" t="n">
        <v>8</v>
      </c>
      <c r="G12542" s="4" t="n">
        <v>13</v>
      </c>
      <c r="H12542" s="4" t="n">
        <v>4</v>
      </c>
      <c r="I12542" s="4" t="str">
        <v>×</v>
      </c>
      <c r="J12542" s="4"/>
      <c r="K12542" s="4"/>
      <c r="L12542" s="4"/>
      <c r="M12542" s="7" t="s">
        <v>6503</v>
      </c>
    </row>
    <row r="12543" customFormat="false" ht="15.75" hidden="false" customHeight="false" outlineLevel="0" collapsed="false">
      <c r="A12543" s="6" t="n">
        <f aca="false">DATE(2026,8,22)</f>
        <v>46256</v>
      </c>
      <c r="B12543" s="4" t="s">
        <v>334</v>
      </c>
      <c r="C12543" s="4" t="n">
        <v>10</v>
      </c>
      <c r="D12543" s="4" t="n">
        <v>7</v>
      </c>
      <c r="E12543" s="4"/>
      <c r="F12543" s="4" t="n">
        <v>10</v>
      </c>
      <c r="G12543" s="4" t="n">
        <v>12</v>
      </c>
      <c r="H12543" s="4" t="n">
        <v>4</v>
      </c>
      <c r="I12543" s="4" t="str">
        <v>×</v>
      </c>
      <c r="J12543" s="4"/>
      <c r="K12543" s="4"/>
      <c r="L12543" s="4"/>
      <c r="M12543" s="7" t="s">
        <v>6503</v>
      </c>
    </row>
    <row r="12544" customFormat="false" ht="15.75" hidden="false" customHeight="false" outlineLevel="0" collapsed="false">
      <c r="A12544" s="6" t="n">
        <f aca="false">DATE(2026,8,22)</f>
        <v>46256</v>
      </c>
      <c r="B12544" s="4" t="s">
        <v>334</v>
      </c>
      <c r="C12544" s="4" t="n">
        <v>10</v>
      </c>
      <c r="D12544" s="4" t="n">
        <v>8</v>
      </c>
      <c r="E12544" s="4"/>
      <c r="F12544" s="4" t="n">
        <v>23</v>
      </c>
      <c r="G12544" s="4" t="n">
        <v>6</v>
      </c>
      <c r="H12544" s="4" t="n">
        <v>4</v>
      </c>
      <c r="I12544" s="4" t="str">
        <v>×</v>
      </c>
      <c r="J12544" s="4"/>
      <c r="K12544" s="4"/>
      <c r="L12544" s="4"/>
      <c r="M12544" s="7" t="s">
        <v>6503</v>
      </c>
    </row>
    <row r="12545" customFormat="false" ht="15.75" hidden="false" customHeight="false" outlineLevel="0" collapsed="false">
      <c r="A12545" s="6" t="n">
        <f aca="false">DATE(2026,8,22)</f>
        <v>46256</v>
      </c>
      <c r="B12545" s="4" t="s">
        <v>334</v>
      </c>
      <c r="C12545" s="4" t="n">
        <v>10</v>
      </c>
      <c r="D12545" s="4" t="n">
        <v>9</v>
      </c>
      <c r="E12545" s="4" t="s">
        <v>6526</v>
      </c>
      <c r="F12545" s="4" t="n">
        <v>31</v>
      </c>
      <c r="G12545" s="4" t="n">
        <v>4</v>
      </c>
      <c r="H12545" s="4" t="n">
        <v>1</v>
      </c>
      <c r="I12545" s="4" t="str">
        <v>○</v>
      </c>
      <c r="J12545" s="4" t="n">
        <v>200</v>
      </c>
      <c r="K12545" s="4"/>
      <c r="L12545" s="4"/>
      <c r="M12545" s="7" t="s">
        <v>6503</v>
      </c>
    </row>
    <row r="12546" customFormat="false" ht="15.75" hidden="false" customHeight="false" outlineLevel="0" collapsed="false">
      <c r="A12546" s="6" t="n">
        <f aca="false">DATE(2026,8,22)</f>
        <v>46256</v>
      </c>
      <c r="B12546" s="4" t="s">
        <v>334</v>
      </c>
      <c r="C12546" s="4" t="n">
        <v>10</v>
      </c>
      <c r="D12546" s="4" t="n">
        <v>10</v>
      </c>
      <c r="E12546" s="4" t="s">
        <v>2134</v>
      </c>
      <c r="F12546" s="4" t="n">
        <v>34</v>
      </c>
      <c r="G12546" s="4" t="n">
        <v>1</v>
      </c>
      <c r="H12546" s="4" t="n">
        <v>3</v>
      </c>
      <c r="I12546" s="4" t="str">
        <v>○</v>
      </c>
      <c r="J12546" s="4" t="n">
        <v>310</v>
      </c>
      <c r="K12546" s="4"/>
      <c r="L12546" s="4"/>
      <c r="M12546" s="7" t="s">
        <v>6503</v>
      </c>
    </row>
    <row r="12547" customFormat="false" ht="15.75" hidden="false" customHeight="false" outlineLevel="0" collapsed="false">
      <c r="A12547" s="6" t="n">
        <f aca="false">DATE(2026,8,22)</f>
        <v>46256</v>
      </c>
      <c r="B12547" s="4" t="s">
        <v>334</v>
      </c>
      <c r="C12547" s="4" t="n">
        <v>10</v>
      </c>
      <c r="D12547" s="4" t="n">
        <v>11</v>
      </c>
      <c r="E12547" s="4"/>
      <c r="F12547" s="4" t="n">
        <v>13</v>
      </c>
      <c r="G12547" s="4" t="n">
        <v>11</v>
      </c>
      <c r="H12547" s="4" t="n">
        <v>4</v>
      </c>
      <c r="I12547" s="4" t="str">
        <v>×</v>
      </c>
      <c r="J12547" s="4"/>
      <c r="K12547" s="4"/>
      <c r="L12547" s="4"/>
      <c r="M12547" s="7" t="s">
        <v>6503</v>
      </c>
    </row>
    <row r="12548" customFormat="false" ht="15.75" hidden="false" customHeight="false" outlineLevel="0" collapsed="false">
      <c r="A12548" s="6" t="n">
        <f aca="false">DATE(2026,8,22)</f>
        <v>46256</v>
      </c>
      <c r="B12548" s="4" t="s">
        <v>334</v>
      </c>
      <c r="C12548" s="4" t="n">
        <v>10</v>
      </c>
      <c r="D12548" s="4" t="n">
        <v>12</v>
      </c>
      <c r="E12548" s="4"/>
      <c r="F12548" s="4" t="n">
        <v>6</v>
      </c>
      <c r="G12548" s="4" t="n">
        <v>14</v>
      </c>
      <c r="H12548" s="4" t="n">
        <v>4</v>
      </c>
      <c r="I12548" s="4" t="str">
        <v>×</v>
      </c>
      <c r="J12548" s="4"/>
      <c r="K12548" s="4"/>
      <c r="L12548" s="4"/>
      <c r="M12548" s="7" t="s">
        <v>6503</v>
      </c>
    </row>
    <row r="12549" customFormat="false" ht="15.75" hidden="false" customHeight="false" outlineLevel="0" collapsed="false">
      <c r="A12549" s="6" t="n">
        <f aca="false">DATE(2026,8,22)</f>
        <v>46256</v>
      </c>
      <c r="B12549" s="4" t="s">
        <v>334</v>
      </c>
      <c r="C12549" s="4" t="n">
        <v>10</v>
      </c>
      <c r="D12549" s="4" t="n">
        <v>13</v>
      </c>
      <c r="E12549" s="4"/>
      <c r="F12549" s="4" t="n">
        <v>34</v>
      </c>
      <c r="G12549" s="4" t="n">
        <v>1</v>
      </c>
      <c r="H12549" s="4" t="n">
        <v>4</v>
      </c>
      <c r="I12549" s="4" t="str">
        <v>×</v>
      </c>
      <c r="J12549" s="4"/>
      <c r="K12549" s="4"/>
      <c r="L12549" s="4"/>
      <c r="M12549" s="7" t="s">
        <v>6503</v>
      </c>
    </row>
    <row r="12550" customFormat="false" ht="15.75" hidden="false" customHeight="false" outlineLevel="0" collapsed="false">
      <c r="A12550" s="6" t="n">
        <f aca="false">DATE(2026,8,22)</f>
        <v>46256</v>
      </c>
      <c r="B12550" s="4" t="s">
        <v>334</v>
      </c>
      <c r="C12550" s="4" t="n">
        <v>10</v>
      </c>
      <c r="D12550" s="4" t="n">
        <v>14</v>
      </c>
      <c r="E12550" s="4"/>
      <c r="F12550" s="4" t="n">
        <v>15</v>
      </c>
      <c r="G12550" s="4" t="n">
        <v>9</v>
      </c>
      <c r="H12550" s="4" t="n">
        <v>4</v>
      </c>
      <c r="I12550" s="4" t="str">
        <v>×</v>
      </c>
      <c r="J12550" s="4"/>
      <c r="K12550" s="4"/>
      <c r="L12550" s="4"/>
      <c r="M12550" s="7" t="s">
        <v>6503</v>
      </c>
    </row>
    <row r="12551" customFormat="false" ht="15.75" hidden="false" customHeight="false" outlineLevel="0" collapsed="false">
      <c r="A12551" s="6" t="n">
        <f aca="false">DATE(2026,8,22)</f>
        <v>46256</v>
      </c>
      <c r="B12551" s="4" t="s">
        <v>334</v>
      </c>
      <c r="C12551" s="4" t="n">
        <v>11</v>
      </c>
      <c r="D12551" s="4" t="n">
        <v>1</v>
      </c>
      <c r="E12551" s="4"/>
      <c r="F12551" s="4" t="n">
        <v>8</v>
      </c>
      <c r="G12551" s="4" t="n">
        <v>12</v>
      </c>
      <c r="H12551" s="4" t="n">
        <v>4</v>
      </c>
      <c r="I12551" s="4" t="str">
        <v>×</v>
      </c>
      <c r="J12551" s="4"/>
      <c r="K12551" s="4"/>
      <c r="L12551" s="4"/>
      <c r="M12551" s="7" t="s">
        <v>6503</v>
      </c>
    </row>
    <row r="12552" customFormat="false" ht="15.75" hidden="false" customHeight="false" outlineLevel="0" collapsed="false">
      <c r="A12552" s="6" t="n">
        <f aca="false">DATE(2026,8,22)</f>
        <v>46256</v>
      </c>
      <c r="B12552" s="4" t="s">
        <v>334</v>
      </c>
      <c r="C12552" s="4" t="n">
        <v>11</v>
      </c>
      <c r="D12552" s="4" t="n">
        <v>2</v>
      </c>
      <c r="E12552" s="4"/>
      <c r="F12552" s="4" t="n">
        <v>1</v>
      </c>
      <c r="G12552" s="4" t="n">
        <v>14</v>
      </c>
      <c r="H12552" s="4" t="n">
        <v>4</v>
      </c>
      <c r="I12552" s="4" t="str">
        <v>×</v>
      </c>
      <c r="J12552" s="4"/>
      <c r="K12552" s="4"/>
      <c r="L12552" s="4"/>
      <c r="M12552" s="7" t="s">
        <v>6503</v>
      </c>
    </row>
    <row r="12553" customFormat="false" ht="15.75" hidden="false" customHeight="false" outlineLevel="0" collapsed="false">
      <c r="A12553" s="6" t="n">
        <f aca="false">DATE(2026,8,22)</f>
        <v>46256</v>
      </c>
      <c r="B12553" s="4" t="s">
        <v>334</v>
      </c>
      <c r="C12553" s="4" t="n">
        <v>11</v>
      </c>
      <c r="D12553" s="4" t="n">
        <v>3</v>
      </c>
      <c r="E12553" s="4"/>
      <c r="F12553" s="4" t="n">
        <v>44</v>
      </c>
      <c r="G12553" s="4" t="n">
        <v>2</v>
      </c>
      <c r="H12553" s="4" t="n">
        <v>4</v>
      </c>
      <c r="I12553" s="4" t="str">
        <v>×</v>
      </c>
      <c r="J12553" s="4"/>
      <c r="K12553" s="4"/>
      <c r="L12553" s="4"/>
      <c r="M12553" s="7" t="s">
        <v>6503</v>
      </c>
    </row>
    <row r="12554" customFormat="false" ht="15.75" hidden="false" customHeight="false" outlineLevel="0" collapsed="false">
      <c r="A12554" s="6" t="n">
        <f aca="false">DATE(2026,8,22)</f>
        <v>46256</v>
      </c>
      <c r="B12554" s="4" t="s">
        <v>334</v>
      </c>
      <c r="C12554" s="4" t="n">
        <v>11</v>
      </c>
      <c r="D12554" s="4" t="n">
        <v>4</v>
      </c>
      <c r="E12554" s="4" t="s">
        <v>6046</v>
      </c>
      <c r="F12554" s="4" t="n">
        <v>4</v>
      </c>
      <c r="G12554" s="4" t="n">
        <v>13</v>
      </c>
      <c r="H12554" s="4" t="n">
        <v>2</v>
      </c>
      <c r="I12554" s="4" t="str">
        <v>○</v>
      </c>
      <c r="J12554" s="4" t="n">
        <v>1390</v>
      </c>
      <c r="K12554" s="4"/>
      <c r="L12554" s="4"/>
      <c r="M12554" s="7" t="s">
        <v>6503</v>
      </c>
    </row>
    <row r="12555" customFormat="false" ht="15.75" hidden="false" customHeight="false" outlineLevel="0" collapsed="false">
      <c r="A12555" s="6" t="n">
        <f aca="false">DATE(2026,8,22)</f>
        <v>46256</v>
      </c>
      <c r="B12555" s="4" t="s">
        <v>334</v>
      </c>
      <c r="C12555" s="4" t="n">
        <v>11</v>
      </c>
      <c r="D12555" s="4" t="n">
        <v>5</v>
      </c>
      <c r="E12555" s="4"/>
      <c r="F12555" s="4" t="n">
        <v>17</v>
      </c>
      <c r="G12555" s="4" t="n">
        <v>6</v>
      </c>
      <c r="H12555" s="4" t="n">
        <v>4</v>
      </c>
      <c r="I12555" s="4" t="str">
        <v>×</v>
      </c>
      <c r="J12555" s="4"/>
      <c r="K12555" s="4"/>
      <c r="L12555" s="4"/>
      <c r="M12555" s="7" t="s">
        <v>6503</v>
      </c>
    </row>
    <row r="12556" customFormat="false" ht="15.75" hidden="false" customHeight="false" outlineLevel="0" collapsed="false">
      <c r="A12556" s="6" t="n">
        <f aca="false">DATE(2026,8,22)</f>
        <v>46256</v>
      </c>
      <c r="B12556" s="4" t="s">
        <v>334</v>
      </c>
      <c r="C12556" s="4" t="n">
        <v>11</v>
      </c>
      <c r="D12556" s="4" t="n">
        <v>6</v>
      </c>
      <c r="E12556" s="4"/>
      <c r="F12556" s="4" t="n">
        <v>13</v>
      </c>
      <c r="G12556" s="4" t="n">
        <v>10</v>
      </c>
      <c r="H12556" s="4" t="n">
        <v>4</v>
      </c>
      <c r="I12556" s="4" t="str">
        <v>×</v>
      </c>
      <c r="J12556" s="4"/>
      <c r="K12556" s="4"/>
      <c r="L12556" s="4"/>
      <c r="M12556" s="7" t="s">
        <v>6503</v>
      </c>
    </row>
    <row r="12557" customFormat="false" ht="15.75" hidden="false" customHeight="false" outlineLevel="0" collapsed="false">
      <c r="A12557" s="6" t="n">
        <f aca="false">DATE(2026,8,22)</f>
        <v>46256</v>
      </c>
      <c r="B12557" s="4" t="s">
        <v>334</v>
      </c>
      <c r="C12557" s="4" t="n">
        <v>11</v>
      </c>
      <c r="D12557" s="4" t="n">
        <v>7</v>
      </c>
      <c r="E12557" s="4" t="s">
        <v>3871</v>
      </c>
      <c r="F12557" s="4" t="n">
        <v>29</v>
      </c>
      <c r="G12557" s="4" t="n">
        <v>4</v>
      </c>
      <c r="H12557" s="4" t="n">
        <v>1</v>
      </c>
      <c r="I12557" s="4" t="str">
        <v>○</v>
      </c>
      <c r="J12557" s="4" t="n">
        <v>230</v>
      </c>
      <c r="K12557" s="4"/>
      <c r="L12557" s="4"/>
      <c r="M12557" s="7" t="s">
        <v>6503</v>
      </c>
    </row>
    <row r="12558" customFormat="false" ht="15.75" hidden="false" customHeight="false" outlineLevel="0" collapsed="false">
      <c r="A12558" s="6" t="n">
        <f aca="false">DATE(2026,8,22)</f>
        <v>46256</v>
      </c>
      <c r="B12558" s="4" t="s">
        <v>334</v>
      </c>
      <c r="C12558" s="4" t="n">
        <v>11</v>
      </c>
      <c r="D12558" s="4" t="n">
        <v>8</v>
      </c>
      <c r="E12558" s="4"/>
      <c r="F12558" s="4" t="n">
        <v>10</v>
      </c>
      <c r="G12558" s="4" t="n">
        <v>11</v>
      </c>
      <c r="H12558" s="4" t="n">
        <v>4</v>
      </c>
      <c r="I12558" s="4" t="str">
        <v>×</v>
      </c>
      <c r="J12558" s="4"/>
      <c r="K12558" s="4"/>
      <c r="L12558" s="4"/>
      <c r="M12558" s="7" t="s">
        <v>6503</v>
      </c>
    </row>
    <row r="12559" customFormat="false" ht="15.75" hidden="false" customHeight="false" outlineLevel="0" collapsed="false">
      <c r="A12559" s="6" t="n">
        <f aca="false">DATE(2026,8,22)</f>
        <v>46256</v>
      </c>
      <c r="B12559" s="4" t="s">
        <v>334</v>
      </c>
      <c r="C12559" s="4" t="n">
        <v>11</v>
      </c>
      <c r="D12559" s="4" t="n">
        <v>9</v>
      </c>
      <c r="E12559" s="4"/>
      <c r="F12559" s="4" t="n">
        <v>17</v>
      </c>
      <c r="G12559" s="4" t="n">
        <v>6</v>
      </c>
      <c r="H12559" s="4" t="n">
        <v>4</v>
      </c>
      <c r="I12559" s="4" t="str">
        <v>×</v>
      </c>
      <c r="J12559" s="4"/>
      <c r="K12559" s="4"/>
      <c r="L12559" s="4"/>
      <c r="M12559" s="7" t="s">
        <v>6503</v>
      </c>
    </row>
    <row r="12560" customFormat="false" ht="15.75" hidden="false" customHeight="false" outlineLevel="0" collapsed="false">
      <c r="A12560" s="6" t="n">
        <f aca="false">DATE(2026,8,22)</f>
        <v>46256</v>
      </c>
      <c r="B12560" s="4" t="s">
        <v>334</v>
      </c>
      <c r="C12560" s="4" t="n">
        <v>11</v>
      </c>
      <c r="D12560" s="4" t="n">
        <v>10</v>
      </c>
      <c r="E12560" s="4"/>
      <c r="F12560" s="4" t="n">
        <v>50</v>
      </c>
      <c r="G12560" s="4" t="n">
        <v>1</v>
      </c>
      <c r="H12560" s="4" t="n">
        <v>4</v>
      </c>
      <c r="I12560" s="4" t="str">
        <v>×</v>
      </c>
      <c r="J12560" s="4"/>
      <c r="K12560" s="4"/>
      <c r="L12560" s="4"/>
      <c r="M12560" s="7" t="s">
        <v>6503</v>
      </c>
    </row>
    <row r="12561" customFormat="false" ht="15.75" hidden="false" customHeight="false" outlineLevel="0" collapsed="false">
      <c r="A12561" s="6" t="n">
        <f aca="false">DATE(2026,8,22)</f>
        <v>46256</v>
      </c>
      <c r="B12561" s="4" t="s">
        <v>334</v>
      </c>
      <c r="C12561" s="4" t="n">
        <v>11</v>
      </c>
      <c r="D12561" s="4" t="n">
        <v>11</v>
      </c>
      <c r="E12561" s="4"/>
      <c r="F12561" s="4" t="n">
        <v>20</v>
      </c>
      <c r="G12561" s="4" t="n">
        <v>5</v>
      </c>
      <c r="H12561" s="4" t="n">
        <v>4</v>
      </c>
      <c r="I12561" s="4" t="str">
        <v>×</v>
      </c>
      <c r="J12561" s="4"/>
      <c r="K12561" s="4"/>
      <c r="L12561" s="4"/>
      <c r="M12561" s="7" t="s">
        <v>6503</v>
      </c>
    </row>
    <row r="12562" customFormat="false" ht="15.75" hidden="false" customHeight="false" outlineLevel="0" collapsed="false">
      <c r="A12562" s="6" t="n">
        <f aca="false">DATE(2026,8,22)</f>
        <v>46256</v>
      </c>
      <c r="B12562" s="4" t="s">
        <v>334</v>
      </c>
      <c r="C12562" s="4" t="n">
        <v>11</v>
      </c>
      <c r="D12562" s="4" t="n">
        <v>12</v>
      </c>
      <c r="E12562" s="4"/>
      <c r="F12562" s="4" t="n">
        <v>15</v>
      </c>
      <c r="G12562" s="4" t="n">
        <v>9</v>
      </c>
      <c r="H12562" s="4" t="n">
        <v>4</v>
      </c>
      <c r="I12562" s="4" t="str">
        <v>×</v>
      </c>
      <c r="J12562" s="4"/>
      <c r="K12562" s="4"/>
      <c r="L12562" s="4"/>
      <c r="M12562" s="7" t="s">
        <v>6503</v>
      </c>
    </row>
    <row r="12563" customFormat="false" ht="15.75" hidden="false" customHeight="false" outlineLevel="0" collapsed="false">
      <c r="A12563" s="6" t="n">
        <f aca="false">DATE(2026,8,22)</f>
        <v>46256</v>
      </c>
      <c r="B12563" s="4" t="s">
        <v>334</v>
      </c>
      <c r="C12563" s="4" t="n">
        <v>11</v>
      </c>
      <c r="D12563" s="4" t="n">
        <v>13</v>
      </c>
      <c r="E12563" s="4"/>
      <c r="F12563" s="4" t="n">
        <v>17</v>
      </c>
      <c r="G12563" s="4" t="n">
        <v>6</v>
      </c>
      <c r="H12563" s="4" t="n">
        <v>4</v>
      </c>
      <c r="I12563" s="4" t="str">
        <v>×</v>
      </c>
      <c r="J12563" s="4"/>
      <c r="K12563" s="4"/>
      <c r="L12563" s="4"/>
      <c r="M12563" s="7" t="s">
        <v>6503</v>
      </c>
    </row>
    <row r="12564" customFormat="false" ht="15.75" hidden="false" customHeight="false" outlineLevel="0" collapsed="false">
      <c r="A12564" s="6" t="n">
        <f aca="false">DATE(2026,8,22)</f>
        <v>46256</v>
      </c>
      <c r="B12564" s="4" t="s">
        <v>334</v>
      </c>
      <c r="C12564" s="4" t="n">
        <v>11</v>
      </c>
      <c r="D12564" s="4" t="n">
        <v>14</v>
      </c>
      <c r="E12564" s="4" t="s">
        <v>2264</v>
      </c>
      <c r="F12564" s="4" t="n">
        <v>39</v>
      </c>
      <c r="G12564" s="4" t="n">
        <v>3</v>
      </c>
      <c r="H12564" s="4" t="n">
        <v>3</v>
      </c>
      <c r="I12564" s="4" t="str">
        <v>○</v>
      </c>
      <c r="J12564" s="4" t="n">
        <v>190</v>
      </c>
      <c r="K12564" s="4"/>
      <c r="L12564" s="4"/>
      <c r="M12564" s="7" t="s">
        <v>6503</v>
      </c>
    </row>
    <row r="12565" customFormat="false" ht="15.75" hidden="false" customHeight="false" outlineLevel="0" collapsed="false">
      <c r="A12565" s="6" t="n">
        <f aca="false">DATE(2026,8,22)</f>
        <v>46256</v>
      </c>
      <c r="B12565" s="4" t="s">
        <v>334</v>
      </c>
      <c r="C12565" s="4" t="n">
        <v>12</v>
      </c>
      <c r="D12565" s="4" t="n">
        <v>1</v>
      </c>
      <c r="E12565" s="4"/>
      <c r="F12565" s="4" t="n">
        <v>52</v>
      </c>
      <c r="G12565" s="4" t="n">
        <v>1</v>
      </c>
      <c r="H12565" s="4" t="n">
        <v>4</v>
      </c>
      <c r="I12565" s="4" t="str">
        <v>×</v>
      </c>
      <c r="J12565" s="4"/>
      <c r="K12565" s="4"/>
      <c r="L12565" s="4"/>
      <c r="M12565" s="7" t="s">
        <v>6503</v>
      </c>
    </row>
    <row r="12566" customFormat="false" ht="15.75" hidden="false" customHeight="false" outlineLevel="0" collapsed="false">
      <c r="A12566" s="6" t="n">
        <f aca="false">DATE(2026,8,22)</f>
        <v>46256</v>
      </c>
      <c r="B12566" s="4" t="s">
        <v>334</v>
      </c>
      <c r="C12566" s="4" t="n">
        <v>12</v>
      </c>
      <c r="D12566" s="4" t="n">
        <v>2</v>
      </c>
      <c r="E12566" s="4"/>
      <c r="F12566" s="4" t="n">
        <v>23</v>
      </c>
      <c r="G12566" s="4" t="n">
        <v>6</v>
      </c>
      <c r="H12566" s="4" t="n">
        <v>4</v>
      </c>
      <c r="I12566" s="4" t="str">
        <v>×</v>
      </c>
      <c r="J12566" s="4"/>
      <c r="K12566" s="4"/>
      <c r="L12566" s="4"/>
      <c r="M12566" s="7" t="s">
        <v>6503</v>
      </c>
    </row>
    <row r="12567" customFormat="false" ht="15.75" hidden="false" customHeight="false" outlineLevel="0" collapsed="false">
      <c r="A12567" s="6" t="n">
        <f aca="false">DATE(2026,8,22)</f>
        <v>46256</v>
      </c>
      <c r="B12567" s="4" t="s">
        <v>334</v>
      </c>
      <c r="C12567" s="4" t="n">
        <v>12</v>
      </c>
      <c r="D12567" s="4" t="n">
        <v>3</v>
      </c>
      <c r="E12567" s="4"/>
      <c r="F12567" s="4" t="n">
        <v>52</v>
      </c>
      <c r="G12567" s="4" t="n">
        <v>1</v>
      </c>
      <c r="H12567" s="4" t="n">
        <v>4</v>
      </c>
      <c r="I12567" s="4" t="str">
        <v>×</v>
      </c>
      <c r="J12567" s="4"/>
      <c r="K12567" s="4"/>
      <c r="L12567" s="4"/>
      <c r="M12567" s="7" t="s">
        <v>6503</v>
      </c>
    </row>
    <row r="12568" customFormat="false" ht="15.75" hidden="false" customHeight="false" outlineLevel="0" collapsed="false">
      <c r="A12568" s="6" t="n">
        <f aca="false">DATE(2026,8,22)</f>
        <v>46256</v>
      </c>
      <c r="B12568" s="4" t="s">
        <v>334</v>
      </c>
      <c r="C12568" s="4" t="n">
        <v>12</v>
      </c>
      <c r="D12568" s="4" t="n">
        <v>4</v>
      </c>
      <c r="E12568" s="4" t="s">
        <v>3852</v>
      </c>
      <c r="F12568" s="4" t="n">
        <v>47</v>
      </c>
      <c r="G12568" s="4" t="n">
        <v>3</v>
      </c>
      <c r="H12568" s="4" t="n">
        <v>3</v>
      </c>
      <c r="I12568" s="4" t="str">
        <v>○</v>
      </c>
      <c r="J12568" s="4" t="n">
        <v>160</v>
      </c>
      <c r="K12568" s="4"/>
      <c r="L12568" s="4"/>
      <c r="M12568" s="7" t="s">
        <v>6503</v>
      </c>
    </row>
    <row r="12569" customFormat="false" ht="15.75" hidden="false" customHeight="false" outlineLevel="0" collapsed="false">
      <c r="A12569" s="6" t="n">
        <f aca="false">DATE(2026,8,22)</f>
        <v>46256</v>
      </c>
      <c r="B12569" s="4" t="s">
        <v>334</v>
      </c>
      <c r="C12569" s="4" t="n">
        <v>12</v>
      </c>
      <c r="D12569" s="4" t="n">
        <v>5</v>
      </c>
      <c r="E12569" s="4"/>
      <c r="F12569" s="4" t="n">
        <v>2</v>
      </c>
      <c r="G12569" s="4" t="n">
        <v>11</v>
      </c>
      <c r="H12569" s="4" t="n">
        <v>4</v>
      </c>
      <c r="I12569" s="4" t="str">
        <v>×</v>
      </c>
      <c r="J12569" s="4"/>
      <c r="K12569" s="4"/>
      <c r="L12569" s="4"/>
      <c r="M12569" s="7" t="s">
        <v>6503</v>
      </c>
    </row>
    <row r="12570" customFormat="false" ht="15.75" hidden="false" customHeight="false" outlineLevel="0" collapsed="false">
      <c r="A12570" s="6" t="n">
        <f aca="false">DATE(2026,8,22)</f>
        <v>46256</v>
      </c>
      <c r="B12570" s="4" t="s">
        <v>334</v>
      </c>
      <c r="C12570" s="4" t="n">
        <v>12</v>
      </c>
      <c r="D12570" s="4" t="n">
        <v>6</v>
      </c>
      <c r="E12570" s="4" t="s">
        <v>5034</v>
      </c>
      <c r="F12570" s="4" t="n">
        <v>15</v>
      </c>
      <c r="G12570" s="4" t="n">
        <v>7</v>
      </c>
      <c r="H12570" s="4" t="n">
        <v>2</v>
      </c>
      <c r="I12570" s="4" t="str">
        <v>○</v>
      </c>
      <c r="J12570" s="4" t="n">
        <v>430</v>
      </c>
      <c r="K12570" s="4"/>
      <c r="L12570" s="4"/>
      <c r="M12570" s="7" t="s">
        <v>6503</v>
      </c>
    </row>
    <row r="12571" customFormat="false" ht="15.75" hidden="false" customHeight="false" outlineLevel="0" collapsed="false">
      <c r="A12571" s="6" t="n">
        <f aca="false">DATE(2026,8,22)</f>
        <v>46256</v>
      </c>
      <c r="B12571" s="4" t="s">
        <v>334</v>
      </c>
      <c r="C12571" s="4" t="n">
        <v>12</v>
      </c>
      <c r="D12571" s="4" t="n">
        <v>7</v>
      </c>
      <c r="E12571" s="4"/>
      <c r="F12571" s="4" t="n">
        <v>4</v>
      </c>
      <c r="G12571" s="4" t="n">
        <v>9</v>
      </c>
      <c r="H12571" s="4" t="n">
        <v>4</v>
      </c>
      <c r="I12571" s="4" t="str">
        <v>×</v>
      </c>
      <c r="J12571" s="4"/>
      <c r="K12571" s="4"/>
      <c r="L12571" s="4"/>
      <c r="M12571" s="7" t="s">
        <v>6503</v>
      </c>
    </row>
    <row r="12572" customFormat="false" ht="15.75" hidden="false" customHeight="false" outlineLevel="0" collapsed="false">
      <c r="A12572" s="6" t="n">
        <f aca="false">DATE(2026,8,22)</f>
        <v>46256</v>
      </c>
      <c r="B12572" s="4" t="s">
        <v>334</v>
      </c>
      <c r="C12572" s="4" t="n">
        <v>12</v>
      </c>
      <c r="D12572" s="4" t="n">
        <v>8</v>
      </c>
      <c r="E12572" s="4"/>
      <c r="F12572" s="4" t="n">
        <v>41</v>
      </c>
      <c r="G12572" s="4" t="n">
        <v>4</v>
      </c>
      <c r="H12572" s="4" t="n">
        <v>4</v>
      </c>
      <c r="I12572" s="4" t="str">
        <v>×</v>
      </c>
      <c r="J12572" s="4"/>
      <c r="K12572" s="4"/>
      <c r="L12572" s="4"/>
      <c r="M12572" s="7" t="s">
        <v>6503</v>
      </c>
    </row>
    <row r="12573" customFormat="false" ht="15.75" hidden="false" customHeight="false" outlineLevel="0" collapsed="false">
      <c r="A12573" s="6" t="n">
        <f aca="false">DATE(2026,8,22)</f>
        <v>46256</v>
      </c>
      <c r="B12573" s="4" t="s">
        <v>334</v>
      </c>
      <c r="C12573" s="4" t="n">
        <v>12</v>
      </c>
      <c r="D12573" s="4" t="n">
        <v>9</v>
      </c>
      <c r="E12573" s="4"/>
      <c r="F12573" s="4" t="n">
        <v>3</v>
      </c>
      <c r="G12573" s="4" t="n">
        <v>10</v>
      </c>
      <c r="H12573" s="4" t="n">
        <v>4</v>
      </c>
      <c r="I12573" s="4" t="str">
        <v>×</v>
      </c>
      <c r="J12573" s="4"/>
      <c r="K12573" s="4"/>
      <c r="L12573" s="4"/>
      <c r="M12573" s="7" t="s">
        <v>6503</v>
      </c>
    </row>
    <row r="12574" customFormat="false" ht="15.75" hidden="false" customHeight="false" outlineLevel="0" collapsed="false">
      <c r="A12574" s="6" t="n">
        <f aca="false">DATE(2026,8,22)</f>
        <v>46256</v>
      </c>
      <c r="B12574" s="4" t="s">
        <v>334</v>
      </c>
      <c r="C12574" s="4" t="n">
        <v>12</v>
      </c>
      <c r="D12574" s="4" t="n">
        <v>10</v>
      </c>
      <c r="E12574" s="4"/>
      <c r="F12574" s="4" t="n">
        <v>6</v>
      </c>
      <c r="G12574" s="4" t="n">
        <v>8</v>
      </c>
      <c r="H12574" s="4" t="n">
        <v>4</v>
      </c>
      <c r="I12574" s="4" t="str">
        <v>×</v>
      </c>
      <c r="J12574" s="4"/>
      <c r="K12574" s="4"/>
      <c r="L12574" s="4"/>
      <c r="M12574" s="7" t="s">
        <v>6503</v>
      </c>
    </row>
    <row r="12575" customFormat="false" ht="15.75" hidden="false" customHeight="false" outlineLevel="0" collapsed="false">
      <c r="A12575" s="6" t="n">
        <f aca="false">DATE(2026,8,22)</f>
        <v>46256</v>
      </c>
      <c r="B12575" s="4" t="s">
        <v>334</v>
      </c>
      <c r="C12575" s="4" t="n">
        <v>12</v>
      </c>
      <c r="D12575" s="4" t="n">
        <v>11</v>
      </c>
      <c r="E12575" s="4" t="s">
        <v>4508</v>
      </c>
      <c r="F12575" s="4" t="n">
        <v>34</v>
      </c>
      <c r="G12575" s="4" t="n">
        <v>5</v>
      </c>
      <c r="H12575" s="4" t="n">
        <v>1</v>
      </c>
      <c r="I12575" s="4" t="str">
        <v>○</v>
      </c>
      <c r="J12575" s="4" t="n">
        <v>160</v>
      </c>
      <c r="K12575" s="4"/>
      <c r="L12575" s="4"/>
      <c r="M12575" s="7" t="s">
        <v>6503</v>
      </c>
    </row>
    <row r="12576" customFormat="false" ht="15.75" hidden="false" customHeight="false" outlineLevel="0" collapsed="false">
      <c r="A12576" s="6" t="n">
        <f aca="false">DATE(2026,8,23)</f>
        <v>46257</v>
      </c>
      <c r="B12576" s="4" t="s">
        <v>13</v>
      </c>
      <c r="C12576" s="4" t="n">
        <v>1</v>
      </c>
      <c r="D12576" s="4" t="n">
        <v>1</v>
      </c>
      <c r="E12576" s="4"/>
      <c r="F12576" s="4" t="n">
        <v>10</v>
      </c>
      <c r="G12576" s="4" t="n">
        <v>5</v>
      </c>
      <c r="H12576" s="4" t="n">
        <v>4</v>
      </c>
      <c r="I12576" s="4" t="str">
        <v>×</v>
      </c>
      <c r="J12576" s="4"/>
      <c r="K12576" s="4"/>
      <c r="L12576" s="4"/>
      <c r="M12576" s="7" t="s">
        <v>6503</v>
      </c>
    </row>
    <row r="12577" customFormat="false" ht="15.75" hidden="false" customHeight="false" outlineLevel="0" collapsed="false">
      <c r="A12577" s="6" t="n">
        <f aca="false">DATE(2026,8,23)</f>
        <v>46257</v>
      </c>
      <c r="B12577" s="4" t="s">
        <v>13</v>
      </c>
      <c r="C12577" s="4" t="n">
        <v>1</v>
      </c>
      <c r="D12577" s="4" t="n">
        <v>2</v>
      </c>
      <c r="E12577" s="4"/>
      <c r="F12577" s="4" t="n">
        <v>44</v>
      </c>
      <c r="G12577" s="4" t="n">
        <v>2</v>
      </c>
      <c r="H12577" s="4" t="n">
        <v>4</v>
      </c>
      <c r="I12577" s="4" t="str">
        <v>×</v>
      </c>
      <c r="J12577" s="4"/>
      <c r="K12577" s="4"/>
      <c r="L12577" s="4"/>
      <c r="M12577" s="7" t="s">
        <v>6503</v>
      </c>
    </row>
    <row r="12578" customFormat="false" ht="15.75" hidden="false" customHeight="false" outlineLevel="0" collapsed="false">
      <c r="A12578" s="6" t="n">
        <f aca="false">DATE(2026,8,23)</f>
        <v>46257</v>
      </c>
      <c r="B12578" s="4" t="s">
        <v>13</v>
      </c>
      <c r="C12578" s="4" t="n">
        <v>1</v>
      </c>
      <c r="D12578" s="4" t="n">
        <v>3</v>
      </c>
      <c r="E12578" s="4"/>
      <c r="F12578" s="4" t="n">
        <v>4</v>
      </c>
      <c r="G12578" s="4" t="n">
        <v>12</v>
      </c>
      <c r="H12578" s="4" t="n">
        <v>4</v>
      </c>
      <c r="I12578" s="4" t="str">
        <v>×</v>
      </c>
      <c r="J12578" s="4"/>
      <c r="K12578" s="4"/>
      <c r="L12578" s="4"/>
      <c r="M12578" s="7" t="s">
        <v>6503</v>
      </c>
    </row>
    <row r="12579" customFormat="false" ht="15.75" hidden="false" customHeight="false" outlineLevel="0" collapsed="false">
      <c r="A12579" s="6" t="n">
        <f aca="false">DATE(2026,8,23)</f>
        <v>46257</v>
      </c>
      <c r="B12579" s="4" t="s">
        <v>13</v>
      </c>
      <c r="C12579" s="4" t="n">
        <v>1</v>
      </c>
      <c r="D12579" s="4" t="n">
        <v>4</v>
      </c>
      <c r="E12579" s="4"/>
      <c r="F12579" s="4" t="n">
        <v>8</v>
      </c>
      <c r="G12579" s="4" t="n">
        <v>7</v>
      </c>
      <c r="H12579" s="4" t="n">
        <v>4</v>
      </c>
      <c r="I12579" s="4" t="str">
        <v>×</v>
      </c>
      <c r="J12579" s="4"/>
      <c r="K12579" s="4"/>
      <c r="L12579" s="4"/>
      <c r="M12579" s="7" t="s">
        <v>6503</v>
      </c>
    </row>
    <row r="12580" customFormat="false" ht="15.75" hidden="false" customHeight="false" outlineLevel="0" collapsed="false">
      <c r="A12580" s="6" t="n">
        <f aca="false">DATE(2026,8,23)</f>
        <v>46257</v>
      </c>
      <c r="B12580" s="4" t="s">
        <v>13</v>
      </c>
      <c r="C12580" s="4" t="n">
        <v>1</v>
      </c>
      <c r="D12580" s="4" t="n">
        <v>5</v>
      </c>
      <c r="E12580" s="4"/>
      <c r="F12580" s="4" t="n">
        <v>6</v>
      </c>
      <c r="G12580" s="4" t="n">
        <v>10</v>
      </c>
      <c r="H12580" s="4" t="n">
        <v>4</v>
      </c>
      <c r="I12580" s="4" t="str">
        <v>×</v>
      </c>
      <c r="J12580" s="4"/>
      <c r="K12580" s="4"/>
      <c r="L12580" s="4"/>
      <c r="M12580" s="7" t="s">
        <v>6503</v>
      </c>
    </row>
    <row r="12581" customFormat="false" ht="15.75" hidden="false" customHeight="false" outlineLevel="0" collapsed="false">
      <c r="A12581" s="6" t="n">
        <f aca="false">DATE(2026,8,23)</f>
        <v>46257</v>
      </c>
      <c r="B12581" s="4" t="s">
        <v>13</v>
      </c>
      <c r="C12581" s="4" t="n">
        <v>1</v>
      </c>
      <c r="D12581" s="4" t="n">
        <v>6</v>
      </c>
      <c r="E12581" s="4"/>
      <c r="F12581" s="4" t="n">
        <v>39</v>
      </c>
      <c r="G12581" s="4" t="n">
        <v>3</v>
      </c>
      <c r="H12581" s="4" t="n">
        <v>4</v>
      </c>
      <c r="I12581" s="4" t="str">
        <v>×</v>
      </c>
      <c r="J12581" s="4"/>
      <c r="K12581" s="4"/>
      <c r="L12581" s="4"/>
      <c r="M12581" s="7" t="s">
        <v>6503</v>
      </c>
    </row>
    <row r="12582" customFormat="false" ht="15.75" hidden="false" customHeight="false" outlineLevel="0" collapsed="false">
      <c r="A12582" s="6" t="n">
        <f aca="false">DATE(2026,8,23)</f>
        <v>46257</v>
      </c>
      <c r="B12582" s="4" t="s">
        <v>13</v>
      </c>
      <c r="C12582" s="4" t="n">
        <v>1</v>
      </c>
      <c r="D12582" s="4" t="n">
        <v>7</v>
      </c>
      <c r="E12582" s="4"/>
      <c r="F12582" s="4" t="n">
        <v>23</v>
      </c>
      <c r="G12582" s="4" t="n">
        <v>4</v>
      </c>
      <c r="H12582" s="4" t="n">
        <v>4</v>
      </c>
      <c r="I12582" s="4" t="str">
        <v>×</v>
      </c>
      <c r="J12582" s="4"/>
      <c r="K12582" s="4"/>
      <c r="L12582" s="4"/>
      <c r="M12582" s="7" t="s">
        <v>6503</v>
      </c>
    </row>
    <row r="12583" customFormat="false" ht="15.75" hidden="false" customHeight="false" outlineLevel="0" collapsed="false">
      <c r="A12583" s="6" t="n">
        <f aca="false">DATE(2026,8,23)</f>
        <v>46257</v>
      </c>
      <c r="B12583" s="4" t="s">
        <v>13</v>
      </c>
      <c r="C12583" s="4" t="n">
        <v>1</v>
      </c>
      <c r="D12583" s="4" t="n">
        <v>8</v>
      </c>
      <c r="E12583" s="4"/>
      <c r="F12583" s="4" t="n">
        <v>8</v>
      </c>
      <c r="G12583" s="4" t="n">
        <v>7</v>
      </c>
      <c r="H12583" s="4" t="n">
        <v>4</v>
      </c>
      <c r="I12583" s="4" t="str">
        <v>×</v>
      </c>
      <c r="J12583" s="4"/>
      <c r="K12583" s="4"/>
      <c r="L12583" s="4"/>
      <c r="M12583" s="7" t="s">
        <v>6503</v>
      </c>
    </row>
    <row r="12584" customFormat="false" ht="15.75" hidden="false" customHeight="false" outlineLevel="0" collapsed="false">
      <c r="A12584" s="6" t="n">
        <f aca="false">DATE(2026,8,23)</f>
        <v>46257</v>
      </c>
      <c r="B12584" s="4" t="s">
        <v>13</v>
      </c>
      <c r="C12584" s="4" t="n">
        <v>1</v>
      </c>
      <c r="D12584" s="4" t="n">
        <v>9</v>
      </c>
      <c r="E12584" s="4" t="s">
        <v>4503</v>
      </c>
      <c r="F12584" s="4" t="n">
        <v>8</v>
      </c>
      <c r="G12584" s="4" t="n">
        <v>7</v>
      </c>
      <c r="H12584" s="4" t="n">
        <v>2</v>
      </c>
      <c r="I12584" s="4" t="str">
        <v>○</v>
      </c>
      <c r="J12584" s="4" t="n">
        <v>280</v>
      </c>
      <c r="K12584" s="4"/>
      <c r="L12584" s="4"/>
      <c r="M12584" s="7" t="s">
        <v>6503</v>
      </c>
    </row>
    <row r="12585" customFormat="false" ht="15.75" hidden="false" customHeight="false" outlineLevel="0" collapsed="false">
      <c r="A12585" s="6" t="n">
        <f aca="false">DATE(2026,8,23)</f>
        <v>46257</v>
      </c>
      <c r="B12585" s="4" t="s">
        <v>13</v>
      </c>
      <c r="C12585" s="4" t="n">
        <v>1</v>
      </c>
      <c r="D12585" s="4" t="n">
        <v>10</v>
      </c>
      <c r="E12585" s="4" t="s">
        <v>4304</v>
      </c>
      <c r="F12585" s="4" t="n">
        <v>10</v>
      </c>
      <c r="G12585" s="4" t="n">
        <v>5</v>
      </c>
      <c r="H12585" s="4" t="n">
        <v>3</v>
      </c>
      <c r="I12585" s="4" t="str">
        <v>○</v>
      </c>
      <c r="J12585" s="4" t="n">
        <v>290</v>
      </c>
      <c r="K12585" s="4"/>
      <c r="L12585" s="4"/>
      <c r="M12585" s="7" t="s">
        <v>6503</v>
      </c>
    </row>
    <row r="12586" customFormat="false" ht="15.75" hidden="false" customHeight="false" outlineLevel="0" collapsed="false">
      <c r="A12586" s="6" t="n">
        <f aca="false">DATE(2026,8,23)</f>
        <v>46257</v>
      </c>
      <c r="B12586" s="4" t="s">
        <v>13</v>
      </c>
      <c r="C12586" s="4" t="n">
        <v>1</v>
      </c>
      <c r="D12586" s="4" t="n">
        <v>11</v>
      </c>
      <c r="E12586" s="4"/>
      <c r="F12586" s="4" t="n">
        <v>6</v>
      </c>
      <c r="G12586" s="4" t="n">
        <v>10</v>
      </c>
      <c r="H12586" s="4" t="n">
        <v>4</v>
      </c>
      <c r="I12586" s="4" t="str">
        <v>×</v>
      </c>
      <c r="J12586" s="4"/>
      <c r="K12586" s="4"/>
      <c r="L12586" s="4"/>
      <c r="M12586" s="7" t="s">
        <v>6503</v>
      </c>
    </row>
    <row r="12587" customFormat="false" ht="15.75" hidden="false" customHeight="false" outlineLevel="0" collapsed="false">
      <c r="A12587" s="6" t="n">
        <f aca="false">DATE(2026,8,23)</f>
        <v>46257</v>
      </c>
      <c r="B12587" s="4" t="s">
        <v>13</v>
      </c>
      <c r="C12587" s="4" t="n">
        <v>1</v>
      </c>
      <c r="D12587" s="4" t="n">
        <v>12</v>
      </c>
      <c r="E12587" s="4" t="s">
        <v>3719</v>
      </c>
      <c r="F12587" s="4" t="n">
        <v>86</v>
      </c>
      <c r="G12587" s="4" t="n">
        <v>1</v>
      </c>
      <c r="H12587" s="4" t="n">
        <v>1</v>
      </c>
      <c r="I12587" s="4" t="str">
        <v>○</v>
      </c>
      <c r="J12587" s="4" t="n">
        <v>100</v>
      </c>
      <c r="K12587" s="4"/>
      <c r="L12587" s="4"/>
      <c r="M12587" s="7" t="s">
        <v>6503</v>
      </c>
    </row>
    <row r="12588" customFormat="false" ht="15.75" hidden="false" customHeight="false" outlineLevel="0" collapsed="false">
      <c r="A12588" s="6" t="n">
        <f aca="false">DATE(2026,8,23)</f>
        <v>46257</v>
      </c>
      <c r="B12588" s="4" t="s">
        <v>13</v>
      </c>
      <c r="C12588" s="4" t="n">
        <v>2</v>
      </c>
      <c r="D12588" s="4" t="n">
        <v>1</v>
      </c>
      <c r="E12588" s="4"/>
      <c r="F12588" s="4" t="n">
        <v>74</v>
      </c>
      <c r="G12588" s="4" t="n">
        <v>1</v>
      </c>
      <c r="H12588" s="4" t="n">
        <v>4</v>
      </c>
      <c r="I12588" s="4" t="str">
        <v>×</v>
      </c>
      <c r="J12588" s="4"/>
      <c r="K12588" s="4"/>
      <c r="L12588" s="4"/>
      <c r="M12588" s="7" t="s">
        <v>6503</v>
      </c>
    </row>
    <row r="12589" customFormat="false" ht="15.75" hidden="false" customHeight="false" outlineLevel="0" collapsed="false">
      <c r="A12589" s="6" t="n">
        <f aca="false">DATE(2026,8,23)</f>
        <v>46257</v>
      </c>
      <c r="B12589" s="4" t="s">
        <v>13</v>
      </c>
      <c r="C12589" s="4" t="n">
        <v>2</v>
      </c>
      <c r="D12589" s="4" t="n">
        <v>2</v>
      </c>
      <c r="E12589" s="4"/>
      <c r="F12589" s="4" t="n">
        <v>12</v>
      </c>
      <c r="G12589" s="4" t="n">
        <v>10</v>
      </c>
      <c r="H12589" s="4" t="n">
        <v>4</v>
      </c>
      <c r="I12589" s="4" t="str">
        <v>×</v>
      </c>
      <c r="J12589" s="4"/>
      <c r="K12589" s="4"/>
      <c r="L12589" s="4"/>
      <c r="M12589" s="7" t="s">
        <v>6503</v>
      </c>
    </row>
    <row r="12590" customFormat="false" ht="15.75" hidden="false" customHeight="false" outlineLevel="0" collapsed="false">
      <c r="A12590" s="6" t="n">
        <f aca="false">DATE(2026,8,23)</f>
        <v>46257</v>
      </c>
      <c r="B12590" s="4" t="s">
        <v>13</v>
      </c>
      <c r="C12590" s="4" t="n">
        <v>2</v>
      </c>
      <c r="D12590" s="4" t="n">
        <v>3</v>
      </c>
      <c r="E12590" s="4"/>
      <c r="F12590" s="4" t="n">
        <v>16</v>
      </c>
      <c r="G12590" s="4" t="n">
        <v>7</v>
      </c>
      <c r="H12590" s="4" t="n">
        <v>4</v>
      </c>
      <c r="I12590" s="4" t="str">
        <v>×</v>
      </c>
      <c r="J12590" s="4"/>
      <c r="K12590" s="4"/>
      <c r="L12590" s="4"/>
      <c r="M12590" s="7" t="s">
        <v>6503</v>
      </c>
    </row>
    <row r="12591" customFormat="false" ht="15.75" hidden="false" customHeight="false" outlineLevel="0" collapsed="false">
      <c r="A12591" s="6" t="n">
        <f aca="false">DATE(2026,8,23)</f>
        <v>46257</v>
      </c>
      <c r="B12591" s="4" t="s">
        <v>13</v>
      </c>
      <c r="C12591" s="4" t="n">
        <v>2</v>
      </c>
      <c r="D12591" s="4" t="n">
        <v>4</v>
      </c>
      <c r="E12591" s="4" t="s">
        <v>6527</v>
      </c>
      <c r="F12591" s="4" t="n">
        <v>24</v>
      </c>
      <c r="G12591" s="4" t="n">
        <v>2</v>
      </c>
      <c r="H12591" s="4" t="n">
        <v>3</v>
      </c>
      <c r="I12591" s="4" t="str">
        <v>○</v>
      </c>
      <c r="J12591" s="4" t="n">
        <v>410</v>
      </c>
      <c r="K12591" s="4"/>
      <c r="L12591" s="4"/>
      <c r="M12591" s="7" t="s">
        <v>6503</v>
      </c>
    </row>
    <row r="12592" customFormat="false" ht="15.75" hidden="false" customHeight="false" outlineLevel="0" collapsed="false">
      <c r="A12592" s="6" t="n">
        <f aca="false">DATE(2026,8,23)</f>
        <v>46257</v>
      </c>
      <c r="B12592" s="4" t="s">
        <v>13</v>
      </c>
      <c r="C12592" s="4" t="n">
        <v>2</v>
      </c>
      <c r="D12592" s="4" t="n">
        <v>5</v>
      </c>
      <c r="E12592" s="4"/>
      <c r="F12592" s="4" t="n">
        <v>16</v>
      </c>
      <c r="G12592" s="4" t="n">
        <v>7</v>
      </c>
      <c r="H12592" s="4" t="n">
        <v>4</v>
      </c>
      <c r="I12592" s="4" t="str">
        <v>×</v>
      </c>
      <c r="J12592" s="4"/>
      <c r="K12592" s="4"/>
      <c r="L12592" s="4"/>
      <c r="M12592" s="7" t="s">
        <v>6503</v>
      </c>
    </row>
    <row r="12593" customFormat="false" ht="15.75" hidden="false" customHeight="false" outlineLevel="0" collapsed="false">
      <c r="A12593" s="6" t="n">
        <f aca="false">DATE(2026,8,23)</f>
        <v>46257</v>
      </c>
      <c r="B12593" s="4" t="s">
        <v>13</v>
      </c>
      <c r="C12593" s="4" t="n">
        <v>2</v>
      </c>
      <c r="D12593" s="4" t="n">
        <v>6</v>
      </c>
      <c r="E12593" s="4"/>
      <c r="F12593" s="4" t="n">
        <v>24</v>
      </c>
      <c r="G12593" s="4" t="n">
        <v>2</v>
      </c>
      <c r="H12593" s="4" t="n">
        <v>4</v>
      </c>
      <c r="I12593" s="4" t="str">
        <v>×</v>
      </c>
      <c r="J12593" s="4"/>
      <c r="K12593" s="4"/>
      <c r="L12593" s="4"/>
      <c r="M12593" s="7" t="s">
        <v>6503</v>
      </c>
    </row>
    <row r="12594" customFormat="false" ht="15.75" hidden="false" customHeight="false" outlineLevel="0" collapsed="false">
      <c r="A12594" s="6" t="n">
        <f aca="false">DATE(2026,8,23)</f>
        <v>46257</v>
      </c>
      <c r="B12594" s="4" t="s">
        <v>13</v>
      </c>
      <c r="C12594" s="4" t="n">
        <v>2</v>
      </c>
      <c r="D12594" s="4" t="n">
        <v>7</v>
      </c>
      <c r="E12594" s="4" t="s">
        <v>6528</v>
      </c>
      <c r="F12594" s="4" t="n">
        <v>16</v>
      </c>
      <c r="G12594" s="4" t="n">
        <v>7</v>
      </c>
      <c r="H12594" s="4" t="n">
        <v>1</v>
      </c>
      <c r="I12594" s="4" t="str">
        <v>○</v>
      </c>
      <c r="J12594" s="4" t="n">
        <v>210</v>
      </c>
      <c r="K12594" s="4"/>
      <c r="L12594" s="4"/>
      <c r="M12594" s="7" t="s">
        <v>6503</v>
      </c>
    </row>
    <row r="12595" customFormat="false" ht="15.75" hidden="false" customHeight="false" outlineLevel="0" collapsed="false">
      <c r="A12595" s="6" t="n">
        <f aca="false">DATE(2026,8,23)</f>
        <v>46257</v>
      </c>
      <c r="B12595" s="4" t="s">
        <v>13</v>
      </c>
      <c r="C12595" s="4" t="n">
        <v>2</v>
      </c>
      <c r="D12595" s="4" t="n">
        <v>8</v>
      </c>
      <c r="E12595" s="4" t="s">
        <v>6529</v>
      </c>
      <c r="F12595" s="4" t="n">
        <v>24</v>
      </c>
      <c r="G12595" s="4" t="n">
        <v>2</v>
      </c>
      <c r="H12595" s="4" t="n">
        <v>2</v>
      </c>
      <c r="I12595" s="4" t="str">
        <v>○</v>
      </c>
      <c r="J12595" s="4" t="n">
        <v>160</v>
      </c>
      <c r="K12595" s="4"/>
      <c r="L12595" s="4"/>
      <c r="M12595" s="7" t="s">
        <v>6503</v>
      </c>
    </row>
    <row r="12596" customFormat="false" ht="15.75" hidden="false" customHeight="false" outlineLevel="0" collapsed="false">
      <c r="A12596" s="6" t="n">
        <f aca="false">DATE(2026,8,23)</f>
        <v>46257</v>
      </c>
      <c r="B12596" s="4" t="s">
        <v>13</v>
      </c>
      <c r="C12596" s="4" t="n">
        <v>2</v>
      </c>
      <c r="D12596" s="4" t="n">
        <v>9</v>
      </c>
      <c r="E12596" s="4"/>
      <c r="F12596" s="4" t="n">
        <v>24</v>
      </c>
      <c r="G12596" s="4" t="n">
        <v>2</v>
      </c>
      <c r="H12596" s="4" t="n">
        <v>4</v>
      </c>
      <c r="I12596" s="4" t="str">
        <v>×</v>
      </c>
      <c r="J12596" s="4"/>
      <c r="K12596" s="4"/>
      <c r="L12596" s="4"/>
      <c r="M12596" s="7" t="s">
        <v>6503</v>
      </c>
    </row>
    <row r="12597" customFormat="false" ht="15.75" hidden="false" customHeight="false" outlineLevel="0" collapsed="false">
      <c r="A12597" s="6" t="n">
        <f aca="false">DATE(2026,8,23)</f>
        <v>46257</v>
      </c>
      <c r="B12597" s="4" t="s">
        <v>13</v>
      </c>
      <c r="C12597" s="4" t="n">
        <v>2</v>
      </c>
      <c r="D12597" s="4" t="n">
        <v>10</v>
      </c>
      <c r="E12597" s="4"/>
      <c r="F12597" s="4" t="n">
        <v>12</v>
      </c>
      <c r="G12597" s="4" t="n">
        <v>10</v>
      </c>
      <c r="H12597" s="4" t="n">
        <v>4</v>
      </c>
      <c r="I12597" s="4" t="str">
        <v>×</v>
      </c>
      <c r="J12597" s="4"/>
      <c r="K12597" s="4"/>
      <c r="L12597" s="4"/>
      <c r="M12597" s="7" t="s">
        <v>6503</v>
      </c>
    </row>
    <row r="12598" customFormat="false" ht="15.75" hidden="false" customHeight="false" outlineLevel="0" collapsed="false">
      <c r="A12598" s="6" t="n">
        <f aca="false">DATE(2026,8,23)</f>
        <v>46257</v>
      </c>
      <c r="B12598" s="4" t="s">
        <v>13</v>
      </c>
      <c r="C12598" s="4" t="n">
        <v>2</v>
      </c>
      <c r="D12598" s="4" t="n">
        <v>11</v>
      </c>
      <c r="E12598" s="4"/>
      <c r="F12598" s="4" t="n">
        <v>21</v>
      </c>
      <c r="G12598" s="4" t="n">
        <v>6</v>
      </c>
      <c r="H12598" s="4" t="n">
        <v>4</v>
      </c>
      <c r="I12598" s="4" t="str">
        <v>×</v>
      </c>
      <c r="J12598" s="4"/>
      <c r="K12598" s="4"/>
      <c r="L12598" s="4"/>
      <c r="M12598" s="7" t="s">
        <v>6503</v>
      </c>
    </row>
    <row r="12599" customFormat="false" ht="15.75" hidden="false" customHeight="false" outlineLevel="0" collapsed="false">
      <c r="A12599" s="6" t="n">
        <f aca="false">DATE(2026,8,23)</f>
        <v>46257</v>
      </c>
      <c r="B12599" s="4" t="s">
        <v>13</v>
      </c>
      <c r="C12599" s="4" t="n">
        <v>3</v>
      </c>
      <c r="D12599" s="4" t="n">
        <v>1</v>
      </c>
      <c r="E12599" s="4"/>
      <c r="F12599" s="4" t="n">
        <v>8</v>
      </c>
      <c r="G12599" s="4" t="n">
        <v>9</v>
      </c>
      <c r="H12599" s="4" t="n">
        <v>4</v>
      </c>
      <c r="I12599" s="4" t="str">
        <v>×</v>
      </c>
      <c r="J12599" s="4"/>
      <c r="K12599" s="4"/>
      <c r="L12599" s="4"/>
      <c r="M12599" s="7" t="s">
        <v>6503</v>
      </c>
    </row>
    <row r="12600" customFormat="false" ht="15.75" hidden="false" customHeight="false" outlineLevel="0" collapsed="false">
      <c r="A12600" s="6" t="n">
        <f aca="false">DATE(2026,8,23)</f>
        <v>46257</v>
      </c>
      <c r="B12600" s="4" t="s">
        <v>13</v>
      </c>
      <c r="C12600" s="4" t="n">
        <v>3</v>
      </c>
      <c r="D12600" s="4" t="n">
        <v>2</v>
      </c>
      <c r="E12600" s="4"/>
      <c r="F12600" s="4" t="n">
        <v>21</v>
      </c>
      <c r="G12600" s="4" t="n">
        <v>5</v>
      </c>
      <c r="H12600" s="4" t="n">
        <v>4</v>
      </c>
      <c r="I12600" s="4" t="str">
        <v>×</v>
      </c>
      <c r="J12600" s="4"/>
      <c r="K12600" s="4"/>
      <c r="L12600" s="4"/>
      <c r="M12600" s="7" t="s">
        <v>6503</v>
      </c>
    </row>
    <row r="12601" customFormat="false" ht="15.75" hidden="false" customHeight="false" outlineLevel="0" collapsed="false">
      <c r="A12601" s="6" t="n">
        <f aca="false">DATE(2026,8,23)</f>
        <v>46257</v>
      </c>
      <c r="B12601" s="4" t="s">
        <v>13</v>
      </c>
      <c r="C12601" s="4" t="n">
        <v>3</v>
      </c>
      <c r="D12601" s="4" t="n">
        <v>3</v>
      </c>
      <c r="E12601" s="4"/>
      <c r="F12601" s="4" t="n">
        <v>27</v>
      </c>
      <c r="G12601" s="4" t="n">
        <v>2</v>
      </c>
      <c r="H12601" s="4" t="n">
        <v>4</v>
      </c>
      <c r="I12601" s="4" t="str">
        <v>×</v>
      </c>
      <c r="J12601" s="4"/>
      <c r="K12601" s="4"/>
      <c r="L12601" s="4"/>
      <c r="M12601" s="7" t="s">
        <v>6503</v>
      </c>
    </row>
    <row r="12602" customFormat="false" ht="15.75" hidden="false" customHeight="false" outlineLevel="0" collapsed="false">
      <c r="A12602" s="6" t="n">
        <f aca="false">DATE(2026,8,23)</f>
        <v>46257</v>
      </c>
      <c r="B12602" s="4" t="s">
        <v>13</v>
      </c>
      <c r="C12602" s="4" t="n">
        <v>3</v>
      </c>
      <c r="D12602" s="4" t="n">
        <v>4</v>
      </c>
      <c r="E12602" s="4"/>
      <c r="F12602" s="4" t="n">
        <v>14</v>
      </c>
      <c r="G12602" s="4" t="n">
        <v>8</v>
      </c>
      <c r="H12602" s="4" t="n">
        <v>4</v>
      </c>
      <c r="I12602" s="4" t="str">
        <v>×</v>
      </c>
      <c r="J12602" s="4"/>
      <c r="K12602" s="4"/>
      <c r="L12602" s="4"/>
      <c r="M12602" s="7" t="s">
        <v>6503</v>
      </c>
    </row>
    <row r="12603" customFormat="false" ht="15.75" hidden="false" customHeight="false" outlineLevel="0" collapsed="false">
      <c r="A12603" s="6" t="n">
        <f aca="false">DATE(2026,8,23)</f>
        <v>46257</v>
      </c>
      <c r="B12603" s="4" t="s">
        <v>13</v>
      </c>
      <c r="C12603" s="4" t="n">
        <v>3</v>
      </c>
      <c r="D12603" s="4" t="n">
        <v>5</v>
      </c>
      <c r="E12603" s="4" t="s">
        <v>6530</v>
      </c>
      <c r="F12603" s="4" t="n">
        <v>8</v>
      </c>
      <c r="G12603" s="4" t="n">
        <v>9</v>
      </c>
      <c r="H12603" s="4" t="n">
        <v>1</v>
      </c>
      <c r="I12603" s="4" t="str">
        <v>○</v>
      </c>
      <c r="J12603" s="4" t="n">
        <v>1000</v>
      </c>
      <c r="K12603" s="4"/>
      <c r="L12603" s="4"/>
      <c r="M12603" s="7" t="s">
        <v>6503</v>
      </c>
    </row>
    <row r="12604" customFormat="false" ht="15.75" hidden="false" customHeight="false" outlineLevel="0" collapsed="false">
      <c r="A12604" s="6" t="n">
        <f aca="false">DATE(2026,8,23)</f>
        <v>46257</v>
      </c>
      <c r="B12604" s="4" t="s">
        <v>13</v>
      </c>
      <c r="C12604" s="4" t="n">
        <v>3</v>
      </c>
      <c r="D12604" s="4" t="n">
        <v>6</v>
      </c>
      <c r="E12604" s="4"/>
      <c r="F12604" s="4" t="n">
        <v>24</v>
      </c>
      <c r="G12604" s="4" t="n">
        <v>3</v>
      </c>
      <c r="H12604" s="4" t="n">
        <v>4</v>
      </c>
      <c r="I12604" s="4" t="str">
        <v>×</v>
      </c>
      <c r="J12604" s="4"/>
      <c r="K12604" s="4"/>
      <c r="L12604" s="4"/>
      <c r="M12604" s="7" t="s">
        <v>6503</v>
      </c>
    </row>
    <row r="12605" customFormat="false" ht="15.75" hidden="false" customHeight="false" outlineLevel="0" collapsed="false">
      <c r="A12605" s="6" t="n">
        <f aca="false">DATE(2026,8,23)</f>
        <v>46257</v>
      </c>
      <c r="B12605" s="4" t="s">
        <v>13</v>
      </c>
      <c r="C12605" s="4" t="n">
        <v>3</v>
      </c>
      <c r="D12605" s="4" t="n">
        <v>7</v>
      </c>
      <c r="E12605" s="4" t="s">
        <v>6531</v>
      </c>
      <c r="F12605" s="4" t="n">
        <v>24</v>
      </c>
      <c r="G12605" s="4" t="n">
        <v>3</v>
      </c>
      <c r="H12605" s="4" t="n">
        <v>2</v>
      </c>
      <c r="I12605" s="4" t="str">
        <v>○</v>
      </c>
      <c r="J12605" s="4" t="n">
        <v>230</v>
      </c>
      <c r="K12605" s="4"/>
      <c r="L12605" s="4"/>
      <c r="M12605" s="7" t="s">
        <v>6503</v>
      </c>
    </row>
    <row r="12606" customFormat="false" ht="15.75" hidden="false" customHeight="false" outlineLevel="0" collapsed="false">
      <c r="A12606" s="6" t="n">
        <f aca="false">DATE(2026,8,23)</f>
        <v>46257</v>
      </c>
      <c r="B12606" s="4" t="s">
        <v>13</v>
      </c>
      <c r="C12606" s="4" t="n">
        <v>3</v>
      </c>
      <c r="D12606" s="4" t="n">
        <v>8</v>
      </c>
      <c r="E12606" s="4"/>
      <c r="F12606" s="4" t="n">
        <v>16</v>
      </c>
      <c r="G12606" s="4" t="n">
        <v>7</v>
      </c>
      <c r="H12606" s="4" t="n">
        <v>4</v>
      </c>
      <c r="I12606" s="4" t="str">
        <v>×</v>
      </c>
      <c r="J12606" s="4"/>
      <c r="K12606" s="4"/>
      <c r="L12606" s="4"/>
      <c r="M12606" s="7" t="s">
        <v>6503</v>
      </c>
    </row>
    <row r="12607" customFormat="false" ht="15.75" hidden="false" customHeight="false" outlineLevel="0" collapsed="false">
      <c r="A12607" s="6" t="n">
        <f aca="false">DATE(2026,8,23)</f>
        <v>46257</v>
      </c>
      <c r="B12607" s="4" t="s">
        <v>13</v>
      </c>
      <c r="C12607" s="4" t="n">
        <v>3</v>
      </c>
      <c r="D12607" s="4" t="n">
        <v>9</v>
      </c>
      <c r="E12607" s="4"/>
      <c r="F12607" s="4" t="n">
        <v>37</v>
      </c>
      <c r="G12607" s="4" t="n">
        <v>1</v>
      </c>
      <c r="H12607" s="4" t="n">
        <v>4</v>
      </c>
      <c r="I12607" s="4" t="str">
        <v>×</v>
      </c>
      <c r="J12607" s="4"/>
      <c r="K12607" s="4"/>
      <c r="L12607" s="4"/>
      <c r="M12607" s="7" t="s">
        <v>6503</v>
      </c>
    </row>
    <row r="12608" customFormat="false" ht="15.75" hidden="false" customHeight="false" outlineLevel="0" collapsed="false">
      <c r="A12608" s="6" t="n">
        <f aca="false">DATE(2026,8,23)</f>
        <v>46257</v>
      </c>
      <c r="B12608" s="4" t="s">
        <v>13</v>
      </c>
      <c r="C12608" s="4" t="n">
        <v>3</v>
      </c>
      <c r="D12608" s="4" t="n">
        <v>10</v>
      </c>
      <c r="E12608" s="4"/>
      <c r="F12608" s="4" t="n">
        <v>8</v>
      </c>
      <c r="G12608" s="4" t="n">
        <v>9</v>
      </c>
      <c r="H12608" s="4" t="n">
        <v>4</v>
      </c>
      <c r="I12608" s="4" t="str">
        <v>×</v>
      </c>
      <c r="J12608" s="4"/>
      <c r="K12608" s="4"/>
      <c r="L12608" s="4"/>
      <c r="M12608" s="7" t="s">
        <v>6503</v>
      </c>
    </row>
    <row r="12609" customFormat="false" ht="15.75" hidden="false" customHeight="false" outlineLevel="0" collapsed="false">
      <c r="A12609" s="6" t="n">
        <f aca="false">DATE(2026,8,23)</f>
        <v>46257</v>
      </c>
      <c r="B12609" s="4" t="s">
        <v>13</v>
      </c>
      <c r="C12609" s="4" t="n">
        <v>3</v>
      </c>
      <c r="D12609" s="4" t="n">
        <v>11</v>
      </c>
      <c r="E12609" s="4" t="s">
        <v>6532</v>
      </c>
      <c r="F12609" s="4" t="n">
        <v>8</v>
      </c>
      <c r="G12609" s="4" t="n">
        <v>9</v>
      </c>
      <c r="H12609" s="4" t="n">
        <v>3</v>
      </c>
      <c r="I12609" s="4" t="str">
        <v>○</v>
      </c>
      <c r="J12609" s="4" t="n">
        <v>460</v>
      </c>
      <c r="K12609" s="4"/>
      <c r="L12609" s="4"/>
      <c r="M12609" s="7" t="s">
        <v>6503</v>
      </c>
    </row>
    <row r="12610" customFormat="false" ht="15.75" hidden="false" customHeight="false" outlineLevel="0" collapsed="false">
      <c r="A12610" s="6" t="n">
        <f aca="false">DATE(2026,8,23)</f>
        <v>46257</v>
      </c>
      <c r="B12610" s="4" t="s">
        <v>13</v>
      </c>
      <c r="C12610" s="4" t="n">
        <v>3</v>
      </c>
      <c r="D12610" s="4" t="n">
        <v>12</v>
      </c>
      <c r="E12610" s="4"/>
      <c r="F12610" s="4" t="n">
        <v>21</v>
      </c>
      <c r="G12610" s="4" t="n">
        <v>5</v>
      </c>
      <c r="H12610" s="4" t="n">
        <v>4</v>
      </c>
      <c r="I12610" s="4" t="str">
        <v>×</v>
      </c>
      <c r="J12610" s="4"/>
      <c r="K12610" s="4"/>
      <c r="L12610" s="4"/>
      <c r="M12610" s="7" t="s">
        <v>6503</v>
      </c>
    </row>
    <row r="12611" customFormat="false" ht="15.75" hidden="false" customHeight="false" outlineLevel="0" collapsed="false">
      <c r="A12611" s="6" t="n">
        <f aca="false">DATE(2026,8,23)</f>
        <v>46257</v>
      </c>
      <c r="B12611" s="4" t="s">
        <v>13</v>
      </c>
      <c r="C12611" s="4" t="n">
        <v>4</v>
      </c>
      <c r="D12611" s="4" t="n">
        <v>1</v>
      </c>
      <c r="E12611" s="4" t="s">
        <v>6533</v>
      </c>
      <c r="F12611" s="4" t="n">
        <v>20</v>
      </c>
      <c r="G12611" s="4" t="n">
        <v>6</v>
      </c>
      <c r="H12611" s="4" t="n">
        <v>3</v>
      </c>
      <c r="I12611" s="4" t="str">
        <v>○</v>
      </c>
      <c r="J12611" s="4" t="n">
        <v>180</v>
      </c>
      <c r="K12611" s="4"/>
      <c r="L12611" s="4"/>
      <c r="M12611" s="7" t="s">
        <v>6503</v>
      </c>
    </row>
    <row r="12612" customFormat="false" ht="15.75" hidden="false" customHeight="false" outlineLevel="0" collapsed="false">
      <c r="A12612" s="6" t="n">
        <f aca="false">DATE(2026,8,23)</f>
        <v>46257</v>
      </c>
      <c r="B12612" s="4" t="s">
        <v>13</v>
      </c>
      <c r="C12612" s="4" t="n">
        <v>4</v>
      </c>
      <c r="D12612" s="4" t="n">
        <v>2</v>
      </c>
      <c r="E12612" s="4"/>
      <c r="F12612" s="4" t="n">
        <v>3</v>
      </c>
      <c r="G12612" s="4" t="n">
        <v>12</v>
      </c>
      <c r="H12612" s="4" t="n">
        <v>4</v>
      </c>
      <c r="I12612" s="4" t="str">
        <v>×</v>
      </c>
      <c r="J12612" s="4"/>
      <c r="K12612" s="4"/>
      <c r="L12612" s="4"/>
      <c r="M12612" s="7" t="s">
        <v>6503</v>
      </c>
    </row>
    <row r="12613" customFormat="false" ht="15.75" hidden="false" customHeight="false" outlineLevel="0" collapsed="false">
      <c r="A12613" s="6" t="n">
        <f aca="false">DATE(2026,8,23)</f>
        <v>46257</v>
      </c>
      <c r="B12613" s="4" t="s">
        <v>13</v>
      </c>
      <c r="C12613" s="4" t="n">
        <v>4</v>
      </c>
      <c r="D12613" s="4" t="n">
        <v>3</v>
      </c>
      <c r="E12613" s="4"/>
      <c r="F12613" s="4" t="n">
        <v>3</v>
      </c>
      <c r="G12613" s="4" t="n">
        <v>12</v>
      </c>
      <c r="H12613" s="4" t="n">
        <v>4</v>
      </c>
      <c r="I12613" s="4" t="str">
        <v>×</v>
      </c>
      <c r="J12613" s="4"/>
      <c r="K12613" s="4"/>
      <c r="L12613" s="4"/>
      <c r="M12613" s="7" t="s">
        <v>6503</v>
      </c>
    </row>
    <row r="12614" customFormat="false" ht="15.75" hidden="false" customHeight="false" outlineLevel="0" collapsed="false">
      <c r="A12614" s="6" t="n">
        <f aca="false">DATE(2026,8,23)</f>
        <v>46257</v>
      </c>
      <c r="B12614" s="4" t="s">
        <v>13</v>
      </c>
      <c r="C12614" s="4" t="n">
        <v>4</v>
      </c>
      <c r="D12614" s="4" t="n">
        <v>4</v>
      </c>
      <c r="E12614" s="4"/>
      <c r="F12614" s="4" t="n">
        <v>15</v>
      </c>
      <c r="G12614" s="4" t="n">
        <v>8</v>
      </c>
      <c r="H12614" s="4" t="n">
        <v>4</v>
      </c>
      <c r="I12614" s="4" t="str">
        <v>×</v>
      </c>
      <c r="J12614" s="4"/>
      <c r="K12614" s="4"/>
      <c r="L12614" s="4"/>
      <c r="M12614" s="7" t="s">
        <v>6503</v>
      </c>
    </row>
    <row r="12615" customFormat="false" ht="15.75" hidden="false" customHeight="false" outlineLevel="0" collapsed="false">
      <c r="A12615" s="6" t="n">
        <f aca="false">DATE(2026,8,23)</f>
        <v>46257</v>
      </c>
      <c r="B12615" s="4" t="s">
        <v>13</v>
      </c>
      <c r="C12615" s="4" t="n">
        <v>4</v>
      </c>
      <c r="D12615" s="4" t="n">
        <v>5</v>
      </c>
      <c r="E12615" s="4"/>
      <c r="F12615" s="4" t="n">
        <v>10</v>
      </c>
      <c r="G12615" s="4" t="n">
        <v>9</v>
      </c>
      <c r="H12615" s="4" t="n">
        <v>4</v>
      </c>
      <c r="I12615" s="4" t="str">
        <v>×</v>
      </c>
      <c r="J12615" s="4"/>
      <c r="K12615" s="4"/>
      <c r="L12615" s="4"/>
      <c r="M12615" s="7" t="s">
        <v>6503</v>
      </c>
    </row>
    <row r="12616" customFormat="false" ht="15.75" hidden="false" customHeight="false" outlineLevel="0" collapsed="false">
      <c r="A12616" s="6" t="n">
        <f aca="false">DATE(2026,8,23)</f>
        <v>46257</v>
      </c>
      <c r="B12616" s="4" t="s">
        <v>13</v>
      </c>
      <c r="C12616" s="4" t="n">
        <v>4</v>
      </c>
      <c r="D12616" s="4" t="n">
        <v>6</v>
      </c>
      <c r="E12616" s="4"/>
      <c r="F12616" s="4" t="n">
        <v>56</v>
      </c>
      <c r="G12616" s="4" t="n">
        <v>1</v>
      </c>
      <c r="H12616" s="4" t="n">
        <v>4</v>
      </c>
      <c r="I12616" s="4" t="str">
        <v>×</v>
      </c>
      <c r="J12616" s="4"/>
      <c r="K12616" s="4"/>
      <c r="L12616" s="4"/>
      <c r="M12616" s="7" t="s">
        <v>6503</v>
      </c>
    </row>
    <row r="12617" customFormat="false" ht="15.75" hidden="false" customHeight="false" outlineLevel="0" collapsed="false">
      <c r="A12617" s="6" t="n">
        <f aca="false">DATE(2026,8,23)</f>
        <v>46257</v>
      </c>
      <c r="B12617" s="4" t="s">
        <v>13</v>
      </c>
      <c r="C12617" s="4" t="n">
        <v>4</v>
      </c>
      <c r="D12617" s="4" t="n">
        <v>7</v>
      </c>
      <c r="E12617" s="4" t="s">
        <v>4896</v>
      </c>
      <c r="F12617" s="4" t="n">
        <v>56</v>
      </c>
      <c r="G12617" s="4" t="n">
        <v>1</v>
      </c>
      <c r="H12617" s="4" t="n">
        <v>2</v>
      </c>
      <c r="I12617" s="4" t="str">
        <v>○</v>
      </c>
      <c r="J12617" s="4" t="n">
        <v>170</v>
      </c>
      <c r="K12617" s="4"/>
      <c r="L12617" s="4"/>
      <c r="M12617" s="7" t="s">
        <v>6503</v>
      </c>
    </row>
    <row r="12618" customFormat="false" ht="15.75" hidden="false" customHeight="false" outlineLevel="0" collapsed="false">
      <c r="A12618" s="6" t="n">
        <f aca="false">DATE(2026,8,23)</f>
        <v>46257</v>
      </c>
      <c r="B12618" s="4" t="s">
        <v>13</v>
      </c>
      <c r="C12618" s="4" t="n">
        <v>4</v>
      </c>
      <c r="D12618" s="4" t="n">
        <v>8</v>
      </c>
      <c r="E12618" s="4"/>
      <c r="F12618" s="4" t="n">
        <v>31</v>
      </c>
      <c r="G12618" s="4" t="n">
        <v>5</v>
      </c>
      <c r="H12618" s="4" t="n">
        <v>4</v>
      </c>
      <c r="I12618" s="4" t="str">
        <v>×</v>
      </c>
      <c r="J12618" s="4"/>
      <c r="K12618" s="4"/>
      <c r="L12618" s="4"/>
      <c r="M12618" s="7" t="s">
        <v>6503</v>
      </c>
    </row>
    <row r="12619" customFormat="false" ht="15.75" hidden="false" customHeight="false" outlineLevel="0" collapsed="false">
      <c r="A12619" s="6" t="n">
        <f aca="false">DATE(2026,8,23)</f>
        <v>46257</v>
      </c>
      <c r="B12619" s="4" t="s">
        <v>13</v>
      </c>
      <c r="C12619" s="4" t="n">
        <v>4</v>
      </c>
      <c r="D12619" s="4" t="n">
        <v>9</v>
      </c>
      <c r="E12619" s="4"/>
      <c r="F12619" s="4" t="n">
        <v>2</v>
      </c>
      <c r="G12619" s="4" t="n">
        <v>14</v>
      </c>
      <c r="H12619" s="4" t="n">
        <v>4</v>
      </c>
      <c r="I12619" s="4" t="str">
        <v>×</v>
      </c>
      <c r="J12619" s="4"/>
      <c r="K12619" s="4"/>
      <c r="L12619" s="4"/>
      <c r="M12619" s="7" t="s">
        <v>6503</v>
      </c>
    </row>
    <row r="12620" customFormat="false" ht="15.75" hidden="false" customHeight="false" outlineLevel="0" collapsed="false">
      <c r="A12620" s="6" t="n">
        <f aca="false">DATE(2026,8,23)</f>
        <v>46257</v>
      </c>
      <c r="B12620" s="4" t="s">
        <v>13</v>
      </c>
      <c r="C12620" s="4" t="n">
        <v>4</v>
      </c>
      <c r="D12620" s="4" t="n">
        <v>10</v>
      </c>
      <c r="E12620" s="4"/>
      <c r="F12620" s="4" t="n">
        <v>52</v>
      </c>
      <c r="G12620" s="4" t="n">
        <v>3</v>
      </c>
      <c r="H12620" s="4" t="n">
        <v>4</v>
      </c>
      <c r="I12620" s="4" t="str">
        <v>×</v>
      </c>
      <c r="J12620" s="4"/>
      <c r="K12620" s="4"/>
      <c r="L12620" s="4"/>
      <c r="M12620" s="7" t="s">
        <v>6503</v>
      </c>
    </row>
    <row r="12621" customFormat="false" ht="15.75" hidden="false" customHeight="false" outlineLevel="0" collapsed="false">
      <c r="A12621" s="6" t="n">
        <f aca="false">DATE(2026,8,23)</f>
        <v>46257</v>
      </c>
      <c r="B12621" s="4" t="s">
        <v>13</v>
      </c>
      <c r="C12621" s="4" t="n">
        <v>4</v>
      </c>
      <c r="D12621" s="4" t="n">
        <v>11</v>
      </c>
      <c r="E12621" s="4"/>
      <c r="F12621" s="4" t="n">
        <v>6</v>
      </c>
      <c r="G12621" s="4" t="n">
        <v>11</v>
      </c>
      <c r="H12621" s="4" t="n">
        <v>4</v>
      </c>
      <c r="I12621" s="4" t="str">
        <v>×</v>
      </c>
      <c r="J12621" s="4"/>
      <c r="K12621" s="4"/>
      <c r="L12621" s="4"/>
      <c r="M12621" s="7" t="s">
        <v>6503</v>
      </c>
    </row>
    <row r="12622" customFormat="false" ht="15.75" hidden="false" customHeight="false" outlineLevel="0" collapsed="false">
      <c r="A12622" s="6" t="n">
        <f aca="false">DATE(2026,8,23)</f>
        <v>46257</v>
      </c>
      <c r="B12622" s="4" t="s">
        <v>13</v>
      </c>
      <c r="C12622" s="4" t="n">
        <v>4</v>
      </c>
      <c r="D12622" s="4" t="n">
        <v>12</v>
      </c>
      <c r="E12622" s="4" t="s">
        <v>496</v>
      </c>
      <c r="F12622" s="4" t="n">
        <v>39</v>
      </c>
      <c r="G12622" s="4" t="n">
        <v>4</v>
      </c>
      <c r="H12622" s="4" t="n">
        <v>1</v>
      </c>
      <c r="I12622" s="4" t="str">
        <v>○</v>
      </c>
      <c r="J12622" s="4" t="n">
        <v>160</v>
      </c>
      <c r="K12622" s="4"/>
      <c r="L12622" s="4"/>
      <c r="M12622" s="7" t="s">
        <v>6503</v>
      </c>
    </row>
    <row r="12623" customFormat="false" ht="15.75" hidden="false" customHeight="false" outlineLevel="0" collapsed="false">
      <c r="A12623" s="6" t="n">
        <f aca="false">DATE(2026,8,23)</f>
        <v>46257</v>
      </c>
      <c r="B12623" s="4" t="s">
        <v>13</v>
      </c>
      <c r="C12623" s="4" t="n">
        <v>4</v>
      </c>
      <c r="D12623" s="4" t="n">
        <v>13</v>
      </c>
      <c r="E12623" s="4"/>
      <c r="F12623" s="4" t="n">
        <v>10</v>
      </c>
      <c r="G12623" s="4" t="n">
        <v>9</v>
      </c>
      <c r="H12623" s="4" t="n">
        <v>4</v>
      </c>
      <c r="I12623" s="4" t="str">
        <v>×</v>
      </c>
      <c r="J12623" s="4"/>
      <c r="K12623" s="4"/>
      <c r="L12623" s="4"/>
      <c r="M12623" s="7" t="s">
        <v>6503</v>
      </c>
    </row>
    <row r="12624" customFormat="false" ht="15.75" hidden="false" customHeight="false" outlineLevel="0" collapsed="false">
      <c r="A12624" s="6" t="n">
        <f aca="false">DATE(2026,8,23)</f>
        <v>46257</v>
      </c>
      <c r="B12624" s="4" t="s">
        <v>13</v>
      </c>
      <c r="C12624" s="4" t="n">
        <v>4</v>
      </c>
      <c r="D12624" s="4" t="n">
        <v>14</v>
      </c>
      <c r="E12624" s="4"/>
      <c r="F12624" s="4" t="n">
        <v>17</v>
      </c>
      <c r="G12624" s="4" t="n">
        <v>7</v>
      </c>
      <c r="H12624" s="4" t="n">
        <v>4</v>
      </c>
      <c r="I12624" s="4" t="str">
        <v>×</v>
      </c>
      <c r="J12624" s="4"/>
      <c r="K12624" s="4"/>
      <c r="L12624" s="4"/>
      <c r="M12624" s="7" t="s">
        <v>6503</v>
      </c>
    </row>
    <row r="12625" customFormat="false" ht="15.75" hidden="false" customHeight="false" outlineLevel="0" collapsed="false">
      <c r="A12625" s="6" t="n">
        <f aca="false">DATE(2026,8,23)</f>
        <v>46257</v>
      </c>
      <c r="B12625" s="4" t="s">
        <v>13</v>
      </c>
      <c r="C12625" s="4" t="n">
        <v>4</v>
      </c>
      <c r="D12625" s="4" t="n">
        <v>15</v>
      </c>
      <c r="E12625" s="4"/>
      <c r="F12625" s="4" t="n">
        <v>2</v>
      </c>
      <c r="G12625" s="4" t="n">
        <v>14</v>
      </c>
      <c r="H12625" s="4" t="n">
        <v>4</v>
      </c>
      <c r="I12625" s="4" t="str">
        <v>×</v>
      </c>
      <c r="J12625" s="4"/>
      <c r="K12625" s="4"/>
      <c r="L12625" s="4"/>
      <c r="M12625" s="7" t="s">
        <v>6503</v>
      </c>
    </row>
    <row r="12626" customFormat="false" ht="15.75" hidden="false" customHeight="false" outlineLevel="0" collapsed="false">
      <c r="A12626" s="6" t="n">
        <f aca="false">DATE(2026,8,23)</f>
        <v>46257</v>
      </c>
      <c r="B12626" s="4" t="s">
        <v>13</v>
      </c>
      <c r="C12626" s="4" t="n">
        <v>5</v>
      </c>
      <c r="D12626" s="4" t="n">
        <v>1</v>
      </c>
      <c r="E12626" s="4"/>
      <c r="F12626" s="4" t="n">
        <v>3</v>
      </c>
      <c r="G12626" s="4" t="n">
        <v>13</v>
      </c>
      <c r="H12626" s="4" t="n">
        <v>4</v>
      </c>
      <c r="I12626" s="4" t="str">
        <v>×</v>
      </c>
      <c r="J12626" s="4"/>
      <c r="K12626" s="4"/>
      <c r="L12626" s="4"/>
      <c r="M12626" s="7" t="s">
        <v>6503</v>
      </c>
    </row>
    <row r="12627" customFormat="false" ht="15.75" hidden="false" customHeight="false" outlineLevel="0" collapsed="false">
      <c r="A12627" s="6" t="n">
        <f aca="false">DATE(2026,8,23)</f>
        <v>46257</v>
      </c>
      <c r="B12627" s="4" t="s">
        <v>13</v>
      </c>
      <c r="C12627" s="4" t="n">
        <v>5</v>
      </c>
      <c r="D12627" s="4" t="n">
        <v>2</v>
      </c>
      <c r="E12627" s="4"/>
      <c r="F12627" s="4" t="n">
        <v>34</v>
      </c>
      <c r="G12627" s="4" t="n">
        <v>3</v>
      </c>
      <c r="H12627" s="4" t="n">
        <v>4</v>
      </c>
      <c r="I12627" s="4" t="str">
        <v>×</v>
      </c>
      <c r="J12627" s="4"/>
      <c r="K12627" s="4"/>
      <c r="L12627" s="4"/>
      <c r="M12627" s="7" t="s">
        <v>6503</v>
      </c>
    </row>
    <row r="12628" customFormat="false" ht="15.75" hidden="false" customHeight="false" outlineLevel="0" collapsed="false">
      <c r="A12628" s="6" t="n">
        <f aca="false">DATE(2026,8,23)</f>
        <v>46257</v>
      </c>
      <c r="B12628" s="4" t="s">
        <v>13</v>
      </c>
      <c r="C12628" s="4" t="n">
        <v>5</v>
      </c>
      <c r="D12628" s="4" t="n">
        <v>3</v>
      </c>
      <c r="E12628" s="4"/>
      <c r="F12628" s="4" t="n">
        <v>2</v>
      </c>
      <c r="G12628" s="4" t="n">
        <v>16</v>
      </c>
      <c r="H12628" s="4" t="n">
        <v>4</v>
      </c>
      <c r="I12628" s="4" t="str">
        <v>×</v>
      </c>
      <c r="J12628" s="4"/>
      <c r="K12628" s="4"/>
      <c r="L12628" s="4"/>
      <c r="M12628" s="7" t="s">
        <v>6503</v>
      </c>
    </row>
    <row r="12629" customFormat="false" ht="15.75" hidden="false" customHeight="false" outlineLevel="0" collapsed="false">
      <c r="A12629" s="6" t="n">
        <f aca="false">DATE(2026,8,23)</f>
        <v>46257</v>
      </c>
      <c r="B12629" s="4" t="s">
        <v>13</v>
      </c>
      <c r="C12629" s="4" t="n">
        <v>5</v>
      </c>
      <c r="D12629" s="4" t="n">
        <v>4</v>
      </c>
      <c r="E12629" s="4" t="s">
        <v>4702</v>
      </c>
      <c r="F12629" s="4" t="n">
        <v>60</v>
      </c>
      <c r="G12629" s="4" t="n">
        <v>1</v>
      </c>
      <c r="H12629" s="4" t="n">
        <v>2</v>
      </c>
      <c r="I12629" s="4" t="str">
        <v>○</v>
      </c>
      <c r="J12629" s="4" t="n">
        <v>140</v>
      </c>
      <c r="K12629" s="4"/>
      <c r="L12629" s="4"/>
      <c r="M12629" s="7" t="s">
        <v>6503</v>
      </c>
    </row>
    <row r="12630" customFormat="false" ht="15.75" hidden="false" customHeight="false" outlineLevel="0" collapsed="false">
      <c r="A12630" s="6" t="n">
        <f aca="false">DATE(2026,8,23)</f>
        <v>46257</v>
      </c>
      <c r="B12630" s="4" t="s">
        <v>13</v>
      </c>
      <c r="C12630" s="4" t="n">
        <v>5</v>
      </c>
      <c r="D12630" s="4" t="n">
        <v>5</v>
      </c>
      <c r="E12630" s="4"/>
      <c r="F12630" s="4" t="n">
        <v>17</v>
      </c>
      <c r="G12630" s="4" t="n">
        <v>5</v>
      </c>
      <c r="H12630" s="4" t="n">
        <v>4</v>
      </c>
      <c r="I12630" s="4" t="str">
        <v>×</v>
      </c>
      <c r="J12630" s="4"/>
      <c r="K12630" s="4"/>
      <c r="L12630" s="4"/>
      <c r="M12630" s="7" t="s">
        <v>6503</v>
      </c>
    </row>
    <row r="12631" customFormat="false" ht="15.75" hidden="false" customHeight="false" outlineLevel="0" collapsed="false">
      <c r="A12631" s="6" t="n">
        <f aca="false">DATE(2026,8,23)</f>
        <v>46257</v>
      </c>
      <c r="B12631" s="4" t="s">
        <v>13</v>
      </c>
      <c r="C12631" s="4" t="n">
        <v>5</v>
      </c>
      <c r="D12631" s="4" t="n">
        <v>6</v>
      </c>
      <c r="E12631" s="4" t="s">
        <v>1396</v>
      </c>
      <c r="F12631" s="4" t="n">
        <v>29</v>
      </c>
      <c r="G12631" s="4" t="n">
        <v>4</v>
      </c>
      <c r="H12631" s="4" t="n">
        <v>1</v>
      </c>
      <c r="I12631" s="4" t="str">
        <v>○</v>
      </c>
      <c r="J12631" s="4" t="n">
        <v>350</v>
      </c>
      <c r="K12631" s="4"/>
      <c r="L12631" s="4"/>
      <c r="M12631" s="7" t="s">
        <v>6503</v>
      </c>
    </row>
    <row r="12632" customFormat="false" ht="15.75" hidden="false" customHeight="false" outlineLevel="0" collapsed="false">
      <c r="A12632" s="6" t="n">
        <f aca="false">DATE(2026,8,23)</f>
        <v>46257</v>
      </c>
      <c r="B12632" s="4" t="s">
        <v>13</v>
      </c>
      <c r="C12632" s="4" t="n">
        <v>5</v>
      </c>
      <c r="D12632" s="4" t="n">
        <v>7</v>
      </c>
      <c r="E12632" s="4"/>
      <c r="F12632" s="4" t="n">
        <v>3</v>
      </c>
      <c r="G12632" s="4" t="n">
        <v>13</v>
      </c>
      <c r="H12632" s="4" t="n">
        <v>4</v>
      </c>
      <c r="I12632" s="4" t="str">
        <v>×</v>
      </c>
      <c r="J12632" s="4"/>
      <c r="K12632" s="4"/>
      <c r="L12632" s="4"/>
      <c r="M12632" s="7" t="s">
        <v>6503</v>
      </c>
    </row>
    <row r="12633" customFormat="false" ht="15.75" hidden="false" customHeight="false" outlineLevel="0" collapsed="false">
      <c r="A12633" s="6" t="n">
        <f aca="false">DATE(2026,8,23)</f>
        <v>46257</v>
      </c>
      <c r="B12633" s="4" t="s">
        <v>13</v>
      </c>
      <c r="C12633" s="4" t="n">
        <v>5</v>
      </c>
      <c r="D12633" s="4" t="n">
        <v>8</v>
      </c>
      <c r="E12633" s="4"/>
      <c r="F12633" s="4" t="n">
        <v>13</v>
      </c>
      <c r="G12633" s="4" t="n">
        <v>7</v>
      </c>
      <c r="H12633" s="4" t="n">
        <v>4</v>
      </c>
      <c r="I12633" s="4" t="str">
        <v>×</v>
      </c>
      <c r="J12633" s="4"/>
      <c r="K12633" s="4"/>
      <c r="L12633" s="4"/>
      <c r="M12633" s="7" t="s">
        <v>6503</v>
      </c>
    </row>
    <row r="12634" customFormat="false" ht="15.75" hidden="false" customHeight="false" outlineLevel="0" collapsed="false">
      <c r="A12634" s="6" t="n">
        <f aca="false">DATE(2026,8,23)</f>
        <v>46257</v>
      </c>
      <c r="B12634" s="4" t="s">
        <v>13</v>
      </c>
      <c r="C12634" s="4" t="n">
        <v>5</v>
      </c>
      <c r="D12634" s="4" t="n">
        <v>9</v>
      </c>
      <c r="E12634" s="4"/>
      <c r="F12634" s="4" t="n">
        <v>13</v>
      </c>
      <c r="G12634" s="4" t="n">
        <v>7</v>
      </c>
      <c r="H12634" s="4" t="n">
        <v>4</v>
      </c>
      <c r="I12634" s="4" t="str">
        <v>×</v>
      </c>
      <c r="J12634" s="4"/>
      <c r="K12634" s="4"/>
      <c r="L12634" s="4"/>
      <c r="M12634" s="7" t="s">
        <v>6503</v>
      </c>
    </row>
    <row r="12635" customFormat="false" ht="15.75" hidden="false" customHeight="false" outlineLevel="0" collapsed="false">
      <c r="A12635" s="6" t="n">
        <f aca="false">DATE(2026,8,23)</f>
        <v>46257</v>
      </c>
      <c r="B12635" s="4" t="s">
        <v>13</v>
      </c>
      <c r="C12635" s="4" t="n">
        <v>5</v>
      </c>
      <c r="D12635" s="4" t="n">
        <v>10</v>
      </c>
      <c r="E12635" s="4"/>
      <c r="F12635" s="4" t="n">
        <v>17</v>
      </c>
      <c r="G12635" s="4" t="n">
        <v>5</v>
      </c>
      <c r="H12635" s="4" t="n">
        <v>4</v>
      </c>
      <c r="I12635" s="4" t="str">
        <v>×</v>
      </c>
      <c r="J12635" s="4"/>
      <c r="K12635" s="4"/>
      <c r="L12635" s="4"/>
      <c r="M12635" s="7" t="s">
        <v>6503</v>
      </c>
    </row>
    <row r="12636" customFormat="false" ht="15.75" hidden="false" customHeight="false" outlineLevel="0" collapsed="false">
      <c r="A12636" s="6" t="n">
        <f aca="false">DATE(2026,8,23)</f>
        <v>46257</v>
      </c>
      <c r="B12636" s="4" t="s">
        <v>13</v>
      </c>
      <c r="C12636" s="4" t="n">
        <v>5</v>
      </c>
      <c r="D12636" s="4" t="n">
        <v>11</v>
      </c>
      <c r="E12636" s="4"/>
      <c r="F12636" s="4" t="n">
        <v>6</v>
      </c>
      <c r="G12636" s="4" t="n">
        <v>10</v>
      </c>
      <c r="H12636" s="4" t="n">
        <v>4</v>
      </c>
      <c r="I12636" s="4" t="str">
        <v>×</v>
      </c>
      <c r="J12636" s="4"/>
      <c r="K12636" s="4"/>
      <c r="L12636" s="4"/>
      <c r="M12636" s="7" t="s">
        <v>6503</v>
      </c>
    </row>
    <row r="12637" customFormat="false" ht="15.75" hidden="false" customHeight="false" outlineLevel="0" collapsed="false">
      <c r="A12637" s="6" t="n">
        <f aca="false">DATE(2026,8,23)</f>
        <v>46257</v>
      </c>
      <c r="B12637" s="4" t="s">
        <v>13</v>
      </c>
      <c r="C12637" s="4" t="n">
        <v>5</v>
      </c>
      <c r="D12637" s="4" t="n">
        <v>12</v>
      </c>
      <c r="E12637" s="4"/>
      <c r="F12637" s="4" t="n">
        <v>4</v>
      </c>
      <c r="G12637" s="4" t="n">
        <v>12</v>
      </c>
      <c r="H12637" s="4" t="n">
        <v>4</v>
      </c>
      <c r="I12637" s="4" t="str">
        <v>×</v>
      </c>
      <c r="J12637" s="4"/>
      <c r="K12637" s="4"/>
      <c r="L12637" s="4"/>
      <c r="M12637" s="7" t="s">
        <v>6503</v>
      </c>
    </row>
    <row r="12638" customFormat="false" ht="15.75" hidden="false" customHeight="false" outlineLevel="0" collapsed="false">
      <c r="A12638" s="6" t="n">
        <f aca="false">DATE(2026,8,23)</f>
        <v>46257</v>
      </c>
      <c r="B12638" s="4" t="s">
        <v>13</v>
      </c>
      <c r="C12638" s="4" t="n">
        <v>5</v>
      </c>
      <c r="D12638" s="4" t="n">
        <v>13</v>
      </c>
      <c r="E12638" s="4"/>
      <c r="F12638" s="4" t="n">
        <v>2</v>
      </c>
      <c r="G12638" s="4" t="n">
        <v>16</v>
      </c>
      <c r="H12638" s="4" t="n">
        <v>4</v>
      </c>
      <c r="I12638" s="4" t="str">
        <v>×</v>
      </c>
      <c r="J12638" s="4"/>
      <c r="K12638" s="4"/>
      <c r="L12638" s="4"/>
      <c r="M12638" s="7" t="s">
        <v>6503</v>
      </c>
    </row>
    <row r="12639" customFormat="false" ht="15.75" hidden="false" customHeight="false" outlineLevel="0" collapsed="false">
      <c r="A12639" s="6" t="n">
        <f aca="false">DATE(2026,8,23)</f>
        <v>46257</v>
      </c>
      <c r="B12639" s="4" t="s">
        <v>13</v>
      </c>
      <c r="C12639" s="4" t="n">
        <v>5</v>
      </c>
      <c r="D12639" s="4" t="n">
        <v>14</v>
      </c>
      <c r="E12639" s="4"/>
      <c r="F12639" s="4" t="n">
        <v>44</v>
      </c>
      <c r="G12639" s="4" t="n">
        <v>2</v>
      </c>
      <c r="H12639" s="4" t="n">
        <v>4</v>
      </c>
      <c r="I12639" s="4" t="str">
        <v>×</v>
      </c>
      <c r="J12639" s="4"/>
      <c r="K12639" s="4"/>
      <c r="L12639" s="4"/>
      <c r="M12639" s="7" t="s">
        <v>6503</v>
      </c>
    </row>
    <row r="12640" customFormat="false" ht="15.75" hidden="false" customHeight="false" outlineLevel="0" collapsed="false">
      <c r="A12640" s="6" t="n">
        <f aca="false">DATE(2026,8,23)</f>
        <v>46257</v>
      </c>
      <c r="B12640" s="4" t="s">
        <v>13</v>
      </c>
      <c r="C12640" s="4" t="n">
        <v>5</v>
      </c>
      <c r="D12640" s="4" t="n">
        <v>15</v>
      </c>
      <c r="E12640" s="4"/>
      <c r="F12640" s="4" t="n">
        <v>10</v>
      </c>
      <c r="G12640" s="4" t="n">
        <v>9</v>
      </c>
      <c r="H12640" s="4" t="n">
        <v>4</v>
      </c>
      <c r="I12640" s="4" t="str">
        <v>×</v>
      </c>
      <c r="J12640" s="4"/>
      <c r="K12640" s="4"/>
      <c r="L12640" s="4"/>
      <c r="M12640" s="7" t="s">
        <v>6503</v>
      </c>
    </row>
    <row r="12641" customFormat="false" ht="15.75" hidden="false" customHeight="false" outlineLevel="0" collapsed="false">
      <c r="A12641" s="6" t="n">
        <f aca="false">DATE(2026,8,23)</f>
        <v>46257</v>
      </c>
      <c r="B12641" s="4" t="s">
        <v>13</v>
      </c>
      <c r="C12641" s="4" t="n">
        <v>5</v>
      </c>
      <c r="D12641" s="4" t="n">
        <v>16</v>
      </c>
      <c r="E12641" s="4"/>
      <c r="F12641" s="4" t="n">
        <v>2</v>
      </c>
      <c r="G12641" s="4" t="n">
        <v>16</v>
      </c>
      <c r="H12641" s="4" t="n">
        <v>4</v>
      </c>
      <c r="I12641" s="4" t="str">
        <v>×</v>
      </c>
      <c r="J12641" s="4"/>
      <c r="K12641" s="4"/>
      <c r="L12641" s="4"/>
      <c r="M12641" s="7" t="s">
        <v>6503</v>
      </c>
    </row>
    <row r="12642" customFormat="false" ht="15.75" hidden="false" customHeight="false" outlineLevel="0" collapsed="false">
      <c r="A12642" s="6" t="n">
        <f aca="false">DATE(2026,8,23)</f>
        <v>46257</v>
      </c>
      <c r="B12642" s="4" t="s">
        <v>13</v>
      </c>
      <c r="C12642" s="4" t="n">
        <v>5</v>
      </c>
      <c r="D12642" s="4" t="n">
        <v>17</v>
      </c>
      <c r="E12642" s="4"/>
      <c r="F12642" s="4" t="n">
        <v>3</v>
      </c>
      <c r="G12642" s="4" t="n">
        <v>13</v>
      </c>
      <c r="H12642" s="4" t="n">
        <v>4</v>
      </c>
      <c r="I12642" s="4" t="str">
        <v>×</v>
      </c>
      <c r="J12642" s="4"/>
      <c r="K12642" s="4"/>
      <c r="L12642" s="4"/>
      <c r="M12642" s="7" t="s">
        <v>6503</v>
      </c>
    </row>
    <row r="12643" customFormat="false" ht="15.75" hidden="false" customHeight="false" outlineLevel="0" collapsed="false">
      <c r="A12643" s="6" t="n">
        <f aca="false">DATE(2026,8,23)</f>
        <v>46257</v>
      </c>
      <c r="B12643" s="4" t="s">
        <v>13</v>
      </c>
      <c r="C12643" s="4" t="n">
        <v>5</v>
      </c>
      <c r="D12643" s="4" t="n">
        <v>18</v>
      </c>
      <c r="E12643" s="4" t="s">
        <v>6534</v>
      </c>
      <c r="F12643" s="4" t="n">
        <v>6</v>
      </c>
      <c r="G12643" s="4" t="n">
        <v>10</v>
      </c>
      <c r="H12643" s="4" t="n">
        <v>3</v>
      </c>
      <c r="I12643" s="4" t="str">
        <v>○</v>
      </c>
      <c r="J12643" s="4" t="n">
        <v>1620</v>
      </c>
      <c r="K12643" s="4"/>
      <c r="L12643" s="4"/>
      <c r="M12643" s="7" t="s">
        <v>6503</v>
      </c>
    </row>
    <row r="12644" customFormat="false" ht="15.75" hidden="false" customHeight="false" outlineLevel="0" collapsed="false">
      <c r="A12644" s="6" t="n">
        <f aca="false">DATE(2026,8,23)</f>
        <v>46257</v>
      </c>
      <c r="B12644" s="4" t="s">
        <v>13</v>
      </c>
      <c r="C12644" s="4" t="n">
        <v>6</v>
      </c>
      <c r="D12644" s="4" t="n">
        <v>1</v>
      </c>
      <c r="E12644" s="4"/>
      <c r="F12644" s="4" t="n">
        <v>31</v>
      </c>
      <c r="G12644" s="4" t="n">
        <v>4</v>
      </c>
      <c r="H12644" s="4" t="n">
        <v>4</v>
      </c>
      <c r="I12644" s="4" t="str">
        <v>×</v>
      </c>
      <c r="J12644" s="4"/>
      <c r="K12644" s="4"/>
      <c r="L12644" s="4"/>
      <c r="M12644" s="7" t="s">
        <v>6503</v>
      </c>
    </row>
    <row r="12645" customFormat="false" ht="15.75" hidden="false" customHeight="false" outlineLevel="0" collapsed="false">
      <c r="A12645" s="6" t="n">
        <f aca="false">DATE(2026,8,23)</f>
        <v>46257</v>
      </c>
      <c r="B12645" s="4" t="s">
        <v>13</v>
      </c>
      <c r="C12645" s="4" t="n">
        <v>6</v>
      </c>
      <c r="D12645" s="4" t="n">
        <v>2</v>
      </c>
      <c r="E12645" s="4"/>
      <c r="F12645" s="4" t="n">
        <v>8</v>
      </c>
      <c r="G12645" s="4" t="n">
        <v>11</v>
      </c>
      <c r="H12645" s="4" t="n">
        <v>4</v>
      </c>
      <c r="I12645" s="4" t="str">
        <v>×</v>
      </c>
      <c r="J12645" s="4"/>
      <c r="K12645" s="4"/>
      <c r="L12645" s="4"/>
      <c r="M12645" s="7" t="s">
        <v>6503</v>
      </c>
    </row>
    <row r="12646" customFormat="false" ht="15.75" hidden="false" customHeight="false" outlineLevel="0" collapsed="false">
      <c r="A12646" s="6" t="n">
        <f aca="false">DATE(2026,8,23)</f>
        <v>46257</v>
      </c>
      <c r="B12646" s="4" t="s">
        <v>13</v>
      </c>
      <c r="C12646" s="4" t="n">
        <v>6</v>
      </c>
      <c r="D12646" s="4" t="n">
        <v>3</v>
      </c>
      <c r="E12646" s="4"/>
      <c r="F12646" s="4" t="n">
        <v>4</v>
      </c>
      <c r="G12646" s="4" t="n">
        <v>13</v>
      </c>
      <c r="H12646" s="4" t="n">
        <v>4</v>
      </c>
      <c r="I12646" s="4" t="str">
        <v>×</v>
      </c>
      <c r="J12646" s="4"/>
      <c r="K12646" s="4"/>
      <c r="L12646" s="4"/>
      <c r="M12646" s="7" t="s">
        <v>6503</v>
      </c>
    </row>
    <row r="12647" customFormat="false" ht="15.75" hidden="false" customHeight="false" outlineLevel="0" collapsed="false">
      <c r="A12647" s="6" t="n">
        <f aca="false">DATE(2026,8,23)</f>
        <v>46257</v>
      </c>
      <c r="B12647" s="4" t="s">
        <v>13</v>
      </c>
      <c r="C12647" s="4" t="n">
        <v>6</v>
      </c>
      <c r="D12647" s="4" t="n">
        <v>4</v>
      </c>
      <c r="E12647" s="4" t="s">
        <v>2396</v>
      </c>
      <c r="F12647" s="4" t="n">
        <v>25</v>
      </c>
      <c r="G12647" s="4" t="n">
        <v>6</v>
      </c>
      <c r="H12647" s="4" t="n">
        <v>1</v>
      </c>
      <c r="I12647" s="4" t="str">
        <v>○</v>
      </c>
      <c r="J12647" s="4" t="n">
        <v>410</v>
      </c>
      <c r="K12647" s="4"/>
      <c r="L12647" s="4"/>
      <c r="M12647" s="7" t="s">
        <v>6503</v>
      </c>
    </row>
    <row r="12648" customFormat="false" ht="15.75" hidden="false" customHeight="false" outlineLevel="0" collapsed="false">
      <c r="A12648" s="6" t="n">
        <f aca="false">DATE(2026,8,23)</f>
        <v>46257</v>
      </c>
      <c r="B12648" s="4" t="s">
        <v>13</v>
      </c>
      <c r="C12648" s="4" t="n">
        <v>6</v>
      </c>
      <c r="D12648" s="4" t="n">
        <v>5</v>
      </c>
      <c r="E12648" s="4"/>
      <c r="F12648" s="4" t="n">
        <v>15</v>
      </c>
      <c r="G12648" s="4" t="n">
        <v>7</v>
      </c>
      <c r="H12648" s="4" t="n">
        <v>4</v>
      </c>
      <c r="I12648" s="4" t="str">
        <v>×</v>
      </c>
      <c r="J12648" s="4"/>
      <c r="K12648" s="4"/>
      <c r="L12648" s="4"/>
      <c r="M12648" s="7" t="s">
        <v>6503</v>
      </c>
    </row>
    <row r="12649" customFormat="false" ht="15.75" hidden="false" customHeight="false" outlineLevel="0" collapsed="false">
      <c r="A12649" s="6" t="n">
        <f aca="false">DATE(2026,8,23)</f>
        <v>46257</v>
      </c>
      <c r="B12649" s="4" t="s">
        <v>13</v>
      </c>
      <c r="C12649" s="4" t="n">
        <v>6</v>
      </c>
      <c r="D12649" s="4" t="n">
        <v>6</v>
      </c>
      <c r="E12649" s="4"/>
      <c r="F12649" s="4" t="n">
        <v>1</v>
      </c>
      <c r="G12649" s="4" t="n">
        <v>15</v>
      </c>
      <c r="H12649" s="4" t="n">
        <v>4</v>
      </c>
      <c r="I12649" s="4" t="str">
        <v>×</v>
      </c>
      <c r="J12649" s="4"/>
      <c r="K12649" s="4"/>
      <c r="L12649" s="4"/>
      <c r="M12649" s="7" t="s">
        <v>6503</v>
      </c>
    </row>
    <row r="12650" customFormat="false" ht="15.75" hidden="false" customHeight="false" outlineLevel="0" collapsed="false">
      <c r="A12650" s="6" t="n">
        <f aca="false">DATE(2026,8,23)</f>
        <v>46257</v>
      </c>
      <c r="B12650" s="4" t="s">
        <v>13</v>
      </c>
      <c r="C12650" s="4" t="n">
        <v>6</v>
      </c>
      <c r="D12650" s="4" t="n">
        <v>7</v>
      </c>
      <c r="E12650" s="4" t="s">
        <v>4031</v>
      </c>
      <c r="F12650" s="4" t="n">
        <v>41</v>
      </c>
      <c r="G12650" s="4" t="n">
        <v>1</v>
      </c>
      <c r="H12650" s="4" t="n">
        <v>3</v>
      </c>
      <c r="I12650" s="4" t="str">
        <v>○</v>
      </c>
      <c r="J12650" s="4" t="n">
        <v>140</v>
      </c>
      <c r="K12650" s="4"/>
      <c r="L12650" s="4"/>
      <c r="M12650" s="7" t="s">
        <v>6503</v>
      </c>
    </row>
    <row r="12651" customFormat="false" ht="15.75" hidden="false" customHeight="false" outlineLevel="0" collapsed="false">
      <c r="A12651" s="6" t="n">
        <f aca="false">DATE(2026,8,23)</f>
        <v>46257</v>
      </c>
      <c r="B12651" s="4" t="s">
        <v>13</v>
      </c>
      <c r="C12651" s="4" t="n">
        <v>6</v>
      </c>
      <c r="D12651" s="4" t="n">
        <v>8</v>
      </c>
      <c r="E12651" s="4"/>
      <c r="F12651" s="4" t="n">
        <v>39</v>
      </c>
      <c r="G12651" s="4" t="n">
        <v>3</v>
      </c>
      <c r="H12651" s="4" t="n">
        <v>4</v>
      </c>
      <c r="I12651" s="4" t="str">
        <v>×</v>
      </c>
      <c r="J12651" s="4"/>
      <c r="K12651" s="4"/>
      <c r="L12651" s="4"/>
      <c r="M12651" s="7" t="s">
        <v>6503</v>
      </c>
    </row>
    <row r="12652" customFormat="false" ht="15.75" hidden="false" customHeight="false" outlineLevel="0" collapsed="false">
      <c r="A12652" s="6" t="n">
        <f aca="false">DATE(2026,8,23)</f>
        <v>46257</v>
      </c>
      <c r="B12652" s="4" t="s">
        <v>13</v>
      </c>
      <c r="C12652" s="4" t="n">
        <v>6</v>
      </c>
      <c r="D12652" s="4" t="n">
        <v>9</v>
      </c>
      <c r="E12652" s="4"/>
      <c r="F12652" s="4" t="n">
        <v>4</v>
      </c>
      <c r="G12652" s="4" t="n">
        <v>13</v>
      </c>
      <c r="H12652" s="4" t="n">
        <v>4</v>
      </c>
      <c r="I12652" s="4" t="str">
        <v>×</v>
      </c>
      <c r="J12652" s="4"/>
      <c r="K12652" s="4"/>
      <c r="L12652" s="4"/>
      <c r="M12652" s="7" t="s">
        <v>6503</v>
      </c>
    </row>
    <row r="12653" customFormat="false" ht="15.75" hidden="false" customHeight="false" outlineLevel="0" collapsed="false">
      <c r="A12653" s="6" t="n">
        <f aca="false">DATE(2026,8,23)</f>
        <v>46257</v>
      </c>
      <c r="B12653" s="4" t="s">
        <v>13</v>
      </c>
      <c r="C12653" s="4" t="n">
        <v>6</v>
      </c>
      <c r="D12653" s="4" t="n">
        <v>10</v>
      </c>
      <c r="E12653" s="4"/>
      <c r="F12653" s="4" t="n">
        <v>13</v>
      </c>
      <c r="G12653" s="4" t="n">
        <v>8</v>
      </c>
      <c r="H12653" s="4" t="n">
        <v>4</v>
      </c>
      <c r="I12653" s="4" t="str">
        <v>×</v>
      </c>
      <c r="J12653" s="4"/>
      <c r="K12653" s="4"/>
      <c r="L12653" s="4"/>
      <c r="M12653" s="7" t="s">
        <v>6503</v>
      </c>
    </row>
    <row r="12654" customFormat="false" ht="15.75" hidden="false" customHeight="false" outlineLevel="0" collapsed="false">
      <c r="A12654" s="6" t="n">
        <f aca="false">DATE(2026,8,23)</f>
        <v>46257</v>
      </c>
      <c r="B12654" s="4" t="s">
        <v>13</v>
      </c>
      <c r="C12654" s="4" t="n">
        <v>6</v>
      </c>
      <c r="D12654" s="4" t="n">
        <v>11</v>
      </c>
      <c r="E12654" s="4"/>
      <c r="F12654" s="4" t="n">
        <v>13</v>
      </c>
      <c r="G12654" s="4" t="n">
        <v>8</v>
      </c>
      <c r="H12654" s="4" t="n">
        <v>4</v>
      </c>
      <c r="I12654" s="4" t="str">
        <v>×</v>
      </c>
      <c r="J12654" s="4"/>
      <c r="K12654" s="4"/>
      <c r="L12654" s="4"/>
      <c r="M12654" s="7" t="s">
        <v>6503</v>
      </c>
    </row>
    <row r="12655" customFormat="false" ht="15.75" hidden="false" customHeight="false" outlineLevel="0" collapsed="false">
      <c r="A12655" s="6" t="n">
        <f aca="false">DATE(2026,8,23)</f>
        <v>46257</v>
      </c>
      <c r="B12655" s="4" t="s">
        <v>13</v>
      </c>
      <c r="C12655" s="4" t="n">
        <v>6</v>
      </c>
      <c r="D12655" s="4" t="n">
        <v>12</v>
      </c>
      <c r="E12655" s="4"/>
      <c r="F12655" s="4" t="n">
        <v>6</v>
      </c>
      <c r="G12655" s="4" t="n">
        <v>12</v>
      </c>
      <c r="H12655" s="4" t="n">
        <v>4</v>
      </c>
      <c r="I12655" s="4" t="str">
        <v>×</v>
      </c>
      <c r="J12655" s="4"/>
      <c r="K12655" s="4"/>
      <c r="L12655" s="4"/>
      <c r="M12655" s="7" t="s">
        <v>6503</v>
      </c>
    </row>
    <row r="12656" customFormat="false" ht="15.75" hidden="false" customHeight="false" outlineLevel="0" collapsed="false">
      <c r="A12656" s="6" t="n">
        <f aca="false">DATE(2026,8,23)</f>
        <v>46257</v>
      </c>
      <c r="B12656" s="4" t="s">
        <v>13</v>
      </c>
      <c r="C12656" s="4" t="n">
        <v>6</v>
      </c>
      <c r="D12656" s="4" t="n">
        <v>13</v>
      </c>
      <c r="E12656" s="4"/>
      <c r="F12656" s="4" t="n">
        <v>31</v>
      </c>
      <c r="G12656" s="4" t="n">
        <v>4</v>
      </c>
      <c r="H12656" s="4" t="n">
        <v>4</v>
      </c>
      <c r="I12656" s="4" t="str">
        <v>×</v>
      </c>
      <c r="J12656" s="4"/>
      <c r="K12656" s="4"/>
      <c r="L12656" s="4"/>
      <c r="M12656" s="7" t="s">
        <v>6503</v>
      </c>
    </row>
    <row r="12657" customFormat="false" ht="15.75" hidden="false" customHeight="false" outlineLevel="0" collapsed="false">
      <c r="A12657" s="6" t="n">
        <f aca="false">DATE(2026,8,23)</f>
        <v>46257</v>
      </c>
      <c r="B12657" s="4" t="s">
        <v>13</v>
      </c>
      <c r="C12657" s="4" t="n">
        <v>6</v>
      </c>
      <c r="D12657" s="4" t="n">
        <v>14</v>
      </c>
      <c r="E12657" s="4" t="s">
        <v>3757</v>
      </c>
      <c r="F12657" s="4" t="n">
        <v>41</v>
      </c>
      <c r="G12657" s="4" t="n">
        <v>1</v>
      </c>
      <c r="H12657" s="4" t="n">
        <v>2</v>
      </c>
      <c r="I12657" s="4" t="str">
        <v>○</v>
      </c>
      <c r="J12657" s="4" t="n">
        <v>160</v>
      </c>
      <c r="K12657" s="4"/>
      <c r="L12657" s="4"/>
      <c r="M12657" s="7" t="s">
        <v>6503</v>
      </c>
    </row>
    <row r="12658" customFormat="false" ht="15.75" hidden="false" customHeight="false" outlineLevel="0" collapsed="false">
      <c r="A12658" s="6" t="n">
        <f aca="false">DATE(2026,8,23)</f>
        <v>46257</v>
      </c>
      <c r="B12658" s="4" t="s">
        <v>13</v>
      </c>
      <c r="C12658" s="4" t="n">
        <v>6</v>
      </c>
      <c r="D12658" s="4" t="n">
        <v>15</v>
      </c>
      <c r="E12658" s="4"/>
      <c r="F12658" s="4" t="n">
        <v>13</v>
      </c>
      <c r="G12658" s="4" t="n">
        <v>8</v>
      </c>
      <c r="H12658" s="4" t="n">
        <v>4</v>
      </c>
      <c r="I12658" s="4" t="str">
        <v>×</v>
      </c>
      <c r="J12658" s="4"/>
      <c r="K12658" s="4"/>
      <c r="L12658" s="4"/>
      <c r="M12658" s="7" t="s">
        <v>6503</v>
      </c>
    </row>
    <row r="12659" customFormat="false" ht="15.75" hidden="false" customHeight="false" outlineLevel="0" collapsed="false">
      <c r="A12659" s="6" t="n">
        <f aca="false">DATE(2026,8,23)</f>
        <v>46257</v>
      </c>
      <c r="B12659" s="4" t="s">
        <v>13</v>
      </c>
      <c r="C12659" s="4" t="n">
        <v>7</v>
      </c>
      <c r="D12659" s="4" t="n">
        <v>1</v>
      </c>
      <c r="E12659" s="4"/>
      <c r="F12659" s="4" t="n">
        <v>41</v>
      </c>
      <c r="G12659" s="4" t="n">
        <v>4</v>
      </c>
      <c r="H12659" s="4" t="n">
        <v>4</v>
      </c>
      <c r="I12659" s="4" t="str">
        <v>×</v>
      </c>
      <c r="J12659" s="4"/>
      <c r="K12659" s="4"/>
      <c r="L12659" s="4"/>
      <c r="M12659" s="7" t="s">
        <v>6503</v>
      </c>
    </row>
    <row r="12660" customFormat="false" ht="15.75" hidden="false" customHeight="false" outlineLevel="0" collapsed="false">
      <c r="A12660" s="6" t="n">
        <f aca="false">DATE(2026,8,23)</f>
        <v>46257</v>
      </c>
      <c r="B12660" s="4" t="s">
        <v>13</v>
      </c>
      <c r="C12660" s="4" t="n">
        <v>7</v>
      </c>
      <c r="D12660" s="4" t="n">
        <v>2</v>
      </c>
      <c r="E12660" s="4" t="s">
        <v>6535</v>
      </c>
      <c r="F12660" s="4" t="n">
        <v>56</v>
      </c>
      <c r="G12660" s="4" t="n">
        <v>2</v>
      </c>
      <c r="H12660" s="4" t="n">
        <v>1</v>
      </c>
      <c r="I12660" s="4" t="str">
        <v>○</v>
      </c>
      <c r="J12660" s="4" t="n">
        <v>120</v>
      </c>
      <c r="K12660" s="4"/>
      <c r="L12660" s="4"/>
      <c r="M12660" s="7" t="s">
        <v>6503</v>
      </c>
    </row>
    <row r="12661" customFormat="false" ht="15.75" hidden="false" customHeight="false" outlineLevel="0" collapsed="false">
      <c r="A12661" s="6" t="n">
        <f aca="false">DATE(2026,8,23)</f>
        <v>46257</v>
      </c>
      <c r="B12661" s="4" t="s">
        <v>13</v>
      </c>
      <c r="C12661" s="4" t="n">
        <v>7</v>
      </c>
      <c r="D12661" s="4" t="n">
        <v>3</v>
      </c>
      <c r="E12661" s="4" t="s">
        <v>6536</v>
      </c>
      <c r="F12661" s="4" t="n">
        <v>44</v>
      </c>
      <c r="G12661" s="4" t="n">
        <v>3</v>
      </c>
      <c r="H12661" s="4" t="n">
        <v>3</v>
      </c>
      <c r="I12661" s="4" t="str">
        <v>○</v>
      </c>
      <c r="J12661" s="4" t="n">
        <v>180</v>
      </c>
      <c r="K12661" s="4"/>
      <c r="L12661" s="4"/>
      <c r="M12661" s="7" t="s">
        <v>6503</v>
      </c>
    </row>
    <row r="12662" customFormat="false" ht="15.75" hidden="false" customHeight="false" outlineLevel="0" collapsed="false">
      <c r="A12662" s="6" t="n">
        <f aca="false">DATE(2026,8,23)</f>
        <v>46257</v>
      </c>
      <c r="B12662" s="4" t="s">
        <v>13</v>
      </c>
      <c r="C12662" s="4" t="n">
        <v>7</v>
      </c>
      <c r="D12662" s="4" t="n">
        <v>4</v>
      </c>
      <c r="E12662" s="4"/>
      <c r="F12662" s="4" t="n">
        <v>6</v>
      </c>
      <c r="G12662" s="4" t="n">
        <v>7</v>
      </c>
      <c r="H12662" s="4" t="n">
        <v>4</v>
      </c>
      <c r="I12662" s="4" t="str">
        <v>×</v>
      </c>
      <c r="J12662" s="4"/>
      <c r="K12662" s="4"/>
      <c r="L12662" s="4"/>
      <c r="M12662" s="7" t="s">
        <v>6503</v>
      </c>
    </row>
    <row r="12663" customFormat="false" ht="15.75" hidden="false" customHeight="false" outlineLevel="0" collapsed="false">
      <c r="A12663" s="6" t="n">
        <f aca="false">DATE(2026,8,23)</f>
        <v>46257</v>
      </c>
      <c r="B12663" s="4" t="s">
        <v>13</v>
      </c>
      <c r="C12663" s="4" t="n">
        <v>7</v>
      </c>
      <c r="D12663" s="4" t="n">
        <v>5</v>
      </c>
      <c r="E12663" s="4"/>
      <c r="F12663" s="4" t="n">
        <v>3</v>
      </c>
      <c r="G12663" s="4" t="n">
        <v>10</v>
      </c>
      <c r="H12663" s="4" t="n">
        <v>4</v>
      </c>
      <c r="I12663" s="4" t="str">
        <v>×</v>
      </c>
      <c r="J12663" s="4"/>
      <c r="K12663" s="4"/>
      <c r="L12663" s="4"/>
      <c r="M12663" s="7" t="s">
        <v>6503</v>
      </c>
    </row>
    <row r="12664" customFormat="false" ht="15.75" hidden="false" customHeight="false" outlineLevel="0" collapsed="false">
      <c r="A12664" s="6" t="n">
        <f aca="false">DATE(2026,8,23)</f>
        <v>46257</v>
      </c>
      <c r="B12664" s="4" t="s">
        <v>13</v>
      </c>
      <c r="C12664" s="4" t="n">
        <v>7</v>
      </c>
      <c r="D12664" s="4" t="n">
        <v>6</v>
      </c>
      <c r="E12664" s="4"/>
      <c r="F12664" s="4" t="n">
        <v>17</v>
      </c>
      <c r="G12664" s="4" t="n">
        <v>5</v>
      </c>
      <c r="H12664" s="4" t="n">
        <v>4</v>
      </c>
      <c r="I12664" s="4" t="str">
        <v>×</v>
      </c>
      <c r="J12664" s="4"/>
      <c r="K12664" s="4"/>
      <c r="L12664" s="4"/>
      <c r="M12664" s="7" t="s">
        <v>6503</v>
      </c>
    </row>
    <row r="12665" customFormat="false" ht="15.75" hidden="false" customHeight="false" outlineLevel="0" collapsed="false">
      <c r="A12665" s="6" t="n">
        <f aca="false">DATE(2026,8,23)</f>
        <v>46257</v>
      </c>
      <c r="B12665" s="4" t="s">
        <v>13</v>
      </c>
      <c r="C12665" s="4" t="n">
        <v>7</v>
      </c>
      <c r="D12665" s="4" t="n">
        <v>7</v>
      </c>
      <c r="E12665" s="4" t="s">
        <v>482</v>
      </c>
      <c r="F12665" s="4" t="n">
        <v>17</v>
      </c>
      <c r="G12665" s="4" t="n">
        <v>5</v>
      </c>
      <c r="H12665" s="4" t="n">
        <v>2</v>
      </c>
      <c r="I12665" s="4" t="str">
        <v>○</v>
      </c>
      <c r="J12665" s="4" t="n">
        <v>140</v>
      </c>
      <c r="K12665" s="4"/>
      <c r="L12665" s="4"/>
      <c r="M12665" s="7" t="s">
        <v>6503</v>
      </c>
    </row>
    <row r="12666" customFormat="false" ht="15.75" hidden="false" customHeight="false" outlineLevel="0" collapsed="false">
      <c r="A12666" s="6" t="n">
        <f aca="false">DATE(2026,8,23)</f>
        <v>46257</v>
      </c>
      <c r="B12666" s="4" t="s">
        <v>13</v>
      </c>
      <c r="C12666" s="4" t="n">
        <v>7</v>
      </c>
      <c r="D12666" s="4" t="n">
        <v>8</v>
      </c>
      <c r="E12666" s="4"/>
      <c r="F12666" s="4" t="n">
        <v>4</v>
      </c>
      <c r="G12666" s="4" t="n">
        <v>8</v>
      </c>
      <c r="H12666" s="4" t="n">
        <v>4</v>
      </c>
      <c r="I12666" s="4" t="str">
        <v>×</v>
      </c>
      <c r="J12666" s="4"/>
      <c r="K12666" s="4"/>
      <c r="L12666" s="4"/>
      <c r="M12666" s="7" t="s">
        <v>6503</v>
      </c>
    </row>
    <row r="12667" customFormat="false" ht="15.75" hidden="false" customHeight="false" outlineLevel="0" collapsed="false">
      <c r="A12667" s="6" t="n">
        <f aca="false">DATE(2026,8,23)</f>
        <v>46257</v>
      </c>
      <c r="B12667" s="4" t="s">
        <v>13</v>
      </c>
      <c r="C12667" s="4" t="n">
        <v>7</v>
      </c>
      <c r="D12667" s="4" t="n">
        <v>9</v>
      </c>
      <c r="E12667" s="4"/>
      <c r="F12667" s="4" t="n">
        <v>4</v>
      </c>
      <c r="G12667" s="4" t="n">
        <v>8</v>
      </c>
      <c r="H12667" s="4" t="n">
        <v>4</v>
      </c>
      <c r="I12667" s="4" t="str">
        <v>×</v>
      </c>
      <c r="J12667" s="4"/>
      <c r="K12667" s="4"/>
      <c r="L12667" s="4"/>
      <c r="M12667" s="7" t="s">
        <v>6503</v>
      </c>
    </row>
    <row r="12668" customFormat="false" ht="15.75" hidden="false" customHeight="false" outlineLevel="0" collapsed="false">
      <c r="A12668" s="6" t="n">
        <f aca="false">DATE(2026,8,23)</f>
        <v>46257</v>
      </c>
      <c r="B12668" s="4" t="s">
        <v>13</v>
      </c>
      <c r="C12668" s="4" t="n">
        <v>7</v>
      </c>
      <c r="D12668" s="4" t="n">
        <v>10</v>
      </c>
      <c r="E12668" s="4"/>
      <c r="F12668" s="4" t="n">
        <v>81</v>
      </c>
      <c r="G12668" s="4" t="n">
        <v>1</v>
      </c>
      <c r="H12668" s="4" t="n">
        <v>4</v>
      </c>
      <c r="I12668" s="4" t="str">
        <v>×</v>
      </c>
      <c r="J12668" s="4"/>
      <c r="K12668" s="4"/>
      <c r="L12668" s="4"/>
      <c r="M12668" s="7" t="s">
        <v>6503</v>
      </c>
    </row>
    <row r="12669" customFormat="false" ht="15.75" hidden="false" customHeight="false" outlineLevel="0" collapsed="false">
      <c r="A12669" s="6" t="n">
        <f aca="false">DATE(2026,8,23)</f>
        <v>46257</v>
      </c>
      <c r="B12669" s="4" t="s">
        <v>13</v>
      </c>
      <c r="C12669" s="4" t="n">
        <v>8</v>
      </c>
      <c r="D12669" s="4" t="n">
        <v>1</v>
      </c>
      <c r="E12669" s="4"/>
      <c r="F12669" s="4" t="n">
        <v>29</v>
      </c>
      <c r="G12669" s="4" t="n">
        <v>6</v>
      </c>
      <c r="H12669" s="4" t="n">
        <v>4</v>
      </c>
      <c r="I12669" s="4" t="str">
        <v>×</v>
      </c>
      <c r="J12669" s="4"/>
      <c r="K12669" s="4"/>
      <c r="L12669" s="4"/>
      <c r="M12669" s="7" t="s">
        <v>6503</v>
      </c>
    </row>
    <row r="12670" customFormat="false" ht="15.75" hidden="false" customHeight="false" outlineLevel="0" collapsed="false">
      <c r="A12670" s="6" t="n">
        <f aca="false">DATE(2026,8,23)</f>
        <v>46257</v>
      </c>
      <c r="B12670" s="4" t="s">
        <v>13</v>
      </c>
      <c r="C12670" s="4" t="n">
        <v>8</v>
      </c>
      <c r="D12670" s="4" t="n">
        <v>2</v>
      </c>
      <c r="E12670" s="4"/>
      <c r="F12670" s="4" t="n">
        <v>13</v>
      </c>
      <c r="G12670" s="4" t="n">
        <v>8</v>
      </c>
      <c r="H12670" s="4" t="n">
        <v>4</v>
      </c>
      <c r="I12670" s="4" t="str">
        <v>×</v>
      </c>
      <c r="J12670" s="4"/>
      <c r="K12670" s="4"/>
      <c r="L12670" s="4"/>
      <c r="M12670" s="7" t="s">
        <v>6503</v>
      </c>
    </row>
    <row r="12671" customFormat="false" ht="15.75" hidden="false" customHeight="false" outlineLevel="0" collapsed="false">
      <c r="A12671" s="6" t="n">
        <f aca="false">DATE(2026,8,23)</f>
        <v>46257</v>
      </c>
      <c r="B12671" s="4" t="s">
        <v>13</v>
      </c>
      <c r="C12671" s="4" t="n">
        <v>8</v>
      </c>
      <c r="D12671" s="4" t="n">
        <v>3</v>
      </c>
      <c r="E12671" s="4"/>
      <c r="F12671" s="4" t="n">
        <v>10</v>
      </c>
      <c r="G12671" s="4" t="n">
        <v>9</v>
      </c>
      <c r="H12671" s="4" t="n">
        <v>4</v>
      </c>
      <c r="I12671" s="4" t="str">
        <v>×</v>
      </c>
      <c r="J12671" s="4"/>
      <c r="K12671" s="4"/>
      <c r="L12671" s="4"/>
      <c r="M12671" s="7" t="s">
        <v>6503</v>
      </c>
    </row>
    <row r="12672" customFormat="false" ht="15.75" hidden="false" customHeight="false" outlineLevel="0" collapsed="false">
      <c r="A12672" s="6" t="n">
        <f aca="false">DATE(2026,8,23)</f>
        <v>46257</v>
      </c>
      <c r="B12672" s="4" t="s">
        <v>13</v>
      </c>
      <c r="C12672" s="4" t="n">
        <v>8</v>
      </c>
      <c r="D12672" s="4" t="n">
        <v>4</v>
      </c>
      <c r="E12672" s="4"/>
      <c r="F12672" s="4" t="n">
        <v>4</v>
      </c>
      <c r="G12672" s="4" t="n">
        <v>10</v>
      </c>
      <c r="H12672" s="4" t="n">
        <v>4</v>
      </c>
      <c r="I12672" s="4" t="str">
        <v>×</v>
      </c>
      <c r="J12672" s="4"/>
      <c r="K12672" s="4"/>
      <c r="L12672" s="4"/>
      <c r="M12672" s="7" t="s">
        <v>6503</v>
      </c>
    </row>
    <row r="12673" customFormat="false" ht="15.75" hidden="false" customHeight="false" outlineLevel="0" collapsed="false">
      <c r="A12673" s="6" t="n">
        <f aca="false">DATE(2026,8,23)</f>
        <v>46257</v>
      </c>
      <c r="B12673" s="4" t="s">
        <v>13</v>
      </c>
      <c r="C12673" s="4" t="n">
        <v>8</v>
      </c>
      <c r="D12673" s="4" t="n">
        <v>5</v>
      </c>
      <c r="E12673" s="4"/>
      <c r="F12673" s="4" t="n">
        <v>17</v>
      </c>
      <c r="G12673" s="4" t="n">
        <v>7</v>
      </c>
      <c r="H12673" s="4" t="n">
        <v>4</v>
      </c>
      <c r="I12673" s="4" t="str">
        <v>×</v>
      </c>
      <c r="J12673" s="4"/>
      <c r="K12673" s="4"/>
      <c r="L12673" s="4"/>
      <c r="M12673" s="7" t="s">
        <v>6503</v>
      </c>
    </row>
    <row r="12674" customFormat="false" ht="15.75" hidden="false" customHeight="false" outlineLevel="0" collapsed="false">
      <c r="A12674" s="6" t="n">
        <f aca="false">DATE(2026,8,23)</f>
        <v>46257</v>
      </c>
      <c r="B12674" s="4" t="s">
        <v>13</v>
      </c>
      <c r="C12674" s="4" t="n">
        <v>8</v>
      </c>
      <c r="D12674" s="4" t="n">
        <v>6</v>
      </c>
      <c r="E12674" s="4"/>
      <c r="F12674" s="4" t="n">
        <v>41</v>
      </c>
      <c r="G12674" s="4" t="n">
        <v>2</v>
      </c>
      <c r="H12674" s="4" t="n">
        <v>4</v>
      </c>
      <c r="I12674" s="4" t="str">
        <v>×</v>
      </c>
      <c r="J12674" s="4"/>
      <c r="K12674" s="4"/>
      <c r="L12674" s="4"/>
      <c r="M12674" s="7" t="s">
        <v>6503</v>
      </c>
    </row>
    <row r="12675" customFormat="false" ht="15.75" hidden="false" customHeight="false" outlineLevel="0" collapsed="false">
      <c r="A12675" s="6" t="n">
        <f aca="false">DATE(2026,8,23)</f>
        <v>46257</v>
      </c>
      <c r="B12675" s="4" t="s">
        <v>13</v>
      </c>
      <c r="C12675" s="4" t="n">
        <v>8</v>
      </c>
      <c r="D12675" s="4" t="n">
        <v>7</v>
      </c>
      <c r="E12675" s="4" t="s">
        <v>3082</v>
      </c>
      <c r="F12675" s="4" t="n">
        <v>50</v>
      </c>
      <c r="G12675" s="4" t="n">
        <v>1</v>
      </c>
      <c r="H12675" s="4" t="n">
        <v>2</v>
      </c>
      <c r="I12675" s="4" t="str">
        <v>○</v>
      </c>
      <c r="J12675" s="4" t="n">
        <v>180</v>
      </c>
      <c r="K12675" s="4"/>
      <c r="L12675" s="4"/>
      <c r="M12675" s="7" t="s">
        <v>6503</v>
      </c>
    </row>
    <row r="12676" customFormat="false" ht="15.75" hidden="false" customHeight="false" outlineLevel="0" collapsed="false">
      <c r="A12676" s="6" t="n">
        <f aca="false">DATE(2026,8,23)</f>
        <v>46257</v>
      </c>
      <c r="B12676" s="4" t="s">
        <v>13</v>
      </c>
      <c r="C12676" s="4" t="n">
        <v>8</v>
      </c>
      <c r="D12676" s="4" t="n">
        <v>8</v>
      </c>
      <c r="E12676" s="4" t="s">
        <v>6537</v>
      </c>
      <c r="F12676" s="4" t="n">
        <v>39</v>
      </c>
      <c r="G12676" s="4" t="n">
        <v>3</v>
      </c>
      <c r="H12676" s="4" t="n">
        <v>3</v>
      </c>
      <c r="I12676" s="4" t="str">
        <v>○</v>
      </c>
      <c r="J12676" s="4" t="n">
        <v>170</v>
      </c>
      <c r="K12676" s="4"/>
      <c r="L12676" s="4"/>
      <c r="M12676" s="7" t="s">
        <v>6503</v>
      </c>
    </row>
    <row r="12677" customFormat="false" ht="15.75" hidden="false" customHeight="false" outlineLevel="0" collapsed="false">
      <c r="A12677" s="6" t="n">
        <f aca="false">DATE(2026,8,23)</f>
        <v>46257</v>
      </c>
      <c r="B12677" s="4" t="s">
        <v>13</v>
      </c>
      <c r="C12677" s="4" t="n">
        <v>8</v>
      </c>
      <c r="D12677" s="4" t="n">
        <v>9</v>
      </c>
      <c r="E12677" s="4"/>
      <c r="F12677" s="4" t="n">
        <v>4</v>
      </c>
      <c r="G12677" s="4" t="n">
        <v>10</v>
      </c>
      <c r="H12677" s="4" t="n">
        <v>4</v>
      </c>
      <c r="I12677" s="4" t="str">
        <v>×</v>
      </c>
      <c r="J12677" s="4"/>
      <c r="K12677" s="4"/>
      <c r="L12677" s="4"/>
      <c r="M12677" s="7" t="s">
        <v>6503</v>
      </c>
    </row>
    <row r="12678" customFormat="false" ht="15.75" hidden="false" customHeight="false" outlineLevel="0" collapsed="false">
      <c r="A12678" s="6" t="n">
        <f aca="false">DATE(2026,8,23)</f>
        <v>46257</v>
      </c>
      <c r="B12678" s="4" t="s">
        <v>13</v>
      </c>
      <c r="C12678" s="4" t="n">
        <v>8</v>
      </c>
      <c r="D12678" s="4" t="n">
        <v>10</v>
      </c>
      <c r="E12678" s="4"/>
      <c r="F12678" s="4" t="n">
        <v>3</v>
      </c>
      <c r="G12678" s="4" t="n">
        <v>12</v>
      </c>
      <c r="H12678" s="4" t="n">
        <v>4</v>
      </c>
      <c r="I12678" s="4" t="str">
        <v>×</v>
      </c>
      <c r="J12678" s="4"/>
      <c r="K12678" s="4"/>
      <c r="L12678" s="4"/>
      <c r="M12678" s="7" t="s">
        <v>6503</v>
      </c>
    </row>
    <row r="12679" customFormat="false" ht="15.75" hidden="false" customHeight="false" outlineLevel="0" collapsed="false">
      <c r="A12679" s="6" t="n">
        <f aca="false">DATE(2026,8,23)</f>
        <v>46257</v>
      </c>
      <c r="B12679" s="4" t="s">
        <v>13</v>
      </c>
      <c r="C12679" s="4" t="n">
        <v>8</v>
      </c>
      <c r="D12679" s="4" t="n">
        <v>11</v>
      </c>
      <c r="E12679" s="4"/>
      <c r="F12679" s="4" t="n">
        <v>34</v>
      </c>
      <c r="G12679" s="4" t="n">
        <v>5</v>
      </c>
      <c r="H12679" s="4" t="n">
        <v>4</v>
      </c>
      <c r="I12679" s="4" t="str">
        <v>×</v>
      </c>
      <c r="J12679" s="4"/>
      <c r="K12679" s="4"/>
      <c r="L12679" s="4"/>
      <c r="M12679" s="7" t="s">
        <v>6503</v>
      </c>
    </row>
    <row r="12680" customFormat="false" ht="15.75" hidden="false" customHeight="false" outlineLevel="0" collapsed="false">
      <c r="A12680" s="6" t="n">
        <f aca="false">DATE(2026,8,23)</f>
        <v>46257</v>
      </c>
      <c r="B12680" s="4" t="s">
        <v>13</v>
      </c>
      <c r="C12680" s="4" t="n">
        <v>8</v>
      </c>
      <c r="D12680" s="4" t="n">
        <v>12</v>
      </c>
      <c r="E12680" s="4" t="s">
        <v>6538</v>
      </c>
      <c r="F12680" s="4" t="n">
        <v>37</v>
      </c>
      <c r="G12680" s="4" t="n">
        <v>4</v>
      </c>
      <c r="H12680" s="4" t="n">
        <v>1</v>
      </c>
      <c r="I12680" s="4" t="str">
        <v>○</v>
      </c>
      <c r="J12680" s="4" t="n">
        <v>160</v>
      </c>
      <c r="K12680" s="4"/>
      <c r="L12680" s="4"/>
      <c r="M12680" s="7" t="s">
        <v>6503</v>
      </c>
    </row>
    <row r="12681" customFormat="false" ht="15.75" hidden="false" customHeight="false" outlineLevel="0" collapsed="false">
      <c r="A12681" s="6" t="n">
        <f aca="false">DATE(2026,8,23)</f>
        <v>46257</v>
      </c>
      <c r="B12681" s="4" t="s">
        <v>13</v>
      </c>
      <c r="C12681" s="4" t="n">
        <v>9</v>
      </c>
      <c r="D12681" s="4" t="n">
        <v>1</v>
      </c>
      <c r="E12681" s="4"/>
      <c r="F12681" s="4" t="n">
        <v>10</v>
      </c>
      <c r="G12681" s="4" t="n">
        <v>11</v>
      </c>
      <c r="H12681" s="4" t="n">
        <v>4</v>
      </c>
      <c r="I12681" s="4" t="str">
        <v>×</v>
      </c>
      <c r="J12681" s="4"/>
      <c r="K12681" s="4"/>
      <c r="L12681" s="4"/>
      <c r="M12681" s="7" t="s">
        <v>6503</v>
      </c>
    </row>
    <row r="12682" customFormat="false" ht="15.75" hidden="false" customHeight="false" outlineLevel="0" collapsed="false">
      <c r="A12682" s="6" t="n">
        <f aca="false">DATE(2026,8,23)</f>
        <v>46257</v>
      </c>
      <c r="B12682" s="4" t="s">
        <v>13</v>
      </c>
      <c r="C12682" s="4" t="n">
        <v>9</v>
      </c>
      <c r="D12682" s="4" t="n">
        <v>2</v>
      </c>
      <c r="E12682" s="4"/>
      <c r="F12682" s="4" t="n">
        <v>10</v>
      </c>
      <c r="G12682" s="4" t="n">
        <v>11</v>
      </c>
      <c r="H12682" s="4" t="n">
        <v>4</v>
      </c>
      <c r="I12682" s="4" t="str">
        <v>×</v>
      </c>
      <c r="J12682" s="4"/>
      <c r="K12682" s="4"/>
      <c r="L12682" s="4"/>
      <c r="M12682" s="7" t="s">
        <v>6503</v>
      </c>
    </row>
    <row r="12683" customFormat="false" ht="15.75" hidden="false" customHeight="false" outlineLevel="0" collapsed="false">
      <c r="A12683" s="6" t="n">
        <f aca="false">DATE(2026,8,23)</f>
        <v>46257</v>
      </c>
      <c r="B12683" s="4" t="s">
        <v>13</v>
      </c>
      <c r="C12683" s="4" t="n">
        <v>9</v>
      </c>
      <c r="D12683" s="4" t="n">
        <v>3</v>
      </c>
      <c r="E12683" s="4"/>
      <c r="F12683" s="4" t="n">
        <v>17</v>
      </c>
      <c r="G12683" s="4" t="n">
        <v>8</v>
      </c>
      <c r="H12683" s="4" t="n">
        <v>4</v>
      </c>
      <c r="I12683" s="4" t="str">
        <v>×</v>
      </c>
      <c r="J12683" s="4"/>
      <c r="K12683" s="4"/>
      <c r="L12683" s="4"/>
      <c r="M12683" s="7" t="s">
        <v>6503</v>
      </c>
    </row>
    <row r="12684" customFormat="false" ht="15.75" hidden="false" customHeight="false" outlineLevel="0" collapsed="false">
      <c r="A12684" s="6" t="n">
        <f aca="false">DATE(2026,8,23)</f>
        <v>46257</v>
      </c>
      <c r="B12684" s="4" t="s">
        <v>13</v>
      </c>
      <c r="C12684" s="4" t="n">
        <v>9</v>
      </c>
      <c r="D12684" s="4" t="n">
        <v>4</v>
      </c>
      <c r="E12684" s="4"/>
      <c r="F12684" s="4" t="n">
        <v>15</v>
      </c>
      <c r="G12684" s="4" t="n">
        <v>10</v>
      </c>
      <c r="H12684" s="4" t="n">
        <v>4</v>
      </c>
      <c r="I12684" s="4" t="str">
        <v>×</v>
      </c>
      <c r="J12684" s="4"/>
      <c r="K12684" s="4"/>
      <c r="L12684" s="4"/>
      <c r="M12684" s="7" t="s">
        <v>6503</v>
      </c>
    </row>
    <row r="12685" customFormat="false" ht="15.75" hidden="false" customHeight="false" outlineLevel="0" collapsed="false">
      <c r="A12685" s="6" t="n">
        <f aca="false">DATE(2026,8,23)</f>
        <v>46257</v>
      </c>
      <c r="B12685" s="4" t="s">
        <v>13</v>
      </c>
      <c r="C12685" s="4" t="n">
        <v>9</v>
      </c>
      <c r="D12685" s="4" t="n">
        <v>5</v>
      </c>
      <c r="E12685" s="4"/>
      <c r="F12685" s="4" t="n">
        <v>10</v>
      </c>
      <c r="G12685" s="4" t="n">
        <v>11</v>
      </c>
      <c r="H12685" s="4" t="n">
        <v>4</v>
      </c>
      <c r="I12685" s="4" t="str">
        <v>×</v>
      </c>
      <c r="J12685" s="4"/>
      <c r="K12685" s="4"/>
      <c r="L12685" s="4"/>
      <c r="M12685" s="7" t="s">
        <v>6503</v>
      </c>
    </row>
    <row r="12686" customFormat="false" ht="15.75" hidden="false" customHeight="false" outlineLevel="0" collapsed="false">
      <c r="A12686" s="6" t="n">
        <f aca="false">DATE(2026,8,23)</f>
        <v>46257</v>
      </c>
      <c r="B12686" s="4" t="s">
        <v>13</v>
      </c>
      <c r="C12686" s="4" t="n">
        <v>9</v>
      </c>
      <c r="D12686" s="4" t="n">
        <v>6</v>
      </c>
      <c r="E12686" s="4"/>
      <c r="F12686" s="4" t="n">
        <v>41</v>
      </c>
      <c r="G12686" s="4" t="n">
        <v>3</v>
      </c>
      <c r="H12686" s="4" t="n">
        <v>4</v>
      </c>
      <c r="I12686" s="4" t="str">
        <v>×</v>
      </c>
      <c r="J12686" s="4"/>
      <c r="K12686" s="4"/>
      <c r="L12686" s="4"/>
      <c r="M12686" s="7" t="s">
        <v>6503</v>
      </c>
    </row>
    <row r="12687" customFormat="false" ht="15.75" hidden="false" customHeight="false" outlineLevel="0" collapsed="false">
      <c r="A12687" s="6" t="n">
        <f aca="false">DATE(2026,8,23)</f>
        <v>46257</v>
      </c>
      <c r="B12687" s="4" t="s">
        <v>13</v>
      </c>
      <c r="C12687" s="4" t="n">
        <v>9</v>
      </c>
      <c r="D12687" s="4" t="n">
        <v>7</v>
      </c>
      <c r="E12687" s="4"/>
      <c r="F12687" s="4" t="n">
        <v>2</v>
      </c>
      <c r="G12687" s="4" t="n">
        <v>15</v>
      </c>
      <c r="H12687" s="4" t="n">
        <v>4</v>
      </c>
      <c r="I12687" s="4" t="str">
        <v>×</v>
      </c>
      <c r="J12687" s="4"/>
      <c r="K12687" s="4"/>
      <c r="L12687" s="4"/>
      <c r="M12687" s="7" t="s">
        <v>6503</v>
      </c>
    </row>
    <row r="12688" customFormat="false" ht="15.75" hidden="false" customHeight="false" outlineLevel="0" collapsed="false">
      <c r="A12688" s="6" t="n">
        <f aca="false">DATE(2026,8,23)</f>
        <v>46257</v>
      </c>
      <c r="B12688" s="4" t="s">
        <v>13</v>
      </c>
      <c r="C12688" s="4" t="n">
        <v>9</v>
      </c>
      <c r="D12688" s="4" t="n">
        <v>8</v>
      </c>
      <c r="E12688" s="4"/>
      <c r="F12688" s="4" t="n">
        <v>44</v>
      </c>
      <c r="G12688" s="4" t="n">
        <v>2</v>
      </c>
      <c r="H12688" s="4" t="n">
        <v>4</v>
      </c>
      <c r="I12688" s="4" t="str">
        <v>×</v>
      </c>
      <c r="J12688" s="4"/>
      <c r="K12688" s="4"/>
      <c r="L12688" s="4"/>
      <c r="M12688" s="7" t="s">
        <v>6503</v>
      </c>
    </row>
    <row r="12689" customFormat="false" ht="15.75" hidden="false" customHeight="false" outlineLevel="0" collapsed="false">
      <c r="A12689" s="6" t="n">
        <f aca="false">DATE(2026,8,23)</f>
        <v>46257</v>
      </c>
      <c r="B12689" s="4" t="s">
        <v>13</v>
      </c>
      <c r="C12689" s="4" t="n">
        <v>9</v>
      </c>
      <c r="D12689" s="4" t="n">
        <v>9</v>
      </c>
      <c r="E12689" s="4"/>
      <c r="F12689" s="4" t="n">
        <v>25</v>
      </c>
      <c r="G12689" s="4" t="n">
        <v>6</v>
      </c>
      <c r="H12689" s="4" t="n">
        <v>4</v>
      </c>
      <c r="I12689" s="4" t="str">
        <v>×</v>
      </c>
      <c r="J12689" s="4"/>
      <c r="K12689" s="4"/>
      <c r="L12689" s="4"/>
      <c r="M12689" s="7" t="s">
        <v>6503</v>
      </c>
    </row>
    <row r="12690" customFormat="false" ht="15.75" hidden="false" customHeight="false" outlineLevel="0" collapsed="false">
      <c r="A12690" s="6" t="n">
        <f aca="false">DATE(2026,8,23)</f>
        <v>46257</v>
      </c>
      <c r="B12690" s="4" t="s">
        <v>13</v>
      </c>
      <c r="C12690" s="4" t="n">
        <v>9</v>
      </c>
      <c r="D12690" s="4" t="n">
        <v>10</v>
      </c>
      <c r="E12690" s="4"/>
      <c r="F12690" s="4" t="n">
        <v>4</v>
      </c>
      <c r="G12690" s="4" t="n">
        <v>14</v>
      </c>
      <c r="H12690" s="4" t="n">
        <v>4</v>
      </c>
      <c r="I12690" s="4" t="str">
        <v>×</v>
      </c>
      <c r="J12690" s="4"/>
      <c r="K12690" s="4"/>
      <c r="L12690" s="4"/>
      <c r="M12690" s="7" t="s">
        <v>6503</v>
      </c>
    </row>
    <row r="12691" customFormat="false" ht="15.75" hidden="false" customHeight="false" outlineLevel="0" collapsed="false">
      <c r="A12691" s="6" t="n">
        <f aca="false">DATE(2026,8,23)</f>
        <v>46257</v>
      </c>
      <c r="B12691" s="4" t="s">
        <v>13</v>
      </c>
      <c r="C12691" s="4" t="n">
        <v>9</v>
      </c>
      <c r="D12691" s="4" t="n">
        <v>11</v>
      </c>
      <c r="E12691" s="4"/>
      <c r="F12691" s="4" t="n">
        <v>37</v>
      </c>
      <c r="G12691" s="4" t="n">
        <v>4</v>
      </c>
      <c r="H12691" s="4" t="n">
        <v>4</v>
      </c>
      <c r="I12691" s="4" t="str">
        <v>×</v>
      </c>
      <c r="J12691" s="4"/>
      <c r="K12691" s="4"/>
      <c r="L12691" s="4"/>
      <c r="M12691" s="7" t="s">
        <v>6503</v>
      </c>
    </row>
    <row r="12692" customFormat="false" ht="15.75" hidden="false" customHeight="false" outlineLevel="0" collapsed="false">
      <c r="A12692" s="6" t="n">
        <f aca="false">DATE(2026,8,23)</f>
        <v>46257</v>
      </c>
      <c r="B12692" s="4" t="s">
        <v>13</v>
      </c>
      <c r="C12692" s="4" t="n">
        <v>9</v>
      </c>
      <c r="D12692" s="4" t="n">
        <v>12</v>
      </c>
      <c r="E12692" s="4" t="s">
        <v>6013</v>
      </c>
      <c r="F12692" s="4" t="n">
        <v>31</v>
      </c>
      <c r="G12692" s="4" t="n">
        <v>5</v>
      </c>
      <c r="H12692" s="4" t="n">
        <v>2</v>
      </c>
      <c r="I12692" s="4" t="str">
        <v>○</v>
      </c>
      <c r="J12692" s="4" t="n">
        <v>210</v>
      </c>
      <c r="K12692" s="4"/>
      <c r="L12692" s="4"/>
      <c r="M12692" s="7" t="s">
        <v>6503</v>
      </c>
    </row>
    <row r="12693" customFormat="false" ht="15.75" hidden="false" customHeight="false" outlineLevel="0" collapsed="false">
      <c r="A12693" s="6" t="n">
        <f aca="false">DATE(2026,8,23)</f>
        <v>46257</v>
      </c>
      <c r="B12693" s="4" t="s">
        <v>13</v>
      </c>
      <c r="C12693" s="4" t="n">
        <v>9</v>
      </c>
      <c r="D12693" s="4" t="n">
        <v>13</v>
      </c>
      <c r="E12693" s="4" t="s">
        <v>5566</v>
      </c>
      <c r="F12693" s="4" t="n">
        <v>20</v>
      </c>
      <c r="G12693" s="4" t="n">
        <v>7</v>
      </c>
      <c r="H12693" s="4" t="n">
        <v>3</v>
      </c>
      <c r="I12693" s="4" t="str">
        <v>○</v>
      </c>
      <c r="J12693" s="4" t="n">
        <v>380</v>
      </c>
      <c r="K12693" s="4"/>
      <c r="L12693" s="4"/>
      <c r="M12693" s="7" t="s">
        <v>6503</v>
      </c>
    </row>
    <row r="12694" customFormat="false" ht="15.75" hidden="false" customHeight="false" outlineLevel="0" collapsed="false">
      <c r="A12694" s="6" t="n">
        <f aca="false">DATE(2026,8,23)</f>
        <v>46257</v>
      </c>
      <c r="B12694" s="4" t="s">
        <v>13</v>
      </c>
      <c r="C12694" s="4" t="n">
        <v>9</v>
      </c>
      <c r="D12694" s="4" t="n">
        <v>14</v>
      </c>
      <c r="E12694" s="4"/>
      <c r="F12694" s="4" t="n">
        <v>17</v>
      </c>
      <c r="G12694" s="4" t="n">
        <v>8</v>
      </c>
      <c r="H12694" s="4" t="n">
        <v>4</v>
      </c>
      <c r="I12694" s="4" t="str">
        <v>×</v>
      </c>
      <c r="J12694" s="4"/>
      <c r="K12694" s="4"/>
      <c r="L12694" s="4"/>
      <c r="M12694" s="7" t="s">
        <v>6503</v>
      </c>
    </row>
    <row r="12695" customFormat="false" ht="15.75" hidden="false" customHeight="false" outlineLevel="0" collapsed="false">
      <c r="A12695" s="6" t="n">
        <f aca="false">DATE(2026,8,23)</f>
        <v>46257</v>
      </c>
      <c r="B12695" s="4" t="s">
        <v>13</v>
      </c>
      <c r="C12695" s="4" t="n">
        <v>9</v>
      </c>
      <c r="D12695" s="4" t="n">
        <v>15</v>
      </c>
      <c r="E12695" s="4" t="s">
        <v>1087</v>
      </c>
      <c r="F12695" s="4" t="n">
        <v>56</v>
      </c>
      <c r="G12695" s="4" t="n">
        <v>1</v>
      </c>
      <c r="H12695" s="4" t="n">
        <v>1</v>
      </c>
      <c r="I12695" s="4" t="str">
        <v>○</v>
      </c>
      <c r="J12695" s="4" t="n">
        <v>160</v>
      </c>
      <c r="K12695" s="4"/>
      <c r="L12695" s="4"/>
      <c r="M12695" s="7" t="s">
        <v>6503</v>
      </c>
    </row>
    <row r="12696" customFormat="false" ht="15.75" hidden="false" customHeight="false" outlineLevel="0" collapsed="false">
      <c r="A12696" s="6" t="n">
        <f aca="false">DATE(2026,8,23)</f>
        <v>46257</v>
      </c>
      <c r="B12696" s="4" t="s">
        <v>13</v>
      </c>
      <c r="C12696" s="4" t="n">
        <v>10</v>
      </c>
      <c r="D12696" s="4" t="n">
        <v>1</v>
      </c>
      <c r="E12696" s="4"/>
      <c r="F12696" s="4" t="n">
        <v>8</v>
      </c>
      <c r="G12696" s="4" t="n">
        <v>10</v>
      </c>
      <c r="H12696" s="4" t="n">
        <v>4</v>
      </c>
      <c r="I12696" s="4" t="str">
        <v>×</v>
      </c>
      <c r="J12696" s="4"/>
      <c r="K12696" s="4"/>
      <c r="L12696" s="4"/>
      <c r="M12696" s="7" t="s">
        <v>6503</v>
      </c>
    </row>
    <row r="12697" customFormat="false" ht="15.75" hidden="false" customHeight="false" outlineLevel="0" collapsed="false">
      <c r="A12697" s="6" t="n">
        <f aca="false">DATE(2026,8,23)</f>
        <v>46257</v>
      </c>
      <c r="B12697" s="4" t="s">
        <v>13</v>
      </c>
      <c r="C12697" s="4" t="n">
        <v>10</v>
      </c>
      <c r="D12697" s="4" t="n">
        <v>2</v>
      </c>
      <c r="E12697" s="4"/>
      <c r="F12697" s="4" t="n">
        <v>3</v>
      </c>
      <c r="G12697" s="4" t="n">
        <v>12</v>
      </c>
      <c r="H12697" s="4" t="n">
        <v>4</v>
      </c>
      <c r="I12697" s="4" t="str">
        <v>×</v>
      </c>
      <c r="J12697" s="4"/>
      <c r="K12697" s="4"/>
      <c r="L12697" s="4"/>
      <c r="M12697" s="7" t="s">
        <v>6503</v>
      </c>
    </row>
    <row r="12698" customFormat="false" ht="15.75" hidden="false" customHeight="false" outlineLevel="0" collapsed="false">
      <c r="A12698" s="6" t="n">
        <f aca="false">DATE(2026,8,23)</f>
        <v>46257</v>
      </c>
      <c r="B12698" s="4" t="s">
        <v>13</v>
      </c>
      <c r="C12698" s="4" t="n">
        <v>10</v>
      </c>
      <c r="D12698" s="4" t="n">
        <v>3</v>
      </c>
      <c r="E12698" s="4" t="s">
        <v>68</v>
      </c>
      <c r="F12698" s="4" t="n">
        <v>60</v>
      </c>
      <c r="G12698" s="4" t="n">
        <v>1</v>
      </c>
      <c r="H12698" s="4" t="n">
        <v>3</v>
      </c>
      <c r="I12698" s="4" t="str">
        <v>○</v>
      </c>
      <c r="J12698" s="4" t="n">
        <v>120</v>
      </c>
      <c r="K12698" s="4"/>
      <c r="L12698" s="4"/>
      <c r="M12698" s="7" t="s">
        <v>6503</v>
      </c>
    </row>
    <row r="12699" customFormat="false" ht="15.75" hidden="false" customHeight="false" outlineLevel="0" collapsed="false">
      <c r="A12699" s="6" t="n">
        <f aca="false">DATE(2026,8,23)</f>
        <v>46257</v>
      </c>
      <c r="B12699" s="4" t="s">
        <v>13</v>
      </c>
      <c r="C12699" s="4" t="n">
        <v>10</v>
      </c>
      <c r="D12699" s="4" t="n">
        <v>4</v>
      </c>
      <c r="E12699" s="4" t="s">
        <v>4063</v>
      </c>
      <c r="F12699" s="4" t="n">
        <v>37</v>
      </c>
      <c r="G12699" s="4" t="n">
        <v>3</v>
      </c>
      <c r="H12699" s="4" t="n">
        <v>1</v>
      </c>
      <c r="I12699" s="4" t="str">
        <v>○</v>
      </c>
      <c r="J12699" s="4" t="n">
        <v>110</v>
      </c>
      <c r="K12699" s="4"/>
      <c r="L12699" s="4"/>
      <c r="M12699" s="7" t="s">
        <v>6503</v>
      </c>
    </row>
    <row r="12700" customFormat="false" ht="15.75" hidden="false" customHeight="false" outlineLevel="0" collapsed="false">
      <c r="A12700" s="6" t="n">
        <f aca="false">DATE(2026,8,23)</f>
        <v>46257</v>
      </c>
      <c r="B12700" s="4" t="s">
        <v>13</v>
      </c>
      <c r="C12700" s="4" t="n">
        <v>10</v>
      </c>
      <c r="D12700" s="4" t="n">
        <v>5</v>
      </c>
      <c r="E12700" s="4" t="s">
        <v>1489</v>
      </c>
      <c r="F12700" s="4" t="n">
        <v>29</v>
      </c>
      <c r="G12700" s="4" t="n">
        <v>5</v>
      </c>
      <c r="H12700" s="4" t="n">
        <v>2</v>
      </c>
      <c r="I12700" s="4" t="str">
        <v>○</v>
      </c>
      <c r="J12700" s="4" t="n">
        <v>220</v>
      </c>
      <c r="K12700" s="4"/>
      <c r="L12700" s="4"/>
      <c r="M12700" s="7" t="s">
        <v>6503</v>
      </c>
    </row>
    <row r="12701" customFormat="false" ht="15.75" hidden="false" customHeight="false" outlineLevel="0" collapsed="false">
      <c r="A12701" s="6" t="n">
        <f aca="false">DATE(2026,8,23)</f>
        <v>46257</v>
      </c>
      <c r="B12701" s="4" t="s">
        <v>13</v>
      </c>
      <c r="C12701" s="4" t="n">
        <v>10</v>
      </c>
      <c r="D12701" s="4" t="n">
        <v>6</v>
      </c>
      <c r="E12701" s="4"/>
      <c r="F12701" s="4" t="n">
        <v>29</v>
      </c>
      <c r="G12701" s="4" t="n">
        <v>5</v>
      </c>
      <c r="H12701" s="4" t="n">
        <v>4</v>
      </c>
      <c r="I12701" s="4" t="str">
        <v>×</v>
      </c>
      <c r="J12701" s="4"/>
      <c r="K12701" s="4"/>
      <c r="L12701" s="4"/>
      <c r="M12701" s="7" t="s">
        <v>6503</v>
      </c>
    </row>
    <row r="12702" customFormat="false" ht="15.75" hidden="false" customHeight="false" outlineLevel="0" collapsed="false">
      <c r="A12702" s="6" t="n">
        <f aca="false">DATE(2026,8,23)</f>
        <v>46257</v>
      </c>
      <c r="B12702" s="4" t="s">
        <v>13</v>
      </c>
      <c r="C12702" s="4" t="n">
        <v>10</v>
      </c>
      <c r="D12702" s="4" t="n">
        <v>7</v>
      </c>
      <c r="E12702" s="4"/>
      <c r="F12702" s="4" t="n">
        <v>23</v>
      </c>
      <c r="G12702" s="4" t="n">
        <v>7</v>
      </c>
      <c r="H12702" s="4" t="n">
        <v>4</v>
      </c>
      <c r="I12702" s="4" t="str">
        <v>×</v>
      </c>
      <c r="J12702" s="4"/>
      <c r="K12702" s="4"/>
      <c r="L12702" s="4"/>
      <c r="M12702" s="7" t="s">
        <v>6503</v>
      </c>
    </row>
    <row r="12703" customFormat="false" ht="15.75" hidden="false" customHeight="false" outlineLevel="0" collapsed="false">
      <c r="A12703" s="6" t="n">
        <f aca="false">DATE(2026,8,23)</f>
        <v>46257</v>
      </c>
      <c r="B12703" s="4" t="s">
        <v>13</v>
      </c>
      <c r="C12703" s="4" t="n">
        <v>10</v>
      </c>
      <c r="D12703" s="4" t="n">
        <v>8</v>
      </c>
      <c r="E12703" s="4"/>
      <c r="F12703" s="4" t="n">
        <v>10</v>
      </c>
      <c r="G12703" s="4" t="n">
        <v>9</v>
      </c>
      <c r="H12703" s="4" t="n">
        <v>4</v>
      </c>
      <c r="I12703" s="4" t="str">
        <v>×</v>
      </c>
      <c r="J12703" s="4"/>
      <c r="K12703" s="4"/>
      <c r="L12703" s="4"/>
      <c r="M12703" s="7" t="s">
        <v>6503</v>
      </c>
    </row>
    <row r="12704" customFormat="false" ht="15.75" hidden="false" customHeight="false" outlineLevel="0" collapsed="false">
      <c r="A12704" s="6" t="n">
        <f aca="false">DATE(2026,8,23)</f>
        <v>46257</v>
      </c>
      <c r="B12704" s="4" t="s">
        <v>13</v>
      </c>
      <c r="C12704" s="4" t="n">
        <v>10</v>
      </c>
      <c r="D12704" s="4" t="n">
        <v>9</v>
      </c>
      <c r="E12704" s="4"/>
      <c r="F12704" s="4" t="n">
        <v>20</v>
      </c>
      <c r="G12704" s="4" t="n">
        <v>8</v>
      </c>
      <c r="H12704" s="4" t="n">
        <v>4</v>
      </c>
      <c r="I12704" s="4" t="str">
        <v>×</v>
      </c>
      <c r="J12704" s="4"/>
      <c r="K12704" s="4"/>
      <c r="L12704" s="4"/>
      <c r="M12704" s="7" t="s">
        <v>6503</v>
      </c>
    </row>
    <row r="12705" customFormat="false" ht="15.75" hidden="false" customHeight="false" outlineLevel="0" collapsed="false">
      <c r="A12705" s="6" t="n">
        <f aca="false">DATE(2026,8,23)</f>
        <v>46257</v>
      </c>
      <c r="B12705" s="4" t="s">
        <v>13</v>
      </c>
      <c r="C12705" s="4" t="n">
        <v>10</v>
      </c>
      <c r="D12705" s="4" t="n">
        <v>10</v>
      </c>
      <c r="E12705" s="4"/>
      <c r="F12705" s="4" t="n">
        <v>34</v>
      </c>
      <c r="G12705" s="4" t="n">
        <v>4</v>
      </c>
      <c r="H12705" s="4" t="n">
        <v>4</v>
      </c>
      <c r="I12705" s="4" t="str">
        <v>×</v>
      </c>
      <c r="J12705" s="4"/>
      <c r="K12705" s="4"/>
      <c r="L12705" s="4"/>
      <c r="M12705" s="7" t="s">
        <v>6503</v>
      </c>
    </row>
    <row r="12706" customFormat="false" ht="15.75" hidden="false" customHeight="false" outlineLevel="0" collapsed="false">
      <c r="A12706" s="6" t="n">
        <f aca="false">DATE(2026,8,23)</f>
        <v>46257</v>
      </c>
      <c r="B12706" s="4" t="s">
        <v>13</v>
      </c>
      <c r="C12706" s="4" t="n">
        <v>10</v>
      </c>
      <c r="D12706" s="4" t="n">
        <v>11</v>
      </c>
      <c r="E12706" s="4"/>
      <c r="F12706" s="4" t="n">
        <v>47</v>
      </c>
      <c r="G12706" s="4" t="n">
        <v>2</v>
      </c>
      <c r="H12706" s="4" t="n">
        <v>4</v>
      </c>
      <c r="I12706" s="4" t="str">
        <v>×</v>
      </c>
      <c r="J12706" s="4"/>
      <c r="K12706" s="4"/>
      <c r="L12706" s="4"/>
      <c r="M12706" s="7" t="s">
        <v>6503</v>
      </c>
    </row>
    <row r="12707" customFormat="false" ht="15.75" hidden="false" customHeight="false" outlineLevel="0" collapsed="false">
      <c r="A12707" s="6" t="n">
        <f aca="false">DATE(2026,8,23)</f>
        <v>46257</v>
      </c>
      <c r="B12707" s="4" t="s">
        <v>13</v>
      </c>
      <c r="C12707" s="4" t="n">
        <v>10</v>
      </c>
      <c r="D12707" s="4" t="n">
        <v>12</v>
      </c>
      <c r="E12707" s="4"/>
      <c r="F12707" s="4" t="n">
        <v>8</v>
      </c>
      <c r="G12707" s="4" t="n">
        <v>10</v>
      </c>
      <c r="H12707" s="4" t="n">
        <v>4</v>
      </c>
      <c r="I12707" s="4" t="str">
        <v>×</v>
      </c>
      <c r="J12707" s="4"/>
      <c r="K12707" s="4"/>
      <c r="L12707" s="4"/>
      <c r="M12707" s="7" t="s">
        <v>6503</v>
      </c>
    </row>
    <row r="12708" customFormat="false" ht="15.75" hidden="false" customHeight="false" outlineLevel="0" collapsed="false">
      <c r="A12708" s="6" t="n">
        <f aca="false">DATE(2026,8,23)</f>
        <v>46257</v>
      </c>
      <c r="B12708" s="4" t="s">
        <v>13</v>
      </c>
      <c r="C12708" s="4" t="n">
        <v>11</v>
      </c>
      <c r="D12708" s="4" t="n">
        <v>1</v>
      </c>
      <c r="E12708" s="4"/>
      <c r="F12708" s="4" t="n">
        <v>17</v>
      </c>
      <c r="G12708" s="4" t="n">
        <v>5</v>
      </c>
      <c r="H12708" s="4" t="n">
        <v>4</v>
      </c>
      <c r="I12708" s="4" t="str">
        <v>×</v>
      </c>
      <c r="J12708" s="4"/>
      <c r="K12708" s="4"/>
      <c r="L12708" s="4"/>
      <c r="M12708" s="7" t="s">
        <v>6503</v>
      </c>
    </row>
    <row r="12709" customFormat="false" ht="15.75" hidden="false" customHeight="false" outlineLevel="0" collapsed="false">
      <c r="A12709" s="6" t="n">
        <f aca="false">DATE(2026,8,23)</f>
        <v>46257</v>
      </c>
      <c r="B12709" s="4" t="s">
        <v>13</v>
      </c>
      <c r="C12709" s="4" t="n">
        <v>11</v>
      </c>
      <c r="D12709" s="4" t="n">
        <v>2</v>
      </c>
      <c r="E12709" s="4"/>
      <c r="F12709" s="4" t="n">
        <v>25</v>
      </c>
      <c r="G12709" s="4" t="n">
        <v>4</v>
      </c>
      <c r="H12709" s="4" t="n">
        <v>4</v>
      </c>
      <c r="I12709" s="4" t="str">
        <v>×</v>
      </c>
      <c r="J12709" s="4"/>
      <c r="K12709" s="4"/>
      <c r="L12709" s="4"/>
      <c r="M12709" s="7" t="s">
        <v>6503</v>
      </c>
    </row>
    <row r="12710" customFormat="false" ht="15.75" hidden="false" customHeight="false" outlineLevel="0" collapsed="false">
      <c r="A12710" s="6" t="n">
        <f aca="false">DATE(2026,8,23)</f>
        <v>46257</v>
      </c>
      <c r="B12710" s="4" t="s">
        <v>13</v>
      </c>
      <c r="C12710" s="4" t="n">
        <v>11</v>
      </c>
      <c r="D12710" s="4" t="n">
        <v>3</v>
      </c>
      <c r="E12710" s="4"/>
      <c r="F12710" s="4" t="n">
        <v>31</v>
      </c>
      <c r="G12710" s="4" t="n">
        <v>3</v>
      </c>
      <c r="H12710" s="4" t="n">
        <v>4</v>
      </c>
      <c r="I12710" s="4" t="str">
        <v>×</v>
      </c>
      <c r="J12710" s="4"/>
      <c r="K12710" s="4"/>
      <c r="L12710" s="4"/>
      <c r="M12710" s="7" t="s">
        <v>6503</v>
      </c>
    </row>
    <row r="12711" customFormat="false" ht="15.75" hidden="false" customHeight="false" outlineLevel="0" collapsed="false">
      <c r="A12711" s="6" t="n">
        <f aca="false">DATE(2026,8,23)</f>
        <v>46257</v>
      </c>
      <c r="B12711" s="4" t="s">
        <v>13</v>
      </c>
      <c r="C12711" s="4" t="n">
        <v>11</v>
      </c>
      <c r="D12711" s="4" t="n">
        <v>4</v>
      </c>
      <c r="E12711" s="4"/>
      <c r="F12711" s="4" t="n">
        <v>10</v>
      </c>
      <c r="G12711" s="4" t="n">
        <v>9</v>
      </c>
      <c r="H12711" s="4" t="n">
        <v>4</v>
      </c>
      <c r="I12711" s="4" t="str">
        <v>×</v>
      </c>
      <c r="J12711" s="4"/>
      <c r="K12711" s="4"/>
      <c r="L12711" s="4"/>
      <c r="M12711" s="7" t="s">
        <v>6503</v>
      </c>
    </row>
    <row r="12712" customFormat="false" ht="15.75" hidden="false" customHeight="false" outlineLevel="0" collapsed="false">
      <c r="A12712" s="6" t="n">
        <f aca="false">DATE(2026,8,23)</f>
        <v>46257</v>
      </c>
      <c r="B12712" s="4" t="s">
        <v>13</v>
      </c>
      <c r="C12712" s="4" t="n">
        <v>11</v>
      </c>
      <c r="D12712" s="4" t="n">
        <v>5</v>
      </c>
      <c r="E12712" s="4"/>
      <c r="F12712" s="4" t="n">
        <v>3</v>
      </c>
      <c r="G12712" s="4" t="n">
        <v>15</v>
      </c>
      <c r="H12712" s="4" t="n">
        <v>4</v>
      </c>
      <c r="I12712" s="4" t="str">
        <v>×</v>
      </c>
      <c r="J12712" s="4"/>
      <c r="K12712" s="4"/>
      <c r="L12712" s="4"/>
      <c r="M12712" s="7" t="s">
        <v>6503</v>
      </c>
    </row>
    <row r="12713" customFormat="false" ht="15.75" hidden="false" customHeight="false" outlineLevel="0" collapsed="false">
      <c r="A12713" s="6" t="n">
        <f aca="false">DATE(2026,8,23)</f>
        <v>46257</v>
      </c>
      <c r="B12713" s="4" t="s">
        <v>13</v>
      </c>
      <c r="C12713" s="4" t="n">
        <v>11</v>
      </c>
      <c r="D12713" s="4" t="n">
        <v>6</v>
      </c>
      <c r="E12713" s="4"/>
      <c r="F12713" s="4" t="n">
        <v>10</v>
      </c>
      <c r="G12713" s="4" t="n">
        <v>9</v>
      </c>
      <c r="H12713" s="4" t="n">
        <v>4</v>
      </c>
      <c r="I12713" s="4" t="str">
        <v>×</v>
      </c>
      <c r="J12713" s="4"/>
      <c r="K12713" s="4"/>
      <c r="L12713" s="4"/>
      <c r="M12713" s="7" t="s">
        <v>6503</v>
      </c>
    </row>
    <row r="12714" customFormat="false" ht="15.75" hidden="false" customHeight="false" outlineLevel="0" collapsed="false">
      <c r="A12714" s="6" t="n">
        <f aca="false">DATE(2026,8,23)</f>
        <v>46257</v>
      </c>
      <c r="B12714" s="4" t="s">
        <v>13</v>
      </c>
      <c r="C12714" s="4" t="n">
        <v>11</v>
      </c>
      <c r="D12714" s="4" t="n">
        <v>7</v>
      </c>
      <c r="E12714" s="4"/>
      <c r="F12714" s="4" t="n">
        <v>52</v>
      </c>
      <c r="G12714" s="4" t="n">
        <v>1</v>
      </c>
      <c r="H12714" s="4" t="n">
        <v>4</v>
      </c>
      <c r="I12714" s="4" t="str">
        <v>×</v>
      </c>
      <c r="J12714" s="4"/>
      <c r="K12714" s="4"/>
      <c r="L12714" s="4"/>
      <c r="M12714" s="7" t="s">
        <v>6503</v>
      </c>
    </row>
    <row r="12715" customFormat="false" ht="15.75" hidden="false" customHeight="false" outlineLevel="0" collapsed="false">
      <c r="A12715" s="6" t="n">
        <f aca="false">DATE(2026,8,23)</f>
        <v>46257</v>
      </c>
      <c r="B12715" s="4" t="s">
        <v>13</v>
      </c>
      <c r="C12715" s="4" t="n">
        <v>11</v>
      </c>
      <c r="D12715" s="4" t="n">
        <v>8</v>
      </c>
      <c r="E12715" s="4"/>
      <c r="F12715" s="4" t="n">
        <v>6</v>
      </c>
      <c r="G12715" s="4" t="n">
        <v>14</v>
      </c>
      <c r="H12715" s="4" t="n">
        <v>4</v>
      </c>
      <c r="I12715" s="4" t="str">
        <v>×</v>
      </c>
      <c r="J12715" s="4"/>
      <c r="K12715" s="4"/>
      <c r="L12715" s="4"/>
      <c r="M12715" s="7" t="s">
        <v>6503</v>
      </c>
    </row>
    <row r="12716" customFormat="false" ht="15.75" hidden="false" customHeight="false" outlineLevel="0" collapsed="false">
      <c r="A12716" s="6" t="n">
        <f aca="false">DATE(2026,8,23)</f>
        <v>46257</v>
      </c>
      <c r="B12716" s="4" t="s">
        <v>13</v>
      </c>
      <c r="C12716" s="4" t="n">
        <v>11</v>
      </c>
      <c r="D12716" s="4" t="n">
        <v>9</v>
      </c>
      <c r="E12716" s="4"/>
      <c r="F12716" s="4" t="n">
        <v>1</v>
      </c>
      <c r="G12716" s="4" t="n">
        <v>16</v>
      </c>
      <c r="H12716" s="4" t="n">
        <v>4</v>
      </c>
      <c r="I12716" s="4" t="str">
        <v>×</v>
      </c>
      <c r="J12716" s="4"/>
      <c r="K12716" s="4"/>
      <c r="L12716" s="4"/>
      <c r="M12716" s="7" t="s">
        <v>6503</v>
      </c>
    </row>
    <row r="12717" customFormat="false" ht="15.75" hidden="false" customHeight="false" outlineLevel="0" collapsed="false">
      <c r="A12717" s="6" t="n">
        <f aca="false">DATE(2026,8,23)</f>
        <v>46257</v>
      </c>
      <c r="B12717" s="4" t="s">
        <v>13</v>
      </c>
      <c r="C12717" s="4" t="n">
        <v>11</v>
      </c>
      <c r="D12717" s="4" t="n">
        <v>10</v>
      </c>
      <c r="E12717" s="4" t="s">
        <v>6480</v>
      </c>
      <c r="F12717" s="4" t="n">
        <v>17</v>
      </c>
      <c r="G12717" s="4" t="n">
        <v>5</v>
      </c>
      <c r="H12717" s="4" t="n">
        <v>2</v>
      </c>
      <c r="I12717" s="4" t="str">
        <v>○</v>
      </c>
      <c r="J12717" s="4" t="n">
        <v>310</v>
      </c>
      <c r="K12717" s="4"/>
      <c r="L12717" s="4"/>
      <c r="M12717" s="7" t="s">
        <v>6503</v>
      </c>
    </row>
    <row r="12718" customFormat="false" ht="15.75" hidden="false" customHeight="false" outlineLevel="0" collapsed="false">
      <c r="A12718" s="6" t="n">
        <f aca="false">DATE(2026,8,23)</f>
        <v>46257</v>
      </c>
      <c r="B12718" s="4" t="s">
        <v>13</v>
      </c>
      <c r="C12718" s="4" t="n">
        <v>11</v>
      </c>
      <c r="D12718" s="4" t="n">
        <v>11</v>
      </c>
      <c r="E12718" s="4"/>
      <c r="F12718" s="4" t="n">
        <v>1</v>
      </c>
      <c r="G12718" s="4" t="n">
        <v>16</v>
      </c>
      <c r="H12718" s="4" t="n">
        <v>4</v>
      </c>
      <c r="I12718" s="4" t="str">
        <v>×</v>
      </c>
      <c r="J12718" s="4"/>
      <c r="K12718" s="4"/>
      <c r="L12718" s="4"/>
      <c r="M12718" s="7" t="s">
        <v>6503</v>
      </c>
    </row>
    <row r="12719" customFormat="false" ht="15.75" hidden="false" customHeight="false" outlineLevel="0" collapsed="false">
      <c r="A12719" s="6" t="n">
        <f aca="false">DATE(2026,8,23)</f>
        <v>46257</v>
      </c>
      <c r="B12719" s="4" t="s">
        <v>13</v>
      </c>
      <c r="C12719" s="4" t="n">
        <v>11</v>
      </c>
      <c r="D12719" s="4" t="n">
        <v>12</v>
      </c>
      <c r="E12719" s="4"/>
      <c r="F12719" s="4" t="n">
        <v>15</v>
      </c>
      <c r="G12719" s="4" t="n">
        <v>7</v>
      </c>
      <c r="H12719" s="4" t="n">
        <v>4</v>
      </c>
      <c r="I12719" s="4" t="str">
        <v>×</v>
      </c>
      <c r="J12719" s="4"/>
      <c r="K12719" s="4"/>
      <c r="L12719" s="4"/>
      <c r="M12719" s="7" t="s">
        <v>6503</v>
      </c>
    </row>
    <row r="12720" customFormat="false" ht="15.75" hidden="false" customHeight="false" outlineLevel="0" collapsed="false">
      <c r="A12720" s="6" t="n">
        <f aca="false">DATE(2026,8,23)</f>
        <v>46257</v>
      </c>
      <c r="B12720" s="4" t="s">
        <v>13</v>
      </c>
      <c r="C12720" s="4" t="n">
        <v>11</v>
      </c>
      <c r="D12720" s="4" t="n">
        <v>13</v>
      </c>
      <c r="E12720" s="4"/>
      <c r="F12720" s="4" t="n">
        <v>8</v>
      </c>
      <c r="G12720" s="4" t="n">
        <v>13</v>
      </c>
      <c r="H12720" s="4" t="n">
        <v>4</v>
      </c>
      <c r="I12720" s="4" t="str">
        <v>×</v>
      </c>
      <c r="J12720" s="4"/>
      <c r="K12720" s="4"/>
      <c r="L12720" s="4"/>
      <c r="M12720" s="7" t="s">
        <v>6503</v>
      </c>
    </row>
    <row r="12721" customFormat="false" ht="15.75" hidden="false" customHeight="false" outlineLevel="0" collapsed="false">
      <c r="A12721" s="6" t="n">
        <f aca="false">DATE(2026,8,23)</f>
        <v>46257</v>
      </c>
      <c r="B12721" s="4" t="s">
        <v>13</v>
      </c>
      <c r="C12721" s="4" t="n">
        <v>11</v>
      </c>
      <c r="D12721" s="4" t="n">
        <v>14</v>
      </c>
      <c r="E12721" s="4"/>
      <c r="F12721" s="4" t="n">
        <v>10</v>
      </c>
      <c r="G12721" s="4" t="n">
        <v>9</v>
      </c>
      <c r="H12721" s="4" t="n">
        <v>4</v>
      </c>
      <c r="I12721" s="4" t="str">
        <v>×</v>
      </c>
      <c r="J12721" s="4"/>
      <c r="K12721" s="4"/>
      <c r="L12721" s="4"/>
      <c r="M12721" s="7" t="s">
        <v>6503</v>
      </c>
    </row>
    <row r="12722" customFormat="false" ht="15.75" hidden="false" customHeight="false" outlineLevel="0" collapsed="false">
      <c r="A12722" s="6" t="n">
        <f aca="false">DATE(2026,8,23)</f>
        <v>46257</v>
      </c>
      <c r="B12722" s="4" t="s">
        <v>13</v>
      </c>
      <c r="C12722" s="4" t="n">
        <v>11</v>
      </c>
      <c r="D12722" s="4" t="n">
        <v>15</v>
      </c>
      <c r="E12722" s="4" t="s">
        <v>3286</v>
      </c>
      <c r="F12722" s="4" t="n">
        <v>15</v>
      </c>
      <c r="G12722" s="4" t="n">
        <v>7</v>
      </c>
      <c r="H12722" s="4" t="n">
        <v>1</v>
      </c>
      <c r="I12722" s="4" t="str">
        <v>○</v>
      </c>
      <c r="J12722" s="4" t="n">
        <v>290</v>
      </c>
      <c r="K12722" s="4"/>
      <c r="L12722" s="4"/>
      <c r="M12722" s="7" t="s">
        <v>6503</v>
      </c>
    </row>
    <row r="12723" customFormat="false" ht="15.75" hidden="false" customHeight="false" outlineLevel="0" collapsed="false">
      <c r="A12723" s="6" t="n">
        <f aca="false">DATE(2026,8,23)</f>
        <v>46257</v>
      </c>
      <c r="B12723" s="4" t="s">
        <v>13</v>
      </c>
      <c r="C12723" s="4" t="n">
        <v>11</v>
      </c>
      <c r="D12723" s="4" t="n">
        <v>16</v>
      </c>
      <c r="E12723" s="4" t="s">
        <v>4444</v>
      </c>
      <c r="F12723" s="4" t="n">
        <v>10</v>
      </c>
      <c r="G12723" s="4" t="n">
        <v>9</v>
      </c>
      <c r="H12723" s="4" t="n">
        <v>3</v>
      </c>
      <c r="I12723" s="4" t="str">
        <v>○</v>
      </c>
      <c r="J12723" s="4" t="n">
        <v>220</v>
      </c>
      <c r="K12723" s="4"/>
      <c r="L12723" s="4"/>
      <c r="M12723" s="7" t="s">
        <v>6503</v>
      </c>
    </row>
    <row r="12724" customFormat="false" ht="15.75" hidden="false" customHeight="false" outlineLevel="0" collapsed="false">
      <c r="A12724" s="6" t="n">
        <f aca="false">DATE(2026,8,23)</f>
        <v>46257</v>
      </c>
      <c r="B12724" s="4" t="s">
        <v>13</v>
      </c>
      <c r="C12724" s="4" t="n">
        <v>11</v>
      </c>
      <c r="D12724" s="4" t="n">
        <v>17</v>
      </c>
      <c r="E12724" s="4"/>
      <c r="F12724" s="4" t="n">
        <v>41</v>
      </c>
      <c r="G12724" s="4" t="n">
        <v>2</v>
      </c>
      <c r="H12724" s="4" t="n">
        <v>4</v>
      </c>
      <c r="I12724" s="4" t="str">
        <v>×</v>
      </c>
      <c r="J12724" s="4"/>
      <c r="K12724" s="4"/>
      <c r="L12724" s="4"/>
      <c r="M12724" s="7" t="s">
        <v>6503</v>
      </c>
    </row>
    <row r="12725" customFormat="false" ht="15.75" hidden="false" customHeight="false" outlineLevel="0" collapsed="false">
      <c r="A12725" s="6" t="n">
        <f aca="false">DATE(2026,8,23)</f>
        <v>46257</v>
      </c>
      <c r="B12725" s="4" t="s">
        <v>13</v>
      </c>
      <c r="C12725" s="4" t="n">
        <v>12</v>
      </c>
      <c r="D12725" s="4" t="n">
        <v>1</v>
      </c>
      <c r="E12725" s="4"/>
      <c r="F12725" s="4" t="n">
        <v>17</v>
      </c>
      <c r="G12725" s="4" t="n">
        <v>4</v>
      </c>
      <c r="H12725" s="4" t="n">
        <v>4</v>
      </c>
      <c r="I12725" s="4" t="str">
        <v>×</v>
      </c>
      <c r="J12725" s="4"/>
      <c r="K12725" s="4"/>
      <c r="L12725" s="4"/>
      <c r="M12725" s="7" t="s">
        <v>6503</v>
      </c>
    </row>
    <row r="12726" customFormat="false" ht="15.75" hidden="false" customHeight="false" outlineLevel="0" collapsed="false">
      <c r="A12726" s="6" t="n">
        <f aca="false">DATE(2026,8,23)</f>
        <v>46257</v>
      </c>
      <c r="B12726" s="4" t="s">
        <v>13</v>
      </c>
      <c r="C12726" s="4" t="n">
        <v>12</v>
      </c>
      <c r="D12726" s="4" t="n">
        <v>2</v>
      </c>
      <c r="E12726" s="4"/>
      <c r="F12726" s="4" t="n">
        <v>10</v>
      </c>
      <c r="G12726" s="4" t="n">
        <v>7</v>
      </c>
      <c r="H12726" s="4" t="n">
        <v>4</v>
      </c>
      <c r="I12726" s="4" t="str">
        <v>×</v>
      </c>
      <c r="J12726" s="4"/>
      <c r="K12726" s="4"/>
      <c r="L12726" s="4"/>
      <c r="M12726" s="7" t="s">
        <v>6503</v>
      </c>
    </row>
    <row r="12727" customFormat="false" ht="15.75" hidden="false" customHeight="false" outlineLevel="0" collapsed="false">
      <c r="A12727" s="6" t="n">
        <f aca="false">DATE(2026,8,23)</f>
        <v>46257</v>
      </c>
      <c r="B12727" s="4" t="s">
        <v>13</v>
      </c>
      <c r="C12727" s="4" t="n">
        <v>12</v>
      </c>
      <c r="D12727" s="4" t="n">
        <v>3</v>
      </c>
      <c r="E12727" s="4"/>
      <c r="F12727" s="4" t="n">
        <v>47</v>
      </c>
      <c r="G12727" s="4" t="n">
        <v>3</v>
      </c>
      <c r="H12727" s="4" t="n">
        <v>4</v>
      </c>
      <c r="I12727" s="4" t="str">
        <v>×</v>
      </c>
      <c r="J12727" s="4"/>
      <c r="K12727" s="4"/>
      <c r="L12727" s="4"/>
      <c r="M12727" s="7" t="s">
        <v>6503</v>
      </c>
    </row>
    <row r="12728" customFormat="false" ht="15.75" hidden="false" customHeight="false" outlineLevel="0" collapsed="false">
      <c r="A12728" s="6" t="n">
        <f aca="false">DATE(2026,8,23)</f>
        <v>46257</v>
      </c>
      <c r="B12728" s="4" t="s">
        <v>13</v>
      </c>
      <c r="C12728" s="4" t="n">
        <v>12</v>
      </c>
      <c r="D12728" s="4" t="n">
        <v>4</v>
      </c>
      <c r="E12728" s="4" t="s">
        <v>3790</v>
      </c>
      <c r="F12728" s="4" t="n">
        <v>15</v>
      </c>
      <c r="G12728" s="4" t="n">
        <v>6</v>
      </c>
      <c r="H12728" s="4" t="n">
        <v>3</v>
      </c>
      <c r="I12728" s="4" t="str">
        <v>○</v>
      </c>
      <c r="J12728" s="4" t="n">
        <v>240</v>
      </c>
      <c r="K12728" s="4"/>
      <c r="L12728" s="4"/>
      <c r="M12728" s="7" t="s">
        <v>6503</v>
      </c>
    </row>
    <row r="12729" customFormat="false" ht="15.75" hidden="false" customHeight="false" outlineLevel="0" collapsed="false">
      <c r="A12729" s="6" t="n">
        <f aca="false">DATE(2026,8,23)</f>
        <v>46257</v>
      </c>
      <c r="B12729" s="4" t="s">
        <v>13</v>
      </c>
      <c r="C12729" s="4" t="n">
        <v>12</v>
      </c>
      <c r="D12729" s="4" t="n">
        <v>5</v>
      </c>
      <c r="E12729" s="4"/>
      <c r="F12729" s="4" t="n">
        <v>10</v>
      </c>
      <c r="G12729" s="4" t="n">
        <v>7</v>
      </c>
      <c r="H12729" s="4" t="n">
        <v>4</v>
      </c>
      <c r="I12729" s="4" t="str">
        <v>×</v>
      </c>
      <c r="J12729" s="4"/>
      <c r="K12729" s="4"/>
      <c r="L12729" s="4"/>
      <c r="M12729" s="7" t="s">
        <v>6503</v>
      </c>
    </row>
    <row r="12730" customFormat="false" ht="15.75" hidden="false" customHeight="false" outlineLevel="0" collapsed="false">
      <c r="A12730" s="6" t="n">
        <f aca="false">DATE(2026,8,23)</f>
        <v>46257</v>
      </c>
      <c r="B12730" s="4" t="s">
        <v>13</v>
      </c>
      <c r="C12730" s="4" t="n">
        <v>12</v>
      </c>
      <c r="D12730" s="4" t="n">
        <v>6</v>
      </c>
      <c r="E12730" s="4"/>
      <c r="F12730" s="4" t="n">
        <v>8</v>
      </c>
      <c r="G12730" s="4" t="n">
        <v>9</v>
      </c>
      <c r="H12730" s="4" t="n">
        <v>4</v>
      </c>
      <c r="I12730" s="4" t="str">
        <v>×</v>
      </c>
      <c r="J12730" s="4"/>
      <c r="K12730" s="4"/>
      <c r="L12730" s="4"/>
      <c r="M12730" s="7" t="s">
        <v>6503</v>
      </c>
    </row>
    <row r="12731" customFormat="false" ht="15.75" hidden="false" customHeight="false" outlineLevel="0" collapsed="false">
      <c r="A12731" s="6" t="n">
        <f aca="false">DATE(2026,8,23)</f>
        <v>46257</v>
      </c>
      <c r="B12731" s="4" t="s">
        <v>13</v>
      </c>
      <c r="C12731" s="4" t="n">
        <v>12</v>
      </c>
      <c r="D12731" s="4" t="n">
        <v>7</v>
      </c>
      <c r="E12731" s="4" t="s">
        <v>2303</v>
      </c>
      <c r="F12731" s="4" t="n">
        <v>86</v>
      </c>
      <c r="G12731" s="4" t="n">
        <v>1</v>
      </c>
      <c r="H12731" s="4" t="n">
        <v>1</v>
      </c>
      <c r="I12731" s="4" t="str">
        <v>○</v>
      </c>
      <c r="J12731" s="4" t="n">
        <v>110</v>
      </c>
      <c r="K12731" s="4"/>
      <c r="L12731" s="4"/>
      <c r="M12731" s="7" t="s">
        <v>6503</v>
      </c>
    </row>
    <row r="12732" customFormat="false" ht="15.75" hidden="false" customHeight="false" outlineLevel="0" collapsed="false">
      <c r="A12732" s="6" t="n">
        <f aca="false">DATE(2026,8,23)</f>
        <v>46257</v>
      </c>
      <c r="B12732" s="4" t="s">
        <v>13</v>
      </c>
      <c r="C12732" s="4" t="n">
        <v>12</v>
      </c>
      <c r="D12732" s="4" t="n">
        <v>8</v>
      </c>
      <c r="E12732" s="4" t="s">
        <v>5582</v>
      </c>
      <c r="F12732" s="4" t="n">
        <v>71</v>
      </c>
      <c r="G12732" s="4" t="n">
        <v>2</v>
      </c>
      <c r="H12732" s="4" t="n">
        <v>2</v>
      </c>
      <c r="I12732" s="4" t="str">
        <v>○</v>
      </c>
      <c r="J12732" s="4" t="n">
        <v>110</v>
      </c>
      <c r="K12732" s="4"/>
      <c r="L12732" s="4"/>
      <c r="M12732" s="7" t="s">
        <v>6503</v>
      </c>
    </row>
    <row r="12733" customFormat="false" ht="15.75" hidden="false" customHeight="false" outlineLevel="0" collapsed="false">
      <c r="A12733" s="6" t="n">
        <f aca="false">DATE(2026,8,23)</f>
        <v>46257</v>
      </c>
      <c r="B12733" s="4" t="s">
        <v>13</v>
      </c>
      <c r="C12733" s="4" t="n">
        <v>12</v>
      </c>
      <c r="D12733" s="4" t="n">
        <v>9</v>
      </c>
      <c r="E12733" s="4"/>
      <c r="F12733" s="4" t="n">
        <v>2</v>
      </c>
      <c r="G12733" s="4" t="n">
        <v>12</v>
      </c>
      <c r="H12733" s="4" t="n">
        <v>4</v>
      </c>
      <c r="I12733" s="4" t="str">
        <v>×</v>
      </c>
      <c r="J12733" s="4"/>
      <c r="K12733" s="4"/>
      <c r="L12733" s="4"/>
      <c r="M12733" s="7" t="s">
        <v>6503</v>
      </c>
    </row>
    <row r="12734" customFormat="false" ht="15.75" hidden="false" customHeight="false" outlineLevel="0" collapsed="false">
      <c r="A12734" s="6" t="n">
        <f aca="false">DATE(2026,8,23)</f>
        <v>46257</v>
      </c>
      <c r="B12734" s="4" t="s">
        <v>13</v>
      </c>
      <c r="C12734" s="4" t="n">
        <v>12</v>
      </c>
      <c r="D12734" s="4" t="n">
        <v>10</v>
      </c>
      <c r="E12734" s="4"/>
      <c r="F12734" s="4" t="n">
        <v>8</v>
      </c>
      <c r="G12734" s="4" t="n">
        <v>9</v>
      </c>
      <c r="H12734" s="4" t="n">
        <v>4</v>
      </c>
      <c r="I12734" s="4" t="str">
        <v>×</v>
      </c>
      <c r="J12734" s="4"/>
      <c r="K12734" s="4"/>
      <c r="L12734" s="4"/>
      <c r="M12734" s="7" t="s">
        <v>6503</v>
      </c>
    </row>
    <row r="12735" customFormat="false" ht="15.75" hidden="false" customHeight="false" outlineLevel="0" collapsed="false">
      <c r="A12735" s="6" t="n">
        <f aca="false">DATE(2026,8,23)</f>
        <v>46257</v>
      </c>
      <c r="B12735" s="4" t="s">
        <v>13</v>
      </c>
      <c r="C12735" s="4" t="n">
        <v>12</v>
      </c>
      <c r="D12735" s="4" t="n">
        <v>11</v>
      </c>
      <c r="E12735" s="4"/>
      <c r="F12735" s="4" t="n">
        <v>6</v>
      </c>
      <c r="G12735" s="4" t="n">
        <v>11</v>
      </c>
      <c r="H12735" s="4" t="n">
        <v>4</v>
      </c>
      <c r="I12735" s="4" t="str">
        <v>×</v>
      </c>
      <c r="J12735" s="4"/>
      <c r="K12735" s="4"/>
      <c r="L12735" s="4"/>
      <c r="M12735" s="7" t="s">
        <v>6503</v>
      </c>
    </row>
    <row r="12736" customFormat="false" ht="15.75" hidden="false" customHeight="false" outlineLevel="0" collapsed="false">
      <c r="A12736" s="6" t="n">
        <f aca="false">DATE(2026,8,23)</f>
        <v>46257</v>
      </c>
      <c r="B12736" s="4" t="s">
        <v>13</v>
      </c>
      <c r="C12736" s="4" t="n">
        <v>12</v>
      </c>
      <c r="D12736" s="4" t="n">
        <v>12</v>
      </c>
      <c r="E12736" s="4"/>
      <c r="F12736" s="4" t="n">
        <v>17</v>
      </c>
      <c r="G12736" s="4" t="n">
        <v>4</v>
      </c>
      <c r="H12736" s="4" t="n">
        <v>4</v>
      </c>
      <c r="I12736" s="4" t="str">
        <v>×</v>
      </c>
      <c r="J12736" s="4"/>
      <c r="K12736" s="4"/>
      <c r="L12736" s="4"/>
      <c r="M12736" s="7" t="s">
        <v>6503</v>
      </c>
    </row>
    <row r="12737" customFormat="false" ht="15.75" hidden="false" customHeight="false" outlineLevel="0" collapsed="false">
      <c r="A12737" s="6" t="n">
        <f aca="false">DATE(2026,8,23)</f>
        <v>46257</v>
      </c>
      <c r="B12737" s="4" t="s">
        <v>179</v>
      </c>
      <c r="C12737" s="4" t="n">
        <v>1</v>
      </c>
      <c r="D12737" s="4" t="n">
        <v>1</v>
      </c>
      <c r="E12737" s="4"/>
      <c r="F12737" s="4" t="n">
        <v>39</v>
      </c>
      <c r="G12737" s="4" t="n">
        <v>3</v>
      </c>
      <c r="H12737" s="4" t="n">
        <v>4</v>
      </c>
      <c r="I12737" s="4" t="str">
        <v>×</v>
      </c>
      <c r="J12737" s="4"/>
      <c r="K12737" s="4"/>
      <c r="L12737" s="4"/>
      <c r="M12737" s="7" t="s">
        <v>6503</v>
      </c>
    </row>
    <row r="12738" customFormat="false" ht="15.75" hidden="false" customHeight="false" outlineLevel="0" collapsed="false">
      <c r="A12738" s="6" t="n">
        <f aca="false">DATE(2026,8,23)</f>
        <v>46257</v>
      </c>
      <c r="B12738" s="4" t="s">
        <v>179</v>
      </c>
      <c r="C12738" s="4" t="n">
        <v>1</v>
      </c>
      <c r="D12738" s="4" t="n">
        <v>2</v>
      </c>
      <c r="E12738" s="4" t="s">
        <v>200</v>
      </c>
      <c r="F12738" s="4" t="n">
        <v>39</v>
      </c>
      <c r="G12738" s="4" t="n">
        <v>3</v>
      </c>
      <c r="H12738" s="4" t="n">
        <v>3</v>
      </c>
      <c r="I12738" s="4" t="str">
        <v>○</v>
      </c>
      <c r="J12738" s="4"/>
      <c r="K12738" s="4"/>
      <c r="L12738" s="4"/>
      <c r="M12738" s="7" t="s">
        <v>6503</v>
      </c>
    </row>
    <row r="12739" customFormat="false" ht="15.75" hidden="false" customHeight="false" outlineLevel="0" collapsed="false">
      <c r="A12739" s="6" t="n">
        <f aca="false">DATE(2026,8,23)</f>
        <v>46257</v>
      </c>
      <c r="B12739" s="4" t="s">
        <v>179</v>
      </c>
      <c r="C12739" s="4" t="n">
        <v>1</v>
      </c>
      <c r="D12739" s="4" t="n">
        <v>3</v>
      </c>
      <c r="E12739" s="4"/>
      <c r="F12739" s="4" t="n">
        <v>29</v>
      </c>
      <c r="G12739" s="4" t="n">
        <v>5</v>
      </c>
      <c r="H12739" s="4" t="n">
        <v>4</v>
      </c>
      <c r="I12739" s="4" t="str">
        <v>×</v>
      </c>
      <c r="J12739" s="4"/>
      <c r="K12739" s="4"/>
      <c r="L12739" s="4"/>
      <c r="M12739" s="7" t="s">
        <v>6503</v>
      </c>
    </row>
    <row r="12740" customFormat="false" ht="15.75" hidden="false" customHeight="false" outlineLevel="0" collapsed="false">
      <c r="A12740" s="6" t="n">
        <f aca="false">DATE(2026,8,23)</f>
        <v>46257</v>
      </c>
      <c r="B12740" s="4" t="s">
        <v>179</v>
      </c>
      <c r="C12740" s="4" t="n">
        <v>1</v>
      </c>
      <c r="D12740" s="4" t="n">
        <v>4</v>
      </c>
      <c r="E12740" s="4" t="s">
        <v>2852</v>
      </c>
      <c r="F12740" s="4" t="n">
        <v>65</v>
      </c>
      <c r="G12740" s="4" t="n">
        <v>2</v>
      </c>
      <c r="H12740" s="4" t="n">
        <v>2</v>
      </c>
      <c r="I12740" s="4" t="str">
        <v>○</v>
      </c>
      <c r="J12740" s="4" t="n">
        <v>170</v>
      </c>
      <c r="K12740" s="4"/>
      <c r="L12740" s="4"/>
      <c r="M12740" s="7" t="s">
        <v>6503</v>
      </c>
    </row>
    <row r="12741" customFormat="false" ht="15.75" hidden="false" customHeight="false" outlineLevel="0" collapsed="false">
      <c r="A12741" s="6" t="n">
        <f aca="false">DATE(2026,8,23)</f>
        <v>46257</v>
      </c>
      <c r="B12741" s="4" t="s">
        <v>179</v>
      </c>
      <c r="C12741" s="4" t="n">
        <v>1</v>
      </c>
      <c r="D12741" s="4" t="n">
        <v>5</v>
      </c>
      <c r="E12741" s="4" t="s">
        <v>3586</v>
      </c>
      <c r="F12741" s="4" t="n">
        <v>67</v>
      </c>
      <c r="G12741" s="4" t="n">
        <v>1</v>
      </c>
      <c r="H12741" s="4" t="n">
        <v>1</v>
      </c>
      <c r="I12741" s="4" t="str">
        <v>○</v>
      </c>
      <c r="J12741" s="4" t="n">
        <v>110</v>
      </c>
      <c r="K12741" s="4"/>
      <c r="L12741" s="4"/>
      <c r="M12741" s="7" t="s">
        <v>6503</v>
      </c>
    </row>
    <row r="12742" customFormat="false" ht="15.75" hidden="false" customHeight="false" outlineLevel="0" collapsed="false">
      <c r="A12742" s="6" t="n">
        <f aca="false">DATE(2026,8,23)</f>
        <v>46257</v>
      </c>
      <c r="B12742" s="4" t="s">
        <v>179</v>
      </c>
      <c r="C12742" s="4" t="n">
        <v>1</v>
      </c>
      <c r="D12742" s="4" t="n">
        <v>6</v>
      </c>
      <c r="E12742" s="4"/>
      <c r="F12742" s="4" t="n">
        <v>23</v>
      </c>
      <c r="G12742" s="4" t="n">
        <v>6</v>
      </c>
      <c r="H12742" s="4" t="n">
        <v>4</v>
      </c>
      <c r="I12742" s="4" t="str">
        <v>×</v>
      </c>
      <c r="J12742" s="4"/>
      <c r="K12742" s="4"/>
      <c r="L12742" s="4"/>
      <c r="M12742" s="7" t="s">
        <v>6503</v>
      </c>
    </row>
    <row r="12743" customFormat="false" ht="15.75" hidden="false" customHeight="false" outlineLevel="0" collapsed="false">
      <c r="A12743" s="6" t="n">
        <f aca="false">DATE(2026,8,23)</f>
        <v>46257</v>
      </c>
      <c r="B12743" s="4" t="s">
        <v>179</v>
      </c>
      <c r="C12743" s="4" t="n">
        <v>1</v>
      </c>
      <c r="D12743" s="4" t="n">
        <v>7</v>
      </c>
      <c r="E12743" s="4"/>
      <c r="F12743" s="4" t="n">
        <v>3</v>
      </c>
      <c r="G12743" s="4" t="n">
        <v>7</v>
      </c>
      <c r="H12743" s="4" t="n">
        <v>4</v>
      </c>
      <c r="I12743" s="4" t="str">
        <v>×</v>
      </c>
      <c r="J12743" s="4"/>
      <c r="K12743" s="4"/>
      <c r="L12743" s="4"/>
      <c r="M12743" s="7" t="s">
        <v>6503</v>
      </c>
    </row>
    <row r="12744" customFormat="false" ht="15.75" hidden="false" customHeight="false" outlineLevel="0" collapsed="false">
      <c r="A12744" s="6" t="n">
        <f aca="false">DATE(2026,8,23)</f>
        <v>46257</v>
      </c>
      <c r="B12744" s="4" t="s">
        <v>179</v>
      </c>
      <c r="C12744" s="4" t="n">
        <v>2</v>
      </c>
      <c r="D12744" s="4" t="n">
        <v>1</v>
      </c>
      <c r="E12744" s="4"/>
      <c r="F12744" s="4" t="n">
        <v>37</v>
      </c>
      <c r="G12744" s="4" t="n">
        <v>1</v>
      </c>
      <c r="H12744" s="4" t="n">
        <v>4</v>
      </c>
      <c r="I12744" s="4" t="str">
        <v>×</v>
      </c>
      <c r="J12744" s="4"/>
      <c r="K12744" s="4"/>
      <c r="L12744" s="4"/>
      <c r="M12744" s="7" t="s">
        <v>6503</v>
      </c>
    </row>
    <row r="12745" customFormat="false" ht="15.75" hidden="false" customHeight="false" outlineLevel="0" collapsed="false">
      <c r="A12745" s="6" t="n">
        <f aca="false">DATE(2026,8,23)</f>
        <v>46257</v>
      </c>
      <c r="B12745" s="4" t="s">
        <v>179</v>
      </c>
      <c r="C12745" s="4" t="n">
        <v>2</v>
      </c>
      <c r="D12745" s="4" t="n">
        <v>2</v>
      </c>
      <c r="E12745" s="4" t="s">
        <v>6539</v>
      </c>
      <c r="F12745" s="4" t="n">
        <v>37</v>
      </c>
      <c r="G12745" s="4" t="n">
        <v>1</v>
      </c>
      <c r="H12745" s="4" t="n">
        <v>1</v>
      </c>
      <c r="I12745" s="4" t="str">
        <v>○</v>
      </c>
      <c r="J12745" s="4" t="n">
        <v>120</v>
      </c>
      <c r="K12745" s="4"/>
      <c r="L12745" s="4"/>
      <c r="M12745" s="7" t="s">
        <v>6503</v>
      </c>
    </row>
    <row r="12746" customFormat="false" ht="15.75" hidden="false" customHeight="false" outlineLevel="0" collapsed="false">
      <c r="A12746" s="6" t="n">
        <f aca="false">DATE(2026,8,23)</f>
        <v>46257</v>
      </c>
      <c r="B12746" s="4" t="s">
        <v>179</v>
      </c>
      <c r="C12746" s="4" t="n">
        <v>2</v>
      </c>
      <c r="D12746" s="4" t="n">
        <v>3</v>
      </c>
      <c r="E12746" s="4"/>
      <c r="F12746" s="4" t="n">
        <v>24</v>
      </c>
      <c r="G12746" s="4" t="n">
        <v>4</v>
      </c>
      <c r="H12746" s="4" t="n">
        <v>4</v>
      </c>
      <c r="I12746" s="4" t="str">
        <v>×</v>
      </c>
      <c r="J12746" s="4"/>
      <c r="K12746" s="4"/>
      <c r="L12746" s="4"/>
      <c r="M12746" s="7" t="s">
        <v>6503</v>
      </c>
    </row>
    <row r="12747" customFormat="false" ht="15.75" hidden="false" customHeight="false" outlineLevel="0" collapsed="false">
      <c r="A12747" s="6" t="n">
        <f aca="false">DATE(2026,8,23)</f>
        <v>46257</v>
      </c>
      <c r="B12747" s="4" t="s">
        <v>179</v>
      </c>
      <c r="C12747" s="4" t="n">
        <v>2</v>
      </c>
      <c r="D12747" s="4" t="n">
        <v>4</v>
      </c>
      <c r="E12747" s="4" t="s">
        <v>6540</v>
      </c>
      <c r="F12747" s="4" t="n">
        <v>24</v>
      </c>
      <c r="G12747" s="4" t="n">
        <v>4</v>
      </c>
      <c r="H12747" s="4" t="n">
        <v>2</v>
      </c>
      <c r="I12747" s="4" t="str">
        <v>○</v>
      </c>
      <c r="J12747" s="4" t="n">
        <v>180</v>
      </c>
      <c r="K12747" s="4"/>
      <c r="L12747" s="4"/>
      <c r="M12747" s="7" t="s">
        <v>6503</v>
      </c>
    </row>
    <row r="12748" customFormat="false" ht="15.75" hidden="false" customHeight="false" outlineLevel="0" collapsed="false">
      <c r="A12748" s="6" t="n">
        <f aca="false">DATE(2026,8,23)</f>
        <v>46257</v>
      </c>
      <c r="B12748" s="4" t="s">
        <v>179</v>
      </c>
      <c r="C12748" s="4" t="n">
        <v>2</v>
      </c>
      <c r="D12748" s="4" t="n">
        <v>5</v>
      </c>
      <c r="E12748" s="4"/>
      <c r="F12748" s="4" t="n">
        <v>27</v>
      </c>
      <c r="G12748" s="4" t="n">
        <v>3</v>
      </c>
      <c r="H12748" s="4" t="n">
        <v>4</v>
      </c>
      <c r="I12748" s="4" t="str">
        <v>×</v>
      </c>
      <c r="J12748" s="4"/>
      <c r="K12748" s="4"/>
      <c r="L12748" s="4"/>
      <c r="M12748" s="7" t="s">
        <v>6503</v>
      </c>
    </row>
    <row r="12749" customFormat="false" ht="15.75" hidden="false" customHeight="false" outlineLevel="0" collapsed="false">
      <c r="A12749" s="6" t="n">
        <f aca="false">DATE(2026,8,23)</f>
        <v>46257</v>
      </c>
      <c r="B12749" s="4" t="s">
        <v>179</v>
      </c>
      <c r="C12749" s="4" t="n">
        <v>2</v>
      </c>
      <c r="D12749" s="4" t="n">
        <v>6</v>
      </c>
      <c r="E12749" s="4" t="s">
        <v>6541</v>
      </c>
      <c r="F12749" s="4" t="n">
        <v>21</v>
      </c>
      <c r="G12749" s="4" t="n">
        <v>8</v>
      </c>
      <c r="H12749" s="4" t="n">
        <v>3</v>
      </c>
      <c r="I12749" s="4" t="str">
        <v>○</v>
      </c>
      <c r="J12749" s="4" t="n">
        <v>290</v>
      </c>
      <c r="K12749" s="4"/>
      <c r="L12749" s="4"/>
      <c r="M12749" s="7" t="s">
        <v>6503</v>
      </c>
    </row>
    <row r="12750" customFormat="false" ht="15.75" hidden="false" customHeight="false" outlineLevel="0" collapsed="false">
      <c r="A12750" s="6" t="n">
        <f aca="false">DATE(2026,8,23)</f>
        <v>46257</v>
      </c>
      <c r="B12750" s="4" t="s">
        <v>179</v>
      </c>
      <c r="C12750" s="4" t="n">
        <v>2</v>
      </c>
      <c r="D12750" s="4" t="n">
        <v>7</v>
      </c>
      <c r="E12750" s="4"/>
      <c r="F12750" s="4" t="n">
        <v>24</v>
      </c>
      <c r="G12750" s="4" t="n">
        <v>4</v>
      </c>
      <c r="H12750" s="4" t="n">
        <v>4</v>
      </c>
      <c r="I12750" s="4" t="str">
        <v>×</v>
      </c>
      <c r="J12750" s="4"/>
      <c r="K12750" s="4"/>
      <c r="L12750" s="4"/>
      <c r="M12750" s="7" t="s">
        <v>6503</v>
      </c>
    </row>
    <row r="12751" customFormat="false" ht="15.75" hidden="false" customHeight="false" outlineLevel="0" collapsed="false">
      <c r="A12751" s="6" t="n">
        <f aca="false">DATE(2026,8,23)</f>
        <v>46257</v>
      </c>
      <c r="B12751" s="4" t="s">
        <v>179</v>
      </c>
      <c r="C12751" s="4" t="n">
        <v>2</v>
      </c>
      <c r="D12751" s="4" t="n">
        <v>8</v>
      </c>
      <c r="E12751" s="4"/>
      <c r="F12751" s="4" t="n">
        <v>24</v>
      </c>
      <c r="G12751" s="4" t="n">
        <v>4</v>
      </c>
      <c r="H12751" s="4" t="n">
        <v>4</v>
      </c>
      <c r="I12751" s="4" t="str">
        <v>×</v>
      </c>
      <c r="J12751" s="4"/>
      <c r="K12751" s="4"/>
      <c r="L12751" s="4"/>
      <c r="M12751" s="7" t="s">
        <v>6503</v>
      </c>
    </row>
    <row r="12752" customFormat="false" ht="15.75" hidden="false" customHeight="false" outlineLevel="0" collapsed="false">
      <c r="A12752" s="6" t="n">
        <f aca="false">DATE(2026,8,23)</f>
        <v>46257</v>
      </c>
      <c r="B12752" s="4" t="s">
        <v>179</v>
      </c>
      <c r="C12752" s="4" t="n">
        <v>3</v>
      </c>
      <c r="D12752" s="4" t="n">
        <v>1</v>
      </c>
      <c r="E12752" s="4"/>
      <c r="F12752" s="4" t="n">
        <v>12</v>
      </c>
      <c r="G12752" s="4" t="n">
        <v>9</v>
      </c>
      <c r="H12752" s="4" t="n">
        <v>4</v>
      </c>
      <c r="I12752" s="4" t="str">
        <v>×</v>
      </c>
      <c r="J12752" s="4"/>
      <c r="K12752" s="4"/>
      <c r="L12752" s="4"/>
      <c r="M12752" s="7" t="s">
        <v>6503</v>
      </c>
    </row>
    <row r="12753" customFormat="false" ht="15.75" hidden="false" customHeight="false" outlineLevel="0" collapsed="false">
      <c r="A12753" s="6" t="n">
        <f aca="false">DATE(2026,8,23)</f>
        <v>46257</v>
      </c>
      <c r="B12753" s="4" t="s">
        <v>179</v>
      </c>
      <c r="C12753" s="4" t="n">
        <v>3</v>
      </c>
      <c r="D12753" s="4" t="n">
        <v>2</v>
      </c>
      <c r="E12753" s="4" t="s">
        <v>6542</v>
      </c>
      <c r="F12753" s="4" t="n">
        <v>24</v>
      </c>
      <c r="G12753" s="4" t="n">
        <v>5</v>
      </c>
      <c r="H12753" s="4" t="n">
        <v>3</v>
      </c>
      <c r="I12753" s="4" t="str">
        <v>○</v>
      </c>
      <c r="J12753" s="4" t="n">
        <v>640</v>
      </c>
      <c r="K12753" s="4"/>
      <c r="L12753" s="4"/>
      <c r="M12753" s="7" t="s">
        <v>6503</v>
      </c>
    </row>
    <row r="12754" customFormat="false" ht="15.75" hidden="false" customHeight="false" outlineLevel="0" collapsed="false">
      <c r="A12754" s="6" t="n">
        <f aca="false">DATE(2026,8,23)</f>
        <v>46257</v>
      </c>
      <c r="B12754" s="4" t="s">
        <v>179</v>
      </c>
      <c r="C12754" s="4" t="n">
        <v>3</v>
      </c>
      <c r="D12754" s="4" t="n">
        <v>3</v>
      </c>
      <c r="E12754" s="4"/>
      <c r="F12754" s="4" t="n">
        <v>27</v>
      </c>
      <c r="G12754" s="4" t="n">
        <v>3</v>
      </c>
      <c r="H12754" s="4" t="n">
        <v>4</v>
      </c>
      <c r="I12754" s="4" t="str">
        <v>×</v>
      </c>
      <c r="J12754" s="4"/>
      <c r="K12754" s="4"/>
      <c r="L12754" s="4"/>
      <c r="M12754" s="7" t="s">
        <v>6503</v>
      </c>
    </row>
    <row r="12755" customFormat="false" ht="15.75" hidden="false" customHeight="false" outlineLevel="0" collapsed="false">
      <c r="A12755" s="6" t="n">
        <f aca="false">DATE(2026,8,23)</f>
        <v>46257</v>
      </c>
      <c r="B12755" s="4" t="s">
        <v>179</v>
      </c>
      <c r="C12755" s="4" t="n">
        <v>3</v>
      </c>
      <c r="D12755" s="4" t="n">
        <v>4</v>
      </c>
      <c r="E12755" s="4" t="s">
        <v>6543</v>
      </c>
      <c r="F12755" s="4" t="n">
        <v>31</v>
      </c>
      <c r="G12755" s="4" t="n">
        <v>2</v>
      </c>
      <c r="H12755" s="4" t="n">
        <v>1</v>
      </c>
      <c r="I12755" s="4" t="str">
        <v>○</v>
      </c>
      <c r="J12755" s="4" t="n">
        <v>220</v>
      </c>
      <c r="K12755" s="4"/>
      <c r="L12755" s="4"/>
      <c r="M12755" s="7" t="s">
        <v>6503</v>
      </c>
    </row>
    <row r="12756" customFormat="false" ht="15.75" hidden="false" customHeight="false" outlineLevel="0" collapsed="false">
      <c r="A12756" s="6" t="n">
        <f aca="false">DATE(2026,8,23)</f>
        <v>46257</v>
      </c>
      <c r="B12756" s="4" t="s">
        <v>179</v>
      </c>
      <c r="C12756" s="4" t="n">
        <v>3</v>
      </c>
      <c r="D12756" s="4" t="n">
        <v>5</v>
      </c>
      <c r="E12756" s="4" t="s">
        <v>6544</v>
      </c>
      <c r="F12756" s="4" t="n">
        <v>14</v>
      </c>
      <c r="G12756" s="4" t="n">
        <v>8</v>
      </c>
      <c r="H12756" s="4" t="n">
        <v>2</v>
      </c>
      <c r="I12756" s="4" t="str">
        <v>○</v>
      </c>
      <c r="J12756" s="4" t="n">
        <v>480</v>
      </c>
      <c r="K12756" s="4"/>
      <c r="L12756" s="4"/>
      <c r="M12756" s="7" t="s">
        <v>6503</v>
      </c>
    </row>
    <row r="12757" customFormat="false" ht="15.75" hidden="false" customHeight="false" outlineLevel="0" collapsed="false">
      <c r="A12757" s="6" t="n">
        <f aca="false">DATE(2026,8,23)</f>
        <v>46257</v>
      </c>
      <c r="B12757" s="4" t="s">
        <v>179</v>
      </c>
      <c r="C12757" s="4" t="n">
        <v>3</v>
      </c>
      <c r="D12757" s="4" t="n">
        <v>6</v>
      </c>
      <c r="E12757" s="4"/>
      <c r="F12757" s="4" t="n">
        <v>24</v>
      </c>
      <c r="G12757" s="4" t="n">
        <v>5</v>
      </c>
      <c r="H12757" s="4" t="n">
        <v>4</v>
      </c>
      <c r="I12757" s="4" t="str">
        <v>×</v>
      </c>
      <c r="J12757" s="4"/>
      <c r="K12757" s="4"/>
      <c r="L12757" s="4"/>
      <c r="M12757" s="7" t="s">
        <v>6503</v>
      </c>
    </row>
    <row r="12758" customFormat="false" ht="15.75" hidden="false" customHeight="false" outlineLevel="0" collapsed="false">
      <c r="A12758" s="6" t="n">
        <f aca="false">DATE(2026,8,23)</f>
        <v>46257</v>
      </c>
      <c r="B12758" s="4" t="s">
        <v>179</v>
      </c>
      <c r="C12758" s="4" t="n">
        <v>3</v>
      </c>
      <c r="D12758" s="4" t="n">
        <v>7</v>
      </c>
      <c r="E12758" s="4"/>
      <c r="F12758" s="4" t="n">
        <v>37</v>
      </c>
      <c r="G12758" s="4" t="n">
        <v>1</v>
      </c>
      <c r="H12758" s="4" t="n">
        <v>4</v>
      </c>
      <c r="I12758" s="4" t="str">
        <v>×</v>
      </c>
      <c r="J12758" s="4"/>
      <c r="K12758" s="4"/>
      <c r="L12758" s="4"/>
      <c r="M12758" s="7" t="s">
        <v>6503</v>
      </c>
    </row>
    <row r="12759" customFormat="false" ht="15.75" hidden="false" customHeight="false" outlineLevel="0" collapsed="false">
      <c r="A12759" s="6" t="n">
        <f aca="false">DATE(2026,8,23)</f>
        <v>46257</v>
      </c>
      <c r="B12759" s="4" t="s">
        <v>179</v>
      </c>
      <c r="C12759" s="4" t="n">
        <v>3</v>
      </c>
      <c r="D12759" s="4" t="n">
        <v>8</v>
      </c>
      <c r="E12759" s="4"/>
      <c r="F12759" s="4" t="n">
        <v>21</v>
      </c>
      <c r="G12759" s="4" t="n">
        <v>7</v>
      </c>
      <c r="H12759" s="4" t="n">
        <v>4</v>
      </c>
      <c r="I12759" s="4" t="str">
        <v>×</v>
      </c>
      <c r="J12759" s="4"/>
      <c r="K12759" s="4"/>
      <c r="L12759" s="4"/>
      <c r="M12759" s="7" t="s">
        <v>6503</v>
      </c>
    </row>
    <row r="12760" customFormat="false" ht="15.75" hidden="false" customHeight="false" outlineLevel="0" collapsed="false">
      <c r="A12760" s="6" t="n">
        <f aca="false">DATE(2026,8,23)</f>
        <v>46257</v>
      </c>
      <c r="B12760" s="4" t="s">
        <v>179</v>
      </c>
      <c r="C12760" s="4" t="n">
        <v>3</v>
      </c>
      <c r="D12760" s="4" t="n">
        <v>9</v>
      </c>
      <c r="E12760" s="4"/>
      <c r="F12760" s="4" t="n">
        <v>27</v>
      </c>
      <c r="G12760" s="4" t="n">
        <v>3</v>
      </c>
      <c r="H12760" s="4" t="n">
        <v>4</v>
      </c>
      <c r="I12760" s="4" t="str">
        <v>×</v>
      </c>
      <c r="J12760" s="4"/>
      <c r="K12760" s="4"/>
      <c r="L12760" s="4"/>
      <c r="M12760" s="7" t="s">
        <v>6503</v>
      </c>
    </row>
    <row r="12761" customFormat="false" ht="15.75" hidden="false" customHeight="false" outlineLevel="0" collapsed="false">
      <c r="A12761" s="6" t="n">
        <f aca="false">DATE(2026,8,23)</f>
        <v>46257</v>
      </c>
      <c r="B12761" s="4" t="s">
        <v>179</v>
      </c>
      <c r="C12761" s="4" t="n">
        <v>4</v>
      </c>
      <c r="D12761" s="4" t="n">
        <v>1</v>
      </c>
      <c r="E12761" s="4"/>
      <c r="F12761" s="4" t="n">
        <v>4</v>
      </c>
      <c r="G12761" s="4" t="n">
        <v>13</v>
      </c>
      <c r="H12761" s="4" t="n">
        <v>4</v>
      </c>
      <c r="I12761" s="4" t="str">
        <v>×</v>
      </c>
      <c r="J12761" s="4"/>
      <c r="K12761" s="4"/>
      <c r="L12761" s="4"/>
      <c r="M12761" s="7" t="s">
        <v>6503</v>
      </c>
    </row>
    <row r="12762" customFormat="false" ht="15.75" hidden="false" customHeight="false" outlineLevel="0" collapsed="false">
      <c r="A12762" s="6" t="n">
        <f aca="false">DATE(2026,8,23)</f>
        <v>46257</v>
      </c>
      <c r="B12762" s="4" t="s">
        <v>179</v>
      </c>
      <c r="C12762" s="4" t="n">
        <v>4</v>
      </c>
      <c r="D12762" s="4" t="n">
        <v>2</v>
      </c>
      <c r="E12762" s="4"/>
      <c r="F12762" s="4" t="n">
        <v>71</v>
      </c>
      <c r="G12762" s="4" t="n">
        <v>1</v>
      </c>
      <c r="H12762" s="4" t="n">
        <v>4</v>
      </c>
      <c r="I12762" s="4" t="str">
        <v>×</v>
      </c>
      <c r="J12762" s="4"/>
      <c r="K12762" s="4"/>
      <c r="L12762" s="4"/>
      <c r="M12762" s="7" t="s">
        <v>6503</v>
      </c>
    </row>
    <row r="12763" customFormat="false" ht="15.75" hidden="false" customHeight="false" outlineLevel="0" collapsed="false">
      <c r="A12763" s="6" t="n">
        <f aca="false">DATE(2026,8,23)</f>
        <v>46257</v>
      </c>
      <c r="B12763" s="4" t="s">
        <v>179</v>
      </c>
      <c r="C12763" s="4" t="n">
        <v>4</v>
      </c>
      <c r="D12763" s="4" t="n">
        <v>3</v>
      </c>
      <c r="E12763" s="4"/>
      <c r="F12763" s="4" t="n">
        <v>13</v>
      </c>
      <c r="G12763" s="4" t="n">
        <v>8</v>
      </c>
      <c r="H12763" s="4" t="n">
        <v>4</v>
      </c>
      <c r="I12763" s="4" t="str">
        <v>×</v>
      </c>
      <c r="J12763" s="4"/>
      <c r="K12763" s="4"/>
      <c r="L12763" s="4"/>
      <c r="M12763" s="7" t="s">
        <v>6503</v>
      </c>
    </row>
    <row r="12764" customFormat="false" ht="15.75" hidden="false" customHeight="false" outlineLevel="0" collapsed="false">
      <c r="A12764" s="6" t="n">
        <f aca="false">DATE(2026,8,23)</f>
        <v>46257</v>
      </c>
      <c r="B12764" s="4" t="s">
        <v>179</v>
      </c>
      <c r="C12764" s="4" t="n">
        <v>4</v>
      </c>
      <c r="D12764" s="4" t="n">
        <v>4</v>
      </c>
      <c r="E12764" s="4"/>
      <c r="F12764" s="4" t="n">
        <v>39</v>
      </c>
      <c r="G12764" s="4" t="n">
        <v>4</v>
      </c>
      <c r="H12764" s="4" t="n">
        <v>4</v>
      </c>
      <c r="I12764" s="4" t="str">
        <v>×</v>
      </c>
      <c r="J12764" s="4"/>
      <c r="K12764" s="4"/>
      <c r="L12764" s="4"/>
      <c r="M12764" s="7" t="s">
        <v>6503</v>
      </c>
    </row>
    <row r="12765" customFormat="false" ht="15.75" hidden="false" customHeight="false" outlineLevel="0" collapsed="false">
      <c r="A12765" s="6" t="n">
        <f aca="false">DATE(2026,8,23)</f>
        <v>46257</v>
      </c>
      <c r="B12765" s="4" t="s">
        <v>179</v>
      </c>
      <c r="C12765" s="4" t="n">
        <v>4</v>
      </c>
      <c r="D12765" s="4" t="n">
        <v>5</v>
      </c>
      <c r="E12765" s="4" t="s">
        <v>6545</v>
      </c>
      <c r="F12765" s="4" t="n">
        <v>3</v>
      </c>
      <c r="G12765" s="4" t="n">
        <v>14</v>
      </c>
      <c r="H12765" s="4" t="n">
        <v>3</v>
      </c>
      <c r="I12765" s="4" t="str">
        <v>○</v>
      </c>
      <c r="J12765" s="4" t="n">
        <v>2260</v>
      </c>
      <c r="K12765" s="4"/>
      <c r="L12765" s="4"/>
      <c r="M12765" s="7" t="s">
        <v>6503</v>
      </c>
    </row>
    <row r="12766" customFormat="false" ht="15.75" hidden="false" customHeight="false" outlineLevel="0" collapsed="false">
      <c r="A12766" s="6" t="n">
        <f aca="false">DATE(2026,8,23)</f>
        <v>46257</v>
      </c>
      <c r="B12766" s="4" t="s">
        <v>179</v>
      </c>
      <c r="C12766" s="4" t="n">
        <v>4</v>
      </c>
      <c r="D12766" s="4" t="n">
        <v>6</v>
      </c>
      <c r="E12766" s="4"/>
      <c r="F12766" s="4" t="n">
        <v>10</v>
      </c>
      <c r="G12766" s="4" t="n">
        <v>9</v>
      </c>
      <c r="H12766" s="4" t="n">
        <v>4</v>
      </c>
      <c r="I12766" s="4" t="str">
        <v>×</v>
      </c>
      <c r="J12766" s="4"/>
      <c r="K12766" s="4"/>
      <c r="L12766" s="4"/>
      <c r="M12766" s="7" t="s">
        <v>6503</v>
      </c>
    </row>
    <row r="12767" customFormat="false" ht="15.75" hidden="false" customHeight="false" outlineLevel="0" collapsed="false">
      <c r="A12767" s="6" t="n">
        <f aca="false">DATE(2026,8,23)</f>
        <v>46257</v>
      </c>
      <c r="B12767" s="4" t="s">
        <v>179</v>
      </c>
      <c r="C12767" s="4" t="n">
        <v>4</v>
      </c>
      <c r="D12767" s="4" t="n">
        <v>7</v>
      </c>
      <c r="E12767" s="4" t="s">
        <v>4380</v>
      </c>
      <c r="F12767" s="4" t="n">
        <v>10</v>
      </c>
      <c r="G12767" s="4" t="n">
        <v>9</v>
      </c>
      <c r="H12767" s="4" t="n">
        <v>2</v>
      </c>
      <c r="I12767" s="4" t="str">
        <v>○</v>
      </c>
      <c r="J12767" s="4" t="n">
        <v>1230</v>
      </c>
      <c r="K12767" s="4"/>
      <c r="L12767" s="4"/>
      <c r="M12767" s="7" t="s">
        <v>6503</v>
      </c>
    </row>
    <row r="12768" customFormat="false" ht="15.75" hidden="false" customHeight="false" outlineLevel="0" collapsed="false">
      <c r="A12768" s="6" t="n">
        <f aca="false">DATE(2026,8,23)</f>
        <v>46257</v>
      </c>
      <c r="B12768" s="4" t="s">
        <v>179</v>
      </c>
      <c r="C12768" s="4" t="n">
        <v>4</v>
      </c>
      <c r="D12768" s="4" t="n">
        <v>8</v>
      </c>
      <c r="E12768" s="4"/>
      <c r="F12768" s="4" t="n">
        <v>44</v>
      </c>
      <c r="G12768" s="4" t="n">
        <v>3</v>
      </c>
      <c r="H12768" s="4" t="n">
        <v>4</v>
      </c>
      <c r="I12768" s="4" t="str">
        <v>×</v>
      </c>
      <c r="J12768" s="4"/>
      <c r="K12768" s="4"/>
      <c r="L12768" s="4"/>
      <c r="M12768" s="7" t="s">
        <v>6503</v>
      </c>
    </row>
    <row r="12769" customFormat="false" ht="15.75" hidden="false" customHeight="false" outlineLevel="0" collapsed="false">
      <c r="A12769" s="6" t="n">
        <f aca="false">DATE(2026,8,23)</f>
        <v>46257</v>
      </c>
      <c r="B12769" s="4" t="s">
        <v>179</v>
      </c>
      <c r="C12769" s="4" t="n">
        <v>4</v>
      </c>
      <c r="D12769" s="4" t="n">
        <v>9</v>
      </c>
      <c r="E12769" s="4" t="s">
        <v>5005</v>
      </c>
      <c r="F12769" s="4" t="n">
        <v>31</v>
      </c>
      <c r="G12769" s="4" t="n">
        <v>5</v>
      </c>
      <c r="H12769" s="4" t="n">
        <v>1</v>
      </c>
      <c r="I12769" s="4" t="str">
        <v>○</v>
      </c>
      <c r="J12769" s="4" t="n">
        <v>390</v>
      </c>
      <c r="K12769" s="4"/>
      <c r="L12769" s="4"/>
      <c r="M12769" s="7" t="s">
        <v>6503</v>
      </c>
    </row>
    <row r="12770" customFormat="false" ht="15.75" hidden="false" customHeight="false" outlineLevel="0" collapsed="false">
      <c r="A12770" s="6" t="n">
        <f aca="false">DATE(2026,8,23)</f>
        <v>46257</v>
      </c>
      <c r="B12770" s="4" t="s">
        <v>179</v>
      </c>
      <c r="C12770" s="4" t="n">
        <v>4</v>
      </c>
      <c r="D12770" s="4" t="n">
        <v>10</v>
      </c>
      <c r="E12770" s="4"/>
      <c r="F12770" s="4" t="n">
        <v>17</v>
      </c>
      <c r="G12770" s="4" t="n">
        <v>6</v>
      </c>
      <c r="H12770" s="4" t="n">
        <v>4</v>
      </c>
      <c r="I12770" s="4" t="str">
        <v>×</v>
      </c>
      <c r="J12770" s="4"/>
      <c r="K12770" s="4"/>
      <c r="L12770" s="4"/>
      <c r="M12770" s="7" t="s">
        <v>6503</v>
      </c>
    </row>
    <row r="12771" customFormat="false" ht="15.75" hidden="false" customHeight="false" outlineLevel="0" collapsed="false">
      <c r="A12771" s="6" t="n">
        <f aca="false">DATE(2026,8,23)</f>
        <v>46257</v>
      </c>
      <c r="B12771" s="4" t="s">
        <v>179</v>
      </c>
      <c r="C12771" s="4" t="n">
        <v>4</v>
      </c>
      <c r="D12771" s="4" t="n">
        <v>11</v>
      </c>
      <c r="E12771" s="4"/>
      <c r="F12771" s="4" t="n">
        <v>3</v>
      </c>
      <c r="G12771" s="4" t="n">
        <v>14</v>
      </c>
      <c r="H12771" s="4" t="n">
        <v>4</v>
      </c>
      <c r="I12771" s="4" t="str">
        <v>×</v>
      </c>
      <c r="J12771" s="4"/>
      <c r="K12771" s="4"/>
      <c r="L12771" s="4"/>
      <c r="M12771" s="7" t="s">
        <v>6503</v>
      </c>
    </row>
    <row r="12772" customFormat="false" ht="15.75" hidden="false" customHeight="false" outlineLevel="0" collapsed="false">
      <c r="A12772" s="6" t="n">
        <f aca="false">DATE(2026,8,23)</f>
        <v>46257</v>
      </c>
      <c r="B12772" s="4" t="s">
        <v>179</v>
      </c>
      <c r="C12772" s="4" t="n">
        <v>4</v>
      </c>
      <c r="D12772" s="4" t="n">
        <v>12</v>
      </c>
      <c r="E12772" s="4"/>
      <c r="F12772" s="4" t="n">
        <v>50</v>
      </c>
      <c r="G12772" s="4" t="n">
        <v>2</v>
      </c>
      <c r="H12772" s="4" t="n">
        <v>4</v>
      </c>
      <c r="I12772" s="4" t="str">
        <v>×</v>
      </c>
      <c r="J12772" s="4"/>
      <c r="K12772" s="4"/>
      <c r="L12772" s="4"/>
      <c r="M12772" s="7" t="s">
        <v>6503</v>
      </c>
    </row>
    <row r="12773" customFormat="false" ht="15.75" hidden="false" customHeight="false" outlineLevel="0" collapsed="false">
      <c r="A12773" s="6" t="n">
        <f aca="false">DATE(2026,8,23)</f>
        <v>46257</v>
      </c>
      <c r="B12773" s="4" t="s">
        <v>179</v>
      </c>
      <c r="C12773" s="4" t="n">
        <v>4</v>
      </c>
      <c r="D12773" s="4" t="n">
        <v>13</v>
      </c>
      <c r="E12773" s="4"/>
      <c r="F12773" s="4" t="n">
        <v>8</v>
      </c>
      <c r="G12773" s="4" t="n">
        <v>11</v>
      </c>
      <c r="H12773" s="4" t="n">
        <v>4</v>
      </c>
      <c r="I12773" s="4" t="str">
        <v>×</v>
      </c>
      <c r="J12773" s="4"/>
      <c r="K12773" s="4"/>
      <c r="L12773" s="4"/>
      <c r="M12773" s="7" t="s">
        <v>6503</v>
      </c>
    </row>
    <row r="12774" customFormat="false" ht="15.75" hidden="false" customHeight="false" outlineLevel="0" collapsed="false">
      <c r="A12774" s="6" t="n">
        <f aca="false">DATE(2026,8,23)</f>
        <v>46257</v>
      </c>
      <c r="B12774" s="4" t="s">
        <v>179</v>
      </c>
      <c r="C12774" s="4" t="n">
        <v>4</v>
      </c>
      <c r="D12774" s="4" t="n">
        <v>14</v>
      </c>
      <c r="E12774" s="4"/>
      <c r="F12774" s="4" t="n">
        <v>6</v>
      </c>
      <c r="G12774" s="4" t="n">
        <v>12</v>
      </c>
      <c r="H12774" s="4" t="n">
        <v>4</v>
      </c>
      <c r="I12774" s="4" t="str">
        <v>×</v>
      </c>
      <c r="J12774" s="4"/>
      <c r="K12774" s="4"/>
      <c r="L12774" s="4"/>
      <c r="M12774" s="7" t="s">
        <v>6503</v>
      </c>
    </row>
    <row r="12775" customFormat="false" ht="15.75" hidden="false" customHeight="false" outlineLevel="0" collapsed="false">
      <c r="A12775" s="6" t="n">
        <f aca="false">DATE(2026,8,23)</f>
        <v>46257</v>
      </c>
      <c r="B12775" s="4" t="s">
        <v>179</v>
      </c>
      <c r="C12775" s="4" t="n">
        <v>4</v>
      </c>
      <c r="D12775" s="4" t="n">
        <v>15</v>
      </c>
      <c r="E12775" s="4"/>
      <c r="F12775" s="4" t="n">
        <v>17</v>
      </c>
      <c r="G12775" s="4" t="n">
        <v>6</v>
      </c>
      <c r="H12775" s="4" t="n">
        <v>4</v>
      </c>
      <c r="I12775" s="4" t="str">
        <v>×</v>
      </c>
      <c r="J12775" s="4"/>
      <c r="K12775" s="4"/>
      <c r="L12775" s="4"/>
      <c r="M12775" s="7" t="s">
        <v>6503</v>
      </c>
    </row>
    <row r="12776" customFormat="false" ht="15.75" hidden="false" customHeight="false" outlineLevel="0" collapsed="false">
      <c r="A12776" s="6" t="n">
        <f aca="false">DATE(2026,8,23)</f>
        <v>46257</v>
      </c>
      <c r="B12776" s="4" t="s">
        <v>179</v>
      </c>
      <c r="C12776" s="4" t="n">
        <v>5</v>
      </c>
      <c r="D12776" s="4" t="n">
        <v>1</v>
      </c>
      <c r="E12776" s="4"/>
      <c r="F12776" s="4" t="n">
        <v>17</v>
      </c>
      <c r="G12776" s="4" t="n">
        <v>6</v>
      </c>
      <c r="H12776" s="4" t="n">
        <v>4</v>
      </c>
      <c r="I12776" s="4" t="str">
        <v>×</v>
      </c>
      <c r="J12776" s="4"/>
      <c r="K12776" s="4"/>
      <c r="L12776" s="4"/>
      <c r="M12776" s="7" t="s">
        <v>6503</v>
      </c>
    </row>
    <row r="12777" customFormat="false" ht="15.75" hidden="false" customHeight="false" outlineLevel="0" collapsed="false">
      <c r="A12777" s="6" t="n">
        <f aca="false">DATE(2026,8,23)</f>
        <v>46257</v>
      </c>
      <c r="B12777" s="4" t="s">
        <v>179</v>
      </c>
      <c r="C12777" s="4" t="n">
        <v>5</v>
      </c>
      <c r="D12777" s="4" t="n">
        <v>2</v>
      </c>
      <c r="E12777" s="4"/>
      <c r="F12777" s="4" t="n">
        <v>10</v>
      </c>
      <c r="G12777" s="4" t="n">
        <v>11</v>
      </c>
      <c r="H12777" s="4" t="n">
        <v>4</v>
      </c>
      <c r="I12777" s="4" t="str">
        <v>×</v>
      </c>
      <c r="J12777" s="4"/>
      <c r="K12777" s="4"/>
      <c r="L12777" s="4"/>
      <c r="M12777" s="7" t="s">
        <v>6503</v>
      </c>
    </row>
    <row r="12778" customFormat="false" ht="15.75" hidden="false" customHeight="false" outlineLevel="0" collapsed="false">
      <c r="A12778" s="6" t="n">
        <f aca="false">DATE(2026,8,23)</f>
        <v>46257</v>
      </c>
      <c r="B12778" s="4" t="s">
        <v>179</v>
      </c>
      <c r="C12778" s="4" t="n">
        <v>5</v>
      </c>
      <c r="D12778" s="4" t="n">
        <v>3</v>
      </c>
      <c r="E12778" s="4"/>
      <c r="F12778" s="4" t="n">
        <v>37</v>
      </c>
      <c r="G12778" s="4" t="n">
        <v>2</v>
      </c>
      <c r="H12778" s="4" t="n">
        <v>4</v>
      </c>
      <c r="I12778" s="4" t="str">
        <v>×</v>
      </c>
      <c r="J12778" s="4"/>
      <c r="K12778" s="4"/>
      <c r="L12778" s="4"/>
      <c r="M12778" s="7" t="s">
        <v>6503</v>
      </c>
    </row>
    <row r="12779" customFormat="false" ht="15.75" hidden="false" customHeight="false" outlineLevel="0" collapsed="false">
      <c r="A12779" s="6" t="n">
        <f aca="false">DATE(2026,8,23)</f>
        <v>46257</v>
      </c>
      <c r="B12779" s="4" t="s">
        <v>179</v>
      </c>
      <c r="C12779" s="4" t="n">
        <v>5</v>
      </c>
      <c r="D12779" s="4" t="n">
        <v>4</v>
      </c>
      <c r="E12779" s="4"/>
      <c r="F12779" s="4" t="n">
        <v>15</v>
      </c>
      <c r="G12779" s="4" t="n">
        <v>7</v>
      </c>
      <c r="H12779" s="4" t="n">
        <v>4</v>
      </c>
      <c r="I12779" s="4" t="str">
        <v>×</v>
      </c>
      <c r="J12779" s="4"/>
      <c r="K12779" s="4"/>
      <c r="L12779" s="4"/>
      <c r="M12779" s="7" t="s">
        <v>6503</v>
      </c>
    </row>
    <row r="12780" customFormat="false" ht="15.75" hidden="false" customHeight="false" outlineLevel="0" collapsed="false">
      <c r="A12780" s="6" t="n">
        <f aca="false">DATE(2026,8,23)</f>
        <v>46257</v>
      </c>
      <c r="B12780" s="4" t="s">
        <v>179</v>
      </c>
      <c r="C12780" s="4" t="n">
        <v>5</v>
      </c>
      <c r="D12780" s="4" t="n">
        <v>5</v>
      </c>
      <c r="E12780" s="4"/>
      <c r="F12780" s="4" t="n">
        <v>23</v>
      </c>
      <c r="G12780" s="4" t="n">
        <v>5</v>
      </c>
      <c r="H12780" s="4" t="n">
        <v>4</v>
      </c>
      <c r="I12780" s="4" t="str">
        <v>×</v>
      </c>
      <c r="J12780" s="4"/>
      <c r="K12780" s="4"/>
      <c r="L12780" s="4"/>
      <c r="M12780" s="7" t="s">
        <v>6503</v>
      </c>
    </row>
    <row r="12781" customFormat="false" ht="15.75" hidden="false" customHeight="false" outlineLevel="0" collapsed="false">
      <c r="A12781" s="6" t="n">
        <f aca="false">DATE(2026,8,23)</f>
        <v>46257</v>
      </c>
      <c r="B12781" s="4" t="s">
        <v>179</v>
      </c>
      <c r="C12781" s="4" t="n">
        <v>5</v>
      </c>
      <c r="D12781" s="4" t="n">
        <v>6</v>
      </c>
      <c r="E12781" s="4" t="s">
        <v>3681</v>
      </c>
      <c r="F12781" s="4" t="n">
        <v>60</v>
      </c>
      <c r="G12781" s="4" t="n">
        <v>1</v>
      </c>
      <c r="H12781" s="4" t="n">
        <v>3</v>
      </c>
      <c r="I12781" s="4" t="str">
        <v>○</v>
      </c>
      <c r="J12781" s="4" t="n">
        <v>110</v>
      </c>
      <c r="K12781" s="4"/>
      <c r="L12781" s="4"/>
      <c r="M12781" s="7" t="s">
        <v>6503</v>
      </c>
    </row>
    <row r="12782" customFormat="false" ht="15.75" hidden="false" customHeight="false" outlineLevel="0" collapsed="false">
      <c r="A12782" s="6" t="n">
        <f aca="false">DATE(2026,8,23)</f>
        <v>46257</v>
      </c>
      <c r="B12782" s="4" t="s">
        <v>179</v>
      </c>
      <c r="C12782" s="4" t="n">
        <v>5</v>
      </c>
      <c r="D12782" s="4" t="n">
        <v>7</v>
      </c>
      <c r="E12782" s="4" t="s">
        <v>6546</v>
      </c>
      <c r="F12782" s="4" t="n">
        <v>13</v>
      </c>
      <c r="G12782" s="4" t="n">
        <v>9</v>
      </c>
      <c r="H12782" s="4" t="n">
        <v>2</v>
      </c>
      <c r="I12782" s="4" t="str">
        <v>○</v>
      </c>
      <c r="J12782" s="4" t="n">
        <v>790</v>
      </c>
      <c r="K12782" s="4"/>
      <c r="L12782" s="4"/>
      <c r="M12782" s="7" t="s">
        <v>6503</v>
      </c>
    </row>
    <row r="12783" customFormat="false" ht="15.75" hidden="false" customHeight="false" outlineLevel="0" collapsed="false">
      <c r="A12783" s="6" t="n">
        <f aca="false">DATE(2026,8,23)</f>
        <v>46257</v>
      </c>
      <c r="B12783" s="4" t="s">
        <v>179</v>
      </c>
      <c r="C12783" s="4" t="n">
        <v>5</v>
      </c>
      <c r="D12783" s="4" t="n">
        <v>8</v>
      </c>
      <c r="E12783" s="4"/>
      <c r="F12783" s="4" t="n">
        <v>13</v>
      </c>
      <c r="G12783" s="4" t="n">
        <v>9</v>
      </c>
      <c r="H12783" s="4" t="n">
        <v>4</v>
      </c>
      <c r="I12783" s="4" t="str">
        <v>×</v>
      </c>
      <c r="J12783" s="4"/>
      <c r="K12783" s="4"/>
      <c r="L12783" s="4"/>
      <c r="M12783" s="7" t="s">
        <v>6503</v>
      </c>
    </row>
    <row r="12784" customFormat="false" ht="15.75" hidden="false" customHeight="false" outlineLevel="0" collapsed="false">
      <c r="A12784" s="6" t="n">
        <f aca="false">DATE(2026,8,23)</f>
        <v>46257</v>
      </c>
      <c r="B12784" s="4" t="s">
        <v>179</v>
      </c>
      <c r="C12784" s="4" t="n">
        <v>5</v>
      </c>
      <c r="D12784" s="4" t="n">
        <v>9</v>
      </c>
      <c r="E12784" s="4"/>
      <c r="F12784" s="4" t="n">
        <v>25</v>
      </c>
      <c r="G12784" s="4" t="n">
        <v>4</v>
      </c>
      <c r="H12784" s="4" t="n">
        <v>4</v>
      </c>
      <c r="I12784" s="4" t="str">
        <v>×</v>
      </c>
      <c r="J12784" s="4"/>
      <c r="K12784" s="4"/>
      <c r="L12784" s="4"/>
      <c r="M12784" s="7" t="s">
        <v>6503</v>
      </c>
    </row>
    <row r="12785" customFormat="false" ht="15.75" hidden="false" customHeight="false" outlineLevel="0" collapsed="false">
      <c r="A12785" s="6" t="n">
        <f aca="false">DATE(2026,8,23)</f>
        <v>46257</v>
      </c>
      <c r="B12785" s="4" t="s">
        <v>179</v>
      </c>
      <c r="C12785" s="4" t="n">
        <v>5</v>
      </c>
      <c r="D12785" s="4" t="n">
        <v>10</v>
      </c>
      <c r="E12785" s="4"/>
      <c r="F12785" s="4" t="n">
        <v>15</v>
      </c>
      <c r="G12785" s="4" t="n">
        <v>7</v>
      </c>
      <c r="H12785" s="4" t="n">
        <v>4</v>
      </c>
      <c r="I12785" s="4" t="str">
        <v>×</v>
      </c>
      <c r="J12785" s="4"/>
      <c r="K12785" s="4"/>
      <c r="L12785" s="4"/>
      <c r="M12785" s="7" t="s">
        <v>6503</v>
      </c>
    </row>
    <row r="12786" customFormat="false" ht="15.75" hidden="false" customHeight="false" outlineLevel="0" collapsed="false">
      <c r="A12786" s="6" t="n">
        <f aca="false">DATE(2026,8,23)</f>
        <v>46257</v>
      </c>
      <c r="B12786" s="4" t="s">
        <v>179</v>
      </c>
      <c r="C12786" s="4" t="n">
        <v>5</v>
      </c>
      <c r="D12786" s="4" t="n">
        <v>11</v>
      </c>
      <c r="E12786" s="4" t="s">
        <v>3677</v>
      </c>
      <c r="F12786" s="4" t="n">
        <v>37</v>
      </c>
      <c r="G12786" s="4" t="n">
        <v>2</v>
      </c>
      <c r="H12786" s="4" t="n">
        <v>1</v>
      </c>
      <c r="I12786" s="4" t="str">
        <v>○</v>
      </c>
      <c r="J12786" s="4" t="n">
        <v>210</v>
      </c>
      <c r="K12786" s="4"/>
      <c r="L12786" s="4"/>
      <c r="M12786" s="7" t="s">
        <v>6503</v>
      </c>
    </row>
    <row r="12787" customFormat="false" ht="15.75" hidden="false" customHeight="false" outlineLevel="0" collapsed="false">
      <c r="A12787" s="6" t="n">
        <f aca="false">DATE(2026,8,23)</f>
        <v>46257</v>
      </c>
      <c r="B12787" s="4" t="s">
        <v>179</v>
      </c>
      <c r="C12787" s="4" t="n">
        <v>6</v>
      </c>
      <c r="D12787" s="4" t="n">
        <v>1</v>
      </c>
      <c r="E12787" s="4"/>
      <c r="F12787" s="4" t="n">
        <v>6</v>
      </c>
      <c r="G12787" s="4" t="n">
        <v>14</v>
      </c>
      <c r="H12787" s="4" t="n">
        <v>4</v>
      </c>
      <c r="I12787" s="4" t="str">
        <v>×</v>
      </c>
      <c r="J12787" s="4"/>
      <c r="K12787" s="4"/>
      <c r="L12787" s="4"/>
      <c r="M12787" s="7" t="s">
        <v>6503</v>
      </c>
    </row>
    <row r="12788" customFormat="false" ht="15.75" hidden="false" customHeight="false" outlineLevel="0" collapsed="false">
      <c r="A12788" s="6" t="n">
        <f aca="false">DATE(2026,8,23)</f>
        <v>46257</v>
      </c>
      <c r="B12788" s="4" t="s">
        <v>179</v>
      </c>
      <c r="C12788" s="4" t="n">
        <v>6</v>
      </c>
      <c r="D12788" s="4" t="n">
        <v>2</v>
      </c>
      <c r="E12788" s="4" t="s">
        <v>5951</v>
      </c>
      <c r="F12788" s="4" t="n">
        <v>15</v>
      </c>
      <c r="G12788" s="4" t="n">
        <v>10</v>
      </c>
      <c r="H12788" s="4" t="n">
        <v>3</v>
      </c>
      <c r="I12788" s="4" t="str">
        <v>○</v>
      </c>
      <c r="J12788" s="4" t="n">
        <v>540</v>
      </c>
      <c r="K12788" s="4"/>
      <c r="L12788" s="4"/>
      <c r="M12788" s="7" t="s">
        <v>6503</v>
      </c>
    </row>
    <row r="12789" customFormat="false" ht="15.75" hidden="false" customHeight="false" outlineLevel="0" collapsed="false">
      <c r="A12789" s="6" t="n">
        <f aca="false">DATE(2026,8,23)</f>
        <v>46257</v>
      </c>
      <c r="B12789" s="4" t="s">
        <v>179</v>
      </c>
      <c r="C12789" s="4" t="n">
        <v>6</v>
      </c>
      <c r="D12789" s="4" t="n">
        <v>3</v>
      </c>
      <c r="E12789" s="4" t="s">
        <v>5872</v>
      </c>
      <c r="F12789" s="4" t="n">
        <v>58</v>
      </c>
      <c r="G12789" s="4" t="n">
        <v>1</v>
      </c>
      <c r="H12789" s="4" t="n">
        <v>2</v>
      </c>
      <c r="I12789" s="4" t="str">
        <v>○</v>
      </c>
      <c r="J12789" s="4" t="n">
        <v>210</v>
      </c>
      <c r="K12789" s="4"/>
      <c r="L12789" s="4"/>
      <c r="M12789" s="7" t="s">
        <v>6503</v>
      </c>
    </row>
    <row r="12790" customFormat="false" ht="15.75" hidden="false" customHeight="false" outlineLevel="0" collapsed="false">
      <c r="A12790" s="6" t="n">
        <f aca="false">DATE(2026,8,23)</f>
        <v>46257</v>
      </c>
      <c r="B12790" s="4" t="s">
        <v>179</v>
      </c>
      <c r="C12790" s="4" t="n">
        <v>6</v>
      </c>
      <c r="D12790" s="4" t="n">
        <v>4</v>
      </c>
      <c r="E12790" s="4"/>
      <c r="F12790" s="4" t="n">
        <v>17</v>
      </c>
      <c r="G12790" s="4" t="n">
        <v>8</v>
      </c>
      <c r="H12790" s="4" t="n">
        <v>4</v>
      </c>
      <c r="I12790" s="4" t="str">
        <v>×</v>
      </c>
      <c r="J12790" s="4"/>
      <c r="K12790" s="4"/>
      <c r="L12790" s="4"/>
      <c r="M12790" s="7" t="s">
        <v>6503</v>
      </c>
    </row>
    <row r="12791" customFormat="false" ht="15.75" hidden="false" customHeight="false" outlineLevel="0" collapsed="false">
      <c r="A12791" s="6" t="n">
        <f aca="false">DATE(2026,8,23)</f>
        <v>46257</v>
      </c>
      <c r="B12791" s="4" t="s">
        <v>179</v>
      </c>
      <c r="C12791" s="4" t="n">
        <v>6</v>
      </c>
      <c r="D12791" s="4" t="n">
        <v>5</v>
      </c>
      <c r="E12791" s="4" t="s">
        <v>5942</v>
      </c>
      <c r="F12791" s="4" t="n">
        <v>25</v>
      </c>
      <c r="G12791" s="4" t="n">
        <v>5</v>
      </c>
      <c r="H12791" s="4" t="n">
        <v>1</v>
      </c>
      <c r="I12791" s="4" t="str">
        <v>○</v>
      </c>
      <c r="J12791" s="4" t="n">
        <v>180</v>
      </c>
      <c r="K12791" s="4"/>
      <c r="L12791" s="4"/>
      <c r="M12791" s="7" t="s">
        <v>6503</v>
      </c>
    </row>
    <row r="12792" customFormat="false" ht="15.75" hidden="false" customHeight="false" outlineLevel="0" collapsed="false">
      <c r="A12792" s="6" t="n">
        <f aca="false">DATE(2026,8,23)</f>
        <v>46257</v>
      </c>
      <c r="B12792" s="4" t="s">
        <v>179</v>
      </c>
      <c r="C12792" s="4" t="n">
        <v>6</v>
      </c>
      <c r="D12792" s="4" t="n">
        <v>6</v>
      </c>
      <c r="E12792" s="4"/>
      <c r="F12792" s="4" t="n">
        <v>10</v>
      </c>
      <c r="G12792" s="4" t="n">
        <v>11</v>
      </c>
      <c r="H12792" s="4" t="n">
        <v>4</v>
      </c>
      <c r="I12792" s="4" t="str">
        <v>×</v>
      </c>
      <c r="J12792" s="4"/>
      <c r="K12792" s="4"/>
      <c r="L12792" s="4"/>
      <c r="M12792" s="7" t="s">
        <v>6503</v>
      </c>
    </row>
    <row r="12793" customFormat="false" ht="15.75" hidden="false" customHeight="false" outlineLevel="0" collapsed="false">
      <c r="A12793" s="6" t="n">
        <f aca="false">DATE(2026,8,23)</f>
        <v>46257</v>
      </c>
      <c r="B12793" s="4" t="s">
        <v>179</v>
      </c>
      <c r="C12793" s="4" t="n">
        <v>6</v>
      </c>
      <c r="D12793" s="4" t="n">
        <v>7</v>
      </c>
      <c r="E12793" s="4"/>
      <c r="F12793" s="4" t="n">
        <v>20</v>
      </c>
      <c r="G12793" s="4" t="n">
        <v>7</v>
      </c>
      <c r="H12793" s="4" t="n">
        <v>4</v>
      </c>
      <c r="I12793" s="4" t="str">
        <v>×</v>
      </c>
      <c r="J12793" s="4"/>
      <c r="K12793" s="4"/>
      <c r="L12793" s="4"/>
      <c r="M12793" s="7" t="s">
        <v>6503</v>
      </c>
    </row>
    <row r="12794" customFormat="false" ht="15.75" hidden="false" customHeight="false" outlineLevel="0" collapsed="false">
      <c r="A12794" s="6" t="n">
        <f aca="false">DATE(2026,8,23)</f>
        <v>46257</v>
      </c>
      <c r="B12794" s="4" t="s">
        <v>179</v>
      </c>
      <c r="C12794" s="4" t="n">
        <v>6</v>
      </c>
      <c r="D12794" s="4" t="n">
        <v>8</v>
      </c>
      <c r="E12794" s="4"/>
      <c r="F12794" s="4" t="n">
        <v>17</v>
      </c>
      <c r="G12794" s="4" t="n">
        <v>8</v>
      </c>
      <c r="H12794" s="4" t="n">
        <v>4</v>
      </c>
      <c r="I12794" s="4" t="str">
        <v>×</v>
      </c>
      <c r="J12794" s="4"/>
      <c r="K12794" s="4"/>
      <c r="L12794" s="4"/>
      <c r="M12794" s="7" t="s">
        <v>6503</v>
      </c>
    </row>
    <row r="12795" customFormat="false" ht="15.75" hidden="false" customHeight="false" outlineLevel="0" collapsed="false">
      <c r="A12795" s="6" t="n">
        <f aca="false">DATE(2026,8,23)</f>
        <v>46257</v>
      </c>
      <c r="B12795" s="4" t="s">
        <v>179</v>
      </c>
      <c r="C12795" s="4" t="n">
        <v>6</v>
      </c>
      <c r="D12795" s="4" t="n">
        <v>9</v>
      </c>
      <c r="E12795" s="4"/>
      <c r="F12795" s="4" t="n">
        <v>23</v>
      </c>
      <c r="G12795" s="4" t="n">
        <v>6</v>
      </c>
      <c r="H12795" s="4" t="n">
        <v>4</v>
      </c>
      <c r="I12795" s="4" t="str">
        <v>×</v>
      </c>
      <c r="J12795" s="4"/>
      <c r="K12795" s="4"/>
      <c r="L12795" s="4"/>
      <c r="M12795" s="7" t="s">
        <v>6503</v>
      </c>
    </row>
    <row r="12796" customFormat="false" ht="15.75" hidden="false" customHeight="false" outlineLevel="0" collapsed="false">
      <c r="A12796" s="6" t="n">
        <f aca="false">DATE(2026,8,23)</f>
        <v>46257</v>
      </c>
      <c r="B12796" s="4" t="s">
        <v>179</v>
      </c>
      <c r="C12796" s="4" t="n">
        <v>6</v>
      </c>
      <c r="D12796" s="4" t="n">
        <v>10</v>
      </c>
      <c r="E12796" s="4"/>
      <c r="F12796" s="4" t="n">
        <v>44</v>
      </c>
      <c r="G12796" s="4" t="n">
        <v>2</v>
      </c>
      <c r="H12796" s="4" t="n">
        <v>4</v>
      </c>
      <c r="I12796" s="4" t="str">
        <v>×</v>
      </c>
      <c r="J12796" s="4"/>
      <c r="K12796" s="4"/>
      <c r="L12796" s="4"/>
      <c r="M12796" s="7" t="s">
        <v>6503</v>
      </c>
    </row>
    <row r="12797" customFormat="false" ht="15.75" hidden="false" customHeight="false" outlineLevel="0" collapsed="false">
      <c r="A12797" s="6" t="n">
        <f aca="false">DATE(2026,8,23)</f>
        <v>46257</v>
      </c>
      <c r="B12797" s="4" t="s">
        <v>179</v>
      </c>
      <c r="C12797" s="4" t="n">
        <v>6</v>
      </c>
      <c r="D12797" s="4" t="n">
        <v>11</v>
      </c>
      <c r="E12797" s="4"/>
      <c r="F12797" s="4" t="n">
        <v>37</v>
      </c>
      <c r="G12797" s="4" t="n">
        <v>3</v>
      </c>
      <c r="H12797" s="4" t="n">
        <v>4</v>
      </c>
      <c r="I12797" s="4" t="str">
        <v>×</v>
      </c>
      <c r="J12797" s="4"/>
      <c r="K12797" s="4"/>
      <c r="L12797" s="4"/>
      <c r="M12797" s="7" t="s">
        <v>6503</v>
      </c>
    </row>
    <row r="12798" customFormat="false" ht="15.75" hidden="false" customHeight="false" outlineLevel="0" collapsed="false">
      <c r="A12798" s="6" t="n">
        <f aca="false">DATE(2026,8,23)</f>
        <v>46257</v>
      </c>
      <c r="B12798" s="4" t="s">
        <v>179</v>
      </c>
      <c r="C12798" s="4" t="n">
        <v>6</v>
      </c>
      <c r="D12798" s="4" t="n">
        <v>12</v>
      </c>
      <c r="E12798" s="4"/>
      <c r="F12798" s="4" t="n">
        <v>37</v>
      </c>
      <c r="G12798" s="4" t="n">
        <v>3</v>
      </c>
      <c r="H12798" s="4" t="n">
        <v>4</v>
      </c>
      <c r="I12798" s="4" t="str">
        <v>×</v>
      </c>
      <c r="J12798" s="4"/>
      <c r="K12798" s="4"/>
      <c r="L12798" s="4"/>
      <c r="M12798" s="7" t="s">
        <v>6503</v>
      </c>
    </row>
    <row r="12799" customFormat="false" ht="15.75" hidden="false" customHeight="false" outlineLevel="0" collapsed="false">
      <c r="A12799" s="6" t="n">
        <f aca="false">DATE(2026,8,23)</f>
        <v>46257</v>
      </c>
      <c r="B12799" s="4" t="s">
        <v>179</v>
      </c>
      <c r="C12799" s="4" t="n">
        <v>6</v>
      </c>
      <c r="D12799" s="4" t="n">
        <v>13</v>
      </c>
      <c r="E12799" s="4"/>
      <c r="F12799" s="4" t="n">
        <v>10</v>
      </c>
      <c r="G12799" s="4" t="n">
        <v>11</v>
      </c>
      <c r="H12799" s="4" t="n">
        <v>4</v>
      </c>
      <c r="I12799" s="4" t="str">
        <v>×</v>
      </c>
      <c r="J12799" s="4"/>
      <c r="K12799" s="4"/>
      <c r="L12799" s="4"/>
      <c r="M12799" s="7" t="s">
        <v>6503</v>
      </c>
    </row>
    <row r="12800" customFormat="false" ht="15.75" hidden="false" customHeight="false" outlineLevel="0" collapsed="false">
      <c r="A12800" s="6" t="n">
        <f aca="false">DATE(2026,8,23)</f>
        <v>46257</v>
      </c>
      <c r="B12800" s="4" t="s">
        <v>179</v>
      </c>
      <c r="C12800" s="4" t="n">
        <v>6</v>
      </c>
      <c r="D12800" s="4" t="n">
        <v>14</v>
      </c>
      <c r="E12800" s="4"/>
      <c r="F12800" s="4" t="n">
        <v>8</v>
      </c>
      <c r="G12800" s="4" t="n">
        <v>13</v>
      </c>
      <c r="H12800" s="4" t="n">
        <v>4</v>
      </c>
      <c r="I12800" s="4" t="str">
        <v>×</v>
      </c>
      <c r="J12800" s="4"/>
      <c r="K12800" s="4"/>
      <c r="L12800" s="4"/>
      <c r="M12800" s="7" t="s">
        <v>6503</v>
      </c>
    </row>
    <row r="12801" customFormat="false" ht="15.75" hidden="false" customHeight="false" outlineLevel="0" collapsed="false">
      <c r="A12801" s="6" t="n">
        <f aca="false">DATE(2026,8,23)</f>
        <v>46257</v>
      </c>
      <c r="B12801" s="4" t="s">
        <v>179</v>
      </c>
      <c r="C12801" s="4" t="n">
        <v>7</v>
      </c>
      <c r="D12801" s="4" t="n">
        <v>1</v>
      </c>
      <c r="E12801" s="4" t="s">
        <v>6547</v>
      </c>
      <c r="F12801" s="4" t="n">
        <v>37</v>
      </c>
      <c r="G12801" s="4" t="n">
        <v>3</v>
      </c>
      <c r="H12801" s="4" t="n">
        <v>1</v>
      </c>
      <c r="I12801" s="4" t="str">
        <v>○</v>
      </c>
      <c r="J12801" s="4" t="n">
        <v>190</v>
      </c>
      <c r="K12801" s="4"/>
      <c r="L12801" s="4"/>
      <c r="M12801" s="7" t="s">
        <v>6503</v>
      </c>
    </row>
    <row r="12802" customFormat="false" ht="15.75" hidden="false" customHeight="false" outlineLevel="0" collapsed="false">
      <c r="A12802" s="6" t="n">
        <f aca="false">DATE(2026,8,23)</f>
        <v>46257</v>
      </c>
      <c r="B12802" s="4" t="s">
        <v>179</v>
      </c>
      <c r="C12802" s="4" t="n">
        <v>7</v>
      </c>
      <c r="D12802" s="4" t="n">
        <v>2</v>
      </c>
      <c r="E12802" s="4"/>
      <c r="F12802" s="4" t="n">
        <v>47</v>
      </c>
      <c r="G12802" s="4" t="n">
        <v>1</v>
      </c>
      <c r="H12802" s="4" t="n">
        <v>4</v>
      </c>
      <c r="I12802" s="4" t="str">
        <v>×</v>
      </c>
      <c r="J12802" s="4"/>
      <c r="K12802" s="4"/>
      <c r="L12802" s="4"/>
      <c r="M12802" s="7" t="s">
        <v>6503</v>
      </c>
    </row>
    <row r="12803" customFormat="false" ht="15.75" hidden="false" customHeight="false" outlineLevel="0" collapsed="false">
      <c r="A12803" s="6" t="n">
        <f aca="false">DATE(2026,8,23)</f>
        <v>46257</v>
      </c>
      <c r="B12803" s="4" t="s">
        <v>179</v>
      </c>
      <c r="C12803" s="4" t="n">
        <v>7</v>
      </c>
      <c r="D12803" s="4" t="n">
        <v>3</v>
      </c>
      <c r="E12803" s="4"/>
      <c r="F12803" s="4" t="n">
        <v>4</v>
      </c>
      <c r="G12803" s="4" t="n">
        <v>12</v>
      </c>
      <c r="H12803" s="4" t="n">
        <v>4</v>
      </c>
      <c r="I12803" s="4" t="str">
        <v>×</v>
      </c>
      <c r="J12803" s="4"/>
      <c r="K12803" s="4"/>
      <c r="L12803" s="4"/>
      <c r="M12803" s="7" t="s">
        <v>6503</v>
      </c>
    </row>
    <row r="12804" customFormat="false" ht="15.75" hidden="false" customHeight="false" outlineLevel="0" collapsed="false">
      <c r="A12804" s="6" t="n">
        <f aca="false">DATE(2026,8,23)</f>
        <v>46257</v>
      </c>
      <c r="B12804" s="4" t="s">
        <v>179</v>
      </c>
      <c r="C12804" s="4" t="n">
        <v>7</v>
      </c>
      <c r="D12804" s="4" t="n">
        <v>4</v>
      </c>
      <c r="E12804" s="4"/>
      <c r="F12804" s="4" t="n">
        <v>23</v>
      </c>
      <c r="G12804" s="4" t="n">
        <v>6</v>
      </c>
      <c r="H12804" s="4" t="n">
        <v>4</v>
      </c>
      <c r="I12804" s="4" t="str">
        <v>×</v>
      </c>
      <c r="J12804" s="4"/>
      <c r="K12804" s="4"/>
      <c r="L12804" s="4"/>
      <c r="M12804" s="7" t="s">
        <v>6503</v>
      </c>
    </row>
    <row r="12805" customFormat="false" ht="15.75" hidden="false" customHeight="false" outlineLevel="0" collapsed="false">
      <c r="A12805" s="6" t="n">
        <f aca="false">DATE(2026,8,23)</f>
        <v>46257</v>
      </c>
      <c r="B12805" s="4" t="s">
        <v>179</v>
      </c>
      <c r="C12805" s="4" t="n">
        <v>7</v>
      </c>
      <c r="D12805" s="4" t="n">
        <v>5</v>
      </c>
      <c r="E12805" s="4"/>
      <c r="F12805" s="4" t="n">
        <v>37</v>
      </c>
      <c r="G12805" s="4" t="n">
        <v>3</v>
      </c>
      <c r="H12805" s="4" t="n">
        <v>4</v>
      </c>
      <c r="I12805" s="4" t="str">
        <v>×</v>
      </c>
      <c r="J12805" s="4"/>
      <c r="K12805" s="4"/>
      <c r="L12805" s="4"/>
      <c r="M12805" s="7" t="s">
        <v>6503</v>
      </c>
    </row>
    <row r="12806" customFormat="false" ht="15.75" hidden="false" customHeight="false" outlineLevel="0" collapsed="false">
      <c r="A12806" s="6" t="n">
        <f aca="false">DATE(2026,8,23)</f>
        <v>46257</v>
      </c>
      <c r="B12806" s="4" t="s">
        <v>179</v>
      </c>
      <c r="C12806" s="4" t="n">
        <v>7</v>
      </c>
      <c r="D12806" s="4" t="n">
        <v>6</v>
      </c>
      <c r="E12806" s="4"/>
      <c r="F12806" s="4" t="n">
        <v>17</v>
      </c>
      <c r="G12806" s="4" t="n">
        <v>7</v>
      </c>
      <c r="H12806" s="4" t="n">
        <v>4</v>
      </c>
      <c r="I12806" s="4" t="str">
        <v>×</v>
      </c>
      <c r="J12806" s="4"/>
      <c r="K12806" s="4"/>
      <c r="L12806" s="4"/>
      <c r="M12806" s="7" t="s">
        <v>6503</v>
      </c>
    </row>
    <row r="12807" customFormat="false" ht="15.75" hidden="false" customHeight="false" outlineLevel="0" collapsed="false">
      <c r="A12807" s="6" t="n">
        <f aca="false">DATE(2026,8,23)</f>
        <v>46257</v>
      </c>
      <c r="B12807" s="4" t="s">
        <v>179</v>
      </c>
      <c r="C12807" s="4" t="n">
        <v>7</v>
      </c>
      <c r="D12807" s="4" t="n">
        <v>7</v>
      </c>
      <c r="E12807" s="4"/>
      <c r="F12807" s="4" t="n">
        <v>4</v>
      </c>
      <c r="G12807" s="4" t="n">
        <v>12</v>
      </c>
      <c r="H12807" s="4" t="n">
        <v>4</v>
      </c>
      <c r="I12807" s="4" t="str">
        <v>×</v>
      </c>
      <c r="J12807" s="4"/>
      <c r="K12807" s="4"/>
      <c r="L12807" s="4"/>
      <c r="M12807" s="7" t="s">
        <v>6503</v>
      </c>
    </row>
    <row r="12808" customFormat="false" ht="15.75" hidden="false" customHeight="false" outlineLevel="0" collapsed="false">
      <c r="A12808" s="6" t="n">
        <f aca="false">DATE(2026,8,23)</f>
        <v>46257</v>
      </c>
      <c r="B12808" s="4" t="s">
        <v>179</v>
      </c>
      <c r="C12808" s="4" t="n">
        <v>7</v>
      </c>
      <c r="D12808" s="4" t="n">
        <v>8</v>
      </c>
      <c r="E12808" s="4"/>
      <c r="F12808" s="4" t="n">
        <v>2</v>
      </c>
      <c r="G12808" s="4" t="n">
        <v>15</v>
      </c>
      <c r="H12808" s="4" t="n">
        <v>4</v>
      </c>
      <c r="I12808" s="4" t="str">
        <v>×</v>
      </c>
      <c r="J12808" s="4"/>
      <c r="K12808" s="4"/>
      <c r="L12808" s="4"/>
      <c r="M12808" s="7" t="s">
        <v>6503</v>
      </c>
    </row>
    <row r="12809" customFormat="false" ht="15.75" hidden="false" customHeight="false" outlineLevel="0" collapsed="false">
      <c r="A12809" s="6" t="n">
        <f aca="false">DATE(2026,8,23)</f>
        <v>46257</v>
      </c>
      <c r="B12809" s="4" t="s">
        <v>179</v>
      </c>
      <c r="C12809" s="4" t="n">
        <v>7</v>
      </c>
      <c r="D12809" s="4" t="n">
        <v>9</v>
      </c>
      <c r="E12809" s="4" t="s">
        <v>5876</v>
      </c>
      <c r="F12809" s="4" t="n">
        <v>34</v>
      </c>
      <c r="G12809" s="4" t="n">
        <v>5</v>
      </c>
      <c r="H12809" s="4" t="n">
        <v>2</v>
      </c>
      <c r="I12809" s="4" t="str">
        <v>○</v>
      </c>
      <c r="J12809" s="4" t="n">
        <v>290</v>
      </c>
      <c r="K12809" s="4"/>
      <c r="L12809" s="4"/>
      <c r="M12809" s="7" t="s">
        <v>6503</v>
      </c>
    </row>
    <row r="12810" customFormat="false" ht="15.75" hidden="false" customHeight="false" outlineLevel="0" collapsed="false">
      <c r="A12810" s="6" t="n">
        <f aca="false">DATE(2026,8,23)</f>
        <v>46257</v>
      </c>
      <c r="B12810" s="4" t="s">
        <v>179</v>
      </c>
      <c r="C12810" s="4" t="n">
        <v>7</v>
      </c>
      <c r="D12810" s="4" t="n">
        <v>10</v>
      </c>
      <c r="E12810" s="4"/>
      <c r="F12810" s="4" t="n">
        <v>13</v>
      </c>
      <c r="G12810" s="4" t="n">
        <v>9</v>
      </c>
      <c r="H12810" s="4" t="n">
        <v>4</v>
      </c>
      <c r="I12810" s="4" t="str">
        <v>×</v>
      </c>
      <c r="J12810" s="4"/>
      <c r="K12810" s="4"/>
      <c r="L12810" s="4"/>
      <c r="M12810" s="7" t="s">
        <v>6503</v>
      </c>
    </row>
    <row r="12811" customFormat="false" ht="15.75" hidden="false" customHeight="false" outlineLevel="0" collapsed="false">
      <c r="A12811" s="6" t="n">
        <f aca="false">DATE(2026,8,23)</f>
        <v>46257</v>
      </c>
      <c r="B12811" s="4" t="s">
        <v>179</v>
      </c>
      <c r="C12811" s="4" t="n">
        <v>7</v>
      </c>
      <c r="D12811" s="4" t="n">
        <v>11</v>
      </c>
      <c r="E12811" s="4" t="s">
        <v>3937</v>
      </c>
      <c r="F12811" s="4" t="n">
        <v>1</v>
      </c>
      <c r="G12811" s="4" t="n">
        <v>16</v>
      </c>
      <c r="H12811" s="4" t="n">
        <v>3</v>
      </c>
      <c r="I12811" s="4" t="str">
        <v>○</v>
      </c>
      <c r="J12811" s="4" t="n">
        <v>1790</v>
      </c>
      <c r="K12811" s="4"/>
      <c r="L12811" s="4"/>
      <c r="M12811" s="7" t="s">
        <v>6503</v>
      </c>
    </row>
    <row r="12812" customFormat="false" ht="15.75" hidden="false" customHeight="false" outlineLevel="0" collapsed="false">
      <c r="A12812" s="6" t="n">
        <f aca="false">DATE(2026,8,23)</f>
        <v>46257</v>
      </c>
      <c r="B12812" s="4" t="s">
        <v>179</v>
      </c>
      <c r="C12812" s="4" t="n">
        <v>7</v>
      </c>
      <c r="D12812" s="4" t="n">
        <v>12</v>
      </c>
      <c r="E12812" s="4"/>
      <c r="F12812" s="4" t="n">
        <v>6</v>
      </c>
      <c r="G12812" s="4" t="n">
        <v>11</v>
      </c>
      <c r="H12812" s="4" t="n">
        <v>4</v>
      </c>
      <c r="I12812" s="4" t="str">
        <v>×</v>
      </c>
      <c r="J12812" s="4"/>
      <c r="K12812" s="4"/>
      <c r="L12812" s="4"/>
      <c r="M12812" s="7" t="s">
        <v>6503</v>
      </c>
    </row>
    <row r="12813" customFormat="false" ht="15.75" hidden="false" customHeight="false" outlineLevel="0" collapsed="false">
      <c r="A12813" s="6" t="n">
        <f aca="false">DATE(2026,8,23)</f>
        <v>46257</v>
      </c>
      <c r="B12813" s="4" t="s">
        <v>179</v>
      </c>
      <c r="C12813" s="4" t="n">
        <v>7</v>
      </c>
      <c r="D12813" s="4" t="n">
        <v>13</v>
      </c>
      <c r="E12813" s="4"/>
      <c r="F12813" s="4" t="n">
        <v>39</v>
      </c>
      <c r="G12813" s="4" t="n">
        <v>2</v>
      </c>
      <c r="H12813" s="4" t="n">
        <v>4</v>
      </c>
      <c r="I12813" s="4" t="str">
        <v>×</v>
      </c>
      <c r="J12813" s="4"/>
      <c r="K12813" s="4"/>
      <c r="L12813" s="4"/>
      <c r="M12813" s="7" t="s">
        <v>6503</v>
      </c>
    </row>
    <row r="12814" customFormat="false" ht="15.75" hidden="false" customHeight="false" outlineLevel="0" collapsed="false">
      <c r="A12814" s="6" t="n">
        <f aca="false">DATE(2026,8,23)</f>
        <v>46257</v>
      </c>
      <c r="B12814" s="4" t="s">
        <v>179</v>
      </c>
      <c r="C12814" s="4" t="n">
        <v>7</v>
      </c>
      <c r="D12814" s="4" t="n">
        <v>14</v>
      </c>
      <c r="E12814" s="4"/>
      <c r="F12814" s="4" t="n">
        <v>3</v>
      </c>
      <c r="G12814" s="4" t="n">
        <v>14</v>
      </c>
      <c r="H12814" s="4" t="n">
        <v>4</v>
      </c>
      <c r="I12814" s="4" t="str">
        <v>×</v>
      </c>
      <c r="J12814" s="4"/>
      <c r="K12814" s="4"/>
      <c r="L12814" s="4"/>
      <c r="M12814" s="7" t="s">
        <v>6503</v>
      </c>
    </row>
    <row r="12815" customFormat="false" ht="15.75" hidden="false" customHeight="false" outlineLevel="0" collapsed="false">
      <c r="A12815" s="6" t="n">
        <f aca="false">DATE(2026,8,23)</f>
        <v>46257</v>
      </c>
      <c r="B12815" s="4" t="s">
        <v>179</v>
      </c>
      <c r="C12815" s="4" t="n">
        <v>7</v>
      </c>
      <c r="D12815" s="4" t="n">
        <v>15</v>
      </c>
      <c r="E12815" s="4"/>
      <c r="F12815" s="4" t="n">
        <v>17</v>
      </c>
      <c r="G12815" s="4" t="n">
        <v>7</v>
      </c>
      <c r="H12815" s="4" t="n">
        <v>4</v>
      </c>
      <c r="I12815" s="4" t="str">
        <v>×</v>
      </c>
      <c r="J12815" s="4"/>
      <c r="K12815" s="4"/>
      <c r="L12815" s="4"/>
      <c r="M12815" s="7" t="s">
        <v>6503</v>
      </c>
    </row>
    <row r="12816" customFormat="false" ht="15.75" hidden="false" customHeight="false" outlineLevel="0" collapsed="false">
      <c r="A12816" s="6" t="n">
        <f aca="false">DATE(2026,8,23)</f>
        <v>46257</v>
      </c>
      <c r="B12816" s="4" t="s">
        <v>179</v>
      </c>
      <c r="C12816" s="4" t="n">
        <v>7</v>
      </c>
      <c r="D12816" s="4" t="n">
        <v>16</v>
      </c>
      <c r="E12816" s="4"/>
      <c r="F12816" s="4" t="n">
        <v>8</v>
      </c>
      <c r="G12816" s="4" t="n">
        <v>10</v>
      </c>
      <c r="H12816" s="4" t="n">
        <v>4</v>
      </c>
      <c r="I12816" s="4" t="str">
        <v>×</v>
      </c>
      <c r="J12816" s="4"/>
      <c r="K12816" s="4"/>
      <c r="L12816" s="4"/>
      <c r="M12816" s="7" t="s">
        <v>6503</v>
      </c>
    </row>
    <row r="12817" customFormat="false" ht="15.75" hidden="false" customHeight="false" outlineLevel="0" collapsed="false">
      <c r="A12817" s="6" t="n">
        <f aca="false">DATE(2026,8,23)</f>
        <v>46257</v>
      </c>
      <c r="B12817" s="4" t="s">
        <v>179</v>
      </c>
      <c r="C12817" s="4" t="n">
        <v>8</v>
      </c>
      <c r="D12817" s="4" t="n">
        <v>1</v>
      </c>
      <c r="E12817" s="4"/>
      <c r="F12817" s="4" t="n">
        <v>6</v>
      </c>
      <c r="G12817" s="4" t="n">
        <v>10</v>
      </c>
      <c r="H12817" s="4" t="n">
        <v>4</v>
      </c>
      <c r="I12817" s="4" t="str">
        <v>×</v>
      </c>
      <c r="J12817" s="4"/>
      <c r="K12817" s="4"/>
      <c r="L12817" s="4"/>
      <c r="M12817" s="7" t="s">
        <v>6503</v>
      </c>
    </row>
    <row r="12818" customFormat="false" ht="15.75" hidden="false" customHeight="false" outlineLevel="0" collapsed="false">
      <c r="A12818" s="6" t="n">
        <f aca="false">DATE(2026,8,23)</f>
        <v>46257</v>
      </c>
      <c r="B12818" s="4" t="s">
        <v>179</v>
      </c>
      <c r="C12818" s="4" t="n">
        <v>8</v>
      </c>
      <c r="D12818" s="4" t="n">
        <v>2</v>
      </c>
      <c r="E12818" s="4"/>
      <c r="F12818" s="4" t="n">
        <v>52</v>
      </c>
      <c r="G12818" s="4" t="n">
        <v>2</v>
      </c>
      <c r="H12818" s="4" t="n">
        <v>4</v>
      </c>
      <c r="I12818" s="4" t="str">
        <v>×</v>
      </c>
      <c r="J12818" s="4"/>
      <c r="K12818" s="4"/>
      <c r="L12818" s="4"/>
      <c r="M12818" s="7" t="s">
        <v>6503</v>
      </c>
    </row>
    <row r="12819" customFormat="false" ht="15.75" hidden="false" customHeight="false" outlineLevel="0" collapsed="false">
      <c r="A12819" s="6" t="n">
        <f aca="false">DATE(2026,8,23)</f>
        <v>46257</v>
      </c>
      <c r="B12819" s="4" t="s">
        <v>179</v>
      </c>
      <c r="C12819" s="4" t="n">
        <v>8</v>
      </c>
      <c r="D12819" s="4" t="n">
        <v>3</v>
      </c>
      <c r="E12819" s="4"/>
      <c r="F12819" s="4" t="n">
        <v>25</v>
      </c>
      <c r="G12819" s="4" t="n">
        <v>6</v>
      </c>
      <c r="H12819" s="4" t="n">
        <v>4</v>
      </c>
      <c r="I12819" s="4" t="str">
        <v>×</v>
      </c>
      <c r="J12819" s="4"/>
      <c r="K12819" s="4"/>
      <c r="L12819" s="4"/>
      <c r="M12819" s="7" t="s">
        <v>6503</v>
      </c>
    </row>
    <row r="12820" customFormat="false" ht="15.75" hidden="false" customHeight="false" outlineLevel="0" collapsed="false">
      <c r="A12820" s="6" t="n">
        <f aca="false">DATE(2026,8,23)</f>
        <v>46257</v>
      </c>
      <c r="B12820" s="4" t="s">
        <v>179</v>
      </c>
      <c r="C12820" s="4" t="n">
        <v>8</v>
      </c>
      <c r="D12820" s="4" t="n">
        <v>4</v>
      </c>
      <c r="E12820" s="4" t="s">
        <v>6240</v>
      </c>
      <c r="F12820" s="4" t="n">
        <v>13</v>
      </c>
      <c r="G12820" s="4" t="n">
        <v>9</v>
      </c>
      <c r="H12820" s="4" t="n">
        <v>3</v>
      </c>
      <c r="I12820" s="4" t="str">
        <v>○</v>
      </c>
      <c r="J12820" s="4" t="n">
        <v>400</v>
      </c>
      <c r="K12820" s="4"/>
      <c r="L12820" s="4"/>
      <c r="M12820" s="7" t="s">
        <v>6503</v>
      </c>
    </row>
    <row r="12821" customFormat="false" ht="15.75" hidden="false" customHeight="false" outlineLevel="0" collapsed="false">
      <c r="A12821" s="6" t="n">
        <f aca="false">DATE(2026,8,23)</f>
        <v>46257</v>
      </c>
      <c r="B12821" s="4" t="s">
        <v>179</v>
      </c>
      <c r="C12821" s="4" t="n">
        <v>8</v>
      </c>
      <c r="D12821" s="4" t="n">
        <v>5</v>
      </c>
      <c r="E12821" s="4"/>
      <c r="F12821" s="4" t="n">
        <v>29</v>
      </c>
      <c r="G12821" s="4" t="n">
        <v>5</v>
      </c>
      <c r="H12821" s="4" t="n">
        <v>4</v>
      </c>
      <c r="I12821" s="4" t="str">
        <v>×</v>
      </c>
      <c r="J12821" s="4"/>
      <c r="K12821" s="4"/>
      <c r="L12821" s="4"/>
      <c r="M12821" s="7" t="s">
        <v>6503</v>
      </c>
    </row>
    <row r="12822" customFormat="false" ht="15.75" hidden="false" customHeight="false" outlineLevel="0" collapsed="false">
      <c r="A12822" s="6" t="n">
        <f aca="false">DATE(2026,8,23)</f>
        <v>46257</v>
      </c>
      <c r="B12822" s="4" t="s">
        <v>179</v>
      </c>
      <c r="C12822" s="4" t="n">
        <v>8</v>
      </c>
      <c r="D12822" s="4" t="n">
        <v>6</v>
      </c>
      <c r="E12822" s="4"/>
      <c r="F12822" s="4" t="n">
        <v>2</v>
      </c>
      <c r="G12822" s="4" t="n">
        <v>14</v>
      </c>
      <c r="H12822" s="4" t="n">
        <v>4</v>
      </c>
      <c r="I12822" s="4" t="str">
        <v>×</v>
      </c>
      <c r="J12822" s="4"/>
      <c r="K12822" s="4"/>
      <c r="L12822" s="4"/>
      <c r="M12822" s="7" t="s">
        <v>6503</v>
      </c>
    </row>
    <row r="12823" customFormat="false" ht="15.75" hidden="false" customHeight="false" outlineLevel="0" collapsed="false">
      <c r="A12823" s="6" t="n">
        <f aca="false">DATE(2026,8,23)</f>
        <v>46257</v>
      </c>
      <c r="B12823" s="4" t="s">
        <v>179</v>
      </c>
      <c r="C12823" s="4" t="n">
        <v>8</v>
      </c>
      <c r="D12823" s="4" t="n">
        <v>7</v>
      </c>
      <c r="E12823" s="4"/>
      <c r="F12823" s="4" t="n">
        <v>6</v>
      </c>
      <c r="G12823" s="4" t="n">
        <v>10</v>
      </c>
      <c r="H12823" s="4" t="n">
        <v>4</v>
      </c>
      <c r="I12823" s="4" t="str">
        <v>×</v>
      </c>
      <c r="J12823" s="4"/>
      <c r="K12823" s="4"/>
      <c r="L12823" s="4"/>
      <c r="M12823" s="7" t="s">
        <v>6503</v>
      </c>
    </row>
    <row r="12824" customFormat="false" ht="15.75" hidden="false" customHeight="false" outlineLevel="0" collapsed="false">
      <c r="A12824" s="6" t="n">
        <f aca="false">DATE(2026,8,23)</f>
        <v>46257</v>
      </c>
      <c r="B12824" s="4" t="s">
        <v>179</v>
      </c>
      <c r="C12824" s="4" t="n">
        <v>8</v>
      </c>
      <c r="D12824" s="4" t="n">
        <v>8</v>
      </c>
      <c r="E12824" s="4"/>
      <c r="F12824" s="4" t="n">
        <v>15</v>
      </c>
      <c r="G12824" s="4" t="n">
        <v>8</v>
      </c>
      <c r="H12824" s="4" t="n">
        <v>4</v>
      </c>
      <c r="I12824" s="4" t="str">
        <v>×</v>
      </c>
      <c r="J12824" s="4"/>
      <c r="K12824" s="4"/>
      <c r="L12824" s="4"/>
      <c r="M12824" s="7" t="s">
        <v>6503</v>
      </c>
    </row>
    <row r="12825" customFormat="false" ht="15.75" hidden="false" customHeight="false" outlineLevel="0" collapsed="false">
      <c r="A12825" s="6" t="n">
        <f aca="false">DATE(2026,8,23)</f>
        <v>46257</v>
      </c>
      <c r="B12825" s="4" t="s">
        <v>179</v>
      </c>
      <c r="C12825" s="4" t="n">
        <v>8</v>
      </c>
      <c r="D12825" s="4" t="n">
        <v>9</v>
      </c>
      <c r="E12825" s="4"/>
      <c r="F12825" s="4" t="n">
        <v>4</v>
      </c>
      <c r="G12825" s="4" t="n">
        <v>13</v>
      </c>
      <c r="H12825" s="4" t="n">
        <v>4</v>
      </c>
      <c r="I12825" s="4" t="str">
        <v>×</v>
      </c>
      <c r="J12825" s="4"/>
      <c r="K12825" s="4"/>
      <c r="L12825" s="4"/>
      <c r="M12825" s="7" t="s">
        <v>6503</v>
      </c>
    </row>
    <row r="12826" customFormat="false" ht="15.75" hidden="false" customHeight="false" outlineLevel="0" collapsed="false">
      <c r="A12826" s="6" t="n">
        <f aca="false">DATE(2026,8,23)</f>
        <v>46257</v>
      </c>
      <c r="B12826" s="4" t="s">
        <v>179</v>
      </c>
      <c r="C12826" s="4" t="n">
        <v>8</v>
      </c>
      <c r="D12826" s="4" t="n">
        <v>10</v>
      </c>
      <c r="E12826" s="4"/>
      <c r="F12826" s="4" t="n">
        <v>34</v>
      </c>
      <c r="G12826" s="4" t="n">
        <v>4</v>
      </c>
      <c r="H12826" s="4" t="n">
        <v>4</v>
      </c>
      <c r="I12826" s="4" t="str">
        <v>×</v>
      </c>
      <c r="J12826" s="4"/>
      <c r="K12826" s="4"/>
      <c r="L12826" s="4"/>
      <c r="M12826" s="7" t="s">
        <v>6503</v>
      </c>
    </row>
    <row r="12827" customFormat="false" ht="15.75" hidden="false" customHeight="false" outlineLevel="0" collapsed="false">
      <c r="A12827" s="6" t="n">
        <f aca="false">DATE(2026,8,23)</f>
        <v>46257</v>
      </c>
      <c r="B12827" s="4" t="s">
        <v>179</v>
      </c>
      <c r="C12827" s="4" t="n">
        <v>8</v>
      </c>
      <c r="D12827" s="4" t="n">
        <v>11</v>
      </c>
      <c r="E12827" s="4" t="s">
        <v>5436</v>
      </c>
      <c r="F12827" s="4" t="n">
        <v>23</v>
      </c>
      <c r="G12827" s="4" t="n">
        <v>7</v>
      </c>
      <c r="H12827" s="4" t="n">
        <v>1</v>
      </c>
      <c r="I12827" s="4" t="str">
        <v>○</v>
      </c>
      <c r="J12827" s="4" t="n">
        <v>260</v>
      </c>
      <c r="K12827" s="4"/>
      <c r="L12827" s="4"/>
      <c r="M12827" s="7" t="s">
        <v>6503</v>
      </c>
    </row>
    <row r="12828" customFormat="false" ht="15.75" hidden="false" customHeight="false" outlineLevel="0" collapsed="false">
      <c r="A12828" s="6" t="n">
        <f aca="false">DATE(2026,8,23)</f>
        <v>46257</v>
      </c>
      <c r="B12828" s="4" t="s">
        <v>179</v>
      </c>
      <c r="C12828" s="4" t="n">
        <v>8</v>
      </c>
      <c r="D12828" s="4" t="n">
        <v>12</v>
      </c>
      <c r="E12828" s="4" t="s">
        <v>3666</v>
      </c>
      <c r="F12828" s="4" t="n">
        <v>37</v>
      </c>
      <c r="G12828" s="4" t="n">
        <v>3</v>
      </c>
      <c r="H12828" s="4" t="n">
        <v>2</v>
      </c>
      <c r="I12828" s="4" t="str">
        <v>○</v>
      </c>
      <c r="J12828" s="4" t="n">
        <v>460</v>
      </c>
      <c r="K12828" s="4"/>
      <c r="L12828" s="4"/>
      <c r="M12828" s="7" t="s">
        <v>6503</v>
      </c>
    </row>
    <row r="12829" customFormat="false" ht="15.75" hidden="false" customHeight="false" outlineLevel="0" collapsed="false">
      <c r="A12829" s="6" t="n">
        <f aca="false">DATE(2026,8,23)</f>
        <v>46257</v>
      </c>
      <c r="B12829" s="4" t="s">
        <v>179</v>
      </c>
      <c r="C12829" s="4" t="n">
        <v>8</v>
      </c>
      <c r="D12829" s="4" t="n">
        <v>13</v>
      </c>
      <c r="E12829" s="4"/>
      <c r="F12829" s="4" t="n">
        <v>6</v>
      </c>
      <c r="G12829" s="4" t="n">
        <v>10</v>
      </c>
      <c r="H12829" s="4" t="n">
        <v>4</v>
      </c>
      <c r="I12829" s="4" t="str">
        <v>×</v>
      </c>
      <c r="J12829" s="4"/>
      <c r="K12829" s="4"/>
      <c r="L12829" s="4"/>
      <c r="M12829" s="7" t="s">
        <v>6503</v>
      </c>
    </row>
    <row r="12830" customFormat="false" ht="15.75" hidden="false" customHeight="false" outlineLevel="0" collapsed="false">
      <c r="A12830" s="6" t="n">
        <f aca="false">DATE(2026,8,23)</f>
        <v>46257</v>
      </c>
      <c r="B12830" s="4" t="s">
        <v>179</v>
      </c>
      <c r="C12830" s="4" t="n">
        <v>8</v>
      </c>
      <c r="D12830" s="4" t="n">
        <v>14</v>
      </c>
      <c r="E12830" s="4"/>
      <c r="F12830" s="4" t="n">
        <v>1</v>
      </c>
      <c r="G12830" s="4" t="n">
        <v>15</v>
      </c>
      <c r="H12830" s="4" t="n">
        <v>4</v>
      </c>
      <c r="I12830" s="4" t="str">
        <v>×</v>
      </c>
      <c r="J12830" s="4"/>
      <c r="K12830" s="4"/>
      <c r="L12830" s="4"/>
      <c r="M12830" s="7" t="s">
        <v>6503</v>
      </c>
    </row>
    <row r="12831" customFormat="false" ht="15.75" hidden="false" customHeight="false" outlineLevel="0" collapsed="false">
      <c r="A12831" s="6" t="n">
        <f aca="false">DATE(2026,8,23)</f>
        <v>46257</v>
      </c>
      <c r="B12831" s="4" t="s">
        <v>179</v>
      </c>
      <c r="C12831" s="4" t="n">
        <v>8</v>
      </c>
      <c r="D12831" s="4" t="n">
        <v>15</v>
      </c>
      <c r="E12831" s="4"/>
      <c r="F12831" s="4" t="n">
        <v>1</v>
      </c>
      <c r="G12831" s="4" t="n">
        <v>15</v>
      </c>
      <c r="H12831" s="4" t="n">
        <v>4</v>
      </c>
      <c r="I12831" s="4" t="str">
        <v>×</v>
      </c>
      <c r="J12831" s="4"/>
      <c r="K12831" s="4"/>
      <c r="L12831" s="4"/>
      <c r="M12831" s="7" t="s">
        <v>6503</v>
      </c>
    </row>
    <row r="12832" customFormat="false" ht="15.75" hidden="false" customHeight="false" outlineLevel="0" collapsed="false">
      <c r="A12832" s="6" t="n">
        <f aca="false">DATE(2026,8,23)</f>
        <v>46257</v>
      </c>
      <c r="B12832" s="4" t="s">
        <v>179</v>
      </c>
      <c r="C12832" s="4" t="n">
        <v>8</v>
      </c>
      <c r="D12832" s="4" t="n">
        <v>16</v>
      </c>
      <c r="E12832" s="4"/>
      <c r="F12832" s="4" t="n">
        <v>58</v>
      </c>
      <c r="G12832" s="4" t="n">
        <v>1</v>
      </c>
      <c r="H12832" s="4" t="n">
        <v>4</v>
      </c>
      <c r="I12832" s="4" t="str">
        <v>×</v>
      </c>
      <c r="J12832" s="4"/>
      <c r="K12832" s="4"/>
      <c r="L12832" s="4"/>
      <c r="M12832" s="7" t="s">
        <v>6503</v>
      </c>
    </row>
    <row r="12833" customFormat="false" ht="15.75" hidden="false" customHeight="false" outlineLevel="0" collapsed="false">
      <c r="A12833" s="6" t="n">
        <f aca="false">DATE(2026,8,23)</f>
        <v>46257</v>
      </c>
      <c r="B12833" s="4" t="s">
        <v>179</v>
      </c>
      <c r="C12833" s="4" t="n">
        <v>9</v>
      </c>
      <c r="D12833" s="4" t="n">
        <v>1</v>
      </c>
      <c r="E12833" s="4"/>
      <c r="F12833" s="4" t="n">
        <v>6</v>
      </c>
      <c r="G12833" s="4" t="n">
        <v>8</v>
      </c>
      <c r="H12833" s="4" t="n">
        <v>4</v>
      </c>
      <c r="I12833" s="4" t="str">
        <v>×</v>
      </c>
      <c r="J12833" s="4"/>
      <c r="K12833" s="4"/>
      <c r="L12833" s="4"/>
      <c r="M12833" s="7" t="s">
        <v>6503</v>
      </c>
    </row>
    <row r="12834" customFormat="false" ht="15.75" hidden="false" customHeight="false" outlineLevel="0" collapsed="false">
      <c r="A12834" s="6" t="n">
        <f aca="false">DATE(2026,8,23)</f>
        <v>46257</v>
      </c>
      <c r="B12834" s="4" t="s">
        <v>179</v>
      </c>
      <c r="C12834" s="4" t="n">
        <v>9</v>
      </c>
      <c r="D12834" s="4" t="n">
        <v>2</v>
      </c>
      <c r="E12834" s="4"/>
      <c r="F12834" s="4" t="n">
        <v>55</v>
      </c>
      <c r="G12834" s="4" t="n">
        <v>1</v>
      </c>
      <c r="H12834" s="4" t="n">
        <v>4</v>
      </c>
      <c r="I12834" s="4" t="str">
        <v>×</v>
      </c>
      <c r="J12834" s="4"/>
      <c r="K12834" s="4"/>
      <c r="L12834" s="4"/>
      <c r="M12834" s="7" t="s">
        <v>6503</v>
      </c>
    </row>
    <row r="12835" customFormat="false" ht="15.75" hidden="false" customHeight="false" outlineLevel="0" collapsed="false">
      <c r="A12835" s="6" t="n">
        <f aca="false">DATE(2026,8,23)</f>
        <v>46257</v>
      </c>
      <c r="B12835" s="4" t="s">
        <v>179</v>
      </c>
      <c r="C12835" s="4" t="n">
        <v>9</v>
      </c>
      <c r="D12835" s="4" t="n">
        <v>3</v>
      </c>
      <c r="E12835" s="4" t="s">
        <v>4784</v>
      </c>
      <c r="F12835" s="4" t="n">
        <v>55</v>
      </c>
      <c r="G12835" s="4" t="n">
        <v>1</v>
      </c>
      <c r="H12835" s="4" t="n">
        <v>1</v>
      </c>
      <c r="I12835" s="4" t="str">
        <v>○</v>
      </c>
      <c r="J12835" s="4" t="n">
        <v>110</v>
      </c>
      <c r="K12835" s="4"/>
      <c r="L12835" s="4"/>
      <c r="M12835" s="7" t="s">
        <v>6503</v>
      </c>
    </row>
    <row r="12836" customFormat="false" ht="15.75" hidden="false" customHeight="false" outlineLevel="0" collapsed="false">
      <c r="A12836" s="6" t="n">
        <f aca="false">DATE(2026,8,23)</f>
        <v>46257</v>
      </c>
      <c r="B12836" s="4" t="s">
        <v>179</v>
      </c>
      <c r="C12836" s="4" t="n">
        <v>9</v>
      </c>
      <c r="D12836" s="4" t="n">
        <v>4</v>
      </c>
      <c r="E12836" s="4"/>
      <c r="F12836" s="4" t="n">
        <v>55</v>
      </c>
      <c r="G12836" s="4" t="n">
        <v>1</v>
      </c>
      <c r="H12836" s="4" t="n">
        <v>4</v>
      </c>
      <c r="I12836" s="4" t="str">
        <v>×</v>
      </c>
      <c r="J12836" s="4"/>
      <c r="K12836" s="4"/>
      <c r="L12836" s="4"/>
      <c r="M12836" s="7" t="s">
        <v>6503</v>
      </c>
    </row>
    <row r="12837" customFormat="false" ht="15.75" hidden="false" customHeight="false" outlineLevel="0" collapsed="false">
      <c r="A12837" s="6" t="n">
        <f aca="false">DATE(2026,8,23)</f>
        <v>46257</v>
      </c>
      <c r="B12837" s="4" t="s">
        <v>179</v>
      </c>
      <c r="C12837" s="4" t="n">
        <v>9</v>
      </c>
      <c r="D12837" s="4" t="n">
        <v>5</v>
      </c>
      <c r="E12837" s="4"/>
      <c r="F12837" s="4" t="n">
        <v>14</v>
      </c>
      <c r="G12837" s="4" t="n">
        <v>6</v>
      </c>
      <c r="H12837" s="4" t="n">
        <v>4</v>
      </c>
      <c r="I12837" s="4" t="str">
        <v>×</v>
      </c>
      <c r="J12837" s="4"/>
      <c r="K12837" s="4"/>
      <c r="L12837" s="4"/>
      <c r="M12837" s="7" t="s">
        <v>6503</v>
      </c>
    </row>
    <row r="12838" customFormat="false" ht="15.75" hidden="false" customHeight="false" outlineLevel="0" collapsed="false">
      <c r="A12838" s="6" t="n">
        <f aca="false">DATE(2026,8,23)</f>
        <v>46257</v>
      </c>
      <c r="B12838" s="4" t="s">
        <v>179</v>
      </c>
      <c r="C12838" s="4" t="n">
        <v>9</v>
      </c>
      <c r="D12838" s="4" t="n">
        <v>6</v>
      </c>
      <c r="E12838" s="4"/>
      <c r="F12838" s="4" t="n">
        <v>14</v>
      </c>
      <c r="G12838" s="4" t="n">
        <v>6</v>
      </c>
      <c r="H12838" s="4" t="n">
        <v>4</v>
      </c>
      <c r="I12838" s="4" t="str">
        <v>×</v>
      </c>
      <c r="J12838" s="4"/>
      <c r="K12838" s="4"/>
      <c r="L12838" s="4"/>
      <c r="M12838" s="7" t="s">
        <v>6503</v>
      </c>
    </row>
    <row r="12839" customFormat="false" ht="15.75" hidden="false" customHeight="false" outlineLevel="0" collapsed="false">
      <c r="A12839" s="6" t="n">
        <f aca="false">DATE(2026,8,23)</f>
        <v>46257</v>
      </c>
      <c r="B12839" s="4" t="s">
        <v>179</v>
      </c>
      <c r="C12839" s="4" t="n">
        <v>9</v>
      </c>
      <c r="D12839" s="4" t="n">
        <v>7</v>
      </c>
      <c r="E12839" s="4" t="s">
        <v>2812</v>
      </c>
      <c r="F12839" s="4" t="n">
        <v>21</v>
      </c>
      <c r="G12839" s="4" t="n">
        <v>5</v>
      </c>
      <c r="H12839" s="4" t="n">
        <v>2</v>
      </c>
      <c r="I12839" s="4" t="str">
        <v>○</v>
      </c>
      <c r="J12839" s="4" t="n">
        <v>230</v>
      </c>
      <c r="K12839" s="4"/>
      <c r="L12839" s="4"/>
      <c r="M12839" s="7" t="s">
        <v>6503</v>
      </c>
    </row>
    <row r="12840" customFormat="false" ht="15.75" hidden="false" customHeight="false" outlineLevel="0" collapsed="false">
      <c r="A12840" s="6" t="n">
        <f aca="false">DATE(2026,8,23)</f>
        <v>46257</v>
      </c>
      <c r="B12840" s="4" t="s">
        <v>179</v>
      </c>
      <c r="C12840" s="4" t="n">
        <v>9</v>
      </c>
      <c r="D12840" s="4" t="n">
        <v>8</v>
      </c>
      <c r="E12840" s="4" t="s">
        <v>3482</v>
      </c>
      <c r="F12840" s="4" t="n">
        <v>37</v>
      </c>
      <c r="G12840" s="4" t="n">
        <v>4</v>
      </c>
      <c r="H12840" s="4" t="n">
        <v>3</v>
      </c>
      <c r="I12840" s="4" t="str">
        <v>○</v>
      </c>
      <c r="J12840" s="4" t="n">
        <v>130</v>
      </c>
      <c r="K12840" s="4"/>
      <c r="L12840" s="4"/>
      <c r="M12840" s="7" t="s">
        <v>6503</v>
      </c>
    </row>
    <row r="12841" customFormat="false" ht="15.75" hidden="false" customHeight="false" outlineLevel="0" collapsed="false">
      <c r="A12841" s="6" t="n">
        <f aca="false">DATE(2026,8,23)</f>
        <v>46257</v>
      </c>
      <c r="B12841" s="4" t="s">
        <v>179</v>
      </c>
      <c r="C12841" s="4" t="n">
        <v>10</v>
      </c>
      <c r="D12841" s="4" t="n">
        <v>1</v>
      </c>
      <c r="E12841" s="4"/>
      <c r="F12841" s="4" t="n">
        <v>4</v>
      </c>
      <c r="G12841" s="4" t="n">
        <v>13</v>
      </c>
      <c r="H12841" s="4" t="n">
        <v>4</v>
      </c>
      <c r="I12841" s="4" t="str">
        <v>×</v>
      </c>
      <c r="J12841" s="4"/>
      <c r="K12841" s="4"/>
      <c r="L12841" s="4"/>
      <c r="M12841" s="7" t="s">
        <v>6503</v>
      </c>
    </row>
    <row r="12842" customFormat="false" ht="15.75" hidden="false" customHeight="false" outlineLevel="0" collapsed="false">
      <c r="A12842" s="6" t="n">
        <f aca="false">DATE(2026,8,23)</f>
        <v>46257</v>
      </c>
      <c r="B12842" s="4" t="s">
        <v>179</v>
      </c>
      <c r="C12842" s="4" t="n">
        <v>10</v>
      </c>
      <c r="D12842" s="4" t="n">
        <v>2</v>
      </c>
      <c r="E12842" s="4"/>
      <c r="F12842" s="4" t="n">
        <v>17</v>
      </c>
      <c r="G12842" s="4" t="n">
        <v>6</v>
      </c>
      <c r="H12842" s="4" t="n">
        <v>4</v>
      </c>
      <c r="I12842" s="4" t="str">
        <v>×</v>
      </c>
      <c r="J12842" s="4"/>
      <c r="K12842" s="4"/>
      <c r="L12842" s="4"/>
      <c r="M12842" s="7" t="s">
        <v>6503</v>
      </c>
    </row>
    <row r="12843" customFormat="false" ht="15.75" hidden="false" customHeight="false" outlineLevel="0" collapsed="false">
      <c r="A12843" s="6" t="n">
        <f aca="false">DATE(2026,8,23)</f>
        <v>46257</v>
      </c>
      <c r="B12843" s="4" t="s">
        <v>179</v>
      </c>
      <c r="C12843" s="4" t="n">
        <v>10</v>
      </c>
      <c r="D12843" s="4" t="n">
        <v>3</v>
      </c>
      <c r="E12843" s="4"/>
      <c r="F12843" s="4" t="n">
        <v>13</v>
      </c>
      <c r="G12843" s="4" t="n">
        <v>8</v>
      </c>
      <c r="H12843" s="4" t="n">
        <v>4</v>
      </c>
      <c r="I12843" s="4" t="str">
        <v>×</v>
      </c>
      <c r="J12843" s="4"/>
      <c r="K12843" s="4"/>
      <c r="L12843" s="4"/>
      <c r="M12843" s="7" t="s">
        <v>6503</v>
      </c>
    </row>
    <row r="12844" customFormat="false" ht="15.75" hidden="false" customHeight="false" outlineLevel="0" collapsed="false">
      <c r="A12844" s="6" t="n">
        <f aca="false">DATE(2026,8,23)</f>
        <v>46257</v>
      </c>
      <c r="B12844" s="4" t="s">
        <v>179</v>
      </c>
      <c r="C12844" s="4" t="n">
        <v>10</v>
      </c>
      <c r="D12844" s="4" t="n">
        <v>4</v>
      </c>
      <c r="E12844" s="4"/>
      <c r="F12844" s="4" t="n">
        <v>13</v>
      </c>
      <c r="G12844" s="4" t="n">
        <v>8</v>
      </c>
      <c r="H12844" s="4" t="n">
        <v>4</v>
      </c>
      <c r="I12844" s="4" t="str">
        <v>×</v>
      </c>
      <c r="J12844" s="4"/>
      <c r="K12844" s="4"/>
      <c r="L12844" s="4"/>
      <c r="M12844" s="7" t="s">
        <v>6503</v>
      </c>
    </row>
    <row r="12845" customFormat="false" ht="15.75" hidden="false" customHeight="false" outlineLevel="0" collapsed="false">
      <c r="A12845" s="6" t="n">
        <f aca="false">DATE(2026,8,23)</f>
        <v>46257</v>
      </c>
      <c r="B12845" s="4" t="s">
        <v>179</v>
      </c>
      <c r="C12845" s="4" t="n">
        <v>10</v>
      </c>
      <c r="D12845" s="4" t="n">
        <v>5</v>
      </c>
      <c r="E12845" s="4"/>
      <c r="F12845" s="4" t="n">
        <v>6</v>
      </c>
      <c r="G12845" s="4" t="n">
        <v>11</v>
      </c>
      <c r="H12845" s="4" t="n">
        <v>4</v>
      </c>
      <c r="I12845" s="4" t="str">
        <v>×</v>
      </c>
      <c r="J12845" s="4"/>
      <c r="K12845" s="4"/>
      <c r="L12845" s="4"/>
      <c r="M12845" s="7" t="s">
        <v>6503</v>
      </c>
    </row>
    <row r="12846" customFormat="false" ht="15.75" hidden="false" customHeight="false" outlineLevel="0" collapsed="false">
      <c r="A12846" s="6" t="n">
        <f aca="false">DATE(2026,8,23)</f>
        <v>46257</v>
      </c>
      <c r="B12846" s="4" t="s">
        <v>179</v>
      </c>
      <c r="C12846" s="4" t="n">
        <v>10</v>
      </c>
      <c r="D12846" s="4" t="n">
        <v>6</v>
      </c>
      <c r="E12846" s="4" t="s">
        <v>4618</v>
      </c>
      <c r="F12846" s="4" t="n">
        <v>20</v>
      </c>
      <c r="G12846" s="4" t="n">
        <v>5</v>
      </c>
      <c r="H12846" s="4" t="n">
        <v>3</v>
      </c>
      <c r="I12846" s="4" t="str">
        <v>○</v>
      </c>
      <c r="J12846" s="4" t="n">
        <v>220</v>
      </c>
      <c r="K12846" s="4"/>
      <c r="L12846" s="4"/>
      <c r="M12846" s="7" t="s">
        <v>6503</v>
      </c>
    </row>
    <row r="12847" customFormat="false" ht="15.75" hidden="false" customHeight="false" outlineLevel="0" collapsed="false">
      <c r="A12847" s="6" t="n">
        <f aca="false">DATE(2026,8,23)</f>
        <v>46257</v>
      </c>
      <c r="B12847" s="4" t="s">
        <v>179</v>
      </c>
      <c r="C12847" s="4" t="n">
        <v>10</v>
      </c>
      <c r="D12847" s="4" t="n">
        <v>7</v>
      </c>
      <c r="E12847" s="4"/>
      <c r="F12847" s="4" t="n">
        <v>3</v>
      </c>
      <c r="G12847" s="4" t="n">
        <v>14</v>
      </c>
      <c r="H12847" s="4" t="n">
        <v>4</v>
      </c>
      <c r="I12847" s="4" t="str">
        <v>×</v>
      </c>
      <c r="J12847" s="4"/>
      <c r="K12847" s="4"/>
      <c r="L12847" s="4"/>
      <c r="M12847" s="7" t="s">
        <v>6503</v>
      </c>
    </row>
    <row r="12848" customFormat="false" ht="15.75" hidden="false" customHeight="false" outlineLevel="0" collapsed="false">
      <c r="A12848" s="6" t="n">
        <f aca="false">DATE(2026,8,23)</f>
        <v>46257</v>
      </c>
      <c r="B12848" s="4" t="s">
        <v>179</v>
      </c>
      <c r="C12848" s="4" t="n">
        <v>10</v>
      </c>
      <c r="D12848" s="4" t="n">
        <v>8</v>
      </c>
      <c r="E12848" s="4"/>
      <c r="F12848" s="4" t="n">
        <v>6</v>
      </c>
      <c r="G12848" s="4" t="n">
        <v>11</v>
      </c>
      <c r="H12848" s="4" t="n">
        <v>4</v>
      </c>
      <c r="I12848" s="4" t="str">
        <v>×</v>
      </c>
      <c r="J12848" s="4"/>
      <c r="K12848" s="4"/>
      <c r="L12848" s="4"/>
      <c r="M12848" s="7" t="s">
        <v>6503</v>
      </c>
    </row>
    <row r="12849" customFormat="false" ht="15.75" hidden="false" customHeight="false" outlineLevel="0" collapsed="false">
      <c r="A12849" s="6" t="n">
        <f aca="false">DATE(2026,8,23)</f>
        <v>46257</v>
      </c>
      <c r="B12849" s="4" t="s">
        <v>179</v>
      </c>
      <c r="C12849" s="4" t="n">
        <v>10</v>
      </c>
      <c r="D12849" s="4" t="n">
        <v>9</v>
      </c>
      <c r="E12849" s="4"/>
      <c r="F12849" s="4" t="n">
        <v>10</v>
      </c>
      <c r="G12849" s="4" t="n">
        <v>10</v>
      </c>
      <c r="H12849" s="4" t="n">
        <v>4</v>
      </c>
      <c r="I12849" s="4" t="str">
        <v>×</v>
      </c>
      <c r="J12849" s="4"/>
      <c r="K12849" s="4"/>
      <c r="L12849" s="4"/>
      <c r="M12849" s="7" t="s">
        <v>6503</v>
      </c>
    </row>
    <row r="12850" customFormat="false" ht="15.75" hidden="false" customHeight="false" outlineLevel="0" collapsed="false">
      <c r="A12850" s="6" t="n">
        <f aca="false">DATE(2026,8,23)</f>
        <v>46257</v>
      </c>
      <c r="B12850" s="4" t="s">
        <v>179</v>
      </c>
      <c r="C12850" s="4" t="n">
        <v>10</v>
      </c>
      <c r="D12850" s="4" t="n">
        <v>10</v>
      </c>
      <c r="E12850" s="4"/>
      <c r="F12850" s="4" t="n">
        <v>23</v>
      </c>
      <c r="G12850" s="4" t="n">
        <v>4</v>
      </c>
      <c r="H12850" s="4" t="n">
        <v>4</v>
      </c>
      <c r="I12850" s="4" t="str">
        <v>×</v>
      </c>
      <c r="J12850" s="4"/>
      <c r="K12850" s="4"/>
      <c r="L12850" s="4"/>
      <c r="M12850" s="7" t="s">
        <v>6503</v>
      </c>
    </row>
    <row r="12851" customFormat="false" ht="15.75" hidden="false" customHeight="false" outlineLevel="0" collapsed="false">
      <c r="A12851" s="6" t="n">
        <f aca="false">DATE(2026,8,23)</f>
        <v>46257</v>
      </c>
      <c r="B12851" s="4" t="s">
        <v>179</v>
      </c>
      <c r="C12851" s="4" t="n">
        <v>10</v>
      </c>
      <c r="D12851" s="4" t="n">
        <v>11</v>
      </c>
      <c r="E12851" s="4" t="s">
        <v>333</v>
      </c>
      <c r="F12851" s="4" t="n">
        <v>58</v>
      </c>
      <c r="G12851" s="4" t="n">
        <v>2</v>
      </c>
      <c r="H12851" s="4" t="n">
        <v>2</v>
      </c>
      <c r="I12851" s="4" t="str">
        <v>○</v>
      </c>
      <c r="J12851" s="4" t="n">
        <v>200</v>
      </c>
      <c r="K12851" s="4"/>
      <c r="L12851" s="4"/>
      <c r="M12851" s="7" t="s">
        <v>6503</v>
      </c>
    </row>
    <row r="12852" customFormat="false" ht="15.75" hidden="false" customHeight="false" outlineLevel="0" collapsed="false">
      <c r="A12852" s="6" t="n">
        <f aca="false">DATE(2026,8,23)</f>
        <v>46257</v>
      </c>
      <c r="B12852" s="4" t="s">
        <v>179</v>
      </c>
      <c r="C12852" s="4" t="n">
        <v>10</v>
      </c>
      <c r="D12852" s="4" t="n">
        <v>12</v>
      </c>
      <c r="E12852" s="4" t="s">
        <v>3615</v>
      </c>
      <c r="F12852" s="4" t="n">
        <v>75</v>
      </c>
      <c r="G12852" s="4" t="n">
        <v>1</v>
      </c>
      <c r="H12852" s="4" t="n">
        <v>1</v>
      </c>
      <c r="I12852" s="4" t="str">
        <v>○</v>
      </c>
      <c r="J12852" s="4" t="n">
        <v>110</v>
      </c>
      <c r="K12852" s="4"/>
      <c r="L12852" s="4"/>
      <c r="M12852" s="7" t="s">
        <v>6503</v>
      </c>
    </row>
    <row r="12853" customFormat="false" ht="15.75" hidden="false" customHeight="false" outlineLevel="0" collapsed="false">
      <c r="A12853" s="6" t="n">
        <f aca="false">DATE(2026,8,23)</f>
        <v>46257</v>
      </c>
      <c r="B12853" s="4" t="s">
        <v>179</v>
      </c>
      <c r="C12853" s="4" t="n">
        <v>10</v>
      </c>
      <c r="D12853" s="4" t="n">
        <v>13</v>
      </c>
      <c r="E12853" s="4"/>
      <c r="F12853" s="4" t="n">
        <v>37</v>
      </c>
      <c r="G12853" s="4" t="n">
        <v>3</v>
      </c>
      <c r="H12853" s="4" t="n">
        <v>4</v>
      </c>
      <c r="I12853" s="4" t="str">
        <v>×</v>
      </c>
      <c r="J12853" s="4"/>
      <c r="K12853" s="4"/>
      <c r="L12853" s="4"/>
      <c r="M12853" s="7" t="s">
        <v>6503</v>
      </c>
    </row>
    <row r="12854" customFormat="false" ht="15.75" hidden="false" customHeight="false" outlineLevel="0" collapsed="false">
      <c r="A12854" s="6" t="n">
        <f aca="false">DATE(2026,8,23)</f>
        <v>46257</v>
      </c>
      <c r="B12854" s="4" t="s">
        <v>179</v>
      </c>
      <c r="C12854" s="4" t="n">
        <v>10</v>
      </c>
      <c r="D12854" s="4" t="n">
        <v>14</v>
      </c>
      <c r="E12854" s="4"/>
      <c r="F12854" s="4" t="n">
        <v>17</v>
      </c>
      <c r="G12854" s="4" t="n">
        <v>6</v>
      </c>
      <c r="H12854" s="4" t="n">
        <v>4</v>
      </c>
      <c r="I12854" s="4" t="str">
        <v>×</v>
      </c>
      <c r="J12854" s="4"/>
      <c r="K12854" s="4"/>
      <c r="L12854" s="4"/>
      <c r="M12854" s="7" t="s">
        <v>6503</v>
      </c>
    </row>
    <row r="12855" customFormat="false" ht="15.75" hidden="false" customHeight="false" outlineLevel="0" collapsed="false">
      <c r="A12855" s="6" t="n">
        <f aca="false">DATE(2026,8,23)</f>
        <v>46257</v>
      </c>
      <c r="B12855" s="4" t="s">
        <v>179</v>
      </c>
      <c r="C12855" s="4" t="n">
        <v>11</v>
      </c>
      <c r="D12855" s="4" t="n">
        <v>1</v>
      </c>
      <c r="E12855" s="4"/>
      <c r="F12855" s="4" t="n">
        <v>10</v>
      </c>
      <c r="G12855" s="4" t="n">
        <v>11</v>
      </c>
      <c r="H12855" s="4" t="n">
        <v>4</v>
      </c>
      <c r="I12855" s="4" t="str">
        <v>×</v>
      </c>
      <c r="J12855" s="4"/>
      <c r="K12855" s="4"/>
      <c r="L12855" s="4"/>
      <c r="M12855" s="7" t="s">
        <v>6503</v>
      </c>
    </row>
    <row r="12856" customFormat="false" ht="15.75" hidden="false" customHeight="false" outlineLevel="0" collapsed="false">
      <c r="A12856" s="6" t="n">
        <f aca="false">DATE(2026,8,23)</f>
        <v>46257</v>
      </c>
      <c r="B12856" s="4" t="s">
        <v>179</v>
      </c>
      <c r="C12856" s="4" t="n">
        <v>11</v>
      </c>
      <c r="D12856" s="4" t="n">
        <v>2</v>
      </c>
      <c r="E12856" s="4"/>
      <c r="F12856" s="4" t="n">
        <v>3</v>
      </c>
      <c r="G12856" s="4" t="n">
        <v>16</v>
      </c>
      <c r="H12856" s="4" t="n">
        <v>4</v>
      </c>
      <c r="I12856" s="4" t="str">
        <v>×</v>
      </c>
      <c r="J12856" s="4"/>
      <c r="K12856" s="4"/>
      <c r="L12856" s="4"/>
      <c r="M12856" s="7" t="s">
        <v>6503</v>
      </c>
    </row>
    <row r="12857" customFormat="false" ht="15.75" hidden="false" customHeight="false" outlineLevel="0" collapsed="false">
      <c r="A12857" s="6" t="n">
        <f aca="false">DATE(2026,8,23)</f>
        <v>46257</v>
      </c>
      <c r="B12857" s="4" t="s">
        <v>179</v>
      </c>
      <c r="C12857" s="4" t="n">
        <v>11</v>
      </c>
      <c r="D12857" s="4" t="n">
        <v>3</v>
      </c>
      <c r="E12857" s="4"/>
      <c r="F12857" s="4" t="n">
        <v>29</v>
      </c>
      <c r="G12857" s="4" t="n">
        <v>5</v>
      </c>
      <c r="H12857" s="4" t="n">
        <v>4</v>
      </c>
      <c r="I12857" s="4" t="str">
        <v>×</v>
      </c>
      <c r="J12857" s="4"/>
      <c r="K12857" s="4"/>
      <c r="L12857" s="4"/>
      <c r="M12857" s="7" t="s">
        <v>6503</v>
      </c>
    </row>
    <row r="12858" customFormat="false" ht="15.75" hidden="false" customHeight="false" outlineLevel="0" collapsed="false">
      <c r="A12858" s="6" t="n">
        <f aca="false">DATE(2026,8,23)</f>
        <v>46257</v>
      </c>
      <c r="B12858" s="4" t="s">
        <v>179</v>
      </c>
      <c r="C12858" s="4" t="n">
        <v>11</v>
      </c>
      <c r="D12858" s="4" t="n">
        <v>4</v>
      </c>
      <c r="E12858" s="4" t="s">
        <v>5841</v>
      </c>
      <c r="F12858" s="4" t="n">
        <v>47</v>
      </c>
      <c r="G12858" s="4" t="n">
        <v>2</v>
      </c>
      <c r="H12858" s="4" t="n">
        <v>1</v>
      </c>
      <c r="I12858" s="4" t="str">
        <v>○</v>
      </c>
      <c r="J12858" s="4" t="n">
        <v>250</v>
      </c>
      <c r="K12858" s="4"/>
      <c r="L12858" s="4"/>
      <c r="M12858" s="7" t="s">
        <v>6503</v>
      </c>
    </row>
    <row r="12859" customFormat="false" ht="15.75" hidden="false" customHeight="false" outlineLevel="0" collapsed="false">
      <c r="A12859" s="6" t="n">
        <f aca="false">DATE(2026,8,23)</f>
        <v>46257</v>
      </c>
      <c r="B12859" s="4" t="s">
        <v>179</v>
      </c>
      <c r="C12859" s="4" t="n">
        <v>11</v>
      </c>
      <c r="D12859" s="4" t="n">
        <v>5</v>
      </c>
      <c r="E12859" s="4"/>
      <c r="F12859" s="4" t="n">
        <v>23</v>
      </c>
      <c r="G12859" s="4" t="n">
        <v>8</v>
      </c>
      <c r="H12859" s="4" t="n">
        <v>4</v>
      </c>
      <c r="I12859" s="4" t="str">
        <v>×</v>
      </c>
      <c r="J12859" s="4"/>
      <c r="K12859" s="4"/>
      <c r="L12859" s="4"/>
      <c r="M12859" s="7" t="s">
        <v>6503</v>
      </c>
    </row>
    <row r="12860" customFormat="false" ht="15.75" hidden="false" customHeight="false" outlineLevel="0" collapsed="false">
      <c r="A12860" s="6" t="n">
        <f aca="false">DATE(2026,8,23)</f>
        <v>46257</v>
      </c>
      <c r="B12860" s="4" t="s">
        <v>179</v>
      </c>
      <c r="C12860" s="4" t="n">
        <v>11</v>
      </c>
      <c r="D12860" s="4" t="n">
        <v>6</v>
      </c>
      <c r="E12860" s="4" t="s">
        <v>6548</v>
      </c>
      <c r="F12860" s="4" t="n">
        <v>23</v>
      </c>
      <c r="G12860" s="4" t="n">
        <v>8</v>
      </c>
      <c r="H12860" s="4" t="n">
        <v>2</v>
      </c>
      <c r="I12860" s="4" t="str">
        <v>○</v>
      </c>
      <c r="J12860" s="4" t="n">
        <v>700</v>
      </c>
      <c r="K12860" s="4"/>
      <c r="L12860" s="4"/>
      <c r="M12860" s="7" t="s">
        <v>6503</v>
      </c>
    </row>
    <row r="12861" customFormat="false" ht="15.75" hidden="false" customHeight="false" outlineLevel="0" collapsed="false">
      <c r="A12861" s="6" t="n">
        <f aca="false">DATE(2026,8,23)</f>
        <v>46257</v>
      </c>
      <c r="B12861" s="4" t="s">
        <v>179</v>
      </c>
      <c r="C12861" s="4" t="n">
        <v>11</v>
      </c>
      <c r="D12861" s="4" t="n">
        <v>7</v>
      </c>
      <c r="E12861" s="4"/>
      <c r="F12861" s="4" t="n">
        <v>25</v>
      </c>
      <c r="G12861" s="4" t="n">
        <v>6</v>
      </c>
      <c r="H12861" s="4" t="n">
        <v>4</v>
      </c>
      <c r="I12861" s="4" t="str">
        <v>×</v>
      </c>
      <c r="J12861" s="4"/>
      <c r="K12861" s="4"/>
      <c r="L12861" s="4"/>
      <c r="M12861" s="7" t="s">
        <v>6503</v>
      </c>
    </row>
    <row r="12862" customFormat="false" ht="15.75" hidden="false" customHeight="false" outlineLevel="0" collapsed="false">
      <c r="A12862" s="6" t="n">
        <f aca="false">DATE(2026,8,23)</f>
        <v>46257</v>
      </c>
      <c r="B12862" s="4" t="s">
        <v>179</v>
      </c>
      <c r="C12862" s="4" t="n">
        <v>11</v>
      </c>
      <c r="D12862" s="4" t="n">
        <v>8</v>
      </c>
      <c r="E12862" s="4"/>
      <c r="F12862" s="4" t="n">
        <v>8</v>
      </c>
      <c r="G12862" s="4" t="n">
        <v>13</v>
      </c>
      <c r="H12862" s="4" t="n">
        <v>4</v>
      </c>
      <c r="I12862" s="4" t="str">
        <v>×</v>
      </c>
      <c r="J12862" s="4"/>
      <c r="K12862" s="4"/>
      <c r="L12862" s="4"/>
      <c r="M12862" s="7" t="s">
        <v>6503</v>
      </c>
    </row>
    <row r="12863" customFormat="false" ht="15.75" hidden="false" customHeight="false" outlineLevel="0" collapsed="false">
      <c r="A12863" s="6" t="n">
        <f aca="false">DATE(2026,8,23)</f>
        <v>46257</v>
      </c>
      <c r="B12863" s="4" t="s">
        <v>179</v>
      </c>
      <c r="C12863" s="4" t="n">
        <v>11</v>
      </c>
      <c r="D12863" s="4" t="n">
        <v>9</v>
      </c>
      <c r="E12863" s="4" t="s">
        <v>731</v>
      </c>
      <c r="F12863" s="4" t="n">
        <v>47</v>
      </c>
      <c r="G12863" s="4" t="n">
        <v>2</v>
      </c>
      <c r="H12863" s="4" t="n">
        <v>3</v>
      </c>
      <c r="I12863" s="4" t="str">
        <v>○</v>
      </c>
      <c r="J12863" s="4" t="n">
        <v>180</v>
      </c>
      <c r="K12863" s="4"/>
      <c r="L12863" s="4"/>
      <c r="M12863" s="7" t="s">
        <v>6503</v>
      </c>
    </row>
    <row r="12864" customFormat="false" ht="15.75" hidden="false" customHeight="false" outlineLevel="0" collapsed="false">
      <c r="A12864" s="6" t="n">
        <f aca="false">DATE(2026,8,23)</f>
        <v>46257</v>
      </c>
      <c r="B12864" s="4" t="s">
        <v>179</v>
      </c>
      <c r="C12864" s="4" t="n">
        <v>11</v>
      </c>
      <c r="D12864" s="4" t="n">
        <v>10</v>
      </c>
      <c r="E12864" s="4"/>
      <c r="F12864" s="4" t="n">
        <v>2</v>
      </c>
      <c r="G12864" s="4" t="n">
        <v>17</v>
      </c>
      <c r="H12864" s="4" t="n">
        <v>4</v>
      </c>
      <c r="I12864" s="4" t="str">
        <v>×</v>
      </c>
      <c r="J12864" s="4"/>
      <c r="K12864" s="4"/>
      <c r="L12864" s="4"/>
      <c r="M12864" s="7" t="s">
        <v>6503</v>
      </c>
    </row>
    <row r="12865" customFormat="false" ht="15.75" hidden="false" customHeight="false" outlineLevel="0" collapsed="false">
      <c r="A12865" s="6" t="n">
        <f aca="false">DATE(2026,8,23)</f>
        <v>46257</v>
      </c>
      <c r="B12865" s="4" t="s">
        <v>179</v>
      </c>
      <c r="C12865" s="4" t="n">
        <v>11</v>
      </c>
      <c r="D12865" s="4" t="n">
        <v>11</v>
      </c>
      <c r="E12865" s="4"/>
      <c r="F12865" s="4" t="n">
        <v>25</v>
      </c>
      <c r="G12865" s="4" t="n">
        <v>6</v>
      </c>
      <c r="H12865" s="4" t="n">
        <v>4</v>
      </c>
      <c r="I12865" s="4" t="str">
        <v>×</v>
      </c>
      <c r="J12865" s="4"/>
      <c r="K12865" s="4"/>
      <c r="L12865" s="4"/>
      <c r="M12865" s="7" t="s">
        <v>6503</v>
      </c>
    </row>
    <row r="12866" customFormat="false" ht="15.75" hidden="false" customHeight="false" outlineLevel="0" collapsed="false">
      <c r="A12866" s="6" t="n">
        <f aca="false">DATE(2026,8,23)</f>
        <v>46257</v>
      </c>
      <c r="B12866" s="4" t="s">
        <v>179</v>
      </c>
      <c r="C12866" s="4" t="n">
        <v>11</v>
      </c>
      <c r="D12866" s="4" t="n">
        <v>12</v>
      </c>
      <c r="E12866" s="4"/>
      <c r="F12866" s="4" t="n">
        <v>10</v>
      </c>
      <c r="G12866" s="4" t="n">
        <v>11</v>
      </c>
      <c r="H12866" s="4" t="n">
        <v>4</v>
      </c>
      <c r="I12866" s="4" t="str">
        <v>×</v>
      </c>
      <c r="J12866" s="4"/>
      <c r="K12866" s="4"/>
      <c r="L12866" s="4"/>
      <c r="M12866" s="7" t="s">
        <v>6503</v>
      </c>
    </row>
    <row r="12867" customFormat="false" ht="15.75" hidden="false" customHeight="false" outlineLevel="0" collapsed="false">
      <c r="A12867" s="6" t="n">
        <f aca="false">DATE(2026,8,23)</f>
        <v>46257</v>
      </c>
      <c r="B12867" s="4" t="s">
        <v>179</v>
      </c>
      <c r="C12867" s="4" t="n">
        <v>11</v>
      </c>
      <c r="D12867" s="4" t="n">
        <v>13</v>
      </c>
      <c r="E12867" s="4"/>
      <c r="F12867" s="4" t="n">
        <v>31</v>
      </c>
      <c r="G12867" s="4" t="n">
        <v>4</v>
      </c>
      <c r="H12867" s="4" t="n">
        <v>4</v>
      </c>
      <c r="I12867" s="4" t="str">
        <v>×</v>
      </c>
      <c r="J12867" s="4"/>
      <c r="K12867" s="4"/>
      <c r="L12867" s="4"/>
      <c r="M12867" s="7" t="s">
        <v>6503</v>
      </c>
    </row>
    <row r="12868" customFormat="false" ht="15.75" hidden="false" customHeight="false" outlineLevel="0" collapsed="false">
      <c r="A12868" s="6" t="n">
        <f aca="false">DATE(2026,8,23)</f>
        <v>46257</v>
      </c>
      <c r="B12868" s="4" t="s">
        <v>179</v>
      </c>
      <c r="C12868" s="4" t="n">
        <v>11</v>
      </c>
      <c r="D12868" s="4" t="n">
        <v>14</v>
      </c>
      <c r="E12868" s="4"/>
      <c r="F12868" s="4" t="n">
        <v>4</v>
      </c>
      <c r="G12868" s="4" t="n">
        <v>14</v>
      </c>
      <c r="H12868" s="4" t="n">
        <v>4</v>
      </c>
      <c r="I12868" s="4" t="str">
        <v>×</v>
      </c>
      <c r="J12868" s="4"/>
      <c r="K12868" s="4"/>
      <c r="L12868" s="4"/>
      <c r="M12868" s="7" t="s">
        <v>6503</v>
      </c>
    </row>
    <row r="12869" customFormat="false" ht="15.75" hidden="false" customHeight="false" outlineLevel="0" collapsed="false">
      <c r="A12869" s="6" t="n">
        <f aca="false">DATE(2026,8,23)</f>
        <v>46257</v>
      </c>
      <c r="B12869" s="4" t="s">
        <v>179</v>
      </c>
      <c r="C12869" s="4" t="n">
        <v>11</v>
      </c>
      <c r="D12869" s="4" t="n">
        <v>15</v>
      </c>
      <c r="E12869" s="4"/>
      <c r="F12869" s="4" t="n">
        <v>81</v>
      </c>
      <c r="G12869" s="4" t="n">
        <v>1</v>
      </c>
      <c r="H12869" s="4" t="n">
        <v>4</v>
      </c>
      <c r="I12869" s="4" t="str">
        <v>×</v>
      </c>
      <c r="J12869" s="4"/>
      <c r="K12869" s="4"/>
      <c r="L12869" s="4"/>
      <c r="M12869" s="7" t="s">
        <v>6503</v>
      </c>
    </row>
    <row r="12870" customFormat="false" ht="15.75" hidden="false" customHeight="false" outlineLevel="0" collapsed="false">
      <c r="A12870" s="6" t="n">
        <f aca="false">DATE(2026,8,23)</f>
        <v>46257</v>
      </c>
      <c r="B12870" s="4" t="s">
        <v>179</v>
      </c>
      <c r="C12870" s="4" t="n">
        <v>11</v>
      </c>
      <c r="D12870" s="4" t="n">
        <v>16</v>
      </c>
      <c r="E12870" s="4"/>
      <c r="F12870" s="4" t="n">
        <v>4</v>
      </c>
      <c r="G12870" s="4" t="n">
        <v>14</v>
      </c>
      <c r="H12870" s="4" t="n">
        <v>4</v>
      </c>
      <c r="I12870" s="4" t="str">
        <v>×</v>
      </c>
      <c r="J12870" s="4"/>
      <c r="K12870" s="4"/>
      <c r="L12870" s="4"/>
      <c r="M12870" s="7" t="s">
        <v>6503</v>
      </c>
    </row>
    <row r="12871" customFormat="false" ht="15.75" hidden="false" customHeight="false" outlineLevel="0" collapsed="false">
      <c r="A12871" s="6" t="n">
        <f aca="false">DATE(2026,8,23)</f>
        <v>46257</v>
      </c>
      <c r="B12871" s="4" t="s">
        <v>179</v>
      </c>
      <c r="C12871" s="4" t="n">
        <v>11</v>
      </c>
      <c r="D12871" s="4" t="n">
        <v>17</v>
      </c>
      <c r="E12871" s="4"/>
      <c r="F12871" s="4" t="n">
        <v>13</v>
      </c>
      <c r="G12871" s="4" t="n">
        <v>10</v>
      </c>
      <c r="H12871" s="4" t="n">
        <v>4</v>
      </c>
      <c r="I12871" s="4" t="str">
        <v>×</v>
      </c>
      <c r="J12871" s="4"/>
      <c r="K12871" s="4"/>
      <c r="L12871" s="4"/>
      <c r="M12871" s="7" t="s">
        <v>6503</v>
      </c>
    </row>
    <row r="12872" customFormat="false" ht="15.75" hidden="false" customHeight="false" outlineLevel="0" collapsed="false">
      <c r="A12872" s="6" t="n">
        <f aca="false">DATE(2026,8,23)</f>
        <v>46257</v>
      </c>
      <c r="B12872" s="4" t="s">
        <v>179</v>
      </c>
      <c r="C12872" s="4" t="n">
        <v>12</v>
      </c>
      <c r="D12872" s="4" t="n">
        <v>1</v>
      </c>
      <c r="E12872" s="4"/>
      <c r="F12872" s="4" t="n">
        <v>6</v>
      </c>
      <c r="G12872" s="4" t="n">
        <v>12</v>
      </c>
      <c r="H12872" s="4" t="n">
        <v>4</v>
      </c>
      <c r="I12872" s="4" t="str">
        <v>×</v>
      </c>
      <c r="J12872" s="4"/>
      <c r="K12872" s="4"/>
      <c r="L12872" s="4"/>
      <c r="M12872" s="7" t="s">
        <v>6503</v>
      </c>
    </row>
    <row r="12873" customFormat="false" ht="15.75" hidden="false" customHeight="false" outlineLevel="0" collapsed="false">
      <c r="A12873" s="6" t="n">
        <f aca="false">DATE(2026,8,23)</f>
        <v>46257</v>
      </c>
      <c r="B12873" s="4" t="s">
        <v>179</v>
      </c>
      <c r="C12873" s="4" t="n">
        <v>12</v>
      </c>
      <c r="D12873" s="4" t="n">
        <v>2</v>
      </c>
      <c r="E12873" s="4"/>
      <c r="F12873" s="4" t="n">
        <v>4</v>
      </c>
      <c r="G12873" s="4" t="n">
        <v>13</v>
      </c>
      <c r="H12873" s="4" t="n">
        <v>4</v>
      </c>
      <c r="I12873" s="4" t="str">
        <v>×</v>
      </c>
      <c r="J12873" s="4"/>
      <c r="K12873" s="4"/>
      <c r="L12873" s="4"/>
      <c r="M12873" s="7" t="s">
        <v>6503</v>
      </c>
    </row>
    <row r="12874" customFormat="false" ht="15.75" hidden="false" customHeight="false" outlineLevel="0" collapsed="false">
      <c r="A12874" s="6" t="n">
        <f aca="false">DATE(2026,8,23)</f>
        <v>46257</v>
      </c>
      <c r="B12874" s="4" t="s">
        <v>179</v>
      </c>
      <c r="C12874" s="4" t="n">
        <v>12</v>
      </c>
      <c r="D12874" s="4" t="n">
        <v>3</v>
      </c>
      <c r="E12874" s="4"/>
      <c r="F12874" s="4" t="n">
        <v>1</v>
      </c>
      <c r="G12874" s="4" t="n">
        <v>16</v>
      </c>
      <c r="H12874" s="4" t="n">
        <v>4</v>
      </c>
      <c r="I12874" s="4" t="str">
        <v>×</v>
      </c>
      <c r="J12874" s="4"/>
      <c r="K12874" s="4"/>
      <c r="L12874" s="4"/>
      <c r="M12874" s="7" t="s">
        <v>6503</v>
      </c>
    </row>
    <row r="12875" customFormat="false" ht="15.75" hidden="false" customHeight="false" outlineLevel="0" collapsed="false">
      <c r="A12875" s="6" t="n">
        <f aca="false">DATE(2026,8,23)</f>
        <v>46257</v>
      </c>
      <c r="B12875" s="4" t="s">
        <v>179</v>
      </c>
      <c r="C12875" s="4" t="n">
        <v>12</v>
      </c>
      <c r="D12875" s="4" t="n">
        <v>4</v>
      </c>
      <c r="E12875" s="4"/>
      <c r="F12875" s="4" t="n">
        <v>58</v>
      </c>
      <c r="G12875" s="4" t="n">
        <v>1</v>
      </c>
      <c r="H12875" s="4" t="n">
        <v>4</v>
      </c>
      <c r="I12875" s="4" t="str">
        <v>×</v>
      </c>
      <c r="J12875" s="4"/>
      <c r="K12875" s="4"/>
      <c r="L12875" s="4"/>
      <c r="M12875" s="7" t="s">
        <v>6503</v>
      </c>
    </row>
    <row r="12876" customFormat="false" ht="15.75" hidden="false" customHeight="false" outlineLevel="0" collapsed="false">
      <c r="A12876" s="6" t="n">
        <f aca="false">DATE(2026,8,23)</f>
        <v>46257</v>
      </c>
      <c r="B12876" s="4" t="s">
        <v>179</v>
      </c>
      <c r="C12876" s="4" t="n">
        <v>12</v>
      </c>
      <c r="D12876" s="4" t="n">
        <v>5</v>
      </c>
      <c r="E12876" s="4" t="s">
        <v>1578</v>
      </c>
      <c r="F12876" s="4" t="n">
        <v>31</v>
      </c>
      <c r="G12876" s="4" t="n">
        <v>4</v>
      </c>
      <c r="H12876" s="4" t="n">
        <v>1</v>
      </c>
      <c r="I12876" s="4" t="str">
        <v>○</v>
      </c>
      <c r="J12876" s="4" t="n">
        <v>690</v>
      </c>
      <c r="K12876" s="4"/>
      <c r="L12876" s="4"/>
      <c r="M12876" s="7" t="s">
        <v>6503</v>
      </c>
    </row>
    <row r="12877" customFormat="false" ht="15.75" hidden="false" customHeight="false" outlineLevel="0" collapsed="false">
      <c r="A12877" s="6" t="n">
        <f aca="false">DATE(2026,8,23)</f>
        <v>46257</v>
      </c>
      <c r="B12877" s="4" t="s">
        <v>179</v>
      </c>
      <c r="C12877" s="4" t="n">
        <v>12</v>
      </c>
      <c r="D12877" s="4" t="n">
        <v>6</v>
      </c>
      <c r="E12877" s="4"/>
      <c r="F12877" s="4" t="n">
        <v>25</v>
      </c>
      <c r="G12877" s="4" t="n">
        <v>5</v>
      </c>
      <c r="H12877" s="4" t="n">
        <v>4</v>
      </c>
      <c r="I12877" s="4" t="str">
        <v>×</v>
      </c>
      <c r="J12877" s="4"/>
      <c r="K12877" s="4"/>
      <c r="L12877" s="4"/>
      <c r="M12877" s="7" t="s">
        <v>6503</v>
      </c>
    </row>
    <row r="12878" customFormat="false" ht="15.75" hidden="false" customHeight="false" outlineLevel="0" collapsed="false">
      <c r="A12878" s="6" t="n">
        <f aca="false">DATE(2026,8,23)</f>
        <v>46257</v>
      </c>
      <c r="B12878" s="4" t="s">
        <v>179</v>
      </c>
      <c r="C12878" s="4" t="n">
        <v>12</v>
      </c>
      <c r="D12878" s="4" t="n">
        <v>7</v>
      </c>
      <c r="E12878" s="4"/>
      <c r="F12878" s="4" t="n">
        <v>20</v>
      </c>
      <c r="G12878" s="4" t="n">
        <v>7</v>
      </c>
      <c r="H12878" s="4" t="n">
        <v>4</v>
      </c>
      <c r="I12878" s="4" t="str">
        <v>×</v>
      </c>
      <c r="J12878" s="4"/>
      <c r="K12878" s="4"/>
      <c r="L12878" s="4"/>
      <c r="M12878" s="7" t="s">
        <v>6503</v>
      </c>
    </row>
    <row r="12879" customFormat="false" ht="15.75" hidden="false" customHeight="false" outlineLevel="0" collapsed="false">
      <c r="A12879" s="6" t="n">
        <f aca="false">DATE(2026,8,23)</f>
        <v>46257</v>
      </c>
      <c r="B12879" s="4" t="s">
        <v>179</v>
      </c>
      <c r="C12879" s="4" t="n">
        <v>12</v>
      </c>
      <c r="D12879" s="4" t="n">
        <v>8</v>
      </c>
      <c r="E12879" s="4" t="s">
        <v>5673</v>
      </c>
      <c r="F12879" s="4" t="n">
        <v>4</v>
      </c>
      <c r="G12879" s="4" t="n">
        <v>13</v>
      </c>
      <c r="H12879" s="4" t="n">
        <v>2</v>
      </c>
      <c r="I12879" s="4" t="str">
        <v>○</v>
      </c>
      <c r="J12879" s="4" t="n">
        <v>3550</v>
      </c>
      <c r="K12879" s="4"/>
      <c r="L12879" s="4"/>
      <c r="M12879" s="7" t="s">
        <v>6503</v>
      </c>
    </row>
    <row r="12880" customFormat="false" ht="15.75" hidden="false" customHeight="false" outlineLevel="0" collapsed="false">
      <c r="A12880" s="6" t="n">
        <f aca="false">DATE(2026,8,23)</f>
        <v>46257</v>
      </c>
      <c r="B12880" s="4" t="s">
        <v>179</v>
      </c>
      <c r="C12880" s="4" t="n">
        <v>12</v>
      </c>
      <c r="D12880" s="4" t="n">
        <v>9</v>
      </c>
      <c r="E12880" s="4" t="s">
        <v>4593</v>
      </c>
      <c r="F12880" s="4" t="n">
        <v>25</v>
      </c>
      <c r="G12880" s="4" t="n">
        <v>5</v>
      </c>
      <c r="H12880" s="4" t="n">
        <v>3</v>
      </c>
      <c r="I12880" s="4" t="str">
        <v>○</v>
      </c>
      <c r="J12880" s="4" t="n">
        <v>470</v>
      </c>
      <c r="K12880" s="4"/>
      <c r="L12880" s="4"/>
      <c r="M12880" s="7" t="s">
        <v>6503</v>
      </c>
    </row>
    <row r="12881" customFormat="false" ht="15.75" hidden="false" customHeight="false" outlineLevel="0" collapsed="false">
      <c r="A12881" s="6" t="n">
        <f aca="false">DATE(2026,8,23)</f>
        <v>46257</v>
      </c>
      <c r="B12881" s="4" t="s">
        <v>179</v>
      </c>
      <c r="C12881" s="4" t="n">
        <v>12</v>
      </c>
      <c r="D12881" s="4" t="n">
        <v>10</v>
      </c>
      <c r="E12881" s="4"/>
      <c r="F12881" s="4" t="n">
        <v>8</v>
      </c>
      <c r="G12881" s="4" t="n">
        <v>11</v>
      </c>
      <c r="H12881" s="4" t="n">
        <v>4</v>
      </c>
      <c r="I12881" s="4" t="str">
        <v>×</v>
      </c>
      <c r="J12881" s="4"/>
      <c r="K12881" s="4"/>
      <c r="L12881" s="4"/>
      <c r="M12881" s="7" t="s">
        <v>6503</v>
      </c>
    </row>
    <row r="12882" customFormat="false" ht="15.75" hidden="false" customHeight="false" outlineLevel="0" collapsed="false">
      <c r="A12882" s="6" t="n">
        <f aca="false">DATE(2026,8,23)</f>
        <v>46257</v>
      </c>
      <c r="B12882" s="4" t="s">
        <v>179</v>
      </c>
      <c r="C12882" s="4" t="n">
        <v>12</v>
      </c>
      <c r="D12882" s="4" t="n">
        <v>11</v>
      </c>
      <c r="E12882" s="4"/>
      <c r="F12882" s="4" t="n">
        <v>13</v>
      </c>
      <c r="G12882" s="4" t="n">
        <v>8</v>
      </c>
      <c r="H12882" s="4" t="n">
        <v>4</v>
      </c>
      <c r="I12882" s="4" t="str">
        <v>×</v>
      </c>
      <c r="J12882" s="4"/>
      <c r="K12882" s="4"/>
      <c r="L12882" s="4"/>
      <c r="M12882" s="7" t="s">
        <v>6503</v>
      </c>
    </row>
    <row r="12883" customFormat="false" ht="15.75" hidden="false" customHeight="false" outlineLevel="0" collapsed="false">
      <c r="A12883" s="6" t="n">
        <f aca="false">DATE(2026,8,23)</f>
        <v>46257</v>
      </c>
      <c r="B12883" s="4" t="s">
        <v>179</v>
      </c>
      <c r="C12883" s="4" t="n">
        <v>12</v>
      </c>
      <c r="D12883" s="4" t="n">
        <v>12</v>
      </c>
      <c r="E12883" s="4"/>
      <c r="F12883" s="4" t="n">
        <v>4</v>
      </c>
      <c r="G12883" s="4" t="n">
        <v>13</v>
      </c>
      <c r="H12883" s="4" t="n">
        <v>4</v>
      </c>
      <c r="I12883" s="4" t="str">
        <v>×</v>
      </c>
      <c r="J12883" s="4"/>
      <c r="K12883" s="4"/>
      <c r="L12883" s="4"/>
      <c r="M12883" s="7" t="s">
        <v>6503</v>
      </c>
    </row>
    <row r="12884" customFormat="false" ht="15.75" hidden="false" customHeight="false" outlineLevel="0" collapsed="false">
      <c r="A12884" s="6" t="n">
        <f aca="false">DATE(2026,8,23)</f>
        <v>46257</v>
      </c>
      <c r="B12884" s="4" t="s">
        <v>179</v>
      </c>
      <c r="C12884" s="4" t="n">
        <v>12</v>
      </c>
      <c r="D12884" s="4" t="n">
        <v>13</v>
      </c>
      <c r="E12884" s="4"/>
      <c r="F12884" s="4" t="n">
        <v>10</v>
      </c>
      <c r="G12884" s="4" t="n">
        <v>10</v>
      </c>
      <c r="H12884" s="4" t="n">
        <v>4</v>
      </c>
      <c r="I12884" s="4" t="str">
        <v>×</v>
      </c>
      <c r="J12884" s="4"/>
      <c r="K12884" s="4"/>
      <c r="L12884" s="4"/>
      <c r="M12884" s="7" t="s">
        <v>6503</v>
      </c>
    </row>
    <row r="12885" customFormat="false" ht="15.75" hidden="false" customHeight="false" outlineLevel="0" collapsed="false">
      <c r="A12885" s="6" t="n">
        <f aca="false">DATE(2026,8,23)</f>
        <v>46257</v>
      </c>
      <c r="B12885" s="4" t="s">
        <v>179</v>
      </c>
      <c r="C12885" s="4" t="n">
        <v>12</v>
      </c>
      <c r="D12885" s="4" t="n">
        <v>14</v>
      </c>
      <c r="E12885" s="4"/>
      <c r="F12885" s="4" t="n">
        <v>47</v>
      </c>
      <c r="G12885" s="4" t="n">
        <v>2</v>
      </c>
      <c r="H12885" s="4" t="n">
        <v>4</v>
      </c>
      <c r="I12885" s="4" t="str">
        <v>×</v>
      </c>
      <c r="J12885" s="4"/>
      <c r="K12885" s="4"/>
      <c r="L12885" s="4"/>
      <c r="M12885" s="7" t="s">
        <v>6503</v>
      </c>
    </row>
    <row r="12886" customFormat="false" ht="15.75" hidden="false" customHeight="false" outlineLevel="0" collapsed="false">
      <c r="A12886" s="6" t="n">
        <f aca="false">DATE(2026,8,23)</f>
        <v>46257</v>
      </c>
      <c r="B12886" s="4" t="s">
        <v>179</v>
      </c>
      <c r="C12886" s="4" t="n">
        <v>12</v>
      </c>
      <c r="D12886" s="4" t="n">
        <v>15</v>
      </c>
      <c r="E12886" s="4"/>
      <c r="F12886" s="4" t="n">
        <v>13</v>
      </c>
      <c r="G12886" s="4" t="n">
        <v>8</v>
      </c>
      <c r="H12886" s="4" t="n">
        <v>4</v>
      </c>
      <c r="I12886" s="4" t="str">
        <v>×</v>
      </c>
      <c r="J12886" s="4"/>
      <c r="K12886" s="4"/>
      <c r="L12886" s="4"/>
      <c r="M12886" s="7" t="s">
        <v>6503</v>
      </c>
    </row>
    <row r="12887" customFormat="false" ht="15.75" hidden="false" customHeight="false" outlineLevel="0" collapsed="false">
      <c r="A12887" s="6" t="n">
        <f aca="false">DATE(2026,8,23)</f>
        <v>46257</v>
      </c>
      <c r="B12887" s="4" t="s">
        <v>179</v>
      </c>
      <c r="C12887" s="4" t="n">
        <v>12</v>
      </c>
      <c r="D12887" s="4" t="n">
        <v>16</v>
      </c>
      <c r="E12887" s="4"/>
      <c r="F12887" s="4" t="n">
        <v>34</v>
      </c>
      <c r="G12887" s="4" t="n">
        <v>3</v>
      </c>
      <c r="H12887" s="4" t="n">
        <v>4</v>
      </c>
      <c r="I12887" s="4" t="str">
        <v>×</v>
      </c>
      <c r="J12887" s="4"/>
      <c r="K12887" s="4"/>
      <c r="L12887" s="4"/>
      <c r="M12887" s="7" t="s">
        <v>6503</v>
      </c>
    </row>
    <row r="12888" customFormat="false" ht="15.75" hidden="false" customHeight="false" outlineLevel="0" collapsed="false">
      <c r="A12888" s="6" t="n">
        <f aca="false">DATE(2026,8,23)</f>
        <v>46257</v>
      </c>
      <c r="B12888" s="4" t="s">
        <v>334</v>
      </c>
      <c r="C12888" s="4" t="n">
        <v>1</v>
      </c>
      <c r="D12888" s="4" t="n">
        <v>1</v>
      </c>
      <c r="E12888" s="4"/>
      <c r="F12888" s="4" t="n">
        <v>4</v>
      </c>
      <c r="G12888" s="4" t="n">
        <v>11</v>
      </c>
      <c r="H12888" s="4" t="n">
        <v>4</v>
      </c>
      <c r="I12888" s="4" t="str">
        <v>×</v>
      </c>
      <c r="J12888" s="4"/>
      <c r="K12888" s="4"/>
      <c r="L12888" s="4"/>
      <c r="M12888" s="7" t="s">
        <v>6503</v>
      </c>
    </row>
    <row r="12889" customFormat="false" ht="15.75" hidden="false" customHeight="false" outlineLevel="0" collapsed="false">
      <c r="A12889" s="6" t="n">
        <f aca="false">DATE(2026,8,23)</f>
        <v>46257</v>
      </c>
      <c r="B12889" s="4" t="s">
        <v>334</v>
      </c>
      <c r="C12889" s="4" t="n">
        <v>1</v>
      </c>
      <c r="D12889" s="4" t="n">
        <v>2</v>
      </c>
      <c r="E12889" s="4"/>
      <c r="F12889" s="4" t="n">
        <v>4</v>
      </c>
      <c r="G12889" s="4" t="n">
        <v>11</v>
      </c>
      <c r="H12889" s="4" t="n">
        <v>4</v>
      </c>
      <c r="I12889" s="4" t="str">
        <v>×</v>
      </c>
      <c r="J12889" s="4"/>
      <c r="K12889" s="4"/>
      <c r="L12889" s="4"/>
      <c r="M12889" s="7" t="s">
        <v>6503</v>
      </c>
    </row>
    <row r="12890" customFormat="false" ht="15.75" hidden="false" customHeight="false" outlineLevel="0" collapsed="false">
      <c r="A12890" s="6" t="n">
        <f aca="false">DATE(2026,8,23)</f>
        <v>46257</v>
      </c>
      <c r="B12890" s="4" t="s">
        <v>334</v>
      </c>
      <c r="C12890" s="4" t="n">
        <v>1</v>
      </c>
      <c r="D12890" s="4" t="n">
        <v>3</v>
      </c>
      <c r="E12890" s="4" t="s">
        <v>339</v>
      </c>
      <c r="F12890" s="4" t="n">
        <v>71</v>
      </c>
      <c r="G12890" s="4" t="n">
        <v>1</v>
      </c>
      <c r="H12890" s="4" t="n">
        <v>2</v>
      </c>
      <c r="I12890" s="4" t="str">
        <v>○</v>
      </c>
      <c r="J12890" s="4" t="n">
        <v>110</v>
      </c>
      <c r="K12890" s="4"/>
      <c r="L12890" s="4"/>
      <c r="M12890" s="7" t="s">
        <v>6503</v>
      </c>
    </row>
    <row r="12891" customFormat="false" ht="15.75" hidden="false" customHeight="false" outlineLevel="0" collapsed="false">
      <c r="A12891" s="6" t="n">
        <f aca="false">DATE(2026,8,23)</f>
        <v>46257</v>
      </c>
      <c r="B12891" s="4" t="s">
        <v>334</v>
      </c>
      <c r="C12891" s="4" t="n">
        <v>1</v>
      </c>
      <c r="D12891" s="4" t="n">
        <v>4</v>
      </c>
      <c r="E12891" s="4"/>
      <c r="F12891" s="4" t="n">
        <v>44</v>
      </c>
      <c r="G12891" s="4" t="n">
        <v>2</v>
      </c>
      <c r="H12891" s="4" t="n">
        <v>4</v>
      </c>
      <c r="I12891" s="4" t="str">
        <v>×</v>
      </c>
      <c r="J12891" s="4"/>
      <c r="K12891" s="4"/>
      <c r="L12891" s="4"/>
      <c r="M12891" s="7" t="s">
        <v>6503</v>
      </c>
    </row>
    <row r="12892" customFormat="false" ht="15.75" hidden="false" customHeight="false" outlineLevel="0" collapsed="false">
      <c r="A12892" s="6" t="n">
        <f aca="false">DATE(2026,8,23)</f>
        <v>46257</v>
      </c>
      <c r="B12892" s="4" t="s">
        <v>334</v>
      </c>
      <c r="C12892" s="4" t="n">
        <v>1</v>
      </c>
      <c r="D12892" s="4" t="n">
        <v>5</v>
      </c>
      <c r="E12892" s="4" t="s">
        <v>4237</v>
      </c>
      <c r="F12892" s="4" t="n">
        <v>29</v>
      </c>
      <c r="G12892" s="4" t="n">
        <v>4</v>
      </c>
      <c r="H12892" s="4" t="n">
        <v>1</v>
      </c>
      <c r="I12892" s="4" t="str">
        <v>○</v>
      </c>
      <c r="J12892" s="4" t="n">
        <v>160</v>
      </c>
      <c r="K12892" s="4"/>
      <c r="L12892" s="4"/>
      <c r="M12892" s="7" t="s">
        <v>6503</v>
      </c>
    </row>
    <row r="12893" customFormat="false" ht="15.75" hidden="false" customHeight="false" outlineLevel="0" collapsed="false">
      <c r="A12893" s="6" t="n">
        <f aca="false">DATE(2026,8,23)</f>
        <v>46257</v>
      </c>
      <c r="B12893" s="4" t="s">
        <v>334</v>
      </c>
      <c r="C12893" s="4" t="n">
        <v>1</v>
      </c>
      <c r="D12893" s="4" t="n">
        <v>6</v>
      </c>
      <c r="E12893" s="4"/>
      <c r="F12893" s="4" t="n">
        <v>15</v>
      </c>
      <c r="G12893" s="4" t="n">
        <v>8</v>
      </c>
      <c r="H12893" s="4" t="n">
        <v>4</v>
      </c>
      <c r="I12893" s="4" t="str">
        <v>×</v>
      </c>
      <c r="J12893" s="4"/>
      <c r="K12893" s="4"/>
      <c r="L12893" s="4"/>
      <c r="M12893" s="7" t="s">
        <v>6503</v>
      </c>
    </row>
    <row r="12894" customFormat="false" ht="15.75" hidden="false" customHeight="false" outlineLevel="0" collapsed="false">
      <c r="A12894" s="6" t="n">
        <f aca="false">DATE(2026,8,23)</f>
        <v>46257</v>
      </c>
      <c r="B12894" s="4" t="s">
        <v>334</v>
      </c>
      <c r="C12894" s="4" t="n">
        <v>1</v>
      </c>
      <c r="D12894" s="4" t="n">
        <v>7</v>
      </c>
      <c r="E12894" s="4"/>
      <c r="F12894" s="4" t="n">
        <v>13</v>
      </c>
      <c r="G12894" s="4" t="n">
        <v>9</v>
      </c>
      <c r="H12894" s="4" t="n">
        <v>4</v>
      </c>
      <c r="I12894" s="4" t="str">
        <v>×</v>
      </c>
      <c r="J12894" s="4"/>
      <c r="K12894" s="4"/>
      <c r="L12894" s="4"/>
      <c r="M12894" s="7" t="s">
        <v>6503</v>
      </c>
    </row>
    <row r="12895" customFormat="false" ht="15.75" hidden="false" customHeight="false" outlineLevel="0" collapsed="false">
      <c r="A12895" s="6" t="n">
        <f aca="false">DATE(2026,8,23)</f>
        <v>46257</v>
      </c>
      <c r="B12895" s="4" t="s">
        <v>334</v>
      </c>
      <c r="C12895" s="4" t="n">
        <v>1</v>
      </c>
      <c r="D12895" s="4" t="n">
        <v>8</v>
      </c>
      <c r="E12895" s="4"/>
      <c r="F12895" s="4" t="n">
        <v>29</v>
      </c>
      <c r="G12895" s="4" t="n">
        <v>4</v>
      </c>
      <c r="H12895" s="4" t="n">
        <v>4</v>
      </c>
      <c r="I12895" s="4" t="str">
        <v>×</v>
      </c>
      <c r="J12895" s="4"/>
      <c r="K12895" s="4"/>
      <c r="L12895" s="4"/>
      <c r="M12895" s="7" t="s">
        <v>6503</v>
      </c>
    </row>
    <row r="12896" customFormat="false" ht="15.75" hidden="false" customHeight="false" outlineLevel="0" collapsed="false">
      <c r="A12896" s="6" t="n">
        <f aca="false">DATE(2026,8,23)</f>
        <v>46257</v>
      </c>
      <c r="B12896" s="4" t="s">
        <v>334</v>
      </c>
      <c r="C12896" s="4" t="n">
        <v>1</v>
      </c>
      <c r="D12896" s="4" t="n">
        <v>9</v>
      </c>
      <c r="E12896" s="4"/>
      <c r="F12896" s="4" t="n">
        <v>25</v>
      </c>
      <c r="G12896" s="4" t="n">
        <v>6</v>
      </c>
      <c r="H12896" s="4" t="n">
        <v>4</v>
      </c>
      <c r="I12896" s="4" t="str">
        <v>×</v>
      </c>
      <c r="J12896" s="4"/>
      <c r="K12896" s="4"/>
      <c r="L12896" s="4"/>
      <c r="M12896" s="7" t="s">
        <v>6503</v>
      </c>
    </row>
    <row r="12897" customFormat="false" ht="15.75" hidden="false" customHeight="false" outlineLevel="0" collapsed="false">
      <c r="A12897" s="6" t="n">
        <f aca="false">DATE(2026,8,23)</f>
        <v>46257</v>
      </c>
      <c r="B12897" s="4" t="s">
        <v>334</v>
      </c>
      <c r="C12897" s="4" t="n">
        <v>1</v>
      </c>
      <c r="D12897" s="4" t="n">
        <v>10</v>
      </c>
      <c r="E12897" s="4"/>
      <c r="F12897" s="4" t="n">
        <v>25</v>
      </c>
      <c r="G12897" s="4" t="n">
        <v>6</v>
      </c>
      <c r="H12897" s="4" t="n">
        <v>4</v>
      </c>
      <c r="I12897" s="4" t="str">
        <v>×</v>
      </c>
      <c r="J12897" s="4"/>
      <c r="K12897" s="4"/>
      <c r="L12897" s="4"/>
      <c r="M12897" s="7" t="s">
        <v>6503</v>
      </c>
    </row>
    <row r="12898" customFormat="false" ht="15.75" hidden="false" customHeight="false" outlineLevel="0" collapsed="false">
      <c r="A12898" s="6" t="n">
        <f aca="false">DATE(2026,8,23)</f>
        <v>46257</v>
      </c>
      <c r="B12898" s="4" t="s">
        <v>334</v>
      </c>
      <c r="C12898" s="4" t="n">
        <v>1</v>
      </c>
      <c r="D12898" s="4" t="n">
        <v>11</v>
      </c>
      <c r="E12898" s="4"/>
      <c r="F12898" s="4" t="n">
        <v>13</v>
      </c>
      <c r="G12898" s="4" t="n">
        <v>9</v>
      </c>
      <c r="H12898" s="4" t="n">
        <v>4</v>
      </c>
      <c r="I12898" s="4" t="str">
        <v>×</v>
      </c>
      <c r="J12898" s="4"/>
      <c r="K12898" s="4"/>
      <c r="L12898" s="4"/>
      <c r="M12898" s="7" t="s">
        <v>6503</v>
      </c>
    </row>
    <row r="12899" customFormat="false" ht="15.75" hidden="false" customHeight="false" outlineLevel="0" collapsed="false">
      <c r="A12899" s="6" t="n">
        <f aca="false">DATE(2026,8,23)</f>
        <v>46257</v>
      </c>
      <c r="B12899" s="4" t="s">
        <v>334</v>
      </c>
      <c r="C12899" s="4" t="n">
        <v>1</v>
      </c>
      <c r="D12899" s="4" t="n">
        <v>12</v>
      </c>
      <c r="E12899" s="4" t="s">
        <v>1121</v>
      </c>
      <c r="F12899" s="4" t="n">
        <v>44</v>
      </c>
      <c r="G12899" s="4" t="n">
        <v>2</v>
      </c>
      <c r="H12899" s="4" t="n">
        <v>3</v>
      </c>
      <c r="I12899" s="4" t="str">
        <v>○</v>
      </c>
      <c r="J12899" s="4" t="n">
        <v>140</v>
      </c>
      <c r="K12899" s="4"/>
      <c r="L12899" s="4"/>
      <c r="M12899" s="7" t="s">
        <v>6503</v>
      </c>
    </row>
    <row r="12900" customFormat="false" ht="15.75" hidden="false" customHeight="false" outlineLevel="0" collapsed="false">
      <c r="A12900" s="6" t="n">
        <f aca="false">DATE(2026,8,23)</f>
        <v>46257</v>
      </c>
      <c r="B12900" s="4" t="s">
        <v>334</v>
      </c>
      <c r="C12900" s="4" t="n">
        <v>2</v>
      </c>
      <c r="D12900" s="4" t="n">
        <v>1</v>
      </c>
      <c r="E12900" s="4" t="s">
        <v>3983</v>
      </c>
      <c r="F12900" s="4" t="n">
        <v>41</v>
      </c>
      <c r="G12900" s="4" t="n">
        <v>2</v>
      </c>
      <c r="H12900" s="4" t="n">
        <v>1</v>
      </c>
      <c r="I12900" s="4" t="str">
        <v>○</v>
      </c>
      <c r="J12900" s="4" t="n">
        <v>160</v>
      </c>
      <c r="K12900" s="4"/>
      <c r="L12900" s="4"/>
      <c r="M12900" s="7" t="s">
        <v>6503</v>
      </c>
    </row>
    <row r="12901" customFormat="false" ht="15.75" hidden="false" customHeight="false" outlineLevel="0" collapsed="false">
      <c r="A12901" s="6" t="n">
        <f aca="false">DATE(2026,8,23)</f>
        <v>46257</v>
      </c>
      <c r="B12901" s="4" t="s">
        <v>334</v>
      </c>
      <c r="C12901" s="4" t="n">
        <v>2</v>
      </c>
      <c r="D12901" s="4" t="n">
        <v>2</v>
      </c>
      <c r="E12901" s="4" t="s">
        <v>2606</v>
      </c>
      <c r="F12901" s="4" t="n">
        <v>10</v>
      </c>
      <c r="G12901" s="4" t="n">
        <v>8</v>
      </c>
      <c r="H12901" s="4" t="n">
        <v>2</v>
      </c>
      <c r="I12901" s="4" t="str">
        <v>○</v>
      </c>
      <c r="J12901" s="4" t="n">
        <v>430</v>
      </c>
      <c r="K12901" s="4"/>
      <c r="L12901" s="4"/>
      <c r="M12901" s="7" t="s">
        <v>6503</v>
      </c>
    </row>
    <row r="12902" customFormat="false" ht="15.75" hidden="false" customHeight="false" outlineLevel="0" collapsed="false">
      <c r="A12902" s="6" t="n">
        <f aca="false">DATE(2026,8,23)</f>
        <v>46257</v>
      </c>
      <c r="B12902" s="4" t="s">
        <v>334</v>
      </c>
      <c r="C12902" s="4" t="n">
        <v>2</v>
      </c>
      <c r="D12902" s="4" t="n">
        <v>3</v>
      </c>
      <c r="E12902" s="4"/>
      <c r="F12902" s="4" t="n">
        <v>13</v>
      </c>
      <c r="G12902" s="4" t="n">
        <v>7</v>
      </c>
      <c r="H12902" s="4" t="n">
        <v>4</v>
      </c>
      <c r="I12902" s="4" t="str">
        <v>×</v>
      </c>
      <c r="J12902" s="4"/>
      <c r="K12902" s="4"/>
      <c r="L12902" s="4"/>
      <c r="M12902" s="7" t="s">
        <v>6503</v>
      </c>
    </row>
    <row r="12903" customFormat="false" ht="15.75" hidden="false" customHeight="false" outlineLevel="0" collapsed="false">
      <c r="A12903" s="6" t="n">
        <f aca="false">DATE(2026,8,23)</f>
        <v>46257</v>
      </c>
      <c r="B12903" s="4" t="s">
        <v>334</v>
      </c>
      <c r="C12903" s="4" t="n">
        <v>2</v>
      </c>
      <c r="D12903" s="4" t="n">
        <v>4</v>
      </c>
      <c r="E12903" s="4"/>
      <c r="F12903" s="4" t="n">
        <v>23</v>
      </c>
      <c r="G12903" s="4" t="n">
        <v>6</v>
      </c>
      <c r="H12903" s="4" t="n">
        <v>4</v>
      </c>
      <c r="I12903" s="4" t="str">
        <v>×</v>
      </c>
      <c r="J12903" s="4"/>
      <c r="K12903" s="4"/>
      <c r="L12903" s="4"/>
      <c r="M12903" s="7" t="s">
        <v>6503</v>
      </c>
    </row>
    <row r="12904" customFormat="false" ht="15.75" hidden="false" customHeight="false" outlineLevel="0" collapsed="false">
      <c r="A12904" s="6" t="n">
        <f aca="false">DATE(2026,8,23)</f>
        <v>46257</v>
      </c>
      <c r="B12904" s="4" t="s">
        <v>334</v>
      </c>
      <c r="C12904" s="4" t="n">
        <v>2</v>
      </c>
      <c r="D12904" s="4" t="n">
        <v>5</v>
      </c>
      <c r="E12904" s="4"/>
      <c r="F12904" s="4" t="n">
        <v>81</v>
      </c>
      <c r="G12904" s="4" t="n">
        <v>1</v>
      </c>
      <c r="H12904" s="4" t="n">
        <v>4</v>
      </c>
      <c r="I12904" s="4" t="str">
        <v>×</v>
      </c>
      <c r="J12904" s="4"/>
      <c r="K12904" s="4"/>
      <c r="L12904" s="4"/>
      <c r="M12904" s="7" t="s">
        <v>6503</v>
      </c>
    </row>
    <row r="12905" customFormat="false" ht="15.75" hidden="false" customHeight="false" outlineLevel="0" collapsed="false">
      <c r="A12905" s="6" t="n">
        <f aca="false">DATE(2026,8,23)</f>
        <v>46257</v>
      </c>
      <c r="B12905" s="4" t="s">
        <v>334</v>
      </c>
      <c r="C12905" s="4" t="n">
        <v>2</v>
      </c>
      <c r="D12905" s="4" t="n">
        <v>6</v>
      </c>
      <c r="E12905" s="4"/>
      <c r="F12905" s="4" t="n">
        <v>8</v>
      </c>
      <c r="G12905" s="4" t="n">
        <v>10</v>
      </c>
      <c r="H12905" s="4" t="n">
        <v>4</v>
      </c>
      <c r="I12905" s="4" t="str">
        <v>×</v>
      </c>
      <c r="J12905" s="4"/>
      <c r="K12905" s="4"/>
      <c r="L12905" s="4"/>
      <c r="M12905" s="7" t="s">
        <v>6503</v>
      </c>
    </row>
    <row r="12906" customFormat="false" ht="15.75" hidden="false" customHeight="false" outlineLevel="0" collapsed="false">
      <c r="A12906" s="6" t="n">
        <f aca="false">DATE(2026,8,23)</f>
        <v>46257</v>
      </c>
      <c r="B12906" s="4" t="s">
        <v>334</v>
      </c>
      <c r="C12906" s="4" t="n">
        <v>2</v>
      </c>
      <c r="D12906" s="4" t="n">
        <v>7</v>
      </c>
      <c r="E12906" s="4"/>
      <c r="F12906" s="4" t="n">
        <v>6</v>
      </c>
      <c r="G12906" s="4" t="n">
        <v>12</v>
      </c>
      <c r="H12906" s="4" t="n">
        <v>4</v>
      </c>
      <c r="I12906" s="4" t="str">
        <v>×</v>
      </c>
      <c r="J12906" s="4"/>
      <c r="K12906" s="4"/>
      <c r="L12906" s="4"/>
      <c r="M12906" s="7" t="s">
        <v>6503</v>
      </c>
    </row>
    <row r="12907" customFormat="false" ht="15.75" hidden="false" customHeight="false" outlineLevel="0" collapsed="false">
      <c r="A12907" s="6" t="n">
        <f aca="false">DATE(2026,8,23)</f>
        <v>46257</v>
      </c>
      <c r="B12907" s="4" t="s">
        <v>334</v>
      </c>
      <c r="C12907" s="4" t="n">
        <v>2</v>
      </c>
      <c r="D12907" s="4" t="n">
        <v>8</v>
      </c>
      <c r="E12907" s="4"/>
      <c r="F12907" s="4" t="n">
        <v>29</v>
      </c>
      <c r="G12907" s="4" t="n">
        <v>4</v>
      </c>
      <c r="H12907" s="4" t="n">
        <v>4</v>
      </c>
      <c r="I12907" s="4" t="str">
        <v>×</v>
      </c>
      <c r="J12907" s="4"/>
      <c r="K12907" s="4"/>
      <c r="L12907" s="4"/>
      <c r="M12907" s="7" t="s">
        <v>6503</v>
      </c>
    </row>
    <row r="12908" customFormat="false" ht="15.75" hidden="false" customHeight="false" outlineLevel="0" collapsed="false">
      <c r="A12908" s="6" t="n">
        <f aca="false">DATE(2026,8,23)</f>
        <v>46257</v>
      </c>
      <c r="B12908" s="4" t="s">
        <v>334</v>
      </c>
      <c r="C12908" s="4" t="n">
        <v>2</v>
      </c>
      <c r="D12908" s="4" t="n">
        <v>9</v>
      </c>
      <c r="E12908" s="4"/>
      <c r="F12908" s="4" t="n">
        <v>25</v>
      </c>
      <c r="G12908" s="4" t="n">
        <v>5</v>
      </c>
      <c r="H12908" s="4" t="n">
        <v>4</v>
      </c>
      <c r="I12908" s="4" t="str">
        <v>×</v>
      </c>
      <c r="J12908" s="4"/>
      <c r="K12908" s="4"/>
      <c r="L12908" s="4"/>
      <c r="M12908" s="7" t="s">
        <v>6503</v>
      </c>
    </row>
    <row r="12909" customFormat="false" ht="15.75" hidden="false" customHeight="false" outlineLevel="0" collapsed="false">
      <c r="A12909" s="6" t="n">
        <f aca="false">DATE(2026,8,23)</f>
        <v>46257</v>
      </c>
      <c r="B12909" s="4" t="s">
        <v>334</v>
      </c>
      <c r="C12909" s="4" t="n">
        <v>2</v>
      </c>
      <c r="D12909" s="4" t="n">
        <v>10</v>
      </c>
      <c r="E12909" s="4"/>
      <c r="F12909" s="4" t="n">
        <v>8</v>
      </c>
      <c r="G12909" s="4" t="n">
        <v>10</v>
      </c>
      <c r="H12909" s="4" t="n">
        <v>4</v>
      </c>
      <c r="I12909" s="4" t="str">
        <v>×</v>
      </c>
      <c r="J12909" s="4"/>
      <c r="K12909" s="4"/>
      <c r="L12909" s="4"/>
      <c r="M12909" s="7" t="s">
        <v>6503</v>
      </c>
    </row>
    <row r="12910" customFormat="false" ht="15.75" hidden="false" customHeight="false" outlineLevel="0" collapsed="false">
      <c r="A12910" s="6" t="n">
        <f aca="false">DATE(2026,8,23)</f>
        <v>46257</v>
      </c>
      <c r="B12910" s="4" t="s">
        <v>334</v>
      </c>
      <c r="C12910" s="4" t="n">
        <v>2</v>
      </c>
      <c r="D12910" s="4" t="n">
        <v>11</v>
      </c>
      <c r="E12910" s="4"/>
      <c r="F12910" s="4" t="n">
        <v>10</v>
      </c>
      <c r="G12910" s="4" t="n">
        <v>8</v>
      </c>
      <c r="H12910" s="4" t="n">
        <v>4</v>
      </c>
      <c r="I12910" s="4" t="str">
        <v>×</v>
      </c>
      <c r="J12910" s="4"/>
      <c r="K12910" s="4"/>
      <c r="L12910" s="4"/>
      <c r="M12910" s="7" t="s">
        <v>6503</v>
      </c>
    </row>
    <row r="12911" customFormat="false" ht="15.75" hidden="false" customHeight="false" outlineLevel="0" collapsed="false">
      <c r="A12911" s="6" t="n">
        <f aca="false">DATE(2026,8,23)</f>
        <v>46257</v>
      </c>
      <c r="B12911" s="4" t="s">
        <v>334</v>
      </c>
      <c r="C12911" s="4" t="n">
        <v>2</v>
      </c>
      <c r="D12911" s="4" t="n">
        <v>12</v>
      </c>
      <c r="E12911" s="4" t="s">
        <v>6549</v>
      </c>
      <c r="F12911" s="4" t="n">
        <v>34</v>
      </c>
      <c r="G12911" s="4" t="n">
        <v>3</v>
      </c>
      <c r="H12911" s="4" t="n">
        <v>3</v>
      </c>
      <c r="I12911" s="4" t="str">
        <v>○</v>
      </c>
      <c r="J12911" s="4" t="n">
        <v>190</v>
      </c>
      <c r="K12911" s="4"/>
      <c r="L12911" s="4"/>
      <c r="M12911" s="7" t="s">
        <v>6503</v>
      </c>
    </row>
    <row r="12912" customFormat="false" ht="15.75" hidden="false" customHeight="false" outlineLevel="0" collapsed="false">
      <c r="A12912" s="6" t="n">
        <f aca="false">DATE(2026,8,23)</f>
        <v>46257</v>
      </c>
      <c r="B12912" s="4" t="s">
        <v>334</v>
      </c>
      <c r="C12912" s="4" t="n">
        <v>3</v>
      </c>
      <c r="D12912" s="4" t="n">
        <v>1</v>
      </c>
      <c r="E12912" s="4"/>
      <c r="F12912" s="4" t="n">
        <v>8</v>
      </c>
      <c r="G12912" s="4" t="n">
        <v>10</v>
      </c>
      <c r="H12912" s="4" t="n">
        <v>4</v>
      </c>
      <c r="I12912" s="4" t="str">
        <v>×</v>
      </c>
      <c r="J12912" s="4"/>
      <c r="K12912" s="4"/>
      <c r="L12912" s="4"/>
      <c r="M12912" s="7" t="s">
        <v>6503</v>
      </c>
    </row>
    <row r="12913" customFormat="false" ht="15.75" hidden="false" customHeight="false" outlineLevel="0" collapsed="false">
      <c r="A12913" s="6" t="n">
        <f aca="false">DATE(2026,8,23)</f>
        <v>46257</v>
      </c>
      <c r="B12913" s="4" t="s">
        <v>334</v>
      </c>
      <c r="C12913" s="4" t="n">
        <v>3</v>
      </c>
      <c r="D12913" s="4" t="n">
        <v>2</v>
      </c>
      <c r="E12913" s="4"/>
      <c r="F12913" s="4" t="n">
        <v>39</v>
      </c>
      <c r="G12913" s="4" t="n">
        <v>2</v>
      </c>
      <c r="H12913" s="4" t="n">
        <v>4</v>
      </c>
      <c r="I12913" s="4" t="str">
        <v>×</v>
      </c>
      <c r="J12913" s="4"/>
      <c r="K12913" s="4"/>
      <c r="L12913" s="4"/>
      <c r="M12913" s="7" t="s">
        <v>6503</v>
      </c>
    </row>
    <row r="12914" customFormat="false" ht="15.75" hidden="false" customHeight="false" outlineLevel="0" collapsed="false">
      <c r="A12914" s="6" t="n">
        <f aca="false">DATE(2026,8,23)</f>
        <v>46257</v>
      </c>
      <c r="B12914" s="4" t="s">
        <v>334</v>
      </c>
      <c r="C12914" s="4" t="n">
        <v>3</v>
      </c>
      <c r="D12914" s="4" t="n">
        <v>3</v>
      </c>
      <c r="E12914" s="4"/>
      <c r="F12914" s="4" t="n">
        <v>3</v>
      </c>
      <c r="G12914" s="4" t="n">
        <v>13</v>
      </c>
      <c r="H12914" s="4" t="n">
        <v>4</v>
      </c>
      <c r="I12914" s="4" t="str">
        <v>×</v>
      </c>
      <c r="J12914" s="4"/>
      <c r="K12914" s="4"/>
      <c r="L12914" s="4"/>
      <c r="M12914" s="7" t="s">
        <v>6503</v>
      </c>
    </row>
    <row r="12915" customFormat="false" ht="15.75" hidden="false" customHeight="false" outlineLevel="0" collapsed="false">
      <c r="A12915" s="6" t="n">
        <f aca="false">DATE(2026,8,23)</f>
        <v>46257</v>
      </c>
      <c r="B12915" s="4" t="s">
        <v>334</v>
      </c>
      <c r="C12915" s="4" t="n">
        <v>3</v>
      </c>
      <c r="D12915" s="4" t="n">
        <v>4</v>
      </c>
      <c r="E12915" s="4"/>
      <c r="F12915" s="4" t="n">
        <v>25</v>
      </c>
      <c r="G12915" s="4" t="n">
        <v>5</v>
      </c>
      <c r="H12915" s="4" t="n">
        <v>4</v>
      </c>
      <c r="I12915" s="4" t="str">
        <v>×</v>
      </c>
      <c r="J12915" s="4"/>
      <c r="K12915" s="4"/>
      <c r="L12915" s="4"/>
      <c r="M12915" s="7" t="s">
        <v>6503</v>
      </c>
    </row>
    <row r="12916" customFormat="false" ht="15.75" hidden="false" customHeight="false" outlineLevel="0" collapsed="false">
      <c r="A12916" s="6" t="n">
        <f aca="false">DATE(2026,8,23)</f>
        <v>46257</v>
      </c>
      <c r="B12916" s="4" t="s">
        <v>334</v>
      </c>
      <c r="C12916" s="4" t="n">
        <v>3</v>
      </c>
      <c r="D12916" s="4" t="n">
        <v>5</v>
      </c>
      <c r="E12916" s="4" t="s">
        <v>832</v>
      </c>
      <c r="F12916" s="4" t="n">
        <v>23</v>
      </c>
      <c r="G12916" s="4" t="n">
        <v>6</v>
      </c>
      <c r="H12916" s="4" t="n">
        <v>2</v>
      </c>
      <c r="I12916" s="4" t="str">
        <v>○</v>
      </c>
      <c r="J12916" s="4" t="n">
        <v>310</v>
      </c>
      <c r="K12916" s="4"/>
      <c r="L12916" s="4"/>
      <c r="M12916" s="7" t="s">
        <v>6503</v>
      </c>
    </row>
    <row r="12917" customFormat="false" ht="15.75" hidden="false" customHeight="false" outlineLevel="0" collapsed="false">
      <c r="A12917" s="6" t="n">
        <f aca="false">DATE(2026,8,23)</f>
        <v>46257</v>
      </c>
      <c r="B12917" s="4" t="s">
        <v>334</v>
      </c>
      <c r="C12917" s="4" t="n">
        <v>3</v>
      </c>
      <c r="D12917" s="4" t="n">
        <v>6</v>
      </c>
      <c r="E12917" s="4"/>
      <c r="F12917" s="4" t="n">
        <v>13</v>
      </c>
      <c r="G12917" s="4" t="n">
        <v>9</v>
      </c>
      <c r="H12917" s="4" t="n">
        <v>4</v>
      </c>
      <c r="I12917" s="4" t="str">
        <v>×</v>
      </c>
      <c r="J12917" s="4"/>
      <c r="K12917" s="4"/>
      <c r="L12917" s="4"/>
      <c r="M12917" s="7" t="s">
        <v>6503</v>
      </c>
    </row>
    <row r="12918" customFormat="false" ht="15.75" hidden="false" customHeight="false" outlineLevel="0" collapsed="false">
      <c r="A12918" s="6" t="n">
        <f aca="false">DATE(2026,8,23)</f>
        <v>46257</v>
      </c>
      <c r="B12918" s="4" t="s">
        <v>334</v>
      </c>
      <c r="C12918" s="4" t="n">
        <v>3</v>
      </c>
      <c r="D12918" s="4" t="n">
        <v>7</v>
      </c>
      <c r="E12918" s="4"/>
      <c r="F12918" s="4" t="n">
        <v>65</v>
      </c>
      <c r="G12918" s="4" t="n">
        <v>1</v>
      </c>
      <c r="H12918" s="4" t="n">
        <v>4</v>
      </c>
      <c r="I12918" s="4" t="str">
        <v>×</v>
      </c>
      <c r="J12918" s="4"/>
      <c r="K12918" s="4"/>
      <c r="L12918" s="4"/>
      <c r="M12918" s="7" t="s">
        <v>6503</v>
      </c>
    </row>
    <row r="12919" customFormat="false" ht="15.75" hidden="false" customHeight="false" outlineLevel="0" collapsed="false">
      <c r="A12919" s="6" t="n">
        <f aca="false">DATE(2026,8,23)</f>
        <v>46257</v>
      </c>
      <c r="B12919" s="4" t="s">
        <v>334</v>
      </c>
      <c r="C12919" s="4" t="n">
        <v>3</v>
      </c>
      <c r="D12919" s="4" t="n">
        <v>8</v>
      </c>
      <c r="E12919" s="4"/>
      <c r="F12919" s="4" t="n">
        <v>17</v>
      </c>
      <c r="G12919" s="4" t="n">
        <v>8</v>
      </c>
      <c r="H12919" s="4" t="n">
        <v>4</v>
      </c>
      <c r="I12919" s="4" t="str">
        <v>×</v>
      </c>
      <c r="J12919" s="4"/>
      <c r="K12919" s="4"/>
      <c r="L12919" s="4"/>
      <c r="M12919" s="7" t="s">
        <v>6503</v>
      </c>
    </row>
    <row r="12920" customFormat="false" ht="15.75" hidden="false" customHeight="false" outlineLevel="0" collapsed="false">
      <c r="A12920" s="6" t="n">
        <f aca="false">DATE(2026,8,23)</f>
        <v>46257</v>
      </c>
      <c r="B12920" s="4" t="s">
        <v>334</v>
      </c>
      <c r="C12920" s="4" t="n">
        <v>3</v>
      </c>
      <c r="D12920" s="4" t="n">
        <v>9</v>
      </c>
      <c r="E12920" s="4"/>
      <c r="F12920" s="4" t="n">
        <v>4</v>
      </c>
      <c r="G12920" s="4" t="n">
        <v>12</v>
      </c>
      <c r="H12920" s="4" t="n">
        <v>4</v>
      </c>
      <c r="I12920" s="4" t="str">
        <v>×</v>
      </c>
      <c r="J12920" s="4"/>
      <c r="K12920" s="4"/>
      <c r="L12920" s="4"/>
      <c r="M12920" s="7" t="s">
        <v>6503</v>
      </c>
    </row>
    <row r="12921" customFormat="false" ht="15.75" hidden="false" customHeight="false" outlineLevel="0" collapsed="false">
      <c r="A12921" s="6" t="n">
        <f aca="false">DATE(2026,8,23)</f>
        <v>46257</v>
      </c>
      <c r="B12921" s="4" t="s">
        <v>334</v>
      </c>
      <c r="C12921" s="4" t="n">
        <v>3</v>
      </c>
      <c r="D12921" s="4" t="n">
        <v>10</v>
      </c>
      <c r="E12921" s="4"/>
      <c r="F12921" s="4" t="n">
        <v>20</v>
      </c>
      <c r="G12921" s="4" t="n">
        <v>7</v>
      </c>
      <c r="H12921" s="4" t="n">
        <v>4</v>
      </c>
      <c r="I12921" s="4" t="str">
        <v>×</v>
      </c>
      <c r="J12921" s="4"/>
      <c r="K12921" s="4"/>
      <c r="L12921" s="4"/>
      <c r="M12921" s="7" t="s">
        <v>6503</v>
      </c>
    </row>
    <row r="12922" customFormat="false" ht="15.75" hidden="false" customHeight="false" outlineLevel="0" collapsed="false">
      <c r="A12922" s="6" t="n">
        <f aca="false">DATE(2026,8,23)</f>
        <v>46257</v>
      </c>
      <c r="B12922" s="4" t="s">
        <v>334</v>
      </c>
      <c r="C12922" s="4" t="n">
        <v>3</v>
      </c>
      <c r="D12922" s="4" t="n">
        <v>11</v>
      </c>
      <c r="E12922" s="4" t="s">
        <v>356</v>
      </c>
      <c r="F12922" s="4" t="n">
        <v>34</v>
      </c>
      <c r="G12922" s="4" t="n">
        <v>4</v>
      </c>
      <c r="H12922" s="4" t="n">
        <v>3</v>
      </c>
      <c r="I12922" s="4" t="str">
        <v>○</v>
      </c>
      <c r="J12922" s="4" t="n">
        <v>160</v>
      </c>
      <c r="K12922" s="4"/>
      <c r="L12922" s="4"/>
      <c r="M12922" s="7" t="s">
        <v>6503</v>
      </c>
    </row>
    <row r="12923" customFormat="false" ht="15.75" hidden="false" customHeight="false" outlineLevel="0" collapsed="false">
      <c r="A12923" s="6" t="n">
        <f aca="false">DATE(2026,8,23)</f>
        <v>46257</v>
      </c>
      <c r="B12923" s="4" t="s">
        <v>334</v>
      </c>
      <c r="C12923" s="4" t="n">
        <v>3</v>
      </c>
      <c r="D12923" s="4" t="n">
        <v>12</v>
      </c>
      <c r="E12923" s="4"/>
      <c r="F12923" s="4" t="n">
        <v>2</v>
      </c>
      <c r="G12923" s="4" t="n">
        <v>14</v>
      </c>
      <c r="H12923" s="4" t="n">
        <v>4</v>
      </c>
      <c r="I12923" s="4" t="str">
        <v>×</v>
      </c>
      <c r="J12923" s="4"/>
      <c r="K12923" s="4"/>
      <c r="L12923" s="4"/>
      <c r="M12923" s="7" t="s">
        <v>6503</v>
      </c>
    </row>
    <row r="12924" customFormat="false" ht="15.75" hidden="false" customHeight="false" outlineLevel="0" collapsed="false">
      <c r="A12924" s="6" t="n">
        <f aca="false">DATE(2026,8,23)</f>
        <v>46257</v>
      </c>
      <c r="B12924" s="4" t="s">
        <v>334</v>
      </c>
      <c r="C12924" s="4" t="n">
        <v>3</v>
      </c>
      <c r="D12924" s="4" t="n">
        <v>13</v>
      </c>
      <c r="E12924" s="4" t="s">
        <v>1478</v>
      </c>
      <c r="F12924" s="4" t="n">
        <v>39</v>
      </c>
      <c r="G12924" s="4" t="n">
        <v>2</v>
      </c>
      <c r="H12924" s="4" t="n">
        <v>1</v>
      </c>
      <c r="I12924" s="4" t="str">
        <v>○</v>
      </c>
      <c r="J12924" s="4" t="n">
        <v>170</v>
      </c>
      <c r="K12924" s="4"/>
      <c r="L12924" s="4"/>
      <c r="M12924" s="7" t="s">
        <v>6503</v>
      </c>
    </row>
    <row r="12925" customFormat="false" ht="15.75" hidden="false" customHeight="false" outlineLevel="0" collapsed="false">
      <c r="A12925" s="6" t="n">
        <f aca="false">DATE(2026,8,23)</f>
        <v>46257</v>
      </c>
      <c r="B12925" s="4" t="s">
        <v>334</v>
      </c>
      <c r="C12925" s="4" t="n">
        <v>3</v>
      </c>
      <c r="D12925" s="4" t="n">
        <v>14</v>
      </c>
      <c r="E12925" s="4"/>
      <c r="F12925" s="4" t="n">
        <v>6</v>
      </c>
      <c r="G12925" s="4" t="n">
        <v>11</v>
      </c>
      <c r="H12925" s="4" t="n">
        <v>4</v>
      </c>
      <c r="I12925" s="4" t="str">
        <v>×</v>
      </c>
      <c r="J12925" s="4"/>
      <c r="K12925" s="4"/>
      <c r="L12925" s="4"/>
      <c r="M12925" s="7" t="s">
        <v>6503</v>
      </c>
    </row>
    <row r="12926" customFormat="false" ht="15.75" hidden="false" customHeight="false" outlineLevel="0" collapsed="false">
      <c r="A12926" s="6" t="n">
        <f aca="false">DATE(2026,8,23)</f>
        <v>46257</v>
      </c>
      <c r="B12926" s="4" t="s">
        <v>334</v>
      </c>
      <c r="C12926" s="4" t="n">
        <v>4</v>
      </c>
      <c r="D12926" s="4" t="n">
        <v>1</v>
      </c>
      <c r="E12926" s="4"/>
      <c r="F12926" s="4" t="n">
        <v>10</v>
      </c>
      <c r="G12926" s="4" t="n">
        <v>11</v>
      </c>
      <c r="H12926" s="4" t="n">
        <v>4</v>
      </c>
      <c r="I12926" s="4" t="str">
        <v>×</v>
      </c>
      <c r="J12926" s="4"/>
      <c r="K12926" s="4"/>
      <c r="L12926" s="4"/>
      <c r="M12926" s="7" t="s">
        <v>6503</v>
      </c>
    </row>
    <row r="12927" customFormat="false" ht="15.75" hidden="false" customHeight="false" outlineLevel="0" collapsed="false">
      <c r="A12927" s="6" t="n">
        <f aca="false">DATE(2026,8,23)</f>
        <v>46257</v>
      </c>
      <c r="B12927" s="4" t="s">
        <v>334</v>
      </c>
      <c r="C12927" s="4" t="n">
        <v>4</v>
      </c>
      <c r="D12927" s="4" t="n">
        <v>2</v>
      </c>
      <c r="E12927" s="4"/>
      <c r="F12927" s="4" t="n">
        <v>8</v>
      </c>
      <c r="G12927" s="4" t="n">
        <v>13</v>
      </c>
      <c r="H12927" s="4" t="n">
        <v>4</v>
      </c>
      <c r="I12927" s="4" t="str">
        <v>×</v>
      </c>
      <c r="J12927" s="4"/>
      <c r="K12927" s="4"/>
      <c r="L12927" s="4"/>
      <c r="M12927" s="7" t="s">
        <v>6503</v>
      </c>
    </row>
    <row r="12928" customFormat="false" ht="15.75" hidden="false" customHeight="false" outlineLevel="0" collapsed="false">
      <c r="A12928" s="6" t="n">
        <f aca="false">DATE(2026,8,23)</f>
        <v>46257</v>
      </c>
      <c r="B12928" s="4" t="s">
        <v>334</v>
      </c>
      <c r="C12928" s="4" t="n">
        <v>4</v>
      </c>
      <c r="D12928" s="4" t="n">
        <v>3</v>
      </c>
      <c r="E12928" s="4"/>
      <c r="F12928" s="4" t="n">
        <v>17</v>
      </c>
      <c r="G12928" s="4" t="n">
        <v>7</v>
      </c>
      <c r="H12928" s="4" t="n">
        <v>4</v>
      </c>
      <c r="I12928" s="4" t="str">
        <v>×</v>
      </c>
      <c r="J12928" s="4"/>
      <c r="K12928" s="4"/>
      <c r="L12928" s="4"/>
      <c r="M12928" s="7" t="s">
        <v>6503</v>
      </c>
    </row>
    <row r="12929" customFormat="false" ht="15.75" hidden="false" customHeight="false" outlineLevel="0" collapsed="false">
      <c r="A12929" s="6" t="n">
        <f aca="false">DATE(2026,8,23)</f>
        <v>46257</v>
      </c>
      <c r="B12929" s="4" t="s">
        <v>334</v>
      </c>
      <c r="C12929" s="4" t="n">
        <v>4</v>
      </c>
      <c r="D12929" s="4" t="n">
        <v>4</v>
      </c>
      <c r="E12929" s="4"/>
      <c r="F12929" s="4" t="n">
        <v>25</v>
      </c>
      <c r="G12929" s="4" t="n">
        <v>6</v>
      </c>
      <c r="H12929" s="4" t="n">
        <v>4</v>
      </c>
      <c r="I12929" s="4" t="str">
        <v>×</v>
      </c>
      <c r="J12929" s="4"/>
      <c r="K12929" s="4"/>
      <c r="L12929" s="4"/>
      <c r="M12929" s="7" t="s">
        <v>6503</v>
      </c>
    </row>
    <row r="12930" customFormat="false" ht="15.75" hidden="false" customHeight="false" outlineLevel="0" collapsed="false">
      <c r="A12930" s="6" t="n">
        <f aca="false">DATE(2026,8,23)</f>
        <v>46257</v>
      </c>
      <c r="B12930" s="4" t="s">
        <v>334</v>
      </c>
      <c r="C12930" s="4" t="n">
        <v>4</v>
      </c>
      <c r="D12930" s="4" t="n">
        <v>5</v>
      </c>
      <c r="E12930" s="4"/>
      <c r="F12930" s="4" t="n">
        <v>31</v>
      </c>
      <c r="G12930" s="4" t="n">
        <v>3</v>
      </c>
      <c r="H12930" s="4" t="n">
        <v>4</v>
      </c>
      <c r="I12930" s="4" t="str">
        <v>×</v>
      </c>
      <c r="J12930" s="4"/>
      <c r="K12930" s="4"/>
      <c r="L12930" s="4"/>
      <c r="M12930" s="7" t="s">
        <v>6503</v>
      </c>
    </row>
    <row r="12931" customFormat="false" ht="15.75" hidden="false" customHeight="false" outlineLevel="0" collapsed="false">
      <c r="A12931" s="6" t="n">
        <f aca="false">DATE(2026,8,23)</f>
        <v>46257</v>
      </c>
      <c r="B12931" s="4" t="s">
        <v>334</v>
      </c>
      <c r="C12931" s="4" t="n">
        <v>4</v>
      </c>
      <c r="D12931" s="4" t="n">
        <v>6</v>
      </c>
      <c r="E12931" s="4"/>
      <c r="F12931" s="4" t="n">
        <v>15</v>
      </c>
      <c r="G12931" s="4" t="n">
        <v>9</v>
      </c>
      <c r="H12931" s="4" t="n">
        <v>4</v>
      </c>
      <c r="I12931" s="4" t="str">
        <v>×</v>
      </c>
      <c r="J12931" s="4"/>
      <c r="K12931" s="4"/>
      <c r="L12931" s="4"/>
      <c r="M12931" s="7" t="s">
        <v>6503</v>
      </c>
    </row>
    <row r="12932" customFormat="false" ht="15.75" hidden="false" customHeight="false" outlineLevel="0" collapsed="false">
      <c r="A12932" s="6" t="n">
        <f aca="false">DATE(2026,8,23)</f>
        <v>46257</v>
      </c>
      <c r="B12932" s="4" t="s">
        <v>334</v>
      </c>
      <c r="C12932" s="4" t="n">
        <v>4</v>
      </c>
      <c r="D12932" s="4" t="n">
        <v>7</v>
      </c>
      <c r="E12932" s="4"/>
      <c r="F12932" s="4" t="n">
        <v>17</v>
      </c>
      <c r="G12932" s="4" t="n">
        <v>7</v>
      </c>
      <c r="H12932" s="4" t="n">
        <v>4</v>
      </c>
      <c r="I12932" s="4" t="str">
        <v>×</v>
      </c>
      <c r="J12932" s="4"/>
      <c r="K12932" s="4"/>
      <c r="L12932" s="4"/>
      <c r="M12932" s="7" t="s">
        <v>6503</v>
      </c>
    </row>
    <row r="12933" customFormat="false" ht="15.75" hidden="false" customHeight="false" outlineLevel="0" collapsed="false">
      <c r="A12933" s="6" t="n">
        <f aca="false">DATE(2026,8,23)</f>
        <v>46257</v>
      </c>
      <c r="B12933" s="4" t="s">
        <v>334</v>
      </c>
      <c r="C12933" s="4" t="n">
        <v>4</v>
      </c>
      <c r="D12933" s="4" t="n">
        <v>8</v>
      </c>
      <c r="E12933" s="4" t="s">
        <v>4609</v>
      </c>
      <c r="F12933" s="4" t="n">
        <v>39</v>
      </c>
      <c r="G12933" s="4" t="n">
        <v>2</v>
      </c>
      <c r="H12933" s="4" t="n">
        <v>2</v>
      </c>
      <c r="I12933" s="4" t="str">
        <v>○</v>
      </c>
      <c r="J12933" s="4" t="n">
        <v>120</v>
      </c>
      <c r="K12933" s="4"/>
      <c r="L12933" s="4"/>
      <c r="M12933" s="7" t="s">
        <v>6503</v>
      </c>
    </row>
    <row r="12934" customFormat="false" ht="15.75" hidden="false" customHeight="false" outlineLevel="0" collapsed="false">
      <c r="A12934" s="6" t="n">
        <f aca="false">DATE(2026,8,23)</f>
        <v>46257</v>
      </c>
      <c r="B12934" s="4" t="s">
        <v>334</v>
      </c>
      <c r="C12934" s="4" t="n">
        <v>4</v>
      </c>
      <c r="D12934" s="4" t="n">
        <v>9</v>
      </c>
      <c r="E12934" s="4"/>
      <c r="F12934" s="4" t="n">
        <v>6</v>
      </c>
      <c r="G12934" s="4" t="n">
        <v>15</v>
      </c>
      <c r="H12934" s="4" t="n">
        <v>4</v>
      </c>
      <c r="I12934" s="4" t="str">
        <v>×</v>
      </c>
      <c r="J12934" s="4"/>
      <c r="K12934" s="4"/>
      <c r="L12934" s="4"/>
      <c r="M12934" s="7" t="s">
        <v>6503</v>
      </c>
    </row>
    <row r="12935" customFormat="false" ht="15.75" hidden="false" customHeight="false" outlineLevel="0" collapsed="false">
      <c r="A12935" s="6" t="n">
        <f aca="false">DATE(2026,8,23)</f>
        <v>46257</v>
      </c>
      <c r="B12935" s="4" t="s">
        <v>334</v>
      </c>
      <c r="C12935" s="4" t="n">
        <v>4</v>
      </c>
      <c r="D12935" s="4" t="n">
        <v>10</v>
      </c>
      <c r="E12935" s="4"/>
      <c r="F12935" s="4" t="n">
        <v>29</v>
      </c>
      <c r="G12935" s="4" t="n">
        <v>5</v>
      </c>
      <c r="H12935" s="4" t="n">
        <v>4</v>
      </c>
      <c r="I12935" s="4" t="str">
        <v>×</v>
      </c>
      <c r="J12935" s="4"/>
      <c r="K12935" s="4"/>
      <c r="L12935" s="4"/>
      <c r="M12935" s="7" t="s">
        <v>6503</v>
      </c>
    </row>
    <row r="12936" customFormat="false" ht="15.75" hidden="false" customHeight="false" outlineLevel="0" collapsed="false">
      <c r="A12936" s="6" t="n">
        <f aca="false">DATE(2026,8,23)</f>
        <v>46257</v>
      </c>
      <c r="B12936" s="4" t="s">
        <v>334</v>
      </c>
      <c r="C12936" s="4" t="n">
        <v>4</v>
      </c>
      <c r="D12936" s="4" t="n">
        <v>11</v>
      </c>
      <c r="E12936" s="4"/>
      <c r="F12936" s="4" t="n">
        <v>8</v>
      </c>
      <c r="G12936" s="4" t="n">
        <v>13</v>
      </c>
      <c r="H12936" s="4" t="n">
        <v>4</v>
      </c>
      <c r="I12936" s="4" t="str">
        <v>×</v>
      </c>
      <c r="J12936" s="4"/>
      <c r="K12936" s="4"/>
      <c r="L12936" s="4"/>
      <c r="M12936" s="7" t="s">
        <v>6503</v>
      </c>
    </row>
    <row r="12937" customFormat="false" ht="15.75" hidden="false" customHeight="false" outlineLevel="0" collapsed="false">
      <c r="A12937" s="6" t="n">
        <f aca="false">DATE(2026,8,23)</f>
        <v>46257</v>
      </c>
      <c r="B12937" s="4" t="s">
        <v>334</v>
      </c>
      <c r="C12937" s="4" t="n">
        <v>4</v>
      </c>
      <c r="D12937" s="4" t="n">
        <v>12</v>
      </c>
      <c r="E12937" s="4" t="s">
        <v>1274</v>
      </c>
      <c r="F12937" s="4" t="n">
        <v>41</v>
      </c>
      <c r="G12937" s="4" t="n">
        <v>1</v>
      </c>
      <c r="H12937" s="4" t="n">
        <v>1</v>
      </c>
      <c r="I12937" s="4" t="str">
        <v>○</v>
      </c>
      <c r="J12937" s="4" t="n">
        <v>150</v>
      </c>
      <c r="K12937" s="4"/>
      <c r="L12937" s="4"/>
      <c r="M12937" s="7" t="s">
        <v>6503</v>
      </c>
    </row>
    <row r="12938" customFormat="false" ht="15.75" hidden="false" customHeight="false" outlineLevel="0" collapsed="false">
      <c r="A12938" s="6" t="n">
        <f aca="false">DATE(2026,8,23)</f>
        <v>46257</v>
      </c>
      <c r="B12938" s="4" t="s">
        <v>334</v>
      </c>
      <c r="C12938" s="4" t="n">
        <v>4</v>
      </c>
      <c r="D12938" s="4" t="n">
        <v>13</v>
      </c>
      <c r="E12938" s="4"/>
      <c r="F12938" s="4" t="n">
        <v>10</v>
      </c>
      <c r="G12938" s="4" t="n">
        <v>11</v>
      </c>
      <c r="H12938" s="4" t="n">
        <v>4</v>
      </c>
      <c r="I12938" s="4" t="str">
        <v>×</v>
      </c>
      <c r="J12938" s="4"/>
      <c r="K12938" s="4"/>
      <c r="L12938" s="4"/>
      <c r="M12938" s="7" t="s">
        <v>6503</v>
      </c>
    </row>
    <row r="12939" customFormat="false" ht="15.75" hidden="false" customHeight="false" outlineLevel="0" collapsed="false">
      <c r="A12939" s="6" t="n">
        <f aca="false">DATE(2026,8,23)</f>
        <v>46257</v>
      </c>
      <c r="B12939" s="4" t="s">
        <v>334</v>
      </c>
      <c r="C12939" s="4" t="n">
        <v>4</v>
      </c>
      <c r="D12939" s="4" t="n">
        <v>14</v>
      </c>
      <c r="E12939" s="4"/>
      <c r="F12939" s="4" t="n">
        <v>13</v>
      </c>
      <c r="G12939" s="4" t="n">
        <v>10</v>
      </c>
      <c r="H12939" s="4" t="n">
        <v>4</v>
      </c>
      <c r="I12939" s="4" t="str">
        <v>×</v>
      </c>
      <c r="J12939" s="4"/>
      <c r="K12939" s="4"/>
      <c r="L12939" s="4"/>
      <c r="M12939" s="7" t="s">
        <v>6503</v>
      </c>
    </row>
    <row r="12940" customFormat="false" ht="15.75" hidden="false" customHeight="false" outlineLevel="0" collapsed="false">
      <c r="A12940" s="6" t="n">
        <f aca="false">DATE(2026,8,23)</f>
        <v>46257</v>
      </c>
      <c r="B12940" s="4" t="s">
        <v>334</v>
      </c>
      <c r="C12940" s="4" t="n">
        <v>4</v>
      </c>
      <c r="D12940" s="4" t="n">
        <v>15</v>
      </c>
      <c r="E12940" s="4"/>
      <c r="F12940" s="4" t="n">
        <v>2</v>
      </c>
      <c r="G12940" s="4" t="n">
        <v>16</v>
      </c>
      <c r="H12940" s="4" t="n">
        <v>4</v>
      </c>
      <c r="I12940" s="4" t="str">
        <v>×</v>
      </c>
      <c r="J12940" s="4"/>
      <c r="K12940" s="4"/>
      <c r="L12940" s="4"/>
      <c r="M12940" s="7" t="s">
        <v>6503</v>
      </c>
    </row>
    <row r="12941" customFormat="false" ht="15.75" hidden="false" customHeight="false" outlineLevel="0" collapsed="false">
      <c r="A12941" s="6" t="n">
        <f aca="false">DATE(2026,8,23)</f>
        <v>46257</v>
      </c>
      <c r="B12941" s="4" t="s">
        <v>334</v>
      </c>
      <c r="C12941" s="4" t="n">
        <v>4</v>
      </c>
      <c r="D12941" s="4" t="n">
        <v>16</v>
      </c>
      <c r="E12941" s="4" t="s">
        <v>5144</v>
      </c>
      <c r="F12941" s="4" t="n">
        <v>31</v>
      </c>
      <c r="G12941" s="4" t="n">
        <v>3</v>
      </c>
      <c r="H12941" s="4" t="n">
        <v>3</v>
      </c>
      <c r="I12941" s="4" t="str">
        <v>○</v>
      </c>
      <c r="J12941" s="4" t="n">
        <v>230</v>
      </c>
      <c r="K12941" s="4"/>
      <c r="L12941" s="4"/>
      <c r="M12941" s="7" t="s">
        <v>6503</v>
      </c>
    </row>
    <row r="12942" customFormat="false" ht="15.75" hidden="false" customHeight="false" outlineLevel="0" collapsed="false">
      <c r="A12942" s="6" t="n">
        <f aca="false">DATE(2026,8,23)</f>
        <v>46257</v>
      </c>
      <c r="B12942" s="4" t="s">
        <v>334</v>
      </c>
      <c r="C12942" s="4" t="n">
        <v>5</v>
      </c>
      <c r="D12942" s="4" t="n">
        <v>1</v>
      </c>
      <c r="E12942" s="4" t="s">
        <v>6550</v>
      </c>
      <c r="F12942" s="4" t="n">
        <v>14</v>
      </c>
      <c r="G12942" s="4" t="n">
        <v>7</v>
      </c>
      <c r="H12942" s="4" t="n">
        <v>2</v>
      </c>
      <c r="I12942" s="4" t="str">
        <v>○</v>
      </c>
      <c r="J12942" s="4" t="n">
        <v>470</v>
      </c>
      <c r="K12942" s="4"/>
      <c r="L12942" s="4"/>
      <c r="M12942" s="7" t="s">
        <v>6503</v>
      </c>
    </row>
    <row r="12943" customFormat="false" ht="15.75" hidden="false" customHeight="false" outlineLevel="0" collapsed="false">
      <c r="A12943" s="6" t="n">
        <f aca="false">DATE(2026,8,23)</f>
        <v>46257</v>
      </c>
      <c r="B12943" s="4" t="s">
        <v>334</v>
      </c>
      <c r="C12943" s="4" t="n">
        <v>5</v>
      </c>
      <c r="D12943" s="4" t="n">
        <v>2</v>
      </c>
      <c r="E12943" s="4" t="s">
        <v>6551</v>
      </c>
      <c r="F12943" s="4" t="n">
        <v>24</v>
      </c>
      <c r="G12943" s="4" t="n">
        <v>3</v>
      </c>
      <c r="H12943" s="4" t="n">
        <v>3</v>
      </c>
      <c r="I12943" s="4" t="str">
        <v>○</v>
      </c>
      <c r="J12943" s="4"/>
      <c r="K12943" s="4"/>
      <c r="L12943" s="4"/>
      <c r="M12943" s="7" t="s">
        <v>6503</v>
      </c>
    </row>
    <row r="12944" customFormat="false" ht="15.75" hidden="false" customHeight="false" outlineLevel="0" collapsed="false">
      <c r="A12944" s="6" t="n">
        <f aca="false">DATE(2026,8,23)</f>
        <v>46257</v>
      </c>
      <c r="B12944" s="4" t="s">
        <v>334</v>
      </c>
      <c r="C12944" s="4" t="n">
        <v>5</v>
      </c>
      <c r="D12944" s="4" t="n">
        <v>3</v>
      </c>
      <c r="E12944" s="4" t="s">
        <v>6552</v>
      </c>
      <c r="F12944" s="4" t="n">
        <v>37</v>
      </c>
      <c r="G12944" s="4" t="n">
        <v>1</v>
      </c>
      <c r="H12944" s="4" t="n">
        <v>1</v>
      </c>
      <c r="I12944" s="4" t="str">
        <v>○</v>
      </c>
      <c r="J12944" s="4" t="n">
        <v>170</v>
      </c>
      <c r="K12944" s="4"/>
      <c r="L12944" s="4"/>
      <c r="M12944" s="7" t="s">
        <v>6503</v>
      </c>
    </row>
    <row r="12945" customFormat="false" ht="15.75" hidden="false" customHeight="false" outlineLevel="0" collapsed="false">
      <c r="A12945" s="6" t="n">
        <f aca="false">DATE(2026,8,23)</f>
        <v>46257</v>
      </c>
      <c r="B12945" s="4" t="s">
        <v>334</v>
      </c>
      <c r="C12945" s="4" t="n">
        <v>5</v>
      </c>
      <c r="D12945" s="4" t="n">
        <v>4</v>
      </c>
      <c r="E12945" s="4"/>
      <c r="F12945" s="4" t="n">
        <v>16</v>
      </c>
      <c r="G12945" s="4" t="n">
        <v>6</v>
      </c>
      <c r="H12945" s="4" t="n">
        <v>4</v>
      </c>
      <c r="I12945" s="4" t="str">
        <v>×</v>
      </c>
      <c r="J12945" s="4"/>
      <c r="K12945" s="4"/>
      <c r="L12945" s="4"/>
      <c r="M12945" s="7" t="s">
        <v>6503</v>
      </c>
    </row>
    <row r="12946" customFormat="false" ht="15.75" hidden="false" customHeight="false" outlineLevel="0" collapsed="false">
      <c r="A12946" s="6" t="n">
        <f aca="false">DATE(2026,8,23)</f>
        <v>46257</v>
      </c>
      <c r="B12946" s="4" t="s">
        <v>334</v>
      </c>
      <c r="C12946" s="4" t="n">
        <v>5</v>
      </c>
      <c r="D12946" s="4" t="n">
        <v>5</v>
      </c>
      <c r="E12946" s="4"/>
      <c r="F12946" s="4" t="n">
        <v>24</v>
      </c>
      <c r="G12946" s="4" t="n">
        <v>3</v>
      </c>
      <c r="H12946" s="4" t="n">
        <v>4</v>
      </c>
      <c r="I12946" s="4" t="str">
        <v>×</v>
      </c>
      <c r="J12946" s="4"/>
      <c r="K12946" s="4"/>
      <c r="L12946" s="4"/>
      <c r="M12946" s="7" t="s">
        <v>6503</v>
      </c>
    </row>
    <row r="12947" customFormat="false" ht="15.75" hidden="false" customHeight="false" outlineLevel="0" collapsed="false">
      <c r="A12947" s="6" t="n">
        <f aca="false">DATE(2026,8,23)</f>
        <v>46257</v>
      </c>
      <c r="B12947" s="4" t="s">
        <v>334</v>
      </c>
      <c r="C12947" s="4" t="n">
        <v>5</v>
      </c>
      <c r="D12947" s="4" t="n">
        <v>6</v>
      </c>
      <c r="E12947" s="4"/>
      <c r="F12947" s="4" t="n">
        <v>24</v>
      </c>
      <c r="G12947" s="4" t="n">
        <v>3</v>
      </c>
      <c r="H12947" s="4" t="n">
        <v>4</v>
      </c>
      <c r="I12947" s="4" t="str">
        <v>×</v>
      </c>
      <c r="J12947" s="4"/>
      <c r="K12947" s="4"/>
      <c r="L12947" s="4"/>
      <c r="M12947" s="7" t="s">
        <v>6503</v>
      </c>
    </row>
    <row r="12948" customFormat="false" ht="15.75" hidden="false" customHeight="false" outlineLevel="0" collapsed="false">
      <c r="A12948" s="6" t="n">
        <f aca="false">DATE(2026,8,23)</f>
        <v>46257</v>
      </c>
      <c r="B12948" s="4" t="s">
        <v>334</v>
      </c>
      <c r="C12948" s="4" t="n">
        <v>5</v>
      </c>
      <c r="D12948" s="4" t="n">
        <v>7</v>
      </c>
      <c r="E12948" s="4"/>
      <c r="F12948" s="4" t="n">
        <v>31</v>
      </c>
      <c r="G12948" s="4" t="n">
        <v>2</v>
      </c>
      <c r="H12948" s="4" t="n">
        <v>4</v>
      </c>
      <c r="I12948" s="4" t="str">
        <v>×</v>
      </c>
      <c r="J12948" s="4"/>
      <c r="K12948" s="4"/>
      <c r="L12948" s="4"/>
      <c r="M12948" s="7" t="s">
        <v>6503</v>
      </c>
    </row>
    <row r="12949" customFormat="false" ht="15.75" hidden="false" customHeight="false" outlineLevel="0" collapsed="false">
      <c r="A12949" s="6" t="n">
        <f aca="false">DATE(2026,8,23)</f>
        <v>46257</v>
      </c>
      <c r="B12949" s="4" t="s">
        <v>334</v>
      </c>
      <c r="C12949" s="4" t="n">
        <v>6</v>
      </c>
      <c r="D12949" s="4" t="n">
        <v>1</v>
      </c>
      <c r="E12949" s="4"/>
      <c r="F12949" s="4" t="n">
        <v>17</v>
      </c>
      <c r="G12949" s="4" t="n">
        <v>7</v>
      </c>
      <c r="H12949" s="4" t="n">
        <v>4</v>
      </c>
      <c r="I12949" s="4" t="str">
        <v>×</v>
      </c>
      <c r="J12949" s="4"/>
      <c r="K12949" s="4"/>
      <c r="L12949" s="4"/>
      <c r="M12949" s="7" t="s">
        <v>6503</v>
      </c>
    </row>
    <row r="12950" customFormat="false" ht="15.75" hidden="false" customHeight="false" outlineLevel="0" collapsed="false">
      <c r="A12950" s="6" t="n">
        <f aca="false">DATE(2026,8,23)</f>
        <v>46257</v>
      </c>
      <c r="B12950" s="4" t="s">
        <v>334</v>
      </c>
      <c r="C12950" s="4" t="n">
        <v>6</v>
      </c>
      <c r="D12950" s="4" t="n">
        <v>2</v>
      </c>
      <c r="E12950" s="4" t="s">
        <v>3862</v>
      </c>
      <c r="F12950" s="4" t="n">
        <v>67</v>
      </c>
      <c r="G12950" s="4" t="n">
        <v>1</v>
      </c>
      <c r="H12950" s="4" t="n">
        <v>2</v>
      </c>
      <c r="I12950" s="4" t="str">
        <v>○</v>
      </c>
      <c r="J12950" s="4" t="n">
        <v>160</v>
      </c>
      <c r="K12950" s="4"/>
      <c r="L12950" s="4"/>
      <c r="M12950" s="7" t="s">
        <v>6503</v>
      </c>
    </row>
    <row r="12951" customFormat="false" ht="15.75" hidden="false" customHeight="false" outlineLevel="0" collapsed="false">
      <c r="A12951" s="6" t="n">
        <f aca="false">DATE(2026,8,23)</f>
        <v>46257</v>
      </c>
      <c r="B12951" s="4" t="s">
        <v>334</v>
      </c>
      <c r="C12951" s="4" t="n">
        <v>6</v>
      </c>
      <c r="D12951" s="4" t="n">
        <v>3</v>
      </c>
      <c r="E12951" s="4"/>
      <c r="F12951" s="4" t="n">
        <v>6</v>
      </c>
      <c r="G12951" s="4" t="n">
        <v>12</v>
      </c>
      <c r="H12951" s="4" t="n">
        <v>4</v>
      </c>
      <c r="I12951" s="4" t="str">
        <v>×</v>
      </c>
      <c r="J12951" s="4"/>
      <c r="K12951" s="4"/>
      <c r="L12951" s="4"/>
      <c r="M12951" s="7" t="s">
        <v>6503</v>
      </c>
    </row>
    <row r="12952" customFormat="false" ht="15.75" hidden="false" customHeight="false" outlineLevel="0" collapsed="false">
      <c r="A12952" s="6" t="n">
        <f aca="false">DATE(2026,8,23)</f>
        <v>46257</v>
      </c>
      <c r="B12952" s="4" t="s">
        <v>334</v>
      </c>
      <c r="C12952" s="4" t="n">
        <v>6</v>
      </c>
      <c r="D12952" s="4" t="n">
        <v>4</v>
      </c>
      <c r="E12952" s="4"/>
      <c r="F12952" s="4" t="n">
        <v>60</v>
      </c>
      <c r="G12952" s="4" t="n">
        <v>2</v>
      </c>
      <c r="H12952" s="4" t="n">
        <v>4</v>
      </c>
      <c r="I12952" s="4" t="str">
        <v>×</v>
      </c>
      <c r="J12952" s="4"/>
      <c r="K12952" s="4"/>
      <c r="L12952" s="4"/>
      <c r="M12952" s="7" t="s">
        <v>6503</v>
      </c>
    </row>
    <row r="12953" customFormat="false" ht="15.75" hidden="false" customHeight="false" outlineLevel="0" collapsed="false">
      <c r="A12953" s="6" t="n">
        <f aca="false">DATE(2026,8,23)</f>
        <v>46257</v>
      </c>
      <c r="B12953" s="4" t="s">
        <v>334</v>
      </c>
      <c r="C12953" s="4" t="n">
        <v>6</v>
      </c>
      <c r="D12953" s="4" t="n">
        <v>5</v>
      </c>
      <c r="E12953" s="4" t="s">
        <v>1869</v>
      </c>
      <c r="F12953" s="4" t="n">
        <v>8</v>
      </c>
      <c r="G12953" s="4" t="n">
        <v>11</v>
      </c>
      <c r="H12953" s="4" t="n">
        <v>3</v>
      </c>
      <c r="I12953" s="4" t="str">
        <v>○</v>
      </c>
      <c r="J12953" s="4" t="n">
        <v>570</v>
      </c>
      <c r="K12953" s="4"/>
      <c r="L12953" s="4"/>
      <c r="M12953" s="7" t="s">
        <v>6503</v>
      </c>
    </row>
    <row r="12954" customFormat="false" ht="15.75" hidden="false" customHeight="false" outlineLevel="0" collapsed="false">
      <c r="A12954" s="6" t="n">
        <f aca="false">DATE(2026,8,23)</f>
        <v>46257</v>
      </c>
      <c r="B12954" s="4" t="s">
        <v>334</v>
      </c>
      <c r="C12954" s="4" t="n">
        <v>6</v>
      </c>
      <c r="D12954" s="4" t="n">
        <v>6</v>
      </c>
      <c r="E12954" s="4"/>
      <c r="F12954" s="4" t="n">
        <v>58</v>
      </c>
      <c r="G12954" s="4" t="n">
        <v>3</v>
      </c>
      <c r="H12954" s="4" t="n">
        <v>4</v>
      </c>
      <c r="I12954" s="4" t="str">
        <v>×</v>
      </c>
      <c r="J12954" s="4"/>
      <c r="K12954" s="4"/>
      <c r="L12954" s="4"/>
      <c r="M12954" s="7" t="s">
        <v>6503</v>
      </c>
    </row>
    <row r="12955" customFormat="false" ht="15.75" hidden="false" customHeight="false" outlineLevel="0" collapsed="false">
      <c r="A12955" s="6" t="n">
        <f aca="false">DATE(2026,8,23)</f>
        <v>46257</v>
      </c>
      <c r="B12955" s="4" t="s">
        <v>334</v>
      </c>
      <c r="C12955" s="4" t="n">
        <v>6</v>
      </c>
      <c r="D12955" s="4" t="n">
        <v>7</v>
      </c>
      <c r="E12955" s="4"/>
      <c r="F12955" s="4" t="n">
        <v>6</v>
      </c>
      <c r="G12955" s="4" t="n">
        <v>12</v>
      </c>
      <c r="H12955" s="4" t="n">
        <v>4</v>
      </c>
      <c r="I12955" s="4" t="str">
        <v>×</v>
      </c>
      <c r="J12955" s="4"/>
      <c r="K12955" s="4"/>
      <c r="L12955" s="4"/>
      <c r="M12955" s="7" t="s">
        <v>6503</v>
      </c>
    </row>
    <row r="12956" customFormat="false" ht="15.75" hidden="false" customHeight="false" outlineLevel="0" collapsed="false">
      <c r="A12956" s="6" t="n">
        <f aca="false">DATE(2026,8,23)</f>
        <v>46257</v>
      </c>
      <c r="B12956" s="4" t="s">
        <v>334</v>
      </c>
      <c r="C12956" s="4" t="n">
        <v>6</v>
      </c>
      <c r="D12956" s="4" t="n">
        <v>8</v>
      </c>
      <c r="E12956" s="4"/>
      <c r="F12956" s="4" t="n">
        <v>17</v>
      </c>
      <c r="G12956" s="4" t="n">
        <v>7</v>
      </c>
      <c r="H12956" s="4" t="n">
        <v>4</v>
      </c>
      <c r="I12956" s="4" t="str">
        <v>×</v>
      </c>
      <c r="J12956" s="4"/>
      <c r="K12956" s="4"/>
      <c r="L12956" s="4"/>
      <c r="M12956" s="7" t="s">
        <v>6503</v>
      </c>
    </row>
    <row r="12957" customFormat="false" ht="15.75" hidden="false" customHeight="false" outlineLevel="0" collapsed="false">
      <c r="A12957" s="6" t="n">
        <f aca="false">DATE(2026,8,23)</f>
        <v>46257</v>
      </c>
      <c r="B12957" s="4" t="s">
        <v>334</v>
      </c>
      <c r="C12957" s="4" t="n">
        <v>6</v>
      </c>
      <c r="D12957" s="4" t="n">
        <v>9</v>
      </c>
      <c r="E12957" s="4"/>
      <c r="F12957" s="4" t="n">
        <v>4</v>
      </c>
      <c r="G12957" s="4" t="n">
        <v>14</v>
      </c>
      <c r="H12957" s="4" t="n">
        <v>4</v>
      </c>
      <c r="I12957" s="4" t="str">
        <v>×</v>
      </c>
      <c r="J12957" s="4"/>
      <c r="K12957" s="4"/>
      <c r="L12957" s="4"/>
      <c r="M12957" s="7" t="s">
        <v>6503</v>
      </c>
    </row>
    <row r="12958" customFormat="false" ht="15.75" hidden="false" customHeight="false" outlineLevel="0" collapsed="false">
      <c r="A12958" s="6" t="n">
        <f aca="false">DATE(2026,8,23)</f>
        <v>46257</v>
      </c>
      <c r="B12958" s="4" t="s">
        <v>334</v>
      </c>
      <c r="C12958" s="4" t="n">
        <v>6</v>
      </c>
      <c r="D12958" s="4" t="n">
        <v>10</v>
      </c>
      <c r="E12958" s="4"/>
      <c r="F12958" s="4" t="n">
        <v>20</v>
      </c>
      <c r="G12958" s="4" t="n">
        <v>5</v>
      </c>
      <c r="H12958" s="4" t="n">
        <v>4</v>
      </c>
      <c r="I12958" s="4" t="str">
        <v>×</v>
      </c>
      <c r="J12958" s="4"/>
      <c r="K12958" s="4"/>
      <c r="L12958" s="4"/>
      <c r="M12958" s="7" t="s">
        <v>6503</v>
      </c>
    </row>
    <row r="12959" customFormat="false" ht="15.75" hidden="false" customHeight="false" outlineLevel="0" collapsed="false">
      <c r="A12959" s="6" t="n">
        <f aca="false">DATE(2026,8,23)</f>
        <v>46257</v>
      </c>
      <c r="B12959" s="4" t="s">
        <v>334</v>
      </c>
      <c r="C12959" s="4" t="n">
        <v>6</v>
      </c>
      <c r="D12959" s="4" t="n">
        <v>11</v>
      </c>
      <c r="E12959" s="4"/>
      <c r="F12959" s="4" t="n">
        <v>13</v>
      </c>
      <c r="G12959" s="4" t="n">
        <v>9</v>
      </c>
      <c r="H12959" s="4" t="n">
        <v>4</v>
      </c>
      <c r="I12959" s="4" t="str">
        <v>×</v>
      </c>
      <c r="J12959" s="4"/>
      <c r="K12959" s="4"/>
      <c r="L12959" s="4"/>
      <c r="M12959" s="7" t="s">
        <v>6503</v>
      </c>
    </row>
    <row r="12960" customFormat="false" ht="15.75" hidden="false" customHeight="false" outlineLevel="0" collapsed="false">
      <c r="A12960" s="6" t="n">
        <f aca="false">DATE(2026,8,23)</f>
        <v>46257</v>
      </c>
      <c r="B12960" s="4" t="s">
        <v>334</v>
      </c>
      <c r="C12960" s="4" t="n">
        <v>6</v>
      </c>
      <c r="D12960" s="4" t="n">
        <v>12</v>
      </c>
      <c r="E12960" s="4" t="s">
        <v>4840</v>
      </c>
      <c r="F12960" s="4" t="n">
        <v>29</v>
      </c>
      <c r="G12960" s="4" t="n">
        <v>4</v>
      </c>
      <c r="H12960" s="4" t="n">
        <v>1</v>
      </c>
      <c r="I12960" s="4" t="str">
        <v>○</v>
      </c>
      <c r="J12960" s="4" t="n">
        <v>630</v>
      </c>
      <c r="K12960" s="4"/>
      <c r="L12960" s="4"/>
      <c r="M12960" s="7" t="s">
        <v>6503</v>
      </c>
    </row>
    <row r="12961" customFormat="false" ht="15.75" hidden="false" customHeight="false" outlineLevel="0" collapsed="false">
      <c r="A12961" s="6" t="n">
        <f aca="false">DATE(2026,8,23)</f>
        <v>46257</v>
      </c>
      <c r="B12961" s="4" t="s">
        <v>334</v>
      </c>
      <c r="C12961" s="4" t="n">
        <v>6</v>
      </c>
      <c r="D12961" s="4" t="n">
        <v>13</v>
      </c>
      <c r="E12961" s="4"/>
      <c r="F12961" s="4" t="n">
        <v>10</v>
      </c>
      <c r="G12961" s="4" t="n">
        <v>10</v>
      </c>
      <c r="H12961" s="4" t="n">
        <v>4</v>
      </c>
      <c r="I12961" s="4" t="str">
        <v>×</v>
      </c>
      <c r="J12961" s="4"/>
      <c r="K12961" s="4"/>
      <c r="L12961" s="4"/>
      <c r="M12961" s="7" t="s">
        <v>6503</v>
      </c>
    </row>
    <row r="12962" customFormat="false" ht="15.75" hidden="false" customHeight="false" outlineLevel="0" collapsed="false">
      <c r="A12962" s="6" t="n">
        <f aca="false">DATE(2026,8,23)</f>
        <v>46257</v>
      </c>
      <c r="B12962" s="4" t="s">
        <v>334</v>
      </c>
      <c r="C12962" s="4" t="n">
        <v>6</v>
      </c>
      <c r="D12962" s="4" t="n">
        <v>14</v>
      </c>
      <c r="E12962" s="4"/>
      <c r="F12962" s="4" t="n">
        <v>20</v>
      </c>
      <c r="G12962" s="4" t="n">
        <v>5</v>
      </c>
      <c r="H12962" s="4" t="n">
        <v>4</v>
      </c>
      <c r="I12962" s="4" t="str">
        <v>×</v>
      </c>
      <c r="J12962" s="4"/>
      <c r="K12962" s="4"/>
      <c r="L12962" s="4"/>
      <c r="M12962" s="7" t="s">
        <v>6503</v>
      </c>
    </row>
    <row r="12963" customFormat="false" ht="15.75" hidden="false" customHeight="false" outlineLevel="0" collapsed="false">
      <c r="A12963" s="6" t="n">
        <f aca="false">DATE(2026,8,23)</f>
        <v>46257</v>
      </c>
      <c r="B12963" s="4" t="s">
        <v>334</v>
      </c>
      <c r="C12963" s="4" t="n">
        <v>7</v>
      </c>
      <c r="D12963" s="4" t="n">
        <v>1</v>
      </c>
      <c r="E12963" s="4"/>
      <c r="F12963" s="4" t="n">
        <v>8</v>
      </c>
      <c r="G12963" s="4" t="n">
        <v>9</v>
      </c>
      <c r="H12963" s="4" t="n">
        <v>4</v>
      </c>
      <c r="I12963" s="4" t="str">
        <v>×</v>
      </c>
      <c r="J12963" s="4"/>
      <c r="K12963" s="4"/>
      <c r="L12963" s="4"/>
      <c r="M12963" s="7" t="s">
        <v>6503</v>
      </c>
    </row>
    <row r="12964" customFormat="false" ht="15.75" hidden="false" customHeight="false" outlineLevel="0" collapsed="false">
      <c r="A12964" s="6" t="n">
        <f aca="false">DATE(2026,8,23)</f>
        <v>46257</v>
      </c>
      <c r="B12964" s="4" t="s">
        <v>334</v>
      </c>
      <c r="C12964" s="4" t="n">
        <v>7</v>
      </c>
      <c r="D12964" s="4" t="n">
        <v>2</v>
      </c>
      <c r="E12964" s="4"/>
      <c r="F12964" s="4" t="n">
        <v>3</v>
      </c>
      <c r="G12964" s="4" t="n">
        <v>11</v>
      </c>
      <c r="H12964" s="4" t="n">
        <v>4</v>
      </c>
      <c r="I12964" s="4" t="str">
        <v>×</v>
      </c>
      <c r="J12964" s="4"/>
      <c r="K12964" s="4"/>
      <c r="L12964" s="4"/>
      <c r="M12964" s="7" t="s">
        <v>6503</v>
      </c>
    </row>
    <row r="12965" customFormat="false" ht="15.75" hidden="false" customHeight="false" outlineLevel="0" collapsed="false">
      <c r="A12965" s="6" t="n">
        <f aca="false">DATE(2026,8,23)</f>
        <v>46257</v>
      </c>
      <c r="B12965" s="4" t="s">
        <v>334</v>
      </c>
      <c r="C12965" s="4" t="n">
        <v>7</v>
      </c>
      <c r="D12965" s="4" t="n">
        <v>3</v>
      </c>
      <c r="E12965" s="4"/>
      <c r="F12965" s="4" t="n">
        <v>25</v>
      </c>
      <c r="G12965" s="4" t="n">
        <v>6</v>
      </c>
      <c r="H12965" s="4" t="n">
        <v>4</v>
      </c>
      <c r="I12965" s="4" t="str">
        <v>×</v>
      </c>
      <c r="J12965" s="4"/>
      <c r="K12965" s="4"/>
      <c r="L12965" s="4"/>
      <c r="M12965" s="7" t="s">
        <v>6503</v>
      </c>
    </row>
    <row r="12966" customFormat="false" ht="15.75" hidden="false" customHeight="false" outlineLevel="0" collapsed="false">
      <c r="A12966" s="6" t="n">
        <f aca="false">DATE(2026,8,23)</f>
        <v>46257</v>
      </c>
      <c r="B12966" s="4" t="s">
        <v>334</v>
      </c>
      <c r="C12966" s="4" t="n">
        <v>7</v>
      </c>
      <c r="D12966" s="4" t="n">
        <v>4</v>
      </c>
      <c r="E12966" s="4"/>
      <c r="F12966" s="4" t="n">
        <v>31</v>
      </c>
      <c r="G12966" s="4" t="n">
        <v>5</v>
      </c>
      <c r="H12966" s="4" t="n">
        <v>4</v>
      </c>
      <c r="I12966" s="4" t="str">
        <v>×</v>
      </c>
      <c r="J12966" s="4"/>
      <c r="K12966" s="4"/>
      <c r="L12966" s="4"/>
      <c r="M12966" s="7" t="s">
        <v>6503</v>
      </c>
    </row>
    <row r="12967" customFormat="false" ht="15.75" hidden="false" customHeight="false" outlineLevel="0" collapsed="false">
      <c r="A12967" s="6" t="n">
        <f aca="false">DATE(2026,8,23)</f>
        <v>46257</v>
      </c>
      <c r="B12967" s="4" t="s">
        <v>334</v>
      </c>
      <c r="C12967" s="4" t="n">
        <v>7</v>
      </c>
      <c r="D12967" s="4" t="n">
        <v>5</v>
      </c>
      <c r="E12967" s="4" t="s">
        <v>4129</v>
      </c>
      <c r="F12967" s="4" t="n">
        <v>44</v>
      </c>
      <c r="G12967" s="4" t="n">
        <v>2</v>
      </c>
      <c r="H12967" s="4" t="n">
        <v>1</v>
      </c>
      <c r="I12967" s="4" t="str">
        <v>○</v>
      </c>
      <c r="J12967" s="4" t="n">
        <v>300</v>
      </c>
      <c r="K12967" s="4"/>
      <c r="L12967" s="4"/>
      <c r="M12967" s="7" t="s">
        <v>6503</v>
      </c>
    </row>
    <row r="12968" customFormat="false" ht="15.75" hidden="false" customHeight="false" outlineLevel="0" collapsed="false">
      <c r="A12968" s="6" t="n">
        <f aca="false">DATE(2026,8,23)</f>
        <v>46257</v>
      </c>
      <c r="B12968" s="4" t="s">
        <v>334</v>
      </c>
      <c r="C12968" s="4" t="n">
        <v>7</v>
      </c>
      <c r="D12968" s="4" t="n">
        <v>6</v>
      </c>
      <c r="E12968" s="4" t="s">
        <v>6553</v>
      </c>
      <c r="F12968" s="4" t="n">
        <v>13</v>
      </c>
      <c r="G12968" s="4" t="n">
        <v>8</v>
      </c>
      <c r="H12968" s="4" t="n">
        <v>3</v>
      </c>
      <c r="I12968" s="4" t="str">
        <v>○</v>
      </c>
      <c r="J12968" s="4" t="n">
        <v>510</v>
      </c>
      <c r="K12968" s="4"/>
      <c r="L12968" s="4"/>
      <c r="M12968" s="7" t="s">
        <v>6503</v>
      </c>
    </row>
    <row r="12969" customFormat="false" ht="15.75" hidden="false" customHeight="false" outlineLevel="0" collapsed="false">
      <c r="A12969" s="6" t="n">
        <f aca="false">DATE(2026,8,23)</f>
        <v>46257</v>
      </c>
      <c r="B12969" s="4" t="s">
        <v>334</v>
      </c>
      <c r="C12969" s="4" t="n">
        <v>7</v>
      </c>
      <c r="D12969" s="4" t="n">
        <v>7</v>
      </c>
      <c r="E12969" s="4"/>
      <c r="F12969" s="4" t="n">
        <v>37</v>
      </c>
      <c r="G12969" s="4" t="n">
        <v>4</v>
      </c>
      <c r="H12969" s="4" t="n">
        <v>4</v>
      </c>
      <c r="I12969" s="4" t="str">
        <v>×</v>
      </c>
      <c r="J12969" s="4"/>
      <c r="K12969" s="4"/>
      <c r="L12969" s="4"/>
      <c r="M12969" s="7" t="s">
        <v>6503</v>
      </c>
    </row>
    <row r="12970" customFormat="false" ht="15.75" hidden="false" customHeight="false" outlineLevel="0" collapsed="false">
      <c r="A12970" s="6" t="n">
        <f aca="false">DATE(2026,8,23)</f>
        <v>46257</v>
      </c>
      <c r="B12970" s="4" t="s">
        <v>334</v>
      </c>
      <c r="C12970" s="4" t="n">
        <v>7</v>
      </c>
      <c r="D12970" s="4" t="n">
        <v>8</v>
      </c>
      <c r="E12970" s="4"/>
      <c r="F12970" s="4" t="n">
        <v>39</v>
      </c>
      <c r="G12970" s="4" t="n">
        <v>3</v>
      </c>
      <c r="H12970" s="4" t="n">
        <v>4</v>
      </c>
      <c r="I12970" s="4" t="str">
        <v>×</v>
      </c>
      <c r="J12970" s="4"/>
      <c r="K12970" s="4"/>
      <c r="L12970" s="4"/>
      <c r="M12970" s="7" t="s">
        <v>6503</v>
      </c>
    </row>
    <row r="12971" customFormat="false" ht="15.75" hidden="false" customHeight="false" outlineLevel="0" collapsed="false">
      <c r="A12971" s="6" t="n">
        <f aca="false">DATE(2026,8,23)</f>
        <v>46257</v>
      </c>
      <c r="B12971" s="4" t="s">
        <v>334</v>
      </c>
      <c r="C12971" s="4" t="n">
        <v>7</v>
      </c>
      <c r="D12971" s="4" t="n">
        <v>9</v>
      </c>
      <c r="E12971" s="4"/>
      <c r="F12971" s="4" t="n">
        <v>25</v>
      </c>
      <c r="G12971" s="4" t="n">
        <v>6</v>
      </c>
      <c r="H12971" s="4" t="n">
        <v>4</v>
      </c>
      <c r="I12971" s="4" t="str">
        <v>×</v>
      </c>
      <c r="J12971" s="4"/>
      <c r="K12971" s="4"/>
      <c r="L12971" s="4"/>
      <c r="M12971" s="7" t="s">
        <v>6503</v>
      </c>
    </row>
    <row r="12972" customFormat="false" ht="15.75" hidden="false" customHeight="false" outlineLevel="0" collapsed="false">
      <c r="A12972" s="6" t="n">
        <f aca="false">DATE(2026,8,23)</f>
        <v>46257</v>
      </c>
      <c r="B12972" s="4" t="s">
        <v>334</v>
      </c>
      <c r="C12972" s="4" t="n">
        <v>7</v>
      </c>
      <c r="D12972" s="4" t="n">
        <v>10</v>
      </c>
      <c r="E12972" s="4" t="s">
        <v>2634</v>
      </c>
      <c r="F12972" s="4" t="n">
        <v>50</v>
      </c>
      <c r="G12972" s="4" t="n">
        <v>1</v>
      </c>
      <c r="H12972" s="4" t="n">
        <v>2</v>
      </c>
      <c r="I12972" s="4" t="str">
        <v>○</v>
      </c>
      <c r="J12972" s="4" t="n">
        <v>150</v>
      </c>
      <c r="K12972" s="4"/>
      <c r="L12972" s="4"/>
      <c r="M12972" s="7" t="s">
        <v>6503</v>
      </c>
    </row>
    <row r="12973" customFormat="false" ht="15.75" hidden="false" customHeight="false" outlineLevel="0" collapsed="false">
      <c r="A12973" s="6" t="n">
        <f aca="false">DATE(2026,8,23)</f>
        <v>46257</v>
      </c>
      <c r="B12973" s="4" t="s">
        <v>334</v>
      </c>
      <c r="C12973" s="4" t="n">
        <v>7</v>
      </c>
      <c r="D12973" s="4" t="n">
        <v>11</v>
      </c>
      <c r="E12973" s="4"/>
      <c r="F12973" s="4" t="n">
        <v>6</v>
      </c>
      <c r="G12973" s="4" t="n">
        <v>10</v>
      </c>
      <c r="H12973" s="4" t="n">
        <v>4</v>
      </c>
      <c r="I12973" s="4" t="str">
        <v>×</v>
      </c>
      <c r="J12973" s="4"/>
      <c r="K12973" s="4"/>
      <c r="L12973" s="4"/>
      <c r="M12973" s="7" t="s">
        <v>6503</v>
      </c>
    </row>
    <row r="12974" customFormat="false" ht="15.75" hidden="false" customHeight="false" outlineLevel="0" collapsed="false">
      <c r="A12974" s="6" t="n">
        <f aca="false">DATE(2026,8,23)</f>
        <v>46257</v>
      </c>
      <c r="B12974" s="4" t="s">
        <v>334</v>
      </c>
      <c r="C12974" s="4" t="n">
        <v>8</v>
      </c>
      <c r="D12974" s="4" t="n">
        <v>1</v>
      </c>
      <c r="E12974" s="4"/>
      <c r="F12974" s="4" t="n">
        <v>41</v>
      </c>
      <c r="G12974" s="4" t="n">
        <v>2</v>
      </c>
      <c r="H12974" s="4" t="n">
        <v>4</v>
      </c>
      <c r="I12974" s="4" t="str">
        <v>×</v>
      </c>
      <c r="J12974" s="4"/>
      <c r="K12974" s="4"/>
      <c r="L12974" s="4"/>
      <c r="M12974" s="7" t="s">
        <v>6503</v>
      </c>
    </row>
    <row r="12975" customFormat="false" ht="15.75" hidden="false" customHeight="false" outlineLevel="0" collapsed="false">
      <c r="A12975" s="6" t="n">
        <f aca="false">DATE(2026,8,23)</f>
        <v>46257</v>
      </c>
      <c r="B12975" s="4" t="s">
        <v>334</v>
      </c>
      <c r="C12975" s="4" t="n">
        <v>8</v>
      </c>
      <c r="D12975" s="4" t="n">
        <v>2</v>
      </c>
      <c r="E12975" s="4"/>
      <c r="F12975" s="4" t="n">
        <v>31</v>
      </c>
      <c r="G12975" s="4" t="n">
        <v>4</v>
      </c>
      <c r="H12975" s="4" t="n">
        <v>4</v>
      </c>
      <c r="I12975" s="4" t="str">
        <v>×</v>
      </c>
      <c r="J12975" s="4"/>
      <c r="K12975" s="4"/>
      <c r="L12975" s="4"/>
      <c r="M12975" s="7" t="s">
        <v>6503</v>
      </c>
    </row>
    <row r="12976" customFormat="false" ht="15.75" hidden="false" customHeight="false" outlineLevel="0" collapsed="false">
      <c r="A12976" s="6" t="n">
        <f aca="false">DATE(2026,8,23)</f>
        <v>46257</v>
      </c>
      <c r="B12976" s="4" t="s">
        <v>334</v>
      </c>
      <c r="C12976" s="4" t="n">
        <v>8</v>
      </c>
      <c r="D12976" s="4" t="n">
        <v>3</v>
      </c>
      <c r="E12976" s="4"/>
      <c r="F12976" s="4" t="n">
        <v>15</v>
      </c>
      <c r="G12976" s="4" t="n">
        <v>7</v>
      </c>
      <c r="H12976" s="4" t="n">
        <v>4</v>
      </c>
      <c r="I12976" s="4" t="str">
        <v>×</v>
      </c>
      <c r="J12976" s="4"/>
      <c r="K12976" s="4"/>
      <c r="L12976" s="4"/>
      <c r="M12976" s="7" t="s">
        <v>6503</v>
      </c>
    </row>
    <row r="12977" customFormat="false" ht="15.75" hidden="false" customHeight="false" outlineLevel="0" collapsed="false">
      <c r="A12977" s="6" t="n">
        <f aca="false">DATE(2026,8,23)</f>
        <v>46257</v>
      </c>
      <c r="B12977" s="4" t="s">
        <v>334</v>
      </c>
      <c r="C12977" s="4" t="n">
        <v>8</v>
      </c>
      <c r="D12977" s="4" t="n">
        <v>4</v>
      </c>
      <c r="E12977" s="4"/>
      <c r="F12977" s="4" t="n">
        <v>15</v>
      </c>
      <c r="G12977" s="4" t="n">
        <v>7</v>
      </c>
      <c r="H12977" s="4" t="n">
        <v>4</v>
      </c>
      <c r="I12977" s="4" t="str">
        <v>×</v>
      </c>
      <c r="J12977" s="4"/>
      <c r="K12977" s="4"/>
      <c r="L12977" s="4"/>
      <c r="M12977" s="7" t="s">
        <v>6503</v>
      </c>
    </row>
    <row r="12978" customFormat="false" ht="15.75" hidden="false" customHeight="false" outlineLevel="0" collapsed="false">
      <c r="A12978" s="6" t="n">
        <f aca="false">DATE(2026,8,23)</f>
        <v>46257</v>
      </c>
      <c r="B12978" s="4" t="s">
        <v>334</v>
      </c>
      <c r="C12978" s="4" t="n">
        <v>8</v>
      </c>
      <c r="D12978" s="4" t="n">
        <v>5</v>
      </c>
      <c r="E12978" s="4"/>
      <c r="F12978" s="4" t="n">
        <v>15</v>
      </c>
      <c r="G12978" s="4" t="n">
        <v>7</v>
      </c>
      <c r="H12978" s="4" t="n">
        <v>4</v>
      </c>
      <c r="I12978" s="4" t="str">
        <v>×</v>
      </c>
      <c r="J12978" s="4"/>
      <c r="K12978" s="4"/>
      <c r="L12978" s="4"/>
      <c r="M12978" s="7" t="s">
        <v>6503</v>
      </c>
    </row>
    <row r="12979" customFormat="false" ht="15.75" hidden="false" customHeight="false" outlineLevel="0" collapsed="false">
      <c r="A12979" s="6" t="n">
        <f aca="false">DATE(2026,8,23)</f>
        <v>46257</v>
      </c>
      <c r="B12979" s="4" t="s">
        <v>334</v>
      </c>
      <c r="C12979" s="4" t="n">
        <v>8</v>
      </c>
      <c r="D12979" s="4" t="n">
        <v>6</v>
      </c>
      <c r="E12979" s="4"/>
      <c r="F12979" s="4" t="n">
        <v>25</v>
      </c>
      <c r="G12979" s="4" t="n">
        <v>6</v>
      </c>
      <c r="H12979" s="4" t="n">
        <v>4</v>
      </c>
      <c r="I12979" s="4" t="str">
        <v>×</v>
      </c>
      <c r="J12979" s="4"/>
      <c r="K12979" s="4"/>
      <c r="L12979" s="4"/>
      <c r="M12979" s="7" t="s">
        <v>6503</v>
      </c>
    </row>
    <row r="12980" customFormat="false" ht="15.75" hidden="false" customHeight="false" outlineLevel="0" collapsed="false">
      <c r="A12980" s="6" t="n">
        <f aca="false">DATE(2026,8,23)</f>
        <v>46257</v>
      </c>
      <c r="B12980" s="4" t="s">
        <v>334</v>
      </c>
      <c r="C12980" s="4" t="n">
        <v>8</v>
      </c>
      <c r="D12980" s="4" t="n">
        <v>7</v>
      </c>
      <c r="E12980" s="4" t="s">
        <v>2378</v>
      </c>
      <c r="F12980" s="4" t="n">
        <v>31</v>
      </c>
      <c r="G12980" s="4" t="n">
        <v>4</v>
      </c>
      <c r="H12980" s="4" t="n">
        <v>3</v>
      </c>
      <c r="I12980" s="4" t="str">
        <v>○</v>
      </c>
      <c r="J12980" s="4" t="n">
        <v>160</v>
      </c>
      <c r="K12980" s="4"/>
      <c r="L12980" s="4"/>
      <c r="M12980" s="7" t="s">
        <v>6503</v>
      </c>
    </row>
    <row r="12981" customFormat="false" ht="15.75" hidden="false" customHeight="false" outlineLevel="0" collapsed="false">
      <c r="A12981" s="6" t="n">
        <f aca="false">DATE(2026,8,23)</f>
        <v>46257</v>
      </c>
      <c r="B12981" s="4" t="s">
        <v>334</v>
      </c>
      <c r="C12981" s="4" t="n">
        <v>8</v>
      </c>
      <c r="D12981" s="4" t="n">
        <v>8</v>
      </c>
      <c r="E12981" s="4" t="s">
        <v>3858</v>
      </c>
      <c r="F12981" s="4" t="n">
        <v>41</v>
      </c>
      <c r="G12981" s="4" t="n">
        <v>2</v>
      </c>
      <c r="H12981" s="4" t="n">
        <v>1</v>
      </c>
      <c r="I12981" s="4" t="str">
        <v>○</v>
      </c>
      <c r="J12981" s="4" t="n">
        <v>130</v>
      </c>
      <c r="K12981" s="4"/>
      <c r="L12981" s="4"/>
      <c r="M12981" s="7" t="s">
        <v>6503</v>
      </c>
    </row>
    <row r="12982" customFormat="false" ht="15.75" hidden="false" customHeight="false" outlineLevel="0" collapsed="false">
      <c r="A12982" s="6" t="n">
        <f aca="false">DATE(2026,8,23)</f>
        <v>46257</v>
      </c>
      <c r="B12982" s="4" t="s">
        <v>334</v>
      </c>
      <c r="C12982" s="4" t="n">
        <v>8</v>
      </c>
      <c r="D12982" s="4" t="n">
        <v>9</v>
      </c>
      <c r="E12982" s="4" t="s">
        <v>1342</v>
      </c>
      <c r="F12982" s="4" t="n">
        <v>66</v>
      </c>
      <c r="G12982" s="4" t="n">
        <v>1</v>
      </c>
      <c r="H12982" s="4" t="n">
        <v>2</v>
      </c>
      <c r="I12982" s="4" t="str">
        <v>○</v>
      </c>
      <c r="J12982" s="4" t="n">
        <v>120</v>
      </c>
      <c r="K12982" s="4"/>
      <c r="L12982" s="4"/>
      <c r="M12982" s="7" t="s">
        <v>6503</v>
      </c>
    </row>
    <row r="12983" customFormat="false" ht="15.75" hidden="false" customHeight="false" outlineLevel="0" collapsed="false">
      <c r="A12983" s="6" t="n">
        <f aca="false">DATE(2026,8,23)</f>
        <v>46257</v>
      </c>
      <c r="B12983" s="4" t="s">
        <v>334</v>
      </c>
      <c r="C12983" s="4" t="n">
        <v>8</v>
      </c>
      <c r="D12983" s="4" t="n">
        <v>10</v>
      </c>
      <c r="E12983" s="4"/>
      <c r="F12983" s="4" t="n">
        <v>10</v>
      </c>
      <c r="G12983" s="4" t="n">
        <v>10</v>
      </c>
      <c r="H12983" s="4" t="n">
        <v>4</v>
      </c>
      <c r="I12983" s="4" t="str">
        <v>×</v>
      </c>
      <c r="J12983" s="4"/>
      <c r="K12983" s="4"/>
      <c r="L12983" s="4"/>
      <c r="M12983" s="7" t="s">
        <v>6503</v>
      </c>
    </row>
    <row r="12984" customFormat="false" ht="15.75" hidden="false" customHeight="false" outlineLevel="0" collapsed="false">
      <c r="A12984" s="6" t="n">
        <f aca="false">DATE(2026,8,23)</f>
        <v>46257</v>
      </c>
      <c r="B12984" s="4" t="s">
        <v>334</v>
      </c>
      <c r="C12984" s="4" t="n">
        <v>8</v>
      </c>
      <c r="D12984" s="4" t="n">
        <v>11</v>
      </c>
      <c r="E12984" s="4"/>
      <c r="F12984" s="4" t="n">
        <v>6</v>
      </c>
      <c r="G12984" s="4" t="n">
        <v>11</v>
      </c>
      <c r="H12984" s="4" t="n">
        <v>4</v>
      </c>
      <c r="I12984" s="4" t="str">
        <v>×</v>
      </c>
      <c r="J12984" s="4"/>
      <c r="K12984" s="4"/>
      <c r="L12984" s="4"/>
      <c r="M12984" s="7" t="s">
        <v>6503</v>
      </c>
    </row>
    <row r="12985" customFormat="false" ht="15.75" hidden="false" customHeight="false" outlineLevel="0" collapsed="false">
      <c r="A12985" s="6" t="n">
        <f aca="false">DATE(2026,8,23)</f>
        <v>46257</v>
      </c>
      <c r="B12985" s="4" t="s">
        <v>334</v>
      </c>
      <c r="C12985" s="4" t="n">
        <v>9</v>
      </c>
      <c r="D12985" s="4" t="n">
        <v>1</v>
      </c>
      <c r="E12985" s="4"/>
      <c r="F12985" s="4" t="n">
        <v>34</v>
      </c>
      <c r="G12985" s="4" t="n">
        <v>5</v>
      </c>
      <c r="H12985" s="4" t="n">
        <v>4</v>
      </c>
      <c r="I12985" s="4" t="str">
        <v>×</v>
      </c>
      <c r="J12985" s="4"/>
      <c r="K12985" s="4"/>
      <c r="L12985" s="4"/>
      <c r="M12985" s="7" t="s">
        <v>6503</v>
      </c>
    </row>
    <row r="12986" customFormat="false" ht="15.75" hidden="false" customHeight="false" outlineLevel="0" collapsed="false">
      <c r="A12986" s="6" t="n">
        <f aca="false">DATE(2026,8,23)</f>
        <v>46257</v>
      </c>
      <c r="B12986" s="4" t="s">
        <v>334</v>
      </c>
      <c r="C12986" s="4" t="n">
        <v>9</v>
      </c>
      <c r="D12986" s="4" t="n">
        <v>2</v>
      </c>
      <c r="E12986" s="4" t="s">
        <v>2243</v>
      </c>
      <c r="F12986" s="4" t="n">
        <v>52</v>
      </c>
      <c r="G12986" s="4" t="n">
        <v>1</v>
      </c>
      <c r="H12986" s="4" t="n">
        <v>2</v>
      </c>
      <c r="I12986" s="4" t="str">
        <v>○</v>
      </c>
      <c r="J12986" s="4" t="n">
        <v>240</v>
      </c>
      <c r="K12986" s="4"/>
      <c r="L12986" s="4"/>
      <c r="M12986" s="7" t="s">
        <v>6503</v>
      </c>
    </row>
    <row r="12987" customFormat="false" ht="15.75" hidden="false" customHeight="false" outlineLevel="0" collapsed="false">
      <c r="A12987" s="6" t="n">
        <f aca="false">DATE(2026,8,23)</f>
        <v>46257</v>
      </c>
      <c r="B12987" s="4" t="s">
        <v>334</v>
      </c>
      <c r="C12987" s="4" t="n">
        <v>9</v>
      </c>
      <c r="D12987" s="4" t="n">
        <v>3</v>
      </c>
      <c r="E12987" s="4"/>
      <c r="F12987" s="4" t="n">
        <v>31</v>
      </c>
      <c r="G12987" s="4" t="n">
        <v>6</v>
      </c>
      <c r="H12987" s="4" t="n">
        <v>4</v>
      </c>
      <c r="I12987" s="4" t="str">
        <v>×</v>
      </c>
      <c r="J12987" s="4"/>
      <c r="K12987" s="4"/>
      <c r="L12987" s="4"/>
      <c r="M12987" s="7" t="s">
        <v>6503</v>
      </c>
    </row>
    <row r="12988" customFormat="false" ht="15.75" hidden="false" customHeight="false" outlineLevel="0" collapsed="false">
      <c r="A12988" s="6" t="n">
        <f aca="false">DATE(2026,8,23)</f>
        <v>46257</v>
      </c>
      <c r="B12988" s="4" t="s">
        <v>334</v>
      </c>
      <c r="C12988" s="4" t="n">
        <v>9</v>
      </c>
      <c r="D12988" s="4" t="n">
        <v>4</v>
      </c>
      <c r="E12988" s="4"/>
      <c r="F12988" s="4" t="n">
        <v>2</v>
      </c>
      <c r="G12988" s="4" t="n">
        <v>13</v>
      </c>
      <c r="H12988" s="4" t="n">
        <v>4</v>
      </c>
      <c r="I12988" s="4" t="str">
        <v>×</v>
      </c>
      <c r="J12988" s="4"/>
      <c r="K12988" s="4"/>
      <c r="L12988" s="4"/>
      <c r="M12988" s="7" t="s">
        <v>6503</v>
      </c>
    </row>
    <row r="12989" customFormat="false" ht="15.75" hidden="false" customHeight="false" outlineLevel="0" collapsed="false">
      <c r="A12989" s="6" t="n">
        <f aca="false">DATE(2026,8,23)</f>
        <v>46257</v>
      </c>
      <c r="B12989" s="4" t="s">
        <v>334</v>
      </c>
      <c r="C12989" s="4" t="n">
        <v>9</v>
      </c>
      <c r="D12989" s="4" t="n">
        <v>5</v>
      </c>
      <c r="E12989" s="4"/>
      <c r="F12989" s="4" t="n">
        <v>41</v>
      </c>
      <c r="G12989" s="4" t="n">
        <v>2</v>
      </c>
      <c r="H12989" s="4" t="n">
        <v>4</v>
      </c>
      <c r="I12989" s="4" t="str">
        <v>×</v>
      </c>
      <c r="J12989" s="4"/>
      <c r="K12989" s="4"/>
      <c r="L12989" s="4"/>
      <c r="M12989" s="7" t="s">
        <v>6503</v>
      </c>
    </row>
    <row r="12990" customFormat="false" ht="15.75" hidden="false" customHeight="false" outlineLevel="0" collapsed="false">
      <c r="A12990" s="6" t="n">
        <f aca="false">DATE(2026,8,23)</f>
        <v>46257</v>
      </c>
      <c r="B12990" s="4" t="s">
        <v>334</v>
      </c>
      <c r="C12990" s="4" t="n">
        <v>9</v>
      </c>
      <c r="D12990" s="4" t="n">
        <v>6</v>
      </c>
      <c r="E12990" s="4" t="s">
        <v>3829</v>
      </c>
      <c r="F12990" s="4" t="n">
        <v>13</v>
      </c>
      <c r="G12990" s="4" t="n">
        <v>10</v>
      </c>
      <c r="H12990" s="4" t="n">
        <v>3</v>
      </c>
      <c r="I12990" s="4" t="str">
        <v>○</v>
      </c>
      <c r="J12990" s="4" t="n">
        <v>1210</v>
      </c>
      <c r="K12990" s="4"/>
      <c r="L12990" s="4"/>
      <c r="M12990" s="7" t="s">
        <v>6503</v>
      </c>
    </row>
    <row r="12991" customFormat="false" ht="15.75" hidden="false" customHeight="false" outlineLevel="0" collapsed="false">
      <c r="A12991" s="6" t="n">
        <f aca="false">DATE(2026,8,23)</f>
        <v>46257</v>
      </c>
      <c r="B12991" s="4" t="s">
        <v>334</v>
      </c>
      <c r="C12991" s="4" t="n">
        <v>9</v>
      </c>
      <c r="D12991" s="4" t="n">
        <v>7</v>
      </c>
      <c r="E12991" s="4"/>
      <c r="F12991" s="4" t="n">
        <v>10</v>
      </c>
      <c r="G12991" s="4" t="n">
        <v>11</v>
      </c>
      <c r="H12991" s="4" t="n">
        <v>4</v>
      </c>
      <c r="I12991" s="4" t="str">
        <v>×</v>
      </c>
      <c r="J12991" s="4"/>
      <c r="K12991" s="4"/>
      <c r="L12991" s="4"/>
      <c r="M12991" s="7" t="s">
        <v>6503</v>
      </c>
    </row>
    <row r="12992" customFormat="false" ht="15.75" hidden="false" customHeight="false" outlineLevel="0" collapsed="false">
      <c r="A12992" s="6" t="n">
        <f aca="false">DATE(2026,8,23)</f>
        <v>46257</v>
      </c>
      <c r="B12992" s="4" t="s">
        <v>334</v>
      </c>
      <c r="C12992" s="4" t="n">
        <v>9</v>
      </c>
      <c r="D12992" s="4" t="n">
        <v>8</v>
      </c>
      <c r="E12992" s="4"/>
      <c r="F12992" s="4" t="n">
        <v>20</v>
      </c>
      <c r="G12992" s="4" t="n">
        <v>8</v>
      </c>
      <c r="H12992" s="4" t="n">
        <v>4</v>
      </c>
      <c r="I12992" s="4" t="str">
        <v>×</v>
      </c>
      <c r="J12992" s="4"/>
      <c r="K12992" s="4"/>
      <c r="L12992" s="4"/>
      <c r="M12992" s="7" t="s">
        <v>6503</v>
      </c>
    </row>
    <row r="12993" customFormat="false" ht="15.75" hidden="false" customHeight="false" outlineLevel="0" collapsed="false">
      <c r="A12993" s="6" t="n">
        <f aca="false">DATE(2026,8,23)</f>
        <v>46257</v>
      </c>
      <c r="B12993" s="4" t="s">
        <v>334</v>
      </c>
      <c r="C12993" s="4" t="n">
        <v>9</v>
      </c>
      <c r="D12993" s="4" t="n">
        <v>9</v>
      </c>
      <c r="E12993" s="4"/>
      <c r="F12993" s="4" t="n">
        <v>39</v>
      </c>
      <c r="G12993" s="4" t="n">
        <v>3</v>
      </c>
      <c r="H12993" s="4" t="n">
        <v>4</v>
      </c>
      <c r="I12993" s="4" t="str">
        <v>×</v>
      </c>
      <c r="J12993" s="4"/>
      <c r="K12993" s="4"/>
      <c r="L12993" s="4"/>
      <c r="M12993" s="7" t="s">
        <v>6503</v>
      </c>
    </row>
    <row r="12994" customFormat="false" ht="15.75" hidden="false" customHeight="false" outlineLevel="0" collapsed="false">
      <c r="A12994" s="6" t="n">
        <f aca="false">DATE(2026,8,23)</f>
        <v>46257</v>
      </c>
      <c r="B12994" s="4" t="s">
        <v>334</v>
      </c>
      <c r="C12994" s="4" t="n">
        <v>9</v>
      </c>
      <c r="D12994" s="4" t="n">
        <v>10</v>
      </c>
      <c r="E12994" s="4"/>
      <c r="F12994" s="4" t="n">
        <v>8</v>
      </c>
      <c r="G12994" s="4" t="n">
        <v>12</v>
      </c>
      <c r="H12994" s="4" t="n">
        <v>4</v>
      </c>
      <c r="I12994" s="4" t="str">
        <v>×</v>
      </c>
      <c r="J12994" s="4"/>
      <c r="K12994" s="4"/>
      <c r="L12994" s="4"/>
      <c r="M12994" s="7" t="s">
        <v>6503</v>
      </c>
    </row>
    <row r="12995" customFormat="false" ht="15.75" hidden="false" customHeight="false" outlineLevel="0" collapsed="false">
      <c r="A12995" s="6" t="n">
        <f aca="false">DATE(2026,8,23)</f>
        <v>46257</v>
      </c>
      <c r="B12995" s="4" t="s">
        <v>334</v>
      </c>
      <c r="C12995" s="4" t="n">
        <v>9</v>
      </c>
      <c r="D12995" s="4" t="n">
        <v>11</v>
      </c>
      <c r="E12995" s="4"/>
      <c r="F12995" s="4" t="n">
        <v>39</v>
      </c>
      <c r="G12995" s="4" t="n">
        <v>3</v>
      </c>
      <c r="H12995" s="4" t="n">
        <v>4</v>
      </c>
      <c r="I12995" s="4" t="str">
        <v>×</v>
      </c>
      <c r="J12995" s="4"/>
      <c r="K12995" s="4"/>
      <c r="L12995" s="4"/>
      <c r="M12995" s="7" t="s">
        <v>6503</v>
      </c>
    </row>
    <row r="12996" customFormat="false" ht="15.75" hidden="false" customHeight="false" outlineLevel="0" collapsed="false">
      <c r="A12996" s="6" t="n">
        <f aca="false">DATE(2026,8,23)</f>
        <v>46257</v>
      </c>
      <c r="B12996" s="4" t="s">
        <v>334</v>
      </c>
      <c r="C12996" s="4" t="n">
        <v>9</v>
      </c>
      <c r="D12996" s="4" t="n">
        <v>12</v>
      </c>
      <c r="E12996" s="4"/>
      <c r="F12996" s="4" t="n">
        <v>17</v>
      </c>
      <c r="G12996" s="4" t="n">
        <v>9</v>
      </c>
      <c r="H12996" s="4" t="n">
        <v>4</v>
      </c>
      <c r="I12996" s="4" t="str">
        <v>×</v>
      </c>
      <c r="J12996" s="4"/>
      <c r="K12996" s="4"/>
      <c r="L12996" s="4"/>
      <c r="M12996" s="7" t="s">
        <v>6503</v>
      </c>
    </row>
    <row r="12997" customFormat="false" ht="15.75" hidden="false" customHeight="false" outlineLevel="0" collapsed="false">
      <c r="A12997" s="6" t="n">
        <f aca="false">DATE(2026,8,23)</f>
        <v>46257</v>
      </c>
      <c r="B12997" s="4" t="s">
        <v>334</v>
      </c>
      <c r="C12997" s="4" t="n">
        <v>9</v>
      </c>
      <c r="D12997" s="4" t="n">
        <v>13</v>
      </c>
      <c r="E12997" s="4" t="s">
        <v>3276</v>
      </c>
      <c r="F12997" s="4" t="n">
        <v>25</v>
      </c>
      <c r="G12997" s="4" t="n">
        <v>7</v>
      </c>
      <c r="H12997" s="4" t="n">
        <v>1</v>
      </c>
      <c r="I12997" s="4" t="str">
        <v>○</v>
      </c>
      <c r="J12997" s="4" t="n">
        <v>260</v>
      </c>
      <c r="K12997" s="4"/>
      <c r="L12997" s="4"/>
      <c r="M12997" s="7" t="s">
        <v>6503</v>
      </c>
    </row>
    <row r="12998" customFormat="false" ht="15.75" hidden="false" customHeight="false" outlineLevel="0" collapsed="false">
      <c r="A12998" s="6" t="n">
        <f aca="false">DATE(2026,8,23)</f>
        <v>46257</v>
      </c>
      <c r="B12998" s="4" t="s">
        <v>334</v>
      </c>
      <c r="C12998" s="4" t="n">
        <v>10</v>
      </c>
      <c r="D12998" s="4" t="n">
        <v>1</v>
      </c>
      <c r="E12998" s="4" t="s">
        <v>5793</v>
      </c>
      <c r="F12998" s="4" t="n">
        <v>37</v>
      </c>
      <c r="G12998" s="4" t="n">
        <v>2</v>
      </c>
      <c r="H12998" s="4" t="n">
        <v>2</v>
      </c>
      <c r="I12998" s="4" t="str">
        <v>○</v>
      </c>
      <c r="J12998" s="4" t="n">
        <v>280</v>
      </c>
      <c r="K12998" s="4"/>
      <c r="L12998" s="4"/>
      <c r="M12998" s="7" t="s">
        <v>6503</v>
      </c>
    </row>
    <row r="12999" customFormat="false" ht="15.75" hidden="false" customHeight="false" outlineLevel="0" collapsed="false">
      <c r="A12999" s="6" t="n">
        <f aca="false">DATE(2026,8,23)</f>
        <v>46257</v>
      </c>
      <c r="B12999" s="4" t="s">
        <v>334</v>
      </c>
      <c r="C12999" s="4" t="n">
        <v>10</v>
      </c>
      <c r="D12999" s="4" t="n">
        <v>2</v>
      </c>
      <c r="E12999" s="4"/>
      <c r="F12999" s="4" t="n">
        <v>4</v>
      </c>
      <c r="G12999" s="4" t="n">
        <v>13</v>
      </c>
      <c r="H12999" s="4" t="n">
        <v>4</v>
      </c>
      <c r="I12999" s="4" t="str">
        <v>×</v>
      </c>
      <c r="J12999" s="4"/>
      <c r="K12999" s="4"/>
      <c r="L12999" s="4"/>
      <c r="M12999" s="7" t="s">
        <v>6503</v>
      </c>
    </row>
    <row r="13000" customFormat="false" ht="15.75" hidden="false" customHeight="false" outlineLevel="0" collapsed="false">
      <c r="A13000" s="6" t="n">
        <f aca="false">DATE(2026,8,23)</f>
        <v>46257</v>
      </c>
      <c r="B13000" s="4" t="s">
        <v>334</v>
      </c>
      <c r="C13000" s="4" t="n">
        <v>10</v>
      </c>
      <c r="D13000" s="4" t="n">
        <v>3</v>
      </c>
      <c r="E13000" s="4"/>
      <c r="F13000" s="4" t="n">
        <v>41</v>
      </c>
      <c r="G13000" s="4" t="n">
        <v>1</v>
      </c>
      <c r="H13000" s="4" t="n">
        <v>4</v>
      </c>
      <c r="I13000" s="4" t="str">
        <v>×</v>
      </c>
      <c r="J13000" s="4"/>
      <c r="K13000" s="4"/>
      <c r="L13000" s="4"/>
      <c r="M13000" s="7" t="s">
        <v>6503</v>
      </c>
    </row>
    <row r="13001" customFormat="false" ht="15.75" hidden="false" customHeight="false" outlineLevel="0" collapsed="false">
      <c r="A13001" s="6" t="n">
        <f aca="false">DATE(2026,8,23)</f>
        <v>46257</v>
      </c>
      <c r="B13001" s="4" t="s">
        <v>334</v>
      </c>
      <c r="C13001" s="4" t="n">
        <v>10</v>
      </c>
      <c r="D13001" s="4" t="n">
        <v>4</v>
      </c>
      <c r="E13001" s="4"/>
      <c r="F13001" s="4" t="n">
        <v>25</v>
      </c>
      <c r="G13001" s="4" t="n">
        <v>5</v>
      </c>
      <c r="H13001" s="4" t="n">
        <v>4</v>
      </c>
      <c r="I13001" s="4" t="str">
        <v>×</v>
      </c>
      <c r="J13001" s="4"/>
      <c r="K13001" s="4"/>
      <c r="L13001" s="4"/>
      <c r="M13001" s="7" t="s">
        <v>6503</v>
      </c>
    </row>
    <row r="13002" customFormat="false" ht="15.75" hidden="false" customHeight="false" outlineLevel="0" collapsed="false">
      <c r="A13002" s="6" t="n">
        <f aca="false">DATE(2026,8,23)</f>
        <v>46257</v>
      </c>
      <c r="B13002" s="4" t="s">
        <v>334</v>
      </c>
      <c r="C13002" s="4" t="n">
        <v>10</v>
      </c>
      <c r="D13002" s="4" t="n">
        <v>5</v>
      </c>
      <c r="E13002" s="4"/>
      <c r="F13002" s="4" t="n">
        <v>1</v>
      </c>
      <c r="G13002" s="4" t="n">
        <v>14</v>
      </c>
      <c r="H13002" s="4" t="n">
        <v>4</v>
      </c>
      <c r="I13002" s="4" t="str">
        <v>×</v>
      </c>
      <c r="J13002" s="4"/>
      <c r="K13002" s="4"/>
      <c r="L13002" s="4"/>
      <c r="M13002" s="7" t="s">
        <v>6503</v>
      </c>
    </row>
    <row r="13003" customFormat="false" ht="15.75" hidden="false" customHeight="false" outlineLevel="0" collapsed="false">
      <c r="A13003" s="6" t="n">
        <f aca="false">DATE(2026,8,23)</f>
        <v>46257</v>
      </c>
      <c r="B13003" s="4" t="s">
        <v>334</v>
      </c>
      <c r="C13003" s="4" t="n">
        <v>10</v>
      </c>
      <c r="D13003" s="4" t="n">
        <v>6</v>
      </c>
      <c r="E13003" s="4"/>
      <c r="F13003" s="4" t="n">
        <v>23</v>
      </c>
      <c r="G13003" s="4" t="n">
        <v>7</v>
      </c>
      <c r="H13003" s="4" t="n">
        <v>4</v>
      </c>
      <c r="I13003" s="4" t="str">
        <v>×</v>
      </c>
      <c r="J13003" s="4"/>
      <c r="K13003" s="4"/>
      <c r="L13003" s="4"/>
      <c r="M13003" s="7" t="s">
        <v>6503</v>
      </c>
    </row>
    <row r="13004" customFormat="false" ht="15.75" hidden="false" customHeight="false" outlineLevel="0" collapsed="false">
      <c r="A13004" s="6" t="n">
        <f aca="false">DATE(2026,8,23)</f>
        <v>46257</v>
      </c>
      <c r="B13004" s="4" t="s">
        <v>334</v>
      </c>
      <c r="C13004" s="4" t="n">
        <v>10</v>
      </c>
      <c r="D13004" s="4" t="n">
        <v>7</v>
      </c>
      <c r="E13004" s="4"/>
      <c r="F13004" s="4" t="n">
        <v>29</v>
      </c>
      <c r="G13004" s="4" t="n">
        <v>3</v>
      </c>
      <c r="H13004" s="4" t="n">
        <v>4</v>
      </c>
      <c r="I13004" s="4" t="str">
        <v>×</v>
      </c>
      <c r="J13004" s="4"/>
      <c r="K13004" s="4"/>
      <c r="L13004" s="4"/>
      <c r="M13004" s="7" t="s">
        <v>6503</v>
      </c>
    </row>
    <row r="13005" customFormat="false" ht="15.75" hidden="false" customHeight="false" outlineLevel="0" collapsed="false">
      <c r="A13005" s="6" t="n">
        <f aca="false">DATE(2026,8,23)</f>
        <v>46257</v>
      </c>
      <c r="B13005" s="4" t="s">
        <v>334</v>
      </c>
      <c r="C13005" s="4" t="n">
        <v>10</v>
      </c>
      <c r="D13005" s="4" t="n">
        <v>8</v>
      </c>
      <c r="E13005" s="4"/>
      <c r="F13005" s="4" t="n">
        <v>20</v>
      </c>
      <c r="G13005" s="4" t="n">
        <v>8</v>
      </c>
      <c r="H13005" s="4" t="n">
        <v>4</v>
      </c>
      <c r="I13005" s="4" t="str">
        <v>×</v>
      </c>
      <c r="J13005" s="4"/>
      <c r="K13005" s="4"/>
      <c r="L13005" s="4"/>
      <c r="M13005" s="7" t="s">
        <v>6503</v>
      </c>
    </row>
    <row r="13006" customFormat="false" ht="15.75" hidden="false" customHeight="false" outlineLevel="0" collapsed="false">
      <c r="A13006" s="6" t="n">
        <f aca="false">DATE(2026,8,23)</f>
        <v>46257</v>
      </c>
      <c r="B13006" s="4" t="s">
        <v>334</v>
      </c>
      <c r="C13006" s="4" t="n">
        <v>10</v>
      </c>
      <c r="D13006" s="4" t="n">
        <v>9</v>
      </c>
      <c r="E13006" s="4"/>
      <c r="F13006" s="4" t="n">
        <v>17</v>
      </c>
      <c r="G13006" s="4" t="n">
        <v>9</v>
      </c>
      <c r="H13006" s="4" t="n">
        <v>4</v>
      </c>
      <c r="I13006" s="4" t="str">
        <v>×</v>
      </c>
      <c r="J13006" s="4"/>
      <c r="K13006" s="4"/>
      <c r="L13006" s="4"/>
      <c r="M13006" s="7" t="s">
        <v>6503</v>
      </c>
    </row>
    <row r="13007" customFormat="false" ht="15.75" hidden="false" customHeight="false" outlineLevel="0" collapsed="false">
      <c r="A13007" s="6" t="n">
        <f aca="false">DATE(2026,8,23)</f>
        <v>46257</v>
      </c>
      <c r="B13007" s="4" t="s">
        <v>334</v>
      </c>
      <c r="C13007" s="4" t="n">
        <v>10</v>
      </c>
      <c r="D13007" s="4" t="n">
        <v>10</v>
      </c>
      <c r="E13007" s="4"/>
      <c r="F13007" s="4" t="n">
        <v>13</v>
      </c>
      <c r="G13007" s="4" t="n">
        <v>11</v>
      </c>
      <c r="H13007" s="4" t="n">
        <v>4</v>
      </c>
      <c r="I13007" s="4" t="str">
        <v>×</v>
      </c>
      <c r="J13007" s="4"/>
      <c r="K13007" s="4"/>
      <c r="L13007" s="4"/>
      <c r="M13007" s="7" t="s">
        <v>6503</v>
      </c>
    </row>
    <row r="13008" customFormat="false" ht="15.75" hidden="false" customHeight="false" outlineLevel="0" collapsed="false">
      <c r="A13008" s="6" t="n">
        <f aca="false">DATE(2026,8,23)</f>
        <v>46257</v>
      </c>
      <c r="B13008" s="4" t="s">
        <v>334</v>
      </c>
      <c r="C13008" s="4" t="n">
        <v>10</v>
      </c>
      <c r="D13008" s="4" t="n">
        <v>11</v>
      </c>
      <c r="E13008" s="4" t="s">
        <v>3290</v>
      </c>
      <c r="F13008" s="4" t="n">
        <v>25</v>
      </c>
      <c r="G13008" s="4" t="n">
        <v>5</v>
      </c>
      <c r="H13008" s="4" t="n">
        <v>3</v>
      </c>
      <c r="I13008" s="4" t="str">
        <v>○</v>
      </c>
      <c r="J13008" s="4" t="n">
        <v>220</v>
      </c>
      <c r="K13008" s="4"/>
      <c r="L13008" s="4"/>
      <c r="M13008" s="7" t="s">
        <v>6503</v>
      </c>
    </row>
    <row r="13009" customFormat="false" ht="15.75" hidden="false" customHeight="false" outlineLevel="0" collapsed="false">
      <c r="A13009" s="6" t="n">
        <f aca="false">DATE(2026,8,23)</f>
        <v>46257</v>
      </c>
      <c r="B13009" s="4" t="s">
        <v>334</v>
      </c>
      <c r="C13009" s="4" t="n">
        <v>10</v>
      </c>
      <c r="D13009" s="4" t="n">
        <v>12</v>
      </c>
      <c r="E13009" s="4"/>
      <c r="F13009" s="4" t="n">
        <v>29</v>
      </c>
      <c r="G13009" s="4" t="n">
        <v>3</v>
      </c>
      <c r="H13009" s="4" t="n">
        <v>4</v>
      </c>
      <c r="I13009" s="4" t="str">
        <v>×</v>
      </c>
      <c r="J13009" s="4"/>
      <c r="K13009" s="4"/>
      <c r="L13009" s="4"/>
      <c r="M13009" s="7" t="s">
        <v>6503</v>
      </c>
    </row>
    <row r="13010" customFormat="false" ht="15.75" hidden="false" customHeight="false" outlineLevel="0" collapsed="false">
      <c r="A13010" s="6" t="n">
        <f aca="false">DATE(2026,8,23)</f>
        <v>46257</v>
      </c>
      <c r="B13010" s="4" t="s">
        <v>334</v>
      </c>
      <c r="C13010" s="4" t="n">
        <v>10</v>
      </c>
      <c r="D13010" s="4" t="n">
        <v>13</v>
      </c>
      <c r="E13010" s="4" t="s">
        <v>6554</v>
      </c>
      <c r="F13010" s="4" t="n">
        <v>10</v>
      </c>
      <c r="G13010" s="4" t="n">
        <v>12</v>
      </c>
      <c r="H13010" s="4" t="n">
        <v>1</v>
      </c>
      <c r="I13010" s="4" t="str">
        <v>○</v>
      </c>
      <c r="J13010" s="4" t="n">
        <v>2090</v>
      </c>
      <c r="K13010" s="4"/>
      <c r="L13010" s="4"/>
      <c r="M13010" s="7" t="s">
        <v>6503</v>
      </c>
    </row>
    <row r="13011" customFormat="false" ht="15.75" hidden="false" customHeight="false" outlineLevel="0" collapsed="false">
      <c r="A13011" s="6" t="n">
        <f aca="false">DATE(2026,8,23)</f>
        <v>46257</v>
      </c>
      <c r="B13011" s="4" t="s">
        <v>334</v>
      </c>
      <c r="C13011" s="4" t="n">
        <v>10</v>
      </c>
      <c r="D13011" s="4" t="n">
        <v>14</v>
      </c>
      <c r="E13011" s="4"/>
      <c r="F13011" s="4" t="n">
        <v>15</v>
      </c>
      <c r="G13011" s="4" t="n">
        <v>10</v>
      </c>
      <c r="H13011" s="4" t="n">
        <v>4</v>
      </c>
      <c r="I13011" s="4" t="str">
        <v>×</v>
      </c>
      <c r="J13011" s="4"/>
      <c r="K13011" s="4"/>
      <c r="L13011" s="4"/>
      <c r="M13011" s="7" t="s">
        <v>6503</v>
      </c>
    </row>
    <row r="13012" customFormat="false" ht="15.75" hidden="false" customHeight="false" outlineLevel="0" collapsed="false">
      <c r="A13012" s="6" t="n">
        <f aca="false">DATE(2026,8,23)</f>
        <v>46257</v>
      </c>
      <c r="B13012" s="4" t="s">
        <v>334</v>
      </c>
      <c r="C13012" s="4" t="n">
        <v>11</v>
      </c>
      <c r="D13012" s="4" t="n">
        <v>1</v>
      </c>
      <c r="E13012" s="4"/>
      <c r="F13012" s="4" t="n">
        <v>31</v>
      </c>
      <c r="G13012" s="4" t="n">
        <v>4</v>
      </c>
      <c r="H13012" s="4" t="n">
        <v>4</v>
      </c>
      <c r="I13012" s="4" t="str">
        <v>×</v>
      </c>
      <c r="J13012" s="4"/>
      <c r="K13012" s="4"/>
      <c r="L13012" s="4"/>
      <c r="M13012" s="7" t="s">
        <v>6503</v>
      </c>
    </row>
    <row r="13013" customFormat="false" ht="15.75" hidden="false" customHeight="false" outlineLevel="0" collapsed="false">
      <c r="A13013" s="6" t="n">
        <f aca="false">DATE(2026,8,23)</f>
        <v>46257</v>
      </c>
      <c r="B13013" s="4" t="s">
        <v>334</v>
      </c>
      <c r="C13013" s="4" t="n">
        <v>11</v>
      </c>
      <c r="D13013" s="4" t="n">
        <v>2</v>
      </c>
      <c r="E13013" s="4"/>
      <c r="F13013" s="4" t="n">
        <v>25</v>
      </c>
      <c r="G13013" s="4" t="n">
        <v>6</v>
      </c>
      <c r="H13013" s="4" t="n">
        <v>4</v>
      </c>
      <c r="I13013" s="4" t="str">
        <v>×</v>
      </c>
      <c r="J13013" s="4"/>
      <c r="K13013" s="4"/>
      <c r="L13013" s="4"/>
      <c r="M13013" s="7" t="s">
        <v>6503</v>
      </c>
    </row>
    <row r="13014" customFormat="false" ht="15.75" hidden="false" customHeight="false" outlineLevel="0" collapsed="false">
      <c r="A13014" s="6" t="n">
        <f aca="false">DATE(2026,8,23)</f>
        <v>46257</v>
      </c>
      <c r="B13014" s="4" t="s">
        <v>334</v>
      </c>
      <c r="C13014" s="4" t="n">
        <v>11</v>
      </c>
      <c r="D13014" s="4" t="n">
        <v>3</v>
      </c>
      <c r="E13014" s="4" t="s">
        <v>4770</v>
      </c>
      <c r="F13014" s="4" t="n">
        <v>71</v>
      </c>
      <c r="G13014" s="4" t="n">
        <v>1</v>
      </c>
      <c r="H13014" s="4" t="n">
        <v>2</v>
      </c>
      <c r="I13014" s="4" t="str">
        <v>○</v>
      </c>
      <c r="J13014" s="4" t="n">
        <v>110</v>
      </c>
      <c r="K13014" s="4"/>
      <c r="L13014" s="4"/>
      <c r="M13014" s="7" t="s">
        <v>6503</v>
      </c>
    </row>
    <row r="13015" customFormat="false" ht="15.75" hidden="false" customHeight="false" outlineLevel="0" collapsed="false">
      <c r="A13015" s="6" t="n">
        <f aca="false">DATE(2026,8,23)</f>
        <v>46257</v>
      </c>
      <c r="B13015" s="4" t="s">
        <v>334</v>
      </c>
      <c r="C13015" s="4" t="n">
        <v>11</v>
      </c>
      <c r="D13015" s="4" t="n">
        <v>4</v>
      </c>
      <c r="E13015" s="4"/>
      <c r="F13015" s="4" t="n">
        <v>34</v>
      </c>
      <c r="G13015" s="4" t="n">
        <v>3</v>
      </c>
      <c r="H13015" s="4" t="n">
        <v>4</v>
      </c>
      <c r="I13015" s="4" t="str">
        <v>×</v>
      </c>
      <c r="J13015" s="4"/>
      <c r="K13015" s="4"/>
      <c r="L13015" s="4"/>
      <c r="M13015" s="7" t="s">
        <v>6503</v>
      </c>
    </row>
    <row r="13016" customFormat="false" ht="15.75" hidden="false" customHeight="false" outlineLevel="0" collapsed="false">
      <c r="A13016" s="6" t="n">
        <f aca="false">DATE(2026,8,23)</f>
        <v>46257</v>
      </c>
      <c r="B13016" s="4" t="s">
        <v>334</v>
      </c>
      <c r="C13016" s="4" t="n">
        <v>11</v>
      </c>
      <c r="D13016" s="4" t="n">
        <v>5</v>
      </c>
      <c r="E13016" s="4"/>
      <c r="F13016" s="4" t="n">
        <v>6</v>
      </c>
      <c r="G13016" s="4" t="n">
        <v>12</v>
      </c>
      <c r="H13016" s="4" t="n">
        <v>4</v>
      </c>
      <c r="I13016" s="4" t="str">
        <v>×</v>
      </c>
      <c r="J13016" s="4"/>
      <c r="K13016" s="4"/>
      <c r="L13016" s="4"/>
      <c r="M13016" s="7" t="s">
        <v>6503</v>
      </c>
    </row>
    <row r="13017" customFormat="false" ht="15.75" hidden="false" customHeight="false" outlineLevel="0" collapsed="false">
      <c r="A13017" s="6" t="n">
        <f aca="false">DATE(2026,8,23)</f>
        <v>46257</v>
      </c>
      <c r="B13017" s="4" t="s">
        <v>334</v>
      </c>
      <c r="C13017" s="4" t="n">
        <v>11</v>
      </c>
      <c r="D13017" s="4" t="n">
        <v>6</v>
      </c>
      <c r="E13017" s="4"/>
      <c r="F13017" s="4" t="n">
        <v>4</v>
      </c>
      <c r="G13017" s="4" t="n">
        <v>14</v>
      </c>
      <c r="H13017" s="4" t="n">
        <v>4</v>
      </c>
      <c r="I13017" s="4" t="str">
        <v>×</v>
      </c>
      <c r="J13017" s="4"/>
      <c r="K13017" s="4"/>
      <c r="L13017" s="4"/>
      <c r="M13017" s="7" t="s">
        <v>6503</v>
      </c>
    </row>
    <row r="13018" customFormat="false" ht="15.75" hidden="false" customHeight="false" outlineLevel="0" collapsed="false">
      <c r="A13018" s="6" t="n">
        <f aca="false">DATE(2026,8,23)</f>
        <v>46257</v>
      </c>
      <c r="B13018" s="4" t="s">
        <v>334</v>
      </c>
      <c r="C13018" s="4" t="n">
        <v>11</v>
      </c>
      <c r="D13018" s="4" t="n">
        <v>7</v>
      </c>
      <c r="E13018" s="4"/>
      <c r="F13018" s="4" t="n">
        <v>1</v>
      </c>
      <c r="G13018" s="4" t="n">
        <v>16</v>
      </c>
      <c r="H13018" s="4" t="n">
        <v>4</v>
      </c>
      <c r="I13018" s="4" t="str">
        <v>×</v>
      </c>
      <c r="J13018" s="4"/>
      <c r="K13018" s="4"/>
      <c r="L13018" s="4"/>
      <c r="M13018" s="7" t="s">
        <v>6503</v>
      </c>
    </row>
    <row r="13019" customFormat="false" ht="15.75" hidden="false" customHeight="false" outlineLevel="0" collapsed="false">
      <c r="A13019" s="6" t="n">
        <f aca="false">DATE(2026,8,23)</f>
        <v>46257</v>
      </c>
      <c r="B13019" s="4" t="s">
        <v>334</v>
      </c>
      <c r="C13019" s="4" t="n">
        <v>11</v>
      </c>
      <c r="D13019" s="4" t="n">
        <v>8</v>
      </c>
      <c r="E13019" s="4" t="s">
        <v>6555</v>
      </c>
      <c r="F13019" s="4" t="n">
        <v>37</v>
      </c>
      <c r="G13019" s="4" t="n">
        <v>2</v>
      </c>
      <c r="H13019" s="4" t="n">
        <v>3</v>
      </c>
      <c r="I13019" s="4" t="str">
        <v>○</v>
      </c>
      <c r="J13019" s="4" t="n">
        <v>270</v>
      </c>
      <c r="K13019" s="4"/>
      <c r="L13019" s="4"/>
      <c r="M13019" s="7" t="s">
        <v>6503</v>
      </c>
    </row>
    <row r="13020" customFormat="false" ht="15.75" hidden="false" customHeight="false" outlineLevel="0" collapsed="false">
      <c r="A13020" s="6" t="n">
        <f aca="false">DATE(2026,8,23)</f>
        <v>46257</v>
      </c>
      <c r="B13020" s="4" t="s">
        <v>334</v>
      </c>
      <c r="C13020" s="4" t="n">
        <v>11</v>
      </c>
      <c r="D13020" s="4" t="n">
        <v>9</v>
      </c>
      <c r="E13020" s="4"/>
      <c r="F13020" s="4" t="n">
        <v>4</v>
      </c>
      <c r="G13020" s="4" t="n">
        <v>14</v>
      </c>
      <c r="H13020" s="4" t="n">
        <v>4</v>
      </c>
      <c r="I13020" s="4" t="str">
        <v>×</v>
      </c>
      <c r="J13020" s="4"/>
      <c r="K13020" s="4"/>
      <c r="L13020" s="4"/>
      <c r="M13020" s="7" t="s">
        <v>6503</v>
      </c>
    </row>
    <row r="13021" customFormat="false" ht="15.75" hidden="false" customHeight="false" outlineLevel="0" collapsed="false">
      <c r="A13021" s="6" t="n">
        <f aca="false">DATE(2026,8,23)</f>
        <v>46257</v>
      </c>
      <c r="B13021" s="4" t="s">
        <v>334</v>
      </c>
      <c r="C13021" s="4" t="n">
        <v>11</v>
      </c>
      <c r="D13021" s="4" t="n">
        <v>10</v>
      </c>
      <c r="E13021" s="4"/>
      <c r="F13021" s="4" t="n">
        <v>20</v>
      </c>
      <c r="G13021" s="4" t="n">
        <v>8</v>
      </c>
      <c r="H13021" s="4" t="n">
        <v>4</v>
      </c>
      <c r="I13021" s="4" t="str">
        <v>×</v>
      </c>
      <c r="J13021" s="4"/>
      <c r="K13021" s="4"/>
      <c r="L13021" s="4"/>
      <c r="M13021" s="7" t="s">
        <v>6503</v>
      </c>
    </row>
    <row r="13022" customFormat="false" ht="15.75" hidden="false" customHeight="false" outlineLevel="0" collapsed="false">
      <c r="A13022" s="6" t="n">
        <f aca="false">DATE(2026,8,23)</f>
        <v>46257</v>
      </c>
      <c r="B13022" s="4" t="s">
        <v>334</v>
      </c>
      <c r="C13022" s="4" t="n">
        <v>11</v>
      </c>
      <c r="D13022" s="4" t="n">
        <v>11</v>
      </c>
      <c r="E13022" s="4"/>
      <c r="F13022" s="4" t="n">
        <v>25</v>
      </c>
      <c r="G13022" s="4" t="n">
        <v>6</v>
      </c>
      <c r="H13022" s="4" t="n">
        <v>4</v>
      </c>
      <c r="I13022" s="4" t="str">
        <v>×</v>
      </c>
      <c r="J13022" s="4"/>
      <c r="K13022" s="4"/>
      <c r="L13022" s="4"/>
      <c r="M13022" s="7" t="s">
        <v>6503</v>
      </c>
    </row>
    <row r="13023" customFormat="false" ht="15.75" hidden="false" customHeight="false" outlineLevel="0" collapsed="false">
      <c r="A13023" s="6" t="n">
        <f aca="false">DATE(2026,8,23)</f>
        <v>46257</v>
      </c>
      <c r="B13023" s="4" t="s">
        <v>334</v>
      </c>
      <c r="C13023" s="4" t="n">
        <v>11</v>
      </c>
      <c r="D13023" s="4" t="n">
        <v>12</v>
      </c>
      <c r="E13023" s="4"/>
      <c r="F13023" s="4" t="n">
        <v>6</v>
      </c>
      <c r="G13023" s="4" t="n">
        <v>12</v>
      </c>
      <c r="H13023" s="4" t="n">
        <v>4</v>
      </c>
      <c r="I13023" s="4" t="str">
        <v>×</v>
      </c>
      <c r="J13023" s="4"/>
      <c r="K13023" s="4"/>
      <c r="L13023" s="4"/>
      <c r="M13023" s="7" t="s">
        <v>6503</v>
      </c>
    </row>
    <row r="13024" customFormat="false" ht="15.75" hidden="false" customHeight="false" outlineLevel="0" collapsed="false">
      <c r="A13024" s="6" t="n">
        <f aca="false">DATE(2026,8,23)</f>
        <v>46257</v>
      </c>
      <c r="B13024" s="4" t="s">
        <v>334</v>
      </c>
      <c r="C13024" s="4" t="n">
        <v>11</v>
      </c>
      <c r="D13024" s="4" t="n">
        <v>13</v>
      </c>
      <c r="E13024" s="4"/>
      <c r="F13024" s="4" t="n">
        <v>29</v>
      </c>
      <c r="G13024" s="4" t="n">
        <v>5</v>
      </c>
      <c r="H13024" s="4" t="n">
        <v>4</v>
      </c>
      <c r="I13024" s="4" t="str">
        <v>×</v>
      </c>
      <c r="J13024" s="4"/>
      <c r="K13024" s="4"/>
      <c r="L13024" s="4"/>
      <c r="M13024" s="7" t="s">
        <v>6503</v>
      </c>
    </row>
    <row r="13025" customFormat="false" ht="15.75" hidden="false" customHeight="false" outlineLevel="0" collapsed="false">
      <c r="A13025" s="6" t="n">
        <f aca="false">DATE(2026,8,23)</f>
        <v>46257</v>
      </c>
      <c r="B13025" s="4" t="s">
        <v>334</v>
      </c>
      <c r="C13025" s="4" t="n">
        <v>11</v>
      </c>
      <c r="D13025" s="4" t="n">
        <v>14</v>
      </c>
      <c r="E13025" s="4" t="s">
        <v>3226</v>
      </c>
      <c r="F13025" s="4" t="n">
        <v>17</v>
      </c>
      <c r="G13025" s="4" t="n">
        <v>10</v>
      </c>
      <c r="H13025" s="4" t="n">
        <v>1</v>
      </c>
      <c r="I13025" s="4" t="str">
        <v>○</v>
      </c>
      <c r="J13025" s="4" t="n">
        <v>300</v>
      </c>
      <c r="K13025" s="4"/>
      <c r="L13025" s="4"/>
      <c r="M13025" s="7" t="s">
        <v>6503</v>
      </c>
    </row>
    <row r="13026" customFormat="false" ht="15.75" hidden="false" customHeight="false" outlineLevel="0" collapsed="false">
      <c r="A13026" s="6" t="n">
        <f aca="false">DATE(2026,8,23)</f>
        <v>46257</v>
      </c>
      <c r="B13026" s="4" t="s">
        <v>334</v>
      </c>
      <c r="C13026" s="4" t="n">
        <v>11</v>
      </c>
      <c r="D13026" s="4" t="n">
        <v>15</v>
      </c>
      <c r="E13026" s="4"/>
      <c r="F13026" s="4" t="n">
        <v>13</v>
      </c>
      <c r="G13026" s="4" t="n">
        <v>11</v>
      </c>
      <c r="H13026" s="4" t="n">
        <v>4</v>
      </c>
      <c r="I13026" s="4" t="str">
        <v>×</v>
      </c>
      <c r="J13026" s="4"/>
      <c r="K13026" s="4"/>
      <c r="L13026" s="4"/>
      <c r="M13026" s="7" t="s">
        <v>6503</v>
      </c>
    </row>
    <row r="13027" customFormat="false" ht="15.75" hidden="false" customHeight="false" outlineLevel="0" collapsed="false">
      <c r="A13027" s="6" t="n">
        <f aca="false">DATE(2026,8,23)</f>
        <v>46257</v>
      </c>
      <c r="B13027" s="4" t="s">
        <v>334</v>
      </c>
      <c r="C13027" s="4" t="n">
        <v>11</v>
      </c>
      <c r="D13027" s="4" t="n">
        <v>16</v>
      </c>
      <c r="E13027" s="4"/>
      <c r="F13027" s="4" t="n">
        <v>20</v>
      </c>
      <c r="G13027" s="4" t="n">
        <v>8</v>
      </c>
      <c r="H13027" s="4" t="n">
        <v>4</v>
      </c>
      <c r="I13027" s="4" t="str">
        <v>×</v>
      </c>
      <c r="J13027" s="4"/>
      <c r="K13027" s="4"/>
      <c r="L13027" s="4"/>
      <c r="M13027" s="7" t="s">
        <v>6503</v>
      </c>
    </row>
    <row r="13028" customFormat="false" ht="15.75" hidden="false" customHeight="false" outlineLevel="0" collapsed="false">
      <c r="A13028" s="6" t="n">
        <f aca="false">DATE(2026,8,23)</f>
        <v>46257</v>
      </c>
      <c r="B13028" s="4" t="s">
        <v>334</v>
      </c>
      <c r="C13028" s="4" t="n">
        <v>12</v>
      </c>
      <c r="D13028" s="4" t="n">
        <v>1</v>
      </c>
      <c r="E13028" s="4"/>
      <c r="F13028" s="4" t="n">
        <v>25</v>
      </c>
      <c r="G13028" s="4" t="n">
        <v>4</v>
      </c>
      <c r="H13028" s="4" t="n">
        <v>4</v>
      </c>
      <c r="I13028" s="4" t="str">
        <v>×</v>
      </c>
      <c r="J13028" s="4"/>
      <c r="K13028" s="4"/>
      <c r="L13028" s="4"/>
      <c r="M13028" s="7" t="s">
        <v>6503</v>
      </c>
    </row>
    <row r="13029" customFormat="false" ht="15.75" hidden="false" customHeight="false" outlineLevel="0" collapsed="false">
      <c r="A13029" s="6" t="n">
        <f aca="false">DATE(2026,8,23)</f>
        <v>46257</v>
      </c>
      <c r="B13029" s="4" t="s">
        <v>334</v>
      </c>
      <c r="C13029" s="4" t="n">
        <v>12</v>
      </c>
      <c r="D13029" s="4" t="n">
        <v>2</v>
      </c>
      <c r="E13029" s="4" t="s">
        <v>3094</v>
      </c>
      <c r="F13029" s="4" t="n">
        <v>4</v>
      </c>
      <c r="G13029" s="4" t="n">
        <v>13</v>
      </c>
      <c r="H13029" s="4" t="n">
        <v>2</v>
      </c>
      <c r="I13029" s="4" t="str">
        <v>○</v>
      </c>
      <c r="J13029" s="4" t="n">
        <v>940</v>
      </c>
      <c r="K13029" s="4"/>
      <c r="L13029" s="4"/>
      <c r="M13029" s="7" t="s">
        <v>6503</v>
      </c>
    </row>
    <row r="13030" customFormat="false" ht="15.75" hidden="false" customHeight="false" outlineLevel="0" collapsed="false">
      <c r="A13030" s="6" t="n">
        <f aca="false">DATE(2026,8,23)</f>
        <v>46257</v>
      </c>
      <c r="B13030" s="4" t="s">
        <v>334</v>
      </c>
      <c r="C13030" s="4" t="n">
        <v>12</v>
      </c>
      <c r="D13030" s="4" t="n">
        <v>3</v>
      </c>
      <c r="E13030" s="4"/>
      <c r="F13030" s="4" t="n">
        <v>13</v>
      </c>
      <c r="G13030" s="4" t="n">
        <v>7</v>
      </c>
      <c r="H13030" s="4" t="n">
        <v>4</v>
      </c>
      <c r="I13030" s="4" t="str">
        <v>×</v>
      </c>
      <c r="J13030" s="4"/>
      <c r="K13030" s="4"/>
      <c r="L13030" s="4"/>
      <c r="M13030" s="7" t="s">
        <v>6503</v>
      </c>
    </row>
    <row r="13031" customFormat="false" ht="15.75" hidden="false" customHeight="false" outlineLevel="0" collapsed="false">
      <c r="A13031" s="6" t="n">
        <f aca="false">DATE(2026,8,23)</f>
        <v>46257</v>
      </c>
      <c r="B13031" s="4" t="s">
        <v>334</v>
      </c>
      <c r="C13031" s="4" t="n">
        <v>12</v>
      </c>
      <c r="D13031" s="4" t="n">
        <v>4</v>
      </c>
      <c r="E13031" s="4"/>
      <c r="F13031" s="4" t="n">
        <v>10</v>
      </c>
      <c r="G13031" s="4" t="n">
        <v>9</v>
      </c>
      <c r="H13031" s="4" t="n">
        <v>4</v>
      </c>
      <c r="I13031" s="4" t="str">
        <v>×</v>
      </c>
      <c r="J13031" s="4"/>
      <c r="K13031" s="4"/>
      <c r="L13031" s="4"/>
      <c r="M13031" s="7" t="s">
        <v>6503</v>
      </c>
    </row>
    <row r="13032" customFormat="false" ht="15.75" hidden="false" customHeight="false" outlineLevel="0" collapsed="false">
      <c r="A13032" s="6" t="n">
        <f aca="false">DATE(2026,8,23)</f>
        <v>46257</v>
      </c>
      <c r="B13032" s="4" t="s">
        <v>334</v>
      </c>
      <c r="C13032" s="4" t="n">
        <v>12</v>
      </c>
      <c r="D13032" s="4" t="n">
        <v>5</v>
      </c>
      <c r="E13032" s="4"/>
      <c r="F13032" s="4" t="n">
        <v>10</v>
      </c>
      <c r="G13032" s="4" t="n">
        <v>9</v>
      </c>
      <c r="H13032" s="4" t="n">
        <v>4</v>
      </c>
      <c r="I13032" s="4" t="str">
        <v>×</v>
      </c>
      <c r="J13032" s="4"/>
      <c r="K13032" s="4"/>
      <c r="L13032" s="4"/>
      <c r="M13032" s="7" t="s">
        <v>6503</v>
      </c>
    </row>
    <row r="13033" customFormat="false" ht="15.75" hidden="false" customHeight="false" outlineLevel="0" collapsed="false">
      <c r="A13033" s="6" t="n">
        <f aca="false">DATE(2026,8,23)</f>
        <v>46257</v>
      </c>
      <c r="B13033" s="4" t="s">
        <v>334</v>
      </c>
      <c r="C13033" s="4" t="n">
        <v>12</v>
      </c>
      <c r="D13033" s="4" t="n">
        <v>6</v>
      </c>
      <c r="E13033" s="4"/>
      <c r="F13033" s="4" t="n">
        <v>10</v>
      </c>
      <c r="G13033" s="4" t="n">
        <v>9</v>
      </c>
      <c r="H13033" s="4" t="n">
        <v>4</v>
      </c>
      <c r="I13033" s="4" t="str">
        <v>×</v>
      </c>
      <c r="J13033" s="4"/>
      <c r="K13033" s="4"/>
      <c r="L13033" s="4"/>
      <c r="M13033" s="7" t="s">
        <v>6503</v>
      </c>
    </row>
    <row r="13034" customFormat="false" ht="15.75" hidden="false" customHeight="false" outlineLevel="0" collapsed="false">
      <c r="A13034" s="6" t="n">
        <f aca="false">DATE(2026,8,23)</f>
        <v>46257</v>
      </c>
      <c r="B13034" s="4" t="s">
        <v>334</v>
      </c>
      <c r="C13034" s="4" t="n">
        <v>12</v>
      </c>
      <c r="D13034" s="4" t="n">
        <v>7</v>
      </c>
      <c r="E13034" s="4"/>
      <c r="F13034" s="4" t="n">
        <v>13</v>
      </c>
      <c r="G13034" s="4" t="n">
        <v>7</v>
      </c>
      <c r="H13034" s="4" t="n">
        <v>4</v>
      </c>
      <c r="I13034" s="4" t="str">
        <v>×</v>
      </c>
      <c r="J13034" s="4"/>
      <c r="K13034" s="4"/>
      <c r="L13034" s="4"/>
      <c r="M13034" s="7" t="s">
        <v>6503</v>
      </c>
    </row>
    <row r="13035" customFormat="false" ht="15.75" hidden="false" customHeight="false" outlineLevel="0" collapsed="false">
      <c r="A13035" s="6" t="n">
        <f aca="false">DATE(2026,8,23)</f>
        <v>46257</v>
      </c>
      <c r="B13035" s="4" t="s">
        <v>334</v>
      </c>
      <c r="C13035" s="4" t="n">
        <v>12</v>
      </c>
      <c r="D13035" s="4" t="n">
        <v>8</v>
      </c>
      <c r="E13035" s="4"/>
      <c r="F13035" s="4" t="n">
        <v>15</v>
      </c>
      <c r="G13035" s="4" t="n">
        <v>6</v>
      </c>
      <c r="H13035" s="4" t="n">
        <v>4</v>
      </c>
      <c r="I13035" s="4" t="str">
        <v>×</v>
      </c>
      <c r="J13035" s="4"/>
      <c r="K13035" s="4"/>
      <c r="L13035" s="4"/>
      <c r="M13035" s="7" t="s">
        <v>6503</v>
      </c>
    </row>
    <row r="13036" customFormat="false" ht="15.75" hidden="false" customHeight="false" outlineLevel="0" collapsed="false">
      <c r="A13036" s="6" t="n">
        <f aca="false">DATE(2026,8,23)</f>
        <v>46257</v>
      </c>
      <c r="B13036" s="4" t="s">
        <v>334</v>
      </c>
      <c r="C13036" s="4" t="n">
        <v>12</v>
      </c>
      <c r="D13036" s="4" t="n">
        <v>9</v>
      </c>
      <c r="E13036" s="4"/>
      <c r="F13036" s="4" t="n">
        <v>34</v>
      </c>
      <c r="G13036" s="4" t="n">
        <v>3</v>
      </c>
      <c r="H13036" s="4" t="n">
        <v>4</v>
      </c>
      <c r="I13036" s="4" t="str">
        <v>×</v>
      </c>
      <c r="J13036" s="4"/>
      <c r="K13036" s="4"/>
      <c r="L13036" s="4"/>
      <c r="M13036" s="7" t="s">
        <v>6503</v>
      </c>
    </row>
    <row r="13037" customFormat="false" ht="15.75" hidden="false" customHeight="false" outlineLevel="0" collapsed="false">
      <c r="A13037" s="6" t="n">
        <f aca="false">DATE(2026,8,23)</f>
        <v>46257</v>
      </c>
      <c r="B13037" s="4" t="s">
        <v>334</v>
      </c>
      <c r="C13037" s="4" t="n">
        <v>12</v>
      </c>
      <c r="D13037" s="4" t="n">
        <v>10</v>
      </c>
      <c r="E13037" s="4"/>
      <c r="F13037" s="4" t="n">
        <v>25</v>
      </c>
      <c r="G13037" s="4" t="n">
        <v>4</v>
      </c>
      <c r="H13037" s="4" t="n">
        <v>4</v>
      </c>
      <c r="I13037" s="4" t="str">
        <v>×</v>
      </c>
      <c r="J13037" s="4"/>
      <c r="K13037" s="4"/>
      <c r="L13037" s="4"/>
      <c r="M13037" s="7" t="s">
        <v>6503</v>
      </c>
    </row>
    <row r="13038" customFormat="false" ht="15.75" hidden="false" customHeight="false" outlineLevel="0" collapsed="false">
      <c r="A13038" s="6" t="n">
        <f aca="false">DATE(2026,8,23)</f>
        <v>46257</v>
      </c>
      <c r="B13038" s="4" t="s">
        <v>334</v>
      </c>
      <c r="C13038" s="4" t="n">
        <v>12</v>
      </c>
      <c r="D13038" s="4" t="n">
        <v>11</v>
      </c>
      <c r="E13038" s="4"/>
      <c r="F13038" s="4" t="n">
        <v>8</v>
      </c>
      <c r="G13038" s="4" t="n">
        <v>12</v>
      </c>
      <c r="H13038" s="4" t="n">
        <v>4</v>
      </c>
      <c r="I13038" s="4" t="str">
        <v>×</v>
      </c>
      <c r="J13038" s="4"/>
      <c r="K13038" s="4"/>
      <c r="L13038" s="4"/>
      <c r="M13038" s="7" t="s">
        <v>6503</v>
      </c>
    </row>
    <row r="13039" customFormat="false" ht="15.75" hidden="false" customHeight="false" outlineLevel="0" collapsed="false">
      <c r="A13039" s="6" t="n">
        <f aca="false">DATE(2026,8,23)</f>
        <v>46257</v>
      </c>
      <c r="B13039" s="4" t="s">
        <v>334</v>
      </c>
      <c r="C13039" s="4" t="n">
        <v>12</v>
      </c>
      <c r="D13039" s="4" t="n">
        <v>12</v>
      </c>
      <c r="E13039" s="4" t="s">
        <v>3827</v>
      </c>
      <c r="F13039" s="4" t="n">
        <v>37</v>
      </c>
      <c r="G13039" s="4" t="n">
        <v>2</v>
      </c>
      <c r="H13039" s="4" t="n">
        <v>1</v>
      </c>
      <c r="I13039" s="4" t="str">
        <v>○</v>
      </c>
      <c r="J13039" s="4" t="n">
        <v>250</v>
      </c>
      <c r="K13039" s="4"/>
      <c r="L13039" s="4"/>
      <c r="M13039" s="7" t="s">
        <v>6503</v>
      </c>
    </row>
    <row r="13040" customFormat="false" ht="15.75" hidden="false" customHeight="false" outlineLevel="0" collapsed="false">
      <c r="A13040" s="6" t="n">
        <f aca="false">DATE(2026,8,23)</f>
        <v>46257</v>
      </c>
      <c r="B13040" s="4" t="s">
        <v>334</v>
      </c>
      <c r="C13040" s="4" t="n">
        <v>12</v>
      </c>
      <c r="D13040" s="4" t="n">
        <v>13</v>
      </c>
      <c r="E13040" s="4"/>
      <c r="F13040" s="4" t="n">
        <v>1</v>
      </c>
      <c r="G13040" s="4" t="n">
        <v>14</v>
      </c>
      <c r="H13040" s="4" t="n">
        <v>4</v>
      </c>
      <c r="I13040" s="4" t="str">
        <v>×</v>
      </c>
      <c r="J13040" s="4"/>
      <c r="K13040" s="4"/>
      <c r="L13040" s="4"/>
      <c r="M13040" s="7" t="s">
        <v>6503</v>
      </c>
    </row>
    <row r="13041" customFormat="false" ht="15.75" hidden="false" customHeight="false" outlineLevel="0" collapsed="false">
      <c r="A13041" s="6" t="n">
        <f aca="false">DATE(2026,8,23)</f>
        <v>46257</v>
      </c>
      <c r="B13041" s="4" t="s">
        <v>334</v>
      </c>
      <c r="C13041" s="4" t="n">
        <v>12</v>
      </c>
      <c r="D13041" s="4" t="n">
        <v>14</v>
      </c>
      <c r="E13041" s="4" t="s">
        <v>3093</v>
      </c>
      <c r="F13041" s="4" t="n">
        <v>47</v>
      </c>
      <c r="G13041" s="4" t="n">
        <v>1</v>
      </c>
      <c r="H13041" s="4" t="n">
        <v>3</v>
      </c>
      <c r="I13041" s="4" t="str">
        <v>○</v>
      </c>
      <c r="J13041" s="4" t="n">
        <v>260</v>
      </c>
      <c r="K13041" s="4"/>
      <c r="L13041" s="4"/>
      <c r="M13041" s="7" t="s">
        <v>6503</v>
      </c>
    </row>
    <row r="13042" customFormat="false" ht="15.75" hidden="false" customHeight="false" outlineLevel="0" collapsed="false">
      <c r="A13042" s="6" t="n">
        <f aca="false">DATE(2026,8,15)</f>
        <v>46249</v>
      </c>
      <c r="B13042" s="4" t="s">
        <v>179</v>
      </c>
      <c r="C13042" s="4" t="n">
        <v>1</v>
      </c>
      <c r="D13042" s="4" t="n">
        <v>1</v>
      </c>
      <c r="E13042" s="4" t="s">
        <v>5029</v>
      </c>
      <c r="F13042" s="4" t="n">
        <v>81</v>
      </c>
      <c r="G13042" s="4" t="n">
        <v>1</v>
      </c>
      <c r="H13042" s="4" t="n">
        <v>4</v>
      </c>
      <c r="I13042" s="4" t="str">
        <v>×</v>
      </c>
      <c r="J13042" s="4"/>
      <c r="K13042" s="4"/>
      <c r="L13042" s="4"/>
      <c r="M13042" s="7" t="s">
        <v>6556</v>
      </c>
    </row>
    <row r="13043" customFormat="false" ht="15.75" hidden="false" customHeight="false" outlineLevel="0" collapsed="false">
      <c r="A13043" s="6" t="n">
        <f aca="false">DATE(2026,8,15)</f>
        <v>46249</v>
      </c>
      <c r="B13043" s="4" t="s">
        <v>179</v>
      </c>
      <c r="C13043" s="4" t="n">
        <v>1</v>
      </c>
      <c r="D13043" s="4" t="n">
        <v>2</v>
      </c>
      <c r="E13043" s="4" t="s">
        <v>3167</v>
      </c>
      <c r="F13043" s="4" t="n">
        <v>10</v>
      </c>
      <c r="G13043" s="4" t="n">
        <v>5</v>
      </c>
      <c r="H13043" s="4" t="n">
        <v>4</v>
      </c>
      <c r="I13043" s="4" t="str">
        <v>×</v>
      </c>
      <c r="J13043" s="4"/>
      <c r="K13043" s="4"/>
      <c r="L13043" s="4"/>
      <c r="M13043" s="7" t="s">
        <v>6556</v>
      </c>
    </row>
    <row r="13044" customFormat="false" ht="15.75" hidden="false" customHeight="false" outlineLevel="0" collapsed="false">
      <c r="A13044" s="6" t="n">
        <f aca="false">DATE(2026,8,15)</f>
        <v>46249</v>
      </c>
      <c r="B13044" s="4" t="s">
        <v>179</v>
      </c>
      <c r="C13044" s="4" t="n">
        <v>1</v>
      </c>
      <c r="D13044" s="4" t="n">
        <v>3</v>
      </c>
      <c r="E13044" s="4" t="s">
        <v>1142</v>
      </c>
      <c r="F13044" s="4" t="n">
        <v>2</v>
      </c>
      <c r="G13044" s="4" t="n">
        <v>15</v>
      </c>
      <c r="H13044" s="4" t="n">
        <v>4</v>
      </c>
      <c r="I13044" s="4" t="str">
        <v>×</v>
      </c>
      <c r="J13044" s="4"/>
      <c r="K13044" s="4"/>
      <c r="L13044" s="4"/>
      <c r="M13044" s="7" t="s">
        <v>6556</v>
      </c>
    </row>
    <row r="13045" customFormat="false" ht="15.75" hidden="false" customHeight="false" outlineLevel="0" collapsed="false">
      <c r="A13045" s="6" t="n">
        <f aca="false">DATE(2026,8,15)</f>
        <v>46249</v>
      </c>
      <c r="B13045" s="4" t="s">
        <v>179</v>
      </c>
      <c r="C13045" s="4" t="n">
        <v>1</v>
      </c>
      <c r="D13045" s="4" t="n">
        <v>4</v>
      </c>
      <c r="E13045" s="4" t="s">
        <v>6557</v>
      </c>
      <c r="F13045" s="4" t="n">
        <v>10</v>
      </c>
      <c r="G13045" s="4" t="n">
        <v>6</v>
      </c>
      <c r="H13045" s="4" t="n">
        <v>4</v>
      </c>
      <c r="I13045" s="4" t="str">
        <v>×</v>
      </c>
      <c r="J13045" s="4"/>
      <c r="K13045" s="4"/>
      <c r="L13045" s="4"/>
      <c r="M13045" s="7" t="s">
        <v>6556</v>
      </c>
    </row>
    <row r="13046" customFormat="false" ht="15.75" hidden="false" customHeight="false" outlineLevel="0" collapsed="false">
      <c r="A13046" s="6" t="n">
        <f aca="false">DATE(2026,8,15)</f>
        <v>46249</v>
      </c>
      <c r="B13046" s="4" t="s">
        <v>179</v>
      </c>
      <c r="C13046" s="4" t="n">
        <v>1</v>
      </c>
      <c r="D13046" s="4" t="n">
        <v>5</v>
      </c>
      <c r="E13046" s="4" t="s">
        <v>5024</v>
      </c>
      <c r="F13046" s="4" t="n">
        <v>6</v>
      </c>
      <c r="G13046" s="4" t="n">
        <v>9</v>
      </c>
      <c r="H13046" s="4" t="n">
        <v>4</v>
      </c>
      <c r="I13046" s="4" t="str">
        <v>×</v>
      </c>
      <c r="J13046" s="4"/>
      <c r="K13046" s="4"/>
      <c r="L13046" s="4"/>
      <c r="M13046" s="7" t="s">
        <v>6556</v>
      </c>
    </row>
    <row r="13047" customFormat="false" ht="15.75" hidden="false" customHeight="false" outlineLevel="0" collapsed="false">
      <c r="A13047" s="6" t="n">
        <f aca="false">DATE(2026,8,15)</f>
        <v>46249</v>
      </c>
      <c r="B13047" s="4" t="s">
        <v>179</v>
      </c>
      <c r="C13047" s="4" t="n">
        <v>1</v>
      </c>
      <c r="D13047" s="4" t="n">
        <v>6</v>
      </c>
      <c r="E13047" s="4" t="s">
        <v>2024</v>
      </c>
      <c r="F13047" s="4" t="n">
        <v>8</v>
      </c>
      <c r="G13047" s="4" t="n">
        <v>8</v>
      </c>
      <c r="H13047" s="4" t="n">
        <v>2</v>
      </c>
      <c r="I13047" s="4" t="str">
        <v>○</v>
      </c>
      <c r="J13047" s="4" t="n">
        <v>3250</v>
      </c>
      <c r="K13047" s="4"/>
      <c r="L13047" s="4"/>
      <c r="M13047" s="7" t="s">
        <v>6556</v>
      </c>
    </row>
    <row r="13048" customFormat="false" ht="15.75" hidden="false" customHeight="false" outlineLevel="0" collapsed="false">
      <c r="A13048" s="6" t="n">
        <f aca="false">DATE(2026,8,15)</f>
        <v>46249</v>
      </c>
      <c r="B13048" s="4" t="s">
        <v>179</v>
      </c>
      <c r="C13048" s="4" t="n">
        <v>1</v>
      </c>
      <c r="D13048" s="4" t="n">
        <v>7</v>
      </c>
      <c r="E13048" s="4" t="s">
        <v>638</v>
      </c>
      <c r="F13048" s="4" t="n">
        <v>41</v>
      </c>
      <c r="G13048" s="4" t="n">
        <v>3</v>
      </c>
      <c r="H13048" s="4" t="n">
        <v>4</v>
      </c>
      <c r="I13048" s="4" t="str">
        <v>×</v>
      </c>
      <c r="J13048" s="4"/>
      <c r="K13048" s="4"/>
      <c r="L13048" s="4"/>
      <c r="M13048" s="7" t="s">
        <v>6556</v>
      </c>
    </row>
    <row r="13049" customFormat="false" ht="15.75" hidden="false" customHeight="false" outlineLevel="0" collapsed="false">
      <c r="A13049" s="6" t="n">
        <f aca="false">DATE(2026,8,15)</f>
        <v>46249</v>
      </c>
      <c r="B13049" s="4" t="s">
        <v>179</v>
      </c>
      <c r="C13049" s="4" t="n">
        <v>1</v>
      </c>
      <c r="D13049" s="4" t="n">
        <v>8</v>
      </c>
      <c r="E13049" s="4" t="s">
        <v>196</v>
      </c>
      <c r="F13049" s="4" t="n">
        <v>6</v>
      </c>
      <c r="G13049" s="4" t="n">
        <v>10</v>
      </c>
      <c r="H13049" s="4" t="n">
        <v>4</v>
      </c>
      <c r="I13049" s="4" t="str">
        <v>×</v>
      </c>
      <c r="J13049" s="4"/>
      <c r="K13049" s="4"/>
      <c r="L13049" s="4"/>
      <c r="M13049" s="7" t="s">
        <v>6556</v>
      </c>
    </row>
    <row r="13050" customFormat="false" ht="15.75" hidden="false" customHeight="false" outlineLevel="0" collapsed="false">
      <c r="A13050" s="6" t="n">
        <f aca="false">DATE(2026,8,15)</f>
        <v>46249</v>
      </c>
      <c r="B13050" s="4" t="s">
        <v>179</v>
      </c>
      <c r="C13050" s="4" t="n">
        <v>1</v>
      </c>
      <c r="D13050" s="4" t="n">
        <v>9</v>
      </c>
      <c r="E13050" s="4" t="s">
        <v>2925</v>
      </c>
      <c r="F13050" s="4" t="n">
        <v>1</v>
      </c>
      <c r="G13050" s="4" t="n">
        <v>16</v>
      </c>
      <c r="H13050" s="4" t="n">
        <v>4</v>
      </c>
      <c r="I13050" s="4" t="str">
        <v>×</v>
      </c>
      <c r="J13050" s="4"/>
      <c r="K13050" s="4"/>
      <c r="L13050" s="4"/>
      <c r="M13050" s="7" t="s">
        <v>6556</v>
      </c>
    </row>
    <row r="13051" customFormat="false" ht="15.75" hidden="false" customHeight="false" outlineLevel="0" collapsed="false">
      <c r="A13051" s="6" t="n">
        <f aca="false">DATE(2026,8,15)</f>
        <v>46249</v>
      </c>
      <c r="B13051" s="4" t="s">
        <v>179</v>
      </c>
      <c r="C13051" s="4" t="n">
        <v>1</v>
      </c>
      <c r="D13051" s="4" t="n">
        <v>10</v>
      </c>
      <c r="E13051" s="4" t="s">
        <v>183</v>
      </c>
      <c r="F13051" s="4" t="n">
        <v>6</v>
      </c>
      <c r="G13051" s="4" t="n">
        <v>11</v>
      </c>
      <c r="H13051" s="4" t="n">
        <v>4</v>
      </c>
      <c r="I13051" s="4" t="str">
        <v>×</v>
      </c>
      <c r="J13051" s="4"/>
      <c r="K13051" s="4"/>
      <c r="L13051" s="4"/>
      <c r="M13051" s="7" t="s">
        <v>6556</v>
      </c>
    </row>
    <row r="13052" customFormat="false" ht="15.75" hidden="false" customHeight="false" outlineLevel="0" collapsed="false">
      <c r="A13052" s="6" t="n">
        <f aca="false">DATE(2026,8,15)</f>
        <v>46249</v>
      </c>
      <c r="B13052" s="4" t="s">
        <v>179</v>
      </c>
      <c r="C13052" s="4" t="n">
        <v>1</v>
      </c>
      <c r="D13052" s="4" t="n">
        <v>11</v>
      </c>
      <c r="E13052" s="4" t="s">
        <v>2020</v>
      </c>
      <c r="F13052" s="4" t="n">
        <v>6</v>
      </c>
      <c r="G13052" s="4" t="n">
        <v>12</v>
      </c>
      <c r="H13052" s="4" t="n">
        <v>3</v>
      </c>
      <c r="I13052" s="4" t="str">
        <v>○</v>
      </c>
      <c r="J13052" s="4" t="n">
        <v>2210</v>
      </c>
      <c r="K13052" s="4"/>
      <c r="L13052" s="4"/>
      <c r="M13052" s="7" t="s">
        <v>6556</v>
      </c>
    </row>
    <row r="13053" customFormat="false" ht="15.75" hidden="false" customHeight="false" outlineLevel="0" collapsed="false">
      <c r="A13053" s="6" t="n">
        <f aca="false">DATE(2026,8,15)</f>
        <v>46249</v>
      </c>
      <c r="B13053" s="4" t="s">
        <v>179</v>
      </c>
      <c r="C13053" s="4" t="n">
        <v>1</v>
      </c>
      <c r="D13053" s="4" t="n">
        <v>12</v>
      </c>
      <c r="E13053" s="4" t="s">
        <v>5030</v>
      </c>
      <c r="F13053" s="4" t="n">
        <v>6</v>
      </c>
      <c r="G13053" s="4" t="n">
        <v>13</v>
      </c>
      <c r="H13053" s="4" t="n">
        <v>4</v>
      </c>
      <c r="I13053" s="4" t="str">
        <v>×</v>
      </c>
      <c r="J13053" s="4"/>
      <c r="K13053" s="4"/>
      <c r="L13053" s="4"/>
      <c r="M13053" s="7" t="s">
        <v>6556</v>
      </c>
    </row>
    <row r="13054" customFormat="false" ht="15.75" hidden="false" customHeight="false" outlineLevel="0" collapsed="false">
      <c r="A13054" s="6" t="n">
        <f aca="false">DATE(2026,8,15)</f>
        <v>46249</v>
      </c>
      <c r="B13054" s="4" t="s">
        <v>179</v>
      </c>
      <c r="C13054" s="4" t="n">
        <v>1</v>
      </c>
      <c r="D13054" s="4" t="n">
        <v>13</v>
      </c>
      <c r="E13054" s="4" t="s">
        <v>3899</v>
      </c>
      <c r="F13054" s="4" t="n">
        <v>10</v>
      </c>
      <c r="G13054" s="4" t="n">
        <v>7</v>
      </c>
      <c r="H13054" s="4" t="n">
        <v>4</v>
      </c>
      <c r="I13054" s="4" t="str">
        <v>×</v>
      </c>
      <c r="J13054" s="4"/>
      <c r="K13054" s="4"/>
      <c r="L13054" s="4"/>
      <c r="M13054" s="7" t="s">
        <v>6556</v>
      </c>
    </row>
    <row r="13055" customFormat="false" ht="15.75" hidden="false" customHeight="false" outlineLevel="0" collapsed="false">
      <c r="A13055" s="6" t="n">
        <f aca="false">DATE(2026,8,15)</f>
        <v>46249</v>
      </c>
      <c r="B13055" s="4" t="s">
        <v>179</v>
      </c>
      <c r="C13055" s="4" t="n">
        <v>1</v>
      </c>
      <c r="D13055" s="4" t="n">
        <v>14</v>
      </c>
      <c r="E13055" s="4" t="s">
        <v>6558</v>
      </c>
      <c r="F13055" s="4" t="n">
        <v>23</v>
      </c>
      <c r="G13055" s="4" t="n">
        <v>4</v>
      </c>
      <c r="H13055" s="4" t="n">
        <v>4</v>
      </c>
      <c r="I13055" s="4" t="str">
        <v>×</v>
      </c>
      <c r="J13055" s="4"/>
      <c r="K13055" s="4"/>
      <c r="L13055" s="4"/>
      <c r="M13055" s="7" t="s">
        <v>6556</v>
      </c>
    </row>
    <row r="13056" customFormat="false" ht="15.75" hidden="false" customHeight="false" outlineLevel="0" collapsed="false">
      <c r="A13056" s="6" t="n">
        <f aca="false">DATE(2026,8,15)</f>
        <v>46249</v>
      </c>
      <c r="B13056" s="4" t="s">
        <v>179</v>
      </c>
      <c r="C13056" s="4" t="n">
        <v>1</v>
      </c>
      <c r="D13056" s="4" t="n">
        <v>15</v>
      </c>
      <c r="E13056" s="4" t="s">
        <v>6559</v>
      </c>
      <c r="F13056" s="4" t="n">
        <v>60</v>
      </c>
      <c r="G13056" s="4" t="n">
        <v>2</v>
      </c>
      <c r="H13056" s="4" t="n">
        <v>4</v>
      </c>
      <c r="I13056" s="4" t="str">
        <v>×</v>
      </c>
      <c r="J13056" s="4"/>
      <c r="K13056" s="4"/>
      <c r="L13056" s="4"/>
      <c r="M13056" s="7" t="s">
        <v>6556</v>
      </c>
    </row>
    <row r="13057" customFormat="false" ht="15.75" hidden="false" customHeight="false" outlineLevel="0" collapsed="false">
      <c r="A13057" s="6" t="n">
        <f aca="false">DATE(2026,8,15)</f>
        <v>46249</v>
      </c>
      <c r="B13057" s="4" t="s">
        <v>179</v>
      </c>
      <c r="C13057" s="4" t="n">
        <v>1</v>
      </c>
      <c r="D13057" s="4" t="n">
        <v>16</v>
      </c>
      <c r="E13057" s="4" t="s">
        <v>3461</v>
      </c>
      <c r="F13057" s="4" t="n">
        <v>4</v>
      </c>
      <c r="G13057" s="4" t="n">
        <v>14</v>
      </c>
      <c r="H13057" s="4" t="n">
        <v>1</v>
      </c>
      <c r="I13057" s="4" t="str">
        <v>○</v>
      </c>
      <c r="J13057" s="4" t="n">
        <v>690</v>
      </c>
      <c r="K13057" s="4"/>
      <c r="L13057" s="4"/>
      <c r="M13057" s="7" t="s">
        <v>6556</v>
      </c>
    </row>
    <row r="13058" customFormat="false" ht="15.75" hidden="false" customHeight="false" outlineLevel="0" collapsed="false">
      <c r="A13058" s="6" t="n">
        <f aca="false">DATE(2026,8,15)</f>
        <v>46249</v>
      </c>
      <c r="B13058" s="4" t="s">
        <v>179</v>
      </c>
      <c r="C13058" s="4" t="n">
        <v>2</v>
      </c>
      <c r="D13058" s="4" t="n">
        <v>1</v>
      </c>
      <c r="E13058" s="4" t="s">
        <v>4611</v>
      </c>
      <c r="F13058" s="4" t="n">
        <v>4</v>
      </c>
      <c r="G13058" s="4" t="n">
        <v>12</v>
      </c>
      <c r="H13058" s="4" t="n">
        <v>4</v>
      </c>
      <c r="I13058" s="4" t="str">
        <v>×</v>
      </c>
      <c r="J13058" s="4"/>
      <c r="K13058" s="4"/>
      <c r="L13058" s="4"/>
      <c r="M13058" s="7" t="s">
        <v>6556</v>
      </c>
    </row>
    <row r="13059" customFormat="false" ht="15.75" hidden="false" customHeight="false" outlineLevel="0" collapsed="false">
      <c r="A13059" s="6" t="n">
        <f aca="false">DATE(2026,8,15)</f>
        <v>46249</v>
      </c>
      <c r="B13059" s="4" t="s">
        <v>179</v>
      </c>
      <c r="C13059" s="4" t="n">
        <v>2</v>
      </c>
      <c r="D13059" s="4" t="n">
        <v>2</v>
      </c>
      <c r="E13059" s="4" t="s">
        <v>6560</v>
      </c>
      <c r="F13059" s="4" t="n">
        <v>3</v>
      </c>
      <c r="G13059" s="4" t="n">
        <v>14</v>
      </c>
      <c r="H13059" s="4" t="n">
        <v>4</v>
      </c>
      <c r="I13059" s="4" t="str">
        <v>×</v>
      </c>
      <c r="J13059" s="4"/>
      <c r="K13059" s="4"/>
      <c r="L13059" s="4"/>
      <c r="M13059" s="7" t="s">
        <v>6556</v>
      </c>
    </row>
    <row r="13060" customFormat="false" ht="15.75" hidden="false" customHeight="false" outlineLevel="0" collapsed="false">
      <c r="A13060" s="6" t="n">
        <f aca="false">DATE(2026,8,15)</f>
        <v>46249</v>
      </c>
      <c r="B13060" s="4" t="s">
        <v>179</v>
      </c>
      <c r="C13060" s="4" t="n">
        <v>2</v>
      </c>
      <c r="D13060" s="4" t="n">
        <v>3</v>
      </c>
      <c r="E13060" s="4" t="s">
        <v>153</v>
      </c>
      <c r="F13060" s="4" t="n">
        <v>13</v>
      </c>
      <c r="G13060" s="4" t="n">
        <v>8</v>
      </c>
      <c r="H13060" s="4" t="n">
        <v>4</v>
      </c>
      <c r="I13060" s="4" t="str">
        <v>×</v>
      </c>
      <c r="J13060" s="4"/>
      <c r="K13060" s="4"/>
      <c r="L13060" s="4"/>
      <c r="M13060" s="7" t="s">
        <v>6556</v>
      </c>
    </row>
    <row r="13061" customFormat="false" ht="15.75" hidden="false" customHeight="false" outlineLevel="0" collapsed="false">
      <c r="A13061" s="6" t="n">
        <f aca="false">DATE(2026,8,15)</f>
        <v>46249</v>
      </c>
      <c r="B13061" s="4" t="s">
        <v>179</v>
      </c>
      <c r="C13061" s="4" t="n">
        <v>2</v>
      </c>
      <c r="D13061" s="4" t="n">
        <v>4</v>
      </c>
      <c r="E13061" s="4" t="s">
        <v>2815</v>
      </c>
      <c r="F13061" s="4" t="n">
        <v>10</v>
      </c>
      <c r="G13061" s="4" t="n">
        <v>9</v>
      </c>
      <c r="H13061" s="4" t="n">
        <v>4</v>
      </c>
      <c r="I13061" s="4" t="str">
        <v>×</v>
      </c>
      <c r="J13061" s="4"/>
      <c r="K13061" s="4"/>
      <c r="L13061" s="4"/>
      <c r="M13061" s="7" t="s">
        <v>6556</v>
      </c>
    </row>
    <row r="13062" customFormat="false" ht="15.75" hidden="false" customHeight="false" outlineLevel="0" collapsed="false">
      <c r="A13062" s="6" t="n">
        <f aca="false">DATE(2026,8,15)</f>
        <v>46249</v>
      </c>
      <c r="B13062" s="4" t="s">
        <v>179</v>
      </c>
      <c r="C13062" s="4" t="n">
        <v>2</v>
      </c>
      <c r="D13062" s="4" t="n">
        <v>5</v>
      </c>
      <c r="E13062" s="4" t="s">
        <v>6561</v>
      </c>
      <c r="F13062" s="4" t="n">
        <v>3</v>
      </c>
      <c r="G13062" s="4" t="n">
        <v>15</v>
      </c>
      <c r="H13062" s="4" t="n">
        <v>4</v>
      </c>
      <c r="I13062" s="4" t="str">
        <v>×</v>
      </c>
      <c r="J13062" s="4"/>
      <c r="K13062" s="4"/>
      <c r="L13062" s="4"/>
      <c r="M13062" s="7" t="s">
        <v>6556</v>
      </c>
    </row>
    <row r="13063" customFormat="false" ht="15.75" hidden="false" customHeight="false" outlineLevel="0" collapsed="false">
      <c r="A13063" s="6" t="n">
        <f aca="false">DATE(2026,8,15)</f>
        <v>46249</v>
      </c>
      <c r="B13063" s="4" t="s">
        <v>179</v>
      </c>
      <c r="C13063" s="4" t="n">
        <v>2</v>
      </c>
      <c r="D13063" s="4" t="n">
        <v>6</v>
      </c>
      <c r="E13063" s="4" t="s">
        <v>1566</v>
      </c>
      <c r="F13063" s="4" t="n">
        <v>25</v>
      </c>
      <c r="G13063" s="4" t="n">
        <v>5</v>
      </c>
      <c r="H13063" s="4" t="n">
        <v>2</v>
      </c>
      <c r="I13063" s="4" t="str">
        <v>○</v>
      </c>
      <c r="J13063" s="4" t="n">
        <v>190</v>
      </c>
      <c r="K13063" s="4"/>
      <c r="L13063" s="4"/>
      <c r="M13063" s="7" t="s">
        <v>6556</v>
      </c>
    </row>
    <row r="13064" customFormat="false" ht="15.75" hidden="false" customHeight="false" outlineLevel="0" collapsed="false">
      <c r="A13064" s="6" t="n">
        <f aca="false">DATE(2026,8,15)</f>
        <v>46249</v>
      </c>
      <c r="B13064" s="4" t="s">
        <v>179</v>
      </c>
      <c r="C13064" s="4" t="n">
        <v>2</v>
      </c>
      <c r="D13064" s="4" t="n">
        <v>7</v>
      </c>
      <c r="E13064" s="4" t="s">
        <v>3813</v>
      </c>
      <c r="F13064" s="4" t="n">
        <v>44</v>
      </c>
      <c r="G13064" s="4" t="n">
        <v>1</v>
      </c>
      <c r="H13064" s="4" t="n">
        <v>1</v>
      </c>
      <c r="I13064" s="4" t="str">
        <v>○</v>
      </c>
      <c r="J13064" s="4" t="n">
        <v>150</v>
      </c>
      <c r="K13064" s="4"/>
      <c r="L13064" s="4"/>
      <c r="M13064" s="7" t="s">
        <v>6556</v>
      </c>
    </row>
    <row r="13065" customFormat="false" ht="15.75" hidden="false" customHeight="false" outlineLevel="0" collapsed="false">
      <c r="A13065" s="6" t="n">
        <f aca="false">DATE(2026,8,15)</f>
        <v>46249</v>
      </c>
      <c r="B13065" s="4" t="s">
        <v>179</v>
      </c>
      <c r="C13065" s="4" t="n">
        <v>2</v>
      </c>
      <c r="D13065" s="4" t="n">
        <v>8</v>
      </c>
      <c r="E13065" s="4" t="s">
        <v>6562</v>
      </c>
      <c r="F13065" s="4" t="n">
        <v>10</v>
      </c>
      <c r="G13065" s="4" t="n">
        <v>10</v>
      </c>
      <c r="H13065" s="4" t="n">
        <v>4</v>
      </c>
      <c r="I13065" s="4" t="str">
        <v>×</v>
      </c>
      <c r="J13065" s="4"/>
      <c r="K13065" s="4"/>
      <c r="L13065" s="4"/>
      <c r="M13065" s="7" t="s">
        <v>6556</v>
      </c>
    </row>
    <row r="13066" customFormat="false" ht="15.75" hidden="false" customHeight="false" outlineLevel="0" collapsed="false">
      <c r="A13066" s="6" t="n">
        <f aca="false">DATE(2026,8,15)</f>
        <v>46249</v>
      </c>
      <c r="B13066" s="4" t="s">
        <v>179</v>
      </c>
      <c r="C13066" s="4" t="n">
        <v>2</v>
      </c>
      <c r="D13066" s="4" t="n">
        <v>9</v>
      </c>
      <c r="E13066" s="4" t="s">
        <v>3422</v>
      </c>
      <c r="F13066" s="4" t="n">
        <v>37</v>
      </c>
      <c r="G13066" s="4" t="n">
        <v>3</v>
      </c>
      <c r="H13066" s="4" t="n">
        <v>3</v>
      </c>
      <c r="I13066" s="4" t="str">
        <v>○</v>
      </c>
      <c r="J13066" s="4" t="n">
        <v>130</v>
      </c>
      <c r="K13066" s="4"/>
      <c r="L13066" s="4"/>
      <c r="M13066" s="7" t="s">
        <v>6556</v>
      </c>
    </row>
    <row r="13067" customFormat="false" ht="15.75" hidden="false" customHeight="false" outlineLevel="0" collapsed="false">
      <c r="A13067" s="6" t="n">
        <f aca="false">DATE(2026,8,15)</f>
        <v>46249</v>
      </c>
      <c r="B13067" s="4" t="s">
        <v>179</v>
      </c>
      <c r="C13067" s="4" t="n">
        <v>2</v>
      </c>
      <c r="D13067" s="4" t="n">
        <v>10</v>
      </c>
      <c r="E13067" s="4" t="s">
        <v>1569</v>
      </c>
      <c r="F13067" s="4" t="n">
        <v>25</v>
      </c>
      <c r="G13067" s="4" t="n">
        <v>6</v>
      </c>
      <c r="H13067" s="4" t="n">
        <v>4</v>
      </c>
      <c r="I13067" s="4" t="str">
        <v>×</v>
      </c>
      <c r="J13067" s="4"/>
      <c r="K13067" s="4"/>
      <c r="L13067" s="4"/>
      <c r="M13067" s="7" t="s">
        <v>6556</v>
      </c>
    </row>
    <row r="13068" customFormat="false" ht="15.75" hidden="false" customHeight="false" outlineLevel="0" collapsed="false">
      <c r="A13068" s="6" t="n">
        <f aca="false">DATE(2026,8,15)</f>
        <v>46249</v>
      </c>
      <c r="B13068" s="4" t="s">
        <v>179</v>
      </c>
      <c r="C13068" s="4" t="n">
        <v>2</v>
      </c>
      <c r="D13068" s="4" t="n">
        <v>11</v>
      </c>
      <c r="E13068" s="4" t="s">
        <v>3193</v>
      </c>
      <c r="F13068" s="4" t="n">
        <v>10</v>
      </c>
      <c r="G13068" s="4" t="n">
        <v>11</v>
      </c>
      <c r="H13068" s="4" t="n">
        <v>4</v>
      </c>
      <c r="I13068" s="4" t="str">
        <v>×</v>
      </c>
      <c r="J13068" s="4"/>
      <c r="K13068" s="4"/>
      <c r="L13068" s="4"/>
      <c r="M13068" s="7" t="s">
        <v>6556</v>
      </c>
    </row>
    <row r="13069" customFormat="false" ht="15.75" hidden="false" customHeight="false" outlineLevel="0" collapsed="false">
      <c r="A13069" s="6" t="n">
        <f aca="false">DATE(2026,8,15)</f>
        <v>46249</v>
      </c>
      <c r="B13069" s="4" t="s">
        <v>179</v>
      </c>
      <c r="C13069" s="4" t="n">
        <v>2</v>
      </c>
      <c r="D13069" s="4" t="n">
        <v>12</v>
      </c>
      <c r="E13069" s="4" t="s">
        <v>6563</v>
      </c>
      <c r="F13069" s="4" t="n">
        <v>4</v>
      </c>
      <c r="G13069" s="4" t="n">
        <v>13</v>
      </c>
      <c r="H13069" s="4" t="n">
        <v>4</v>
      </c>
      <c r="I13069" s="4" t="str">
        <v>×</v>
      </c>
      <c r="J13069" s="4"/>
      <c r="K13069" s="4"/>
      <c r="L13069" s="4"/>
      <c r="M13069" s="7" t="s">
        <v>6556</v>
      </c>
    </row>
    <row r="13070" customFormat="false" ht="15.75" hidden="false" customHeight="false" outlineLevel="0" collapsed="false">
      <c r="A13070" s="6" t="n">
        <f aca="false">DATE(2026,8,15)</f>
        <v>46249</v>
      </c>
      <c r="B13070" s="4" t="s">
        <v>179</v>
      </c>
      <c r="C13070" s="4" t="n">
        <v>2</v>
      </c>
      <c r="D13070" s="4" t="n">
        <v>13</v>
      </c>
      <c r="E13070" s="4" t="s">
        <v>4588</v>
      </c>
      <c r="F13070" s="4" t="n">
        <v>31</v>
      </c>
      <c r="G13070" s="4" t="n">
        <v>4</v>
      </c>
      <c r="H13070" s="4" t="n">
        <v>4</v>
      </c>
      <c r="I13070" s="4" t="str">
        <v>×</v>
      </c>
      <c r="J13070" s="4"/>
      <c r="K13070" s="4"/>
      <c r="L13070" s="4"/>
      <c r="M13070" s="7" t="s">
        <v>6556</v>
      </c>
    </row>
    <row r="13071" customFormat="false" ht="15.75" hidden="false" customHeight="false" outlineLevel="0" collapsed="false">
      <c r="A13071" s="6" t="n">
        <f aca="false">DATE(2026,8,15)</f>
        <v>46249</v>
      </c>
      <c r="B13071" s="4" t="s">
        <v>179</v>
      </c>
      <c r="C13071" s="4" t="n">
        <v>2</v>
      </c>
      <c r="D13071" s="4" t="n">
        <v>14</v>
      </c>
      <c r="E13071" s="4" t="s">
        <v>3973</v>
      </c>
      <c r="F13071" s="4" t="n">
        <v>39</v>
      </c>
      <c r="G13071" s="4" t="n">
        <v>2</v>
      </c>
      <c r="H13071" s="4" t="n">
        <v>4</v>
      </c>
      <c r="I13071" s="4" t="str">
        <v>×</v>
      </c>
      <c r="J13071" s="4"/>
      <c r="K13071" s="4"/>
      <c r="L13071" s="4"/>
      <c r="M13071" s="7" t="s">
        <v>6556</v>
      </c>
    </row>
    <row r="13072" customFormat="false" ht="15.75" hidden="false" customHeight="false" outlineLevel="0" collapsed="false">
      <c r="A13072" s="6" t="n">
        <f aca="false">DATE(2026,8,15)</f>
        <v>46249</v>
      </c>
      <c r="B13072" s="4" t="s">
        <v>179</v>
      </c>
      <c r="C13072" s="4" t="n">
        <v>2</v>
      </c>
      <c r="D13072" s="4" t="n">
        <v>15</v>
      </c>
      <c r="E13072" s="4" t="s">
        <v>4628</v>
      </c>
      <c r="F13072" s="4" t="n">
        <v>15</v>
      </c>
      <c r="G13072" s="4" t="n">
        <v>7</v>
      </c>
      <c r="H13072" s="4" t="n">
        <v>4</v>
      </c>
      <c r="I13072" s="4" t="str">
        <v>×</v>
      </c>
      <c r="J13072" s="4"/>
      <c r="K13072" s="4"/>
      <c r="L13072" s="4"/>
      <c r="M13072" s="7" t="s">
        <v>6556</v>
      </c>
    </row>
    <row r="13073" customFormat="false" ht="15.75" hidden="false" customHeight="false" outlineLevel="0" collapsed="false">
      <c r="A13073" s="6" t="n">
        <f aca="false">DATE(2026,8,15)</f>
        <v>46249</v>
      </c>
      <c r="B13073" s="4" t="s">
        <v>179</v>
      </c>
      <c r="C13073" s="4" t="n">
        <v>3</v>
      </c>
      <c r="D13073" s="4" t="n">
        <v>1</v>
      </c>
      <c r="E13073" s="4" t="s">
        <v>6564</v>
      </c>
      <c r="F13073" s="4" t="n">
        <v>24</v>
      </c>
      <c r="G13073" s="4" t="n">
        <v>4</v>
      </c>
      <c r="H13073" s="4" t="n">
        <v>4</v>
      </c>
      <c r="I13073" s="4" t="str">
        <v>×</v>
      </c>
      <c r="J13073" s="4"/>
      <c r="K13073" s="4"/>
      <c r="L13073" s="4"/>
      <c r="M13073" s="7" t="s">
        <v>6556</v>
      </c>
    </row>
    <row r="13074" customFormat="false" ht="15.75" hidden="false" customHeight="false" outlineLevel="0" collapsed="false">
      <c r="A13074" s="6" t="n">
        <f aca="false">DATE(2026,8,15)</f>
        <v>46249</v>
      </c>
      <c r="B13074" s="4" t="s">
        <v>179</v>
      </c>
      <c r="C13074" s="4" t="n">
        <v>3</v>
      </c>
      <c r="D13074" s="4" t="n">
        <v>2</v>
      </c>
      <c r="E13074" s="4" t="s">
        <v>6565</v>
      </c>
      <c r="F13074" s="4" t="n">
        <v>16</v>
      </c>
      <c r="G13074" s="4" t="n">
        <v>7</v>
      </c>
      <c r="H13074" s="4" t="n">
        <v>3</v>
      </c>
      <c r="I13074" s="4" t="str">
        <v>○</v>
      </c>
      <c r="J13074" s="4"/>
      <c r="K13074" s="4"/>
      <c r="L13074" s="4"/>
      <c r="M13074" s="7" t="s">
        <v>6556</v>
      </c>
    </row>
    <row r="13075" customFormat="false" ht="15.75" hidden="false" customHeight="false" outlineLevel="0" collapsed="false">
      <c r="A13075" s="6" t="n">
        <f aca="false">DATE(2026,8,15)</f>
        <v>46249</v>
      </c>
      <c r="B13075" s="4" t="s">
        <v>179</v>
      </c>
      <c r="C13075" s="4" t="n">
        <v>3</v>
      </c>
      <c r="D13075" s="4" t="n">
        <v>3</v>
      </c>
      <c r="E13075" s="4" t="s">
        <v>6566</v>
      </c>
      <c r="F13075" s="4" t="n">
        <v>27</v>
      </c>
      <c r="G13075" s="4" t="n">
        <v>3</v>
      </c>
      <c r="H13075" s="4" t="n">
        <v>1</v>
      </c>
      <c r="I13075" s="4" t="str">
        <v>○</v>
      </c>
      <c r="J13075" s="4" t="n">
        <v>190</v>
      </c>
      <c r="K13075" s="4"/>
      <c r="L13075" s="4"/>
      <c r="M13075" s="7" t="s">
        <v>6556</v>
      </c>
    </row>
    <row r="13076" customFormat="false" ht="15.75" hidden="false" customHeight="false" outlineLevel="0" collapsed="false">
      <c r="A13076" s="6" t="n">
        <f aca="false">DATE(2026,8,15)</f>
        <v>46249</v>
      </c>
      <c r="B13076" s="4" t="s">
        <v>179</v>
      </c>
      <c r="C13076" s="4" t="n">
        <v>3</v>
      </c>
      <c r="D13076" s="4" t="n">
        <v>4</v>
      </c>
      <c r="E13076" s="4" t="s">
        <v>6567</v>
      </c>
      <c r="F13076" s="4" t="n">
        <v>37</v>
      </c>
      <c r="G13076" s="4" t="n">
        <v>1</v>
      </c>
      <c r="H13076" s="4" t="n">
        <v>4</v>
      </c>
      <c r="I13076" s="4" t="str">
        <v>×</v>
      </c>
      <c r="J13076" s="4"/>
      <c r="K13076" s="4"/>
      <c r="L13076" s="4"/>
      <c r="M13076" s="7" t="s">
        <v>6556</v>
      </c>
    </row>
    <row r="13077" customFormat="false" ht="15.75" hidden="false" customHeight="false" outlineLevel="0" collapsed="false">
      <c r="A13077" s="6" t="n">
        <f aca="false">DATE(2026,8,15)</f>
        <v>46249</v>
      </c>
      <c r="B13077" s="4" t="s">
        <v>179</v>
      </c>
      <c r="C13077" s="4" t="n">
        <v>3</v>
      </c>
      <c r="D13077" s="4" t="n">
        <v>5</v>
      </c>
      <c r="E13077" s="4" t="s">
        <v>6568</v>
      </c>
      <c r="F13077" s="4" t="n">
        <v>24</v>
      </c>
      <c r="G13077" s="4" t="n">
        <v>5</v>
      </c>
      <c r="H13077" s="4" t="n">
        <v>4</v>
      </c>
      <c r="I13077" s="4" t="str">
        <v>×</v>
      </c>
      <c r="J13077" s="4"/>
      <c r="K13077" s="4"/>
      <c r="L13077" s="4"/>
      <c r="M13077" s="7" t="s">
        <v>6556</v>
      </c>
    </row>
    <row r="13078" customFormat="false" ht="15.75" hidden="false" customHeight="false" outlineLevel="0" collapsed="false">
      <c r="A13078" s="6" t="n">
        <f aca="false">DATE(2026,8,15)</f>
        <v>46249</v>
      </c>
      <c r="B13078" s="4" t="s">
        <v>179</v>
      </c>
      <c r="C13078" s="4" t="n">
        <v>3</v>
      </c>
      <c r="D13078" s="4" t="n">
        <v>6</v>
      </c>
      <c r="E13078" s="4" t="s">
        <v>6569</v>
      </c>
      <c r="F13078" s="4" t="n">
        <v>37</v>
      </c>
      <c r="G13078" s="4" t="n">
        <v>2</v>
      </c>
      <c r="H13078" s="4" t="n">
        <v>2</v>
      </c>
      <c r="I13078" s="4" t="str">
        <v>○</v>
      </c>
      <c r="J13078" s="4" t="n">
        <v>150</v>
      </c>
      <c r="K13078" s="4"/>
      <c r="L13078" s="4"/>
      <c r="M13078" s="7" t="s">
        <v>6556</v>
      </c>
    </row>
    <row r="13079" customFormat="false" ht="15.75" hidden="false" customHeight="false" outlineLevel="0" collapsed="false">
      <c r="A13079" s="6" t="n">
        <f aca="false">DATE(2026,8,15)</f>
        <v>46249</v>
      </c>
      <c r="B13079" s="4" t="s">
        <v>179</v>
      </c>
      <c r="C13079" s="4" t="n">
        <v>3</v>
      </c>
      <c r="D13079" s="4" t="n">
        <v>7</v>
      </c>
      <c r="E13079" s="4" t="s">
        <v>6570</v>
      </c>
      <c r="F13079" s="4" t="n">
        <v>21</v>
      </c>
      <c r="G13079" s="4" t="n">
        <v>6</v>
      </c>
      <c r="H13079" s="4" t="n">
        <v>4</v>
      </c>
      <c r="I13079" s="4" t="str">
        <v>×</v>
      </c>
      <c r="J13079" s="4"/>
      <c r="K13079" s="4"/>
      <c r="L13079" s="4"/>
      <c r="M13079" s="7" t="s">
        <v>6556</v>
      </c>
    </row>
    <row r="13080" customFormat="false" ht="15.75" hidden="false" customHeight="false" outlineLevel="0" collapsed="false">
      <c r="A13080" s="6" t="n">
        <f aca="false">DATE(2026,8,15)</f>
        <v>46249</v>
      </c>
      <c r="B13080" s="4" t="s">
        <v>179</v>
      </c>
      <c r="C13080" s="4" t="n">
        <v>4</v>
      </c>
      <c r="D13080" s="4" t="n">
        <v>1</v>
      </c>
      <c r="E13080" s="4" t="s">
        <v>775</v>
      </c>
      <c r="F13080" s="4" t="n">
        <v>15</v>
      </c>
      <c r="G13080" s="4" t="n">
        <v>9</v>
      </c>
      <c r="H13080" s="4" t="n">
        <v>4</v>
      </c>
      <c r="I13080" s="4" t="str">
        <v>×</v>
      </c>
      <c r="J13080" s="4"/>
      <c r="K13080" s="4"/>
      <c r="L13080" s="4"/>
      <c r="M13080" s="7" t="s">
        <v>6556</v>
      </c>
    </row>
    <row r="13081" customFormat="false" ht="15.75" hidden="false" customHeight="false" outlineLevel="0" collapsed="false">
      <c r="A13081" s="6" t="n">
        <f aca="false">DATE(2026,8,15)</f>
        <v>46249</v>
      </c>
      <c r="B13081" s="4" t="s">
        <v>179</v>
      </c>
      <c r="C13081" s="4" t="n">
        <v>4</v>
      </c>
      <c r="D13081" s="4" t="n">
        <v>2</v>
      </c>
      <c r="E13081" s="4" t="s">
        <v>2818</v>
      </c>
      <c r="F13081" s="4" t="n">
        <v>34</v>
      </c>
      <c r="G13081" s="4" t="n">
        <v>3</v>
      </c>
      <c r="H13081" s="4" t="n">
        <v>4</v>
      </c>
      <c r="I13081" s="4" t="str">
        <v>×</v>
      </c>
      <c r="J13081" s="4"/>
      <c r="K13081" s="4"/>
      <c r="L13081" s="4"/>
      <c r="M13081" s="7" t="s">
        <v>6556</v>
      </c>
    </row>
    <row r="13082" customFormat="false" ht="15.75" hidden="false" customHeight="false" outlineLevel="0" collapsed="false">
      <c r="A13082" s="6" t="n">
        <f aca="false">DATE(2026,8,15)</f>
        <v>46249</v>
      </c>
      <c r="B13082" s="4" t="s">
        <v>179</v>
      </c>
      <c r="C13082" s="4" t="n">
        <v>4</v>
      </c>
      <c r="D13082" s="4" t="n">
        <v>3</v>
      </c>
      <c r="E13082" s="4" t="s">
        <v>6571</v>
      </c>
      <c r="F13082" s="4" t="n">
        <v>10</v>
      </c>
      <c r="G13082" s="4" t="n">
        <v>12</v>
      </c>
      <c r="H13082" s="4" t="n">
        <v>4</v>
      </c>
      <c r="I13082" s="4" t="str">
        <v>×</v>
      </c>
      <c r="J13082" s="4"/>
      <c r="K13082" s="4"/>
      <c r="L13082" s="4"/>
      <c r="M13082" s="7" t="s">
        <v>6556</v>
      </c>
    </row>
    <row r="13083" customFormat="false" ht="15.75" hidden="false" customHeight="false" outlineLevel="0" collapsed="false">
      <c r="A13083" s="6" t="n">
        <f aca="false">DATE(2026,8,15)</f>
        <v>46249</v>
      </c>
      <c r="B13083" s="4" t="s">
        <v>179</v>
      </c>
      <c r="C13083" s="4" t="n">
        <v>4</v>
      </c>
      <c r="D13083" s="4" t="n">
        <v>4</v>
      </c>
      <c r="E13083" s="4" t="s">
        <v>3191</v>
      </c>
      <c r="F13083" s="4" t="n">
        <v>20</v>
      </c>
      <c r="G13083" s="4" t="n">
        <v>6</v>
      </c>
      <c r="H13083" s="4" t="n">
        <v>2</v>
      </c>
      <c r="I13083" s="4" t="str">
        <v>○</v>
      </c>
      <c r="J13083" s="4" t="n">
        <v>160</v>
      </c>
      <c r="K13083" s="4"/>
      <c r="L13083" s="4"/>
      <c r="M13083" s="7" t="s">
        <v>6556</v>
      </c>
    </row>
    <row r="13084" customFormat="false" ht="15.75" hidden="false" customHeight="false" outlineLevel="0" collapsed="false">
      <c r="A13084" s="6" t="n">
        <f aca="false">DATE(2026,8,15)</f>
        <v>46249</v>
      </c>
      <c r="B13084" s="4" t="s">
        <v>179</v>
      </c>
      <c r="C13084" s="4" t="n">
        <v>4</v>
      </c>
      <c r="D13084" s="4" t="n">
        <v>5</v>
      </c>
      <c r="E13084" s="4" t="s">
        <v>6235</v>
      </c>
      <c r="F13084" s="4" t="n">
        <v>17</v>
      </c>
      <c r="G13084" s="4" t="n">
        <v>8</v>
      </c>
      <c r="H13084" s="4" t="n">
        <v>4</v>
      </c>
      <c r="I13084" s="4" t="str">
        <v>×</v>
      </c>
      <c r="J13084" s="4"/>
      <c r="K13084" s="4"/>
      <c r="L13084" s="4"/>
      <c r="M13084" s="7" t="s">
        <v>6556</v>
      </c>
    </row>
    <row r="13085" customFormat="false" ht="15.75" hidden="false" customHeight="false" outlineLevel="0" collapsed="false">
      <c r="A13085" s="6" t="n">
        <f aca="false">DATE(2026,8,15)</f>
        <v>46249</v>
      </c>
      <c r="B13085" s="4" t="s">
        <v>179</v>
      </c>
      <c r="C13085" s="4" t="n">
        <v>4</v>
      </c>
      <c r="D13085" s="4" t="n">
        <v>6</v>
      </c>
      <c r="E13085" s="4" t="s">
        <v>2927</v>
      </c>
      <c r="F13085" s="4" t="n">
        <v>20</v>
      </c>
      <c r="G13085" s="4" t="n">
        <v>7</v>
      </c>
      <c r="H13085" s="4" t="n">
        <v>4</v>
      </c>
      <c r="I13085" s="4" t="str">
        <v>×</v>
      </c>
      <c r="J13085" s="4"/>
      <c r="K13085" s="4"/>
      <c r="L13085" s="4"/>
      <c r="M13085" s="7" t="s">
        <v>6556</v>
      </c>
    </row>
    <row r="13086" customFormat="false" ht="15.75" hidden="false" customHeight="false" outlineLevel="0" collapsed="false">
      <c r="A13086" s="6" t="n">
        <f aca="false">DATE(2026,8,15)</f>
        <v>46249</v>
      </c>
      <c r="B13086" s="4" t="s">
        <v>179</v>
      </c>
      <c r="C13086" s="4" t="n">
        <v>4</v>
      </c>
      <c r="D13086" s="4" t="n">
        <v>7</v>
      </c>
      <c r="E13086" s="4" t="s">
        <v>2816</v>
      </c>
      <c r="F13086" s="4" t="n">
        <v>10</v>
      </c>
      <c r="G13086" s="4" t="n">
        <v>13</v>
      </c>
      <c r="H13086" s="4" t="n">
        <v>4</v>
      </c>
      <c r="I13086" s="4" t="str">
        <v>×</v>
      </c>
      <c r="J13086" s="4"/>
      <c r="K13086" s="4"/>
      <c r="L13086" s="4"/>
      <c r="M13086" s="7" t="s">
        <v>6556</v>
      </c>
    </row>
    <row r="13087" customFormat="false" ht="15.75" hidden="false" customHeight="false" outlineLevel="0" collapsed="false">
      <c r="A13087" s="6" t="n">
        <f aca="false">DATE(2026,8,15)</f>
        <v>46249</v>
      </c>
      <c r="B13087" s="4" t="s">
        <v>179</v>
      </c>
      <c r="C13087" s="4" t="n">
        <v>4</v>
      </c>
      <c r="D13087" s="4" t="n">
        <v>8</v>
      </c>
      <c r="E13087" s="4" t="s">
        <v>3974</v>
      </c>
      <c r="F13087" s="4" t="n">
        <v>23</v>
      </c>
      <c r="G13087" s="4" t="n">
        <v>5</v>
      </c>
      <c r="H13087" s="4" t="n">
        <v>4</v>
      </c>
      <c r="I13087" s="4" t="str">
        <v>×</v>
      </c>
      <c r="J13087" s="4"/>
      <c r="K13087" s="4"/>
      <c r="L13087" s="4"/>
      <c r="M13087" s="7" t="s">
        <v>6556</v>
      </c>
    </row>
    <row r="13088" customFormat="false" ht="15.75" hidden="false" customHeight="false" outlineLevel="0" collapsed="false">
      <c r="A13088" s="6" t="n">
        <f aca="false">DATE(2026,8,15)</f>
        <v>46249</v>
      </c>
      <c r="B13088" s="4" t="s">
        <v>179</v>
      </c>
      <c r="C13088" s="4" t="n">
        <v>4</v>
      </c>
      <c r="D13088" s="4" t="n">
        <v>9</v>
      </c>
      <c r="E13088" s="4" t="s">
        <v>1604</v>
      </c>
      <c r="F13088" s="4" t="n">
        <v>15</v>
      </c>
      <c r="G13088" s="4" t="n">
        <v>10</v>
      </c>
      <c r="H13088" s="4" t="n">
        <v>4</v>
      </c>
      <c r="I13088" s="4" t="str">
        <v>×</v>
      </c>
      <c r="J13088" s="4"/>
      <c r="K13088" s="4"/>
      <c r="L13088" s="4"/>
      <c r="M13088" s="7" t="s">
        <v>6556</v>
      </c>
    </row>
    <row r="13089" customFormat="false" ht="15.75" hidden="false" customHeight="false" outlineLevel="0" collapsed="false">
      <c r="A13089" s="6" t="n">
        <f aca="false">DATE(2026,8,15)</f>
        <v>46249</v>
      </c>
      <c r="B13089" s="4" t="s">
        <v>179</v>
      </c>
      <c r="C13089" s="4" t="n">
        <v>4</v>
      </c>
      <c r="D13089" s="4" t="n">
        <v>10</v>
      </c>
      <c r="E13089" s="4" t="s">
        <v>3976</v>
      </c>
      <c r="F13089" s="4" t="n">
        <v>31</v>
      </c>
      <c r="G13089" s="4" t="n">
        <v>4</v>
      </c>
      <c r="H13089" s="4" t="n">
        <v>4</v>
      </c>
      <c r="I13089" s="4" t="str">
        <v>×</v>
      </c>
      <c r="J13089" s="4"/>
      <c r="K13089" s="4"/>
      <c r="L13089" s="4"/>
      <c r="M13089" s="7" t="s">
        <v>6556</v>
      </c>
    </row>
    <row r="13090" customFormat="false" ht="15.75" hidden="false" customHeight="false" outlineLevel="0" collapsed="false">
      <c r="A13090" s="6" t="n">
        <f aca="false">DATE(2026,8,15)</f>
        <v>46249</v>
      </c>
      <c r="B13090" s="4" t="s">
        <v>179</v>
      </c>
      <c r="C13090" s="4" t="n">
        <v>4</v>
      </c>
      <c r="D13090" s="4" t="n">
        <v>11</v>
      </c>
      <c r="E13090" s="4" t="s">
        <v>3428</v>
      </c>
      <c r="F13090" s="4" t="n">
        <v>13</v>
      </c>
      <c r="G13090" s="4" t="n">
        <v>11</v>
      </c>
      <c r="H13090" s="4" t="n">
        <v>4</v>
      </c>
      <c r="I13090" s="4" t="str">
        <v>×</v>
      </c>
      <c r="J13090" s="4"/>
      <c r="K13090" s="4"/>
      <c r="L13090" s="4"/>
      <c r="M13090" s="7" t="s">
        <v>6556</v>
      </c>
    </row>
    <row r="13091" customFormat="false" ht="15.75" hidden="false" customHeight="false" outlineLevel="0" collapsed="false">
      <c r="A13091" s="6" t="n">
        <f aca="false">DATE(2026,8,15)</f>
        <v>46249</v>
      </c>
      <c r="B13091" s="4" t="s">
        <v>179</v>
      </c>
      <c r="C13091" s="4" t="n">
        <v>4</v>
      </c>
      <c r="D13091" s="4" t="n">
        <v>12</v>
      </c>
      <c r="E13091" s="4" t="s">
        <v>2086</v>
      </c>
      <c r="F13091" s="4" t="n">
        <v>37</v>
      </c>
      <c r="G13091" s="4" t="n">
        <v>2</v>
      </c>
      <c r="H13091" s="4" t="n">
        <v>3</v>
      </c>
      <c r="I13091" s="4" t="str">
        <v>○</v>
      </c>
      <c r="J13091" s="4" t="n">
        <v>190</v>
      </c>
      <c r="K13091" s="4"/>
      <c r="L13091" s="4"/>
      <c r="M13091" s="7" t="s">
        <v>6556</v>
      </c>
    </row>
    <row r="13092" customFormat="false" ht="15.75" hidden="false" customHeight="false" outlineLevel="0" collapsed="false">
      <c r="A13092" s="6" t="n">
        <f aca="false">DATE(2026,8,15)</f>
        <v>46249</v>
      </c>
      <c r="B13092" s="4" t="s">
        <v>179</v>
      </c>
      <c r="C13092" s="4" t="n">
        <v>4</v>
      </c>
      <c r="D13092" s="4" t="n">
        <v>13</v>
      </c>
      <c r="E13092" s="4" t="s">
        <v>6572</v>
      </c>
      <c r="F13092" s="4" t="n">
        <v>8</v>
      </c>
      <c r="G13092" s="4" t="n">
        <v>14</v>
      </c>
      <c r="H13092" s="4" t="n">
        <v>4</v>
      </c>
      <c r="I13092" s="4" t="str">
        <v>×</v>
      </c>
      <c r="J13092" s="4"/>
      <c r="K13092" s="4"/>
      <c r="L13092" s="4"/>
      <c r="M13092" s="7" t="s">
        <v>6556</v>
      </c>
    </row>
    <row r="13093" customFormat="false" ht="15.75" hidden="false" customHeight="false" outlineLevel="0" collapsed="false">
      <c r="A13093" s="6" t="n">
        <f aca="false">DATE(2026,8,15)</f>
        <v>46249</v>
      </c>
      <c r="B13093" s="4" t="s">
        <v>179</v>
      </c>
      <c r="C13093" s="4" t="n">
        <v>4</v>
      </c>
      <c r="D13093" s="4" t="n">
        <v>14</v>
      </c>
      <c r="E13093" s="4" t="s">
        <v>3979</v>
      </c>
      <c r="F13093" s="4" t="n">
        <v>86</v>
      </c>
      <c r="G13093" s="4" t="n">
        <v>1</v>
      </c>
      <c r="H13093" s="4" t="n">
        <v>1</v>
      </c>
      <c r="I13093" s="4" t="str">
        <v>○</v>
      </c>
      <c r="J13093" s="4" t="n">
        <v>110</v>
      </c>
      <c r="K13093" s="4"/>
      <c r="L13093" s="4"/>
      <c r="M13093" s="7" t="s">
        <v>6556</v>
      </c>
    </row>
    <row r="13094" customFormat="false" ht="15.75" hidden="false" customHeight="false" outlineLevel="0" collapsed="false">
      <c r="A13094" s="6" t="n">
        <f aca="false">DATE(2026,8,15)</f>
        <v>46249</v>
      </c>
      <c r="B13094" s="4" t="s">
        <v>179</v>
      </c>
      <c r="C13094" s="4" t="n">
        <v>5</v>
      </c>
      <c r="D13094" s="4" t="n">
        <v>1</v>
      </c>
      <c r="E13094" s="4" t="s">
        <v>3151</v>
      </c>
      <c r="F13094" s="4" t="n">
        <v>20</v>
      </c>
      <c r="G13094" s="4" t="n">
        <v>8</v>
      </c>
      <c r="H13094" s="4" t="n">
        <v>4</v>
      </c>
      <c r="I13094" s="4" t="str">
        <v>×</v>
      </c>
      <c r="J13094" s="4"/>
      <c r="K13094" s="4"/>
      <c r="L13094" s="4"/>
      <c r="M13094" s="7" t="s">
        <v>6556</v>
      </c>
    </row>
    <row r="13095" customFormat="false" ht="15.75" hidden="false" customHeight="false" outlineLevel="0" collapsed="false">
      <c r="A13095" s="6" t="n">
        <f aca="false">DATE(2026,8,15)</f>
        <v>46249</v>
      </c>
      <c r="B13095" s="4" t="s">
        <v>179</v>
      </c>
      <c r="C13095" s="4" t="n">
        <v>5</v>
      </c>
      <c r="D13095" s="4" t="n">
        <v>2</v>
      </c>
      <c r="E13095" s="4" t="s">
        <v>6573</v>
      </c>
      <c r="F13095" s="4" t="n">
        <v>37</v>
      </c>
      <c r="G13095" s="4" t="n">
        <v>2</v>
      </c>
      <c r="H13095" s="4" t="n">
        <v>4</v>
      </c>
      <c r="I13095" s="4" t="str">
        <v>×</v>
      </c>
      <c r="J13095" s="4"/>
      <c r="K13095" s="4"/>
      <c r="L13095" s="4"/>
      <c r="M13095" s="7" t="s">
        <v>6556</v>
      </c>
    </row>
    <row r="13096" customFormat="false" ht="15.75" hidden="false" customHeight="false" outlineLevel="0" collapsed="false">
      <c r="A13096" s="6" t="n">
        <f aca="false">DATE(2026,8,15)</f>
        <v>46249</v>
      </c>
      <c r="B13096" s="4" t="s">
        <v>179</v>
      </c>
      <c r="C13096" s="4" t="n">
        <v>5</v>
      </c>
      <c r="D13096" s="4" t="n">
        <v>3</v>
      </c>
      <c r="E13096" s="4" t="s">
        <v>6574</v>
      </c>
      <c r="F13096" s="4" t="n">
        <v>29</v>
      </c>
      <c r="G13096" s="4" t="n">
        <v>4</v>
      </c>
      <c r="H13096" s="4" t="n">
        <v>3</v>
      </c>
      <c r="I13096" s="4" t="str">
        <v>○</v>
      </c>
      <c r="J13096" s="4" t="n">
        <v>240</v>
      </c>
      <c r="K13096" s="4"/>
      <c r="L13096" s="4"/>
      <c r="M13096" s="7" t="s">
        <v>6556</v>
      </c>
    </row>
    <row r="13097" customFormat="false" ht="15.75" hidden="false" customHeight="false" outlineLevel="0" collapsed="false">
      <c r="A13097" s="6" t="n">
        <f aca="false">DATE(2026,8,15)</f>
        <v>46249</v>
      </c>
      <c r="B13097" s="4" t="s">
        <v>179</v>
      </c>
      <c r="C13097" s="4" t="n">
        <v>5</v>
      </c>
      <c r="D13097" s="4" t="n">
        <v>4</v>
      </c>
      <c r="E13097" s="4" t="s">
        <v>6575</v>
      </c>
      <c r="F13097" s="4" t="n">
        <v>8</v>
      </c>
      <c r="G13097" s="4" t="n">
        <v>11</v>
      </c>
      <c r="H13097" s="4" t="n">
        <v>4</v>
      </c>
      <c r="I13097" s="4" t="str">
        <v>×</v>
      </c>
      <c r="J13097" s="4"/>
      <c r="K13097" s="4"/>
      <c r="L13097" s="4"/>
      <c r="M13097" s="7" t="s">
        <v>6556</v>
      </c>
    </row>
    <row r="13098" customFormat="false" ht="15.75" hidden="false" customHeight="false" outlineLevel="0" collapsed="false">
      <c r="A13098" s="6" t="n">
        <f aca="false">DATE(2026,8,15)</f>
        <v>46249</v>
      </c>
      <c r="B13098" s="4" t="s">
        <v>179</v>
      </c>
      <c r="C13098" s="4" t="n">
        <v>5</v>
      </c>
      <c r="D13098" s="4" t="n">
        <v>5</v>
      </c>
      <c r="E13098" s="4" t="s">
        <v>6576</v>
      </c>
      <c r="F13098" s="4" t="n">
        <v>3</v>
      </c>
      <c r="G13098" s="4" t="n">
        <v>15</v>
      </c>
      <c r="H13098" s="4" t="n">
        <v>4</v>
      </c>
      <c r="I13098" s="4" t="str">
        <v>×</v>
      </c>
      <c r="J13098" s="4"/>
      <c r="K13098" s="4"/>
      <c r="L13098" s="4"/>
      <c r="M13098" s="7" t="s">
        <v>6556</v>
      </c>
    </row>
    <row r="13099" customFormat="false" ht="15.75" hidden="false" customHeight="false" outlineLevel="0" collapsed="false">
      <c r="A13099" s="6" t="n">
        <f aca="false">DATE(2026,8,15)</f>
        <v>46249</v>
      </c>
      <c r="B13099" s="4" t="s">
        <v>179</v>
      </c>
      <c r="C13099" s="4" t="n">
        <v>5</v>
      </c>
      <c r="D13099" s="4" t="n">
        <v>6</v>
      </c>
      <c r="E13099" s="4" t="s">
        <v>1597</v>
      </c>
      <c r="F13099" s="4" t="n">
        <v>56</v>
      </c>
      <c r="G13099" s="4" t="n">
        <v>1</v>
      </c>
      <c r="H13099" s="4" t="n">
        <v>1</v>
      </c>
      <c r="I13099" s="4" t="str">
        <v>○</v>
      </c>
      <c r="J13099" s="4" t="n">
        <v>160</v>
      </c>
      <c r="K13099" s="4"/>
      <c r="L13099" s="4"/>
      <c r="M13099" s="7" t="s">
        <v>6556</v>
      </c>
    </row>
    <row r="13100" customFormat="false" ht="15.75" hidden="false" customHeight="false" outlineLevel="0" collapsed="false">
      <c r="A13100" s="6" t="n">
        <f aca="false">DATE(2026,8,15)</f>
        <v>46249</v>
      </c>
      <c r="B13100" s="4" t="s">
        <v>179</v>
      </c>
      <c r="C13100" s="4" t="n">
        <v>5</v>
      </c>
      <c r="D13100" s="4" t="n">
        <v>7</v>
      </c>
      <c r="E13100" s="4" t="s">
        <v>2841</v>
      </c>
      <c r="F13100" s="4" t="n">
        <v>37</v>
      </c>
      <c r="G13100" s="4" t="n">
        <v>3</v>
      </c>
      <c r="H13100" s="4" t="n">
        <v>2</v>
      </c>
      <c r="I13100" s="4" t="str">
        <v>○</v>
      </c>
      <c r="J13100" s="4" t="n">
        <v>170</v>
      </c>
      <c r="K13100" s="4"/>
      <c r="L13100" s="4"/>
      <c r="M13100" s="7" t="s">
        <v>6556</v>
      </c>
    </row>
    <row r="13101" customFormat="false" ht="15.75" hidden="false" customHeight="false" outlineLevel="0" collapsed="false">
      <c r="A13101" s="6" t="n">
        <f aca="false">DATE(2026,8,15)</f>
        <v>46249</v>
      </c>
      <c r="B13101" s="4" t="s">
        <v>179</v>
      </c>
      <c r="C13101" s="4" t="n">
        <v>5</v>
      </c>
      <c r="D13101" s="4" t="n">
        <v>8</v>
      </c>
      <c r="E13101" s="4" t="s">
        <v>6470</v>
      </c>
      <c r="F13101" s="4" t="n">
        <v>8</v>
      </c>
      <c r="G13101" s="4" t="n">
        <v>12</v>
      </c>
      <c r="H13101" s="4" t="n">
        <v>4</v>
      </c>
      <c r="I13101" s="4" t="str">
        <v>×</v>
      </c>
      <c r="J13101" s="4"/>
      <c r="K13101" s="4"/>
      <c r="L13101" s="4"/>
      <c r="M13101" s="7" t="s">
        <v>6556</v>
      </c>
    </row>
    <row r="13102" customFormat="false" ht="15.75" hidden="false" customHeight="false" outlineLevel="0" collapsed="false">
      <c r="A13102" s="6" t="n">
        <f aca="false">DATE(2026,8,15)</f>
        <v>46249</v>
      </c>
      <c r="B13102" s="4" t="s">
        <v>179</v>
      </c>
      <c r="C13102" s="4" t="n">
        <v>5</v>
      </c>
      <c r="D13102" s="4" t="n">
        <v>9</v>
      </c>
      <c r="E13102" s="4" t="s">
        <v>6577</v>
      </c>
      <c r="F13102" s="4" t="n">
        <v>8</v>
      </c>
      <c r="G13102" s="4" t="n">
        <v>13</v>
      </c>
      <c r="H13102" s="4" t="n">
        <v>4</v>
      </c>
      <c r="I13102" s="4" t="str">
        <v>×</v>
      </c>
      <c r="J13102" s="4"/>
      <c r="K13102" s="4"/>
      <c r="L13102" s="4"/>
      <c r="M13102" s="7" t="s">
        <v>6556</v>
      </c>
    </row>
    <row r="13103" customFormat="false" ht="15.75" hidden="false" customHeight="false" outlineLevel="0" collapsed="false">
      <c r="A13103" s="6" t="n">
        <f aca="false">DATE(2026,8,15)</f>
        <v>46249</v>
      </c>
      <c r="B13103" s="4" t="s">
        <v>179</v>
      </c>
      <c r="C13103" s="4" t="n">
        <v>5</v>
      </c>
      <c r="D13103" s="4" t="n">
        <v>10</v>
      </c>
      <c r="E13103" s="4" t="s">
        <v>1593</v>
      </c>
      <c r="F13103" s="4" t="n">
        <v>4</v>
      </c>
      <c r="G13103" s="4" t="n">
        <v>14</v>
      </c>
      <c r="H13103" s="4" t="n">
        <v>4</v>
      </c>
      <c r="I13103" s="4" t="str">
        <v>×</v>
      </c>
      <c r="J13103" s="4"/>
      <c r="K13103" s="4"/>
      <c r="L13103" s="4"/>
      <c r="M13103" s="7" t="s">
        <v>6556</v>
      </c>
    </row>
    <row r="13104" customFormat="false" ht="15.75" hidden="false" customHeight="false" outlineLevel="0" collapsed="false">
      <c r="A13104" s="6" t="n">
        <f aca="false">DATE(2026,8,15)</f>
        <v>46249</v>
      </c>
      <c r="B13104" s="4" t="s">
        <v>179</v>
      </c>
      <c r="C13104" s="4" t="n">
        <v>5</v>
      </c>
      <c r="D13104" s="4" t="n">
        <v>11</v>
      </c>
      <c r="E13104" s="4" t="s">
        <v>3600</v>
      </c>
      <c r="F13104" s="4" t="n">
        <v>29</v>
      </c>
      <c r="G13104" s="4" t="n">
        <v>5</v>
      </c>
      <c r="H13104" s="4" t="n">
        <v>4</v>
      </c>
      <c r="I13104" s="4" t="str">
        <v>×</v>
      </c>
      <c r="J13104" s="4"/>
      <c r="K13104" s="4"/>
      <c r="L13104" s="4"/>
      <c r="M13104" s="7" t="s">
        <v>6556</v>
      </c>
    </row>
    <row r="13105" customFormat="false" ht="15.75" hidden="false" customHeight="false" outlineLevel="0" collapsed="false">
      <c r="A13105" s="6" t="n">
        <f aca="false">DATE(2026,8,15)</f>
        <v>46249</v>
      </c>
      <c r="B13105" s="4" t="s">
        <v>179</v>
      </c>
      <c r="C13105" s="4" t="n">
        <v>5</v>
      </c>
      <c r="D13105" s="4" t="n">
        <v>12</v>
      </c>
      <c r="E13105" s="4" t="s">
        <v>6578</v>
      </c>
      <c r="F13105" s="4" t="n">
        <v>13</v>
      </c>
      <c r="G13105" s="4" t="n">
        <v>9</v>
      </c>
      <c r="H13105" s="4" t="n">
        <v>4</v>
      </c>
      <c r="I13105" s="4" t="str">
        <v>×</v>
      </c>
      <c r="J13105" s="4"/>
      <c r="K13105" s="4"/>
      <c r="L13105" s="4"/>
      <c r="M13105" s="7" t="s">
        <v>6556</v>
      </c>
    </row>
    <row r="13106" customFormat="false" ht="15.75" hidden="false" customHeight="false" outlineLevel="0" collapsed="false">
      <c r="A13106" s="6" t="n">
        <f aca="false">DATE(2026,8,15)</f>
        <v>46249</v>
      </c>
      <c r="B13106" s="4" t="s">
        <v>179</v>
      </c>
      <c r="C13106" s="4" t="n">
        <v>5</v>
      </c>
      <c r="D13106" s="4" t="n">
        <v>13</v>
      </c>
      <c r="E13106" s="4" t="s">
        <v>5458</v>
      </c>
      <c r="F13106" s="4" t="n">
        <v>25</v>
      </c>
      <c r="G13106" s="4" t="n">
        <v>7</v>
      </c>
      <c r="H13106" s="4" t="n">
        <v>4</v>
      </c>
      <c r="I13106" s="4" t="str">
        <v>×</v>
      </c>
      <c r="J13106" s="4"/>
      <c r="K13106" s="4"/>
      <c r="L13106" s="4"/>
      <c r="M13106" s="7" t="s">
        <v>6556</v>
      </c>
    </row>
    <row r="13107" customFormat="false" ht="15.75" hidden="false" customHeight="false" outlineLevel="0" collapsed="false">
      <c r="A13107" s="6" t="n">
        <f aca="false">DATE(2026,8,15)</f>
        <v>46249</v>
      </c>
      <c r="B13107" s="4" t="s">
        <v>179</v>
      </c>
      <c r="C13107" s="4" t="n">
        <v>5</v>
      </c>
      <c r="D13107" s="4" t="n">
        <v>14</v>
      </c>
      <c r="E13107" s="4" t="s">
        <v>6579</v>
      </c>
      <c r="F13107" s="4" t="n">
        <v>29</v>
      </c>
      <c r="G13107" s="4" t="n">
        <v>6</v>
      </c>
      <c r="H13107" s="4" t="n">
        <v>4</v>
      </c>
      <c r="I13107" s="4" t="str">
        <v>×</v>
      </c>
      <c r="J13107" s="4"/>
      <c r="K13107" s="4"/>
      <c r="L13107" s="4"/>
      <c r="M13107" s="7" t="s">
        <v>6556</v>
      </c>
    </row>
    <row r="13108" customFormat="false" ht="15.75" hidden="false" customHeight="false" outlineLevel="0" collapsed="false">
      <c r="A13108" s="6" t="n">
        <f aca="false">DATE(2026,8,15)</f>
        <v>46249</v>
      </c>
      <c r="B13108" s="4" t="s">
        <v>179</v>
      </c>
      <c r="C13108" s="4" t="n">
        <v>5</v>
      </c>
      <c r="D13108" s="4" t="n">
        <v>15</v>
      </c>
      <c r="E13108" s="4" t="s">
        <v>2066</v>
      </c>
      <c r="F13108" s="4" t="n">
        <v>2</v>
      </c>
      <c r="G13108" s="4" t="n">
        <v>16</v>
      </c>
      <c r="H13108" s="4" t="n">
        <v>4</v>
      </c>
      <c r="I13108" s="4" t="str">
        <v>×</v>
      </c>
      <c r="J13108" s="4"/>
      <c r="K13108" s="4"/>
      <c r="L13108" s="4"/>
      <c r="M13108" s="7" t="s">
        <v>6556</v>
      </c>
    </row>
    <row r="13109" customFormat="false" ht="15.75" hidden="false" customHeight="false" outlineLevel="0" collapsed="false">
      <c r="A13109" s="6" t="n">
        <f aca="false">DATE(2026,8,15)</f>
        <v>46249</v>
      </c>
      <c r="B13109" s="4" t="s">
        <v>179</v>
      </c>
      <c r="C13109" s="4" t="n">
        <v>5</v>
      </c>
      <c r="D13109" s="4" t="n">
        <v>16</v>
      </c>
      <c r="E13109" s="4" t="s">
        <v>4586</v>
      </c>
      <c r="F13109" s="4" t="n">
        <v>13</v>
      </c>
      <c r="G13109" s="4" t="n">
        <v>10</v>
      </c>
      <c r="H13109" s="4" t="n">
        <v>4</v>
      </c>
      <c r="I13109" s="4" t="str">
        <v>×</v>
      </c>
      <c r="J13109" s="4"/>
      <c r="K13109" s="4"/>
      <c r="L13109" s="4"/>
      <c r="M13109" s="7" t="s">
        <v>6556</v>
      </c>
    </row>
    <row r="13110" customFormat="false" ht="15.75" hidden="false" customHeight="false" outlineLevel="0" collapsed="false">
      <c r="A13110" s="6" t="n">
        <f aca="false">DATE(2026,8,15)</f>
        <v>46249</v>
      </c>
      <c r="B13110" s="4" t="s">
        <v>179</v>
      </c>
      <c r="C13110" s="4" t="n">
        <v>6</v>
      </c>
      <c r="D13110" s="4" t="n">
        <v>1</v>
      </c>
      <c r="E13110" s="4" t="s">
        <v>6580</v>
      </c>
      <c r="F13110" s="4" t="n">
        <v>37</v>
      </c>
      <c r="G13110" s="4" t="n">
        <v>3</v>
      </c>
      <c r="H13110" s="4" t="n">
        <v>4</v>
      </c>
      <c r="I13110" s="4" t="str">
        <v>×</v>
      </c>
      <c r="J13110" s="4"/>
      <c r="K13110" s="4"/>
      <c r="L13110" s="4"/>
      <c r="M13110" s="7" t="s">
        <v>6556</v>
      </c>
    </row>
    <row r="13111" customFormat="false" ht="15.75" hidden="false" customHeight="false" outlineLevel="0" collapsed="false">
      <c r="A13111" s="6" t="n">
        <f aca="false">DATE(2026,8,15)</f>
        <v>46249</v>
      </c>
      <c r="B13111" s="4" t="s">
        <v>179</v>
      </c>
      <c r="C13111" s="4" t="n">
        <v>6</v>
      </c>
      <c r="D13111" s="4" t="n">
        <v>2</v>
      </c>
      <c r="E13111" s="4" t="s">
        <v>6581</v>
      </c>
      <c r="F13111" s="4" t="n">
        <v>13</v>
      </c>
      <c r="G13111" s="4" t="n">
        <v>9</v>
      </c>
      <c r="H13111" s="4" t="n">
        <v>4</v>
      </c>
      <c r="I13111" s="4" t="str">
        <v>×</v>
      </c>
      <c r="J13111" s="4"/>
      <c r="K13111" s="4"/>
      <c r="L13111" s="4"/>
      <c r="M13111" s="7" t="s">
        <v>6556</v>
      </c>
    </row>
    <row r="13112" customFormat="false" ht="15.75" hidden="false" customHeight="false" outlineLevel="0" collapsed="false">
      <c r="A13112" s="6" t="n">
        <f aca="false">DATE(2026,8,15)</f>
        <v>46249</v>
      </c>
      <c r="B13112" s="4" t="s">
        <v>179</v>
      </c>
      <c r="C13112" s="4" t="n">
        <v>6</v>
      </c>
      <c r="D13112" s="4" t="n">
        <v>3</v>
      </c>
      <c r="E13112" s="4" t="s">
        <v>1219</v>
      </c>
      <c r="F13112" s="4" t="n">
        <v>37</v>
      </c>
      <c r="G13112" s="4" t="n">
        <v>4</v>
      </c>
      <c r="H13112" s="4" t="n">
        <v>4</v>
      </c>
      <c r="I13112" s="4" t="str">
        <v>×</v>
      </c>
      <c r="J13112" s="4"/>
      <c r="K13112" s="4"/>
      <c r="L13112" s="4"/>
      <c r="M13112" s="7" t="s">
        <v>6556</v>
      </c>
    </row>
    <row r="13113" customFormat="false" ht="15.75" hidden="false" customHeight="false" outlineLevel="0" collapsed="false">
      <c r="A13113" s="6" t="n">
        <f aca="false">DATE(2026,8,15)</f>
        <v>46249</v>
      </c>
      <c r="B13113" s="4" t="s">
        <v>179</v>
      </c>
      <c r="C13113" s="4" t="n">
        <v>6</v>
      </c>
      <c r="D13113" s="4" t="n">
        <v>4</v>
      </c>
      <c r="E13113" s="4" t="s">
        <v>5679</v>
      </c>
      <c r="F13113" s="4" t="n">
        <v>41</v>
      </c>
      <c r="G13113" s="4" t="n">
        <v>2</v>
      </c>
      <c r="H13113" s="4" t="n">
        <v>4</v>
      </c>
      <c r="I13113" s="4" t="str">
        <v>×</v>
      </c>
      <c r="J13113" s="4"/>
      <c r="K13113" s="4"/>
      <c r="L13113" s="4"/>
      <c r="M13113" s="7" t="s">
        <v>6556</v>
      </c>
    </row>
    <row r="13114" customFormat="false" ht="15.75" hidden="false" customHeight="false" outlineLevel="0" collapsed="false">
      <c r="A13114" s="6" t="n">
        <f aca="false">DATE(2026,8,15)</f>
        <v>46249</v>
      </c>
      <c r="B13114" s="4" t="s">
        <v>179</v>
      </c>
      <c r="C13114" s="4" t="n">
        <v>6</v>
      </c>
      <c r="D13114" s="4" t="n">
        <v>5</v>
      </c>
      <c r="E13114" s="4" t="s">
        <v>6582</v>
      </c>
      <c r="F13114" s="4" t="n">
        <v>23</v>
      </c>
      <c r="G13114" s="4" t="n">
        <v>8</v>
      </c>
      <c r="H13114" s="4" t="n">
        <v>4</v>
      </c>
      <c r="I13114" s="4" t="str">
        <v>×</v>
      </c>
      <c r="J13114" s="4"/>
      <c r="K13114" s="4"/>
      <c r="L13114" s="4"/>
      <c r="M13114" s="7" t="s">
        <v>6556</v>
      </c>
    </row>
    <row r="13115" customFormat="false" ht="15.75" hidden="false" customHeight="false" outlineLevel="0" collapsed="false">
      <c r="A13115" s="6" t="n">
        <f aca="false">DATE(2026,8,15)</f>
        <v>46249</v>
      </c>
      <c r="B13115" s="4" t="s">
        <v>179</v>
      </c>
      <c r="C13115" s="4" t="n">
        <v>6</v>
      </c>
      <c r="D13115" s="4" t="n">
        <v>6</v>
      </c>
      <c r="E13115" s="4" t="s">
        <v>6583</v>
      </c>
      <c r="F13115" s="4" t="n">
        <v>10</v>
      </c>
      <c r="G13115" s="4" t="n">
        <v>10</v>
      </c>
      <c r="H13115" s="4" t="n">
        <v>4</v>
      </c>
      <c r="I13115" s="4" t="str">
        <v>×</v>
      </c>
      <c r="J13115" s="4"/>
      <c r="K13115" s="4"/>
      <c r="L13115" s="4"/>
      <c r="M13115" s="7" t="s">
        <v>6556</v>
      </c>
    </row>
    <row r="13116" customFormat="false" ht="15.75" hidden="false" customHeight="false" outlineLevel="0" collapsed="false">
      <c r="A13116" s="6" t="n">
        <f aca="false">DATE(2026,8,15)</f>
        <v>46249</v>
      </c>
      <c r="B13116" s="4" t="s">
        <v>179</v>
      </c>
      <c r="C13116" s="4" t="n">
        <v>6</v>
      </c>
      <c r="D13116" s="4" t="n">
        <v>7</v>
      </c>
      <c r="E13116" s="4" t="s">
        <v>5970</v>
      </c>
      <c r="F13116" s="4" t="n">
        <v>34</v>
      </c>
      <c r="G13116" s="4" t="n">
        <v>5</v>
      </c>
      <c r="H13116" s="4" t="n">
        <v>2</v>
      </c>
      <c r="I13116" s="4" t="str">
        <v>○</v>
      </c>
      <c r="J13116" s="4" t="n">
        <v>160</v>
      </c>
      <c r="K13116" s="4"/>
      <c r="L13116" s="4"/>
      <c r="M13116" s="7" t="s">
        <v>6556</v>
      </c>
    </row>
    <row r="13117" customFormat="false" ht="15.75" hidden="false" customHeight="false" outlineLevel="0" collapsed="false">
      <c r="A13117" s="6" t="n">
        <f aca="false">DATE(2026,8,15)</f>
        <v>46249</v>
      </c>
      <c r="B13117" s="4" t="s">
        <v>179</v>
      </c>
      <c r="C13117" s="4" t="n">
        <v>6</v>
      </c>
      <c r="D13117" s="4" t="n">
        <v>8</v>
      </c>
      <c r="E13117" s="4" t="s">
        <v>2141</v>
      </c>
      <c r="F13117" s="4" t="n">
        <v>10</v>
      </c>
      <c r="G13117" s="4" t="n">
        <v>11</v>
      </c>
      <c r="H13117" s="4" t="n">
        <v>3</v>
      </c>
      <c r="I13117" s="4" t="str">
        <v>○</v>
      </c>
      <c r="J13117" s="4" t="n">
        <v>1050</v>
      </c>
      <c r="K13117" s="4"/>
      <c r="L13117" s="4"/>
      <c r="M13117" s="7" t="s">
        <v>6556</v>
      </c>
    </row>
    <row r="13118" customFormat="false" ht="15.75" hidden="false" customHeight="false" outlineLevel="0" collapsed="false">
      <c r="A13118" s="6" t="n">
        <f aca="false">DATE(2026,8,15)</f>
        <v>46249</v>
      </c>
      <c r="B13118" s="4" t="s">
        <v>179</v>
      </c>
      <c r="C13118" s="4" t="n">
        <v>6</v>
      </c>
      <c r="D13118" s="4" t="n">
        <v>9</v>
      </c>
      <c r="E13118" s="4" t="s">
        <v>5974</v>
      </c>
      <c r="F13118" s="4" t="n">
        <v>34</v>
      </c>
      <c r="G13118" s="4" t="n">
        <v>6</v>
      </c>
      <c r="H13118" s="4" t="n">
        <v>4</v>
      </c>
      <c r="I13118" s="4" t="str">
        <v>×</v>
      </c>
      <c r="J13118" s="4"/>
      <c r="K13118" s="4"/>
      <c r="L13118" s="4"/>
      <c r="M13118" s="7" t="s">
        <v>6556</v>
      </c>
    </row>
    <row r="13119" customFormat="false" ht="15.75" hidden="false" customHeight="false" outlineLevel="0" collapsed="false">
      <c r="A13119" s="6" t="n">
        <f aca="false">DATE(2026,8,15)</f>
        <v>46249</v>
      </c>
      <c r="B13119" s="4" t="s">
        <v>179</v>
      </c>
      <c r="C13119" s="4" t="n">
        <v>6</v>
      </c>
      <c r="D13119" s="4" t="n">
        <v>10</v>
      </c>
      <c r="E13119" s="4" t="s">
        <v>5971</v>
      </c>
      <c r="F13119" s="4" t="n">
        <v>44</v>
      </c>
      <c r="G13119" s="4" t="n">
        <v>1</v>
      </c>
      <c r="H13119" s="4" t="n">
        <v>1</v>
      </c>
      <c r="I13119" s="4" t="str">
        <v>○</v>
      </c>
      <c r="J13119" s="4" t="n">
        <v>150</v>
      </c>
      <c r="K13119" s="4"/>
      <c r="L13119" s="4"/>
      <c r="M13119" s="7" t="s">
        <v>6556</v>
      </c>
    </row>
    <row r="13120" customFormat="false" ht="15.75" hidden="false" customHeight="false" outlineLevel="0" collapsed="false">
      <c r="A13120" s="6" t="n">
        <f aca="false">DATE(2026,8,15)</f>
        <v>46249</v>
      </c>
      <c r="B13120" s="4" t="s">
        <v>179</v>
      </c>
      <c r="C13120" s="4" t="n">
        <v>6</v>
      </c>
      <c r="D13120" s="4" t="n">
        <v>11</v>
      </c>
      <c r="E13120" s="4" t="s">
        <v>5288</v>
      </c>
      <c r="F13120" s="4" t="n">
        <v>31</v>
      </c>
      <c r="G13120" s="4" t="n">
        <v>7</v>
      </c>
      <c r="H13120" s="4" t="n">
        <v>4</v>
      </c>
      <c r="I13120" s="4" t="str">
        <v>×</v>
      </c>
      <c r="J13120" s="4"/>
      <c r="K13120" s="4"/>
      <c r="L13120" s="4"/>
      <c r="M13120" s="7" t="s">
        <v>6556</v>
      </c>
    </row>
    <row r="13121" customFormat="false" ht="15.75" hidden="false" customHeight="false" outlineLevel="0" collapsed="false">
      <c r="A13121" s="6" t="n">
        <f aca="false">DATE(2026,8,15)</f>
        <v>46249</v>
      </c>
      <c r="B13121" s="4" t="s">
        <v>179</v>
      </c>
      <c r="C13121" s="4" t="n">
        <v>7</v>
      </c>
      <c r="D13121" s="4" t="n">
        <v>1</v>
      </c>
      <c r="E13121" s="4" t="s">
        <v>2909</v>
      </c>
      <c r="F13121" s="4" t="n">
        <v>31</v>
      </c>
      <c r="G13121" s="4" t="n">
        <v>5</v>
      </c>
      <c r="H13121" s="4" t="n">
        <v>3</v>
      </c>
      <c r="I13121" s="4" t="str">
        <v>○</v>
      </c>
      <c r="J13121" s="4" t="n">
        <v>340</v>
      </c>
      <c r="K13121" s="4"/>
      <c r="L13121" s="4"/>
      <c r="M13121" s="7" t="s">
        <v>6556</v>
      </c>
    </row>
    <row r="13122" customFormat="false" ht="15.75" hidden="false" customHeight="false" outlineLevel="0" collapsed="false">
      <c r="A13122" s="6" t="n">
        <f aca="false">DATE(2026,8,15)</f>
        <v>46249</v>
      </c>
      <c r="B13122" s="4" t="s">
        <v>179</v>
      </c>
      <c r="C13122" s="4" t="n">
        <v>7</v>
      </c>
      <c r="D13122" s="4" t="n">
        <v>2</v>
      </c>
      <c r="E13122" s="4" t="s">
        <v>6584</v>
      </c>
      <c r="F13122" s="4" t="n">
        <v>25</v>
      </c>
      <c r="G13122" s="4" t="n">
        <v>6</v>
      </c>
      <c r="H13122" s="4" t="n">
        <v>4</v>
      </c>
      <c r="I13122" s="4" t="str">
        <v>×</v>
      </c>
      <c r="J13122" s="4"/>
      <c r="K13122" s="4"/>
      <c r="L13122" s="4"/>
      <c r="M13122" s="7" t="s">
        <v>6556</v>
      </c>
    </row>
    <row r="13123" customFormat="false" ht="15.75" hidden="false" customHeight="false" outlineLevel="0" collapsed="false">
      <c r="A13123" s="6" t="n">
        <f aca="false">DATE(2026,8,15)</f>
        <v>46249</v>
      </c>
      <c r="B13123" s="4" t="s">
        <v>179</v>
      </c>
      <c r="C13123" s="4" t="n">
        <v>7</v>
      </c>
      <c r="D13123" s="4" t="n">
        <v>3</v>
      </c>
      <c r="E13123" s="4" t="s">
        <v>2911</v>
      </c>
      <c r="F13123" s="4" t="n">
        <v>25</v>
      </c>
      <c r="G13123" s="4" t="n">
        <v>7</v>
      </c>
      <c r="H13123" s="4" t="n">
        <v>2</v>
      </c>
      <c r="I13123" s="4" t="str">
        <v>○</v>
      </c>
      <c r="J13123" s="4" t="n">
        <v>380</v>
      </c>
      <c r="K13123" s="4"/>
      <c r="L13123" s="4"/>
      <c r="M13123" s="7" t="s">
        <v>6556</v>
      </c>
    </row>
    <row r="13124" customFormat="false" ht="15.75" hidden="false" customHeight="false" outlineLevel="0" collapsed="false">
      <c r="A13124" s="6" t="n">
        <f aca="false">DATE(2026,8,15)</f>
        <v>46249</v>
      </c>
      <c r="B13124" s="4" t="s">
        <v>179</v>
      </c>
      <c r="C13124" s="4" t="n">
        <v>7</v>
      </c>
      <c r="D13124" s="4" t="n">
        <v>4</v>
      </c>
      <c r="E13124" s="4" t="s">
        <v>6585</v>
      </c>
      <c r="F13124" s="4" t="n">
        <v>34</v>
      </c>
      <c r="G13124" s="4" t="n">
        <v>4</v>
      </c>
      <c r="H13124" s="4" t="n">
        <v>4</v>
      </c>
      <c r="I13124" s="4" t="str">
        <v>×</v>
      </c>
      <c r="J13124" s="4"/>
      <c r="K13124" s="4"/>
      <c r="L13124" s="4"/>
      <c r="M13124" s="7" t="s">
        <v>6556</v>
      </c>
    </row>
    <row r="13125" customFormat="false" ht="15.75" hidden="false" customHeight="false" outlineLevel="0" collapsed="false">
      <c r="A13125" s="6" t="n">
        <f aca="false">DATE(2026,8,15)</f>
        <v>46249</v>
      </c>
      <c r="B13125" s="4" t="s">
        <v>179</v>
      </c>
      <c r="C13125" s="4" t="n">
        <v>7</v>
      </c>
      <c r="D13125" s="4" t="n">
        <v>5</v>
      </c>
      <c r="E13125" s="4" t="s">
        <v>4656</v>
      </c>
      <c r="F13125" s="4" t="n">
        <v>62</v>
      </c>
      <c r="G13125" s="4" t="n">
        <v>1</v>
      </c>
      <c r="H13125" s="4" t="n">
        <v>1</v>
      </c>
      <c r="I13125" s="4" t="str">
        <v>○</v>
      </c>
      <c r="J13125" s="4" t="n">
        <v>140</v>
      </c>
      <c r="K13125" s="4"/>
      <c r="L13125" s="4"/>
      <c r="M13125" s="7" t="s">
        <v>6556</v>
      </c>
    </row>
    <row r="13126" customFormat="false" ht="15.75" hidden="false" customHeight="false" outlineLevel="0" collapsed="false">
      <c r="A13126" s="6" t="n">
        <f aca="false">DATE(2026,8,15)</f>
        <v>46249</v>
      </c>
      <c r="B13126" s="4" t="s">
        <v>179</v>
      </c>
      <c r="C13126" s="4" t="n">
        <v>7</v>
      </c>
      <c r="D13126" s="4" t="n">
        <v>6</v>
      </c>
      <c r="E13126" s="4" t="s">
        <v>5488</v>
      </c>
      <c r="F13126" s="4" t="n">
        <v>37</v>
      </c>
      <c r="G13126" s="4" t="n">
        <v>3</v>
      </c>
      <c r="H13126" s="4" t="n">
        <v>4</v>
      </c>
      <c r="I13126" s="4" t="str">
        <v>×</v>
      </c>
      <c r="J13126" s="4"/>
      <c r="K13126" s="4"/>
      <c r="L13126" s="4"/>
      <c r="M13126" s="7" t="s">
        <v>6556</v>
      </c>
    </row>
    <row r="13127" customFormat="false" ht="15.75" hidden="false" customHeight="false" outlineLevel="0" collapsed="false">
      <c r="A13127" s="6" t="n">
        <f aca="false">DATE(2026,8,15)</f>
        <v>46249</v>
      </c>
      <c r="B13127" s="4" t="s">
        <v>179</v>
      </c>
      <c r="C13127" s="4" t="n">
        <v>7</v>
      </c>
      <c r="D13127" s="4" t="n">
        <v>7</v>
      </c>
      <c r="E13127" s="4" t="s">
        <v>4348</v>
      </c>
      <c r="F13127" s="4" t="n">
        <v>60</v>
      </c>
      <c r="G13127" s="4" t="n">
        <v>2</v>
      </c>
      <c r="H13127" s="4" t="n">
        <v>4</v>
      </c>
      <c r="I13127" s="4" t="str">
        <v>×</v>
      </c>
      <c r="J13127" s="4"/>
      <c r="K13127" s="4"/>
      <c r="L13127" s="4"/>
      <c r="M13127" s="7" t="s">
        <v>6556</v>
      </c>
    </row>
    <row r="13128" customFormat="false" ht="15.75" hidden="false" customHeight="false" outlineLevel="0" collapsed="false">
      <c r="A13128" s="6" t="n">
        <f aca="false">DATE(2026,8,15)</f>
        <v>46249</v>
      </c>
      <c r="B13128" s="4" t="s">
        <v>179</v>
      </c>
      <c r="C13128" s="4" t="n">
        <v>7</v>
      </c>
      <c r="D13128" s="4" t="n">
        <v>8</v>
      </c>
      <c r="E13128" s="4" t="s">
        <v>6586</v>
      </c>
      <c r="F13128" s="4" t="n">
        <v>8</v>
      </c>
      <c r="G13128" s="4" t="n">
        <v>8</v>
      </c>
      <c r="H13128" s="4" t="n">
        <v>4</v>
      </c>
      <c r="I13128" s="4" t="str">
        <v>×</v>
      </c>
      <c r="J13128" s="4"/>
      <c r="K13128" s="4"/>
      <c r="L13128" s="4"/>
      <c r="M13128" s="7" t="s">
        <v>6556</v>
      </c>
    </row>
    <row r="13129" customFormat="false" ht="15.75" hidden="false" customHeight="false" outlineLevel="0" collapsed="false">
      <c r="A13129" s="6" t="n">
        <f aca="false">DATE(2026,8,15)</f>
        <v>46249</v>
      </c>
      <c r="B13129" s="4" t="s">
        <v>179</v>
      </c>
      <c r="C13129" s="4" t="n">
        <v>8</v>
      </c>
      <c r="D13129" s="4" t="n">
        <v>1</v>
      </c>
      <c r="E13129" s="4" t="s">
        <v>6587</v>
      </c>
      <c r="F13129" s="4" t="n">
        <v>71</v>
      </c>
      <c r="G13129" s="4" t="n">
        <v>1</v>
      </c>
      <c r="H13129" s="4" t="n">
        <v>2</v>
      </c>
      <c r="I13129" s="4" t="str">
        <v>○</v>
      </c>
      <c r="J13129" s="4" t="n">
        <v>110</v>
      </c>
      <c r="K13129" s="4"/>
      <c r="L13129" s="4"/>
      <c r="M13129" s="7" t="s">
        <v>6556</v>
      </c>
    </row>
    <row r="13130" customFormat="false" ht="15.75" hidden="false" customHeight="false" outlineLevel="0" collapsed="false">
      <c r="A13130" s="6" t="n">
        <f aca="false">DATE(2026,8,15)</f>
        <v>46249</v>
      </c>
      <c r="B13130" s="4" t="s">
        <v>179</v>
      </c>
      <c r="C13130" s="4" t="n">
        <v>8</v>
      </c>
      <c r="D13130" s="4" t="n">
        <v>2</v>
      </c>
      <c r="E13130" s="4" t="s">
        <v>6588</v>
      </c>
      <c r="F13130" s="4" t="n">
        <v>10</v>
      </c>
      <c r="G13130" s="4" t="n">
        <v>8</v>
      </c>
      <c r="H13130" s="4" t="n">
        <v>4</v>
      </c>
      <c r="I13130" s="4" t="str">
        <v>×</v>
      </c>
      <c r="J13130" s="4"/>
      <c r="K13130" s="4"/>
      <c r="L13130" s="4"/>
      <c r="M13130" s="7" t="s">
        <v>6556</v>
      </c>
    </row>
    <row r="13131" customFormat="false" ht="15.75" hidden="false" customHeight="false" outlineLevel="0" collapsed="false">
      <c r="A13131" s="6" t="n">
        <f aca="false">DATE(2026,8,15)</f>
        <v>46249</v>
      </c>
      <c r="B13131" s="4" t="s">
        <v>179</v>
      </c>
      <c r="C13131" s="4" t="n">
        <v>8</v>
      </c>
      <c r="D13131" s="4" t="n">
        <v>3</v>
      </c>
      <c r="E13131" s="4" t="s">
        <v>6589</v>
      </c>
      <c r="F13131" s="4" t="n">
        <v>8</v>
      </c>
      <c r="G13131" s="4" t="n">
        <v>10</v>
      </c>
      <c r="H13131" s="4" t="n">
        <v>4</v>
      </c>
      <c r="I13131" s="4" t="str">
        <v>×</v>
      </c>
      <c r="J13131" s="4"/>
      <c r="K13131" s="4"/>
      <c r="L13131" s="4"/>
      <c r="M13131" s="7" t="s">
        <v>6556</v>
      </c>
    </row>
    <row r="13132" customFormat="false" ht="15.75" hidden="false" customHeight="false" outlineLevel="0" collapsed="false">
      <c r="A13132" s="6" t="n">
        <f aca="false">DATE(2026,8,15)</f>
        <v>46249</v>
      </c>
      <c r="B13132" s="4" t="s">
        <v>179</v>
      </c>
      <c r="C13132" s="4" t="n">
        <v>8</v>
      </c>
      <c r="D13132" s="4" t="n">
        <v>4</v>
      </c>
      <c r="E13132" s="4" t="s">
        <v>5457</v>
      </c>
      <c r="F13132" s="4" t="n">
        <v>29</v>
      </c>
      <c r="G13132" s="4" t="n">
        <v>6</v>
      </c>
      <c r="H13132" s="4" t="n">
        <v>4</v>
      </c>
      <c r="I13132" s="4" t="str">
        <v>×</v>
      </c>
      <c r="J13132" s="4"/>
      <c r="K13132" s="4"/>
      <c r="L13132" s="4"/>
      <c r="M13132" s="7" t="s">
        <v>6556</v>
      </c>
    </row>
    <row r="13133" customFormat="false" ht="15.75" hidden="false" customHeight="false" outlineLevel="0" collapsed="false">
      <c r="A13133" s="6" t="n">
        <f aca="false">DATE(2026,8,15)</f>
        <v>46249</v>
      </c>
      <c r="B13133" s="4" t="s">
        <v>179</v>
      </c>
      <c r="C13133" s="4" t="n">
        <v>8</v>
      </c>
      <c r="D13133" s="4" t="n">
        <v>5</v>
      </c>
      <c r="E13133" s="4" t="s">
        <v>6590</v>
      </c>
      <c r="F13133" s="4" t="n">
        <v>10</v>
      </c>
      <c r="G13133" s="4" t="n">
        <v>9</v>
      </c>
      <c r="H13133" s="4" t="n">
        <v>4</v>
      </c>
      <c r="I13133" s="4" t="str">
        <v>×</v>
      </c>
      <c r="J13133" s="4"/>
      <c r="K13133" s="4"/>
      <c r="L13133" s="4"/>
      <c r="M13133" s="7" t="s">
        <v>6556</v>
      </c>
    </row>
    <row r="13134" customFormat="false" ht="15.75" hidden="false" customHeight="false" outlineLevel="0" collapsed="false">
      <c r="A13134" s="6" t="n">
        <f aca="false">DATE(2026,8,15)</f>
        <v>46249</v>
      </c>
      <c r="B13134" s="4" t="s">
        <v>179</v>
      </c>
      <c r="C13134" s="4" t="n">
        <v>8</v>
      </c>
      <c r="D13134" s="4" t="n">
        <v>6</v>
      </c>
      <c r="E13134" s="4" t="s">
        <v>1607</v>
      </c>
      <c r="F13134" s="4" t="n">
        <v>41</v>
      </c>
      <c r="G13134" s="4" t="n">
        <v>4</v>
      </c>
      <c r="H13134" s="4" t="n">
        <v>3</v>
      </c>
      <c r="I13134" s="4" t="str">
        <v>○</v>
      </c>
      <c r="J13134" s="4" t="n">
        <v>190</v>
      </c>
      <c r="K13134" s="4"/>
      <c r="L13134" s="4"/>
      <c r="M13134" s="7" t="s">
        <v>6556</v>
      </c>
    </row>
    <row r="13135" customFormat="false" ht="15.75" hidden="false" customHeight="false" outlineLevel="0" collapsed="false">
      <c r="A13135" s="6" t="n">
        <f aca="false">DATE(2026,8,15)</f>
        <v>46249</v>
      </c>
      <c r="B13135" s="4" t="s">
        <v>179</v>
      </c>
      <c r="C13135" s="4" t="n">
        <v>8</v>
      </c>
      <c r="D13135" s="4" t="n">
        <v>7</v>
      </c>
      <c r="E13135" s="4" t="s">
        <v>2875</v>
      </c>
      <c r="F13135" s="4" t="n">
        <v>52</v>
      </c>
      <c r="G13135" s="4" t="n">
        <v>3</v>
      </c>
      <c r="H13135" s="4" t="n">
        <v>4</v>
      </c>
      <c r="I13135" s="4" t="str">
        <v>×</v>
      </c>
      <c r="J13135" s="4"/>
      <c r="K13135" s="4"/>
      <c r="L13135" s="4"/>
      <c r="M13135" s="7" t="s">
        <v>6556</v>
      </c>
    </row>
    <row r="13136" customFormat="false" ht="15.75" hidden="false" customHeight="false" outlineLevel="0" collapsed="false">
      <c r="A13136" s="6" t="n">
        <f aca="false">DATE(2026,8,15)</f>
        <v>46249</v>
      </c>
      <c r="B13136" s="4" t="s">
        <v>179</v>
      </c>
      <c r="C13136" s="4" t="n">
        <v>8</v>
      </c>
      <c r="D13136" s="4" t="n">
        <v>8</v>
      </c>
      <c r="E13136" s="4" t="s">
        <v>5260</v>
      </c>
      <c r="F13136" s="4" t="n">
        <v>65</v>
      </c>
      <c r="G13136" s="4" t="n">
        <v>2</v>
      </c>
      <c r="H13136" s="4" t="n">
        <v>1</v>
      </c>
      <c r="I13136" s="4" t="str">
        <v>○</v>
      </c>
      <c r="J13136" s="4" t="n">
        <v>110</v>
      </c>
      <c r="K13136" s="4"/>
      <c r="L13136" s="4"/>
      <c r="M13136" s="7" t="s">
        <v>6556</v>
      </c>
    </row>
    <row r="13137" customFormat="false" ht="15.75" hidden="false" customHeight="false" outlineLevel="0" collapsed="false">
      <c r="A13137" s="6" t="n">
        <f aca="false">DATE(2026,8,15)</f>
        <v>46249</v>
      </c>
      <c r="B13137" s="4" t="s">
        <v>179</v>
      </c>
      <c r="C13137" s="4" t="n">
        <v>8</v>
      </c>
      <c r="D13137" s="4" t="n">
        <v>9</v>
      </c>
      <c r="E13137" s="4" t="s">
        <v>278</v>
      </c>
      <c r="F13137" s="4" t="n">
        <v>20</v>
      </c>
      <c r="G13137" s="4" t="n">
        <v>7</v>
      </c>
      <c r="H13137" s="4" t="n">
        <v>4</v>
      </c>
      <c r="I13137" s="4" t="str">
        <v>×</v>
      </c>
      <c r="J13137" s="4"/>
      <c r="K13137" s="4"/>
      <c r="L13137" s="4"/>
      <c r="M13137" s="7" t="s">
        <v>6556</v>
      </c>
    </row>
    <row r="13138" customFormat="false" ht="15.75" hidden="false" customHeight="false" outlineLevel="0" collapsed="false">
      <c r="A13138" s="6" t="n">
        <f aca="false">DATE(2026,8,15)</f>
        <v>46249</v>
      </c>
      <c r="B13138" s="4" t="s">
        <v>179</v>
      </c>
      <c r="C13138" s="4" t="n">
        <v>8</v>
      </c>
      <c r="D13138" s="4" t="n">
        <v>10</v>
      </c>
      <c r="E13138" s="4" t="s">
        <v>5178</v>
      </c>
      <c r="F13138" s="4" t="n">
        <v>34</v>
      </c>
      <c r="G13138" s="4" t="n">
        <v>5</v>
      </c>
      <c r="H13138" s="4" t="n">
        <v>4</v>
      </c>
      <c r="I13138" s="4" t="str">
        <v>×</v>
      </c>
      <c r="J13138" s="4"/>
      <c r="K13138" s="4"/>
      <c r="L13138" s="4"/>
      <c r="M13138" s="7" t="s">
        <v>6556</v>
      </c>
    </row>
    <row r="13139" customFormat="false" ht="15.75" hidden="false" customHeight="false" outlineLevel="0" collapsed="false">
      <c r="A13139" s="6" t="n">
        <f aca="false">DATE(2026,8,15)</f>
        <v>46249</v>
      </c>
      <c r="B13139" s="4" t="s">
        <v>179</v>
      </c>
      <c r="C13139" s="4" t="n">
        <v>9</v>
      </c>
      <c r="D13139" s="4" t="n">
        <v>1</v>
      </c>
      <c r="E13139" s="4" t="s">
        <v>6591</v>
      </c>
      <c r="F13139" s="4" t="n">
        <v>20</v>
      </c>
      <c r="G13139" s="4" t="n">
        <v>7</v>
      </c>
      <c r="H13139" s="4" t="n">
        <v>4</v>
      </c>
      <c r="I13139" s="4" t="str">
        <v>×</v>
      </c>
      <c r="J13139" s="4"/>
      <c r="K13139" s="4"/>
      <c r="L13139" s="4"/>
      <c r="M13139" s="7" t="s">
        <v>6556</v>
      </c>
    </row>
    <row r="13140" customFormat="false" ht="15.75" hidden="false" customHeight="false" outlineLevel="0" collapsed="false">
      <c r="A13140" s="6" t="n">
        <f aca="false">DATE(2026,8,15)</f>
        <v>46249</v>
      </c>
      <c r="B13140" s="4" t="s">
        <v>179</v>
      </c>
      <c r="C13140" s="4" t="n">
        <v>9</v>
      </c>
      <c r="D13140" s="4" t="n">
        <v>2</v>
      </c>
      <c r="E13140" s="4" t="s">
        <v>6592</v>
      </c>
      <c r="F13140" s="4" t="n">
        <v>34</v>
      </c>
      <c r="G13140" s="4" t="n">
        <v>4</v>
      </c>
      <c r="H13140" s="4" t="n">
        <v>4</v>
      </c>
      <c r="I13140" s="4" t="str">
        <v>×</v>
      </c>
      <c r="J13140" s="4"/>
      <c r="K13140" s="4"/>
      <c r="L13140" s="4"/>
      <c r="M13140" s="7" t="s">
        <v>6556</v>
      </c>
    </row>
    <row r="13141" customFormat="false" ht="15.75" hidden="false" customHeight="false" outlineLevel="0" collapsed="false">
      <c r="A13141" s="6" t="n">
        <f aca="false">DATE(2026,8,15)</f>
        <v>46249</v>
      </c>
      <c r="B13141" s="4" t="s">
        <v>179</v>
      </c>
      <c r="C13141" s="4" t="n">
        <v>9</v>
      </c>
      <c r="D13141" s="4" t="n">
        <v>3</v>
      </c>
      <c r="E13141" s="4" t="s">
        <v>4640</v>
      </c>
      <c r="F13141" s="4" t="n">
        <v>50</v>
      </c>
      <c r="G13141" s="4" t="n">
        <v>2</v>
      </c>
      <c r="H13141" s="4" t="n">
        <v>4</v>
      </c>
      <c r="I13141" s="4" t="str">
        <v>×</v>
      </c>
      <c r="J13141" s="4"/>
      <c r="K13141" s="4"/>
      <c r="L13141" s="4"/>
      <c r="M13141" s="7" t="s">
        <v>6556</v>
      </c>
    </row>
    <row r="13142" customFormat="false" ht="15.75" hidden="false" customHeight="false" outlineLevel="0" collapsed="false">
      <c r="A13142" s="6" t="n">
        <f aca="false">DATE(2026,8,15)</f>
        <v>46249</v>
      </c>
      <c r="B13142" s="4" t="s">
        <v>179</v>
      </c>
      <c r="C13142" s="4" t="n">
        <v>9</v>
      </c>
      <c r="D13142" s="4" t="n">
        <v>4</v>
      </c>
      <c r="E13142" s="4" t="s">
        <v>6477</v>
      </c>
      <c r="F13142" s="4" t="n">
        <v>1</v>
      </c>
      <c r="G13142" s="4" t="n">
        <v>16</v>
      </c>
      <c r="H13142" s="4" t="n">
        <v>4</v>
      </c>
      <c r="I13142" s="4" t="str">
        <v>×</v>
      </c>
      <c r="J13142" s="4"/>
      <c r="K13142" s="4"/>
      <c r="L13142" s="4"/>
      <c r="M13142" s="7" t="s">
        <v>6556</v>
      </c>
    </row>
    <row r="13143" customFormat="false" ht="15.75" hidden="false" customHeight="false" outlineLevel="0" collapsed="false">
      <c r="A13143" s="6" t="n">
        <f aca="false">DATE(2026,8,15)</f>
        <v>46249</v>
      </c>
      <c r="B13143" s="4" t="s">
        <v>179</v>
      </c>
      <c r="C13143" s="4" t="n">
        <v>9</v>
      </c>
      <c r="D13143" s="4" t="n">
        <v>5</v>
      </c>
      <c r="E13143" s="4" t="s">
        <v>5686</v>
      </c>
      <c r="F13143" s="4" t="n">
        <v>8</v>
      </c>
      <c r="G13143" s="4" t="n">
        <v>11</v>
      </c>
      <c r="H13143" s="4" t="n">
        <v>4</v>
      </c>
      <c r="I13143" s="4" t="str">
        <v>×</v>
      </c>
      <c r="J13143" s="4"/>
      <c r="K13143" s="4"/>
      <c r="L13143" s="4"/>
      <c r="M13143" s="7" t="s">
        <v>6556</v>
      </c>
    </row>
    <row r="13144" customFormat="false" ht="15.75" hidden="false" customHeight="false" outlineLevel="0" collapsed="false">
      <c r="A13144" s="6" t="n">
        <f aca="false">DATE(2026,8,15)</f>
        <v>46249</v>
      </c>
      <c r="B13144" s="4" t="s">
        <v>179</v>
      </c>
      <c r="C13144" s="4" t="n">
        <v>9</v>
      </c>
      <c r="D13144" s="4" t="n">
        <v>6</v>
      </c>
      <c r="E13144" s="4" t="s">
        <v>3959</v>
      </c>
      <c r="F13144" s="4" t="n">
        <v>8</v>
      </c>
      <c r="G13144" s="4" t="n">
        <v>12</v>
      </c>
      <c r="H13144" s="4" t="n">
        <v>4</v>
      </c>
      <c r="I13144" s="4" t="str">
        <v>×</v>
      </c>
      <c r="J13144" s="4"/>
      <c r="K13144" s="4"/>
      <c r="L13144" s="4"/>
      <c r="M13144" s="7" t="s">
        <v>6556</v>
      </c>
    </row>
    <row r="13145" customFormat="false" ht="15.75" hidden="false" customHeight="false" outlineLevel="0" collapsed="false">
      <c r="A13145" s="6" t="n">
        <f aca="false">DATE(2026,8,15)</f>
        <v>46249</v>
      </c>
      <c r="B13145" s="4" t="s">
        <v>179</v>
      </c>
      <c r="C13145" s="4" t="n">
        <v>9</v>
      </c>
      <c r="D13145" s="4" t="n">
        <v>7</v>
      </c>
      <c r="E13145" s="4" t="s">
        <v>6593</v>
      </c>
      <c r="F13145" s="4" t="n">
        <v>23</v>
      </c>
      <c r="G13145" s="4" t="n">
        <v>6</v>
      </c>
      <c r="H13145" s="4" t="n">
        <v>4</v>
      </c>
      <c r="I13145" s="4" t="str">
        <v>×</v>
      </c>
      <c r="J13145" s="4"/>
      <c r="K13145" s="4"/>
      <c r="L13145" s="4"/>
      <c r="M13145" s="7" t="s">
        <v>6556</v>
      </c>
    </row>
    <row r="13146" customFormat="false" ht="15.75" hidden="false" customHeight="false" outlineLevel="0" collapsed="false">
      <c r="A13146" s="6" t="n">
        <f aca="false">DATE(2026,8,15)</f>
        <v>46249</v>
      </c>
      <c r="B13146" s="4" t="s">
        <v>179</v>
      </c>
      <c r="C13146" s="4" t="n">
        <v>9</v>
      </c>
      <c r="D13146" s="4" t="n">
        <v>8</v>
      </c>
      <c r="E13146" s="4" t="s">
        <v>4870</v>
      </c>
      <c r="F13146" s="4" t="n">
        <v>8</v>
      </c>
      <c r="G13146" s="4" t="n">
        <v>13</v>
      </c>
      <c r="H13146" s="4" t="n">
        <v>4</v>
      </c>
      <c r="I13146" s="4" t="str">
        <v>×</v>
      </c>
      <c r="J13146" s="4"/>
      <c r="K13146" s="4"/>
      <c r="L13146" s="4"/>
      <c r="M13146" s="7" t="s">
        <v>6556</v>
      </c>
    </row>
    <row r="13147" customFormat="false" ht="15.75" hidden="false" customHeight="false" outlineLevel="0" collapsed="false">
      <c r="A13147" s="6" t="n">
        <f aca="false">DATE(2026,8,15)</f>
        <v>46249</v>
      </c>
      <c r="B13147" s="4" t="s">
        <v>179</v>
      </c>
      <c r="C13147" s="4" t="n">
        <v>9</v>
      </c>
      <c r="D13147" s="4" t="n">
        <v>9</v>
      </c>
      <c r="E13147" s="4" t="s">
        <v>6594</v>
      </c>
      <c r="F13147" s="4" t="n">
        <v>15</v>
      </c>
      <c r="G13147" s="4" t="n">
        <v>8</v>
      </c>
      <c r="H13147" s="4" t="n">
        <v>4</v>
      </c>
      <c r="I13147" s="4" t="str">
        <v>×</v>
      </c>
      <c r="J13147" s="4"/>
      <c r="K13147" s="4"/>
      <c r="L13147" s="4"/>
      <c r="M13147" s="7" t="s">
        <v>6556</v>
      </c>
    </row>
    <row r="13148" customFormat="false" ht="15.75" hidden="false" customHeight="false" outlineLevel="0" collapsed="false">
      <c r="A13148" s="6" t="n">
        <f aca="false">DATE(2026,8,15)</f>
        <v>46249</v>
      </c>
      <c r="B13148" s="4" t="s">
        <v>179</v>
      </c>
      <c r="C13148" s="4" t="n">
        <v>9</v>
      </c>
      <c r="D13148" s="4" t="n">
        <v>10</v>
      </c>
      <c r="E13148" s="4" t="s">
        <v>6595</v>
      </c>
      <c r="F13148" s="4" t="n">
        <v>62</v>
      </c>
      <c r="G13148" s="4" t="n">
        <v>1</v>
      </c>
      <c r="H13148" s="4" t="n">
        <v>4</v>
      </c>
      <c r="I13148" s="4" t="str">
        <v>×</v>
      </c>
      <c r="J13148" s="4"/>
      <c r="K13148" s="4"/>
      <c r="L13148" s="4"/>
      <c r="M13148" s="7" t="s">
        <v>6556</v>
      </c>
    </row>
    <row r="13149" customFormat="false" ht="15.75" hidden="false" customHeight="false" outlineLevel="0" collapsed="false">
      <c r="A13149" s="6" t="n">
        <f aca="false">DATE(2026,8,15)</f>
        <v>46249</v>
      </c>
      <c r="B13149" s="4" t="s">
        <v>179</v>
      </c>
      <c r="C13149" s="4" t="n">
        <v>9</v>
      </c>
      <c r="D13149" s="4" t="n">
        <v>11</v>
      </c>
      <c r="E13149" s="4" t="s">
        <v>4283</v>
      </c>
      <c r="F13149" s="4" t="n">
        <v>34</v>
      </c>
      <c r="G13149" s="4" t="n">
        <v>5</v>
      </c>
      <c r="H13149" s="4" t="n">
        <v>4</v>
      </c>
      <c r="I13149" s="4" t="str">
        <v>×</v>
      </c>
      <c r="J13149" s="4"/>
      <c r="K13149" s="4"/>
      <c r="L13149" s="4"/>
      <c r="M13149" s="7" t="s">
        <v>6556</v>
      </c>
    </row>
    <row r="13150" customFormat="false" ht="15.75" hidden="false" customHeight="false" outlineLevel="0" collapsed="false">
      <c r="A13150" s="6" t="n">
        <f aca="false">DATE(2026,8,15)</f>
        <v>46249</v>
      </c>
      <c r="B13150" s="4" t="s">
        <v>179</v>
      </c>
      <c r="C13150" s="4" t="n">
        <v>9</v>
      </c>
      <c r="D13150" s="4" t="n">
        <v>12</v>
      </c>
      <c r="E13150" s="4" t="s">
        <v>6596</v>
      </c>
      <c r="F13150" s="4" t="n">
        <v>3</v>
      </c>
      <c r="G13150" s="4" t="n">
        <v>15</v>
      </c>
      <c r="H13150" s="4" t="n">
        <v>3</v>
      </c>
      <c r="I13150" s="4" t="str">
        <v>○</v>
      </c>
      <c r="J13150" s="4" t="n">
        <v>2600</v>
      </c>
      <c r="K13150" s="4"/>
      <c r="L13150" s="4"/>
      <c r="M13150" s="7" t="s">
        <v>6556</v>
      </c>
    </row>
    <row r="13151" customFormat="false" ht="15.75" hidden="false" customHeight="false" outlineLevel="0" collapsed="false">
      <c r="A13151" s="6" t="n">
        <f aca="false">DATE(2026,8,15)</f>
        <v>46249</v>
      </c>
      <c r="B13151" s="4" t="s">
        <v>179</v>
      </c>
      <c r="C13151" s="4" t="n">
        <v>9</v>
      </c>
      <c r="D13151" s="4" t="n">
        <v>13</v>
      </c>
      <c r="E13151" s="4" t="s">
        <v>1233</v>
      </c>
      <c r="F13151" s="4" t="n">
        <v>15</v>
      </c>
      <c r="G13151" s="4" t="n">
        <v>9</v>
      </c>
      <c r="H13151" s="4" t="n">
        <v>4</v>
      </c>
      <c r="I13151" s="4" t="str">
        <v>×</v>
      </c>
      <c r="J13151" s="4"/>
      <c r="K13151" s="4"/>
      <c r="L13151" s="4"/>
      <c r="M13151" s="7" t="s">
        <v>6556</v>
      </c>
    </row>
    <row r="13152" customFormat="false" ht="15.75" hidden="false" customHeight="false" outlineLevel="0" collapsed="false">
      <c r="A13152" s="6" t="n">
        <f aca="false">DATE(2026,8,15)</f>
        <v>46249</v>
      </c>
      <c r="B13152" s="4" t="s">
        <v>179</v>
      </c>
      <c r="C13152" s="4" t="n">
        <v>9</v>
      </c>
      <c r="D13152" s="4" t="n">
        <v>14</v>
      </c>
      <c r="E13152" s="4" t="s">
        <v>3966</v>
      </c>
      <c r="F13152" s="4" t="n">
        <v>4</v>
      </c>
      <c r="G13152" s="4" t="n">
        <v>14</v>
      </c>
      <c r="H13152" s="4" t="n">
        <v>4</v>
      </c>
      <c r="I13152" s="4" t="str">
        <v>×</v>
      </c>
      <c r="J13152" s="4"/>
      <c r="K13152" s="4"/>
      <c r="L13152" s="4"/>
      <c r="M13152" s="7" t="s">
        <v>6556</v>
      </c>
    </row>
    <row r="13153" customFormat="false" ht="15.75" hidden="false" customHeight="false" outlineLevel="0" collapsed="false">
      <c r="A13153" s="6" t="n">
        <f aca="false">DATE(2026,8,15)</f>
        <v>46249</v>
      </c>
      <c r="B13153" s="4" t="s">
        <v>179</v>
      </c>
      <c r="C13153" s="4" t="n">
        <v>9</v>
      </c>
      <c r="D13153" s="4" t="n">
        <v>15</v>
      </c>
      <c r="E13153" s="4" t="s">
        <v>1235</v>
      </c>
      <c r="F13153" s="4" t="n">
        <v>39</v>
      </c>
      <c r="G13153" s="4" t="n">
        <v>3</v>
      </c>
      <c r="H13153" s="4" t="n">
        <v>1</v>
      </c>
      <c r="I13153" s="4" t="str">
        <v>○</v>
      </c>
      <c r="J13153" s="4" t="n">
        <v>280</v>
      </c>
      <c r="K13153" s="4"/>
      <c r="L13153" s="4"/>
      <c r="M13153" s="7" t="s">
        <v>6556</v>
      </c>
    </row>
    <row r="13154" customFormat="false" ht="15.75" hidden="false" customHeight="false" outlineLevel="0" collapsed="false">
      <c r="A13154" s="6" t="n">
        <f aca="false">DATE(2026,8,15)</f>
        <v>46249</v>
      </c>
      <c r="B13154" s="4" t="s">
        <v>179</v>
      </c>
      <c r="C13154" s="4" t="n">
        <v>9</v>
      </c>
      <c r="D13154" s="4" t="n">
        <v>16</v>
      </c>
      <c r="E13154" s="4" t="s">
        <v>6597</v>
      </c>
      <c r="F13154" s="4" t="n">
        <v>10</v>
      </c>
      <c r="G13154" s="4" t="n">
        <v>10</v>
      </c>
      <c r="H13154" s="4" t="n">
        <v>2</v>
      </c>
      <c r="I13154" s="4" t="str">
        <v>○</v>
      </c>
      <c r="J13154" s="4" t="n">
        <v>580</v>
      </c>
      <c r="K13154" s="4"/>
      <c r="L13154" s="4"/>
      <c r="M13154" s="7" t="s">
        <v>6556</v>
      </c>
    </row>
    <row r="13155" customFormat="false" ht="15.75" hidden="false" customHeight="false" outlineLevel="0" collapsed="false">
      <c r="A13155" s="6" t="n">
        <f aca="false">DATE(2026,8,15)</f>
        <v>46249</v>
      </c>
      <c r="B13155" s="4" t="s">
        <v>179</v>
      </c>
      <c r="C13155" s="4" t="n">
        <v>10</v>
      </c>
      <c r="D13155" s="4" t="n">
        <v>1</v>
      </c>
      <c r="E13155" s="4" t="s">
        <v>6598</v>
      </c>
      <c r="F13155" s="4" t="n">
        <v>13</v>
      </c>
      <c r="G13155" s="4" t="n">
        <v>8</v>
      </c>
      <c r="H13155" s="4" t="n">
        <v>4</v>
      </c>
      <c r="I13155" s="4" t="str">
        <v>×</v>
      </c>
      <c r="J13155" s="4"/>
      <c r="K13155" s="4"/>
      <c r="L13155" s="4"/>
      <c r="M13155" s="7" t="s">
        <v>6556</v>
      </c>
    </row>
    <row r="13156" customFormat="false" ht="15.75" hidden="false" customHeight="false" outlineLevel="0" collapsed="false">
      <c r="A13156" s="6" t="n">
        <f aca="false">DATE(2026,8,15)</f>
        <v>46249</v>
      </c>
      <c r="B13156" s="4" t="s">
        <v>179</v>
      </c>
      <c r="C13156" s="4" t="n">
        <v>10</v>
      </c>
      <c r="D13156" s="4" t="n">
        <v>2</v>
      </c>
      <c r="E13156" s="4" t="s">
        <v>4180</v>
      </c>
      <c r="F13156" s="4" t="n">
        <v>39</v>
      </c>
      <c r="G13156" s="4" t="n">
        <v>4</v>
      </c>
      <c r="H13156" s="4" t="n">
        <v>2</v>
      </c>
      <c r="I13156" s="4" t="str">
        <v>○</v>
      </c>
      <c r="J13156" s="4" t="n">
        <v>820</v>
      </c>
      <c r="K13156" s="4"/>
      <c r="L13156" s="4"/>
      <c r="M13156" s="7" t="s">
        <v>6556</v>
      </c>
    </row>
    <row r="13157" customFormat="false" ht="15.75" hidden="false" customHeight="false" outlineLevel="0" collapsed="false">
      <c r="A13157" s="6" t="n">
        <f aca="false">DATE(2026,8,15)</f>
        <v>46249</v>
      </c>
      <c r="B13157" s="4" t="s">
        <v>179</v>
      </c>
      <c r="C13157" s="4" t="n">
        <v>10</v>
      </c>
      <c r="D13157" s="4" t="n">
        <v>3</v>
      </c>
      <c r="E13157" s="4" t="s">
        <v>6599</v>
      </c>
      <c r="F13157" s="4" t="n">
        <v>10</v>
      </c>
      <c r="G13157" s="4" t="n">
        <v>9</v>
      </c>
      <c r="H13157" s="4" t="n">
        <v>4</v>
      </c>
      <c r="I13157" s="4" t="str">
        <v>×</v>
      </c>
      <c r="J13157" s="4"/>
      <c r="K13157" s="4"/>
      <c r="L13157" s="4"/>
      <c r="M13157" s="7" t="s">
        <v>6556</v>
      </c>
    </row>
    <row r="13158" customFormat="false" ht="15.75" hidden="false" customHeight="false" outlineLevel="0" collapsed="false">
      <c r="A13158" s="6" t="n">
        <f aca="false">DATE(2026,8,15)</f>
        <v>46249</v>
      </c>
      <c r="B13158" s="4" t="s">
        <v>179</v>
      </c>
      <c r="C13158" s="4" t="n">
        <v>10</v>
      </c>
      <c r="D13158" s="4" t="n">
        <v>4</v>
      </c>
      <c r="E13158" s="4" t="s">
        <v>6600</v>
      </c>
      <c r="F13158" s="4" t="n">
        <v>10</v>
      </c>
      <c r="G13158" s="4" t="n">
        <v>10</v>
      </c>
      <c r="H13158" s="4" t="n">
        <v>4</v>
      </c>
      <c r="I13158" s="4" t="str">
        <v>×</v>
      </c>
      <c r="J13158" s="4"/>
      <c r="K13158" s="4"/>
      <c r="L13158" s="4"/>
      <c r="M13158" s="7" t="s">
        <v>6556</v>
      </c>
    </row>
    <row r="13159" customFormat="false" ht="15.75" hidden="false" customHeight="false" outlineLevel="0" collapsed="false">
      <c r="A13159" s="6" t="n">
        <f aca="false">DATE(2026,8,15)</f>
        <v>46249</v>
      </c>
      <c r="B13159" s="4" t="s">
        <v>179</v>
      </c>
      <c r="C13159" s="4" t="n">
        <v>10</v>
      </c>
      <c r="D13159" s="4" t="n">
        <v>5</v>
      </c>
      <c r="E13159" s="4" t="s">
        <v>6601</v>
      </c>
      <c r="F13159" s="4" t="n">
        <v>10</v>
      </c>
      <c r="G13159" s="4" t="n">
        <v>11</v>
      </c>
      <c r="H13159" s="4" t="n">
        <v>4</v>
      </c>
      <c r="I13159" s="4" t="str">
        <v>×</v>
      </c>
      <c r="J13159" s="4"/>
      <c r="K13159" s="4"/>
      <c r="L13159" s="4"/>
      <c r="M13159" s="7" t="s">
        <v>6556</v>
      </c>
    </row>
    <row r="13160" customFormat="false" ht="15.75" hidden="false" customHeight="false" outlineLevel="0" collapsed="false">
      <c r="A13160" s="6" t="n">
        <f aca="false">DATE(2026,8,15)</f>
        <v>46249</v>
      </c>
      <c r="B13160" s="4" t="s">
        <v>179</v>
      </c>
      <c r="C13160" s="4" t="n">
        <v>10</v>
      </c>
      <c r="D13160" s="4" t="n">
        <v>6</v>
      </c>
      <c r="E13160" s="4" t="s">
        <v>6602</v>
      </c>
      <c r="F13160" s="4" t="n">
        <v>8</v>
      </c>
      <c r="G13160" s="4" t="n">
        <v>14</v>
      </c>
      <c r="H13160" s="4" t="n">
        <v>4</v>
      </c>
      <c r="I13160" s="4" t="str">
        <v>×</v>
      </c>
      <c r="J13160" s="4"/>
      <c r="K13160" s="4"/>
      <c r="L13160" s="4"/>
      <c r="M13160" s="7" t="s">
        <v>6556</v>
      </c>
    </row>
    <row r="13161" customFormat="false" ht="15.75" hidden="false" customHeight="false" outlineLevel="0" collapsed="false">
      <c r="A13161" s="6" t="n">
        <f aca="false">DATE(2026,8,15)</f>
        <v>46249</v>
      </c>
      <c r="B13161" s="4" t="s">
        <v>179</v>
      </c>
      <c r="C13161" s="4" t="n">
        <v>10</v>
      </c>
      <c r="D13161" s="4" t="n">
        <v>7</v>
      </c>
      <c r="E13161" s="4" t="s">
        <v>284</v>
      </c>
      <c r="F13161" s="4" t="n">
        <v>10</v>
      </c>
      <c r="G13161" s="4" t="n">
        <v>12</v>
      </c>
      <c r="H13161" s="4" t="n">
        <v>4</v>
      </c>
      <c r="I13161" s="4" t="str">
        <v>×</v>
      </c>
      <c r="J13161" s="4"/>
      <c r="K13161" s="4"/>
      <c r="L13161" s="4"/>
      <c r="M13161" s="7" t="s">
        <v>6556</v>
      </c>
    </row>
    <row r="13162" customFormat="false" ht="15.75" hidden="false" customHeight="false" outlineLevel="0" collapsed="false">
      <c r="A13162" s="6" t="n">
        <f aca="false">DATE(2026,8,15)</f>
        <v>46249</v>
      </c>
      <c r="B13162" s="4" t="s">
        <v>179</v>
      </c>
      <c r="C13162" s="4" t="n">
        <v>10</v>
      </c>
      <c r="D13162" s="4" t="n">
        <v>8</v>
      </c>
      <c r="E13162" s="4" t="s">
        <v>6603</v>
      </c>
      <c r="F13162" s="4" t="n">
        <v>10</v>
      </c>
      <c r="G13162" s="4" t="n">
        <v>13</v>
      </c>
      <c r="H13162" s="4" t="n">
        <v>4</v>
      </c>
      <c r="I13162" s="4" t="str">
        <v>×</v>
      </c>
      <c r="J13162" s="4"/>
      <c r="K13162" s="4"/>
      <c r="L13162" s="4"/>
      <c r="M13162" s="7" t="s">
        <v>6556</v>
      </c>
    </row>
    <row r="13163" customFormat="false" ht="15.75" hidden="false" customHeight="false" outlineLevel="0" collapsed="false">
      <c r="A13163" s="6" t="n">
        <f aca="false">DATE(2026,8,15)</f>
        <v>46249</v>
      </c>
      <c r="B13163" s="4" t="s">
        <v>179</v>
      </c>
      <c r="C13163" s="4" t="n">
        <v>10</v>
      </c>
      <c r="D13163" s="4" t="n">
        <v>9</v>
      </c>
      <c r="E13163" s="4" t="s">
        <v>6604</v>
      </c>
      <c r="F13163" s="4" t="n">
        <v>3</v>
      </c>
      <c r="G13163" s="4" t="n">
        <v>16</v>
      </c>
      <c r="H13163" s="4" t="n">
        <v>1</v>
      </c>
      <c r="I13163" s="4" t="str">
        <v>○</v>
      </c>
      <c r="J13163" s="4" t="n">
        <v>1290</v>
      </c>
      <c r="K13163" s="4"/>
      <c r="L13163" s="4"/>
      <c r="M13163" s="7" t="s">
        <v>6556</v>
      </c>
    </row>
    <row r="13164" customFormat="false" ht="15.75" hidden="false" customHeight="false" outlineLevel="0" collapsed="false">
      <c r="A13164" s="6" t="n">
        <f aca="false">DATE(2026,8,15)</f>
        <v>46249</v>
      </c>
      <c r="B13164" s="4" t="s">
        <v>179</v>
      </c>
      <c r="C13164" s="4" t="n">
        <v>10</v>
      </c>
      <c r="D13164" s="4" t="n">
        <v>10</v>
      </c>
      <c r="E13164" s="4" t="s">
        <v>743</v>
      </c>
      <c r="F13164" s="4" t="n">
        <v>58</v>
      </c>
      <c r="G13164" s="4" t="n">
        <v>1</v>
      </c>
      <c r="H13164" s="4" t="n">
        <v>4</v>
      </c>
      <c r="I13164" s="4" t="str">
        <v>×</v>
      </c>
      <c r="J13164" s="4"/>
      <c r="K13164" s="4"/>
      <c r="L13164" s="4"/>
      <c r="M13164" s="7" t="s">
        <v>6556</v>
      </c>
    </row>
    <row r="13165" customFormat="false" ht="15.75" hidden="false" customHeight="false" outlineLevel="0" collapsed="false">
      <c r="A13165" s="6" t="n">
        <f aca="false">DATE(2026,8,15)</f>
        <v>46249</v>
      </c>
      <c r="B13165" s="4" t="s">
        <v>179</v>
      </c>
      <c r="C13165" s="4" t="n">
        <v>10</v>
      </c>
      <c r="D13165" s="4" t="n">
        <v>11</v>
      </c>
      <c r="E13165" s="4" t="s">
        <v>4177</v>
      </c>
      <c r="F13165" s="4" t="n">
        <v>47</v>
      </c>
      <c r="G13165" s="4" t="n">
        <v>2</v>
      </c>
      <c r="H13165" s="4" t="n">
        <v>4</v>
      </c>
      <c r="I13165" s="4" t="str">
        <v>×</v>
      </c>
      <c r="J13165" s="4"/>
      <c r="K13165" s="4"/>
      <c r="L13165" s="4"/>
      <c r="M13165" s="7" t="s">
        <v>6556</v>
      </c>
    </row>
    <row r="13166" customFormat="false" ht="15.75" hidden="false" customHeight="false" outlineLevel="0" collapsed="false">
      <c r="A13166" s="6" t="n">
        <f aca="false">DATE(2026,8,15)</f>
        <v>46249</v>
      </c>
      <c r="B13166" s="4" t="s">
        <v>179</v>
      </c>
      <c r="C13166" s="4" t="n">
        <v>10</v>
      </c>
      <c r="D13166" s="4" t="n">
        <v>12</v>
      </c>
      <c r="E13166" s="4" t="s">
        <v>748</v>
      </c>
      <c r="F13166" s="4" t="n">
        <v>39</v>
      </c>
      <c r="G13166" s="4" t="n">
        <v>5</v>
      </c>
      <c r="H13166" s="4" t="n">
        <v>4</v>
      </c>
      <c r="I13166" s="4" t="str">
        <v>×</v>
      </c>
      <c r="J13166" s="4"/>
      <c r="K13166" s="4"/>
      <c r="L13166" s="4"/>
      <c r="M13166" s="7" t="s">
        <v>6556</v>
      </c>
    </row>
    <row r="13167" customFormat="false" ht="15.75" hidden="false" customHeight="false" outlineLevel="0" collapsed="false">
      <c r="A13167" s="6" t="n">
        <f aca="false">DATE(2026,8,15)</f>
        <v>46249</v>
      </c>
      <c r="B13167" s="4" t="s">
        <v>179</v>
      </c>
      <c r="C13167" s="4" t="n">
        <v>10</v>
      </c>
      <c r="D13167" s="4" t="n">
        <v>13</v>
      </c>
      <c r="E13167" s="4" t="s">
        <v>5461</v>
      </c>
      <c r="F13167" s="4" t="n">
        <v>6</v>
      </c>
      <c r="G13167" s="4" t="n">
        <v>15</v>
      </c>
      <c r="H13167" s="4" t="n">
        <v>4</v>
      </c>
      <c r="I13167" s="4" t="str">
        <v>×</v>
      </c>
      <c r="J13167" s="4"/>
      <c r="K13167" s="4"/>
      <c r="L13167" s="4"/>
      <c r="M13167" s="7" t="s">
        <v>6556</v>
      </c>
    </row>
    <row r="13168" customFormat="false" ht="15.75" hidden="false" customHeight="false" outlineLevel="0" collapsed="false">
      <c r="A13168" s="6" t="n">
        <f aca="false">DATE(2026,8,15)</f>
        <v>46249</v>
      </c>
      <c r="B13168" s="4" t="s">
        <v>179</v>
      </c>
      <c r="C13168" s="4" t="n">
        <v>10</v>
      </c>
      <c r="D13168" s="4" t="n">
        <v>14</v>
      </c>
      <c r="E13168" s="4" t="s">
        <v>1228</v>
      </c>
      <c r="F13168" s="4" t="n">
        <v>44</v>
      </c>
      <c r="G13168" s="4" t="n">
        <v>3</v>
      </c>
      <c r="H13168" s="4" t="n">
        <v>3</v>
      </c>
      <c r="I13168" s="4" t="str">
        <v>○</v>
      </c>
      <c r="J13168" s="4" t="n">
        <v>280</v>
      </c>
      <c r="K13168" s="4"/>
      <c r="L13168" s="4"/>
      <c r="M13168" s="7" t="s">
        <v>6556</v>
      </c>
    </row>
    <row r="13169" customFormat="false" ht="15.75" hidden="false" customHeight="false" outlineLevel="0" collapsed="false">
      <c r="A13169" s="6" t="n">
        <f aca="false">DATE(2026,8,15)</f>
        <v>46249</v>
      </c>
      <c r="B13169" s="4" t="s">
        <v>179</v>
      </c>
      <c r="C13169" s="4" t="n">
        <v>10</v>
      </c>
      <c r="D13169" s="4" t="n">
        <v>15</v>
      </c>
      <c r="E13169" s="4" t="s">
        <v>753</v>
      </c>
      <c r="F13169" s="4" t="n">
        <v>31</v>
      </c>
      <c r="G13169" s="4" t="n">
        <v>6</v>
      </c>
      <c r="H13169" s="4" t="n">
        <v>4</v>
      </c>
      <c r="I13169" s="4" t="str">
        <v>×</v>
      </c>
      <c r="J13169" s="4"/>
      <c r="K13169" s="4"/>
      <c r="L13169" s="4"/>
      <c r="M13169" s="7" t="s">
        <v>6556</v>
      </c>
    </row>
    <row r="13170" customFormat="false" ht="15.75" hidden="false" customHeight="false" outlineLevel="0" collapsed="false">
      <c r="A13170" s="6" t="n">
        <f aca="false">DATE(2026,8,15)</f>
        <v>46249</v>
      </c>
      <c r="B13170" s="4" t="s">
        <v>179</v>
      </c>
      <c r="C13170" s="4" t="n">
        <v>10</v>
      </c>
      <c r="D13170" s="4" t="n">
        <v>16</v>
      </c>
      <c r="E13170" s="4" t="s">
        <v>5726</v>
      </c>
      <c r="F13170" s="4" t="n">
        <v>25</v>
      </c>
      <c r="G13170" s="4" t="n">
        <v>7</v>
      </c>
      <c r="H13170" s="4" t="n">
        <v>4</v>
      </c>
      <c r="I13170" s="4" t="str">
        <v>×</v>
      </c>
      <c r="J13170" s="4"/>
      <c r="K13170" s="4"/>
      <c r="L13170" s="4"/>
      <c r="M13170" s="7" t="s">
        <v>6556</v>
      </c>
    </row>
    <row r="13171" customFormat="false" ht="15.75" hidden="false" customHeight="false" outlineLevel="0" collapsed="false">
      <c r="A13171" s="6" t="n">
        <f aca="false">DATE(2026,8,15)</f>
        <v>46249</v>
      </c>
      <c r="B13171" s="4" t="s">
        <v>179</v>
      </c>
      <c r="C13171" s="4" t="n">
        <v>11</v>
      </c>
      <c r="D13171" s="4" t="n">
        <v>1</v>
      </c>
      <c r="E13171" s="4" t="s">
        <v>6605</v>
      </c>
      <c r="F13171" s="4" t="n">
        <v>60</v>
      </c>
      <c r="G13171" s="4" t="n">
        <v>1</v>
      </c>
      <c r="H13171" s="4" t="n">
        <v>4</v>
      </c>
      <c r="I13171" s="4" t="str">
        <v>×</v>
      </c>
      <c r="J13171" s="4"/>
      <c r="K13171" s="4"/>
      <c r="L13171" s="4"/>
      <c r="M13171" s="7" t="s">
        <v>6556</v>
      </c>
    </row>
    <row r="13172" customFormat="false" ht="15.75" hidden="false" customHeight="false" outlineLevel="0" collapsed="false">
      <c r="A13172" s="6" t="n">
        <f aca="false">DATE(2026,8,15)</f>
        <v>46249</v>
      </c>
      <c r="B13172" s="4" t="s">
        <v>179</v>
      </c>
      <c r="C13172" s="4" t="n">
        <v>11</v>
      </c>
      <c r="D13172" s="4" t="n">
        <v>2</v>
      </c>
      <c r="E13172" s="4" t="s">
        <v>6293</v>
      </c>
      <c r="F13172" s="4" t="n">
        <v>34</v>
      </c>
      <c r="G13172" s="4" t="n">
        <v>4</v>
      </c>
      <c r="H13172" s="4" t="n">
        <v>4</v>
      </c>
      <c r="I13172" s="4" t="str">
        <v>×</v>
      </c>
      <c r="J13172" s="4"/>
      <c r="K13172" s="4"/>
      <c r="L13172" s="4"/>
      <c r="M13172" s="7" t="s">
        <v>6556</v>
      </c>
    </row>
    <row r="13173" customFormat="false" ht="15.75" hidden="false" customHeight="false" outlineLevel="0" collapsed="false">
      <c r="A13173" s="6" t="n">
        <f aca="false">DATE(2026,8,15)</f>
        <v>46249</v>
      </c>
      <c r="B13173" s="4" t="s">
        <v>179</v>
      </c>
      <c r="C13173" s="4" t="n">
        <v>11</v>
      </c>
      <c r="D13173" s="4" t="n">
        <v>3</v>
      </c>
      <c r="E13173" s="4" t="s">
        <v>6606</v>
      </c>
      <c r="F13173" s="4" t="n">
        <v>39</v>
      </c>
      <c r="G13173" s="4" t="n">
        <v>3</v>
      </c>
      <c r="H13173" s="4" t="n">
        <v>2</v>
      </c>
      <c r="I13173" s="4" t="str">
        <v>○</v>
      </c>
      <c r="J13173" s="4" t="n">
        <v>580</v>
      </c>
      <c r="K13173" s="4"/>
      <c r="L13173" s="4"/>
      <c r="M13173" s="7" t="s">
        <v>6556</v>
      </c>
    </row>
    <row r="13174" customFormat="false" ht="15.75" hidden="false" customHeight="false" outlineLevel="0" collapsed="false">
      <c r="A13174" s="6" t="n">
        <f aca="false">DATE(2026,8,15)</f>
        <v>46249</v>
      </c>
      <c r="B13174" s="4" t="s">
        <v>179</v>
      </c>
      <c r="C13174" s="4" t="n">
        <v>11</v>
      </c>
      <c r="D13174" s="4" t="n">
        <v>4</v>
      </c>
      <c r="E13174" s="4" t="s">
        <v>6607</v>
      </c>
      <c r="F13174" s="4" t="n">
        <v>17</v>
      </c>
      <c r="G13174" s="4" t="n">
        <v>9</v>
      </c>
      <c r="H13174" s="4" t="n">
        <v>1</v>
      </c>
      <c r="I13174" s="4" t="str">
        <v>○</v>
      </c>
      <c r="J13174" s="4" t="n">
        <v>220</v>
      </c>
      <c r="K13174" s="4"/>
      <c r="L13174" s="4"/>
      <c r="M13174" s="7" t="s">
        <v>6556</v>
      </c>
    </row>
    <row r="13175" customFormat="false" ht="15.75" hidden="false" customHeight="false" outlineLevel="0" collapsed="false">
      <c r="A13175" s="6" t="n">
        <f aca="false">DATE(2026,8,15)</f>
        <v>46249</v>
      </c>
      <c r="B13175" s="4" t="s">
        <v>179</v>
      </c>
      <c r="C13175" s="4" t="n">
        <v>11</v>
      </c>
      <c r="D13175" s="4" t="n">
        <v>5</v>
      </c>
      <c r="E13175" s="4" t="s">
        <v>3689</v>
      </c>
      <c r="F13175" s="4" t="n">
        <v>20</v>
      </c>
      <c r="G13175" s="4" t="n">
        <v>8</v>
      </c>
      <c r="H13175" s="4" t="n">
        <v>4</v>
      </c>
      <c r="I13175" s="4" t="str">
        <v>×</v>
      </c>
      <c r="J13175" s="4"/>
      <c r="K13175" s="4"/>
      <c r="L13175" s="4"/>
      <c r="M13175" s="7" t="s">
        <v>6556</v>
      </c>
    </row>
    <row r="13176" customFormat="false" ht="15.75" hidden="false" customHeight="false" outlineLevel="0" collapsed="false">
      <c r="A13176" s="6" t="n">
        <f aca="false">DATE(2026,8,15)</f>
        <v>46249</v>
      </c>
      <c r="B13176" s="4" t="s">
        <v>179</v>
      </c>
      <c r="C13176" s="4" t="n">
        <v>11</v>
      </c>
      <c r="D13176" s="4" t="n">
        <v>6</v>
      </c>
      <c r="E13176" s="4" t="s">
        <v>768</v>
      </c>
      <c r="F13176" s="4" t="n">
        <v>15</v>
      </c>
      <c r="G13176" s="4" t="n">
        <v>11</v>
      </c>
      <c r="H13176" s="4" t="n">
        <v>4</v>
      </c>
      <c r="I13176" s="4" t="str">
        <v>×</v>
      </c>
      <c r="J13176" s="4"/>
      <c r="K13176" s="4"/>
      <c r="L13176" s="4"/>
      <c r="M13176" s="7" t="s">
        <v>6556</v>
      </c>
    </row>
    <row r="13177" customFormat="false" ht="15.75" hidden="false" customHeight="false" outlineLevel="0" collapsed="false">
      <c r="A13177" s="6" t="n">
        <f aca="false">DATE(2026,8,15)</f>
        <v>46249</v>
      </c>
      <c r="B13177" s="4" t="s">
        <v>179</v>
      </c>
      <c r="C13177" s="4" t="n">
        <v>11</v>
      </c>
      <c r="D13177" s="4" t="n">
        <v>7</v>
      </c>
      <c r="E13177" s="4" t="s">
        <v>2165</v>
      </c>
      <c r="F13177" s="4" t="n">
        <v>17</v>
      </c>
      <c r="G13177" s="4" t="n">
        <v>10</v>
      </c>
      <c r="H13177" s="4" t="n">
        <v>4</v>
      </c>
      <c r="I13177" s="4" t="str">
        <v>×</v>
      </c>
      <c r="J13177" s="4"/>
      <c r="K13177" s="4"/>
      <c r="L13177" s="4"/>
      <c r="M13177" s="7" t="s">
        <v>6556</v>
      </c>
    </row>
    <row r="13178" customFormat="false" ht="15.75" hidden="false" customHeight="false" outlineLevel="0" collapsed="false">
      <c r="A13178" s="6" t="n">
        <f aca="false">DATE(2026,8,15)</f>
        <v>46249</v>
      </c>
      <c r="B13178" s="4" t="s">
        <v>179</v>
      </c>
      <c r="C13178" s="4" t="n">
        <v>11</v>
      </c>
      <c r="D13178" s="4" t="n">
        <v>8</v>
      </c>
      <c r="E13178" s="4" t="s">
        <v>2099</v>
      </c>
      <c r="F13178" s="4" t="n">
        <v>34</v>
      </c>
      <c r="G13178" s="4" t="n">
        <v>5</v>
      </c>
      <c r="H13178" s="4" t="n">
        <v>4</v>
      </c>
      <c r="I13178" s="4" t="str">
        <v>×</v>
      </c>
      <c r="J13178" s="4"/>
      <c r="K13178" s="4"/>
      <c r="L13178" s="4"/>
      <c r="M13178" s="7" t="s">
        <v>6556</v>
      </c>
    </row>
    <row r="13179" customFormat="false" ht="15.75" hidden="false" customHeight="false" outlineLevel="0" collapsed="false">
      <c r="A13179" s="6" t="n">
        <f aca="false">DATE(2026,8,15)</f>
        <v>46249</v>
      </c>
      <c r="B13179" s="4" t="s">
        <v>179</v>
      </c>
      <c r="C13179" s="4" t="n">
        <v>11</v>
      </c>
      <c r="D13179" s="4" t="n">
        <v>9</v>
      </c>
      <c r="E13179" s="4" t="s">
        <v>4183</v>
      </c>
      <c r="F13179" s="4" t="n">
        <v>8</v>
      </c>
      <c r="G13179" s="4" t="n">
        <v>14</v>
      </c>
      <c r="H13179" s="4" t="n">
        <v>4</v>
      </c>
      <c r="I13179" s="4" t="str">
        <v>×</v>
      </c>
      <c r="J13179" s="4"/>
      <c r="K13179" s="4"/>
      <c r="L13179" s="4"/>
      <c r="M13179" s="7" t="s">
        <v>6556</v>
      </c>
    </row>
    <row r="13180" customFormat="false" ht="15.75" hidden="false" customHeight="false" outlineLevel="0" collapsed="false">
      <c r="A13180" s="6" t="n">
        <f aca="false">DATE(2026,8,15)</f>
        <v>46249</v>
      </c>
      <c r="B13180" s="4" t="s">
        <v>179</v>
      </c>
      <c r="C13180" s="4" t="n">
        <v>11</v>
      </c>
      <c r="D13180" s="4" t="n">
        <v>10</v>
      </c>
      <c r="E13180" s="4" t="s">
        <v>5394</v>
      </c>
      <c r="F13180" s="4" t="n">
        <v>29</v>
      </c>
      <c r="G13180" s="4" t="n">
        <v>6</v>
      </c>
      <c r="H13180" s="4" t="n">
        <v>4</v>
      </c>
      <c r="I13180" s="4" t="str">
        <v>×</v>
      </c>
      <c r="J13180" s="4"/>
      <c r="K13180" s="4"/>
      <c r="L13180" s="4"/>
      <c r="M13180" s="7" t="s">
        <v>6556</v>
      </c>
    </row>
    <row r="13181" customFormat="false" ht="15.75" hidden="false" customHeight="false" outlineLevel="0" collapsed="false">
      <c r="A13181" s="6" t="n">
        <f aca="false">DATE(2026,8,15)</f>
        <v>46249</v>
      </c>
      <c r="B13181" s="4" t="s">
        <v>179</v>
      </c>
      <c r="C13181" s="4" t="n">
        <v>11</v>
      </c>
      <c r="D13181" s="4" t="n">
        <v>11</v>
      </c>
      <c r="E13181" s="4" t="s">
        <v>6608</v>
      </c>
      <c r="F13181" s="4" t="n">
        <v>23</v>
      </c>
      <c r="G13181" s="4" t="n">
        <v>7</v>
      </c>
      <c r="H13181" s="4" t="n">
        <v>3</v>
      </c>
      <c r="I13181" s="4" t="str">
        <v>○</v>
      </c>
      <c r="J13181" s="4" t="n">
        <v>240</v>
      </c>
      <c r="K13181" s="4"/>
      <c r="L13181" s="4"/>
      <c r="M13181" s="7" t="s">
        <v>6556</v>
      </c>
    </row>
    <row r="13182" customFormat="false" ht="15.75" hidden="false" customHeight="false" outlineLevel="0" collapsed="false">
      <c r="A13182" s="6" t="n">
        <f aca="false">DATE(2026,8,15)</f>
        <v>46249</v>
      </c>
      <c r="B13182" s="4" t="s">
        <v>179</v>
      </c>
      <c r="C13182" s="4" t="n">
        <v>11</v>
      </c>
      <c r="D13182" s="4" t="n">
        <v>12</v>
      </c>
      <c r="E13182" s="4" t="s">
        <v>2549</v>
      </c>
      <c r="F13182" s="4" t="n">
        <v>3</v>
      </c>
      <c r="G13182" s="4" t="n">
        <v>15</v>
      </c>
      <c r="H13182" s="4" t="n">
        <v>4</v>
      </c>
      <c r="I13182" s="4" t="str">
        <v>×</v>
      </c>
      <c r="J13182" s="4"/>
      <c r="K13182" s="4"/>
      <c r="L13182" s="4"/>
      <c r="M13182" s="7" t="s">
        <v>6556</v>
      </c>
    </row>
    <row r="13183" customFormat="false" ht="15.75" hidden="false" customHeight="false" outlineLevel="0" collapsed="false">
      <c r="A13183" s="6" t="n">
        <f aca="false">DATE(2026,8,15)</f>
        <v>46249</v>
      </c>
      <c r="B13183" s="4" t="s">
        <v>179</v>
      </c>
      <c r="C13183" s="4" t="n">
        <v>11</v>
      </c>
      <c r="D13183" s="4" t="n">
        <v>13</v>
      </c>
      <c r="E13183" s="4" t="s">
        <v>6412</v>
      </c>
      <c r="F13183" s="4" t="n">
        <v>41</v>
      </c>
      <c r="G13183" s="4" t="n">
        <v>2</v>
      </c>
      <c r="H13183" s="4" t="n">
        <v>4</v>
      </c>
      <c r="I13183" s="4" t="str">
        <v>×</v>
      </c>
      <c r="J13183" s="4"/>
      <c r="K13183" s="4"/>
      <c r="L13183" s="4"/>
      <c r="M13183" s="7" t="s">
        <v>6556</v>
      </c>
    </row>
    <row r="13184" customFormat="false" ht="15.75" hidden="false" customHeight="false" outlineLevel="0" collapsed="false">
      <c r="A13184" s="6" t="n">
        <f aca="false">DATE(2026,8,15)</f>
        <v>46249</v>
      </c>
      <c r="B13184" s="4" t="s">
        <v>179</v>
      </c>
      <c r="C13184" s="4" t="n">
        <v>11</v>
      </c>
      <c r="D13184" s="4" t="n">
        <v>14</v>
      </c>
      <c r="E13184" s="4" t="s">
        <v>5041</v>
      </c>
      <c r="F13184" s="4" t="n">
        <v>10</v>
      </c>
      <c r="G13184" s="4" t="n">
        <v>12</v>
      </c>
      <c r="H13184" s="4" t="n">
        <v>4</v>
      </c>
      <c r="I13184" s="4" t="str">
        <v>×</v>
      </c>
      <c r="J13184" s="4"/>
      <c r="K13184" s="4"/>
      <c r="L13184" s="4"/>
      <c r="M13184" s="7" t="s">
        <v>6556</v>
      </c>
    </row>
    <row r="13185" customFormat="false" ht="15.75" hidden="false" customHeight="false" outlineLevel="0" collapsed="false">
      <c r="A13185" s="6" t="n">
        <f aca="false">DATE(2026,8,15)</f>
        <v>46249</v>
      </c>
      <c r="B13185" s="4" t="s">
        <v>179</v>
      </c>
      <c r="C13185" s="4" t="n">
        <v>11</v>
      </c>
      <c r="D13185" s="4" t="n">
        <v>15</v>
      </c>
      <c r="E13185" s="4" t="s">
        <v>760</v>
      </c>
      <c r="F13185" s="4" t="n">
        <v>10</v>
      </c>
      <c r="G13185" s="4" t="n">
        <v>13</v>
      </c>
      <c r="H13185" s="4" t="n">
        <v>4</v>
      </c>
      <c r="I13185" s="4" t="str">
        <v>×</v>
      </c>
      <c r="J13185" s="4"/>
      <c r="K13185" s="4"/>
      <c r="L13185" s="4"/>
      <c r="M13185" s="7" t="s">
        <v>6556</v>
      </c>
    </row>
    <row r="13186" customFormat="false" ht="15.75" hidden="false" customHeight="false" outlineLevel="0" collapsed="false">
      <c r="A13186" s="6" t="n">
        <f aca="false">DATE(2026,8,15)</f>
        <v>46249</v>
      </c>
      <c r="B13186" s="4" t="s">
        <v>179</v>
      </c>
      <c r="C13186" s="4" t="n">
        <v>12</v>
      </c>
      <c r="D13186" s="4" t="n">
        <v>1</v>
      </c>
      <c r="E13186" s="4" t="s">
        <v>3158</v>
      </c>
      <c r="F13186" s="4" t="n">
        <v>6</v>
      </c>
      <c r="G13186" s="4" t="n">
        <v>13</v>
      </c>
      <c r="H13186" s="4" t="n">
        <v>4</v>
      </c>
      <c r="I13186" s="4" t="str">
        <v>×</v>
      </c>
      <c r="J13186" s="4"/>
      <c r="K13186" s="4"/>
      <c r="L13186" s="4"/>
      <c r="M13186" s="7" t="s">
        <v>6556</v>
      </c>
    </row>
    <row r="13187" customFormat="false" ht="15.75" hidden="false" customHeight="false" outlineLevel="0" collapsed="false">
      <c r="A13187" s="6" t="n">
        <f aca="false">DATE(2026,8,15)</f>
        <v>46249</v>
      </c>
      <c r="B13187" s="4" t="s">
        <v>179</v>
      </c>
      <c r="C13187" s="4" t="n">
        <v>12</v>
      </c>
      <c r="D13187" s="4" t="n">
        <v>2</v>
      </c>
      <c r="E13187" s="4" t="s">
        <v>6609</v>
      </c>
      <c r="F13187" s="4" t="n">
        <v>8</v>
      </c>
      <c r="G13187" s="4" t="n">
        <v>9</v>
      </c>
      <c r="H13187" s="4" t="n">
        <v>4</v>
      </c>
      <c r="I13187" s="4" t="str">
        <v>×</v>
      </c>
      <c r="J13187" s="4"/>
      <c r="K13187" s="4"/>
      <c r="L13187" s="4"/>
      <c r="M13187" s="7" t="s">
        <v>6556</v>
      </c>
    </row>
    <row r="13188" customFormat="false" ht="15.75" hidden="false" customHeight="false" outlineLevel="0" collapsed="false">
      <c r="A13188" s="6" t="n">
        <f aca="false">DATE(2026,8,15)</f>
        <v>46249</v>
      </c>
      <c r="B13188" s="4" t="s">
        <v>179</v>
      </c>
      <c r="C13188" s="4" t="n">
        <v>12</v>
      </c>
      <c r="D13188" s="4" t="n">
        <v>3</v>
      </c>
      <c r="E13188" s="4" t="s">
        <v>5248</v>
      </c>
      <c r="F13188" s="4" t="n">
        <v>8</v>
      </c>
      <c r="G13188" s="4" t="n">
        <v>10</v>
      </c>
      <c r="H13188" s="4" t="n">
        <v>4</v>
      </c>
      <c r="I13188" s="4" t="str">
        <v>×</v>
      </c>
      <c r="J13188" s="4"/>
      <c r="K13188" s="4"/>
      <c r="L13188" s="4"/>
      <c r="M13188" s="7" t="s">
        <v>6556</v>
      </c>
    </row>
    <row r="13189" customFormat="false" ht="15.75" hidden="false" customHeight="false" outlineLevel="0" collapsed="false">
      <c r="A13189" s="6" t="n">
        <f aca="false">DATE(2026,8,15)</f>
        <v>46249</v>
      </c>
      <c r="B13189" s="4" t="s">
        <v>179</v>
      </c>
      <c r="C13189" s="4" t="n">
        <v>12</v>
      </c>
      <c r="D13189" s="4" t="n">
        <v>4</v>
      </c>
      <c r="E13189" s="4" t="s">
        <v>4613</v>
      </c>
      <c r="F13189" s="4" t="n">
        <v>20</v>
      </c>
      <c r="G13189" s="4" t="n">
        <v>5</v>
      </c>
      <c r="H13189" s="4" t="n">
        <v>4</v>
      </c>
      <c r="I13189" s="4" t="str">
        <v>×</v>
      </c>
      <c r="J13189" s="4"/>
      <c r="K13189" s="4"/>
      <c r="L13189" s="4"/>
      <c r="M13189" s="7" t="s">
        <v>6556</v>
      </c>
    </row>
    <row r="13190" customFormat="false" ht="15.75" hidden="false" customHeight="false" outlineLevel="0" collapsed="false">
      <c r="A13190" s="6" t="n">
        <f aca="false">DATE(2026,8,15)</f>
        <v>46249</v>
      </c>
      <c r="B13190" s="4" t="s">
        <v>179</v>
      </c>
      <c r="C13190" s="4" t="n">
        <v>12</v>
      </c>
      <c r="D13190" s="4" t="n">
        <v>5</v>
      </c>
      <c r="E13190" s="4" t="s">
        <v>3920</v>
      </c>
      <c r="F13190" s="4" t="n">
        <v>81</v>
      </c>
      <c r="G13190" s="4" t="n">
        <v>1</v>
      </c>
      <c r="H13190" s="4" t="n">
        <v>2</v>
      </c>
      <c r="I13190" s="4" t="str">
        <v>○</v>
      </c>
      <c r="J13190" s="4" t="n">
        <v>130</v>
      </c>
      <c r="K13190" s="4"/>
      <c r="L13190" s="4"/>
      <c r="M13190" s="7" t="s">
        <v>6556</v>
      </c>
    </row>
    <row r="13191" customFormat="false" ht="15.75" hidden="false" customHeight="false" outlineLevel="0" collapsed="false">
      <c r="A13191" s="6" t="n">
        <f aca="false">DATE(2026,8,15)</f>
        <v>46249</v>
      </c>
      <c r="B13191" s="4" t="s">
        <v>179</v>
      </c>
      <c r="C13191" s="4" t="n">
        <v>12</v>
      </c>
      <c r="D13191" s="4" t="n">
        <v>6</v>
      </c>
      <c r="E13191" s="4" t="s">
        <v>3914</v>
      </c>
      <c r="F13191" s="4" t="n">
        <v>39</v>
      </c>
      <c r="G13191" s="4" t="n">
        <v>3</v>
      </c>
      <c r="H13191" s="4" t="n">
        <v>4</v>
      </c>
      <c r="I13191" s="4" t="str">
        <v>×</v>
      </c>
      <c r="J13191" s="4"/>
      <c r="K13191" s="4"/>
      <c r="L13191" s="4"/>
      <c r="M13191" s="7" t="s">
        <v>6556</v>
      </c>
    </row>
    <row r="13192" customFormat="false" ht="15.75" hidden="false" customHeight="false" outlineLevel="0" collapsed="false">
      <c r="A13192" s="6" t="n">
        <f aca="false">DATE(2026,8,15)</f>
        <v>46249</v>
      </c>
      <c r="B13192" s="4" t="s">
        <v>179</v>
      </c>
      <c r="C13192" s="4" t="n">
        <v>12</v>
      </c>
      <c r="D13192" s="4" t="n">
        <v>7</v>
      </c>
      <c r="E13192" s="4" t="s">
        <v>3915</v>
      </c>
      <c r="F13192" s="4" t="n">
        <v>52</v>
      </c>
      <c r="G13192" s="4" t="n">
        <v>2</v>
      </c>
      <c r="H13192" s="4" t="n">
        <v>3</v>
      </c>
      <c r="I13192" s="4" t="str">
        <v>○</v>
      </c>
      <c r="J13192" s="4" t="n">
        <v>180</v>
      </c>
      <c r="K13192" s="4"/>
      <c r="L13192" s="4"/>
      <c r="M13192" s="7" t="s">
        <v>6556</v>
      </c>
    </row>
    <row r="13193" customFormat="false" ht="15.75" hidden="false" customHeight="false" outlineLevel="0" collapsed="false">
      <c r="A13193" s="6" t="n">
        <f aca="false">DATE(2026,8,15)</f>
        <v>46249</v>
      </c>
      <c r="B13193" s="4" t="s">
        <v>179</v>
      </c>
      <c r="C13193" s="4" t="n">
        <v>12</v>
      </c>
      <c r="D13193" s="4" t="n">
        <v>8</v>
      </c>
      <c r="E13193" s="4" t="s">
        <v>1626</v>
      </c>
      <c r="F13193" s="4" t="n">
        <v>13</v>
      </c>
      <c r="G13193" s="4" t="n">
        <v>7</v>
      </c>
      <c r="H13193" s="4" t="n">
        <v>4</v>
      </c>
      <c r="I13193" s="4" t="str">
        <v>×</v>
      </c>
      <c r="J13193" s="4"/>
      <c r="K13193" s="4"/>
      <c r="L13193" s="4"/>
      <c r="M13193" s="7" t="s">
        <v>6556</v>
      </c>
    </row>
    <row r="13194" customFormat="false" ht="15.75" hidden="false" customHeight="false" outlineLevel="0" collapsed="false">
      <c r="A13194" s="6" t="n">
        <f aca="false">DATE(2026,8,15)</f>
        <v>46249</v>
      </c>
      <c r="B13194" s="4" t="s">
        <v>179</v>
      </c>
      <c r="C13194" s="4" t="n">
        <v>12</v>
      </c>
      <c r="D13194" s="4" t="n">
        <v>9</v>
      </c>
      <c r="E13194" s="4" t="s">
        <v>2444</v>
      </c>
      <c r="F13194" s="4" t="n">
        <v>8</v>
      </c>
      <c r="G13194" s="4" t="n">
        <v>11</v>
      </c>
      <c r="H13194" s="4" t="n">
        <v>4</v>
      </c>
      <c r="I13194" s="4" t="str">
        <v>×</v>
      </c>
      <c r="J13194" s="4"/>
      <c r="K13194" s="4"/>
      <c r="L13194" s="4"/>
      <c r="M13194" s="7" t="s">
        <v>6556</v>
      </c>
    </row>
    <row r="13195" customFormat="false" ht="15.75" hidden="false" customHeight="false" outlineLevel="0" collapsed="false">
      <c r="A13195" s="6" t="n">
        <f aca="false">DATE(2026,8,15)</f>
        <v>46249</v>
      </c>
      <c r="B13195" s="4" t="s">
        <v>179</v>
      </c>
      <c r="C13195" s="4" t="n">
        <v>12</v>
      </c>
      <c r="D13195" s="4" t="n">
        <v>10</v>
      </c>
      <c r="E13195" s="4" t="s">
        <v>6610</v>
      </c>
      <c r="F13195" s="4" t="n">
        <v>4</v>
      </c>
      <c r="G13195" s="4" t="n">
        <v>14</v>
      </c>
      <c r="H13195" s="4" t="n">
        <v>4</v>
      </c>
      <c r="I13195" s="4" t="str">
        <v>×</v>
      </c>
      <c r="J13195" s="4"/>
      <c r="K13195" s="4"/>
      <c r="L13195" s="4"/>
      <c r="M13195" s="7" t="s">
        <v>6556</v>
      </c>
    </row>
    <row r="13196" customFormat="false" ht="15.75" hidden="false" customHeight="false" outlineLevel="0" collapsed="false">
      <c r="A13196" s="6" t="n">
        <f aca="false">DATE(2026,8,15)</f>
        <v>46249</v>
      </c>
      <c r="B13196" s="4" t="s">
        <v>179</v>
      </c>
      <c r="C13196" s="4" t="n">
        <v>12</v>
      </c>
      <c r="D13196" s="4" t="n">
        <v>11</v>
      </c>
      <c r="E13196" s="4" t="s">
        <v>5930</v>
      </c>
      <c r="F13196" s="4" t="n">
        <v>15</v>
      </c>
      <c r="G13196" s="4" t="n">
        <v>6</v>
      </c>
      <c r="H13196" s="4" t="n">
        <v>4</v>
      </c>
      <c r="I13196" s="4" t="str">
        <v>×</v>
      </c>
      <c r="J13196" s="4"/>
      <c r="K13196" s="4"/>
      <c r="L13196" s="4"/>
      <c r="M13196" s="7" t="s">
        <v>6556</v>
      </c>
    </row>
    <row r="13197" customFormat="false" ht="15.75" hidden="false" customHeight="false" outlineLevel="0" collapsed="false">
      <c r="A13197" s="6" t="n">
        <f aca="false">DATE(2026,8,15)</f>
        <v>46249</v>
      </c>
      <c r="B13197" s="4" t="s">
        <v>179</v>
      </c>
      <c r="C13197" s="4" t="n">
        <v>12</v>
      </c>
      <c r="D13197" s="4" t="n">
        <v>12</v>
      </c>
      <c r="E13197" s="4" t="s">
        <v>6611</v>
      </c>
      <c r="F13197" s="4" t="n">
        <v>8</v>
      </c>
      <c r="G13197" s="4" t="n">
        <v>12</v>
      </c>
      <c r="H13197" s="4" t="n">
        <v>4</v>
      </c>
      <c r="I13197" s="4" t="str">
        <v>×</v>
      </c>
      <c r="J13197" s="4"/>
      <c r="K13197" s="4"/>
      <c r="L13197" s="4"/>
      <c r="M13197" s="7" t="s">
        <v>6556</v>
      </c>
    </row>
    <row r="13198" customFormat="false" ht="15.75" hidden="false" customHeight="false" outlineLevel="0" collapsed="false">
      <c r="A13198" s="6" t="n">
        <f aca="false">DATE(2026,8,15)</f>
        <v>46249</v>
      </c>
      <c r="B13198" s="4" t="s">
        <v>179</v>
      </c>
      <c r="C13198" s="4" t="n">
        <v>12</v>
      </c>
      <c r="D13198" s="4" t="n">
        <v>13</v>
      </c>
      <c r="E13198" s="4" t="s">
        <v>1575</v>
      </c>
      <c r="F13198" s="4" t="n">
        <v>1</v>
      </c>
      <c r="G13198" s="4" t="n">
        <v>16</v>
      </c>
      <c r="H13198" s="4" t="n">
        <v>4</v>
      </c>
      <c r="I13198" s="4" t="str">
        <v>×</v>
      </c>
      <c r="J13198" s="4"/>
      <c r="K13198" s="4"/>
      <c r="L13198" s="4"/>
      <c r="M13198" s="7" t="s">
        <v>6556</v>
      </c>
    </row>
    <row r="13199" customFormat="false" ht="15.75" hidden="false" customHeight="false" outlineLevel="0" collapsed="false">
      <c r="A13199" s="6" t="n">
        <f aca="false">DATE(2026,8,15)</f>
        <v>46249</v>
      </c>
      <c r="B13199" s="4" t="s">
        <v>179</v>
      </c>
      <c r="C13199" s="4" t="n">
        <v>12</v>
      </c>
      <c r="D13199" s="4" t="n">
        <v>14</v>
      </c>
      <c r="E13199" s="4" t="s">
        <v>6612</v>
      </c>
      <c r="F13199" s="4" t="n">
        <v>3</v>
      </c>
      <c r="G13199" s="4" t="n">
        <v>15</v>
      </c>
      <c r="H13199" s="4" t="n">
        <v>4</v>
      </c>
      <c r="I13199" s="4" t="str">
        <v>×</v>
      </c>
      <c r="J13199" s="4"/>
      <c r="K13199" s="4"/>
      <c r="L13199" s="4"/>
      <c r="M13199" s="7" t="s">
        <v>6556</v>
      </c>
    </row>
    <row r="13200" customFormat="false" ht="15.75" hidden="false" customHeight="false" outlineLevel="0" collapsed="false">
      <c r="A13200" s="6" t="n">
        <f aca="false">DATE(2026,8,15)</f>
        <v>46249</v>
      </c>
      <c r="B13200" s="4" t="s">
        <v>179</v>
      </c>
      <c r="C13200" s="4" t="n">
        <v>12</v>
      </c>
      <c r="D13200" s="4" t="n">
        <v>15</v>
      </c>
      <c r="E13200" s="4" t="s">
        <v>5894</v>
      </c>
      <c r="F13200" s="4" t="n">
        <v>29</v>
      </c>
      <c r="G13200" s="4" t="n">
        <v>4</v>
      </c>
      <c r="H13200" s="4" t="n">
        <v>1</v>
      </c>
      <c r="I13200" s="4" t="str">
        <v>○</v>
      </c>
      <c r="J13200" s="4" t="n">
        <v>140</v>
      </c>
      <c r="K13200" s="4"/>
      <c r="L13200" s="4"/>
      <c r="M13200" s="7" t="s">
        <v>6556</v>
      </c>
    </row>
    <row r="13201" customFormat="false" ht="15.75" hidden="false" customHeight="false" outlineLevel="0" collapsed="false">
      <c r="A13201" s="6" t="n">
        <f aca="false">DATE(2026,8,15)</f>
        <v>46249</v>
      </c>
      <c r="B13201" s="4" t="s">
        <v>179</v>
      </c>
      <c r="C13201" s="4" t="n">
        <v>12</v>
      </c>
      <c r="D13201" s="4" t="n">
        <v>16</v>
      </c>
      <c r="E13201" s="4" t="s">
        <v>6094</v>
      </c>
      <c r="F13201" s="4" t="n">
        <v>13</v>
      </c>
      <c r="G13201" s="4" t="n">
        <v>8</v>
      </c>
      <c r="H13201" s="4" t="n">
        <v>4</v>
      </c>
      <c r="I13201" s="4" t="str">
        <v>×</v>
      </c>
      <c r="J13201" s="4"/>
      <c r="K13201" s="4"/>
      <c r="L13201" s="4"/>
      <c r="M13201" s="7" t="s">
        <v>6556</v>
      </c>
    </row>
    <row r="13202" customFormat="false" ht="15.75" hidden="false" customHeight="false" outlineLevel="0" collapsed="false">
      <c r="A13202" s="6" t="n">
        <f aca="false">DATE(2026,8,15)</f>
        <v>46249</v>
      </c>
      <c r="B13202" s="4" t="s">
        <v>13</v>
      </c>
      <c r="C13202" s="4" t="n">
        <v>1</v>
      </c>
      <c r="D13202" s="4" t="n">
        <v>1</v>
      </c>
      <c r="E13202" s="4" t="s">
        <v>3906</v>
      </c>
      <c r="F13202" s="4" t="n">
        <v>29</v>
      </c>
      <c r="G13202" s="4" t="n">
        <v>5</v>
      </c>
      <c r="H13202" s="4" t="n">
        <v>4</v>
      </c>
      <c r="I13202" s="4" t="str">
        <v>×</v>
      </c>
      <c r="J13202" s="4"/>
      <c r="K13202" s="4"/>
      <c r="L13202" s="4"/>
      <c r="M13202" s="7" t="s">
        <v>6556</v>
      </c>
    </row>
    <row r="13203" customFormat="false" ht="15.75" hidden="false" customHeight="false" outlineLevel="0" collapsed="false">
      <c r="A13203" s="6" t="n">
        <f aca="false">DATE(2026,8,15)</f>
        <v>46249</v>
      </c>
      <c r="B13203" s="4" t="s">
        <v>13</v>
      </c>
      <c r="C13203" s="4" t="n">
        <v>1</v>
      </c>
      <c r="D13203" s="4" t="n">
        <v>2</v>
      </c>
      <c r="E13203" s="4" t="s">
        <v>1439</v>
      </c>
      <c r="F13203" s="4" t="n">
        <v>10</v>
      </c>
      <c r="G13203" s="4" t="n">
        <v>8</v>
      </c>
      <c r="H13203" s="4" t="n">
        <v>4</v>
      </c>
      <c r="I13203" s="4" t="str">
        <v>×</v>
      </c>
      <c r="J13203" s="4"/>
      <c r="K13203" s="4"/>
      <c r="L13203" s="4"/>
      <c r="M13203" s="7" t="s">
        <v>6556</v>
      </c>
    </row>
    <row r="13204" customFormat="false" ht="15.75" hidden="false" customHeight="false" outlineLevel="0" collapsed="false">
      <c r="A13204" s="6" t="n">
        <f aca="false">DATE(2026,8,15)</f>
        <v>46249</v>
      </c>
      <c r="B13204" s="4" t="s">
        <v>13</v>
      </c>
      <c r="C13204" s="4" t="n">
        <v>1</v>
      </c>
      <c r="D13204" s="4" t="n">
        <v>3</v>
      </c>
      <c r="E13204" s="4" t="s">
        <v>16</v>
      </c>
      <c r="F13204" s="4" t="n">
        <v>71</v>
      </c>
      <c r="G13204" s="4" t="n">
        <v>1</v>
      </c>
      <c r="H13204" s="4" t="n">
        <v>1</v>
      </c>
      <c r="I13204" s="4" t="str">
        <v>○</v>
      </c>
      <c r="J13204" s="4" t="n">
        <v>120</v>
      </c>
      <c r="K13204" s="4"/>
      <c r="L13204" s="4"/>
      <c r="M13204" s="7" t="s">
        <v>6556</v>
      </c>
    </row>
    <row r="13205" customFormat="false" ht="15.75" hidden="false" customHeight="false" outlineLevel="0" collapsed="false">
      <c r="A13205" s="6" t="n">
        <f aca="false">DATE(2026,8,15)</f>
        <v>46249</v>
      </c>
      <c r="B13205" s="4" t="s">
        <v>13</v>
      </c>
      <c r="C13205" s="4" t="n">
        <v>1</v>
      </c>
      <c r="D13205" s="4" t="n">
        <v>4</v>
      </c>
      <c r="E13205" s="4" t="s">
        <v>6613</v>
      </c>
      <c r="F13205" s="4" t="n">
        <v>67</v>
      </c>
      <c r="G13205" s="4" t="n">
        <v>2</v>
      </c>
      <c r="H13205" s="4" t="n">
        <v>4</v>
      </c>
      <c r="I13205" s="4" t="str">
        <v>×</v>
      </c>
      <c r="J13205" s="4"/>
      <c r="K13205" s="4"/>
      <c r="L13205" s="4"/>
      <c r="M13205" s="7" t="s">
        <v>6556</v>
      </c>
    </row>
    <row r="13206" customFormat="false" ht="15.75" hidden="false" customHeight="false" outlineLevel="0" collapsed="false">
      <c r="A13206" s="6" t="n">
        <f aca="false">DATE(2026,8,15)</f>
        <v>46249</v>
      </c>
      <c r="B13206" s="4" t="s">
        <v>13</v>
      </c>
      <c r="C13206" s="4" t="n">
        <v>1</v>
      </c>
      <c r="D13206" s="4" t="n">
        <v>5</v>
      </c>
      <c r="E13206" s="4" t="s">
        <v>41</v>
      </c>
      <c r="F13206" s="4" t="n">
        <v>13</v>
      </c>
      <c r="G13206" s="4" t="n">
        <v>7</v>
      </c>
      <c r="H13206" s="4" t="n">
        <v>3</v>
      </c>
      <c r="I13206" s="4" t="str">
        <v>○</v>
      </c>
      <c r="J13206" s="4" t="n">
        <v>960</v>
      </c>
      <c r="K13206" s="4"/>
      <c r="L13206" s="4"/>
      <c r="M13206" s="7" t="s">
        <v>6556</v>
      </c>
    </row>
    <row r="13207" customFormat="false" ht="15.75" hidden="false" customHeight="false" outlineLevel="0" collapsed="false">
      <c r="A13207" s="6" t="n">
        <f aca="false">DATE(2026,8,15)</f>
        <v>46249</v>
      </c>
      <c r="B13207" s="4" t="s">
        <v>13</v>
      </c>
      <c r="C13207" s="4" t="n">
        <v>1</v>
      </c>
      <c r="D13207" s="4" t="n">
        <v>6</v>
      </c>
      <c r="E13207" s="4" t="s">
        <v>6614</v>
      </c>
      <c r="F13207" s="4" t="n">
        <v>39</v>
      </c>
      <c r="G13207" s="4" t="n">
        <v>3</v>
      </c>
      <c r="H13207" s="4" t="n">
        <v>2</v>
      </c>
      <c r="I13207" s="4" t="str">
        <v>○</v>
      </c>
      <c r="J13207" s="4" t="n">
        <v>230</v>
      </c>
      <c r="K13207" s="4"/>
      <c r="L13207" s="4"/>
      <c r="M13207" s="7" t="s">
        <v>6556</v>
      </c>
    </row>
    <row r="13208" customFormat="false" ht="15.75" hidden="false" customHeight="false" outlineLevel="0" collapsed="false">
      <c r="A13208" s="6" t="n">
        <f aca="false">DATE(2026,8,15)</f>
        <v>46249</v>
      </c>
      <c r="B13208" s="4" t="s">
        <v>13</v>
      </c>
      <c r="C13208" s="4" t="n">
        <v>1</v>
      </c>
      <c r="D13208" s="4" t="n">
        <v>7</v>
      </c>
      <c r="E13208" s="4" t="s">
        <v>3168</v>
      </c>
      <c r="F13208" s="4" t="n">
        <v>15</v>
      </c>
      <c r="G13208" s="4" t="n">
        <v>6</v>
      </c>
      <c r="H13208" s="4" t="n">
        <v>4</v>
      </c>
      <c r="I13208" s="4" t="str">
        <v>×</v>
      </c>
      <c r="J13208" s="4"/>
      <c r="K13208" s="4"/>
      <c r="L13208" s="4"/>
      <c r="M13208" s="7" t="s">
        <v>6556</v>
      </c>
    </row>
    <row r="13209" customFormat="false" ht="15.75" hidden="false" customHeight="false" outlineLevel="0" collapsed="false">
      <c r="A13209" s="6" t="n">
        <f aca="false">DATE(2026,8,15)</f>
        <v>46249</v>
      </c>
      <c r="B13209" s="4" t="s">
        <v>13</v>
      </c>
      <c r="C13209" s="4" t="n">
        <v>1</v>
      </c>
      <c r="D13209" s="4" t="n">
        <v>8</v>
      </c>
      <c r="E13209" s="4" t="s">
        <v>468</v>
      </c>
      <c r="F13209" s="4" t="n">
        <v>10</v>
      </c>
      <c r="G13209" s="4" t="n">
        <v>9</v>
      </c>
      <c r="H13209" s="4" t="n">
        <v>4</v>
      </c>
      <c r="I13209" s="4" t="str">
        <v>×</v>
      </c>
      <c r="J13209" s="4"/>
      <c r="K13209" s="4"/>
      <c r="L13209" s="4"/>
      <c r="M13209" s="7" t="s">
        <v>6556</v>
      </c>
    </row>
    <row r="13210" customFormat="false" ht="15.75" hidden="false" customHeight="false" outlineLevel="0" collapsed="false">
      <c r="A13210" s="6" t="n">
        <f aca="false">DATE(2026,8,15)</f>
        <v>46249</v>
      </c>
      <c r="B13210" s="4" t="s">
        <v>13</v>
      </c>
      <c r="C13210" s="4" t="n">
        <v>1</v>
      </c>
      <c r="D13210" s="4" t="n">
        <v>9</v>
      </c>
      <c r="E13210" s="4" t="s">
        <v>485</v>
      </c>
      <c r="F13210" s="4" t="n">
        <v>39</v>
      </c>
      <c r="G13210" s="4" t="n">
        <v>4</v>
      </c>
      <c r="H13210" s="4" t="n">
        <v>4</v>
      </c>
      <c r="I13210" s="4" t="str">
        <v>×</v>
      </c>
      <c r="J13210" s="4"/>
      <c r="K13210" s="4"/>
      <c r="L13210" s="4"/>
      <c r="M13210" s="7" t="s">
        <v>6556</v>
      </c>
    </row>
    <row r="13211" customFormat="false" ht="15.75" hidden="false" customHeight="false" outlineLevel="0" collapsed="false">
      <c r="A13211" s="6" t="n">
        <f aca="false">DATE(2026,8,15)</f>
        <v>46249</v>
      </c>
      <c r="B13211" s="4" t="s">
        <v>13</v>
      </c>
      <c r="C13211" s="4" t="n">
        <v>2</v>
      </c>
      <c r="D13211" s="4" t="n">
        <v>1</v>
      </c>
      <c r="E13211" s="4" t="s">
        <v>6615</v>
      </c>
      <c r="F13211" s="4" t="n">
        <v>6</v>
      </c>
      <c r="G13211" s="4" t="n">
        <v>13</v>
      </c>
      <c r="H13211" s="4" t="n">
        <v>1</v>
      </c>
      <c r="I13211" s="4" t="str">
        <v>○</v>
      </c>
      <c r="J13211" s="4" t="n">
        <v>400</v>
      </c>
      <c r="K13211" s="4"/>
      <c r="L13211" s="4"/>
      <c r="M13211" s="7" t="s">
        <v>6556</v>
      </c>
    </row>
    <row r="13212" customFormat="false" ht="15.75" hidden="false" customHeight="false" outlineLevel="0" collapsed="false">
      <c r="A13212" s="6" t="n">
        <f aca="false">DATE(2026,8,15)</f>
        <v>46249</v>
      </c>
      <c r="B13212" s="4" t="s">
        <v>13</v>
      </c>
      <c r="C13212" s="4" t="n">
        <v>2</v>
      </c>
      <c r="D13212" s="4" t="n">
        <v>2</v>
      </c>
      <c r="E13212" s="4" t="s">
        <v>6616</v>
      </c>
      <c r="F13212" s="4" t="n">
        <v>21</v>
      </c>
      <c r="G13212" s="4" t="n">
        <v>4</v>
      </c>
      <c r="H13212" s="4" t="n">
        <v>4</v>
      </c>
      <c r="I13212" s="4" t="str">
        <v>×</v>
      </c>
      <c r="J13212" s="4"/>
      <c r="K13212" s="4"/>
      <c r="L13212" s="4"/>
      <c r="M13212" s="7" t="s">
        <v>6556</v>
      </c>
    </row>
    <row r="13213" customFormat="false" ht="15.75" hidden="false" customHeight="false" outlineLevel="0" collapsed="false">
      <c r="A13213" s="6" t="n">
        <f aca="false">DATE(2026,8,15)</f>
        <v>46249</v>
      </c>
      <c r="B13213" s="4" t="s">
        <v>13</v>
      </c>
      <c r="C13213" s="4" t="n">
        <v>2</v>
      </c>
      <c r="D13213" s="4" t="n">
        <v>3</v>
      </c>
      <c r="E13213" s="4" t="s">
        <v>6617</v>
      </c>
      <c r="F13213" s="4" t="n">
        <v>16</v>
      </c>
      <c r="G13213" s="4" t="n">
        <v>9</v>
      </c>
      <c r="H13213" s="4" t="n">
        <v>2</v>
      </c>
      <c r="I13213" s="4" t="str">
        <v>○</v>
      </c>
      <c r="J13213" s="4" t="n">
        <v>370</v>
      </c>
      <c r="K13213" s="4"/>
      <c r="L13213" s="4"/>
      <c r="M13213" s="7" t="s">
        <v>6556</v>
      </c>
    </row>
    <row r="13214" customFormat="false" ht="15.75" hidden="false" customHeight="false" outlineLevel="0" collapsed="false">
      <c r="A13214" s="6" t="n">
        <f aca="false">DATE(2026,8,15)</f>
        <v>46249</v>
      </c>
      <c r="B13214" s="4" t="s">
        <v>13</v>
      </c>
      <c r="C13214" s="4" t="n">
        <v>2</v>
      </c>
      <c r="D13214" s="4" t="n">
        <v>4</v>
      </c>
      <c r="E13214" s="4" t="s">
        <v>6618</v>
      </c>
      <c r="F13214" s="4" t="n">
        <v>21</v>
      </c>
      <c r="G13214" s="4" t="n">
        <v>5</v>
      </c>
      <c r="H13214" s="4" t="n">
        <v>4</v>
      </c>
      <c r="I13214" s="4" t="str">
        <v>×</v>
      </c>
      <c r="J13214" s="4"/>
      <c r="K13214" s="4"/>
      <c r="L13214" s="4"/>
      <c r="M13214" s="7" t="s">
        <v>6556</v>
      </c>
    </row>
    <row r="13215" customFormat="false" ht="15.75" hidden="false" customHeight="false" outlineLevel="0" collapsed="false">
      <c r="A13215" s="6" t="n">
        <f aca="false">DATE(2026,8,15)</f>
        <v>46249</v>
      </c>
      <c r="B13215" s="4" t="s">
        <v>13</v>
      </c>
      <c r="C13215" s="4" t="n">
        <v>2</v>
      </c>
      <c r="D13215" s="4" t="n">
        <v>5</v>
      </c>
      <c r="E13215" s="4" t="s">
        <v>6619</v>
      </c>
      <c r="F13215" s="4" t="n">
        <v>24</v>
      </c>
      <c r="G13215" s="4" t="n">
        <v>2</v>
      </c>
      <c r="H13215" s="4" t="n">
        <v>4</v>
      </c>
      <c r="I13215" s="4" t="str">
        <v>×</v>
      </c>
      <c r="J13215" s="4"/>
      <c r="K13215" s="4"/>
      <c r="L13215" s="4"/>
      <c r="M13215" s="7" t="s">
        <v>6556</v>
      </c>
    </row>
    <row r="13216" customFormat="false" ht="15.75" hidden="false" customHeight="false" outlineLevel="0" collapsed="false">
      <c r="A13216" s="6" t="n">
        <f aca="false">DATE(2026,8,15)</f>
        <v>46249</v>
      </c>
      <c r="B13216" s="4" t="s">
        <v>13</v>
      </c>
      <c r="C13216" s="4" t="n">
        <v>2</v>
      </c>
      <c r="D13216" s="4" t="n">
        <v>6</v>
      </c>
      <c r="E13216" s="4" t="s">
        <v>6620</v>
      </c>
      <c r="F13216" s="4" t="n">
        <v>21</v>
      </c>
      <c r="G13216" s="4" t="n">
        <v>6</v>
      </c>
      <c r="H13216" s="4" t="n">
        <v>4</v>
      </c>
      <c r="I13216" s="4" t="str">
        <v>×</v>
      </c>
      <c r="J13216" s="4"/>
      <c r="K13216" s="4"/>
      <c r="L13216" s="4"/>
      <c r="M13216" s="7" t="s">
        <v>6556</v>
      </c>
    </row>
    <row r="13217" customFormat="false" ht="15.75" hidden="false" customHeight="false" outlineLevel="0" collapsed="false">
      <c r="A13217" s="6" t="n">
        <f aca="false">DATE(2026,8,15)</f>
        <v>46249</v>
      </c>
      <c r="B13217" s="4" t="s">
        <v>13</v>
      </c>
      <c r="C13217" s="4" t="n">
        <v>2</v>
      </c>
      <c r="D13217" s="4" t="n">
        <v>7</v>
      </c>
      <c r="E13217" s="4" t="s">
        <v>6621</v>
      </c>
      <c r="F13217" s="4" t="n">
        <v>16</v>
      </c>
      <c r="G13217" s="4" t="n">
        <v>10</v>
      </c>
      <c r="H13217" s="4" t="n">
        <v>4</v>
      </c>
      <c r="I13217" s="4" t="str">
        <v>×</v>
      </c>
      <c r="J13217" s="4"/>
      <c r="K13217" s="4"/>
      <c r="L13217" s="4"/>
      <c r="M13217" s="7" t="s">
        <v>6556</v>
      </c>
    </row>
    <row r="13218" customFormat="false" ht="15.75" hidden="false" customHeight="false" outlineLevel="0" collapsed="false">
      <c r="A13218" s="6" t="n">
        <f aca="false">DATE(2026,8,15)</f>
        <v>46249</v>
      </c>
      <c r="B13218" s="4" t="s">
        <v>13</v>
      </c>
      <c r="C13218" s="4" t="n">
        <v>2</v>
      </c>
      <c r="D13218" s="4" t="n">
        <v>8</v>
      </c>
      <c r="E13218" s="4" t="s">
        <v>6622</v>
      </c>
      <c r="F13218" s="4" t="n">
        <v>16</v>
      </c>
      <c r="G13218" s="4" t="n">
        <v>11</v>
      </c>
      <c r="H13218" s="4" t="n">
        <v>4</v>
      </c>
      <c r="I13218" s="4" t="str">
        <v>×</v>
      </c>
      <c r="J13218" s="4"/>
      <c r="K13218" s="4"/>
      <c r="L13218" s="4"/>
      <c r="M13218" s="7" t="s">
        <v>6556</v>
      </c>
    </row>
    <row r="13219" customFormat="false" ht="15.75" hidden="false" customHeight="false" outlineLevel="0" collapsed="false">
      <c r="A13219" s="6" t="n">
        <f aca="false">DATE(2026,8,15)</f>
        <v>46249</v>
      </c>
      <c r="B13219" s="4" t="s">
        <v>13</v>
      </c>
      <c r="C13219" s="4" t="n">
        <v>2</v>
      </c>
      <c r="D13219" s="4" t="n">
        <v>9</v>
      </c>
      <c r="E13219" s="4" t="s">
        <v>6623</v>
      </c>
      <c r="F13219" s="4" t="n">
        <v>31</v>
      </c>
      <c r="G13219" s="4" t="n">
        <v>1</v>
      </c>
      <c r="H13219" s="4" t="n">
        <v>4</v>
      </c>
      <c r="I13219" s="4" t="str">
        <v>×</v>
      </c>
      <c r="J13219" s="4"/>
      <c r="K13219" s="4"/>
      <c r="L13219" s="4"/>
      <c r="M13219" s="7" t="s">
        <v>6556</v>
      </c>
    </row>
    <row r="13220" customFormat="false" ht="15.75" hidden="false" customHeight="false" outlineLevel="0" collapsed="false">
      <c r="A13220" s="6" t="n">
        <f aca="false">DATE(2026,8,15)</f>
        <v>46249</v>
      </c>
      <c r="B13220" s="4" t="s">
        <v>13</v>
      </c>
      <c r="C13220" s="4" t="n">
        <v>2</v>
      </c>
      <c r="D13220" s="4" t="n">
        <v>10</v>
      </c>
      <c r="E13220" s="4" t="s">
        <v>6624</v>
      </c>
      <c r="F13220" s="4" t="n">
        <v>21</v>
      </c>
      <c r="G13220" s="4" t="n">
        <v>7</v>
      </c>
      <c r="H13220" s="4" t="n">
        <v>3</v>
      </c>
      <c r="I13220" s="4" t="str">
        <v>○</v>
      </c>
      <c r="J13220" s="4" t="n">
        <v>690</v>
      </c>
      <c r="K13220" s="4"/>
      <c r="L13220" s="4"/>
      <c r="M13220" s="7" t="s">
        <v>6556</v>
      </c>
    </row>
    <row r="13221" customFormat="false" ht="15.75" hidden="false" customHeight="false" outlineLevel="0" collapsed="false">
      <c r="A13221" s="6" t="n">
        <f aca="false">DATE(2026,8,15)</f>
        <v>46249</v>
      </c>
      <c r="B13221" s="4" t="s">
        <v>13</v>
      </c>
      <c r="C13221" s="4" t="n">
        <v>2</v>
      </c>
      <c r="D13221" s="4" t="n">
        <v>11</v>
      </c>
      <c r="E13221" s="4" t="s">
        <v>6625</v>
      </c>
      <c r="F13221" s="4" t="n">
        <v>6</v>
      </c>
      <c r="G13221" s="4" t="n">
        <v>14</v>
      </c>
      <c r="H13221" s="4" t="n">
        <v>4</v>
      </c>
      <c r="I13221" s="4" t="str">
        <v>×</v>
      </c>
      <c r="J13221" s="4"/>
      <c r="K13221" s="4"/>
      <c r="L13221" s="4"/>
      <c r="M13221" s="7" t="s">
        <v>6556</v>
      </c>
    </row>
    <row r="13222" customFormat="false" ht="15.75" hidden="false" customHeight="false" outlineLevel="0" collapsed="false">
      <c r="A13222" s="6" t="n">
        <f aca="false">DATE(2026,8,15)</f>
        <v>46249</v>
      </c>
      <c r="B13222" s="4" t="s">
        <v>13</v>
      </c>
      <c r="C13222" s="4" t="n">
        <v>2</v>
      </c>
      <c r="D13222" s="4" t="n">
        <v>12</v>
      </c>
      <c r="E13222" s="4" t="s">
        <v>6626</v>
      </c>
      <c r="F13222" s="4" t="n">
        <v>21</v>
      </c>
      <c r="G13222" s="4" t="n">
        <v>8</v>
      </c>
      <c r="H13222" s="4" t="n">
        <v>4</v>
      </c>
      <c r="I13222" s="4" t="str">
        <v>×</v>
      </c>
      <c r="J13222" s="4"/>
      <c r="K13222" s="4"/>
      <c r="L13222" s="4"/>
      <c r="M13222" s="7" t="s">
        <v>6556</v>
      </c>
    </row>
    <row r="13223" customFormat="false" ht="15.75" hidden="false" customHeight="false" outlineLevel="0" collapsed="false">
      <c r="A13223" s="6" t="n">
        <f aca="false">DATE(2026,8,15)</f>
        <v>46249</v>
      </c>
      <c r="B13223" s="4" t="s">
        <v>13</v>
      </c>
      <c r="C13223" s="4" t="n">
        <v>2</v>
      </c>
      <c r="D13223" s="4" t="n">
        <v>13</v>
      </c>
      <c r="E13223" s="4" t="s">
        <v>6627</v>
      </c>
      <c r="F13223" s="4" t="n">
        <v>16</v>
      </c>
      <c r="G13223" s="4" t="n">
        <v>12</v>
      </c>
      <c r="H13223" s="4" t="n">
        <v>4</v>
      </c>
      <c r="I13223" s="4" t="str">
        <v>×</v>
      </c>
      <c r="J13223" s="4"/>
      <c r="K13223" s="4"/>
      <c r="L13223" s="4"/>
      <c r="M13223" s="7" t="s">
        <v>6556</v>
      </c>
    </row>
    <row r="13224" customFormat="false" ht="15.75" hidden="false" customHeight="false" outlineLevel="0" collapsed="false">
      <c r="A13224" s="6" t="n">
        <f aca="false">DATE(2026,8,15)</f>
        <v>46249</v>
      </c>
      <c r="B13224" s="4" t="s">
        <v>13</v>
      </c>
      <c r="C13224" s="4" t="n">
        <v>2</v>
      </c>
      <c r="D13224" s="4" t="n">
        <v>14</v>
      </c>
      <c r="E13224" s="4" t="s">
        <v>6628</v>
      </c>
      <c r="F13224" s="4" t="n">
        <v>24</v>
      </c>
      <c r="G13224" s="4" t="n">
        <v>3</v>
      </c>
      <c r="H13224" s="4" t="n">
        <v>4</v>
      </c>
      <c r="I13224" s="4" t="str">
        <v>×</v>
      </c>
      <c r="J13224" s="4"/>
      <c r="K13224" s="4"/>
      <c r="L13224" s="4"/>
      <c r="M13224" s="7" t="s">
        <v>6556</v>
      </c>
    </row>
    <row r="13225" customFormat="false" ht="15.75" hidden="false" customHeight="false" outlineLevel="0" collapsed="false">
      <c r="A13225" s="6" t="n">
        <f aca="false">DATE(2026,8,15)</f>
        <v>46249</v>
      </c>
      <c r="B13225" s="4" t="s">
        <v>13</v>
      </c>
      <c r="C13225" s="4" t="n">
        <v>2</v>
      </c>
      <c r="D13225" s="4" t="n">
        <v>15</v>
      </c>
      <c r="E13225" s="4" t="s">
        <v>6629</v>
      </c>
      <c r="F13225" s="4" t="n">
        <v>6</v>
      </c>
      <c r="G13225" s="4" t="n">
        <v>15</v>
      </c>
      <c r="H13225" s="4" t="n">
        <v>4</v>
      </c>
      <c r="I13225" s="4" t="str">
        <v>×</v>
      </c>
      <c r="J13225" s="4"/>
      <c r="K13225" s="4"/>
      <c r="L13225" s="4"/>
      <c r="M13225" s="7" t="s">
        <v>6556</v>
      </c>
    </row>
    <row r="13226" customFormat="false" ht="15.75" hidden="false" customHeight="false" outlineLevel="0" collapsed="false">
      <c r="A13226" s="6" t="n">
        <f aca="false">DATE(2026,8,15)</f>
        <v>46249</v>
      </c>
      <c r="B13226" s="4" t="s">
        <v>13</v>
      </c>
      <c r="C13226" s="4" t="n">
        <v>3</v>
      </c>
      <c r="D13226" s="4" t="n">
        <v>1</v>
      </c>
      <c r="E13226" s="4" t="s">
        <v>6630</v>
      </c>
      <c r="F13226" s="4" t="n">
        <v>14</v>
      </c>
      <c r="G13226" s="4" t="n">
        <v>9</v>
      </c>
      <c r="H13226" s="4" t="n">
        <v>4</v>
      </c>
      <c r="I13226" s="4" t="str">
        <v>×</v>
      </c>
      <c r="J13226" s="4"/>
      <c r="K13226" s="4"/>
      <c r="L13226" s="4"/>
      <c r="M13226" s="7" t="s">
        <v>6556</v>
      </c>
    </row>
    <row r="13227" customFormat="false" ht="15.75" hidden="false" customHeight="false" outlineLevel="0" collapsed="false">
      <c r="A13227" s="6" t="n">
        <f aca="false">DATE(2026,8,15)</f>
        <v>46249</v>
      </c>
      <c r="B13227" s="4" t="s">
        <v>13</v>
      </c>
      <c r="C13227" s="4" t="n">
        <v>3</v>
      </c>
      <c r="D13227" s="4" t="n">
        <v>2</v>
      </c>
      <c r="E13227" s="4" t="s">
        <v>6631</v>
      </c>
      <c r="F13227" s="4" t="n">
        <v>37</v>
      </c>
      <c r="G13227" s="4" t="n">
        <v>1</v>
      </c>
      <c r="H13227" s="4" t="n">
        <v>4</v>
      </c>
      <c r="I13227" s="4" t="str">
        <v>×</v>
      </c>
      <c r="J13227" s="4"/>
      <c r="K13227" s="4"/>
      <c r="L13227" s="4"/>
      <c r="M13227" s="7" t="s">
        <v>6556</v>
      </c>
    </row>
    <row r="13228" customFormat="false" ht="15.75" hidden="false" customHeight="false" outlineLevel="0" collapsed="false">
      <c r="A13228" s="6" t="n">
        <f aca="false">DATE(2026,8,15)</f>
        <v>46249</v>
      </c>
      <c r="B13228" s="4" t="s">
        <v>13</v>
      </c>
      <c r="C13228" s="4" t="n">
        <v>3</v>
      </c>
      <c r="D13228" s="4" t="n">
        <v>3</v>
      </c>
      <c r="E13228" s="4" t="s">
        <v>6632</v>
      </c>
      <c r="F13228" s="4" t="n">
        <v>8</v>
      </c>
      <c r="G13228" s="4" t="n">
        <v>10</v>
      </c>
      <c r="H13228" s="4" t="n">
        <v>4</v>
      </c>
      <c r="I13228" s="4" t="str">
        <v>×</v>
      </c>
      <c r="J13228" s="4"/>
      <c r="K13228" s="4"/>
      <c r="L13228" s="4"/>
      <c r="M13228" s="7" t="s">
        <v>6556</v>
      </c>
    </row>
    <row r="13229" customFormat="false" ht="15.75" hidden="false" customHeight="false" outlineLevel="0" collapsed="false">
      <c r="A13229" s="6" t="n">
        <f aca="false">DATE(2026,8,15)</f>
        <v>46249</v>
      </c>
      <c r="B13229" s="4" t="s">
        <v>13</v>
      </c>
      <c r="C13229" s="4" t="n">
        <v>3</v>
      </c>
      <c r="D13229" s="4" t="n">
        <v>4</v>
      </c>
      <c r="E13229" s="4" t="s">
        <v>6633</v>
      </c>
      <c r="F13229" s="4" t="n">
        <v>24</v>
      </c>
      <c r="G13229" s="4" t="n">
        <v>4</v>
      </c>
      <c r="H13229" s="4" t="n">
        <v>4</v>
      </c>
      <c r="I13229" s="4" t="str">
        <v>×</v>
      </c>
      <c r="J13229" s="4"/>
      <c r="K13229" s="4"/>
      <c r="L13229" s="4"/>
      <c r="M13229" s="7" t="s">
        <v>6556</v>
      </c>
    </row>
    <row r="13230" customFormat="false" ht="15.75" hidden="false" customHeight="false" outlineLevel="0" collapsed="false">
      <c r="A13230" s="6" t="n">
        <f aca="false">DATE(2026,8,15)</f>
        <v>46249</v>
      </c>
      <c r="B13230" s="4" t="s">
        <v>13</v>
      </c>
      <c r="C13230" s="4" t="n">
        <v>3</v>
      </c>
      <c r="D13230" s="4" t="n">
        <v>5</v>
      </c>
      <c r="E13230" s="4" t="s">
        <v>6634</v>
      </c>
      <c r="F13230" s="4" t="n">
        <v>24</v>
      </c>
      <c r="G13230" s="4" t="n">
        <v>5</v>
      </c>
      <c r="H13230" s="4" t="n">
        <v>4</v>
      </c>
      <c r="I13230" s="4" t="str">
        <v>×</v>
      </c>
      <c r="J13230" s="4"/>
      <c r="K13230" s="4"/>
      <c r="L13230" s="4"/>
      <c r="M13230" s="7" t="s">
        <v>6556</v>
      </c>
    </row>
    <row r="13231" customFormat="false" ht="15.75" hidden="false" customHeight="false" outlineLevel="0" collapsed="false">
      <c r="A13231" s="6" t="n">
        <f aca="false">DATE(2026,8,15)</f>
        <v>46249</v>
      </c>
      <c r="B13231" s="4" t="s">
        <v>13</v>
      </c>
      <c r="C13231" s="4" t="n">
        <v>3</v>
      </c>
      <c r="D13231" s="4" t="n">
        <v>6</v>
      </c>
      <c r="E13231" s="4" t="s">
        <v>6635</v>
      </c>
      <c r="F13231" s="4" t="n">
        <v>21</v>
      </c>
      <c r="G13231" s="4" t="n">
        <v>6</v>
      </c>
      <c r="H13231" s="4" t="n">
        <v>4</v>
      </c>
      <c r="I13231" s="4" t="str">
        <v>×</v>
      </c>
      <c r="J13231" s="4"/>
      <c r="K13231" s="4"/>
      <c r="L13231" s="4"/>
      <c r="M13231" s="7" t="s">
        <v>6556</v>
      </c>
    </row>
    <row r="13232" customFormat="false" ht="15.75" hidden="false" customHeight="false" outlineLevel="0" collapsed="false">
      <c r="A13232" s="6" t="n">
        <f aca="false">DATE(2026,8,15)</f>
        <v>46249</v>
      </c>
      <c r="B13232" s="4" t="s">
        <v>13</v>
      </c>
      <c r="C13232" s="4" t="n">
        <v>3</v>
      </c>
      <c r="D13232" s="4" t="n">
        <v>7</v>
      </c>
      <c r="E13232" s="4" t="s">
        <v>6636</v>
      </c>
      <c r="F13232" s="4" t="n">
        <v>16</v>
      </c>
      <c r="G13232" s="4" t="n">
        <v>8</v>
      </c>
      <c r="H13232" s="4" t="n">
        <v>4</v>
      </c>
      <c r="I13232" s="4" t="str">
        <v>×</v>
      </c>
      <c r="J13232" s="4"/>
      <c r="K13232" s="4"/>
      <c r="L13232" s="4"/>
      <c r="M13232" s="7" t="s">
        <v>6556</v>
      </c>
    </row>
    <row r="13233" customFormat="false" ht="15.75" hidden="false" customHeight="false" outlineLevel="0" collapsed="false">
      <c r="A13233" s="6" t="n">
        <f aca="false">DATE(2026,8,15)</f>
        <v>46249</v>
      </c>
      <c r="B13233" s="4" t="s">
        <v>13</v>
      </c>
      <c r="C13233" s="4" t="n">
        <v>3</v>
      </c>
      <c r="D13233" s="4" t="n">
        <v>8</v>
      </c>
      <c r="E13233" s="4" t="s">
        <v>6637</v>
      </c>
      <c r="F13233" s="4" t="n">
        <v>37</v>
      </c>
      <c r="G13233" s="4" t="n">
        <v>2</v>
      </c>
      <c r="H13233" s="4" t="n">
        <v>3</v>
      </c>
      <c r="I13233" s="4" t="str">
        <v>○</v>
      </c>
      <c r="J13233" s="4" t="n">
        <v>740</v>
      </c>
      <c r="K13233" s="4"/>
      <c r="L13233" s="4"/>
      <c r="M13233" s="7" t="s">
        <v>6556</v>
      </c>
    </row>
    <row r="13234" customFormat="false" ht="15.75" hidden="false" customHeight="false" outlineLevel="0" collapsed="false">
      <c r="A13234" s="6" t="n">
        <f aca="false">DATE(2026,8,15)</f>
        <v>46249</v>
      </c>
      <c r="B13234" s="4" t="s">
        <v>13</v>
      </c>
      <c r="C13234" s="4" t="n">
        <v>3</v>
      </c>
      <c r="D13234" s="4" t="n">
        <v>9</v>
      </c>
      <c r="E13234" s="4" t="s">
        <v>6638</v>
      </c>
      <c r="F13234" s="4" t="n">
        <v>8</v>
      </c>
      <c r="G13234" s="4" t="n">
        <v>11</v>
      </c>
      <c r="H13234" s="4" t="n">
        <v>2</v>
      </c>
      <c r="I13234" s="4" t="str">
        <v>○</v>
      </c>
      <c r="J13234" s="4" t="n">
        <v>2140</v>
      </c>
      <c r="K13234" s="4"/>
      <c r="L13234" s="4"/>
      <c r="M13234" s="7" t="s">
        <v>6556</v>
      </c>
    </row>
    <row r="13235" customFormat="false" ht="15.75" hidden="false" customHeight="false" outlineLevel="0" collapsed="false">
      <c r="A13235" s="6" t="n">
        <f aca="false">DATE(2026,8,15)</f>
        <v>46249</v>
      </c>
      <c r="B13235" s="4" t="s">
        <v>13</v>
      </c>
      <c r="C13235" s="4" t="n">
        <v>3</v>
      </c>
      <c r="D13235" s="4" t="n">
        <v>10</v>
      </c>
      <c r="E13235" s="4" t="s">
        <v>6639</v>
      </c>
      <c r="F13235" s="4" t="n">
        <v>31</v>
      </c>
      <c r="G13235" s="4" t="n">
        <v>3</v>
      </c>
      <c r="H13235" s="4" t="n">
        <v>1</v>
      </c>
      <c r="I13235" s="4" t="str">
        <v>○</v>
      </c>
      <c r="J13235" s="4" t="n">
        <v>490</v>
      </c>
      <c r="K13235" s="4"/>
      <c r="L13235" s="4"/>
      <c r="M13235" s="7" t="s">
        <v>6556</v>
      </c>
    </row>
    <row r="13236" customFormat="false" ht="15.75" hidden="false" customHeight="false" outlineLevel="0" collapsed="false">
      <c r="A13236" s="6" t="n">
        <f aca="false">DATE(2026,8,15)</f>
        <v>46249</v>
      </c>
      <c r="B13236" s="4" t="s">
        <v>13</v>
      </c>
      <c r="C13236" s="4" t="n">
        <v>3</v>
      </c>
      <c r="D13236" s="4" t="n">
        <v>11</v>
      </c>
      <c r="E13236" s="4" t="s">
        <v>6640</v>
      </c>
      <c r="F13236" s="4" t="n">
        <v>8</v>
      </c>
      <c r="G13236" s="4" t="n">
        <v>12</v>
      </c>
      <c r="H13236" s="4" t="n">
        <v>4</v>
      </c>
      <c r="I13236" s="4" t="str">
        <v>×</v>
      </c>
      <c r="J13236" s="4"/>
      <c r="K13236" s="4"/>
      <c r="L13236" s="4"/>
      <c r="M13236" s="7" t="s">
        <v>6556</v>
      </c>
    </row>
    <row r="13237" customFormat="false" ht="15.75" hidden="false" customHeight="false" outlineLevel="0" collapsed="false">
      <c r="A13237" s="6" t="n">
        <f aca="false">DATE(2026,8,15)</f>
        <v>46249</v>
      </c>
      <c r="B13237" s="4" t="s">
        <v>13</v>
      </c>
      <c r="C13237" s="4" t="n">
        <v>3</v>
      </c>
      <c r="D13237" s="4" t="n">
        <v>12</v>
      </c>
      <c r="E13237" s="4" t="s">
        <v>6641</v>
      </c>
      <c r="F13237" s="4" t="n">
        <v>21</v>
      </c>
      <c r="G13237" s="4" t="n">
        <v>7</v>
      </c>
      <c r="H13237" s="4" t="n">
        <v>4</v>
      </c>
      <c r="I13237" s="4" t="str">
        <v>×</v>
      </c>
      <c r="J13237" s="4"/>
      <c r="K13237" s="4"/>
      <c r="L13237" s="4"/>
      <c r="M13237" s="7" t="s">
        <v>6556</v>
      </c>
    </row>
    <row r="13238" customFormat="false" ht="15.75" hidden="false" customHeight="false" outlineLevel="0" collapsed="false">
      <c r="A13238" s="6" t="n">
        <f aca="false">DATE(2026,8,15)</f>
        <v>46249</v>
      </c>
      <c r="B13238" s="4" t="s">
        <v>13</v>
      </c>
      <c r="C13238" s="4" t="n">
        <v>4</v>
      </c>
      <c r="D13238" s="4" t="n">
        <v>1</v>
      </c>
      <c r="E13238" s="4" t="s">
        <v>4716</v>
      </c>
      <c r="F13238" s="4" t="n">
        <v>8</v>
      </c>
      <c r="G13238" s="4" t="n">
        <v>9</v>
      </c>
      <c r="H13238" s="4" t="n">
        <v>4</v>
      </c>
      <c r="I13238" s="4" t="str">
        <v>×</v>
      </c>
      <c r="J13238" s="4"/>
      <c r="K13238" s="4"/>
      <c r="L13238" s="4"/>
      <c r="M13238" s="7" t="s">
        <v>6556</v>
      </c>
    </row>
    <row r="13239" customFormat="false" ht="15.75" hidden="false" customHeight="false" outlineLevel="0" collapsed="false">
      <c r="A13239" s="6" t="n">
        <f aca="false">DATE(2026,8,15)</f>
        <v>46249</v>
      </c>
      <c r="B13239" s="4" t="s">
        <v>13</v>
      </c>
      <c r="C13239" s="4" t="n">
        <v>4</v>
      </c>
      <c r="D13239" s="4" t="n">
        <v>2</v>
      </c>
      <c r="E13239" s="4" t="s">
        <v>3369</v>
      </c>
      <c r="F13239" s="4" t="n">
        <v>2</v>
      </c>
      <c r="G13239" s="4" t="n">
        <v>14</v>
      </c>
      <c r="H13239" s="4" t="n">
        <v>4</v>
      </c>
      <c r="I13239" s="4" t="str">
        <v>×</v>
      </c>
      <c r="J13239" s="4"/>
      <c r="K13239" s="4"/>
      <c r="L13239" s="4"/>
      <c r="M13239" s="7" t="s">
        <v>6556</v>
      </c>
    </row>
    <row r="13240" customFormat="false" ht="15.75" hidden="false" customHeight="false" outlineLevel="0" collapsed="false">
      <c r="A13240" s="6" t="n">
        <f aca="false">DATE(2026,8,15)</f>
        <v>46249</v>
      </c>
      <c r="B13240" s="4" t="s">
        <v>13</v>
      </c>
      <c r="C13240" s="4" t="n">
        <v>4</v>
      </c>
      <c r="D13240" s="4" t="n">
        <v>3</v>
      </c>
      <c r="E13240" s="4" t="s">
        <v>6642</v>
      </c>
      <c r="F13240" s="4" t="n">
        <v>3</v>
      </c>
      <c r="G13240" s="4" t="n">
        <v>13</v>
      </c>
      <c r="H13240" s="4" t="n">
        <v>4</v>
      </c>
      <c r="I13240" s="4" t="str">
        <v>×</v>
      </c>
      <c r="J13240" s="4"/>
      <c r="K13240" s="4"/>
      <c r="L13240" s="4"/>
      <c r="M13240" s="7" t="s">
        <v>6556</v>
      </c>
    </row>
    <row r="13241" customFormat="false" ht="15.75" hidden="false" customHeight="false" outlineLevel="0" collapsed="false">
      <c r="A13241" s="6" t="n">
        <f aca="false">DATE(2026,8,15)</f>
        <v>46249</v>
      </c>
      <c r="B13241" s="4" t="s">
        <v>13</v>
      </c>
      <c r="C13241" s="4" t="n">
        <v>4</v>
      </c>
      <c r="D13241" s="4" t="n">
        <v>4</v>
      </c>
      <c r="E13241" s="4" t="s">
        <v>6643</v>
      </c>
      <c r="F13241" s="4" t="n">
        <v>17</v>
      </c>
      <c r="G13241" s="4" t="n">
        <v>6</v>
      </c>
      <c r="H13241" s="4" t="n">
        <v>4</v>
      </c>
      <c r="I13241" s="4" t="str">
        <v>×</v>
      </c>
      <c r="J13241" s="4"/>
      <c r="K13241" s="4"/>
      <c r="L13241" s="4"/>
      <c r="M13241" s="7" t="s">
        <v>6556</v>
      </c>
    </row>
    <row r="13242" customFormat="false" ht="15.75" hidden="false" customHeight="false" outlineLevel="0" collapsed="false">
      <c r="A13242" s="6" t="n">
        <f aca="false">DATE(2026,8,15)</f>
        <v>46249</v>
      </c>
      <c r="B13242" s="4" t="s">
        <v>13</v>
      </c>
      <c r="C13242" s="4" t="n">
        <v>4</v>
      </c>
      <c r="D13242" s="4" t="n">
        <v>5</v>
      </c>
      <c r="E13242" s="4" t="s">
        <v>5122</v>
      </c>
      <c r="F13242" s="4" t="n">
        <v>2</v>
      </c>
      <c r="G13242" s="4" t="n">
        <v>15</v>
      </c>
      <c r="H13242" s="4" t="n">
        <v>4</v>
      </c>
      <c r="I13242" s="4" t="str">
        <v>×</v>
      </c>
      <c r="J13242" s="4"/>
      <c r="K13242" s="4"/>
      <c r="L13242" s="4"/>
      <c r="M13242" s="7" t="s">
        <v>6556</v>
      </c>
    </row>
    <row r="13243" customFormat="false" ht="15.75" hidden="false" customHeight="false" outlineLevel="0" collapsed="false">
      <c r="A13243" s="6" t="n">
        <f aca="false">DATE(2026,8,15)</f>
        <v>46249</v>
      </c>
      <c r="B13243" s="4" t="s">
        <v>13</v>
      </c>
      <c r="C13243" s="4" t="n">
        <v>4</v>
      </c>
      <c r="D13243" s="4" t="n">
        <v>6</v>
      </c>
      <c r="E13243" s="4" t="s">
        <v>6644</v>
      </c>
      <c r="F13243" s="4" t="n">
        <v>4</v>
      </c>
      <c r="G13243" s="4" t="n">
        <v>11</v>
      </c>
      <c r="H13243" s="4" t="n">
        <v>4</v>
      </c>
      <c r="I13243" s="4" t="str">
        <v>×</v>
      </c>
      <c r="J13243" s="4"/>
      <c r="K13243" s="4"/>
      <c r="L13243" s="4"/>
      <c r="M13243" s="7" t="s">
        <v>6556</v>
      </c>
    </row>
    <row r="13244" customFormat="false" ht="15.75" hidden="false" customHeight="false" outlineLevel="0" collapsed="false">
      <c r="A13244" s="6" t="n">
        <f aca="false">DATE(2026,8,15)</f>
        <v>46249</v>
      </c>
      <c r="B13244" s="4" t="s">
        <v>13</v>
      </c>
      <c r="C13244" s="4" t="n">
        <v>4</v>
      </c>
      <c r="D13244" s="4" t="n">
        <v>7</v>
      </c>
      <c r="E13244" s="4" t="s">
        <v>4492</v>
      </c>
      <c r="F13244" s="4" t="n">
        <v>23</v>
      </c>
      <c r="G13244" s="4" t="n">
        <v>5</v>
      </c>
      <c r="H13244" s="4" t="n">
        <v>4</v>
      </c>
      <c r="I13244" s="4" t="str">
        <v>×</v>
      </c>
      <c r="J13244" s="4"/>
      <c r="K13244" s="4"/>
      <c r="L13244" s="4"/>
      <c r="M13244" s="7" t="s">
        <v>6556</v>
      </c>
    </row>
    <row r="13245" customFormat="false" ht="15.75" hidden="false" customHeight="false" outlineLevel="0" collapsed="false">
      <c r="A13245" s="6" t="n">
        <f aca="false">DATE(2026,8,15)</f>
        <v>46249</v>
      </c>
      <c r="B13245" s="4" t="s">
        <v>13</v>
      </c>
      <c r="C13245" s="4" t="n">
        <v>4</v>
      </c>
      <c r="D13245" s="4" t="n">
        <v>8</v>
      </c>
      <c r="E13245" s="4" t="s">
        <v>944</v>
      </c>
      <c r="F13245" s="4" t="n">
        <v>44</v>
      </c>
      <c r="G13245" s="4" t="n">
        <v>2</v>
      </c>
      <c r="H13245" s="4" t="n">
        <v>4</v>
      </c>
      <c r="I13245" s="4" t="str">
        <v>×</v>
      </c>
      <c r="J13245" s="4"/>
      <c r="K13245" s="4"/>
      <c r="L13245" s="4"/>
      <c r="M13245" s="7" t="s">
        <v>6556</v>
      </c>
    </row>
    <row r="13246" customFormat="false" ht="15.75" hidden="false" customHeight="false" outlineLevel="0" collapsed="false">
      <c r="A13246" s="6" t="n">
        <f aca="false">DATE(2026,8,15)</f>
        <v>46249</v>
      </c>
      <c r="B13246" s="4" t="s">
        <v>13</v>
      </c>
      <c r="C13246" s="4" t="n">
        <v>4</v>
      </c>
      <c r="D13246" s="4" t="n">
        <v>9</v>
      </c>
      <c r="E13246" s="4" t="s">
        <v>6645</v>
      </c>
      <c r="F13246" s="4" t="n">
        <v>41</v>
      </c>
      <c r="G13246" s="4" t="n">
        <v>4</v>
      </c>
      <c r="H13246" s="4" t="n">
        <v>2</v>
      </c>
      <c r="I13246" s="4" t="str">
        <v>○</v>
      </c>
      <c r="J13246" s="4" t="n">
        <v>190</v>
      </c>
      <c r="K13246" s="4"/>
      <c r="L13246" s="4"/>
      <c r="M13246" s="7" t="s">
        <v>6556</v>
      </c>
    </row>
    <row r="13247" customFormat="false" ht="15.75" hidden="false" customHeight="false" outlineLevel="0" collapsed="false">
      <c r="A13247" s="6" t="n">
        <f aca="false">DATE(2026,8,15)</f>
        <v>46249</v>
      </c>
      <c r="B13247" s="4" t="s">
        <v>13</v>
      </c>
      <c r="C13247" s="4" t="n">
        <v>4</v>
      </c>
      <c r="D13247" s="4" t="n">
        <v>10</v>
      </c>
      <c r="E13247" s="4" t="s">
        <v>6646</v>
      </c>
      <c r="F13247" s="4" t="n">
        <v>4</v>
      </c>
      <c r="G13247" s="4" t="n">
        <v>12</v>
      </c>
      <c r="H13247" s="4" t="n">
        <v>4</v>
      </c>
      <c r="I13247" s="4" t="str">
        <v>×</v>
      </c>
      <c r="J13247" s="4"/>
      <c r="K13247" s="4"/>
      <c r="L13247" s="4"/>
      <c r="M13247" s="7" t="s">
        <v>6556</v>
      </c>
    </row>
    <row r="13248" customFormat="false" ht="15.75" hidden="false" customHeight="false" outlineLevel="0" collapsed="false">
      <c r="A13248" s="6" t="n">
        <f aca="false">DATE(2026,8,15)</f>
        <v>46249</v>
      </c>
      <c r="B13248" s="4" t="s">
        <v>13</v>
      </c>
      <c r="C13248" s="4" t="n">
        <v>4</v>
      </c>
      <c r="D13248" s="4" t="n">
        <v>11</v>
      </c>
      <c r="E13248" s="4" t="s">
        <v>5353</v>
      </c>
      <c r="F13248" s="4" t="n">
        <v>10</v>
      </c>
      <c r="G13248" s="4" t="n">
        <v>8</v>
      </c>
      <c r="H13248" s="4" t="n">
        <v>4</v>
      </c>
      <c r="I13248" s="4" t="str">
        <v>×</v>
      </c>
      <c r="J13248" s="4"/>
      <c r="K13248" s="4"/>
      <c r="L13248" s="4"/>
      <c r="M13248" s="7" t="s">
        <v>6556</v>
      </c>
    </row>
    <row r="13249" customFormat="false" ht="15.75" hidden="false" customHeight="false" outlineLevel="0" collapsed="false">
      <c r="A13249" s="6" t="n">
        <f aca="false">DATE(2026,8,15)</f>
        <v>46249</v>
      </c>
      <c r="B13249" s="4" t="s">
        <v>13</v>
      </c>
      <c r="C13249" s="4" t="n">
        <v>4</v>
      </c>
      <c r="D13249" s="4" t="n">
        <v>12</v>
      </c>
      <c r="E13249" s="4" t="s">
        <v>3735</v>
      </c>
      <c r="F13249" s="4" t="n">
        <v>60</v>
      </c>
      <c r="G13249" s="4" t="n">
        <v>1</v>
      </c>
      <c r="H13249" s="4" t="n">
        <v>1</v>
      </c>
      <c r="I13249" s="4" t="str">
        <v>○</v>
      </c>
      <c r="J13249" s="4" t="n">
        <v>130</v>
      </c>
      <c r="K13249" s="4"/>
      <c r="L13249" s="4"/>
      <c r="M13249" s="7" t="s">
        <v>6556</v>
      </c>
    </row>
    <row r="13250" customFormat="false" ht="15.75" hidden="false" customHeight="false" outlineLevel="0" collapsed="false">
      <c r="A13250" s="6" t="n">
        <f aca="false">DATE(2026,8,15)</f>
        <v>46249</v>
      </c>
      <c r="B13250" s="4" t="s">
        <v>13</v>
      </c>
      <c r="C13250" s="4" t="n">
        <v>4</v>
      </c>
      <c r="D13250" s="4" t="n">
        <v>13</v>
      </c>
      <c r="E13250" s="4" t="s">
        <v>2345</v>
      </c>
      <c r="F13250" s="4" t="n">
        <v>8</v>
      </c>
      <c r="G13250" s="4" t="n">
        <v>10</v>
      </c>
      <c r="H13250" s="4" t="n">
        <v>4</v>
      </c>
      <c r="I13250" s="4" t="str">
        <v>×</v>
      </c>
      <c r="J13250" s="4"/>
      <c r="K13250" s="4"/>
      <c r="L13250" s="4"/>
      <c r="M13250" s="7" t="s">
        <v>6556</v>
      </c>
    </row>
    <row r="13251" customFormat="false" ht="15.75" hidden="false" customHeight="false" outlineLevel="0" collapsed="false">
      <c r="A13251" s="6" t="n">
        <f aca="false">DATE(2026,8,15)</f>
        <v>46249</v>
      </c>
      <c r="B13251" s="4" t="s">
        <v>13</v>
      </c>
      <c r="C13251" s="4" t="n">
        <v>4</v>
      </c>
      <c r="D13251" s="4" t="n">
        <v>14</v>
      </c>
      <c r="E13251" s="4" t="s">
        <v>6647</v>
      </c>
      <c r="F13251" s="4" t="n">
        <v>13</v>
      </c>
      <c r="G13251" s="4" t="n">
        <v>7</v>
      </c>
      <c r="H13251" s="4" t="n">
        <v>4</v>
      </c>
      <c r="I13251" s="4" t="str">
        <v>×</v>
      </c>
      <c r="J13251" s="4"/>
      <c r="K13251" s="4"/>
      <c r="L13251" s="4"/>
      <c r="M13251" s="7" t="s">
        <v>6556</v>
      </c>
    </row>
    <row r="13252" customFormat="false" ht="15.75" hidden="false" customHeight="false" outlineLevel="0" collapsed="false">
      <c r="A13252" s="6" t="n">
        <f aca="false">DATE(2026,8,15)</f>
        <v>46249</v>
      </c>
      <c r="B13252" s="4" t="s">
        <v>13</v>
      </c>
      <c r="C13252" s="4" t="n">
        <v>4</v>
      </c>
      <c r="D13252" s="4" t="n">
        <v>15</v>
      </c>
      <c r="E13252" s="4" t="s">
        <v>6648</v>
      </c>
      <c r="F13252" s="4" t="n">
        <v>44</v>
      </c>
      <c r="G13252" s="4" t="n">
        <v>3</v>
      </c>
      <c r="H13252" s="4" t="n">
        <v>3</v>
      </c>
      <c r="I13252" s="4" t="str">
        <v>○</v>
      </c>
      <c r="J13252" s="4" t="n">
        <v>170</v>
      </c>
      <c r="K13252" s="4"/>
      <c r="L13252" s="4"/>
      <c r="M13252" s="7" t="s">
        <v>6556</v>
      </c>
    </row>
    <row r="13253" customFormat="false" ht="15.75" hidden="false" customHeight="false" outlineLevel="0" collapsed="false">
      <c r="A13253" s="6" t="n">
        <f aca="false">DATE(2026,8,15)</f>
        <v>46249</v>
      </c>
      <c r="B13253" s="4" t="s">
        <v>13</v>
      </c>
      <c r="C13253" s="4" t="n">
        <v>5</v>
      </c>
      <c r="D13253" s="4" t="n">
        <v>1</v>
      </c>
      <c r="E13253" s="4" t="s">
        <v>5840</v>
      </c>
      <c r="F13253" s="4" t="n">
        <v>17</v>
      </c>
      <c r="G13253" s="4" t="n">
        <v>11</v>
      </c>
      <c r="H13253" s="4" t="n">
        <v>4</v>
      </c>
      <c r="I13253" s="4" t="str">
        <v>×</v>
      </c>
      <c r="J13253" s="4"/>
      <c r="K13253" s="4"/>
      <c r="L13253" s="4"/>
      <c r="M13253" s="7" t="s">
        <v>6556</v>
      </c>
    </row>
    <row r="13254" customFormat="false" ht="15.75" hidden="false" customHeight="false" outlineLevel="0" collapsed="false">
      <c r="A13254" s="6" t="n">
        <f aca="false">DATE(2026,8,15)</f>
        <v>46249</v>
      </c>
      <c r="B13254" s="4" t="s">
        <v>13</v>
      </c>
      <c r="C13254" s="4" t="n">
        <v>5</v>
      </c>
      <c r="D13254" s="4" t="n">
        <v>2</v>
      </c>
      <c r="E13254" s="4" t="s">
        <v>4724</v>
      </c>
      <c r="F13254" s="4" t="n">
        <v>25</v>
      </c>
      <c r="G13254" s="4" t="n">
        <v>6</v>
      </c>
      <c r="H13254" s="4" t="n">
        <v>4</v>
      </c>
      <c r="I13254" s="4" t="str">
        <v>×</v>
      </c>
      <c r="J13254" s="4"/>
      <c r="K13254" s="4"/>
      <c r="L13254" s="4"/>
      <c r="M13254" s="7" t="s">
        <v>6556</v>
      </c>
    </row>
    <row r="13255" customFormat="false" ht="15.75" hidden="false" customHeight="false" outlineLevel="0" collapsed="false">
      <c r="A13255" s="6" t="n">
        <f aca="false">DATE(2026,8,15)</f>
        <v>46249</v>
      </c>
      <c r="B13255" s="4" t="s">
        <v>13</v>
      </c>
      <c r="C13255" s="4" t="n">
        <v>5</v>
      </c>
      <c r="D13255" s="4" t="n">
        <v>3</v>
      </c>
      <c r="E13255" s="4" t="s">
        <v>6649</v>
      </c>
      <c r="F13255" s="4" t="n">
        <v>6</v>
      </c>
      <c r="G13255" s="4" t="n">
        <v>16</v>
      </c>
      <c r="H13255" s="4" t="n">
        <v>4</v>
      </c>
      <c r="I13255" s="4" t="str">
        <v>×</v>
      </c>
      <c r="J13255" s="4"/>
      <c r="K13255" s="4"/>
      <c r="L13255" s="4"/>
      <c r="M13255" s="7" t="s">
        <v>6556</v>
      </c>
    </row>
    <row r="13256" customFormat="false" ht="15.75" hidden="false" customHeight="false" outlineLevel="0" collapsed="false">
      <c r="A13256" s="6" t="n">
        <f aca="false">DATE(2026,8,15)</f>
        <v>46249</v>
      </c>
      <c r="B13256" s="4" t="s">
        <v>13</v>
      </c>
      <c r="C13256" s="4" t="n">
        <v>5</v>
      </c>
      <c r="D13256" s="4" t="n">
        <v>4</v>
      </c>
      <c r="E13256" s="4" t="s">
        <v>5192</v>
      </c>
      <c r="F13256" s="4" t="n">
        <v>47</v>
      </c>
      <c r="G13256" s="4" t="n">
        <v>1</v>
      </c>
      <c r="H13256" s="4" t="n">
        <v>1</v>
      </c>
      <c r="I13256" s="4" t="str">
        <v>○</v>
      </c>
      <c r="J13256" s="4" t="n">
        <v>220</v>
      </c>
      <c r="K13256" s="4"/>
      <c r="L13256" s="4"/>
      <c r="M13256" s="7" t="s">
        <v>6556</v>
      </c>
    </row>
    <row r="13257" customFormat="false" ht="15.75" hidden="false" customHeight="false" outlineLevel="0" collapsed="false">
      <c r="A13257" s="6" t="n">
        <f aca="false">DATE(2026,8,15)</f>
        <v>46249</v>
      </c>
      <c r="B13257" s="4" t="s">
        <v>13</v>
      </c>
      <c r="C13257" s="4" t="n">
        <v>5</v>
      </c>
      <c r="D13257" s="4" t="n">
        <v>5</v>
      </c>
      <c r="E13257" s="4" t="s">
        <v>4728</v>
      </c>
      <c r="F13257" s="4" t="n">
        <v>39</v>
      </c>
      <c r="G13257" s="4" t="n">
        <v>3</v>
      </c>
      <c r="H13257" s="4" t="n">
        <v>4</v>
      </c>
      <c r="I13257" s="4" t="str">
        <v>×</v>
      </c>
      <c r="J13257" s="4"/>
      <c r="K13257" s="4"/>
      <c r="L13257" s="4"/>
      <c r="M13257" s="7" t="s">
        <v>6556</v>
      </c>
    </row>
    <row r="13258" customFormat="false" ht="15.75" hidden="false" customHeight="false" outlineLevel="0" collapsed="false">
      <c r="A13258" s="6" t="n">
        <f aca="false">DATE(2026,8,15)</f>
        <v>46249</v>
      </c>
      <c r="B13258" s="4" t="s">
        <v>13</v>
      </c>
      <c r="C13258" s="4" t="n">
        <v>5</v>
      </c>
      <c r="D13258" s="4" t="n">
        <v>6</v>
      </c>
      <c r="E13258" s="4" t="s">
        <v>4939</v>
      </c>
      <c r="F13258" s="4" t="n">
        <v>31</v>
      </c>
      <c r="G13258" s="4" t="n">
        <v>5</v>
      </c>
      <c r="H13258" s="4" t="n">
        <v>4</v>
      </c>
      <c r="I13258" s="4" t="str">
        <v>×</v>
      </c>
      <c r="J13258" s="4"/>
      <c r="K13258" s="4"/>
      <c r="L13258" s="4"/>
      <c r="M13258" s="7" t="s">
        <v>6556</v>
      </c>
    </row>
    <row r="13259" customFormat="false" ht="15.75" hidden="false" customHeight="false" outlineLevel="0" collapsed="false">
      <c r="A13259" s="6" t="n">
        <f aca="false">DATE(2026,8,15)</f>
        <v>46249</v>
      </c>
      <c r="B13259" s="4" t="s">
        <v>13</v>
      </c>
      <c r="C13259" s="4" t="n">
        <v>5</v>
      </c>
      <c r="D13259" s="4" t="n">
        <v>7</v>
      </c>
      <c r="E13259" s="4" t="s">
        <v>2371</v>
      </c>
      <c r="F13259" s="4" t="n">
        <v>23</v>
      </c>
      <c r="G13259" s="4" t="n">
        <v>7</v>
      </c>
      <c r="H13259" s="4" t="n">
        <v>3</v>
      </c>
      <c r="I13259" s="4" t="str">
        <v>○</v>
      </c>
      <c r="J13259" s="4" t="n">
        <v>240</v>
      </c>
      <c r="K13259" s="4"/>
      <c r="L13259" s="4"/>
      <c r="M13259" s="7" t="s">
        <v>6556</v>
      </c>
    </row>
    <row r="13260" customFormat="false" ht="15.75" hidden="false" customHeight="false" outlineLevel="0" collapsed="false">
      <c r="A13260" s="6" t="n">
        <f aca="false">DATE(2026,8,15)</f>
        <v>46249</v>
      </c>
      <c r="B13260" s="4" t="s">
        <v>13</v>
      </c>
      <c r="C13260" s="4" t="n">
        <v>5</v>
      </c>
      <c r="D13260" s="4" t="n">
        <v>8</v>
      </c>
      <c r="E13260" s="4" t="s">
        <v>6650</v>
      </c>
      <c r="F13260" s="4" t="n">
        <v>39</v>
      </c>
      <c r="G13260" s="4" t="n">
        <v>4</v>
      </c>
      <c r="H13260" s="4" t="n">
        <v>4</v>
      </c>
      <c r="I13260" s="4" t="str">
        <v>×</v>
      </c>
      <c r="J13260" s="4"/>
      <c r="K13260" s="4"/>
      <c r="L13260" s="4"/>
      <c r="M13260" s="7" t="s">
        <v>6556</v>
      </c>
    </row>
    <row r="13261" customFormat="false" ht="15.75" hidden="false" customHeight="false" outlineLevel="0" collapsed="false">
      <c r="A13261" s="6" t="n">
        <f aca="false">DATE(2026,8,15)</f>
        <v>46249</v>
      </c>
      <c r="B13261" s="4" t="s">
        <v>13</v>
      </c>
      <c r="C13261" s="4" t="n">
        <v>5</v>
      </c>
      <c r="D13261" s="4" t="n">
        <v>9</v>
      </c>
      <c r="E13261" s="4" t="s">
        <v>4263</v>
      </c>
      <c r="F13261" s="4" t="n">
        <v>6</v>
      </c>
      <c r="G13261" s="4" t="n">
        <v>17</v>
      </c>
      <c r="H13261" s="4" t="n">
        <v>4</v>
      </c>
      <c r="I13261" s="4" t="str">
        <v>×</v>
      </c>
      <c r="J13261" s="4"/>
      <c r="K13261" s="4"/>
      <c r="L13261" s="4"/>
      <c r="M13261" s="7" t="s">
        <v>6556</v>
      </c>
    </row>
    <row r="13262" customFormat="false" ht="15.75" hidden="false" customHeight="false" outlineLevel="0" collapsed="false">
      <c r="A13262" s="6" t="n">
        <f aca="false">DATE(2026,8,15)</f>
        <v>46249</v>
      </c>
      <c r="B13262" s="4" t="s">
        <v>13</v>
      </c>
      <c r="C13262" s="4" t="n">
        <v>5</v>
      </c>
      <c r="D13262" s="4" t="n">
        <v>10</v>
      </c>
      <c r="E13262" s="4" t="s">
        <v>6651</v>
      </c>
      <c r="F13262" s="4" t="n">
        <v>10</v>
      </c>
      <c r="G13262" s="4" t="n">
        <v>15</v>
      </c>
      <c r="H13262" s="4" t="n">
        <v>4</v>
      </c>
      <c r="I13262" s="4" t="str">
        <v>×</v>
      </c>
      <c r="J13262" s="4"/>
      <c r="K13262" s="4"/>
      <c r="L13262" s="4"/>
      <c r="M13262" s="7" t="s">
        <v>6556</v>
      </c>
    </row>
    <row r="13263" customFormat="false" ht="15.75" hidden="false" customHeight="false" outlineLevel="0" collapsed="false">
      <c r="A13263" s="6" t="n">
        <f aca="false">DATE(2026,8,15)</f>
        <v>46249</v>
      </c>
      <c r="B13263" s="4" t="s">
        <v>13</v>
      </c>
      <c r="C13263" s="4" t="n">
        <v>5</v>
      </c>
      <c r="D13263" s="4" t="n">
        <v>11</v>
      </c>
      <c r="E13263" s="4" t="s">
        <v>5388</v>
      </c>
      <c r="F13263" s="4" t="n">
        <v>4</v>
      </c>
      <c r="G13263" s="4" t="n">
        <v>18</v>
      </c>
      <c r="H13263" s="4" t="n">
        <v>4</v>
      </c>
      <c r="I13263" s="4" t="str">
        <v>×</v>
      </c>
      <c r="J13263" s="4"/>
      <c r="K13263" s="4"/>
      <c r="L13263" s="4"/>
      <c r="M13263" s="7" t="s">
        <v>6556</v>
      </c>
    </row>
    <row r="13264" customFormat="false" ht="15.75" hidden="false" customHeight="false" outlineLevel="0" collapsed="false">
      <c r="A13264" s="6" t="n">
        <f aca="false">DATE(2026,8,15)</f>
        <v>46249</v>
      </c>
      <c r="B13264" s="4" t="s">
        <v>13</v>
      </c>
      <c r="C13264" s="4" t="n">
        <v>5</v>
      </c>
      <c r="D13264" s="4" t="n">
        <v>12</v>
      </c>
      <c r="E13264" s="4" t="s">
        <v>4937</v>
      </c>
      <c r="F13264" s="4" t="n">
        <v>20</v>
      </c>
      <c r="G13264" s="4" t="n">
        <v>8</v>
      </c>
      <c r="H13264" s="4" t="n">
        <v>4</v>
      </c>
      <c r="I13264" s="4" t="str">
        <v>×</v>
      </c>
      <c r="J13264" s="4"/>
      <c r="K13264" s="4"/>
      <c r="L13264" s="4"/>
      <c r="M13264" s="7" t="s">
        <v>6556</v>
      </c>
    </row>
    <row r="13265" customFormat="false" ht="15.75" hidden="false" customHeight="false" outlineLevel="0" collapsed="false">
      <c r="A13265" s="6" t="n">
        <f aca="false">DATE(2026,8,15)</f>
        <v>46249</v>
      </c>
      <c r="B13265" s="4" t="s">
        <v>13</v>
      </c>
      <c r="C13265" s="4" t="n">
        <v>5</v>
      </c>
      <c r="D13265" s="4" t="n">
        <v>13</v>
      </c>
      <c r="E13265" s="4" t="s">
        <v>2357</v>
      </c>
      <c r="F13265" s="4" t="n">
        <v>17</v>
      </c>
      <c r="G13265" s="4" t="n">
        <v>12</v>
      </c>
      <c r="H13265" s="4" t="n">
        <v>4</v>
      </c>
      <c r="I13265" s="4" t="str">
        <v>×</v>
      </c>
      <c r="J13265" s="4"/>
      <c r="K13265" s="4"/>
      <c r="L13265" s="4"/>
      <c r="M13265" s="7" t="s">
        <v>6556</v>
      </c>
    </row>
    <row r="13266" customFormat="false" ht="15.75" hidden="false" customHeight="false" outlineLevel="0" collapsed="false">
      <c r="A13266" s="6" t="n">
        <f aca="false">DATE(2026,8,15)</f>
        <v>46249</v>
      </c>
      <c r="B13266" s="4" t="s">
        <v>13</v>
      </c>
      <c r="C13266" s="4" t="n">
        <v>5</v>
      </c>
      <c r="D13266" s="4" t="n">
        <v>14</v>
      </c>
      <c r="E13266" s="4" t="s">
        <v>966</v>
      </c>
      <c r="F13266" s="4" t="n">
        <v>20</v>
      </c>
      <c r="G13266" s="4" t="n">
        <v>9</v>
      </c>
      <c r="H13266" s="4" t="n">
        <v>4</v>
      </c>
      <c r="I13266" s="4" t="str">
        <v>×</v>
      </c>
      <c r="J13266" s="4"/>
      <c r="K13266" s="4"/>
      <c r="L13266" s="4"/>
      <c r="M13266" s="7" t="s">
        <v>6556</v>
      </c>
    </row>
    <row r="13267" customFormat="false" ht="15.75" hidden="false" customHeight="false" outlineLevel="0" collapsed="false">
      <c r="A13267" s="6" t="n">
        <f aca="false">DATE(2026,8,15)</f>
        <v>46249</v>
      </c>
      <c r="B13267" s="4" t="s">
        <v>13</v>
      </c>
      <c r="C13267" s="4" t="n">
        <v>5</v>
      </c>
      <c r="D13267" s="4" t="n">
        <v>15</v>
      </c>
      <c r="E13267" s="4" t="s">
        <v>5843</v>
      </c>
      <c r="F13267" s="4" t="n">
        <v>47</v>
      </c>
      <c r="G13267" s="4" t="n">
        <v>2</v>
      </c>
      <c r="H13267" s="4" t="n">
        <v>2</v>
      </c>
      <c r="I13267" s="4" t="str">
        <v>○</v>
      </c>
      <c r="J13267" s="4" t="n">
        <v>140</v>
      </c>
      <c r="K13267" s="4"/>
      <c r="L13267" s="4"/>
      <c r="M13267" s="7" t="s">
        <v>6556</v>
      </c>
    </row>
    <row r="13268" customFormat="false" ht="15.75" hidden="false" customHeight="false" outlineLevel="0" collapsed="false">
      <c r="A13268" s="6" t="n">
        <f aca="false">DATE(2026,8,15)</f>
        <v>46249</v>
      </c>
      <c r="B13268" s="4" t="s">
        <v>13</v>
      </c>
      <c r="C13268" s="4" t="n">
        <v>5</v>
      </c>
      <c r="D13268" s="4" t="n">
        <v>16</v>
      </c>
      <c r="E13268" s="4" t="s">
        <v>4351</v>
      </c>
      <c r="F13268" s="4" t="n">
        <v>17</v>
      </c>
      <c r="G13268" s="4" t="n">
        <v>13</v>
      </c>
      <c r="H13268" s="4" t="n">
        <v>4</v>
      </c>
      <c r="I13268" s="4" t="str">
        <v>×</v>
      </c>
      <c r="J13268" s="4"/>
      <c r="K13268" s="4"/>
      <c r="L13268" s="4"/>
      <c r="M13268" s="7" t="s">
        <v>6556</v>
      </c>
    </row>
    <row r="13269" customFormat="false" ht="15.75" hidden="false" customHeight="false" outlineLevel="0" collapsed="false">
      <c r="A13269" s="6" t="n">
        <f aca="false">DATE(2026,8,15)</f>
        <v>46249</v>
      </c>
      <c r="B13269" s="4" t="s">
        <v>13</v>
      </c>
      <c r="C13269" s="4" t="n">
        <v>5</v>
      </c>
      <c r="D13269" s="4" t="n">
        <v>17</v>
      </c>
      <c r="E13269" s="4" t="s">
        <v>6652</v>
      </c>
      <c r="F13269" s="4" t="n">
        <v>13</v>
      </c>
      <c r="G13269" s="4" t="n">
        <v>14</v>
      </c>
      <c r="H13269" s="4" t="n">
        <v>4</v>
      </c>
      <c r="I13269" s="4" t="str">
        <v>×</v>
      </c>
      <c r="J13269" s="4"/>
      <c r="K13269" s="4"/>
      <c r="L13269" s="4"/>
      <c r="M13269" s="7" t="s">
        <v>6556</v>
      </c>
    </row>
    <row r="13270" customFormat="false" ht="15.75" hidden="false" customHeight="false" outlineLevel="0" collapsed="false">
      <c r="A13270" s="6" t="n">
        <f aca="false">DATE(2026,8,15)</f>
        <v>46249</v>
      </c>
      <c r="B13270" s="4" t="s">
        <v>13</v>
      </c>
      <c r="C13270" s="4" t="n">
        <v>5</v>
      </c>
      <c r="D13270" s="4" t="n">
        <v>18</v>
      </c>
      <c r="E13270" s="4" t="s">
        <v>3810</v>
      </c>
      <c r="F13270" s="4" t="n">
        <v>20</v>
      </c>
      <c r="G13270" s="4" t="n">
        <v>10</v>
      </c>
      <c r="H13270" s="4" t="n">
        <v>4</v>
      </c>
      <c r="I13270" s="4" t="str">
        <v>×</v>
      </c>
      <c r="J13270" s="4"/>
      <c r="K13270" s="4"/>
      <c r="L13270" s="4"/>
      <c r="M13270" s="7" t="s">
        <v>6556</v>
      </c>
    </row>
    <row r="13271" customFormat="false" ht="15.75" hidden="false" customHeight="false" outlineLevel="0" collapsed="false">
      <c r="A13271" s="6" t="n">
        <f aca="false">DATE(2026,8,15)</f>
        <v>46249</v>
      </c>
      <c r="B13271" s="4" t="s">
        <v>13</v>
      </c>
      <c r="C13271" s="4" t="n">
        <v>6</v>
      </c>
      <c r="D13271" s="4" t="n">
        <v>1</v>
      </c>
      <c r="E13271" s="4" t="s">
        <v>6653</v>
      </c>
      <c r="F13271" s="4" t="n">
        <v>20</v>
      </c>
      <c r="G13271" s="4" t="n">
        <v>6</v>
      </c>
      <c r="H13271" s="4" t="n">
        <v>4</v>
      </c>
      <c r="I13271" s="4" t="str">
        <v>×</v>
      </c>
      <c r="J13271" s="4"/>
      <c r="K13271" s="4"/>
      <c r="L13271" s="4"/>
      <c r="M13271" s="7" t="s">
        <v>6556</v>
      </c>
    </row>
    <row r="13272" customFormat="false" ht="15.75" hidden="false" customHeight="false" outlineLevel="0" collapsed="false">
      <c r="A13272" s="6" t="n">
        <f aca="false">DATE(2026,8,15)</f>
        <v>46249</v>
      </c>
      <c r="B13272" s="4" t="s">
        <v>13</v>
      </c>
      <c r="C13272" s="4" t="n">
        <v>6</v>
      </c>
      <c r="D13272" s="4" t="n">
        <v>2</v>
      </c>
      <c r="E13272" s="4" t="s">
        <v>2524</v>
      </c>
      <c r="F13272" s="4" t="n">
        <v>13</v>
      </c>
      <c r="G13272" s="4" t="n">
        <v>9</v>
      </c>
      <c r="H13272" s="4" t="n">
        <v>4</v>
      </c>
      <c r="I13272" s="4" t="str">
        <v>×</v>
      </c>
      <c r="J13272" s="4"/>
      <c r="K13272" s="4"/>
      <c r="L13272" s="4"/>
      <c r="M13272" s="7" t="s">
        <v>6556</v>
      </c>
    </row>
    <row r="13273" customFormat="false" ht="15.75" hidden="false" customHeight="false" outlineLevel="0" collapsed="false">
      <c r="A13273" s="6" t="n">
        <f aca="false">DATE(2026,8,15)</f>
        <v>46249</v>
      </c>
      <c r="B13273" s="4" t="s">
        <v>13</v>
      </c>
      <c r="C13273" s="4" t="n">
        <v>6</v>
      </c>
      <c r="D13273" s="4" t="n">
        <v>3</v>
      </c>
      <c r="E13273" s="4" t="s">
        <v>3307</v>
      </c>
      <c r="F13273" s="4" t="n">
        <v>13</v>
      </c>
      <c r="G13273" s="4" t="n">
        <v>10</v>
      </c>
      <c r="H13273" s="4" t="n">
        <v>4</v>
      </c>
      <c r="I13273" s="4" t="str">
        <v>×</v>
      </c>
      <c r="J13273" s="4"/>
      <c r="K13273" s="4"/>
      <c r="L13273" s="4"/>
      <c r="M13273" s="7" t="s">
        <v>6556</v>
      </c>
    </row>
    <row r="13274" customFormat="false" ht="15.75" hidden="false" customHeight="false" outlineLevel="0" collapsed="false">
      <c r="A13274" s="6" t="n">
        <f aca="false">DATE(2026,8,15)</f>
        <v>46249</v>
      </c>
      <c r="B13274" s="4" t="s">
        <v>13</v>
      </c>
      <c r="C13274" s="4" t="n">
        <v>6</v>
      </c>
      <c r="D13274" s="4" t="n">
        <v>4</v>
      </c>
      <c r="E13274" s="4" t="s">
        <v>6654</v>
      </c>
      <c r="F13274" s="4" t="n">
        <v>29</v>
      </c>
      <c r="G13274" s="4" t="n">
        <v>5</v>
      </c>
      <c r="H13274" s="4" t="n">
        <v>4</v>
      </c>
      <c r="I13274" s="4" t="str">
        <v>×</v>
      </c>
      <c r="J13274" s="4"/>
      <c r="K13274" s="4"/>
      <c r="L13274" s="4"/>
      <c r="M13274" s="7" t="s">
        <v>6556</v>
      </c>
    </row>
    <row r="13275" customFormat="false" ht="15.75" hidden="false" customHeight="false" outlineLevel="0" collapsed="false">
      <c r="A13275" s="6" t="n">
        <f aca="false">DATE(2026,8,15)</f>
        <v>46249</v>
      </c>
      <c r="B13275" s="4" t="s">
        <v>13</v>
      </c>
      <c r="C13275" s="4" t="n">
        <v>6</v>
      </c>
      <c r="D13275" s="4" t="n">
        <v>5</v>
      </c>
      <c r="E13275" s="4" t="s">
        <v>280</v>
      </c>
      <c r="F13275" s="4" t="n">
        <v>52</v>
      </c>
      <c r="G13275" s="4" t="n">
        <v>3</v>
      </c>
      <c r="H13275" s="4" t="n">
        <v>1</v>
      </c>
      <c r="I13275" s="4" t="str">
        <v>○</v>
      </c>
      <c r="J13275" s="4" t="n">
        <v>120</v>
      </c>
      <c r="K13275" s="4"/>
      <c r="L13275" s="4"/>
      <c r="M13275" s="7" t="s">
        <v>6556</v>
      </c>
    </row>
    <row r="13276" customFormat="false" ht="15.75" hidden="false" customHeight="false" outlineLevel="0" collapsed="false">
      <c r="A13276" s="6" t="n">
        <f aca="false">DATE(2026,8,15)</f>
        <v>46249</v>
      </c>
      <c r="B13276" s="4" t="s">
        <v>13</v>
      </c>
      <c r="C13276" s="4" t="n">
        <v>6</v>
      </c>
      <c r="D13276" s="4" t="n">
        <v>6</v>
      </c>
      <c r="E13276" s="4" t="s">
        <v>6433</v>
      </c>
      <c r="F13276" s="4" t="n">
        <v>66</v>
      </c>
      <c r="G13276" s="4" t="n">
        <v>1</v>
      </c>
      <c r="H13276" s="4" t="n">
        <v>4</v>
      </c>
      <c r="I13276" s="4" t="str">
        <v>×</v>
      </c>
      <c r="J13276" s="4"/>
      <c r="K13276" s="4"/>
      <c r="L13276" s="4"/>
      <c r="M13276" s="7" t="s">
        <v>6556</v>
      </c>
    </row>
    <row r="13277" customFormat="false" ht="15.75" hidden="false" customHeight="false" outlineLevel="0" collapsed="false">
      <c r="A13277" s="6" t="n">
        <f aca="false">DATE(2026,8,15)</f>
        <v>46249</v>
      </c>
      <c r="B13277" s="4" t="s">
        <v>13</v>
      </c>
      <c r="C13277" s="4" t="n">
        <v>6</v>
      </c>
      <c r="D13277" s="4" t="n">
        <v>7</v>
      </c>
      <c r="E13277" s="4" t="s">
        <v>6429</v>
      </c>
      <c r="F13277" s="4" t="n">
        <v>13</v>
      </c>
      <c r="G13277" s="4" t="n">
        <v>11</v>
      </c>
      <c r="H13277" s="4" t="n">
        <v>4</v>
      </c>
      <c r="I13277" s="4" t="str">
        <v>×</v>
      </c>
      <c r="J13277" s="4"/>
      <c r="K13277" s="4"/>
      <c r="L13277" s="4"/>
      <c r="M13277" s="7" t="s">
        <v>6556</v>
      </c>
    </row>
    <row r="13278" customFormat="false" ht="15.75" hidden="false" customHeight="false" outlineLevel="0" collapsed="false">
      <c r="A13278" s="6" t="n">
        <f aca="false">DATE(2026,8,15)</f>
        <v>46249</v>
      </c>
      <c r="B13278" s="4" t="s">
        <v>13</v>
      </c>
      <c r="C13278" s="4" t="n">
        <v>6</v>
      </c>
      <c r="D13278" s="4" t="n">
        <v>8</v>
      </c>
      <c r="E13278" s="4" t="s">
        <v>6035</v>
      </c>
      <c r="F13278" s="4" t="n">
        <v>3</v>
      </c>
      <c r="G13278" s="4" t="n">
        <v>13</v>
      </c>
      <c r="H13278" s="4" t="n">
        <v>4</v>
      </c>
      <c r="I13278" s="4" t="str">
        <v>×</v>
      </c>
      <c r="J13278" s="4"/>
      <c r="K13278" s="4"/>
      <c r="L13278" s="4"/>
      <c r="M13278" s="7" t="s">
        <v>6556</v>
      </c>
    </row>
    <row r="13279" customFormat="false" ht="15.75" hidden="false" customHeight="false" outlineLevel="0" collapsed="false">
      <c r="A13279" s="6" t="n">
        <f aca="false">DATE(2026,8,15)</f>
        <v>46249</v>
      </c>
      <c r="B13279" s="4" t="s">
        <v>13</v>
      </c>
      <c r="C13279" s="4" t="n">
        <v>6</v>
      </c>
      <c r="D13279" s="4" t="n">
        <v>9</v>
      </c>
      <c r="E13279" s="4" t="s">
        <v>1971</v>
      </c>
      <c r="F13279" s="4" t="n">
        <v>34</v>
      </c>
      <c r="G13279" s="4" t="n">
        <v>4</v>
      </c>
      <c r="H13279" s="4" t="n">
        <v>4</v>
      </c>
      <c r="I13279" s="4" t="str">
        <v>×</v>
      </c>
      <c r="J13279" s="4"/>
      <c r="K13279" s="4"/>
      <c r="L13279" s="4"/>
      <c r="M13279" s="7" t="s">
        <v>6556</v>
      </c>
    </row>
    <row r="13280" customFormat="false" ht="15.75" hidden="false" customHeight="false" outlineLevel="0" collapsed="false">
      <c r="A13280" s="6" t="n">
        <f aca="false">DATE(2026,8,15)</f>
        <v>46249</v>
      </c>
      <c r="B13280" s="4" t="s">
        <v>13</v>
      </c>
      <c r="C13280" s="4" t="n">
        <v>6</v>
      </c>
      <c r="D13280" s="4" t="n">
        <v>10</v>
      </c>
      <c r="E13280" s="4" t="s">
        <v>6031</v>
      </c>
      <c r="F13280" s="4" t="n">
        <v>1</v>
      </c>
      <c r="G13280" s="4" t="n">
        <v>14</v>
      </c>
      <c r="H13280" s="4" t="n">
        <v>4</v>
      </c>
      <c r="I13280" s="4" t="str">
        <v>×</v>
      </c>
      <c r="J13280" s="4"/>
      <c r="K13280" s="4"/>
      <c r="L13280" s="4"/>
      <c r="M13280" s="7" t="s">
        <v>6556</v>
      </c>
    </row>
    <row r="13281" customFormat="false" ht="15.75" hidden="false" customHeight="false" outlineLevel="0" collapsed="false">
      <c r="A13281" s="6" t="n">
        <f aca="false">DATE(2026,8,15)</f>
        <v>46249</v>
      </c>
      <c r="B13281" s="4" t="s">
        <v>13</v>
      </c>
      <c r="C13281" s="4" t="n">
        <v>6</v>
      </c>
      <c r="D13281" s="4" t="n">
        <v>11</v>
      </c>
      <c r="E13281" s="4" t="s">
        <v>6036</v>
      </c>
      <c r="F13281" s="4" t="n">
        <v>15</v>
      </c>
      <c r="G13281" s="4" t="n">
        <v>8</v>
      </c>
      <c r="H13281" s="4" t="n">
        <v>3</v>
      </c>
      <c r="I13281" s="4" t="str">
        <v>○</v>
      </c>
      <c r="J13281" s="4" t="n">
        <v>650</v>
      </c>
      <c r="K13281" s="4"/>
      <c r="L13281" s="4"/>
      <c r="M13281" s="7" t="s">
        <v>6556</v>
      </c>
    </row>
    <row r="13282" customFormat="false" ht="15.75" hidden="false" customHeight="false" outlineLevel="0" collapsed="false">
      <c r="A13282" s="6" t="n">
        <f aca="false">DATE(2026,8,15)</f>
        <v>46249</v>
      </c>
      <c r="B13282" s="4" t="s">
        <v>13</v>
      </c>
      <c r="C13282" s="4" t="n">
        <v>6</v>
      </c>
      <c r="D13282" s="4" t="n">
        <v>12</v>
      </c>
      <c r="E13282" s="4" t="s">
        <v>6655</v>
      </c>
      <c r="F13282" s="4" t="n">
        <v>66</v>
      </c>
      <c r="G13282" s="4" t="n">
        <v>2</v>
      </c>
      <c r="H13282" s="4" t="n">
        <v>2</v>
      </c>
      <c r="I13282" s="4" t="str">
        <v>○</v>
      </c>
      <c r="J13282" s="4" t="n">
        <v>110</v>
      </c>
      <c r="K13282" s="4"/>
      <c r="L13282" s="4"/>
      <c r="M13282" s="7" t="s">
        <v>6556</v>
      </c>
    </row>
    <row r="13283" customFormat="false" ht="15.75" hidden="false" customHeight="false" outlineLevel="0" collapsed="false">
      <c r="A13283" s="6" t="n">
        <f aca="false">DATE(2026,8,15)</f>
        <v>46249</v>
      </c>
      <c r="B13283" s="4" t="s">
        <v>13</v>
      </c>
      <c r="C13283" s="4" t="n">
        <v>6</v>
      </c>
      <c r="D13283" s="4" t="n">
        <v>13</v>
      </c>
      <c r="E13283" s="4" t="s">
        <v>6489</v>
      </c>
      <c r="F13283" s="4" t="n">
        <v>20</v>
      </c>
      <c r="G13283" s="4" t="n">
        <v>7</v>
      </c>
      <c r="H13283" s="4" t="n">
        <v>4</v>
      </c>
      <c r="I13283" s="4" t="str">
        <v>×</v>
      </c>
      <c r="J13283" s="4"/>
      <c r="K13283" s="4"/>
      <c r="L13283" s="4"/>
      <c r="M13283" s="7" t="s">
        <v>6556</v>
      </c>
    </row>
    <row r="13284" customFormat="false" ht="15.75" hidden="false" customHeight="false" outlineLevel="0" collapsed="false">
      <c r="A13284" s="6" t="n">
        <f aca="false">DATE(2026,8,15)</f>
        <v>46249</v>
      </c>
      <c r="B13284" s="4" t="s">
        <v>13</v>
      </c>
      <c r="C13284" s="4" t="n">
        <v>6</v>
      </c>
      <c r="D13284" s="4" t="n">
        <v>14</v>
      </c>
      <c r="E13284" s="4" t="s">
        <v>4738</v>
      </c>
      <c r="F13284" s="4" t="n">
        <v>4</v>
      </c>
      <c r="G13284" s="4" t="n">
        <v>12</v>
      </c>
      <c r="H13284" s="4" t="n">
        <v>4</v>
      </c>
      <c r="I13284" s="4" t="str">
        <v>×</v>
      </c>
      <c r="J13284" s="4"/>
      <c r="K13284" s="4"/>
      <c r="L13284" s="4"/>
      <c r="M13284" s="7" t="s">
        <v>6556</v>
      </c>
    </row>
    <row r="13285" customFormat="false" ht="15.75" hidden="false" customHeight="false" outlineLevel="0" collapsed="false">
      <c r="A13285" s="6" t="n">
        <f aca="false">DATE(2026,8,15)</f>
        <v>46249</v>
      </c>
      <c r="B13285" s="4" t="s">
        <v>13</v>
      </c>
      <c r="C13285" s="4" t="n">
        <v>7</v>
      </c>
      <c r="D13285" s="4" t="n">
        <v>1</v>
      </c>
      <c r="E13285" s="4" t="s">
        <v>4331</v>
      </c>
      <c r="F13285" s="4" t="n">
        <v>34</v>
      </c>
      <c r="G13285" s="4" t="n">
        <v>3</v>
      </c>
      <c r="H13285" s="4" t="n">
        <v>4</v>
      </c>
      <c r="I13285" s="4" t="str">
        <v>×</v>
      </c>
      <c r="J13285" s="4"/>
      <c r="K13285" s="4"/>
      <c r="L13285" s="4"/>
      <c r="M13285" s="7" t="s">
        <v>6556</v>
      </c>
    </row>
    <row r="13286" customFormat="false" ht="15.75" hidden="false" customHeight="false" outlineLevel="0" collapsed="false">
      <c r="A13286" s="6" t="n">
        <f aca="false">DATE(2026,8,15)</f>
        <v>46249</v>
      </c>
      <c r="B13286" s="4" t="s">
        <v>13</v>
      </c>
      <c r="C13286" s="4" t="n">
        <v>7</v>
      </c>
      <c r="D13286" s="4" t="n">
        <v>2</v>
      </c>
      <c r="E13286" s="4" t="s">
        <v>2430</v>
      </c>
      <c r="F13286" s="4" t="n">
        <v>13</v>
      </c>
      <c r="G13286" s="4" t="n">
        <v>9</v>
      </c>
      <c r="H13286" s="4" t="n">
        <v>4</v>
      </c>
      <c r="I13286" s="4" t="str">
        <v>×</v>
      </c>
      <c r="J13286" s="4"/>
      <c r="K13286" s="4"/>
      <c r="L13286" s="4"/>
      <c r="M13286" s="7" t="s">
        <v>6556</v>
      </c>
    </row>
    <row r="13287" customFormat="false" ht="15.75" hidden="false" customHeight="false" outlineLevel="0" collapsed="false">
      <c r="A13287" s="6" t="n">
        <f aca="false">DATE(2026,8,15)</f>
        <v>46249</v>
      </c>
      <c r="B13287" s="4" t="s">
        <v>13</v>
      </c>
      <c r="C13287" s="4" t="n">
        <v>7</v>
      </c>
      <c r="D13287" s="4" t="n">
        <v>3</v>
      </c>
      <c r="E13287" s="4" t="s">
        <v>6656</v>
      </c>
      <c r="F13287" s="4" t="n">
        <v>4</v>
      </c>
      <c r="G13287" s="4" t="n">
        <v>14</v>
      </c>
      <c r="H13287" s="4" t="n">
        <v>4</v>
      </c>
      <c r="I13287" s="4" t="str">
        <v>×</v>
      </c>
      <c r="J13287" s="4"/>
      <c r="K13287" s="4"/>
      <c r="L13287" s="4"/>
      <c r="M13287" s="7" t="s">
        <v>6556</v>
      </c>
    </row>
    <row r="13288" customFormat="false" ht="15.75" hidden="false" customHeight="false" outlineLevel="0" collapsed="false">
      <c r="A13288" s="6" t="n">
        <f aca="false">DATE(2026,8,15)</f>
        <v>46249</v>
      </c>
      <c r="B13288" s="4" t="s">
        <v>13</v>
      </c>
      <c r="C13288" s="4" t="n">
        <v>7</v>
      </c>
      <c r="D13288" s="4" t="n">
        <v>4</v>
      </c>
      <c r="E13288" s="4" t="s">
        <v>6276</v>
      </c>
      <c r="F13288" s="4" t="n">
        <v>20</v>
      </c>
      <c r="G13288" s="4" t="n">
        <v>8</v>
      </c>
      <c r="H13288" s="4" t="n">
        <v>4</v>
      </c>
      <c r="I13288" s="4" t="str">
        <v>×</v>
      </c>
      <c r="J13288" s="4"/>
      <c r="K13288" s="4"/>
      <c r="L13288" s="4"/>
      <c r="M13288" s="7" t="s">
        <v>6556</v>
      </c>
    </row>
    <row r="13289" customFormat="false" ht="15.75" hidden="false" customHeight="false" outlineLevel="0" collapsed="false">
      <c r="A13289" s="6" t="n">
        <f aca="false">DATE(2026,8,15)</f>
        <v>46249</v>
      </c>
      <c r="B13289" s="4" t="s">
        <v>13</v>
      </c>
      <c r="C13289" s="4" t="n">
        <v>7</v>
      </c>
      <c r="D13289" s="4" t="n">
        <v>5</v>
      </c>
      <c r="E13289" s="4" t="s">
        <v>6393</v>
      </c>
      <c r="F13289" s="4" t="n">
        <v>13</v>
      </c>
      <c r="G13289" s="4" t="n">
        <v>10</v>
      </c>
      <c r="H13289" s="4" t="n">
        <v>4</v>
      </c>
      <c r="I13289" s="4" t="str">
        <v>×</v>
      </c>
      <c r="J13289" s="4"/>
      <c r="K13289" s="4"/>
      <c r="L13289" s="4"/>
      <c r="M13289" s="7" t="s">
        <v>6556</v>
      </c>
    </row>
    <row r="13290" customFormat="false" ht="15.75" hidden="false" customHeight="false" outlineLevel="0" collapsed="false">
      <c r="A13290" s="6" t="n">
        <f aca="false">DATE(2026,8,15)</f>
        <v>46249</v>
      </c>
      <c r="B13290" s="4" t="s">
        <v>13</v>
      </c>
      <c r="C13290" s="4" t="n">
        <v>7</v>
      </c>
      <c r="D13290" s="4" t="n">
        <v>6</v>
      </c>
      <c r="E13290" s="4" t="s">
        <v>5712</v>
      </c>
      <c r="F13290" s="4" t="n">
        <v>47</v>
      </c>
      <c r="G13290" s="4" t="n">
        <v>1</v>
      </c>
      <c r="H13290" s="4" t="n">
        <v>4</v>
      </c>
      <c r="I13290" s="4" t="str">
        <v>×</v>
      </c>
      <c r="J13290" s="4"/>
      <c r="K13290" s="4"/>
      <c r="L13290" s="4"/>
      <c r="M13290" s="7" t="s">
        <v>6556</v>
      </c>
    </row>
    <row r="13291" customFormat="false" ht="15.75" hidden="false" customHeight="false" outlineLevel="0" collapsed="false">
      <c r="A13291" s="6" t="n">
        <f aca="false">DATE(2026,8,15)</f>
        <v>46249</v>
      </c>
      <c r="B13291" s="4" t="s">
        <v>13</v>
      </c>
      <c r="C13291" s="4" t="n">
        <v>7</v>
      </c>
      <c r="D13291" s="4" t="n">
        <v>7</v>
      </c>
      <c r="E13291" s="4" t="s">
        <v>5713</v>
      </c>
      <c r="F13291" s="4" t="n">
        <v>29</v>
      </c>
      <c r="G13291" s="4" t="n">
        <v>5</v>
      </c>
      <c r="H13291" s="4" t="n">
        <v>1</v>
      </c>
      <c r="I13291" s="4" t="str">
        <v>○</v>
      </c>
      <c r="J13291" s="4" t="n">
        <v>300</v>
      </c>
      <c r="K13291" s="4"/>
      <c r="L13291" s="4"/>
      <c r="M13291" s="7" t="s">
        <v>6556</v>
      </c>
    </row>
    <row r="13292" customFormat="false" ht="15.75" hidden="false" customHeight="false" outlineLevel="0" collapsed="false">
      <c r="A13292" s="6" t="n">
        <f aca="false">DATE(2026,8,15)</f>
        <v>46249</v>
      </c>
      <c r="B13292" s="4" t="s">
        <v>13</v>
      </c>
      <c r="C13292" s="4" t="n">
        <v>7</v>
      </c>
      <c r="D13292" s="4" t="n">
        <v>8</v>
      </c>
      <c r="E13292" s="4" t="s">
        <v>6657</v>
      </c>
      <c r="F13292" s="4" t="n">
        <v>4</v>
      </c>
      <c r="G13292" s="4" t="n">
        <v>15</v>
      </c>
      <c r="H13292" s="4" t="n">
        <v>4</v>
      </c>
      <c r="I13292" s="4" t="str">
        <v>×</v>
      </c>
      <c r="J13292" s="4"/>
      <c r="K13292" s="4"/>
      <c r="L13292" s="4"/>
      <c r="M13292" s="7" t="s">
        <v>6556</v>
      </c>
    </row>
    <row r="13293" customFormat="false" ht="15.75" hidden="false" customHeight="false" outlineLevel="0" collapsed="false">
      <c r="A13293" s="6" t="n">
        <f aca="false">DATE(2026,8,15)</f>
        <v>46249</v>
      </c>
      <c r="B13293" s="4" t="s">
        <v>13</v>
      </c>
      <c r="C13293" s="4" t="n">
        <v>7</v>
      </c>
      <c r="D13293" s="4" t="n">
        <v>9</v>
      </c>
      <c r="E13293" s="4" t="s">
        <v>6658</v>
      </c>
      <c r="F13293" s="4" t="n">
        <v>10</v>
      </c>
      <c r="G13293" s="4" t="n">
        <v>11</v>
      </c>
      <c r="H13293" s="4" t="n">
        <v>2</v>
      </c>
      <c r="I13293" s="4" t="str">
        <v>○</v>
      </c>
      <c r="J13293" s="4" t="n">
        <v>1400</v>
      </c>
      <c r="K13293" s="4"/>
      <c r="L13293" s="4"/>
      <c r="M13293" s="7" t="s">
        <v>6556</v>
      </c>
    </row>
    <row r="13294" customFormat="false" ht="15.75" hidden="false" customHeight="false" outlineLevel="0" collapsed="false">
      <c r="A13294" s="6" t="n">
        <f aca="false">DATE(2026,8,15)</f>
        <v>46249</v>
      </c>
      <c r="B13294" s="4" t="s">
        <v>13</v>
      </c>
      <c r="C13294" s="4" t="n">
        <v>7</v>
      </c>
      <c r="D13294" s="4" t="n">
        <v>10</v>
      </c>
      <c r="E13294" s="4" t="s">
        <v>6390</v>
      </c>
      <c r="F13294" s="4" t="n">
        <v>23</v>
      </c>
      <c r="G13294" s="4" t="n">
        <v>6</v>
      </c>
      <c r="H13294" s="4" t="n">
        <v>3</v>
      </c>
      <c r="I13294" s="4" t="str">
        <v>○</v>
      </c>
      <c r="J13294" s="4" t="n">
        <v>520</v>
      </c>
      <c r="K13294" s="4"/>
      <c r="L13294" s="4"/>
      <c r="M13294" s="7" t="s">
        <v>6556</v>
      </c>
    </row>
    <row r="13295" customFormat="false" ht="15.75" hidden="false" customHeight="false" outlineLevel="0" collapsed="false">
      <c r="A13295" s="6" t="n">
        <f aca="false">DATE(2026,8,15)</f>
        <v>46249</v>
      </c>
      <c r="B13295" s="4" t="s">
        <v>13</v>
      </c>
      <c r="C13295" s="4" t="n">
        <v>7</v>
      </c>
      <c r="D13295" s="4" t="n">
        <v>11</v>
      </c>
      <c r="E13295" s="4" t="s">
        <v>2156</v>
      </c>
      <c r="F13295" s="4" t="n">
        <v>23</v>
      </c>
      <c r="G13295" s="4" t="n">
        <v>7</v>
      </c>
      <c r="H13295" s="4" t="n">
        <v>4</v>
      </c>
      <c r="I13295" s="4" t="str">
        <v>×</v>
      </c>
      <c r="J13295" s="4"/>
      <c r="K13295" s="4"/>
      <c r="L13295" s="4"/>
      <c r="M13295" s="7" t="s">
        <v>6556</v>
      </c>
    </row>
    <row r="13296" customFormat="false" ht="15.75" hidden="false" customHeight="false" outlineLevel="0" collapsed="false">
      <c r="A13296" s="6" t="n">
        <f aca="false">DATE(2026,8,15)</f>
        <v>46249</v>
      </c>
      <c r="B13296" s="4" t="s">
        <v>13</v>
      </c>
      <c r="C13296" s="4" t="n">
        <v>7</v>
      </c>
      <c r="D13296" s="4" t="n">
        <v>12</v>
      </c>
      <c r="E13296" s="4" t="s">
        <v>6659</v>
      </c>
      <c r="F13296" s="4" t="n">
        <v>10</v>
      </c>
      <c r="G13296" s="4" t="n">
        <v>12</v>
      </c>
      <c r="H13296" s="4" t="n">
        <v>4</v>
      </c>
      <c r="I13296" s="4" t="str">
        <v>×</v>
      </c>
      <c r="J13296" s="4"/>
      <c r="K13296" s="4"/>
      <c r="L13296" s="4"/>
      <c r="M13296" s="7" t="s">
        <v>6556</v>
      </c>
    </row>
    <row r="13297" customFormat="false" ht="15.75" hidden="false" customHeight="false" outlineLevel="0" collapsed="false">
      <c r="A13297" s="6" t="n">
        <f aca="false">DATE(2026,8,15)</f>
        <v>46249</v>
      </c>
      <c r="B13297" s="4" t="s">
        <v>13</v>
      </c>
      <c r="C13297" s="4" t="n">
        <v>7</v>
      </c>
      <c r="D13297" s="4" t="n">
        <v>13</v>
      </c>
      <c r="E13297" s="4" t="s">
        <v>2150</v>
      </c>
      <c r="F13297" s="4" t="n">
        <v>34</v>
      </c>
      <c r="G13297" s="4" t="n">
        <v>4</v>
      </c>
      <c r="H13297" s="4" t="n">
        <v>4</v>
      </c>
      <c r="I13297" s="4" t="str">
        <v>×</v>
      </c>
      <c r="J13297" s="4"/>
      <c r="K13297" s="4"/>
      <c r="L13297" s="4"/>
      <c r="M13297" s="7" t="s">
        <v>6556</v>
      </c>
    </row>
    <row r="13298" customFormat="false" ht="15.75" hidden="false" customHeight="false" outlineLevel="0" collapsed="false">
      <c r="A13298" s="6" t="n">
        <f aca="false">DATE(2026,8,15)</f>
        <v>46249</v>
      </c>
      <c r="B13298" s="4" t="s">
        <v>13</v>
      </c>
      <c r="C13298" s="4" t="n">
        <v>7</v>
      </c>
      <c r="D13298" s="4" t="n">
        <v>14</v>
      </c>
      <c r="E13298" s="4" t="s">
        <v>6660</v>
      </c>
      <c r="F13298" s="4" t="n">
        <v>8</v>
      </c>
      <c r="G13298" s="4" t="n">
        <v>13</v>
      </c>
      <c r="H13298" s="4" t="n">
        <v>4</v>
      </c>
      <c r="I13298" s="4" t="str">
        <v>×</v>
      </c>
      <c r="J13298" s="4"/>
      <c r="K13298" s="4"/>
      <c r="L13298" s="4"/>
      <c r="M13298" s="7" t="s">
        <v>6556</v>
      </c>
    </row>
    <row r="13299" customFormat="false" ht="15.75" hidden="false" customHeight="false" outlineLevel="0" collapsed="false">
      <c r="A13299" s="6" t="n">
        <f aca="false">DATE(2026,8,15)</f>
        <v>46249</v>
      </c>
      <c r="B13299" s="4" t="s">
        <v>13</v>
      </c>
      <c r="C13299" s="4" t="n">
        <v>7</v>
      </c>
      <c r="D13299" s="4" t="n">
        <v>15</v>
      </c>
      <c r="E13299" s="4" t="s">
        <v>2793</v>
      </c>
      <c r="F13299" s="4" t="n">
        <v>44</v>
      </c>
      <c r="G13299" s="4" t="n">
        <v>2</v>
      </c>
      <c r="H13299" s="4" t="n">
        <v>4</v>
      </c>
      <c r="I13299" s="4" t="str">
        <v>×</v>
      </c>
      <c r="J13299" s="4"/>
      <c r="K13299" s="4"/>
      <c r="L13299" s="4"/>
      <c r="M13299" s="7" t="s">
        <v>6556</v>
      </c>
    </row>
    <row r="13300" customFormat="false" ht="15.75" hidden="false" customHeight="false" outlineLevel="0" collapsed="false">
      <c r="A13300" s="6" t="n">
        <f aca="false">DATE(2026,8,15)</f>
        <v>46249</v>
      </c>
      <c r="B13300" s="4" t="s">
        <v>13</v>
      </c>
      <c r="C13300" s="4" t="n">
        <v>8</v>
      </c>
      <c r="D13300" s="4" t="n">
        <v>1</v>
      </c>
      <c r="E13300" s="4" t="s">
        <v>5165</v>
      </c>
      <c r="F13300" s="4" t="n">
        <v>4</v>
      </c>
      <c r="G13300" s="4" t="n">
        <v>10</v>
      </c>
      <c r="H13300" s="4" t="n">
        <v>4</v>
      </c>
      <c r="I13300" s="4" t="str">
        <v>×</v>
      </c>
      <c r="J13300" s="4"/>
      <c r="K13300" s="4"/>
      <c r="L13300" s="4"/>
      <c r="M13300" s="7" t="s">
        <v>6556</v>
      </c>
    </row>
    <row r="13301" customFormat="false" ht="15.75" hidden="false" customHeight="false" outlineLevel="0" collapsed="false">
      <c r="A13301" s="6" t="n">
        <f aca="false">DATE(2026,8,15)</f>
        <v>46249</v>
      </c>
      <c r="B13301" s="4" t="s">
        <v>13</v>
      </c>
      <c r="C13301" s="4" t="n">
        <v>8</v>
      </c>
      <c r="D13301" s="4" t="n">
        <v>2</v>
      </c>
      <c r="E13301" s="4" t="s">
        <v>5384</v>
      </c>
      <c r="F13301" s="4" t="n">
        <v>23</v>
      </c>
      <c r="G13301" s="4" t="n">
        <v>5</v>
      </c>
      <c r="H13301" s="4" t="n">
        <v>4</v>
      </c>
      <c r="I13301" s="4" t="str">
        <v>×</v>
      </c>
      <c r="J13301" s="4"/>
      <c r="K13301" s="4"/>
      <c r="L13301" s="4"/>
      <c r="M13301" s="7" t="s">
        <v>6556</v>
      </c>
    </row>
    <row r="13302" customFormat="false" ht="15.75" hidden="false" customHeight="false" outlineLevel="0" collapsed="false">
      <c r="A13302" s="6" t="n">
        <f aca="false">DATE(2026,8,15)</f>
        <v>46249</v>
      </c>
      <c r="B13302" s="4" t="s">
        <v>13</v>
      </c>
      <c r="C13302" s="4" t="n">
        <v>8</v>
      </c>
      <c r="D13302" s="4" t="n">
        <v>3</v>
      </c>
      <c r="E13302" s="4" t="s">
        <v>6661</v>
      </c>
      <c r="F13302" s="4" t="n">
        <v>39</v>
      </c>
      <c r="G13302" s="4" t="n">
        <v>4</v>
      </c>
      <c r="H13302" s="4" t="n">
        <v>2</v>
      </c>
      <c r="I13302" s="4" t="str">
        <v>○</v>
      </c>
      <c r="J13302" s="4" t="n">
        <v>170</v>
      </c>
      <c r="K13302" s="4"/>
      <c r="L13302" s="4"/>
      <c r="M13302" s="7" t="s">
        <v>6556</v>
      </c>
    </row>
    <row r="13303" customFormat="false" ht="15.75" hidden="false" customHeight="false" outlineLevel="0" collapsed="false">
      <c r="A13303" s="6" t="n">
        <f aca="false">DATE(2026,8,15)</f>
        <v>46249</v>
      </c>
      <c r="B13303" s="4" t="s">
        <v>13</v>
      </c>
      <c r="C13303" s="4" t="n">
        <v>8</v>
      </c>
      <c r="D13303" s="4" t="n">
        <v>4</v>
      </c>
      <c r="E13303" s="4" t="s">
        <v>6662</v>
      </c>
      <c r="F13303" s="4" t="n">
        <v>10</v>
      </c>
      <c r="G13303" s="4" t="n">
        <v>8</v>
      </c>
      <c r="H13303" s="4" t="n">
        <v>4</v>
      </c>
      <c r="I13303" s="4" t="str">
        <v>×</v>
      </c>
      <c r="J13303" s="4"/>
      <c r="K13303" s="4"/>
      <c r="L13303" s="4"/>
      <c r="M13303" s="7" t="s">
        <v>6556</v>
      </c>
    </row>
    <row r="13304" customFormat="false" ht="15.75" hidden="false" customHeight="false" outlineLevel="0" collapsed="false">
      <c r="A13304" s="6" t="n">
        <f aca="false">DATE(2026,8,15)</f>
        <v>46249</v>
      </c>
      <c r="B13304" s="4" t="s">
        <v>13</v>
      </c>
      <c r="C13304" s="4" t="n">
        <v>8</v>
      </c>
      <c r="D13304" s="4" t="n">
        <v>5</v>
      </c>
      <c r="E13304" s="4" t="s">
        <v>6663</v>
      </c>
      <c r="F13304" s="4" t="n">
        <v>4</v>
      </c>
      <c r="G13304" s="4" t="n">
        <v>11</v>
      </c>
      <c r="H13304" s="4" t="n">
        <v>3</v>
      </c>
      <c r="I13304" s="4" t="str">
        <v>○</v>
      </c>
      <c r="J13304" s="4" t="n">
        <v>490</v>
      </c>
      <c r="K13304" s="4"/>
      <c r="L13304" s="4"/>
      <c r="M13304" s="7" t="s">
        <v>6556</v>
      </c>
    </row>
    <row r="13305" customFormat="false" ht="15.75" hidden="false" customHeight="false" outlineLevel="0" collapsed="false">
      <c r="A13305" s="6" t="n">
        <f aca="false">DATE(2026,8,15)</f>
        <v>46249</v>
      </c>
      <c r="B13305" s="4" t="s">
        <v>13</v>
      </c>
      <c r="C13305" s="4" t="n">
        <v>8</v>
      </c>
      <c r="D13305" s="4" t="n">
        <v>6</v>
      </c>
      <c r="E13305" s="4" t="s">
        <v>6664</v>
      </c>
      <c r="F13305" s="4" t="n">
        <v>44</v>
      </c>
      <c r="G13305" s="4" t="n">
        <v>3</v>
      </c>
      <c r="H13305" s="4" t="n">
        <v>4</v>
      </c>
      <c r="I13305" s="4" t="str">
        <v>×</v>
      </c>
      <c r="J13305" s="4"/>
      <c r="K13305" s="4"/>
      <c r="L13305" s="4"/>
      <c r="M13305" s="7" t="s">
        <v>6556</v>
      </c>
    </row>
    <row r="13306" customFormat="false" ht="15.75" hidden="false" customHeight="false" outlineLevel="0" collapsed="false">
      <c r="A13306" s="6" t="n">
        <f aca="false">DATE(2026,8,15)</f>
        <v>46249</v>
      </c>
      <c r="B13306" s="4" t="s">
        <v>13</v>
      </c>
      <c r="C13306" s="4" t="n">
        <v>8</v>
      </c>
      <c r="D13306" s="4" t="n">
        <v>7</v>
      </c>
      <c r="E13306" s="4" t="s">
        <v>6665</v>
      </c>
      <c r="F13306" s="4" t="n">
        <v>8</v>
      </c>
      <c r="G13306" s="4" t="n">
        <v>9</v>
      </c>
      <c r="H13306" s="4" t="n">
        <v>4</v>
      </c>
      <c r="I13306" s="4" t="str">
        <v>×</v>
      </c>
      <c r="J13306" s="4"/>
      <c r="K13306" s="4"/>
      <c r="L13306" s="4"/>
      <c r="M13306" s="7" t="s">
        <v>6556</v>
      </c>
    </row>
    <row r="13307" customFormat="false" ht="15.75" hidden="false" customHeight="false" outlineLevel="0" collapsed="false">
      <c r="A13307" s="6" t="n">
        <f aca="false">DATE(2026,8,15)</f>
        <v>46249</v>
      </c>
      <c r="B13307" s="4" t="s">
        <v>13</v>
      </c>
      <c r="C13307" s="4" t="n">
        <v>8</v>
      </c>
      <c r="D13307" s="4" t="n">
        <v>8</v>
      </c>
      <c r="E13307" s="4" t="s">
        <v>116</v>
      </c>
      <c r="F13307" s="4" t="n">
        <v>56</v>
      </c>
      <c r="G13307" s="4" t="n">
        <v>2</v>
      </c>
      <c r="H13307" s="4" t="n">
        <v>4</v>
      </c>
      <c r="I13307" s="4" t="str">
        <v>×</v>
      </c>
      <c r="J13307" s="4"/>
      <c r="K13307" s="4"/>
      <c r="L13307" s="4"/>
      <c r="M13307" s="7" t="s">
        <v>6556</v>
      </c>
    </row>
    <row r="13308" customFormat="false" ht="15.75" hidden="false" customHeight="false" outlineLevel="0" collapsed="false">
      <c r="A13308" s="6" t="n">
        <f aca="false">DATE(2026,8,15)</f>
        <v>46249</v>
      </c>
      <c r="B13308" s="4" t="s">
        <v>13</v>
      </c>
      <c r="C13308" s="4" t="n">
        <v>8</v>
      </c>
      <c r="D13308" s="4" t="n">
        <v>9</v>
      </c>
      <c r="E13308" s="4" t="s">
        <v>5171</v>
      </c>
      <c r="F13308" s="4" t="n">
        <v>67</v>
      </c>
      <c r="G13308" s="4" t="n">
        <v>1</v>
      </c>
      <c r="H13308" s="4" t="n">
        <v>1</v>
      </c>
      <c r="I13308" s="4" t="str">
        <v>○</v>
      </c>
      <c r="J13308" s="4" t="n">
        <v>110</v>
      </c>
      <c r="K13308" s="4"/>
      <c r="L13308" s="4"/>
      <c r="M13308" s="7" t="s">
        <v>6556</v>
      </c>
    </row>
    <row r="13309" customFormat="false" ht="15.75" hidden="false" customHeight="false" outlineLevel="0" collapsed="false">
      <c r="A13309" s="6" t="n">
        <f aca="false">DATE(2026,8,15)</f>
        <v>46249</v>
      </c>
      <c r="B13309" s="4" t="s">
        <v>13</v>
      </c>
      <c r="C13309" s="4" t="n">
        <v>8</v>
      </c>
      <c r="D13309" s="4" t="n">
        <v>10</v>
      </c>
      <c r="E13309" s="4" t="s">
        <v>6666</v>
      </c>
      <c r="F13309" s="4" t="n">
        <v>4</v>
      </c>
      <c r="G13309" s="4" t="n">
        <v>12</v>
      </c>
      <c r="H13309" s="4" t="n">
        <v>4</v>
      </c>
      <c r="I13309" s="4" t="str">
        <v>×</v>
      </c>
      <c r="J13309" s="4"/>
      <c r="K13309" s="4"/>
      <c r="L13309" s="4"/>
      <c r="M13309" s="7" t="s">
        <v>6556</v>
      </c>
    </row>
    <row r="13310" customFormat="false" ht="15.75" hidden="false" customHeight="false" outlineLevel="0" collapsed="false">
      <c r="A13310" s="6" t="n">
        <f aca="false">DATE(2026,8,15)</f>
        <v>46249</v>
      </c>
      <c r="B13310" s="4" t="s">
        <v>13</v>
      </c>
      <c r="C13310" s="4" t="n">
        <v>8</v>
      </c>
      <c r="D13310" s="4" t="n">
        <v>11</v>
      </c>
      <c r="E13310" s="4" t="s">
        <v>6667</v>
      </c>
      <c r="F13310" s="4" t="n">
        <v>23</v>
      </c>
      <c r="G13310" s="4" t="n">
        <v>6</v>
      </c>
      <c r="H13310" s="4" t="n">
        <v>4</v>
      </c>
      <c r="I13310" s="4" t="str">
        <v>×</v>
      </c>
      <c r="J13310" s="4"/>
      <c r="K13310" s="4"/>
      <c r="L13310" s="4"/>
      <c r="M13310" s="7" t="s">
        <v>6556</v>
      </c>
    </row>
    <row r="13311" customFormat="false" ht="15.75" hidden="false" customHeight="false" outlineLevel="0" collapsed="false">
      <c r="A13311" s="6" t="n">
        <f aca="false">DATE(2026,8,15)</f>
        <v>46249</v>
      </c>
      <c r="B13311" s="4" t="s">
        <v>13</v>
      </c>
      <c r="C13311" s="4" t="n">
        <v>8</v>
      </c>
      <c r="D13311" s="4" t="n">
        <v>12</v>
      </c>
      <c r="E13311" s="4" t="s">
        <v>6668</v>
      </c>
      <c r="F13311" s="4" t="n">
        <v>13</v>
      </c>
      <c r="G13311" s="4" t="n">
        <v>7</v>
      </c>
      <c r="H13311" s="4" t="n">
        <v>4</v>
      </c>
      <c r="I13311" s="4" t="str">
        <v>×</v>
      </c>
      <c r="J13311" s="4"/>
      <c r="K13311" s="4"/>
      <c r="L13311" s="4"/>
      <c r="M13311" s="7" t="s">
        <v>6556</v>
      </c>
    </row>
    <row r="13312" customFormat="false" ht="15.75" hidden="false" customHeight="false" outlineLevel="0" collapsed="false">
      <c r="A13312" s="6" t="n">
        <f aca="false">DATE(2026,8,15)</f>
        <v>46249</v>
      </c>
      <c r="B13312" s="4" t="s">
        <v>13</v>
      </c>
      <c r="C13312" s="4" t="n">
        <v>8</v>
      </c>
      <c r="D13312" s="4" t="n">
        <v>13</v>
      </c>
      <c r="E13312" s="4" t="s">
        <v>6014</v>
      </c>
      <c r="F13312" s="4" t="n">
        <v>3</v>
      </c>
      <c r="G13312" s="4" t="n">
        <v>14</v>
      </c>
      <c r="H13312" s="4" t="n">
        <v>4</v>
      </c>
      <c r="I13312" s="4" t="str">
        <v>×</v>
      </c>
      <c r="J13312" s="4"/>
      <c r="K13312" s="4"/>
      <c r="L13312" s="4"/>
      <c r="M13312" s="7" t="s">
        <v>6556</v>
      </c>
    </row>
    <row r="13313" customFormat="false" ht="15.75" hidden="false" customHeight="false" outlineLevel="0" collapsed="false">
      <c r="A13313" s="6" t="n">
        <f aca="false">DATE(2026,8,15)</f>
        <v>46249</v>
      </c>
      <c r="B13313" s="4" t="s">
        <v>13</v>
      </c>
      <c r="C13313" s="4" t="n">
        <v>8</v>
      </c>
      <c r="D13313" s="4" t="n">
        <v>14</v>
      </c>
      <c r="E13313" s="4" t="s">
        <v>5830</v>
      </c>
      <c r="F13313" s="4" t="n">
        <v>4</v>
      </c>
      <c r="G13313" s="4" t="n">
        <v>13</v>
      </c>
      <c r="H13313" s="4" t="n">
        <v>4</v>
      </c>
      <c r="I13313" s="4" t="str">
        <v>×</v>
      </c>
      <c r="J13313" s="4"/>
      <c r="K13313" s="4"/>
      <c r="L13313" s="4"/>
      <c r="M13313" s="7" t="s">
        <v>6556</v>
      </c>
    </row>
    <row r="13314" customFormat="false" ht="15.75" hidden="false" customHeight="false" outlineLevel="0" collapsed="false">
      <c r="A13314" s="6" t="n">
        <f aca="false">DATE(2026,8,15)</f>
        <v>46249</v>
      </c>
      <c r="B13314" s="4" t="s">
        <v>13</v>
      </c>
      <c r="C13314" s="4" t="n">
        <v>8</v>
      </c>
      <c r="D13314" s="4" t="n">
        <v>15</v>
      </c>
      <c r="E13314" s="4" t="s">
        <v>4575</v>
      </c>
      <c r="F13314" s="4" t="n">
        <v>3</v>
      </c>
      <c r="G13314" s="4" t="n">
        <v>15</v>
      </c>
      <c r="H13314" s="4" t="n">
        <v>4</v>
      </c>
      <c r="I13314" s="4" t="str">
        <v>×</v>
      </c>
      <c r="J13314" s="4"/>
      <c r="K13314" s="4"/>
      <c r="L13314" s="4"/>
      <c r="M13314" s="7" t="s">
        <v>6556</v>
      </c>
    </row>
    <row r="13315" customFormat="false" ht="15.75" hidden="false" customHeight="false" outlineLevel="0" collapsed="false">
      <c r="A13315" s="6" t="n">
        <f aca="false">DATE(2026,8,15)</f>
        <v>46249</v>
      </c>
      <c r="B13315" s="4" t="s">
        <v>13</v>
      </c>
      <c r="C13315" s="4" t="n">
        <v>9</v>
      </c>
      <c r="D13315" s="4" t="n">
        <v>1</v>
      </c>
      <c r="E13315" s="4" t="s">
        <v>1876</v>
      </c>
      <c r="F13315" s="4" t="n">
        <v>37</v>
      </c>
      <c r="G13315" s="4" t="n">
        <v>3</v>
      </c>
      <c r="H13315" s="4" t="n">
        <v>4</v>
      </c>
      <c r="I13315" s="4" t="str">
        <v>×</v>
      </c>
      <c r="J13315" s="4"/>
      <c r="K13315" s="4"/>
      <c r="L13315" s="4"/>
      <c r="M13315" s="7" t="s">
        <v>6556</v>
      </c>
    </row>
    <row r="13316" customFormat="false" ht="15.75" hidden="false" customHeight="false" outlineLevel="0" collapsed="false">
      <c r="A13316" s="6" t="n">
        <f aca="false">DATE(2026,8,15)</f>
        <v>46249</v>
      </c>
      <c r="B13316" s="4" t="s">
        <v>13</v>
      </c>
      <c r="C13316" s="4" t="n">
        <v>9</v>
      </c>
      <c r="D13316" s="4" t="n">
        <v>2</v>
      </c>
      <c r="E13316" s="4" t="s">
        <v>128</v>
      </c>
      <c r="F13316" s="4" t="n">
        <v>24</v>
      </c>
      <c r="G13316" s="4" t="n">
        <v>7</v>
      </c>
      <c r="H13316" s="4" t="n">
        <v>4</v>
      </c>
      <c r="I13316" s="4" t="str">
        <v>×</v>
      </c>
      <c r="J13316" s="4"/>
      <c r="K13316" s="4"/>
      <c r="L13316" s="4"/>
      <c r="M13316" s="7" t="s">
        <v>6556</v>
      </c>
    </row>
    <row r="13317" customFormat="false" ht="15.75" hidden="false" customHeight="false" outlineLevel="0" collapsed="false">
      <c r="A13317" s="6" t="n">
        <f aca="false">DATE(2026,8,15)</f>
        <v>46249</v>
      </c>
      <c r="B13317" s="4" t="s">
        <v>13</v>
      </c>
      <c r="C13317" s="4" t="n">
        <v>9</v>
      </c>
      <c r="D13317" s="4" t="n">
        <v>3</v>
      </c>
      <c r="E13317" s="4" t="s">
        <v>127</v>
      </c>
      <c r="F13317" s="4" t="n">
        <v>27</v>
      </c>
      <c r="G13317" s="4" t="n">
        <v>6</v>
      </c>
      <c r="H13317" s="4" t="n">
        <v>4</v>
      </c>
      <c r="I13317" s="4" t="str">
        <v>×</v>
      </c>
      <c r="J13317" s="4"/>
      <c r="K13317" s="4"/>
      <c r="L13317" s="4"/>
      <c r="M13317" s="7" t="s">
        <v>6556</v>
      </c>
    </row>
    <row r="13318" customFormat="false" ht="15.75" hidden="false" customHeight="false" outlineLevel="0" collapsed="false">
      <c r="A13318" s="6" t="n">
        <f aca="false">DATE(2026,8,15)</f>
        <v>46249</v>
      </c>
      <c r="B13318" s="4" t="s">
        <v>13</v>
      </c>
      <c r="C13318" s="4" t="n">
        <v>9</v>
      </c>
      <c r="D13318" s="4" t="n">
        <v>4</v>
      </c>
      <c r="E13318" s="4" t="s">
        <v>4907</v>
      </c>
      <c r="F13318" s="4" t="n">
        <v>55</v>
      </c>
      <c r="G13318" s="4" t="n">
        <v>1</v>
      </c>
      <c r="H13318" s="4" t="n">
        <v>4</v>
      </c>
      <c r="I13318" s="4" t="str">
        <v>×</v>
      </c>
      <c r="J13318" s="4"/>
      <c r="K13318" s="4"/>
      <c r="L13318" s="4"/>
      <c r="M13318" s="7" t="s">
        <v>6556</v>
      </c>
    </row>
    <row r="13319" customFormat="false" ht="15.75" hidden="false" customHeight="false" outlineLevel="0" collapsed="false">
      <c r="A13319" s="6" t="n">
        <f aca="false">DATE(2026,8,15)</f>
        <v>46249</v>
      </c>
      <c r="B13319" s="4" t="s">
        <v>13</v>
      </c>
      <c r="C13319" s="4" t="n">
        <v>9</v>
      </c>
      <c r="D13319" s="4" t="n">
        <v>5</v>
      </c>
      <c r="E13319" s="4" t="s">
        <v>1093</v>
      </c>
      <c r="F13319" s="4" t="n">
        <v>16</v>
      </c>
      <c r="G13319" s="4" t="n">
        <v>9</v>
      </c>
      <c r="H13319" s="4" t="n">
        <v>4</v>
      </c>
      <c r="I13319" s="4" t="str">
        <v>×</v>
      </c>
      <c r="J13319" s="4"/>
      <c r="K13319" s="4"/>
      <c r="L13319" s="4"/>
      <c r="M13319" s="7" t="s">
        <v>6556</v>
      </c>
    </row>
    <row r="13320" customFormat="false" ht="15.75" hidden="false" customHeight="false" outlineLevel="0" collapsed="false">
      <c r="A13320" s="6" t="n">
        <f aca="false">DATE(2026,8,15)</f>
        <v>46249</v>
      </c>
      <c r="B13320" s="4" t="s">
        <v>13</v>
      </c>
      <c r="C13320" s="4" t="n">
        <v>9</v>
      </c>
      <c r="D13320" s="4" t="n">
        <v>6</v>
      </c>
      <c r="E13320" s="4" t="s">
        <v>6669</v>
      </c>
      <c r="F13320" s="4" t="n">
        <v>44</v>
      </c>
      <c r="G13320" s="4" t="n">
        <v>2</v>
      </c>
      <c r="H13320" s="4" t="n">
        <v>3</v>
      </c>
      <c r="I13320" s="4" t="str">
        <v>○</v>
      </c>
      <c r="J13320" s="4" t="n">
        <v>140</v>
      </c>
      <c r="K13320" s="4"/>
      <c r="L13320" s="4"/>
      <c r="M13320" s="7" t="s">
        <v>6556</v>
      </c>
    </row>
    <row r="13321" customFormat="false" ht="15.75" hidden="false" customHeight="false" outlineLevel="0" collapsed="false">
      <c r="A13321" s="6" t="n">
        <f aca="false">DATE(2026,8,15)</f>
        <v>46249</v>
      </c>
      <c r="B13321" s="4" t="s">
        <v>13</v>
      </c>
      <c r="C13321" s="4" t="n">
        <v>9</v>
      </c>
      <c r="D13321" s="4" t="n">
        <v>7</v>
      </c>
      <c r="E13321" s="4" t="s">
        <v>1034</v>
      </c>
      <c r="F13321" s="4" t="n">
        <v>6</v>
      </c>
      <c r="G13321" s="4" t="n">
        <v>11</v>
      </c>
      <c r="H13321" s="4" t="n">
        <v>4</v>
      </c>
      <c r="I13321" s="4" t="str">
        <v>×</v>
      </c>
      <c r="J13321" s="4"/>
      <c r="K13321" s="4"/>
      <c r="L13321" s="4"/>
      <c r="M13321" s="7" t="s">
        <v>6556</v>
      </c>
    </row>
    <row r="13322" customFormat="false" ht="15.75" hidden="false" customHeight="false" outlineLevel="0" collapsed="false">
      <c r="A13322" s="6" t="n">
        <f aca="false">DATE(2026,8,15)</f>
        <v>46249</v>
      </c>
      <c r="B13322" s="4" t="s">
        <v>13</v>
      </c>
      <c r="C13322" s="4" t="n">
        <v>9</v>
      </c>
      <c r="D13322" s="4" t="n">
        <v>8</v>
      </c>
      <c r="E13322" s="4" t="s">
        <v>4905</v>
      </c>
      <c r="F13322" s="4" t="n">
        <v>24</v>
      </c>
      <c r="G13322" s="4" t="n">
        <v>8</v>
      </c>
      <c r="H13322" s="4" t="n">
        <v>1</v>
      </c>
      <c r="I13322" s="4" t="str">
        <v>○</v>
      </c>
      <c r="J13322" s="4" t="n">
        <v>160</v>
      </c>
      <c r="K13322" s="4"/>
      <c r="L13322" s="4"/>
      <c r="M13322" s="7" t="s">
        <v>6556</v>
      </c>
    </row>
    <row r="13323" customFormat="false" ht="15.75" hidden="false" customHeight="false" outlineLevel="0" collapsed="false">
      <c r="A13323" s="6" t="n">
        <f aca="false">DATE(2026,8,15)</f>
        <v>46249</v>
      </c>
      <c r="B13323" s="4" t="s">
        <v>13</v>
      </c>
      <c r="C13323" s="4" t="n">
        <v>9</v>
      </c>
      <c r="D13323" s="4" t="n">
        <v>9</v>
      </c>
      <c r="E13323" s="4" t="s">
        <v>4902</v>
      </c>
      <c r="F13323" s="4" t="n">
        <v>37</v>
      </c>
      <c r="G13323" s="4" t="n">
        <v>4</v>
      </c>
      <c r="H13323" s="4" t="n">
        <v>4</v>
      </c>
      <c r="I13323" s="4" t="str">
        <v>×</v>
      </c>
      <c r="J13323" s="4"/>
      <c r="K13323" s="4"/>
      <c r="L13323" s="4"/>
      <c r="M13323" s="7" t="s">
        <v>6556</v>
      </c>
    </row>
    <row r="13324" customFormat="false" ht="15.75" hidden="false" customHeight="false" outlineLevel="0" collapsed="false">
      <c r="A13324" s="6" t="n">
        <f aca="false">DATE(2026,8,15)</f>
        <v>46249</v>
      </c>
      <c r="B13324" s="4" t="s">
        <v>13</v>
      </c>
      <c r="C13324" s="4" t="n">
        <v>9</v>
      </c>
      <c r="D13324" s="4" t="n">
        <v>10</v>
      </c>
      <c r="E13324" s="4" t="s">
        <v>5528</v>
      </c>
      <c r="F13324" s="4" t="n">
        <v>12</v>
      </c>
      <c r="G13324" s="4" t="n">
        <v>10</v>
      </c>
      <c r="H13324" s="4" t="n">
        <v>4</v>
      </c>
      <c r="I13324" s="4" t="str">
        <v>×</v>
      </c>
      <c r="J13324" s="4"/>
      <c r="K13324" s="4"/>
      <c r="L13324" s="4"/>
      <c r="M13324" s="7" t="s">
        <v>6556</v>
      </c>
    </row>
    <row r="13325" customFormat="false" ht="15.75" hidden="false" customHeight="false" outlineLevel="0" collapsed="false">
      <c r="A13325" s="6" t="n">
        <f aca="false">DATE(2026,8,15)</f>
        <v>46249</v>
      </c>
      <c r="B13325" s="4" t="s">
        <v>13</v>
      </c>
      <c r="C13325" s="4" t="n">
        <v>9</v>
      </c>
      <c r="D13325" s="4" t="n">
        <v>11</v>
      </c>
      <c r="E13325" s="4" t="s">
        <v>4299</v>
      </c>
      <c r="F13325" s="4" t="n">
        <v>37</v>
      </c>
      <c r="G13325" s="4" t="n">
        <v>5</v>
      </c>
      <c r="H13325" s="4" t="n">
        <v>2</v>
      </c>
      <c r="I13325" s="4" t="str">
        <v>○</v>
      </c>
      <c r="J13325" s="4" t="n">
        <v>190</v>
      </c>
      <c r="K13325" s="4"/>
      <c r="L13325" s="4"/>
      <c r="M13325" s="7" t="s">
        <v>6556</v>
      </c>
    </row>
    <row r="13326" customFormat="false" ht="15.75" hidden="false" customHeight="false" outlineLevel="0" collapsed="false">
      <c r="A13326" s="6" t="n">
        <f aca="false">DATE(2026,8,15)</f>
        <v>46249</v>
      </c>
      <c r="B13326" s="4" t="s">
        <v>13</v>
      </c>
      <c r="C13326" s="4" t="n">
        <v>10</v>
      </c>
      <c r="D13326" s="4" t="n">
        <v>1</v>
      </c>
      <c r="E13326" s="4" t="s">
        <v>3731</v>
      </c>
      <c r="F13326" s="4" t="n">
        <v>17</v>
      </c>
      <c r="G13326" s="4" t="n">
        <v>7</v>
      </c>
      <c r="H13326" s="4" t="n">
        <v>4</v>
      </c>
      <c r="I13326" s="4" t="str">
        <v>×</v>
      </c>
      <c r="J13326" s="4"/>
      <c r="K13326" s="4"/>
      <c r="L13326" s="4"/>
      <c r="M13326" s="7" t="s">
        <v>6556</v>
      </c>
    </row>
    <row r="13327" customFormat="false" ht="15.75" hidden="false" customHeight="false" outlineLevel="0" collapsed="false">
      <c r="A13327" s="6" t="n">
        <f aca="false">DATE(2026,8,15)</f>
        <v>46249</v>
      </c>
      <c r="B13327" s="4" t="s">
        <v>13</v>
      </c>
      <c r="C13327" s="4" t="n">
        <v>10</v>
      </c>
      <c r="D13327" s="4" t="n">
        <v>2</v>
      </c>
      <c r="E13327" s="4" t="s">
        <v>590</v>
      </c>
      <c r="F13327" s="4" t="n">
        <v>13</v>
      </c>
      <c r="G13327" s="4" t="n">
        <v>9</v>
      </c>
      <c r="H13327" s="4" t="n">
        <v>4</v>
      </c>
      <c r="I13327" s="4" t="str">
        <v>×</v>
      </c>
      <c r="J13327" s="4"/>
      <c r="K13327" s="4"/>
      <c r="L13327" s="4"/>
      <c r="M13327" s="7" t="s">
        <v>6556</v>
      </c>
    </row>
    <row r="13328" customFormat="false" ht="15.75" hidden="false" customHeight="false" outlineLevel="0" collapsed="false">
      <c r="A13328" s="6" t="n">
        <f aca="false">DATE(2026,8,15)</f>
        <v>46249</v>
      </c>
      <c r="B13328" s="4" t="s">
        <v>13</v>
      </c>
      <c r="C13328" s="4" t="n">
        <v>10</v>
      </c>
      <c r="D13328" s="4" t="n">
        <v>3</v>
      </c>
      <c r="E13328" s="4" t="s">
        <v>4513</v>
      </c>
      <c r="F13328" s="4" t="n">
        <v>20</v>
      </c>
      <c r="G13328" s="4" t="n">
        <v>6</v>
      </c>
      <c r="H13328" s="4" t="n">
        <v>4</v>
      </c>
      <c r="I13328" s="4" t="str">
        <v>×</v>
      </c>
      <c r="J13328" s="4"/>
      <c r="K13328" s="4"/>
      <c r="L13328" s="4"/>
      <c r="M13328" s="7" t="s">
        <v>6556</v>
      </c>
    </row>
    <row r="13329" customFormat="false" ht="15.75" hidden="false" customHeight="false" outlineLevel="0" collapsed="false">
      <c r="A13329" s="6" t="n">
        <f aca="false">DATE(2026,8,15)</f>
        <v>46249</v>
      </c>
      <c r="B13329" s="4" t="s">
        <v>13</v>
      </c>
      <c r="C13329" s="4" t="n">
        <v>10</v>
      </c>
      <c r="D13329" s="4" t="n">
        <v>4</v>
      </c>
      <c r="E13329" s="4" t="s">
        <v>6670</v>
      </c>
      <c r="F13329" s="4" t="n">
        <v>23</v>
      </c>
      <c r="G13329" s="4" t="n">
        <v>5</v>
      </c>
      <c r="H13329" s="4" t="n">
        <v>4</v>
      </c>
      <c r="I13329" s="4" t="str">
        <v>×</v>
      </c>
      <c r="J13329" s="4"/>
      <c r="K13329" s="4"/>
      <c r="L13329" s="4"/>
      <c r="M13329" s="7" t="s">
        <v>6556</v>
      </c>
    </row>
    <row r="13330" customFormat="false" ht="15.75" hidden="false" customHeight="false" outlineLevel="0" collapsed="false">
      <c r="A13330" s="6" t="n">
        <f aca="false">DATE(2026,8,15)</f>
        <v>46249</v>
      </c>
      <c r="B13330" s="4" t="s">
        <v>13</v>
      </c>
      <c r="C13330" s="4" t="n">
        <v>10</v>
      </c>
      <c r="D13330" s="4" t="n">
        <v>5</v>
      </c>
      <c r="E13330" s="4" t="s">
        <v>4692</v>
      </c>
      <c r="F13330" s="4" t="n">
        <v>29</v>
      </c>
      <c r="G13330" s="4" t="n">
        <v>3</v>
      </c>
      <c r="H13330" s="4" t="n">
        <v>4</v>
      </c>
      <c r="I13330" s="4" t="str">
        <v>×</v>
      </c>
      <c r="J13330" s="4"/>
      <c r="K13330" s="4"/>
      <c r="L13330" s="4"/>
      <c r="M13330" s="7" t="s">
        <v>6556</v>
      </c>
    </row>
    <row r="13331" customFormat="false" ht="15.75" hidden="false" customHeight="false" outlineLevel="0" collapsed="false">
      <c r="A13331" s="6" t="n">
        <f aca="false">DATE(2026,8,15)</f>
        <v>46249</v>
      </c>
      <c r="B13331" s="4" t="s">
        <v>13</v>
      </c>
      <c r="C13331" s="4" t="n">
        <v>10</v>
      </c>
      <c r="D13331" s="4" t="n">
        <v>6</v>
      </c>
      <c r="E13331" s="4" t="s">
        <v>676</v>
      </c>
      <c r="F13331" s="4" t="n">
        <v>4</v>
      </c>
      <c r="G13331" s="4" t="n">
        <v>12</v>
      </c>
      <c r="H13331" s="4" t="n">
        <v>4</v>
      </c>
      <c r="I13331" s="4" t="str">
        <v>×</v>
      </c>
      <c r="J13331" s="4"/>
      <c r="K13331" s="4"/>
      <c r="L13331" s="4"/>
      <c r="M13331" s="7" t="s">
        <v>6556</v>
      </c>
    </row>
    <row r="13332" customFormat="false" ht="15.75" hidden="false" customHeight="false" outlineLevel="0" collapsed="false">
      <c r="A13332" s="6" t="n">
        <f aca="false">DATE(2026,8,15)</f>
        <v>46249</v>
      </c>
      <c r="B13332" s="4" t="s">
        <v>13</v>
      </c>
      <c r="C13332" s="4" t="n">
        <v>10</v>
      </c>
      <c r="D13332" s="4" t="n">
        <v>7</v>
      </c>
      <c r="E13332" s="4" t="s">
        <v>6671</v>
      </c>
      <c r="F13332" s="4" t="n">
        <v>3</v>
      </c>
      <c r="G13332" s="4" t="n">
        <v>14</v>
      </c>
      <c r="H13332" s="4" t="n">
        <v>4</v>
      </c>
      <c r="I13332" s="4" t="str">
        <v>×</v>
      </c>
      <c r="J13332" s="4"/>
      <c r="K13332" s="4"/>
      <c r="L13332" s="4"/>
      <c r="M13332" s="7" t="s">
        <v>6556</v>
      </c>
    </row>
    <row r="13333" customFormat="false" ht="15.75" hidden="false" customHeight="false" outlineLevel="0" collapsed="false">
      <c r="A13333" s="6" t="n">
        <f aca="false">DATE(2026,8,15)</f>
        <v>46249</v>
      </c>
      <c r="B13333" s="4" t="s">
        <v>13</v>
      </c>
      <c r="C13333" s="4" t="n">
        <v>10</v>
      </c>
      <c r="D13333" s="4" t="n">
        <v>8</v>
      </c>
      <c r="E13333" s="4" t="s">
        <v>2993</v>
      </c>
      <c r="F13333" s="4" t="n">
        <v>2</v>
      </c>
      <c r="G13333" s="4" t="n">
        <v>15</v>
      </c>
      <c r="H13333" s="4" t="n">
        <v>4</v>
      </c>
      <c r="I13333" s="4" t="str">
        <v>×</v>
      </c>
      <c r="J13333" s="4"/>
      <c r="K13333" s="4"/>
      <c r="L13333" s="4"/>
      <c r="M13333" s="7" t="s">
        <v>6556</v>
      </c>
    </row>
    <row r="13334" customFormat="false" ht="15.75" hidden="false" customHeight="false" outlineLevel="0" collapsed="false">
      <c r="A13334" s="6" t="n">
        <f aca="false">DATE(2026,8,15)</f>
        <v>46249</v>
      </c>
      <c r="B13334" s="4" t="s">
        <v>13</v>
      </c>
      <c r="C13334" s="4" t="n">
        <v>10</v>
      </c>
      <c r="D13334" s="4" t="n">
        <v>9</v>
      </c>
      <c r="E13334" s="4" t="s">
        <v>670</v>
      </c>
      <c r="F13334" s="4" t="n">
        <v>81</v>
      </c>
      <c r="G13334" s="4" t="n">
        <v>1</v>
      </c>
      <c r="H13334" s="4" t="n">
        <v>1</v>
      </c>
      <c r="I13334" s="4" t="str">
        <v>○</v>
      </c>
      <c r="J13334" s="4" t="n">
        <v>110</v>
      </c>
      <c r="K13334" s="4"/>
      <c r="L13334" s="4"/>
      <c r="M13334" s="7" t="s">
        <v>6556</v>
      </c>
    </row>
    <row r="13335" customFormat="false" ht="15.75" hidden="false" customHeight="false" outlineLevel="0" collapsed="false">
      <c r="A13335" s="6" t="n">
        <f aca="false">DATE(2026,8,15)</f>
        <v>46249</v>
      </c>
      <c r="B13335" s="4" t="s">
        <v>13</v>
      </c>
      <c r="C13335" s="4" t="n">
        <v>10</v>
      </c>
      <c r="D13335" s="4" t="n">
        <v>10</v>
      </c>
      <c r="E13335" s="4" t="s">
        <v>6672</v>
      </c>
      <c r="F13335" s="4" t="n">
        <v>15</v>
      </c>
      <c r="G13335" s="4" t="n">
        <v>8</v>
      </c>
      <c r="H13335" s="4" t="n">
        <v>4</v>
      </c>
      <c r="I13335" s="4" t="str">
        <v>×</v>
      </c>
      <c r="J13335" s="4"/>
      <c r="K13335" s="4"/>
      <c r="L13335" s="4"/>
      <c r="M13335" s="7" t="s">
        <v>6556</v>
      </c>
    </row>
    <row r="13336" customFormat="false" ht="15.75" hidden="false" customHeight="false" outlineLevel="0" collapsed="false">
      <c r="A13336" s="6" t="n">
        <f aca="false">DATE(2026,8,15)</f>
        <v>46249</v>
      </c>
      <c r="B13336" s="4" t="s">
        <v>13</v>
      </c>
      <c r="C13336" s="4" t="n">
        <v>10</v>
      </c>
      <c r="D13336" s="4" t="n">
        <v>11</v>
      </c>
      <c r="E13336" s="4" t="s">
        <v>6673</v>
      </c>
      <c r="F13336" s="4" t="n">
        <v>13</v>
      </c>
      <c r="G13336" s="4" t="n">
        <v>10</v>
      </c>
      <c r="H13336" s="4" t="n">
        <v>4</v>
      </c>
      <c r="I13336" s="4" t="str">
        <v>×</v>
      </c>
      <c r="J13336" s="4"/>
      <c r="K13336" s="4"/>
      <c r="L13336" s="4"/>
      <c r="M13336" s="7" t="s">
        <v>6556</v>
      </c>
    </row>
    <row r="13337" customFormat="false" ht="15.75" hidden="false" customHeight="false" outlineLevel="0" collapsed="false">
      <c r="A13337" s="6" t="n">
        <f aca="false">DATE(2026,8,15)</f>
        <v>46249</v>
      </c>
      <c r="B13337" s="4" t="s">
        <v>13</v>
      </c>
      <c r="C13337" s="4" t="n">
        <v>10</v>
      </c>
      <c r="D13337" s="4" t="n">
        <v>12</v>
      </c>
      <c r="E13337" s="4" t="s">
        <v>4999</v>
      </c>
      <c r="F13337" s="4" t="n">
        <v>29</v>
      </c>
      <c r="G13337" s="4" t="n">
        <v>4</v>
      </c>
      <c r="H13337" s="4" t="n">
        <v>2</v>
      </c>
      <c r="I13337" s="4" t="str">
        <v>○</v>
      </c>
      <c r="J13337" s="4" t="n">
        <v>310</v>
      </c>
      <c r="K13337" s="4"/>
      <c r="L13337" s="4"/>
      <c r="M13337" s="7" t="s">
        <v>6556</v>
      </c>
    </row>
    <row r="13338" customFormat="false" ht="15.75" hidden="false" customHeight="false" outlineLevel="0" collapsed="false">
      <c r="A13338" s="6" t="n">
        <f aca="false">DATE(2026,8,15)</f>
        <v>46249</v>
      </c>
      <c r="B13338" s="4" t="s">
        <v>13</v>
      </c>
      <c r="C13338" s="4" t="n">
        <v>10</v>
      </c>
      <c r="D13338" s="4" t="n">
        <v>13</v>
      </c>
      <c r="E13338" s="4" t="s">
        <v>617</v>
      </c>
      <c r="F13338" s="4" t="n">
        <v>44</v>
      </c>
      <c r="G13338" s="4" t="n">
        <v>2</v>
      </c>
      <c r="H13338" s="4" t="n">
        <v>4</v>
      </c>
      <c r="I13338" s="4" t="str">
        <v>×</v>
      </c>
      <c r="J13338" s="4"/>
      <c r="K13338" s="4"/>
      <c r="L13338" s="4"/>
      <c r="M13338" s="7" t="s">
        <v>6556</v>
      </c>
    </row>
    <row r="13339" customFormat="false" ht="15.75" hidden="false" customHeight="false" outlineLevel="0" collapsed="false">
      <c r="A13339" s="6" t="n">
        <f aca="false">DATE(2026,8,15)</f>
        <v>46249</v>
      </c>
      <c r="B13339" s="4" t="s">
        <v>13</v>
      </c>
      <c r="C13339" s="4" t="n">
        <v>10</v>
      </c>
      <c r="D13339" s="4" t="n">
        <v>14</v>
      </c>
      <c r="E13339" s="4" t="s">
        <v>133</v>
      </c>
      <c r="F13339" s="4" t="n">
        <v>4</v>
      </c>
      <c r="G13339" s="4" t="n">
        <v>13</v>
      </c>
      <c r="H13339" s="4" t="n">
        <v>4</v>
      </c>
      <c r="I13339" s="4" t="str">
        <v>×</v>
      </c>
      <c r="J13339" s="4"/>
      <c r="K13339" s="4"/>
      <c r="L13339" s="4"/>
      <c r="M13339" s="7" t="s">
        <v>6556</v>
      </c>
    </row>
    <row r="13340" customFormat="false" ht="15.75" hidden="false" customHeight="false" outlineLevel="0" collapsed="false">
      <c r="A13340" s="6" t="n">
        <f aca="false">DATE(2026,8,15)</f>
        <v>46249</v>
      </c>
      <c r="B13340" s="4" t="s">
        <v>13</v>
      </c>
      <c r="C13340" s="4" t="n">
        <v>10</v>
      </c>
      <c r="D13340" s="4" t="n">
        <v>15</v>
      </c>
      <c r="E13340" s="4" t="s">
        <v>1154</v>
      </c>
      <c r="F13340" s="4" t="n">
        <v>10</v>
      </c>
      <c r="G13340" s="4" t="n">
        <v>11</v>
      </c>
      <c r="H13340" s="4" t="n">
        <v>3</v>
      </c>
      <c r="I13340" s="4" t="str">
        <v>○</v>
      </c>
      <c r="J13340" s="4" t="n">
        <v>620</v>
      </c>
      <c r="K13340" s="4"/>
      <c r="L13340" s="4"/>
      <c r="M13340" s="7" t="s">
        <v>6556</v>
      </c>
    </row>
    <row r="13341" customFormat="false" ht="15.75" hidden="false" customHeight="false" outlineLevel="0" collapsed="false">
      <c r="A13341" s="6" t="n">
        <f aca="false">DATE(2026,8,15)</f>
        <v>46249</v>
      </c>
      <c r="B13341" s="4" t="s">
        <v>13</v>
      </c>
      <c r="C13341" s="4" t="n">
        <v>11</v>
      </c>
      <c r="D13341" s="4" t="n">
        <v>1</v>
      </c>
      <c r="E13341" s="4" t="s">
        <v>3029</v>
      </c>
      <c r="F13341" s="4" t="n">
        <v>8</v>
      </c>
      <c r="G13341" s="4" t="n">
        <v>11</v>
      </c>
      <c r="H13341" s="4" t="n">
        <v>4</v>
      </c>
      <c r="I13341" s="4" t="str">
        <v>×</v>
      </c>
      <c r="J13341" s="4"/>
      <c r="K13341" s="4"/>
      <c r="L13341" s="4"/>
      <c r="M13341" s="7" t="s">
        <v>6556</v>
      </c>
    </row>
    <row r="13342" customFormat="false" ht="15.75" hidden="false" customHeight="false" outlineLevel="0" collapsed="false">
      <c r="A13342" s="6" t="n">
        <f aca="false">DATE(2026,8,15)</f>
        <v>46249</v>
      </c>
      <c r="B13342" s="4" t="s">
        <v>13</v>
      </c>
      <c r="C13342" s="4" t="n">
        <v>11</v>
      </c>
      <c r="D13342" s="4" t="n">
        <v>2</v>
      </c>
      <c r="E13342" s="4" t="s">
        <v>6308</v>
      </c>
      <c r="F13342" s="4" t="n">
        <v>58</v>
      </c>
      <c r="G13342" s="4" t="n">
        <v>1</v>
      </c>
      <c r="H13342" s="4" t="n">
        <v>4</v>
      </c>
      <c r="I13342" s="4" t="str">
        <v>×</v>
      </c>
      <c r="J13342" s="4"/>
      <c r="K13342" s="4"/>
      <c r="L13342" s="4"/>
      <c r="M13342" s="7" t="s">
        <v>6556</v>
      </c>
    </row>
    <row r="13343" customFormat="false" ht="15.75" hidden="false" customHeight="false" outlineLevel="0" collapsed="false">
      <c r="A13343" s="6" t="n">
        <f aca="false">DATE(2026,8,15)</f>
        <v>46249</v>
      </c>
      <c r="B13343" s="4" t="s">
        <v>13</v>
      </c>
      <c r="C13343" s="4" t="n">
        <v>11</v>
      </c>
      <c r="D13343" s="4" t="n">
        <v>3</v>
      </c>
      <c r="E13343" s="4" t="s">
        <v>5735</v>
      </c>
      <c r="F13343" s="4" t="n">
        <v>10</v>
      </c>
      <c r="G13343" s="4" t="n">
        <v>9</v>
      </c>
      <c r="H13343" s="4" t="n">
        <v>4</v>
      </c>
      <c r="I13343" s="4" t="str">
        <v>×</v>
      </c>
      <c r="J13343" s="4"/>
      <c r="K13343" s="4"/>
      <c r="L13343" s="4"/>
      <c r="M13343" s="7" t="s">
        <v>6556</v>
      </c>
    </row>
    <row r="13344" customFormat="false" ht="15.75" hidden="false" customHeight="false" outlineLevel="0" collapsed="false">
      <c r="A13344" s="6" t="n">
        <f aca="false">DATE(2026,8,15)</f>
        <v>46249</v>
      </c>
      <c r="B13344" s="4" t="s">
        <v>13</v>
      </c>
      <c r="C13344" s="4" t="n">
        <v>11</v>
      </c>
      <c r="D13344" s="4" t="n">
        <v>4</v>
      </c>
      <c r="E13344" s="4" t="s">
        <v>3365</v>
      </c>
      <c r="F13344" s="4" t="n">
        <v>13</v>
      </c>
      <c r="G13344" s="4" t="n">
        <v>8</v>
      </c>
      <c r="H13344" s="4" t="n">
        <v>4</v>
      </c>
      <c r="I13344" s="4" t="str">
        <v>×</v>
      </c>
      <c r="J13344" s="4"/>
      <c r="K13344" s="4"/>
      <c r="L13344" s="4"/>
      <c r="M13344" s="7" t="s">
        <v>6556</v>
      </c>
    </row>
    <row r="13345" customFormat="false" ht="15.75" hidden="false" customHeight="false" outlineLevel="0" collapsed="false">
      <c r="A13345" s="6" t="n">
        <f aca="false">DATE(2026,8,15)</f>
        <v>46249</v>
      </c>
      <c r="B13345" s="4" t="s">
        <v>13</v>
      </c>
      <c r="C13345" s="4" t="n">
        <v>11</v>
      </c>
      <c r="D13345" s="4" t="n">
        <v>5</v>
      </c>
      <c r="E13345" s="4" t="s">
        <v>6674</v>
      </c>
      <c r="F13345" s="4" t="n">
        <v>8</v>
      </c>
      <c r="G13345" s="4" t="n">
        <v>12</v>
      </c>
      <c r="H13345" s="4" t="n">
        <v>4</v>
      </c>
      <c r="I13345" s="4" t="str">
        <v>×</v>
      </c>
      <c r="J13345" s="4"/>
      <c r="K13345" s="4"/>
      <c r="L13345" s="4"/>
      <c r="M13345" s="7" t="s">
        <v>6556</v>
      </c>
    </row>
    <row r="13346" customFormat="false" ht="15.75" hidden="false" customHeight="false" outlineLevel="0" collapsed="false">
      <c r="A13346" s="6" t="n">
        <f aca="false">DATE(2026,8,15)</f>
        <v>46249</v>
      </c>
      <c r="B13346" s="4" t="s">
        <v>13</v>
      </c>
      <c r="C13346" s="4" t="n">
        <v>11</v>
      </c>
      <c r="D13346" s="4" t="n">
        <v>6</v>
      </c>
      <c r="E13346" s="4" t="s">
        <v>5731</v>
      </c>
      <c r="F13346" s="4" t="n">
        <v>23</v>
      </c>
      <c r="G13346" s="4" t="n">
        <v>4</v>
      </c>
      <c r="H13346" s="4" t="n">
        <v>4</v>
      </c>
      <c r="I13346" s="4" t="str">
        <v>×</v>
      </c>
      <c r="J13346" s="4"/>
      <c r="K13346" s="4"/>
      <c r="L13346" s="4"/>
      <c r="M13346" s="7" t="s">
        <v>6556</v>
      </c>
    </row>
    <row r="13347" customFormat="false" ht="15.75" hidden="false" customHeight="false" outlineLevel="0" collapsed="false">
      <c r="A13347" s="6" t="n">
        <f aca="false">DATE(2026,8,15)</f>
        <v>46249</v>
      </c>
      <c r="B13347" s="4" t="s">
        <v>13</v>
      </c>
      <c r="C13347" s="4" t="n">
        <v>11</v>
      </c>
      <c r="D13347" s="4" t="n">
        <v>7</v>
      </c>
      <c r="E13347" s="4" t="s">
        <v>5083</v>
      </c>
      <c r="F13347" s="4" t="n">
        <v>4</v>
      </c>
      <c r="G13347" s="4" t="n">
        <v>16</v>
      </c>
      <c r="H13347" s="4" t="n">
        <v>4</v>
      </c>
      <c r="I13347" s="4" t="str">
        <v>×</v>
      </c>
      <c r="J13347" s="4"/>
      <c r="K13347" s="4"/>
      <c r="L13347" s="4"/>
      <c r="M13347" s="7" t="s">
        <v>6556</v>
      </c>
    </row>
    <row r="13348" customFormat="false" ht="15.75" hidden="false" customHeight="false" outlineLevel="0" collapsed="false">
      <c r="A13348" s="6" t="n">
        <f aca="false">DATE(2026,8,15)</f>
        <v>46249</v>
      </c>
      <c r="B13348" s="4" t="s">
        <v>13</v>
      </c>
      <c r="C13348" s="4" t="n">
        <v>11</v>
      </c>
      <c r="D13348" s="4" t="n">
        <v>8</v>
      </c>
      <c r="E13348" s="4" t="s">
        <v>6306</v>
      </c>
      <c r="F13348" s="4" t="n">
        <v>6</v>
      </c>
      <c r="G13348" s="4" t="n">
        <v>13</v>
      </c>
      <c r="H13348" s="4" t="n">
        <v>4</v>
      </c>
      <c r="I13348" s="4" t="str">
        <v>×</v>
      </c>
      <c r="J13348" s="4"/>
      <c r="K13348" s="4"/>
      <c r="L13348" s="4"/>
      <c r="M13348" s="7" t="s">
        <v>6556</v>
      </c>
    </row>
    <row r="13349" customFormat="false" ht="15.75" hidden="false" customHeight="false" outlineLevel="0" collapsed="false">
      <c r="A13349" s="6" t="n">
        <f aca="false">DATE(2026,8,15)</f>
        <v>46249</v>
      </c>
      <c r="B13349" s="4" t="s">
        <v>13</v>
      </c>
      <c r="C13349" s="4" t="n">
        <v>11</v>
      </c>
      <c r="D13349" s="4" t="n">
        <v>9</v>
      </c>
      <c r="E13349" s="4" t="s">
        <v>4483</v>
      </c>
      <c r="F13349" s="4" t="n">
        <v>6</v>
      </c>
      <c r="G13349" s="4" t="n">
        <v>14</v>
      </c>
      <c r="H13349" s="4" t="n">
        <v>1</v>
      </c>
      <c r="I13349" s="4" t="str">
        <v>○</v>
      </c>
      <c r="J13349" s="4" t="n">
        <v>550</v>
      </c>
      <c r="K13349" s="4"/>
      <c r="L13349" s="4"/>
      <c r="M13349" s="7" t="s">
        <v>6556</v>
      </c>
    </row>
    <row r="13350" customFormat="false" ht="15.75" hidden="false" customHeight="false" outlineLevel="0" collapsed="false">
      <c r="A13350" s="6" t="n">
        <f aca="false">DATE(2026,8,15)</f>
        <v>46249</v>
      </c>
      <c r="B13350" s="4" t="s">
        <v>13</v>
      </c>
      <c r="C13350" s="4" t="n">
        <v>11</v>
      </c>
      <c r="D13350" s="4" t="n">
        <v>10</v>
      </c>
      <c r="E13350" s="4" t="s">
        <v>151</v>
      </c>
      <c r="F13350" s="4" t="n">
        <v>23</v>
      </c>
      <c r="G13350" s="4" t="n">
        <v>5</v>
      </c>
      <c r="H13350" s="4" t="n">
        <v>2</v>
      </c>
      <c r="I13350" s="4" t="str">
        <v>○</v>
      </c>
      <c r="J13350" s="4" t="n">
        <v>150</v>
      </c>
      <c r="K13350" s="4"/>
      <c r="L13350" s="4"/>
      <c r="M13350" s="7" t="s">
        <v>6556</v>
      </c>
    </row>
    <row r="13351" customFormat="false" ht="15.75" hidden="false" customHeight="false" outlineLevel="0" collapsed="false">
      <c r="A13351" s="6" t="n">
        <f aca="false">DATE(2026,8,15)</f>
        <v>46249</v>
      </c>
      <c r="B13351" s="4" t="s">
        <v>13</v>
      </c>
      <c r="C13351" s="4" t="n">
        <v>11</v>
      </c>
      <c r="D13351" s="4" t="n">
        <v>11</v>
      </c>
      <c r="E13351" s="4" t="s">
        <v>6675</v>
      </c>
      <c r="F13351" s="4" t="n">
        <v>29</v>
      </c>
      <c r="G13351" s="4" t="n">
        <v>3</v>
      </c>
      <c r="H13351" s="4" t="n">
        <v>4</v>
      </c>
      <c r="I13351" s="4" t="str">
        <v>×</v>
      </c>
      <c r="J13351" s="4"/>
      <c r="K13351" s="4"/>
      <c r="L13351" s="4"/>
      <c r="M13351" s="7" t="s">
        <v>6556</v>
      </c>
    </row>
    <row r="13352" customFormat="false" ht="15.75" hidden="false" customHeight="false" outlineLevel="0" collapsed="false">
      <c r="A13352" s="6" t="n">
        <f aca="false">DATE(2026,8,15)</f>
        <v>46249</v>
      </c>
      <c r="B13352" s="4" t="s">
        <v>13</v>
      </c>
      <c r="C13352" s="4" t="n">
        <v>11</v>
      </c>
      <c r="D13352" s="4" t="n">
        <v>12</v>
      </c>
      <c r="E13352" s="4" t="s">
        <v>6676</v>
      </c>
      <c r="F13352" s="4" t="n">
        <v>23</v>
      </c>
      <c r="G13352" s="4" t="n">
        <v>6</v>
      </c>
      <c r="H13352" s="4" t="n">
        <v>4</v>
      </c>
      <c r="I13352" s="4" t="str">
        <v>×</v>
      </c>
      <c r="J13352" s="4"/>
      <c r="K13352" s="4"/>
      <c r="L13352" s="4"/>
      <c r="M13352" s="7" t="s">
        <v>6556</v>
      </c>
    </row>
    <row r="13353" customFormat="false" ht="15.75" hidden="false" customHeight="false" outlineLevel="0" collapsed="false">
      <c r="A13353" s="6" t="n">
        <f aca="false">DATE(2026,8,15)</f>
        <v>46249</v>
      </c>
      <c r="B13353" s="4" t="s">
        <v>13</v>
      </c>
      <c r="C13353" s="4" t="n">
        <v>11</v>
      </c>
      <c r="D13353" s="4" t="n">
        <v>13</v>
      </c>
      <c r="E13353" s="4" t="s">
        <v>5814</v>
      </c>
      <c r="F13353" s="4" t="n">
        <v>6</v>
      </c>
      <c r="G13353" s="4" t="n">
        <v>15</v>
      </c>
      <c r="H13353" s="4" t="n">
        <v>4</v>
      </c>
      <c r="I13353" s="4" t="str">
        <v>×</v>
      </c>
      <c r="J13353" s="4"/>
      <c r="K13353" s="4"/>
      <c r="L13353" s="4"/>
      <c r="M13353" s="7" t="s">
        <v>6556</v>
      </c>
    </row>
    <row r="13354" customFormat="false" ht="15.75" hidden="false" customHeight="false" outlineLevel="0" collapsed="false">
      <c r="A13354" s="6" t="n">
        <f aca="false">DATE(2026,8,15)</f>
        <v>46249</v>
      </c>
      <c r="B13354" s="4" t="s">
        <v>13</v>
      </c>
      <c r="C13354" s="4" t="n">
        <v>11</v>
      </c>
      <c r="D13354" s="4" t="n">
        <v>14</v>
      </c>
      <c r="E13354" s="4" t="s">
        <v>6302</v>
      </c>
      <c r="F13354" s="4" t="n">
        <v>2</v>
      </c>
      <c r="G13354" s="4" t="n">
        <v>18</v>
      </c>
      <c r="H13354" s="4" t="n">
        <v>4</v>
      </c>
      <c r="I13354" s="4" t="str">
        <v>×</v>
      </c>
      <c r="J13354" s="4"/>
      <c r="K13354" s="4"/>
      <c r="L13354" s="4"/>
      <c r="M13354" s="7" t="s">
        <v>6556</v>
      </c>
    </row>
    <row r="13355" customFormat="false" ht="15.75" hidden="false" customHeight="false" outlineLevel="0" collapsed="false">
      <c r="A13355" s="6" t="n">
        <f aca="false">DATE(2026,8,15)</f>
        <v>46249</v>
      </c>
      <c r="B13355" s="4" t="s">
        <v>13</v>
      </c>
      <c r="C13355" s="4" t="n">
        <v>11</v>
      </c>
      <c r="D13355" s="4" t="n">
        <v>15</v>
      </c>
      <c r="E13355" s="4" t="s">
        <v>3012</v>
      </c>
      <c r="F13355" s="4" t="n">
        <v>10</v>
      </c>
      <c r="G13355" s="4" t="n">
        <v>10</v>
      </c>
      <c r="H13355" s="4" t="n">
        <v>4</v>
      </c>
      <c r="I13355" s="4" t="str">
        <v>×</v>
      </c>
      <c r="J13355" s="4"/>
      <c r="K13355" s="4"/>
      <c r="L13355" s="4"/>
      <c r="M13355" s="7" t="s">
        <v>6556</v>
      </c>
    </row>
    <row r="13356" customFormat="false" ht="15.75" hidden="false" customHeight="false" outlineLevel="0" collapsed="false">
      <c r="A13356" s="6" t="n">
        <f aca="false">DATE(2026,8,15)</f>
        <v>46249</v>
      </c>
      <c r="B13356" s="4" t="s">
        <v>13</v>
      </c>
      <c r="C13356" s="4" t="n">
        <v>11</v>
      </c>
      <c r="D13356" s="4" t="n">
        <v>16</v>
      </c>
      <c r="E13356" s="4" t="s">
        <v>145</v>
      </c>
      <c r="F13356" s="4" t="n">
        <v>15</v>
      </c>
      <c r="G13356" s="4" t="n">
        <v>7</v>
      </c>
      <c r="H13356" s="4" t="n">
        <v>4</v>
      </c>
      <c r="I13356" s="4" t="str">
        <v>×</v>
      </c>
      <c r="J13356" s="4"/>
      <c r="K13356" s="4"/>
      <c r="L13356" s="4"/>
      <c r="M13356" s="7" t="s">
        <v>6556</v>
      </c>
    </row>
    <row r="13357" customFormat="false" ht="15.75" hidden="false" customHeight="false" outlineLevel="0" collapsed="false">
      <c r="A13357" s="6" t="n">
        <f aca="false">DATE(2026,8,15)</f>
        <v>46249</v>
      </c>
      <c r="B13357" s="4" t="s">
        <v>13</v>
      </c>
      <c r="C13357" s="4" t="n">
        <v>11</v>
      </c>
      <c r="D13357" s="4" t="n">
        <v>17</v>
      </c>
      <c r="E13357" s="4" t="s">
        <v>4671</v>
      </c>
      <c r="F13357" s="4" t="n">
        <v>3</v>
      </c>
      <c r="G13357" s="4" t="n">
        <v>17</v>
      </c>
      <c r="H13357" s="4" t="n">
        <v>4</v>
      </c>
      <c r="I13357" s="4" t="str">
        <v>×</v>
      </c>
      <c r="J13357" s="4"/>
      <c r="K13357" s="4"/>
      <c r="L13357" s="4"/>
      <c r="M13357" s="7" t="s">
        <v>6556</v>
      </c>
    </row>
    <row r="13358" customFormat="false" ht="15.75" hidden="false" customHeight="false" outlineLevel="0" collapsed="false">
      <c r="A13358" s="6" t="n">
        <f aca="false">DATE(2026,8,15)</f>
        <v>46249</v>
      </c>
      <c r="B13358" s="4" t="s">
        <v>13</v>
      </c>
      <c r="C13358" s="4" t="n">
        <v>11</v>
      </c>
      <c r="D13358" s="4" t="n">
        <v>18</v>
      </c>
      <c r="E13358" s="4" t="s">
        <v>965</v>
      </c>
      <c r="F13358" s="4" t="n">
        <v>50</v>
      </c>
      <c r="G13358" s="4" t="n">
        <v>2</v>
      </c>
      <c r="H13358" s="4" t="n">
        <v>3</v>
      </c>
      <c r="I13358" s="4" t="str">
        <v>○</v>
      </c>
      <c r="J13358" s="4" t="n">
        <v>130</v>
      </c>
      <c r="K13358" s="4"/>
      <c r="L13358" s="4"/>
      <c r="M13358" s="7" t="s">
        <v>6556</v>
      </c>
    </row>
    <row r="13359" customFormat="false" ht="15.75" hidden="false" customHeight="false" outlineLevel="0" collapsed="false">
      <c r="A13359" s="6" t="n">
        <f aca="false">DATE(2026,8,15)</f>
        <v>46249</v>
      </c>
      <c r="B13359" s="4" t="s">
        <v>13</v>
      </c>
      <c r="C13359" s="4" t="n">
        <v>12</v>
      </c>
      <c r="D13359" s="4" t="n">
        <v>1</v>
      </c>
      <c r="E13359" s="4" t="s">
        <v>647</v>
      </c>
      <c r="F13359" s="4" t="n">
        <v>23</v>
      </c>
      <c r="G13359" s="4" t="n">
        <v>4</v>
      </c>
      <c r="H13359" s="4" t="n">
        <v>4</v>
      </c>
      <c r="I13359" s="4" t="str">
        <v>×</v>
      </c>
      <c r="J13359" s="4"/>
      <c r="K13359" s="4"/>
      <c r="L13359" s="4"/>
      <c r="M13359" s="7" t="s">
        <v>6556</v>
      </c>
    </row>
    <row r="13360" customFormat="false" ht="15.75" hidden="false" customHeight="false" outlineLevel="0" collapsed="false">
      <c r="A13360" s="6" t="n">
        <f aca="false">DATE(2026,8,15)</f>
        <v>46249</v>
      </c>
      <c r="B13360" s="4" t="s">
        <v>13</v>
      </c>
      <c r="C13360" s="4" t="n">
        <v>12</v>
      </c>
      <c r="D13360" s="4" t="n">
        <v>2</v>
      </c>
      <c r="E13360" s="4" t="s">
        <v>5254</v>
      </c>
      <c r="F13360" s="4" t="n">
        <v>10</v>
      </c>
      <c r="G13360" s="4" t="n">
        <v>9</v>
      </c>
      <c r="H13360" s="4" t="n">
        <v>4</v>
      </c>
      <c r="I13360" s="4" t="str">
        <v>×</v>
      </c>
      <c r="J13360" s="4"/>
      <c r="K13360" s="4"/>
      <c r="L13360" s="4"/>
      <c r="M13360" s="7" t="s">
        <v>6556</v>
      </c>
    </row>
    <row r="13361" customFormat="false" ht="15.75" hidden="false" customHeight="false" outlineLevel="0" collapsed="false">
      <c r="A13361" s="6" t="n">
        <f aca="false">DATE(2026,8,15)</f>
        <v>46249</v>
      </c>
      <c r="B13361" s="4" t="s">
        <v>13</v>
      </c>
      <c r="C13361" s="4" t="n">
        <v>12</v>
      </c>
      <c r="D13361" s="4" t="n">
        <v>3</v>
      </c>
      <c r="E13361" s="4" t="s">
        <v>6677</v>
      </c>
      <c r="F13361" s="4" t="n">
        <v>4</v>
      </c>
      <c r="G13361" s="4" t="n">
        <v>14</v>
      </c>
      <c r="H13361" s="4" t="n">
        <v>4</v>
      </c>
      <c r="I13361" s="4" t="str">
        <v>×</v>
      </c>
      <c r="J13361" s="4"/>
      <c r="K13361" s="4"/>
      <c r="L13361" s="4"/>
      <c r="M13361" s="7" t="s">
        <v>6556</v>
      </c>
    </row>
    <row r="13362" customFormat="false" ht="15.75" hidden="false" customHeight="false" outlineLevel="0" collapsed="false">
      <c r="A13362" s="6" t="n">
        <f aca="false">DATE(2026,8,15)</f>
        <v>46249</v>
      </c>
      <c r="B13362" s="4" t="s">
        <v>13</v>
      </c>
      <c r="C13362" s="4" t="n">
        <v>12</v>
      </c>
      <c r="D13362" s="4" t="n">
        <v>4</v>
      </c>
      <c r="E13362" s="4" t="s">
        <v>6678</v>
      </c>
      <c r="F13362" s="4" t="n">
        <v>17</v>
      </c>
      <c r="G13362" s="4" t="n">
        <v>5</v>
      </c>
      <c r="H13362" s="4" t="n">
        <v>1</v>
      </c>
      <c r="I13362" s="4" t="str">
        <v>○</v>
      </c>
      <c r="J13362" s="4" t="n">
        <v>320</v>
      </c>
      <c r="K13362" s="4"/>
      <c r="L13362" s="4"/>
      <c r="M13362" s="7" t="s">
        <v>6556</v>
      </c>
    </row>
    <row r="13363" customFormat="false" ht="15.75" hidden="false" customHeight="false" outlineLevel="0" collapsed="false">
      <c r="A13363" s="6" t="n">
        <f aca="false">DATE(2026,8,15)</f>
        <v>46249</v>
      </c>
      <c r="B13363" s="4" t="s">
        <v>13</v>
      </c>
      <c r="C13363" s="4" t="n">
        <v>12</v>
      </c>
      <c r="D13363" s="4" t="n">
        <v>5</v>
      </c>
      <c r="E13363" s="4" t="s">
        <v>4021</v>
      </c>
      <c r="F13363" s="4" t="n">
        <v>13</v>
      </c>
      <c r="G13363" s="4" t="n">
        <v>6</v>
      </c>
      <c r="H13363" s="4" t="n">
        <v>3</v>
      </c>
      <c r="I13363" s="4" t="str">
        <v>○</v>
      </c>
      <c r="J13363" s="4" t="n">
        <v>420</v>
      </c>
      <c r="K13363" s="4"/>
      <c r="L13363" s="4"/>
      <c r="M13363" s="7" t="s">
        <v>6556</v>
      </c>
    </row>
    <row r="13364" customFormat="false" ht="15.75" hidden="false" customHeight="false" outlineLevel="0" collapsed="false">
      <c r="A13364" s="6" t="n">
        <f aca="false">DATE(2026,8,15)</f>
        <v>46249</v>
      </c>
      <c r="B13364" s="4" t="s">
        <v>13</v>
      </c>
      <c r="C13364" s="4" t="n">
        <v>12</v>
      </c>
      <c r="D13364" s="4" t="n">
        <v>6</v>
      </c>
      <c r="E13364" s="4" t="s">
        <v>5752</v>
      </c>
      <c r="F13364" s="4" t="n">
        <v>13</v>
      </c>
      <c r="G13364" s="4" t="n">
        <v>7</v>
      </c>
      <c r="H13364" s="4" t="n">
        <v>4</v>
      </c>
      <c r="I13364" s="4" t="str">
        <v>×</v>
      </c>
      <c r="J13364" s="4"/>
      <c r="K13364" s="4"/>
      <c r="L13364" s="4"/>
      <c r="M13364" s="7" t="s">
        <v>6556</v>
      </c>
    </row>
    <row r="13365" customFormat="false" ht="15.75" hidden="false" customHeight="false" outlineLevel="0" collapsed="false">
      <c r="A13365" s="6" t="n">
        <f aca="false">DATE(2026,8,15)</f>
        <v>46249</v>
      </c>
      <c r="B13365" s="4" t="s">
        <v>13</v>
      </c>
      <c r="C13365" s="4" t="n">
        <v>12</v>
      </c>
      <c r="D13365" s="4" t="n">
        <v>7</v>
      </c>
      <c r="E13365" s="4" t="s">
        <v>6679</v>
      </c>
      <c r="F13365" s="4" t="n">
        <v>10</v>
      </c>
      <c r="G13365" s="4" t="n">
        <v>10</v>
      </c>
      <c r="H13365" s="4" t="n">
        <v>4</v>
      </c>
      <c r="I13365" s="4" t="str">
        <v>×</v>
      </c>
      <c r="J13365" s="4"/>
      <c r="K13365" s="4"/>
      <c r="L13365" s="4"/>
      <c r="M13365" s="7" t="s">
        <v>6556</v>
      </c>
    </row>
    <row r="13366" customFormat="false" ht="15.75" hidden="false" customHeight="false" outlineLevel="0" collapsed="false">
      <c r="A13366" s="6" t="n">
        <f aca="false">DATE(2026,8,15)</f>
        <v>46249</v>
      </c>
      <c r="B13366" s="4" t="s">
        <v>13</v>
      </c>
      <c r="C13366" s="4" t="n">
        <v>12</v>
      </c>
      <c r="D13366" s="4" t="n">
        <v>8</v>
      </c>
      <c r="E13366" s="4" t="s">
        <v>4089</v>
      </c>
      <c r="F13366" s="4" t="n">
        <v>29</v>
      </c>
      <c r="G13366" s="4" t="n">
        <v>3</v>
      </c>
      <c r="H13366" s="4" t="n">
        <v>4</v>
      </c>
      <c r="I13366" s="4" t="str">
        <v>×</v>
      </c>
      <c r="J13366" s="4"/>
      <c r="K13366" s="4"/>
      <c r="L13366" s="4"/>
      <c r="M13366" s="7" t="s">
        <v>6556</v>
      </c>
    </row>
    <row r="13367" customFormat="false" ht="15.75" hidden="false" customHeight="false" outlineLevel="0" collapsed="false">
      <c r="A13367" s="6" t="n">
        <f aca="false">DATE(2026,8,15)</f>
        <v>46249</v>
      </c>
      <c r="B13367" s="4" t="s">
        <v>13</v>
      </c>
      <c r="C13367" s="4" t="n">
        <v>12</v>
      </c>
      <c r="D13367" s="4" t="n">
        <v>9</v>
      </c>
      <c r="E13367" s="4" t="s">
        <v>4102</v>
      </c>
      <c r="F13367" s="4" t="n">
        <v>1</v>
      </c>
      <c r="G13367" s="4" t="n">
        <v>18</v>
      </c>
      <c r="H13367" s="4" t="n">
        <v>4</v>
      </c>
      <c r="I13367" s="4" t="str">
        <v>×</v>
      </c>
      <c r="J13367" s="4"/>
      <c r="K13367" s="4"/>
      <c r="L13367" s="4"/>
      <c r="M13367" s="7" t="s">
        <v>6556</v>
      </c>
    </row>
    <row r="13368" customFormat="false" ht="15.75" hidden="false" customHeight="false" outlineLevel="0" collapsed="false">
      <c r="A13368" s="6" t="n">
        <f aca="false">DATE(2026,8,15)</f>
        <v>46249</v>
      </c>
      <c r="B13368" s="4" t="s">
        <v>13</v>
      </c>
      <c r="C13368" s="4" t="n">
        <v>12</v>
      </c>
      <c r="D13368" s="4" t="n">
        <v>10</v>
      </c>
      <c r="E13368" s="4" t="s">
        <v>2754</v>
      </c>
      <c r="F13368" s="4" t="n">
        <v>6</v>
      </c>
      <c r="G13368" s="4" t="n">
        <v>13</v>
      </c>
      <c r="H13368" s="4" t="n">
        <v>4</v>
      </c>
      <c r="I13368" s="4" t="str">
        <v>×</v>
      </c>
      <c r="J13368" s="4"/>
      <c r="K13368" s="4"/>
      <c r="L13368" s="4"/>
      <c r="M13368" s="7" t="s">
        <v>6556</v>
      </c>
    </row>
    <row r="13369" customFormat="false" ht="15.75" hidden="false" customHeight="false" outlineLevel="0" collapsed="false">
      <c r="A13369" s="6" t="n">
        <f aca="false">DATE(2026,8,15)</f>
        <v>46249</v>
      </c>
      <c r="B13369" s="4" t="s">
        <v>13</v>
      </c>
      <c r="C13369" s="4" t="n">
        <v>12</v>
      </c>
      <c r="D13369" s="4" t="n">
        <v>11</v>
      </c>
      <c r="E13369" s="4" t="s">
        <v>853</v>
      </c>
      <c r="F13369" s="4" t="n">
        <v>3</v>
      </c>
      <c r="G13369" s="4" t="n">
        <v>16</v>
      </c>
      <c r="H13369" s="4" t="n">
        <v>4</v>
      </c>
      <c r="I13369" s="4" t="str">
        <v>×</v>
      </c>
      <c r="J13369" s="4"/>
      <c r="K13369" s="4"/>
      <c r="L13369" s="4"/>
      <c r="M13369" s="7" t="s">
        <v>6556</v>
      </c>
    </row>
    <row r="13370" customFormat="false" ht="15.75" hidden="false" customHeight="false" outlineLevel="0" collapsed="false">
      <c r="A13370" s="6" t="n">
        <f aca="false">DATE(2026,8,15)</f>
        <v>46249</v>
      </c>
      <c r="B13370" s="4" t="s">
        <v>13</v>
      </c>
      <c r="C13370" s="4" t="n">
        <v>12</v>
      </c>
      <c r="D13370" s="4" t="n">
        <v>12</v>
      </c>
      <c r="E13370" s="4" t="s">
        <v>6184</v>
      </c>
      <c r="F13370" s="4" t="n">
        <v>8</v>
      </c>
      <c r="G13370" s="4" t="n">
        <v>11</v>
      </c>
      <c r="H13370" s="4" t="n">
        <v>4</v>
      </c>
      <c r="I13370" s="4" t="str">
        <v>×</v>
      </c>
      <c r="J13370" s="4"/>
      <c r="K13370" s="4"/>
      <c r="L13370" s="4"/>
      <c r="M13370" s="7" t="s">
        <v>6556</v>
      </c>
    </row>
    <row r="13371" customFormat="false" ht="15.75" hidden="false" customHeight="false" outlineLevel="0" collapsed="false">
      <c r="A13371" s="6" t="n">
        <f aca="false">DATE(2026,8,15)</f>
        <v>46249</v>
      </c>
      <c r="B13371" s="4" t="s">
        <v>13</v>
      </c>
      <c r="C13371" s="4" t="n">
        <v>12</v>
      </c>
      <c r="D13371" s="4" t="n">
        <v>13</v>
      </c>
      <c r="E13371" s="4" t="s">
        <v>1001</v>
      </c>
      <c r="F13371" s="4" t="n">
        <v>41</v>
      </c>
      <c r="G13371" s="4" t="n">
        <v>2</v>
      </c>
      <c r="H13371" s="4" t="n">
        <v>2</v>
      </c>
      <c r="I13371" s="4" t="str">
        <v>○</v>
      </c>
      <c r="J13371" s="4" t="n">
        <v>170</v>
      </c>
      <c r="K13371" s="4"/>
      <c r="L13371" s="4"/>
      <c r="M13371" s="7" t="s">
        <v>6556</v>
      </c>
    </row>
    <row r="13372" customFormat="false" ht="15.75" hidden="false" customHeight="false" outlineLevel="0" collapsed="false">
      <c r="A13372" s="6" t="n">
        <f aca="false">DATE(2026,8,15)</f>
        <v>46249</v>
      </c>
      <c r="B13372" s="4" t="s">
        <v>13</v>
      </c>
      <c r="C13372" s="4" t="n">
        <v>12</v>
      </c>
      <c r="D13372" s="4" t="n">
        <v>14</v>
      </c>
      <c r="E13372" s="4" t="s">
        <v>6680</v>
      </c>
      <c r="F13372" s="4" t="n">
        <v>8</v>
      </c>
      <c r="G13372" s="4" t="n">
        <v>12</v>
      </c>
      <c r="H13372" s="4" t="n">
        <v>4</v>
      </c>
      <c r="I13372" s="4" t="str">
        <v>×</v>
      </c>
      <c r="J13372" s="4"/>
      <c r="K13372" s="4"/>
      <c r="L13372" s="4"/>
      <c r="M13372" s="7" t="s">
        <v>6556</v>
      </c>
    </row>
    <row r="13373" customFormat="false" ht="15.75" hidden="false" customHeight="false" outlineLevel="0" collapsed="false">
      <c r="A13373" s="6" t="n">
        <f aca="false">DATE(2026,8,15)</f>
        <v>46249</v>
      </c>
      <c r="B13373" s="4" t="s">
        <v>13</v>
      </c>
      <c r="C13373" s="4" t="n">
        <v>12</v>
      </c>
      <c r="D13373" s="4" t="n">
        <v>15</v>
      </c>
      <c r="E13373" s="4" t="s">
        <v>1404</v>
      </c>
      <c r="F13373" s="4" t="n">
        <v>52</v>
      </c>
      <c r="G13373" s="4" t="n">
        <v>1</v>
      </c>
      <c r="H13373" s="4" t="n">
        <v>4</v>
      </c>
      <c r="I13373" s="4" t="str">
        <v>×</v>
      </c>
      <c r="J13373" s="4"/>
      <c r="K13373" s="4"/>
      <c r="L13373" s="4"/>
      <c r="M13373" s="7" t="s">
        <v>6556</v>
      </c>
    </row>
    <row r="13374" customFormat="false" ht="15.75" hidden="false" customHeight="false" outlineLevel="0" collapsed="false">
      <c r="A13374" s="6" t="n">
        <f aca="false">DATE(2026,8,15)</f>
        <v>46249</v>
      </c>
      <c r="B13374" s="4" t="s">
        <v>13</v>
      </c>
      <c r="C13374" s="4" t="n">
        <v>12</v>
      </c>
      <c r="D13374" s="4" t="n">
        <v>16</v>
      </c>
      <c r="E13374" s="4" t="s">
        <v>5366</v>
      </c>
      <c r="F13374" s="4" t="n">
        <v>3</v>
      </c>
      <c r="G13374" s="4" t="n">
        <v>17</v>
      </c>
      <c r="H13374" s="4" t="n">
        <v>4</v>
      </c>
      <c r="I13374" s="4" t="str">
        <v>×</v>
      </c>
      <c r="J13374" s="4"/>
      <c r="K13374" s="4"/>
      <c r="L13374" s="4"/>
      <c r="M13374" s="7" t="s">
        <v>6556</v>
      </c>
    </row>
    <row r="13375" customFormat="false" ht="15.75" hidden="false" customHeight="false" outlineLevel="0" collapsed="false">
      <c r="A13375" s="6" t="n">
        <f aca="false">DATE(2026,8,15)</f>
        <v>46249</v>
      </c>
      <c r="B13375" s="4" t="s">
        <v>13</v>
      </c>
      <c r="C13375" s="4" t="n">
        <v>12</v>
      </c>
      <c r="D13375" s="4" t="n">
        <v>17</v>
      </c>
      <c r="E13375" s="4" t="s">
        <v>630</v>
      </c>
      <c r="F13375" s="4" t="n">
        <v>13</v>
      </c>
      <c r="G13375" s="4" t="n">
        <v>8</v>
      </c>
      <c r="H13375" s="4" t="n">
        <v>4</v>
      </c>
      <c r="I13375" s="4" t="str">
        <v>×</v>
      </c>
      <c r="J13375" s="4"/>
      <c r="K13375" s="4"/>
      <c r="L13375" s="4"/>
      <c r="M13375" s="7" t="s">
        <v>6556</v>
      </c>
    </row>
    <row r="13376" customFormat="false" ht="15.75" hidden="false" customHeight="false" outlineLevel="0" collapsed="false">
      <c r="A13376" s="6" t="n">
        <f aca="false">DATE(2026,8,15)</f>
        <v>46249</v>
      </c>
      <c r="B13376" s="4" t="s">
        <v>13</v>
      </c>
      <c r="C13376" s="4" t="n">
        <v>12</v>
      </c>
      <c r="D13376" s="4" t="n">
        <v>18</v>
      </c>
      <c r="E13376" s="4" t="s">
        <v>622</v>
      </c>
      <c r="F13376" s="4" t="n">
        <v>4</v>
      </c>
      <c r="G13376" s="4" t="n">
        <v>15</v>
      </c>
      <c r="H13376" s="4" t="n">
        <v>4</v>
      </c>
      <c r="I13376" s="4" t="str">
        <v>×</v>
      </c>
      <c r="J13376" s="4"/>
      <c r="K13376" s="4"/>
      <c r="L13376" s="4"/>
      <c r="M13376" s="7" t="s">
        <v>6556</v>
      </c>
    </row>
    <row r="13377" customFormat="false" ht="15.75" hidden="false" customHeight="false" outlineLevel="0" collapsed="false">
      <c r="A13377" s="6" t="n">
        <f aca="false">DATE(2026,8,15)</f>
        <v>46249</v>
      </c>
      <c r="B13377" s="4" t="s">
        <v>334</v>
      </c>
      <c r="C13377" s="4" t="n">
        <v>1</v>
      </c>
      <c r="D13377" s="4" t="n">
        <v>1</v>
      </c>
      <c r="E13377" s="4" t="s">
        <v>1258</v>
      </c>
      <c r="F13377" s="4" t="n">
        <v>13</v>
      </c>
      <c r="G13377" s="4" t="n">
        <v>8</v>
      </c>
      <c r="H13377" s="4" t="n">
        <v>3</v>
      </c>
      <c r="I13377" s="4" t="str">
        <v>○</v>
      </c>
      <c r="J13377" s="4" t="n">
        <v>1100</v>
      </c>
      <c r="K13377" s="4"/>
      <c r="L13377" s="4"/>
      <c r="M13377" s="7" t="s">
        <v>6556</v>
      </c>
    </row>
    <row r="13378" customFormat="false" ht="15.75" hidden="false" customHeight="false" outlineLevel="0" collapsed="false">
      <c r="A13378" s="6" t="n">
        <f aca="false">DATE(2026,8,15)</f>
        <v>46249</v>
      </c>
      <c r="B13378" s="4" t="s">
        <v>334</v>
      </c>
      <c r="C13378" s="4" t="n">
        <v>1</v>
      </c>
      <c r="D13378" s="4" t="n">
        <v>2</v>
      </c>
      <c r="E13378" s="4" t="s">
        <v>1263</v>
      </c>
      <c r="F13378" s="4" t="n">
        <v>4</v>
      </c>
      <c r="G13378" s="4" t="n">
        <v>12</v>
      </c>
      <c r="H13378" s="4" t="n">
        <v>4</v>
      </c>
      <c r="I13378" s="4" t="str">
        <v>×</v>
      </c>
      <c r="J13378" s="4"/>
      <c r="K13378" s="4"/>
      <c r="L13378" s="4"/>
      <c r="M13378" s="7" t="s">
        <v>6556</v>
      </c>
    </row>
    <row r="13379" customFormat="false" ht="15.75" hidden="false" customHeight="false" outlineLevel="0" collapsed="false">
      <c r="A13379" s="6" t="n">
        <f aca="false">DATE(2026,8,15)</f>
        <v>46249</v>
      </c>
      <c r="B13379" s="4" t="s">
        <v>334</v>
      </c>
      <c r="C13379" s="4" t="n">
        <v>1</v>
      </c>
      <c r="D13379" s="4" t="n">
        <v>3</v>
      </c>
      <c r="E13379" s="4" t="s">
        <v>830</v>
      </c>
      <c r="F13379" s="4" t="n">
        <v>58</v>
      </c>
      <c r="G13379" s="4" t="n">
        <v>1</v>
      </c>
      <c r="H13379" s="4" t="n">
        <v>1</v>
      </c>
      <c r="I13379" s="4" t="str">
        <v>○</v>
      </c>
      <c r="J13379" s="4" t="n">
        <v>130</v>
      </c>
      <c r="K13379" s="4"/>
      <c r="L13379" s="4"/>
      <c r="M13379" s="7" t="s">
        <v>6556</v>
      </c>
    </row>
    <row r="13380" customFormat="false" ht="15.75" hidden="false" customHeight="false" outlineLevel="0" collapsed="false">
      <c r="A13380" s="6" t="n">
        <f aca="false">DATE(2026,8,15)</f>
        <v>46249</v>
      </c>
      <c r="B13380" s="4" t="s">
        <v>334</v>
      </c>
      <c r="C13380" s="4" t="n">
        <v>1</v>
      </c>
      <c r="D13380" s="4" t="n">
        <v>4</v>
      </c>
      <c r="E13380" s="4" t="s">
        <v>1260</v>
      </c>
      <c r="F13380" s="4" t="n">
        <v>20</v>
      </c>
      <c r="G13380" s="4" t="n">
        <v>5</v>
      </c>
      <c r="H13380" s="4" t="n">
        <v>4</v>
      </c>
      <c r="I13380" s="4" t="str">
        <v>×</v>
      </c>
      <c r="J13380" s="4"/>
      <c r="K13380" s="4"/>
      <c r="L13380" s="4"/>
      <c r="M13380" s="7" t="s">
        <v>6556</v>
      </c>
    </row>
    <row r="13381" customFormat="false" ht="15.75" hidden="false" customHeight="false" outlineLevel="0" collapsed="false">
      <c r="A13381" s="6" t="n">
        <f aca="false">DATE(2026,8,15)</f>
        <v>46249</v>
      </c>
      <c r="B13381" s="4" t="s">
        <v>334</v>
      </c>
      <c r="C13381" s="4" t="n">
        <v>1</v>
      </c>
      <c r="D13381" s="4" t="n">
        <v>5</v>
      </c>
      <c r="E13381" s="4" t="s">
        <v>355</v>
      </c>
      <c r="F13381" s="4" t="n">
        <v>10</v>
      </c>
      <c r="G13381" s="4" t="n">
        <v>10</v>
      </c>
      <c r="H13381" s="4" t="n">
        <v>4</v>
      </c>
      <c r="I13381" s="4" t="str">
        <v>×</v>
      </c>
      <c r="J13381" s="4"/>
      <c r="K13381" s="4"/>
      <c r="L13381" s="4"/>
      <c r="M13381" s="7" t="s">
        <v>6556</v>
      </c>
    </row>
    <row r="13382" customFormat="false" ht="15.75" hidden="false" customHeight="false" outlineLevel="0" collapsed="false">
      <c r="A13382" s="6" t="n">
        <f aca="false">DATE(2026,8,15)</f>
        <v>46249</v>
      </c>
      <c r="B13382" s="4" t="s">
        <v>334</v>
      </c>
      <c r="C13382" s="4" t="n">
        <v>1</v>
      </c>
      <c r="D13382" s="4" t="n">
        <v>6</v>
      </c>
      <c r="E13382" s="4" t="s">
        <v>2184</v>
      </c>
      <c r="F13382" s="4" t="n">
        <v>56</v>
      </c>
      <c r="G13382" s="4" t="n">
        <v>2</v>
      </c>
      <c r="H13382" s="4" t="n">
        <v>4</v>
      </c>
      <c r="I13382" s="4" t="str">
        <v>×</v>
      </c>
      <c r="J13382" s="4"/>
      <c r="K13382" s="4"/>
      <c r="L13382" s="4"/>
      <c r="M13382" s="7" t="s">
        <v>6556</v>
      </c>
    </row>
    <row r="13383" customFormat="false" ht="15.75" hidden="false" customHeight="false" outlineLevel="0" collapsed="false">
      <c r="A13383" s="6" t="n">
        <f aca="false">DATE(2026,8,15)</f>
        <v>46249</v>
      </c>
      <c r="B13383" s="4" t="s">
        <v>334</v>
      </c>
      <c r="C13383" s="4" t="n">
        <v>1</v>
      </c>
      <c r="D13383" s="4" t="n">
        <v>7</v>
      </c>
      <c r="E13383" s="4" t="s">
        <v>828</v>
      </c>
      <c r="F13383" s="4" t="n">
        <v>17</v>
      </c>
      <c r="G13383" s="4" t="n">
        <v>6</v>
      </c>
      <c r="H13383" s="4" t="n">
        <v>4</v>
      </c>
      <c r="I13383" s="4" t="str">
        <v>×</v>
      </c>
      <c r="J13383" s="4"/>
      <c r="K13383" s="4"/>
      <c r="L13383" s="4"/>
      <c r="M13383" s="7" t="s">
        <v>6556</v>
      </c>
    </row>
    <row r="13384" customFormat="false" ht="15.75" hidden="false" customHeight="false" outlineLevel="0" collapsed="false">
      <c r="A13384" s="6" t="n">
        <f aca="false">DATE(2026,8,15)</f>
        <v>46249</v>
      </c>
      <c r="B13384" s="4" t="s">
        <v>334</v>
      </c>
      <c r="C13384" s="4" t="n">
        <v>1</v>
      </c>
      <c r="D13384" s="4" t="n">
        <v>8</v>
      </c>
      <c r="E13384" s="4" t="s">
        <v>3364</v>
      </c>
      <c r="F13384" s="4" t="n">
        <v>4</v>
      </c>
      <c r="G13384" s="4" t="n">
        <v>13</v>
      </c>
      <c r="H13384" s="4" t="n">
        <v>4</v>
      </c>
      <c r="I13384" s="4" t="str">
        <v>×</v>
      </c>
      <c r="J13384" s="4"/>
      <c r="K13384" s="4"/>
      <c r="L13384" s="4"/>
      <c r="M13384" s="7" t="s">
        <v>6556</v>
      </c>
    </row>
    <row r="13385" customFormat="false" ht="15.75" hidden="false" customHeight="false" outlineLevel="0" collapsed="false">
      <c r="A13385" s="6" t="n">
        <f aca="false">DATE(2026,8,15)</f>
        <v>46249</v>
      </c>
      <c r="B13385" s="4" t="s">
        <v>334</v>
      </c>
      <c r="C13385" s="4" t="n">
        <v>1</v>
      </c>
      <c r="D13385" s="4" t="n">
        <v>9</v>
      </c>
      <c r="E13385" s="4" t="s">
        <v>6347</v>
      </c>
      <c r="F13385" s="4" t="n">
        <v>17</v>
      </c>
      <c r="G13385" s="4" t="n">
        <v>7</v>
      </c>
      <c r="H13385" s="4" t="n">
        <v>4</v>
      </c>
      <c r="I13385" s="4" t="str">
        <v>×</v>
      </c>
      <c r="J13385" s="4"/>
      <c r="K13385" s="4"/>
      <c r="L13385" s="4"/>
      <c r="M13385" s="7" t="s">
        <v>6556</v>
      </c>
    </row>
    <row r="13386" customFormat="false" ht="15.75" hidden="false" customHeight="false" outlineLevel="0" collapsed="false">
      <c r="A13386" s="6" t="n">
        <f aca="false">DATE(2026,8,15)</f>
        <v>46249</v>
      </c>
      <c r="B13386" s="4" t="s">
        <v>334</v>
      </c>
      <c r="C13386" s="4" t="n">
        <v>1</v>
      </c>
      <c r="D13386" s="4" t="n">
        <v>10</v>
      </c>
      <c r="E13386" s="4" t="s">
        <v>3822</v>
      </c>
      <c r="F13386" s="4" t="n">
        <v>8</v>
      </c>
      <c r="G13386" s="4" t="n">
        <v>11</v>
      </c>
      <c r="H13386" s="4" t="n">
        <v>4</v>
      </c>
      <c r="I13386" s="4" t="str">
        <v>×</v>
      </c>
      <c r="J13386" s="4"/>
      <c r="K13386" s="4"/>
      <c r="L13386" s="4"/>
      <c r="M13386" s="7" t="s">
        <v>6556</v>
      </c>
    </row>
    <row r="13387" customFormat="false" ht="15.75" hidden="false" customHeight="false" outlineLevel="0" collapsed="false">
      <c r="A13387" s="6" t="n">
        <f aca="false">DATE(2026,8,15)</f>
        <v>46249</v>
      </c>
      <c r="B13387" s="4" t="s">
        <v>334</v>
      </c>
      <c r="C13387" s="4" t="n">
        <v>1</v>
      </c>
      <c r="D13387" s="4" t="n">
        <v>11</v>
      </c>
      <c r="E13387" s="4" t="s">
        <v>2578</v>
      </c>
      <c r="F13387" s="4" t="n">
        <v>4</v>
      </c>
      <c r="G13387" s="4" t="n">
        <v>14</v>
      </c>
      <c r="H13387" s="4" t="n">
        <v>4</v>
      </c>
      <c r="I13387" s="4" t="str">
        <v>×</v>
      </c>
      <c r="J13387" s="4"/>
      <c r="K13387" s="4"/>
      <c r="L13387" s="4"/>
      <c r="M13387" s="7" t="s">
        <v>6556</v>
      </c>
    </row>
    <row r="13388" customFormat="false" ht="15.75" hidden="false" customHeight="false" outlineLevel="0" collapsed="false">
      <c r="A13388" s="6" t="n">
        <f aca="false">DATE(2026,8,15)</f>
        <v>46249</v>
      </c>
      <c r="B13388" s="4" t="s">
        <v>334</v>
      </c>
      <c r="C13388" s="4" t="n">
        <v>1</v>
      </c>
      <c r="D13388" s="4" t="n">
        <v>12</v>
      </c>
      <c r="E13388" s="4" t="s">
        <v>1285</v>
      </c>
      <c r="F13388" s="4" t="n">
        <v>41</v>
      </c>
      <c r="G13388" s="4" t="n">
        <v>3</v>
      </c>
      <c r="H13388" s="4" t="n">
        <v>2</v>
      </c>
      <c r="I13388" s="4" t="str">
        <v>○</v>
      </c>
      <c r="J13388" s="4" t="n">
        <v>240</v>
      </c>
      <c r="K13388" s="4"/>
      <c r="L13388" s="4"/>
      <c r="M13388" s="7" t="s">
        <v>6556</v>
      </c>
    </row>
    <row r="13389" customFormat="false" ht="15.75" hidden="false" customHeight="false" outlineLevel="0" collapsed="false">
      <c r="A13389" s="6" t="n">
        <f aca="false">DATE(2026,8,15)</f>
        <v>46249</v>
      </c>
      <c r="B13389" s="4" t="s">
        <v>334</v>
      </c>
      <c r="C13389" s="4" t="n">
        <v>1</v>
      </c>
      <c r="D13389" s="4" t="n">
        <v>13</v>
      </c>
      <c r="E13389" s="4" t="s">
        <v>1266</v>
      </c>
      <c r="F13389" s="4" t="n">
        <v>29</v>
      </c>
      <c r="G13389" s="4" t="n">
        <v>4</v>
      </c>
      <c r="H13389" s="4" t="n">
        <v>4</v>
      </c>
      <c r="I13389" s="4" t="str">
        <v>×</v>
      </c>
      <c r="J13389" s="4"/>
      <c r="K13389" s="4"/>
      <c r="L13389" s="4"/>
      <c r="M13389" s="7" t="s">
        <v>6556</v>
      </c>
    </row>
    <row r="13390" customFormat="false" ht="15.75" hidden="false" customHeight="false" outlineLevel="0" collapsed="false">
      <c r="A13390" s="6" t="n">
        <f aca="false">DATE(2026,8,15)</f>
        <v>46249</v>
      </c>
      <c r="B13390" s="4" t="s">
        <v>334</v>
      </c>
      <c r="C13390" s="4" t="n">
        <v>1</v>
      </c>
      <c r="D13390" s="4" t="n">
        <v>14</v>
      </c>
      <c r="E13390" s="4" t="s">
        <v>359</v>
      </c>
      <c r="F13390" s="4" t="n">
        <v>13</v>
      </c>
      <c r="G13390" s="4" t="n">
        <v>9</v>
      </c>
      <c r="H13390" s="4" t="n">
        <v>4</v>
      </c>
      <c r="I13390" s="4" t="str">
        <v>×</v>
      </c>
      <c r="J13390" s="4"/>
      <c r="K13390" s="4"/>
      <c r="L13390" s="4"/>
      <c r="M13390" s="7" t="s">
        <v>6556</v>
      </c>
    </row>
    <row r="13391" customFormat="false" ht="15.75" hidden="false" customHeight="false" outlineLevel="0" collapsed="false">
      <c r="A13391" s="6" t="n">
        <f aca="false">DATE(2026,8,15)</f>
        <v>46249</v>
      </c>
      <c r="B13391" s="4" t="s">
        <v>334</v>
      </c>
      <c r="C13391" s="4" t="n">
        <v>2</v>
      </c>
      <c r="D13391" s="4" t="n">
        <v>1</v>
      </c>
      <c r="E13391" s="4" t="s">
        <v>6681</v>
      </c>
      <c r="F13391" s="4" t="n">
        <v>10</v>
      </c>
      <c r="G13391" s="4" t="n">
        <v>6</v>
      </c>
      <c r="H13391" s="4" t="n">
        <v>4</v>
      </c>
      <c r="I13391" s="4" t="str">
        <v>×</v>
      </c>
      <c r="J13391" s="4"/>
      <c r="K13391" s="4"/>
      <c r="L13391" s="4"/>
      <c r="M13391" s="7" t="s">
        <v>6556</v>
      </c>
    </row>
    <row r="13392" customFormat="false" ht="15.75" hidden="false" customHeight="false" outlineLevel="0" collapsed="false">
      <c r="A13392" s="6" t="n">
        <f aca="false">DATE(2026,8,15)</f>
        <v>46249</v>
      </c>
      <c r="B13392" s="4" t="s">
        <v>334</v>
      </c>
      <c r="C13392" s="4" t="n">
        <v>2</v>
      </c>
      <c r="D13392" s="4" t="n">
        <v>2</v>
      </c>
      <c r="E13392" s="4" t="s">
        <v>6682</v>
      </c>
      <c r="F13392" s="4" t="n">
        <v>52</v>
      </c>
      <c r="G13392" s="4" t="n">
        <v>3</v>
      </c>
      <c r="H13392" s="4" t="n">
        <v>2</v>
      </c>
      <c r="I13392" s="4" t="str">
        <v>○</v>
      </c>
      <c r="J13392" s="4" t="n">
        <v>160</v>
      </c>
      <c r="K13392" s="4"/>
      <c r="L13392" s="4"/>
      <c r="M13392" s="7" t="s">
        <v>6556</v>
      </c>
    </row>
    <row r="13393" customFormat="false" ht="15.75" hidden="false" customHeight="false" outlineLevel="0" collapsed="false">
      <c r="A13393" s="6" t="n">
        <f aca="false">DATE(2026,8,15)</f>
        <v>46249</v>
      </c>
      <c r="B13393" s="4" t="s">
        <v>334</v>
      </c>
      <c r="C13393" s="4" t="n">
        <v>2</v>
      </c>
      <c r="D13393" s="4" t="n">
        <v>3</v>
      </c>
      <c r="E13393" s="4" t="s">
        <v>1243</v>
      </c>
      <c r="F13393" s="4" t="n">
        <v>75</v>
      </c>
      <c r="G13393" s="4" t="n">
        <v>1</v>
      </c>
      <c r="H13393" s="4" t="n">
        <v>4</v>
      </c>
      <c r="I13393" s="4" t="str">
        <v>×</v>
      </c>
      <c r="J13393" s="4"/>
      <c r="K13393" s="4"/>
      <c r="L13393" s="4"/>
      <c r="M13393" s="7" t="s">
        <v>6556</v>
      </c>
    </row>
    <row r="13394" customFormat="false" ht="15.75" hidden="false" customHeight="false" outlineLevel="0" collapsed="false">
      <c r="A13394" s="6" t="n">
        <f aca="false">DATE(2026,8,15)</f>
        <v>46249</v>
      </c>
      <c r="B13394" s="4" t="s">
        <v>334</v>
      </c>
      <c r="C13394" s="4" t="n">
        <v>2</v>
      </c>
      <c r="D13394" s="4" t="n">
        <v>4</v>
      </c>
      <c r="E13394" s="4" t="s">
        <v>3706</v>
      </c>
      <c r="F13394" s="4" t="n">
        <v>8</v>
      </c>
      <c r="G13394" s="4" t="n">
        <v>8</v>
      </c>
      <c r="H13394" s="4" t="n">
        <v>4</v>
      </c>
      <c r="I13394" s="4" t="str">
        <v>×</v>
      </c>
      <c r="J13394" s="4"/>
      <c r="K13394" s="4"/>
      <c r="L13394" s="4"/>
      <c r="M13394" s="7" t="s">
        <v>6556</v>
      </c>
    </row>
    <row r="13395" customFormat="false" ht="15.75" hidden="false" customHeight="false" outlineLevel="0" collapsed="false">
      <c r="A13395" s="6" t="n">
        <f aca="false">DATE(2026,8,15)</f>
        <v>46249</v>
      </c>
      <c r="B13395" s="4" t="s">
        <v>334</v>
      </c>
      <c r="C13395" s="4" t="n">
        <v>2</v>
      </c>
      <c r="D13395" s="4" t="n">
        <v>5</v>
      </c>
      <c r="E13395" s="4" t="s">
        <v>838</v>
      </c>
      <c r="F13395" s="4" t="n">
        <v>8</v>
      </c>
      <c r="G13395" s="4" t="n">
        <v>9</v>
      </c>
      <c r="H13395" s="4" t="n">
        <v>4</v>
      </c>
      <c r="I13395" s="4" t="str">
        <v>×</v>
      </c>
      <c r="J13395" s="4"/>
      <c r="K13395" s="4"/>
      <c r="L13395" s="4"/>
      <c r="M13395" s="7" t="s">
        <v>6556</v>
      </c>
    </row>
    <row r="13396" customFormat="false" ht="15.75" hidden="false" customHeight="false" outlineLevel="0" collapsed="false">
      <c r="A13396" s="6" t="n">
        <f aca="false">DATE(2026,8,15)</f>
        <v>46249</v>
      </c>
      <c r="B13396" s="4" t="s">
        <v>334</v>
      </c>
      <c r="C13396" s="4" t="n">
        <v>2</v>
      </c>
      <c r="D13396" s="4" t="n">
        <v>6</v>
      </c>
      <c r="E13396" s="4" t="s">
        <v>1769</v>
      </c>
      <c r="F13396" s="4" t="n">
        <v>10</v>
      </c>
      <c r="G13396" s="4" t="n">
        <v>7</v>
      </c>
      <c r="H13396" s="4" t="n">
        <v>4</v>
      </c>
      <c r="I13396" s="4" t="str">
        <v>×</v>
      </c>
      <c r="J13396" s="4"/>
      <c r="K13396" s="4"/>
      <c r="L13396" s="4"/>
      <c r="M13396" s="7" t="s">
        <v>6556</v>
      </c>
    </row>
    <row r="13397" customFormat="false" ht="15.75" hidden="false" customHeight="false" outlineLevel="0" collapsed="false">
      <c r="A13397" s="6" t="n">
        <f aca="false">DATE(2026,8,15)</f>
        <v>46249</v>
      </c>
      <c r="B13397" s="4" t="s">
        <v>334</v>
      </c>
      <c r="C13397" s="4" t="n">
        <v>2</v>
      </c>
      <c r="D13397" s="4" t="n">
        <v>7</v>
      </c>
      <c r="E13397" s="4" t="s">
        <v>1773</v>
      </c>
      <c r="F13397" s="4" t="n">
        <v>17</v>
      </c>
      <c r="G13397" s="4" t="n">
        <v>5</v>
      </c>
      <c r="H13397" s="4" t="n">
        <v>4</v>
      </c>
      <c r="I13397" s="4" t="str">
        <v>×</v>
      </c>
      <c r="J13397" s="4"/>
      <c r="K13397" s="4"/>
      <c r="L13397" s="4"/>
      <c r="M13397" s="7" t="s">
        <v>6556</v>
      </c>
    </row>
    <row r="13398" customFormat="false" ht="15.75" hidden="false" customHeight="false" outlineLevel="0" collapsed="false">
      <c r="A13398" s="6" t="n">
        <f aca="false">DATE(2026,8,15)</f>
        <v>46249</v>
      </c>
      <c r="B13398" s="4" t="s">
        <v>334</v>
      </c>
      <c r="C13398" s="4" t="n">
        <v>2</v>
      </c>
      <c r="D13398" s="4" t="n">
        <v>8</v>
      </c>
      <c r="E13398" s="4" t="s">
        <v>1767</v>
      </c>
      <c r="F13398" s="4" t="n">
        <v>34</v>
      </c>
      <c r="G13398" s="4" t="n">
        <v>4</v>
      </c>
      <c r="H13398" s="4" t="n">
        <v>3</v>
      </c>
      <c r="I13398" s="4" t="str">
        <v>○</v>
      </c>
      <c r="J13398" s="4" t="n">
        <v>210</v>
      </c>
      <c r="K13398" s="4"/>
      <c r="L13398" s="4"/>
      <c r="M13398" s="7" t="s">
        <v>6556</v>
      </c>
    </row>
    <row r="13399" customFormat="false" ht="15.75" hidden="false" customHeight="false" outlineLevel="0" collapsed="false">
      <c r="A13399" s="6" t="n">
        <f aca="false">DATE(2026,8,15)</f>
        <v>46249</v>
      </c>
      <c r="B13399" s="4" t="s">
        <v>334</v>
      </c>
      <c r="C13399" s="4" t="n">
        <v>2</v>
      </c>
      <c r="D13399" s="4" t="n">
        <v>9</v>
      </c>
      <c r="E13399" s="4" t="s">
        <v>839</v>
      </c>
      <c r="F13399" s="4" t="n">
        <v>58</v>
      </c>
      <c r="G13399" s="4" t="n">
        <v>2</v>
      </c>
      <c r="H13399" s="4" t="n">
        <v>1</v>
      </c>
      <c r="I13399" s="4" t="str">
        <v>○</v>
      </c>
      <c r="J13399" s="4" t="n">
        <v>110</v>
      </c>
      <c r="K13399" s="4"/>
      <c r="L13399" s="4"/>
      <c r="M13399" s="7" t="s">
        <v>6556</v>
      </c>
    </row>
    <row r="13400" customFormat="false" ht="15.75" hidden="false" customHeight="false" outlineLevel="0" collapsed="false">
      <c r="A13400" s="6" t="n">
        <f aca="false">DATE(2026,8,15)</f>
        <v>46249</v>
      </c>
      <c r="B13400" s="4" t="s">
        <v>334</v>
      </c>
      <c r="C13400" s="4" t="n">
        <v>2</v>
      </c>
      <c r="D13400" s="4" t="n">
        <v>10</v>
      </c>
      <c r="E13400" s="4" t="s">
        <v>6683</v>
      </c>
      <c r="F13400" s="4" t="n">
        <v>6</v>
      </c>
      <c r="G13400" s="4" t="n">
        <v>10</v>
      </c>
      <c r="H13400" s="4" t="n">
        <v>4</v>
      </c>
      <c r="I13400" s="4" t="str">
        <v>×</v>
      </c>
      <c r="J13400" s="4"/>
      <c r="K13400" s="4"/>
      <c r="L13400" s="4"/>
      <c r="M13400" s="7" t="s">
        <v>6556</v>
      </c>
    </row>
    <row r="13401" customFormat="false" ht="15.75" hidden="false" customHeight="false" outlineLevel="0" collapsed="false">
      <c r="A13401" s="6" t="n">
        <f aca="false">DATE(2026,8,15)</f>
        <v>46249</v>
      </c>
      <c r="B13401" s="4" t="s">
        <v>334</v>
      </c>
      <c r="C13401" s="4" t="n">
        <v>3</v>
      </c>
      <c r="D13401" s="4" t="n">
        <v>1</v>
      </c>
      <c r="E13401" s="4" t="s">
        <v>2451</v>
      </c>
      <c r="F13401" s="4" t="n">
        <v>34</v>
      </c>
      <c r="G13401" s="4" t="n">
        <v>4</v>
      </c>
      <c r="H13401" s="4" t="n">
        <v>2</v>
      </c>
      <c r="I13401" s="4" t="str">
        <v>○</v>
      </c>
      <c r="J13401" s="4" t="n">
        <v>240</v>
      </c>
      <c r="K13401" s="4"/>
      <c r="L13401" s="4"/>
      <c r="M13401" s="7" t="s">
        <v>6556</v>
      </c>
    </row>
    <row r="13402" customFormat="false" ht="15.75" hidden="false" customHeight="false" outlineLevel="0" collapsed="false">
      <c r="A13402" s="6" t="n">
        <f aca="false">DATE(2026,8,15)</f>
        <v>46249</v>
      </c>
      <c r="B13402" s="4" t="s">
        <v>334</v>
      </c>
      <c r="C13402" s="4" t="n">
        <v>3</v>
      </c>
      <c r="D13402" s="4" t="n">
        <v>2</v>
      </c>
      <c r="E13402" s="4" t="s">
        <v>3815</v>
      </c>
      <c r="F13402" s="4" t="n">
        <v>20</v>
      </c>
      <c r="G13402" s="4" t="n">
        <v>8</v>
      </c>
      <c r="H13402" s="4" t="n">
        <v>4</v>
      </c>
      <c r="I13402" s="4" t="str">
        <v>×</v>
      </c>
      <c r="J13402" s="4"/>
      <c r="K13402" s="4"/>
      <c r="L13402" s="4"/>
      <c r="M13402" s="7" t="s">
        <v>6556</v>
      </c>
    </row>
    <row r="13403" customFormat="false" ht="15.75" hidden="false" customHeight="false" outlineLevel="0" collapsed="false">
      <c r="A13403" s="6" t="n">
        <f aca="false">DATE(2026,8,15)</f>
        <v>46249</v>
      </c>
      <c r="B13403" s="4" t="s">
        <v>334</v>
      </c>
      <c r="C13403" s="4" t="n">
        <v>3</v>
      </c>
      <c r="D13403" s="4" t="n">
        <v>3</v>
      </c>
      <c r="E13403" s="4" t="s">
        <v>4228</v>
      </c>
      <c r="F13403" s="4" t="n">
        <v>23</v>
      </c>
      <c r="G13403" s="4" t="n">
        <v>6</v>
      </c>
      <c r="H13403" s="4" t="n">
        <v>4</v>
      </c>
      <c r="I13403" s="4" t="str">
        <v>×</v>
      </c>
      <c r="J13403" s="4"/>
      <c r="K13403" s="4"/>
      <c r="L13403" s="4"/>
      <c r="M13403" s="7" t="s">
        <v>6556</v>
      </c>
    </row>
    <row r="13404" customFormat="false" ht="15.75" hidden="false" customHeight="false" outlineLevel="0" collapsed="false">
      <c r="A13404" s="6" t="n">
        <f aca="false">DATE(2026,8,15)</f>
        <v>46249</v>
      </c>
      <c r="B13404" s="4" t="s">
        <v>334</v>
      </c>
      <c r="C13404" s="4" t="n">
        <v>3</v>
      </c>
      <c r="D13404" s="4" t="n">
        <v>4</v>
      </c>
      <c r="E13404" s="4" t="s">
        <v>1735</v>
      </c>
      <c r="F13404" s="4" t="n">
        <v>8</v>
      </c>
      <c r="G13404" s="4" t="n">
        <v>10</v>
      </c>
      <c r="H13404" s="4" t="n">
        <v>4</v>
      </c>
      <c r="I13404" s="4" t="str">
        <v>×</v>
      </c>
      <c r="J13404" s="4"/>
      <c r="K13404" s="4"/>
      <c r="L13404" s="4"/>
      <c r="M13404" s="7" t="s">
        <v>6556</v>
      </c>
    </row>
    <row r="13405" customFormat="false" ht="15.75" hidden="false" customHeight="false" outlineLevel="0" collapsed="false">
      <c r="A13405" s="6" t="n">
        <f aca="false">DATE(2026,8,15)</f>
        <v>46249</v>
      </c>
      <c r="B13405" s="4" t="s">
        <v>334</v>
      </c>
      <c r="C13405" s="4" t="n">
        <v>3</v>
      </c>
      <c r="D13405" s="4" t="n">
        <v>5</v>
      </c>
      <c r="E13405" s="4" t="s">
        <v>2181</v>
      </c>
      <c r="F13405" s="4" t="n">
        <v>8</v>
      </c>
      <c r="G13405" s="4" t="n">
        <v>11</v>
      </c>
      <c r="H13405" s="4" t="n">
        <v>4</v>
      </c>
      <c r="I13405" s="4" t="str">
        <v>×</v>
      </c>
      <c r="J13405" s="4"/>
      <c r="K13405" s="4"/>
      <c r="L13405" s="4"/>
      <c r="M13405" s="7" t="s">
        <v>6556</v>
      </c>
    </row>
    <row r="13406" customFormat="false" ht="15.75" hidden="false" customHeight="false" outlineLevel="0" collapsed="false">
      <c r="A13406" s="6" t="n">
        <f aca="false">DATE(2026,8,15)</f>
        <v>46249</v>
      </c>
      <c r="B13406" s="4" t="s">
        <v>334</v>
      </c>
      <c r="C13406" s="4" t="n">
        <v>3</v>
      </c>
      <c r="D13406" s="4" t="n">
        <v>6</v>
      </c>
      <c r="E13406" s="4" t="s">
        <v>6684</v>
      </c>
      <c r="F13406" s="4" t="n">
        <v>62</v>
      </c>
      <c r="G13406" s="4" t="n">
        <v>1</v>
      </c>
      <c r="H13406" s="4" t="n">
        <v>4</v>
      </c>
      <c r="I13406" s="4" t="str">
        <v>×</v>
      </c>
      <c r="J13406" s="4"/>
      <c r="K13406" s="4"/>
      <c r="L13406" s="4"/>
      <c r="M13406" s="7" t="s">
        <v>6556</v>
      </c>
    </row>
    <row r="13407" customFormat="false" ht="15.75" hidden="false" customHeight="false" outlineLevel="0" collapsed="false">
      <c r="A13407" s="6" t="n">
        <f aca="false">DATE(2026,8,15)</f>
        <v>46249</v>
      </c>
      <c r="B13407" s="4" t="s">
        <v>334</v>
      </c>
      <c r="C13407" s="4" t="n">
        <v>3</v>
      </c>
      <c r="D13407" s="4" t="n">
        <v>7</v>
      </c>
      <c r="E13407" s="4" t="s">
        <v>1726</v>
      </c>
      <c r="F13407" s="4" t="n">
        <v>8</v>
      </c>
      <c r="G13407" s="4" t="n">
        <v>12</v>
      </c>
      <c r="H13407" s="4" t="n">
        <v>4</v>
      </c>
      <c r="I13407" s="4" t="str">
        <v>×</v>
      </c>
      <c r="J13407" s="4"/>
      <c r="K13407" s="4"/>
      <c r="L13407" s="4"/>
      <c r="M13407" s="7" t="s">
        <v>6556</v>
      </c>
    </row>
    <row r="13408" customFormat="false" ht="15.75" hidden="false" customHeight="false" outlineLevel="0" collapsed="false">
      <c r="A13408" s="6" t="n">
        <f aca="false">DATE(2026,8,15)</f>
        <v>46249</v>
      </c>
      <c r="B13408" s="4" t="s">
        <v>334</v>
      </c>
      <c r="C13408" s="4" t="n">
        <v>3</v>
      </c>
      <c r="D13408" s="4" t="n">
        <v>8</v>
      </c>
      <c r="E13408" s="4" t="s">
        <v>4711</v>
      </c>
      <c r="F13408" s="4" t="n">
        <v>10</v>
      </c>
      <c r="G13408" s="4" t="n">
        <v>9</v>
      </c>
      <c r="H13408" s="4" t="n">
        <v>4</v>
      </c>
      <c r="I13408" s="4" t="str">
        <v>×</v>
      </c>
      <c r="J13408" s="4"/>
      <c r="K13408" s="4"/>
      <c r="L13408" s="4"/>
      <c r="M13408" s="7" t="s">
        <v>6556</v>
      </c>
    </row>
    <row r="13409" customFormat="false" ht="15.75" hidden="false" customHeight="false" outlineLevel="0" collapsed="false">
      <c r="A13409" s="6" t="n">
        <f aca="false">DATE(2026,8,15)</f>
        <v>46249</v>
      </c>
      <c r="B13409" s="4" t="s">
        <v>334</v>
      </c>
      <c r="C13409" s="4" t="n">
        <v>3</v>
      </c>
      <c r="D13409" s="4" t="n">
        <v>9</v>
      </c>
      <c r="E13409" s="4" t="s">
        <v>2565</v>
      </c>
      <c r="F13409" s="4" t="n">
        <v>23</v>
      </c>
      <c r="G13409" s="4" t="n">
        <v>7</v>
      </c>
      <c r="H13409" s="4" t="n">
        <v>4</v>
      </c>
      <c r="I13409" s="4" t="str">
        <v>×</v>
      </c>
      <c r="J13409" s="4"/>
      <c r="K13409" s="4"/>
      <c r="L13409" s="4"/>
      <c r="M13409" s="7" t="s">
        <v>6556</v>
      </c>
    </row>
    <row r="13410" customFormat="false" ht="15.75" hidden="false" customHeight="false" outlineLevel="0" collapsed="false">
      <c r="A13410" s="6" t="n">
        <f aca="false">DATE(2026,8,15)</f>
        <v>46249</v>
      </c>
      <c r="B13410" s="4" t="s">
        <v>334</v>
      </c>
      <c r="C13410" s="4" t="n">
        <v>3</v>
      </c>
      <c r="D13410" s="4" t="n">
        <v>10</v>
      </c>
      <c r="E13410" s="4" t="s">
        <v>3034</v>
      </c>
      <c r="F13410" s="4" t="n">
        <v>56</v>
      </c>
      <c r="G13410" s="4" t="n">
        <v>3</v>
      </c>
      <c r="H13410" s="4" t="n">
        <v>3</v>
      </c>
      <c r="I13410" s="4" t="str">
        <v>○</v>
      </c>
      <c r="J13410" s="4" t="n">
        <v>290</v>
      </c>
      <c r="K13410" s="4"/>
      <c r="L13410" s="4"/>
      <c r="M13410" s="7" t="s">
        <v>6556</v>
      </c>
    </row>
    <row r="13411" customFormat="false" ht="15.75" hidden="false" customHeight="false" outlineLevel="0" collapsed="false">
      <c r="A13411" s="6" t="n">
        <f aca="false">DATE(2026,8,15)</f>
        <v>46249</v>
      </c>
      <c r="B13411" s="4" t="s">
        <v>334</v>
      </c>
      <c r="C13411" s="4" t="n">
        <v>3</v>
      </c>
      <c r="D13411" s="4" t="n">
        <v>11</v>
      </c>
      <c r="E13411" s="4" t="s">
        <v>1128</v>
      </c>
      <c r="F13411" s="4" t="n">
        <v>29</v>
      </c>
      <c r="G13411" s="4" t="n">
        <v>5</v>
      </c>
      <c r="H13411" s="4" t="n">
        <v>1</v>
      </c>
      <c r="I13411" s="4" t="str">
        <v>○</v>
      </c>
      <c r="J13411" s="4" t="n">
        <v>200</v>
      </c>
      <c r="K13411" s="4"/>
      <c r="L13411" s="4"/>
      <c r="M13411" s="7" t="s">
        <v>6556</v>
      </c>
    </row>
    <row r="13412" customFormat="false" ht="15.75" hidden="false" customHeight="false" outlineLevel="0" collapsed="false">
      <c r="A13412" s="6" t="n">
        <f aca="false">DATE(2026,8,15)</f>
        <v>46249</v>
      </c>
      <c r="B13412" s="4" t="s">
        <v>334</v>
      </c>
      <c r="C13412" s="4" t="n">
        <v>3</v>
      </c>
      <c r="D13412" s="4" t="n">
        <v>12</v>
      </c>
      <c r="E13412" s="4" t="s">
        <v>2342</v>
      </c>
      <c r="F13412" s="4" t="n">
        <v>58</v>
      </c>
      <c r="G13412" s="4" t="n">
        <v>2</v>
      </c>
      <c r="H13412" s="4" t="n">
        <v>4</v>
      </c>
      <c r="I13412" s="4" t="str">
        <v>×</v>
      </c>
      <c r="J13412" s="4"/>
      <c r="K13412" s="4"/>
      <c r="L13412" s="4"/>
      <c r="M13412" s="7" t="s">
        <v>6556</v>
      </c>
    </row>
    <row r="13413" customFormat="false" ht="15.75" hidden="false" customHeight="false" outlineLevel="0" collapsed="false">
      <c r="A13413" s="6" t="n">
        <f aca="false">DATE(2026,8,15)</f>
        <v>46249</v>
      </c>
      <c r="B13413" s="4" t="s">
        <v>334</v>
      </c>
      <c r="C13413" s="4" t="n">
        <v>4</v>
      </c>
      <c r="D13413" s="4" t="n">
        <v>1</v>
      </c>
      <c r="E13413" s="4" t="s">
        <v>1259</v>
      </c>
      <c r="F13413" s="4" t="n">
        <v>56</v>
      </c>
      <c r="G13413" s="4" t="n">
        <v>3</v>
      </c>
      <c r="H13413" s="4" t="n">
        <v>4</v>
      </c>
      <c r="I13413" s="4" t="str">
        <v>×</v>
      </c>
      <c r="J13413" s="4"/>
      <c r="K13413" s="4"/>
      <c r="L13413" s="4"/>
      <c r="M13413" s="7" t="s">
        <v>6556</v>
      </c>
    </row>
    <row r="13414" customFormat="false" ht="15.75" hidden="false" customHeight="false" outlineLevel="0" collapsed="false">
      <c r="A13414" s="6" t="n">
        <f aca="false">DATE(2026,8,15)</f>
        <v>46249</v>
      </c>
      <c r="B13414" s="4" t="s">
        <v>334</v>
      </c>
      <c r="C13414" s="4" t="n">
        <v>4</v>
      </c>
      <c r="D13414" s="4" t="n">
        <v>2</v>
      </c>
      <c r="E13414" s="4" t="s">
        <v>4798</v>
      </c>
      <c r="F13414" s="4" t="n">
        <v>10</v>
      </c>
      <c r="G13414" s="4" t="n">
        <v>8</v>
      </c>
      <c r="H13414" s="4" t="n">
        <v>4</v>
      </c>
      <c r="I13414" s="4" t="str">
        <v>×</v>
      </c>
      <c r="J13414" s="4"/>
      <c r="K13414" s="4"/>
      <c r="L13414" s="4"/>
      <c r="M13414" s="7" t="s">
        <v>6556</v>
      </c>
    </row>
    <row r="13415" customFormat="false" ht="15.75" hidden="false" customHeight="false" outlineLevel="0" collapsed="false">
      <c r="A13415" s="6" t="n">
        <f aca="false">DATE(2026,8,15)</f>
        <v>46249</v>
      </c>
      <c r="B13415" s="4" t="s">
        <v>334</v>
      </c>
      <c r="C13415" s="4" t="n">
        <v>4</v>
      </c>
      <c r="D13415" s="4" t="n">
        <v>3</v>
      </c>
      <c r="E13415" s="4" t="s">
        <v>1268</v>
      </c>
      <c r="F13415" s="4" t="n">
        <v>62</v>
      </c>
      <c r="G13415" s="4" t="n">
        <v>2</v>
      </c>
      <c r="H13415" s="4" t="n">
        <v>2</v>
      </c>
      <c r="I13415" s="4" t="str">
        <v>○</v>
      </c>
      <c r="J13415" s="4" t="n">
        <v>170</v>
      </c>
      <c r="K13415" s="4"/>
      <c r="L13415" s="4"/>
      <c r="M13415" s="7" t="s">
        <v>6556</v>
      </c>
    </row>
    <row r="13416" customFormat="false" ht="15.75" hidden="false" customHeight="false" outlineLevel="0" collapsed="false">
      <c r="A13416" s="6" t="n">
        <f aca="false">DATE(2026,8,15)</f>
        <v>46249</v>
      </c>
      <c r="B13416" s="4" t="s">
        <v>334</v>
      </c>
      <c r="C13416" s="4" t="n">
        <v>4</v>
      </c>
      <c r="D13416" s="4" t="n">
        <v>4</v>
      </c>
      <c r="E13416" s="4" t="s">
        <v>4234</v>
      </c>
      <c r="F13416" s="4" t="n">
        <v>25</v>
      </c>
      <c r="G13416" s="4" t="n">
        <v>4</v>
      </c>
      <c r="H13416" s="4" t="n">
        <v>4</v>
      </c>
      <c r="I13416" s="4" t="str">
        <v>×</v>
      </c>
      <c r="J13416" s="4"/>
      <c r="K13416" s="4"/>
      <c r="L13416" s="4"/>
      <c r="M13416" s="7" t="s">
        <v>6556</v>
      </c>
    </row>
    <row r="13417" customFormat="false" ht="15.75" hidden="false" customHeight="false" outlineLevel="0" collapsed="false">
      <c r="A13417" s="6" t="n">
        <f aca="false">DATE(2026,8,15)</f>
        <v>46249</v>
      </c>
      <c r="B13417" s="4" t="s">
        <v>334</v>
      </c>
      <c r="C13417" s="4" t="n">
        <v>4</v>
      </c>
      <c r="D13417" s="4" t="n">
        <v>5</v>
      </c>
      <c r="E13417" s="4" t="s">
        <v>5136</v>
      </c>
      <c r="F13417" s="4" t="n">
        <v>6</v>
      </c>
      <c r="G13417" s="4" t="n">
        <v>11</v>
      </c>
      <c r="H13417" s="4" t="n">
        <v>4</v>
      </c>
      <c r="I13417" s="4" t="str">
        <v>×</v>
      </c>
      <c r="J13417" s="4"/>
      <c r="K13417" s="4"/>
      <c r="L13417" s="4"/>
      <c r="M13417" s="7" t="s">
        <v>6556</v>
      </c>
    </row>
    <row r="13418" customFormat="false" ht="15.75" hidden="false" customHeight="false" outlineLevel="0" collapsed="false">
      <c r="A13418" s="6" t="n">
        <f aca="false">DATE(2026,8,15)</f>
        <v>46249</v>
      </c>
      <c r="B13418" s="4" t="s">
        <v>334</v>
      </c>
      <c r="C13418" s="4" t="n">
        <v>4</v>
      </c>
      <c r="D13418" s="4" t="n">
        <v>6</v>
      </c>
      <c r="E13418" s="4" t="s">
        <v>1261</v>
      </c>
      <c r="F13418" s="4" t="n">
        <v>71</v>
      </c>
      <c r="G13418" s="4" t="n">
        <v>1</v>
      </c>
      <c r="H13418" s="4" t="n">
        <v>4</v>
      </c>
      <c r="I13418" s="4" t="str">
        <v>×</v>
      </c>
      <c r="J13418" s="4"/>
      <c r="K13418" s="4"/>
      <c r="L13418" s="4"/>
      <c r="M13418" s="7" t="s">
        <v>6556</v>
      </c>
    </row>
    <row r="13419" customFormat="false" ht="15.75" hidden="false" customHeight="false" outlineLevel="0" collapsed="false">
      <c r="A13419" s="6" t="n">
        <f aca="false">DATE(2026,8,15)</f>
        <v>46249</v>
      </c>
      <c r="B13419" s="4" t="s">
        <v>334</v>
      </c>
      <c r="C13419" s="4" t="n">
        <v>4</v>
      </c>
      <c r="D13419" s="4" t="n">
        <v>7</v>
      </c>
      <c r="E13419" s="4" t="s">
        <v>2185</v>
      </c>
      <c r="F13419" s="4" t="n">
        <v>13</v>
      </c>
      <c r="G13419" s="4" t="n">
        <v>7</v>
      </c>
      <c r="H13419" s="4" t="n">
        <v>3</v>
      </c>
      <c r="I13419" s="4" t="str">
        <v>○</v>
      </c>
      <c r="J13419" s="4" t="n">
        <v>370</v>
      </c>
      <c r="K13419" s="4"/>
      <c r="L13419" s="4"/>
      <c r="M13419" s="7" t="s">
        <v>6556</v>
      </c>
    </row>
    <row r="13420" customFormat="false" ht="15.75" hidden="false" customHeight="false" outlineLevel="0" collapsed="false">
      <c r="A13420" s="6" t="n">
        <f aca="false">DATE(2026,8,15)</f>
        <v>46249</v>
      </c>
      <c r="B13420" s="4" t="s">
        <v>334</v>
      </c>
      <c r="C13420" s="4" t="n">
        <v>4</v>
      </c>
      <c r="D13420" s="4" t="n">
        <v>8</v>
      </c>
      <c r="E13420" s="4" t="s">
        <v>2697</v>
      </c>
      <c r="F13420" s="4" t="n">
        <v>3</v>
      </c>
      <c r="G13420" s="4" t="n">
        <v>12</v>
      </c>
      <c r="H13420" s="4" t="n">
        <v>4</v>
      </c>
      <c r="I13420" s="4" t="str">
        <v>×</v>
      </c>
      <c r="J13420" s="4"/>
      <c r="K13420" s="4"/>
      <c r="L13420" s="4"/>
      <c r="M13420" s="7" t="s">
        <v>6556</v>
      </c>
    </row>
    <row r="13421" customFormat="false" ht="15.75" hidden="false" customHeight="false" outlineLevel="0" collapsed="false">
      <c r="A13421" s="6" t="n">
        <f aca="false">DATE(2026,8,15)</f>
        <v>46249</v>
      </c>
      <c r="B13421" s="4" t="s">
        <v>334</v>
      </c>
      <c r="C13421" s="4" t="n">
        <v>4</v>
      </c>
      <c r="D13421" s="4" t="n">
        <v>9</v>
      </c>
      <c r="E13421" s="4" t="s">
        <v>4684</v>
      </c>
      <c r="F13421" s="4" t="n">
        <v>15</v>
      </c>
      <c r="G13421" s="4" t="n">
        <v>6</v>
      </c>
      <c r="H13421" s="4" t="n">
        <v>4</v>
      </c>
      <c r="I13421" s="4" t="str">
        <v>×</v>
      </c>
      <c r="J13421" s="4"/>
      <c r="K13421" s="4"/>
      <c r="L13421" s="4"/>
      <c r="M13421" s="7" t="s">
        <v>6556</v>
      </c>
    </row>
    <row r="13422" customFormat="false" ht="15.75" hidden="false" customHeight="false" outlineLevel="0" collapsed="false">
      <c r="A13422" s="6" t="n">
        <f aca="false">DATE(2026,8,15)</f>
        <v>46249</v>
      </c>
      <c r="B13422" s="4" t="s">
        <v>334</v>
      </c>
      <c r="C13422" s="4" t="n">
        <v>4</v>
      </c>
      <c r="D13422" s="4" t="n">
        <v>10</v>
      </c>
      <c r="E13422" s="4" t="s">
        <v>6685</v>
      </c>
      <c r="F13422" s="4" t="n">
        <v>8</v>
      </c>
      <c r="G13422" s="4" t="n">
        <v>10</v>
      </c>
      <c r="H13422" s="4" t="n">
        <v>4</v>
      </c>
      <c r="I13422" s="4" t="str">
        <v>×</v>
      </c>
      <c r="J13422" s="4"/>
      <c r="K13422" s="4"/>
      <c r="L13422" s="4"/>
      <c r="M13422" s="7" t="s">
        <v>6556</v>
      </c>
    </row>
    <row r="13423" customFormat="false" ht="15.75" hidden="false" customHeight="false" outlineLevel="0" collapsed="false">
      <c r="A13423" s="6" t="n">
        <f aca="false">DATE(2026,8,15)</f>
        <v>46249</v>
      </c>
      <c r="B13423" s="4" t="s">
        <v>334</v>
      </c>
      <c r="C13423" s="4" t="n">
        <v>4</v>
      </c>
      <c r="D13423" s="4" t="n">
        <v>11</v>
      </c>
      <c r="E13423" s="4" t="s">
        <v>4231</v>
      </c>
      <c r="F13423" s="4" t="n">
        <v>10</v>
      </c>
      <c r="G13423" s="4" t="n">
        <v>9</v>
      </c>
      <c r="H13423" s="4" t="n">
        <v>4</v>
      </c>
      <c r="I13423" s="4" t="str">
        <v>×</v>
      </c>
      <c r="J13423" s="4"/>
      <c r="K13423" s="4"/>
      <c r="L13423" s="4"/>
      <c r="M13423" s="7" t="s">
        <v>6556</v>
      </c>
    </row>
    <row r="13424" customFormat="false" ht="15.75" hidden="false" customHeight="false" outlineLevel="0" collapsed="false">
      <c r="A13424" s="6" t="n">
        <f aca="false">DATE(2026,8,15)</f>
        <v>46249</v>
      </c>
      <c r="B13424" s="4" t="s">
        <v>334</v>
      </c>
      <c r="C13424" s="4" t="n">
        <v>4</v>
      </c>
      <c r="D13424" s="4" t="n">
        <v>12</v>
      </c>
      <c r="E13424" s="4" t="s">
        <v>2219</v>
      </c>
      <c r="F13424" s="4" t="n">
        <v>23</v>
      </c>
      <c r="G13424" s="4" t="n">
        <v>5</v>
      </c>
      <c r="H13424" s="4" t="n">
        <v>1</v>
      </c>
      <c r="I13424" s="4" t="str">
        <v>○</v>
      </c>
      <c r="J13424" s="4" t="n">
        <v>280</v>
      </c>
      <c r="K13424" s="4"/>
      <c r="L13424" s="4"/>
      <c r="M13424" s="7" t="s">
        <v>6556</v>
      </c>
    </row>
    <row r="13425" customFormat="false" ht="15.75" hidden="false" customHeight="false" outlineLevel="0" collapsed="false">
      <c r="A13425" s="6" t="n">
        <f aca="false">DATE(2026,8,15)</f>
        <v>46249</v>
      </c>
      <c r="B13425" s="4" t="s">
        <v>334</v>
      </c>
      <c r="C13425" s="4" t="n">
        <v>5</v>
      </c>
      <c r="D13425" s="4" t="n">
        <v>1</v>
      </c>
      <c r="E13425" s="4" t="s">
        <v>6686</v>
      </c>
      <c r="F13425" s="4" t="n">
        <v>27</v>
      </c>
      <c r="G13425" s="4" t="n">
        <v>2</v>
      </c>
      <c r="H13425" s="4" t="n">
        <v>2</v>
      </c>
      <c r="I13425" s="4" t="str">
        <v>○</v>
      </c>
      <c r="J13425" s="4" t="n">
        <v>150</v>
      </c>
      <c r="K13425" s="4"/>
      <c r="L13425" s="4"/>
      <c r="M13425" s="7" t="s">
        <v>6556</v>
      </c>
    </row>
    <row r="13426" customFormat="false" ht="15.75" hidden="false" customHeight="false" outlineLevel="0" collapsed="false">
      <c r="A13426" s="6" t="n">
        <f aca="false">DATE(2026,8,15)</f>
        <v>46249</v>
      </c>
      <c r="B13426" s="4" t="s">
        <v>334</v>
      </c>
      <c r="C13426" s="4" t="n">
        <v>5</v>
      </c>
      <c r="D13426" s="4" t="n">
        <v>2</v>
      </c>
      <c r="E13426" s="4" t="s">
        <v>6687</v>
      </c>
      <c r="F13426" s="4" t="n">
        <v>24</v>
      </c>
      <c r="G13426" s="4" t="n">
        <v>4</v>
      </c>
      <c r="H13426" s="4" t="n">
        <v>3</v>
      </c>
      <c r="I13426" s="4" t="str">
        <v>○</v>
      </c>
      <c r="J13426" s="4" t="n">
        <v>340</v>
      </c>
      <c r="K13426" s="4"/>
      <c r="L13426" s="4"/>
      <c r="M13426" s="7" t="s">
        <v>6556</v>
      </c>
    </row>
    <row r="13427" customFormat="false" ht="15.75" hidden="false" customHeight="false" outlineLevel="0" collapsed="false">
      <c r="A13427" s="6" t="n">
        <f aca="false">DATE(2026,8,15)</f>
        <v>46249</v>
      </c>
      <c r="B13427" s="4" t="s">
        <v>334</v>
      </c>
      <c r="C13427" s="4" t="n">
        <v>5</v>
      </c>
      <c r="D13427" s="4" t="n">
        <v>3</v>
      </c>
      <c r="E13427" s="4" t="s">
        <v>6688</v>
      </c>
      <c r="F13427" s="4" t="n">
        <v>8</v>
      </c>
      <c r="G13427" s="4" t="n">
        <v>12</v>
      </c>
      <c r="H13427" s="4" t="n">
        <v>4</v>
      </c>
      <c r="I13427" s="4" t="str">
        <v>×</v>
      </c>
      <c r="J13427" s="4"/>
      <c r="K13427" s="4"/>
      <c r="L13427" s="4"/>
      <c r="M13427" s="7" t="s">
        <v>6556</v>
      </c>
    </row>
    <row r="13428" customFormat="false" ht="15.75" hidden="false" customHeight="false" outlineLevel="0" collapsed="false">
      <c r="A13428" s="6" t="n">
        <f aca="false">DATE(2026,8,15)</f>
        <v>46249</v>
      </c>
      <c r="B13428" s="4" t="s">
        <v>334</v>
      </c>
      <c r="C13428" s="4" t="n">
        <v>5</v>
      </c>
      <c r="D13428" s="4" t="n">
        <v>4</v>
      </c>
      <c r="E13428" s="4" t="s">
        <v>6689</v>
      </c>
      <c r="F13428" s="4" t="n">
        <v>16</v>
      </c>
      <c r="G13428" s="4" t="n">
        <v>10</v>
      </c>
      <c r="H13428" s="4" t="n">
        <v>4</v>
      </c>
      <c r="I13428" s="4" t="str">
        <v>×</v>
      </c>
      <c r="J13428" s="4"/>
      <c r="K13428" s="4"/>
      <c r="L13428" s="4"/>
      <c r="M13428" s="7" t="s">
        <v>6556</v>
      </c>
    </row>
    <row r="13429" customFormat="false" ht="15.75" hidden="false" customHeight="false" outlineLevel="0" collapsed="false">
      <c r="A13429" s="6" t="n">
        <f aca="false">DATE(2026,8,15)</f>
        <v>46249</v>
      </c>
      <c r="B13429" s="4" t="s">
        <v>334</v>
      </c>
      <c r="C13429" s="4" t="n">
        <v>5</v>
      </c>
      <c r="D13429" s="4" t="n">
        <v>5</v>
      </c>
      <c r="E13429" s="4" t="s">
        <v>6690</v>
      </c>
      <c r="F13429" s="4" t="n">
        <v>37</v>
      </c>
      <c r="G13429" s="4" t="n">
        <v>1</v>
      </c>
      <c r="H13429" s="4" t="n">
        <v>1</v>
      </c>
      <c r="I13429" s="4" t="str">
        <v>○</v>
      </c>
      <c r="J13429" s="4" t="n">
        <v>130</v>
      </c>
      <c r="K13429" s="4"/>
      <c r="L13429" s="4"/>
      <c r="M13429" s="7" t="s">
        <v>6556</v>
      </c>
    </row>
    <row r="13430" customFormat="false" ht="15.75" hidden="false" customHeight="false" outlineLevel="0" collapsed="false">
      <c r="A13430" s="6" t="n">
        <f aca="false">DATE(2026,8,15)</f>
        <v>46249</v>
      </c>
      <c r="B13430" s="4" t="s">
        <v>334</v>
      </c>
      <c r="C13430" s="4" t="n">
        <v>5</v>
      </c>
      <c r="D13430" s="4" t="n">
        <v>6</v>
      </c>
      <c r="E13430" s="4" t="s">
        <v>6691</v>
      </c>
      <c r="F13430" s="4" t="n">
        <v>21</v>
      </c>
      <c r="G13430" s="4" t="n">
        <v>6</v>
      </c>
      <c r="H13430" s="4" t="n">
        <v>4</v>
      </c>
      <c r="I13430" s="4" t="str">
        <v>×</v>
      </c>
      <c r="J13430" s="4"/>
      <c r="K13430" s="4"/>
      <c r="L13430" s="4"/>
      <c r="M13430" s="7" t="s">
        <v>6556</v>
      </c>
    </row>
    <row r="13431" customFormat="false" ht="15.75" hidden="false" customHeight="false" outlineLevel="0" collapsed="false">
      <c r="A13431" s="6" t="n">
        <f aca="false">DATE(2026,8,15)</f>
        <v>46249</v>
      </c>
      <c r="B13431" s="4" t="s">
        <v>334</v>
      </c>
      <c r="C13431" s="4" t="n">
        <v>5</v>
      </c>
      <c r="D13431" s="4" t="n">
        <v>7</v>
      </c>
      <c r="E13431" s="4" t="s">
        <v>6692</v>
      </c>
      <c r="F13431" s="4" t="n">
        <v>27</v>
      </c>
      <c r="G13431" s="4" t="n">
        <v>3</v>
      </c>
      <c r="H13431" s="4" t="n">
        <v>4</v>
      </c>
      <c r="I13431" s="4" t="str">
        <v>×</v>
      </c>
      <c r="J13431" s="4"/>
      <c r="K13431" s="4"/>
      <c r="L13431" s="4"/>
      <c r="M13431" s="7" t="s">
        <v>6556</v>
      </c>
    </row>
    <row r="13432" customFormat="false" ht="15.75" hidden="false" customHeight="false" outlineLevel="0" collapsed="false">
      <c r="A13432" s="6" t="n">
        <f aca="false">DATE(2026,8,15)</f>
        <v>46249</v>
      </c>
      <c r="B13432" s="4" t="s">
        <v>334</v>
      </c>
      <c r="C13432" s="4" t="n">
        <v>5</v>
      </c>
      <c r="D13432" s="4" t="n">
        <v>8</v>
      </c>
      <c r="E13432" s="4" t="s">
        <v>6693</v>
      </c>
      <c r="F13432" s="4" t="n">
        <v>24</v>
      </c>
      <c r="G13432" s="4" t="n">
        <v>5</v>
      </c>
      <c r="H13432" s="4" t="n">
        <v>4</v>
      </c>
      <c r="I13432" s="4" t="str">
        <v>×</v>
      </c>
      <c r="J13432" s="4"/>
      <c r="K13432" s="4"/>
      <c r="L13432" s="4"/>
      <c r="M13432" s="7" t="s">
        <v>6556</v>
      </c>
    </row>
    <row r="13433" customFormat="false" ht="15.75" hidden="false" customHeight="false" outlineLevel="0" collapsed="false">
      <c r="A13433" s="6" t="n">
        <f aca="false">DATE(2026,8,15)</f>
        <v>46249</v>
      </c>
      <c r="B13433" s="4" t="s">
        <v>334</v>
      </c>
      <c r="C13433" s="4" t="n">
        <v>5</v>
      </c>
      <c r="D13433" s="4" t="n">
        <v>9</v>
      </c>
      <c r="E13433" s="4" t="s">
        <v>6694</v>
      </c>
      <c r="F13433" s="4" t="n">
        <v>21</v>
      </c>
      <c r="G13433" s="4" t="n">
        <v>7</v>
      </c>
      <c r="H13433" s="4" t="n">
        <v>4</v>
      </c>
      <c r="I13433" s="4" t="str">
        <v>×</v>
      </c>
      <c r="J13433" s="4"/>
      <c r="K13433" s="4"/>
      <c r="L13433" s="4"/>
      <c r="M13433" s="7" t="s">
        <v>6556</v>
      </c>
    </row>
    <row r="13434" customFormat="false" ht="15.75" hidden="false" customHeight="false" outlineLevel="0" collapsed="false">
      <c r="A13434" s="6" t="n">
        <f aca="false">DATE(2026,8,15)</f>
        <v>46249</v>
      </c>
      <c r="B13434" s="4" t="s">
        <v>334</v>
      </c>
      <c r="C13434" s="4" t="n">
        <v>5</v>
      </c>
      <c r="D13434" s="4" t="n">
        <v>10</v>
      </c>
      <c r="E13434" s="4" t="s">
        <v>6695</v>
      </c>
      <c r="F13434" s="4" t="n">
        <v>21</v>
      </c>
      <c r="G13434" s="4" t="n">
        <v>8</v>
      </c>
      <c r="H13434" s="4" t="n">
        <v>4</v>
      </c>
      <c r="I13434" s="4" t="str">
        <v>×</v>
      </c>
      <c r="J13434" s="4"/>
      <c r="K13434" s="4"/>
      <c r="L13434" s="4"/>
      <c r="M13434" s="7" t="s">
        <v>6556</v>
      </c>
    </row>
    <row r="13435" customFormat="false" ht="15.75" hidden="false" customHeight="false" outlineLevel="0" collapsed="false">
      <c r="A13435" s="6" t="n">
        <f aca="false">DATE(2026,8,15)</f>
        <v>46249</v>
      </c>
      <c r="B13435" s="4" t="s">
        <v>334</v>
      </c>
      <c r="C13435" s="4" t="n">
        <v>5</v>
      </c>
      <c r="D13435" s="4" t="n">
        <v>11</v>
      </c>
      <c r="E13435" s="4" t="s">
        <v>6696</v>
      </c>
      <c r="F13435" s="4" t="n">
        <v>16</v>
      </c>
      <c r="G13435" s="4" t="n">
        <v>11</v>
      </c>
      <c r="H13435" s="4" t="n">
        <v>4</v>
      </c>
      <c r="I13435" s="4" t="str">
        <v>×</v>
      </c>
      <c r="J13435" s="4"/>
      <c r="K13435" s="4"/>
      <c r="L13435" s="4"/>
      <c r="M13435" s="7" t="s">
        <v>6556</v>
      </c>
    </row>
    <row r="13436" customFormat="false" ht="15.75" hidden="false" customHeight="false" outlineLevel="0" collapsed="false">
      <c r="A13436" s="6" t="n">
        <f aca="false">DATE(2026,8,15)</f>
        <v>46249</v>
      </c>
      <c r="B13436" s="4" t="s">
        <v>334</v>
      </c>
      <c r="C13436" s="4" t="n">
        <v>5</v>
      </c>
      <c r="D13436" s="4" t="n">
        <v>12</v>
      </c>
      <c r="E13436" s="4" t="s">
        <v>6697</v>
      </c>
      <c r="F13436" s="4" t="n">
        <v>21</v>
      </c>
      <c r="G13436" s="4" t="n">
        <v>9</v>
      </c>
      <c r="H13436" s="4" t="n">
        <v>4</v>
      </c>
      <c r="I13436" s="4" t="str">
        <v>×</v>
      </c>
      <c r="J13436" s="4"/>
      <c r="K13436" s="4"/>
      <c r="L13436" s="4"/>
      <c r="M13436" s="7" t="s">
        <v>6556</v>
      </c>
    </row>
    <row r="13437" customFormat="false" ht="15.75" hidden="false" customHeight="false" outlineLevel="0" collapsed="false">
      <c r="A13437" s="6" t="n">
        <f aca="false">DATE(2026,8,15)</f>
        <v>46249</v>
      </c>
      <c r="B13437" s="4" t="s">
        <v>334</v>
      </c>
      <c r="C13437" s="4" t="n">
        <v>6</v>
      </c>
      <c r="D13437" s="4" t="n">
        <v>1</v>
      </c>
      <c r="E13437" s="4" t="s">
        <v>1308</v>
      </c>
      <c r="F13437" s="4" t="n">
        <v>31</v>
      </c>
      <c r="G13437" s="4" t="n">
        <v>5</v>
      </c>
      <c r="H13437" s="4" t="n">
        <v>4</v>
      </c>
      <c r="I13437" s="4" t="str">
        <v>×</v>
      </c>
      <c r="J13437" s="4"/>
      <c r="K13437" s="4"/>
      <c r="L13437" s="4"/>
      <c r="M13437" s="7" t="s">
        <v>6556</v>
      </c>
    </row>
    <row r="13438" customFormat="false" ht="15.75" hidden="false" customHeight="false" outlineLevel="0" collapsed="false">
      <c r="A13438" s="6" t="n">
        <f aca="false">DATE(2026,8,15)</f>
        <v>46249</v>
      </c>
      <c r="B13438" s="4" t="s">
        <v>334</v>
      </c>
      <c r="C13438" s="4" t="n">
        <v>6</v>
      </c>
      <c r="D13438" s="4" t="n">
        <v>2</v>
      </c>
      <c r="E13438" s="4" t="s">
        <v>6698</v>
      </c>
      <c r="F13438" s="4" t="n">
        <v>6</v>
      </c>
      <c r="G13438" s="4" t="n">
        <v>12</v>
      </c>
      <c r="H13438" s="4" t="n">
        <v>4</v>
      </c>
      <c r="I13438" s="4" t="str">
        <v>×</v>
      </c>
      <c r="J13438" s="4"/>
      <c r="K13438" s="4"/>
      <c r="L13438" s="4"/>
      <c r="M13438" s="7" t="s">
        <v>6556</v>
      </c>
    </row>
    <row r="13439" customFormat="false" ht="15.75" hidden="false" customHeight="false" outlineLevel="0" collapsed="false">
      <c r="A13439" s="6" t="n">
        <f aca="false">DATE(2026,8,15)</f>
        <v>46249</v>
      </c>
      <c r="B13439" s="4" t="s">
        <v>334</v>
      </c>
      <c r="C13439" s="4" t="n">
        <v>6</v>
      </c>
      <c r="D13439" s="4" t="n">
        <v>3</v>
      </c>
      <c r="E13439" s="4" t="s">
        <v>6699</v>
      </c>
      <c r="F13439" s="4" t="n">
        <v>4</v>
      </c>
      <c r="G13439" s="4" t="n">
        <v>13</v>
      </c>
      <c r="H13439" s="4" t="n">
        <v>4</v>
      </c>
      <c r="I13439" s="4" t="str">
        <v>×</v>
      </c>
      <c r="J13439" s="4"/>
      <c r="K13439" s="4"/>
      <c r="L13439" s="4"/>
      <c r="M13439" s="7" t="s">
        <v>6556</v>
      </c>
    </row>
    <row r="13440" customFormat="false" ht="15.75" hidden="false" customHeight="false" outlineLevel="0" collapsed="false">
      <c r="A13440" s="6" t="n">
        <f aca="false">DATE(2026,8,15)</f>
        <v>46249</v>
      </c>
      <c r="B13440" s="4" t="s">
        <v>334</v>
      </c>
      <c r="C13440" s="4" t="n">
        <v>6</v>
      </c>
      <c r="D13440" s="4" t="n">
        <v>4</v>
      </c>
      <c r="E13440" s="4" t="s">
        <v>5081</v>
      </c>
      <c r="F13440" s="4" t="n">
        <v>2</v>
      </c>
      <c r="G13440" s="4" t="n">
        <v>14</v>
      </c>
      <c r="H13440" s="4" t="n">
        <v>4</v>
      </c>
      <c r="I13440" s="4" t="str">
        <v>×</v>
      </c>
      <c r="J13440" s="4"/>
      <c r="K13440" s="4"/>
      <c r="L13440" s="4"/>
      <c r="M13440" s="7" t="s">
        <v>6556</v>
      </c>
    </row>
    <row r="13441" customFormat="false" ht="15.75" hidden="false" customHeight="false" outlineLevel="0" collapsed="false">
      <c r="A13441" s="6" t="n">
        <f aca="false">DATE(2026,8,15)</f>
        <v>46249</v>
      </c>
      <c r="B13441" s="4" t="s">
        <v>334</v>
      </c>
      <c r="C13441" s="4" t="n">
        <v>6</v>
      </c>
      <c r="D13441" s="4" t="n">
        <v>5</v>
      </c>
      <c r="E13441" s="4" t="s">
        <v>361</v>
      </c>
      <c r="F13441" s="4" t="n">
        <v>13</v>
      </c>
      <c r="G13441" s="4" t="n">
        <v>7</v>
      </c>
      <c r="H13441" s="4" t="n">
        <v>4</v>
      </c>
      <c r="I13441" s="4" t="str">
        <v>×</v>
      </c>
      <c r="J13441" s="4"/>
      <c r="K13441" s="4"/>
      <c r="L13441" s="4"/>
      <c r="M13441" s="7" t="s">
        <v>6556</v>
      </c>
    </row>
    <row r="13442" customFormat="false" ht="15.75" hidden="false" customHeight="false" outlineLevel="0" collapsed="false">
      <c r="A13442" s="6" t="n">
        <f aca="false">DATE(2026,8,15)</f>
        <v>46249</v>
      </c>
      <c r="B13442" s="4" t="s">
        <v>334</v>
      </c>
      <c r="C13442" s="4" t="n">
        <v>6</v>
      </c>
      <c r="D13442" s="4" t="n">
        <v>6</v>
      </c>
      <c r="E13442" s="4" t="s">
        <v>5531</v>
      </c>
      <c r="F13442" s="4" t="n">
        <v>8</v>
      </c>
      <c r="G13442" s="4" t="n">
        <v>10</v>
      </c>
      <c r="H13442" s="4" t="n">
        <v>4</v>
      </c>
      <c r="I13442" s="4" t="str">
        <v>×</v>
      </c>
      <c r="J13442" s="4"/>
      <c r="K13442" s="4"/>
      <c r="L13442" s="4"/>
      <c r="M13442" s="7" t="s">
        <v>6556</v>
      </c>
    </row>
    <row r="13443" customFormat="false" ht="15.75" hidden="false" customHeight="false" outlineLevel="0" collapsed="false">
      <c r="A13443" s="6" t="n">
        <f aca="false">DATE(2026,8,15)</f>
        <v>46249</v>
      </c>
      <c r="B13443" s="4" t="s">
        <v>334</v>
      </c>
      <c r="C13443" s="4" t="n">
        <v>6</v>
      </c>
      <c r="D13443" s="4" t="n">
        <v>7</v>
      </c>
      <c r="E13443" s="4" t="s">
        <v>364</v>
      </c>
      <c r="F13443" s="4" t="n">
        <v>44</v>
      </c>
      <c r="G13443" s="4" t="n">
        <v>2</v>
      </c>
      <c r="H13443" s="4" t="n">
        <v>1</v>
      </c>
      <c r="I13443" s="4" t="str">
        <v>○</v>
      </c>
      <c r="J13443" s="4" t="n">
        <v>170</v>
      </c>
      <c r="K13443" s="4"/>
      <c r="L13443" s="4"/>
      <c r="M13443" s="7" t="s">
        <v>6556</v>
      </c>
    </row>
    <row r="13444" customFormat="false" ht="15.75" hidden="false" customHeight="false" outlineLevel="0" collapsed="false">
      <c r="A13444" s="6" t="n">
        <f aca="false">DATE(2026,8,15)</f>
        <v>46249</v>
      </c>
      <c r="B13444" s="4" t="s">
        <v>334</v>
      </c>
      <c r="C13444" s="4" t="n">
        <v>6</v>
      </c>
      <c r="D13444" s="4" t="n">
        <v>8</v>
      </c>
      <c r="E13444" s="4" t="s">
        <v>5345</v>
      </c>
      <c r="F13444" s="4" t="n">
        <v>8</v>
      </c>
      <c r="G13444" s="4" t="n">
        <v>11</v>
      </c>
      <c r="H13444" s="4" t="n">
        <v>3</v>
      </c>
      <c r="I13444" s="4" t="str">
        <v>○</v>
      </c>
      <c r="J13444" s="4" t="n">
        <v>260</v>
      </c>
      <c r="K13444" s="4"/>
      <c r="L13444" s="4"/>
      <c r="M13444" s="7" t="s">
        <v>6556</v>
      </c>
    </row>
    <row r="13445" customFormat="false" ht="15.75" hidden="false" customHeight="false" outlineLevel="0" collapsed="false">
      <c r="A13445" s="6" t="n">
        <f aca="false">DATE(2026,8,15)</f>
        <v>46249</v>
      </c>
      <c r="B13445" s="4" t="s">
        <v>334</v>
      </c>
      <c r="C13445" s="4" t="n">
        <v>6</v>
      </c>
      <c r="D13445" s="4" t="n">
        <v>9</v>
      </c>
      <c r="E13445" s="4" t="s">
        <v>1419</v>
      </c>
      <c r="F13445" s="4" t="n">
        <v>37</v>
      </c>
      <c r="G13445" s="4" t="n">
        <v>3</v>
      </c>
      <c r="H13445" s="4" t="n">
        <v>4</v>
      </c>
      <c r="I13445" s="4" t="str">
        <v>×</v>
      </c>
      <c r="J13445" s="4"/>
      <c r="K13445" s="4"/>
      <c r="L13445" s="4"/>
      <c r="M13445" s="7" t="s">
        <v>6556</v>
      </c>
    </row>
    <row r="13446" customFormat="false" ht="15.75" hidden="false" customHeight="false" outlineLevel="0" collapsed="false">
      <c r="A13446" s="6" t="n">
        <f aca="false">DATE(2026,8,15)</f>
        <v>46249</v>
      </c>
      <c r="B13446" s="4" t="s">
        <v>334</v>
      </c>
      <c r="C13446" s="4" t="n">
        <v>6</v>
      </c>
      <c r="D13446" s="4" t="n">
        <v>10</v>
      </c>
      <c r="E13446" s="4" t="s">
        <v>6700</v>
      </c>
      <c r="F13446" s="4" t="n">
        <v>47</v>
      </c>
      <c r="G13446" s="4" t="n">
        <v>1</v>
      </c>
      <c r="H13446" s="4" t="n">
        <v>4</v>
      </c>
      <c r="I13446" s="4" t="str">
        <v>×</v>
      </c>
      <c r="J13446" s="4"/>
      <c r="K13446" s="4"/>
      <c r="L13446" s="4"/>
      <c r="M13446" s="7" t="s">
        <v>6556</v>
      </c>
    </row>
    <row r="13447" customFormat="false" ht="15.75" hidden="false" customHeight="false" outlineLevel="0" collapsed="false">
      <c r="A13447" s="6" t="n">
        <f aca="false">DATE(2026,8,15)</f>
        <v>46249</v>
      </c>
      <c r="B13447" s="4" t="s">
        <v>334</v>
      </c>
      <c r="C13447" s="4" t="n">
        <v>6</v>
      </c>
      <c r="D13447" s="4" t="n">
        <v>11</v>
      </c>
      <c r="E13447" s="4" t="s">
        <v>2572</v>
      </c>
      <c r="F13447" s="4" t="n">
        <v>29</v>
      </c>
      <c r="G13447" s="4" t="n">
        <v>6</v>
      </c>
      <c r="H13447" s="4" t="n">
        <v>2</v>
      </c>
      <c r="I13447" s="4" t="str">
        <v>○</v>
      </c>
      <c r="J13447" s="4" t="n">
        <v>320</v>
      </c>
      <c r="K13447" s="4"/>
      <c r="L13447" s="4"/>
      <c r="M13447" s="7" t="s">
        <v>6556</v>
      </c>
    </row>
    <row r="13448" customFormat="false" ht="15.75" hidden="false" customHeight="false" outlineLevel="0" collapsed="false">
      <c r="A13448" s="6" t="n">
        <f aca="false">DATE(2026,8,15)</f>
        <v>46249</v>
      </c>
      <c r="B13448" s="4" t="s">
        <v>334</v>
      </c>
      <c r="C13448" s="4" t="n">
        <v>6</v>
      </c>
      <c r="D13448" s="4" t="n">
        <v>12</v>
      </c>
      <c r="E13448" s="4" t="s">
        <v>6701</v>
      </c>
      <c r="F13448" s="4" t="n">
        <v>10</v>
      </c>
      <c r="G13448" s="4" t="n">
        <v>8</v>
      </c>
      <c r="H13448" s="4" t="n">
        <v>4</v>
      </c>
      <c r="I13448" s="4" t="str">
        <v>×</v>
      </c>
      <c r="J13448" s="4"/>
      <c r="K13448" s="4"/>
      <c r="L13448" s="4"/>
      <c r="M13448" s="7" t="s">
        <v>6556</v>
      </c>
    </row>
    <row r="13449" customFormat="false" ht="15.75" hidden="false" customHeight="false" outlineLevel="0" collapsed="false">
      <c r="A13449" s="6" t="n">
        <f aca="false">DATE(2026,8,15)</f>
        <v>46249</v>
      </c>
      <c r="B13449" s="4" t="s">
        <v>334</v>
      </c>
      <c r="C13449" s="4" t="n">
        <v>6</v>
      </c>
      <c r="D13449" s="4" t="n">
        <v>13</v>
      </c>
      <c r="E13449" s="4" t="s">
        <v>1410</v>
      </c>
      <c r="F13449" s="4" t="n">
        <v>34</v>
      </c>
      <c r="G13449" s="4" t="n">
        <v>4</v>
      </c>
      <c r="H13449" s="4" t="n">
        <v>4</v>
      </c>
      <c r="I13449" s="4" t="str">
        <v>×</v>
      </c>
      <c r="J13449" s="4"/>
      <c r="K13449" s="4"/>
      <c r="L13449" s="4"/>
      <c r="M13449" s="7" t="s">
        <v>6556</v>
      </c>
    </row>
    <row r="13450" customFormat="false" ht="15.75" hidden="false" customHeight="false" outlineLevel="0" collapsed="false">
      <c r="A13450" s="6" t="n">
        <f aca="false">DATE(2026,8,15)</f>
        <v>46249</v>
      </c>
      <c r="B13450" s="4" t="s">
        <v>334</v>
      </c>
      <c r="C13450" s="4" t="n">
        <v>6</v>
      </c>
      <c r="D13450" s="4" t="n">
        <v>14</v>
      </c>
      <c r="E13450" s="4" t="s">
        <v>4379</v>
      </c>
      <c r="F13450" s="4" t="n">
        <v>10</v>
      </c>
      <c r="G13450" s="4" t="n">
        <v>9</v>
      </c>
      <c r="H13450" s="4" t="n">
        <v>4</v>
      </c>
      <c r="I13450" s="4" t="str">
        <v>×</v>
      </c>
      <c r="J13450" s="4"/>
      <c r="K13450" s="4"/>
      <c r="L13450" s="4"/>
      <c r="M13450" s="7" t="s">
        <v>6556</v>
      </c>
    </row>
    <row r="13451" customFormat="false" ht="15.75" hidden="false" customHeight="false" outlineLevel="0" collapsed="false">
      <c r="A13451" s="6" t="n">
        <f aca="false">DATE(2026,8,15)</f>
        <v>46249</v>
      </c>
      <c r="B13451" s="4" t="s">
        <v>334</v>
      </c>
      <c r="C13451" s="4" t="n">
        <v>7</v>
      </c>
      <c r="D13451" s="4" t="n">
        <v>1</v>
      </c>
      <c r="E13451" s="4" t="s">
        <v>4253</v>
      </c>
      <c r="F13451" s="4" t="n">
        <v>44</v>
      </c>
      <c r="G13451" s="4" t="n">
        <v>3</v>
      </c>
      <c r="H13451" s="4" t="n">
        <v>4</v>
      </c>
      <c r="I13451" s="4" t="str">
        <v>×</v>
      </c>
      <c r="J13451" s="4"/>
      <c r="K13451" s="4"/>
      <c r="L13451" s="4"/>
      <c r="M13451" s="7" t="s">
        <v>6556</v>
      </c>
    </row>
    <row r="13452" customFormat="false" ht="15.75" hidden="false" customHeight="false" outlineLevel="0" collapsed="false">
      <c r="A13452" s="6" t="n">
        <f aca="false">DATE(2026,8,15)</f>
        <v>46249</v>
      </c>
      <c r="B13452" s="4" t="s">
        <v>334</v>
      </c>
      <c r="C13452" s="4" t="n">
        <v>7</v>
      </c>
      <c r="D13452" s="4" t="n">
        <v>2</v>
      </c>
      <c r="E13452" s="4" t="s">
        <v>1335</v>
      </c>
      <c r="F13452" s="4" t="n">
        <v>3</v>
      </c>
      <c r="G13452" s="4" t="n">
        <v>14</v>
      </c>
      <c r="H13452" s="4" t="n">
        <v>4</v>
      </c>
      <c r="I13452" s="4" t="str">
        <v>×</v>
      </c>
      <c r="J13452" s="4"/>
      <c r="K13452" s="4"/>
      <c r="L13452" s="4"/>
      <c r="M13452" s="7" t="s">
        <v>6556</v>
      </c>
    </row>
    <row r="13453" customFormat="false" ht="15.75" hidden="false" customHeight="false" outlineLevel="0" collapsed="false">
      <c r="A13453" s="6" t="n">
        <f aca="false">DATE(2026,8,15)</f>
        <v>46249</v>
      </c>
      <c r="B13453" s="4" t="s">
        <v>334</v>
      </c>
      <c r="C13453" s="4" t="n">
        <v>7</v>
      </c>
      <c r="D13453" s="4" t="n">
        <v>3</v>
      </c>
      <c r="E13453" s="4" t="s">
        <v>845</v>
      </c>
      <c r="F13453" s="4" t="n">
        <v>39</v>
      </c>
      <c r="G13453" s="4" t="n">
        <v>4</v>
      </c>
      <c r="H13453" s="4" t="n">
        <v>4</v>
      </c>
      <c r="I13453" s="4" t="str">
        <v>×</v>
      </c>
      <c r="J13453" s="4"/>
      <c r="K13453" s="4"/>
      <c r="L13453" s="4"/>
      <c r="M13453" s="7" t="s">
        <v>6556</v>
      </c>
    </row>
    <row r="13454" customFormat="false" ht="15.75" hidden="false" customHeight="false" outlineLevel="0" collapsed="false">
      <c r="A13454" s="6" t="n">
        <f aca="false">DATE(2026,8,15)</f>
        <v>46249</v>
      </c>
      <c r="B13454" s="4" t="s">
        <v>334</v>
      </c>
      <c r="C13454" s="4" t="n">
        <v>7</v>
      </c>
      <c r="D13454" s="4" t="n">
        <v>4</v>
      </c>
      <c r="E13454" s="4" t="s">
        <v>3864</v>
      </c>
      <c r="F13454" s="4" t="n">
        <v>23</v>
      </c>
      <c r="G13454" s="4" t="n">
        <v>6</v>
      </c>
      <c r="H13454" s="4" t="n">
        <v>1</v>
      </c>
      <c r="I13454" s="4" t="str">
        <v>○</v>
      </c>
      <c r="J13454" s="4" t="n">
        <v>470</v>
      </c>
      <c r="K13454" s="4"/>
      <c r="L13454" s="4"/>
      <c r="M13454" s="7" t="s">
        <v>6556</v>
      </c>
    </row>
    <row r="13455" customFormat="false" ht="15.75" hidden="false" customHeight="false" outlineLevel="0" collapsed="false">
      <c r="A13455" s="6" t="n">
        <f aca="false">DATE(2026,8,15)</f>
        <v>46249</v>
      </c>
      <c r="B13455" s="4" t="s">
        <v>334</v>
      </c>
      <c r="C13455" s="4" t="n">
        <v>7</v>
      </c>
      <c r="D13455" s="4" t="n">
        <v>5</v>
      </c>
      <c r="E13455" s="4" t="s">
        <v>4255</v>
      </c>
      <c r="F13455" s="4" t="n">
        <v>29</v>
      </c>
      <c r="G13455" s="4" t="n">
        <v>5</v>
      </c>
      <c r="H13455" s="4" t="n">
        <v>2</v>
      </c>
      <c r="I13455" s="4" t="str">
        <v>○</v>
      </c>
      <c r="J13455" s="4" t="n">
        <v>440</v>
      </c>
      <c r="K13455" s="4"/>
      <c r="L13455" s="4"/>
      <c r="M13455" s="7" t="s">
        <v>6556</v>
      </c>
    </row>
    <row r="13456" customFormat="false" ht="15.75" hidden="false" customHeight="false" outlineLevel="0" collapsed="false">
      <c r="A13456" s="6" t="n">
        <f aca="false">DATE(2026,8,15)</f>
        <v>46249</v>
      </c>
      <c r="B13456" s="4" t="s">
        <v>334</v>
      </c>
      <c r="C13456" s="4" t="n">
        <v>7</v>
      </c>
      <c r="D13456" s="4" t="n">
        <v>6</v>
      </c>
      <c r="E13456" s="4" t="s">
        <v>2247</v>
      </c>
      <c r="F13456" s="4" t="n">
        <v>47</v>
      </c>
      <c r="G13456" s="4" t="n">
        <v>2</v>
      </c>
      <c r="H13456" s="4" t="n">
        <v>4</v>
      </c>
      <c r="I13456" s="4" t="str">
        <v>×</v>
      </c>
      <c r="J13456" s="4"/>
      <c r="K13456" s="4"/>
      <c r="L13456" s="4"/>
      <c r="M13456" s="7" t="s">
        <v>6556</v>
      </c>
    </row>
    <row r="13457" customFormat="false" ht="15.75" hidden="false" customHeight="false" outlineLevel="0" collapsed="false">
      <c r="A13457" s="6" t="n">
        <f aca="false">DATE(2026,8,15)</f>
        <v>46249</v>
      </c>
      <c r="B13457" s="4" t="s">
        <v>334</v>
      </c>
      <c r="C13457" s="4" t="n">
        <v>7</v>
      </c>
      <c r="D13457" s="4" t="n">
        <v>7</v>
      </c>
      <c r="E13457" s="4" t="s">
        <v>423</v>
      </c>
      <c r="F13457" s="4" t="n">
        <v>6</v>
      </c>
      <c r="G13457" s="4" t="n">
        <v>10</v>
      </c>
      <c r="H13457" s="4" t="n">
        <v>4</v>
      </c>
      <c r="I13457" s="4" t="str">
        <v>×</v>
      </c>
      <c r="J13457" s="4"/>
      <c r="K13457" s="4"/>
      <c r="L13457" s="4"/>
      <c r="M13457" s="7" t="s">
        <v>6556</v>
      </c>
    </row>
    <row r="13458" customFormat="false" ht="15.75" hidden="false" customHeight="false" outlineLevel="0" collapsed="false">
      <c r="A13458" s="6" t="n">
        <f aca="false">DATE(2026,8,15)</f>
        <v>46249</v>
      </c>
      <c r="B13458" s="4" t="s">
        <v>334</v>
      </c>
      <c r="C13458" s="4" t="n">
        <v>7</v>
      </c>
      <c r="D13458" s="4" t="n">
        <v>8</v>
      </c>
      <c r="E13458" s="4" t="s">
        <v>6361</v>
      </c>
      <c r="F13458" s="4" t="n">
        <v>6</v>
      </c>
      <c r="G13458" s="4" t="n">
        <v>11</v>
      </c>
      <c r="H13458" s="4" t="n">
        <v>4</v>
      </c>
      <c r="I13458" s="4" t="str">
        <v>×</v>
      </c>
      <c r="J13458" s="4"/>
      <c r="K13458" s="4"/>
      <c r="L13458" s="4"/>
      <c r="M13458" s="7" t="s">
        <v>6556</v>
      </c>
    </row>
    <row r="13459" customFormat="false" ht="15.75" hidden="false" customHeight="false" outlineLevel="0" collapsed="false">
      <c r="A13459" s="6" t="n">
        <f aca="false">DATE(2026,8,15)</f>
        <v>46249</v>
      </c>
      <c r="B13459" s="4" t="s">
        <v>334</v>
      </c>
      <c r="C13459" s="4" t="n">
        <v>7</v>
      </c>
      <c r="D13459" s="4" t="n">
        <v>9</v>
      </c>
      <c r="E13459" s="4" t="s">
        <v>6702</v>
      </c>
      <c r="F13459" s="4" t="n">
        <v>56</v>
      </c>
      <c r="G13459" s="4" t="n">
        <v>1</v>
      </c>
      <c r="H13459" s="4" t="n">
        <v>3</v>
      </c>
      <c r="I13459" s="4" t="str">
        <v>○</v>
      </c>
      <c r="J13459" s="4" t="n">
        <v>180</v>
      </c>
      <c r="K13459" s="4"/>
      <c r="L13459" s="4"/>
      <c r="M13459" s="7" t="s">
        <v>6556</v>
      </c>
    </row>
    <row r="13460" customFormat="false" ht="15.75" hidden="false" customHeight="false" outlineLevel="0" collapsed="false">
      <c r="A13460" s="6" t="n">
        <f aca="false">DATE(2026,8,15)</f>
        <v>46249</v>
      </c>
      <c r="B13460" s="4" t="s">
        <v>334</v>
      </c>
      <c r="C13460" s="4" t="n">
        <v>7</v>
      </c>
      <c r="D13460" s="4" t="n">
        <v>10</v>
      </c>
      <c r="E13460" s="4" t="s">
        <v>4251</v>
      </c>
      <c r="F13460" s="4" t="n">
        <v>17</v>
      </c>
      <c r="G13460" s="4" t="n">
        <v>8</v>
      </c>
      <c r="H13460" s="4" t="n">
        <v>4</v>
      </c>
      <c r="I13460" s="4" t="str">
        <v>×</v>
      </c>
      <c r="J13460" s="4"/>
      <c r="K13460" s="4"/>
      <c r="L13460" s="4"/>
      <c r="M13460" s="7" t="s">
        <v>6556</v>
      </c>
    </row>
    <row r="13461" customFormat="false" ht="15.75" hidden="false" customHeight="false" outlineLevel="0" collapsed="false">
      <c r="A13461" s="6" t="n">
        <f aca="false">DATE(2026,8,15)</f>
        <v>46249</v>
      </c>
      <c r="B13461" s="4" t="s">
        <v>334</v>
      </c>
      <c r="C13461" s="4" t="n">
        <v>7</v>
      </c>
      <c r="D13461" s="4" t="n">
        <v>11</v>
      </c>
      <c r="E13461" s="4" t="s">
        <v>6703</v>
      </c>
      <c r="F13461" s="4" t="n">
        <v>20</v>
      </c>
      <c r="G13461" s="4" t="n">
        <v>7</v>
      </c>
      <c r="H13461" s="4" t="n">
        <v>4</v>
      </c>
      <c r="I13461" s="4" t="str">
        <v>×</v>
      </c>
      <c r="J13461" s="4"/>
      <c r="K13461" s="4"/>
      <c r="L13461" s="4"/>
      <c r="M13461" s="7" t="s">
        <v>6556</v>
      </c>
    </row>
    <row r="13462" customFormat="false" ht="15.75" hidden="false" customHeight="false" outlineLevel="0" collapsed="false">
      <c r="A13462" s="6" t="n">
        <f aca="false">DATE(2026,8,15)</f>
        <v>46249</v>
      </c>
      <c r="B13462" s="4" t="s">
        <v>334</v>
      </c>
      <c r="C13462" s="4" t="n">
        <v>7</v>
      </c>
      <c r="D13462" s="4" t="n">
        <v>12</v>
      </c>
      <c r="E13462" s="4" t="s">
        <v>3828</v>
      </c>
      <c r="F13462" s="4" t="n">
        <v>3</v>
      </c>
      <c r="G13462" s="4" t="n">
        <v>15</v>
      </c>
      <c r="H13462" s="4" t="n">
        <v>4</v>
      </c>
      <c r="I13462" s="4" t="str">
        <v>×</v>
      </c>
      <c r="J13462" s="4"/>
      <c r="K13462" s="4"/>
      <c r="L13462" s="4"/>
      <c r="M13462" s="7" t="s">
        <v>6556</v>
      </c>
    </row>
    <row r="13463" customFormat="false" ht="15.75" hidden="false" customHeight="false" outlineLevel="0" collapsed="false">
      <c r="A13463" s="6" t="n">
        <f aca="false">DATE(2026,8,15)</f>
        <v>46249</v>
      </c>
      <c r="B13463" s="4" t="s">
        <v>334</v>
      </c>
      <c r="C13463" s="4" t="n">
        <v>7</v>
      </c>
      <c r="D13463" s="4" t="n">
        <v>13</v>
      </c>
      <c r="E13463" s="4" t="s">
        <v>6704</v>
      </c>
      <c r="F13463" s="4" t="n">
        <v>15</v>
      </c>
      <c r="G13463" s="4" t="n">
        <v>9</v>
      </c>
      <c r="H13463" s="4" t="n">
        <v>4</v>
      </c>
      <c r="I13463" s="4" t="str">
        <v>×</v>
      </c>
      <c r="J13463" s="4"/>
      <c r="K13463" s="4"/>
      <c r="L13463" s="4"/>
      <c r="M13463" s="7" t="s">
        <v>6556</v>
      </c>
    </row>
    <row r="13464" customFormat="false" ht="15.75" hidden="false" customHeight="false" outlineLevel="0" collapsed="false">
      <c r="A13464" s="6" t="n">
        <f aca="false">DATE(2026,8,15)</f>
        <v>46249</v>
      </c>
      <c r="B13464" s="4" t="s">
        <v>334</v>
      </c>
      <c r="C13464" s="4" t="n">
        <v>7</v>
      </c>
      <c r="D13464" s="4" t="n">
        <v>14</v>
      </c>
      <c r="E13464" s="4" t="s">
        <v>430</v>
      </c>
      <c r="F13464" s="4" t="n">
        <v>6</v>
      </c>
      <c r="G13464" s="4" t="n">
        <v>12</v>
      </c>
      <c r="H13464" s="4" t="n">
        <v>4</v>
      </c>
      <c r="I13464" s="4" t="str">
        <v>×</v>
      </c>
      <c r="J13464" s="4"/>
      <c r="K13464" s="4"/>
      <c r="L13464" s="4"/>
      <c r="M13464" s="7" t="s">
        <v>6556</v>
      </c>
    </row>
    <row r="13465" customFormat="false" ht="15.75" hidden="false" customHeight="false" outlineLevel="0" collapsed="false">
      <c r="A13465" s="6" t="n">
        <f aca="false">DATE(2026,8,15)</f>
        <v>46249</v>
      </c>
      <c r="B13465" s="4" t="s">
        <v>334</v>
      </c>
      <c r="C13465" s="4" t="n">
        <v>7</v>
      </c>
      <c r="D13465" s="4" t="n">
        <v>15</v>
      </c>
      <c r="E13465" s="4" t="s">
        <v>2232</v>
      </c>
      <c r="F13465" s="4" t="n">
        <v>6</v>
      </c>
      <c r="G13465" s="4" t="n">
        <v>13</v>
      </c>
      <c r="H13465" s="4" t="n">
        <v>4</v>
      </c>
      <c r="I13465" s="4" t="str">
        <v>×</v>
      </c>
      <c r="J13465" s="4"/>
      <c r="K13465" s="4"/>
      <c r="L13465" s="4"/>
      <c r="M13465" s="7" t="s">
        <v>6556</v>
      </c>
    </row>
    <row r="13466" customFormat="false" ht="15.75" hidden="false" customHeight="false" outlineLevel="0" collapsed="false">
      <c r="A13466" s="6" t="n">
        <f aca="false">DATE(2026,8,15)</f>
        <v>46249</v>
      </c>
      <c r="B13466" s="4" t="s">
        <v>334</v>
      </c>
      <c r="C13466" s="4" t="n">
        <v>8</v>
      </c>
      <c r="D13466" s="4" t="n">
        <v>1</v>
      </c>
      <c r="E13466" s="4" t="s">
        <v>6705</v>
      </c>
      <c r="F13466" s="4" t="n">
        <v>2</v>
      </c>
      <c r="G13466" s="4" t="n">
        <v>11</v>
      </c>
      <c r="H13466" s="4" t="n">
        <v>4</v>
      </c>
      <c r="I13466" s="4" t="str">
        <v>×</v>
      </c>
      <c r="J13466" s="4"/>
      <c r="K13466" s="4"/>
      <c r="L13466" s="4"/>
      <c r="M13466" s="7" t="s">
        <v>6556</v>
      </c>
    </row>
    <row r="13467" customFormat="false" ht="15.75" hidden="false" customHeight="false" outlineLevel="0" collapsed="false">
      <c r="A13467" s="6" t="n">
        <f aca="false">DATE(2026,8,15)</f>
        <v>46249</v>
      </c>
      <c r="B13467" s="4" t="s">
        <v>334</v>
      </c>
      <c r="C13467" s="4" t="n">
        <v>8</v>
      </c>
      <c r="D13467" s="4" t="n">
        <v>2</v>
      </c>
      <c r="E13467" s="4" t="s">
        <v>67</v>
      </c>
      <c r="F13467" s="4" t="n">
        <v>25</v>
      </c>
      <c r="G13467" s="4" t="n">
        <v>6</v>
      </c>
      <c r="H13467" s="4" t="n">
        <v>4</v>
      </c>
      <c r="I13467" s="4" t="str">
        <v>×</v>
      </c>
      <c r="J13467" s="4"/>
      <c r="K13467" s="4"/>
      <c r="L13467" s="4"/>
      <c r="M13467" s="7" t="s">
        <v>6556</v>
      </c>
    </row>
    <row r="13468" customFormat="false" ht="15.75" hidden="false" customHeight="false" outlineLevel="0" collapsed="false">
      <c r="A13468" s="6" t="n">
        <f aca="false">DATE(2026,8,15)</f>
        <v>46249</v>
      </c>
      <c r="B13468" s="4" t="s">
        <v>334</v>
      </c>
      <c r="C13468" s="4" t="n">
        <v>8</v>
      </c>
      <c r="D13468" s="4" t="n">
        <v>3</v>
      </c>
      <c r="E13468" s="4" t="s">
        <v>415</v>
      </c>
      <c r="F13468" s="4" t="n">
        <v>44</v>
      </c>
      <c r="G13468" s="4" t="n">
        <v>3</v>
      </c>
      <c r="H13468" s="4" t="n">
        <v>4</v>
      </c>
      <c r="I13468" s="4" t="str">
        <v>×</v>
      </c>
      <c r="J13468" s="4"/>
      <c r="K13468" s="4"/>
      <c r="L13468" s="4"/>
      <c r="M13468" s="7" t="s">
        <v>6556</v>
      </c>
    </row>
    <row r="13469" customFormat="false" ht="15.75" hidden="false" customHeight="false" outlineLevel="0" collapsed="false">
      <c r="A13469" s="6" t="n">
        <f aca="false">DATE(2026,8,15)</f>
        <v>46249</v>
      </c>
      <c r="B13469" s="4" t="s">
        <v>334</v>
      </c>
      <c r="C13469" s="4" t="n">
        <v>8</v>
      </c>
      <c r="D13469" s="4" t="n">
        <v>4</v>
      </c>
      <c r="E13469" s="4" t="s">
        <v>419</v>
      </c>
      <c r="F13469" s="4" t="n">
        <v>20</v>
      </c>
      <c r="G13469" s="4" t="n">
        <v>8</v>
      </c>
      <c r="H13469" s="4" t="n">
        <v>4</v>
      </c>
      <c r="I13469" s="4" t="str">
        <v>×</v>
      </c>
      <c r="J13469" s="4"/>
      <c r="K13469" s="4"/>
      <c r="L13469" s="4"/>
      <c r="M13469" s="7" t="s">
        <v>6556</v>
      </c>
    </row>
    <row r="13470" customFormat="false" ht="15.75" hidden="false" customHeight="false" outlineLevel="0" collapsed="false">
      <c r="A13470" s="6" t="n">
        <f aca="false">DATE(2026,8,15)</f>
        <v>46249</v>
      </c>
      <c r="B13470" s="4" t="s">
        <v>334</v>
      </c>
      <c r="C13470" s="4" t="n">
        <v>8</v>
      </c>
      <c r="D13470" s="4" t="n">
        <v>5</v>
      </c>
      <c r="E13470" s="4" t="s">
        <v>6706</v>
      </c>
      <c r="F13470" s="4" t="n">
        <v>20</v>
      </c>
      <c r="G13470" s="4" t="n">
        <v>9</v>
      </c>
      <c r="H13470" s="4" t="n">
        <v>4</v>
      </c>
      <c r="I13470" s="4" t="str">
        <v>×</v>
      </c>
      <c r="J13470" s="4"/>
      <c r="K13470" s="4"/>
      <c r="L13470" s="4"/>
      <c r="M13470" s="7" t="s">
        <v>6556</v>
      </c>
    </row>
    <row r="13471" customFormat="false" ht="15.75" hidden="false" customHeight="false" outlineLevel="0" collapsed="false">
      <c r="A13471" s="6" t="n">
        <f aca="false">DATE(2026,8,15)</f>
        <v>46249</v>
      </c>
      <c r="B13471" s="4" t="s">
        <v>334</v>
      </c>
      <c r="C13471" s="4" t="n">
        <v>8</v>
      </c>
      <c r="D13471" s="4" t="n">
        <v>6</v>
      </c>
      <c r="E13471" s="4" t="s">
        <v>410</v>
      </c>
      <c r="F13471" s="4" t="n">
        <v>39</v>
      </c>
      <c r="G13471" s="4" t="n">
        <v>5</v>
      </c>
      <c r="H13471" s="4" t="n">
        <v>4</v>
      </c>
      <c r="I13471" s="4" t="str">
        <v>×</v>
      </c>
      <c r="J13471" s="4"/>
      <c r="K13471" s="4"/>
      <c r="L13471" s="4"/>
      <c r="M13471" s="7" t="s">
        <v>6556</v>
      </c>
    </row>
    <row r="13472" customFormat="false" ht="15.75" hidden="false" customHeight="false" outlineLevel="0" collapsed="false">
      <c r="A13472" s="6" t="n">
        <f aca="false">DATE(2026,8,15)</f>
        <v>46249</v>
      </c>
      <c r="B13472" s="4" t="s">
        <v>334</v>
      </c>
      <c r="C13472" s="4" t="n">
        <v>8</v>
      </c>
      <c r="D13472" s="4" t="n">
        <v>7</v>
      </c>
      <c r="E13472" s="4" t="s">
        <v>2291</v>
      </c>
      <c r="F13472" s="4" t="n">
        <v>41</v>
      </c>
      <c r="G13472" s="4" t="n">
        <v>4</v>
      </c>
      <c r="H13472" s="4" t="n">
        <v>4</v>
      </c>
      <c r="I13472" s="4" t="str">
        <v>×</v>
      </c>
      <c r="J13472" s="4"/>
      <c r="K13472" s="4"/>
      <c r="L13472" s="4"/>
      <c r="M13472" s="7" t="s">
        <v>6556</v>
      </c>
    </row>
    <row r="13473" customFormat="false" ht="15.75" hidden="false" customHeight="false" outlineLevel="0" collapsed="false">
      <c r="A13473" s="6" t="n">
        <f aca="false">DATE(2026,8,15)</f>
        <v>46249</v>
      </c>
      <c r="B13473" s="4" t="s">
        <v>334</v>
      </c>
      <c r="C13473" s="4" t="n">
        <v>8</v>
      </c>
      <c r="D13473" s="4" t="n">
        <v>8</v>
      </c>
      <c r="E13473" s="4" t="s">
        <v>418</v>
      </c>
      <c r="F13473" s="4" t="n">
        <v>23</v>
      </c>
      <c r="G13473" s="4" t="n">
        <v>7</v>
      </c>
      <c r="H13473" s="4" t="n">
        <v>2</v>
      </c>
      <c r="I13473" s="4" t="str">
        <v>○</v>
      </c>
      <c r="J13473" s="4" t="n">
        <v>380</v>
      </c>
      <c r="K13473" s="4"/>
      <c r="L13473" s="4"/>
      <c r="M13473" s="7" t="s">
        <v>6556</v>
      </c>
    </row>
    <row r="13474" customFormat="false" ht="15.75" hidden="false" customHeight="false" outlineLevel="0" collapsed="false">
      <c r="A13474" s="6" t="n">
        <f aca="false">DATE(2026,8,15)</f>
        <v>46249</v>
      </c>
      <c r="B13474" s="4" t="s">
        <v>334</v>
      </c>
      <c r="C13474" s="4" t="n">
        <v>8</v>
      </c>
      <c r="D13474" s="4" t="n">
        <v>9</v>
      </c>
      <c r="E13474" s="4" t="s">
        <v>4141</v>
      </c>
      <c r="F13474" s="4" t="n">
        <v>56</v>
      </c>
      <c r="G13474" s="4" t="n">
        <v>1</v>
      </c>
      <c r="H13474" s="4" t="n">
        <v>1</v>
      </c>
      <c r="I13474" s="4" t="str">
        <v>○</v>
      </c>
      <c r="J13474" s="4" t="n">
        <v>130</v>
      </c>
      <c r="K13474" s="4"/>
      <c r="L13474" s="4"/>
      <c r="M13474" s="7" t="s">
        <v>6556</v>
      </c>
    </row>
    <row r="13475" customFormat="false" ht="15.75" hidden="false" customHeight="false" outlineLevel="0" collapsed="false">
      <c r="A13475" s="6" t="n">
        <f aca="false">DATE(2026,8,15)</f>
        <v>46249</v>
      </c>
      <c r="B13475" s="4" t="s">
        <v>334</v>
      </c>
      <c r="C13475" s="4" t="n">
        <v>8</v>
      </c>
      <c r="D13475" s="4" t="n">
        <v>10</v>
      </c>
      <c r="E13475" s="4" t="s">
        <v>5852</v>
      </c>
      <c r="F13475" s="4" t="n">
        <v>50</v>
      </c>
      <c r="G13475" s="4" t="n">
        <v>2</v>
      </c>
      <c r="H13475" s="4" t="n">
        <v>3</v>
      </c>
      <c r="I13475" s="4" t="str">
        <v>○</v>
      </c>
      <c r="J13475" s="4" t="n">
        <v>160</v>
      </c>
      <c r="K13475" s="4"/>
      <c r="L13475" s="4"/>
      <c r="M13475" s="7" t="s">
        <v>6556</v>
      </c>
    </row>
    <row r="13476" customFormat="false" ht="15.75" hidden="false" customHeight="false" outlineLevel="0" collapsed="false">
      <c r="A13476" s="6" t="n">
        <f aca="false">DATE(2026,8,15)</f>
        <v>46249</v>
      </c>
      <c r="B13476" s="4" t="s">
        <v>334</v>
      </c>
      <c r="C13476" s="4" t="n">
        <v>8</v>
      </c>
      <c r="D13476" s="4" t="n">
        <v>11</v>
      </c>
      <c r="E13476" s="4" t="s">
        <v>6707</v>
      </c>
      <c r="F13476" s="4" t="n">
        <v>4</v>
      </c>
      <c r="G13476" s="4" t="n">
        <v>10</v>
      </c>
      <c r="H13476" s="4" t="n">
        <v>4</v>
      </c>
      <c r="I13476" s="4" t="str">
        <v>×</v>
      </c>
      <c r="J13476" s="4"/>
      <c r="K13476" s="4"/>
      <c r="L13476" s="4"/>
      <c r="M13476" s="7" t="s">
        <v>6556</v>
      </c>
    </row>
    <row r="13477" customFormat="false" ht="15.75" hidden="false" customHeight="false" outlineLevel="0" collapsed="false">
      <c r="A13477" s="6" t="n">
        <f aca="false">DATE(2026,8,15)</f>
        <v>46249</v>
      </c>
      <c r="B13477" s="4" t="s">
        <v>334</v>
      </c>
      <c r="C13477" s="4" t="n">
        <v>9</v>
      </c>
      <c r="D13477" s="4" t="n">
        <v>1</v>
      </c>
      <c r="E13477" s="4" t="s">
        <v>2676</v>
      </c>
      <c r="F13477" s="4" t="n">
        <v>34</v>
      </c>
      <c r="G13477" s="4" t="n">
        <v>5</v>
      </c>
      <c r="H13477" s="4" t="n">
        <v>3</v>
      </c>
      <c r="I13477" s="4" t="str">
        <v>○</v>
      </c>
      <c r="J13477" s="4" t="n">
        <v>150</v>
      </c>
      <c r="K13477" s="4"/>
      <c r="L13477" s="4"/>
      <c r="M13477" s="7" t="s">
        <v>6556</v>
      </c>
    </row>
    <row r="13478" customFormat="false" ht="15.75" hidden="false" customHeight="false" outlineLevel="0" collapsed="false">
      <c r="A13478" s="6" t="n">
        <f aca="false">DATE(2026,8,15)</f>
        <v>46249</v>
      </c>
      <c r="B13478" s="4" t="s">
        <v>334</v>
      </c>
      <c r="C13478" s="4" t="n">
        <v>9</v>
      </c>
      <c r="D13478" s="4" t="n">
        <v>2</v>
      </c>
      <c r="E13478" s="4" t="s">
        <v>6708</v>
      </c>
      <c r="F13478" s="4" t="n">
        <v>8</v>
      </c>
      <c r="G13478" s="4" t="n">
        <v>8</v>
      </c>
      <c r="H13478" s="4" t="n">
        <v>4</v>
      </c>
      <c r="I13478" s="4" t="str">
        <v>×</v>
      </c>
      <c r="J13478" s="4"/>
      <c r="K13478" s="4"/>
      <c r="L13478" s="4"/>
      <c r="M13478" s="7" t="s">
        <v>6556</v>
      </c>
    </row>
    <row r="13479" customFormat="false" ht="15.75" hidden="false" customHeight="false" outlineLevel="0" collapsed="false">
      <c r="A13479" s="6" t="n">
        <f aca="false">DATE(2026,8,15)</f>
        <v>46249</v>
      </c>
      <c r="B13479" s="4" t="s">
        <v>334</v>
      </c>
      <c r="C13479" s="4" t="n">
        <v>9</v>
      </c>
      <c r="D13479" s="4" t="n">
        <v>3</v>
      </c>
      <c r="E13479" s="4" t="s">
        <v>6709</v>
      </c>
      <c r="F13479" s="4" t="n">
        <v>52</v>
      </c>
      <c r="G13479" s="4" t="n">
        <v>2</v>
      </c>
      <c r="H13479" s="4" t="n">
        <v>4</v>
      </c>
      <c r="I13479" s="4" t="str">
        <v>×</v>
      </c>
      <c r="J13479" s="4"/>
      <c r="K13479" s="4"/>
      <c r="L13479" s="4"/>
      <c r="M13479" s="7" t="s">
        <v>6556</v>
      </c>
    </row>
    <row r="13480" customFormat="false" ht="15.75" hidden="false" customHeight="false" outlineLevel="0" collapsed="false">
      <c r="A13480" s="6" t="n">
        <f aca="false">DATE(2026,8,15)</f>
        <v>46249</v>
      </c>
      <c r="B13480" s="4" t="s">
        <v>334</v>
      </c>
      <c r="C13480" s="4" t="n">
        <v>9</v>
      </c>
      <c r="D13480" s="4" t="n">
        <v>4</v>
      </c>
      <c r="E13480" s="4" t="s">
        <v>6710</v>
      </c>
      <c r="F13480" s="4" t="n">
        <v>10</v>
      </c>
      <c r="G13480" s="4" t="n">
        <v>6</v>
      </c>
      <c r="H13480" s="4" t="n">
        <v>4</v>
      </c>
      <c r="I13480" s="4" t="str">
        <v>×</v>
      </c>
      <c r="J13480" s="4"/>
      <c r="K13480" s="4"/>
      <c r="L13480" s="4"/>
      <c r="M13480" s="7" t="s">
        <v>6556</v>
      </c>
    </row>
    <row r="13481" customFormat="false" ht="15.75" hidden="false" customHeight="false" outlineLevel="0" collapsed="false">
      <c r="A13481" s="6" t="n">
        <f aca="false">DATE(2026,8,15)</f>
        <v>46249</v>
      </c>
      <c r="B13481" s="4" t="s">
        <v>334</v>
      </c>
      <c r="C13481" s="4" t="n">
        <v>9</v>
      </c>
      <c r="D13481" s="4" t="n">
        <v>5</v>
      </c>
      <c r="E13481" s="4" t="s">
        <v>6711</v>
      </c>
      <c r="F13481" s="4" t="n">
        <v>10</v>
      </c>
      <c r="G13481" s="4" t="n">
        <v>7</v>
      </c>
      <c r="H13481" s="4" t="n">
        <v>4</v>
      </c>
      <c r="I13481" s="4" t="str">
        <v>×</v>
      </c>
      <c r="J13481" s="4"/>
      <c r="K13481" s="4"/>
      <c r="L13481" s="4"/>
      <c r="M13481" s="7" t="s">
        <v>6556</v>
      </c>
    </row>
    <row r="13482" customFormat="false" ht="15.75" hidden="false" customHeight="false" outlineLevel="0" collapsed="false">
      <c r="A13482" s="6" t="n">
        <f aca="false">DATE(2026,8,15)</f>
        <v>46249</v>
      </c>
      <c r="B13482" s="4" t="s">
        <v>334</v>
      </c>
      <c r="C13482" s="4" t="n">
        <v>9</v>
      </c>
      <c r="D13482" s="4" t="n">
        <v>6</v>
      </c>
      <c r="E13482" s="4" t="s">
        <v>4435</v>
      </c>
      <c r="F13482" s="4" t="n">
        <v>41</v>
      </c>
      <c r="G13482" s="4" t="n">
        <v>4</v>
      </c>
      <c r="H13482" s="4" t="n">
        <v>2</v>
      </c>
      <c r="I13482" s="4" t="str">
        <v>○</v>
      </c>
      <c r="J13482" s="4" t="n">
        <v>120</v>
      </c>
      <c r="K13482" s="4"/>
      <c r="L13482" s="4"/>
      <c r="M13482" s="7" t="s">
        <v>6556</v>
      </c>
    </row>
    <row r="13483" customFormat="false" ht="15.75" hidden="false" customHeight="false" outlineLevel="0" collapsed="false">
      <c r="A13483" s="6" t="n">
        <f aca="false">DATE(2026,8,15)</f>
        <v>46249</v>
      </c>
      <c r="B13483" s="4" t="s">
        <v>334</v>
      </c>
      <c r="C13483" s="4" t="n">
        <v>9</v>
      </c>
      <c r="D13483" s="4" t="n">
        <v>7</v>
      </c>
      <c r="E13483" s="4" t="s">
        <v>3351</v>
      </c>
      <c r="F13483" s="4" t="n">
        <v>47</v>
      </c>
      <c r="G13483" s="4" t="n">
        <v>3</v>
      </c>
      <c r="H13483" s="4" t="n">
        <v>4</v>
      </c>
      <c r="I13483" s="4" t="str">
        <v>×</v>
      </c>
      <c r="J13483" s="4"/>
      <c r="K13483" s="4"/>
      <c r="L13483" s="4"/>
      <c r="M13483" s="7" t="s">
        <v>6556</v>
      </c>
    </row>
    <row r="13484" customFormat="false" ht="15.75" hidden="false" customHeight="false" outlineLevel="0" collapsed="false">
      <c r="A13484" s="6" t="n">
        <f aca="false">DATE(2026,8,15)</f>
        <v>46249</v>
      </c>
      <c r="B13484" s="4" t="s">
        <v>334</v>
      </c>
      <c r="C13484" s="4" t="n">
        <v>9</v>
      </c>
      <c r="D13484" s="4" t="n">
        <v>8</v>
      </c>
      <c r="E13484" s="4" t="s">
        <v>2602</v>
      </c>
      <c r="F13484" s="4" t="n">
        <v>65</v>
      </c>
      <c r="G13484" s="4" t="n">
        <v>1</v>
      </c>
      <c r="H13484" s="4" t="n">
        <v>1</v>
      </c>
      <c r="I13484" s="4" t="str">
        <v>○</v>
      </c>
      <c r="J13484" s="4" t="n">
        <v>120</v>
      </c>
      <c r="K13484" s="4"/>
      <c r="L13484" s="4"/>
      <c r="M13484" s="7" t="s">
        <v>6556</v>
      </c>
    </row>
    <row r="13485" customFormat="false" ht="15.75" hidden="false" customHeight="false" outlineLevel="0" collapsed="false">
      <c r="A13485" s="6" t="n">
        <f aca="false">DATE(2026,8,15)</f>
        <v>46249</v>
      </c>
      <c r="B13485" s="4" t="s">
        <v>334</v>
      </c>
      <c r="C13485" s="4" t="n">
        <v>10</v>
      </c>
      <c r="D13485" s="4" t="n">
        <v>1</v>
      </c>
      <c r="E13485" s="4" t="s">
        <v>3562</v>
      </c>
      <c r="F13485" s="4" t="n">
        <v>8</v>
      </c>
      <c r="G13485" s="4" t="n">
        <v>13</v>
      </c>
      <c r="H13485" s="4" t="n">
        <v>4</v>
      </c>
      <c r="I13485" s="4" t="str">
        <v>×</v>
      </c>
      <c r="J13485" s="4"/>
      <c r="K13485" s="4"/>
      <c r="L13485" s="4"/>
      <c r="M13485" s="7" t="s">
        <v>6556</v>
      </c>
    </row>
    <row r="13486" customFormat="false" ht="15.75" hidden="false" customHeight="false" outlineLevel="0" collapsed="false">
      <c r="A13486" s="6" t="n">
        <f aca="false">DATE(2026,8,15)</f>
        <v>46249</v>
      </c>
      <c r="B13486" s="4" t="s">
        <v>334</v>
      </c>
      <c r="C13486" s="4" t="n">
        <v>10</v>
      </c>
      <c r="D13486" s="4" t="n">
        <v>2</v>
      </c>
      <c r="E13486" s="4" t="s">
        <v>3301</v>
      </c>
      <c r="F13486" s="4" t="n">
        <v>23</v>
      </c>
      <c r="G13486" s="4" t="n">
        <v>5</v>
      </c>
      <c r="H13486" s="4" t="n">
        <v>2</v>
      </c>
      <c r="I13486" s="4" t="str">
        <v>○</v>
      </c>
      <c r="J13486" s="4" t="n">
        <v>220</v>
      </c>
      <c r="K13486" s="4"/>
      <c r="L13486" s="4"/>
      <c r="M13486" s="7" t="s">
        <v>6556</v>
      </c>
    </row>
    <row r="13487" customFormat="false" ht="15.75" hidden="false" customHeight="false" outlineLevel="0" collapsed="false">
      <c r="A13487" s="6" t="n">
        <f aca="false">DATE(2026,8,15)</f>
        <v>46249</v>
      </c>
      <c r="B13487" s="4" t="s">
        <v>334</v>
      </c>
      <c r="C13487" s="4" t="n">
        <v>10</v>
      </c>
      <c r="D13487" s="4" t="n">
        <v>3</v>
      </c>
      <c r="E13487" s="4" t="s">
        <v>1351</v>
      </c>
      <c r="F13487" s="4" t="n">
        <v>10</v>
      </c>
      <c r="G13487" s="4" t="n">
        <v>12</v>
      </c>
      <c r="H13487" s="4" t="n">
        <v>4</v>
      </c>
      <c r="I13487" s="4" t="str">
        <v>×</v>
      </c>
      <c r="J13487" s="4"/>
      <c r="K13487" s="4"/>
      <c r="L13487" s="4"/>
      <c r="M13487" s="7" t="s">
        <v>6556</v>
      </c>
    </row>
    <row r="13488" customFormat="false" ht="15.75" hidden="false" customHeight="false" outlineLevel="0" collapsed="false">
      <c r="A13488" s="6" t="n">
        <f aca="false">DATE(2026,8,15)</f>
        <v>46249</v>
      </c>
      <c r="B13488" s="4" t="s">
        <v>334</v>
      </c>
      <c r="C13488" s="4" t="n">
        <v>10</v>
      </c>
      <c r="D13488" s="4" t="n">
        <v>4</v>
      </c>
      <c r="E13488" s="4" t="s">
        <v>6712</v>
      </c>
      <c r="F13488" s="4" t="n">
        <v>20</v>
      </c>
      <c r="G13488" s="4" t="n">
        <v>8</v>
      </c>
      <c r="H13488" s="4" t="n">
        <v>4</v>
      </c>
      <c r="I13488" s="4" t="str">
        <v>×</v>
      </c>
      <c r="J13488" s="4"/>
      <c r="K13488" s="4"/>
      <c r="L13488" s="4"/>
      <c r="M13488" s="7" t="s">
        <v>6556</v>
      </c>
    </row>
    <row r="13489" customFormat="false" ht="15.75" hidden="false" customHeight="false" outlineLevel="0" collapsed="false">
      <c r="A13489" s="6" t="n">
        <f aca="false">DATE(2026,8,15)</f>
        <v>46249</v>
      </c>
      <c r="B13489" s="4" t="s">
        <v>334</v>
      </c>
      <c r="C13489" s="4" t="n">
        <v>10</v>
      </c>
      <c r="D13489" s="4" t="n">
        <v>5</v>
      </c>
      <c r="E13489" s="4" t="s">
        <v>6713</v>
      </c>
      <c r="F13489" s="4" t="n">
        <v>20</v>
      </c>
      <c r="G13489" s="4" t="n">
        <v>9</v>
      </c>
      <c r="H13489" s="4" t="n">
        <v>4</v>
      </c>
      <c r="I13489" s="4" t="str">
        <v>×</v>
      </c>
      <c r="J13489" s="4"/>
      <c r="K13489" s="4"/>
      <c r="L13489" s="4"/>
      <c r="M13489" s="7" t="s">
        <v>6556</v>
      </c>
    </row>
    <row r="13490" customFormat="false" ht="15.75" hidden="false" customHeight="false" outlineLevel="0" collapsed="false">
      <c r="A13490" s="6" t="n">
        <f aca="false">DATE(2026,8,15)</f>
        <v>46249</v>
      </c>
      <c r="B13490" s="4" t="s">
        <v>334</v>
      </c>
      <c r="C13490" s="4" t="n">
        <v>10</v>
      </c>
      <c r="D13490" s="4" t="n">
        <v>6</v>
      </c>
      <c r="E13490" s="4" t="s">
        <v>6714</v>
      </c>
      <c r="F13490" s="4" t="n">
        <v>6</v>
      </c>
      <c r="G13490" s="4" t="n">
        <v>14</v>
      </c>
      <c r="H13490" s="4" t="n">
        <v>4</v>
      </c>
      <c r="I13490" s="4" t="str">
        <v>×</v>
      </c>
      <c r="J13490" s="4"/>
      <c r="K13490" s="4"/>
      <c r="L13490" s="4"/>
      <c r="M13490" s="7" t="s">
        <v>6556</v>
      </c>
    </row>
    <row r="13491" customFormat="false" ht="15.75" hidden="false" customHeight="false" outlineLevel="0" collapsed="false">
      <c r="A13491" s="6" t="n">
        <f aca="false">DATE(2026,8,15)</f>
        <v>46249</v>
      </c>
      <c r="B13491" s="4" t="s">
        <v>334</v>
      </c>
      <c r="C13491" s="4" t="n">
        <v>10</v>
      </c>
      <c r="D13491" s="4" t="n">
        <v>7</v>
      </c>
      <c r="E13491" s="4" t="s">
        <v>5412</v>
      </c>
      <c r="F13491" s="4" t="n">
        <v>25</v>
      </c>
      <c r="G13491" s="4" t="n">
        <v>3</v>
      </c>
      <c r="H13491" s="4" t="n">
        <v>4</v>
      </c>
      <c r="I13491" s="4" t="str">
        <v>×</v>
      </c>
      <c r="J13491" s="4"/>
      <c r="K13491" s="4"/>
      <c r="L13491" s="4"/>
      <c r="M13491" s="7" t="s">
        <v>6556</v>
      </c>
    </row>
    <row r="13492" customFormat="false" ht="15.75" hidden="false" customHeight="false" outlineLevel="0" collapsed="false">
      <c r="A13492" s="6" t="n">
        <f aca="false">DATE(2026,8,15)</f>
        <v>46249</v>
      </c>
      <c r="B13492" s="4" t="s">
        <v>334</v>
      </c>
      <c r="C13492" s="4" t="n">
        <v>10</v>
      </c>
      <c r="D13492" s="4" t="n">
        <v>8</v>
      </c>
      <c r="E13492" s="4" t="s">
        <v>407</v>
      </c>
      <c r="F13492" s="4" t="n">
        <v>17</v>
      </c>
      <c r="G13492" s="4" t="n">
        <v>10</v>
      </c>
      <c r="H13492" s="4" t="n">
        <v>4</v>
      </c>
      <c r="I13492" s="4" t="str">
        <v>×</v>
      </c>
      <c r="J13492" s="4"/>
      <c r="K13492" s="4"/>
      <c r="L13492" s="4"/>
      <c r="M13492" s="7" t="s">
        <v>6556</v>
      </c>
    </row>
    <row r="13493" customFormat="false" ht="15.75" hidden="false" customHeight="false" outlineLevel="0" collapsed="false">
      <c r="A13493" s="6" t="n">
        <f aca="false">DATE(2026,8,15)</f>
        <v>46249</v>
      </c>
      <c r="B13493" s="4" t="s">
        <v>334</v>
      </c>
      <c r="C13493" s="4" t="n">
        <v>10</v>
      </c>
      <c r="D13493" s="4" t="n">
        <v>9</v>
      </c>
      <c r="E13493" s="4" t="s">
        <v>4152</v>
      </c>
      <c r="F13493" s="4" t="n">
        <v>2</v>
      </c>
      <c r="G13493" s="4" t="n">
        <v>16</v>
      </c>
      <c r="H13493" s="4" t="n">
        <v>4</v>
      </c>
      <c r="I13493" s="4" t="str">
        <v>×</v>
      </c>
      <c r="J13493" s="4"/>
      <c r="K13493" s="4"/>
      <c r="L13493" s="4"/>
      <c r="M13493" s="7" t="s">
        <v>6556</v>
      </c>
    </row>
    <row r="13494" customFormat="false" ht="15.75" hidden="false" customHeight="false" outlineLevel="0" collapsed="false">
      <c r="A13494" s="6" t="n">
        <f aca="false">DATE(2026,8,15)</f>
        <v>46249</v>
      </c>
      <c r="B13494" s="4" t="s">
        <v>334</v>
      </c>
      <c r="C13494" s="4" t="n">
        <v>10</v>
      </c>
      <c r="D13494" s="4" t="n">
        <v>10</v>
      </c>
      <c r="E13494" s="4" t="s">
        <v>4402</v>
      </c>
      <c r="F13494" s="4" t="n">
        <v>23</v>
      </c>
      <c r="G13494" s="4" t="n">
        <v>6</v>
      </c>
      <c r="H13494" s="4" t="n">
        <v>4</v>
      </c>
      <c r="I13494" s="4" t="str">
        <v>×</v>
      </c>
      <c r="J13494" s="4"/>
      <c r="K13494" s="4"/>
      <c r="L13494" s="4"/>
      <c r="M13494" s="7" t="s">
        <v>6556</v>
      </c>
    </row>
    <row r="13495" customFormat="false" ht="15.75" hidden="false" customHeight="false" outlineLevel="0" collapsed="false">
      <c r="A13495" s="6" t="n">
        <f aca="false">DATE(2026,8,15)</f>
        <v>46249</v>
      </c>
      <c r="B13495" s="4" t="s">
        <v>334</v>
      </c>
      <c r="C13495" s="4" t="n">
        <v>10</v>
      </c>
      <c r="D13495" s="4" t="n">
        <v>11</v>
      </c>
      <c r="E13495" s="4" t="s">
        <v>1028</v>
      </c>
      <c r="F13495" s="4" t="n">
        <v>29</v>
      </c>
      <c r="G13495" s="4" t="n">
        <v>2</v>
      </c>
      <c r="H13495" s="4" t="n">
        <v>4</v>
      </c>
      <c r="I13495" s="4" t="str">
        <v>×</v>
      </c>
      <c r="J13495" s="4"/>
      <c r="K13495" s="4"/>
      <c r="L13495" s="4"/>
      <c r="M13495" s="7" t="s">
        <v>6556</v>
      </c>
    </row>
    <row r="13496" customFormat="false" ht="15.75" hidden="false" customHeight="false" outlineLevel="0" collapsed="false">
      <c r="A13496" s="6" t="n">
        <f aca="false">DATE(2026,8,15)</f>
        <v>46249</v>
      </c>
      <c r="B13496" s="4" t="s">
        <v>334</v>
      </c>
      <c r="C13496" s="4" t="n">
        <v>10</v>
      </c>
      <c r="D13496" s="4" t="n">
        <v>12</v>
      </c>
      <c r="E13496" s="4" t="s">
        <v>3293</v>
      </c>
      <c r="F13496" s="4" t="n">
        <v>47</v>
      </c>
      <c r="G13496" s="4" t="n">
        <v>1</v>
      </c>
      <c r="H13496" s="4" t="n">
        <v>1</v>
      </c>
      <c r="I13496" s="4" t="str">
        <v>○</v>
      </c>
      <c r="J13496" s="4" t="n">
        <v>110</v>
      </c>
      <c r="K13496" s="4"/>
      <c r="L13496" s="4"/>
      <c r="M13496" s="7" t="s">
        <v>6556</v>
      </c>
    </row>
    <row r="13497" customFormat="false" ht="15.75" hidden="false" customHeight="false" outlineLevel="0" collapsed="false">
      <c r="A13497" s="6" t="n">
        <f aca="false">DATE(2026,8,15)</f>
        <v>46249</v>
      </c>
      <c r="B13497" s="4" t="s">
        <v>334</v>
      </c>
      <c r="C13497" s="4" t="n">
        <v>10</v>
      </c>
      <c r="D13497" s="4" t="n">
        <v>13</v>
      </c>
      <c r="E13497" s="4" t="s">
        <v>3299</v>
      </c>
      <c r="F13497" s="4" t="n">
        <v>13</v>
      </c>
      <c r="G13497" s="4" t="n">
        <v>11</v>
      </c>
      <c r="H13497" s="4" t="n">
        <v>4</v>
      </c>
      <c r="I13497" s="4" t="str">
        <v>×</v>
      </c>
      <c r="J13497" s="4"/>
      <c r="K13497" s="4"/>
      <c r="L13497" s="4"/>
      <c r="M13497" s="7" t="s">
        <v>6556</v>
      </c>
    </row>
    <row r="13498" customFormat="false" ht="15.75" hidden="false" customHeight="false" outlineLevel="0" collapsed="false">
      <c r="A13498" s="6" t="n">
        <f aca="false">DATE(2026,8,15)</f>
        <v>46249</v>
      </c>
      <c r="B13498" s="4" t="s">
        <v>334</v>
      </c>
      <c r="C13498" s="4" t="n">
        <v>10</v>
      </c>
      <c r="D13498" s="4" t="n">
        <v>14</v>
      </c>
      <c r="E13498" s="4" t="s">
        <v>2961</v>
      </c>
      <c r="F13498" s="4" t="n">
        <v>23</v>
      </c>
      <c r="G13498" s="4" t="n">
        <v>7</v>
      </c>
      <c r="H13498" s="4" t="n">
        <v>3</v>
      </c>
      <c r="I13498" s="4" t="str">
        <v>○</v>
      </c>
      <c r="J13498" s="4" t="n">
        <v>210</v>
      </c>
      <c r="K13498" s="4"/>
      <c r="L13498" s="4"/>
      <c r="M13498" s="7" t="s">
        <v>6556</v>
      </c>
    </row>
    <row r="13499" customFormat="false" ht="15.75" hidden="false" customHeight="false" outlineLevel="0" collapsed="false">
      <c r="A13499" s="6" t="n">
        <f aca="false">DATE(2026,8,15)</f>
        <v>46249</v>
      </c>
      <c r="B13499" s="4" t="s">
        <v>334</v>
      </c>
      <c r="C13499" s="4" t="n">
        <v>10</v>
      </c>
      <c r="D13499" s="4" t="n">
        <v>15</v>
      </c>
      <c r="E13499" s="4" t="s">
        <v>3297</v>
      </c>
      <c r="F13499" s="4" t="n">
        <v>25</v>
      </c>
      <c r="G13499" s="4" t="n">
        <v>4</v>
      </c>
      <c r="H13499" s="4" t="n">
        <v>4</v>
      </c>
      <c r="I13499" s="4" t="str">
        <v>×</v>
      </c>
      <c r="J13499" s="4"/>
      <c r="K13499" s="4"/>
      <c r="L13499" s="4"/>
      <c r="M13499" s="7" t="s">
        <v>6556</v>
      </c>
    </row>
    <row r="13500" customFormat="false" ht="15.75" hidden="false" customHeight="false" outlineLevel="0" collapsed="false">
      <c r="A13500" s="6" t="n">
        <f aca="false">DATE(2026,8,15)</f>
        <v>46249</v>
      </c>
      <c r="B13500" s="4" t="s">
        <v>334</v>
      </c>
      <c r="C13500" s="4" t="n">
        <v>10</v>
      </c>
      <c r="D13500" s="4" t="n">
        <v>16</v>
      </c>
      <c r="E13500" s="4" t="s">
        <v>2255</v>
      </c>
      <c r="F13500" s="4" t="n">
        <v>6</v>
      </c>
      <c r="G13500" s="4" t="n">
        <v>15</v>
      </c>
      <c r="H13500" s="4" t="n">
        <v>4</v>
      </c>
      <c r="I13500" s="4" t="str">
        <v>×</v>
      </c>
      <c r="J13500" s="4"/>
      <c r="K13500" s="4"/>
      <c r="L13500" s="4"/>
      <c r="M13500" s="7" t="s">
        <v>6556</v>
      </c>
    </row>
    <row r="13501" customFormat="false" ht="15.75" hidden="false" customHeight="false" outlineLevel="0" collapsed="false">
      <c r="A13501" s="6" t="n">
        <f aca="false">DATE(2026,8,15)</f>
        <v>46249</v>
      </c>
      <c r="B13501" s="4" t="s">
        <v>334</v>
      </c>
      <c r="C13501" s="4" t="n">
        <v>11</v>
      </c>
      <c r="D13501" s="4" t="n">
        <v>1</v>
      </c>
      <c r="E13501" s="4" t="s">
        <v>1681</v>
      </c>
      <c r="F13501" s="4" t="n">
        <v>41</v>
      </c>
      <c r="G13501" s="4" t="n">
        <v>2</v>
      </c>
      <c r="H13501" s="4" t="n">
        <v>4</v>
      </c>
      <c r="I13501" s="4" t="str">
        <v>×</v>
      </c>
      <c r="J13501" s="4"/>
      <c r="K13501" s="4"/>
      <c r="L13501" s="4"/>
      <c r="M13501" s="7" t="s">
        <v>6556</v>
      </c>
    </row>
    <row r="13502" customFormat="false" ht="15.75" hidden="false" customHeight="false" outlineLevel="0" collapsed="false">
      <c r="A13502" s="6" t="n">
        <f aca="false">DATE(2026,8,15)</f>
        <v>46249</v>
      </c>
      <c r="B13502" s="4" t="s">
        <v>334</v>
      </c>
      <c r="C13502" s="4" t="n">
        <v>11</v>
      </c>
      <c r="D13502" s="4" t="n">
        <v>2</v>
      </c>
      <c r="E13502" s="4" t="s">
        <v>5965</v>
      </c>
      <c r="F13502" s="4" t="n">
        <v>20</v>
      </c>
      <c r="G13502" s="4" t="n">
        <v>4</v>
      </c>
      <c r="H13502" s="4" t="n">
        <v>4</v>
      </c>
      <c r="I13502" s="4" t="str">
        <v>×</v>
      </c>
      <c r="J13502" s="4"/>
      <c r="K13502" s="4"/>
      <c r="L13502" s="4"/>
      <c r="M13502" s="7" t="s">
        <v>6556</v>
      </c>
    </row>
    <row r="13503" customFormat="false" ht="15.75" hidden="false" customHeight="false" outlineLevel="0" collapsed="false">
      <c r="A13503" s="6" t="n">
        <f aca="false">DATE(2026,8,15)</f>
        <v>46249</v>
      </c>
      <c r="B13503" s="4" t="s">
        <v>334</v>
      </c>
      <c r="C13503" s="4" t="n">
        <v>11</v>
      </c>
      <c r="D13503" s="4" t="n">
        <v>3</v>
      </c>
      <c r="E13503" s="4" t="s">
        <v>3527</v>
      </c>
      <c r="F13503" s="4" t="n">
        <v>10</v>
      </c>
      <c r="G13503" s="4" t="n">
        <v>11</v>
      </c>
      <c r="H13503" s="4" t="n">
        <v>4</v>
      </c>
      <c r="I13503" s="4" t="str">
        <v>×</v>
      </c>
      <c r="J13503" s="4"/>
      <c r="K13503" s="4"/>
      <c r="L13503" s="4"/>
      <c r="M13503" s="7" t="s">
        <v>6556</v>
      </c>
    </row>
    <row r="13504" customFormat="false" ht="15.75" hidden="false" customHeight="false" outlineLevel="0" collapsed="false">
      <c r="A13504" s="6" t="n">
        <f aca="false">DATE(2026,8,15)</f>
        <v>46249</v>
      </c>
      <c r="B13504" s="4" t="s">
        <v>334</v>
      </c>
      <c r="C13504" s="4" t="n">
        <v>11</v>
      </c>
      <c r="D13504" s="4" t="n">
        <v>4</v>
      </c>
      <c r="E13504" s="4" t="s">
        <v>2262</v>
      </c>
      <c r="F13504" s="4" t="n">
        <v>6</v>
      </c>
      <c r="G13504" s="4" t="n">
        <v>13</v>
      </c>
      <c r="H13504" s="4" t="n">
        <v>4</v>
      </c>
      <c r="I13504" s="4" t="str">
        <v>×</v>
      </c>
      <c r="J13504" s="4"/>
      <c r="K13504" s="4"/>
      <c r="L13504" s="4"/>
      <c r="M13504" s="7" t="s">
        <v>6556</v>
      </c>
    </row>
    <row r="13505" customFormat="false" ht="15.75" hidden="false" customHeight="false" outlineLevel="0" collapsed="false">
      <c r="A13505" s="6" t="n">
        <f aca="false">DATE(2026,8,15)</f>
        <v>46249</v>
      </c>
      <c r="B13505" s="4" t="s">
        <v>334</v>
      </c>
      <c r="C13505" s="4" t="n">
        <v>11</v>
      </c>
      <c r="D13505" s="4" t="n">
        <v>5</v>
      </c>
      <c r="E13505" s="4" t="s">
        <v>2393</v>
      </c>
      <c r="F13505" s="4" t="n">
        <v>15</v>
      </c>
      <c r="G13505" s="4" t="n">
        <v>7</v>
      </c>
      <c r="H13505" s="4" t="n">
        <v>2</v>
      </c>
      <c r="I13505" s="4" t="str">
        <v>○</v>
      </c>
      <c r="J13505" s="4" t="n">
        <v>250</v>
      </c>
      <c r="K13505" s="4"/>
      <c r="L13505" s="4"/>
      <c r="M13505" s="7" t="s">
        <v>6556</v>
      </c>
    </row>
    <row r="13506" customFormat="false" ht="15.75" hidden="false" customHeight="false" outlineLevel="0" collapsed="false">
      <c r="A13506" s="6" t="n">
        <f aca="false">DATE(2026,8,15)</f>
        <v>46249</v>
      </c>
      <c r="B13506" s="4" t="s">
        <v>334</v>
      </c>
      <c r="C13506" s="4" t="n">
        <v>11</v>
      </c>
      <c r="D13506" s="4" t="n">
        <v>6</v>
      </c>
      <c r="E13506" s="4" t="s">
        <v>4953</v>
      </c>
      <c r="F13506" s="4" t="n">
        <v>10</v>
      </c>
      <c r="G13506" s="4" t="n">
        <v>12</v>
      </c>
      <c r="H13506" s="4" t="n">
        <v>4</v>
      </c>
      <c r="I13506" s="4" t="str">
        <v>×</v>
      </c>
      <c r="J13506" s="4"/>
      <c r="K13506" s="4"/>
      <c r="L13506" s="4"/>
      <c r="M13506" s="7" t="s">
        <v>6556</v>
      </c>
    </row>
    <row r="13507" customFormat="false" ht="15.75" hidden="false" customHeight="false" outlineLevel="0" collapsed="false">
      <c r="A13507" s="6" t="n">
        <f aca="false">DATE(2026,8,15)</f>
        <v>46249</v>
      </c>
      <c r="B13507" s="4" t="s">
        <v>334</v>
      </c>
      <c r="C13507" s="4" t="n">
        <v>11</v>
      </c>
      <c r="D13507" s="4" t="n">
        <v>7</v>
      </c>
      <c r="E13507" s="4" t="s">
        <v>6715</v>
      </c>
      <c r="F13507" s="4" t="n">
        <v>39</v>
      </c>
      <c r="G13507" s="4" t="n">
        <v>3</v>
      </c>
      <c r="H13507" s="4" t="n">
        <v>3</v>
      </c>
      <c r="I13507" s="4" t="str">
        <v>○</v>
      </c>
      <c r="J13507" s="4" t="n">
        <v>150</v>
      </c>
      <c r="K13507" s="4"/>
      <c r="L13507" s="4"/>
      <c r="M13507" s="7" t="s">
        <v>6556</v>
      </c>
    </row>
    <row r="13508" customFormat="false" ht="15.75" hidden="false" customHeight="false" outlineLevel="0" collapsed="false">
      <c r="A13508" s="6" t="n">
        <f aca="false">DATE(2026,8,15)</f>
        <v>46249</v>
      </c>
      <c r="B13508" s="4" t="s">
        <v>334</v>
      </c>
      <c r="C13508" s="4" t="n">
        <v>11</v>
      </c>
      <c r="D13508" s="4" t="n">
        <v>8</v>
      </c>
      <c r="E13508" s="4" t="s">
        <v>4967</v>
      </c>
      <c r="F13508" s="4" t="n">
        <v>15</v>
      </c>
      <c r="G13508" s="4" t="n">
        <v>8</v>
      </c>
      <c r="H13508" s="4" t="n">
        <v>4</v>
      </c>
      <c r="I13508" s="4" t="str">
        <v>×</v>
      </c>
      <c r="J13508" s="4"/>
      <c r="K13508" s="4"/>
      <c r="L13508" s="4"/>
      <c r="M13508" s="7" t="s">
        <v>6556</v>
      </c>
    </row>
    <row r="13509" customFormat="false" ht="15.75" hidden="false" customHeight="false" outlineLevel="0" collapsed="false">
      <c r="A13509" s="6" t="n">
        <f aca="false">DATE(2026,8,15)</f>
        <v>46249</v>
      </c>
      <c r="B13509" s="4" t="s">
        <v>334</v>
      </c>
      <c r="C13509" s="4" t="n">
        <v>11</v>
      </c>
      <c r="D13509" s="4" t="n">
        <v>9</v>
      </c>
      <c r="E13509" s="4" t="s">
        <v>4157</v>
      </c>
      <c r="F13509" s="4" t="n">
        <v>4</v>
      </c>
      <c r="G13509" s="4" t="n">
        <v>14</v>
      </c>
      <c r="H13509" s="4" t="n">
        <v>4</v>
      </c>
      <c r="I13509" s="4" t="str">
        <v>×</v>
      </c>
      <c r="J13509" s="4"/>
      <c r="K13509" s="4"/>
      <c r="L13509" s="4"/>
      <c r="M13509" s="7" t="s">
        <v>6556</v>
      </c>
    </row>
    <row r="13510" customFormat="false" ht="15.75" hidden="false" customHeight="false" outlineLevel="0" collapsed="false">
      <c r="A13510" s="6" t="n">
        <f aca="false">DATE(2026,8,15)</f>
        <v>46249</v>
      </c>
      <c r="B13510" s="4" t="s">
        <v>334</v>
      </c>
      <c r="C13510" s="4" t="n">
        <v>11</v>
      </c>
      <c r="D13510" s="4" t="n">
        <v>10</v>
      </c>
      <c r="E13510" s="4" t="s">
        <v>1682</v>
      </c>
      <c r="F13510" s="4" t="n">
        <v>13</v>
      </c>
      <c r="G13510" s="4" t="n">
        <v>10</v>
      </c>
      <c r="H13510" s="4" t="n">
        <v>4</v>
      </c>
      <c r="I13510" s="4" t="str">
        <v>×</v>
      </c>
      <c r="J13510" s="4"/>
      <c r="K13510" s="4"/>
      <c r="L13510" s="4"/>
      <c r="M13510" s="7" t="s">
        <v>6556</v>
      </c>
    </row>
    <row r="13511" customFormat="false" ht="15.75" hidden="false" customHeight="false" outlineLevel="0" collapsed="false">
      <c r="A13511" s="6" t="n">
        <f aca="false">DATE(2026,8,15)</f>
        <v>46249</v>
      </c>
      <c r="B13511" s="4" t="s">
        <v>334</v>
      </c>
      <c r="C13511" s="4" t="n">
        <v>11</v>
      </c>
      <c r="D13511" s="4" t="n">
        <v>11</v>
      </c>
      <c r="E13511" s="4" t="s">
        <v>3397</v>
      </c>
      <c r="F13511" s="4" t="n">
        <v>52</v>
      </c>
      <c r="G13511" s="4" t="n">
        <v>1</v>
      </c>
      <c r="H13511" s="4" t="n">
        <v>1</v>
      </c>
      <c r="I13511" s="4" t="str">
        <v>○</v>
      </c>
      <c r="J13511" s="4" t="n">
        <v>150</v>
      </c>
      <c r="K13511" s="4"/>
      <c r="L13511" s="4"/>
      <c r="M13511" s="7" t="s">
        <v>6556</v>
      </c>
    </row>
    <row r="13512" customFormat="false" ht="15.75" hidden="false" customHeight="false" outlineLevel="0" collapsed="false">
      <c r="A13512" s="6" t="n">
        <f aca="false">DATE(2026,8,15)</f>
        <v>46249</v>
      </c>
      <c r="B13512" s="4" t="s">
        <v>334</v>
      </c>
      <c r="C13512" s="4" t="n">
        <v>11</v>
      </c>
      <c r="D13512" s="4" t="n">
        <v>12</v>
      </c>
      <c r="E13512" s="4" t="s">
        <v>452</v>
      </c>
      <c r="F13512" s="4" t="n">
        <v>15</v>
      </c>
      <c r="G13512" s="4" t="n">
        <v>9</v>
      </c>
      <c r="H13512" s="4" t="n">
        <v>4</v>
      </c>
      <c r="I13512" s="4" t="str">
        <v>×</v>
      </c>
      <c r="J13512" s="4"/>
      <c r="K13512" s="4"/>
      <c r="L13512" s="4"/>
      <c r="M13512" s="7" t="s">
        <v>6556</v>
      </c>
    </row>
    <row r="13513" customFormat="false" ht="15.75" hidden="false" customHeight="false" outlineLevel="0" collapsed="false">
      <c r="A13513" s="6" t="n">
        <f aca="false">DATE(2026,8,15)</f>
        <v>46249</v>
      </c>
      <c r="B13513" s="4" t="s">
        <v>334</v>
      </c>
      <c r="C13513" s="4" t="n">
        <v>11</v>
      </c>
      <c r="D13513" s="4" t="n">
        <v>13</v>
      </c>
      <c r="E13513" s="4" t="s">
        <v>6716</v>
      </c>
      <c r="F13513" s="4" t="n">
        <v>20</v>
      </c>
      <c r="G13513" s="4" t="n">
        <v>5</v>
      </c>
      <c r="H13513" s="4" t="n">
        <v>4</v>
      </c>
      <c r="I13513" s="4" t="str">
        <v>×</v>
      </c>
      <c r="J13513" s="4"/>
      <c r="K13513" s="4"/>
      <c r="L13513" s="4"/>
      <c r="M13513" s="7" t="s">
        <v>6556</v>
      </c>
    </row>
    <row r="13514" customFormat="false" ht="15.75" hidden="false" customHeight="false" outlineLevel="0" collapsed="false">
      <c r="A13514" s="6" t="n">
        <f aca="false">DATE(2026,8,15)</f>
        <v>46249</v>
      </c>
      <c r="B13514" s="4" t="s">
        <v>334</v>
      </c>
      <c r="C13514" s="4" t="n">
        <v>11</v>
      </c>
      <c r="D13514" s="4" t="n">
        <v>14</v>
      </c>
      <c r="E13514" s="4" t="s">
        <v>4159</v>
      </c>
      <c r="F13514" s="4" t="n">
        <v>17</v>
      </c>
      <c r="G13514" s="4" t="n">
        <v>6</v>
      </c>
      <c r="H13514" s="4" t="n">
        <v>4</v>
      </c>
      <c r="I13514" s="4" t="str">
        <v>×</v>
      </c>
      <c r="J13514" s="4"/>
      <c r="K13514" s="4"/>
      <c r="L13514" s="4"/>
      <c r="M13514" s="7" t="s">
        <v>6556</v>
      </c>
    </row>
    <row r="13515" customFormat="false" ht="15.75" hidden="false" customHeight="false" outlineLevel="0" collapsed="false">
      <c r="A13515" s="6" t="n">
        <f aca="false">DATE(2026,8,15)</f>
        <v>46249</v>
      </c>
      <c r="B13515" s="4" t="s">
        <v>334</v>
      </c>
      <c r="C13515" s="4" t="n">
        <v>12</v>
      </c>
      <c r="D13515" s="4" t="n">
        <v>1</v>
      </c>
      <c r="E13515" s="4" t="s">
        <v>428</v>
      </c>
      <c r="F13515" s="4" t="n">
        <v>10</v>
      </c>
      <c r="G13515" s="4" t="n">
        <v>7</v>
      </c>
      <c r="H13515" s="4" t="n">
        <v>4</v>
      </c>
      <c r="I13515" s="4" t="str">
        <v>×</v>
      </c>
      <c r="J13515" s="4"/>
      <c r="K13515" s="4"/>
      <c r="L13515" s="4"/>
      <c r="M13515" s="7" t="s">
        <v>6556</v>
      </c>
    </row>
    <row r="13516" customFormat="false" ht="15.75" hidden="false" customHeight="false" outlineLevel="0" collapsed="false">
      <c r="A13516" s="6" t="n">
        <f aca="false">DATE(2026,8,15)</f>
        <v>46249</v>
      </c>
      <c r="B13516" s="4" t="s">
        <v>334</v>
      </c>
      <c r="C13516" s="4" t="n">
        <v>12</v>
      </c>
      <c r="D13516" s="4" t="n">
        <v>2</v>
      </c>
      <c r="E13516" s="4" t="s">
        <v>1328</v>
      </c>
      <c r="F13516" s="4" t="n">
        <v>17</v>
      </c>
      <c r="G13516" s="4" t="n">
        <v>6</v>
      </c>
      <c r="H13516" s="4" t="n">
        <v>4</v>
      </c>
      <c r="I13516" s="4" t="str">
        <v>×</v>
      </c>
      <c r="J13516" s="4"/>
      <c r="K13516" s="4"/>
      <c r="L13516" s="4"/>
      <c r="M13516" s="7" t="s">
        <v>6556</v>
      </c>
    </row>
    <row r="13517" customFormat="false" ht="15.75" hidden="false" customHeight="false" outlineLevel="0" collapsed="false">
      <c r="A13517" s="6" t="n">
        <f aca="false">DATE(2026,8,15)</f>
        <v>46249</v>
      </c>
      <c r="B13517" s="4" t="s">
        <v>334</v>
      </c>
      <c r="C13517" s="4" t="n">
        <v>12</v>
      </c>
      <c r="D13517" s="4" t="n">
        <v>3</v>
      </c>
      <c r="E13517" s="4" t="s">
        <v>1332</v>
      </c>
      <c r="F13517" s="4" t="n">
        <v>3</v>
      </c>
      <c r="G13517" s="4" t="n">
        <v>11</v>
      </c>
      <c r="H13517" s="4" t="n">
        <v>4</v>
      </c>
      <c r="I13517" s="4" t="str">
        <v>×</v>
      </c>
      <c r="J13517" s="4"/>
      <c r="K13517" s="4"/>
      <c r="L13517" s="4"/>
      <c r="M13517" s="7" t="s">
        <v>6556</v>
      </c>
    </row>
    <row r="13518" customFormat="false" ht="15.75" hidden="false" customHeight="false" outlineLevel="0" collapsed="false">
      <c r="A13518" s="6" t="n">
        <f aca="false">DATE(2026,8,15)</f>
        <v>46249</v>
      </c>
      <c r="B13518" s="4" t="s">
        <v>334</v>
      </c>
      <c r="C13518" s="4" t="n">
        <v>12</v>
      </c>
      <c r="D13518" s="4" t="n">
        <v>4</v>
      </c>
      <c r="E13518" s="4" t="s">
        <v>1333</v>
      </c>
      <c r="F13518" s="4" t="n">
        <v>6</v>
      </c>
      <c r="G13518" s="4" t="n">
        <v>9</v>
      </c>
      <c r="H13518" s="4" t="n">
        <v>4</v>
      </c>
      <c r="I13518" s="4" t="str">
        <v>×</v>
      </c>
      <c r="J13518" s="4"/>
      <c r="K13518" s="4"/>
      <c r="L13518" s="4"/>
      <c r="M13518" s="7" t="s">
        <v>6556</v>
      </c>
    </row>
    <row r="13519" customFormat="false" ht="15.75" hidden="false" customHeight="false" outlineLevel="0" collapsed="false">
      <c r="A13519" s="6" t="n">
        <f aca="false">DATE(2026,8,15)</f>
        <v>46249</v>
      </c>
      <c r="B13519" s="4" t="s">
        <v>334</v>
      </c>
      <c r="C13519" s="4" t="n">
        <v>12</v>
      </c>
      <c r="D13519" s="4" t="n">
        <v>5</v>
      </c>
      <c r="E13519" s="4" t="s">
        <v>6717</v>
      </c>
      <c r="F13519" s="4" t="n">
        <v>44</v>
      </c>
      <c r="G13519" s="4" t="n">
        <v>3</v>
      </c>
      <c r="H13519" s="4" t="n">
        <v>3</v>
      </c>
      <c r="I13519" s="4" t="str">
        <v>○</v>
      </c>
      <c r="J13519" s="4" t="n">
        <v>150</v>
      </c>
      <c r="K13519" s="4"/>
      <c r="L13519" s="4"/>
      <c r="M13519" s="7" t="s">
        <v>6556</v>
      </c>
    </row>
    <row r="13520" customFormat="false" ht="15.75" hidden="false" customHeight="false" outlineLevel="0" collapsed="false">
      <c r="A13520" s="6" t="n">
        <f aca="false">DATE(2026,8,15)</f>
        <v>46249</v>
      </c>
      <c r="B13520" s="4" t="s">
        <v>334</v>
      </c>
      <c r="C13520" s="4" t="n">
        <v>12</v>
      </c>
      <c r="D13520" s="4" t="n">
        <v>6</v>
      </c>
      <c r="E13520" s="4" t="s">
        <v>6718</v>
      </c>
      <c r="F13520" s="4" t="n">
        <v>4</v>
      </c>
      <c r="G13520" s="4" t="n">
        <v>10</v>
      </c>
      <c r="H13520" s="4" t="n">
        <v>4</v>
      </c>
      <c r="I13520" s="4" t="str">
        <v>×</v>
      </c>
      <c r="J13520" s="4"/>
      <c r="K13520" s="4"/>
      <c r="L13520" s="4"/>
      <c r="M13520" s="7" t="s">
        <v>6556</v>
      </c>
    </row>
    <row r="13521" customFormat="false" ht="15.75" hidden="false" customHeight="false" outlineLevel="0" collapsed="false">
      <c r="A13521" s="6" t="n">
        <f aca="false">DATE(2026,8,15)</f>
        <v>46249</v>
      </c>
      <c r="B13521" s="4" t="s">
        <v>334</v>
      </c>
      <c r="C13521" s="4" t="n">
        <v>12</v>
      </c>
      <c r="D13521" s="4" t="n">
        <v>7</v>
      </c>
      <c r="E13521" s="4" t="s">
        <v>6719</v>
      </c>
      <c r="F13521" s="4" t="n">
        <v>10</v>
      </c>
      <c r="G13521" s="4" t="n">
        <v>8</v>
      </c>
      <c r="H13521" s="4" t="n">
        <v>4</v>
      </c>
      <c r="I13521" s="4" t="str">
        <v>×</v>
      </c>
      <c r="J13521" s="4"/>
      <c r="K13521" s="4"/>
      <c r="L13521" s="4"/>
      <c r="M13521" s="7" t="s">
        <v>6556</v>
      </c>
    </row>
    <row r="13522" customFormat="false" ht="15.75" hidden="false" customHeight="false" outlineLevel="0" collapsed="false">
      <c r="A13522" s="6" t="n">
        <f aca="false">DATE(2026,8,15)</f>
        <v>46249</v>
      </c>
      <c r="B13522" s="4" t="s">
        <v>334</v>
      </c>
      <c r="C13522" s="4" t="n">
        <v>12</v>
      </c>
      <c r="D13522" s="4" t="n">
        <v>8</v>
      </c>
      <c r="E13522" s="4" t="s">
        <v>1327</v>
      </c>
      <c r="F13522" s="4" t="n">
        <v>39</v>
      </c>
      <c r="G13522" s="4" t="n">
        <v>4</v>
      </c>
      <c r="H13522" s="4" t="n">
        <v>4</v>
      </c>
      <c r="I13522" s="4" t="str">
        <v>×</v>
      </c>
      <c r="J13522" s="4"/>
      <c r="K13522" s="4"/>
      <c r="L13522" s="4"/>
      <c r="M13522" s="7" t="s">
        <v>6556</v>
      </c>
    </row>
    <row r="13523" customFormat="false" ht="15.75" hidden="false" customHeight="false" outlineLevel="0" collapsed="false">
      <c r="A13523" s="6" t="n">
        <f aca="false">DATE(2026,8,15)</f>
        <v>46249</v>
      </c>
      <c r="B13523" s="4" t="s">
        <v>334</v>
      </c>
      <c r="C13523" s="4" t="n">
        <v>12</v>
      </c>
      <c r="D13523" s="4" t="n">
        <v>9</v>
      </c>
      <c r="E13523" s="4" t="s">
        <v>6720</v>
      </c>
      <c r="F13523" s="4" t="n">
        <v>50</v>
      </c>
      <c r="G13523" s="4" t="n">
        <v>2</v>
      </c>
      <c r="H13523" s="4" t="n">
        <v>1</v>
      </c>
      <c r="I13523" s="4" t="str">
        <v>○</v>
      </c>
      <c r="J13523" s="4" t="n">
        <v>110</v>
      </c>
      <c r="K13523" s="4"/>
      <c r="L13523" s="4"/>
      <c r="M13523" s="7" t="s">
        <v>6556</v>
      </c>
    </row>
    <row r="13524" customFormat="false" ht="15.75" hidden="false" customHeight="false" outlineLevel="0" collapsed="false">
      <c r="A13524" s="6" t="n">
        <f aca="false">DATE(2026,8,15)</f>
        <v>46249</v>
      </c>
      <c r="B13524" s="4" t="s">
        <v>334</v>
      </c>
      <c r="C13524" s="4" t="n">
        <v>12</v>
      </c>
      <c r="D13524" s="4" t="n">
        <v>10</v>
      </c>
      <c r="E13524" s="4" t="s">
        <v>1041</v>
      </c>
      <c r="F13524" s="4" t="n">
        <v>25</v>
      </c>
      <c r="G13524" s="4" t="n">
        <v>5</v>
      </c>
      <c r="H13524" s="4" t="n">
        <v>4</v>
      </c>
      <c r="I13524" s="4" t="str">
        <v>×</v>
      </c>
      <c r="J13524" s="4"/>
      <c r="K13524" s="4"/>
      <c r="L13524" s="4"/>
      <c r="M13524" s="7" t="s">
        <v>6556</v>
      </c>
    </row>
    <row r="13525" customFormat="false" ht="15.75" hidden="false" customHeight="false" outlineLevel="0" collapsed="false">
      <c r="A13525" s="6" t="n">
        <f aca="false">DATE(2026,8,15)</f>
        <v>46249</v>
      </c>
      <c r="B13525" s="4" t="s">
        <v>334</v>
      </c>
      <c r="C13525" s="4" t="n">
        <v>12</v>
      </c>
      <c r="D13525" s="4" t="n">
        <v>11</v>
      </c>
      <c r="E13525" s="4" t="s">
        <v>2963</v>
      </c>
      <c r="F13525" s="4" t="n">
        <v>3</v>
      </c>
      <c r="G13525" s="4" t="n">
        <v>12</v>
      </c>
      <c r="H13525" s="4" t="n">
        <v>4</v>
      </c>
      <c r="I13525" s="4" t="str">
        <v>×</v>
      </c>
      <c r="J13525" s="4"/>
      <c r="K13525" s="4"/>
      <c r="L13525" s="4"/>
      <c r="M13525" s="7" t="s">
        <v>6556</v>
      </c>
    </row>
    <row r="13526" customFormat="false" ht="15.75" hidden="false" customHeight="false" outlineLevel="0" collapsed="false">
      <c r="A13526" s="6" t="n">
        <f aca="false">DATE(2026,8,15)</f>
        <v>46249</v>
      </c>
      <c r="B13526" s="4" t="s">
        <v>334</v>
      </c>
      <c r="C13526" s="4" t="n">
        <v>12</v>
      </c>
      <c r="D13526" s="4" t="n">
        <v>12</v>
      </c>
      <c r="E13526" s="4" t="s">
        <v>1329</v>
      </c>
      <c r="F13526" s="4" t="n">
        <v>56</v>
      </c>
      <c r="G13526" s="4" t="n">
        <v>1</v>
      </c>
      <c r="H13526" s="4" t="n">
        <v>2</v>
      </c>
      <c r="I13526" s="4" t="str">
        <v>○</v>
      </c>
      <c r="J13526" s="4" t="n">
        <v>120</v>
      </c>
      <c r="K13526" s="4"/>
      <c r="L13526" s="4"/>
      <c r="M13526" s="7" t="s">
        <v>6556</v>
      </c>
    </row>
    <row r="13527" customFormat="false" ht="15.75" hidden="false" customHeight="false" outlineLevel="0" collapsed="false">
      <c r="A13527" s="6" t="n">
        <f aca="false">DATE(2026,8,15)</f>
        <v>46249</v>
      </c>
      <c r="B13527" s="4" t="s">
        <v>334</v>
      </c>
      <c r="C13527" s="4" t="n">
        <v>12</v>
      </c>
      <c r="D13527" s="4" t="n">
        <v>13</v>
      </c>
      <c r="E13527" s="4" t="s">
        <v>6721</v>
      </c>
      <c r="F13527" s="4" t="n">
        <v>2</v>
      </c>
      <c r="G13527" s="4" t="n">
        <v>14</v>
      </c>
      <c r="H13527" s="4" t="n">
        <v>4</v>
      </c>
      <c r="I13527" s="4" t="str">
        <v>×</v>
      </c>
      <c r="J13527" s="4"/>
      <c r="K13527" s="4"/>
      <c r="L13527" s="4"/>
      <c r="M13527" s="7" t="s">
        <v>6556</v>
      </c>
    </row>
    <row r="13528" customFormat="false" ht="15.75" hidden="false" customHeight="false" outlineLevel="0" collapsed="false">
      <c r="A13528" s="6" t="n">
        <f aca="false">DATE(2026,8,15)</f>
        <v>46249</v>
      </c>
      <c r="B13528" s="4" t="s">
        <v>334</v>
      </c>
      <c r="C13528" s="4" t="n">
        <v>12</v>
      </c>
      <c r="D13528" s="4" t="n">
        <v>14</v>
      </c>
      <c r="E13528" s="4" t="s">
        <v>1326</v>
      </c>
      <c r="F13528" s="4" t="n">
        <v>3</v>
      </c>
      <c r="G13528" s="4" t="n">
        <v>13</v>
      </c>
      <c r="H13528" s="4" t="n">
        <v>4</v>
      </c>
      <c r="I13528" s="4" t="str">
        <v>×</v>
      </c>
      <c r="J13528" s="4"/>
      <c r="K13528" s="4"/>
      <c r="L13528" s="4"/>
      <c r="M13528" s="7" t="s">
        <v>6556</v>
      </c>
    </row>
    <row r="13529" customFormat="false" ht="15.75" hidden="false" customHeight="false" outlineLevel="0" collapsed="false">
      <c r="A13529" s="6" t="n">
        <f aca="false">DATE(2026,8,16)</f>
        <v>46250</v>
      </c>
      <c r="B13529" s="4" t="s">
        <v>179</v>
      </c>
      <c r="C13529" s="4" t="n">
        <v>1</v>
      </c>
      <c r="D13529" s="4" t="n">
        <v>1</v>
      </c>
      <c r="E13529" s="4" t="s">
        <v>4356</v>
      </c>
      <c r="F13529" s="4" t="n">
        <v>31</v>
      </c>
      <c r="G13529" s="4" t="n">
        <v>7</v>
      </c>
      <c r="H13529" s="4" t="n">
        <v>4</v>
      </c>
      <c r="I13529" s="4" t="str">
        <v>×</v>
      </c>
      <c r="J13529" s="4"/>
      <c r="K13529" s="4"/>
      <c r="L13529" s="4"/>
      <c r="M13529" s="7" t="s">
        <v>6556</v>
      </c>
    </row>
    <row r="13530" customFormat="false" ht="15.75" hidden="false" customHeight="false" outlineLevel="0" collapsed="false">
      <c r="A13530" s="6" t="n">
        <f aca="false">DATE(2026,8,16)</f>
        <v>46250</v>
      </c>
      <c r="B13530" s="4" t="s">
        <v>179</v>
      </c>
      <c r="C13530" s="4" t="n">
        <v>1</v>
      </c>
      <c r="D13530" s="4" t="n">
        <v>2</v>
      </c>
      <c r="E13530" s="4" t="s">
        <v>3462</v>
      </c>
      <c r="F13530" s="4" t="n">
        <v>41</v>
      </c>
      <c r="G13530" s="4" t="n">
        <v>3</v>
      </c>
      <c r="H13530" s="4" t="n">
        <v>4</v>
      </c>
      <c r="I13530" s="4" t="str">
        <v>×</v>
      </c>
      <c r="J13530" s="4"/>
      <c r="K13530" s="4"/>
      <c r="L13530" s="4"/>
      <c r="M13530" s="7" t="s">
        <v>6556</v>
      </c>
    </row>
    <row r="13531" customFormat="false" ht="15.75" hidden="false" customHeight="false" outlineLevel="0" collapsed="false">
      <c r="A13531" s="6" t="n">
        <f aca="false">DATE(2026,8,16)</f>
        <v>46250</v>
      </c>
      <c r="B13531" s="4" t="s">
        <v>179</v>
      </c>
      <c r="C13531" s="4" t="n">
        <v>1</v>
      </c>
      <c r="D13531" s="4" t="n">
        <v>3</v>
      </c>
      <c r="E13531" s="4" t="s">
        <v>194</v>
      </c>
      <c r="F13531" s="4" t="n">
        <v>4</v>
      </c>
      <c r="G13531" s="4" t="n">
        <v>10</v>
      </c>
      <c r="H13531" s="4" t="n">
        <v>4</v>
      </c>
      <c r="I13531" s="4" t="str">
        <v>×</v>
      </c>
      <c r="J13531" s="4"/>
      <c r="K13531" s="4"/>
      <c r="L13531" s="4"/>
      <c r="M13531" s="7" t="s">
        <v>6556</v>
      </c>
    </row>
    <row r="13532" customFormat="false" ht="15.75" hidden="false" customHeight="false" outlineLevel="0" collapsed="false">
      <c r="A13532" s="6" t="n">
        <f aca="false">DATE(2026,8,16)</f>
        <v>46250</v>
      </c>
      <c r="B13532" s="4" t="s">
        <v>179</v>
      </c>
      <c r="C13532" s="4" t="n">
        <v>1</v>
      </c>
      <c r="D13532" s="4" t="n">
        <v>4</v>
      </c>
      <c r="E13532" s="4" t="s">
        <v>1141</v>
      </c>
      <c r="F13532" s="4" t="n">
        <v>39</v>
      </c>
      <c r="G13532" s="4" t="n">
        <v>4</v>
      </c>
      <c r="H13532" s="4" t="n">
        <v>4</v>
      </c>
      <c r="I13532" s="4" t="str">
        <v>×</v>
      </c>
      <c r="J13532" s="4"/>
      <c r="K13532" s="4"/>
      <c r="L13532" s="4"/>
      <c r="M13532" s="7" t="s">
        <v>6556</v>
      </c>
    </row>
    <row r="13533" customFormat="false" ht="15.75" hidden="false" customHeight="false" outlineLevel="0" collapsed="false">
      <c r="A13533" s="6" t="n">
        <f aca="false">DATE(2026,8,16)</f>
        <v>46250</v>
      </c>
      <c r="B13533" s="4" t="s">
        <v>179</v>
      </c>
      <c r="C13533" s="4" t="n">
        <v>1</v>
      </c>
      <c r="D13533" s="4" t="n">
        <v>5</v>
      </c>
      <c r="E13533" s="4" t="s">
        <v>2027</v>
      </c>
      <c r="F13533" s="4" t="n">
        <v>50</v>
      </c>
      <c r="G13533" s="4" t="n">
        <v>2</v>
      </c>
      <c r="H13533" s="4" t="n">
        <v>2</v>
      </c>
      <c r="I13533" s="4" t="str">
        <v>○</v>
      </c>
      <c r="J13533" s="4" t="n">
        <v>170</v>
      </c>
      <c r="K13533" s="4"/>
      <c r="L13533" s="4"/>
      <c r="M13533" s="7" t="s">
        <v>6556</v>
      </c>
    </row>
    <row r="13534" customFormat="false" ht="15.75" hidden="false" customHeight="false" outlineLevel="0" collapsed="false">
      <c r="A13534" s="6" t="n">
        <f aca="false">DATE(2026,8,16)</f>
        <v>46250</v>
      </c>
      <c r="B13534" s="4" t="s">
        <v>179</v>
      </c>
      <c r="C13534" s="4" t="n">
        <v>1</v>
      </c>
      <c r="D13534" s="4" t="n">
        <v>6</v>
      </c>
      <c r="E13534" s="4" t="s">
        <v>2017</v>
      </c>
      <c r="F13534" s="4" t="n">
        <v>39</v>
      </c>
      <c r="G13534" s="4" t="n">
        <v>5</v>
      </c>
      <c r="H13534" s="4" t="n">
        <v>1</v>
      </c>
      <c r="I13534" s="4" t="str">
        <v>○</v>
      </c>
      <c r="J13534" s="4" t="n">
        <v>190</v>
      </c>
      <c r="K13534" s="4"/>
      <c r="L13534" s="4"/>
      <c r="M13534" s="7" t="s">
        <v>6556</v>
      </c>
    </row>
    <row r="13535" customFormat="false" ht="15.75" hidden="false" customHeight="false" outlineLevel="0" collapsed="false">
      <c r="A13535" s="6" t="n">
        <f aca="false">DATE(2026,8,16)</f>
        <v>46250</v>
      </c>
      <c r="B13535" s="4" t="s">
        <v>179</v>
      </c>
      <c r="C13535" s="4" t="n">
        <v>1</v>
      </c>
      <c r="D13535" s="4" t="n">
        <v>7</v>
      </c>
      <c r="E13535" s="4" t="s">
        <v>6722</v>
      </c>
      <c r="F13535" s="4" t="n">
        <v>10</v>
      </c>
      <c r="G13535" s="4" t="n">
        <v>8</v>
      </c>
      <c r="H13535" s="4" t="n">
        <v>4</v>
      </c>
      <c r="I13535" s="4" t="str">
        <v>×</v>
      </c>
      <c r="J13535" s="4"/>
      <c r="K13535" s="4"/>
      <c r="L13535" s="4"/>
      <c r="M13535" s="7" t="s">
        <v>6556</v>
      </c>
    </row>
    <row r="13536" customFormat="false" ht="15.75" hidden="false" customHeight="false" outlineLevel="0" collapsed="false">
      <c r="A13536" s="6" t="n">
        <f aca="false">DATE(2026,8,16)</f>
        <v>46250</v>
      </c>
      <c r="B13536" s="4" t="s">
        <v>179</v>
      </c>
      <c r="C13536" s="4" t="n">
        <v>1</v>
      </c>
      <c r="D13536" s="4" t="n">
        <v>8</v>
      </c>
      <c r="E13536" s="4" t="s">
        <v>6723</v>
      </c>
      <c r="F13536" s="4" t="n">
        <v>37</v>
      </c>
      <c r="G13536" s="4" t="n">
        <v>6</v>
      </c>
      <c r="H13536" s="4" t="n">
        <v>3</v>
      </c>
      <c r="I13536" s="4" t="str">
        <v>○</v>
      </c>
      <c r="J13536" s="4" t="n">
        <v>140</v>
      </c>
      <c r="K13536" s="4"/>
      <c r="L13536" s="4"/>
      <c r="M13536" s="7" t="s">
        <v>6556</v>
      </c>
    </row>
    <row r="13537" customFormat="false" ht="15.75" hidden="false" customHeight="false" outlineLevel="0" collapsed="false">
      <c r="A13537" s="6" t="n">
        <f aca="false">DATE(2026,8,16)</f>
        <v>46250</v>
      </c>
      <c r="B13537" s="4" t="s">
        <v>179</v>
      </c>
      <c r="C13537" s="4" t="n">
        <v>1</v>
      </c>
      <c r="D13537" s="4" t="n">
        <v>9</v>
      </c>
      <c r="E13537" s="4" t="s">
        <v>2492</v>
      </c>
      <c r="F13537" s="4" t="n">
        <v>58</v>
      </c>
      <c r="G13537" s="4" t="n">
        <v>1</v>
      </c>
      <c r="H13537" s="4" t="n">
        <v>4</v>
      </c>
      <c r="I13537" s="4" t="str">
        <v>×</v>
      </c>
      <c r="J13537" s="4"/>
      <c r="K13537" s="4"/>
      <c r="L13537" s="4"/>
      <c r="M13537" s="7" t="s">
        <v>6556</v>
      </c>
    </row>
    <row r="13538" customFormat="false" ht="15.75" hidden="false" customHeight="false" outlineLevel="0" collapsed="false">
      <c r="A13538" s="6" t="n">
        <f aca="false">DATE(2026,8,16)</f>
        <v>46250</v>
      </c>
      <c r="B13538" s="4" t="s">
        <v>179</v>
      </c>
      <c r="C13538" s="4" t="n">
        <v>1</v>
      </c>
      <c r="D13538" s="4" t="n">
        <v>10</v>
      </c>
      <c r="E13538" s="4" t="s">
        <v>1140</v>
      </c>
      <c r="F13538" s="4" t="n">
        <v>6</v>
      </c>
      <c r="G13538" s="4" t="n">
        <v>9</v>
      </c>
      <c r="H13538" s="4" t="n">
        <v>4</v>
      </c>
      <c r="I13538" s="4" t="str">
        <v>×</v>
      </c>
      <c r="J13538" s="4"/>
      <c r="K13538" s="4"/>
      <c r="L13538" s="4"/>
      <c r="M13538" s="7" t="s">
        <v>6556</v>
      </c>
    </row>
    <row r="13539" customFormat="false" ht="15.75" hidden="false" customHeight="false" outlineLevel="0" collapsed="false">
      <c r="A13539" s="6" t="n">
        <f aca="false">DATE(2026,8,16)</f>
        <v>46250</v>
      </c>
      <c r="B13539" s="4" t="s">
        <v>179</v>
      </c>
      <c r="C13539" s="4" t="n">
        <v>2</v>
      </c>
      <c r="D13539" s="4" t="n">
        <v>1</v>
      </c>
      <c r="E13539" s="4" t="s">
        <v>6724</v>
      </c>
      <c r="F13539" s="4" t="n">
        <v>14</v>
      </c>
      <c r="G13539" s="4" t="n">
        <v>10</v>
      </c>
      <c r="H13539" s="4" t="n">
        <v>4</v>
      </c>
      <c r="I13539" s="4" t="str">
        <v>×</v>
      </c>
      <c r="J13539" s="4"/>
      <c r="K13539" s="4"/>
      <c r="L13539" s="4"/>
      <c r="M13539" s="7" t="s">
        <v>6556</v>
      </c>
    </row>
    <row r="13540" customFormat="false" ht="15.75" hidden="false" customHeight="false" outlineLevel="0" collapsed="false">
      <c r="A13540" s="6" t="n">
        <f aca="false">DATE(2026,8,16)</f>
        <v>46250</v>
      </c>
      <c r="B13540" s="4" t="s">
        <v>179</v>
      </c>
      <c r="C13540" s="4" t="n">
        <v>2</v>
      </c>
      <c r="D13540" s="4" t="n">
        <v>2</v>
      </c>
      <c r="E13540" s="4" t="s">
        <v>6725</v>
      </c>
      <c r="F13540" s="4" t="n">
        <v>27</v>
      </c>
      <c r="G13540" s="4" t="n">
        <v>6</v>
      </c>
      <c r="H13540" s="4" t="n">
        <v>4</v>
      </c>
      <c r="I13540" s="4" t="str">
        <v>×</v>
      </c>
      <c r="J13540" s="4"/>
      <c r="K13540" s="4"/>
      <c r="L13540" s="4"/>
      <c r="M13540" s="7" t="s">
        <v>6556</v>
      </c>
    </row>
    <row r="13541" customFormat="false" ht="15.75" hidden="false" customHeight="false" outlineLevel="0" collapsed="false">
      <c r="A13541" s="6" t="n">
        <f aca="false">DATE(2026,8,16)</f>
        <v>46250</v>
      </c>
      <c r="B13541" s="4" t="s">
        <v>179</v>
      </c>
      <c r="C13541" s="4" t="n">
        <v>2</v>
      </c>
      <c r="D13541" s="4" t="n">
        <v>3</v>
      </c>
      <c r="E13541" s="4" t="s">
        <v>6726</v>
      </c>
      <c r="F13541" s="4" t="n">
        <v>24</v>
      </c>
      <c r="G13541" s="4" t="n">
        <v>8</v>
      </c>
      <c r="H13541" s="4" t="n">
        <v>4</v>
      </c>
      <c r="I13541" s="4" t="str">
        <v>×</v>
      </c>
      <c r="J13541" s="4"/>
      <c r="K13541" s="4"/>
      <c r="L13541" s="4"/>
      <c r="M13541" s="7" t="s">
        <v>6556</v>
      </c>
    </row>
    <row r="13542" customFormat="false" ht="15.75" hidden="false" customHeight="false" outlineLevel="0" collapsed="false">
      <c r="A13542" s="6" t="n">
        <f aca="false">DATE(2026,8,16)</f>
        <v>46250</v>
      </c>
      <c r="B13542" s="4" t="s">
        <v>179</v>
      </c>
      <c r="C13542" s="4" t="n">
        <v>2</v>
      </c>
      <c r="D13542" s="4" t="n">
        <v>4</v>
      </c>
      <c r="E13542" s="4" t="s">
        <v>6727</v>
      </c>
      <c r="F13542" s="4" t="n">
        <v>8</v>
      </c>
      <c r="G13542" s="4" t="n">
        <v>12</v>
      </c>
      <c r="H13542" s="4" t="n">
        <v>2</v>
      </c>
      <c r="I13542" s="4" t="str">
        <v>○</v>
      </c>
      <c r="J13542" s="4" t="n">
        <v>190</v>
      </c>
      <c r="K13542" s="4"/>
      <c r="L13542" s="4"/>
      <c r="M13542" s="7" t="s">
        <v>6556</v>
      </c>
    </row>
    <row r="13543" customFormat="false" ht="15.75" hidden="false" customHeight="false" outlineLevel="0" collapsed="false">
      <c r="A13543" s="6" t="n">
        <f aca="false">DATE(2026,8,16)</f>
        <v>46250</v>
      </c>
      <c r="B13543" s="4" t="s">
        <v>179</v>
      </c>
      <c r="C13543" s="4" t="n">
        <v>2</v>
      </c>
      <c r="D13543" s="4" t="n">
        <v>5</v>
      </c>
      <c r="E13543" s="4" t="s">
        <v>6728</v>
      </c>
      <c r="F13543" s="4" t="n">
        <v>14</v>
      </c>
      <c r="G13543" s="4" t="n">
        <v>11</v>
      </c>
      <c r="H13543" s="4" t="n">
        <v>4</v>
      </c>
      <c r="I13543" s="4" t="str">
        <v>×</v>
      </c>
      <c r="J13543" s="4"/>
      <c r="K13543" s="4"/>
      <c r="L13543" s="4"/>
      <c r="M13543" s="7" t="s">
        <v>6556</v>
      </c>
    </row>
    <row r="13544" customFormat="false" ht="15.75" hidden="false" customHeight="false" outlineLevel="0" collapsed="false">
      <c r="A13544" s="6" t="n">
        <f aca="false">DATE(2026,8,16)</f>
        <v>46250</v>
      </c>
      <c r="B13544" s="4" t="s">
        <v>179</v>
      </c>
      <c r="C13544" s="4" t="n">
        <v>2</v>
      </c>
      <c r="D13544" s="4" t="n">
        <v>6</v>
      </c>
      <c r="E13544" s="4" t="s">
        <v>6729</v>
      </c>
      <c r="F13544" s="4" t="n">
        <v>27</v>
      </c>
      <c r="G13544" s="4" t="n">
        <v>7</v>
      </c>
      <c r="H13544" s="4" t="n">
        <v>4</v>
      </c>
      <c r="I13544" s="4" t="str">
        <v>×</v>
      </c>
      <c r="J13544" s="4"/>
      <c r="K13544" s="4"/>
      <c r="L13544" s="4"/>
      <c r="M13544" s="7" t="s">
        <v>6556</v>
      </c>
    </row>
    <row r="13545" customFormat="false" ht="15.75" hidden="false" customHeight="false" outlineLevel="0" collapsed="false">
      <c r="A13545" s="6" t="n">
        <f aca="false">DATE(2026,8,16)</f>
        <v>46250</v>
      </c>
      <c r="B13545" s="4" t="s">
        <v>179</v>
      </c>
      <c r="C13545" s="4" t="n">
        <v>2</v>
      </c>
      <c r="D13545" s="4" t="n">
        <v>7</v>
      </c>
      <c r="E13545" s="4" t="s">
        <v>6730</v>
      </c>
      <c r="F13545" s="4" t="n">
        <v>31</v>
      </c>
      <c r="G13545" s="4" t="n">
        <v>3</v>
      </c>
      <c r="H13545" s="4" t="n">
        <v>4</v>
      </c>
      <c r="I13545" s="4" t="str">
        <v>×</v>
      </c>
      <c r="J13545" s="4"/>
      <c r="K13545" s="4"/>
      <c r="L13545" s="4"/>
      <c r="M13545" s="7" t="s">
        <v>6556</v>
      </c>
    </row>
    <row r="13546" customFormat="false" ht="15.75" hidden="false" customHeight="false" outlineLevel="0" collapsed="false">
      <c r="A13546" s="6" t="n">
        <f aca="false">DATE(2026,8,16)</f>
        <v>46250</v>
      </c>
      <c r="B13546" s="4" t="s">
        <v>179</v>
      </c>
      <c r="C13546" s="4" t="n">
        <v>2</v>
      </c>
      <c r="D13546" s="4" t="n">
        <v>8</v>
      </c>
      <c r="E13546" s="4" t="s">
        <v>6731</v>
      </c>
      <c r="F13546" s="4" t="n">
        <v>31</v>
      </c>
      <c r="G13546" s="4" t="n">
        <v>4</v>
      </c>
      <c r="H13546" s="4" t="n">
        <v>4</v>
      </c>
      <c r="I13546" s="4" t="str">
        <v>×</v>
      </c>
      <c r="J13546" s="4"/>
      <c r="K13546" s="4"/>
      <c r="L13546" s="4"/>
      <c r="M13546" s="7" t="s">
        <v>6556</v>
      </c>
    </row>
    <row r="13547" customFormat="false" ht="15.75" hidden="false" customHeight="false" outlineLevel="0" collapsed="false">
      <c r="A13547" s="6" t="n">
        <f aca="false">DATE(2026,8,16)</f>
        <v>46250</v>
      </c>
      <c r="B13547" s="4" t="s">
        <v>179</v>
      </c>
      <c r="C13547" s="4" t="n">
        <v>2</v>
      </c>
      <c r="D13547" s="4" t="n">
        <v>9</v>
      </c>
      <c r="E13547" s="4" t="s">
        <v>6732</v>
      </c>
      <c r="F13547" s="4" t="n">
        <v>37</v>
      </c>
      <c r="G13547" s="4" t="n">
        <v>1</v>
      </c>
      <c r="H13547" s="4" t="n">
        <v>4</v>
      </c>
      <c r="I13547" s="4" t="str">
        <v>×</v>
      </c>
      <c r="J13547" s="4"/>
      <c r="K13547" s="4"/>
      <c r="L13547" s="4"/>
      <c r="M13547" s="7" t="s">
        <v>6556</v>
      </c>
    </row>
    <row r="13548" customFormat="false" ht="15.75" hidden="false" customHeight="false" outlineLevel="0" collapsed="false">
      <c r="A13548" s="6" t="n">
        <f aca="false">DATE(2026,8,16)</f>
        <v>46250</v>
      </c>
      <c r="B13548" s="4" t="s">
        <v>179</v>
      </c>
      <c r="C13548" s="4" t="n">
        <v>2</v>
      </c>
      <c r="D13548" s="4" t="n">
        <v>10</v>
      </c>
      <c r="E13548" s="4" t="s">
        <v>6733</v>
      </c>
      <c r="F13548" s="4" t="n">
        <v>31</v>
      </c>
      <c r="G13548" s="4" t="n">
        <v>5</v>
      </c>
      <c r="H13548" s="4" t="n">
        <v>3</v>
      </c>
      <c r="I13548" s="4" t="str">
        <v>○</v>
      </c>
      <c r="J13548" s="4" t="n">
        <v>630</v>
      </c>
      <c r="K13548" s="4"/>
      <c r="L13548" s="4"/>
      <c r="M13548" s="7" t="s">
        <v>6556</v>
      </c>
    </row>
    <row r="13549" customFormat="false" ht="15.75" hidden="false" customHeight="false" outlineLevel="0" collapsed="false">
      <c r="A13549" s="6" t="n">
        <f aca="false">DATE(2026,8,16)</f>
        <v>46250</v>
      </c>
      <c r="B13549" s="4" t="s">
        <v>179</v>
      </c>
      <c r="C13549" s="4" t="n">
        <v>2</v>
      </c>
      <c r="D13549" s="4" t="n">
        <v>11</v>
      </c>
      <c r="E13549" s="4" t="s">
        <v>6734</v>
      </c>
      <c r="F13549" s="4" t="n">
        <v>37</v>
      </c>
      <c r="G13549" s="4" t="n">
        <v>2</v>
      </c>
      <c r="H13549" s="4" t="n">
        <v>4</v>
      </c>
      <c r="I13549" s="4" t="str">
        <v>×</v>
      </c>
      <c r="J13549" s="4"/>
      <c r="K13549" s="4"/>
      <c r="L13549" s="4"/>
      <c r="M13549" s="7" t="s">
        <v>6556</v>
      </c>
    </row>
    <row r="13550" customFormat="false" ht="15.75" hidden="false" customHeight="false" outlineLevel="0" collapsed="false">
      <c r="A13550" s="6" t="n">
        <f aca="false">DATE(2026,8,16)</f>
        <v>46250</v>
      </c>
      <c r="B13550" s="4" t="s">
        <v>179</v>
      </c>
      <c r="C13550" s="4" t="n">
        <v>2</v>
      </c>
      <c r="D13550" s="4" t="n">
        <v>12</v>
      </c>
      <c r="E13550" s="4" t="s">
        <v>6735</v>
      </c>
      <c r="F13550" s="4" t="n">
        <v>24</v>
      </c>
      <c r="G13550" s="4" t="n">
        <v>9</v>
      </c>
      <c r="H13550" s="4" t="n">
        <v>1</v>
      </c>
      <c r="I13550" s="4" t="str">
        <v>○</v>
      </c>
      <c r="J13550" s="4" t="n">
        <v>340</v>
      </c>
      <c r="K13550" s="4"/>
      <c r="L13550" s="4"/>
      <c r="M13550" s="7" t="s">
        <v>6556</v>
      </c>
    </row>
    <row r="13551" customFormat="false" ht="15.75" hidden="false" customHeight="false" outlineLevel="0" collapsed="false">
      <c r="A13551" s="6" t="n">
        <f aca="false">DATE(2026,8,16)</f>
        <v>46250</v>
      </c>
      <c r="B13551" s="4" t="s">
        <v>179</v>
      </c>
      <c r="C13551" s="4" t="n">
        <v>3</v>
      </c>
      <c r="D13551" s="4" t="n">
        <v>1</v>
      </c>
      <c r="E13551" s="4" t="s">
        <v>6736</v>
      </c>
      <c r="F13551" s="4" t="n">
        <v>27</v>
      </c>
      <c r="G13551" s="4" t="n">
        <v>3</v>
      </c>
      <c r="H13551" s="4" t="n">
        <v>4</v>
      </c>
      <c r="I13551" s="4" t="str">
        <v>×</v>
      </c>
      <c r="J13551" s="4"/>
      <c r="K13551" s="4"/>
      <c r="L13551" s="4"/>
      <c r="M13551" s="7" t="s">
        <v>6556</v>
      </c>
    </row>
    <row r="13552" customFormat="false" ht="15.75" hidden="false" customHeight="false" outlineLevel="0" collapsed="false">
      <c r="A13552" s="6" t="n">
        <f aca="false">DATE(2026,8,16)</f>
        <v>46250</v>
      </c>
      <c r="B13552" s="4" t="s">
        <v>179</v>
      </c>
      <c r="C13552" s="4" t="n">
        <v>3</v>
      </c>
      <c r="D13552" s="4" t="n">
        <v>2</v>
      </c>
      <c r="E13552" s="4" t="s">
        <v>6737</v>
      </c>
      <c r="F13552" s="4" t="n">
        <v>24</v>
      </c>
      <c r="G13552" s="4" t="n">
        <v>4</v>
      </c>
      <c r="H13552" s="4" t="n">
        <v>4</v>
      </c>
      <c r="I13552" s="4" t="str">
        <v>×</v>
      </c>
      <c r="J13552" s="4"/>
      <c r="K13552" s="4"/>
      <c r="L13552" s="4"/>
      <c r="M13552" s="7" t="s">
        <v>6556</v>
      </c>
    </row>
    <row r="13553" customFormat="false" ht="15.75" hidden="false" customHeight="false" outlineLevel="0" collapsed="false">
      <c r="A13553" s="6" t="n">
        <f aca="false">DATE(2026,8,16)</f>
        <v>46250</v>
      </c>
      <c r="B13553" s="4" t="s">
        <v>179</v>
      </c>
      <c r="C13553" s="4" t="n">
        <v>3</v>
      </c>
      <c r="D13553" s="4" t="n">
        <v>3</v>
      </c>
      <c r="E13553" s="4" t="s">
        <v>6738</v>
      </c>
      <c r="F13553" s="4" t="n">
        <v>37</v>
      </c>
      <c r="G13553" s="4" t="n">
        <v>1</v>
      </c>
      <c r="H13553" s="4" t="n">
        <v>4</v>
      </c>
      <c r="I13553" s="4" t="str">
        <v>×</v>
      </c>
      <c r="J13553" s="4"/>
      <c r="K13553" s="4"/>
      <c r="L13553" s="4"/>
      <c r="M13553" s="7" t="s">
        <v>6556</v>
      </c>
    </row>
    <row r="13554" customFormat="false" ht="15.75" hidden="false" customHeight="false" outlineLevel="0" collapsed="false">
      <c r="A13554" s="6" t="n">
        <f aca="false">DATE(2026,8,16)</f>
        <v>46250</v>
      </c>
      <c r="B13554" s="4" t="s">
        <v>179</v>
      </c>
      <c r="C13554" s="4" t="n">
        <v>3</v>
      </c>
      <c r="D13554" s="4" t="n">
        <v>4</v>
      </c>
      <c r="E13554" s="4" t="s">
        <v>6739</v>
      </c>
      <c r="F13554" s="4" t="n">
        <v>21</v>
      </c>
      <c r="G13554" s="4" t="n">
        <v>7</v>
      </c>
      <c r="H13554" s="4" t="n">
        <v>4</v>
      </c>
      <c r="I13554" s="4" t="str">
        <v>×</v>
      </c>
      <c r="J13554" s="4"/>
      <c r="K13554" s="4"/>
      <c r="L13554" s="4"/>
      <c r="M13554" s="7" t="s">
        <v>6556</v>
      </c>
    </row>
    <row r="13555" customFormat="false" ht="15.75" hidden="false" customHeight="false" outlineLevel="0" collapsed="false">
      <c r="A13555" s="6" t="n">
        <f aca="false">DATE(2026,8,16)</f>
        <v>46250</v>
      </c>
      <c r="B13555" s="4" t="s">
        <v>179</v>
      </c>
      <c r="C13555" s="4" t="n">
        <v>3</v>
      </c>
      <c r="D13555" s="4" t="n">
        <v>5</v>
      </c>
      <c r="E13555" s="4" t="s">
        <v>6740</v>
      </c>
      <c r="F13555" s="4" t="n">
        <v>21</v>
      </c>
      <c r="G13555" s="4" t="n">
        <v>8</v>
      </c>
      <c r="H13555" s="4" t="n">
        <v>2</v>
      </c>
      <c r="I13555" s="4" t="str">
        <v>○</v>
      </c>
      <c r="J13555" s="4" t="n">
        <v>290</v>
      </c>
      <c r="K13555" s="4"/>
      <c r="L13555" s="4"/>
      <c r="M13555" s="7" t="s">
        <v>6556</v>
      </c>
    </row>
    <row r="13556" customFormat="false" ht="15.75" hidden="false" customHeight="false" outlineLevel="0" collapsed="false">
      <c r="A13556" s="6" t="n">
        <f aca="false">DATE(2026,8,16)</f>
        <v>46250</v>
      </c>
      <c r="B13556" s="4" t="s">
        <v>179</v>
      </c>
      <c r="C13556" s="4" t="n">
        <v>3</v>
      </c>
      <c r="D13556" s="4" t="n">
        <v>6</v>
      </c>
      <c r="E13556" s="4" t="s">
        <v>6741</v>
      </c>
      <c r="F13556" s="4" t="n">
        <v>24</v>
      </c>
      <c r="G13556" s="4" t="n">
        <v>5</v>
      </c>
      <c r="H13556" s="4" t="n">
        <v>4</v>
      </c>
      <c r="I13556" s="4" t="str">
        <v>×</v>
      </c>
      <c r="J13556" s="4"/>
      <c r="K13556" s="4"/>
      <c r="L13556" s="4"/>
      <c r="M13556" s="7" t="s">
        <v>6556</v>
      </c>
    </row>
    <row r="13557" customFormat="false" ht="15.75" hidden="false" customHeight="false" outlineLevel="0" collapsed="false">
      <c r="A13557" s="6" t="n">
        <f aca="false">DATE(2026,8,16)</f>
        <v>46250</v>
      </c>
      <c r="B13557" s="4" t="s">
        <v>179</v>
      </c>
      <c r="C13557" s="4" t="n">
        <v>3</v>
      </c>
      <c r="D13557" s="4" t="n">
        <v>7</v>
      </c>
      <c r="E13557" s="4" t="s">
        <v>6742</v>
      </c>
      <c r="F13557" s="4" t="n">
        <v>31</v>
      </c>
      <c r="G13557" s="4" t="n">
        <v>2</v>
      </c>
      <c r="H13557" s="4" t="n">
        <v>3</v>
      </c>
      <c r="I13557" s="4" t="str">
        <v>○</v>
      </c>
      <c r="J13557" s="4" t="n">
        <v>230</v>
      </c>
      <c r="K13557" s="4"/>
      <c r="L13557" s="4"/>
      <c r="M13557" s="7" t="s">
        <v>6556</v>
      </c>
    </row>
    <row r="13558" customFormat="false" ht="15.75" hidden="false" customHeight="false" outlineLevel="0" collapsed="false">
      <c r="A13558" s="6" t="n">
        <f aca="false">DATE(2026,8,16)</f>
        <v>46250</v>
      </c>
      <c r="B13558" s="4" t="s">
        <v>179</v>
      </c>
      <c r="C13558" s="4" t="n">
        <v>3</v>
      </c>
      <c r="D13558" s="4" t="n">
        <v>8</v>
      </c>
      <c r="E13558" s="4" t="s">
        <v>6743</v>
      </c>
      <c r="F13558" s="4" t="n">
        <v>24</v>
      </c>
      <c r="G13558" s="4" t="n">
        <v>6</v>
      </c>
      <c r="H13558" s="4" t="n">
        <v>1</v>
      </c>
      <c r="I13558" s="4" t="str">
        <v>○</v>
      </c>
      <c r="J13558" s="4" t="n">
        <v>110</v>
      </c>
      <c r="K13558" s="4"/>
      <c r="L13558" s="4"/>
      <c r="M13558" s="7" t="s">
        <v>6556</v>
      </c>
    </row>
    <row r="13559" customFormat="false" ht="15.75" hidden="false" customHeight="false" outlineLevel="0" collapsed="false">
      <c r="A13559" s="6" t="n">
        <f aca="false">DATE(2026,8,16)</f>
        <v>46250</v>
      </c>
      <c r="B13559" s="4" t="s">
        <v>179</v>
      </c>
      <c r="C13559" s="4" t="n">
        <v>4</v>
      </c>
      <c r="D13559" s="4" t="n">
        <v>1</v>
      </c>
      <c r="E13559" s="4" t="s">
        <v>218</v>
      </c>
      <c r="F13559" s="4" t="n">
        <v>2</v>
      </c>
      <c r="G13559" s="4" t="n">
        <v>16</v>
      </c>
      <c r="H13559" s="4" t="n">
        <v>4</v>
      </c>
      <c r="I13559" s="4" t="str">
        <v>×</v>
      </c>
      <c r="J13559" s="4"/>
      <c r="K13559" s="4"/>
      <c r="L13559" s="4"/>
      <c r="M13559" s="7" t="s">
        <v>6556</v>
      </c>
    </row>
    <row r="13560" customFormat="false" ht="15.75" hidden="false" customHeight="false" outlineLevel="0" collapsed="false">
      <c r="A13560" s="6" t="n">
        <f aca="false">DATE(2026,8,16)</f>
        <v>46250</v>
      </c>
      <c r="B13560" s="4" t="s">
        <v>179</v>
      </c>
      <c r="C13560" s="4" t="n">
        <v>4</v>
      </c>
      <c r="D13560" s="4" t="n">
        <v>2</v>
      </c>
      <c r="E13560" s="4" t="s">
        <v>207</v>
      </c>
      <c r="F13560" s="4" t="n">
        <v>41</v>
      </c>
      <c r="G13560" s="4" t="n">
        <v>2</v>
      </c>
      <c r="H13560" s="4" t="n">
        <v>4</v>
      </c>
      <c r="I13560" s="4" t="str">
        <v>×</v>
      </c>
      <c r="J13560" s="4"/>
      <c r="K13560" s="4"/>
      <c r="L13560" s="4"/>
      <c r="M13560" s="7" t="s">
        <v>6556</v>
      </c>
    </row>
    <row r="13561" customFormat="false" ht="15.75" hidden="false" customHeight="false" outlineLevel="0" collapsed="false">
      <c r="A13561" s="6" t="n">
        <f aca="false">DATE(2026,8,16)</f>
        <v>46250</v>
      </c>
      <c r="B13561" s="4" t="s">
        <v>179</v>
      </c>
      <c r="C13561" s="4" t="n">
        <v>4</v>
      </c>
      <c r="D13561" s="4" t="n">
        <v>3</v>
      </c>
      <c r="E13561" s="4" t="s">
        <v>6744</v>
      </c>
      <c r="F13561" s="4" t="n">
        <v>39</v>
      </c>
      <c r="G13561" s="4" t="n">
        <v>3</v>
      </c>
      <c r="H13561" s="4" t="n">
        <v>3</v>
      </c>
      <c r="I13561" s="4" t="str">
        <v>○</v>
      </c>
      <c r="J13561" s="4" t="n">
        <v>430</v>
      </c>
      <c r="K13561" s="4"/>
      <c r="L13561" s="4"/>
      <c r="M13561" s="7" t="s">
        <v>6556</v>
      </c>
    </row>
    <row r="13562" customFormat="false" ht="15.75" hidden="false" customHeight="false" outlineLevel="0" collapsed="false">
      <c r="A13562" s="6" t="n">
        <f aca="false">DATE(2026,8,16)</f>
        <v>46250</v>
      </c>
      <c r="B13562" s="4" t="s">
        <v>179</v>
      </c>
      <c r="C13562" s="4" t="n">
        <v>4</v>
      </c>
      <c r="D13562" s="4" t="n">
        <v>4</v>
      </c>
      <c r="E13562" s="4" t="s">
        <v>245</v>
      </c>
      <c r="F13562" s="4" t="n">
        <v>23</v>
      </c>
      <c r="G13562" s="4" t="n">
        <v>6</v>
      </c>
      <c r="H13562" s="4" t="n">
        <v>1</v>
      </c>
      <c r="I13562" s="4" t="str">
        <v>○</v>
      </c>
      <c r="J13562" s="4" t="n">
        <v>250</v>
      </c>
      <c r="K13562" s="4"/>
      <c r="L13562" s="4"/>
      <c r="M13562" s="7" t="s">
        <v>6556</v>
      </c>
    </row>
    <row r="13563" customFormat="false" ht="15.75" hidden="false" customHeight="false" outlineLevel="0" collapsed="false">
      <c r="A13563" s="6" t="n">
        <f aca="false">DATE(2026,8,16)</f>
        <v>46250</v>
      </c>
      <c r="B13563" s="4" t="s">
        <v>179</v>
      </c>
      <c r="C13563" s="4" t="n">
        <v>4</v>
      </c>
      <c r="D13563" s="4" t="n">
        <v>5</v>
      </c>
      <c r="E13563" s="4" t="s">
        <v>235</v>
      </c>
      <c r="F13563" s="4" t="n">
        <v>4</v>
      </c>
      <c r="G13563" s="4" t="n">
        <v>11</v>
      </c>
      <c r="H13563" s="4" t="n">
        <v>4</v>
      </c>
      <c r="I13563" s="4" t="str">
        <v>×</v>
      </c>
      <c r="J13563" s="4"/>
      <c r="K13563" s="4"/>
      <c r="L13563" s="4"/>
      <c r="M13563" s="7" t="s">
        <v>6556</v>
      </c>
    </row>
    <row r="13564" customFormat="false" ht="15.75" hidden="false" customHeight="false" outlineLevel="0" collapsed="false">
      <c r="A13564" s="6" t="n">
        <f aca="false">DATE(2026,8,16)</f>
        <v>46250</v>
      </c>
      <c r="B13564" s="4" t="s">
        <v>179</v>
      </c>
      <c r="C13564" s="4" t="n">
        <v>4</v>
      </c>
      <c r="D13564" s="4" t="n">
        <v>6</v>
      </c>
      <c r="E13564" s="4" t="s">
        <v>2876</v>
      </c>
      <c r="F13564" s="4" t="n">
        <v>25</v>
      </c>
      <c r="G13564" s="4" t="n">
        <v>5</v>
      </c>
      <c r="H13564" s="4" t="n">
        <v>4</v>
      </c>
      <c r="I13564" s="4" t="str">
        <v>×</v>
      </c>
      <c r="J13564" s="4"/>
      <c r="K13564" s="4"/>
      <c r="L13564" s="4"/>
      <c r="M13564" s="7" t="s">
        <v>6556</v>
      </c>
    </row>
    <row r="13565" customFormat="false" ht="15.75" hidden="false" customHeight="false" outlineLevel="0" collapsed="false">
      <c r="A13565" s="6" t="n">
        <f aca="false">DATE(2026,8,16)</f>
        <v>46250</v>
      </c>
      <c r="B13565" s="4" t="s">
        <v>179</v>
      </c>
      <c r="C13565" s="4" t="n">
        <v>4</v>
      </c>
      <c r="D13565" s="4" t="n">
        <v>7</v>
      </c>
      <c r="E13565" s="4" t="s">
        <v>203</v>
      </c>
      <c r="F13565" s="4" t="n">
        <v>34</v>
      </c>
      <c r="G13565" s="4" t="n">
        <v>4</v>
      </c>
      <c r="H13565" s="4" t="n">
        <v>2</v>
      </c>
      <c r="I13565" s="4" t="str">
        <v>○</v>
      </c>
      <c r="J13565" s="4" t="n">
        <v>240</v>
      </c>
      <c r="K13565" s="4"/>
      <c r="L13565" s="4"/>
      <c r="M13565" s="7" t="s">
        <v>6556</v>
      </c>
    </row>
    <row r="13566" customFormat="false" ht="15.75" hidden="false" customHeight="false" outlineLevel="0" collapsed="false">
      <c r="A13566" s="6" t="n">
        <f aca="false">DATE(2026,8,16)</f>
        <v>46250</v>
      </c>
      <c r="B13566" s="4" t="s">
        <v>179</v>
      </c>
      <c r="C13566" s="4" t="n">
        <v>4</v>
      </c>
      <c r="D13566" s="4" t="n">
        <v>8</v>
      </c>
      <c r="E13566" s="4" t="s">
        <v>6745</v>
      </c>
      <c r="F13566" s="4" t="n">
        <v>15</v>
      </c>
      <c r="G13566" s="4" t="n">
        <v>8</v>
      </c>
      <c r="H13566" s="4" t="n">
        <v>4</v>
      </c>
      <c r="I13566" s="4" t="str">
        <v>×</v>
      </c>
      <c r="J13566" s="4"/>
      <c r="K13566" s="4"/>
      <c r="L13566" s="4"/>
      <c r="M13566" s="7" t="s">
        <v>6556</v>
      </c>
    </row>
    <row r="13567" customFormat="false" ht="15.75" hidden="false" customHeight="false" outlineLevel="0" collapsed="false">
      <c r="A13567" s="6" t="n">
        <f aca="false">DATE(2026,8,16)</f>
        <v>46250</v>
      </c>
      <c r="B13567" s="4" t="s">
        <v>179</v>
      </c>
      <c r="C13567" s="4" t="n">
        <v>4</v>
      </c>
      <c r="D13567" s="4" t="n">
        <v>9</v>
      </c>
      <c r="E13567" s="4" t="s">
        <v>3144</v>
      </c>
      <c r="F13567" s="4" t="n">
        <v>8</v>
      </c>
      <c r="G13567" s="4" t="n">
        <v>9</v>
      </c>
      <c r="H13567" s="4" t="n">
        <v>4</v>
      </c>
      <c r="I13567" s="4" t="str">
        <v>×</v>
      </c>
      <c r="J13567" s="4"/>
      <c r="K13567" s="4"/>
      <c r="L13567" s="4"/>
      <c r="M13567" s="7" t="s">
        <v>6556</v>
      </c>
    </row>
    <row r="13568" customFormat="false" ht="15.75" hidden="false" customHeight="false" outlineLevel="0" collapsed="false">
      <c r="A13568" s="6" t="n">
        <f aca="false">DATE(2026,8,16)</f>
        <v>46250</v>
      </c>
      <c r="B13568" s="4" t="s">
        <v>179</v>
      </c>
      <c r="C13568" s="4" t="n">
        <v>4</v>
      </c>
      <c r="D13568" s="4" t="n">
        <v>10</v>
      </c>
      <c r="E13568" s="4" t="s">
        <v>6746</v>
      </c>
      <c r="F13568" s="4" t="n">
        <v>3</v>
      </c>
      <c r="G13568" s="4" t="n">
        <v>14</v>
      </c>
      <c r="H13568" s="4" t="n">
        <v>4</v>
      </c>
      <c r="I13568" s="4" t="str">
        <v>×</v>
      </c>
      <c r="J13568" s="4"/>
      <c r="K13568" s="4"/>
      <c r="L13568" s="4"/>
      <c r="M13568" s="7" t="s">
        <v>6556</v>
      </c>
    </row>
    <row r="13569" customFormat="false" ht="15.75" hidden="false" customHeight="false" outlineLevel="0" collapsed="false">
      <c r="A13569" s="6" t="n">
        <f aca="false">DATE(2026,8,16)</f>
        <v>46250</v>
      </c>
      <c r="B13569" s="4" t="s">
        <v>179</v>
      </c>
      <c r="C13569" s="4" t="n">
        <v>4</v>
      </c>
      <c r="D13569" s="4" t="n">
        <v>11</v>
      </c>
      <c r="E13569" s="4" t="s">
        <v>2877</v>
      </c>
      <c r="F13569" s="4" t="n">
        <v>8</v>
      </c>
      <c r="G13569" s="4" t="n">
        <v>10</v>
      </c>
      <c r="H13569" s="4" t="n">
        <v>4</v>
      </c>
      <c r="I13569" s="4" t="str">
        <v>×</v>
      </c>
      <c r="J13569" s="4"/>
      <c r="K13569" s="4"/>
      <c r="L13569" s="4"/>
      <c r="M13569" s="7" t="s">
        <v>6556</v>
      </c>
    </row>
    <row r="13570" customFormat="false" ht="15.75" hidden="false" customHeight="false" outlineLevel="0" collapsed="false">
      <c r="A13570" s="6" t="n">
        <f aca="false">DATE(2026,8,16)</f>
        <v>46250</v>
      </c>
      <c r="B13570" s="4" t="s">
        <v>179</v>
      </c>
      <c r="C13570" s="4" t="n">
        <v>4</v>
      </c>
      <c r="D13570" s="4" t="n">
        <v>12</v>
      </c>
      <c r="E13570" s="4" t="s">
        <v>6224</v>
      </c>
      <c r="F13570" s="4" t="n">
        <v>4</v>
      </c>
      <c r="G13570" s="4" t="n">
        <v>12</v>
      </c>
      <c r="H13570" s="4" t="n">
        <v>4</v>
      </c>
      <c r="I13570" s="4" t="str">
        <v>×</v>
      </c>
      <c r="J13570" s="4"/>
      <c r="K13570" s="4"/>
      <c r="L13570" s="4"/>
      <c r="M13570" s="7" t="s">
        <v>6556</v>
      </c>
    </row>
    <row r="13571" customFormat="false" ht="15.75" hidden="false" customHeight="false" outlineLevel="0" collapsed="false">
      <c r="A13571" s="6" t="n">
        <f aca="false">DATE(2026,8,16)</f>
        <v>46250</v>
      </c>
      <c r="B13571" s="4" t="s">
        <v>179</v>
      </c>
      <c r="C13571" s="4" t="n">
        <v>4</v>
      </c>
      <c r="D13571" s="4" t="n">
        <v>13</v>
      </c>
      <c r="E13571" s="4" t="s">
        <v>1608</v>
      </c>
      <c r="F13571" s="4" t="n">
        <v>4</v>
      </c>
      <c r="G13571" s="4" t="n">
        <v>13</v>
      </c>
      <c r="H13571" s="4" t="n">
        <v>4</v>
      </c>
      <c r="I13571" s="4" t="str">
        <v>×</v>
      </c>
      <c r="J13571" s="4"/>
      <c r="K13571" s="4"/>
      <c r="L13571" s="4"/>
      <c r="M13571" s="7" t="s">
        <v>6556</v>
      </c>
    </row>
    <row r="13572" customFormat="false" ht="15.75" hidden="false" customHeight="false" outlineLevel="0" collapsed="false">
      <c r="A13572" s="6" t="n">
        <f aca="false">DATE(2026,8,16)</f>
        <v>46250</v>
      </c>
      <c r="B13572" s="4" t="s">
        <v>179</v>
      </c>
      <c r="C13572" s="4" t="n">
        <v>4</v>
      </c>
      <c r="D13572" s="4" t="n">
        <v>14</v>
      </c>
      <c r="E13572" s="4" t="s">
        <v>2050</v>
      </c>
      <c r="F13572" s="4" t="n">
        <v>3</v>
      </c>
      <c r="G13572" s="4" t="n">
        <v>15</v>
      </c>
      <c r="H13572" s="4" t="n">
        <v>4</v>
      </c>
      <c r="I13572" s="4" t="str">
        <v>×</v>
      </c>
      <c r="J13572" s="4"/>
      <c r="K13572" s="4"/>
      <c r="L13572" s="4"/>
      <c r="M13572" s="7" t="s">
        <v>6556</v>
      </c>
    </row>
    <row r="13573" customFormat="false" ht="15.75" hidden="false" customHeight="false" outlineLevel="0" collapsed="false">
      <c r="A13573" s="6" t="n">
        <f aca="false">DATE(2026,8,16)</f>
        <v>46250</v>
      </c>
      <c r="B13573" s="4" t="s">
        <v>179</v>
      </c>
      <c r="C13573" s="4" t="n">
        <v>4</v>
      </c>
      <c r="D13573" s="4" t="n">
        <v>15</v>
      </c>
      <c r="E13573" s="4" t="s">
        <v>5326</v>
      </c>
      <c r="F13573" s="4" t="n">
        <v>1</v>
      </c>
      <c r="G13573" s="4" t="n">
        <v>18</v>
      </c>
      <c r="H13573" s="4" t="n">
        <v>4</v>
      </c>
      <c r="I13573" s="4" t="str">
        <v>×</v>
      </c>
      <c r="J13573" s="4"/>
      <c r="K13573" s="4"/>
      <c r="L13573" s="4"/>
      <c r="M13573" s="7" t="s">
        <v>6556</v>
      </c>
    </row>
    <row r="13574" customFormat="false" ht="15.75" hidden="false" customHeight="false" outlineLevel="0" collapsed="false">
      <c r="A13574" s="6" t="n">
        <f aca="false">DATE(2026,8,16)</f>
        <v>46250</v>
      </c>
      <c r="B13574" s="4" t="s">
        <v>179</v>
      </c>
      <c r="C13574" s="4" t="n">
        <v>4</v>
      </c>
      <c r="D13574" s="4" t="n">
        <v>16</v>
      </c>
      <c r="E13574" s="4" t="s">
        <v>648</v>
      </c>
      <c r="F13574" s="4" t="n">
        <v>2</v>
      </c>
      <c r="G13574" s="4" t="n">
        <v>17</v>
      </c>
      <c r="H13574" s="4" t="n">
        <v>4</v>
      </c>
      <c r="I13574" s="4" t="str">
        <v>×</v>
      </c>
      <c r="J13574" s="4"/>
      <c r="K13574" s="4"/>
      <c r="L13574" s="4"/>
      <c r="M13574" s="7" t="s">
        <v>6556</v>
      </c>
    </row>
    <row r="13575" customFormat="false" ht="15.75" hidden="false" customHeight="false" outlineLevel="0" collapsed="false">
      <c r="A13575" s="6" t="n">
        <f aca="false">DATE(2026,8,16)</f>
        <v>46250</v>
      </c>
      <c r="B13575" s="4" t="s">
        <v>179</v>
      </c>
      <c r="C13575" s="4" t="n">
        <v>4</v>
      </c>
      <c r="D13575" s="4" t="n">
        <v>17</v>
      </c>
      <c r="E13575" s="4" t="s">
        <v>6747</v>
      </c>
      <c r="F13575" s="4" t="n">
        <v>17</v>
      </c>
      <c r="G13575" s="4" t="n">
        <v>7</v>
      </c>
      <c r="H13575" s="4" t="n">
        <v>4</v>
      </c>
      <c r="I13575" s="4" t="str">
        <v>×</v>
      </c>
      <c r="J13575" s="4"/>
      <c r="K13575" s="4"/>
      <c r="L13575" s="4"/>
      <c r="M13575" s="7" t="s">
        <v>6556</v>
      </c>
    </row>
    <row r="13576" customFormat="false" ht="15.75" hidden="false" customHeight="false" outlineLevel="0" collapsed="false">
      <c r="A13576" s="6" t="n">
        <f aca="false">DATE(2026,8,16)</f>
        <v>46250</v>
      </c>
      <c r="B13576" s="4" t="s">
        <v>179</v>
      </c>
      <c r="C13576" s="4" t="n">
        <v>4</v>
      </c>
      <c r="D13576" s="4" t="n">
        <v>18</v>
      </c>
      <c r="E13576" s="4" t="s">
        <v>1602</v>
      </c>
      <c r="F13576" s="4" t="n">
        <v>67</v>
      </c>
      <c r="G13576" s="4" t="n">
        <v>1</v>
      </c>
      <c r="H13576" s="4" t="n">
        <v>4</v>
      </c>
      <c r="I13576" s="4" t="str">
        <v>×</v>
      </c>
      <c r="J13576" s="4"/>
      <c r="K13576" s="4"/>
      <c r="L13576" s="4"/>
      <c r="M13576" s="7" t="s">
        <v>6556</v>
      </c>
    </row>
    <row r="13577" customFormat="false" ht="15.75" hidden="false" customHeight="false" outlineLevel="0" collapsed="false">
      <c r="A13577" s="6" t="n">
        <f aca="false">DATE(2026,8,16)</f>
        <v>46250</v>
      </c>
      <c r="B13577" s="4" t="s">
        <v>179</v>
      </c>
      <c r="C13577" s="4" t="n">
        <v>5</v>
      </c>
      <c r="D13577" s="4" t="n">
        <v>1</v>
      </c>
      <c r="E13577" s="4" t="s">
        <v>4582</v>
      </c>
      <c r="F13577" s="4" t="n">
        <v>2</v>
      </c>
      <c r="G13577" s="4" t="n">
        <v>15</v>
      </c>
      <c r="H13577" s="4" t="n">
        <v>4</v>
      </c>
      <c r="I13577" s="4" t="str">
        <v>×</v>
      </c>
      <c r="J13577" s="4"/>
      <c r="K13577" s="4"/>
      <c r="L13577" s="4"/>
      <c r="M13577" s="7" t="s">
        <v>6556</v>
      </c>
    </row>
    <row r="13578" customFormat="false" ht="15.75" hidden="false" customHeight="false" outlineLevel="0" collapsed="false">
      <c r="A13578" s="6" t="n">
        <f aca="false">DATE(2026,8,16)</f>
        <v>46250</v>
      </c>
      <c r="B13578" s="4" t="s">
        <v>179</v>
      </c>
      <c r="C13578" s="4" t="n">
        <v>5</v>
      </c>
      <c r="D13578" s="4" t="n">
        <v>2</v>
      </c>
      <c r="E13578" s="4" t="s">
        <v>685</v>
      </c>
      <c r="F13578" s="4" t="n">
        <v>52</v>
      </c>
      <c r="G13578" s="4" t="n">
        <v>3</v>
      </c>
      <c r="H13578" s="4" t="n">
        <v>2</v>
      </c>
      <c r="I13578" s="4" t="str">
        <v>○</v>
      </c>
      <c r="J13578" s="4" t="n">
        <v>200</v>
      </c>
      <c r="K13578" s="4"/>
      <c r="L13578" s="4"/>
      <c r="M13578" s="7" t="s">
        <v>6556</v>
      </c>
    </row>
    <row r="13579" customFormat="false" ht="15.75" hidden="false" customHeight="false" outlineLevel="0" collapsed="false">
      <c r="A13579" s="6" t="n">
        <f aca="false">DATE(2026,8,16)</f>
        <v>46250</v>
      </c>
      <c r="B13579" s="4" t="s">
        <v>179</v>
      </c>
      <c r="C13579" s="4" t="n">
        <v>5</v>
      </c>
      <c r="D13579" s="4" t="n">
        <v>3</v>
      </c>
      <c r="E13579" s="4" t="s">
        <v>6748</v>
      </c>
      <c r="F13579" s="4" t="n">
        <v>10</v>
      </c>
      <c r="G13579" s="4" t="n">
        <v>8</v>
      </c>
      <c r="H13579" s="4" t="n">
        <v>4</v>
      </c>
      <c r="I13579" s="4" t="str">
        <v>×</v>
      </c>
      <c r="J13579" s="4"/>
      <c r="K13579" s="4"/>
      <c r="L13579" s="4"/>
      <c r="M13579" s="7" t="s">
        <v>6556</v>
      </c>
    </row>
    <row r="13580" customFormat="false" ht="15.75" hidden="false" customHeight="false" outlineLevel="0" collapsed="false">
      <c r="A13580" s="6" t="n">
        <f aca="false">DATE(2026,8,16)</f>
        <v>46250</v>
      </c>
      <c r="B13580" s="4" t="s">
        <v>179</v>
      </c>
      <c r="C13580" s="4" t="n">
        <v>5</v>
      </c>
      <c r="D13580" s="4" t="n">
        <v>4</v>
      </c>
      <c r="E13580" s="4" t="s">
        <v>6749</v>
      </c>
      <c r="F13580" s="4" t="n">
        <v>4</v>
      </c>
      <c r="G13580" s="4" t="n">
        <v>11</v>
      </c>
      <c r="H13580" s="4" t="n">
        <v>4</v>
      </c>
      <c r="I13580" s="4" t="str">
        <v>×</v>
      </c>
      <c r="J13580" s="4"/>
      <c r="K13580" s="4"/>
      <c r="L13580" s="4"/>
      <c r="M13580" s="7" t="s">
        <v>6556</v>
      </c>
    </row>
    <row r="13581" customFormat="false" ht="15.75" hidden="false" customHeight="false" outlineLevel="0" collapsed="false">
      <c r="A13581" s="6" t="n">
        <f aca="false">DATE(2026,8,16)</f>
        <v>46250</v>
      </c>
      <c r="B13581" s="4" t="s">
        <v>179</v>
      </c>
      <c r="C13581" s="4" t="n">
        <v>5</v>
      </c>
      <c r="D13581" s="4" t="n">
        <v>5</v>
      </c>
      <c r="E13581" s="4" t="s">
        <v>6750</v>
      </c>
      <c r="F13581" s="4" t="n">
        <v>1</v>
      </c>
      <c r="G13581" s="4" t="n">
        <v>16</v>
      </c>
      <c r="H13581" s="4" t="n">
        <v>4</v>
      </c>
      <c r="I13581" s="4" t="str">
        <v>×</v>
      </c>
      <c r="J13581" s="4"/>
      <c r="K13581" s="4"/>
      <c r="L13581" s="4"/>
      <c r="M13581" s="7" t="s">
        <v>6556</v>
      </c>
    </row>
    <row r="13582" customFormat="false" ht="15.75" hidden="false" customHeight="false" outlineLevel="0" collapsed="false">
      <c r="A13582" s="6" t="n">
        <f aca="false">DATE(2026,8,16)</f>
        <v>46250</v>
      </c>
      <c r="B13582" s="4" t="s">
        <v>179</v>
      </c>
      <c r="C13582" s="4" t="n">
        <v>5</v>
      </c>
      <c r="D13582" s="4" t="n">
        <v>6</v>
      </c>
      <c r="E13582" s="4" t="s">
        <v>5891</v>
      </c>
      <c r="F13582" s="4" t="n">
        <v>13</v>
      </c>
      <c r="G13582" s="4" t="n">
        <v>7</v>
      </c>
      <c r="H13582" s="4" t="n">
        <v>4</v>
      </c>
      <c r="I13582" s="4" t="str">
        <v>×</v>
      </c>
      <c r="J13582" s="4"/>
      <c r="K13582" s="4"/>
      <c r="L13582" s="4"/>
      <c r="M13582" s="7" t="s">
        <v>6556</v>
      </c>
    </row>
    <row r="13583" customFormat="false" ht="15.75" hidden="false" customHeight="false" outlineLevel="0" collapsed="false">
      <c r="A13583" s="6" t="n">
        <f aca="false">DATE(2026,8,16)</f>
        <v>46250</v>
      </c>
      <c r="B13583" s="4" t="s">
        <v>179</v>
      </c>
      <c r="C13583" s="4" t="n">
        <v>5</v>
      </c>
      <c r="D13583" s="4" t="n">
        <v>7</v>
      </c>
      <c r="E13583" s="4" t="s">
        <v>6751</v>
      </c>
      <c r="F13583" s="4" t="n">
        <v>25</v>
      </c>
      <c r="G13583" s="4" t="n">
        <v>6</v>
      </c>
      <c r="H13583" s="4" t="n">
        <v>4</v>
      </c>
      <c r="I13583" s="4" t="str">
        <v>×</v>
      </c>
      <c r="J13583" s="4"/>
      <c r="K13583" s="4"/>
      <c r="L13583" s="4"/>
      <c r="M13583" s="7" t="s">
        <v>6556</v>
      </c>
    </row>
    <row r="13584" customFormat="false" ht="15.75" hidden="false" customHeight="false" outlineLevel="0" collapsed="false">
      <c r="A13584" s="6" t="n">
        <f aca="false">DATE(2026,8,16)</f>
        <v>46250</v>
      </c>
      <c r="B13584" s="4" t="s">
        <v>179</v>
      </c>
      <c r="C13584" s="4" t="n">
        <v>5</v>
      </c>
      <c r="D13584" s="4" t="n">
        <v>8</v>
      </c>
      <c r="E13584" s="4" t="s">
        <v>5760</v>
      </c>
      <c r="F13584" s="4" t="n">
        <v>8</v>
      </c>
      <c r="G13584" s="4" t="n">
        <v>9</v>
      </c>
      <c r="H13584" s="4" t="n">
        <v>1</v>
      </c>
      <c r="I13584" s="4" t="str">
        <v>○</v>
      </c>
      <c r="J13584" s="4" t="n">
        <v>1120</v>
      </c>
      <c r="K13584" s="4"/>
      <c r="L13584" s="4"/>
      <c r="M13584" s="7" t="s">
        <v>6556</v>
      </c>
    </row>
    <row r="13585" customFormat="false" ht="15.75" hidden="false" customHeight="false" outlineLevel="0" collapsed="false">
      <c r="A13585" s="6" t="n">
        <f aca="false">DATE(2026,8,16)</f>
        <v>46250</v>
      </c>
      <c r="B13585" s="4" t="s">
        <v>179</v>
      </c>
      <c r="C13585" s="4" t="n">
        <v>5</v>
      </c>
      <c r="D13585" s="4" t="n">
        <v>9</v>
      </c>
      <c r="E13585" s="4" t="s">
        <v>6405</v>
      </c>
      <c r="F13585" s="4" t="n">
        <v>50</v>
      </c>
      <c r="G13585" s="4" t="n">
        <v>4</v>
      </c>
      <c r="H13585" s="4" t="n">
        <v>4</v>
      </c>
      <c r="I13585" s="4" t="str">
        <v>×</v>
      </c>
      <c r="J13585" s="4"/>
      <c r="K13585" s="4"/>
      <c r="L13585" s="4"/>
      <c r="M13585" s="7" t="s">
        <v>6556</v>
      </c>
    </row>
    <row r="13586" customFormat="false" ht="15.75" hidden="false" customHeight="false" outlineLevel="0" collapsed="false">
      <c r="A13586" s="6" t="n">
        <f aca="false">DATE(2026,8,16)</f>
        <v>46250</v>
      </c>
      <c r="B13586" s="4" t="s">
        <v>179</v>
      </c>
      <c r="C13586" s="4" t="n">
        <v>5</v>
      </c>
      <c r="D13586" s="4" t="n">
        <v>10</v>
      </c>
      <c r="E13586" s="4" t="s">
        <v>6752</v>
      </c>
      <c r="F13586" s="4" t="n">
        <v>4</v>
      </c>
      <c r="G13586" s="4" t="n">
        <v>12</v>
      </c>
      <c r="H13586" s="4" t="n">
        <v>4</v>
      </c>
      <c r="I13586" s="4" t="str">
        <v>×</v>
      </c>
      <c r="J13586" s="4"/>
      <c r="K13586" s="4"/>
      <c r="L13586" s="4"/>
      <c r="M13586" s="7" t="s">
        <v>6556</v>
      </c>
    </row>
    <row r="13587" customFormat="false" ht="15.75" hidden="false" customHeight="false" outlineLevel="0" collapsed="false">
      <c r="A13587" s="6" t="n">
        <f aca="false">DATE(2026,8,16)</f>
        <v>46250</v>
      </c>
      <c r="B13587" s="4" t="s">
        <v>179</v>
      </c>
      <c r="C13587" s="4" t="n">
        <v>5</v>
      </c>
      <c r="D13587" s="4" t="n">
        <v>11</v>
      </c>
      <c r="E13587" s="4" t="s">
        <v>686</v>
      </c>
      <c r="F13587" s="4" t="n">
        <v>60</v>
      </c>
      <c r="G13587" s="4" t="n">
        <v>1</v>
      </c>
      <c r="H13587" s="4" t="n">
        <v>3</v>
      </c>
      <c r="I13587" s="4" t="str">
        <v>○</v>
      </c>
      <c r="J13587" s="4" t="n">
        <v>160</v>
      </c>
      <c r="K13587" s="4"/>
      <c r="L13587" s="4"/>
      <c r="M13587" s="7" t="s">
        <v>6556</v>
      </c>
    </row>
    <row r="13588" customFormat="false" ht="15.75" hidden="false" customHeight="false" outlineLevel="0" collapsed="false">
      <c r="A13588" s="6" t="n">
        <f aca="false">DATE(2026,8,16)</f>
        <v>46250</v>
      </c>
      <c r="B13588" s="4" t="s">
        <v>179</v>
      </c>
      <c r="C13588" s="4" t="n">
        <v>5</v>
      </c>
      <c r="D13588" s="4" t="n">
        <v>12</v>
      </c>
      <c r="E13588" s="4" t="s">
        <v>6753</v>
      </c>
      <c r="F13588" s="4" t="n">
        <v>6</v>
      </c>
      <c r="G13588" s="4" t="n">
        <v>10</v>
      </c>
      <c r="H13588" s="4" t="n">
        <v>4</v>
      </c>
      <c r="I13588" s="4" t="str">
        <v>×</v>
      </c>
      <c r="J13588" s="4"/>
      <c r="K13588" s="4"/>
      <c r="L13588" s="4"/>
      <c r="M13588" s="7" t="s">
        <v>6556</v>
      </c>
    </row>
    <row r="13589" customFormat="false" ht="15.75" hidden="false" customHeight="false" outlineLevel="0" collapsed="false">
      <c r="A13589" s="6" t="n">
        <f aca="false">DATE(2026,8,16)</f>
        <v>46250</v>
      </c>
      <c r="B13589" s="4" t="s">
        <v>179</v>
      </c>
      <c r="C13589" s="4" t="n">
        <v>5</v>
      </c>
      <c r="D13589" s="4" t="n">
        <v>13</v>
      </c>
      <c r="E13589" s="4" t="s">
        <v>5240</v>
      </c>
      <c r="F13589" s="4" t="n">
        <v>3</v>
      </c>
      <c r="G13589" s="4" t="n">
        <v>14</v>
      </c>
      <c r="H13589" s="4" t="n">
        <v>4</v>
      </c>
      <c r="I13589" s="4" t="str">
        <v>×</v>
      </c>
      <c r="J13589" s="4"/>
      <c r="K13589" s="4"/>
      <c r="L13589" s="4"/>
      <c r="M13589" s="7" t="s">
        <v>6556</v>
      </c>
    </row>
    <row r="13590" customFormat="false" ht="15.75" hidden="false" customHeight="false" outlineLevel="0" collapsed="false">
      <c r="A13590" s="6" t="n">
        <f aca="false">DATE(2026,8,16)</f>
        <v>46250</v>
      </c>
      <c r="B13590" s="4" t="s">
        <v>179</v>
      </c>
      <c r="C13590" s="4" t="n">
        <v>5</v>
      </c>
      <c r="D13590" s="4" t="n">
        <v>14</v>
      </c>
      <c r="E13590" s="4" t="s">
        <v>672</v>
      </c>
      <c r="F13590" s="4" t="n">
        <v>37</v>
      </c>
      <c r="G13590" s="4" t="n">
        <v>5</v>
      </c>
      <c r="H13590" s="4" t="n">
        <v>4</v>
      </c>
      <c r="I13590" s="4" t="str">
        <v>×</v>
      </c>
      <c r="J13590" s="4"/>
      <c r="K13590" s="4"/>
      <c r="L13590" s="4"/>
      <c r="M13590" s="7" t="s">
        <v>6556</v>
      </c>
    </row>
    <row r="13591" customFormat="false" ht="15.75" hidden="false" customHeight="false" outlineLevel="0" collapsed="false">
      <c r="A13591" s="6" t="n">
        <f aca="false">DATE(2026,8,16)</f>
        <v>46250</v>
      </c>
      <c r="B13591" s="4" t="s">
        <v>179</v>
      </c>
      <c r="C13591" s="4" t="n">
        <v>5</v>
      </c>
      <c r="D13591" s="4" t="n">
        <v>15</v>
      </c>
      <c r="E13591" s="4" t="s">
        <v>1155</v>
      </c>
      <c r="F13591" s="4" t="n">
        <v>58</v>
      </c>
      <c r="G13591" s="4" t="n">
        <v>2</v>
      </c>
      <c r="H13591" s="4" t="n">
        <v>4</v>
      </c>
      <c r="I13591" s="4" t="str">
        <v>×</v>
      </c>
      <c r="J13591" s="4"/>
      <c r="K13591" s="4"/>
      <c r="L13591" s="4"/>
      <c r="M13591" s="7" t="s">
        <v>6556</v>
      </c>
    </row>
    <row r="13592" customFormat="false" ht="15.75" hidden="false" customHeight="false" outlineLevel="0" collapsed="false">
      <c r="A13592" s="6" t="n">
        <f aca="false">DATE(2026,8,16)</f>
        <v>46250</v>
      </c>
      <c r="B13592" s="4" t="s">
        <v>179</v>
      </c>
      <c r="C13592" s="4" t="n">
        <v>5</v>
      </c>
      <c r="D13592" s="4" t="n">
        <v>16</v>
      </c>
      <c r="E13592" s="4" t="s">
        <v>6754</v>
      </c>
      <c r="F13592" s="4" t="n">
        <v>4</v>
      </c>
      <c r="G13592" s="4" t="n">
        <v>13</v>
      </c>
      <c r="H13592" s="4" t="n">
        <v>4</v>
      </c>
      <c r="I13592" s="4" t="str">
        <v>×</v>
      </c>
      <c r="J13592" s="4"/>
      <c r="K13592" s="4"/>
      <c r="L13592" s="4"/>
      <c r="M13592" s="7" t="s">
        <v>6556</v>
      </c>
    </row>
    <row r="13593" customFormat="false" ht="15.75" hidden="false" customHeight="false" outlineLevel="0" collapsed="false">
      <c r="A13593" s="6" t="n">
        <f aca="false">DATE(2026,8,16)</f>
        <v>46250</v>
      </c>
      <c r="B13593" s="4" t="s">
        <v>179</v>
      </c>
      <c r="C13593" s="4" t="n">
        <v>6</v>
      </c>
      <c r="D13593" s="4" t="n">
        <v>1</v>
      </c>
      <c r="E13593" s="4" t="s">
        <v>6755</v>
      </c>
      <c r="F13593" s="4" t="n">
        <v>39</v>
      </c>
      <c r="G13593" s="4" t="n">
        <v>3</v>
      </c>
      <c r="H13593" s="4" t="n">
        <v>2</v>
      </c>
      <c r="I13593" s="4" t="str">
        <v>○</v>
      </c>
      <c r="J13593" s="4" t="n">
        <v>200</v>
      </c>
      <c r="K13593" s="4"/>
      <c r="L13593" s="4"/>
      <c r="M13593" s="7" t="s">
        <v>6556</v>
      </c>
    </row>
    <row r="13594" customFormat="false" ht="15.75" hidden="false" customHeight="false" outlineLevel="0" collapsed="false">
      <c r="A13594" s="6" t="n">
        <f aca="false">DATE(2026,8,16)</f>
        <v>46250</v>
      </c>
      <c r="B13594" s="4" t="s">
        <v>179</v>
      </c>
      <c r="C13594" s="4" t="n">
        <v>6</v>
      </c>
      <c r="D13594" s="4" t="n">
        <v>2</v>
      </c>
      <c r="E13594" s="4" t="s">
        <v>4188</v>
      </c>
      <c r="F13594" s="4" t="n">
        <v>67</v>
      </c>
      <c r="G13594" s="4" t="n">
        <v>1</v>
      </c>
      <c r="H13594" s="4" t="n">
        <v>4</v>
      </c>
      <c r="I13594" s="4" t="str">
        <v>×</v>
      </c>
      <c r="J13594" s="4"/>
      <c r="K13594" s="4"/>
      <c r="L13594" s="4"/>
      <c r="M13594" s="7" t="s">
        <v>6556</v>
      </c>
    </row>
    <row r="13595" customFormat="false" ht="15.75" hidden="false" customHeight="false" outlineLevel="0" collapsed="false">
      <c r="A13595" s="6" t="n">
        <f aca="false">DATE(2026,8,16)</f>
        <v>46250</v>
      </c>
      <c r="B13595" s="4" t="s">
        <v>179</v>
      </c>
      <c r="C13595" s="4" t="n">
        <v>6</v>
      </c>
      <c r="D13595" s="4" t="n">
        <v>3</v>
      </c>
      <c r="E13595" s="4" t="s">
        <v>6756</v>
      </c>
      <c r="F13595" s="4" t="n">
        <v>20</v>
      </c>
      <c r="G13595" s="4" t="n">
        <v>6</v>
      </c>
      <c r="H13595" s="4" t="n">
        <v>3</v>
      </c>
      <c r="I13595" s="4" t="str">
        <v>○</v>
      </c>
      <c r="J13595" s="4"/>
      <c r="K13595" s="4"/>
      <c r="L13595" s="4"/>
      <c r="M13595" s="7" t="s">
        <v>6556</v>
      </c>
    </row>
    <row r="13596" customFormat="false" ht="15.75" hidden="false" customHeight="false" outlineLevel="0" collapsed="false">
      <c r="A13596" s="6" t="n">
        <f aca="false">DATE(2026,8,16)</f>
        <v>46250</v>
      </c>
      <c r="B13596" s="4" t="s">
        <v>179</v>
      </c>
      <c r="C13596" s="4" t="n">
        <v>6</v>
      </c>
      <c r="D13596" s="4" t="n">
        <v>4</v>
      </c>
      <c r="E13596" s="4" t="s">
        <v>6134</v>
      </c>
      <c r="F13596" s="4" t="n">
        <v>37</v>
      </c>
      <c r="G13596" s="4" t="n">
        <v>5</v>
      </c>
      <c r="H13596" s="4" t="n">
        <v>4</v>
      </c>
      <c r="I13596" s="4" t="str">
        <v>×</v>
      </c>
      <c r="J13596" s="4"/>
      <c r="K13596" s="4"/>
      <c r="L13596" s="4"/>
      <c r="M13596" s="7" t="s">
        <v>6556</v>
      </c>
    </row>
    <row r="13597" customFormat="false" ht="15.75" hidden="false" customHeight="false" outlineLevel="0" collapsed="false">
      <c r="A13597" s="6" t="n">
        <f aca="false">DATE(2026,8,16)</f>
        <v>46250</v>
      </c>
      <c r="B13597" s="4" t="s">
        <v>179</v>
      </c>
      <c r="C13597" s="4" t="n">
        <v>6</v>
      </c>
      <c r="D13597" s="4" t="n">
        <v>5</v>
      </c>
      <c r="E13597" s="4" t="s">
        <v>6757</v>
      </c>
      <c r="F13597" s="4" t="n">
        <v>39</v>
      </c>
      <c r="G13597" s="4" t="n">
        <v>4</v>
      </c>
      <c r="H13597" s="4" t="n">
        <v>4</v>
      </c>
      <c r="I13597" s="4" t="str">
        <v>×</v>
      </c>
      <c r="J13597" s="4"/>
      <c r="K13597" s="4"/>
      <c r="L13597" s="4"/>
      <c r="M13597" s="7" t="s">
        <v>6556</v>
      </c>
    </row>
    <row r="13598" customFormat="false" ht="15.75" hidden="false" customHeight="false" outlineLevel="0" collapsed="false">
      <c r="A13598" s="6" t="n">
        <f aca="false">DATE(2026,8,16)</f>
        <v>46250</v>
      </c>
      <c r="B13598" s="4" t="s">
        <v>179</v>
      </c>
      <c r="C13598" s="4" t="n">
        <v>6</v>
      </c>
      <c r="D13598" s="4" t="n">
        <v>6</v>
      </c>
      <c r="E13598" s="4" t="s">
        <v>6135</v>
      </c>
      <c r="F13598" s="4" t="n">
        <v>50</v>
      </c>
      <c r="G13598" s="4" t="n">
        <v>2</v>
      </c>
      <c r="H13598" s="4" t="n">
        <v>1</v>
      </c>
      <c r="I13598" s="4" t="str">
        <v>○</v>
      </c>
      <c r="J13598" s="4" t="n">
        <v>210</v>
      </c>
      <c r="K13598" s="4"/>
      <c r="L13598" s="4"/>
      <c r="M13598" s="7" t="s">
        <v>6556</v>
      </c>
    </row>
    <row r="13599" customFormat="false" ht="15.75" hidden="false" customHeight="false" outlineLevel="0" collapsed="false">
      <c r="A13599" s="6" t="n">
        <f aca="false">DATE(2026,8,16)</f>
        <v>46250</v>
      </c>
      <c r="B13599" s="4" t="s">
        <v>179</v>
      </c>
      <c r="C13599" s="4" t="n">
        <v>6</v>
      </c>
      <c r="D13599" s="4" t="n">
        <v>7</v>
      </c>
      <c r="E13599" s="4" t="s">
        <v>2527</v>
      </c>
      <c r="F13599" s="4" t="n">
        <v>17</v>
      </c>
      <c r="G13599" s="4" t="n">
        <v>7</v>
      </c>
      <c r="H13599" s="4" t="n">
        <v>4</v>
      </c>
      <c r="I13599" s="4" t="str">
        <v>×</v>
      </c>
      <c r="J13599" s="4"/>
      <c r="K13599" s="4"/>
      <c r="L13599" s="4"/>
      <c r="M13599" s="7" t="s">
        <v>6556</v>
      </c>
    </row>
    <row r="13600" customFormat="false" ht="15.75" hidden="false" customHeight="false" outlineLevel="0" collapsed="false">
      <c r="A13600" s="6" t="n">
        <f aca="false">DATE(2026,8,16)</f>
        <v>46250</v>
      </c>
      <c r="B13600" s="4" t="s">
        <v>179</v>
      </c>
      <c r="C13600" s="4" t="n">
        <v>7</v>
      </c>
      <c r="D13600" s="4" t="n">
        <v>1</v>
      </c>
      <c r="E13600" s="4" t="s">
        <v>557</v>
      </c>
      <c r="F13600" s="4" t="n">
        <v>20</v>
      </c>
      <c r="G13600" s="4" t="n">
        <v>8</v>
      </c>
      <c r="H13600" s="4" t="n">
        <v>4</v>
      </c>
      <c r="I13600" s="4" t="str">
        <v>×</v>
      </c>
      <c r="J13600" s="4"/>
      <c r="K13600" s="4"/>
      <c r="L13600" s="4"/>
      <c r="M13600" s="7" t="s">
        <v>6556</v>
      </c>
    </row>
    <row r="13601" customFormat="false" ht="15.75" hidden="false" customHeight="false" outlineLevel="0" collapsed="false">
      <c r="A13601" s="6" t="n">
        <f aca="false">DATE(2026,8,16)</f>
        <v>46250</v>
      </c>
      <c r="B13601" s="4" t="s">
        <v>179</v>
      </c>
      <c r="C13601" s="4" t="n">
        <v>7</v>
      </c>
      <c r="D13601" s="4" t="n">
        <v>2</v>
      </c>
      <c r="E13601" s="4" t="s">
        <v>6758</v>
      </c>
      <c r="F13601" s="4" t="n">
        <v>13</v>
      </c>
      <c r="G13601" s="4" t="n">
        <v>12</v>
      </c>
      <c r="H13601" s="4" t="n">
        <v>4</v>
      </c>
      <c r="I13601" s="4" t="str">
        <v>×</v>
      </c>
      <c r="J13601" s="4"/>
      <c r="K13601" s="4"/>
      <c r="L13601" s="4"/>
      <c r="M13601" s="7" t="s">
        <v>6556</v>
      </c>
    </row>
    <row r="13602" customFormat="false" ht="15.75" hidden="false" customHeight="false" outlineLevel="0" collapsed="false">
      <c r="A13602" s="6" t="n">
        <f aca="false">DATE(2026,8,16)</f>
        <v>46250</v>
      </c>
      <c r="B13602" s="4" t="s">
        <v>179</v>
      </c>
      <c r="C13602" s="4" t="n">
        <v>7</v>
      </c>
      <c r="D13602" s="4" t="n">
        <v>3</v>
      </c>
      <c r="E13602" s="4" t="s">
        <v>6378</v>
      </c>
      <c r="F13602" s="4" t="n">
        <v>23</v>
      </c>
      <c r="G13602" s="4" t="n">
        <v>7</v>
      </c>
      <c r="H13602" s="4" t="n">
        <v>1</v>
      </c>
      <c r="I13602" s="4" t="str">
        <v>○</v>
      </c>
      <c r="J13602" s="4" t="n">
        <v>170</v>
      </c>
      <c r="K13602" s="4"/>
      <c r="L13602" s="4"/>
      <c r="M13602" s="7" t="s">
        <v>6556</v>
      </c>
    </row>
    <row r="13603" customFormat="false" ht="15.75" hidden="false" customHeight="false" outlineLevel="0" collapsed="false">
      <c r="A13603" s="6" t="n">
        <f aca="false">DATE(2026,8,16)</f>
        <v>46250</v>
      </c>
      <c r="B13603" s="4" t="s">
        <v>179</v>
      </c>
      <c r="C13603" s="4" t="n">
        <v>7</v>
      </c>
      <c r="D13603" s="4" t="n">
        <v>4</v>
      </c>
      <c r="E13603" s="4" t="s">
        <v>4214</v>
      </c>
      <c r="F13603" s="4" t="n">
        <v>17</v>
      </c>
      <c r="G13603" s="4" t="n">
        <v>10</v>
      </c>
      <c r="H13603" s="4" t="n">
        <v>4</v>
      </c>
      <c r="I13603" s="4" t="str">
        <v>×</v>
      </c>
      <c r="J13603" s="4"/>
      <c r="K13603" s="4"/>
      <c r="L13603" s="4"/>
      <c r="M13603" s="7" t="s">
        <v>6556</v>
      </c>
    </row>
    <row r="13604" customFormat="false" ht="15.75" hidden="false" customHeight="false" outlineLevel="0" collapsed="false">
      <c r="A13604" s="6" t="n">
        <f aca="false">DATE(2026,8,16)</f>
        <v>46250</v>
      </c>
      <c r="B13604" s="4" t="s">
        <v>179</v>
      </c>
      <c r="C13604" s="4" t="n">
        <v>7</v>
      </c>
      <c r="D13604" s="4" t="n">
        <v>5</v>
      </c>
      <c r="E13604" s="4" t="s">
        <v>4215</v>
      </c>
      <c r="F13604" s="4" t="n">
        <v>41</v>
      </c>
      <c r="G13604" s="4" t="n">
        <v>3</v>
      </c>
      <c r="H13604" s="4" t="n">
        <v>2</v>
      </c>
      <c r="I13604" s="4" t="str">
        <v>○</v>
      </c>
      <c r="J13604" s="4" t="n">
        <v>230</v>
      </c>
      <c r="K13604" s="4"/>
      <c r="L13604" s="4"/>
      <c r="M13604" s="7" t="s">
        <v>6556</v>
      </c>
    </row>
    <row r="13605" customFormat="false" ht="15.75" hidden="false" customHeight="false" outlineLevel="0" collapsed="false">
      <c r="A13605" s="6" t="n">
        <f aca="false">DATE(2026,8,16)</f>
        <v>46250</v>
      </c>
      <c r="B13605" s="4" t="s">
        <v>179</v>
      </c>
      <c r="C13605" s="4" t="n">
        <v>7</v>
      </c>
      <c r="D13605" s="4" t="n">
        <v>6</v>
      </c>
      <c r="E13605" s="4" t="s">
        <v>4210</v>
      </c>
      <c r="F13605" s="4" t="n">
        <v>34</v>
      </c>
      <c r="G13605" s="4" t="n">
        <v>5</v>
      </c>
      <c r="H13605" s="4" t="n">
        <v>4</v>
      </c>
      <c r="I13605" s="4" t="str">
        <v>×</v>
      </c>
      <c r="J13605" s="4"/>
      <c r="K13605" s="4"/>
      <c r="L13605" s="4"/>
      <c r="M13605" s="7" t="s">
        <v>6556</v>
      </c>
    </row>
    <row r="13606" customFormat="false" ht="15.75" hidden="false" customHeight="false" outlineLevel="0" collapsed="false">
      <c r="A13606" s="6" t="n">
        <f aca="false">DATE(2026,8,16)</f>
        <v>46250</v>
      </c>
      <c r="B13606" s="4" t="s">
        <v>179</v>
      </c>
      <c r="C13606" s="4" t="n">
        <v>7</v>
      </c>
      <c r="D13606" s="4" t="n">
        <v>7</v>
      </c>
      <c r="E13606" s="4" t="s">
        <v>4969</v>
      </c>
      <c r="F13606" s="4" t="n">
        <v>44</v>
      </c>
      <c r="G13606" s="4" t="n">
        <v>2</v>
      </c>
      <c r="H13606" s="4" t="n">
        <v>4</v>
      </c>
      <c r="I13606" s="4" t="str">
        <v>×</v>
      </c>
      <c r="J13606" s="4"/>
      <c r="K13606" s="4"/>
      <c r="L13606" s="4"/>
      <c r="M13606" s="7" t="s">
        <v>6556</v>
      </c>
    </row>
    <row r="13607" customFormat="false" ht="15.75" hidden="false" customHeight="false" outlineLevel="0" collapsed="false">
      <c r="A13607" s="6" t="n">
        <f aca="false">DATE(2026,8,16)</f>
        <v>46250</v>
      </c>
      <c r="B13607" s="4" t="s">
        <v>179</v>
      </c>
      <c r="C13607" s="4" t="n">
        <v>7</v>
      </c>
      <c r="D13607" s="4" t="n">
        <v>8</v>
      </c>
      <c r="E13607" s="4" t="s">
        <v>4218</v>
      </c>
      <c r="F13607" s="4" t="n">
        <v>13</v>
      </c>
      <c r="G13607" s="4" t="n">
        <v>13</v>
      </c>
      <c r="H13607" s="4" t="n">
        <v>4</v>
      </c>
      <c r="I13607" s="4" t="str">
        <v>×</v>
      </c>
      <c r="J13607" s="4"/>
      <c r="K13607" s="4"/>
      <c r="L13607" s="4"/>
      <c r="M13607" s="7" t="s">
        <v>6556</v>
      </c>
    </row>
    <row r="13608" customFormat="false" ht="15.75" hidden="false" customHeight="false" outlineLevel="0" collapsed="false">
      <c r="A13608" s="6" t="n">
        <f aca="false">DATE(2026,8,16)</f>
        <v>46250</v>
      </c>
      <c r="B13608" s="4" t="s">
        <v>179</v>
      </c>
      <c r="C13608" s="4" t="n">
        <v>7</v>
      </c>
      <c r="D13608" s="4" t="n">
        <v>9</v>
      </c>
      <c r="E13608" s="4" t="s">
        <v>6759</v>
      </c>
      <c r="F13608" s="4" t="n">
        <v>29</v>
      </c>
      <c r="G13608" s="4" t="n">
        <v>6</v>
      </c>
      <c r="H13608" s="4" t="n">
        <v>4</v>
      </c>
      <c r="I13608" s="4" t="str">
        <v>×</v>
      </c>
      <c r="J13608" s="4"/>
      <c r="K13608" s="4"/>
      <c r="L13608" s="4"/>
      <c r="M13608" s="7" t="s">
        <v>6556</v>
      </c>
    </row>
    <row r="13609" customFormat="false" ht="15.75" hidden="false" customHeight="false" outlineLevel="0" collapsed="false">
      <c r="A13609" s="6" t="n">
        <f aca="false">DATE(2026,8,16)</f>
        <v>46250</v>
      </c>
      <c r="B13609" s="4" t="s">
        <v>179</v>
      </c>
      <c r="C13609" s="4" t="n">
        <v>7</v>
      </c>
      <c r="D13609" s="4" t="n">
        <v>10</v>
      </c>
      <c r="E13609" s="4" t="s">
        <v>6760</v>
      </c>
      <c r="F13609" s="4" t="n">
        <v>15</v>
      </c>
      <c r="G13609" s="4" t="n">
        <v>11</v>
      </c>
      <c r="H13609" s="4" t="n">
        <v>4</v>
      </c>
      <c r="I13609" s="4" t="str">
        <v>×</v>
      </c>
      <c r="J13609" s="4"/>
      <c r="K13609" s="4"/>
      <c r="L13609" s="4"/>
      <c r="M13609" s="7" t="s">
        <v>6556</v>
      </c>
    </row>
    <row r="13610" customFormat="false" ht="15.75" hidden="false" customHeight="false" outlineLevel="0" collapsed="false">
      <c r="A13610" s="6" t="n">
        <f aca="false">DATE(2026,8,16)</f>
        <v>46250</v>
      </c>
      <c r="B13610" s="4" t="s">
        <v>179</v>
      </c>
      <c r="C13610" s="4" t="n">
        <v>7</v>
      </c>
      <c r="D13610" s="4" t="n">
        <v>11</v>
      </c>
      <c r="E13610" s="4" t="s">
        <v>5717</v>
      </c>
      <c r="F13610" s="4" t="n">
        <v>41</v>
      </c>
      <c r="G13610" s="4" t="n">
        <v>4</v>
      </c>
      <c r="H13610" s="4" t="n">
        <v>4</v>
      </c>
      <c r="I13610" s="4" t="str">
        <v>×</v>
      </c>
      <c r="J13610" s="4"/>
      <c r="K13610" s="4"/>
      <c r="L13610" s="4"/>
      <c r="M13610" s="7" t="s">
        <v>6556</v>
      </c>
    </row>
    <row r="13611" customFormat="false" ht="15.75" hidden="false" customHeight="false" outlineLevel="0" collapsed="false">
      <c r="A13611" s="6" t="n">
        <f aca="false">DATE(2026,8,16)</f>
        <v>46250</v>
      </c>
      <c r="B13611" s="4" t="s">
        <v>179</v>
      </c>
      <c r="C13611" s="4" t="n">
        <v>7</v>
      </c>
      <c r="D13611" s="4" t="n">
        <v>12</v>
      </c>
      <c r="E13611" s="4" t="s">
        <v>6761</v>
      </c>
      <c r="F13611" s="4" t="n">
        <v>50</v>
      </c>
      <c r="G13611" s="4" t="n">
        <v>1</v>
      </c>
      <c r="H13611" s="4" t="n">
        <v>3</v>
      </c>
      <c r="I13611" s="4" t="str">
        <v>○</v>
      </c>
      <c r="J13611" s="4" t="n">
        <v>150</v>
      </c>
      <c r="K13611" s="4"/>
      <c r="L13611" s="4"/>
      <c r="M13611" s="7" t="s">
        <v>6556</v>
      </c>
    </row>
    <row r="13612" customFormat="false" ht="15.75" hidden="false" customHeight="false" outlineLevel="0" collapsed="false">
      <c r="A13612" s="6" t="n">
        <f aca="false">DATE(2026,8,16)</f>
        <v>46250</v>
      </c>
      <c r="B13612" s="4" t="s">
        <v>179</v>
      </c>
      <c r="C13612" s="4" t="n">
        <v>7</v>
      </c>
      <c r="D13612" s="4" t="n">
        <v>13</v>
      </c>
      <c r="E13612" s="4" t="s">
        <v>1702</v>
      </c>
      <c r="F13612" s="4" t="n">
        <v>2</v>
      </c>
      <c r="G13612" s="4" t="n">
        <v>16</v>
      </c>
      <c r="H13612" s="4" t="n">
        <v>4</v>
      </c>
      <c r="I13612" s="4" t="str">
        <v>×</v>
      </c>
      <c r="J13612" s="4"/>
      <c r="K13612" s="4"/>
      <c r="L13612" s="4"/>
      <c r="M13612" s="7" t="s">
        <v>6556</v>
      </c>
    </row>
    <row r="13613" customFormat="false" ht="15.75" hidden="false" customHeight="false" outlineLevel="0" collapsed="false">
      <c r="A13613" s="6" t="n">
        <f aca="false">DATE(2026,8,16)</f>
        <v>46250</v>
      </c>
      <c r="B13613" s="4" t="s">
        <v>179</v>
      </c>
      <c r="C13613" s="4" t="n">
        <v>7</v>
      </c>
      <c r="D13613" s="4" t="n">
        <v>14</v>
      </c>
      <c r="E13613" s="4" t="s">
        <v>5295</v>
      </c>
      <c r="F13613" s="4" t="n">
        <v>20</v>
      </c>
      <c r="G13613" s="4" t="n">
        <v>9</v>
      </c>
      <c r="H13613" s="4" t="n">
        <v>4</v>
      </c>
      <c r="I13613" s="4" t="str">
        <v>×</v>
      </c>
      <c r="J13613" s="4"/>
      <c r="K13613" s="4"/>
      <c r="L13613" s="4"/>
      <c r="M13613" s="7" t="s">
        <v>6556</v>
      </c>
    </row>
    <row r="13614" customFormat="false" ht="15.75" hidden="false" customHeight="false" outlineLevel="0" collapsed="false">
      <c r="A13614" s="6" t="n">
        <f aca="false">DATE(2026,8,16)</f>
        <v>46250</v>
      </c>
      <c r="B13614" s="4" t="s">
        <v>179</v>
      </c>
      <c r="C13614" s="4" t="n">
        <v>7</v>
      </c>
      <c r="D13614" s="4" t="n">
        <v>15</v>
      </c>
      <c r="E13614" s="4" t="s">
        <v>6762</v>
      </c>
      <c r="F13614" s="4" t="n">
        <v>10</v>
      </c>
      <c r="G13614" s="4" t="n">
        <v>15</v>
      </c>
      <c r="H13614" s="4" t="n">
        <v>4</v>
      </c>
      <c r="I13614" s="4" t="str">
        <v>×</v>
      </c>
      <c r="J13614" s="4"/>
      <c r="K13614" s="4"/>
      <c r="L13614" s="4"/>
      <c r="M13614" s="7" t="s">
        <v>6556</v>
      </c>
    </row>
    <row r="13615" customFormat="false" ht="15.75" hidden="false" customHeight="false" outlineLevel="0" collapsed="false">
      <c r="A13615" s="6" t="n">
        <f aca="false">DATE(2026,8,16)</f>
        <v>46250</v>
      </c>
      <c r="B13615" s="4" t="s">
        <v>179</v>
      </c>
      <c r="C13615" s="4" t="n">
        <v>7</v>
      </c>
      <c r="D13615" s="4" t="n">
        <v>16</v>
      </c>
      <c r="E13615" s="4" t="s">
        <v>5218</v>
      </c>
      <c r="F13615" s="4" t="n">
        <v>13</v>
      </c>
      <c r="G13615" s="4" t="n">
        <v>14</v>
      </c>
      <c r="H13615" s="4" t="n">
        <v>4</v>
      </c>
      <c r="I13615" s="4" t="str">
        <v>×</v>
      </c>
      <c r="J13615" s="4"/>
      <c r="K13615" s="4"/>
      <c r="L13615" s="4"/>
      <c r="M13615" s="7" t="s">
        <v>6556</v>
      </c>
    </row>
    <row r="13616" customFormat="false" ht="15.75" hidden="false" customHeight="false" outlineLevel="0" collapsed="false">
      <c r="A13616" s="6" t="n">
        <f aca="false">DATE(2026,8,16)</f>
        <v>46250</v>
      </c>
      <c r="B13616" s="4" t="s">
        <v>179</v>
      </c>
      <c r="C13616" s="4" t="n">
        <v>8</v>
      </c>
      <c r="D13616" s="4" t="n">
        <v>1</v>
      </c>
      <c r="E13616" s="4" t="s">
        <v>1203</v>
      </c>
      <c r="F13616" s="4" t="n">
        <v>23</v>
      </c>
      <c r="G13616" s="4" t="n">
        <v>4</v>
      </c>
      <c r="H13616" s="4" t="n">
        <v>4</v>
      </c>
      <c r="I13616" s="4" t="str">
        <v>×</v>
      </c>
      <c r="J13616" s="4"/>
      <c r="K13616" s="4"/>
      <c r="L13616" s="4"/>
      <c r="M13616" s="7" t="s">
        <v>6556</v>
      </c>
    </row>
    <row r="13617" customFormat="false" ht="15.75" hidden="false" customHeight="false" outlineLevel="0" collapsed="false">
      <c r="A13617" s="6" t="n">
        <f aca="false">DATE(2026,8,16)</f>
        <v>46250</v>
      </c>
      <c r="B13617" s="4" t="s">
        <v>179</v>
      </c>
      <c r="C13617" s="4" t="n">
        <v>8</v>
      </c>
      <c r="D13617" s="4" t="n">
        <v>2</v>
      </c>
      <c r="E13617" s="4" t="s">
        <v>6763</v>
      </c>
      <c r="F13617" s="4" t="n">
        <v>17</v>
      </c>
      <c r="G13617" s="4" t="n">
        <v>8</v>
      </c>
      <c r="H13617" s="4" t="n">
        <v>4</v>
      </c>
      <c r="I13617" s="4" t="str">
        <v>×</v>
      </c>
      <c r="J13617" s="4"/>
      <c r="K13617" s="4"/>
      <c r="L13617" s="4"/>
      <c r="M13617" s="7" t="s">
        <v>6556</v>
      </c>
    </row>
    <row r="13618" customFormat="false" ht="15.75" hidden="false" customHeight="false" outlineLevel="0" collapsed="false">
      <c r="A13618" s="6" t="n">
        <f aca="false">DATE(2026,8,16)</f>
        <v>46250</v>
      </c>
      <c r="B13618" s="4" t="s">
        <v>179</v>
      </c>
      <c r="C13618" s="4" t="n">
        <v>8</v>
      </c>
      <c r="D13618" s="4" t="n">
        <v>3</v>
      </c>
      <c r="E13618" s="4" t="s">
        <v>5199</v>
      </c>
      <c r="F13618" s="4" t="n">
        <v>13</v>
      </c>
      <c r="G13618" s="4" t="n">
        <v>9</v>
      </c>
      <c r="H13618" s="4" t="n">
        <v>4</v>
      </c>
      <c r="I13618" s="4" t="str">
        <v>×</v>
      </c>
      <c r="J13618" s="4"/>
      <c r="K13618" s="4"/>
      <c r="L13618" s="4"/>
      <c r="M13618" s="7" t="s">
        <v>6556</v>
      </c>
    </row>
    <row r="13619" customFormat="false" ht="15.75" hidden="false" customHeight="false" outlineLevel="0" collapsed="false">
      <c r="A13619" s="6" t="n">
        <f aca="false">DATE(2026,8,16)</f>
        <v>46250</v>
      </c>
      <c r="B13619" s="4" t="s">
        <v>179</v>
      </c>
      <c r="C13619" s="4" t="n">
        <v>8</v>
      </c>
      <c r="D13619" s="4" t="n">
        <v>4</v>
      </c>
      <c r="E13619" s="4" t="s">
        <v>4782</v>
      </c>
      <c r="F13619" s="4" t="n">
        <v>4</v>
      </c>
      <c r="G13619" s="4" t="n">
        <v>13</v>
      </c>
      <c r="H13619" s="4" t="n">
        <v>4</v>
      </c>
      <c r="I13619" s="4" t="str">
        <v>×</v>
      </c>
      <c r="J13619" s="4"/>
      <c r="K13619" s="4"/>
      <c r="L13619" s="4"/>
      <c r="M13619" s="7" t="s">
        <v>6556</v>
      </c>
    </row>
    <row r="13620" customFormat="false" ht="15.75" hidden="false" customHeight="false" outlineLevel="0" collapsed="false">
      <c r="A13620" s="6" t="n">
        <f aca="false">DATE(2026,8,16)</f>
        <v>46250</v>
      </c>
      <c r="B13620" s="4" t="s">
        <v>179</v>
      </c>
      <c r="C13620" s="4" t="n">
        <v>8</v>
      </c>
      <c r="D13620" s="4" t="n">
        <v>5</v>
      </c>
      <c r="E13620" s="4" t="s">
        <v>4845</v>
      </c>
      <c r="F13620" s="4" t="n">
        <v>23</v>
      </c>
      <c r="G13620" s="4" t="n">
        <v>5</v>
      </c>
      <c r="H13620" s="4" t="n">
        <v>4</v>
      </c>
      <c r="I13620" s="4" t="str">
        <v>×</v>
      </c>
      <c r="J13620" s="4"/>
      <c r="K13620" s="4"/>
      <c r="L13620" s="4"/>
      <c r="M13620" s="7" t="s">
        <v>6556</v>
      </c>
    </row>
    <row r="13621" customFormat="false" ht="15.75" hidden="false" customHeight="false" outlineLevel="0" collapsed="false">
      <c r="A13621" s="6" t="n">
        <f aca="false">DATE(2026,8,16)</f>
        <v>46250</v>
      </c>
      <c r="B13621" s="4" t="s">
        <v>179</v>
      </c>
      <c r="C13621" s="4" t="n">
        <v>8</v>
      </c>
      <c r="D13621" s="4" t="n">
        <v>6</v>
      </c>
      <c r="E13621" s="4" t="s">
        <v>1199</v>
      </c>
      <c r="F13621" s="4" t="n">
        <v>74</v>
      </c>
      <c r="G13621" s="4" t="n">
        <v>1</v>
      </c>
      <c r="H13621" s="4" t="n">
        <v>2</v>
      </c>
      <c r="I13621" s="4" t="str">
        <v>○</v>
      </c>
      <c r="J13621" s="4" t="n">
        <v>170</v>
      </c>
      <c r="K13621" s="4"/>
      <c r="L13621" s="4"/>
      <c r="M13621" s="7" t="s">
        <v>6556</v>
      </c>
    </row>
    <row r="13622" customFormat="false" ht="15.75" hidden="false" customHeight="false" outlineLevel="0" collapsed="false">
      <c r="A13622" s="6" t="n">
        <f aca="false">DATE(2026,8,16)</f>
        <v>46250</v>
      </c>
      <c r="B13622" s="4" t="s">
        <v>179</v>
      </c>
      <c r="C13622" s="4" t="n">
        <v>8</v>
      </c>
      <c r="D13622" s="4" t="n">
        <v>7</v>
      </c>
      <c r="E13622" s="4" t="s">
        <v>6764</v>
      </c>
      <c r="F13622" s="4" t="n">
        <v>1</v>
      </c>
      <c r="G13622" s="4" t="n">
        <v>16</v>
      </c>
      <c r="H13622" s="4" t="n">
        <v>4</v>
      </c>
      <c r="I13622" s="4" t="str">
        <v>×</v>
      </c>
      <c r="J13622" s="4"/>
      <c r="K13622" s="4"/>
      <c r="L13622" s="4"/>
      <c r="M13622" s="7" t="s">
        <v>6556</v>
      </c>
    </row>
    <row r="13623" customFormat="false" ht="15.75" hidden="false" customHeight="false" outlineLevel="0" collapsed="false">
      <c r="A13623" s="6" t="n">
        <f aca="false">DATE(2026,8,16)</f>
        <v>46250</v>
      </c>
      <c r="B13623" s="4" t="s">
        <v>179</v>
      </c>
      <c r="C13623" s="4" t="n">
        <v>8</v>
      </c>
      <c r="D13623" s="4" t="n">
        <v>8</v>
      </c>
      <c r="E13623" s="4" t="s">
        <v>4843</v>
      </c>
      <c r="F13623" s="4" t="n">
        <v>10</v>
      </c>
      <c r="G13623" s="4" t="n">
        <v>11</v>
      </c>
      <c r="H13623" s="4" t="n">
        <v>4</v>
      </c>
      <c r="I13623" s="4" t="str">
        <v>×</v>
      </c>
      <c r="J13623" s="4"/>
      <c r="K13623" s="4"/>
      <c r="L13623" s="4"/>
      <c r="M13623" s="7" t="s">
        <v>6556</v>
      </c>
    </row>
    <row r="13624" customFormat="false" ht="15.75" hidden="false" customHeight="false" outlineLevel="0" collapsed="false">
      <c r="A13624" s="6" t="n">
        <f aca="false">DATE(2026,8,16)</f>
        <v>46250</v>
      </c>
      <c r="B13624" s="4" t="s">
        <v>179</v>
      </c>
      <c r="C13624" s="4" t="n">
        <v>8</v>
      </c>
      <c r="D13624" s="4" t="n">
        <v>9</v>
      </c>
      <c r="E13624" s="4" t="s">
        <v>4747</v>
      </c>
      <c r="F13624" s="4" t="n">
        <v>2</v>
      </c>
      <c r="G13624" s="4" t="n">
        <v>15</v>
      </c>
      <c r="H13624" s="4" t="n">
        <v>4</v>
      </c>
      <c r="I13624" s="4" t="str">
        <v>×</v>
      </c>
      <c r="J13624" s="4"/>
      <c r="K13624" s="4"/>
      <c r="L13624" s="4"/>
      <c r="M13624" s="7" t="s">
        <v>6556</v>
      </c>
    </row>
    <row r="13625" customFormat="false" ht="15.75" hidden="false" customHeight="false" outlineLevel="0" collapsed="false">
      <c r="A13625" s="6" t="n">
        <f aca="false">DATE(2026,8,16)</f>
        <v>46250</v>
      </c>
      <c r="B13625" s="4" t="s">
        <v>179</v>
      </c>
      <c r="C13625" s="4" t="n">
        <v>8</v>
      </c>
      <c r="D13625" s="4" t="n">
        <v>10</v>
      </c>
      <c r="E13625" s="4" t="s">
        <v>5499</v>
      </c>
      <c r="F13625" s="4" t="n">
        <v>41</v>
      </c>
      <c r="G13625" s="4" t="n">
        <v>2</v>
      </c>
      <c r="H13625" s="4" t="n">
        <v>3</v>
      </c>
      <c r="I13625" s="4" t="str">
        <v>○</v>
      </c>
      <c r="J13625" s="4" t="n">
        <v>150</v>
      </c>
      <c r="K13625" s="4"/>
      <c r="L13625" s="4"/>
      <c r="M13625" s="7" t="s">
        <v>6556</v>
      </c>
    </row>
    <row r="13626" customFormat="false" ht="15.75" hidden="false" customHeight="false" outlineLevel="0" collapsed="false">
      <c r="A13626" s="6" t="n">
        <f aca="false">DATE(2026,8,16)</f>
        <v>46250</v>
      </c>
      <c r="B13626" s="4" t="s">
        <v>179</v>
      </c>
      <c r="C13626" s="4" t="n">
        <v>8</v>
      </c>
      <c r="D13626" s="4" t="n">
        <v>11</v>
      </c>
      <c r="E13626" s="4" t="s">
        <v>1205</v>
      </c>
      <c r="F13626" s="4" t="n">
        <v>23</v>
      </c>
      <c r="G13626" s="4" t="n">
        <v>6</v>
      </c>
      <c r="H13626" s="4" t="n">
        <v>4</v>
      </c>
      <c r="I13626" s="4" t="str">
        <v>×</v>
      </c>
      <c r="J13626" s="4"/>
      <c r="K13626" s="4"/>
      <c r="L13626" s="4"/>
      <c r="M13626" s="7" t="s">
        <v>6556</v>
      </c>
    </row>
    <row r="13627" customFormat="false" ht="15.75" hidden="false" customHeight="false" outlineLevel="0" collapsed="false">
      <c r="A13627" s="6" t="n">
        <f aca="false">DATE(2026,8,16)</f>
        <v>46250</v>
      </c>
      <c r="B13627" s="4" t="s">
        <v>179</v>
      </c>
      <c r="C13627" s="4" t="n">
        <v>8</v>
      </c>
      <c r="D13627" s="4" t="n">
        <v>12</v>
      </c>
      <c r="E13627" s="4" t="s">
        <v>4979</v>
      </c>
      <c r="F13627" s="4" t="n">
        <v>23</v>
      </c>
      <c r="G13627" s="4" t="n">
        <v>7</v>
      </c>
      <c r="H13627" s="4" t="n">
        <v>4</v>
      </c>
      <c r="I13627" s="4" t="str">
        <v>×</v>
      </c>
      <c r="J13627" s="4"/>
      <c r="K13627" s="4"/>
      <c r="L13627" s="4"/>
      <c r="M13627" s="7" t="s">
        <v>6556</v>
      </c>
    </row>
    <row r="13628" customFormat="false" ht="15.75" hidden="false" customHeight="false" outlineLevel="0" collapsed="false">
      <c r="A13628" s="6" t="n">
        <f aca="false">DATE(2026,8,16)</f>
        <v>46250</v>
      </c>
      <c r="B13628" s="4" t="s">
        <v>179</v>
      </c>
      <c r="C13628" s="4" t="n">
        <v>8</v>
      </c>
      <c r="D13628" s="4" t="n">
        <v>13</v>
      </c>
      <c r="E13628" s="4" t="s">
        <v>6273</v>
      </c>
      <c r="F13628" s="4" t="n">
        <v>3</v>
      </c>
      <c r="G13628" s="4" t="n">
        <v>14</v>
      </c>
      <c r="H13628" s="4" t="n">
        <v>4</v>
      </c>
      <c r="I13628" s="4" t="str">
        <v>×</v>
      </c>
      <c r="J13628" s="4"/>
      <c r="K13628" s="4"/>
      <c r="L13628" s="4"/>
      <c r="M13628" s="7" t="s">
        <v>6556</v>
      </c>
    </row>
    <row r="13629" customFormat="false" ht="15.75" hidden="false" customHeight="false" outlineLevel="0" collapsed="false">
      <c r="A13629" s="6" t="n">
        <f aca="false">DATE(2026,8,16)</f>
        <v>46250</v>
      </c>
      <c r="B13629" s="4" t="s">
        <v>179</v>
      </c>
      <c r="C13629" s="4" t="n">
        <v>8</v>
      </c>
      <c r="D13629" s="4" t="n">
        <v>14</v>
      </c>
      <c r="E13629" s="4" t="s">
        <v>6765</v>
      </c>
      <c r="F13629" s="4" t="n">
        <v>13</v>
      </c>
      <c r="G13629" s="4" t="n">
        <v>10</v>
      </c>
      <c r="H13629" s="4" t="n">
        <v>4</v>
      </c>
      <c r="I13629" s="4" t="str">
        <v>×</v>
      </c>
      <c r="J13629" s="4"/>
      <c r="K13629" s="4"/>
      <c r="L13629" s="4"/>
      <c r="M13629" s="7" t="s">
        <v>6556</v>
      </c>
    </row>
    <row r="13630" customFormat="false" ht="15.75" hidden="false" customHeight="false" outlineLevel="0" collapsed="false">
      <c r="A13630" s="6" t="n">
        <f aca="false">DATE(2026,8,16)</f>
        <v>46250</v>
      </c>
      <c r="B13630" s="4" t="s">
        <v>179</v>
      </c>
      <c r="C13630" s="4" t="n">
        <v>8</v>
      </c>
      <c r="D13630" s="4" t="n">
        <v>15</v>
      </c>
      <c r="E13630" s="4" t="s">
        <v>6766</v>
      </c>
      <c r="F13630" s="4" t="n">
        <v>6</v>
      </c>
      <c r="G13630" s="4" t="n">
        <v>12</v>
      </c>
      <c r="H13630" s="4" t="n">
        <v>1</v>
      </c>
      <c r="I13630" s="4" t="str">
        <v>○</v>
      </c>
      <c r="J13630" s="4" t="n">
        <v>370</v>
      </c>
      <c r="K13630" s="4"/>
      <c r="L13630" s="4"/>
      <c r="M13630" s="7" t="s">
        <v>6556</v>
      </c>
    </row>
    <row r="13631" customFormat="false" ht="15.75" hidden="false" customHeight="false" outlineLevel="0" collapsed="false">
      <c r="A13631" s="6" t="n">
        <f aca="false">DATE(2026,8,16)</f>
        <v>46250</v>
      </c>
      <c r="B13631" s="4" t="s">
        <v>179</v>
      </c>
      <c r="C13631" s="4" t="n">
        <v>8</v>
      </c>
      <c r="D13631" s="4" t="n">
        <v>16</v>
      </c>
      <c r="E13631" s="4" t="s">
        <v>250</v>
      </c>
      <c r="F13631" s="4" t="n">
        <v>37</v>
      </c>
      <c r="G13631" s="4" t="n">
        <v>3</v>
      </c>
      <c r="H13631" s="4" t="n">
        <v>4</v>
      </c>
      <c r="I13631" s="4" t="str">
        <v>×</v>
      </c>
      <c r="J13631" s="4"/>
      <c r="K13631" s="4"/>
      <c r="L13631" s="4"/>
      <c r="M13631" s="7" t="s">
        <v>6556</v>
      </c>
    </row>
    <row r="13632" customFormat="false" ht="15.75" hidden="false" customHeight="false" outlineLevel="0" collapsed="false">
      <c r="A13632" s="6" t="n">
        <f aca="false">DATE(2026,8,16)</f>
        <v>46250</v>
      </c>
      <c r="B13632" s="4" t="s">
        <v>179</v>
      </c>
      <c r="C13632" s="4" t="n">
        <v>9</v>
      </c>
      <c r="D13632" s="4" t="n">
        <v>1</v>
      </c>
      <c r="E13632" s="4" t="s">
        <v>202</v>
      </c>
      <c r="F13632" s="4" t="n">
        <v>2</v>
      </c>
      <c r="G13632" s="4" t="n">
        <v>17</v>
      </c>
      <c r="H13632" s="4" t="n">
        <v>4</v>
      </c>
      <c r="I13632" s="4" t="str">
        <v>×</v>
      </c>
      <c r="J13632" s="4"/>
      <c r="K13632" s="4"/>
      <c r="L13632" s="4"/>
      <c r="M13632" s="7" t="s">
        <v>6556</v>
      </c>
    </row>
    <row r="13633" customFormat="false" ht="15.75" hidden="false" customHeight="false" outlineLevel="0" collapsed="false">
      <c r="A13633" s="6" t="n">
        <f aca="false">DATE(2026,8,16)</f>
        <v>46250</v>
      </c>
      <c r="B13633" s="4" t="s">
        <v>179</v>
      </c>
      <c r="C13633" s="4" t="n">
        <v>9</v>
      </c>
      <c r="D13633" s="4" t="n">
        <v>2</v>
      </c>
      <c r="E13633" s="4" t="s">
        <v>2044</v>
      </c>
      <c r="F13633" s="4" t="n">
        <v>4</v>
      </c>
      <c r="G13633" s="4" t="n">
        <v>12</v>
      </c>
      <c r="H13633" s="4" t="n">
        <v>4</v>
      </c>
      <c r="I13633" s="4" t="str">
        <v>×</v>
      </c>
      <c r="J13633" s="4"/>
      <c r="K13633" s="4"/>
      <c r="L13633" s="4"/>
      <c r="M13633" s="7" t="s">
        <v>6556</v>
      </c>
    </row>
    <row r="13634" customFormat="false" ht="15.75" hidden="false" customHeight="false" outlineLevel="0" collapsed="false">
      <c r="A13634" s="6" t="n">
        <f aca="false">DATE(2026,8,16)</f>
        <v>46250</v>
      </c>
      <c r="B13634" s="4" t="s">
        <v>179</v>
      </c>
      <c r="C13634" s="4" t="n">
        <v>9</v>
      </c>
      <c r="D13634" s="4" t="n">
        <v>3</v>
      </c>
      <c r="E13634" s="4" t="s">
        <v>2458</v>
      </c>
      <c r="F13634" s="4" t="n">
        <v>47</v>
      </c>
      <c r="G13634" s="4" t="n">
        <v>1</v>
      </c>
      <c r="H13634" s="4" t="n">
        <v>1</v>
      </c>
      <c r="I13634" s="4" t="str">
        <v>○</v>
      </c>
      <c r="J13634" s="4" t="n">
        <v>160</v>
      </c>
      <c r="K13634" s="4"/>
      <c r="L13634" s="4"/>
      <c r="M13634" s="7" t="s">
        <v>6556</v>
      </c>
    </row>
    <row r="13635" customFormat="false" ht="15.75" hidden="false" customHeight="false" outlineLevel="0" collapsed="false">
      <c r="A13635" s="6" t="n">
        <f aca="false">DATE(2026,8,16)</f>
        <v>46250</v>
      </c>
      <c r="B13635" s="4" t="s">
        <v>179</v>
      </c>
      <c r="C13635" s="4" t="n">
        <v>9</v>
      </c>
      <c r="D13635" s="4" t="n">
        <v>4</v>
      </c>
      <c r="E13635" s="4" t="s">
        <v>226</v>
      </c>
      <c r="F13635" s="4" t="n">
        <v>10</v>
      </c>
      <c r="G13635" s="4" t="n">
        <v>7</v>
      </c>
      <c r="H13635" s="4" t="n">
        <v>4</v>
      </c>
      <c r="I13635" s="4" t="str">
        <v>×</v>
      </c>
      <c r="J13635" s="4"/>
      <c r="K13635" s="4"/>
      <c r="L13635" s="4"/>
      <c r="M13635" s="7" t="s">
        <v>6556</v>
      </c>
    </row>
    <row r="13636" customFormat="false" ht="15.75" hidden="false" customHeight="false" outlineLevel="0" collapsed="false">
      <c r="A13636" s="6" t="n">
        <f aca="false">DATE(2026,8,16)</f>
        <v>46250</v>
      </c>
      <c r="B13636" s="4" t="s">
        <v>179</v>
      </c>
      <c r="C13636" s="4" t="n">
        <v>9</v>
      </c>
      <c r="D13636" s="4" t="n">
        <v>5</v>
      </c>
      <c r="E13636" s="4" t="s">
        <v>6767</v>
      </c>
      <c r="F13636" s="4" t="n">
        <v>4</v>
      </c>
      <c r="G13636" s="4" t="n">
        <v>13</v>
      </c>
      <c r="H13636" s="4" t="n">
        <v>4</v>
      </c>
      <c r="I13636" s="4" t="str">
        <v>×</v>
      </c>
      <c r="J13636" s="4"/>
      <c r="K13636" s="4"/>
      <c r="L13636" s="4"/>
      <c r="M13636" s="7" t="s">
        <v>6556</v>
      </c>
    </row>
    <row r="13637" customFormat="false" ht="15.75" hidden="false" customHeight="false" outlineLevel="0" collapsed="false">
      <c r="A13637" s="6" t="n">
        <f aca="false">DATE(2026,8,16)</f>
        <v>46250</v>
      </c>
      <c r="B13637" s="4" t="s">
        <v>179</v>
      </c>
      <c r="C13637" s="4" t="n">
        <v>9</v>
      </c>
      <c r="D13637" s="4" t="n">
        <v>6</v>
      </c>
      <c r="E13637" s="4" t="s">
        <v>654</v>
      </c>
      <c r="F13637" s="4" t="n">
        <v>44</v>
      </c>
      <c r="G13637" s="4" t="n">
        <v>2</v>
      </c>
      <c r="H13637" s="4" t="n">
        <v>4</v>
      </c>
      <c r="I13637" s="4" t="str">
        <v>×</v>
      </c>
      <c r="J13637" s="4"/>
      <c r="K13637" s="4"/>
      <c r="L13637" s="4"/>
      <c r="M13637" s="7" t="s">
        <v>6556</v>
      </c>
    </row>
    <row r="13638" customFormat="false" ht="15.75" hidden="false" customHeight="false" outlineLevel="0" collapsed="false">
      <c r="A13638" s="6" t="n">
        <f aca="false">DATE(2026,8,16)</f>
        <v>46250</v>
      </c>
      <c r="B13638" s="4" t="s">
        <v>179</v>
      </c>
      <c r="C13638" s="4" t="n">
        <v>9</v>
      </c>
      <c r="D13638" s="4" t="n">
        <v>7</v>
      </c>
      <c r="E13638" s="4" t="s">
        <v>1585</v>
      </c>
      <c r="F13638" s="4" t="n">
        <v>6</v>
      </c>
      <c r="G13638" s="4" t="n">
        <v>11</v>
      </c>
      <c r="H13638" s="4" t="n">
        <v>4</v>
      </c>
      <c r="I13638" s="4" t="str">
        <v>×</v>
      </c>
      <c r="J13638" s="4"/>
      <c r="K13638" s="4"/>
      <c r="L13638" s="4"/>
      <c r="M13638" s="7" t="s">
        <v>6556</v>
      </c>
    </row>
    <row r="13639" customFormat="false" ht="15.75" hidden="false" customHeight="false" outlineLevel="0" collapsed="false">
      <c r="A13639" s="6" t="n">
        <f aca="false">DATE(2026,8,16)</f>
        <v>46250</v>
      </c>
      <c r="B13639" s="4" t="s">
        <v>179</v>
      </c>
      <c r="C13639" s="4" t="n">
        <v>9</v>
      </c>
      <c r="D13639" s="4" t="n">
        <v>8</v>
      </c>
      <c r="E13639" s="4" t="s">
        <v>662</v>
      </c>
      <c r="F13639" s="4" t="n">
        <v>15</v>
      </c>
      <c r="G13639" s="4" t="n">
        <v>6</v>
      </c>
      <c r="H13639" s="4" t="n">
        <v>4</v>
      </c>
      <c r="I13639" s="4" t="str">
        <v>×</v>
      </c>
      <c r="J13639" s="4"/>
      <c r="K13639" s="4"/>
      <c r="L13639" s="4"/>
      <c r="M13639" s="7" t="s">
        <v>6556</v>
      </c>
    </row>
    <row r="13640" customFormat="false" ht="15.75" hidden="false" customHeight="false" outlineLevel="0" collapsed="false">
      <c r="A13640" s="6" t="n">
        <f aca="false">DATE(2026,8,16)</f>
        <v>46250</v>
      </c>
      <c r="B13640" s="4" t="s">
        <v>179</v>
      </c>
      <c r="C13640" s="4" t="n">
        <v>9</v>
      </c>
      <c r="D13640" s="4" t="n">
        <v>9</v>
      </c>
      <c r="E13640" s="4" t="s">
        <v>655</v>
      </c>
      <c r="F13640" s="4" t="n">
        <v>10</v>
      </c>
      <c r="G13640" s="4" t="n">
        <v>8</v>
      </c>
      <c r="H13640" s="4" t="n">
        <v>3</v>
      </c>
      <c r="I13640" s="4" t="str">
        <v>○</v>
      </c>
      <c r="J13640" s="4" t="n">
        <v>630</v>
      </c>
      <c r="K13640" s="4"/>
      <c r="L13640" s="4"/>
      <c r="M13640" s="7" t="s">
        <v>6556</v>
      </c>
    </row>
    <row r="13641" customFormat="false" ht="15.75" hidden="false" customHeight="false" outlineLevel="0" collapsed="false">
      <c r="A13641" s="6" t="n">
        <f aca="false">DATE(2026,8,16)</f>
        <v>46250</v>
      </c>
      <c r="B13641" s="4" t="s">
        <v>179</v>
      </c>
      <c r="C13641" s="4" t="n">
        <v>9</v>
      </c>
      <c r="D13641" s="4" t="n">
        <v>10</v>
      </c>
      <c r="E13641" s="4" t="s">
        <v>216</v>
      </c>
      <c r="F13641" s="4" t="n">
        <v>3</v>
      </c>
      <c r="G13641" s="4" t="n">
        <v>16</v>
      </c>
      <c r="H13641" s="4" t="n">
        <v>4</v>
      </c>
      <c r="I13641" s="4" t="str">
        <v>×</v>
      </c>
      <c r="J13641" s="4"/>
      <c r="K13641" s="4"/>
      <c r="L13641" s="4"/>
      <c r="M13641" s="7" t="s">
        <v>6556</v>
      </c>
    </row>
    <row r="13642" customFormat="false" ht="15.75" hidden="false" customHeight="false" outlineLevel="0" collapsed="false">
      <c r="A13642" s="6" t="n">
        <f aca="false">DATE(2026,8,16)</f>
        <v>46250</v>
      </c>
      <c r="B13642" s="4" t="s">
        <v>179</v>
      </c>
      <c r="C13642" s="4" t="n">
        <v>9</v>
      </c>
      <c r="D13642" s="4" t="n">
        <v>11</v>
      </c>
      <c r="E13642" s="4" t="s">
        <v>1611</v>
      </c>
      <c r="F13642" s="4" t="n">
        <v>29</v>
      </c>
      <c r="G13642" s="4" t="n">
        <v>4</v>
      </c>
      <c r="H13642" s="4" t="n">
        <v>4</v>
      </c>
      <c r="I13642" s="4" t="str">
        <v>×</v>
      </c>
      <c r="J13642" s="4"/>
      <c r="K13642" s="4"/>
      <c r="L13642" s="4"/>
      <c r="M13642" s="7" t="s">
        <v>6556</v>
      </c>
    </row>
    <row r="13643" customFormat="false" ht="15.75" hidden="false" customHeight="false" outlineLevel="0" collapsed="false">
      <c r="A13643" s="6" t="n">
        <f aca="false">DATE(2026,8,16)</f>
        <v>46250</v>
      </c>
      <c r="B13643" s="4" t="s">
        <v>179</v>
      </c>
      <c r="C13643" s="4" t="n">
        <v>9</v>
      </c>
      <c r="D13643" s="4" t="n">
        <v>12</v>
      </c>
      <c r="E13643" s="4" t="s">
        <v>4382</v>
      </c>
      <c r="F13643" s="4" t="n">
        <v>23</v>
      </c>
      <c r="G13643" s="4" t="n">
        <v>5</v>
      </c>
      <c r="H13643" s="4" t="n">
        <v>2</v>
      </c>
      <c r="I13643" s="4" t="str">
        <v>○</v>
      </c>
      <c r="J13643" s="4" t="n">
        <v>500</v>
      </c>
      <c r="K13643" s="4"/>
      <c r="L13643" s="4"/>
      <c r="M13643" s="7" t="s">
        <v>6556</v>
      </c>
    </row>
    <row r="13644" customFormat="false" ht="15.75" hidden="false" customHeight="false" outlineLevel="0" collapsed="false">
      <c r="A13644" s="6" t="n">
        <f aca="false">DATE(2026,8,16)</f>
        <v>46250</v>
      </c>
      <c r="B13644" s="4" t="s">
        <v>179</v>
      </c>
      <c r="C13644" s="4" t="n">
        <v>9</v>
      </c>
      <c r="D13644" s="4" t="n">
        <v>13</v>
      </c>
      <c r="E13644" s="4" t="s">
        <v>6768</v>
      </c>
      <c r="F13644" s="4" t="n">
        <v>4</v>
      </c>
      <c r="G13644" s="4" t="n">
        <v>14</v>
      </c>
      <c r="H13644" s="4" t="n">
        <v>4</v>
      </c>
      <c r="I13644" s="4" t="str">
        <v>×</v>
      </c>
      <c r="J13644" s="4"/>
      <c r="K13644" s="4"/>
      <c r="L13644" s="4"/>
      <c r="M13644" s="7" t="s">
        <v>6556</v>
      </c>
    </row>
    <row r="13645" customFormat="false" ht="15.75" hidden="false" customHeight="false" outlineLevel="0" collapsed="false">
      <c r="A13645" s="6" t="n">
        <f aca="false">DATE(2026,8,16)</f>
        <v>46250</v>
      </c>
      <c r="B13645" s="4" t="s">
        <v>179</v>
      </c>
      <c r="C13645" s="4" t="n">
        <v>9</v>
      </c>
      <c r="D13645" s="4" t="n">
        <v>14</v>
      </c>
      <c r="E13645" s="4" t="s">
        <v>653</v>
      </c>
      <c r="F13645" s="4" t="n">
        <v>44</v>
      </c>
      <c r="G13645" s="4" t="n">
        <v>3</v>
      </c>
      <c r="H13645" s="4" t="n">
        <v>4</v>
      </c>
      <c r="I13645" s="4" t="str">
        <v>×</v>
      </c>
      <c r="J13645" s="4"/>
      <c r="K13645" s="4"/>
      <c r="L13645" s="4"/>
      <c r="M13645" s="7" t="s">
        <v>6556</v>
      </c>
    </row>
    <row r="13646" customFormat="false" ht="15.75" hidden="false" customHeight="false" outlineLevel="0" collapsed="false">
      <c r="A13646" s="6" t="n">
        <f aca="false">DATE(2026,8,16)</f>
        <v>46250</v>
      </c>
      <c r="B13646" s="4" t="s">
        <v>179</v>
      </c>
      <c r="C13646" s="4" t="n">
        <v>9</v>
      </c>
      <c r="D13646" s="4" t="n">
        <v>15</v>
      </c>
      <c r="E13646" s="4" t="s">
        <v>6769</v>
      </c>
      <c r="F13646" s="4" t="n">
        <v>1</v>
      </c>
      <c r="G13646" s="4" t="n">
        <v>18</v>
      </c>
      <c r="H13646" s="4" t="n">
        <v>4</v>
      </c>
      <c r="I13646" s="4" t="str">
        <v>×</v>
      </c>
      <c r="J13646" s="4"/>
      <c r="K13646" s="4"/>
      <c r="L13646" s="4"/>
      <c r="M13646" s="7" t="s">
        <v>6556</v>
      </c>
    </row>
    <row r="13647" customFormat="false" ht="15.75" hidden="false" customHeight="false" outlineLevel="0" collapsed="false">
      <c r="A13647" s="6" t="n">
        <f aca="false">DATE(2026,8,16)</f>
        <v>46250</v>
      </c>
      <c r="B13647" s="4" t="s">
        <v>179</v>
      </c>
      <c r="C13647" s="4" t="n">
        <v>9</v>
      </c>
      <c r="D13647" s="4" t="n">
        <v>16</v>
      </c>
      <c r="E13647" s="4" t="s">
        <v>206</v>
      </c>
      <c r="F13647" s="4" t="n">
        <v>10</v>
      </c>
      <c r="G13647" s="4" t="n">
        <v>9</v>
      </c>
      <c r="H13647" s="4" t="n">
        <v>4</v>
      </c>
      <c r="I13647" s="4" t="str">
        <v>×</v>
      </c>
      <c r="J13647" s="4"/>
      <c r="K13647" s="4"/>
      <c r="L13647" s="4"/>
      <c r="M13647" s="7" t="s">
        <v>6556</v>
      </c>
    </row>
    <row r="13648" customFormat="false" ht="15.75" hidden="false" customHeight="false" outlineLevel="0" collapsed="false">
      <c r="A13648" s="6" t="n">
        <f aca="false">DATE(2026,8,16)</f>
        <v>46250</v>
      </c>
      <c r="B13648" s="4" t="s">
        <v>179</v>
      </c>
      <c r="C13648" s="4" t="n">
        <v>9</v>
      </c>
      <c r="D13648" s="4" t="n">
        <v>17</v>
      </c>
      <c r="E13648" s="4" t="s">
        <v>3887</v>
      </c>
      <c r="F13648" s="4" t="n">
        <v>8</v>
      </c>
      <c r="G13648" s="4" t="n">
        <v>10</v>
      </c>
      <c r="H13648" s="4" t="n">
        <v>4</v>
      </c>
      <c r="I13648" s="4" t="str">
        <v>×</v>
      </c>
      <c r="J13648" s="4"/>
      <c r="K13648" s="4"/>
      <c r="L13648" s="4"/>
      <c r="M13648" s="7" t="s">
        <v>6556</v>
      </c>
    </row>
    <row r="13649" customFormat="false" ht="15.75" hidden="false" customHeight="false" outlineLevel="0" collapsed="false">
      <c r="A13649" s="6" t="n">
        <f aca="false">DATE(2026,8,16)</f>
        <v>46250</v>
      </c>
      <c r="B13649" s="4" t="s">
        <v>179</v>
      </c>
      <c r="C13649" s="4" t="n">
        <v>9</v>
      </c>
      <c r="D13649" s="4" t="n">
        <v>18</v>
      </c>
      <c r="E13649" s="4" t="s">
        <v>3885</v>
      </c>
      <c r="F13649" s="4" t="n">
        <v>4</v>
      </c>
      <c r="G13649" s="4" t="n">
        <v>15</v>
      </c>
      <c r="H13649" s="4" t="n">
        <v>4</v>
      </c>
      <c r="I13649" s="4" t="str">
        <v>×</v>
      </c>
      <c r="J13649" s="4"/>
      <c r="K13649" s="4"/>
      <c r="L13649" s="4"/>
      <c r="M13649" s="7" t="s">
        <v>6556</v>
      </c>
    </row>
    <row r="13650" customFormat="false" ht="15.75" hidden="false" customHeight="false" outlineLevel="0" collapsed="false">
      <c r="A13650" s="6" t="n">
        <f aca="false">DATE(2026,8,16)</f>
        <v>46250</v>
      </c>
      <c r="B13650" s="4" t="s">
        <v>179</v>
      </c>
      <c r="C13650" s="4" t="n">
        <v>10</v>
      </c>
      <c r="D13650" s="4" t="n">
        <v>1</v>
      </c>
      <c r="E13650" s="4" t="s">
        <v>6469</v>
      </c>
      <c r="F13650" s="4" t="n">
        <v>13</v>
      </c>
      <c r="G13650" s="4" t="n">
        <v>11</v>
      </c>
      <c r="H13650" s="4" t="n">
        <v>4</v>
      </c>
      <c r="I13650" s="4" t="str">
        <v>×</v>
      </c>
      <c r="J13650" s="4"/>
      <c r="K13650" s="4"/>
      <c r="L13650" s="4"/>
      <c r="M13650" s="7" t="s">
        <v>6556</v>
      </c>
    </row>
    <row r="13651" customFormat="false" ht="15.75" hidden="false" customHeight="false" outlineLevel="0" collapsed="false">
      <c r="A13651" s="6" t="n">
        <f aca="false">DATE(2026,8,16)</f>
        <v>46250</v>
      </c>
      <c r="B13651" s="4" t="s">
        <v>179</v>
      </c>
      <c r="C13651" s="4" t="n">
        <v>10</v>
      </c>
      <c r="D13651" s="4" t="n">
        <v>2</v>
      </c>
      <c r="E13651" s="4" t="s">
        <v>6770</v>
      </c>
      <c r="F13651" s="4" t="n">
        <v>13</v>
      </c>
      <c r="G13651" s="4" t="n">
        <v>12</v>
      </c>
      <c r="H13651" s="4" t="n">
        <v>4</v>
      </c>
      <c r="I13651" s="4" t="str">
        <v>×</v>
      </c>
      <c r="J13651" s="4"/>
      <c r="K13651" s="4"/>
      <c r="L13651" s="4"/>
      <c r="M13651" s="7" t="s">
        <v>6556</v>
      </c>
    </row>
    <row r="13652" customFormat="false" ht="15.75" hidden="false" customHeight="false" outlineLevel="0" collapsed="false">
      <c r="A13652" s="6" t="n">
        <f aca="false">DATE(2026,8,16)</f>
        <v>46250</v>
      </c>
      <c r="B13652" s="4" t="s">
        <v>179</v>
      </c>
      <c r="C13652" s="4" t="n">
        <v>10</v>
      </c>
      <c r="D13652" s="4" t="n">
        <v>3</v>
      </c>
      <c r="E13652" s="4" t="s">
        <v>299</v>
      </c>
      <c r="F13652" s="4" t="n">
        <v>8</v>
      </c>
      <c r="G13652" s="4" t="n">
        <v>14</v>
      </c>
      <c r="H13652" s="4" t="n">
        <v>4</v>
      </c>
      <c r="I13652" s="4" t="str">
        <v>×</v>
      </c>
      <c r="J13652" s="4"/>
      <c r="K13652" s="4"/>
      <c r="L13652" s="4"/>
      <c r="M13652" s="7" t="s">
        <v>6556</v>
      </c>
    </row>
    <row r="13653" customFormat="false" ht="15.75" hidden="false" customHeight="false" outlineLevel="0" collapsed="false">
      <c r="A13653" s="6" t="n">
        <f aca="false">DATE(2026,8,16)</f>
        <v>46250</v>
      </c>
      <c r="B13653" s="4" t="s">
        <v>179</v>
      </c>
      <c r="C13653" s="4" t="n">
        <v>10</v>
      </c>
      <c r="D13653" s="4" t="n">
        <v>4</v>
      </c>
      <c r="E13653" s="4" t="s">
        <v>6771</v>
      </c>
      <c r="F13653" s="4" t="n">
        <v>66</v>
      </c>
      <c r="G13653" s="4" t="n">
        <v>1</v>
      </c>
      <c r="H13653" s="4" t="n">
        <v>4</v>
      </c>
      <c r="I13653" s="4" t="str">
        <v>×</v>
      </c>
      <c r="J13653" s="4"/>
      <c r="K13653" s="4"/>
      <c r="L13653" s="4"/>
      <c r="M13653" s="7" t="s">
        <v>6556</v>
      </c>
    </row>
    <row r="13654" customFormat="false" ht="15.75" hidden="false" customHeight="false" outlineLevel="0" collapsed="false">
      <c r="A13654" s="6" t="n">
        <f aca="false">DATE(2026,8,16)</f>
        <v>46250</v>
      </c>
      <c r="B13654" s="4" t="s">
        <v>179</v>
      </c>
      <c r="C13654" s="4" t="n">
        <v>10</v>
      </c>
      <c r="D13654" s="4" t="n">
        <v>5</v>
      </c>
      <c r="E13654" s="4" t="s">
        <v>4397</v>
      </c>
      <c r="F13654" s="4" t="n">
        <v>29</v>
      </c>
      <c r="G13654" s="4" t="n">
        <v>3</v>
      </c>
      <c r="H13654" s="4" t="n">
        <v>4</v>
      </c>
      <c r="I13654" s="4" t="str">
        <v>×</v>
      </c>
      <c r="J13654" s="4"/>
      <c r="K13654" s="4"/>
      <c r="L13654" s="4"/>
      <c r="M13654" s="7" t="s">
        <v>6556</v>
      </c>
    </row>
    <row r="13655" customFormat="false" ht="15.75" hidden="false" customHeight="false" outlineLevel="0" collapsed="false">
      <c r="A13655" s="6" t="n">
        <f aca="false">DATE(2026,8,16)</f>
        <v>46250</v>
      </c>
      <c r="B13655" s="4" t="s">
        <v>179</v>
      </c>
      <c r="C13655" s="4" t="n">
        <v>10</v>
      </c>
      <c r="D13655" s="4" t="n">
        <v>6</v>
      </c>
      <c r="E13655" s="4" t="s">
        <v>2620</v>
      </c>
      <c r="F13655" s="4" t="n">
        <v>3</v>
      </c>
      <c r="G13655" s="4" t="n">
        <v>15</v>
      </c>
      <c r="H13655" s="4" t="n">
        <v>4</v>
      </c>
      <c r="I13655" s="4" t="str">
        <v>×</v>
      </c>
      <c r="J13655" s="4"/>
      <c r="K13655" s="4"/>
      <c r="L13655" s="4"/>
      <c r="M13655" s="7" t="s">
        <v>6556</v>
      </c>
    </row>
    <row r="13656" customFormat="false" ht="15.75" hidden="false" customHeight="false" outlineLevel="0" collapsed="false">
      <c r="A13656" s="6" t="n">
        <f aca="false">DATE(2026,8,16)</f>
        <v>46250</v>
      </c>
      <c r="B13656" s="4" t="s">
        <v>179</v>
      </c>
      <c r="C13656" s="4" t="n">
        <v>10</v>
      </c>
      <c r="D13656" s="4" t="n">
        <v>7</v>
      </c>
      <c r="E13656" s="4" t="s">
        <v>6772</v>
      </c>
      <c r="F13656" s="4" t="n">
        <v>29</v>
      </c>
      <c r="G13656" s="4" t="n">
        <v>4</v>
      </c>
      <c r="H13656" s="4" t="n">
        <v>3</v>
      </c>
      <c r="I13656" s="4" t="str">
        <v>○</v>
      </c>
      <c r="J13656" s="4" t="n">
        <v>380</v>
      </c>
      <c r="K13656" s="4"/>
      <c r="L13656" s="4"/>
      <c r="M13656" s="7" t="s">
        <v>6556</v>
      </c>
    </row>
    <row r="13657" customFormat="false" ht="15.75" hidden="false" customHeight="false" outlineLevel="0" collapsed="false">
      <c r="A13657" s="6" t="n">
        <f aca="false">DATE(2026,8,16)</f>
        <v>46250</v>
      </c>
      <c r="B13657" s="4" t="s">
        <v>179</v>
      </c>
      <c r="C13657" s="4" t="n">
        <v>10</v>
      </c>
      <c r="D13657" s="4" t="n">
        <v>8</v>
      </c>
      <c r="E13657" s="4" t="s">
        <v>6773</v>
      </c>
      <c r="F13657" s="4" t="n">
        <v>20</v>
      </c>
      <c r="G13657" s="4" t="n">
        <v>7</v>
      </c>
      <c r="H13657" s="4" t="n">
        <v>4</v>
      </c>
      <c r="I13657" s="4" t="str">
        <v>×</v>
      </c>
      <c r="J13657" s="4"/>
      <c r="K13657" s="4"/>
      <c r="L13657" s="4"/>
      <c r="M13657" s="7" t="s">
        <v>6556</v>
      </c>
    </row>
    <row r="13658" customFormat="false" ht="15.75" hidden="false" customHeight="false" outlineLevel="0" collapsed="false">
      <c r="A13658" s="6" t="n">
        <f aca="false">DATE(2026,8,16)</f>
        <v>46250</v>
      </c>
      <c r="B13658" s="4" t="s">
        <v>179</v>
      </c>
      <c r="C13658" s="4" t="n">
        <v>10</v>
      </c>
      <c r="D13658" s="4" t="n">
        <v>9</v>
      </c>
      <c r="E13658" s="4" t="s">
        <v>3924</v>
      </c>
      <c r="F13658" s="4" t="n">
        <v>20</v>
      </c>
      <c r="G13658" s="4" t="n">
        <v>8</v>
      </c>
      <c r="H13658" s="4" t="n">
        <v>4</v>
      </c>
      <c r="I13658" s="4" t="str">
        <v>×</v>
      </c>
      <c r="J13658" s="4"/>
      <c r="K13658" s="4"/>
      <c r="L13658" s="4"/>
      <c r="M13658" s="7" t="s">
        <v>6556</v>
      </c>
    </row>
    <row r="13659" customFormat="false" ht="15.75" hidden="false" customHeight="false" outlineLevel="0" collapsed="false">
      <c r="A13659" s="6" t="n">
        <f aca="false">DATE(2026,8,16)</f>
        <v>46250</v>
      </c>
      <c r="B13659" s="4" t="s">
        <v>179</v>
      </c>
      <c r="C13659" s="4" t="n">
        <v>10</v>
      </c>
      <c r="D13659" s="4" t="n">
        <v>10</v>
      </c>
      <c r="E13659" s="4" t="s">
        <v>5682</v>
      </c>
      <c r="F13659" s="4" t="n">
        <v>15</v>
      </c>
      <c r="G13659" s="4" t="n">
        <v>10</v>
      </c>
      <c r="H13659" s="4" t="n">
        <v>1</v>
      </c>
      <c r="I13659" s="4" t="str">
        <v>○</v>
      </c>
      <c r="J13659" s="4" t="n">
        <v>710</v>
      </c>
      <c r="K13659" s="4"/>
      <c r="L13659" s="4"/>
      <c r="M13659" s="7" t="s">
        <v>6556</v>
      </c>
    </row>
    <row r="13660" customFormat="false" ht="15.75" hidden="false" customHeight="false" outlineLevel="0" collapsed="false">
      <c r="A13660" s="6" t="n">
        <f aca="false">DATE(2026,8,16)</f>
        <v>46250</v>
      </c>
      <c r="B13660" s="4" t="s">
        <v>179</v>
      </c>
      <c r="C13660" s="4" t="n">
        <v>10</v>
      </c>
      <c r="D13660" s="4" t="n">
        <v>11</v>
      </c>
      <c r="E13660" s="4" t="s">
        <v>2114</v>
      </c>
      <c r="F13660" s="4" t="n">
        <v>25</v>
      </c>
      <c r="G13660" s="4" t="n">
        <v>5</v>
      </c>
      <c r="H13660" s="4" t="n">
        <v>2</v>
      </c>
      <c r="I13660" s="4" t="str">
        <v>○</v>
      </c>
      <c r="J13660" s="4" t="n">
        <v>350</v>
      </c>
      <c r="K13660" s="4"/>
      <c r="L13660" s="4"/>
      <c r="M13660" s="7" t="s">
        <v>6556</v>
      </c>
    </row>
    <row r="13661" customFormat="false" ht="15.75" hidden="false" customHeight="false" outlineLevel="0" collapsed="false">
      <c r="A13661" s="6" t="n">
        <f aca="false">DATE(2026,8,16)</f>
        <v>46250</v>
      </c>
      <c r="B13661" s="4" t="s">
        <v>179</v>
      </c>
      <c r="C13661" s="4" t="n">
        <v>10</v>
      </c>
      <c r="D13661" s="4" t="n">
        <v>12</v>
      </c>
      <c r="E13661" s="4" t="s">
        <v>6774</v>
      </c>
      <c r="F13661" s="4" t="n">
        <v>2</v>
      </c>
      <c r="G13661" s="4" t="n">
        <v>16</v>
      </c>
      <c r="H13661" s="4" t="n">
        <v>4</v>
      </c>
      <c r="I13661" s="4" t="str">
        <v>×</v>
      </c>
      <c r="J13661" s="4"/>
      <c r="K13661" s="4"/>
      <c r="L13661" s="4"/>
      <c r="M13661" s="7" t="s">
        <v>6556</v>
      </c>
    </row>
    <row r="13662" customFormat="false" ht="15.75" hidden="false" customHeight="false" outlineLevel="0" collapsed="false">
      <c r="A13662" s="6" t="n">
        <f aca="false">DATE(2026,8,16)</f>
        <v>46250</v>
      </c>
      <c r="B13662" s="4" t="s">
        <v>179</v>
      </c>
      <c r="C13662" s="4" t="n">
        <v>10</v>
      </c>
      <c r="D13662" s="4" t="n">
        <v>13</v>
      </c>
      <c r="E13662" s="4" t="s">
        <v>1553</v>
      </c>
      <c r="F13662" s="4" t="n">
        <v>23</v>
      </c>
      <c r="G13662" s="4" t="n">
        <v>6</v>
      </c>
      <c r="H13662" s="4" t="n">
        <v>4</v>
      </c>
      <c r="I13662" s="4" t="str">
        <v>×</v>
      </c>
      <c r="J13662" s="4"/>
      <c r="K13662" s="4"/>
      <c r="L13662" s="4"/>
      <c r="M13662" s="7" t="s">
        <v>6556</v>
      </c>
    </row>
    <row r="13663" customFormat="false" ht="15.75" hidden="false" customHeight="false" outlineLevel="0" collapsed="false">
      <c r="A13663" s="6" t="n">
        <f aca="false">DATE(2026,8,16)</f>
        <v>46250</v>
      </c>
      <c r="B13663" s="4" t="s">
        <v>179</v>
      </c>
      <c r="C13663" s="4" t="n">
        <v>10</v>
      </c>
      <c r="D13663" s="4" t="n">
        <v>14</v>
      </c>
      <c r="E13663" s="4" t="s">
        <v>4818</v>
      </c>
      <c r="F13663" s="4" t="n">
        <v>47</v>
      </c>
      <c r="G13663" s="4" t="n">
        <v>2</v>
      </c>
      <c r="H13663" s="4" t="n">
        <v>4</v>
      </c>
      <c r="I13663" s="4" t="str">
        <v>×</v>
      </c>
      <c r="J13663" s="4"/>
      <c r="K13663" s="4"/>
      <c r="L13663" s="4"/>
      <c r="M13663" s="7" t="s">
        <v>6556</v>
      </c>
    </row>
    <row r="13664" customFormat="false" ht="15.75" hidden="false" customHeight="false" outlineLevel="0" collapsed="false">
      <c r="A13664" s="6" t="n">
        <f aca="false">DATE(2026,8,16)</f>
        <v>46250</v>
      </c>
      <c r="B13664" s="4" t="s">
        <v>179</v>
      </c>
      <c r="C13664" s="4" t="n">
        <v>10</v>
      </c>
      <c r="D13664" s="4" t="n">
        <v>15</v>
      </c>
      <c r="E13664" s="4" t="s">
        <v>5233</v>
      </c>
      <c r="F13664" s="4" t="n">
        <v>10</v>
      </c>
      <c r="G13664" s="4" t="n">
        <v>13</v>
      </c>
      <c r="H13664" s="4" t="n">
        <v>4</v>
      </c>
      <c r="I13664" s="4" t="str">
        <v>×</v>
      </c>
      <c r="J13664" s="4"/>
      <c r="K13664" s="4"/>
      <c r="L13664" s="4"/>
      <c r="M13664" s="7" t="s">
        <v>6556</v>
      </c>
    </row>
    <row r="13665" customFormat="false" ht="15.75" hidden="false" customHeight="false" outlineLevel="0" collapsed="false">
      <c r="A13665" s="6" t="n">
        <f aca="false">DATE(2026,8,16)</f>
        <v>46250</v>
      </c>
      <c r="B13665" s="4" t="s">
        <v>179</v>
      </c>
      <c r="C13665" s="4" t="n">
        <v>10</v>
      </c>
      <c r="D13665" s="4" t="n">
        <v>16</v>
      </c>
      <c r="E13665" s="4" t="s">
        <v>1634</v>
      </c>
      <c r="F13665" s="4" t="n">
        <v>17</v>
      </c>
      <c r="G13665" s="4" t="n">
        <v>9</v>
      </c>
      <c r="H13665" s="4" t="n">
        <v>4</v>
      </c>
      <c r="I13665" s="4" t="str">
        <v>×</v>
      </c>
      <c r="J13665" s="4"/>
      <c r="K13665" s="4"/>
      <c r="L13665" s="4"/>
      <c r="M13665" s="7" t="s">
        <v>6556</v>
      </c>
    </row>
    <row r="13666" customFormat="false" ht="15.75" hidden="false" customHeight="false" outlineLevel="0" collapsed="false">
      <c r="A13666" s="6" t="n">
        <f aca="false">DATE(2026,8,16)</f>
        <v>46250</v>
      </c>
      <c r="B13666" s="4" t="s">
        <v>179</v>
      </c>
      <c r="C13666" s="4" t="n">
        <v>11</v>
      </c>
      <c r="D13666" s="4" t="n">
        <v>1</v>
      </c>
      <c r="E13666" s="4" t="s">
        <v>3692</v>
      </c>
      <c r="F13666" s="4" t="n">
        <v>13</v>
      </c>
      <c r="G13666" s="4" t="n">
        <v>11</v>
      </c>
      <c r="H13666" s="4" t="n">
        <v>4</v>
      </c>
      <c r="I13666" s="4" t="str">
        <v>×</v>
      </c>
      <c r="J13666" s="4"/>
      <c r="K13666" s="4"/>
      <c r="L13666" s="4"/>
      <c r="M13666" s="7" t="s">
        <v>6556</v>
      </c>
    </row>
    <row r="13667" customFormat="false" ht="15.75" hidden="false" customHeight="false" outlineLevel="0" collapsed="false">
      <c r="A13667" s="6" t="n">
        <f aca="false">DATE(2026,8,16)</f>
        <v>46250</v>
      </c>
      <c r="B13667" s="4" t="s">
        <v>179</v>
      </c>
      <c r="C13667" s="4" t="n">
        <v>11</v>
      </c>
      <c r="D13667" s="4" t="n">
        <v>2</v>
      </c>
      <c r="E13667" s="4" t="s">
        <v>726</v>
      </c>
      <c r="F13667" s="4" t="n">
        <v>31</v>
      </c>
      <c r="G13667" s="4" t="n">
        <v>3</v>
      </c>
      <c r="H13667" s="4" t="n">
        <v>4</v>
      </c>
      <c r="I13667" s="4" t="str">
        <v>×</v>
      </c>
      <c r="J13667" s="4"/>
      <c r="K13667" s="4"/>
      <c r="L13667" s="4"/>
      <c r="M13667" s="7" t="s">
        <v>6556</v>
      </c>
    </row>
    <row r="13668" customFormat="false" ht="15.75" hidden="false" customHeight="false" outlineLevel="0" collapsed="false">
      <c r="A13668" s="6" t="n">
        <f aca="false">DATE(2026,8,16)</f>
        <v>46250</v>
      </c>
      <c r="B13668" s="4" t="s">
        <v>179</v>
      </c>
      <c r="C13668" s="4" t="n">
        <v>11</v>
      </c>
      <c r="D13668" s="4" t="n">
        <v>3</v>
      </c>
      <c r="E13668" s="4" t="s">
        <v>745</v>
      </c>
      <c r="F13668" s="4" t="n">
        <v>10</v>
      </c>
      <c r="G13668" s="4" t="n">
        <v>12</v>
      </c>
      <c r="H13668" s="4" t="n">
        <v>4</v>
      </c>
      <c r="I13668" s="4" t="str">
        <v>×</v>
      </c>
      <c r="J13668" s="4"/>
      <c r="K13668" s="4"/>
      <c r="L13668" s="4"/>
      <c r="M13668" s="7" t="s">
        <v>6556</v>
      </c>
    </row>
    <row r="13669" customFormat="false" ht="15.75" hidden="false" customHeight="false" outlineLevel="0" collapsed="false">
      <c r="A13669" s="6" t="n">
        <f aca="false">DATE(2026,8,16)</f>
        <v>46250</v>
      </c>
      <c r="B13669" s="4" t="s">
        <v>179</v>
      </c>
      <c r="C13669" s="4" t="n">
        <v>11</v>
      </c>
      <c r="D13669" s="4" t="n">
        <v>4</v>
      </c>
      <c r="E13669" s="4" t="s">
        <v>730</v>
      </c>
      <c r="F13669" s="4" t="n">
        <v>20</v>
      </c>
      <c r="G13669" s="4" t="n">
        <v>6</v>
      </c>
      <c r="H13669" s="4" t="n">
        <v>4</v>
      </c>
      <c r="I13669" s="4" t="str">
        <v>×</v>
      </c>
      <c r="J13669" s="4"/>
      <c r="K13669" s="4"/>
      <c r="L13669" s="4"/>
      <c r="M13669" s="7" t="s">
        <v>6556</v>
      </c>
    </row>
    <row r="13670" customFormat="false" ht="15.75" hidden="false" customHeight="false" outlineLevel="0" collapsed="false">
      <c r="A13670" s="6" t="n">
        <f aca="false">DATE(2026,8,16)</f>
        <v>46250</v>
      </c>
      <c r="B13670" s="4" t="s">
        <v>179</v>
      </c>
      <c r="C13670" s="4" t="n">
        <v>11</v>
      </c>
      <c r="D13670" s="4" t="n">
        <v>5</v>
      </c>
      <c r="E13670" s="4" t="s">
        <v>4665</v>
      </c>
      <c r="F13670" s="4" t="n">
        <v>8</v>
      </c>
      <c r="G13670" s="4" t="n">
        <v>14</v>
      </c>
      <c r="H13670" s="4" t="n">
        <v>1</v>
      </c>
      <c r="I13670" s="4" t="str">
        <v>○</v>
      </c>
      <c r="J13670" s="4" t="n">
        <v>690</v>
      </c>
      <c r="K13670" s="4"/>
      <c r="L13670" s="4"/>
      <c r="M13670" s="7" t="s">
        <v>6556</v>
      </c>
    </row>
    <row r="13671" customFormat="false" ht="15.75" hidden="false" customHeight="false" outlineLevel="0" collapsed="false">
      <c r="A13671" s="6" t="n">
        <f aca="false">DATE(2026,8,16)</f>
        <v>46250</v>
      </c>
      <c r="B13671" s="4" t="s">
        <v>179</v>
      </c>
      <c r="C13671" s="4" t="n">
        <v>11</v>
      </c>
      <c r="D13671" s="4" t="n">
        <v>6</v>
      </c>
      <c r="E13671" s="4" t="s">
        <v>1644</v>
      </c>
      <c r="F13671" s="4" t="n">
        <v>15</v>
      </c>
      <c r="G13671" s="4" t="n">
        <v>8</v>
      </c>
      <c r="H13671" s="4" t="n">
        <v>4</v>
      </c>
      <c r="I13671" s="4" t="str">
        <v>×</v>
      </c>
      <c r="J13671" s="4"/>
      <c r="K13671" s="4"/>
      <c r="L13671" s="4"/>
      <c r="M13671" s="7" t="s">
        <v>6556</v>
      </c>
    </row>
    <row r="13672" customFormat="false" ht="15.75" hidden="false" customHeight="false" outlineLevel="0" collapsed="false">
      <c r="A13672" s="6" t="n">
        <f aca="false">DATE(2026,8,16)</f>
        <v>46250</v>
      </c>
      <c r="B13672" s="4" t="s">
        <v>179</v>
      </c>
      <c r="C13672" s="4" t="n">
        <v>11</v>
      </c>
      <c r="D13672" s="4" t="n">
        <v>7</v>
      </c>
      <c r="E13672" s="4" t="s">
        <v>727</v>
      </c>
      <c r="F13672" s="4" t="n">
        <v>67</v>
      </c>
      <c r="G13672" s="4" t="n">
        <v>1</v>
      </c>
      <c r="H13672" s="4" t="n">
        <v>4</v>
      </c>
      <c r="I13672" s="4" t="str">
        <v>×</v>
      </c>
      <c r="J13672" s="4"/>
      <c r="K13672" s="4"/>
      <c r="L13672" s="4"/>
      <c r="M13672" s="7" t="s">
        <v>6556</v>
      </c>
    </row>
    <row r="13673" customFormat="false" ht="15.75" hidden="false" customHeight="false" outlineLevel="0" collapsed="false">
      <c r="A13673" s="6" t="n">
        <f aca="false">DATE(2026,8,16)</f>
        <v>46250</v>
      </c>
      <c r="B13673" s="4" t="s">
        <v>179</v>
      </c>
      <c r="C13673" s="4" t="n">
        <v>11</v>
      </c>
      <c r="D13673" s="4" t="n">
        <v>8</v>
      </c>
      <c r="E13673" s="4" t="s">
        <v>174</v>
      </c>
      <c r="F13673" s="4" t="n">
        <v>29</v>
      </c>
      <c r="G13673" s="4" t="n">
        <v>4</v>
      </c>
      <c r="H13673" s="4" t="n">
        <v>4</v>
      </c>
      <c r="I13673" s="4" t="str">
        <v>×</v>
      </c>
      <c r="J13673" s="4"/>
      <c r="K13673" s="4"/>
      <c r="L13673" s="4"/>
      <c r="M13673" s="7" t="s">
        <v>6556</v>
      </c>
    </row>
    <row r="13674" customFormat="false" ht="15.75" hidden="false" customHeight="false" outlineLevel="0" collapsed="false">
      <c r="A13674" s="6" t="n">
        <f aca="false">DATE(2026,8,16)</f>
        <v>46250</v>
      </c>
      <c r="B13674" s="4" t="s">
        <v>179</v>
      </c>
      <c r="C13674" s="4" t="n">
        <v>11</v>
      </c>
      <c r="D13674" s="4" t="n">
        <v>9</v>
      </c>
      <c r="E13674" s="4" t="s">
        <v>1642</v>
      </c>
      <c r="F13674" s="4" t="n">
        <v>15</v>
      </c>
      <c r="G13674" s="4" t="n">
        <v>9</v>
      </c>
      <c r="H13674" s="4" t="n">
        <v>4</v>
      </c>
      <c r="I13674" s="4" t="str">
        <v>×</v>
      </c>
      <c r="J13674" s="4"/>
      <c r="K13674" s="4"/>
      <c r="L13674" s="4"/>
      <c r="M13674" s="7" t="s">
        <v>6556</v>
      </c>
    </row>
    <row r="13675" customFormat="false" ht="15.75" hidden="false" customHeight="false" outlineLevel="0" collapsed="false">
      <c r="A13675" s="6" t="n">
        <f aca="false">DATE(2026,8,16)</f>
        <v>46250</v>
      </c>
      <c r="B13675" s="4" t="s">
        <v>179</v>
      </c>
      <c r="C13675" s="4" t="n">
        <v>11</v>
      </c>
      <c r="D13675" s="4" t="n">
        <v>10</v>
      </c>
      <c r="E13675" s="4" t="s">
        <v>735</v>
      </c>
      <c r="F13675" s="4" t="n">
        <v>8</v>
      </c>
      <c r="G13675" s="4" t="n">
        <v>15</v>
      </c>
      <c r="H13675" s="4" t="n">
        <v>4</v>
      </c>
      <c r="I13675" s="4" t="str">
        <v>×</v>
      </c>
      <c r="J13675" s="4"/>
      <c r="K13675" s="4"/>
      <c r="L13675" s="4"/>
      <c r="M13675" s="7" t="s">
        <v>6556</v>
      </c>
    </row>
    <row r="13676" customFormat="false" ht="15.75" hidden="false" customHeight="false" outlineLevel="0" collapsed="false">
      <c r="A13676" s="6" t="n">
        <f aca="false">DATE(2026,8,16)</f>
        <v>46250</v>
      </c>
      <c r="B13676" s="4" t="s">
        <v>179</v>
      </c>
      <c r="C13676" s="4" t="n">
        <v>11</v>
      </c>
      <c r="D13676" s="4" t="n">
        <v>11</v>
      </c>
      <c r="E13676" s="4" t="s">
        <v>5046</v>
      </c>
      <c r="F13676" s="4" t="n">
        <v>25</v>
      </c>
      <c r="G13676" s="4" t="n">
        <v>5</v>
      </c>
      <c r="H13676" s="4" t="n">
        <v>4</v>
      </c>
      <c r="I13676" s="4" t="str">
        <v>×</v>
      </c>
      <c r="J13676" s="4"/>
      <c r="K13676" s="4"/>
      <c r="L13676" s="4"/>
      <c r="M13676" s="7" t="s">
        <v>6556</v>
      </c>
    </row>
    <row r="13677" customFormat="false" ht="15.75" hidden="false" customHeight="false" outlineLevel="0" collapsed="false">
      <c r="A13677" s="6" t="n">
        <f aca="false">DATE(2026,8,16)</f>
        <v>46250</v>
      </c>
      <c r="B13677" s="4" t="s">
        <v>179</v>
      </c>
      <c r="C13677" s="4" t="n">
        <v>11</v>
      </c>
      <c r="D13677" s="4" t="n">
        <v>12</v>
      </c>
      <c r="E13677" s="4" t="s">
        <v>5078</v>
      </c>
      <c r="F13677" s="4" t="n">
        <v>20</v>
      </c>
      <c r="G13677" s="4" t="n">
        <v>7</v>
      </c>
      <c r="H13677" s="4" t="n">
        <v>3</v>
      </c>
      <c r="I13677" s="4" t="str">
        <v>○</v>
      </c>
      <c r="J13677" s="4" t="n">
        <v>380</v>
      </c>
      <c r="K13677" s="4"/>
      <c r="L13677" s="4"/>
      <c r="M13677" s="7" t="s">
        <v>6556</v>
      </c>
    </row>
    <row r="13678" customFormat="false" ht="15.75" hidden="false" customHeight="false" outlineLevel="0" collapsed="false">
      <c r="A13678" s="6" t="n">
        <f aca="false">DATE(2026,8,16)</f>
        <v>46250</v>
      </c>
      <c r="B13678" s="4" t="s">
        <v>179</v>
      </c>
      <c r="C13678" s="4" t="n">
        <v>11</v>
      </c>
      <c r="D13678" s="4" t="n">
        <v>13</v>
      </c>
      <c r="E13678" s="4" t="s">
        <v>729</v>
      </c>
      <c r="F13678" s="4" t="n">
        <v>39</v>
      </c>
      <c r="G13678" s="4" t="n">
        <v>2</v>
      </c>
      <c r="H13678" s="4" t="n">
        <v>4</v>
      </c>
      <c r="I13678" s="4" t="str">
        <v>×</v>
      </c>
      <c r="J13678" s="4"/>
      <c r="K13678" s="4"/>
      <c r="L13678" s="4"/>
      <c r="M13678" s="7" t="s">
        <v>6556</v>
      </c>
    </row>
    <row r="13679" customFormat="false" ht="15.75" hidden="false" customHeight="false" outlineLevel="0" collapsed="false">
      <c r="A13679" s="6" t="n">
        <f aca="false">DATE(2026,8,16)</f>
        <v>46250</v>
      </c>
      <c r="B13679" s="4" t="s">
        <v>179</v>
      </c>
      <c r="C13679" s="4" t="n">
        <v>11</v>
      </c>
      <c r="D13679" s="4" t="n">
        <v>14</v>
      </c>
      <c r="E13679" s="4" t="s">
        <v>752</v>
      </c>
      <c r="F13679" s="4" t="n">
        <v>10</v>
      </c>
      <c r="G13679" s="4" t="n">
        <v>13</v>
      </c>
      <c r="H13679" s="4" t="n">
        <v>4</v>
      </c>
      <c r="I13679" s="4" t="str">
        <v>×</v>
      </c>
      <c r="J13679" s="4"/>
      <c r="K13679" s="4"/>
      <c r="L13679" s="4"/>
      <c r="M13679" s="7" t="s">
        <v>6556</v>
      </c>
    </row>
    <row r="13680" customFormat="false" ht="15.75" hidden="false" customHeight="false" outlineLevel="0" collapsed="false">
      <c r="A13680" s="6" t="n">
        <f aca="false">DATE(2026,8,16)</f>
        <v>46250</v>
      </c>
      <c r="B13680" s="4" t="s">
        <v>179</v>
      </c>
      <c r="C13680" s="4" t="n">
        <v>11</v>
      </c>
      <c r="D13680" s="4" t="n">
        <v>15</v>
      </c>
      <c r="E13680" s="4" t="s">
        <v>3688</v>
      </c>
      <c r="F13680" s="4" t="n">
        <v>15</v>
      </c>
      <c r="G13680" s="4" t="n">
        <v>10</v>
      </c>
      <c r="H13680" s="4" t="n">
        <v>2</v>
      </c>
      <c r="I13680" s="4" t="str">
        <v>○</v>
      </c>
      <c r="J13680" s="4" t="n">
        <v>1010</v>
      </c>
      <c r="K13680" s="4"/>
      <c r="L13680" s="4"/>
      <c r="M13680" s="7" t="s">
        <v>6556</v>
      </c>
    </row>
    <row r="13681" customFormat="false" ht="15.75" hidden="false" customHeight="false" outlineLevel="0" collapsed="false">
      <c r="A13681" s="6" t="n">
        <f aca="false">DATE(2026,8,16)</f>
        <v>46250</v>
      </c>
      <c r="B13681" s="4" t="s">
        <v>179</v>
      </c>
      <c r="C13681" s="4" t="n">
        <v>11</v>
      </c>
      <c r="D13681" s="4" t="n">
        <v>16</v>
      </c>
      <c r="E13681" s="4" t="s">
        <v>6775</v>
      </c>
      <c r="F13681" s="4" t="n">
        <v>8</v>
      </c>
      <c r="G13681" s="4" t="n">
        <v>16</v>
      </c>
      <c r="H13681" s="4" t="n">
        <v>4</v>
      </c>
      <c r="I13681" s="4" t="str">
        <v>×</v>
      </c>
      <c r="J13681" s="4"/>
      <c r="K13681" s="4"/>
      <c r="L13681" s="4"/>
      <c r="M13681" s="7" t="s">
        <v>6556</v>
      </c>
    </row>
    <row r="13682" customFormat="false" ht="15.75" hidden="false" customHeight="false" outlineLevel="0" collapsed="false">
      <c r="A13682" s="6" t="n">
        <f aca="false">DATE(2026,8,16)</f>
        <v>46250</v>
      </c>
      <c r="B13682" s="4" t="s">
        <v>179</v>
      </c>
      <c r="C13682" s="4" t="n">
        <v>12</v>
      </c>
      <c r="D13682" s="4" t="n">
        <v>1</v>
      </c>
      <c r="E13682" s="4" t="s">
        <v>3614</v>
      </c>
      <c r="F13682" s="4" t="n">
        <v>10</v>
      </c>
      <c r="G13682" s="4" t="n">
        <v>7</v>
      </c>
      <c r="H13682" s="4" t="n">
        <v>4</v>
      </c>
      <c r="I13682" s="4" t="str">
        <v>×</v>
      </c>
      <c r="J13682" s="4"/>
      <c r="K13682" s="4"/>
      <c r="L13682" s="4"/>
      <c r="M13682" s="7" t="s">
        <v>6556</v>
      </c>
    </row>
    <row r="13683" customFormat="false" ht="15.75" hidden="false" customHeight="false" outlineLevel="0" collapsed="false">
      <c r="A13683" s="6" t="n">
        <f aca="false">DATE(2026,8,16)</f>
        <v>46250</v>
      </c>
      <c r="B13683" s="4" t="s">
        <v>179</v>
      </c>
      <c r="C13683" s="4" t="n">
        <v>12</v>
      </c>
      <c r="D13683" s="4" t="n">
        <v>2</v>
      </c>
      <c r="E13683" s="4" t="s">
        <v>1603</v>
      </c>
      <c r="F13683" s="4" t="n">
        <v>6</v>
      </c>
      <c r="G13683" s="4" t="n">
        <v>11</v>
      </c>
      <c r="H13683" s="4" t="n">
        <v>4</v>
      </c>
      <c r="I13683" s="4" t="str">
        <v>×</v>
      </c>
      <c r="J13683" s="4"/>
      <c r="K13683" s="4"/>
      <c r="L13683" s="4"/>
      <c r="M13683" s="7" t="s">
        <v>6556</v>
      </c>
    </row>
    <row r="13684" customFormat="false" ht="15.75" hidden="false" customHeight="false" outlineLevel="0" collapsed="false">
      <c r="A13684" s="6" t="n">
        <f aca="false">DATE(2026,8,16)</f>
        <v>46250</v>
      </c>
      <c r="B13684" s="4" t="s">
        <v>179</v>
      </c>
      <c r="C13684" s="4" t="n">
        <v>12</v>
      </c>
      <c r="D13684" s="4" t="n">
        <v>3</v>
      </c>
      <c r="E13684" s="4" t="s">
        <v>4374</v>
      </c>
      <c r="F13684" s="4" t="n">
        <v>3</v>
      </c>
      <c r="G13684" s="4" t="n">
        <v>15</v>
      </c>
      <c r="H13684" s="4" t="n">
        <v>4</v>
      </c>
      <c r="I13684" s="4" t="str">
        <v>×</v>
      </c>
      <c r="J13684" s="4"/>
      <c r="K13684" s="4"/>
      <c r="L13684" s="4"/>
      <c r="M13684" s="7" t="s">
        <v>6556</v>
      </c>
    </row>
    <row r="13685" customFormat="false" ht="15.75" hidden="false" customHeight="false" outlineLevel="0" collapsed="false">
      <c r="A13685" s="6" t="n">
        <f aca="false">DATE(2026,8,16)</f>
        <v>46250</v>
      </c>
      <c r="B13685" s="4" t="s">
        <v>179</v>
      </c>
      <c r="C13685" s="4" t="n">
        <v>12</v>
      </c>
      <c r="D13685" s="4" t="n">
        <v>4</v>
      </c>
      <c r="E13685" s="4" t="s">
        <v>6776</v>
      </c>
      <c r="F13685" s="4" t="n">
        <v>8</v>
      </c>
      <c r="G13685" s="4" t="n">
        <v>9</v>
      </c>
      <c r="H13685" s="4" t="n">
        <v>4</v>
      </c>
      <c r="I13685" s="4" t="str">
        <v>×</v>
      </c>
      <c r="J13685" s="4"/>
      <c r="K13685" s="4"/>
      <c r="L13685" s="4"/>
      <c r="M13685" s="7" t="s">
        <v>6556</v>
      </c>
    </row>
    <row r="13686" customFormat="false" ht="15.75" hidden="false" customHeight="false" outlineLevel="0" collapsed="false">
      <c r="A13686" s="6" t="n">
        <f aca="false">DATE(2026,8,16)</f>
        <v>46250</v>
      </c>
      <c r="B13686" s="4" t="s">
        <v>179</v>
      </c>
      <c r="C13686" s="4" t="n">
        <v>12</v>
      </c>
      <c r="D13686" s="4" t="n">
        <v>5</v>
      </c>
      <c r="E13686" s="4" t="s">
        <v>2061</v>
      </c>
      <c r="F13686" s="4" t="n">
        <v>20</v>
      </c>
      <c r="G13686" s="4" t="n">
        <v>5</v>
      </c>
      <c r="H13686" s="4" t="n">
        <v>2</v>
      </c>
      <c r="I13686" s="4" t="str">
        <v>○</v>
      </c>
      <c r="J13686" s="4" t="n">
        <v>570</v>
      </c>
      <c r="K13686" s="4"/>
      <c r="L13686" s="4"/>
      <c r="M13686" s="7" t="s">
        <v>6556</v>
      </c>
    </row>
    <row r="13687" customFormat="false" ht="15.75" hidden="false" customHeight="false" outlineLevel="0" collapsed="false">
      <c r="A13687" s="6" t="n">
        <f aca="false">DATE(2026,8,16)</f>
        <v>46250</v>
      </c>
      <c r="B13687" s="4" t="s">
        <v>179</v>
      </c>
      <c r="C13687" s="4" t="n">
        <v>12</v>
      </c>
      <c r="D13687" s="4" t="n">
        <v>6</v>
      </c>
      <c r="E13687" s="4" t="s">
        <v>4998</v>
      </c>
      <c r="F13687" s="4" t="n">
        <v>3</v>
      </c>
      <c r="G13687" s="4" t="n">
        <v>16</v>
      </c>
      <c r="H13687" s="4" t="n">
        <v>4</v>
      </c>
      <c r="I13687" s="4" t="str">
        <v>×</v>
      </c>
      <c r="J13687" s="4"/>
      <c r="K13687" s="4"/>
      <c r="L13687" s="4"/>
      <c r="M13687" s="7" t="s">
        <v>6556</v>
      </c>
    </row>
    <row r="13688" customFormat="false" ht="15.75" hidden="false" customHeight="false" outlineLevel="0" collapsed="false">
      <c r="A13688" s="6" t="n">
        <f aca="false">DATE(2026,8,16)</f>
        <v>46250</v>
      </c>
      <c r="B13688" s="4" t="s">
        <v>179</v>
      </c>
      <c r="C13688" s="4" t="n">
        <v>12</v>
      </c>
      <c r="D13688" s="4" t="n">
        <v>7</v>
      </c>
      <c r="E13688" s="4" t="s">
        <v>2869</v>
      </c>
      <c r="F13688" s="4" t="n">
        <v>4</v>
      </c>
      <c r="G13688" s="4" t="n">
        <v>12</v>
      </c>
      <c r="H13688" s="4" t="n">
        <v>4</v>
      </c>
      <c r="I13688" s="4" t="str">
        <v>×</v>
      </c>
      <c r="J13688" s="4"/>
      <c r="K13688" s="4"/>
      <c r="L13688" s="4"/>
      <c r="M13688" s="7" t="s">
        <v>6556</v>
      </c>
    </row>
    <row r="13689" customFormat="false" ht="15.75" hidden="false" customHeight="false" outlineLevel="0" collapsed="false">
      <c r="A13689" s="6" t="n">
        <f aca="false">DATE(2026,8,16)</f>
        <v>46250</v>
      </c>
      <c r="B13689" s="4" t="s">
        <v>179</v>
      </c>
      <c r="C13689" s="4" t="n">
        <v>12</v>
      </c>
      <c r="D13689" s="4" t="n">
        <v>8</v>
      </c>
      <c r="E13689" s="4" t="s">
        <v>6777</v>
      </c>
      <c r="F13689" s="4" t="n">
        <v>65</v>
      </c>
      <c r="G13689" s="4" t="n">
        <v>2</v>
      </c>
      <c r="H13689" s="4" t="n">
        <v>4</v>
      </c>
      <c r="I13689" s="4" t="str">
        <v>×</v>
      </c>
      <c r="J13689" s="4"/>
      <c r="K13689" s="4"/>
      <c r="L13689" s="4"/>
      <c r="M13689" s="7" t="s">
        <v>6556</v>
      </c>
    </row>
    <row r="13690" customFormat="false" ht="15.75" hidden="false" customHeight="false" outlineLevel="0" collapsed="false">
      <c r="A13690" s="6" t="n">
        <f aca="false">DATE(2026,8,16)</f>
        <v>46250</v>
      </c>
      <c r="B13690" s="4" t="s">
        <v>179</v>
      </c>
      <c r="C13690" s="4" t="n">
        <v>12</v>
      </c>
      <c r="D13690" s="4" t="n">
        <v>9</v>
      </c>
      <c r="E13690" s="4" t="s">
        <v>6778</v>
      </c>
      <c r="F13690" s="4" t="n">
        <v>4</v>
      </c>
      <c r="G13690" s="4" t="n">
        <v>13</v>
      </c>
      <c r="H13690" s="4" t="n">
        <v>4</v>
      </c>
      <c r="I13690" s="4" t="str">
        <v>×</v>
      </c>
      <c r="J13690" s="4"/>
      <c r="K13690" s="4"/>
      <c r="L13690" s="4"/>
      <c r="M13690" s="7" t="s">
        <v>6556</v>
      </c>
    </row>
    <row r="13691" customFormat="false" ht="15.75" hidden="false" customHeight="false" outlineLevel="0" collapsed="false">
      <c r="A13691" s="6" t="n">
        <f aca="false">DATE(2026,8,16)</f>
        <v>46250</v>
      </c>
      <c r="B13691" s="4" t="s">
        <v>179</v>
      </c>
      <c r="C13691" s="4" t="n">
        <v>12</v>
      </c>
      <c r="D13691" s="4" t="n">
        <v>10</v>
      </c>
      <c r="E13691" s="4" t="s">
        <v>6779</v>
      </c>
      <c r="F13691" s="4" t="n">
        <v>8</v>
      </c>
      <c r="G13691" s="4" t="n">
        <v>10</v>
      </c>
      <c r="H13691" s="4" t="n">
        <v>4</v>
      </c>
      <c r="I13691" s="4" t="str">
        <v>×</v>
      </c>
      <c r="J13691" s="4"/>
      <c r="K13691" s="4"/>
      <c r="L13691" s="4"/>
      <c r="M13691" s="7" t="s">
        <v>6556</v>
      </c>
    </row>
    <row r="13692" customFormat="false" ht="15.75" hidden="false" customHeight="false" outlineLevel="0" collapsed="false">
      <c r="A13692" s="6" t="n">
        <f aca="false">DATE(2026,8,16)</f>
        <v>46250</v>
      </c>
      <c r="B13692" s="4" t="s">
        <v>179</v>
      </c>
      <c r="C13692" s="4" t="n">
        <v>12</v>
      </c>
      <c r="D13692" s="4" t="n">
        <v>11</v>
      </c>
      <c r="E13692" s="4" t="s">
        <v>2062</v>
      </c>
      <c r="F13692" s="4" t="n">
        <v>41</v>
      </c>
      <c r="G13692" s="4" t="n">
        <v>3</v>
      </c>
      <c r="H13692" s="4" t="n">
        <v>3</v>
      </c>
      <c r="I13692" s="4" t="str">
        <v>○</v>
      </c>
      <c r="J13692" s="4" t="n">
        <v>220</v>
      </c>
      <c r="K13692" s="4"/>
      <c r="L13692" s="4"/>
      <c r="M13692" s="7" t="s">
        <v>6556</v>
      </c>
    </row>
    <row r="13693" customFormat="false" ht="15.75" hidden="false" customHeight="false" outlineLevel="0" collapsed="false">
      <c r="A13693" s="6" t="n">
        <f aca="false">DATE(2026,8,16)</f>
        <v>46250</v>
      </c>
      <c r="B13693" s="4" t="s">
        <v>179</v>
      </c>
      <c r="C13693" s="4" t="n">
        <v>12</v>
      </c>
      <c r="D13693" s="4" t="n">
        <v>12</v>
      </c>
      <c r="E13693" s="4" t="s">
        <v>227</v>
      </c>
      <c r="F13693" s="4" t="n">
        <v>41</v>
      </c>
      <c r="G13693" s="4" t="n">
        <v>4</v>
      </c>
      <c r="H13693" s="4" t="n">
        <v>4</v>
      </c>
      <c r="I13693" s="4" t="str">
        <v>×</v>
      </c>
      <c r="J13693" s="4"/>
      <c r="K13693" s="4"/>
      <c r="L13693" s="4"/>
      <c r="M13693" s="7" t="s">
        <v>6556</v>
      </c>
    </row>
    <row r="13694" customFormat="false" ht="15.75" hidden="false" customHeight="false" outlineLevel="0" collapsed="false">
      <c r="A13694" s="6" t="n">
        <f aca="false">DATE(2026,8,16)</f>
        <v>46250</v>
      </c>
      <c r="B13694" s="4" t="s">
        <v>179</v>
      </c>
      <c r="C13694" s="4" t="n">
        <v>12</v>
      </c>
      <c r="D13694" s="4" t="n">
        <v>13</v>
      </c>
      <c r="E13694" s="4" t="s">
        <v>657</v>
      </c>
      <c r="F13694" s="4" t="n">
        <v>75</v>
      </c>
      <c r="G13694" s="4" t="n">
        <v>1</v>
      </c>
      <c r="H13694" s="4" t="n">
        <v>1</v>
      </c>
      <c r="I13694" s="4" t="str">
        <v>○</v>
      </c>
      <c r="J13694" s="4" t="n">
        <v>140</v>
      </c>
      <c r="K13694" s="4"/>
      <c r="L13694" s="4"/>
      <c r="M13694" s="7" t="s">
        <v>6556</v>
      </c>
    </row>
    <row r="13695" customFormat="false" ht="15.75" hidden="false" customHeight="false" outlineLevel="0" collapsed="false">
      <c r="A13695" s="6" t="n">
        <f aca="false">DATE(2026,8,16)</f>
        <v>46250</v>
      </c>
      <c r="B13695" s="4" t="s">
        <v>179</v>
      </c>
      <c r="C13695" s="4" t="n">
        <v>12</v>
      </c>
      <c r="D13695" s="4" t="n">
        <v>14</v>
      </c>
      <c r="E13695" s="4" t="s">
        <v>4623</v>
      </c>
      <c r="F13695" s="4" t="n">
        <v>10</v>
      </c>
      <c r="G13695" s="4" t="n">
        <v>8</v>
      </c>
      <c r="H13695" s="4" t="n">
        <v>4</v>
      </c>
      <c r="I13695" s="4" t="str">
        <v>×</v>
      </c>
      <c r="J13695" s="4"/>
      <c r="K13695" s="4"/>
      <c r="L13695" s="4"/>
      <c r="M13695" s="7" t="s">
        <v>6556</v>
      </c>
    </row>
    <row r="13696" customFormat="false" ht="15.75" hidden="false" customHeight="false" outlineLevel="0" collapsed="false">
      <c r="A13696" s="6" t="n">
        <f aca="false">DATE(2026,8,16)</f>
        <v>46250</v>
      </c>
      <c r="B13696" s="4" t="s">
        <v>179</v>
      </c>
      <c r="C13696" s="4" t="n">
        <v>12</v>
      </c>
      <c r="D13696" s="4" t="n">
        <v>15</v>
      </c>
      <c r="E13696" s="4" t="s">
        <v>222</v>
      </c>
      <c r="F13696" s="4" t="n">
        <v>15</v>
      </c>
      <c r="G13696" s="4" t="n">
        <v>6</v>
      </c>
      <c r="H13696" s="4" t="n">
        <v>4</v>
      </c>
      <c r="I13696" s="4" t="str">
        <v>×</v>
      </c>
      <c r="J13696" s="4"/>
      <c r="K13696" s="4"/>
      <c r="L13696" s="4"/>
      <c r="M13696" s="7" t="s">
        <v>6556</v>
      </c>
    </row>
    <row r="13697" customFormat="false" ht="15.75" hidden="false" customHeight="false" outlineLevel="0" collapsed="false">
      <c r="A13697" s="6" t="n">
        <f aca="false">DATE(2026,8,16)</f>
        <v>46250</v>
      </c>
      <c r="B13697" s="4" t="s">
        <v>179</v>
      </c>
      <c r="C13697" s="4" t="n">
        <v>12</v>
      </c>
      <c r="D13697" s="4" t="n">
        <v>16</v>
      </c>
      <c r="E13697" s="4" t="s">
        <v>4380</v>
      </c>
      <c r="F13697" s="4" t="n">
        <v>4</v>
      </c>
      <c r="G13697" s="4" t="n">
        <v>14</v>
      </c>
      <c r="H13697" s="4" t="n">
        <v>4</v>
      </c>
      <c r="I13697" s="4" t="str">
        <v>×</v>
      </c>
      <c r="J13697" s="4"/>
      <c r="K13697" s="4"/>
      <c r="L13697" s="4"/>
      <c r="M13697" s="7" t="s">
        <v>6556</v>
      </c>
    </row>
    <row r="13698" customFormat="false" ht="15.75" hidden="false" customHeight="false" outlineLevel="0" collapsed="false">
      <c r="A13698" s="6" t="n">
        <f aca="false">DATE(2026,8,16)</f>
        <v>46250</v>
      </c>
      <c r="B13698" s="4" t="s">
        <v>13</v>
      </c>
      <c r="C13698" s="4" t="n">
        <v>1</v>
      </c>
      <c r="D13698" s="4" t="n">
        <v>1</v>
      </c>
      <c r="E13698" s="4" t="s">
        <v>6780</v>
      </c>
      <c r="F13698" s="4" t="n">
        <v>15</v>
      </c>
      <c r="G13698" s="4" t="n">
        <v>6</v>
      </c>
      <c r="H13698" s="4" t="n">
        <v>1</v>
      </c>
      <c r="I13698" s="4" t="str">
        <v>○</v>
      </c>
      <c r="J13698" s="4" t="n">
        <v>110</v>
      </c>
      <c r="K13698" s="4"/>
      <c r="L13698" s="4"/>
      <c r="M13698" s="7" t="s">
        <v>6556</v>
      </c>
    </row>
    <row r="13699" customFormat="false" ht="15.75" hidden="false" customHeight="false" outlineLevel="0" collapsed="false">
      <c r="A13699" s="6" t="n">
        <f aca="false">DATE(2026,8,16)</f>
        <v>46250</v>
      </c>
      <c r="B13699" s="4" t="s">
        <v>13</v>
      </c>
      <c r="C13699" s="4" t="n">
        <v>1</v>
      </c>
      <c r="D13699" s="4" t="n">
        <v>2</v>
      </c>
      <c r="E13699" s="4" t="s">
        <v>4915</v>
      </c>
      <c r="F13699" s="4" t="n">
        <v>15</v>
      </c>
      <c r="G13699" s="4" t="n">
        <v>7</v>
      </c>
      <c r="H13699" s="4" t="n">
        <v>4</v>
      </c>
      <c r="I13699" s="4" t="str">
        <v>×</v>
      </c>
      <c r="J13699" s="4"/>
      <c r="K13699" s="4"/>
      <c r="L13699" s="4"/>
      <c r="M13699" s="7" t="s">
        <v>6556</v>
      </c>
    </row>
    <row r="13700" customFormat="false" ht="15.75" hidden="false" customHeight="false" outlineLevel="0" collapsed="false">
      <c r="A13700" s="6" t="n">
        <f aca="false">DATE(2026,8,16)</f>
        <v>46250</v>
      </c>
      <c r="B13700" s="4" t="s">
        <v>13</v>
      </c>
      <c r="C13700" s="4" t="n">
        <v>1</v>
      </c>
      <c r="D13700" s="4" t="n">
        <v>3</v>
      </c>
      <c r="E13700" s="4" t="s">
        <v>3723</v>
      </c>
      <c r="F13700" s="4" t="n">
        <v>6</v>
      </c>
      <c r="G13700" s="4" t="n">
        <v>9</v>
      </c>
      <c r="H13700" s="4" t="n">
        <v>4</v>
      </c>
      <c r="I13700" s="4" t="str">
        <v>×</v>
      </c>
      <c r="J13700" s="4"/>
      <c r="K13700" s="4"/>
      <c r="L13700" s="4"/>
      <c r="M13700" s="7" t="s">
        <v>6556</v>
      </c>
    </row>
    <row r="13701" customFormat="false" ht="15.75" hidden="false" customHeight="false" outlineLevel="0" collapsed="false">
      <c r="A13701" s="6" t="n">
        <f aca="false">DATE(2026,8,16)</f>
        <v>46250</v>
      </c>
      <c r="B13701" s="4" t="s">
        <v>13</v>
      </c>
      <c r="C13701" s="4" t="n">
        <v>1</v>
      </c>
      <c r="D13701" s="4" t="n">
        <v>4</v>
      </c>
      <c r="E13701" s="4" t="s">
        <v>6781</v>
      </c>
      <c r="F13701" s="4" t="n">
        <v>47</v>
      </c>
      <c r="G13701" s="4" t="n">
        <v>2</v>
      </c>
      <c r="H13701" s="4" t="n">
        <v>2</v>
      </c>
      <c r="I13701" s="4" t="str">
        <v>○</v>
      </c>
      <c r="J13701" s="4" t="n">
        <v>180</v>
      </c>
      <c r="K13701" s="4"/>
      <c r="L13701" s="4"/>
      <c r="M13701" s="7" t="s">
        <v>6556</v>
      </c>
    </row>
    <row r="13702" customFormat="false" ht="15.75" hidden="false" customHeight="false" outlineLevel="0" collapsed="false">
      <c r="A13702" s="6" t="n">
        <f aca="false">DATE(2026,8,16)</f>
        <v>46250</v>
      </c>
      <c r="B13702" s="4" t="s">
        <v>13</v>
      </c>
      <c r="C13702" s="4" t="n">
        <v>1</v>
      </c>
      <c r="D13702" s="4" t="n">
        <v>5</v>
      </c>
      <c r="E13702" s="4" t="s">
        <v>3345</v>
      </c>
      <c r="F13702" s="4" t="n">
        <v>8</v>
      </c>
      <c r="G13702" s="4" t="n">
        <v>8</v>
      </c>
      <c r="H13702" s="4" t="n">
        <v>4</v>
      </c>
      <c r="I13702" s="4" t="str">
        <v>×</v>
      </c>
      <c r="J13702" s="4"/>
      <c r="K13702" s="4"/>
      <c r="L13702" s="4"/>
      <c r="M13702" s="7" t="s">
        <v>6556</v>
      </c>
    </row>
    <row r="13703" customFormat="false" ht="15.75" hidden="false" customHeight="false" outlineLevel="0" collapsed="false">
      <c r="A13703" s="6" t="n">
        <f aca="false">DATE(2026,8,16)</f>
        <v>46250</v>
      </c>
      <c r="B13703" s="4" t="s">
        <v>13</v>
      </c>
      <c r="C13703" s="4" t="n">
        <v>1</v>
      </c>
      <c r="D13703" s="4" t="n">
        <v>6</v>
      </c>
      <c r="E13703" s="4" t="s">
        <v>5336</v>
      </c>
      <c r="F13703" s="4" t="n">
        <v>4</v>
      </c>
      <c r="G13703" s="4" t="n">
        <v>11</v>
      </c>
      <c r="H13703" s="4" t="n">
        <v>4</v>
      </c>
      <c r="I13703" s="4" t="str">
        <v>×</v>
      </c>
      <c r="J13703" s="4"/>
      <c r="K13703" s="4"/>
      <c r="L13703" s="4"/>
      <c r="M13703" s="7" t="s">
        <v>6556</v>
      </c>
    </row>
    <row r="13704" customFormat="false" ht="15.75" hidden="false" customHeight="false" outlineLevel="0" collapsed="false">
      <c r="A13704" s="6" t="n">
        <f aca="false">DATE(2026,8,16)</f>
        <v>46250</v>
      </c>
      <c r="B13704" s="4" t="s">
        <v>13</v>
      </c>
      <c r="C13704" s="4" t="n">
        <v>1</v>
      </c>
      <c r="D13704" s="4" t="n">
        <v>7</v>
      </c>
      <c r="E13704" s="4" t="s">
        <v>3999</v>
      </c>
      <c r="F13704" s="4" t="n">
        <v>23</v>
      </c>
      <c r="G13704" s="4" t="n">
        <v>4</v>
      </c>
      <c r="H13704" s="4" t="n">
        <v>4</v>
      </c>
      <c r="I13704" s="4" t="str">
        <v>×</v>
      </c>
      <c r="J13704" s="4"/>
      <c r="K13704" s="4"/>
      <c r="L13704" s="4"/>
      <c r="M13704" s="7" t="s">
        <v>6556</v>
      </c>
    </row>
    <row r="13705" customFormat="false" ht="15.75" hidden="false" customHeight="false" outlineLevel="0" collapsed="false">
      <c r="A13705" s="6" t="n">
        <f aca="false">DATE(2026,8,16)</f>
        <v>46250</v>
      </c>
      <c r="B13705" s="4" t="s">
        <v>13</v>
      </c>
      <c r="C13705" s="4" t="n">
        <v>1</v>
      </c>
      <c r="D13705" s="4" t="n">
        <v>8</v>
      </c>
      <c r="E13705" s="4" t="s">
        <v>6782</v>
      </c>
      <c r="F13705" s="4" t="n">
        <v>66</v>
      </c>
      <c r="G13705" s="4" t="n">
        <v>1</v>
      </c>
      <c r="H13705" s="4" t="n">
        <v>3</v>
      </c>
      <c r="I13705" s="4" t="str">
        <v>○</v>
      </c>
      <c r="J13705" s="4" t="n">
        <v>100</v>
      </c>
      <c r="K13705" s="4"/>
      <c r="L13705" s="4"/>
      <c r="M13705" s="7" t="s">
        <v>6556</v>
      </c>
    </row>
    <row r="13706" customFormat="false" ht="15.75" hidden="false" customHeight="false" outlineLevel="0" collapsed="false">
      <c r="A13706" s="6" t="n">
        <f aca="false">DATE(2026,8,16)</f>
        <v>46250</v>
      </c>
      <c r="B13706" s="4" t="s">
        <v>13</v>
      </c>
      <c r="C13706" s="4" t="n">
        <v>1</v>
      </c>
      <c r="D13706" s="4" t="n">
        <v>9</v>
      </c>
      <c r="E13706" s="4" t="s">
        <v>924</v>
      </c>
      <c r="F13706" s="4" t="n">
        <v>31</v>
      </c>
      <c r="G13706" s="4" t="n">
        <v>3</v>
      </c>
      <c r="H13706" s="4" t="n">
        <v>4</v>
      </c>
      <c r="I13706" s="4" t="str">
        <v>×</v>
      </c>
      <c r="J13706" s="4"/>
      <c r="K13706" s="4"/>
      <c r="L13706" s="4"/>
      <c r="M13706" s="7" t="s">
        <v>6556</v>
      </c>
    </row>
    <row r="13707" customFormat="false" ht="15.75" hidden="false" customHeight="false" outlineLevel="0" collapsed="false">
      <c r="A13707" s="6" t="n">
        <f aca="false">DATE(2026,8,16)</f>
        <v>46250</v>
      </c>
      <c r="B13707" s="4" t="s">
        <v>13</v>
      </c>
      <c r="C13707" s="4" t="n">
        <v>1</v>
      </c>
      <c r="D13707" s="4" t="n">
        <v>10</v>
      </c>
      <c r="E13707" s="4" t="s">
        <v>6783</v>
      </c>
      <c r="F13707" s="4" t="n">
        <v>20</v>
      </c>
      <c r="G13707" s="4" t="n">
        <v>5</v>
      </c>
      <c r="H13707" s="4" t="n">
        <v>4</v>
      </c>
      <c r="I13707" s="4" t="str">
        <v>×</v>
      </c>
      <c r="J13707" s="4"/>
      <c r="K13707" s="4"/>
      <c r="L13707" s="4"/>
      <c r="M13707" s="7" t="s">
        <v>6556</v>
      </c>
    </row>
    <row r="13708" customFormat="false" ht="15.75" hidden="false" customHeight="false" outlineLevel="0" collapsed="false">
      <c r="A13708" s="6" t="n">
        <f aca="false">DATE(2026,8,16)</f>
        <v>46250</v>
      </c>
      <c r="B13708" s="4" t="s">
        <v>13</v>
      </c>
      <c r="C13708" s="4" t="n">
        <v>1</v>
      </c>
      <c r="D13708" s="4" t="n">
        <v>11</v>
      </c>
      <c r="E13708" s="4" t="s">
        <v>982</v>
      </c>
      <c r="F13708" s="4" t="n">
        <v>6</v>
      </c>
      <c r="G13708" s="4" t="n">
        <v>10</v>
      </c>
      <c r="H13708" s="4" t="n">
        <v>4</v>
      </c>
      <c r="I13708" s="4" t="str">
        <v>×</v>
      </c>
      <c r="J13708" s="4"/>
      <c r="K13708" s="4"/>
      <c r="L13708" s="4"/>
      <c r="M13708" s="7" t="s">
        <v>6556</v>
      </c>
    </row>
    <row r="13709" customFormat="false" ht="15.75" hidden="false" customHeight="false" outlineLevel="0" collapsed="false">
      <c r="A13709" s="6" t="n">
        <f aca="false">DATE(2026,8,16)</f>
        <v>46250</v>
      </c>
      <c r="B13709" s="4" t="s">
        <v>13</v>
      </c>
      <c r="C13709" s="4" t="n">
        <v>1</v>
      </c>
      <c r="D13709" s="4" t="n">
        <v>12</v>
      </c>
      <c r="E13709" s="4" t="s">
        <v>3998</v>
      </c>
      <c r="F13709" s="4" t="n">
        <v>3</v>
      </c>
      <c r="G13709" s="4" t="n">
        <v>12</v>
      </c>
      <c r="H13709" s="4" t="n">
        <v>4</v>
      </c>
      <c r="I13709" s="4" t="str">
        <v>×</v>
      </c>
      <c r="J13709" s="4"/>
      <c r="K13709" s="4"/>
      <c r="L13709" s="4"/>
      <c r="M13709" s="7" t="s">
        <v>6556</v>
      </c>
    </row>
    <row r="13710" customFormat="false" ht="15.75" hidden="false" customHeight="false" outlineLevel="0" collapsed="false">
      <c r="A13710" s="6" t="n">
        <f aca="false">DATE(2026,8,16)</f>
        <v>46250</v>
      </c>
      <c r="B13710" s="4" t="s">
        <v>13</v>
      </c>
      <c r="C13710" s="4" t="n">
        <v>1</v>
      </c>
      <c r="D13710" s="4" t="n">
        <v>13</v>
      </c>
      <c r="E13710" s="4" t="s">
        <v>19</v>
      </c>
      <c r="F13710" s="4" t="n">
        <v>3</v>
      </c>
      <c r="G13710" s="4" t="n">
        <v>13</v>
      </c>
      <c r="H13710" s="4" t="n">
        <v>4</v>
      </c>
      <c r="I13710" s="4" t="str">
        <v>×</v>
      </c>
      <c r="J13710" s="4"/>
      <c r="K13710" s="4"/>
      <c r="L13710" s="4"/>
      <c r="M13710" s="7" t="s">
        <v>6556</v>
      </c>
    </row>
    <row r="13711" customFormat="false" ht="15.75" hidden="false" customHeight="false" outlineLevel="0" collapsed="false">
      <c r="A13711" s="6" t="n">
        <f aca="false">DATE(2026,8,16)</f>
        <v>46250</v>
      </c>
      <c r="B13711" s="4" t="s">
        <v>13</v>
      </c>
      <c r="C13711" s="4" t="n">
        <v>2</v>
      </c>
      <c r="D13711" s="4" t="n">
        <v>1</v>
      </c>
      <c r="E13711" s="4" t="s">
        <v>2594</v>
      </c>
      <c r="F13711" s="4" t="n">
        <v>15</v>
      </c>
      <c r="G13711" s="4" t="n">
        <v>9</v>
      </c>
      <c r="H13711" s="4" t="n">
        <v>4</v>
      </c>
      <c r="I13711" s="4" t="str">
        <v>×</v>
      </c>
      <c r="J13711" s="4"/>
      <c r="K13711" s="4"/>
      <c r="L13711" s="4"/>
      <c r="M13711" s="7" t="s">
        <v>6556</v>
      </c>
    </row>
    <row r="13712" customFormat="false" ht="15.75" hidden="false" customHeight="false" outlineLevel="0" collapsed="false">
      <c r="A13712" s="6" t="n">
        <f aca="false">DATE(2026,8,16)</f>
        <v>46250</v>
      </c>
      <c r="B13712" s="4" t="s">
        <v>13</v>
      </c>
      <c r="C13712" s="4" t="n">
        <v>2</v>
      </c>
      <c r="D13712" s="4" t="n">
        <v>2</v>
      </c>
      <c r="E13712" s="4" t="s">
        <v>4096</v>
      </c>
      <c r="F13712" s="4" t="n">
        <v>3</v>
      </c>
      <c r="G13712" s="4" t="n">
        <v>14</v>
      </c>
      <c r="H13712" s="4" t="n">
        <v>4</v>
      </c>
      <c r="I13712" s="4" t="str">
        <v>×</v>
      </c>
      <c r="J13712" s="4"/>
      <c r="K13712" s="4"/>
      <c r="L13712" s="4"/>
      <c r="M13712" s="7" t="s">
        <v>6556</v>
      </c>
    </row>
    <row r="13713" customFormat="false" ht="15.75" hidden="false" customHeight="false" outlineLevel="0" collapsed="false">
      <c r="A13713" s="6" t="n">
        <f aca="false">DATE(2026,8,16)</f>
        <v>46250</v>
      </c>
      <c r="B13713" s="4" t="s">
        <v>13</v>
      </c>
      <c r="C13713" s="4" t="n">
        <v>2</v>
      </c>
      <c r="D13713" s="4" t="n">
        <v>3</v>
      </c>
      <c r="E13713" s="4" t="s">
        <v>1014</v>
      </c>
      <c r="F13713" s="4" t="n">
        <v>25</v>
      </c>
      <c r="G13713" s="4" t="n">
        <v>5</v>
      </c>
      <c r="H13713" s="4" t="n">
        <v>3</v>
      </c>
      <c r="I13713" s="4" t="str">
        <v>○</v>
      </c>
      <c r="J13713" s="4" t="n">
        <v>290</v>
      </c>
      <c r="K13713" s="4"/>
      <c r="L13713" s="4"/>
      <c r="M13713" s="7" t="s">
        <v>6556</v>
      </c>
    </row>
    <row r="13714" customFormat="false" ht="15.75" hidden="false" customHeight="false" outlineLevel="0" collapsed="false">
      <c r="A13714" s="6" t="n">
        <f aca="false">DATE(2026,8,16)</f>
        <v>46250</v>
      </c>
      <c r="B13714" s="4" t="s">
        <v>13</v>
      </c>
      <c r="C13714" s="4" t="n">
        <v>2</v>
      </c>
      <c r="D13714" s="4" t="n">
        <v>4</v>
      </c>
      <c r="E13714" s="4" t="s">
        <v>6784</v>
      </c>
      <c r="F13714" s="4" t="n">
        <v>2</v>
      </c>
      <c r="G13714" s="4" t="n">
        <v>16</v>
      </c>
      <c r="H13714" s="4" t="n">
        <v>4</v>
      </c>
      <c r="I13714" s="4" t="str">
        <v>×</v>
      </c>
      <c r="J13714" s="4"/>
      <c r="K13714" s="4"/>
      <c r="L13714" s="4"/>
      <c r="M13714" s="7" t="s">
        <v>6556</v>
      </c>
    </row>
    <row r="13715" customFormat="false" ht="15.75" hidden="false" customHeight="false" outlineLevel="0" collapsed="false">
      <c r="A13715" s="6" t="n">
        <f aca="false">DATE(2026,8,16)</f>
        <v>46250</v>
      </c>
      <c r="B13715" s="4" t="s">
        <v>13</v>
      </c>
      <c r="C13715" s="4" t="n">
        <v>2</v>
      </c>
      <c r="D13715" s="4" t="n">
        <v>5</v>
      </c>
      <c r="E13715" s="4" t="s">
        <v>1012</v>
      </c>
      <c r="F13715" s="4" t="n">
        <v>41</v>
      </c>
      <c r="G13715" s="4" t="n">
        <v>2</v>
      </c>
      <c r="H13715" s="4" t="n">
        <v>1</v>
      </c>
      <c r="I13715" s="4" t="str">
        <v>○</v>
      </c>
      <c r="J13715" s="4" t="n">
        <v>210</v>
      </c>
      <c r="K13715" s="4"/>
      <c r="L13715" s="4"/>
      <c r="M13715" s="7" t="s">
        <v>6556</v>
      </c>
    </row>
    <row r="13716" customFormat="false" ht="15.75" hidden="false" customHeight="false" outlineLevel="0" collapsed="false">
      <c r="A13716" s="6" t="n">
        <f aca="false">DATE(2026,8,16)</f>
        <v>46250</v>
      </c>
      <c r="B13716" s="4" t="s">
        <v>13</v>
      </c>
      <c r="C13716" s="4" t="n">
        <v>2</v>
      </c>
      <c r="D13716" s="4" t="n">
        <v>6</v>
      </c>
      <c r="E13716" s="4" t="s">
        <v>6785</v>
      </c>
      <c r="F13716" s="4" t="n">
        <v>20</v>
      </c>
      <c r="G13716" s="4" t="n">
        <v>7</v>
      </c>
      <c r="H13716" s="4" t="n">
        <v>4</v>
      </c>
      <c r="I13716" s="4" t="str">
        <v>×</v>
      </c>
      <c r="J13716" s="4"/>
      <c r="K13716" s="4"/>
      <c r="L13716" s="4"/>
      <c r="M13716" s="7" t="s">
        <v>6556</v>
      </c>
    </row>
    <row r="13717" customFormat="false" ht="15.75" hidden="false" customHeight="false" outlineLevel="0" collapsed="false">
      <c r="A13717" s="6" t="n">
        <f aca="false">DATE(2026,8,16)</f>
        <v>46250</v>
      </c>
      <c r="B13717" s="4" t="s">
        <v>13</v>
      </c>
      <c r="C13717" s="4" t="n">
        <v>2</v>
      </c>
      <c r="D13717" s="4" t="n">
        <v>7</v>
      </c>
      <c r="E13717" s="4" t="s">
        <v>4430</v>
      </c>
      <c r="F13717" s="4" t="n">
        <v>6</v>
      </c>
      <c r="G13717" s="4" t="n">
        <v>10</v>
      </c>
      <c r="H13717" s="4" t="n">
        <v>4</v>
      </c>
      <c r="I13717" s="4" t="str">
        <v>×</v>
      </c>
      <c r="J13717" s="4"/>
      <c r="K13717" s="4"/>
      <c r="L13717" s="4"/>
      <c r="M13717" s="7" t="s">
        <v>6556</v>
      </c>
    </row>
    <row r="13718" customFormat="false" ht="15.75" hidden="false" customHeight="false" outlineLevel="0" collapsed="false">
      <c r="A13718" s="6" t="n">
        <f aca="false">DATE(2026,8,16)</f>
        <v>46250</v>
      </c>
      <c r="B13718" s="4" t="s">
        <v>13</v>
      </c>
      <c r="C13718" s="4" t="n">
        <v>2</v>
      </c>
      <c r="D13718" s="4" t="n">
        <v>8</v>
      </c>
      <c r="E13718" s="4" t="s">
        <v>4239</v>
      </c>
      <c r="F13718" s="4" t="n">
        <v>29</v>
      </c>
      <c r="G13718" s="4" t="n">
        <v>4</v>
      </c>
      <c r="H13718" s="4" t="n">
        <v>4</v>
      </c>
      <c r="I13718" s="4" t="str">
        <v>×</v>
      </c>
      <c r="J13718" s="4"/>
      <c r="K13718" s="4"/>
      <c r="L13718" s="4"/>
      <c r="M13718" s="7" t="s">
        <v>6556</v>
      </c>
    </row>
    <row r="13719" customFormat="false" ht="15.75" hidden="false" customHeight="false" outlineLevel="0" collapsed="false">
      <c r="A13719" s="6" t="n">
        <f aca="false">DATE(2026,8,16)</f>
        <v>46250</v>
      </c>
      <c r="B13719" s="4" t="s">
        <v>13</v>
      </c>
      <c r="C13719" s="4" t="n">
        <v>2</v>
      </c>
      <c r="D13719" s="4" t="n">
        <v>9</v>
      </c>
      <c r="E13719" s="4" t="s">
        <v>1010</v>
      </c>
      <c r="F13719" s="4" t="n">
        <v>2</v>
      </c>
      <c r="G13719" s="4" t="n">
        <v>17</v>
      </c>
      <c r="H13719" s="4" t="n">
        <v>4</v>
      </c>
      <c r="I13719" s="4" t="str">
        <v>×</v>
      </c>
      <c r="J13719" s="4"/>
      <c r="K13719" s="4"/>
      <c r="L13719" s="4"/>
      <c r="M13719" s="7" t="s">
        <v>6556</v>
      </c>
    </row>
    <row r="13720" customFormat="false" ht="15.75" hidden="false" customHeight="false" outlineLevel="0" collapsed="false">
      <c r="A13720" s="6" t="n">
        <f aca="false">DATE(2026,8,16)</f>
        <v>46250</v>
      </c>
      <c r="B13720" s="4" t="s">
        <v>13</v>
      </c>
      <c r="C13720" s="4" t="n">
        <v>2</v>
      </c>
      <c r="D13720" s="4" t="n">
        <v>10</v>
      </c>
      <c r="E13720" s="4" t="s">
        <v>1943</v>
      </c>
      <c r="F13720" s="4" t="n">
        <v>4</v>
      </c>
      <c r="G13720" s="4" t="n">
        <v>13</v>
      </c>
      <c r="H13720" s="4" t="n">
        <v>4</v>
      </c>
      <c r="I13720" s="4" t="str">
        <v>×</v>
      </c>
      <c r="J13720" s="4"/>
      <c r="K13720" s="4"/>
      <c r="L13720" s="4"/>
      <c r="M13720" s="7" t="s">
        <v>6556</v>
      </c>
    </row>
    <row r="13721" customFormat="false" ht="15.75" hidden="false" customHeight="false" outlineLevel="0" collapsed="false">
      <c r="A13721" s="6" t="n">
        <f aca="false">DATE(2026,8,16)</f>
        <v>46250</v>
      </c>
      <c r="B13721" s="4" t="s">
        <v>13</v>
      </c>
      <c r="C13721" s="4" t="n">
        <v>2</v>
      </c>
      <c r="D13721" s="4" t="n">
        <v>11</v>
      </c>
      <c r="E13721" s="4" t="s">
        <v>2838</v>
      </c>
      <c r="F13721" s="4" t="n">
        <v>23</v>
      </c>
      <c r="G13721" s="4" t="n">
        <v>6</v>
      </c>
      <c r="H13721" s="4" t="n">
        <v>4</v>
      </c>
      <c r="I13721" s="4" t="str">
        <v>×</v>
      </c>
      <c r="J13721" s="4"/>
      <c r="K13721" s="4"/>
      <c r="L13721" s="4"/>
      <c r="M13721" s="7" t="s">
        <v>6556</v>
      </c>
    </row>
    <row r="13722" customFormat="false" ht="15.75" hidden="false" customHeight="false" outlineLevel="0" collapsed="false">
      <c r="A13722" s="6" t="n">
        <f aca="false">DATE(2026,8,16)</f>
        <v>46250</v>
      </c>
      <c r="B13722" s="4" t="s">
        <v>13</v>
      </c>
      <c r="C13722" s="4" t="n">
        <v>2</v>
      </c>
      <c r="D13722" s="4" t="n">
        <v>12</v>
      </c>
      <c r="E13722" s="4" t="s">
        <v>4883</v>
      </c>
      <c r="F13722" s="4" t="n">
        <v>20</v>
      </c>
      <c r="G13722" s="4" t="n">
        <v>8</v>
      </c>
      <c r="H13722" s="4" t="n">
        <v>4</v>
      </c>
      <c r="I13722" s="4" t="str">
        <v>×</v>
      </c>
      <c r="J13722" s="4"/>
      <c r="K13722" s="4"/>
      <c r="L13722" s="4"/>
      <c r="M13722" s="7" t="s">
        <v>6556</v>
      </c>
    </row>
    <row r="13723" customFormat="false" ht="15.75" hidden="false" customHeight="false" outlineLevel="0" collapsed="false">
      <c r="A13723" s="6" t="n">
        <f aca="false">DATE(2026,8,16)</f>
        <v>46250</v>
      </c>
      <c r="B13723" s="4" t="s">
        <v>13</v>
      </c>
      <c r="C13723" s="4" t="n">
        <v>2</v>
      </c>
      <c r="D13723" s="4" t="n">
        <v>13</v>
      </c>
      <c r="E13723" s="4" t="s">
        <v>2690</v>
      </c>
      <c r="F13723" s="4" t="n">
        <v>6</v>
      </c>
      <c r="G13723" s="4" t="n">
        <v>11</v>
      </c>
      <c r="H13723" s="4" t="n">
        <v>4</v>
      </c>
      <c r="I13723" s="4" t="str">
        <v>×</v>
      </c>
      <c r="J13723" s="4"/>
      <c r="K13723" s="4"/>
      <c r="L13723" s="4"/>
      <c r="M13723" s="7" t="s">
        <v>6556</v>
      </c>
    </row>
    <row r="13724" customFormat="false" ht="15.75" hidden="false" customHeight="false" outlineLevel="0" collapsed="false">
      <c r="A13724" s="6" t="n">
        <f aca="false">DATE(2026,8,16)</f>
        <v>46250</v>
      </c>
      <c r="B13724" s="4" t="s">
        <v>13</v>
      </c>
      <c r="C13724" s="4" t="n">
        <v>2</v>
      </c>
      <c r="D13724" s="4" t="n">
        <v>14</v>
      </c>
      <c r="E13724" s="4" t="s">
        <v>2752</v>
      </c>
      <c r="F13724" s="4" t="n">
        <v>34</v>
      </c>
      <c r="G13724" s="4" t="n">
        <v>3</v>
      </c>
      <c r="H13724" s="4" t="n">
        <v>4</v>
      </c>
      <c r="I13724" s="4" t="str">
        <v>×</v>
      </c>
      <c r="J13724" s="4"/>
      <c r="K13724" s="4"/>
      <c r="L13724" s="4"/>
      <c r="M13724" s="7" t="s">
        <v>6556</v>
      </c>
    </row>
    <row r="13725" customFormat="false" ht="15.75" hidden="false" customHeight="false" outlineLevel="0" collapsed="false">
      <c r="A13725" s="6" t="n">
        <f aca="false">DATE(2026,8,16)</f>
        <v>46250</v>
      </c>
      <c r="B13725" s="4" t="s">
        <v>13</v>
      </c>
      <c r="C13725" s="4" t="n">
        <v>2</v>
      </c>
      <c r="D13725" s="4" t="n">
        <v>15</v>
      </c>
      <c r="E13725" s="4" t="s">
        <v>4889</v>
      </c>
      <c r="F13725" s="4" t="n">
        <v>60</v>
      </c>
      <c r="G13725" s="4" t="n">
        <v>1</v>
      </c>
      <c r="H13725" s="4" t="n">
        <v>2</v>
      </c>
      <c r="I13725" s="4" t="str">
        <v>○</v>
      </c>
      <c r="J13725" s="4" t="n">
        <v>130</v>
      </c>
      <c r="K13725" s="4"/>
      <c r="L13725" s="4"/>
      <c r="M13725" s="7" t="s">
        <v>6556</v>
      </c>
    </row>
    <row r="13726" customFormat="false" ht="15.75" hidden="false" customHeight="false" outlineLevel="0" collapsed="false">
      <c r="A13726" s="6" t="n">
        <f aca="false">DATE(2026,8,16)</f>
        <v>46250</v>
      </c>
      <c r="B13726" s="4" t="s">
        <v>13</v>
      </c>
      <c r="C13726" s="4" t="n">
        <v>2</v>
      </c>
      <c r="D13726" s="4" t="n">
        <v>16</v>
      </c>
      <c r="E13726" s="4" t="s">
        <v>136</v>
      </c>
      <c r="F13726" s="4" t="n">
        <v>6</v>
      </c>
      <c r="G13726" s="4" t="n">
        <v>12</v>
      </c>
      <c r="H13726" s="4" t="n">
        <v>4</v>
      </c>
      <c r="I13726" s="4" t="str">
        <v>×</v>
      </c>
      <c r="J13726" s="4"/>
      <c r="K13726" s="4"/>
      <c r="L13726" s="4"/>
      <c r="M13726" s="7" t="s">
        <v>6556</v>
      </c>
    </row>
    <row r="13727" customFormat="false" ht="15.75" hidden="false" customHeight="false" outlineLevel="0" collapsed="false">
      <c r="A13727" s="6" t="n">
        <f aca="false">DATE(2026,8,16)</f>
        <v>46250</v>
      </c>
      <c r="B13727" s="4" t="s">
        <v>13</v>
      </c>
      <c r="C13727" s="4" t="n">
        <v>2</v>
      </c>
      <c r="D13727" s="4" t="n">
        <v>17</v>
      </c>
      <c r="E13727" s="4" t="s">
        <v>6786</v>
      </c>
      <c r="F13727" s="4" t="n">
        <v>3</v>
      </c>
      <c r="G13727" s="4" t="n">
        <v>15</v>
      </c>
      <c r="H13727" s="4" t="n">
        <v>4</v>
      </c>
      <c r="I13727" s="4" t="str">
        <v>×</v>
      </c>
      <c r="J13727" s="4"/>
      <c r="K13727" s="4"/>
      <c r="L13727" s="4"/>
      <c r="M13727" s="7" t="s">
        <v>6556</v>
      </c>
    </row>
    <row r="13728" customFormat="false" ht="15.75" hidden="false" customHeight="false" outlineLevel="0" collapsed="false">
      <c r="A13728" s="6" t="n">
        <f aca="false">DATE(2026,8,16)</f>
        <v>46250</v>
      </c>
      <c r="B13728" s="4" t="s">
        <v>13</v>
      </c>
      <c r="C13728" s="4" t="n">
        <v>3</v>
      </c>
      <c r="D13728" s="4" t="n">
        <v>1</v>
      </c>
      <c r="E13728" s="4" t="s">
        <v>6787</v>
      </c>
      <c r="F13728" s="4" t="n">
        <v>29</v>
      </c>
      <c r="G13728" s="4" t="n">
        <v>4</v>
      </c>
      <c r="H13728" s="4" t="n">
        <v>4</v>
      </c>
      <c r="I13728" s="4" t="str">
        <v>×</v>
      </c>
      <c r="J13728" s="4"/>
      <c r="K13728" s="4"/>
      <c r="L13728" s="4"/>
      <c r="M13728" s="7" t="s">
        <v>6556</v>
      </c>
    </row>
    <row r="13729" customFormat="false" ht="15.75" hidden="false" customHeight="false" outlineLevel="0" collapsed="false">
      <c r="A13729" s="6" t="n">
        <f aca="false">DATE(2026,8,16)</f>
        <v>46250</v>
      </c>
      <c r="B13729" s="4" t="s">
        <v>13</v>
      </c>
      <c r="C13729" s="4" t="n">
        <v>3</v>
      </c>
      <c r="D13729" s="4" t="n">
        <v>2</v>
      </c>
      <c r="E13729" s="4" t="s">
        <v>4306</v>
      </c>
      <c r="F13729" s="4" t="n">
        <v>3</v>
      </c>
      <c r="G13729" s="4" t="n">
        <v>12</v>
      </c>
      <c r="H13729" s="4" t="n">
        <v>4</v>
      </c>
      <c r="I13729" s="4" t="str">
        <v>×</v>
      </c>
      <c r="J13729" s="4"/>
      <c r="K13729" s="4"/>
      <c r="L13729" s="4"/>
      <c r="M13729" s="7" t="s">
        <v>6556</v>
      </c>
    </row>
    <row r="13730" customFormat="false" ht="15.75" hidden="false" customHeight="false" outlineLevel="0" collapsed="false">
      <c r="A13730" s="6" t="n">
        <f aca="false">DATE(2026,8,16)</f>
        <v>46250</v>
      </c>
      <c r="B13730" s="4" t="s">
        <v>13</v>
      </c>
      <c r="C13730" s="4" t="n">
        <v>3</v>
      </c>
      <c r="D13730" s="4" t="n">
        <v>3</v>
      </c>
      <c r="E13730" s="4" t="s">
        <v>5152</v>
      </c>
      <c r="F13730" s="4" t="n">
        <v>10</v>
      </c>
      <c r="G13730" s="4" t="n">
        <v>9</v>
      </c>
      <c r="H13730" s="4" t="n">
        <v>1</v>
      </c>
      <c r="I13730" s="4" t="str">
        <v>○</v>
      </c>
      <c r="J13730" s="4" t="n">
        <v>190</v>
      </c>
      <c r="K13730" s="4"/>
      <c r="L13730" s="4"/>
      <c r="M13730" s="7" t="s">
        <v>6556</v>
      </c>
    </row>
    <row r="13731" customFormat="false" ht="15.75" hidden="false" customHeight="false" outlineLevel="0" collapsed="false">
      <c r="A13731" s="6" t="n">
        <f aca="false">DATE(2026,8,16)</f>
        <v>46250</v>
      </c>
      <c r="B13731" s="4" t="s">
        <v>13</v>
      </c>
      <c r="C13731" s="4" t="n">
        <v>3</v>
      </c>
      <c r="D13731" s="4" t="n">
        <v>4</v>
      </c>
      <c r="E13731" s="4" t="s">
        <v>4308</v>
      </c>
      <c r="F13731" s="4" t="n">
        <v>20</v>
      </c>
      <c r="G13731" s="4" t="n">
        <v>5</v>
      </c>
      <c r="H13731" s="4" t="n">
        <v>4</v>
      </c>
      <c r="I13731" s="4" t="str">
        <v>×</v>
      </c>
      <c r="J13731" s="4"/>
      <c r="K13731" s="4"/>
      <c r="L13731" s="4"/>
      <c r="M13731" s="7" t="s">
        <v>6556</v>
      </c>
    </row>
    <row r="13732" customFormat="false" ht="15.75" hidden="false" customHeight="false" outlineLevel="0" collapsed="false">
      <c r="A13732" s="6" t="n">
        <f aca="false">DATE(2026,8,16)</f>
        <v>46250</v>
      </c>
      <c r="B13732" s="4" t="s">
        <v>13</v>
      </c>
      <c r="C13732" s="4" t="n">
        <v>3</v>
      </c>
      <c r="D13732" s="4" t="n">
        <v>5</v>
      </c>
      <c r="E13732" s="4" t="s">
        <v>1927</v>
      </c>
      <c r="F13732" s="4" t="n">
        <v>3</v>
      </c>
      <c r="G13732" s="4" t="n">
        <v>13</v>
      </c>
      <c r="H13732" s="4" t="n">
        <v>4</v>
      </c>
      <c r="I13732" s="4" t="str">
        <v>×</v>
      </c>
      <c r="J13732" s="4"/>
      <c r="K13732" s="4"/>
      <c r="L13732" s="4"/>
      <c r="M13732" s="7" t="s">
        <v>6556</v>
      </c>
    </row>
    <row r="13733" customFormat="false" ht="15.75" hidden="false" customHeight="false" outlineLevel="0" collapsed="false">
      <c r="A13733" s="6" t="n">
        <f aca="false">DATE(2026,8,16)</f>
        <v>46250</v>
      </c>
      <c r="B13733" s="4" t="s">
        <v>13</v>
      </c>
      <c r="C13733" s="4" t="n">
        <v>3</v>
      </c>
      <c r="D13733" s="4" t="n">
        <v>6</v>
      </c>
      <c r="E13733" s="4" t="s">
        <v>32</v>
      </c>
      <c r="F13733" s="4" t="n">
        <v>67</v>
      </c>
      <c r="G13733" s="4" t="n">
        <v>1</v>
      </c>
      <c r="H13733" s="4" t="n">
        <v>4</v>
      </c>
      <c r="I13733" s="4" t="str">
        <v>×</v>
      </c>
      <c r="J13733" s="4"/>
      <c r="K13733" s="4"/>
      <c r="L13733" s="4"/>
      <c r="M13733" s="7" t="s">
        <v>6556</v>
      </c>
    </row>
    <row r="13734" customFormat="false" ht="15.75" hidden="false" customHeight="false" outlineLevel="0" collapsed="false">
      <c r="A13734" s="6" t="n">
        <f aca="false">DATE(2026,8,16)</f>
        <v>46250</v>
      </c>
      <c r="B13734" s="4" t="s">
        <v>13</v>
      </c>
      <c r="C13734" s="4" t="n">
        <v>3</v>
      </c>
      <c r="D13734" s="4" t="n">
        <v>7</v>
      </c>
      <c r="E13734" s="4" t="s">
        <v>5155</v>
      </c>
      <c r="F13734" s="4" t="n">
        <v>39</v>
      </c>
      <c r="G13734" s="4" t="n">
        <v>2</v>
      </c>
      <c r="H13734" s="4" t="n">
        <v>4</v>
      </c>
      <c r="I13734" s="4" t="str">
        <v>×</v>
      </c>
      <c r="J13734" s="4"/>
      <c r="K13734" s="4"/>
      <c r="L13734" s="4"/>
      <c r="M13734" s="7" t="s">
        <v>6556</v>
      </c>
    </row>
    <row r="13735" customFormat="false" ht="15.75" hidden="false" customHeight="false" outlineLevel="0" collapsed="false">
      <c r="A13735" s="6" t="n">
        <f aca="false">DATE(2026,8,16)</f>
        <v>46250</v>
      </c>
      <c r="B13735" s="4" t="s">
        <v>13</v>
      </c>
      <c r="C13735" s="4" t="n">
        <v>3</v>
      </c>
      <c r="D13735" s="4" t="n">
        <v>8</v>
      </c>
      <c r="E13735" s="4" t="s">
        <v>786</v>
      </c>
      <c r="F13735" s="4" t="n">
        <v>37</v>
      </c>
      <c r="G13735" s="4" t="n">
        <v>3</v>
      </c>
      <c r="H13735" s="4" t="n">
        <v>2</v>
      </c>
      <c r="I13735" s="4" t="str">
        <v>○</v>
      </c>
      <c r="J13735" s="4" t="n">
        <v>170</v>
      </c>
      <c r="K13735" s="4"/>
      <c r="L13735" s="4"/>
      <c r="M13735" s="7" t="s">
        <v>6556</v>
      </c>
    </row>
    <row r="13736" customFormat="false" ht="15.75" hidden="false" customHeight="false" outlineLevel="0" collapsed="false">
      <c r="A13736" s="6" t="n">
        <f aca="false">DATE(2026,8,16)</f>
        <v>46250</v>
      </c>
      <c r="B13736" s="4" t="s">
        <v>13</v>
      </c>
      <c r="C13736" s="4" t="n">
        <v>3</v>
      </c>
      <c r="D13736" s="4" t="n">
        <v>9</v>
      </c>
      <c r="E13736" s="4" t="s">
        <v>4916</v>
      </c>
      <c r="F13736" s="4" t="n">
        <v>3</v>
      </c>
      <c r="G13736" s="4" t="n">
        <v>14</v>
      </c>
      <c r="H13736" s="4" t="n">
        <v>4</v>
      </c>
      <c r="I13736" s="4" t="str">
        <v>×</v>
      </c>
      <c r="J13736" s="4"/>
      <c r="K13736" s="4"/>
      <c r="L13736" s="4"/>
      <c r="M13736" s="7" t="s">
        <v>6556</v>
      </c>
    </row>
    <row r="13737" customFormat="false" ht="15.75" hidden="false" customHeight="false" outlineLevel="0" collapsed="false">
      <c r="A13737" s="6" t="n">
        <f aca="false">DATE(2026,8,16)</f>
        <v>46250</v>
      </c>
      <c r="B13737" s="4" t="s">
        <v>13</v>
      </c>
      <c r="C13737" s="4" t="n">
        <v>3</v>
      </c>
      <c r="D13737" s="4" t="n">
        <v>10</v>
      </c>
      <c r="E13737" s="4" t="s">
        <v>4310</v>
      </c>
      <c r="F13737" s="4" t="n">
        <v>17</v>
      </c>
      <c r="G13737" s="4" t="n">
        <v>6</v>
      </c>
      <c r="H13737" s="4" t="n">
        <v>3</v>
      </c>
      <c r="I13737" s="4" t="str">
        <v>○</v>
      </c>
      <c r="J13737" s="4" t="n">
        <v>430</v>
      </c>
      <c r="K13737" s="4"/>
      <c r="L13737" s="4"/>
      <c r="M13737" s="7" t="s">
        <v>6556</v>
      </c>
    </row>
    <row r="13738" customFormat="false" ht="15.75" hidden="false" customHeight="false" outlineLevel="0" collapsed="false">
      <c r="A13738" s="6" t="n">
        <f aca="false">DATE(2026,8,16)</f>
        <v>46250</v>
      </c>
      <c r="B13738" s="4" t="s">
        <v>13</v>
      </c>
      <c r="C13738" s="4" t="n">
        <v>3</v>
      </c>
      <c r="D13738" s="4" t="n">
        <v>11</v>
      </c>
      <c r="E13738" s="4" t="s">
        <v>1450</v>
      </c>
      <c r="F13738" s="4" t="n">
        <v>6</v>
      </c>
      <c r="G13738" s="4" t="n">
        <v>11</v>
      </c>
      <c r="H13738" s="4" t="n">
        <v>4</v>
      </c>
      <c r="I13738" s="4" t="str">
        <v>×</v>
      </c>
      <c r="J13738" s="4"/>
      <c r="K13738" s="4"/>
      <c r="L13738" s="4"/>
      <c r="M13738" s="7" t="s">
        <v>6556</v>
      </c>
    </row>
    <row r="13739" customFormat="false" ht="15.75" hidden="false" customHeight="false" outlineLevel="0" collapsed="false">
      <c r="A13739" s="6" t="n">
        <f aca="false">DATE(2026,8,16)</f>
        <v>46250</v>
      </c>
      <c r="B13739" s="4" t="s">
        <v>13</v>
      </c>
      <c r="C13739" s="4" t="n">
        <v>3</v>
      </c>
      <c r="D13739" s="4" t="n">
        <v>12</v>
      </c>
      <c r="E13739" s="4" t="s">
        <v>1390</v>
      </c>
      <c r="F13739" s="4" t="n">
        <v>8</v>
      </c>
      <c r="G13739" s="4" t="n">
        <v>10</v>
      </c>
      <c r="H13739" s="4" t="n">
        <v>4</v>
      </c>
      <c r="I13739" s="4" t="str">
        <v>×</v>
      </c>
      <c r="J13739" s="4"/>
      <c r="K13739" s="4"/>
      <c r="L13739" s="4"/>
      <c r="M13739" s="7" t="s">
        <v>6556</v>
      </c>
    </row>
    <row r="13740" customFormat="false" ht="15.75" hidden="false" customHeight="false" outlineLevel="0" collapsed="false">
      <c r="A13740" s="6" t="n">
        <f aca="false">DATE(2026,8,16)</f>
        <v>46250</v>
      </c>
      <c r="B13740" s="4" t="s">
        <v>13</v>
      </c>
      <c r="C13740" s="4" t="n">
        <v>3</v>
      </c>
      <c r="D13740" s="4" t="n">
        <v>13</v>
      </c>
      <c r="E13740" s="4" t="s">
        <v>1462</v>
      </c>
      <c r="F13740" s="4" t="n">
        <v>13</v>
      </c>
      <c r="G13740" s="4" t="n">
        <v>8</v>
      </c>
      <c r="H13740" s="4" t="n">
        <v>4</v>
      </c>
      <c r="I13740" s="4" t="str">
        <v>×</v>
      </c>
      <c r="J13740" s="4"/>
      <c r="K13740" s="4"/>
      <c r="L13740" s="4"/>
      <c r="M13740" s="7" t="s">
        <v>6556</v>
      </c>
    </row>
    <row r="13741" customFormat="false" ht="15.75" hidden="false" customHeight="false" outlineLevel="0" collapsed="false">
      <c r="A13741" s="6" t="n">
        <f aca="false">DATE(2026,8,16)</f>
        <v>46250</v>
      </c>
      <c r="B13741" s="4" t="s">
        <v>13</v>
      </c>
      <c r="C13741" s="4" t="n">
        <v>3</v>
      </c>
      <c r="D13741" s="4" t="n">
        <v>14</v>
      </c>
      <c r="E13741" s="4" t="s">
        <v>26</v>
      </c>
      <c r="F13741" s="4" t="n">
        <v>17</v>
      </c>
      <c r="G13741" s="4" t="n">
        <v>7</v>
      </c>
      <c r="H13741" s="4" t="n">
        <v>4</v>
      </c>
      <c r="I13741" s="4" t="str">
        <v>×</v>
      </c>
      <c r="J13741" s="4"/>
      <c r="K13741" s="4"/>
      <c r="L13741" s="4"/>
      <c r="M13741" s="7" t="s">
        <v>6556</v>
      </c>
    </row>
    <row r="13742" customFormat="false" ht="15.75" hidden="false" customHeight="false" outlineLevel="0" collapsed="false">
      <c r="A13742" s="6" t="n">
        <f aca="false">DATE(2026,8,16)</f>
        <v>46250</v>
      </c>
      <c r="B13742" s="4" t="s">
        <v>13</v>
      </c>
      <c r="C13742" s="4" t="n">
        <v>3</v>
      </c>
      <c r="D13742" s="4" t="n">
        <v>15</v>
      </c>
      <c r="E13742" s="4" t="s">
        <v>1924</v>
      </c>
      <c r="F13742" s="4" t="n">
        <v>3</v>
      </c>
      <c r="G13742" s="4" t="n">
        <v>15</v>
      </c>
      <c r="H13742" s="4" t="n">
        <v>4</v>
      </c>
      <c r="I13742" s="4" t="str">
        <v>×</v>
      </c>
      <c r="J13742" s="4"/>
      <c r="K13742" s="4"/>
      <c r="L13742" s="4"/>
      <c r="M13742" s="7" t="s">
        <v>6556</v>
      </c>
    </row>
    <row r="13743" customFormat="false" ht="15.75" hidden="false" customHeight="false" outlineLevel="0" collapsed="false">
      <c r="A13743" s="6" t="n">
        <f aca="false">DATE(2026,8,16)</f>
        <v>46250</v>
      </c>
      <c r="B13743" s="4" t="s">
        <v>13</v>
      </c>
      <c r="C13743" s="4" t="n">
        <v>4</v>
      </c>
      <c r="D13743" s="4" t="n">
        <v>1</v>
      </c>
      <c r="E13743" s="4" t="s">
        <v>6788</v>
      </c>
      <c r="F13743" s="4" t="n">
        <v>24</v>
      </c>
      <c r="G13743" s="4" t="n">
        <v>4</v>
      </c>
      <c r="H13743" s="4" t="n">
        <v>4</v>
      </c>
      <c r="I13743" s="4" t="str">
        <v>×</v>
      </c>
      <c r="J13743" s="4"/>
      <c r="K13743" s="4"/>
      <c r="L13743" s="4"/>
      <c r="M13743" s="7" t="s">
        <v>6556</v>
      </c>
    </row>
    <row r="13744" customFormat="false" ht="15.75" hidden="false" customHeight="false" outlineLevel="0" collapsed="false">
      <c r="A13744" s="6" t="n">
        <f aca="false">DATE(2026,8,16)</f>
        <v>46250</v>
      </c>
      <c r="B13744" s="4" t="s">
        <v>13</v>
      </c>
      <c r="C13744" s="4" t="n">
        <v>4</v>
      </c>
      <c r="D13744" s="4" t="n">
        <v>2</v>
      </c>
      <c r="E13744" s="4" t="s">
        <v>6789</v>
      </c>
      <c r="F13744" s="4" t="n">
        <v>21</v>
      </c>
      <c r="G13744" s="4" t="n">
        <v>5</v>
      </c>
      <c r="H13744" s="4" t="n">
        <v>4</v>
      </c>
      <c r="I13744" s="4" t="str">
        <v>×</v>
      </c>
      <c r="J13744" s="4"/>
      <c r="K13744" s="4"/>
      <c r="L13744" s="4"/>
      <c r="M13744" s="7" t="s">
        <v>6556</v>
      </c>
    </row>
    <row r="13745" customFormat="false" ht="15.75" hidden="false" customHeight="false" outlineLevel="0" collapsed="false">
      <c r="A13745" s="6" t="n">
        <f aca="false">DATE(2026,8,16)</f>
        <v>46250</v>
      </c>
      <c r="B13745" s="4" t="s">
        <v>13</v>
      </c>
      <c r="C13745" s="4" t="n">
        <v>4</v>
      </c>
      <c r="D13745" s="4" t="n">
        <v>3</v>
      </c>
      <c r="E13745" s="4" t="s">
        <v>6790</v>
      </c>
      <c r="F13745" s="4" t="n">
        <v>12</v>
      </c>
      <c r="G13745" s="4" t="n">
        <v>8</v>
      </c>
      <c r="H13745" s="4" t="n">
        <v>4</v>
      </c>
      <c r="I13745" s="4" t="str">
        <v>×</v>
      </c>
      <c r="J13745" s="4"/>
      <c r="K13745" s="4"/>
      <c r="L13745" s="4"/>
      <c r="M13745" s="7" t="s">
        <v>6556</v>
      </c>
    </row>
    <row r="13746" customFormat="false" ht="15.75" hidden="false" customHeight="false" outlineLevel="0" collapsed="false">
      <c r="A13746" s="6" t="n">
        <f aca="false">DATE(2026,8,16)</f>
        <v>46250</v>
      </c>
      <c r="B13746" s="4" t="s">
        <v>13</v>
      </c>
      <c r="C13746" s="4" t="n">
        <v>4</v>
      </c>
      <c r="D13746" s="4" t="n">
        <v>4</v>
      </c>
      <c r="E13746" s="4" t="s">
        <v>6791</v>
      </c>
      <c r="F13746" s="4" t="n">
        <v>27</v>
      </c>
      <c r="G13746" s="4" t="n">
        <v>2</v>
      </c>
      <c r="H13746" s="4" t="n">
        <v>2</v>
      </c>
      <c r="I13746" s="4" t="str">
        <v>○</v>
      </c>
      <c r="J13746" s="4" t="n">
        <v>240</v>
      </c>
      <c r="K13746" s="4"/>
      <c r="L13746" s="4"/>
      <c r="M13746" s="7" t="s">
        <v>6556</v>
      </c>
    </row>
    <row r="13747" customFormat="false" ht="15.75" hidden="false" customHeight="false" outlineLevel="0" collapsed="false">
      <c r="A13747" s="6" t="n">
        <f aca="false">DATE(2026,8,16)</f>
        <v>46250</v>
      </c>
      <c r="B13747" s="4" t="s">
        <v>13</v>
      </c>
      <c r="C13747" s="4" t="n">
        <v>4</v>
      </c>
      <c r="D13747" s="4" t="n">
        <v>5</v>
      </c>
      <c r="E13747" s="4" t="s">
        <v>6792</v>
      </c>
      <c r="F13747" s="4" t="n">
        <v>8</v>
      </c>
      <c r="G13747" s="4" t="n">
        <v>11</v>
      </c>
      <c r="H13747" s="4" t="n">
        <v>3</v>
      </c>
      <c r="I13747" s="4" t="str">
        <v>○</v>
      </c>
      <c r="J13747" s="4" t="n">
        <v>1120</v>
      </c>
      <c r="K13747" s="4"/>
      <c r="L13747" s="4"/>
      <c r="M13747" s="7" t="s">
        <v>6556</v>
      </c>
    </row>
    <row r="13748" customFormat="false" ht="15.75" hidden="false" customHeight="false" outlineLevel="0" collapsed="false">
      <c r="A13748" s="6" t="n">
        <f aca="false">DATE(2026,8,16)</f>
        <v>46250</v>
      </c>
      <c r="B13748" s="4" t="s">
        <v>13</v>
      </c>
      <c r="C13748" s="4" t="n">
        <v>4</v>
      </c>
      <c r="D13748" s="4" t="n">
        <v>6</v>
      </c>
      <c r="E13748" s="4" t="s">
        <v>6793</v>
      </c>
      <c r="F13748" s="4" t="n">
        <v>12</v>
      </c>
      <c r="G13748" s="4" t="n">
        <v>9</v>
      </c>
      <c r="H13748" s="4" t="n">
        <v>4</v>
      </c>
      <c r="I13748" s="4" t="str">
        <v>×</v>
      </c>
      <c r="J13748" s="4"/>
      <c r="K13748" s="4"/>
      <c r="L13748" s="4"/>
      <c r="M13748" s="7" t="s">
        <v>6556</v>
      </c>
    </row>
    <row r="13749" customFormat="false" ht="15.75" hidden="false" customHeight="false" outlineLevel="0" collapsed="false">
      <c r="A13749" s="6" t="n">
        <f aca="false">DATE(2026,8,16)</f>
        <v>46250</v>
      </c>
      <c r="B13749" s="4" t="s">
        <v>13</v>
      </c>
      <c r="C13749" s="4" t="n">
        <v>4</v>
      </c>
      <c r="D13749" s="4" t="n">
        <v>7</v>
      </c>
      <c r="E13749" s="4" t="s">
        <v>6794</v>
      </c>
      <c r="F13749" s="4" t="n">
        <v>12</v>
      </c>
      <c r="G13749" s="4" t="n">
        <v>10</v>
      </c>
      <c r="H13749" s="4" t="n">
        <v>4</v>
      </c>
      <c r="I13749" s="4" t="str">
        <v>×</v>
      </c>
      <c r="J13749" s="4"/>
      <c r="K13749" s="4"/>
      <c r="L13749" s="4"/>
      <c r="M13749" s="7" t="s">
        <v>6556</v>
      </c>
    </row>
    <row r="13750" customFormat="false" ht="15.75" hidden="false" customHeight="false" outlineLevel="0" collapsed="false">
      <c r="A13750" s="6" t="n">
        <f aca="false">DATE(2026,8,16)</f>
        <v>46250</v>
      </c>
      <c r="B13750" s="4" t="s">
        <v>13</v>
      </c>
      <c r="C13750" s="4" t="n">
        <v>4</v>
      </c>
      <c r="D13750" s="4" t="n">
        <v>8</v>
      </c>
      <c r="E13750" s="4" t="s">
        <v>6795</v>
      </c>
      <c r="F13750" s="4" t="n">
        <v>8</v>
      </c>
      <c r="G13750" s="4" t="n">
        <v>12</v>
      </c>
      <c r="H13750" s="4" t="n">
        <v>4</v>
      </c>
      <c r="I13750" s="4" t="str">
        <v>×</v>
      </c>
      <c r="J13750" s="4"/>
      <c r="K13750" s="4"/>
      <c r="L13750" s="4"/>
      <c r="M13750" s="7" t="s">
        <v>6556</v>
      </c>
    </row>
    <row r="13751" customFormat="false" ht="15.75" hidden="false" customHeight="false" outlineLevel="0" collapsed="false">
      <c r="A13751" s="6" t="n">
        <f aca="false">DATE(2026,8,16)</f>
        <v>46250</v>
      </c>
      <c r="B13751" s="4" t="s">
        <v>13</v>
      </c>
      <c r="C13751" s="4" t="n">
        <v>4</v>
      </c>
      <c r="D13751" s="4" t="n">
        <v>9</v>
      </c>
      <c r="E13751" s="4" t="s">
        <v>6796</v>
      </c>
      <c r="F13751" s="4" t="n">
        <v>21</v>
      </c>
      <c r="G13751" s="4" t="n">
        <v>6</v>
      </c>
      <c r="H13751" s="4" t="n">
        <v>1</v>
      </c>
      <c r="I13751" s="4" t="str">
        <v>○</v>
      </c>
      <c r="J13751" s="4" t="n">
        <v>170</v>
      </c>
      <c r="K13751" s="4"/>
      <c r="L13751" s="4"/>
      <c r="M13751" s="7" t="s">
        <v>6556</v>
      </c>
    </row>
    <row r="13752" customFormat="false" ht="15.75" hidden="false" customHeight="false" outlineLevel="0" collapsed="false">
      <c r="A13752" s="6" t="n">
        <f aca="false">DATE(2026,8,16)</f>
        <v>46250</v>
      </c>
      <c r="B13752" s="4" t="s">
        <v>13</v>
      </c>
      <c r="C13752" s="4" t="n">
        <v>4</v>
      </c>
      <c r="D13752" s="4" t="n">
        <v>10</v>
      </c>
      <c r="E13752" s="4" t="s">
        <v>6797</v>
      </c>
      <c r="F13752" s="4" t="n">
        <v>27</v>
      </c>
      <c r="G13752" s="4" t="n">
        <v>3</v>
      </c>
      <c r="H13752" s="4" t="n">
        <v>4</v>
      </c>
      <c r="I13752" s="4" t="str">
        <v>×</v>
      </c>
      <c r="J13752" s="4"/>
      <c r="K13752" s="4"/>
      <c r="L13752" s="4"/>
      <c r="M13752" s="7" t="s">
        <v>6556</v>
      </c>
    </row>
    <row r="13753" customFormat="false" ht="15.75" hidden="false" customHeight="false" outlineLevel="0" collapsed="false">
      <c r="A13753" s="6" t="n">
        <f aca="false">DATE(2026,8,16)</f>
        <v>46250</v>
      </c>
      <c r="B13753" s="4" t="s">
        <v>13</v>
      </c>
      <c r="C13753" s="4" t="n">
        <v>4</v>
      </c>
      <c r="D13753" s="4" t="n">
        <v>11</v>
      </c>
      <c r="E13753" s="4" t="s">
        <v>6798</v>
      </c>
      <c r="F13753" s="4" t="n">
        <v>37</v>
      </c>
      <c r="G13753" s="4" t="n">
        <v>1</v>
      </c>
      <c r="H13753" s="4" t="n">
        <v>4</v>
      </c>
      <c r="I13753" s="4" t="str">
        <v>×</v>
      </c>
      <c r="J13753" s="4"/>
      <c r="K13753" s="4"/>
      <c r="L13753" s="4"/>
      <c r="M13753" s="7" t="s">
        <v>6556</v>
      </c>
    </row>
    <row r="13754" customFormat="false" ht="15.75" hidden="false" customHeight="false" outlineLevel="0" collapsed="false">
      <c r="A13754" s="6" t="n">
        <f aca="false">DATE(2026,8,16)</f>
        <v>46250</v>
      </c>
      <c r="B13754" s="4" t="s">
        <v>13</v>
      </c>
      <c r="C13754" s="4" t="n">
        <v>4</v>
      </c>
      <c r="D13754" s="4" t="n">
        <v>12</v>
      </c>
      <c r="E13754" s="4" t="s">
        <v>6799</v>
      </c>
      <c r="F13754" s="4" t="n">
        <v>14</v>
      </c>
      <c r="G13754" s="4" t="n">
        <v>7</v>
      </c>
      <c r="H13754" s="4" t="n">
        <v>4</v>
      </c>
      <c r="I13754" s="4" t="str">
        <v>×</v>
      </c>
      <c r="J13754" s="4"/>
      <c r="K13754" s="4"/>
      <c r="L13754" s="4"/>
      <c r="M13754" s="7" t="s">
        <v>6556</v>
      </c>
    </row>
    <row r="13755" customFormat="false" ht="15.75" hidden="false" customHeight="false" outlineLevel="0" collapsed="false">
      <c r="A13755" s="6" t="n">
        <f aca="false">DATE(2026,8,16)</f>
        <v>46250</v>
      </c>
      <c r="B13755" s="4" t="s">
        <v>13</v>
      </c>
      <c r="C13755" s="4" t="n">
        <v>4</v>
      </c>
      <c r="D13755" s="4" t="n">
        <v>13</v>
      </c>
      <c r="E13755" s="4" t="s">
        <v>6800</v>
      </c>
      <c r="F13755" s="4" t="n">
        <v>8</v>
      </c>
      <c r="G13755" s="4" t="n">
        <v>13</v>
      </c>
      <c r="H13755" s="4" t="n">
        <v>4</v>
      </c>
      <c r="I13755" s="4" t="str">
        <v>×</v>
      </c>
      <c r="J13755" s="4"/>
      <c r="K13755" s="4"/>
      <c r="L13755" s="4"/>
      <c r="M13755" s="7" t="s">
        <v>6556</v>
      </c>
    </row>
    <row r="13756" customFormat="false" ht="15.75" hidden="false" customHeight="false" outlineLevel="0" collapsed="false">
      <c r="A13756" s="6" t="n">
        <f aca="false">DATE(2026,8,16)</f>
        <v>46250</v>
      </c>
      <c r="B13756" s="4" t="s">
        <v>13</v>
      </c>
      <c r="C13756" s="4" t="n">
        <v>5</v>
      </c>
      <c r="D13756" s="4" t="n">
        <v>1</v>
      </c>
      <c r="E13756" s="4" t="s">
        <v>2376</v>
      </c>
      <c r="F13756" s="4" t="n">
        <v>10</v>
      </c>
      <c r="G13756" s="4" t="n">
        <v>10</v>
      </c>
      <c r="H13756" s="4" t="n">
        <v>4</v>
      </c>
      <c r="I13756" s="4" t="str">
        <v>×</v>
      </c>
      <c r="J13756" s="4"/>
      <c r="K13756" s="4"/>
      <c r="L13756" s="4"/>
      <c r="M13756" s="7" t="s">
        <v>6556</v>
      </c>
    </row>
    <row r="13757" customFormat="false" ht="15.75" hidden="false" customHeight="false" outlineLevel="0" collapsed="false">
      <c r="A13757" s="6" t="n">
        <f aca="false">DATE(2026,8,16)</f>
        <v>46250</v>
      </c>
      <c r="B13757" s="4" t="s">
        <v>13</v>
      </c>
      <c r="C13757" s="4" t="n">
        <v>5</v>
      </c>
      <c r="D13757" s="4" t="n">
        <v>2</v>
      </c>
      <c r="E13757" s="4" t="s">
        <v>4719</v>
      </c>
      <c r="F13757" s="4" t="n">
        <v>13</v>
      </c>
      <c r="G13757" s="4" t="n">
        <v>9</v>
      </c>
      <c r="H13757" s="4" t="n">
        <v>4</v>
      </c>
      <c r="I13757" s="4" t="str">
        <v>×</v>
      </c>
      <c r="J13757" s="4"/>
      <c r="K13757" s="4"/>
      <c r="L13757" s="4"/>
      <c r="M13757" s="7" t="s">
        <v>6556</v>
      </c>
    </row>
    <row r="13758" customFormat="false" ht="15.75" hidden="false" customHeight="false" outlineLevel="0" collapsed="false">
      <c r="A13758" s="6" t="n">
        <f aca="false">DATE(2026,8,16)</f>
        <v>46250</v>
      </c>
      <c r="B13758" s="4" t="s">
        <v>13</v>
      </c>
      <c r="C13758" s="4" t="n">
        <v>5</v>
      </c>
      <c r="D13758" s="4" t="n">
        <v>3</v>
      </c>
      <c r="E13758" s="4" t="s">
        <v>3074</v>
      </c>
      <c r="F13758" s="4" t="n">
        <v>10</v>
      </c>
      <c r="G13758" s="4" t="n">
        <v>11</v>
      </c>
      <c r="H13758" s="4" t="n">
        <v>4</v>
      </c>
      <c r="I13758" s="4" t="str">
        <v>×</v>
      </c>
      <c r="J13758" s="4"/>
      <c r="K13758" s="4"/>
      <c r="L13758" s="4"/>
      <c r="M13758" s="7" t="s">
        <v>6556</v>
      </c>
    </row>
    <row r="13759" customFormat="false" ht="15.75" hidden="false" customHeight="false" outlineLevel="0" collapsed="false">
      <c r="A13759" s="6" t="n">
        <f aca="false">DATE(2026,8,16)</f>
        <v>46250</v>
      </c>
      <c r="B13759" s="4" t="s">
        <v>13</v>
      </c>
      <c r="C13759" s="4" t="n">
        <v>5</v>
      </c>
      <c r="D13759" s="4" t="n">
        <v>4</v>
      </c>
      <c r="E13759" s="4" t="s">
        <v>6801</v>
      </c>
      <c r="F13759" s="4" t="n">
        <v>20</v>
      </c>
      <c r="G13759" s="4" t="n">
        <v>6</v>
      </c>
      <c r="H13759" s="4" t="n">
        <v>3</v>
      </c>
      <c r="I13759" s="4" t="str">
        <v>○</v>
      </c>
      <c r="J13759" s="4" t="n">
        <v>210</v>
      </c>
      <c r="K13759" s="4"/>
      <c r="L13759" s="4"/>
      <c r="M13759" s="7" t="s">
        <v>6556</v>
      </c>
    </row>
    <row r="13760" customFormat="false" ht="15.75" hidden="false" customHeight="false" outlineLevel="0" collapsed="false">
      <c r="A13760" s="6" t="n">
        <f aca="false">DATE(2026,8,16)</f>
        <v>46250</v>
      </c>
      <c r="B13760" s="4" t="s">
        <v>13</v>
      </c>
      <c r="C13760" s="4" t="n">
        <v>5</v>
      </c>
      <c r="D13760" s="4" t="n">
        <v>5</v>
      </c>
      <c r="E13760" s="4" t="s">
        <v>5834</v>
      </c>
      <c r="F13760" s="4" t="n">
        <v>17</v>
      </c>
      <c r="G13760" s="4" t="n">
        <v>7</v>
      </c>
      <c r="H13760" s="4" t="n">
        <v>4</v>
      </c>
      <c r="I13760" s="4" t="str">
        <v>×</v>
      </c>
      <c r="J13760" s="4"/>
      <c r="K13760" s="4"/>
      <c r="L13760" s="4"/>
      <c r="M13760" s="7" t="s">
        <v>6556</v>
      </c>
    </row>
    <row r="13761" customFormat="false" ht="15.75" hidden="false" customHeight="false" outlineLevel="0" collapsed="false">
      <c r="A13761" s="6" t="n">
        <f aca="false">DATE(2026,8,16)</f>
        <v>46250</v>
      </c>
      <c r="B13761" s="4" t="s">
        <v>13</v>
      </c>
      <c r="C13761" s="4" t="n">
        <v>5</v>
      </c>
      <c r="D13761" s="4" t="n">
        <v>6</v>
      </c>
      <c r="E13761" s="4" t="s">
        <v>6802</v>
      </c>
      <c r="F13761" s="4" t="n">
        <v>86</v>
      </c>
      <c r="G13761" s="4" t="n">
        <v>1</v>
      </c>
      <c r="H13761" s="4" t="n">
        <v>4</v>
      </c>
      <c r="I13761" s="4" t="str">
        <v>×</v>
      </c>
      <c r="J13761" s="4"/>
      <c r="K13761" s="4"/>
      <c r="L13761" s="4"/>
      <c r="M13761" s="7" t="s">
        <v>6556</v>
      </c>
    </row>
    <row r="13762" customFormat="false" ht="15.75" hidden="false" customHeight="false" outlineLevel="0" collapsed="false">
      <c r="A13762" s="6" t="n">
        <f aca="false">DATE(2026,8,16)</f>
        <v>46250</v>
      </c>
      <c r="B13762" s="4" t="s">
        <v>13</v>
      </c>
      <c r="C13762" s="4" t="n">
        <v>5</v>
      </c>
      <c r="D13762" s="4" t="n">
        <v>7</v>
      </c>
      <c r="E13762" s="4" t="s">
        <v>65</v>
      </c>
      <c r="F13762" s="4" t="n">
        <v>3</v>
      </c>
      <c r="G13762" s="4" t="n">
        <v>12</v>
      </c>
      <c r="H13762" s="4" t="n">
        <v>4</v>
      </c>
      <c r="I13762" s="4" t="str">
        <v>×</v>
      </c>
      <c r="J13762" s="4"/>
      <c r="K13762" s="4"/>
      <c r="L13762" s="4"/>
      <c r="M13762" s="7" t="s">
        <v>6556</v>
      </c>
    </row>
    <row r="13763" customFormat="false" ht="15.75" hidden="false" customHeight="false" outlineLevel="0" collapsed="false">
      <c r="A13763" s="6" t="n">
        <f aca="false">DATE(2026,8,16)</f>
        <v>46250</v>
      </c>
      <c r="B13763" s="4" t="s">
        <v>13</v>
      </c>
      <c r="C13763" s="4" t="n">
        <v>5</v>
      </c>
      <c r="D13763" s="4" t="n">
        <v>8</v>
      </c>
      <c r="E13763" s="4" t="s">
        <v>4694</v>
      </c>
      <c r="F13763" s="4" t="n">
        <v>17</v>
      </c>
      <c r="G13763" s="4" t="n">
        <v>8</v>
      </c>
      <c r="H13763" s="4" t="n">
        <v>4</v>
      </c>
      <c r="I13763" s="4" t="str">
        <v>×</v>
      </c>
      <c r="J13763" s="4"/>
      <c r="K13763" s="4"/>
      <c r="L13763" s="4"/>
      <c r="M13763" s="7" t="s">
        <v>6556</v>
      </c>
    </row>
    <row r="13764" customFormat="false" ht="15.75" hidden="false" customHeight="false" outlineLevel="0" collapsed="false">
      <c r="A13764" s="6" t="n">
        <f aca="false">DATE(2026,8,16)</f>
        <v>46250</v>
      </c>
      <c r="B13764" s="4" t="s">
        <v>13</v>
      </c>
      <c r="C13764" s="4" t="n">
        <v>5</v>
      </c>
      <c r="D13764" s="4" t="n">
        <v>9</v>
      </c>
      <c r="E13764" s="4" t="s">
        <v>6803</v>
      </c>
      <c r="F13764" s="4" t="n">
        <v>31</v>
      </c>
      <c r="G13764" s="4" t="n">
        <v>4</v>
      </c>
      <c r="H13764" s="4" t="n">
        <v>4</v>
      </c>
      <c r="I13764" s="4" t="str">
        <v>×</v>
      </c>
      <c r="J13764" s="4"/>
      <c r="K13764" s="4"/>
      <c r="L13764" s="4"/>
      <c r="M13764" s="7" t="s">
        <v>6556</v>
      </c>
    </row>
    <row r="13765" customFormat="false" ht="15.75" hidden="false" customHeight="false" outlineLevel="0" collapsed="false">
      <c r="A13765" s="6" t="n">
        <f aca="false">DATE(2026,8,16)</f>
        <v>46250</v>
      </c>
      <c r="B13765" s="4" t="s">
        <v>13</v>
      </c>
      <c r="C13765" s="4" t="n">
        <v>5</v>
      </c>
      <c r="D13765" s="4" t="n">
        <v>10</v>
      </c>
      <c r="E13765" s="4" t="s">
        <v>72</v>
      </c>
      <c r="F13765" s="4" t="n">
        <v>62</v>
      </c>
      <c r="G13765" s="4" t="n">
        <v>2</v>
      </c>
      <c r="H13765" s="4" t="n">
        <v>1</v>
      </c>
      <c r="I13765" s="4" t="str">
        <v>○</v>
      </c>
      <c r="J13765" s="4" t="n">
        <v>190</v>
      </c>
      <c r="K13765" s="4"/>
      <c r="L13765" s="4"/>
      <c r="M13765" s="7" t="s">
        <v>6556</v>
      </c>
    </row>
    <row r="13766" customFormat="false" ht="15.75" hidden="false" customHeight="false" outlineLevel="0" collapsed="false">
      <c r="A13766" s="6" t="n">
        <f aca="false">DATE(2026,8,16)</f>
        <v>46250</v>
      </c>
      <c r="B13766" s="4" t="s">
        <v>13</v>
      </c>
      <c r="C13766" s="4" t="n">
        <v>5</v>
      </c>
      <c r="D13766" s="4" t="n">
        <v>11</v>
      </c>
      <c r="E13766" s="4" t="s">
        <v>5395</v>
      </c>
      <c r="F13766" s="4" t="n">
        <v>47</v>
      </c>
      <c r="G13766" s="4" t="n">
        <v>3</v>
      </c>
      <c r="H13766" s="4" t="n">
        <v>4</v>
      </c>
      <c r="I13766" s="4" t="str">
        <v>×</v>
      </c>
      <c r="J13766" s="4"/>
      <c r="K13766" s="4"/>
      <c r="L13766" s="4"/>
      <c r="M13766" s="7" t="s">
        <v>6556</v>
      </c>
    </row>
    <row r="13767" customFormat="false" ht="15.75" hidden="false" customHeight="false" outlineLevel="0" collapsed="false">
      <c r="A13767" s="6" t="n">
        <f aca="false">DATE(2026,8,16)</f>
        <v>46250</v>
      </c>
      <c r="B13767" s="4" t="s">
        <v>13</v>
      </c>
      <c r="C13767" s="4" t="n">
        <v>5</v>
      </c>
      <c r="D13767" s="4" t="n">
        <v>12</v>
      </c>
      <c r="E13767" s="4" t="s">
        <v>6804</v>
      </c>
      <c r="F13767" s="4" t="n">
        <v>31</v>
      </c>
      <c r="G13767" s="4" t="n">
        <v>5</v>
      </c>
      <c r="H13767" s="4" t="n">
        <v>2</v>
      </c>
      <c r="I13767" s="4" t="str">
        <v>○</v>
      </c>
      <c r="J13767" s="4" t="n">
        <v>330</v>
      </c>
      <c r="K13767" s="4"/>
      <c r="L13767" s="4"/>
      <c r="M13767" s="7" t="s">
        <v>6556</v>
      </c>
    </row>
    <row r="13768" customFormat="false" ht="15.75" hidden="false" customHeight="false" outlineLevel="0" collapsed="false">
      <c r="A13768" s="6" t="n">
        <f aca="false">DATE(2026,8,16)</f>
        <v>46250</v>
      </c>
      <c r="B13768" s="4" t="s">
        <v>13</v>
      </c>
      <c r="C13768" s="4" t="n">
        <v>6</v>
      </c>
      <c r="D13768" s="4" t="n">
        <v>1</v>
      </c>
      <c r="E13768" s="4" t="s">
        <v>6805</v>
      </c>
      <c r="F13768" s="4" t="n">
        <v>10</v>
      </c>
      <c r="G13768" s="4" t="n">
        <v>7</v>
      </c>
      <c r="H13768" s="4" t="n">
        <v>4</v>
      </c>
      <c r="I13768" s="4" t="str">
        <v>×</v>
      </c>
      <c r="J13768" s="4"/>
      <c r="K13768" s="4"/>
      <c r="L13768" s="4"/>
      <c r="M13768" s="7" t="s">
        <v>6556</v>
      </c>
    </row>
    <row r="13769" customFormat="false" ht="15.75" hidden="false" customHeight="false" outlineLevel="0" collapsed="false">
      <c r="A13769" s="6" t="n">
        <f aca="false">DATE(2026,8,16)</f>
        <v>46250</v>
      </c>
      <c r="B13769" s="4" t="s">
        <v>13</v>
      </c>
      <c r="C13769" s="4" t="n">
        <v>6</v>
      </c>
      <c r="D13769" s="4" t="n">
        <v>2</v>
      </c>
      <c r="E13769" s="4" t="s">
        <v>6369</v>
      </c>
      <c r="F13769" s="4" t="n">
        <v>1</v>
      </c>
      <c r="G13769" s="4" t="n">
        <v>12</v>
      </c>
      <c r="H13769" s="4" t="n">
        <v>4</v>
      </c>
      <c r="I13769" s="4" t="str">
        <v>×</v>
      </c>
      <c r="J13769" s="4"/>
      <c r="K13769" s="4"/>
      <c r="L13769" s="4"/>
      <c r="M13769" s="7" t="s">
        <v>6556</v>
      </c>
    </row>
    <row r="13770" customFormat="false" ht="15.75" hidden="false" customHeight="false" outlineLevel="0" collapsed="false">
      <c r="A13770" s="6" t="n">
        <f aca="false">DATE(2026,8,16)</f>
        <v>46250</v>
      </c>
      <c r="B13770" s="4" t="s">
        <v>13</v>
      </c>
      <c r="C13770" s="4" t="n">
        <v>6</v>
      </c>
      <c r="D13770" s="4" t="n">
        <v>3</v>
      </c>
      <c r="E13770" s="4" t="s">
        <v>6806</v>
      </c>
      <c r="F13770" s="4" t="n">
        <v>8</v>
      </c>
      <c r="G13770" s="4" t="n">
        <v>8</v>
      </c>
      <c r="H13770" s="4" t="n">
        <v>4</v>
      </c>
      <c r="I13770" s="4" t="str">
        <v>×</v>
      </c>
      <c r="J13770" s="4"/>
      <c r="K13770" s="4"/>
      <c r="L13770" s="4"/>
      <c r="M13770" s="7" t="s">
        <v>6556</v>
      </c>
    </row>
    <row r="13771" customFormat="false" ht="15.75" hidden="false" customHeight="false" outlineLevel="0" collapsed="false">
      <c r="A13771" s="6" t="n">
        <f aca="false">DATE(2026,8,16)</f>
        <v>46250</v>
      </c>
      <c r="B13771" s="4" t="s">
        <v>13</v>
      </c>
      <c r="C13771" s="4" t="n">
        <v>6</v>
      </c>
      <c r="D13771" s="4" t="n">
        <v>4</v>
      </c>
      <c r="E13771" s="4" t="s">
        <v>6807</v>
      </c>
      <c r="F13771" s="4" t="n">
        <v>4</v>
      </c>
      <c r="G13771" s="4" t="n">
        <v>9</v>
      </c>
      <c r="H13771" s="4" t="n">
        <v>4</v>
      </c>
      <c r="I13771" s="4" t="str">
        <v>×</v>
      </c>
      <c r="J13771" s="4"/>
      <c r="K13771" s="4"/>
      <c r="L13771" s="4"/>
      <c r="M13771" s="7" t="s">
        <v>6556</v>
      </c>
    </row>
    <row r="13772" customFormat="false" ht="15.75" hidden="false" customHeight="false" outlineLevel="0" collapsed="false">
      <c r="A13772" s="6" t="n">
        <f aca="false">DATE(2026,8,16)</f>
        <v>46250</v>
      </c>
      <c r="B13772" s="4" t="s">
        <v>13</v>
      </c>
      <c r="C13772" s="4" t="n">
        <v>6</v>
      </c>
      <c r="D13772" s="4" t="n">
        <v>5</v>
      </c>
      <c r="E13772" s="4" t="s">
        <v>2981</v>
      </c>
      <c r="F13772" s="4" t="n">
        <v>29</v>
      </c>
      <c r="G13772" s="4" t="n">
        <v>3</v>
      </c>
      <c r="H13772" s="4" t="n">
        <v>4</v>
      </c>
      <c r="I13772" s="4" t="str">
        <v>×</v>
      </c>
      <c r="J13772" s="4"/>
      <c r="K13772" s="4"/>
      <c r="L13772" s="4"/>
      <c r="M13772" s="7" t="s">
        <v>6556</v>
      </c>
    </row>
    <row r="13773" customFormat="false" ht="15.75" hidden="false" customHeight="false" outlineLevel="0" collapsed="false">
      <c r="A13773" s="6" t="n">
        <f aca="false">DATE(2026,8,16)</f>
        <v>46250</v>
      </c>
      <c r="B13773" s="4" t="s">
        <v>13</v>
      </c>
      <c r="C13773" s="4" t="n">
        <v>6</v>
      </c>
      <c r="D13773" s="4" t="n">
        <v>6</v>
      </c>
      <c r="E13773" s="4" t="s">
        <v>1220</v>
      </c>
      <c r="F13773" s="4" t="n">
        <v>60</v>
      </c>
      <c r="G13773" s="4" t="n">
        <v>2</v>
      </c>
      <c r="H13773" s="4" t="n">
        <v>4</v>
      </c>
      <c r="I13773" s="4" t="str">
        <v>×</v>
      </c>
      <c r="J13773" s="4"/>
      <c r="K13773" s="4"/>
      <c r="L13773" s="4"/>
      <c r="M13773" s="7" t="s">
        <v>6556</v>
      </c>
    </row>
    <row r="13774" customFormat="false" ht="15.75" hidden="false" customHeight="false" outlineLevel="0" collapsed="false">
      <c r="A13774" s="6" t="n">
        <f aca="false">DATE(2026,8,16)</f>
        <v>46250</v>
      </c>
      <c r="B13774" s="4" t="s">
        <v>13</v>
      </c>
      <c r="C13774" s="4" t="n">
        <v>6</v>
      </c>
      <c r="D13774" s="4" t="n">
        <v>7</v>
      </c>
      <c r="E13774" s="4" t="s">
        <v>2151</v>
      </c>
      <c r="F13774" s="4" t="n">
        <v>3</v>
      </c>
      <c r="G13774" s="4" t="n">
        <v>11</v>
      </c>
      <c r="H13774" s="4" t="n">
        <v>4</v>
      </c>
      <c r="I13774" s="4" t="str">
        <v>×</v>
      </c>
      <c r="J13774" s="4"/>
      <c r="K13774" s="4"/>
      <c r="L13774" s="4"/>
      <c r="M13774" s="7" t="s">
        <v>6556</v>
      </c>
    </row>
    <row r="13775" customFormat="false" ht="15.75" hidden="false" customHeight="false" outlineLevel="0" collapsed="false">
      <c r="A13775" s="6" t="n">
        <f aca="false">DATE(2026,8,16)</f>
        <v>46250</v>
      </c>
      <c r="B13775" s="4" t="s">
        <v>13</v>
      </c>
      <c r="C13775" s="4" t="n">
        <v>6</v>
      </c>
      <c r="D13775" s="4" t="n">
        <v>8</v>
      </c>
      <c r="E13775" s="4" t="s">
        <v>4048</v>
      </c>
      <c r="F13775" s="4" t="n">
        <v>66</v>
      </c>
      <c r="G13775" s="4" t="n">
        <v>1</v>
      </c>
      <c r="H13775" s="4" t="n">
        <v>1</v>
      </c>
      <c r="I13775" s="4" t="str">
        <v>○</v>
      </c>
      <c r="J13775" s="4" t="n">
        <v>110</v>
      </c>
      <c r="K13775" s="4"/>
      <c r="L13775" s="4"/>
      <c r="M13775" s="7" t="s">
        <v>6556</v>
      </c>
    </row>
    <row r="13776" customFormat="false" ht="15.75" hidden="false" customHeight="false" outlineLevel="0" collapsed="false">
      <c r="A13776" s="6" t="n">
        <f aca="false">DATE(2026,8,16)</f>
        <v>46250</v>
      </c>
      <c r="B13776" s="4" t="s">
        <v>13</v>
      </c>
      <c r="C13776" s="4" t="n">
        <v>6</v>
      </c>
      <c r="D13776" s="4" t="n">
        <v>9</v>
      </c>
      <c r="E13776" s="4" t="s">
        <v>2153</v>
      </c>
      <c r="F13776" s="4" t="n">
        <v>17</v>
      </c>
      <c r="G13776" s="4" t="n">
        <v>6</v>
      </c>
      <c r="H13776" s="4" t="n">
        <v>2</v>
      </c>
      <c r="I13776" s="4" t="str">
        <v>○</v>
      </c>
      <c r="J13776" s="4" t="n">
        <v>280</v>
      </c>
      <c r="K13776" s="4"/>
      <c r="L13776" s="4"/>
      <c r="M13776" s="7" t="s">
        <v>6556</v>
      </c>
    </row>
    <row r="13777" customFormat="false" ht="15.75" hidden="false" customHeight="false" outlineLevel="0" collapsed="false">
      <c r="A13777" s="6" t="n">
        <f aca="false">DATE(2026,8,16)</f>
        <v>46250</v>
      </c>
      <c r="B13777" s="4" t="s">
        <v>13</v>
      </c>
      <c r="C13777" s="4" t="n">
        <v>6</v>
      </c>
      <c r="D13777" s="4" t="n">
        <v>10</v>
      </c>
      <c r="E13777" s="4" t="s">
        <v>6371</v>
      </c>
      <c r="F13777" s="4" t="n">
        <v>20</v>
      </c>
      <c r="G13777" s="4" t="n">
        <v>5</v>
      </c>
      <c r="H13777" s="4" t="n">
        <v>4</v>
      </c>
      <c r="I13777" s="4" t="str">
        <v>×</v>
      </c>
      <c r="J13777" s="4"/>
      <c r="K13777" s="4"/>
      <c r="L13777" s="4"/>
      <c r="M13777" s="7" t="s">
        <v>6556</v>
      </c>
    </row>
    <row r="13778" customFormat="false" ht="15.75" hidden="false" customHeight="false" outlineLevel="0" collapsed="false">
      <c r="A13778" s="6" t="n">
        <f aca="false">DATE(2026,8,16)</f>
        <v>46250</v>
      </c>
      <c r="B13778" s="4" t="s">
        <v>13</v>
      </c>
      <c r="C13778" s="4" t="n">
        <v>6</v>
      </c>
      <c r="D13778" s="4" t="n">
        <v>11</v>
      </c>
      <c r="E13778" s="4" t="s">
        <v>1991</v>
      </c>
      <c r="F13778" s="4" t="n">
        <v>23</v>
      </c>
      <c r="G13778" s="4" t="n">
        <v>4</v>
      </c>
      <c r="H13778" s="4" t="n">
        <v>3</v>
      </c>
      <c r="I13778" s="4" t="str">
        <v>○</v>
      </c>
      <c r="J13778" s="4" t="n">
        <v>200</v>
      </c>
      <c r="K13778" s="4"/>
      <c r="L13778" s="4"/>
      <c r="M13778" s="7" t="s">
        <v>6556</v>
      </c>
    </row>
    <row r="13779" customFormat="false" ht="15.75" hidden="false" customHeight="false" outlineLevel="0" collapsed="false">
      <c r="A13779" s="6" t="n">
        <f aca="false">DATE(2026,8,16)</f>
        <v>46250</v>
      </c>
      <c r="B13779" s="4" t="s">
        <v>13</v>
      </c>
      <c r="C13779" s="4" t="n">
        <v>6</v>
      </c>
      <c r="D13779" s="4" t="n">
        <v>12</v>
      </c>
      <c r="E13779" s="4" t="s">
        <v>2158</v>
      </c>
      <c r="F13779" s="4" t="n">
        <v>1</v>
      </c>
      <c r="G13779" s="4" t="n">
        <v>13</v>
      </c>
      <c r="H13779" s="4" t="n">
        <v>4</v>
      </c>
      <c r="I13779" s="4" t="str">
        <v>×</v>
      </c>
      <c r="J13779" s="4"/>
      <c r="K13779" s="4"/>
      <c r="L13779" s="4"/>
      <c r="M13779" s="7" t="s">
        <v>6556</v>
      </c>
    </row>
    <row r="13780" customFormat="false" ht="15.75" hidden="false" customHeight="false" outlineLevel="0" collapsed="false">
      <c r="A13780" s="6" t="n">
        <f aca="false">DATE(2026,8,16)</f>
        <v>46250</v>
      </c>
      <c r="B13780" s="4" t="s">
        <v>13</v>
      </c>
      <c r="C13780" s="4" t="n">
        <v>6</v>
      </c>
      <c r="D13780" s="4" t="n">
        <v>13</v>
      </c>
      <c r="E13780" s="4" t="s">
        <v>4259</v>
      </c>
      <c r="F13780" s="4" t="n">
        <v>4</v>
      </c>
      <c r="G13780" s="4" t="n">
        <v>10</v>
      </c>
      <c r="H13780" s="4" t="n">
        <v>4</v>
      </c>
      <c r="I13780" s="4" t="str">
        <v>×</v>
      </c>
      <c r="J13780" s="4"/>
      <c r="K13780" s="4"/>
      <c r="L13780" s="4"/>
      <c r="M13780" s="7" t="s">
        <v>6556</v>
      </c>
    </row>
    <row r="13781" customFormat="false" ht="15.75" hidden="false" customHeight="false" outlineLevel="0" collapsed="false">
      <c r="A13781" s="6" t="n">
        <f aca="false">DATE(2026,8,16)</f>
        <v>46250</v>
      </c>
      <c r="B13781" s="4" t="s">
        <v>13</v>
      </c>
      <c r="C13781" s="4" t="n">
        <v>7</v>
      </c>
      <c r="D13781" s="4" t="n">
        <v>1</v>
      </c>
      <c r="E13781" s="4" t="s">
        <v>6808</v>
      </c>
      <c r="F13781" s="4" t="n">
        <v>10</v>
      </c>
      <c r="G13781" s="4" t="n">
        <v>11</v>
      </c>
      <c r="H13781" s="4" t="n">
        <v>4</v>
      </c>
      <c r="I13781" s="4" t="str">
        <v>×</v>
      </c>
      <c r="J13781" s="4"/>
      <c r="K13781" s="4"/>
      <c r="L13781" s="4"/>
      <c r="M13781" s="7" t="s">
        <v>6556</v>
      </c>
    </row>
    <row r="13782" customFormat="false" ht="15.75" hidden="false" customHeight="false" outlineLevel="0" collapsed="false">
      <c r="A13782" s="6" t="n">
        <f aca="false">DATE(2026,8,16)</f>
        <v>46250</v>
      </c>
      <c r="B13782" s="4" t="s">
        <v>13</v>
      </c>
      <c r="C13782" s="4" t="n">
        <v>7</v>
      </c>
      <c r="D13782" s="4" t="n">
        <v>2</v>
      </c>
      <c r="E13782" s="4" t="s">
        <v>1537</v>
      </c>
      <c r="F13782" s="4" t="n">
        <v>52</v>
      </c>
      <c r="G13782" s="4" t="n">
        <v>1</v>
      </c>
      <c r="H13782" s="4" t="n">
        <v>4</v>
      </c>
      <c r="I13782" s="4" t="str">
        <v>×</v>
      </c>
      <c r="J13782" s="4"/>
      <c r="K13782" s="4"/>
      <c r="L13782" s="4"/>
      <c r="M13782" s="7" t="s">
        <v>6556</v>
      </c>
    </row>
    <row r="13783" customFormat="false" ht="15.75" hidden="false" customHeight="false" outlineLevel="0" collapsed="false">
      <c r="A13783" s="6" t="n">
        <f aca="false">DATE(2026,8,16)</f>
        <v>46250</v>
      </c>
      <c r="B13783" s="4" t="s">
        <v>13</v>
      </c>
      <c r="C13783" s="4" t="n">
        <v>7</v>
      </c>
      <c r="D13783" s="4" t="n">
        <v>3</v>
      </c>
      <c r="E13783" s="4" t="s">
        <v>6446</v>
      </c>
      <c r="F13783" s="4" t="n">
        <v>8</v>
      </c>
      <c r="G13783" s="4" t="n">
        <v>12</v>
      </c>
      <c r="H13783" s="4" t="n">
        <v>4</v>
      </c>
      <c r="I13783" s="4" t="str">
        <v>×</v>
      </c>
      <c r="J13783" s="4"/>
      <c r="K13783" s="4"/>
      <c r="L13783" s="4"/>
      <c r="M13783" s="7" t="s">
        <v>6556</v>
      </c>
    </row>
    <row r="13784" customFormat="false" ht="15.75" hidden="false" customHeight="false" outlineLevel="0" collapsed="false">
      <c r="A13784" s="6" t="n">
        <f aca="false">DATE(2026,8,16)</f>
        <v>46250</v>
      </c>
      <c r="B13784" s="4" t="s">
        <v>13</v>
      </c>
      <c r="C13784" s="4" t="n">
        <v>7</v>
      </c>
      <c r="D13784" s="4" t="n">
        <v>4</v>
      </c>
      <c r="E13784" s="4" t="s">
        <v>6447</v>
      </c>
      <c r="F13784" s="4" t="n">
        <v>2</v>
      </c>
      <c r="G13784" s="4" t="n">
        <v>15</v>
      </c>
      <c r="H13784" s="4" t="n">
        <v>4</v>
      </c>
      <c r="I13784" s="4" t="str">
        <v>×</v>
      </c>
      <c r="J13784" s="4"/>
      <c r="K13784" s="4"/>
      <c r="L13784" s="4"/>
      <c r="M13784" s="7" t="s">
        <v>6556</v>
      </c>
    </row>
    <row r="13785" customFormat="false" ht="15.75" hidden="false" customHeight="false" outlineLevel="0" collapsed="false">
      <c r="A13785" s="6" t="n">
        <f aca="false">DATE(2026,8,16)</f>
        <v>46250</v>
      </c>
      <c r="B13785" s="4" t="s">
        <v>13</v>
      </c>
      <c r="C13785" s="4" t="n">
        <v>7</v>
      </c>
      <c r="D13785" s="4" t="n">
        <v>5</v>
      </c>
      <c r="E13785" s="4" t="s">
        <v>4866</v>
      </c>
      <c r="F13785" s="4" t="n">
        <v>52</v>
      </c>
      <c r="G13785" s="4" t="n">
        <v>2</v>
      </c>
      <c r="H13785" s="4" t="n">
        <v>4</v>
      </c>
      <c r="I13785" s="4" t="str">
        <v>×</v>
      </c>
      <c r="J13785" s="4"/>
      <c r="K13785" s="4"/>
      <c r="L13785" s="4"/>
      <c r="M13785" s="7" t="s">
        <v>6556</v>
      </c>
    </row>
    <row r="13786" customFormat="false" ht="15.75" hidden="false" customHeight="false" outlineLevel="0" collapsed="false">
      <c r="A13786" s="6" t="n">
        <f aca="false">DATE(2026,8,16)</f>
        <v>46250</v>
      </c>
      <c r="B13786" s="4" t="s">
        <v>13</v>
      </c>
      <c r="C13786" s="4" t="n">
        <v>7</v>
      </c>
      <c r="D13786" s="4" t="n">
        <v>6</v>
      </c>
      <c r="E13786" s="4" t="s">
        <v>4863</v>
      </c>
      <c r="F13786" s="4" t="n">
        <v>15</v>
      </c>
      <c r="G13786" s="4" t="n">
        <v>7</v>
      </c>
      <c r="H13786" s="4" t="n">
        <v>2</v>
      </c>
      <c r="I13786" s="4" t="str">
        <v>○</v>
      </c>
      <c r="J13786" s="4" t="n">
        <v>310</v>
      </c>
      <c r="K13786" s="4"/>
      <c r="L13786" s="4"/>
      <c r="M13786" s="7" t="s">
        <v>6556</v>
      </c>
    </row>
    <row r="13787" customFormat="false" ht="15.75" hidden="false" customHeight="false" outlineLevel="0" collapsed="false">
      <c r="A13787" s="6" t="n">
        <f aca="false">DATE(2026,8,16)</f>
        <v>46250</v>
      </c>
      <c r="B13787" s="4" t="s">
        <v>13</v>
      </c>
      <c r="C13787" s="4" t="n">
        <v>7</v>
      </c>
      <c r="D13787" s="4" t="n">
        <v>7</v>
      </c>
      <c r="E13787" s="4" t="s">
        <v>6809</v>
      </c>
      <c r="F13787" s="4" t="n">
        <v>31</v>
      </c>
      <c r="G13787" s="4" t="n">
        <v>3</v>
      </c>
      <c r="H13787" s="4" t="n">
        <v>4</v>
      </c>
      <c r="I13787" s="4" t="str">
        <v>×</v>
      </c>
      <c r="J13787" s="4"/>
      <c r="K13787" s="4"/>
      <c r="L13787" s="4"/>
      <c r="M13787" s="7" t="s">
        <v>6556</v>
      </c>
    </row>
    <row r="13788" customFormat="false" ht="15.75" hidden="false" customHeight="false" outlineLevel="0" collapsed="false">
      <c r="A13788" s="6" t="n">
        <f aca="false">DATE(2026,8,16)</f>
        <v>46250</v>
      </c>
      <c r="B13788" s="4" t="s">
        <v>13</v>
      </c>
      <c r="C13788" s="4" t="n">
        <v>7</v>
      </c>
      <c r="D13788" s="4" t="n">
        <v>8</v>
      </c>
      <c r="E13788" s="4" t="s">
        <v>6445</v>
      </c>
      <c r="F13788" s="4" t="n">
        <v>6</v>
      </c>
      <c r="G13788" s="4" t="n">
        <v>14</v>
      </c>
      <c r="H13788" s="4" t="n">
        <v>4</v>
      </c>
      <c r="I13788" s="4" t="str">
        <v>×</v>
      </c>
      <c r="J13788" s="4"/>
      <c r="K13788" s="4"/>
      <c r="L13788" s="4"/>
      <c r="M13788" s="7" t="s">
        <v>6556</v>
      </c>
    </row>
    <row r="13789" customFormat="false" ht="15.75" hidden="false" customHeight="false" outlineLevel="0" collapsed="false">
      <c r="A13789" s="6" t="n">
        <f aca="false">DATE(2026,8,16)</f>
        <v>46250</v>
      </c>
      <c r="B13789" s="4" t="s">
        <v>13</v>
      </c>
      <c r="C13789" s="4" t="n">
        <v>7</v>
      </c>
      <c r="D13789" s="4" t="n">
        <v>9</v>
      </c>
      <c r="E13789" s="4" t="s">
        <v>3227</v>
      </c>
      <c r="F13789" s="4" t="n">
        <v>15</v>
      </c>
      <c r="G13789" s="4" t="n">
        <v>8</v>
      </c>
      <c r="H13789" s="4" t="n">
        <v>4</v>
      </c>
      <c r="I13789" s="4" t="str">
        <v>×</v>
      </c>
      <c r="J13789" s="4"/>
      <c r="K13789" s="4"/>
      <c r="L13789" s="4"/>
      <c r="M13789" s="7" t="s">
        <v>6556</v>
      </c>
    </row>
    <row r="13790" customFormat="false" ht="15.75" hidden="false" customHeight="false" outlineLevel="0" collapsed="false">
      <c r="A13790" s="6" t="n">
        <f aca="false">DATE(2026,8,16)</f>
        <v>46250</v>
      </c>
      <c r="B13790" s="4" t="s">
        <v>13</v>
      </c>
      <c r="C13790" s="4" t="n">
        <v>7</v>
      </c>
      <c r="D13790" s="4" t="n">
        <v>10</v>
      </c>
      <c r="E13790" s="4" t="s">
        <v>1525</v>
      </c>
      <c r="F13790" s="4" t="n">
        <v>31</v>
      </c>
      <c r="G13790" s="4" t="n">
        <v>4</v>
      </c>
      <c r="H13790" s="4" t="n">
        <v>3</v>
      </c>
      <c r="I13790" s="4" t="str">
        <v>○</v>
      </c>
      <c r="J13790" s="4" t="n">
        <v>350</v>
      </c>
      <c r="K13790" s="4"/>
      <c r="L13790" s="4"/>
      <c r="M13790" s="7" t="s">
        <v>6556</v>
      </c>
    </row>
    <row r="13791" customFormat="false" ht="15.75" hidden="false" customHeight="false" outlineLevel="0" collapsed="false">
      <c r="A13791" s="6" t="n">
        <f aca="false">DATE(2026,8,16)</f>
        <v>46250</v>
      </c>
      <c r="B13791" s="4" t="s">
        <v>13</v>
      </c>
      <c r="C13791" s="4" t="n">
        <v>7</v>
      </c>
      <c r="D13791" s="4" t="n">
        <v>11</v>
      </c>
      <c r="E13791" s="4" t="s">
        <v>6810</v>
      </c>
      <c r="F13791" s="4" t="n">
        <v>20</v>
      </c>
      <c r="G13791" s="4" t="n">
        <v>6</v>
      </c>
      <c r="H13791" s="4" t="n">
        <v>1</v>
      </c>
      <c r="I13791" s="4" t="str">
        <v>○</v>
      </c>
      <c r="J13791" s="4" t="n">
        <v>350</v>
      </c>
      <c r="K13791" s="4"/>
      <c r="L13791" s="4"/>
      <c r="M13791" s="7" t="s">
        <v>6556</v>
      </c>
    </row>
    <row r="13792" customFormat="false" ht="15.75" hidden="false" customHeight="false" outlineLevel="0" collapsed="false">
      <c r="A13792" s="6" t="n">
        <f aca="false">DATE(2026,8,16)</f>
        <v>46250</v>
      </c>
      <c r="B13792" s="4" t="s">
        <v>13</v>
      </c>
      <c r="C13792" s="4" t="n">
        <v>7</v>
      </c>
      <c r="D13792" s="4" t="n">
        <v>12</v>
      </c>
      <c r="E13792" s="4" t="s">
        <v>6811</v>
      </c>
      <c r="F13792" s="4" t="n">
        <v>25</v>
      </c>
      <c r="G13792" s="4" t="n">
        <v>5</v>
      </c>
      <c r="H13792" s="4" t="n">
        <v>4</v>
      </c>
      <c r="I13792" s="4" t="str">
        <v>×</v>
      </c>
      <c r="J13792" s="4"/>
      <c r="K13792" s="4"/>
      <c r="L13792" s="4"/>
      <c r="M13792" s="7" t="s">
        <v>6556</v>
      </c>
    </row>
    <row r="13793" customFormat="false" ht="15.75" hidden="false" customHeight="false" outlineLevel="0" collapsed="false">
      <c r="A13793" s="6" t="n">
        <f aca="false">DATE(2026,8,16)</f>
        <v>46250</v>
      </c>
      <c r="B13793" s="4" t="s">
        <v>13</v>
      </c>
      <c r="C13793" s="4" t="n">
        <v>7</v>
      </c>
      <c r="D13793" s="4" t="n">
        <v>13</v>
      </c>
      <c r="E13793" s="4" t="s">
        <v>6812</v>
      </c>
      <c r="F13793" s="4" t="n">
        <v>13</v>
      </c>
      <c r="G13793" s="4" t="n">
        <v>9</v>
      </c>
      <c r="H13793" s="4" t="n">
        <v>4</v>
      </c>
      <c r="I13793" s="4" t="str">
        <v>×</v>
      </c>
      <c r="J13793" s="4"/>
      <c r="K13793" s="4"/>
      <c r="L13793" s="4"/>
      <c r="M13793" s="7" t="s">
        <v>6556</v>
      </c>
    </row>
    <row r="13794" customFormat="false" ht="15.75" hidden="false" customHeight="false" outlineLevel="0" collapsed="false">
      <c r="A13794" s="6" t="n">
        <f aca="false">DATE(2026,8,16)</f>
        <v>46250</v>
      </c>
      <c r="B13794" s="4" t="s">
        <v>13</v>
      </c>
      <c r="C13794" s="4" t="n">
        <v>7</v>
      </c>
      <c r="D13794" s="4" t="n">
        <v>14</v>
      </c>
      <c r="E13794" s="4" t="s">
        <v>5429</v>
      </c>
      <c r="F13794" s="4" t="n">
        <v>8</v>
      </c>
      <c r="G13794" s="4" t="n">
        <v>13</v>
      </c>
      <c r="H13794" s="4" t="n">
        <v>4</v>
      </c>
      <c r="I13794" s="4" t="str">
        <v>×</v>
      </c>
      <c r="J13794" s="4"/>
      <c r="K13794" s="4"/>
      <c r="L13794" s="4"/>
      <c r="M13794" s="7" t="s">
        <v>6556</v>
      </c>
    </row>
    <row r="13795" customFormat="false" ht="15.75" hidden="false" customHeight="false" outlineLevel="0" collapsed="false">
      <c r="A13795" s="6" t="n">
        <f aca="false">DATE(2026,8,16)</f>
        <v>46250</v>
      </c>
      <c r="B13795" s="4" t="s">
        <v>13</v>
      </c>
      <c r="C13795" s="4" t="n">
        <v>7</v>
      </c>
      <c r="D13795" s="4" t="n">
        <v>15</v>
      </c>
      <c r="E13795" s="4" t="s">
        <v>5220</v>
      </c>
      <c r="F13795" s="4" t="n">
        <v>13</v>
      </c>
      <c r="G13795" s="4" t="n">
        <v>10</v>
      </c>
      <c r="H13795" s="4" t="n">
        <v>4</v>
      </c>
      <c r="I13795" s="4" t="str">
        <v>×</v>
      </c>
      <c r="J13795" s="4"/>
      <c r="K13795" s="4"/>
      <c r="L13795" s="4"/>
      <c r="M13795" s="7" t="s">
        <v>6556</v>
      </c>
    </row>
    <row r="13796" customFormat="false" ht="15.75" hidden="false" customHeight="false" outlineLevel="0" collapsed="false">
      <c r="A13796" s="6" t="n">
        <f aca="false">DATE(2026,8,16)</f>
        <v>46250</v>
      </c>
      <c r="B13796" s="4" t="s">
        <v>13</v>
      </c>
      <c r="C13796" s="4" t="n">
        <v>8</v>
      </c>
      <c r="D13796" s="4" t="n">
        <v>1</v>
      </c>
      <c r="E13796" s="4" t="s">
        <v>1051</v>
      </c>
      <c r="F13796" s="4" t="n">
        <v>25</v>
      </c>
      <c r="G13796" s="4" t="n">
        <v>6</v>
      </c>
      <c r="H13796" s="4" t="n">
        <v>4</v>
      </c>
      <c r="I13796" s="4" t="str">
        <v>×</v>
      </c>
      <c r="J13796" s="4"/>
      <c r="K13796" s="4"/>
      <c r="L13796" s="4"/>
      <c r="M13796" s="7" t="s">
        <v>6556</v>
      </c>
    </row>
    <row r="13797" customFormat="false" ht="15.75" hidden="false" customHeight="false" outlineLevel="0" collapsed="false">
      <c r="A13797" s="6" t="n">
        <f aca="false">DATE(2026,8,16)</f>
        <v>46250</v>
      </c>
      <c r="B13797" s="4" t="s">
        <v>13</v>
      </c>
      <c r="C13797" s="4" t="n">
        <v>8</v>
      </c>
      <c r="D13797" s="4" t="n">
        <v>2</v>
      </c>
      <c r="E13797" s="4" t="s">
        <v>4032</v>
      </c>
      <c r="F13797" s="4" t="n">
        <v>44</v>
      </c>
      <c r="G13797" s="4" t="n">
        <v>1</v>
      </c>
      <c r="H13797" s="4" t="n">
        <v>4</v>
      </c>
      <c r="I13797" s="4" t="str">
        <v>×</v>
      </c>
      <c r="J13797" s="4"/>
      <c r="K13797" s="4"/>
      <c r="L13797" s="4"/>
      <c r="M13797" s="7" t="s">
        <v>6556</v>
      </c>
    </row>
    <row r="13798" customFormat="false" ht="15.75" hidden="false" customHeight="false" outlineLevel="0" collapsed="false">
      <c r="A13798" s="6" t="n">
        <f aca="false">DATE(2026,8,16)</f>
        <v>46250</v>
      </c>
      <c r="B13798" s="4" t="s">
        <v>13</v>
      </c>
      <c r="C13798" s="4" t="n">
        <v>8</v>
      </c>
      <c r="D13798" s="4" t="n">
        <v>3</v>
      </c>
      <c r="E13798" s="4" t="s">
        <v>2781</v>
      </c>
      <c r="F13798" s="4" t="n">
        <v>2</v>
      </c>
      <c r="G13798" s="4" t="n">
        <v>13</v>
      </c>
      <c r="H13798" s="4" t="n">
        <v>4</v>
      </c>
      <c r="I13798" s="4" t="str">
        <v>×</v>
      </c>
      <c r="J13798" s="4"/>
      <c r="K13798" s="4"/>
      <c r="L13798" s="4"/>
      <c r="M13798" s="7" t="s">
        <v>6556</v>
      </c>
    </row>
    <row r="13799" customFormat="false" ht="15.75" hidden="false" customHeight="false" outlineLevel="0" collapsed="false">
      <c r="A13799" s="6" t="n">
        <f aca="false">DATE(2026,8,16)</f>
        <v>46250</v>
      </c>
      <c r="B13799" s="4" t="s">
        <v>13</v>
      </c>
      <c r="C13799" s="4" t="n">
        <v>8</v>
      </c>
      <c r="D13799" s="4" t="n">
        <v>4</v>
      </c>
      <c r="E13799" s="4" t="s">
        <v>6813</v>
      </c>
      <c r="F13799" s="4" t="n">
        <v>25</v>
      </c>
      <c r="G13799" s="4" t="n">
        <v>7</v>
      </c>
      <c r="H13799" s="4" t="n">
        <v>4</v>
      </c>
      <c r="I13799" s="4" t="str">
        <v>×</v>
      </c>
      <c r="J13799" s="4"/>
      <c r="K13799" s="4"/>
      <c r="L13799" s="4"/>
      <c r="M13799" s="7" t="s">
        <v>6556</v>
      </c>
    </row>
    <row r="13800" customFormat="false" ht="15.75" hidden="false" customHeight="false" outlineLevel="0" collapsed="false">
      <c r="A13800" s="6" t="n">
        <f aca="false">DATE(2026,8,16)</f>
        <v>46250</v>
      </c>
      <c r="B13800" s="4" t="s">
        <v>13</v>
      </c>
      <c r="C13800" s="4" t="n">
        <v>8</v>
      </c>
      <c r="D13800" s="4" t="n">
        <v>5</v>
      </c>
      <c r="E13800" s="4" t="s">
        <v>4336</v>
      </c>
      <c r="F13800" s="4" t="n">
        <v>34</v>
      </c>
      <c r="G13800" s="4" t="n">
        <v>3</v>
      </c>
      <c r="H13800" s="4" t="n">
        <v>4</v>
      </c>
      <c r="I13800" s="4" t="str">
        <v>×</v>
      </c>
      <c r="J13800" s="4"/>
      <c r="K13800" s="4"/>
      <c r="L13800" s="4"/>
      <c r="M13800" s="7" t="s">
        <v>6556</v>
      </c>
    </row>
    <row r="13801" customFormat="false" ht="15.75" hidden="false" customHeight="false" outlineLevel="0" collapsed="false">
      <c r="A13801" s="6" t="n">
        <f aca="false">DATE(2026,8,16)</f>
        <v>46250</v>
      </c>
      <c r="B13801" s="4" t="s">
        <v>13</v>
      </c>
      <c r="C13801" s="4" t="n">
        <v>8</v>
      </c>
      <c r="D13801" s="4" t="n">
        <v>6</v>
      </c>
      <c r="E13801" s="4" t="s">
        <v>1056</v>
      </c>
      <c r="F13801" s="4" t="n">
        <v>29</v>
      </c>
      <c r="G13801" s="4" t="n">
        <v>5</v>
      </c>
      <c r="H13801" s="4" t="n">
        <v>3</v>
      </c>
      <c r="I13801" s="4" t="str">
        <v>○</v>
      </c>
      <c r="J13801" s="4" t="n">
        <v>640</v>
      </c>
      <c r="K13801" s="4"/>
      <c r="L13801" s="4"/>
      <c r="M13801" s="7" t="s">
        <v>6556</v>
      </c>
    </row>
    <row r="13802" customFormat="false" ht="15.75" hidden="false" customHeight="false" outlineLevel="0" collapsed="false">
      <c r="A13802" s="6" t="n">
        <f aca="false">DATE(2026,8,16)</f>
        <v>46250</v>
      </c>
      <c r="B13802" s="4" t="s">
        <v>13</v>
      </c>
      <c r="C13802" s="4" t="n">
        <v>8</v>
      </c>
      <c r="D13802" s="4" t="n">
        <v>7</v>
      </c>
      <c r="E13802" s="4" t="s">
        <v>566</v>
      </c>
      <c r="F13802" s="4" t="n">
        <v>34</v>
      </c>
      <c r="G13802" s="4" t="n">
        <v>4</v>
      </c>
      <c r="H13802" s="4" t="n">
        <v>4</v>
      </c>
      <c r="I13802" s="4" t="str">
        <v>×</v>
      </c>
      <c r="J13802" s="4"/>
      <c r="K13802" s="4"/>
      <c r="L13802" s="4"/>
      <c r="M13802" s="7" t="s">
        <v>6556</v>
      </c>
    </row>
    <row r="13803" customFormat="false" ht="15.75" hidden="false" customHeight="false" outlineLevel="0" collapsed="false">
      <c r="A13803" s="6" t="n">
        <f aca="false">DATE(2026,8,16)</f>
        <v>46250</v>
      </c>
      <c r="B13803" s="4" t="s">
        <v>13</v>
      </c>
      <c r="C13803" s="4" t="n">
        <v>8</v>
      </c>
      <c r="D13803" s="4" t="n">
        <v>8</v>
      </c>
      <c r="E13803" s="4" t="s">
        <v>4037</v>
      </c>
      <c r="F13803" s="4" t="n">
        <v>13</v>
      </c>
      <c r="G13803" s="4" t="n">
        <v>10</v>
      </c>
      <c r="H13803" s="4" t="n">
        <v>1</v>
      </c>
      <c r="I13803" s="4" t="str">
        <v>○</v>
      </c>
      <c r="J13803" s="4" t="n">
        <v>2130</v>
      </c>
      <c r="K13803" s="4"/>
      <c r="L13803" s="4"/>
      <c r="M13803" s="7" t="s">
        <v>6556</v>
      </c>
    </row>
    <row r="13804" customFormat="false" ht="15.75" hidden="false" customHeight="false" outlineLevel="0" collapsed="false">
      <c r="A13804" s="6" t="n">
        <f aca="false">DATE(2026,8,16)</f>
        <v>46250</v>
      </c>
      <c r="B13804" s="4" t="s">
        <v>13</v>
      </c>
      <c r="C13804" s="4" t="n">
        <v>8</v>
      </c>
      <c r="D13804" s="4" t="n">
        <v>9</v>
      </c>
      <c r="E13804" s="4" t="s">
        <v>1981</v>
      </c>
      <c r="F13804" s="4" t="n">
        <v>17</v>
      </c>
      <c r="G13804" s="4" t="n">
        <v>8</v>
      </c>
      <c r="H13804" s="4" t="n">
        <v>4</v>
      </c>
      <c r="I13804" s="4" t="str">
        <v>×</v>
      </c>
      <c r="J13804" s="4"/>
      <c r="K13804" s="4"/>
      <c r="L13804" s="4"/>
      <c r="M13804" s="7" t="s">
        <v>6556</v>
      </c>
    </row>
    <row r="13805" customFormat="false" ht="15.75" hidden="false" customHeight="false" outlineLevel="0" collapsed="false">
      <c r="A13805" s="6" t="n">
        <f aca="false">DATE(2026,8,16)</f>
        <v>46250</v>
      </c>
      <c r="B13805" s="4" t="s">
        <v>13</v>
      </c>
      <c r="C13805" s="4" t="n">
        <v>8</v>
      </c>
      <c r="D13805" s="4" t="n">
        <v>10</v>
      </c>
      <c r="E13805" s="4" t="s">
        <v>5884</v>
      </c>
      <c r="F13805" s="4" t="n">
        <v>17</v>
      </c>
      <c r="G13805" s="4" t="n">
        <v>9</v>
      </c>
      <c r="H13805" s="4" t="n">
        <v>2</v>
      </c>
      <c r="I13805" s="4" t="str">
        <v>○</v>
      </c>
      <c r="J13805" s="4" t="n">
        <v>400</v>
      </c>
      <c r="K13805" s="4"/>
      <c r="L13805" s="4"/>
      <c r="M13805" s="7" t="s">
        <v>6556</v>
      </c>
    </row>
    <row r="13806" customFormat="false" ht="15.75" hidden="false" customHeight="false" outlineLevel="0" collapsed="false">
      <c r="A13806" s="6" t="n">
        <f aca="false">DATE(2026,8,16)</f>
        <v>46250</v>
      </c>
      <c r="B13806" s="4" t="s">
        <v>13</v>
      </c>
      <c r="C13806" s="4" t="n">
        <v>8</v>
      </c>
      <c r="D13806" s="4" t="n">
        <v>11</v>
      </c>
      <c r="E13806" s="4" t="s">
        <v>5747</v>
      </c>
      <c r="F13806" s="4" t="n">
        <v>4</v>
      </c>
      <c r="G13806" s="4" t="n">
        <v>12</v>
      </c>
      <c r="H13806" s="4" t="n">
        <v>4</v>
      </c>
      <c r="I13806" s="4" t="str">
        <v>×</v>
      </c>
      <c r="J13806" s="4"/>
      <c r="K13806" s="4"/>
      <c r="L13806" s="4"/>
      <c r="M13806" s="7" t="s">
        <v>6556</v>
      </c>
    </row>
    <row r="13807" customFormat="false" ht="15.75" hidden="false" customHeight="false" outlineLevel="0" collapsed="false">
      <c r="A13807" s="6" t="n">
        <f aca="false">DATE(2026,8,16)</f>
        <v>46250</v>
      </c>
      <c r="B13807" s="4" t="s">
        <v>13</v>
      </c>
      <c r="C13807" s="4" t="n">
        <v>8</v>
      </c>
      <c r="D13807" s="4" t="n">
        <v>12</v>
      </c>
      <c r="E13807" s="4" t="s">
        <v>6814</v>
      </c>
      <c r="F13807" s="4" t="n">
        <v>37</v>
      </c>
      <c r="G13807" s="4" t="n">
        <v>2</v>
      </c>
      <c r="H13807" s="4" t="n">
        <v>4</v>
      </c>
      <c r="I13807" s="4" t="str">
        <v>×</v>
      </c>
      <c r="J13807" s="4"/>
      <c r="K13807" s="4"/>
      <c r="L13807" s="4"/>
      <c r="M13807" s="7" t="s">
        <v>6556</v>
      </c>
    </row>
    <row r="13808" customFormat="false" ht="15.75" hidden="false" customHeight="false" outlineLevel="0" collapsed="false">
      <c r="A13808" s="6" t="n">
        <f aca="false">DATE(2026,8,16)</f>
        <v>46250</v>
      </c>
      <c r="B13808" s="4" t="s">
        <v>13</v>
      </c>
      <c r="C13808" s="4" t="n">
        <v>8</v>
      </c>
      <c r="D13808" s="4" t="n">
        <v>13</v>
      </c>
      <c r="E13808" s="4" t="s">
        <v>6374</v>
      </c>
      <c r="F13808" s="4" t="n">
        <v>13</v>
      </c>
      <c r="G13808" s="4" t="n">
        <v>11</v>
      </c>
      <c r="H13808" s="4" t="n">
        <v>4</v>
      </c>
      <c r="I13808" s="4" t="str">
        <v>×</v>
      </c>
      <c r="J13808" s="4"/>
      <c r="K13808" s="4"/>
      <c r="L13808" s="4"/>
      <c r="M13808" s="7" t="s">
        <v>6556</v>
      </c>
    </row>
    <row r="13809" customFormat="false" ht="15.75" hidden="false" customHeight="false" outlineLevel="0" collapsed="false">
      <c r="A13809" s="6" t="n">
        <f aca="false">DATE(2026,8,16)</f>
        <v>46250</v>
      </c>
      <c r="B13809" s="4" t="s">
        <v>13</v>
      </c>
      <c r="C13809" s="4" t="n">
        <v>9</v>
      </c>
      <c r="D13809" s="4" t="n">
        <v>1</v>
      </c>
      <c r="E13809" s="4" t="s">
        <v>6815</v>
      </c>
      <c r="F13809" s="4" t="n">
        <v>6</v>
      </c>
      <c r="G13809" s="4" t="n">
        <v>12</v>
      </c>
      <c r="H13809" s="4" t="n">
        <v>4</v>
      </c>
      <c r="I13809" s="4" t="str">
        <v>×</v>
      </c>
      <c r="J13809" s="4"/>
      <c r="K13809" s="4"/>
      <c r="L13809" s="4"/>
      <c r="M13809" s="7" t="s">
        <v>6556</v>
      </c>
    </row>
    <row r="13810" customFormat="false" ht="15.75" hidden="false" customHeight="false" outlineLevel="0" collapsed="false">
      <c r="A13810" s="6" t="n">
        <f aca="false">DATE(2026,8,16)</f>
        <v>46250</v>
      </c>
      <c r="B13810" s="4" t="s">
        <v>13</v>
      </c>
      <c r="C13810" s="4" t="n">
        <v>9</v>
      </c>
      <c r="D13810" s="4" t="n">
        <v>2</v>
      </c>
      <c r="E13810" s="4" t="s">
        <v>1563</v>
      </c>
      <c r="F13810" s="4" t="n">
        <v>55</v>
      </c>
      <c r="G13810" s="4" t="n">
        <v>1</v>
      </c>
      <c r="H13810" s="4" t="n">
        <v>4</v>
      </c>
      <c r="I13810" s="4" t="str">
        <v>×</v>
      </c>
      <c r="J13810" s="4"/>
      <c r="K13810" s="4"/>
      <c r="L13810" s="4"/>
      <c r="M13810" s="7" t="s">
        <v>6556</v>
      </c>
    </row>
    <row r="13811" customFormat="false" ht="15.75" hidden="false" customHeight="false" outlineLevel="0" collapsed="false">
      <c r="A13811" s="6" t="n">
        <f aca="false">DATE(2026,8,16)</f>
        <v>46250</v>
      </c>
      <c r="B13811" s="4" t="s">
        <v>13</v>
      </c>
      <c r="C13811" s="4" t="n">
        <v>9</v>
      </c>
      <c r="D13811" s="4" t="n">
        <v>3</v>
      </c>
      <c r="E13811" s="4" t="s">
        <v>5749</v>
      </c>
      <c r="F13811" s="4" t="n">
        <v>37</v>
      </c>
      <c r="G13811" s="4" t="n">
        <v>7</v>
      </c>
      <c r="H13811" s="4" t="n">
        <v>4</v>
      </c>
      <c r="I13811" s="4" t="str">
        <v>×</v>
      </c>
      <c r="J13811" s="4"/>
      <c r="K13811" s="4"/>
      <c r="L13811" s="4"/>
      <c r="M13811" s="7" t="s">
        <v>6556</v>
      </c>
    </row>
    <row r="13812" customFormat="false" ht="15.75" hidden="false" customHeight="false" outlineLevel="0" collapsed="false">
      <c r="A13812" s="6" t="n">
        <f aca="false">DATE(2026,8,16)</f>
        <v>46250</v>
      </c>
      <c r="B13812" s="4" t="s">
        <v>13</v>
      </c>
      <c r="C13812" s="4" t="n">
        <v>9</v>
      </c>
      <c r="D13812" s="4" t="n">
        <v>4</v>
      </c>
      <c r="E13812" s="4" t="s">
        <v>1097</v>
      </c>
      <c r="F13812" s="4" t="n">
        <v>44</v>
      </c>
      <c r="G13812" s="4" t="n">
        <v>2</v>
      </c>
      <c r="H13812" s="4" t="n">
        <v>2</v>
      </c>
      <c r="I13812" s="4" t="str">
        <v>○</v>
      </c>
      <c r="J13812" s="4" t="n">
        <v>250</v>
      </c>
      <c r="K13812" s="4"/>
      <c r="L13812" s="4"/>
      <c r="M13812" s="7" t="s">
        <v>6556</v>
      </c>
    </row>
    <row r="13813" customFormat="false" ht="15.75" hidden="false" customHeight="false" outlineLevel="0" collapsed="false">
      <c r="A13813" s="6" t="n">
        <f aca="false">DATE(2026,8,16)</f>
        <v>46250</v>
      </c>
      <c r="B13813" s="4" t="s">
        <v>13</v>
      </c>
      <c r="C13813" s="4" t="n">
        <v>9</v>
      </c>
      <c r="D13813" s="4" t="n">
        <v>5</v>
      </c>
      <c r="E13813" s="4" t="s">
        <v>6816</v>
      </c>
      <c r="F13813" s="4" t="n">
        <v>44</v>
      </c>
      <c r="G13813" s="4" t="n">
        <v>3</v>
      </c>
      <c r="H13813" s="4" t="n">
        <v>1</v>
      </c>
      <c r="I13813" s="4" t="str">
        <v>○</v>
      </c>
      <c r="J13813" s="4" t="n">
        <v>220</v>
      </c>
      <c r="K13813" s="4"/>
      <c r="L13813" s="4"/>
      <c r="M13813" s="7" t="s">
        <v>6556</v>
      </c>
    </row>
    <row r="13814" customFormat="false" ht="15.75" hidden="false" customHeight="false" outlineLevel="0" collapsed="false">
      <c r="A13814" s="6" t="n">
        <f aca="false">DATE(2026,8,16)</f>
        <v>46250</v>
      </c>
      <c r="B13814" s="4" t="s">
        <v>13</v>
      </c>
      <c r="C13814" s="4" t="n">
        <v>9</v>
      </c>
      <c r="D13814" s="4" t="n">
        <v>6</v>
      </c>
      <c r="E13814" s="4" t="s">
        <v>581</v>
      </c>
      <c r="F13814" s="4" t="n">
        <v>44</v>
      </c>
      <c r="G13814" s="4" t="n">
        <v>4</v>
      </c>
      <c r="H13814" s="4" t="n">
        <v>4</v>
      </c>
      <c r="I13814" s="4" t="str">
        <v>×</v>
      </c>
      <c r="J13814" s="4"/>
      <c r="K13814" s="4"/>
      <c r="L13814" s="4"/>
      <c r="M13814" s="7" t="s">
        <v>6556</v>
      </c>
    </row>
    <row r="13815" customFormat="false" ht="15.75" hidden="false" customHeight="false" outlineLevel="0" collapsed="false">
      <c r="A13815" s="6" t="n">
        <f aca="false">DATE(2026,8,16)</f>
        <v>46250</v>
      </c>
      <c r="B13815" s="4" t="s">
        <v>13</v>
      </c>
      <c r="C13815" s="4" t="n">
        <v>9</v>
      </c>
      <c r="D13815" s="4" t="n">
        <v>7</v>
      </c>
      <c r="E13815" s="4" t="s">
        <v>4790</v>
      </c>
      <c r="F13815" s="4" t="n">
        <v>21</v>
      </c>
      <c r="G13815" s="4" t="n">
        <v>9</v>
      </c>
      <c r="H13815" s="4" t="n">
        <v>4</v>
      </c>
      <c r="I13815" s="4" t="str">
        <v>×</v>
      </c>
      <c r="J13815" s="4"/>
      <c r="K13815" s="4"/>
      <c r="L13815" s="4"/>
      <c r="M13815" s="7" t="s">
        <v>6556</v>
      </c>
    </row>
    <row r="13816" customFormat="false" ht="15.75" hidden="false" customHeight="false" outlineLevel="0" collapsed="false">
      <c r="A13816" s="6" t="n">
        <f aca="false">DATE(2026,8,16)</f>
        <v>46250</v>
      </c>
      <c r="B13816" s="4" t="s">
        <v>13</v>
      </c>
      <c r="C13816" s="4" t="n">
        <v>9</v>
      </c>
      <c r="D13816" s="4" t="n">
        <v>8</v>
      </c>
      <c r="E13816" s="4" t="s">
        <v>6817</v>
      </c>
      <c r="F13816" s="4" t="n">
        <v>8</v>
      </c>
      <c r="G13816" s="4" t="n">
        <v>11</v>
      </c>
      <c r="H13816" s="4" t="n">
        <v>4</v>
      </c>
      <c r="I13816" s="4" t="str">
        <v>×</v>
      </c>
      <c r="J13816" s="4"/>
      <c r="K13816" s="4"/>
      <c r="L13816" s="4"/>
      <c r="M13816" s="7" t="s">
        <v>6556</v>
      </c>
    </row>
    <row r="13817" customFormat="false" ht="15.75" hidden="false" customHeight="false" outlineLevel="0" collapsed="false">
      <c r="A13817" s="6" t="n">
        <f aca="false">DATE(2026,8,16)</f>
        <v>46250</v>
      </c>
      <c r="B13817" s="4" t="s">
        <v>13</v>
      </c>
      <c r="C13817" s="4" t="n">
        <v>9</v>
      </c>
      <c r="D13817" s="4" t="n">
        <v>9</v>
      </c>
      <c r="E13817" s="4" t="s">
        <v>577</v>
      </c>
      <c r="F13817" s="4" t="n">
        <v>44</v>
      </c>
      <c r="G13817" s="4" t="n">
        <v>5</v>
      </c>
      <c r="H13817" s="4" t="n">
        <v>4</v>
      </c>
      <c r="I13817" s="4" t="str">
        <v>×</v>
      </c>
      <c r="J13817" s="4"/>
      <c r="K13817" s="4"/>
      <c r="L13817" s="4"/>
      <c r="M13817" s="7" t="s">
        <v>6556</v>
      </c>
    </row>
    <row r="13818" customFormat="false" ht="15.75" hidden="false" customHeight="false" outlineLevel="0" collapsed="false">
      <c r="A13818" s="6" t="n">
        <f aca="false">DATE(2026,8,16)</f>
        <v>46250</v>
      </c>
      <c r="B13818" s="4" t="s">
        <v>13</v>
      </c>
      <c r="C13818" s="4" t="n">
        <v>9</v>
      </c>
      <c r="D13818" s="4" t="n">
        <v>10</v>
      </c>
      <c r="E13818" s="4" t="s">
        <v>6818</v>
      </c>
      <c r="F13818" s="4" t="n">
        <v>12</v>
      </c>
      <c r="G13818" s="4" t="n">
        <v>10</v>
      </c>
      <c r="H13818" s="4" t="n">
        <v>4</v>
      </c>
      <c r="I13818" s="4" t="str">
        <v>×</v>
      </c>
      <c r="J13818" s="4"/>
      <c r="K13818" s="4"/>
      <c r="L13818" s="4"/>
      <c r="M13818" s="7" t="s">
        <v>6556</v>
      </c>
    </row>
    <row r="13819" customFormat="false" ht="15.75" hidden="false" customHeight="false" outlineLevel="0" collapsed="false">
      <c r="A13819" s="6" t="n">
        <f aca="false">DATE(2026,8,16)</f>
        <v>46250</v>
      </c>
      <c r="B13819" s="4" t="s">
        <v>13</v>
      </c>
      <c r="C13819" s="4" t="n">
        <v>9</v>
      </c>
      <c r="D13819" s="4" t="n">
        <v>11</v>
      </c>
      <c r="E13819" s="4" t="s">
        <v>6819</v>
      </c>
      <c r="F13819" s="4" t="n">
        <v>44</v>
      </c>
      <c r="G13819" s="4" t="n">
        <v>6</v>
      </c>
      <c r="H13819" s="4" t="n">
        <v>4</v>
      </c>
      <c r="I13819" s="4" t="str">
        <v>×</v>
      </c>
      <c r="J13819" s="4"/>
      <c r="K13819" s="4"/>
      <c r="L13819" s="4"/>
      <c r="M13819" s="7" t="s">
        <v>6556</v>
      </c>
    </row>
    <row r="13820" customFormat="false" ht="15.75" hidden="false" customHeight="false" outlineLevel="0" collapsed="false">
      <c r="A13820" s="6" t="n">
        <f aca="false">DATE(2026,8,16)</f>
        <v>46250</v>
      </c>
      <c r="B13820" s="4" t="s">
        <v>13</v>
      </c>
      <c r="C13820" s="4" t="n">
        <v>9</v>
      </c>
      <c r="D13820" s="4" t="n">
        <v>12</v>
      </c>
      <c r="E13820" s="4" t="s">
        <v>6820</v>
      </c>
      <c r="F13820" s="4" t="n">
        <v>27</v>
      </c>
      <c r="G13820" s="4" t="n">
        <v>8</v>
      </c>
      <c r="H13820" s="4" t="n">
        <v>3</v>
      </c>
      <c r="I13820" s="4" t="str">
        <v>○</v>
      </c>
      <c r="J13820" s="4" t="n">
        <v>1030</v>
      </c>
      <c r="K13820" s="4"/>
      <c r="L13820" s="4"/>
      <c r="M13820" s="7" t="s">
        <v>6556</v>
      </c>
    </row>
    <row r="13821" customFormat="false" ht="15.75" hidden="false" customHeight="false" outlineLevel="0" collapsed="false">
      <c r="A13821" s="6" t="n">
        <f aca="false">DATE(2026,8,16)</f>
        <v>46250</v>
      </c>
      <c r="B13821" s="4" t="s">
        <v>13</v>
      </c>
      <c r="C13821" s="4" t="n">
        <v>10</v>
      </c>
      <c r="D13821" s="4" t="n">
        <v>1</v>
      </c>
      <c r="E13821" s="4" t="s">
        <v>6821</v>
      </c>
      <c r="F13821" s="4" t="n">
        <v>25</v>
      </c>
      <c r="G13821" s="4" t="n">
        <v>5</v>
      </c>
      <c r="H13821" s="4" t="n">
        <v>4</v>
      </c>
      <c r="I13821" s="4" t="str">
        <v>×</v>
      </c>
      <c r="J13821" s="4"/>
      <c r="K13821" s="4"/>
      <c r="L13821" s="4"/>
      <c r="M13821" s="7" t="s">
        <v>6556</v>
      </c>
    </row>
    <row r="13822" customFormat="false" ht="15.75" hidden="false" customHeight="false" outlineLevel="0" collapsed="false">
      <c r="A13822" s="6" t="n">
        <f aca="false">DATE(2026,8,16)</f>
        <v>46250</v>
      </c>
      <c r="B13822" s="4" t="s">
        <v>13</v>
      </c>
      <c r="C13822" s="4" t="n">
        <v>10</v>
      </c>
      <c r="D13822" s="4" t="n">
        <v>2</v>
      </c>
      <c r="E13822" s="4" t="s">
        <v>5990</v>
      </c>
      <c r="F13822" s="4" t="n">
        <v>8</v>
      </c>
      <c r="G13822" s="4" t="n">
        <v>9</v>
      </c>
      <c r="H13822" s="4" t="n">
        <v>4</v>
      </c>
      <c r="I13822" s="4" t="str">
        <v>×</v>
      </c>
      <c r="J13822" s="4"/>
      <c r="K13822" s="4"/>
      <c r="L13822" s="4"/>
      <c r="M13822" s="7" t="s">
        <v>6556</v>
      </c>
    </row>
    <row r="13823" customFormat="false" ht="15.75" hidden="false" customHeight="false" outlineLevel="0" collapsed="false">
      <c r="A13823" s="6" t="n">
        <f aca="false">DATE(2026,8,16)</f>
        <v>46250</v>
      </c>
      <c r="B13823" s="4" t="s">
        <v>13</v>
      </c>
      <c r="C13823" s="4" t="n">
        <v>10</v>
      </c>
      <c r="D13823" s="4" t="n">
        <v>3</v>
      </c>
      <c r="E13823" s="4" t="s">
        <v>129</v>
      </c>
      <c r="F13823" s="4" t="n">
        <v>8</v>
      </c>
      <c r="G13823" s="4" t="n">
        <v>10</v>
      </c>
      <c r="H13823" s="4" t="n">
        <v>4</v>
      </c>
      <c r="I13823" s="4" t="str">
        <v>×</v>
      </c>
      <c r="J13823" s="4"/>
      <c r="K13823" s="4"/>
      <c r="L13823" s="4"/>
      <c r="M13823" s="7" t="s">
        <v>6556</v>
      </c>
    </row>
    <row r="13824" customFormat="false" ht="15.75" hidden="false" customHeight="false" outlineLevel="0" collapsed="false">
      <c r="A13824" s="6" t="n">
        <f aca="false">DATE(2026,8,16)</f>
        <v>46250</v>
      </c>
      <c r="B13824" s="4" t="s">
        <v>13</v>
      </c>
      <c r="C13824" s="4" t="n">
        <v>10</v>
      </c>
      <c r="D13824" s="4" t="n">
        <v>4</v>
      </c>
      <c r="E13824" s="4" t="s">
        <v>1881</v>
      </c>
      <c r="F13824" s="4" t="n">
        <v>29</v>
      </c>
      <c r="G13824" s="4" t="n">
        <v>4</v>
      </c>
      <c r="H13824" s="4" t="n">
        <v>1</v>
      </c>
      <c r="I13824" s="4" t="str">
        <v>○</v>
      </c>
      <c r="J13824" s="4" t="n">
        <v>400</v>
      </c>
      <c r="K13824" s="4"/>
      <c r="L13824" s="4"/>
      <c r="M13824" s="7" t="s">
        <v>6556</v>
      </c>
    </row>
    <row r="13825" customFormat="false" ht="15.75" hidden="false" customHeight="false" outlineLevel="0" collapsed="false">
      <c r="A13825" s="6" t="n">
        <f aca="false">DATE(2026,8,16)</f>
        <v>46250</v>
      </c>
      <c r="B13825" s="4" t="s">
        <v>13</v>
      </c>
      <c r="C13825" s="4" t="n">
        <v>10</v>
      </c>
      <c r="D13825" s="4" t="n">
        <v>5</v>
      </c>
      <c r="E13825" s="4" t="s">
        <v>134</v>
      </c>
      <c r="F13825" s="4" t="n">
        <v>3</v>
      </c>
      <c r="G13825" s="4" t="n">
        <v>15</v>
      </c>
      <c r="H13825" s="4" t="n">
        <v>4</v>
      </c>
      <c r="I13825" s="4" t="str">
        <v>×</v>
      </c>
      <c r="J13825" s="4"/>
      <c r="K13825" s="4"/>
      <c r="L13825" s="4"/>
      <c r="M13825" s="7" t="s">
        <v>6556</v>
      </c>
    </row>
    <row r="13826" customFormat="false" ht="15.75" hidden="false" customHeight="false" outlineLevel="0" collapsed="false">
      <c r="A13826" s="6" t="n">
        <f aca="false">DATE(2026,8,16)</f>
        <v>46250</v>
      </c>
      <c r="B13826" s="4" t="s">
        <v>13</v>
      </c>
      <c r="C13826" s="4" t="n">
        <v>10</v>
      </c>
      <c r="D13826" s="4" t="n">
        <v>6</v>
      </c>
      <c r="E13826" s="4" t="s">
        <v>3730</v>
      </c>
      <c r="F13826" s="4" t="n">
        <v>6</v>
      </c>
      <c r="G13826" s="4" t="n">
        <v>13</v>
      </c>
      <c r="H13826" s="4" t="n">
        <v>4</v>
      </c>
      <c r="I13826" s="4" t="str">
        <v>×</v>
      </c>
      <c r="J13826" s="4"/>
      <c r="K13826" s="4"/>
      <c r="L13826" s="4"/>
      <c r="M13826" s="7" t="s">
        <v>6556</v>
      </c>
    </row>
    <row r="13827" customFormat="false" ht="15.75" hidden="false" customHeight="false" outlineLevel="0" collapsed="false">
      <c r="A13827" s="6" t="n">
        <f aca="false">DATE(2026,8,16)</f>
        <v>46250</v>
      </c>
      <c r="B13827" s="4" t="s">
        <v>13</v>
      </c>
      <c r="C13827" s="4" t="n">
        <v>10</v>
      </c>
      <c r="D13827" s="4" t="n">
        <v>7</v>
      </c>
      <c r="E13827" s="4" t="s">
        <v>4488</v>
      </c>
      <c r="F13827" s="4" t="n">
        <v>6</v>
      </c>
      <c r="G13827" s="4" t="n">
        <v>14</v>
      </c>
      <c r="H13827" s="4" t="n">
        <v>4</v>
      </c>
      <c r="I13827" s="4" t="str">
        <v>×</v>
      </c>
      <c r="J13827" s="4"/>
      <c r="K13827" s="4"/>
      <c r="L13827" s="4"/>
      <c r="M13827" s="7" t="s">
        <v>6556</v>
      </c>
    </row>
    <row r="13828" customFormat="false" ht="15.75" hidden="false" customHeight="false" outlineLevel="0" collapsed="false">
      <c r="A13828" s="6" t="n">
        <f aca="false">DATE(2026,8,16)</f>
        <v>46250</v>
      </c>
      <c r="B13828" s="4" t="s">
        <v>13</v>
      </c>
      <c r="C13828" s="4" t="n">
        <v>10</v>
      </c>
      <c r="D13828" s="4" t="n">
        <v>8</v>
      </c>
      <c r="E13828" s="4" t="s">
        <v>2999</v>
      </c>
      <c r="F13828" s="4" t="n">
        <v>20</v>
      </c>
      <c r="G13828" s="4" t="n">
        <v>7</v>
      </c>
      <c r="H13828" s="4" t="n">
        <v>4</v>
      </c>
      <c r="I13828" s="4" t="str">
        <v>×</v>
      </c>
      <c r="J13828" s="4"/>
      <c r="K13828" s="4"/>
      <c r="L13828" s="4"/>
      <c r="M13828" s="7" t="s">
        <v>6556</v>
      </c>
    </row>
    <row r="13829" customFormat="false" ht="15.75" hidden="false" customHeight="false" outlineLevel="0" collapsed="false">
      <c r="A13829" s="6" t="n">
        <f aca="false">DATE(2026,8,16)</f>
        <v>46250</v>
      </c>
      <c r="B13829" s="4" t="s">
        <v>13</v>
      </c>
      <c r="C13829" s="4" t="n">
        <v>10</v>
      </c>
      <c r="D13829" s="4" t="n">
        <v>9</v>
      </c>
      <c r="E13829" s="4" t="s">
        <v>142</v>
      </c>
      <c r="F13829" s="4" t="n">
        <v>25</v>
      </c>
      <c r="G13829" s="4" t="n">
        <v>6</v>
      </c>
      <c r="H13829" s="4" t="n">
        <v>4</v>
      </c>
      <c r="I13829" s="4" t="str">
        <v>×</v>
      </c>
      <c r="J13829" s="4"/>
      <c r="K13829" s="4"/>
      <c r="L13829" s="4"/>
      <c r="M13829" s="7" t="s">
        <v>6556</v>
      </c>
    </row>
    <row r="13830" customFormat="false" ht="15.75" hidden="false" customHeight="false" outlineLevel="0" collapsed="false">
      <c r="A13830" s="6" t="n">
        <f aca="false">DATE(2026,8,16)</f>
        <v>46250</v>
      </c>
      <c r="B13830" s="4" t="s">
        <v>13</v>
      </c>
      <c r="C13830" s="4" t="n">
        <v>10</v>
      </c>
      <c r="D13830" s="4" t="n">
        <v>10</v>
      </c>
      <c r="E13830" s="4" t="s">
        <v>2934</v>
      </c>
      <c r="F13830" s="4" t="n">
        <v>56</v>
      </c>
      <c r="G13830" s="4" t="n">
        <v>2</v>
      </c>
      <c r="H13830" s="4" t="n">
        <v>2</v>
      </c>
      <c r="I13830" s="4" t="str">
        <v>○</v>
      </c>
      <c r="J13830" s="4" t="n">
        <v>150</v>
      </c>
      <c r="K13830" s="4"/>
      <c r="L13830" s="4"/>
      <c r="M13830" s="7" t="s">
        <v>6556</v>
      </c>
    </row>
    <row r="13831" customFormat="false" ht="15.75" hidden="false" customHeight="false" outlineLevel="0" collapsed="false">
      <c r="A13831" s="6" t="n">
        <f aca="false">DATE(2026,8,16)</f>
        <v>46250</v>
      </c>
      <c r="B13831" s="4" t="s">
        <v>13</v>
      </c>
      <c r="C13831" s="4" t="n">
        <v>10</v>
      </c>
      <c r="D13831" s="4" t="n">
        <v>11</v>
      </c>
      <c r="E13831" s="4" t="s">
        <v>6822</v>
      </c>
      <c r="F13831" s="4" t="n">
        <v>8</v>
      </c>
      <c r="G13831" s="4" t="n">
        <v>11</v>
      </c>
      <c r="H13831" s="4" t="n">
        <v>4</v>
      </c>
      <c r="I13831" s="4" t="str">
        <v>×</v>
      </c>
      <c r="J13831" s="4"/>
      <c r="K13831" s="4"/>
      <c r="L13831" s="4"/>
      <c r="M13831" s="7" t="s">
        <v>6556</v>
      </c>
    </row>
    <row r="13832" customFormat="false" ht="15.75" hidden="false" customHeight="false" outlineLevel="0" collapsed="false">
      <c r="A13832" s="6" t="n">
        <f aca="false">DATE(2026,8,16)</f>
        <v>46250</v>
      </c>
      <c r="B13832" s="4" t="s">
        <v>13</v>
      </c>
      <c r="C13832" s="4" t="n">
        <v>10</v>
      </c>
      <c r="D13832" s="4" t="n">
        <v>12</v>
      </c>
      <c r="E13832" s="4" t="s">
        <v>131</v>
      </c>
      <c r="F13832" s="4" t="n">
        <v>13</v>
      </c>
      <c r="G13832" s="4" t="n">
        <v>8</v>
      </c>
      <c r="H13832" s="4" t="n">
        <v>4</v>
      </c>
      <c r="I13832" s="4" t="str">
        <v>×</v>
      </c>
      <c r="J13832" s="4"/>
      <c r="K13832" s="4"/>
      <c r="L13832" s="4"/>
      <c r="M13832" s="7" t="s">
        <v>6556</v>
      </c>
    </row>
    <row r="13833" customFormat="false" ht="15.75" hidden="false" customHeight="false" outlineLevel="0" collapsed="false">
      <c r="A13833" s="6" t="n">
        <f aca="false">DATE(2026,8,16)</f>
        <v>46250</v>
      </c>
      <c r="B13833" s="4" t="s">
        <v>13</v>
      </c>
      <c r="C13833" s="4" t="n">
        <v>10</v>
      </c>
      <c r="D13833" s="4" t="n">
        <v>13</v>
      </c>
      <c r="E13833" s="4" t="s">
        <v>1426</v>
      </c>
      <c r="F13833" s="4" t="n">
        <v>58</v>
      </c>
      <c r="G13833" s="4" t="n">
        <v>1</v>
      </c>
      <c r="H13833" s="4" t="n">
        <v>3</v>
      </c>
      <c r="I13833" s="4" t="str">
        <v>○</v>
      </c>
      <c r="J13833" s="4" t="n">
        <v>160</v>
      </c>
      <c r="K13833" s="4"/>
      <c r="L13833" s="4"/>
      <c r="M13833" s="7" t="s">
        <v>6556</v>
      </c>
    </row>
    <row r="13834" customFormat="false" ht="15.75" hidden="false" customHeight="false" outlineLevel="0" collapsed="false">
      <c r="A13834" s="6" t="n">
        <f aca="false">DATE(2026,8,16)</f>
        <v>46250</v>
      </c>
      <c r="B13834" s="4" t="s">
        <v>13</v>
      </c>
      <c r="C13834" s="4" t="n">
        <v>10</v>
      </c>
      <c r="D13834" s="4" t="n">
        <v>14</v>
      </c>
      <c r="E13834" s="4" t="s">
        <v>4484</v>
      </c>
      <c r="F13834" s="4" t="n">
        <v>8</v>
      </c>
      <c r="G13834" s="4" t="n">
        <v>12</v>
      </c>
      <c r="H13834" s="4" t="n">
        <v>4</v>
      </c>
      <c r="I13834" s="4" t="str">
        <v>×</v>
      </c>
      <c r="J13834" s="4"/>
      <c r="K13834" s="4"/>
      <c r="L13834" s="4"/>
      <c r="M13834" s="7" t="s">
        <v>6556</v>
      </c>
    </row>
    <row r="13835" customFormat="false" ht="15.75" hidden="false" customHeight="false" outlineLevel="0" collapsed="false">
      <c r="A13835" s="6" t="n">
        <f aca="false">DATE(2026,8,16)</f>
        <v>46250</v>
      </c>
      <c r="B13835" s="4" t="s">
        <v>13</v>
      </c>
      <c r="C13835" s="4" t="n">
        <v>10</v>
      </c>
      <c r="D13835" s="4" t="n">
        <v>15</v>
      </c>
      <c r="E13835" s="4" t="s">
        <v>6823</v>
      </c>
      <c r="F13835" s="4" t="n">
        <v>56</v>
      </c>
      <c r="G13835" s="4" t="n">
        <v>3</v>
      </c>
      <c r="H13835" s="4" t="n">
        <v>4</v>
      </c>
      <c r="I13835" s="4" t="str">
        <v>×</v>
      </c>
      <c r="J13835" s="4"/>
      <c r="K13835" s="4"/>
      <c r="L13835" s="4"/>
      <c r="M13835" s="7" t="s">
        <v>6556</v>
      </c>
    </row>
    <row r="13836" customFormat="false" ht="15.75" hidden="false" customHeight="false" outlineLevel="0" collapsed="false">
      <c r="A13836" s="6" t="n">
        <f aca="false">DATE(2026,8,16)</f>
        <v>46250</v>
      </c>
      <c r="B13836" s="4" t="s">
        <v>13</v>
      </c>
      <c r="C13836" s="4" t="n">
        <v>11</v>
      </c>
      <c r="D13836" s="4" t="n">
        <v>1</v>
      </c>
      <c r="E13836" s="4" t="s">
        <v>6824</v>
      </c>
      <c r="F13836" s="4" t="n">
        <v>50</v>
      </c>
      <c r="G13836" s="4" t="n">
        <v>3</v>
      </c>
      <c r="H13836" s="4" t="n">
        <v>4</v>
      </c>
      <c r="I13836" s="4" t="str">
        <v>×</v>
      </c>
      <c r="J13836" s="4"/>
      <c r="K13836" s="4"/>
      <c r="L13836" s="4"/>
      <c r="M13836" s="7" t="s">
        <v>6556</v>
      </c>
    </row>
    <row r="13837" customFormat="false" ht="15.75" hidden="false" customHeight="false" outlineLevel="0" collapsed="false">
      <c r="A13837" s="6" t="n">
        <f aca="false">DATE(2026,8,16)</f>
        <v>46250</v>
      </c>
      <c r="B13837" s="4" t="s">
        <v>13</v>
      </c>
      <c r="C13837" s="4" t="n">
        <v>11</v>
      </c>
      <c r="D13837" s="4" t="n">
        <v>2</v>
      </c>
      <c r="E13837" s="4" t="s">
        <v>5611</v>
      </c>
      <c r="F13837" s="4" t="n">
        <v>52</v>
      </c>
      <c r="G13837" s="4" t="n">
        <v>2</v>
      </c>
      <c r="H13837" s="4" t="n">
        <v>4</v>
      </c>
      <c r="I13837" s="4" t="str">
        <v>×</v>
      </c>
      <c r="J13837" s="4"/>
      <c r="K13837" s="4"/>
      <c r="L13837" s="4"/>
      <c r="M13837" s="7" t="s">
        <v>6556</v>
      </c>
    </row>
    <row r="13838" customFormat="false" ht="15.75" hidden="false" customHeight="false" outlineLevel="0" collapsed="false">
      <c r="A13838" s="6" t="n">
        <f aca="false">DATE(2026,8,16)</f>
        <v>46250</v>
      </c>
      <c r="B13838" s="4" t="s">
        <v>13</v>
      </c>
      <c r="C13838" s="4" t="n">
        <v>11</v>
      </c>
      <c r="D13838" s="4" t="n">
        <v>3</v>
      </c>
      <c r="E13838" s="4" t="s">
        <v>6825</v>
      </c>
      <c r="F13838" s="4" t="n">
        <v>25</v>
      </c>
      <c r="G13838" s="4" t="n">
        <v>6</v>
      </c>
      <c r="H13838" s="4" t="n">
        <v>4</v>
      </c>
      <c r="I13838" s="4" t="str">
        <v>×</v>
      </c>
      <c r="J13838" s="4"/>
      <c r="K13838" s="4"/>
      <c r="L13838" s="4"/>
      <c r="M13838" s="7" t="s">
        <v>6556</v>
      </c>
    </row>
    <row r="13839" customFormat="false" ht="15.75" hidden="false" customHeight="false" outlineLevel="0" collapsed="false">
      <c r="A13839" s="6" t="n">
        <f aca="false">DATE(2026,8,16)</f>
        <v>46250</v>
      </c>
      <c r="B13839" s="4" t="s">
        <v>13</v>
      </c>
      <c r="C13839" s="4" t="n">
        <v>11</v>
      </c>
      <c r="D13839" s="4" t="n">
        <v>4</v>
      </c>
      <c r="E13839" s="4" t="s">
        <v>6826</v>
      </c>
      <c r="F13839" s="4" t="n">
        <v>34</v>
      </c>
      <c r="G13839" s="4" t="n">
        <v>5</v>
      </c>
      <c r="H13839" s="4" t="n">
        <v>4</v>
      </c>
      <c r="I13839" s="4" t="str">
        <v>×</v>
      </c>
      <c r="J13839" s="4"/>
      <c r="K13839" s="4"/>
      <c r="L13839" s="4"/>
      <c r="M13839" s="7" t="s">
        <v>6556</v>
      </c>
    </row>
    <row r="13840" customFormat="false" ht="15.75" hidden="false" customHeight="false" outlineLevel="0" collapsed="false">
      <c r="A13840" s="6" t="n">
        <f aca="false">DATE(2026,8,16)</f>
        <v>46250</v>
      </c>
      <c r="B13840" s="4" t="s">
        <v>13</v>
      </c>
      <c r="C13840" s="4" t="n">
        <v>11</v>
      </c>
      <c r="D13840" s="4" t="n">
        <v>5</v>
      </c>
      <c r="E13840" s="4" t="s">
        <v>2126</v>
      </c>
      <c r="F13840" s="4" t="n">
        <v>47</v>
      </c>
      <c r="G13840" s="4" t="n">
        <v>4</v>
      </c>
      <c r="H13840" s="4" t="n">
        <v>1</v>
      </c>
      <c r="I13840" s="4" t="str">
        <v>○</v>
      </c>
      <c r="J13840" s="4" t="n">
        <v>420</v>
      </c>
      <c r="K13840" s="4"/>
      <c r="L13840" s="4"/>
      <c r="M13840" s="7" t="s">
        <v>6556</v>
      </c>
    </row>
    <row r="13841" customFormat="false" ht="15.75" hidden="false" customHeight="false" outlineLevel="0" collapsed="false">
      <c r="A13841" s="6" t="n">
        <f aca="false">DATE(2026,8,16)</f>
        <v>46250</v>
      </c>
      <c r="B13841" s="4" t="s">
        <v>13</v>
      </c>
      <c r="C13841" s="4" t="n">
        <v>11</v>
      </c>
      <c r="D13841" s="4" t="n">
        <v>6</v>
      </c>
      <c r="E13841" s="4" t="s">
        <v>2750</v>
      </c>
      <c r="F13841" s="4" t="n">
        <v>25</v>
      </c>
      <c r="G13841" s="4" t="n">
        <v>7</v>
      </c>
      <c r="H13841" s="4" t="n">
        <v>4</v>
      </c>
      <c r="I13841" s="4" t="str">
        <v>×</v>
      </c>
      <c r="J13841" s="4"/>
      <c r="K13841" s="4"/>
      <c r="L13841" s="4"/>
      <c r="M13841" s="7" t="s">
        <v>6556</v>
      </c>
    </row>
    <row r="13842" customFormat="false" ht="15.75" hidden="false" customHeight="false" outlineLevel="0" collapsed="false">
      <c r="A13842" s="6" t="n">
        <f aca="false">DATE(2026,8,16)</f>
        <v>46250</v>
      </c>
      <c r="B13842" s="4" t="s">
        <v>13</v>
      </c>
      <c r="C13842" s="4" t="n">
        <v>11</v>
      </c>
      <c r="D13842" s="4" t="n">
        <v>7</v>
      </c>
      <c r="E13842" s="4" t="s">
        <v>5829</v>
      </c>
      <c r="F13842" s="4" t="n">
        <v>17</v>
      </c>
      <c r="G13842" s="4" t="n">
        <v>8</v>
      </c>
      <c r="H13842" s="4" t="n">
        <v>4</v>
      </c>
      <c r="I13842" s="4" t="str">
        <v>×</v>
      </c>
      <c r="J13842" s="4"/>
      <c r="K13842" s="4"/>
      <c r="L13842" s="4"/>
      <c r="M13842" s="7" t="s">
        <v>6556</v>
      </c>
    </row>
    <row r="13843" customFormat="false" ht="15.75" hidden="false" customHeight="false" outlineLevel="0" collapsed="false">
      <c r="A13843" s="6" t="n">
        <f aca="false">DATE(2026,8,16)</f>
        <v>46250</v>
      </c>
      <c r="B13843" s="4" t="s">
        <v>13</v>
      </c>
      <c r="C13843" s="4" t="n">
        <v>11</v>
      </c>
      <c r="D13843" s="4" t="n">
        <v>8</v>
      </c>
      <c r="E13843" s="4" t="s">
        <v>63</v>
      </c>
      <c r="F13843" s="4" t="n">
        <v>15</v>
      </c>
      <c r="G13843" s="4" t="n">
        <v>9</v>
      </c>
      <c r="H13843" s="4" t="n">
        <v>3</v>
      </c>
      <c r="I13843" s="4" t="str">
        <v>○</v>
      </c>
      <c r="J13843" s="4" t="n">
        <v>790</v>
      </c>
      <c r="K13843" s="4"/>
      <c r="L13843" s="4"/>
      <c r="M13843" s="7" t="s">
        <v>6556</v>
      </c>
    </row>
    <row r="13844" customFormat="false" ht="15.75" hidden="false" customHeight="false" outlineLevel="0" collapsed="false">
      <c r="A13844" s="6" t="n">
        <f aca="false">DATE(2026,8,16)</f>
        <v>46250</v>
      </c>
      <c r="B13844" s="4" t="s">
        <v>13</v>
      </c>
      <c r="C13844" s="4" t="n">
        <v>11</v>
      </c>
      <c r="D13844" s="4" t="n">
        <v>9</v>
      </c>
      <c r="E13844" s="4" t="s">
        <v>5610</v>
      </c>
      <c r="F13844" s="4" t="n">
        <v>65</v>
      </c>
      <c r="G13844" s="4" t="n">
        <v>1</v>
      </c>
      <c r="H13844" s="4" t="n">
        <v>2</v>
      </c>
      <c r="I13844" s="4" t="str">
        <v>○</v>
      </c>
      <c r="J13844" s="4" t="n">
        <v>160</v>
      </c>
      <c r="K13844" s="4"/>
      <c r="L13844" s="4"/>
      <c r="M13844" s="7" t="s">
        <v>6556</v>
      </c>
    </row>
    <row r="13845" customFormat="false" ht="15.75" hidden="false" customHeight="false" outlineLevel="0" collapsed="false">
      <c r="A13845" s="6" t="n">
        <f aca="false">DATE(2026,8,16)</f>
        <v>46250</v>
      </c>
      <c r="B13845" s="4" t="s">
        <v>13</v>
      </c>
      <c r="C13845" s="4" t="n">
        <v>12</v>
      </c>
      <c r="D13845" s="4" t="n">
        <v>1</v>
      </c>
      <c r="E13845" s="4" t="s">
        <v>4108</v>
      </c>
      <c r="F13845" s="4" t="n">
        <v>1</v>
      </c>
      <c r="G13845" s="4" t="n">
        <v>15</v>
      </c>
      <c r="H13845" s="4" t="n">
        <v>4</v>
      </c>
      <c r="I13845" s="4" t="str">
        <v>×</v>
      </c>
      <c r="J13845" s="4"/>
      <c r="K13845" s="4"/>
      <c r="L13845" s="4"/>
      <c r="M13845" s="7" t="s">
        <v>6556</v>
      </c>
    </row>
    <row r="13846" customFormat="false" ht="15.75" hidden="false" customHeight="false" outlineLevel="0" collapsed="false">
      <c r="A13846" s="6" t="n">
        <f aca="false">DATE(2026,8,16)</f>
        <v>46250</v>
      </c>
      <c r="B13846" s="4" t="s">
        <v>13</v>
      </c>
      <c r="C13846" s="4" t="n">
        <v>12</v>
      </c>
      <c r="D13846" s="4" t="n">
        <v>2</v>
      </c>
      <c r="E13846" s="4" t="s">
        <v>54</v>
      </c>
      <c r="F13846" s="4" t="n">
        <v>20</v>
      </c>
      <c r="G13846" s="4" t="n">
        <v>6</v>
      </c>
      <c r="H13846" s="4" t="n">
        <v>4</v>
      </c>
      <c r="I13846" s="4" t="str">
        <v>×</v>
      </c>
      <c r="J13846" s="4"/>
      <c r="K13846" s="4"/>
      <c r="L13846" s="4"/>
      <c r="M13846" s="7" t="s">
        <v>6556</v>
      </c>
    </row>
    <row r="13847" customFormat="false" ht="15.75" hidden="false" customHeight="false" outlineLevel="0" collapsed="false">
      <c r="A13847" s="6" t="n">
        <f aca="false">DATE(2026,8,16)</f>
        <v>46250</v>
      </c>
      <c r="B13847" s="4" t="s">
        <v>13</v>
      </c>
      <c r="C13847" s="4" t="n">
        <v>12</v>
      </c>
      <c r="D13847" s="4" t="n">
        <v>3</v>
      </c>
      <c r="E13847" s="4" t="s">
        <v>593</v>
      </c>
      <c r="F13847" s="4" t="n">
        <v>34</v>
      </c>
      <c r="G13847" s="4" t="n">
        <v>4</v>
      </c>
      <c r="H13847" s="4" t="n">
        <v>4</v>
      </c>
      <c r="I13847" s="4" t="str">
        <v>×</v>
      </c>
      <c r="J13847" s="4"/>
      <c r="K13847" s="4"/>
      <c r="L13847" s="4"/>
      <c r="M13847" s="7" t="s">
        <v>6556</v>
      </c>
    </row>
    <row r="13848" customFormat="false" ht="15.75" hidden="false" customHeight="false" outlineLevel="0" collapsed="false">
      <c r="A13848" s="6" t="n">
        <f aca="false">DATE(2026,8,16)</f>
        <v>46250</v>
      </c>
      <c r="B13848" s="4" t="s">
        <v>13</v>
      </c>
      <c r="C13848" s="4" t="n">
        <v>12</v>
      </c>
      <c r="D13848" s="4" t="n">
        <v>4</v>
      </c>
      <c r="E13848" s="4" t="s">
        <v>3807</v>
      </c>
      <c r="F13848" s="4" t="n">
        <v>6</v>
      </c>
      <c r="G13848" s="4" t="n">
        <v>10</v>
      </c>
      <c r="H13848" s="4" t="n">
        <v>4</v>
      </c>
      <c r="I13848" s="4" t="str">
        <v>×</v>
      </c>
      <c r="J13848" s="4"/>
      <c r="K13848" s="4"/>
      <c r="L13848" s="4"/>
      <c r="M13848" s="7" t="s">
        <v>6556</v>
      </c>
    </row>
    <row r="13849" customFormat="false" ht="15.75" hidden="false" customHeight="false" outlineLevel="0" collapsed="false">
      <c r="A13849" s="6" t="n">
        <f aca="false">DATE(2026,8,16)</f>
        <v>46250</v>
      </c>
      <c r="B13849" s="4" t="s">
        <v>13</v>
      </c>
      <c r="C13849" s="4" t="n">
        <v>12</v>
      </c>
      <c r="D13849" s="4" t="n">
        <v>5</v>
      </c>
      <c r="E13849" s="4" t="s">
        <v>3797</v>
      </c>
      <c r="F13849" s="4" t="n">
        <v>3</v>
      </c>
      <c r="G13849" s="4" t="n">
        <v>12</v>
      </c>
      <c r="H13849" s="4" t="n">
        <v>4</v>
      </c>
      <c r="I13849" s="4" t="str">
        <v>×</v>
      </c>
      <c r="J13849" s="4"/>
      <c r="K13849" s="4"/>
      <c r="L13849" s="4"/>
      <c r="M13849" s="7" t="s">
        <v>6556</v>
      </c>
    </row>
    <row r="13850" customFormat="false" ht="15.75" hidden="false" customHeight="false" outlineLevel="0" collapsed="false">
      <c r="A13850" s="6" t="n">
        <f aca="false">DATE(2026,8,16)</f>
        <v>46250</v>
      </c>
      <c r="B13850" s="4" t="s">
        <v>13</v>
      </c>
      <c r="C13850" s="4" t="n">
        <v>12</v>
      </c>
      <c r="D13850" s="4" t="n">
        <v>6</v>
      </c>
      <c r="E13850" s="4" t="s">
        <v>6827</v>
      </c>
      <c r="F13850" s="4" t="n">
        <v>20</v>
      </c>
      <c r="G13850" s="4" t="n">
        <v>7</v>
      </c>
      <c r="H13850" s="4" t="n">
        <v>4</v>
      </c>
      <c r="I13850" s="4" t="str">
        <v>×</v>
      </c>
      <c r="J13850" s="4"/>
      <c r="K13850" s="4"/>
      <c r="L13850" s="4"/>
      <c r="M13850" s="7" t="s">
        <v>6556</v>
      </c>
    </row>
    <row r="13851" customFormat="false" ht="15.75" hidden="false" customHeight="false" outlineLevel="0" collapsed="false">
      <c r="A13851" s="6" t="n">
        <f aca="false">DATE(2026,8,16)</f>
        <v>46250</v>
      </c>
      <c r="B13851" s="4" t="s">
        <v>13</v>
      </c>
      <c r="C13851" s="4" t="n">
        <v>12</v>
      </c>
      <c r="D13851" s="4" t="n">
        <v>7</v>
      </c>
      <c r="E13851" s="4" t="s">
        <v>6828</v>
      </c>
      <c r="F13851" s="4" t="n">
        <v>31</v>
      </c>
      <c r="G13851" s="4" t="n">
        <v>5</v>
      </c>
      <c r="H13851" s="4" t="n">
        <v>4</v>
      </c>
      <c r="I13851" s="4" t="str">
        <v>×</v>
      </c>
      <c r="J13851" s="4"/>
      <c r="K13851" s="4"/>
      <c r="L13851" s="4"/>
      <c r="M13851" s="7" t="s">
        <v>6556</v>
      </c>
    </row>
    <row r="13852" customFormat="false" ht="15.75" hidden="false" customHeight="false" outlineLevel="0" collapsed="false">
      <c r="A13852" s="6" t="n">
        <f aca="false">DATE(2026,8,16)</f>
        <v>46250</v>
      </c>
      <c r="B13852" s="4" t="s">
        <v>13</v>
      </c>
      <c r="C13852" s="4" t="n">
        <v>12</v>
      </c>
      <c r="D13852" s="4" t="n">
        <v>8</v>
      </c>
      <c r="E13852" s="4" t="s">
        <v>4717</v>
      </c>
      <c r="F13852" s="4" t="n">
        <v>17</v>
      </c>
      <c r="G13852" s="4" t="n">
        <v>8</v>
      </c>
      <c r="H13852" s="4" t="n">
        <v>4</v>
      </c>
      <c r="I13852" s="4" t="str">
        <v>×</v>
      </c>
      <c r="J13852" s="4"/>
      <c r="K13852" s="4"/>
      <c r="L13852" s="4"/>
      <c r="M13852" s="7" t="s">
        <v>6556</v>
      </c>
    </row>
    <row r="13853" customFormat="false" ht="15.75" hidden="false" customHeight="false" outlineLevel="0" collapsed="false">
      <c r="A13853" s="6" t="n">
        <f aca="false">DATE(2026,8,16)</f>
        <v>46250</v>
      </c>
      <c r="B13853" s="4" t="s">
        <v>13</v>
      </c>
      <c r="C13853" s="4" t="n">
        <v>12</v>
      </c>
      <c r="D13853" s="4" t="n">
        <v>9</v>
      </c>
      <c r="E13853" s="4" t="s">
        <v>2297</v>
      </c>
      <c r="F13853" s="4" t="n">
        <v>3</v>
      </c>
      <c r="G13853" s="4" t="n">
        <v>13</v>
      </c>
      <c r="H13853" s="4" t="n">
        <v>4</v>
      </c>
      <c r="I13853" s="4" t="str">
        <v>×</v>
      </c>
      <c r="J13853" s="4"/>
      <c r="K13853" s="4"/>
      <c r="L13853" s="4"/>
      <c r="M13853" s="7" t="s">
        <v>6556</v>
      </c>
    </row>
    <row r="13854" customFormat="false" ht="15.75" hidden="false" customHeight="false" outlineLevel="0" collapsed="false">
      <c r="A13854" s="6" t="n">
        <f aca="false">DATE(2026,8,16)</f>
        <v>46250</v>
      </c>
      <c r="B13854" s="4" t="s">
        <v>13</v>
      </c>
      <c r="C13854" s="4" t="n">
        <v>12</v>
      </c>
      <c r="D13854" s="4" t="n">
        <v>10</v>
      </c>
      <c r="E13854" s="4" t="s">
        <v>6829</v>
      </c>
      <c r="F13854" s="4" t="n">
        <v>41</v>
      </c>
      <c r="G13854" s="4" t="n">
        <v>3</v>
      </c>
      <c r="H13854" s="4" t="n">
        <v>4</v>
      </c>
      <c r="I13854" s="4" t="str">
        <v>×</v>
      </c>
      <c r="J13854" s="4"/>
      <c r="K13854" s="4"/>
      <c r="L13854" s="4"/>
      <c r="M13854" s="7" t="s">
        <v>6556</v>
      </c>
    </row>
    <row r="13855" customFormat="false" ht="15.75" hidden="false" customHeight="false" outlineLevel="0" collapsed="false">
      <c r="A13855" s="6" t="n">
        <f aca="false">DATE(2026,8,16)</f>
        <v>46250</v>
      </c>
      <c r="B13855" s="4" t="s">
        <v>13</v>
      </c>
      <c r="C13855" s="4" t="n">
        <v>12</v>
      </c>
      <c r="D13855" s="4" t="n">
        <v>11</v>
      </c>
      <c r="E13855" s="4" t="s">
        <v>594</v>
      </c>
      <c r="F13855" s="4" t="n">
        <v>60</v>
      </c>
      <c r="G13855" s="4" t="n">
        <v>1</v>
      </c>
      <c r="H13855" s="4" t="n">
        <v>2</v>
      </c>
      <c r="I13855" s="4" t="str">
        <v>○</v>
      </c>
      <c r="J13855" s="4" t="n">
        <v>160</v>
      </c>
      <c r="K13855" s="4"/>
      <c r="L13855" s="4"/>
      <c r="M13855" s="7" t="s">
        <v>6556</v>
      </c>
    </row>
    <row r="13856" customFormat="false" ht="15.75" hidden="false" customHeight="false" outlineLevel="0" collapsed="false">
      <c r="A13856" s="6" t="n">
        <f aca="false">DATE(2026,8,16)</f>
        <v>46250</v>
      </c>
      <c r="B13856" s="4" t="s">
        <v>13</v>
      </c>
      <c r="C13856" s="4" t="n">
        <v>12</v>
      </c>
      <c r="D13856" s="4" t="n">
        <v>12</v>
      </c>
      <c r="E13856" s="4" t="s">
        <v>5539</v>
      </c>
      <c r="F13856" s="4" t="n">
        <v>8</v>
      </c>
      <c r="G13856" s="4" t="n">
        <v>9</v>
      </c>
      <c r="H13856" s="4" t="n">
        <v>4</v>
      </c>
      <c r="I13856" s="4" t="str">
        <v>×</v>
      </c>
      <c r="J13856" s="4"/>
      <c r="K13856" s="4"/>
      <c r="L13856" s="4"/>
      <c r="M13856" s="7" t="s">
        <v>6556</v>
      </c>
    </row>
    <row r="13857" customFormat="false" ht="15.75" hidden="false" customHeight="false" outlineLevel="0" collapsed="false">
      <c r="A13857" s="6" t="n">
        <f aca="false">DATE(2026,8,16)</f>
        <v>46250</v>
      </c>
      <c r="B13857" s="4" t="s">
        <v>13</v>
      </c>
      <c r="C13857" s="4" t="n">
        <v>12</v>
      </c>
      <c r="D13857" s="4" t="n">
        <v>13</v>
      </c>
      <c r="E13857" s="4" t="s">
        <v>3789</v>
      </c>
      <c r="F13857" s="4" t="n">
        <v>56</v>
      </c>
      <c r="G13857" s="4" t="n">
        <v>2</v>
      </c>
      <c r="H13857" s="4" t="n">
        <v>1</v>
      </c>
      <c r="I13857" s="4" t="str">
        <v>○</v>
      </c>
      <c r="J13857" s="4" t="n">
        <v>170</v>
      </c>
      <c r="K13857" s="4"/>
      <c r="L13857" s="4"/>
      <c r="M13857" s="7" t="s">
        <v>6556</v>
      </c>
    </row>
    <row r="13858" customFormat="false" ht="15.75" hidden="false" customHeight="false" outlineLevel="0" collapsed="false">
      <c r="A13858" s="6" t="n">
        <f aca="false">DATE(2026,8,16)</f>
        <v>46250</v>
      </c>
      <c r="B13858" s="4" t="s">
        <v>13</v>
      </c>
      <c r="C13858" s="4" t="n">
        <v>12</v>
      </c>
      <c r="D13858" s="4" t="n">
        <v>14</v>
      </c>
      <c r="E13858" s="4" t="s">
        <v>625</v>
      </c>
      <c r="F13858" s="4" t="n">
        <v>3</v>
      </c>
      <c r="G13858" s="4" t="n">
        <v>14</v>
      </c>
      <c r="H13858" s="4" t="n">
        <v>4</v>
      </c>
      <c r="I13858" s="4" t="str">
        <v>×</v>
      </c>
      <c r="J13858" s="4"/>
      <c r="K13858" s="4"/>
      <c r="L13858" s="4"/>
      <c r="M13858" s="7" t="s">
        <v>6556</v>
      </c>
    </row>
    <row r="13859" customFormat="false" ht="15.75" hidden="false" customHeight="false" outlineLevel="0" collapsed="false">
      <c r="A13859" s="6" t="n">
        <f aca="false">DATE(2026,8,16)</f>
        <v>46250</v>
      </c>
      <c r="B13859" s="4" t="s">
        <v>13</v>
      </c>
      <c r="C13859" s="4" t="n">
        <v>12</v>
      </c>
      <c r="D13859" s="4" t="n">
        <v>15</v>
      </c>
      <c r="E13859" s="4" t="s">
        <v>600</v>
      </c>
      <c r="F13859" s="4" t="n">
        <v>6</v>
      </c>
      <c r="G13859" s="4" t="n">
        <v>11</v>
      </c>
      <c r="H13859" s="4" t="n">
        <v>3</v>
      </c>
      <c r="I13859" s="4" t="str">
        <v>○</v>
      </c>
      <c r="J13859" s="4" t="n">
        <v>710</v>
      </c>
      <c r="K13859" s="4"/>
      <c r="L13859" s="4"/>
      <c r="M13859" s="7" t="s">
        <v>6556</v>
      </c>
    </row>
    <row r="13860" customFormat="false" ht="15.75" hidden="false" customHeight="false" outlineLevel="0" collapsed="false">
      <c r="A13860" s="6" t="n">
        <f aca="false">DATE(2026,8,16)</f>
        <v>46250</v>
      </c>
      <c r="B13860" s="4" t="s">
        <v>334</v>
      </c>
      <c r="C13860" s="4" t="n">
        <v>1</v>
      </c>
      <c r="D13860" s="4" t="n">
        <v>1</v>
      </c>
      <c r="E13860" s="4" t="s">
        <v>3505</v>
      </c>
      <c r="F13860" s="4" t="n">
        <v>39</v>
      </c>
      <c r="G13860" s="4" t="n">
        <v>4</v>
      </c>
      <c r="H13860" s="4" t="n">
        <v>4</v>
      </c>
      <c r="I13860" s="4" t="str">
        <v>×</v>
      </c>
      <c r="J13860" s="4"/>
      <c r="K13860" s="4"/>
      <c r="L13860" s="4"/>
      <c r="M13860" s="7" t="s">
        <v>6556</v>
      </c>
    </row>
    <row r="13861" customFormat="false" ht="15.75" hidden="false" customHeight="false" outlineLevel="0" collapsed="false">
      <c r="A13861" s="6" t="n">
        <f aca="false">DATE(2026,8,16)</f>
        <v>46250</v>
      </c>
      <c r="B13861" s="4" t="s">
        <v>334</v>
      </c>
      <c r="C13861" s="4" t="n">
        <v>1</v>
      </c>
      <c r="D13861" s="4" t="n">
        <v>2</v>
      </c>
      <c r="E13861" s="4" t="s">
        <v>3278</v>
      </c>
      <c r="F13861" s="4" t="n">
        <v>10</v>
      </c>
      <c r="G13861" s="4" t="n">
        <v>6</v>
      </c>
      <c r="H13861" s="4" t="n">
        <v>4</v>
      </c>
      <c r="I13861" s="4" t="str">
        <v>×</v>
      </c>
      <c r="J13861" s="4"/>
      <c r="K13861" s="4"/>
      <c r="L13861" s="4"/>
      <c r="M13861" s="7" t="s">
        <v>6556</v>
      </c>
    </row>
    <row r="13862" customFormat="false" ht="15.75" hidden="false" customHeight="false" outlineLevel="0" collapsed="false">
      <c r="A13862" s="6" t="n">
        <f aca="false">DATE(2026,8,16)</f>
        <v>46250</v>
      </c>
      <c r="B13862" s="4" t="s">
        <v>334</v>
      </c>
      <c r="C13862" s="4" t="n">
        <v>1</v>
      </c>
      <c r="D13862" s="4" t="n">
        <v>3</v>
      </c>
      <c r="E13862" s="4" t="s">
        <v>2190</v>
      </c>
      <c r="F13862" s="4" t="n">
        <v>29</v>
      </c>
      <c r="G13862" s="4" t="n">
        <v>5</v>
      </c>
      <c r="H13862" s="4" t="n">
        <v>2</v>
      </c>
      <c r="I13862" s="4" t="str">
        <v>○</v>
      </c>
      <c r="J13862" s="4" t="n">
        <v>290</v>
      </c>
      <c r="K13862" s="4"/>
      <c r="L13862" s="4"/>
      <c r="M13862" s="7" t="s">
        <v>6556</v>
      </c>
    </row>
    <row r="13863" customFormat="false" ht="15.75" hidden="false" customHeight="false" outlineLevel="0" collapsed="false">
      <c r="A13863" s="6" t="n">
        <f aca="false">DATE(2026,8,16)</f>
        <v>46250</v>
      </c>
      <c r="B13863" s="4" t="s">
        <v>334</v>
      </c>
      <c r="C13863" s="4" t="n">
        <v>1</v>
      </c>
      <c r="D13863" s="4" t="n">
        <v>4</v>
      </c>
      <c r="E13863" s="4" t="s">
        <v>1888</v>
      </c>
      <c r="F13863" s="4" t="n">
        <v>3</v>
      </c>
      <c r="G13863" s="4" t="n">
        <v>11</v>
      </c>
      <c r="H13863" s="4" t="n">
        <v>4</v>
      </c>
      <c r="I13863" s="4" t="str">
        <v>×</v>
      </c>
      <c r="J13863" s="4"/>
      <c r="K13863" s="4"/>
      <c r="L13863" s="4"/>
      <c r="M13863" s="7" t="s">
        <v>6556</v>
      </c>
    </row>
    <row r="13864" customFormat="false" ht="15.75" hidden="false" customHeight="false" outlineLevel="0" collapsed="false">
      <c r="A13864" s="6" t="n">
        <f aca="false">DATE(2026,8,16)</f>
        <v>46250</v>
      </c>
      <c r="B13864" s="4" t="s">
        <v>334</v>
      </c>
      <c r="C13864" s="4" t="n">
        <v>1</v>
      </c>
      <c r="D13864" s="4" t="n">
        <v>5</v>
      </c>
      <c r="E13864" s="4" t="s">
        <v>1738</v>
      </c>
      <c r="F13864" s="4" t="n">
        <v>58</v>
      </c>
      <c r="G13864" s="4" t="n">
        <v>1</v>
      </c>
      <c r="H13864" s="4" t="n">
        <v>4</v>
      </c>
      <c r="I13864" s="4" t="str">
        <v>×</v>
      </c>
      <c r="J13864" s="4"/>
      <c r="K13864" s="4"/>
      <c r="L13864" s="4"/>
      <c r="M13864" s="7" t="s">
        <v>6556</v>
      </c>
    </row>
    <row r="13865" customFormat="false" ht="15.75" hidden="false" customHeight="false" outlineLevel="0" collapsed="false">
      <c r="A13865" s="6" t="n">
        <f aca="false">DATE(2026,8,16)</f>
        <v>46250</v>
      </c>
      <c r="B13865" s="4" t="s">
        <v>334</v>
      </c>
      <c r="C13865" s="4" t="n">
        <v>1</v>
      </c>
      <c r="D13865" s="4" t="n">
        <v>6</v>
      </c>
      <c r="E13865" s="4" t="s">
        <v>6830</v>
      </c>
      <c r="F13865" s="4" t="n">
        <v>3</v>
      </c>
      <c r="G13865" s="4" t="n">
        <v>12</v>
      </c>
      <c r="H13865" s="4" t="n">
        <v>4</v>
      </c>
      <c r="I13865" s="4" t="str">
        <v>×</v>
      </c>
      <c r="J13865" s="4"/>
      <c r="K13865" s="4"/>
      <c r="L13865" s="4"/>
      <c r="M13865" s="7" t="s">
        <v>6556</v>
      </c>
    </row>
    <row r="13866" customFormat="false" ht="15.75" hidden="false" customHeight="false" outlineLevel="0" collapsed="false">
      <c r="A13866" s="6" t="n">
        <f aca="false">DATE(2026,8,16)</f>
        <v>46250</v>
      </c>
      <c r="B13866" s="4" t="s">
        <v>334</v>
      </c>
      <c r="C13866" s="4" t="n">
        <v>1</v>
      </c>
      <c r="D13866" s="4" t="n">
        <v>7</v>
      </c>
      <c r="E13866" s="4" t="s">
        <v>6831</v>
      </c>
      <c r="F13866" s="4" t="n">
        <v>4</v>
      </c>
      <c r="G13866" s="4" t="n">
        <v>10</v>
      </c>
      <c r="H13866" s="4" t="n">
        <v>4</v>
      </c>
      <c r="I13866" s="4" t="str">
        <v>×</v>
      </c>
      <c r="J13866" s="4"/>
      <c r="K13866" s="4"/>
      <c r="L13866" s="4"/>
      <c r="M13866" s="7" t="s">
        <v>6556</v>
      </c>
    </row>
    <row r="13867" customFormat="false" ht="15.75" hidden="false" customHeight="false" outlineLevel="0" collapsed="false">
      <c r="A13867" s="6" t="n">
        <f aca="false">DATE(2026,8,16)</f>
        <v>46250</v>
      </c>
      <c r="B13867" s="4" t="s">
        <v>334</v>
      </c>
      <c r="C13867" s="4" t="n">
        <v>1</v>
      </c>
      <c r="D13867" s="4" t="n">
        <v>8</v>
      </c>
      <c r="E13867" s="4" t="s">
        <v>2849</v>
      </c>
      <c r="F13867" s="4" t="n">
        <v>8</v>
      </c>
      <c r="G13867" s="4" t="n">
        <v>7</v>
      </c>
      <c r="H13867" s="4" t="n">
        <v>4</v>
      </c>
      <c r="I13867" s="4" t="str">
        <v>×</v>
      </c>
      <c r="J13867" s="4"/>
      <c r="K13867" s="4"/>
      <c r="L13867" s="4"/>
      <c r="M13867" s="7" t="s">
        <v>6556</v>
      </c>
    </row>
    <row r="13868" customFormat="false" ht="15.75" hidden="false" customHeight="false" outlineLevel="0" collapsed="false">
      <c r="A13868" s="6" t="n">
        <f aca="false">DATE(2026,8,16)</f>
        <v>46250</v>
      </c>
      <c r="B13868" s="4" t="s">
        <v>334</v>
      </c>
      <c r="C13868" s="4" t="n">
        <v>1</v>
      </c>
      <c r="D13868" s="4" t="n">
        <v>9</v>
      </c>
      <c r="E13868" s="4" t="s">
        <v>782</v>
      </c>
      <c r="F13868" s="4" t="n">
        <v>3</v>
      </c>
      <c r="G13868" s="4" t="n">
        <v>13</v>
      </c>
      <c r="H13868" s="4" t="n">
        <v>4</v>
      </c>
      <c r="I13868" s="4" t="str">
        <v>×</v>
      </c>
      <c r="J13868" s="4"/>
      <c r="K13868" s="4"/>
      <c r="L13868" s="4"/>
      <c r="M13868" s="7" t="s">
        <v>6556</v>
      </c>
    </row>
    <row r="13869" customFormat="false" ht="15.75" hidden="false" customHeight="false" outlineLevel="0" collapsed="false">
      <c r="A13869" s="6" t="n">
        <f aca="false">DATE(2026,8,16)</f>
        <v>46250</v>
      </c>
      <c r="B13869" s="4" t="s">
        <v>334</v>
      </c>
      <c r="C13869" s="4" t="n">
        <v>1</v>
      </c>
      <c r="D13869" s="4" t="n">
        <v>10</v>
      </c>
      <c r="E13869" s="4" t="s">
        <v>802</v>
      </c>
      <c r="F13869" s="4" t="n">
        <v>58</v>
      </c>
      <c r="G13869" s="4" t="n">
        <v>2</v>
      </c>
      <c r="H13869" s="4" t="n">
        <v>1</v>
      </c>
      <c r="I13869" s="4" t="str">
        <v>○</v>
      </c>
      <c r="J13869" s="4" t="n">
        <v>170</v>
      </c>
      <c r="K13869" s="4"/>
      <c r="L13869" s="4"/>
      <c r="M13869" s="7" t="s">
        <v>6556</v>
      </c>
    </row>
    <row r="13870" customFormat="false" ht="15.75" hidden="false" customHeight="false" outlineLevel="0" collapsed="false">
      <c r="A13870" s="6" t="n">
        <f aca="false">DATE(2026,8,16)</f>
        <v>46250</v>
      </c>
      <c r="B13870" s="4" t="s">
        <v>334</v>
      </c>
      <c r="C13870" s="4" t="n">
        <v>1</v>
      </c>
      <c r="D13870" s="4" t="n">
        <v>11</v>
      </c>
      <c r="E13870" s="4" t="s">
        <v>1431</v>
      </c>
      <c r="F13870" s="4" t="n">
        <v>8</v>
      </c>
      <c r="G13870" s="4" t="n">
        <v>8</v>
      </c>
      <c r="H13870" s="4" t="n">
        <v>4</v>
      </c>
      <c r="I13870" s="4" t="str">
        <v>×</v>
      </c>
      <c r="J13870" s="4"/>
      <c r="K13870" s="4"/>
      <c r="L13870" s="4"/>
      <c r="M13870" s="7" t="s">
        <v>6556</v>
      </c>
    </row>
    <row r="13871" customFormat="false" ht="15.75" hidden="false" customHeight="false" outlineLevel="0" collapsed="false">
      <c r="A13871" s="6" t="n">
        <f aca="false">DATE(2026,8,16)</f>
        <v>46250</v>
      </c>
      <c r="B13871" s="4" t="s">
        <v>334</v>
      </c>
      <c r="C13871" s="4" t="n">
        <v>1</v>
      </c>
      <c r="D13871" s="4" t="n">
        <v>12</v>
      </c>
      <c r="E13871" s="4" t="s">
        <v>370</v>
      </c>
      <c r="F13871" s="4" t="n">
        <v>2</v>
      </c>
      <c r="G13871" s="4" t="n">
        <v>14</v>
      </c>
      <c r="H13871" s="4" t="n">
        <v>4</v>
      </c>
      <c r="I13871" s="4" t="str">
        <v>×</v>
      </c>
      <c r="J13871" s="4"/>
      <c r="K13871" s="4"/>
      <c r="L13871" s="4"/>
      <c r="M13871" s="7" t="s">
        <v>6556</v>
      </c>
    </row>
    <row r="13872" customFormat="false" ht="15.75" hidden="false" customHeight="false" outlineLevel="0" collapsed="false">
      <c r="A13872" s="6" t="n">
        <f aca="false">DATE(2026,8,16)</f>
        <v>46250</v>
      </c>
      <c r="B13872" s="4" t="s">
        <v>334</v>
      </c>
      <c r="C13872" s="4" t="n">
        <v>1</v>
      </c>
      <c r="D13872" s="4" t="n">
        <v>13</v>
      </c>
      <c r="E13872" s="4" t="s">
        <v>2954</v>
      </c>
      <c r="F13872" s="4" t="n">
        <v>52</v>
      </c>
      <c r="G13872" s="4" t="n">
        <v>3</v>
      </c>
      <c r="H13872" s="4" t="n">
        <v>4</v>
      </c>
      <c r="I13872" s="4" t="str">
        <v>×</v>
      </c>
      <c r="J13872" s="4"/>
      <c r="K13872" s="4"/>
      <c r="L13872" s="4"/>
      <c r="M13872" s="7" t="s">
        <v>6556</v>
      </c>
    </row>
    <row r="13873" customFormat="false" ht="15.75" hidden="false" customHeight="false" outlineLevel="0" collapsed="false">
      <c r="A13873" s="6" t="n">
        <f aca="false">DATE(2026,8,16)</f>
        <v>46250</v>
      </c>
      <c r="B13873" s="4" t="s">
        <v>334</v>
      </c>
      <c r="C13873" s="4" t="n">
        <v>1</v>
      </c>
      <c r="D13873" s="4" t="n">
        <v>14</v>
      </c>
      <c r="E13873" s="4" t="s">
        <v>1740</v>
      </c>
      <c r="F13873" s="4" t="n">
        <v>6</v>
      </c>
      <c r="G13873" s="4" t="n">
        <v>9</v>
      </c>
      <c r="H13873" s="4" t="n">
        <v>3</v>
      </c>
      <c r="I13873" s="4" t="str">
        <v>○</v>
      </c>
      <c r="J13873" s="4" t="n">
        <v>960</v>
      </c>
      <c r="K13873" s="4"/>
      <c r="L13873" s="4"/>
      <c r="M13873" s="7" t="s">
        <v>6556</v>
      </c>
    </row>
    <row r="13874" customFormat="false" ht="15.75" hidden="false" customHeight="false" outlineLevel="0" collapsed="false">
      <c r="A13874" s="6" t="n">
        <f aca="false">DATE(2026,8,16)</f>
        <v>46250</v>
      </c>
      <c r="B13874" s="4" t="s">
        <v>334</v>
      </c>
      <c r="C13874" s="4" t="n">
        <v>2</v>
      </c>
      <c r="D13874" s="4" t="n">
        <v>1</v>
      </c>
      <c r="E13874" s="4" t="s">
        <v>791</v>
      </c>
      <c r="F13874" s="4" t="n">
        <v>17</v>
      </c>
      <c r="G13874" s="4" t="n">
        <v>5</v>
      </c>
      <c r="H13874" s="4" t="n">
        <v>4</v>
      </c>
      <c r="I13874" s="4" t="str">
        <v>×</v>
      </c>
      <c r="J13874" s="4"/>
      <c r="K13874" s="4"/>
      <c r="L13874" s="4"/>
      <c r="M13874" s="7" t="s">
        <v>6556</v>
      </c>
    </row>
    <row r="13875" customFormat="false" ht="15.75" hidden="false" customHeight="false" outlineLevel="0" collapsed="false">
      <c r="A13875" s="6" t="n">
        <f aca="false">DATE(2026,8,16)</f>
        <v>46250</v>
      </c>
      <c r="B13875" s="4" t="s">
        <v>334</v>
      </c>
      <c r="C13875" s="4" t="n">
        <v>2</v>
      </c>
      <c r="D13875" s="4" t="n">
        <v>2</v>
      </c>
      <c r="E13875" s="4" t="s">
        <v>6832</v>
      </c>
      <c r="F13875" s="4" t="n">
        <v>17</v>
      </c>
      <c r="G13875" s="4" t="n">
        <v>6</v>
      </c>
      <c r="H13875" s="4" t="n">
        <v>3</v>
      </c>
      <c r="I13875" s="4" t="str">
        <v>○</v>
      </c>
      <c r="J13875" s="4" t="n">
        <v>450</v>
      </c>
      <c r="K13875" s="4"/>
      <c r="L13875" s="4"/>
      <c r="M13875" s="7" t="s">
        <v>6556</v>
      </c>
    </row>
    <row r="13876" customFormat="false" ht="15.75" hidden="false" customHeight="false" outlineLevel="0" collapsed="false">
      <c r="A13876" s="6" t="n">
        <f aca="false">DATE(2026,8,16)</f>
        <v>46250</v>
      </c>
      <c r="B13876" s="4" t="s">
        <v>334</v>
      </c>
      <c r="C13876" s="4" t="n">
        <v>2</v>
      </c>
      <c r="D13876" s="4" t="n">
        <v>3</v>
      </c>
      <c r="E13876" s="4" t="s">
        <v>6833</v>
      </c>
      <c r="F13876" s="4" t="n">
        <v>81</v>
      </c>
      <c r="G13876" s="4" t="n">
        <v>1</v>
      </c>
      <c r="H13876" s="4" t="n">
        <v>1</v>
      </c>
      <c r="I13876" s="4" t="str">
        <v>○</v>
      </c>
      <c r="J13876" s="4" t="n">
        <v>110</v>
      </c>
      <c r="K13876" s="4"/>
      <c r="L13876" s="4"/>
      <c r="M13876" s="7" t="s">
        <v>6556</v>
      </c>
    </row>
    <row r="13877" customFormat="false" ht="15.75" hidden="false" customHeight="false" outlineLevel="0" collapsed="false">
      <c r="A13877" s="6" t="n">
        <f aca="false">DATE(2026,8,16)</f>
        <v>46250</v>
      </c>
      <c r="B13877" s="4" t="s">
        <v>334</v>
      </c>
      <c r="C13877" s="4" t="n">
        <v>2</v>
      </c>
      <c r="D13877" s="4" t="n">
        <v>4</v>
      </c>
      <c r="E13877" s="4" t="s">
        <v>345</v>
      </c>
      <c r="F13877" s="4" t="n">
        <v>15</v>
      </c>
      <c r="G13877" s="4" t="n">
        <v>8</v>
      </c>
      <c r="H13877" s="4" t="n">
        <v>4</v>
      </c>
      <c r="I13877" s="4" t="str">
        <v>×</v>
      </c>
      <c r="J13877" s="4"/>
      <c r="K13877" s="4"/>
      <c r="L13877" s="4"/>
      <c r="M13877" s="7" t="s">
        <v>6556</v>
      </c>
    </row>
    <row r="13878" customFormat="false" ht="15.75" hidden="false" customHeight="false" outlineLevel="0" collapsed="false">
      <c r="A13878" s="6" t="n">
        <f aca="false">DATE(2026,8,16)</f>
        <v>46250</v>
      </c>
      <c r="B13878" s="4" t="s">
        <v>334</v>
      </c>
      <c r="C13878" s="4" t="n">
        <v>2</v>
      </c>
      <c r="D13878" s="4" t="n">
        <v>5</v>
      </c>
      <c r="E13878" s="4" t="s">
        <v>1720</v>
      </c>
      <c r="F13878" s="4" t="n">
        <v>31</v>
      </c>
      <c r="G13878" s="4" t="n">
        <v>3</v>
      </c>
      <c r="H13878" s="4" t="n">
        <v>4</v>
      </c>
      <c r="I13878" s="4" t="str">
        <v>×</v>
      </c>
      <c r="J13878" s="4"/>
      <c r="K13878" s="4"/>
      <c r="L13878" s="4"/>
      <c r="M13878" s="7" t="s">
        <v>6556</v>
      </c>
    </row>
    <row r="13879" customFormat="false" ht="15.75" hidden="false" customHeight="false" outlineLevel="0" collapsed="false">
      <c r="A13879" s="6" t="n">
        <f aca="false">DATE(2026,8,16)</f>
        <v>46250</v>
      </c>
      <c r="B13879" s="4" t="s">
        <v>334</v>
      </c>
      <c r="C13879" s="4" t="n">
        <v>2</v>
      </c>
      <c r="D13879" s="4" t="n">
        <v>6</v>
      </c>
      <c r="E13879" s="4" t="s">
        <v>1725</v>
      </c>
      <c r="F13879" s="4" t="n">
        <v>58</v>
      </c>
      <c r="G13879" s="4" t="n">
        <v>2</v>
      </c>
      <c r="H13879" s="4" t="n">
        <v>4</v>
      </c>
      <c r="I13879" s="4" t="str">
        <v>×</v>
      </c>
      <c r="J13879" s="4"/>
      <c r="K13879" s="4"/>
      <c r="L13879" s="4"/>
      <c r="M13879" s="7" t="s">
        <v>6556</v>
      </c>
    </row>
    <row r="13880" customFormat="false" ht="15.75" hidden="false" customHeight="false" outlineLevel="0" collapsed="false">
      <c r="A13880" s="6" t="n">
        <f aca="false">DATE(2026,8,16)</f>
        <v>46250</v>
      </c>
      <c r="B13880" s="4" t="s">
        <v>334</v>
      </c>
      <c r="C13880" s="4" t="n">
        <v>2</v>
      </c>
      <c r="D13880" s="4" t="n">
        <v>7</v>
      </c>
      <c r="E13880" s="4" t="s">
        <v>3841</v>
      </c>
      <c r="F13880" s="4" t="n">
        <v>17</v>
      </c>
      <c r="G13880" s="4" t="n">
        <v>7</v>
      </c>
      <c r="H13880" s="4" t="n">
        <v>2</v>
      </c>
      <c r="I13880" s="4" t="str">
        <v>○</v>
      </c>
      <c r="J13880" s="4" t="n">
        <v>450</v>
      </c>
      <c r="K13880" s="4"/>
      <c r="L13880" s="4"/>
      <c r="M13880" s="7" t="s">
        <v>6556</v>
      </c>
    </row>
    <row r="13881" customFormat="false" ht="15.75" hidden="false" customHeight="false" outlineLevel="0" collapsed="false">
      <c r="A13881" s="6" t="n">
        <f aca="false">DATE(2026,8,16)</f>
        <v>46250</v>
      </c>
      <c r="B13881" s="4" t="s">
        <v>334</v>
      </c>
      <c r="C13881" s="4" t="n">
        <v>2</v>
      </c>
      <c r="D13881" s="4" t="n">
        <v>8</v>
      </c>
      <c r="E13881" s="4" t="s">
        <v>27</v>
      </c>
      <c r="F13881" s="4" t="n">
        <v>23</v>
      </c>
      <c r="G13881" s="4" t="n">
        <v>4</v>
      </c>
      <c r="H13881" s="4" t="n">
        <v>4</v>
      </c>
      <c r="I13881" s="4" t="str">
        <v>×</v>
      </c>
      <c r="J13881" s="4"/>
      <c r="K13881" s="4"/>
      <c r="L13881" s="4"/>
      <c r="M13881" s="7" t="s">
        <v>6556</v>
      </c>
    </row>
    <row r="13882" customFormat="false" ht="15.75" hidden="false" customHeight="false" outlineLevel="0" collapsed="false">
      <c r="A13882" s="6" t="n">
        <f aca="false">DATE(2026,8,16)</f>
        <v>46250</v>
      </c>
      <c r="B13882" s="4" t="s">
        <v>334</v>
      </c>
      <c r="C13882" s="4" t="n">
        <v>3</v>
      </c>
      <c r="D13882" s="4" t="n">
        <v>1</v>
      </c>
      <c r="E13882" s="4" t="s">
        <v>3826</v>
      </c>
      <c r="F13882" s="4" t="n">
        <v>25</v>
      </c>
      <c r="G13882" s="4" t="n">
        <v>7</v>
      </c>
      <c r="H13882" s="4" t="n">
        <v>4</v>
      </c>
      <c r="I13882" s="4" t="str">
        <v>×</v>
      </c>
      <c r="J13882" s="4"/>
      <c r="K13882" s="4"/>
      <c r="L13882" s="4"/>
      <c r="M13882" s="7" t="s">
        <v>6556</v>
      </c>
    </row>
    <row r="13883" customFormat="false" ht="15.75" hidden="false" customHeight="false" outlineLevel="0" collapsed="false">
      <c r="A13883" s="6" t="n">
        <f aca="false">DATE(2026,8,16)</f>
        <v>46250</v>
      </c>
      <c r="B13883" s="4" t="s">
        <v>334</v>
      </c>
      <c r="C13883" s="4" t="n">
        <v>3</v>
      </c>
      <c r="D13883" s="4" t="n">
        <v>2</v>
      </c>
      <c r="E13883" s="4" t="s">
        <v>3846</v>
      </c>
      <c r="F13883" s="4" t="n">
        <v>31</v>
      </c>
      <c r="G13883" s="4" t="n">
        <v>5</v>
      </c>
      <c r="H13883" s="4" t="n">
        <v>4</v>
      </c>
      <c r="I13883" s="4" t="str">
        <v>×</v>
      </c>
      <c r="J13883" s="4"/>
      <c r="K13883" s="4"/>
      <c r="L13883" s="4"/>
      <c r="M13883" s="7" t="s">
        <v>6556</v>
      </c>
    </row>
    <row r="13884" customFormat="false" ht="15.75" hidden="false" customHeight="false" outlineLevel="0" collapsed="false">
      <c r="A13884" s="6" t="n">
        <f aca="false">DATE(2026,8,16)</f>
        <v>46250</v>
      </c>
      <c r="B13884" s="4" t="s">
        <v>334</v>
      </c>
      <c r="C13884" s="4" t="n">
        <v>3</v>
      </c>
      <c r="D13884" s="4" t="n">
        <v>3</v>
      </c>
      <c r="E13884" s="4" t="s">
        <v>1346</v>
      </c>
      <c r="F13884" s="4" t="n">
        <v>6</v>
      </c>
      <c r="G13884" s="4" t="n">
        <v>12</v>
      </c>
      <c r="H13884" s="4" t="n">
        <v>4</v>
      </c>
      <c r="I13884" s="4" t="str">
        <v>×</v>
      </c>
      <c r="J13884" s="4"/>
      <c r="K13884" s="4"/>
      <c r="L13884" s="4"/>
      <c r="M13884" s="7" t="s">
        <v>6556</v>
      </c>
    </row>
    <row r="13885" customFormat="false" ht="15.75" hidden="false" customHeight="false" outlineLevel="0" collapsed="false">
      <c r="A13885" s="6" t="n">
        <f aca="false">DATE(2026,8,16)</f>
        <v>46250</v>
      </c>
      <c r="B13885" s="4" t="s">
        <v>334</v>
      </c>
      <c r="C13885" s="4" t="n">
        <v>3</v>
      </c>
      <c r="D13885" s="4" t="n">
        <v>4</v>
      </c>
      <c r="E13885" s="4" t="s">
        <v>6016</v>
      </c>
      <c r="F13885" s="4" t="n">
        <v>6</v>
      </c>
      <c r="G13885" s="4" t="n">
        <v>13</v>
      </c>
      <c r="H13885" s="4" t="n">
        <v>4</v>
      </c>
      <c r="I13885" s="4" t="str">
        <v>×</v>
      </c>
      <c r="J13885" s="4"/>
      <c r="K13885" s="4"/>
      <c r="L13885" s="4"/>
      <c r="M13885" s="7" t="s">
        <v>6556</v>
      </c>
    </row>
    <row r="13886" customFormat="false" ht="15.75" hidden="false" customHeight="false" outlineLevel="0" collapsed="false">
      <c r="A13886" s="6" t="n">
        <f aca="false">DATE(2026,8,16)</f>
        <v>46250</v>
      </c>
      <c r="B13886" s="4" t="s">
        <v>334</v>
      </c>
      <c r="C13886" s="4" t="n">
        <v>3</v>
      </c>
      <c r="D13886" s="4" t="n">
        <v>5</v>
      </c>
      <c r="E13886" s="4" t="s">
        <v>3860</v>
      </c>
      <c r="F13886" s="4" t="n">
        <v>39</v>
      </c>
      <c r="G13886" s="4" t="n">
        <v>3</v>
      </c>
      <c r="H13886" s="4" t="n">
        <v>1</v>
      </c>
      <c r="I13886" s="4" t="str">
        <v>○</v>
      </c>
      <c r="J13886" s="4" t="n">
        <v>130</v>
      </c>
      <c r="K13886" s="4"/>
      <c r="L13886" s="4"/>
      <c r="M13886" s="7" t="s">
        <v>6556</v>
      </c>
    </row>
    <row r="13887" customFormat="false" ht="15.75" hidden="false" customHeight="false" outlineLevel="0" collapsed="false">
      <c r="A13887" s="6" t="n">
        <f aca="false">DATE(2026,8,16)</f>
        <v>46250</v>
      </c>
      <c r="B13887" s="4" t="s">
        <v>334</v>
      </c>
      <c r="C13887" s="4" t="n">
        <v>3</v>
      </c>
      <c r="D13887" s="4" t="n">
        <v>6</v>
      </c>
      <c r="E13887" s="4" t="s">
        <v>6834</v>
      </c>
      <c r="F13887" s="4" t="n">
        <v>41</v>
      </c>
      <c r="G13887" s="4" t="n">
        <v>2</v>
      </c>
      <c r="H13887" s="4" t="n">
        <v>4</v>
      </c>
      <c r="I13887" s="4" t="str">
        <v>×</v>
      </c>
      <c r="J13887" s="4"/>
      <c r="K13887" s="4"/>
      <c r="L13887" s="4"/>
      <c r="M13887" s="7" t="s">
        <v>6556</v>
      </c>
    </row>
    <row r="13888" customFormat="false" ht="15.75" hidden="false" customHeight="false" outlineLevel="0" collapsed="false">
      <c r="A13888" s="6" t="n">
        <f aca="false">DATE(2026,8,16)</f>
        <v>46250</v>
      </c>
      <c r="B13888" s="4" t="s">
        <v>334</v>
      </c>
      <c r="C13888" s="4" t="n">
        <v>3</v>
      </c>
      <c r="D13888" s="4" t="n">
        <v>7</v>
      </c>
      <c r="E13888" s="4" t="s">
        <v>4252</v>
      </c>
      <c r="F13888" s="4" t="n">
        <v>25</v>
      </c>
      <c r="G13888" s="4" t="n">
        <v>8</v>
      </c>
      <c r="H13888" s="4" t="n">
        <v>4</v>
      </c>
      <c r="I13888" s="4" t="str">
        <v>×</v>
      </c>
      <c r="J13888" s="4"/>
      <c r="K13888" s="4"/>
      <c r="L13888" s="4"/>
      <c r="M13888" s="7" t="s">
        <v>6556</v>
      </c>
    </row>
    <row r="13889" customFormat="false" ht="15.75" hidden="false" customHeight="false" outlineLevel="0" collapsed="false">
      <c r="A13889" s="6" t="n">
        <f aca="false">DATE(2026,8,16)</f>
        <v>46250</v>
      </c>
      <c r="B13889" s="4" t="s">
        <v>334</v>
      </c>
      <c r="C13889" s="4" t="n">
        <v>3</v>
      </c>
      <c r="D13889" s="4" t="n">
        <v>8</v>
      </c>
      <c r="E13889" s="4" t="s">
        <v>3825</v>
      </c>
      <c r="F13889" s="4" t="n">
        <v>31</v>
      </c>
      <c r="G13889" s="4" t="n">
        <v>6</v>
      </c>
      <c r="H13889" s="4" t="n">
        <v>4</v>
      </c>
      <c r="I13889" s="4" t="str">
        <v>×</v>
      </c>
      <c r="J13889" s="4"/>
      <c r="K13889" s="4"/>
      <c r="L13889" s="4"/>
      <c r="M13889" s="7" t="s">
        <v>6556</v>
      </c>
    </row>
    <row r="13890" customFormat="false" ht="15.75" hidden="false" customHeight="false" outlineLevel="0" collapsed="false">
      <c r="A13890" s="6" t="n">
        <f aca="false">DATE(2026,8,16)</f>
        <v>46250</v>
      </c>
      <c r="B13890" s="4" t="s">
        <v>334</v>
      </c>
      <c r="C13890" s="4" t="n">
        <v>3</v>
      </c>
      <c r="D13890" s="4" t="n">
        <v>9</v>
      </c>
      <c r="E13890" s="4" t="s">
        <v>6835</v>
      </c>
      <c r="F13890" s="4" t="n">
        <v>8</v>
      </c>
      <c r="G13890" s="4" t="n">
        <v>11</v>
      </c>
      <c r="H13890" s="4" t="n">
        <v>4</v>
      </c>
      <c r="I13890" s="4" t="str">
        <v>×</v>
      </c>
      <c r="J13890" s="4"/>
      <c r="K13890" s="4"/>
      <c r="L13890" s="4"/>
      <c r="M13890" s="7" t="s">
        <v>6556</v>
      </c>
    </row>
    <row r="13891" customFormat="false" ht="15.75" hidden="false" customHeight="false" outlineLevel="0" collapsed="false">
      <c r="A13891" s="6" t="n">
        <f aca="false">DATE(2026,8,16)</f>
        <v>46250</v>
      </c>
      <c r="B13891" s="4" t="s">
        <v>334</v>
      </c>
      <c r="C13891" s="4" t="n">
        <v>3</v>
      </c>
      <c r="D13891" s="4" t="n">
        <v>10</v>
      </c>
      <c r="E13891" s="4" t="s">
        <v>906</v>
      </c>
      <c r="F13891" s="4" t="n">
        <v>62</v>
      </c>
      <c r="G13891" s="4" t="n">
        <v>1</v>
      </c>
      <c r="H13891" s="4" t="n">
        <v>3</v>
      </c>
      <c r="I13891" s="4" t="str">
        <v>○</v>
      </c>
      <c r="J13891" s="4" t="n">
        <v>190</v>
      </c>
      <c r="K13891" s="4"/>
      <c r="L13891" s="4"/>
      <c r="M13891" s="7" t="s">
        <v>6556</v>
      </c>
    </row>
    <row r="13892" customFormat="false" ht="15.75" hidden="false" customHeight="false" outlineLevel="0" collapsed="false">
      <c r="A13892" s="6" t="n">
        <f aca="false">DATE(2026,8,16)</f>
        <v>46250</v>
      </c>
      <c r="B13892" s="4" t="s">
        <v>334</v>
      </c>
      <c r="C13892" s="4" t="n">
        <v>3</v>
      </c>
      <c r="D13892" s="4" t="n">
        <v>11</v>
      </c>
      <c r="E13892" s="4" t="s">
        <v>389</v>
      </c>
      <c r="F13892" s="4" t="n">
        <v>20</v>
      </c>
      <c r="G13892" s="4" t="n">
        <v>9</v>
      </c>
      <c r="H13892" s="4" t="n">
        <v>2</v>
      </c>
      <c r="I13892" s="4" t="str">
        <v>○</v>
      </c>
      <c r="J13892" s="4" t="n">
        <v>220</v>
      </c>
      <c r="K13892" s="4"/>
      <c r="L13892" s="4"/>
      <c r="M13892" s="7" t="s">
        <v>6556</v>
      </c>
    </row>
    <row r="13893" customFormat="false" ht="15.75" hidden="false" customHeight="false" outlineLevel="0" collapsed="false">
      <c r="A13893" s="6" t="n">
        <f aca="false">DATE(2026,8,16)</f>
        <v>46250</v>
      </c>
      <c r="B13893" s="4" t="s">
        <v>334</v>
      </c>
      <c r="C13893" s="4" t="n">
        <v>3</v>
      </c>
      <c r="D13893" s="4" t="n">
        <v>12</v>
      </c>
      <c r="E13893" s="4" t="s">
        <v>2990</v>
      </c>
      <c r="F13893" s="4" t="n">
        <v>6</v>
      </c>
      <c r="G13893" s="4" t="n">
        <v>14</v>
      </c>
      <c r="H13893" s="4" t="n">
        <v>4</v>
      </c>
      <c r="I13893" s="4" t="str">
        <v>×</v>
      </c>
      <c r="J13893" s="4"/>
      <c r="K13893" s="4"/>
      <c r="L13893" s="4"/>
      <c r="M13893" s="7" t="s">
        <v>6556</v>
      </c>
    </row>
    <row r="13894" customFormat="false" ht="15.75" hidden="false" customHeight="false" outlineLevel="0" collapsed="false">
      <c r="A13894" s="6" t="n">
        <f aca="false">DATE(2026,8,16)</f>
        <v>46250</v>
      </c>
      <c r="B13894" s="4" t="s">
        <v>334</v>
      </c>
      <c r="C13894" s="4" t="n">
        <v>3</v>
      </c>
      <c r="D13894" s="4" t="n">
        <v>13</v>
      </c>
      <c r="E13894" s="4" t="s">
        <v>1347</v>
      </c>
      <c r="F13894" s="4" t="n">
        <v>34</v>
      </c>
      <c r="G13894" s="4" t="n">
        <v>4</v>
      </c>
      <c r="H13894" s="4" t="n">
        <v>4</v>
      </c>
      <c r="I13894" s="4" t="str">
        <v>×</v>
      </c>
      <c r="J13894" s="4"/>
      <c r="K13894" s="4"/>
      <c r="L13894" s="4"/>
      <c r="M13894" s="7" t="s">
        <v>6556</v>
      </c>
    </row>
    <row r="13895" customFormat="false" ht="15.75" hidden="false" customHeight="false" outlineLevel="0" collapsed="false">
      <c r="A13895" s="6" t="n">
        <f aca="false">DATE(2026,8,16)</f>
        <v>46250</v>
      </c>
      <c r="B13895" s="4" t="s">
        <v>334</v>
      </c>
      <c r="C13895" s="4" t="n">
        <v>3</v>
      </c>
      <c r="D13895" s="4" t="n">
        <v>14</v>
      </c>
      <c r="E13895" s="4" t="s">
        <v>431</v>
      </c>
      <c r="F13895" s="4" t="n">
        <v>20</v>
      </c>
      <c r="G13895" s="4" t="n">
        <v>10</v>
      </c>
      <c r="H13895" s="4" t="n">
        <v>4</v>
      </c>
      <c r="I13895" s="4" t="str">
        <v>×</v>
      </c>
      <c r="J13895" s="4"/>
      <c r="K13895" s="4"/>
      <c r="L13895" s="4"/>
      <c r="M13895" s="7" t="s">
        <v>6556</v>
      </c>
    </row>
    <row r="13896" customFormat="false" ht="15.75" hidden="false" customHeight="false" outlineLevel="0" collapsed="false">
      <c r="A13896" s="6" t="n">
        <f aca="false">DATE(2026,8,16)</f>
        <v>46250</v>
      </c>
      <c r="B13896" s="4" t="s">
        <v>334</v>
      </c>
      <c r="C13896" s="4" t="n">
        <v>4</v>
      </c>
      <c r="D13896" s="4" t="n">
        <v>1</v>
      </c>
      <c r="E13896" s="4" t="s">
        <v>363</v>
      </c>
      <c r="F13896" s="4" t="n">
        <v>41</v>
      </c>
      <c r="G13896" s="4" t="n">
        <v>3</v>
      </c>
      <c r="H13896" s="4" t="n">
        <v>4</v>
      </c>
      <c r="I13896" s="4" t="str">
        <v>×</v>
      </c>
      <c r="J13896" s="4"/>
      <c r="K13896" s="4"/>
      <c r="L13896" s="4"/>
      <c r="M13896" s="7" t="s">
        <v>6556</v>
      </c>
    </row>
    <row r="13897" customFormat="false" ht="15.75" hidden="false" customHeight="false" outlineLevel="0" collapsed="false">
      <c r="A13897" s="6" t="n">
        <f aca="false">DATE(2026,8,16)</f>
        <v>46250</v>
      </c>
      <c r="B13897" s="4" t="s">
        <v>334</v>
      </c>
      <c r="C13897" s="4" t="n">
        <v>4</v>
      </c>
      <c r="D13897" s="4" t="n">
        <v>2</v>
      </c>
      <c r="E13897" s="4" t="s">
        <v>6836</v>
      </c>
      <c r="F13897" s="4" t="n">
        <v>23</v>
      </c>
      <c r="G13897" s="4" t="n">
        <v>6</v>
      </c>
      <c r="H13897" s="4" t="n">
        <v>4</v>
      </c>
      <c r="I13897" s="4" t="str">
        <v>×</v>
      </c>
      <c r="J13897" s="4"/>
      <c r="K13897" s="4"/>
      <c r="L13897" s="4"/>
      <c r="M13897" s="7" t="s">
        <v>6556</v>
      </c>
    </row>
    <row r="13898" customFormat="false" ht="15.75" hidden="false" customHeight="false" outlineLevel="0" collapsed="false">
      <c r="A13898" s="6" t="n">
        <f aca="false">DATE(2026,8,16)</f>
        <v>46250</v>
      </c>
      <c r="B13898" s="4" t="s">
        <v>334</v>
      </c>
      <c r="C13898" s="4" t="n">
        <v>4</v>
      </c>
      <c r="D13898" s="4" t="n">
        <v>3</v>
      </c>
      <c r="E13898" s="4" t="s">
        <v>2573</v>
      </c>
      <c r="F13898" s="4" t="n">
        <v>6</v>
      </c>
      <c r="G13898" s="4" t="n">
        <v>14</v>
      </c>
      <c r="H13898" s="4" t="n">
        <v>4</v>
      </c>
      <c r="I13898" s="4" t="str">
        <v>×</v>
      </c>
      <c r="J13898" s="4"/>
      <c r="K13898" s="4"/>
      <c r="L13898" s="4"/>
      <c r="M13898" s="7" t="s">
        <v>6556</v>
      </c>
    </row>
    <row r="13899" customFormat="false" ht="15.75" hidden="false" customHeight="false" outlineLevel="0" collapsed="false">
      <c r="A13899" s="6" t="n">
        <f aca="false">DATE(2026,8,16)</f>
        <v>46250</v>
      </c>
      <c r="B13899" s="4" t="s">
        <v>334</v>
      </c>
      <c r="C13899" s="4" t="n">
        <v>4</v>
      </c>
      <c r="D13899" s="4" t="n">
        <v>4</v>
      </c>
      <c r="E13899" s="4" t="s">
        <v>827</v>
      </c>
      <c r="F13899" s="4" t="n">
        <v>44</v>
      </c>
      <c r="G13899" s="4" t="n">
        <v>1</v>
      </c>
      <c r="H13899" s="4" t="n">
        <v>4</v>
      </c>
      <c r="I13899" s="4" t="str">
        <v>×</v>
      </c>
      <c r="J13899" s="4"/>
      <c r="K13899" s="4"/>
      <c r="L13899" s="4"/>
      <c r="M13899" s="7" t="s">
        <v>6556</v>
      </c>
    </row>
    <row r="13900" customFormat="false" ht="15.75" hidden="false" customHeight="false" outlineLevel="0" collapsed="false">
      <c r="A13900" s="6" t="n">
        <f aca="false">DATE(2026,8,16)</f>
        <v>46250</v>
      </c>
      <c r="B13900" s="4" t="s">
        <v>334</v>
      </c>
      <c r="C13900" s="4" t="n">
        <v>4</v>
      </c>
      <c r="D13900" s="4" t="n">
        <v>5</v>
      </c>
      <c r="E13900" s="4" t="s">
        <v>2933</v>
      </c>
      <c r="F13900" s="4" t="n">
        <v>13</v>
      </c>
      <c r="G13900" s="4" t="n">
        <v>9</v>
      </c>
      <c r="H13900" s="4" t="n">
        <v>4</v>
      </c>
      <c r="I13900" s="4" t="str">
        <v>×</v>
      </c>
      <c r="J13900" s="4"/>
      <c r="K13900" s="4"/>
      <c r="L13900" s="4"/>
      <c r="M13900" s="7" t="s">
        <v>6556</v>
      </c>
    </row>
    <row r="13901" customFormat="false" ht="15.75" hidden="false" customHeight="false" outlineLevel="0" collapsed="false">
      <c r="A13901" s="6" t="n">
        <f aca="false">DATE(2026,8,16)</f>
        <v>46250</v>
      </c>
      <c r="B13901" s="4" t="s">
        <v>334</v>
      </c>
      <c r="C13901" s="4" t="n">
        <v>4</v>
      </c>
      <c r="D13901" s="4" t="n">
        <v>6</v>
      </c>
      <c r="E13901" s="4" t="s">
        <v>1289</v>
      </c>
      <c r="F13901" s="4" t="n">
        <v>15</v>
      </c>
      <c r="G13901" s="4" t="n">
        <v>8</v>
      </c>
      <c r="H13901" s="4" t="n">
        <v>4</v>
      </c>
      <c r="I13901" s="4" t="str">
        <v>×</v>
      </c>
      <c r="J13901" s="4"/>
      <c r="K13901" s="4"/>
      <c r="L13901" s="4"/>
      <c r="M13901" s="7" t="s">
        <v>6556</v>
      </c>
    </row>
    <row r="13902" customFormat="false" ht="15.75" hidden="false" customHeight="false" outlineLevel="0" collapsed="false">
      <c r="A13902" s="6" t="n">
        <f aca="false">DATE(2026,8,16)</f>
        <v>46250</v>
      </c>
      <c r="B13902" s="4" t="s">
        <v>334</v>
      </c>
      <c r="C13902" s="4" t="n">
        <v>4</v>
      </c>
      <c r="D13902" s="4" t="n">
        <v>7</v>
      </c>
      <c r="E13902" s="4" t="s">
        <v>1269</v>
      </c>
      <c r="F13902" s="4" t="n">
        <v>13</v>
      </c>
      <c r="G13902" s="4" t="n">
        <v>10</v>
      </c>
      <c r="H13902" s="4" t="n">
        <v>4</v>
      </c>
      <c r="I13902" s="4" t="str">
        <v>×</v>
      </c>
      <c r="J13902" s="4"/>
      <c r="K13902" s="4"/>
      <c r="L13902" s="4"/>
      <c r="M13902" s="7" t="s">
        <v>6556</v>
      </c>
    </row>
    <row r="13903" customFormat="false" ht="15.75" hidden="false" customHeight="false" outlineLevel="0" collapsed="false">
      <c r="A13903" s="6" t="n">
        <f aca="false">DATE(2026,8,16)</f>
        <v>46250</v>
      </c>
      <c r="B13903" s="4" t="s">
        <v>334</v>
      </c>
      <c r="C13903" s="4" t="n">
        <v>4</v>
      </c>
      <c r="D13903" s="4" t="n">
        <v>8</v>
      </c>
      <c r="E13903" s="4" t="s">
        <v>3821</v>
      </c>
      <c r="F13903" s="4" t="n">
        <v>39</v>
      </c>
      <c r="G13903" s="4" t="n">
        <v>4</v>
      </c>
      <c r="H13903" s="4" t="n">
        <v>1</v>
      </c>
      <c r="I13903" s="4" t="str">
        <v>○</v>
      </c>
      <c r="J13903" s="4" t="n">
        <v>110</v>
      </c>
      <c r="K13903" s="4"/>
      <c r="L13903" s="4"/>
      <c r="M13903" s="7" t="s">
        <v>6556</v>
      </c>
    </row>
    <row r="13904" customFormat="false" ht="15.75" hidden="false" customHeight="false" outlineLevel="0" collapsed="false">
      <c r="A13904" s="6" t="n">
        <f aca="false">DATE(2026,8,16)</f>
        <v>46250</v>
      </c>
      <c r="B13904" s="4" t="s">
        <v>334</v>
      </c>
      <c r="C13904" s="4" t="n">
        <v>4</v>
      </c>
      <c r="D13904" s="4" t="n">
        <v>9</v>
      </c>
      <c r="E13904" s="4" t="s">
        <v>1278</v>
      </c>
      <c r="F13904" s="4" t="n">
        <v>13</v>
      </c>
      <c r="G13904" s="4" t="n">
        <v>11</v>
      </c>
      <c r="H13904" s="4" t="n">
        <v>4</v>
      </c>
      <c r="I13904" s="4" t="str">
        <v>×</v>
      </c>
      <c r="J13904" s="4"/>
      <c r="K13904" s="4"/>
      <c r="L13904" s="4"/>
      <c r="M13904" s="7" t="s">
        <v>6556</v>
      </c>
    </row>
    <row r="13905" customFormat="false" ht="15.75" hidden="false" customHeight="false" outlineLevel="0" collapsed="false">
      <c r="A13905" s="6" t="n">
        <f aca="false">DATE(2026,8,16)</f>
        <v>46250</v>
      </c>
      <c r="B13905" s="4" t="s">
        <v>334</v>
      </c>
      <c r="C13905" s="4" t="n">
        <v>4</v>
      </c>
      <c r="D13905" s="4" t="n">
        <v>10</v>
      </c>
      <c r="E13905" s="4" t="s">
        <v>6837</v>
      </c>
      <c r="F13905" s="4" t="n">
        <v>20</v>
      </c>
      <c r="G13905" s="4" t="n">
        <v>7</v>
      </c>
      <c r="H13905" s="4" t="n">
        <v>4</v>
      </c>
      <c r="I13905" s="4" t="str">
        <v>×</v>
      </c>
      <c r="J13905" s="4"/>
      <c r="K13905" s="4"/>
      <c r="L13905" s="4"/>
      <c r="M13905" s="7" t="s">
        <v>6556</v>
      </c>
    </row>
    <row r="13906" customFormat="false" ht="15.75" hidden="false" customHeight="false" outlineLevel="0" collapsed="false">
      <c r="A13906" s="6" t="n">
        <f aca="false">DATE(2026,8,16)</f>
        <v>46250</v>
      </c>
      <c r="B13906" s="4" t="s">
        <v>334</v>
      </c>
      <c r="C13906" s="4" t="n">
        <v>4</v>
      </c>
      <c r="D13906" s="4" t="n">
        <v>11</v>
      </c>
      <c r="E13906" s="4" t="s">
        <v>2581</v>
      </c>
      <c r="F13906" s="4" t="n">
        <v>29</v>
      </c>
      <c r="G13906" s="4" t="n">
        <v>5</v>
      </c>
      <c r="H13906" s="4" t="n">
        <v>4</v>
      </c>
      <c r="I13906" s="4" t="str">
        <v>×</v>
      </c>
      <c r="J13906" s="4"/>
      <c r="K13906" s="4"/>
      <c r="L13906" s="4"/>
      <c r="M13906" s="7" t="s">
        <v>6556</v>
      </c>
    </row>
    <row r="13907" customFormat="false" ht="15.75" hidden="false" customHeight="false" outlineLevel="0" collapsed="false">
      <c r="A13907" s="6" t="n">
        <f aca="false">DATE(2026,8,16)</f>
        <v>46250</v>
      </c>
      <c r="B13907" s="4" t="s">
        <v>334</v>
      </c>
      <c r="C13907" s="4" t="n">
        <v>4</v>
      </c>
      <c r="D13907" s="4" t="n">
        <v>12</v>
      </c>
      <c r="E13907" s="4" t="s">
        <v>1293</v>
      </c>
      <c r="F13907" s="4" t="n">
        <v>44</v>
      </c>
      <c r="G13907" s="4" t="n">
        <v>2</v>
      </c>
      <c r="H13907" s="4" t="n">
        <v>3</v>
      </c>
      <c r="I13907" s="4" t="str">
        <v>○</v>
      </c>
      <c r="J13907" s="4" t="n">
        <v>150</v>
      </c>
      <c r="K13907" s="4"/>
      <c r="L13907" s="4"/>
      <c r="M13907" s="7" t="s">
        <v>6556</v>
      </c>
    </row>
    <row r="13908" customFormat="false" ht="15.75" hidden="false" customHeight="false" outlineLevel="0" collapsed="false">
      <c r="A13908" s="6" t="n">
        <f aca="false">DATE(2026,8,16)</f>
        <v>46250</v>
      </c>
      <c r="B13908" s="4" t="s">
        <v>334</v>
      </c>
      <c r="C13908" s="4" t="n">
        <v>4</v>
      </c>
      <c r="D13908" s="4" t="n">
        <v>13</v>
      </c>
      <c r="E13908" s="4" t="s">
        <v>2435</v>
      </c>
      <c r="F13908" s="4" t="n">
        <v>8</v>
      </c>
      <c r="G13908" s="4" t="n">
        <v>13</v>
      </c>
      <c r="H13908" s="4" t="n">
        <v>2</v>
      </c>
      <c r="I13908" s="4" t="str">
        <v>○</v>
      </c>
      <c r="J13908" s="4" t="n">
        <v>290</v>
      </c>
      <c r="K13908" s="4"/>
      <c r="L13908" s="4"/>
      <c r="M13908" s="7" t="s">
        <v>6556</v>
      </c>
    </row>
    <row r="13909" customFormat="false" ht="15.75" hidden="false" customHeight="false" outlineLevel="0" collapsed="false">
      <c r="A13909" s="6" t="n">
        <f aca="false">DATE(2026,8,16)</f>
        <v>46250</v>
      </c>
      <c r="B13909" s="4" t="s">
        <v>334</v>
      </c>
      <c r="C13909" s="4" t="n">
        <v>4</v>
      </c>
      <c r="D13909" s="4" t="n">
        <v>14</v>
      </c>
      <c r="E13909" s="4" t="s">
        <v>591</v>
      </c>
      <c r="F13909" s="4" t="n">
        <v>10</v>
      </c>
      <c r="G13909" s="4" t="n">
        <v>12</v>
      </c>
      <c r="H13909" s="4" t="n">
        <v>4</v>
      </c>
      <c r="I13909" s="4" t="str">
        <v>×</v>
      </c>
      <c r="J13909" s="4"/>
      <c r="K13909" s="4"/>
      <c r="L13909" s="4"/>
      <c r="M13909" s="7" t="s">
        <v>6556</v>
      </c>
    </row>
    <row r="13910" customFormat="false" ht="15.75" hidden="false" customHeight="false" outlineLevel="0" collapsed="false">
      <c r="A13910" s="6" t="n">
        <f aca="false">DATE(2026,8,16)</f>
        <v>46250</v>
      </c>
      <c r="B13910" s="4" t="s">
        <v>334</v>
      </c>
      <c r="C13910" s="4" t="n">
        <v>5</v>
      </c>
      <c r="D13910" s="4" t="n">
        <v>1</v>
      </c>
      <c r="E13910" s="4" t="s">
        <v>6838</v>
      </c>
      <c r="F13910" s="4" t="n">
        <v>24</v>
      </c>
      <c r="G13910" s="4" t="n">
        <v>3</v>
      </c>
      <c r="H13910" s="4" t="n">
        <v>4</v>
      </c>
      <c r="I13910" s="4" t="str">
        <v>×</v>
      </c>
      <c r="J13910" s="4"/>
      <c r="K13910" s="4"/>
      <c r="L13910" s="4"/>
      <c r="M13910" s="7" t="s">
        <v>6556</v>
      </c>
    </row>
    <row r="13911" customFormat="false" ht="15.75" hidden="false" customHeight="false" outlineLevel="0" collapsed="false">
      <c r="A13911" s="6" t="n">
        <f aca="false">DATE(2026,8,16)</f>
        <v>46250</v>
      </c>
      <c r="B13911" s="4" t="s">
        <v>334</v>
      </c>
      <c r="C13911" s="4" t="n">
        <v>5</v>
      </c>
      <c r="D13911" s="4" t="n">
        <v>2</v>
      </c>
      <c r="E13911" s="4" t="s">
        <v>6839</v>
      </c>
      <c r="F13911" s="4" t="n">
        <v>21</v>
      </c>
      <c r="G13911" s="4" t="n">
        <v>4</v>
      </c>
      <c r="H13911" s="4" t="n">
        <v>4</v>
      </c>
      <c r="I13911" s="4" t="str">
        <v>×</v>
      </c>
      <c r="J13911" s="4"/>
      <c r="K13911" s="4"/>
      <c r="L13911" s="4"/>
      <c r="M13911" s="7" t="s">
        <v>6556</v>
      </c>
    </row>
    <row r="13912" customFormat="false" ht="15.75" hidden="false" customHeight="false" outlineLevel="0" collapsed="false">
      <c r="A13912" s="6" t="n">
        <f aca="false">DATE(2026,8,16)</f>
        <v>46250</v>
      </c>
      <c r="B13912" s="4" t="s">
        <v>334</v>
      </c>
      <c r="C13912" s="4" t="n">
        <v>5</v>
      </c>
      <c r="D13912" s="4" t="n">
        <v>3</v>
      </c>
      <c r="E13912" s="4" t="s">
        <v>6840</v>
      </c>
      <c r="F13912" s="4" t="n">
        <v>21</v>
      </c>
      <c r="G13912" s="4" t="n">
        <v>5</v>
      </c>
      <c r="H13912" s="4" t="n">
        <v>4</v>
      </c>
      <c r="I13912" s="4" t="str">
        <v>×</v>
      </c>
      <c r="J13912" s="4"/>
      <c r="K13912" s="4"/>
      <c r="L13912" s="4"/>
      <c r="M13912" s="7" t="s">
        <v>6556</v>
      </c>
    </row>
    <row r="13913" customFormat="false" ht="15.75" hidden="false" customHeight="false" outlineLevel="0" collapsed="false">
      <c r="A13913" s="6" t="n">
        <f aca="false">DATE(2026,8,16)</f>
        <v>46250</v>
      </c>
      <c r="B13913" s="4" t="s">
        <v>334</v>
      </c>
      <c r="C13913" s="4" t="n">
        <v>5</v>
      </c>
      <c r="D13913" s="4" t="n">
        <v>4</v>
      </c>
      <c r="E13913" s="4" t="s">
        <v>6841</v>
      </c>
      <c r="F13913" s="4" t="n">
        <v>21</v>
      </c>
      <c r="G13913" s="4" t="n">
        <v>6</v>
      </c>
      <c r="H13913" s="4" t="n">
        <v>4</v>
      </c>
      <c r="I13913" s="4" t="str">
        <v>×</v>
      </c>
      <c r="J13913" s="4"/>
      <c r="K13913" s="4"/>
      <c r="L13913" s="4"/>
      <c r="M13913" s="7" t="s">
        <v>6556</v>
      </c>
    </row>
    <row r="13914" customFormat="false" ht="15.75" hidden="false" customHeight="false" outlineLevel="0" collapsed="false">
      <c r="A13914" s="6" t="n">
        <f aca="false">DATE(2026,8,16)</f>
        <v>46250</v>
      </c>
      <c r="B13914" s="4" t="s">
        <v>334</v>
      </c>
      <c r="C13914" s="4" t="n">
        <v>5</v>
      </c>
      <c r="D13914" s="4" t="n">
        <v>5</v>
      </c>
      <c r="E13914" s="4" t="s">
        <v>6842</v>
      </c>
      <c r="F13914" s="4" t="n">
        <v>14</v>
      </c>
      <c r="G13914" s="4" t="n">
        <v>10</v>
      </c>
      <c r="H13914" s="4" t="n">
        <v>4</v>
      </c>
      <c r="I13914" s="4" t="str">
        <v>×</v>
      </c>
      <c r="J13914" s="4"/>
      <c r="K13914" s="4"/>
      <c r="L13914" s="4"/>
      <c r="M13914" s="7" t="s">
        <v>6556</v>
      </c>
    </row>
    <row r="13915" customFormat="false" ht="15.75" hidden="false" customHeight="false" outlineLevel="0" collapsed="false">
      <c r="A13915" s="6" t="n">
        <f aca="false">DATE(2026,8,16)</f>
        <v>46250</v>
      </c>
      <c r="B13915" s="4" t="s">
        <v>334</v>
      </c>
      <c r="C13915" s="4" t="n">
        <v>5</v>
      </c>
      <c r="D13915" s="4" t="n">
        <v>6</v>
      </c>
      <c r="E13915" s="4" t="s">
        <v>6843</v>
      </c>
      <c r="F13915" s="4" t="n">
        <v>14</v>
      </c>
      <c r="G13915" s="4" t="n">
        <v>11</v>
      </c>
      <c r="H13915" s="4" t="n">
        <v>4</v>
      </c>
      <c r="I13915" s="4" t="str">
        <v>×</v>
      </c>
      <c r="J13915" s="4"/>
      <c r="K13915" s="4"/>
      <c r="L13915" s="4"/>
      <c r="M13915" s="7" t="s">
        <v>6556</v>
      </c>
    </row>
    <row r="13916" customFormat="false" ht="15.75" hidden="false" customHeight="false" outlineLevel="0" collapsed="false">
      <c r="A13916" s="6" t="n">
        <f aca="false">DATE(2026,8,16)</f>
        <v>46250</v>
      </c>
      <c r="B13916" s="4" t="s">
        <v>334</v>
      </c>
      <c r="C13916" s="4" t="n">
        <v>5</v>
      </c>
      <c r="D13916" s="4" t="n">
        <v>7</v>
      </c>
      <c r="E13916" s="4" t="s">
        <v>6844</v>
      </c>
      <c r="F13916" s="4" t="n">
        <v>8</v>
      </c>
      <c r="G13916" s="4" t="n">
        <v>12</v>
      </c>
      <c r="H13916" s="4" t="n">
        <v>4</v>
      </c>
      <c r="I13916" s="4" t="str">
        <v>×</v>
      </c>
      <c r="J13916" s="4"/>
      <c r="K13916" s="4"/>
      <c r="L13916" s="4"/>
      <c r="M13916" s="7" t="s">
        <v>6556</v>
      </c>
    </row>
    <row r="13917" customFormat="false" ht="15.75" hidden="false" customHeight="false" outlineLevel="0" collapsed="false">
      <c r="A13917" s="6" t="n">
        <f aca="false">DATE(2026,8,16)</f>
        <v>46250</v>
      </c>
      <c r="B13917" s="4" t="s">
        <v>334</v>
      </c>
      <c r="C13917" s="4" t="n">
        <v>5</v>
      </c>
      <c r="D13917" s="4" t="n">
        <v>8</v>
      </c>
      <c r="E13917" s="4" t="s">
        <v>6845</v>
      </c>
      <c r="F13917" s="4" t="n">
        <v>31</v>
      </c>
      <c r="G13917" s="4" t="n">
        <v>2</v>
      </c>
      <c r="H13917" s="4" t="n">
        <v>4</v>
      </c>
      <c r="I13917" s="4" t="str">
        <v>×</v>
      </c>
      <c r="J13917" s="4"/>
      <c r="K13917" s="4"/>
      <c r="L13917" s="4"/>
      <c r="M13917" s="7" t="s">
        <v>6556</v>
      </c>
    </row>
    <row r="13918" customFormat="false" ht="15.75" hidden="false" customHeight="false" outlineLevel="0" collapsed="false">
      <c r="A13918" s="6" t="n">
        <f aca="false">DATE(2026,8,16)</f>
        <v>46250</v>
      </c>
      <c r="B13918" s="4" t="s">
        <v>334</v>
      </c>
      <c r="C13918" s="4" t="n">
        <v>5</v>
      </c>
      <c r="D13918" s="4" t="n">
        <v>9</v>
      </c>
      <c r="E13918" s="4" t="s">
        <v>6846</v>
      </c>
      <c r="F13918" s="4" t="n">
        <v>21</v>
      </c>
      <c r="G13918" s="4" t="n">
        <v>7</v>
      </c>
      <c r="H13918" s="4" t="n">
        <v>3</v>
      </c>
      <c r="I13918" s="4" t="str">
        <v>○</v>
      </c>
      <c r="J13918" s="4" t="n">
        <v>280</v>
      </c>
      <c r="K13918" s="4"/>
      <c r="L13918" s="4"/>
      <c r="M13918" s="7" t="s">
        <v>6556</v>
      </c>
    </row>
    <row r="13919" customFormat="false" ht="15.75" hidden="false" customHeight="false" outlineLevel="0" collapsed="false">
      <c r="A13919" s="6" t="n">
        <f aca="false">DATE(2026,8,16)</f>
        <v>46250</v>
      </c>
      <c r="B13919" s="4" t="s">
        <v>334</v>
      </c>
      <c r="C13919" s="4" t="n">
        <v>5</v>
      </c>
      <c r="D13919" s="4" t="n">
        <v>10</v>
      </c>
      <c r="E13919" s="4" t="s">
        <v>6847</v>
      </c>
      <c r="F13919" s="4" t="n">
        <v>21</v>
      </c>
      <c r="G13919" s="4" t="n">
        <v>8</v>
      </c>
      <c r="H13919" s="4" t="n">
        <v>4</v>
      </c>
      <c r="I13919" s="4" t="str">
        <v>×</v>
      </c>
      <c r="J13919" s="4"/>
      <c r="K13919" s="4"/>
      <c r="L13919" s="4"/>
      <c r="M13919" s="7" t="s">
        <v>6556</v>
      </c>
    </row>
    <row r="13920" customFormat="false" ht="15.75" hidden="false" customHeight="false" outlineLevel="0" collapsed="false">
      <c r="A13920" s="6" t="n">
        <f aca="false">DATE(2026,8,16)</f>
        <v>46250</v>
      </c>
      <c r="B13920" s="4" t="s">
        <v>334</v>
      </c>
      <c r="C13920" s="4" t="n">
        <v>5</v>
      </c>
      <c r="D13920" s="4" t="n">
        <v>11</v>
      </c>
      <c r="E13920" s="4" t="s">
        <v>6848</v>
      </c>
      <c r="F13920" s="4" t="n">
        <v>37</v>
      </c>
      <c r="G13920" s="4" t="n">
        <v>1</v>
      </c>
      <c r="H13920" s="4" t="n">
        <v>2</v>
      </c>
      <c r="I13920" s="4" t="str">
        <v>○</v>
      </c>
      <c r="J13920" s="4" t="n">
        <v>130</v>
      </c>
      <c r="K13920" s="4"/>
      <c r="L13920" s="4"/>
      <c r="M13920" s="7" t="s">
        <v>6556</v>
      </c>
    </row>
    <row r="13921" customFormat="false" ht="15.75" hidden="false" customHeight="false" outlineLevel="0" collapsed="false">
      <c r="A13921" s="6" t="n">
        <f aca="false">DATE(2026,8,16)</f>
        <v>46250</v>
      </c>
      <c r="B13921" s="4" t="s">
        <v>334</v>
      </c>
      <c r="C13921" s="4" t="n">
        <v>5</v>
      </c>
      <c r="D13921" s="4" t="n">
        <v>12</v>
      </c>
      <c r="E13921" s="4" t="s">
        <v>6849</v>
      </c>
      <c r="F13921" s="4" t="n">
        <v>21</v>
      </c>
      <c r="G13921" s="4" t="n">
        <v>9</v>
      </c>
      <c r="H13921" s="4" t="n">
        <v>1</v>
      </c>
      <c r="I13921" s="4" t="str">
        <v>○</v>
      </c>
      <c r="J13921" s="4" t="n">
        <v>160</v>
      </c>
      <c r="K13921" s="4"/>
      <c r="L13921" s="4"/>
      <c r="M13921" s="7" t="s">
        <v>6556</v>
      </c>
    </row>
    <row r="13922" customFormat="false" ht="15.75" hidden="false" customHeight="false" outlineLevel="0" collapsed="false">
      <c r="A13922" s="6" t="n">
        <f aca="false">DATE(2026,8,16)</f>
        <v>46250</v>
      </c>
      <c r="B13922" s="4" t="s">
        <v>334</v>
      </c>
      <c r="C13922" s="4" t="n">
        <v>6</v>
      </c>
      <c r="D13922" s="4" t="n">
        <v>1</v>
      </c>
      <c r="E13922" s="4" t="s">
        <v>2960</v>
      </c>
      <c r="F13922" s="4" t="n">
        <v>13</v>
      </c>
      <c r="G13922" s="4" t="n">
        <v>8</v>
      </c>
      <c r="H13922" s="4" t="n">
        <v>4</v>
      </c>
      <c r="I13922" s="4" t="str">
        <v>×</v>
      </c>
      <c r="J13922" s="4"/>
      <c r="K13922" s="4"/>
      <c r="L13922" s="4"/>
      <c r="M13922" s="7" t="s">
        <v>6556</v>
      </c>
    </row>
    <row r="13923" customFormat="false" ht="15.75" hidden="false" customHeight="false" outlineLevel="0" collapsed="false">
      <c r="A13923" s="6" t="n">
        <f aca="false">DATE(2026,8,16)</f>
        <v>46250</v>
      </c>
      <c r="B13923" s="4" t="s">
        <v>334</v>
      </c>
      <c r="C13923" s="4" t="n">
        <v>6</v>
      </c>
      <c r="D13923" s="4" t="n">
        <v>2</v>
      </c>
      <c r="E13923" s="4" t="s">
        <v>6850</v>
      </c>
      <c r="F13923" s="4" t="n">
        <v>13</v>
      </c>
      <c r="G13923" s="4" t="n">
        <v>9</v>
      </c>
      <c r="H13923" s="4" t="n">
        <v>4</v>
      </c>
      <c r="I13923" s="4" t="str">
        <v>×</v>
      </c>
      <c r="J13923" s="4"/>
      <c r="K13923" s="4"/>
      <c r="L13923" s="4"/>
      <c r="M13923" s="7" t="s">
        <v>6556</v>
      </c>
    </row>
    <row r="13924" customFormat="false" ht="15.75" hidden="false" customHeight="false" outlineLevel="0" collapsed="false">
      <c r="A13924" s="6" t="n">
        <f aca="false">DATE(2026,8,16)</f>
        <v>46250</v>
      </c>
      <c r="B13924" s="4" t="s">
        <v>334</v>
      </c>
      <c r="C13924" s="4" t="n">
        <v>6</v>
      </c>
      <c r="D13924" s="4" t="n">
        <v>3</v>
      </c>
      <c r="E13924" s="4" t="s">
        <v>1809</v>
      </c>
      <c r="F13924" s="4" t="n">
        <v>37</v>
      </c>
      <c r="G13924" s="4" t="n">
        <v>4</v>
      </c>
      <c r="H13924" s="4" t="n">
        <v>4</v>
      </c>
      <c r="I13924" s="4" t="str">
        <v>×</v>
      </c>
      <c r="J13924" s="4"/>
      <c r="K13924" s="4"/>
      <c r="L13924" s="4"/>
      <c r="M13924" s="7" t="s">
        <v>6556</v>
      </c>
    </row>
    <row r="13925" customFormat="false" ht="15.75" hidden="false" customHeight="false" outlineLevel="0" collapsed="false">
      <c r="A13925" s="6" t="n">
        <f aca="false">DATE(2026,8,16)</f>
        <v>46250</v>
      </c>
      <c r="B13925" s="4" t="s">
        <v>334</v>
      </c>
      <c r="C13925" s="4" t="n">
        <v>6</v>
      </c>
      <c r="D13925" s="4" t="n">
        <v>4</v>
      </c>
      <c r="E13925" s="4" t="s">
        <v>526</v>
      </c>
      <c r="F13925" s="4" t="n">
        <v>52</v>
      </c>
      <c r="G13925" s="4" t="n">
        <v>2</v>
      </c>
      <c r="H13925" s="4" t="n">
        <v>2</v>
      </c>
      <c r="I13925" s="4" t="str">
        <v>○</v>
      </c>
      <c r="J13925" s="4" t="n">
        <v>190</v>
      </c>
      <c r="K13925" s="4"/>
      <c r="L13925" s="4"/>
      <c r="M13925" s="7" t="s">
        <v>6556</v>
      </c>
    </row>
    <row r="13926" customFormat="false" ht="15.75" hidden="false" customHeight="false" outlineLevel="0" collapsed="false">
      <c r="A13926" s="6" t="n">
        <f aca="false">DATE(2026,8,16)</f>
        <v>46250</v>
      </c>
      <c r="B13926" s="4" t="s">
        <v>334</v>
      </c>
      <c r="C13926" s="4" t="n">
        <v>6</v>
      </c>
      <c r="D13926" s="4" t="n">
        <v>5</v>
      </c>
      <c r="E13926" s="4" t="s">
        <v>6851</v>
      </c>
      <c r="F13926" s="4" t="n">
        <v>15</v>
      </c>
      <c r="G13926" s="4" t="n">
        <v>6</v>
      </c>
      <c r="H13926" s="4" t="n">
        <v>4</v>
      </c>
      <c r="I13926" s="4" t="str">
        <v>×</v>
      </c>
      <c r="J13926" s="4"/>
      <c r="K13926" s="4"/>
      <c r="L13926" s="4"/>
      <c r="M13926" s="7" t="s">
        <v>6556</v>
      </c>
    </row>
    <row r="13927" customFormat="false" ht="15.75" hidden="false" customHeight="false" outlineLevel="0" collapsed="false">
      <c r="A13927" s="6" t="n">
        <f aca="false">DATE(2026,8,16)</f>
        <v>46250</v>
      </c>
      <c r="B13927" s="4" t="s">
        <v>334</v>
      </c>
      <c r="C13927" s="4" t="n">
        <v>6</v>
      </c>
      <c r="D13927" s="4" t="n">
        <v>6</v>
      </c>
      <c r="E13927" s="4" t="s">
        <v>6852</v>
      </c>
      <c r="F13927" s="4" t="n">
        <v>10</v>
      </c>
      <c r="G13927" s="4" t="n">
        <v>11</v>
      </c>
      <c r="H13927" s="4" t="n">
        <v>4</v>
      </c>
      <c r="I13927" s="4" t="str">
        <v>×</v>
      </c>
      <c r="J13927" s="4"/>
      <c r="K13927" s="4"/>
      <c r="L13927" s="4"/>
      <c r="M13927" s="7" t="s">
        <v>6556</v>
      </c>
    </row>
    <row r="13928" customFormat="false" ht="15.75" hidden="false" customHeight="false" outlineLevel="0" collapsed="false">
      <c r="A13928" s="6" t="n">
        <f aca="false">DATE(2026,8,16)</f>
        <v>46250</v>
      </c>
      <c r="B13928" s="4" t="s">
        <v>334</v>
      </c>
      <c r="C13928" s="4" t="n">
        <v>6</v>
      </c>
      <c r="D13928" s="4" t="n">
        <v>7</v>
      </c>
      <c r="E13928" s="4" t="s">
        <v>2671</v>
      </c>
      <c r="F13928" s="4" t="n">
        <v>13</v>
      </c>
      <c r="G13928" s="4" t="n">
        <v>10</v>
      </c>
      <c r="H13928" s="4" t="n">
        <v>4</v>
      </c>
      <c r="I13928" s="4" t="str">
        <v>×</v>
      </c>
      <c r="J13928" s="4"/>
      <c r="K13928" s="4"/>
      <c r="L13928" s="4"/>
      <c r="M13928" s="7" t="s">
        <v>6556</v>
      </c>
    </row>
    <row r="13929" customFormat="false" ht="15.75" hidden="false" customHeight="false" outlineLevel="0" collapsed="false">
      <c r="A13929" s="6" t="n">
        <f aca="false">DATE(2026,8,16)</f>
        <v>46250</v>
      </c>
      <c r="B13929" s="4" t="s">
        <v>334</v>
      </c>
      <c r="C13929" s="4" t="n">
        <v>6</v>
      </c>
      <c r="D13929" s="4" t="n">
        <v>8</v>
      </c>
      <c r="E13929" s="4" t="s">
        <v>860</v>
      </c>
      <c r="F13929" s="4" t="n">
        <v>39</v>
      </c>
      <c r="G13929" s="4" t="n">
        <v>3</v>
      </c>
      <c r="H13929" s="4" t="n">
        <v>4</v>
      </c>
      <c r="I13929" s="4" t="str">
        <v>×</v>
      </c>
      <c r="J13929" s="4"/>
      <c r="K13929" s="4"/>
      <c r="L13929" s="4"/>
      <c r="M13929" s="7" t="s">
        <v>6556</v>
      </c>
    </row>
    <row r="13930" customFormat="false" ht="15.75" hidden="false" customHeight="false" outlineLevel="0" collapsed="false">
      <c r="A13930" s="6" t="n">
        <f aca="false">DATE(2026,8,16)</f>
        <v>46250</v>
      </c>
      <c r="B13930" s="4" t="s">
        <v>334</v>
      </c>
      <c r="C13930" s="4" t="n">
        <v>6</v>
      </c>
      <c r="D13930" s="4" t="n">
        <v>9</v>
      </c>
      <c r="E13930" s="4" t="s">
        <v>3466</v>
      </c>
      <c r="F13930" s="4" t="n">
        <v>6</v>
      </c>
      <c r="G13930" s="4" t="n">
        <v>12</v>
      </c>
      <c r="H13930" s="4" t="n">
        <v>4</v>
      </c>
      <c r="I13930" s="4" t="str">
        <v>×</v>
      </c>
      <c r="J13930" s="4"/>
      <c r="K13930" s="4"/>
      <c r="L13930" s="4"/>
      <c r="M13930" s="7" t="s">
        <v>6556</v>
      </c>
    </row>
    <row r="13931" customFormat="false" ht="15.75" hidden="false" customHeight="false" outlineLevel="0" collapsed="false">
      <c r="A13931" s="6" t="n">
        <f aca="false">DATE(2026,8,16)</f>
        <v>46250</v>
      </c>
      <c r="B13931" s="4" t="s">
        <v>334</v>
      </c>
      <c r="C13931" s="4" t="n">
        <v>6</v>
      </c>
      <c r="D13931" s="4" t="n">
        <v>10</v>
      </c>
      <c r="E13931" s="4" t="s">
        <v>1657</v>
      </c>
      <c r="F13931" s="4" t="n">
        <v>60</v>
      </c>
      <c r="G13931" s="4" t="n">
        <v>1</v>
      </c>
      <c r="H13931" s="4" t="n">
        <v>3</v>
      </c>
      <c r="I13931" s="4" t="str">
        <v>○</v>
      </c>
      <c r="J13931" s="4" t="n">
        <v>200</v>
      </c>
      <c r="K13931" s="4"/>
      <c r="L13931" s="4"/>
      <c r="M13931" s="7" t="s">
        <v>6556</v>
      </c>
    </row>
    <row r="13932" customFormat="false" ht="15.75" hidden="false" customHeight="false" outlineLevel="0" collapsed="false">
      <c r="A13932" s="6" t="n">
        <f aca="false">DATE(2026,8,16)</f>
        <v>46250</v>
      </c>
      <c r="B13932" s="4" t="s">
        <v>334</v>
      </c>
      <c r="C13932" s="4" t="n">
        <v>6</v>
      </c>
      <c r="D13932" s="4" t="n">
        <v>11</v>
      </c>
      <c r="E13932" s="4" t="s">
        <v>3843</v>
      </c>
      <c r="F13932" s="4" t="n">
        <v>25</v>
      </c>
      <c r="G13932" s="4" t="n">
        <v>5</v>
      </c>
      <c r="H13932" s="4" t="n">
        <v>1</v>
      </c>
      <c r="I13932" s="4" t="str">
        <v>○</v>
      </c>
      <c r="J13932" s="4" t="n">
        <v>220</v>
      </c>
      <c r="K13932" s="4"/>
      <c r="L13932" s="4"/>
      <c r="M13932" s="7" t="s">
        <v>6556</v>
      </c>
    </row>
    <row r="13933" customFormat="false" ht="15.75" hidden="false" customHeight="false" outlineLevel="0" collapsed="false">
      <c r="A13933" s="6" t="n">
        <f aca="false">DATE(2026,8,16)</f>
        <v>46250</v>
      </c>
      <c r="B13933" s="4" t="s">
        <v>334</v>
      </c>
      <c r="C13933" s="4" t="n">
        <v>6</v>
      </c>
      <c r="D13933" s="4" t="n">
        <v>12</v>
      </c>
      <c r="E13933" s="4" t="s">
        <v>6853</v>
      </c>
      <c r="F13933" s="4" t="n">
        <v>15</v>
      </c>
      <c r="G13933" s="4" t="n">
        <v>7</v>
      </c>
      <c r="H13933" s="4" t="n">
        <v>4</v>
      </c>
      <c r="I13933" s="4" t="str">
        <v>×</v>
      </c>
      <c r="J13933" s="4"/>
      <c r="K13933" s="4"/>
      <c r="L13933" s="4"/>
      <c r="M13933" s="7" t="s">
        <v>6556</v>
      </c>
    </row>
    <row r="13934" customFormat="false" ht="15.75" hidden="false" customHeight="false" outlineLevel="0" collapsed="false">
      <c r="A13934" s="6" t="n">
        <f aca="false">DATE(2026,8,16)</f>
        <v>46250</v>
      </c>
      <c r="B13934" s="4" t="s">
        <v>334</v>
      </c>
      <c r="C13934" s="4" t="n">
        <v>7</v>
      </c>
      <c r="D13934" s="4" t="n">
        <v>1</v>
      </c>
      <c r="E13934" s="4" t="s">
        <v>2466</v>
      </c>
      <c r="F13934" s="4" t="n">
        <v>4</v>
      </c>
      <c r="G13934" s="4" t="n">
        <v>11</v>
      </c>
      <c r="H13934" s="4" t="n">
        <v>4</v>
      </c>
      <c r="I13934" s="4" t="str">
        <v>×</v>
      </c>
      <c r="J13934" s="4"/>
      <c r="K13934" s="4"/>
      <c r="L13934" s="4"/>
      <c r="M13934" s="7" t="s">
        <v>6556</v>
      </c>
    </row>
    <row r="13935" customFormat="false" ht="15.75" hidden="false" customHeight="false" outlineLevel="0" collapsed="false">
      <c r="A13935" s="6" t="n">
        <f aca="false">DATE(2026,8,16)</f>
        <v>46250</v>
      </c>
      <c r="B13935" s="4" t="s">
        <v>334</v>
      </c>
      <c r="C13935" s="4" t="n">
        <v>7</v>
      </c>
      <c r="D13935" s="4" t="n">
        <v>2</v>
      </c>
      <c r="E13935" s="4" t="s">
        <v>4428</v>
      </c>
      <c r="F13935" s="4" t="n">
        <v>29</v>
      </c>
      <c r="G13935" s="4" t="n">
        <v>6</v>
      </c>
      <c r="H13935" s="4" t="n">
        <v>4</v>
      </c>
      <c r="I13935" s="4" t="str">
        <v>×</v>
      </c>
      <c r="J13935" s="4"/>
      <c r="K13935" s="4"/>
      <c r="L13935" s="4"/>
      <c r="M13935" s="7" t="s">
        <v>6556</v>
      </c>
    </row>
    <row r="13936" customFormat="false" ht="15.75" hidden="false" customHeight="false" outlineLevel="0" collapsed="false">
      <c r="A13936" s="6" t="n">
        <f aca="false">DATE(2026,8,16)</f>
        <v>46250</v>
      </c>
      <c r="B13936" s="4" t="s">
        <v>334</v>
      </c>
      <c r="C13936" s="4" t="n">
        <v>7</v>
      </c>
      <c r="D13936" s="4" t="n">
        <v>3</v>
      </c>
      <c r="E13936" s="4" t="s">
        <v>6854</v>
      </c>
      <c r="F13936" s="4" t="n">
        <v>1</v>
      </c>
      <c r="G13936" s="4" t="n">
        <v>16</v>
      </c>
      <c r="H13936" s="4" t="n">
        <v>4</v>
      </c>
      <c r="I13936" s="4" t="str">
        <v>×</v>
      </c>
      <c r="J13936" s="4"/>
      <c r="K13936" s="4"/>
      <c r="L13936" s="4"/>
      <c r="M13936" s="7" t="s">
        <v>6556</v>
      </c>
    </row>
    <row r="13937" customFormat="false" ht="15.75" hidden="false" customHeight="false" outlineLevel="0" collapsed="false">
      <c r="A13937" s="6" t="n">
        <f aca="false">DATE(2026,8,16)</f>
        <v>46250</v>
      </c>
      <c r="B13937" s="4" t="s">
        <v>334</v>
      </c>
      <c r="C13937" s="4" t="n">
        <v>7</v>
      </c>
      <c r="D13937" s="4" t="n">
        <v>4</v>
      </c>
      <c r="E13937" s="4" t="s">
        <v>1743</v>
      </c>
      <c r="F13937" s="4" t="n">
        <v>2</v>
      </c>
      <c r="G13937" s="4" t="n">
        <v>15</v>
      </c>
      <c r="H13937" s="4" t="n">
        <v>4</v>
      </c>
      <c r="I13937" s="4" t="str">
        <v>×</v>
      </c>
      <c r="J13937" s="4"/>
      <c r="K13937" s="4"/>
      <c r="L13937" s="4"/>
      <c r="M13937" s="7" t="s">
        <v>6556</v>
      </c>
    </row>
    <row r="13938" customFormat="false" ht="15.75" hidden="false" customHeight="false" outlineLevel="0" collapsed="false">
      <c r="A13938" s="6" t="n">
        <f aca="false">DATE(2026,8,16)</f>
        <v>46250</v>
      </c>
      <c r="B13938" s="4" t="s">
        <v>334</v>
      </c>
      <c r="C13938" s="4" t="n">
        <v>7</v>
      </c>
      <c r="D13938" s="4" t="n">
        <v>5</v>
      </c>
      <c r="E13938" s="4" t="s">
        <v>2595</v>
      </c>
      <c r="F13938" s="4" t="n">
        <v>17</v>
      </c>
      <c r="G13938" s="4" t="n">
        <v>8</v>
      </c>
      <c r="H13938" s="4" t="n">
        <v>2</v>
      </c>
      <c r="I13938" s="4" t="str">
        <v>○</v>
      </c>
      <c r="J13938" s="4" t="n">
        <v>330</v>
      </c>
      <c r="K13938" s="4"/>
      <c r="L13938" s="4"/>
      <c r="M13938" s="7" t="s">
        <v>6556</v>
      </c>
    </row>
    <row r="13939" customFormat="false" ht="15.75" hidden="false" customHeight="false" outlineLevel="0" collapsed="false">
      <c r="A13939" s="6" t="n">
        <f aca="false">DATE(2026,8,16)</f>
        <v>46250</v>
      </c>
      <c r="B13939" s="4" t="s">
        <v>334</v>
      </c>
      <c r="C13939" s="4" t="n">
        <v>7</v>
      </c>
      <c r="D13939" s="4" t="n">
        <v>6</v>
      </c>
      <c r="E13939" s="4" t="s">
        <v>855</v>
      </c>
      <c r="F13939" s="4" t="n">
        <v>41</v>
      </c>
      <c r="G13939" s="4" t="n">
        <v>2</v>
      </c>
      <c r="H13939" s="4" t="n">
        <v>4</v>
      </c>
      <c r="I13939" s="4" t="str">
        <v>×</v>
      </c>
      <c r="J13939" s="4"/>
      <c r="K13939" s="4"/>
      <c r="L13939" s="4"/>
      <c r="M13939" s="7" t="s">
        <v>6556</v>
      </c>
    </row>
    <row r="13940" customFormat="false" ht="15.75" hidden="false" customHeight="false" outlineLevel="0" collapsed="false">
      <c r="A13940" s="6" t="n">
        <f aca="false">DATE(2026,8,16)</f>
        <v>46250</v>
      </c>
      <c r="B13940" s="4" t="s">
        <v>334</v>
      </c>
      <c r="C13940" s="4" t="n">
        <v>7</v>
      </c>
      <c r="D13940" s="4" t="n">
        <v>7</v>
      </c>
      <c r="E13940" s="4" t="s">
        <v>1760</v>
      </c>
      <c r="F13940" s="4" t="n">
        <v>41</v>
      </c>
      <c r="G13940" s="4" t="n">
        <v>3</v>
      </c>
      <c r="H13940" s="4" t="n">
        <v>4</v>
      </c>
      <c r="I13940" s="4" t="str">
        <v>×</v>
      </c>
      <c r="J13940" s="4"/>
      <c r="K13940" s="4"/>
      <c r="L13940" s="4"/>
      <c r="M13940" s="7" t="s">
        <v>6556</v>
      </c>
    </row>
    <row r="13941" customFormat="false" ht="15.75" hidden="false" customHeight="false" outlineLevel="0" collapsed="false">
      <c r="A13941" s="6" t="n">
        <f aca="false">DATE(2026,8,16)</f>
        <v>46250</v>
      </c>
      <c r="B13941" s="4" t="s">
        <v>334</v>
      </c>
      <c r="C13941" s="4" t="n">
        <v>7</v>
      </c>
      <c r="D13941" s="4" t="n">
        <v>8</v>
      </c>
      <c r="E13941" s="4" t="s">
        <v>5581</v>
      </c>
      <c r="F13941" s="4" t="n">
        <v>6</v>
      </c>
      <c r="G13941" s="4" t="n">
        <v>9</v>
      </c>
      <c r="H13941" s="4" t="n">
        <v>4</v>
      </c>
      <c r="I13941" s="4" t="str">
        <v>×</v>
      </c>
      <c r="J13941" s="4"/>
      <c r="K13941" s="4"/>
      <c r="L13941" s="4"/>
      <c r="M13941" s="7" t="s">
        <v>6556</v>
      </c>
    </row>
    <row r="13942" customFormat="false" ht="15.75" hidden="false" customHeight="false" outlineLevel="0" collapsed="false">
      <c r="A13942" s="6" t="n">
        <f aca="false">DATE(2026,8,16)</f>
        <v>46250</v>
      </c>
      <c r="B13942" s="4" t="s">
        <v>334</v>
      </c>
      <c r="C13942" s="4" t="n">
        <v>7</v>
      </c>
      <c r="D13942" s="4" t="n">
        <v>9</v>
      </c>
      <c r="E13942" s="4" t="s">
        <v>4243</v>
      </c>
      <c r="F13942" s="4" t="n">
        <v>4</v>
      </c>
      <c r="G13942" s="4" t="n">
        <v>12</v>
      </c>
      <c r="H13942" s="4" t="n">
        <v>3</v>
      </c>
      <c r="I13942" s="4" t="str">
        <v>○</v>
      </c>
      <c r="J13942" s="4" t="n">
        <v>930</v>
      </c>
      <c r="K13942" s="4"/>
      <c r="L13942" s="4"/>
      <c r="M13942" s="7" t="s">
        <v>6556</v>
      </c>
    </row>
    <row r="13943" customFormat="false" ht="15.75" hidden="false" customHeight="false" outlineLevel="0" collapsed="false">
      <c r="A13943" s="6" t="n">
        <f aca="false">DATE(2026,8,16)</f>
        <v>46250</v>
      </c>
      <c r="B13943" s="4" t="s">
        <v>334</v>
      </c>
      <c r="C13943" s="4" t="n">
        <v>7</v>
      </c>
      <c r="D13943" s="4" t="n">
        <v>10</v>
      </c>
      <c r="E13943" s="4" t="s">
        <v>4700</v>
      </c>
      <c r="F13943" s="4" t="n">
        <v>3</v>
      </c>
      <c r="G13943" s="4" t="n">
        <v>14</v>
      </c>
      <c r="H13943" s="4" t="n">
        <v>4</v>
      </c>
      <c r="I13943" s="4" t="str">
        <v>×</v>
      </c>
      <c r="J13943" s="4"/>
      <c r="K13943" s="4"/>
      <c r="L13943" s="4"/>
      <c r="M13943" s="7" t="s">
        <v>6556</v>
      </c>
    </row>
    <row r="13944" customFormat="false" ht="15.75" hidden="false" customHeight="false" outlineLevel="0" collapsed="false">
      <c r="A13944" s="6" t="n">
        <f aca="false">DATE(2026,8,16)</f>
        <v>46250</v>
      </c>
      <c r="B13944" s="4" t="s">
        <v>334</v>
      </c>
      <c r="C13944" s="4" t="n">
        <v>7</v>
      </c>
      <c r="D13944" s="4" t="n">
        <v>11</v>
      </c>
      <c r="E13944" s="4" t="s">
        <v>2564</v>
      </c>
      <c r="F13944" s="4" t="n">
        <v>6</v>
      </c>
      <c r="G13944" s="4" t="n">
        <v>10</v>
      </c>
      <c r="H13944" s="4" t="n">
        <v>4</v>
      </c>
      <c r="I13944" s="4" t="str">
        <v>×</v>
      </c>
      <c r="J13944" s="4"/>
      <c r="K13944" s="4"/>
      <c r="L13944" s="4"/>
      <c r="M13944" s="7" t="s">
        <v>6556</v>
      </c>
    </row>
    <row r="13945" customFormat="false" ht="15.75" hidden="false" customHeight="false" outlineLevel="0" collapsed="false">
      <c r="A13945" s="6" t="n">
        <f aca="false">DATE(2026,8,16)</f>
        <v>46250</v>
      </c>
      <c r="B13945" s="4" t="s">
        <v>334</v>
      </c>
      <c r="C13945" s="4" t="n">
        <v>7</v>
      </c>
      <c r="D13945" s="4" t="n">
        <v>12</v>
      </c>
      <c r="E13945" s="4" t="s">
        <v>2926</v>
      </c>
      <c r="F13945" s="4" t="n">
        <v>39</v>
      </c>
      <c r="G13945" s="4" t="n">
        <v>4</v>
      </c>
      <c r="H13945" s="4" t="n">
        <v>4</v>
      </c>
      <c r="I13945" s="4" t="str">
        <v>×</v>
      </c>
      <c r="J13945" s="4"/>
      <c r="K13945" s="4"/>
      <c r="L13945" s="4"/>
      <c r="M13945" s="7" t="s">
        <v>6556</v>
      </c>
    </row>
    <row r="13946" customFormat="false" ht="15.75" hidden="false" customHeight="false" outlineLevel="0" collapsed="false">
      <c r="A13946" s="6" t="n">
        <f aca="false">DATE(2026,8,16)</f>
        <v>46250</v>
      </c>
      <c r="B13946" s="4" t="s">
        <v>334</v>
      </c>
      <c r="C13946" s="4" t="n">
        <v>7</v>
      </c>
      <c r="D13946" s="4" t="n">
        <v>13</v>
      </c>
      <c r="E13946" s="4" t="s">
        <v>1754</v>
      </c>
      <c r="F13946" s="4" t="n">
        <v>20</v>
      </c>
      <c r="G13946" s="4" t="n">
        <v>7</v>
      </c>
      <c r="H13946" s="4" t="n">
        <v>4</v>
      </c>
      <c r="I13946" s="4" t="str">
        <v>×</v>
      </c>
      <c r="J13946" s="4"/>
      <c r="K13946" s="4"/>
      <c r="L13946" s="4"/>
      <c r="M13946" s="7" t="s">
        <v>6556</v>
      </c>
    </row>
    <row r="13947" customFormat="false" ht="15.75" hidden="false" customHeight="false" outlineLevel="0" collapsed="false">
      <c r="A13947" s="6" t="n">
        <f aca="false">DATE(2026,8,16)</f>
        <v>46250</v>
      </c>
      <c r="B13947" s="4" t="s">
        <v>334</v>
      </c>
      <c r="C13947" s="4" t="n">
        <v>7</v>
      </c>
      <c r="D13947" s="4" t="n">
        <v>14</v>
      </c>
      <c r="E13947" s="4" t="s">
        <v>5243</v>
      </c>
      <c r="F13947" s="4" t="n">
        <v>31</v>
      </c>
      <c r="G13947" s="4" t="n">
        <v>5</v>
      </c>
      <c r="H13947" s="4" t="n">
        <v>1</v>
      </c>
      <c r="I13947" s="4" t="str">
        <v>○</v>
      </c>
      <c r="J13947" s="4" t="n">
        <v>160</v>
      </c>
      <c r="K13947" s="4"/>
      <c r="L13947" s="4"/>
      <c r="M13947" s="7" t="s">
        <v>6556</v>
      </c>
    </row>
    <row r="13948" customFormat="false" ht="15.75" hidden="false" customHeight="false" outlineLevel="0" collapsed="false">
      <c r="A13948" s="6" t="n">
        <f aca="false">DATE(2026,8,16)</f>
        <v>46250</v>
      </c>
      <c r="B13948" s="4" t="s">
        <v>334</v>
      </c>
      <c r="C13948" s="4" t="n">
        <v>7</v>
      </c>
      <c r="D13948" s="4" t="n">
        <v>15</v>
      </c>
      <c r="E13948" s="4" t="s">
        <v>6192</v>
      </c>
      <c r="F13948" s="4" t="n">
        <v>4</v>
      </c>
      <c r="G13948" s="4" t="n">
        <v>13</v>
      </c>
      <c r="H13948" s="4" t="n">
        <v>4</v>
      </c>
      <c r="I13948" s="4" t="str">
        <v>×</v>
      </c>
      <c r="J13948" s="4"/>
      <c r="K13948" s="4"/>
      <c r="L13948" s="4"/>
      <c r="M13948" s="7" t="s">
        <v>6556</v>
      </c>
    </row>
    <row r="13949" customFormat="false" ht="15.75" hidden="false" customHeight="false" outlineLevel="0" collapsed="false">
      <c r="A13949" s="6" t="n">
        <f aca="false">DATE(2026,8,16)</f>
        <v>46250</v>
      </c>
      <c r="B13949" s="4" t="s">
        <v>334</v>
      </c>
      <c r="C13949" s="4" t="n">
        <v>7</v>
      </c>
      <c r="D13949" s="4" t="n">
        <v>16</v>
      </c>
      <c r="E13949" s="4" t="s">
        <v>618</v>
      </c>
      <c r="F13949" s="4" t="n">
        <v>56</v>
      </c>
      <c r="G13949" s="4" t="n">
        <v>1</v>
      </c>
      <c r="H13949" s="4" t="n">
        <v>4</v>
      </c>
      <c r="I13949" s="4" t="str">
        <v>×</v>
      </c>
      <c r="J13949" s="4"/>
      <c r="K13949" s="4"/>
      <c r="L13949" s="4"/>
      <c r="M13949" s="7" t="s">
        <v>6556</v>
      </c>
    </row>
    <row r="13950" customFormat="false" ht="15.75" hidden="false" customHeight="false" outlineLevel="0" collapsed="false">
      <c r="A13950" s="6" t="n">
        <f aca="false">DATE(2026,8,16)</f>
        <v>46250</v>
      </c>
      <c r="B13950" s="4" t="s">
        <v>334</v>
      </c>
      <c r="C13950" s="4" t="n">
        <v>8</v>
      </c>
      <c r="D13950" s="4" t="n">
        <v>1</v>
      </c>
      <c r="E13950" s="4" t="s">
        <v>6855</v>
      </c>
      <c r="F13950" s="4" t="n">
        <v>23</v>
      </c>
      <c r="G13950" s="4" t="n">
        <v>6</v>
      </c>
      <c r="H13950" s="4" t="n">
        <v>4</v>
      </c>
      <c r="I13950" s="4" t="str">
        <v>×</v>
      </c>
      <c r="J13950" s="4"/>
      <c r="K13950" s="4"/>
      <c r="L13950" s="4"/>
      <c r="M13950" s="7" t="s">
        <v>6556</v>
      </c>
    </row>
    <row r="13951" customFormat="false" ht="15.75" hidden="false" customHeight="false" outlineLevel="0" collapsed="false">
      <c r="A13951" s="6" t="n">
        <f aca="false">DATE(2026,8,16)</f>
        <v>46250</v>
      </c>
      <c r="B13951" s="4" t="s">
        <v>334</v>
      </c>
      <c r="C13951" s="4" t="n">
        <v>8</v>
      </c>
      <c r="D13951" s="4" t="n">
        <v>2</v>
      </c>
      <c r="E13951" s="4" t="s">
        <v>6856</v>
      </c>
      <c r="F13951" s="4" t="n">
        <v>47</v>
      </c>
      <c r="G13951" s="4" t="n">
        <v>3</v>
      </c>
      <c r="H13951" s="4" t="n">
        <v>4</v>
      </c>
      <c r="I13951" s="4" t="str">
        <v>×</v>
      </c>
      <c r="J13951" s="4"/>
      <c r="K13951" s="4"/>
      <c r="L13951" s="4"/>
      <c r="M13951" s="7" t="s">
        <v>6556</v>
      </c>
    </row>
    <row r="13952" customFormat="false" ht="15.75" hidden="false" customHeight="false" outlineLevel="0" collapsed="false">
      <c r="A13952" s="6" t="n">
        <f aca="false">DATE(2026,8,16)</f>
        <v>46250</v>
      </c>
      <c r="B13952" s="4" t="s">
        <v>334</v>
      </c>
      <c r="C13952" s="4" t="n">
        <v>8</v>
      </c>
      <c r="D13952" s="4" t="n">
        <v>3</v>
      </c>
      <c r="E13952" s="4" t="s">
        <v>6857</v>
      </c>
      <c r="F13952" s="4" t="n">
        <v>6</v>
      </c>
      <c r="G13952" s="4" t="n">
        <v>9</v>
      </c>
      <c r="H13952" s="4" t="n">
        <v>4</v>
      </c>
      <c r="I13952" s="4" t="str">
        <v>×</v>
      </c>
      <c r="J13952" s="4"/>
      <c r="K13952" s="4"/>
      <c r="L13952" s="4"/>
      <c r="M13952" s="7" t="s">
        <v>6556</v>
      </c>
    </row>
    <row r="13953" customFormat="false" ht="15.75" hidden="false" customHeight="false" outlineLevel="0" collapsed="false">
      <c r="A13953" s="6" t="n">
        <f aca="false">DATE(2026,8,16)</f>
        <v>46250</v>
      </c>
      <c r="B13953" s="4" t="s">
        <v>334</v>
      </c>
      <c r="C13953" s="4" t="n">
        <v>8</v>
      </c>
      <c r="D13953" s="4" t="n">
        <v>4</v>
      </c>
      <c r="E13953" s="4" t="s">
        <v>4470</v>
      </c>
      <c r="F13953" s="4" t="n">
        <v>37</v>
      </c>
      <c r="G13953" s="4" t="n">
        <v>4</v>
      </c>
      <c r="H13953" s="4" t="n">
        <v>2</v>
      </c>
      <c r="I13953" s="4" t="str">
        <v>○</v>
      </c>
      <c r="J13953" s="4" t="n">
        <v>150</v>
      </c>
      <c r="K13953" s="4"/>
      <c r="L13953" s="4"/>
      <c r="M13953" s="7" t="s">
        <v>6556</v>
      </c>
    </row>
    <row r="13954" customFormat="false" ht="15.75" hidden="false" customHeight="false" outlineLevel="0" collapsed="false">
      <c r="A13954" s="6" t="n">
        <f aca="false">DATE(2026,8,16)</f>
        <v>46250</v>
      </c>
      <c r="B13954" s="4" t="s">
        <v>334</v>
      </c>
      <c r="C13954" s="4" t="n">
        <v>8</v>
      </c>
      <c r="D13954" s="4" t="n">
        <v>5</v>
      </c>
      <c r="E13954" s="4" t="s">
        <v>5119</v>
      </c>
      <c r="F13954" s="4" t="n">
        <v>29</v>
      </c>
      <c r="G13954" s="4" t="n">
        <v>5</v>
      </c>
      <c r="H13954" s="4" t="n">
        <v>3</v>
      </c>
      <c r="I13954" s="4" t="str">
        <v>○</v>
      </c>
      <c r="J13954" s="4" t="n">
        <v>200</v>
      </c>
      <c r="K13954" s="4"/>
      <c r="L13954" s="4"/>
      <c r="M13954" s="7" t="s">
        <v>6556</v>
      </c>
    </row>
    <row r="13955" customFormat="false" ht="15.75" hidden="false" customHeight="false" outlineLevel="0" collapsed="false">
      <c r="A13955" s="6" t="n">
        <f aca="false">DATE(2026,8,16)</f>
        <v>46250</v>
      </c>
      <c r="B13955" s="4" t="s">
        <v>334</v>
      </c>
      <c r="C13955" s="4" t="n">
        <v>8</v>
      </c>
      <c r="D13955" s="4" t="n">
        <v>6</v>
      </c>
      <c r="E13955" s="4" t="s">
        <v>365</v>
      </c>
      <c r="F13955" s="4" t="n">
        <v>2</v>
      </c>
      <c r="G13955" s="4" t="n">
        <v>11</v>
      </c>
      <c r="H13955" s="4" t="n">
        <v>4</v>
      </c>
      <c r="I13955" s="4" t="str">
        <v>×</v>
      </c>
      <c r="J13955" s="4"/>
      <c r="K13955" s="4"/>
      <c r="L13955" s="4"/>
      <c r="M13955" s="7" t="s">
        <v>6556</v>
      </c>
    </row>
    <row r="13956" customFormat="false" ht="15.75" hidden="false" customHeight="false" outlineLevel="0" collapsed="false">
      <c r="A13956" s="6" t="n">
        <f aca="false">DATE(2026,8,16)</f>
        <v>46250</v>
      </c>
      <c r="B13956" s="4" t="s">
        <v>334</v>
      </c>
      <c r="C13956" s="4" t="n">
        <v>8</v>
      </c>
      <c r="D13956" s="4" t="n">
        <v>7</v>
      </c>
      <c r="E13956" s="4" t="s">
        <v>6858</v>
      </c>
      <c r="F13956" s="4" t="n">
        <v>67</v>
      </c>
      <c r="G13956" s="4" t="n">
        <v>1</v>
      </c>
      <c r="H13956" s="4" t="n">
        <v>1</v>
      </c>
      <c r="I13956" s="4" t="str">
        <v>○</v>
      </c>
      <c r="J13956" s="4" t="n">
        <v>130</v>
      </c>
      <c r="K13956" s="4"/>
      <c r="L13956" s="4"/>
      <c r="M13956" s="7" t="s">
        <v>6556</v>
      </c>
    </row>
    <row r="13957" customFormat="false" ht="15.75" hidden="false" customHeight="false" outlineLevel="0" collapsed="false">
      <c r="A13957" s="6" t="n">
        <f aca="false">DATE(2026,8,16)</f>
        <v>46250</v>
      </c>
      <c r="B13957" s="4" t="s">
        <v>334</v>
      </c>
      <c r="C13957" s="4" t="n">
        <v>8</v>
      </c>
      <c r="D13957" s="4" t="n">
        <v>8</v>
      </c>
      <c r="E13957" s="4" t="s">
        <v>6859</v>
      </c>
      <c r="F13957" s="4" t="n">
        <v>8</v>
      </c>
      <c r="G13957" s="4" t="n">
        <v>8</v>
      </c>
      <c r="H13957" s="4" t="n">
        <v>4</v>
      </c>
      <c r="I13957" s="4" t="str">
        <v>×</v>
      </c>
      <c r="J13957" s="4"/>
      <c r="K13957" s="4"/>
      <c r="L13957" s="4"/>
      <c r="M13957" s="7" t="s">
        <v>6556</v>
      </c>
    </row>
    <row r="13958" customFormat="false" ht="15.75" hidden="false" customHeight="false" outlineLevel="0" collapsed="false">
      <c r="A13958" s="6" t="n">
        <f aca="false">DATE(2026,8,16)</f>
        <v>46250</v>
      </c>
      <c r="B13958" s="4" t="s">
        <v>334</v>
      </c>
      <c r="C13958" s="4" t="n">
        <v>8</v>
      </c>
      <c r="D13958" s="4" t="n">
        <v>9</v>
      </c>
      <c r="E13958" s="4" t="s">
        <v>803</v>
      </c>
      <c r="F13958" s="4" t="n">
        <v>4</v>
      </c>
      <c r="G13958" s="4" t="n">
        <v>10</v>
      </c>
      <c r="H13958" s="4" t="n">
        <v>4</v>
      </c>
      <c r="I13958" s="4" t="str">
        <v>×</v>
      </c>
      <c r="J13958" s="4"/>
      <c r="K13958" s="4"/>
      <c r="L13958" s="4"/>
      <c r="M13958" s="7" t="s">
        <v>6556</v>
      </c>
    </row>
    <row r="13959" customFormat="false" ht="15.75" hidden="false" customHeight="false" outlineLevel="0" collapsed="false">
      <c r="A13959" s="6" t="n">
        <f aca="false">DATE(2026,8,16)</f>
        <v>46250</v>
      </c>
      <c r="B13959" s="4" t="s">
        <v>334</v>
      </c>
      <c r="C13959" s="4" t="n">
        <v>8</v>
      </c>
      <c r="D13959" s="4" t="n">
        <v>10</v>
      </c>
      <c r="E13959" s="4" t="s">
        <v>414</v>
      </c>
      <c r="F13959" s="4" t="n">
        <v>56</v>
      </c>
      <c r="G13959" s="4" t="n">
        <v>2</v>
      </c>
      <c r="H13959" s="4" t="n">
        <v>4</v>
      </c>
      <c r="I13959" s="4" t="str">
        <v>×</v>
      </c>
      <c r="J13959" s="4"/>
      <c r="K13959" s="4"/>
      <c r="L13959" s="4"/>
      <c r="M13959" s="7" t="s">
        <v>6556</v>
      </c>
    </row>
    <row r="13960" customFormat="false" ht="15.75" hidden="false" customHeight="false" outlineLevel="0" collapsed="false">
      <c r="A13960" s="6" t="n">
        <f aca="false">DATE(2026,8,16)</f>
        <v>46250</v>
      </c>
      <c r="B13960" s="4" t="s">
        <v>334</v>
      </c>
      <c r="C13960" s="4" t="n">
        <v>8</v>
      </c>
      <c r="D13960" s="4" t="n">
        <v>11</v>
      </c>
      <c r="E13960" s="4" t="s">
        <v>412</v>
      </c>
      <c r="F13960" s="4" t="n">
        <v>15</v>
      </c>
      <c r="G13960" s="4" t="n">
        <v>7</v>
      </c>
      <c r="H13960" s="4" t="n">
        <v>4</v>
      </c>
      <c r="I13960" s="4" t="str">
        <v>×</v>
      </c>
      <c r="J13960" s="4"/>
      <c r="K13960" s="4"/>
      <c r="L13960" s="4"/>
      <c r="M13960" s="7" t="s">
        <v>6556</v>
      </c>
    </row>
    <row r="13961" customFormat="false" ht="15.75" hidden="false" customHeight="false" outlineLevel="0" collapsed="false">
      <c r="A13961" s="6" t="n">
        <f aca="false">DATE(2026,8,16)</f>
        <v>46250</v>
      </c>
      <c r="B13961" s="4" t="s">
        <v>334</v>
      </c>
      <c r="C13961" s="4" t="n">
        <v>9</v>
      </c>
      <c r="D13961" s="4" t="n">
        <v>1</v>
      </c>
      <c r="E13961" s="4" t="s">
        <v>398</v>
      </c>
      <c r="F13961" s="4" t="n">
        <v>23</v>
      </c>
      <c r="G13961" s="4" t="n">
        <v>8</v>
      </c>
      <c r="H13961" s="4" t="n">
        <v>4</v>
      </c>
      <c r="I13961" s="4" t="str">
        <v>×</v>
      </c>
      <c r="J13961" s="4"/>
      <c r="K13961" s="4"/>
      <c r="L13961" s="4"/>
      <c r="M13961" s="7" t="s">
        <v>6556</v>
      </c>
    </row>
    <row r="13962" customFormat="false" ht="15.75" hidden="false" customHeight="false" outlineLevel="0" collapsed="false">
      <c r="A13962" s="6" t="n">
        <f aca="false">DATE(2026,8,16)</f>
        <v>46250</v>
      </c>
      <c r="B13962" s="4" t="s">
        <v>334</v>
      </c>
      <c r="C13962" s="4" t="n">
        <v>9</v>
      </c>
      <c r="D13962" s="4" t="n">
        <v>2</v>
      </c>
      <c r="E13962" s="4" t="s">
        <v>6860</v>
      </c>
      <c r="F13962" s="4" t="n">
        <v>20</v>
      </c>
      <c r="G13962" s="4" t="n">
        <v>9</v>
      </c>
      <c r="H13962" s="4" t="n">
        <v>4</v>
      </c>
      <c r="I13962" s="4" t="str">
        <v>×</v>
      </c>
      <c r="J13962" s="4"/>
      <c r="K13962" s="4"/>
      <c r="L13962" s="4"/>
      <c r="M13962" s="7" t="s">
        <v>6556</v>
      </c>
    </row>
    <row r="13963" customFormat="false" ht="15.75" hidden="false" customHeight="false" outlineLevel="0" collapsed="false">
      <c r="A13963" s="6" t="n">
        <f aca="false">DATE(2026,8,16)</f>
        <v>46250</v>
      </c>
      <c r="B13963" s="4" t="s">
        <v>334</v>
      </c>
      <c r="C13963" s="4" t="n">
        <v>9</v>
      </c>
      <c r="D13963" s="4" t="n">
        <v>3</v>
      </c>
      <c r="E13963" s="4" t="s">
        <v>1379</v>
      </c>
      <c r="F13963" s="4" t="n">
        <v>44</v>
      </c>
      <c r="G13963" s="4" t="n">
        <v>1</v>
      </c>
      <c r="H13963" s="4" t="n">
        <v>4</v>
      </c>
      <c r="I13963" s="4" t="str">
        <v>×</v>
      </c>
      <c r="J13963" s="4"/>
      <c r="K13963" s="4"/>
      <c r="L13963" s="4"/>
      <c r="M13963" s="7" t="s">
        <v>6556</v>
      </c>
    </row>
    <row r="13964" customFormat="false" ht="15.75" hidden="false" customHeight="false" outlineLevel="0" collapsed="false">
      <c r="A13964" s="6" t="n">
        <f aca="false">DATE(2026,8,16)</f>
        <v>46250</v>
      </c>
      <c r="B13964" s="4" t="s">
        <v>334</v>
      </c>
      <c r="C13964" s="4" t="n">
        <v>9</v>
      </c>
      <c r="D13964" s="4" t="n">
        <v>4</v>
      </c>
      <c r="E13964" s="4" t="s">
        <v>2365</v>
      </c>
      <c r="F13964" s="4" t="n">
        <v>8</v>
      </c>
      <c r="G13964" s="4" t="n">
        <v>13</v>
      </c>
      <c r="H13964" s="4" t="n">
        <v>4</v>
      </c>
      <c r="I13964" s="4" t="str">
        <v>×</v>
      </c>
      <c r="J13964" s="4"/>
      <c r="K13964" s="4"/>
      <c r="L13964" s="4"/>
      <c r="M13964" s="7" t="s">
        <v>6556</v>
      </c>
    </row>
    <row r="13965" customFormat="false" ht="15.75" hidden="false" customHeight="false" outlineLevel="0" collapsed="false">
      <c r="A13965" s="6" t="n">
        <f aca="false">DATE(2026,8,16)</f>
        <v>46250</v>
      </c>
      <c r="B13965" s="4" t="s">
        <v>334</v>
      </c>
      <c r="C13965" s="4" t="n">
        <v>9</v>
      </c>
      <c r="D13965" s="4" t="n">
        <v>5</v>
      </c>
      <c r="E13965" s="4" t="s">
        <v>396</v>
      </c>
      <c r="F13965" s="4" t="n">
        <v>39</v>
      </c>
      <c r="G13965" s="4" t="n">
        <v>2</v>
      </c>
      <c r="H13965" s="4" t="n">
        <v>4</v>
      </c>
      <c r="I13965" s="4" t="str">
        <v>×</v>
      </c>
      <c r="J13965" s="4"/>
      <c r="K13965" s="4"/>
      <c r="L13965" s="4"/>
      <c r="M13965" s="7" t="s">
        <v>6556</v>
      </c>
    </row>
    <row r="13966" customFormat="false" ht="15.75" hidden="false" customHeight="false" outlineLevel="0" collapsed="false">
      <c r="A13966" s="6" t="n">
        <f aca="false">DATE(2026,8,16)</f>
        <v>46250</v>
      </c>
      <c r="B13966" s="4" t="s">
        <v>334</v>
      </c>
      <c r="C13966" s="4" t="n">
        <v>9</v>
      </c>
      <c r="D13966" s="4" t="n">
        <v>6</v>
      </c>
      <c r="E13966" s="4" t="s">
        <v>5770</v>
      </c>
      <c r="F13966" s="4" t="n">
        <v>2</v>
      </c>
      <c r="G13966" s="4" t="n">
        <v>16</v>
      </c>
      <c r="H13966" s="4" t="n">
        <v>4</v>
      </c>
      <c r="I13966" s="4" t="str">
        <v>×</v>
      </c>
      <c r="J13966" s="4"/>
      <c r="K13966" s="4"/>
      <c r="L13966" s="4"/>
      <c r="M13966" s="7" t="s">
        <v>6556</v>
      </c>
    </row>
    <row r="13967" customFormat="false" ht="15.75" hidden="false" customHeight="false" outlineLevel="0" collapsed="false">
      <c r="A13967" s="6" t="n">
        <f aca="false">DATE(2026,8,16)</f>
        <v>46250</v>
      </c>
      <c r="B13967" s="4" t="s">
        <v>334</v>
      </c>
      <c r="C13967" s="4" t="n">
        <v>9</v>
      </c>
      <c r="D13967" s="4" t="n">
        <v>7</v>
      </c>
      <c r="E13967" s="4" t="s">
        <v>4150</v>
      </c>
      <c r="F13967" s="4" t="n">
        <v>6</v>
      </c>
      <c r="G13967" s="4" t="n">
        <v>14</v>
      </c>
      <c r="H13967" s="4" t="n">
        <v>4</v>
      </c>
      <c r="I13967" s="4" t="str">
        <v>×</v>
      </c>
      <c r="J13967" s="4"/>
      <c r="K13967" s="4"/>
      <c r="L13967" s="4"/>
      <c r="M13967" s="7" t="s">
        <v>6556</v>
      </c>
    </row>
    <row r="13968" customFormat="false" ht="15.75" hidden="false" customHeight="false" outlineLevel="0" collapsed="false">
      <c r="A13968" s="6" t="n">
        <f aca="false">DATE(2026,8,16)</f>
        <v>46250</v>
      </c>
      <c r="B13968" s="4" t="s">
        <v>334</v>
      </c>
      <c r="C13968" s="4" t="n">
        <v>9</v>
      </c>
      <c r="D13968" s="4" t="n">
        <v>8</v>
      </c>
      <c r="E13968" s="4" t="s">
        <v>3861</v>
      </c>
      <c r="F13968" s="4" t="n">
        <v>25</v>
      </c>
      <c r="G13968" s="4" t="n">
        <v>7</v>
      </c>
      <c r="H13968" s="4" t="n">
        <v>4</v>
      </c>
      <c r="I13968" s="4" t="str">
        <v>×</v>
      </c>
      <c r="J13968" s="4"/>
      <c r="K13968" s="4"/>
      <c r="L13968" s="4"/>
      <c r="M13968" s="7" t="s">
        <v>6556</v>
      </c>
    </row>
    <row r="13969" customFormat="false" ht="15.75" hidden="false" customHeight="false" outlineLevel="0" collapsed="false">
      <c r="A13969" s="6" t="n">
        <f aca="false">DATE(2026,8,16)</f>
        <v>46250</v>
      </c>
      <c r="B13969" s="4" t="s">
        <v>334</v>
      </c>
      <c r="C13969" s="4" t="n">
        <v>9</v>
      </c>
      <c r="D13969" s="4" t="n">
        <v>9</v>
      </c>
      <c r="E13969" s="4" t="s">
        <v>2889</v>
      </c>
      <c r="F13969" s="4" t="n">
        <v>13</v>
      </c>
      <c r="G13969" s="4" t="n">
        <v>11</v>
      </c>
      <c r="H13969" s="4" t="n">
        <v>4</v>
      </c>
      <c r="I13969" s="4" t="str">
        <v>×</v>
      </c>
      <c r="J13969" s="4"/>
      <c r="K13969" s="4"/>
      <c r="L13969" s="4"/>
      <c r="M13969" s="7" t="s">
        <v>6556</v>
      </c>
    </row>
    <row r="13970" customFormat="false" ht="15.75" hidden="false" customHeight="false" outlineLevel="0" collapsed="false">
      <c r="A13970" s="6" t="n">
        <f aca="false">DATE(2026,8,16)</f>
        <v>46250</v>
      </c>
      <c r="B13970" s="4" t="s">
        <v>334</v>
      </c>
      <c r="C13970" s="4" t="n">
        <v>9</v>
      </c>
      <c r="D13970" s="4" t="n">
        <v>10</v>
      </c>
      <c r="E13970" s="4" t="s">
        <v>6861</v>
      </c>
      <c r="F13970" s="4" t="n">
        <v>17</v>
      </c>
      <c r="G13970" s="4" t="n">
        <v>10</v>
      </c>
      <c r="H13970" s="4" t="n">
        <v>4</v>
      </c>
      <c r="I13970" s="4" t="str">
        <v>×</v>
      </c>
      <c r="J13970" s="4"/>
      <c r="K13970" s="4"/>
      <c r="L13970" s="4"/>
      <c r="M13970" s="7" t="s">
        <v>6556</v>
      </c>
    </row>
    <row r="13971" customFormat="false" ht="15.75" hidden="false" customHeight="false" outlineLevel="0" collapsed="false">
      <c r="A13971" s="6" t="n">
        <f aca="false">DATE(2026,8,16)</f>
        <v>46250</v>
      </c>
      <c r="B13971" s="4" t="s">
        <v>334</v>
      </c>
      <c r="C13971" s="4" t="n">
        <v>9</v>
      </c>
      <c r="D13971" s="4" t="n">
        <v>11</v>
      </c>
      <c r="E13971" s="4" t="s">
        <v>1381</v>
      </c>
      <c r="F13971" s="4" t="n">
        <v>4</v>
      </c>
      <c r="G13971" s="4" t="n">
        <v>15</v>
      </c>
      <c r="H13971" s="4" t="n">
        <v>4</v>
      </c>
      <c r="I13971" s="4" t="str">
        <v>×</v>
      </c>
      <c r="J13971" s="4"/>
      <c r="K13971" s="4"/>
      <c r="L13971" s="4"/>
      <c r="M13971" s="7" t="s">
        <v>6556</v>
      </c>
    </row>
    <row r="13972" customFormat="false" ht="15.75" hidden="false" customHeight="false" outlineLevel="0" collapsed="false">
      <c r="A13972" s="6" t="n">
        <f aca="false">DATE(2026,8,16)</f>
        <v>46250</v>
      </c>
      <c r="B13972" s="4" t="s">
        <v>334</v>
      </c>
      <c r="C13972" s="4" t="n">
        <v>9</v>
      </c>
      <c r="D13972" s="4" t="n">
        <v>12</v>
      </c>
      <c r="E13972" s="4" t="s">
        <v>2799</v>
      </c>
      <c r="F13972" s="4" t="n">
        <v>37</v>
      </c>
      <c r="G13972" s="4" t="n">
        <v>4</v>
      </c>
      <c r="H13972" s="4" t="n">
        <v>3</v>
      </c>
      <c r="I13972" s="4" t="str">
        <v>○</v>
      </c>
      <c r="J13972" s="4" t="n">
        <v>380</v>
      </c>
      <c r="K13972" s="4"/>
      <c r="L13972" s="4"/>
      <c r="M13972" s="7" t="s">
        <v>6556</v>
      </c>
    </row>
    <row r="13973" customFormat="false" ht="15.75" hidden="false" customHeight="false" outlineLevel="0" collapsed="false">
      <c r="A13973" s="6" t="n">
        <f aca="false">DATE(2026,8,16)</f>
        <v>46250</v>
      </c>
      <c r="B13973" s="4" t="s">
        <v>334</v>
      </c>
      <c r="C13973" s="4" t="n">
        <v>9</v>
      </c>
      <c r="D13973" s="4" t="n">
        <v>13</v>
      </c>
      <c r="E13973" s="4" t="s">
        <v>6862</v>
      </c>
      <c r="F13973" s="4" t="n">
        <v>31</v>
      </c>
      <c r="G13973" s="4" t="n">
        <v>6</v>
      </c>
      <c r="H13973" s="4" t="n">
        <v>2</v>
      </c>
      <c r="I13973" s="4" t="str">
        <v>○</v>
      </c>
      <c r="J13973" s="4" t="n">
        <v>490</v>
      </c>
      <c r="K13973" s="4"/>
      <c r="L13973" s="4"/>
      <c r="M13973" s="7" t="s">
        <v>6556</v>
      </c>
    </row>
    <row r="13974" customFormat="false" ht="15.75" hidden="false" customHeight="false" outlineLevel="0" collapsed="false">
      <c r="A13974" s="6" t="n">
        <f aca="false">DATE(2026,8,16)</f>
        <v>46250</v>
      </c>
      <c r="B13974" s="4" t="s">
        <v>334</v>
      </c>
      <c r="C13974" s="4" t="n">
        <v>9</v>
      </c>
      <c r="D13974" s="4" t="n">
        <v>14</v>
      </c>
      <c r="E13974" s="4" t="s">
        <v>2672</v>
      </c>
      <c r="F13974" s="4" t="n">
        <v>13</v>
      </c>
      <c r="G13974" s="4" t="n">
        <v>12</v>
      </c>
      <c r="H13974" s="4" t="n">
        <v>4</v>
      </c>
      <c r="I13974" s="4" t="str">
        <v>×</v>
      </c>
      <c r="J13974" s="4"/>
      <c r="K13974" s="4"/>
      <c r="L13974" s="4"/>
      <c r="M13974" s="7" t="s">
        <v>6556</v>
      </c>
    </row>
    <row r="13975" customFormat="false" ht="15.75" hidden="false" customHeight="false" outlineLevel="0" collapsed="false">
      <c r="A13975" s="6" t="n">
        <f aca="false">DATE(2026,8,16)</f>
        <v>46250</v>
      </c>
      <c r="B13975" s="4" t="s">
        <v>334</v>
      </c>
      <c r="C13975" s="4" t="n">
        <v>9</v>
      </c>
      <c r="D13975" s="4" t="n">
        <v>15</v>
      </c>
      <c r="E13975" s="4" t="s">
        <v>3534</v>
      </c>
      <c r="F13975" s="4" t="n">
        <v>39</v>
      </c>
      <c r="G13975" s="4" t="n">
        <v>3</v>
      </c>
      <c r="H13975" s="4" t="n">
        <v>4</v>
      </c>
      <c r="I13975" s="4" t="str">
        <v>×</v>
      </c>
      <c r="J13975" s="4"/>
      <c r="K13975" s="4"/>
      <c r="L13975" s="4"/>
      <c r="M13975" s="7" t="s">
        <v>6556</v>
      </c>
    </row>
    <row r="13976" customFormat="false" ht="15.75" hidden="false" customHeight="false" outlineLevel="0" collapsed="false">
      <c r="A13976" s="6" t="n">
        <f aca="false">DATE(2026,8,16)</f>
        <v>46250</v>
      </c>
      <c r="B13976" s="4" t="s">
        <v>334</v>
      </c>
      <c r="C13976" s="4" t="n">
        <v>9</v>
      </c>
      <c r="D13976" s="4" t="n">
        <v>16</v>
      </c>
      <c r="E13976" s="4" t="s">
        <v>2097</v>
      </c>
      <c r="F13976" s="4" t="n">
        <v>34</v>
      </c>
      <c r="G13976" s="4" t="n">
        <v>5</v>
      </c>
      <c r="H13976" s="4" t="n">
        <v>1</v>
      </c>
      <c r="I13976" s="4" t="str">
        <v>○</v>
      </c>
      <c r="J13976" s="4" t="n">
        <v>280</v>
      </c>
      <c r="K13976" s="4"/>
      <c r="L13976" s="4"/>
      <c r="M13976" s="7" t="s">
        <v>6556</v>
      </c>
    </row>
    <row r="13977" customFormat="false" ht="15.75" hidden="false" customHeight="false" outlineLevel="0" collapsed="false">
      <c r="A13977" s="6" t="n">
        <f aca="false">DATE(2026,8,16)</f>
        <v>46250</v>
      </c>
      <c r="B13977" s="4" t="s">
        <v>334</v>
      </c>
      <c r="C13977" s="4" t="n">
        <v>10</v>
      </c>
      <c r="D13977" s="4" t="n">
        <v>1</v>
      </c>
      <c r="E13977" s="4" t="s">
        <v>4447</v>
      </c>
      <c r="F13977" s="4" t="n">
        <v>17</v>
      </c>
      <c r="G13977" s="4" t="n">
        <v>6</v>
      </c>
      <c r="H13977" s="4" t="n">
        <v>4</v>
      </c>
      <c r="I13977" s="4" t="str">
        <v>×</v>
      </c>
      <c r="J13977" s="4"/>
      <c r="K13977" s="4"/>
      <c r="L13977" s="4"/>
      <c r="M13977" s="7" t="s">
        <v>6556</v>
      </c>
    </row>
    <row r="13978" customFormat="false" ht="15.75" hidden="false" customHeight="false" outlineLevel="0" collapsed="false">
      <c r="A13978" s="6" t="n">
        <f aca="false">DATE(2026,8,16)</f>
        <v>46250</v>
      </c>
      <c r="B13978" s="4" t="s">
        <v>334</v>
      </c>
      <c r="C13978" s="4" t="n">
        <v>10</v>
      </c>
      <c r="D13978" s="4" t="n">
        <v>2</v>
      </c>
      <c r="E13978" s="4" t="s">
        <v>2654</v>
      </c>
      <c r="F13978" s="4" t="n">
        <v>39</v>
      </c>
      <c r="G13978" s="4" t="n">
        <v>3</v>
      </c>
      <c r="H13978" s="4" t="n">
        <v>3</v>
      </c>
      <c r="I13978" s="4" t="str">
        <v>○</v>
      </c>
      <c r="J13978" s="4" t="n">
        <v>290</v>
      </c>
      <c r="K13978" s="4"/>
      <c r="L13978" s="4"/>
      <c r="M13978" s="7" t="s">
        <v>6556</v>
      </c>
    </row>
    <row r="13979" customFormat="false" ht="15.75" hidden="false" customHeight="false" outlineLevel="0" collapsed="false">
      <c r="A13979" s="6" t="n">
        <f aca="false">DATE(2026,8,16)</f>
        <v>46250</v>
      </c>
      <c r="B13979" s="4" t="s">
        <v>334</v>
      </c>
      <c r="C13979" s="4" t="n">
        <v>10</v>
      </c>
      <c r="D13979" s="4" t="n">
        <v>3</v>
      </c>
      <c r="E13979" s="4" t="s">
        <v>3287</v>
      </c>
      <c r="F13979" s="4" t="n">
        <v>10</v>
      </c>
      <c r="G13979" s="4" t="n">
        <v>10</v>
      </c>
      <c r="H13979" s="4" t="n">
        <v>4</v>
      </c>
      <c r="I13979" s="4" t="str">
        <v>×</v>
      </c>
      <c r="J13979" s="4"/>
      <c r="K13979" s="4"/>
      <c r="L13979" s="4"/>
      <c r="M13979" s="7" t="s">
        <v>6556</v>
      </c>
    </row>
    <row r="13980" customFormat="false" ht="15.75" hidden="false" customHeight="false" outlineLevel="0" collapsed="false">
      <c r="A13980" s="6" t="n">
        <f aca="false">DATE(2026,8,16)</f>
        <v>46250</v>
      </c>
      <c r="B13980" s="4" t="s">
        <v>334</v>
      </c>
      <c r="C13980" s="4" t="n">
        <v>10</v>
      </c>
      <c r="D13980" s="4" t="n">
        <v>4</v>
      </c>
      <c r="E13980" s="4" t="s">
        <v>4330</v>
      </c>
      <c r="F13980" s="4" t="n">
        <v>13</v>
      </c>
      <c r="G13980" s="4" t="n">
        <v>9</v>
      </c>
      <c r="H13980" s="4" t="n">
        <v>4</v>
      </c>
      <c r="I13980" s="4" t="str">
        <v>×</v>
      </c>
      <c r="J13980" s="4"/>
      <c r="K13980" s="4"/>
      <c r="L13980" s="4"/>
      <c r="M13980" s="7" t="s">
        <v>6556</v>
      </c>
    </row>
    <row r="13981" customFormat="false" ht="15.75" hidden="false" customHeight="false" outlineLevel="0" collapsed="false">
      <c r="A13981" s="6" t="n">
        <f aca="false">DATE(2026,8,16)</f>
        <v>46250</v>
      </c>
      <c r="B13981" s="4" t="s">
        <v>334</v>
      </c>
      <c r="C13981" s="4" t="n">
        <v>10</v>
      </c>
      <c r="D13981" s="4" t="n">
        <v>5</v>
      </c>
      <c r="E13981" s="4" t="s">
        <v>6863</v>
      </c>
      <c r="F13981" s="4" t="n">
        <v>3</v>
      </c>
      <c r="G13981" s="4" t="n">
        <v>12</v>
      </c>
      <c r="H13981" s="4" t="n">
        <v>4</v>
      </c>
      <c r="I13981" s="4" t="str">
        <v>×</v>
      </c>
      <c r="J13981" s="4"/>
      <c r="K13981" s="4"/>
      <c r="L13981" s="4"/>
      <c r="M13981" s="7" t="s">
        <v>6556</v>
      </c>
    </row>
    <row r="13982" customFormat="false" ht="15.75" hidden="false" customHeight="false" outlineLevel="0" collapsed="false">
      <c r="A13982" s="6" t="n">
        <f aca="false">DATE(2026,8,16)</f>
        <v>46250</v>
      </c>
      <c r="B13982" s="4" t="s">
        <v>334</v>
      </c>
      <c r="C13982" s="4" t="n">
        <v>10</v>
      </c>
      <c r="D13982" s="4" t="n">
        <v>6</v>
      </c>
      <c r="E13982" s="4" t="s">
        <v>2655</v>
      </c>
      <c r="F13982" s="4" t="n">
        <v>31</v>
      </c>
      <c r="G13982" s="4" t="n">
        <v>4</v>
      </c>
      <c r="H13982" s="4" t="n">
        <v>4</v>
      </c>
      <c r="I13982" s="4" t="str">
        <v>×</v>
      </c>
      <c r="J13982" s="4"/>
      <c r="K13982" s="4"/>
      <c r="L13982" s="4"/>
      <c r="M13982" s="7" t="s">
        <v>6556</v>
      </c>
    </row>
    <row r="13983" customFormat="false" ht="15.75" hidden="false" customHeight="false" outlineLevel="0" collapsed="false">
      <c r="A13983" s="6" t="n">
        <f aca="false">DATE(2026,8,16)</f>
        <v>46250</v>
      </c>
      <c r="B13983" s="4" t="s">
        <v>334</v>
      </c>
      <c r="C13983" s="4" t="n">
        <v>10</v>
      </c>
      <c r="D13983" s="4" t="n">
        <v>7</v>
      </c>
      <c r="E13983" s="4" t="s">
        <v>4333</v>
      </c>
      <c r="F13983" s="4" t="n">
        <v>56</v>
      </c>
      <c r="G13983" s="4" t="n">
        <v>2</v>
      </c>
      <c r="H13983" s="4" t="n">
        <v>4</v>
      </c>
      <c r="I13983" s="4" t="str">
        <v>×</v>
      </c>
      <c r="J13983" s="4"/>
      <c r="K13983" s="4"/>
      <c r="L13983" s="4"/>
      <c r="M13983" s="7" t="s">
        <v>6556</v>
      </c>
    </row>
    <row r="13984" customFormat="false" ht="15.75" hidden="false" customHeight="false" outlineLevel="0" collapsed="false">
      <c r="A13984" s="6" t="n">
        <f aca="false">DATE(2026,8,16)</f>
        <v>46250</v>
      </c>
      <c r="B13984" s="4" t="s">
        <v>334</v>
      </c>
      <c r="C13984" s="4" t="n">
        <v>10</v>
      </c>
      <c r="D13984" s="4" t="n">
        <v>8</v>
      </c>
      <c r="E13984" s="4" t="s">
        <v>4155</v>
      </c>
      <c r="F13984" s="4" t="n">
        <v>20</v>
      </c>
      <c r="G13984" s="4" t="n">
        <v>5</v>
      </c>
      <c r="H13984" s="4" t="n">
        <v>4</v>
      </c>
      <c r="I13984" s="4" t="str">
        <v>×</v>
      </c>
      <c r="J13984" s="4"/>
      <c r="K13984" s="4"/>
      <c r="L13984" s="4"/>
      <c r="M13984" s="7" t="s">
        <v>6556</v>
      </c>
    </row>
    <row r="13985" customFormat="false" ht="15.75" hidden="false" customHeight="false" outlineLevel="0" collapsed="false">
      <c r="A13985" s="6" t="n">
        <f aca="false">DATE(2026,8,16)</f>
        <v>46250</v>
      </c>
      <c r="B13985" s="4" t="s">
        <v>334</v>
      </c>
      <c r="C13985" s="4" t="n">
        <v>10</v>
      </c>
      <c r="D13985" s="4" t="n">
        <v>9</v>
      </c>
      <c r="E13985" s="4" t="s">
        <v>3844</v>
      </c>
      <c r="F13985" s="4" t="n">
        <v>15</v>
      </c>
      <c r="G13985" s="4" t="n">
        <v>8</v>
      </c>
      <c r="H13985" s="4" t="n">
        <v>4</v>
      </c>
      <c r="I13985" s="4" t="str">
        <v>×</v>
      </c>
      <c r="J13985" s="4"/>
      <c r="K13985" s="4"/>
      <c r="L13985" s="4"/>
      <c r="M13985" s="7" t="s">
        <v>6556</v>
      </c>
    </row>
    <row r="13986" customFormat="false" ht="15.75" hidden="false" customHeight="false" outlineLevel="0" collapsed="false">
      <c r="A13986" s="6" t="n">
        <f aca="false">DATE(2026,8,16)</f>
        <v>46250</v>
      </c>
      <c r="B13986" s="4" t="s">
        <v>334</v>
      </c>
      <c r="C13986" s="4" t="n">
        <v>10</v>
      </c>
      <c r="D13986" s="4" t="n">
        <v>10</v>
      </c>
      <c r="E13986" s="4" t="s">
        <v>2900</v>
      </c>
      <c r="F13986" s="4" t="n">
        <v>58</v>
      </c>
      <c r="G13986" s="4" t="n">
        <v>1</v>
      </c>
      <c r="H13986" s="4" t="n">
        <v>2</v>
      </c>
      <c r="I13986" s="4" t="str">
        <v>○</v>
      </c>
      <c r="J13986" s="4" t="n">
        <v>160</v>
      </c>
      <c r="K13986" s="4"/>
      <c r="L13986" s="4"/>
      <c r="M13986" s="7" t="s">
        <v>6556</v>
      </c>
    </row>
    <row r="13987" customFormat="false" ht="15.75" hidden="false" customHeight="false" outlineLevel="0" collapsed="false">
      <c r="A13987" s="6" t="n">
        <f aca="false">DATE(2026,8,16)</f>
        <v>46250</v>
      </c>
      <c r="B13987" s="4" t="s">
        <v>334</v>
      </c>
      <c r="C13987" s="4" t="n">
        <v>10</v>
      </c>
      <c r="D13987" s="4" t="n">
        <v>11</v>
      </c>
      <c r="E13987" s="4" t="s">
        <v>3085</v>
      </c>
      <c r="F13987" s="4" t="n">
        <v>8</v>
      </c>
      <c r="G13987" s="4" t="n">
        <v>11</v>
      </c>
      <c r="H13987" s="4" t="n">
        <v>4</v>
      </c>
      <c r="I13987" s="4" t="str">
        <v>×</v>
      </c>
      <c r="J13987" s="4"/>
      <c r="K13987" s="4"/>
      <c r="L13987" s="4"/>
      <c r="M13987" s="7" t="s">
        <v>6556</v>
      </c>
    </row>
    <row r="13988" customFormat="false" ht="15.75" hidden="false" customHeight="false" outlineLevel="0" collapsed="false">
      <c r="A13988" s="6" t="n">
        <f aca="false">DATE(2026,8,16)</f>
        <v>46250</v>
      </c>
      <c r="B13988" s="4" t="s">
        <v>334</v>
      </c>
      <c r="C13988" s="4" t="n">
        <v>10</v>
      </c>
      <c r="D13988" s="4" t="n">
        <v>12</v>
      </c>
      <c r="E13988" s="4" t="s">
        <v>6864</v>
      </c>
      <c r="F13988" s="4" t="n">
        <v>17</v>
      </c>
      <c r="G13988" s="4" t="n">
        <v>7</v>
      </c>
      <c r="H13988" s="4" t="n">
        <v>1</v>
      </c>
      <c r="I13988" s="4" t="str">
        <v>○</v>
      </c>
      <c r="J13988" s="4" t="n">
        <v>490</v>
      </c>
      <c r="K13988" s="4"/>
      <c r="L13988" s="4"/>
      <c r="M13988" s="7" t="s">
        <v>6556</v>
      </c>
    </row>
    <row r="13989" customFormat="false" ht="15.75" hidden="false" customHeight="false" outlineLevel="0" collapsed="false">
      <c r="A13989" s="6" t="n">
        <f aca="false">DATE(2026,8,16)</f>
        <v>46250</v>
      </c>
      <c r="B13989" s="4" t="s">
        <v>334</v>
      </c>
      <c r="C13989" s="4" t="n">
        <v>11</v>
      </c>
      <c r="D13989" s="4" t="n">
        <v>1</v>
      </c>
      <c r="E13989" s="4" t="s">
        <v>2408</v>
      </c>
      <c r="F13989" s="4" t="n">
        <v>6</v>
      </c>
      <c r="G13989" s="4" t="n">
        <v>12</v>
      </c>
      <c r="H13989" s="4" t="n">
        <v>4</v>
      </c>
      <c r="I13989" s="4" t="str">
        <v>×</v>
      </c>
      <c r="J13989" s="4"/>
      <c r="K13989" s="4"/>
      <c r="L13989" s="4"/>
      <c r="M13989" s="7" t="s">
        <v>6556</v>
      </c>
    </row>
    <row r="13990" customFormat="false" ht="15.75" hidden="false" customHeight="false" outlineLevel="0" collapsed="false">
      <c r="A13990" s="6" t="n">
        <f aca="false">DATE(2026,8,16)</f>
        <v>46250</v>
      </c>
      <c r="B13990" s="4" t="s">
        <v>334</v>
      </c>
      <c r="C13990" s="4" t="n">
        <v>11</v>
      </c>
      <c r="D13990" s="4" t="n">
        <v>2</v>
      </c>
      <c r="E13990" s="4" t="s">
        <v>1363</v>
      </c>
      <c r="F13990" s="4" t="n">
        <v>3</v>
      </c>
      <c r="G13990" s="4" t="n">
        <v>14</v>
      </c>
      <c r="H13990" s="4" t="n">
        <v>4</v>
      </c>
      <c r="I13990" s="4" t="str">
        <v>×</v>
      </c>
      <c r="J13990" s="4"/>
      <c r="K13990" s="4"/>
      <c r="L13990" s="4"/>
      <c r="M13990" s="7" t="s">
        <v>6556</v>
      </c>
    </row>
    <row r="13991" customFormat="false" ht="15.75" hidden="false" customHeight="false" outlineLevel="0" collapsed="false">
      <c r="A13991" s="6" t="n">
        <f aca="false">DATE(2026,8,16)</f>
        <v>46250</v>
      </c>
      <c r="B13991" s="4" t="s">
        <v>334</v>
      </c>
      <c r="C13991" s="4" t="n">
        <v>11</v>
      </c>
      <c r="D13991" s="4" t="n">
        <v>3</v>
      </c>
      <c r="E13991" s="4" t="s">
        <v>2271</v>
      </c>
      <c r="F13991" s="4" t="n">
        <v>1</v>
      </c>
      <c r="G13991" s="4" t="n">
        <v>15</v>
      </c>
      <c r="H13991" s="4" t="n">
        <v>4</v>
      </c>
      <c r="I13991" s="4" t="str">
        <v>×</v>
      </c>
      <c r="J13991" s="4"/>
      <c r="K13991" s="4"/>
      <c r="L13991" s="4"/>
      <c r="M13991" s="7" t="s">
        <v>6556</v>
      </c>
    </row>
    <row r="13992" customFormat="false" ht="15.75" hidden="false" customHeight="false" outlineLevel="0" collapsed="false">
      <c r="A13992" s="6" t="n">
        <f aca="false">DATE(2026,8,16)</f>
        <v>46250</v>
      </c>
      <c r="B13992" s="4" t="s">
        <v>334</v>
      </c>
      <c r="C13992" s="4" t="n">
        <v>11</v>
      </c>
      <c r="D13992" s="4" t="n">
        <v>4</v>
      </c>
      <c r="E13992" s="4" t="s">
        <v>3552</v>
      </c>
      <c r="F13992" s="4" t="n">
        <v>23</v>
      </c>
      <c r="G13992" s="4" t="n">
        <v>6</v>
      </c>
      <c r="H13992" s="4" t="n">
        <v>4</v>
      </c>
      <c r="I13992" s="4" t="str">
        <v>×</v>
      </c>
      <c r="J13992" s="4"/>
      <c r="K13992" s="4"/>
      <c r="L13992" s="4"/>
      <c r="M13992" s="7" t="s">
        <v>6556</v>
      </c>
    </row>
    <row r="13993" customFormat="false" ht="15.75" hidden="false" customHeight="false" outlineLevel="0" collapsed="false">
      <c r="A13993" s="6" t="n">
        <f aca="false">DATE(2026,8,16)</f>
        <v>46250</v>
      </c>
      <c r="B13993" s="4" t="s">
        <v>334</v>
      </c>
      <c r="C13993" s="4" t="n">
        <v>11</v>
      </c>
      <c r="D13993" s="4" t="n">
        <v>5</v>
      </c>
      <c r="E13993" s="4" t="s">
        <v>6865</v>
      </c>
      <c r="F13993" s="4" t="n">
        <v>20</v>
      </c>
      <c r="G13993" s="4" t="n">
        <v>7</v>
      </c>
      <c r="H13993" s="4" t="n">
        <v>4</v>
      </c>
      <c r="I13993" s="4" t="str">
        <v>×</v>
      </c>
      <c r="J13993" s="4"/>
      <c r="K13993" s="4"/>
      <c r="L13993" s="4"/>
      <c r="M13993" s="7" t="s">
        <v>6556</v>
      </c>
    </row>
    <row r="13994" customFormat="false" ht="15.75" hidden="false" customHeight="false" outlineLevel="0" collapsed="false">
      <c r="A13994" s="6" t="n">
        <f aca="false">DATE(2026,8,16)</f>
        <v>46250</v>
      </c>
      <c r="B13994" s="4" t="s">
        <v>334</v>
      </c>
      <c r="C13994" s="4" t="n">
        <v>11</v>
      </c>
      <c r="D13994" s="4" t="n">
        <v>6</v>
      </c>
      <c r="E13994" s="4" t="s">
        <v>6866</v>
      </c>
      <c r="F13994" s="4" t="n">
        <v>47</v>
      </c>
      <c r="G13994" s="4" t="n">
        <v>2</v>
      </c>
      <c r="H13994" s="4" t="n">
        <v>4</v>
      </c>
      <c r="I13994" s="4" t="str">
        <v>×</v>
      </c>
      <c r="J13994" s="4"/>
      <c r="K13994" s="4"/>
      <c r="L13994" s="4"/>
      <c r="M13994" s="7" t="s">
        <v>6556</v>
      </c>
    </row>
    <row r="13995" customFormat="false" ht="15.75" hidden="false" customHeight="false" outlineLevel="0" collapsed="false">
      <c r="A13995" s="6" t="n">
        <f aca="false">DATE(2026,8,16)</f>
        <v>46250</v>
      </c>
      <c r="B13995" s="4" t="s">
        <v>334</v>
      </c>
      <c r="C13995" s="4" t="n">
        <v>11</v>
      </c>
      <c r="D13995" s="4" t="n">
        <v>7</v>
      </c>
      <c r="E13995" s="4" t="s">
        <v>6867</v>
      </c>
      <c r="F13995" s="4" t="n">
        <v>41</v>
      </c>
      <c r="G13995" s="4" t="n">
        <v>3</v>
      </c>
      <c r="H13995" s="4" t="n">
        <v>4</v>
      </c>
      <c r="I13995" s="4" t="str">
        <v>×</v>
      </c>
      <c r="J13995" s="4"/>
      <c r="K13995" s="4"/>
      <c r="L13995" s="4"/>
      <c r="M13995" s="7" t="s">
        <v>6556</v>
      </c>
    </row>
    <row r="13996" customFormat="false" ht="15.75" hidden="false" customHeight="false" outlineLevel="0" collapsed="false">
      <c r="A13996" s="6" t="n">
        <f aca="false">DATE(2026,8,16)</f>
        <v>46250</v>
      </c>
      <c r="B13996" s="4" t="s">
        <v>334</v>
      </c>
      <c r="C13996" s="4" t="n">
        <v>11</v>
      </c>
      <c r="D13996" s="4" t="n">
        <v>8</v>
      </c>
      <c r="E13996" s="4" t="s">
        <v>6868</v>
      </c>
      <c r="F13996" s="4" t="n">
        <v>39</v>
      </c>
      <c r="G13996" s="4" t="n">
        <v>4</v>
      </c>
      <c r="H13996" s="4" t="n">
        <v>2</v>
      </c>
      <c r="I13996" s="4" t="str">
        <v>○</v>
      </c>
      <c r="J13996" s="4" t="n">
        <v>320</v>
      </c>
      <c r="K13996" s="4"/>
      <c r="L13996" s="4"/>
      <c r="M13996" s="7" t="s">
        <v>6556</v>
      </c>
    </row>
    <row r="13997" customFormat="false" ht="15.75" hidden="false" customHeight="false" outlineLevel="0" collapsed="false">
      <c r="A13997" s="6" t="n">
        <f aca="false">DATE(2026,8,16)</f>
        <v>46250</v>
      </c>
      <c r="B13997" s="4" t="s">
        <v>334</v>
      </c>
      <c r="C13997" s="4" t="n">
        <v>11</v>
      </c>
      <c r="D13997" s="4" t="n">
        <v>9</v>
      </c>
      <c r="E13997" s="4" t="s">
        <v>2405</v>
      </c>
      <c r="F13997" s="4" t="n">
        <v>29</v>
      </c>
      <c r="G13997" s="4" t="n">
        <v>5</v>
      </c>
      <c r="H13997" s="4" t="n">
        <v>4</v>
      </c>
      <c r="I13997" s="4" t="str">
        <v>×</v>
      </c>
      <c r="J13997" s="4"/>
      <c r="K13997" s="4"/>
      <c r="L13997" s="4"/>
      <c r="M13997" s="7" t="s">
        <v>6556</v>
      </c>
    </row>
    <row r="13998" customFormat="false" ht="15.75" hidden="false" customHeight="false" outlineLevel="0" collapsed="false">
      <c r="A13998" s="6" t="n">
        <f aca="false">DATE(2026,8,16)</f>
        <v>46250</v>
      </c>
      <c r="B13998" s="4" t="s">
        <v>334</v>
      </c>
      <c r="C13998" s="4" t="n">
        <v>11</v>
      </c>
      <c r="D13998" s="4" t="n">
        <v>10</v>
      </c>
      <c r="E13998" s="4" t="s">
        <v>6869</v>
      </c>
      <c r="F13998" s="4" t="n">
        <v>56</v>
      </c>
      <c r="G13998" s="4" t="n">
        <v>1</v>
      </c>
      <c r="H13998" s="4" t="n">
        <v>4</v>
      </c>
      <c r="I13998" s="4" t="str">
        <v>×</v>
      </c>
      <c r="J13998" s="4"/>
      <c r="K13998" s="4"/>
      <c r="L13998" s="4"/>
      <c r="M13998" s="7" t="s">
        <v>6556</v>
      </c>
    </row>
    <row r="13999" customFormat="false" ht="15.75" hidden="false" customHeight="false" outlineLevel="0" collapsed="false">
      <c r="A13999" s="6" t="n">
        <f aca="false">DATE(2026,8,16)</f>
        <v>46250</v>
      </c>
      <c r="B13999" s="4" t="s">
        <v>334</v>
      </c>
      <c r="C13999" s="4" t="n">
        <v>11</v>
      </c>
      <c r="D13999" s="4" t="n">
        <v>11</v>
      </c>
      <c r="E13999" s="4" t="s">
        <v>3559</v>
      </c>
      <c r="F13999" s="4" t="n">
        <v>1</v>
      </c>
      <c r="G13999" s="4" t="n">
        <v>16</v>
      </c>
      <c r="H13999" s="4" t="n">
        <v>4</v>
      </c>
      <c r="I13999" s="4" t="str">
        <v>×</v>
      </c>
      <c r="J13999" s="4"/>
      <c r="K13999" s="4"/>
      <c r="L13999" s="4"/>
      <c r="M13999" s="7" t="s">
        <v>6556</v>
      </c>
    </row>
    <row r="14000" customFormat="false" ht="15.75" hidden="false" customHeight="false" outlineLevel="0" collapsed="false">
      <c r="A14000" s="6" t="n">
        <f aca="false">DATE(2026,8,16)</f>
        <v>46250</v>
      </c>
      <c r="B14000" s="4" t="s">
        <v>334</v>
      </c>
      <c r="C14000" s="4" t="n">
        <v>11</v>
      </c>
      <c r="D14000" s="4" t="n">
        <v>12</v>
      </c>
      <c r="E14000" s="4" t="s">
        <v>1691</v>
      </c>
      <c r="F14000" s="4" t="n">
        <v>8</v>
      </c>
      <c r="G14000" s="4" t="n">
        <v>10</v>
      </c>
      <c r="H14000" s="4" t="n">
        <v>4</v>
      </c>
      <c r="I14000" s="4" t="str">
        <v>×</v>
      </c>
      <c r="J14000" s="4"/>
      <c r="K14000" s="4"/>
      <c r="L14000" s="4"/>
      <c r="M14000" s="7" t="s">
        <v>6556</v>
      </c>
    </row>
    <row r="14001" customFormat="false" ht="15.75" hidden="false" customHeight="false" outlineLevel="0" collapsed="false">
      <c r="A14001" s="6" t="n">
        <f aca="false">DATE(2026,8,16)</f>
        <v>46250</v>
      </c>
      <c r="B14001" s="4" t="s">
        <v>334</v>
      </c>
      <c r="C14001" s="4" t="n">
        <v>11</v>
      </c>
      <c r="D14001" s="4" t="n">
        <v>13</v>
      </c>
      <c r="E14001" s="4" t="s">
        <v>6327</v>
      </c>
      <c r="F14001" s="4" t="n">
        <v>17</v>
      </c>
      <c r="G14001" s="4" t="n">
        <v>8</v>
      </c>
      <c r="H14001" s="4" t="n">
        <v>4</v>
      </c>
      <c r="I14001" s="4" t="str">
        <v>×</v>
      </c>
      <c r="J14001" s="4"/>
      <c r="K14001" s="4"/>
      <c r="L14001" s="4"/>
      <c r="M14001" s="7" t="s">
        <v>6556</v>
      </c>
    </row>
    <row r="14002" customFormat="false" ht="15.75" hidden="false" customHeight="false" outlineLevel="0" collapsed="false">
      <c r="A14002" s="6" t="n">
        <f aca="false">DATE(2026,8,16)</f>
        <v>46250</v>
      </c>
      <c r="B14002" s="4" t="s">
        <v>334</v>
      </c>
      <c r="C14002" s="4" t="n">
        <v>11</v>
      </c>
      <c r="D14002" s="4" t="n">
        <v>14</v>
      </c>
      <c r="E14002" s="4" t="s">
        <v>2666</v>
      </c>
      <c r="F14002" s="4" t="n">
        <v>4</v>
      </c>
      <c r="G14002" s="4" t="n">
        <v>13</v>
      </c>
      <c r="H14002" s="4" t="n">
        <v>3</v>
      </c>
      <c r="I14002" s="4" t="str">
        <v>○</v>
      </c>
      <c r="J14002" s="4" t="n">
        <v>970</v>
      </c>
      <c r="K14002" s="4"/>
      <c r="L14002" s="4"/>
      <c r="M14002" s="7" t="s">
        <v>6556</v>
      </c>
    </row>
    <row r="14003" customFormat="false" ht="15.75" hidden="false" customHeight="false" outlineLevel="0" collapsed="false">
      <c r="A14003" s="6" t="n">
        <f aca="false">DATE(2026,8,16)</f>
        <v>46250</v>
      </c>
      <c r="B14003" s="4" t="s">
        <v>334</v>
      </c>
      <c r="C14003" s="4" t="n">
        <v>11</v>
      </c>
      <c r="D14003" s="4" t="n">
        <v>15</v>
      </c>
      <c r="E14003" s="4" t="s">
        <v>5311</v>
      </c>
      <c r="F14003" s="4" t="n">
        <v>10</v>
      </c>
      <c r="G14003" s="4" t="n">
        <v>9</v>
      </c>
      <c r="H14003" s="4" t="n">
        <v>1</v>
      </c>
      <c r="I14003" s="4" t="str">
        <v>○</v>
      </c>
      <c r="J14003" s="4" t="n">
        <v>260</v>
      </c>
      <c r="K14003" s="4"/>
      <c r="L14003" s="4"/>
      <c r="M14003" s="7" t="s">
        <v>6556</v>
      </c>
    </row>
    <row r="14004" customFormat="false" ht="15.75" hidden="false" customHeight="false" outlineLevel="0" collapsed="false">
      <c r="A14004" s="6" t="n">
        <f aca="false">DATE(2026,8,16)</f>
        <v>46250</v>
      </c>
      <c r="B14004" s="4" t="s">
        <v>334</v>
      </c>
      <c r="C14004" s="4" t="n">
        <v>11</v>
      </c>
      <c r="D14004" s="4" t="n">
        <v>16</v>
      </c>
      <c r="E14004" s="4" t="s">
        <v>6870</v>
      </c>
      <c r="F14004" s="4" t="n">
        <v>8</v>
      </c>
      <c r="G14004" s="4" t="n">
        <v>11</v>
      </c>
      <c r="H14004" s="4" t="n">
        <v>4</v>
      </c>
      <c r="I14004" s="4" t="str">
        <v>×</v>
      </c>
      <c r="J14004" s="4"/>
      <c r="K14004" s="4"/>
      <c r="L14004" s="4"/>
      <c r="M14004" s="7" t="s">
        <v>6556</v>
      </c>
    </row>
    <row r="14005" customFormat="false" ht="15.75" hidden="false" customHeight="false" outlineLevel="0" collapsed="false">
      <c r="A14005" s="6" t="n">
        <f aca="false">DATE(2026,8,16)</f>
        <v>46250</v>
      </c>
      <c r="B14005" s="4" t="s">
        <v>334</v>
      </c>
      <c r="C14005" s="4" t="n">
        <v>12</v>
      </c>
      <c r="D14005" s="4" t="n">
        <v>1</v>
      </c>
      <c r="E14005" s="4" t="s">
        <v>3199</v>
      </c>
      <c r="F14005" s="4" t="n">
        <v>20</v>
      </c>
      <c r="G14005" s="4" t="n">
        <v>4</v>
      </c>
      <c r="H14005" s="4" t="n">
        <v>4</v>
      </c>
      <c r="I14005" s="4" t="str">
        <v>×</v>
      </c>
      <c r="J14005" s="4"/>
      <c r="K14005" s="4"/>
      <c r="L14005" s="4"/>
      <c r="M14005" s="7" t="s">
        <v>6556</v>
      </c>
    </row>
    <row r="14006" customFormat="false" ht="15.75" hidden="false" customHeight="false" outlineLevel="0" collapsed="false">
      <c r="A14006" s="6" t="n">
        <f aca="false">DATE(2026,8,16)</f>
        <v>46250</v>
      </c>
      <c r="B14006" s="4" t="s">
        <v>334</v>
      </c>
      <c r="C14006" s="4" t="n">
        <v>12</v>
      </c>
      <c r="D14006" s="4" t="n">
        <v>2</v>
      </c>
      <c r="E14006" s="4" t="s">
        <v>2964</v>
      </c>
      <c r="F14006" s="4" t="n">
        <v>75</v>
      </c>
      <c r="G14006" s="4" t="n">
        <v>1</v>
      </c>
      <c r="H14006" s="4" t="n">
        <v>1</v>
      </c>
      <c r="I14006" s="4" t="str">
        <v>○</v>
      </c>
      <c r="J14006" s="4" t="n">
        <v>110</v>
      </c>
      <c r="K14006" s="4"/>
      <c r="L14006" s="4"/>
      <c r="M14006" s="7" t="s">
        <v>6556</v>
      </c>
    </row>
    <row r="14007" customFormat="false" ht="15.75" hidden="false" customHeight="false" outlineLevel="0" collapsed="false">
      <c r="A14007" s="6" t="n">
        <f aca="false">DATE(2026,8,16)</f>
        <v>46250</v>
      </c>
      <c r="B14007" s="4" t="s">
        <v>334</v>
      </c>
      <c r="C14007" s="4" t="n">
        <v>12</v>
      </c>
      <c r="D14007" s="4" t="n">
        <v>3</v>
      </c>
      <c r="E14007" s="4" t="s">
        <v>3373</v>
      </c>
      <c r="F14007" s="4" t="n">
        <v>15</v>
      </c>
      <c r="G14007" s="4" t="n">
        <v>7</v>
      </c>
      <c r="H14007" s="4" t="n">
        <v>4</v>
      </c>
      <c r="I14007" s="4" t="str">
        <v>×</v>
      </c>
      <c r="J14007" s="4"/>
      <c r="K14007" s="4"/>
      <c r="L14007" s="4"/>
      <c r="M14007" s="7" t="s">
        <v>6556</v>
      </c>
    </row>
    <row r="14008" customFormat="false" ht="15.75" hidden="false" customHeight="false" outlineLevel="0" collapsed="false">
      <c r="A14008" s="6" t="n">
        <f aca="false">DATE(2026,8,16)</f>
        <v>46250</v>
      </c>
      <c r="B14008" s="4" t="s">
        <v>334</v>
      </c>
      <c r="C14008" s="4" t="n">
        <v>12</v>
      </c>
      <c r="D14008" s="4" t="n">
        <v>4</v>
      </c>
      <c r="E14008" s="4" t="s">
        <v>1330</v>
      </c>
      <c r="F14008" s="4" t="n">
        <v>25</v>
      </c>
      <c r="G14008" s="4" t="n">
        <v>3</v>
      </c>
      <c r="H14008" s="4" t="n">
        <v>4</v>
      </c>
      <c r="I14008" s="4" t="str">
        <v>×</v>
      </c>
      <c r="J14008" s="4"/>
      <c r="K14008" s="4"/>
      <c r="L14008" s="4"/>
      <c r="M14008" s="7" t="s">
        <v>6556</v>
      </c>
    </row>
    <row r="14009" customFormat="false" ht="15.75" hidden="false" customHeight="false" outlineLevel="0" collapsed="false">
      <c r="A14009" s="6" t="n">
        <f aca="false">DATE(2026,8,16)</f>
        <v>46250</v>
      </c>
      <c r="B14009" s="4" t="s">
        <v>334</v>
      </c>
      <c r="C14009" s="4" t="n">
        <v>12</v>
      </c>
      <c r="D14009" s="4" t="n">
        <v>5</v>
      </c>
      <c r="E14009" s="4" t="s">
        <v>6432</v>
      </c>
      <c r="F14009" s="4" t="n">
        <v>2</v>
      </c>
      <c r="G14009" s="4" t="n">
        <v>14</v>
      </c>
      <c r="H14009" s="4" t="n">
        <v>4</v>
      </c>
      <c r="I14009" s="4" t="str">
        <v>×</v>
      </c>
      <c r="J14009" s="4"/>
      <c r="K14009" s="4"/>
      <c r="L14009" s="4"/>
      <c r="M14009" s="7" t="s">
        <v>6556</v>
      </c>
    </row>
    <row r="14010" customFormat="false" ht="15.75" hidden="false" customHeight="false" outlineLevel="0" collapsed="false">
      <c r="A14010" s="6" t="n">
        <f aca="false">DATE(2026,8,16)</f>
        <v>46250</v>
      </c>
      <c r="B14010" s="4" t="s">
        <v>334</v>
      </c>
      <c r="C14010" s="4" t="n">
        <v>12</v>
      </c>
      <c r="D14010" s="4" t="n">
        <v>6</v>
      </c>
      <c r="E14010" s="4" t="s">
        <v>437</v>
      </c>
      <c r="F14010" s="4" t="n">
        <v>17</v>
      </c>
      <c r="G14010" s="4" t="n">
        <v>5</v>
      </c>
      <c r="H14010" s="4" t="n">
        <v>4</v>
      </c>
      <c r="I14010" s="4" t="str">
        <v>×</v>
      </c>
      <c r="J14010" s="4"/>
      <c r="K14010" s="4"/>
      <c r="L14010" s="4"/>
      <c r="M14010" s="7" t="s">
        <v>6556</v>
      </c>
    </row>
    <row r="14011" customFormat="false" ht="15.75" hidden="false" customHeight="false" outlineLevel="0" collapsed="false">
      <c r="A14011" s="6" t="n">
        <f aca="false">DATE(2026,8,16)</f>
        <v>46250</v>
      </c>
      <c r="B14011" s="4" t="s">
        <v>334</v>
      </c>
      <c r="C14011" s="4" t="n">
        <v>12</v>
      </c>
      <c r="D14011" s="4" t="n">
        <v>7</v>
      </c>
      <c r="E14011" s="4" t="s">
        <v>3309</v>
      </c>
      <c r="F14011" s="4" t="n">
        <v>3</v>
      </c>
      <c r="G14011" s="4" t="n">
        <v>13</v>
      </c>
      <c r="H14011" s="4" t="n">
        <v>4</v>
      </c>
      <c r="I14011" s="4" t="str">
        <v>×</v>
      </c>
      <c r="J14011" s="4"/>
      <c r="K14011" s="4"/>
      <c r="L14011" s="4"/>
      <c r="M14011" s="7" t="s">
        <v>6556</v>
      </c>
    </row>
    <row r="14012" customFormat="false" ht="15.75" hidden="false" customHeight="false" outlineLevel="0" collapsed="false">
      <c r="A14012" s="6" t="n">
        <f aca="false">DATE(2026,8,16)</f>
        <v>46250</v>
      </c>
      <c r="B14012" s="4" t="s">
        <v>334</v>
      </c>
      <c r="C14012" s="4" t="n">
        <v>12</v>
      </c>
      <c r="D14012" s="4" t="n">
        <v>8</v>
      </c>
      <c r="E14012" s="4" t="s">
        <v>435</v>
      </c>
      <c r="F14012" s="4" t="n">
        <v>6</v>
      </c>
      <c r="G14012" s="4" t="n">
        <v>10</v>
      </c>
      <c r="H14012" s="4" t="n">
        <v>4</v>
      </c>
      <c r="I14012" s="4" t="str">
        <v>×</v>
      </c>
      <c r="J14012" s="4"/>
      <c r="K14012" s="4"/>
      <c r="L14012" s="4"/>
      <c r="M14012" s="7" t="s">
        <v>6556</v>
      </c>
    </row>
    <row r="14013" customFormat="false" ht="15.75" hidden="false" customHeight="false" outlineLevel="0" collapsed="false">
      <c r="A14013" s="6" t="n">
        <f aca="false">DATE(2026,8,16)</f>
        <v>46250</v>
      </c>
      <c r="B14013" s="4" t="s">
        <v>334</v>
      </c>
      <c r="C14013" s="4" t="n">
        <v>12</v>
      </c>
      <c r="D14013" s="4" t="n">
        <v>9</v>
      </c>
      <c r="E14013" s="4" t="s">
        <v>3473</v>
      </c>
      <c r="F14013" s="4" t="n">
        <v>17</v>
      </c>
      <c r="G14013" s="4" t="n">
        <v>6</v>
      </c>
      <c r="H14013" s="4" t="n">
        <v>4</v>
      </c>
      <c r="I14013" s="4" t="str">
        <v>×</v>
      </c>
      <c r="J14013" s="4"/>
      <c r="K14013" s="4"/>
      <c r="L14013" s="4"/>
      <c r="M14013" s="7" t="s">
        <v>6556</v>
      </c>
    </row>
    <row r="14014" customFormat="false" ht="15.75" hidden="false" customHeight="false" outlineLevel="0" collapsed="false">
      <c r="A14014" s="6" t="n">
        <f aca="false">DATE(2026,8,16)</f>
        <v>46250</v>
      </c>
      <c r="B14014" s="4" t="s">
        <v>334</v>
      </c>
      <c r="C14014" s="4" t="n">
        <v>12</v>
      </c>
      <c r="D14014" s="4" t="n">
        <v>10</v>
      </c>
      <c r="E14014" s="4" t="s">
        <v>441</v>
      </c>
      <c r="F14014" s="4" t="n">
        <v>6</v>
      </c>
      <c r="G14014" s="4" t="n">
        <v>11</v>
      </c>
      <c r="H14014" s="4" t="n">
        <v>4</v>
      </c>
      <c r="I14014" s="4" t="str">
        <v>×</v>
      </c>
      <c r="J14014" s="4"/>
      <c r="K14014" s="4"/>
      <c r="L14014" s="4"/>
      <c r="M14014" s="7" t="s">
        <v>6556</v>
      </c>
    </row>
    <row r="14015" customFormat="false" ht="15.75" hidden="false" customHeight="false" outlineLevel="0" collapsed="false">
      <c r="A14015" s="6" t="n">
        <f aca="false">DATE(2026,8,16)</f>
        <v>46250</v>
      </c>
      <c r="B14015" s="4" t="s">
        <v>334</v>
      </c>
      <c r="C14015" s="4" t="n">
        <v>12</v>
      </c>
      <c r="D14015" s="4" t="n">
        <v>11</v>
      </c>
      <c r="E14015" s="4" t="s">
        <v>434</v>
      </c>
      <c r="F14015" s="4" t="n">
        <v>4</v>
      </c>
      <c r="G14015" s="4" t="n">
        <v>12</v>
      </c>
      <c r="H14015" s="4" t="n">
        <v>4</v>
      </c>
      <c r="I14015" s="4" t="str">
        <v>×</v>
      </c>
      <c r="J14015" s="4"/>
      <c r="K14015" s="4"/>
      <c r="L14015" s="4"/>
      <c r="M14015" s="7" t="s">
        <v>6556</v>
      </c>
    </row>
    <row r="14016" customFormat="false" ht="15.75" hidden="false" customHeight="false" outlineLevel="0" collapsed="false">
      <c r="A14016" s="6" t="n">
        <f aca="false">DATE(2026,8,16)</f>
        <v>46250</v>
      </c>
      <c r="B14016" s="4" t="s">
        <v>334</v>
      </c>
      <c r="C14016" s="4" t="n">
        <v>12</v>
      </c>
      <c r="D14016" s="4" t="n">
        <v>12</v>
      </c>
      <c r="E14016" s="4" t="s">
        <v>438</v>
      </c>
      <c r="F14016" s="4" t="n">
        <v>34</v>
      </c>
      <c r="G14016" s="4" t="n">
        <v>2</v>
      </c>
      <c r="H14016" s="4" t="n">
        <v>2</v>
      </c>
      <c r="I14016" s="4" t="str">
        <v>○</v>
      </c>
      <c r="J14016" s="4" t="n">
        <v>140</v>
      </c>
      <c r="K14016" s="4"/>
      <c r="L14016" s="4"/>
      <c r="M14016" s="7" t="s">
        <v>6556</v>
      </c>
    </row>
    <row r="14017" customFormat="false" ht="15.75" hidden="false" customHeight="false" outlineLevel="0" collapsed="false">
      <c r="A14017" s="6" t="n">
        <f aca="false">DATE(2026,8,16)</f>
        <v>46250</v>
      </c>
      <c r="B14017" s="4" t="s">
        <v>334</v>
      </c>
      <c r="C14017" s="4" t="n">
        <v>12</v>
      </c>
      <c r="D14017" s="4" t="n">
        <v>13</v>
      </c>
      <c r="E14017" s="4" t="s">
        <v>3308</v>
      </c>
      <c r="F14017" s="4" t="n">
        <v>13</v>
      </c>
      <c r="G14017" s="4" t="n">
        <v>8</v>
      </c>
      <c r="H14017" s="4" t="n">
        <v>3</v>
      </c>
      <c r="I14017" s="4" t="str">
        <v>○</v>
      </c>
      <c r="J14017" s="4" t="n">
        <v>270</v>
      </c>
      <c r="K14017" s="4"/>
      <c r="L14017" s="4"/>
      <c r="M14017" s="7" t="s">
        <v>6556</v>
      </c>
    </row>
    <row r="14018" customFormat="false" ht="15.75" hidden="false" customHeight="false" outlineLevel="0" collapsed="false">
      <c r="A14018" s="6" t="n">
        <f aca="false">DATE(2026,8,16)</f>
        <v>46250</v>
      </c>
      <c r="B14018" s="4" t="s">
        <v>334</v>
      </c>
      <c r="C14018" s="4" t="n">
        <v>12</v>
      </c>
      <c r="D14018" s="4" t="n">
        <v>14</v>
      </c>
      <c r="E14018" s="4" t="s">
        <v>3306</v>
      </c>
      <c r="F14018" s="4" t="n">
        <v>8</v>
      </c>
      <c r="G14018" s="4" t="n">
        <v>9</v>
      </c>
      <c r="H14018" s="4" t="n">
        <v>4</v>
      </c>
      <c r="I14018" s="4" t="str">
        <v>×</v>
      </c>
      <c r="J14018" s="4"/>
      <c r="K14018" s="4"/>
      <c r="L14018" s="4"/>
      <c r="M14018" s="7" t="s">
        <v>6556</v>
      </c>
    </row>
    <row r="14019" customFormat="false" ht="15.75" hidden="false" customHeight="false" outlineLevel="0" collapsed="false">
      <c r="A14019" s="6" t="n">
        <f aca="false">DATE(2026,8,8)</f>
        <v>46242</v>
      </c>
      <c r="B14019" s="4" t="s">
        <v>179</v>
      </c>
      <c r="C14019" s="4" t="n">
        <v>1</v>
      </c>
      <c r="D14019" s="4" t="n">
        <v>9</v>
      </c>
      <c r="E14019" s="4" t="s">
        <v>4914</v>
      </c>
      <c r="F14019" s="4" t="n">
        <v>71</v>
      </c>
      <c r="G14019" s="4" t="n">
        <v>1</v>
      </c>
      <c r="H14019" s="4" t="n">
        <v>1</v>
      </c>
      <c r="I14019" s="4" t="str">
        <v>○</v>
      </c>
      <c r="J14019" s="4" t="n">
        <v>100</v>
      </c>
      <c r="K14019" s="4"/>
      <c r="L14019" s="4"/>
      <c r="M14019" s="7" t="s">
        <v>6871</v>
      </c>
    </row>
    <row r="14020" customFormat="false" ht="15.75" hidden="false" customHeight="false" outlineLevel="0" collapsed="false">
      <c r="A14020" s="6" t="n">
        <f aca="false">DATE(2026,8,8)</f>
        <v>46242</v>
      </c>
      <c r="B14020" s="4" t="s">
        <v>179</v>
      </c>
      <c r="C14020" s="4" t="n">
        <v>1</v>
      </c>
      <c r="D14020" s="4" t="n">
        <v>1</v>
      </c>
      <c r="E14020" s="4" t="s">
        <v>1616</v>
      </c>
      <c r="F14020" s="4" t="n">
        <v>52</v>
      </c>
      <c r="G14020" s="4" t="n">
        <v>2</v>
      </c>
      <c r="H14020" s="4" t="n">
        <v>2</v>
      </c>
      <c r="I14020" s="4" t="str">
        <v>○</v>
      </c>
      <c r="J14020" s="4" t="n">
        <v>120</v>
      </c>
      <c r="K14020" s="4"/>
      <c r="L14020" s="4"/>
      <c r="M14020" s="7" t="s">
        <v>6871</v>
      </c>
    </row>
    <row r="14021" customFormat="false" ht="15.75" hidden="false" customHeight="false" outlineLevel="0" collapsed="false">
      <c r="A14021" s="6" t="n">
        <f aca="false">DATE(2026,8,8)</f>
        <v>46242</v>
      </c>
      <c r="B14021" s="4" t="s">
        <v>179</v>
      </c>
      <c r="C14021" s="4" t="n">
        <v>1</v>
      </c>
      <c r="D14021" s="4" t="n">
        <v>4</v>
      </c>
      <c r="E14021" s="4" t="s">
        <v>2482</v>
      </c>
      <c r="F14021" s="4" t="n">
        <v>58</v>
      </c>
      <c r="G14021" s="4" t="n">
        <v>3</v>
      </c>
      <c r="H14021" s="4" t="n">
        <v>3</v>
      </c>
      <c r="I14021" s="4" t="str">
        <v>○</v>
      </c>
      <c r="J14021" s="4" t="n">
        <v>100</v>
      </c>
      <c r="K14021" s="4"/>
      <c r="L14021" s="4"/>
      <c r="M14021" s="7" t="s">
        <v>6871</v>
      </c>
    </row>
    <row r="14022" customFormat="false" ht="15.75" hidden="false" customHeight="false" outlineLevel="0" collapsed="false">
      <c r="A14022" s="6" t="n">
        <f aca="false">DATE(2026,8,8)</f>
        <v>46242</v>
      </c>
      <c r="B14022" s="4" t="s">
        <v>179</v>
      </c>
      <c r="C14022" s="4" t="n">
        <v>1</v>
      </c>
      <c r="D14022" s="4" t="n">
        <v>2</v>
      </c>
      <c r="E14022" s="4"/>
      <c r="F14022" s="4" t="n">
        <v>31</v>
      </c>
      <c r="G14022" s="4" t="n">
        <v>4</v>
      </c>
      <c r="H14022" s="4" t="n">
        <v>4</v>
      </c>
      <c r="I14022" s="4" t="str">
        <v>×</v>
      </c>
      <c r="J14022" s="4"/>
      <c r="K14022" s="4"/>
      <c r="L14022" s="4"/>
      <c r="M14022" s="7" t="s">
        <v>6871</v>
      </c>
    </row>
    <row r="14023" customFormat="false" ht="15.75" hidden="false" customHeight="false" outlineLevel="0" collapsed="false">
      <c r="A14023" s="6" t="n">
        <f aca="false">DATE(2026,8,8)</f>
        <v>46242</v>
      </c>
      <c r="B14023" s="4" t="s">
        <v>179</v>
      </c>
      <c r="C14023" s="4" t="n">
        <v>1</v>
      </c>
      <c r="D14023" s="4" t="n">
        <v>8</v>
      </c>
      <c r="E14023" s="4"/>
      <c r="F14023" s="4" t="n">
        <v>17</v>
      </c>
      <c r="G14023" s="4" t="n">
        <v>5</v>
      </c>
      <c r="H14023" s="4" t="n">
        <v>4</v>
      </c>
      <c r="I14023" s="4" t="str">
        <v>×</v>
      </c>
      <c r="J14023" s="4"/>
      <c r="K14023" s="4"/>
      <c r="L14023" s="4"/>
      <c r="M14023" s="7" t="s">
        <v>6871</v>
      </c>
    </row>
    <row r="14024" customFormat="false" ht="15.75" hidden="false" customHeight="false" outlineLevel="0" collapsed="false">
      <c r="A14024" s="6" t="n">
        <f aca="false">DATE(2026,8,8)</f>
        <v>46242</v>
      </c>
      <c r="B14024" s="4" t="s">
        <v>179</v>
      </c>
      <c r="C14024" s="4" t="n">
        <v>1</v>
      </c>
      <c r="D14024" s="4" t="n">
        <v>6</v>
      </c>
      <c r="E14024" s="4"/>
      <c r="F14024" s="4" t="n">
        <v>15</v>
      </c>
      <c r="G14024" s="4" t="n">
        <v>6</v>
      </c>
      <c r="H14024" s="4" t="n">
        <v>4</v>
      </c>
      <c r="I14024" s="4" t="str">
        <v>×</v>
      </c>
      <c r="J14024" s="4"/>
      <c r="K14024" s="4"/>
      <c r="L14024" s="4"/>
      <c r="M14024" s="7" t="s">
        <v>6871</v>
      </c>
    </row>
    <row r="14025" customFormat="false" ht="15.75" hidden="false" customHeight="false" outlineLevel="0" collapsed="false">
      <c r="A14025" s="6" t="n">
        <f aca="false">DATE(2026,8,8)</f>
        <v>46242</v>
      </c>
      <c r="B14025" s="4" t="s">
        <v>179</v>
      </c>
      <c r="C14025" s="4" t="n">
        <v>1</v>
      </c>
      <c r="D14025" s="4" t="n">
        <v>7</v>
      </c>
      <c r="E14025" s="4"/>
      <c r="F14025" s="4" t="n">
        <v>15</v>
      </c>
      <c r="G14025" s="4" t="n">
        <v>7</v>
      </c>
      <c r="H14025" s="4" t="n">
        <v>4</v>
      </c>
      <c r="I14025" s="4" t="str">
        <v>×</v>
      </c>
      <c r="J14025" s="4"/>
      <c r="K14025" s="4"/>
      <c r="L14025" s="4"/>
      <c r="M14025" s="7" t="s">
        <v>6871</v>
      </c>
    </row>
    <row r="14026" customFormat="false" ht="15.75" hidden="false" customHeight="false" outlineLevel="0" collapsed="false">
      <c r="A14026" s="6" t="n">
        <f aca="false">DATE(2026,8,8)</f>
        <v>46242</v>
      </c>
      <c r="B14026" s="4" t="s">
        <v>179</v>
      </c>
      <c r="C14026" s="4" t="n">
        <v>1</v>
      </c>
      <c r="D14026" s="4" t="n">
        <v>3</v>
      </c>
      <c r="E14026" s="4"/>
      <c r="F14026" s="4" t="n">
        <v>13</v>
      </c>
      <c r="G14026" s="4" t="n">
        <v>8</v>
      </c>
      <c r="H14026" s="4" t="n">
        <v>4</v>
      </c>
      <c r="I14026" s="4" t="str">
        <v>×</v>
      </c>
      <c r="J14026" s="4"/>
      <c r="K14026" s="4"/>
      <c r="L14026" s="4"/>
      <c r="M14026" s="7" t="s">
        <v>6871</v>
      </c>
    </row>
    <row r="14027" customFormat="false" ht="15.75" hidden="false" customHeight="false" outlineLevel="0" collapsed="false">
      <c r="A14027" s="6" t="n">
        <f aca="false">DATE(2026,8,8)</f>
        <v>46242</v>
      </c>
      <c r="B14027" s="4" t="s">
        <v>179</v>
      </c>
      <c r="C14027" s="4" t="n">
        <v>1</v>
      </c>
      <c r="D14027" s="4" t="n">
        <v>5</v>
      </c>
      <c r="E14027" s="4"/>
      <c r="F14027" s="4" t="n">
        <v>3</v>
      </c>
      <c r="G14027" s="4" t="n">
        <v>9</v>
      </c>
      <c r="H14027" s="4" t="n">
        <v>4</v>
      </c>
      <c r="I14027" s="4" t="str">
        <v>×</v>
      </c>
      <c r="J14027" s="4"/>
      <c r="K14027" s="4"/>
      <c r="L14027" s="4"/>
      <c r="M14027" s="7" t="s">
        <v>6871</v>
      </c>
    </row>
    <row r="14028" customFormat="false" ht="15.75" hidden="false" customHeight="false" outlineLevel="0" collapsed="false">
      <c r="A14028" s="6" t="n">
        <f aca="false">DATE(2026,8,8)</f>
        <v>46242</v>
      </c>
      <c r="B14028" s="4" t="s">
        <v>179</v>
      </c>
      <c r="C14028" s="4" t="n">
        <v>2</v>
      </c>
      <c r="D14028" s="4" t="n">
        <v>3</v>
      </c>
      <c r="E14028" s="4" t="s">
        <v>6872</v>
      </c>
      <c r="F14028" s="4" t="n">
        <v>37</v>
      </c>
      <c r="G14028" s="4" t="n">
        <v>1</v>
      </c>
      <c r="H14028" s="4" t="n">
        <v>1</v>
      </c>
      <c r="I14028" s="4" t="str">
        <v>○</v>
      </c>
      <c r="J14028" s="4" t="n">
        <v>180</v>
      </c>
      <c r="K14028" s="4"/>
      <c r="L14028" s="4"/>
      <c r="M14028" s="7" t="s">
        <v>6871</v>
      </c>
    </row>
    <row r="14029" customFormat="false" ht="15.75" hidden="false" customHeight="false" outlineLevel="0" collapsed="false">
      <c r="A14029" s="6" t="n">
        <f aca="false">DATE(2026,8,8)</f>
        <v>46242</v>
      </c>
      <c r="B14029" s="4" t="s">
        <v>179</v>
      </c>
      <c r="C14029" s="4" t="n">
        <v>2</v>
      </c>
      <c r="D14029" s="4" t="n">
        <v>2</v>
      </c>
      <c r="E14029" s="4" t="s">
        <v>6873</v>
      </c>
      <c r="F14029" s="4" t="n">
        <v>24</v>
      </c>
      <c r="G14029" s="4" t="n">
        <v>2</v>
      </c>
      <c r="H14029" s="4" t="n">
        <v>2</v>
      </c>
      <c r="I14029" s="4" t="str">
        <v>○</v>
      </c>
      <c r="J14029" s="4" t="n">
        <v>500</v>
      </c>
      <c r="K14029" s="4"/>
      <c r="L14029" s="4"/>
      <c r="M14029" s="7" t="s">
        <v>6871</v>
      </c>
    </row>
    <row r="14030" customFormat="false" ht="15.75" hidden="false" customHeight="false" outlineLevel="0" collapsed="false">
      <c r="A14030" s="6" t="n">
        <f aca="false">DATE(2026,8,8)</f>
        <v>46242</v>
      </c>
      <c r="B14030" s="4" t="s">
        <v>179</v>
      </c>
      <c r="C14030" s="4" t="n">
        <v>2</v>
      </c>
      <c r="D14030" s="4" t="n">
        <v>7</v>
      </c>
      <c r="E14030" s="4"/>
      <c r="F14030" s="4" t="n">
        <v>24</v>
      </c>
      <c r="G14030" s="4" t="n">
        <v>3</v>
      </c>
      <c r="H14030" s="4" t="n">
        <v>4</v>
      </c>
      <c r="I14030" s="4" t="str">
        <v>×</v>
      </c>
      <c r="J14030" s="4"/>
      <c r="K14030" s="4"/>
      <c r="L14030" s="4"/>
      <c r="M14030" s="7" t="s">
        <v>6871</v>
      </c>
    </row>
    <row r="14031" customFormat="false" ht="15.75" hidden="false" customHeight="false" outlineLevel="0" collapsed="false">
      <c r="A14031" s="6" t="n">
        <f aca="false">DATE(2026,8,8)</f>
        <v>46242</v>
      </c>
      <c r="B14031" s="4" t="s">
        <v>179</v>
      </c>
      <c r="C14031" s="4" t="n">
        <v>2</v>
      </c>
      <c r="D14031" s="4" t="n">
        <v>5</v>
      </c>
      <c r="E14031" s="4"/>
      <c r="F14031" s="4" t="n">
        <v>31</v>
      </c>
      <c r="G14031" s="4" t="n">
        <v>4</v>
      </c>
      <c r="H14031" s="4" t="n">
        <v>4</v>
      </c>
      <c r="I14031" s="4" t="str">
        <v>×</v>
      </c>
      <c r="J14031" s="4"/>
      <c r="K14031" s="4"/>
      <c r="L14031" s="4"/>
      <c r="M14031" s="7" t="s">
        <v>6871</v>
      </c>
    </row>
    <row r="14032" customFormat="false" ht="15.75" hidden="false" customHeight="false" outlineLevel="0" collapsed="false">
      <c r="A14032" s="6" t="n">
        <f aca="false">DATE(2026,8,8)</f>
        <v>46242</v>
      </c>
      <c r="B14032" s="4" t="s">
        <v>179</v>
      </c>
      <c r="C14032" s="4" t="n">
        <v>2</v>
      </c>
      <c r="D14032" s="4" t="n">
        <v>1</v>
      </c>
      <c r="E14032" s="4"/>
      <c r="F14032" s="4" t="n">
        <v>21</v>
      </c>
      <c r="G14032" s="4" t="n">
        <v>5</v>
      </c>
      <c r="H14032" s="4" t="n">
        <v>4</v>
      </c>
      <c r="I14032" s="4" t="str">
        <v>×</v>
      </c>
      <c r="J14032" s="4"/>
      <c r="K14032" s="4"/>
      <c r="L14032" s="4"/>
      <c r="M14032" s="7" t="s">
        <v>6871</v>
      </c>
    </row>
    <row r="14033" customFormat="false" ht="15.75" hidden="false" customHeight="false" outlineLevel="0" collapsed="false">
      <c r="A14033" s="6" t="n">
        <f aca="false">DATE(2026,8,8)</f>
        <v>46242</v>
      </c>
      <c r="B14033" s="4" t="s">
        <v>179</v>
      </c>
      <c r="C14033" s="4" t="n">
        <v>2</v>
      </c>
      <c r="D14033" s="4" t="n">
        <v>4</v>
      </c>
      <c r="E14033" s="4"/>
      <c r="F14033" s="4" t="n">
        <v>14</v>
      </c>
      <c r="G14033" s="4" t="n">
        <v>6</v>
      </c>
      <c r="H14033" s="4" t="n">
        <v>4</v>
      </c>
      <c r="I14033" s="4" t="str">
        <v>×</v>
      </c>
      <c r="J14033" s="4"/>
      <c r="K14033" s="4"/>
      <c r="L14033" s="4"/>
      <c r="M14033" s="7" t="s">
        <v>6871</v>
      </c>
    </row>
    <row r="14034" customFormat="false" ht="15.75" hidden="false" customHeight="false" outlineLevel="0" collapsed="false">
      <c r="A14034" s="6" t="n">
        <f aca="false">DATE(2026,8,8)</f>
        <v>46242</v>
      </c>
      <c r="B14034" s="4" t="s">
        <v>179</v>
      </c>
      <c r="C14034" s="4" t="n">
        <v>2</v>
      </c>
      <c r="D14034" s="4" t="n">
        <v>6</v>
      </c>
      <c r="E14034" s="4" t="s">
        <v>6874</v>
      </c>
      <c r="F14034" s="4" t="n">
        <v>12</v>
      </c>
      <c r="G14034" s="4" t="n">
        <v>7</v>
      </c>
      <c r="H14034" s="4" t="n">
        <v>3</v>
      </c>
      <c r="I14034" s="4" t="str">
        <v>○</v>
      </c>
      <c r="J14034" s="4"/>
      <c r="K14034" s="4"/>
      <c r="L14034" s="4"/>
      <c r="M14034" s="7" t="s">
        <v>6871</v>
      </c>
    </row>
    <row r="14035" customFormat="false" ht="15.75" hidden="false" customHeight="false" outlineLevel="0" collapsed="false">
      <c r="A14035" s="6" t="n">
        <f aca="false">DATE(2026,8,8)</f>
        <v>46242</v>
      </c>
      <c r="B14035" s="4" t="s">
        <v>179</v>
      </c>
      <c r="C14035" s="4" t="n">
        <v>3</v>
      </c>
      <c r="D14035" s="4" t="n">
        <v>8</v>
      </c>
      <c r="E14035" s="4" t="s">
        <v>2445</v>
      </c>
      <c r="F14035" s="4" t="n">
        <v>58</v>
      </c>
      <c r="G14035" s="4" t="n">
        <v>1</v>
      </c>
      <c r="H14035" s="4" t="n">
        <v>2</v>
      </c>
      <c r="I14035" s="4" t="str">
        <v>○</v>
      </c>
      <c r="J14035" s="4" t="n">
        <v>110</v>
      </c>
      <c r="K14035" s="4"/>
      <c r="L14035" s="4"/>
      <c r="M14035" s="7" t="s">
        <v>6871</v>
      </c>
    </row>
    <row r="14036" customFormat="false" ht="15.75" hidden="false" customHeight="false" outlineLevel="0" collapsed="false">
      <c r="A14036" s="6" t="n">
        <f aca="false">DATE(2026,8,8)</f>
        <v>46242</v>
      </c>
      <c r="B14036" s="4" t="s">
        <v>179</v>
      </c>
      <c r="C14036" s="4" t="n">
        <v>3</v>
      </c>
      <c r="D14036" s="4" t="n">
        <v>9</v>
      </c>
      <c r="E14036" s="4"/>
      <c r="F14036" s="4" t="n">
        <v>39</v>
      </c>
      <c r="G14036" s="4" t="n">
        <v>2</v>
      </c>
      <c r="H14036" s="4" t="n">
        <v>4</v>
      </c>
      <c r="I14036" s="4" t="str">
        <v>×</v>
      </c>
      <c r="J14036" s="4"/>
      <c r="K14036" s="4"/>
      <c r="L14036" s="4"/>
      <c r="M14036" s="7" t="s">
        <v>6871</v>
      </c>
    </row>
    <row r="14037" customFormat="false" ht="15.75" hidden="false" customHeight="false" outlineLevel="0" collapsed="false">
      <c r="A14037" s="6" t="n">
        <f aca="false">DATE(2026,8,8)</f>
        <v>46242</v>
      </c>
      <c r="B14037" s="4" t="s">
        <v>179</v>
      </c>
      <c r="C14037" s="4" t="n">
        <v>3</v>
      </c>
      <c r="D14037" s="4" t="n">
        <v>10</v>
      </c>
      <c r="E14037" s="4" t="s">
        <v>4577</v>
      </c>
      <c r="F14037" s="4" t="n">
        <v>44</v>
      </c>
      <c r="G14037" s="4" t="n">
        <v>3</v>
      </c>
      <c r="H14037" s="4" t="n">
        <v>3</v>
      </c>
      <c r="I14037" s="4" t="str">
        <v>○</v>
      </c>
      <c r="J14037" s="4" t="n">
        <v>190</v>
      </c>
      <c r="K14037" s="4"/>
      <c r="L14037" s="4"/>
      <c r="M14037" s="7" t="s">
        <v>6871</v>
      </c>
    </row>
    <row r="14038" customFormat="false" ht="15.75" hidden="false" customHeight="false" outlineLevel="0" collapsed="false">
      <c r="A14038" s="6" t="n">
        <f aca="false">DATE(2026,8,8)</f>
        <v>46242</v>
      </c>
      <c r="B14038" s="4" t="s">
        <v>179</v>
      </c>
      <c r="C14038" s="4" t="n">
        <v>3</v>
      </c>
      <c r="D14038" s="4" t="n">
        <v>15</v>
      </c>
      <c r="E14038" s="4"/>
      <c r="F14038" s="4" t="n">
        <v>29</v>
      </c>
      <c r="G14038" s="4" t="n">
        <v>4</v>
      </c>
      <c r="H14038" s="4" t="n">
        <v>4</v>
      </c>
      <c r="I14038" s="4" t="str">
        <v>×</v>
      </c>
      <c r="J14038" s="4"/>
      <c r="K14038" s="4"/>
      <c r="L14038" s="4"/>
      <c r="M14038" s="7" t="s">
        <v>6871</v>
      </c>
    </row>
    <row r="14039" customFormat="false" ht="15.75" hidden="false" customHeight="false" outlineLevel="0" collapsed="false">
      <c r="A14039" s="6" t="n">
        <f aca="false">DATE(2026,8,8)</f>
        <v>46242</v>
      </c>
      <c r="B14039" s="4" t="s">
        <v>179</v>
      </c>
      <c r="C14039" s="4" t="n">
        <v>3</v>
      </c>
      <c r="D14039" s="4" t="n">
        <v>2</v>
      </c>
      <c r="E14039" s="4" t="s">
        <v>6288</v>
      </c>
      <c r="F14039" s="4" t="n">
        <v>25</v>
      </c>
      <c r="G14039" s="4" t="n">
        <v>5</v>
      </c>
      <c r="H14039" s="4" t="n">
        <v>1</v>
      </c>
      <c r="I14039" s="4" t="str">
        <v>○</v>
      </c>
      <c r="J14039" s="4" t="n">
        <v>160</v>
      </c>
      <c r="K14039" s="4"/>
      <c r="L14039" s="4"/>
      <c r="M14039" s="7" t="s">
        <v>6871</v>
      </c>
    </row>
    <row r="14040" customFormat="false" ht="15.75" hidden="false" customHeight="false" outlineLevel="0" collapsed="false">
      <c r="A14040" s="6" t="n">
        <f aca="false">DATE(2026,8,8)</f>
        <v>46242</v>
      </c>
      <c r="B14040" s="4" t="s">
        <v>179</v>
      </c>
      <c r="C14040" s="4" t="n">
        <v>3</v>
      </c>
      <c r="D14040" s="4" t="n">
        <v>13</v>
      </c>
      <c r="E14040" s="4"/>
      <c r="F14040" s="4" t="n">
        <v>25</v>
      </c>
      <c r="G14040" s="4" t="n">
        <v>6</v>
      </c>
      <c r="H14040" s="4" t="n">
        <v>4</v>
      </c>
      <c r="I14040" s="4" t="str">
        <v>×</v>
      </c>
      <c r="J14040" s="4"/>
      <c r="K14040" s="4"/>
      <c r="L14040" s="4"/>
      <c r="M14040" s="7" t="s">
        <v>6871</v>
      </c>
    </row>
    <row r="14041" customFormat="false" ht="15.75" hidden="false" customHeight="false" outlineLevel="0" collapsed="false">
      <c r="A14041" s="6" t="n">
        <f aca="false">DATE(2026,8,8)</f>
        <v>46242</v>
      </c>
      <c r="B14041" s="4" t="s">
        <v>179</v>
      </c>
      <c r="C14041" s="4" t="n">
        <v>3</v>
      </c>
      <c r="D14041" s="4" t="n">
        <v>12</v>
      </c>
      <c r="E14041" s="4"/>
      <c r="F14041" s="4" t="n">
        <v>17</v>
      </c>
      <c r="G14041" s="4" t="n">
        <v>7</v>
      </c>
      <c r="H14041" s="4" t="n">
        <v>4</v>
      </c>
      <c r="I14041" s="4" t="str">
        <v>×</v>
      </c>
      <c r="J14041" s="4"/>
      <c r="K14041" s="4"/>
      <c r="L14041" s="4"/>
      <c r="M14041" s="7" t="s">
        <v>6871</v>
      </c>
    </row>
    <row r="14042" customFormat="false" ht="15.75" hidden="false" customHeight="false" outlineLevel="0" collapsed="false">
      <c r="A14042" s="6" t="n">
        <f aca="false">DATE(2026,8,8)</f>
        <v>46242</v>
      </c>
      <c r="B14042" s="4" t="s">
        <v>179</v>
      </c>
      <c r="C14042" s="4" t="n">
        <v>3</v>
      </c>
      <c r="D14042" s="4" t="n">
        <v>14</v>
      </c>
      <c r="E14042" s="4"/>
      <c r="F14042" s="4" t="n">
        <v>17</v>
      </c>
      <c r="G14042" s="4" t="n">
        <v>8</v>
      </c>
      <c r="H14042" s="4" t="n">
        <v>4</v>
      </c>
      <c r="I14042" s="4" t="str">
        <v>×</v>
      </c>
      <c r="J14042" s="4"/>
      <c r="K14042" s="4"/>
      <c r="L14042" s="4"/>
      <c r="M14042" s="7" t="s">
        <v>6871</v>
      </c>
    </row>
    <row r="14043" customFormat="false" ht="15.75" hidden="false" customHeight="false" outlineLevel="0" collapsed="false">
      <c r="A14043" s="6" t="n">
        <f aca="false">DATE(2026,8,8)</f>
        <v>46242</v>
      </c>
      <c r="B14043" s="4" t="s">
        <v>179</v>
      </c>
      <c r="C14043" s="4" t="n">
        <v>3</v>
      </c>
      <c r="D14043" s="4" t="n">
        <v>1</v>
      </c>
      <c r="E14043" s="4"/>
      <c r="F14043" s="4" t="n">
        <v>15</v>
      </c>
      <c r="G14043" s="4" t="n">
        <v>9</v>
      </c>
      <c r="H14043" s="4" t="n">
        <v>4</v>
      </c>
      <c r="I14043" s="4" t="str">
        <v>×</v>
      </c>
      <c r="J14043" s="4"/>
      <c r="K14043" s="4"/>
      <c r="L14043" s="4"/>
      <c r="M14043" s="7" t="s">
        <v>6871</v>
      </c>
    </row>
    <row r="14044" customFormat="false" ht="15.75" hidden="false" customHeight="false" outlineLevel="0" collapsed="false">
      <c r="A14044" s="6" t="n">
        <f aca="false">DATE(2026,8,8)</f>
        <v>46242</v>
      </c>
      <c r="B14044" s="4" t="s">
        <v>179</v>
      </c>
      <c r="C14044" s="4" t="n">
        <v>3</v>
      </c>
      <c r="D14044" s="4" t="n">
        <v>4</v>
      </c>
      <c r="E14044" s="4"/>
      <c r="F14044" s="4" t="n">
        <v>13</v>
      </c>
      <c r="G14044" s="4" t="n">
        <v>10</v>
      </c>
      <c r="H14044" s="4" t="n">
        <v>4</v>
      </c>
      <c r="I14044" s="4" t="str">
        <v>×</v>
      </c>
      <c r="J14044" s="4"/>
      <c r="K14044" s="4"/>
      <c r="L14044" s="4"/>
      <c r="M14044" s="7" t="s">
        <v>6871</v>
      </c>
    </row>
    <row r="14045" customFormat="false" ht="15.75" hidden="false" customHeight="false" outlineLevel="0" collapsed="false">
      <c r="A14045" s="6" t="n">
        <f aca="false">DATE(2026,8,8)</f>
        <v>46242</v>
      </c>
      <c r="B14045" s="4" t="s">
        <v>179</v>
      </c>
      <c r="C14045" s="4" t="n">
        <v>3</v>
      </c>
      <c r="D14045" s="4" t="n">
        <v>3</v>
      </c>
      <c r="E14045" s="4"/>
      <c r="F14045" s="4" t="n">
        <v>8</v>
      </c>
      <c r="G14045" s="4" t="n">
        <v>11</v>
      </c>
      <c r="H14045" s="4" t="n">
        <v>4</v>
      </c>
      <c r="I14045" s="4" t="str">
        <v>×</v>
      </c>
      <c r="J14045" s="4"/>
      <c r="K14045" s="4"/>
      <c r="L14045" s="4"/>
      <c r="M14045" s="7" t="s">
        <v>6871</v>
      </c>
    </row>
    <row r="14046" customFormat="false" ht="15.75" hidden="false" customHeight="false" outlineLevel="0" collapsed="false">
      <c r="A14046" s="6" t="n">
        <f aca="false">DATE(2026,8,8)</f>
        <v>46242</v>
      </c>
      <c r="B14046" s="4" t="s">
        <v>179</v>
      </c>
      <c r="C14046" s="4" t="n">
        <v>3</v>
      </c>
      <c r="D14046" s="4" t="n">
        <v>6</v>
      </c>
      <c r="E14046" s="4"/>
      <c r="F14046" s="4" t="n">
        <v>8</v>
      </c>
      <c r="G14046" s="4" t="n">
        <v>12</v>
      </c>
      <c r="H14046" s="4" t="n">
        <v>4</v>
      </c>
      <c r="I14046" s="4" t="str">
        <v>×</v>
      </c>
      <c r="J14046" s="4"/>
      <c r="K14046" s="4"/>
      <c r="L14046" s="4"/>
      <c r="M14046" s="7" t="s">
        <v>6871</v>
      </c>
    </row>
    <row r="14047" customFormat="false" ht="15.75" hidden="false" customHeight="false" outlineLevel="0" collapsed="false">
      <c r="A14047" s="6" t="n">
        <f aca="false">DATE(2026,8,8)</f>
        <v>46242</v>
      </c>
      <c r="B14047" s="4" t="s">
        <v>179</v>
      </c>
      <c r="C14047" s="4" t="n">
        <v>3</v>
      </c>
      <c r="D14047" s="4" t="n">
        <v>16</v>
      </c>
      <c r="E14047" s="4"/>
      <c r="F14047" s="4" t="n">
        <v>8</v>
      </c>
      <c r="G14047" s="4" t="n">
        <v>13</v>
      </c>
      <c r="H14047" s="4" t="n">
        <v>4</v>
      </c>
      <c r="I14047" s="4" t="str">
        <v>×</v>
      </c>
      <c r="J14047" s="4"/>
      <c r="K14047" s="4"/>
      <c r="L14047" s="4"/>
      <c r="M14047" s="7" t="s">
        <v>6871</v>
      </c>
    </row>
    <row r="14048" customFormat="false" ht="15.75" hidden="false" customHeight="false" outlineLevel="0" collapsed="false">
      <c r="A14048" s="6" t="n">
        <f aca="false">DATE(2026,8,8)</f>
        <v>46242</v>
      </c>
      <c r="B14048" s="4" t="s">
        <v>179</v>
      </c>
      <c r="C14048" s="4" t="n">
        <v>3</v>
      </c>
      <c r="D14048" s="4" t="n">
        <v>5</v>
      </c>
      <c r="E14048" s="4"/>
      <c r="F14048" s="4" t="n">
        <v>6</v>
      </c>
      <c r="G14048" s="4" t="n">
        <v>14</v>
      </c>
      <c r="H14048" s="4" t="n">
        <v>4</v>
      </c>
      <c r="I14048" s="4" t="str">
        <v>×</v>
      </c>
      <c r="J14048" s="4"/>
      <c r="K14048" s="4"/>
      <c r="L14048" s="4"/>
      <c r="M14048" s="7" t="s">
        <v>6871</v>
      </c>
    </row>
    <row r="14049" customFormat="false" ht="15.75" hidden="false" customHeight="false" outlineLevel="0" collapsed="false">
      <c r="A14049" s="6" t="n">
        <f aca="false">DATE(2026,8,8)</f>
        <v>46242</v>
      </c>
      <c r="B14049" s="4" t="s">
        <v>179</v>
      </c>
      <c r="C14049" s="4" t="n">
        <v>3</v>
      </c>
      <c r="D14049" s="4" t="n">
        <v>7</v>
      </c>
      <c r="E14049" s="4"/>
      <c r="F14049" s="4" t="n">
        <v>4</v>
      </c>
      <c r="G14049" s="4" t="n">
        <v>15</v>
      </c>
      <c r="H14049" s="4" t="n">
        <v>4</v>
      </c>
      <c r="I14049" s="4" t="str">
        <v>×</v>
      </c>
      <c r="J14049" s="4"/>
      <c r="K14049" s="4"/>
      <c r="L14049" s="4"/>
      <c r="M14049" s="7" t="s">
        <v>6871</v>
      </c>
    </row>
    <row r="14050" customFormat="false" ht="15.75" hidden="false" customHeight="false" outlineLevel="0" collapsed="false">
      <c r="A14050" s="6" t="n">
        <f aca="false">DATE(2026,8,8)</f>
        <v>46242</v>
      </c>
      <c r="B14050" s="4" t="s">
        <v>179</v>
      </c>
      <c r="C14050" s="4" t="n">
        <v>3</v>
      </c>
      <c r="D14050" s="4" t="n">
        <v>11</v>
      </c>
      <c r="E14050" s="4"/>
      <c r="F14050" s="4" t="n">
        <v>4</v>
      </c>
      <c r="G14050" s="4" t="n">
        <v>16</v>
      </c>
      <c r="H14050" s="4" t="n">
        <v>4</v>
      </c>
      <c r="I14050" s="4" t="str">
        <v>×</v>
      </c>
      <c r="J14050" s="4"/>
      <c r="K14050" s="4"/>
      <c r="L14050" s="4"/>
      <c r="M14050" s="7" t="s">
        <v>6871</v>
      </c>
    </row>
    <row r="14051" customFormat="false" ht="15.75" hidden="false" customHeight="false" outlineLevel="0" collapsed="false">
      <c r="A14051" s="6" t="n">
        <f aca="false">DATE(2026,8,8)</f>
        <v>46242</v>
      </c>
      <c r="B14051" s="4" t="s">
        <v>179</v>
      </c>
      <c r="C14051" s="4" t="n">
        <v>4</v>
      </c>
      <c r="D14051" s="4" t="n">
        <v>5</v>
      </c>
      <c r="E14051" s="4" t="s">
        <v>4996</v>
      </c>
      <c r="F14051" s="4" t="n">
        <v>50</v>
      </c>
      <c r="G14051" s="4" t="n">
        <v>1</v>
      </c>
      <c r="H14051" s="4" t="n">
        <v>1</v>
      </c>
      <c r="I14051" s="4" t="str">
        <v>○</v>
      </c>
      <c r="J14051" s="4" t="n">
        <v>190</v>
      </c>
      <c r="K14051" s="4"/>
      <c r="L14051" s="4"/>
      <c r="M14051" s="7" t="s">
        <v>6871</v>
      </c>
    </row>
    <row r="14052" customFormat="false" ht="15.75" hidden="false" customHeight="false" outlineLevel="0" collapsed="false">
      <c r="A14052" s="6" t="n">
        <f aca="false">DATE(2026,8,8)</f>
        <v>46242</v>
      </c>
      <c r="B14052" s="4" t="s">
        <v>179</v>
      </c>
      <c r="C14052" s="4" t="n">
        <v>4</v>
      </c>
      <c r="D14052" s="4" t="n">
        <v>6</v>
      </c>
      <c r="E14052" s="4"/>
      <c r="F14052" s="4" t="n">
        <v>41</v>
      </c>
      <c r="G14052" s="4" t="n">
        <v>2</v>
      </c>
      <c r="H14052" s="4" t="n">
        <v>4</v>
      </c>
      <c r="I14052" s="4" t="str">
        <v>×</v>
      </c>
      <c r="J14052" s="4"/>
      <c r="K14052" s="4"/>
      <c r="L14052" s="4"/>
      <c r="M14052" s="7" t="s">
        <v>6871</v>
      </c>
    </row>
    <row r="14053" customFormat="false" ht="15.75" hidden="false" customHeight="false" outlineLevel="0" collapsed="false">
      <c r="A14053" s="6" t="n">
        <f aca="false">DATE(2026,8,8)</f>
        <v>46242</v>
      </c>
      <c r="B14053" s="4" t="s">
        <v>179</v>
      </c>
      <c r="C14053" s="4" t="n">
        <v>4</v>
      </c>
      <c r="D14053" s="4" t="n">
        <v>12</v>
      </c>
      <c r="E14053" s="4"/>
      <c r="F14053" s="4" t="n">
        <v>41</v>
      </c>
      <c r="G14053" s="4" t="n">
        <v>3</v>
      </c>
      <c r="H14053" s="4" t="n">
        <v>4</v>
      </c>
      <c r="I14053" s="4" t="str">
        <v>×</v>
      </c>
      <c r="J14053" s="4"/>
      <c r="K14053" s="4"/>
      <c r="L14053" s="4"/>
      <c r="M14053" s="7" t="s">
        <v>6871</v>
      </c>
    </row>
    <row r="14054" customFormat="false" ht="15.75" hidden="false" customHeight="false" outlineLevel="0" collapsed="false">
      <c r="A14054" s="6" t="n">
        <f aca="false">DATE(2026,8,8)</f>
        <v>46242</v>
      </c>
      <c r="B14054" s="4" t="s">
        <v>179</v>
      </c>
      <c r="C14054" s="4" t="n">
        <v>4</v>
      </c>
      <c r="D14054" s="4" t="n">
        <v>4</v>
      </c>
      <c r="E14054" s="4"/>
      <c r="F14054" s="4" t="n">
        <v>47</v>
      </c>
      <c r="G14054" s="4" t="n">
        <v>4</v>
      </c>
      <c r="H14054" s="4" t="n">
        <v>4</v>
      </c>
      <c r="I14054" s="4" t="str">
        <v>×</v>
      </c>
      <c r="J14054" s="4"/>
      <c r="K14054" s="4"/>
      <c r="L14054" s="4"/>
      <c r="M14054" s="7" t="s">
        <v>6871</v>
      </c>
    </row>
    <row r="14055" customFormat="false" ht="15.75" hidden="false" customHeight="false" outlineLevel="0" collapsed="false">
      <c r="A14055" s="6" t="n">
        <f aca="false">DATE(2026,8,8)</f>
        <v>46242</v>
      </c>
      <c r="B14055" s="4" t="s">
        <v>179</v>
      </c>
      <c r="C14055" s="4" t="n">
        <v>4</v>
      </c>
      <c r="D14055" s="4" t="n">
        <v>7</v>
      </c>
      <c r="E14055" s="4"/>
      <c r="F14055" s="4" t="n">
        <v>34</v>
      </c>
      <c r="G14055" s="4" t="n">
        <v>5</v>
      </c>
      <c r="H14055" s="4" t="n">
        <v>4</v>
      </c>
      <c r="I14055" s="4" t="str">
        <v>×</v>
      </c>
      <c r="J14055" s="4"/>
      <c r="K14055" s="4"/>
      <c r="L14055" s="4"/>
      <c r="M14055" s="7" t="s">
        <v>6871</v>
      </c>
    </row>
    <row r="14056" customFormat="false" ht="15.75" hidden="false" customHeight="false" outlineLevel="0" collapsed="false">
      <c r="A14056" s="6" t="n">
        <f aca="false">DATE(2026,8,8)</f>
        <v>46242</v>
      </c>
      <c r="B14056" s="4" t="s">
        <v>179</v>
      </c>
      <c r="C14056" s="4" t="n">
        <v>4</v>
      </c>
      <c r="D14056" s="4" t="n">
        <v>3</v>
      </c>
      <c r="E14056" s="4"/>
      <c r="F14056" s="4" t="n">
        <v>17</v>
      </c>
      <c r="G14056" s="4" t="n">
        <v>6</v>
      </c>
      <c r="H14056" s="4" t="n">
        <v>4</v>
      </c>
      <c r="I14056" s="4" t="str">
        <v>×</v>
      </c>
      <c r="J14056" s="4"/>
      <c r="K14056" s="4"/>
      <c r="L14056" s="4"/>
      <c r="M14056" s="7" t="s">
        <v>6871</v>
      </c>
    </row>
    <row r="14057" customFormat="false" ht="15.75" hidden="false" customHeight="false" outlineLevel="0" collapsed="false">
      <c r="A14057" s="6" t="n">
        <f aca="false">DATE(2026,8,8)</f>
        <v>46242</v>
      </c>
      <c r="B14057" s="4" t="s">
        <v>179</v>
      </c>
      <c r="C14057" s="4" t="n">
        <v>4</v>
      </c>
      <c r="D14057" s="4" t="n">
        <v>1</v>
      </c>
      <c r="E14057" s="4"/>
      <c r="F14057" s="4" t="n">
        <v>15</v>
      </c>
      <c r="G14057" s="4" t="n">
        <v>7</v>
      </c>
      <c r="H14057" s="4" t="n">
        <v>4</v>
      </c>
      <c r="I14057" s="4" t="str">
        <v>×</v>
      </c>
      <c r="J14057" s="4"/>
      <c r="K14057" s="4"/>
      <c r="L14057" s="4"/>
      <c r="M14057" s="7" t="s">
        <v>6871</v>
      </c>
    </row>
    <row r="14058" customFormat="false" ht="15.75" hidden="false" customHeight="false" outlineLevel="0" collapsed="false">
      <c r="A14058" s="6" t="n">
        <f aca="false">DATE(2026,8,8)</f>
        <v>46242</v>
      </c>
      <c r="B14058" s="4" t="s">
        <v>179</v>
      </c>
      <c r="C14058" s="4" t="n">
        <v>4</v>
      </c>
      <c r="D14058" s="4" t="n">
        <v>10</v>
      </c>
      <c r="E14058" s="4"/>
      <c r="F14058" s="4" t="n">
        <v>15</v>
      </c>
      <c r="G14058" s="4" t="n">
        <v>8</v>
      </c>
      <c r="H14058" s="4" t="n">
        <v>4</v>
      </c>
      <c r="I14058" s="4" t="str">
        <v>×</v>
      </c>
      <c r="J14058" s="4"/>
      <c r="K14058" s="4"/>
      <c r="L14058" s="4"/>
      <c r="M14058" s="7" t="s">
        <v>6871</v>
      </c>
    </row>
    <row r="14059" customFormat="false" ht="15.75" hidden="false" customHeight="false" outlineLevel="0" collapsed="false">
      <c r="A14059" s="6" t="n">
        <f aca="false">DATE(2026,8,8)</f>
        <v>46242</v>
      </c>
      <c r="B14059" s="4" t="s">
        <v>179</v>
      </c>
      <c r="C14059" s="4" t="n">
        <v>4</v>
      </c>
      <c r="D14059" s="4" t="n">
        <v>8</v>
      </c>
      <c r="E14059" s="4" t="s">
        <v>5005</v>
      </c>
      <c r="F14059" s="4" t="n">
        <v>13</v>
      </c>
      <c r="G14059" s="4" t="n">
        <v>9</v>
      </c>
      <c r="H14059" s="4" t="n">
        <v>2</v>
      </c>
      <c r="I14059" s="4" t="str">
        <v>○</v>
      </c>
      <c r="J14059" s="4" t="n">
        <v>610</v>
      </c>
      <c r="K14059" s="4"/>
      <c r="L14059" s="4"/>
      <c r="M14059" s="7" t="s">
        <v>6871</v>
      </c>
    </row>
    <row r="14060" customFormat="false" ht="15.75" hidden="false" customHeight="false" outlineLevel="0" collapsed="false">
      <c r="A14060" s="6" t="n">
        <f aca="false">DATE(2026,8,8)</f>
        <v>46242</v>
      </c>
      <c r="B14060" s="4" t="s">
        <v>179</v>
      </c>
      <c r="C14060" s="4" t="n">
        <v>4</v>
      </c>
      <c r="D14060" s="4" t="n">
        <v>2</v>
      </c>
      <c r="E14060" s="4" t="s">
        <v>5000</v>
      </c>
      <c r="F14060" s="4" t="n">
        <v>10</v>
      </c>
      <c r="G14060" s="4" t="n">
        <v>10</v>
      </c>
      <c r="H14060" s="4" t="n">
        <v>3</v>
      </c>
      <c r="I14060" s="4" t="str">
        <v>○</v>
      </c>
      <c r="J14060" s="4" t="n">
        <v>1410</v>
      </c>
      <c r="K14060" s="4"/>
      <c r="L14060" s="4"/>
      <c r="M14060" s="7" t="s">
        <v>6871</v>
      </c>
    </row>
    <row r="14061" customFormat="false" ht="15.75" hidden="false" customHeight="false" outlineLevel="0" collapsed="false">
      <c r="A14061" s="6" t="n">
        <f aca="false">DATE(2026,8,8)</f>
        <v>46242</v>
      </c>
      <c r="B14061" s="4" t="s">
        <v>179</v>
      </c>
      <c r="C14061" s="4" t="n">
        <v>4</v>
      </c>
      <c r="D14061" s="4" t="n">
        <v>11</v>
      </c>
      <c r="E14061" s="4"/>
      <c r="F14061" s="4" t="n">
        <v>10</v>
      </c>
      <c r="G14061" s="4" t="n">
        <v>11</v>
      </c>
      <c r="H14061" s="4" t="n">
        <v>4</v>
      </c>
      <c r="I14061" s="4" t="str">
        <v>×</v>
      </c>
      <c r="J14061" s="4"/>
      <c r="K14061" s="4"/>
      <c r="L14061" s="4"/>
      <c r="M14061" s="7" t="s">
        <v>6871</v>
      </c>
    </row>
    <row r="14062" customFormat="false" ht="15.75" hidden="false" customHeight="false" outlineLevel="0" collapsed="false">
      <c r="A14062" s="6" t="n">
        <f aca="false">DATE(2026,8,8)</f>
        <v>46242</v>
      </c>
      <c r="B14062" s="4" t="s">
        <v>179</v>
      </c>
      <c r="C14062" s="4" t="n">
        <v>4</v>
      </c>
      <c r="D14062" s="4" t="n">
        <v>13</v>
      </c>
      <c r="E14062" s="4"/>
      <c r="F14062" s="4" t="n">
        <v>10</v>
      </c>
      <c r="G14062" s="4" t="n">
        <v>12</v>
      </c>
      <c r="H14062" s="4" t="n">
        <v>4</v>
      </c>
      <c r="I14062" s="4" t="str">
        <v>×</v>
      </c>
      <c r="J14062" s="4"/>
      <c r="K14062" s="4"/>
      <c r="L14062" s="4"/>
      <c r="M14062" s="7" t="s">
        <v>6871</v>
      </c>
    </row>
    <row r="14063" customFormat="false" ht="15.75" hidden="false" customHeight="false" outlineLevel="0" collapsed="false">
      <c r="A14063" s="6" t="n">
        <f aca="false">DATE(2026,8,8)</f>
        <v>46242</v>
      </c>
      <c r="B14063" s="4" t="s">
        <v>179</v>
      </c>
      <c r="C14063" s="4" t="n">
        <v>4</v>
      </c>
      <c r="D14063" s="4" t="n">
        <v>15</v>
      </c>
      <c r="E14063" s="4"/>
      <c r="F14063" s="4" t="n">
        <v>6</v>
      </c>
      <c r="G14063" s="4" t="n">
        <v>13</v>
      </c>
      <c r="H14063" s="4" t="n">
        <v>4</v>
      </c>
      <c r="I14063" s="4" t="str">
        <v>×</v>
      </c>
      <c r="J14063" s="4"/>
      <c r="K14063" s="4"/>
      <c r="L14063" s="4"/>
      <c r="M14063" s="7" t="s">
        <v>6871</v>
      </c>
    </row>
    <row r="14064" customFormat="false" ht="15.75" hidden="false" customHeight="false" outlineLevel="0" collapsed="false">
      <c r="A14064" s="6" t="n">
        <f aca="false">DATE(2026,8,8)</f>
        <v>46242</v>
      </c>
      <c r="B14064" s="4" t="s">
        <v>179</v>
      </c>
      <c r="C14064" s="4" t="n">
        <v>4</v>
      </c>
      <c r="D14064" s="4" t="n">
        <v>16</v>
      </c>
      <c r="E14064" s="4"/>
      <c r="F14064" s="4" t="n">
        <v>6</v>
      </c>
      <c r="G14064" s="4" t="n">
        <v>14</v>
      </c>
      <c r="H14064" s="4" t="n">
        <v>4</v>
      </c>
      <c r="I14064" s="4" t="str">
        <v>×</v>
      </c>
      <c r="J14064" s="4"/>
      <c r="K14064" s="4"/>
      <c r="L14064" s="4"/>
      <c r="M14064" s="7" t="s">
        <v>6871</v>
      </c>
    </row>
    <row r="14065" customFormat="false" ht="15.75" hidden="false" customHeight="false" outlineLevel="0" collapsed="false">
      <c r="A14065" s="6" t="n">
        <f aca="false">DATE(2026,8,8)</f>
        <v>46242</v>
      </c>
      <c r="B14065" s="4" t="s">
        <v>179</v>
      </c>
      <c r="C14065" s="4" t="n">
        <v>4</v>
      </c>
      <c r="D14065" s="4" t="n">
        <v>14</v>
      </c>
      <c r="E14065" s="4"/>
      <c r="F14065" s="4" t="n">
        <v>4</v>
      </c>
      <c r="G14065" s="4" t="n">
        <v>15</v>
      </c>
      <c r="H14065" s="4" t="n">
        <v>4</v>
      </c>
      <c r="I14065" s="4" t="str">
        <v>×</v>
      </c>
      <c r="J14065" s="4"/>
      <c r="K14065" s="4"/>
      <c r="L14065" s="4"/>
      <c r="M14065" s="7" t="s">
        <v>6871</v>
      </c>
    </row>
    <row r="14066" customFormat="false" ht="15.75" hidden="false" customHeight="false" outlineLevel="0" collapsed="false">
      <c r="A14066" s="6" t="n">
        <f aca="false">DATE(2026,8,8)</f>
        <v>46242</v>
      </c>
      <c r="B14066" s="4" t="s">
        <v>179</v>
      </c>
      <c r="C14066" s="4" t="n">
        <v>4</v>
      </c>
      <c r="D14066" s="4" t="n">
        <v>9</v>
      </c>
      <c r="E14066" s="4"/>
      <c r="F14066" s="4" t="n">
        <v>2</v>
      </c>
      <c r="G14066" s="4" t="n">
        <v>16</v>
      </c>
      <c r="H14066" s="4" t="n">
        <v>4</v>
      </c>
      <c r="I14066" s="4" t="str">
        <v>×</v>
      </c>
      <c r="J14066" s="4"/>
      <c r="K14066" s="4"/>
      <c r="L14066" s="4"/>
      <c r="M14066" s="7" t="s">
        <v>6871</v>
      </c>
    </row>
    <row r="14067" customFormat="false" ht="15.75" hidden="false" customHeight="false" outlineLevel="0" collapsed="false">
      <c r="A14067" s="6" t="n">
        <f aca="false">DATE(2026,8,8)</f>
        <v>46242</v>
      </c>
      <c r="B14067" s="4" t="s">
        <v>179</v>
      </c>
      <c r="C14067" s="4" t="n">
        <v>5</v>
      </c>
      <c r="D14067" s="4" t="n">
        <v>3</v>
      </c>
      <c r="E14067" s="4" t="s">
        <v>5635</v>
      </c>
      <c r="F14067" s="4" t="n">
        <v>81</v>
      </c>
      <c r="G14067" s="4" t="n">
        <v>1</v>
      </c>
      <c r="H14067" s="4" t="n">
        <v>1</v>
      </c>
      <c r="I14067" s="4" t="str">
        <v>○</v>
      </c>
      <c r="J14067" s="4" t="n">
        <v>100</v>
      </c>
      <c r="K14067" s="4"/>
      <c r="L14067" s="4"/>
      <c r="M14067" s="7" t="s">
        <v>6871</v>
      </c>
    </row>
    <row r="14068" customFormat="false" ht="15.75" hidden="false" customHeight="false" outlineLevel="0" collapsed="false">
      <c r="A14068" s="6" t="n">
        <f aca="false">DATE(2026,8,8)</f>
        <v>46242</v>
      </c>
      <c r="B14068" s="4" t="s">
        <v>179</v>
      </c>
      <c r="C14068" s="4" t="n">
        <v>5</v>
      </c>
      <c r="D14068" s="4" t="n">
        <v>5</v>
      </c>
      <c r="E14068" s="4" t="s">
        <v>1672</v>
      </c>
      <c r="F14068" s="4" t="n">
        <v>58</v>
      </c>
      <c r="G14068" s="4" t="n">
        <v>2</v>
      </c>
      <c r="H14068" s="4" t="n">
        <v>3</v>
      </c>
      <c r="I14068" s="4" t="str">
        <v>○</v>
      </c>
      <c r="J14068" s="4" t="n">
        <v>130</v>
      </c>
      <c r="K14068" s="4"/>
      <c r="L14068" s="4"/>
      <c r="M14068" s="7" t="s">
        <v>6871</v>
      </c>
    </row>
    <row r="14069" customFormat="false" ht="15.75" hidden="false" customHeight="false" outlineLevel="0" collapsed="false">
      <c r="A14069" s="6" t="n">
        <f aca="false">DATE(2026,8,8)</f>
        <v>46242</v>
      </c>
      <c r="B14069" s="4" t="s">
        <v>179</v>
      </c>
      <c r="C14069" s="4" t="n">
        <v>5</v>
      </c>
      <c r="D14069" s="4" t="n">
        <v>2</v>
      </c>
      <c r="E14069" s="4"/>
      <c r="F14069" s="4" t="n">
        <v>67</v>
      </c>
      <c r="G14069" s="4" t="n">
        <v>3</v>
      </c>
      <c r="H14069" s="4" t="n">
        <v>4</v>
      </c>
      <c r="I14069" s="4" t="str">
        <v>×</v>
      </c>
      <c r="J14069" s="4"/>
      <c r="K14069" s="4"/>
      <c r="L14069" s="4"/>
      <c r="M14069" s="7" t="s">
        <v>6871</v>
      </c>
    </row>
    <row r="14070" customFormat="false" ht="15.75" hidden="false" customHeight="false" outlineLevel="0" collapsed="false">
      <c r="A14070" s="6" t="n">
        <f aca="false">DATE(2026,8,8)</f>
        <v>46242</v>
      </c>
      <c r="B14070" s="4" t="s">
        <v>179</v>
      </c>
      <c r="C14070" s="4" t="n">
        <v>5</v>
      </c>
      <c r="D14070" s="4" t="n">
        <v>4</v>
      </c>
      <c r="E14070" s="4" t="s">
        <v>3886</v>
      </c>
      <c r="F14070" s="4" t="n">
        <v>20</v>
      </c>
      <c r="G14070" s="4" t="n">
        <v>4</v>
      </c>
      <c r="H14070" s="4" t="n">
        <v>2</v>
      </c>
      <c r="I14070" s="4" t="str">
        <v>○</v>
      </c>
      <c r="J14070" s="4" t="n">
        <v>200</v>
      </c>
      <c r="K14070" s="4"/>
      <c r="L14070" s="4"/>
      <c r="M14070" s="7" t="s">
        <v>6871</v>
      </c>
    </row>
    <row r="14071" customFormat="false" ht="15.75" hidden="false" customHeight="false" outlineLevel="0" collapsed="false">
      <c r="A14071" s="6" t="n">
        <f aca="false">DATE(2026,8,8)</f>
        <v>46242</v>
      </c>
      <c r="B14071" s="4" t="s">
        <v>179</v>
      </c>
      <c r="C14071" s="4" t="n">
        <v>5</v>
      </c>
      <c r="D14071" s="4" t="n">
        <v>1</v>
      </c>
      <c r="E14071" s="4"/>
      <c r="F14071" s="4" t="n">
        <v>17</v>
      </c>
      <c r="G14071" s="4" t="n">
        <v>5</v>
      </c>
      <c r="H14071" s="4" t="n">
        <v>4</v>
      </c>
      <c r="I14071" s="4" t="str">
        <v>×</v>
      </c>
      <c r="J14071" s="4"/>
      <c r="K14071" s="4"/>
      <c r="L14071" s="4"/>
      <c r="M14071" s="7" t="s">
        <v>6871</v>
      </c>
    </row>
    <row r="14072" customFormat="false" ht="15.75" hidden="false" customHeight="false" outlineLevel="0" collapsed="false">
      <c r="A14072" s="6" t="n">
        <f aca="false">DATE(2026,8,8)</f>
        <v>46242</v>
      </c>
      <c r="B14072" s="4" t="s">
        <v>179</v>
      </c>
      <c r="C14072" s="4" t="n">
        <v>5</v>
      </c>
      <c r="D14072" s="4" t="n">
        <v>6</v>
      </c>
      <c r="E14072" s="4"/>
      <c r="F14072" s="4" t="n">
        <v>10</v>
      </c>
      <c r="G14072" s="4" t="n">
        <v>6</v>
      </c>
      <c r="H14072" s="4" t="n">
        <v>4</v>
      </c>
      <c r="I14072" s="4" t="str">
        <v>×</v>
      </c>
      <c r="J14072" s="4"/>
      <c r="K14072" s="4"/>
      <c r="L14072" s="4"/>
      <c r="M14072" s="7" t="s">
        <v>6871</v>
      </c>
    </row>
    <row r="14073" customFormat="false" ht="15.75" hidden="false" customHeight="false" outlineLevel="0" collapsed="false">
      <c r="A14073" s="6" t="n">
        <f aca="false">DATE(2026,8,8)</f>
        <v>46242</v>
      </c>
      <c r="B14073" s="4" t="s">
        <v>179</v>
      </c>
      <c r="C14073" s="4" t="n">
        <v>5</v>
      </c>
      <c r="D14073" s="4" t="n">
        <v>7</v>
      </c>
      <c r="E14073" s="4"/>
      <c r="F14073" s="4" t="n">
        <v>10</v>
      </c>
      <c r="G14073" s="4" t="n">
        <v>7</v>
      </c>
      <c r="H14073" s="4" t="n">
        <v>4</v>
      </c>
      <c r="I14073" s="4" t="str">
        <v>×</v>
      </c>
      <c r="J14073" s="4"/>
      <c r="K14073" s="4"/>
      <c r="L14073" s="4"/>
      <c r="M14073" s="7" t="s">
        <v>6871</v>
      </c>
    </row>
    <row r="14074" customFormat="false" ht="15.75" hidden="false" customHeight="false" outlineLevel="0" collapsed="false">
      <c r="A14074" s="6" t="n">
        <f aca="false">DATE(2026,8,8)</f>
        <v>46242</v>
      </c>
      <c r="B14074" s="4" t="s">
        <v>179</v>
      </c>
      <c r="C14074" s="4" t="n">
        <v>5</v>
      </c>
      <c r="D14074" s="4" t="n">
        <v>8</v>
      </c>
      <c r="E14074" s="4"/>
      <c r="F14074" s="4" t="n">
        <v>3</v>
      </c>
      <c r="G14074" s="4" t="n">
        <v>8</v>
      </c>
      <c r="H14074" s="4" t="n">
        <v>4</v>
      </c>
      <c r="I14074" s="4" t="str">
        <v>×</v>
      </c>
      <c r="J14074" s="4"/>
      <c r="K14074" s="4"/>
      <c r="L14074" s="4"/>
      <c r="M14074" s="7" t="s">
        <v>6871</v>
      </c>
    </row>
    <row r="14075" customFormat="false" ht="15.75" hidden="false" customHeight="false" outlineLevel="0" collapsed="false">
      <c r="A14075" s="6" t="n">
        <f aca="false">DATE(2026,8,8)</f>
        <v>46242</v>
      </c>
      <c r="B14075" s="4" t="s">
        <v>179</v>
      </c>
      <c r="C14075" s="4" t="n">
        <v>6</v>
      </c>
      <c r="D14075" s="4" t="n">
        <v>11</v>
      </c>
      <c r="E14075" s="4"/>
      <c r="F14075" s="4" t="n">
        <v>60</v>
      </c>
      <c r="G14075" s="4" t="n">
        <v>1</v>
      </c>
      <c r="H14075" s="4" t="n">
        <v>4</v>
      </c>
      <c r="I14075" s="4" t="str">
        <v>×</v>
      </c>
      <c r="J14075" s="4"/>
      <c r="K14075" s="4"/>
      <c r="L14075" s="4"/>
      <c r="M14075" s="7" t="s">
        <v>6871</v>
      </c>
    </row>
    <row r="14076" customFormat="false" ht="15.75" hidden="false" customHeight="false" outlineLevel="0" collapsed="false">
      <c r="A14076" s="6" t="n">
        <f aca="false">DATE(2026,8,8)</f>
        <v>46242</v>
      </c>
      <c r="B14076" s="4" t="s">
        <v>179</v>
      </c>
      <c r="C14076" s="4" t="n">
        <v>6</v>
      </c>
      <c r="D14076" s="4" t="n">
        <v>8</v>
      </c>
      <c r="E14076" s="4" t="s">
        <v>5942</v>
      </c>
      <c r="F14076" s="4" t="n">
        <v>34</v>
      </c>
      <c r="G14076" s="4" t="n">
        <v>2</v>
      </c>
      <c r="H14076" s="4" t="n">
        <v>2</v>
      </c>
      <c r="I14076" s="4" t="str">
        <v>○</v>
      </c>
      <c r="J14076" s="4" t="n">
        <v>190</v>
      </c>
      <c r="K14076" s="4"/>
      <c r="L14076" s="4"/>
      <c r="M14076" s="7" t="s">
        <v>6871</v>
      </c>
    </row>
    <row r="14077" customFormat="false" ht="15.75" hidden="false" customHeight="false" outlineLevel="0" collapsed="false">
      <c r="A14077" s="6" t="n">
        <f aca="false">DATE(2026,8,8)</f>
        <v>46242</v>
      </c>
      <c r="B14077" s="4" t="s">
        <v>179</v>
      </c>
      <c r="C14077" s="4" t="n">
        <v>6</v>
      </c>
      <c r="D14077" s="4" t="n">
        <v>2</v>
      </c>
      <c r="E14077" s="4"/>
      <c r="F14077" s="4" t="n">
        <v>39</v>
      </c>
      <c r="G14077" s="4" t="n">
        <v>3</v>
      </c>
      <c r="H14077" s="4" t="n">
        <v>4</v>
      </c>
      <c r="I14077" s="4" t="str">
        <v>×</v>
      </c>
      <c r="J14077" s="4"/>
      <c r="K14077" s="4"/>
      <c r="L14077" s="4"/>
      <c r="M14077" s="7" t="s">
        <v>6871</v>
      </c>
    </row>
    <row r="14078" customFormat="false" ht="15.75" hidden="false" customHeight="false" outlineLevel="0" collapsed="false">
      <c r="A14078" s="6" t="n">
        <f aca="false">DATE(2026,8,8)</f>
        <v>46242</v>
      </c>
      <c r="B14078" s="4" t="s">
        <v>179</v>
      </c>
      <c r="C14078" s="4" t="n">
        <v>6</v>
      </c>
      <c r="D14078" s="4" t="n">
        <v>3</v>
      </c>
      <c r="E14078" s="4"/>
      <c r="F14078" s="4" t="n">
        <v>29</v>
      </c>
      <c r="G14078" s="4" t="n">
        <v>4</v>
      </c>
      <c r="H14078" s="4" t="n">
        <v>4</v>
      </c>
      <c r="I14078" s="4" t="str">
        <v>×</v>
      </c>
      <c r="J14078" s="4"/>
      <c r="K14078" s="4"/>
      <c r="L14078" s="4"/>
      <c r="M14078" s="7" t="s">
        <v>6871</v>
      </c>
    </row>
    <row r="14079" customFormat="false" ht="15.75" hidden="false" customHeight="false" outlineLevel="0" collapsed="false">
      <c r="A14079" s="6" t="n">
        <f aca="false">DATE(2026,8,8)</f>
        <v>46242</v>
      </c>
      <c r="B14079" s="4" t="s">
        <v>179</v>
      </c>
      <c r="C14079" s="4" t="n">
        <v>6</v>
      </c>
      <c r="D14079" s="4" t="n">
        <v>5</v>
      </c>
      <c r="E14079" s="4"/>
      <c r="F14079" s="4" t="n">
        <v>25</v>
      </c>
      <c r="G14079" s="4" t="n">
        <v>5</v>
      </c>
      <c r="H14079" s="4" t="n">
        <v>4</v>
      </c>
      <c r="I14079" s="4" t="str">
        <v>×</v>
      </c>
      <c r="J14079" s="4"/>
      <c r="K14079" s="4"/>
      <c r="L14079" s="4"/>
      <c r="M14079" s="7" t="s">
        <v>6871</v>
      </c>
    </row>
    <row r="14080" customFormat="false" ht="15.75" hidden="false" customHeight="false" outlineLevel="0" collapsed="false">
      <c r="A14080" s="6" t="n">
        <f aca="false">DATE(2026,8,8)</f>
        <v>46242</v>
      </c>
      <c r="B14080" s="4" t="s">
        <v>179</v>
      </c>
      <c r="C14080" s="4" t="n">
        <v>6</v>
      </c>
      <c r="D14080" s="4" t="n">
        <v>7</v>
      </c>
      <c r="E14080" s="4"/>
      <c r="F14080" s="4" t="n">
        <v>25</v>
      </c>
      <c r="G14080" s="4" t="n">
        <v>6</v>
      </c>
      <c r="H14080" s="4" t="n">
        <v>4</v>
      </c>
      <c r="I14080" s="4" t="str">
        <v>×</v>
      </c>
      <c r="J14080" s="4"/>
      <c r="K14080" s="4"/>
      <c r="L14080" s="4"/>
      <c r="M14080" s="7" t="s">
        <v>6871</v>
      </c>
    </row>
    <row r="14081" customFormat="false" ht="15.75" hidden="false" customHeight="false" outlineLevel="0" collapsed="false">
      <c r="A14081" s="6" t="n">
        <f aca="false">DATE(2026,8,8)</f>
        <v>46242</v>
      </c>
      <c r="B14081" s="4" t="s">
        <v>179</v>
      </c>
      <c r="C14081" s="4" t="n">
        <v>6</v>
      </c>
      <c r="D14081" s="4" t="n">
        <v>10</v>
      </c>
      <c r="E14081" s="4" t="s">
        <v>6875</v>
      </c>
      <c r="F14081" s="4" t="n">
        <v>25</v>
      </c>
      <c r="G14081" s="4" t="n">
        <v>7</v>
      </c>
      <c r="H14081" s="4" t="n">
        <v>3</v>
      </c>
      <c r="I14081" s="4" t="str">
        <v>○</v>
      </c>
      <c r="J14081" s="4" t="n">
        <v>460</v>
      </c>
      <c r="K14081" s="4"/>
      <c r="L14081" s="4"/>
      <c r="M14081" s="7" t="s">
        <v>6871</v>
      </c>
    </row>
    <row r="14082" customFormat="false" ht="15.75" hidden="false" customHeight="false" outlineLevel="0" collapsed="false">
      <c r="A14082" s="6" t="n">
        <f aca="false">DATE(2026,8,8)</f>
        <v>46242</v>
      </c>
      <c r="B14082" s="4" t="s">
        <v>179</v>
      </c>
      <c r="C14082" s="4" t="n">
        <v>6</v>
      </c>
      <c r="D14082" s="4" t="n">
        <v>1</v>
      </c>
      <c r="E14082" s="4"/>
      <c r="F14082" s="4" t="n">
        <v>23</v>
      </c>
      <c r="G14082" s="4" t="n">
        <v>8</v>
      </c>
      <c r="H14082" s="4" t="n">
        <v>4</v>
      </c>
      <c r="I14082" s="4" t="str">
        <v>×</v>
      </c>
      <c r="J14082" s="4"/>
      <c r="K14082" s="4"/>
      <c r="L14082" s="4"/>
      <c r="M14082" s="7" t="s">
        <v>6871</v>
      </c>
    </row>
    <row r="14083" customFormat="false" ht="15.75" hidden="false" customHeight="false" outlineLevel="0" collapsed="false">
      <c r="A14083" s="6" t="n">
        <f aca="false">DATE(2026,8,8)</f>
        <v>46242</v>
      </c>
      <c r="B14083" s="4" t="s">
        <v>179</v>
      </c>
      <c r="C14083" s="4" t="n">
        <v>6</v>
      </c>
      <c r="D14083" s="4" t="n">
        <v>4</v>
      </c>
      <c r="E14083" s="4" t="s">
        <v>5480</v>
      </c>
      <c r="F14083" s="4" t="n">
        <v>23</v>
      </c>
      <c r="G14083" s="4" t="n">
        <v>9</v>
      </c>
      <c r="H14083" s="4" t="n">
        <v>1</v>
      </c>
      <c r="I14083" s="4" t="str">
        <v>○</v>
      </c>
      <c r="J14083" s="4" t="n">
        <v>170</v>
      </c>
      <c r="K14083" s="4"/>
      <c r="L14083" s="4"/>
      <c r="M14083" s="7" t="s">
        <v>6871</v>
      </c>
    </row>
    <row r="14084" customFormat="false" ht="15.75" hidden="false" customHeight="false" outlineLevel="0" collapsed="false">
      <c r="A14084" s="6" t="n">
        <f aca="false">DATE(2026,8,8)</f>
        <v>46242</v>
      </c>
      <c r="B14084" s="4" t="s">
        <v>179</v>
      </c>
      <c r="C14084" s="4" t="n">
        <v>6</v>
      </c>
      <c r="D14084" s="4" t="n">
        <v>6</v>
      </c>
      <c r="E14084" s="4"/>
      <c r="F14084" s="4" t="n">
        <v>20</v>
      </c>
      <c r="G14084" s="4" t="n">
        <v>10</v>
      </c>
      <c r="H14084" s="4" t="n">
        <v>4</v>
      </c>
      <c r="I14084" s="4" t="str">
        <v>×</v>
      </c>
      <c r="J14084" s="4"/>
      <c r="K14084" s="4"/>
      <c r="L14084" s="4"/>
      <c r="M14084" s="7" t="s">
        <v>6871</v>
      </c>
    </row>
    <row r="14085" customFormat="false" ht="15.75" hidden="false" customHeight="false" outlineLevel="0" collapsed="false">
      <c r="A14085" s="6" t="n">
        <f aca="false">DATE(2026,8,8)</f>
        <v>46242</v>
      </c>
      <c r="B14085" s="4" t="s">
        <v>179</v>
      </c>
      <c r="C14085" s="4" t="n">
        <v>6</v>
      </c>
      <c r="D14085" s="4" t="n">
        <v>9</v>
      </c>
      <c r="E14085" s="4"/>
      <c r="F14085" s="4" t="n">
        <v>10</v>
      </c>
      <c r="G14085" s="4" t="n">
        <v>11</v>
      </c>
      <c r="H14085" s="4" t="n">
        <v>4</v>
      </c>
      <c r="I14085" s="4" t="str">
        <v>×</v>
      </c>
      <c r="J14085" s="4"/>
      <c r="K14085" s="4"/>
      <c r="L14085" s="4"/>
      <c r="M14085" s="7" t="s">
        <v>6871</v>
      </c>
    </row>
    <row r="14086" customFormat="false" ht="15.75" hidden="false" customHeight="false" outlineLevel="0" collapsed="false">
      <c r="A14086" s="6" t="n">
        <f aca="false">DATE(2026,8,8)</f>
        <v>46242</v>
      </c>
      <c r="B14086" s="4" t="s">
        <v>179</v>
      </c>
      <c r="C14086" s="4" t="n">
        <v>7</v>
      </c>
      <c r="D14086" s="4" t="n">
        <v>3</v>
      </c>
      <c r="E14086" s="4" t="s">
        <v>4411</v>
      </c>
      <c r="F14086" s="4" t="n">
        <v>75</v>
      </c>
      <c r="G14086" s="4" t="n">
        <v>1</v>
      </c>
      <c r="H14086" s="4" t="n">
        <v>1</v>
      </c>
      <c r="I14086" s="4" t="str">
        <v>○</v>
      </c>
      <c r="J14086" s="4" t="n">
        <v>160</v>
      </c>
      <c r="K14086" s="4"/>
      <c r="L14086" s="4"/>
      <c r="M14086" s="7" t="s">
        <v>6871</v>
      </c>
    </row>
    <row r="14087" customFormat="false" ht="15.75" hidden="false" customHeight="false" outlineLevel="0" collapsed="false">
      <c r="A14087" s="6" t="n">
        <f aca="false">DATE(2026,8,8)</f>
        <v>46242</v>
      </c>
      <c r="B14087" s="4" t="s">
        <v>179</v>
      </c>
      <c r="C14087" s="4" t="n">
        <v>7</v>
      </c>
      <c r="D14087" s="4" t="n">
        <v>7</v>
      </c>
      <c r="E14087" s="4"/>
      <c r="F14087" s="4" t="n">
        <v>52</v>
      </c>
      <c r="G14087" s="4" t="n">
        <v>2</v>
      </c>
      <c r="H14087" s="4" t="n">
        <v>4</v>
      </c>
      <c r="I14087" s="4" t="str">
        <v>×</v>
      </c>
      <c r="J14087" s="4"/>
      <c r="K14087" s="4"/>
      <c r="L14087" s="4"/>
      <c r="M14087" s="7" t="s">
        <v>6871</v>
      </c>
    </row>
    <row r="14088" customFormat="false" ht="15.75" hidden="false" customHeight="false" outlineLevel="0" collapsed="false">
      <c r="A14088" s="6" t="n">
        <f aca="false">DATE(2026,8,8)</f>
        <v>46242</v>
      </c>
      <c r="B14088" s="4" t="s">
        <v>179</v>
      </c>
      <c r="C14088" s="4" t="n">
        <v>7</v>
      </c>
      <c r="D14088" s="4" t="n">
        <v>1</v>
      </c>
      <c r="E14088" s="4"/>
      <c r="F14088" s="4" t="n">
        <v>56</v>
      </c>
      <c r="G14088" s="4" t="n">
        <v>3</v>
      </c>
      <c r="H14088" s="4" t="n">
        <v>4</v>
      </c>
      <c r="I14088" s="4" t="str">
        <v>×</v>
      </c>
      <c r="J14088" s="4"/>
      <c r="K14088" s="4"/>
      <c r="L14088" s="4"/>
      <c r="M14088" s="7" t="s">
        <v>6871</v>
      </c>
    </row>
    <row r="14089" customFormat="false" ht="15.75" hidden="false" customHeight="false" outlineLevel="0" collapsed="false">
      <c r="A14089" s="6" t="n">
        <f aca="false">DATE(2026,8,8)</f>
        <v>46242</v>
      </c>
      <c r="B14089" s="4" t="s">
        <v>179</v>
      </c>
      <c r="C14089" s="4" t="n">
        <v>7</v>
      </c>
      <c r="D14089" s="4" t="n">
        <v>4</v>
      </c>
      <c r="E14089" s="4"/>
      <c r="F14089" s="4" t="n">
        <v>25</v>
      </c>
      <c r="G14089" s="4" t="n">
        <v>4</v>
      </c>
      <c r="H14089" s="4" t="n">
        <v>4</v>
      </c>
      <c r="I14089" s="4" t="str">
        <v>×</v>
      </c>
      <c r="J14089" s="4"/>
      <c r="K14089" s="4"/>
      <c r="L14089" s="4"/>
      <c r="M14089" s="7" t="s">
        <v>6871</v>
      </c>
    </row>
    <row r="14090" customFormat="false" ht="15.75" hidden="false" customHeight="false" outlineLevel="0" collapsed="false">
      <c r="A14090" s="6" t="n">
        <f aca="false">DATE(2026,8,8)</f>
        <v>46242</v>
      </c>
      <c r="B14090" s="4" t="s">
        <v>179</v>
      </c>
      <c r="C14090" s="4" t="n">
        <v>7</v>
      </c>
      <c r="D14090" s="4" t="n">
        <v>8</v>
      </c>
      <c r="E14090" s="4" t="s">
        <v>1676</v>
      </c>
      <c r="F14090" s="4" t="n">
        <v>25</v>
      </c>
      <c r="G14090" s="4" t="n">
        <v>5</v>
      </c>
      <c r="H14090" s="4" t="n">
        <v>3</v>
      </c>
      <c r="I14090" s="4" t="str">
        <v>○</v>
      </c>
      <c r="J14090" s="4" t="n">
        <v>350</v>
      </c>
      <c r="K14090" s="4"/>
      <c r="L14090" s="4"/>
      <c r="M14090" s="7" t="s">
        <v>6871</v>
      </c>
    </row>
    <row r="14091" customFormat="false" ht="15.75" hidden="false" customHeight="false" outlineLevel="0" collapsed="false">
      <c r="A14091" s="6" t="n">
        <f aca="false">DATE(2026,8,8)</f>
        <v>46242</v>
      </c>
      <c r="B14091" s="4" t="s">
        <v>179</v>
      </c>
      <c r="C14091" s="4" t="n">
        <v>7</v>
      </c>
      <c r="D14091" s="4" t="n">
        <v>6</v>
      </c>
      <c r="E14091" s="4"/>
      <c r="F14091" s="4" t="n">
        <v>17</v>
      </c>
      <c r="G14091" s="4" t="n">
        <v>6</v>
      </c>
      <c r="H14091" s="4" t="n">
        <v>4</v>
      </c>
      <c r="I14091" s="4" t="str">
        <v>×</v>
      </c>
      <c r="J14091" s="4"/>
      <c r="K14091" s="4"/>
      <c r="L14091" s="4"/>
      <c r="M14091" s="7" t="s">
        <v>6871</v>
      </c>
    </row>
    <row r="14092" customFormat="false" ht="15.75" hidden="false" customHeight="false" outlineLevel="0" collapsed="false">
      <c r="A14092" s="6" t="n">
        <f aca="false">DATE(2026,8,8)</f>
        <v>46242</v>
      </c>
      <c r="B14092" s="4" t="s">
        <v>179</v>
      </c>
      <c r="C14092" s="4" t="n">
        <v>7</v>
      </c>
      <c r="D14092" s="4" t="n">
        <v>2</v>
      </c>
      <c r="E14092" s="4"/>
      <c r="F14092" s="4" t="n">
        <v>8</v>
      </c>
      <c r="G14092" s="4" t="n">
        <v>7</v>
      </c>
      <c r="H14092" s="4" t="n">
        <v>4</v>
      </c>
      <c r="I14092" s="4" t="str">
        <v>×</v>
      </c>
      <c r="J14092" s="4"/>
      <c r="K14092" s="4"/>
      <c r="L14092" s="4"/>
      <c r="M14092" s="7" t="s">
        <v>6871</v>
      </c>
    </row>
    <row r="14093" customFormat="false" ht="15.75" hidden="false" customHeight="false" outlineLevel="0" collapsed="false">
      <c r="A14093" s="6" t="n">
        <f aca="false">DATE(2026,8,8)</f>
        <v>46242</v>
      </c>
      <c r="B14093" s="4" t="s">
        <v>179</v>
      </c>
      <c r="C14093" s="4" t="n">
        <v>7</v>
      </c>
      <c r="D14093" s="4" t="n">
        <v>5</v>
      </c>
      <c r="E14093" s="4" t="s">
        <v>6876</v>
      </c>
      <c r="F14093" s="4" t="n">
        <v>8</v>
      </c>
      <c r="G14093" s="4" t="n">
        <v>8</v>
      </c>
      <c r="H14093" s="4" t="n">
        <v>2</v>
      </c>
      <c r="I14093" s="4" t="str">
        <v>○</v>
      </c>
      <c r="J14093" s="4" t="n">
        <v>890</v>
      </c>
      <c r="K14093" s="4"/>
      <c r="L14093" s="4"/>
      <c r="M14093" s="7" t="s">
        <v>6871</v>
      </c>
    </row>
    <row r="14094" customFormat="false" ht="15.75" hidden="false" customHeight="false" outlineLevel="0" collapsed="false">
      <c r="A14094" s="6" t="n">
        <f aca="false">DATE(2026,8,8)</f>
        <v>46242</v>
      </c>
      <c r="B14094" s="4" t="s">
        <v>179</v>
      </c>
      <c r="C14094" s="4" t="n">
        <v>8</v>
      </c>
      <c r="D14094" s="4" t="n">
        <v>9</v>
      </c>
      <c r="E14094" s="4" t="s">
        <v>4819</v>
      </c>
      <c r="F14094" s="4" t="n">
        <v>86</v>
      </c>
      <c r="G14094" s="4" t="n">
        <v>1</v>
      </c>
      <c r="H14094" s="4" t="n">
        <v>1</v>
      </c>
      <c r="I14094" s="4" t="str">
        <v>○</v>
      </c>
      <c r="J14094" s="4" t="n">
        <v>110</v>
      </c>
      <c r="K14094" s="4"/>
      <c r="L14094" s="4"/>
      <c r="M14094" s="7" t="s">
        <v>6871</v>
      </c>
    </row>
    <row r="14095" customFormat="false" ht="15.75" hidden="false" customHeight="false" outlineLevel="0" collapsed="false">
      <c r="A14095" s="6" t="n">
        <f aca="false">DATE(2026,8,8)</f>
        <v>46242</v>
      </c>
      <c r="B14095" s="4" t="s">
        <v>179</v>
      </c>
      <c r="C14095" s="4" t="n">
        <v>8</v>
      </c>
      <c r="D14095" s="4" t="n">
        <v>5</v>
      </c>
      <c r="E14095" s="4"/>
      <c r="F14095" s="4" t="n">
        <v>31</v>
      </c>
      <c r="G14095" s="4" t="n">
        <v>2</v>
      </c>
      <c r="H14095" s="4" t="n">
        <v>4</v>
      </c>
      <c r="I14095" s="4" t="str">
        <v>×</v>
      </c>
      <c r="J14095" s="4"/>
      <c r="K14095" s="4"/>
      <c r="L14095" s="4"/>
      <c r="M14095" s="7" t="s">
        <v>6871</v>
      </c>
    </row>
    <row r="14096" customFormat="false" ht="15.75" hidden="false" customHeight="false" outlineLevel="0" collapsed="false">
      <c r="A14096" s="6" t="n">
        <f aca="false">DATE(2026,8,8)</f>
        <v>46242</v>
      </c>
      <c r="B14096" s="4" t="s">
        <v>179</v>
      </c>
      <c r="C14096" s="4" t="n">
        <v>8</v>
      </c>
      <c r="D14096" s="4" t="n">
        <v>6</v>
      </c>
      <c r="E14096" s="4"/>
      <c r="F14096" s="4" t="n">
        <v>31</v>
      </c>
      <c r="G14096" s="4" t="n">
        <v>3</v>
      </c>
      <c r="H14096" s="4" t="n">
        <v>4</v>
      </c>
      <c r="I14096" s="4" t="str">
        <v>×</v>
      </c>
      <c r="J14096" s="4"/>
      <c r="K14096" s="4"/>
      <c r="L14096" s="4"/>
      <c r="M14096" s="7" t="s">
        <v>6871</v>
      </c>
    </row>
    <row r="14097" customFormat="false" ht="15.75" hidden="false" customHeight="false" outlineLevel="0" collapsed="false">
      <c r="A14097" s="6" t="n">
        <f aca="false">DATE(2026,8,8)</f>
        <v>46242</v>
      </c>
      <c r="B14097" s="4" t="s">
        <v>179</v>
      </c>
      <c r="C14097" s="4" t="n">
        <v>8</v>
      </c>
      <c r="D14097" s="4" t="n">
        <v>12</v>
      </c>
      <c r="E14097" s="4"/>
      <c r="F14097" s="4" t="n">
        <v>37</v>
      </c>
      <c r="G14097" s="4" t="n">
        <v>4</v>
      </c>
      <c r="H14097" s="4" t="n">
        <v>4</v>
      </c>
      <c r="I14097" s="4" t="str">
        <v>×</v>
      </c>
      <c r="J14097" s="4"/>
      <c r="K14097" s="4"/>
      <c r="L14097" s="4"/>
      <c r="M14097" s="7" t="s">
        <v>6871</v>
      </c>
    </row>
    <row r="14098" customFormat="false" ht="15.75" hidden="false" customHeight="false" outlineLevel="0" collapsed="false">
      <c r="A14098" s="6" t="n">
        <f aca="false">DATE(2026,8,8)</f>
        <v>46242</v>
      </c>
      <c r="B14098" s="4" t="s">
        <v>179</v>
      </c>
      <c r="C14098" s="4" t="n">
        <v>8</v>
      </c>
      <c r="D14098" s="4" t="n">
        <v>8</v>
      </c>
      <c r="E14098" s="4"/>
      <c r="F14098" s="4" t="n">
        <v>23</v>
      </c>
      <c r="G14098" s="4" t="n">
        <v>5</v>
      </c>
      <c r="H14098" s="4" t="n">
        <v>4</v>
      </c>
      <c r="I14098" s="4" t="str">
        <v>×</v>
      </c>
      <c r="J14098" s="4"/>
      <c r="K14098" s="4"/>
      <c r="L14098" s="4"/>
      <c r="M14098" s="7" t="s">
        <v>6871</v>
      </c>
    </row>
    <row r="14099" customFormat="false" ht="15.75" hidden="false" customHeight="false" outlineLevel="0" collapsed="false">
      <c r="A14099" s="6" t="n">
        <f aca="false">DATE(2026,8,8)</f>
        <v>46242</v>
      </c>
      <c r="B14099" s="4" t="s">
        <v>179</v>
      </c>
      <c r="C14099" s="4" t="n">
        <v>8</v>
      </c>
      <c r="D14099" s="4" t="n">
        <v>10</v>
      </c>
      <c r="E14099" s="4" t="s">
        <v>6877</v>
      </c>
      <c r="F14099" s="4" t="n">
        <v>23</v>
      </c>
      <c r="G14099" s="4" t="n">
        <v>6</v>
      </c>
      <c r="H14099" s="4" t="n">
        <v>3</v>
      </c>
      <c r="I14099" s="4" t="str">
        <v>○</v>
      </c>
      <c r="J14099" s="4" t="n">
        <v>180</v>
      </c>
      <c r="K14099" s="4"/>
      <c r="L14099" s="4"/>
      <c r="M14099" s="7" t="s">
        <v>6871</v>
      </c>
    </row>
    <row r="14100" customFormat="false" ht="15.75" hidden="false" customHeight="false" outlineLevel="0" collapsed="false">
      <c r="A14100" s="6" t="n">
        <f aca="false">DATE(2026,8,8)</f>
        <v>46242</v>
      </c>
      <c r="B14100" s="4" t="s">
        <v>179</v>
      </c>
      <c r="C14100" s="4" t="n">
        <v>8</v>
      </c>
      <c r="D14100" s="4" t="n">
        <v>11</v>
      </c>
      <c r="E14100" s="4"/>
      <c r="F14100" s="4" t="n">
        <v>23</v>
      </c>
      <c r="G14100" s="4" t="n">
        <v>7</v>
      </c>
      <c r="H14100" s="4" t="n">
        <v>4</v>
      </c>
      <c r="I14100" s="4" t="str">
        <v>×</v>
      </c>
      <c r="J14100" s="4"/>
      <c r="K14100" s="4"/>
      <c r="L14100" s="4"/>
      <c r="M14100" s="7" t="s">
        <v>6871</v>
      </c>
    </row>
    <row r="14101" customFormat="false" ht="15.75" hidden="false" customHeight="false" outlineLevel="0" collapsed="false">
      <c r="A14101" s="6" t="n">
        <f aca="false">DATE(2026,8,8)</f>
        <v>46242</v>
      </c>
      <c r="B14101" s="4" t="s">
        <v>179</v>
      </c>
      <c r="C14101" s="4" t="n">
        <v>8</v>
      </c>
      <c r="D14101" s="4" t="n">
        <v>3</v>
      </c>
      <c r="E14101" s="4" t="s">
        <v>5032</v>
      </c>
      <c r="F14101" s="4" t="n">
        <v>15</v>
      </c>
      <c r="G14101" s="4" t="n">
        <v>8</v>
      </c>
      <c r="H14101" s="4" t="n">
        <v>2</v>
      </c>
      <c r="I14101" s="4" t="str">
        <v>○</v>
      </c>
      <c r="J14101" s="4" t="n">
        <v>720</v>
      </c>
      <c r="K14101" s="4"/>
      <c r="L14101" s="4"/>
      <c r="M14101" s="7" t="s">
        <v>6871</v>
      </c>
    </row>
    <row r="14102" customFormat="false" ht="15.75" hidden="false" customHeight="false" outlineLevel="0" collapsed="false">
      <c r="A14102" s="6" t="n">
        <f aca="false">DATE(2026,8,8)</f>
        <v>46242</v>
      </c>
      <c r="B14102" s="4" t="s">
        <v>179</v>
      </c>
      <c r="C14102" s="4" t="n">
        <v>8</v>
      </c>
      <c r="D14102" s="4" t="n">
        <v>4</v>
      </c>
      <c r="E14102" s="4"/>
      <c r="F14102" s="4" t="n">
        <v>13</v>
      </c>
      <c r="G14102" s="4" t="n">
        <v>9</v>
      </c>
      <c r="H14102" s="4" t="n">
        <v>4</v>
      </c>
      <c r="I14102" s="4" t="str">
        <v>×</v>
      </c>
      <c r="J14102" s="4"/>
      <c r="K14102" s="4"/>
      <c r="L14102" s="4"/>
      <c r="M14102" s="7" t="s">
        <v>6871</v>
      </c>
    </row>
    <row r="14103" customFormat="false" ht="15.75" hidden="false" customHeight="false" outlineLevel="0" collapsed="false">
      <c r="A14103" s="6" t="n">
        <f aca="false">DATE(2026,8,8)</f>
        <v>46242</v>
      </c>
      <c r="B14103" s="4" t="s">
        <v>179</v>
      </c>
      <c r="C14103" s="4" t="n">
        <v>8</v>
      </c>
      <c r="D14103" s="4" t="n">
        <v>7</v>
      </c>
      <c r="E14103" s="4"/>
      <c r="F14103" s="4" t="n">
        <v>13</v>
      </c>
      <c r="G14103" s="4" t="n">
        <v>10</v>
      </c>
      <c r="H14103" s="4" t="n">
        <v>4</v>
      </c>
      <c r="I14103" s="4" t="str">
        <v>×</v>
      </c>
      <c r="J14103" s="4"/>
      <c r="K14103" s="4"/>
      <c r="L14103" s="4"/>
      <c r="M14103" s="7" t="s">
        <v>6871</v>
      </c>
    </row>
    <row r="14104" customFormat="false" ht="15.75" hidden="false" customHeight="false" outlineLevel="0" collapsed="false">
      <c r="A14104" s="6" t="n">
        <f aca="false">DATE(2026,8,8)</f>
        <v>46242</v>
      </c>
      <c r="B14104" s="4" t="s">
        <v>179</v>
      </c>
      <c r="C14104" s="4" t="n">
        <v>8</v>
      </c>
      <c r="D14104" s="4" t="n">
        <v>1</v>
      </c>
      <c r="E14104" s="4"/>
      <c r="F14104" s="4" t="n">
        <v>4</v>
      </c>
      <c r="G14104" s="4" t="n">
        <v>11</v>
      </c>
      <c r="H14104" s="4" t="n">
        <v>4</v>
      </c>
      <c r="I14104" s="4" t="str">
        <v>×</v>
      </c>
      <c r="J14104" s="4"/>
      <c r="K14104" s="4"/>
      <c r="L14104" s="4"/>
      <c r="M14104" s="7" t="s">
        <v>6871</v>
      </c>
    </row>
    <row r="14105" customFormat="false" ht="15.75" hidden="false" customHeight="false" outlineLevel="0" collapsed="false">
      <c r="A14105" s="6" t="n">
        <f aca="false">DATE(2026,8,8)</f>
        <v>46242</v>
      </c>
      <c r="B14105" s="4" t="s">
        <v>179</v>
      </c>
      <c r="C14105" s="4" t="n">
        <v>8</v>
      </c>
      <c r="D14105" s="4" t="n">
        <v>2</v>
      </c>
      <c r="E14105" s="4"/>
      <c r="F14105" s="4" t="n">
        <v>2</v>
      </c>
      <c r="G14105" s="4" t="n">
        <v>12</v>
      </c>
      <c r="H14105" s="4" t="n">
        <v>4</v>
      </c>
      <c r="I14105" s="4" t="str">
        <v>×</v>
      </c>
      <c r="J14105" s="4"/>
      <c r="K14105" s="4"/>
      <c r="L14105" s="4"/>
      <c r="M14105" s="7" t="s">
        <v>6871</v>
      </c>
    </row>
    <row r="14106" customFormat="false" ht="15.75" hidden="false" customHeight="false" outlineLevel="0" collapsed="false">
      <c r="A14106" s="6" t="n">
        <f aca="false">DATE(2026,8,8)</f>
        <v>46242</v>
      </c>
      <c r="B14106" s="4" t="s">
        <v>179</v>
      </c>
      <c r="C14106" s="4" t="n">
        <v>9</v>
      </c>
      <c r="D14106" s="4" t="n">
        <v>7</v>
      </c>
      <c r="E14106" s="4"/>
      <c r="F14106" s="4" t="n">
        <v>55</v>
      </c>
      <c r="G14106" s="4" t="n">
        <v>1</v>
      </c>
      <c r="H14106" s="4" t="n">
        <v>4</v>
      </c>
      <c r="I14106" s="4" t="str">
        <v>×</v>
      </c>
      <c r="J14106" s="4"/>
      <c r="K14106" s="4"/>
      <c r="L14106" s="4"/>
      <c r="M14106" s="7" t="s">
        <v>6871</v>
      </c>
    </row>
    <row r="14107" customFormat="false" ht="15.75" hidden="false" customHeight="false" outlineLevel="0" collapsed="false">
      <c r="A14107" s="6" t="n">
        <f aca="false">DATE(2026,8,8)</f>
        <v>46242</v>
      </c>
      <c r="B14107" s="4" t="s">
        <v>179</v>
      </c>
      <c r="C14107" s="4" t="n">
        <v>9</v>
      </c>
      <c r="D14107" s="4" t="n">
        <v>3</v>
      </c>
      <c r="E14107" s="4" t="s">
        <v>1880</v>
      </c>
      <c r="F14107" s="4" t="n">
        <v>37</v>
      </c>
      <c r="G14107" s="4" t="n">
        <v>2</v>
      </c>
      <c r="H14107" s="4" t="n">
        <v>1</v>
      </c>
      <c r="I14107" s="4" t="str">
        <v>○</v>
      </c>
      <c r="J14107" s="4" t="n">
        <v>230</v>
      </c>
      <c r="K14107" s="4"/>
      <c r="L14107" s="4"/>
      <c r="M14107" s="7" t="s">
        <v>6871</v>
      </c>
    </row>
    <row r="14108" customFormat="false" ht="15.75" hidden="false" customHeight="false" outlineLevel="0" collapsed="false">
      <c r="A14108" s="6" t="n">
        <f aca="false">DATE(2026,8,8)</f>
        <v>46242</v>
      </c>
      <c r="B14108" s="4" t="s">
        <v>179</v>
      </c>
      <c r="C14108" s="4" t="n">
        <v>9</v>
      </c>
      <c r="D14108" s="4" t="n">
        <v>9</v>
      </c>
      <c r="E14108" s="4"/>
      <c r="F14108" s="4" t="n">
        <v>37</v>
      </c>
      <c r="G14108" s="4" t="n">
        <v>3</v>
      </c>
      <c r="H14108" s="4" t="n">
        <v>4</v>
      </c>
      <c r="I14108" s="4" t="str">
        <v>×</v>
      </c>
      <c r="J14108" s="4"/>
      <c r="K14108" s="4"/>
      <c r="L14108" s="4"/>
      <c r="M14108" s="7" t="s">
        <v>6871</v>
      </c>
    </row>
    <row r="14109" customFormat="false" ht="15.75" hidden="false" customHeight="false" outlineLevel="0" collapsed="false">
      <c r="A14109" s="6" t="n">
        <f aca="false">DATE(2026,8,8)</f>
        <v>46242</v>
      </c>
      <c r="B14109" s="4" t="s">
        <v>179</v>
      </c>
      <c r="C14109" s="4" t="n">
        <v>9</v>
      </c>
      <c r="D14109" s="4" t="n">
        <v>1</v>
      </c>
      <c r="E14109" s="4"/>
      <c r="F14109" s="4" t="n">
        <v>31</v>
      </c>
      <c r="G14109" s="4" t="n">
        <v>4</v>
      </c>
      <c r="H14109" s="4" t="n">
        <v>4</v>
      </c>
      <c r="I14109" s="4" t="str">
        <v>×</v>
      </c>
      <c r="J14109" s="4"/>
      <c r="K14109" s="4"/>
      <c r="L14109" s="4"/>
      <c r="M14109" s="7" t="s">
        <v>6871</v>
      </c>
    </row>
    <row r="14110" customFormat="false" ht="15.75" hidden="false" customHeight="false" outlineLevel="0" collapsed="false">
      <c r="A14110" s="6" t="n">
        <f aca="false">DATE(2026,8,8)</f>
        <v>46242</v>
      </c>
      <c r="B14110" s="4" t="s">
        <v>179</v>
      </c>
      <c r="C14110" s="4" t="n">
        <v>9</v>
      </c>
      <c r="D14110" s="4" t="n">
        <v>4</v>
      </c>
      <c r="E14110" s="4" t="s">
        <v>6107</v>
      </c>
      <c r="F14110" s="4" t="n">
        <v>31</v>
      </c>
      <c r="G14110" s="4" t="n">
        <v>5</v>
      </c>
      <c r="H14110" s="4" t="n">
        <v>3</v>
      </c>
      <c r="I14110" s="4" t="str">
        <v>○</v>
      </c>
      <c r="J14110" s="4" t="n">
        <v>440</v>
      </c>
      <c r="K14110" s="4"/>
      <c r="L14110" s="4"/>
      <c r="M14110" s="7" t="s">
        <v>6871</v>
      </c>
    </row>
    <row r="14111" customFormat="false" ht="15.75" hidden="false" customHeight="false" outlineLevel="0" collapsed="false">
      <c r="A14111" s="6" t="n">
        <f aca="false">DATE(2026,8,8)</f>
        <v>46242</v>
      </c>
      <c r="B14111" s="4" t="s">
        <v>179</v>
      </c>
      <c r="C14111" s="4" t="n">
        <v>9</v>
      </c>
      <c r="D14111" s="4" t="n">
        <v>10</v>
      </c>
      <c r="E14111" s="4" t="s">
        <v>1870</v>
      </c>
      <c r="F14111" s="4" t="n">
        <v>31</v>
      </c>
      <c r="G14111" s="4" t="n">
        <v>6</v>
      </c>
      <c r="H14111" s="4" t="n">
        <v>2</v>
      </c>
      <c r="I14111" s="4" t="str">
        <v>○</v>
      </c>
      <c r="J14111" s="4" t="n">
        <v>1310</v>
      </c>
      <c r="K14111" s="4"/>
      <c r="L14111" s="4"/>
      <c r="M14111" s="7" t="s">
        <v>6871</v>
      </c>
    </row>
    <row r="14112" customFormat="false" ht="15.75" hidden="false" customHeight="false" outlineLevel="0" collapsed="false">
      <c r="A14112" s="6" t="n">
        <f aca="false">DATE(2026,8,8)</f>
        <v>46242</v>
      </c>
      <c r="B14112" s="4" t="s">
        <v>179</v>
      </c>
      <c r="C14112" s="4" t="n">
        <v>9</v>
      </c>
      <c r="D14112" s="4" t="n">
        <v>8</v>
      </c>
      <c r="E14112" s="4"/>
      <c r="F14112" s="4" t="n">
        <v>27</v>
      </c>
      <c r="G14112" s="4" t="n">
        <v>7</v>
      </c>
      <c r="H14112" s="4" t="n">
        <v>4</v>
      </c>
      <c r="I14112" s="4" t="str">
        <v>×</v>
      </c>
      <c r="J14112" s="4"/>
      <c r="K14112" s="4"/>
      <c r="L14112" s="4"/>
      <c r="M14112" s="7" t="s">
        <v>6871</v>
      </c>
    </row>
    <row r="14113" customFormat="false" ht="15.75" hidden="false" customHeight="false" outlineLevel="0" collapsed="false">
      <c r="A14113" s="6" t="n">
        <f aca="false">DATE(2026,8,8)</f>
        <v>46242</v>
      </c>
      <c r="B14113" s="4" t="s">
        <v>179</v>
      </c>
      <c r="C14113" s="4" t="n">
        <v>9</v>
      </c>
      <c r="D14113" s="4" t="n">
        <v>2</v>
      </c>
      <c r="E14113" s="4"/>
      <c r="F14113" s="4" t="n">
        <v>24</v>
      </c>
      <c r="G14113" s="4" t="n">
        <v>8</v>
      </c>
      <c r="H14113" s="4" t="n">
        <v>4</v>
      </c>
      <c r="I14113" s="4" t="str">
        <v>×</v>
      </c>
      <c r="J14113" s="4"/>
      <c r="K14113" s="4"/>
      <c r="L14113" s="4"/>
      <c r="M14113" s="7" t="s">
        <v>6871</v>
      </c>
    </row>
    <row r="14114" customFormat="false" ht="15.75" hidden="false" customHeight="false" outlineLevel="0" collapsed="false">
      <c r="A14114" s="6" t="n">
        <f aca="false">DATE(2026,8,8)</f>
        <v>46242</v>
      </c>
      <c r="B14114" s="4" t="s">
        <v>179</v>
      </c>
      <c r="C14114" s="4" t="n">
        <v>9</v>
      </c>
      <c r="D14114" s="4" t="n">
        <v>6</v>
      </c>
      <c r="E14114" s="4"/>
      <c r="F14114" s="4" t="n">
        <v>21</v>
      </c>
      <c r="G14114" s="4" t="n">
        <v>9</v>
      </c>
      <c r="H14114" s="4" t="n">
        <v>4</v>
      </c>
      <c r="I14114" s="4" t="str">
        <v>×</v>
      </c>
      <c r="J14114" s="4"/>
      <c r="K14114" s="4"/>
      <c r="L14114" s="4"/>
      <c r="M14114" s="7" t="s">
        <v>6871</v>
      </c>
    </row>
    <row r="14115" customFormat="false" ht="15.75" hidden="false" customHeight="false" outlineLevel="0" collapsed="false">
      <c r="A14115" s="6" t="n">
        <f aca="false">DATE(2026,8,8)</f>
        <v>46242</v>
      </c>
      <c r="B14115" s="4" t="s">
        <v>179</v>
      </c>
      <c r="C14115" s="4" t="n">
        <v>9</v>
      </c>
      <c r="D14115" s="4" t="n">
        <v>5</v>
      </c>
      <c r="E14115" s="4"/>
      <c r="F14115" s="4" t="n">
        <v>12</v>
      </c>
      <c r="G14115" s="4" t="n">
        <v>10</v>
      </c>
      <c r="H14115" s="4" t="n">
        <v>4</v>
      </c>
      <c r="I14115" s="4" t="str">
        <v>×</v>
      </c>
      <c r="J14115" s="4"/>
      <c r="K14115" s="4"/>
      <c r="L14115" s="4"/>
      <c r="M14115" s="7" t="s">
        <v>6871</v>
      </c>
    </row>
    <row r="14116" customFormat="false" ht="15.75" hidden="false" customHeight="false" outlineLevel="0" collapsed="false">
      <c r="A14116" s="6" t="n">
        <f aca="false">DATE(2026,8,8)</f>
        <v>46242</v>
      </c>
      <c r="B14116" s="4" t="s">
        <v>179</v>
      </c>
      <c r="C14116" s="4" t="n">
        <v>10</v>
      </c>
      <c r="D14116" s="4" t="n">
        <v>4</v>
      </c>
      <c r="E14116" s="4" t="s">
        <v>4992</v>
      </c>
      <c r="F14116" s="4" t="n">
        <v>56</v>
      </c>
      <c r="G14116" s="4" t="n">
        <v>1</v>
      </c>
      <c r="H14116" s="4" t="n">
        <v>2</v>
      </c>
      <c r="I14116" s="4" t="str">
        <v>○</v>
      </c>
      <c r="J14116" s="4" t="n">
        <v>150</v>
      </c>
      <c r="K14116" s="4"/>
      <c r="L14116" s="4"/>
      <c r="M14116" s="7" t="s">
        <v>6871</v>
      </c>
    </row>
    <row r="14117" customFormat="false" ht="15.75" hidden="false" customHeight="false" outlineLevel="0" collapsed="false">
      <c r="A14117" s="6" t="n">
        <f aca="false">DATE(2026,8,8)</f>
        <v>46242</v>
      </c>
      <c r="B14117" s="4" t="s">
        <v>179</v>
      </c>
      <c r="C14117" s="4" t="n">
        <v>10</v>
      </c>
      <c r="D14117" s="4" t="n">
        <v>16</v>
      </c>
      <c r="E14117" s="4" t="s">
        <v>4987</v>
      </c>
      <c r="F14117" s="4" t="n">
        <v>44</v>
      </c>
      <c r="G14117" s="4" t="n">
        <v>2</v>
      </c>
      <c r="H14117" s="4" t="n">
        <v>3</v>
      </c>
      <c r="I14117" s="4" t="str">
        <v>○</v>
      </c>
      <c r="J14117" s="4" t="n">
        <v>210</v>
      </c>
      <c r="K14117" s="4"/>
      <c r="L14117" s="4"/>
      <c r="M14117" s="7" t="s">
        <v>6871</v>
      </c>
    </row>
    <row r="14118" customFormat="false" ht="15.75" hidden="false" customHeight="false" outlineLevel="0" collapsed="false">
      <c r="A14118" s="6" t="n">
        <f aca="false">DATE(2026,8,8)</f>
        <v>46242</v>
      </c>
      <c r="B14118" s="4" t="s">
        <v>179</v>
      </c>
      <c r="C14118" s="4" t="n">
        <v>10</v>
      </c>
      <c r="D14118" s="4" t="n">
        <v>14</v>
      </c>
      <c r="E14118" s="4"/>
      <c r="F14118" s="4" t="n">
        <v>50</v>
      </c>
      <c r="G14118" s="4" t="n">
        <v>3</v>
      </c>
      <c r="H14118" s="4" t="n">
        <v>4</v>
      </c>
      <c r="I14118" s="4" t="str">
        <v>×</v>
      </c>
      <c r="J14118" s="4"/>
      <c r="K14118" s="4"/>
      <c r="L14118" s="4"/>
      <c r="M14118" s="7" t="s">
        <v>6871</v>
      </c>
    </row>
    <row r="14119" customFormat="false" ht="15.75" hidden="false" customHeight="false" outlineLevel="0" collapsed="false">
      <c r="A14119" s="6" t="n">
        <f aca="false">DATE(2026,8,8)</f>
        <v>46242</v>
      </c>
      <c r="B14119" s="4" t="s">
        <v>179</v>
      </c>
      <c r="C14119" s="4" t="n">
        <v>10</v>
      </c>
      <c r="D14119" s="4" t="n">
        <v>15</v>
      </c>
      <c r="E14119" s="4" t="s">
        <v>1119</v>
      </c>
      <c r="F14119" s="4" t="n">
        <v>34</v>
      </c>
      <c r="G14119" s="4" t="n">
        <v>4</v>
      </c>
      <c r="H14119" s="4" t="n">
        <v>1</v>
      </c>
      <c r="I14119" s="4" t="str">
        <v>○</v>
      </c>
      <c r="J14119" s="4" t="n">
        <v>190</v>
      </c>
      <c r="K14119" s="4"/>
      <c r="L14119" s="4"/>
      <c r="M14119" s="7" t="s">
        <v>6871</v>
      </c>
    </row>
    <row r="14120" customFormat="false" ht="15.75" hidden="false" customHeight="false" outlineLevel="0" collapsed="false">
      <c r="A14120" s="6" t="n">
        <f aca="false">DATE(2026,8,8)</f>
        <v>46242</v>
      </c>
      <c r="B14120" s="4" t="s">
        <v>179</v>
      </c>
      <c r="C14120" s="4" t="n">
        <v>10</v>
      </c>
      <c r="D14120" s="4" t="n">
        <v>2</v>
      </c>
      <c r="E14120" s="4"/>
      <c r="F14120" s="4" t="n">
        <v>25</v>
      </c>
      <c r="G14120" s="4" t="n">
        <v>5</v>
      </c>
      <c r="H14120" s="4" t="n">
        <v>4</v>
      </c>
      <c r="I14120" s="4" t="str">
        <v>×</v>
      </c>
      <c r="J14120" s="4"/>
      <c r="K14120" s="4"/>
      <c r="L14120" s="4"/>
      <c r="M14120" s="7" t="s">
        <v>6871</v>
      </c>
    </row>
    <row r="14121" customFormat="false" ht="15.75" hidden="false" customHeight="false" outlineLevel="0" collapsed="false">
      <c r="A14121" s="6" t="n">
        <f aca="false">DATE(2026,8,8)</f>
        <v>46242</v>
      </c>
      <c r="B14121" s="4" t="s">
        <v>179</v>
      </c>
      <c r="C14121" s="4" t="n">
        <v>10</v>
      </c>
      <c r="D14121" s="4" t="n">
        <v>10</v>
      </c>
      <c r="E14121" s="4"/>
      <c r="F14121" s="4" t="n">
        <v>15</v>
      </c>
      <c r="G14121" s="4" t="n">
        <v>6</v>
      </c>
      <c r="H14121" s="4" t="n">
        <v>4</v>
      </c>
      <c r="I14121" s="4" t="str">
        <v>×</v>
      </c>
      <c r="J14121" s="4"/>
      <c r="K14121" s="4"/>
      <c r="L14121" s="4"/>
      <c r="M14121" s="7" t="s">
        <v>6871</v>
      </c>
    </row>
    <row r="14122" customFormat="false" ht="15.75" hidden="false" customHeight="false" outlineLevel="0" collapsed="false">
      <c r="A14122" s="6" t="n">
        <f aca="false">DATE(2026,8,8)</f>
        <v>46242</v>
      </c>
      <c r="B14122" s="4" t="s">
        <v>179</v>
      </c>
      <c r="C14122" s="4" t="n">
        <v>10</v>
      </c>
      <c r="D14122" s="4" t="n">
        <v>3</v>
      </c>
      <c r="E14122" s="4"/>
      <c r="F14122" s="4" t="n">
        <v>10</v>
      </c>
      <c r="G14122" s="4" t="n">
        <v>7</v>
      </c>
      <c r="H14122" s="4" t="n">
        <v>4</v>
      </c>
      <c r="I14122" s="4" t="str">
        <v>×</v>
      </c>
      <c r="J14122" s="4"/>
      <c r="K14122" s="4"/>
      <c r="L14122" s="4"/>
      <c r="M14122" s="7" t="s">
        <v>6871</v>
      </c>
    </row>
    <row r="14123" customFormat="false" ht="15.75" hidden="false" customHeight="false" outlineLevel="0" collapsed="false">
      <c r="A14123" s="6" t="n">
        <f aca="false">DATE(2026,8,8)</f>
        <v>46242</v>
      </c>
      <c r="B14123" s="4" t="s">
        <v>179</v>
      </c>
      <c r="C14123" s="4" t="n">
        <v>10</v>
      </c>
      <c r="D14123" s="4" t="n">
        <v>8</v>
      </c>
      <c r="E14123" s="4"/>
      <c r="F14123" s="4" t="n">
        <v>10</v>
      </c>
      <c r="G14123" s="4" t="n">
        <v>8</v>
      </c>
      <c r="H14123" s="4" t="n">
        <v>4</v>
      </c>
      <c r="I14123" s="4" t="str">
        <v>×</v>
      </c>
      <c r="J14123" s="4"/>
      <c r="K14123" s="4"/>
      <c r="L14123" s="4"/>
      <c r="M14123" s="7" t="s">
        <v>6871</v>
      </c>
    </row>
    <row r="14124" customFormat="false" ht="15.75" hidden="false" customHeight="false" outlineLevel="0" collapsed="false">
      <c r="A14124" s="6" t="n">
        <f aca="false">DATE(2026,8,8)</f>
        <v>46242</v>
      </c>
      <c r="B14124" s="4" t="s">
        <v>179</v>
      </c>
      <c r="C14124" s="4" t="n">
        <v>10</v>
      </c>
      <c r="D14124" s="4" t="n">
        <v>9</v>
      </c>
      <c r="E14124" s="4"/>
      <c r="F14124" s="4" t="n">
        <v>10</v>
      </c>
      <c r="G14124" s="4" t="n">
        <v>9</v>
      </c>
      <c r="H14124" s="4" t="n">
        <v>4</v>
      </c>
      <c r="I14124" s="4" t="str">
        <v>×</v>
      </c>
      <c r="J14124" s="4"/>
      <c r="K14124" s="4"/>
      <c r="L14124" s="4"/>
      <c r="M14124" s="7" t="s">
        <v>6871</v>
      </c>
    </row>
    <row r="14125" customFormat="false" ht="15.75" hidden="false" customHeight="false" outlineLevel="0" collapsed="false">
      <c r="A14125" s="6" t="n">
        <f aca="false">DATE(2026,8,8)</f>
        <v>46242</v>
      </c>
      <c r="B14125" s="4" t="s">
        <v>179</v>
      </c>
      <c r="C14125" s="4" t="n">
        <v>10</v>
      </c>
      <c r="D14125" s="4" t="n">
        <v>12</v>
      </c>
      <c r="E14125" s="4"/>
      <c r="F14125" s="4" t="n">
        <v>8</v>
      </c>
      <c r="G14125" s="4" t="n">
        <v>10</v>
      </c>
      <c r="H14125" s="4" t="n">
        <v>4</v>
      </c>
      <c r="I14125" s="4" t="str">
        <v>×</v>
      </c>
      <c r="J14125" s="4"/>
      <c r="K14125" s="4"/>
      <c r="L14125" s="4"/>
      <c r="M14125" s="7" t="s">
        <v>6871</v>
      </c>
    </row>
    <row r="14126" customFormat="false" ht="15.75" hidden="false" customHeight="false" outlineLevel="0" collapsed="false">
      <c r="A14126" s="6" t="n">
        <f aca="false">DATE(2026,8,8)</f>
        <v>46242</v>
      </c>
      <c r="B14126" s="4" t="s">
        <v>179</v>
      </c>
      <c r="C14126" s="4" t="n">
        <v>10</v>
      </c>
      <c r="D14126" s="4" t="n">
        <v>1</v>
      </c>
      <c r="E14126" s="4"/>
      <c r="F14126" s="4" t="n">
        <v>6</v>
      </c>
      <c r="G14126" s="4" t="n">
        <v>11</v>
      </c>
      <c r="H14126" s="4" t="n">
        <v>4</v>
      </c>
      <c r="I14126" s="4" t="str">
        <v>×</v>
      </c>
      <c r="J14126" s="4"/>
      <c r="K14126" s="4"/>
      <c r="L14126" s="4"/>
      <c r="M14126" s="7" t="s">
        <v>6871</v>
      </c>
    </row>
    <row r="14127" customFormat="false" ht="15.75" hidden="false" customHeight="false" outlineLevel="0" collapsed="false">
      <c r="A14127" s="6" t="n">
        <f aca="false">DATE(2026,8,8)</f>
        <v>46242</v>
      </c>
      <c r="B14127" s="4" t="s">
        <v>179</v>
      </c>
      <c r="C14127" s="4" t="n">
        <v>10</v>
      </c>
      <c r="D14127" s="4" t="n">
        <v>6</v>
      </c>
      <c r="E14127" s="4"/>
      <c r="F14127" s="4" t="n">
        <v>6</v>
      </c>
      <c r="G14127" s="4" t="n">
        <v>12</v>
      </c>
      <c r="H14127" s="4" t="n">
        <v>4</v>
      </c>
      <c r="I14127" s="4" t="str">
        <v>×</v>
      </c>
      <c r="J14127" s="4"/>
      <c r="K14127" s="4"/>
      <c r="L14127" s="4"/>
      <c r="M14127" s="7" t="s">
        <v>6871</v>
      </c>
    </row>
    <row r="14128" customFormat="false" ht="15.75" hidden="false" customHeight="false" outlineLevel="0" collapsed="false">
      <c r="A14128" s="6" t="n">
        <f aca="false">DATE(2026,8,8)</f>
        <v>46242</v>
      </c>
      <c r="B14128" s="4" t="s">
        <v>179</v>
      </c>
      <c r="C14128" s="4" t="n">
        <v>10</v>
      </c>
      <c r="D14128" s="4" t="n">
        <v>7</v>
      </c>
      <c r="E14128" s="4"/>
      <c r="F14128" s="4" t="n">
        <v>6</v>
      </c>
      <c r="G14128" s="4" t="n">
        <v>13</v>
      </c>
      <c r="H14128" s="4" t="n">
        <v>4</v>
      </c>
      <c r="I14128" s="4" t="str">
        <v>×</v>
      </c>
      <c r="J14128" s="4"/>
      <c r="K14128" s="4"/>
      <c r="L14128" s="4"/>
      <c r="M14128" s="7" t="s">
        <v>6871</v>
      </c>
    </row>
    <row r="14129" customFormat="false" ht="15.75" hidden="false" customHeight="false" outlineLevel="0" collapsed="false">
      <c r="A14129" s="6" t="n">
        <f aca="false">DATE(2026,8,8)</f>
        <v>46242</v>
      </c>
      <c r="B14129" s="4" t="s">
        <v>179</v>
      </c>
      <c r="C14129" s="4" t="n">
        <v>10</v>
      </c>
      <c r="D14129" s="4" t="n">
        <v>5</v>
      </c>
      <c r="E14129" s="4"/>
      <c r="F14129" s="4" t="n">
        <v>3</v>
      </c>
      <c r="G14129" s="4" t="n">
        <v>14</v>
      </c>
      <c r="H14129" s="4" t="n">
        <v>4</v>
      </c>
      <c r="I14129" s="4" t="str">
        <v>×</v>
      </c>
      <c r="J14129" s="4"/>
      <c r="K14129" s="4"/>
      <c r="L14129" s="4"/>
      <c r="M14129" s="7" t="s">
        <v>6871</v>
      </c>
    </row>
    <row r="14130" customFormat="false" ht="15.75" hidden="false" customHeight="false" outlineLevel="0" collapsed="false">
      <c r="A14130" s="6" t="n">
        <f aca="false">DATE(2026,8,8)</f>
        <v>46242</v>
      </c>
      <c r="B14130" s="4" t="s">
        <v>179</v>
      </c>
      <c r="C14130" s="4" t="n">
        <v>10</v>
      </c>
      <c r="D14130" s="4" t="n">
        <v>13</v>
      </c>
      <c r="E14130" s="4"/>
      <c r="F14130" s="4" t="n">
        <v>3</v>
      </c>
      <c r="G14130" s="4" t="n">
        <v>15</v>
      </c>
      <c r="H14130" s="4" t="n">
        <v>4</v>
      </c>
      <c r="I14130" s="4" t="str">
        <v>×</v>
      </c>
      <c r="J14130" s="4"/>
      <c r="K14130" s="4"/>
      <c r="L14130" s="4"/>
      <c r="M14130" s="7" t="s">
        <v>6871</v>
      </c>
    </row>
    <row r="14131" customFormat="false" ht="15.75" hidden="false" customHeight="false" outlineLevel="0" collapsed="false">
      <c r="A14131" s="6" t="n">
        <f aca="false">DATE(2026,8,8)</f>
        <v>46242</v>
      </c>
      <c r="B14131" s="4" t="s">
        <v>179</v>
      </c>
      <c r="C14131" s="4" t="n">
        <v>10</v>
      </c>
      <c r="D14131" s="4" t="n">
        <v>11</v>
      </c>
      <c r="E14131" s="4"/>
      <c r="F14131" s="4" t="n">
        <v>2</v>
      </c>
      <c r="G14131" s="4" t="n">
        <v>16</v>
      </c>
      <c r="H14131" s="4" t="n">
        <v>4</v>
      </c>
      <c r="I14131" s="4" t="str">
        <v>×</v>
      </c>
      <c r="J14131" s="4"/>
      <c r="K14131" s="4"/>
      <c r="L14131" s="4"/>
      <c r="M14131" s="7" t="s">
        <v>6871</v>
      </c>
    </row>
    <row r="14132" customFormat="false" ht="15.75" hidden="false" customHeight="false" outlineLevel="0" collapsed="false">
      <c r="A14132" s="6" t="n">
        <f aca="false">DATE(2026,8,8)</f>
        <v>46242</v>
      </c>
      <c r="B14132" s="4" t="s">
        <v>179</v>
      </c>
      <c r="C14132" s="4" t="n">
        <v>11</v>
      </c>
      <c r="D14132" s="4" t="n">
        <v>4</v>
      </c>
      <c r="E14132" s="4" t="s">
        <v>6878</v>
      </c>
      <c r="F14132" s="4" t="n">
        <v>74</v>
      </c>
      <c r="G14132" s="4" t="n">
        <v>1</v>
      </c>
      <c r="H14132" s="4" t="n">
        <v>1</v>
      </c>
      <c r="I14132" s="4" t="str">
        <v>○</v>
      </c>
      <c r="J14132" s="4" t="n">
        <v>110</v>
      </c>
      <c r="K14132" s="4"/>
      <c r="L14132" s="4"/>
      <c r="M14132" s="7" t="s">
        <v>6871</v>
      </c>
    </row>
    <row r="14133" customFormat="false" ht="15.75" hidden="false" customHeight="false" outlineLevel="0" collapsed="false">
      <c r="A14133" s="6" t="n">
        <f aca="false">DATE(2026,8,8)</f>
        <v>46242</v>
      </c>
      <c r="B14133" s="4" t="s">
        <v>179</v>
      </c>
      <c r="C14133" s="4" t="n">
        <v>11</v>
      </c>
      <c r="D14133" s="4" t="n">
        <v>9</v>
      </c>
      <c r="E14133" s="4" t="s">
        <v>5775</v>
      </c>
      <c r="F14133" s="4" t="n">
        <v>34</v>
      </c>
      <c r="G14133" s="4" t="n">
        <v>2</v>
      </c>
      <c r="H14133" s="4" t="n">
        <v>3</v>
      </c>
      <c r="I14133" s="4" t="str">
        <v>○</v>
      </c>
      <c r="J14133" s="4" t="n">
        <v>200</v>
      </c>
      <c r="K14133" s="4"/>
      <c r="L14133" s="4"/>
      <c r="M14133" s="7" t="s">
        <v>6871</v>
      </c>
    </row>
    <row r="14134" customFormat="false" ht="15.75" hidden="false" customHeight="false" outlineLevel="0" collapsed="false">
      <c r="A14134" s="6" t="n">
        <f aca="false">DATE(2026,8,8)</f>
        <v>46242</v>
      </c>
      <c r="B14134" s="4" t="s">
        <v>179</v>
      </c>
      <c r="C14134" s="4" t="n">
        <v>11</v>
      </c>
      <c r="D14134" s="4" t="n">
        <v>12</v>
      </c>
      <c r="E14134" s="4"/>
      <c r="F14134" s="4" t="n">
        <v>52</v>
      </c>
      <c r="G14134" s="4" t="n">
        <v>3</v>
      </c>
      <c r="H14134" s="4" t="n">
        <v>4</v>
      </c>
      <c r="I14134" s="4" t="str">
        <v>×</v>
      </c>
      <c r="J14134" s="4"/>
      <c r="K14134" s="4"/>
      <c r="L14134" s="4"/>
      <c r="M14134" s="7" t="s">
        <v>6871</v>
      </c>
    </row>
    <row r="14135" customFormat="false" ht="15.75" hidden="false" customHeight="false" outlineLevel="0" collapsed="false">
      <c r="A14135" s="6" t="n">
        <f aca="false">DATE(2026,8,8)</f>
        <v>46242</v>
      </c>
      <c r="B14135" s="4" t="s">
        <v>179</v>
      </c>
      <c r="C14135" s="4" t="n">
        <v>11</v>
      </c>
      <c r="D14135" s="4" t="n">
        <v>6</v>
      </c>
      <c r="E14135" s="4"/>
      <c r="F14135" s="4" t="n">
        <v>31</v>
      </c>
      <c r="G14135" s="4" t="n">
        <v>4</v>
      </c>
      <c r="H14135" s="4" t="n">
        <v>4</v>
      </c>
      <c r="I14135" s="4" t="str">
        <v>×</v>
      </c>
      <c r="J14135" s="4"/>
      <c r="K14135" s="4"/>
      <c r="L14135" s="4"/>
      <c r="M14135" s="7" t="s">
        <v>6871</v>
      </c>
    </row>
    <row r="14136" customFormat="false" ht="15.75" hidden="false" customHeight="false" outlineLevel="0" collapsed="false">
      <c r="A14136" s="6" t="n">
        <f aca="false">DATE(2026,8,8)</f>
        <v>46242</v>
      </c>
      <c r="B14136" s="4" t="s">
        <v>179</v>
      </c>
      <c r="C14136" s="4" t="n">
        <v>11</v>
      </c>
      <c r="D14136" s="4" t="n">
        <v>1</v>
      </c>
      <c r="E14136" s="4"/>
      <c r="F14136" s="4" t="n">
        <v>25</v>
      </c>
      <c r="G14136" s="4" t="n">
        <v>5</v>
      </c>
      <c r="H14136" s="4" t="n">
        <v>4</v>
      </c>
      <c r="I14136" s="4" t="str">
        <v>×</v>
      </c>
      <c r="J14136" s="4"/>
      <c r="K14136" s="4"/>
      <c r="L14136" s="4"/>
      <c r="M14136" s="7" t="s">
        <v>6871</v>
      </c>
    </row>
    <row r="14137" customFormat="false" ht="15.75" hidden="false" customHeight="false" outlineLevel="0" collapsed="false">
      <c r="A14137" s="6" t="n">
        <f aca="false">DATE(2026,8,8)</f>
        <v>46242</v>
      </c>
      <c r="B14137" s="4" t="s">
        <v>179</v>
      </c>
      <c r="C14137" s="4" t="n">
        <v>11</v>
      </c>
      <c r="D14137" s="4" t="n">
        <v>3</v>
      </c>
      <c r="E14137" s="4"/>
      <c r="F14137" s="4" t="n">
        <v>25</v>
      </c>
      <c r="G14137" s="4" t="n">
        <v>6</v>
      </c>
      <c r="H14137" s="4" t="n">
        <v>4</v>
      </c>
      <c r="I14137" s="4" t="str">
        <v>×</v>
      </c>
      <c r="J14137" s="4"/>
      <c r="K14137" s="4"/>
      <c r="L14137" s="4"/>
      <c r="M14137" s="7" t="s">
        <v>6871</v>
      </c>
    </row>
    <row r="14138" customFormat="false" ht="15.75" hidden="false" customHeight="false" outlineLevel="0" collapsed="false">
      <c r="A14138" s="6" t="n">
        <f aca="false">DATE(2026,8,8)</f>
        <v>46242</v>
      </c>
      <c r="B14138" s="4" t="s">
        <v>179</v>
      </c>
      <c r="C14138" s="4" t="n">
        <v>11</v>
      </c>
      <c r="D14138" s="4" t="n">
        <v>5</v>
      </c>
      <c r="E14138" s="4" t="s">
        <v>6246</v>
      </c>
      <c r="F14138" s="4" t="n">
        <v>13</v>
      </c>
      <c r="G14138" s="4" t="n">
        <v>7</v>
      </c>
      <c r="H14138" s="4" t="n">
        <v>2</v>
      </c>
      <c r="I14138" s="4" t="str">
        <v>○</v>
      </c>
      <c r="J14138" s="4" t="n">
        <v>610</v>
      </c>
      <c r="K14138" s="4"/>
      <c r="L14138" s="4"/>
      <c r="M14138" s="7" t="s">
        <v>6871</v>
      </c>
    </row>
    <row r="14139" customFormat="false" ht="15.75" hidden="false" customHeight="false" outlineLevel="0" collapsed="false">
      <c r="A14139" s="6" t="n">
        <f aca="false">DATE(2026,8,8)</f>
        <v>46242</v>
      </c>
      <c r="B14139" s="4" t="s">
        <v>179</v>
      </c>
      <c r="C14139" s="4" t="n">
        <v>11</v>
      </c>
      <c r="D14139" s="4" t="n">
        <v>2</v>
      </c>
      <c r="E14139" s="4"/>
      <c r="F14139" s="4" t="n">
        <v>10</v>
      </c>
      <c r="G14139" s="4" t="n">
        <v>8</v>
      </c>
      <c r="H14139" s="4" t="n">
        <v>4</v>
      </c>
      <c r="I14139" s="4" t="str">
        <v>×</v>
      </c>
      <c r="J14139" s="4"/>
      <c r="K14139" s="4"/>
      <c r="L14139" s="4"/>
      <c r="M14139" s="7" t="s">
        <v>6871</v>
      </c>
    </row>
    <row r="14140" customFormat="false" ht="15.75" hidden="false" customHeight="false" outlineLevel="0" collapsed="false">
      <c r="A14140" s="6" t="n">
        <f aca="false">DATE(2026,8,8)</f>
        <v>46242</v>
      </c>
      <c r="B14140" s="4" t="s">
        <v>179</v>
      </c>
      <c r="C14140" s="4" t="n">
        <v>11</v>
      </c>
      <c r="D14140" s="4" t="n">
        <v>10</v>
      </c>
      <c r="E14140" s="4"/>
      <c r="F14140" s="4" t="n">
        <v>10</v>
      </c>
      <c r="G14140" s="4" t="n">
        <v>9</v>
      </c>
      <c r="H14140" s="4" t="n">
        <v>4</v>
      </c>
      <c r="I14140" s="4" t="str">
        <v>×</v>
      </c>
      <c r="J14140" s="4"/>
      <c r="K14140" s="4"/>
      <c r="L14140" s="4"/>
      <c r="M14140" s="7" t="s">
        <v>6871</v>
      </c>
    </row>
    <row r="14141" customFormat="false" ht="15.75" hidden="false" customHeight="false" outlineLevel="0" collapsed="false">
      <c r="A14141" s="6" t="n">
        <f aca="false">DATE(2026,8,8)</f>
        <v>46242</v>
      </c>
      <c r="B14141" s="4" t="s">
        <v>179</v>
      </c>
      <c r="C14141" s="4" t="n">
        <v>11</v>
      </c>
      <c r="D14141" s="4" t="n">
        <v>7</v>
      </c>
      <c r="E14141" s="4"/>
      <c r="F14141" s="4" t="n">
        <v>8</v>
      </c>
      <c r="G14141" s="4" t="n">
        <v>10</v>
      </c>
      <c r="H14141" s="4" t="n">
        <v>4</v>
      </c>
      <c r="I14141" s="4" t="str">
        <v>×</v>
      </c>
      <c r="J14141" s="4"/>
      <c r="K14141" s="4"/>
      <c r="L14141" s="4"/>
      <c r="M14141" s="7" t="s">
        <v>6871</v>
      </c>
    </row>
    <row r="14142" customFormat="false" ht="15.75" hidden="false" customHeight="false" outlineLevel="0" collapsed="false">
      <c r="A14142" s="6" t="n">
        <f aca="false">DATE(2026,8,8)</f>
        <v>46242</v>
      </c>
      <c r="B14142" s="4" t="s">
        <v>179</v>
      </c>
      <c r="C14142" s="4" t="n">
        <v>11</v>
      </c>
      <c r="D14142" s="4" t="n">
        <v>11</v>
      </c>
      <c r="E14142" s="4"/>
      <c r="F14142" s="4" t="n">
        <v>6</v>
      </c>
      <c r="G14142" s="4" t="n">
        <v>11</v>
      </c>
      <c r="H14142" s="4" t="n">
        <v>4</v>
      </c>
      <c r="I14142" s="4" t="str">
        <v>×</v>
      </c>
      <c r="J14142" s="4"/>
      <c r="K14142" s="4"/>
      <c r="L14142" s="4"/>
      <c r="M14142" s="7" t="s">
        <v>6871</v>
      </c>
    </row>
    <row r="14143" customFormat="false" ht="15.75" hidden="false" customHeight="false" outlineLevel="0" collapsed="false">
      <c r="A14143" s="6" t="n">
        <f aca="false">DATE(2026,8,8)</f>
        <v>46242</v>
      </c>
      <c r="B14143" s="4" t="s">
        <v>179</v>
      </c>
      <c r="C14143" s="4" t="n">
        <v>11</v>
      </c>
      <c r="D14143" s="4" t="n">
        <v>8</v>
      </c>
      <c r="E14143" s="4"/>
      <c r="F14143" s="4" t="n">
        <v>2</v>
      </c>
      <c r="G14143" s="4" t="n">
        <v>12</v>
      </c>
      <c r="H14143" s="4" t="n">
        <v>4</v>
      </c>
      <c r="I14143" s="4" t="str">
        <v>×</v>
      </c>
      <c r="J14143" s="4"/>
      <c r="K14143" s="4"/>
      <c r="L14143" s="4"/>
      <c r="M14143" s="7" t="s">
        <v>6871</v>
      </c>
    </row>
    <row r="14144" customFormat="false" ht="15.75" hidden="false" customHeight="false" outlineLevel="0" collapsed="false">
      <c r="A14144" s="6" t="n">
        <f aca="false">DATE(2026,8,8)</f>
        <v>46242</v>
      </c>
      <c r="B14144" s="4" t="s">
        <v>179</v>
      </c>
      <c r="C14144" s="4" t="n">
        <v>12</v>
      </c>
      <c r="D14144" s="4" t="n">
        <v>12</v>
      </c>
      <c r="E14144" s="4"/>
      <c r="F14144" s="4" t="n">
        <v>52</v>
      </c>
      <c r="G14144" s="4" t="n">
        <v>1</v>
      </c>
      <c r="H14144" s="4" t="n">
        <v>4</v>
      </c>
      <c r="I14144" s="4" t="str">
        <v>×</v>
      </c>
      <c r="J14144" s="4"/>
      <c r="K14144" s="4"/>
      <c r="L14144" s="4"/>
      <c r="M14144" s="7" t="s">
        <v>6871</v>
      </c>
    </row>
    <row r="14145" customFormat="false" ht="15.75" hidden="false" customHeight="false" outlineLevel="0" collapsed="false">
      <c r="A14145" s="6" t="n">
        <f aca="false">DATE(2026,8,8)</f>
        <v>46242</v>
      </c>
      <c r="B14145" s="4" t="s">
        <v>179</v>
      </c>
      <c r="C14145" s="4" t="n">
        <v>12</v>
      </c>
      <c r="D14145" s="4" t="n">
        <v>15</v>
      </c>
      <c r="E14145" s="4" t="s">
        <v>5909</v>
      </c>
      <c r="F14145" s="4" t="n">
        <v>37</v>
      </c>
      <c r="G14145" s="4" t="n">
        <v>2</v>
      </c>
      <c r="H14145" s="4" t="n">
        <v>1</v>
      </c>
      <c r="I14145" s="4" t="str">
        <v>○</v>
      </c>
      <c r="J14145" s="4" t="n">
        <v>180</v>
      </c>
      <c r="K14145" s="4"/>
      <c r="L14145" s="4"/>
      <c r="M14145" s="7" t="s">
        <v>6871</v>
      </c>
    </row>
    <row r="14146" customFormat="false" ht="15.75" hidden="false" customHeight="false" outlineLevel="0" collapsed="false">
      <c r="A14146" s="6" t="n">
        <f aca="false">DATE(2026,8,8)</f>
        <v>46242</v>
      </c>
      <c r="B14146" s="4" t="s">
        <v>179</v>
      </c>
      <c r="C14146" s="4" t="n">
        <v>12</v>
      </c>
      <c r="D14146" s="4" t="n">
        <v>5</v>
      </c>
      <c r="E14146" s="4"/>
      <c r="F14146" s="4" t="n">
        <v>47</v>
      </c>
      <c r="G14146" s="4" t="n">
        <v>3</v>
      </c>
      <c r="H14146" s="4" t="n">
        <v>4</v>
      </c>
      <c r="I14146" s="4" t="str">
        <v>×</v>
      </c>
      <c r="J14146" s="4"/>
      <c r="K14146" s="4"/>
      <c r="L14146" s="4"/>
      <c r="M14146" s="7" t="s">
        <v>6871</v>
      </c>
    </row>
    <row r="14147" customFormat="false" ht="15.75" hidden="false" customHeight="false" outlineLevel="0" collapsed="false">
      <c r="A14147" s="6" t="n">
        <f aca="false">DATE(2026,8,8)</f>
        <v>46242</v>
      </c>
      <c r="B14147" s="4" t="s">
        <v>179</v>
      </c>
      <c r="C14147" s="4" t="n">
        <v>12</v>
      </c>
      <c r="D14147" s="4" t="n">
        <v>3</v>
      </c>
      <c r="E14147" s="4"/>
      <c r="F14147" s="4" t="n">
        <v>25</v>
      </c>
      <c r="G14147" s="4" t="n">
        <v>4</v>
      </c>
      <c r="H14147" s="4" t="n">
        <v>4</v>
      </c>
      <c r="I14147" s="4" t="str">
        <v>×</v>
      </c>
      <c r="J14147" s="4"/>
      <c r="K14147" s="4"/>
      <c r="L14147" s="4"/>
      <c r="M14147" s="7" t="s">
        <v>6871</v>
      </c>
    </row>
    <row r="14148" customFormat="false" ht="15.75" hidden="false" customHeight="false" outlineLevel="0" collapsed="false">
      <c r="A14148" s="6" t="n">
        <f aca="false">DATE(2026,8,8)</f>
        <v>46242</v>
      </c>
      <c r="B14148" s="4" t="s">
        <v>179</v>
      </c>
      <c r="C14148" s="4" t="n">
        <v>12</v>
      </c>
      <c r="D14148" s="4" t="n">
        <v>7</v>
      </c>
      <c r="E14148" s="4" t="s">
        <v>6879</v>
      </c>
      <c r="F14148" s="4" t="n">
        <v>25</v>
      </c>
      <c r="G14148" s="4" t="n">
        <v>5</v>
      </c>
      <c r="H14148" s="4" t="n">
        <v>2</v>
      </c>
      <c r="I14148" s="4" t="str">
        <v>○</v>
      </c>
      <c r="J14148" s="4" t="n">
        <v>230</v>
      </c>
      <c r="K14148" s="4"/>
      <c r="L14148" s="4"/>
      <c r="M14148" s="7" t="s">
        <v>6871</v>
      </c>
    </row>
    <row r="14149" customFormat="false" ht="15.75" hidden="false" customHeight="false" outlineLevel="0" collapsed="false">
      <c r="A14149" s="6" t="n">
        <f aca="false">DATE(2026,8,8)</f>
        <v>46242</v>
      </c>
      <c r="B14149" s="4" t="s">
        <v>179</v>
      </c>
      <c r="C14149" s="4" t="n">
        <v>12</v>
      </c>
      <c r="D14149" s="4" t="n">
        <v>8</v>
      </c>
      <c r="E14149" s="4"/>
      <c r="F14149" s="4" t="n">
        <v>23</v>
      </c>
      <c r="G14149" s="4" t="n">
        <v>6</v>
      </c>
      <c r="H14149" s="4" t="n">
        <v>4</v>
      </c>
      <c r="I14149" s="4" t="str">
        <v>×</v>
      </c>
      <c r="J14149" s="4"/>
      <c r="K14149" s="4"/>
      <c r="L14149" s="4"/>
      <c r="M14149" s="7" t="s">
        <v>6871</v>
      </c>
    </row>
    <row r="14150" customFormat="false" ht="15.75" hidden="false" customHeight="false" outlineLevel="0" collapsed="false">
      <c r="A14150" s="6" t="n">
        <f aca="false">DATE(2026,8,8)</f>
        <v>46242</v>
      </c>
      <c r="B14150" s="4" t="s">
        <v>179</v>
      </c>
      <c r="C14150" s="4" t="n">
        <v>12</v>
      </c>
      <c r="D14150" s="4" t="n">
        <v>2</v>
      </c>
      <c r="E14150" s="4"/>
      <c r="F14150" s="4" t="n">
        <v>20</v>
      </c>
      <c r="G14150" s="4" t="n">
        <v>7</v>
      </c>
      <c r="H14150" s="4" t="n">
        <v>4</v>
      </c>
      <c r="I14150" s="4" t="str">
        <v>×</v>
      </c>
      <c r="J14150" s="4"/>
      <c r="K14150" s="4"/>
      <c r="L14150" s="4"/>
      <c r="M14150" s="7" t="s">
        <v>6871</v>
      </c>
    </row>
    <row r="14151" customFormat="false" ht="15.75" hidden="false" customHeight="false" outlineLevel="0" collapsed="false">
      <c r="A14151" s="6" t="n">
        <f aca="false">DATE(2026,8,8)</f>
        <v>46242</v>
      </c>
      <c r="B14151" s="4" t="s">
        <v>179</v>
      </c>
      <c r="C14151" s="4" t="n">
        <v>12</v>
      </c>
      <c r="D14151" s="4" t="n">
        <v>18</v>
      </c>
      <c r="E14151" s="4"/>
      <c r="F14151" s="4" t="n">
        <v>20</v>
      </c>
      <c r="G14151" s="4" t="n">
        <v>8</v>
      </c>
      <c r="H14151" s="4" t="n">
        <v>4</v>
      </c>
      <c r="I14151" s="4" t="str">
        <v>×</v>
      </c>
      <c r="J14151" s="4"/>
      <c r="K14151" s="4"/>
      <c r="L14151" s="4"/>
      <c r="M14151" s="7" t="s">
        <v>6871</v>
      </c>
    </row>
    <row r="14152" customFormat="false" ht="15.75" hidden="false" customHeight="false" outlineLevel="0" collapsed="false">
      <c r="A14152" s="6" t="n">
        <f aca="false">DATE(2026,8,8)</f>
        <v>46242</v>
      </c>
      <c r="B14152" s="4" t="s">
        <v>179</v>
      </c>
      <c r="C14152" s="4" t="n">
        <v>12</v>
      </c>
      <c r="D14152" s="4" t="n">
        <v>4</v>
      </c>
      <c r="E14152" s="4" t="s">
        <v>6411</v>
      </c>
      <c r="F14152" s="4" t="n">
        <v>17</v>
      </c>
      <c r="G14152" s="4" t="n">
        <v>9</v>
      </c>
      <c r="H14152" s="4" t="n">
        <v>3</v>
      </c>
      <c r="I14152" s="4" t="str">
        <v>○</v>
      </c>
      <c r="J14152" s="4" t="n">
        <v>1120</v>
      </c>
      <c r="K14152" s="4"/>
      <c r="L14152" s="4"/>
      <c r="M14152" s="7" t="s">
        <v>6871</v>
      </c>
    </row>
    <row r="14153" customFormat="false" ht="15.75" hidden="false" customHeight="false" outlineLevel="0" collapsed="false">
      <c r="A14153" s="6" t="n">
        <f aca="false">DATE(2026,8,8)</f>
        <v>46242</v>
      </c>
      <c r="B14153" s="4" t="s">
        <v>179</v>
      </c>
      <c r="C14153" s="4" t="n">
        <v>12</v>
      </c>
      <c r="D14153" s="4" t="n">
        <v>16</v>
      </c>
      <c r="E14153" s="4"/>
      <c r="F14153" s="4" t="n">
        <v>17</v>
      </c>
      <c r="G14153" s="4" t="n">
        <v>10</v>
      </c>
      <c r="H14153" s="4" t="n">
        <v>4</v>
      </c>
      <c r="I14153" s="4" t="str">
        <v>×</v>
      </c>
      <c r="J14153" s="4"/>
      <c r="K14153" s="4"/>
      <c r="L14153" s="4"/>
      <c r="M14153" s="7" t="s">
        <v>6871</v>
      </c>
    </row>
    <row r="14154" customFormat="false" ht="15.75" hidden="false" customHeight="false" outlineLevel="0" collapsed="false">
      <c r="A14154" s="6" t="n">
        <f aca="false">DATE(2026,8,8)</f>
        <v>46242</v>
      </c>
      <c r="B14154" s="4" t="s">
        <v>179</v>
      </c>
      <c r="C14154" s="4" t="n">
        <v>12</v>
      </c>
      <c r="D14154" s="4" t="n">
        <v>1</v>
      </c>
      <c r="E14154" s="4"/>
      <c r="F14154" s="4" t="n">
        <v>15</v>
      </c>
      <c r="G14154" s="4" t="n">
        <v>11</v>
      </c>
      <c r="H14154" s="4" t="n">
        <v>4</v>
      </c>
      <c r="I14154" s="4" t="str">
        <v>×</v>
      </c>
      <c r="J14154" s="4"/>
      <c r="K14154" s="4"/>
      <c r="L14154" s="4"/>
      <c r="M14154" s="7" t="s">
        <v>6871</v>
      </c>
    </row>
    <row r="14155" customFormat="false" ht="15.75" hidden="false" customHeight="false" outlineLevel="0" collapsed="false">
      <c r="A14155" s="6" t="n">
        <f aca="false">DATE(2026,8,8)</f>
        <v>46242</v>
      </c>
      <c r="B14155" s="4" t="s">
        <v>179</v>
      </c>
      <c r="C14155" s="4" t="n">
        <v>12</v>
      </c>
      <c r="D14155" s="4" t="n">
        <v>6</v>
      </c>
      <c r="E14155" s="4"/>
      <c r="F14155" s="4" t="n">
        <v>13</v>
      </c>
      <c r="G14155" s="4" t="n">
        <v>12</v>
      </c>
      <c r="H14155" s="4" t="n">
        <v>4</v>
      </c>
      <c r="I14155" s="4" t="str">
        <v>×</v>
      </c>
      <c r="J14155" s="4"/>
      <c r="K14155" s="4"/>
      <c r="L14155" s="4"/>
      <c r="M14155" s="7" t="s">
        <v>6871</v>
      </c>
    </row>
    <row r="14156" customFormat="false" ht="15.75" hidden="false" customHeight="false" outlineLevel="0" collapsed="false">
      <c r="A14156" s="6" t="n">
        <f aca="false">DATE(2026,8,8)</f>
        <v>46242</v>
      </c>
      <c r="B14156" s="4" t="s">
        <v>179</v>
      </c>
      <c r="C14156" s="4" t="n">
        <v>12</v>
      </c>
      <c r="D14156" s="4" t="n">
        <v>10</v>
      </c>
      <c r="E14156" s="4"/>
      <c r="F14156" s="4" t="n">
        <v>13</v>
      </c>
      <c r="G14156" s="4" t="n">
        <v>13</v>
      </c>
      <c r="H14156" s="4" t="n">
        <v>4</v>
      </c>
      <c r="I14156" s="4" t="str">
        <v>×</v>
      </c>
      <c r="J14156" s="4"/>
      <c r="K14156" s="4"/>
      <c r="L14156" s="4"/>
      <c r="M14156" s="7" t="s">
        <v>6871</v>
      </c>
    </row>
    <row r="14157" customFormat="false" ht="15.75" hidden="false" customHeight="false" outlineLevel="0" collapsed="false">
      <c r="A14157" s="6" t="n">
        <f aca="false">DATE(2026,8,8)</f>
        <v>46242</v>
      </c>
      <c r="B14157" s="4" t="s">
        <v>179</v>
      </c>
      <c r="C14157" s="4" t="n">
        <v>12</v>
      </c>
      <c r="D14157" s="4" t="n">
        <v>11</v>
      </c>
      <c r="E14157" s="4"/>
      <c r="F14157" s="4" t="n">
        <v>13</v>
      </c>
      <c r="G14157" s="4" t="n">
        <v>14</v>
      </c>
      <c r="H14157" s="4" t="n">
        <v>4</v>
      </c>
      <c r="I14157" s="4" t="str">
        <v>×</v>
      </c>
      <c r="J14157" s="4"/>
      <c r="K14157" s="4"/>
      <c r="L14157" s="4"/>
      <c r="M14157" s="7" t="s">
        <v>6871</v>
      </c>
    </row>
    <row r="14158" customFormat="false" ht="15.75" hidden="false" customHeight="false" outlineLevel="0" collapsed="false">
      <c r="A14158" s="6" t="n">
        <f aca="false">DATE(2026,8,8)</f>
        <v>46242</v>
      </c>
      <c r="B14158" s="4" t="s">
        <v>179</v>
      </c>
      <c r="C14158" s="4" t="n">
        <v>12</v>
      </c>
      <c r="D14158" s="4" t="n">
        <v>17</v>
      </c>
      <c r="E14158" s="4"/>
      <c r="F14158" s="4" t="n">
        <v>8</v>
      </c>
      <c r="G14158" s="4" t="n">
        <v>15</v>
      </c>
      <c r="H14158" s="4" t="n">
        <v>4</v>
      </c>
      <c r="I14158" s="4" t="str">
        <v>×</v>
      </c>
      <c r="J14158" s="4"/>
      <c r="K14158" s="4"/>
      <c r="L14158" s="4"/>
      <c r="M14158" s="7" t="s">
        <v>6871</v>
      </c>
    </row>
    <row r="14159" customFormat="false" ht="15.75" hidden="false" customHeight="false" outlineLevel="0" collapsed="false">
      <c r="A14159" s="6" t="n">
        <f aca="false">DATE(2026,8,8)</f>
        <v>46242</v>
      </c>
      <c r="B14159" s="4" t="s">
        <v>179</v>
      </c>
      <c r="C14159" s="4" t="n">
        <v>12</v>
      </c>
      <c r="D14159" s="4" t="n">
        <v>13</v>
      </c>
      <c r="E14159" s="4"/>
      <c r="F14159" s="4" t="n">
        <v>6</v>
      </c>
      <c r="G14159" s="4" t="n">
        <v>16</v>
      </c>
      <c r="H14159" s="4" t="n">
        <v>4</v>
      </c>
      <c r="I14159" s="4" t="str">
        <v>×</v>
      </c>
      <c r="J14159" s="4"/>
      <c r="K14159" s="4"/>
      <c r="L14159" s="4"/>
      <c r="M14159" s="7" t="s">
        <v>6871</v>
      </c>
    </row>
    <row r="14160" customFormat="false" ht="15.75" hidden="false" customHeight="false" outlineLevel="0" collapsed="false">
      <c r="A14160" s="6" t="n">
        <f aca="false">DATE(2026,8,8)</f>
        <v>46242</v>
      </c>
      <c r="B14160" s="4" t="s">
        <v>179</v>
      </c>
      <c r="C14160" s="4" t="n">
        <v>12</v>
      </c>
      <c r="D14160" s="4" t="n">
        <v>14</v>
      </c>
      <c r="E14160" s="4"/>
      <c r="F14160" s="4" t="n">
        <v>4</v>
      </c>
      <c r="G14160" s="4" t="n">
        <v>17</v>
      </c>
      <c r="H14160" s="4" t="n">
        <v>4</v>
      </c>
      <c r="I14160" s="4" t="str">
        <v>×</v>
      </c>
      <c r="J14160" s="4"/>
      <c r="K14160" s="4"/>
      <c r="L14160" s="4"/>
      <c r="M14160" s="7" t="s">
        <v>6871</v>
      </c>
    </row>
    <row r="14161" customFormat="false" ht="15.75" hidden="false" customHeight="false" outlineLevel="0" collapsed="false">
      <c r="A14161" s="6" t="n">
        <f aca="false">DATE(2026,8,8)</f>
        <v>46242</v>
      </c>
      <c r="B14161" s="4" t="s">
        <v>179</v>
      </c>
      <c r="C14161" s="4" t="n">
        <v>12</v>
      </c>
      <c r="D14161" s="4" t="n">
        <v>9</v>
      </c>
      <c r="E14161" s="4"/>
      <c r="F14161" s="4" t="n">
        <v>1</v>
      </c>
      <c r="G14161" s="4" t="n">
        <v>18</v>
      </c>
      <c r="H14161" s="4" t="n">
        <v>4</v>
      </c>
      <c r="I14161" s="4" t="str">
        <v>×</v>
      </c>
      <c r="J14161" s="4"/>
      <c r="K14161" s="4"/>
      <c r="L14161" s="4"/>
      <c r="M14161" s="7" t="s">
        <v>6871</v>
      </c>
    </row>
    <row r="14162" customFormat="false" ht="15.75" hidden="false" customHeight="false" outlineLevel="0" collapsed="false">
      <c r="A14162" s="6" t="n">
        <f aca="false">DATE(2026,8,8)</f>
        <v>46242</v>
      </c>
      <c r="B14162" s="4" t="s">
        <v>13</v>
      </c>
      <c r="C14162" s="4" t="n">
        <v>1</v>
      </c>
      <c r="D14162" s="4" t="n">
        <v>13</v>
      </c>
      <c r="E14162" s="4" t="s">
        <v>1455</v>
      </c>
      <c r="F14162" s="4" t="n">
        <v>67</v>
      </c>
      <c r="G14162" s="4" t="n">
        <v>1</v>
      </c>
      <c r="H14162" s="4" t="n">
        <v>1</v>
      </c>
      <c r="I14162" s="4" t="str">
        <v>○</v>
      </c>
      <c r="J14162" s="4" t="n">
        <v>110</v>
      </c>
      <c r="K14162" s="4"/>
      <c r="L14162" s="4"/>
      <c r="M14162" s="7" t="s">
        <v>6871</v>
      </c>
    </row>
    <row r="14163" customFormat="false" ht="15.75" hidden="false" customHeight="false" outlineLevel="0" collapsed="false">
      <c r="A14163" s="6" t="n">
        <f aca="false">DATE(2026,8,8)</f>
        <v>46242</v>
      </c>
      <c r="B14163" s="4" t="s">
        <v>13</v>
      </c>
      <c r="C14163" s="4" t="n">
        <v>1</v>
      </c>
      <c r="D14163" s="4" t="n">
        <v>5</v>
      </c>
      <c r="E14163" s="4"/>
      <c r="F14163" s="4" t="n">
        <v>31</v>
      </c>
      <c r="G14163" s="4" t="n">
        <v>2</v>
      </c>
      <c r="H14163" s="4" t="n">
        <v>4</v>
      </c>
      <c r="I14163" s="4" t="str">
        <v>×</v>
      </c>
      <c r="J14163" s="4"/>
      <c r="K14163" s="4"/>
      <c r="L14163" s="4"/>
      <c r="M14163" s="7" t="s">
        <v>6871</v>
      </c>
    </row>
    <row r="14164" customFormat="false" ht="15.75" hidden="false" customHeight="false" outlineLevel="0" collapsed="false">
      <c r="A14164" s="6" t="n">
        <f aca="false">DATE(2026,8,8)</f>
        <v>46242</v>
      </c>
      <c r="B14164" s="4" t="s">
        <v>13</v>
      </c>
      <c r="C14164" s="4" t="n">
        <v>1</v>
      </c>
      <c r="D14164" s="4" t="n">
        <v>8</v>
      </c>
      <c r="E14164" s="4" t="s">
        <v>1459</v>
      </c>
      <c r="F14164" s="4" t="n">
        <v>41</v>
      </c>
      <c r="G14164" s="4" t="n">
        <v>3</v>
      </c>
      <c r="H14164" s="4" t="n">
        <v>2</v>
      </c>
      <c r="I14164" s="4" t="str">
        <v>○</v>
      </c>
      <c r="J14164" s="4" t="n">
        <v>270</v>
      </c>
      <c r="K14164" s="4"/>
      <c r="L14164" s="4"/>
      <c r="M14164" s="7" t="s">
        <v>6871</v>
      </c>
    </row>
    <row r="14165" customFormat="false" ht="15.75" hidden="false" customHeight="false" outlineLevel="0" collapsed="false">
      <c r="A14165" s="6" t="n">
        <f aca="false">DATE(2026,8,8)</f>
        <v>46242</v>
      </c>
      <c r="B14165" s="4" t="s">
        <v>13</v>
      </c>
      <c r="C14165" s="4" t="n">
        <v>1</v>
      </c>
      <c r="D14165" s="4" t="n">
        <v>2</v>
      </c>
      <c r="E14165" s="4" t="s">
        <v>1451</v>
      </c>
      <c r="F14165" s="4" t="n">
        <v>25</v>
      </c>
      <c r="G14165" s="4" t="n">
        <v>4</v>
      </c>
      <c r="H14165" s="4" t="n">
        <v>3</v>
      </c>
      <c r="I14165" s="4" t="str">
        <v>○</v>
      </c>
      <c r="J14165" s="4" t="n">
        <v>390</v>
      </c>
      <c r="K14165" s="4"/>
      <c r="L14165" s="4"/>
      <c r="M14165" s="7" t="s">
        <v>6871</v>
      </c>
    </row>
    <row r="14166" customFormat="false" ht="15.75" hidden="false" customHeight="false" outlineLevel="0" collapsed="false">
      <c r="A14166" s="6" t="n">
        <f aca="false">DATE(2026,8,8)</f>
        <v>46242</v>
      </c>
      <c r="B14166" s="4" t="s">
        <v>13</v>
      </c>
      <c r="C14166" s="4" t="n">
        <v>1</v>
      </c>
      <c r="D14166" s="4" t="n">
        <v>10</v>
      </c>
      <c r="E14166" s="4"/>
      <c r="F14166" s="4" t="n">
        <v>20</v>
      </c>
      <c r="G14166" s="4" t="n">
        <v>5</v>
      </c>
      <c r="H14166" s="4" t="n">
        <v>4</v>
      </c>
      <c r="I14166" s="4" t="str">
        <v>×</v>
      </c>
      <c r="J14166" s="4"/>
      <c r="K14166" s="4"/>
      <c r="L14166" s="4"/>
      <c r="M14166" s="7" t="s">
        <v>6871</v>
      </c>
    </row>
    <row r="14167" customFormat="false" ht="15.75" hidden="false" customHeight="false" outlineLevel="0" collapsed="false">
      <c r="A14167" s="6" t="n">
        <f aca="false">DATE(2026,8,8)</f>
        <v>46242</v>
      </c>
      <c r="B14167" s="4" t="s">
        <v>13</v>
      </c>
      <c r="C14167" s="4" t="n">
        <v>1</v>
      </c>
      <c r="D14167" s="4" t="n">
        <v>3</v>
      </c>
      <c r="E14167" s="4"/>
      <c r="F14167" s="4" t="n">
        <v>17</v>
      </c>
      <c r="G14167" s="4" t="n">
        <v>6</v>
      </c>
      <c r="H14167" s="4" t="n">
        <v>4</v>
      </c>
      <c r="I14167" s="4" t="str">
        <v>×</v>
      </c>
      <c r="J14167" s="4"/>
      <c r="K14167" s="4"/>
      <c r="L14167" s="4"/>
      <c r="M14167" s="7" t="s">
        <v>6871</v>
      </c>
    </row>
    <row r="14168" customFormat="false" ht="15.75" hidden="false" customHeight="false" outlineLevel="0" collapsed="false">
      <c r="A14168" s="6" t="n">
        <f aca="false">DATE(2026,8,8)</f>
        <v>46242</v>
      </c>
      <c r="B14168" s="4" t="s">
        <v>13</v>
      </c>
      <c r="C14168" s="4" t="n">
        <v>1</v>
      </c>
      <c r="D14168" s="4" t="n">
        <v>12</v>
      </c>
      <c r="E14168" s="4"/>
      <c r="F14168" s="4" t="n">
        <v>17</v>
      </c>
      <c r="G14168" s="4" t="n">
        <v>7</v>
      </c>
      <c r="H14168" s="4" t="n">
        <v>4</v>
      </c>
      <c r="I14168" s="4" t="str">
        <v>×</v>
      </c>
      <c r="J14168" s="4"/>
      <c r="K14168" s="4"/>
      <c r="L14168" s="4"/>
      <c r="M14168" s="7" t="s">
        <v>6871</v>
      </c>
    </row>
    <row r="14169" customFormat="false" ht="15.75" hidden="false" customHeight="false" outlineLevel="0" collapsed="false">
      <c r="A14169" s="6" t="n">
        <f aca="false">DATE(2026,8,8)</f>
        <v>46242</v>
      </c>
      <c r="B14169" s="4" t="s">
        <v>13</v>
      </c>
      <c r="C14169" s="4" t="n">
        <v>1</v>
      </c>
      <c r="D14169" s="4" t="n">
        <v>1</v>
      </c>
      <c r="E14169" s="4"/>
      <c r="F14169" s="4" t="n">
        <v>15</v>
      </c>
      <c r="G14169" s="4" t="n">
        <v>8</v>
      </c>
      <c r="H14169" s="4" t="n">
        <v>4</v>
      </c>
      <c r="I14169" s="4" t="str">
        <v>×</v>
      </c>
      <c r="J14169" s="4"/>
      <c r="K14169" s="4"/>
      <c r="L14169" s="4"/>
      <c r="M14169" s="7" t="s">
        <v>6871</v>
      </c>
    </row>
    <row r="14170" customFormat="false" ht="15.75" hidden="false" customHeight="false" outlineLevel="0" collapsed="false">
      <c r="A14170" s="6" t="n">
        <f aca="false">DATE(2026,8,8)</f>
        <v>46242</v>
      </c>
      <c r="B14170" s="4" t="s">
        <v>13</v>
      </c>
      <c r="C14170" s="4" t="n">
        <v>1</v>
      </c>
      <c r="D14170" s="4" t="n">
        <v>11</v>
      </c>
      <c r="E14170" s="4"/>
      <c r="F14170" s="4" t="n">
        <v>13</v>
      </c>
      <c r="G14170" s="4" t="n">
        <v>9</v>
      </c>
      <c r="H14170" s="4" t="n">
        <v>4</v>
      </c>
      <c r="I14170" s="4" t="str">
        <v>×</v>
      </c>
      <c r="J14170" s="4"/>
      <c r="K14170" s="4"/>
      <c r="L14170" s="4"/>
      <c r="M14170" s="7" t="s">
        <v>6871</v>
      </c>
    </row>
    <row r="14171" customFormat="false" ht="15.75" hidden="false" customHeight="false" outlineLevel="0" collapsed="false">
      <c r="A14171" s="6" t="n">
        <f aca="false">DATE(2026,8,8)</f>
        <v>46242</v>
      </c>
      <c r="B14171" s="4" t="s">
        <v>13</v>
      </c>
      <c r="C14171" s="4" t="n">
        <v>1</v>
      </c>
      <c r="D14171" s="4" t="n">
        <v>4</v>
      </c>
      <c r="E14171" s="4"/>
      <c r="F14171" s="4" t="n">
        <v>6</v>
      </c>
      <c r="G14171" s="4" t="n">
        <v>10</v>
      </c>
      <c r="H14171" s="4" t="n">
        <v>4</v>
      </c>
      <c r="I14171" s="4" t="str">
        <v>×</v>
      </c>
      <c r="J14171" s="4"/>
      <c r="K14171" s="4"/>
      <c r="L14171" s="4"/>
      <c r="M14171" s="7" t="s">
        <v>6871</v>
      </c>
    </row>
    <row r="14172" customFormat="false" ht="15.75" hidden="false" customHeight="false" outlineLevel="0" collapsed="false">
      <c r="A14172" s="6" t="n">
        <f aca="false">DATE(2026,8,8)</f>
        <v>46242</v>
      </c>
      <c r="B14172" s="4" t="s">
        <v>13</v>
      </c>
      <c r="C14172" s="4" t="n">
        <v>1</v>
      </c>
      <c r="D14172" s="4" t="n">
        <v>6</v>
      </c>
      <c r="E14172" s="4"/>
      <c r="F14172" s="4" t="n">
        <v>6</v>
      </c>
      <c r="G14172" s="4" t="n">
        <v>11</v>
      </c>
      <c r="H14172" s="4" t="n">
        <v>4</v>
      </c>
      <c r="I14172" s="4" t="str">
        <v>×</v>
      </c>
      <c r="J14172" s="4"/>
      <c r="K14172" s="4"/>
      <c r="L14172" s="4"/>
      <c r="M14172" s="7" t="s">
        <v>6871</v>
      </c>
    </row>
    <row r="14173" customFormat="false" ht="15.75" hidden="false" customHeight="false" outlineLevel="0" collapsed="false">
      <c r="A14173" s="6" t="n">
        <f aca="false">DATE(2026,8,8)</f>
        <v>46242</v>
      </c>
      <c r="B14173" s="4" t="s">
        <v>13</v>
      </c>
      <c r="C14173" s="4" t="n">
        <v>1</v>
      </c>
      <c r="D14173" s="4" t="n">
        <v>9</v>
      </c>
      <c r="E14173" s="4"/>
      <c r="F14173" s="4" t="n">
        <v>6</v>
      </c>
      <c r="G14173" s="4" t="n">
        <v>12</v>
      </c>
      <c r="H14173" s="4" t="n">
        <v>4</v>
      </c>
      <c r="I14173" s="4" t="str">
        <v>×</v>
      </c>
      <c r="J14173" s="4"/>
      <c r="K14173" s="4"/>
      <c r="L14173" s="4"/>
      <c r="M14173" s="7" t="s">
        <v>6871</v>
      </c>
    </row>
    <row r="14174" customFormat="false" ht="15.75" hidden="false" customHeight="false" outlineLevel="0" collapsed="false">
      <c r="A14174" s="6" t="n">
        <f aca="false">DATE(2026,8,8)</f>
        <v>46242</v>
      </c>
      <c r="B14174" s="4" t="s">
        <v>13</v>
      </c>
      <c r="C14174" s="4" t="n">
        <v>1</v>
      </c>
      <c r="D14174" s="4" t="n">
        <v>7</v>
      </c>
      <c r="E14174" s="4"/>
      <c r="F14174" s="4" t="n">
        <v>4</v>
      </c>
      <c r="G14174" s="4" t="n">
        <v>13</v>
      </c>
      <c r="H14174" s="4" t="n">
        <v>4</v>
      </c>
      <c r="I14174" s="4" t="str">
        <v>×</v>
      </c>
      <c r="J14174" s="4"/>
      <c r="K14174" s="4"/>
      <c r="L14174" s="4"/>
      <c r="M14174" s="7" t="s">
        <v>6871</v>
      </c>
    </row>
    <row r="14175" customFormat="false" ht="15.75" hidden="false" customHeight="false" outlineLevel="0" collapsed="false">
      <c r="A14175" s="6" t="n">
        <f aca="false">DATE(2026,8,8)</f>
        <v>46242</v>
      </c>
      <c r="B14175" s="4" t="s">
        <v>13</v>
      </c>
      <c r="C14175" s="4" t="n">
        <v>2</v>
      </c>
      <c r="D14175" s="4" t="n">
        <v>3</v>
      </c>
      <c r="E14175" s="4" t="s">
        <v>6880</v>
      </c>
      <c r="F14175" s="4" t="n">
        <v>44</v>
      </c>
      <c r="G14175" s="4" t="n">
        <v>1</v>
      </c>
      <c r="H14175" s="4" t="n">
        <v>1</v>
      </c>
      <c r="I14175" s="4" t="str">
        <v>○</v>
      </c>
      <c r="J14175" s="4" t="n">
        <v>110</v>
      </c>
      <c r="K14175" s="4"/>
      <c r="L14175" s="4"/>
      <c r="M14175" s="7" t="s">
        <v>6871</v>
      </c>
    </row>
    <row r="14176" customFormat="false" ht="15.75" hidden="false" customHeight="false" outlineLevel="0" collapsed="false">
      <c r="A14176" s="6" t="n">
        <f aca="false">DATE(2026,8,8)</f>
        <v>46242</v>
      </c>
      <c r="B14176" s="4" t="s">
        <v>13</v>
      </c>
      <c r="C14176" s="4" t="n">
        <v>2</v>
      </c>
      <c r="D14176" s="4" t="n">
        <v>2</v>
      </c>
      <c r="E14176" s="4"/>
      <c r="F14176" s="4" t="n">
        <v>27</v>
      </c>
      <c r="G14176" s="4" t="n">
        <v>2</v>
      </c>
      <c r="H14176" s="4" t="n">
        <v>4</v>
      </c>
      <c r="I14176" s="4" t="str">
        <v>×</v>
      </c>
      <c r="J14176" s="4"/>
      <c r="K14176" s="4"/>
      <c r="L14176" s="4"/>
      <c r="M14176" s="7" t="s">
        <v>6871</v>
      </c>
    </row>
    <row r="14177" customFormat="false" ht="15.75" hidden="false" customHeight="false" outlineLevel="0" collapsed="false">
      <c r="A14177" s="6" t="n">
        <f aca="false">DATE(2026,8,8)</f>
        <v>46242</v>
      </c>
      <c r="B14177" s="4" t="s">
        <v>13</v>
      </c>
      <c r="C14177" s="4" t="n">
        <v>2</v>
      </c>
      <c r="D14177" s="4" t="n">
        <v>4</v>
      </c>
      <c r="E14177" s="4"/>
      <c r="F14177" s="4" t="n">
        <v>27</v>
      </c>
      <c r="G14177" s="4" t="n">
        <v>3</v>
      </c>
      <c r="H14177" s="4" t="n">
        <v>4</v>
      </c>
      <c r="I14177" s="4" t="str">
        <v>×</v>
      </c>
      <c r="J14177" s="4"/>
      <c r="K14177" s="4"/>
      <c r="L14177" s="4"/>
      <c r="M14177" s="7" t="s">
        <v>6871</v>
      </c>
    </row>
    <row r="14178" customFormat="false" ht="15.75" hidden="false" customHeight="false" outlineLevel="0" collapsed="false">
      <c r="A14178" s="6" t="n">
        <f aca="false">DATE(2026,8,8)</f>
        <v>46242</v>
      </c>
      <c r="B14178" s="4" t="s">
        <v>13</v>
      </c>
      <c r="C14178" s="4" t="n">
        <v>2</v>
      </c>
      <c r="D14178" s="4" t="n">
        <v>5</v>
      </c>
      <c r="E14178" s="4" t="s">
        <v>6787</v>
      </c>
      <c r="F14178" s="4" t="n">
        <v>27</v>
      </c>
      <c r="G14178" s="4" t="n">
        <v>4</v>
      </c>
      <c r="H14178" s="4" t="n">
        <v>3</v>
      </c>
      <c r="I14178" s="4" t="str">
        <v>○</v>
      </c>
      <c r="J14178" s="4" t="n">
        <v>420</v>
      </c>
      <c r="K14178" s="4"/>
      <c r="L14178" s="4"/>
      <c r="M14178" s="7" t="s">
        <v>6871</v>
      </c>
    </row>
    <row r="14179" customFormat="false" ht="15.75" hidden="false" customHeight="false" outlineLevel="0" collapsed="false">
      <c r="A14179" s="6" t="n">
        <f aca="false">DATE(2026,8,8)</f>
        <v>46242</v>
      </c>
      <c r="B14179" s="4" t="s">
        <v>13</v>
      </c>
      <c r="C14179" s="4" t="n">
        <v>2</v>
      </c>
      <c r="D14179" s="4" t="n">
        <v>6</v>
      </c>
      <c r="E14179" s="4"/>
      <c r="F14179" s="4" t="n">
        <v>27</v>
      </c>
      <c r="G14179" s="4" t="n">
        <v>5</v>
      </c>
      <c r="H14179" s="4" t="n">
        <v>4</v>
      </c>
      <c r="I14179" s="4" t="str">
        <v>×</v>
      </c>
      <c r="J14179" s="4"/>
      <c r="K14179" s="4"/>
      <c r="L14179" s="4"/>
      <c r="M14179" s="7" t="s">
        <v>6871</v>
      </c>
    </row>
    <row r="14180" customFormat="false" ht="15.75" hidden="false" customHeight="false" outlineLevel="0" collapsed="false">
      <c r="A14180" s="6" t="n">
        <f aca="false">DATE(2026,8,8)</f>
        <v>46242</v>
      </c>
      <c r="B14180" s="4" t="s">
        <v>13</v>
      </c>
      <c r="C14180" s="4" t="n">
        <v>2</v>
      </c>
      <c r="D14180" s="4" t="n">
        <v>7</v>
      </c>
      <c r="E14180" s="4" t="s">
        <v>6881</v>
      </c>
      <c r="F14180" s="4" t="n">
        <v>31</v>
      </c>
      <c r="G14180" s="4" t="n">
        <v>6</v>
      </c>
      <c r="H14180" s="4" t="n">
        <v>2</v>
      </c>
      <c r="I14180" s="4" t="str">
        <v>○</v>
      </c>
      <c r="J14180" s="4" t="n">
        <v>130</v>
      </c>
      <c r="K14180" s="4"/>
      <c r="L14180" s="4"/>
      <c r="M14180" s="7" t="s">
        <v>6871</v>
      </c>
    </row>
    <row r="14181" customFormat="false" ht="15.75" hidden="false" customHeight="false" outlineLevel="0" collapsed="false">
      <c r="A14181" s="6" t="n">
        <f aca="false">DATE(2026,8,8)</f>
        <v>46242</v>
      </c>
      <c r="B14181" s="4" t="s">
        <v>13</v>
      </c>
      <c r="C14181" s="4" t="n">
        <v>2</v>
      </c>
      <c r="D14181" s="4" t="n">
        <v>8</v>
      </c>
      <c r="E14181" s="4"/>
      <c r="F14181" s="4" t="n">
        <v>24</v>
      </c>
      <c r="G14181" s="4" t="n">
        <v>7</v>
      </c>
      <c r="H14181" s="4" t="n">
        <v>4</v>
      </c>
      <c r="I14181" s="4" t="str">
        <v>×</v>
      </c>
      <c r="J14181" s="4"/>
      <c r="K14181" s="4"/>
      <c r="L14181" s="4"/>
      <c r="M14181" s="7" t="s">
        <v>6871</v>
      </c>
    </row>
    <row r="14182" customFormat="false" ht="15.75" hidden="false" customHeight="false" outlineLevel="0" collapsed="false">
      <c r="A14182" s="6" t="n">
        <f aca="false">DATE(2026,8,8)</f>
        <v>46242</v>
      </c>
      <c r="B14182" s="4" t="s">
        <v>13</v>
      </c>
      <c r="C14182" s="4" t="n">
        <v>2</v>
      </c>
      <c r="D14182" s="4" t="n">
        <v>1</v>
      </c>
      <c r="E14182" s="4"/>
      <c r="F14182" s="4" t="n">
        <v>14</v>
      </c>
      <c r="G14182" s="4" t="n">
        <v>8</v>
      </c>
      <c r="H14182" s="4" t="n">
        <v>4</v>
      </c>
      <c r="I14182" s="4" t="str">
        <v>×</v>
      </c>
      <c r="J14182" s="4"/>
      <c r="K14182" s="4"/>
      <c r="L14182" s="4"/>
      <c r="M14182" s="7" t="s">
        <v>6871</v>
      </c>
    </row>
    <row r="14183" customFormat="false" ht="15.75" hidden="false" customHeight="false" outlineLevel="0" collapsed="false">
      <c r="A14183" s="6" t="n">
        <f aca="false">DATE(2026,8,8)</f>
        <v>46242</v>
      </c>
      <c r="B14183" s="4" t="s">
        <v>13</v>
      </c>
      <c r="C14183" s="4" t="n">
        <v>2</v>
      </c>
      <c r="D14183" s="4" t="n">
        <v>10</v>
      </c>
      <c r="E14183" s="4"/>
      <c r="F14183" s="4" t="n">
        <v>12</v>
      </c>
      <c r="G14183" s="4" t="n">
        <v>9</v>
      </c>
      <c r="H14183" s="4" t="n">
        <v>4</v>
      </c>
      <c r="I14183" s="4" t="str">
        <v>×</v>
      </c>
      <c r="J14183" s="4"/>
      <c r="K14183" s="4"/>
      <c r="L14183" s="4"/>
      <c r="M14183" s="7" t="s">
        <v>6871</v>
      </c>
    </row>
    <row r="14184" customFormat="false" ht="15.75" hidden="false" customHeight="false" outlineLevel="0" collapsed="false">
      <c r="A14184" s="6" t="n">
        <f aca="false">DATE(2026,8,8)</f>
        <v>46242</v>
      </c>
      <c r="B14184" s="4" t="s">
        <v>13</v>
      </c>
      <c r="C14184" s="4" t="n">
        <v>2</v>
      </c>
      <c r="D14184" s="4" t="n">
        <v>9</v>
      </c>
      <c r="E14184" s="4"/>
      <c r="F14184" s="4" t="n">
        <v>6</v>
      </c>
      <c r="G14184" s="4" t="n">
        <v>10</v>
      </c>
      <c r="H14184" s="4" t="n">
        <v>4</v>
      </c>
      <c r="I14184" s="4" t="str">
        <v>×</v>
      </c>
      <c r="J14184" s="4"/>
      <c r="K14184" s="4"/>
      <c r="L14184" s="4"/>
      <c r="M14184" s="7" t="s">
        <v>6871</v>
      </c>
    </row>
    <row r="14185" customFormat="false" ht="15.75" hidden="false" customHeight="false" outlineLevel="0" collapsed="false">
      <c r="A14185" s="6" t="n">
        <f aca="false">DATE(2026,8,8)</f>
        <v>46242</v>
      </c>
      <c r="B14185" s="4" t="s">
        <v>13</v>
      </c>
      <c r="C14185" s="4" t="n">
        <v>3</v>
      </c>
      <c r="D14185" s="4" t="n">
        <v>7</v>
      </c>
      <c r="E14185" s="4"/>
      <c r="F14185" s="4" t="n">
        <v>37</v>
      </c>
      <c r="G14185" s="4" t="n">
        <v>1</v>
      </c>
      <c r="H14185" s="4" t="n">
        <v>4</v>
      </c>
      <c r="I14185" s="4" t="str">
        <v>×</v>
      </c>
      <c r="J14185" s="4"/>
      <c r="K14185" s="4"/>
      <c r="L14185" s="4"/>
      <c r="M14185" s="7" t="s">
        <v>6871</v>
      </c>
    </row>
    <row r="14186" customFormat="false" ht="15.75" hidden="false" customHeight="false" outlineLevel="0" collapsed="false">
      <c r="A14186" s="6" t="n">
        <f aca="false">DATE(2026,8,8)</f>
        <v>46242</v>
      </c>
      <c r="B14186" s="4" t="s">
        <v>13</v>
      </c>
      <c r="C14186" s="4" t="n">
        <v>3</v>
      </c>
      <c r="D14186" s="4" t="n">
        <v>4</v>
      </c>
      <c r="E14186" s="4"/>
      <c r="F14186" s="4" t="n">
        <v>27</v>
      </c>
      <c r="G14186" s="4" t="n">
        <v>2</v>
      </c>
      <c r="H14186" s="4" t="n">
        <v>4</v>
      </c>
      <c r="I14186" s="4" t="str">
        <v>×</v>
      </c>
      <c r="J14186" s="4"/>
      <c r="K14186" s="4"/>
      <c r="L14186" s="4"/>
      <c r="M14186" s="7" t="s">
        <v>6871</v>
      </c>
    </row>
    <row r="14187" customFormat="false" ht="15.75" hidden="false" customHeight="false" outlineLevel="0" collapsed="false">
      <c r="A14187" s="6" t="n">
        <f aca="false">DATE(2026,8,8)</f>
        <v>46242</v>
      </c>
      <c r="B14187" s="4" t="s">
        <v>13</v>
      </c>
      <c r="C14187" s="4" t="n">
        <v>3</v>
      </c>
      <c r="D14187" s="4" t="n">
        <v>10</v>
      </c>
      <c r="E14187" s="4"/>
      <c r="F14187" s="4" t="n">
        <v>27</v>
      </c>
      <c r="G14187" s="4" t="n">
        <v>3</v>
      </c>
      <c r="H14187" s="4" t="n">
        <v>4</v>
      </c>
      <c r="I14187" s="4" t="str">
        <v>×</v>
      </c>
      <c r="J14187" s="4"/>
      <c r="K14187" s="4"/>
      <c r="L14187" s="4"/>
      <c r="M14187" s="7" t="s">
        <v>6871</v>
      </c>
    </row>
    <row r="14188" customFormat="false" ht="15.75" hidden="false" customHeight="false" outlineLevel="0" collapsed="false">
      <c r="A14188" s="6" t="n">
        <f aca="false">DATE(2026,8,8)</f>
        <v>46242</v>
      </c>
      <c r="B14188" s="4" t="s">
        <v>13</v>
      </c>
      <c r="C14188" s="4" t="n">
        <v>3</v>
      </c>
      <c r="D14188" s="4" t="n">
        <v>11</v>
      </c>
      <c r="E14188" s="4" t="s">
        <v>6882</v>
      </c>
      <c r="F14188" s="4" t="n">
        <v>27</v>
      </c>
      <c r="G14188" s="4" t="n">
        <v>4</v>
      </c>
      <c r="H14188" s="4" t="n">
        <v>2</v>
      </c>
      <c r="I14188" s="4" t="str">
        <v>○</v>
      </c>
      <c r="J14188" s="4" t="n">
        <v>790</v>
      </c>
      <c r="K14188" s="4"/>
      <c r="L14188" s="4"/>
      <c r="M14188" s="7" t="s">
        <v>6871</v>
      </c>
    </row>
    <row r="14189" customFormat="false" ht="15.75" hidden="false" customHeight="false" outlineLevel="0" collapsed="false">
      <c r="A14189" s="6" t="n">
        <f aca="false">DATE(2026,8,8)</f>
        <v>46242</v>
      </c>
      <c r="B14189" s="4" t="s">
        <v>13</v>
      </c>
      <c r="C14189" s="4" t="n">
        <v>3</v>
      </c>
      <c r="D14189" s="4" t="n">
        <v>3</v>
      </c>
      <c r="E14189" s="4"/>
      <c r="F14189" s="4" t="n">
        <v>24</v>
      </c>
      <c r="G14189" s="4" t="n">
        <v>5</v>
      </c>
      <c r="H14189" s="4" t="n">
        <v>4</v>
      </c>
      <c r="I14189" s="4" t="str">
        <v>×</v>
      </c>
      <c r="J14189" s="4"/>
      <c r="K14189" s="4"/>
      <c r="L14189" s="4"/>
      <c r="M14189" s="7" t="s">
        <v>6871</v>
      </c>
    </row>
    <row r="14190" customFormat="false" ht="15.75" hidden="false" customHeight="false" outlineLevel="0" collapsed="false">
      <c r="A14190" s="6" t="n">
        <f aca="false">DATE(2026,8,8)</f>
        <v>46242</v>
      </c>
      <c r="B14190" s="4" t="s">
        <v>13</v>
      </c>
      <c r="C14190" s="4" t="n">
        <v>3</v>
      </c>
      <c r="D14190" s="4" t="n">
        <v>6</v>
      </c>
      <c r="E14190" s="4" t="s">
        <v>6883</v>
      </c>
      <c r="F14190" s="4" t="n">
        <v>24</v>
      </c>
      <c r="G14190" s="4" t="n">
        <v>6</v>
      </c>
      <c r="H14190" s="4" t="n">
        <v>1</v>
      </c>
      <c r="I14190" s="4" t="str">
        <v>○</v>
      </c>
      <c r="J14190" s="4" t="n">
        <v>180</v>
      </c>
      <c r="K14190" s="4"/>
      <c r="L14190" s="4"/>
      <c r="M14190" s="7" t="s">
        <v>6871</v>
      </c>
    </row>
    <row r="14191" customFormat="false" ht="15.75" hidden="false" customHeight="false" outlineLevel="0" collapsed="false">
      <c r="A14191" s="6" t="n">
        <f aca="false">DATE(2026,8,8)</f>
        <v>46242</v>
      </c>
      <c r="B14191" s="4" t="s">
        <v>13</v>
      </c>
      <c r="C14191" s="4" t="n">
        <v>3</v>
      </c>
      <c r="D14191" s="4" t="n">
        <v>2</v>
      </c>
      <c r="E14191" s="4"/>
      <c r="F14191" s="4" t="n">
        <v>21</v>
      </c>
      <c r="G14191" s="4" t="n">
        <v>7</v>
      </c>
      <c r="H14191" s="4" t="n">
        <v>4</v>
      </c>
      <c r="I14191" s="4" t="str">
        <v>×</v>
      </c>
      <c r="J14191" s="4"/>
      <c r="K14191" s="4"/>
      <c r="L14191" s="4"/>
      <c r="M14191" s="7" t="s">
        <v>6871</v>
      </c>
    </row>
    <row r="14192" customFormat="false" ht="15.75" hidden="false" customHeight="false" outlineLevel="0" collapsed="false">
      <c r="A14192" s="6" t="n">
        <f aca="false">DATE(2026,8,8)</f>
        <v>46242</v>
      </c>
      <c r="B14192" s="4" t="s">
        <v>13</v>
      </c>
      <c r="C14192" s="4" t="n">
        <v>3</v>
      </c>
      <c r="D14192" s="4" t="n">
        <v>8</v>
      </c>
      <c r="E14192" s="4"/>
      <c r="F14192" s="4" t="n">
        <v>21</v>
      </c>
      <c r="G14192" s="4" t="n">
        <v>8</v>
      </c>
      <c r="H14192" s="4" t="n">
        <v>4</v>
      </c>
      <c r="I14192" s="4" t="str">
        <v>×</v>
      </c>
      <c r="J14192" s="4"/>
      <c r="K14192" s="4"/>
      <c r="L14192" s="4"/>
      <c r="M14192" s="7" t="s">
        <v>6871</v>
      </c>
    </row>
    <row r="14193" customFormat="false" ht="15.75" hidden="false" customHeight="false" outlineLevel="0" collapsed="false">
      <c r="A14193" s="6" t="n">
        <f aca="false">DATE(2026,8,8)</f>
        <v>46242</v>
      </c>
      <c r="B14193" s="4" t="s">
        <v>13</v>
      </c>
      <c r="C14193" s="4" t="n">
        <v>3</v>
      </c>
      <c r="D14193" s="4" t="n">
        <v>12</v>
      </c>
      <c r="E14193" s="4" t="s">
        <v>6884</v>
      </c>
      <c r="F14193" s="4" t="n">
        <v>21</v>
      </c>
      <c r="G14193" s="4" t="n">
        <v>9</v>
      </c>
      <c r="H14193" s="4" t="n">
        <v>3</v>
      </c>
      <c r="I14193" s="4" t="str">
        <v>○</v>
      </c>
      <c r="J14193" s="4" t="n">
        <v>220</v>
      </c>
      <c r="K14193" s="4"/>
      <c r="L14193" s="4"/>
      <c r="M14193" s="7" t="s">
        <v>6871</v>
      </c>
    </row>
    <row r="14194" customFormat="false" ht="15.75" hidden="false" customHeight="false" outlineLevel="0" collapsed="false">
      <c r="A14194" s="6" t="n">
        <f aca="false">DATE(2026,8,8)</f>
        <v>46242</v>
      </c>
      <c r="B14194" s="4" t="s">
        <v>13</v>
      </c>
      <c r="C14194" s="4" t="n">
        <v>3</v>
      </c>
      <c r="D14194" s="4" t="n">
        <v>1</v>
      </c>
      <c r="E14194" s="4"/>
      <c r="F14194" s="4" t="n">
        <v>16</v>
      </c>
      <c r="G14194" s="4" t="n">
        <v>10</v>
      </c>
      <c r="H14194" s="4" t="n">
        <v>4</v>
      </c>
      <c r="I14194" s="4" t="str">
        <v>×</v>
      </c>
      <c r="J14194" s="4"/>
      <c r="K14194" s="4"/>
      <c r="L14194" s="4"/>
      <c r="M14194" s="7" t="s">
        <v>6871</v>
      </c>
    </row>
    <row r="14195" customFormat="false" ht="15.75" hidden="false" customHeight="false" outlineLevel="0" collapsed="false">
      <c r="A14195" s="6" t="n">
        <f aca="false">DATE(2026,8,8)</f>
        <v>46242</v>
      </c>
      <c r="B14195" s="4" t="s">
        <v>13</v>
      </c>
      <c r="C14195" s="4" t="n">
        <v>3</v>
      </c>
      <c r="D14195" s="4" t="n">
        <v>9</v>
      </c>
      <c r="E14195" s="4"/>
      <c r="F14195" s="4" t="n">
        <v>8</v>
      </c>
      <c r="G14195" s="4" t="n">
        <v>11</v>
      </c>
      <c r="H14195" s="4" t="n">
        <v>4</v>
      </c>
      <c r="I14195" s="4" t="str">
        <v>×</v>
      </c>
      <c r="J14195" s="4"/>
      <c r="K14195" s="4"/>
      <c r="L14195" s="4"/>
      <c r="M14195" s="7" t="s">
        <v>6871</v>
      </c>
    </row>
    <row r="14196" customFormat="false" ht="15.75" hidden="false" customHeight="false" outlineLevel="0" collapsed="false">
      <c r="A14196" s="6" t="n">
        <f aca="false">DATE(2026,8,8)</f>
        <v>46242</v>
      </c>
      <c r="B14196" s="4" t="s">
        <v>13</v>
      </c>
      <c r="C14196" s="4" t="n">
        <v>3</v>
      </c>
      <c r="D14196" s="4" t="n">
        <v>5</v>
      </c>
      <c r="E14196" s="4"/>
      <c r="F14196" s="4" t="n">
        <v>6</v>
      </c>
      <c r="G14196" s="4" t="n">
        <v>12</v>
      </c>
      <c r="H14196" s="4" t="n">
        <v>4</v>
      </c>
      <c r="I14196" s="4" t="str">
        <v>×</v>
      </c>
      <c r="J14196" s="4"/>
      <c r="K14196" s="4"/>
      <c r="L14196" s="4"/>
      <c r="M14196" s="7" t="s">
        <v>6871</v>
      </c>
    </row>
    <row r="14197" customFormat="false" ht="15.75" hidden="false" customHeight="false" outlineLevel="0" collapsed="false">
      <c r="A14197" s="6" t="n">
        <f aca="false">DATE(2026,8,8)</f>
        <v>46242</v>
      </c>
      <c r="B14197" s="4" t="s">
        <v>13</v>
      </c>
      <c r="C14197" s="4" t="n">
        <v>4</v>
      </c>
      <c r="D14197" s="4" t="n">
        <v>3</v>
      </c>
      <c r="E14197" s="4"/>
      <c r="F14197" s="4" t="n">
        <v>62</v>
      </c>
      <c r="G14197" s="4" t="n">
        <v>1</v>
      </c>
      <c r="H14197" s="4" t="n">
        <v>4</v>
      </c>
      <c r="I14197" s="4" t="str">
        <v>×</v>
      </c>
      <c r="J14197" s="4"/>
      <c r="K14197" s="4"/>
      <c r="L14197" s="4"/>
      <c r="M14197" s="7" t="s">
        <v>6871</v>
      </c>
    </row>
    <row r="14198" customFormat="false" ht="15.75" hidden="false" customHeight="false" outlineLevel="0" collapsed="false">
      <c r="A14198" s="6" t="n">
        <f aca="false">DATE(2026,8,8)</f>
        <v>46242</v>
      </c>
      <c r="B14198" s="4" t="s">
        <v>13</v>
      </c>
      <c r="C14198" s="4" t="n">
        <v>4</v>
      </c>
      <c r="D14198" s="4" t="n">
        <v>8</v>
      </c>
      <c r="E14198" s="4"/>
      <c r="F14198" s="4" t="n">
        <v>41</v>
      </c>
      <c r="G14198" s="4" t="n">
        <v>2</v>
      </c>
      <c r="H14198" s="4" t="n">
        <v>4</v>
      </c>
      <c r="I14198" s="4" t="str">
        <v>×</v>
      </c>
      <c r="J14198" s="4"/>
      <c r="K14198" s="4"/>
      <c r="L14198" s="4"/>
      <c r="M14198" s="7" t="s">
        <v>6871</v>
      </c>
    </row>
    <row r="14199" customFormat="false" ht="15.75" hidden="false" customHeight="false" outlineLevel="0" collapsed="false">
      <c r="A14199" s="6" t="n">
        <f aca="false">DATE(2026,8,8)</f>
        <v>46242</v>
      </c>
      <c r="B14199" s="4" t="s">
        <v>13</v>
      </c>
      <c r="C14199" s="4" t="n">
        <v>4</v>
      </c>
      <c r="D14199" s="4" t="n">
        <v>10</v>
      </c>
      <c r="E14199" s="4"/>
      <c r="F14199" s="4" t="n">
        <v>50</v>
      </c>
      <c r="G14199" s="4" t="n">
        <v>3</v>
      </c>
      <c r="H14199" s="4" t="n">
        <v>4</v>
      </c>
      <c r="I14199" s="4" t="str">
        <v>×</v>
      </c>
      <c r="J14199" s="4"/>
      <c r="K14199" s="4"/>
      <c r="L14199" s="4"/>
      <c r="M14199" s="7" t="s">
        <v>6871</v>
      </c>
    </row>
    <row r="14200" customFormat="false" ht="15.75" hidden="false" customHeight="false" outlineLevel="0" collapsed="false">
      <c r="A14200" s="6" t="n">
        <f aca="false">DATE(2026,8,8)</f>
        <v>46242</v>
      </c>
      <c r="B14200" s="4" t="s">
        <v>13</v>
      </c>
      <c r="C14200" s="4" t="n">
        <v>4</v>
      </c>
      <c r="D14200" s="4" t="n">
        <v>13</v>
      </c>
      <c r="E14200" s="4" t="s">
        <v>6885</v>
      </c>
      <c r="F14200" s="4" t="n">
        <v>39</v>
      </c>
      <c r="G14200" s="4" t="n">
        <v>4</v>
      </c>
      <c r="H14200" s="4" t="n">
        <v>1</v>
      </c>
      <c r="I14200" s="4" t="str">
        <v>○</v>
      </c>
      <c r="J14200" s="4" t="n">
        <v>220</v>
      </c>
      <c r="K14200" s="4"/>
      <c r="L14200" s="4"/>
      <c r="M14200" s="7" t="s">
        <v>6871</v>
      </c>
    </row>
    <row r="14201" customFormat="false" ht="15.75" hidden="false" customHeight="false" outlineLevel="0" collapsed="false">
      <c r="A14201" s="6" t="n">
        <f aca="false">DATE(2026,8,8)</f>
        <v>46242</v>
      </c>
      <c r="B14201" s="4" t="s">
        <v>13</v>
      </c>
      <c r="C14201" s="4" t="n">
        <v>4</v>
      </c>
      <c r="D14201" s="4" t="n">
        <v>1</v>
      </c>
      <c r="E14201" s="4" t="s">
        <v>5515</v>
      </c>
      <c r="F14201" s="4" t="n">
        <v>23</v>
      </c>
      <c r="G14201" s="4" t="n">
        <v>5</v>
      </c>
      <c r="H14201" s="4" t="n">
        <v>3</v>
      </c>
      <c r="I14201" s="4" t="str">
        <v>○</v>
      </c>
      <c r="J14201" s="4" t="n">
        <v>650</v>
      </c>
      <c r="K14201" s="4"/>
      <c r="L14201" s="4"/>
      <c r="M14201" s="7" t="s">
        <v>6871</v>
      </c>
    </row>
    <row r="14202" customFormat="false" ht="15.75" hidden="false" customHeight="false" outlineLevel="0" collapsed="false">
      <c r="A14202" s="6" t="n">
        <f aca="false">DATE(2026,8,8)</f>
        <v>46242</v>
      </c>
      <c r="B14202" s="4" t="s">
        <v>13</v>
      </c>
      <c r="C14202" s="4" t="n">
        <v>4</v>
      </c>
      <c r="D14202" s="4" t="n">
        <v>6</v>
      </c>
      <c r="E14202" s="4"/>
      <c r="F14202" s="4" t="n">
        <v>13</v>
      </c>
      <c r="G14202" s="4" t="n">
        <v>6</v>
      </c>
      <c r="H14202" s="4" t="n">
        <v>4</v>
      </c>
      <c r="I14202" s="4" t="str">
        <v>×</v>
      </c>
      <c r="J14202" s="4"/>
      <c r="K14202" s="4"/>
      <c r="L14202" s="4"/>
      <c r="M14202" s="7" t="s">
        <v>6871</v>
      </c>
    </row>
    <row r="14203" customFormat="false" ht="15.75" hidden="false" customHeight="false" outlineLevel="0" collapsed="false">
      <c r="A14203" s="6" t="n">
        <f aca="false">DATE(2026,8,8)</f>
        <v>46242</v>
      </c>
      <c r="B14203" s="4" t="s">
        <v>13</v>
      </c>
      <c r="C14203" s="4" t="n">
        <v>4</v>
      </c>
      <c r="D14203" s="4" t="n">
        <v>5</v>
      </c>
      <c r="E14203" s="4"/>
      <c r="F14203" s="4" t="n">
        <v>10</v>
      </c>
      <c r="G14203" s="4" t="n">
        <v>7</v>
      </c>
      <c r="H14203" s="4" t="n">
        <v>4</v>
      </c>
      <c r="I14203" s="4" t="str">
        <v>×</v>
      </c>
      <c r="J14203" s="4"/>
      <c r="K14203" s="4"/>
      <c r="L14203" s="4"/>
      <c r="M14203" s="7" t="s">
        <v>6871</v>
      </c>
    </row>
    <row r="14204" customFormat="false" ht="15.75" hidden="false" customHeight="false" outlineLevel="0" collapsed="false">
      <c r="A14204" s="6" t="n">
        <f aca="false">DATE(2026,8,8)</f>
        <v>46242</v>
      </c>
      <c r="B14204" s="4" t="s">
        <v>13</v>
      </c>
      <c r="C14204" s="4" t="n">
        <v>4</v>
      </c>
      <c r="D14204" s="4" t="n">
        <v>9</v>
      </c>
      <c r="E14204" s="4" t="s">
        <v>6886</v>
      </c>
      <c r="F14204" s="4" t="n">
        <v>10</v>
      </c>
      <c r="G14204" s="4" t="n">
        <v>8</v>
      </c>
      <c r="H14204" s="4" t="n">
        <v>2</v>
      </c>
      <c r="I14204" s="4" t="str">
        <v>○</v>
      </c>
      <c r="J14204" s="4" t="n">
        <v>530</v>
      </c>
      <c r="K14204" s="4"/>
      <c r="L14204" s="4"/>
      <c r="M14204" s="7" t="s">
        <v>6871</v>
      </c>
    </row>
    <row r="14205" customFormat="false" ht="15.75" hidden="false" customHeight="false" outlineLevel="0" collapsed="false">
      <c r="A14205" s="6" t="n">
        <f aca="false">DATE(2026,8,8)</f>
        <v>46242</v>
      </c>
      <c r="B14205" s="4" t="s">
        <v>13</v>
      </c>
      <c r="C14205" s="4" t="n">
        <v>4</v>
      </c>
      <c r="D14205" s="4" t="n">
        <v>11</v>
      </c>
      <c r="E14205" s="4"/>
      <c r="F14205" s="4" t="n">
        <v>10</v>
      </c>
      <c r="G14205" s="4" t="n">
        <v>9</v>
      </c>
      <c r="H14205" s="4" t="n">
        <v>4</v>
      </c>
      <c r="I14205" s="4" t="str">
        <v>×</v>
      </c>
      <c r="J14205" s="4"/>
      <c r="K14205" s="4"/>
      <c r="L14205" s="4"/>
      <c r="M14205" s="7" t="s">
        <v>6871</v>
      </c>
    </row>
    <row r="14206" customFormat="false" ht="15.75" hidden="false" customHeight="false" outlineLevel="0" collapsed="false">
      <c r="A14206" s="6" t="n">
        <f aca="false">DATE(2026,8,8)</f>
        <v>46242</v>
      </c>
      <c r="B14206" s="4" t="s">
        <v>13</v>
      </c>
      <c r="C14206" s="4" t="n">
        <v>4</v>
      </c>
      <c r="D14206" s="4" t="n">
        <v>4</v>
      </c>
      <c r="E14206" s="4"/>
      <c r="F14206" s="4" t="n">
        <v>6</v>
      </c>
      <c r="G14206" s="4" t="n">
        <v>10</v>
      </c>
      <c r="H14206" s="4" t="n">
        <v>4</v>
      </c>
      <c r="I14206" s="4" t="str">
        <v>×</v>
      </c>
      <c r="J14206" s="4"/>
      <c r="K14206" s="4"/>
      <c r="L14206" s="4"/>
      <c r="M14206" s="7" t="s">
        <v>6871</v>
      </c>
    </row>
    <row r="14207" customFormat="false" ht="15.75" hidden="false" customHeight="false" outlineLevel="0" collapsed="false">
      <c r="A14207" s="6" t="n">
        <f aca="false">DATE(2026,8,8)</f>
        <v>46242</v>
      </c>
      <c r="B14207" s="4" t="s">
        <v>13</v>
      </c>
      <c r="C14207" s="4" t="n">
        <v>4</v>
      </c>
      <c r="D14207" s="4" t="n">
        <v>7</v>
      </c>
      <c r="E14207" s="4"/>
      <c r="F14207" s="4" t="n">
        <v>6</v>
      </c>
      <c r="G14207" s="4" t="n">
        <v>11</v>
      </c>
      <c r="H14207" s="4" t="n">
        <v>4</v>
      </c>
      <c r="I14207" s="4" t="str">
        <v>×</v>
      </c>
      <c r="J14207" s="4"/>
      <c r="K14207" s="4"/>
      <c r="L14207" s="4"/>
      <c r="M14207" s="7" t="s">
        <v>6871</v>
      </c>
    </row>
    <row r="14208" customFormat="false" ht="15.75" hidden="false" customHeight="false" outlineLevel="0" collapsed="false">
      <c r="A14208" s="6" t="n">
        <f aca="false">DATE(2026,8,8)</f>
        <v>46242</v>
      </c>
      <c r="B14208" s="4" t="s">
        <v>13</v>
      </c>
      <c r="C14208" s="4" t="n">
        <v>4</v>
      </c>
      <c r="D14208" s="4" t="n">
        <v>12</v>
      </c>
      <c r="E14208" s="4"/>
      <c r="F14208" s="4" t="n">
        <v>6</v>
      </c>
      <c r="G14208" s="4" t="n">
        <v>12</v>
      </c>
      <c r="H14208" s="4" t="n">
        <v>4</v>
      </c>
      <c r="I14208" s="4" t="str">
        <v>×</v>
      </c>
      <c r="J14208" s="4"/>
      <c r="K14208" s="4"/>
      <c r="L14208" s="4"/>
      <c r="M14208" s="7" t="s">
        <v>6871</v>
      </c>
    </row>
    <row r="14209" customFormat="false" ht="15.75" hidden="false" customHeight="false" outlineLevel="0" collapsed="false">
      <c r="A14209" s="6" t="n">
        <f aca="false">DATE(2026,8,8)</f>
        <v>46242</v>
      </c>
      <c r="B14209" s="4" t="s">
        <v>13</v>
      </c>
      <c r="C14209" s="4" t="n">
        <v>4</v>
      </c>
      <c r="D14209" s="4" t="n">
        <v>15</v>
      </c>
      <c r="E14209" s="4"/>
      <c r="F14209" s="4" t="n">
        <v>6</v>
      </c>
      <c r="G14209" s="4" t="n">
        <v>13</v>
      </c>
      <c r="H14209" s="4" t="n">
        <v>4</v>
      </c>
      <c r="I14209" s="4" t="str">
        <v>×</v>
      </c>
      <c r="J14209" s="4"/>
      <c r="K14209" s="4"/>
      <c r="L14209" s="4"/>
      <c r="M14209" s="7" t="s">
        <v>6871</v>
      </c>
    </row>
    <row r="14210" customFormat="false" ht="15.75" hidden="false" customHeight="false" outlineLevel="0" collapsed="false">
      <c r="A14210" s="6" t="n">
        <f aca="false">DATE(2026,8,8)</f>
        <v>46242</v>
      </c>
      <c r="B14210" s="4" t="s">
        <v>13</v>
      </c>
      <c r="C14210" s="4" t="n">
        <v>4</v>
      </c>
      <c r="D14210" s="4" t="n">
        <v>2</v>
      </c>
      <c r="E14210" s="4"/>
      <c r="F14210" s="4" t="n">
        <v>4</v>
      </c>
      <c r="G14210" s="4" t="n">
        <v>14</v>
      </c>
      <c r="H14210" s="4" t="n">
        <v>4</v>
      </c>
      <c r="I14210" s="4" t="str">
        <v>×</v>
      </c>
      <c r="J14210" s="4"/>
      <c r="K14210" s="4"/>
      <c r="L14210" s="4"/>
      <c r="M14210" s="7" t="s">
        <v>6871</v>
      </c>
    </row>
    <row r="14211" customFormat="false" ht="15.75" hidden="false" customHeight="false" outlineLevel="0" collapsed="false">
      <c r="A14211" s="6" t="n">
        <f aca="false">DATE(2026,8,8)</f>
        <v>46242</v>
      </c>
      <c r="B14211" s="4" t="s">
        <v>13</v>
      </c>
      <c r="C14211" s="4" t="n">
        <v>4</v>
      </c>
      <c r="D14211" s="4" t="n">
        <v>14</v>
      </c>
      <c r="E14211" s="4"/>
      <c r="F14211" s="4" t="n">
        <v>4</v>
      </c>
      <c r="G14211" s="4" t="n">
        <v>15</v>
      </c>
      <c r="H14211" s="4" t="n">
        <v>4</v>
      </c>
      <c r="I14211" s="4" t="str">
        <v>×</v>
      </c>
      <c r="J14211" s="4"/>
      <c r="K14211" s="4"/>
      <c r="L14211" s="4"/>
      <c r="M14211" s="7" t="s">
        <v>6871</v>
      </c>
    </row>
    <row r="14212" customFormat="false" ht="15.75" hidden="false" customHeight="false" outlineLevel="0" collapsed="false">
      <c r="A14212" s="6" t="n">
        <f aca="false">DATE(2026,8,8)</f>
        <v>46242</v>
      </c>
      <c r="B14212" s="4" t="s">
        <v>13</v>
      </c>
      <c r="C14212" s="4" t="n">
        <v>5</v>
      </c>
      <c r="D14212" s="4" t="n">
        <v>11</v>
      </c>
      <c r="E14212" s="4" t="s">
        <v>1000</v>
      </c>
      <c r="F14212" s="4" t="n">
        <v>65</v>
      </c>
      <c r="G14212" s="4" t="n">
        <v>1</v>
      </c>
      <c r="H14212" s="4" t="n">
        <v>1</v>
      </c>
      <c r="I14212" s="4" t="str">
        <v>○</v>
      </c>
      <c r="J14212" s="4" t="n">
        <v>110</v>
      </c>
      <c r="K14212" s="4"/>
      <c r="L14212" s="4"/>
      <c r="M14212" s="7" t="s">
        <v>6871</v>
      </c>
    </row>
    <row r="14213" customFormat="false" ht="15.75" hidden="false" customHeight="false" outlineLevel="0" collapsed="false">
      <c r="A14213" s="6" t="n">
        <f aca="false">DATE(2026,8,8)</f>
        <v>46242</v>
      </c>
      <c r="B14213" s="4" t="s">
        <v>13</v>
      </c>
      <c r="C14213" s="4" t="n">
        <v>5</v>
      </c>
      <c r="D14213" s="4" t="n">
        <v>4</v>
      </c>
      <c r="E14213" s="4"/>
      <c r="F14213" s="4" t="n">
        <v>39</v>
      </c>
      <c r="G14213" s="4" t="n">
        <v>2</v>
      </c>
      <c r="H14213" s="4" t="n">
        <v>4</v>
      </c>
      <c r="I14213" s="4" t="str">
        <v>×</v>
      </c>
      <c r="J14213" s="4"/>
      <c r="K14213" s="4"/>
      <c r="L14213" s="4"/>
      <c r="M14213" s="7" t="s">
        <v>6871</v>
      </c>
    </row>
    <row r="14214" customFormat="false" ht="15.75" hidden="false" customHeight="false" outlineLevel="0" collapsed="false">
      <c r="A14214" s="6" t="n">
        <f aca="false">DATE(2026,8,8)</f>
        <v>46242</v>
      </c>
      <c r="B14214" s="4" t="s">
        <v>13</v>
      </c>
      <c r="C14214" s="4" t="n">
        <v>5</v>
      </c>
      <c r="D14214" s="4" t="n">
        <v>14</v>
      </c>
      <c r="E14214" s="4"/>
      <c r="F14214" s="4" t="n">
        <v>39</v>
      </c>
      <c r="G14214" s="4" t="n">
        <v>3</v>
      </c>
      <c r="H14214" s="4" t="n">
        <v>4</v>
      </c>
      <c r="I14214" s="4" t="str">
        <v>×</v>
      </c>
      <c r="J14214" s="4"/>
      <c r="K14214" s="4"/>
      <c r="L14214" s="4"/>
      <c r="M14214" s="7" t="s">
        <v>6871</v>
      </c>
    </row>
    <row r="14215" customFormat="false" ht="15.75" hidden="false" customHeight="false" outlineLevel="0" collapsed="false">
      <c r="A14215" s="6" t="n">
        <f aca="false">DATE(2026,8,8)</f>
        <v>46242</v>
      </c>
      <c r="B14215" s="4" t="s">
        <v>13</v>
      </c>
      <c r="C14215" s="4" t="n">
        <v>5</v>
      </c>
      <c r="D14215" s="4" t="n">
        <v>2</v>
      </c>
      <c r="E14215" s="4"/>
      <c r="F14215" s="4" t="n">
        <v>37</v>
      </c>
      <c r="G14215" s="4" t="n">
        <v>4</v>
      </c>
      <c r="H14215" s="4" t="n">
        <v>4</v>
      </c>
      <c r="I14215" s="4" t="str">
        <v>×</v>
      </c>
      <c r="J14215" s="4"/>
      <c r="K14215" s="4"/>
      <c r="L14215" s="4"/>
      <c r="M14215" s="7" t="s">
        <v>6871</v>
      </c>
    </row>
    <row r="14216" customFormat="false" ht="15.75" hidden="false" customHeight="false" outlineLevel="0" collapsed="false">
      <c r="A14216" s="6" t="n">
        <f aca="false">DATE(2026,8,8)</f>
        <v>46242</v>
      </c>
      <c r="B14216" s="4" t="s">
        <v>13</v>
      </c>
      <c r="C14216" s="4" t="n">
        <v>5</v>
      </c>
      <c r="D14216" s="4" t="n">
        <v>8</v>
      </c>
      <c r="E14216" s="4"/>
      <c r="F14216" s="4" t="n">
        <v>25</v>
      </c>
      <c r="G14216" s="4" t="n">
        <v>5</v>
      </c>
      <c r="H14216" s="4" t="n">
        <v>4</v>
      </c>
      <c r="I14216" s="4" t="str">
        <v>×</v>
      </c>
      <c r="J14216" s="4"/>
      <c r="K14216" s="4"/>
      <c r="L14216" s="4"/>
      <c r="M14216" s="7" t="s">
        <v>6871</v>
      </c>
    </row>
    <row r="14217" customFormat="false" ht="15.75" hidden="false" customHeight="false" outlineLevel="0" collapsed="false">
      <c r="A14217" s="6" t="n">
        <f aca="false">DATE(2026,8,8)</f>
        <v>46242</v>
      </c>
      <c r="B14217" s="4" t="s">
        <v>13</v>
      </c>
      <c r="C14217" s="4" t="n">
        <v>5</v>
      </c>
      <c r="D14217" s="4" t="n">
        <v>13</v>
      </c>
      <c r="E14217" s="4"/>
      <c r="F14217" s="4" t="n">
        <v>25</v>
      </c>
      <c r="G14217" s="4" t="n">
        <v>6</v>
      </c>
      <c r="H14217" s="4" t="n">
        <v>4</v>
      </c>
      <c r="I14217" s="4" t="str">
        <v>×</v>
      </c>
      <c r="J14217" s="4"/>
      <c r="K14217" s="4"/>
      <c r="L14217" s="4"/>
      <c r="M14217" s="7" t="s">
        <v>6871</v>
      </c>
    </row>
    <row r="14218" customFormat="false" ht="15.75" hidden="false" customHeight="false" outlineLevel="0" collapsed="false">
      <c r="A14218" s="6" t="n">
        <f aca="false">DATE(2026,8,8)</f>
        <v>46242</v>
      </c>
      <c r="B14218" s="4" t="s">
        <v>13</v>
      </c>
      <c r="C14218" s="4" t="n">
        <v>5</v>
      </c>
      <c r="D14218" s="4" t="n">
        <v>12</v>
      </c>
      <c r="E14218" s="4"/>
      <c r="F14218" s="4" t="n">
        <v>23</v>
      </c>
      <c r="G14218" s="4" t="n">
        <v>7</v>
      </c>
      <c r="H14218" s="4" t="n">
        <v>4</v>
      </c>
      <c r="I14218" s="4" t="str">
        <v>×</v>
      </c>
      <c r="J14218" s="4"/>
      <c r="K14218" s="4"/>
      <c r="L14218" s="4"/>
      <c r="M14218" s="7" t="s">
        <v>6871</v>
      </c>
    </row>
    <row r="14219" customFormat="false" ht="15.75" hidden="false" customHeight="false" outlineLevel="0" collapsed="false">
      <c r="A14219" s="6" t="n">
        <f aca="false">DATE(2026,8,8)</f>
        <v>46242</v>
      </c>
      <c r="B14219" s="4" t="s">
        <v>13</v>
      </c>
      <c r="C14219" s="4" t="n">
        <v>5</v>
      </c>
      <c r="D14219" s="4" t="n">
        <v>1</v>
      </c>
      <c r="E14219" s="4" t="s">
        <v>631</v>
      </c>
      <c r="F14219" s="4" t="n">
        <v>13</v>
      </c>
      <c r="G14219" s="4" t="n">
        <v>8</v>
      </c>
      <c r="H14219" s="4" t="n">
        <v>3</v>
      </c>
      <c r="I14219" s="4" t="str">
        <v>○</v>
      </c>
      <c r="J14219" s="4" t="n">
        <v>930</v>
      </c>
      <c r="K14219" s="4"/>
      <c r="L14219" s="4"/>
      <c r="M14219" s="7" t="s">
        <v>6871</v>
      </c>
    </row>
    <row r="14220" customFormat="false" ht="15.75" hidden="false" customHeight="false" outlineLevel="0" collapsed="false">
      <c r="A14220" s="6" t="n">
        <f aca="false">DATE(2026,8,8)</f>
        <v>46242</v>
      </c>
      <c r="B14220" s="4" t="s">
        <v>13</v>
      </c>
      <c r="C14220" s="4" t="n">
        <v>5</v>
      </c>
      <c r="D14220" s="4" t="n">
        <v>6</v>
      </c>
      <c r="E14220" s="4"/>
      <c r="F14220" s="4" t="n">
        <v>13</v>
      </c>
      <c r="G14220" s="4" t="n">
        <v>9</v>
      </c>
      <c r="H14220" s="4" t="n">
        <v>4</v>
      </c>
      <c r="I14220" s="4" t="str">
        <v>×</v>
      </c>
      <c r="J14220" s="4"/>
      <c r="K14220" s="4"/>
      <c r="L14220" s="4"/>
      <c r="M14220" s="7" t="s">
        <v>6871</v>
      </c>
    </row>
    <row r="14221" customFormat="false" ht="15.75" hidden="false" customHeight="false" outlineLevel="0" collapsed="false">
      <c r="A14221" s="6" t="n">
        <f aca="false">DATE(2026,8,8)</f>
        <v>46242</v>
      </c>
      <c r="B14221" s="4" t="s">
        <v>13</v>
      </c>
      <c r="C14221" s="4" t="n">
        <v>5</v>
      </c>
      <c r="D14221" s="4" t="n">
        <v>10</v>
      </c>
      <c r="E14221" s="4"/>
      <c r="F14221" s="4" t="n">
        <v>10</v>
      </c>
      <c r="G14221" s="4" t="n">
        <v>10</v>
      </c>
      <c r="H14221" s="4" t="n">
        <v>4</v>
      </c>
      <c r="I14221" s="4" t="str">
        <v>×</v>
      </c>
      <c r="J14221" s="4"/>
      <c r="K14221" s="4"/>
      <c r="L14221" s="4"/>
      <c r="M14221" s="7" t="s">
        <v>6871</v>
      </c>
    </row>
    <row r="14222" customFormat="false" ht="15.75" hidden="false" customHeight="false" outlineLevel="0" collapsed="false">
      <c r="A14222" s="6" t="n">
        <f aca="false">DATE(2026,8,8)</f>
        <v>46242</v>
      </c>
      <c r="B14222" s="4" t="s">
        <v>13</v>
      </c>
      <c r="C14222" s="4" t="n">
        <v>5</v>
      </c>
      <c r="D14222" s="4" t="n">
        <v>3</v>
      </c>
      <c r="E14222" s="4"/>
      <c r="F14222" s="4" t="n">
        <v>8</v>
      </c>
      <c r="G14222" s="4" t="n">
        <v>11</v>
      </c>
      <c r="H14222" s="4" t="n">
        <v>4</v>
      </c>
      <c r="I14222" s="4" t="str">
        <v>×</v>
      </c>
      <c r="J14222" s="4"/>
      <c r="K14222" s="4"/>
      <c r="L14222" s="4"/>
      <c r="M14222" s="7" t="s">
        <v>6871</v>
      </c>
    </row>
    <row r="14223" customFormat="false" ht="15.75" hidden="false" customHeight="false" outlineLevel="0" collapsed="false">
      <c r="A14223" s="6" t="n">
        <f aca="false">DATE(2026,8,8)</f>
        <v>46242</v>
      </c>
      <c r="B14223" s="4" t="s">
        <v>13</v>
      </c>
      <c r="C14223" s="4" t="n">
        <v>5</v>
      </c>
      <c r="D14223" s="4" t="n">
        <v>15</v>
      </c>
      <c r="E14223" s="4"/>
      <c r="F14223" s="4" t="n">
        <v>8</v>
      </c>
      <c r="G14223" s="4" t="n">
        <v>12</v>
      </c>
      <c r="H14223" s="4" t="n">
        <v>4</v>
      </c>
      <c r="I14223" s="4" t="str">
        <v>×</v>
      </c>
      <c r="J14223" s="4"/>
      <c r="K14223" s="4"/>
      <c r="L14223" s="4"/>
      <c r="M14223" s="7" t="s">
        <v>6871</v>
      </c>
    </row>
    <row r="14224" customFormat="false" ht="15.75" hidden="false" customHeight="false" outlineLevel="0" collapsed="false">
      <c r="A14224" s="6" t="n">
        <f aca="false">DATE(2026,8,8)</f>
        <v>46242</v>
      </c>
      <c r="B14224" s="4" t="s">
        <v>13</v>
      </c>
      <c r="C14224" s="4" t="n">
        <v>5</v>
      </c>
      <c r="D14224" s="4" t="n">
        <v>5</v>
      </c>
      <c r="E14224" s="4" t="s">
        <v>4880</v>
      </c>
      <c r="F14224" s="4" t="n">
        <v>6</v>
      </c>
      <c r="G14224" s="4" t="n">
        <v>13</v>
      </c>
      <c r="H14224" s="4" t="n">
        <v>2</v>
      </c>
      <c r="I14224" s="4" t="str">
        <v>○</v>
      </c>
      <c r="J14224" s="4" t="n">
        <v>970</v>
      </c>
      <c r="K14224" s="4"/>
      <c r="L14224" s="4"/>
      <c r="M14224" s="7" t="s">
        <v>6871</v>
      </c>
    </row>
    <row r="14225" customFormat="false" ht="15.75" hidden="false" customHeight="false" outlineLevel="0" collapsed="false">
      <c r="A14225" s="6" t="n">
        <f aca="false">DATE(2026,8,8)</f>
        <v>46242</v>
      </c>
      <c r="B14225" s="4" t="s">
        <v>13</v>
      </c>
      <c r="C14225" s="4" t="n">
        <v>5</v>
      </c>
      <c r="D14225" s="4" t="n">
        <v>7</v>
      </c>
      <c r="E14225" s="4"/>
      <c r="F14225" s="4" t="n">
        <v>4</v>
      </c>
      <c r="G14225" s="4" t="n">
        <v>14</v>
      </c>
      <c r="H14225" s="4" t="n">
        <v>4</v>
      </c>
      <c r="I14225" s="4" t="str">
        <v>×</v>
      </c>
      <c r="J14225" s="4"/>
      <c r="K14225" s="4"/>
      <c r="L14225" s="4"/>
      <c r="M14225" s="7" t="s">
        <v>6871</v>
      </c>
    </row>
    <row r="14226" customFormat="false" ht="15.75" hidden="false" customHeight="false" outlineLevel="0" collapsed="false">
      <c r="A14226" s="6" t="n">
        <f aca="false">DATE(2026,8,8)</f>
        <v>46242</v>
      </c>
      <c r="B14226" s="4" t="s">
        <v>13</v>
      </c>
      <c r="C14226" s="4" t="n">
        <v>5</v>
      </c>
      <c r="D14226" s="4" t="n">
        <v>9</v>
      </c>
      <c r="E14226" s="4"/>
      <c r="F14226" s="4" t="n">
        <v>4</v>
      </c>
      <c r="G14226" s="4" t="n">
        <v>15</v>
      </c>
      <c r="H14226" s="4" t="n">
        <v>4</v>
      </c>
      <c r="I14226" s="4" t="str">
        <v>×</v>
      </c>
      <c r="J14226" s="4"/>
      <c r="K14226" s="4"/>
      <c r="L14226" s="4"/>
      <c r="M14226" s="7" t="s">
        <v>6871</v>
      </c>
    </row>
    <row r="14227" customFormat="false" ht="15.75" hidden="false" customHeight="false" outlineLevel="0" collapsed="false">
      <c r="A14227" s="6" t="n">
        <f aca="false">DATE(2026,8,8)</f>
        <v>46242</v>
      </c>
      <c r="B14227" s="4" t="s">
        <v>13</v>
      </c>
      <c r="C14227" s="4" t="n">
        <v>6</v>
      </c>
      <c r="D14227" s="4" t="n">
        <v>2</v>
      </c>
      <c r="E14227" s="4" t="s">
        <v>5865</v>
      </c>
      <c r="F14227" s="4" t="n">
        <v>81</v>
      </c>
      <c r="G14227" s="4" t="n">
        <v>1</v>
      </c>
      <c r="H14227" s="4" t="n">
        <v>2</v>
      </c>
      <c r="I14227" s="4" t="str">
        <v>○</v>
      </c>
      <c r="J14227" s="4" t="n">
        <v>110</v>
      </c>
      <c r="K14227" s="4"/>
      <c r="L14227" s="4"/>
      <c r="M14227" s="7" t="s">
        <v>6871</v>
      </c>
    </row>
    <row r="14228" customFormat="false" ht="15.75" hidden="false" customHeight="false" outlineLevel="0" collapsed="false">
      <c r="A14228" s="6" t="n">
        <f aca="false">DATE(2026,8,8)</f>
        <v>46242</v>
      </c>
      <c r="B14228" s="4" t="s">
        <v>13</v>
      </c>
      <c r="C14228" s="4" t="n">
        <v>6</v>
      </c>
      <c r="D14228" s="4" t="n">
        <v>5</v>
      </c>
      <c r="E14228" s="4"/>
      <c r="F14228" s="4" t="n">
        <v>44</v>
      </c>
      <c r="G14228" s="4" t="n">
        <v>2</v>
      </c>
      <c r="H14228" s="4" t="n">
        <v>4</v>
      </c>
      <c r="I14228" s="4" t="str">
        <v>×</v>
      </c>
      <c r="J14228" s="4"/>
      <c r="K14228" s="4"/>
      <c r="L14228" s="4"/>
      <c r="M14228" s="7" t="s">
        <v>6871</v>
      </c>
    </row>
    <row r="14229" customFormat="false" ht="15.75" hidden="false" customHeight="false" outlineLevel="0" collapsed="false">
      <c r="A14229" s="6" t="n">
        <f aca="false">DATE(2026,8,8)</f>
        <v>46242</v>
      </c>
      <c r="B14229" s="4" t="s">
        <v>13</v>
      </c>
      <c r="C14229" s="4" t="n">
        <v>6</v>
      </c>
      <c r="D14229" s="4" t="n">
        <v>8</v>
      </c>
      <c r="E14229" s="4" t="s">
        <v>6887</v>
      </c>
      <c r="F14229" s="4" t="n">
        <v>74</v>
      </c>
      <c r="G14229" s="4" t="n">
        <v>3</v>
      </c>
      <c r="H14229" s="4" t="n">
        <v>1</v>
      </c>
      <c r="I14229" s="4" t="str">
        <v>○</v>
      </c>
      <c r="J14229" s="4" t="n">
        <v>110</v>
      </c>
      <c r="K14229" s="4"/>
      <c r="L14229" s="4"/>
      <c r="M14229" s="7" t="s">
        <v>6871</v>
      </c>
    </row>
    <row r="14230" customFormat="false" ht="15.75" hidden="false" customHeight="false" outlineLevel="0" collapsed="false">
      <c r="A14230" s="6" t="n">
        <f aca="false">DATE(2026,8,8)</f>
        <v>46242</v>
      </c>
      <c r="B14230" s="4" t="s">
        <v>13</v>
      </c>
      <c r="C14230" s="4" t="n">
        <v>6</v>
      </c>
      <c r="D14230" s="4" t="n">
        <v>10</v>
      </c>
      <c r="E14230" s="4" t="s">
        <v>82</v>
      </c>
      <c r="F14230" s="4" t="n">
        <v>20</v>
      </c>
      <c r="G14230" s="4" t="n">
        <v>4</v>
      </c>
      <c r="H14230" s="4" t="n">
        <v>3</v>
      </c>
      <c r="I14230" s="4" t="str">
        <v>○</v>
      </c>
      <c r="J14230" s="4" t="n">
        <v>180</v>
      </c>
      <c r="K14230" s="4"/>
      <c r="L14230" s="4"/>
      <c r="M14230" s="7" t="s">
        <v>6871</v>
      </c>
    </row>
    <row r="14231" customFormat="false" ht="15.75" hidden="false" customHeight="false" outlineLevel="0" collapsed="false">
      <c r="A14231" s="6" t="n">
        <f aca="false">DATE(2026,8,8)</f>
        <v>46242</v>
      </c>
      <c r="B14231" s="4" t="s">
        <v>13</v>
      </c>
      <c r="C14231" s="4" t="n">
        <v>6</v>
      </c>
      <c r="D14231" s="4" t="n">
        <v>4</v>
      </c>
      <c r="E14231" s="4"/>
      <c r="F14231" s="4" t="n">
        <v>13</v>
      </c>
      <c r="G14231" s="4" t="n">
        <v>5</v>
      </c>
      <c r="H14231" s="4" t="n">
        <v>4</v>
      </c>
      <c r="I14231" s="4" t="str">
        <v>×</v>
      </c>
      <c r="J14231" s="4"/>
      <c r="K14231" s="4"/>
      <c r="L14231" s="4"/>
      <c r="M14231" s="7" t="s">
        <v>6871</v>
      </c>
    </row>
    <row r="14232" customFormat="false" ht="15.75" hidden="false" customHeight="false" outlineLevel="0" collapsed="false">
      <c r="A14232" s="6" t="n">
        <f aca="false">DATE(2026,8,8)</f>
        <v>46242</v>
      </c>
      <c r="B14232" s="4" t="s">
        <v>13</v>
      </c>
      <c r="C14232" s="4" t="n">
        <v>6</v>
      </c>
      <c r="D14232" s="4" t="n">
        <v>1</v>
      </c>
      <c r="E14232" s="4"/>
      <c r="F14232" s="4" t="n">
        <v>10</v>
      </c>
      <c r="G14232" s="4" t="n">
        <v>6</v>
      </c>
      <c r="H14232" s="4" t="n">
        <v>4</v>
      </c>
      <c r="I14232" s="4" t="str">
        <v>×</v>
      </c>
      <c r="J14232" s="4"/>
      <c r="K14232" s="4"/>
      <c r="L14232" s="4"/>
      <c r="M14232" s="7" t="s">
        <v>6871</v>
      </c>
    </row>
    <row r="14233" customFormat="false" ht="15.75" hidden="false" customHeight="false" outlineLevel="0" collapsed="false">
      <c r="A14233" s="6" t="n">
        <f aca="false">DATE(2026,8,8)</f>
        <v>46242</v>
      </c>
      <c r="B14233" s="4" t="s">
        <v>13</v>
      </c>
      <c r="C14233" s="4" t="n">
        <v>6</v>
      </c>
      <c r="D14233" s="4" t="n">
        <v>6</v>
      </c>
      <c r="E14233" s="4"/>
      <c r="F14233" s="4" t="n">
        <v>10</v>
      </c>
      <c r="G14233" s="4" t="n">
        <v>7</v>
      </c>
      <c r="H14233" s="4" t="n">
        <v>4</v>
      </c>
      <c r="I14233" s="4" t="str">
        <v>×</v>
      </c>
      <c r="J14233" s="4"/>
      <c r="K14233" s="4"/>
      <c r="L14233" s="4"/>
      <c r="M14233" s="7" t="s">
        <v>6871</v>
      </c>
    </row>
    <row r="14234" customFormat="false" ht="15.75" hidden="false" customHeight="false" outlineLevel="0" collapsed="false">
      <c r="A14234" s="6" t="n">
        <f aca="false">DATE(2026,8,8)</f>
        <v>46242</v>
      </c>
      <c r="B14234" s="4" t="s">
        <v>13</v>
      </c>
      <c r="C14234" s="4" t="n">
        <v>6</v>
      </c>
      <c r="D14234" s="4" t="n">
        <v>3</v>
      </c>
      <c r="E14234" s="4"/>
      <c r="F14234" s="4" t="n">
        <v>8</v>
      </c>
      <c r="G14234" s="4" t="n">
        <v>8</v>
      </c>
      <c r="H14234" s="4" t="n">
        <v>4</v>
      </c>
      <c r="I14234" s="4" t="str">
        <v>×</v>
      </c>
      <c r="J14234" s="4"/>
      <c r="K14234" s="4"/>
      <c r="L14234" s="4"/>
      <c r="M14234" s="7" t="s">
        <v>6871</v>
      </c>
    </row>
    <row r="14235" customFormat="false" ht="15.75" hidden="false" customHeight="false" outlineLevel="0" collapsed="false">
      <c r="A14235" s="6" t="n">
        <f aca="false">DATE(2026,8,8)</f>
        <v>46242</v>
      </c>
      <c r="B14235" s="4" t="s">
        <v>13</v>
      </c>
      <c r="C14235" s="4" t="n">
        <v>6</v>
      </c>
      <c r="D14235" s="4" t="n">
        <v>9</v>
      </c>
      <c r="E14235" s="4"/>
      <c r="F14235" s="4" t="n">
        <v>4</v>
      </c>
      <c r="G14235" s="4" t="n">
        <v>9</v>
      </c>
      <c r="H14235" s="4" t="n">
        <v>4</v>
      </c>
      <c r="I14235" s="4" t="str">
        <v>×</v>
      </c>
      <c r="J14235" s="4"/>
      <c r="K14235" s="4"/>
      <c r="L14235" s="4"/>
      <c r="M14235" s="7" t="s">
        <v>6871</v>
      </c>
    </row>
    <row r="14236" customFormat="false" ht="15.75" hidden="false" customHeight="false" outlineLevel="0" collapsed="false">
      <c r="A14236" s="6" t="n">
        <f aca="false">DATE(2026,8,8)</f>
        <v>46242</v>
      </c>
      <c r="B14236" s="4" t="s">
        <v>13</v>
      </c>
      <c r="C14236" s="4" t="n">
        <v>6</v>
      </c>
      <c r="D14236" s="4" t="n">
        <v>7</v>
      </c>
      <c r="E14236" s="4"/>
      <c r="F14236" s="4" t="n">
        <v>2</v>
      </c>
      <c r="G14236" s="4" t="n">
        <v>10</v>
      </c>
      <c r="H14236" s="4" t="n">
        <v>4</v>
      </c>
      <c r="I14236" s="4" t="str">
        <v>×</v>
      </c>
      <c r="J14236" s="4"/>
      <c r="K14236" s="4"/>
      <c r="L14236" s="4"/>
      <c r="M14236" s="7" t="s">
        <v>6871</v>
      </c>
    </row>
    <row r="14237" customFormat="false" ht="15.75" hidden="false" customHeight="false" outlineLevel="0" collapsed="false">
      <c r="A14237" s="6" t="n">
        <f aca="false">DATE(2026,8,8)</f>
        <v>46242</v>
      </c>
      <c r="B14237" s="4" t="s">
        <v>13</v>
      </c>
      <c r="C14237" s="4" t="n">
        <v>7</v>
      </c>
      <c r="D14237" s="4" t="n">
        <v>6</v>
      </c>
      <c r="E14237" s="4" t="s">
        <v>6888</v>
      </c>
      <c r="F14237" s="4" t="n">
        <v>44</v>
      </c>
      <c r="G14237" s="4" t="n">
        <v>1</v>
      </c>
      <c r="H14237" s="4" t="n">
        <v>3</v>
      </c>
      <c r="I14237" s="4" t="str">
        <v>○</v>
      </c>
      <c r="J14237" s="4" t="n">
        <v>300</v>
      </c>
      <c r="K14237" s="4"/>
      <c r="L14237" s="4"/>
      <c r="M14237" s="7" t="s">
        <v>6871</v>
      </c>
    </row>
    <row r="14238" customFormat="false" ht="15.75" hidden="false" customHeight="false" outlineLevel="0" collapsed="false">
      <c r="A14238" s="6" t="n">
        <f aca="false">DATE(2026,8,8)</f>
        <v>46242</v>
      </c>
      <c r="B14238" s="4" t="s">
        <v>13</v>
      </c>
      <c r="C14238" s="4" t="n">
        <v>7</v>
      </c>
      <c r="D14238" s="4" t="n">
        <v>7</v>
      </c>
      <c r="E14238" s="4"/>
      <c r="F14238" s="4" t="n">
        <v>37</v>
      </c>
      <c r="G14238" s="4" t="n">
        <v>2</v>
      </c>
      <c r="H14238" s="4" t="n">
        <v>4</v>
      </c>
      <c r="I14238" s="4" t="str">
        <v>×</v>
      </c>
      <c r="J14238" s="4"/>
      <c r="K14238" s="4"/>
      <c r="L14238" s="4"/>
      <c r="M14238" s="7" t="s">
        <v>6871</v>
      </c>
    </row>
    <row r="14239" customFormat="false" ht="15.75" hidden="false" customHeight="false" outlineLevel="0" collapsed="false">
      <c r="A14239" s="6" t="n">
        <f aca="false">DATE(2026,8,8)</f>
        <v>46242</v>
      </c>
      <c r="B14239" s="4" t="s">
        <v>13</v>
      </c>
      <c r="C14239" s="4" t="n">
        <v>7</v>
      </c>
      <c r="D14239" s="4" t="n">
        <v>1</v>
      </c>
      <c r="E14239" s="4"/>
      <c r="F14239" s="4" t="n">
        <v>39</v>
      </c>
      <c r="G14239" s="4" t="n">
        <v>3</v>
      </c>
      <c r="H14239" s="4" t="n">
        <v>4</v>
      </c>
      <c r="I14239" s="4" t="str">
        <v>×</v>
      </c>
      <c r="J14239" s="4"/>
      <c r="K14239" s="4"/>
      <c r="L14239" s="4"/>
      <c r="M14239" s="7" t="s">
        <v>6871</v>
      </c>
    </row>
    <row r="14240" customFormat="false" ht="15.75" hidden="false" customHeight="false" outlineLevel="0" collapsed="false">
      <c r="A14240" s="6" t="n">
        <f aca="false">DATE(2026,8,8)</f>
        <v>46242</v>
      </c>
      <c r="B14240" s="4" t="s">
        <v>13</v>
      </c>
      <c r="C14240" s="4" t="n">
        <v>7</v>
      </c>
      <c r="D14240" s="4" t="n">
        <v>4</v>
      </c>
      <c r="E14240" s="4" t="s">
        <v>6492</v>
      </c>
      <c r="F14240" s="4" t="n">
        <v>29</v>
      </c>
      <c r="G14240" s="4" t="n">
        <v>4</v>
      </c>
      <c r="H14240" s="4" t="n">
        <v>1</v>
      </c>
      <c r="I14240" s="4" t="str">
        <v>○</v>
      </c>
      <c r="J14240" s="4" t="n">
        <v>160</v>
      </c>
      <c r="K14240" s="4"/>
      <c r="L14240" s="4"/>
      <c r="M14240" s="7" t="s">
        <v>6871</v>
      </c>
    </row>
    <row r="14241" customFormat="false" ht="15.75" hidden="false" customHeight="false" outlineLevel="0" collapsed="false">
      <c r="A14241" s="6" t="n">
        <f aca="false">DATE(2026,8,8)</f>
        <v>46242</v>
      </c>
      <c r="B14241" s="4" t="s">
        <v>13</v>
      </c>
      <c r="C14241" s="4" t="n">
        <v>7</v>
      </c>
      <c r="D14241" s="4" t="n">
        <v>2</v>
      </c>
      <c r="E14241" s="4"/>
      <c r="F14241" s="4" t="n">
        <v>25</v>
      </c>
      <c r="G14241" s="4" t="n">
        <v>5</v>
      </c>
      <c r="H14241" s="4" t="n">
        <v>4</v>
      </c>
      <c r="I14241" s="4" t="str">
        <v>×</v>
      </c>
      <c r="J14241" s="4"/>
      <c r="K14241" s="4"/>
      <c r="L14241" s="4"/>
      <c r="M14241" s="7" t="s">
        <v>6871</v>
      </c>
    </row>
    <row r="14242" customFormat="false" ht="15.75" hidden="false" customHeight="false" outlineLevel="0" collapsed="false">
      <c r="A14242" s="6" t="n">
        <f aca="false">DATE(2026,8,8)</f>
        <v>46242</v>
      </c>
      <c r="B14242" s="4" t="s">
        <v>13</v>
      </c>
      <c r="C14242" s="4" t="n">
        <v>7</v>
      </c>
      <c r="D14242" s="4" t="n">
        <v>8</v>
      </c>
      <c r="E14242" s="4"/>
      <c r="F14242" s="4" t="n">
        <v>23</v>
      </c>
      <c r="G14242" s="4" t="n">
        <v>6</v>
      </c>
      <c r="H14242" s="4" t="n">
        <v>4</v>
      </c>
      <c r="I14242" s="4" t="str">
        <v>×</v>
      </c>
      <c r="J14242" s="4"/>
      <c r="K14242" s="4"/>
      <c r="L14242" s="4"/>
      <c r="M14242" s="7" t="s">
        <v>6871</v>
      </c>
    </row>
    <row r="14243" customFormat="false" ht="15.75" hidden="false" customHeight="false" outlineLevel="0" collapsed="false">
      <c r="A14243" s="6" t="n">
        <f aca="false">DATE(2026,8,8)</f>
        <v>46242</v>
      </c>
      <c r="B14243" s="4" t="s">
        <v>13</v>
      </c>
      <c r="C14243" s="4" t="n">
        <v>7</v>
      </c>
      <c r="D14243" s="4" t="n">
        <v>9</v>
      </c>
      <c r="E14243" s="4"/>
      <c r="F14243" s="4" t="n">
        <v>23</v>
      </c>
      <c r="G14243" s="4" t="n">
        <v>7</v>
      </c>
      <c r="H14243" s="4" t="n">
        <v>4</v>
      </c>
      <c r="I14243" s="4" t="str">
        <v>×</v>
      </c>
      <c r="J14243" s="4"/>
      <c r="K14243" s="4"/>
      <c r="L14243" s="4"/>
      <c r="M14243" s="7" t="s">
        <v>6871</v>
      </c>
    </row>
    <row r="14244" customFormat="false" ht="15.75" hidden="false" customHeight="false" outlineLevel="0" collapsed="false">
      <c r="A14244" s="6" t="n">
        <f aca="false">DATE(2026,8,8)</f>
        <v>46242</v>
      </c>
      <c r="B14244" s="4" t="s">
        <v>13</v>
      </c>
      <c r="C14244" s="4" t="n">
        <v>7</v>
      </c>
      <c r="D14244" s="4" t="n">
        <v>15</v>
      </c>
      <c r="E14244" s="4"/>
      <c r="F14244" s="4" t="n">
        <v>20</v>
      </c>
      <c r="G14244" s="4" t="n">
        <v>8</v>
      </c>
      <c r="H14244" s="4" t="n">
        <v>4</v>
      </c>
      <c r="I14244" s="4" t="str">
        <v>×</v>
      </c>
      <c r="J14244" s="4"/>
      <c r="K14244" s="4"/>
      <c r="L14244" s="4"/>
      <c r="M14244" s="7" t="s">
        <v>6871</v>
      </c>
    </row>
    <row r="14245" customFormat="false" ht="15.75" hidden="false" customHeight="false" outlineLevel="0" collapsed="false">
      <c r="A14245" s="6" t="n">
        <f aca="false">DATE(2026,8,8)</f>
        <v>46242</v>
      </c>
      <c r="B14245" s="4" t="s">
        <v>13</v>
      </c>
      <c r="C14245" s="4" t="n">
        <v>7</v>
      </c>
      <c r="D14245" s="4" t="n">
        <v>11</v>
      </c>
      <c r="E14245" s="4" t="s">
        <v>5718</v>
      </c>
      <c r="F14245" s="4" t="n">
        <v>15</v>
      </c>
      <c r="G14245" s="4" t="n">
        <v>9</v>
      </c>
      <c r="H14245" s="4" t="n">
        <v>2</v>
      </c>
      <c r="I14245" s="4" t="str">
        <v>○</v>
      </c>
      <c r="J14245" s="4" t="n">
        <v>730</v>
      </c>
      <c r="K14245" s="4"/>
      <c r="L14245" s="4"/>
      <c r="M14245" s="7" t="s">
        <v>6871</v>
      </c>
    </row>
    <row r="14246" customFormat="false" ht="15.75" hidden="false" customHeight="false" outlineLevel="0" collapsed="false">
      <c r="A14246" s="6" t="n">
        <f aca="false">DATE(2026,8,8)</f>
        <v>46242</v>
      </c>
      <c r="B14246" s="4" t="s">
        <v>13</v>
      </c>
      <c r="C14246" s="4" t="n">
        <v>7</v>
      </c>
      <c r="D14246" s="4" t="n">
        <v>5</v>
      </c>
      <c r="E14246" s="4"/>
      <c r="F14246" s="4" t="n">
        <v>13</v>
      </c>
      <c r="G14246" s="4" t="n">
        <v>10</v>
      </c>
      <c r="H14246" s="4" t="n">
        <v>4</v>
      </c>
      <c r="I14246" s="4" t="str">
        <v>×</v>
      </c>
      <c r="J14246" s="4"/>
      <c r="K14246" s="4"/>
      <c r="L14246" s="4"/>
      <c r="M14246" s="7" t="s">
        <v>6871</v>
      </c>
    </row>
    <row r="14247" customFormat="false" ht="15.75" hidden="false" customHeight="false" outlineLevel="0" collapsed="false">
      <c r="A14247" s="6" t="n">
        <f aca="false">DATE(2026,8,8)</f>
        <v>46242</v>
      </c>
      <c r="B14247" s="4" t="s">
        <v>13</v>
      </c>
      <c r="C14247" s="4" t="n">
        <v>7</v>
      </c>
      <c r="D14247" s="4" t="n">
        <v>3</v>
      </c>
      <c r="E14247" s="4"/>
      <c r="F14247" s="4" t="n">
        <v>10</v>
      </c>
      <c r="G14247" s="4" t="n">
        <v>11</v>
      </c>
      <c r="H14247" s="4" t="n">
        <v>4</v>
      </c>
      <c r="I14247" s="4" t="str">
        <v>×</v>
      </c>
      <c r="J14247" s="4"/>
      <c r="K14247" s="4"/>
      <c r="L14247" s="4"/>
      <c r="M14247" s="7" t="s">
        <v>6871</v>
      </c>
    </row>
    <row r="14248" customFormat="false" ht="15.75" hidden="false" customHeight="false" outlineLevel="0" collapsed="false">
      <c r="A14248" s="6" t="n">
        <f aca="false">DATE(2026,8,8)</f>
        <v>46242</v>
      </c>
      <c r="B14248" s="4" t="s">
        <v>13</v>
      </c>
      <c r="C14248" s="4" t="n">
        <v>7</v>
      </c>
      <c r="D14248" s="4" t="n">
        <v>13</v>
      </c>
      <c r="E14248" s="4"/>
      <c r="F14248" s="4" t="n">
        <v>6</v>
      </c>
      <c r="G14248" s="4" t="n">
        <v>12</v>
      </c>
      <c r="H14248" s="4" t="n">
        <v>4</v>
      </c>
      <c r="I14248" s="4" t="str">
        <v>×</v>
      </c>
      <c r="J14248" s="4"/>
      <c r="K14248" s="4"/>
      <c r="L14248" s="4"/>
      <c r="M14248" s="7" t="s">
        <v>6871</v>
      </c>
    </row>
    <row r="14249" customFormat="false" ht="15.75" hidden="false" customHeight="false" outlineLevel="0" collapsed="false">
      <c r="A14249" s="6" t="n">
        <f aca="false">DATE(2026,8,8)</f>
        <v>46242</v>
      </c>
      <c r="B14249" s="4" t="s">
        <v>13</v>
      </c>
      <c r="C14249" s="4" t="n">
        <v>7</v>
      </c>
      <c r="D14249" s="4" t="n">
        <v>14</v>
      </c>
      <c r="E14249" s="4"/>
      <c r="F14249" s="4" t="n">
        <v>6</v>
      </c>
      <c r="G14249" s="4" t="n">
        <v>13</v>
      </c>
      <c r="H14249" s="4" t="n">
        <v>4</v>
      </c>
      <c r="I14249" s="4" t="str">
        <v>×</v>
      </c>
      <c r="J14249" s="4"/>
      <c r="K14249" s="4"/>
      <c r="L14249" s="4"/>
      <c r="M14249" s="7" t="s">
        <v>6871</v>
      </c>
    </row>
    <row r="14250" customFormat="false" ht="15.75" hidden="false" customHeight="false" outlineLevel="0" collapsed="false">
      <c r="A14250" s="6" t="n">
        <f aca="false">DATE(2026,8,8)</f>
        <v>46242</v>
      </c>
      <c r="B14250" s="4" t="s">
        <v>13</v>
      </c>
      <c r="C14250" s="4" t="n">
        <v>7</v>
      </c>
      <c r="D14250" s="4" t="n">
        <v>10</v>
      </c>
      <c r="E14250" s="4"/>
      <c r="F14250" s="4" t="n">
        <v>4</v>
      </c>
      <c r="G14250" s="4" t="n">
        <v>14</v>
      </c>
      <c r="H14250" s="4" t="n">
        <v>4</v>
      </c>
      <c r="I14250" s="4" t="str">
        <v>×</v>
      </c>
      <c r="J14250" s="4"/>
      <c r="K14250" s="4"/>
      <c r="L14250" s="4"/>
      <c r="M14250" s="7" t="s">
        <v>6871</v>
      </c>
    </row>
    <row r="14251" customFormat="false" ht="15.75" hidden="false" customHeight="false" outlineLevel="0" collapsed="false">
      <c r="A14251" s="6" t="n">
        <f aca="false">DATE(2026,8,8)</f>
        <v>46242</v>
      </c>
      <c r="B14251" s="4" t="s">
        <v>13</v>
      </c>
      <c r="C14251" s="4" t="n">
        <v>7</v>
      </c>
      <c r="D14251" s="4" t="n">
        <v>16</v>
      </c>
      <c r="E14251" s="4"/>
      <c r="F14251" s="4" t="n">
        <v>4</v>
      </c>
      <c r="G14251" s="4" t="n">
        <v>15</v>
      </c>
      <c r="H14251" s="4" t="n">
        <v>4</v>
      </c>
      <c r="I14251" s="4" t="str">
        <v>×</v>
      </c>
      <c r="J14251" s="4"/>
      <c r="K14251" s="4"/>
      <c r="L14251" s="4"/>
      <c r="M14251" s="7" t="s">
        <v>6871</v>
      </c>
    </row>
    <row r="14252" customFormat="false" ht="15.75" hidden="false" customHeight="false" outlineLevel="0" collapsed="false">
      <c r="A14252" s="6" t="n">
        <f aca="false">DATE(2026,8,8)</f>
        <v>46242</v>
      </c>
      <c r="B14252" s="4" t="s">
        <v>13</v>
      </c>
      <c r="C14252" s="4" t="n">
        <v>7</v>
      </c>
      <c r="D14252" s="4" t="n">
        <v>12</v>
      </c>
      <c r="E14252" s="4"/>
      <c r="F14252" s="4" t="n">
        <v>1</v>
      </c>
      <c r="G14252" s="4" t="n">
        <v>16</v>
      </c>
      <c r="H14252" s="4" t="n">
        <v>4</v>
      </c>
      <c r="I14252" s="4" t="str">
        <v>×</v>
      </c>
      <c r="J14252" s="4"/>
      <c r="K14252" s="4"/>
      <c r="L14252" s="4"/>
      <c r="M14252" s="7" t="s">
        <v>6871</v>
      </c>
    </row>
    <row r="14253" customFormat="false" ht="15.75" hidden="false" customHeight="false" outlineLevel="0" collapsed="false">
      <c r="A14253" s="6" t="n">
        <f aca="false">DATE(2026,8,8)</f>
        <v>46242</v>
      </c>
      <c r="B14253" s="4" t="s">
        <v>13</v>
      </c>
      <c r="C14253" s="4" t="n">
        <v>8</v>
      </c>
      <c r="D14253" s="4" t="n">
        <v>5</v>
      </c>
      <c r="E14253" s="4" t="s">
        <v>6889</v>
      </c>
      <c r="F14253" s="4" t="n">
        <v>81</v>
      </c>
      <c r="G14253" s="4" t="n">
        <v>1</v>
      </c>
      <c r="H14253" s="4" t="n">
        <v>1</v>
      </c>
      <c r="I14253" s="4" t="str">
        <v>○</v>
      </c>
      <c r="J14253" s="4" t="n">
        <v>110</v>
      </c>
      <c r="K14253" s="4"/>
      <c r="L14253" s="4"/>
      <c r="M14253" s="7" t="s">
        <v>6871</v>
      </c>
    </row>
    <row r="14254" customFormat="false" ht="15.75" hidden="false" customHeight="false" outlineLevel="0" collapsed="false">
      <c r="A14254" s="6" t="n">
        <f aca="false">DATE(2026,8,8)</f>
        <v>46242</v>
      </c>
      <c r="B14254" s="4" t="s">
        <v>13</v>
      </c>
      <c r="C14254" s="4" t="n">
        <v>8</v>
      </c>
      <c r="D14254" s="4" t="n">
        <v>7</v>
      </c>
      <c r="E14254" s="4" t="s">
        <v>4301</v>
      </c>
      <c r="F14254" s="4" t="n">
        <v>52</v>
      </c>
      <c r="G14254" s="4" t="n">
        <v>2</v>
      </c>
      <c r="H14254" s="4" t="n">
        <v>2</v>
      </c>
      <c r="I14254" s="4" t="str">
        <v>○</v>
      </c>
      <c r="J14254" s="4" t="n">
        <v>110</v>
      </c>
      <c r="K14254" s="4"/>
      <c r="L14254" s="4"/>
      <c r="M14254" s="7" t="s">
        <v>6871</v>
      </c>
    </row>
    <row r="14255" customFormat="false" ht="15.75" hidden="false" customHeight="false" outlineLevel="0" collapsed="false">
      <c r="A14255" s="6" t="n">
        <f aca="false">DATE(2026,8,8)</f>
        <v>46242</v>
      </c>
      <c r="B14255" s="4" t="s">
        <v>13</v>
      </c>
      <c r="C14255" s="4" t="n">
        <v>8</v>
      </c>
      <c r="D14255" s="4" t="n">
        <v>2</v>
      </c>
      <c r="E14255" s="4" t="s">
        <v>2025</v>
      </c>
      <c r="F14255" s="4" t="n">
        <v>67</v>
      </c>
      <c r="G14255" s="4" t="n">
        <v>3</v>
      </c>
      <c r="H14255" s="4" t="n">
        <v>3</v>
      </c>
      <c r="I14255" s="4" t="str">
        <v>○</v>
      </c>
      <c r="J14255" s="4" t="n">
        <v>110</v>
      </c>
      <c r="K14255" s="4"/>
      <c r="L14255" s="4"/>
      <c r="M14255" s="7" t="s">
        <v>6871</v>
      </c>
    </row>
    <row r="14256" customFormat="false" ht="15.75" hidden="false" customHeight="false" outlineLevel="0" collapsed="false">
      <c r="A14256" s="6" t="n">
        <f aca="false">DATE(2026,8,8)</f>
        <v>46242</v>
      </c>
      <c r="B14256" s="4" t="s">
        <v>13</v>
      </c>
      <c r="C14256" s="4" t="n">
        <v>8</v>
      </c>
      <c r="D14256" s="4" t="n">
        <v>4</v>
      </c>
      <c r="E14256" s="4"/>
      <c r="F14256" s="4" t="n">
        <v>31</v>
      </c>
      <c r="G14256" s="4" t="n">
        <v>4</v>
      </c>
      <c r="H14256" s="4" t="n">
        <v>4</v>
      </c>
      <c r="I14256" s="4" t="str">
        <v>×</v>
      </c>
      <c r="J14256" s="4"/>
      <c r="K14256" s="4"/>
      <c r="L14256" s="4"/>
      <c r="M14256" s="7" t="s">
        <v>6871</v>
      </c>
    </row>
    <row r="14257" customFormat="false" ht="15.75" hidden="false" customHeight="false" outlineLevel="0" collapsed="false">
      <c r="A14257" s="6" t="n">
        <f aca="false">DATE(2026,8,8)</f>
        <v>46242</v>
      </c>
      <c r="B14257" s="4" t="s">
        <v>13</v>
      </c>
      <c r="C14257" s="4" t="n">
        <v>8</v>
      </c>
      <c r="D14257" s="4" t="n">
        <v>3</v>
      </c>
      <c r="E14257" s="4"/>
      <c r="F14257" s="4" t="n">
        <v>23</v>
      </c>
      <c r="G14257" s="4" t="n">
        <v>5</v>
      </c>
      <c r="H14257" s="4" t="n">
        <v>4</v>
      </c>
      <c r="I14257" s="4" t="str">
        <v>×</v>
      </c>
      <c r="J14257" s="4"/>
      <c r="K14257" s="4"/>
      <c r="L14257" s="4"/>
      <c r="M14257" s="7" t="s">
        <v>6871</v>
      </c>
    </row>
    <row r="14258" customFormat="false" ht="15.75" hidden="false" customHeight="false" outlineLevel="0" collapsed="false">
      <c r="A14258" s="6" t="n">
        <f aca="false">DATE(2026,8,8)</f>
        <v>46242</v>
      </c>
      <c r="B14258" s="4" t="s">
        <v>13</v>
      </c>
      <c r="C14258" s="4" t="n">
        <v>8</v>
      </c>
      <c r="D14258" s="4" t="n">
        <v>9</v>
      </c>
      <c r="E14258" s="4"/>
      <c r="F14258" s="4" t="n">
        <v>20</v>
      </c>
      <c r="G14258" s="4" t="n">
        <v>6</v>
      </c>
      <c r="H14258" s="4" t="n">
        <v>4</v>
      </c>
      <c r="I14258" s="4" t="str">
        <v>×</v>
      </c>
      <c r="J14258" s="4"/>
      <c r="K14258" s="4"/>
      <c r="L14258" s="4"/>
      <c r="M14258" s="7" t="s">
        <v>6871</v>
      </c>
    </row>
    <row r="14259" customFormat="false" ht="15.75" hidden="false" customHeight="false" outlineLevel="0" collapsed="false">
      <c r="A14259" s="6" t="n">
        <f aca="false">DATE(2026,8,8)</f>
        <v>46242</v>
      </c>
      <c r="B14259" s="4" t="s">
        <v>13</v>
      </c>
      <c r="C14259" s="4" t="n">
        <v>8</v>
      </c>
      <c r="D14259" s="4" t="n">
        <v>1</v>
      </c>
      <c r="E14259" s="4"/>
      <c r="F14259" s="4" t="n">
        <v>17</v>
      </c>
      <c r="G14259" s="4" t="n">
        <v>7</v>
      </c>
      <c r="H14259" s="4" t="n">
        <v>4</v>
      </c>
      <c r="I14259" s="4" t="str">
        <v>×</v>
      </c>
      <c r="J14259" s="4"/>
      <c r="K14259" s="4"/>
      <c r="L14259" s="4"/>
      <c r="M14259" s="7" t="s">
        <v>6871</v>
      </c>
    </row>
    <row r="14260" customFormat="false" ht="15.75" hidden="false" customHeight="false" outlineLevel="0" collapsed="false">
      <c r="A14260" s="6" t="n">
        <f aca="false">DATE(2026,8,8)</f>
        <v>46242</v>
      </c>
      <c r="B14260" s="4" t="s">
        <v>13</v>
      </c>
      <c r="C14260" s="4" t="n">
        <v>8</v>
      </c>
      <c r="D14260" s="4" t="n">
        <v>6</v>
      </c>
      <c r="E14260" s="4"/>
      <c r="F14260" s="4" t="n">
        <v>8</v>
      </c>
      <c r="G14260" s="4" t="n">
        <v>8</v>
      </c>
      <c r="H14260" s="4" t="n">
        <v>4</v>
      </c>
      <c r="I14260" s="4" t="str">
        <v>×</v>
      </c>
      <c r="J14260" s="4"/>
      <c r="K14260" s="4"/>
      <c r="L14260" s="4"/>
      <c r="M14260" s="7" t="s">
        <v>6871</v>
      </c>
    </row>
    <row r="14261" customFormat="false" ht="15.75" hidden="false" customHeight="false" outlineLevel="0" collapsed="false">
      <c r="A14261" s="6" t="n">
        <f aca="false">DATE(2026,8,8)</f>
        <v>46242</v>
      </c>
      <c r="B14261" s="4" t="s">
        <v>13</v>
      </c>
      <c r="C14261" s="4" t="n">
        <v>8</v>
      </c>
      <c r="D14261" s="4" t="n">
        <v>8</v>
      </c>
      <c r="E14261" s="4"/>
      <c r="F14261" s="4" t="n">
        <v>4</v>
      </c>
      <c r="G14261" s="4" t="n">
        <v>9</v>
      </c>
      <c r="H14261" s="4" t="n">
        <v>4</v>
      </c>
      <c r="I14261" s="4" t="str">
        <v>×</v>
      </c>
      <c r="J14261" s="4"/>
      <c r="K14261" s="4"/>
      <c r="L14261" s="4"/>
      <c r="M14261" s="7" t="s">
        <v>6871</v>
      </c>
    </row>
    <row r="14262" customFormat="false" ht="15.75" hidden="false" customHeight="false" outlineLevel="0" collapsed="false">
      <c r="A14262" s="6" t="n">
        <f aca="false">DATE(2026,8,8)</f>
        <v>46242</v>
      </c>
      <c r="B14262" s="4" t="s">
        <v>13</v>
      </c>
      <c r="C14262" s="4" t="n">
        <v>9</v>
      </c>
      <c r="D14262" s="4" t="n">
        <v>3</v>
      </c>
      <c r="E14262" s="4"/>
      <c r="F14262" s="4" t="n">
        <v>52</v>
      </c>
      <c r="G14262" s="4" t="n">
        <v>1</v>
      </c>
      <c r="H14262" s="4" t="n">
        <v>4</v>
      </c>
      <c r="I14262" s="4" t="str">
        <v>×</v>
      </c>
      <c r="J14262" s="4"/>
      <c r="K14262" s="4"/>
      <c r="L14262" s="4"/>
      <c r="M14262" s="7" t="s">
        <v>6871</v>
      </c>
    </row>
    <row r="14263" customFormat="false" ht="15.75" hidden="false" customHeight="false" outlineLevel="0" collapsed="false">
      <c r="A14263" s="6" t="n">
        <f aca="false">DATE(2026,8,8)</f>
        <v>46242</v>
      </c>
      <c r="B14263" s="4" t="s">
        <v>13</v>
      </c>
      <c r="C14263" s="4" t="n">
        <v>9</v>
      </c>
      <c r="D14263" s="4" t="n">
        <v>9</v>
      </c>
      <c r="E14263" s="4" t="s">
        <v>6890</v>
      </c>
      <c r="F14263" s="4" t="n">
        <v>39</v>
      </c>
      <c r="G14263" s="4" t="n">
        <v>2</v>
      </c>
      <c r="H14263" s="4" t="n">
        <v>2</v>
      </c>
      <c r="I14263" s="4" t="str">
        <v>○</v>
      </c>
      <c r="J14263" s="4" t="n">
        <v>220</v>
      </c>
      <c r="K14263" s="4"/>
      <c r="L14263" s="4"/>
      <c r="M14263" s="7" t="s">
        <v>6871</v>
      </c>
    </row>
    <row r="14264" customFormat="false" ht="15.75" hidden="false" customHeight="false" outlineLevel="0" collapsed="false">
      <c r="A14264" s="6" t="n">
        <f aca="false">DATE(2026,8,8)</f>
        <v>46242</v>
      </c>
      <c r="B14264" s="4" t="s">
        <v>13</v>
      </c>
      <c r="C14264" s="4" t="n">
        <v>9</v>
      </c>
      <c r="D14264" s="4" t="n">
        <v>4</v>
      </c>
      <c r="E14264" s="4" t="s">
        <v>4518</v>
      </c>
      <c r="F14264" s="4" t="n">
        <v>41</v>
      </c>
      <c r="G14264" s="4" t="n">
        <v>3</v>
      </c>
      <c r="H14264" s="4" t="n">
        <v>1</v>
      </c>
      <c r="I14264" s="4" t="str">
        <v>○</v>
      </c>
      <c r="J14264" s="4" t="n">
        <v>170</v>
      </c>
      <c r="K14264" s="4"/>
      <c r="L14264" s="4"/>
      <c r="M14264" s="7" t="s">
        <v>6871</v>
      </c>
    </row>
    <row r="14265" customFormat="false" ht="15.75" hidden="false" customHeight="false" outlineLevel="0" collapsed="false">
      <c r="A14265" s="6" t="n">
        <f aca="false">DATE(2026,8,8)</f>
        <v>46242</v>
      </c>
      <c r="B14265" s="4" t="s">
        <v>13</v>
      </c>
      <c r="C14265" s="4" t="n">
        <v>9</v>
      </c>
      <c r="D14265" s="4" t="n">
        <v>1</v>
      </c>
      <c r="E14265" s="4"/>
      <c r="F14265" s="4" t="n">
        <v>25</v>
      </c>
      <c r="G14265" s="4" t="n">
        <v>4</v>
      </c>
      <c r="H14265" s="4" t="n">
        <v>4</v>
      </c>
      <c r="I14265" s="4" t="str">
        <v>×</v>
      </c>
      <c r="J14265" s="4"/>
      <c r="K14265" s="4"/>
      <c r="L14265" s="4"/>
      <c r="M14265" s="7" t="s">
        <v>6871</v>
      </c>
    </row>
    <row r="14266" customFormat="false" ht="15.75" hidden="false" customHeight="false" outlineLevel="0" collapsed="false">
      <c r="A14266" s="6" t="n">
        <f aca="false">DATE(2026,8,8)</f>
        <v>46242</v>
      </c>
      <c r="B14266" s="4" t="s">
        <v>13</v>
      </c>
      <c r="C14266" s="4" t="n">
        <v>9</v>
      </c>
      <c r="D14266" s="4" t="n">
        <v>10</v>
      </c>
      <c r="E14266" s="4"/>
      <c r="F14266" s="4" t="n">
        <v>25</v>
      </c>
      <c r="G14266" s="4" t="n">
        <v>5</v>
      </c>
      <c r="H14266" s="4" t="n">
        <v>4</v>
      </c>
      <c r="I14266" s="4" t="str">
        <v>×</v>
      </c>
      <c r="J14266" s="4"/>
      <c r="K14266" s="4"/>
      <c r="L14266" s="4"/>
      <c r="M14266" s="7" t="s">
        <v>6871</v>
      </c>
    </row>
    <row r="14267" customFormat="false" ht="15.75" hidden="false" customHeight="false" outlineLevel="0" collapsed="false">
      <c r="A14267" s="6" t="n">
        <f aca="false">DATE(2026,8,8)</f>
        <v>46242</v>
      </c>
      <c r="B14267" s="4" t="s">
        <v>13</v>
      </c>
      <c r="C14267" s="4" t="n">
        <v>9</v>
      </c>
      <c r="D14267" s="4" t="n">
        <v>13</v>
      </c>
      <c r="E14267" s="4"/>
      <c r="F14267" s="4" t="n">
        <v>20</v>
      </c>
      <c r="G14267" s="4" t="n">
        <v>6</v>
      </c>
      <c r="H14267" s="4" t="n">
        <v>4</v>
      </c>
      <c r="I14267" s="4" t="str">
        <v>×</v>
      </c>
      <c r="J14267" s="4"/>
      <c r="K14267" s="4"/>
      <c r="L14267" s="4"/>
      <c r="M14267" s="7" t="s">
        <v>6871</v>
      </c>
    </row>
    <row r="14268" customFormat="false" ht="15.75" hidden="false" customHeight="false" outlineLevel="0" collapsed="false">
      <c r="A14268" s="6" t="n">
        <f aca="false">DATE(2026,8,8)</f>
        <v>46242</v>
      </c>
      <c r="B14268" s="4" t="s">
        <v>13</v>
      </c>
      <c r="C14268" s="4" t="n">
        <v>9</v>
      </c>
      <c r="D14268" s="4" t="n">
        <v>14</v>
      </c>
      <c r="E14268" s="4"/>
      <c r="F14268" s="4" t="n">
        <v>20</v>
      </c>
      <c r="G14268" s="4" t="n">
        <v>7</v>
      </c>
      <c r="H14268" s="4" t="n">
        <v>4</v>
      </c>
      <c r="I14268" s="4" t="str">
        <v>×</v>
      </c>
      <c r="J14268" s="4"/>
      <c r="K14268" s="4"/>
      <c r="L14268" s="4"/>
      <c r="M14268" s="7" t="s">
        <v>6871</v>
      </c>
    </row>
    <row r="14269" customFormat="false" ht="15.75" hidden="false" customHeight="false" outlineLevel="0" collapsed="false">
      <c r="A14269" s="6" t="n">
        <f aca="false">DATE(2026,8,8)</f>
        <v>46242</v>
      </c>
      <c r="B14269" s="4" t="s">
        <v>13</v>
      </c>
      <c r="C14269" s="4" t="n">
        <v>9</v>
      </c>
      <c r="D14269" s="4" t="n">
        <v>2</v>
      </c>
      <c r="E14269" s="4"/>
      <c r="F14269" s="4" t="n">
        <v>17</v>
      </c>
      <c r="G14269" s="4" t="n">
        <v>8</v>
      </c>
      <c r="H14269" s="4" t="n">
        <v>4</v>
      </c>
      <c r="I14269" s="4" t="str">
        <v>×</v>
      </c>
      <c r="J14269" s="4"/>
      <c r="K14269" s="4"/>
      <c r="L14269" s="4"/>
      <c r="M14269" s="7" t="s">
        <v>6871</v>
      </c>
    </row>
    <row r="14270" customFormat="false" ht="15.75" hidden="false" customHeight="false" outlineLevel="0" collapsed="false">
      <c r="A14270" s="6" t="n">
        <f aca="false">DATE(2026,8,8)</f>
        <v>46242</v>
      </c>
      <c r="B14270" s="4" t="s">
        <v>13</v>
      </c>
      <c r="C14270" s="4" t="n">
        <v>9</v>
      </c>
      <c r="D14270" s="4" t="n">
        <v>7</v>
      </c>
      <c r="E14270" s="4"/>
      <c r="F14270" s="4" t="n">
        <v>15</v>
      </c>
      <c r="G14270" s="4" t="n">
        <v>9</v>
      </c>
      <c r="H14270" s="4" t="n">
        <v>4</v>
      </c>
      <c r="I14270" s="4" t="str">
        <v>×</v>
      </c>
      <c r="J14270" s="4"/>
      <c r="K14270" s="4"/>
      <c r="L14270" s="4"/>
      <c r="M14270" s="7" t="s">
        <v>6871</v>
      </c>
    </row>
    <row r="14271" customFormat="false" ht="15.75" hidden="false" customHeight="false" outlineLevel="0" collapsed="false">
      <c r="A14271" s="6" t="n">
        <f aca="false">DATE(2026,8,8)</f>
        <v>46242</v>
      </c>
      <c r="B14271" s="4" t="s">
        <v>13</v>
      </c>
      <c r="C14271" s="4" t="n">
        <v>9</v>
      </c>
      <c r="D14271" s="4" t="n">
        <v>15</v>
      </c>
      <c r="E14271" s="4"/>
      <c r="F14271" s="4" t="n">
        <v>13</v>
      </c>
      <c r="G14271" s="4" t="n">
        <v>10</v>
      </c>
      <c r="H14271" s="4" t="n">
        <v>4</v>
      </c>
      <c r="I14271" s="4" t="str">
        <v>×</v>
      </c>
      <c r="J14271" s="4"/>
      <c r="K14271" s="4"/>
      <c r="L14271" s="4"/>
      <c r="M14271" s="7" t="s">
        <v>6871</v>
      </c>
    </row>
    <row r="14272" customFormat="false" ht="15.75" hidden="false" customHeight="false" outlineLevel="0" collapsed="false">
      <c r="A14272" s="6" t="n">
        <f aca="false">DATE(2026,8,8)</f>
        <v>46242</v>
      </c>
      <c r="B14272" s="4" t="s">
        <v>13</v>
      </c>
      <c r="C14272" s="4" t="n">
        <v>9</v>
      </c>
      <c r="D14272" s="4" t="n">
        <v>8</v>
      </c>
      <c r="E14272" s="4"/>
      <c r="F14272" s="4" t="n">
        <v>10</v>
      </c>
      <c r="G14272" s="4" t="n">
        <v>11</v>
      </c>
      <c r="H14272" s="4" t="n">
        <v>4</v>
      </c>
      <c r="I14272" s="4" t="str">
        <v>×</v>
      </c>
      <c r="J14272" s="4"/>
      <c r="K14272" s="4"/>
      <c r="L14272" s="4"/>
      <c r="M14272" s="7" t="s">
        <v>6871</v>
      </c>
    </row>
    <row r="14273" customFormat="false" ht="15.75" hidden="false" customHeight="false" outlineLevel="0" collapsed="false">
      <c r="A14273" s="6" t="n">
        <f aca="false">DATE(2026,8,8)</f>
        <v>46242</v>
      </c>
      <c r="B14273" s="4" t="s">
        <v>13</v>
      </c>
      <c r="C14273" s="4" t="n">
        <v>9</v>
      </c>
      <c r="D14273" s="4" t="n">
        <v>6</v>
      </c>
      <c r="E14273" s="4"/>
      <c r="F14273" s="4" t="n">
        <v>8</v>
      </c>
      <c r="G14273" s="4" t="n">
        <v>12</v>
      </c>
      <c r="H14273" s="4" t="n">
        <v>4</v>
      </c>
      <c r="I14273" s="4" t="str">
        <v>×</v>
      </c>
      <c r="J14273" s="4"/>
      <c r="K14273" s="4"/>
      <c r="L14273" s="4"/>
      <c r="M14273" s="7" t="s">
        <v>6871</v>
      </c>
    </row>
    <row r="14274" customFormat="false" ht="15.75" hidden="false" customHeight="false" outlineLevel="0" collapsed="false">
      <c r="A14274" s="6" t="n">
        <f aca="false">DATE(2026,8,8)</f>
        <v>46242</v>
      </c>
      <c r="B14274" s="4" t="s">
        <v>13</v>
      </c>
      <c r="C14274" s="4" t="n">
        <v>9</v>
      </c>
      <c r="D14274" s="4" t="n">
        <v>5</v>
      </c>
      <c r="E14274" s="4" t="s">
        <v>6891</v>
      </c>
      <c r="F14274" s="4" t="n">
        <v>6</v>
      </c>
      <c r="G14274" s="4" t="n">
        <v>13</v>
      </c>
      <c r="H14274" s="4" t="n">
        <v>3</v>
      </c>
      <c r="I14274" s="4" t="str">
        <v>○</v>
      </c>
      <c r="J14274" s="4" t="n">
        <v>250</v>
      </c>
      <c r="K14274" s="4"/>
      <c r="L14274" s="4"/>
      <c r="M14274" s="7" t="s">
        <v>6871</v>
      </c>
    </row>
    <row r="14275" customFormat="false" ht="15.75" hidden="false" customHeight="false" outlineLevel="0" collapsed="false">
      <c r="A14275" s="6" t="n">
        <f aca="false">DATE(2026,8,8)</f>
        <v>46242</v>
      </c>
      <c r="B14275" s="4" t="s">
        <v>13</v>
      </c>
      <c r="C14275" s="4" t="n">
        <v>9</v>
      </c>
      <c r="D14275" s="4" t="n">
        <v>12</v>
      </c>
      <c r="E14275" s="4"/>
      <c r="F14275" s="4" t="n">
        <v>6</v>
      </c>
      <c r="G14275" s="4" t="n">
        <v>14</v>
      </c>
      <c r="H14275" s="4" t="n">
        <v>4</v>
      </c>
      <c r="I14275" s="4" t="str">
        <v>×</v>
      </c>
      <c r="J14275" s="4"/>
      <c r="K14275" s="4"/>
      <c r="L14275" s="4"/>
      <c r="M14275" s="7" t="s">
        <v>6871</v>
      </c>
    </row>
    <row r="14276" customFormat="false" ht="15.75" hidden="false" customHeight="false" outlineLevel="0" collapsed="false">
      <c r="A14276" s="6" t="n">
        <f aca="false">DATE(2026,8,8)</f>
        <v>46242</v>
      </c>
      <c r="B14276" s="4" t="s">
        <v>13</v>
      </c>
      <c r="C14276" s="4" t="n">
        <v>9</v>
      </c>
      <c r="D14276" s="4" t="n">
        <v>11</v>
      </c>
      <c r="E14276" s="4"/>
      <c r="F14276" s="4" t="n">
        <v>4</v>
      </c>
      <c r="G14276" s="4" t="n">
        <v>15</v>
      </c>
      <c r="H14276" s="4" t="n">
        <v>4</v>
      </c>
      <c r="I14276" s="4" t="str">
        <v>×</v>
      </c>
      <c r="J14276" s="4"/>
      <c r="K14276" s="4"/>
      <c r="L14276" s="4"/>
      <c r="M14276" s="7" t="s">
        <v>6871</v>
      </c>
    </row>
    <row r="14277" customFormat="false" ht="15.75" hidden="false" customHeight="false" outlineLevel="0" collapsed="false">
      <c r="A14277" s="6" t="n">
        <f aca="false">DATE(2026,8,8)</f>
        <v>46242</v>
      </c>
      <c r="B14277" s="4" t="s">
        <v>13</v>
      </c>
      <c r="C14277" s="4" t="n">
        <v>10</v>
      </c>
      <c r="D14277" s="4" t="n">
        <v>1</v>
      </c>
      <c r="E14277" s="4" t="s">
        <v>6892</v>
      </c>
      <c r="F14277" s="4" t="n">
        <v>74</v>
      </c>
      <c r="G14277" s="4" t="n">
        <v>1</v>
      </c>
      <c r="H14277" s="4" t="n">
        <v>3</v>
      </c>
      <c r="I14277" s="4" t="str">
        <v>○</v>
      </c>
      <c r="J14277" s="4" t="n">
        <v>110</v>
      </c>
      <c r="K14277" s="4"/>
      <c r="L14277" s="4"/>
      <c r="M14277" s="7" t="s">
        <v>6871</v>
      </c>
    </row>
    <row r="14278" customFormat="false" ht="15.75" hidden="false" customHeight="false" outlineLevel="0" collapsed="false">
      <c r="A14278" s="6" t="n">
        <f aca="false">DATE(2026,8,8)</f>
        <v>46242</v>
      </c>
      <c r="B14278" s="4" t="s">
        <v>13</v>
      </c>
      <c r="C14278" s="4" t="n">
        <v>10</v>
      </c>
      <c r="D14278" s="4" t="n">
        <v>4</v>
      </c>
      <c r="E14278" s="4" t="s">
        <v>6893</v>
      </c>
      <c r="F14278" s="4" t="n">
        <v>74</v>
      </c>
      <c r="G14278" s="4" t="n">
        <v>2</v>
      </c>
      <c r="H14278" s="4" t="n">
        <v>2</v>
      </c>
      <c r="I14278" s="4" t="str">
        <v>○</v>
      </c>
      <c r="J14278" s="4" t="n">
        <v>120</v>
      </c>
      <c r="K14278" s="4"/>
      <c r="L14278" s="4"/>
      <c r="M14278" s="7" t="s">
        <v>6871</v>
      </c>
    </row>
    <row r="14279" customFormat="false" ht="15.75" hidden="false" customHeight="false" outlineLevel="0" collapsed="false">
      <c r="A14279" s="6" t="n">
        <f aca="false">DATE(2026,8,8)</f>
        <v>46242</v>
      </c>
      <c r="B14279" s="4" t="s">
        <v>13</v>
      </c>
      <c r="C14279" s="4" t="n">
        <v>10</v>
      </c>
      <c r="D14279" s="4" t="n">
        <v>2</v>
      </c>
      <c r="E14279" s="4" t="s">
        <v>6190</v>
      </c>
      <c r="F14279" s="4" t="n">
        <v>39</v>
      </c>
      <c r="G14279" s="4" t="n">
        <v>3</v>
      </c>
      <c r="H14279" s="4" t="n">
        <v>1</v>
      </c>
      <c r="I14279" s="4" t="str">
        <v>○</v>
      </c>
      <c r="J14279" s="4" t="n">
        <v>120</v>
      </c>
      <c r="K14279" s="4"/>
      <c r="L14279" s="4"/>
      <c r="M14279" s="7" t="s">
        <v>6871</v>
      </c>
    </row>
    <row r="14280" customFormat="false" ht="15.75" hidden="false" customHeight="false" outlineLevel="0" collapsed="false">
      <c r="A14280" s="6" t="n">
        <f aca="false">DATE(2026,8,8)</f>
        <v>46242</v>
      </c>
      <c r="B14280" s="4" t="s">
        <v>13</v>
      </c>
      <c r="C14280" s="4" t="n">
        <v>10</v>
      </c>
      <c r="D14280" s="4" t="n">
        <v>13</v>
      </c>
      <c r="E14280" s="4"/>
      <c r="F14280" s="4" t="n">
        <v>31</v>
      </c>
      <c r="G14280" s="4" t="n">
        <v>4</v>
      </c>
      <c r="H14280" s="4" t="n">
        <v>4</v>
      </c>
      <c r="I14280" s="4" t="str">
        <v>×</v>
      </c>
      <c r="J14280" s="4"/>
      <c r="K14280" s="4"/>
      <c r="L14280" s="4"/>
      <c r="M14280" s="7" t="s">
        <v>6871</v>
      </c>
    </row>
    <row r="14281" customFormat="false" ht="15.75" hidden="false" customHeight="false" outlineLevel="0" collapsed="false">
      <c r="A14281" s="6" t="n">
        <f aca="false">DATE(2026,8,8)</f>
        <v>46242</v>
      </c>
      <c r="B14281" s="4" t="s">
        <v>13</v>
      </c>
      <c r="C14281" s="4" t="n">
        <v>10</v>
      </c>
      <c r="D14281" s="4" t="n">
        <v>6</v>
      </c>
      <c r="E14281" s="4"/>
      <c r="F14281" s="4" t="n">
        <v>17</v>
      </c>
      <c r="G14281" s="4" t="n">
        <v>5</v>
      </c>
      <c r="H14281" s="4" t="n">
        <v>4</v>
      </c>
      <c r="I14281" s="4" t="str">
        <v>×</v>
      </c>
      <c r="J14281" s="4"/>
      <c r="K14281" s="4"/>
      <c r="L14281" s="4"/>
      <c r="M14281" s="7" t="s">
        <v>6871</v>
      </c>
    </row>
    <row r="14282" customFormat="false" ht="15.75" hidden="false" customHeight="false" outlineLevel="0" collapsed="false">
      <c r="A14282" s="6" t="n">
        <f aca="false">DATE(2026,8,8)</f>
        <v>46242</v>
      </c>
      <c r="B14282" s="4" t="s">
        <v>13</v>
      </c>
      <c r="C14282" s="4" t="n">
        <v>10</v>
      </c>
      <c r="D14282" s="4" t="n">
        <v>9</v>
      </c>
      <c r="E14282" s="4"/>
      <c r="F14282" s="4" t="n">
        <v>17</v>
      </c>
      <c r="G14282" s="4" t="n">
        <v>6</v>
      </c>
      <c r="H14282" s="4" t="n">
        <v>4</v>
      </c>
      <c r="I14282" s="4" t="str">
        <v>×</v>
      </c>
      <c r="J14282" s="4"/>
      <c r="K14282" s="4"/>
      <c r="L14282" s="4"/>
      <c r="M14282" s="7" t="s">
        <v>6871</v>
      </c>
    </row>
    <row r="14283" customFormat="false" ht="15.75" hidden="false" customHeight="false" outlineLevel="0" collapsed="false">
      <c r="A14283" s="6" t="n">
        <f aca="false">DATE(2026,8,8)</f>
        <v>46242</v>
      </c>
      <c r="B14283" s="4" t="s">
        <v>13</v>
      </c>
      <c r="C14283" s="4" t="n">
        <v>10</v>
      </c>
      <c r="D14283" s="4" t="n">
        <v>5</v>
      </c>
      <c r="E14283" s="4"/>
      <c r="F14283" s="4" t="n">
        <v>15</v>
      </c>
      <c r="G14283" s="4" t="n">
        <v>7</v>
      </c>
      <c r="H14283" s="4" t="n">
        <v>4</v>
      </c>
      <c r="I14283" s="4" t="str">
        <v>×</v>
      </c>
      <c r="J14283" s="4"/>
      <c r="K14283" s="4"/>
      <c r="L14283" s="4"/>
      <c r="M14283" s="7" t="s">
        <v>6871</v>
      </c>
    </row>
    <row r="14284" customFormat="false" ht="15.75" hidden="false" customHeight="false" outlineLevel="0" collapsed="false">
      <c r="A14284" s="6" t="n">
        <f aca="false">DATE(2026,8,8)</f>
        <v>46242</v>
      </c>
      <c r="B14284" s="4" t="s">
        <v>13</v>
      </c>
      <c r="C14284" s="4" t="n">
        <v>10</v>
      </c>
      <c r="D14284" s="4" t="n">
        <v>10</v>
      </c>
      <c r="E14284" s="4"/>
      <c r="F14284" s="4" t="n">
        <v>15</v>
      </c>
      <c r="G14284" s="4" t="n">
        <v>8</v>
      </c>
      <c r="H14284" s="4" t="n">
        <v>4</v>
      </c>
      <c r="I14284" s="4" t="str">
        <v>×</v>
      </c>
      <c r="J14284" s="4"/>
      <c r="K14284" s="4"/>
      <c r="L14284" s="4"/>
      <c r="M14284" s="7" t="s">
        <v>6871</v>
      </c>
    </row>
    <row r="14285" customFormat="false" ht="15.75" hidden="false" customHeight="false" outlineLevel="0" collapsed="false">
      <c r="A14285" s="6" t="n">
        <f aca="false">DATE(2026,8,8)</f>
        <v>46242</v>
      </c>
      <c r="B14285" s="4" t="s">
        <v>13</v>
      </c>
      <c r="C14285" s="4" t="n">
        <v>10</v>
      </c>
      <c r="D14285" s="4" t="n">
        <v>12</v>
      </c>
      <c r="E14285" s="4"/>
      <c r="F14285" s="4" t="n">
        <v>13</v>
      </c>
      <c r="G14285" s="4" t="n">
        <v>9</v>
      </c>
      <c r="H14285" s="4" t="n">
        <v>4</v>
      </c>
      <c r="I14285" s="4" t="str">
        <v>×</v>
      </c>
      <c r="J14285" s="4"/>
      <c r="K14285" s="4"/>
      <c r="L14285" s="4"/>
      <c r="M14285" s="7" t="s">
        <v>6871</v>
      </c>
    </row>
    <row r="14286" customFormat="false" ht="15.75" hidden="false" customHeight="false" outlineLevel="0" collapsed="false">
      <c r="A14286" s="6" t="n">
        <f aca="false">DATE(2026,8,8)</f>
        <v>46242</v>
      </c>
      <c r="B14286" s="4" t="s">
        <v>13</v>
      </c>
      <c r="C14286" s="4" t="n">
        <v>10</v>
      </c>
      <c r="D14286" s="4" t="n">
        <v>3</v>
      </c>
      <c r="E14286" s="4"/>
      <c r="F14286" s="4" t="n">
        <v>10</v>
      </c>
      <c r="G14286" s="4" t="n">
        <v>10</v>
      </c>
      <c r="H14286" s="4" t="n">
        <v>4</v>
      </c>
      <c r="I14286" s="4" t="str">
        <v>×</v>
      </c>
      <c r="J14286" s="4"/>
      <c r="K14286" s="4"/>
      <c r="L14286" s="4"/>
      <c r="M14286" s="7" t="s">
        <v>6871</v>
      </c>
    </row>
    <row r="14287" customFormat="false" ht="15.75" hidden="false" customHeight="false" outlineLevel="0" collapsed="false">
      <c r="A14287" s="6" t="n">
        <f aca="false">DATE(2026,8,8)</f>
        <v>46242</v>
      </c>
      <c r="B14287" s="4" t="s">
        <v>13</v>
      </c>
      <c r="C14287" s="4" t="n">
        <v>10</v>
      </c>
      <c r="D14287" s="4" t="n">
        <v>11</v>
      </c>
      <c r="E14287" s="4"/>
      <c r="F14287" s="4" t="n">
        <v>10</v>
      </c>
      <c r="G14287" s="4" t="n">
        <v>11</v>
      </c>
      <c r="H14287" s="4" t="n">
        <v>4</v>
      </c>
      <c r="I14287" s="4" t="str">
        <v>×</v>
      </c>
      <c r="J14287" s="4"/>
      <c r="K14287" s="4"/>
      <c r="L14287" s="4"/>
      <c r="M14287" s="7" t="s">
        <v>6871</v>
      </c>
    </row>
    <row r="14288" customFormat="false" ht="15.75" hidden="false" customHeight="false" outlineLevel="0" collapsed="false">
      <c r="A14288" s="6" t="n">
        <f aca="false">DATE(2026,8,8)</f>
        <v>46242</v>
      </c>
      <c r="B14288" s="4" t="s">
        <v>13</v>
      </c>
      <c r="C14288" s="4" t="n">
        <v>10</v>
      </c>
      <c r="D14288" s="4" t="n">
        <v>8</v>
      </c>
      <c r="E14288" s="4"/>
      <c r="F14288" s="4" t="n">
        <v>6</v>
      </c>
      <c r="G14288" s="4" t="n">
        <v>12</v>
      </c>
      <c r="H14288" s="4" t="n">
        <v>4</v>
      </c>
      <c r="I14288" s="4" t="str">
        <v>×</v>
      </c>
      <c r="J14288" s="4"/>
      <c r="K14288" s="4"/>
      <c r="L14288" s="4"/>
      <c r="M14288" s="7" t="s">
        <v>6871</v>
      </c>
    </row>
    <row r="14289" customFormat="false" ht="15.75" hidden="false" customHeight="false" outlineLevel="0" collapsed="false">
      <c r="A14289" s="6" t="n">
        <f aca="false">DATE(2026,8,8)</f>
        <v>46242</v>
      </c>
      <c r="B14289" s="4" t="s">
        <v>13</v>
      </c>
      <c r="C14289" s="4" t="n">
        <v>10</v>
      </c>
      <c r="D14289" s="4" t="n">
        <v>7</v>
      </c>
      <c r="E14289" s="4"/>
      <c r="F14289" s="4" t="n">
        <v>3</v>
      </c>
      <c r="G14289" s="4" t="n">
        <v>13</v>
      </c>
      <c r="H14289" s="4" t="n">
        <v>4</v>
      </c>
      <c r="I14289" s="4" t="str">
        <v>×</v>
      </c>
      <c r="J14289" s="4"/>
      <c r="K14289" s="4"/>
      <c r="L14289" s="4"/>
      <c r="M14289" s="7" t="s">
        <v>6871</v>
      </c>
    </row>
    <row r="14290" customFormat="false" ht="15.75" hidden="false" customHeight="false" outlineLevel="0" collapsed="false">
      <c r="A14290" s="6" t="n">
        <f aca="false">DATE(2026,8,8)</f>
        <v>46242</v>
      </c>
      <c r="B14290" s="4" t="s">
        <v>13</v>
      </c>
      <c r="C14290" s="4" t="n">
        <v>11</v>
      </c>
      <c r="D14290" s="4" t="n">
        <v>5</v>
      </c>
      <c r="E14290" s="4"/>
      <c r="F14290" s="4" t="n">
        <v>56</v>
      </c>
      <c r="G14290" s="4" t="n">
        <v>1</v>
      </c>
      <c r="H14290" s="4" t="n">
        <v>4</v>
      </c>
      <c r="I14290" s="4" t="str">
        <v>×</v>
      </c>
      <c r="J14290" s="4"/>
      <c r="K14290" s="4"/>
      <c r="L14290" s="4"/>
      <c r="M14290" s="7" t="s">
        <v>6871</v>
      </c>
    </row>
    <row r="14291" customFormat="false" ht="15.75" hidden="false" customHeight="false" outlineLevel="0" collapsed="false">
      <c r="A14291" s="6" t="n">
        <f aca="false">DATE(2026,8,8)</f>
        <v>46242</v>
      </c>
      <c r="B14291" s="4" t="s">
        <v>13</v>
      </c>
      <c r="C14291" s="4" t="n">
        <v>11</v>
      </c>
      <c r="D14291" s="4" t="n">
        <v>13</v>
      </c>
      <c r="E14291" s="4" t="s">
        <v>1027</v>
      </c>
      <c r="F14291" s="4" t="n">
        <v>37</v>
      </c>
      <c r="G14291" s="4" t="n">
        <v>2</v>
      </c>
      <c r="H14291" s="4" t="n">
        <v>3</v>
      </c>
      <c r="I14291" s="4" t="str">
        <v>○</v>
      </c>
      <c r="J14291" s="4" t="n">
        <v>330</v>
      </c>
      <c r="K14291" s="4"/>
      <c r="L14291" s="4"/>
      <c r="M14291" s="7" t="s">
        <v>6871</v>
      </c>
    </row>
    <row r="14292" customFormat="false" ht="15.75" hidden="false" customHeight="false" outlineLevel="0" collapsed="false">
      <c r="A14292" s="6" t="n">
        <f aca="false">DATE(2026,8,8)</f>
        <v>46242</v>
      </c>
      <c r="B14292" s="4" t="s">
        <v>13</v>
      </c>
      <c r="C14292" s="4" t="n">
        <v>11</v>
      </c>
      <c r="D14292" s="4" t="n">
        <v>14</v>
      </c>
      <c r="E14292" s="4"/>
      <c r="F14292" s="4" t="n">
        <v>44</v>
      </c>
      <c r="G14292" s="4" t="n">
        <v>3</v>
      </c>
      <c r="H14292" s="4" t="n">
        <v>4</v>
      </c>
      <c r="I14292" s="4" t="str">
        <v>×</v>
      </c>
      <c r="J14292" s="4"/>
      <c r="K14292" s="4"/>
      <c r="L14292" s="4"/>
      <c r="M14292" s="7" t="s">
        <v>6871</v>
      </c>
    </row>
    <row r="14293" customFormat="false" ht="15.75" hidden="false" customHeight="false" outlineLevel="0" collapsed="false">
      <c r="A14293" s="6" t="n">
        <f aca="false">DATE(2026,8,8)</f>
        <v>46242</v>
      </c>
      <c r="B14293" s="4" t="s">
        <v>13</v>
      </c>
      <c r="C14293" s="4" t="n">
        <v>11</v>
      </c>
      <c r="D14293" s="4" t="n">
        <v>9</v>
      </c>
      <c r="E14293" s="4"/>
      <c r="F14293" s="4" t="n">
        <v>29</v>
      </c>
      <c r="G14293" s="4" t="n">
        <v>4</v>
      </c>
      <c r="H14293" s="4" t="n">
        <v>4</v>
      </c>
      <c r="I14293" s="4" t="str">
        <v>×</v>
      </c>
      <c r="J14293" s="4"/>
      <c r="K14293" s="4"/>
      <c r="L14293" s="4"/>
      <c r="M14293" s="7" t="s">
        <v>6871</v>
      </c>
    </row>
    <row r="14294" customFormat="false" ht="15.75" hidden="false" customHeight="false" outlineLevel="0" collapsed="false">
      <c r="A14294" s="6" t="n">
        <f aca="false">DATE(2026,8,8)</f>
        <v>46242</v>
      </c>
      <c r="B14294" s="4" t="s">
        <v>13</v>
      </c>
      <c r="C14294" s="4" t="n">
        <v>11</v>
      </c>
      <c r="D14294" s="4" t="n">
        <v>18</v>
      </c>
      <c r="E14294" s="4" t="s">
        <v>147</v>
      </c>
      <c r="F14294" s="4" t="n">
        <v>29</v>
      </c>
      <c r="G14294" s="4" t="n">
        <v>5</v>
      </c>
      <c r="H14294" s="4" t="n">
        <v>2</v>
      </c>
      <c r="I14294" s="4" t="str">
        <v>○</v>
      </c>
      <c r="J14294" s="4" t="n">
        <v>160</v>
      </c>
      <c r="K14294" s="4"/>
      <c r="L14294" s="4"/>
      <c r="M14294" s="7" t="s">
        <v>6871</v>
      </c>
    </row>
    <row r="14295" customFormat="false" ht="15.75" hidden="false" customHeight="false" outlineLevel="0" collapsed="false">
      <c r="A14295" s="6" t="n">
        <f aca="false">DATE(2026,8,8)</f>
        <v>46242</v>
      </c>
      <c r="B14295" s="4" t="s">
        <v>13</v>
      </c>
      <c r="C14295" s="4" t="n">
        <v>11</v>
      </c>
      <c r="D14295" s="4" t="n">
        <v>2</v>
      </c>
      <c r="E14295" s="4"/>
      <c r="F14295" s="4" t="n">
        <v>23</v>
      </c>
      <c r="G14295" s="4" t="n">
        <v>6</v>
      </c>
      <c r="H14295" s="4" t="n">
        <v>4</v>
      </c>
      <c r="I14295" s="4" t="str">
        <v>×</v>
      </c>
      <c r="J14295" s="4"/>
      <c r="K14295" s="4"/>
      <c r="L14295" s="4"/>
      <c r="M14295" s="7" t="s">
        <v>6871</v>
      </c>
    </row>
    <row r="14296" customFormat="false" ht="15.75" hidden="false" customHeight="false" outlineLevel="0" collapsed="false">
      <c r="A14296" s="6" t="n">
        <f aca="false">DATE(2026,8,8)</f>
        <v>46242</v>
      </c>
      <c r="B14296" s="4" t="s">
        <v>13</v>
      </c>
      <c r="C14296" s="4" t="n">
        <v>11</v>
      </c>
      <c r="D14296" s="4" t="n">
        <v>7</v>
      </c>
      <c r="E14296" s="4"/>
      <c r="F14296" s="4" t="n">
        <v>23</v>
      </c>
      <c r="G14296" s="4" t="n">
        <v>7</v>
      </c>
      <c r="H14296" s="4" t="n">
        <v>4</v>
      </c>
      <c r="I14296" s="4" t="str">
        <v>×</v>
      </c>
      <c r="J14296" s="4"/>
      <c r="K14296" s="4"/>
      <c r="L14296" s="4"/>
      <c r="M14296" s="7" t="s">
        <v>6871</v>
      </c>
    </row>
    <row r="14297" customFormat="false" ht="15.75" hidden="false" customHeight="false" outlineLevel="0" collapsed="false">
      <c r="A14297" s="6" t="n">
        <f aca="false">DATE(2026,8,8)</f>
        <v>46242</v>
      </c>
      <c r="B14297" s="4" t="s">
        <v>13</v>
      </c>
      <c r="C14297" s="4" t="n">
        <v>11</v>
      </c>
      <c r="D14297" s="4" t="n">
        <v>6</v>
      </c>
      <c r="E14297" s="4"/>
      <c r="F14297" s="4" t="n">
        <v>20</v>
      </c>
      <c r="G14297" s="4" t="n">
        <v>8</v>
      </c>
      <c r="H14297" s="4" t="n">
        <v>4</v>
      </c>
      <c r="I14297" s="4" t="str">
        <v>×</v>
      </c>
      <c r="J14297" s="4"/>
      <c r="K14297" s="4"/>
      <c r="L14297" s="4"/>
      <c r="M14297" s="7" t="s">
        <v>6871</v>
      </c>
    </row>
    <row r="14298" customFormat="false" ht="15.75" hidden="false" customHeight="false" outlineLevel="0" collapsed="false">
      <c r="A14298" s="6" t="n">
        <f aca="false">DATE(2026,8,8)</f>
        <v>46242</v>
      </c>
      <c r="B14298" s="4" t="s">
        <v>13</v>
      </c>
      <c r="C14298" s="4" t="n">
        <v>11</v>
      </c>
      <c r="D14298" s="4" t="n">
        <v>8</v>
      </c>
      <c r="E14298" s="4"/>
      <c r="F14298" s="4" t="n">
        <v>17</v>
      </c>
      <c r="G14298" s="4" t="n">
        <v>9</v>
      </c>
      <c r="H14298" s="4" t="n">
        <v>4</v>
      </c>
      <c r="I14298" s="4" t="str">
        <v>×</v>
      </c>
      <c r="J14298" s="4"/>
      <c r="K14298" s="4"/>
      <c r="L14298" s="4"/>
      <c r="M14298" s="7" t="s">
        <v>6871</v>
      </c>
    </row>
    <row r="14299" customFormat="false" ht="15.75" hidden="false" customHeight="false" outlineLevel="0" collapsed="false">
      <c r="A14299" s="6" t="n">
        <f aca="false">DATE(2026,8,8)</f>
        <v>46242</v>
      </c>
      <c r="B14299" s="4" t="s">
        <v>13</v>
      </c>
      <c r="C14299" s="4" t="n">
        <v>11</v>
      </c>
      <c r="D14299" s="4" t="n">
        <v>11</v>
      </c>
      <c r="E14299" s="4"/>
      <c r="F14299" s="4" t="n">
        <v>17</v>
      </c>
      <c r="G14299" s="4" t="n">
        <v>10</v>
      </c>
      <c r="H14299" s="4" t="n">
        <v>4</v>
      </c>
      <c r="I14299" s="4" t="str">
        <v>×</v>
      </c>
      <c r="J14299" s="4"/>
      <c r="K14299" s="4"/>
      <c r="L14299" s="4"/>
      <c r="M14299" s="7" t="s">
        <v>6871</v>
      </c>
    </row>
    <row r="14300" customFormat="false" ht="15.75" hidden="false" customHeight="false" outlineLevel="0" collapsed="false">
      <c r="A14300" s="6" t="n">
        <f aca="false">DATE(2026,8,8)</f>
        <v>46242</v>
      </c>
      <c r="B14300" s="4" t="s">
        <v>13</v>
      </c>
      <c r="C14300" s="4" t="n">
        <v>11</v>
      </c>
      <c r="D14300" s="4" t="n">
        <v>17</v>
      </c>
      <c r="E14300" s="4" t="s">
        <v>2088</v>
      </c>
      <c r="F14300" s="4" t="n">
        <v>10</v>
      </c>
      <c r="G14300" s="4" t="n">
        <v>11</v>
      </c>
      <c r="H14300" s="4" t="n">
        <v>1</v>
      </c>
      <c r="I14300" s="4" t="str">
        <v>○</v>
      </c>
      <c r="J14300" s="4" t="n">
        <v>450</v>
      </c>
      <c r="K14300" s="4"/>
      <c r="L14300" s="4"/>
      <c r="M14300" s="7" t="s">
        <v>6871</v>
      </c>
    </row>
    <row r="14301" customFormat="false" ht="15.75" hidden="false" customHeight="false" outlineLevel="0" collapsed="false">
      <c r="A14301" s="6" t="n">
        <f aca="false">DATE(2026,8,8)</f>
        <v>46242</v>
      </c>
      <c r="B14301" s="4" t="s">
        <v>13</v>
      </c>
      <c r="C14301" s="4" t="n">
        <v>11</v>
      </c>
      <c r="D14301" s="4" t="n">
        <v>12</v>
      </c>
      <c r="E14301" s="4"/>
      <c r="F14301" s="4" t="n">
        <v>8</v>
      </c>
      <c r="G14301" s="4" t="n">
        <v>12</v>
      </c>
      <c r="H14301" s="4" t="n">
        <v>4</v>
      </c>
      <c r="I14301" s="4" t="str">
        <v>×</v>
      </c>
      <c r="J14301" s="4"/>
      <c r="K14301" s="4"/>
      <c r="L14301" s="4"/>
      <c r="M14301" s="7" t="s">
        <v>6871</v>
      </c>
    </row>
    <row r="14302" customFormat="false" ht="15.75" hidden="false" customHeight="false" outlineLevel="0" collapsed="false">
      <c r="A14302" s="6" t="n">
        <f aca="false">DATE(2026,8,8)</f>
        <v>46242</v>
      </c>
      <c r="B14302" s="4" t="s">
        <v>13</v>
      </c>
      <c r="C14302" s="4" t="n">
        <v>11</v>
      </c>
      <c r="D14302" s="4" t="n">
        <v>3</v>
      </c>
      <c r="E14302" s="4"/>
      <c r="F14302" s="4" t="n">
        <v>4</v>
      </c>
      <c r="G14302" s="4" t="n">
        <v>13</v>
      </c>
      <c r="H14302" s="4" t="n">
        <v>4</v>
      </c>
      <c r="I14302" s="4" t="str">
        <v>×</v>
      </c>
      <c r="J14302" s="4"/>
      <c r="K14302" s="4"/>
      <c r="L14302" s="4"/>
      <c r="M14302" s="7" t="s">
        <v>6871</v>
      </c>
    </row>
    <row r="14303" customFormat="false" ht="15.75" hidden="false" customHeight="false" outlineLevel="0" collapsed="false">
      <c r="A14303" s="6" t="n">
        <f aca="false">DATE(2026,8,8)</f>
        <v>46242</v>
      </c>
      <c r="B14303" s="4" t="s">
        <v>13</v>
      </c>
      <c r="C14303" s="4" t="n">
        <v>11</v>
      </c>
      <c r="D14303" s="4" t="n">
        <v>1</v>
      </c>
      <c r="E14303" s="4"/>
      <c r="F14303" s="4" t="n">
        <v>2</v>
      </c>
      <c r="G14303" s="4" t="n">
        <v>14</v>
      </c>
      <c r="H14303" s="4" t="n">
        <v>4</v>
      </c>
      <c r="I14303" s="4" t="str">
        <v>×</v>
      </c>
      <c r="J14303" s="4"/>
      <c r="K14303" s="4"/>
      <c r="L14303" s="4"/>
      <c r="M14303" s="7" t="s">
        <v>6871</v>
      </c>
    </row>
    <row r="14304" customFormat="false" ht="15.75" hidden="false" customHeight="false" outlineLevel="0" collapsed="false">
      <c r="A14304" s="6" t="n">
        <f aca="false">DATE(2026,8,8)</f>
        <v>46242</v>
      </c>
      <c r="B14304" s="4" t="s">
        <v>13</v>
      </c>
      <c r="C14304" s="4" t="n">
        <v>11</v>
      </c>
      <c r="D14304" s="4" t="n">
        <v>10</v>
      </c>
      <c r="E14304" s="4"/>
      <c r="F14304" s="4" t="n">
        <v>2</v>
      </c>
      <c r="G14304" s="4" t="n">
        <v>15</v>
      </c>
      <c r="H14304" s="4" t="n">
        <v>4</v>
      </c>
      <c r="I14304" s="4" t="str">
        <v>×</v>
      </c>
      <c r="J14304" s="4"/>
      <c r="K14304" s="4"/>
      <c r="L14304" s="4"/>
      <c r="M14304" s="7" t="s">
        <v>6871</v>
      </c>
    </row>
    <row r="14305" customFormat="false" ht="15.75" hidden="false" customHeight="false" outlineLevel="0" collapsed="false">
      <c r="A14305" s="6" t="n">
        <f aca="false">DATE(2026,8,8)</f>
        <v>46242</v>
      </c>
      <c r="B14305" s="4" t="s">
        <v>13</v>
      </c>
      <c r="C14305" s="4" t="n">
        <v>11</v>
      </c>
      <c r="D14305" s="4" t="n">
        <v>15</v>
      </c>
      <c r="E14305" s="4"/>
      <c r="F14305" s="4" t="n">
        <v>2</v>
      </c>
      <c r="G14305" s="4" t="n">
        <v>16</v>
      </c>
      <c r="H14305" s="4" t="n">
        <v>4</v>
      </c>
      <c r="I14305" s="4" t="str">
        <v>×</v>
      </c>
      <c r="J14305" s="4"/>
      <c r="K14305" s="4"/>
      <c r="L14305" s="4"/>
      <c r="M14305" s="7" t="s">
        <v>6871</v>
      </c>
    </row>
    <row r="14306" customFormat="false" ht="15.75" hidden="false" customHeight="false" outlineLevel="0" collapsed="false">
      <c r="A14306" s="6" t="n">
        <f aca="false">DATE(2026,8,8)</f>
        <v>46242</v>
      </c>
      <c r="B14306" s="4" t="s">
        <v>13</v>
      </c>
      <c r="C14306" s="4" t="n">
        <v>11</v>
      </c>
      <c r="D14306" s="4" t="n">
        <v>16</v>
      </c>
      <c r="E14306" s="4"/>
      <c r="F14306" s="4" t="n">
        <v>2</v>
      </c>
      <c r="G14306" s="4" t="n">
        <v>17</v>
      </c>
      <c r="H14306" s="4" t="n">
        <v>4</v>
      </c>
      <c r="I14306" s="4" t="str">
        <v>×</v>
      </c>
      <c r="J14306" s="4"/>
      <c r="K14306" s="4"/>
      <c r="L14306" s="4"/>
      <c r="M14306" s="7" t="s">
        <v>6871</v>
      </c>
    </row>
    <row r="14307" customFormat="false" ht="15.75" hidden="false" customHeight="false" outlineLevel="0" collapsed="false">
      <c r="A14307" s="6" t="n">
        <f aca="false">DATE(2026,8,8)</f>
        <v>46242</v>
      </c>
      <c r="B14307" s="4" t="s">
        <v>13</v>
      </c>
      <c r="C14307" s="4" t="n">
        <v>11</v>
      </c>
      <c r="D14307" s="4" t="n">
        <v>4</v>
      </c>
      <c r="E14307" s="4"/>
      <c r="F14307" s="4" t="n">
        <v>1</v>
      </c>
      <c r="G14307" s="4" t="n">
        <v>18</v>
      </c>
      <c r="H14307" s="4" t="n">
        <v>4</v>
      </c>
      <c r="I14307" s="4" t="str">
        <v>×</v>
      </c>
      <c r="J14307" s="4"/>
      <c r="K14307" s="4"/>
      <c r="L14307" s="4"/>
      <c r="M14307" s="7" t="s">
        <v>6871</v>
      </c>
    </row>
    <row r="14308" customFormat="false" ht="15.75" hidden="false" customHeight="false" outlineLevel="0" collapsed="false">
      <c r="A14308" s="6" t="n">
        <f aca="false">DATE(2026,8,8)</f>
        <v>46242</v>
      </c>
      <c r="B14308" s="4" t="s">
        <v>13</v>
      </c>
      <c r="C14308" s="4" t="n">
        <v>12</v>
      </c>
      <c r="D14308" s="4" t="n">
        <v>3</v>
      </c>
      <c r="E14308" s="4" t="s">
        <v>1013</v>
      </c>
      <c r="F14308" s="4" t="n">
        <v>60</v>
      </c>
      <c r="G14308" s="4" t="n">
        <v>1</v>
      </c>
      <c r="H14308" s="4" t="n">
        <v>1</v>
      </c>
      <c r="I14308" s="4" t="str">
        <v>○</v>
      </c>
      <c r="J14308" s="4" t="n">
        <v>170</v>
      </c>
      <c r="K14308" s="4"/>
      <c r="L14308" s="4"/>
      <c r="M14308" s="7" t="s">
        <v>6871</v>
      </c>
    </row>
    <row r="14309" customFormat="false" ht="15.75" hidden="false" customHeight="false" outlineLevel="0" collapsed="false">
      <c r="A14309" s="6" t="n">
        <f aca="false">DATE(2026,8,8)</f>
        <v>46242</v>
      </c>
      <c r="B14309" s="4" t="s">
        <v>13</v>
      </c>
      <c r="C14309" s="4" t="n">
        <v>12</v>
      </c>
      <c r="D14309" s="4" t="n">
        <v>14</v>
      </c>
      <c r="E14309" s="4"/>
      <c r="F14309" s="4" t="n">
        <v>37</v>
      </c>
      <c r="G14309" s="4" t="n">
        <v>2</v>
      </c>
      <c r="H14309" s="4" t="n">
        <v>4</v>
      </c>
      <c r="I14309" s="4" t="str">
        <v>×</v>
      </c>
      <c r="J14309" s="4"/>
      <c r="K14309" s="4"/>
      <c r="L14309" s="4"/>
      <c r="M14309" s="7" t="s">
        <v>6871</v>
      </c>
    </row>
    <row r="14310" customFormat="false" ht="15.75" hidden="false" customHeight="false" outlineLevel="0" collapsed="false">
      <c r="A14310" s="6" t="n">
        <f aca="false">DATE(2026,8,8)</f>
        <v>46242</v>
      </c>
      <c r="B14310" s="4" t="s">
        <v>13</v>
      </c>
      <c r="C14310" s="4" t="n">
        <v>12</v>
      </c>
      <c r="D14310" s="4" t="n">
        <v>8</v>
      </c>
      <c r="E14310" s="4" t="s">
        <v>6894</v>
      </c>
      <c r="F14310" s="4" t="n">
        <v>56</v>
      </c>
      <c r="G14310" s="4" t="n">
        <v>3</v>
      </c>
      <c r="H14310" s="4" t="n">
        <v>2</v>
      </c>
      <c r="I14310" s="4" t="str">
        <v>○</v>
      </c>
      <c r="J14310" s="4" t="n">
        <v>110</v>
      </c>
      <c r="K14310" s="4"/>
      <c r="L14310" s="4"/>
      <c r="M14310" s="7" t="s">
        <v>6871</v>
      </c>
    </row>
    <row r="14311" customFormat="false" ht="15.75" hidden="false" customHeight="false" outlineLevel="0" collapsed="false">
      <c r="A14311" s="6" t="n">
        <f aca="false">DATE(2026,8,8)</f>
        <v>46242</v>
      </c>
      <c r="B14311" s="4" t="s">
        <v>13</v>
      </c>
      <c r="C14311" s="4" t="n">
        <v>12</v>
      </c>
      <c r="D14311" s="4" t="n">
        <v>2</v>
      </c>
      <c r="E14311" s="4"/>
      <c r="F14311" s="4" t="n">
        <v>31</v>
      </c>
      <c r="G14311" s="4" t="n">
        <v>4</v>
      </c>
      <c r="H14311" s="4" t="n">
        <v>4</v>
      </c>
      <c r="I14311" s="4" t="str">
        <v>×</v>
      </c>
      <c r="J14311" s="4"/>
      <c r="K14311" s="4"/>
      <c r="L14311" s="4"/>
      <c r="M14311" s="7" t="s">
        <v>6871</v>
      </c>
    </row>
    <row r="14312" customFormat="false" ht="15.75" hidden="false" customHeight="false" outlineLevel="0" collapsed="false">
      <c r="A14312" s="6" t="n">
        <f aca="false">DATE(2026,8,8)</f>
        <v>46242</v>
      </c>
      <c r="B14312" s="4" t="s">
        <v>13</v>
      </c>
      <c r="C14312" s="4" t="n">
        <v>12</v>
      </c>
      <c r="D14312" s="4" t="n">
        <v>16</v>
      </c>
      <c r="E14312" s="4"/>
      <c r="F14312" s="4" t="n">
        <v>20</v>
      </c>
      <c r="G14312" s="4" t="n">
        <v>5</v>
      </c>
      <c r="H14312" s="4" t="n">
        <v>4</v>
      </c>
      <c r="I14312" s="4" t="str">
        <v>×</v>
      </c>
      <c r="J14312" s="4"/>
      <c r="K14312" s="4"/>
      <c r="L14312" s="4"/>
      <c r="M14312" s="7" t="s">
        <v>6871</v>
      </c>
    </row>
    <row r="14313" customFormat="false" ht="15.75" hidden="false" customHeight="false" outlineLevel="0" collapsed="false">
      <c r="A14313" s="6" t="n">
        <f aca="false">DATE(2026,8,8)</f>
        <v>46242</v>
      </c>
      <c r="B14313" s="4" t="s">
        <v>13</v>
      </c>
      <c r="C14313" s="4" t="n">
        <v>12</v>
      </c>
      <c r="D14313" s="4" t="n">
        <v>6</v>
      </c>
      <c r="E14313" s="4"/>
      <c r="F14313" s="4" t="n">
        <v>17</v>
      </c>
      <c r="G14313" s="4" t="n">
        <v>6</v>
      </c>
      <c r="H14313" s="4" t="n">
        <v>4</v>
      </c>
      <c r="I14313" s="4" t="str">
        <v>×</v>
      </c>
      <c r="J14313" s="4"/>
      <c r="K14313" s="4"/>
      <c r="L14313" s="4"/>
      <c r="M14313" s="7" t="s">
        <v>6871</v>
      </c>
    </row>
    <row r="14314" customFormat="false" ht="15.75" hidden="false" customHeight="false" outlineLevel="0" collapsed="false">
      <c r="A14314" s="6" t="n">
        <f aca="false">DATE(2026,8,8)</f>
        <v>46242</v>
      </c>
      <c r="B14314" s="4" t="s">
        <v>13</v>
      </c>
      <c r="C14314" s="4" t="n">
        <v>12</v>
      </c>
      <c r="D14314" s="4" t="n">
        <v>5</v>
      </c>
      <c r="E14314" s="4"/>
      <c r="F14314" s="4" t="n">
        <v>13</v>
      </c>
      <c r="G14314" s="4" t="n">
        <v>7</v>
      </c>
      <c r="H14314" s="4" t="n">
        <v>4</v>
      </c>
      <c r="I14314" s="4" t="str">
        <v>×</v>
      </c>
      <c r="J14314" s="4"/>
      <c r="K14314" s="4"/>
      <c r="L14314" s="4"/>
      <c r="M14314" s="7" t="s">
        <v>6871</v>
      </c>
    </row>
    <row r="14315" customFormat="false" ht="15.75" hidden="false" customHeight="false" outlineLevel="0" collapsed="false">
      <c r="A14315" s="6" t="n">
        <f aca="false">DATE(2026,8,8)</f>
        <v>46242</v>
      </c>
      <c r="B14315" s="4" t="s">
        <v>13</v>
      </c>
      <c r="C14315" s="4" t="n">
        <v>12</v>
      </c>
      <c r="D14315" s="4" t="n">
        <v>12</v>
      </c>
      <c r="E14315" s="4"/>
      <c r="F14315" s="4" t="n">
        <v>13</v>
      </c>
      <c r="G14315" s="4" t="n">
        <v>8</v>
      </c>
      <c r="H14315" s="4" t="n">
        <v>4</v>
      </c>
      <c r="I14315" s="4" t="str">
        <v>×</v>
      </c>
      <c r="J14315" s="4"/>
      <c r="K14315" s="4"/>
      <c r="L14315" s="4"/>
      <c r="M14315" s="7" t="s">
        <v>6871</v>
      </c>
    </row>
    <row r="14316" customFormat="false" ht="15.75" hidden="false" customHeight="false" outlineLevel="0" collapsed="false">
      <c r="A14316" s="6" t="n">
        <f aca="false">DATE(2026,8,8)</f>
        <v>46242</v>
      </c>
      <c r="B14316" s="4" t="s">
        <v>13</v>
      </c>
      <c r="C14316" s="4" t="n">
        <v>12</v>
      </c>
      <c r="D14316" s="4" t="n">
        <v>15</v>
      </c>
      <c r="E14316" s="4"/>
      <c r="F14316" s="4" t="n">
        <v>13</v>
      </c>
      <c r="G14316" s="4" t="n">
        <v>9</v>
      </c>
      <c r="H14316" s="4" t="n">
        <v>4</v>
      </c>
      <c r="I14316" s="4" t="str">
        <v>×</v>
      </c>
      <c r="J14316" s="4"/>
      <c r="K14316" s="4"/>
      <c r="L14316" s="4"/>
      <c r="M14316" s="7" t="s">
        <v>6871</v>
      </c>
    </row>
    <row r="14317" customFormat="false" ht="15.75" hidden="false" customHeight="false" outlineLevel="0" collapsed="false">
      <c r="A14317" s="6" t="n">
        <f aca="false">DATE(2026,8,8)</f>
        <v>46242</v>
      </c>
      <c r="B14317" s="4" t="s">
        <v>13</v>
      </c>
      <c r="C14317" s="4" t="n">
        <v>12</v>
      </c>
      <c r="D14317" s="4" t="n">
        <v>7</v>
      </c>
      <c r="E14317" s="4"/>
      <c r="F14317" s="4" t="n">
        <v>10</v>
      </c>
      <c r="G14317" s="4" t="n">
        <v>10</v>
      </c>
      <c r="H14317" s="4" t="n">
        <v>4</v>
      </c>
      <c r="I14317" s="4" t="str">
        <v>×</v>
      </c>
      <c r="J14317" s="4"/>
      <c r="K14317" s="4"/>
      <c r="L14317" s="4"/>
      <c r="M14317" s="7" t="s">
        <v>6871</v>
      </c>
    </row>
    <row r="14318" customFormat="false" ht="15.75" hidden="false" customHeight="false" outlineLevel="0" collapsed="false">
      <c r="A14318" s="6" t="n">
        <f aca="false">DATE(2026,8,8)</f>
        <v>46242</v>
      </c>
      <c r="B14318" s="4" t="s">
        <v>13</v>
      </c>
      <c r="C14318" s="4" t="n">
        <v>12</v>
      </c>
      <c r="D14318" s="4" t="n">
        <v>1</v>
      </c>
      <c r="E14318" s="4"/>
      <c r="F14318" s="4" t="n">
        <v>6</v>
      </c>
      <c r="G14318" s="4" t="n">
        <v>11</v>
      </c>
      <c r="H14318" s="4" t="n">
        <v>4</v>
      </c>
      <c r="I14318" s="4" t="str">
        <v>×</v>
      </c>
      <c r="J14318" s="4"/>
      <c r="K14318" s="4"/>
      <c r="L14318" s="4"/>
      <c r="M14318" s="7" t="s">
        <v>6871</v>
      </c>
    </row>
    <row r="14319" customFormat="false" ht="15.75" hidden="false" customHeight="false" outlineLevel="0" collapsed="false">
      <c r="A14319" s="6" t="n">
        <f aca="false">DATE(2026,8,8)</f>
        <v>46242</v>
      </c>
      <c r="B14319" s="4" t="s">
        <v>13</v>
      </c>
      <c r="C14319" s="4" t="n">
        <v>12</v>
      </c>
      <c r="D14319" s="4" t="n">
        <v>4</v>
      </c>
      <c r="E14319" s="4"/>
      <c r="F14319" s="4" t="n">
        <v>4</v>
      </c>
      <c r="G14319" s="4" t="n">
        <v>12</v>
      </c>
      <c r="H14319" s="4" t="n">
        <v>4</v>
      </c>
      <c r="I14319" s="4" t="str">
        <v>×</v>
      </c>
      <c r="J14319" s="4"/>
      <c r="K14319" s="4"/>
      <c r="L14319" s="4"/>
      <c r="M14319" s="7" t="s">
        <v>6871</v>
      </c>
    </row>
    <row r="14320" customFormat="false" ht="15.75" hidden="false" customHeight="false" outlineLevel="0" collapsed="false">
      <c r="A14320" s="6" t="n">
        <f aca="false">DATE(2026,8,8)</f>
        <v>46242</v>
      </c>
      <c r="B14320" s="4" t="s">
        <v>13</v>
      </c>
      <c r="C14320" s="4" t="n">
        <v>12</v>
      </c>
      <c r="D14320" s="4" t="n">
        <v>11</v>
      </c>
      <c r="E14320" s="4"/>
      <c r="F14320" s="4" t="n">
        <v>4</v>
      </c>
      <c r="G14320" s="4" t="n">
        <v>13</v>
      </c>
      <c r="H14320" s="4" t="n">
        <v>4</v>
      </c>
      <c r="I14320" s="4" t="str">
        <v>×</v>
      </c>
      <c r="J14320" s="4"/>
      <c r="K14320" s="4"/>
      <c r="L14320" s="4"/>
      <c r="M14320" s="7" t="s">
        <v>6871</v>
      </c>
    </row>
    <row r="14321" customFormat="false" ht="15.75" hidden="false" customHeight="false" outlineLevel="0" collapsed="false">
      <c r="A14321" s="6" t="n">
        <f aca="false">DATE(2026,8,8)</f>
        <v>46242</v>
      </c>
      <c r="B14321" s="4" t="s">
        <v>13</v>
      </c>
      <c r="C14321" s="4" t="n">
        <v>12</v>
      </c>
      <c r="D14321" s="4" t="n">
        <v>13</v>
      </c>
      <c r="E14321" s="4" t="s">
        <v>6895</v>
      </c>
      <c r="F14321" s="4" t="n">
        <v>4</v>
      </c>
      <c r="G14321" s="4" t="n">
        <v>14</v>
      </c>
      <c r="H14321" s="4" t="n">
        <v>3</v>
      </c>
      <c r="I14321" s="4" t="str">
        <v>○</v>
      </c>
      <c r="J14321" s="4" t="n">
        <v>980</v>
      </c>
      <c r="K14321" s="4"/>
      <c r="L14321" s="4"/>
      <c r="M14321" s="7" t="s">
        <v>6871</v>
      </c>
    </row>
    <row r="14322" customFormat="false" ht="15.75" hidden="false" customHeight="false" outlineLevel="0" collapsed="false">
      <c r="A14322" s="6" t="n">
        <f aca="false">DATE(2026,8,8)</f>
        <v>46242</v>
      </c>
      <c r="B14322" s="4" t="s">
        <v>13</v>
      </c>
      <c r="C14322" s="4" t="n">
        <v>12</v>
      </c>
      <c r="D14322" s="4" t="n">
        <v>9</v>
      </c>
      <c r="E14322" s="4"/>
      <c r="F14322" s="4" t="n">
        <v>3</v>
      </c>
      <c r="G14322" s="4" t="n">
        <v>15</v>
      </c>
      <c r="H14322" s="4" t="n">
        <v>4</v>
      </c>
      <c r="I14322" s="4" t="str">
        <v>×</v>
      </c>
      <c r="J14322" s="4"/>
      <c r="K14322" s="4"/>
      <c r="L14322" s="4"/>
      <c r="M14322" s="7" t="s">
        <v>6871</v>
      </c>
    </row>
    <row r="14323" customFormat="false" ht="15.75" hidden="false" customHeight="false" outlineLevel="0" collapsed="false">
      <c r="A14323" s="6" t="n">
        <f aca="false">DATE(2026,8,8)</f>
        <v>46242</v>
      </c>
      <c r="B14323" s="4" t="s">
        <v>13</v>
      </c>
      <c r="C14323" s="4" t="n">
        <v>12</v>
      </c>
      <c r="D14323" s="4" t="n">
        <v>10</v>
      </c>
      <c r="E14323" s="4"/>
      <c r="F14323" s="4" t="n">
        <v>3</v>
      </c>
      <c r="G14323" s="4" t="n">
        <v>16</v>
      </c>
      <c r="H14323" s="4" t="n">
        <v>4</v>
      </c>
      <c r="I14323" s="4" t="str">
        <v>×</v>
      </c>
      <c r="J14323" s="4"/>
      <c r="K14323" s="4"/>
      <c r="L14323" s="4"/>
      <c r="M14323" s="7" t="s">
        <v>6871</v>
      </c>
    </row>
    <row r="14324" customFormat="false" ht="15.75" hidden="false" customHeight="false" outlineLevel="0" collapsed="false">
      <c r="A14324" s="6" t="n">
        <f aca="false">DATE(2026,8,8)</f>
        <v>46242</v>
      </c>
      <c r="B14324" s="4" t="s">
        <v>334</v>
      </c>
      <c r="C14324" s="4" t="n">
        <v>1</v>
      </c>
      <c r="D14324" s="4" t="n">
        <v>6</v>
      </c>
      <c r="E14324" s="4" t="s">
        <v>801</v>
      </c>
      <c r="F14324" s="4" t="n">
        <v>66</v>
      </c>
      <c r="G14324" s="4" t="n">
        <v>1</v>
      </c>
      <c r="H14324" s="4" t="n">
        <v>1</v>
      </c>
      <c r="I14324" s="4" t="str">
        <v>○</v>
      </c>
      <c r="J14324" s="4" t="n">
        <v>130</v>
      </c>
      <c r="K14324" s="4"/>
      <c r="L14324" s="4"/>
      <c r="M14324" s="7" t="s">
        <v>6871</v>
      </c>
    </row>
    <row r="14325" customFormat="false" ht="15.75" hidden="false" customHeight="false" outlineLevel="0" collapsed="false">
      <c r="A14325" s="6" t="n">
        <f aca="false">DATE(2026,8,8)</f>
        <v>46242</v>
      </c>
      <c r="B14325" s="4" t="s">
        <v>334</v>
      </c>
      <c r="C14325" s="4" t="n">
        <v>1</v>
      </c>
      <c r="D14325" s="4" t="n">
        <v>9</v>
      </c>
      <c r="E14325" s="4"/>
      <c r="F14325" s="4" t="n">
        <v>44</v>
      </c>
      <c r="G14325" s="4" t="n">
        <v>2</v>
      </c>
      <c r="H14325" s="4" t="n">
        <v>4</v>
      </c>
      <c r="I14325" s="4" t="str">
        <v>×</v>
      </c>
      <c r="J14325" s="4"/>
      <c r="K14325" s="4"/>
      <c r="L14325" s="4"/>
      <c r="M14325" s="7" t="s">
        <v>6871</v>
      </c>
    </row>
    <row r="14326" customFormat="false" ht="15.75" hidden="false" customHeight="false" outlineLevel="0" collapsed="false">
      <c r="A14326" s="6" t="n">
        <f aca="false">DATE(2026,8,8)</f>
        <v>46242</v>
      </c>
      <c r="B14326" s="4" t="s">
        <v>334</v>
      </c>
      <c r="C14326" s="4" t="n">
        <v>1</v>
      </c>
      <c r="D14326" s="4" t="n">
        <v>14</v>
      </c>
      <c r="E14326" s="4"/>
      <c r="F14326" s="4" t="n">
        <v>56</v>
      </c>
      <c r="G14326" s="4" t="n">
        <v>3</v>
      </c>
      <c r="H14326" s="4" t="n">
        <v>4</v>
      </c>
      <c r="I14326" s="4" t="str">
        <v>×</v>
      </c>
      <c r="J14326" s="4"/>
      <c r="K14326" s="4"/>
      <c r="L14326" s="4"/>
      <c r="M14326" s="7" t="s">
        <v>6871</v>
      </c>
    </row>
    <row r="14327" customFormat="false" ht="15.75" hidden="false" customHeight="false" outlineLevel="0" collapsed="false">
      <c r="A14327" s="6" t="n">
        <f aca="false">DATE(2026,8,8)</f>
        <v>46242</v>
      </c>
      <c r="B14327" s="4" t="s">
        <v>334</v>
      </c>
      <c r="C14327" s="4" t="n">
        <v>1</v>
      </c>
      <c r="D14327" s="4" t="n">
        <v>13</v>
      </c>
      <c r="E14327" s="4"/>
      <c r="F14327" s="4" t="n">
        <v>37</v>
      </c>
      <c r="G14327" s="4" t="n">
        <v>4</v>
      </c>
      <c r="H14327" s="4" t="n">
        <v>4</v>
      </c>
      <c r="I14327" s="4" t="str">
        <v>×</v>
      </c>
      <c r="J14327" s="4"/>
      <c r="K14327" s="4"/>
      <c r="L14327" s="4"/>
      <c r="M14327" s="7" t="s">
        <v>6871</v>
      </c>
    </row>
    <row r="14328" customFormat="false" ht="15.75" hidden="false" customHeight="false" outlineLevel="0" collapsed="false">
      <c r="A14328" s="6" t="n">
        <f aca="false">DATE(2026,8,8)</f>
        <v>46242</v>
      </c>
      <c r="B14328" s="4" t="s">
        <v>334</v>
      </c>
      <c r="C14328" s="4" t="n">
        <v>1</v>
      </c>
      <c r="D14328" s="4" t="n">
        <v>3</v>
      </c>
      <c r="E14328" s="4" t="s">
        <v>6896</v>
      </c>
      <c r="F14328" s="4" t="n">
        <v>29</v>
      </c>
      <c r="G14328" s="4" t="n">
        <v>5</v>
      </c>
      <c r="H14328" s="4" t="n">
        <v>3</v>
      </c>
      <c r="I14328" s="4" t="str">
        <v>○</v>
      </c>
      <c r="J14328" s="4" t="n">
        <v>350</v>
      </c>
      <c r="K14328" s="4"/>
      <c r="L14328" s="4"/>
      <c r="M14328" s="7" t="s">
        <v>6871</v>
      </c>
    </row>
    <row r="14329" customFormat="false" ht="15.75" hidden="false" customHeight="false" outlineLevel="0" collapsed="false">
      <c r="A14329" s="6" t="n">
        <f aca="false">DATE(2026,8,8)</f>
        <v>46242</v>
      </c>
      <c r="B14329" s="4" t="s">
        <v>334</v>
      </c>
      <c r="C14329" s="4" t="n">
        <v>1</v>
      </c>
      <c r="D14329" s="4" t="n">
        <v>10</v>
      </c>
      <c r="E14329" s="4" t="s">
        <v>2186</v>
      </c>
      <c r="F14329" s="4" t="n">
        <v>25</v>
      </c>
      <c r="G14329" s="4" t="n">
        <v>6</v>
      </c>
      <c r="H14329" s="4" t="n">
        <v>2</v>
      </c>
      <c r="I14329" s="4" t="str">
        <v>○</v>
      </c>
      <c r="J14329" s="4" t="n">
        <v>290</v>
      </c>
      <c r="K14329" s="4"/>
      <c r="L14329" s="4"/>
      <c r="M14329" s="7" t="s">
        <v>6871</v>
      </c>
    </row>
    <row r="14330" customFormat="false" ht="15.75" hidden="false" customHeight="false" outlineLevel="0" collapsed="false">
      <c r="A14330" s="6" t="n">
        <f aca="false">DATE(2026,8,8)</f>
        <v>46242</v>
      </c>
      <c r="B14330" s="4" t="s">
        <v>334</v>
      </c>
      <c r="C14330" s="4" t="n">
        <v>1</v>
      </c>
      <c r="D14330" s="4" t="n">
        <v>2</v>
      </c>
      <c r="E14330" s="4"/>
      <c r="F14330" s="4" t="n">
        <v>20</v>
      </c>
      <c r="G14330" s="4" t="n">
        <v>7</v>
      </c>
      <c r="H14330" s="4" t="n">
        <v>4</v>
      </c>
      <c r="I14330" s="4" t="str">
        <v>×</v>
      </c>
      <c r="J14330" s="4"/>
      <c r="K14330" s="4"/>
      <c r="L14330" s="4"/>
      <c r="M14330" s="7" t="s">
        <v>6871</v>
      </c>
    </row>
    <row r="14331" customFormat="false" ht="15.75" hidden="false" customHeight="false" outlineLevel="0" collapsed="false">
      <c r="A14331" s="6" t="n">
        <f aca="false">DATE(2026,8,8)</f>
        <v>46242</v>
      </c>
      <c r="B14331" s="4" t="s">
        <v>334</v>
      </c>
      <c r="C14331" s="4" t="n">
        <v>1</v>
      </c>
      <c r="D14331" s="4" t="n">
        <v>8</v>
      </c>
      <c r="E14331" s="4"/>
      <c r="F14331" s="4" t="n">
        <v>20</v>
      </c>
      <c r="G14331" s="4" t="n">
        <v>8</v>
      </c>
      <c r="H14331" s="4" t="n">
        <v>4</v>
      </c>
      <c r="I14331" s="4" t="str">
        <v>×</v>
      </c>
      <c r="J14331" s="4"/>
      <c r="K14331" s="4"/>
      <c r="L14331" s="4"/>
      <c r="M14331" s="7" t="s">
        <v>6871</v>
      </c>
    </row>
    <row r="14332" customFormat="false" ht="15.75" hidden="false" customHeight="false" outlineLevel="0" collapsed="false">
      <c r="A14332" s="6" t="n">
        <f aca="false">DATE(2026,8,8)</f>
        <v>46242</v>
      </c>
      <c r="B14332" s="4" t="s">
        <v>334</v>
      </c>
      <c r="C14332" s="4" t="n">
        <v>1</v>
      </c>
      <c r="D14332" s="4" t="n">
        <v>11</v>
      </c>
      <c r="E14332" s="4"/>
      <c r="F14332" s="4" t="n">
        <v>20</v>
      </c>
      <c r="G14332" s="4" t="n">
        <v>9</v>
      </c>
      <c r="H14332" s="4" t="n">
        <v>4</v>
      </c>
      <c r="I14332" s="4" t="str">
        <v>×</v>
      </c>
      <c r="J14332" s="4"/>
      <c r="K14332" s="4"/>
      <c r="L14332" s="4"/>
      <c r="M14332" s="7" t="s">
        <v>6871</v>
      </c>
    </row>
    <row r="14333" customFormat="false" ht="15.75" hidden="false" customHeight="false" outlineLevel="0" collapsed="false">
      <c r="A14333" s="6" t="n">
        <f aca="false">DATE(2026,8,8)</f>
        <v>46242</v>
      </c>
      <c r="B14333" s="4" t="s">
        <v>334</v>
      </c>
      <c r="C14333" s="4" t="n">
        <v>1</v>
      </c>
      <c r="D14333" s="4" t="n">
        <v>1</v>
      </c>
      <c r="E14333" s="4"/>
      <c r="F14333" s="4" t="n">
        <v>13</v>
      </c>
      <c r="G14333" s="4" t="n">
        <v>10</v>
      </c>
      <c r="H14333" s="4" t="n">
        <v>4</v>
      </c>
      <c r="I14333" s="4" t="str">
        <v>×</v>
      </c>
      <c r="J14333" s="4"/>
      <c r="K14333" s="4"/>
      <c r="L14333" s="4"/>
      <c r="M14333" s="7" t="s">
        <v>6871</v>
      </c>
    </row>
    <row r="14334" customFormat="false" ht="15.75" hidden="false" customHeight="false" outlineLevel="0" collapsed="false">
      <c r="A14334" s="6" t="n">
        <f aca="false">DATE(2026,8,8)</f>
        <v>46242</v>
      </c>
      <c r="B14334" s="4" t="s">
        <v>334</v>
      </c>
      <c r="C14334" s="4" t="n">
        <v>1</v>
      </c>
      <c r="D14334" s="4" t="n">
        <v>12</v>
      </c>
      <c r="E14334" s="4"/>
      <c r="F14334" s="4" t="n">
        <v>10</v>
      </c>
      <c r="G14334" s="4" t="n">
        <v>11</v>
      </c>
      <c r="H14334" s="4" t="n">
        <v>4</v>
      </c>
      <c r="I14334" s="4" t="str">
        <v>×</v>
      </c>
      <c r="J14334" s="4"/>
      <c r="K14334" s="4"/>
      <c r="L14334" s="4"/>
      <c r="M14334" s="7" t="s">
        <v>6871</v>
      </c>
    </row>
    <row r="14335" customFormat="false" ht="15.75" hidden="false" customHeight="false" outlineLevel="0" collapsed="false">
      <c r="A14335" s="6" t="n">
        <f aca="false">DATE(2026,8,8)</f>
        <v>46242</v>
      </c>
      <c r="B14335" s="4" t="s">
        <v>334</v>
      </c>
      <c r="C14335" s="4" t="n">
        <v>1</v>
      </c>
      <c r="D14335" s="4" t="n">
        <v>5</v>
      </c>
      <c r="E14335" s="4"/>
      <c r="F14335" s="4" t="n">
        <v>6</v>
      </c>
      <c r="G14335" s="4" t="n">
        <v>12</v>
      </c>
      <c r="H14335" s="4" t="n">
        <v>4</v>
      </c>
      <c r="I14335" s="4" t="str">
        <v>×</v>
      </c>
      <c r="J14335" s="4"/>
      <c r="K14335" s="4"/>
      <c r="L14335" s="4"/>
      <c r="M14335" s="7" t="s">
        <v>6871</v>
      </c>
    </row>
    <row r="14336" customFormat="false" ht="15.75" hidden="false" customHeight="false" outlineLevel="0" collapsed="false">
      <c r="A14336" s="6" t="n">
        <f aca="false">DATE(2026,8,8)</f>
        <v>46242</v>
      </c>
      <c r="B14336" s="4" t="s">
        <v>334</v>
      </c>
      <c r="C14336" s="4" t="n">
        <v>1</v>
      </c>
      <c r="D14336" s="4" t="n">
        <v>7</v>
      </c>
      <c r="E14336" s="4"/>
      <c r="F14336" s="4" t="n">
        <v>4</v>
      </c>
      <c r="G14336" s="4" t="n">
        <v>13</v>
      </c>
      <c r="H14336" s="4" t="n">
        <v>4</v>
      </c>
      <c r="I14336" s="4" t="str">
        <v>×</v>
      </c>
      <c r="J14336" s="4"/>
      <c r="K14336" s="4"/>
      <c r="L14336" s="4"/>
      <c r="M14336" s="7" t="s">
        <v>6871</v>
      </c>
    </row>
    <row r="14337" customFormat="false" ht="15.75" hidden="false" customHeight="false" outlineLevel="0" collapsed="false">
      <c r="A14337" s="6" t="n">
        <f aca="false">DATE(2026,8,8)</f>
        <v>46242</v>
      </c>
      <c r="B14337" s="4" t="s">
        <v>334</v>
      </c>
      <c r="C14337" s="4" t="n">
        <v>1</v>
      </c>
      <c r="D14337" s="4" t="n">
        <v>4</v>
      </c>
      <c r="E14337" s="4"/>
      <c r="F14337" s="4" t="n">
        <v>3</v>
      </c>
      <c r="G14337" s="4" t="n">
        <v>14</v>
      </c>
      <c r="H14337" s="4" t="n">
        <v>4</v>
      </c>
      <c r="I14337" s="4" t="str">
        <v>×</v>
      </c>
      <c r="J14337" s="4"/>
      <c r="K14337" s="4"/>
      <c r="L14337" s="4"/>
      <c r="M14337" s="7" t="s">
        <v>6871</v>
      </c>
    </row>
    <row r="14338" customFormat="false" ht="15.75" hidden="false" customHeight="false" outlineLevel="0" collapsed="false">
      <c r="A14338" s="6" t="n">
        <f aca="false">DATE(2026,8,8)</f>
        <v>46242</v>
      </c>
      <c r="B14338" s="4" t="s">
        <v>334</v>
      </c>
      <c r="C14338" s="4" t="n">
        <v>2</v>
      </c>
      <c r="D14338" s="4" t="n">
        <v>9</v>
      </c>
      <c r="E14338" s="4"/>
      <c r="F14338" s="4" t="n">
        <v>47</v>
      </c>
      <c r="G14338" s="4" t="n">
        <v>1</v>
      </c>
      <c r="H14338" s="4" t="n">
        <v>4</v>
      </c>
      <c r="I14338" s="4" t="str">
        <v>×</v>
      </c>
      <c r="J14338" s="4"/>
      <c r="K14338" s="4"/>
      <c r="L14338" s="4"/>
      <c r="M14338" s="7" t="s">
        <v>6871</v>
      </c>
    </row>
    <row r="14339" customFormat="false" ht="15.75" hidden="false" customHeight="false" outlineLevel="0" collapsed="false">
      <c r="A14339" s="6" t="n">
        <f aca="false">DATE(2026,8,8)</f>
        <v>46242</v>
      </c>
      <c r="B14339" s="4" t="s">
        <v>334</v>
      </c>
      <c r="C14339" s="4" t="n">
        <v>2</v>
      </c>
      <c r="D14339" s="4" t="n">
        <v>2</v>
      </c>
      <c r="E14339" s="4"/>
      <c r="F14339" s="4" t="n">
        <v>37</v>
      </c>
      <c r="G14339" s="4" t="n">
        <v>2</v>
      </c>
      <c r="H14339" s="4" t="n">
        <v>4</v>
      </c>
      <c r="I14339" s="4" t="str">
        <v>×</v>
      </c>
      <c r="J14339" s="4"/>
      <c r="K14339" s="4"/>
      <c r="L14339" s="4"/>
      <c r="M14339" s="7" t="s">
        <v>6871</v>
      </c>
    </row>
    <row r="14340" customFormat="false" ht="15.75" hidden="false" customHeight="false" outlineLevel="0" collapsed="false">
      <c r="A14340" s="6" t="n">
        <f aca="false">DATE(2026,8,8)</f>
        <v>46242</v>
      </c>
      <c r="B14340" s="4" t="s">
        <v>334</v>
      </c>
      <c r="C14340" s="4" t="n">
        <v>2</v>
      </c>
      <c r="D14340" s="4" t="n">
        <v>7</v>
      </c>
      <c r="E14340" s="4" t="s">
        <v>3246</v>
      </c>
      <c r="F14340" s="4" t="n">
        <v>39</v>
      </c>
      <c r="G14340" s="4" t="n">
        <v>3</v>
      </c>
      <c r="H14340" s="4" t="n">
        <v>1</v>
      </c>
      <c r="I14340" s="4" t="str">
        <v>○</v>
      </c>
      <c r="J14340" s="4" t="n">
        <v>150</v>
      </c>
      <c r="K14340" s="4"/>
      <c r="L14340" s="4"/>
      <c r="M14340" s="7" t="s">
        <v>6871</v>
      </c>
    </row>
    <row r="14341" customFormat="false" ht="15.75" hidden="false" customHeight="false" outlineLevel="0" collapsed="false">
      <c r="A14341" s="6" t="n">
        <f aca="false">DATE(2026,8,8)</f>
        <v>46242</v>
      </c>
      <c r="B14341" s="4" t="s">
        <v>334</v>
      </c>
      <c r="C14341" s="4" t="n">
        <v>2</v>
      </c>
      <c r="D14341" s="4" t="n">
        <v>5</v>
      </c>
      <c r="E14341" s="4"/>
      <c r="F14341" s="4" t="n">
        <v>31</v>
      </c>
      <c r="G14341" s="4" t="n">
        <v>4</v>
      </c>
      <c r="H14341" s="4" t="n">
        <v>4</v>
      </c>
      <c r="I14341" s="4" t="str">
        <v>×</v>
      </c>
      <c r="J14341" s="4"/>
      <c r="K14341" s="4"/>
      <c r="L14341" s="4"/>
      <c r="M14341" s="7" t="s">
        <v>6871</v>
      </c>
    </row>
    <row r="14342" customFormat="false" ht="15.75" hidden="false" customHeight="false" outlineLevel="0" collapsed="false">
      <c r="A14342" s="6" t="n">
        <f aca="false">DATE(2026,8,8)</f>
        <v>46242</v>
      </c>
      <c r="B14342" s="4" t="s">
        <v>334</v>
      </c>
      <c r="C14342" s="4" t="n">
        <v>2</v>
      </c>
      <c r="D14342" s="4" t="n">
        <v>4</v>
      </c>
      <c r="E14342" s="4"/>
      <c r="F14342" s="4" t="n">
        <v>25</v>
      </c>
      <c r="G14342" s="4" t="n">
        <v>5</v>
      </c>
      <c r="H14342" s="4" t="n">
        <v>4</v>
      </c>
      <c r="I14342" s="4" t="str">
        <v>×</v>
      </c>
      <c r="J14342" s="4"/>
      <c r="K14342" s="4"/>
      <c r="L14342" s="4"/>
      <c r="M14342" s="7" t="s">
        <v>6871</v>
      </c>
    </row>
    <row r="14343" customFormat="false" ht="15.75" hidden="false" customHeight="false" outlineLevel="0" collapsed="false">
      <c r="A14343" s="6" t="n">
        <f aca="false">DATE(2026,8,8)</f>
        <v>46242</v>
      </c>
      <c r="B14343" s="4" t="s">
        <v>334</v>
      </c>
      <c r="C14343" s="4" t="n">
        <v>2</v>
      </c>
      <c r="D14343" s="4" t="n">
        <v>3</v>
      </c>
      <c r="E14343" s="4"/>
      <c r="F14343" s="4" t="n">
        <v>20</v>
      </c>
      <c r="G14343" s="4" t="n">
        <v>6</v>
      </c>
      <c r="H14343" s="4" t="n">
        <v>4</v>
      </c>
      <c r="I14343" s="4" t="str">
        <v>×</v>
      </c>
      <c r="J14343" s="4"/>
      <c r="K14343" s="4"/>
      <c r="L14343" s="4"/>
      <c r="M14343" s="7" t="s">
        <v>6871</v>
      </c>
    </row>
    <row r="14344" customFormat="false" ht="15.75" hidden="false" customHeight="false" outlineLevel="0" collapsed="false">
      <c r="A14344" s="6" t="n">
        <f aca="false">DATE(2026,8,8)</f>
        <v>46242</v>
      </c>
      <c r="B14344" s="4" t="s">
        <v>334</v>
      </c>
      <c r="C14344" s="4" t="n">
        <v>2</v>
      </c>
      <c r="D14344" s="4" t="n">
        <v>6</v>
      </c>
      <c r="E14344" s="4"/>
      <c r="F14344" s="4" t="n">
        <v>15</v>
      </c>
      <c r="G14344" s="4" t="n">
        <v>7</v>
      </c>
      <c r="H14344" s="4" t="n">
        <v>4</v>
      </c>
      <c r="I14344" s="4" t="str">
        <v>×</v>
      </c>
      <c r="J14344" s="4"/>
      <c r="K14344" s="4"/>
      <c r="L14344" s="4"/>
      <c r="M14344" s="7" t="s">
        <v>6871</v>
      </c>
    </row>
    <row r="14345" customFormat="false" ht="15.75" hidden="false" customHeight="false" outlineLevel="0" collapsed="false">
      <c r="A14345" s="6" t="n">
        <f aca="false">DATE(2026,8,8)</f>
        <v>46242</v>
      </c>
      <c r="B14345" s="4" t="s">
        <v>334</v>
      </c>
      <c r="C14345" s="4" t="n">
        <v>2</v>
      </c>
      <c r="D14345" s="4" t="n">
        <v>11</v>
      </c>
      <c r="E14345" s="4" t="s">
        <v>4436</v>
      </c>
      <c r="F14345" s="4" t="n">
        <v>15</v>
      </c>
      <c r="G14345" s="4" t="n">
        <v>8</v>
      </c>
      <c r="H14345" s="4" t="n">
        <v>3</v>
      </c>
      <c r="I14345" s="4" t="str">
        <v>○</v>
      </c>
      <c r="J14345" s="4" t="n">
        <v>420</v>
      </c>
      <c r="K14345" s="4"/>
      <c r="L14345" s="4"/>
      <c r="M14345" s="7" t="s">
        <v>6871</v>
      </c>
    </row>
    <row r="14346" customFormat="false" ht="15.75" hidden="false" customHeight="false" outlineLevel="0" collapsed="false">
      <c r="A14346" s="6" t="n">
        <f aca="false">DATE(2026,8,8)</f>
        <v>46242</v>
      </c>
      <c r="B14346" s="4" t="s">
        <v>334</v>
      </c>
      <c r="C14346" s="4" t="n">
        <v>2</v>
      </c>
      <c r="D14346" s="4" t="n">
        <v>10</v>
      </c>
      <c r="E14346" s="4" t="s">
        <v>834</v>
      </c>
      <c r="F14346" s="4" t="n">
        <v>10</v>
      </c>
      <c r="G14346" s="4" t="n">
        <v>9</v>
      </c>
      <c r="H14346" s="4" t="n">
        <v>2</v>
      </c>
      <c r="I14346" s="4" t="str">
        <v>○</v>
      </c>
      <c r="J14346" s="4" t="n">
        <v>580</v>
      </c>
      <c r="K14346" s="4"/>
      <c r="L14346" s="4"/>
      <c r="M14346" s="7" t="s">
        <v>6871</v>
      </c>
    </row>
    <row r="14347" customFormat="false" ht="15.75" hidden="false" customHeight="false" outlineLevel="0" collapsed="false">
      <c r="A14347" s="6" t="n">
        <f aca="false">DATE(2026,8,8)</f>
        <v>46242</v>
      </c>
      <c r="B14347" s="4" t="s">
        <v>334</v>
      </c>
      <c r="C14347" s="4" t="n">
        <v>2</v>
      </c>
      <c r="D14347" s="4" t="n">
        <v>12</v>
      </c>
      <c r="E14347" s="4"/>
      <c r="F14347" s="4" t="n">
        <v>10</v>
      </c>
      <c r="G14347" s="4" t="n">
        <v>10</v>
      </c>
      <c r="H14347" s="4" t="n">
        <v>4</v>
      </c>
      <c r="I14347" s="4" t="str">
        <v>×</v>
      </c>
      <c r="J14347" s="4"/>
      <c r="K14347" s="4"/>
      <c r="L14347" s="4"/>
      <c r="M14347" s="7" t="s">
        <v>6871</v>
      </c>
    </row>
    <row r="14348" customFormat="false" ht="15.75" hidden="false" customHeight="false" outlineLevel="0" collapsed="false">
      <c r="A14348" s="6" t="n">
        <f aca="false">DATE(2026,8,8)</f>
        <v>46242</v>
      </c>
      <c r="B14348" s="4" t="s">
        <v>334</v>
      </c>
      <c r="C14348" s="4" t="n">
        <v>2</v>
      </c>
      <c r="D14348" s="4" t="n">
        <v>1</v>
      </c>
      <c r="E14348" s="4"/>
      <c r="F14348" s="4" t="n">
        <v>8</v>
      </c>
      <c r="G14348" s="4" t="n">
        <v>11</v>
      </c>
      <c r="H14348" s="4" t="n">
        <v>4</v>
      </c>
      <c r="I14348" s="4" t="str">
        <v>×</v>
      </c>
      <c r="J14348" s="4"/>
      <c r="K14348" s="4"/>
      <c r="L14348" s="4"/>
      <c r="M14348" s="7" t="s">
        <v>6871</v>
      </c>
    </row>
    <row r="14349" customFormat="false" ht="15.75" hidden="false" customHeight="false" outlineLevel="0" collapsed="false">
      <c r="A14349" s="6" t="n">
        <f aca="false">DATE(2026,8,8)</f>
        <v>46242</v>
      </c>
      <c r="B14349" s="4" t="s">
        <v>334</v>
      </c>
      <c r="C14349" s="4" t="n">
        <v>2</v>
      </c>
      <c r="D14349" s="4" t="n">
        <v>8</v>
      </c>
      <c r="E14349" s="4"/>
      <c r="F14349" s="4" t="n">
        <v>8</v>
      </c>
      <c r="G14349" s="4" t="n">
        <v>12</v>
      </c>
      <c r="H14349" s="4" t="n">
        <v>4</v>
      </c>
      <c r="I14349" s="4" t="str">
        <v>×</v>
      </c>
      <c r="J14349" s="4"/>
      <c r="K14349" s="4"/>
      <c r="L14349" s="4"/>
      <c r="M14349" s="7" t="s">
        <v>6871</v>
      </c>
    </row>
    <row r="14350" customFormat="false" ht="15.75" hidden="false" customHeight="false" outlineLevel="0" collapsed="false">
      <c r="A14350" s="6" t="n">
        <f aca="false">DATE(2026,8,8)</f>
        <v>46242</v>
      </c>
      <c r="B14350" s="4" t="s">
        <v>334</v>
      </c>
      <c r="C14350" s="4" t="n">
        <v>2</v>
      </c>
      <c r="D14350" s="4" t="n">
        <v>13</v>
      </c>
      <c r="E14350" s="4"/>
      <c r="F14350" s="4" t="n">
        <v>3</v>
      </c>
      <c r="G14350" s="4" t="n">
        <v>13</v>
      </c>
      <c r="H14350" s="4" t="n">
        <v>4</v>
      </c>
      <c r="I14350" s="4" t="str">
        <v>×</v>
      </c>
      <c r="J14350" s="4"/>
      <c r="K14350" s="4"/>
      <c r="L14350" s="4"/>
      <c r="M14350" s="7" t="s">
        <v>6871</v>
      </c>
    </row>
    <row r="14351" customFormat="false" ht="15.75" hidden="false" customHeight="false" outlineLevel="0" collapsed="false">
      <c r="A14351" s="6" t="n">
        <f aca="false">DATE(2026,8,8)</f>
        <v>46242</v>
      </c>
      <c r="B14351" s="4" t="s">
        <v>334</v>
      </c>
      <c r="C14351" s="4" t="n">
        <v>3</v>
      </c>
      <c r="D14351" s="4" t="n">
        <v>13</v>
      </c>
      <c r="E14351" s="4"/>
      <c r="F14351" s="4" t="n">
        <v>58</v>
      </c>
      <c r="G14351" s="4" t="n">
        <v>1</v>
      </c>
      <c r="H14351" s="4" t="n">
        <v>4</v>
      </c>
      <c r="I14351" s="4" t="str">
        <v>×</v>
      </c>
      <c r="J14351" s="4"/>
      <c r="K14351" s="4"/>
      <c r="L14351" s="4"/>
      <c r="M14351" s="7" t="s">
        <v>6871</v>
      </c>
    </row>
    <row r="14352" customFormat="false" ht="15.75" hidden="false" customHeight="false" outlineLevel="0" collapsed="false">
      <c r="A14352" s="6" t="n">
        <f aca="false">DATE(2026,8,8)</f>
        <v>46242</v>
      </c>
      <c r="B14352" s="4" t="s">
        <v>334</v>
      </c>
      <c r="C14352" s="4" t="n">
        <v>3</v>
      </c>
      <c r="D14352" s="4" t="n">
        <v>6</v>
      </c>
      <c r="E14352" s="4"/>
      <c r="F14352" s="4" t="n">
        <v>41</v>
      </c>
      <c r="G14352" s="4" t="n">
        <v>2</v>
      </c>
      <c r="H14352" s="4" t="n">
        <v>4</v>
      </c>
      <c r="I14352" s="4" t="str">
        <v>×</v>
      </c>
      <c r="J14352" s="4"/>
      <c r="K14352" s="4"/>
      <c r="L14352" s="4"/>
      <c r="M14352" s="7" t="s">
        <v>6871</v>
      </c>
    </row>
    <row r="14353" customFormat="false" ht="15.75" hidden="false" customHeight="false" outlineLevel="0" collapsed="false">
      <c r="A14353" s="6" t="n">
        <f aca="false">DATE(2026,8,8)</f>
        <v>46242</v>
      </c>
      <c r="B14353" s="4" t="s">
        <v>334</v>
      </c>
      <c r="C14353" s="4" t="n">
        <v>3</v>
      </c>
      <c r="D14353" s="4" t="n">
        <v>4</v>
      </c>
      <c r="E14353" s="4"/>
      <c r="F14353" s="4" t="n">
        <v>52</v>
      </c>
      <c r="G14353" s="4" t="n">
        <v>3</v>
      </c>
      <c r="H14353" s="4" t="n">
        <v>4</v>
      </c>
      <c r="I14353" s="4" t="str">
        <v>×</v>
      </c>
      <c r="J14353" s="4"/>
      <c r="K14353" s="4"/>
      <c r="L14353" s="4"/>
      <c r="M14353" s="7" t="s">
        <v>6871</v>
      </c>
    </row>
    <row r="14354" customFormat="false" ht="15.75" hidden="false" customHeight="false" outlineLevel="0" collapsed="false">
      <c r="A14354" s="6" t="n">
        <f aca="false">DATE(2026,8,8)</f>
        <v>46242</v>
      </c>
      <c r="B14354" s="4" t="s">
        <v>334</v>
      </c>
      <c r="C14354" s="4" t="n">
        <v>3</v>
      </c>
      <c r="D14354" s="4" t="n">
        <v>10</v>
      </c>
      <c r="E14354" s="4" t="s">
        <v>5011</v>
      </c>
      <c r="F14354" s="4" t="n">
        <v>39</v>
      </c>
      <c r="G14354" s="4" t="n">
        <v>4</v>
      </c>
      <c r="H14354" s="4" t="n">
        <v>2</v>
      </c>
      <c r="I14354" s="4" t="str">
        <v>○</v>
      </c>
      <c r="J14354" s="4" t="n">
        <v>230</v>
      </c>
      <c r="K14354" s="4"/>
      <c r="L14354" s="4"/>
      <c r="M14354" s="7" t="s">
        <v>6871</v>
      </c>
    </row>
    <row r="14355" customFormat="false" ht="15.75" hidden="false" customHeight="false" outlineLevel="0" collapsed="false">
      <c r="A14355" s="6" t="n">
        <f aca="false">DATE(2026,8,8)</f>
        <v>46242</v>
      </c>
      <c r="B14355" s="4" t="s">
        <v>334</v>
      </c>
      <c r="C14355" s="4" t="n">
        <v>3</v>
      </c>
      <c r="D14355" s="4" t="n">
        <v>14</v>
      </c>
      <c r="E14355" s="4" t="s">
        <v>5808</v>
      </c>
      <c r="F14355" s="4" t="n">
        <v>34</v>
      </c>
      <c r="G14355" s="4" t="n">
        <v>5</v>
      </c>
      <c r="H14355" s="4" t="n">
        <v>1</v>
      </c>
      <c r="I14355" s="4" t="str">
        <v>○</v>
      </c>
      <c r="J14355" s="4" t="n">
        <v>240</v>
      </c>
      <c r="K14355" s="4"/>
      <c r="L14355" s="4"/>
      <c r="M14355" s="7" t="s">
        <v>6871</v>
      </c>
    </row>
    <row r="14356" customFormat="false" ht="15.75" hidden="false" customHeight="false" outlineLevel="0" collapsed="false">
      <c r="A14356" s="6" t="n">
        <f aca="false">DATE(2026,8,8)</f>
        <v>46242</v>
      </c>
      <c r="B14356" s="4" t="s">
        <v>334</v>
      </c>
      <c r="C14356" s="4" t="n">
        <v>3</v>
      </c>
      <c r="D14356" s="4" t="n">
        <v>11</v>
      </c>
      <c r="E14356" s="4" t="s">
        <v>798</v>
      </c>
      <c r="F14356" s="4" t="n">
        <v>23</v>
      </c>
      <c r="G14356" s="4" t="n">
        <v>6</v>
      </c>
      <c r="H14356" s="4" t="n">
        <v>3</v>
      </c>
      <c r="I14356" s="4" t="str">
        <v>○</v>
      </c>
      <c r="J14356" s="4" t="n">
        <v>340</v>
      </c>
      <c r="K14356" s="4"/>
      <c r="L14356" s="4"/>
      <c r="M14356" s="7" t="s">
        <v>6871</v>
      </c>
    </row>
    <row r="14357" customFormat="false" ht="15.75" hidden="false" customHeight="false" outlineLevel="0" collapsed="false">
      <c r="A14357" s="6" t="n">
        <f aca="false">DATE(2026,8,8)</f>
        <v>46242</v>
      </c>
      <c r="B14357" s="4" t="s">
        <v>334</v>
      </c>
      <c r="C14357" s="4" t="n">
        <v>3</v>
      </c>
      <c r="D14357" s="4" t="n">
        <v>8</v>
      </c>
      <c r="E14357" s="4"/>
      <c r="F14357" s="4" t="n">
        <v>20</v>
      </c>
      <c r="G14357" s="4" t="n">
        <v>7</v>
      </c>
      <c r="H14357" s="4" t="n">
        <v>4</v>
      </c>
      <c r="I14357" s="4" t="str">
        <v>×</v>
      </c>
      <c r="J14357" s="4"/>
      <c r="K14357" s="4"/>
      <c r="L14357" s="4"/>
      <c r="M14357" s="7" t="s">
        <v>6871</v>
      </c>
    </row>
    <row r="14358" customFormat="false" ht="15.75" hidden="false" customHeight="false" outlineLevel="0" collapsed="false">
      <c r="A14358" s="6" t="n">
        <f aca="false">DATE(2026,8,8)</f>
        <v>46242</v>
      </c>
      <c r="B14358" s="4" t="s">
        <v>334</v>
      </c>
      <c r="C14358" s="4" t="n">
        <v>3</v>
      </c>
      <c r="D14358" s="4" t="n">
        <v>12</v>
      </c>
      <c r="E14358" s="4"/>
      <c r="F14358" s="4" t="n">
        <v>17</v>
      </c>
      <c r="G14358" s="4" t="n">
        <v>8</v>
      </c>
      <c r="H14358" s="4" t="n">
        <v>4</v>
      </c>
      <c r="I14358" s="4" t="str">
        <v>×</v>
      </c>
      <c r="J14358" s="4"/>
      <c r="K14358" s="4"/>
      <c r="L14358" s="4"/>
      <c r="M14358" s="7" t="s">
        <v>6871</v>
      </c>
    </row>
    <row r="14359" customFormat="false" ht="15.75" hidden="false" customHeight="false" outlineLevel="0" collapsed="false">
      <c r="A14359" s="6" t="n">
        <f aca="false">DATE(2026,8,8)</f>
        <v>46242</v>
      </c>
      <c r="B14359" s="4" t="s">
        <v>334</v>
      </c>
      <c r="C14359" s="4" t="n">
        <v>3</v>
      </c>
      <c r="D14359" s="4" t="n">
        <v>2</v>
      </c>
      <c r="E14359" s="4"/>
      <c r="F14359" s="4" t="n">
        <v>13</v>
      </c>
      <c r="G14359" s="4" t="n">
        <v>9</v>
      </c>
      <c r="H14359" s="4" t="n">
        <v>4</v>
      </c>
      <c r="I14359" s="4" t="str">
        <v>×</v>
      </c>
      <c r="J14359" s="4"/>
      <c r="K14359" s="4"/>
      <c r="L14359" s="4"/>
      <c r="M14359" s="7" t="s">
        <v>6871</v>
      </c>
    </row>
    <row r="14360" customFormat="false" ht="15.75" hidden="false" customHeight="false" outlineLevel="0" collapsed="false">
      <c r="A14360" s="6" t="n">
        <f aca="false">DATE(2026,8,8)</f>
        <v>46242</v>
      </c>
      <c r="B14360" s="4" t="s">
        <v>334</v>
      </c>
      <c r="C14360" s="4" t="n">
        <v>3</v>
      </c>
      <c r="D14360" s="4" t="n">
        <v>1</v>
      </c>
      <c r="E14360" s="4"/>
      <c r="F14360" s="4" t="n">
        <v>10</v>
      </c>
      <c r="G14360" s="4" t="n">
        <v>10</v>
      </c>
      <c r="H14360" s="4" t="n">
        <v>4</v>
      </c>
      <c r="I14360" s="4" t="str">
        <v>×</v>
      </c>
      <c r="J14360" s="4"/>
      <c r="K14360" s="4"/>
      <c r="L14360" s="4"/>
      <c r="M14360" s="7" t="s">
        <v>6871</v>
      </c>
    </row>
    <row r="14361" customFormat="false" ht="15.75" hidden="false" customHeight="false" outlineLevel="0" collapsed="false">
      <c r="A14361" s="6" t="n">
        <f aca="false">DATE(2026,8,8)</f>
        <v>46242</v>
      </c>
      <c r="B14361" s="4" t="s">
        <v>334</v>
      </c>
      <c r="C14361" s="4" t="n">
        <v>3</v>
      </c>
      <c r="D14361" s="4" t="n">
        <v>5</v>
      </c>
      <c r="E14361" s="4"/>
      <c r="F14361" s="4" t="n">
        <v>6</v>
      </c>
      <c r="G14361" s="4" t="n">
        <v>11</v>
      </c>
      <c r="H14361" s="4" t="n">
        <v>4</v>
      </c>
      <c r="I14361" s="4" t="str">
        <v>×</v>
      </c>
      <c r="J14361" s="4"/>
      <c r="K14361" s="4"/>
      <c r="L14361" s="4"/>
      <c r="M14361" s="7" t="s">
        <v>6871</v>
      </c>
    </row>
    <row r="14362" customFormat="false" ht="15.75" hidden="false" customHeight="false" outlineLevel="0" collapsed="false">
      <c r="A14362" s="6" t="n">
        <f aca="false">DATE(2026,8,8)</f>
        <v>46242</v>
      </c>
      <c r="B14362" s="4" t="s">
        <v>334</v>
      </c>
      <c r="C14362" s="4" t="n">
        <v>3</v>
      </c>
      <c r="D14362" s="4" t="n">
        <v>3</v>
      </c>
      <c r="E14362" s="4"/>
      <c r="F14362" s="4" t="n">
        <v>3</v>
      </c>
      <c r="G14362" s="4" t="n">
        <v>12</v>
      </c>
      <c r="H14362" s="4" t="n">
        <v>4</v>
      </c>
      <c r="I14362" s="4" t="str">
        <v>×</v>
      </c>
      <c r="J14362" s="4"/>
      <c r="K14362" s="4"/>
      <c r="L14362" s="4"/>
      <c r="M14362" s="7" t="s">
        <v>6871</v>
      </c>
    </row>
    <row r="14363" customFormat="false" ht="15.75" hidden="false" customHeight="false" outlineLevel="0" collapsed="false">
      <c r="A14363" s="6" t="n">
        <f aca="false">DATE(2026,8,8)</f>
        <v>46242</v>
      </c>
      <c r="B14363" s="4" t="s">
        <v>334</v>
      </c>
      <c r="C14363" s="4" t="n">
        <v>3</v>
      </c>
      <c r="D14363" s="4" t="n">
        <v>7</v>
      </c>
      <c r="E14363" s="4"/>
      <c r="F14363" s="4" t="n">
        <v>2</v>
      </c>
      <c r="G14363" s="4" t="n">
        <v>13</v>
      </c>
      <c r="H14363" s="4" t="n">
        <v>4</v>
      </c>
      <c r="I14363" s="4" t="str">
        <v>×</v>
      </c>
      <c r="J14363" s="4"/>
      <c r="K14363" s="4"/>
      <c r="L14363" s="4"/>
      <c r="M14363" s="7" t="s">
        <v>6871</v>
      </c>
    </row>
    <row r="14364" customFormat="false" ht="15.75" hidden="false" customHeight="false" outlineLevel="0" collapsed="false">
      <c r="A14364" s="6" t="n">
        <f aca="false">DATE(2026,8,8)</f>
        <v>46242</v>
      </c>
      <c r="B14364" s="4" t="s">
        <v>334</v>
      </c>
      <c r="C14364" s="4" t="n">
        <v>3</v>
      </c>
      <c r="D14364" s="4" t="n">
        <v>9</v>
      </c>
      <c r="E14364" s="4"/>
      <c r="F14364" s="4" t="n">
        <v>2</v>
      </c>
      <c r="G14364" s="4" t="n">
        <v>14</v>
      </c>
      <c r="H14364" s="4" t="n">
        <v>4</v>
      </c>
      <c r="I14364" s="4" t="str">
        <v>×</v>
      </c>
      <c r="J14364" s="4"/>
      <c r="K14364" s="4"/>
      <c r="L14364" s="4"/>
      <c r="M14364" s="7" t="s">
        <v>6871</v>
      </c>
    </row>
    <row r="14365" customFormat="false" ht="15.75" hidden="false" customHeight="false" outlineLevel="0" collapsed="false">
      <c r="A14365" s="6" t="n">
        <f aca="false">DATE(2026,8,8)</f>
        <v>46242</v>
      </c>
      <c r="B14365" s="4" t="s">
        <v>334</v>
      </c>
      <c r="C14365" s="4" t="n">
        <v>4</v>
      </c>
      <c r="D14365" s="4" t="n">
        <v>10</v>
      </c>
      <c r="E14365" s="4"/>
      <c r="F14365" s="4" t="n">
        <v>50</v>
      </c>
      <c r="G14365" s="4" t="n">
        <v>1</v>
      </c>
      <c r="H14365" s="4" t="n">
        <v>4</v>
      </c>
      <c r="I14365" s="4" t="str">
        <v>×</v>
      </c>
      <c r="J14365" s="4"/>
      <c r="K14365" s="4"/>
      <c r="L14365" s="4"/>
      <c r="M14365" s="7" t="s">
        <v>6871</v>
      </c>
    </row>
    <row r="14366" customFormat="false" ht="15.75" hidden="false" customHeight="false" outlineLevel="0" collapsed="false">
      <c r="A14366" s="6" t="n">
        <f aca="false">DATE(2026,8,8)</f>
        <v>46242</v>
      </c>
      <c r="B14366" s="4" t="s">
        <v>334</v>
      </c>
      <c r="C14366" s="4" t="n">
        <v>4</v>
      </c>
      <c r="D14366" s="4" t="n">
        <v>2</v>
      </c>
      <c r="E14366" s="4" t="s">
        <v>6897</v>
      </c>
      <c r="F14366" s="4" t="n">
        <v>41</v>
      </c>
      <c r="G14366" s="4" t="n">
        <v>2</v>
      </c>
      <c r="H14366" s="4" t="n">
        <v>3</v>
      </c>
      <c r="I14366" s="4" t="str">
        <v>○</v>
      </c>
      <c r="J14366" s="4" t="n">
        <v>200</v>
      </c>
      <c r="K14366" s="4"/>
      <c r="L14366" s="4"/>
      <c r="M14366" s="7" t="s">
        <v>6871</v>
      </c>
    </row>
    <row r="14367" customFormat="false" ht="15.75" hidden="false" customHeight="false" outlineLevel="0" collapsed="false">
      <c r="A14367" s="6" t="n">
        <f aca="false">DATE(2026,8,8)</f>
        <v>46242</v>
      </c>
      <c r="B14367" s="4" t="s">
        <v>334</v>
      </c>
      <c r="C14367" s="4" t="n">
        <v>4</v>
      </c>
      <c r="D14367" s="4" t="n">
        <v>4</v>
      </c>
      <c r="E14367" s="4" t="s">
        <v>870</v>
      </c>
      <c r="F14367" s="4" t="n">
        <v>41</v>
      </c>
      <c r="G14367" s="4" t="n">
        <v>3</v>
      </c>
      <c r="H14367" s="4" t="n">
        <v>1</v>
      </c>
      <c r="I14367" s="4" t="str">
        <v>○</v>
      </c>
      <c r="J14367" s="4" t="n">
        <v>200</v>
      </c>
      <c r="K14367" s="4"/>
      <c r="L14367" s="4"/>
      <c r="M14367" s="7" t="s">
        <v>6871</v>
      </c>
    </row>
    <row r="14368" customFormat="false" ht="15.75" hidden="false" customHeight="false" outlineLevel="0" collapsed="false">
      <c r="A14368" s="6" t="n">
        <f aca="false">DATE(2026,8,8)</f>
        <v>46242</v>
      </c>
      <c r="B14368" s="4" t="s">
        <v>334</v>
      </c>
      <c r="C14368" s="4" t="n">
        <v>4</v>
      </c>
      <c r="D14368" s="4" t="n">
        <v>13</v>
      </c>
      <c r="E14368" s="4" t="s">
        <v>6898</v>
      </c>
      <c r="F14368" s="4" t="n">
        <v>44</v>
      </c>
      <c r="G14368" s="4" t="n">
        <v>4</v>
      </c>
      <c r="H14368" s="4" t="n">
        <v>2</v>
      </c>
      <c r="I14368" s="4" t="str">
        <v>○</v>
      </c>
      <c r="J14368" s="4" t="n">
        <v>180</v>
      </c>
      <c r="K14368" s="4"/>
      <c r="L14368" s="4"/>
      <c r="M14368" s="7" t="s">
        <v>6871</v>
      </c>
    </row>
    <row r="14369" customFormat="false" ht="15.75" hidden="false" customHeight="false" outlineLevel="0" collapsed="false">
      <c r="A14369" s="6" t="n">
        <f aca="false">DATE(2026,8,8)</f>
        <v>46242</v>
      </c>
      <c r="B14369" s="4" t="s">
        <v>334</v>
      </c>
      <c r="C14369" s="4" t="n">
        <v>4</v>
      </c>
      <c r="D14369" s="4" t="n">
        <v>6</v>
      </c>
      <c r="E14369" s="4"/>
      <c r="F14369" s="4" t="n">
        <v>39</v>
      </c>
      <c r="G14369" s="4" t="n">
        <v>5</v>
      </c>
      <c r="H14369" s="4" t="n">
        <v>4</v>
      </c>
      <c r="I14369" s="4" t="str">
        <v>×</v>
      </c>
      <c r="J14369" s="4"/>
      <c r="K14369" s="4"/>
      <c r="L14369" s="4"/>
      <c r="M14369" s="7" t="s">
        <v>6871</v>
      </c>
    </row>
    <row r="14370" customFormat="false" ht="15.75" hidden="false" customHeight="false" outlineLevel="0" collapsed="false">
      <c r="A14370" s="6" t="n">
        <f aca="false">DATE(2026,8,8)</f>
        <v>46242</v>
      </c>
      <c r="B14370" s="4" t="s">
        <v>334</v>
      </c>
      <c r="C14370" s="4" t="n">
        <v>4</v>
      </c>
      <c r="D14370" s="4" t="n">
        <v>14</v>
      </c>
      <c r="E14370" s="4"/>
      <c r="F14370" s="4" t="n">
        <v>37</v>
      </c>
      <c r="G14370" s="4" t="n">
        <v>6</v>
      </c>
      <c r="H14370" s="4" t="n">
        <v>4</v>
      </c>
      <c r="I14370" s="4" t="str">
        <v>×</v>
      </c>
      <c r="J14370" s="4"/>
      <c r="K14370" s="4"/>
      <c r="L14370" s="4"/>
      <c r="M14370" s="7" t="s">
        <v>6871</v>
      </c>
    </row>
    <row r="14371" customFormat="false" ht="15.75" hidden="false" customHeight="false" outlineLevel="0" collapsed="false">
      <c r="A14371" s="6" t="n">
        <f aca="false">DATE(2026,8,8)</f>
        <v>46242</v>
      </c>
      <c r="B14371" s="4" t="s">
        <v>334</v>
      </c>
      <c r="C14371" s="4" t="n">
        <v>4</v>
      </c>
      <c r="D14371" s="4" t="n">
        <v>7</v>
      </c>
      <c r="E14371" s="4"/>
      <c r="F14371" s="4" t="n">
        <v>29</v>
      </c>
      <c r="G14371" s="4" t="n">
        <v>7</v>
      </c>
      <c r="H14371" s="4" t="n">
        <v>4</v>
      </c>
      <c r="I14371" s="4" t="str">
        <v>×</v>
      </c>
      <c r="J14371" s="4"/>
      <c r="K14371" s="4"/>
      <c r="L14371" s="4"/>
      <c r="M14371" s="7" t="s">
        <v>6871</v>
      </c>
    </row>
    <row r="14372" customFormat="false" ht="15.75" hidden="false" customHeight="false" outlineLevel="0" collapsed="false">
      <c r="A14372" s="6" t="n">
        <f aca="false">DATE(2026,8,8)</f>
        <v>46242</v>
      </c>
      <c r="B14372" s="4" t="s">
        <v>334</v>
      </c>
      <c r="C14372" s="4" t="n">
        <v>4</v>
      </c>
      <c r="D14372" s="4" t="n">
        <v>11</v>
      </c>
      <c r="E14372" s="4"/>
      <c r="F14372" s="4" t="n">
        <v>29</v>
      </c>
      <c r="G14372" s="4" t="n">
        <v>8</v>
      </c>
      <c r="H14372" s="4" t="n">
        <v>4</v>
      </c>
      <c r="I14372" s="4" t="str">
        <v>×</v>
      </c>
      <c r="J14372" s="4"/>
      <c r="K14372" s="4"/>
      <c r="L14372" s="4"/>
      <c r="M14372" s="7" t="s">
        <v>6871</v>
      </c>
    </row>
    <row r="14373" customFormat="false" ht="15.75" hidden="false" customHeight="false" outlineLevel="0" collapsed="false">
      <c r="A14373" s="6" t="n">
        <f aca="false">DATE(2026,8,8)</f>
        <v>46242</v>
      </c>
      <c r="B14373" s="4" t="s">
        <v>334</v>
      </c>
      <c r="C14373" s="4" t="n">
        <v>4</v>
      </c>
      <c r="D14373" s="4" t="n">
        <v>5</v>
      </c>
      <c r="E14373" s="4"/>
      <c r="F14373" s="4" t="n">
        <v>23</v>
      </c>
      <c r="G14373" s="4" t="n">
        <v>9</v>
      </c>
      <c r="H14373" s="4" t="n">
        <v>4</v>
      </c>
      <c r="I14373" s="4" t="str">
        <v>×</v>
      </c>
      <c r="J14373" s="4"/>
      <c r="K14373" s="4"/>
      <c r="L14373" s="4"/>
      <c r="M14373" s="7" t="s">
        <v>6871</v>
      </c>
    </row>
    <row r="14374" customFormat="false" ht="15.75" hidden="false" customHeight="false" outlineLevel="0" collapsed="false">
      <c r="A14374" s="6" t="n">
        <f aca="false">DATE(2026,8,8)</f>
        <v>46242</v>
      </c>
      <c r="B14374" s="4" t="s">
        <v>334</v>
      </c>
      <c r="C14374" s="4" t="n">
        <v>4</v>
      </c>
      <c r="D14374" s="4" t="n">
        <v>1</v>
      </c>
      <c r="E14374" s="4"/>
      <c r="F14374" s="4" t="n">
        <v>13</v>
      </c>
      <c r="G14374" s="4" t="n">
        <v>10</v>
      </c>
      <c r="H14374" s="4" t="n">
        <v>4</v>
      </c>
      <c r="I14374" s="4" t="str">
        <v>×</v>
      </c>
      <c r="J14374" s="4"/>
      <c r="K14374" s="4"/>
      <c r="L14374" s="4"/>
      <c r="M14374" s="7" t="s">
        <v>6871</v>
      </c>
    </row>
    <row r="14375" customFormat="false" ht="15.75" hidden="false" customHeight="false" outlineLevel="0" collapsed="false">
      <c r="A14375" s="6" t="n">
        <f aca="false">DATE(2026,8,8)</f>
        <v>46242</v>
      </c>
      <c r="B14375" s="4" t="s">
        <v>334</v>
      </c>
      <c r="C14375" s="4" t="n">
        <v>4</v>
      </c>
      <c r="D14375" s="4" t="n">
        <v>8</v>
      </c>
      <c r="E14375" s="4"/>
      <c r="F14375" s="4" t="n">
        <v>10</v>
      </c>
      <c r="G14375" s="4" t="n">
        <v>11</v>
      </c>
      <c r="H14375" s="4" t="n">
        <v>4</v>
      </c>
      <c r="I14375" s="4" t="str">
        <v>×</v>
      </c>
      <c r="J14375" s="4"/>
      <c r="K14375" s="4"/>
      <c r="L14375" s="4"/>
      <c r="M14375" s="7" t="s">
        <v>6871</v>
      </c>
    </row>
    <row r="14376" customFormat="false" ht="15.75" hidden="false" customHeight="false" outlineLevel="0" collapsed="false">
      <c r="A14376" s="6" t="n">
        <f aca="false">DATE(2026,8,8)</f>
        <v>46242</v>
      </c>
      <c r="B14376" s="4" t="s">
        <v>334</v>
      </c>
      <c r="C14376" s="4" t="n">
        <v>4</v>
      </c>
      <c r="D14376" s="4" t="n">
        <v>9</v>
      </c>
      <c r="E14376" s="4"/>
      <c r="F14376" s="4" t="n">
        <v>4</v>
      </c>
      <c r="G14376" s="4" t="n">
        <v>12</v>
      </c>
      <c r="H14376" s="4" t="n">
        <v>4</v>
      </c>
      <c r="I14376" s="4" t="str">
        <v>×</v>
      </c>
      <c r="J14376" s="4"/>
      <c r="K14376" s="4"/>
      <c r="L14376" s="4"/>
      <c r="M14376" s="7" t="s">
        <v>6871</v>
      </c>
    </row>
    <row r="14377" customFormat="false" ht="15.75" hidden="false" customHeight="false" outlineLevel="0" collapsed="false">
      <c r="A14377" s="6" t="n">
        <f aca="false">DATE(2026,8,8)</f>
        <v>46242</v>
      </c>
      <c r="B14377" s="4" t="s">
        <v>334</v>
      </c>
      <c r="C14377" s="4" t="n">
        <v>4</v>
      </c>
      <c r="D14377" s="4" t="n">
        <v>3</v>
      </c>
      <c r="E14377" s="4"/>
      <c r="F14377" s="4" t="n">
        <v>3</v>
      </c>
      <c r="G14377" s="4" t="n">
        <v>13</v>
      </c>
      <c r="H14377" s="4" t="n">
        <v>4</v>
      </c>
      <c r="I14377" s="4" t="str">
        <v>×</v>
      </c>
      <c r="J14377" s="4"/>
      <c r="K14377" s="4"/>
      <c r="L14377" s="4"/>
      <c r="M14377" s="7" t="s">
        <v>6871</v>
      </c>
    </row>
    <row r="14378" customFormat="false" ht="15.75" hidden="false" customHeight="false" outlineLevel="0" collapsed="false">
      <c r="A14378" s="6" t="n">
        <f aca="false">DATE(2026,8,8)</f>
        <v>46242</v>
      </c>
      <c r="B14378" s="4" t="s">
        <v>334</v>
      </c>
      <c r="C14378" s="4" t="n">
        <v>4</v>
      </c>
      <c r="D14378" s="4" t="n">
        <v>12</v>
      </c>
      <c r="E14378" s="4"/>
      <c r="F14378" s="4" t="n">
        <v>3</v>
      </c>
      <c r="G14378" s="4" t="n">
        <v>14</v>
      </c>
      <c r="H14378" s="4" t="n">
        <v>4</v>
      </c>
      <c r="I14378" s="4" t="str">
        <v>×</v>
      </c>
      <c r="J14378" s="4"/>
      <c r="K14378" s="4"/>
      <c r="L14378" s="4"/>
      <c r="M14378" s="7" t="s">
        <v>6871</v>
      </c>
    </row>
    <row r="14379" customFormat="false" ht="15.75" hidden="false" customHeight="false" outlineLevel="0" collapsed="false">
      <c r="A14379" s="6" t="n">
        <f aca="false">DATE(2026,8,8)</f>
        <v>46242</v>
      </c>
      <c r="B14379" s="4" t="s">
        <v>334</v>
      </c>
      <c r="C14379" s="4" t="n">
        <v>5</v>
      </c>
      <c r="D14379" s="4" t="n">
        <v>2</v>
      </c>
      <c r="E14379" s="4"/>
      <c r="F14379" s="4" t="n">
        <v>37</v>
      </c>
      <c r="G14379" s="4" t="n">
        <v>1</v>
      </c>
      <c r="H14379" s="4" t="n">
        <v>4</v>
      </c>
      <c r="I14379" s="4" t="str">
        <v>×</v>
      </c>
      <c r="J14379" s="4"/>
      <c r="K14379" s="4"/>
      <c r="L14379" s="4"/>
      <c r="M14379" s="7" t="s">
        <v>6871</v>
      </c>
    </row>
    <row r="14380" customFormat="false" ht="15.75" hidden="false" customHeight="false" outlineLevel="0" collapsed="false">
      <c r="A14380" s="6" t="n">
        <f aca="false">DATE(2026,8,8)</f>
        <v>46242</v>
      </c>
      <c r="B14380" s="4" t="s">
        <v>334</v>
      </c>
      <c r="C14380" s="4" t="n">
        <v>5</v>
      </c>
      <c r="D14380" s="4" t="n">
        <v>6</v>
      </c>
      <c r="E14380" s="4" t="s">
        <v>6899</v>
      </c>
      <c r="F14380" s="4" t="n">
        <v>27</v>
      </c>
      <c r="G14380" s="4" t="n">
        <v>2</v>
      </c>
      <c r="H14380" s="4" t="n">
        <v>2</v>
      </c>
      <c r="I14380" s="4" t="str">
        <v>○</v>
      </c>
      <c r="J14380" s="4" t="n">
        <v>240</v>
      </c>
      <c r="K14380" s="4"/>
      <c r="L14380" s="4"/>
      <c r="M14380" s="7" t="s">
        <v>6871</v>
      </c>
    </row>
    <row r="14381" customFormat="false" ht="15.75" hidden="false" customHeight="false" outlineLevel="0" collapsed="false">
      <c r="A14381" s="6" t="n">
        <f aca="false">DATE(2026,8,8)</f>
        <v>46242</v>
      </c>
      <c r="B14381" s="4" t="s">
        <v>334</v>
      </c>
      <c r="C14381" s="4" t="n">
        <v>5</v>
      </c>
      <c r="D14381" s="4" t="n">
        <v>7</v>
      </c>
      <c r="E14381" s="4"/>
      <c r="F14381" s="4" t="n">
        <v>31</v>
      </c>
      <c r="G14381" s="4" t="n">
        <v>3</v>
      </c>
      <c r="H14381" s="4" t="n">
        <v>4</v>
      </c>
      <c r="I14381" s="4" t="str">
        <v>×</v>
      </c>
      <c r="J14381" s="4"/>
      <c r="K14381" s="4"/>
      <c r="L14381" s="4"/>
      <c r="M14381" s="7" t="s">
        <v>6871</v>
      </c>
    </row>
    <row r="14382" customFormat="false" ht="15.75" hidden="false" customHeight="false" outlineLevel="0" collapsed="false">
      <c r="A14382" s="6" t="n">
        <f aca="false">DATE(2026,8,8)</f>
        <v>46242</v>
      </c>
      <c r="B14382" s="4" t="s">
        <v>334</v>
      </c>
      <c r="C14382" s="4" t="n">
        <v>5</v>
      </c>
      <c r="D14382" s="4" t="n">
        <v>9</v>
      </c>
      <c r="E14382" s="4" t="s">
        <v>6900</v>
      </c>
      <c r="F14382" s="4" t="n">
        <v>24</v>
      </c>
      <c r="G14382" s="4" t="n">
        <v>4</v>
      </c>
      <c r="H14382" s="4" t="n">
        <v>3</v>
      </c>
      <c r="I14382" s="4" t="str">
        <v>○</v>
      </c>
      <c r="J14382" s="4" t="n">
        <v>350</v>
      </c>
      <c r="K14382" s="4"/>
      <c r="L14382" s="4"/>
      <c r="M14382" s="7" t="s">
        <v>6871</v>
      </c>
    </row>
    <row r="14383" customFormat="false" ht="15.75" hidden="false" customHeight="false" outlineLevel="0" collapsed="false">
      <c r="A14383" s="6" t="n">
        <f aca="false">DATE(2026,8,8)</f>
        <v>46242</v>
      </c>
      <c r="B14383" s="4" t="s">
        <v>334</v>
      </c>
      <c r="C14383" s="4" t="n">
        <v>5</v>
      </c>
      <c r="D14383" s="4" t="n">
        <v>3</v>
      </c>
      <c r="E14383" s="4"/>
      <c r="F14383" s="4" t="n">
        <v>21</v>
      </c>
      <c r="G14383" s="4" t="n">
        <v>5</v>
      </c>
      <c r="H14383" s="4" t="n">
        <v>4</v>
      </c>
      <c r="I14383" s="4" t="str">
        <v>×</v>
      </c>
      <c r="J14383" s="4"/>
      <c r="K14383" s="4"/>
      <c r="L14383" s="4"/>
      <c r="M14383" s="7" t="s">
        <v>6871</v>
      </c>
    </row>
    <row r="14384" customFormat="false" ht="15.75" hidden="false" customHeight="false" outlineLevel="0" collapsed="false">
      <c r="A14384" s="6" t="n">
        <f aca="false">DATE(2026,8,8)</f>
        <v>46242</v>
      </c>
      <c r="B14384" s="4" t="s">
        <v>334</v>
      </c>
      <c r="C14384" s="4" t="n">
        <v>5</v>
      </c>
      <c r="D14384" s="4" t="n">
        <v>11</v>
      </c>
      <c r="E14384" s="4"/>
      <c r="F14384" s="4" t="n">
        <v>21</v>
      </c>
      <c r="G14384" s="4" t="n">
        <v>6</v>
      </c>
      <c r="H14384" s="4" t="n">
        <v>4</v>
      </c>
      <c r="I14384" s="4" t="str">
        <v>×</v>
      </c>
      <c r="J14384" s="4"/>
      <c r="K14384" s="4"/>
      <c r="L14384" s="4"/>
      <c r="M14384" s="7" t="s">
        <v>6871</v>
      </c>
    </row>
    <row r="14385" customFormat="false" ht="15.75" hidden="false" customHeight="false" outlineLevel="0" collapsed="false">
      <c r="A14385" s="6" t="n">
        <f aca="false">DATE(2026,8,8)</f>
        <v>46242</v>
      </c>
      <c r="B14385" s="4" t="s">
        <v>334</v>
      </c>
      <c r="C14385" s="4" t="n">
        <v>5</v>
      </c>
      <c r="D14385" s="4" t="n">
        <v>1</v>
      </c>
      <c r="E14385" s="4"/>
      <c r="F14385" s="4" t="n">
        <v>16</v>
      </c>
      <c r="G14385" s="4" t="n">
        <v>7</v>
      </c>
      <c r="H14385" s="4" t="n">
        <v>4</v>
      </c>
      <c r="I14385" s="4" t="str">
        <v>×</v>
      </c>
      <c r="J14385" s="4"/>
      <c r="K14385" s="4"/>
      <c r="L14385" s="4"/>
      <c r="M14385" s="7" t="s">
        <v>6871</v>
      </c>
    </row>
    <row r="14386" customFormat="false" ht="15.75" hidden="false" customHeight="false" outlineLevel="0" collapsed="false">
      <c r="A14386" s="6" t="n">
        <f aca="false">DATE(2026,8,8)</f>
        <v>46242</v>
      </c>
      <c r="B14386" s="4" t="s">
        <v>334</v>
      </c>
      <c r="C14386" s="4" t="n">
        <v>5</v>
      </c>
      <c r="D14386" s="4" t="n">
        <v>4</v>
      </c>
      <c r="E14386" s="4"/>
      <c r="F14386" s="4" t="n">
        <v>14</v>
      </c>
      <c r="G14386" s="4" t="n">
        <v>8</v>
      </c>
      <c r="H14386" s="4" t="n">
        <v>4</v>
      </c>
      <c r="I14386" s="4" t="str">
        <v>×</v>
      </c>
      <c r="J14386" s="4"/>
      <c r="K14386" s="4"/>
      <c r="L14386" s="4"/>
      <c r="M14386" s="7" t="s">
        <v>6871</v>
      </c>
    </row>
    <row r="14387" customFormat="false" ht="15.75" hidden="false" customHeight="false" outlineLevel="0" collapsed="false">
      <c r="A14387" s="6" t="n">
        <f aca="false">DATE(2026,8,8)</f>
        <v>46242</v>
      </c>
      <c r="B14387" s="4" t="s">
        <v>334</v>
      </c>
      <c r="C14387" s="4" t="n">
        <v>5</v>
      </c>
      <c r="D14387" s="4" t="n">
        <v>5</v>
      </c>
      <c r="E14387" s="4" t="s">
        <v>6901</v>
      </c>
      <c r="F14387" s="4" t="n">
        <v>14</v>
      </c>
      <c r="G14387" s="4" t="n">
        <v>9</v>
      </c>
      <c r="H14387" s="4" t="n">
        <v>1</v>
      </c>
      <c r="I14387" s="4" t="str">
        <v>○</v>
      </c>
      <c r="J14387" s="4" t="n">
        <v>160</v>
      </c>
      <c r="K14387" s="4"/>
      <c r="L14387" s="4"/>
      <c r="M14387" s="7" t="s">
        <v>6871</v>
      </c>
    </row>
    <row r="14388" customFormat="false" ht="15.75" hidden="false" customHeight="false" outlineLevel="0" collapsed="false">
      <c r="A14388" s="6" t="n">
        <f aca="false">DATE(2026,8,8)</f>
        <v>46242</v>
      </c>
      <c r="B14388" s="4" t="s">
        <v>334</v>
      </c>
      <c r="C14388" s="4" t="n">
        <v>5</v>
      </c>
      <c r="D14388" s="4" t="n">
        <v>10</v>
      </c>
      <c r="E14388" s="4"/>
      <c r="F14388" s="4" t="n">
        <v>12</v>
      </c>
      <c r="G14388" s="4" t="n">
        <v>10</v>
      </c>
      <c r="H14388" s="4" t="n">
        <v>4</v>
      </c>
      <c r="I14388" s="4" t="str">
        <v>×</v>
      </c>
      <c r="J14388" s="4"/>
      <c r="K14388" s="4"/>
      <c r="L14388" s="4"/>
      <c r="M14388" s="7" t="s">
        <v>6871</v>
      </c>
    </row>
    <row r="14389" customFormat="false" ht="15.75" hidden="false" customHeight="false" outlineLevel="0" collapsed="false">
      <c r="A14389" s="6" t="n">
        <f aca="false">DATE(2026,8,8)</f>
        <v>46242</v>
      </c>
      <c r="B14389" s="4" t="s">
        <v>334</v>
      </c>
      <c r="C14389" s="4" t="n">
        <v>5</v>
      </c>
      <c r="D14389" s="4" t="n">
        <v>12</v>
      </c>
      <c r="E14389" s="4"/>
      <c r="F14389" s="4" t="n">
        <v>8</v>
      </c>
      <c r="G14389" s="4" t="n">
        <v>11</v>
      </c>
      <c r="H14389" s="4" t="n">
        <v>4</v>
      </c>
      <c r="I14389" s="4" t="str">
        <v>×</v>
      </c>
      <c r="J14389" s="4"/>
      <c r="K14389" s="4"/>
      <c r="L14389" s="4"/>
      <c r="M14389" s="7" t="s">
        <v>6871</v>
      </c>
    </row>
    <row r="14390" customFormat="false" ht="15.75" hidden="false" customHeight="false" outlineLevel="0" collapsed="false">
      <c r="A14390" s="6" t="n">
        <f aca="false">DATE(2026,8,8)</f>
        <v>46242</v>
      </c>
      <c r="B14390" s="4" t="s">
        <v>334</v>
      </c>
      <c r="C14390" s="4" t="n">
        <v>5</v>
      </c>
      <c r="D14390" s="4" t="n">
        <v>8</v>
      </c>
      <c r="E14390" s="4"/>
      <c r="F14390" s="4" t="n">
        <v>6</v>
      </c>
      <c r="G14390" s="4" t="n">
        <v>12</v>
      </c>
      <c r="H14390" s="4" t="n">
        <v>4</v>
      </c>
      <c r="I14390" s="4" t="str">
        <v>×</v>
      </c>
      <c r="J14390" s="4"/>
      <c r="K14390" s="4"/>
      <c r="L14390" s="4"/>
      <c r="M14390" s="7" t="s">
        <v>6871</v>
      </c>
    </row>
    <row r="14391" customFormat="false" ht="15.75" hidden="false" customHeight="false" outlineLevel="0" collapsed="false">
      <c r="A14391" s="6" t="n">
        <f aca="false">DATE(2026,8,8)</f>
        <v>46242</v>
      </c>
      <c r="B14391" s="4" t="s">
        <v>334</v>
      </c>
      <c r="C14391" s="4" t="n">
        <v>6</v>
      </c>
      <c r="D14391" s="4" t="n">
        <v>12</v>
      </c>
      <c r="E14391" s="4" t="s">
        <v>1752</v>
      </c>
      <c r="F14391" s="4" t="n">
        <v>58</v>
      </c>
      <c r="G14391" s="4" t="n">
        <v>1</v>
      </c>
      <c r="H14391" s="4" t="n">
        <v>1</v>
      </c>
      <c r="I14391" s="4" t="str">
        <v>○</v>
      </c>
      <c r="J14391" s="4" t="n">
        <v>140</v>
      </c>
      <c r="K14391" s="4"/>
      <c r="L14391" s="4"/>
      <c r="M14391" s="7" t="s">
        <v>6871</v>
      </c>
    </row>
    <row r="14392" customFormat="false" ht="15.75" hidden="false" customHeight="false" outlineLevel="0" collapsed="false">
      <c r="A14392" s="6" t="n">
        <f aca="false">DATE(2026,8,8)</f>
        <v>46242</v>
      </c>
      <c r="B14392" s="4" t="s">
        <v>334</v>
      </c>
      <c r="C14392" s="4" t="n">
        <v>6</v>
      </c>
      <c r="D14392" s="4" t="n">
        <v>11</v>
      </c>
      <c r="E14392" s="4" t="s">
        <v>851</v>
      </c>
      <c r="F14392" s="4" t="n">
        <v>47</v>
      </c>
      <c r="G14392" s="4" t="n">
        <v>2</v>
      </c>
      <c r="H14392" s="4" t="n">
        <v>2</v>
      </c>
      <c r="I14392" s="4" t="str">
        <v>○</v>
      </c>
      <c r="J14392" s="4" t="n">
        <v>130</v>
      </c>
      <c r="K14392" s="4"/>
      <c r="L14392" s="4"/>
      <c r="M14392" s="7" t="s">
        <v>6871</v>
      </c>
    </row>
    <row r="14393" customFormat="false" ht="15.75" hidden="false" customHeight="false" outlineLevel="0" collapsed="false">
      <c r="A14393" s="6" t="n">
        <f aca="false">DATE(2026,8,8)</f>
        <v>46242</v>
      </c>
      <c r="B14393" s="4" t="s">
        <v>334</v>
      </c>
      <c r="C14393" s="4" t="n">
        <v>6</v>
      </c>
      <c r="D14393" s="4" t="n">
        <v>4</v>
      </c>
      <c r="E14393" s="4" t="s">
        <v>3140</v>
      </c>
      <c r="F14393" s="4" t="n">
        <v>52</v>
      </c>
      <c r="G14393" s="4" t="n">
        <v>3</v>
      </c>
      <c r="H14393" s="4" t="n">
        <v>3</v>
      </c>
      <c r="I14393" s="4" t="str">
        <v>○</v>
      </c>
      <c r="J14393" s="4" t="n">
        <v>130</v>
      </c>
      <c r="K14393" s="4"/>
      <c r="L14393" s="4"/>
      <c r="M14393" s="7" t="s">
        <v>6871</v>
      </c>
    </row>
    <row r="14394" customFormat="false" ht="15.75" hidden="false" customHeight="false" outlineLevel="0" collapsed="false">
      <c r="A14394" s="6" t="n">
        <f aca="false">DATE(2026,8,8)</f>
        <v>46242</v>
      </c>
      <c r="B14394" s="4" t="s">
        <v>334</v>
      </c>
      <c r="C14394" s="4" t="n">
        <v>6</v>
      </c>
      <c r="D14394" s="4" t="n">
        <v>6</v>
      </c>
      <c r="E14394" s="4"/>
      <c r="F14394" s="4" t="n">
        <v>34</v>
      </c>
      <c r="G14394" s="4" t="n">
        <v>4</v>
      </c>
      <c r="H14394" s="4" t="n">
        <v>4</v>
      </c>
      <c r="I14394" s="4" t="str">
        <v>×</v>
      </c>
      <c r="J14394" s="4"/>
      <c r="K14394" s="4"/>
      <c r="L14394" s="4"/>
      <c r="M14394" s="7" t="s">
        <v>6871</v>
      </c>
    </row>
    <row r="14395" customFormat="false" ht="15.75" hidden="false" customHeight="false" outlineLevel="0" collapsed="false">
      <c r="A14395" s="6" t="n">
        <f aca="false">DATE(2026,8,8)</f>
        <v>46242</v>
      </c>
      <c r="B14395" s="4" t="s">
        <v>334</v>
      </c>
      <c r="C14395" s="4" t="n">
        <v>6</v>
      </c>
      <c r="D14395" s="4" t="n">
        <v>2</v>
      </c>
      <c r="E14395" s="4"/>
      <c r="F14395" s="4" t="n">
        <v>25</v>
      </c>
      <c r="G14395" s="4" t="n">
        <v>5</v>
      </c>
      <c r="H14395" s="4" t="n">
        <v>4</v>
      </c>
      <c r="I14395" s="4" t="str">
        <v>×</v>
      </c>
      <c r="J14395" s="4"/>
      <c r="K14395" s="4"/>
      <c r="L14395" s="4"/>
      <c r="M14395" s="7" t="s">
        <v>6871</v>
      </c>
    </row>
    <row r="14396" customFormat="false" ht="15.75" hidden="false" customHeight="false" outlineLevel="0" collapsed="false">
      <c r="A14396" s="6" t="n">
        <f aca="false">DATE(2026,8,8)</f>
        <v>46242</v>
      </c>
      <c r="B14396" s="4" t="s">
        <v>334</v>
      </c>
      <c r="C14396" s="4" t="n">
        <v>6</v>
      </c>
      <c r="D14396" s="4" t="n">
        <v>3</v>
      </c>
      <c r="E14396" s="4"/>
      <c r="F14396" s="4" t="n">
        <v>20</v>
      </c>
      <c r="G14396" s="4" t="n">
        <v>6</v>
      </c>
      <c r="H14396" s="4" t="n">
        <v>4</v>
      </c>
      <c r="I14396" s="4" t="str">
        <v>×</v>
      </c>
      <c r="J14396" s="4"/>
      <c r="K14396" s="4"/>
      <c r="L14396" s="4"/>
      <c r="M14396" s="7" t="s">
        <v>6871</v>
      </c>
    </row>
    <row r="14397" customFormat="false" ht="15.75" hidden="false" customHeight="false" outlineLevel="0" collapsed="false">
      <c r="A14397" s="6" t="n">
        <f aca="false">DATE(2026,8,8)</f>
        <v>46242</v>
      </c>
      <c r="B14397" s="4" t="s">
        <v>334</v>
      </c>
      <c r="C14397" s="4" t="n">
        <v>6</v>
      </c>
      <c r="D14397" s="4" t="n">
        <v>16</v>
      </c>
      <c r="E14397" s="4"/>
      <c r="F14397" s="4" t="n">
        <v>20</v>
      </c>
      <c r="G14397" s="4" t="n">
        <v>7</v>
      </c>
      <c r="H14397" s="4" t="n">
        <v>4</v>
      </c>
      <c r="I14397" s="4" t="str">
        <v>×</v>
      </c>
      <c r="J14397" s="4"/>
      <c r="K14397" s="4"/>
      <c r="L14397" s="4"/>
      <c r="M14397" s="7" t="s">
        <v>6871</v>
      </c>
    </row>
    <row r="14398" customFormat="false" ht="15.75" hidden="false" customHeight="false" outlineLevel="0" collapsed="false">
      <c r="A14398" s="6" t="n">
        <f aca="false">DATE(2026,8,8)</f>
        <v>46242</v>
      </c>
      <c r="B14398" s="4" t="s">
        <v>334</v>
      </c>
      <c r="C14398" s="4" t="n">
        <v>6</v>
      </c>
      <c r="D14398" s="4" t="n">
        <v>8</v>
      </c>
      <c r="E14398" s="4"/>
      <c r="F14398" s="4" t="n">
        <v>17</v>
      </c>
      <c r="G14398" s="4" t="n">
        <v>8</v>
      </c>
      <c r="H14398" s="4" t="n">
        <v>4</v>
      </c>
      <c r="I14398" s="4" t="str">
        <v>×</v>
      </c>
      <c r="J14398" s="4"/>
      <c r="K14398" s="4"/>
      <c r="L14398" s="4"/>
      <c r="M14398" s="7" t="s">
        <v>6871</v>
      </c>
    </row>
    <row r="14399" customFormat="false" ht="15.75" hidden="false" customHeight="false" outlineLevel="0" collapsed="false">
      <c r="A14399" s="6" t="n">
        <f aca="false">DATE(2026,8,8)</f>
        <v>46242</v>
      </c>
      <c r="B14399" s="4" t="s">
        <v>334</v>
      </c>
      <c r="C14399" s="4" t="n">
        <v>6</v>
      </c>
      <c r="D14399" s="4" t="n">
        <v>9</v>
      </c>
      <c r="E14399" s="4"/>
      <c r="F14399" s="4" t="n">
        <v>13</v>
      </c>
      <c r="G14399" s="4" t="n">
        <v>9</v>
      </c>
      <c r="H14399" s="4" t="n">
        <v>4</v>
      </c>
      <c r="I14399" s="4" t="str">
        <v>×</v>
      </c>
      <c r="J14399" s="4"/>
      <c r="K14399" s="4"/>
      <c r="L14399" s="4"/>
      <c r="M14399" s="7" t="s">
        <v>6871</v>
      </c>
    </row>
    <row r="14400" customFormat="false" ht="15.75" hidden="false" customHeight="false" outlineLevel="0" collapsed="false">
      <c r="A14400" s="6" t="n">
        <f aca="false">DATE(2026,8,8)</f>
        <v>46242</v>
      </c>
      <c r="B14400" s="4" t="s">
        <v>334</v>
      </c>
      <c r="C14400" s="4" t="n">
        <v>6</v>
      </c>
      <c r="D14400" s="4" t="n">
        <v>1</v>
      </c>
      <c r="E14400" s="4"/>
      <c r="F14400" s="4" t="n">
        <v>10</v>
      </c>
      <c r="G14400" s="4" t="n">
        <v>10</v>
      </c>
      <c r="H14400" s="4" t="n">
        <v>4</v>
      </c>
      <c r="I14400" s="4" t="str">
        <v>×</v>
      </c>
      <c r="J14400" s="4"/>
      <c r="K14400" s="4"/>
      <c r="L14400" s="4"/>
      <c r="M14400" s="7" t="s">
        <v>6871</v>
      </c>
    </row>
    <row r="14401" customFormat="false" ht="15.75" hidden="false" customHeight="false" outlineLevel="0" collapsed="false">
      <c r="A14401" s="6" t="n">
        <f aca="false">DATE(2026,8,8)</f>
        <v>46242</v>
      </c>
      <c r="B14401" s="4" t="s">
        <v>334</v>
      </c>
      <c r="C14401" s="4" t="n">
        <v>6</v>
      </c>
      <c r="D14401" s="4" t="n">
        <v>15</v>
      </c>
      <c r="E14401" s="4"/>
      <c r="F14401" s="4" t="n">
        <v>8</v>
      </c>
      <c r="G14401" s="4" t="n">
        <v>11</v>
      </c>
      <c r="H14401" s="4" t="n">
        <v>4</v>
      </c>
      <c r="I14401" s="4" t="str">
        <v>×</v>
      </c>
      <c r="J14401" s="4"/>
      <c r="K14401" s="4"/>
      <c r="L14401" s="4"/>
      <c r="M14401" s="7" t="s">
        <v>6871</v>
      </c>
    </row>
    <row r="14402" customFormat="false" ht="15.75" hidden="false" customHeight="false" outlineLevel="0" collapsed="false">
      <c r="A14402" s="6" t="n">
        <f aca="false">DATE(2026,8,8)</f>
        <v>46242</v>
      </c>
      <c r="B14402" s="4" t="s">
        <v>334</v>
      </c>
      <c r="C14402" s="4" t="n">
        <v>6</v>
      </c>
      <c r="D14402" s="4" t="n">
        <v>7</v>
      </c>
      <c r="E14402" s="4"/>
      <c r="F14402" s="4" t="n">
        <v>6</v>
      </c>
      <c r="G14402" s="4" t="n">
        <v>12</v>
      </c>
      <c r="H14402" s="4" t="n">
        <v>4</v>
      </c>
      <c r="I14402" s="4" t="str">
        <v>×</v>
      </c>
      <c r="J14402" s="4"/>
      <c r="K14402" s="4"/>
      <c r="L14402" s="4"/>
      <c r="M14402" s="7" t="s">
        <v>6871</v>
      </c>
    </row>
    <row r="14403" customFormat="false" ht="15.75" hidden="false" customHeight="false" outlineLevel="0" collapsed="false">
      <c r="A14403" s="6" t="n">
        <f aca="false">DATE(2026,8,8)</f>
        <v>46242</v>
      </c>
      <c r="B14403" s="4" t="s">
        <v>334</v>
      </c>
      <c r="C14403" s="4" t="n">
        <v>6</v>
      </c>
      <c r="D14403" s="4" t="n">
        <v>14</v>
      </c>
      <c r="E14403" s="4"/>
      <c r="F14403" s="4" t="n">
        <v>6</v>
      </c>
      <c r="G14403" s="4" t="n">
        <v>13</v>
      </c>
      <c r="H14403" s="4" t="n">
        <v>4</v>
      </c>
      <c r="I14403" s="4" t="str">
        <v>×</v>
      </c>
      <c r="J14403" s="4"/>
      <c r="K14403" s="4"/>
      <c r="L14403" s="4"/>
      <c r="M14403" s="7" t="s">
        <v>6871</v>
      </c>
    </row>
    <row r="14404" customFormat="false" ht="15.75" hidden="false" customHeight="false" outlineLevel="0" collapsed="false">
      <c r="A14404" s="6" t="n">
        <f aca="false">DATE(2026,8,8)</f>
        <v>46242</v>
      </c>
      <c r="B14404" s="4" t="s">
        <v>334</v>
      </c>
      <c r="C14404" s="4" t="n">
        <v>6</v>
      </c>
      <c r="D14404" s="4" t="n">
        <v>13</v>
      </c>
      <c r="E14404" s="4"/>
      <c r="F14404" s="4" t="n">
        <v>4</v>
      </c>
      <c r="G14404" s="4" t="n">
        <v>14</v>
      </c>
      <c r="H14404" s="4" t="n">
        <v>4</v>
      </c>
      <c r="I14404" s="4" t="str">
        <v>×</v>
      </c>
      <c r="J14404" s="4"/>
      <c r="K14404" s="4"/>
      <c r="L14404" s="4"/>
      <c r="M14404" s="7" t="s">
        <v>6871</v>
      </c>
    </row>
    <row r="14405" customFormat="false" ht="15.75" hidden="false" customHeight="false" outlineLevel="0" collapsed="false">
      <c r="A14405" s="6" t="n">
        <f aca="false">DATE(2026,8,8)</f>
        <v>46242</v>
      </c>
      <c r="B14405" s="4" t="s">
        <v>334</v>
      </c>
      <c r="C14405" s="4" t="n">
        <v>6</v>
      </c>
      <c r="D14405" s="4" t="n">
        <v>5</v>
      </c>
      <c r="E14405" s="4"/>
      <c r="F14405" s="4" t="n">
        <v>2</v>
      </c>
      <c r="G14405" s="4" t="n">
        <v>15</v>
      </c>
      <c r="H14405" s="4" t="n">
        <v>4</v>
      </c>
      <c r="I14405" s="4" t="str">
        <v>×</v>
      </c>
      <c r="J14405" s="4"/>
      <c r="K14405" s="4"/>
      <c r="L14405" s="4"/>
      <c r="M14405" s="7" t="s">
        <v>6871</v>
      </c>
    </row>
    <row r="14406" customFormat="false" ht="15.75" hidden="false" customHeight="false" outlineLevel="0" collapsed="false">
      <c r="A14406" s="6" t="n">
        <f aca="false">DATE(2026,8,8)</f>
        <v>46242</v>
      </c>
      <c r="B14406" s="4" t="s">
        <v>334</v>
      </c>
      <c r="C14406" s="4" t="n">
        <v>6</v>
      </c>
      <c r="D14406" s="4" t="n">
        <v>10</v>
      </c>
      <c r="E14406" s="4"/>
      <c r="F14406" s="4" t="n">
        <v>2</v>
      </c>
      <c r="G14406" s="4" t="n">
        <v>16</v>
      </c>
      <c r="H14406" s="4" t="n">
        <v>4</v>
      </c>
      <c r="I14406" s="4" t="str">
        <v>×</v>
      </c>
      <c r="J14406" s="4"/>
      <c r="K14406" s="4"/>
      <c r="L14406" s="4"/>
      <c r="M14406" s="7" t="s">
        <v>6871</v>
      </c>
    </row>
    <row r="14407" customFormat="false" ht="15.75" hidden="false" customHeight="false" outlineLevel="0" collapsed="false">
      <c r="A14407" s="6" t="n">
        <f aca="false">DATE(2026,8,8)</f>
        <v>46242</v>
      </c>
      <c r="B14407" s="4" t="s">
        <v>334</v>
      </c>
      <c r="C14407" s="4" t="n">
        <v>7</v>
      </c>
      <c r="D14407" s="4" t="n">
        <v>4</v>
      </c>
      <c r="E14407" s="4" t="s">
        <v>859</v>
      </c>
      <c r="F14407" s="4" t="n">
        <v>58</v>
      </c>
      <c r="G14407" s="4" t="n">
        <v>1</v>
      </c>
      <c r="H14407" s="4" t="n">
        <v>3</v>
      </c>
      <c r="I14407" s="4" t="str">
        <v>○</v>
      </c>
      <c r="J14407" s="4" t="n">
        <v>280</v>
      </c>
      <c r="K14407" s="4"/>
      <c r="L14407" s="4"/>
      <c r="M14407" s="7" t="s">
        <v>6871</v>
      </c>
    </row>
    <row r="14408" customFormat="false" ht="15.75" hidden="false" customHeight="false" outlineLevel="0" collapsed="false">
      <c r="A14408" s="6" t="n">
        <f aca="false">DATE(2026,8,8)</f>
        <v>46242</v>
      </c>
      <c r="B14408" s="4" t="s">
        <v>334</v>
      </c>
      <c r="C14408" s="4" t="n">
        <v>7</v>
      </c>
      <c r="D14408" s="4" t="n">
        <v>7</v>
      </c>
      <c r="E14408" s="4"/>
      <c r="F14408" s="4" t="n">
        <v>47</v>
      </c>
      <c r="G14408" s="4" t="n">
        <v>2</v>
      </c>
      <c r="H14408" s="4" t="n">
        <v>4</v>
      </c>
      <c r="I14408" s="4" t="str">
        <v>×</v>
      </c>
      <c r="J14408" s="4"/>
      <c r="K14408" s="4"/>
      <c r="L14408" s="4"/>
      <c r="M14408" s="7" t="s">
        <v>6871</v>
      </c>
    </row>
    <row r="14409" customFormat="false" ht="15.75" hidden="false" customHeight="false" outlineLevel="0" collapsed="false">
      <c r="A14409" s="6" t="n">
        <f aca="false">DATE(2026,8,8)</f>
        <v>46242</v>
      </c>
      <c r="B14409" s="4" t="s">
        <v>334</v>
      </c>
      <c r="C14409" s="4" t="n">
        <v>7</v>
      </c>
      <c r="D14409" s="4" t="n">
        <v>2</v>
      </c>
      <c r="E14409" s="4"/>
      <c r="F14409" s="4" t="n">
        <v>56</v>
      </c>
      <c r="G14409" s="4" t="n">
        <v>3</v>
      </c>
      <c r="H14409" s="4" t="n">
        <v>4</v>
      </c>
      <c r="I14409" s="4" t="str">
        <v>×</v>
      </c>
      <c r="J14409" s="4"/>
      <c r="K14409" s="4"/>
      <c r="L14409" s="4"/>
      <c r="M14409" s="7" t="s">
        <v>6871</v>
      </c>
    </row>
    <row r="14410" customFormat="false" ht="15.75" hidden="false" customHeight="false" outlineLevel="0" collapsed="false">
      <c r="A14410" s="6" t="n">
        <f aca="false">DATE(2026,8,8)</f>
        <v>46242</v>
      </c>
      <c r="B14410" s="4" t="s">
        <v>334</v>
      </c>
      <c r="C14410" s="4" t="n">
        <v>7</v>
      </c>
      <c r="D14410" s="4" t="n">
        <v>6</v>
      </c>
      <c r="E14410" s="4" t="s">
        <v>857</v>
      </c>
      <c r="F14410" s="4" t="n">
        <v>37</v>
      </c>
      <c r="G14410" s="4" t="n">
        <v>4</v>
      </c>
      <c r="H14410" s="4" t="n">
        <v>1</v>
      </c>
      <c r="I14410" s="4" t="str">
        <v>○</v>
      </c>
      <c r="J14410" s="4" t="n">
        <v>220</v>
      </c>
      <c r="K14410" s="4"/>
      <c r="L14410" s="4"/>
      <c r="M14410" s="7" t="s">
        <v>6871</v>
      </c>
    </row>
    <row r="14411" customFormat="false" ht="15.75" hidden="false" customHeight="false" outlineLevel="0" collapsed="false">
      <c r="A14411" s="6" t="n">
        <f aca="false">DATE(2026,8,8)</f>
        <v>46242</v>
      </c>
      <c r="B14411" s="4" t="s">
        <v>334</v>
      </c>
      <c r="C14411" s="4" t="n">
        <v>7</v>
      </c>
      <c r="D14411" s="4" t="n">
        <v>10</v>
      </c>
      <c r="E14411" s="4"/>
      <c r="F14411" s="4" t="n">
        <v>37</v>
      </c>
      <c r="G14411" s="4" t="n">
        <v>5</v>
      </c>
      <c r="H14411" s="4" t="n">
        <v>4</v>
      </c>
      <c r="I14411" s="4" t="str">
        <v>×</v>
      </c>
      <c r="J14411" s="4"/>
      <c r="K14411" s="4"/>
      <c r="L14411" s="4"/>
      <c r="M14411" s="7" t="s">
        <v>6871</v>
      </c>
    </row>
    <row r="14412" customFormat="false" ht="15.75" hidden="false" customHeight="false" outlineLevel="0" collapsed="false">
      <c r="A14412" s="6" t="n">
        <f aca="false">DATE(2026,8,8)</f>
        <v>46242</v>
      </c>
      <c r="B14412" s="4" t="s">
        <v>334</v>
      </c>
      <c r="C14412" s="4" t="n">
        <v>7</v>
      </c>
      <c r="D14412" s="4" t="n">
        <v>5</v>
      </c>
      <c r="E14412" s="4" t="s">
        <v>1657</v>
      </c>
      <c r="F14412" s="4" t="n">
        <v>25</v>
      </c>
      <c r="G14412" s="4" t="n">
        <v>6</v>
      </c>
      <c r="H14412" s="4" t="n">
        <v>2</v>
      </c>
      <c r="I14412" s="4" t="str">
        <v>○</v>
      </c>
      <c r="J14412" s="4" t="n">
        <v>860</v>
      </c>
      <c r="K14412" s="4"/>
      <c r="L14412" s="4"/>
      <c r="M14412" s="7" t="s">
        <v>6871</v>
      </c>
    </row>
    <row r="14413" customFormat="false" ht="15.75" hidden="false" customHeight="false" outlineLevel="0" collapsed="false">
      <c r="A14413" s="6" t="n">
        <f aca="false">DATE(2026,8,8)</f>
        <v>46242</v>
      </c>
      <c r="B14413" s="4" t="s">
        <v>334</v>
      </c>
      <c r="C14413" s="4" t="n">
        <v>7</v>
      </c>
      <c r="D14413" s="4" t="n">
        <v>3</v>
      </c>
      <c r="E14413" s="4"/>
      <c r="F14413" s="4" t="n">
        <v>23</v>
      </c>
      <c r="G14413" s="4" t="n">
        <v>7</v>
      </c>
      <c r="H14413" s="4" t="n">
        <v>4</v>
      </c>
      <c r="I14413" s="4" t="str">
        <v>×</v>
      </c>
      <c r="J14413" s="4"/>
      <c r="K14413" s="4"/>
      <c r="L14413" s="4"/>
      <c r="M14413" s="7" t="s">
        <v>6871</v>
      </c>
    </row>
    <row r="14414" customFormat="false" ht="15.75" hidden="false" customHeight="false" outlineLevel="0" collapsed="false">
      <c r="A14414" s="6" t="n">
        <f aca="false">DATE(2026,8,8)</f>
        <v>46242</v>
      </c>
      <c r="B14414" s="4" t="s">
        <v>334</v>
      </c>
      <c r="C14414" s="4" t="n">
        <v>7</v>
      </c>
      <c r="D14414" s="4" t="n">
        <v>12</v>
      </c>
      <c r="E14414" s="4"/>
      <c r="F14414" s="4" t="n">
        <v>23</v>
      </c>
      <c r="G14414" s="4" t="n">
        <v>8</v>
      </c>
      <c r="H14414" s="4" t="n">
        <v>4</v>
      </c>
      <c r="I14414" s="4" t="str">
        <v>×</v>
      </c>
      <c r="J14414" s="4"/>
      <c r="K14414" s="4"/>
      <c r="L14414" s="4"/>
      <c r="M14414" s="7" t="s">
        <v>6871</v>
      </c>
    </row>
    <row r="14415" customFormat="false" ht="15.75" hidden="false" customHeight="false" outlineLevel="0" collapsed="false">
      <c r="A14415" s="6" t="n">
        <f aca="false">DATE(2026,8,8)</f>
        <v>46242</v>
      </c>
      <c r="B14415" s="4" t="s">
        <v>334</v>
      </c>
      <c r="C14415" s="4" t="n">
        <v>7</v>
      </c>
      <c r="D14415" s="4" t="n">
        <v>9</v>
      </c>
      <c r="E14415" s="4"/>
      <c r="F14415" s="4" t="n">
        <v>13</v>
      </c>
      <c r="G14415" s="4" t="n">
        <v>9</v>
      </c>
      <c r="H14415" s="4" t="n">
        <v>4</v>
      </c>
      <c r="I14415" s="4" t="str">
        <v>×</v>
      </c>
      <c r="J14415" s="4"/>
      <c r="K14415" s="4"/>
      <c r="L14415" s="4"/>
      <c r="M14415" s="7" t="s">
        <v>6871</v>
      </c>
    </row>
    <row r="14416" customFormat="false" ht="15.75" hidden="false" customHeight="false" outlineLevel="0" collapsed="false">
      <c r="A14416" s="6" t="n">
        <f aca="false">DATE(2026,8,8)</f>
        <v>46242</v>
      </c>
      <c r="B14416" s="4" t="s">
        <v>334</v>
      </c>
      <c r="C14416" s="4" t="n">
        <v>7</v>
      </c>
      <c r="D14416" s="4" t="n">
        <v>11</v>
      </c>
      <c r="E14416" s="4"/>
      <c r="F14416" s="4" t="n">
        <v>4</v>
      </c>
      <c r="G14416" s="4" t="n">
        <v>10</v>
      </c>
      <c r="H14416" s="4" t="n">
        <v>4</v>
      </c>
      <c r="I14416" s="4" t="str">
        <v>×</v>
      </c>
      <c r="J14416" s="4"/>
      <c r="K14416" s="4"/>
      <c r="L14416" s="4"/>
      <c r="M14416" s="7" t="s">
        <v>6871</v>
      </c>
    </row>
    <row r="14417" customFormat="false" ht="15.75" hidden="false" customHeight="false" outlineLevel="0" collapsed="false">
      <c r="A14417" s="6" t="n">
        <f aca="false">DATE(2026,8,8)</f>
        <v>46242</v>
      </c>
      <c r="B14417" s="4" t="s">
        <v>334</v>
      </c>
      <c r="C14417" s="4" t="n">
        <v>7</v>
      </c>
      <c r="D14417" s="4" t="n">
        <v>8</v>
      </c>
      <c r="E14417" s="4"/>
      <c r="F14417" s="4" t="n">
        <v>3</v>
      </c>
      <c r="G14417" s="4" t="n">
        <v>11</v>
      </c>
      <c r="H14417" s="4" t="n">
        <v>4</v>
      </c>
      <c r="I14417" s="4" t="str">
        <v>×</v>
      </c>
      <c r="J14417" s="4"/>
      <c r="K14417" s="4"/>
      <c r="L14417" s="4"/>
      <c r="M14417" s="7" t="s">
        <v>6871</v>
      </c>
    </row>
    <row r="14418" customFormat="false" ht="15.75" hidden="false" customHeight="false" outlineLevel="0" collapsed="false">
      <c r="A14418" s="6" t="n">
        <f aca="false">DATE(2026,8,8)</f>
        <v>46242</v>
      </c>
      <c r="B14418" s="4" t="s">
        <v>334</v>
      </c>
      <c r="C14418" s="4" t="n">
        <v>7</v>
      </c>
      <c r="D14418" s="4" t="n">
        <v>1</v>
      </c>
      <c r="E14418" s="4"/>
      <c r="F14418" s="4" t="n">
        <v>1</v>
      </c>
      <c r="G14418" s="4" t="n">
        <v>12</v>
      </c>
      <c r="H14418" s="4" t="n">
        <v>4</v>
      </c>
      <c r="I14418" s="4" t="str">
        <v>×</v>
      </c>
      <c r="J14418" s="4"/>
      <c r="K14418" s="4"/>
      <c r="L14418" s="4"/>
      <c r="M14418" s="7" t="s">
        <v>6871</v>
      </c>
    </row>
    <row r="14419" customFormat="false" ht="15.75" hidden="false" customHeight="false" outlineLevel="0" collapsed="false">
      <c r="A14419" s="6" t="n">
        <f aca="false">DATE(2026,8,8)</f>
        <v>46242</v>
      </c>
      <c r="B14419" s="4" t="s">
        <v>334</v>
      </c>
      <c r="C14419" s="4" t="n">
        <v>8</v>
      </c>
      <c r="D14419" s="4" t="n">
        <v>13</v>
      </c>
      <c r="E14419" s="4"/>
      <c r="F14419" s="4" t="n">
        <v>47</v>
      </c>
      <c r="G14419" s="4" t="n">
        <v>1</v>
      </c>
      <c r="H14419" s="4" t="n">
        <v>4</v>
      </c>
      <c r="I14419" s="4" t="str">
        <v>×</v>
      </c>
      <c r="J14419" s="4"/>
      <c r="K14419" s="4"/>
      <c r="L14419" s="4"/>
      <c r="M14419" s="7" t="s">
        <v>6871</v>
      </c>
    </row>
    <row r="14420" customFormat="false" ht="15.75" hidden="false" customHeight="false" outlineLevel="0" collapsed="false">
      <c r="A14420" s="6" t="n">
        <f aca="false">DATE(2026,8,8)</f>
        <v>46242</v>
      </c>
      <c r="B14420" s="4" t="s">
        <v>334</v>
      </c>
      <c r="C14420" s="4" t="n">
        <v>8</v>
      </c>
      <c r="D14420" s="4" t="n">
        <v>8</v>
      </c>
      <c r="E14420" s="4"/>
      <c r="F14420" s="4" t="n">
        <v>41</v>
      </c>
      <c r="G14420" s="4" t="n">
        <v>2</v>
      </c>
      <c r="H14420" s="4" t="n">
        <v>4</v>
      </c>
      <c r="I14420" s="4" t="str">
        <v>×</v>
      </c>
      <c r="J14420" s="4"/>
      <c r="K14420" s="4"/>
      <c r="L14420" s="4"/>
      <c r="M14420" s="7" t="s">
        <v>6871</v>
      </c>
    </row>
    <row r="14421" customFormat="false" ht="15.75" hidden="false" customHeight="false" outlineLevel="0" collapsed="false">
      <c r="A14421" s="6" t="n">
        <f aca="false">DATE(2026,8,8)</f>
        <v>46242</v>
      </c>
      <c r="B14421" s="4" t="s">
        <v>334</v>
      </c>
      <c r="C14421" s="4" t="n">
        <v>8</v>
      </c>
      <c r="D14421" s="4" t="n">
        <v>3</v>
      </c>
      <c r="E14421" s="4"/>
      <c r="F14421" s="4" t="n">
        <v>44</v>
      </c>
      <c r="G14421" s="4" t="n">
        <v>3</v>
      </c>
      <c r="H14421" s="4" t="n">
        <v>4</v>
      </c>
      <c r="I14421" s="4" t="str">
        <v>×</v>
      </c>
      <c r="J14421" s="4"/>
      <c r="K14421" s="4"/>
      <c r="L14421" s="4"/>
      <c r="M14421" s="7" t="s">
        <v>6871</v>
      </c>
    </row>
    <row r="14422" customFormat="false" ht="15.75" hidden="false" customHeight="false" outlineLevel="0" collapsed="false">
      <c r="A14422" s="6" t="n">
        <f aca="false">DATE(2026,8,8)</f>
        <v>46242</v>
      </c>
      <c r="B14422" s="4" t="s">
        <v>334</v>
      </c>
      <c r="C14422" s="4" t="n">
        <v>8</v>
      </c>
      <c r="D14422" s="4" t="n">
        <v>9</v>
      </c>
      <c r="E14422" s="4"/>
      <c r="F14422" s="4" t="n">
        <v>39</v>
      </c>
      <c r="G14422" s="4" t="n">
        <v>4</v>
      </c>
      <c r="H14422" s="4" t="n">
        <v>4</v>
      </c>
      <c r="I14422" s="4" t="str">
        <v>×</v>
      </c>
      <c r="J14422" s="4"/>
      <c r="K14422" s="4"/>
      <c r="L14422" s="4"/>
      <c r="M14422" s="7" t="s">
        <v>6871</v>
      </c>
    </row>
    <row r="14423" customFormat="false" ht="15.75" hidden="false" customHeight="false" outlineLevel="0" collapsed="false">
      <c r="A14423" s="6" t="n">
        <f aca="false">DATE(2026,8,8)</f>
        <v>46242</v>
      </c>
      <c r="B14423" s="4" t="s">
        <v>334</v>
      </c>
      <c r="C14423" s="4" t="n">
        <v>8</v>
      </c>
      <c r="D14423" s="4" t="n">
        <v>1</v>
      </c>
      <c r="E14423" s="4" t="s">
        <v>1274</v>
      </c>
      <c r="F14423" s="4" t="n">
        <v>34</v>
      </c>
      <c r="G14423" s="4" t="n">
        <v>5</v>
      </c>
      <c r="H14423" s="4" t="n">
        <v>2</v>
      </c>
      <c r="I14423" s="4" t="str">
        <v>○</v>
      </c>
      <c r="J14423" s="4" t="n">
        <v>790</v>
      </c>
      <c r="K14423" s="4"/>
      <c r="L14423" s="4"/>
      <c r="M14423" s="7" t="s">
        <v>6871</v>
      </c>
    </row>
    <row r="14424" customFormat="false" ht="15.75" hidden="false" customHeight="false" outlineLevel="0" collapsed="false">
      <c r="A14424" s="6" t="n">
        <f aca="false">DATE(2026,8,8)</f>
        <v>46242</v>
      </c>
      <c r="B14424" s="4" t="s">
        <v>334</v>
      </c>
      <c r="C14424" s="4" t="n">
        <v>8</v>
      </c>
      <c r="D14424" s="4" t="n">
        <v>6</v>
      </c>
      <c r="E14424" s="4"/>
      <c r="F14424" s="4" t="n">
        <v>29</v>
      </c>
      <c r="G14424" s="4" t="n">
        <v>6</v>
      </c>
      <c r="H14424" s="4" t="n">
        <v>4</v>
      </c>
      <c r="I14424" s="4" t="str">
        <v>×</v>
      </c>
      <c r="J14424" s="4"/>
      <c r="K14424" s="4"/>
      <c r="L14424" s="4"/>
      <c r="M14424" s="7" t="s">
        <v>6871</v>
      </c>
    </row>
    <row r="14425" customFormat="false" ht="15.75" hidden="false" customHeight="false" outlineLevel="0" collapsed="false">
      <c r="A14425" s="6" t="n">
        <f aca="false">DATE(2026,8,8)</f>
        <v>46242</v>
      </c>
      <c r="B14425" s="4" t="s">
        <v>334</v>
      </c>
      <c r="C14425" s="4" t="n">
        <v>8</v>
      </c>
      <c r="D14425" s="4" t="n">
        <v>7</v>
      </c>
      <c r="E14425" s="4"/>
      <c r="F14425" s="4" t="n">
        <v>29</v>
      </c>
      <c r="G14425" s="4" t="n">
        <v>7</v>
      </c>
      <c r="H14425" s="4" t="n">
        <v>4</v>
      </c>
      <c r="I14425" s="4" t="str">
        <v>×</v>
      </c>
      <c r="J14425" s="4"/>
      <c r="K14425" s="4"/>
      <c r="L14425" s="4"/>
      <c r="M14425" s="7" t="s">
        <v>6871</v>
      </c>
    </row>
    <row r="14426" customFormat="false" ht="15.75" hidden="false" customHeight="false" outlineLevel="0" collapsed="false">
      <c r="A14426" s="6" t="n">
        <f aca="false">DATE(2026,8,8)</f>
        <v>46242</v>
      </c>
      <c r="B14426" s="4" t="s">
        <v>334</v>
      </c>
      <c r="C14426" s="4" t="n">
        <v>8</v>
      </c>
      <c r="D14426" s="4" t="n">
        <v>12</v>
      </c>
      <c r="E14426" s="4" t="s">
        <v>816</v>
      </c>
      <c r="F14426" s="4" t="n">
        <v>25</v>
      </c>
      <c r="G14426" s="4" t="n">
        <v>8</v>
      </c>
      <c r="H14426" s="4" t="n">
        <v>3</v>
      </c>
      <c r="I14426" s="4" t="str">
        <v>○</v>
      </c>
      <c r="J14426" s="4" t="n">
        <v>570</v>
      </c>
      <c r="K14426" s="4"/>
      <c r="L14426" s="4"/>
      <c r="M14426" s="7" t="s">
        <v>6871</v>
      </c>
    </row>
    <row r="14427" customFormat="false" ht="15.75" hidden="false" customHeight="false" outlineLevel="0" collapsed="false">
      <c r="A14427" s="6" t="n">
        <f aca="false">DATE(2026,8,8)</f>
        <v>46242</v>
      </c>
      <c r="B14427" s="4" t="s">
        <v>334</v>
      </c>
      <c r="C14427" s="4" t="n">
        <v>8</v>
      </c>
      <c r="D14427" s="4" t="n">
        <v>16</v>
      </c>
      <c r="E14427" s="4" t="s">
        <v>2610</v>
      </c>
      <c r="F14427" s="4" t="n">
        <v>25</v>
      </c>
      <c r="G14427" s="4" t="n">
        <v>9</v>
      </c>
      <c r="H14427" s="4" t="n">
        <v>1</v>
      </c>
      <c r="I14427" s="4" t="str">
        <v>○</v>
      </c>
      <c r="J14427" s="4" t="n">
        <v>1120</v>
      </c>
      <c r="K14427" s="4"/>
      <c r="L14427" s="4"/>
      <c r="M14427" s="7" t="s">
        <v>6871</v>
      </c>
    </row>
    <row r="14428" customFormat="false" ht="15.75" hidden="false" customHeight="false" outlineLevel="0" collapsed="false">
      <c r="A14428" s="6" t="n">
        <f aca="false">DATE(2026,8,8)</f>
        <v>46242</v>
      </c>
      <c r="B14428" s="4" t="s">
        <v>334</v>
      </c>
      <c r="C14428" s="4" t="n">
        <v>8</v>
      </c>
      <c r="D14428" s="4" t="n">
        <v>15</v>
      </c>
      <c r="E14428" s="4"/>
      <c r="F14428" s="4" t="n">
        <v>20</v>
      </c>
      <c r="G14428" s="4" t="n">
        <v>10</v>
      </c>
      <c r="H14428" s="4" t="n">
        <v>4</v>
      </c>
      <c r="I14428" s="4" t="str">
        <v>×</v>
      </c>
      <c r="J14428" s="4"/>
      <c r="K14428" s="4"/>
      <c r="L14428" s="4"/>
      <c r="M14428" s="7" t="s">
        <v>6871</v>
      </c>
    </row>
    <row r="14429" customFormat="false" ht="15.75" hidden="false" customHeight="false" outlineLevel="0" collapsed="false">
      <c r="A14429" s="6" t="n">
        <f aca="false">DATE(2026,8,8)</f>
        <v>46242</v>
      </c>
      <c r="B14429" s="4" t="s">
        <v>334</v>
      </c>
      <c r="C14429" s="4" t="n">
        <v>8</v>
      </c>
      <c r="D14429" s="4" t="n">
        <v>10</v>
      </c>
      <c r="E14429" s="4"/>
      <c r="F14429" s="4" t="n">
        <v>15</v>
      </c>
      <c r="G14429" s="4" t="n">
        <v>11</v>
      </c>
      <c r="H14429" s="4" t="n">
        <v>4</v>
      </c>
      <c r="I14429" s="4" t="str">
        <v>×</v>
      </c>
      <c r="J14429" s="4"/>
      <c r="K14429" s="4"/>
      <c r="L14429" s="4"/>
      <c r="M14429" s="7" t="s">
        <v>6871</v>
      </c>
    </row>
    <row r="14430" customFormat="false" ht="15.75" hidden="false" customHeight="false" outlineLevel="0" collapsed="false">
      <c r="A14430" s="6" t="n">
        <f aca="false">DATE(2026,8,8)</f>
        <v>46242</v>
      </c>
      <c r="B14430" s="4" t="s">
        <v>334</v>
      </c>
      <c r="C14430" s="4" t="n">
        <v>8</v>
      </c>
      <c r="D14430" s="4" t="n">
        <v>4</v>
      </c>
      <c r="E14430" s="4"/>
      <c r="F14430" s="4" t="n">
        <v>13</v>
      </c>
      <c r="G14430" s="4" t="n">
        <v>12</v>
      </c>
      <c r="H14430" s="4" t="n">
        <v>4</v>
      </c>
      <c r="I14430" s="4" t="str">
        <v>×</v>
      </c>
      <c r="J14430" s="4"/>
      <c r="K14430" s="4"/>
      <c r="L14430" s="4"/>
      <c r="M14430" s="7" t="s">
        <v>6871</v>
      </c>
    </row>
    <row r="14431" customFormat="false" ht="15.75" hidden="false" customHeight="false" outlineLevel="0" collapsed="false">
      <c r="A14431" s="6" t="n">
        <f aca="false">DATE(2026,8,8)</f>
        <v>46242</v>
      </c>
      <c r="B14431" s="4" t="s">
        <v>334</v>
      </c>
      <c r="C14431" s="4" t="n">
        <v>8</v>
      </c>
      <c r="D14431" s="4" t="n">
        <v>14</v>
      </c>
      <c r="E14431" s="4"/>
      <c r="F14431" s="4" t="n">
        <v>13</v>
      </c>
      <c r="G14431" s="4" t="n">
        <v>13</v>
      </c>
      <c r="H14431" s="4" t="n">
        <v>4</v>
      </c>
      <c r="I14431" s="4" t="str">
        <v>×</v>
      </c>
      <c r="J14431" s="4"/>
      <c r="K14431" s="4"/>
      <c r="L14431" s="4"/>
      <c r="M14431" s="7" t="s">
        <v>6871</v>
      </c>
    </row>
    <row r="14432" customFormat="false" ht="15.75" hidden="false" customHeight="false" outlineLevel="0" collapsed="false">
      <c r="A14432" s="6" t="n">
        <f aca="false">DATE(2026,8,8)</f>
        <v>46242</v>
      </c>
      <c r="B14432" s="4" t="s">
        <v>334</v>
      </c>
      <c r="C14432" s="4" t="n">
        <v>8</v>
      </c>
      <c r="D14432" s="4" t="n">
        <v>2</v>
      </c>
      <c r="E14432" s="4"/>
      <c r="F14432" s="4" t="n">
        <v>8</v>
      </c>
      <c r="G14432" s="4" t="n">
        <v>14</v>
      </c>
      <c r="H14432" s="4" t="n">
        <v>4</v>
      </c>
      <c r="I14432" s="4" t="str">
        <v>×</v>
      </c>
      <c r="J14432" s="4"/>
      <c r="K14432" s="4"/>
      <c r="L14432" s="4"/>
      <c r="M14432" s="7" t="s">
        <v>6871</v>
      </c>
    </row>
    <row r="14433" customFormat="false" ht="15.75" hidden="false" customHeight="false" outlineLevel="0" collapsed="false">
      <c r="A14433" s="6" t="n">
        <f aca="false">DATE(2026,8,8)</f>
        <v>46242</v>
      </c>
      <c r="B14433" s="4" t="s">
        <v>334</v>
      </c>
      <c r="C14433" s="4" t="n">
        <v>8</v>
      </c>
      <c r="D14433" s="4" t="n">
        <v>11</v>
      </c>
      <c r="E14433" s="4"/>
      <c r="F14433" s="4" t="n">
        <v>3</v>
      </c>
      <c r="G14433" s="4" t="n">
        <v>15</v>
      </c>
      <c r="H14433" s="4" t="n">
        <v>4</v>
      </c>
      <c r="I14433" s="4" t="str">
        <v>×</v>
      </c>
      <c r="J14433" s="4"/>
      <c r="K14433" s="4"/>
      <c r="L14433" s="4"/>
      <c r="M14433" s="7" t="s">
        <v>6871</v>
      </c>
    </row>
    <row r="14434" customFormat="false" ht="15.75" hidden="false" customHeight="false" outlineLevel="0" collapsed="false">
      <c r="A14434" s="6" t="n">
        <f aca="false">DATE(2026,8,8)</f>
        <v>46242</v>
      </c>
      <c r="B14434" s="4" t="s">
        <v>334</v>
      </c>
      <c r="C14434" s="4" t="n">
        <v>8</v>
      </c>
      <c r="D14434" s="4" t="n">
        <v>5</v>
      </c>
      <c r="E14434" s="4"/>
      <c r="F14434" s="4" t="n">
        <v>2</v>
      </c>
      <c r="G14434" s="4" t="n">
        <v>16</v>
      </c>
      <c r="H14434" s="4" t="n">
        <v>4</v>
      </c>
      <c r="I14434" s="4" t="str">
        <v>×</v>
      </c>
      <c r="J14434" s="4"/>
      <c r="K14434" s="4"/>
      <c r="L14434" s="4"/>
      <c r="M14434" s="7" t="s">
        <v>6871</v>
      </c>
    </row>
    <row r="14435" customFormat="false" ht="15.75" hidden="false" customHeight="false" outlineLevel="0" collapsed="false">
      <c r="A14435" s="6" t="n">
        <f aca="false">DATE(2026,8,8)</f>
        <v>46242</v>
      </c>
      <c r="B14435" s="4" t="s">
        <v>334</v>
      </c>
      <c r="C14435" s="4" t="n">
        <v>9</v>
      </c>
      <c r="D14435" s="4" t="n">
        <v>4</v>
      </c>
      <c r="E14435" s="4"/>
      <c r="F14435" s="4" t="n">
        <v>60</v>
      </c>
      <c r="G14435" s="4" t="n">
        <v>1</v>
      </c>
      <c r="H14435" s="4" t="n">
        <v>4</v>
      </c>
      <c r="I14435" s="4" t="str">
        <v>×</v>
      </c>
      <c r="J14435" s="4"/>
      <c r="K14435" s="4"/>
      <c r="L14435" s="4"/>
      <c r="M14435" s="7" t="s">
        <v>6871</v>
      </c>
    </row>
    <row r="14436" customFormat="false" ht="15.75" hidden="false" customHeight="false" outlineLevel="0" collapsed="false">
      <c r="A14436" s="6" t="n">
        <f aca="false">DATE(2026,8,8)</f>
        <v>46242</v>
      </c>
      <c r="B14436" s="4" t="s">
        <v>334</v>
      </c>
      <c r="C14436" s="4" t="n">
        <v>9</v>
      </c>
      <c r="D14436" s="4" t="n">
        <v>5</v>
      </c>
      <c r="E14436" s="4"/>
      <c r="F14436" s="4" t="n">
        <v>34</v>
      </c>
      <c r="G14436" s="4" t="n">
        <v>2</v>
      </c>
      <c r="H14436" s="4" t="n">
        <v>4</v>
      </c>
      <c r="I14436" s="4" t="str">
        <v>×</v>
      </c>
      <c r="J14436" s="4"/>
      <c r="K14436" s="4"/>
      <c r="L14436" s="4"/>
      <c r="M14436" s="7" t="s">
        <v>6871</v>
      </c>
    </row>
    <row r="14437" customFormat="false" ht="15.75" hidden="false" customHeight="false" outlineLevel="0" collapsed="false">
      <c r="A14437" s="6" t="n">
        <f aca="false">DATE(2026,8,8)</f>
        <v>46242</v>
      </c>
      <c r="B14437" s="4" t="s">
        <v>334</v>
      </c>
      <c r="C14437" s="4" t="n">
        <v>9</v>
      </c>
      <c r="D14437" s="4" t="n">
        <v>14</v>
      </c>
      <c r="E14437" s="4" t="s">
        <v>880</v>
      </c>
      <c r="F14437" s="4" t="n">
        <v>44</v>
      </c>
      <c r="G14437" s="4" t="n">
        <v>3</v>
      </c>
      <c r="H14437" s="4" t="n">
        <v>1</v>
      </c>
      <c r="I14437" s="4" t="str">
        <v>○</v>
      </c>
      <c r="J14437" s="4" t="n">
        <v>190</v>
      </c>
      <c r="K14437" s="4"/>
      <c r="L14437" s="4"/>
      <c r="M14437" s="7" t="s">
        <v>6871</v>
      </c>
    </row>
    <row r="14438" customFormat="false" ht="15.75" hidden="false" customHeight="false" outlineLevel="0" collapsed="false">
      <c r="A14438" s="6" t="n">
        <f aca="false">DATE(2026,8,8)</f>
        <v>46242</v>
      </c>
      <c r="B14438" s="4" t="s">
        <v>334</v>
      </c>
      <c r="C14438" s="4" t="n">
        <v>9</v>
      </c>
      <c r="D14438" s="4" t="n">
        <v>10</v>
      </c>
      <c r="E14438" s="4" t="s">
        <v>3068</v>
      </c>
      <c r="F14438" s="4" t="n">
        <v>29</v>
      </c>
      <c r="G14438" s="4" t="n">
        <v>4</v>
      </c>
      <c r="H14438" s="4" t="n">
        <v>2</v>
      </c>
      <c r="I14438" s="4" t="str">
        <v>○</v>
      </c>
      <c r="J14438" s="4" t="n">
        <v>580</v>
      </c>
      <c r="K14438" s="4"/>
      <c r="L14438" s="4"/>
      <c r="M14438" s="7" t="s">
        <v>6871</v>
      </c>
    </row>
    <row r="14439" customFormat="false" ht="15.75" hidden="false" customHeight="false" outlineLevel="0" collapsed="false">
      <c r="A14439" s="6" t="n">
        <f aca="false">DATE(2026,8,8)</f>
        <v>46242</v>
      </c>
      <c r="B14439" s="4" t="s">
        <v>334</v>
      </c>
      <c r="C14439" s="4" t="n">
        <v>9</v>
      </c>
      <c r="D14439" s="4" t="n">
        <v>7</v>
      </c>
      <c r="E14439" s="4"/>
      <c r="F14439" s="4" t="n">
        <v>25</v>
      </c>
      <c r="G14439" s="4" t="n">
        <v>5</v>
      </c>
      <c r="H14439" s="4" t="n">
        <v>4</v>
      </c>
      <c r="I14439" s="4" t="str">
        <v>×</v>
      </c>
      <c r="J14439" s="4"/>
      <c r="K14439" s="4"/>
      <c r="L14439" s="4"/>
      <c r="M14439" s="7" t="s">
        <v>6871</v>
      </c>
    </row>
    <row r="14440" customFormat="false" ht="15.75" hidden="false" customHeight="false" outlineLevel="0" collapsed="false">
      <c r="A14440" s="6" t="n">
        <f aca="false">DATE(2026,8,8)</f>
        <v>46242</v>
      </c>
      <c r="B14440" s="4" t="s">
        <v>334</v>
      </c>
      <c r="C14440" s="4" t="n">
        <v>9</v>
      </c>
      <c r="D14440" s="4" t="n">
        <v>12</v>
      </c>
      <c r="E14440" s="4" t="s">
        <v>805</v>
      </c>
      <c r="F14440" s="4" t="n">
        <v>25</v>
      </c>
      <c r="G14440" s="4" t="n">
        <v>6</v>
      </c>
      <c r="H14440" s="4" t="n">
        <v>3</v>
      </c>
      <c r="I14440" s="4" t="str">
        <v>○</v>
      </c>
      <c r="J14440" s="4" t="n">
        <v>650</v>
      </c>
      <c r="K14440" s="4"/>
      <c r="L14440" s="4"/>
      <c r="M14440" s="7" t="s">
        <v>6871</v>
      </c>
    </row>
    <row r="14441" customFormat="false" ht="15.75" hidden="false" customHeight="false" outlineLevel="0" collapsed="false">
      <c r="A14441" s="6" t="n">
        <f aca="false">DATE(2026,8,8)</f>
        <v>46242</v>
      </c>
      <c r="B14441" s="4" t="s">
        <v>334</v>
      </c>
      <c r="C14441" s="4" t="n">
        <v>9</v>
      </c>
      <c r="D14441" s="4" t="n">
        <v>2</v>
      </c>
      <c r="E14441" s="4"/>
      <c r="F14441" s="4" t="n">
        <v>23</v>
      </c>
      <c r="G14441" s="4" t="n">
        <v>7</v>
      </c>
      <c r="H14441" s="4" t="n">
        <v>4</v>
      </c>
      <c r="I14441" s="4" t="str">
        <v>×</v>
      </c>
      <c r="J14441" s="4"/>
      <c r="K14441" s="4"/>
      <c r="L14441" s="4"/>
      <c r="M14441" s="7" t="s">
        <v>6871</v>
      </c>
    </row>
    <row r="14442" customFormat="false" ht="15.75" hidden="false" customHeight="false" outlineLevel="0" collapsed="false">
      <c r="A14442" s="6" t="n">
        <f aca="false">DATE(2026,8,8)</f>
        <v>46242</v>
      </c>
      <c r="B14442" s="4" t="s">
        <v>334</v>
      </c>
      <c r="C14442" s="4" t="n">
        <v>9</v>
      </c>
      <c r="D14442" s="4" t="n">
        <v>11</v>
      </c>
      <c r="E14442" s="4"/>
      <c r="F14442" s="4" t="n">
        <v>23</v>
      </c>
      <c r="G14442" s="4" t="n">
        <v>8</v>
      </c>
      <c r="H14442" s="4" t="n">
        <v>4</v>
      </c>
      <c r="I14442" s="4" t="str">
        <v>×</v>
      </c>
      <c r="J14442" s="4"/>
      <c r="K14442" s="4"/>
      <c r="L14442" s="4"/>
      <c r="M14442" s="7" t="s">
        <v>6871</v>
      </c>
    </row>
    <row r="14443" customFormat="false" ht="15.75" hidden="false" customHeight="false" outlineLevel="0" collapsed="false">
      <c r="A14443" s="6" t="n">
        <f aca="false">DATE(2026,8,8)</f>
        <v>46242</v>
      </c>
      <c r="B14443" s="4" t="s">
        <v>334</v>
      </c>
      <c r="C14443" s="4" t="n">
        <v>9</v>
      </c>
      <c r="D14443" s="4" t="n">
        <v>9</v>
      </c>
      <c r="E14443" s="4"/>
      <c r="F14443" s="4" t="n">
        <v>17</v>
      </c>
      <c r="G14443" s="4" t="n">
        <v>9</v>
      </c>
      <c r="H14443" s="4" t="n">
        <v>4</v>
      </c>
      <c r="I14443" s="4" t="str">
        <v>×</v>
      </c>
      <c r="J14443" s="4"/>
      <c r="K14443" s="4"/>
      <c r="L14443" s="4"/>
      <c r="M14443" s="7" t="s">
        <v>6871</v>
      </c>
    </row>
    <row r="14444" customFormat="false" ht="15.75" hidden="false" customHeight="false" outlineLevel="0" collapsed="false">
      <c r="A14444" s="6" t="n">
        <f aca="false">DATE(2026,8,8)</f>
        <v>46242</v>
      </c>
      <c r="B14444" s="4" t="s">
        <v>334</v>
      </c>
      <c r="C14444" s="4" t="n">
        <v>9</v>
      </c>
      <c r="D14444" s="4" t="n">
        <v>1</v>
      </c>
      <c r="E14444" s="4"/>
      <c r="F14444" s="4" t="n">
        <v>15</v>
      </c>
      <c r="G14444" s="4" t="n">
        <v>10</v>
      </c>
      <c r="H14444" s="4" t="n">
        <v>4</v>
      </c>
      <c r="I14444" s="4" t="str">
        <v>×</v>
      </c>
      <c r="J14444" s="4"/>
      <c r="K14444" s="4"/>
      <c r="L14444" s="4"/>
      <c r="M14444" s="7" t="s">
        <v>6871</v>
      </c>
    </row>
    <row r="14445" customFormat="false" ht="15.75" hidden="false" customHeight="false" outlineLevel="0" collapsed="false">
      <c r="A14445" s="6" t="n">
        <f aca="false">DATE(2026,8,8)</f>
        <v>46242</v>
      </c>
      <c r="B14445" s="4" t="s">
        <v>334</v>
      </c>
      <c r="C14445" s="4" t="n">
        <v>9</v>
      </c>
      <c r="D14445" s="4" t="n">
        <v>6</v>
      </c>
      <c r="E14445" s="4"/>
      <c r="F14445" s="4" t="n">
        <v>15</v>
      </c>
      <c r="G14445" s="4" t="n">
        <v>11</v>
      </c>
      <c r="H14445" s="4" t="n">
        <v>4</v>
      </c>
      <c r="I14445" s="4" t="str">
        <v>×</v>
      </c>
      <c r="J14445" s="4"/>
      <c r="K14445" s="4"/>
      <c r="L14445" s="4"/>
      <c r="M14445" s="7" t="s">
        <v>6871</v>
      </c>
    </row>
    <row r="14446" customFormat="false" ht="15.75" hidden="false" customHeight="false" outlineLevel="0" collapsed="false">
      <c r="A14446" s="6" t="n">
        <f aca="false">DATE(2026,8,8)</f>
        <v>46242</v>
      </c>
      <c r="B14446" s="4" t="s">
        <v>334</v>
      </c>
      <c r="C14446" s="4" t="n">
        <v>9</v>
      </c>
      <c r="D14446" s="4" t="n">
        <v>13</v>
      </c>
      <c r="E14446" s="4"/>
      <c r="F14446" s="4" t="n">
        <v>15</v>
      </c>
      <c r="G14446" s="4" t="n">
        <v>12</v>
      </c>
      <c r="H14446" s="4" t="n">
        <v>4</v>
      </c>
      <c r="I14446" s="4" t="str">
        <v>×</v>
      </c>
      <c r="J14446" s="4"/>
      <c r="K14446" s="4"/>
      <c r="L14446" s="4"/>
      <c r="M14446" s="7" t="s">
        <v>6871</v>
      </c>
    </row>
    <row r="14447" customFormat="false" ht="15.75" hidden="false" customHeight="false" outlineLevel="0" collapsed="false">
      <c r="A14447" s="6" t="n">
        <f aca="false">DATE(2026,8,8)</f>
        <v>46242</v>
      </c>
      <c r="B14447" s="4" t="s">
        <v>334</v>
      </c>
      <c r="C14447" s="4" t="n">
        <v>9</v>
      </c>
      <c r="D14447" s="4" t="n">
        <v>3</v>
      </c>
      <c r="E14447" s="4"/>
      <c r="F14447" s="4" t="n">
        <v>8</v>
      </c>
      <c r="G14447" s="4" t="n">
        <v>13</v>
      </c>
      <c r="H14447" s="4" t="n">
        <v>4</v>
      </c>
      <c r="I14447" s="4" t="str">
        <v>×</v>
      </c>
      <c r="J14447" s="4"/>
      <c r="K14447" s="4"/>
      <c r="L14447" s="4"/>
      <c r="M14447" s="7" t="s">
        <v>6871</v>
      </c>
    </row>
    <row r="14448" customFormat="false" ht="15.75" hidden="false" customHeight="false" outlineLevel="0" collapsed="false">
      <c r="A14448" s="6" t="n">
        <f aca="false">DATE(2026,8,8)</f>
        <v>46242</v>
      </c>
      <c r="B14448" s="4" t="s">
        <v>334</v>
      </c>
      <c r="C14448" s="4" t="n">
        <v>9</v>
      </c>
      <c r="D14448" s="4" t="n">
        <v>8</v>
      </c>
      <c r="E14448" s="4"/>
      <c r="F14448" s="4" t="n">
        <v>3</v>
      </c>
      <c r="G14448" s="4" t="n">
        <v>14</v>
      </c>
      <c r="H14448" s="4" t="n">
        <v>4</v>
      </c>
      <c r="I14448" s="4" t="str">
        <v>×</v>
      </c>
      <c r="J14448" s="4"/>
      <c r="K14448" s="4"/>
      <c r="L14448" s="4"/>
      <c r="M14448" s="7" t="s">
        <v>6871</v>
      </c>
    </row>
    <row r="14449" customFormat="false" ht="15.75" hidden="false" customHeight="false" outlineLevel="0" collapsed="false">
      <c r="A14449" s="6" t="n">
        <f aca="false">DATE(2026,8,8)</f>
        <v>46242</v>
      </c>
      <c r="B14449" s="4" t="s">
        <v>334</v>
      </c>
      <c r="C14449" s="4" t="n">
        <v>10</v>
      </c>
      <c r="D14449" s="4" t="n">
        <v>7</v>
      </c>
      <c r="E14449" s="4"/>
      <c r="F14449" s="4" t="n">
        <v>58</v>
      </c>
      <c r="G14449" s="4" t="n">
        <v>1</v>
      </c>
      <c r="H14449" s="4" t="n">
        <v>4</v>
      </c>
      <c r="I14449" s="4" t="str">
        <v>×</v>
      </c>
      <c r="J14449" s="4"/>
      <c r="K14449" s="4"/>
      <c r="L14449" s="4"/>
      <c r="M14449" s="7" t="s">
        <v>6871</v>
      </c>
    </row>
    <row r="14450" customFormat="false" ht="15.75" hidden="false" customHeight="false" outlineLevel="0" collapsed="false">
      <c r="A14450" s="6" t="n">
        <f aca="false">DATE(2026,8,8)</f>
        <v>46242</v>
      </c>
      <c r="B14450" s="4" t="s">
        <v>334</v>
      </c>
      <c r="C14450" s="4" t="n">
        <v>10</v>
      </c>
      <c r="D14450" s="4" t="n">
        <v>4</v>
      </c>
      <c r="E14450" s="4"/>
      <c r="F14450" s="4" t="n">
        <v>44</v>
      </c>
      <c r="G14450" s="4" t="n">
        <v>2</v>
      </c>
      <c r="H14450" s="4" t="n">
        <v>4</v>
      </c>
      <c r="I14450" s="4" t="str">
        <v>×</v>
      </c>
      <c r="J14450" s="4"/>
      <c r="K14450" s="4"/>
      <c r="L14450" s="4"/>
      <c r="M14450" s="7" t="s">
        <v>6871</v>
      </c>
    </row>
    <row r="14451" customFormat="false" ht="15.75" hidden="false" customHeight="false" outlineLevel="0" collapsed="false">
      <c r="A14451" s="6" t="n">
        <f aca="false">DATE(2026,8,8)</f>
        <v>46242</v>
      </c>
      <c r="B14451" s="4" t="s">
        <v>334</v>
      </c>
      <c r="C14451" s="4" t="n">
        <v>10</v>
      </c>
      <c r="D14451" s="4" t="n">
        <v>8</v>
      </c>
      <c r="E14451" s="4" t="s">
        <v>4742</v>
      </c>
      <c r="F14451" s="4" t="n">
        <v>50</v>
      </c>
      <c r="G14451" s="4" t="n">
        <v>3</v>
      </c>
      <c r="H14451" s="4" t="n">
        <v>1</v>
      </c>
      <c r="I14451" s="4" t="str">
        <v>○</v>
      </c>
      <c r="J14451" s="4" t="n">
        <v>140</v>
      </c>
      <c r="K14451" s="4"/>
      <c r="L14451" s="4"/>
      <c r="M14451" s="7" t="s">
        <v>6871</v>
      </c>
    </row>
    <row r="14452" customFormat="false" ht="15.75" hidden="false" customHeight="false" outlineLevel="0" collapsed="false">
      <c r="A14452" s="6" t="n">
        <f aca="false">DATE(2026,8,8)</f>
        <v>46242</v>
      </c>
      <c r="B14452" s="4" t="s">
        <v>334</v>
      </c>
      <c r="C14452" s="4" t="n">
        <v>10</v>
      </c>
      <c r="D14452" s="4" t="n">
        <v>1</v>
      </c>
      <c r="E14452" s="4"/>
      <c r="F14452" s="4" t="n">
        <v>39</v>
      </c>
      <c r="G14452" s="4" t="n">
        <v>4</v>
      </c>
      <c r="H14452" s="4" t="n">
        <v>4</v>
      </c>
      <c r="I14452" s="4" t="str">
        <v>×</v>
      </c>
      <c r="J14452" s="4"/>
      <c r="K14452" s="4"/>
      <c r="L14452" s="4"/>
      <c r="M14452" s="7" t="s">
        <v>6871</v>
      </c>
    </row>
    <row r="14453" customFormat="false" ht="15.75" hidden="false" customHeight="false" outlineLevel="0" collapsed="false">
      <c r="A14453" s="6" t="n">
        <f aca="false">DATE(2026,8,8)</f>
        <v>46242</v>
      </c>
      <c r="B14453" s="4" t="s">
        <v>334</v>
      </c>
      <c r="C14453" s="4" t="n">
        <v>10</v>
      </c>
      <c r="D14453" s="4" t="n">
        <v>5</v>
      </c>
      <c r="E14453" s="4" t="s">
        <v>2638</v>
      </c>
      <c r="F14453" s="4" t="n">
        <v>23</v>
      </c>
      <c r="G14453" s="4" t="n">
        <v>5</v>
      </c>
      <c r="H14453" s="4" t="n">
        <v>2</v>
      </c>
      <c r="I14453" s="4" t="str">
        <v>○</v>
      </c>
      <c r="J14453" s="4" t="n">
        <v>210</v>
      </c>
      <c r="K14453" s="4"/>
      <c r="L14453" s="4"/>
      <c r="M14453" s="7" t="s">
        <v>6871</v>
      </c>
    </row>
    <row r="14454" customFormat="false" ht="15.75" hidden="false" customHeight="false" outlineLevel="0" collapsed="false">
      <c r="A14454" s="6" t="n">
        <f aca="false">DATE(2026,8,8)</f>
        <v>46242</v>
      </c>
      <c r="B14454" s="4" t="s">
        <v>334</v>
      </c>
      <c r="C14454" s="4" t="n">
        <v>10</v>
      </c>
      <c r="D14454" s="4" t="n">
        <v>3</v>
      </c>
      <c r="E14454" s="4" t="s">
        <v>4739</v>
      </c>
      <c r="F14454" s="4" t="n">
        <v>17</v>
      </c>
      <c r="G14454" s="4" t="n">
        <v>6</v>
      </c>
      <c r="H14454" s="4" t="n">
        <v>3</v>
      </c>
      <c r="I14454" s="4" t="str">
        <v>○</v>
      </c>
      <c r="J14454" s="4" t="n">
        <v>360</v>
      </c>
      <c r="K14454" s="4"/>
      <c r="L14454" s="4"/>
      <c r="M14454" s="7" t="s">
        <v>6871</v>
      </c>
    </row>
    <row r="14455" customFormat="false" ht="15.75" hidden="false" customHeight="false" outlineLevel="0" collapsed="false">
      <c r="A14455" s="6" t="n">
        <f aca="false">DATE(2026,8,8)</f>
        <v>46242</v>
      </c>
      <c r="B14455" s="4" t="s">
        <v>334</v>
      </c>
      <c r="C14455" s="4" t="n">
        <v>10</v>
      </c>
      <c r="D14455" s="4" t="n">
        <v>6</v>
      </c>
      <c r="E14455" s="4"/>
      <c r="F14455" s="4" t="n">
        <v>17</v>
      </c>
      <c r="G14455" s="4" t="n">
        <v>7</v>
      </c>
      <c r="H14455" s="4" t="n">
        <v>4</v>
      </c>
      <c r="I14455" s="4" t="str">
        <v>×</v>
      </c>
      <c r="J14455" s="4"/>
      <c r="K14455" s="4"/>
      <c r="L14455" s="4"/>
      <c r="M14455" s="7" t="s">
        <v>6871</v>
      </c>
    </row>
    <row r="14456" customFormat="false" ht="15.75" hidden="false" customHeight="false" outlineLevel="0" collapsed="false">
      <c r="A14456" s="6" t="n">
        <f aca="false">DATE(2026,8,8)</f>
        <v>46242</v>
      </c>
      <c r="B14456" s="4" t="s">
        <v>334</v>
      </c>
      <c r="C14456" s="4" t="n">
        <v>10</v>
      </c>
      <c r="D14456" s="4" t="n">
        <v>2</v>
      </c>
      <c r="E14456" s="4"/>
      <c r="F14456" s="4" t="n">
        <v>6</v>
      </c>
      <c r="G14456" s="4" t="n">
        <v>8</v>
      </c>
      <c r="H14456" s="4" t="n">
        <v>4</v>
      </c>
      <c r="I14456" s="4" t="str">
        <v>×</v>
      </c>
      <c r="J14456" s="4"/>
      <c r="K14456" s="4"/>
      <c r="L14456" s="4"/>
      <c r="M14456" s="7" t="s">
        <v>6871</v>
      </c>
    </row>
    <row r="14457" customFormat="false" ht="15.75" hidden="false" customHeight="false" outlineLevel="0" collapsed="false">
      <c r="A14457" s="6" t="n">
        <f aca="false">DATE(2026,8,8)</f>
        <v>46242</v>
      </c>
      <c r="B14457" s="4" t="s">
        <v>334</v>
      </c>
      <c r="C14457" s="4" t="n">
        <v>11</v>
      </c>
      <c r="D14457" s="4" t="n">
        <v>4</v>
      </c>
      <c r="E14457" s="4"/>
      <c r="F14457" s="4" t="n">
        <v>81</v>
      </c>
      <c r="G14457" s="4" t="n">
        <v>1</v>
      </c>
      <c r="H14457" s="4" t="n">
        <v>4</v>
      </c>
      <c r="I14457" s="4" t="str">
        <v>×</v>
      </c>
      <c r="J14457" s="4"/>
      <c r="K14457" s="4"/>
      <c r="L14457" s="4"/>
      <c r="M14457" s="7" t="s">
        <v>6871</v>
      </c>
    </row>
    <row r="14458" customFormat="false" ht="15.75" hidden="false" customHeight="false" outlineLevel="0" collapsed="false">
      <c r="A14458" s="6" t="n">
        <f aca="false">DATE(2026,8,8)</f>
        <v>46242</v>
      </c>
      <c r="B14458" s="4" t="s">
        <v>334</v>
      </c>
      <c r="C14458" s="4" t="n">
        <v>11</v>
      </c>
      <c r="D14458" s="4" t="n">
        <v>5</v>
      </c>
      <c r="E14458" s="4" t="s">
        <v>5881</v>
      </c>
      <c r="F14458" s="4" t="n">
        <v>52</v>
      </c>
      <c r="G14458" s="4" t="n">
        <v>2</v>
      </c>
      <c r="H14458" s="4" t="n">
        <v>3</v>
      </c>
      <c r="I14458" s="4" t="str">
        <v>○</v>
      </c>
      <c r="J14458" s="4" t="n">
        <v>170</v>
      </c>
      <c r="K14458" s="4"/>
      <c r="L14458" s="4"/>
      <c r="M14458" s="7" t="s">
        <v>6871</v>
      </c>
    </row>
    <row r="14459" customFormat="false" ht="15.75" hidden="false" customHeight="false" outlineLevel="0" collapsed="false">
      <c r="A14459" s="6" t="n">
        <f aca="false">DATE(2026,8,8)</f>
        <v>46242</v>
      </c>
      <c r="B14459" s="4" t="s">
        <v>334</v>
      </c>
      <c r="C14459" s="4" t="n">
        <v>11</v>
      </c>
      <c r="D14459" s="4" t="n">
        <v>8</v>
      </c>
      <c r="E14459" s="4"/>
      <c r="F14459" s="4" t="n">
        <v>65</v>
      </c>
      <c r="G14459" s="4" t="n">
        <v>3</v>
      </c>
      <c r="H14459" s="4" t="n">
        <v>4</v>
      </c>
      <c r="I14459" s="4" t="str">
        <v>×</v>
      </c>
      <c r="J14459" s="4"/>
      <c r="K14459" s="4"/>
      <c r="L14459" s="4"/>
      <c r="M14459" s="7" t="s">
        <v>6871</v>
      </c>
    </row>
    <row r="14460" customFormat="false" ht="15.75" hidden="false" customHeight="false" outlineLevel="0" collapsed="false">
      <c r="A14460" s="6" t="n">
        <f aca="false">DATE(2026,8,8)</f>
        <v>46242</v>
      </c>
      <c r="B14460" s="4" t="s">
        <v>334</v>
      </c>
      <c r="C14460" s="4" t="n">
        <v>11</v>
      </c>
      <c r="D14460" s="4" t="n">
        <v>2</v>
      </c>
      <c r="E14460" s="4"/>
      <c r="F14460" s="4" t="n">
        <v>34</v>
      </c>
      <c r="G14460" s="4" t="n">
        <v>4</v>
      </c>
      <c r="H14460" s="4" t="n">
        <v>4</v>
      </c>
      <c r="I14460" s="4" t="str">
        <v>×</v>
      </c>
      <c r="J14460" s="4"/>
      <c r="K14460" s="4"/>
      <c r="L14460" s="4"/>
      <c r="M14460" s="7" t="s">
        <v>6871</v>
      </c>
    </row>
    <row r="14461" customFormat="false" ht="15.75" hidden="false" customHeight="false" outlineLevel="0" collapsed="false">
      <c r="A14461" s="6" t="n">
        <f aca="false">DATE(2026,8,8)</f>
        <v>46242</v>
      </c>
      <c r="B14461" s="4" t="s">
        <v>334</v>
      </c>
      <c r="C14461" s="4" t="n">
        <v>11</v>
      </c>
      <c r="D14461" s="4" t="n">
        <v>10</v>
      </c>
      <c r="E14461" s="4"/>
      <c r="F14461" s="4" t="n">
        <v>29</v>
      </c>
      <c r="G14461" s="4" t="n">
        <v>5</v>
      </c>
      <c r="H14461" s="4" t="n">
        <v>4</v>
      </c>
      <c r="I14461" s="4" t="str">
        <v>×</v>
      </c>
      <c r="J14461" s="4"/>
      <c r="K14461" s="4"/>
      <c r="L14461" s="4"/>
      <c r="M14461" s="7" t="s">
        <v>6871</v>
      </c>
    </row>
    <row r="14462" customFormat="false" ht="15.75" hidden="false" customHeight="false" outlineLevel="0" collapsed="false">
      <c r="A14462" s="6" t="n">
        <f aca="false">DATE(2026,8,8)</f>
        <v>46242</v>
      </c>
      <c r="B14462" s="4" t="s">
        <v>334</v>
      </c>
      <c r="C14462" s="4" t="n">
        <v>11</v>
      </c>
      <c r="D14462" s="4" t="n">
        <v>6</v>
      </c>
      <c r="E14462" s="4"/>
      <c r="F14462" s="4" t="n">
        <v>23</v>
      </c>
      <c r="G14462" s="4" t="n">
        <v>6</v>
      </c>
      <c r="H14462" s="4" t="n">
        <v>4</v>
      </c>
      <c r="I14462" s="4" t="str">
        <v>×</v>
      </c>
      <c r="J14462" s="4"/>
      <c r="K14462" s="4"/>
      <c r="L14462" s="4"/>
      <c r="M14462" s="7" t="s">
        <v>6871</v>
      </c>
    </row>
    <row r="14463" customFormat="false" ht="15.75" hidden="false" customHeight="false" outlineLevel="0" collapsed="false">
      <c r="A14463" s="6" t="n">
        <f aca="false">DATE(2026,8,8)</f>
        <v>46242</v>
      </c>
      <c r="B14463" s="4" t="s">
        <v>334</v>
      </c>
      <c r="C14463" s="4" t="n">
        <v>11</v>
      </c>
      <c r="D14463" s="4" t="n">
        <v>9</v>
      </c>
      <c r="E14463" s="4"/>
      <c r="F14463" s="4" t="n">
        <v>23</v>
      </c>
      <c r="G14463" s="4" t="n">
        <v>7</v>
      </c>
      <c r="H14463" s="4" t="n">
        <v>4</v>
      </c>
      <c r="I14463" s="4" t="str">
        <v>×</v>
      </c>
      <c r="J14463" s="4"/>
      <c r="K14463" s="4"/>
      <c r="L14463" s="4"/>
      <c r="M14463" s="7" t="s">
        <v>6871</v>
      </c>
    </row>
    <row r="14464" customFormat="false" ht="15.75" hidden="false" customHeight="false" outlineLevel="0" collapsed="false">
      <c r="A14464" s="6" t="n">
        <f aca="false">DATE(2026,8,8)</f>
        <v>46242</v>
      </c>
      <c r="B14464" s="4" t="s">
        <v>334</v>
      </c>
      <c r="C14464" s="4" t="n">
        <v>11</v>
      </c>
      <c r="D14464" s="4" t="n">
        <v>11</v>
      </c>
      <c r="E14464" s="4" t="s">
        <v>6902</v>
      </c>
      <c r="F14464" s="4" t="n">
        <v>20</v>
      </c>
      <c r="G14464" s="4" t="n">
        <v>8</v>
      </c>
      <c r="H14464" s="4" t="n">
        <v>2</v>
      </c>
      <c r="I14464" s="4" t="str">
        <v>○</v>
      </c>
      <c r="J14464" s="4" t="n">
        <v>190</v>
      </c>
      <c r="K14464" s="4"/>
      <c r="L14464" s="4"/>
      <c r="M14464" s="7" t="s">
        <v>6871</v>
      </c>
    </row>
    <row r="14465" customFormat="false" ht="15.75" hidden="false" customHeight="false" outlineLevel="0" collapsed="false">
      <c r="A14465" s="6" t="n">
        <f aca="false">DATE(2026,8,8)</f>
        <v>46242</v>
      </c>
      <c r="B14465" s="4" t="s">
        <v>334</v>
      </c>
      <c r="C14465" s="4" t="n">
        <v>11</v>
      </c>
      <c r="D14465" s="4" t="n">
        <v>3</v>
      </c>
      <c r="E14465" s="4" t="s">
        <v>4765</v>
      </c>
      <c r="F14465" s="4" t="n">
        <v>15</v>
      </c>
      <c r="G14465" s="4" t="n">
        <v>9</v>
      </c>
      <c r="H14465" s="4" t="n">
        <v>1</v>
      </c>
      <c r="I14465" s="4" t="str">
        <v>○</v>
      </c>
      <c r="J14465" s="4" t="n">
        <v>200</v>
      </c>
      <c r="K14465" s="4"/>
      <c r="L14465" s="4"/>
      <c r="M14465" s="7" t="s">
        <v>6871</v>
      </c>
    </row>
    <row r="14466" customFormat="false" ht="15.75" hidden="false" customHeight="false" outlineLevel="0" collapsed="false">
      <c r="A14466" s="6" t="n">
        <f aca="false">DATE(2026,8,8)</f>
        <v>46242</v>
      </c>
      <c r="B14466" s="4" t="s">
        <v>334</v>
      </c>
      <c r="C14466" s="4" t="n">
        <v>11</v>
      </c>
      <c r="D14466" s="4" t="n">
        <v>7</v>
      </c>
      <c r="E14466" s="4"/>
      <c r="F14466" s="4" t="n">
        <v>6</v>
      </c>
      <c r="G14466" s="4" t="n">
        <v>10</v>
      </c>
      <c r="H14466" s="4" t="n">
        <v>4</v>
      </c>
      <c r="I14466" s="4" t="str">
        <v>×</v>
      </c>
      <c r="J14466" s="4"/>
      <c r="K14466" s="4"/>
      <c r="L14466" s="4"/>
      <c r="M14466" s="7" t="s">
        <v>6871</v>
      </c>
    </row>
    <row r="14467" customFormat="false" ht="15.75" hidden="false" customHeight="false" outlineLevel="0" collapsed="false">
      <c r="A14467" s="6" t="n">
        <f aca="false">DATE(2026,8,8)</f>
        <v>46242</v>
      </c>
      <c r="B14467" s="4" t="s">
        <v>334</v>
      </c>
      <c r="C14467" s="4" t="n">
        <v>11</v>
      </c>
      <c r="D14467" s="4" t="n">
        <v>1</v>
      </c>
      <c r="E14467" s="4"/>
      <c r="F14467" s="4" t="n">
        <v>4</v>
      </c>
      <c r="G14467" s="4" t="n">
        <v>11</v>
      </c>
      <c r="H14467" s="4" t="n">
        <v>4</v>
      </c>
      <c r="I14467" s="4" t="str">
        <v>×</v>
      </c>
      <c r="J14467" s="4"/>
      <c r="K14467" s="4"/>
      <c r="L14467" s="4"/>
      <c r="M14467" s="7" t="s">
        <v>6871</v>
      </c>
    </row>
    <row r="14468" customFormat="false" ht="15.75" hidden="false" customHeight="false" outlineLevel="0" collapsed="false">
      <c r="A14468" s="6" t="n">
        <f aca="false">DATE(2026,8,8)</f>
        <v>46242</v>
      </c>
      <c r="B14468" s="4" t="s">
        <v>334</v>
      </c>
      <c r="C14468" s="4" t="n">
        <v>12</v>
      </c>
      <c r="D14468" s="4" t="n">
        <v>11</v>
      </c>
      <c r="E14468" s="4" t="s">
        <v>81</v>
      </c>
      <c r="F14468" s="4" t="n">
        <v>60</v>
      </c>
      <c r="G14468" s="4" t="n">
        <v>1</v>
      </c>
      <c r="H14468" s="4" t="n">
        <v>2</v>
      </c>
      <c r="I14468" s="4" t="str">
        <v>○</v>
      </c>
      <c r="J14468" s="4" t="n">
        <v>140</v>
      </c>
      <c r="K14468" s="4"/>
      <c r="L14468" s="4"/>
      <c r="M14468" s="7" t="s">
        <v>6871</v>
      </c>
    </row>
    <row r="14469" customFormat="false" ht="15.75" hidden="false" customHeight="false" outlineLevel="0" collapsed="false">
      <c r="A14469" s="6" t="n">
        <f aca="false">DATE(2026,8,8)</f>
        <v>46242</v>
      </c>
      <c r="B14469" s="4" t="s">
        <v>334</v>
      </c>
      <c r="C14469" s="4" t="n">
        <v>12</v>
      </c>
      <c r="D14469" s="4" t="n">
        <v>1</v>
      </c>
      <c r="E14469" s="4"/>
      <c r="F14469" s="4" t="n">
        <v>39</v>
      </c>
      <c r="G14469" s="4" t="n">
        <v>2</v>
      </c>
      <c r="H14469" s="4" t="n">
        <v>4</v>
      </c>
      <c r="I14469" s="4" t="str">
        <v>×</v>
      </c>
      <c r="J14469" s="4"/>
      <c r="K14469" s="4"/>
      <c r="L14469" s="4"/>
      <c r="M14469" s="7" t="s">
        <v>6871</v>
      </c>
    </row>
    <row r="14470" customFormat="false" ht="15.75" hidden="false" customHeight="false" outlineLevel="0" collapsed="false">
      <c r="A14470" s="6" t="n">
        <f aca="false">DATE(2026,8,8)</f>
        <v>46242</v>
      </c>
      <c r="B14470" s="4" t="s">
        <v>334</v>
      </c>
      <c r="C14470" s="4" t="n">
        <v>12</v>
      </c>
      <c r="D14470" s="4" t="n">
        <v>10</v>
      </c>
      <c r="E14470" s="4" t="s">
        <v>5411</v>
      </c>
      <c r="F14470" s="4" t="n">
        <v>47</v>
      </c>
      <c r="G14470" s="4" t="n">
        <v>3</v>
      </c>
      <c r="H14470" s="4" t="n">
        <v>1</v>
      </c>
      <c r="I14470" s="4" t="str">
        <v>○</v>
      </c>
      <c r="J14470" s="4" t="n">
        <v>170</v>
      </c>
      <c r="K14470" s="4"/>
      <c r="L14470" s="4"/>
      <c r="M14470" s="7" t="s">
        <v>6871</v>
      </c>
    </row>
    <row r="14471" customFormat="false" ht="15.75" hidden="false" customHeight="false" outlineLevel="0" collapsed="false">
      <c r="A14471" s="6" t="n">
        <f aca="false">DATE(2026,8,8)</f>
        <v>46242</v>
      </c>
      <c r="B14471" s="4" t="s">
        <v>334</v>
      </c>
      <c r="C14471" s="4" t="n">
        <v>12</v>
      </c>
      <c r="D14471" s="4" t="n">
        <v>4</v>
      </c>
      <c r="E14471" s="4"/>
      <c r="F14471" s="4" t="n">
        <v>37</v>
      </c>
      <c r="G14471" s="4" t="n">
        <v>4</v>
      </c>
      <c r="H14471" s="4" t="n">
        <v>4</v>
      </c>
      <c r="I14471" s="4" t="str">
        <v>×</v>
      </c>
      <c r="J14471" s="4"/>
      <c r="K14471" s="4"/>
      <c r="L14471" s="4"/>
      <c r="M14471" s="7" t="s">
        <v>6871</v>
      </c>
    </row>
    <row r="14472" customFormat="false" ht="15.75" hidden="false" customHeight="false" outlineLevel="0" collapsed="false">
      <c r="A14472" s="6" t="n">
        <f aca="false">DATE(2026,8,8)</f>
        <v>46242</v>
      </c>
      <c r="B14472" s="4" t="s">
        <v>334</v>
      </c>
      <c r="C14472" s="4" t="n">
        <v>12</v>
      </c>
      <c r="D14472" s="4" t="n">
        <v>2</v>
      </c>
      <c r="E14472" s="4"/>
      <c r="F14472" s="4" t="n">
        <v>34</v>
      </c>
      <c r="G14472" s="4" t="n">
        <v>5</v>
      </c>
      <c r="H14472" s="4" t="n">
        <v>4</v>
      </c>
      <c r="I14472" s="4" t="str">
        <v>×</v>
      </c>
      <c r="J14472" s="4"/>
      <c r="K14472" s="4"/>
      <c r="L14472" s="4"/>
      <c r="M14472" s="7" t="s">
        <v>6871</v>
      </c>
    </row>
    <row r="14473" customFormat="false" ht="15.75" hidden="false" customHeight="false" outlineLevel="0" collapsed="false">
      <c r="A14473" s="6" t="n">
        <f aca="false">DATE(2026,8,8)</f>
        <v>46242</v>
      </c>
      <c r="B14473" s="4" t="s">
        <v>334</v>
      </c>
      <c r="C14473" s="4" t="n">
        <v>12</v>
      </c>
      <c r="D14473" s="4" t="n">
        <v>8</v>
      </c>
      <c r="E14473" s="4"/>
      <c r="F14473" s="4" t="n">
        <v>31</v>
      </c>
      <c r="G14473" s="4" t="n">
        <v>6</v>
      </c>
      <c r="H14473" s="4" t="n">
        <v>4</v>
      </c>
      <c r="I14473" s="4" t="str">
        <v>×</v>
      </c>
      <c r="J14473" s="4"/>
      <c r="K14473" s="4"/>
      <c r="L14473" s="4"/>
      <c r="M14473" s="7" t="s">
        <v>6871</v>
      </c>
    </row>
    <row r="14474" customFormat="false" ht="15.75" hidden="false" customHeight="false" outlineLevel="0" collapsed="false">
      <c r="A14474" s="6" t="n">
        <f aca="false">DATE(2026,8,8)</f>
        <v>46242</v>
      </c>
      <c r="B14474" s="4" t="s">
        <v>334</v>
      </c>
      <c r="C14474" s="4" t="n">
        <v>12</v>
      </c>
      <c r="D14474" s="4" t="n">
        <v>9</v>
      </c>
      <c r="E14474" s="4" t="s">
        <v>6903</v>
      </c>
      <c r="F14474" s="4" t="n">
        <v>29</v>
      </c>
      <c r="G14474" s="4" t="n">
        <v>7</v>
      </c>
      <c r="H14474" s="4" t="n">
        <v>3</v>
      </c>
      <c r="I14474" s="4" t="str">
        <v>○</v>
      </c>
      <c r="J14474" s="4" t="n">
        <v>170</v>
      </c>
      <c r="K14474" s="4"/>
      <c r="L14474" s="4"/>
      <c r="M14474" s="7" t="s">
        <v>6871</v>
      </c>
    </row>
    <row r="14475" customFormat="false" ht="15.75" hidden="false" customHeight="false" outlineLevel="0" collapsed="false">
      <c r="A14475" s="6" t="n">
        <f aca="false">DATE(2026,8,8)</f>
        <v>46242</v>
      </c>
      <c r="B14475" s="4" t="s">
        <v>334</v>
      </c>
      <c r="C14475" s="4" t="n">
        <v>12</v>
      </c>
      <c r="D14475" s="4" t="n">
        <v>3</v>
      </c>
      <c r="E14475" s="4"/>
      <c r="F14475" s="4" t="n">
        <v>25</v>
      </c>
      <c r="G14475" s="4" t="n">
        <v>8</v>
      </c>
      <c r="H14475" s="4" t="n">
        <v>4</v>
      </c>
      <c r="I14475" s="4" t="str">
        <v>×</v>
      </c>
      <c r="J14475" s="4"/>
      <c r="K14475" s="4"/>
      <c r="L14475" s="4"/>
      <c r="M14475" s="7" t="s">
        <v>6871</v>
      </c>
    </row>
    <row r="14476" customFormat="false" ht="15.75" hidden="false" customHeight="false" outlineLevel="0" collapsed="false">
      <c r="A14476" s="6" t="n">
        <f aca="false">DATE(2026,8,8)</f>
        <v>46242</v>
      </c>
      <c r="B14476" s="4" t="s">
        <v>334</v>
      </c>
      <c r="C14476" s="4" t="n">
        <v>12</v>
      </c>
      <c r="D14476" s="4" t="n">
        <v>12</v>
      </c>
      <c r="E14476" s="4"/>
      <c r="F14476" s="4" t="n">
        <v>20</v>
      </c>
      <c r="G14476" s="4" t="n">
        <v>9</v>
      </c>
      <c r="H14476" s="4" t="n">
        <v>4</v>
      </c>
      <c r="I14476" s="4" t="str">
        <v>×</v>
      </c>
      <c r="J14476" s="4"/>
      <c r="K14476" s="4"/>
      <c r="L14476" s="4"/>
      <c r="M14476" s="7" t="s">
        <v>6871</v>
      </c>
    </row>
    <row r="14477" customFormat="false" ht="15.75" hidden="false" customHeight="false" outlineLevel="0" collapsed="false">
      <c r="A14477" s="6" t="n">
        <f aca="false">DATE(2026,8,8)</f>
        <v>46242</v>
      </c>
      <c r="B14477" s="4" t="s">
        <v>334</v>
      </c>
      <c r="C14477" s="4" t="n">
        <v>12</v>
      </c>
      <c r="D14477" s="4" t="n">
        <v>7</v>
      </c>
      <c r="E14477" s="4"/>
      <c r="F14477" s="4" t="n">
        <v>17</v>
      </c>
      <c r="G14477" s="4" t="n">
        <v>10</v>
      </c>
      <c r="H14477" s="4" t="n">
        <v>4</v>
      </c>
      <c r="I14477" s="4" t="str">
        <v>×</v>
      </c>
      <c r="J14477" s="4"/>
      <c r="K14477" s="4"/>
      <c r="L14477" s="4"/>
      <c r="M14477" s="7" t="s">
        <v>6871</v>
      </c>
    </row>
    <row r="14478" customFormat="false" ht="15.75" hidden="false" customHeight="false" outlineLevel="0" collapsed="false">
      <c r="A14478" s="6" t="n">
        <f aca="false">DATE(2026,8,8)</f>
        <v>46242</v>
      </c>
      <c r="B14478" s="4" t="s">
        <v>334</v>
      </c>
      <c r="C14478" s="4" t="n">
        <v>12</v>
      </c>
      <c r="D14478" s="4" t="n">
        <v>5</v>
      </c>
      <c r="E14478" s="4"/>
      <c r="F14478" s="4" t="n">
        <v>10</v>
      </c>
      <c r="G14478" s="4" t="n">
        <v>11</v>
      </c>
      <c r="H14478" s="4" t="n">
        <v>4</v>
      </c>
      <c r="I14478" s="4" t="str">
        <v>×</v>
      </c>
      <c r="J14478" s="4"/>
      <c r="K14478" s="4"/>
      <c r="L14478" s="4"/>
      <c r="M14478" s="7" t="s">
        <v>6871</v>
      </c>
    </row>
    <row r="14479" customFormat="false" ht="15.75" hidden="false" customHeight="false" outlineLevel="0" collapsed="false">
      <c r="A14479" s="6" t="n">
        <f aca="false">DATE(2026,8,8)</f>
        <v>46242</v>
      </c>
      <c r="B14479" s="4" t="s">
        <v>334</v>
      </c>
      <c r="C14479" s="4" t="n">
        <v>12</v>
      </c>
      <c r="D14479" s="4" t="n">
        <v>6</v>
      </c>
      <c r="E14479" s="4"/>
      <c r="F14479" s="4" t="n">
        <v>6</v>
      </c>
      <c r="G14479" s="4" t="n">
        <v>12</v>
      </c>
      <c r="H14479" s="4" t="n">
        <v>4</v>
      </c>
      <c r="I14479" s="4" t="str">
        <v>×</v>
      </c>
      <c r="J14479" s="4"/>
      <c r="K14479" s="4"/>
      <c r="L14479" s="4"/>
      <c r="M14479" s="7" t="s">
        <v>6871</v>
      </c>
    </row>
    <row r="14480" customFormat="false" ht="15.75" hidden="false" customHeight="false" outlineLevel="0" collapsed="false">
      <c r="A14480" s="6" t="n">
        <f aca="false">DATE(2026,8,8)</f>
        <v>46242</v>
      </c>
      <c r="B14480" s="4" t="s">
        <v>334</v>
      </c>
      <c r="C14480" s="4" t="n">
        <v>12</v>
      </c>
      <c r="D14480" s="4" t="n">
        <v>13</v>
      </c>
      <c r="E14480" s="4"/>
      <c r="F14480" s="4" t="n">
        <v>4</v>
      </c>
      <c r="G14480" s="4" t="n">
        <v>13</v>
      </c>
      <c r="H14480" s="4" t="n">
        <v>4</v>
      </c>
      <c r="I14480" s="4" t="str">
        <v>×</v>
      </c>
      <c r="J14480" s="4"/>
      <c r="K14480" s="4"/>
      <c r="L14480" s="4"/>
      <c r="M14480" s="7" t="s">
        <v>6871</v>
      </c>
    </row>
    <row r="14481" customFormat="false" ht="15.75" hidden="false" customHeight="false" outlineLevel="0" collapsed="false">
      <c r="A14481" s="6" t="n">
        <f aca="false">DATE(2026,8,9)</f>
        <v>46243</v>
      </c>
      <c r="B14481" s="4" t="s">
        <v>179</v>
      </c>
      <c r="C14481" s="4" t="n">
        <v>1</v>
      </c>
      <c r="D14481" s="4" t="n">
        <v>3</v>
      </c>
      <c r="E14481" s="4"/>
      <c r="F14481" s="4" t="n">
        <v>66</v>
      </c>
      <c r="G14481" s="4" t="n">
        <v>1</v>
      </c>
      <c r="H14481" s="4" t="n">
        <v>4</v>
      </c>
      <c r="I14481" s="4" t="str">
        <v>×</v>
      </c>
      <c r="J14481" s="4"/>
      <c r="K14481" s="4"/>
      <c r="L14481" s="4"/>
      <c r="M14481" s="7" t="s">
        <v>6871</v>
      </c>
    </row>
    <row r="14482" customFormat="false" ht="15.75" hidden="false" customHeight="false" outlineLevel="0" collapsed="false">
      <c r="A14482" s="6" t="n">
        <f aca="false">DATE(2026,8,9)</f>
        <v>46243</v>
      </c>
      <c r="B14482" s="4" t="s">
        <v>179</v>
      </c>
      <c r="C14482" s="4" t="n">
        <v>1</v>
      </c>
      <c r="D14482" s="4" t="n">
        <v>9</v>
      </c>
      <c r="E14482" s="4"/>
      <c r="F14482" s="4" t="n">
        <v>29</v>
      </c>
      <c r="G14482" s="4" t="n">
        <v>2</v>
      </c>
      <c r="H14482" s="4" t="n">
        <v>4</v>
      </c>
      <c r="I14482" s="4" t="str">
        <v>×</v>
      </c>
      <c r="J14482" s="4"/>
      <c r="K14482" s="4"/>
      <c r="L14482" s="4"/>
      <c r="M14482" s="7" t="s">
        <v>6871</v>
      </c>
    </row>
    <row r="14483" customFormat="false" ht="15.75" hidden="false" customHeight="false" outlineLevel="0" collapsed="false">
      <c r="A14483" s="6" t="n">
        <f aca="false">DATE(2026,8,9)</f>
        <v>46243</v>
      </c>
      <c r="B14483" s="4" t="s">
        <v>179</v>
      </c>
      <c r="C14483" s="4" t="n">
        <v>1</v>
      </c>
      <c r="D14483" s="4" t="n">
        <v>14</v>
      </c>
      <c r="E14483" s="4" t="s">
        <v>213</v>
      </c>
      <c r="F14483" s="4" t="n">
        <v>29</v>
      </c>
      <c r="G14483" s="4" t="n">
        <v>3</v>
      </c>
      <c r="H14483" s="4" t="n">
        <v>1</v>
      </c>
      <c r="I14483" s="4" t="str">
        <v>○</v>
      </c>
      <c r="J14483" s="4" t="n">
        <v>130</v>
      </c>
      <c r="K14483" s="4"/>
      <c r="L14483" s="4"/>
      <c r="M14483" s="7" t="s">
        <v>6871</v>
      </c>
    </row>
    <row r="14484" customFormat="false" ht="15.75" hidden="false" customHeight="false" outlineLevel="0" collapsed="false">
      <c r="A14484" s="6" t="n">
        <f aca="false">DATE(2026,8,9)</f>
        <v>46243</v>
      </c>
      <c r="B14484" s="4" t="s">
        <v>179</v>
      </c>
      <c r="C14484" s="4" t="n">
        <v>1</v>
      </c>
      <c r="D14484" s="4" t="n">
        <v>15</v>
      </c>
      <c r="E14484" s="4" t="s">
        <v>3150</v>
      </c>
      <c r="F14484" s="4" t="n">
        <v>47</v>
      </c>
      <c r="G14484" s="4" t="n">
        <v>4</v>
      </c>
      <c r="H14484" s="4" t="n">
        <v>2</v>
      </c>
      <c r="I14484" s="4" t="str">
        <v>○</v>
      </c>
      <c r="J14484" s="4" t="n">
        <v>140</v>
      </c>
      <c r="K14484" s="4"/>
      <c r="L14484" s="4"/>
      <c r="M14484" s="7" t="s">
        <v>6871</v>
      </c>
    </row>
    <row r="14485" customFormat="false" ht="15.75" hidden="false" customHeight="false" outlineLevel="0" collapsed="false">
      <c r="A14485" s="6" t="n">
        <f aca="false">DATE(2026,8,9)</f>
        <v>46243</v>
      </c>
      <c r="B14485" s="4" t="s">
        <v>179</v>
      </c>
      <c r="C14485" s="4" t="n">
        <v>1</v>
      </c>
      <c r="D14485" s="4" t="n">
        <v>12</v>
      </c>
      <c r="E14485" s="4"/>
      <c r="F14485" s="4" t="n">
        <v>17</v>
      </c>
      <c r="G14485" s="4" t="n">
        <v>5</v>
      </c>
      <c r="H14485" s="4" t="n">
        <v>4</v>
      </c>
      <c r="I14485" s="4" t="str">
        <v>×</v>
      </c>
      <c r="J14485" s="4"/>
      <c r="K14485" s="4"/>
      <c r="L14485" s="4"/>
      <c r="M14485" s="7" t="s">
        <v>6871</v>
      </c>
    </row>
    <row r="14486" customFormat="false" ht="15.75" hidden="false" customHeight="false" outlineLevel="0" collapsed="false">
      <c r="A14486" s="6" t="n">
        <f aca="false">DATE(2026,8,9)</f>
        <v>46243</v>
      </c>
      <c r="B14486" s="4" t="s">
        <v>179</v>
      </c>
      <c r="C14486" s="4" t="n">
        <v>1</v>
      </c>
      <c r="D14486" s="4" t="n">
        <v>2</v>
      </c>
      <c r="E14486" s="4"/>
      <c r="F14486" s="4" t="n">
        <v>10</v>
      </c>
      <c r="G14486" s="4" t="n">
        <v>6</v>
      </c>
      <c r="H14486" s="4" t="n">
        <v>4</v>
      </c>
      <c r="I14486" s="4" t="str">
        <v>×</v>
      </c>
      <c r="J14486" s="4"/>
      <c r="K14486" s="4"/>
      <c r="L14486" s="4"/>
      <c r="M14486" s="7" t="s">
        <v>6871</v>
      </c>
    </row>
    <row r="14487" customFormat="false" ht="15.75" hidden="false" customHeight="false" outlineLevel="0" collapsed="false">
      <c r="A14487" s="6" t="n">
        <f aca="false">DATE(2026,8,9)</f>
        <v>46243</v>
      </c>
      <c r="B14487" s="4" t="s">
        <v>179</v>
      </c>
      <c r="C14487" s="4" t="n">
        <v>1</v>
      </c>
      <c r="D14487" s="4" t="n">
        <v>1</v>
      </c>
      <c r="E14487" s="4"/>
      <c r="F14487" s="4" t="n">
        <v>8</v>
      </c>
      <c r="G14487" s="4" t="n">
        <v>7</v>
      </c>
      <c r="H14487" s="4" t="n">
        <v>4</v>
      </c>
      <c r="I14487" s="4" t="str">
        <v>×</v>
      </c>
      <c r="J14487" s="4"/>
      <c r="K14487" s="4"/>
      <c r="L14487" s="4"/>
      <c r="M14487" s="7" t="s">
        <v>6871</v>
      </c>
    </row>
    <row r="14488" customFormat="false" ht="15.75" hidden="false" customHeight="false" outlineLevel="0" collapsed="false">
      <c r="A14488" s="6" t="n">
        <f aca="false">DATE(2026,8,9)</f>
        <v>46243</v>
      </c>
      <c r="B14488" s="4" t="s">
        <v>179</v>
      </c>
      <c r="C14488" s="4" t="n">
        <v>1</v>
      </c>
      <c r="D14488" s="4" t="n">
        <v>4</v>
      </c>
      <c r="E14488" s="4" t="s">
        <v>6904</v>
      </c>
      <c r="F14488" s="4" t="n">
        <v>8</v>
      </c>
      <c r="G14488" s="4" t="n">
        <v>8</v>
      </c>
      <c r="H14488" s="4" t="n">
        <v>3</v>
      </c>
      <c r="I14488" s="4" t="str">
        <v>○</v>
      </c>
      <c r="J14488" s="4" t="n">
        <v>240</v>
      </c>
      <c r="K14488" s="4"/>
      <c r="L14488" s="4"/>
      <c r="M14488" s="7" t="s">
        <v>6871</v>
      </c>
    </row>
    <row r="14489" customFormat="false" ht="15.75" hidden="false" customHeight="false" outlineLevel="0" collapsed="false">
      <c r="A14489" s="6" t="n">
        <f aca="false">DATE(2026,8,9)</f>
        <v>46243</v>
      </c>
      <c r="B14489" s="4" t="s">
        <v>179</v>
      </c>
      <c r="C14489" s="4" t="n">
        <v>1</v>
      </c>
      <c r="D14489" s="4" t="n">
        <v>6</v>
      </c>
      <c r="E14489" s="4"/>
      <c r="F14489" s="4" t="n">
        <v>8</v>
      </c>
      <c r="G14489" s="4" t="n">
        <v>9</v>
      </c>
      <c r="H14489" s="4" t="n">
        <v>4</v>
      </c>
      <c r="I14489" s="4" t="str">
        <v>×</v>
      </c>
      <c r="J14489" s="4"/>
      <c r="K14489" s="4"/>
      <c r="L14489" s="4"/>
      <c r="M14489" s="7" t="s">
        <v>6871</v>
      </c>
    </row>
    <row r="14490" customFormat="false" ht="15.75" hidden="false" customHeight="false" outlineLevel="0" collapsed="false">
      <c r="A14490" s="6" t="n">
        <f aca="false">DATE(2026,8,9)</f>
        <v>46243</v>
      </c>
      <c r="B14490" s="4" t="s">
        <v>179</v>
      </c>
      <c r="C14490" s="4" t="n">
        <v>1</v>
      </c>
      <c r="D14490" s="4" t="n">
        <v>13</v>
      </c>
      <c r="E14490" s="4"/>
      <c r="F14490" s="4" t="n">
        <v>8</v>
      </c>
      <c r="G14490" s="4" t="n">
        <v>10</v>
      </c>
      <c r="H14490" s="4" t="n">
        <v>4</v>
      </c>
      <c r="I14490" s="4" t="str">
        <v>×</v>
      </c>
      <c r="J14490" s="4"/>
      <c r="K14490" s="4"/>
      <c r="L14490" s="4"/>
      <c r="M14490" s="7" t="s">
        <v>6871</v>
      </c>
    </row>
    <row r="14491" customFormat="false" ht="15.75" hidden="false" customHeight="false" outlineLevel="0" collapsed="false">
      <c r="A14491" s="6" t="n">
        <f aca="false">DATE(2026,8,9)</f>
        <v>46243</v>
      </c>
      <c r="B14491" s="4" t="s">
        <v>179</v>
      </c>
      <c r="C14491" s="4" t="n">
        <v>1</v>
      </c>
      <c r="D14491" s="4" t="n">
        <v>16</v>
      </c>
      <c r="E14491" s="4"/>
      <c r="F14491" s="4" t="n">
        <v>8</v>
      </c>
      <c r="G14491" s="4" t="n">
        <v>11</v>
      </c>
      <c r="H14491" s="4" t="n">
        <v>4</v>
      </c>
      <c r="I14491" s="4" t="str">
        <v>×</v>
      </c>
      <c r="J14491" s="4"/>
      <c r="K14491" s="4"/>
      <c r="L14491" s="4"/>
      <c r="M14491" s="7" t="s">
        <v>6871</v>
      </c>
    </row>
    <row r="14492" customFormat="false" ht="15.75" hidden="false" customHeight="false" outlineLevel="0" collapsed="false">
      <c r="A14492" s="6" t="n">
        <f aca="false">DATE(2026,8,9)</f>
        <v>46243</v>
      </c>
      <c r="B14492" s="4" t="s">
        <v>179</v>
      </c>
      <c r="C14492" s="4" t="n">
        <v>1</v>
      </c>
      <c r="D14492" s="4" t="n">
        <v>8</v>
      </c>
      <c r="E14492" s="4"/>
      <c r="F14492" s="4" t="n">
        <v>4</v>
      </c>
      <c r="G14492" s="4" t="n">
        <v>12</v>
      </c>
      <c r="H14492" s="4" t="n">
        <v>4</v>
      </c>
      <c r="I14492" s="4" t="str">
        <v>×</v>
      </c>
      <c r="J14492" s="4"/>
      <c r="K14492" s="4"/>
      <c r="L14492" s="4"/>
      <c r="M14492" s="7" t="s">
        <v>6871</v>
      </c>
    </row>
    <row r="14493" customFormat="false" ht="15.75" hidden="false" customHeight="false" outlineLevel="0" collapsed="false">
      <c r="A14493" s="6" t="n">
        <f aca="false">DATE(2026,8,9)</f>
        <v>46243</v>
      </c>
      <c r="B14493" s="4" t="s">
        <v>179</v>
      </c>
      <c r="C14493" s="4" t="n">
        <v>1</v>
      </c>
      <c r="D14493" s="4" t="n">
        <v>11</v>
      </c>
      <c r="E14493" s="4"/>
      <c r="F14493" s="4" t="n">
        <v>4</v>
      </c>
      <c r="G14493" s="4" t="n">
        <v>13</v>
      </c>
      <c r="H14493" s="4" t="n">
        <v>4</v>
      </c>
      <c r="I14493" s="4" t="str">
        <v>×</v>
      </c>
      <c r="J14493" s="4"/>
      <c r="K14493" s="4"/>
      <c r="L14493" s="4"/>
      <c r="M14493" s="7" t="s">
        <v>6871</v>
      </c>
    </row>
    <row r="14494" customFormat="false" ht="15.75" hidden="false" customHeight="false" outlineLevel="0" collapsed="false">
      <c r="A14494" s="6" t="n">
        <f aca="false">DATE(2026,8,9)</f>
        <v>46243</v>
      </c>
      <c r="B14494" s="4" t="s">
        <v>179</v>
      </c>
      <c r="C14494" s="4" t="n">
        <v>1</v>
      </c>
      <c r="D14494" s="4" t="n">
        <v>7</v>
      </c>
      <c r="E14494" s="4"/>
      <c r="F14494" s="4" t="n">
        <v>3</v>
      </c>
      <c r="G14494" s="4" t="n">
        <v>14</v>
      </c>
      <c r="H14494" s="4" t="n">
        <v>4</v>
      </c>
      <c r="I14494" s="4" t="str">
        <v>×</v>
      </c>
      <c r="J14494" s="4"/>
      <c r="K14494" s="4"/>
      <c r="L14494" s="4"/>
      <c r="M14494" s="7" t="s">
        <v>6871</v>
      </c>
    </row>
    <row r="14495" customFormat="false" ht="15.75" hidden="false" customHeight="false" outlineLevel="0" collapsed="false">
      <c r="A14495" s="6" t="n">
        <f aca="false">DATE(2026,8,9)</f>
        <v>46243</v>
      </c>
      <c r="B14495" s="4" t="s">
        <v>179</v>
      </c>
      <c r="C14495" s="4" t="n">
        <v>1</v>
      </c>
      <c r="D14495" s="4" t="n">
        <v>10</v>
      </c>
      <c r="E14495" s="4"/>
      <c r="F14495" s="4" t="n">
        <v>3</v>
      </c>
      <c r="G14495" s="4" t="n">
        <v>15</v>
      </c>
      <c r="H14495" s="4" t="n">
        <v>4</v>
      </c>
      <c r="I14495" s="4" t="str">
        <v>×</v>
      </c>
      <c r="J14495" s="4"/>
      <c r="K14495" s="4"/>
      <c r="L14495" s="4"/>
      <c r="M14495" s="7" t="s">
        <v>6871</v>
      </c>
    </row>
    <row r="14496" customFormat="false" ht="15.75" hidden="false" customHeight="false" outlineLevel="0" collapsed="false">
      <c r="A14496" s="6" t="n">
        <f aca="false">DATE(2026,8,9)</f>
        <v>46243</v>
      </c>
      <c r="B14496" s="4" t="s">
        <v>179</v>
      </c>
      <c r="C14496" s="4" t="n">
        <v>1</v>
      </c>
      <c r="D14496" s="4" t="n">
        <v>5</v>
      </c>
      <c r="E14496" s="4"/>
      <c r="F14496" s="4" t="n">
        <v>2</v>
      </c>
      <c r="G14496" s="4" t="n">
        <v>16</v>
      </c>
      <c r="H14496" s="4" t="n">
        <v>4</v>
      </c>
      <c r="I14496" s="4" t="str">
        <v>×</v>
      </c>
      <c r="J14496" s="4"/>
      <c r="K14496" s="4"/>
      <c r="L14496" s="4"/>
      <c r="M14496" s="7" t="s">
        <v>6871</v>
      </c>
    </row>
    <row r="14497" customFormat="false" ht="15.75" hidden="false" customHeight="false" outlineLevel="0" collapsed="false">
      <c r="A14497" s="6" t="n">
        <f aca="false">DATE(2026,8,9)</f>
        <v>46243</v>
      </c>
      <c r="B14497" s="4" t="s">
        <v>179</v>
      </c>
      <c r="C14497" s="4" t="n">
        <v>2</v>
      </c>
      <c r="D14497" s="4" t="n">
        <v>2</v>
      </c>
      <c r="E14497" s="4" t="s">
        <v>6905</v>
      </c>
      <c r="F14497" s="4" t="n">
        <v>37</v>
      </c>
      <c r="G14497" s="4" t="n">
        <v>1</v>
      </c>
      <c r="H14497" s="4" t="n">
        <v>1</v>
      </c>
      <c r="I14497" s="4" t="str">
        <v>○</v>
      </c>
      <c r="J14497" s="4" t="n">
        <v>120</v>
      </c>
      <c r="K14497" s="4"/>
      <c r="L14497" s="4"/>
      <c r="M14497" s="7" t="s">
        <v>6871</v>
      </c>
    </row>
    <row r="14498" customFormat="false" ht="15.75" hidden="false" customHeight="false" outlineLevel="0" collapsed="false">
      <c r="A14498" s="6" t="n">
        <f aca="false">DATE(2026,8,9)</f>
        <v>46243</v>
      </c>
      <c r="B14498" s="4" t="s">
        <v>179</v>
      </c>
      <c r="C14498" s="4" t="n">
        <v>2</v>
      </c>
      <c r="D14498" s="4" t="n">
        <v>6</v>
      </c>
      <c r="E14498" s="4"/>
      <c r="F14498" s="4" t="n">
        <v>31</v>
      </c>
      <c r="G14498" s="4" t="n">
        <v>2</v>
      </c>
      <c r="H14498" s="4" t="n">
        <v>4</v>
      </c>
      <c r="I14498" s="4" t="str">
        <v>×</v>
      </c>
      <c r="J14498" s="4"/>
      <c r="K14498" s="4"/>
      <c r="L14498" s="4"/>
      <c r="M14498" s="7" t="s">
        <v>6871</v>
      </c>
    </row>
    <row r="14499" customFormat="false" ht="15.75" hidden="false" customHeight="false" outlineLevel="0" collapsed="false">
      <c r="A14499" s="6" t="n">
        <f aca="false">DATE(2026,8,9)</f>
        <v>46243</v>
      </c>
      <c r="B14499" s="4" t="s">
        <v>179</v>
      </c>
      <c r="C14499" s="4" t="n">
        <v>2</v>
      </c>
      <c r="D14499" s="4" t="n">
        <v>9</v>
      </c>
      <c r="E14499" s="4"/>
      <c r="F14499" s="4" t="n">
        <v>31</v>
      </c>
      <c r="G14499" s="4" t="n">
        <v>3</v>
      </c>
      <c r="H14499" s="4" t="n">
        <v>4</v>
      </c>
      <c r="I14499" s="4" t="str">
        <v>×</v>
      </c>
      <c r="J14499" s="4"/>
      <c r="K14499" s="4"/>
      <c r="L14499" s="4"/>
      <c r="M14499" s="7" t="s">
        <v>6871</v>
      </c>
    </row>
    <row r="14500" customFormat="false" ht="15.75" hidden="false" customHeight="false" outlineLevel="0" collapsed="false">
      <c r="A14500" s="6" t="n">
        <f aca="false">DATE(2026,8,9)</f>
        <v>46243</v>
      </c>
      <c r="B14500" s="4" t="s">
        <v>179</v>
      </c>
      <c r="C14500" s="4" t="n">
        <v>2</v>
      </c>
      <c r="D14500" s="4" t="n">
        <v>3</v>
      </c>
      <c r="E14500" s="4" t="s">
        <v>6906</v>
      </c>
      <c r="F14500" s="4" t="n">
        <v>27</v>
      </c>
      <c r="G14500" s="4" t="n">
        <v>4</v>
      </c>
      <c r="H14500" s="4" t="n">
        <v>2</v>
      </c>
      <c r="I14500" s="4" t="str">
        <v>○</v>
      </c>
      <c r="J14500" s="4" t="n">
        <v>110</v>
      </c>
      <c r="K14500" s="4"/>
      <c r="L14500" s="4"/>
      <c r="M14500" s="7" t="s">
        <v>6871</v>
      </c>
    </row>
    <row r="14501" customFormat="false" ht="15.75" hidden="false" customHeight="false" outlineLevel="0" collapsed="false">
      <c r="A14501" s="6" t="n">
        <f aca="false">DATE(2026,8,9)</f>
        <v>46243</v>
      </c>
      <c r="B14501" s="4" t="s">
        <v>179</v>
      </c>
      <c r="C14501" s="4" t="n">
        <v>2</v>
      </c>
      <c r="D14501" s="4" t="n">
        <v>4</v>
      </c>
      <c r="E14501" s="4"/>
      <c r="F14501" s="4" t="n">
        <v>24</v>
      </c>
      <c r="G14501" s="4" t="n">
        <v>5</v>
      </c>
      <c r="H14501" s="4" t="n">
        <v>4</v>
      </c>
      <c r="I14501" s="4" t="str">
        <v>×</v>
      </c>
      <c r="J14501" s="4"/>
      <c r="K14501" s="4"/>
      <c r="L14501" s="4"/>
      <c r="M14501" s="7" t="s">
        <v>6871</v>
      </c>
    </row>
    <row r="14502" customFormat="false" ht="15.75" hidden="false" customHeight="false" outlineLevel="0" collapsed="false">
      <c r="A14502" s="6" t="n">
        <f aca="false">DATE(2026,8,9)</f>
        <v>46243</v>
      </c>
      <c r="B14502" s="4" t="s">
        <v>179</v>
      </c>
      <c r="C14502" s="4" t="n">
        <v>2</v>
      </c>
      <c r="D14502" s="4" t="n">
        <v>7</v>
      </c>
      <c r="E14502" s="4"/>
      <c r="F14502" s="4" t="n">
        <v>21</v>
      </c>
      <c r="G14502" s="4" t="n">
        <v>6</v>
      </c>
      <c r="H14502" s="4" t="n">
        <v>4</v>
      </c>
      <c r="I14502" s="4" t="str">
        <v>×</v>
      </c>
      <c r="J14502" s="4"/>
      <c r="K14502" s="4"/>
      <c r="L14502" s="4"/>
      <c r="M14502" s="7" t="s">
        <v>6871</v>
      </c>
    </row>
    <row r="14503" customFormat="false" ht="15.75" hidden="false" customHeight="false" outlineLevel="0" collapsed="false">
      <c r="A14503" s="6" t="n">
        <f aca="false">DATE(2026,8,9)</f>
        <v>46243</v>
      </c>
      <c r="B14503" s="4" t="s">
        <v>179</v>
      </c>
      <c r="C14503" s="4" t="n">
        <v>2</v>
      </c>
      <c r="D14503" s="4" t="n">
        <v>1</v>
      </c>
      <c r="E14503" s="4" t="s">
        <v>6907</v>
      </c>
      <c r="F14503" s="4" t="n">
        <v>16</v>
      </c>
      <c r="G14503" s="4" t="n">
        <v>7</v>
      </c>
      <c r="H14503" s="4" t="n">
        <v>3</v>
      </c>
      <c r="I14503" s="4" t="str">
        <v>○</v>
      </c>
      <c r="J14503" s="4" t="n">
        <v>110</v>
      </c>
      <c r="K14503" s="4"/>
      <c r="L14503" s="4"/>
      <c r="M14503" s="7" t="s">
        <v>6871</v>
      </c>
    </row>
    <row r="14504" customFormat="false" ht="15.75" hidden="false" customHeight="false" outlineLevel="0" collapsed="false">
      <c r="A14504" s="6" t="n">
        <f aca="false">DATE(2026,8,9)</f>
        <v>46243</v>
      </c>
      <c r="B14504" s="4" t="s">
        <v>179</v>
      </c>
      <c r="C14504" s="4" t="n">
        <v>2</v>
      </c>
      <c r="D14504" s="4" t="n">
        <v>5</v>
      </c>
      <c r="E14504" s="4"/>
      <c r="F14504" s="4" t="n">
        <v>12</v>
      </c>
      <c r="G14504" s="4" t="n">
        <v>8</v>
      </c>
      <c r="H14504" s="4" t="n">
        <v>4</v>
      </c>
      <c r="I14504" s="4" t="str">
        <v>×</v>
      </c>
      <c r="J14504" s="4"/>
      <c r="K14504" s="4"/>
      <c r="L14504" s="4"/>
      <c r="M14504" s="7" t="s">
        <v>6871</v>
      </c>
    </row>
    <row r="14505" customFormat="false" ht="15.75" hidden="false" customHeight="false" outlineLevel="0" collapsed="false">
      <c r="A14505" s="6" t="n">
        <f aca="false">DATE(2026,8,9)</f>
        <v>46243</v>
      </c>
      <c r="B14505" s="4" t="s">
        <v>179</v>
      </c>
      <c r="C14505" s="4" t="n">
        <v>2</v>
      </c>
      <c r="D14505" s="4" t="n">
        <v>8</v>
      </c>
      <c r="E14505" s="4"/>
      <c r="F14505" s="4" t="n">
        <v>8</v>
      </c>
      <c r="G14505" s="4" t="n">
        <v>9</v>
      </c>
      <c r="H14505" s="4" t="n">
        <v>4</v>
      </c>
      <c r="I14505" s="4" t="str">
        <v>×</v>
      </c>
      <c r="J14505" s="4"/>
      <c r="K14505" s="4"/>
      <c r="L14505" s="4"/>
      <c r="M14505" s="7" t="s">
        <v>6871</v>
      </c>
    </row>
    <row r="14506" customFormat="false" ht="15.75" hidden="false" customHeight="false" outlineLevel="0" collapsed="false">
      <c r="A14506" s="6" t="n">
        <f aca="false">DATE(2026,8,9)</f>
        <v>46243</v>
      </c>
      <c r="B14506" s="4" t="s">
        <v>179</v>
      </c>
      <c r="C14506" s="4" t="n">
        <v>3</v>
      </c>
      <c r="D14506" s="4" t="n">
        <v>2</v>
      </c>
      <c r="E14506" s="4" t="s">
        <v>6908</v>
      </c>
      <c r="F14506" s="4" t="n">
        <v>37</v>
      </c>
      <c r="G14506" s="4" t="n">
        <v>1</v>
      </c>
      <c r="H14506" s="4" t="n">
        <v>2</v>
      </c>
      <c r="I14506" s="4" t="str">
        <v>○</v>
      </c>
      <c r="J14506" s="4" t="n">
        <v>100</v>
      </c>
      <c r="K14506" s="4"/>
      <c r="L14506" s="4"/>
      <c r="M14506" s="7" t="s">
        <v>6871</v>
      </c>
    </row>
    <row r="14507" customFormat="false" ht="15.75" hidden="false" customHeight="false" outlineLevel="0" collapsed="false">
      <c r="A14507" s="6" t="n">
        <f aca="false">DATE(2026,8,9)</f>
        <v>46243</v>
      </c>
      <c r="B14507" s="4" t="s">
        <v>179</v>
      </c>
      <c r="C14507" s="4" t="n">
        <v>3</v>
      </c>
      <c r="D14507" s="4" t="n">
        <v>3</v>
      </c>
      <c r="E14507" s="4"/>
      <c r="F14507" s="4" t="n">
        <v>24</v>
      </c>
      <c r="G14507" s="4" t="n">
        <v>2</v>
      </c>
      <c r="H14507" s="4" t="n">
        <v>4</v>
      </c>
      <c r="I14507" s="4" t="str">
        <v>×</v>
      </c>
      <c r="J14507" s="4"/>
      <c r="K14507" s="4"/>
      <c r="L14507" s="4"/>
      <c r="M14507" s="7" t="s">
        <v>6871</v>
      </c>
    </row>
    <row r="14508" customFormat="false" ht="15.75" hidden="false" customHeight="false" outlineLevel="0" collapsed="false">
      <c r="A14508" s="6" t="n">
        <f aca="false">DATE(2026,8,9)</f>
        <v>46243</v>
      </c>
      <c r="B14508" s="4" t="s">
        <v>179</v>
      </c>
      <c r="C14508" s="4" t="n">
        <v>3</v>
      </c>
      <c r="D14508" s="4" t="n">
        <v>7</v>
      </c>
      <c r="E14508" s="4" t="s">
        <v>6909</v>
      </c>
      <c r="F14508" s="4" t="n">
        <v>24</v>
      </c>
      <c r="G14508" s="4" t="n">
        <v>3</v>
      </c>
      <c r="H14508" s="4" t="n">
        <v>3</v>
      </c>
      <c r="I14508" s="4" t="str">
        <v>○</v>
      </c>
      <c r="J14508" s="4" t="n">
        <v>120</v>
      </c>
      <c r="K14508" s="4"/>
      <c r="L14508" s="4"/>
      <c r="M14508" s="7" t="s">
        <v>6871</v>
      </c>
    </row>
    <row r="14509" customFormat="false" ht="15.75" hidden="false" customHeight="false" outlineLevel="0" collapsed="false">
      <c r="A14509" s="6" t="n">
        <f aca="false">DATE(2026,8,9)</f>
        <v>46243</v>
      </c>
      <c r="B14509" s="4" t="s">
        <v>179</v>
      </c>
      <c r="C14509" s="4" t="n">
        <v>3</v>
      </c>
      <c r="D14509" s="4" t="n">
        <v>6</v>
      </c>
      <c r="E14509" s="4" t="s">
        <v>6910</v>
      </c>
      <c r="F14509" s="4" t="n">
        <v>31</v>
      </c>
      <c r="G14509" s="4" t="n">
        <v>4</v>
      </c>
      <c r="H14509" s="4" t="n">
        <v>1</v>
      </c>
      <c r="I14509" s="4" t="str">
        <v>○</v>
      </c>
      <c r="J14509" s="4" t="n">
        <v>100</v>
      </c>
      <c r="K14509" s="4"/>
      <c r="L14509" s="4"/>
      <c r="M14509" s="7" t="s">
        <v>6871</v>
      </c>
    </row>
    <row r="14510" customFormat="false" ht="15.75" hidden="false" customHeight="false" outlineLevel="0" collapsed="false">
      <c r="A14510" s="6" t="n">
        <f aca="false">DATE(2026,8,9)</f>
        <v>46243</v>
      </c>
      <c r="B14510" s="4" t="s">
        <v>179</v>
      </c>
      <c r="C14510" s="4" t="n">
        <v>3</v>
      </c>
      <c r="D14510" s="4" t="n">
        <v>8</v>
      </c>
      <c r="E14510" s="4"/>
      <c r="F14510" s="4" t="n">
        <v>21</v>
      </c>
      <c r="G14510" s="4" t="n">
        <v>5</v>
      </c>
      <c r="H14510" s="4" t="n">
        <v>4</v>
      </c>
      <c r="I14510" s="4" t="str">
        <v>×</v>
      </c>
      <c r="J14510" s="4"/>
      <c r="K14510" s="4"/>
      <c r="L14510" s="4"/>
      <c r="M14510" s="7" t="s">
        <v>6871</v>
      </c>
    </row>
    <row r="14511" customFormat="false" ht="15.75" hidden="false" customHeight="false" outlineLevel="0" collapsed="false">
      <c r="A14511" s="6" t="n">
        <f aca="false">DATE(2026,8,9)</f>
        <v>46243</v>
      </c>
      <c r="B14511" s="4" t="s">
        <v>179</v>
      </c>
      <c r="C14511" s="4" t="n">
        <v>3</v>
      </c>
      <c r="D14511" s="4" t="n">
        <v>1</v>
      </c>
      <c r="E14511" s="4"/>
      <c r="F14511" s="4" t="n">
        <v>16</v>
      </c>
      <c r="G14511" s="4" t="n">
        <v>6</v>
      </c>
      <c r="H14511" s="4" t="n">
        <v>4</v>
      </c>
      <c r="I14511" s="4" t="str">
        <v>×</v>
      </c>
      <c r="J14511" s="4"/>
      <c r="K14511" s="4"/>
      <c r="L14511" s="4"/>
      <c r="M14511" s="7" t="s">
        <v>6871</v>
      </c>
    </row>
    <row r="14512" customFormat="false" ht="15.75" hidden="false" customHeight="false" outlineLevel="0" collapsed="false">
      <c r="A14512" s="6" t="n">
        <f aca="false">DATE(2026,8,9)</f>
        <v>46243</v>
      </c>
      <c r="B14512" s="4" t="s">
        <v>179</v>
      </c>
      <c r="C14512" s="4" t="n">
        <v>3</v>
      </c>
      <c r="D14512" s="4" t="n">
        <v>4</v>
      </c>
      <c r="E14512" s="4"/>
      <c r="F14512" s="4" t="n">
        <v>14</v>
      </c>
      <c r="G14512" s="4" t="n">
        <v>7</v>
      </c>
      <c r="H14512" s="4" t="n">
        <v>4</v>
      </c>
      <c r="I14512" s="4" t="str">
        <v>×</v>
      </c>
      <c r="J14512" s="4"/>
      <c r="K14512" s="4"/>
      <c r="L14512" s="4"/>
      <c r="M14512" s="7" t="s">
        <v>6871</v>
      </c>
    </row>
    <row r="14513" customFormat="false" ht="15.75" hidden="false" customHeight="false" outlineLevel="0" collapsed="false">
      <c r="A14513" s="6" t="n">
        <f aca="false">DATE(2026,8,9)</f>
        <v>46243</v>
      </c>
      <c r="B14513" s="4" t="s">
        <v>179</v>
      </c>
      <c r="C14513" s="4" t="n">
        <v>3</v>
      </c>
      <c r="D14513" s="4" t="n">
        <v>5</v>
      </c>
      <c r="E14513" s="4"/>
      <c r="F14513" s="4" t="n">
        <v>12</v>
      </c>
      <c r="G14513" s="4" t="n">
        <v>8</v>
      </c>
      <c r="H14513" s="4" t="n">
        <v>4</v>
      </c>
      <c r="I14513" s="4" t="str">
        <v>×</v>
      </c>
      <c r="J14513" s="4"/>
      <c r="K14513" s="4"/>
      <c r="L14513" s="4"/>
      <c r="M14513" s="7" t="s">
        <v>6871</v>
      </c>
    </row>
    <row r="14514" customFormat="false" ht="15.75" hidden="false" customHeight="false" outlineLevel="0" collapsed="false">
      <c r="A14514" s="6" t="n">
        <f aca="false">DATE(2026,8,9)</f>
        <v>46243</v>
      </c>
      <c r="B14514" s="4" t="s">
        <v>179</v>
      </c>
      <c r="C14514" s="4" t="n">
        <v>4</v>
      </c>
      <c r="D14514" s="4" t="n">
        <v>4</v>
      </c>
      <c r="E14514" s="4"/>
      <c r="F14514" s="4" t="n">
        <v>75</v>
      </c>
      <c r="G14514" s="4" t="n">
        <v>1</v>
      </c>
      <c r="H14514" s="4" t="n">
        <v>4</v>
      </c>
      <c r="I14514" s="4" t="str">
        <v>×</v>
      </c>
      <c r="J14514" s="4"/>
      <c r="K14514" s="4"/>
      <c r="L14514" s="4"/>
      <c r="M14514" s="7" t="s">
        <v>6871</v>
      </c>
    </row>
    <row r="14515" customFormat="false" ht="15.75" hidden="false" customHeight="false" outlineLevel="0" collapsed="false">
      <c r="A14515" s="6" t="n">
        <f aca="false">DATE(2026,8,9)</f>
        <v>46243</v>
      </c>
      <c r="B14515" s="4" t="s">
        <v>179</v>
      </c>
      <c r="C14515" s="4" t="n">
        <v>4</v>
      </c>
      <c r="D14515" s="4" t="n">
        <v>13</v>
      </c>
      <c r="E14515" s="4" t="s">
        <v>6911</v>
      </c>
      <c r="F14515" s="4" t="n">
        <v>66</v>
      </c>
      <c r="G14515" s="4" t="n">
        <v>2</v>
      </c>
      <c r="H14515" s="4" t="n">
        <v>1</v>
      </c>
      <c r="I14515" s="4" t="str">
        <v>○</v>
      </c>
      <c r="J14515" s="4" t="n">
        <v>120</v>
      </c>
      <c r="K14515" s="4"/>
      <c r="L14515" s="4"/>
      <c r="M14515" s="7" t="s">
        <v>6871</v>
      </c>
    </row>
    <row r="14516" customFormat="false" ht="15.75" hidden="false" customHeight="false" outlineLevel="0" collapsed="false">
      <c r="A14516" s="6" t="n">
        <f aca="false">DATE(2026,8,9)</f>
        <v>46243</v>
      </c>
      <c r="B14516" s="4" t="s">
        <v>179</v>
      </c>
      <c r="C14516" s="4" t="n">
        <v>4</v>
      </c>
      <c r="D14516" s="4" t="n">
        <v>6</v>
      </c>
      <c r="E14516" s="4" t="s">
        <v>1610</v>
      </c>
      <c r="F14516" s="4" t="n">
        <v>71</v>
      </c>
      <c r="G14516" s="4" t="n">
        <v>3</v>
      </c>
      <c r="H14516" s="4" t="n">
        <v>2</v>
      </c>
      <c r="I14516" s="4" t="str">
        <v>○</v>
      </c>
      <c r="J14516" s="4" t="n">
        <v>160</v>
      </c>
      <c r="K14516" s="4"/>
      <c r="L14516" s="4"/>
      <c r="M14516" s="7" t="s">
        <v>6871</v>
      </c>
    </row>
    <row r="14517" customFormat="false" ht="15.75" hidden="false" customHeight="false" outlineLevel="0" collapsed="false">
      <c r="A14517" s="6" t="n">
        <f aca="false">DATE(2026,8,9)</f>
        <v>46243</v>
      </c>
      <c r="B14517" s="4" t="s">
        <v>179</v>
      </c>
      <c r="C14517" s="4" t="n">
        <v>4</v>
      </c>
      <c r="D14517" s="4" t="n">
        <v>3</v>
      </c>
      <c r="E14517" s="4"/>
      <c r="F14517" s="4" t="n">
        <v>23</v>
      </c>
      <c r="G14517" s="4" t="n">
        <v>4</v>
      </c>
      <c r="H14517" s="4" t="n">
        <v>4</v>
      </c>
      <c r="I14517" s="4" t="str">
        <v>×</v>
      </c>
      <c r="J14517" s="4"/>
      <c r="K14517" s="4"/>
      <c r="L14517" s="4"/>
      <c r="M14517" s="7" t="s">
        <v>6871</v>
      </c>
    </row>
    <row r="14518" customFormat="false" ht="15.75" hidden="false" customHeight="false" outlineLevel="0" collapsed="false">
      <c r="A14518" s="6" t="n">
        <f aca="false">DATE(2026,8,9)</f>
        <v>46243</v>
      </c>
      <c r="B14518" s="4" t="s">
        <v>179</v>
      </c>
      <c r="C14518" s="4" t="n">
        <v>4</v>
      </c>
      <c r="D14518" s="4" t="n">
        <v>12</v>
      </c>
      <c r="E14518" s="4"/>
      <c r="F14518" s="4" t="n">
        <v>17</v>
      </c>
      <c r="G14518" s="4" t="n">
        <v>5</v>
      </c>
      <c r="H14518" s="4" t="n">
        <v>4</v>
      </c>
      <c r="I14518" s="4" t="str">
        <v>×</v>
      </c>
      <c r="J14518" s="4"/>
      <c r="K14518" s="4"/>
      <c r="L14518" s="4"/>
      <c r="M14518" s="7" t="s">
        <v>6871</v>
      </c>
    </row>
    <row r="14519" customFormat="false" ht="15.75" hidden="false" customHeight="false" outlineLevel="0" collapsed="false">
      <c r="A14519" s="6" t="n">
        <f aca="false">DATE(2026,8,9)</f>
        <v>46243</v>
      </c>
      <c r="B14519" s="4" t="s">
        <v>179</v>
      </c>
      <c r="C14519" s="4" t="n">
        <v>4</v>
      </c>
      <c r="D14519" s="4" t="n">
        <v>1</v>
      </c>
      <c r="E14519" s="4" t="s">
        <v>1632</v>
      </c>
      <c r="F14519" s="4" t="n">
        <v>15</v>
      </c>
      <c r="G14519" s="4" t="n">
        <v>6</v>
      </c>
      <c r="H14519" s="4" t="n">
        <v>3</v>
      </c>
      <c r="I14519" s="4" t="str">
        <v>○</v>
      </c>
      <c r="J14519" s="4" t="n">
        <v>360</v>
      </c>
      <c r="K14519" s="4"/>
      <c r="L14519" s="4"/>
      <c r="M14519" s="7" t="s">
        <v>6871</v>
      </c>
    </row>
    <row r="14520" customFormat="false" ht="15.75" hidden="false" customHeight="false" outlineLevel="0" collapsed="false">
      <c r="A14520" s="6" t="n">
        <f aca="false">DATE(2026,8,9)</f>
        <v>46243</v>
      </c>
      <c r="B14520" s="4" t="s">
        <v>179</v>
      </c>
      <c r="C14520" s="4" t="n">
        <v>4</v>
      </c>
      <c r="D14520" s="4" t="n">
        <v>11</v>
      </c>
      <c r="E14520" s="4"/>
      <c r="F14520" s="4" t="n">
        <v>15</v>
      </c>
      <c r="G14520" s="4" t="n">
        <v>7</v>
      </c>
      <c r="H14520" s="4" t="n">
        <v>4</v>
      </c>
      <c r="I14520" s="4" t="str">
        <v>×</v>
      </c>
      <c r="J14520" s="4"/>
      <c r="K14520" s="4"/>
      <c r="L14520" s="4"/>
      <c r="M14520" s="7" t="s">
        <v>6871</v>
      </c>
    </row>
    <row r="14521" customFormat="false" ht="15.75" hidden="false" customHeight="false" outlineLevel="0" collapsed="false">
      <c r="A14521" s="6" t="n">
        <f aca="false">DATE(2026,8,9)</f>
        <v>46243</v>
      </c>
      <c r="B14521" s="4" t="s">
        <v>179</v>
      </c>
      <c r="C14521" s="4" t="n">
        <v>4</v>
      </c>
      <c r="D14521" s="4" t="n">
        <v>7</v>
      </c>
      <c r="E14521" s="4"/>
      <c r="F14521" s="4" t="n">
        <v>10</v>
      </c>
      <c r="G14521" s="4" t="n">
        <v>8</v>
      </c>
      <c r="H14521" s="4" t="n">
        <v>4</v>
      </c>
      <c r="I14521" s="4" t="str">
        <v>×</v>
      </c>
      <c r="J14521" s="4"/>
      <c r="K14521" s="4"/>
      <c r="L14521" s="4"/>
      <c r="M14521" s="7" t="s">
        <v>6871</v>
      </c>
    </row>
    <row r="14522" customFormat="false" ht="15.75" hidden="false" customHeight="false" outlineLevel="0" collapsed="false">
      <c r="A14522" s="6" t="n">
        <f aca="false">DATE(2026,8,9)</f>
        <v>46243</v>
      </c>
      <c r="B14522" s="4" t="s">
        <v>179</v>
      </c>
      <c r="C14522" s="4" t="n">
        <v>4</v>
      </c>
      <c r="D14522" s="4" t="n">
        <v>8</v>
      </c>
      <c r="E14522" s="4"/>
      <c r="F14522" s="4" t="n">
        <v>10</v>
      </c>
      <c r="G14522" s="4" t="n">
        <v>9</v>
      </c>
      <c r="H14522" s="4" t="n">
        <v>4</v>
      </c>
      <c r="I14522" s="4" t="str">
        <v>×</v>
      </c>
      <c r="J14522" s="4"/>
      <c r="K14522" s="4"/>
      <c r="L14522" s="4"/>
      <c r="M14522" s="7" t="s">
        <v>6871</v>
      </c>
    </row>
    <row r="14523" customFormat="false" ht="15.75" hidden="false" customHeight="false" outlineLevel="0" collapsed="false">
      <c r="A14523" s="6" t="n">
        <f aca="false">DATE(2026,8,9)</f>
        <v>46243</v>
      </c>
      <c r="B14523" s="4" t="s">
        <v>179</v>
      </c>
      <c r="C14523" s="4" t="n">
        <v>4</v>
      </c>
      <c r="D14523" s="4" t="n">
        <v>10</v>
      </c>
      <c r="E14523" s="4"/>
      <c r="F14523" s="4" t="n">
        <v>10</v>
      </c>
      <c r="G14523" s="4" t="n">
        <v>10</v>
      </c>
      <c r="H14523" s="4" t="n">
        <v>4</v>
      </c>
      <c r="I14523" s="4" t="str">
        <v>×</v>
      </c>
      <c r="J14523" s="4"/>
      <c r="K14523" s="4"/>
      <c r="L14523" s="4"/>
      <c r="M14523" s="7" t="s">
        <v>6871</v>
      </c>
    </row>
    <row r="14524" customFormat="false" ht="15.75" hidden="false" customHeight="false" outlineLevel="0" collapsed="false">
      <c r="A14524" s="6" t="n">
        <f aca="false">DATE(2026,8,9)</f>
        <v>46243</v>
      </c>
      <c r="B14524" s="4" t="s">
        <v>179</v>
      </c>
      <c r="C14524" s="4" t="n">
        <v>4</v>
      </c>
      <c r="D14524" s="4" t="n">
        <v>2</v>
      </c>
      <c r="E14524" s="4"/>
      <c r="F14524" s="4" t="n">
        <v>6</v>
      </c>
      <c r="G14524" s="4" t="n">
        <v>11</v>
      </c>
      <c r="H14524" s="4" t="n">
        <v>4</v>
      </c>
      <c r="I14524" s="4" t="str">
        <v>×</v>
      </c>
      <c r="J14524" s="4"/>
      <c r="K14524" s="4"/>
      <c r="L14524" s="4"/>
      <c r="M14524" s="7" t="s">
        <v>6871</v>
      </c>
    </row>
    <row r="14525" customFormat="false" ht="15.75" hidden="false" customHeight="false" outlineLevel="0" collapsed="false">
      <c r="A14525" s="6" t="n">
        <f aca="false">DATE(2026,8,9)</f>
        <v>46243</v>
      </c>
      <c r="B14525" s="4" t="s">
        <v>179</v>
      </c>
      <c r="C14525" s="4" t="n">
        <v>4</v>
      </c>
      <c r="D14525" s="4" t="n">
        <v>9</v>
      </c>
      <c r="E14525" s="4"/>
      <c r="F14525" s="4" t="n">
        <v>4</v>
      </c>
      <c r="G14525" s="4" t="n">
        <v>12</v>
      </c>
      <c r="H14525" s="4" t="n">
        <v>4</v>
      </c>
      <c r="I14525" s="4" t="str">
        <v>×</v>
      </c>
      <c r="J14525" s="4"/>
      <c r="K14525" s="4"/>
      <c r="L14525" s="4"/>
      <c r="M14525" s="7" t="s">
        <v>6871</v>
      </c>
    </row>
    <row r="14526" customFormat="false" ht="15.75" hidden="false" customHeight="false" outlineLevel="0" collapsed="false">
      <c r="A14526" s="6" t="n">
        <f aca="false">DATE(2026,8,9)</f>
        <v>46243</v>
      </c>
      <c r="B14526" s="4" t="s">
        <v>179</v>
      </c>
      <c r="C14526" s="4" t="n">
        <v>4</v>
      </c>
      <c r="D14526" s="4" t="n">
        <v>14</v>
      </c>
      <c r="E14526" s="4"/>
      <c r="F14526" s="4" t="n">
        <v>4</v>
      </c>
      <c r="G14526" s="4" t="n">
        <v>13</v>
      </c>
      <c r="H14526" s="4" t="n">
        <v>4</v>
      </c>
      <c r="I14526" s="4" t="str">
        <v>×</v>
      </c>
      <c r="J14526" s="4"/>
      <c r="K14526" s="4"/>
      <c r="L14526" s="4"/>
      <c r="M14526" s="7" t="s">
        <v>6871</v>
      </c>
    </row>
    <row r="14527" customFormat="false" ht="15.75" hidden="false" customHeight="false" outlineLevel="0" collapsed="false">
      <c r="A14527" s="6" t="n">
        <f aca="false">DATE(2026,8,9)</f>
        <v>46243</v>
      </c>
      <c r="B14527" s="4" t="s">
        <v>179</v>
      </c>
      <c r="C14527" s="4" t="n">
        <v>4</v>
      </c>
      <c r="D14527" s="4" t="n">
        <v>15</v>
      </c>
      <c r="E14527" s="4"/>
      <c r="F14527" s="4" t="n">
        <v>4</v>
      </c>
      <c r="G14527" s="4" t="n">
        <v>14</v>
      </c>
      <c r="H14527" s="4" t="n">
        <v>4</v>
      </c>
      <c r="I14527" s="4" t="str">
        <v>×</v>
      </c>
      <c r="J14527" s="4"/>
      <c r="K14527" s="4"/>
      <c r="L14527" s="4"/>
      <c r="M14527" s="7" t="s">
        <v>6871</v>
      </c>
    </row>
    <row r="14528" customFormat="false" ht="15.75" hidden="false" customHeight="false" outlineLevel="0" collapsed="false">
      <c r="A14528" s="6" t="n">
        <f aca="false">DATE(2026,8,9)</f>
        <v>46243</v>
      </c>
      <c r="B14528" s="4" t="s">
        <v>179</v>
      </c>
      <c r="C14528" s="4" t="n">
        <v>4</v>
      </c>
      <c r="D14528" s="4" t="n">
        <v>5</v>
      </c>
      <c r="E14528" s="4"/>
      <c r="F14528" s="4" t="n">
        <v>3</v>
      </c>
      <c r="G14528" s="4" t="n">
        <v>15</v>
      </c>
      <c r="H14528" s="4" t="n">
        <v>4</v>
      </c>
      <c r="I14528" s="4" t="str">
        <v>×</v>
      </c>
      <c r="J14528" s="4"/>
      <c r="K14528" s="4"/>
      <c r="L14528" s="4"/>
      <c r="M14528" s="7" t="s">
        <v>6871</v>
      </c>
    </row>
    <row r="14529" customFormat="false" ht="15.75" hidden="false" customHeight="false" outlineLevel="0" collapsed="false">
      <c r="A14529" s="6" t="n">
        <f aca="false">DATE(2026,8,9)</f>
        <v>46243</v>
      </c>
      <c r="B14529" s="4" t="s">
        <v>179</v>
      </c>
      <c r="C14529" s="4" t="n">
        <v>4</v>
      </c>
      <c r="D14529" s="4" t="n">
        <v>16</v>
      </c>
      <c r="E14529" s="4"/>
      <c r="F14529" s="4" t="n">
        <v>2</v>
      </c>
      <c r="G14529" s="4" t="n">
        <v>16</v>
      </c>
      <c r="H14529" s="4" t="n">
        <v>4</v>
      </c>
      <c r="I14529" s="4" t="str">
        <v>×</v>
      </c>
      <c r="J14529" s="4"/>
      <c r="K14529" s="4"/>
      <c r="L14529" s="4"/>
      <c r="M14529" s="7" t="s">
        <v>6871</v>
      </c>
    </row>
    <row r="14530" customFormat="false" ht="15.75" hidden="false" customHeight="false" outlineLevel="0" collapsed="false">
      <c r="A14530" s="6" t="n">
        <f aca="false">DATE(2026,8,9)</f>
        <v>46243</v>
      </c>
      <c r="B14530" s="4" t="s">
        <v>179</v>
      </c>
      <c r="C14530" s="4" t="n">
        <v>5</v>
      </c>
      <c r="D14530" s="4" t="n">
        <v>12</v>
      </c>
      <c r="E14530" s="4"/>
      <c r="F14530" s="4" t="n">
        <v>62</v>
      </c>
      <c r="G14530" s="4" t="n">
        <v>1</v>
      </c>
      <c r="H14530" s="4" t="n">
        <v>4</v>
      </c>
      <c r="I14530" s="4" t="str">
        <v>×</v>
      </c>
      <c r="J14530" s="4"/>
      <c r="K14530" s="4"/>
      <c r="L14530" s="4"/>
      <c r="M14530" s="7" t="s">
        <v>6871</v>
      </c>
    </row>
    <row r="14531" customFormat="false" ht="15.75" hidden="false" customHeight="false" outlineLevel="0" collapsed="false">
      <c r="A14531" s="6" t="n">
        <f aca="false">DATE(2026,8,9)</f>
        <v>46243</v>
      </c>
      <c r="B14531" s="4" t="s">
        <v>179</v>
      </c>
      <c r="C14531" s="4" t="n">
        <v>5</v>
      </c>
      <c r="D14531" s="4" t="n">
        <v>4</v>
      </c>
      <c r="E14531" s="4"/>
      <c r="F14531" s="4" t="n">
        <v>41</v>
      </c>
      <c r="G14531" s="4" t="n">
        <v>2</v>
      </c>
      <c r="H14531" s="4" t="n">
        <v>4</v>
      </c>
      <c r="I14531" s="4" t="str">
        <v>×</v>
      </c>
      <c r="J14531" s="4"/>
      <c r="K14531" s="4"/>
      <c r="L14531" s="4"/>
      <c r="M14531" s="7" t="s">
        <v>6871</v>
      </c>
    </row>
    <row r="14532" customFormat="false" ht="15.75" hidden="false" customHeight="false" outlineLevel="0" collapsed="false">
      <c r="A14532" s="6" t="n">
        <f aca="false">DATE(2026,8,9)</f>
        <v>46243</v>
      </c>
      <c r="B14532" s="4" t="s">
        <v>179</v>
      </c>
      <c r="C14532" s="4" t="n">
        <v>5</v>
      </c>
      <c r="D14532" s="4" t="n">
        <v>14</v>
      </c>
      <c r="E14532" s="4" t="s">
        <v>677</v>
      </c>
      <c r="F14532" s="4" t="n">
        <v>56</v>
      </c>
      <c r="G14532" s="4" t="n">
        <v>3</v>
      </c>
      <c r="H14532" s="4" t="n">
        <v>3</v>
      </c>
      <c r="I14532" s="4" t="str">
        <v>○</v>
      </c>
      <c r="J14532" s="4" t="n">
        <v>130</v>
      </c>
      <c r="K14532" s="4"/>
      <c r="L14532" s="4"/>
      <c r="M14532" s="7" t="s">
        <v>6871</v>
      </c>
    </row>
    <row r="14533" customFormat="false" ht="15.75" hidden="false" customHeight="false" outlineLevel="0" collapsed="false">
      <c r="A14533" s="6" t="n">
        <f aca="false">DATE(2026,8,9)</f>
        <v>46243</v>
      </c>
      <c r="B14533" s="4" t="s">
        <v>179</v>
      </c>
      <c r="C14533" s="4" t="n">
        <v>5</v>
      </c>
      <c r="D14533" s="4" t="n">
        <v>8</v>
      </c>
      <c r="E14533" s="4" t="s">
        <v>6201</v>
      </c>
      <c r="F14533" s="4" t="n">
        <v>20</v>
      </c>
      <c r="G14533" s="4" t="n">
        <v>4</v>
      </c>
      <c r="H14533" s="4" t="n">
        <v>2</v>
      </c>
      <c r="I14533" s="4" t="str">
        <v>○</v>
      </c>
      <c r="J14533" s="4" t="n">
        <v>330</v>
      </c>
      <c r="K14533" s="4"/>
      <c r="L14533" s="4"/>
      <c r="M14533" s="7" t="s">
        <v>6871</v>
      </c>
    </row>
    <row r="14534" customFormat="false" ht="15.75" hidden="false" customHeight="false" outlineLevel="0" collapsed="false">
      <c r="A14534" s="6" t="n">
        <f aca="false">DATE(2026,8,9)</f>
        <v>46243</v>
      </c>
      <c r="B14534" s="4" t="s">
        <v>179</v>
      </c>
      <c r="C14534" s="4" t="n">
        <v>5</v>
      </c>
      <c r="D14534" s="4" t="n">
        <v>16</v>
      </c>
      <c r="E14534" s="4"/>
      <c r="F14534" s="4" t="n">
        <v>17</v>
      </c>
      <c r="G14534" s="4" t="n">
        <v>5</v>
      </c>
      <c r="H14534" s="4" t="n">
        <v>4</v>
      </c>
      <c r="I14534" s="4" t="str">
        <v>×</v>
      </c>
      <c r="J14534" s="4"/>
      <c r="K14534" s="4"/>
      <c r="L14534" s="4"/>
      <c r="M14534" s="7" t="s">
        <v>6871</v>
      </c>
    </row>
    <row r="14535" customFormat="false" ht="15.75" hidden="false" customHeight="false" outlineLevel="0" collapsed="false">
      <c r="A14535" s="6" t="n">
        <f aca="false">DATE(2026,8,9)</f>
        <v>46243</v>
      </c>
      <c r="B14535" s="4" t="s">
        <v>179</v>
      </c>
      <c r="C14535" s="4" t="n">
        <v>5</v>
      </c>
      <c r="D14535" s="4" t="n">
        <v>1</v>
      </c>
      <c r="E14535" s="4"/>
      <c r="F14535" s="4" t="n">
        <v>13</v>
      </c>
      <c r="G14535" s="4" t="n">
        <v>6</v>
      </c>
      <c r="H14535" s="4" t="n">
        <v>4</v>
      </c>
      <c r="I14535" s="4" t="str">
        <v>×</v>
      </c>
      <c r="J14535" s="4"/>
      <c r="K14535" s="4"/>
      <c r="L14535" s="4"/>
      <c r="M14535" s="7" t="s">
        <v>6871</v>
      </c>
    </row>
    <row r="14536" customFormat="false" ht="15.75" hidden="false" customHeight="false" outlineLevel="0" collapsed="false">
      <c r="A14536" s="6" t="n">
        <f aca="false">DATE(2026,8,9)</f>
        <v>46243</v>
      </c>
      <c r="B14536" s="4" t="s">
        <v>179</v>
      </c>
      <c r="C14536" s="4" t="n">
        <v>5</v>
      </c>
      <c r="D14536" s="4" t="n">
        <v>9</v>
      </c>
      <c r="E14536" s="4"/>
      <c r="F14536" s="4" t="n">
        <v>13</v>
      </c>
      <c r="G14536" s="4" t="n">
        <v>7</v>
      </c>
      <c r="H14536" s="4" t="n">
        <v>4</v>
      </c>
      <c r="I14536" s="4" t="str">
        <v>×</v>
      </c>
      <c r="J14536" s="4"/>
      <c r="K14536" s="4"/>
      <c r="L14536" s="4"/>
      <c r="M14536" s="7" t="s">
        <v>6871</v>
      </c>
    </row>
    <row r="14537" customFormat="false" ht="15.75" hidden="false" customHeight="false" outlineLevel="0" collapsed="false">
      <c r="A14537" s="6" t="n">
        <f aca="false">DATE(2026,8,9)</f>
        <v>46243</v>
      </c>
      <c r="B14537" s="4" t="s">
        <v>179</v>
      </c>
      <c r="C14537" s="4" t="n">
        <v>5</v>
      </c>
      <c r="D14537" s="4" t="n">
        <v>10</v>
      </c>
      <c r="E14537" s="4"/>
      <c r="F14537" s="4" t="n">
        <v>13</v>
      </c>
      <c r="G14537" s="4" t="n">
        <v>8</v>
      </c>
      <c r="H14537" s="4" t="n">
        <v>4</v>
      </c>
      <c r="I14537" s="4" t="str">
        <v>×</v>
      </c>
      <c r="J14537" s="4"/>
      <c r="K14537" s="4"/>
      <c r="L14537" s="4"/>
      <c r="M14537" s="7" t="s">
        <v>6871</v>
      </c>
    </row>
    <row r="14538" customFormat="false" ht="15.75" hidden="false" customHeight="false" outlineLevel="0" collapsed="false">
      <c r="A14538" s="6" t="n">
        <f aca="false">DATE(2026,8,9)</f>
        <v>46243</v>
      </c>
      <c r="B14538" s="4" t="s">
        <v>179</v>
      </c>
      <c r="C14538" s="4" t="n">
        <v>5</v>
      </c>
      <c r="D14538" s="4" t="n">
        <v>11</v>
      </c>
      <c r="E14538" s="4"/>
      <c r="F14538" s="4" t="n">
        <v>13</v>
      </c>
      <c r="G14538" s="4" t="n">
        <v>9</v>
      </c>
      <c r="H14538" s="4" t="n">
        <v>4</v>
      </c>
      <c r="I14538" s="4" t="str">
        <v>×</v>
      </c>
      <c r="J14538" s="4"/>
      <c r="K14538" s="4"/>
      <c r="L14538" s="4"/>
      <c r="M14538" s="7" t="s">
        <v>6871</v>
      </c>
    </row>
    <row r="14539" customFormat="false" ht="15.75" hidden="false" customHeight="false" outlineLevel="0" collapsed="false">
      <c r="A14539" s="6" t="n">
        <f aca="false">DATE(2026,8,9)</f>
        <v>46243</v>
      </c>
      <c r="B14539" s="4" t="s">
        <v>179</v>
      </c>
      <c r="C14539" s="4" t="n">
        <v>5</v>
      </c>
      <c r="D14539" s="4" t="n">
        <v>3</v>
      </c>
      <c r="E14539" s="4"/>
      <c r="F14539" s="4" t="n">
        <v>10</v>
      </c>
      <c r="G14539" s="4" t="n">
        <v>10</v>
      </c>
      <c r="H14539" s="4" t="n">
        <v>4</v>
      </c>
      <c r="I14539" s="4" t="str">
        <v>×</v>
      </c>
      <c r="J14539" s="4"/>
      <c r="K14539" s="4"/>
      <c r="L14539" s="4"/>
      <c r="M14539" s="7" t="s">
        <v>6871</v>
      </c>
    </row>
    <row r="14540" customFormat="false" ht="15.75" hidden="false" customHeight="false" outlineLevel="0" collapsed="false">
      <c r="A14540" s="6" t="n">
        <f aca="false">DATE(2026,8,9)</f>
        <v>46243</v>
      </c>
      <c r="B14540" s="4" t="s">
        <v>179</v>
      </c>
      <c r="C14540" s="4" t="n">
        <v>5</v>
      </c>
      <c r="D14540" s="4" t="n">
        <v>5</v>
      </c>
      <c r="E14540" s="4"/>
      <c r="F14540" s="4" t="n">
        <v>10</v>
      </c>
      <c r="G14540" s="4" t="n">
        <v>11</v>
      </c>
      <c r="H14540" s="4" t="n">
        <v>4</v>
      </c>
      <c r="I14540" s="4" t="str">
        <v>×</v>
      </c>
      <c r="J14540" s="4"/>
      <c r="K14540" s="4"/>
      <c r="L14540" s="4"/>
      <c r="M14540" s="7" t="s">
        <v>6871</v>
      </c>
    </row>
    <row r="14541" customFormat="false" ht="15.75" hidden="false" customHeight="false" outlineLevel="0" collapsed="false">
      <c r="A14541" s="6" t="n">
        <f aca="false">DATE(2026,8,9)</f>
        <v>46243</v>
      </c>
      <c r="B14541" s="4" t="s">
        <v>179</v>
      </c>
      <c r="C14541" s="4" t="n">
        <v>5</v>
      </c>
      <c r="D14541" s="4" t="n">
        <v>6</v>
      </c>
      <c r="E14541" s="4"/>
      <c r="F14541" s="4" t="n">
        <v>10</v>
      </c>
      <c r="G14541" s="4" t="n">
        <v>12</v>
      </c>
      <c r="H14541" s="4" t="n">
        <v>4</v>
      </c>
      <c r="I14541" s="4" t="str">
        <v>×</v>
      </c>
      <c r="J14541" s="4"/>
      <c r="K14541" s="4"/>
      <c r="L14541" s="4"/>
      <c r="M14541" s="7" t="s">
        <v>6871</v>
      </c>
    </row>
    <row r="14542" customFormat="false" ht="15.75" hidden="false" customHeight="false" outlineLevel="0" collapsed="false">
      <c r="A14542" s="6" t="n">
        <f aca="false">DATE(2026,8,9)</f>
        <v>46243</v>
      </c>
      <c r="B14542" s="4" t="s">
        <v>179</v>
      </c>
      <c r="C14542" s="4" t="n">
        <v>5</v>
      </c>
      <c r="D14542" s="4" t="n">
        <v>13</v>
      </c>
      <c r="E14542" s="4"/>
      <c r="F14542" s="4" t="n">
        <v>10</v>
      </c>
      <c r="G14542" s="4" t="n">
        <v>13</v>
      </c>
      <c r="H14542" s="4" t="n">
        <v>4</v>
      </c>
      <c r="I14542" s="4" t="str">
        <v>×</v>
      </c>
      <c r="J14542" s="4"/>
      <c r="K14542" s="4"/>
      <c r="L14542" s="4"/>
      <c r="M14542" s="7" t="s">
        <v>6871</v>
      </c>
    </row>
    <row r="14543" customFormat="false" ht="15.75" hidden="false" customHeight="false" outlineLevel="0" collapsed="false">
      <c r="A14543" s="6" t="n">
        <f aca="false">DATE(2026,8,9)</f>
        <v>46243</v>
      </c>
      <c r="B14543" s="4" t="s">
        <v>179</v>
      </c>
      <c r="C14543" s="4" t="n">
        <v>5</v>
      </c>
      <c r="D14543" s="4" t="n">
        <v>2</v>
      </c>
      <c r="E14543" s="4"/>
      <c r="F14543" s="4" t="n">
        <v>8</v>
      </c>
      <c r="G14543" s="4" t="n">
        <v>14</v>
      </c>
      <c r="H14543" s="4" t="n">
        <v>4</v>
      </c>
      <c r="I14543" s="4" t="str">
        <v>×</v>
      </c>
      <c r="J14543" s="4"/>
      <c r="K14543" s="4"/>
      <c r="L14543" s="4"/>
      <c r="M14543" s="7" t="s">
        <v>6871</v>
      </c>
    </row>
    <row r="14544" customFormat="false" ht="15.75" hidden="false" customHeight="false" outlineLevel="0" collapsed="false">
      <c r="A14544" s="6" t="n">
        <f aca="false">DATE(2026,8,9)</f>
        <v>46243</v>
      </c>
      <c r="B14544" s="4" t="s">
        <v>179</v>
      </c>
      <c r="C14544" s="4" t="n">
        <v>5</v>
      </c>
      <c r="D14544" s="4" t="n">
        <v>7</v>
      </c>
      <c r="E14544" s="4" t="s">
        <v>5479</v>
      </c>
      <c r="F14544" s="4" t="n">
        <v>8</v>
      </c>
      <c r="G14544" s="4" t="n">
        <v>15</v>
      </c>
      <c r="H14544" s="4" t="n">
        <v>1</v>
      </c>
      <c r="I14544" s="4" t="str">
        <v>○</v>
      </c>
      <c r="J14544" s="4" t="n">
        <v>700</v>
      </c>
      <c r="K14544" s="4"/>
      <c r="L14544" s="4"/>
      <c r="M14544" s="7" t="s">
        <v>6871</v>
      </c>
    </row>
    <row r="14545" customFormat="false" ht="15.75" hidden="false" customHeight="false" outlineLevel="0" collapsed="false">
      <c r="A14545" s="6" t="n">
        <f aca="false">DATE(2026,8,9)</f>
        <v>46243</v>
      </c>
      <c r="B14545" s="4" t="s">
        <v>179</v>
      </c>
      <c r="C14545" s="4" t="n">
        <v>5</v>
      </c>
      <c r="D14545" s="4" t="n">
        <v>15</v>
      </c>
      <c r="E14545" s="4"/>
      <c r="F14545" s="4" t="n">
        <v>1</v>
      </c>
      <c r="G14545" s="4" t="n">
        <v>16</v>
      </c>
      <c r="H14545" s="4" t="n">
        <v>4</v>
      </c>
      <c r="I14545" s="4" t="str">
        <v>×</v>
      </c>
      <c r="J14545" s="4"/>
      <c r="K14545" s="4"/>
      <c r="L14545" s="4"/>
      <c r="M14545" s="7" t="s">
        <v>6871</v>
      </c>
    </row>
    <row r="14546" customFormat="false" ht="15.75" hidden="false" customHeight="false" outlineLevel="0" collapsed="false">
      <c r="A14546" s="6" t="n">
        <f aca="false">DATE(2026,8,9)</f>
        <v>46243</v>
      </c>
      <c r="B14546" s="4" t="s">
        <v>179</v>
      </c>
      <c r="C14546" s="4" t="n">
        <v>6</v>
      </c>
      <c r="D14546" s="4" t="n">
        <v>3</v>
      </c>
      <c r="E14546" s="4"/>
      <c r="F14546" s="4" t="n">
        <v>74</v>
      </c>
      <c r="G14546" s="4" t="n">
        <v>1</v>
      </c>
      <c r="H14546" s="4" t="n">
        <v>4</v>
      </c>
      <c r="I14546" s="4" t="str">
        <v>×</v>
      </c>
      <c r="J14546" s="4"/>
      <c r="K14546" s="4"/>
      <c r="L14546" s="4"/>
      <c r="M14546" s="7" t="s">
        <v>6871</v>
      </c>
    </row>
    <row r="14547" customFormat="false" ht="15.75" hidden="false" customHeight="false" outlineLevel="0" collapsed="false">
      <c r="A14547" s="6" t="n">
        <f aca="false">DATE(2026,8,9)</f>
        <v>46243</v>
      </c>
      <c r="B14547" s="4" t="s">
        <v>179</v>
      </c>
      <c r="C14547" s="4" t="n">
        <v>6</v>
      </c>
      <c r="D14547" s="4" t="n">
        <v>2</v>
      </c>
      <c r="E14547" s="4" t="s">
        <v>3196</v>
      </c>
      <c r="F14547" s="4" t="n">
        <v>56</v>
      </c>
      <c r="G14547" s="4" t="n">
        <v>2</v>
      </c>
      <c r="H14547" s="4" t="n">
        <v>2</v>
      </c>
      <c r="I14547" s="4" t="str">
        <v>○</v>
      </c>
      <c r="J14547" s="4" t="n">
        <v>230</v>
      </c>
      <c r="K14547" s="4"/>
      <c r="L14547" s="4"/>
      <c r="M14547" s="7" t="s">
        <v>6871</v>
      </c>
    </row>
    <row r="14548" customFormat="false" ht="15.75" hidden="false" customHeight="false" outlineLevel="0" collapsed="false">
      <c r="A14548" s="6" t="n">
        <f aca="false">DATE(2026,8,9)</f>
        <v>46243</v>
      </c>
      <c r="B14548" s="4" t="s">
        <v>179</v>
      </c>
      <c r="C14548" s="4" t="n">
        <v>6</v>
      </c>
      <c r="D14548" s="4" t="n">
        <v>5</v>
      </c>
      <c r="E14548" s="4" t="s">
        <v>4191</v>
      </c>
      <c r="F14548" s="4" t="n">
        <v>58</v>
      </c>
      <c r="G14548" s="4" t="n">
        <v>3</v>
      </c>
      <c r="H14548" s="4" t="n">
        <v>1</v>
      </c>
      <c r="I14548" s="4" t="str">
        <v>○</v>
      </c>
      <c r="J14548" s="4" t="n">
        <v>180</v>
      </c>
      <c r="K14548" s="4"/>
      <c r="L14548" s="4"/>
      <c r="M14548" s="7" t="s">
        <v>6871</v>
      </c>
    </row>
    <row r="14549" customFormat="false" ht="15.75" hidden="false" customHeight="false" outlineLevel="0" collapsed="false">
      <c r="A14549" s="6" t="n">
        <f aca="false">DATE(2026,8,9)</f>
        <v>46243</v>
      </c>
      <c r="B14549" s="4" t="s">
        <v>179</v>
      </c>
      <c r="C14549" s="4" t="n">
        <v>6</v>
      </c>
      <c r="D14549" s="4" t="n">
        <v>1</v>
      </c>
      <c r="E14549" s="4" t="s">
        <v>4636</v>
      </c>
      <c r="F14549" s="4" t="n">
        <v>37</v>
      </c>
      <c r="G14549" s="4" t="n">
        <v>4</v>
      </c>
      <c r="H14549" s="4" t="n">
        <v>3</v>
      </c>
      <c r="I14549" s="4" t="str">
        <v>○</v>
      </c>
      <c r="J14549" s="4"/>
      <c r="K14549" s="4"/>
      <c r="L14549" s="4"/>
      <c r="M14549" s="7" t="s">
        <v>6871</v>
      </c>
    </row>
    <row r="14550" customFormat="false" ht="15.75" hidden="false" customHeight="false" outlineLevel="0" collapsed="false">
      <c r="A14550" s="6" t="n">
        <f aca="false">DATE(2026,8,9)</f>
        <v>46243</v>
      </c>
      <c r="B14550" s="4" t="s">
        <v>179</v>
      </c>
      <c r="C14550" s="4" t="n">
        <v>6</v>
      </c>
      <c r="D14550" s="4" t="n">
        <v>4</v>
      </c>
      <c r="E14550" s="4"/>
      <c r="F14550" s="4" t="n">
        <v>23</v>
      </c>
      <c r="G14550" s="4" t="n">
        <v>5</v>
      </c>
      <c r="H14550" s="4" t="n">
        <v>4</v>
      </c>
      <c r="I14550" s="4" t="str">
        <v>×</v>
      </c>
      <c r="J14550" s="4"/>
      <c r="K14550" s="4"/>
      <c r="L14550" s="4"/>
      <c r="M14550" s="7" t="s">
        <v>6871</v>
      </c>
    </row>
    <row r="14551" customFormat="false" ht="15.75" hidden="false" customHeight="false" outlineLevel="0" collapsed="false">
      <c r="A14551" s="6" t="n">
        <f aca="false">DATE(2026,8,9)</f>
        <v>46243</v>
      </c>
      <c r="B14551" s="4" t="s">
        <v>179</v>
      </c>
      <c r="C14551" s="4" t="n">
        <v>6</v>
      </c>
      <c r="D14551" s="4" t="n">
        <v>6</v>
      </c>
      <c r="E14551" s="4"/>
      <c r="F14551" s="4" t="n">
        <v>13</v>
      </c>
      <c r="G14551" s="4" t="n">
        <v>6</v>
      </c>
      <c r="H14551" s="4" t="n">
        <v>4</v>
      </c>
      <c r="I14551" s="4" t="str">
        <v>×</v>
      </c>
      <c r="J14551" s="4"/>
      <c r="K14551" s="4"/>
      <c r="L14551" s="4"/>
      <c r="M14551" s="7" t="s">
        <v>6871</v>
      </c>
    </row>
    <row r="14552" customFormat="false" ht="15.75" hidden="false" customHeight="false" outlineLevel="0" collapsed="false">
      <c r="A14552" s="6" t="n">
        <f aca="false">DATE(2026,8,9)</f>
        <v>46243</v>
      </c>
      <c r="B14552" s="4" t="s">
        <v>179</v>
      </c>
      <c r="C14552" s="4" t="n">
        <v>6</v>
      </c>
      <c r="D14552" s="4" t="n">
        <v>7</v>
      </c>
      <c r="E14552" s="4"/>
      <c r="F14552" s="4" t="n">
        <v>4</v>
      </c>
      <c r="G14552" s="4" t="n">
        <v>7</v>
      </c>
      <c r="H14552" s="4" t="n">
        <v>4</v>
      </c>
      <c r="I14552" s="4" t="str">
        <v>×</v>
      </c>
      <c r="J14552" s="4"/>
      <c r="K14552" s="4"/>
      <c r="L14552" s="4"/>
      <c r="M14552" s="7" t="s">
        <v>6871</v>
      </c>
    </row>
    <row r="14553" customFormat="false" ht="15.75" hidden="false" customHeight="false" outlineLevel="0" collapsed="false">
      <c r="A14553" s="6" t="n">
        <f aca="false">DATE(2026,8,9)</f>
        <v>46243</v>
      </c>
      <c r="B14553" s="4" t="s">
        <v>179</v>
      </c>
      <c r="C14553" s="4" t="n">
        <v>7</v>
      </c>
      <c r="D14553" s="4" t="n">
        <v>14</v>
      </c>
      <c r="E14553" s="4"/>
      <c r="F14553" s="4" t="n">
        <v>56</v>
      </c>
      <c r="G14553" s="4" t="n">
        <v>1</v>
      </c>
      <c r="H14553" s="4" t="n">
        <v>4</v>
      </c>
      <c r="I14553" s="4" t="str">
        <v>×</v>
      </c>
      <c r="J14553" s="4"/>
      <c r="K14553" s="4"/>
      <c r="L14553" s="4"/>
      <c r="M14553" s="7" t="s">
        <v>6871</v>
      </c>
    </row>
    <row r="14554" customFormat="false" ht="15.75" hidden="false" customHeight="false" outlineLevel="0" collapsed="false">
      <c r="A14554" s="6" t="n">
        <f aca="false">DATE(2026,8,9)</f>
        <v>46243</v>
      </c>
      <c r="B14554" s="4" t="s">
        <v>179</v>
      </c>
      <c r="C14554" s="4" t="n">
        <v>7</v>
      </c>
      <c r="D14554" s="4" t="n">
        <v>7</v>
      </c>
      <c r="E14554" s="4"/>
      <c r="F14554" s="4" t="n">
        <v>47</v>
      </c>
      <c r="G14554" s="4" t="n">
        <v>2</v>
      </c>
      <c r="H14554" s="4" t="n">
        <v>4</v>
      </c>
      <c r="I14554" s="4" t="str">
        <v>×</v>
      </c>
      <c r="J14554" s="4"/>
      <c r="K14554" s="4"/>
      <c r="L14554" s="4"/>
      <c r="M14554" s="7" t="s">
        <v>6871</v>
      </c>
    </row>
    <row r="14555" customFormat="false" ht="15.75" hidden="false" customHeight="false" outlineLevel="0" collapsed="false">
      <c r="A14555" s="6" t="n">
        <f aca="false">DATE(2026,8,9)</f>
        <v>46243</v>
      </c>
      <c r="B14555" s="4" t="s">
        <v>179</v>
      </c>
      <c r="C14555" s="4" t="n">
        <v>7</v>
      </c>
      <c r="D14555" s="4" t="n">
        <v>3</v>
      </c>
      <c r="E14555" s="4" t="s">
        <v>5111</v>
      </c>
      <c r="F14555" s="4" t="n">
        <v>52</v>
      </c>
      <c r="G14555" s="4" t="n">
        <v>3</v>
      </c>
      <c r="H14555" s="4" t="n">
        <v>2</v>
      </c>
      <c r="I14555" s="4" t="str">
        <v>○</v>
      </c>
      <c r="J14555" s="4" t="n">
        <v>190</v>
      </c>
      <c r="K14555" s="4"/>
      <c r="L14555" s="4"/>
      <c r="M14555" s="7" t="s">
        <v>6871</v>
      </c>
    </row>
    <row r="14556" customFormat="false" ht="15.75" hidden="false" customHeight="false" outlineLevel="0" collapsed="false">
      <c r="A14556" s="6" t="n">
        <f aca="false">DATE(2026,8,9)</f>
        <v>46243</v>
      </c>
      <c r="B14556" s="4" t="s">
        <v>179</v>
      </c>
      <c r="C14556" s="4" t="n">
        <v>7</v>
      </c>
      <c r="D14556" s="4" t="n">
        <v>12</v>
      </c>
      <c r="E14556" s="4"/>
      <c r="F14556" s="4" t="n">
        <v>34</v>
      </c>
      <c r="G14556" s="4" t="n">
        <v>4</v>
      </c>
      <c r="H14556" s="4" t="n">
        <v>4</v>
      </c>
      <c r="I14556" s="4" t="str">
        <v>×</v>
      </c>
      <c r="J14556" s="4"/>
      <c r="K14556" s="4"/>
      <c r="L14556" s="4"/>
      <c r="M14556" s="7" t="s">
        <v>6871</v>
      </c>
    </row>
    <row r="14557" customFormat="false" ht="15.75" hidden="false" customHeight="false" outlineLevel="0" collapsed="false">
      <c r="A14557" s="6" t="n">
        <f aca="false">DATE(2026,8,9)</f>
        <v>46243</v>
      </c>
      <c r="B14557" s="4" t="s">
        <v>179</v>
      </c>
      <c r="C14557" s="4" t="n">
        <v>7</v>
      </c>
      <c r="D14557" s="4" t="n">
        <v>15</v>
      </c>
      <c r="E14557" s="4"/>
      <c r="F14557" s="4" t="n">
        <v>29</v>
      </c>
      <c r="G14557" s="4" t="n">
        <v>5</v>
      </c>
      <c r="H14557" s="4" t="n">
        <v>4</v>
      </c>
      <c r="I14557" s="4" t="str">
        <v>×</v>
      </c>
      <c r="J14557" s="4"/>
      <c r="K14557" s="4"/>
      <c r="L14557" s="4"/>
      <c r="M14557" s="7" t="s">
        <v>6871</v>
      </c>
    </row>
    <row r="14558" customFormat="false" ht="15.75" hidden="false" customHeight="false" outlineLevel="0" collapsed="false">
      <c r="A14558" s="6" t="n">
        <f aca="false">DATE(2026,8,9)</f>
        <v>46243</v>
      </c>
      <c r="B14558" s="4" t="s">
        <v>179</v>
      </c>
      <c r="C14558" s="4" t="n">
        <v>7</v>
      </c>
      <c r="D14558" s="4" t="n">
        <v>13</v>
      </c>
      <c r="E14558" s="4"/>
      <c r="F14558" s="4" t="n">
        <v>23</v>
      </c>
      <c r="G14558" s="4" t="n">
        <v>6</v>
      </c>
      <c r="H14558" s="4" t="n">
        <v>4</v>
      </c>
      <c r="I14558" s="4" t="str">
        <v>×</v>
      </c>
      <c r="J14558" s="4"/>
      <c r="K14558" s="4"/>
      <c r="L14558" s="4"/>
      <c r="M14558" s="7" t="s">
        <v>6871</v>
      </c>
    </row>
    <row r="14559" customFormat="false" ht="15.75" hidden="false" customHeight="false" outlineLevel="0" collapsed="false">
      <c r="A14559" s="6" t="n">
        <f aca="false">DATE(2026,8,9)</f>
        <v>46243</v>
      </c>
      <c r="B14559" s="4" t="s">
        <v>179</v>
      </c>
      <c r="C14559" s="4" t="n">
        <v>7</v>
      </c>
      <c r="D14559" s="4" t="n">
        <v>5</v>
      </c>
      <c r="E14559" s="4"/>
      <c r="F14559" s="4" t="n">
        <v>20</v>
      </c>
      <c r="G14559" s="4" t="n">
        <v>7</v>
      </c>
      <c r="H14559" s="4" t="n">
        <v>4</v>
      </c>
      <c r="I14559" s="4" t="str">
        <v>×</v>
      </c>
      <c r="J14559" s="4"/>
      <c r="K14559" s="4"/>
      <c r="L14559" s="4"/>
      <c r="M14559" s="7" t="s">
        <v>6871</v>
      </c>
    </row>
    <row r="14560" customFormat="false" ht="15.75" hidden="false" customHeight="false" outlineLevel="0" collapsed="false">
      <c r="A14560" s="6" t="n">
        <f aca="false">DATE(2026,8,9)</f>
        <v>46243</v>
      </c>
      <c r="B14560" s="4" t="s">
        <v>179</v>
      </c>
      <c r="C14560" s="4" t="n">
        <v>7</v>
      </c>
      <c r="D14560" s="4" t="n">
        <v>6</v>
      </c>
      <c r="E14560" s="4" t="s">
        <v>5629</v>
      </c>
      <c r="F14560" s="4" t="n">
        <v>20</v>
      </c>
      <c r="G14560" s="4" t="n">
        <v>8</v>
      </c>
      <c r="H14560" s="4" t="n">
        <v>3</v>
      </c>
      <c r="I14560" s="4" t="str">
        <v>○</v>
      </c>
      <c r="J14560" s="4" t="n">
        <v>250</v>
      </c>
      <c r="K14560" s="4"/>
      <c r="L14560" s="4"/>
      <c r="M14560" s="7" t="s">
        <v>6871</v>
      </c>
    </row>
    <row r="14561" customFormat="false" ht="15.75" hidden="false" customHeight="false" outlineLevel="0" collapsed="false">
      <c r="A14561" s="6" t="n">
        <f aca="false">DATE(2026,8,9)</f>
        <v>46243</v>
      </c>
      <c r="B14561" s="4" t="s">
        <v>179</v>
      </c>
      <c r="C14561" s="4" t="n">
        <v>7</v>
      </c>
      <c r="D14561" s="4" t="n">
        <v>17</v>
      </c>
      <c r="E14561" s="4"/>
      <c r="F14561" s="4" t="n">
        <v>15</v>
      </c>
      <c r="G14561" s="4" t="n">
        <v>9</v>
      </c>
      <c r="H14561" s="4" t="n">
        <v>4</v>
      </c>
      <c r="I14561" s="4" t="str">
        <v>×</v>
      </c>
      <c r="J14561" s="4"/>
      <c r="K14561" s="4"/>
      <c r="L14561" s="4"/>
      <c r="M14561" s="7" t="s">
        <v>6871</v>
      </c>
    </row>
    <row r="14562" customFormat="false" ht="15.75" hidden="false" customHeight="false" outlineLevel="0" collapsed="false">
      <c r="A14562" s="6" t="n">
        <f aca="false">DATE(2026,8,9)</f>
        <v>46243</v>
      </c>
      <c r="B14562" s="4" t="s">
        <v>179</v>
      </c>
      <c r="C14562" s="4" t="n">
        <v>7</v>
      </c>
      <c r="D14562" s="4" t="n">
        <v>1</v>
      </c>
      <c r="E14562" s="4"/>
      <c r="F14562" s="4" t="n">
        <v>13</v>
      </c>
      <c r="G14562" s="4" t="n">
        <v>10</v>
      </c>
      <c r="H14562" s="4" t="n">
        <v>4</v>
      </c>
      <c r="I14562" s="4" t="str">
        <v>×</v>
      </c>
      <c r="J14562" s="4"/>
      <c r="K14562" s="4"/>
      <c r="L14562" s="4"/>
      <c r="M14562" s="7" t="s">
        <v>6871</v>
      </c>
    </row>
    <row r="14563" customFormat="false" ht="15.75" hidden="false" customHeight="false" outlineLevel="0" collapsed="false">
      <c r="A14563" s="6" t="n">
        <f aca="false">DATE(2026,8,9)</f>
        <v>46243</v>
      </c>
      <c r="B14563" s="4" t="s">
        <v>179</v>
      </c>
      <c r="C14563" s="4" t="n">
        <v>7</v>
      </c>
      <c r="D14563" s="4" t="n">
        <v>16</v>
      </c>
      <c r="E14563" s="4"/>
      <c r="F14563" s="4" t="n">
        <v>13</v>
      </c>
      <c r="G14563" s="4" t="n">
        <v>11</v>
      </c>
      <c r="H14563" s="4" t="n">
        <v>4</v>
      </c>
      <c r="I14563" s="4" t="str">
        <v>×</v>
      </c>
      <c r="J14563" s="4"/>
      <c r="K14563" s="4"/>
      <c r="L14563" s="4"/>
      <c r="M14563" s="7" t="s">
        <v>6871</v>
      </c>
    </row>
    <row r="14564" customFormat="false" ht="15.75" hidden="false" customHeight="false" outlineLevel="0" collapsed="false">
      <c r="A14564" s="6" t="n">
        <f aca="false">DATE(2026,8,9)</f>
        <v>46243</v>
      </c>
      <c r="B14564" s="4" t="s">
        <v>179</v>
      </c>
      <c r="C14564" s="4" t="n">
        <v>7</v>
      </c>
      <c r="D14564" s="4" t="n">
        <v>9</v>
      </c>
      <c r="E14564" s="4"/>
      <c r="F14564" s="4" t="n">
        <v>10</v>
      </c>
      <c r="G14564" s="4" t="n">
        <v>12</v>
      </c>
      <c r="H14564" s="4" t="n">
        <v>4</v>
      </c>
      <c r="I14564" s="4" t="str">
        <v>×</v>
      </c>
      <c r="J14564" s="4"/>
      <c r="K14564" s="4"/>
      <c r="L14564" s="4"/>
      <c r="M14564" s="7" t="s">
        <v>6871</v>
      </c>
    </row>
    <row r="14565" customFormat="false" ht="15.75" hidden="false" customHeight="false" outlineLevel="0" collapsed="false">
      <c r="A14565" s="6" t="n">
        <f aca="false">DATE(2026,8,9)</f>
        <v>46243</v>
      </c>
      <c r="B14565" s="4" t="s">
        <v>179</v>
      </c>
      <c r="C14565" s="4" t="n">
        <v>7</v>
      </c>
      <c r="D14565" s="4" t="n">
        <v>10</v>
      </c>
      <c r="E14565" s="4"/>
      <c r="F14565" s="4" t="n">
        <v>10</v>
      </c>
      <c r="G14565" s="4" t="n">
        <v>13</v>
      </c>
      <c r="H14565" s="4" t="n">
        <v>4</v>
      </c>
      <c r="I14565" s="4" t="str">
        <v>×</v>
      </c>
      <c r="J14565" s="4"/>
      <c r="K14565" s="4"/>
      <c r="L14565" s="4"/>
      <c r="M14565" s="7" t="s">
        <v>6871</v>
      </c>
    </row>
    <row r="14566" customFormat="false" ht="15.75" hidden="false" customHeight="false" outlineLevel="0" collapsed="false">
      <c r="A14566" s="6" t="n">
        <f aca="false">DATE(2026,8,9)</f>
        <v>46243</v>
      </c>
      <c r="B14566" s="4" t="s">
        <v>179</v>
      </c>
      <c r="C14566" s="4" t="n">
        <v>7</v>
      </c>
      <c r="D14566" s="4" t="n">
        <v>18</v>
      </c>
      <c r="E14566" s="4"/>
      <c r="F14566" s="4" t="n">
        <v>8</v>
      </c>
      <c r="G14566" s="4" t="n">
        <v>14</v>
      </c>
      <c r="H14566" s="4" t="n">
        <v>4</v>
      </c>
      <c r="I14566" s="4" t="str">
        <v>×</v>
      </c>
      <c r="J14566" s="4"/>
      <c r="K14566" s="4"/>
      <c r="L14566" s="4"/>
      <c r="M14566" s="7" t="s">
        <v>6871</v>
      </c>
    </row>
    <row r="14567" customFormat="false" ht="15.75" hidden="false" customHeight="false" outlineLevel="0" collapsed="false">
      <c r="A14567" s="6" t="n">
        <f aca="false">DATE(2026,8,9)</f>
        <v>46243</v>
      </c>
      <c r="B14567" s="4" t="s">
        <v>179</v>
      </c>
      <c r="C14567" s="4" t="n">
        <v>7</v>
      </c>
      <c r="D14567" s="4" t="n">
        <v>8</v>
      </c>
      <c r="E14567" s="4"/>
      <c r="F14567" s="4" t="n">
        <v>6</v>
      </c>
      <c r="G14567" s="4" t="n">
        <v>15</v>
      </c>
      <c r="H14567" s="4" t="n">
        <v>4</v>
      </c>
      <c r="I14567" s="4" t="str">
        <v>×</v>
      </c>
      <c r="J14567" s="4"/>
      <c r="K14567" s="4"/>
      <c r="L14567" s="4"/>
      <c r="M14567" s="7" t="s">
        <v>6871</v>
      </c>
    </row>
    <row r="14568" customFormat="false" ht="15.75" hidden="false" customHeight="false" outlineLevel="0" collapsed="false">
      <c r="A14568" s="6" t="n">
        <f aca="false">DATE(2026,8,9)</f>
        <v>46243</v>
      </c>
      <c r="B14568" s="4" t="s">
        <v>179</v>
      </c>
      <c r="C14568" s="4" t="n">
        <v>7</v>
      </c>
      <c r="D14568" s="4" t="n">
        <v>2</v>
      </c>
      <c r="E14568" s="4" t="s">
        <v>6270</v>
      </c>
      <c r="F14568" s="4" t="n">
        <v>3</v>
      </c>
      <c r="G14568" s="4" t="n">
        <v>16</v>
      </c>
      <c r="H14568" s="4" t="n">
        <v>1</v>
      </c>
      <c r="I14568" s="4" t="str">
        <v>○</v>
      </c>
      <c r="J14568" s="4" t="n">
        <v>640</v>
      </c>
      <c r="K14568" s="4"/>
      <c r="L14568" s="4"/>
      <c r="M14568" s="7" t="s">
        <v>6871</v>
      </c>
    </row>
    <row r="14569" customFormat="false" ht="15.75" hidden="false" customHeight="false" outlineLevel="0" collapsed="false">
      <c r="A14569" s="6" t="n">
        <f aca="false">DATE(2026,8,9)</f>
        <v>46243</v>
      </c>
      <c r="B14569" s="4" t="s">
        <v>179</v>
      </c>
      <c r="C14569" s="4" t="n">
        <v>7</v>
      </c>
      <c r="D14569" s="4" t="n">
        <v>4</v>
      </c>
      <c r="E14569" s="4"/>
      <c r="F14569" s="4" t="n">
        <v>3</v>
      </c>
      <c r="G14569" s="4" t="n">
        <v>17</v>
      </c>
      <c r="H14569" s="4" t="n">
        <v>4</v>
      </c>
      <c r="I14569" s="4" t="str">
        <v>×</v>
      </c>
      <c r="J14569" s="4"/>
      <c r="K14569" s="4"/>
      <c r="L14569" s="4"/>
      <c r="M14569" s="7" t="s">
        <v>6871</v>
      </c>
    </row>
    <row r="14570" customFormat="false" ht="15.75" hidden="false" customHeight="false" outlineLevel="0" collapsed="false">
      <c r="A14570" s="6" t="n">
        <f aca="false">DATE(2026,8,9)</f>
        <v>46243</v>
      </c>
      <c r="B14570" s="4" t="s">
        <v>179</v>
      </c>
      <c r="C14570" s="4" t="n">
        <v>7</v>
      </c>
      <c r="D14570" s="4" t="n">
        <v>11</v>
      </c>
      <c r="E14570" s="4"/>
      <c r="F14570" s="4" t="n">
        <v>3</v>
      </c>
      <c r="G14570" s="4" t="n">
        <v>18</v>
      </c>
      <c r="H14570" s="4" t="n">
        <v>4</v>
      </c>
      <c r="I14570" s="4" t="str">
        <v>×</v>
      </c>
      <c r="J14570" s="4"/>
      <c r="K14570" s="4"/>
      <c r="L14570" s="4"/>
      <c r="M14570" s="7" t="s">
        <v>6871</v>
      </c>
    </row>
    <row r="14571" customFormat="false" ht="15.75" hidden="false" customHeight="false" outlineLevel="0" collapsed="false">
      <c r="A14571" s="6" t="n">
        <f aca="false">DATE(2026,8,9)</f>
        <v>46243</v>
      </c>
      <c r="B14571" s="4" t="s">
        <v>179</v>
      </c>
      <c r="C14571" s="4" t="n">
        <v>8</v>
      </c>
      <c r="D14571" s="4" t="n">
        <v>11</v>
      </c>
      <c r="E14571" s="4" t="s">
        <v>4781</v>
      </c>
      <c r="F14571" s="4" t="n">
        <v>62</v>
      </c>
      <c r="G14571" s="4" t="n">
        <v>1</v>
      </c>
      <c r="H14571" s="4" t="n">
        <v>1</v>
      </c>
      <c r="I14571" s="4" t="str">
        <v>○</v>
      </c>
      <c r="J14571" s="4" t="n">
        <v>110</v>
      </c>
      <c r="K14571" s="4"/>
      <c r="L14571" s="4"/>
      <c r="M14571" s="7" t="s">
        <v>6871</v>
      </c>
    </row>
    <row r="14572" customFormat="false" ht="15.75" hidden="false" customHeight="false" outlineLevel="0" collapsed="false">
      <c r="A14572" s="6" t="n">
        <f aca="false">DATE(2026,8,9)</f>
        <v>46243</v>
      </c>
      <c r="B14572" s="4" t="s">
        <v>179</v>
      </c>
      <c r="C14572" s="4" t="n">
        <v>8</v>
      </c>
      <c r="D14572" s="4" t="n">
        <v>4</v>
      </c>
      <c r="E14572" s="4" t="s">
        <v>565</v>
      </c>
      <c r="F14572" s="4" t="n">
        <v>41</v>
      </c>
      <c r="G14572" s="4" t="n">
        <v>2</v>
      </c>
      <c r="H14572" s="4" t="n">
        <v>2</v>
      </c>
      <c r="I14572" s="4" t="str">
        <v>○</v>
      </c>
      <c r="J14572" s="4" t="n">
        <v>140</v>
      </c>
      <c r="K14572" s="4"/>
      <c r="L14572" s="4"/>
      <c r="M14572" s="7" t="s">
        <v>6871</v>
      </c>
    </row>
    <row r="14573" customFormat="false" ht="15.75" hidden="false" customHeight="false" outlineLevel="0" collapsed="false">
      <c r="A14573" s="6" t="n">
        <f aca="false">DATE(2026,8,9)</f>
        <v>46243</v>
      </c>
      <c r="B14573" s="4" t="s">
        <v>179</v>
      </c>
      <c r="C14573" s="4" t="n">
        <v>8</v>
      </c>
      <c r="D14573" s="4" t="n">
        <v>5</v>
      </c>
      <c r="E14573" s="4"/>
      <c r="F14573" s="4" t="n">
        <v>50</v>
      </c>
      <c r="G14573" s="4" t="n">
        <v>3</v>
      </c>
      <c r="H14573" s="4" t="n">
        <v>4</v>
      </c>
      <c r="I14573" s="4" t="str">
        <v>×</v>
      </c>
      <c r="J14573" s="4"/>
      <c r="K14573" s="4"/>
      <c r="L14573" s="4"/>
      <c r="M14573" s="7" t="s">
        <v>6871</v>
      </c>
    </row>
    <row r="14574" customFormat="false" ht="15.75" hidden="false" customHeight="false" outlineLevel="0" collapsed="false">
      <c r="A14574" s="6" t="n">
        <f aca="false">DATE(2026,8,9)</f>
        <v>46243</v>
      </c>
      <c r="B14574" s="4" t="s">
        <v>179</v>
      </c>
      <c r="C14574" s="4" t="n">
        <v>8</v>
      </c>
      <c r="D14574" s="4" t="n">
        <v>8</v>
      </c>
      <c r="E14574" s="4"/>
      <c r="F14574" s="4" t="n">
        <v>31</v>
      </c>
      <c r="G14574" s="4" t="n">
        <v>4</v>
      </c>
      <c r="H14574" s="4" t="n">
        <v>4</v>
      </c>
      <c r="I14574" s="4" t="str">
        <v>×</v>
      </c>
      <c r="J14574" s="4"/>
      <c r="K14574" s="4"/>
      <c r="L14574" s="4"/>
      <c r="M14574" s="7" t="s">
        <v>6871</v>
      </c>
    </row>
    <row r="14575" customFormat="false" ht="15.75" hidden="false" customHeight="false" outlineLevel="0" collapsed="false">
      <c r="A14575" s="6" t="n">
        <f aca="false">DATE(2026,8,9)</f>
        <v>46243</v>
      </c>
      <c r="B14575" s="4" t="s">
        <v>179</v>
      </c>
      <c r="C14575" s="4" t="n">
        <v>8</v>
      </c>
      <c r="D14575" s="4" t="n">
        <v>2</v>
      </c>
      <c r="E14575" s="4" t="s">
        <v>2516</v>
      </c>
      <c r="F14575" s="4" t="n">
        <v>25</v>
      </c>
      <c r="G14575" s="4" t="n">
        <v>5</v>
      </c>
      <c r="H14575" s="4" t="n">
        <v>3</v>
      </c>
      <c r="I14575" s="4" t="str">
        <v>○</v>
      </c>
      <c r="J14575" s="4" t="n">
        <v>140</v>
      </c>
      <c r="K14575" s="4"/>
      <c r="L14575" s="4"/>
      <c r="M14575" s="7" t="s">
        <v>6871</v>
      </c>
    </row>
    <row r="14576" customFormat="false" ht="15.75" hidden="false" customHeight="false" outlineLevel="0" collapsed="false">
      <c r="A14576" s="6" t="n">
        <f aca="false">DATE(2026,8,9)</f>
        <v>46243</v>
      </c>
      <c r="B14576" s="4" t="s">
        <v>179</v>
      </c>
      <c r="C14576" s="4" t="n">
        <v>8</v>
      </c>
      <c r="D14576" s="4" t="n">
        <v>7</v>
      </c>
      <c r="E14576" s="4"/>
      <c r="F14576" s="4" t="n">
        <v>20</v>
      </c>
      <c r="G14576" s="4" t="n">
        <v>6</v>
      </c>
      <c r="H14576" s="4" t="n">
        <v>4</v>
      </c>
      <c r="I14576" s="4" t="str">
        <v>×</v>
      </c>
      <c r="J14576" s="4"/>
      <c r="K14576" s="4"/>
      <c r="L14576" s="4"/>
      <c r="M14576" s="7" t="s">
        <v>6871</v>
      </c>
    </row>
    <row r="14577" customFormat="false" ht="15.75" hidden="false" customHeight="false" outlineLevel="0" collapsed="false">
      <c r="A14577" s="6" t="n">
        <f aca="false">DATE(2026,8,9)</f>
        <v>46243</v>
      </c>
      <c r="B14577" s="4" t="s">
        <v>179</v>
      </c>
      <c r="C14577" s="4" t="n">
        <v>8</v>
      </c>
      <c r="D14577" s="4" t="n">
        <v>10</v>
      </c>
      <c r="E14577" s="4"/>
      <c r="F14577" s="4" t="n">
        <v>15</v>
      </c>
      <c r="G14577" s="4" t="n">
        <v>7</v>
      </c>
      <c r="H14577" s="4" t="n">
        <v>4</v>
      </c>
      <c r="I14577" s="4" t="str">
        <v>×</v>
      </c>
      <c r="J14577" s="4"/>
      <c r="K14577" s="4"/>
      <c r="L14577" s="4"/>
      <c r="M14577" s="7" t="s">
        <v>6871</v>
      </c>
    </row>
    <row r="14578" customFormat="false" ht="15.75" hidden="false" customHeight="false" outlineLevel="0" collapsed="false">
      <c r="A14578" s="6" t="n">
        <f aca="false">DATE(2026,8,9)</f>
        <v>46243</v>
      </c>
      <c r="B14578" s="4" t="s">
        <v>179</v>
      </c>
      <c r="C14578" s="4" t="n">
        <v>8</v>
      </c>
      <c r="D14578" s="4" t="n">
        <v>3</v>
      </c>
      <c r="E14578" s="4"/>
      <c r="F14578" s="4" t="n">
        <v>10</v>
      </c>
      <c r="G14578" s="4" t="n">
        <v>8</v>
      </c>
      <c r="H14578" s="4" t="n">
        <v>4</v>
      </c>
      <c r="I14578" s="4" t="str">
        <v>×</v>
      </c>
      <c r="J14578" s="4"/>
      <c r="K14578" s="4"/>
      <c r="L14578" s="4"/>
      <c r="M14578" s="7" t="s">
        <v>6871</v>
      </c>
    </row>
    <row r="14579" customFormat="false" ht="15.75" hidden="false" customHeight="false" outlineLevel="0" collapsed="false">
      <c r="A14579" s="6" t="n">
        <f aca="false">DATE(2026,8,9)</f>
        <v>46243</v>
      </c>
      <c r="B14579" s="4" t="s">
        <v>179</v>
      </c>
      <c r="C14579" s="4" t="n">
        <v>8</v>
      </c>
      <c r="D14579" s="4" t="n">
        <v>6</v>
      </c>
      <c r="E14579" s="4"/>
      <c r="F14579" s="4" t="n">
        <v>10</v>
      </c>
      <c r="G14579" s="4" t="n">
        <v>9</v>
      </c>
      <c r="H14579" s="4" t="n">
        <v>4</v>
      </c>
      <c r="I14579" s="4" t="str">
        <v>×</v>
      </c>
      <c r="J14579" s="4"/>
      <c r="K14579" s="4"/>
      <c r="L14579" s="4"/>
      <c r="M14579" s="7" t="s">
        <v>6871</v>
      </c>
    </row>
    <row r="14580" customFormat="false" ht="15.75" hidden="false" customHeight="false" outlineLevel="0" collapsed="false">
      <c r="A14580" s="6" t="n">
        <f aca="false">DATE(2026,8,9)</f>
        <v>46243</v>
      </c>
      <c r="B14580" s="4" t="s">
        <v>179</v>
      </c>
      <c r="C14580" s="4" t="n">
        <v>8</v>
      </c>
      <c r="D14580" s="4" t="n">
        <v>9</v>
      </c>
      <c r="E14580" s="4"/>
      <c r="F14580" s="4" t="n">
        <v>4</v>
      </c>
      <c r="G14580" s="4" t="n">
        <v>10</v>
      </c>
      <c r="H14580" s="4" t="n">
        <v>4</v>
      </c>
      <c r="I14580" s="4" t="str">
        <v>×</v>
      </c>
      <c r="J14580" s="4"/>
      <c r="K14580" s="4"/>
      <c r="L14580" s="4"/>
      <c r="M14580" s="7" t="s">
        <v>6871</v>
      </c>
    </row>
    <row r="14581" customFormat="false" ht="15.75" hidden="false" customHeight="false" outlineLevel="0" collapsed="false">
      <c r="A14581" s="6" t="n">
        <f aca="false">DATE(2026,8,9)</f>
        <v>46243</v>
      </c>
      <c r="B14581" s="4" t="s">
        <v>179</v>
      </c>
      <c r="C14581" s="4" t="n">
        <v>8</v>
      </c>
      <c r="D14581" s="4" t="n">
        <v>1</v>
      </c>
      <c r="E14581" s="4"/>
      <c r="F14581" s="4" t="n">
        <v>1</v>
      </c>
      <c r="G14581" s="4" t="n">
        <v>11</v>
      </c>
      <c r="H14581" s="4" t="n">
        <v>4</v>
      </c>
      <c r="I14581" s="4" t="str">
        <v>×</v>
      </c>
      <c r="J14581" s="4"/>
      <c r="K14581" s="4"/>
      <c r="L14581" s="4"/>
      <c r="M14581" s="7" t="s">
        <v>6871</v>
      </c>
    </row>
    <row r="14582" customFormat="false" ht="15.75" hidden="false" customHeight="false" outlineLevel="0" collapsed="false">
      <c r="A14582" s="6" t="n">
        <f aca="false">DATE(2026,8,9)</f>
        <v>46243</v>
      </c>
      <c r="B14582" s="4" t="s">
        <v>179</v>
      </c>
      <c r="C14582" s="4" t="n">
        <v>9</v>
      </c>
      <c r="D14582" s="4" t="n">
        <v>4</v>
      </c>
      <c r="E14582" s="4"/>
      <c r="F14582" s="4" t="n">
        <v>55</v>
      </c>
      <c r="G14582" s="4" t="n">
        <v>1</v>
      </c>
      <c r="H14582" s="4" t="n">
        <v>4</v>
      </c>
      <c r="I14582" s="4" t="str">
        <v>×</v>
      </c>
      <c r="J14582" s="4"/>
      <c r="K14582" s="4"/>
      <c r="L14582" s="4"/>
      <c r="M14582" s="7" t="s">
        <v>6871</v>
      </c>
    </row>
    <row r="14583" customFormat="false" ht="15.75" hidden="false" customHeight="false" outlineLevel="0" collapsed="false">
      <c r="A14583" s="6" t="n">
        <f aca="false">DATE(2026,8,9)</f>
        <v>46243</v>
      </c>
      <c r="B14583" s="4" t="s">
        <v>179</v>
      </c>
      <c r="C14583" s="4" t="n">
        <v>9</v>
      </c>
      <c r="D14583" s="4" t="n">
        <v>5</v>
      </c>
      <c r="E14583" s="4" t="s">
        <v>1562</v>
      </c>
      <c r="F14583" s="4" t="n">
        <v>55</v>
      </c>
      <c r="G14583" s="4" t="n">
        <v>2</v>
      </c>
      <c r="H14583" s="4" t="n">
        <v>1</v>
      </c>
      <c r="I14583" s="4" t="str">
        <v>○</v>
      </c>
      <c r="J14583" s="4" t="n">
        <v>110</v>
      </c>
      <c r="K14583" s="4"/>
      <c r="L14583" s="4"/>
      <c r="M14583" s="7" t="s">
        <v>6871</v>
      </c>
    </row>
    <row r="14584" customFormat="false" ht="15.75" hidden="false" customHeight="false" outlineLevel="0" collapsed="false">
      <c r="A14584" s="6" t="n">
        <f aca="false">DATE(2026,8,9)</f>
        <v>46243</v>
      </c>
      <c r="B14584" s="4" t="s">
        <v>179</v>
      </c>
      <c r="C14584" s="4" t="n">
        <v>9</v>
      </c>
      <c r="D14584" s="4" t="n">
        <v>13</v>
      </c>
      <c r="E14584" s="4"/>
      <c r="F14584" s="4" t="n">
        <v>37</v>
      </c>
      <c r="G14584" s="4" t="n">
        <v>3</v>
      </c>
      <c r="H14584" s="4" t="n">
        <v>4</v>
      </c>
      <c r="I14584" s="4" t="str">
        <v>×</v>
      </c>
      <c r="J14584" s="4"/>
      <c r="K14584" s="4"/>
      <c r="L14584" s="4"/>
      <c r="M14584" s="7" t="s">
        <v>6871</v>
      </c>
    </row>
    <row r="14585" customFormat="false" ht="15.75" hidden="false" customHeight="false" outlineLevel="0" collapsed="false">
      <c r="A14585" s="6" t="n">
        <f aca="false">DATE(2026,8,9)</f>
        <v>46243</v>
      </c>
      <c r="B14585" s="4" t="s">
        <v>179</v>
      </c>
      <c r="C14585" s="4" t="n">
        <v>9</v>
      </c>
      <c r="D14585" s="4" t="n">
        <v>11</v>
      </c>
      <c r="E14585" s="4"/>
      <c r="F14585" s="4" t="n">
        <v>27</v>
      </c>
      <c r="G14585" s="4" t="n">
        <v>4</v>
      </c>
      <c r="H14585" s="4" t="n">
        <v>4</v>
      </c>
      <c r="I14585" s="4" t="str">
        <v>×</v>
      </c>
      <c r="J14585" s="4"/>
      <c r="K14585" s="4"/>
      <c r="L14585" s="4"/>
      <c r="M14585" s="7" t="s">
        <v>6871</v>
      </c>
    </row>
    <row r="14586" customFormat="false" ht="15.75" hidden="false" customHeight="false" outlineLevel="0" collapsed="false">
      <c r="A14586" s="6" t="n">
        <f aca="false">DATE(2026,8,9)</f>
        <v>46243</v>
      </c>
      <c r="B14586" s="4" t="s">
        <v>179</v>
      </c>
      <c r="C14586" s="4" t="n">
        <v>9</v>
      </c>
      <c r="D14586" s="4" t="n">
        <v>12</v>
      </c>
      <c r="E14586" s="4"/>
      <c r="F14586" s="4" t="n">
        <v>27</v>
      </c>
      <c r="G14586" s="4" t="n">
        <v>5</v>
      </c>
      <c r="H14586" s="4" t="n">
        <v>4</v>
      </c>
      <c r="I14586" s="4" t="str">
        <v>×</v>
      </c>
      <c r="J14586" s="4"/>
      <c r="K14586" s="4"/>
      <c r="L14586" s="4"/>
      <c r="M14586" s="7" t="s">
        <v>6871</v>
      </c>
    </row>
    <row r="14587" customFormat="false" ht="15.75" hidden="false" customHeight="false" outlineLevel="0" collapsed="false">
      <c r="A14587" s="6" t="n">
        <f aca="false">DATE(2026,8,9)</f>
        <v>46243</v>
      </c>
      <c r="B14587" s="4" t="s">
        <v>179</v>
      </c>
      <c r="C14587" s="4" t="n">
        <v>9</v>
      </c>
      <c r="D14587" s="4" t="n">
        <v>6</v>
      </c>
      <c r="E14587" s="4" t="s">
        <v>6456</v>
      </c>
      <c r="F14587" s="4" t="n">
        <v>24</v>
      </c>
      <c r="G14587" s="4" t="n">
        <v>6</v>
      </c>
      <c r="H14587" s="4" t="n">
        <v>3</v>
      </c>
      <c r="I14587" s="4" t="str">
        <v>○</v>
      </c>
      <c r="J14587" s="4" t="n">
        <v>280</v>
      </c>
      <c r="K14587" s="4"/>
      <c r="L14587" s="4"/>
      <c r="M14587" s="7" t="s">
        <v>6871</v>
      </c>
    </row>
    <row r="14588" customFormat="false" ht="15.75" hidden="false" customHeight="false" outlineLevel="0" collapsed="false">
      <c r="A14588" s="6" t="n">
        <f aca="false">DATE(2026,8,9)</f>
        <v>46243</v>
      </c>
      <c r="B14588" s="4" t="s">
        <v>179</v>
      </c>
      <c r="C14588" s="4" t="n">
        <v>9</v>
      </c>
      <c r="D14588" s="4" t="n">
        <v>2</v>
      </c>
      <c r="E14588" s="4" t="s">
        <v>6912</v>
      </c>
      <c r="F14588" s="4" t="n">
        <v>16</v>
      </c>
      <c r="G14588" s="4" t="n">
        <v>7</v>
      </c>
      <c r="H14588" s="4" t="n">
        <v>2</v>
      </c>
      <c r="I14588" s="4" t="str">
        <v>○</v>
      </c>
      <c r="J14588" s="4" t="n">
        <v>150</v>
      </c>
      <c r="K14588" s="4"/>
      <c r="L14588" s="4"/>
      <c r="M14588" s="7" t="s">
        <v>6871</v>
      </c>
    </row>
    <row r="14589" customFormat="false" ht="15.75" hidden="false" customHeight="false" outlineLevel="0" collapsed="false">
      <c r="A14589" s="6" t="n">
        <f aca="false">DATE(2026,8,9)</f>
        <v>46243</v>
      </c>
      <c r="B14589" s="4" t="s">
        <v>179</v>
      </c>
      <c r="C14589" s="4" t="n">
        <v>9</v>
      </c>
      <c r="D14589" s="4" t="n">
        <v>3</v>
      </c>
      <c r="E14589" s="4"/>
      <c r="F14589" s="4" t="n">
        <v>12</v>
      </c>
      <c r="G14589" s="4" t="n">
        <v>8</v>
      </c>
      <c r="H14589" s="4" t="n">
        <v>4</v>
      </c>
      <c r="I14589" s="4" t="str">
        <v>×</v>
      </c>
      <c r="J14589" s="4"/>
      <c r="K14589" s="4"/>
      <c r="L14589" s="4"/>
      <c r="M14589" s="7" t="s">
        <v>6871</v>
      </c>
    </row>
    <row r="14590" customFormat="false" ht="15.75" hidden="false" customHeight="false" outlineLevel="0" collapsed="false">
      <c r="A14590" s="6" t="n">
        <f aca="false">DATE(2026,8,9)</f>
        <v>46243</v>
      </c>
      <c r="B14590" s="4" t="s">
        <v>179</v>
      </c>
      <c r="C14590" s="4" t="n">
        <v>9</v>
      </c>
      <c r="D14590" s="4" t="n">
        <v>7</v>
      </c>
      <c r="E14590" s="4"/>
      <c r="F14590" s="4" t="n">
        <v>12</v>
      </c>
      <c r="G14590" s="4" t="n">
        <v>9</v>
      </c>
      <c r="H14590" s="4" t="n">
        <v>4</v>
      </c>
      <c r="I14590" s="4" t="str">
        <v>×</v>
      </c>
      <c r="J14590" s="4"/>
      <c r="K14590" s="4"/>
      <c r="L14590" s="4"/>
      <c r="M14590" s="7" t="s">
        <v>6871</v>
      </c>
    </row>
    <row r="14591" customFormat="false" ht="15.75" hidden="false" customHeight="false" outlineLevel="0" collapsed="false">
      <c r="A14591" s="6" t="n">
        <f aca="false">DATE(2026,8,9)</f>
        <v>46243</v>
      </c>
      <c r="B14591" s="4" t="s">
        <v>179</v>
      </c>
      <c r="C14591" s="4" t="n">
        <v>9</v>
      </c>
      <c r="D14591" s="4" t="n">
        <v>8</v>
      </c>
      <c r="E14591" s="4"/>
      <c r="F14591" s="4" t="n">
        <v>8</v>
      </c>
      <c r="G14591" s="4" t="n">
        <v>10</v>
      </c>
      <c r="H14591" s="4" t="n">
        <v>4</v>
      </c>
      <c r="I14591" s="4" t="str">
        <v>×</v>
      </c>
      <c r="J14591" s="4"/>
      <c r="K14591" s="4"/>
      <c r="L14591" s="4"/>
      <c r="M14591" s="7" t="s">
        <v>6871</v>
      </c>
    </row>
    <row r="14592" customFormat="false" ht="15.75" hidden="false" customHeight="false" outlineLevel="0" collapsed="false">
      <c r="A14592" s="6" t="n">
        <f aca="false">DATE(2026,8,9)</f>
        <v>46243</v>
      </c>
      <c r="B14592" s="4" t="s">
        <v>179</v>
      </c>
      <c r="C14592" s="4" t="n">
        <v>9</v>
      </c>
      <c r="D14592" s="4" t="n">
        <v>10</v>
      </c>
      <c r="E14592" s="4"/>
      <c r="F14592" s="4" t="n">
        <v>8</v>
      </c>
      <c r="G14592" s="4" t="n">
        <v>11</v>
      </c>
      <c r="H14592" s="4" t="n">
        <v>4</v>
      </c>
      <c r="I14592" s="4" t="str">
        <v>×</v>
      </c>
      <c r="J14592" s="4"/>
      <c r="K14592" s="4"/>
      <c r="L14592" s="4"/>
      <c r="M14592" s="7" t="s">
        <v>6871</v>
      </c>
    </row>
    <row r="14593" customFormat="false" ht="15.75" hidden="false" customHeight="false" outlineLevel="0" collapsed="false">
      <c r="A14593" s="6" t="n">
        <f aca="false">DATE(2026,8,9)</f>
        <v>46243</v>
      </c>
      <c r="B14593" s="4" t="s">
        <v>179</v>
      </c>
      <c r="C14593" s="4" t="n">
        <v>9</v>
      </c>
      <c r="D14593" s="4" t="n">
        <v>1</v>
      </c>
      <c r="E14593" s="4"/>
      <c r="F14593" s="4" t="n">
        <v>6</v>
      </c>
      <c r="G14593" s="4" t="n">
        <v>12</v>
      </c>
      <c r="H14593" s="4" t="n">
        <v>4</v>
      </c>
      <c r="I14593" s="4" t="str">
        <v>×</v>
      </c>
      <c r="J14593" s="4"/>
      <c r="K14593" s="4"/>
      <c r="L14593" s="4"/>
      <c r="M14593" s="7" t="s">
        <v>6871</v>
      </c>
    </row>
    <row r="14594" customFormat="false" ht="15.75" hidden="false" customHeight="false" outlineLevel="0" collapsed="false">
      <c r="A14594" s="6" t="n">
        <f aca="false">DATE(2026,8,9)</f>
        <v>46243</v>
      </c>
      <c r="B14594" s="4" t="s">
        <v>179</v>
      </c>
      <c r="C14594" s="4" t="n">
        <v>9</v>
      </c>
      <c r="D14594" s="4" t="n">
        <v>9</v>
      </c>
      <c r="E14594" s="4"/>
      <c r="F14594" s="4" t="n">
        <v>6</v>
      </c>
      <c r="G14594" s="4" t="n">
        <v>13</v>
      </c>
      <c r="H14594" s="4" t="n">
        <v>4</v>
      </c>
      <c r="I14594" s="4" t="str">
        <v>×</v>
      </c>
      <c r="J14594" s="4"/>
      <c r="K14594" s="4"/>
      <c r="L14594" s="4"/>
      <c r="M14594" s="7" t="s">
        <v>6871</v>
      </c>
    </row>
    <row r="14595" customFormat="false" ht="15.75" hidden="false" customHeight="false" outlineLevel="0" collapsed="false">
      <c r="A14595" s="6" t="n">
        <f aca="false">DATE(2026,8,9)</f>
        <v>46243</v>
      </c>
      <c r="B14595" s="4" t="s">
        <v>179</v>
      </c>
      <c r="C14595" s="4" t="n">
        <v>10</v>
      </c>
      <c r="D14595" s="4" t="n">
        <v>2</v>
      </c>
      <c r="E14595" s="4" t="s">
        <v>5282</v>
      </c>
      <c r="F14595" s="4" t="n">
        <v>50</v>
      </c>
      <c r="G14595" s="4" t="n">
        <v>1</v>
      </c>
      <c r="H14595" s="4" t="n">
        <v>3</v>
      </c>
      <c r="I14595" s="4" t="str">
        <v>○</v>
      </c>
      <c r="J14595" s="4" t="n">
        <v>150</v>
      </c>
      <c r="K14595" s="4"/>
      <c r="L14595" s="4"/>
      <c r="M14595" s="7" t="s">
        <v>6871</v>
      </c>
    </row>
    <row r="14596" customFormat="false" ht="15.75" hidden="false" customHeight="false" outlineLevel="0" collapsed="false">
      <c r="A14596" s="6" t="n">
        <f aca="false">DATE(2026,8,9)</f>
        <v>46243</v>
      </c>
      <c r="B14596" s="4" t="s">
        <v>179</v>
      </c>
      <c r="C14596" s="4" t="n">
        <v>10</v>
      </c>
      <c r="D14596" s="4" t="n">
        <v>11</v>
      </c>
      <c r="E14596" s="4" t="s">
        <v>1656</v>
      </c>
      <c r="F14596" s="4" t="n">
        <v>34</v>
      </c>
      <c r="G14596" s="4" t="n">
        <v>2</v>
      </c>
      <c r="H14596" s="4" t="n">
        <v>2</v>
      </c>
      <c r="I14596" s="4" t="str">
        <v>○</v>
      </c>
      <c r="J14596" s="4" t="n">
        <v>210</v>
      </c>
      <c r="K14596" s="4"/>
      <c r="L14596" s="4"/>
      <c r="M14596" s="7" t="s">
        <v>6871</v>
      </c>
    </row>
    <row r="14597" customFormat="false" ht="15.75" hidden="false" customHeight="false" outlineLevel="0" collapsed="false">
      <c r="A14597" s="6" t="n">
        <f aca="false">DATE(2026,8,9)</f>
        <v>46243</v>
      </c>
      <c r="B14597" s="4" t="s">
        <v>179</v>
      </c>
      <c r="C14597" s="4" t="n">
        <v>10</v>
      </c>
      <c r="D14597" s="4" t="n">
        <v>10</v>
      </c>
      <c r="E14597" s="4"/>
      <c r="F14597" s="4" t="n">
        <v>47</v>
      </c>
      <c r="G14597" s="4" t="n">
        <v>3</v>
      </c>
      <c r="H14597" s="4" t="n">
        <v>4</v>
      </c>
      <c r="I14597" s="4" t="str">
        <v>×</v>
      </c>
      <c r="J14597" s="4"/>
      <c r="K14597" s="4"/>
      <c r="L14597" s="4"/>
      <c r="M14597" s="7" t="s">
        <v>6871</v>
      </c>
    </row>
    <row r="14598" customFormat="false" ht="15.75" hidden="false" customHeight="false" outlineLevel="0" collapsed="false">
      <c r="A14598" s="6" t="n">
        <f aca="false">DATE(2026,8,9)</f>
        <v>46243</v>
      </c>
      <c r="B14598" s="4" t="s">
        <v>179</v>
      </c>
      <c r="C14598" s="4" t="n">
        <v>10</v>
      </c>
      <c r="D14598" s="4" t="n">
        <v>12</v>
      </c>
      <c r="E14598" s="4"/>
      <c r="F14598" s="4" t="n">
        <v>25</v>
      </c>
      <c r="G14598" s="4" t="n">
        <v>4</v>
      </c>
      <c r="H14598" s="4" t="n">
        <v>4</v>
      </c>
      <c r="I14598" s="4" t="str">
        <v>×</v>
      </c>
      <c r="J14598" s="4"/>
      <c r="K14598" s="4"/>
      <c r="L14598" s="4"/>
      <c r="M14598" s="7" t="s">
        <v>6871</v>
      </c>
    </row>
    <row r="14599" customFormat="false" ht="15.75" hidden="false" customHeight="false" outlineLevel="0" collapsed="false">
      <c r="A14599" s="6" t="n">
        <f aca="false">DATE(2026,8,9)</f>
        <v>46243</v>
      </c>
      <c r="B14599" s="4" t="s">
        <v>179</v>
      </c>
      <c r="C14599" s="4" t="n">
        <v>10</v>
      </c>
      <c r="D14599" s="4" t="n">
        <v>13</v>
      </c>
      <c r="E14599" s="4"/>
      <c r="F14599" s="4" t="n">
        <v>25</v>
      </c>
      <c r="G14599" s="4" t="n">
        <v>5</v>
      </c>
      <c r="H14599" s="4" t="n">
        <v>4</v>
      </c>
      <c r="I14599" s="4" t="str">
        <v>×</v>
      </c>
      <c r="J14599" s="4"/>
      <c r="K14599" s="4"/>
      <c r="L14599" s="4"/>
      <c r="M14599" s="7" t="s">
        <v>6871</v>
      </c>
    </row>
    <row r="14600" customFormat="false" ht="15.75" hidden="false" customHeight="false" outlineLevel="0" collapsed="false">
      <c r="A14600" s="6" t="n">
        <f aca="false">DATE(2026,8,9)</f>
        <v>46243</v>
      </c>
      <c r="B14600" s="4" t="s">
        <v>179</v>
      </c>
      <c r="C14600" s="4" t="n">
        <v>10</v>
      </c>
      <c r="D14600" s="4" t="n">
        <v>8</v>
      </c>
      <c r="E14600" s="4"/>
      <c r="F14600" s="4" t="n">
        <v>20</v>
      </c>
      <c r="G14600" s="4" t="n">
        <v>6</v>
      </c>
      <c r="H14600" s="4" t="n">
        <v>4</v>
      </c>
      <c r="I14600" s="4" t="str">
        <v>×</v>
      </c>
      <c r="J14600" s="4"/>
      <c r="K14600" s="4"/>
      <c r="L14600" s="4"/>
      <c r="M14600" s="7" t="s">
        <v>6871</v>
      </c>
    </row>
    <row r="14601" customFormat="false" ht="15.75" hidden="false" customHeight="false" outlineLevel="0" collapsed="false">
      <c r="A14601" s="6" t="n">
        <f aca="false">DATE(2026,8,9)</f>
        <v>46243</v>
      </c>
      <c r="B14601" s="4" t="s">
        <v>179</v>
      </c>
      <c r="C14601" s="4" t="n">
        <v>10</v>
      </c>
      <c r="D14601" s="4" t="n">
        <v>7</v>
      </c>
      <c r="E14601" s="4"/>
      <c r="F14601" s="4" t="n">
        <v>17</v>
      </c>
      <c r="G14601" s="4" t="n">
        <v>7</v>
      </c>
      <c r="H14601" s="4" t="n">
        <v>4</v>
      </c>
      <c r="I14601" s="4" t="str">
        <v>×</v>
      </c>
      <c r="J14601" s="4"/>
      <c r="K14601" s="4"/>
      <c r="L14601" s="4"/>
      <c r="M14601" s="7" t="s">
        <v>6871</v>
      </c>
    </row>
    <row r="14602" customFormat="false" ht="15.75" hidden="false" customHeight="false" outlineLevel="0" collapsed="false">
      <c r="A14602" s="6" t="n">
        <f aca="false">DATE(2026,8,9)</f>
        <v>46243</v>
      </c>
      <c r="B14602" s="4" t="s">
        <v>179</v>
      </c>
      <c r="C14602" s="4" t="n">
        <v>10</v>
      </c>
      <c r="D14602" s="4" t="n">
        <v>14</v>
      </c>
      <c r="E14602" s="4"/>
      <c r="F14602" s="4" t="n">
        <v>17</v>
      </c>
      <c r="G14602" s="4" t="n">
        <v>8</v>
      </c>
      <c r="H14602" s="4" t="n">
        <v>4</v>
      </c>
      <c r="I14602" s="4" t="str">
        <v>×</v>
      </c>
      <c r="J14602" s="4"/>
      <c r="K14602" s="4"/>
      <c r="L14602" s="4"/>
      <c r="M14602" s="7" t="s">
        <v>6871</v>
      </c>
    </row>
    <row r="14603" customFormat="false" ht="15.75" hidden="false" customHeight="false" outlineLevel="0" collapsed="false">
      <c r="A14603" s="6" t="n">
        <f aca="false">DATE(2026,8,9)</f>
        <v>46243</v>
      </c>
      <c r="B14603" s="4" t="s">
        <v>179</v>
      </c>
      <c r="C14603" s="4" t="n">
        <v>10</v>
      </c>
      <c r="D14603" s="4" t="n">
        <v>9</v>
      </c>
      <c r="E14603" s="4"/>
      <c r="F14603" s="4" t="n">
        <v>15</v>
      </c>
      <c r="G14603" s="4" t="n">
        <v>9</v>
      </c>
      <c r="H14603" s="4" t="n">
        <v>4</v>
      </c>
      <c r="I14603" s="4" t="str">
        <v>×</v>
      </c>
      <c r="J14603" s="4"/>
      <c r="K14603" s="4"/>
      <c r="L14603" s="4"/>
      <c r="M14603" s="7" t="s">
        <v>6871</v>
      </c>
    </row>
    <row r="14604" customFormat="false" ht="15.75" hidden="false" customHeight="false" outlineLevel="0" collapsed="false">
      <c r="A14604" s="6" t="n">
        <f aca="false">DATE(2026,8,9)</f>
        <v>46243</v>
      </c>
      <c r="B14604" s="4" t="s">
        <v>179</v>
      </c>
      <c r="C14604" s="4" t="n">
        <v>10</v>
      </c>
      <c r="D14604" s="4" t="n">
        <v>4</v>
      </c>
      <c r="E14604" s="4"/>
      <c r="F14604" s="4" t="n">
        <v>13</v>
      </c>
      <c r="G14604" s="4" t="n">
        <v>10</v>
      </c>
      <c r="H14604" s="4" t="n">
        <v>4</v>
      </c>
      <c r="I14604" s="4" t="str">
        <v>×</v>
      </c>
      <c r="J14604" s="4"/>
      <c r="K14604" s="4"/>
      <c r="L14604" s="4"/>
      <c r="M14604" s="7" t="s">
        <v>6871</v>
      </c>
    </row>
    <row r="14605" customFormat="false" ht="15.75" hidden="false" customHeight="false" outlineLevel="0" collapsed="false">
      <c r="A14605" s="6" t="n">
        <f aca="false">DATE(2026,8,9)</f>
        <v>46243</v>
      </c>
      <c r="B14605" s="4" t="s">
        <v>179</v>
      </c>
      <c r="C14605" s="4" t="n">
        <v>10</v>
      </c>
      <c r="D14605" s="4" t="n">
        <v>5</v>
      </c>
      <c r="E14605" s="4"/>
      <c r="F14605" s="4" t="n">
        <v>13</v>
      </c>
      <c r="G14605" s="4" t="n">
        <v>11</v>
      </c>
      <c r="H14605" s="4" t="n">
        <v>4</v>
      </c>
      <c r="I14605" s="4" t="str">
        <v>×</v>
      </c>
      <c r="J14605" s="4"/>
      <c r="K14605" s="4"/>
      <c r="L14605" s="4"/>
      <c r="M14605" s="7" t="s">
        <v>6871</v>
      </c>
    </row>
    <row r="14606" customFormat="false" ht="15.75" hidden="false" customHeight="false" outlineLevel="0" collapsed="false">
      <c r="A14606" s="6" t="n">
        <f aca="false">DATE(2026,8,9)</f>
        <v>46243</v>
      </c>
      <c r="B14606" s="4" t="s">
        <v>179</v>
      </c>
      <c r="C14606" s="4" t="n">
        <v>10</v>
      </c>
      <c r="D14606" s="4" t="n">
        <v>16</v>
      </c>
      <c r="E14606" s="4"/>
      <c r="F14606" s="4" t="n">
        <v>13</v>
      </c>
      <c r="G14606" s="4" t="n">
        <v>12</v>
      </c>
      <c r="H14606" s="4" t="n">
        <v>4</v>
      </c>
      <c r="I14606" s="4" t="str">
        <v>×</v>
      </c>
      <c r="J14606" s="4"/>
      <c r="K14606" s="4"/>
      <c r="L14606" s="4"/>
      <c r="M14606" s="7" t="s">
        <v>6871</v>
      </c>
    </row>
    <row r="14607" customFormat="false" ht="15.75" hidden="false" customHeight="false" outlineLevel="0" collapsed="false">
      <c r="A14607" s="6" t="n">
        <f aca="false">DATE(2026,8,9)</f>
        <v>46243</v>
      </c>
      <c r="B14607" s="4" t="s">
        <v>179</v>
      </c>
      <c r="C14607" s="4" t="n">
        <v>10</v>
      </c>
      <c r="D14607" s="4" t="n">
        <v>1</v>
      </c>
      <c r="E14607" s="4"/>
      <c r="F14607" s="4" t="n">
        <v>10</v>
      </c>
      <c r="G14607" s="4" t="n">
        <v>13</v>
      </c>
      <c r="H14607" s="4" t="n">
        <v>4</v>
      </c>
      <c r="I14607" s="4" t="str">
        <v>×</v>
      </c>
      <c r="J14607" s="4"/>
      <c r="K14607" s="4"/>
      <c r="L14607" s="4"/>
      <c r="M14607" s="7" t="s">
        <v>6871</v>
      </c>
    </row>
    <row r="14608" customFormat="false" ht="15.75" hidden="false" customHeight="false" outlineLevel="0" collapsed="false">
      <c r="A14608" s="6" t="n">
        <f aca="false">DATE(2026,8,9)</f>
        <v>46243</v>
      </c>
      <c r="B14608" s="4" t="s">
        <v>179</v>
      </c>
      <c r="C14608" s="4" t="n">
        <v>10</v>
      </c>
      <c r="D14608" s="4" t="n">
        <v>3</v>
      </c>
      <c r="E14608" s="4"/>
      <c r="F14608" s="4" t="n">
        <v>10</v>
      </c>
      <c r="G14608" s="4" t="n">
        <v>14</v>
      </c>
      <c r="H14608" s="4" t="n">
        <v>4</v>
      </c>
      <c r="I14608" s="4" t="str">
        <v>×</v>
      </c>
      <c r="J14608" s="4"/>
      <c r="K14608" s="4"/>
      <c r="L14608" s="4"/>
      <c r="M14608" s="7" t="s">
        <v>6871</v>
      </c>
    </row>
    <row r="14609" customFormat="false" ht="15.75" hidden="false" customHeight="false" outlineLevel="0" collapsed="false">
      <c r="A14609" s="6" t="n">
        <f aca="false">DATE(2026,8,9)</f>
        <v>46243</v>
      </c>
      <c r="B14609" s="4" t="s">
        <v>179</v>
      </c>
      <c r="C14609" s="4" t="n">
        <v>10</v>
      </c>
      <c r="D14609" s="4" t="n">
        <v>15</v>
      </c>
      <c r="E14609" s="4"/>
      <c r="F14609" s="4" t="n">
        <v>6</v>
      </c>
      <c r="G14609" s="4" t="n">
        <v>15</v>
      </c>
      <c r="H14609" s="4" t="n">
        <v>4</v>
      </c>
      <c r="I14609" s="4" t="str">
        <v>×</v>
      </c>
      <c r="J14609" s="4"/>
      <c r="K14609" s="4"/>
      <c r="L14609" s="4"/>
      <c r="M14609" s="7" t="s">
        <v>6871</v>
      </c>
    </row>
    <row r="14610" customFormat="false" ht="15.75" hidden="false" customHeight="false" outlineLevel="0" collapsed="false">
      <c r="A14610" s="6" t="n">
        <f aca="false">DATE(2026,8,9)</f>
        <v>46243</v>
      </c>
      <c r="B14610" s="4" t="s">
        <v>179</v>
      </c>
      <c r="C14610" s="4" t="n">
        <v>10</v>
      </c>
      <c r="D14610" s="4" t="n">
        <v>6</v>
      </c>
      <c r="E14610" s="4" t="s">
        <v>3663</v>
      </c>
      <c r="F14610" s="4" t="n">
        <v>2</v>
      </c>
      <c r="G14610" s="4" t="n">
        <v>16</v>
      </c>
      <c r="H14610" s="4" t="n">
        <v>1</v>
      </c>
      <c r="I14610" s="4" t="str">
        <v>○</v>
      </c>
      <c r="J14610" s="4" t="n">
        <v>2310</v>
      </c>
      <c r="K14610" s="4"/>
      <c r="L14610" s="4"/>
      <c r="M14610" s="7" t="s">
        <v>6871</v>
      </c>
    </row>
    <row r="14611" customFormat="false" ht="15.75" hidden="false" customHeight="false" outlineLevel="0" collapsed="false">
      <c r="A14611" s="6" t="n">
        <f aca="false">DATE(2026,8,9)</f>
        <v>46243</v>
      </c>
      <c r="B14611" s="4" t="s">
        <v>179</v>
      </c>
      <c r="C14611" s="4" t="n">
        <v>11</v>
      </c>
      <c r="D14611" s="4" t="n">
        <v>9</v>
      </c>
      <c r="E14611" s="4"/>
      <c r="F14611" s="4" t="n">
        <v>47</v>
      </c>
      <c r="G14611" s="4" t="n">
        <v>1</v>
      </c>
      <c r="H14611" s="4" t="n">
        <v>4</v>
      </c>
      <c r="I14611" s="4" t="str">
        <v>×</v>
      </c>
      <c r="J14611" s="4"/>
      <c r="K14611" s="4"/>
      <c r="L14611" s="4"/>
      <c r="M14611" s="7" t="s">
        <v>6871</v>
      </c>
    </row>
    <row r="14612" customFormat="false" ht="15.75" hidden="false" customHeight="false" outlineLevel="0" collapsed="false">
      <c r="A14612" s="6" t="n">
        <f aca="false">DATE(2026,8,9)</f>
        <v>46243</v>
      </c>
      <c r="B14612" s="4" t="s">
        <v>179</v>
      </c>
      <c r="C14612" s="4" t="n">
        <v>11</v>
      </c>
      <c r="D14612" s="4" t="n">
        <v>15</v>
      </c>
      <c r="E14612" s="4"/>
      <c r="F14612" s="4" t="n">
        <v>47</v>
      </c>
      <c r="G14612" s="4" t="n">
        <v>2</v>
      </c>
      <c r="H14612" s="4" t="n">
        <v>4</v>
      </c>
      <c r="I14612" s="4" t="str">
        <v>×</v>
      </c>
      <c r="J14612" s="4"/>
      <c r="K14612" s="4"/>
      <c r="L14612" s="4"/>
      <c r="M14612" s="7" t="s">
        <v>6871</v>
      </c>
    </row>
    <row r="14613" customFormat="false" ht="15.75" hidden="false" customHeight="false" outlineLevel="0" collapsed="false">
      <c r="A14613" s="6" t="n">
        <f aca="false">DATE(2026,8,9)</f>
        <v>46243</v>
      </c>
      <c r="B14613" s="4" t="s">
        <v>179</v>
      </c>
      <c r="C14613" s="4" t="n">
        <v>11</v>
      </c>
      <c r="D14613" s="4" t="n">
        <v>14</v>
      </c>
      <c r="E14613" s="4"/>
      <c r="F14613" s="4" t="n">
        <v>44</v>
      </c>
      <c r="G14613" s="4" t="n">
        <v>3</v>
      </c>
      <c r="H14613" s="4" t="n">
        <v>4</v>
      </c>
      <c r="I14613" s="4" t="str">
        <v>×</v>
      </c>
      <c r="J14613" s="4"/>
      <c r="K14613" s="4"/>
      <c r="L14613" s="4"/>
      <c r="M14613" s="7" t="s">
        <v>6871</v>
      </c>
    </row>
    <row r="14614" customFormat="false" ht="15.75" hidden="false" customHeight="false" outlineLevel="0" collapsed="false">
      <c r="A14614" s="6" t="n">
        <f aca="false">DATE(2026,8,9)</f>
        <v>46243</v>
      </c>
      <c r="B14614" s="4" t="s">
        <v>179</v>
      </c>
      <c r="C14614" s="4" t="n">
        <v>11</v>
      </c>
      <c r="D14614" s="4" t="n">
        <v>6</v>
      </c>
      <c r="E14614" s="4"/>
      <c r="F14614" s="4" t="n">
        <v>34</v>
      </c>
      <c r="G14614" s="4" t="n">
        <v>4</v>
      </c>
      <c r="H14614" s="4" t="n">
        <v>4</v>
      </c>
      <c r="I14614" s="4" t="str">
        <v>×</v>
      </c>
      <c r="J14614" s="4"/>
      <c r="K14614" s="4"/>
      <c r="L14614" s="4"/>
      <c r="M14614" s="7" t="s">
        <v>6871</v>
      </c>
    </row>
    <row r="14615" customFormat="false" ht="15.75" hidden="false" customHeight="false" outlineLevel="0" collapsed="false">
      <c r="A14615" s="6" t="n">
        <f aca="false">DATE(2026,8,9)</f>
        <v>46243</v>
      </c>
      <c r="B14615" s="4" t="s">
        <v>179</v>
      </c>
      <c r="C14615" s="4" t="n">
        <v>11</v>
      </c>
      <c r="D14615" s="4" t="n">
        <v>1</v>
      </c>
      <c r="E14615" s="4" t="s">
        <v>6913</v>
      </c>
      <c r="F14615" s="4" t="n">
        <v>29</v>
      </c>
      <c r="G14615" s="4" t="n">
        <v>5</v>
      </c>
      <c r="H14615" s="4" t="n">
        <v>2</v>
      </c>
      <c r="I14615" s="4" t="str">
        <v>○</v>
      </c>
      <c r="J14615" s="4" t="n">
        <v>180</v>
      </c>
      <c r="K14615" s="4"/>
      <c r="L14615" s="4"/>
      <c r="M14615" s="7" t="s">
        <v>6871</v>
      </c>
    </row>
    <row r="14616" customFormat="false" ht="15.75" hidden="false" customHeight="false" outlineLevel="0" collapsed="false">
      <c r="A14616" s="6" t="n">
        <f aca="false">DATE(2026,8,9)</f>
        <v>46243</v>
      </c>
      <c r="B14616" s="4" t="s">
        <v>179</v>
      </c>
      <c r="C14616" s="4" t="n">
        <v>11</v>
      </c>
      <c r="D14616" s="4" t="n">
        <v>16</v>
      </c>
      <c r="E14616" s="4"/>
      <c r="F14616" s="4" t="n">
        <v>20</v>
      </c>
      <c r="G14616" s="4" t="n">
        <v>6</v>
      </c>
      <c r="H14616" s="4" t="n">
        <v>4</v>
      </c>
      <c r="I14616" s="4" t="str">
        <v>×</v>
      </c>
      <c r="J14616" s="4"/>
      <c r="K14616" s="4"/>
      <c r="L14616" s="4"/>
      <c r="M14616" s="7" t="s">
        <v>6871</v>
      </c>
    </row>
    <row r="14617" customFormat="false" ht="15.75" hidden="false" customHeight="false" outlineLevel="0" collapsed="false">
      <c r="A14617" s="6" t="n">
        <f aca="false">DATE(2026,8,9)</f>
        <v>46243</v>
      </c>
      <c r="B14617" s="4" t="s">
        <v>179</v>
      </c>
      <c r="C14617" s="4" t="n">
        <v>11</v>
      </c>
      <c r="D14617" s="4" t="n">
        <v>5</v>
      </c>
      <c r="E14617" s="4"/>
      <c r="F14617" s="4" t="n">
        <v>17</v>
      </c>
      <c r="G14617" s="4" t="n">
        <v>7</v>
      </c>
      <c r="H14617" s="4" t="n">
        <v>4</v>
      </c>
      <c r="I14617" s="4" t="str">
        <v>×</v>
      </c>
      <c r="J14617" s="4"/>
      <c r="K14617" s="4"/>
      <c r="L14617" s="4"/>
      <c r="M14617" s="7" t="s">
        <v>6871</v>
      </c>
    </row>
    <row r="14618" customFormat="false" ht="15.75" hidden="false" customHeight="false" outlineLevel="0" collapsed="false">
      <c r="A14618" s="6" t="n">
        <f aca="false">DATE(2026,8,9)</f>
        <v>46243</v>
      </c>
      <c r="B14618" s="4" t="s">
        <v>179</v>
      </c>
      <c r="C14618" s="4" t="n">
        <v>11</v>
      </c>
      <c r="D14618" s="4" t="n">
        <v>7</v>
      </c>
      <c r="E14618" s="4"/>
      <c r="F14618" s="4" t="n">
        <v>17</v>
      </c>
      <c r="G14618" s="4" t="n">
        <v>8</v>
      </c>
      <c r="H14618" s="4" t="n">
        <v>4</v>
      </c>
      <c r="I14618" s="4" t="str">
        <v>×</v>
      </c>
      <c r="J14618" s="4"/>
      <c r="K14618" s="4"/>
      <c r="L14618" s="4"/>
      <c r="M14618" s="7" t="s">
        <v>6871</v>
      </c>
    </row>
    <row r="14619" customFormat="false" ht="15.75" hidden="false" customHeight="false" outlineLevel="0" collapsed="false">
      <c r="A14619" s="6" t="n">
        <f aca="false">DATE(2026,8,9)</f>
        <v>46243</v>
      </c>
      <c r="B14619" s="4" t="s">
        <v>179</v>
      </c>
      <c r="C14619" s="4" t="n">
        <v>11</v>
      </c>
      <c r="D14619" s="4" t="n">
        <v>3</v>
      </c>
      <c r="E14619" s="4" t="s">
        <v>2556</v>
      </c>
      <c r="F14619" s="4" t="n">
        <v>13</v>
      </c>
      <c r="G14619" s="4" t="n">
        <v>9</v>
      </c>
      <c r="H14619" s="4" t="n">
        <v>3</v>
      </c>
      <c r="I14619" s="4" t="str">
        <v>○</v>
      </c>
      <c r="J14619" s="4" t="n">
        <v>400</v>
      </c>
      <c r="K14619" s="4"/>
      <c r="L14619" s="4"/>
      <c r="M14619" s="7" t="s">
        <v>6871</v>
      </c>
    </row>
    <row r="14620" customFormat="false" ht="15.75" hidden="false" customHeight="false" outlineLevel="0" collapsed="false">
      <c r="A14620" s="6" t="n">
        <f aca="false">DATE(2026,8,9)</f>
        <v>46243</v>
      </c>
      <c r="B14620" s="4" t="s">
        <v>179</v>
      </c>
      <c r="C14620" s="4" t="n">
        <v>11</v>
      </c>
      <c r="D14620" s="4" t="n">
        <v>4</v>
      </c>
      <c r="E14620" s="4"/>
      <c r="F14620" s="4" t="n">
        <v>10</v>
      </c>
      <c r="G14620" s="4" t="n">
        <v>10</v>
      </c>
      <c r="H14620" s="4" t="n">
        <v>4</v>
      </c>
      <c r="I14620" s="4" t="str">
        <v>×</v>
      </c>
      <c r="J14620" s="4"/>
      <c r="K14620" s="4"/>
      <c r="L14620" s="4"/>
      <c r="M14620" s="7" t="s">
        <v>6871</v>
      </c>
    </row>
    <row r="14621" customFormat="false" ht="15.75" hidden="false" customHeight="false" outlineLevel="0" collapsed="false">
      <c r="A14621" s="6" t="n">
        <f aca="false">DATE(2026,8,9)</f>
        <v>46243</v>
      </c>
      <c r="B14621" s="4" t="s">
        <v>179</v>
      </c>
      <c r="C14621" s="4" t="n">
        <v>11</v>
      </c>
      <c r="D14621" s="4" t="n">
        <v>13</v>
      </c>
      <c r="E14621" s="4"/>
      <c r="F14621" s="4" t="n">
        <v>6</v>
      </c>
      <c r="G14621" s="4" t="n">
        <v>11</v>
      </c>
      <c r="H14621" s="4" t="n">
        <v>4</v>
      </c>
      <c r="I14621" s="4" t="str">
        <v>×</v>
      </c>
      <c r="J14621" s="4"/>
      <c r="K14621" s="4"/>
      <c r="L14621" s="4"/>
      <c r="M14621" s="7" t="s">
        <v>6871</v>
      </c>
    </row>
    <row r="14622" customFormat="false" ht="15.75" hidden="false" customHeight="false" outlineLevel="0" collapsed="false">
      <c r="A14622" s="6" t="n">
        <f aca="false">DATE(2026,8,9)</f>
        <v>46243</v>
      </c>
      <c r="B14622" s="4" t="s">
        <v>179</v>
      </c>
      <c r="C14622" s="4" t="n">
        <v>11</v>
      </c>
      <c r="D14622" s="4" t="n">
        <v>18</v>
      </c>
      <c r="E14622" s="4"/>
      <c r="F14622" s="4" t="n">
        <v>6</v>
      </c>
      <c r="G14622" s="4" t="n">
        <v>12</v>
      </c>
      <c r="H14622" s="4" t="n">
        <v>4</v>
      </c>
      <c r="I14622" s="4" t="str">
        <v>×</v>
      </c>
      <c r="J14622" s="4"/>
      <c r="K14622" s="4"/>
      <c r="L14622" s="4"/>
      <c r="M14622" s="7" t="s">
        <v>6871</v>
      </c>
    </row>
    <row r="14623" customFormat="false" ht="15.75" hidden="false" customHeight="false" outlineLevel="0" collapsed="false">
      <c r="A14623" s="6" t="n">
        <f aca="false">DATE(2026,8,9)</f>
        <v>46243</v>
      </c>
      <c r="B14623" s="4" t="s">
        <v>179</v>
      </c>
      <c r="C14623" s="4" t="n">
        <v>11</v>
      </c>
      <c r="D14623" s="4" t="n">
        <v>8</v>
      </c>
      <c r="E14623" s="4"/>
      <c r="F14623" s="4" t="n">
        <v>4</v>
      </c>
      <c r="G14623" s="4" t="n">
        <v>13</v>
      </c>
      <c r="H14623" s="4" t="n">
        <v>4</v>
      </c>
      <c r="I14623" s="4" t="str">
        <v>×</v>
      </c>
      <c r="J14623" s="4"/>
      <c r="K14623" s="4"/>
      <c r="L14623" s="4"/>
      <c r="M14623" s="7" t="s">
        <v>6871</v>
      </c>
    </row>
    <row r="14624" customFormat="false" ht="15.75" hidden="false" customHeight="false" outlineLevel="0" collapsed="false">
      <c r="A14624" s="6" t="n">
        <f aca="false">DATE(2026,8,9)</f>
        <v>46243</v>
      </c>
      <c r="B14624" s="4" t="s">
        <v>179</v>
      </c>
      <c r="C14624" s="4" t="n">
        <v>11</v>
      </c>
      <c r="D14624" s="4" t="n">
        <v>11</v>
      </c>
      <c r="E14624" s="4" t="s">
        <v>6582</v>
      </c>
      <c r="F14624" s="4" t="n">
        <v>4</v>
      </c>
      <c r="G14624" s="4" t="n">
        <v>14</v>
      </c>
      <c r="H14624" s="4" t="n">
        <v>1</v>
      </c>
      <c r="I14624" s="4" t="str">
        <v>○</v>
      </c>
      <c r="J14624" s="4" t="n">
        <v>1330</v>
      </c>
      <c r="K14624" s="4"/>
      <c r="L14624" s="4"/>
      <c r="M14624" s="7" t="s">
        <v>6871</v>
      </c>
    </row>
    <row r="14625" customFormat="false" ht="15.75" hidden="false" customHeight="false" outlineLevel="0" collapsed="false">
      <c r="A14625" s="6" t="n">
        <f aca="false">DATE(2026,8,9)</f>
        <v>46243</v>
      </c>
      <c r="B14625" s="4" t="s">
        <v>179</v>
      </c>
      <c r="C14625" s="4" t="n">
        <v>11</v>
      </c>
      <c r="D14625" s="4" t="n">
        <v>2</v>
      </c>
      <c r="E14625" s="4"/>
      <c r="F14625" s="4" t="n">
        <v>3</v>
      </c>
      <c r="G14625" s="4" t="n">
        <v>15</v>
      </c>
      <c r="H14625" s="4" t="n">
        <v>4</v>
      </c>
      <c r="I14625" s="4" t="str">
        <v>×</v>
      </c>
      <c r="J14625" s="4"/>
      <c r="K14625" s="4"/>
      <c r="L14625" s="4"/>
      <c r="M14625" s="7" t="s">
        <v>6871</v>
      </c>
    </row>
    <row r="14626" customFormat="false" ht="15.75" hidden="false" customHeight="false" outlineLevel="0" collapsed="false">
      <c r="A14626" s="6" t="n">
        <f aca="false">DATE(2026,8,9)</f>
        <v>46243</v>
      </c>
      <c r="B14626" s="4" t="s">
        <v>179</v>
      </c>
      <c r="C14626" s="4" t="n">
        <v>11</v>
      </c>
      <c r="D14626" s="4" t="n">
        <v>17</v>
      </c>
      <c r="E14626" s="4"/>
      <c r="F14626" s="4" t="n">
        <v>3</v>
      </c>
      <c r="G14626" s="4" t="n">
        <v>16</v>
      </c>
      <c r="H14626" s="4" t="n">
        <v>4</v>
      </c>
      <c r="I14626" s="4" t="str">
        <v>×</v>
      </c>
      <c r="J14626" s="4"/>
      <c r="K14626" s="4"/>
      <c r="L14626" s="4"/>
      <c r="M14626" s="7" t="s">
        <v>6871</v>
      </c>
    </row>
    <row r="14627" customFormat="false" ht="15.75" hidden="false" customHeight="false" outlineLevel="0" collapsed="false">
      <c r="A14627" s="6" t="n">
        <f aca="false">DATE(2026,8,9)</f>
        <v>46243</v>
      </c>
      <c r="B14627" s="4" t="s">
        <v>179</v>
      </c>
      <c r="C14627" s="4" t="n">
        <v>11</v>
      </c>
      <c r="D14627" s="4" t="n">
        <v>10</v>
      </c>
      <c r="E14627" s="4"/>
      <c r="F14627" s="4" t="n">
        <v>1</v>
      </c>
      <c r="G14627" s="4" t="n">
        <v>17</v>
      </c>
      <c r="H14627" s="4" t="n">
        <v>4</v>
      </c>
      <c r="I14627" s="4" t="str">
        <v>×</v>
      </c>
      <c r="J14627" s="4"/>
      <c r="K14627" s="4"/>
      <c r="L14627" s="4"/>
      <c r="M14627" s="7" t="s">
        <v>6871</v>
      </c>
    </row>
    <row r="14628" customFormat="false" ht="15.75" hidden="false" customHeight="false" outlineLevel="0" collapsed="false">
      <c r="A14628" s="6" t="n">
        <f aca="false">DATE(2026,8,9)</f>
        <v>46243</v>
      </c>
      <c r="B14628" s="4" t="s">
        <v>179</v>
      </c>
      <c r="C14628" s="4" t="n">
        <v>11</v>
      </c>
      <c r="D14628" s="4" t="n">
        <v>12</v>
      </c>
      <c r="E14628" s="4"/>
      <c r="F14628" s="4" t="n">
        <v>1</v>
      </c>
      <c r="G14628" s="4" t="n">
        <v>18</v>
      </c>
      <c r="H14628" s="4" t="n">
        <v>4</v>
      </c>
      <c r="I14628" s="4" t="str">
        <v>×</v>
      </c>
      <c r="J14628" s="4"/>
      <c r="K14628" s="4"/>
      <c r="L14628" s="4"/>
      <c r="M14628" s="7" t="s">
        <v>6871</v>
      </c>
    </row>
    <row r="14629" customFormat="false" ht="15.75" hidden="false" customHeight="false" outlineLevel="0" collapsed="false">
      <c r="A14629" s="6" t="n">
        <f aca="false">DATE(2026,8,9)</f>
        <v>46243</v>
      </c>
      <c r="B14629" s="4" t="s">
        <v>179</v>
      </c>
      <c r="C14629" s="4" t="n">
        <v>12</v>
      </c>
      <c r="D14629" s="4" t="n">
        <v>13</v>
      </c>
      <c r="E14629" s="4" t="s">
        <v>321</v>
      </c>
      <c r="F14629" s="4" t="n">
        <v>58</v>
      </c>
      <c r="G14629" s="4" t="n">
        <v>1</v>
      </c>
      <c r="H14629" s="4" t="n">
        <v>2</v>
      </c>
      <c r="I14629" s="4" t="str">
        <v>○</v>
      </c>
      <c r="J14629" s="4" t="n">
        <v>120</v>
      </c>
      <c r="K14629" s="4"/>
      <c r="L14629" s="4"/>
      <c r="M14629" s="7" t="s">
        <v>6871</v>
      </c>
    </row>
    <row r="14630" customFormat="false" ht="15.75" hidden="false" customHeight="false" outlineLevel="0" collapsed="false">
      <c r="A14630" s="6" t="n">
        <f aca="false">DATE(2026,8,9)</f>
        <v>46243</v>
      </c>
      <c r="B14630" s="4" t="s">
        <v>179</v>
      </c>
      <c r="C14630" s="4" t="n">
        <v>12</v>
      </c>
      <c r="D14630" s="4" t="n">
        <v>9</v>
      </c>
      <c r="E14630" s="4"/>
      <c r="F14630" s="4" t="n">
        <v>37</v>
      </c>
      <c r="G14630" s="4" t="n">
        <v>2</v>
      </c>
      <c r="H14630" s="4" t="n">
        <v>4</v>
      </c>
      <c r="I14630" s="4" t="str">
        <v>×</v>
      </c>
      <c r="J14630" s="4"/>
      <c r="K14630" s="4"/>
      <c r="L14630" s="4"/>
      <c r="M14630" s="7" t="s">
        <v>6871</v>
      </c>
    </row>
    <row r="14631" customFormat="false" ht="15.75" hidden="false" customHeight="false" outlineLevel="0" collapsed="false">
      <c r="A14631" s="6" t="n">
        <f aca="false">DATE(2026,8,9)</f>
        <v>46243</v>
      </c>
      <c r="B14631" s="4" t="s">
        <v>179</v>
      </c>
      <c r="C14631" s="4" t="n">
        <v>12</v>
      </c>
      <c r="D14631" s="4" t="n">
        <v>7</v>
      </c>
      <c r="E14631" s="4"/>
      <c r="F14631" s="4" t="n">
        <v>44</v>
      </c>
      <c r="G14631" s="4" t="n">
        <v>3</v>
      </c>
      <c r="H14631" s="4" t="n">
        <v>4</v>
      </c>
      <c r="I14631" s="4" t="str">
        <v>×</v>
      </c>
      <c r="J14631" s="4"/>
      <c r="K14631" s="4"/>
      <c r="L14631" s="4"/>
      <c r="M14631" s="7" t="s">
        <v>6871</v>
      </c>
    </row>
    <row r="14632" customFormat="false" ht="15.75" hidden="false" customHeight="false" outlineLevel="0" collapsed="false">
      <c r="A14632" s="6" t="n">
        <f aca="false">DATE(2026,8,9)</f>
        <v>46243</v>
      </c>
      <c r="B14632" s="4" t="s">
        <v>179</v>
      </c>
      <c r="C14632" s="4" t="n">
        <v>12</v>
      </c>
      <c r="D14632" s="4" t="n">
        <v>16</v>
      </c>
      <c r="E14632" s="4"/>
      <c r="F14632" s="4" t="n">
        <v>34</v>
      </c>
      <c r="G14632" s="4" t="n">
        <v>4</v>
      </c>
      <c r="H14632" s="4" t="n">
        <v>4</v>
      </c>
      <c r="I14632" s="4" t="str">
        <v>×</v>
      </c>
      <c r="J14632" s="4"/>
      <c r="K14632" s="4"/>
      <c r="L14632" s="4"/>
      <c r="M14632" s="7" t="s">
        <v>6871</v>
      </c>
    </row>
    <row r="14633" customFormat="false" ht="15.75" hidden="false" customHeight="false" outlineLevel="0" collapsed="false">
      <c r="A14633" s="6" t="n">
        <f aca="false">DATE(2026,8,9)</f>
        <v>46243</v>
      </c>
      <c r="B14633" s="4" t="s">
        <v>179</v>
      </c>
      <c r="C14633" s="4" t="n">
        <v>12</v>
      </c>
      <c r="D14633" s="4" t="n">
        <v>3</v>
      </c>
      <c r="E14633" s="4" t="s">
        <v>4632</v>
      </c>
      <c r="F14633" s="4" t="n">
        <v>31</v>
      </c>
      <c r="G14633" s="4" t="n">
        <v>5</v>
      </c>
      <c r="H14633" s="4" t="n">
        <v>1</v>
      </c>
      <c r="I14633" s="4" t="str">
        <v>○</v>
      </c>
      <c r="J14633" s="4" t="n">
        <v>140</v>
      </c>
      <c r="K14633" s="4"/>
      <c r="L14633" s="4"/>
      <c r="M14633" s="7" t="s">
        <v>6871</v>
      </c>
    </row>
    <row r="14634" customFormat="false" ht="15.75" hidden="false" customHeight="false" outlineLevel="0" collapsed="false">
      <c r="A14634" s="6" t="n">
        <f aca="false">DATE(2026,8,9)</f>
        <v>46243</v>
      </c>
      <c r="B14634" s="4" t="s">
        <v>179</v>
      </c>
      <c r="C14634" s="4" t="n">
        <v>12</v>
      </c>
      <c r="D14634" s="4" t="n">
        <v>10</v>
      </c>
      <c r="E14634" s="4"/>
      <c r="F14634" s="4" t="n">
        <v>31</v>
      </c>
      <c r="G14634" s="4" t="n">
        <v>6</v>
      </c>
      <c r="H14634" s="4" t="n">
        <v>4</v>
      </c>
      <c r="I14634" s="4" t="str">
        <v>×</v>
      </c>
      <c r="J14634" s="4"/>
      <c r="K14634" s="4"/>
      <c r="L14634" s="4"/>
      <c r="M14634" s="7" t="s">
        <v>6871</v>
      </c>
    </row>
    <row r="14635" customFormat="false" ht="15.75" hidden="false" customHeight="false" outlineLevel="0" collapsed="false">
      <c r="A14635" s="6" t="n">
        <f aca="false">DATE(2026,8,9)</f>
        <v>46243</v>
      </c>
      <c r="B14635" s="4" t="s">
        <v>179</v>
      </c>
      <c r="C14635" s="4" t="n">
        <v>12</v>
      </c>
      <c r="D14635" s="4" t="n">
        <v>2</v>
      </c>
      <c r="E14635" s="4" t="s">
        <v>6914</v>
      </c>
      <c r="F14635" s="4" t="n">
        <v>23</v>
      </c>
      <c r="G14635" s="4" t="n">
        <v>7</v>
      </c>
      <c r="H14635" s="4" t="n">
        <v>3</v>
      </c>
      <c r="I14635" s="4" t="str">
        <v>○</v>
      </c>
      <c r="J14635" s="4" t="n">
        <v>220</v>
      </c>
      <c r="K14635" s="4"/>
      <c r="L14635" s="4"/>
      <c r="M14635" s="7" t="s">
        <v>6871</v>
      </c>
    </row>
    <row r="14636" customFormat="false" ht="15.75" hidden="false" customHeight="false" outlineLevel="0" collapsed="false">
      <c r="A14636" s="6" t="n">
        <f aca="false">DATE(2026,8,9)</f>
        <v>46243</v>
      </c>
      <c r="B14636" s="4" t="s">
        <v>179</v>
      </c>
      <c r="C14636" s="4" t="n">
        <v>12</v>
      </c>
      <c r="D14636" s="4" t="n">
        <v>1</v>
      </c>
      <c r="E14636" s="4"/>
      <c r="F14636" s="4" t="n">
        <v>13</v>
      </c>
      <c r="G14636" s="4" t="n">
        <v>8</v>
      </c>
      <c r="H14636" s="4" t="n">
        <v>4</v>
      </c>
      <c r="I14636" s="4" t="str">
        <v>×</v>
      </c>
      <c r="J14636" s="4"/>
      <c r="K14636" s="4"/>
      <c r="L14636" s="4"/>
      <c r="M14636" s="7" t="s">
        <v>6871</v>
      </c>
    </row>
    <row r="14637" customFormat="false" ht="15.75" hidden="false" customHeight="false" outlineLevel="0" collapsed="false">
      <c r="A14637" s="6" t="n">
        <f aca="false">DATE(2026,8,9)</f>
        <v>46243</v>
      </c>
      <c r="B14637" s="4" t="s">
        <v>179</v>
      </c>
      <c r="C14637" s="4" t="n">
        <v>12</v>
      </c>
      <c r="D14637" s="4" t="n">
        <v>5</v>
      </c>
      <c r="E14637" s="4"/>
      <c r="F14637" s="4" t="n">
        <v>13</v>
      </c>
      <c r="G14637" s="4" t="n">
        <v>9</v>
      </c>
      <c r="H14637" s="4" t="n">
        <v>4</v>
      </c>
      <c r="I14637" s="4" t="str">
        <v>×</v>
      </c>
      <c r="J14637" s="4"/>
      <c r="K14637" s="4"/>
      <c r="L14637" s="4"/>
      <c r="M14637" s="7" t="s">
        <v>6871</v>
      </c>
    </row>
    <row r="14638" customFormat="false" ht="15.75" hidden="false" customHeight="false" outlineLevel="0" collapsed="false">
      <c r="A14638" s="6" t="n">
        <f aca="false">DATE(2026,8,9)</f>
        <v>46243</v>
      </c>
      <c r="B14638" s="4" t="s">
        <v>179</v>
      </c>
      <c r="C14638" s="4" t="n">
        <v>12</v>
      </c>
      <c r="D14638" s="4" t="n">
        <v>6</v>
      </c>
      <c r="E14638" s="4"/>
      <c r="F14638" s="4" t="n">
        <v>13</v>
      </c>
      <c r="G14638" s="4" t="n">
        <v>10</v>
      </c>
      <c r="H14638" s="4" t="n">
        <v>4</v>
      </c>
      <c r="I14638" s="4" t="str">
        <v>×</v>
      </c>
      <c r="J14638" s="4"/>
      <c r="K14638" s="4"/>
      <c r="L14638" s="4"/>
      <c r="M14638" s="7" t="s">
        <v>6871</v>
      </c>
    </row>
    <row r="14639" customFormat="false" ht="15.75" hidden="false" customHeight="false" outlineLevel="0" collapsed="false">
      <c r="A14639" s="6" t="n">
        <f aca="false">DATE(2026,8,9)</f>
        <v>46243</v>
      </c>
      <c r="B14639" s="4" t="s">
        <v>179</v>
      </c>
      <c r="C14639" s="4" t="n">
        <v>12</v>
      </c>
      <c r="D14639" s="4" t="n">
        <v>4</v>
      </c>
      <c r="E14639" s="4"/>
      <c r="F14639" s="4" t="n">
        <v>10</v>
      </c>
      <c r="G14639" s="4" t="n">
        <v>11</v>
      </c>
      <c r="H14639" s="4" t="n">
        <v>4</v>
      </c>
      <c r="I14639" s="4" t="str">
        <v>×</v>
      </c>
      <c r="J14639" s="4"/>
      <c r="K14639" s="4"/>
      <c r="L14639" s="4"/>
      <c r="M14639" s="7" t="s">
        <v>6871</v>
      </c>
    </row>
    <row r="14640" customFormat="false" ht="15.75" hidden="false" customHeight="false" outlineLevel="0" collapsed="false">
      <c r="A14640" s="6" t="n">
        <f aca="false">DATE(2026,8,9)</f>
        <v>46243</v>
      </c>
      <c r="B14640" s="4" t="s">
        <v>179</v>
      </c>
      <c r="C14640" s="4" t="n">
        <v>12</v>
      </c>
      <c r="D14640" s="4" t="n">
        <v>14</v>
      </c>
      <c r="E14640" s="4"/>
      <c r="F14640" s="4" t="n">
        <v>10</v>
      </c>
      <c r="G14640" s="4" t="n">
        <v>12</v>
      </c>
      <c r="H14640" s="4" t="n">
        <v>4</v>
      </c>
      <c r="I14640" s="4" t="str">
        <v>×</v>
      </c>
      <c r="J14640" s="4"/>
      <c r="K14640" s="4"/>
      <c r="L14640" s="4"/>
      <c r="M14640" s="7" t="s">
        <v>6871</v>
      </c>
    </row>
    <row r="14641" customFormat="false" ht="15.75" hidden="false" customHeight="false" outlineLevel="0" collapsed="false">
      <c r="A14641" s="6" t="n">
        <f aca="false">DATE(2026,8,9)</f>
        <v>46243</v>
      </c>
      <c r="B14641" s="4" t="s">
        <v>179</v>
      </c>
      <c r="C14641" s="4" t="n">
        <v>12</v>
      </c>
      <c r="D14641" s="4" t="n">
        <v>15</v>
      </c>
      <c r="E14641" s="4"/>
      <c r="F14641" s="4" t="n">
        <v>8</v>
      </c>
      <c r="G14641" s="4" t="n">
        <v>13</v>
      </c>
      <c r="H14641" s="4" t="n">
        <v>4</v>
      </c>
      <c r="I14641" s="4" t="str">
        <v>×</v>
      </c>
      <c r="J14641" s="4"/>
      <c r="K14641" s="4"/>
      <c r="L14641" s="4"/>
      <c r="M14641" s="7" t="s">
        <v>6871</v>
      </c>
    </row>
    <row r="14642" customFormat="false" ht="15.75" hidden="false" customHeight="false" outlineLevel="0" collapsed="false">
      <c r="A14642" s="6" t="n">
        <f aca="false">DATE(2026,8,9)</f>
        <v>46243</v>
      </c>
      <c r="B14642" s="4" t="s">
        <v>179</v>
      </c>
      <c r="C14642" s="4" t="n">
        <v>12</v>
      </c>
      <c r="D14642" s="4" t="n">
        <v>12</v>
      </c>
      <c r="E14642" s="4"/>
      <c r="F14642" s="4" t="n">
        <v>6</v>
      </c>
      <c r="G14642" s="4" t="n">
        <v>14</v>
      </c>
      <c r="H14642" s="4" t="n">
        <v>4</v>
      </c>
      <c r="I14642" s="4" t="str">
        <v>×</v>
      </c>
      <c r="J14642" s="4"/>
      <c r="K14642" s="4"/>
      <c r="L14642" s="4"/>
      <c r="M14642" s="7" t="s">
        <v>6871</v>
      </c>
    </row>
    <row r="14643" customFormat="false" ht="15.75" hidden="false" customHeight="false" outlineLevel="0" collapsed="false">
      <c r="A14643" s="6" t="n">
        <f aca="false">DATE(2026,8,9)</f>
        <v>46243</v>
      </c>
      <c r="B14643" s="4" t="s">
        <v>179</v>
      </c>
      <c r="C14643" s="4" t="n">
        <v>12</v>
      </c>
      <c r="D14643" s="4" t="n">
        <v>8</v>
      </c>
      <c r="E14643" s="4"/>
      <c r="F14643" s="4" t="n">
        <v>4</v>
      </c>
      <c r="G14643" s="4" t="n">
        <v>15</v>
      </c>
      <c r="H14643" s="4" t="n">
        <v>4</v>
      </c>
      <c r="I14643" s="4" t="str">
        <v>×</v>
      </c>
      <c r="J14643" s="4"/>
      <c r="K14643" s="4"/>
      <c r="L14643" s="4"/>
      <c r="M14643" s="7" t="s">
        <v>6871</v>
      </c>
    </row>
    <row r="14644" customFormat="false" ht="15.75" hidden="false" customHeight="false" outlineLevel="0" collapsed="false">
      <c r="A14644" s="6" t="n">
        <f aca="false">DATE(2026,8,9)</f>
        <v>46243</v>
      </c>
      <c r="B14644" s="4" t="s">
        <v>179</v>
      </c>
      <c r="C14644" s="4" t="n">
        <v>12</v>
      </c>
      <c r="D14644" s="4" t="n">
        <v>11</v>
      </c>
      <c r="E14644" s="4"/>
      <c r="F14644" s="4" t="n">
        <v>2</v>
      </c>
      <c r="G14644" s="4" t="n">
        <v>16</v>
      </c>
      <c r="H14644" s="4" t="n">
        <v>4</v>
      </c>
      <c r="I14644" s="4" t="str">
        <v>×</v>
      </c>
      <c r="J14644" s="4"/>
      <c r="K14644" s="4"/>
      <c r="L14644" s="4"/>
      <c r="M14644" s="7" t="s">
        <v>6871</v>
      </c>
    </row>
    <row r="14645" customFormat="false" ht="15.75" hidden="false" customHeight="false" outlineLevel="0" collapsed="false">
      <c r="A14645" s="6" t="n">
        <f aca="false">DATE(2026,8,9)</f>
        <v>46243</v>
      </c>
      <c r="B14645" s="4" t="s">
        <v>13</v>
      </c>
      <c r="C14645" s="4" t="n">
        <v>1</v>
      </c>
      <c r="D14645" s="4" t="n">
        <v>8</v>
      </c>
      <c r="E14645" s="4" t="s">
        <v>6915</v>
      </c>
      <c r="F14645" s="4" t="n">
        <v>41</v>
      </c>
      <c r="G14645" s="4" t="n">
        <v>1</v>
      </c>
      <c r="H14645" s="4" t="n">
        <v>1</v>
      </c>
      <c r="I14645" s="4" t="str">
        <v>○</v>
      </c>
      <c r="J14645" s="4" t="n">
        <v>130</v>
      </c>
      <c r="K14645" s="4"/>
      <c r="L14645" s="4"/>
      <c r="M14645" s="7" t="s">
        <v>6871</v>
      </c>
    </row>
    <row r="14646" customFormat="false" ht="15.75" hidden="false" customHeight="false" outlineLevel="0" collapsed="false">
      <c r="A14646" s="6" t="n">
        <f aca="false">DATE(2026,8,9)</f>
        <v>46243</v>
      </c>
      <c r="B14646" s="4" t="s">
        <v>13</v>
      </c>
      <c r="C14646" s="4" t="n">
        <v>1</v>
      </c>
      <c r="D14646" s="4" t="n">
        <v>6</v>
      </c>
      <c r="E14646" s="4"/>
      <c r="F14646" s="4" t="n">
        <v>39</v>
      </c>
      <c r="G14646" s="4" t="n">
        <v>2</v>
      </c>
      <c r="H14646" s="4" t="n">
        <v>4</v>
      </c>
      <c r="I14646" s="4" t="str">
        <v>×</v>
      </c>
      <c r="J14646" s="4"/>
      <c r="K14646" s="4"/>
      <c r="L14646" s="4"/>
      <c r="M14646" s="7" t="s">
        <v>6871</v>
      </c>
    </row>
    <row r="14647" customFormat="false" ht="15.75" hidden="false" customHeight="false" outlineLevel="0" collapsed="false">
      <c r="A14647" s="6" t="n">
        <f aca="false">DATE(2026,8,9)</f>
        <v>46243</v>
      </c>
      <c r="B14647" s="4" t="s">
        <v>13</v>
      </c>
      <c r="C14647" s="4" t="n">
        <v>1</v>
      </c>
      <c r="D14647" s="4" t="n">
        <v>11</v>
      </c>
      <c r="E14647" s="4" t="s">
        <v>1901</v>
      </c>
      <c r="F14647" s="4" t="n">
        <v>39</v>
      </c>
      <c r="G14647" s="4" t="n">
        <v>3</v>
      </c>
      <c r="H14647" s="4" t="n">
        <v>2</v>
      </c>
      <c r="I14647" s="4" t="str">
        <v>○</v>
      </c>
      <c r="J14647" s="4" t="n">
        <v>210</v>
      </c>
      <c r="K14647" s="4"/>
      <c r="L14647" s="4"/>
      <c r="M14647" s="7" t="s">
        <v>6871</v>
      </c>
    </row>
    <row r="14648" customFormat="false" ht="15.75" hidden="false" customHeight="false" outlineLevel="0" collapsed="false">
      <c r="A14648" s="6" t="n">
        <f aca="false">DATE(2026,8,9)</f>
        <v>46243</v>
      </c>
      <c r="B14648" s="4" t="s">
        <v>13</v>
      </c>
      <c r="C14648" s="4" t="n">
        <v>1</v>
      </c>
      <c r="D14648" s="4" t="n">
        <v>1</v>
      </c>
      <c r="E14648" s="4"/>
      <c r="F14648" s="4" t="n">
        <v>34</v>
      </c>
      <c r="G14648" s="4" t="n">
        <v>4</v>
      </c>
      <c r="H14648" s="4" t="n">
        <v>4</v>
      </c>
      <c r="I14648" s="4" t="str">
        <v>×</v>
      </c>
      <c r="J14648" s="4"/>
      <c r="K14648" s="4"/>
      <c r="L14648" s="4"/>
      <c r="M14648" s="7" t="s">
        <v>6871</v>
      </c>
    </row>
    <row r="14649" customFormat="false" ht="15.75" hidden="false" customHeight="false" outlineLevel="0" collapsed="false">
      <c r="A14649" s="6" t="n">
        <f aca="false">DATE(2026,8,9)</f>
        <v>46243</v>
      </c>
      <c r="B14649" s="4" t="s">
        <v>13</v>
      </c>
      <c r="C14649" s="4" t="n">
        <v>1</v>
      </c>
      <c r="D14649" s="4" t="n">
        <v>13</v>
      </c>
      <c r="E14649" s="4"/>
      <c r="F14649" s="4" t="n">
        <v>25</v>
      </c>
      <c r="G14649" s="4" t="n">
        <v>5</v>
      </c>
      <c r="H14649" s="4" t="n">
        <v>4</v>
      </c>
      <c r="I14649" s="4" t="str">
        <v>×</v>
      </c>
      <c r="J14649" s="4"/>
      <c r="K14649" s="4"/>
      <c r="L14649" s="4"/>
      <c r="M14649" s="7" t="s">
        <v>6871</v>
      </c>
    </row>
    <row r="14650" customFormat="false" ht="15.75" hidden="false" customHeight="false" outlineLevel="0" collapsed="false">
      <c r="A14650" s="6" t="n">
        <f aca="false">DATE(2026,8,9)</f>
        <v>46243</v>
      </c>
      <c r="B14650" s="4" t="s">
        <v>13</v>
      </c>
      <c r="C14650" s="4" t="n">
        <v>1</v>
      </c>
      <c r="D14650" s="4" t="n">
        <v>14</v>
      </c>
      <c r="E14650" s="4"/>
      <c r="F14650" s="4" t="n">
        <v>25</v>
      </c>
      <c r="G14650" s="4" t="n">
        <v>6</v>
      </c>
      <c r="H14650" s="4" t="n">
        <v>4</v>
      </c>
      <c r="I14650" s="4" t="str">
        <v>×</v>
      </c>
      <c r="J14650" s="4"/>
      <c r="K14650" s="4"/>
      <c r="L14650" s="4"/>
      <c r="M14650" s="7" t="s">
        <v>6871</v>
      </c>
    </row>
    <row r="14651" customFormat="false" ht="15.75" hidden="false" customHeight="false" outlineLevel="0" collapsed="false">
      <c r="A14651" s="6" t="n">
        <f aca="false">DATE(2026,8,9)</f>
        <v>46243</v>
      </c>
      <c r="B14651" s="4" t="s">
        <v>13</v>
      </c>
      <c r="C14651" s="4" t="n">
        <v>1</v>
      </c>
      <c r="D14651" s="4" t="n">
        <v>15</v>
      </c>
      <c r="E14651" s="4" t="s">
        <v>1442</v>
      </c>
      <c r="F14651" s="4" t="n">
        <v>15</v>
      </c>
      <c r="G14651" s="4" t="n">
        <v>7</v>
      </c>
      <c r="H14651" s="4" t="n">
        <v>3</v>
      </c>
      <c r="I14651" s="4" t="str">
        <v>○</v>
      </c>
      <c r="J14651" s="4" t="n">
        <v>820</v>
      </c>
      <c r="K14651" s="4"/>
      <c r="L14651" s="4"/>
      <c r="M14651" s="7" t="s">
        <v>6871</v>
      </c>
    </row>
    <row r="14652" customFormat="false" ht="15.75" hidden="false" customHeight="false" outlineLevel="0" collapsed="false">
      <c r="A14652" s="6" t="n">
        <f aca="false">DATE(2026,8,9)</f>
        <v>46243</v>
      </c>
      <c r="B14652" s="4" t="s">
        <v>13</v>
      </c>
      <c r="C14652" s="4" t="n">
        <v>1</v>
      </c>
      <c r="D14652" s="4" t="n">
        <v>2</v>
      </c>
      <c r="E14652" s="4"/>
      <c r="F14652" s="4" t="n">
        <v>13</v>
      </c>
      <c r="G14652" s="4" t="n">
        <v>8</v>
      </c>
      <c r="H14652" s="4" t="n">
        <v>4</v>
      </c>
      <c r="I14652" s="4" t="str">
        <v>×</v>
      </c>
      <c r="J14652" s="4"/>
      <c r="K14652" s="4"/>
      <c r="L14652" s="4"/>
      <c r="M14652" s="7" t="s">
        <v>6871</v>
      </c>
    </row>
    <row r="14653" customFormat="false" ht="15.75" hidden="false" customHeight="false" outlineLevel="0" collapsed="false">
      <c r="A14653" s="6" t="n">
        <f aca="false">DATE(2026,8,9)</f>
        <v>46243</v>
      </c>
      <c r="B14653" s="4" t="s">
        <v>13</v>
      </c>
      <c r="C14653" s="4" t="n">
        <v>1</v>
      </c>
      <c r="D14653" s="4" t="n">
        <v>10</v>
      </c>
      <c r="E14653" s="4"/>
      <c r="F14653" s="4" t="n">
        <v>13</v>
      </c>
      <c r="G14653" s="4" t="n">
        <v>9</v>
      </c>
      <c r="H14653" s="4" t="n">
        <v>4</v>
      </c>
      <c r="I14653" s="4" t="str">
        <v>×</v>
      </c>
      <c r="J14653" s="4"/>
      <c r="K14653" s="4"/>
      <c r="L14653" s="4"/>
      <c r="M14653" s="7" t="s">
        <v>6871</v>
      </c>
    </row>
    <row r="14654" customFormat="false" ht="15.75" hidden="false" customHeight="false" outlineLevel="0" collapsed="false">
      <c r="A14654" s="6" t="n">
        <f aca="false">DATE(2026,8,9)</f>
        <v>46243</v>
      </c>
      <c r="B14654" s="4" t="s">
        <v>13</v>
      </c>
      <c r="C14654" s="4" t="n">
        <v>1</v>
      </c>
      <c r="D14654" s="4" t="n">
        <v>3</v>
      </c>
      <c r="E14654" s="4"/>
      <c r="F14654" s="4" t="n">
        <v>8</v>
      </c>
      <c r="G14654" s="4" t="n">
        <v>10</v>
      </c>
      <c r="H14654" s="4" t="n">
        <v>4</v>
      </c>
      <c r="I14654" s="4" t="str">
        <v>×</v>
      </c>
      <c r="J14654" s="4"/>
      <c r="K14654" s="4"/>
      <c r="L14654" s="4"/>
      <c r="M14654" s="7" t="s">
        <v>6871</v>
      </c>
    </row>
    <row r="14655" customFormat="false" ht="15.75" hidden="false" customHeight="false" outlineLevel="0" collapsed="false">
      <c r="A14655" s="6" t="n">
        <f aca="false">DATE(2026,8,9)</f>
        <v>46243</v>
      </c>
      <c r="B14655" s="4" t="s">
        <v>13</v>
      </c>
      <c r="C14655" s="4" t="n">
        <v>1</v>
      </c>
      <c r="D14655" s="4" t="n">
        <v>4</v>
      </c>
      <c r="E14655" s="4"/>
      <c r="F14655" s="4" t="n">
        <v>6</v>
      </c>
      <c r="G14655" s="4" t="n">
        <v>11</v>
      </c>
      <c r="H14655" s="4" t="n">
        <v>4</v>
      </c>
      <c r="I14655" s="4" t="str">
        <v>×</v>
      </c>
      <c r="J14655" s="4"/>
      <c r="K14655" s="4"/>
      <c r="L14655" s="4"/>
      <c r="M14655" s="7" t="s">
        <v>6871</v>
      </c>
    </row>
    <row r="14656" customFormat="false" ht="15.75" hidden="false" customHeight="false" outlineLevel="0" collapsed="false">
      <c r="A14656" s="6" t="n">
        <f aca="false">DATE(2026,8,9)</f>
        <v>46243</v>
      </c>
      <c r="B14656" s="4" t="s">
        <v>13</v>
      </c>
      <c r="C14656" s="4" t="n">
        <v>1</v>
      </c>
      <c r="D14656" s="4" t="n">
        <v>5</v>
      </c>
      <c r="E14656" s="4"/>
      <c r="F14656" s="4" t="n">
        <v>6</v>
      </c>
      <c r="G14656" s="4" t="n">
        <v>12</v>
      </c>
      <c r="H14656" s="4" t="n">
        <v>4</v>
      </c>
      <c r="I14656" s="4" t="str">
        <v>×</v>
      </c>
      <c r="J14656" s="4"/>
      <c r="K14656" s="4"/>
      <c r="L14656" s="4"/>
      <c r="M14656" s="7" t="s">
        <v>6871</v>
      </c>
    </row>
    <row r="14657" customFormat="false" ht="15.75" hidden="false" customHeight="false" outlineLevel="0" collapsed="false">
      <c r="A14657" s="6" t="n">
        <f aca="false">DATE(2026,8,9)</f>
        <v>46243</v>
      </c>
      <c r="B14657" s="4" t="s">
        <v>13</v>
      </c>
      <c r="C14657" s="4" t="n">
        <v>1</v>
      </c>
      <c r="D14657" s="4" t="n">
        <v>7</v>
      </c>
      <c r="E14657" s="4"/>
      <c r="F14657" s="4" t="n">
        <v>6</v>
      </c>
      <c r="G14657" s="4" t="n">
        <v>13</v>
      </c>
      <c r="H14657" s="4" t="n">
        <v>4</v>
      </c>
      <c r="I14657" s="4" t="str">
        <v>×</v>
      </c>
      <c r="J14657" s="4"/>
      <c r="K14657" s="4"/>
      <c r="L14657" s="4"/>
      <c r="M14657" s="7" t="s">
        <v>6871</v>
      </c>
    </row>
    <row r="14658" customFormat="false" ht="15.75" hidden="false" customHeight="false" outlineLevel="0" collapsed="false">
      <c r="A14658" s="6" t="n">
        <f aca="false">DATE(2026,8,9)</f>
        <v>46243</v>
      </c>
      <c r="B14658" s="4" t="s">
        <v>13</v>
      </c>
      <c r="C14658" s="4" t="n">
        <v>1</v>
      </c>
      <c r="D14658" s="4" t="n">
        <v>12</v>
      </c>
      <c r="E14658" s="4"/>
      <c r="F14658" s="4" t="n">
        <v>6</v>
      </c>
      <c r="G14658" s="4" t="n">
        <v>14</v>
      </c>
      <c r="H14658" s="4" t="n">
        <v>4</v>
      </c>
      <c r="I14658" s="4" t="str">
        <v>×</v>
      </c>
      <c r="J14658" s="4"/>
      <c r="K14658" s="4"/>
      <c r="L14658" s="4"/>
      <c r="M14658" s="7" t="s">
        <v>6871</v>
      </c>
    </row>
    <row r="14659" customFormat="false" ht="15.75" hidden="false" customHeight="false" outlineLevel="0" collapsed="false">
      <c r="A14659" s="6" t="n">
        <f aca="false">DATE(2026,8,9)</f>
        <v>46243</v>
      </c>
      <c r="B14659" s="4" t="s">
        <v>13</v>
      </c>
      <c r="C14659" s="4" t="n">
        <v>1</v>
      </c>
      <c r="D14659" s="4" t="n">
        <v>9</v>
      </c>
      <c r="E14659" s="4"/>
      <c r="F14659" s="4" t="n">
        <v>4</v>
      </c>
      <c r="G14659" s="4" t="n">
        <v>15</v>
      </c>
      <c r="H14659" s="4" t="n">
        <v>4</v>
      </c>
      <c r="I14659" s="4" t="str">
        <v>×</v>
      </c>
      <c r="J14659" s="4"/>
      <c r="K14659" s="4"/>
      <c r="L14659" s="4"/>
      <c r="M14659" s="7" t="s">
        <v>6871</v>
      </c>
    </row>
    <row r="14660" customFormat="false" ht="15.75" hidden="false" customHeight="false" outlineLevel="0" collapsed="false">
      <c r="A14660" s="6" t="n">
        <f aca="false">DATE(2026,8,9)</f>
        <v>46243</v>
      </c>
      <c r="B14660" s="4" t="s">
        <v>13</v>
      </c>
      <c r="C14660" s="4" t="n">
        <v>1</v>
      </c>
      <c r="D14660" s="4" t="n">
        <v>16</v>
      </c>
      <c r="E14660" s="4"/>
      <c r="F14660" s="4" t="n">
        <v>3</v>
      </c>
      <c r="G14660" s="4" t="n">
        <v>16</v>
      </c>
      <c r="H14660" s="4" t="n">
        <v>4</v>
      </c>
      <c r="I14660" s="4" t="str">
        <v>×</v>
      </c>
      <c r="J14660" s="4"/>
      <c r="K14660" s="4"/>
      <c r="L14660" s="4"/>
      <c r="M14660" s="7" t="s">
        <v>6871</v>
      </c>
    </row>
    <row r="14661" customFormat="false" ht="15.75" hidden="false" customHeight="false" outlineLevel="0" collapsed="false">
      <c r="A14661" s="6" t="n">
        <f aca="false">DATE(2026,8,9)</f>
        <v>46243</v>
      </c>
      <c r="B14661" s="4" t="s">
        <v>13</v>
      </c>
      <c r="C14661" s="4" t="n">
        <v>2</v>
      </c>
      <c r="D14661" s="4" t="n">
        <v>4</v>
      </c>
      <c r="E14661" s="4"/>
      <c r="F14661" s="4" t="n">
        <v>31</v>
      </c>
      <c r="G14661" s="4" t="n">
        <v>1</v>
      </c>
      <c r="H14661" s="4" t="n">
        <v>4</v>
      </c>
      <c r="I14661" s="4" t="str">
        <v>×</v>
      </c>
      <c r="J14661" s="4"/>
      <c r="K14661" s="4"/>
      <c r="L14661" s="4"/>
      <c r="M14661" s="7" t="s">
        <v>6871</v>
      </c>
    </row>
    <row r="14662" customFormat="false" ht="15.75" hidden="false" customHeight="false" outlineLevel="0" collapsed="false">
      <c r="A14662" s="6" t="n">
        <f aca="false">DATE(2026,8,9)</f>
        <v>46243</v>
      </c>
      <c r="B14662" s="4" t="s">
        <v>13</v>
      </c>
      <c r="C14662" s="4" t="n">
        <v>2</v>
      </c>
      <c r="D14662" s="4" t="n">
        <v>1</v>
      </c>
      <c r="E14662" s="4"/>
      <c r="F14662" s="4" t="n">
        <v>24</v>
      </c>
      <c r="G14662" s="4" t="n">
        <v>2</v>
      </c>
      <c r="H14662" s="4" t="n">
        <v>4</v>
      </c>
      <c r="I14662" s="4" t="str">
        <v>×</v>
      </c>
      <c r="J14662" s="4"/>
      <c r="K14662" s="4"/>
      <c r="L14662" s="4"/>
      <c r="M14662" s="7" t="s">
        <v>6871</v>
      </c>
    </row>
    <row r="14663" customFormat="false" ht="15.75" hidden="false" customHeight="false" outlineLevel="0" collapsed="false">
      <c r="A14663" s="6" t="n">
        <f aca="false">DATE(2026,8,9)</f>
        <v>46243</v>
      </c>
      <c r="B14663" s="4" t="s">
        <v>13</v>
      </c>
      <c r="C14663" s="4" t="n">
        <v>2</v>
      </c>
      <c r="D14663" s="4" t="n">
        <v>10</v>
      </c>
      <c r="E14663" s="4"/>
      <c r="F14663" s="4" t="n">
        <v>24</v>
      </c>
      <c r="G14663" s="4" t="n">
        <v>3</v>
      </c>
      <c r="H14663" s="4" t="n">
        <v>4</v>
      </c>
      <c r="I14663" s="4" t="str">
        <v>×</v>
      </c>
      <c r="J14663" s="4"/>
      <c r="K14663" s="4"/>
      <c r="L14663" s="4"/>
      <c r="M14663" s="7" t="s">
        <v>6871</v>
      </c>
    </row>
    <row r="14664" customFormat="false" ht="15.75" hidden="false" customHeight="false" outlineLevel="0" collapsed="false">
      <c r="A14664" s="6" t="n">
        <f aca="false">DATE(2026,8,9)</f>
        <v>46243</v>
      </c>
      <c r="B14664" s="4" t="s">
        <v>13</v>
      </c>
      <c r="C14664" s="4" t="n">
        <v>2</v>
      </c>
      <c r="D14664" s="4" t="n">
        <v>5</v>
      </c>
      <c r="E14664" s="4" t="s">
        <v>6916</v>
      </c>
      <c r="F14664" s="4" t="n">
        <v>27</v>
      </c>
      <c r="G14664" s="4" t="n">
        <v>4</v>
      </c>
      <c r="H14664" s="4" t="n">
        <v>3</v>
      </c>
      <c r="I14664" s="4" t="str">
        <v>○</v>
      </c>
      <c r="J14664" s="4" t="n">
        <v>130</v>
      </c>
      <c r="K14664" s="4"/>
      <c r="L14664" s="4"/>
      <c r="M14664" s="7" t="s">
        <v>6871</v>
      </c>
    </row>
    <row r="14665" customFormat="false" ht="15.75" hidden="false" customHeight="false" outlineLevel="0" collapsed="false">
      <c r="A14665" s="6" t="n">
        <f aca="false">DATE(2026,8,9)</f>
        <v>46243</v>
      </c>
      <c r="B14665" s="4" t="s">
        <v>13</v>
      </c>
      <c r="C14665" s="4" t="n">
        <v>2</v>
      </c>
      <c r="D14665" s="4" t="n">
        <v>2</v>
      </c>
      <c r="E14665" s="4"/>
      <c r="F14665" s="4" t="n">
        <v>21</v>
      </c>
      <c r="G14665" s="4" t="n">
        <v>5</v>
      </c>
      <c r="H14665" s="4" t="n">
        <v>4</v>
      </c>
      <c r="I14665" s="4" t="str">
        <v>×</v>
      </c>
      <c r="J14665" s="4"/>
      <c r="K14665" s="4"/>
      <c r="L14665" s="4"/>
      <c r="M14665" s="7" t="s">
        <v>6871</v>
      </c>
    </row>
    <row r="14666" customFormat="false" ht="15.75" hidden="false" customHeight="false" outlineLevel="0" collapsed="false">
      <c r="A14666" s="6" t="n">
        <f aca="false">DATE(2026,8,9)</f>
        <v>46243</v>
      </c>
      <c r="B14666" s="4" t="s">
        <v>13</v>
      </c>
      <c r="C14666" s="4" t="n">
        <v>2</v>
      </c>
      <c r="D14666" s="4" t="n">
        <v>7</v>
      </c>
      <c r="E14666" s="4" t="s">
        <v>6917</v>
      </c>
      <c r="F14666" s="4" t="n">
        <v>21</v>
      </c>
      <c r="G14666" s="4" t="n">
        <v>6</v>
      </c>
      <c r="H14666" s="4" t="n">
        <v>2</v>
      </c>
      <c r="I14666" s="4" t="str">
        <v>○</v>
      </c>
      <c r="J14666" s="4" t="n">
        <v>200</v>
      </c>
      <c r="K14666" s="4"/>
      <c r="L14666" s="4"/>
      <c r="M14666" s="7" t="s">
        <v>6871</v>
      </c>
    </row>
    <row r="14667" customFormat="false" ht="15.75" hidden="false" customHeight="false" outlineLevel="0" collapsed="false">
      <c r="A14667" s="6" t="n">
        <f aca="false">DATE(2026,8,9)</f>
        <v>46243</v>
      </c>
      <c r="B14667" s="4" t="s">
        <v>13</v>
      </c>
      <c r="C14667" s="4" t="n">
        <v>2</v>
      </c>
      <c r="D14667" s="4" t="n">
        <v>6</v>
      </c>
      <c r="E14667" s="4" t="s">
        <v>6918</v>
      </c>
      <c r="F14667" s="4" t="n">
        <v>16</v>
      </c>
      <c r="G14667" s="4" t="n">
        <v>7</v>
      </c>
      <c r="H14667" s="4" t="n">
        <v>1</v>
      </c>
      <c r="I14667" s="4" t="str">
        <v>○</v>
      </c>
      <c r="J14667" s="4" t="n">
        <v>140</v>
      </c>
      <c r="K14667" s="4"/>
      <c r="L14667" s="4"/>
      <c r="M14667" s="7" t="s">
        <v>6871</v>
      </c>
    </row>
    <row r="14668" customFormat="false" ht="15.75" hidden="false" customHeight="false" outlineLevel="0" collapsed="false">
      <c r="A14668" s="6" t="n">
        <f aca="false">DATE(2026,8,9)</f>
        <v>46243</v>
      </c>
      <c r="B14668" s="4" t="s">
        <v>13</v>
      </c>
      <c r="C14668" s="4" t="n">
        <v>2</v>
      </c>
      <c r="D14668" s="4" t="n">
        <v>8</v>
      </c>
      <c r="E14668" s="4"/>
      <c r="F14668" s="4" t="n">
        <v>14</v>
      </c>
      <c r="G14668" s="4" t="n">
        <v>8</v>
      </c>
      <c r="H14668" s="4" t="n">
        <v>4</v>
      </c>
      <c r="I14668" s="4" t="str">
        <v>×</v>
      </c>
      <c r="J14668" s="4"/>
      <c r="K14668" s="4"/>
      <c r="L14668" s="4"/>
      <c r="M14668" s="7" t="s">
        <v>6871</v>
      </c>
    </row>
    <row r="14669" customFormat="false" ht="15.75" hidden="false" customHeight="false" outlineLevel="0" collapsed="false">
      <c r="A14669" s="6" t="n">
        <f aca="false">DATE(2026,8,9)</f>
        <v>46243</v>
      </c>
      <c r="B14669" s="4" t="s">
        <v>13</v>
      </c>
      <c r="C14669" s="4" t="n">
        <v>2</v>
      </c>
      <c r="D14669" s="4" t="n">
        <v>3</v>
      </c>
      <c r="E14669" s="4"/>
      <c r="F14669" s="4" t="n">
        <v>12</v>
      </c>
      <c r="G14669" s="4" t="n">
        <v>9</v>
      </c>
      <c r="H14669" s="4" t="n">
        <v>4</v>
      </c>
      <c r="I14669" s="4" t="str">
        <v>×</v>
      </c>
      <c r="J14669" s="4"/>
      <c r="K14669" s="4"/>
      <c r="L14669" s="4"/>
      <c r="M14669" s="7" t="s">
        <v>6871</v>
      </c>
    </row>
    <row r="14670" customFormat="false" ht="15.75" hidden="false" customHeight="false" outlineLevel="0" collapsed="false">
      <c r="A14670" s="6" t="n">
        <f aca="false">DATE(2026,8,9)</f>
        <v>46243</v>
      </c>
      <c r="B14670" s="4" t="s">
        <v>13</v>
      </c>
      <c r="C14670" s="4" t="n">
        <v>2</v>
      </c>
      <c r="D14670" s="4" t="n">
        <v>9</v>
      </c>
      <c r="E14670" s="4"/>
      <c r="F14670" s="4" t="n">
        <v>8</v>
      </c>
      <c r="G14670" s="4" t="n">
        <v>10</v>
      </c>
      <c r="H14670" s="4" t="n">
        <v>4</v>
      </c>
      <c r="I14670" s="4" t="str">
        <v>×</v>
      </c>
      <c r="J14670" s="4"/>
      <c r="K14670" s="4"/>
      <c r="L14670" s="4"/>
      <c r="M14670" s="7" t="s">
        <v>6871</v>
      </c>
    </row>
    <row r="14671" customFormat="false" ht="15.75" hidden="false" customHeight="false" outlineLevel="0" collapsed="false">
      <c r="A14671" s="6" t="n">
        <f aca="false">DATE(2026,8,9)</f>
        <v>46243</v>
      </c>
      <c r="B14671" s="4" t="s">
        <v>13</v>
      </c>
      <c r="C14671" s="4" t="n">
        <v>2</v>
      </c>
      <c r="D14671" s="4" t="n">
        <v>11</v>
      </c>
      <c r="E14671" s="4"/>
      <c r="F14671" s="4" t="n">
        <v>8</v>
      </c>
      <c r="G14671" s="4" t="n">
        <v>11</v>
      </c>
      <c r="H14671" s="4" t="n">
        <v>4</v>
      </c>
      <c r="I14671" s="4" t="str">
        <v>×</v>
      </c>
      <c r="J14671" s="4"/>
      <c r="K14671" s="4"/>
      <c r="L14671" s="4"/>
      <c r="M14671" s="7" t="s">
        <v>6871</v>
      </c>
    </row>
    <row r="14672" customFormat="false" ht="15.75" hidden="false" customHeight="false" outlineLevel="0" collapsed="false">
      <c r="A14672" s="6" t="n">
        <f aca="false">DATE(2026,8,9)</f>
        <v>46243</v>
      </c>
      <c r="B14672" s="4" t="s">
        <v>13</v>
      </c>
      <c r="C14672" s="4" t="n">
        <v>3</v>
      </c>
      <c r="D14672" s="4" t="n">
        <v>12</v>
      </c>
      <c r="E14672" s="4"/>
      <c r="F14672" s="4" t="n">
        <v>58</v>
      </c>
      <c r="G14672" s="4" t="n">
        <v>1</v>
      </c>
      <c r="H14672" s="4" t="n">
        <v>4</v>
      </c>
      <c r="I14672" s="4" t="str">
        <v>×</v>
      </c>
      <c r="J14672" s="4"/>
      <c r="K14672" s="4"/>
      <c r="L14672" s="4"/>
      <c r="M14672" s="7" t="s">
        <v>6871</v>
      </c>
    </row>
    <row r="14673" customFormat="false" ht="15.75" hidden="false" customHeight="false" outlineLevel="0" collapsed="false">
      <c r="A14673" s="6" t="n">
        <f aca="false">DATE(2026,8,9)</f>
        <v>46243</v>
      </c>
      <c r="B14673" s="4" t="s">
        <v>13</v>
      </c>
      <c r="C14673" s="4" t="n">
        <v>3</v>
      </c>
      <c r="D14673" s="4" t="n">
        <v>1</v>
      </c>
      <c r="E14673" s="4" t="s">
        <v>498</v>
      </c>
      <c r="F14673" s="4" t="n">
        <v>44</v>
      </c>
      <c r="G14673" s="4" t="n">
        <v>2</v>
      </c>
      <c r="H14673" s="4" t="n">
        <v>2</v>
      </c>
      <c r="I14673" s="4" t="str">
        <v>○</v>
      </c>
      <c r="J14673" s="4" t="n">
        <v>240</v>
      </c>
      <c r="K14673" s="4"/>
      <c r="L14673" s="4"/>
      <c r="M14673" s="7" t="s">
        <v>6871</v>
      </c>
    </row>
    <row r="14674" customFormat="false" ht="15.75" hidden="false" customHeight="false" outlineLevel="0" collapsed="false">
      <c r="A14674" s="6" t="n">
        <f aca="false">DATE(2026,8,9)</f>
        <v>46243</v>
      </c>
      <c r="B14674" s="4" t="s">
        <v>13</v>
      </c>
      <c r="C14674" s="4" t="n">
        <v>3</v>
      </c>
      <c r="D14674" s="4" t="n">
        <v>4</v>
      </c>
      <c r="E14674" s="4"/>
      <c r="F14674" s="4" t="n">
        <v>44</v>
      </c>
      <c r="G14674" s="4" t="n">
        <v>3</v>
      </c>
      <c r="H14674" s="4" t="n">
        <v>4</v>
      </c>
      <c r="I14674" s="4" t="str">
        <v>×</v>
      </c>
      <c r="J14674" s="4"/>
      <c r="K14674" s="4"/>
      <c r="L14674" s="4"/>
      <c r="M14674" s="7" t="s">
        <v>6871</v>
      </c>
    </row>
    <row r="14675" customFormat="false" ht="15.75" hidden="false" customHeight="false" outlineLevel="0" collapsed="false">
      <c r="A14675" s="6" t="n">
        <f aca="false">DATE(2026,8,9)</f>
        <v>46243</v>
      </c>
      <c r="B14675" s="4" t="s">
        <v>13</v>
      </c>
      <c r="C14675" s="4" t="n">
        <v>3</v>
      </c>
      <c r="D14675" s="4" t="n">
        <v>7</v>
      </c>
      <c r="E14675" s="4" t="s">
        <v>6919</v>
      </c>
      <c r="F14675" s="4" t="n">
        <v>31</v>
      </c>
      <c r="G14675" s="4" t="n">
        <v>4</v>
      </c>
      <c r="H14675" s="4" t="n">
        <v>3</v>
      </c>
      <c r="I14675" s="4" t="str">
        <v>○</v>
      </c>
      <c r="J14675" s="4" t="n">
        <v>370</v>
      </c>
      <c r="K14675" s="4"/>
      <c r="L14675" s="4"/>
      <c r="M14675" s="7" t="s">
        <v>6871</v>
      </c>
    </row>
    <row r="14676" customFormat="false" ht="15.75" hidden="false" customHeight="false" outlineLevel="0" collapsed="false">
      <c r="A14676" s="6" t="n">
        <f aca="false">DATE(2026,8,9)</f>
        <v>46243</v>
      </c>
      <c r="B14676" s="4" t="s">
        <v>13</v>
      </c>
      <c r="C14676" s="4" t="n">
        <v>3</v>
      </c>
      <c r="D14676" s="4" t="n">
        <v>8</v>
      </c>
      <c r="E14676" s="4"/>
      <c r="F14676" s="4" t="n">
        <v>25</v>
      </c>
      <c r="G14676" s="4" t="n">
        <v>5</v>
      </c>
      <c r="H14676" s="4" t="n">
        <v>4</v>
      </c>
      <c r="I14676" s="4" t="str">
        <v>×</v>
      </c>
      <c r="J14676" s="4"/>
      <c r="K14676" s="4"/>
      <c r="L14676" s="4"/>
      <c r="M14676" s="7" t="s">
        <v>6871</v>
      </c>
    </row>
    <row r="14677" customFormat="false" ht="15.75" hidden="false" customHeight="false" outlineLevel="0" collapsed="false">
      <c r="A14677" s="6" t="n">
        <f aca="false">DATE(2026,8,9)</f>
        <v>46243</v>
      </c>
      <c r="B14677" s="4" t="s">
        <v>13</v>
      </c>
      <c r="C14677" s="4" t="n">
        <v>3</v>
      </c>
      <c r="D14677" s="4" t="n">
        <v>15</v>
      </c>
      <c r="E14677" s="4"/>
      <c r="F14677" s="4" t="n">
        <v>23</v>
      </c>
      <c r="G14677" s="4" t="n">
        <v>6</v>
      </c>
      <c r="H14677" s="4" t="n">
        <v>4</v>
      </c>
      <c r="I14677" s="4" t="str">
        <v>×</v>
      </c>
      <c r="J14677" s="4"/>
      <c r="K14677" s="4"/>
      <c r="L14677" s="4"/>
      <c r="M14677" s="7" t="s">
        <v>6871</v>
      </c>
    </row>
    <row r="14678" customFormat="false" ht="15.75" hidden="false" customHeight="false" outlineLevel="0" collapsed="false">
      <c r="A14678" s="6" t="n">
        <f aca="false">DATE(2026,8,9)</f>
        <v>46243</v>
      </c>
      <c r="B14678" s="4" t="s">
        <v>13</v>
      </c>
      <c r="C14678" s="4" t="n">
        <v>3</v>
      </c>
      <c r="D14678" s="4" t="n">
        <v>11</v>
      </c>
      <c r="E14678" s="4"/>
      <c r="F14678" s="4" t="n">
        <v>13</v>
      </c>
      <c r="G14678" s="4" t="n">
        <v>7</v>
      </c>
      <c r="H14678" s="4" t="n">
        <v>4</v>
      </c>
      <c r="I14678" s="4" t="str">
        <v>×</v>
      </c>
      <c r="J14678" s="4"/>
      <c r="K14678" s="4"/>
      <c r="L14678" s="4"/>
      <c r="M14678" s="7" t="s">
        <v>6871</v>
      </c>
    </row>
    <row r="14679" customFormat="false" ht="15.75" hidden="false" customHeight="false" outlineLevel="0" collapsed="false">
      <c r="A14679" s="6" t="n">
        <f aca="false">DATE(2026,8,9)</f>
        <v>46243</v>
      </c>
      <c r="B14679" s="4" t="s">
        <v>13</v>
      </c>
      <c r="C14679" s="4" t="n">
        <v>3</v>
      </c>
      <c r="D14679" s="4" t="n">
        <v>5</v>
      </c>
      <c r="E14679" s="4"/>
      <c r="F14679" s="4" t="n">
        <v>10</v>
      </c>
      <c r="G14679" s="4" t="n">
        <v>8</v>
      </c>
      <c r="H14679" s="4" t="n">
        <v>4</v>
      </c>
      <c r="I14679" s="4" t="str">
        <v>×</v>
      </c>
      <c r="J14679" s="4"/>
      <c r="K14679" s="4"/>
      <c r="L14679" s="4"/>
      <c r="M14679" s="7" t="s">
        <v>6871</v>
      </c>
    </row>
    <row r="14680" customFormat="false" ht="15.75" hidden="false" customHeight="false" outlineLevel="0" collapsed="false">
      <c r="A14680" s="6" t="n">
        <f aca="false">DATE(2026,8,9)</f>
        <v>46243</v>
      </c>
      <c r="B14680" s="4" t="s">
        <v>13</v>
      </c>
      <c r="C14680" s="4" t="n">
        <v>3</v>
      </c>
      <c r="D14680" s="4" t="n">
        <v>13</v>
      </c>
      <c r="E14680" s="4"/>
      <c r="F14680" s="4" t="n">
        <v>10</v>
      </c>
      <c r="G14680" s="4" t="n">
        <v>9</v>
      </c>
      <c r="H14680" s="4" t="n">
        <v>4</v>
      </c>
      <c r="I14680" s="4" t="str">
        <v>×</v>
      </c>
      <c r="J14680" s="4"/>
      <c r="K14680" s="4"/>
      <c r="L14680" s="4"/>
      <c r="M14680" s="7" t="s">
        <v>6871</v>
      </c>
    </row>
    <row r="14681" customFormat="false" ht="15.75" hidden="false" customHeight="false" outlineLevel="0" collapsed="false">
      <c r="A14681" s="6" t="n">
        <f aca="false">DATE(2026,8,9)</f>
        <v>46243</v>
      </c>
      <c r="B14681" s="4" t="s">
        <v>13</v>
      </c>
      <c r="C14681" s="4" t="n">
        <v>3</v>
      </c>
      <c r="D14681" s="4" t="n">
        <v>3</v>
      </c>
      <c r="E14681" s="4" t="s">
        <v>5573</v>
      </c>
      <c r="F14681" s="4" t="n">
        <v>8</v>
      </c>
      <c r="G14681" s="4" t="n">
        <v>10</v>
      </c>
      <c r="H14681" s="4" t="n">
        <v>1</v>
      </c>
      <c r="I14681" s="4" t="str">
        <v>○</v>
      </c>
      <c r="J14681" s="4" t="n">
        <v>270</v>
      </c>
      <c r="K14681" s="4"/>
      <c r="L14681" s="4"/>
      <c r="M14681" s="7" t="s">
        <v>6871</v>
      </c>
    </row>
    <row r="14682" customFormat="false" ht="15.75" hidden="false" customHeight="false" outlineLevel="0" collapsed="false">
      <c r="A14682" s="6" t="n">
        <f aca="false">DATE(2026,8,9)</f>
        <v>46243</v>
      </c>
      <c r="B14682" s="4" t="s">
        <v>13</v>
      </c>
      <c r="C14682" s="4" t="n">
        <v>3</v>
      </c>
      <c r="D14682" s="4" t="n">
        <v>14</v>
      </c>
      <c r="E14682" s="4"/>
      <c r="F14682" s="4" t="n">
        <v>8</v>
      </c>
      <c r="G14682" s="4" t="n">
        <v>11</v>
      </c>
      <c r="H14682" s="4" t="n">
        <v>4</v>
      </c>
      <c r="I14682" s="4" t="str">
        <v>×</v>
      </c>
      <c r="J14682" s="4"/>
      <c r="K14682" s="4"/>
      <c r="L14682" s="4"/>
      <c r="M14682" s="7" t="s">
        <v>6871</v>
      </c>
    </row>
    <row r="14683" customFormat="false" ht="15.75" hidden="false" customHeight="false" outlineLevel="0" collapsed="false">
      <c r="A14683" s="6" t="n">
        <f aca="false">DATE(2026,8,9)</f>
        <v>46243</v>
      </c>
      <c r="B14683" s="4" t="s">
        <v>13</v>
      </c>
      <c r="C14683" s="4" t="n">
        <v>3</v>
      </c>
      <c r="D14683" s="4" t="n">
        <v>2</v>
      </c>
      <c r="E14683" s="4"/>
      <c r="F14683" s="4" t="n">
        <v>4</v>
      </c>
      <c r="G14683" s="4" t="n">
        <v>12</v>
      </c>
      <c r="H14683" s="4" t="n">
        <v>4</v>
      </c>
      <c r="I14683" s="4" t="str">
        <v>×</v>
      </c>
      <c r="J14683" s="4"/>
      <c r="K14683" s="4"/>
      <c r="L14683" s="4"/>
      <c r="M14683" s="7" t="s">
        <v>6871</v>
      </c>
    </row>
    <row r="14684" customFormat="false" ht="15.75" hidden="false" customHeight="false" outlineLevel="0" collapsed="false">
      <c r="A14684" s="6" t="n">
        <f aca="false">DATE(2026,8,9)</f>
        <v>46243</v>
      </c>
      <c r="B14684" s="4" t="s">
        <v>13</v>
      </c>
      <c r="C14684" s="4" t="n">
        <v>3</v>
      </c>
      <c r="D14684" s="4" t="n">
        <v>9</v>
      </c>
      <c r="E14684" s="4"/>
      <c r="F14684" s="4" t="n">
        <v>4</v>
      </c>
      <c r="G14684" s="4" t="n">
        <v>13</v>
      </c>
      <c r="H14684" s="4" t="n">
        <v>4</v>
      </c>
      <c r="I14684" s="4" t="str">
        <v>×</v>
      </c>
      <c r="J14684" s="4"/>
      <c r="K14684" s="4"/>
      <c r="L14684" s="4"/>
      <c r="M14684" s="7" t="s">
        <v>6871</v>
      </c>
    </row>
    <row r="14685" customFormat="false" ht="15.75" hidden="false" customHeight="false" outlineLevel="0" collapsed="false">
      <c r="A14685" s="6" t="n">
        <f aca="false">DATE(2026,8,9)</f>
        <v>46243</v>
      </c>
      <c r="B14685" s="4" t="s">
        <v>13</v>
      </c>
      <c r="C14685" s="4" t="n">
        <v>3</v>
      </c>
      <c r="D14685" s="4" t="n">
        <v>10</v>
      </c>
      <c r="E14685" s="4"/>
      <c r="F14685" s="4" t="n">
        <v>4</v>
      </c>
      <c r="G14685" s="4" t="n">
        <v>14</v>
      </c>
      <c r="H14685" s="4" t="n">
        <v>4</v>
      </c>
      <c r="I14685" s="4" t="str">
        <v>×</v>
      </c>
      <c r="J14685" s="4"/>
      <c r="K14685" s="4"/>
      <c r="L14685" s="4"/>
      <c r="M14685" s="7" t="s">
        <v>6871</v>
      </c>
    </row>
    <row r="14686" customFormat="false" ht="15.75" hidden="false" customHeight="false" outlineLevel="0" collapsed="false">
      <c r="A14686" s="6" t="n">
        <f aca="false">DATE(2026,8,9)</f>
        <v>46243</v>
      </c>
      <c r="B14686" s="4" t="s">
        <v>13</v>
      </c>
      <c r="C14686" s="4" t="n">
        <v>3</v>
      </c>
      <c r="D14686" s="4" t="n">
        <v>6</v>
      </c>
      <c r="E14686" s="4"/>
      <c r="F14686" s="4" t="n">
        <v>2</v>
      </c>
      <c r="G14686" s="4" t="n">
        <v>15</v>
      </c>
      <c r="H14686" s="4" t="n">
        <v>4</v>
      </c>
      <c r="I14686" s="4" t="str">
        <v>×</v>
      </c>
      <c r="J14686" s="4"/>
      <c r="K14686" s="4"/>
      <c r="L14686" s="4"/>
      <c r="M14686" s="7" t="s">
        <v>6871</v>
      </c>
    </row>
    <row r="14687" customFormat="false" ht="15.75" hidden="false" customHeight="false" outlineLevel="0" collapsed="false">
      <c r="A14687" s="6" t="n">
        <f aca="false">DATE(2026,8,9)</f>
        <v>46243</v>
      </c>
      <c r="B14687" s="4" t="s">
        <v>13</v>
      </c>
      <c r="C14687" s="4" t="n">
        <v>4</v>
      </c>
      <c r="D14687" s="4" t="n">
        <v>12</v>
      </c>
      <c r="E14687" s="4" t="s">
        <v>2303</v>
      </c>
      <c r="F14687" s="4" t="n">
        <v>81</v>
      </c>
      <c r="G14687" s="4" t="n">
        <v>1</v>
      </c>
      <c r="H14687" s="4" t="n">
        <v>2</v>
      </c>
      <c r="I14687" s="4" t="str">
        <v>○</v>
      </c>
      <c r="J14687" s="4" t="n">
        <v>110</v>
      </c>
      <c r="K14687" s="4"/>
      <c r="L14687" s="4"/>
      <c r="M14687" s="7" t="s">
        <v>6871</v>
      </c>
    </row>
    <row r="14688" customFormat="false" ht="15.75" hidden="false" customHeight="false" outlineLevel="0" collapsed="false">
      <c r="A14688" s="6" t="n">
        <f aca="false">DATE(2026,8,9)</f>
        <v>46243</v>
      </c>
      <c r="B14688" s="4" t="s">
        <v>13</v>
      </c>
      <c r="C14688" s="4" t="n">
        <v>4</v>
      </c>
      <c r="D14688" s="4" t="n">
        <v>8</v>
      </c>
      <c r="E14688" s="4" t="s">
        <v>990</v>
      </c>
      <c r="F14688" s="4" t="n">
        <v>39</v>
      </c>
      <c r="G14688" s="4" t="n">
        <v>2</v>
      </c>
      <c r="H14688" s="4" t="n">
        <v>3</v>
      </c>
      <c r="I14688" s="4" t="str">
        <v>○</v>
      </c>
      <c r="J14688" s="4" t="n">
        <v>170</v>
      </c>
      <c r="K14688" s="4"/>
      <c r="L14688" s="4"/>
      <c r="M14688" s="7" t="s">
        <v>6871</v>
      </c>
    </row>
    <row r="14689" customFormat="false" ht="15.75" hidden="false" customHeight="false" outlineLevel="0" collapsed="false">
      <c r="A14689" s="6" t="n">
        <f aca="false">DATE(2026,8,9)</f>
        <v>46243</v>
      </c>
      <c r="B14689" s="4" t="s">
        <v>13</v>
      </c>
      <c r="C14689" s="4" t="n">
        <v>4</v>
      </c>
      <c r="D14689" s="4" t="n">
        <v>10</v>
      </c>
      <c r="E14689" s="4" t="s">
        <v>6001</v>
      </c>
      <c r="F14689" s="4" t="n">
        <v>67</v>
      </c>
      <c r="G14689" s="4" t="n">
        <v>3</v>
      </c>
      <c r="H14689" s="4" t="n">
        <v>1</v>
      </c>
      <c r="I14689" s="4" t="str">
        <v>○</v>
      </c>
      <c r="J14689" s="4" t="n">
        <v>130</v>
      </c>
      <c r="K14689" s="4"/>
      <c r="L14689" s="4"/>
      <c r="M14689" s="7" t="s">
        <v>6871</v>
      </c>
    </row>
    <row r="14690" customFormat="false" ht="15.75" hidden="false" customHeight="false" outlineLevel="0" collapsed="false">
      <c r="A14690" s="6" t="n">
        <f aca="false">DATE(2026,8,9)</f>
        <v>46243</v>
      </c>
      <c r="B14690" s="4" t="s">
        <v>13</v>
      </c>
      <c r="C14690" s="4" t="n">
        <v>4</v>
      </c>
      <c r="D14690" s="4" t="n">
        <v>3</v>
      </c>
      <c r="E14690" s="4"/>
      <c r="F14690" s="4" t="n">
        <v>29</v>
      </c>
      <c r="G14690" s="4" t="n">
        <v>4</v>
      </c>
      <c r="H14690" s="4" t="n">
        <v>4</v>
      </c>
      <c r="I14690" s="4" t="str">
        <v>×</v>
      </c>
      <c r="J14690" s="4"/>
      <c r="K14690" s="4"/>
      <c r="L14690" s="4"/>
      <c r="M14690" s="7" t="s">
        <v>6871</v>
      </c>
    </row>
    <row r="14691" customFormat="false" ht="15.75" hidden="false" customHeight="false" outlineLevel="0" collapsed="false">
      <c r="A14691" s="6" t="n">
        <f aca="false">DATE(2026,8,9)</f>
        <v>46243</v>
      </c>
      <c r="B14691" s="4" t="s">
        <v>13</v>
      </c>
      <c r="C14691" s="4" t="n">
        <v>4</v>
      </c>
      <c r="D14691" s="4" t="n">
        <v>4</v>
      </c>
      <c r="E14691" s="4"/>
      <c r="F14691" s="4" t="n">
        <v>17</v>
      </c>
      <c r="G14691" s="4" t="n">
        <v>5</v>
      </c>
      <c r="H14691" s="4" t="n">
        <v>4</v>
      </c>
      <c r="I14691" s="4" t="str">
        <v>×</v>
      </c>
      <c r="J14691" s="4"/>
      <c r="K14691" s="4"/>
      <c r="L14691" s="4"/>
      <c r="M14691" s="7" t="s">
        <v>6871</v>
      </c>
    </row>
    <row r="14692" customFormat="false" ht="15.75" hidden="false" customHeight="false" outlineLevel="0" collapsed="false">
      <c r="A14692" s="6" t="n">
        <f aca="false">DATE(2026,8,9)</f>
        <v>46243</v>
      </c>
      <c r="B14692" s="4" t="s">
        <v>13</v>
      </c>
      <c r="C14692" s="4" t="n">
        <v>4</v>
      </c>
      <c r="D14692" s="4" t="n">
        <v>14</v>
      </c>
      <c r="E14692" s="4"/>
      <c r="F14692" s="4" t="n">
        <v>15</v>
      </c>
      <c r="G14692" s="4" t="n">
        <v>6</v>
      </c>
      <c r="H14692" s="4" t="n">
        <v>4</v>
      </c>
      <c r="I14692" s="4" t="str">
        <v>×</v>
      </c>
      <c r="J14692" s="4"/>
      <c r="K14692" s="4"/>
      <c r="L14692" s="4"/>
      <c r="M14692" s="7" t="s">
        <v>6871</v>
      </c>
    </row>
    <row r="14693" customFormat="false" ht="15.75" hidden="false" customHeight="false" outlineLevel="0" collapsed="false">
      <c r="A14693" s="6" t="n">
        <f aca="false">DATE(2026,8,9)</f>
        <v>46243</v>
      </c>
      <c r="B14693" s="4" t="s">
        <v>13</v>
      </c>
      <c r="C14693" s="4" t="n">
        <v>4</v>
      </c>
      <c r="D14693" s="4" t="n">
        <v>2</v>
      </c>
      <c r="E14693" s="4"/>
      <c r="F14693" s="4" t="n">
        <v>8</v>
      </c>
      <c r="G14693" s="4" t="n">
        <v>7</v>
      </c>
      <c r="H14693" s="4" t="n">
        <v>4</v>
      </c>
      <c r="I14693" s="4" t="str">
        <v>×</v>
      </c>
      <c r="J14693" s="4"/>
      <c r="K14693" s="4"/>
      <c r="L14693" s="4"/>
      <c r="M14693" s="7" t="s">
        <v>6871</v>
      </c>
    </row>
    <row r="14694" customFormat="false" ht="15.75" hidden="false" customHeight="false" outlineLevel="0" collapsed="false">
      <c r="A14694" s="6" t="n">
        <f aca="false">DATE(2026,8,9)</f>
        <v>46243</v>
      </c>
      <c r="B14694" s="4" t="s">
        <v>13</v>
      </c>
      <c r="C14694" s="4" t="n">
        <v>4</v>
      </c>
      <c r="D14694" s="4" t="n">
        <v>11</v>
      </c>
      <c r="E14694" s="4"/>
      <c r="F14694" s="4" t="n">
        <v>8</v>
      </c>
      <c r="G14694" s="4" t="n">
        <v>8</v>
      </c>
      <c r="H14694" s="4" t="n">
        <v>4</v>
      </c>
      <c r="I14694" s="4" t="str">
        <v>×</v>
      </c>
      <c r="J14694" s="4"/>
      <c r="K14694" s="4"/>
      <c r="L14694" s="4"/>
      <c r="M14694" s="7" t="s">
        <v>6871</v>
      </c>
    </row>
    <row r="14695" customFormat="false" ht="15.75" hidden="false" customHeight="false" outlineLevel="0" collapsed="false">
      <c r="A14695" s="6" t="n">
        <f aca="false">DATE(2026,8,9)</f>
        <v>46243</v>
      </c>
      <c r="B14695" s="4" t="s">
        <v>13</v>
      </c>
      <c r="C14695" s="4" t="n">
        <v>4</v>
      </c>
      <c r="D14695" s="4" t="n">
        <v>13</v>
      </c>
      <c r="E14695" s="4"/>
      <c r="F14695" s="4" t="n">
        <v>8</v>
      </c>
      <c r="G14695" s="4" t="n">
        <v>9</v>
      </c>
      <c r="H14695" s="4" t="n">
        <v>4</v>
      </c>
      <c r="I14695" s="4" t="str">
        <v>×</v>
      </c>
      <c r="J14695" s="4"/>
      <c r="K14695" s="4"/>
      <c r="L14695" s="4"/>
      <c r="M14695" s="7" t="s">
        <v>6871</v>
      </c>
    </row>
    <row r="14696" customFormat="false" ht="15.75" hidden="false" customHeight="false" outlineLevel="0" collapsed="false">
      <c r="A14696" s="6" t="n">
        <f aca="false">DATE(2026,8,9)</f>
        <v>46243</v>
      </c>
      <c r="B14696" s="4" t="s">
        <v>13</v>
      </c>
      <c r="C14696" s="4" t="n">
        <v>4</v>
      </c>
      <c r="D14696" s="4" t="n">
        <v>6</v>
      </c>
      <c r="E14696" s="4"/>
      <c r="F14696" s="4" t="n">
        <v>6</v>
      </c>
      <c r="G14696" s="4" t="n">
        <v>10</v>
      </c>
      <c r="H14696" s="4" t="n">
        <v>4</v>
      </c>
      <c r="I14696" s="4" t="str">
        <v>×</v>
      </c>
      <c r="J14696" s="4"/>
      <c r="K14696" s="4"/>
      <c r="L14696" s="4"/>
      <c r="M14696" s="7" t="s">
        <v>6871</v>
      </c>
    </row>
    <row r="14697" customFormat="false" ht="15.75" hidden="false" customHeight="false" outlineLevel="0" collapsed="false">
      <c r="A14697" s="6" t="n">
        <f aca="false">DATE(2026,8,9)</f>
        <v>46243</v>
      </c>
      <c r="B14697" s="4" t="s">
        <v>13</v>
      </c>
      <c r="C14697" s="4" t="n">
        <v>4</v>
      </c>
      <c r="D14697" s="4" t="n">
        <v>7</v>
      </c>
      <c r="E14697" s="4"/>
      <c r="F14697" s="4" t="n">
        <v>6</v>
      </c>
      <c r="G14697" s="4" t="n">
        <v>11</v>
      </c>
      <c r="H14697" s="4" t="n">
        <v>4</v>
      </c>
      <c r="I14697" s="4" t="str">
        <v>×</v>
      </c>
      <c r="J14697" s="4"/>
      <c r="K14697" s="4"/>
      <c r="L14697" s="4"/>
      <c r="M14697" s="7" t="s">
        <v>6871</v>
      </c>
    </row>
    <row r="14698" customFormat="false" ht="15.75" hidden="false" customHeight="false" outlineLevel="0" collapsed="false">
      <c r="A14698" s="6" t="n">
        <f aca="false">DATE(2026,8,9)</f>
        <v>46243</v>
      </c>
      <c r="B14698" s="4" t="s">
        <v>13</v>
      </c>
      <c r="C14698" s="4" t="n">
        <v>4</v>
      </c>
      <c r="D14698" s="4" t="n">
        <v>9</v>
      </c>
      <c r="E14698" s="4"/>
      <c r="F14698" s="4" t="n">
        <v>6</v>
      </c>
      <c r="G14698" s="4" t="n">
        <v>12</v>
      </c>
      <c r="H14698" s="4" t="n">
        <v>4</v>
      </c>
      <c r="I14698" s="4" t="str">
        <v>×</v>
      </c>
      <c r="J14698" s="4"/>
      <c r="K14698" s="4"/>
      <c r="L14698" s="4"/>
      <c r="M14698" s="7" t="s">
        <v>6871</v>
      </c>
    </row>
    <row r="14699" customFormat="false" ht="15.75" hidden="false" customHeight="false" outlineLevel="0" collapsed="false">
      <c r="A14699" s="6" t="n">
        <f aca="false">DATE(2026,8,9)</f>
        <v>46243</v>
      </c>
      <c r="B14699" s="4" t="s">
        <v>13</v>
      </c>
      <c r="C14699" s="4" t="n">
        <v>4</v>
      </c>
      <c r="D14699" s="4" t="n">
        <v>15</v>
      </c>
      <c r="E14699" s="4"/>
      <c r="F14699" s="4" t="n">
        <v>6</v>
      </c>
      <c r="G14699" s="4" t="n">
        <v>13</v>
      </c>
      <c r="H14699" s="4" t="n">
        <v>4</v>
      </c>
      <c r="I14699" s="4" t="str">
        <v>×</v>
      </c>
      <c r="J14699" s="4"/>
      <c r="K14699" s="4"/>
      <c r="L14699" s="4"/>
      <c r="M14699" s="7" t="s">
        <v>6871</v>
      </c>
    </row>
    <row r="14700" customFormat="false" ht="15.75" hidden="false" customHeight="false" outlineLevel="0" collapsed="false">
      <c r="A14700" s="6" t="n">
        <f aca="false">DATE(2026,8,9)</f>
        <v>46243</v>
      </c>
      <c r="B14700" s="4" t="s">
        <v>13</v>
      </c>
      <c r="C14700" s="4" t="n">
        <v>4</v>
      </c>
      <c r="D14700" s="4" t="n">
        <v>1</v>
      </c>
      <c r="E14700" s="4"/>
      <c r="F14700" s="4" t="n">
        <v>3</v>
      </c>
      <c r="G14700" s="4" t="n">
        <v>14</v>
      </c>
      <c r="H14700" s="4" t="n">
        <v>4</v>
      </c>
      <c r="I14700" s="4" t="str">
        <v>×</v>
      </c>
      <c r="J14700" s="4"/>
      <c r="K14700" s="4"/>
      <c r="L14700" s="4"/>
      <c r="M14700" s="7" t="s">
        <v>6871</v>
      </c>
    </row>
    <row r="14701" customFormat="false" ht="15.75" hidden="false" customHeight="false" outlineLevel="0" collapsed="false">
      <c r="A14701" s="6" t="n">
        <f aca="false">DATE(2026,8,9)</f>
        <v>46243</v>
      </c>
      <c r="B14701" s="4" t="s">
        <v>13</v>
      </c>
      <c r="C14701" s="4" t="n">
        <v>4</v>
      </c>
      <c r="D14701" s="4" t="n">
        <v>5</v>
      </c>
      <c r="E14701" s="4"/>
      <c r="F14701" s="4" t="n">
        <v>2</v>
      </c>
      <c r="G14701" s="4" t="n">
        <v>15</v>
      </c>
      <c r="H14701" s="4" t="n">
        <v>4</v>
      </c>
      <c r="I14701" s="4" t="str">
        <v>×</v>
      </c>
      <c r="J14701" s="4"/>
      <c r="K14701" s="4"/>
      <c r="L14701" s="4"/>
      <c r="M14701" s="7" t="s">
        <v>6871</v>
      </c>
    </row>
    <row r="14702" customFormat="false" ht="15.75" hidden="false" customHeight="false" outlineLevel="0" collapsed="false">
      <c r="A14702" s="6" t="n">
        <f aca="false">DATE(2026,8,9)</f>
        <v>46243</v>
      </c>
      <c r="B14702" s="4" t="s">
        <v>13</v>
      </c>
      <c r="C14702" s="4" t="n">
        <v>5</v>
      </c>
      <c r="D14702" s="4" t="n">
        <v>9</v>
      </c>
      <c r="E14702" s="4"/>
      <c r="F14702" s="4" t="n">
        <v>62</v>
      </c>
      <c r="G14702" s="4" t="n">
        <v>1</v>
      </c>
      <c r="H14702" s="4" t="n">
        <v>4</v>
      </c>
      <c r="I14702" s="4" t="str">
        <v>×</v>
      </c>
      <c r="J14702" s="4"/>
      <c r="K14702" s="4"/>
      <c r="L14702" s="4"/>
      <c r="M14702" s="7" t="s">
        <v>6871</v>
      </c>
    </row>
    <row r="14703" customFormat="false" ht="15.75" hidden="false" customHeight="false" outlineLevel="0" collapsed="false">
      <c r="A14703" s="6" t="n">
        <f aca="false">DATE(2026,8,9)</f>
        <v>46243</v>
      </c>
      <c r="B14703" s="4" t="s">
        <v>13</v>
      </c>
      <c r="C14703" s="4" t="n">
        <v>5</v>
      </c>
      <c r="D14703" s="4" t="n">
        <v>2</v>
      </c>
      <c r="E14703" s="4"/>
      <c r="F14703" s="4" t="n">
        <v>50</v>
      </c>
      <c r="G14703" s="4" t="n">
        <v>2</v>
      </c>
      <c r="H14703" s="4" t="n">
        <v>4</v>
      </c>
      <c r="I14703" s="4" t="str">
        <v>×</v>
      </c>
      <c r="J14703" s="4"/>
      <c r="K14703" s="4"/>
      <c r="L14703" s="4"/>
      <c r="M14703" s="7" t="s">
        <v>6871</v>
      </c>
    </row>
    <row r="14704" customFormat="false" ht="15.75" hidden="false" customHeight="false" outlineLevel="0" collapsed="false">
      <c r="A14704" s="6" t="n">
        <f aca="false">DATE(2026,8,9)</f>
        <v>46243</v>
      </c>
      <c r="B14704" s="4" t="s">
        <v>13</v>
      </c>
      <c r="C14704" s="4" t="n">
        <v>5</v>
      </c>
      <c r="D14704" s="4" t="n">
        <v>12</v>
      </c>
      <c r="E14704" s="4"/>
      <c r="F14704" s="4" t="n">
        <v>56</v>
      </c>
      <c r="G14704" s="4" t="n">
        <v>3</v>
      </c>
      <c r="H14704" s="4" t="n">
        <v>4</v>
      </c>
      <c r="I14704" s="4" t="str">
        <v>×</v>
      </c>
      <c r="J14704" s="4"/>
      <c r="K14704" s="4"/>
      <c r="L14704" s="4"/>
      <c r="M14704" s="7" t="s">
        <v>6871</v>
      </c>
    </row>
    <row r="14705" customFormat="false" ht="15.75" hidden="false" customHeight="false" outlineLevel="0" collapsed="false">
      <c r="A14705" s="6" t="n">
        <f aca="false">DATE(2026,8,9)</f>
        <v>46243</v>
      </c>
      <c r="B14705" s="4" t="s">
        <v>13</v>
      </c>
      <c r="C14705" s="4" t="n">
        <v>5</v>
      </c>
      <c r="D14705" s="4" t="n">
        <v>3</v>
      </c>
      <c r="E14705" s="4" t="s">
        <v>6920</v>
      </c>
      <c r="F14705" s="4" t="n">
        <v>41</v>
      </c>
      <c r="G14705" s="4" t="n">
        <v>4</v>
      </c>
      <c r="H14705" s="4" t="n">
        <v>2</v>
      </c>
      <c r="I14705" s="4" t="str">
        <v>○</v>
      </c>
      <c r="J14705" s="4" t="n">
        <v>220</v>
      </c>
      <c r="K14705" s="4"/>
      <c r="L14705" s="4"/>
      <c r="M14705" s="7" t="s">
        <v>6871</v>
      </c>
    </row>
    <row r="14706" customFormat="false" ht="15.75" hidden="false" customHeight="false" outlineLevel="0" collapsed="false">
      <c r="A14706" s="6" t="n">
        <f aca="false">DATE(2026,8,9)</f>
        <v>46243</v>
      </c>
      <c r="B14706" s="4" t="s">
        <v>13</v>
      </c>
      <c r="C14706" s="4" t="n">
        <v>5</v>
      </c>
      <c r="D14706" s="4" t="n">
        <v>11</v>
      </c>
      <c r="E14706" s="4" t="s">
        <v>1957</v>
      </c>
      <c r="F14706" s="4" t="n">
        <v>37</v>
      </c>
      <c r="G14706" s="4" t="n">
        <v>5</v>
      </c>
      <c r="H14706" s="4" t="n">
        <v>1</v>
      </c>
      <c r="I14706" s="4" t="str">
        <v>○</v>
      </c>
      <c r="J14706" s="4" t="n">
        <v>270</v>
      </c>
      <c r="K14706" s="4"/>
      <c r="L14706" s="4"/>
      <c r="M14706" s="7" t="s">
        <v>6871</v>
      </c>
    </row>
    <row r="14707" customFormat="false" ht="15.75" hidden="false" customHeight="false" outlineLevel="0" collapsed="false">
      <c r="A14707" s="6" t="n">
        <f aca="false">DATE(2026,8,9)</f>
        <v>46243</v>
      </c>
      <c r="B14707" s="4" t="s">
        <v>13</v>
      </c>
      <c r="C14707" s="4" t="n">
        <v>5</v>
      </c>
      <c r="D14707" s="4" t="n">
        <v>8</v>
      </c>
      <c r="E14707" s="4"/>
      <c r="F14707" s="4" t="n">
        <v>29</v>
      </c>
      <c r="G14707" s="4" t="n">
        <v>6</v>
      </c>
      <c r="H14707" s="4" t="n">
        <v>4</v>
      </c>
      <c r="I14707" s="4" t="str">
        <v>×</v>
      </c>
      <c r="J14707" s="4"/>
      <c r="K14707" s="4"/>
      <c r="L14707" s="4"/>
      <c r="M14707" s="7" t="s">
        <v>6871</v>
      </c>
    </row>
    <row r="14708" customFormat="false" ht="15.75" hidden="false" customHeight="false" outlineLevel="0" collapsed="false">
      <c r="A14708" s="6" t="n">
        <f aca="false">DATE(2026,8,9)</f>
        <v>46243</v>
      </c>
      <c r="B14708" s="4" t="s">
        <v>13</v>
      </c>
      <c r="C14708" s="4" t="n">
        <v>5</v>
      </c>
      <c r="D14708" s="4" t="n">
        <v>6</v>
      </c>
      <c r="E14708" s="4"/>
      <c r="F14708" s="4" t="n">
        <v>23</v>
      </c>
      <c r="G14708" s="4" t="n">
        <v>7</v>
      </c>
      <c r="H14708" s="4" t="n">
        <v>4</v>
      </c>
      <c r="I14708" s="4" t="str">
        <v>×</v>
      </c>
      <c r="J14708" s="4"/>
      <c r="K14708" s="4"/>
      <c r="L14708" s="4"/>
      <c r="M14708" s="7" t="s">
        <v>6871</v>
      </c>
    </row>
    <row r="14709" customFormat="false" ht="15.75" hidden="false" customHeight="false" outlineLevel="0" collapsed="false">
      <c r="A14709" s="6" t="n">
        <f aca="false">DATE(2026,8,9)</f>
        <v>46243</v>
      </c>
      <c r="B14709" s="4" t="s">
        <v>13</v>
      </c>
      <c r="C14709" s="4" t="n">
        <v>5</v>
      </c>
      <c r="D14709" s="4" t="n">
        <v>10</v>
      </c>
      <c r="E14709" s="4" t="s">
        <v>6921</v>
      </c>
      <c r="F14709" s="4" t="n">
        <v>23</v>
      </c>
      <c r="G14709" s="4" t="n">
        <v>8</v>
      </c>
      <c r="H14709" s="4" t="n">
        <v>3</v>
      </c>
      <c r="I14709" s="4" t="str">
        <v>○</v>
      </c>
      <c r="J14709" s="4" t="n">
        <v>440</v>
      </c>
      <c r="K14709" s="4"/>
      <c r="L14709" s="4"/>
      <c r="M14709" s="7" t="s">
        <v>6871</v>
      </c>
    </row>
    <row r="14710" customFormat="false" ht="15.75" hidden="false" customHeight="false" outlineLevel="0" collapsed="false">
      <c r="A14710" s="6" t="n">
        <f aca="false">DATE(2026,8,9)</f>
        <v>46243</v>
      </c>
      <c r="B14710" s="4" t="s">
        <v>13</v>
      </c>
      <c r="C14710" s="4" t="n">
        <v>5</v>
      </c>
      <c r="D14710" s="4" t="n">
        <v>15</v>
      </c>
      <c r="E14710" s="4"/>
      <c r="F14710" s="4" t="n">
        <v>17</v>
      </c>
      <c r="G14710" s="4" t="n">
        <v>9</v>
      </c>
      <c r="H14710" s="4" t="n">
        <v>4</v>
      </c>
      <c r="I14710" s="4" t="str">
        <v>×</v>
      </c>
      <c r="J14710" s="4"/>
      <c r="K14710" s="4"/>
      <c r="L14710" s="4"/>
      <c r="M14710" s="7" t="s">
        <v>6871</v>
      </c>
    </row>
    <row r="14711" customFormat="false" ht="15.75" hidden="false" customHeight="false" outlineLevel="0" collapsed="false">
      <c r="A14711" s="6" t="n">
        <f aca="false">DATE(2026,8,9)</f>
        <v>46243</v>
      </c>
      <c r="B14711" s="4" t="s">
        <v>13</v>
      </c>
      <c r="C14711" s="4" t="n">
        <v>5</v>
      </c>
      <c r="D14711" s="4" t="n">
        <v>1</v>
      </c>
      <c r="E14711" s="4"/>
      <c r="F14711" s="4" t="n">
        <v>13</v>
      </c>
      <c r="G14711" s="4" t="n">
        <v>10</v>
      </c>
      <c r="H14711" s="4" t="n">
        <v>4</v>
      </c>
      <c r="I14711" s="4" t="str">
        <v>×</v>
      </c>
      <c r="J14711" s="4"/>
      <c r="K14711" s="4"/>
      <c r="L14711" s="4"/>
      <c r="M14711" s="7" t="s">
        <v>6871</v>
      </c>
    </row>
    <row r="14712" customFormat="false" ht="15.75" hidden="false" customHeight="false" outlineLevel="0" collapsed="false">
      <c r="A14712" s="6" t="n">
        <f aca="false">DATE(2026,8,9)</f>
        <v>46243</v>
      </c>
      <c r="B14712" s="4" t="s">
        <v>13</v>
      </c>
      <c r="C14712" s="4" t="n">
        <v>5</v>
      </c>
      <c r="D14712" s="4" t="n">
        <v>4</v>
      </c>
      <c r="E14712" s="4"/>
      <c r="F14712" s="4" t="n">
        <v>13</v>
      </c>
      <c r="G14712" s="4" t="n">
        <v>11</v>
      </c>
      <c r="H14712" s="4" t="n">
        <v>4</v>
      </c>
      <c r="I14712" s="4" t="str">
        <v>×</v>
      </c>
      <c r="J14712" s="4"/>
      <c r="K14712" s="4"/>
      <c r="L14712" s="4"/>
      <c r="M14712" s="7" t="s">
        <v>6871</v>
      </c>
    </row>
    <row r="14713" customFormat="false" ht="15.75" hidden="false" customHeight="false" outlineLevel="0" collapsed="false">
      <c r="A14713" s="6" t="n">
        <f aca="false">DATE(2026,8,9)</f>
        <v>46243</v>
      </c>
      <c r="B14713" s="4" t="s">
        <v>13</v>
      </c>
      <c r="C14713" s="4" t="n">
        <v>5</v>
      </c>
      <c r="D14713" s="4" t="n">
        <v>13</v>
      </c>
      <c r="E14713" s="4"/>
      <c r="F14713" s="4" t="n">
        <v>13</v>
      </c>
      <c r="G14713" s="4" t="n">
        <v>12</v>
      </c>
      <c r="H14713" s="4" t="n">
        <v>4</v>
      </c>
      <c r="I14713" s="4" t="str">
        <v>×</v>
      </c>
      <c r="J14713" s="4"/>
      <c r="K14713" s="4"/>
      <c r="L14713" s="4"/>
      <c r="M14713" s="7" t="s">
        <v>6871</v>
      </c>
    </row>
    <row r="14714" customFormat="false" ht="15.75" hidden="false" customHeight="false" outlineLevel="0" collapsed="false">
      <c r="A14714" s="6" t="n">
        <f aca="false">DATE(2026,8,9)</f>
        <v>46243</v>
      </c>
      <c r="B14714" s="4" t="s">
        <v>13</v>
      </c>
      <c r="C14714" s="4" t="n">
        <v>5</v>
      </c>
      <c r="D14714" s="4" t="n">
        <v>5</v>
      </c>
      <c r="E14714" s="4"/>
      <c r="F14714" s="4" t="n">
        <v>4</v>
      </c>
      <c r="G14714" s="4" t="n">
        <v>13</v>
      </c>
      <c r="H14714" s="4" t="n">
        <v>4</v>
      </c>
      <c r="I14714" s="4" t="str">
        <v>×</v>
      </c>
      <c r="J14714" s="4"/>
      <c r="K14714" s="4"/>
      <c r="L14714" s="4"/>
      <c r="M14714" s="7" t="s">
        <v>6871</v>
      </c>
    </row>
    <row r="14715" customFormat="false" ht="15.75" hidden="false" customHeight="false" outlineLevel="0" collapsed="false">
      <c r="A14715" s="6" t="n">
        <f aca="false">DATE(2026,8,9)</f>
        <v>46243</v>
      </c>
      <c r="B14715" s="4" t="s">
        <v>13</v>
      </c>
      <c r="C14715" s="4" t="n">
        <v>5</v>
      </c>
      <c r="D14715" s="4" t="n">
        <v>14</v>
      </c>
      <c r="E14715" s="4"/>
      <c r="F14715" s="4" t="n">
        <v>4</v>
      </c>
      <c r="G14715" s="4" t="n">
        <v>14</v>
      </c>
      <c r="H14715" s="4" t="n">
        <v>4</v>
      </c>
      <c r="I14715" s="4" t="str">
        <v>×</v>
      </c>
      <c r="J14715" s="4"/>
      <c r="K14715" s="4"/>
      <c r="L14715" s="4"/>
      <c r="M14715" s="7" t="s">
        <v>6871</v>
      </c>
    </row>
    <row r="14716" customFormat="false" ht="15.75" hidden="false" customHeight="false" outlineLevel="0" collapsed="false">
      <c r="A14716" s="6" t="n">
        <f aca="false">DATE(2026,8,9)</f>
        <v>46243</v>
      </c>
      <c r="B14716" s="4" t="s">
        <v>13</v>
      </c>
      <c r="C14716" s="4" t="n">
        <v>5</v>
      </c>
      <c r="D14716" s="4" t="n">
        <v>7</v>
      </c>
      <c r="E14716" s="4"/>
      <c r="F14716" s="4" t="n">
        <v>3</v>
      </c>
      <c r="G14716" s="4" t="n">
        <v>15</v>
      </c>
      <c r="H14716" s="4" t="n">
        <v>4</v>
      </c>
      <c r="I14716" s="4" t="str">
        <v>×</v>
      </c>
      <c r="J14716" s="4"/>
      <c r="K14716" s="4"/>
      <c r="L14716" s="4"/>
      <c r="M14716" s="7" t="s">
        <v>6871</v>
      </c>
    </row>
    <row r="14717" customFormat="false" ht="15.75" hidden="false" customHeight="false" outlineLevel="0" collapsed="false">
      <c r="A14717" s="6" t="n">
        <f aca="false">DATE(2026,8,9)</f>
        <v>46243</v>
      </c>
      <c r="B14717" s="4" t="s">
        <v>13</v>
      </c>
      <c r="C14717" s="4" t="n">
        <v>6</v>
      </c>
      <c r="D14717" s="4" t="n">
        <v>1</v>
      </c>
      <c r="E14717" s="4" t="s">
        <v>6058</v>
      </c>
      <c r="F14717" s="4" t="n">
        <v>62</v>
      </c>
      <c r="G14717" s="4" t="n">
        <v>1</v>
      </c>
      <c r="H14717" s="4" t="n">
        <v>1</v>
      </c>
      <c r="I14717" s="4" t="str">
        <v>○</v>
      </c>
      <c r="J14717" s="4" t="n">
        <v>110</v>
      </c>
      <c r="K14717" s="4"/>
      <c r="L14717" s="4"/>
      <c r="M14717" s="7" t="s">
        <v>6871</v>
      </c>
    </row>
    <row r="14718" customFormat="false" ht="15.75" hidden="false" customHeight="false" outlineLevel="0" collapsed="false">
      <c r="A14718" s="6" t="n">
        <f aca="false">DATE(2026,8,9)</f>
        <v>46243</v>
      </c>
      <c r="B14718" s="4" t="s">
        <v>13</v>
      </c>
      <c r="C14718" s="4" t="n">
        <v>6</v>
      </c>
      <c r="D14718" s="4" t="n">
        <v>3</v>
      </c>
      <c r="E14718" s="4" t="s">
        <v>6922</v>
      </c>
      <c r="F14718" s="4" t="n">
        <v>37</v>
      </c>
      <c r="G14718" s="4" t="n">
        <v>2</v>
      </c>
      <c r="H14718" s="4" t="n">
        <v>2</v>
      </c>
      <c r="I14718" s="4" t="str">
        <v>○</v>
      </c>
      <c r="J14718" s="4" t="n">
        <v>180</v>
      </c>
      <c r="K14718" s="4"/>
      <c r="L14718" s="4"/>
      <c r="M14718" s="7" t="s">
        <v>6871</v>
      </c>
    </row>
    <row r="14719" customFormat="false" ht="15.75" hidden="false" customHeight="false" outlineLevel="0" collapsed="false">
      <c r="A14719" s="6" t="n">
        <f aca="false">DATE(2026,8,9)</f>
        <v>46243</v>
      </c>
      <c r="B14719" s="4" t="s">
        <v>13</v>
      </c>
      <c r="C14719" s="4" t="n">
        <v>6</v>
      </c>
      <c r="D14719" s="4" t="n">
        <v>11</v>
      </c>
      <c r="E14719" s="4"/>
      <c r="F14719" s="4" t="n">
        <v>37</v>
      </c>
      <c r="G14719" s="4" t="n">
        <v>3</v>
      </c>
      <c r="H14719" s="4" t="n">
        <v>4</v>
      </c>
      <c r="I14719" s="4" t="str">
        <v>×</v>
      </c>
      <c r="J14719" s="4"/>
      <c r="K14719" s="4"/>
      <c r="L14719" s="4"/>
      <c r="M14719" s="7" t="s">
        <v>6871</v>
      </c>
    </row>
    <row r="14720" customFormat="false" ht="15.75" hidden="false" customHeight="false" outlineLevel="0" collapsed="false">
      <c r="A14720" s="6" t="n">
        <f aca="false">DATE(2026,8,9)</f>
        <v>46243</v>
      </c>
      <c r="B14720" s="4" t="s">
        <v>13</v>
      </c>
      <c r="C14720" s="4" t="n">
        <v>6</v>
      </c>
      <c r="D14720" s="4" t="n">
        <v>6</v>
      </c>
      <c r="E14720" s="4"/>
      <c r="F14720" s="4" t="n">
        <v>31</v>
      </c>
      <c r="G14720" s="4" t="n">
        <v>4</v>
      </c>
      <c r="H14720" s="4" t="n">
        <v>4</v>
      </c>
      <c r="I14720" s="4" t="str">
        <v>×</v>
      </c>
      <c r="J14720" s="4"/>
      <c r="K14720" s="4"/>
      <c r="L14720" s="4"/>
      <c r="M14720" s="7" t="s">
        <v>6871</v>
      </c>
    </row>
    <row r="14721" customFormat="false" ht="15.75" hidden="false" customHeight="false" outlineLevel="0" collapsed="false">
      <c r="A14721" s="6" t="n">
        <f aca="false">DATE(2026,8,9)</f>
        <v>46243</v>
      </c>
      <c r="B14721" s="4" t="s">
        <v>13</v>
      </c>
      <c r="C14721" s="4" t="n">
        <v>6</v>
      </c>
      <c r="D14721" s="4" t="n">
        <v>2</v>
      </c>
      <c r="E14721" s="4"/>
      <c r="F14721" s="4" t="n">
        <v>25</v>
      </c>
      <c r="G14721" s="4" t="n">
        <v>5</v>
      </c>
      <c r="H14721" s="4" t="n">
        <v>4</v>
      </c>
      <c r="I14721" s="4" t="str">
        <v>×</v>
      </c>
      <c r="J14721" s="4"/>
      <c r="K14721" s="4"/>
      <c r="L14721" s="4"/>
      <c r="M14721" s="7" t="s">
        <v>6871</v>
      </c>
    </row>
    <row r="14722" customFormat="false" ht="15.75" hidden="false" customHeight="false" outlineLevel="0" collapsed="false">
      <c r="A14722" s="6" t="n">
        <f aca="false">DATE(2026,8,9)</f>
        <v>46243</v>
      </c>
      <c r="B14722" s="4" t="s">
        <v>13</v>
      </c>
      <c r="C14722" s="4" t="n">
        <v>6</v>
      </c>
      <c r="D14722" s="4" t="n">
        <v>13</v>
      </c>
      <c r="E14722" s="4"/>
      <c r="F14722" s="4" t="n">
        <v>25</v>
      </c>
      <c r="G14722" s="4" t="n">
        <v>6</v>
      </c>
      <c r="H14722" s="4" t="n">
        <v>4</v>
      </c>
      <c r="I14722" s="4" t="str">
        <v>×</v>
      </c>
      <c r="J14722" s="4"/>
      <c r="K14722" s="4"/>
      <c r="L14722" s="4"/>
      <c r="M14722" s="7" t="s">
        <v>6871</v>
      </c>
    </row>
    <row r="14723" customFormat="false" ht="15.75" hidden="false" customHeight="false" outlineLevel="0" collapsed="false">
      <c r="A14723" s="6" t="n">
        <f aca="false">DATE(2026,8,9)</f>
        <v>46243</v>
      </c>
      <c r="B14723" s="4" t="s">
        <v>13</v>
      </c>
      <c r="C14723" s="4" t="n">
        <v>6</v>
      </c>
      <c r="D14723" s="4" t="n">
        <v>4</v>
      </c>
      <c r="E14723" s="4"/>
      <c r="F14723" s="4" t="n">
        <v>20</v>
      </c>
      <c r="G14723" s="4" t="n">
        <v>7</v>
      </c>
      <c r="H14723" s="4" t="n">
        <v>4</v>
      </c>
      <c r="I14723" s="4" t="str">
        <v>×</v>
      </c>
      <c r="J14723" s="4"/>
      <c r="K14723" s="4"/>
      <c r="L14723" s="4"/>
      <c r="M14723" s="7" t="s">
        <v>6871</v>
      </c>
    </row>
    <row r="14724" customFormat="false" ht="15.75" hidden="false" customHeight="false" outlineLevel="0" collapsed="false">
      <c r="A14724" s="6" t="n">
        <f aca="false">DATE(2026,8,9)</f>
        <v>46243</v>
      </c>
      <c r="B14724" s="4" t="s">
        <v>13</v>
      </c>
      <c r="C14724" s="4" t="n">
        <v>6</v>
      </c>
      <c r="D14724" s="4" t="n">
        <v>5</v>
      </c>
      <c r="E14724" s="4"/>
      <c r="F14724" s="4" t="n">
        <v>20</v>
      </c>
      <c r="G14724" s="4" t="n">
        <v>8</v>
      </c>
      <c r="H14724" s="4" t="n">
        <v>4</v>
      </c>
      <c r="I14724" s="4" t="str">
        <v>×</v>
      </c>
      <c r="J14724" s="4"/>
      <c r="K14724" s="4"/>
      <c r="L14724" s="4"/>
      <c r="M14724" s="7" t="s">
        <v>6871</v>
      </c>
    </row>
    <row r="14725" customFormat="false" ht="15.75" hidden="false" customHeight="false" outlineLevel="0" collapsed="false">
      <c r="A14725" s="6" t="n">
        <f aca="false">DATE(2026,8,9)</f>
        <v>46243</v>
      </c>
      <c r="B14725" s="4" t="s">
        <v>13</v>
      </c>
      <c r="C14725" s="4" t="n">
        <v>6</v>
      </c>
      <c r="D14725" s="4" t="n">
        <v>10</v>
      </c>
      <c r="E14725" s="4"/>
      <c r="F14725" s="4" t="n">
        <v>17</v>
      </c>
      <c r="G14725" s="4" t="n">
        <v>9</v>
      </c>
      <c r="H14725" s="4" t="n">
        <v>4</v>
      </c>
      <c r="I14725" s="4" t="str">
        <v>×</v>
      </c>
      <c r="J14725" s="4"/>
      <c r="K14725" s="4"/>
      <c r="L14725" s="4"/>
      <c r="M14725" s="7" t="s">
        <v>6871</v>
      </c>
    </row>
    <row r="14726" customFormat="false" ht="15.75" hidden="false" customHeight="false" outlineLevel="0" collapsed="false">
      <c r="A14726" s="6" t="n">
        <f aca="false">DATE(2026,8,9)</f>
        <v>46243</v>
      </c>
      <c r="B14726" s="4" t="s">
        <v>13</v>
      </c>
      <c r="C14726" s="4" t="n">
        <v>6</v>
      </c>
      <c r="D14726" s="4" t="n">
        <v>7</v>
      </c>
      <c r="E14726" s="4"/>
      <c r="F14726" s="4" t="n">
        <v>15</v>
      </c>
      <c r="G14726" s="4" t="n">
        <v>10</v>
      </c>
      <c r="H14726" s="4" t="n">
        <v>4</v>
      </c>
      <c r="I14726" s="4" t="str">
        <v>×</v>
      </c>
      <c r="J14726" s="4"/>
      <c r="K14726" s="4"/>
      <c r="L14726" s="4"/>
      <c r="M14726" s="7" t="s">
        <v>6871</v>
      </c>
    </row>
    <row r="14727" customFormat="false" ht="15.75" hidden="false" customHeight="false" outlineLevel="0" collapsed="false">
      <c r="A14727" s="6" t="n">
        <f aca="false">DATE(2026,8,9)</f>
        <v>46243</v>
      </c>
      <c r="B14727" s="4" t="s">
        <v>13</v>
      </c>
      <c r="C14727" s="4" t="n">
        <v>6</v>
      </c>
      <c r="D14727" s="4" t="n">
        <v>9</v>
      </c>
      <c r="E14727" s="4" t="s">
        <v>6923</v>
      </c>
      <c r="F14727" s="4" t="n">
        <v>8</v>
      </c>
      <c r="G14727" s="4" t="n">
        <v>11</v>
      </c>
      <c r="H14727" s="4" t="n">
        <v>3</v>
      </c>
      <c r="I14727" s="4" t="str">
        <v>○</v>
      </c>
      <c r="J14727" s="4" t="n">
        <v>750</v>
      </c>
      <c r="K14727" s="4"/>
      <c r="L14727" s="4"/>
      <c r="M14727" s="7" t="s">
        <v>6871</v>
      </c>
    </row>
    <row r="14728" customFormat="false" ht="15.75" hidden="false" customHeight="false" outlineLevel="0" collapsed="false">
      <c r="A14728" s="6" t="n">
        <f aca="false">DATE(2026,8,9)</f>
        <v>46243</v>
      </c>
      <c r="B14728" s="4" t="s">
        <v>13</v>
      </c>
      <c r="C14728" s="4" t="n">
        <v>6</v>
      </c>
      <c r="D14728" s="4" t="n">
        <v>8</v>
      </c>
      <c r="E14728" s="4"/>
      <c r="F14728" s="4" t="n">
        <v>6</v>
      </c>
      <c r="G14728" s="4" t="n">
        <v>12</v>
      </c>
      <c r="H14728" s="4" t="n">
        <v>4</v>
      </c>
      <c r="I14728" s="4" t="str">
        <v>×</v>
      </c>
      <c r="J14728" s="4"/>
      <c r="K14728" s="4"/>
      <c r="L14728" s="4"/>
      <c r="M14728" s="7" t="s">
        <v>6871</v>
      </c>
    </row>
    <row r="14729" customFormat="false" ht="15.75" hidden="false" customHeight="false" outlineLevel="0" collapsed="false">
      <c r="A14729" s="6" t="n">
        <f aca="false">DATE(2026,8,9)</f>
        <v>46243</v>
      </c>
      <c r="B14729" s="4" t="s">
        <v>13</v>
      </c>
      <c r="C14729" s="4" t="n">
        <v>6</v>
      </c>
      <c r="D14729" s="4" t="n">
        <v>12</v>
      </c>
      <c r="E14729" s="4"/>
      <c r="F14729" s="4" t="n">
        <v>3</v>
      </c>
      <c r="G14729" s="4" t="n">
        <v>13</v>
      </c>
      <c r="H14729" s="4" t="n">
        <v>4</v>
      </c>
      <c r="I14729" s="4" t="str">
        <v>×</v>
      </c>
      <c r="J14729" s="4"/>
      <c r="K14729" s="4"/>
      <c r="L14729" s="4"/>
      <c r="M14729" s="7" t="s">
        <v>6871</v>
      </c>
    </row>
    <row r="14730" customFormat="false" ht="15.75" hidden="false" customHeight="false" outlineLevel="0" collapsed="false">
      <c r="A14730" s="6" t="n">
        <f aca="false">DATE(2026,8,9)</f>
        <v>46243</v>
      </c>
      <c r="B14730" s="4" t="s">
        <v>13</v>
      </c>
      <c r="C14730" s="4" t="n">
        <v>7</v>
      </c>
      <c r="D14730" s="4" t="n">
        <v>6</v>
      </c>
      <c r="E14730" s="4"/>
      <c r="F14730" s="4" t="n">
        <v>52</v>
      </c>
      <c r="G14730" s="4" t="n">
        <v>1</v>
      </c>
      <c r="H14730" s="4" t="n">
        <v>4</v>
      </c>
      <c r="I14730" s="4" t="str">
        <v>×</v>
      </c>
      <c r="J14730" s="4"/>
      <c r="K14730" s="4"/>
      <c r="L14730" s="4"/>
      <c r="M14730" s="7" t="s">
        <v>6871</v>
      </c>
    </row>
    <row r="14731" customFormat="false" ht="15.75" hidden="false" customHeight="false" outlineLevel="0" collapsed="false">
      <c r="A14731" s="6" t="n">
        <f aca="false">DATE(2026,8,9)</f>
        <v>46243</v>
      </c>
      <c r="B14731" s="4" t="s">
        <v>13</v>
      </c>
      <c r="C14731" s="4" t="n">
        <v>7</v>
      </c>
      <c r="D14731" s="4" t="n">
        <v>9</v>
      </c>
      <c r="E14731" s="4"/>
      <c r="F14731" s="4" t="n">
        <v>52</v>
      </c>
      <c r="G14731" s="4" t="n">
        <v>2</v>
      </c>
      <c r="H14731" s="4" t="n">
        <v>4</v>
      </c>
      <c r="I14731" s="4" t="str">
        <v>×</v>
      </c>
      <c r="J14731" s="4"/>
      <c r="K14731" s="4"/>
      <c r="L14731" s="4"/>
      <c r="M14731" s="7" t="s">
        <v>6871</v>
      </c>
    </row>
    <row r="14732" customFormat="false" ht="15.75" hidden="false" customHeight="false" outlineLevel="0" collapsed="false">
      <c r="A14732" s="6" t="n">
        <f aca="false">DATE(2026,8,9)</f>
        <v>46243</v>
      </c>
      <c r="B14732" s="4" t="s">
        <v>13</v>
      </c>
      <c r="C14732" s="4" t="n">
        <v>7</v>
      </c>
      <c r="D14732" s="4" t="n">
        <v>5</v>
      </c>
      <c r="E14732" s="4"/>
      <c r="F14732" s="4" t="n">
        <v>47</v>
      </c>
      <c r="G14732" s="4" t="n">
        <v>3</v>
      </c>
      <c r="H14732" s="4" t="n">
        <v>4</v>
      </c>
      <c r="I14732" s="4" t="str">
        <v>×</v>
      </c>
      <c r="J14732" s="4"/>
      <c r="K14732" s="4"/>
      <c r="L14732" s="4"/>
      <c r="M14732" s="7" t="s">
        <v>6871</v>
      </c>
    </row>
    <row r="14733" customFormat="false" ht="15.75" hidden="false" customHeight="false" outlineLevel="0" collapsed="false">
      <c r="A14733" s="6" t="n">
        <f aca="false">DATE(2026,8,9)</f>
        <v>46243</v>
      </c>
      <c r="B14733" s="4" t="s">
        <v>13</v>
      </c>
      <c r="C14733" s="4" t="n">
        <v>7</v>
      </c>
      <c r="D14733" s="4" t="n">
        <v>11</v>
      </c>
      <c r="E14733" s="4" t="s">
        <v>6924</v>
      </c>
      <c r="F14733" s="4" t="n">
        <v>47</v>
      </c>
      <c r="G14733" s="4" t="n">
        <v>4</v>
      </c>
      <c r="H14733" s="4" t="n">
        <v>2</v>
      </c>
      <c r="I14733" s="4" t="str">
        <v>○</v>
      </c>
      <c r="J14733" s="4" t="n">
        <v>190</v>
      </c>
      <c r="K14733" s="4"/>
      <c r="L14733" s="4"/>
      <c r="M14733" s="7" t="s">
        <v>6871</v>
      </c>
    </row>
    <row r="14734" customFormat="false" ht="15.75" hidden="false" customHeight="false" outlineLevel="0" collapsed="false">
      <c r="A14734" s="6" t="n">
        <f aca="false">DATE(2026,8,9)</f>
        <v>46243</v>
      </c>
      <c r="B14734" s="4" t="s">
        <v>13</v>
      </c>
      <c r="C14734" s="4" t="n">
        <v>7</v>
      </c>
      <c r="D14734" s="4" t="n">
        <v>12</v>
      </c>
      <c r="E14734" s="4" t="s">
        <v>6925</v>
      </c>
      <c r="F14734" s="4" t="n">
        <v>41</v>
      </c>
      <c r="G14734" s="4" t="n">
        <v>5</v>
      </c>
      <c r="H14734" s="4" t="n">
        <v>3</v>
      </c>
      <c r="I14734" s="4" t="str">
        <v>○</v>
      </c>
      <c r="J14734" s="4" t="n">
        <v>130</v>
      </c>
      <c r="K14734" s="4"/>
      <c r="L14734" s="4"/>
      <c r="M14734" s="7" t="s">
        <v>6871</v>
      </c>
    </row>
    <row r="14735" customFormat="false" ht="15.75" hidden="false" customHeight="false" outlineLevel="0" collapsed="false">
      <c r="A14735" s="6" t="n">
        <f aca="false">DATE(2026,8,9)</f>
        <v>46243</v>
      </c>
      <c r="B14735" s="4" t="s">
        <v>13</v>
      </c>
      <c r="C14735" s="4" t="n">
        <v>7</v>
      </c>
      <c r="D14735" s="4" t="n">
        <v>10</v>
      </c>
      <c r="E14735" s="4"/>
      <c r="F14735" s="4" t="n">
        <v>31</v>
      </c>
      <c r="G14735" s="4" t="n">
        <v>6</v>
      </c>
      <c r="H14735" s="4" t="n">
        <v>4</v>
      </c>
      <c r="I14735" s="4" t="str">
        <v>×</v>
      </c>
      <c r="J14735" s="4"/>
      <c r="K14735" s="4"/>
      <c r="L14735" s="4"/>
      <c r="M14735" s="7" t="s">
        <v>6871</v>
      </c>
    </row>
    <row r="14736" customFormat="false" ht="15.75" hidden="false" customHeight="false" outlineLevel="0" collapsed="false">
      <c r="A14736" s="6" t="n">
        <f aca="false">DATE(2026,8,9)</f>
        <v>46243</v>
      </c>
      <c r="B14736" s="4" t="s">
        <v>13</v>
      </c>
      <c r="C14736" s="4" t="n">
        <v>7</v>
      </c>
      <c r="D14736" s="4" t="n">
        <v>8</v>
      </c>
      <c r="E14736" s="4"/>
      <c r="F14736" s="4" t="n">
        <v>20</v>
      </c>
      <c r="G14736" s="4" t="n">
        <v>7</v>
      </c>
      <c r="H14736" s="4" t="n">
        <v>4</v>
      </c>
      <c r="I14736" s="4" t="str">
        <v>×</v>
      </c>
      <c r="J14736" s="4"/>
      <c r="K14736" s="4"/>
      <c r="L14736" s="4"/>
      <c r="M14736" s="7" t="s">
        <v>6871</v>
      </c>
    </row>
    <row r="14737" customFormat="false" ht="15.75" hidden="false" customHeight="false" outlineLevel="0" collapsed="false">
      <c r="A14737" s="6" t="n">
        <f aca="false">DATE(2026,8,9)</f>
        <v>46243</v>
      </c>
      <c r="B14737" s="4" t="s">
        <v>13</v>
      </c>
      <c r="C14737" s="4" t="n">
        <v>7</v>
      </c>
      <c r="D14737" s="4" t="n">
        <v>4</v>
      </c>
      <c r="E14737" s="4" t="s">
        <v>4869</v>
      </c>
      <c r="F14737" s="4" t="n">
        <v>17</v>
      </c>
      <c r="G14737" s="4" t="n">
        <v>8</v>
      </c>
      <c r="H14737" s="4" t="n">
        <v>1</v>
      </c>
      <c r="I14737" s="4" t="str">
        <v>○</v>
      </c>
      <c r="J14737" s="4" t="n">
        <v>400</v>
      </c>
      <c r="K14737" s="4"/>
      <c r="L14737" s="4"/>
      <c r="M14737" s="7" t="s">
        <v>6871</v>
      </c>
    </row>
    <row r="14738" customFormat="false" ht="15.75" hidden="false" customHeight="false" outlineLevel="0" collapsed="false">
      <c r="A14738" s="6" t="n">
        <f aca="false">DATE(2026,8,9)</f>
        <v>46243</v>
      </c>
      <c r="B14738" s="4" t="s">
        <v>13</v>
      </c>
      <c r="C14738" s="4" t="n">
        <v>7</v>
      </c>
      <c r="D14738" s="4" t="n">
        <v>7</v>
      </c>
      <c r="E14738" s="4"/>
      <c r="F14738" s="4" t="n">
        <v>17</v>
      </c>
      <c r="G14738" s="4" t="n">
        <v>9</v>
      </c>
      <c r="H14738" s="4" t="n">
        <v>4</v>
      </c>
      <c r="I14738" s="4" t="str">
        <v>×</v>
      </c>
      <c r="J14738" s="4"/>
      <c r="K14738" s="4"/>
      <c r="L14738" s="4"/>
      <c r="M14738" s="7" t="s">
        <v>6871</v>
      </c>
    </row>
    <row r="14739" customFormat="false" ht="15.75" hidden="false" customHeight="false" outlineLevel="0" collapsed="false">
      <c r="A14739" s="6" t="n">
        <f aca="false">DATE(2026,8,9)</f>
        <v>46243</v>
      </c>
      <c r="B14739" s="4" t="s">
        <v>13</v>
      </c>
      <c r="C14739" s="4" t="n">
        <v>7</v>
      </c>
      <c r="D14739" s="4" t="n">
        <v>1</v>
      </c>
      <c r="E14739" s="4"/>
      <c r="F14739" s="4" t="n">
        <v>15</v>
      </c>
      <c r="G14739" s="4" t="n">
        <v>10</v>
      </c>
      <c r="H14739" s="4" t="n">
        <v>4</v>
      </c>
      <c r="I14739" s="4" t="str">
        <v>×</v>
      </c>
      <c r="J14739" s="4"/>
      <c r="K14739" s="4"/>
      <c r="L14739" s="4"/>
      <c r="M14739" s="7" t="s">
        <v>6871</v>
      </c>
    </row>
    <row r="14740" customFormat="false" ht="15.75" hidden="false" customHeight="false" outlineLevel="0" collapsed="false">
      <c r="A14740" s="6" t="n">
        <f aca="false">DATE(2026,8,9)</f>
        <v>46243</v>
      </c>
      <c r="B14740" s="4" t="s">
        <v>13</v>
      </c>
      <c r="C14740" s="4" t="n">
        <v>7</v>
      </c>
      <c r="D14740" s="4" t="n">
        <v>3</v>
      </c>
      <c r="E14740" s="4"/>
      <c r="F14740" s="4" t="n">
        <v>13</v>
      </c>
      <c r="G14740" s="4" t="n">
        <v>11</v>
      </c>
      <c r="H14740" s="4" t="n">
        <v>4</v>
      </c>
      <c r="I14740" s="4" t="str">
        <v>×</v>
      </c>
      <c r="J14740" s="4"/>
      <c r="K14740" s="4"/>
      <c r="L14740" s="4"/>
      <c r="M14740" s="7" t="s">
        <v>6871</v>
      </c>
    </row>
    <row r="14741" customFormat="false" ht="15.75" hidden="false" customHeight="false" outlineLevel="0" collapsed="false">
      <c r="A14741" s="6" t="n">
        <f aca="false">DATE(2026,8,9)</f>
        <v>46243</v>
      </c>
      <c r="B14741" s="4" t="s">
        <v>13</v>
      </c>
      <c r="C14741" s="4" t="n">
        <v>7</v>
      </c>
      <c r="D14741" s="4" t="n">
        <v>2</v>
      </c>
      <c r="E14741" s="4"/>
      <c r="F14741" s="4" t="n">
        <v>10</v>
      </c>
      <c r="G14741" s="4" t="n">
        <v>12</v>
      </c>
      <c r="H14741" s="4" t="n">
        <v>4</v>
      </c>
      <c r="I14741" s="4" t="str">
        <v>×</v>
      </c>
      <c r="J14741" s="4"/>
      <c r="K14741" s="4"/>
      <c r="L14741" s="4"/>
      <c r="M14741" s="7" t="s">
        <v>6871</v>
      </c>
    </row>
    <row r="14742" customFormat="false" ht="15.75" hidden="false" customHeight="false" outlineLevel="0" collapsed="false">
      <c r="A14742" s="6" t="n">
        <f aca="false">DATE(2026,8,9)</f>
        <v>46243</v>
      </c>
      <c r="B14742" s="4" t="s">
        <v>13</v>
      </c>
      <c r="C14742" s="4" t="n">
        <v>8</v>
      </c>
      <c r="D14742" s="4" t="n">
        <v>11</v>
      </c>
      <c r="E14742" s="4" t="s">
        <v>5562</v>
      </c>
      <c r="F14742" s="4" t="n">
        <v>60</v>
      </c>
      <c r="G14742" s="4" t="n">
        <v>1</v>
      </c>
      <c r="H14742" s="4" t="n">
        <v>2</v>
      </c>
      <c r="I14742" s="4" t="str">
        <v>○</v>
      </c>
      <c r="J14742" s="4" t="n">
        <v>130</v>
      </c>
      <c r="K14742" s="4"/>
      <c r="L14742" s="4"/>
      <c r="M14742" s="7" t="s">
        <v>6871</v>
      </c>
    </row>
    <row r="14743" customFormat="false" ht="15.75" hidden="false" customHeight="false" outlineLevel="0" collapsed="false">
      <c r="A14743" s="6" t="n">
        <f aca="false">DATE(2026,8,9)</f>
        <v>46243</v>
      </c>
      <c r="B14743" s="4" t="s">
        <v>13</v>
      </c>
      <c r="C14743" s="4" t="n">
        <v>8</v>
      </c>
      <c r="D14743" s="4" t="n">
        <v>8</v>
      </c>
      <c r="E14743" s="4" t="s">
        <v>5550</v>
      </c>
      <c r="F14743" s="4" t="n">
        <v>29</v>
      </c>
      <c r="G14743" s="4" t="n">
        <v>2</v>
      </c>
      <c r="H14743" s="4" t="n">
        <v>3</v>
      </c>
      <c r="I14743" s="4" t="str">
        <v>○</v>
      </c>
      <c r="J14743" s="4" t="n">
        <v>250</v>
      </c>
      <c r="K14743" s="4"/>
      <c r="L14743" s="4"/>
      <c r="M14743" s="7" t="s">
        <v>6871</v>
      </c>
    </row>
    <row r="14744" customFormat="false" ht="15.75" hidden="false" customHeight="false" outlineLevel="0" collapsed="false">
      <c r="A14744" s="6" t="n">
        <f aca="false">DATE(2026,8,9)</f>
        <v>46243</v>
      </c>
      <c r="B14744" s="4" t="s">
        <v>13</v>
      </c>
      <c r="C14744" s="4" t="n">
        <v>8</v>
      </c>
      <c r="D14744" s="4" t="n">
        <v>13</v>
      </c>
      <c r="E14744" s="4"/>
      <c r="F14744" s="4" t="n">
        <v>44</v>
      </c>
      <c r="G14744" s="4" t="n">
        <v>3</v>
      </c>
      <c r="H14744" s="4" t="n">
        <v>4</v>
      </c>
      <c r="I14744" s="4" t="str">
        <v>×</v>
      </c>
      <c r="J14744" s="4"/>
      <c r="K14744" s="4"/>
      <c r="L14744" s="4"/>
      <c r="M14744" s="7" t="s">
        <v>6871</v>
      </c>
    </row>
    <row r="14745" customFormat="false" ht="15.75" hidden="false" customHeight="false" outlineLevel="0" collapsed="false">
      <c r="A14745" s="6" t="n">
        <f aca="false">DATE(2026,8,9)</f>
        <v>46243</v>
      </c>
      <c r="B14745" s="4" t="s">
        <v>13</v>
      </c>
      <c r="C14745" s="4" t="n">
        <v>8</v>
      </c>
      <c r="D14745" s="4" t="n">
        <v>12</v>
      </c>
      <c r="E14745" s="4"/>
      <c r="F14745" s="4" t="n">
        <v>25</v>
      </c>
      <c r="G14745" s="4" t="n">
        <v>4</v>
      </c>
      <c r="H14745" s="4" t="n">
        <v>4</v>
      </c>
      <c r="I14745" s="4" t="str">
        <v>×</v>
      </c>
      <c r="J14745" s="4"/>
      <c r="K14745" s="4"/>
      <c r="L14745" s="4"/>
      <c r="M14745" s="7" t="s">
        <v>6871</v>
      </c>
    </row>
    <row r="14746" customFormat="false" ht="15.75" hidden="false" customHeight="false" outlineLevel="0" collapsed="false">
      <c r="A14746" s="6" t="n">
        <f aca="false">DATE(2026,8,9)</f>
        <v>46243</v>
      </c>
      <c r="B14746" s="4" t="s">
        <v>13</v>
      </c>
      <c r="C14746" s="4" t="n">
        <v>8</v>
      </c>
      <c r="D14746" s="4" t="n">
        <v>1</v>
      </c>
      <c r="E14746" s="4"/>
      <c r="F14746" s="4" t="n">
        <v>15</v>
      </c>
      <c r="G14746" s="4" t="n">
        <v>5</v>
      </c>
      <c r="H14746" s="4" t="n">
        <v>4</v>
      </c>
      <c r="I14746" s="4" t="str">
        <v>×</v>
      </c>
      <c r="J14746" s="4"/>
      <c r="K14746" s="4"/>
      <c r="L14746" s="4"/>
      <c r="M14746" s="7" t="s">
        <v>6871</v>
      </c>
    </row>
    <row r="14747" customFormat="false" ht="15.75" hidden="false" customHeight="false" outlineLevel="0" collapsed="false">
      <c r="A14747" s="6" t="n">
        <f aca="false">DATE(2026,8,9)</f>
        <v>46243</v>
      </c>
      <c r="B14747" s="4" t="s">
        <v>13</v>
      </c>
      <c r="C14747" s="4" t="n">
        <v>8</v>
      </c>
      <c r="D14747" s="4" t="n">
        <v>2</v>
      </c>
      <c r="E14747" s="4"/>
      <c r="F14747" s="4" t="n">
        <v>15</v>
      </c>
      <c r="G14747" s="4" t="n">
        <v>6</v>
      </c>
      <c r="H14747" s="4" t="n">
        <v>4</v>
      </c>
      <c r="I14747" s="4" t="str">
        <v>×</v>
      </c>
      <c r="J14747" s="4"/>
      <c r="K14747" s="4"/>
      <c r="L14747" s="4"/>
      <c r="M14747" s="7" t="s">
        <v>6871</v>
      </c>
    </row>
    <row r="14748" customFormat="false" ht="15.75" hidden="false" customHeight="false" outlineLevel="0" collapsed="false">
      <c r="A14748" s="6" t="n">
        <f aca="false">DATE(2026,8,9)</f>
        <v>46243</v>
      </c>
      <c r="B14748" s="4" t="s">
        <v>13</v>
      </c>
      <c r="C14748" s="4" t="n">
        <v>8</v>
      </c>
      <c r="D14748" s="4" t="n">
        <v>4</v>
      </c>
      <c r="E14748" s="4"/>
      <c r="F14748" s="4" t="n">
        <v>13</v>
      </c>
      <c r="G14748" s="4" t="n">
        <v>7</v>
      </c>
      <c r="H14748" s="4" t="n">
        <v>4</v>
      </c>
      <c r="I14748" s="4" t="str">
        <v>×</v>
      </c>
      <c r="J14748" s="4"/>
      <c r="K14748" s="4"/>
      <c r="L14748" s="4"/>
      <c r="M14748" s="7" t="s">
        <v>6871</v>
      </c>
    </row>
    <row r="14749" customFormat="false" ht="15.75" hidden="false" customHeight="false" outlineLevel="0" collapsed="false">
      <c r="A14749" s="6" t="n">
        <f aca="false">DATE(2026,8,9)</f>
        <v>46243</v>
      </c>
      <c r="B14749" s="4" t="s">
        <v>13</v>
      </c>
      <c r="C14749" s="4" t="n">
        <v>8</v>
      </c>
      <c r="D14749" s="4" t="n">
        <v>17</v>
      </c>
      <c r="E14749" s="4" t="s">
        <v>6371</v>
      </c>
      <c r="F14749" s="4" t="n">
        <v>13</v>
      </c>
      <c r="G14749" s="4" t="n">
        <v>8</v>
      </c>
      <c r="H14749" s="4" t="n">
        <v>1</v>
      </c>
      <c r="I14749" s="4" t="str">
        <v>○</v>
      </c>
      <c r="J14749" s="4" t="n">
        <v>170</v>
      </c>
      <c r="K14749" s="4"/>
      <c r="L14749" s="4"/>
      <c r="M14749" s="7" t="s">
        <v>6871</v>
      </c>
    </row>
    <row r="14750" customFormat="false" ht="15.75" hidden="false" customHeight="false" outlineLevel="0" collapsed="false">
      <c r="A14750" s="6" t="n">
        <f aca="false">DATE(2026,8,9)</f>
        <v>46243</v>
      </c>
      <c r="B14750" s="4" t="s">
        <v>13</v>
      </c>
      <c r="C14750" s="4" t="n">
        <v>8</v>
      </c>
      <c r="D14750" s="4" t="n">
        <v>5</v>
      </c>
      <c r="E14750" s="4"/>
      <c r="F14750" s="4" t="n">
        <v>10</v>
      </c>
      <c r="G14750" s="4" t="n">
        <v>9</v>
      </c>
      <c r="H14750" s="4" t="n">
        <v>4</v>
      </c>
      <c r="I14750" s="4" t="str">
        <v>×</v>
      </c>
      <c r="J14750" s="4"/>
      <c r="K14750" s="4"/>
      <c r="L14750" s="4"/>
      <c r="M14750" s="7" t="s">
        <v>6871</v>
      </c>
    </row>
    <row r="14751" customFormat="false" ht="15.75" hidden="false" customHeight="false" outlineLevel="0" collapsed="false">
      <c r="A14751" s="6" t="n">
        <f aca="false">DATE(2026,8,9)</f>
        <v>46243</v>
      </c>
      <c r="B14751" s="4" t="s">
        <v>13</v>
      </c>
      <c r="C14751" s="4" t="n">
        <v>8</v>
      </c>
      <c r="D14751" s="4" t="n">
        <v>7</v>
      </c>
      <c r="E14751" s="4"/>
      <c r="F14751" s="4" t="n">
        <v>10</v>
      </c>
      <c r="G14751" s="4" t="n">
        <v>10</v>
      </c>
      <c r="H14751" s="4" t="n">
        <v>4</v>
      </c>
      <c r="I14751" s="4" t="str">
        <v>×</v>
      </c>
      <c r="J14751" s="4"/>
      <c r="K14751" s="4"/>
      <c r="L14751" s="4"/>
      <c r="M14751" s="7" t="s">
        <v>6871</v>
      </c>
    </row>
    <row r="14752" customFormat="false" ht="15.75" hidden="false" customHeight="false" outlineLevel="0" collapsed="false">
      <c r="A14752" s="6" t="n">
        <f aca="false">DATE(2026,8,9)</f>
        <v>46243</v>
      </c>
      <c r="B14752" s="4" t="s">
        <v>13</v>
      </c>
      <c r="C14752" s="4" t="n">
        <v>8</v>
      </c>
      <c r="D14752" s="4" t="n">
        <v>14</v>
      </c>
      <c r="E14752" s="4"/>
      <c r="F14752" s="4" t="n">
        <v>8</v>
      </c>
      <c r="G14752" s="4" t="n">
        <v>11</v>
      </c>
      <c r="H14752" s="4" t="n">
        <v>4</v>
      </c>
      <c r="I14752" s="4" t="str">
        <v>×</v>
      </c>
      <c r="J14752" s="4"/>
      <c r="K14752" s="4"/>
      <c r="L14752" s="4"/>
      <c r="M14752" s="7" t="s">
        <v>6871</v>
      </c>
    </row>
    <row r="14753" customFormat="false" ht="15.75" hidden="false" customHeight="false" outlineLevel="0" collapsed="false">
      <c r="A14753" s="6" t="n">
        <f aca="false">DATE(2026,8,9)</f>
        <v>46243</v>
      </c>
      <c r="B14753" s="4" t="s">
        <v>13</v>
      </c>
      <c r="C14753" s="4" t="n">
        <v>8</v>
      </c>
      <c r="D14753" s="4" t="n">
        <v>16</v>
      </c>
      <c r="E14753" s="4"/>
      <c r="F14753" s="4" t="n">
        <v>8</v>
      </c>
      <c r="G14753" s="4" t="n">
        <v>12</v>
      </c>
      <c r="H14753" s="4" t="n">
        <v>4</v>
      </c>
      <c r="I14753" s="4" t="str">
        <v>×</v>
      </c>
      <c r="J14753" s="4"/>
      <c r="K14753" s="4"/>
      <c r="L14753" s="4"/>
      <c r="M14753" s="7" t="s">
        <v>6871</v>
      </c>
    </row>
    <row r="14754" customFormat="false" ht="15.75" hidden="false" customHeight="false" outlineLevel="0" collapsed="false">
      <c r="A14754" s="6" t="n">
        <f aca="false">DATE(2026,8,9)</f>
        <v>46243</v>
      </c>
      <c r="B14754" s="4" t="s">
        <v>13</v>
      </c>
      <c r="C14754" s="4" t="n">
        <v>8</v>
      </c>
      <c r="D14754" s="4" t="n">
        <v>6</v>
      </c>
      <c r="E14754" s="4"/>
      <c r="F14754" s="4" t="n">
        <v>6</v>
      </c>
      <c r="G14754" s="4" t="n">
        <v>13</v>
      </c>
      <c r="H14754" s="4" t="n">
        <v>4</v>
      </c>
      <c r="I14754" s="4" t="str">
        <v>×</v>
      </c>
      <c r="J14754" s="4"/>
      <c r="K14754" s="4"/>
      <c r="L14754" s="4"/>
      <c r="M14754" s="7" t="s">
        <v>6871</v>
      </c>
    </row>
    <row r="14755" customFormat="false" ht="15.75" hidden="false" customHeight="false" outlineLevel="0" collapsed="false">
      <c r="A14755" s="6" t="n">
        <f aca="false">DATE(2026,8,9)</f>
        <v>46243</v>
      </c>
      <c r="B14755" s="4" t="s">
        <v>13</v>
      </c>
      <c r="C14755" s="4" t="n">
        <v>8</v>
      </c>
      <c r="D14755" s="4" t="n">
        <v>15</v>
      </c>
      <c r="E14755" s="4"/>
      <c r="F14755" s="4" t="n">
        <v>6</v>
      </c>
      <c r="G14755" s="4" t="n">
        <v>14</v>
      </c>
      <c r="H14755" s="4" t="n">
        <v>4</v>
      </c>
      <c r="I14755" s="4" t="str">
        <v>×</v>
      </c>
      <c r="J14755" s="4"/>
      <c r="K14755" s="4"/>
      <c r="L14755" s="4"/>
      <c r="M14755" s="7" t="s">
        <v>6871</v>
      </c>
    </row>
    <row r="14756" customFormat="false" ht="15.75" hidden="false" customHeight="false" outlineLevel="0" collapsed="false">
      <c r="A14756" s="6" t="n">
        <f aca="false">DATE(2026,8,9)</f>
        <v>46243</v>
      </c>
      <c r="B14756" s="4" t="s">
        <v>13</v>
      </c>
      <c r="C14756" s="4" t="n">
        <v>8</v>
      </c>
      <c r="D14756" s="4" t="n">
        <v>10</v>
      </c>
      <c r="E14756" s="4"/>
      <c r="F14756" s="4" t="n">
        <v>4</v>
      </c>
      <c r="G14756" s="4" t="n">
        <v>15</v>
      </c>
      <c r="H14756" s="4" t="n">
        <v>4</v>
      </c>
      <c r="I14756" s="4" t="str">
        <v>×</v>
      </c>
      <c r="J14756" s="4"/>
      <c r="K14756" s="4"/>
      <c r="L14756" s="4"/>
      <c r="M14756" s="7" t="s">
        <v>6871</v>
      </c>
    </row>
    <row r="14757" customFormat="false" ht="15.75" hidden="false" customHeight="false" outlineLevel="0" collapsed="false">
      <c r="A14757" s="6" t="n">
        <f aca="false">DATE(2026,8,9)</f>
        <v>46243</v>
      </c>
      <c r="B14757" s="4" t="s">
        <v>13</v>
      </c>
      <c r="C14757" s="4" t="n">
        <v>8</v>
      </c>
      <c r="D14757" s="4" t="n">
        <v>9</v>
      </c>
      <c r="E14757" s="4"/>
      <c r="F14757" s="4" t="n">
        <v>3</v>
      </c>
      <c r="G14757" s="4" t="n">
        <v>16</v>
      </c>
      <c r="H14757" s="4" t="n">
        <v>4</v>
      </c>
      <c r="I14757" s="4" t="str">
        <v>×</v>
      </c>
      <c r="J14757" s="4"/>
      <c r="K14757" s="4"/>
      <c r="L14757" s="4"/>
      <c r="M14757" s="7" t="s">
        <v>6871</v>
      </c>
    </row>
    <row r="14758" customFormat="false" ht="15.75" hidden="false" customHeight="false" outlineLevel="0" collapsed="false">
      <c r="A14758" s="6" t="n">
        <f aca="false">DATE(2026,8,9)</f>
        <v>46243</v>
      </c>
      <c r="B14758" s="4" t="s">
        <v>13</v>
      </c>
      <c r="C14758" s="4" t="n">
        <v>8</v>
      </c>
      <c r="D14758" s="4" t="n">
        <v>3</v>
      </c>
      <c r="E14758" s="4"/>
      <c r="F14758" s="4" t="n">
        <v>2</v>
      </c>
      <c r="G14758" s="4" t="n">
        <v>17</v>
      </c>
      <c r="H14758" s="4" t="n">
        <v>4</v>
      </c>
      <c r="I14758" s="4" t="str">
        <v>×</v>
      </c>
      <c r="J14758" s="4"/>
      <c r="K14758" s="4"/>
      <c r="L14758" s="4"/>
      <c r="M14758" s="7" t="s">
        <v>6871</v>
      </c>
    </row>
    <row r="14759" customFormat="false" ht="15.75" hidden="false" customHeight="false" outlineLevel="0" collapsed="false">
      <c r="A14759" s="6" t="n">
        <f aca="false">DATE(2026,8,9)</f>
        <v>46243</v>
      </c>
      <c r="B14759" s="4" t="s">
        <v>13</v>
      </c>
      <c r="C14759" s="4" t="n">
        <v>9</v>
      </c>
      <c r="D14759" s="4" t="n">
        <v>14</v>
      </c>
      <c r="E14759" s="4"/>
      <c r="F14759" s="4" t="n">
        <v>65</v>
      </c>
      <c r="G14759" s="4" t="n">
        <v>1</v>
      </c>
      <c r="H14759" s="4" t="n">
        <v>4</v>
      </c>
      <c r="I14759" s="4" t="str">
        <v>×</v>
      </c>
      <c r="J14759" s="4"/>
      <c r="K14759" s="4"/>
      <c r="L14759" s="4"/>
      <c r="M14759" s="7" t="s">
        <v>6871</v>
      </c>
    </row>
    <row r="14760" customFormat="false" ht="15.75" hidden="false" customHeight="false" outlineLevel="0" collapsed="false">
      <c r="A14760" s="6" t="n">
        <f aca="false">DATE(2026,8,9)</f>
        <v>46243</v>
      </c>
      <c r="B14760" s="4" t="s">
        <v>13</v>
      </c>
      <c r="C14760" s="4" t="n">
        <v>9</v>
      </c>
      <c r="D14760" s="4" t="n">
        <v>8</v>
      </c>
      <c r="E14760" s="4"/>
      <c r="F14760" s="4" t="n">
        <v>31</v>
      </c>
      <c r="G14760" s="4" t="n">
        <v>2</v>
      </c>
      <c r="H14760" s="4" t="n">
        <v>4</v>
      </c>
      <c r="I14760" s="4" t="str">
        <v>×</v>
      </c>
      <c r="J14760" s="4"/>
      <c r="K14760" s="4"/>
      <c r="L14760" s="4"/>
      <c r="M14760" s="7" t="s">
        <v>6871</v>
      </c>
    </row>
    <row r="14761" customFormat="false" ht="15.75" hidden="false" customHeight="false" outlineLevel="0" collapsed="false">
      <c r="A14761" s="6" t="n">
        <f aca="false">DATE(2026,8,9)</f>
        <v>46243</v>
      </c>
      <c r="B14761" s="4" t="s">
        <v>13</v>
      </c>
      <c r="C14761" s="4" t="n">
        <v>9</v>
      </c>
      <c r="D14761" s="4" t="n">
        <v>5</v>
      </c>
      <c r="E14761" s="4" t="s">
        <v>5981</v>
      </c>
      <c r="F14761" s="4" t="n">
        <v>37</v>
      </c>
      <c r="G14761" s="4" t="n">
        <v>3</v>
      </c>
      <c r="H14761" s="4" t="n">
        <v>2</v>
      </c>
      <c r="I14761" s="4" t="str">
        <v>○</v>
      </c>
      <c r="J14761" s="4" t="n">
        <v>240</v>
      </c>
      <c r="K14761" s="4"/>
      <c r="L14761" s="4"/>
      <c r="M14761" s="7" t="s">
        <v>6871</v>
      </c>
    </row>
    <row r="14762" customFormat="false" ht="15.75" hidden="false" customHeight="false" outlineLevel="0" collapsed="false">
      <c r="A14762" s="6" t="n">
        <f aca="false">DATE(2026,8,9)</f>
        <v>46243</v>
      </c>
      <c r="B14762" s="4" t="s">
        <v>13</v>
      </c>
      <c r="C14762" s="4" t="n">
        <v>9</v>
      </c>
      <c r="D14762" s="4" t="n">
        <v>6</v>
      </c>
      <c r="E14762" s="4" t="s">
        <v>6926</v>
      </c>
      <c r="F14762" s="4" t="n">
        <v>20</v>
      </c>
      <c r="G14762" s="4" t="n">
        <v>4</v>
      </c>
      <c r="H14762" s="4" t="n">
        <v>3</v>
      </c>
      <c r="I14762" s="4" t="str">
        <v>○</v>
      </c>
      <c r="J14762" s="4" t="n">
        <v>330</v>
      </c>
      <c r="K14762" s="4"/>
      <c r="L14762" s="4"/>
      <c r="M14762" s="7" t="s">
        <v>6871</v>
      </c>
    </row>
    <row r="14763" customFormat="false" ht="15.75" hidden="false" customHeight="false" outlineLevel="0" collapsed="false">
      <c r="A14763" s="6" t="n">
        <f aca="false">DATE(2026,8,9)</f>
        <v>46243</v>
      </c>
      <c r="B14763" s="4" t="s">
        <v>13</v>
      </c>
      <c r="C14763" s="4" t="n">
        <v>9</v>
      </c>
      <c r="D14763" s="4" t="n">
        <v>10</v>
      </c>
      <c r="E14763" s="4"/>
      <c r="F14763" s="4" t="n">
        <v>20</v>
      </c>
      <c r="G14763" s="4" t="n">
        <v>5</v>
      </c>
      <c r="H14763" s="4" t="n">
        <v>4</v>
      </c>
      <c r="I14763" s="4" t="str">
        <v>×</v>
      </c>
      <c r="J14763" s="4"/>
      <c r="K14763" s="4"/>
      <c r="L14763" s="4"/>
      <c r="M14763" s="7" t="s">
        <v>6871</v>
      </c>
    </row>
    <row r="14764" customFormat="false" ht="15.75" hidden="false" customHeight="false" outlineLevel="0" collapsed="false">
      <c r="A14764" s="6" t="n">
        <f aca="false">DATE(2026,8,9)</f>
        <v>46243</v>
      </c>
      <c r="B14764" s="4" t="s">
        <v>13</v>
      </c>
      <c r="C14764" s="4" t="n">
        <v>9</v>
      </c>
      <c r="D14764" s="4" t="n">
        <v>11</v>
      </c>
      <c r="E14764" s="4"/>
      <c r="F14764" s="4" t="n">
        <v>20</v>
      </c>
      <c r="G14764" s="4" t="n">
        <v>6</v>
      </c>
      <c r="H14764" s="4" t="n">
        <v>4</v>
      </c>
      <c r="I14764" s="4" t="str">
        <v>×</v>
      </c>
      <c r="J14764" s="4"/>
      <c r="K14764" s="4"/>
      <c r="L14764" s="4"/>
      <c r="M14764" s="7" t="s">
        <v>6871</v>
      </c>
    </row>
    <row r="14765" customFormat="false" ht="15.75" hidden="false" customHeight="false" outlineLevel="0" collapsed="false">
      <c r="A14765" s="6" t="n">
        <f aca="false">DATE(2026,8,9)</f>
        <v>46243</v>
      </c>
      <c r="B14765" s="4" t="s">
        <v>13</v>
      </c>
      <c r="C14765" s="4" t="n">
        <v>9</v>
      </c>
      <c r="D14765" s="4" t="n">
        <v>2</v>
      </c>
      <c r="E14765" s="4"/>
      <c r="F14765" s="4" t="n">
        <v>17</v>
      </c>
      <c r="G14765" s="4" t="n">
        <v>7</v>
      </c>
      <c r="H14765" s="4" t="n">
        <v>4</v>
      </c>
      <c r="I14765" s="4" t="str">
        <v>×</v>
      </c>
      <c r="J14765" s="4"/>
      <c r="K14765" s="4"/>
      <c r="L14765" s="4"/>
      <c r="M14765" s="7" t="s">
        <v>6871</v>
      </c>
    </row>
    <row r="14766" customFormat="false" ht="15.75" hidden="false" customHeight="false" outlineLevel="0" collapsed="false">
      <c r="A14766" s="6" t="n">
        <f aca="false">DATE(2026,8,9)</f>
        <v>46243</v>
      </c>
      <c r="B14766" s="4" t="s">
        <v>13</v>
      </c>
      <c r="C14766" s="4" t="n">
        <v>9</v>
      </c>
      <c r="D14766" s="4" t="n">
        <v>13</v>
      </c>
      <c r="E14766" s="4"/>
      <c r="F14766" s="4" t="n">
        <v>17</v>
      </c>
      <c r="G14766" s="4" t="n">
        <v>8</v>
      </c>
      <c r="H14766" s="4" t="n">
        <v>4</v>
      </c>
      <c r="I14766" s="4" t="str">
        <v>×</v>
      </c>
      <c r="J14766" s="4"/>
      <c r="K14766" s="4"/>
      <c r="L14766" s="4"/>
      <c r="M14766" s="7" t="s">
        <v>6871</v>
      </c>
    </row>
    <row r="14767" customFormat="false" ht="15.75" hidden="false" customHeight="false" outlineLevel="0" collapsed="false">
      <c r="A14767" s="6" t="n">
        <f aca="false">DATE(2026,8,9)</f>
        <v>46243</v>
      </c>
      <c r="B14767" s="4" t="s">
        <v>13</v>
      </c>
      <c r="C14767" s="4" t="n">
        <v>9</v>
      </c>
      <c r="D14767" s="4" t="n">
        <v>12</v>
      </c>
      <c r="E14767" s="4"/>
      <c r="F14767" s="4" t="n">
        <v>13</v>
      </c>
      <c r="G14767" s="4" t="n">
        <v>9</v>
      </c>
      <c r="H14767" s="4" t="n">
        <v>4</v>
      </c>
      <c r="I14767" s="4" t="str">
        <v>×</v>
      </c>
      <c r="J14767" s="4"/>
      <c r="K14767" s="4"/>
      <c r="L14767" s="4"/>
      <c r="M14767" s="7" t="s">
        <v>6871</v>
      </c>
    </row>
    <row r="14768" customFormat="false" ht="15.75" hidden="false" customHeight="false" outlineLevel="0" collapsed="false">
      <c r="A14768" s="6" t="n">
        <f aca="false">DATE(2026,8,9)</f>
        <v>46243</v>
      </c>
      <c r="B14768" s="4" t="s">
        <v>13</v>
      </c>
      <c r="C14768" s="4" t="n">
        <v>9</v>
      </c>
      <c r="D14768" s="4" t="n">
        <v>1</v>
      </c>
      <c r="E14768" s="4"/>
      <c r="F14768" s="4" t="n">
        <v>8</v>
      </c>
      <c r="G14768" s="4" t="n">
        <v>10</v>
      </c>
      <c r="H14768" s="4" t="n">
        <v>4</v>
      </c>
      <c r="I14768" s="4" t="str">
        <v>×</v>
      </c>
      <c r="J14768" s="4"/>
      <c r="K14768" s="4"/>
      <c r="L14768" s="4"/>
      <c r="M14768" s="7" t="s">
        <v>6871</v>
      </c>
    </row>
    <row r="14769" customFormat="false" ht="15.75" hidden="false" customHeight="false" outlineLevel="0" collapsed="false">
      <c r="A14769" s="6" t="n">
        <f aca="false">DATE(2026,8,9)</f>
        <v>46243</v>
      </c>
      <c r="B14769" s="4" t="s">
        <v>13</v>
      </c>
      <c r="C14769" s="4" t="n">
        <v>9</v>
      </c>
      <c r="D14769" s="4" t="n">
        <v>4</v>
      </c>
      <c r="E14769" s="4"/>
      <c r="F14769" s="4" t="n">
        <v>8</v>
      </c>
      <c r="G14769" s="4" t="n">
        <v>11</v>
      </c>
      <c r="H14769" s="4" t="n">
        <v>4</v>
      </c>
      <c r="I14769" s="4" t="str">
        <v>×</v>
      </c>
      <c r="J14769" s="4"/>
      <c r="K14769" s="4"/>
      <c r="L14769" s="4"/>
      <c r="M14769" s="7" t="s">
        <v>6871</v>
      </c>
    </row>
    <row r="14770" customFormat="false" ht="15.75" hidden="false" customHeight="false" outlineLevel="0" collapsed="false">
      <c r="A14770" s="6" t="n">
        <f aca="false">DATE(2026,8,9)</f>
        <v>46243</v>
      </c>
      <c r="B14770" s="4" t="s">
        <v>13</v>
      </c>
      <c r="C14770" s="4" t="n">
        <v>9</v>
      </c>
      <c r="D14770" s="4" t="n">
        <v>7</v>
      </c>
      <c r="E14770" s="4"/>
      <c r="F14770" s="4" t="n">
        <v>8</v>
      </c>
      <c r="G14770" s="4" t="n">
        <v>12</v>
      </c>
      <c r="H14770" s="4" t="n">
        <v>4</v>
      </c>
      <c r="I14770" s="4" t="str">
        <v>×</v>
      </c>
      <c r="J14770" s="4"/>
      <c r="K14770" s="4"/>
      <c r="L14770" s="4"/>
      <c r="M14770" s="7" t="s">
        <v>6871</v>
      </c>
    </row>
    <row r="14771" customFormat="false" ht="15.75" hidden="false" customHeight="false" outlineLevel="0" collapsed="false">
      <c r="A14771" s="6" t="n">
        <f aca="false">DATE(2026,8,9)</f>
        <v>46243</v>
      </c>
      <c r="B14771" s="4" t="s">
        <v>13</v>
      </c>
      <c r="C14771" s="4" t="n">
        <v>9</v>
      </c>
      <c r="D14771" s="4" t="n">
        <v>15</v>
      </c>
      <c r="E14771" s="4" t="s">
        <v>5868</v>
      </c>
      <c r="F14771" s="4" t="n">
        <v>8</v>
      </c>
      <c r="G14771" s="4" t="n">
        <v>13</v>
      </c>
      <c r="H14771" s="4" t="n">
        <v>1</v>
      </c>
      <c r="I14771" s="4" t="str">
        <v>○</v>
      </c>
      <c r="J14771" s="4" t="n">
        <v>780</v>
      </c>
      <c r="K14771" s="4"/>
      <c r="L14771" s="4"/>
      <c r="M14771" s="7" t="s">
        <v>6871</v>
      </c>
    </row>
    <row r="14772" customFormat="false" ht="15.75" hidden="false" customHeight="false" outlineLevel="0" collapsed="false">
      <c r="A14772" s="6" t="n">
        <f aca="false">DATE(2026,8,9)</f>
        <v>46243</v>
      </c>
      <c r="B14772" s="4" t="s">
        <v>13</v>
      </c>
      <c r="C14772" s="4" t="n">
        <v>9</v>
      </c>
      <c r="D14772" s="4" t="n">
        <v>3</v>
      </c>
      <c r="E14772" s="4"/>
      <c r="F14772" s="4" t="n">
        <v>6</v>
      </c>
      <c r="G14772" s="4" t="n">
        <v>14</v>
      </c>
      <c r="H14772" s="4" t="n">
        <v>4</v>
      </c>
      <c r="I14772" s="4" t="str">
        <v>×</v>
      </c>
      <c r="J14772" s="4"/>
      <c r="K14772" s="4"/>
      <c r="L14772" s="4"/>
      <c r="M14772" s="7" t="s">
        <v>6871</v>
      </c>
    </row>
    <row r="14773" customFormat="false" ht="15.75" hidden="false" customHeight="false" outlineLevel="0" collapsed="false">
      <c r="A14773" s="6" t="n">
        <f aca="false">DATE(2026,8,9)</f>
        <v>46243</v>
      </c>
      <c r="B14773" s="4" t="s">
        <v>13</v>
      </c>
      <c r="C14773" s="4" t="n">
        <v>9</v>
      </c>
      <c r="D14773" s="4" t="n">
        <v>9</v>
      </c>
      <c r="E14773" s="4"/>
      <c r="F14773" s="4" t="n">
        <v>1</v>
      </c>
      <c r="G14773" s="4" t="n">
        <v>15</v>
      </c>
      <c r="H14773" s="4" t="n">
        <v>4</v>
      </c>
      <c r="I14773" s="4" t="str">
        <v>×</v>
      </c>
      <c r="J14773" s="4"/>
      <c r="K14773" s="4"/>
      <c r="L14773" s="4"/>
      <c r="M14773" s="7" t="s">
        <v>6871</v>
      </c>
    </row>
    <row r="14774" customFormat="false" ht="15.75" hidden="false" customHeight="false" outlineLevel="0" collapsed="false">
      <c r="A14774" s="6" t="n">
        <f aca="false">DATE(2026,8,9)</f>
        <v>46243</v>
      </c>
      <c r="B14774" s="4" t="s">
        <v>13</v>
      </c>
      <c r="C14774" s="4" t="n">
        <v>10</v>
      </c>
      <c r="D14774" s="4" t="n">
        <v>7</v>
      </c>
      <c r="E14774" s="4" t="s">
        <v>4538</v>
      </c>
      <c r="F14774" s="4" t="n">
        <v>75</v>
      </c>
      <c r="G14774" s="4" t="n">
        <v>1</v>
      </c>
      <c r="H14774" s="4" t="n">
        <v>2</v>
      </c>
      <c r="I14774" s="4" t="str">
        <v>○</v>
      </c>
      <c r="J14774" s="4" t="n">
        <v>110</v>
      </c>
      <c r="K14774" s="4"/>
      <c r="L14774" s="4"/>
      <c r="M14774" s="7" t="s">
        <v>6871</v>
      </c>
    </row>
    <row r="14775" customFormat="false" ht="15.75" hidden="false" customHeight="false" outlineLevel="0" collapsed="false">
      <c r="A14775" s="6" t="n">
        <f aca="false">DATE(2026,8,9)</f>
        <v>46243</v>
      </c>
      <c r="B14775" s="4" t="s">
        <v>13</v>
      </c>
      <c r="C14775" s="4" t="n">
        <v>10</v>
      </c>
      <c r="D14775" s="4" t="n">
        <v>6</v>
      </c>
      <c r="E14775" s="4" t="s">
        <v>5557</v>
      </c>
      <c r="F14775" s="4" t="n">
        <v>34</v>
      </c>
      <c r="G14775" s="4" t="n">
        <v>2</v>
      </c>
      <c r="H14775" s="4" t="n">
        <v>3</v>
      </c>
      <c r="I14775" s="4" t="str">
        <v>○</v>
      </c>
      <c r="J14775" s="4"/>
      <c r="K14775" s="4"/>
      <c r="L14775" s="4"/>
      <c r="M14775" s="7" t="s">
        <v>6871</v>
      </c>
    </row>
    <row r="14776" customFormat="false" ht="15.75" hidden="false" customHeight="false" outlineLevel="0" collapsed="false">
      <c r="A14776" s="6" t="n">
        <f aca="false">DATE(2026,8,9)</f>
        <v>46243</v>
      </c>
      <c r="B14776" s="4" t="s">
        <v>13</v>
      </c>
      <c r="C14776" s="4" t="n">
        <v>10</v>
      </c>
      <c r="D14776" s="4" t="n">
        <v>5</v>
      </c>
      <c r="E14776" s="4" t="s">
        <v>6927</v>
      </c>
      <c r="F14776" s="4" t="n">
        <v>67</v>
      </c>
      <c r="G14776" s="4" t="n">
        <v>3</v>
      </c>
      <c r="H14776" s="4" t="n">
        <v>1</v>
      </c>
      <c r="I14776" s="4" t="str">
        <v>○</v>
      </c>
      <c r="J14776" s="4" t="n">
        <v>130</v>
      </c>
      <c r="K14776" s="4"/>
      <c r="L14776" s="4"/>
      <c r="M14776" s="7" t="s">
        <v>6871</v>
      </c>
    </row>
    <row r="14777" customFormat="false" ht="15.75" hidden="false" customHeight="false" outlineLevel="0" collapsed="false">
      <c r="A14777" s="6" t="n">
        <f aca="false">DATE(2026,8,9)</f>
        <v>46243</v>
      </c>
      <c r="B14777" s="4" t="s">
        <v>13</v>
      </c>
      <c r="C14777" s="4" t="n">
        <v>10</v>
      </c>
      <c r="D14777" s="4" t="n">
        <v>2</v>
      </c>
      <c r="E14777" s="4"/>
      <c r="F14777" s="4" t="n">
        <v>31</v>
      </c>
      <c r="G14777" s="4" t="n">
        <v>4</v>
      </c>
      <c r="H14777" s="4" t="n">
        <v>4</v>
      </c>
      <c r="I14777" s="4" t="str">
        <v>×</v>
      </c>
      <c r="J14777" s="4"/>
      <c r="K14777" s="4"/>
      <c r="L14777" s="4"/>
      <c r="M14777" s="7" t="s">
        <v>6871</v>
      </c>
    </row>
    <row r="14778" customFormat="false" ht="15.75" hidden="false" customHeight="false" outlineLevel="0" collapsed="false">
      <c r="A14778" s="6" t="n">
        <f aca="false">DATE(2026,8,9)</f>
        <v>46243</v>
      </c>
      <c r="B14778" s="4" t="s">
        <v>13</v>
      </c>
      <c r="C14778" s="4" t="n">
        <v>10</v>
      </c>
      <c r="D14778" s="4" t="n">
        <v>3</v>
      </c>
      <c r="E14778" s="4"/>
      <c r="F14778" s="4" t="n">
        <v>17</v>
      </c>
      <c r="G14778" s="4" t="n">
        <v>5</v>
      </c>
      <c r="H14778" s="4" t="n">
        <v>4</v>
      </c>
      <c r="I14778" s="4" t="str">
        <v>×</v>
      </c>
      <c r="J14778" s="4"/>
      <c r="K14778" s="4"/>
      <c r="L14778" s="4"/>
      <c r="M14778" s="7" t="s">
        <v>6871</v>
      </c>
    </row>
    <row r="14779" customFormat="false" ht="15.75" hidden="false" customHeight="false" outlineLevel="0" collapsed="false">
      <c r="A14779" s="6" t="n">
        <f aca="false">DATE(2026,8,9)</f>
        <v>46243</v>
      </c>
      <c r="B14779" s="4" t="s">
        <v>13</v>
      </c>
      <c r="C14779" s="4" t="n">
        <v>10</v>
      </c>
      <c r="D14779" s="4" t="n">
        <v>4</v>
      </c>
      <c r="E14779" s="4"/>
      <c r="F14779" s="4" t="n">
        <v>17</v>
      </c>
      <c r="G14779" s="4" t="n">
        <v>6</v>
      </c>
      <c r="H14779" s="4" t="n">
        <v>4</v>
      </c>
      <c r="I14779" s="4" t="str">
        <v>×</v>
      </c>
      <c r="J14779" s="4"/>
      <c r="K14779" s="4"/>
      <c r="L14779" s="4"/>
      <c r="M14779" s="7" t="s">
        <v>6871</v>
      </c>
    </row>
    <row r="14780" customFormat="false" ht="15.75" hidden="false" customHeight="false" outlineLevel="0" collapsed="false">
      <c r="A14780" s="6" t="n">
        <f aca="false">DATE(2026,8,9)</f>
        <v>46243</v>
      </c>
      <c r="B14780" s="4" t="s">
        <v>13</v>
      </c>
      <c r="C14780" s="4" t="n">
        <v>10</v>
      </c>
      <c r="D14780" s="4" t="n">
        <v>1</v>
      </c>
      <c r="E14780" s="4"/>
      <c r="F14780" s="4" t="n">
        <v>10</v>
      </c>
      <c r="G14780" s="4" t="n">
        <v>7</v>
      </c>
      <c r="H14780" s="4" t="n">
        <v>4</v>
      </c>
      <c r="I14780" s="4" t="str">
        <v>×</v>
      </c>
      <c r="J14780" s="4"/>
      <c r="K14780" s="4"/>
      <c r="L14780" s="4"/>
      <c r="M14780" s="7" t="s">
        <v>6871</v>
      </c>
    </row>
    <row r="14781" customFormat="false" ht="15.75" hidden="false" customHeight="false" outlineLevel="0" collapsed="false">
      <c r="A14781" s="6" t="n">
        <f aca="false">DATE(2026,8,9)</f>
        <v>46243</v>
      </c>
      <c r="B14781" s="4" t="s">
        <v>13</v>
      </c>
      <c r="C14781" s="4" t="n">
        <v>11</v>
      </c>
      <c r="D14781" s="4" t="n">
        <v>3</v>
      </c>
      <c r="E14781" s="4" t="s">
        <v>4702</v>
      </c>
      <c r="F14781" s="4" t="n">
        <v>52</v>
      </c>
      <c r="G14781" s="4" t="n">
        <v>1</v>
      </c>
      <c r="H14781" s="4" t="n">
        <v>3</v>
      </c>
      <c r="I14781" s="4" t="str">
        <v>○</v>
      </c>
      <c r="J14781" s="4" t="n">
        <v>130</v>
      </c>
      <c r="K14781" s="4"/>
      <c r="L14781" s="4"/>
      <c r="M14781" s="7" t="s">
        <v>6871</v>
      </c>
    </row>
    <row r="14782" customFormat="false" ht="15.75" hidden="false" customHeight="false" outlineLevel="0" collapsed="false">
      <c r="A14782" s="6" t="n">
        <f aca="false">DATE(2026,8,9)</f>
        <v>46243</v>
      </c>
      <c r="B14782" s="4" t="s">
        <v>13</v>
      </c>
      <c r="C14782" s="4" t="n">
        <v>11</v>
      </c>
      <c r="D14782" s="4" t="n">
        <v>4</v>
      </c>
      <c r="E14782" s="4"/>
      <c r="F14782" s="4" t="n">
        <v>41</v>
      </c>
      <c r="G14782" s="4" t="n">
        <v>2</v>
      </c>
      <c r="H14782" s="4" t="n">
        <v>4</v>
      </c>
      <c r="I14782" s="4" t="str">
        <v>×</v>
      </c>
      <c r="J14782" s="4"/>
      <c r="K14782" s="4"/>
      <c r="L14782" s="4"/>
      <c r="M14782" s="7" t="s">
        <v>6871</v>
      </c>
    </row>
    <row r="14783" customFormat="false" ht="15.75" hidden="false" customHeight="false" outlineLevel="0" collapsed="false">
      <c r="A14783" s="6" t="n">
        <f aca="false">DATE(2026,8,9)</f>
        <v>46243</v>
      </c>
      <c r="B14783" s="4" t="s">
        <v>13</v>
      </c>
      <c r="C14783" s="4" t="n">
        <v>11</v>
      </c>
      <c r="D14783" s="4" t="n">
        <v>16</v>
      </c>
      <c r="E14783" s="4"/>
      <c r="F14783" s="4" t="n">
        <v>44</v>
      </c>
      <c r="G14783" s="4" t="n">
        <v>3</v>
      </c>
      <c r="H14783" s="4" t="n">
        <v>4</v>
      </c>
      <c r="I14783" s="4" t="str">
        <v>×</v>
      </c>
      <c r="J14783" s="4"/>
      <c r="K14783" s="4"/>
      <c r="L14783" s="4"/>
      <c r="M14783" s="7" t="s">
        <v>6871</v>
      </c>
    </row>
    <row r="14784" customFormat="false" ht="15.75" hidden="false" customHeight="false" outlineLevel="0" collapsed="false">
      <c r="A14784" s="6" t="n">
        <f aca="false">DATE(2026,8,9)</f>
        <v>46243</v>
      </c>
      <c r="B14784" s="4" t="s">
        <v>13</v>
      </c>
      <c r="C14784" s="4" t="n">
        <v>11</v>
      </c>
      <c r="D14784" s="4" t="n">
        <v>1</v>
      </c>
      <c r="E14784" s="4"/>
      <c r="F14784" s="4" t="n">
        <v>34</v>
      </c>
      <c r="G14784" s="4" t="n">
        <v>4</v>
      </c>
      <c r="H14784" s="4" t="n">
        <v>4</v>
      </c>
      <c r="I14784" s="4" t="str">
        <v>×</v>
      </c>
      <c r="J14784" s="4"/>
      <c r="K14784" s="4"/>
      <c r="L14784" s="4"/>
      <c r="M14784" s="7" t="s">
        <v>6871</v>
      </c>
    </row>
    <row r="14785" customFormat="false" ht="15.75" hidden="false" customHeight="false" outlineLevel="0" collapsed="false">
      <c r="A14785" s="6" t="n">
        <f aca="false">DATE(2026,8,9)</f>
        <v>46243</v>
      </c>
      <c r="B14785" s="4" t="s">
        <v>13</v>
      </c>
      <c r="C14785" s="4" t="n">
        <v>11</v>
      </c>
      <c r="D14785" s="4" t="n">
        <v>2</v>
      </c>
      <c r="E14785" s="4"/>
      <c r="F14785" s="4" t="n">
        <v>29</v>
      </c>
      <c r="G14785" s="4" t="n">
        <v>5</v>
      </c>
      <c r="H14785" s="4" t="n">
        <v>4</v>
      </c>
      <c r="I14785" s="4" t="str">
        <v>×</v>
      </c>
      <c r="J14785" s="4"/>
      <c r="K14785" s="4"/>
      <c r="L14785" s="4"/>
      <c r="M14785" s="7" t="s">
        <v>6871</v>
      </c>
    </row>
    <row r="14786" customFormat="false" ht="15.75" hidden="false" customHeight="false" outlineLevel="0" collapsed="false">
      <c r="A14786" s="6" t="n">
        <f aca="false">DATE(2026,8,9)</f>
        <v>46243</v>
      </c>
      <c r="B14786" s="4" t="s">
        <v>13</v>
      </c>
      <c r="C14786" s="4" t="n">
        <v>11</v>
      </c>
      <c r="D14786" s="4" t="n">
        <v>9</v>
      </c>
      <c r="E14786" s="4"/>
      <c r="F14786" s="4" t="n">
        <v>29</v>
      </c>
      <c r="G14786" s="4" t="n">
        <v>6</v>
      </c>
      <c r="H14786" s="4" t="n">
        <v>4</v>
      </c>
      <c r="I14786" s="4" t="str">
        <v>×</v>
      </c>
      <c r="J14786" s="4"/>
      <c r="K14786" s="4"/>
      <c r="L14786" s="4"/>
      <c r="M14786" s="7" t="s">
        <v>6871</v>
      </c>
    </row>
    <row r="14787" customFormat="false" ht="15.75" hidden="false" customHeight="false" outlineLevel="0" collapsed="false">
      <c r="A14787" s="6" t="n">
        <f aca="false">DATE(2026,8,9)</f>
        <v>46243</v>
      </c>
      <c r="B14787" s="4" t="s">
        <v>13</v>
      </c>
      <c r="C14787" s="4" t="n">
        <v>11</v>
      </c>
      <c r="D14787" s="4" t="n">
        <v>6</v>
      </c>
      <c r="E14787" s="4"/>
      <c r="F14787" s="4" t="n">
        <v>23</v>
      </c>
      <c r="G14787" s="4" t="n">
        <v>7</v>
      </c>
      <c r="H14787" s="4" t="n">
        <v>4</v>
      </c>
      <c r="I14787" s="4" t="str">
        <v>×</v>
      </c>
      <c r="J14787" s="4"/>
      <c r="K14787" s="4"/>
      <c r="L14787" s="4"/>
      <c r="M14787" s="7" t="s">
        <v>6871</v>
      </c>
    </row>
    <row r="14788" customFormat="false" ht="15.75" hidden="false" customHeight="false" outlineLevel="0" collapsed="false">
      <c r="A14788" s="6" t="n">
        <f aca="false">DATE(2026,8,9)</f>
        <v>46243</v>
      </c>
      <c r="B14788" s="4" t="s">
        <v>13</v>
      </c>
      <c r="C14788" s="4" t="n">
        <v>11</v>
      </c>
      <c r="D14788" s="4" t="n">
        <v>10</v>
      </c>
      <c r="E14788" s="4"/>
      <c r="F14788" s="4" t="n">
        <v>15</v>
      </c>
      <c r="G14788" s="4" t="n">
        <v>8</v>
      </c>
      <c r="H14788" s="4" t="n">
        <v>4</v>
      </c>
      <c r="I14788" s="4" t="str">
        <v>×</v>
      </c>
      <c r="J14788" s="4"/>
      <c r="K14788" s="4"/>
      <c r="L14788" s="4"/>
      <c r="M14788" s="7" t="s">
        <v>6871</v>
      </c>
    </row>
    <row r="14789" customFormat="false" ht="15.75" hidden="false" customHeight="false" outlineLevel="0" collapsed="false">
      <c r="A14789" s="6" t="n">
        <f aca="false">DATE(2026,8,9)</f>
        <v>46243</v>
      </c>
      <c r="B14789" s="4" t="s">
        <v>13</v>
      </c>
      <c r="C14789" s="4" t="n">
        <v>11</v>
      </c>
      <c r="D14789" s="4" t="n">
        <v>18</v>
      </c>
      <c r="E14789" s="4"/>
      <c r="F14789" s="4" t="n">
        <v>10</v>
      </c>
      <c r="G14789" s="4" t="n">
        <v>9</v>
      </c>
      <c r="H14789" s="4" t="n">
        <v>4</v>
      </c>
      <c r="I14789" s="4" t="str">
        <v>×</v>
      </c>
      <c r="J14789" s="4"/>
      <c r="K14789" s="4"/>
      <c r="L14789" s="4"/>
      <c r="M14789" s="7" t="s">
        <v>6871</v>
      </c>
    </row>
    <row r="14790" customFormat="false" ht="15.75" hidden="false" customHeight="false" outlineLevel="0" collapsed="false">
      <c r="A14790" s="6" t="n">
        <f aca="false">DATE(2026,8,9)</f>
        <v>46243</v>
      </c>
      <c r="B14790" s="4" t="s">
        <v>13</v>
      </c>
      <c r="C14790" s="4" t="n">
        <v>11</v>
      </c>
      <c r="D14790" s="4" t="n">
        <v>8</v>
      </c>
      <c r="E14790" s="4" t="s">
        <v>5145</v>
      </c>
      <c r="F14790" s="4" t="n">
        <v>8</v>
      </c>
      <c r="G14790" s="4" t="n">
        <v>10</v>
      </c>
      <c r="H14790" s="4" t="n">
        <v>1</v>
      </c>
      <c r="I14790" s="4" t="str">
        <v>○</v>
      </c>
      <c r="J14790" s="4" t="n">
        <v>660</v>
      </c>
      <c r="K14790" s="4"/>
      <c r="L14790" s="4"/>
      <c r="M14790" s="7" t="s">
        <v>6871</v>
      </c>
    </row>
    <row r="14791" customFormat="false" ht="15.75" hidden="false" customHeight="false" outlineLevel="0" collapsed="false">
      <c r="A14791" s="6" t="n">
        <f aca="false">DATE(2026,8,9)</f>
        <v>46243</v>
      </c>
      <c r="B14791" s="4" t="s">
        <v>13</v>
      </c>
      <c r="C14791" s="4" t="n">
        <v>11</v>
      </c>
      <c r="D14791" s="4" t="n">
        <v>15</v>
      </c>
      <c r="E14791" s="4"/>
      <c r="F14791" s="4" t="n">
        <v>8</v>
      </c>
      <c r="G14791" s="4" t="n">
        <v>11</v>
      </c>
      <c r="H14791" s="4" t="n">
        <v>4</v>
      </c>
      <c r="I14791" s="4" t="str">
        <v>×</v>
      </c>
      <c r="J14791" s="4"/>
      <c r="K14791" s="4"/>
      <c r="L14791" s="4"/>
      <c r="M14791" s="7" t="s">
        <v>6871</v>
      </c>
    </row>
    <row r="14792" customFormat="false" ht="15.75" hidden="false" customHeight="false" outlineLevel="0" collapsed="false">
      <c r="A14792" s="6" t="n">
        <f aca="false">DATE(2026,8,9)</f>
        <v>46243</v>
      </c>
      <c r="B14792" s="4" t="s">
        <v>13</v>
      </c>
      <c r="C14792" s="4" t="n">
        <v>11</v>
      </c>
      <c r="D14792" s="4" t="n">
        <v>7</v>
      </c>
      <c r="E14792" s="4"/>
      <c r="F14792" s="4" t="n">
        <v>6</v>
      </c>
      <c r="G14792" s="4" t="n">
        <v>12</v>
      </c>
      <c r="H14792" s="4" t="n">
        <v>4</v>
      </c>
      <c r="I14792" s="4" t="str">
        <v>×</v>
      </c>
      <c r="J14792" s="4"/>
      <c r="K14792" s="4"/>
      <c r="L14792" s="4"/>
      <c r="M14792" s="7" t="s">
        <v>6871</v>
      </c>
    </row>
    <row r="14793" customFormat="false" ht="15.75" hidden="false" customHeight="false" outlineLevel="0" collapsed="false">
      <c r="A14793" s="6" t="n">
        <f aca="false">DATE(2026,8,9)</f>
        <v>46243</v>
      </c>
      <c r="B14793" s="4" t="s">
        <v>13</v>
      </c>
      <c r="C14793" s="4" t="n">
        <v>11</v>
      </c>
      <c r="D14793" s="4" t="n">
        <v>12</v>
      </c>
      <c r="E14793" s="4" t="s">
        <v>4696</v>
      </c>
      <c r="F14793" s="4" t="n">
        <v>6</v>
      </c>
      <c r="G14793" s="4" t="n">
        <v>13</v>
      </c>
      <c r="H14793" s="4" t="n">
        <v>2</v>
      </c>
      <c r="I14793" s="4" t="str">
        <v>○</v>
      </c>
      <c r="J14793" s="4" t="n">
        <v>1220</v>
      </c>
      <c r="K14793" s="4"/>
      <c r="L14793" s="4"/>
      <c r="M14793" s="7" t="s">
        <v>6871</v>
      </c>
    </row>
    <row r="14794" customFormat="false" ht="15.75" hidden="false" customHeight="false" outlineLevel="0" collapsed="false">
      <c r="A14794" s="6" t="n">
        <f aca="false">DATE(2026,8,9)</f>
        <v>46243</v>
      </c>
      <c r="B14794" s="4" t="s">
        <v>13</v>
      </c>
      <c r="C14794" s="4" t="n">
        <v>11</v>
      </c>
      <c r="D14794" s="4" t="n">
        <v>11</v>
      </c>
      <c r="E14794" s="4"/>
      <c r="F14794" s="4" t="n">
        <v>4</v>
      </c>
      <c r="G14794" s="4" t="n">
        <v>14</v>
      </c>
      <c r="H14794" s="4" t="n">
        <v>4</v>
      </c>
      <c r="I14794" s="4" t="str">
        <v>×</v>
      </c>
      <c r="J14794" s="4"/>
      <c r="K14794" s="4"/>
      <c r="L14794" s="4"/>
      <c r="M14794" s="7" t="s">
        <v>6871</v>
      </c>
    </row>
    <row r="14795" customFormat="false" ht="15.75" hidden="false" customHeight="false" outlineLevel="0" collapsed="false">
      <c r="A14795" s="6" t="n">
        <f aca="false">DATE(2026,8,9)</f>
        <v>46243</v>
      </c>
      <c r="B14795" s="4" t="s">
        <v>13</v>
      </c>
      <c r="C14795" s="4" t="n">
        <v>11</v>
      </c>
      <c r="D14795" s="4" t="n">
        <v>13</v>
      </c>
      <c r="E14795" s="4"/>
      <c r="F14795" s="4" t="n">
        <v>4</v>
      </c>
      <c r="G14795" s="4" t="n">
        <v>15</v>
      </c>
      <c r="H14795" s="4" t="n">
        <v>4</v>
      </c>
      <c r="I14795" s="4" t="str">
        <v>×</v>
      </c>
      <c r="J14795" s="4"/>
      <c r="K14795" s="4"/>
      <c r="L14795" s="4"/>
      <c r="M14795" s="7" t="s">
        <v>6871</v>
      </c>
    </row>
    <row r="14796" customFormat="false" ht="15.75" hidden="false" customHeight="false" outlineLevel="0" collapsed="false">
      <c r="A14796" s="6" t="n">
        <f aca="false">DATE(2026,8,9)</f>
        <v>46243</v>
      </c>
      <c r="B14796" s="4" t="s">
        <v>13</v>
      </c>
      <c r="C14796" s="4" t="n">
        <v>11</v>
      </c>
      <c r="D14796" s="4" t="n">
        <v>14</v>
      </c>
      <c r="E14796" s="4"/>
      <c r="F14796" s="4" t="n">
        <v>4</v>
      </c>
      <c r="G14796" s="4" t="n">
        <v>16</v>
      </c>
      <c r="H14796" s="4" t="n">
        <v>4</v>
      </c>
      <c r="I14796" s="4" t="str">
        <v>×</v>
      </c>
      <c r="J14796" s="4"/>
      <c r="K14796" s="4"/>
      <c r="L14796" s="4"/>
      <c r="M14796" s="7" t="s">
        <v>6871</v>
      </c>
    </row>
    <row r="14797" customFormat="false" ht="15.75" hidden="false" customHeight="false" outlineLevel="0" collapsed="false">
      <c r="A14797" s="6" t="n">
        <f aca="false">DATE(2026,8,9)</f>
        <v>46243</v>
      </c>
      <c r="B14797" s="4" t="s">
        <v>13</v>
      </c>
      <c r="C14797" s="4" t="n">
        <v>11</v>
      </c>
      <c r="D14797" s="4" t="n">
        <v>5</v>
      </c>
      <c r="E14797" s="4"/>
      <c r="F14797" s="4" t="n">
        <v>3</v>
      </c>
      <c r="G14797" s="4" t="n">
        <v>17</v>
      </c>
      <c r="H14797" s="4" t="n">
        <v>4</v>
      </c>
      <c r="I14797" s="4" t="str">
        <v>×</v>
      </c>
      <c r="J14797" s="4"/>
      <c r="K14797" s="4"/>
      <c r="L14797" s="4"/>
      <c r="M14797" s="7" t="s">
        <v>6871</v>
      </c>
    </row>
    <row r="14798" customFormat="false" ht="15.75" hidden="false" customHeight="false" outlineLevel="0" collapsed="false">
      <c r="A14798" s="6" t="n">
        <f aca="false">DATE(2026,8,9)</f>
        <v>46243</v>
      </c>
      <c r="B14798" s="4" t="s">
        <v>13</v>
      </c>
      <c r="C14798" s="4" t="n">
        <v>11</v>
      </c>
      <c r="D14798" s="4" t="n">
        <v>17</v>
      </c>
      <c r="E14798" s="4"/>
      <c r="F14798" s="4" t="n">
        <v>3</v>
      </c>
      <c r="G14798" s="4" t="n">
        <v>18</v>
      </c>
      <c r="H14798" s="4" t="n">
        <v>4</v>
      </c>
      <c r="I14798" s="4" t="str">
        <v>×</v>
      </c>
      <c r="J14798" s="4"/>
      <c r="K14798" s="4"/>
      <c r="L14798" s="4"/>
      <c r="M14798" s="7" t="s">
        <v>6871</v>
      </c>
    </row>
    <row r="14799" customFormat="false" ht="15.75" hidden="false" customHeight="false" outlineLevel="0" collapsed="false">
      <c r="A14799" s="6" t="n">
        <f aca="false">DATE(2026,8,9)</f>
        <v>46243</v>
      </c>
      <c r="B14799" s="4" t="s">
        <v>13</v>
      </c>
      <c r="C14799" s="4" t="n">
        <v>12</v>
      </c>
      <c r="D14799" s="4" t="n">
        <v>15</v>
      </c>
      <c r="E14799" s="4" t="s">
        <v>2617</v>
      </c>
      <c r="F14799" s="4" t="n">
        <v>58</v>
      </c>
      <c r="G14799" s="4" t="n">
        <v>1</v>
      </c>
      <c r="H14799" s="4" t="n">
        <v>3</v>
      </c>
      <c r="I14799" s="4" t="str">
        <v>○</v>
      </c>
      <c r="J14799" s="4" t="n">
        <v>190</v>
      </c>
      <c r="K14799" s="4"/>
      <c r="L14799" s="4"/>
      <c r="M14799" s="7" t="s">
        <v>6871</v>
      </c>
    </row>
    <row r="14800" customFormat="false" ht="15.75" hidden="false" customHeight="false" outlineLevel="0" collapsed="false">
      <c r="A14800" s="6" t="n">
        <f aca="false">DATE(2026,8,9)</f>
        <v>46243</v>
      </c>
      <c r="B14800" s="4" t="s">
        <v>13</v>
      </c>
      <c r="C14800" s="4" t="n">
        <v>12</v>
      </c>
      <c r="D14800" s="4" t="n">
        <v>10</v>
      </c>
      <c r="E14800" s="4"/>
      <c r="F14800" s="4" t="n">
        <v>37</v>
      </c>
      <c r="G14800" s="4" t="n">
        <v>2</v>
      </c>
      <c r="H14800" s="4" t="n">
        <v>4</v>
      </c>
      <c r="I14800" s="4" t="str">
        <v>×</v>
      </c>
      <c r="J14800" s="4"/>
      <c r="K14800" s="4"/>
      <c r="L14800" s="4"/>
      <c r="M14800" s="7" t="s">
        <v>6871</v>
      </c>
    </row>
    <row r="14801" customFormat="false" ht="15.75" hidden="false" customHeight="false" outlineLevel="0" collapsed="false">
      <c r="A14801" s="6" t="n">
        <f aca="false">DATE(2026,8,9)</f>
        <v>46243</v>
      </c>
      <c r="B14801" s="4" t="s">
        <v>13</v>
      </c>
      <c r="C14801" s="4" t="n">
        <v>12</v>
      </c>
      <c r="D14801" s="4" t="n">
        <v>16</v>
      </c>
      <c r="E14801" s="4"/>
      <c r="F14801" s="4" t="n">
        <v>37</v>
      </c>
      <c r="G14801" s="4" t="n">
        <v>3</v>
      </c>
      <c r="H14801" s="4" t="n">
        <v>4</v>
      </c>
      <c r="I14801" s="4" t="str">
        <v>×</v>
      </c>
      <c r="J14801" s="4"/>
      <c r="K14801" s="4"/>
      <c r="L14801" s="4"/>
      <c r="M14801" s="7" t="s">
        <v>6871</v>
      </c>
    </row>
    <row r="14802" customFormat="false" ht="15.75" hidden="false" customHeight="false" outlineLevel="0" collapsed="false">
      <c r="A14802" s="6" t="n">
        <f aca="false">DATE(2026,8,9)</f>
        <v>46243</v>
      </c>
      <c r="B14802" s="4" t="s">
        <v>13</v>
      </c>
      <c r="C14802" s="4" t="n">
        <v>12</v>
      </c>
      <c r="D14802" s="4" t="n">
        <v>7</v>
      </c>
      <c r="E14802" s="4"/>
      <c r="F14802" s="4" t="n">
        <v>44</v>
      </c>
      <c r="G14802" s="4" t="n">
        <v>4</v>
      </c>
      <c r="H14802" s="4" t="n">
        <v>4</v>
      </c>
      <c r="I14802" s="4" t="str">
        <v>×</v>
      </c>
      <c r="J14802" s="4"/>
      <c r="K14802" s="4"/>
      <c r="L14802" s="4"/>
      <c r="M14802" s="7" t="s">
        <v>6871</v>
      </c>
    </row>
    <row r="14803" customFormat="false" ht="15.75" hidden="false" customHeight="false" outlineLevel="0" collapsed="false">
      <c r="A14803" s="6" t="n">
        <f aca="false">DATE(2026,8,9)</f>
        <v>46243</v>
      </c>
      <c r="B14803" s="4" t="s">
        <v>13</v>
      </c>
      <c r="C14803" s="4" t="n">
        <v>12</v>
      </c>
      <c r="D14803" s="4" t="n">
        <v>6</v>
      </c>
      <c r="E14803" s="4" t="s">
        <v>6004</v>
      </c>
      <c r="F14803" s="4" t="n">
        <v>34</v>
      </c>
      <c r="G14803" s="4" t="n">
        <v>5</v>
      </c>
      <c r="H14803" s="4" t="n">
        <v>2</v>
      </c>
      <c r="I14803" s="4" t="str">
        <v>○</v>
      </c>
      <c r="J14803" s="4" t="n">
        <v>240</v>
      </c>
      <c r="K14803" s="4"/>
      <c r="L14803" s="4"/>
      <c r="M14803" s="7" t="s">
        <v>6871</v>
      </c>
    </row>
    <row r="14804" customFormat="false" ht="15.75" hidden="false" customHeight="false" outlineLevel="0" collapsed="false">
      <c r="A14804" s="6" t="n">
        <f aca="false">DATE(2026,8,9)</f>
        <v>46243</v>
      </c>
      <c r="B14804" s="4" t="s">
        <v>13</v>
      </c>
      <c r="C14804" s="4" t="n">
        <v>12</v>
      </c>
      <c r="D14804" s="4" t="n">
        <v>18</v>
      </c>
      <c r="E14804" s="4"/>
      <c r="F14804" s="4" t="n">
        <v>34</v>
      </c>
      <c r="G14804" s="4" t="n">
        <v>6</v>
      </c>
      <c r="H14804" s="4" t="n">
        <v>4</v>
      </c>
      <c r="I14804" s="4" t="str">
        <v>×</v>
      </c>
      <c r="J14804" s="4"/>
      <c r="K14804" s="4"/>
      <c r="L14804" s="4"/>
      <c r="M14804" s="7" t="s">
        <v>6871</v>
      </c>
    </row>
    <row r="14805" customFormat="false" ht="15.75" hidden="false" customHeight="false" outlineLevel="0" collapsed="false">
      <c r="A14805" s="6" t="n">
        <f aca="false">DATE(2026,8,9)</f>
        <v>46243</v>
      </c>
      <c r="B14805" s="4" t="s">
        <v>13</v>
      </c>
      <c r="C14805" s="4" t="n">
        <v>12</v>
      </c>
      <c r="D14805" s="4" t="n">
        <v>13</v>
      </c>
      <c r="E14805" s="4"/>
      <c r="F14805" s="4" t="n">
        <v>23</v>
      </c>
      <c r="G14805" s="4" t="n">
        <v>7</v>
      </c>
      <c r="H14805" s="4" t="n">
        <v>4</v>
      </c>
      <c r="I14805" s="4" t="str">
        <v>×</v>
      </c>
      <c r="J14805" s="4"/>
      <c r="K14805" s="4"/>
      <c r="L14805" s="4"/>
      <c r="M14805" s="7" t="s">
        <v>6871</v>
      </c>
    </row>
    <row r="14806" customFormat="false" ht="15.75" hidden="false" customHeight="false" outlineLevel="0" collapsed="false">
      <c r="A14806" s="6" t="n">
        <f aca="false">DATE(2026,8,9)</f>
        <v>46243</v>
      </c>
      <c r="B14806" s="4" t="s">
        <v>13</v>
      </c>
      <c r="C14806" s="4" t="n">
        <v>12</v>
      </c>
      <c r="D14806" s="4" t="n">
        <v>14</v>
      </c>
      <c r="E14806" s="4"/>
      <c r="F14806" s="4" t="n">
        <v>23</v>
      </c>
      <c r="G14806" s="4" t="n">
        <v>8</v>
      </c>
      <c r="H14806" s="4" t="n">
        <v>4</v>
      </c>
      <c r="I14806" s="4" t="str">
        <v>×</v>
      </c>
      <c r="J14806" s="4"/>
      <c r="K14806" s="4"/>
      <c r="L14806" s="4"/>
      <c r="M14806" s="7" t="s">
        <v>6871</v>
      </c>
    </row>
    <row r="14807" customFormat="false" ht="15.75" hidden="false" customHeight="false" outlineLevel="0" collapsed="false">
      <c r="A14807" s="6" t="n">
        <f aca="false">DATE(2026,8,9)</f>
        <v>46243</v>
      </c>
      <c r="B14807" s="4" t="s">
        <v>13</v>
      </c>
      <c r="C14807" s="4" t="n">
        <v>12</v>
      </c>
      <c r="D14807" s="4" t="n">
        <v>12</v>
      </c>
      <c r="E14807" s="4"/>
      <c r="F14807" s="4" t="n">
        <v>15</v>
      </c>
      <c r="G14807" s="4" t="n">
        <v>9</v>
      </c>
      <c r="H14807" s="4" t="n">
        <v>4</v>
      </c>
      <c r="I14807" s="4" t="str">
        <v>×</v>
      </c>
      <c r="J14807" s="4"/>
      <c r="K14807" s="4"/>
      <c r="L14807" s="4"/>
      <c r="M14807" s="7" t="s">
        <v>6871</v>
      </c>
    </row>
    <row r="14808" customFormat="false" ht="15.75" hidden="false" customHeight="false" outlineLevel="0" collapsed="false">
      <c r="A14808" s="6" t="n">
        <f aca="false">DATE(2026,8,9)</f>
        <v>46243</v>
      </c>
      <c r="B14808" s="4" t="s">
        <v>13</v>
      </c>
      <c r="C14808" s="4" t="n">
        <v>12</v>
      </c>
      <c r="D14808" s="4" t="n">
        <v>3</v>
      </c>
      <c r="E14808" s="4"/>
      <c r="F14808" s="4" t="n">
        <v>13</v>
      </c>
      <c r="G14808" s="4" t="n">
        <v>10</v>
      </c>
      <c r="H14808" s="4" t="n">
        <v>4</v>
      </c>
      <c r="I14808" s="4" t="str">
        <v>×</v>
      </c>
      <c r="J14808" s="4"/>
      <c r="K14808" s="4"/>
      <c r="L14808" s="4"/>
      <c r="M14808" s="7" t="s">
        <v>6871</v>
      </c>
    </row>
    <row r="14809" customFormat="false" ht="15.75" hidden="false" customHeight="false" outlineLevel="0" collapsed="false">
      <c r="A14809" s="6" t="n">
        <f aca="false">DATE(2026,8,9)</f>
        <v>46243</v>
      </c>
      <c r="B14809" s="4" t="s">
        <v>13</v>
      </c>
      <c r="C14809" s="4" t="n">
        <v>12</v>
      </c>
      <c r="D14809" s="4" t="n">
        <v>11</v>
      </c>
      <c r="E14809" s="4"/>
      <c r="F14809" s="4" t="n">
        <v>13</v>
      </c>
      <c r="G14809" s="4" t="n">
        <v>11</v>
      </c>
      <c r="H14809" s="4" t="n">
        <v>4</v>
      </c>
      <c r="I14809" s="4" t="str">
        <v>×</v>
      </c>
      <c r="J14809" s="4"/>
      <c r="K14809" s="4"/>
      <c r="L14809" s="4"/>
      <c r="M14809" s="7" t="s">
        <v>6871</v>
      </c>
    </row>
    <row r="14810" customFormat="false" ht="15.75" hidden="false" customHeight="false" outlineLevel="0" collapsed="false">
      <c r="A14810" s="6" t="n">
        <f aca="false">DATE(2026,8,9)</f>
        <v>46243</v>
      </c>
      <c r="B14810" s="4" t="s">
        <v>13</v>
      </c>
      <c r="C14810" s="4" t="n">
        <v>12</v>
      </c>
      <c r="D14810" s="4" t="n">
        <v>17</v>
      </c>
      <c r="E14810" s="4" t="s">
        <v>2341</v>
      </c>
      <c r="F14810" s="4" t="n">
        <v>13</v>
      </c>
      <c r="G14810" s="4" t="n">
        <v>12</v>
      </c>
      <c r="H14810" s="4" t="n">
        <v>1</v>
      </c>
      <c r="I14810" s="4" t="str">
        <v>○</v>
      </c>
      <c r="J14810" s="4" t="n">
        <v>370</v>
      </c>
      <c r="K14810" s="4"/>
      <c r="L14810" s="4"/>
      <c r="M14810" s="7" t="s">
        <v>6871</v>
      </c>
    </row>
    <row r="14811" customFormat="false" ht="15.75" hidden="false" customHeight="false" outlineLevel="0" collapsed="false">
      <c r="A14811" s="6" t="n">
        <f aca="false">DATE(2026,8,9)</f>
        <v>46243</v>
      </c>
      <c r="B14811" s="4" t="s">
        <v>13</v>
      </c>
      <c r="C14811" s="4" t="n">
        <v>12</v>
      </c>
      <c r="D14811" s="4" t="n">
        <v>1</v>
      </c>
      <c r="E14811" s="4"/>
      <c r="F14811" s="4" t="n">
        <v>10</v>
      </c>
      <c r="G14811" s="4" t="n">
        <v>13</v>
      </c>
      <c r="H14811" s="4" t="n">
        <v>4</v>
      </c>
      <c r="I14811" s="4" t="str">
        <v>×</v>
      </c>
      <c r="J14811" s="4"/>
      <c r="K14811" s="4"/>
      <c r="L14811" s="4"/>
      <c r="M14811" s="7" t="s">
        <v>6871</v>
      </c>
    </row>
    <row r="14812" customFormat="false" ht="15.75" hidden="false" customHeight="false" outlineLevel="0" collapsed="false">
      <c r="A14812" s="6" t="n">
        <f aca="false">DATE(2026,8,9)</f>
        <v>46243</v>
      </c>
      <c r="B14812" s="4" t="s">
        <v>13</v>
      </c>
      <c r="C14812" s="4" t="n">
        <v>12</v>
      </c>
      <c r="D14812" s="4" t="n">
        <v>4</v>
      </c>
      <c r="E14812" s="4"/>
      <c r="F14812" s="4" t="n">
        <v>8</v>
      </c>
      <c r="G14812" s="4" t="n">
        <v>14</v>
      </c>
      <c r="H14812" s="4" t="n">
        <v>4</v>
      </c>
      <c r="I14812" s="4" t="str">
        <v>×</v>
      </c>
      <c r="J14812" s="4"/>
      <c r="K14812" s="4"/>
      <c r="L14812" s="4"/>
      <c r="M14812" s="7" t="s">
        <v>6871</v>
      </c>
    </row>
    <row r="14813" customFormat="false" ht="15.75" hidden="false" customHeight="false" outlineLevel="0" collapsed="false">
      <c r="A14813" s="6" t="n">
        <f aca="false">DATE(2026,8,9)</f>
        <v>46243</v>
      </c>
      <c r="B14813" s="4" t="s">
        <v>13</v>
      </c>
      <c r="C14813" s="4" t="n">
        <v>12</v>
      </c>
      <c r="D14813" s="4" t="n">
        <v>5</v>
      </c>
      <c r="E14813" s="4"/>
      <c r="F14813" s="4" t="n">
        <v>4</v>
      </c>
      <c r="G14813" s="4" t="n">
        <v>15</v>
      </c>
      <c r="H14813" s="4" t="n">
        <v>4</v>
      </c>
      <c r="I14813" s="4" t="str">
        <v>×</v>
      </c>
      <c r="J14813" s="4"/>
      <c r="K14813" s="4"/>
      <c r="L14813" s="4"/>
      <c r="M14813" s="7" t="s">
        <v>6871</v>
      </c>
    </row>
    <row r="14814" customFormat="false" ht="15.75" hidden="false" customHeight="false" outlineLevel="0" collapsed="false">
      <c r="A14814" s="6" t="n">
        <f aca="false">DATE(2026,8,9)</f>
        <v>46243</v>
      </c>
      <c r="B14814" s="4" t="s">
        <v>13</v>
      </c>
      <c r="C14814" s="4" t="n">
        <v>12</v>
      </c>
      <c r="D14814" s="4" t="n">
        <v>8</v>
      </c>
      <c r="E14814" s="4"/>
      <c r="F14814" s="4" t="n">
        <v>4</v>
      </c>
      <c r="G14814" s="4" t="n">
        <v>16</v>
      </c>
      <c r="H14814" s="4" t="n">
        <v>4</v>
      </c>
      <c r="I14814" s="4" t="str">
        <v>×</v>
      </c>
      <c r="J14814" s="4"/>
      <c r="K14814" s="4"/>
      <c r="L14814" s="4"/>
      <c r="M14814" s="7" t="s">
        <v>6871</v>
      </c>
    </row>
    <row r="14815" customFormat="false" ht="15.75" hidden="false" customHeight="false" outlineLevel="0" collapsed="false">
      <c r="A14815" s="6" t="n">
        <f aca="false">DATE(2026,8,9)</f>
        <v>46243</v>
      </c>
      <c r="B14815" s="4" t="s">
        <v>13</v>
      </c>
      <c r="C14815" s="4" t="n">
        <v>12</v>
      </c>
      <c r="D14815" s="4" t="n">
        <v>9</v>
      </c>
      <c r="E14815" s="4"/>
      <c r="F14815" s="4" t="n">
        <v>4</v>
      </c>
      <c r="G14815" s="4" t="n">
        <v>17</v>
      </c>
      <c r="H14815" s="4" t="n">
        <v>4</v>
      </c>
      <c r="I14815" s="4" t="str">
        <v>×</v>
      </c>
      <c r="J14815" s="4"/>
      <c r="K14815" s="4"/>
      <c r="L14815" s="4"/>
      <c r="M14815" s="7" t="s">
        <v>6871</v>
      </c>
    </row>
    <row r="14816" customFormat="false" ht="15.75" hidden="false" customHeight="false" outlineLevel="0" collapsed="false">
      <c r="A14816" s="6" t="n">
        <f aca="false">DATE(2026,8,9)</f>
        <v>46243</v>
      </c>
      <c r="B14816" s="4" t="s">
        <v>13</v>
      </c>
      <c r="C14816" s="4" t="n">
        <v>12</v>
      </c>
      <c r="D14816" s="4" t="n">
        <v>2</v>
      </c>
      <c r="E14816" s="4"/>
      <c r="F14816" s="4" t="n">
        <v>3</v>
      </c>
      <c r="G14816" s="4" t="n">
        <v>18</v>
      </c>
      <c r="H14816" s="4" t="n">
        <v>4</v>
      </c>
      <c r="I14816" s="4" t="str">
        <v>×</v>
      </c>
      <c r="J14816" s="4"/>
      <c r="K14816" s="4"/>
      <c r="L14816" s="4"/>
      <c r="M14816" s="7" t="s">
        <v>6871</v>
      </c>
    </row>
    <row r="14817" customFormat="false" ht="15.75" hidden="false" customHeight="false" outlineLevel="0" collapsed="false">
      <c r="A14817" s="6" t="n">
        <f aca="false">DATE(2026,8,9)</f>
        <v>46243</v>
      </c>
      <c r="B14817" s="4" t="s">
        <v>334</v>
      </c>
      <c r="C14817" s="4" t="n">
        <v>1</v>
      </c>
      <c r="D14817" s="4" t="n">
        <v>12</v>
      </c>
      <c r="E14817" s="4" t="s">
        <v>1775</v>
      </c>
      <c r="F14817" s="4" t="n">
        <v>62</v>
      </c>
      <c r="G14817" s="4" t="n">
        <v>1</v>
      </c>
      <c r="H14817" s="4" t="n">
        <v>2</v>
      </c>
      <c r="I14817" s="4" t="str">
        <v>○</v>
      </c>
      <c r="J14817" s="4" t="n">
        <v>110</v>
      </c>
      <c r="K14817" s="4"/>
      <c r="L14817" s="4"/>
      <c r="M14817" s="7" t="s">
        <v>6871</v>
      </c>
    </row>
    <row r="14818" customFormat="false" ht="15.75" hidden="false" customHeight="false" outlineLevel="0" collapsed="false">
      <c r="A14818" s="6" t="n">
        <f aca="false">DATE(2026,8,9)</f>
        <v>46243</v>
      </c>
      <c r="B14818" s="4" t="s">
        <v>334</v>
      </c>
      <c r="C14818" s="4" t="n">
        <v>1</v>
      </c>
      <c r="D14818" s="4" t="n">
        <v>10</v>
      </c>
      <c r="E14818" s="4" t="s">
        <v>5146</v>
      </c>
      <c r="F14818" s="4" t="n">
        <v>41</v>
      </c>
      <c r="G14818" s="4" t="n">
        <v>2</v>
      </c>
      <c r="H14818" s="4" t="n">
        <v>1</v>
      </c>
      <c r="I14818" s="4" t="str">
        <v>○</v>
      </c>
      <c r="J14818" s="4" t="n">
        <v>210</v>
      </c>
      <c r="K14818" s="4"/>
      <c r="L14818" s="4"/>
      <c r="M14818" s="7" t="s">
        <v>6871</v>
      </c>
    </row>
    <row r="14819" customFormat="false" ht="15.75" hidden="false" customHeight="false" outlineLevel="0" collapsed="false">
      <c r="A14819" s="6" t="n">
        <f aca="false">DATE(2026,8,9)</f>
        <v>46243</v>
      </c>
      <c r="B14819" s="4" t="s">
        <v>334</v>
      </c>
      <c r="C14819" s="4" t="n">
        <v>1</v>
      </c>
      <c r="D14819" s="4" t="n">
        <v>3</v>
      </c>
      <c r="E14819" s="4"/>
      <c r="F14819" s="4" t="n">
        <v>50</v>
      </c>
      <c r="G14819" s="4" t="n">
        <v>3</v>
      </c>
      <c r="H14819" s="4" t="n">
        <v>4</v>
      </c>
      <c r="I14819" s="4" t="str">
        <v>×</v>
      </c>
      <c r="J14819" s="4"/>
      <c r="K14819" s="4"/>
      <c r="L14819" s="4"/>
      <c r="M14819" s="7" t="s">
        <v>6871</v>
      </c>
    </row>
    <row r="14820" customFormat="false" ht="15.75" hidden="false" customHeight="false" outlineLevel="0" collapsed="false">
      <c r="A14820" s="6" t="n">
        <f aca="false">DATE(2026,8,9)</f>
        <v>46243</v>
      </c>
      <c r="B14820" s="4" t="s">
        <v>334</v>
      </c>
      <c r="C14820" s="4" t="n">
        <v>1</v>
      </c>
      <c r="D14820" s="4" t="n">
        <v>8</v>
      </c>
      <c r="E14820" s="4"/>
      <c r="F14820" s="4" t="n">
        <v>25</v>
      </c>
      <c r="G14820" s="4" t="n">
        <v>4</v>
      </c>
      <c r="H14820" s="4" t="n">
        <v>4</v>
      </c>
      <c r="I14820" s="4" t="str">
        <v>×</v>
      </c>
      <c r="J14820" s="4"/>
      <c r="K14820" s="4"/>
      <c r="L14820" s="4"/>
      <c r="M14820" s="7" t="s">
        <v>6871</v>
      </c>
    </row>
    <row r="14821" customFormat="false" ht="15.75" hidden="false" customHeight="false" outlineLevel="0" collapsed="false">
      <c r="A14821" s="6" t="n">
        <f aca="false">DATE(2026,8,9)</f>
        <v>46243</v>
      </c>
      <c r="B14821" s="4" t="s">
        <v>334</v>
      </c>
      <c r="C14821" s="4" t="n">
        <v>1</v>
      </c>
      <c r="D14821" s="4" t="n">
        <v>5</v>
      </c>
      <c r="E14821" s="4"/>
      <c r="F14821" s="4" t="n">
        <v>23</v>
      </c>
      <c r="G14821" s="4" t="n">
        <v>5</v>
      </c>
      <c r="H14821" s="4" t="n">
        <v>4</v>
      </c>
      <c r="I14821" s="4" t="str">
        <v>×</v>
      </c>
      <c r="J14821" s="4"/>
      <c r="K14821" s="4"/>
      <c r="L14821" s="4"/>
      <c r="M14821" s="7" t="s">
        <v>6871</v>
      </c>
    </row>
    <row r="14822" customFormat="false" ht="15.75" hidden="false" customHeight="false" outlineLevel="0" collapsed="false">
      <c r="A14822" s="6" t="n">
        <f aca="false">DATE(2026,8,9)</f>
        <v>46243</v>
      </c>
      <c r="B14822" s="4" t="s">
        <v>334</v>
      </c>
      <c r="C14822" s="4" t="n">
        <v>1</v>
      </c>
      <c r="D14822" s="4" t="n">
        <v>1</v>
      </c>
      <c r="E14822" s="4"/>
      <c r="F14822" s="4" t="n">
        <v>20</v>
      </c>
      <c r="G14822" s="4" t="n">
        <v>6</v>
      </c>
      <c r="H14822" s="4" t="n">
        <v>4</v>
      </c>
      <c r="I14822" s="4" t="str">
        <v>×</v>
      </c>
      <c r="J14822" s="4"/>
      <c r="K14822" s="4"/>
      <c r="L14822" s="4"/>
      <c r="M14822" s="7" t="s">
        <v>6871</v>
      </c>
    </row>
    <row r="14823" customFormat="false" ht="15.75" hidden="false" customHeight="false" outlineLevel="0" collapsed="false">
      <c r="A14823" s="6" t="n">
        <f aca="false">DATE(2026,8,9)</f>
        <v>46243</v>
      </c>
      <c r="B14823" s="4" t="s">
        <v>334</v>
      </c>
      <c r="C14823" s="4" t="n">
        <v>1</v>
      </c>
      <c r="D14823" s="4" t="n">
        <v>9</v>
      </c>
      <c r="E14823" s="4"/>
      <c r="F14823" s="4" t="n">
        <v>17</v>
      </c>
      <c r="G14823" s="4" t="n">
        <v>7</v>
      </c>
      <c r="H14823" s="4" t="n">
        <v>4</v>
      </c>
      <c r="I14823" s="4" t="str">
        <v>×</v>
      </c>
      <c r="J14823" s="4"/>
      <c r="K14823" s="4"/>
      <c r="L14823" s="4"/>
      <c r="M14823" s="7" t="s">
        <v>6871</v>
      </c>
    </row>
    <row r="14824" customFormat="false" ht="15.75" hidden="false" customHeight="false" outlineLevel="0" collapsed="false">
      <c r="A14824" s="6" t="n">
        <f aca="false">DATE(2026,8,9)</f>
        <v>46243</v>
      </c>
      <c r="B14824" s="4" t="s">
        <v>334</v>
      </c>
      <c r="C14824" s="4" t="n">
        <v>1</v>
      </c>
      <c r="D14824" s="4" t="n">
        <v>2</v>
      </c>
      <c r="E14824" s="4"/>
      <c r="F14824" s="4" t="n">
        <v>15</v>
      </c>
      <c r="G14824" s="4" t="n">
        <v>8</v>
      </c>
      <c r="H14824" s="4" t="n">
        <v>4</v>
      </c>
      <c r="I14824" s="4" t="str">
        <v>×</v>
      </c>
      <c r="J14824" s="4"/>
      <c r="K14824" s="4"/>
      <c r="L14824" s="4"/>
      <c r="M14824" s="7" t="s">
        <v>6871</v>
      </c>
    </row>
    <row r="14825" customFormat="false" ht="15.75" hidden="false" customHeight="false" outlineLevel="0" collapsed="false">
      <c r="A14825" s="6" t="n">
        <f aca="false">DATE(2026,8,9)</f>
        <v>46243</v>
      </c>
      <c r="B14825" s="4" t="s">
        <v>334</v>
      </c>
      <c r="C14825" s="4" t="n">
        <v>1</v>
      </c>
      <c r="D14825" s="4" t="n">
        <v>4</v>
      </c>
      <c r="E14825" s="4" t="s">
        <v>1772</v>
      </c>
      <c r="F14825" s="4" t="n">
        <v>10</v>
      </c>
      <c r="G14825" s="4" t="n">
        <v>9</v>
      </c>
      <c r="H14825" s="4" t="n">
        <v>3</v>
      </c>
      <c r="I14825" s="4" t="str">
        <v>○</v>
      </c>
      <c r="J14825" s="4" t="n">
        <v>610</v>
      </c>
      <c r="K14825" s="4"/>
      <c r="L14825" s="4"/>
      <c r="M14825" s="7" t="s">
        <v>6871</v>
      </c>
    </row>
    <row r="14826" customFormat="false" ht="15.75" hidden="false" customHeight="false" outlineLevel="0" collapsed="false">
      <c r="A14826" s="6" t="n">
        <f aca="false">DATE(2026,8,9)</f>
        <v>46243</v>
      </c>
      <c r="B14826" s="4" t="s">
        <v>334</v>
      </c>
      <c r="C14826" s="4" t="n">
        <v>1</v>
      </c>
      <c r="D14826" s="4" t="n">
        <v>11</v>
      </c>
      <c r="E14826" s="4"/>
      <c r="F14826" s="4" t="n">
        <v>4</v>
      </c>
      <c r="G14826" s="4" t="n">
        <v>10</v>
      </c>
      <c r="H14826" s="4" t="n">
        <v>4</v>
      </c>
      <c r="I14826" s="4" t="str">
        <v>×</v>
      </c>
      <c r="J14826" s="4"/>
      <c r="K14826" s="4"/>
      <c r="L14826" s="4"/>
      <c r="M14826" s="7" t="s">
        <v>6871</v>
      </c>
    </row>
    <row r="14827" customFormat="false" ht="15.75" hidden="false" customHeight="false" outlineLevel="0" collapsed="false">
      <c r="A14827" s="6" t="n">
        <f aca="false">DATE(2026,8,9)</f>
        <v>46243</v>
      </c>
      <c r="B14827" s="4" t="s">
        <v>334</v>
      </c>
      <c r="C14827" s="4" t="n">
        <v>1</v>
      </c>
      <c r="D14827" s="4" t="n">
        <v>6</v>
      </c>
      <c r="E14827" s="4"/>
      <c r="F14827" s="4" t="n">
        <v>3</v>
      </c>
      <c r="G14827" s="4" t="n">
        <v>11</v>
      </c>
      <c r="H14827" s="4" t="n">
        <v>4</v>
      </c>
      <c r="I14827" s="4" t="str">
        <v>×</v>
      </c>
      <c r="J14827" s="4"/>
      <c r="K14827" s="4"/>
      <c r="L14827" s="4"/>
      <c r="M14827" s="7" t="s">
        <v>6871</v>
      </c>
    </row>
    <row r="14828" customFormat="false" ht="15.75" hidden="false" customHeight="false" outlineLevel="0" collapsed="false">
      <c r="A14828" s="6" t="n">
        <f aca="false">DATE(2026,8,9)</f>
        <v>46243</v>
      </c>
      <c r="B14828" s="4" t="s">
        <v>334</v>
      </c>
      <c r="C14828" s="4" t="n">
        <v>1</v>
      </c>
      <c r="D14828" s="4" t="n">
        <v>7</v>
      </c>
      <c r="E14828" s="4"/>
      <c r="F14828" s="4" t="n">
        <v>3</v>
      </c>
      <c r="G14828" s="4" t="n">
        <v>12</v>
      </c>
      <c r="H14828" s="4" t="n">
        <v>4</v>
      </c>
      <c r="I14828" s="4" t="str">
        <v>×</v>
      </c>
      <c r="J14828" s="4"/>
      <c r="K14828" s="4"/>
      <c r="L14828" s="4"/>
      <c r="M14828" s="7" t="s">
        <v>6871</v>
      </c>
    </row>
    <row r="14829" customFormat="false" ht="15.75" hidden="false" customHeight="false" outlineLevel="0" collapsed="false">
      <c r="A14829" s="6" t="n">
        <f aca="false">DATE(2026,8,9)</f>
        <v>46243</v>
      </c>
      <c r="B14829" s="4" t="s">
        <v>334</v>
      </c>
      <c r="C14829" s="4" t="n">
        <v>2</v>
      </c>
      <c r="D14829" s="4" t="n">
        <v>5</v>
      </c>
      <c r="E14829" s="4" t="s">
        <v>2560</v>
      </c>
      <c r="F14829" s="4" t="n">
        <v>60</v>
      </c>
      <c r="G14829" s="4" t="n">
        <v>1</v>
      </c>
      <c r="H14829" s="4" t="n">
        <v>1</v>
      </c>
      <c r="I14829" s="4" t="str">
        <v>○</v>
      </c>
      <c r="J14829" s="4" t="n">
        <v>110</v>
      </c>
      <c r="K14829" s="4"/>
      <c r="L14829" s="4"/>
      <c r="M14829" s="7" t="s">
        <v>6871</v>
      </c>
    </row>
    <row r="14830" customFormat="false" ht="15.75" hidden="false" customHeight="false" outlineLevel="0" collapsed="false">
      <c r="A14830" s="6" t="n">
        <f aca="false">DATE(2026,8,9)</f>
        <v>46243</v>
      </c>
      <c r="B14830" s="4" t="s">
        <v>334</v>
      </c>
      <c r="C14830" s="4" t="n">
        <v>2</v>
      </c>
      <c r="D14830" s="4" t="n">
        <v>6</v>
      </c>
      <c r="E14830" s="4"/>
      <c r="F14830" s="4" t="n">
        <v>44</v>
      </c>
      <c r="G14830" s="4" t="n">
        <v>2</v>
      </c>
      <c r="H14830" s="4" t="n">
        <v>4</v>
      </c>
      <c r="I14830" s="4" t="str">
        <v>×</v>
      </c>
      <c r="J14830" s="4"/>
      <c r="K14830" s="4"/>
      <c r="L14830" s="4"/>
      <c r="M14830" s="7" t="s">
        <v>6871</v>
      </c>
    </row>
    <row r="14831" customFormat="false" ht="15.75" hidden="false" customHeight="false" outlineLevel="0" collapsed="false">
      <c r="A14831" s="6" t="n">
        <f aca="false">DATE(2026,8,9)</f>
        <v>46243</v>
      </c>
      <c r="B14831" s="4" t="s">
        <v>334</v>
      </c>
      <c r="C14831" s="4" t="n">
        <v>2</v>
      </c>
      <c r="D14831" s="4" t="n">
        <v>9</v>
      </c>
      <c r="E14831" s="4" t="s">
        <v>2561</v>
      </c>
      <c r="F14831" s="4" t="n">
        <v>47</v>
      </c>
      <c r="G14831" s="4" t="n">
        <v>3</v>
      </c>
      <c r="H14831" s="4" t="n">
        <v>2</v>
      </c>
      <c r="I14831" s="4" t="str">
        <v>○</v>
      </c>
      <c r="J14831" s="4" t="n">
        <v>120</v>
      </c>
      <c r="K14831" s="4"/>
      <c r="L14831" s="4"/>
      <c r="M14831" s="7" t="s">
        <v>6871</v>
      </c>
    </row>
    <row r="14832" customFormat="false" ht="15.75" hidden="false" customHeight="false" outlineLevel="0" collapsed="false">
      <c r="A14832" s="6" t="n">
        <f aca="false">DATE(2026,8,9)</f>
        <v>46243</v>
      </c>
      <c r="B14832" s="4" t="s">
        <v>334</v>
      </c>
      <c r="C14832" s="4" t="n">
        <v>2</v>
      </c>
      <c r="D14832" s="4" t="n">
        <v>2</v>
      </c>
      <c r="E14832" s="4"/>
      <c r="F14832" s="4" t="n">
        <v>39</v>
      </c>
      <c r="G14832" s="4" t="n">
        <v>4</v>
      </c>
      <c r="H14832" s="4" t="n">
        <v>4</v>
      </c>
      <c r="I14832" s="4" t="str">
        <v>×</v>
      </c>
      <c r="J14832" s="4"/>
      <c r="K14832" s="4"/>
      <c r="L14832" s="4"/>
      <c r="M14832" s="7" t="s">
        <v>6871</v>
      </c>
    </row>
    <row r="14833" customFormat="false" ht="15.75" hidden="false" customHeight="false" outlineLevel="0" collapsed="false">
      <c r="A14833" s="6" t="n">
        <f aca="false">DATE(2026,8,9)</f>
        <v>46243</v>
      </c>
      <c r="B14833" s="4" t="s">
        <v>334</v>
      </c>
      <c r="C14833" s="4" t="n">
        <v>2</v>
      </c>
      <c r="D14833" s="4" t="n">
        <v>8</v>
      </c>
      <c r="E14833" s="4"/>
      <c r="F14833" s="4" t="n">
        <v>34</v>
      </c>
      <c r="G14833" s="4" t="n">
        <v>5</v>
      </c>
      <c r="H14833" s="4" t="n">
        <v>4</v>
      </c>
      <c r="I14833" s="4" t="str">
        <v>×</v>
      </c>
      <c r="J14833" s="4"/>
      <c r="K14833" s="4"/>
      <c r="L14833" s="4"/>
      <c r="M14833" s="7" t="s">
        <v>6871</v>
      </c>
    </row>
    <row r="14834" customFormat="false" ht="15.75" hidden="false" customHeight="false" outlineLevel="0" collapsed="false">
      <c r="A14834" s="6" t="n">
        <f aca="false">DATE(2026,8,9)</f>
        <v>46243</v>
      </c>
      <c r="B14834" s="4" t="s">
        <v>334</v>
      </c>
      <c r="C14834" s="4" t="n">
        <v>2</v>
      </c>
      <c r="D14834" s="4" t="n">
        <v>1</v>
      </c>
      <c r="E14834" s="4" t="s">
        <v>1121</v>
      </c>
      <c r="F14834" s="4" t="n">
        <v>25</v>
      </c>
      <c r="G14834" s="4" t="n">
        <v>6</v>
      </c>
      <c r="H14834" s="4" t="n">
        <v>3</v>
      </c>
      <c r="I14834" s="4" t="str">
        <v>○</v>
      </c>
      <c r="J14834" s="4" t="n">
        <v>180</v>
      </c>
      <c r="K14834" s="4"/>
      <c r="L14834" s="4"/>
      <c r="M14834" s="7" t="s">
        <v>6871</v>
      </c>
    </row>
    <row r="14835" customFormat="false" ht="15.75" hidden="false" customHeight="false" outlineLevel="0" collapsed="false">
      <c r="A14835" s="6" t="n">
        <f aca="false">DATE(2026,8,9)</f>
        <v>46243</v>
      </c>
      <c r="B14835" s="4" t="s">
        <v>334</v>
      </c>
      <c r="C14835" s="4" t="n">
        <v>2</v>
      </c>
      <c r="D14835" s="4" t="n">
        <v>11</v>
      </c>
      <c r="E14835" s="4"/>
      <c r="F14835" s="4" t="n">
        <v>13</v>
      </c>
      <c r="G14835" s="4" t="n">
        <v>7</v>
      </c>
      <c r="H14835" s="4" t="n">
        <v>4</v>
      </c>
      <c r="I14835" s="4" t="str">
        <v>×</v>
      </c>
      <c r="J14835" s="4"/>
      <c r="K14835" s="4"/>
      <c r="L14835" s="4"/>
      <c r="M14835" s="7" t="s">
        <v>6871</v>
      </c>
    </row>
    <row r="14836" customFormat="false" ht="15.75" hidden="false" customHeight="false" outlineLevel="0" collapsed="false">
      <c r="A14836" s="6" t="n">
        <f aca="false">DATE(2026,8,9)</f>
        <v>46243</v>
      </c>
      <c r="B14836" s="4" t="s">
        <v>334</v>
      </c>
      <c r="C14836" s="4" t="n">
        <v>2</v>
      </c>
      <c r="D14836" s="4" t="n">
        <v>12</v>
      </c>
      <c r="E14836" s="4"/>
      <c r="F14836" s="4" t="n">
        <v>10</v>
      </c>
      <c r="G14836" s="4" t="n">
        <v>8</v>
      </c>
      <c r="H14836" s="4" t="n">
        <v>4</v>
      </c>
      <c r="I14836" s="4" t="str">
        <v>×</v>
      </c>
      <c r="J14836" s="4"/>
      <c r="K14836" s="4"/>
      <c r="L14836" s="4"/>
      <c r="M14836" s="7" t="s">
        <v>6871</v>
      </c>
    </row>
    <row r="14837" customFormat="false" ht="15.75" hidden="false" customHeight="false" outlineLevel="0" collapsed="false">
      <c r="A14837" s="6" t="n">
        <f aca="false">DATE(2026,8,9)</f>
        <v>46243</v>
      </c>
      <c r="B14837" s="4" t="s">
        <v>334</v>
      </c>
      <c r="C14837" s="4" t="n">
        <v>2</v>
      </c>
      <c r="D14837" s="4" t="n">
        <v>10</v>
      </c>
      <c r="E14837" s="4"/>
      <c r="F14837" s="4" t="n">
        <v>6</v>
      </c>
      <c r="G14837" s="4" t="n">
        <v>9</v>
      </c>
      <c r="H14837" s="4" t="n">
        <v>4</v>
      </c>
      <c r="I14837" s="4" t="str">
        <v>×</v>
      </c>
      <c r="J14837" s="4"/>
      <c r="K14837" s="4"/>
      <c r="L14837" s="4"/>
      <c r="M14837" s="7" t="s">
        <v>6871</v>
      </c>
    </row>
    <row r="14838" customFormat="false" ht="15.75" hidden="false" customHeight="false" outlineLevel="0" collapsed="false">
      <c r="A14838" s="6" t="n">
        <f aca="false">DATE(2026,8,9)</f>
        <v>46243</v>
      </c>
      <c r="B14838" s="4" t="s">
        <v>334</v>
      </c>
      <c r="C14838" s="4" t="n">
        <v>2</v>
      </c>
      <c r="D14838" s="4" t="n">
        <v>4</v>
      </c>
      <c r="E14838" s="4"/>
      <c r="F14838" s="4" t="n">
        <v>4</v>
      </c>
      <c r="G14838" s="4" t="n">
        <v>10</v>
      </c>
      <c r="H14838" s="4" t="n">
        <v>4</v>
      </c>
      <c r="I14838" s="4" t="str">
        <v>×</v>
      </c>
      <c r="J14838" s="4"/>
      <c r="K14838" s="4"/>
      <c r="L14838" s="4"/>
      <c r="M14838" s="7" t="s">
        <v>6871</v>
      </c>
    </row>
    <row r="14839" customFormat="false" ht="15.75" hidden="false" customHeight="false" outlineLevel="0" collapsed="false">
      <c r="A14839" s="6" t="n">
        <f aca="false">DATE(2026,8,9)</f>
        <v>46243</v>
      </c>
      <c r="B14839" s="4" t="s">
        <v>334</v>
      </c>
      <c r="C14839" s="4" t="n">
        <v>2</v>
      </c>
      <c r="D14839" s="4" t="n">
        <v>7</v>
      </c>
      <c r="E14839" s="4"/>
      <c r="F14839" s="4" t="n">
        <v>4</v>
      </c>
      <c r="G14839" s="4" t="n">
        <v>11</v>
      </c>
      <c r="H14839" s="4" t="n">
        <v>4</v>
      </c>
      <c r="I14839" s="4" t="str">
        <v>×</v>
      </c>
      <c r="J14839" s="4"/>
      <c r="K14839" s="4"/>
      <c r="L14839" s="4"/>
      <c r="M14839" s="7" t="s">
        <v>6871</v>
      </c>
    </row>
    <row r="14840" customFormat="false" ht="15.75" hidden="false" customHeight="false" outlineLevel="0" collapsed="false">
      <c r="A14840" s="6" t="n">
        <f aca="false">DATE(2026,8,9)</f>
        <v>46243</v>
      </c>
      <c r="B14840" s="4" t="s">
        <v>334</v>
      </c>
      <c r="C14840" s="4" t="n">
        <v>2</v>
      </c>
      <c r="D14840" s="4" t="n">
        <v>3</v>
      </c>
      <c r="E14840" s="4"/>
      <c r="F14840" s="4" t="n">
        <v>3</v>
      </c>
      <c r="G14840" s="4" t="n">
        <v>12</v>
      </c>
      <c r="H14840" s="4" t="n">
        <v>4</v>
      </c>
      <c r="I14840" s="4" t="str">
        <v>×</v>
      </c>
      <c r="J14840" s="4"/>
      <c r="K14840" s="4"/>
      <c r="L14840" s="4"/>
      <c r="M14840" s="7" t="s">
        <v>6871</v>
      </c>
    </row>
    <row r="14841" customFormat="false" ht="15.75" hidden="false" customHeight="false" outlineLevel="0" collapsed="false">
      <c r="A14841" s="6" t="n">
        <f aca="false">DATE(2026,8,9)</f>
        <v>46243</v>
      </c>
      <c r="B14841" s="4" t="s">
        <v>334</v>
      </c>
      <c r="C14841" s="4" t="n">
        <v>3</v>
      </c>
      <c r="D14841" s="4" t="n">
        <v>4</v>
      </c>
      <c r="E14841" s="4" t="s">
        <v>6127</v>
      </c>
      <c r="F14841" s="4" t="n">
        <v>58</v>
      </c>
      <c r="G14841" s="4" t="n">
        <v>1</v>
      </c>
      <c r="H14841" s="4" t="n">
        <v>1</v>
      </c>
      <c r="I14841" s="4" t="str">
        <v>○</v>
      </c>
      <c r="J14841" s="4" t="n">
        <v>160</v>
      </c>
      <c r="K14841" s="4"/>
      <c r="L14841" s="4"/>
      <c r="M14841" s="7" t="s">
        <v>6871</v>
      </c>
    </row>
    <row r="14842" customFormat="false" ht="15.75" hidden="false" customHeight="false" outlineLevel="0" collapsed="false">
      <c r="A14842" s="6" t="n">
        <f aca="false">DATE(2026,8,9)</f>
        <v>46243</v>
      </c>
      <c r="B14842" s="4" t="s">
        <v>334</v>
      </c>
      <c r="C14842" s="4" t="n">
        <v>3</v>
      </c>
      <c r="D14842" s="4" t="n">
        <v>5</v>
      </c>
      <c r="E14842" s="4"/>
      <c r="F14842" s="4" t="n">
        <v>39</v>
      </c>
      <c r="G14842" s="4" t="n">
        <v>2</v>
      </c>
      <c r="H14842" s="4" t="n">
        <v>4</v>
      </c>
      <c r="I14842" s="4" t="str">
        <v>×</v>
      </c>
      <c r="J14842" s="4"/>
      <c r="K14842" s="4"/>
      <c r="L14842" s="4"/>
      <c r="M14842" s="7" t="s">
        <v>6871</v>
      </c>
    </row>
    <row r="14843" customFormat="false" ht="15.75" hidden="false" customHeight="false" outlineLevel="0" collapsed="false">
      <c r="A14843" s="6" t="n">
        <f aca="false">DATE(2026,8,9)</f>
        <v>46243</v>
      </c>
      <c r="B14843" s="4" t="s">
        <v>334</v>
      </c>
      <c r="C14843" s="4" t="n">
        <v>3</v>
      </c>
      <c r="D14843" s="4" t="n">
        <v>6</v>
      </c>
      <c r="E14843" s="4"/>
      <c r="F14843" s="4" t="n">
        <v>41</v>
      </c>
      <c r="G14843" s="4" t="n">
        <v>3</v>
      </c>
      <c r="H14843" s="4" t="n">
        <v>4</v>
      </c>
      <c r="I14843" s="4" t="str">
        <v>×</v>
      </c>
      <c r="J14843" s="4"/>
      <c r="K14843" s="4"/>
      <c r="L14843" s="4"/>
      <c r="M14843" s="7" t="s">
        <v>6871</v>
      </c>
    </row>
    <row r="14844" customFormat="false" ht="15.75" hidden="false" customHeight="false" outlineLevel="0" collapsed="false">
      <c r="A14844" s="6" t="n">
        <f aca="false">DATE(2026,8,9)</f>
        <v>46243</v>
      </c>
      <c r="B14844" s="4" t="s">
        <v>334</v>
      </c>
      <c r="C14844" s="4" t="n">
        <v>3</v>
      </c>
      <c r="D14844" s="4" t="n">
        <v>10</v>
      </c>
      <c r="E14844" s="4" t="s">
        <v>1334</v>
      </c>
      <c r="F14844" s="4" t="n">
        <v>37</v>
      </c>
      <c r="G14844" s="4" t="n">
        <v>4</v>
      </c>
      <c r="H14844" s="4" t="n">
        <v>2</v>
      </c>
      <c r="I14844" s="4" t="str">
        <v>○</v>
      </c>
      <c r="J14844" s="4" t="n">
        <v>150</v>
      </c>
      <c r="K14844" s="4"/>
      <c r="L14844" s="4"/>
      <c r="M14844" s="7" t="s">
        <v>6871</v>
      </c>
    </row>
    <row r="14845" customFormat="false" ht="15.75" hidden="false" customHeight="false" outlineLevel="0" collapsed="false">
      <c r="A14845" s="6" t="n">
        <f aca="false">DATE(2026,8,9)</f>
        <v>46243</v>
      </c>
      <c r="B14845" s="4" t="s">
        <v>334</v>
      </c>
      <c r="C14845" s="4" t="n">
        <v>3</v>
      </c>
      <c r="D14845" s="4" t="n">
        <v>8</v>
      </c>
      <c r="E14845" s="4"/>
      <c r="F14845" s="4" t="n">
        <v>23</v>
      </c>
      <c r="G14845" s="4" t="n">
        <v>5</v>
      </c>
      <c r="H14845" s="4" t="n">
        <v>4</v>
      </c>
      <c r="I14845" s="4" t="str">
        <v>×</v>
      </c>
      <c r="J14845" s="4"/>
      <c r="K14845" s="4"/>
      <c r="L14845" s="4"/>
      <c r="M14845" s="7" t="s">
        <v>6871</v>
      </c>
    </row>
    <row r="14846" customFormat="false" ht="15.75" hidden="false" customHeight="false" outlineLevel="0" collapsed="false">
      <c r="A14846" s="6" t="n">
        <f aca="false">DATE(2026,8,9)</f>
        <v>46243</v>
      </c>
      <c r="B14846" s="4" t="s">
        <v>334</v>
      </c>
      <c r="C14846" s="4" t="n">
        <v>3</v>
      </c>
      <c r="D14846" s="4" t="n">
        <v>9</v>
      </c>
      <c r="E14846" s="4" t="s">
        <v>4255</v>
      </c>
      <c r="F14846" s="4" t="n">
        <v>23</v>
      </c>
      <c r="G14846" s="4" t="n">
        <v>6</v>
      </c>
      <c r="H14846" s="4" t="n">
        <v>3</v>
      </c>
      <c r="I14846" s="4" t="str">
        <v>○</v>
      </c>
      <c r="J14846" s="4" t="n">
        <v>270</v>
      </c>
      <c r="K14846" s="4"/>
      <c r="L14846" s="4"/>
      <c r="M14846" s="7" t="s">
        <v>6871</v>
      </c>
    </row>
    <row r="14847" customFormat="false" ht="15.75" hidden="false" customHeight="false" outlineLevel="0" collapsed="false">
      <c r="A14847" s="6" t="n">
        <f aca="false">DATE(2026,8,9)</f>
        <v>46243</v>
      </c>
      <c r="B14847" s="4" t="s">
        <v>334</v>
      </c>
      <c r="C14847" s="4" t="n">
        <v>3</v>
      </c>
      <c r="D14847" s="4" t="n">
        <v>3</v>
      </c>
      <c r="E14847" s="4"/>
      <c r="F14847" s="4" t="n">
        <v>20</v>
      </c>
      <c r="G14847" s="4" t="n">
        <v>7</v>
      </c>
      <c r="H14847" s="4" t="n">
        <v>4</v>
      </c>
      <c r="I14847" s="4" t="str">
        <v>×</v>
      </c>
      <c r="J14847" s="4"/>
      <c r="K14847" s="4"/>
      <c r="L14847" s="4"/>
      <c r="M14847" s="7" t="s">
        <v>6871</v>
      </c>
    </row>
    <row r="14848" customFormat="false" ht="15.75" hidden="false" customHeight="false" outlineLevel="0" collapsed="false">
      <c r="A14848" s="6" t="n">
        <f aca="false">DATE(2026,8,9)</f>
        <v>46243</v>
      </c>
      <c r="B14848" s="4" t="s">
        <v>334</v>
      </c>
      <c r="C14848" s="4" t="n">
        <v>3</v>
      </c>
      <c r="D14848" s="4" t="n">
        <v>1</v>
      </c>
      <c r="E14848" s="4"/>
      <c r="F14848" s="4" t="n">
        <v>17</v>
      </c>
      <c r="G14848" s="4" t="n">
        <v>8</v>
      </c>
      <c r="H14848" s="4" t="n">
        <v>4</v>
      </c>
      <c r="I14848" s="4" t="str">
        <v>×</v>
      </c>
      <c r="J14848" s="4"/>
      <c r="K14848" s="4"/>
      <c r="L14848" s="4"/>
      <c r="M14848" s="7" t="s">
        <v>6871</v>
      </c>
    </row>
    <row r="14849" customFormat="false" ht="15.75" hidden="false" customHeight="false" outlineLevel="0" collapsed="false">
      <c r="A14849" s="6" t="n">
        <f aca="false">DATE(2026,8,9)</f>
        <v>46243</v>
      </c>
      <c r="B14849" s="4" t="s">
        <v>334</v>
      </c>
      <c r="C14849" s="4" t="n">
        <v>3</v>
      </c>
      <c r="D14849" s="4" t="n">
        <v>2</v>
      </c>
      <c r="E14849" s="4"/>
      <c r="F14849" s="4" t="n">
        <v>8</v>
      </c>
      <c r="G14849" s="4" t="n">
        <v>9</v>
      </c>
      <c r="H14849" s="4" t="n">
        <v>4</v>
      </c>
      <c r="I14849" s="4" t="str">
        <v>×</v>
      </c>
      <c r="J14849" s="4"/>
      <c r="K14849" s="4"/>
      <c r="L14849" s="4"/>
      <c r="M14849" s="7" t="s">
        <v>6871</v>
      </c>
    </row>
    <row r="14850" customFormat="false" ht="15.75" hidden="false" customHeight="false" outlineLevel="0" collapsed="false">
      <c r="A14850" s="6" t="n">
        <f aca="false">DATE(2026,8,9)</f>
        <v>46243</v>
      </c>
      <c r="B14850" s="4" t="s">
        <v>334</v>
      </c>
      <c r="C14850" s="4" t="n">
        <v>3</v>
      </c>
      <c r="D14850" s="4" t="n">
        <v>7</v>
      </c>
      <c r="E14850" s="4"/>
      <c r="F14850" s="4" t="n">
        <v>8</v>
      </c>
      <c r="G14850" s="4" t="n">
        <v>10</v>
      </c>
      <c r="H14850" s="4" t="n">
        <v>4</v>
      </c>
      <c r="I14850" s="4" t="str">
        <v>×</v>
      </c>
      <c r="J14850" s="4"/>
      <c r="K14850" s="4"/>
      <c r="L14850" s="4"/>
      <c r="M14850" s="7" t="s">
        <v>6871</v>
      </c>
    </row>
    <row r="14851" customFormat="false" ht="15.75" hidden="false" customHeight="false" outlineLevel="0" collapsed="false">
      <c r="A14851" s="6" t="n">
        <f aca="false">DATE(2026,8,9)</f>
        <v>46243</v>
      </c>
      <c r="B14851" s="4" t="s">
        <v>334</v>
      </c>
      <c r="C14851" s="4" t="n">
        <v>4</v>
      </c>
      <c r="D14851" s="4" t="n">
        <v>6</v>
      </c>
      <c r="E14851" s="4" t="s">
        <v>1298</v>
      </c>
      <c r="F14851" s="4" t="n">
        <v>58</v>
      </c>
      <c r="G14851" s="4" t="n">
        <v>1</v>
      </c>
      <c r="H14851" s="4" t="n">
        <v>2</v>
      </c>
      <c r="I14851" s="4" t="str">
        <v>○</v>
      </c>
      <c r="J14851" s="4" t="n">
        <v>210</v>
      </c>
      <c r="K14851" s="4"/>
      <c r="L14851" s="4"/>
      <c r="M14851" s="7" t="s">
        <v>6871</v>
      </c>
    </row>
    <row r="14852" customFormat="false" ht="15.75" hidden="false" customHeight="false" outlineLevel="0" collapsed="false">
      <c r="A14852" s="6" t="n">
        <f aca="false">DATE(2026,8,9)</f>
        <v>46243</v>
      </c>
      <c r="B14852" s="4" t="s">
        <v>334</v>
      </c>
      <c r="C14852" s="4" t="n">
        <v>4</v>
      </c>
      <c r="D14852" s="4" t="n">
        <v>8</v>
      </c>
      <c r="E14852" s="4"/>
      <c r="F14852" s="4" t="n">
        <v>37</v>
      </c>
      <c r="G14852" s="4" t="n">
        <v>2</v>
      </c>
      <c r="H14852" s="4" t="n">
        <v>4</v>
      </c>
      <c r="I14852" s="4" t="str">
        <v>×</v>
      </c>
      <c r="J14852" s="4"/>
      <c r="K14852" s="4"/>
      <c r="L14852" s="4"/>
      <c r="M14852" s="7" t="s">
        <v>6871</v>
      </c>
    </row>
    <row r="14853" customFormat="false" ht="15.75" hidden="false" customHeight="false" outlineLevel="0" collapsed="false">
      <c r="A14853" s="6" t="n">
        <f aca="false">DATE(2026,8,9)</f>
        <v>46243</v>
      </c>
      <c r="B14853" s="4" t="s">
        <v>334</v>
      </c>
      <c r="C14853" s="4" t="n">
        <v>4</v>
      </c>
      <c r="D14853" s="4" t="n">
        <v>10</v>
      </c>
      <c r="E14853" s="4" t="s">
        <v>1286</v>
      </c>
      <c r="F14853" s="4" t="n">
        <v>56</v>
      </c>
      <c r="G14853" s="4" t="n">
        <v>3</v>
      </c>
      <c r="H14853" s="4" t="n">
        <v>1</v>
      </c>
      <c r="I14853" s="4" t="str">
        <v>○</v>
      </c>
      <c r="J14853" s="4" t="n">
        <v>150</v>
      </c>
      <c r="K14853" s="4"/>
      <c r="L14853" s="4"/>
      <c r="M14853" s="7" t="s">
        <v>6871</v>
      </c>
    </row>
    <row r="14854" customFormat="false" ht="15.75" hidden="false" customHeight="false" outlineLevel="0" collapsed="false">
      <c r="A14854" s="6" t="n">
        <f aca="false">DATE(2026,8,9)</f>
        <v>46243</v>
      </c>
      <c r="B14854" s="4" t="s">
        <v>334</v>
      </c>
      <c r="C14854" s="4" t="n">
        <v>4</v>
      </c>
      <c r="D14854" s="4" t="n">
        <v>4</v>
      </c>
      <c r="E14854" s="4"/>
      <c r="F14854" s="4" t="n">
        <v>34</v>
      </c>
      <c r="G14854" s="4" t="n">
        <v>4</v>
      </c>
      <c r="H14854" s="4" t="n">
        <v>4</v>
      </c>
      <c r="I14854" s="4" t="str">
        <v>×</v>
      </c>
      <c r="J14854" s="4"/>
      <c r="K14854" s="4"/>
      <c r="L14854" s="4"/>
      <c r="M14854" s="7" t="s">
        <v>6871</v>
      </c>
    </row>
    <row r="14855" customFormat="false" ht="15.75" hidden="false" customHeight="false" outlineLevel="0" collapsed="false">
      <c r="A14855" s="6" t="n">
        <f aca="false">DATE(2026,8,9)</f>
        <v>46243</v>
      </c>
      <c r="B14855" s="4" t="s">
        <v>334</v>
      </c>
      <c r="C14855" s="4" t="n">
        <v>4</v>
      </c>
      <c r="D14855" s="4" t="n">
        <v>9</v>
      </c>
      <c r="E14855" s="4"/>
      <c r="F14855" s="4" t="n">
        <v>34</v>
      </c>
      <c r="G14855" s="4" t="n">
        <v>5</v>
      </c>
      <c r="H14855" s="4" t="n">
        <v>4</v>
      </c>
      <c r="I14855" s="4" t="str">
        <v>×</v>
      </c>
      <c r="J14855" s="4"/>
      <c r="K14855" s="4"/>
      <c r="L14855" s="4"/>
      <c r="M14855" s="7" t="s">
        <v>6871</v>
      </c>
    </row>
    <row r="14856" customFormat="false" ht="15.75" hidden="false" customHeight="false" outlineLevel="0" collapsed="false">
      <c r="A14856" s="6" t="n">
        <f aca="false">DATE(2026,8,9)</f>
        <v>46243</v>
      </c>
      <c r="B14856" s="4" t="s">
        <v>334</v>
      </c>
      <c r="C14856" s="4" t="n">
        <v>4</v>
      </c>
      <c r="D14856" s="4" t="n">
        <v>11</v>
      </c>
      <c r="E14856" s="4"/>
      <c r="F14856" s="4" t="n">
        <v>31</v>
      </c>
      <c r="G14856" s="4" t="n">
        <v>6</v>
      </c>
      <c r="H14856" s="4" t="n">
        <v>4</v>
      </c>
      <c r="I14856" s="4" t="str">
        <v>×</v>
      </c>
      <c r="J14856" s="4"/>
      <c r="K14856" s="4"/>
      <c r="L14856" s="4"/>
      <c r="M14856" s="7" t="s">
        <v>6871</v>
      </c>
    </row>
    <row r="14857" customFormat="false" ht="15.75" hidden="false" customHeight="false" outlineLevel="0" collapsed="false">
      <c r="A14857" s="6" t="n">
        <f aca="false">DATE(2026,8,9)</f>
        <v>46243</v>
      </c>
      <c r="B14857" s="4" t="s">
        <v>334</v>
      </c>
      <c r="C14857" s="4" t="n">
        <v>4</v>
      </c>
      <c r="D14857" s="4" t="n">
        <v>5</v>
      </c>
      <c r="E14857" s="4" t="s">
        <v>2216</v>
      </c>
      <c r="F14857" s="4" t="n">
        <v>10</v>
      </c>
      <c r="G14857" s="4" t="n">
        <v>7</v>
      </c>
      <c r="H14857" s="4" t="n">
        <v>3</v>
      </c>
      <c r="I14857" s="4" t="str">
        <v>○</v>
      </c>
      <c r="J14857" s="4" t="n">
        <v>350</v>
      </c>
      <c r="K14857" s="4"/>
      <c r="L14857" s="4"/>
      <c r="M14857" s="7" t="s">
        <v>6871</v>
      </c>
    </row>
    <row r="14858" customFormat="false" ht="15.75" hidden="false" customHeight="false" outlineLevel="0" collapsed="false">
      <c r="A14858" s="6" t="n">
        <f aca="false">DATE(2026,8,9)</f>
        <v>46243</v>
      </c>
      <c r="B14858" s="4" t="s">
        <v>334</v>
      </c>
      <c r="C14858" s="4" t="n">
        <v>4</v>
      </c>
      <c r="D14858" s="4" t="n">
        <v>12</v>
      </c>
      <c r="E14858" s="4"/>
      <c r="F14858" s="4" t="n">
        <v>10</v>
      </c>
      <c r="G14858" s="4" t="n">
        <v>8</v>
      </c>
      <c r="H14858" s="4" t="n">
        <v>4</v>
      </c>
      <c r="I14858" s="4" t="str">
        <v>×</v>
      </c>
      <c r="J14858" s="4"/>
      <c r="K14858" s="4"/>
      <c r="L14858" s="4"/>
      <c r="M14858" s="7" t="s">
        <v>6871</v>
      </c>
    </row>
    <row r="14859" customFormat="false" ht="15.75" hidden="false" customHeight="false" outlineLevel="0" collapsed="false">
      <c r="A14859" s="6" t="n">
        <f aca="false">DATE(2026,8,9)</f>
        <v>46243</v>
      </c>
      <c r="B14859" s="4" t="s">
        <v>334</v>
      </c>
      <c r="C14859" s="4" t="n">
        <v>4</v>
      </c>
      <c r="D14859" s="4" t="n">
        <v>1</v>
      </c>
      <c r="E14859" s="4"/>
      <c r="F14859" s="4" t="n">
        <v>8</v>
      </c>
      <c r="G14859" s="4" t="n">
        <v>9</v>
      </c>
      <c r="H14859" s="4" t="n">
        <v>4</v>
      </c>
      <c r="I14859" s="4" t="str">
        <v>×</v>
      </c>
      <c r="J14859" s="4"/>
      <c r="K14859" s="4"/>
      <c r="L14859" s="4"/>
      <c r="M14859" s="7" t="s">
        <v>6871</v>
      </c>
    </row>
    <row r="14860" customFormat="false" ht="15.75" hidden="false" customHeight="false" outlineLevel="0" collapsed="false">
      <c r="A14860" s="6" t="n">
        <f aca="false">DATE(2026,8,9)</f>
        <v>46243</v>
      </c>
      <c r="B14860" s="4" t="s">
        <v>334</v>
      </c>
      <c r="C14860" s="4" t="n">
        <v>4</v>
      </c>
      <c r="D14860" s="4" t="n">
        <v>2</v>
      </c>
      <c r="E14860" s="4"/>
      <c r="F14860" s="4" t="n">
        <v>6</v>
      </c>
      <c r="G14860" s="4" t="n">
        <v>10</v>
      </c>
      <c r="H14860" s="4" t="n">
        <v>4</v>
      </c>
      <c r="I14860" s="4" t="str">
        <v>×</v>
      </c>
      <c r="J14860" s="4"/>
      <c r="K14860" s="4"/>
      <c r="L14860" s="4"/>
      <c r="M14860" s="7" t="s">
        <v>6871</v>
      </c>
    </row>
    <row r="14861" customFormat="false" ht="15.75" hidden="false" customHeight="false" outlineLevel="0" collapsed="false">
      <c r="A14861" s="6" t="n">
        <f aca="false">DATE(2026,8,9)</f>
        <v>46243</v>
      </c>
      <c r="B14861" s="4" t="s">
        <v>334</v>
      </c>
      <c r="C14861" s="4" t="n">
        <v>4</v>
      </c>
      <c r="D14861" s="4" t="n">
        <v>3</v>
      </c>
      <c r="E14861" s="4"/>
      <c r="F14861" s="4" t="n">
        <v>6</v>
      </c>
      <c r="G14861" s="4" t="n">
        <v>11</v>
      </c>
      <c r="H14861" s="4" t="n">
        <v>4</v>
      </c>
      <c r="I14861" s="4" t="str">
        <v>×</v>
      </c>
      <c r="J14861" s="4"/>
      <c r="K14861" s="4"/>
      <c r="L14861" s="4"/>
      <c r="M14861" s="7" t="s">
        <v>6871</v>
      </c>
    </row>
    <row r="14862" customFormat="false" ht="15.75" hidden="false" customHeight="false" outlineLevel="0" collapsed="false">
      <c r="A14862" s="6" t="n">
        <f aca="false">DATE(2026,8,9)</f>
        <v>46243</v>
      </c>
      <c r="B14862" s="4" t="s">
        <v>334</v>
      </c>
      <c r="C14862" s="4" t="n">
        <v>4</v>
      </c>
      <c r="D14862" s="4" t="n">
        <v>14</v>
      </c>
      <c r="E14862" s="4"/>
      <c r="F14862" s="4" t="n">
        <v>4</v>
      </c>
      <c r="G14862" s="4" t="n">
        <v>12</v>
      </c>
      <c r="H14862" s="4" t="n">
        <v>4</v>
      </c>
      <c r="I14862" s="4" t="str">
        <v>×</v>
      </c>
      <c r="J14862" s="4"/>
      <c r="K14862" s="4"/>
      <c r="L14862" s="4"/>
      <c r="M14862" s="7" t="s">
        <v>6871</v>
      </c>
    </row>
    <row r="14863" customFormat="false" ht="15.75" hidden="false" customHeight="false" outlineLevel="0" collapsed="false">
      <c r="A14863" s="6" t="n">
        <f aca="false">DATE(2026,8,9)</f>
        <v>46243</v>
      </c>
      <c r="B14863" s="4" t="s">
        <v>334</v>
      </c>
      <c r="C14863" s="4" t="n">
        <v>4</v>
      </c>
      <c r="D14863" s="4" t="n">
        <v>7</v>
      </c>
      <c r="E14863" s="4"/>
      <c r="F14863" s="4" t="n">
        <v>1</v>
      </c>
      <c r="G14863" s="4" t="n">
        <v>13</v>
      </c>
      <c r="H14863" s="4" t="n">
        <v>4</v>
      </c>
      <c r="I14863" s="4" t="str">
        <v>×</v>
      </c>
      <c r="J14863" s="4"/>
      <c r="K14863" s="4"/>
      <c r="L14863" s="4"/>
      <c r="M14863" s="7" t="s">
        <v>6871</v>
      </c>
    </row>
    <row r="14864" customFormat="false" ht="15.75" hidden="false" customHeight="false" outlineLevel="0" collapsed="false">
      <c r="A14864" s="6" t="n">
        <f aca="false">DATE(2026,8,9)</f>
        <v>46243</v>
      </c>
      <c r="B14864" s="4" t="s">
        <v>334</v>
      </c>
      <c r="C14864" s="4" t="n">
        <v>4</v>
      </c>
      <c r="D14864" s="4" t="n">
        <v>13</v>
      </c>
      <c r="E14864" s="4"/>
      <c r="F14864" s="4" t="n">
        <v>1</v>
      </c>
      <c r="G14864" s="4" t="n">
        <v>14</v>
      </c>
      <c r="H14864" s="4" t="n">
        <v>4</v>
      </c>
      <c r="I14864" s="4" t="str">
        <v>×</v>
      </c>
      <c r="J14864" s="4"/>
      <c r="K14864" s="4"/>
      <c r="L14864" s="4"/>
      <c r="M14864" s="7" t="s">
        <v>6871</v>
      </c>
    </row>
    <row r="14865" customFormat="false" ht="15.75" hidden="false" customHeight="false" outlineLevel="0" collapsed="false">
      <c r="A14865" s="6" t="n">
        <f aca="false">DATE(2026,8,9)</f>
        <v>46243</v>
      </c>
      <c r="B14865" s="4" t="s">
        <v>334</v>
      </c>
      <c r="C14865" s="4" t="n">
        <v>5</v>
      </c>
      <c r="D14865" s="4" t="n">
        <v>11</v>
      </c>
      <c r="E14865" s="4" t="s">
        <v>6928</v>
      </c>
      <c r="F14865" s="4" t="n">
        <v>31</v>
      </c>
      <c r="G14865" s="4" t="n">
        <v>1</v>
      </c>
      <c r="H14865" s="4" t="n">
        <v>1</v>
      </c>
      <c r="I14865" s="4" t="str">
        <v>○</v>
      </c>
      <c r="J14865" s="4" t="n">
        <v>120</v>
      </c>
      <c r="K14865" s="4"/>
      <c r="L14865" s="4"/>
      <c r="M14865" s="7" t="s">
        <v>6871</v>
      </c>
    </row>
    <row r="14866" customFormat="false" ht="15.75" hidden="false" customHeight="false" outlineLevel="0" collapsed="false">
      <c r="A14866" s="6" t="n">
        <f aca="false">DATE(2026,8,9)</f>
        <v>46243</v>
      </c>
      <c r="B14866" s="4" t="s">
        <v>334</v>
      </c>
      <c r="C14866" s="4" t="n">
        <v>5</v>
      </c>
      <c r="D14866" s="4" t="n">
        <v>2</v>
      </c>
      <c r="E14866" s="4"/>
      <c r="F14866" s="4" t="n">
        <v>24</v>
      </c>
      <c r="G14866" s="4" t="n">
        <v>2</v>
      </c>
      <c r="H14866" s="4" t="n">
        <v>4</v>
      </c>
      <c r="I14866" s="4" t="str">
        <v>×</v>
      </c>
      <c r="J14866" s="4"/>
      <c r="K14866" s="4"/>
      <c r="L14866" s="4"/>
      <c r="M14866" s="7" t="s">
        <v>6871</v>
      </c>
    </row>
    <row r="14867" customFormat="false" ht="15.75" hidden="false" customHeight="false" outlineLevel="0" collapsed="false">
      <c r="A14867" s="6" t="n">
        <f aca="false">DATE(2026,8,9)</f>
        <v>46243</v>
      </c>
      <c r="B14867" s="4" t="s">
        <v>334</v>
      </c>
      <c r="C14867" s="4" t="n">
        <v>5</v>
      </c>
      <c r="D14867" s="4" t="n">
        <v>6</v>
      </c>
      <c r="E14867" s="4"/>
      <c r="F14867" s="4" t="n">
        <v>24</v>
      </c>
      <c r="G14867" s="4" t="n">
        <v>3</v>
      </c>
      <c r="H14867" s="4" t="n">
        <v>4</v>
      </c>
      <c r="I14867" s="4" t="str">
        <v>×</v>
      </c>
      <c r="J14867" s="4"/>
      <c r="K14867" s="4"/>
      <c r="L14867" s="4"/>
      <c r="M14867" s="7" t="s">
        <v>6871</v>
      </c>
    </row>
    <row r="14868" customFormat="false" ht="15.75" hidden="false" customHeight="false" outlineLevel="0" collapsed="false">
      <c r="A14868" s="6" t="n">
        <f aca="false">DATE(2026,8,9)</f>
        <v>46243</v>
      </c>
      <c r="B14868" s="4" t="s">
        <v>334</v>
      </c>
      <c r="C14868" s="4" t="n">
        <v>5</v>
      </c>
      <c r="D14868" s="4" t="n">
        <v>13</v>
      </c>
      <c r="E14868" s="4" t="s">
        <v>6929</v>
      </c>
      <c r="F14868" s="4" t="n">
        <v>24</v>
      </c>
      <c r="G14868" s="4" t="n">
        <v>4</v>
      </c>
      <c r="H14868" s="4" t="n">
        <v>2</v>
      </c>
      <c r="I14868" s="4" t="str">
        <v>○</v>
      </c>
      <c r="J14868" s="4" t="n">
        <v>150</v>
      </c>
      <c r="K14868" s="4"/>
      <c r="L14868" s="4"/>
      <c r="M14868" s="7" t="s">
        <v>6871</v>
      </c>
    </row>
    <row r="14869" customFormat="false" ht="15.75" hidden="false" customHeight="false" outlineLevel="0" collapsed="false">
      <c r="A14869" s="6" t="n">
        <f aca="false">DATE(2026,8,9)</f>
        <v>46243</v>
      </c>
      <c r="B14869" s="4" t="s">
        <v>334</v>
      </c>
      <c r="C14869" s="4" t="n">
        <v>5</v>
      </c>
      <c r="D14869" s="4" t="n">
        <v>4</v>
      </c>
      <c r="E14869" s="4"/>
      <c r="F14869" s="4" t="n">
        <v>27</v>
      </c>
      <c r="G14869" s="4" t="n">
        <v>5</v>
      </c>
      <c r="H14869" s="4" t="n">
        <v>4</v>
      </c>
      <c r="I14869" s="4" t="str">
        <v>×</v>
      </c>
      <c r="J14869" s="4"/>
      <c r="K14869" s="4"/>
      <c r="L14869" s="4"/>
      <c r="M14869" s="7" t="s">
        <v>6871</v>
      </c>
    </row>
    <row r="14870" customFormat="false" ht="15.75" hidden="false" customHeight="false" outlineLevel="0" collapsed="false">
      <c r="A14870" s="6" t="n">
        <f aca="false">DATE(2026,8,9)</f>
        <v>46243</v>
      </c>
      <c r="B14870" s="4" t="s">
        <v>334</v>
      </c>
      <c r="C14870" s="4" t="n">
        <v>5</v>
      </c>
      <c r="D14870" s="4" t="n">
        <v>1</v>
      </c>
      <c r="E14870" s="4"/>
      <c r="F14870" s="4" t="n">
        <v>21</v>
      </c>
      <c r="G14870" s="4" t="n">
        <v>6</v>
      </c>
      <c r="H14870" s="4" t="n">
        <v>4</v>
      </c>
      <c r="I14870" s="4" t="str">
        <v>×</v>
      </c>
      <c r="J14870" s="4"/>
      <c r="K14870" s="4"/>
      <c r="L14870" s="4"/>
      <c r="M14870" s="7" t="s">
        <v>6871</v>
      </c>
    </row>
    <row r="14871" customFormat="false" ht="15.75" hidden="false" customHeight="false" outlineLevel="0" collapsed="false">
      <c r="A14871" s="6" t="n">
        <f aca="false">DATE(2026,8,9)</f>
        <v>46243</v>
      </c>
      <c r="B14871" s="4" t="s">
        <v>334</v>
      </c>
      <c r="C14871" s="4" t="n">
        <v>5</v>
      </c>
      <c r="D14871" s="4" t="n">
        <v>3</v>
      </c>
      <c r="E14871" s="4"/>
      <c r="F14871" s="4" t="n">
        <v>21</v>
      </c>
      <c r="G14871" s="4" t="n">
        <v>7</v>
      </c>
      <c r="H14871" s="4" t="n">
        <v>4</v>
      </c>
      <c r="I14871" s="4" t="str">
        <v>×</v>
      </c>
      <c r="J14871" s="4"/>
      <c r="K14871" s="4"/>
      <c r="L14871" s="4"/>
      <c r="M14871" s="7" t="s">
        <v>6871</v>
      </c>
    </row>
    <row r="14872" customFormat="false" ht="15.75" hidden="false" customHeight="false" outlineLevel="0" collapsed="false">
      <c r="A14872" s="6" t="n">
        <f aca="false">DATE(2026,8,9)</f>
        <v>46243</v>
      </c>
      <c r="B14872" s="4" t="s">
        <v>334</v>
      </c>
      <c r="C14872" s="4" t="n">
        <v>5</v>
      </c>
      <c r="D14872" s="4" t="n">
        <v>12</v>
      </c>
      <c r="E14872" s="4"/>
      <c r="F14872" s="4" t="n">
        <v>21</v>
      </c>
      <c r="G14872" s="4" t="n">
        <v>8</v>
      </c>
      <c r="H14872" s="4" t="n">
        <v>4</v>
      </c>
      <c r="I14872" s="4" t="str">
        <v>×</v>
      </c>
      <c r="J14872" s="4"/>
      <c r="K14872" s="4"/>
      <c r="L14872" s="4"/>
      <c r="M14872" s="7" t="s">
        <v>6871</v>
      </c>
    </row>
    <row r="14873" customFormat="false" ht="15.75" hidden="false" customHeight="false" outlineLevel="0" collapsed="false">
      <c r="A14873" s="6" t="n">
        <f aca="false">DATE(2026,8,9)</f>
        <v>46243</v>
      </c>
      <c r="B14873" s="4" t="s">
        <v>334</v>
      </c>
      <c r="C14873" s="4" t="n">
        <v>5</v>
      </c>
      <c r="D14873" s="4" t="n">
        <v>5</v>
      </c>
      <c r="E14873" s="4"/>
      <c r="F14873" s="4" t="n">
        <v>16</v>
      </c>
      <c r="G14873" s="4" t="n">
        <v>9</v>
      </c>
      <c r="H14873" s="4" t="n">
        <v>4</v>
      </c>
      <c r="I14873" s="4" t="str">
        <v>×</v>
      </c>
      <c r="J14873" s="4"/>
      <c r="K14873" s="4"/>
      <c r="L14873" s="4"/>
      <c r="M14873" s="7" t="s">
        <v>6871</v>
      </c>
    </row>
    <row r="14874" customFormat="false" ht="15.75" hidden="false" customHeight="false" outlineLevel="0" collapsed="false">
      <c r="A14874" s="6" t="n">
        <f aca="false">DATE(2026,8,9)</f>
        <v>46243</v>
      </c>
      <c r="B14874" s="4" t="s">
        <v>334</v>
      </c>
      <c r="C14874" s="4" t="n">
        <v>5</v>
      </c>
      <c r="D14874" s="4" t="n">
        <v>7</v>
      </c>
      <c r="E14874" s="4"/>
      <c r="F14874" s="4" t="n">
        <v>16</v>
      </c>
      <c r="G14874" s="4" t="n">
        <v>10</v>
      </c>
      <c r="H14874" s="4" t="n">
        <v>4</v>
      </c>
      <c r="I14874" s="4" t="str">
        <v>×</v>
      </c>
      <c r="J14874" s="4"/>
      <c r="K14874" s="4"/>
      <c r="L14874" s="4"/>
      <c r="M14874" s="7" t="s">
        <v>6871</v>
      </c>
    </row>
    <row r="14875" customFormat="false" ht="15.75" hidden="false" customHeight="false" outlineLevel="0" collapsed="false">
      <c r="A14875" s="6" t="n">
        <f aca="false">DATE(2026,8,9)</f>
        <v>46243</v>
      </c>
      <c r="B14875" s="4" t="s">
        <v>334</v>
      </c>
      <c r="C14875" s="4" t="n">
        <v>5</v>
      </c>
      <c r="D14875" s="4" t="n">
        <v>8</v>
      </c>
      <c r="E14875" s="4"/>
      <c r="F14875" s="4" t="n">
        <v>14</v>
      </c>
      <c r="G14875" s="4" t="n">
        <v>11</v>
      </c>
      <c r="H14875" s="4" t="n">
        <v>4</v>
      </c>
      <c r="I14875" s="4" t="str">
        <v>×</v>
      </c>
      <c r="J14875" s="4"/>
      <c r="K14875" s="4"/>
      <c r="L14875" s="4"/>
      <c r="M14875" s="7" t="s">
        <v>6871</v>
      </c>
    </row>
    <row r="14876" customFormat="false" ht="15.75" hidden="false" customHeight="false" outlineLevel="0" collapsed="false">
      <c r="A14876" s="6" t="n">
        <f aca="false">DATE(2026,8,9)</f>
        <v>46243</v>
      </c>
      <c r="B14876" s="4" t="s">
        <v>334</v>
      </c>
      <c r="C14876" s="4" t="n">
        <v>5</v>
      </c>
      <c r="D14876" s="4" t="n">
        <v>9</v>
      </c>
      <c r="E14876" s="4"/>
      <c r="F14876" s="4" t="n">
        <v>14</v>
      </c>
      <c r="G14876" s="4" t="n">
        <v>12</v>
      </c>
      <c r="H14876" s="4" t="n">
        <v>4</v>
      </c>
      <c r="I14876" s="4" t="str">
        <v>×</v>
      </c>
      <c r="J14876" s="4"/>
      <c r="K14876" s="4"/>
      <c r="L14876" s="4"/>
      <c r="M14876" s="7" t="s">
        <v>6871</v>
      </c>
    </row>
    <row r="14877" customFormat="false" ht="15.75" hidden="false" customHeight="false" outlineLevel="0" collapsed="false">
      <c r="A14877" s="6" t="n">
        <f aca="false">DATE(2026,8,9)</f>
        <v>46243</v>
      </c>
      <c r="B14877" s="4" t="s">
        <v>334</v>
      </c>
      <c r="C14877" s="4" t="n">
        <v>5</v>
      </c>
      <c r="D14877" s="4" t="n">
        <v>10</v>
      </c>
      <c r="E14877" s="4" t="s">
        <v>6930</v>
      </c>
      <c r="F14877" s="4" t="n">
        <v>14</v>
      </c>
      <c r="G14877" s="4" t="n">
        <v>13</v>
      </c>
      <c r="H14877" s="4" t="n">
        <v>3</v>
      </c>
      <c r="I14877" s="4" t="str">
        <v>○</v>
      </c>
      <c r="J14877" s="4" t="n">
        <v>400</v>
      </c>
      <c r="K14877" s="4"/>
      <c r="L14877" s="4"/>
      <c r="M14877" s="7" t="s">
        <v>6871</v>
      </c>
    </row>
    <row r="14878" customFormat="false" ht="15.75" hidden="false" customHeight="false" outlineLevel="0" collapsed="false">
      <c r="A14878" s="6" t="n">
        <f aca="false">DATE(2026,8,9)</f>
        <v>46243</v>
      </c>
      <c r="B14878" s="4" t="s">
        <v>334</v>
      </c>
      <c r="C14878" s="4" t="n">
        <v>6</v>
      </c>
      <c r="D14878" s="4" t="n">
        <v>10</v>
      </c>
      <c r="E14878" s="4" t="s">
        <v>2834</v>
      </c>
      <c r="F14878" s="4" t="n">
        <v>56</v>
      </c>
      <c r="G14878" s="4" t="n">
        <v>1</v>
      </c>
      <c r="H14878" s="4" t="n">
        <v>2</v>
      </c>
      <c r="I14878" s="4" t="str">
        <v>○</v>
      </c>
      <c r="J14878" s="4" t="n">
        <v>240</v>
      </c>
      <c r="K14878" s="4"/>
      <c r="L14878" s="4"/>
      <c r="M14878" s="7" t="s">
        <v>6871</v>
      </c>
    </row>
    <row r="14879" customFormat="false" ht="15.75" hidden="false" customHeight="false" outlineLevel="0" collapsed="false">
      <c r="A14879" s="6" t="n">
        <f aca="false">DATE(2026,8,9)</f>
        <v>46243</v>
      </c>
      <c r="B14879" s="4" t="s">
        <v>334</v>
      </c>
      <c r="C14879" s="4" t="n">
        <v>6</v>
      </c>
      <c r="D14879" s="4" t="n">
        <v>12</v>
      </c>
      <c r="E14879" s="4"/>
      <c r="F14879" s="4" t="n">
        <v>39</v>
      </c>
      <c r="G14879" s="4" t="n">
        <v>2</v>
      </c>
      <c r="H14879" s="4" t="n">
        <v>4</v>
      </c>
      <c r="I14879" s="4" t="str">
        <v>×</v>
      </c>
      <c r="J14879" s="4"/>
      <c r="K14879" s="4"/>
      <c r="L14879" s="4"/>
      <c r="M14879" s="7" t="s">
        <v>6871</v>
      </c>
    </row>
    <row r="14880" customFormat="false" ht="15.75" hidden="false" customHeight="false" outlineLevel="0" collapsed="false">
      <c r="A14880" s="6" t="n">
        <f aca="false">DATE(2026,8,9)</f>
        <v>46243</v>
      </c>
      <c r="B14880" s="4" t="s">
        <v>334</v>
      </c>
      <c r="C14880" s="4" t="n">
        <v>6</v>
      </c>
      <c r="D14880" s="4" t="n">
        <v>14</v>
      </c>
      <c r="E14880" s="4"/>
      <c r="F14880" s="4" t="n">
        <v>39</v>
      </c>
      <c r="G14880" s="4" t="n">
        <v>3</v>
      </c>
      <c r="H14880" s="4" t="n">
        <v>4</v>
      </c>
      <c r="I14880" s="4" t="str">
        <v>×</v>
      </c>
      <c r="J14880" s="4"/>
      <c r="K14880" s="4"/>
      <c r="L14880" s="4"/>
      <c r="M14880" s="7" t="s">
        <v>6871</v>
      </c>
    </row>
    <row r="14881" customFormat="false" ht="15.75" hidden="false" customHeight="false" outlineLevel="0" collapsed="false">
      <c r="A14881" s="6" t="n">
        <f aca="false">DATE(2026,8,9)</f>
        <v>46243</v>
      </c>
      <c r="B14881" s="4" t="s">
        <v>334</v>
      </c>
      <c r="C14881" s="4" t="n">
        <v>6</v>
      </c>
      <c r="D14881" s="4" t="n">
        <v>11</v>
      </c>
      <c r="E14881" s="4" t="s">
        <v>5924</v>
      </c>
      <c r="F14881" s="4" t="n">
        <v>52</v>
      </c>
      <c r="G14881" s="4" t="n">
        <v>4</v>
      </c>
      <c r="H14881" s="4" t="n">
        <v>1</v>
      </c>
      <c r="I14881" s="4" t="str">
        <v>○</v>
      </c>
      <c r="J14881" s="4" t="n">
        <v>170</v>
      </c>
      <c r="K14881" s="4"/>
      <c r="L14881" s="4"/>
      <c r="M14881" s="7" t="s">
        <v>6871</v>
      </c>
    </row>
    <row r="14882" customFormat="false" ht="15.75" hidden="false" customHeight="false" outlineLevel="0" collapsed="false">
      <c r="A14882" s="6" t="n">
        <f aca="false">DATE(2026,8,9)</f>
        <v>46243</v>
      </c>
      <c r="B14882" s="4" t="s">
        <v>334</v>
      </c>
      <c r="C14882" s="4" t="n">
        <v>6</v>
      </c>
      <c r="D14882" s="4" t="n">
        <v>5</v>
      </c>
      <c r="E14882" s="4" t="s">
        <v>3520</v>
      </c>
      <c r="F14882" s="4" t="n">
        <v>34</v>
      </c>
      <c r="G14882" s="4" t="n">
        <v>5</v>
      </c>
      <c r="H14882" s="4" t="n">
        <v>3</v>
      </c>
      <c r="I14882" s="4" t="str">
        <v>○</v>
      </c>
      <c r="J14882" s="4" t="n">
        <v>260</v>
      </c>
      <c r="K14882" s="4"/>
      <c r="L14882" s="4"/>
      <c r="M14882" s="7" t="s">
        <v>6871</v>
      </c>
    </row>
    <row r="14883" customFormat="false" ht="15.75" hidden="false" customHeight="false" outlineLevel="0" collapsed="false">
      <c r="A14883" s="6" t="n">
        <f aca="false">DATE(2026,8,9)</f>
        <v>46243</v>
      </c>
      <c r="B14883" s="4" t="s">
        <v>334</v>
      </c>
      <c r="C14883" s="4" t="n">
        <v>6</v>
      </c>
      <c r="D14883" s="4" t="n">
        <v>9</v>
      </c>
      <c r="E14883" s="4"/>
      <c r="F14883" s="4" t="n">
        <v>34</v>
      </c>
      <c r="G14883" s="4" t="n">
        <v>6</v>
      </c>
      <c r="H14883" s="4" t="n">
        <v>4</v>
      </c>
      <c r="I14883" s="4" t="str">
        <v>×</v>
      </c>
      <c r="J14883" s="4"/>
      <c r="K14883" s="4"/>
      <c r="L14883" s="4"/>
      <c r="M14883" s="7" t="s">
        <v>6871</v>
      </c>
    </row>
    <row r="14884" customFormat="false" ht="15.75" hidden="false" customHeight="false" outlineLevel="0" collapsed="false">
      <c r="A14884" s="6" t="n">
        <f aca="false">DATE(2026,8,9)</f>
        <v>46243</v>
      </c>
      <c r="B14884" s="4" t="s">
        <v>334</v>
      </c>
      <c r="C14884" s="4" t="n">
        <v>6</v>
      </c>
      <c r="D14884" s="4" t="n">
        <v>7</v>
      </c>
      <c r="E14884" s="4"/>
      <c r="F14884" s="4" t="n">
        <v>29</v>
      </c>
      <c r="G14884" s="4" t="n">
        <v>7</v>
      </c>
      <c r="H14884" s="4" t="n">
        <v>4</v>
      </c>
      <c r="I14884" s="4" t="str">
        <v>×</v>
      </c>
      <c r="J14884" s="4"/>
      <c r="K14884" s="4"/>
      <c r="L14884" s="4"/>
      <c r="M14884" s="7" t="s">
        <v>6871</v>
      </c>
    </row>
    <row r="14885" customFormat="false" ht="15.75" hidden="false" customHeight="false" outlineLevel="0" collapsed="false">
      <c r="A14885" s="6" t="n">
        <f aca="false">DATE(2026,8,9)</f>
        <v>46243</v>
      </c>
      <c r="B14885" s="4" t="s">
        <v>334</v>
      </c>
      <c r="C14885" s="4" t="n">
        <v>6</v>
      </c>
      <c r="D14885" s="4" t="n">
        <v>13</v>
      </c>
      <c r="E14885" s="4"/>
      <c r="F14885" s="4" t="n">
        <v>25</v>
      </c>
      <c r="G14885" s="4" t="n">
        <v>8</v>
      </c>
      <c r="H14885" s="4" t="n">
        <v>4</v>
      </c>
      <c r="I14885" s="4" t="str">
        <v>×</v>
      </c>
      <c r="J14885" s="4"/>
      <c r="K14885" s="4"/>
      <c r="L14885" s="4"/>
      <c r="M14885" s="7" t="s">
        <v>6871</v>
      </c>
    </row>
    <row r="14886" customFormat="false" ht="15.75" hidden="false" customHeight="false" outlineLevel="0" collapsed="false">
      <c r="A14886" s="6" t="n">
        <f aca="false">DATE(2026,8,9)</f>
        <v>46243</v>
      </c>
      <c r="B14886" s="4" t="s">
        <v>334</v>
      </c>
      <c r="C14886" s="4" t="n">
        <v>6</v>
      </c>
      <c r="D14886" s="4" t="n">
        <v>1</v>
      </c>
      <c r="E14886" s="4"/>
      <c r="F14886" s="4" t="n">
        <v>23</v>
      </c>
      <c r="G14886" s="4" t="n">
        <v>9</v>
      </c>
      <c r="H14886" s="4" t="n">
        <v>4</v>
      </c>
      <c r="I14886" s="4" t="str">
        <v>×</v>
      </c>
      <c r="J14886" s="4"/>
      <c r="K14886" s="4"/>
      <c r="L14886" s="4"/>
      <c r="M14886" s="7" t="s">
        <v>6871</v>
      </c>
    </row>
    <row r="14887" customFormat="false" ht="15.75" hidden="false" customHeight="false" outlineLevel="0" collapsed="false">
      <c r="A14887" s="6" t="n">
        <f aca="false">DATE(2026,8,9)</f>
        <v>46243</v>
      </c>
      <c r="B14887" s="4" t="s">
        <v>334</v>
      </c>
      <c r="C14887" s="4" t="n">
        <v>6</v>
      </c>
      <c r="D14887" s="4" t="n">
        <v>2</v>
      </c>
      <c r="E14887" s="4"/>
      <c r="F14887" s="4" t="n">
        <v>13</v>
      </c>
      <c r="G14887" s="4" t="n">
        <v>10</v>
      </c>
      <c r="H14887" s="4" t="n">
        <v>4</v>
      </c>
      <c r="I14887" s="4" t="str">
        <v>×</v>
      </c>
      <c r="J14887" s="4"/>
      <c r="K14887" s="4"/>
      <c r="L14887" s="4"/>
      <c r="M14887" s="7" t="s">
        <v>6871</v>
      </c>
    </row>
    <row r="14888" customFormat="false" ht="15.75" hidden="false" customHeight="false" outlineLevel="0" collapsed="false">
      <c r="A14888" s="6" t="n">
        <f aca="false">DATE(2026,8,9)</f>
        <v>46243</v>
      </c>
      <c r="B14888" s="4" t="s">
        <v>334</v>
      </c>
      <c r="C14888" s="4" t="n">
        <v>6</v>
      </c>
      <c r="D14888" s="4" t="n">
        <v>4</v>
      </c>
      <c r="E14888" s="4"/>
      <c r="F14888" s="4" t="n">
        <v>13</v>
      </c>
      <c r="G14888" s="4" t="n">
        <v>11</v>
      </c>
      <c r="H14888" s="4" t="n">
        <v>4</v>
      </c>
      <c r="I14888" s="4" t="str">
        <v>×</v>
      </c>
      <c r="J14888" s="4"/>
      <c r="K14888" s="4"/>
      <c r="L14888" s="4"/>
      <c r="M14888" s="7" t="s">
        <v>6871</v>
      </c>
    </row>
    <row r="14889" customFormat="false" ht="15.75" hidden="false" customHeight="false" outlineLevel="0" collapsed="false">
      <c r="A14889" s="6" t="n">
        <f aca="false">DATE(2026,8,9)</f>
        <v>46243</v>
      </c>
      <c r="B14889" s="4" t="s">
        <v>334</v>
      </c>
      <c r="C14889" s="4" t="n">
        <v>6</v>
      </c>
      <c r="D14889" s="4" t="n">
        <v>3</v>
      </c>
      <c r="E14889" s="4"/>
      <c r="F14889" s="4" t="n">
        <v>6</v>
      </c>
      <c r="G14889" s="4" t="n">
        <v>12</v>
      </c>
      <c r="H14889" s="4" t="n">
        <v>4</v>
      </c>
      <c r="I14889" s="4" t="str">
        <v>×</v>
      </c>
      <c r="J14889" s="4"/>
      <c r="K14889" s="4"/>
      <c r="L14889" s="4"/>
      <c r="M14889" s="7" t="s">
        <v>6871</v>
      </c>
    </row>
    <row r="14890" customFormat="false" ht="15.75" hidden="false" customHeight="false" outlineLevel="0" collapsed="false">
      <c r="A14890" s="6" t="n">
        <f aca="false">DATE(2026,8,9)</f>
        <v>46243</v>
      </c>
      <c r="B14890" s="4" t="s">
        <v>334</v>
      </c>
      <c r="C14890" s="4" t="n">
        <v>6</v>
      </c>
      <c r="D14890" s="4" t="n">
        <v>6</v>
      </c>
      <c r="E14890" s="4"/>
      <c r="F14890" s="4" t="n">
        <v>6</v>
      </c>
      <c r="G14890" s="4" t="n">
        <v>13</v>
      </c>
      <c r="H14890" s="4" t="n">
        <v>4</v>
      </c>
      <c r="I14890" s="4" t="str">
        <v>×</v>
      </c>
      <c r="J14890" s="4"/>
      <c r="K14890" s="4"/>
      <c r="L14890" s="4"/>
      <c r="M14890" s="7" t="s">
        <v>6871</v>
      </c>
    </row>
    <row r="14891" customFormat="false" ht="15.75" hidden="false" customHeight="false" outlineLevel="0" collapsed="false">
      <c r="A14891" s="6" t="n">
        <f aca="false">DATE(2026,8,9)</f>
        <v>46243</v>
      </c>
      <c r="B14891" s="4" t="s">
        <v>334</v>
      </c>
      <c r="C14891" s="4" t="n">
        <v>6</v>
      </c>
      <c r="D14891" s="4" t="n">
        <v>8</v>
      </c>
      <c r="E14891" s="4"/>
      <c r="F14891" s="4" t="n">
        <v>3</v>
      </c>
      <c r="G14891" s="4" t="n">
        <v>14</v>
      </c>
      <c r="H14891" s="4" t="n">
        <v>4</v>
      </c>
      <c r="I14891" s="4" t="str">
        <v>×</v>
      </c>
      <c r="J14891" s="4"/>
      <c r="K14891" s="4"/>
      <c r="L14891" s="4"/>
      <c r="M14891" s="7" t="s">
        <v>6871</v>
      </c>
    </row>
    <row r="14892" customFormat="false" ht="15.75" hidden="false" customHeight="false" outlineLevel="0" collapsed="false">
      <c r="A14892" s="6" t="n">
        <f aca="false">DATE(2026,8,9)</f>
        <v>46243</v>
      </c>
      <c r="B14892" s="4" t="s">
        <v>334</v>
      </c>
      <c r="C14892" s="4" t="n">
        <v>7</v>
      </c>
      <c r="D14892" s="4" t="n">
        <v>4</v>
      </c>
      <c r="E14892" s="4" t="s">
        <v>1300</v>
      </c>
      <c r="F14892" s="4" t="n">
        <v>71</v>
      </c>
      <c r="G14892" s="4" t="n">
        <v>1</v>
      </c>
      <c r="H14892" s="4" t="n">
        <v>1</v>
      </c>
      <c r="I14892" s="4" t="str">
        <v>○</v>
      </c>
      <c r="J14892" s="4" t="n">
        <v>110</v>
      </c>
      <c r="K14892" s="4"/>
      <c r="L14892" s="4"/>
      <c r="M14892" s="7" t="s">
        <v>6871</v>
      </c>
    </row>
    <row r="14893" customFormat="false" ht="15.75" hidden="false" customHeight="false" outlineLevel="0" collapsed="false">
      <c r="A14893" s="6" t="n">
        <f aca="false">DATE(2026,8,9)</f>
        <v>46243</v>
      </c>
      <c r="B14893" s="4" t="s">
        <v>334</v>
      </c>
      <c r="C14893" s="4" t="n">
        <v>7</v>
      </c>
      <c r="D14893" s="4" t="n">
        <v>3</v>
      </c>
      <c r="E14893" s="4" t="s">
        <v>5093</v>
      </c>
      <c r="F14893" s="4" t="n">
        <v>39</v>
      </c>
      <c r="G14893" s="4" t="n">
        <v>2</v>
      </c>
      <c r="H14893" s="4" t="n">
        <v>2</v>
      </c>
      <c r="I14893" s="4" t="str">
        <v>○</v>
      </c>
      <c r="J14893" s="4" t="n">
        <v>140</v>
      </c>
      <c r="K14893" s="4"/>
      <c r="L14893" s="4"/>
      <c r="M14893" s="7" t="s">
        <v>6871</v>
      </c>
    </row>
    <row r="14894" customFormat="false" ht="15.75" hidden="false" customHeight="false" outlineLevel="0" collapsed="false">
      <c r="A14894" s="6" t="n">
        <f aca="false">DATE(2026,8,9)</f>
        <v>46243</v>
      </c>
      <c r="B14894" s="4" t="s">
        <v>334</v>
      </c>
      <c r="C14894" s="4" t="n">
        <v>7</v>
      </c>
      <c r="D14894" s="4" t="n">
        <v>7</v>
      </c>
      <c r="E14894" s="4" t="s">
        <v>2930</v>
      </c>
      <c r="F14894" s="4" t="n">
        <v>39</v>
      </c>
      <c r="G14894" s="4" t="n">
        <v>3</v>
      </c>
      <c r="H14894" s="4" t="n">
        <v>3</v>
      </c>
      <c r="I14894" s="4" t="str">
        <v>○</v>
      </c>
      <c r="J14894" s="4" t="n">
        <v>180</v>
      </c>
      <c r="K14894" s="4"/>
      <c r="L14894" s="4"/>
      <c r="M14894" s="7" t="s">
        <v>6871</v>
      </c>
    </row>
    <row r="14895" customFormat="false" ht="15.75" hidden="false" customHeight="false" outlineLevel="0" collapsed="false">
      <c r="A14895" s="6" t="n">
        <f aca="false">DATE(2026,8,9)</f>
        <v>46243</v>
      </c>
      <c r="B14895" s="4" t="s">
        <v>334</v>
      </c>
      <c r="C14895" s="4" t="n">
        <v>7</v>
      </c>
      <c r="D14895" s="4" t="n">
        <v>14</v>
      </c>
      <c r="E14895" s="4"/>
      <c r="F14895" s="4" t="n">
        <v>31</v>
      </c>
      <c r="G14895" s="4" t="n">
        <v>4</v>
      </c>
      <c r="H14895" s="4" t="n">
        <v>4</v>
      </c>
      <c r="I14895" s="4" t="str">
        <v>×</v>
      </c>
      <c r="J14895" s="4"/>
      <c r="K14895" s="4"/>
      <c r="L14895" s="4"/>
      <c r="M14895" s="7" t="s">
        <v>6871</v>
      </c>
    </row>
    <row r="14896" customFormat="false" ht="15.75" hidden="false" customHeight="false" outlineLevel="0" collapsed="false">
      <c r="A14896" s="6" t="n">
        <f aca="false">DATE(2026,8,9)</f>
        <v>46243</v>
      </c>
      <c r="B14896" s="4" t="s">
        <v>334</v>
      </c>
      <c r="C14896" s="4" t="n">
        <v>7</v>
      </c>
      <c r="D14896" s="4" t="n">
        <v>12</v>
      </c>
      <c r="E14896" s="4"/>
      <c r="F14896" s="4" t="n">
        <v>29</v>
      </c>
      <c r="G14896" s="4" t="n">
        <v>5</v>
      </c>
      <c r="H14896" s="4" t="n">
        <v>4</v>
      </c>
      <c r="I14896" s="4" t="str">
        <v>×</v>
      </c>
      <c r="J14896" s="4"/>
      <c r="K14896" s="4"/>
      <c r="L14896" s="4"/>
      <c r="M14896" s="7" t="s">
        <v>6871</v>
      </c>
    </row>
    <row r="14897" customFormat="false" ht="15.75" hidden="false" customHeight="false" outlineLevel="0" collapsed="false">
      <c r="A14897" s="6" t="n">
        <f aca="false">DATE(2026,8,9)</f>
        <v>46243</v>
      </c>
      <c r="B14897" s="4" t="s">
        <v>334</v>
      </c>
      <c r="C14897" s="4" t="n">
        <v>7</v>
      </c>
      <c r="D14897" s="4" t="n">
        <v>5</v>
      </c>
      <c r="E14897" s="4"/>
      <c r="F14897" s="4" t="n">
        <v>17</v>
      </c>
      <c r="G14897" s="4" t="n">
        <v>6</v>
      </c>
      <c r="H14897" s="4" t="n">
        <v>4</v>
      </c>
      <c r="I14897" s="4" t="str">
        <v>×</v>
      </c>
      <c r="J14897" s="4"/>
      <c r="K14897" s="4"/>
      <c r="L14897" s="4"/>
      <c r="M14897" s="7" t="s">
        <v>6871</v>
      </c>
    </row>
    <row r="14898" customFormat="false" ht="15.75" hidden="false" customHeight="false" outlineLevel="0" collapsed="false">
      <c r="A14898" s="6" t="n">
        <f aca="false">DATE(2026,8,9)</f>
        <v>46243</v>
      </c>
      <c r="B14898" s="4" t="s">
        <v>334</v>
      </c>
      <c r="C14898" s="4" t="n">
        <v>7</v>
      </c>
      <c r="D14898" s="4" t="n">
        <v>16</v>
      </c>
      <c r="E14898" s="4"/>
      <c r="F14898" s="4" t="n">
        <v>17</v>
      </c>
      <c r="G14898" s="4" t="n">
        <v>7</v>
      </c>
      <c r="H14898" s="4" t="n">
        <v>4</v>
      </c>
      <c r="I14898" s="4" t="str">
        <v>×</v>
      </c>
      <c r="J14898" s="4"/>
      <c r="K14898" s="4"/>
      <c r="L14898" s="4"/>
      <c r="M14898" s="7" t="s">
        <v>6871</v>
      </c>
    </row>
    <row r="14899" customFormat="false" ht="15.75" hidden="false" customHeight="false" outlineLevel="0" collapsed="false">
      <c r="A14899" s="6" t="n">
        <f aca="false">DATE(2026,8,9)</f>
        <v>46243</v>
      </c>
      <c r="B14899" s="4" t="s">
        <v>334</v>
      </c>
      <c r="C14899" s="4" t="n">
        <v>7</v>
      </c>
      <c r="D14899" s="4" t="n">
        <v>8</v>
      </c>
      <c r="E14899" s="4"/>
      <c r="F14899" s="4" t="n">
        <v>15</v>
      </c>
      <c r="G14899" s="4" t="n">
        <v>8</v>
      </c>
      <c r="H14899" s="4" t="n">
        <v>4</v>
      </c>
      <c r="I14899" s="4" t="str">
        <v>×</v>
      </c>
      <c r="J14899" s="4"/>
      <c r="K14899" s="4"/>
      <c r="L14899" s="4"/>
      <c r="M14899" s="7" t="s">
        <v>6871</v>
      </c>
    </row>
    <row r="14900" customFormat="false" ht="15.75" hidden="false" customHeight="false" outlineLevel="0" collapsed="false">
      <c r="A14900" s="6" t="n">
        <f aca="false">DATE(2026,8,9)</f>
        <v>46243</v>
      </c>
      <c r="B14900" s="4" t="s">
        <v>334</v>
      </c>
      <c r="C14900" s="4" t="n">
        <v>7</v>
      </c>
      <c r="D14900" s="4" t="n">
        <v>2</v>
      </c>
      <c r="E14900" s="4"/>
      <c r="F14900" s="4" t="n">
        <v>13</v>
      </c>
      <c r="G14900" s="4" t="n">
        <v>9</v>
      </c>
      <c r="H14900" s="4" t="n">
        <v>4</v>
      </c>
      <c r="I14900" s="4" t="str">
        <v>×</v>
      </c>
      <c r="J14900" s="4"/>
      <c r="K14900" s="4"/>
      <c r="L14900" s="4"/>
      <c r="M14900" s="7" t="s">
        <v>6871</v>
      </c>
    </row>
    <row r="14901" customFormat="false" ht="15.75" hidden="false" customHeight="false" outlineLevel="0" collapsed="false">
      <c r="A14901" s="6" t="n">
        <f aca="false">DATE(2026,8,9)</f>
        <v>46243</v>
      </c>
      <c r="B14901" s="4" t="s">
        <v>334</v>
      </c>
      <c r="C14901" s="4" t="n">
        <v>7</v>
      </c>
      <c r="D14901" s="4" t="n">
        <v>10</v>
      </c>
      <c r="E14901" s="4"/>
      <c r="F14901" s="4" t="n">
        <v>13</v>
      </c>
      <c r="G14901" s="4" t="n">
        <v>10</v>
      </c>
      <c r="H14901" s="4" t="n">
        <v>4</v>
      </c>
      <c r="I14901" s="4" t="str">
        <v>×</v>
      </c>
      <c r="J14901" s="4"/>
      <c r="K14901" s="4"/>
      <c r="L14901" s="4"/>
      <c r="M14901" s="7" t="s">
        <v>6871</v>
      </c>
    </row>
    <row r="14902" customFormat="false" ht="15.75" hidden="false" customHeight="false" outlineLevel="0" collapsed="false">
      <c r="A14902" s="6" t="n">
        <f aca="false">DATE(2026,8,9)</f>
        <v>46243</v>
      </c>
      <c r="B14902" s="4" t="s">
        <v>334</v>
      </c>
      <c r="C14902" s="4" t="n">
        <v>7</v>
      </c>
      <c r="D14902" s="4" t="n">
        <v>1</v>
      </c>
      <c r="E14902" s="4"/>
      <c r="F14902" s="4" t="n">
        <v>10</v>
      </c>
      <c r="G14902" s="4" t="n">
        <v>11</v>
      </c>
      <c r="H14902" s="4" t="n">
        <v>4</v>
      </c>
      <c r="I14902" s="4" t="str">
        <v>×</v>
      </c>
      <c r="J14902" s="4"/>
      <c r="K14902" s="4"/>
      <c r="L14902" s="4"/>
      <c r="M14902" s="7" t="s">
        <v>6871</v>
      </c>
    </row>
    <row r="14903" customFormat="false" ht="15.75" hidden="false" customHeight="false" outlineLevel="0" collapsed="false">
      <c r="A14903" s="6" t="n">
        <f aca="false">DATE(2026,8,9)</f>
        <v>46243</v>
      </c>
      <c r="B14903" s="4" t="s">
        <v>334</v>
      </c>
      <c r="C14903" s="4" t="n">
        <v>7</v>
      </c>
      <c r="D14903" s="4" t="n">
        <v>9</v>
      </c>
      <c r="E14903" s="4"/>
      <c r="F14903" s="4" t="n">
        <v>10</v>
      </c>
      <c r="G14903" s="4" t="n">
        <v>12</v>
      </c>
      <c r="H14903" s="4" t="n">
        <v>4</v>
      </c>
      <c r="I14903" s="4" t="str">
        <v>×</v>
      </c>
      <c r="J14903" s="4"/>
      <c r="K14903" s="4"/>
      <c r="L14903" s="4"/>
      <c r="M14903" s="7" t="s">
        <v>6871</v>
      </c>
    </row>
    <row r="14904" customFormat="false" ht="15.75" hidden="false" customHeight="false" outlineLevel="0" collapsed="false">
      <c r="A14904" s="6" t="n">
        <f aca="false">DATE(2026,8,9)</f>
        <v>46243</v>
      </c>
      <c r="B14904" s="4" t="s">
        <v>334</v>
      </c>
      <c r="C14904" s="4" t="n">
        <v>7</v>
      </c>
      <c r="D14904" s="4" t="n">
        <v>11</v>
      </c>
      <c r="E14904" s="4"/>
      <c r="F14904" s="4" t="n">
        <v>10</v>
      </c>
      <c r="G14904" s="4" t="n">
        <v>13</v>
      </c>
      <c r="H14904" s="4" t="n">
        <v>4</v>
      </c>
      <c r="I14904" s="4" t="str">
        <v>×</v>
      </c>
      <c r="J14904" s="4"/>
      <c r="K14904" s="4"/>
      <c r="L14904" s="4"/>
      <c r="M14904" s="7" t="s">
        <v>6871</v>
      </c>
    </row>
    <row r="14905" customFormat="false" ht="15.75" hidden="false" customHeight="false" outlineLevel="0" collapsed="false">
      <c r="A14905" s="6" t="n">
        <f aca="false">DATE(2026,8,9)</f>
        <v>46243</v>
      </c>
      <c r="B14905" s="4" t="s">
        <v>334</v>
      </c>
      <c r="C14905" s="4" t="n">
        <v>7</v>
      </c>
      <c r="D14905" s="4" t="n">
        <v>6</v>
      </c>
      <c r="E14905" s="4"/>
      <c r="F14905" s="4" t="n">
        <v>8</v>
      </c>
      <c r="G14905" s="4" t="n">
        <v>14</v>
      </c>
      <c r="H14905" s="4" t="n">
        <v>4</v>
      </c>
      <c r="I14905" s="4" t="str">
        <v>×</v>
      </c>
      <c r="J14905" s="4"/>
      <c r="K14905" s="4"/>
      <c r="L14905" s="4"/>
      <c r="M14905" s="7" t="s">
        <v>6871</v>
      </c>
    </row>
    <row r="14906" customFormat="false" ht="15.75" hidden="false" customHeight="false" outlineLevel="0" collapsed="false">
      <c r="A14906" s="6" t="n">
        <f aca="false">DATE(2026,8,9)</f>
        <v>46243</v>
      </c>
      <c r="B14906" s="4" t="s">
        <v>334</v>
      </c>
      <c r="C14906" s="4" t="n">
        <v>7</v>
      </c>
      <c r="D14906" s="4" t="n">
        <v>13</v>
      </c>
      <c r="E14906" s="4"/>
      <c r="F14906" s="4" t="n">
        <v>3</v>
      </c>
      <c r="G14906" s="4" t="n">
        <v>15</v>
      </c>
      <c r="H14906" s="4" t="n">
        <v>4</v>
      </c>
      <c r="I14906" s="4" t="str">
        <v>×</v>
      </c>
      <c r="J14906" s="4"/>
      <c r="K14906" s="4"/>
      <c r="L14906" s="4"/>
      <c r="M14906" s="7" t="s">
        <v>6871</v>
      </c>
    </row>
    <row r="14907" customFormat="false" ht="15.75" hidden="false" customHeight="false" outlineLevel="0" collapsed="false">
      <c r="A14907" s="6" t="n">
        <f aca="false">DATE(2026,8,9)</f>
        <v>46243</v>
      </c>
      <c r="B14907" s="4" t="s">
        <v>334</v>
      </c>
      <c r="C14907" s="4" t="n">
        <v>7</v>
      </c>
      <c r="D14907" s="4" t="n">
        <v>15</v>
      </c>
      <c r="E14907" s="4"/>
      <c r="F14907" s="4" t="n">
        <v>3</v>
      </c>
      <c r="G14907" s="4" t="n">
        <v>16</v>
      </c>
      <c r="H14907" s="4" t="n">
        <v>4</v>
      </c>
      <c r="I14907" s="4" t="str">
        <v>×</v>
      </c>
      <c r="J14907" s="4"/>
      <c r="K14907" s="4"/>
      <c r="L14907" s="4"/>
      <c r="M14907" s="7" t="s">
        <v>6871</v>
      </c>
    </row>
    <row r="14908" customFormat="false" ht="15.75" hidden="false" customHeight="false" outlineLevel="0" collapsed="false">
      <c r="A14908" s="6" t="n">
        <f aca="false">DATE(2026,8,9)</f>
        <v>46243</v>
      </c>
      <c r="B14908" s="4" t="s">
        <v>334</v>
      </c>
      <c r="C14908" s="4" t="n">
        <v>8</v>
      </c>
      <c r="D14908" s="4" t="n">
        <v>12</v>
      </c>
      <c r="E14908" s="4" t="s">
        <v>5793</v>
      </c>
      <c r="F14908" s="4" t="n">
        <v>62</v>
      </c>
      <c r="G14908" s="4" t="n">
        <v>1</v>
      </c>
      <c r="H14908" s="4" t="n">
        <v>1</v>
      </c>
      <c r="I14908" s="4" t="str">
        <v>○</v>
      </c>
      <c r="J14908" s="4" t="n">
        <v>150</v>
      </c>
      <c r="K14908" s="4"/>
      <c r="L14908" s="4"/>
      <c r="M14908" s="7" t="s">
        <v>6871</v>
      </c>
    </row>
    <row r="14909" customFormat="false" ht="15.75" hidden="false" customHeight="false" outlineLevel="0" collapsed="false">
      <c r="A14909" s="6" t="n">
        <f aca="false">DATE(2026,8,9)</f>
        <v>46243</v>
      </c>
      <c r="B14909" s="4" t="s">
        <v>334</v>
      </c>
      <c r="C14909" s="4" t="n">
        <v>8</v>
      </c>
      <c r="D14909" s="4" t="n">
        <v>6</v>
      </c>
      <c r="E14909" s="4"/>
      <c r="F14909" s="4" t="n">
        <v>56</v>
      </c>
      <c r="G14909" s="4" t="n">
        <v>2</v>
      </c>
      <c r="H14909" s="4" t="n">
        <v>4</v>
      </c>
      <c r="I14909" s="4" t="str">
        <v>×</v>
      </c>
      <c r="J14909" s="4"/>
      <c r="K14909" s="4"/>
      <c r="L14909" s="4"/>
      <c r="M14909" s="7" t="s">
        <v>6871</v>
      </c>
    </row>
    <row r="14910" customFormat="false" ht="15.75" hidden="false" customHeight="false" outlineLevel="0" collapsed="false">
      <c r="A14910" s="6" t="n">
        <f aca="false">DATE(2026,8,9)</f>
        <v>46243</v>
      </c>
      <c r="B14910" s="4" t="s">
        <v>334</v>
      </c>
      <c r="C14910" s="4" t="n">
        <v>8</v>
      </c>
      <c r="D14910" s="4" t="n">
        <v>8</v>
      </c>
      <c r="E14910" s="4" t="s">
        <v>2234</v>
      </c>
      <c r="F14910" s="4" t="n">
        <v>56</v>
      </c>
      <c r="G14910" s="4" t="n">
        <v>3</v>
      </c>
      <c r="H14910" s="4" t="n">
        <v>3</v>
      </c>
      <c r="I14910" s="4" t="str">
        <v>○</v>
      </c>
      <c r="J14910" s="4" t="n">
        <v>210</v>
      </c>
      <c r="K14910" s="4"/>
      <c r="L14910" s="4"/>
      <c r="M14910" s="7" t="s">
        <v>6871</v>
      </c>
    </row>
    <row r="14911" customFormat="false" ht="15.75" hidden="false" customHeight="false" outlineLevel="0" collapsed="false">
      <c r="A14911" s="6" t="n">
        <f aca="false">DATE(2026,8,9)</f>
        <v>46243</v>
      </c>
      <c r="B14911" s="4" t="s">
        <v>334</v>
      </c>
      <c r="C14911" s="4" t="n">
        <v>8</v>
      </c>
      <c r="D14911" s="4" t="n">
        <v>10</v>
      </c>
      <c r="E14911" s="4"/>
      <c r="F14911" s="4" t="n">
        <v>37</v>
      </c>
      <c r="G14911" s="4" t="n">
        <v>4</v>
      </c>
      <c r="H14911" s="4" t="n">
        <v>4</v>
      </c>
      <c r="I14911" s="4" t="str">
        <v>×</v>
      </c>
      <c r="J14911" s="4"/>
      <c r="K14911" s="4"/>
      <c r="L14911" s="4"/>
      <c r="M14911" s="7" t="s">
        <v>6871</v>
      </c>
    </row>
    <row r="14912" customFormat="false" ht="15.75" hidden="false" customHeight="false" outlineLevel="0" collapsed="false">
      <c r="A14912" s="6" t="n">
        <f aca="false">DATE(2026,8,9)</f>
        <v>46243</v>
      </c>
      <c r="B14912" s="4" t="s">
        <v>334</v>
      </c>
      <c r="C14912" s="4" t="n">
        <v>8</v>
      </c>
      <c r="D14912" s="4" t="n">
        <v>7</v>
      </c>
      <c r="E14912" s="4"/>
      <c r="F14912" s="4" t="n">
        <v>31</v>
      </c>
      <c r="G14912" s="4" t="n">
        <v>5</v>
      </c>
      <c r="H14912" s="4" t="n">
        <v>4</v>
      </c>
      <c r="I14912" s="4" t="str">
        <v>×</v>
      </c>
      <c r="J14912" s="4"/>
      <c r="K14912" s="4"/>
      <c r="L14912" s="4"/>
      <c r="M14912" s="7" t="s">
        <v>6871</v>
      </c>
    </row>
    <row r="14913" customFormat="false" ht="15.75" hidden="false" customHeight="false" outlineLevel="0" collapsed="false">
      <c r="A14913" s="6" t="n">
        <f aca="false">DATE(2026,8,9)</f>
        <v>46243</v>
      </c>
      <c r="B14913" s="4" t="s">
        <v>334</v>
      </c>
      <c r="C14913" s="4" t="n">
        <v>8</v>
      </c>
      <c r="D14913" s="4" t="n">
        <v>5</v>
      </c>
      <c r="E14913" s="4" t="s">
        <v>3854</v>
      </c>
      <c r="F14913" s="4" t="n">
        <v>29</v>
      </c>
      <c r="G14913" s="4" t="n">
        <v>6</v>
      </c>
      <c r="H14913" s="4" t="n">
        <v>2</v>
      </c>
      <c r="I14913" s="4" t="str">
        <v>○</v>
      </c>
      <c r="J14913" s="4" t="n">
        <v>200</v>
      </c>
      <c r="K14913" s="4"/>
      <c r="L14913" s="4"/>
      <c r="M14913" s="7" t="s">
        <v>6871</v>
      </c>
    </row>
    <row r="14914" customFormat="false" ht="15.75" hidden="false" customHeight="false" outlineLevel="0" collapsed="false">
      <c r="A14914" s="6" t="n">
        <f aca="false">DATE(2026,8,9)</f>
        <v>46243</v>
      </c>
      <c r="B14914" s="4" t="s">
        <v>334</v>
      </c>
      <c r="C14914" s="4" t="n">
        <v>8</v>
      </c>
      <c r="D14914" s="4" t="n">
        <v>1</v>
      </c>
      <c r="E14914" s="4"/>
      <c r="F14914" s="4" t="n">
        <v>17</v>
      </c>
      <c r="G14914" s="4" t="n">
        <v>7</v>
      </c>
      <c r="H14914" s="4" t="n">
        <v>4</v>
      </c>
      <c r="I14914" s="4" t="str">
        <v>×</v>
      </c>
      <c r="J14914" s="4"/>
      <c r="K14914" s="4"/>
      <c r="L14914" s="4"/>
      <c r="M14914" s="7" t="s">
        <v>6871</v>
      </c>
    </row>
    <row r="14915" customFormat="false" ht="15.75" hidden="false" customHeight="false" outlineLevel="0" collapsed="false">
      <c r="A14915" s="6" t="n">
        <f aca="false">DATE(2026,8,9)</f>
        <v>46243</v>
      </c>
      <c r="B14915" s="4" t="s">
        <v>334</v>
      </c>
      <c r="C14915" s="4" t="n">
        <v>8</v>
      </c>
      <c r="D14915" s="4" t="n">
        <v>2</v>
      </c>
      <c r="E14915" s="4"/>
      <c r="F14915" s="4" t="n">
        <v>17</v>
      </c>
      <c r="G14915" s="4" t="n">
        <v>8</v>
      </c>
      <c r="H14915" s="4" t="n">
        <v>4</v>
      </c>
      <c r="I14915" s="4" t="str">
        <v>×</v>
      </c>
      <c r="J14915" s="4"/>
      <c r="K14915" s="4"/>
      <c r="L14915" s="4"/>
      <c r="M14915" s="7" t="s">
        <v>6871</v>
      </c>
    </row>
    <row r="14916" customFormat="false" ht="15.75" hidden="false" customHeight="false" outlineLevel="0" collapsed="false">
      <c r="A14916" s="6" t="n">
        <f aca="false">DATE(2026,8,9)</f>
        <v>46243</v>
      </c>
      <c r="B14916" s="4" t="s">
        <v>334</v>
      </c>
      <c r="C14916" s="4" t="n">
        <v>8</v>
      </c>
      <c r="D14916" s="4" t="n">
        <v>11</v>
      </c>
      <c r="E14916" s="4"/>
      <c r="F14916" s="4" t="n">
        <v>15</v>
      </c>
      <c r="G14916" s="4" t="n">
        <v>9</v>
      </c>
      <c r="H14916" s="4" t="n">
        <v>4</v>
      </c>
      <c r="I14916" s="4" t="str">
        <v>×</v>
      </c>
      <c r="J14916" s="4"/>
      <c r="K14916" s="4"/>
      <c r="L14916" s="4"/>
      <c r="M14916" s="7" t="s">
        <v>6871</v>
      </c>
    </row>
    <row r="14917" customFormat="false" ht="15.75" hidden="false" customHeight="false" outlineLevel="0" collapsed="false">
      <c r="A14917" s="6" t="n">
        <f aca="false">DATE(2026,8,9)</f>
        <v>46243</v>
      </c>
      <c r="B14917" s="4" t="s">
        <v>334</v>
      </c>
      <c r="C14917" s="4" t="n">
        <v>8</v>
      </c>
      <c r="D14917" s="4" t="n">
        <v>9</v>
      </c>
      <c r="E14917" s="4"/>
      <c r="F14917" s="4" t="n">
        <v>10</v>
      </c>
      <c r="G14917" s="4" t="n">
        <v>10</v>
      </c>
      <c r="H14917" s="4" t="n">
        <v>4</v>
      </c>
      <c r="I14917" s="4" t="str">
        <v>×</v>
      </c>
      <c r="J14917" s="4"/>
      <c r="K14917" s="4"/>
      <c r="L14917" s="4"/>
      <c r="M14917" s="7" t="s">
        <v>6871</v>
      </c>
    </row>
    <row r="14918" customFormat="false" ht="15.75" hidden="false" customHeight="false" outlineLevel="0" collapsed="false">
      <c r="A14918" s="6" t="n">
        <f aca="false">DATE(2026,8,9)</f>
        <v>46243</v>
      </c>
      <c r="B14918" s="4" t="s">
        <v>334</v>
      </c>
      <c r="C14918" s="4" t="n">
        <v>8</v>
      </c>
      <c r="D14918" s="4" t="n">
        <v>13</v>
      </c>
      <c r="E14918" s="4"/>
      <c r="F14918" s="4" t="n">
        <v>10</v>
      </c>
      <c r="G14918" s="4" t="n">
        <v>11</v>
      </c>
      <c r="H14918" s="4" t="n">
        <v>4</v>
      </c>
      <c r="I14918" s="4" t="str">
        <v>×</v>
      </c>
      <c r="J14918" s="4"/>
      <c r="K14918" s="4"/>
      <c r="L14918" s="4"/>
      <c r="M14918" s="7" t="s">
        <v>6871</v>
      </c>
    </row>
    <row r="14919" customFormat="false" ht="15.75" hidden="false" customHeight="false" outlineLevel="0" collapsed="false">
      <c r="A14919" s="6" t="n">
        <f aca="false">DATE(2026,8,9)</f>
        <v>46243</v>
      </c>
      <c r="B14919" s="4" t="s">
        <v>334</v>
      </c>
      <c r="C14919" s="4" t="n">
        <v>8</v>
      </c>
      <c r="D14919" s="4" t="n">
        <v>14</v>
      </c>
      <c r="E14919" s="4"/>
      <c r="F14919" s="4" t="n">
        <v>10</v>
      </c>
      <c r="G14919" s="4" t="n">
        <v>12</v>
      </c>
      <c r="H14919" s="4" t="n">
        <v>4</v>
      </c>
      <c r="I14919" s="4" t="str">
        <v>×</v>
      </c>
      <c r="J14919" s="4"/>
      <c r="K14919" s="4"/>
      <c r="L14919" s="4"/>
      <c r="M14919" s="7" t="s">
        <v>6871</v>
      </c>
    </row>
    <row r="14920" customFormat="false" ht="15.75" hidden="false" customHeight="false" outlineLevel="0" collapsed="false">
      <c r="A14920" s="6" t="n">
        <f aca="false">DATE(2026,8,9)</f>
        <v>46243</v>
      </c>
      <c r="B14920" s="4" t="s">
        <v>334</v>
      </c>
      <c r="C14920" s="4" t="n">
        <v>8</v>
      </c>
      <c r="D14920" s="4" t="n">
        <v>3</v>
      </c>
      <c r="E14920" s="4"/>
      <c r="F14920" s="4" t="n">
        <v>8</v>
      </c>
      <c r="G14920" s="4" t="n">
        <v>13</v>
      </c>
      <c r="H14920" s="4" t="n">
        <v>4</v>
      </c>
      <c r="I14920" s="4" t="str">
        <v>×</v>
      </c>
      <c r="J14920" s="4"/>
      <c r="K14920" s="4"/>
      <c r="L14920" s="4"/>
      <c r="M14920" s="7" t="s">
        <v>6871</v>
      </c>
    </row>
    <row r="14921" customFormat="false" ht="15.75" hidden="false" customHeight="false" outlineLevel="0" collapsed="false">
      <c r="A14921" s="6" t="n">
        <f aca="false">DATE(2026,8,9)</f>
        <v>46243</v>
      </c>
      <c r="B14921" s="4" t="s">
        <v>334</v>
      </c>
      <c r="C14921" s="4" t="n">
        <v>8</v>
      </c>
      <c r="D14921" s="4" t="n">
        <v>4</v>
      </c>
      <c r="E14921" s="4"/>
      <c r="F14921" s="4" t="n">
        <v>8</v>
      </c>
      <c r="G14921" s="4" t="n">
        <v>14</v>
      </c>
      <c r="H14921" s="4" t="n">
        <v>4</v>
      </c>
      <c r="I14921" s="4" t="str">
        <v>×</v>
      </c>
      <c r="J14921" s="4"/>
      <c r="K14921" s="4"/>
      <c r="L14921" s="4"/>
      <c r="M14921" s="7" t="s">
        <v>6871</v>
      </c>
    </row>
    <row r="14922" customFormat="false" ht="15.75" hidden="false" customHeight="false" outlineLevel="0" collapsed="false">
      <c r="A14922" s="6" t="n">
        <f aca="false">DATE(2026,8,9)</f>
        <v>46243</v>
      </c>
      <c r="B14922" s="4" t="s">
        <v>334</v>
      </c>
      <c r="C14922" s="4" t="n">
        <v>9</v>
      </c>
      <c r="D14922" s="4" t="n">
        <v>8</v>
      </c>
      <c r="E14922" s="4"/>
      <c r="F14922" s="4" t="n">
        <v>58</v>
      </c>
      <c r="G14922" s="4" t="n">
        <v>1</v>
      </c>
      <c r="H14922" s="4" t="n">
        <v>4</v>
      </c>
      <c r="I14922" s="4" t="str">
        <v>×</v>
      </c>
      <c r="J14922" s="4"/>
      <c r="K14922" s="4"/>
      <c r="L14922" s="4"/>
      <c r="M14922" s="7" t="s">
        <v>6871</v>
      </c>
    </row>
    <row r="14923" customFormat="false" ht="15.75" hidden="false" customHeight="false" outlineLevel="0" collapsed="false">
      <c r="A14923" s="6" t="n">
        <f aca="false">DATE(2026,8,9)</f>
        <v>46243</v>
      </c>
      <c r="B14923" s="4" t="s">
        <v>334</v>
      </c>
      <c r="C14923" s="4" t="n">
        <v>9</v>
      </c>
      <c r="D14923" s="4" t="n">
        <v>11</v>
      </c>
      <c r="E14923" s="4" t="s">
        <v>5548</v>
      </c>
      <c r="F14923" s="4" t="n">
        <v>41</v>
      </c>
      <c r="G14923" s="4" t="n">
        <v>2</v>
      </c>
      <c r="H14923" s="4" t="n">
        <v>2</v>
      </c>
      <c r="I14923" s="4" t="str">
        <v>○</v>
      </c>
      <c r="J14923" s="4" t="n">
        <v>180</v>
      </c>
      <c r="K14923" s="4"/>
      <c r="L14923" s="4"/>
      <c r="M14923" s="7" t="s">
        <v>6871</v>
      </c>
    </row>
    <row r="14924" customFormat="false" ht="15.75" hidden="false" customHeight="false" outlineLevel="0" collapsed="false">
      <c r="A14924" s="6" t="n">
        <f aca="false">DATE(2026,8,9)</f>
        <v>46243</v>
      </c>
      <c r="B14924" s="4" t="s">
        <v>334</v>
      </c>
      <c r="C14924" s="4" t="n">
        <v>9</v>
      </c>
      <c r="D14924" s="4" t="n">
        <v>2</v>
      </c>
      <c r="E14924" s="4"/>
      <c r="F14924" s="4" t="n">
        <v>52</v>
      </c>
      <c r="G14924" s="4" t="n">
        <v>3</v>
      </c>
      <c r="H14924" s="4" t="n">
        <v>4</v>
      </c>
      <c r="I14924" s="4" t="str">
        <v>×</v>
      </c>
      <c r="J14924" s="4"/>
      <c r="K14924" s="4"/>
      <c r="L14924" s="4"/>
      <c r="M14924" s="7" t="s">
        <v>6871</v>
      </c>
    </row>
    <row r="14925" customFormat="false" ht="15.75" hidden="false" customHeight="false" outlineLevel="0" collapsed="false">
      <c r="A14925" s="6" t="n">
        <f aca="false">DATE(2026,8,9)</f>
        <v>46243</v>
      </c>
      <c r="B14925" s="4" t="s">
        <v>334</v>
      </c>
      <c r="C14925" s="4" t="n">
        <v>9</v>
      </c>
      <c r="D14925" s="4" t="n">
        <v>10</v>
      </c>
      <c r="E14925" s="4" t="s">
        <v>1377</v>
      </c>
      <c r="F14925" s="4" t="n">
        <v>34</v>
      </c>
      <c r="G14925" s="4" t="n">
        <v>4</v>
      </c>
      <c r="H14925" s="4" t="n">
        <v>1</v>
      </c>
      <c r="I14925" s="4" t="str">
        <v>○</v>
      </c>
      <c r="J14925" s="4" t="n">
        <v>230</v>
      </c>
      <c r="K14925" s="4"/>
      <c r="L14925" s="4"/>
      <c r="M14925" s="7" t="s">
        <v>6871</v>
      </c>
    </row>
    <row r="14926" customFormat="false" ht="15.75" hidden="false" customHeight="false" outlineLevel="0" collapsed="false">
      <c r="A14926" s="6" t="n">
        <f aca="false">DATE(2026,8,9)</f>
        <v>46243</v>
      </c>
      <c r="B14926" s="4" t="s">
        <v>334</v>
      </c>
      <c r="C14926" s="4" t="n">
        <v>9</v>
      </c>
      <c r="D14926" s="4" t="n">
        <v>6</v>
      </c>
      <c r="E14926" s="4"/>
      <c r="F14926" s="4" t="n">
        <v>29</v>
      </c>
      <c r="G14926" s="4" t="n">
        <v>5</v>
      </c>
      <c r="H14926" s="4" t="n">
        <v>4</v>
      </c>
      <c r="I14926" s="4" t="str">
        <v>×</v>
      </c>
      <c r="J14926" s="4"/>
      <c r="K14926" s="4"/>
      <c r="L14926" s="4"/>
      <c r="M14926" s="7" t="s">
        <v>6871</v>
      </c>
    </row>
    <row r="14927" customFormat="false" ht="15.75" hidden="false" customHeight="false" outlineLevel="0" collapsed="false">
      <c r="A14927" s="6" t="n">
        <f aca="false">DATE(2026,8,9)</f>
        <v>46243</v>
      </c>
      <c r="B14927" s="4" t="s">
        <v>334</v>
      </c>
      <c r="C14927" s="4" t="n">
        <v>9</v>
      </c>
      <c r="D14927" s="4" t="n">
        <v>1</v>
      </c>
      <c r="E14927" s="4" t="s">
        <v>1777</v>
      </c>
      <c r="F14927" s="4" t="n">
        <v>23</v>
      </c>
      <c r="G14927" s="4" t="n">
        <v>6</v>
      </c>
      <c r="H14927" s="4" t="n">
        <v>3</v>
      </c>
      <c r="I14927" s="4" t="str">
        <v>○</v>
      </c>
      <c r="J14927" s="4" t="n">
        <v>310</v>
      </c>
      <c r="K14927" s="4"/>
      <c r="L14927" s="4"/>
      <c r="M14927" s="7" t="s">
        <v>6871</v>
      </c>
    </row>
    <row r="14928" customFormat="false" ht="15.75" hidden="false" customHeight="false" outlineLevel="0" collapsed="false">
      <c r="A14928" s="6" t="n">
        <f aca="false">DATE(2026,8,9)</f>
        <v>46243</v>
      </c>
      <c r="B14928" s="4" t="s">
        <v>334</v>
      </c>
      <c r="C14928" s="4" t="n">
        <v>9</v>
      </c>
      <c r="D14928" s="4" t="n">
        <v>9</v>
      </c>
      <c r="E14928" s="4"/>
      <c r="F14928" s="4" t="n">
        <v>15</v>
      </c>
      <c r="G14928" s="4" t="n">
        <v>7</v>
      </c>
      <c r="H14928" s="4" t="n">
        <v>4</v>
      </c>
      <c r="I14928" s="4" t="str">
        <v>×</v>
      </c>
      <c r="J14928" s="4"/>
      <c r="K14928" s="4"/>
      <c r="L14928" s="4"/>
      <c r="M14928" s="7" t="s">
        <v>6871</v>
      </c>
    </row>
    <row r="14929" customFormat="false" ht="15.75" hidden="false" customHeight="false" outlineLevel="0" collapsed="false">
      <c r="A14929" s="6" t="n">
        <f aca="false">DATE(2026,8,9)</f>
        <v>46243</v>
      </c>
      <c r="B14929" s="4" t="s">
        <v>334</v>
      </c>
      <c r="C14929" s="4" t="n">
        <v>9</v>
      </c>
      <c r="D14929" s="4" t="n">
        <v>15</v>
      </c>
      <c r="E14929" s="4"/>
      <c r="F14929" s="4" t="n">
        <v>15</v>
      </c>
      <c r="G14929" s="4" t="n">
        <v>8</v>
      </c>
      <c r="H14929" s="4" t="n">
        <v>4</v>
      </c>
      <c r="I14929" s="4" t="str">
        <v>×</v>
      </c>
      <c r="J14929" s="4"/>
      <c r="K14929" s="4"/>
      <c r="L14929" s="4"/>
      <c r="M14929" s="7" t="s">
        <v>6871</v>
      </c>
    </row>
    <row r="14930" customFormat="false" ht="15.75" hidden="false" customHeight="false" outlineLevel="0" collapsed="false">
      <c r="A14930" s="6" t="n">
        <f aca="false">DATE(2026,8,9)</f>
        <v>46243</v>
      </c>
      <c r="B14930" s="4" t="s">
        <v>334</v>
      </c>
      <c r="C14930" s="4" t="n">
        <v>9</v>
      </c>
      <c r="D14930" s="4" t="n">
        <v>3</v>
      </c>
      <c r="E14930" s="4"/>
      <c r="F14930" s="4" t="n">
        <v>13</v>
      </c>
      <c r="G14930" s="4" t="n">
        <v>9</v>
      </c>
      <c r="H14930" s="4" t="n">
        <v>4</v>
      </c>
      <c r="I14930" s="4" t="str">
        <v>×</v>
      </c>
      <c r="J14930" s="4"/>
      <c r="K14930" s="4"/>
      <c r="L14930" s="4"/>
      <c r="M14930" s="7" t="s">
        <v>6871</v>
      </c>
    </row>
    <row r="14931" customFormat="false" ht="15.75" hidden="false" customHeight="false" outlineLevel="0" collapsed="false">
      <c r="A14931" s="6" t="n">
        <f aca="false">DATE(2026,8,9)</f>
        <v>46243</v>
      </c>
      <c r="B14931" s="4" t="s">
        <v>334</v>
      </c>
      <c r="C14931" s="4" t="n">
        <v>9</v>
      </c>
      <c r="D14931" s="4" t="n">
        <v>14</v>
      </c>
      <c r="E14931" s="4"/>
      <c r="F14931" s="4" t="n">
        <v>13</v>
      </c>
      <c r="G14931" s="4" t="n">
        <v>10</v>
      </c>
      <c r="H14931" s="4" t="n">
        <v>4</v>
      </c>
      <c r="I14931" s="4" t="str">
        <v>×</v>
      </c>
      <c r="J14931" s="4"/>
      <c r="K14931" s="4"/>
      <c r="L14931" s="4"/>
      <c r="M14931" s="7" t="s">
        <v>6871</v>
      </c>
    </row>
    <row r="14932" customFormat="false" ht="15.75" hidden="false" customHeight="false" outlineLevel="0" collapsed="false">
      <c r="A14932" s="6" t="n">
        <f aca="false">DATE(2026,8,9)</f>
        <v>46243</v>
      </c>
      <c r="B14932" s="4" t="s">
        <v>334</v>
      </c>
      <c r="C14932" s="4" t="n">
        <v>9</v>
      </c>
      <c r="D14932" s="4" t="n">
        <v>12</v>
      </c>
      <c r="E14932" s="4"/>
      <c r="F14932" s="4" t="n">
        <v>8</v>
      </c>
      <c r="G14932" s="4" t="n">
        <v>11</v>
      </c>
      <c r="H14932" s="4" t="n">
        <v>4</v>
      </c>
      <c r="I14932" s="4" t="str">
        <v>×</v>
      </c>
      <c r="J14932" s="4"/>
      <c r="K14932" s="4"/>
      <c r="L14932" s="4"/>
      <c r="M14932" s="7" t="s">
        <v>6871</v>
      </c>
    </row>
    <row r="14933" customFormat="false" ht="15.75" hidden="false" customHeight="false" outlineLevel="0" collapsed="false">
      <c r="A14933" s="6" t="n">
        <f aca="false">DATE(2026,8,9)</f>
        <v>46243</v>
      </c>
      <c r="B14933" s="4" t="s">
        <v>334</v>
      </c>
      <c r="C14933" s="4" t="n">
        <v>9</v>
      </c>
      <c r="D14933" s="4" t="n">
        <v>16</v>
      </c>
      <c r="E14933" s="4"/>
      <c r="F14933" s="4" t="n">
        <v>8</v>
      </c>
      <c r="G14933" s="4" t="n">
        <v>12</v>
      </c>
      <c r="H14933" s="4" t="n">
        <v>4</v>
      </c>
      <c r="I14933" s="4" t="str">
        <v>×</v>
      </c>
      <c r="J14933" s="4"/>
      <c r="K14933" s="4"/>
      <c r="L14933" s="4"/>
      <c r="M14933" s="7" t="s">
        <v>6871</v>
      </c>
    </row>
    <row r="14934" customFormat="false" ht="15.75" hidden="false" customHeight="false" outlineLevel="0" collapsed="false">
      <c r="A14934" s="6" t="n">
        <f aca="false">DATE(2026,8,9)</f>
        <v>46243</v>
      </c>
      <c r="B14934" s="4" t="s">
        <v>334</v>
      </c>
      <c r="C14934" s="4" t="n">
        <v>9</v>
      </c>
      <c r="D14934" s="4" t="n">
        <v>4</v>
      </c>
      <c r="E14934" s="4"/>
      <c r="F14934" s="4" t="n">
        <v>6</v>
      </c>
      <c r="G14934" s="4" t="n">
        <v>13</v>
      </c>
      <c r="H14934" s="4" t="n">
        <v>4</v>
      </c>
      <c r="I14934" s="4" t="str">
        <v>×</v>
      </c>
      <c r="J14934" s="4"/>
      <c r="K14934" s="4"/>
      <c r="L14934" s="4"/>
      <c r="M14934" s="7" t="s">
        <v>6871</v>
      </c>
    </row>
    <row r="14935" customFormat="false" ht="15.75" hidden="false" customHeight="false" outlineLevel="0" collapsed="false">
      <c r="A14935" s="6" t="n">
        <f aca="false">DATE(2026,8,9)</f>
        <v>46243</v>
      </c>
      <c r="B14935" s="4" t="s">
        <v>334</v>
      </c>
      <c r="C14935" s="4" t="n">
        <v>9</v>
      </c>
      <c r="D14935" s="4" t="n">
        <v>5</v>
      </c>
      <c r="E14935" s="4"/>
      <c r="F14935" s="4" t="n">
        <v>6</v>
      </c>
      <c r="G14935" s="4" t="n">
        <v>14</v>
      </c>
      <c r="H14935" s="4" t="n">
        <v>4</v>
      </c>
      <c r="I14935" s="4" t="str">
        <v>×</v>
      </c>
      <c r="J14935" s="4"/>
      <c r="K14935" s="4"/>
      <c r="L14935" s="4"/>
      <c r="M14935" s="7" t="s">
        <v>6871</v>
      </c>
    </row>
    <row r="14936" customFormat="false" ht="15.75" hidden="false" customHeight="false" outlineLevel="0" collapsed="false">
      <c r="A14936" s="6" t="n">
        <f aca="false">DATE(2026,8,9)</f>
        <v>46243</v>
      </c>
      <c r="B14936" s="4" t="s">
        <v>334</v>
      </c>
      <c r="C14936" s="4" t="n">
        <v>9</v>
      </c>
      <c r="D14936" s="4" t="n">
        <v>7</v>
      </c>
      <c r="E14936" s="4"/>
      <c r="F14936" s="4" t="n">
        <v>4</v>
      </c>
      <c r="G14936" s="4" t="n">
        <v>15</v>
      </c>
      <c r="H14936" s="4" t="n">
        <v>4</v>
      </c>
      <c r="I14936" s="4" t="str">
        <v>×</v>
      </c>
      <c r="J14936" s="4"/>
      <c r="K14936" s="4"/>
      <c r="L14936" s="4"/>
      <c r="M14936" s="7" t="s">
        <v>6871</v>
      </c>
    </row>
    <row r="14937" customFormat="false" ht="15.75" hidden="false" customHeight="false" outlineLevel="0" collapsed="false">
      <c r="A14937" s="6" t="n">
        <f aca="false">DATE(2026,8,9)</f>
        <v>46243</v>
      </c>
      <c r="B14937" s="4" t="s">
        <v>334</v>
      </c>
      <c r="C14937" s="4" t="n">
        <v>9</v>
      </c>
      <c r="D14937" s="4" t="n">
        <v>13</v>
      </c>
      <c r="E14937" s="4"/>
      <c r="F14937" s="4" t="n">
        <v>2</v>
      </c>
      <c r="G14937" s="4" t="n">
        <v>16</v>
      </c>
      <c r="H14937" s="4" t="n">
        <v>4</v>
      </c>
      <c r="I14937" s="4" t="str">
        <v>×</v>
      </c>
      <c r="J14937" s="4"/>
      <c r="K14937" s="4"/>
      <c r="L14937" s="4"/>
      <c r="M14937" s="7" t="s">
        <v>6871</v>
      </c>
    </row>
    <row r="14938" customFormat="false" ht="15.75" hidden="false" customHeight="false" outlineLevel="0" collapsed="false">
      <c r="A14938" s="6" t="n">
        <f aca="false">DATE(2026,8,9)</f>
        <v>46243</v>
      </c>
      <c r="B14938" s="4" t="s">
        <v>334</v>
      </c>
      <c r="C14938" s="4" t="n">
        <v>10</v>
      </c>
      <c r="D14938" s="4" t="n">
        <v>13</v>
      </c>
      <c r="E14938" s="4" t="s">
        <v>1840</v>
      </c>
      <c r="F14938" s="4" t="n">
        <v>67</v>
      </c>
      <c r="G14938" s="4" t="n">
        <v>1</v>
      </c>
      <c r="H14938" s="4" t="n">
        <v>2</v>
      </c>
      <c r="I14938" s="4" t="str">
        <v>○</v>
      </c>
      <c r="J14938" s="4" t="n">
        <v>110</v>
      </c>
      <c r="K14938" s="4"/>
      <c r="L14938" s="4"/>
      <c r="M14938" s="7" t="s">
        <v>6871</v>
      </c>
    </row>
    <row r="14939" customFormat="false" ht="15.75" hidden="false" customHeight="false" outlineLevel="0" collapsed="false">
      <c r="A14939" s="6" t="n">
        <f aca="false">DATE(2026,8,9)</f>
        <v>46243</v>
      </c>
      <c r="B14939" s="4" t="s">
        <v>334</v>
      </c>
      <c r="C14939" s="4" t="n">
        <v>10</v>
      </c>
      <c r="D14939" s="4" t="n">
        <v>3</v>
      </c>
      <c r="E14939" s="4" t="s">
        <v>1842</v>
      </c>
      <c r="F14939" s="4" t="n">
        <v>44</v>
      </c>
      <c r="G14939" s="4" t="n">
        <v>2</v>
      </c>
      <c r="H14939" s="4" t="n">
        <v>1</v>
      </c>
      <c r="I14939" s="4" t="str">
        <v>○</v>
      </c>
      <c r="J14939" s="4" t="n">
        <v>220</v>
      </c>
      <c r="K14939" s="4"/>
      <c r="L14939" s="4"/>
      <c r="M14939" s="7" t="s">
        <v>6871</v>
      </c>
    </row>
    <row r="14940" customFormat="false" ht="15.75" hidden="false" customHeight="false" outlineLevel="0" collapsed="false">
      <c r="A14940" s="6" t="n">
        <f aca="false">DATE(2026,8,9)</f>
        <v>46243</v>
      </c>
      <c r="B14940" s="4" t="s">
        <v>334</v>
      </c>
      <c r="C14940" s="4" t="n">
        <v>10</v>
      </c>
      <c r="D14940" s="4" t="n">
        <v>8</v>
      </c>
      <c r="E14940" s="4" t="s">
        <v>462</v>
      </c>
      <c r="F14940" s="4" t="n">
        <v>60</v>
      </c>
      <c r="G14940" s="4" t="n">
        <v>3</v>
      </c>
      <c r="H14940" s="4" t="n">
        <v>3</v>
      </c>
      <c r="I14940" s="4" t="str">
        <v>○</v>
      </c>
      <c r="J14940" s="4" t="n">
        <v>110</v>
      </c>
      <c r="K14940" s="4"/>
      <c r="L14940" s="4"/>
      <c r="M14940" s="7" t="s">
        <v>6871</v>
      </c>
    </row>
    <row r="14941" customFormat="false" ht="15.75" hidden="false" customHeight="false" outlineLevel="0" collapsed="false">
      <c r="A14941" s="6" t="n">
        <f aca="false">DATE(2026,8,9)</f>
        <v>46243</v>
      </c>
      <c r="B14941" s="4" t="s">
        <v>334</v>
      </c>
      <c r="C14941" s="4" t="n">
        <v>10</v>
      </c>
      <c r="D14941" s="4" t="n">
        <v>2</v>
      </c>
      <c r="E14941" s="4"/>
      <c r="F14941" s="4" t="n">
        <v>23</v>
      </c>
      <c r="G14941" s="4" t="n">
        <v>4</v>
      </c>
      <c r="H14941" s="4" t="n">
        <v>4</v>
      </c>
      <c r="I14941" s="4" t="str">
        <v>×</v>
      </c>
      <c r="J14941" s="4"/>
      <c r="K14941" s="4"/>
      <c r="L14941" s="4"/>
      <c r="M14941" s="7" t="s">
        <v>6871</v>
      </c>
    </row>
    <row r="14942" customFormat="false" ht="15.75" hidden="false" customHeight="false" outlineLevel="0" collapsed="false">
      <c r="A14942" s="6" t="n">
        <f aca="false">DATE(2026,8,9)</f>
        <v>46243</v>
      </c>
      <c r="B14942" s="4" t="s">
        <v>334</v>
      </c>
      <c r="C14942" s="4" t="n">
        <v>10</v>
      </c>
      <c r="D14942" s="4" t="n">
        <v>10</v>
      </c>
      <c r="E14942" s="4"/>
      <c r="F14942" s="4" t="n">
        <v>23</v>
      </c>
      <c r="G14942" s="4" t="n">
        <v>5</v>
      </c>
      <c r="H14942" s="4" t="n">
        <v>4</v>
      </c>
      <c r="I14942" s="4" t="str">
        <v>×</v>
      </c>
      <c r="J14942" s="4"/>
      <c r="K14942" s="4"/>
      <c r="L14942" s="4"/>
      <c r="M14942" s="7" t="s">
        <v>6871</v>
      </c>
    </row>
    <row r="14943" customFormat="false" ht="15.75" hidden="false" customHeight="false" outlineLevel="0" collapsed="false">
      <c r="A14943" s="6" t="n">
        <f aca="false">DATE(2026,8,9)</f>
        <v>46243</v>
      </c>
      <c r="B14943" s="4" t="s">
        <v>334</v>
      </c>
      <c r="C14943" s="4" t="n">
        <v>10</v>
      </c>
      <c r="D14943" s="4" t="n">
        <v>12</v>
      </c>
      <c r="E14943" s="4"/>
      <c r="F14943" s="4" t="n">
        <v>17</v>
      </c>
      <c r="G14943" s="4" t="n">
        <v>6</v>
      </c>
      <c r="H14943" s="4" t="n">
        <v>4</v>
      </c>
      <c r="I14943" s="4" t="str">
        <v>×</v>
      </c>
      <c r="J14943" s="4"/>
      <c r="K14943" s="4"/>
      <c r="L14943" s="4"/>
      <c r="M14943" s="7" t="s">
        <v>6871</v>
      </c>
    </row>
    <row r="14944" customFormat="false" ht="15.75" hidden="false" customHeight="false" outlineLevel="0" collapsed="false">
      <c r="A14944" s="6" t="n">
        <f aca="false">DATE(2026,8,9)</f>
        <v>46243</v>
      </c>
      <c r="B14944" s="4" t="s">
        <v>334</v>
      </c>
      <c r="C14944" s="4" t="n">
        <v>10</v>
      </c>
      <c r="D14944" s="4" t="n">
        <v>1</v>
      </c>
      <c r="E14944" s="4"/>
      <c r="F14944" s="4" t="n">
        <v>15</v>
      </c>
      <c r="G14944" s="4" t="n">
        <v>7</v>
      </c>
      <c r="H14944" s="4" t="n">
        <v>4</v>
      </c>
      <c r="I14944" s="4" t="str">
        <v>×</v>
      </c>
      <c r="J14944" s="4"/>
      <c r="K14944" s="4"/>
      <c r="L14944" s="4"/>
      <c r="M14944" s="7" t="s">
        <v>6871</v>
      </c>
    </row>
    <row r="14945" customFormat="false" ht="15.75" hidden="false" customHeight="false" outlineLevel="0" collapsed="false">
      <c r="A14945" s="6" t="n">
        <f aca="false">DATE(2026,8,9)</f>
        <v>46243</v>
      </c>
      <c r="B14945" s="4" t="s">
        <v>334</v>
      </c>
      <c r="C14945" s="4" t="n">
        <v>10</v>
      </c>
      <c r="D14945" s="4" t="n">
        <v>7</v>
      </c>
      <c r="E14945" s="4"/>
      <c r="F14945" s="4" t="n">
        <v>15</v>
      </c>
      <c r="G14945" s="4" t="n">
        <v>8</v>
      </c>
      <c r="H14945" s="4" t="n">
        <v>4</v>
      </c>
      <c r="I14945" s="4" t="str">
        <v>×</v>
      </c>
      <c r="J14945" s="4"/>
      <c r="K14945" s="4"/>
      <c r="L14945" s="4"/>
      <c r="M14945" s="7" t="s">
        <v>6871</v>
      </c>
    </row>
    <row r="14946" customFormat="false" ht="15.75" hidden="false" customHeight="false" outlineLevel="0" collapsed="false">
      <c r="A14946" s="6" t="n">
        <f aca="false">DATE(2026,8,9)</f>
        <v>46243</v>
      </c>
      <c r="B14946" s="4" t="s">
        <v>334</v>
      </c>
      <c r="C14946" s="4" t="n">
        <v>10</v>
      </c>
      <c r="D14946" s="4" t="n">
        <v>6</v>
      </c>
      <c r="E14946" s="4"/>
      <c r="F14946" s="4" t="n">
        <v>8</v>
      </c>
      <c r="G14946" s="4" t="n">
        <v>9</v>
      </c>
      <c r="H14946" s="4" t="n">
        <v>4</v>
      </c>
      <c r="I14946" s="4" t="str">
        <v>×</v>
      </c>
      <c r="J14946" s="4"/>
      <c r="K14946" s="4"/>
      <c r="L14946" s="4"/>
      <c r="M14946" s="7" t="s">
        <v>6871</v>
      </c>
    </row>
    <row r="14947" customFormat="false" ht="15.75" hidden="false" customHeight="false" outlineLevel="0" collapsed="false">
      <c r="A14947" s="6" t="n">
        <f aca="false">DATE(2026,8,9)</f>
        <v>46243</v>
      </c>
      <c r="B14947" s="4" t="s">
        <v>334</v>
      </c>
      <c r="C14947" s="4" t="n">
        <v>10</v>
      </c>
      <c r="D14947" s="4" t="n">
        <v>11</v>
      </c>
      <c r="E14947" s="4"/>
      <c r="F14947" s="4" t="n">
        <v>6</v>
      </c>
      <c r="G14947" s="4" t="n">
        <v>10</v>
      </c>
      <c r="H14947" s="4" t="n">
        <v>4</v>
      </c>
      <c r="I14947" s="4" t="str">
        <v>×</v>
      </c>
      <c r="J14947" s="4"/>
      <c r="K14947" s="4"/>
      <c r="L14947" s="4"/>
      <c r="M14947" s="7" t="s">
        <v>6871</v>
      </c>
    </row>
    <row r="14948" customFormat="false" ht="15.75" hidden="false" customHeight="false" outlineLevel="0" collapsed="false">
      <c r="A14948" s="6" t="n">
        <f aca="false">DATE(2026,8,9)</f>
        <v>46243</v>
      </c>
      <c r="B14948" s="4" t="s">
        <v>334</v>
      </c>
      <c r="C14948" s="4" t="n">
        <v>10</v>
      </c>
      <c r="D14948" s="4" t="n">
        <v>4</v>
      </c>
      <c r="E14948" s="4"/>
      <c r="F14948" s="4" t="n">
        <v>3</v>
      </c>
      <c r="G14948" s="4" t="n">
        <v>11</v>
      </c>
      <c r="H14948" s="4" t="n">
        <v>4</v>
      </c>
      <c r="I14948" s="4" t="str">
        <v>×</v>
      </c>
      <c r="J14948" s="4"/>
      <c r="K14948" s="4"/>
      <c r="L14948" s="4"/>
      <c r="M14948" s="7" t="s">
        <v>6871</v>
      </c>
    </row>
    <row r="14949" customFormat="false" ht="15.75" hidden="false" customHeight="false" outlineLevel="0" collapsed="false">
      <c r="A14949" s="6" t="n">
        <f aca="false">DATE(2026,8,9)</f>
        <v>46243</v>
      </c>
      <c r="B14949" s="4" t="s">
        <v>334</v>
      </c>
      <c r="C14949" s="4" t="n">
        <v>10</v>
      </c>
      <c r="D14949" s="4" t="n">
        <v>14</v>
      </c>
      <c r="E14949" s="4"/>
      <c r="F14949" s="4" t="n">
        <v>3</v>
      </c>
      <c r="G14949" s="4" t="n">
        <v>12</v>
      </c>
      <c r="H14949" s="4" t="n">
        <v>4</v>
      </c>
      <c r="I14949" s="4" t="str">
        <v>×</v>
      </c>
      <c r="J14949" s="4"/>
      <c r="K14949" s="4"/>
      <c r="L14949" s="4"/>
      <c r="M14949" s="7" t="s">
        <v>6871</v>
      </c>
    </row>
    <row r="14950" customFormat="false" ht="15.75" hidden="false" customHeight="false" outlineLevel="0" collapsed="false">
      <c r="A14950" s="6" t="n">
        <f aca="false">DATE(2026,8,9)</f>
        <v>46243</v>
      </c>
      <c r="B14950" s="4" t="s">
        <v>334</v>
      </c>
      <c r="C14950" s="4" t="n">
        <v>10</v>
      </c>
      <c r="D14950" s="4" t="n">
        <v>5</v>
      </c>
      <c r="E14950" s="4"/>
      <c r="F14950" s="4" t="n">
        <v>1</v>
      </c>
      <c r="G14950" s="4" t="n">
        <v>13</v>
      </c>
      <c r="H14950" s="4" t="n">
        <v>4</v>
      </c>
      <c r="I14950" s="4" t="str">
        <v>×</v>
      </c>
      <c r="J14950" s="4"/>
      <c r="K14950" s="4"/>
      <c r="L14950" s="4"/>
      <c r="M14950" s="7" t="s">
        <v>6871</v>
      </c>
    </row>
    <row r="14951" customFormat="false" ht="15.75" hidden="false" customHeight="false" outlineLevel="0" collapsed="false">
      <c r="A14951" s="6" t="n">
        <f aca="false">DATE(2026,8,9)</f>
        <v>46243</v>
      </c>
      <c r="B14951" s="4" t="s">
        <v>334</v>
      </c>
      <c r="C14951" s="4" t="n">
        <v>10</v>
      </c>
      <c r="D14951" s="4" t="n">
        <v>9</v>
      </c>
      <c r="E14951" s="4"/>
      <c r="F14951" s="4" t="n">
        <v>1</v>
      </c>
      <c r="G14951" s="4" t="n">
        <v>14</v>
      </c>
      <c r="H14951" s="4" t="n">
        <v>4</v>
      </c>
      <c r="I14951" s="4" t="str">
        <v>×</v>
      </c>
      <c r="J14951" s="4"/>
      <c r="K14951" s="4"/>
      <c r="L14951" s="4"/>
      <c r="M14951" s="7" t="s">
        <v>6871</v>
      </c>
    </row>
    <row r="14952" customFormat="false" ht="15.75" hidden="false" customHeight="false" outlineLevel="0" collapsed="false">
      <c r="A14952" s="6" t="n">
        <f aca="false">DATE(2026,8,9)</f>
        <v>46243</v>
      </c>
      <c r="B14952" s="4" t="s">
        <v>334</v>
      </c>
      <c r="C14952" s="4" t="n">
        <v>11</v>
      </c>
      <c r="D14952" s="4" t="n">
        <v>10</v>
      </c>
      <c r="E14952" s="4" t="s">
        <v>4465</v>
      </c>
      <c r="F14952" s="4" t="n">
        <v>47</v>
      </c>
      <c r="G14952" s="4" t="n">
        <v>1</v>
      </c>
      <c r="H14952" s="4" t="n">
        <v>1</v>
      </c>
      <c r="I14952" s="4" t="str">
        <v>○</v>
      </c>
      <c r="J14952" s="4" t="n">
        <v>170</v>
      </c>
      <c r="K14952" s="4"/>
      <c r="L14952" s="4"/>
      <c r="M14952" s="7" t="s">
        <v>6871</v>
      </c>
    </row>
    <row r="14953" customFormat="false" ht="15.75" hidden="false" customHeight="false" outlineLevel="0" collapsed="false">
      <c r="A14953" s="6" t="n">
        <f aca="false">DATE(2026,8,9)</f>
        <v>46243</v>
      </c>
      <c r="B14953" s="4" t="s">
        <v>334</v>
      </c>
      <c r="C14953" s="4" t="n">
        <v>11</v>
      </c>
      <c r="D14953" s="4" t="n">
        <v>13</v>
      </c>
      <c r="E14953" s="4" t="s">
        <v>5116</v>
      </c>
      <c r="F14953" s="4" t="n">
        <v>39</v>
      </c>
      <c r="G14953" s="4" t="n">
        <v>2</v>
      </c>
      <c r="H14953" s="4" t="n">
        <v>2</v>
      </c>
      <c r="I14953" s="4" t="str">
        <v>○</v>
      </c>
      <c r="J14953" s="4" t="n">
        <v>190</v>
      </c>
      <c r="K14953" s="4"/>
      <c r="L14953" s="4"/>
      <c r="M14953" s="7" t="s">
        <v>6871</v>
      </c>
    </row>
    <row r="14954" customFormat="false" ht="15.75" hidden="false" customHeight="false" outlineLevel="0" collapsed="false">
      <c r="A14954" s="6" t="n">
        <f aca="false">DATE(2026,8,9)</f>
        <v>46243</v>
      </c>
      <c r="B14954" s="4" t="s">
        <v>334</v>
      </c>
      <c r="C14954" s="4" t="n">
        <v>11</v>
      </c>
      <c r="D14954" s="4" t="n">
        <v>3</v>
      </c>
      <c r="E14954" s="4"/>
      <c r="F14954" s="4" t="n">
        <v>41</v>
      </c>
      <c r="G14954" s="4" t="n">
        <v>3</v>
      </c>
      <c r="H14954" s="4" t="n">
        <v>4</v>
      </c>
      <c r="I14954" s="4" t="str">
        <v>×</v>
      </c>
      <c r="J14954" s="4"/>
      <c r="K14954" s="4"/>
      <c r="L14954" s="4"/>
      <c r="M14954" s="7" t="s">
        <v>6871</v>
      </c>
    </row>
    <row r="14955" customFormat="false" ht="15.75" hidden="false" customHeight="false" outlineLevel="0" collapsed="false">
      <c r="A14955" s="6" t="n">
        <f aca="false">DATE(2026,8,9)</f>
        <v>46243</v>
      </c>
      <c r="B14955" s="4" t="s">
        <v>334</v>
      </c>
      <c r="C14955" s="4" t="n">
        <v>11</v>
      </c>
      <c r="D14955" s="4" t="n">
        <v>5</v>
      </c>
      <c r="E14955" s="4"/>
      <c r="F14955" s="4" t="n">
        <v>37</v>
      </c>
      <c r="G14955" s="4" t="n">
        <v>4</v>
      </c>
      <c r="H14955" s="4" t="n">
        <v>4</v>
      </c>
      <c r="I14955" s="4" t="str">
        <v>×</v>
      </c>
      <c r="J14955" s="4"/>
      <c r="K14955" s="4"/>
      <c r="L14955" s="4"/>
      <c r="M14955" s="7" t="s">
        <v>6871</v>
      </c>
    </row>
    <row r="14956" customFormat="false" ht="15.75" hidden="false" customHeight="false" outlineLevel="0" collapsed="false">
      <c r="A14956" s="6" t="n">
        <f aca="false">DATE(2026,8,9)</f>
        <v>46243</v>
      </c>
      <c r="B14956" s="4" t="s">
        <v>334</v>
      </c>
      <c r="C14956" s="4" t="n">
        <v>11</v>
      </c>
      <c r="D14956" s="4" t="n">
        <v>14</v>
      </c>
      <c r="E14956" s="4"/>
      <c r="F14956" s="4" t="n">
        <v>31</v>
      </c>
      <c r="G14956" s="4" t="n">
        <v>5</v>
      </c>
      <c r="H14956" s="4" t="n">
        <v>4</v>
      </c>
      <c r="I14956" s="4" t="str">
        <v>×</v>
      </c>
      <c r="J14956" s="4"/>
      <c r="K14956" s="4"/>
      <c r="L14956" s="4"/>
      <c r="M14956" s="7" t="s">
        <v>6871</v>
      </c>
    </row>
    <row r="14957" customFormat="false" ht="15.75" hidden="false" customHeight="false" outlineLevel="0" collapsed="false">
      <c r="A14957" s="6" t="n">
        <f aca="false">DATE(2026,8,9)</f>
        <v>46243</v>
      </c>
      <c r="B14957" s="4" t="s">
        <v>334</v>
      </c>
      <c r="C14957" s="4" t="n">
        <v>11</v>
      </c>
      <c r="D14957" s="4" t="n">
        <v>9</v>
      </c>
      <c r="E14957" s="4"/>
      <c r="F14957" s="4" t="n">
        <v>23</v>
      </c>
      <c r="G14957" s="4" t="n">
        <v>6</v>
      </c>
      <c r="H14957" s="4" t="n">
        <v>4</v>
      </c>
      <c r="I14957" s="4" t="str">
        <v>×</v>
      </c>
      <c r="J14957" s="4"/>
      <c r="K14957" s="4"/>
      <c r="L14957" s="4"/>
      <c r="M14957" s="7" t="s">
        <v>6871</v>
      </c>
    </row>
    <row r="14958" customFormat="false" ht="15.75" hidden="false" customHeight="false" outlineLevel="0" collapsed="false">
      <c r="A14958" s="6" t="n">
        <f aca="false">DATE(2026,8,9)</f>
        <v>46243</v>
      </c>
      <c r="B14958" s="4" t="s">
        <v>334</v>
      </c>
      <c r="C14958" s="4" t="n">
        <v>11</v>
      </c>
      <c r="D14958" s="4" t="n">
        <v>2</v>
      </c>
      <c r="E14958" s="4" t="s">
        <v>4262</v>
      </c>
      <c r="F14958" s="4" t="n">
        <v>20</v>
      </c>
      <c r="G14958" s="4" t="n">
        <v>7</v>
      </c>
      <c r="H14958" s="4" t="n">
        <v>3</v>
      </c>
      <c r="I14958" s="4" t="str">
        <v>○</v>
      </c>
      <c r="J14958" s="4" t="n">
        <v>450</v>
      </c>
      <c r="K14958" s="4"/>
      <c r="L14958" s="4"/>
      <c r="M14958" s="7" t="s">
        <v>6871</v>
      </c>
    </row>
    <row r="14959" customFormat="false" ht="15.75" hidden="false" customHeight="false" outlineLevel="0" collapsed="false">
      <c r="A14959" s="6" t="n">
        <f aca="false">DATE(2026,8,9)</f>
        <v>46243</v>
      </c>
      <c r="B14959" s="4" t="s">
        <v>334</v>
      </c>
      <c r="C14959" s="4" t="n">
        <v>11</v>
      </c>
      <c r="D14959" s="4" t="n">
        <v>8</v>
      </c>
      <c r="E14959" s="4"/>
      <c r="F14959" s="4" t="n">
        <v>20</v>
      </c>
      <c r="G14959" s="4" t="n">
        <v>8</v>
      </c>
      <c r="H14959" s="4" t="n">
        <v>4</v>
      </c>
      <c r="I14959" s="4" t="str">
        <v>×</v>
      </c>
      <c r="J14959" s="4"/>
      <c r="K14959" s="4"/>
      <c r="L14959" s="4"/>
      <c r="M14959" s="7" t="s">
        <v>6871</v>
      </c>
    </row>
    <row r="14960" customFormat="false" ht="15.75" hidden="false" customHeight="false" outlineLevel="0" collapsed="false">
      <c r="A14960" s="6" t="n">
        <f aca="false">DATE(2026,8,9)</f>
        <v>46243</v>
      </c>
      <c r="B14960" s="4" t="s">
        <v>334</v>
      </c>
      <c r="C14960" s="4" t="n">
        <v>11</v>
      </c>
      <c r="D14960" s="4" t="n">
        <v>16</v>
      </c>
      <c r="E14960" s="4"/>
      <c r="F14960" s="4" t="n">
        <v>20</v>
      </c>
      <c r="G14960" s="4" t="n">
        <v>9</v>
      </c>
      <c r="H14960" s="4" t="n">
        <v>4</v>
      </c>
      <c r="I14960" s="4" t="str">
        <v>×</v>
      </c>
      <c r="J14960" s="4"/>
      <c r="K14960" s="4"/>
      <c r="L14960" s="4"/>
      <c r="M14960" s="7" t="s">
        <v>6871</v>
      </c>
    </row>
    <row r="14961" customFormat="false" ht="15.75" hidden="false" customHeight="false" outlineLevel="0" collapsed="false">
      <c r="A14961" s="6" t="n">
        <f aca="false">DATE(2026,8,9)</f>
        <v>46243</v>
      </c>
      <c r="B14961" s="4" t="s">
        <v>334</v>
      </c>
      <c r="C14961" s="4" t="n">
        <v>11</v>
      </c>
      <c r="D14961" s="4" t="n">
        <v>7</v>
      </c>
      <c r="E14961" s="4"/>
      <c r="F14961" s="4" t="n">
        <v>17</v>
      </c>
      <c r="G14961" s="4" t="n">
        <v>10</v>
      </c>
      <c r="H14961" s="4" t="n">
        <v>4</v>
      </c>
      <c r="I14961" s="4" t="str">
        <v>×</v>
      </c>
      <c r="J14961" s="4"/>
      <c r="K14961" s="4"/>
      <c r="L14961" s="4"/>
      <c r="M14961" s="7" t="s">
        <v>6871</v>
      </c>
    </row>
    <row r="14962" customFormat="false" ht="15.75" hidden="false" customHeight="false" outlineLevel="0" collapsed="false">
      <c r="A14962" s="6" t="n">
        <f aca="false">DATE(2026,8,9)</f>
        <v>46243</v>
      </c>
      <c r="B14962" s="4" t="s">
        <v>334</v>
      </c>
      <c r="C14962" s="4" t="n">
        <v>11</v>
      </c>
      <c r="D14962" s="4" t="n">
        <v>1</v>
      </c>
      <c r="E14962" s="4"/>
      <c r="F14962" s="4" t="n">
        <v>6</v>
      </c>
      <c r="G14962" s="4" t="n">
        <v>11</v>
      </c>
      <c r="H14962" s="4" t="n">
        <v>4</v>
      </c>
      <c r="I14962" s="4" t="str">
        <v>×</v>
      </c>
      <c r="J14962" s="4"/>
      <c r="K14962" s="4"/>
      <c r="L14962" s="4"/>
      <c r="M14962" s="7" t="s">
        <v>6871</v>
      </c>
    </row>
    <row r="14963" customFormat="false" ht="15.75" hidden="false" customHeight="false" outlineLevel="0" collapsed="false">
      <c r="A14963" s="6" t="n">
        <f aca="false">DATE(2026,8,9)</f>
        <v>46243</v>
      </c>
      <c r="B14963" s="4" t="s">
        <v>334</v>
      </c>
      <c r="C14963" s="4" t="n">
        <v>11</v>
      </c>
      <c r="D14963" s="4" t="n">
        <v>12</v>
      </c>
      <c r="E14963" s="4"/>
      <c r="F14963" s="4" t="n">
        <v>6</v>
      </c>
      <c r="G14963" s="4" t="n">
        <v>12</v>
      </c>
      <c r="H14963" s="4" t="n">
        <v>4</v>
      </c>
      <c r="I14963" s="4" t="str">
        <v>×</v>
      </c>
      <c r="J14963" s="4"/>
      <c r="K14963" s="4"/>
      <c r="L14963" s="4"/>
      <c r="M14963" s="7" t="s">
        <v>6871</v>
      </c>
    </row>
    <row r="14964" customFormat="false" ht="15.75" hidden="false" customHeight="false" outlineLevel="0" collapsed="false">
      <c r="A14964" s="6" t="n">
        <f aca="false">DATE(2026,8,9)</f>
        <v>46243</v>
      </c>
      <c r="B14964" s="4" t="s">
        <v>334</v>
      </c>
      <c r="C14964" s="4" t="n">
        <v>11</v>
      </c>
      <c r="D14964" s="4" t="n">
        <v>4</v>
      </c>
      <c r="E14964" s="4"/>
      <c r="F14964" s="4" t="n">
        <v>4</v>
      </c>
      <c r="G14964" s="4" t="n">
        <v>13</v>
      </c>
      <c r="H14964" s="4" t="n">
        <v>4</v>
      </c>
      <c r="I14964" s="4" t="str">
        <v>×</v>
      </c>
      <c r="J14964" s="4"/>
      <c r="K14964" s="4"/>
      <c r="L14964" s="4"/>
      <c r="M14964" s="7" t="s">
        <v>6871</v>
      </c>
    </row>
    <row r="14965" customFormat="false" ht="15.75" hidden="false" customHeight="false" outlineLevel="0" collapsed="false">
      <c r="A14965" s="6" t="n">
        <f aca="false">DATE(2026,8,9)</f>
        <v>46243</v>
      </c>
      <c r="B14965" s="4" t="s">
        <v>334</v>
      </c>
      <c r="C14965" s="4" t="n">
        <v>11</v>
      </c>
      <c r="D14965" s="4" t="n">
        <v>6</v>
      </c>
      <c r="E14965" s="4"/>
      <c r="F14965" s="4" t="n">
        <v>4</v>
      </c>
      <c r="G14965" s="4" t="n">
        <v>14</v>
      </c>
      <c r="H14965" s="4" t="n">
        <v>4</v>
      </c>
      <c r="I14965" s="4" t="str">
        <v>×</v>
      </c>
      <c r="J14965" s="4"/>
      <c r="K14965" s="4"/>
      <c r="L14965" s="4"/>
      <c r="M14965" s="7" t="s">
        <v>6871</v>
      </c>
    </row>
    <row r="14966" customFormat="false" ht="15.75" hidden="false" customHeight="false" outlineLevel="0" collapsed="false">
      <c r="A14966" s="6" t="n">
        <f aca="false">DATE(2026,8,9)</f>
        <v>46243</v>
      </c>
      <c r="B14966" s="4" t="s">
        <v>334</v>
      </c>
      <c r="C14966" s="4" t="n">
        <v>11</v>
      </c>
      <c r="D14966" s="4" t="n">
        <v>11</v>
      </c>
      <c r="E14966" s="4"/>
      <c r="F14966" s="4" t="n">
        <v>4</v>
      </c>
      <c r="G14966" s="4" t="n">
        <v>15</v>
      </c>
      <c r="H14966" s="4" t="n">
        <v>4</v>
      </c>
      <c r="I14966" s="4" t="str">
        <v>×</v>
      </c>
      <c r="J14966" s="4"/>
      <c r="K14966" s="4"/>
      <c r="L14966" s="4"/>
      <c r="M14966" s="7" t="s">
        <v>6871</v>
      </c>
    </row>
    <row r="14967" customFormat="false" ht="15.75" hidden="false" customHeight="false" outlineLevel="0" collapsed="false">
      <c r="A14967" s="6" t="n">
        <f aca="false">DATE(2026,8,9)</f>
        <v>46243</v>
      </c>
      <c r="B14967" s="4" t="s">
        <v>334</v>
      </c>
      <c r="C14967" s="4" t="n">
        <v>11</v>
      </c>
      <c r="D14967" s="4" t="n">
        <v>15</v>
      </c>
      <c r="E14967" s="4"/>
      <c r="F14967" s="4" t="n">
        <v>3</v>
      </c>
      <c r="G14967" s="4" t="n">
        <v>16</v>
      </c>
      <c r="H14967" s="4" t="n">
        <v>4</v>
      </c>
      <c r="I14967" s="4" t="str">
        <v>×</v>
      </c>
      <c r="J14967" s="4"/>
      <c r="K14967" s="4"/>
      <c r="L14967" s="4"/>
      <c r="M14967" s="7" t="s">
        <v>6871</v>
      </c>
    </row>
    <row r="14968" customFormat="false" ht="15.75" hidden="false" customHeight="false" outlineLevel="0" collapsed="false">
      <c r="A14968" s="6" t="n">
        <f aca="false">DATE(2026,8,9)</f>
        <v>46243</v>
      </c>
      <c r="B14968" s="4" t="s">
        <v>334</v>
      </c>
      <c r="C14968" s="4" t="n">
        <v>12</v>
      </c>
      <c r="D14968" s="4" t="n">
        <v>1</v>
      </c>
      <c r="E14968" s="4" t="s">
        <v>1342</v>
      </c>
      <c r="F14968" s="4" t="n">
        <v>74</v>
      </c>
      <c r="G14968" s="4" t="n">
        <v>1</v>
      </c>
      <c r="H14968" s="4" t="n">
        <v>3</v>
      </c>
      <c r="I14968" s="4" t="str">
        <v>○</v>
      </c>
      <c r="J14968" s="4" t="n">
        <v>170</v>
      </c>
      <c r="K14968" s="4"/>
      <c r="L14968" s="4"/>
      <c r="M14968" s="7" t="s">
        <v>6871</v>
      </c>
    </row>
    <row r="14969" customFormat="false" ht="15.75" hidden="false" customHeight="false" outlineLevel="0" collapsed="false">
      <c r="A14969" s="6" t="n">
        <f aca="false">DATE(2026,8,9)</f>
        <v>46243</v>
      </c>
      <c r="B14969" s="4" t="s">
        <v>334</v>
      </c>
      <c r="C14969" s="4" t="n">
        <v>12</v>
      </c>
      <c r="D14969" s="4" t="n">
        <v>7</v>
      </c>
      <c r="E14969" s="4"/>
      <c r="F14969" s="4" t="n">
        <v>52</v>
      </c>
      <c r="G14969" s="4" t="n">
        <v>2</v>
      </c>
      <c r="H14969" s="4" t="n">
        <v>4</v>
      </c>
      <c r="I14969" s="4" t="str">
        <v>×</v>
      </c>
      <c r="J14969" s="4"/>
      <c r="K14969" s="4"/>
      <c r="L14969" s="4"/>
      <c r="M14969" s="7" t="s">
        <v>6871</v>
      </c>
    </row>
    <row r="14970" customFormat="false" ht="15.75" hidden="false" customHeight="false" outlineLevel="0" collapsed="false">
      <c r="A14970" s="6" t="n">
        <f aca="false">DATE(2026,8,9)</f>
        <v>46243</v>
      </c>
      <c r="B14970" s="4" t="s">
        <v>334</v>
      </c>
      <c r="C14970" s="4" t="n">
        <v>12</v>
      </c>
      <c r="D14970" s="4" t="n">
        <v>8</v>
      </c>
      <c r="E14970" s="4"/>
      <c r="F14970" s="4" t="n">
        <v>52</v>
      </c>
      <c r="G14970" s="4" t="n">
        <v>3</v>
      </c>
      <c r="H14970" s="4" t="n">
        <v>4</v>
      </c>
      <c r="I14970" s="4" t="str">
        <v>×</v>
      </c>
      <c r="J14970" s="4"/>
      <c r="K14970" s="4"/>
      <c r="L14970" s="4"/>
      <c r="M14970" s="7" t="s">
        <v>6871</v>
      </c>
    </row>
    <row r="14971" customFormat="false" ht="15.75" hidden="false" customHeight="false" outlineLevel="0" collapsed="false">
      <c r="A14971" s="6" t="n">
        <f aca="false">DATE(2026,8,9)</f>
        <v>46243</v>
      </c>
      <c r="B14971" s="4" t="s">
        <v>334</v>
      </c>
      <c r="C14971" s="4" t="n">
        <v>12</v>
      </c>
      <c r="D14971" s="4" t="n">
        <v>5</v>
      </c>
      <c r="E14971" s="4" t="s">
        <v>1340</v>
      </c>
      <c r="F14971" s="4" t="n">
        <v>44</v>
      </c>
      <c r="G14971" s="4" t="n">
        <v>4</v>
      </c>
      <c r="H14971" s="4" t="n">
        <v>2</v>
      </c>
      <c r="I14971" s="4" t="str">
        <v>○</v>
      </c>
      <c r="J14971" s="4" t="n">
        <v>250</v>
      </c>
      <c r="K14971" s="4"/>
      <c r="L14971" s="4"/>
      <c r="M14971" s="7" t="s">
        <v>6871</v>
      </c>
    </row>
    <row r="14972" customFormat="false" ht="15.75" hidden="false" customHeight="false" outlineLevel="0" collapsed="false">
      <c r="A14972" s="6" t="n">
        <f aca="false">DATE(2026,8,9)</f>
        <v>46243</v>
      </c>
      <c r="B14972" s="4" t="s">
        <v>334</v>
      </c>
      <c r="C14972" s="4" t="n">
        <v>12</v>
      </c>
      <c r="D14972" s="4" t="n">
        <v>4</v>
      </c>
      <c r="E14972" s="4" t="s">
        <v>2969</v>
      </c>
      <c r="F14972" s="4" t="n">
        <v>41</v>
      </c>
      <c r="G14972" s="4" t="n">
        <v>5</v>
      </c>
      <c r="H14972" s="4" t="n">
        <v>1</v>
      </c>
      <c r="I14972" s="4" t="str">
        <v>○</v>
      </c>
      <c r="J14972" s="4" t="n">
        <v>190</v>
      </c>
      <c r="K14972" s="4"/>
      <c r="L14972" s="4"/>
      <c r="M14972" s="7" t="s">
        <v>6871</v>
      </c>
    </row>
    <row r="14973" customFormat="false" ht="15.75" hidden="false" customHeight="false" outlineLevel="0" collapsed="false">
      <c r="A14973" s="6" t="n">
        <f aca="false">DATE(2026,8,9)</f>
        <v>46243</v>
      </c>
      <c r="B14973" s="4" t="s">
        <v>334</v>
      </c>
      <c r="C14973" s="4" t="n">
        <v>12</v>
      </c>
      <c r="D14973" s="4" t="n">
        <v>2</v>
      </c>
      <c r="E14973" s="4"/>
      <c r="F14973" s="4" t="n">
        <v>39</v>
      </c>
      <c r="G14973" s="4" t="n">
        <v>6</v>
      </c>
      <c r="H14973" s="4" t="n">
        <v>4</v>
      </c>
      <c r="I14973" s="4" t="str">
        <v>×</v>
      </c>
      <c r="J14973" s="4"/>
      <c r="K14973" s="4"/>
      <c r="L14973" s="4"/>
      <c r="M14973" s="7" t="s">
        <v>6871</v>
      </c>
    </row>
    <row r="14974" customFormat="false" ht="15.75" hidden="false" customHeight="false" outlineLevel="0" collapsed="false">
      <c r="A14974" s="6" t="n">
        <f aca="false">DATE(2026,8,9)</f>
        <v>46243</v>
      </c>
      <c r="B14974" s="4" t="s">
        <v>334</v>
      </c>
      <c r="C14974" s="4" t="n">
        <v>12</v>
      </c>
      <c r="D14974" s="4" t="n">
        <v>3</v>
      </c>
      <c r="E14974" s="4"/>
      <c r="F14974" s="4" t="n">
        <v>20</v>
      </c>
      <c r="G14974" s="4" t="n">
        <v>7</v>
      </c>
      <c r="H14974" s="4" t="n">
        <v>4</v>
      </c>
      <c r="I14974" s="4" t="str">
        <v>×</v>
      </c>
      <c r="J14974" s="4"/>
      <c r="K14974" s="4"/>
      <c r="L14974" s="4"/>
      <c r="M14974" s="7" t="s">
        <v>6871</v>
      </c>
    </row>
    <row r="14975" customFormat="false" ht="15.75" hidden="false" customHeight="false" outlineLevel="0" collapsed="false">
      <c r="A14975" s="6" t="n">
        <f aca="false">DATE(2026,8,9)</f>
        <v>46243</v>
      </c>
      <c r="B14975" s="4" t="s">
        <v>334</v>
      </c>
      <c r="C14975" s="4" t="n">
        <v>12</v>
      </c>
      <c r="D14975" s="4" t="n">
        <v>6</v>
      </c>
      <c r="E14975" s="4"/>
      <c r="F14975" s="4" t="n">
        <v>13</v>
      </c>
      <c r="G14975" s="4" t="n">
        <v>8</v>
      </c>
      <c r="H14975" s="4" t="n">
        <v>4</v>
      </c>
      <c r="I14975" s="4" t="str">
        <v>×</v>
      </c>
      <c r="J14975" s="4"/>
      <c r="K14975" s="4"/>
      <c r="L14975" s="4"/>
      <c r="M14975" s="7" t="s">
        <v>6871</v>
      </c>
    </row>
    <row r="14976" customFormat="false" ht="15.75" hidden="false" customHeight="false" outlineLevel="0" collapsed="false">
      <c r="A14976" s="6" t="n">
        <f aca="false">DATE(2026,5,9)</f>
        <v>46151</v>
      </c>
      <c r="B14976" s="4" t="s">
        <v>5435</v>
      </c>
      <c r="C14976" s="4" t="n">
        <v>1</v>
      </c>
      <c r="D14976" s="4" t="n">
        <v>10</v>
      </c>
      <c r="E14976" s="4" t="s">
        <v>748</v>
      </c>
      <c r="F14976" s="4" t="n">
        <v>60</v>
      </c>
      <c r="G14976" s="4" t="n">
        <v>1</v>
      </c>
      <c r="H14976" s="4" t="n">
        <v>4</v>
      </c>
      <c r="I14976" s="4" t="str">
        <v>×</v>
      </c>
      <c r="J14976" s="4"/>
      <c r="K14976" s="4"/>
      <c r="L14976" s="4"/>
      <c r="M14976" s="7" t="s">
        <v>6871</v>
      </c>
    </row>
    <row r="14977" customFormat="false" ht="15.75" hidden="false" customHeight="false" outlineLevel="0" collapsed="false">
      <c r="A14977" s="6" t="n">
        <f aca="false">DATE(2026,5,9)</f>
        <v>46151</v>
      </c>
      <c r="B14977" s="4" t="s">
        <v>5435</v>
      </c>
      <c r="C14977" s="4" t="n">
        <v>1</v>
      </c>
      <c r="D14977" s="4" t="n">
        <v>5</v>
      </c>
      <c r="E14977" s="4" t="s">
        <v>1149</v>
      </c>
      <c r="F14977" s="4" t="n">
        <v>47</v>
      </c>
      <c r="G14977" s="4" t="n">
        <v>2</v>
      </c>
      <c r="H14977" s="4" t="n">
        <v>4</v>
      </c>
      <c r="I14977" s="4" t="str">
        <v>×</v>
      </c>
      <c r="J14977" s="4"/>
      <c r="K14977" s="4"/>
      <c r="L14977" s="4"/>
      <c r="M14977" s="7" t="s">
        <v>6871</v>
      </c>
    </row>
    <row r="14978" customFormat="false" ht="15.75" hidden="false" customHeight="false" outlineLevel="0" collapsed="false">
      <c r="A14978" s="6" t="n">
        <f aca="false">DATE(2026,5,9)</f>
        <v>46151</v>
      </c>
      <c r="B14978" s="4" t="s">
        <v>5435</v>
      </c>
      <c r="C14978" s="4" t="n">
        <v>1</v>
      </c>
      <c r="D14978" s="4" t="n">
        <v>7</v>
      </c>
      <c r="E14978" s="4" t="s">
        <v>1729</v>
      </c>
      <c r="F14978" s="4" t="n">
        <v>47</v>
      </c>
      <c r="G14978" s="4" t="n">
        <v>3</v>
      </c>
      <c r="H14978" s="4" t="n">
        <v>2</v>
      </c>
      <c r="I14978" s="4" t="str">
        <v>○</v>
      </c>
      <c r="J14978" s="4" t="n">
        <v>170</v>
      </c>
      <c r="K14978" s="4"/>
      <c r="L14978" s="4"/>
      <c r="M14978" s="7" t="s">
        <v>6871</v>
      </c>
    </row>
    <row r="14979" customFormat="false" ht="15.75" hidden="false" customHeight="false" outlineLevel="0" collapsed="false">
      <c r="A14979" s="6" t="n">
        <f aca="false">DATE(2026,5,9)</f>
        <v>46151</v>
      </c>
      <c r="B14979" s="4" t="s">
        <v>5435</v>
      </c>
      <c r="C14979" s="4" t="n">
        <v>1</v>
      </c>
      <c r="D14979" s="4" t="n">
        <v>15</v>
      </c>
      <c r="E14979" s="4" t="s">
        <v>6931</v>
      </c>
      <c r="F14979" s="4" t="n">
        <v>47</v>
      </c>
      <c r="G14979" s="4" t="n">
        <v>4</v>
      </c>
      <c r="H14979" s="4" t="n">
        <v>1</v>
      </c>
      <c r="I14979" s="4" t="str">
        <v>○</v>
      </c>
      <c r="J14979" s="4" t="n">
        <v>140</v>
      </c>
      <c r="K14979" s="4"/>
      <c r="L14979" s="4"/>
      <c r="M14979" s="7" t="s">
        <v>6871</v>
      </c>
    </row>
    <row r="14980" customFormat="false" ht="15.75" hidden="false" customHeight="false" outlineLevel="0" collapsed="false">
      <c r="A14980" s="6" t="n">
        <f aca="false">DATE(2026,5,9)</f>
        <v>46151</v>
      </c>
      <c r="B14980" s="4" t="s">
        <v>5435</v>
      </c>
      <c r="C14980" s="4" t="n">
        <v>1</v>
      </c>
      <c r="D14980" s="4" t="n">
        <v>14</v>
      </c>
      <c r="E14980" s="4" t="s">
        <v>5896</v>
      </c>
      <c r="F14980" s="4" t="n">
        <v>34</v>
      </c>
      <c r="G14980" s="4" t="n">
        <v>5</v>
      </c>
      <c r="H14980" s="4" t="n">
        <v>3</v>
      </c>
      <c r="I14980" s="4" t="str">
        <v>○</v>
      </c>
      <c r="J14980" s="4" t="n">
        <v>250</v>
      </c>
      <c r="K14980" s="4"/>
      <c r="L14980" s="4"/>
      <c r="M14980" s="7" t="s">
        <v>6871</v>
      </c>
    </row>
    <row r="14981" customFormat="false" ht="15.75" hidden="false" customHeight="false" outlineLevel="0" collapsed="false">
      <c r="A14981" s="6" t="n">
        <f aca="false">DATE(2026,5,9)</f>
        <v>46151</v>
      </c>
      <c r="B14981" s="4" t="s">
        <v>5435</v>
      </c>
      <c r="C14981" s="4" t="n">
        <v>1</v>
      </c>
      <c r="D14981" s="4" t="n">
        <v>3</v>
      </c>
      <c r="E14981" s="4" t="s">
        <v>3917</v>
      </c>
      <c r="F14981" s="4" t="n">
        <v>25</v>
      </c>
      <c r="G14981" s="4" t="n">
        <v>6</v>
      </c>
      <c r="H14981" s="4" t="n">
        <v>4</v>
      </c>
      <c r="I14981" s="4" t="str">
        <v>×</v>
      </c>
      <c r="J14981" s="4"/>
      <c r="K14981" s="4"/>
      <c r="L14981" s="4"/>
      <c r="M14981" s="7" t="s">
        <v>6871</v>
      </c>
    </row>
    <row r="14982" customFormat="false" ht="15.75" hidden="false" customHeight="false" outlineLevel="0" collapsed="false">
      <c r="A14982" s="6" t="n">
        <f aca="false">DATE(2026,5,9)</f>
        <v>46151</v>
      </c>
      <c r="B14982" s="4" t="s">
        <v>5435</v>
      </c>
      <c r="C14982" s="4" t="n">
        <v>1</v>
      </c>
      <c r="D14982" s="4" t="n">
        <v>4</v>
      </c>
      <c r="E14982" s="4" t="s">
        <v>3916</v>
      </c>
      <c r="F14982" s="4" t="n">
        <v>17</v>
      </c>
      <c r="G14982" s="4" t="n">
        <v>7</v>
      </c>
      <c r="H14982" s="4" t="n">
        <v>4</v>
      </c>
      <c r="I14982" s="4" t="str">
        <v>×</v>
      </c>
      <c r="J14982" s="4"/>
      <c r="K14982" s="4"/>
      <c r="L14982" s="4"/>
      <c r="M14982" s="7" t="s">
        <v>6871</v>
      </c>
    </row>
    <row r="14983" customFormat="false" ht="15.75" hidden="false" customHeight="false" outlineLevel="0" collapsed="false">
      <c r="A14983" s="6" t="n">
        <f aca="false">DATE(2026,5,9)</f>
        <v>46151</v>
      </c>
      <c r="B14983" s="4" t="s">
        <v>5435</v>
      </c>
      <c r="C14983" s="4" t="n">
        <v>1</v>
      </c>
      <c r="D14983" s="4" t="n">
        <v>2</v>
      </c>
      <c r="E14983" s="4" t="s">
        <v>3886</v>
      </c>
      <c r="F14983" s="4" t="n">
        <v>8</v>
      </c>
      <c r="G14983" s="4" t="n">
        <v>8</v>
      </c>
      <c r="H14983" s="4" t="n">
        <v>4</v>
      </c>
      <c r="I14983" s="4" t="str">
        <v>×</v>
      </c>
      <c r="J14983" s="4"/>
      <c r="K14983" s="4"/>
      <c r="L14983" s="4"/>
      <c r="M14983" s="7" t="s">
        <v>6871</v>
      </c>
    </row>
    <row r="14984" customFormat="false" ht="15.75" hidden="false" customHeight="false" outlineLevel="0" collapsed="false">
      <c r="A14984" s="6" t="n">
        <f aca="false">DATE(2026,5,9)</f>
        <v>46151</v>
      </c>
      <c r="B14984" s="4" t="s">
        <v>5435</v>
      </c>
      <c r="C14984" s="4" t="n">
        <v>1</v>
      </c>
      <c r="D14984" s="4" t="n">
        <v>6</v>
      </c>
      <c r="E14984" s="4" t="s">
        <v>6932</v>
      </c>
      <c r="F14984" s="4" t="n">
        <v>6</v>
      </c>
      <c r="G14984" s="4" t="n">
        <v>9</v>
      </c>
      <c r="H14984" s="4" t="n">
        <v>4</v>
      </c>
      <c r="I14984" s="4" t="str">
        <v>×</v>
      </c>
      <c r="J14984" s="4"/>
      <c r="K14984" s="4"/>
      <c r="L14984" s="4"/>
      <c r="M14984" s="7" t="s">
        <v>6871</v>
      </c>
    </row>
    <row r="14985" customFormat="false" ht="15.75" hidden="false" customHeight="false" outlineLevel="0" collapsed="false">
      <c r="A14985" s="6" t="n">
        <f aca="false">DATE(2026,5,9)</f>
        <v>46151</v>
      </c>
      <c r="B14985" s="4" t="s">
        <v>5435</v>
      </c>
      <c r="C14985" s="4" t="n">
        <v>1</v>
      </c>
      <c r="D14985" s="4" t="n">
        <v>8</v>
      </c>
      <c r="E14985" s="4" t="s">
        <v>2064</v>
      </c>
      <c r="F14985" s="4" t="n">
        <v>4</v>
      </c>
      <c r="G14985" s="4" t="n">
        <v>10</v>
      </c>
      <c r="H14985" s="4" t="n">
        <v>4</v>
      </c>
      <c r="I14985" s="4" t="str">
        <v>×</v>
      </c>
      <c r="J14985" s="4"/>
      <c r="K14985" s="4"/>
      <c r="L14985" s="4"/>
      <c r="M14985" s="7" t="s">
        <v>6871</v>
      </c>
    </row>
    <row r="14986" customFormat="false" ht="15.75" hidden="false" customHeight="false" outlineLevel="0" collapsed="false">
      <c r="A14986" s="6" t="n">
        <f aca="false">DATE(2026,5,9)</f>
        <v>46151</v>
      </c>
      <c r="B14986" s="4" t="s">
        <v>5435</v>
      </c>
      <c r="C14986" s="4" t="n">
        <v>1</v>
      </c>
      <c r="D14986" s="4" t="n">
        <v>9</v>
      </c>
      <c r="E14986" s="4" t="s">
        <v>3452</v>
      </c>
      <c r="F14986" s="4" t="n">
        <v>4</v>
      </c>
      <c r="G14986" s="4" t="n">
        <v>11</v>
      </c>
      <c r="H14986" s="4" t="n">
        <v>4</v>
      </c>
      <c r="I14986" s="4" t="str">
        <v>×</v>
      </c>
      <c r="J14986" s="4"/>
      <c r="K14986" s="4"/>
      <c r="L14986" s="4"/>
      <c r="M14986" s="7" t="s">
        <v>6871</v>
      </c>
    </row>
    <row r="14987" customFormat="false" ht="15.75" hidden="false" customHeight="false" outlineLevel="0" collapsed="false">
      <c r="A14987" s="6" t="n">
        <f aca="false">DATE(2026,5,9)</f>
        <v>46151</v>
      </c>
      <c r="B14987" s="4" t="s">
        <v>5435</v>
      </c>
      <c r="C14987" s="4" t="n">
        <v>1</v>
      </c>
      <c r="D14987" s="4" t="n">
        <v>11</v>
      </c>
      <c r="E14987" s="4" t="s">
        <v>4596</v>
      </c>
      <c r="F14987" s="4" t="n">
        <v>4</v>
      </c>
      <c r="G14987" s="4" t="n">
        <v>12</v>
      </c>
      <c r="H14987" s="4" t="n">
        <v>4</v>
      </c>
      <c r="I14987" s="4" t="str">
        <v>×</v>
      </c>
      <c r="J14987" s="4"/>
      <c r="K14987" s="4"/>
      <c r="L14987" s="4"/>
      <c r="M14987" s="7" t="s">
        <v>6871</v>
      </c>
    </row>
    <row r="14988" customFormat="false" ht="15.75" hidden="false" customHeight="false" outlineLevel="0" collapsed="false">
      <c r="A14988" s="6" t="n">
        <f aca="false">DATE(2026,5,9)</f>
        <v>46151</v>
      </c>
      <c r="B14988" s="4" t="s">
        <v>5435</v>
      </c>
      <c r="C14988" s="4" t="n">
        <v>1</v>
      </c>
      <c r="D14988" s="4" t="n">
        <v>13</v>
      </c>
      <c r="E14988" s="4" t="s">
        <v>686</v>
      </c>
      <c r="F14988" s="4" t="n">
        <v>4</v>
      </c>
      <c r="G14988" s="4" t="n">
        <v>13</v>
      </c>
      <c r="H14988" s="4" t="n">
        <v>4</v>
      </c>
      <c r="I14988" s="4" t="str">
        <v>×</v>
      </c>
      <c r="J14988" s="4"/>
      <c r="K14988" s="4"/>
      <c r="L14988" s="4"/>
      <c r="M14988" s="7" t="s">
        <v>6871</v>
      </c>
    </row>
    <row r="14989" customFormat="false" ht="15.75" hidden="false" customHeight="false" outlineLevel="0" collapsed="false">
      <c r="A14989" s="6" t="n">
        <f aca="false">DATE(2026,5,9)</f>
        <v>46151</v>
      </c>
      <c r="B14989" s="4" t="s">
        <v>5435</v>
      </c>
      <c r="C14989" s="4" t="n">
        <v>1</v>
      </c>
      <c r="D14989" s="4" t="n">
        <v>16</v>
      </c>
      <c r="E14989" s="4" t="s">
        <v>323</v>
      </c>
      <c r="F14989" s="4" t="n">
        <v>4</v>
      </c>
      <c r="G14989" s="4" t="n">
        <v>14</v>
      </c>
      <c r="H14989" s="4" t="n">
        <v>4</v>
      </c>
      <c r="I14989" s="4" t="str">
        <v>×</v>
      </c>
      <c r="J14989" s="4"/>
      <c r="K14989" s="4"/>
      <c r="L14989" s="4"/>
      <c r="M14989" s="7" t="s">
        <v>6871</v>
      </c>
    </row>
    <row r="14990" customFormat="false" ht="15.75" hidden="false" customHeight="false" outlineLevel="0" collapsed="false">
      <c r="A14990" s="6" t="n">
        <f aca="false">DATE(2026,5,9)</f>
        <v>46151</v>
      </c>
      <c r="B14990" s="4" t="s">
        <v>5435</v>
      </c>
      <c r="C14990" s="4" t="n">
        <v>1</v>
      </c>
      <c r="D14990" s="4" t="n">
        <v>1</v>
      </c>
      <c r="E14990" s="4" t="s">
        <v>6933</v>
      </c>
      <c r="F14990" s="4" t="n">
        <v>3</v>
      </c>
      <c r="G14990" s="4" t="n">
        <v>15</v>
      </c>
      <c r="H14990" s="4" t="n">
        <v>4</v>
      </c>
      <c r="I14990" s="4" t="str">
        <v>×</v>
      </c>
      <c r="J14990" s="4"/>
      <c r="K14990" s="4"/>
      <c r="L14990" s="4"/>
      <c r="M14990" s="7" t="s">
        <v>6871</v>
      </c>
    </row>
    <row r="14991" customFormat="false" ht="15.75" hidden="false" customHeight="false" outlineLevel="0" collapsed="false">
      <c r="A14991" s="6" t="n">
        <f aca="false">DATE(2026,5,9)</f>
        <v>46151</v>
      </c>
      <c r="B14991" s="4" t="s">
        <v>5435</v>
      </c>
      <c r="C14991" s="4" t="n">
        <v>1</v>
      </c>
      <c r="D14991" s="4" t="n">
        <v>12</v>
      </c>
      <c r="E14991" s="4" t="s">
        <v>4182</v>
      </c>
      <c r="F14991" s="4" t="n">
        <v>3</v>
      </c>
      <c r="G14991" s="4" t="n">
        <v>16</v>
      </c>
      <c r="H14991" s="4" t="n">
        <v>4</v>
      </c>
      <c r="I14991" s="4" t="str">
        <v>×</v>
      </c>
      <c r="J14991" s="4"/>
      <c r="K14991" s="4"/>
      <c r="L14991" s="4"/>
      <c r="M14991" s="7" t="s">
        <v>6871</v>
      </c>
    </row>
    <row r="14992" customFormat="false" ht="15.75" hidden="false" customHeight="false" outlineLevel="0" collapsed="false">
      <c r="A14992" s="6" t="n">
        <f aca="false">DATE(2026,5,9)</f>
        <v>46151</v>
      </c>
      <c r="B14992" s="4" t="s">
        <v>5435</v>
      </c>
      <c r="C14992" s="4" t="n">
        <v>2</v>
      </c>
      <c r="D14992" s="4" t="n">
        <v>4</v>
      </c>
      <c r="E14992" s="4" t="s">
        <v>359</v>
      </c>
      <c r="F14992" s="4" t="n">
        <v>47</v>
      </c>
      <c r="G14992" s="4" t="n">
        <v>1</v>
      </c>
      <c r="H14992" s="4" t="n">
        <v>4</v>
      </c>
      <c r="I14992" s="4" t="str">
        <v>×</v>
      </c>
      <c r="J14992" s="4"/>
      <c r="K14992" s="4"/>
      <c r="L14992" s="4"/>
      <c r="M14992" s="7" t="s">
        <v>6871</v>
      </c>
    </row>
    <row r="14993" customFormat="false" ht="15.75" hidden="false" customHeight="false" outlineLevel="0" collapsed="false">
      <c r="A14993" s="6" t="n">
        <f aca="false">DATE(2026,5,9)</f>
        <v>46151</v>
      </c>
      <c r="B14993" s="4" t="s">
        <v>5435</v>
      </c>
      <c r="C14993" s="4" t="n">
        <v>2</v>
      </c>
      <c r="D14993" s="4" t="n">
        <v>9</v>
      </c>
      <c r="E14993" s="4" t="s">
        <v>3610</v>
      </c>
      <c r="F14993" s="4" t="n">
        <v>39</v>
      </c>
      <c r="G14993" s="4" t="n">
        <v>2</v>
      </c>
      <c r="H14993" s="4" t="n">
        <v>2</v>
      </c>
      <c r="I14993" s="4" t="str">
        <v>○</v>
      </c>
      <c r="J14993" s="4" t="n">
        <v>170</v>
      </c>
      <c r="K14993" s="4"/>
      <c r="L14993" s="4"/>
      <c r="M14993" s="7" t="s">
        <v>6871</v>
      </c>
    </row>
    <row r="14994" customFormat="false" ht="15.75" hidden="false" customHeight="false" outlineLevel="0" collapsed="false">
      <c r="A14994" s="6" t="n">
        <f aca="false">DATE(2026,5,9)</f>
        <v>46151</v>
      </c>
      <c r="B14994" s="4" t="s">
        <v>5435</v>
      </c>
      <c r="C14994" s="4" t="n">
        <v>2</v>
      </c>
      <c r="D14994" s="4" t="n">
        <v>5</v>
      </c>
      <c r="E14994" s="4" t="s">
        <v>4868</v>
      </c>
      <c r="F14994" s="4" t="n">
        <v>37</v>
      </c>
      <c r="G14994" s="4" t="n">
        <v>3</v>
      </c>
      <c r="H14994" s="4" t="n">
        <v>1</v>
      </c>
      <c r="I14994" s="4" t="str">
        <v>○</v>
      </c>
      <c r="J14994" s="4" t="n">
        <v>230</v>
      </c>
      <c r="K14994" s="4"/>
      <c r="L14994" s="4"/>
      <c r="M14994" s="7" t="s">
        <v>6871</v>
      </c>
    </row>
    <row r="14995" customFormat="false" ht="15.75" hidden="false" customHeight="false" outlineLevel="0" collapsed="false">
      <c r="A14995" s="6" t="n">
        <f aca="false">DATE(2026,5,9)</f>
        <v>46151</v>
      </c>
      <c r="B14995" s="4" t="s">
        <v>5435</v>
      </c>
      <c r="C14995" s="4" t="n">
        <v>2</v>
      </c>
      <c r="D14995" s="4" t="n">
        <v>1</v>
      </c>
      <c r="E14995" s="4" t="s">
        <v>5535</v>
      </c>
      <c r="F14995" s="4" t="n">
        <v>34</v>
      </c>
      <c r="G14995" s="4" t="n">
        <v>4</v>
      </c>
      <c r="H14995" s="4" t="n">
        <v>4</v>
      </c>
      <c r="I14995" s="4" t="str">
        <v>×</v>
      </c>
      <c r="J14995" s="4"/>
      <c r="K14995" s="4"/>
      <c r="L14995" s="4"/>
      <c r="M14995" s="7" t="s">
        <v>6871</v>
      </c>
    </row>
    <row r="14996" customFormat="false" ht="15.75" hidden="false" customHeight="false" outlineLevel="0" collapsed="false">
      <c r="A14996" s="6" t="n">
        <f aca="false">DATE(2026,5,9)</f>
        <v>46151</v>
      </c>
      <c r="B14996" s="4" t="s">
        <v>5435</v>
      </c>
      <c r="C14996" s="4" t="n">
        <v>2</v>
      </c>
      <c r="D14996" s="4" t="n">
        <v>6</v>
      </c>
      <c r="E14996" s="4" t="s">
        <v>5665</v>
      </c>
      <c r="F14996" s="4" t="n">
        <v>20</v>
      </c>
      <c r="G14996" s="4" t="n">
        <v>5</v>
      </c>
      <c r="H14996" s="4" t="n">
        <v>3</v>
      </c>
      <c r="I14996" s="4" t="str">
        <v>○</v>
      </c>
      <c r="J14996" s="4" t="n">
        <v>270</v>
      </c>
      <c r="K14996" s="4"/>
      <c r="L14996" s="4"/>
      <c r="M14996" s="7" t="s">
        <v>6871</v>
      </c>
    </row>
    <row r="14997" customFormat="false" ht="15.75" hidden="false" customHeight="false" outlineLevel="0" collapsed="false">
      <c r="A14997" s="6" t="n">
        <f aca="false">DATE(2026,5,9)</f>
        <v>46151</v>
      </c>
      <c r="B14997" s="4" t="s">
        <v>5435</v>
      </c>
      <c r="C14997" s="4" t="n">
        <v>2</v>
      </c>
      <c r="D14997" s="4" t="n">
        <v>2</v>
      </c>
      <c r="E14997" s="4" t="s">
        <v>6934</v>
      </c>
      <c r="F14997" s="4" t="n">
        <v>17</v>
      </c>
      <c r="G14997" s="4" t="n">
        <v>6</v>
      </c>
      <c r="H14997" s="4" t="n">
        <v>4</v>
      </c>
      <c r="I14997" s="4" t="str">
        <v>×</v>
      </c>
      <c r="J14997" s="4"/>
      <c r="K14997" s="4"/>
      <c r="L14997" s="4"/>
      <c r="M14997" s="7" t="s">
        <v>6871</v>
      </c>
    </row>
    <row r="14998" customFormat="false" ht="15.75" hidden="false" customHeight="false" outlineLevel="0" collapsed="false">
      <c r="A14998" s="6" t="n">
        <f aca="false">DATE(2026,5,9)</f>
        <v>46151</v>
      </c>
      <c r="B14998" s="4" t="s">
        <v>5435</v>
      </c>
      <c r="C14998" s="4" t="n">
        <v>2</v>
      </c>
      <c r="D14998" s="4" t="n">
        <v>10</v>
      </c>
      <c r="E14998" s="4" t="s">
        <v>4233</v>
      </c>
      <c r="F14998" s="4" t="n">
        <v>17</v>
      </c>
      <c r="G14998" s="4" t="n">
        <v>7</v>
      </c>
      <c r="H14998" s="4" t="n">
        <v>4</v>
      </c>
      <c r="I14998" s="4" t="str">
        <v>×</v>
      </c>
      <c r="J14998" s="4"/>
      <c r="K14998" s="4"/>
      <c r="L14998" s="4"/>
      <c r="M14998" s="7" t="s">
        <v>6871</v>
      </c>
    </row>
    <row r="14999" customFormat="false" ht="15.75" hidden="false" customHeight="false" outlineLevel="0" collapsed="false">
      <c r="A14999" s="6" t="n">
        <f aca="false">DATE(2026,5,9)</f>
        <v>46151</v>
      </c>
      <c r="B14999" s="4" t="s">
        <v>5435</v>
      </c>
      <c r="C14999" s="4" t="n">
        <v>2</v>
      </c>
      <c r="D14999" s="4" t="n">
        <v>11</v>
      </c>
      <c r="E14999" s="4" t="s">
        <v>2831</v>
      </c>
      <c r="F14999" s="4" t="n">
        <v>15</v>
      </c>
      <c r="G14999" s="4" t="n">
        <v>8</v>
      </c>
      <c r="H14999" s="4" t="n">
        <v>4</v>
      </c>
      <c r="I14999" s="4" t="str">
        <v>×</v>
      </c>
      <c r="J14999" s="4"/>
      <c r="K14999" s="4"/>
      <c r="L14999" s="4"/>
      <c r="M14999" s="7" t="s">
        <v>6871</v>
      </c>
    </row>
    <row r="15000" customFormat="false" ht="15.75" hidden="false" customHeight="false" outlineLevel="0" collapsed="false">
      <c r="A15000" s="6" t="n">
        <f aca="false">DATE(2026,5,9)</f>
        <v>46151</v>
      </c>
      <c r="B15000" s="4" t="s">
        <v>5435</v>
      </c>
      <c r="C15000" s="4" t="n">
        <v>2</v>
      </c>
      <c r="D15000" s="4" t="n">
        <v>12</v>
      </c>
      <c r="E15000" s="4" t="s">
        <v>6935</v>
      </c>
      <c r="F15000" s="4" t="n">
        <v>10</v>
      </c>
      <c r="G15000" s="4" t="n">
        <v>9</v>
      </c>
      <c r="H15000" s="4" t="n">
        <v>4</v>
      </c>
      <c r="I15000" s="4" t="str">
        <v>×</v>
      </c>
      <c r="J15000" s="4"/>
      <c r="K15000" s="4"/>
      <c r="L15000" s="4"/>
      <c r="M15000" s="7" t="s">
        <v>6871</v>
      </c>
    </row>
    <row r="15001" customFormat="false" ht="15.75" hidden="false" customHeight="false" outlineLevel="0" collapsed="false">
      <c r="A15001" s="6" t="n">
        <f aca="false">DATE(2026,5,9)</f>
        <v>46151</v>
      </c>
      <c r="B15001" s="4" t="s">
        <v>5435</v>
      </c>
      <c r="C15001" s="4" t="n">
        <v>2</v>
      </c>
      <c r="D15001" s="4" t="n">
        <v>13</v>
      </c>
      <c r="E15001" s="4" t="s">
        <v>6936</v>
      </c>
      <c r="F15001" s="4" t="n">
        <v>10</v>
      </c>
      <c r="G15001" s="4" t="n">
        <v>10</v>
      </c>
      <c r="H15001" s="4" t="n">
        <v>4</v>
      </c>
      <c r="I15001" s="4" t="str">
        <v>×</v>
      </c>
      <c r="J15001" s="4"/>
      <c r="K15001" s="4"/>
      <c r="L15001" s="4"/>
      <c r="M15001" s="7" t="s">
        <v>6871</v>
      </c>
    </row>
    <row r="15002" customFormat="false" ht="15.75" hidden="false" customHeight="false" outlineLevel="0" collapsed="false">
      <c r="A15002" s="6" t="n">
        <f aca="false">DATE(2026,5,9)</f>
        <v>46151</v>
      </c>
      <c r="B15002" s="4" t="s">
        <v>5435</v>
      </c>
      <c r="C15002" s="4" t="n">
        <v>2</v>
      </c>
      <c r="D15002" s="4" t="n">
        <v>7</v>
      </c>
      <c r="E15002" s="4" t="s">
        <v>5454</v>
      </c>
      <c r="F15002" s="4" t="n">
        <v>8</v>
      </c>
      <c r="G15002" s="4" t="n">
        <v>11</v>
      </c>
      <c r="H15002" s="4" t="n">
        <v>4</v>
      </c>
      <c r="I15002" s="4" t="str">
        <v>×</v>
      </c>
      <c r="J15002" s="4"/>
      <c r="K15002" s="4"/>
      <c r="L15002" s="4"/>
      <c r="M15002" s="7" t="s">
        <v>6871</v>
      </c>
    </row>
    <row r="15003" customFormat="false" ht="15.75" hidden="false" customHeight="false" outlineLevel="0" collapsed="false">
      <c r="A15003" s="6" t="n">
        <f aca="false">DATE(2026,5,9)</f>
        <v>46151</v>
      </c>
      <c r="B15003" s="4" t="s">
        <v>5435</v>
      </c>
      <c r="C15003" s="4" t="n">
        <v>2</v>
      </c>
      <c r="D15003" s="4" t="n">
        <v>8</v>
      </c>
      <c r="E15003" s="4" t="s">
        <v>6937</v>
      </c>
      <c r="F15003" s="4" t="n">
        <v>6</v>
      </c>
      <c r="G15003" s="4" t="n">
        <v>12</v>
      </c>
      <c r="H15003" s="4" t="n">
        <v>4</v>
      </c>
      <c r="I15003" s="4" t="str">
        <v>×</v>
      </c>
      <c r="J15003" s="4"/>
      <c r="K15003" s="4"/>
      <c r="L15003" s="4"/>
      <c r="M15003" s="7" t="s">
        <v>6871</v>
      </c>
    </row>
    <row r="15004" customFormat="false" ht="15.75" hidden="false" customHeight="false" outlineLevel="0" collapsed="false">
      <c r="A15004" s="6" t="n">
        <f aca="false">DATE(2026,5,9)</f>
        <v>46151</v>
      </c>
      <c r="B15004" s="4" t="s">
        <v>5435</v>
      </c>
      <c r="C15004" s="4" t="n">
        <v>2</v>
      </c>
      <c r="D15004" s="4" t="n">
        <v>14</v>
      </c>
      <c r="E15004" s="4" t="s">
        <v>6938</v>
      </c>
      <c r="F15004" s="4" t="n">
        <v>4</v>
      </c>
      <c r="G15004" s="4" t="n">
        <v>13</v>
      </c>
      <c r="H15004" s="4" t="n">
        <v>4</v>
      </c>
      <c r="I15004" s="4" t="str">
        <v>×</v>
      </c>
      <c r="J15004" s="4"/>
      <c r="K15004" s="4"/>
      <c r="L15004" s="4"/>
      <c r="M15004" s="7" t="s">
        <v>6871</v>
      </c>
    </row>
    <row r="15005" customFormat="false" ht="15.75" hidden="false" customHeight="false" outlineLevel="0" collapsed="false">
      <c r="A15005" s="6" t="n">
        <f aca="false">DATE(2026,5,9)</f>
        <v>46151</v>
      </c>
      <c r="B15005" s="4" t="s">
        <v>5435</v>
      </c>
      <c r="C15005" s="4" t="n">
        <v>2</v>
      </c>
      <c r="D15005" s="4" t="n">
        <v>3</v>
      </c>
      <c r="E15005" s="4" t="s">
        <v>6939</v>
      </c>
      <c r="F15005" s="4" t="n">
        <v>2</v>
      </c>
      <c r="G15005" s="4" t="n">
        <v>14</v>
      </c>
      <c r="H15005" s="4" t="n">
        <v>4</v>
      </c>
      <c r="I15005" s="4" t="str">
        <v>×</v>
      </c>
      <c r="J15005" s="4"/>
      <c r="K15005" s="4"/>
      <c r="L15005" s="4"/>
      <c r="M15005" s="7" t="s">
        <v>6871</v>
      </c>
    </row>
    <row r="15006" customFormat="false" ht="15.75" hidden="false" customHeight="false" outlineLevel="0" collapsed="false">
      <c r="A15006" s="6" t="n">
        <f aca="false">DATE(2026,5,9)</f>
        <v>46151</v>
      </c>
      <c r="B15006" s="4" t="s">
        <v>5435</v>
      </c>
      <c r="C15006" s="4" t="n">
        <v>2</v>
      </c>
      <c r="D15006" s="4" t="n">
        <v>15</v>
      </c>
      <c r="E15006" s="4" t="s">
        <v>3435</v>
      </c>
      <c r="F15006" s="4" t="n">
        <v>2</v>
      </c>
      <c r="G15006" s="4" t="n">
        <v>15</v>
      </c>
      <c r="H15006" s="4" t="n">
        <v>4</v>
      </c>
      <c r="I15006" s="4" t="str">
        <v>×</v>
      </c>
      <c r="J15006" s="4"/>
      <c r="K15006" s="4"/>
      <c r="L15006" s="4"/>
      <c r="M15006" s="7" t="s">
        <v>6871</v>
      </c>
    </row>
    <row r="15007" customFormat="false" ht="15.75" hidden="false" customHeight="false" outlineLevel="0" collapsed="false">
      <c r="A15007" s="6" t="n">
        <f aca="false">DATE(2026,5,9)</f>
        <v>46151</v>
      </c>
      <c r="B15007" s="4" t="s">
        <v>5435</v>
      </c>
      <c r="C15007" s="4" t="n">
        <v>3</v>
      </c>
      <c r="D15007" s="4" t="n">
        <v>3</v>
      </c>
      <c r="E15007" s="4" t="s">
        <v>3979</v>
      </c>
      <c r="F15007" s="4" t="n">
        <v>71</v>
      </c>
      <c r="G15007" s="4" t="n">
        <v>1</v>
      </c>
      <c r="H15007" s="4" t="n">
        <v>3</v>
      </c>
      <c r="I15007" s="4" t="str">
        <v>○</v>
      </c>
      <c r="J15007" s="4" t="n">
        <v>110</v>
      </c>
      <c r="K15007" s="4"/>
      <c r="L15007" s="4"/>
      <c r="M15007" s="7" t="s">
        <v>6871</v>
      </c>
    </row>
    <row r="15008" customFormat="false" ht="15.75" hidden="false" customHeight="false" outlineLevel="0" collapsed="false">
      <c r="A15008" s="6" t="n">
        <f aca="false">DATE(2026,5,9)</f>
        <v>46151</v>
      </c>
      <c r="B15008" s="4" t="s">
        <v>5435</v>
      </c>
      <c r="C15008" s="4" t="n">
        <v>3</v>
      </c>
      <c r="D15008" s="4" t="n">
        <v>6</v>
      </c>
      <c r="E15008" s="4" t="s">
        <v>776</v>
      </c>
      <c r="F15008" s="4" t="n">
        <v>41</v>
      </c>
      <c r="G15008" s="4" t="n">
        <v>2</v>
      </c>
      <c r="H15008" s="4" t="n">
        <v>2</v>
      </c>
      <c r="I15008" s="4" t="str">
        <v>○</v>
      </c>
      <c r="J15008" s="4" t="n">
        <v>110</v>
      </c>
      <c r="K15008" s="4"/>
      <c r="L15008" s="4"/>
      <c r="M15008" s="7" t="s">
        <v>6871</v>
      </c>
    </row>
    <row r="15009" customFormat="false" ht="15.75" hidden="false" customHeight="false" outlineLevel="0" collapsed="false">
      <c r="A15009" s="6" t="n">
        <f aca="false">DATE(2026,5,9)</f>
        <v>46151</v>
      </c>
      <c r="B15009" s="4" t="s">
        <v>5435</v>
      </c>
      <c r="C15009" s="4" t="n">
        <v>3</v>
      </c>
      <c r="D15009" s="4" t="n">
        <v>15</v>
      </c>
      <c r="E15009" s="4" t="s">
        <v>816</v>
      </c>
      <c r="F15009" s="4" t="n">
        <v>31</v>
      </c>
      <c r="G15009" s="4" t="n">
        <v>3</v>
      </c>
      <c r="H15009" s="4" t="n">
        <v>4</v>
      </c>
      <c r="I15009" s="4" t="str">
        <v>×</v>
      </c>
      <c r="J15009" s="4"/>
      <c r="K15009" s="4"/>
      <c r="L15009" s="4"/>
      <c r="M15009" s="7" t="s">
        <v>6871</v>
      </c>
    </row>
    <row r="15010" customFormat="false" ht="15.75" hidden="false" customHeight="false" outlineLevel="0" collapsed="false">
      <c r="A15010" s="6" t="n">
        <f aca="false">DATE(2026,5,9)</f>
        <v>46151</v>
      </c>
      <c r="B15010" s="4" t="s">
        <v>5435</v>
      </c>
      <c r="C15010" s="4" t="n">
        <v>3</v>
      </c>
      <c r="D15010" s="4" t="n">
        <v>10</v>
      </c>
      <c r="E15010" s="4" t="s">
        <v>3688</v>
      </c>
      <c r="F15010" s="4" t="n">
        <v>29</v>
      </c>
      <c r="G15010" s="4" t="n">
        <v>4</v>
      </c>
      <c r="H15010" s="4" t="n">
        <v>1</v>
      </c>
      <c r="I15010" s="4" t="str">
        <v>○</v>
      </c>
      <c r="J15010" s="4" t="n">
        <v>140</v>
      </c>
      <c r="K15010" s="4"/>
      <c r="L15010" s="4"/>
      <c r="M15010" s="7" t="s">
        <v>6871</v>
      </c>
    </row>
    <row r="15011" customFormat="false" ht="15.75" hidden="false" customHeight="false" outlineLevel="0" collapsed="false">
      <c r="A15011" s="6" t="n">
        <f aca="false">DATE(2026,5,9)</f>
        <v>46151</v>
      </c>
      <c r="B15011" s="4" t="s">
        <v>5435</v>
      </c>
      <c r="C15011" s="4" t="n">
        <v>3</v>
      </c>
      <c r="D15011" s="4" t="n">
        <v>14</v>
      </c>
      <c r="E15011" s="4" t="s">
        <v>6940</v>
      </c>
      <c r="F15011" s="4" t="n">
        <v>29</v>
      </c>
      <c r="G15011" s="4" t="n">
        <v>5</v>
      </c>
      <c r="H15011" s="4" t="n">
        <v>4</v>
      </c>
      <c r="I15011" s="4" t="str">
        <v>×</v>
      </c>
      <c r="J15011" s="4"/>
      <c r="K15011" s="4"/>
      <c r="L15011" s="4"/>
      <c r="M15011" s="7" t="s">
        <v>6871</v>
      </c>
    </row>
    <row r="15012" customFormat="false" ht="15.75" hidden="false" customHeight="false" outlineLevel="0" collapsed="false">
      <c r="A15012" s="6" t="n">
        <f aca="false">DATE(2026,5,9)</f>
        <v>46151</v>
      </c>
      <c r="B15012" s="4" t="s">
        <v>5435</v>
      </c>
      <c r="C15012" s="4" t="n">
        <v>3</v>
      </c>
      <c r="D15012" s="4" t="n">
        <v>11</v>
      </c>
      <c r="E15012" s="4" t="s">
        <v>6941</v>
      </c>
      <c r="F15012" s="4" t="n">
        <v>20</v>
      </c>
      <c r="G15012" s="4" t="n">
        <v>6</v>
      </c>
      <c r="H15012" s="4" t="n">
        <v>4</v>
      </c>
      <c r="I15012" s="4" t="str">
        <v>×</v>
      </c>
      <c r="J15012" s="4"/>
      <c r="K15012" s="4"/>
      <c r="L15012" s="4"/>
      <c r="M15012" s="7" t="s">
        <v>6871</v>
      </c>
    </row>
    <row r="15013" customFormat="false" ht="15.75" hidden="false" customHeight="false" outlineLevel="0" collapsed="false">
      <c r="A15013" s="6" t="n">
        <f aca="false">DATE(2026,5,9)</f>
        <v>46151</v>
      </c>
      <c r="B15013" s="4" t="s">
        <v>5435</v>
      </c>
      <c r="C15013" s="4" t="n">
        <v>3</v>
      </c>
      <c r="D15013" s="4" t="n">
        <v>1</v>
      </c>
      <c r="E15013" s="4" t="s">
        <v>5018</v>
      </c>
      <c r="F15013" s="4" t="n">
        <v>13</v>
      </c>
      <c r="G15013" s="4" t="n">
        <v>7</v>
      </c>
      <c r="H15013" s="4" t="n">
        <v>4</v>
      </c>
      <c r="I15013" s="4" t="str">
        <v>×</v>
      </c>
      <c r="J15013" s="4"/>
      <c r="K15013" s="4"/>
      <c r="L15013" s="4"/>
      <c r="M15013" s="7" t="s">
        <v>6871</v>
      </c>
    </row>
    <row r="15014" customFormat="false" ht="15.75" hidden="false" customHeight="false" outlineLevel="0" collapsed="false">
      <c r="A15014" s="6" t="n">
        <f aca="false">DATE(2026,5,9)</f>
        <v>46151</v>
      </c>
      <c r="B15014" s="4" t="s">
        <v>5435</v>
      </c>
      <c r="C15014" s="4" t="n">
        <v>3</v>
      </c>
      <c r="D15014" s="4" t="n">
        <v>8</v>
      </c>
      <c r="E15014" s="4" t="s">
        <v>3265</v>
      </c>
      <c r="F15014" s="4" t="n">
        <v>13</v>
      </c>
      <c r="G15014" s="4" t="n">
        <v>8</v>
      </c>
      <c r="H15014" s="4" t="n">
        <v>4</v>
      </c>
      <c r="I15014" s="4" t="str">
        <v>×</v>
      </c>
      <c r="J15014" s="4"/>
      <c r="K15014" s="4"/>
      <c r="L15014" s="4"/>
      <c r="M15014" s="7" t="s">
        <v>6871</v>
      </c>
    </row>
    <row r="15015" customFormat="false" ht="15.75" hidden="false" customHeight="false" outlineLevel="0" collapsed="false">
      <c r="A15015" s="6" t="n">
        <f aca="false">DATE(2026,5,9)</f>
        <v>46151</v>
      </c>
      <c r="B15015" s="4" t="s">
        <v>5435</v>
      </c>
      <c r="C15015" s="4" t="n">
        <v>3</v>
      </c>
      <c r="D15015" s="4" t="n">
        <v>16</v>
      </c>
      <c r="E15015" s="4" t="s">
        <v>2433</v>
      </c>
      <c r="F15015" s="4" t="n">
        <v>13</v>
      </c>
      <c r="G15015" s="4" t="n">
        <v>9</v>
      </c>
      <c r="H15015" s="4" t="n">
        <v>4</v>
      </c>
      <c r="I15015" s="4" t="str">
        <v>×</v>
      </c>
      <c r="J15015" s="4"/>
      <c r="K15015" s="4"/>
      <c r="L15015" s="4"/>
      <c r="M15015" s="7" t="s">
        <v>6871</v>
      </c>
    </row>
    <row r="15016" customFormat="false" ht="15.75" hidden="false" customHeight="false" outlineLevel="0" collapsed="false">
      <c r="A15016" s="6" t="n">
        <f aca="false">DATE(2026,5,9)</f>
        <v>46151</v>
      </c>
      <c r="B15016" s="4" t="s">
        <v>5435</v>
      </c>
      <c r="C15016" s="4" t="n">
        <v>3</v>
      </c>
      <c r="D15016" s="4" t="n">
        <v>12</v>
      </c>
      <c r="E15016" s="4" t="s">
        <v>5455</v>
      </c>
      <c r="F15016" s="4" t="n">
        <v>8</v>
      </c>
      <c r="G15016" s="4" t="n">
        <v>10</v>
      </c>
      <c r="H15016" s="4" t="n">
        <v>4</v>
      </c>
      <c r="I15016" s="4" t="str">
        <v>×</v>
      </c>
      <c r="J15016" s="4"/>
      <c r="K15016" s="4"/>
      <c r="L15016" s="4"/>
      <c r="M15016" s="7" t="s">
        <v>6871</v>
      </c>
    </row>
    <row r="15017" customFormat="false" ht="15.75" hidden="false" customHeight="false" outlineLevel="0" collapsed="false">
      <c r="A15017" s="6" t="n">
        <f aca="false">DATE(2026,5,9)</f>
        <v>46151</v>
      </c>
      <c r="B15017" s="4" t="s">
        <v>5435</v>
      </c>
      <c r="C15017" s="4" t="n">
        <v>3</v>
      </c>
      <c r="D15017" s="4" t="n">
        <v>5</v>
      </c>
      <c r="E15017" s="4" t="s">
        <v>941</v>
      </c>
      <c r="F15017" s="4" t="n">
        <v>4</v>
      </c>
      <c r="G15017" s="4" t="n">
        <v>11</v>
      </c>
      <c r="H15017" s="4" t="n">
        <v>4</v>
      </c>
      <c r="I15017" s="4" t="str">
        <v>×</v>
      </c>
      <c r="J15017" s="4"/>
      <c r="K15017" s="4"/>
      <c r="L15017" s="4"/>
      <c r="M15017" s="7" t="s">
        <v>6871</v>
      </c>
    </row>
    <row r="15018" customFormat="false" ht="15.75" hidden="false" customHeight="false" outlineLevel="0" collapsed="false">
      <c r="A15018" s="6" t="n">
        <f aca="false">DATE(2026,5,9)</f>
        <v>46151</v>
      </c>
      <c r="B15018" s="4" t="s">
        <v>5435</v>
      </c>
      <c r="C15018" s="4" t="n">
        <v>3</v>
      </c>
      <c r="D15018" s="4" t="n">
        <v>7</v>
      </c>
      <c r="E15018" s="4" t="s">
        <v>6942</v>
      </c>
      <c r="F15018" s="4" t="n">
        <v>4</v>
      </c>
      <c r="G15018" s="4" t="n">
        <v>12</v>
      </c>
      <c r="H15018" s="4" t="n">
        <v>4</v>
      </c>
      <c r="I15018" s="4" t="str">
        <v>×</v>
      </c>
      <c r="J15018" s="4"/>
      <c r="K15018" s="4"/>
      <c r="L15018" s="4"/>
      <c r="M15018" s="7" t="s">
        <v>6871</v>
      </c>
    </row>
    <row r="15019" customFormat="false" ht="15.75" hidden="false" customHeight="false" outlineLevel="0" collapsed="false">
      <c r="A15019" s="6" t="n">
        <f aca="false">DATE(2026,5,9)</f>
        <v>46151</v>
      </c>
      <c r="B15019" s="4" t="s">
        <v>5435</v>
      </c>
      <c r="C15019" s="4" t="n">
        <v>3</v>
      </c>
      <c r="D15019" s="4" t="n">
        <v>17</v>
      </c>
      <c r="E15019" s="4" t="s">
        <v>6943</v>
      </c>
      <c r="F15019" s="4" t="n">
        <v>4</v>
      </c>
      <c r="G15019" s="4" t="n">
        <v>13</v>
      </c>
      <c r="H15019" s="4" t="n">
        <v>4</v>
      </c>
      <c r="I15019" s="4" t="str">
        <v>×</v>
      </c>
      <c r="J15019" s="4"/>
      <c r="K15019" s="4"/>
      <c r="L15019" s="4"/>
      <c r="M15019" s="7" t="s">
        <v>6871</v>
      </c>
    </row>
    <row r="15020" customFormat="false" ht="15.75" hidden="false" customHeight="false" outlineLevel="0" collapsed="false">
      <c r="A15020" s="6" t="n">
        <f aca="false">DATE(2026,5,9)</f>
        <v>46151</v>
      </c>
      <c r="B15020" s="4" t="s">
        <v>5435</v>
      </c>
      <c r="C15020" s="4" t="n">
        <v>3</v>
      </c>
      <c r="D15020" s="4" t="n">
        <v>2</v>
      </c>
      <c r="E15020" s="4" t="s">
        <v>2820</v>
      </c>
      <c r="F15020" s="4" t="n">
        <v>3</v>
      </c>
      <c r="G15020" s="4" t="n">
        <v>14</v>
      </c>
      <c r="H15020" s="4" t="n">
        <v>4</v>
      </c>
      <c r="I15020" s="4" t="str">
        <v>×</v>
      </c>
      <c r="J15020" s="4"/>
      <c r="K15020" s="4"/>
      <c r="L15020" s="4"/>
      <c r="M15020" s="7" t="s">
        <v>6871</v>
      </c>
    </row>
    <row r="15021" customFormat="false" ht="15.75" hidden="false" customHeight="false" outlineLevel="0" collapsed="false">
      <c r="A15021" s="6" t="n">
        <f aca="false">DATE(2026,5,9)</f>
        <v>46151</v>
      </c>
      <c r="B15021" s="4" t="s">
        <v>5435</v>
      </c>
      <c r="C15021" s="4" t="n">
        <v>3</v>
      </c>
      <c r="D15021" s="4" t="n">
        <v>4</v>
      </c>
      <c r="E15021" s="4" t="s">
        <v>6944</v>
      </c>
      <c r="F15021" s="4" t="n">
        <v>3</v>
      </c>
      <c r="G15021" s="4" t="n">
        <v>15</v>
      </c>
      <c r="H15021" s="4" t="n">
        <v>4</v>
      </c>
      <c r="I15021" s="4" t="str">
        <v>×</v>
      </c>
      <c r="J15021" s="4"/>
      <c r="K15021" s="4"/>
      <c r="L15021" s="4"/>
      <c r="M15021" s="7" t="s">
        <v>6871</v>
      </c>
    </row>
    <row r="15022" customFormat="false" ht="15.75" hidden="false" customHeight="false" outlineLevel="0" collapsed="false">
      <c r="A15022" s="6" t="n">
        <f aca="false">DATE(2026,5,9)</f>
        <v>46151</v>
      </c>
      <c r="B15022" s="4" t="s">
        <v>5435</v>
      </c>
      <c r="C15022" s="4" t="n">
        <v>3</v>
      </c>
      <c r="D15022" s="4" t="n">
        <v>9</v>
      </c>
      <c r="E15022" s="4" t="s">
        <v>6945</v>
      </c>
      <c r="F15022" s="4" t="n">
        <v>2</v>
      </c>
      <c r="G15022" s="4" t="n">
        <v>16</v>
      </c>
      <c r="H15022" s="4" t="n">
        <v>4</v>
      </c>
      <c r="I15022" s="4" t="str">
        <v>×</v>
      </c>
      <c r="J15022" s="4"/>
      <c r="K15022" s="4"/>
      <c r="L15022" s="4"/>
      <c r="M15022" s="7" t="s">
        <v>6871</v>
      </c>
    </row>
    <row r="15023" customFormat="false" ht="15.75" hidden="false" customHeight="false" outlineLevel="0" collapsed="false">
      <c r="A15023" s="6" t="n">
        <f aca="false">DATE(2026,5,9)</f>
        <v>46151</v>
      </c>
      <c r="B15023" s="4" t="s">
        <v>5435</v>
      </c>
      <c r="C15023" s="4" t="n">
        <v>3</v>
      </c>
      <c r="D15023" s="4" t="n">
        <v>13</v>
      </c>
      <c r="E15023" s="4" t="s">
        <v>6946</v>
      </c>
      <c r="F15023" s="4" t="n">
        <v>2</v>
      </c>
      <c r="G15023" s="4" t="n">
        <v>17</v>
      </c>
      <c r="H15023" s="4" t="n">
        <v>4</v>
      </c>
      <c r="I15023" s="4" t="str">
        <v>×</v>
      </c>
      <c r="J15023" s="4"/>
      <c r="K15023" s="4"/>
      <c r="L15023" s="4"/>
      <c r="M15023" s="7" t="s">
        <v>6871</v>
      </c>
    </row>
    <row r="15024" customFormat="false" ht="15.75" hidden="false" customHeight="false" outlineLevel="0" collapsed="false">
      <c r="A15024" s="6" t="n">
        <f aca="false">DATE(2026,5,9)</f>
        <v>46151</v>
      </c>
      <c r="B15024" s="4" t="s">
        <v>5435</v>
      </c>
      <c r="C15024" s="4" t="n">
        <v>4</v>
      </c>
      <c r="D15024" s="4" t="n">
        <v>10</v>
      </c>
      <c r="E15024" s="4" t="s">
        <v>3149</v>
      </c>
      <c r="F15024" s="4" t="n">
        <v>52</v>
      </c>
      <c r="G15024" s="4" t="n">
        <v>1</v>
      </c>
      <c r="H15024" s="4" t="n">
        <v>4</v>
      </c>
      <c r="I15024" s="4" t="str">
        <v>×</v>
      </c>
      <c r="J15024" s="4"/>
      <c r="K15024" s="4"/>
      <c r="L15024" s="4"/>
      <c r="M15024" s="7" t="s">
        <v>6871</v>
      </c>
    </row>
    <row r="15025" customFormat="false" ht="15.75" hidden="false" customHeight="false" outlineLevel="0" collapsed="false">
      <c r="A15025" s="6" t="n">
        <f aca="false">DATE(2026,5,9)</f>
        <v>46151</v>
      </c>
      <c r="B15025" s="4" t="s">
        <v>5435</v>
      </c>
      <c r="C15025" s="4" t="n">
        <v>4</v>
      </c>
      <c r="D15025" s="4" t="n">
        <v>13</v>
      </c>
      <c r="E15025" s="4" t="s">
        <v>211</v>
      </c>
      <c r="F15025" s="4" t="n">
        <v>47</v>
      </c>
      <c r="G15025" s="4" t="n">
        <v>2</v>
      </c>
      <c r="H15025" s="4" t="n">
        <v>3</v>
      </c>
      <c r="I15025" s="4" t="str">
        <v>○</v>
      </c>
      <c r="J15025" s="4" t="n">
        <v>150</v>
      </c>
      <c r="K15025" s="4"/>
      <c r="L15025" s="4"/>
      <c r="M15025" s="7" t="s">
        <v>6871</v>
      </c>
    </row>
    <row r="15026" customFormat="false" ht="15.75" hidden="false" customHeight="false" outlineLevel="0" collapsed="false">
      <c r="A15026" s="6" t="n">
        <f aca="false">DATE(2026,5,9)</f>
        <v>46151</v>
      </c>
      <c r="B15026" s="4" t="s">
        <v>5435</v>
      </c>
      <c r="C15026" s="4" t="n">
        <v>4</v>
      </c>
      <c r="D15026" s="4" t="n">
        <v>14</v>
      </c>
      <c r="E15026" s="4" t="s">
        <v>6947</v>
      </c>
      <c r="F15026" s="4" t="n">
        <v>39</v>
      </c>
      <c r="G15026" s="4" t="n">
        <v>3</v>
      </c>
      <c r="H15026" s="4" t="n">
        <v>4</v>
      </c>
      <c r="I15026" s="4" t="str">
        <v>×</v>
      </c>
      <c r="J15026" s="4"/>
      <c r="K15026" s="4"/>
      <c r="L15026" s="4"/>
      <c r="M15026" s="7" t="s">
        <v>6871</v>
      </c>
    </row>
    <row r="15027" customFormat="false" ht="15.75" hidden="false" customHeight="false" outlineLevel="0" collapsed="false">
      <c r="A15027" s="6" t="n">
        <f aca="false">DATE(2026,5,9)</f>
        <v>46151</v>
      </c>
      <c r="B15027" s="4" t="s">
        <v>5435</v>
      </c>
      <c r="C15027" s="4" t="n">
        <v>4</v>
      </c>
      <c r="D15027" s="4" t="n">
        <v>2</v>
      </c>
      <c r="E15027" s="4" t="s">
        <v>5457</v>
      </c>
      <c r="F15027" s="4" t="n">
        <v>34</v>
      </c>
      <c r="G15027" s="4" t="n">
        <v>4</v>
      </c>
      <c r="H15027" s="4" t="n">
        <v>4</v>
      </c>
      <c r="I15027" s="4" t="str">
        <v>×</v>
      </c>
      <c r="J15027" s="4"/>
      <c r="K15027" s="4"/>
      <c r="L15027" s="4"/>
      <c r="M15027" s="7" t="s">
        <v>6871</v>
      </c>
    </row>
    <row r="15028" customFormat="false" ht="15.75" hidden="false" customHeight="false" outlineLevel="0" collapsed="false">
      <c r="A15028" s="6" t="n">
        <f aca="false">DATE(2026,5,9)</f>
        <v>46151</v>
      </c>
      <c r="B15028" s="4" t="s">
        <v>5435</v>
      </c>
      <c r="C15028" s="4" t="n">
        <v>4</v>
      </c>
      <c r="D15028" s="4" t="n">
        <v>6</v>
      </c>
      <c r="E15028" s="4" t="s">
        <v>3150</v>
      </c>
      <c r="F15028" s="4" t="n">
        <v>25</v>
      </c>
      <c r="G15028" s="4" t="n">
        <v>5</v>
      </c>
      <c r="H15028" s="4" t="n">
        <v>2</v>
      </c>
      <c r="I15028" s="4" t="str">
        <v>○</v>
      </c>
      <c r="J15028" s="4" t="n">
        <v>160</v>
      </c>
      <c r="K15028" s="4"/>
      <c r="L15028" s="4"/>
      <c r="M15028" s="7" t="s">
        <v>6871</v>
      </c>
    </row>
    <row r="15029" customFormat="false" ht="15.75" hidden="false" customHeight="false" outlineLevel="0" collapsed="false">
      <c r="A15029" s="6" t="n">
        <f aca="false">DATE(2026,5,9)</f>
        <v>46151</v>
      </c>
      <c r="B15029" s="4" t="s">
        <v>5435</v>
      </c>
      <c r="C15029" s="4" t="n">
        <v>4</v>
      </c>
      <c r="D15029" s="4" t="n">
        <v>8</v>
      </c>
      <c r="E15029" s="4" t="s">
        <v>6948</v>
      </c>
      <c r="F15029" s="4" t="n">
        <v>25</v>
      </c>
      <c r="G15029" s="4" t="n">
        <v>6</v>
      </c>
      <c r="H15029" s="4" t="n">
        <v>1</v>
      </c>
      <c r="I15029" s="4" t="str">
        <v>○</v>
      </c>
      <c r="J15029" s="4" t="n">
        <v>180</v>
      </c>
      <c r="K15029" s="4"/>
      <c r="L15029" s="4"/>
      <c r="M15029" s="7" t="s">
        <v>6871</v>
      </c>
    </row>
    <row r="15030" customFormat="false" ht="15.75" hidden="false" customHeight="false" outlineLevel="0" collapsed="false">
      <c r="A15030" s="6" t="n">
        <f aca="false">DATE(2026,5,9)</f>
        <v>46151</v>
      </c>
      <c r="B15030" s="4" t="s">
        <v>5435</v>
      </c>
      <c r="C15030" s="4" t="n">
        <v>4</v>
      </c>
      <c r="D15030" s="4" t="n">
        <v>7</v>
      </c>
      <c r="E15030" s="4" t="s">
        <v>2054</v>
      </c>
      <c r="F15030" s="4" t="n">
        <v>23</v>
      </c>
      <c r="G15030" s="4" t="n">
        <v>7</v>
      </c>
      <c r="H15030" s="4" t="n">
        <v>4</v>
      </c>
      <c r="I15030" s="4" t="str">
        <v>×</v>
      </c>
      <c r="J15030" s="4"/>
      <c r="K15030" s="4"/>
      <c r="L15030" s="4"/>
      <c r="M15030" s="7" t="s">
        <v>6871</v>
      </c>
    </row>
    <row r="15031" customFormat="false" ht="15.75" hidden="false" customHeight="false" outlineLevel="0" collapsed="false">
      <c r="A15031" s="6" t="n">
        <f aca="false">DATE(2026,5,9)</f>
        <v>46151</v>
      </c>
      <c r="B15031" s="4" t="s">
        <v>5435</v>
      </c>
      <c r="C15031" s="4" t="n">
        <v>4</v>
      </c>
      <c r="D15031" s="4" t="n">
        <v>1</v>
      </c>
      <c r="E15031" s="4" t="s">
        <v>1595</v>
      </c>
      <c r="F15031" s="4" t="n">
        <v>13</v>
      </c>
      <c r="G15031" s="4" t="n">
        <v>8</v>
      </c>
      <c r="H15031" s="4" t="n">
        <v>4</v>
      </c>
      <c r="I15031" s="4" t="str">
        <v>×</v>
      </c>
      <c r="J15031" s="4"/>
      <c r="K15031" s="4"/>
      <c r="L15031" s="4"/>
      <c r="M15031" s="7" t="s">
        <v>6871</v>
      </c>
    </row>
    <row r="15032" customFormat="false" ht="15.75" hidden="false" customHeight="false" outlineLevel="0" collapsed="false">
      <c r="A15032" s="6" t="n">
        <f aca="false">DATE(2026,5,9)</f>
        <v>46151</v>
      </c>
      <c r="B15032" s="4" t="s">
        <v>5435</v>
      </c>
      <c r="C15032" s="4" t="n">
        <v>4</v>
      </c>
      <c r="D15032" s="4" t="n">
        <v>4</v>
      </c>
      <c r="E15032" s="4" t="s">
        <v>2926</v>
      </c>
      <c r="F15032" s="4" t="n">
        <v>8</v>
      </c>
      <c r="G15032" s="4" t="n">
        <v>9</v>
      </c>
      <c r="H15032" s="4" t="n">
        <v>4</v>
      </c>
      <c r="I15032" s="4" t="str">
        <v>×</v>
      </c>
      <c r="J15032" s="4"/>
      <c r="K15032" s="4"/>
      <c r="L15032" s="4"/>
      <c r="M15032" s="7" t="s">
        <v>6871</v>
      </c>
    </row>
    <row r="15033" customFormat="false" ht="15.75" hidden="false" customHeight="false" outlineLevel="0" collapsed="false">
      <c r="A15033" s="6" t="n">
        <f aca="false">DATE(2026,5,9)</f>
        <v>46151</v>
      </c>
      <c r="B15033" s="4" t="s">
        <v>5435</v>
      </c>
      <c r="C15033" s="4" t="n">
        <v>4</v>
      </c>
      <c r="D15033" s="4" t="n">
        <v>11</v>
      </c>
      <c r="E15033" s="4" t="s">
        <v>1588</v>
      </c>
      <c r="F15033" s="4" t="n">
        <v>8</v>
      </c>
      <c r="G15033" s="4" t="n">
        <v>10</v>
      </c>
      <c r="H15033" s="4" t="n">
        <v>4</v>
      </c>
      <c r="I15033" s="4" t="str">
        <v>×</v>
      </c>
      <c r="J15033" s="4"/>
      <c r="K15033" s="4"/>
      <c r="L15033" s="4"/>
      <c r="M15033" s="7" t="s">
        <v>6871</v>
      </c>
    </row>
    <row r="15034" customFormat="false" ht="15.75" hidden="false" customHeight="false" outlineLevel="0" collapsed="false">
      <c r="A15034" s="6" t="n">
        <f aca="false">DATE(2026,5,9)</f>
        <v>46151</v>
      </c>
      <c r="B15034" s="4" t="s">
        <v>5435</v>
      </c>
      <c r="C15034" s="4" t="n">
        <v>4</v>
      </c>
      <c r="D15034" s="4" t="n">
        <v>3</v>
      </c>
      <c r="E15034" s="4" t="s">
        <v>2835</v>
      </c>
      <c r="F15034" s="4" t="n">
        <v>4</v>
      </c>
      <c r="G15034" s="4" t="n">
        <v>11</v>
      </c>
      <c r="H15034" s="4" t="n">
        <v>4</v>
      </c>
      <c r="I15034" s="4" t="str">
        <v>×</v>
      </c>
      <c r="J15034" s="4"/>
      <c r="K15034" s="4"/>
      <c r="L15034" s="4"/>
      <c r="M15034" s="7" t="s">
        <v>6871</v>
      </c>
    </row>
    <row r="15035" customFormat="false" ht="15.75" hidden="false" customHeight="false" outlineLevel="0" collapsed="false">
      <c r="A15035" s="6" t="n">
        <f aca="false">DATE(2026,5,9)</f>
        <v>46151</v>
      </c>
      <c r="B15035" s="4" t="s">
        <v>5435</v>
      </c>
      <c r="C15035" s="4" t="n">
        <v>4</v>
      </c>
      <c r="D15035" s="4" t="n">
        <v>9</v>
      </c>
      <c r="E15035" s="4" t="s">
        <v>6949</v>
      </c>
      <c r="F15035" s="4" t="n">
        <v>4</v>
      </c>
      <c r="G15035" s="4" t="n">
        <v>12</v>
      </c>
      <c r="H15035" s="4" t="n">
        <v>4</v>
      </c>
      <c r="I15035" s="4" t="str">
        <v>×</v>
      </c>
      <c r="J15035" s="4"/>
      <c r="K15035" s="4"/>
      <c r="L15035" s="4"/>
      <c r="M15035" s="7" t="s">
        <v>6871</v>
      </c>
    </row>
    <row r="15036" customFormat="false" ht="15.75" hidden="false" customHeight="false" outlineLevel="0" collapsed="false">
      <c r="A15036" s="6" t="n">
        <f aca="false">DATE(2026,5,9)</f>
        <v>46151</v>
      </c>
      <c r="B15036" s="4" t="s">
        <v>5435</v>
      </c>
      <c r="C15036" s="4" t="n">
        <v>4</v>
      </c>
      <c r="D15036" s="4" t="n">
        <v>12</v>
      </c>
      <c r="E15036" s="4" t="s">
        <v>6950</v>
      </c>
      <c r="F15036" s="4" t="n">
        <v>4</v>
      </c>
      <c r="G15036" s="4" t="n">
        <v>13</v>
      </c>
      <c r="H15036" s="4" t="n">
        <v>4</v>
      </c>
      <c r="I15036" s="4" t="str">
        <v>×</v>
      </c>
      <c r="J15036" s="4"/>
      <c r="K15036" s="4"/>
      <c r="L15036" s="4"/>
      <c r="M15036" s="7" t="s">
        <v>6871</v>
      </c>
    </row>
    <row r="15037" customFormat="false" ht="15.75" hidden="false" customHeight="false" outlineLevel="0" collapsed="false">
      <c r="A15037" s="6" t="n">
        <f aca="false">DATE(2026,5,9)</f>
        <v>46151</v>
      </c>
      <c r="B15037" s="4" t="s">
        <v>5435</v>
      </c>
      <c r="C15037" s="4" t="n">
        <v>4</v>
      </c>
      <c r="D15037" s="4" t="n">
        <v>15</v>
      </c>
      <c r="E15037" s="4" t="s">
        <v>3598</v>
      </c>
      <c r="F15037" s="4" t="n">
        <v>4</v>
      </c>
      <c r="G15037" s="4" t="n">
        <v>14</v>
      </c>
      <c r="H15037" s="4" t="n">
        <v>4</v>
      </c>
      <c r="I15037" s="4" t="str">
        <v>×</v>
      </c>
      <c r="J15037" s="4"/>
      <c r="K15037" s="4"/>
      <c r="L15037" s="4"/>
      <c r="M15037" s="7" t="s">
        <v>6871</v>
      </c>
    </row>
    <row r="15038" customFormat="false" ht="15.75" hidden="false" customHeight="false" outlineLevel="0" collapsed="false">
      <c r="A15038" s="6" t="n">
        <f aca="false">DATE(2026,5,9)</f>
        <v>46151</v>
      </c>
      <c r="B15038" s="4" t="s">
        <v>5435</v>
      </c>
      <c r="C15038" s="4" t="n">
        <v>4</v>
      </c>
      <c r="D15038" s="4" t="n">
        <v>5</v>
      </c>
      <c r="E15038" s="4" t="s">
        <v>6951</v>
      </c>
      <c r="F15038" s="4" t="n">
        <v>3</v>
      </c>
      <c r="G15038" s="4" t="n">
        <v>15</v>
      </c>
      <c r="H15038" s="4" t="n">
        <v>4</v>
      </c>
      <c r="I15038" s="4" t="str">
        <v>×</v>
      </c>
      <c r="J15038" s="4"/>
      <c r="K15038" s="4"/>
      <c r="L15038" s="4"/>
      <c r="M15038" s="7" t="s">
        <v>6871</v>
      </c>
    </row>
    <row r="15039" customFormat="false" ht="15.75" hidden="false" customHeight="false" outlineLevel="0" collapsed="false">
      <c r="A15039" s="6" t="n">
        <f aca="false">DATE(2026,5,9)</f>
        <v>46151</v>
      </c>
      <c r="B15039" s="4" t="s">
        <v>5435</v>
      </c>
      <c r="C15039" s="4" t="n">
        <v>5</v>
      </c>
      <c r="D15039" s="4" t="n">
        <v>7</v>
      </c>
      <c r="E15039" s="4" t="s">
        <v>3403</v>
      </c>
      <c r="F15039" s="4" t="n">
        <v>67</v>
      </c>
      <c r="G15039" s="4" t="n">
        <v>1</v>
      </c>
      <c r="H15039" s="4" t="n">
        <v>1</v>
      </c>
      <c r="I15039" s="4" t="str">
        <v>○</v>
      </c>
      <c r="J15039" s="4" t="n">
        <v>110</v>
      </c>
      <c r="K15039" s="4"/>
      <c r="L15039" s="4"/>
      <c r="M15039" s="7" t="s">
        <v>6871</v>
      </c>
    </row>
    <row r="15040" customFormat="false" ht="15.75" hidden="false" customHeight="false" outlineLevel="0" collapsed="false">
      <c r="A15040" s="6" t="n">
        <f aca="false">DATE(2026,5,9)</f>
        <v>46151</v>
      </c>
      <c r="B15040" s="4" t="s">
        <v>5435</v>
      </c>
      <c r="C15040" s="4" t="n">
        <v>5</v>
      </c>
      <c r="D15040" s="4" t="n">
        <v>5</v>
      </c>
      <c r="E15040" s="4" t="s">
        <v>6586</v>
      </c>
      <c r="F15040" s="4" t="n">
        <v>44</v>
      </c>
      <c r="G15040" s="4" t="n">
        <v>2</v>
      </c>
      <c r="H15040" s="4" t="n">
        <v>4</v>
      </c>
      <c r="I15040" s="4" t="str">
        <v>×</v>
      </c>
      <c r="J15040" s="4"/>
      <c r="K15040" s="4"/>
      <c r="L15040" s="4"/>
      <c r="M15040" s="7" t="s">
        <v>6871</v>
      </c>
    </row>
    <row r="15041" customFormat="false" ht="15.75" hidden="false" customHeight="false" outlineLevel="0" collapsed="false">
      <c r="A15041" s="6" t="n">
        <f aca="false">DATE(2026,5,9)</f>
        <v>46151</v>
      </c>
      <c r="B15041" s="4" t="s">
        <v>5435</v>
      </c>
      <c r="C15041" s="4" t="n">
        <v>5</v>
      </c>
      <c r="D15041" s="4" t="n">
        <v>6</v>
      </c>
      <c r="E15041" s="4" t="s">
        <v>6952</v>
      </c>
      <c r="F15041" s="4" t="n">
        <v>41</v>
      </c>
      <c r="G15041" s="4" t="n">
        <v>3</v>
      </c>
      <c r="H15041" s="4" t="n">
        <v>4</v>
      </c>
      <c r="I15041" s="4" t="str">
        <v>×</v>
      </c>
      <c r="J15041" s="4"/>
      <c r="K15041" s="4"/>
      <c r="L15041" s="4"/>
      <c r="M15041" s="7" t="s">
        <v>6871</v>
      </c>
    </row>
    <row r="15042" customFormat="false" ht="15.75" hidden="false" customHeight="false" outlineLevel="0" collapsed="false">
      <c r="A15042" s="6" t="n">
        <f aca="false">DATE(2026,5,9)</f>
        <v>46151</v>
      </c>
      <c r="B15042" s="4" t="s">
        <v>5435</v>
      </c>
      <c r="C15042" s="4" t="n">
        <v>5</v>
      </c>
      <c r="D15042" s="4" t="n">
        <v>2</v>
      </c>
      <c r="E15042" s="4" t="s">
        <v>2106</v>
      </c>
      <c r="F15042" s="4" t="n">
        <v>39</v>
      </c>
      <c r="G15042" s="4" t="n">
        <v>4</v>
      </c>
      <c r="H15042" s="4" t="n">
        <v>4</v>
      </c>
      <c r="I15042" s="4" t="str">
        <v>×</v>
      </c>
      <c r="J15042" s="4"/>
      <c r="K15042" s="4"/>
      <c r="L15042" s="4"/>
      <c r="M15042" s="7" t="s">
        <v>6871</v>
      </c>
    </row>
    <row r="15043" customFormat="false" ht="15.75" hidden="false" customHeight="false" outlineLevel="0" collapsed="false">
      <c r="A15043" s="6" t="n">
        <f aca="false">DATE(2026,5,9)</f>
        <v>46151</v>
      </c>
      <c r="B15043" s="4" t="s">
        <v>5435</v>
      </c>
      <c r="C15043" s="4" t="n">
        <v>5</v>
      </c>
      <c r="D15043" s="4" t="n">
        <v>3</v>
      </c>
      <c r="E15043" s="4" t="s">
        <v>3202</v>
      </c>
      <c r="F15043" s="4" t="n">
        <v>31</v>
      </c>
      <c r="G15043" s="4" t="n">
        <v>5</v>
      </c>
      <c r="H15043" s="4" t="n">
        <v>2</v>
      </c>
      <c r="I15043" s="4" t="str">
        <v>○</v>
      </c>
      <c r="J15043" s="4" t="n">
        <v>120</v>
      </c>
      <c r="K15043" s="4"/>
      <c r="L15043" s="4"/>
      <c r="M15043" s="7" t="s">
        <v>6871</v>
      </c>
    </row>
    <row r="15044" customFormat="false" ht="15.75" hidden="false" customHeight="false" outlineLevel="0" collapsed="false">
      <c r="A15044" s="6" t="n">
        <f aca="false">DATE(2026,5,9)</f>
        <v>46151</v>
      </c>
      <c r="B15044" s="4" t="s">
        <v>5435</v>
      </c>
      <c r="C15044" s="4" t="n">
        <v>5</v>
      </c>
      <c r="D15044" s="4" t="n">
        <v>4</v>
      </c>
      <c r="E15044" s="4" t="s">
        <v>6953</v>
      </c>
      <c r="F15044" s="4" t="n">
        <v>31</v>
      </c>
      <c r="G15044" s="4" t="n">
        <v>6</v>
      </c>
      <c r="H15044" s="4" t="n">
        <v>4</v>
      </c>
      <c r="I15044" s="4" t="str">
        <v>×</v>
      </c>
      <c r="J15044" s="4"/>
      <c r="K15044" s="4"/>
      <c r="L15044" s="4"/>
      <c r="M15044" s="7" t="s">
        <v>6871</v>
      </c>
    </row>
    <row r="15045" customFormat="false" ht="15.75" hidden="false" customHeight="false" outlineLevel="0" collapsed="false">
      <c r="A15045" s="6" t="n">
        <f aca="false">DATE(2026,5,9)</f>
        <v>46151</v>
      </c>
      <c r="B15045" s="4" t="s">
        <v>5435</v>
      </c>
      <c r="C15045" s="4" t="n">
        <v>5</v>
      </c>
      <c r="D15045" s="4" t="n">
        <v>8</v>
      </c>
      <c r="E15045" s="4" t="s">
        <v>431</v>
      </c>
      <c r="F15045" s="4" t="n">
        <v>31</v>
      </c>
      <c r="G15045" s="4" t="n">
        <v>7</v>
      </c>
      <c r="H15045" s="4" t="n">
        <v>4</v>
      </c>
      <c r="I15045" s="4" t="str">
        <v>×</v>
      </c>
      <c r="J15045" s="4"/>
      <c r="K15045" s="4"/>
      <c r="L15045" s="4"/>
      <c r="M15045" s="7" t="s">
        <v>6871</v>
      </c>
    </row>
    <row r="15046" customFormat="false" ht="15.75" hidden="false" customHeight="false" outlineLevel="0" collapsed="false">
      <c r="A15046" s="6" t="n">
        <f aca="false">DATE(2026,5,9)</f>
        <v>46151</v>
      </c>
      <c r="B15046" s="4" t="s">
        <v>5435</v>
      </c>
      <c r="C15046" s="4" t="n">
        <v>5</v>
      </c>
      <c r="D15046" s="4" t="n">
        <v>1</v>
      </c>
      <c r="E15046" s="4" t="s">
        <v>6608</v>
      </c>
      <c r="F15046" s="4" t="n">
        <v>15</v>
      </c>
      <c r="G15046" s="4" t="n">
        <v>8</v>
      </c>
      <c r="H15046" s="4" t="n">
        <v>3</v>
      </c>
      <c r="I15046" s="4" t="str">
        <v>○</v>
      </c>
      <c r="J15046" s="4" t="n">
        <v>420</v>
      </c>
      <c r="K15046" s="4"/>
      <c r="L15046" s="4"/>
      <c r="M15046" s="7" t="s">
        <v>6871</v>
      </c>
    </row>
    <row r="15047" customFormat="false" ht="15.75" hidden="false" customHeight="false" outlineLevel="0" collapsed="false">
      <c r="A15047" s="6" t="n">
        <f aca="false">DATE(2026,5,9)</f>
        <v>46151</v>
      </c>
      <c r="B15047" s="4" t="s">
        <v>5435</v>
      </c>
      <c r="C15047" s="4" t="n">
        <v>6</v>
      </c>
      <c r="D15047" s="4" t="n">
        <v>4</v>
      </c>
      <c r="E15047" s="4" t="s">
        <v>526</v>
      </c>
      <c r="F15047" s="4" t="n">
        <v>52</v>
      </c>
      <c r="G15047" s="4" t="n">
        <v>1</v>
      </c>
      <c r="H15047" s="4" t="n">
        <v>4</v>
      </c>
      <c r="I15047" s="4" t="str">
        <v>×</v>
      </c>
      <c r="J15047" s="4"/>
      <c r="K15047" s="4"/>
      <c r="L15047" s="4"/>
      <c r="M15047" s="7" t="s">
        <v>6871</v>
      </c>
    </row>
    <row r="15048" customFormat="false" ht="15.75" hidden="false" customHeight="false" outlineLevel="0" collapsed="false">
      <c r="A15048" s="6" t="n">
        <f aca="false">DATE(2026,5,9)</f>
        <v>46151</v>
      </c>
      <c r="B15048" s="4" t="s">
        <v>5435</v>
      </c>
      <c r="C15048" s="4" t="n">
        <v>6</v>
      </c>
      <c r="D15048" s="4" t="n">
        <v>7</v>
      </c>
      <c r="E15048" s="4" t="s">
        <v>2655</v>
      </c>
      <c r="F15048" s="4" t="n">
        <v>44</v>
      </c>
      <c r="G15048" s="4" t="n">
        <v>2</v>
      </c>
      <c r="H15048" s="4" t="n">
        <v>2</v>
      </c>
      <c r="I15048" s="4" t="str">
        <v>○</v>
      </c>
      <c r="J15048" s="4" t="n">
        <v>190</v>
      </c>
      <c r="K15048" s="4"/>
      <c r="L15048" s="4"/>
      <c r="M15048" s="7" t="s">
        <v>6871</v>
      </c>
    </row>
    <row r="15049" customFormat="false" ht="15.75" hidden="false" customHeight="false" outlineLevel="0" collapsed="false">
      <c r="A15049" s="6" t="n">
        <f aca="false">DATE(2026,5,9)</f>
        <v>46151</v>
      </c>
      <c r="B15049" s="4" t="s">
        <v>5435</v>
      </c>
      <c r="C15049" s="4" t="n">
        <v>6</v>
      </c>
      <c r="D15049" s="4" t="n">
        <v>13</v>
      </c>
      <c r="E15049" s="4" t="s">
        <v>6954</v>
      </c>
      <c r="F15049" s="4" t="n">
        <v>41</v>
      </c>
      <c r="G15049" s="4" t="n">
        <v>3</v>
      </c>
      <c r="H15049" s="4" t="n">
        <v>4</v>
      </c>
      <c r="I15049" s="4" t="str">
        <v>×</v>
      </c>
      <c r="J15049" s="4"/>
      <c r="K15049" s="4"/>
      <c r="L15049" s="4"/>
      <c r="M15049" s="7" t="s">
        <v>6871</v>
      </c>
    </row>
    <row r="15050" customFormat="false" ht="15.75" hidden="false" customHeight="false" outlineLevel="0" collapsed="false">
      <c r="A15050" s="6" t="n">
        <f aca="false">DATE(2026,5,9)</f>
        <v>46151</v>
      </c>
      <c r="B15050" s="4" t="s">
        <v>5435</v>
      </c>
      <c r="C15050" s="4" t="n">
        <v>6</v>
      </c>
      <c r="D15050" s="4" t="n">
        <v>14</v>
      </c>
      <c r="E15050" s="4" t="s">
        <v>2272</v>
      </c>
      <c r="F15050" s="4" t="n">
        <v>39</v>
      </c>
      <c r="G15050" s="4" t="n">
        <v>4</v>
      </c>
      <c r="H15050" s="4" t="n">
        <v>4</v>
      </c>
      <c r="I15050" s="4" t="str">
        <v>×</v>
      </c>
      <c r="J15050" s="4"/>
      <c r="K15050" s="4"/>
      <c r="L15050" s="4"/>
      <c r="M15050" s="7" t="s">
        <v>6871</v>
      </c>
    </row>
    <row r="15051" customFormat="false" ht="15.75" hidden="false" customHeight="false" outlineLevel="0" collapsed="false">
      <c r="A15051" s="6" t="n">
        <f aca="false">DATE(2026,5,9)</f>
        <v>46151</v>
      </c>
      <c r="B15051" s="4" t="s">
        <v>5435</v>
      </c>
      <c r="C15051" s="4" t="n">
        <v>6</v>
      </c>
      <c r="D15051" s="4" t="n">
        <v>3</v>
      </c>
      <c r="E15051" s="4" t="s">
        <v>1637</v>
      </c>
      <c r="F15051" s="4" t="n">
        <v>31</v>
      </c>
      <c r="G15051" s="4" t="n">
        <v>5</v>
      </c>
      <c r="H15051" s="4" t="n">
        <v>4</v>
      </c>
      <c r="I15051" s="4" t="str">
        <v>×</v>
      </c>
      <c r="J15051" s="4"/>
      <c r="K15051" s="4"/>
      <c r="L15051" s="4"/>
      <c r="M15051" s="7" t="s">
        <v>6871</v>
      </c>
    </row>
    <row r="15052" customFormat="false" ht="15.75" hidden="false" customHeight="false" outlineLevel="0" collapsed="false">
      <c r="A15052" s="6" t="n">
        <f aca="false">DATE(2026,5,9)</f>
        <v>46151</v>
      </c>
      <c r="B15052" s="4" t="s">
        <v>5435</v>
      </c>
      <c r="C15052" s="4" t="n">
        <v>6</v>
      </c>
      <c r="D15052" s="4" t="n">
        <v>5</v>
      </c>
      <c r="E15052" s="4" t="s">
        <v>6955</v>
      </c>
      <c r="F15052" s="4" t="n">
        <v>23</v>
      </c>
      <c r="G15052" s="4" t="n">
        <v>6</v>
      </c>
      <c r="H15052" s="4" t="n">
        <v>3</v>
      </c>
      <c r="I15052" s="4" t="str">
        <v>○</v>
      </c>
      <c r="J15052" s="4" t="n">
        <v>220</v>
      </c>
      <c r="K15052" s="4"/>
      <c r="L15052" s="4"/>
      <c r="M15052" s="7" t="s">
        <v>6871</v>
      </c>
    </row>
    <row r="15053" customFormat="false" ht="15.75" hidden="false" customHeight="false" outlineLevel="0" collapsed="false">
      <c r="A15053" s="6" t="n">
        <f aca="false">DATE(2026,5,9)</f>
        <v>46151</v>
      </c>
      <c r="B15053" s="4" t="s">
        <v>5435</v>
      </c>
      <c r="C15053" s="4" t="n">
        <v>6</v>
      </c>
      <c r="D15053" s="4" t="n">
        <v>15</v>
      </c>
      <c r="E15053" s="4" t="s">
        <v>753</v>
      </c>
      <c r="F15053" s="4" t="n">
        <v>23</v>
      </c>
      <c r="G15053" s="4" t="n">
        <v>7</v>
      </c>
      <c r="H15053" s="4" t="n">
        <v>4</v>
      </c>
      <c r="I15053" s="4" t="str">
        <v>×</v>
      </c>
      <c r="J15053" s="4"/>
      <c r="K15053" s="4"/>
      <c r="L15053" s="4"/>
      <c r="M15053" s="7" t="s">
        <v>6871</v>
      </c>
    </row>
    <row r="15054" customFormat="false" ht="15.75" hidden="false" customHeight="false" outlineLevel="0" collapsed="false">
      <c r="A15054" s="6" t="n">
        <f aca="false">DATE(2026,5,9)</f>
        <v>46151</v>
      </c>
      <c r="B15054" s="4" t="s">
        <v>5435</v>
      </c>
      <c r="C15054" s="4" t="n">
        <v>6</v>
      </c>
      <c r="D15054" s="4" t="n">
        <v>12</v>
      </c>
      <c r="E15054" s="4" t="s">
        <v>2882</v>
      </c>
      <c r="F15054" s="4" t="n">
        <v>20</v>
      </c>
      <c r="G15054" s="4" t="n">
        <v>8</v>
      </c>
      <c r="H15054" s="4" t="n">
        <v>4</v>
      </c>
      <c r="I15054" s="4" t="str">
        <v>×</v>
      </c>
      <c r="J15054" s="4"/>
      <c r="K15054" s="4"/>
      <c r="L15054" s="4"/>
      <c r="M15054" s="7" t="s">
        <v>6871</v>
      </c>
    </row>
    <row r="15055" customFormat="false" ht="15.75" hidden="false" customHeight="false" outlineLevel="0" collapsed="false">
      <c r="A15055" s="6" t="n">
        <f aca="false">DATE(2026,5,9)</f>
        <v>46151</v>
      </c>
      <c r="B15055" s="4" t="s">
        <v>5435</v>
      </c>
      <c r="C15055" s="4" t="n">
        <v>6</v>
      </c>
      <c r="D15055" s="4" t="n">
        <v>9</v>
      </c>
      <c r="E15055" s="4" t="s">
        <v>6120</v>
      </c>
      <c r="F15055" s="4" t="n">
        <v>15</v>
      </c>
      <c r="G15055" s="4" t="n">
        <v>9</v>
      </c>
      <c r="H15055" s="4" t="n">
        <v>4</v>
      </c>
      <c r="I15055" s="4" t="str">
        <v>×</v>
      </c>
      <c r="J15055" s="4"/>
      <c r="K15055" s="4"/>
      <c r="L15055" s="4"/>
      <c r="M15055" s="7" t="s">
        <v>6871</v>
      </c>
    </row>
    <row r="15056" customFormat="false" ht="15.75" hidden="false" customHeight="false" outlineLevel="0" collapsed="false">
      <c r="A15056" s="6" t="n">
        <f aca="false">DATE(2026,5,9)</f>
        <v>46151</v>
      </c>
      <c r="B15056" s="4" t="s">
        <v>5435</v>
      </c>
      <c r="C15056" s="4" t="n">
        <v>6</v>
      </c>
      <c r="D15056" s="4" t="n">
        <v>6</v>
      </c>
      <c r="E15056" s="4" t="s">
        <v>740</v>
      </c>
      <c r="F15056" s="4" t="n">
        <v>13</v>
      </c>
      <c r="G15056" s="4" t="n">
        <v>10</v>
      </c>
      <c r="H15056" s="4" t="n">
        <v>4</v>
      </c>
      <c r="I15056" s="4" t="str">
        <v>×</v>
      </c>
      <c r="J15056" s="4"/>
      <c r="K15056" s="4"/>
      <c r="L15056" s="4"/>
      <c r="M15056" s="7" t="s">
        <v>6871</v>
      </c>
    </row>
    <row r="15057" customFormat="false" ht="15.75" hidden="false" customHeight="false" outlineLevel="0" collapsed="false">
      <c r="A15057" s="6" t="n">
        <f aca="false">DATE(2026,5,9)</f>
        <v>46151</v>
      </c>
      <c r="B15057" s="4" t="s">
        <v>5435</v>
      </c>
      <c r="C15057" s="4" t="n">
        <v>6</v>
      </c>
      <c r="D15057" s="4" t="n">
        <v>1</v>
      </c>
      <c r="E15057" s="4" t="s">
        <v>452</v>
      </c>
      <c r="F15057" s="4" t="n">
        <v>10</v>
      </c>
      <c r="G15057" s="4" t="n">
        <v>11</v>
      </c>
      <c r="H15057" s="4" t="n">
        <v>1</v>
      </c>
      <c r="I15057" s="4" t="str">
        <v>○</v>
      </c>
      <c r="J15057" s="4" t="n">
        <v>480</v>
      </c>
      <c r="K15057" s="4"/>
      <c r="L15057" s="4"/>
      <c r="M15057" s="7" t="s">
        <v>6871</v>
      </c>
    </row>
    <row r="15058" customFormat="false" ht="15.75" hidden="false" customHeight="false" outlineLevel="0" collapsed="false">
      <c r="A15058" s="6" t="n">
        <f aca="false">DATE(2026,5,9)</f>
        <v>46151</v>
      </c>
      <c r="B15058" s="4" t="s">
        <v>5435</v>
      </c>
      <c r="C15058" s="4" t="n">
        <v>6</v>
      </c>
      <c r="D15058" s="4" t="n">
        <v>10</v>
      </c>
      <c r="E15058" s="4" t="s">
        <v>1666</v>
      </c>
      <c r="F15058" s="4" t="n">
        <v>10</v>
      </c>
      <c r="G15058" s="4" t="n">
        <v>12</v>
      </c>
      <c r="H15058" s="4" t="n">
        <v>4</v>
      </c>
      <c r="I15058" s="4" t="str">
        <v>×</v>
      </c>
      <c r="J15058" s="4"/>
      <c r="K15058" s="4"/>
      <c r="L15058" s="4"/>
      <c r="M15058" s="7" t="s">
        <v>6871</v>
      </c>
    </row>
    <row r="15059" customFormat="false" ht="15.75" hidden="false" customHeight="false" outlineLevel="0" collapsed="false">
      <c r="A15059" s="6" t="n">
        <f aca="false">DATE(2026,5,9)</f>
        <v>46151</v>
      </c>
      <c r="B15059" s="4" t="s">
        <v>5435</v>
      </c>
      <c r="C15059" s="4" t="n">
        <v>6</v>
      </c>
      <c r="D15059" s="4" t="n">
        <v>16</v>
      </c>
      <c r="E15059" s="4" t="s">
        <v>6956</v>
      </c>
      <c r="F15059" s="4" t="n">
        <v>10</v>
      </c>
      <c r="G15059" s="4" t="n">
        <v>13</v>
      </c>
      <c r="H15059" s="4" t="n">
        <v>4</v>
      </c>
      <c r="I15059" s="4" t="str">
        <v>×</v>
      </c>
      <c r="J15059" s="4"/>
      <c r="K15059" s="4"/>
      <c r="L15059" s="4"/>
      <c r="M15059" s="7" t="s">
        <v>6871</v>
      </c>
    </row>
    <row r="15060" customFormat="false" ht="15.75" hidden="false" customHeight="false" outlineLevel="0" collapsed="false">
      <c r="A15060" s="6" t="n">
        <f aca="false">DATE(2026,5,9)</f>
        <v>46151</v>
      </c>
      <c r="B15060" s="4" t="s">
        <v>5435</v>
      </c>
      <c r="C15060" s="4" t="n">
        <v>6</v>
      </c>
      <c r="D15060" s="4" t="n">
        <v>11</v>
      </c>
      <c r="E15060" s="4" t="s">
        <v>6957</v>
      </c>
      <c r="F15060" s="4" t="n">
        <v>6</v>
      </c>
      <c r="G15060" s="4" t="n">
        <v>14</v>
      </c>
      <c r="H15060" s="4" t="n">
        <v>4</v>
      </c>
      <c r="I15060" s="4" t="str">
        <v>×</v>
      </c>
      <c r="J15060" s="4"/>
      <c r="K15060" s="4"/>
      <c r="L15060" s="4"/>
      <c r="M15060" s="7" t="s">
        <v>6871</v>
      </c>
    </row>
    <row r="15061" customFormat="false" ht="15.75" hidden="false" customHeight="false" outlineLevel="0" collapsed="false">
      <c r="A15061" s="6" t="n">
        <f aca="false">DATE(2026,5,9)</f>
        <v>46151</v>
      </c>
      <c r="B15061" s="4" t="s">
        <v>5435</v>
      </c>
      <c r="C15061" s="4" t="n">
        <v>6</v>
      </c>
      <c r="D15061" s="4" t="n">
        <v>2</v>
      </c>
      <c r="E15061" s="4" t="s">
        <v>6958</v>
      </c>
      <c r="F15061" s="4" t="n">
        <v>4</v>
      </c>
      <c r="G15061" s="4" t="n">
        <v>15</v>
      </c>
      <c r="H15061" s="4" t="n">
        <v>4</v>
      </c>
      <c r="I15061" s="4" t="str">
        <v>×</v>
      </c>
      <c r="J15061" s="4"/>
      <c r="K15061" s="4"/>
      <c r="L15061" s="4"/>
      <c r="M15061" s="7" t="s">
        <v>6871</v>
      </c>
    </row>
    <row r="15062" customFormat="false" ht="15.75" hidden="false" customHeight="false" outlineLevel="0" collapsed="false">
      <c r="A15062" s="6" t="n">
        <f aca="false">DATE(2026,5,9)</f>
        <v>46151</v>
      </c>
      <c r="B15062" s="4" t="s">
        <v>5435</v>
      </c>
      <c r="C15062" s="4" t="n">
        <v>6</v>
      </c>
      <c r="D15062" s="4" t="n">
        <v>8</v>
      </c>
      <c r="E15062" s="4" t="s">
        <v>6959</v>
      </c>
      <c r="F15062" s="4" t="n">
        <v>3</v>
      </c>
      <c r="G15062" s="4" t="n">
        <v>16</v>
      </c>
      <c r="H15062" s="4" t="n">
        <v>4</v>
      </c>
      <c r="I15062" s="4" t="str">
        <v>×</v>
      </c>
      <c r="J15062" s="4"/>
      <c r="K15062" s="4"/>
      <c r="L15062" s="4"/>
      <c r="M15062" s="7" t="s">
        <v>6871</v>
      </c>
    </row>
    <row r="15063" customFormat="false" ht="15.75" hidden="false" customHeight="false" outlineLevel="0" collapsed="false">
      <c r="A15063" s="6" t="n">
        <f aca="false">DATE(2026,5,9)</f>
        <v>46151</v>
      </c>
      <c r="B15063" s="4" t="s">
        <v>5435</v>
      </c>
      <c r="C15063" s="4" t="n">
        <v>7</v>
      </c>
      <c r="D15063" s="4" t="n">
        <v>11</v>
      </c>
      <c r="E15063" s="4" t="s">
        <v>4875</v>
      </c>
      <c r="F15063" s="4" t="n">
        <v>66</v>
      </c>
      <c r="G15063" s="4" t="n">
        <v>1</v>
      </c>
      <c r="H15063" s="4" t="n">
        <v>3</v>
      </c>
      <c r="I15063" s="4" t="str">
        <v>○</v>
      </c>
      <c r="J15063" s="4" t="n">
        <v>110</v>
      </c>
      <c r="K15063" s="4"/>
      <c r="L15063" s="4"/>
      <c r="M15063" s="7" t="s">
        <v>6871</v>
      </c>
    </row>
    <row r="15064" customFormat="false" ht="15.75" hidden="false" customHeight="false" outlineLevel="0" collapsed="false">
      <c r="A15064" s="6" t="n">
        <f aca="false">DATE(2026,5,9)</f>
        <v>46151</v>
      </c>
      <c r="B15064" s="4" t="s">
        <v>5435</v>
      </c>
      <c r="C15064" s="4" t="n">
        <v>7</v>
      </c>
      <c r="D15064" s="4" t="n">
        <v>5</v>
      </c>
      <c r="E15064" s="4" t="s">
        <v>302</v>
      </c>
      <c r="F15064" s="4" t="n">
        <v>58</v>
      </c>
      <c r="G15064" s="4" t="n">
        <v>2</v>
      </c>
      <c r="H15064" s="4" t="n">
        <v>4</v>
      </c>
      <c r="I15064" s="4" t="str">
        <v>×</v>
      </c>
      <c r="J15064" s="4"/>
      <c r="K15064" s="4"/>
      <c r="L15064" s="4"/>
      <c r="M15064" s="7" t="s">
        <v>6871</v>
      </c>
    </row>
    <row r="15065" customFormat="false" ht="15.75" hidden="false" customHeight="false" outlineLevel="0" collapsed="false">
      <c r="A15065" s="6" t="n">
        <f aca="false">DATE(2026,5,9)</f>
        <v>46151</v>
      </c>
      <c r="B15065" s="4" t="s">
        <v>5435</v>
      </c>
      <c r="C15065" s="4" t="n">
        <v>7</v>
      </c>
      <c r="D15065" s="4" t="n">
        <v>3</v>
      </c>
      <c r="E15065" s="4" t="s">
        <v>3498</v>
      </c>
      <c r="F15065" s="4" t="n">
        <v>23</v>
      </c>
      <c r="G15065" s="4" t="n">
        <v>3</v>
      </c>
      <c r="H15065" s="4" t="n">
        <v>4</v>
      </c>
      <c r="I15065" s="4" t="str">
        <v>×</v>
      </c>
      <c r="J15065" s="4"/>
      <c r="K15065" s="4"/>
      <c r="L15065" s="4"/>
      <c r="M15065" s="7" t="s">
        <v>6871</v>
      </c>
    </row>
    <row r="15066" customFormat="false" ht="15.75" hidden="false" customHeight="false" outlineLevel="0" collapsed="false">
      <c r="A15066" s="6" t="n">
        <f aca="false">DATE(2026,5,9)</f>
        <v>46151</v>
      </c>
      <c r="B15066" s="4" t="s">
        <v>5435</v>
      </c>
      <c r="C15066" s="4" t="n">
        <v>7</v>
      </c>
      <c r="D15066" s="4" t="n">
        <v>8</v>
      </c>
      <c r="E15066" s="4" t="s">
        <v>2512</v>
      </c>
      <c r="F15066" s="4" t="n">
        <v>23</v>
      </c>
      <c r="G15066" s="4" t="n">
        <v>4</v>
      </c>
      <c r="H15066" s="4" t="n">
        <v>1</v>
      </c>
      <c r="I15066" s="4" t="str">
        <v>○</v>
      </c>
      <c r="J15066" s="4" t="n">
        <v>150</v>
      </c>
      <c r="K15066" s="4"/>
      <c r="L15066" s="4"/>
      <c r="M15066" s="7" t="s">
        <v>6871</v>
      </c>
    </row>
    <row r="15067" customFormat="false" ht="15.75" hidden="false" customHeight="false" outlineLevel="0" collapsed="false">
      <c r="A15067" s="6" t="n">
        <f aca="false">DATE(2026,5,9)</f>
        <v>46151</v>
      </c>
      <c r="B15067" s="4" t="s">
        <v>5435</v>
      </c>
      <c r="C15067" s="4" t="n">
        <v>7</v>
      </c>
      <c r="D15067" s="4" t="n">
        <v>1</v>
      </c>
      <c r="E15067" s="4" t="s">
        <v>1332</v>
      </c>
      <c r="F15067" s="4" t="n">
        <v>17</v>
      </c>
      <c r="G15067" s="4" t="n">
        <v>5</v>
      </c>
      <c r="H15067" s="4" t="n">
        <v>4</v>
      </c>
      <c r="I15067" s="4" t="str">
        <v>×</v>
      </c>
      <c r="J15067" s="4"/>
      <c r="K15067" s="4"/>
      <c r="L15067" s="4"/>
      <c r="M15067" s="7" t="s">
        <v>6871</v>
      </c>
    </row>
    <row r="15068" customFormat="false" ht="15.75" hidden="false" customHeight="false" outlineLevel="0" collapsed="false">
      <c r="A15068" s="6" t="n">
        <f aca="false">DATE(2026,5,9)</f>
        <v>46151</v>
      </c>
      <c r="B15068" s="4" t="s">
        <v>5435</v>
      </c>
      <c r="C15068" s="4" t="n">
        <v>7</v>
      </c>
      <c r="D15068" s="4" t="n">
        <v>6</v>
      </c>
      <c r="E15068" s="4" t="s">
        <v>4867</v>
      </c>
      <c r="F15068" s="4" t="n">
        <v>17</v>
      </c>
      <c r="G15068" s="4" t="n">
        <v>6</v>
      </c>
      <c r="H15068" s="4" t="n">
        <v>2</v>
      </c>
      <c r="I15068" s="4" t="str">
        <v>○</v>
      </c>
      <c r="J15068" s="4" t="n">
        <v>270</v>
      </c>
      <c r="K15068" s="4"/>
      <c r="L15068" s="4"/>
      <c r="M15068" s="7" t="s">
        <v>6871</v>
      </c>
    </row>
    <row r="15069" customFormat="false" ht="15.75" hidden="false" customHeight="false" outlineLevel="0" collapsed="false">
      <c r="A15069" s="6" t="n">
        <f aca="false">DATE(2026,5,9)</f>
        <v>46151</v>
      </c>
      <c r="B15069" s="4" t="s">
        <v>5435</v>
      </c>
      <c r="C15069" s="4" t="n">
        <v>7</v>
      </c>
      <c r="D15069" s="4" t="n">
        <v>10</v>
      </c>
      <c r="E15069" s="4" t="s">
        <v>6960</v>
      </c>
      <c r="F15069" s="4" t="n">
        <v>17</v>
      </c>
      <c r="G15069" s="4" t="n">
        <v>7</v>
      </c>
      <c r="H15069" s="4" t="n">
        <v>4</v>
      </c>
      <c r="I15069" s="4" t="str">
        <v>×</v>
      </c>
      <c r="J15069" s="4"/>
      <c r="K15069" s="4"/>
      <c r="L15069" s="4"/>
      <c r="M15069" s="7" t="s">
        <v>6871</v>
      </c>
    </row>
    <row r="15070" customFormat="false" ht="15.75" hidden="false" customHeight="false" outlineLevel="0" collapsed="false">
      <c r="A15070" s="6" t="n">
        <f aca="false">DATE(2026,5,9)</f>
        <v>46151</v>
      </c>
      <c r="B15070" s="4" t="s">
        <v>5435</v>
      </c>
      <c r="C15070" s="4" t="n">
        <v>7</v>
      </c>
      <c r="D15070" s="4" t="n">
        <v>9</v>
      </c>
      <c r="E15070" s="4" t="s">
        <v>3961</v>
      </c>
      <c r="F15070" s="4" t="n">
        <v>15</v>
      </c>
      <c r="G15070" s="4" t="n">
        <v>8</v>
      </c>
      <c r="H15070" s="4" t="n">
        <v>4</v>
      </c>
      <c r="I15070" s="4" t="str">
        <v>×</v>
      </c>
      <c r="J15070" s="4"/>
      <c r="K15070" s="4"/>
      <c r="L15070" s="4"/>
      <c r="M15070" s="7" t="s">
        <v>6871</v>
      </c>
    </row>
    <row r="15071" customFormat="false" ht="15.75" hidden="false" customHeight="false" outlineLevel="0" collapsed="false">
      <c r="A15071" s="6" t="n">
        <f aca="false">DATE(2026,5,9)</f>
        <v>46151</v>
      </c>
      <c r="B15071" s="4" t="s">
        <v>5435</v>
      </c>
      <c r="C15071" s="4" t="n">
        <v>7</v>
      </c>
      <c r="D15071" s="4" t="n">
        <v>4</v>
      </c>
      <c r="E15071" s="4" t="s">
        <v>719</v>
      </c>
      <c r="F15071" s="4" t="n">
        <v>13</v>
      </c>
      <c r="G15071" s="4" t="n">
        <v>9</v>
      </c>
      <c r="H15071" s="4" t="n">
        <v>4</v>
      </c>
      <c r="I15071" s="4" t="str">
        <v>×</v>
      </c>
      <c r="J15071" s="4"/>
      <c r="K15071" s="4"/>
      <c r="L15071" s="4"/>
      <c r="M15071" s="7" t="s">
        <v>6871</v>
      </c>
    </row>
    <row r="15072" customFormat="false" ht="15.75" hidden="false" customHeight="false" outlineLevel="0" collapsed="false">
      <c r="A15072" s="6" t="n">
        <f aca="false">DATE(2026,5,9)</f>
        <v>46151</v>
      </c>
      <c r="B15072" s="4" t="s">
        <v>5435</v>
      </c>
      <c r="C15072" s="4" t="n">
        <v>7</v>
      </c>
      <c r="D15072" s="4" t="n">
        <v>7</v>
      </c>
      <c r="E15072" s="4" t="s">
        <v>6961</v>
      </c>
      <c r="F15072" s="4" t="n">
        <v>8</v>
      </c>
      <c r="G15072" s="4" t="n">
        <v>10</v>
      </c>
      <c r="H15072" s="4" t="n">
        <v>4</v>
      </c>
      <c r="I15072" s="4" t="str">
        <v>×</v>
      </c>
      <c r="J15072" s="4"/>
      <c r="K15072" s="4"/>
      <c r="L15072" s="4"/>
      <c r="M15072" s="7" t="s">
        <v>6871</v>
      </c>
    </row>
    <row r="15073" customFormat="false" ht="15.75" hidden="false" customHeight="false" outlineLevel="0" collapsed="false">
      <c r="A15073" s="6" t="n">
        <f aca="false">DATE(2026,5,9)</f>
        <v>46151</v>
      </c>
      <c r="B15073" s="4" t="s">
        <v>5435</v>
      </c>
      <c r="C15073" s="4" t="n">
        <v>7</v>
      </c>
      <c r="D15073" s="4" t="n">
        <v>2</v>
      </c>
      <c r="E15073" s="4" t="s">
        <v>6962</v>
      </c>
      <c r="F15073" s="4" t="n">
        <v>4</v>
      </c>
      <c r="G15073" s="4" t="n">
        <v>11</v>
      </c>
      <c r="H15073" s="4" t="n">
        <v>4</v>
      </c>
      <c r="I15073" s="4" t="str">
        <v>×</v>
      </c>
      <c r="J15073" s="4"/>
      <c r="K15073" s="4"/>
      <c r="L15073" s="4"/>
      <c r="M15073" s="7" t="s">
        <v>6871</v>
      </c>
    </row>
    <row r="15074" customFormat="false" ht="15.75" hidden="false" customHeight="false" outlineLevel="0" collapsed="false">
      <c r="A15074" s="6" t="n">
        <f aca="false">DATE(2026,5,9)</f>
        <v>46151</v>
      </c>
      <c r="B15074" s="4" t="s">
        <v>5435</v>
      </c>
      <c r="C15074" s="4" t="n">
        <v>8</v>
      </c>
      <c r="D15074" s="4" t="n">
        <v>1</v>
      </c>
      <c r="E15074" s="4" t="s">
        <v>5726</v>
      </c>
      <c r="F15074" s="4" t="n">
        <v>74</v>
      </c>
      <c r="G15074" s="4" t="n">
        <v>1</v>
      </c>
      <c r="H15074" s="4" t="n">
        <v>2</v>
      </c>
      <c r="I15074" s="4" t="str">
        <v>○</v>
      </c>
      <c r="J15074" s="4" t="n">
        <v>150</v>
      </c>
      <c r="K15074" s="4"/>
      <c r="L15074" s="4"/>
      <c r="M15074" s="7" t="s">
        <v>6871</v>
      </c>
    </row>
    <row r="15075" customFormat="false" ht="15.75" hidden="false" customHeight="false" outlineLevel="0" collapsed="false">
      <c r="A15075" s="6" t="n">
        <f aca="false">DATE(2026,5,9)</f>
        <v>46151</v>
      </c>
      <c r="B15075" s="4" t="s">
        <v>5435</v>
      </c>
      <c r="C15075" s="4" t="n">
        <v>8</v>
      </c>
      <c r="D15075" s="4" t="n">
        <v>15</v>
      </c>
      <c r="E15075" s="4" t="s">
        <v>286</v>
      </c>
      <c r="F15075" s="4" t="n">
        <v>50</v>
      </c>
      <c r="G15075" s="4" t="n">
        <v>2</v>
      </c>
      <c r="H15075" s="4" t="n">
        <v>4</v>
      </c>
      <c r="I15075" s="4" t="str">
        <v>×</v>
      </c>
      <c r="J15075" s="4"/>
      <c r="K15075" s="4"/>
      <c r="L15075" s="4"/>
      <c r="M15075" s="7" t="s">
        <v>6871</v>
      </c>
    </row>
    <row r="15076" customFormat="false" ht="15.75" hidden="false" customHeight="false" outlineLevel="0" collapsed="false">
      <c r="A15076" s="6" t="n">
        <f aca="false">DATE(2026,5,9)</f>
        <v>46151</v>
      </c>
      <c r="B15076" s="4" t="s">
        <v>5435</v>
      </c>
      <c r="C15076" s="4" t="n">
        <v>8</v>
      </c>
      <c r="D15076" s="4" t="n">
        <v>4</v>
      </c>
      <c r="E15076" s="4" t="s">
        <v>2626</v>
      </c>
      <c r="F15076" s="4" t="n">
        <v>39</v>
      </c>
      <c r="G15076" s="4" t="n">
        <v>3</v>
      </c>
      <c r="H15076" s="4" t="n">
        <v>4</v>
      </c>
      <c r="I15076" s="4" t="str">
        <v>×</v>
      </c>
      <c r="J15076" s="4"/>
      <c r="K15076" s="4"/>
      <c r="L15076" s="4"/>
      <c r="M15076" s="7" t="s">
        <v>6871</v>
      </c>
    </row>
    <row r="15077" customFormat="false" ht="15.75" hidden="false" customHeight="false" outlineLevel="0" collapsed="false">
      <c r="A15077" s="6" t="n">
        <f aca="false">DATE(2026,5,9)</f>
        <v>46151</v>
      </c>
      <c r="B15077" s="4" t="s">
        <v>5435</v>
      </c>
      <c r="C15077" s="4" t="n">
        <v>8</v>
      </c>
      <c r="D15077" s="4" t="n">
        <v>6</v>
      </c>
      <c r="E15077" s="4" t="s">
        <v>4393</v>
      </c>
      <c r="F15077" s="4" t="n">
        <v>25</v>
      </c>
      <c r="G15077" s="4" t="n">
        <v>4</v>
      </c>
      <c r="H15077" s="4" t="n">
        <v>4</v>
      </c>
      <c r="I15077" s="4" t="str">
        <v>×</v>
      </c>
      <c r="J15077" s="4"/>
      <c r="K15077" s="4"/>
      <c r="L15077" s="4"/>
      <c r="M15077" s="7" t="s">
        <v>6871</v>
      </c>
    </row>
    <row r="15078" customFormat="false" ht="15.75" hidden="false" customHeight="false" outlineLevel="0" collapsed="false">
      <c r="A15078" s="6" t="n">
        <f aca="false">DATE(2026,5,9)</f>
        <v>46151</v>
      </c>
      <c r="B15078" s="4" t="s">
        <v>5435</v>
      </c>
      <c r="C15078" s="4" t="n">
        <v>8</v>
      </c>
      <c r="D15078" s="4" t="n">
        <v>13</v>
      </c>
      <c r="E15078" s="4" t="s">
        <v>5944</v>
      </c>
      <c r="F15078" s="4" t="n">
        <v>23</v>
      </c>
      <c r="G15078" s="4" t="n">
        <v>5</v>
      </c>
      <c r="H15078" s="4" t="n">
        <v>4</v>
      </c>
      <c r="I15078" s="4" t="str">
        <v>×</v>
      </c>
      <c r="J15078" s="4"/>
      <c r="K15078" s="4"/>
      <c r="L15078" s="4"/>
      <c r="M15078" s="7" t="s">
        <v>6871</v>
      </c>
    </row>
    <row r="15079" customFormat="false" ht="15.75" hidden="false" customHeight="false" outlineLevel="0" collapsed="false">
      <c r="A15079" s="6" t="n">
        <f aca="false">DATE(2026,5,9)</f>
        <v>46151</v>
      </c>
      <c r="B15079" s="4" t="s">
        <v>5435</v>
      </c>
      <c r="C15079" s="4" t="n">
        <v>8</v>
      </c>
      <c r="D15079" s="4" t="n">
        <v>3</v>
      </c>
      <c r="E15079" s="4" t="s">
        <v>289</v>
      </c>
      <c r="F15079" s="4" t="n">
        <v>10</v>
      </c>
      <c r="G15079" s="4" t="n">
        <v>6</v>
      </c>
      <c r="H15079" s="4" t="n">
        <v>4</v>
      </c>
      <c r="I15079" s="4" t="str">
        <v>×</v>
      </c>
      <c r="J15079" s="4"/>
      <c r="K15079" s="4"/>
      <c r="L15079" s="4"/>
      <c r="M15079" s="7" t="s">
        <v>6871</v>
      </c>
    </row>
    <row r="15080" customFormat="false" ht="15.75" hidden="false" customHeight="false" outlineLevel="0" collapsed="false">
      <c r="A15080" s="6" t="n">
        <f aca="false">DATE(2026,5,9)</f>
        <v>46151</v>
      </c>
      <c r="B15080" s="4" t="s">
        <v>5435</v>
      </c>
      <c r="C15080" s="4" t="n">
        <v>8</v>
      </c>
      <c r="D15080" s="4" t="n">
        <v>8</v>
      </c>
      <c r="E15080" s="4" t="s">
        <v>750</v>
      </c>
      <c r="F15080" s="4" t="n">
        <v>10</v>
      </c>
      <c r="G15080" s="4" t="n">
        <v>7</v>
      </c>
      <c r="H15080" s="4" t="n">
        <v>4</v>
      </c>
      <c r="I15080" s="4" t="str">
        <v>×</v>
      </c>
      <c r="J15080" s="4"/>
      <c r="K15080" s="4"/>
      <c r="L15080" s="4"/>
      <c r="M15080" s="7" t="s">
        <v>6871</v>
      </c>
    </row>
    <row r="15081" customFormat="false" ht="15.75" hidden="false" customHeight="false" outlineLevel="0" collapsed="false">
      <c r="A15081" s="6" t="n">
        <f aca="false">DATE(2026,5,9)</f>
        <v>46151</v>
      </c>
      <c r="B15081" s="4" t="s">
        <v>5435</v>
      </c>
      <c r="C15081" s="4" t="n">
        <v>8</v>
      </c>
      <c r="D15081" s="4" t="n">
        <v>10</v>
      </c>
      <c r="E15081" s="4" t="s">
        <v>311</v>
      </c>
      <c r="F15081" s="4" t="n">
        <v>8</v>
      </c>
      <c r="G15081" s="4" t="n">
        <v>8</v>
      </c>
      <c r="H15081" s="4" t="n">
        <v>4</v>
      </c>
      <c r="I15081" s="4" t="str">
        <v>×</v>
      </c>
      <c r="J15081" s="4"/>
      <c r="K15081" s="4"/>
      <c r="L15081" s="4"/>
      <c r="M15081" s="7" t="s">
        <v>6871</v>
      </c>
    </row>
    <row r="15082" customFormat="false" ht="15.75" hidden="false" customHeight="false" outlineLevel="0" collapsed="false">
      <c r="A15082" s="6" t="n">
        <f aca="false">DATE(2026,5,9)</f>
        <v>46151</v>
      </c>
      <c r="B15082" s="4" t="s">
        <v>5435</v>
      </c>
      <c r="C15082" s="4" t="n">
        <v>8</v>
      </c>
      <c r="D15082" s="4" t="n">
        <v>16</v>
      </c>
      <c r="E15082" s="4" t="s">
        <v>5691</v>
      </c>
      <c r="F15082" s="4" t="n">
        <v>8</v>
      </c>
      <c r="G15082" s="4" t="n">
        <v>9</v>
      </c>
      <c r="H15082" s="4" t="n">
        <v>4</v>
      </c>
      <c r="I15082" s="4" t="str">
        <v>×</v>
      </c>
      <c r="J15082" s="4"/>
      <c r="K15082" s="4"/>
      <c r="L15082" s="4"/>
      <c r="M15082" s="7" t="s">
        <v>6871</v>
      </c>
    </row>
    <row r="15083" customFormat="false" ht="15.75" hidden="false" customHeight="false" outlineLevel="0" collapsed="false">
      <c r="A15083" s="6" t="n">
        <f aca="false">DATE(2026,5,9)</f>
        <v>46151</v>
      </c>
      <c r="B15083" s="4" t="s">
        <v>5435</v>
      </c>
      <c r="C15083" s="4" t="n">
        <v>8</v>
      </c>
      <c r="D15083" s="4" t="n">
        <v>7</v>
      </c>
      <c r="E15083" s="4" t="s">
        <v>405</v>
      </c>
      <c r="F15083" s="4" t="n">
        <v>6</v>
      </c>
      <c r="G15083" s="4" t="n">
        <v>10</v>
      </c>
      <c r="H15083" s="4" t="n">
        <v>4</v>
      </c>
      <c r="I15083" s="4" t="str">
        <v>×</v>
      </c>
      <c r="J15083" s="4"/>
      <c r="K15083" s="4"/>
      <c r="L15083" s="4"/>
      <c r="M15083" s="7" t="s">
        <v>6871</v>
      </c>
    </row>
    <row r="15084" customFormat="false" ht="15.75" hidden="false" customHeight="false" outlineLevel="0" collapsed="false">
      <c r="A15084" s="6" t="n">
        <f aca="false">DATE(2026,5,9)</f>
        <v>46151</v>
      </c>
      <c r="B15084" s="4" t="s">
        <v>5435</v>
      </c>
      <c r="C15084" s="4" t="n">
        <v>8</v>
      </c>
      <c r="D15084" s="4" t="n">
        <v>11</v>
      </c>
      <c r="E15084" s="4" t="s">
        <v>5476</v>
      </c>
      <c r="F15084" s="4" t="n">
        <v>6</v>
      </c>
      <c r="G15084" s="4" t="n">
        <v>11</v>
      </c>
      <c r="H15084" s="4" t="n">
        <v>4</v>
      </c>
      <c r="I15084" s="4" t="str">
        <v>×</v>
      </c>
      <c r="J15084" s="4"/>
      <c r="K15084" s="4"/>
      <c r="L15084" s="4"/>
      <c r="M15084" s="7" t="s">
        <v>6871</v>
      </c>
    </row>
    <row r="15085" customFormat="false" ht="15.75" hidden="false" customHeight="false" outlineLevel="0" collapsed="false">
      <c r="A15085" s="6" t="n">
        <f aca="false">DATE(2026,5,9)</f>
        <v>46151</v>
      </c>
      <c r="B15085" s="4" t="s">
        <v>5435</v>
      </c>
      <c r="C15085" s="4" t="n">
        <v>8</v>
      </c>
      <c r="D15085" s="4" t="n">
        <v>14</v>
      </c>
      <c r="E15085" s="4" t="s">
        <v>4181</v>
      </c>
      <c r="F15085" s="4" t="n">
        <v>6</v>
      </c>
      <c r="G15085" s="4" t="n">
        <v>12</v>
      </c>
      <c r="H15085" s="4" t="n">
        <v>3</v>
      </c>
      <c r="I15085" s="4" t="str">
        <v>○</v>
      </c>
      <c r="J15085" s="4" t="n">
        <v>1340</v>
      </c>
      <c r="K15085" s="4"/>
      <c r="L15085" s="4"/>
      <c r="M15085" s="7" t="s">
        <v>6871</v>
      </c>
    </row>
    <row r="15086" customFormat="false" ht="15.75" hidden="false" customHeight="false" outlineLevel="0" collapsed="false">
      <c r="A15086" s="6" t="n">
        <f aca="false">DATE(2026,5,9)</f>
        <v>46151</v>
      </c>
      <c r="B15086" s="4" t="s">
        <v>5435</v>
      </c>
      <c r="C15086" s="4" t="n">
        <v>8</v>
      </c>
      <c r="D15086" s="4" t="n">
        <v>2</v>
      </c>
      <c r="E15086" s="4" t="s">
        <v>6963</v>
      </c>
      <c r="F15086" s="4" t="n">
        <v>4</v>
      </c>
      <c r="G15086" s="4" t="n">
        <v>13</v>
      </c>
      <c r="H15086" s="4" t="n">
        <v>4</v>
      </c>
      <c r="I15086" s="4" t="str">
        <v>×</v>
      </c>
      <c r="J15086" s="4"/>
      <c r="K15086" s="4"/>
      <c r="L15086" s="4"/>
      <c r="M15086" s="7" t="s">
        <v>6871</v>
      </c>
    </row>
    <row r="15087" customFormat="false" ht="15.75" hidden="false" customHeight="false" outlineLevel="0" collapsed="false">
      <c r="A15087" s="6" t="n">
        <f aca="false">DATE(2026,5,9)</f>
        <v>46151</v>
      </c>
      <c r="B15087" s="4" t="s">
        <v>5435</v>
      </c>
      <c r="C15087" s="4" t="n">
        <v>8</v>
      </c>
      <c r="D15087" s="4" t="n">
        <v>5</v>
      </c>
      <c r="E15087" s="4" t="s">
        <v>2417</v>
      </c>
      <c r="F15087" s="4" t="n">
        <v>4</v>
      </c>
      <c r="G15087" s="4" t="n">
        <v>14</v>
      </c>
      <c r="H15087" s="4" t="n">
        <v>1</v>
      </c>
      <c r="I15087" s="4" t="str">
        <v>○</v>
      </c>
      <c r="J15087" s="4" t="n">
        <v>1710</v>
      </c>
      <c r="K15087" s="4"/>
      <c r="L15087" s="4"/>
      <c r="M15087" s="7" t="s">
        <v>6871</v>
      </c>
    </row>
    <row r="15088" customFormat="false" ht="15.75" hidden="false" customHeight="false" outlineLevel="0" collapsed="false">
      <c r="A15088" s="6" t="n">
        <f aca="false">DATE(2026,5,9)</f>
        <v>46151</v>
      </c>
      <c r="B15088" s="4" t="s">
        <v>5435</v>
      </c>
      <c r="C15088" s="4" t="n">
        <v>8</v>
      </c>
      <c r="D15088" s="4" t="n">
        <v>9</v>
      </c>
      <c r="E15088" s="4" t="s">
        <v>1231</v>
      </c>
      <c r="F15088" s="4" t="n">
        <v>4</v>
      </c>
      <c r="G15088" s="4" t="n">
        <v>15</v>
      </c>
      <c r="H15088" s="4" t="n">
        <v>4</v>
      </c>
      <c r="I15088" s="4" t="str">
        <v>×</v>
      </c>
      <c r="J15088" s="4"/>
      <c r="K15088" s="4"/>
      <c r="L15088" s="4"/>
      <c r="M15088" s="7" t="s">
        <v>6871</v>
      </c>
    </row>
    <row r="15089" customFormat="false" ht="15.75" hidden="false" customHeight="false" outlineLevel="0" collapsed="false">
      <c r="A15089" s="6" t="n">
        <f aca="false">DATE(2026,5,9)</f>
        <v>46151</v>
      </c>
      <c r="B15089" s="4" t="s">
        <v>5435</v>
      </c>
      <c r="C15089" s="4" t="n">
        <v>8</v>
      </c>
      <c r="D15089" s="4" t="n">
        <v>12</v>
      </c>
      <c r="E15089" s="4" t="s">
        <v>5721</v>
      </c>
      <c r="F15089" s="4" t="n">
        <v>2</v>
      </c>
      <c r="G15089" s="4" t="n">
        <v>16</v>
      </c>
      <c r="H15089" s="4" t="n">
        <v>4</v>
      </c>
      <c r="I15089" s="4" t="str">
        <v>×</v>
      </c>
      <c r="J15089" s="4"/>
      <c r="K15089" s="4"/>
      <c r="L15089" s="4"/>
      <c r="M15089" s="7" t="s">
        <v>6871</v>
      </c>
    </row>
    <row r="15090" customFormat="false" ht="15.75" hidden="false" customHeight="false" outlineLevel="0" collapsed="false">
      <c r="A15090" s="6" t="n">
        <f aca="false">DATE(2026,5,9)</f>
        <v>46151</v>
      </c>
      <c r="B15090" s="4" t="s">
        <v>5435</v>
      </c>
      <c r="C15090" s="4" t="n">
        <v>9</v>
      </c>
      <c r="D15090" s="4" t="n">
        <v>7</v>
      </c>
      <c r="E15090" s="4" t="s">
        <v>6964</v>
      </c>
      <c r="F15090" s="4" t="n">
        <v>60</v>
      </c>
      <c r="G15090" s="4" t="n">
        <v>1</v>
      </c>
      <c r="H15090" s="4" t="n">
        <v>1</v>
      </c>
      <c r="I15090" s="4" t="str">
        <v>○</v>
      </c>
      <c r="J15090" s="4" t="n">
        <v>130</v>
      </c>
      <c r="K15090" s="4"/>
      <c r="L15090" s="4"/>
      <c r="M15090" s="7" t="s">
        <v>6871</v>
      </c>
    </row>
    <row r="15091" customFormat="false" ht="15.75" hidden="false" customHeight="false" outlineLevel="0" collapsed="false">
      <c r="A15091" s="6" t="n">
        <f aca="false">DATE(2026,5,9)</f>
        <v>46151</v>
      </c>
      <c r="B15091" s="4" t="s">
        <v>5435</v>
      </c>
      <c r="C15091" s="4" t="n">
        <v>9</v>
      </c>
      <c r="D15091" s="4" t="n">
        <v>6</v>
      </c>
      <c r="E15091" s="4" t="s">
        <v>5502</v>
      </c>
      <c r="F15091" s="4" t="n">
        <v>56</v>
      </c>
      <c r="G15091" s="4" t="n">
        <v>2</v>
      </c>
      <c r="H15091" s="4" t="n">
        <v>4</v>
      </c>
      <c r="I15091" s="4" t="str">
        <v>×</v>
      </c>
      <c r="J15091" s="4"/>
      <c r="K15091" s="4"/>
      <c r="L15091" s="4"/>
      <c r="M15091" s="7" t="s">
        <v>6871</v>
      </c>
    </row>
    <row r="15092" customFormat="false" ht="15.75" hidden="false" customHeight="false" outlineLevel="0" collapsed="false">
      <c r="A15092" s="6" t="n">
        <f aca="false">DATE(2026,5,9)</f>
        <v>46151</v>
      </c>
      <c r="B15092" s="4" t="s">
        <v>5435</v>
      </c>
      <c r="C15092" s="4" t="n">
        <v>9</v>
      </c>
      <c r="D15092" s="4" t="n">
        <v>3</v>
      </c>
      <c r="E15092" s="4" t="s">
        <v>5870</v>
      </c>
      <c r="F15092" s="4" t="n">
        <v>39</v>
      </c>
      <c r="G15092" s="4" t="n">
        <v>3</v>
      </c>
      <c r="H15092" s="4" t="n">
        <v>4</v>
      </c>
      <c r="I15092" s="4" t="str">
        <v>×</v>
      </c>
      <c r="J15092" s="4"/>
      <c r="K15092" s="4"/>
      <c r="L15092" s="4"/>
      <c r="M15092" s="7" t="s">
        <v>6871</v>
      </c>
    </row>
    <row r="15093" customFormat="false" ht="15.75" hidden="false" customHeight="false" outlineLevel="0" collapsed="false">
      <c r="A15093" s="6" t="n">
        <f aca="false">DATE(2026,5,9)</f>
        <v>46151</v>
      </c>
      <c r="B15093" s="4" t="s">
        <v>5435</v>
      </c>
      <c r="C15093" s="4" t="n">
        <v>9</v>
      </c>
      <c r="D15093" s="4" t="n">
        <v>8</v>
      </c>
      <c r="E15093" s="4" t="s">
        <v>5866</v>
      </c>
      <c r="F15093" s="4" t="n">
        <v>34</v>
      </c>
      <c r="G15093" s="4" t="n">
        <v>4</v>
      </c>
      <c r="H15093" s="4" t="n">
        <v>2</v>
      </c>
      <c r="I15093" s="4" t="str">
        <v>○</v>
      </c>
      <c r="J15093" s="4" t="n">
        <v>220</v>
      </c>
      <c r="K15093" s="4"/>
      <c r="L15093" s="4"/>
      <c r="M15093" s="7" t="s">
        <v>6871</v>
      </c>
    </row>
    <row r="15094" customFormat="false" ht="15.75" hidden="false" customHeight="false" outlineLevel="0" collapsed="false">
      <c r="A15094" s="6" t="n">
        <f aca="false">DATE(2026,5,9)</f>
        <v>46151</v>
      </c>
      <c r="B15094" s="4" t="s">
        <v>5435</v>
      </c>
      <c r="C15094" s="4" t="n">
        <v>9</v>
      </c>
      <c r="D15094" s="4" t="n">
        <v>11</v>
      </c>
      <c r="E15094" s="4" t="s">
        <v>1823</v>
      </c>
      <c r="F15094" s="4" t="n">
        <v>31</v>
      </c>
      <c r="G15094" s="4" t="n">
        <v>5</v>
      </c>
      <c r="H15094" s="4" t="n">
        <v>4</v>
      </c>
      <c r="I15094" s="4" t="str">
        <v>×</v>
      </c>
      <c r="J15094" s="4"/>
      <c r="K15094" s="4"/>
      <c r="L15094" s="4"/>
      <c r="M15094" s="7" t="s">
        <v>6871</v>
      </c>
    </row>
    <row r="15095" customFormat="false" ht="15.75" hidden="false" customHeight="false" outlineLevel="0" collapsed="false">
      <c r="A15095" s="6" t="n">
        <f aca="false">DATE(2026,5,9)</f>
        <v>46151</v>
      </c>
      <c r="B15095" s="4" t="s">
        <v>5435</v>
      </c>
      <c r="C15095" s="4" t="n">
        <v>9</v>
      </c>
      <c r="D15095" s="4" t="n">
        <v>1</v>
      </c>
      <c r="E15095" s="4" t="s">
        <v>1674</v>
      </c>
      <c r="F15095" s="4" t="n">
        <v>23</v>
      </c>
      <c r="G15095" s="4" t="n">
        <v>6</v>
      </c>
      <c r="H15095" s="4" t="n">
        <v>4</v>
      </c>
      <c r="I15095" s="4" t="str">
        <v>×</v>
      </c>
      <c r="J15095" s="4"/>
      <c r="K15095" s="4"/>
      <c r="L15095" s="4"/>
      <c r="M15095" s="7" t="s">
        <v>6871</v>
      </c>
    </row>
    <row r="15096" customFormat="false" ht="15.75" hidden="false" customHeight="false" outlineLevel="0" collapsed="false">
      <c r="A15096" s="6" t="n">
        <f aca="false">DATE(2026,5,9)</f>
        <v>46151</v>
      </c>
      <c r="B15096" s="4" t="s">
        <v>5435</v>
      </c>
      <c r="C15096" s="4" t="n">
        <v>9</v>
      </c>
      <c r="D15096" s="4" t="n">
        <v>5</v>
      </c>
      <c r="E15096" s="4" t="s">
        <v>690</v>
      </c>
      <c r="F15096" s="4" t="n">
        <v>17</v>
      </c>
      <c r="G15096" s="4" t="n">
        <v>7</v>
      </c>
      <c r="H15096" s="4" t="n">
        <v>4</v>
      </c>
      <c r="I15096" s="4" t="str">
        <v>×</v>
      </c>
      <c r="J15096" s="4"/>
      <c r="K15096" s="4"/>
      <c r="L15096" s="4"/>
      <c r="M15096" s="7" t="s">
        <v>6871</v>
      </c>
    </row>
    <row r="15097" customFormat="false" ht="15.75" hidden="false" customHeight="false" outlineLevel="0" collapsed="false">
      <c r="A15097" s="6" t="n">
        <f aca="false">DATE(2026,5,9)</f>
        <v>46151</v>
      </c>
      <c r="B15097" s="4" t="s">
        <v>5435</v>
      </c>
      <c r="C15097" s="4" t="n">
        <v>9</v>
      </c>
      <c r="D15097" s="4" t="n">
        <v>2</v>
      </c>
      <c r="E15097" s="4" t="s">
        <v>6965</v>
      </c>
      <c r="F15097" s="4" t="n">
        <v>13</v>
      </c>
      <c r="G15097" s="4" t="n">
        <v>8</v>
      </c>
      <c r="H15097" s="4" t="n">
        <v>4</v>
      </c>
      <c r="I15097" s="4" t="str">
        <v>×</v>
      </c>
      <c r="J15097" s="4"/>
      <c r="K15097" s="4"/>
      <c r="L15097" s="4"/>
      <c r="M15097" s="7" t="s">
        <v>6871</v>
      </c>
    </row>
    <row r="15098" customFormat="false" ht="15.75" hidden="false" customHeight="false" outlineLevel="0" collapsed="false">
      <c r="A15098" s="6" t="n">
        <f aca="false">DATE(2026,5,9)</f>
        <v>46151</v>
      </c>
      <c r="B15098" s="4" t="s">
        <v>5435</v>
      </c>
      <c r="C15098" s="4" t="n">
        <v>9</v>
      </c>
      <c r="D15098" s="4" t="n">
        <v>4</v>
      </c>
      <c r="E15098" s="4" t="s">
        <v>6966</v>
      </c>
      <c r="F15098" s="4" t="n">
        <v>10</v>
      </c>
      <c r="G15098" s="4" t="n">
        <v>9</v>
      </c>
      <c r="H15098" s="4" t="n">
        <v>4</v>
      </c>
      <c r="I15098" s="4" t="str">
        <v>×</v>
      </c>
      <c r="J15098" s="4"/>
      <c r="K15098" s="4"/>
      <c r="L15098" s="4"/>
      <c r="M15098" s="7" t="s">
        <v>6871</v>
      </c>
    </row>
    <row r="15099" customFormat="false" ht="15.75" hidden="false" customHeight="false" outlineLevel="0" collapsed="false">
      <c r="A15099" s="6" t="n">
        <f aca="false">DATE(2026,5,9)</f>
        <v>46151</v>
      </c>
      <c r="B15099" s="4" t="s">
        <v>5435</v>
      </c>
      <c r="C15099" s="4" t="n">
        <v>9</v>
      </c>
      <c r="D15099" s="4" t="n">
        <v>9</v>
      </c>
      <c r="E15099" s="4" t="s">
        <v>6967</v>
      </c>
      <c r="F15099" s="4" t="n">
        <v>8</v>
      </c>
      <c r="G15099" s="4" t="n">
        <v>10</v>
      </c>
      <c r="H15099" s="4" t="n">
        <v>4</v>
      </c>
      <c r="I15099" s="4" t="str">
        <v>×</v>
      </c>
      <c r="J15099" s="4"/>
      <c r="K15099" s="4"/>
      <c r="L15099" s="4"/>
      <c r="M15099" s="7" t="s">
        <v>6871</v>
      </c>
    </row>
    <row r="15100" customFormat="false" ht="15.75" hidden="false" customHeight="false" outlineLevel="0" collapsed="false">
      <c r="A15100" s="6" t="n">
        <f aca="false">DATE(2026,5,9)</f>
        <v>46151</v>
      </c>
      <c r="B15100" s="4" t="s">
        <v>5435</v>
      </c>
      <c r="C15100" s="4" t="n">
        <v>9</v>
      </c>
      <c r="D15100" s="4" t="n">
        <v>10</v>
      </c>
      <c r="E15100" s="4" t="s">
        <v>1673</v>
      </c>
      <c r="F15100" s="4" t="n">
        <v>8</v>
      </c>
      <c r="G15100" s="4" t="n">
        <v>11</v>
      </c>
      <c r="H15100" s="4" t="n">
        <v>3</v>
      </c>
      <c r="I15100" s="4" t="str">
        <v>○</v>
      </c>
      <c r="J15100" s="4" t="n">
        <v>440</v>
      </c>
      <c r="K15100" s="4"/>
      <c r="L15100" s="4"/>
      <c r="M15100" s="7" t="s">
        <v>6871</v>
      </c>
    </row>
    <row r="15101" customFormat="false" ht="15.75" hidden="false" customHeight="false" outlineLevel="0" collapsed="false">
      <c r="A15101" s="6" t="n">
        <f aca="false">DATE(2026,5,9)</f>
        <v>46151</v>
      </c>
      <c r="B15101" s="4" t="s">
        <v>5435</v>
      </c>
      <c r="C15101" s="4" t="n">
        <v>10</v>
      </c>
      <c r="D15101" s="4" t="n">
        <v>2</v>
      </c>
      <c r="E15101" s="4" t="s">
        <v>5052</v>
      </c>
      <c r="F15101" s="4" t="n">
        <v>60</v>
      </c>
      <c r="G15101" s="4" t="n">
        <v>1</v>
      </c>
      <c r="H15101" s="4" t="n">
        <v>2</v>
      </c>
      <c r="I15101" s="4" t="str">
        <v>○</v>
      </c>
      <c r="J15101" s="4" t="n">
        <v>110</v>
      </c>
      <c r="K15101" s="4"/>
      <c r="L15101" s="4"/>
      <c r="M15101" s="7" t="s">
        <v>6871</v>
      </c>
    </row>
    <row r="15102" customFormat="false" ht="15.75" hidden="false" customHeight="false" outlineLevel="0" collapsed="false">
      <c r="A15102" s="6" t="n">
        <f aca="false">DATE(2026,5,9)</f>
        <v>46151</v>
      </c>
      <c r="B15102" s="4" t="s">
        <v>5435</v>
      </c>
      <c r="C15102" s="4" t="n">
        <v>10</v>
      </c>
      <c r="D15102" s="4" t="n">
        <v>5</v>
      </c>
      <c r="E15102" s="4" t="s">
        <v>6968</v>
      </c>
      <c r="F15102" s="4" t="n">
        <v>58</v>
      </c>
      <c r="G15102" s="4" t="n">
        <v>2</v>
      </c>
      <c r="H15102" s="4" t="n">
        <v>3</v>
      </c>
      <c r="I15102" s="4" t="str">
        <v>○</v>
      </c>
      <c r="J15102" s="4" t="n">
        <v>110</v>
      </c>
      <c r="K15102" s="4"/>
      <c r="L15102" s="4"/>
      <c r="M15102" s="7" t="s">
        <v>6871</v>
      </c>
    </row>
    <row r="15103" customFormat="false" ht="15.75" hidden="false" customHeight="false" outlineLevel="0" collapsed="false">
      <c r="A15103" s="6" t="n">
        <f aca="false">DATE(2026,5,9)</f>
        <v>46151</v>
      </c>
      <c r="B15103" s="4" t="s">
        <v>5435</v>
      </c>
      <c r="C15103" s="4" t="n">
        <v>10</v>
      </c>
      <c r="D15103" s="4" t="n">
        <v>3</v>
      </c>
      <c r="E15103" s="4" t="s">
        <v>2906</v>
      </c>
      <c r="F15103" s="4" t="n">
        <v>41</v>
      </c>
      <c r="G15103" s="4" t="n">
        <v>3</v>
      </c>
      <c r="H15103" s="4" t="n">
        <v>1</v>
      </c>
      <c r="I15103" s="4" t="str">
        <v>○</v>
      </c>
      <c r="J15103" s="4" t="n">
        <v>120</v>
      </c>
      <c r="K15103" s="4"/>
      <c r="L15103" s="4"/>
      <c r="M15103" s="7" t="s">
        <v>6871</v>
      </c>
    </row>
    <row r="15104" customFormat="false" ht="15.75" hidden="false" customHeight="false" outlineLevel="0" collapsed="false">
      <c r="A15104" s="6" t="n">
        <f aca="false">DATE(2026,5,9)</f>
        <v>46151</v>
      </c>
      <c r="B15104" s="4" t="s">
        <v>5435</v>
      </c>
      <c r="C15104" s="4" t="n">
        <v>10</v>
      </c>
      <c r="D15104" s="4" t="n">
        <v>7</v>
      </c>
      <c r="E15104" s="4" t="s">
        <v>6969</v>
      </c>
      <c r="F15104" s="4" t="n">
        <v>41</v>
      </c>
      <c r="G15104" s="4" t="n">
        <v>4</v>
      </c>
      <c r="H15104" s="4" t="n">
        <v>4</v>
      </c>
      <c r="I15104" s="4" t="str">
        <v>×</v>
      </c>
      <c r="J15104" s="4"/>
      <c r="K15104" s="4"/>
      <c r="L15104" s="4"/>
      <c r="M15104" s="7" t="s">
        <v>6871</v>
      </c>
    </row>
    <row r="15105" customFormat="false" ht="15.75" hidden="false" customHeight="false" outlineLevel="0" collapsed="false">
      <c r="A15105" s="6" t="n">
        <f aca="false">DATE(2026,5,9)</f>
        <v>46151</v>
      </c>
      <c r="B15105" s="4" t="s">
        <v>5435</v>
      </c>
      <c r="C15105" s="4" t="n">
        <v>10</v>
      </c>
      <c r="D15105" s="4" t="n">
        <v>1</v>
      </c>
      <c r="E15105" s="4" t="s">
        <v>1521</v>
      </c>
      <c r="F15105" s="4" t="n">
        <v>39</v>
      </c>
      <c r="G15105" s="4" t="n">
        <v>5</v>
      </c>
      <c r="H15105" s="4" t="n">
        <v>4</v>
      </c>
      <c r="I15105" s="4" t="str">
        <v>×</v>
      </c>
      <c r="J15105" s="4"/>
      <c r="K15105" s="4"/>
      <c r="L15105" s="4"/>
      <c r="M15105" s="7" t="s">
        <v>6871</v>
      </c>
    </row>
    <row r="15106" customFormat="false" ht="15.75" hidden="false" customHeight="false" outlineLevel="0" collapsed="false">
      <c r="A15106" s="6" t="n">
        <f aca="false">DATE(2026,5,9)</f>
        <v>46151</v>
      </c>
      <c r="B15106" s="4" t="s">
        <v>5435</v>
      </c>
      <c r="C15106" s="4" t="n">
        <v>10</v>
      </c>
      <c r="D15106" s="4" t="n">
        <v>6</v>
      </c>
      <c r="E15106" s="4" t="s">
        <v>2522</v>
      </c>
      <c r="F15106" s="4" t="n">
        <v>34</v>
      </c>
      <c r="G15106" s="4" t="n">
        <v>6</v>
      </c>
      <c r="H15106" s="4" t="n">
        <v>4</v>
      </c>
      <c r="I15106" s="4" t="str">
        <v>×</v>
      </c>
      <c r="J15106" s="4"/>
      <c r="K15106" s="4"/>
      <c r="L15106" s="4"/>
      <c r="M15106" s="7" t="s">
        <v>6871</v>
      </c>
    </row>
    <row r="15107" customFormat="false" ht="15.75" hidden="false" customHeight="false" outlineLevel="0" collapsed="false">
      <c r="A15107" s="6" t="n">
        <f aca="false">DATE(2026,5,9)</f>
        <v>46151</v>
      </c>
      <c r="B15107" s="4" t="s">
        <v>5435</v>
      </c>
      <c r="C15107" s="4" t="n">
        <v>10</v>
      </c>
      <c r="D15107" s="4" t="n">
        <v>4</v>
      </c>
      <c r="E15107" s="4" t="s">
        <v>4453</v>
      </c>
      <c r="F15107" s="4" t="n">
        <v>10</v>
      </c>
      <c r="G15107" s="4" t="n">
        <v>7</v>
      </c>
      <c r="H15107" s="4" t="n">
        <v>4</v>
      </c>
      <c r="I15107" s="4" t="str">
        <v>×</v>
      </c>
      <c r="J15107" s="4"/>
      <c r="K15107" s="4"/>
      <c r="L15107" s="4"/>
      <c r="M15107" s="7" t="s">
        <v>6871</v>
      </c>
    </row>
    <row r="15108" customFormat="false" ht="15.75" hidden="false" customHeight="false" outlineLevel="0" collapsed="false">
      <c r="A15108" s="6" t="n">
        <f aca="false">DATE(2026,5,9)</f>
        <v>46151</v>
      </c>
      <c r="B15108" s="4" t="s">
        <v>5435</v>
      </c>
      <c r="C15108" s="4" t="n">
        <v>10</v>
      </c>
      <c r="D15108" s="4" t="n">
        <v>8</v>
      </c>
      <c r="E15108" s="4" t="s">
        <v>6424</v>
      </c>
      <c r="F15108" s="4" t="n">
        <v>6</v>
      </c>
      <c r="G15108" s="4" t="n">
        <v>8</v>
      </c>
      <c r="H15108" s="4" t="n">
        <v>4</v>
      </c>
      <c r="I15108" s="4" t="str">
        <v>×</v>
      </c>
      <c r="J15108" s="4"/>
      <c r="K15108" s="4"/>
      <c r="L15108" s="4"/>
      <c r="M15108" s="7" t="s">
        <v>6871</v>
      </c>
    </row>
    <row r="15109" customFormat="false" ht="15.75" hidden="false" customHeight="false" outlineLevel="0" collapsed="false">
      <c r="A15109" s="6" t="n">
        <f aca="false">DATE(2026,5,9)</f>
        <v>46151</v>
      </c>
      <c r="B15109" s="4" t="s">
        <v>5435</v>
      </c>
      <c r="C15109" s="4" t="n">
        <v>11</v>
      </c>
      <c r="D15109" s="4" t="n">
        <v>15</v>
      </c>
      <c r="E15109" s="4" t="s">
        <v>6970</v>
      </c>
      <c r="F15109" s="4" t="n">
        <v>58</v>
      </c>
      <c r="G15109" s="4" t="n">
        <v>1</v>
      </c>
      <c r="H15109" s="4" t="n">
        <v>2</v>
      </c>
      <c r="I15109" s="4" t="str">
        <v>○</v>
      </c>
      <c r="J15109" s="4" t="n">
        <v>120</v>
      </c>
      <c r="K15109" s="4"/>
      <c r="L15109" s="4"/>
      <c r="M15109" s="7" t="s">
        <v>6871</v>
      </c>
    </row>
    <row r="15110" customFormat="false" ht="15.75" hidden="false" customHeight="false" outlineLevel="0" collapsed="false">
      <c r="A15110" s="6" t="n">
        <f aca="false">DATE(2026,5,9)</f>
        <v>46151</v>
      </c>
      <c r="B15110" s="4" t="s">
        <v>5435</v>
      </c>
      <c r="C15110" s="4" t="n">
        <v>11</v>
      </c>
      <c r="D15110" s="4" t="n">
        <v>1</v>
      </c>
      <c r="E15110" s="4" t="s">
        <v>1329</v>
      </c>
      <c r="F15110" s="4" t="n">
        <v>39</v>
      </c>
      <c r="G15110" s="4" t="n">
        <v>2</v>
      </c>
      <c r="H15110" s="4" t="n">
        <v>4</v>
      </c>
      <c r="I15110" s="4" t="str">
        <v>×</v>
      </c>
      <c r="J15110" s="4"/>
      <c r="K15110" s="4"/>
      <c r="L15110" s="4"/>
      <c r="M15110" s="7" t="s">
        <v>6871</v>
      </c>
    </row>
    <row r="15111" customFormat="false" ht="15.75" hidden="false" customHeight="false" outlineLevel="0" collapsed="false">
      <c r="A15111" s="6" t="n">
        <f aca="false">DATE(2026,5,9)</f>
        <v>46151</v>
      </c>
      <c r="B15111" s="4" t="s">
        <v>5435</v>
      </c>
      <c r="C15111" s="4" t="n">
        <v>11</v>
      </c>
      <c r="D15111" s="4" t="n">
        <v>10</v>
      </c>
      <c r="E15111" s="4" t="s">
        <v>688</v>
      </c>
      <c r="F15111" s="4" t="n">
        <v>37</v>
      </c>
      <c r="G15111" s="4" t="n">
        <v>3</v>
      </c>
      <c r="H15111" s="4" t="n">
        <v>4</v>
      </c>
      <c r="I15111" s="4" t="str">
        <v>×</v>
      </c>
      <c r="J15111" s="4"/>
      <c r="K15111" s="4"/>
      <c r="L15111" s="4"/>
      <c r="M15111" s="7" t="s">
        <v>6871</v>
      </c>
    </row>
    <row r="15112" customFormat="false" ht="15.75" hidden="false" customHeight="false" outlineLevel="0" collapsed="false">
      <c r="A15112" s="6" t="n">
        <f aca="false">DATE(2026,5,9)</f>
        <v>46151</v>
      </c>
      <c r="B15112" s="4" t="s">
        <v>5435</v>
      </c>
      <c r="C15112" s="4" t="n">
        <v>11</v>
      </c>
      <c r="D15112" s="4" t="n">
        <v>2</v>
      </c>
      <c r="E15112" s="4" t="s">
        <v>6074</v>
      </c>
      <c r="F15112" s="4" t="n">
        <v>31</v>
      </c>
      <c r="G15112" s="4" t="n">
        <v>4</v>
      </c>
      <c r="H15112" s="4" t="n">
        <v>4</v>
      </c>
      <c r="I15112" s="4" t="str">
        <v>×</v>
      </c>
      <c r="J15112" s="4"/>
      <c r="K15112" s="4"/>
      <c r="L15112" s="4"/>
      <c r="M15112" s="7" t="s">
        <v>6871</v>
      </c>
    </row>
    <row r="15113" customFormat="false" ht="15.75" hidden="false" customHeight="false" outlineLevel="0" collapsed="false">
      <c r="A15113" s="6" t="n">
        <f aca="false">DATE(2026,5,9)</f>
        <v>46151</v>
      </c>
      <c r="B15113" s="4" t="s">
        <v>5435</v>
      </c>
      <c r="C15113" s="4" t="n">
        <v>11</v>
      </c>
      <c r="D15113" s="4" t="n">
        <v>5</v>
      </c>
      <c r="E15113" s="4" t="s">
        <v>6063</v>
      </c>
      <c r="F15113" s="4" t="n">
        <v>31</v>
      </c>
      <c r="G15113" s="4" t="n">
        <v>5</v>
      </c>
      <c r="H15113" s="4" t="n">
        <v>1</v>
      </c>
      <c r="I15113" s="4" t="str">
        <v>○</v>
      </c>
      <c r="J15113" s="4" t="n">
        <v>390</v>
      </c>
      <c r="K15113" s="4"/>
      <c r="L15113" s="4"/>
      <c r="M15113" s="7" t="s">
        <v>6871</v>
      </c>
    </row>
    <row r="15114" customFormat="false" ht="15.75" hidden="false" customHeight="false" outlineLevel="0" collapsed="false">
      <c r="A15114" s="6" t="n">
        <f aca="false">DATE(2026,5,9)</f>
        <v>46151</v>
      </c>
      <c r="B15114" s="4" t="s">
        <v>5435</v>
      </c>
      <c r="C15114" s="4" t="n">
        <v>11</v>
      </c>
      <c r="D15114" s="4" t="n">
        <v>8</v>
      </c>
      <c r="E15114" s="4" t="s">
        <v>3410</v>
      </c>
      <c r="F15114" s="4" t="n">
        <v>31</v>
      </c>
      <c r="G15114" s="4" t="n">
        <v>6</v>
      </c>
      <c r="H15114" s="4" t="n">
        <v>4</v>
      </c>
      <c r="I15114" s="4" t="str">
        <v>×</v>
      </c>
      <c r="J15114" s="4"/>
      <c r="K15114" s="4"/>
      <c r="L15114" s="4"/>
      <c r="M15114" s="7" t="s">
        <v>6871</v>
      </c>
    </row>
    <row r="15115" customFormat="false" ht="15.75" hidden="false" customHeight="false" outlineLevel="0" collapsed="false">
      <c r="A15115" s="6" t="n">
        <f aca="false">DATE(2026,5,9)</f>
        <v>46151</v>
      </c>
      <c r="B15115" s="4" t="s">
        <v>5435</v>
      </c>
      <c r="C15115" s="4" t="n">
        <v>11</v>
      </c>
      <c r="D15115" s="4" t="n">
        <v>6</v>
      </c>
      <c r="E15115" s="4" t="s">
        <v>6971</v>
      </c>
      <c r="F15115" s="4" t="n">
        <v>29</v>
      </c>
      <c r="G15115" s="4" t="n">
        <v>7</v>
      </c>
      <c r="H15115" s="4" t="n">
        <v>3</v>
      </c>
      <c r="I15115" s="4" t="str">
        <v>○</v>
      </c>
      <c r="J15115" s="4" t="n">
        <v>550</v>
      </c>
      <c r="K15115" s="4"/>
      <c r="L15115" s="4"/>
      <c r="M15115" s="7" t="s">
        <v>6871</v>
      </c>
    </row>
    <row r="15116" customFormat="false" ht="15.75" hidden="false" customHeight="false" outlineLevel="0" collapsed="false">
      <c r="A15116" s="6" t="n">
        <f aca="false">DATE(2026,5,9)</f>
        <v>46151</v>
      </c>
      <c r="B15116" s="4" t="s">
        <v>5435</v>
      </c>
      <c r="C15116" s="4" t="n">
        <v>11</v>
      </c>
      <c r="D15116" s="4" t="n">
        <v>13</v>
      </c>
      <c r="E15116" s="4" t="s">
        <v>3376</v>
      </c>
      <c r="F15116" s="4" t="n">
        <v>20</v>
      </c>
      <c r="G15116" s="4" t="n">
        <v>8</v>
      </c>
      <c r="H15116" s="4" t="n">
        <v>4</v>
      </c>
      <c r="I15116" s="4" t="str">
        <v>×</v>
      </c>
      <c r="J15116" s="4"/>
      <c r="K15116" s="4"/>
      <c r="L15116" s="4"/>
      <c r="M15116" s="7" t="s">
        <v>6871</v>
      </c>
    </row>
    <row r="15117" customFormat="false" ht="15.75" hidden="false" customHeight="false" outlineLevel="0" collapsed="false">
      <c r="A15117" s="6" t="n">
        <f aca="false">DATE(2026,5,9)</f>
        <v>46151</v>
      </c>
      <c r="B15117" s="4" t="s">
        <v>5435</v>
      </c>
      <c r="C15117" s="4" t="n">
        <v>11</v>
      </c>
      <c r="D15117" s="4" t="n">
        <v>7</v>
      </c>
      <c r="E15117" s="4" t="s">
        <v>3538</v>
      </c>
      <c r="F15117" s="4" t="n">
        <v>17</v>
      </c>
      <c r="G15117" s="4" t="n">
        <v>9</v>
      </c>
      <c r="H15117" s="4" t="n">
        <v>4</v>
      </c>
      <c r="I15117" s="4" t="str">
        <v>×</v>
      </c>
      <c r="J15117" s="4"/>
      <c r="K15117" s="4"/>
      <c r="L15117" s="4"/>
      <c r="M15117" s="7" t="s">
        <v>6871</v>
      </c>
    </row>
    <row r="15118" customFormat="false" ht="15.75" hidden="false" customHeight="false" outlineLevel="0" collapsed="false">
      <c r="A15118" s="6" t="n">
        <f aca="false">DATE(2026,5,9)</f>
        <v>46151</v>
      </c>
      <c r="B15118" s="4" t="s">
        <v>5435</v>
      </c>
      <c r="C15118" s="4" t="n">
        <v>11</v>
      </c>
      <c r="D15118" s="4" t="n">
        <v>9</v>
      </c>
      <c r="E15118" s="4" t="s">
        <v>4639</v>
      </c>
      <c r="F15118" s="4" t="n">
        <v>17</v>
      </c>
      <c r="G15118" s="4" t="n">
        <v>10</v>
      </c>
      <c r="H15118" s="4" t="n">
        <v>4</v>
      </c>
      <c r="I15118" s="4" t="str">
        <v>×</v>
      </c>
      <c r="J15118" s="4"/>
      <c r="K15118" s="4"/>
      <c r="L15118" s="4"/>
      <c r="M15118" s="7" t="s">
        <v>6871</v>
      </c>
    </row>
    <row r="15119" customFormat="false" ht="15.75" hidden="false" customHeight="false" outlineLevel="0" collapsed="false">
      <c r="A15119" s="6" t="n">
        <f aca="false">DATE(2026,5,9)</f>
        <v>46151</v>
      </c>
      <c r="B15119" s="4" t="s">
        <v>5435</v>
      </c>
      <c r="C15119" s="4" t="n">
        <v>11</v>
      </c>
      <c r="D15119" s="4" t="n">
        <v>16</v>
      </c>
      <c r="E15119" s="4" t="s">
        <v>6587</v>
      </c>
      <c r="F15119" s="4" t="n">
        <v>17</v>
      </c>
      <c r="G15119" s="4" t="n">
        <v>11</v>
      </c>
      <c r="H15119" s="4" t="n">
        <v>4</v>
      </c>
      <c r="I15119" s="4" t="str">
        <v>×</v>
      </c>
      <c r="J15119" s="4"/>
      <c r="K15119" s="4"/>
      <c r="L15119" s="4"/>
      <c r="M15119" s="7" t="s">
        <v>6871</v>
      </c>
    </row>
    <row r="15120" customFormat="false" ht="15.75" hidden="false" customHeight="false" outlineLevel="0" collapsed="false">
      <c r="A15120" s="6" t="n">
        <f aca="false">DATE(2026,5,9)</f>
        <v>46151</v>
      </c>
      <c r="B15120" s="4" t="s">
        <v>5435</v>
      </c>
      <c r="C15120" s="4" t="n">
        <v>11</v>
      </c>
      <c r="D15120" s="4" t="n">
        <v>12</v>
      </c>
      <c r="E15120" s="4" t="s">
        <v>1975</v>
      </c>
      <c r="F15120" s="4" t="n">
        <v>15</v>
      </c>
      <c r="G15120" s="4" t="n">
        <v>12</v>
      </c>
      <c r="H15120" s="4" t="n">
        <v>4</v>
      </c>
      <c r="I15120" s="4" t="str">
        <v>×</v>
      </c>
      <c r="J15120" s="4"/>
      <c r="K15120" s="4"/>
      <c r="L15120" s="4"/>
      <c r="M15120" s="7" t="s">
        <v>6871</v>
      </c>
    </row>
    <row r="15121" customFormat="false" ht="15.75" hidden="false" customHeight="false" outlineLevel="0" collapsed="false">
      <c r="A15121" s="6" t="n">
        <f aca="false">DATE(2026,5,9)</f>
        <v>46151</v>
      </c>
      <c r="B15121" s="4" t="s">
        <v>5435</v>
      </c>
      <c r="C15121" s="4" t="n">
        <v>11</v>
      </c>
      <c r="D15121" s="4" t="n">
        <v>3</v>
      </c>
      <c r="E15121" s="4" t="s">
        <v>1334</v>
      </c>
      <c r="F15121" s="4" t="n">
        <v>8</v>
      </c>
      <c r="G15121" s="4" t="n">
        <v>13</v>
      </c>
      <c r="H15121" s="4" t="n">
        <v>4</v>
      </c>
      <c r="I15121" s="4" t="str">
        <v>×</v>
      </c>
      <c r="J15121" s="4"/>
      <c r="K15121" s="4"/>
      <c r="L15121" s="4"/>
      <c r="M15121" s="7" t="s">
        <v>6871</v>
      </c>
    </row>
    <row r="15122" customFormat="false" ht="15.75" hidden="false" customHeight="false" outlineLevel="0" collapsed="false">
      <c r="A15122" s="6" t="n">
        <f aca="false">DATE(2026,5,9)</f>
        <v>46151</v>
      </c>
      <c r="B15122" s="4" t="s">
        <v>5435</v>
      </c>
      <c r="C15122" s="4" t="n">
        <v>11</v>
      </c>
      <c r="D15122" s="4" t="n">
        <v>14</v>
      </c>
      <c r="E15122" s="4" t="s">
        <v>6972</v>
      </c>
      <c r="F15122" s="4" t="n">
        <v>8</v>
      </c>
      <c r="G15122" s="4" t="n">
        <v>14</v>
      </c>
      <c r="H15122" s="4" t="n">
        <v>4</v>
      </c>
      <c r="I15122" s="4" t="str">
        <v>×</v>
      </c>
      <c r="J15122" s="4"/>
      <c r="K15122" s="4"/>
      <c r="L15122" s="4"/>
      <c r="M15122" s="7" t="s">
        <v>6871</v>
      </c>
    </row>
    <row r="15123" customFormat="false" ht="15.75" hidden="false" customHeight="false" outlineLevel="0" collapsed="false">
      <c r="A15123" s="6" t="n">
        <f aca="false">DATE(2026,5,9)</f>
        <v>46151</v>
      </c>
      <c r="B15123" s="4" t="s">
        <v>5435</v>
      </c>
      <c r="C15123" s="4" t="n">
        <v>11</v>
      </c>
      <c r="D15123" s="4" t="n">
        <v>4</v>
      </c>
      <c r="E15123" s="4" t="s">
        <v>3774</v>
      </c>
      <c r="F15123" s="4" t="n">
        <v>6</v>
      </c>
      <c r="G15123" s="4" t="n">
        <v>15</v>
      </c>
      <c r="H15123" s="4" t="n">
        <v>4</v>
      </c>
      <c r="I15123" s="4" t="str">
        <v>×</v>
      </c>
      <c r="J15123" s="4"/>
      <c r="K15123" s="4"/>
      <c r="L15123" s="4"/>
      <c r="M15123" s="7" t="s">
        <v>6871</v>
      </c>
    </row>
    <row r="15124" customFormat="false" ht="15.75" hidden="false" customHeight="false" outlineLevel="0" collapsed="false">
      <c r="A15124" s="6" t="n">
        <f aca="false">DATE(2026,5,9)</f>
        <v>46151</v>
      </c>
      <c r="B15124" s="4" t="s">
        <v>5435</v>
      </c>
      <c r="C15124" s="4" t="n">
        <v>11</v>
      </c>
      <c r="D15124" s="4" t="n">
        <v>11</v>
      </c>
      <c r="E15124" s="4" t="s">
        <v>6973</v>
      </c>
      <c r="F15124" s="4" t="n">
        <v>1</v>
      </c>
      <c r="G15124" s="4" t="n">
        <v>16</v>
      </c>
      <c r="H15124" s="4" t="n">
        <v>4</v>
      </c>
      <c r="I15124" s="4" t="str">
        <v>×</v>
      </c>
      <c r="J15124" s="4"/>
      <c r="K15124" s="4"/>
      <c r="L15124" s="4"/>
      <c r="M15124" s="7" t="s">
        <v>6871</v>
      </c>
    </row>
    <row r="15125" customFormat="false" ht="15.75" hidden="false" customHeight="false" outlineLevel="0" collapsed="false">
      <c r="A15125" s="6" t="n">
        <f aca="false">DATE(2026,5,9)</f>
        <v>46151</v>
      </c>
      <c r="B15125" s="4" t="s">
        <v>5435</v>
      </c>
      <c r="C15125" s="4" t="n">
        <v>12</v>
      </c>
      <c r="D15125" s="4" t="n">
        <v>8</v>
      </c>
      <c r="E15125" s="4" t="s">
        <v>5963</v>
      </c>
      <c r="F15125" s="4" t="n">
        <v>52</v>
      </c>
      <c r="G15125" s="4" t="n">
        <v>1</v>
      </c>
      <c r="H15125" s="4" t="n">
        <v>1</v>
      </c>
      <c r="I15125" s="4" t="str">
        <v>○</v>
      </c>
      <c r="J15125" s="4" t="n">
        <v>170</v>
      </c>
      <c r="K15125" s="4"/>
      <c r="L15125" s="4"/>
      <c r="M15125" s="7" t="s">
        <v>6871</v>
      </c>
    </row>
    <row r="15126" customFormat="false" ht="15.75" hidden="false" customHeight="false" outlineLevel="0" collapsed="false">
      <c r="A15126" s="6" t="n">
        <f aca="false">DATE(2026,5,9)</f>
        <v>46151</v>
      </c>
      <c r="B15126" s="4" t="s">
        <v>5435</v>
      </c>
      <c r="C15126" s="4" t="n">
        <v>12</v>
      </c>
      <c r="D15126" s="4" t="n">
        <v>7</v>
      </c>
      <c r="E15126" s="4" t="s">
        <v>6139</v>
      </c>
      <c r="F15126" s="4" t="n">
        <v>41</v>
      </c>
      <c r="G15126" s="4" t="n">
        <v>2</v>
      </c>
      <c r="H15126" s="4" t="n">
        <v>4</v>
      </c>
      <c r="I15126" s="4" t="str">
        <v>×</v>
      </c>
      <c r="J15126" s="4"/>
      <c r="K15126" s="4"/>
      <c r="L15126" s="4"/>
      <c r="M15126" s="7" t="s">
        <v>6871</v>
      </c>
    </row>
    <row r="15127" customFormat="false" ht="15.75" hidden="false" customHeight="false" outlineLevel="0" collapsed="false">
      <c r="A15127" s="6" t="n">
        <f aca="false">DATE(2026,5,9)</f>
        <v>46151</v>
      </c>
      <c r="B15127" s="4" t="s">
        <v>5435</v>
      </c>
      <c r="C15127" s="4" t="n">
        <v>12</v>
      </c>
      <c r="D15127" s="4" t="n">
        <v>13</v>
      </c>
      <c r="E15127" s="4" t="s">
        <v>1686</v>
      </c>
      <c r="F15127" s="4" t="n">
        <v>29</v>
      </c>
      <c r="G15127" s="4" t="n">
        <v>3</v>
      </c>
      <c r="H15127" s="4" t="n">
        <v>3</v>
      </c>
      <c r="I15127" s="4" t="str">
        <v>○</v>
      </c>
      <c r="J15127" s="4" t="n">
        <v>250</v>
      </c>
      <c r="K15127" s="4"/>
      <c r="L15127" s="4"/>
      <c r="M15127" s="7" t="s">
        <v>6871</v>
      </c>
    </row>
    <row r="15128" customFormat="false" ht="15.75" hidden="false" customHeight="false" outlineLevel="0" collapsed="false">
      <c r="A15128" s="6" t="n">
        <f aca="false">DATE(2026,5,9)</f>
        <v>46151</v>
      </c>
      <c r="B15128" s="4" t="s">
        <v>5435</v>
      </c>
      <c r="C15128" s="4" t="n">
        <v>12</v>
      </c>
      <c r="D15128" s="4" t="n">
        <v>3</v>
      </c>
      <c r="E15128" s="4" t="s">
        <v>5705</v>
      </c>
      <c r="F15128" s="4" t="n">
        <v>20</v>
      </c>
      <c r="G15128" s="4" t="n">
        <v>4</v>
      </c>
      <c r="H15128" s="4" t="n">
        <v>4</v>
      </c>
      <c r="I15128" s="4" t="str">
        <v>×</v>
      </c>
      <c r="J15128" s="4"/>
      <c r="K15128" s="4"/>
      <c r="L15128" s="4"/>
      <c r="M15128" s="7" t="s">
        <v>6871</v>
      </c>
    </row>
    <row r="15129" customFormat="false" ht="15.75" hidden="false" customHeight="false" outlineLevel="0" collapsed="false">
      <c r="A15129" s="6" t="n">
        <f aca="false">DATE(2026,5,9)</f>
        <v>46151</v>
      </c>
      <c r="B15129" s="4" t="s">
        <v>5435</v>
      </c>
      <c r="C15129" s="4" t="n">
        <v>12</v>
      </c>
      <c r="D15129" s="4" t="n">
        <v>9</v>
      </c>
      <c r="E15129" s="4" t="s">
        <v>5700</v>
      </c>
      <c r="F15129" s="4" t="n">
        <v>20</v>
      </c>
      <c r="G15129" s="4" t="n">
        <v>5</v>
      </c>
      <c r="H15129" s="4" t="n">
        <v>4</v>
      </c>
      <c r="I15129" s="4" t="str">
        <v>×</v>
      </c>
      <c r="J15129" s="4"/>
      <c r="K15129" s="4"/>
      <c r="L15129" s="4"/>
      <c r="M15129" s="7" t="s">
        <v>6871</v>
      </c>
    </row>
    <row r="15130" customFormat="false" ht="15.75" hidden="false" customHeight="false" outlineLevel="0" collapsed="false">
      <c r="A15130" s="6" t="n">
        <f aca="false">DATE(2026,5,9)</f>
        <v>46151</v>
      </c>
      <c r="B15130" s="4" t="s">
        <v>5435</v>
      </c>
      <c r="C15130" s="4" t="n">
        <v>12</v>
      </c>
      <c r="D15130" s="4" t="n">
        <v>11</v>
      </c>
      <c r="E15130" s="4" t="s">
        <v>4221</v>
      </c>
      <c r="F15130" s="4" t="n">
        <v>20</v>
      </c>
      <c r="G15130" s="4" t="n">
        <v>6</v>
      </c>
      <c r="H15130" s="4" t="n">
        <v>4</v>
      </c>
      <c r="I15130" s="4" t="str">
        <v>×</v>
      </c>
      <c r="J15130" s="4"/>
      <c r="K15130" s="4"/>
      <c r="L15130" s="4"/>
      <c r="M15130" s="7" t="s">
        <v>6871</v>
      </c>
    </row>
    <row r="15131" customFormat="false" ht="15.75" hidden="false" customHeight="false" outlineLevel="0" collapsed="false">
      <c r="A15131" s="6" t="n">
        <f aca="false">DATE(2026,5,9)</f>
        <v>46151</v>
      </c>
      <c r="B15131" s="4" t="s">
        <v>5435</v>
      </c>
      <c r="C15131" s="4" t="n">
        <v>12</v>
      </c>
      <c r="D15131" s="4" t="n">
        <v>4</v>
      </c>
      <c r="E15131" s="4" t="s">
        <v>722</v>
      </c>
      <c r="F15131" s="4" t="n">
        <v>17</v>
      </c>
      <c r="G15131" s="4" t="n">
        <v>7</v>
      </c>
      <c r="H15131" s="4" t="n">
        <v>4</v>
      </c>
      <c r="I15131" s="4" t="str">
        <v>×</v>
      </c>
      <c r="J15131" s="4"/>
      <c r="K15131" s="4"/>
      <c r="L15131" s="4"/>
      <c r="M15131" s="7" t="s">
        <v>6871</v>
      </c>
    </row>
    <row r="15132" customFormat="false" ht="15.75" hidden="false" customHeight="false" outlineLevel="0" collapsed="false">
      <c r="A15132" s="6" t="n">
        <f aca="false">DATE(2026,5,9)</f>
        <v>46151</v>
      </c>
      <c r="B15132" s="4" t="s">
        <v>5435</v>
      </c>
      <c r="C15132" s="4" t="n">
        <v>12</v>
      </c>
      <c r="D15132" s="4" t="n">
        <v>10</v>
      </c>
      <c r="E15132" s="4" t="s">
        <v>6974</v>
      </c>
      <c r="F15132" s="4" t="n">
        <v>15</v>
      </c>
      <c r="G15132" s="4" t="n">
        <v>8</v>
      </c>
      <c r="H15132" s="4" t="n">
        <v>2</v>
      </c>
      <c r="I15132" s="4" t="str">
        <v>○</v>
      </c>
      <c r="J15132" s="4" t="n">
        <v>710</v>
      </c>
      <c r="K15132" s="4"/>
      <c r="L15132" s="4"/>
      <c r="M15132" s="7" t="s">
        <v>6871</v>
      </c>
    </row>
    <row r="15133" customFormat="false" ht="15.75" hidden="false" customHeight="false" outlineLevel="0" collapsed="false">
      <c r="A15133" s="6" t="n">
        <f aca="false">DATE(2026,5,9)</f>
        <v>46151</v>
      </c>
      <c r="B15133" s="4" t="s">
        <v>5435</v>
      </c>
      <c r="C15133" s="4" t="n">
        <v>12</v>
      </c>
      <c r="D15133" s="4" t="n">
        <v>5</v>
      </c>
      <c r="E15133" s="4" t="s">
        <v>3649</v>
      </c>
      <c r="F15133" s="4" t="n">
        <v>10</v>
      </c>
      <c r="G15133" s="4" t="n">
        <v>9</v>
      </c>
      <c r="H15133" s="4" t="n">
        <v>4</v>
      </c>
      <c r="I15133" s="4" t="str">
        <v>×</v>
      </c>
      <c r="J15133" s="4"/>
      <c r="K15133" s="4"/>
      <c r="L15133" s="4"/>
      <c r="M15133" s="7" t="s">
        <v>6871</v>
      </c>
    </row>
    <row r="15134" customFormat="false" ht="15.75" hidden="false" customHeight="false" outlineLevel="0" collapsed="false">
      <c r="A15134" s="6" t="n">
        <f aca="false">DATE(2026,5,9)</f>
        <v>46151</v>
      </c>
      <c r="B15134" s="4" t="s">
        <v>5435</v>
      </c>
      <c r="C15134" s="4" t="n">
        <v>12</v>
      </c>
      <c r="D15134" s="4" t="n">
        <v>2</v>
      </c>
      <c r="E15134" s="4" t="s">
        <v>6975</v>
      </c>
      <c r="F15134" s="4" t="n">
        <v>8</v>
      </c>
      <c r="G15134" s="4" t="n">
        <v>10</v>
      </c>
      <c r="H15134" s="4" t="n">
        <v>4</v>
      </c>
      <c r="I15134" s="4" t="str">
        <v>×</v>
      </c>
      <c r="J15134" s="4"/>
      <c r="K15134" s="4"/>
      <c r="L15134" s="4"/>
      <c r="M15134" s="7" t="s">
        <v>6871</v>
      </c>
    </row>
    <row r="15135" customFormat="false" ht="15.75" hidden="false" customHeight="false" outlineLevel="0" collapsed="false">
      <c r="A15135" s="6" t="n">
        <f aca="false">DATE(2026,5,9)</f>
        <v>46151</v>
      </c>
      <c r="B15135" s="4" t="s">
        <v>5435</v>
      </c>
      <c r="C15135" s="4" t="n">
        <v>12</v>
      </c>
      <c r="D15135" s="4" t="n">
        <v>6</v>
      </c>
      <c r="E15135" s="4" t="s">
        <v>6976</v>
      </c>
      <c r="F15135" s="4" t="n">
        <v>6</v>
      </c>
      <c r="G15135" s="4" t="n">
        <v>11</v>
      </c>
      <c r="H15135" s="4" t="n">
        <v>4</v>
      </c>
      <c r="I15135" s="4" t="str">
        <v>×</v>
      </c>
      <c r="J15135" s="4"/>
      <c r="K15135" s="4"/>
      <c r="L15135" s="4"/>
      <c r="M15135" s="7" t="s">
        <v>6871</v>
      </c>
    </row>
    <row r="15136" customFormat="false" ht="15.75" hidden="false" customHeight="false" outlineLevel="0" collapsed="false">
      <c r="A15136" s="6" t="n">
        <f aca="false">DATE(2026,5,9)</f>
        <v>46151</v>
      </c>
      <c r="B15136" s="4" t="s">
        <v>5435</v>
      </c>
      <c r="C15136" s="4" t="n">
        <v>12</v>
      </c>
      <c r="D15136" s="4" t="n">
        <v>1</v>
      </c>
      <c r="E15136" s="4" t="s">
        <v>6977</v>
      </c>
      <c r="F15136" s="4" t="n">
        <v>3</v>
      </c>
      <c r="G15136" s="4" t="n">
        <v>12</v>
      </c>
      <c r="H15136" s="4" t="n">
        <v>4</v>
      </c>
      <c r="I15136" s="4" t="str">
        <v>×</v>
      </c>
      <c r="J15136" s="4"/>
      <c r="K15136" s="4"/>
      <c r="L15136" s="4"/>
      <c r="M15136" s="7" t="s">
        <v>6871</v>
      </c>
    </row>
    <row r="15137" customFormat="false" ht="15.75" hidden="false" customHeight="false" outlineLevel="0" collapsed="false">
      <c r="A15137" s="6" t="n">
        <f aca="false">DATE(2026,5,9)</f>
        <v>46151</v>
      </c>
      <c r="B15137" s="4" t="s">
        <v>5435</v>
      </c>
      <c r="C15137" s="4" t="n">
        <v>12</v>
      </c>
      <c r="D15137" s="4" t="n">
        <v>12</v>
      </c>
      <c r="E15137" s="4" t="s">
        <v>3951</v>
      </c>
      <c r="F15137" s="4" t="n">
        <v>2</v>
      </c>
      <c r="G15137" s="4" t="n">
        <v>13</v>
      </c>
      <c r="H15137" s="4" t="n">
        <v>4</v>
      </c>
      <c r="I15137" s="4" t="str">
        <v>×</v>
      </c>
      <c r="J15137" s="4"/>
      <c r="K15137" s="4"/>
      <c r="L15137" s="4"/>
      <c r="M15137" s="7" t="s">
        <v>6871</v>
      </c>
    </row>
    <row r="15138" customFormat="false" ht="15.75" hidden="false" customHeight="false" outlineLevel="0" collapsed="false">
      <c r="A15138" s="6" t="n">
        <f aca="false">DATE(2026,5,9)</f>
        <v>46151</v>
      </c>
      <c r="B15138" s="4" t="s">
        <v>13</v>
      </c>
      <c r="C15138" s="4" t="n">
        <v>1</v>
      </c>
      <c r="D15138" s="4" t="n">
        <v>6</v>
      </c>
      <c r="E15138" s="4" t="s">
        <v>579</v>
      </c>
      <c r="F15138" s="4" t="n">
        <v>55</v>
      </c>
      <c r="G15138" s="4" t="n">
        <v>1</v>
      </c>
      <c r="H15138" s="4" t="n">
        <v>4</v>
      </c>
      <c r="I15138" s="4" t="str">
        <v>×</v>
      </c>
      <c r="J15138" s="4"/>
      <c r="K15138" s="4"/>
      <c r="L15138" s="4"/>
      <c r="M15138" s="7" t="s">
        <v>6871</v>
      </c>
    </row>
    <row r="15139" customFormat="false" ht="15.75" hidden="false" customHeight="false" outlineLevel="0" collapsed="false">
      <c r="A15139" s="6" t="n">
        <f aca="false">DATE(2026,5,9)</f>
        <v>46151</v>
      </c>
      <c r="B15139" s="4" t="s">
        <v>13</v>
      </c>
      <c r="C15139" s="4" t="n">
        <v>1</v>
      </c>
      <c r="D15139" s="4" t="n">
        <v>11</v>
      </c>
      <c r="E15139" s="4" t="s">
        <v>6978</v>
      </c>
      <c r="F15139" s="4" t="n">
        <v>55</v>
      </c>
      <c r="G15139" s="4" t="n">
        <v>2</v>
      </c>
      <c r="H15139" s="4" t="n">
        <v>4</v>
      </c>
      <c r="I15139" s="4" t="str">
        <v>×</v>
      </c>
      <c r="J15139" s="4"/>
      <c r="K15139" s="4"/>
      <c r="L15139" s="4"/>
      <c r="M15139" s="7" t="s">
        <v>6871</v>
      </c>
    </row>
    <row r="15140" customFormat="false" ht="15.75" hidden="false" customHeight="false" outlineLevel="0" collapsed="false">
      <c r="A15140" s="6" t="n">
        <f aca="false">DATE(2026,5,9)</f>
        <v>46151</v>
      </c>
      <c r="B15140" s="4" t="s">
        <v>13</v>
      </c>
      <c r="C15140" s="4" t="n">
        <v>1</v>
      </c>
      <c r="D15140" s="4" t="n">
        <v>2</v>
      </c>
      <c r="E15140" s="4" t="s">
        <v>6979</v>
      </c>
      <c r="F15140" s="4" t="n">
        <v>37</v>
      </c>
      <c r="G15140" s="4" t="n">
        <v>3</v>
      </c>
      <c r="H15140" s="4" t="n">
        <v>1</v>
      </c>
      <c r="I15140" s="4" t="str">
        <v>○</v>
      </c>
      <c r="J15140" s="4" t="n">
        <v>130</v>
      </c>
      <c r="K15140" s="4"/>
      <c r="L15140" s="4"/>
      <c r="M15140" s="7" t="s">
        <v>6871</v>
      </c>
    </row>
    <row r="15141" customFormat="false" ht="15.75" hidden="false" customHeight="false" outlineLevel="0" collapsed="false">
      <c r="A15141" s="6" t="n">
        <f aca="false">DATE(2026,5,9)</f>
        <v>46151</v>
      </c>
      <c r="B15141" s="4" t="s">
        <v>13</v>
      </c>
      <c r="C15141" s="4" t="n">
        <v>1</v>
      </c>
      <c r="D15141" s="4" t="n">
        <v>7</v>
      </c>
      <c r="E15141" s="4" t="s">
        <v>4480</v>
      </c>
      <c r="F15141" s="4" t="n">
        <v>37</v>
      </c>
      <c r="G15141" s="4" t="n">
        <v>4</v>
      </c>
      <c r="H15141" s="4" t="n">
        <v>2</v>
      </c>
      <c r="I15141" s="4" t="str">
        <v>○</v>
      </c>
      <c r="J15141" s="4" t="n">
        <v>120</v>
      </c>
      <c r="K15141" s="4"/>
      <c r="L15141" s="4"/>
      <c r="M15141" s="7" t="s">
        <v>6871</v>
      </c>
    </row>
    <row r="15142" customFormat="false" ht="15.75" hidden="false" customHeight="false" outlineLevel="0" collapsed="false">
      <c r="A15142" s="6" t="n">
        <f aca="false">DATE(2026,5,9)</f>
        <v>46151</v>
      </c>
      <c r="B15142" s="4" t="s">
        <v>13</v>
      </c>
      <c r="C15142" s="4" t="n">
        <v>1</v>
      </c>
      <c r="D15142" s="4" t="n">
        <v>13</v>
      </c>
      <c r="E15142" s="4" t="s">
        <v>5748</v>
      </c>
      <c r="F15142" s="4" t="n">
        <v>37</v>
      </c>
      <c r="G15142" s="4" t="n">
        <v>5</v>
      </c>
      <c r="H15142" s="4" t="n">
        <v>3</v>
      </c>
      <c r="I15142" s="4" t="str">
        <v>○</v>
      </c>
      <c r="J15142" s="4" t="n">
        <v>140</v>
      </c>
      <c r="K15142" s="4"/>
      <c r="L15142" s="4"/>
      <c r="M15142" s="7" t="s">
        <v>6871</v>
      </c>
    </row>
    <row r="15143" customFormat="false" ht="15.75" hidden="false" customHeight="false" outlineLevel="0" collapsed="false">
      <c r="A15143" s="6" t="n">
        <f aca="false">DATE(2026,5,9)</f>
        <v>46151</v>
      </c>
      <c r="B15143" s="4" t="s">
        <v>13</v>
      </c>
      <c r="C15143" s="4" t="n">
        <v>1</v>
      </c>
      <c r="D15143" s="4" t="n">
        <v>3</v>
      </c>
      <c r="E15143" s="4" t="s">
        <v>4786</v>
      </c>
      <c r="F15143" s="4" t="n">
        <v>31</v>
      </c>
      <c r="G15143" s="4" t="n">
        <v>6</v>
      </c>
      <c r="H15143" s="4" t="n">
        <v>4</v>
      </c>
      <c r="I15143" s="4" t="str">
        <v>×</v>
      </c>
      <c r="J15143" s="4"/>
      <c r="K15143" s="4"/>
      <c r="L15143" s="4"/>
      <c r="M15143" s="7" t="s">
        <v>6871</v>
      </c>
    </row>
    <row r="15144" customFormat="false" ht="15.75" hidden="false" customHeight="false" outlineLevel="0" collapsed="false">
      <c r="A15144" s="6" t="n">
        <f aca="false">DATE(2026,5,9)</f>
        <v>46151</v>
      </c>
      <c r="B15144" s="4" t="s">
        <v>13</v>
      </c>
      <c r="C15144" s="4" t="n">
        <v>1</v>
      </c>
      <c r="D15144" s="4" t="n">
        <v>1</v>
      </c>
      <c r="E15144" s="4" t="s">
        <v>6980</v>
      </c>
      <c r="F15144" s="4" t="n">
        <v>16</v>
      </c>
      <c r="G15144" s="4" t="n">
        <v>7</v>
      </c>
      <c r="H15144" s="4" t="n">
        <v>4</v>
      </c>
      <c r="I15144" s="4" t="str">
        <v>×</v>
      </c>
      <c r="J15144" s="4"/>
      <c r="K15144" s="4"/>
      <c r="L15144" s="4"/>
      <c r="M15144" s="7" t="s">
        <v>6871</v>
      </c>
    </row>
    <row r="15145" customFormat="false" ht="15.75" hidden="false" customHeight="false" outlineLevel="0" collapsed="false">
      <c r="A15145" s="6" t="n">
        <f aca="false">DATE(2026,5,9)</f>
        <v>46151</v>
      </c>
      <c r="B15145" s="4" t="s">
        <v>13</v>
      </c>
      <c r="C15145" s="4" t="n">
        <v>1</v>
      </c>
      <c r="D15145" s="4" t="n">
        <v>10</v>
      </c>
      <c r="E15145" s="4" t="s">
        <v>3658</v>
      </c>
      <c r="F15145" s="4" t="n">
        <v>16</v>
      </c>
      <c r="G15145" s="4" t="n">
        <v>8</v>
      </c>
      <c r="H15145" s="4" t="n">
        <v>4</v>
      </c>
      <c r="I15145" s="4" t="str">
        <v>×</v>
      </c>
      <c r="J15145" s="4"/>
      <c r="K15145" s="4"/>
      <c r="L15145" s="4"/>
      <c r="M15145" s="7" t="s">
        <v>6871</v>
      </c>
    </row>
    <row r="15146" customFormat="false" ht="15.75" hidden="false" customHeight="false" outlineLevel="0" collapsed="false">
      <c r="A15146" s="6" t="n">
        <f aca="false">DATE(2026,5,9)</f>
        <v>46151</v>
      </c>
      <c r="B15146" s="4" t="s">
        <v>13</v>
      </c>
      <c r="C15146" s="4" t="n">
        <v>1</v>
      </c>
      <c r="D15146" s="4" t="n">
        <v>12</v>
      </c>
      <c r="E15146" s="4" t="s">
        <v>4265</v>
      </c>
      <c r="F15146" s="4" t="n">
        <v>16</v>
      </c>
      <c r="G15146" s="4" t="n">
        <v>9</v>
      </c>
      <c r="H15146" s="4" t="n">
        <v>4</v>
      </c>
      <c r="I15146" s="4" t="str">
        <v>×</v>
      </c>
      <c r="J15146" s="4"/>
      <c r="K15146" s="4"/>
      <c r="L15146" s="4"/>
      <c r="M15146" s="7" t="s">
        <v>6871</v>
      </c>
    </row>
    <row r="15147" customFormat="false" ht="15.75" hidden="false" customHeight="false" outlineLevel="0" collapsed="false">
      <c r="A15147" s="6" t="n">
        <f aca="false">DATE(2026,5,9)</f>
        <v>46151</v>
      </c>
      <c r="B15147" s="4" t="s">
        <v>13</v>
      </c>
      <c r="C15147" s="4" t="n">
        <v>1</v>
      </c>
      <c r="D15147" s="4" t="n">
        <v>4</v>
      </c>
      <c r="E15147" s="4" t="s">
        <v>6981</v>
      </c>
      <c r="F15147" s="4" t="n">
        <v>14</v>
      </c>
      <c r="G15147" s="4" t="n">
        <v>10</v>
      </c>
      <c r="H15147" s="4" t="n">
        <v>4</v>
      </c>
      <c r="I15147" s="4" t="str">
        <v>×</v>
      </c>
      <c r="J15147" s="4"/>
      <c r="K15147" s="4"/>
      <c r="L15147" s="4"/>
      <c r="M15147" s="7" t="s">
        <v>6871</v>
      </c>
    </row>
    <row r="15148" customFormat="false" ht="15.75" hidden="false" customHeight="false" outlineLevel="0" collapsed="false">
      <c r="A15148" s="6" t="n">
        <f aca="false">DATE(2026,5,9)</f>
        <v>46151</v>
      </c>
      <c r="B15148" s="4" t="s">
        <v>13</v>
      </c>
      <c r="C15148" s="4" t="n">
        <v>1</v>
      </c>
      <c r="D15148" s="4" t="n">
        <v>5</v>
      </c>
      <c r="E15148" s="4" t="s">
        <v>6982</v>
      </c>
      <c r="F15148" s="4" t="n">
        <v>14</v>
      </c>
      <c r="G15148" s="4" t="n">
        <v>11</v>
      </c>
      <c r="H15148" s="4" t="n">
        <v>4</v>
      </c>
      <c r="I15148" s="4" t="str">
        <v>×</v>
      </c>
      <c r="J15148" s="4"/>
      <c r="K15148" s="4"/>
      <c r="L15148" s="4"/>
      <c r="M15148" s="7" t="s">
        <v>6871</v>
      </c>
    </row>
    <row r="15149" customFormat="false" ht="15.75" hidden="false" customHeight="false" outlineLevel="0" collapsed="false">
      <c r="A15149" s="6" t="n">
        <f aca="false">DATE(2026,5,9)</f>
        <v>46151</v>
      </c>
      <c r="B15149" s="4" t="s">
        <v>13</v>
      </c>
      <c r="C15149" s="4" t="n">
        <v>1</v>
      </c>
      <c r="D15149" s="4" t="n">
        <v>8</v>
      </c>
      <c r="E15149" s="4" t="s">
        <v>1558</v>
      </c>
      <c r="F15149" s="4" t="n">
        <v>14</v>
      </c>
      <c r="G15149" s="4" t="n">
        <v>12</v>
      </c>
      <c r="H15149" s="4" t="n">
        <v>4</v>
      </c>
      <c r="I15149" s="4" t="str">
        <v>×</v>
      </c>
      <c r="J15149" s="4"/>
      <c r="K15149" s="4"/>
      <c r="L15149" s="4"/>
      <c r="M15149" s="7" t="s">
        <v>6871</v>
      </c>
    </row>
    <row r="15150" customFormat="false" ht="15.75" hidden="false" customHeight="false" outlineLevel="0" collapsed="false">
      <c r="A15150" s="6" t="n">
        <f aca="false">DATE(2026,5,9)</f>
        <v>46151</v>
      </c>
      <c r="B15150" s="4" t="s">
        <v>13</v>
      </c>
      <c r="C15150" s="4" t="n">
        <v>1</v>
      </c>
      <c r="D15150" s="4" t="n">
        <v>9</v>
      </c>
      <c r="E15150" s="4" t="s">
        <v>1561</v>
      </c>
      <c r="F15150" s="4" t="n">
        <v>6</v>
      </c>
      <c r="G15150" s="4" t="n">
        <v>13</v>
      </c>
      <c r="H15150" s="4" t="n">
        <v>4</v>
      </c>
      <c r="I15150" s="4" t="str">
        <v>×</v>
      </c>
      <c r="J15150" s="4"/>
      <c r="K15150" s="4"/>
      <c r="L15150" s="4"/>
      <c r="M15150" s="7" t="s">
        <v>6871</v>
      </c>
    </row>
    <row r="15151" customFormat="false" ht="15.75" hidden="false" customHeight="false" outlineLevel="0" collapsed="false">
      <c r="A15151" s="6" t="n">
        <f aca="false">DATE(2026,5,9)</f>
        <v>46151</v>
      </c>
      <c r="B15151" s="4" t="s">
        <v>13</v>
      </c>
      <c r="C15151" s="4" t="n">
        <v>2</v>
      </c>
      <c r="D15151" s="4" t="n">
        <v>3</v>
      </c>
      <c r="E15151" s="4" t="s">
        <v>6664</v>
      </c>
      <c r="F15151" s="4" t="n">
        <v>81</v>
      </c>
      <c r="G15151" s="4" t="n">
        <v>1</v>
      </c>
      <c r="H15151" s="4" t="n">
        <v>1</v>
      </c>
      <c r="I15151" s="4" t="str">
        <v>○</v>
      </c>
      <c r="J15151" s="4" t="n">
        <v>110</v>
      </c>
      <c r="K15151" s="4"/>
      <c r="L15151" s="4"/>
      <c r="M15151" s="7" t="s">
        <v>6871</v>
      </c>
    </row>
    <row r="15152" customFormat="false" ht="15.75" hidden="false" customHeight="false" outlineLevel="0" collapsed="false">
      <c r="A15152" s="6" t="n">
        <f aca="false">DATE(2026,5,9)</f>
        <v>46151</v>
      </c>
      <c r="B15152" s="4" t="s">
        <v>13</v>
      </c>
      <c r="C15152" s="4" t="n">
        <v>2</v>
      </c>
      <c r="D15152" s="4" t="n">
        <v>2</v>
      </c>
      <c r="E15152" s="4" t="s">
        <v>1914</v>
      </c>
      <c r="F15152" s="4" t="n">
        <v>60</v>
      </c>
      <c r="G15152" s="4" t="n">
        <v>2</v>
      </c>
      <c r="H15152" s="4" t="n">
        <v>2</v>
      </c>
      <c r="I15152" s="4" t="str">
        <v>○</v>
      </c>
      <c r="J15152" s="4" t="n">
        <v>230</v>
      </c>
      <c r="K15152" s="4"/>
      <c r="L15152" s="4"/>
      <c r="M15152" s="7" t="s">
        <v>6871</v>
      </c>
    </row>
    <row r="15153" customFormat="false" ht="15.75" hidden="false" customHeight="false" outlineLevel="0" collapsed="false">
      <c r="A15153" s="6" t="n">
        <f aca="false">DATE(2026,5,9)</f>
        <v>46151</v>
      </c>
      <c r="B15153" s="4" t="s">
        <v>13</v>
      </c>
      <c r="C15153" s="4" t="n">
        <v>2</v>
      </c>
      <c r="D15153" s="4" t="n">
        <v>8</v>
      </c>
      <c r="E15153" s="4" t="s">
        <v>4234</v>
      </c>
      <c r="F15153" s="4" t="n">
        <v>47</v>
      </c>
      <c r="G15153" s="4" t="n">
        <v>3</v>
      </c>
      <c r="H15153" s="4" t="n">
        <v>3</v>
      </c>
      <c r="I15153" s="4" t="str">
        <v>○</v>
      </c>
      <c r="J15153" s="4" t="n">
        <v>130</v>
      </c>
      <c r="K15153" s="4"/>
      <c r="L15153" s="4"/>
      <c r="M15153" s="7" t="s">
        <v>6871</v>
      </c>
    </row>
    <row r="15154" customFormat="false" ht="15.75" hidden="false" customHeight="false" outlineLevel="0" collapsed="false">
      <c r="A15154" s="6" t="n">
        <f aca="false">DATE(2026,5,9)</f>
        <v>46151</v>
      </c>
      <c r="B15154" s="4" t="s">
        <v>13</v>
      </c>
      <c r="C15154" s="4" t="n">
        <v>2</v>
      </c>
      <c r="D15154" s="4" t="n">
        <v>5</v>
      </c>
      <c r="E15154" s="4" t="s">
        <v>1298</v>
      </c>
      <c r="F15154" s="4" t="n">
        <v>34</v>
      </c>
      <c r="G15154" s="4" t="n">
        <v>4</v>
      </c>
      <c r="H15154" s="4" t="n">
        <v>4</v>
      </c>
      <c r="I15154" s="4" t="str">
        <v>×</v>
      </c>
      <c r="J15154" s="4"/>
      <c r="K15154" s="4"/>
      <c r="L15154" s="4"/>
      <c r="M15154" s="7" t="s">
        <v>6871</v>
      </c>
    </row>
    <row r="15155" customFormat="false" ht="15.75" hidden="false" customHeight="false" outlineLevel="0" collapsed="false">
      <c r="A15155" s="6" t="n">
        <f aca="false">DATE(2026,5,9)</f>
        <v>46151</v>
      </c>
      <c r="B15155" s="4" t="s">
        <v>13</v>
      </c>
      <c r="C15155" s="4" t="n">
        <v>2</v>
      </c>
      <c r="D15155" s="4" t="n">
        <v>10</v>
      </c>
      <c r="E15155" s="4" t="s">
        <v>5001</v>
      </c>
      <c r="F15155" s="4" t="n">
        <v>31</v>
      </c>
      <c r="G15155" s="4" t="n">
        <v>5</v>
      </c>
      <c r="H15155" s="4" t="n">
        <v>4</v>
      </c>
      <c r="I15155" s="4" t="str">
        <v>×</v>
      </c>
      <c r="J15155" s="4"/>
      <c r="K15155" s="4"/>
      <c r="L15155" s="4"/>
      <c r="M15155" s="7" t="s">
        <v>6871</v>
      </c>
    </row>
    <row r="15156" customFormat="false" ht="15.75" hidden="false" customHeight="false" outlineLevel="0" collapsed="false">
      <c r="A15156" s="6" t="n">
        <f aca="false">DATE(2026,5,9)</f>
        <v>46151</v>
      </c>
      <c r="B15156" s="4" t="s">
        <v>13</v>
      </c>
      <c r="C15156" s="4" t="n">
        <v>2</v>
      </c>
      <c r="D15156" s="4" t="n">
        <v>9</v>
      </c>
      <c r="E15156" s="4" t="s">
        <v>6983</v>
      </c>
      <c r="F15156" s="4" t="n">
        <v>25</v>
      </c>
      <c r="G15156" s="4" t="n">
        <v>6</v>
      </c>
      <c r="H15156" s="4" t="n">
        <v>4</v>
      </c>
      <c r="I15156" s="4" t="str">
        <v>×</v>
      </c>
      <c r="J15156" s="4"/>
      <c r="K15156" s="4"/>
      <c r="L15156" s="4"/>
      <c r="M15156" s="7" t="s">
        <v>6871</v>
      </c>
    </row>
    <row r="15157" customFormat="false" ht="15.75" hidden="false" customHeight="false" outlineLevel="0" collapsed="false">
      <c r="A15157" s="6" t="n">
        <f aca="false">DATE(2026,5,9)</f>
        <v>46151</v>
      </c>
      <c r="B15157" s="4" t="s">
        <v>13</v>
      </c>
      <c r="C15157" s="4" t="n">
        <v>2</v>
      </c>
      <c r="D15157" s="4" t="n">
        <v>1</v>
      </c>
      <c r="E15157" s="4" t="s">
        <v>5798</v>
      </c>
      <c r="F15157" s="4" t="n">
        <v>15</v>
      </c>
      <c r="G15157" s="4" t="n">
        <v>7</v>
      </c>
      <c r="H15157" s="4" t="n">
        <v>4</v>
      </c>
      <c r="I15157" s="4" t="str">
        <v>×</v>
      </c>
      <c r="J15157" s="4"/>
      <c r="K15157" s="4"/>
      <c r="L15157" s="4"/>
      <c r="M15157" s="7" t="s">
        <v>6871</v>
      </c>
    </row>
    <row r="15158" customFormat="false" ht="15.75" hidden="false" customHeight="false" outlineLevel="0" collapsed="false">
      <c r="A15158" s="6" t="n">
        <f aca="false">DATE(2026,5,9)</f>
        <v>46151</v>
      </c>
      <c r="B15158" s="4" t="s">
        <v>13</v>
      </c>
      <c r="C15158" s="4" t="n">
        <v>2</v>
      </c>
      <c r="D15158" s="4" t="n">
        <v>4</v>
      </c>
      <c r="E15158" s="4" t="s">
        <v>6984</v>
      </c>
      <c r="F15158" s="4" t="n">
        <v>8</v>
      </c>
      <c r="G15158" s="4" t="n">
        <v>8</v>
      </c>
      <c r="H15158" s="4" t="n">
        <v>4</v>
      </c>
      <c r="I15158" s="4" t="str">
        <v>×</v>
      </c>
      <c r="J15158" s="4"/>
      <c r="K15158" s="4"/>
      <c r="L15158" s="4"/>
      <c r="M15158" s="7" t="s">
        <v>6871</v>
      </c>
    </row>
    <row r="15159" customFormat="false" ht="15.75" hidden="false" customHeight="false" outlineLevel="0" collapsed="false">
      <c r="A15159" s="6" t="n">
        <f aca="false">DATE(2026,5,9)</f>
        <v>46151</v>
      </c>
      <c r="B15159" s="4" t="s">
        <v>13</v>
      </c>
      <c r="C15159" s="4" t="n">
        <v>2</v>
      </c>
      <c r="D15159" s="4" t="n">
        <v>6</v>
      </c>
      <c r="E15159" s="4" t="s">
        <v>360</v>
      </c>
      <c r="F15159" s="4" t="n">
        <v>6</v>
      </c>
      <c r="G15159" s="4" t="n">
        <v>9</v>
      </c>
      <c r="H15159" s="4" t="n">
        <v>4</v>
      </c>
      <c r="I15159" s="4" t="str">
        <v>×</v>
      </c>
      <c r="J15159" s="4"/>
      <c r="K15159" s="4"/>
      <c r="L15159" s="4"/>
      <c r="M15159" s="7" t="s">
        <v>6871</v>
      </c>
    </row>
    <row r="15160" customFormat="false" ht="15.75" hidden="false" customHeight="false" outlineLevel="0" collapsed="false">
      <c r="A15160" s="6" t="n">
        <f aca="false">DATE(2026,5,9)</f>
        <v>46151</v>
      </c>
      <c r="B15160" s="4" t="s">
        <v>13</v>
      </c>
      <c r="C15160" s="4" t="n">
        <v>2</v>
      </c>
      <c r="D15160" s="4" t="n">
        <v>7</v>
      </c>
      <c r="E15160" s="4" t="s">
        <v>6985</v>
      </c>
      <c r="F15160" s="4" t="n">
        <v>4</v>
      </c>
      <c r="G15160" s="4" t="n">
        <v>10</v>
      </c>
      <c r="H15160" s="4" t="n">
        <v>4</v>
      </c>
      <c r="I15160" s="4" t="str">
        <v>×</v>
      </c>
      <c r="J15160" s="4"/>
      <c r="K15160" s="4"/>
      <c r="L15160" s="4"/>
      <c r="M15160" s="7" t="s">
        <v>6871</v>
      </c>
    </row>
    <row r="15161" customFormat="false" ht="15.75" hidden="false" customHeight="false" outlineLevel="0" collapsed="false">
      <c r="A15161" s="6" t="n">
        <f aca="false">DATE(2026,5,9)</f>
        <v>46151</v>
      </c>
      <c r="B15161" s="4" t="s">
        <v>13</v>
      </c>
      <c r="C15161" s="4" t="n">
        <v>3</v>
      </c>
      <c r="D15161" s="4" t="n">
        <v>9</v>
      </c>
      <c r="E15161" s="4" t="s">
        <v>50</v>
      </c>
      <c r="F15161" s="4" t="n">
        <v>50</v>
      </c>
      <c r="G15161" s="4" t="n">
        <v>1</v>
      </c>
      <c r="H15161" s="4" t="n">
        <v>4</v>
      </c>
      <c r="I15161" s="4" t="str">
        <v>×</v>
      </c>
      <c r="J15161" s="4"/>
      <c r="K15161" s="4"/>
      <c r="L15161" s="4"/>
      <c r="M15161" s="7" t="s">
        <v>6871</v>
      </c>
    </row>
    <row r="15162" customFormat="false" ht="15.75" hidden="false" customHeight="false" outlineLevel="0" collapsed="false">
      <c r="A15162" s="6" t="n">
        <f aca="false">DATE(2026,5,9)</f>
        <v>46151</v>
      </c>
      <c r="B15162" s="4" t="s">
        <v>13</v>
      </c>
      <c r="C15162" s="4" t="n">
        <v>3</v>
      </c>
      <c r="D15162" s="4" t="n">
        <v>12</v>
      </c>
      <c r="E15162" s="4" t="s">
        <v>3913</v>
      </c>
      <c r="F15162" s="4" t="n">
        <v>44</v>
      </c>
      <c r="G15162" s="4" t="n">
        <v>2</v>
      </c>
      <c r="H15162" s="4" t="n">
        <v>4</v>
      </c>
      <c r="I15162" s="4" t="str">
        <v>×</v>
      </c>
      <c r="J15162" s="4"/>
      <c r="K15162" s="4"/>
      <c r="L15162" s="4"/>
      <c r="M15162" s="7" t="s">
        <v>6871</v>
      </c>
    </row>
    <row r="15163" customFormat="false" ht="15.75" hidden="false" customHeight="false" outlineLevel="0" collapsed="false">
      <c r="A15163" s="6" t="n">
        <f aca="false">DATE(2026,5,9)</f>
        <v>46151</v>
      </c>
      <c r="B15163" s="4" t="s">
        <v>13</v>
      </c>
      <c r="C15163" s="4" t="n">
        <v>3</v>
      </c>
      <c r="D15163" s="4" t="n">
        <v>10</v>
      </c>
      <c r="E15163" s="4" t="s">
        <v>498</v>
      </c>
      <c r="F15163" s="4" t="n">
        <v>41</v>
      </c>
      <c r="G15163" s="4" t="n">
        <v>3</v>
      </c>
      <c r="H15163" s="4" t="n">
        <v>4</v>
      </c>
      <c r="I15163" s="4" t="str">
        <v>×</v>
      </c>
      <c r="J15163" s="4"/>
      <c r="K15163" s="4"/>
      <c r="L15163" s="4"/>
      <c r="M15163" s="7" t="s">
        <v>6871</v>
      </c>
    </row>
    <row r="15164" customFormat="false" ht="15.75" hidden="false" customHeight="false" outlineLevel="0" collapsed="false">
      <c r="A15164" s="6" t="n">
        <f aca="false">DATE(2026,5,9)</f>
        <v>46151</v>
      </c>
      <c r="B15164" s="4" t="s">
        <v>13</v>
      </c>
      <c r="C15164" s="4" t="n">
        <v>3</v>
      </c>
      <c r="D15164" s="4" t="n">
        <v>15</v>
      </c>
      <c r="E15164" s="4" t="s">
        <v>1814</v>
      </c>
      <c r="F15164" s="4" t="n">
        <v>39</v>
      </c>
      <c r="G15164" s="4" t="n">
        <v>4</v>
      </c>
      <c r="H15164" s="4" t="n">
        <v>1</v>
      </c>
      <c r="I15164" s="4" t="str">
        <v>○</v>
      </c>
      <c r="J15164" s="4" t="n">
        <v>180</v>
      </c>
      <c r="K15164" s="4"/>
      <c r="L15164" s="4"/>
      <c r="M15164" s="7" t="s">
        <v>6871</v>
      </c>
    </row>
    <row r="15165" customFormat="false" ht="15.75" hidden="false" customHeight="false" outlineLevel="0" collapsed="false">
      <c r="A15165" s="6" t="n">
        <f aca="false">DATE(2026,5,9)</f>
        <v>46151</v>
      </c>
      <c r="B15165" s="4" t="s">
        <v>13</v>
      </c>
      <c r="C15165" s="4" t="n">
        <v>3</v>
      </c>
      <c r="D15165" s="4" t="n">
        <v>3</v>
      </c>
      <c r="E15165" s="4" t="s">
        <v>3260</v>
      </c>
      <c r="F15165" s="4" t="n">
        <v>31</v>
      </c>
      <c r="G15165" s="4" t="n">
        <v>5</v>
      </c>
      <c r="H15165" s="4" t="n">
        <v>4</v>
      </c>
      <c r="I15165" s="4" t="str">
        <v>×</v>
      </c>
      <c r="J15165" s="4"/>
      <c r="K15165" s="4"/>
      <c r="L15165" s="4"/>
      <c r="M15165" s="7" t="s">
        <v>6871</v>
      </c>
    </row>
    <row r="15166" customFormat="false" ht="15.75" hidden="false" customHeight="false" outlineLevel="0" collapsed="false">
      <c r="A15166" s="6" t="n">
        <f aca="false">DATE(2026,5,9)</f>
        <v>46151</v>
      </c>
      <c r="B15166" s="4" t="s">
        <v>13</v>
      </c>
      <c r="C15166" s="4" t="n">
        <v>3</v>
      </c>
      <c r="D15166" s="4" t="n">
        <v>13</v>
      </c>
      <c r="E15166" s="4" t="s">
        <v>5737</v>
      </c>
      <c r="F15166" s="4" t="n">
        <v>29</v>
      </c>
      <c r="G15166" s="4" t="n">
        <v>6</v>
      </c>
      <c r="H15166" s="4" t="n">
        <v>3</v>
      </c>
      <c r="I15166" s="4" t="str">
        <v>○</v>
      </c>
      <c r="J15166" s="4" t="n">
        <v>270</v>
      </c>
      <c r="K15166" s="4"/>
      <c r="L15166" s="4"/>
      <c r="M15166" s="7" t="s">
        <v>6871</v>
      </c>
    </row>
    <row r="15167" customFormat="false" ht="15.75" hidden="false" customHeight="false" outlineLevel="0" collapsed="false">
      <c r="A15167" s="6" t="n">
        <f aca="false">DATE(2026,5,9)</f>
        <v>46151</v>
      </c>
      <c r="B15167" s="4" t="s">
        <v>13</v>
      </c>
      <c r="C15167" s="4" t="n">
        <v>3</v>
      </c>
      <c r="D15167" s="4" t="n">
        <v>8</v>
      </c>
      <c r="E15167" s="4" t="s">
        <v>5797</v>
      </c>
      <c r="F15167" s="4" t="n">
        <v>25</v>
      </c>
      <c r="G15167" s="4" t="n">
        <v>7</v>
      </c>
      <c r="H15167" s="4" t="n">
        <v>4</v>
      </c>
      <c r="I15167" s="4" t="str">
        <v>×</v>
      </c>
      <c r="J15167" s="4"/>
      <c r="K15167" s="4"/>
      <c r="L15167" s="4"/>
      <c r="M15167" s="7" t="s">
        <v>6871</v>
      </c>
    </row>
    <row r="15168" customFormat="false" ht="15.75" hidden="false" customHeight="false" outlineLevel="0" collapsed="false">
      <c r="A15168" s="6" t="n">
        <f aca="false">DATE(2026,5,9)</f>
        <v>46151</v>
      </c>
      <c r="B15168" s="4" t="s">
        <v>13</v>
      </c>
      <c r="C15168" s="4" t="n">
        <v>3</v>
      </c>
      <c r="D15168" s="4" t="n">
        <v>14</v>
      </c>
      <c r="E15168" s="4" t="s">
        <v>2454</v>
      </c>
      <c r="F15168" s="4" t="n">
        <v>17</v>
      </c>
      <c r="G15168" s="4" t="n">
        <v>8</v>
      </c>
      <c r="H15168" s="4" t="n">
        <v>2</v>
      </c>
      <c r="I15168" s="4" t="str">
        <v>○</v>
      </c>
      <c r="J15168" s="4" t="n">
        <v>420</v>
      </c>
      <c r="K15168" s="4"/>
      <c r="L15168" s="4"/>
      <c r="M15168" s="7" t="s">
        <v>6871</v>
      </c>
    </row>
    <row r="15169" customFormat="false" ht="15.75" hidden="false" customHeight="false" outlineLevel="0" collapsed="false">
      <c r="A15169" s="6" t="n">
        <f aca="false">DATE(2026,5,9)</f>
        <v>46151</v>
      </c>
      <c r="B15169" s="4" t="s">
        <v>13</v>
      </c>
      <c r="C15169" s="4" t="n">
        <v>3</v>
      </c>
      <c r="D15169" s="4" t="n">
        <v>1</v>
      </c>
      <c r="E15169" s="4" t="s">
        <v>6094</v>
      </c>
      <c r="F15169" s="4" t="n">
        <v>13</v>
      </c>
      <c r="G15169" s="4" t="n">
        <v>9</v>
      </c>
      <c r="H15169" s="4" t="n">
        <v>4</v>
      </c>
      <c r="I15169" s="4" t="str">
        <v>×</v>
      </c>
      <c r="J15169" s="4"/>
      <c r="K15169" s="4"/>
      <c r="L15169" s="4"/>
      <c r="M15169" s="7" t="s">
        <v>6871</v>
      </c>
    </row>
    <row r="15170" customFormat="false" ht="15.75" hidden="false" customHeight="false" outlineLevel="0" collapsed="false">
      <c r="A15170" s="6" t="n">
        <f aca="false">DATE(2026,5,9)</f>
        <v>46151</v>
      </c>
      <c r="B15170" s="4" t="s">
        <v>13</v>
      </c>
      <c r="C15170" s="4" t="n">
        <v>3</v>
      </c>
      <c r="D15170" s="4" t="n">
        <v>7</v>
      </c>
      <c r="E15170" s="4" t="s">
        <v>3156</v>
      </c>
      <c r="F15170" s="4" t="n">
        <v>6</v>
      </c>
      <c r="G15170" s="4" t="n">
        <v>10</v>
      </c>
      <c r="H15170" s="4" t="n">
        <v>4</v>
      </c>
      <c r="I15170" s="4" t="str">
        <v>×</v>
      </c>
      <c r="J15170" s="4"/>
      <c r="K15170" s="4"/>
      <c r="L15170" s="4"/>
      <c r="M15170" s="7" t="s">
        <v>6871</v>
      </c>
    </row>
    <row r="15171" customFormat="false" ht="15.75" hidden="false" customHeight="false" outlineLevel="0" collapsed="false">
      <c r="A15171" s="6" t="n">
        <f aca="false">DATE(2026,5,9)</f>
        <v>46151</v>
      </c>
      <c r="B15171" s="4" t="s">
        <v>13</v>
      </c>
      <c r="C15171" s="4" t="n">
        <v>3</v>
      </c>
      <c r="D15171" s="4" t="n">
        <v>2</v>
      </c>
      <c r="E15171" s="4" t="s">
        <v>6986</v>
      </c>
      <c r="F15171" s="4" t="n">
        <v>4</v>
      </c>
      <c r="G15171" s="4" t="n">
        <v>11</v>
      </c>
      <c r="H15171" s="4" t="n">
        <v>4</v>
      </c>
      <c r="I15171" s="4" t="str">
        <v>×</v>
      </c>
      <c r="J15171" s="4"/>
      <c r="K15171" s="4"/>
      <c r="L15171" s="4"/>
      <c r="M15171" s="7" t="s">
        <v>6871</v>
      </c>
    </row>
    <row r="15172" customFormat="false" ht="15.75" hidden="false" customHeight="false" outlineLevel="0" collapsed="false">
      <c r="A15172" s="6" t="n">
        <f aca="false">DATE(2026,5,9)</f>
        <v>46151</v>
      </c>
      <c r="B15172" s="4" t="s">
        <v>13</v>
      </c>
      <c r="C15172" s="4" t="n">
        <v>3</v>
      </c>
      <c r="D15172" s="4" t="n">
        <v>5</v>
      </c>
      <c r="E15172" s="4" t="s">
        <v>5532</v>
      </c>
      <c r="F15172" s="4" t="n">
        <v>4</v>
      </c>
      <c r="G15172" s="4" t="n">
        <v>12</v>
      </c>
      <c r="H15172" s="4" t="n">
        <v>4</v>
      </c>
      <c r="I15172" s="4" t="str">
        <v>×</v>
      </c>
      <c r="J15172" s="4"/>
      <c r="K15172" s="4"/>
      <c r="L15172" s="4"/>
      <c r="M15172" s="7" t="s">
        <v>6871</v>
      </c>
    </row>
    <row r="15173" customFormat="false" ht="15.75" hidden="false" customHeight="false" outlineLevel="0" collapsed="false">
      <c r="A15173" s="6" t="n">
        <f aca="false">DATE(2026,5,9)</f>
        <v>46151</v>
      </c>
      <c r="B15173" s="4" t="s">
        <v>13</v>
      </c>
      <c r="C15173" s="4" t="n">
        <v>3</v>
      </c>
      <c r="D15173" s="4" t="n">
        <v>6</v>
      </c>
      <c r="E15173" s="4" t="s">
        <v>3033</v>
      </c>
      <c r="F15173" s="4" t="n">
        <v>4</v>
      </c>
      <c r="G15173" s="4" t="n">
        <v>13</v>
      </c>
      <c r="H15173" s="4" t="n">
        <v>4</v>
      </c>
      <c r="I15173" s="4" t="str">
        <v>×</v>
      </c>
      <c r="J15173" s="4"/>
      <c r="K15173" s="4"/>
      <c r="L15173" s="4"/>
      <c r="M15173" s="7" t="s">
        <v>6871</v>
      </c>
    </row>
    <row r="15174" customFormat="false" ht="15.75" hidden="false" customHeight="false" outlineLevel="0" collapsed="false">
      <c r="A15174" s="6" t="n">
        <f aca="false">DATE(2026,5,9)</f>
        <v>46151</v>
      </c>
      <c r="B15174" s="4" t="s">
        <v>13</v>
      </c>
      <c r="C15174" s="4" t="n">
        <v>3</v>
      </c>
      <c r="D15174" s="4" t="n">
        <v>11</v>
      </c>
      <c r="E15174" s="4" t="s">
        <v>154</v>
      </c>
      <c r="F15174" s="4" t="n">
        <v>4</v>
      </c>
      <c r="G15174" s="4" t="n">
        <v>14</v>
      </c>
      <c r="H15174" s="4" t="n">
        <v>4</v>
      </c>
      <c r="I15174" s="4" t="str">
        <v>×</v>
      </c>
      <c r="J15174" s="4"/>
      <c r="K15174" s="4"/>
      <c r="L15174" s="4"/>
      <c r="M15174" s="7" t="s">
        <v>6871</v>
      </c>
    </row>
    <row r="15175" customFormat="false" ht="15.75" hidden="false" customHeight="false" outlineLevel="0" collapsed="false">
      <c r="A15175" s="6" t="n">
        <f aca="false">DATE(2026,5,9)</f>
        <v>46151</v>
      </c>
      <c r="B15175" s="4" t="s">
        <v>13</v>
      </c>
      <c r="C15175" s="4" t="n">
        <v>3</v>
      </c>
      <c r="D15175" s="4" t="n">
        <v>4</v>
      </c>
      <c r="E15175" s="4" t="s">
        <v>6987</v>
      </c>
      <c r="F15175" s="4" t="n">
        <v>3</v>
      </c>
      <c r="G15175" s="4" t="n">
        <v>15</v>
      </c>
      <c r="H15175" s="4" t="n">
        <v>4</v>
      </c>
      <c r="I15175" s="4" t="str">
        <v>×</v>
      </c>
      <c r="J15175" s="4"/>
      <c r="K15175" s="4"/>
      <c r="L15175" s="4"/>
      <c r="M15175" s="7" t="s">
        <v>6871</v>
      </c>
    </row>
    <row r="15176" customFormat="false" ht="15.75" hidden="false" customHeight="false" outlineLevel="0" collapsed="false">
      <c r="A15176" s="6" t="n">
        <f aca="false">DATE(2026,5,9)</f>
        <v>46151</v>
      </c>
      <c r="B15176" s="4" t="s">
        <v>13</v>
      </c>
      <c r="C15176" s="4" t="n">
        <v>4</v>
      </c>
      <c r="D15176" s="4" t="n">
        <v>7</v>
      </c>
      <c r="E15176" s="4" t="s">
        <v>4909</v>
      </c>
      <c r="F15176" s="4" t="n">
        <v>55</v>
      </c>
      <c r="G15176" s="4" t="n">
        <v>1</v>
      </c>
      <c r="H15176" s="4" t="n">
        <v>2</v>
      </c>
      <c r="I15176" s="4" t="str">
        <v>○</v>
      </c>
      <c r="J15176" s="4" t="n">
        <v>120</v>
      </c>
      <c r="K15176" s="4"/>
      <c r="L15176" s="4"/>
      <c r="M15176" s="7" t="s">
        <v>6871</v>
      </c>
    </row>
    <row r="15177" customFormat="false" ht="15.75" hidden="false" customHeight="false" outlineLevel="0" collapsed="false">
      <c r="A15177" s="6" t="n">
        <f aca="false">DATE(2026,5,9)</f>
        <v>46151</v>
      </c>
      <c r="B15177" s="4" t="s">
        <v>13</v>
      </c>
      <c r="C15177" s="4" t="n">
        <v>4</v>
      </c>
      <c r="D15177" s="4" t="n">
        <v>2</v>
      </c>
      <c r="E15177" s="4" t="s">
        <v>6988</v>
      </c>
      <c r="F15177" s="4" t="n">
        <v>44</v>
      </c>
      <c r="G15177" s="4" t="n">
        <v>2</v>
      </c>
      <c r="H15177" s="4" t="n">
        <v>3</v>
      </c>
      <c r="I15177" s="4" t="str">
        <v>○</v>
      </c>
      <c r="J15177" s="4" t="n">
        <v>150</v>
      </c>
      <c r="K15177" s="4"/>
      <c r="L15177" s="4"/>
      <c r="M15177" s="7" t="s">
        <v>6871</v>
      </c>
    </row>
    <row r="15178" customFormat="false" ht="15.75" hidden="false" customHeight="false" outlineLevel="0" collapsed="false">
      <c r="A15178" s="6" t="n">
        <f aca="false">DATE(2026,5,9)</f>
        <v>46151</v>
      </c>
      <c r="B15178" s="4" t="s">
        <v>13</v>
      </c>
      <c r="C15178" s="4" t="n">
        <v>4</v>
      </c>
      <c r="D15178" s="4" t="n">
        <v>3</v>
      </c>
      <c r="E15178" s="4" t="s">
        <v>6989</v>
      </c>
      <c r="F15178" s="4" t="n">
        <v>44</v>
      </c>
      <c r="G15178" s="4" t="n">
        <v>3</v>
      </c>
      <c r="H15178" s="4" t="n">
        <v>4</v>
      </c>
      <c r="I15178" s="4" t="str">
        <v>×</v>
      </c>
      <c r="J15178" s="4"/>
      <c r="K15178" s="4"/>
      <c r="L15178" s="4"/>
      <c r="M15178" s="7" t="s">
        <v>6871</v>
      </c>
    </row>
    <row r="15179" customFormat="false" ht="15.75" hidden="false" customHeight="false" outlineLevel="0" collapsed="false">
      <c r="A15179" s="6" t="n">
        <f aca="false">DATE(2026,5,9)</f>
        <v>46151</v>
      </c>
      <c r="B15179" s="4" t="s">
        <v>13</v>
      </c>
      <c r="C15179" s="4" t="n">
        <v>4</v>
      </c>
      <c r="D15179" s="4" t="n">
        <v>6</v>
      </c>
      <c r="E15179" s="4" t="s">
        <v>6990</v>
      </c>
      <c r="F15179" s="4" t="n">
        <v>37</v>
      </c>
      <c r="G15179" s="4" t="n">
        <v>4</v>
      </c>
      <c r="H15179" s="4" t="n">
        <v>4</v>
      </c>
      <c r="I15179" s="4" t="str">
        <v>×</v>
      </c>
      <c r="J15179" s="4"/>
      <c r="K15179" s="4"/>
      <c r="L15179" s="4"/>
      <c r="M15179" s="7" t="s">
        <v>6871</v>
      </c>
    </row>
    <row r="15180" customFormat="false" ht="15.75" hidden="false" customHeight="false" outlineLevel="0" collapsed="false">
      <c r="A15180" s="6" t="n">
        <f aca="false">DATE(2026,5,9)</f>
        <v>46151</v>
      </c>
      <c r="B15180" s="4" t="s">
        <v>13</v>
      </c>
      <c r="C15180" s="4" t="n">
        <v>4</v>
      </c>
      <c r="D15180" s="4" t="n">
        <v>8</v>
      </c>
      <c r="E15180" s="4" t="s">
        <v>4906</v>
      </c>
      <c r="F15180" s="4" t="n">
        <v>37</v>
      </c>
      <c r="G15180" s="4" t="n">
        <v>5</v>
      </c>
      <c r="H15180" s="4" t="n">
        <v>4</v>
      </c>
      <c r="I15180" s="4" t="str">
        <v>×</v>
      </c>
      <c r="J15180" s="4"/>
      <c r="K15180" s="4"/>
      <c r="L15180" s="4"/>
      <c r="M15180" s="7" t="s">
        <v>6871</v>
      </c>
    </row>
    <row r="15181" customFormat="false" ht="15.75" hidden="false" customHeight="false" outlineLevel="0" collapsed="false">
      <c r="A15181" s="6" t="n">
        <f aca="false">DATE(2026,5,9)</f>
        <v>46151</v>
      </c>
      <c r="B15181" s="4" t="s">
        <v>13</v>
      </c>
      <c r="C15181" s="4" t="n">
        <v>4</v>
      </c>
      <c r="D15181" s="4" t="n">
        <v>10</v>
      </c>
      <c r="E15181" s="4" t="s">
        <v>6991</v>
      </c>
      <c r="F15181" s="4" t="n">
        <v>37</v>
      </c>
      <c r="G15181" s="4" t="n">
        <v>6</v>
      </c>
      <c r="H15181" s="4" t="n">
        <v>4</v>
      </c>
      <c r="I15181" s="4" t="str">
        <v>×</v>
      </c>
      <c r="J15181" s="4"/>
      <c r="K15181" s="4"/>
      <c r="L15181" s="4"/>
      <c r="M15181" s="7" t="s">
        <v>6871</v>
      </c>
    </row>
    <row r="15182" customFormat="false" ht="15.75" hidden="false" customHeight="false" outlineLevel="0" collapsed="false">
      <c r="A15182" s="6" t="n">
        <f aca="false">DATE(2026,5,9)</f>
        <v>46151</v>
      </c>
      <c r="B15182" s="4" t="s">
        <v>13</v>
      </c>
      <c r="C15182" s="4" t="n">
        <v>4</v>
      </c>
      <c r="D15182" s="4" t="n">
        <v>11</v>
      </c>
      <c r="E15182" s="4" t="s">
        <v>6992</v>
      </c>
      <c r="F15182" s="4" t="n">
        <v>37</v>
      </c>
      <c r="G15182" s="4" t="n">
        <v>7</v>
      </c>
      <c r="H15182" s="4" t="n">
        <v>1</v>
      </c>
      <c r="I15182" s="4" t="str">
        <v>○</v>
      </c>
      <c r="J15182" s="4" t="n">
        <v>240</v>
      </c>
      <c r="K15182" s="4"/>
      <c r="L15182" s="4"/>
      <c r="M15182" s="7" t="s">
        <v>6871</v>
      </c>
    </row>
    <row r="15183" customFormat="false" ht="15.75" hidden="false" customHeight="false" outlineLevel="0" collapsed="false">
      <c r="A15183" s="6" t="n">
        <f aca="false">DATE(2026,5,9)</f>
        <v>46151</v>
      </c>
      <c r="B15183" s="4" t="s">
        <v>13</v>
      </c>
      <c r="C15183" s="4" t="n">
        <v>4</v>
      </c>
      <c r="D15183" s="4" t="n">
        <v>1</v>
      </c>
      <c r="E15183" s="4" t="s">
        <v>6993</v>
      </c>
      <c r="F15183" s="4" t="n">
        <v>21</v>
      </c>
      <c r="G15183" s="4" t="n">
        <v>8</v>
      </c>
      <c r="H15183" s="4" t="n">
        <v>4</v>
      </c>
      <c r="I15183" s="4" t="str">
        <v>×</v>
      </c>
      <c r="J15183" s="4"/>
      <c r="K15183" s="4"/>
      <c r="L15183" s="4"/>
      <c r="M15183" s="7" t="s">
        <v>6871</v>
      </c>
    </row>
    <row r="15184" customFormat="false" ht="15.75" hidden="false" customHeight="false" outlineLevel="0" collapsed="false">
      <c r="A15184" s="6" t="n">
        <f aca="false">DATE(2026,5,9)</f>
        <v>46151</v>
      </c>
      <c r="B15184" s="4" t="s">
        <v>13</v>
      </c>
      <c r="C15184" s="4" t="n">
        <v>4</v>
      </c>
      <c r="D15184" s="4" t="n">
        <v>5</v>
      </c>
      <c r="E15184" s="4" t="s">
        <v>6994</v>
      </c>
      <c r="F15184" s="4" t="n">
        <v>16</v>
      </c>
      <c r="G15184" s="4" t="n">
        <v>9</v>
      </c>
      <c r="H15184" s="4" t="n">
        <v>4</v>
      </c>
      <c r="I15184" s="4" t="str">
        <v>×</v>
      </c>
      <c r="J15184" s="4"/>
      <c r="K15184" s="4"/>
      <c r="L15184" s="4"/>
      <c r="M15184" s="7" t="s">
        <v>6871</v>
      </c>
    </row>
    <row r="15185" customFormat="false" ht="15.75" hidden="false" customHeight="false" outlineLevel="0" collapsed="false">
      <c r="A15185" s="6" t="n">
        <f aca="false">DATE(2026,5,9)</f>
        <v>46151</v>
      </c>
      <c r="B15185" s="4" t="s">
        <v>13</v>
      </c>
      <c r="C15185" s="4" t="n">
        <v>4</v>
      </c>
      <c r="D15185" s="4" t="n">
        <v>4</v>
      </c>
      <c r="E15185" s="4" t="s">
        <v>127</v>
      </c>
      <c r="F15185" s="4" t="n">
        <v>12</v>
      </c>
      <c r="G15185" s="4" t="n">
        <v>10</v>
      </c>
      <c r="H15185" s="4" t="n">
        <v>4</v>
      </c>
      <c r="I15185" s="4" t="str">
        <v>×</v>
      </c>
      <c r="J15185" s="4"/>
      <c r="K15185" s="4"/>
      <c r="L15185" s="4"/>
      <c r="M15185" s="7" t="s">
        <v>6871</v>
      </c>
    </row>
    <row r="15186" customFormat="false" ht="15.75" hidden="false" customHeight="false" outlineLevel="0" collapsed="false">
      <c r="A15186" s="6" t="n">
        <f aca="false">DATE(2026,5,9)</f>
        <v>46151</v>
      </c>
      <c r="B15186" s="4" t="s">
        <v>13</v>
      </c>
      <c r="C15186" s="4" t="n">
        <v>4</v>
      </c>
      <c r="D15186" s="4" t="n">
        <v>9</v>
      </c>
      <c r="E15186" s="4" t="s">
        <v>6995</v>
      </c>
      <c r="F15186" s="4" t="n">
        <v>12</v>
      </c>
      <c r="G15186" s="4" t="n">
        <v>11</v>
      </c>
      <c r="H15186" s="4" t="n">
        <v>4</v>
      </c>
      <c r="I15186" s="4" t="str">
        <v>×</v>
      </c>
      <c r="J15186" s="4"/>
      <c r="K15186" s="4"/>
      <c r="L15186" s="4"/>
      <c r="M15186" s="7" t="s">
        <v>6871</v>
      </c>
    </row>
    <row r="15187" customFormat="false" ht="15.75" hidden="false" customHeight="false" outlineLevel="0" collapsed="false">
      <c r="A15187" s="6" t="n">
        <f aca="false">DATE(2026,5,9)</f>
        <v>46151</v>
      </c>
      <c r="B15187" s="4" t="s">
        <v>13</v>
      </c>
      <c r="C15187" s="4" t="n">
        <v>5</v>
      </c>
      <c r="D15187" s="4" t="n">
        <v>16</v>
      </c>
      <c r="E15187" s="4" t="s">
        <v>5730</v>
      </c>
      <c r="F15187" s="4" t="n">
        <v>56</v>
      </c>
      <c r="G15187" s="4" t="n">
        <v>1</v>
      </c>
      <c r="H15187" s="4" t="n">
        <v>3</v>
      </c>
      <c r="I15187" s="4" t="str">
        <v>○</v>
      </c>
      <c r="J15187" s="4" t="n">
        <v>160</v>
      </c>
      <c r="K15187" s="4"/>
      <c r="L15187" s="4"/>
      <c r="M15187" s="7" t="s">
        <v>6871</v>
      </c>
    </row>
    <row r="15188" customFormat="false" ht="15.75" hidden="false" customHeight="false" outlineLevel="0" collapsed="false">
      <c r="A15188" s="6" t="n">
        <f aca="false">DATE(2026,5,9)</f>
        <v>46151</v>
      </c>
      <c r="B15188" s="4" t="s">
        <v>13</v>
      </c>
      <c r="C15188" s="4" t="n">
        <v>5</v>
      </c>
      <c r="D15188" s="4" t="n">
        <v>8</v>
      </c>
      <c r="E15188" s="4" t="s">
        <v>3001</v>
      </c>
      <c r="F15188" s="4" t="n">
        <v>37</v>
      </c>
      <c r="G15188" s="4" t="n">
        <v>2</v>
      </c>
      <c r="H15188" s="4" t="n">
        <v>4</v>
      </c>
      <c r="I15188" s="4" t="str">
        <v>×</v>
      </c>
      <c r="J15188" s="4"/>
      <c r="K15188" s="4"/>
      <c r="L15188" s="4"/>
      <c r="M15188" s="7" t="s">
        <v>6871</v>
      </c>
    </row>
    <row r="15189" customFormat="false" ht="15.75" hidden="false" customHeight="false" outlineLevel="0" collapsed="false">
      <c r="A15189" s="6" t="n">
        <f aca="false">DATE(2026,5,9)</f>
        <v>46151</v>
      </c>
      <c r="B15189" s="4" t="s">
        <v>13</v>
      </c>
      <c r="C15189" s="4" t="n">
        <v>5</v>
      </c>
      <c r="D15189" s="4" t="n">
        <v>12</v>
      </c>
      <c r="E15189" s="4" t="s">
        <v>3425</v>
      </c>
      <c r="F15189" s="4" t="n">
        <v>37</v>
      </c>
      <c r="G15189" s="4" t="n">
        <v>3</v>
      </c>
      <c r="H15189" s="4" t="n">
        <v>4</v>
      </c>
      <c r="I15189" s="4" t="str">
        <v>×</v>
      </c>
      <c r="J15189" s="4"/>
      <c r="K15189" s="4"/>
      <c r="L15189" s="4"/>
      <c r="M15189" s="7" t="s">
        <v>6871</v>
      </c>
    </row>
    <row r="15190" customFormat="false" ht="15.75" hidden="false" customHeight="false" outlineLevel="0" collapsed="false">
      <c r="A15190" s="6" t="n">
        <f aca="false">DATE(2026,5,9)</f>
        <v>46151</v>
      </c>
      <c r="B15190" s="4" t="s">
        <v>13</v>
      </c>
      <c r="C15190" s="4" t="n">
        <v>5</v>
      </c>
      <c r="D15190" s="4" t="n">
        <v>2</v>
      </c>
      <c r="E15190" s="4" t="s">
        <v>1574</v>
      </c>
      <c r="F15190" s="4" t="n">
        <v>34</v>
      </c>
      <c r="G15190" s="4" t="n">
        <v>4</v>
      </c>
      <c r="H15190" s="4" t="n">
        <v>4</v>
      </c>
      <c r="I15190" s="4" t="str">
        <v>×</v>
      </c>
      <c r="J15190" s="4"/>
      <c r="K15190" s="4"/>
      <c r="L15190" s="4"/>
      <c r="M15190" s="7" t="s">
        <v>6871</v>
      </c>
    </row>
    <row r="15191" customFormat="false" ht="15.75" hidden="false" customHeight="false" outlineLevel="0" collapsed="false">
      <c r="A15191" s="6" t="n">
        <f aca="false">DATE(2026,5,9)</f>
        <v>46151</v>
      </c>
      <c r="B15191" s="4" t="s">
        <v>13</v>
      </c>
      <c r="C15191" s="4" t="n">
        <v>5</v>
      </c>
      <c r="D15191" s="4" t="n">
        <v>4</v>
      </c>
      <c r="E15191" s="4" t="s">
        <v>1783</v>
      </c>
      <c r="F15191" s="4" t="n">
        <v>29</v>
      </c>
      <c r="G15191" s="4" t="n">
        <v>5</v>
      </c>
      <c r="H15191" s="4" t="n">
        <v>4</v>
      </c>
      <c r="I15191" s="4" t="str">
        <v>×</v>
      </c>
      <c r="J15191" s="4"/>
      <c r="K15191" s="4"/>
      <c r="L15191" s="4"/>
      <c r="M15191" s="7" t="s">
        <v>6871</v>
      </c>
    </row>
    <row r="15192" customFormat="false" ht="15.75" hidden="false" customHeight="false" outlineLevel="0" collapsed="false">
      <c r="A15192" s="6" t="n">
        <f aca="false">DATE(2026,5,9)</f>
        <v>46151</v>
      </c>
      <c r="B15192" s="4" t="s">
        <v>13</v>
      </c>
      <c r="C15192" s="4" t="n">
        <v>5</v>
      </c>
      <c r="D15192" s="4" t="n">
        <v>3</v>
      </c>
      <c r="E15192" s="4" t="s">
        <v>3426</v>
      </c>
      <c r="F15192" s="4" t="n">
        <v>20</v>
      </c>
      <c r="G15192" s="4" t="n">
        <v>6</v>
      </c>
      <c r="H15192" s="4" t="n">
        <v>4</v>
      </c>
      <c r="I15192" s="4" t="str">
        <v>×</v>
      </c>
      <c r="J15192" s="4"/>
      <c r="K15192" s="4"/>
      <c r="L15192" s="4"/>
      <c r="M15192" s="7" t="s">
        <v>6871</v>
      </c>
    </row>
    <row r="15193" customFormat="false" ht="15.75" hidden="false" customHeight="false" outlineLevel="0" collapsed="false">
      <c r="A15193" s="6" t="n">
        <f aca="false">DATE(2026,5,9)</f>
        <v>46151</v>
      </c>
      <c r="B15193" s="4" t="s">
        <v>13</v>
      </c>
      <c r="C15193" s="4" t="n">
        <v>5</v>
      </c>
      <c r="D15193" s="4" t="n">
        <v>13</v>
      </c>
      <c r="E15193" s="4" t="s">
        <v>2941</v>
      </c>
      <c r="F15193" s="4" t="n">
        <v>20</v>
      </c>
      <c r="G15193" s="4" t="n">
        <v>7</v>
      </c>
      <c r="H15193" s="4" t="n">
        <v>4</v>
      </c>
      <c r="I15193" s="4" t="str">
        <v>×</v>
      </c>
      <c r="J15193" s="4"/>
      <c r="K15193" s="4"/>
      <c r="L15193" s="4"/>
      <c r="M15193" s="7" t="s">
        <v>6871</v>
      </c>
    </row>
    <row r="15194" customFormat="false" ht="15.75" hidden="false" customHeight="false" outlineLevel="0" collapsed="false">
      <c r="A15194" s="6" t="n">
        <f aca="false">DATE(2026,5,9)</f>
        <v>46151</v>
      </c>
      <c r="B15194" s="4" t="s">
        <v>13</v>
      </c>
      <c r="C15194" s="4" t="n">
        <v>5</v>
      </c>
      <c r="D15194" s="4" t="n">
        <v>10</v>
      </c>
      <c r="E15194" s="4" t="s">
        <v>6996</v>
      </c>
      <c r="F15194" s="4" t="n">
        <v>15</v>
      </c>
      <c r="G15194" s="4" t="n">
        <v>8</v>
      </c>
      <c r="H15194" s="4" t="n">
        <v>1</v>
      </c>
      <c r="I15194" s="4" t="str">
        <v>○</v>
      </c>
      <c r="J15194" s="4" t="n">
        <v>260</v>
      </c>
      <c r="K15194" s="4"/>
      <c r="L15194" s="4"/>
      <c r="M15194" s="7" t="s">
        <v>6871</v>
      </c>
    </row>
    <row r="15195" customFormat="false" ht="15.75" hidden="false" customHeight="false" outlineLevel="0" collapsed="false">
      <c r="A15195" s="6" t="n">
        <f aca="false">DATE(2026,5,9)</f>
        <v>46151</v>
      </c>
      <c r="B15195" s="4" t="s">
        <v>13</v>
      </c>
      <c r="C15195" s="4" t="n">
        <v>5</v>
      </c>
      <c r="D15195" s="4" t="n">
        <v>5</v>
      </c>
      <c r="E15195" s="4" t="s">
        <v>3444</v>
      </c>
      <c r="F15195" s="4" t="n">
        <v>13</v>
      </c>
      <c r="G15195" s="4" t="n">
        <v>9</v>
      </c>
      <c r="H15195" s="4" t="n">
        <v>4</v>
      </c>
      <c r="I15195" s="4" t="str">
        <v>×</v>
      </c>
      <c r="J15195" s="4"/>
      <c r="K15195" s="4"/>
      <c r="L15195" s="4"/>
      <c r="M15195" s="7" t="s">
        <v>6871</v>
      </c>
    </row>
    <row r="15196" customFormat="false" ht="15.75" hidden="false" customHeight="false" outlineLevel="0" collapsed="false">
      <c r="A15196" s="6" t="n">
        <f aca="false">DATE(2026,5,9)</f>
        <v>46151</v>
      </c>
      <c r="B15196" s="4" t="s">
        <v>13</v>
      </c>
      <c r="C15196" s="4" t="n">
        <v>5</v>
      </c>
      <c r="D15196" s="4" t="n">
        <v>7</v>
      </c>
      <c r="E15196" s="4" t="s">
        <v>814</v>
      </c>
      <c r="F15196" s="4" t="n">
        <v>13</v>
      </c>
      <c r="G15196" s="4" t="n">
        <v>10</v>
      </c>
      <c r="H15196" s="4" t="n">
        <v>2</v>
      </c>
      <c r="I15196" s="4" t="str">
        <v>○</v>
      </c>
      <c r="J15196" s="4" t="n">
        <v>410</v>
      </c>
      <c r="K15196" s="4"/>
      <c r="L15196" s="4"/>
      <c r="M15196" s="7" t="s">
        <v>6871</v>
      </c>
    </row>
    <row r="15197" customFormat="false" ht="15.75" hidden="false" customHeight="false" outlineLevel="0" collapsed="false">
      <c r="A15197" s="6" t="n">
        <f aca="false">DATE(2026,5,9)</f>
        <v>46151</v>
      </c>
      <c r="B15197" s="4" t="s">
        <v>13</v>
      </c>
      <c r="C15197" s="4" t="n">
        <v>5</v>
      </c>
      <c r="D15197" s="4" t="n">
        <v>11</v>
      </c>
      <c r="E15197" s="4" t="s">
        <v>6997</v>
      </c>
      <c r="F15197" s="4" t="n">
        <v>10</v>
      </c>
      <c r="G15197" s="4" t="n">
        <v>11</v>
      </c>
      <c r="H15197" s="4" t="n">
        <v>4</v>
      </c>
      <c r="I15197" s="4" t="str">
        <v>×</v>
      </c>
      <c r="J15197" s="4"/>
      <c r="K15197" s="4"/>
      <c r="L15197" s="4"/>
      <c r="M15197" s="7" t="s">
        <v>6871</v>
      </c>
    </row>
    <row r="15198" customFormat="false" ht="15.75" hidden="false" customHeight="false" outlineLevel="0" collapsed="false">
      <c r="A15198" s="6" t="n">
        <f aca="false">DATE(2026,5,9)</f>
        <v>46151</v>
      </c>
      <c r="B15198" s="4" t="s">
        <v>13</v>
      </c>
      <c r="C15198" s="4" t="n">
        <v>5</v>
      </c>
      <c r="D15198" s="4" t="n">
        <v>6</v>
      </c>
      <c r="E15198" s="4" t="s">
        <v>4420</v>
      </c>
      <c r="F15198" s="4" t="n">
        <v>8</v>
      </c>
      <c r="G15198" s="4" t="n">
        <v>12</v>
      </c>
      <c r="H15198" s="4" t="n">
        <v>4</v>
      </c>
      <c r="I15198" s="4" t="str">
        <v>×</v>
      </c>
      <c r="J15198" s="4"/>
      <c r="K15198" s="4"/>
      <c r="L15198" s="4"/>
      <c r="M15198" s="7" t="s">
        <v>6871</v>
      </c>
    </row>
    <row r="15199" customFormat="false" ht="15.75" hidden="false" customHeight="false" outlineLevel="0" collapsed="false">
      <c r="A15199" s="6" t="n">
        <f aca="false">DATE(2026,5,9)</f>
        <v>46151</v>
      </c>
      <c r="B15199" s="4" t="s">
        <v>13</v>
      </c>
      <c r="C15199" s="4" t="n">
        <v>5</v>
      </c>
      <c r="D15199" s="4" t="n">
        <v>9</v>
      </c>
      <c r="E15199" s="4" t="s">
        <v>5580</v>
      </c>
      <c r="F15199" s="4" t="n">
        <v>6</v>
      </c>
      <c r="G15199" s="4" t="n">
        <v>13</v>
      </c>
      <c r="H15199" s="4" t="n">
        <v>4</v>
      </c>
      <c r="I15199" s="4" t="str">
        <v>×</v>
      </c>
      <c r="J15199" s="4"/>
      <c r="K15199" s="4"/>
      <c r="L15199" s="4"/>
      <c r="M15199" s="7" t="s">
        <v>6871</v>
      </c>
    </row>
    <row r="15200" customFormat="false" ht="15.75" hidden="false" customHeight="false" outlineLevel="0" collapsed="false">
      <c r="A15200" s="6" t="n">
        <f aca="false">DATE(2026,5,9)</f>
        <v>46151</v>
      </c>
      <c r="B15200" s="4" t="s">
        <v>13</v>
      </c>
      <c r="C15200" s="4" t="n">
        <v>5</v>
      </c>
      <c r="D15200" s="4" t="n">
        <v>15</v>
      </c>
      <c r="E15200" s="4" t="s">
        <v>5801</v>
      </c>
      <c r="F15200" s="4" t="n">
        <v>6</v>
      </c>
      <c r="G15200" s="4" t="n">
        <v>14</v>
      </c>
      <c r="H15200" s="4" t="n">
        <v>4</v>
      </c>
      <c r="I15200" s="4" t="str">
        <v>×</v>
      </c>
      <c r="J15200" s="4"/>
      <c r="K15200" s="4"/>
      <c r="L15200" s="4"/>
      <c r="M15200" s="7" t="s">
        <v>6871</v>
      </c>
    </row>
    <row r="15201" customFormat="false" ht="15.75" hidden="false" customHeight="false" outlineLevel="0" collapsed="false">
      <c r="A15201" s="6" t="n">
        <f aca="false">DATE(2026,5,9)</f>
        <v>46151</v>
      </c>
      <c r="B15201" s="4" t="s">
        <v>13</v>
      </c>
      <c r="C15201" s="4" t="n">
        <v>5</v>
      </c>
      <c r="D15201" s="4" t="n">
        <v>1</v>
      </c>
      <c r="E15201" s="4" t="s">
        <v>5373</v>
      </c>
      <c r="F15201" s="4" t="n">
        <v>4</v>
      </c>
      <c r="G15201" s="4" t="n">
        <v>15</v>
      </c>
      <c r="H15201" s="4" t="n">
        <v>4</v>
      </c>
      <c r="I15201" s="4" t="str">
        <v>×</v>
      </c>
      <c r="J15201" s="4"/>
      <c r="K15201" s="4"/>
      <c r="L15201" s="4"/>
      <c r="M15201" s="7" t="s">
        <v>6871</v>
      </c>
    </row>
    <row r="15202" customFormat="false" ht="15.75" hidden="false" customHeight="false" outlineLevel="0" collapsed="false">
      <c r="A15202" s="6" t="n">
        <f aca="false">DATE(2026,5,9)</f>
        <v>46151</v>
      </c>
      <c r="B15202" s="4" t="s">
        <v>13</v>
      </c>
      <c r="C15202" s="4" t="n">
        <v>5</v>
      </c>
      <c r="D15202" s="4" t="n">
        <v>14</v>
      </c>
      <c r="E15202" s="4" t="s">
        <v>3193</v>
      </c>
      <c r="F15202" s="4" t="n">
        <v>1</v>
      </c>
      <c r="G15202" s="4" t="n">
        <v>16</v>
      </c>
      <c r="H15202" s="4" t="n">
        <v>4</v>
      </c>
      <c r="I15202" s="4" t="str">
        <v>×</v>
      </c>
      <c r="J15202" s="4"/>
      <c r="K15202" s="4"/>
      <c r="L15202" s="4"/>
      <c r="M15202" s="7" t="s">
        <v>6871</v>
      </c>
    </row>
    <row r="15203" customFormat="false" ht="15.75" hidden="false" customHeight="false" outlineLevel="0" collapsed="false">
      <c r="A15203" s="6" t="n">
        <f aca="false">DATE(2026,5,9)</f>
        <v>46151</v>
      </c>
      <c r="B15203" s="4" t="s">
        <v>13</v>
      </c>
      <c r="C15203" s="4" t="n">
        <v>6</v>
      </c>
      <c r="D15203" s="4" t="n">
        <v>9</v>
      </c>
      <c r="E15203" s="4" t="s">
        <v>4321</v>
      </c>
      <c r="F15203" s="4" t="n">
        <v>65</v>
      </c>
      <c r="G15203" s="4" t="n">
        <v>1</v>
      </c>
      <c r="H15203" s="4" t="n">
        <v>2</v>
      </c>
      <c r="I15203" s="4" t="str">
        <v>○</v>
      </c>
      <c r="J15203" s="4" t="n">
        <v>160</v>
      </c>
      <c r="K15203" s="4"/>
      <c r="L15203" s="4"/>
      <c r="M15203" s="7" t="s">
        <v>6871</v>
      </c>
    </row>
    <row r="15204" customFormat="false" ht="15.75" hidden="false" customHeight="false" outlineLevel="0" collapsed="false">
      <c r="A15204" s="6" t="n">
        <f aca="false">DATE(2026,5,9)</f>
        <v>46151</v>
      </c>
      <c r="B15204" s="4" t="s">
        <v>13</v>
      </c>
      <c r="C15204" s="4" t="n">
        <v>6</v>
      </c>
      <c r="D15204" s="4" t="n">
        <v>13</v>
      </c>
      <c r="E15204" s="4" t="s">
        <v>1607</v>
      </c>
      <c r="F15204" s="4" t="n">
        <v>60</v>
      </c>
      <c r="G15204" s="4" t="n">
        <v>2</v>
      </c>
      <c r="H15204" s="4" t="n">
        <v>4</v>
      </c>
      <c r="I15204" s="4" t="str">
        <v>×</v>
      </c>
      <c r="J15204" s="4"/>
      <c r="K15204" s="4"/>
      <c r="L15204" s="4"/>
      <c r="M15204" s="7" t="s">
        <v>6871</v>
      </c>
    </row>
    <row r="15205" customFormat="false" ht="15.75" hidden="false" customHeight="false" outlineLevel="0" collapsed="false">
      <c r="A15205" s="6" t="n">
        <f aca="false">DATE(2026,5,9)</f>
        <v>46151</v>
      </c>
      <c r="B15205" s="4" t="s">
        <v>13</v>
      </c>
      <c r="C15205" s="4" t="n">
        <v>6</v>
      </c>
      <c r="D15205" s="4" t="n">
        <v>14</v>
      </c>
      <c r="E15205" s="4" t="s">
        <v>1760</v>
      </c>
      <c r="F15205" s="4" t="n">
        <v>37</v>
      </c>
      <c r="G15205" s="4" t="n">
        <v>3</v>
      </c>
      <c r="H15205" s="4" t="n">
        <v>4</v>
      </c>
      <c r="I15205" s="4" t="str">
        <v>×</v>
      </c>
      <c r="J15205" s="4"/>
      <c r="K15205" s="4"/>
      <c r="L15205" s="4"/>
      <c r="M15205" s="7" t="s">
        <v>6871</v>
      </c>
    </row>
    <row r="15206" customFormat="false" ht="15.75" hidden="false" customHeight="false" outlineLevel="0" collapsed="false">
      <c r="A15206" s="6" t="n">
        <f aca="false">DATE(2026,5,9)</f>
        <v>46151</v>
      </c>
      <c r="B15206" s="4" t="s">
        <v>13</v>
      </c>
      <c r="C15206" s="4" t="n">
        <v>6</v>
      </c>
      <c r="D15206" s="4" t="n">
        <v>4</v>
      </c>
      <c r="E15206" s="4" t="s">
        <v>6998</v>
      </c>
      <c r="F15206" s="4" t="n">
        <v>23</v>
      </c>
      <c r="G15206" s="4" t="n">
        <v>4</v>
      </c>
      <c r="H15206" s="4" t="n">
        <v>4</v>
      </c>
      <c r="I15206" s="4" t="str">
        <v>×</v>
      </c>
      <c r="J15206" s="4"/>
      <c r="K15206" s="4"/>
      <c r="L15206" s="4"/>
      <c r="M15206" s="7" t="s">
        <v>6871</v>
      </c>
    </row>
    <row r="15207" customFormat="false" ht="15.75" hidden="false" customHeight="false" outlineLevel="0" collapsed="false">
      <c r="A15207" s="6" t="n">
        <f aca="false">DATE(2026,5,9)</f>
        <v>46151</v>
      </c>
      <c r="B15207" s="4" t="s">
        <v>13</v>
      </c>
      <c r="C15207" s="4" t="n">
        <v>6</v>
      </c>
      <c r="D15207" s="4" t="n">
        <v>6</v>
      </c>
      <c r="E15207" s="4" t="s">
        <v>2753</v>
      </c>
      <c r="F15207" s="4" t="n">
        <v>15</v>
      </c>
      <c r="G15207" s="4" t="n">
        <v>5</v>
      </c>
      <c r="H15207" s="4" t="n">
        <v>4</v>
      </c>
      <c r="I15207" s="4" t="str">
        <v>×</v>
      </c>
      <c r="J15207" s="4"/>
      <c r="K15207" s="4"/>
      <c r="L15207" s="4"/>
      <c r="M15207" s="7" t="s">
        <v>6871</v>
      </c>
    </row>
    <row r="15208" customFormat="false" ht="15.75" hidden="false" customHeight="false" outlineLevel="0" collapsed="false">
      <c r="A15208" s="6" t="n">
        <f aca="false">DATE(2026,5,9)</f>
        <v>46151</v>
      </c>
      <c r="B15208" s="4" t="s">
        <v>13</v>
      </c>
      <c r="C15208" s="4" t="n">
        <v>6</v>
      </c>
      <c r="D15208" s="4" t="n">
        <v>15</v>
      </c>
      <c r="E15208" s="4" t="s">
        <v>6999</v>
      </c>
      <c r="F15208" s="4" t="n">
        <v>15</v>
      </c>
      <c r="G15208" s="4" t="n">
        <v>6</v>
      </c>
      <c r="H15208" s="4" t="n">
        <v>1</v>
      </c>
      <c r="I15208" s="4" t="str">
        <v>○</v>
      </c>
      <c r="J15208" s="4" t="n">
        <v>420</v>
      </c>
      <c r="K15208" s="4"/>
      <c r="L15208" s="4"/>
      <c r="M15208" s="7" t="s">
        <v>6871</v>
      </c>
    </row>
    <row r="15209" customFormat="false" ht="15.75" hidden="false" customHeight="false" outlineLevel="0" collapsed="false">
      <c r="A15209" s="6" t="n">
        <f aca="false">DATE(2026,5,9)</f>
        <v>46151</v>
      </c>
      <c r="B15209" s="4" t="s">
        <v>13</v>
      </c>
      <c r="C15209" s="4" t="n">
        <v>6</v>
      </c>
      <c r="D15209" s="4" t="n">
        <v>11</v>
      </c>
      <c r="E15209" s="4" t="s">
        <v>2308</v>
      </c>
      <c r="F15209" s="4" t="n">
        <v>13</v>
      </c>
      <c r="G15209" s="4" t="n">
        <v>7</v>
      </c>
      <c r="H15209" s="4" t="n">
        <v>4</v>
      </c>
      <c r="I15209" s="4" t="str">
        <v>×</v>
      </c>
      <c r="J15209" s="4"/>
      <c r="K15209" s="4"/>
      <c r="L15209" s="4"/>
      <c r="M15209" s="7" t="s">
        <v>6871</v>
      </c>
    </row>
    <row r="15210" customFormat="false" ht="15.75" hidden="false" customHeight="false" outlineLevel="0" collapsed="false">
      <c r="A15210" s="6" t="n">
        <f aca="false">DATE(2026,5,9)</f>
        <v>46151</v>
      </c>
      <c r="B15210" s="4" t="s">
        <v>13</v>
      </c>
      <c r="C15210" s="4" t="n">
        <v>6</v>
      </c>
      <c r="D15210" s="4" t="n">
        <v>12</v>
      </c>
      <c r="E15210" s="4" t="s">
        <v>4020</v>
      </c>
      <c r="F15210" s="4" t="n">
        <v>13</v>
      </c>
      <c r="G15210" s="4" t="n">
        <v>8</v>
      </c>
      <c r="H15210" s="4" t="n">
        <v>4</v>
      </c>
      <c r="I15210" s="4" t="str">
        <v>×</v>
      </c>
      <c r="J15210" s="4"/>
      <c r="K15210" s="4"/>
      <c r="L15210" s="4"/>
      <c r="M15210" s="7" t="s">
        <v>6871</v>
      </c>
    </row>
    <row r="15211" customFormat="false" ht="15.75" hidden="false" customHeight="false" outlineLevel="0" collapsed="false">
      <c r="A15211" s="6" t="n">
        <f aca="false">DATE(2026,5,9)</f>
        <v>46151</v>
      </c>
      <c r="B15211" s="4" t="s">
        <v>13</v>
      </c>
      <c r="C15211" s="4" t="n">
        <v>6</v>
      </c>
      <c r="D15211" s="4" t="n">
        <v>8</v>
      </c>
      <c r="E15211" s="4" t="s">
        <v>6415</v>
      </c>
      <c r="F15211" s="4" t="n">
        <v>10</v>
      </c>
      <c r="G15211" s="4" t="n">
        <v>9</v>
      </c>
      <c r="H15211" s="4" t="n">
        <v>4</v>
      </c>
      <c r="I15211" s="4" t="str">
        <v>×</v>
      </c>
      <c r="J15211" s="4"/>
      <c r="K15211" s="4"/>
      <c r="L15211" s="4"/>
      <c r="M15211" s="7" t="s">
        <v>6871</v>
      </c>
    </row>
    <row r="15212" customFormat="false" ht="15.75" hidden="false" customHeight="false" outlineLevel="0" collapsed="false">
      <c r="A15212" s="6" t="n">
        <f aca="false">DATE(2026,5,9)</f>
        <v>46151</v>
      </c>
      <c r="B15212" s="4" t="s">
        <v>13</v>
      </c>
      <c r="C15212" s="4" t="n">
        <v>6</v>
      </c>
      <c r="D15212" s="4" t="n">
        <v>2</v>
      </c>
      <c r="E15212" s="4" t="s">
        <v>1468</v>
      </c>
      <c r="F15212" s="4" t="n">
        <v>6</v>
      </c>
      <c r="G15212" s="4" t="n">
        <v>10</v>
      </c>
      <c r="H15212" s="4" t="n">
        <v>4</v>
      </c>
      <c r="I15212" s="4" t="str">
        <v>×</v>
      </c>
      <c r="J15212" s="4"/>
      <c r="K15212" s="4"/>
      <c r="L15212" s="4"/>
      <c r="M15212" s="7" t="s">
        <v>6871</v>
      </c>
    </row>
    <row r="15213" customFormat="false" ht="15.75" hidden="false" customHeight="false" outlineLevel="0" collapsed="false">
      <c r="A15213" s="6" t="n">
        <f aca="false">DATE(2026,5,9)</f>
        <v>46151</v>
      </c>
      <c r="B15213" s="4" t="s">
        <v>13</v>
      </c>
      <c r="C15213" s="4" t="n">
        <v>6</v>
      </c>
      <c r="D15213" s="4" t="n">
        <v>3</v>
      </c>
      <c r="E15213" s="4" t="s">
        <v>7000</v>
      </c>
      <c r="F15213" s="4" t="n">
        <v>4</v>
      </c>
      <c r="G15213" s="4" t="n">
        <v>11</v>
      </c>
      <c r="H15213" s="4" t="n">
        <v>4</v>
      </c>
      <c r="I15213" s="4" t="str">
        <v>×</v>
      </c>
      <c r="J15213" s="4"/>
      <c r="K15213" s="4"/>
      <c r="L15213" s="4"/>
      <c r="M15213" s="7" t="s">
        <v>6871</v>
      </c>
    </row>
    <row r="15214" customFormat="false" ht="15.75" hidden="false" customHeight="false" outlineLevel="0" collapsed="false">
      <c r="A15214" s="6" t="n">
        <f aca="false">DATE(2026,5,9)</f>
        <v>46151</v>
      </c>
      <c r="B15214" s="4" t="s">
        <v>13</v>
      </c>
      <c r="C15214" s="4" t="n">
        <v>6</v>
      </c>
      <c r="D15214" s="4" t="n">
        <v>5</v>
      </c>
      <c r="E15214" s="4" t="s">
        <v>1761</v>
      </c>
      <c r="F15214" s="4" t="n">
        <v>4</v>
      </c>
      <c r="G15214" s="4" t="n">
        <v>12</v>
      </c>
      <c r="H15214" s="4" t="n">
        <v>3</v>
      </c>
      <c r="I15214" s="4" t="str">
        <v>○</v>
      </c>
      <c r="J15214" s="4" t="n">
        <v>570</v>
      </c>
      <c r="K15214" s="4"/>
      <c r="L15214" s="4"/>
      <c r="M15214" s="7" t="s">
        <v>6871</v>
      </c>
    </row>
    <row r="15215" customFormat="false" ht="15.75" hidden="false" customHeight="false" outlineLevel="0" collapsed="false">
      <c r="A15215" s="6" t="n">
        <f aca="false">DATE(2026,5,9)</f>
        <v>46151</v>
      </c>
      <c r="B15215" s="4" t="s">
        <v>13</v>
      </c>
      <c r="C15215" s="4" t="n">
        <v>6</v>
      </c>
      <c r="D15215" s="4" t="n">
        <v>16</v>
      </c>
      <c r="E15215" s="4" t="s">
        <v>5092</v>
      </c>
      <c r="F15215" s="4" t="n">
        <v>4</v>
      </c>
      <c r="G15215" s="4" t="n">
        <v>13</v>
      </c>
      <c r="H15215" s="4" t="n">
        <v>4</v>
      </c>
      <c r="I15215" s="4" t="str">
        <v>×</v>
      </c>
      <c r="J15215" s="4"/>
      <c r="K15215" s="4"/>
      <c r="L15215" s="4"/>
      <c r="M15215" s="7" t="s">
        <v>6871</v>
      </c>
    </row>
    <row r="15216" customFormat="false" ht="15.75" hidden="false" customHeight="false" outlineLevel="0" collapsed="false">
      <c r="A15216" s="6" t="n">
        <f aca="false">DATE(2026,5,9)</f>
        <v>46151</v>
      </c>
      <c r="B15216" s="4" t="s">
        <v>13</v>
      </c>
      <c r="C15216" s="4" t="n">
        <v>6</v>
      </c>
      <c r="D15216" s="4" t="n">
        <v>7</v>
      </c>
      <c r="E15216" s="4" t="s">
        <v>6184</v>
      </c>
      <c r="F15216" s="4" t="n">
        <v>3</v>
      </c>
      <c r="G15216" s="4" t="n">
        <v>14</v>
      </c>
      <c r="H15216" s="4" t="n">
        <v>4</v>
      </c>
      <c r="I15216" s="4" t="str">
        <v>×</v>
      </c>
      <c r="J15216" s="4"/>
      <c r="K15216" s="4"/>
      <c r="L15216" s="4"/>
      <c r="M15216" s="7" t="s">
        <v>6871</v>
      </c>
    </row>
    <row r="15217" customFormat="false" ht="15.75" hidden="false" customHeight="false" outlineLevel="0" collapsed="false">
      <c r="A15217" s="6" t="n">
        <f aca="false">DATE(2026,5,9)</f>
        <v>46151</v>
      </c>
      <c r="B15217" s="4" t="s">
        <v>13</v>
      </c>
      <c r="C15217" s="4" t="n">
        <v>6</v>
      </c>
      <c r="D15217" s="4" t="n">
        <v>10</v>
      </c>
      <c r="E15217" s="4" t="s">
        <v>7001</v>
      </c>
      <c r="F15217" s="4" t="n">
        <v>3</v>
      </c>
      <c r="G15217" s="4" t="n">
        <v>15</v>
      </c>
      <c r="H15217" s="4" t="n">
        <v>4</v>
      </c>
      <c r="I15217" s="4" t="str">
        <v>×</v>
      </c>
      <c r="J15217" s="4"/>
      <c r="K15217" s="4"/>
      <c r="L15217" s="4"/>
      <c r="M15217" s="7" t="s">
        <v>6871</v>
      </c>
    </row>
    <row r="15218" customFormat="false" ht="15.75" hidden="false" customHeight="false" outlineLevel="0" collapsed="false">
      <c r="A15218" s="6" t="n">
        <f aca="false">DATE(2026,5,9)</f>
        <v>46151</v>
      </c>
      <c r="B15218" s="4" t="s">
        <v>13</v>
      </c>
      <c r="C15218" s="4" t="n">
        <v>6</v>
      </c>
      <c r="D15218" s="4" t="n">
        <v>1</v>
      </c>
      <c r="E15218" s="4" t="s">
        <v>4322</v>
      </c>
      <c r="F15218" s="4" t="n">
        <v>2</v>
      </c>
      <c r="G15218" s="4" t="n">
        <v>16</v>
      </c>
      <c r="H15218" s="4" t="n">
        <v>4</v>
      </c>
      <c r="I15218" s="4" t="str">
        <v>×</v>
      </c>
      <c r="J15218" s="4"/>
      <c r="K15218" s="4"/>
      <c r="L15218" s="4"/>
      <c r="M15218" s="7" t="s">
        <v>6871</v>
      </c>
    </row>
    <row r="15219" customFormat="false" ht="15.75" hidden="false" customHeight="false" outlineLevel="0" collapsed="false">
      <c r="A15219" s="6" t="n">
        <f aca="false">DATE(2026,5,9)</f>
        <v>46151</v>
      </c>
      <c r="B15219" s="4" t="s">
        <v>13</v>
      </c>
      <c r="C15219" s="4" t="n">
        <v>7</v>
      </c>
      <c r="D15219" s="4" t="n">
        <v>12</v>
      </c>
      <c r="E15219" s="4" t="s">
        <v>2416</v>
      </c>
      <c r="F15219" s="4" t="n">
        <v>58</v>
      </c>
      <c r="G15219" s="4" t="n">
        <v>1</v>
      </c>
      <c r="H15219" s="4" t="n">
        <v>1</v>
      </c>
      <c r="I15219" s="4" t="str">
        <v>○</v>
      </c>
      <c r="J15219" s="4" t="n">
        <v>120</v>
      </c>
      <c r="K15219" s="4"/>
      <c r="L15219" s="4"/>
      <c r="M15219" s="7" t="s">
        <v>6871</v>
      </c>
    </row>
    <row r="15220" customFormat="false" ht="15.75" hidden="false" customHeight="false" outlineLevel="0" collapsed="false">
      <c r="A15220" s="6" t="n">
        <f aca="false">DATE(2026,5,9)</f>
        <v>46151</v>
      </c>
      <c r="B15220" s="4" t="s">
        <v>13</v>
      </c>
      <c r="C15220" s="4" t="n">
        <v>7</v>
      </c>
      <c r="D15220" s="4" t="n">
        <v>7</v>
      </c>
      <c r="E15220" s="4" t="s">
        <v>5763</v>
      </c>
      <c r="F15220" s="4" t="n">
        <v>34</v>
      </c>
      <c r="G15220" s="4" t="n">
        <v>2</v>
      </c>
      <c r="H15220" s="4" t="n">
        <v>3</v>
      </c>
      <c r="I15220" s="4" t="str">
        <v>○</v>
      </c>
      <c r="J15220" s="4" t="n">
        <v>280</v>
      </c>
      <c r="K15220" s="4"/>
      <c r="L15220" s="4"/>
      <c r="M15220" s="7" t="s">
        <v>6871</v>
      </c>
    </row>
    <row r="15221" customFormat="false" ht="15.75" hidden="false" customHeight="false" outlineLevel="0" collapsed="false">
      <c r="A15221" s="6" t="n">
        <f aca="false">DATE(2026,5,9)</f>
        <v>46151</v>
      </c>
      <c r="B15221" s="4" t="s">
        <v>13</v>
      </c>
      <c r="C15221" s="4" t="n">
        <v>7</v>
      </c>
      <c r="D15221" s="4" t="n">
        <v>14</v>
      </c>
      <c r="E15221" s="4" t="s">
        <v>6497</v>
      </c>
      <c r="F15221" s="4" t="n">
        <v>34</v>
      </c>
      <c r="G15221" s="4" t="n">
        <v>3</v>
      </c>
      <c r="H15221" s="4" t="n">
        <v>4</v>
      </c>
      <c r="I15221" s="4" t="str">
        <v>×</v>
      </c>
      <c r="J15221" s="4"/>
      <c r="K15221" s="4"/>
      <c r="L15221" s="4"/>
      <c r="M15221" s="7" t="s">
        <v>6871</v>
      </c>
    </row>
    <row r="15222" customFormat="false" ht="15.75" hidden="false" customHeight="false" outlineLevel="0" collapsed="false">
      <c r="A15222" s="6" t="n">
        <f aca="false">DATE(2026,5,9)</f>
        <v>46151</v>
      </c>
      <c r="B15222" s="4" t="s">
        <v>13</v>
      </c>
      <c r="C15222" s="4" t="n">
        <v>7</v>
      </c>
      <c r="D15222" s="4" t="n">
        <v>4</v>
      </c>
      <c r="E15222" s="4" t="s">
        <v>531</v>
      </c>
      <c r="F15222" s="4" t="n">
        <v>31</v>
      </c>
      <c r="G15222" s="4" t="n">
        <v>4</v>
      </c>
      <c r="H15222" s="4" t="n">
        <v>4</v>
      </c>
      <c r="I15222" s="4" t="str">
        <v>×</v>
      </c>
      <c r="J15222" s="4"/>
      <c r="K15222" s="4"/>
      <c r="L15222" s="4"/>
      <c r="M15222" s="7" t="s">
        <v>6871</v>
      </c>
    </row>
    <row r="15223" customFormat="false" ht="15.75" hidden="false" customHeight="false" outlineLevel="0" collapsed="false">
      <c r="A15223" s="6" t="n">
        <f aca="false">DATE(2026,5,9)</f>
        <v>46151</v>
      </c>
      <c r="B15223" s="4" t="s">
        <v>13</v>
      </c>
      <c r="C15223" s="4" t="n">
        <v>7</v>
      </c>
      <c r="D15223" s="4" t="n">
        <v>11</v>
      </c>
      <c r="E15223" s="4" t="s">
        <v>6604</v>
      </c>
      <c r="F15223" s="4" t="n">
        <v>31</v>
      </c>
      <c r="G15223" s="4" t="n">
        <v>5</v>
      </c>
      <c r="H15223" s="4" t="n">
        <v>4</v>
      </c>
      <c r="I15223" s="4" t="str">
        <v>×</v>
      </c>
      <c r="J15223" s="4"/>
      <c r="K15223" s="4"/>
      <c r="L15223" s="4"/>
      <c r="M15223" s="7" t="s">
        <v>6871</v>
      </c>
    </row>
    <row r="15224" customFormat="false" ht="15.75" hidden="false" customHeight="false" outlineLevel="0" collapsed="false">
      <c r="A15224" s="6" t="n">
        <f aca="false">DATE(2026,5,9)</f>
        <v>46151</v>
      </c>
      <c r="B15224" s="4" t="s">
        <v>13</v>
      </c>
      <c r="C15224" s="4" t="n">
        <v>7</v>
      </c>
      <c r="D15224" s="4" t="n">
        <v>8</v>
      </c>
      <c r="E15224" s="4" t="s">
        <v>1867</v>
      </c>
      <c r="F15224" s="4" t="n">
        <v>29</v>
      </c>
      <c r="G15224" s="4" t="n">
        <v>6</v>
      </c>
      <c r="H15224" s="4" t="n">
        <v>4</v>
      </c>
      <c r="I15224" s="4" t="str">
        <v>×</v>
      </c>
      <c r="J15224" s="4"/>
      <c r="K15224" s="4"/>
      <c r="L15224" s="4"/>
      <c r="M15224" s="7" t="s">
        <v>6871</v>
      </c>
    </row>
    <row r="15225" customFormat="false" ht="15.75" hidden="false" customHeight="false" outlineLevel="0" collapsed="false">
      <c r="A15225" s="6" t="n">
        <f aca="false">DATE(2026,5,9)</f>
        <v>46151</v>
      </c>
      <c r="B15225" s="4" t="s">
        <v>13</v>
      </c>
      <c r="C15225" s="4" t="n">
        <v>7</v>
      </c>
      <c r="D15225" s="4" t="n">
        <v>2</v>
      </c>
      <c r="E15225" s="4" t="s">
        <v>2275</v>
      </c>
      <c r="F15225" s="4" t="n">
        <v>20</v>
      </c>
      <c r="G15225" s="4" t="n">
        <v>7</v>
      </c>
      <c r="H15225" s="4" t="n">
        <v>4</v>
      </c>
      <c r="I15225" s="4" t="str">
        <v>×</v>
      </c>
      <c r="J15225" s="4"/>
      <c r="K15225" s="4"/>
      <c r="L15225" s="4"/>
      <c r="M15225" s="7" t="s">
        <v>6871</v>
      </c>
    </row>
    <row r="15226" customFormat="false" ht="15.75" hidden="false" customHeight="false" outlineLevel="0" collapsed="false">
      <c r="A15226" s="6" t="n">
        <f aca="false">DATE(2026,5,9)</f>
        <v>46151</v>
      </c>
      <c r="B15226" s="4" t="s">
        <v>13</v>
      </c>
      <c r="C15226" s="4" t="n">
        <v>7</v>
      </c>
      <c r="D15226" s="4" t="n">
        <v>3</v>
      </c>
      <c r="E15226" s="4" t="s">
        <v>1658</v>
      </c>
      <c r="F15226" s="4" t="n">
        <v>15</v>
      </c>
      <c r="G15226" s="4" t="n">
        <v>8</v>
      </c>
      <c r="H15226" s="4" t="n">
        <v>2</v>
      </c>
      <c r="I15226" s="4" t="str">
        <v>○</v>
      </c>
      <c r="J15226" s="4" t="n">
        <v>340</v>
      </c>
      <c r="K15226" s="4"/>
      <c r="L15226" s="4"/>
      <c r="M15226" s="7" t="s">
        <v>6871</v>
      </c>
    </row>
    <row r="15227" customFormat="false" ht="15.75" hidden="false" customHeight="false" outlineLevel="0" collapsed="false">
      <c r="A15227" s="6" t="n">
        <f aca="false">DATE(2026,5,9)</f>
        <v>46151</v>
      </c>
      <c r="B15227" s="4" t="s">
        <v>13</v>
      </c>
      <c r="C15227" s="4" t="n">
        <v>7</v>
      </c>
      <c r="D15227" s="4" t="n">
        <v>9</v>
      </c>
      <c r="E15227" s="4" t="s">
        <v>6244</v>
      </c>
      <c r="F15227" s="4" t="n">
        <v>13</v>
      </c>
      <c r="G15227" s="4" t="n">
        <v>9</v>
      </c>
      <c r="H15227" s="4" t="n">
        <v>4</v>
      </c>
      <c r="I15227" s="4" t="str">
        <v>×</v>
      </c>
      <c r="J15227" s="4"/>
      <c r="K15227" s="4"/>
      <c r="L15227" s="4"/>
      <c r="M15227" s="7" t="s">
        <v>6871</v>
      </c>
    </row>
    <row r="15228" customFormat="false" ht="15.75" hidden="false" customHeight="false" outlineLevel="0" collapsed="false">
      <c r="A15228" s="6" t="n">
        <f aca="false">DATE(2026,5,9)</f>
        <v>46151</v>
      </c>
      <c r="B15228" s="4" t="s">
        <v>13</v>
      </c>
      <c r="C15228" s="4" t="n">
        <v>7</v>
      </c>
      <c r="D15228" s="4" t="n">
        <v>10</v>
      </c>
      <c r="E15228" s="4" t="s">
        <v>3230</v>
      </c>
      <c r="F15228" s="4" t="n">
        <v>10</v>
      </c>
      <c r="G15228" s="4" t="n">
        <v>10</v>
      </c>
      <c r="H15228" s="4" t="n">
        <v>4</v>
      </c>
      <c r="I15228" s="4" t="str">
        <v>×</v>
      </c>
      <c r="J15228" s="4"/>
      <c r="K15228" s="4"/>
      <c r="L15228" s="4"/>
      <c r="M15228" s="7" t="s">
        <v>6871</v>
      </c>
    </row>
    <row r="15229" customFormat="false" ht="15.75" hidden="false" customHeight="false" outlineLevel="0" collapsed="false">
      <c r="A15229" s="6" t="n">
        <f aca="false">DATE(2026,5,9)</f>
        <v>46151</v>
      </c>
      <c r="B15229" s="4" t="s">
        <v>13</v>
      </c>
      <c r="C15229" s="4" t="n">
        <v>7</v>
      </c>
      <c r="D15229" s="4" t="n">
        <v>15</v>
      </c>
      <c r="E15229" s="4" t="s">
        <v>1660</v>
      </c>
      <c r="F15229" s="4" t="n">
        <v>8</v>
      </c>
      <c r="G15229" s="4" t="n">
        <v>11</v>
      </c>
      <c r="H15229" s="4" t="n">
        <v>4</v>
      </c>
      <c r="I15229" s="4" t="str">
        <v>×</v>
      </c>
      <c r="J15229" s="4"/>
      <c r="K15229" s="4"/>
      <c r="L15229" s="4"/>
      <c r="M15229" s="7" t="s">
        <v>6871</v>
      </c>
    </row>
    <row r="15230" customFormat="false" ht="15.75" hidden="false" customHeight="false" outlineLevel="0" collapsed="false">
      <c r="A15230" s="6" t="n">
        <f aca="false">DATE(2026,5,9)</f>
        <v>46151</v>
      </c>
      <c r="B15230" s="4" t="s">
        <v>13</v>
      </c>
      <c r="C15230" s="4" t="n">
        <v>7</v>
      </c>
      <c r="D15230" s="4" t="n">
        <v>1</v>
      </c>
      <c r="E15230" s="4" t="s">
        <v>7002</v>
      </c>
      <c r="F15230" s="4" t="n">
        <v>6</v>
      </c>
      <c r="G15230" s="4" t="n">
        <v>12</v>
      </c>
      <c r="H15230" s="4" t="n">
        <v>4</v>
      </c>
      <c r="I15230" s="4" t="str">
        <v>×</v>
      </c>
      <c r="J15230" s="4"/>
      <c r="K15230" s="4"/>
      <c r="L15230" s="4"/>
      <c r="M15230" s="7" t="s">
        <v>6871</v>
      </c>
    </row>
    <row r="15231" customFormat="false" ht="15.75" hidden="false" customHeight="false" outlineLevel="0" collapsed="false">
      <c r="A15231" s="6" t="n">
        <f aca="false">DATE(2026,5,9)</f>
        <v>46151</v>
      </c>
      <c r="B15231" s="4" t="s">
        <v>13</v>
      </c>
      <c r="C15231" s="4" t="n">
        <v>7</v>
      </c>
      <c r="D15231" s="4" t="n">
        <v>5</v>
      </c>
      <c r="E15231" s="4" t="s">
        <v>7003</v>
      </c>
      <c r="F15231" s="4" t="n">
        <v>6</v>
      </c>
      <c r="G15231" s="4" t="n">
        <v>13</v>
      </c>
      <c r="H15231" s="4" t="n">
        <v>4</v>
      </c>
      <c r="I15231" s="4" t="str">
        <v>×</v>
      </c>
      <c r="J15231" s="4"/>
      <c r="K15231" s="4"/>
      <c r="L15231" s="4"/>
      <c r="M15231" s="7" t="s">
        <v>6871</v>
      </c>
    </row>
    <row r="15232" customFormat="false" ht="15.75" hidden="false" customHeight="false" outlineLevel="0" collapsed="false">
      <c r="A15232" s="6" t="n">
        <f aca="false">DATE(2026,5,9)</f>
        <v>46151</v>
      </c>
      <c r="B15232" s="4" t="s">
        <v>13</v>
      </c>
      <c r="C15232" s="4" t="n">
        <v>7</v>
      </c>
      <c r="D15232" s="4" t="n">
        <v>6</v>
      </c>
      <c r="E15232" s="4" t="s">
        <v>3787</v>
      </c>
      <c r="F15232" s="4" t="n">
        <v>3</v>
      </c>
      <c r="G15232" s="4" t="n">
        <v>14</v>
      </c>
      <c r="H15232" s="4" t="n">
        <v>4</v>
      </c>
      <c r="I15232" s="4" t="str">
        <v>×</v>
      </c>
      <c r="J15232" s="4"/>
      <c r="K15232" s="4"/>
      <c r="L15232" s="4"/>
      <c r="M15232" s="7" t="s">
        <v>6871</v>
      </c>
    </row>
    <row r="15233" customFormat="false" ht="15.75" hidden="false" customHeight="false" outlineLevel="0" collapsed="false">
      <c r="A15233" s="6" t="n">
        <f aca="false">DATE(2026,5,9)</f>
        <v>46151</v>
      </c>
      <c r="B15233" s="4" t="s">
        <v>13</v>
      </c>
      <c r="C15233" s="4" t="n">
        <v>7</v>
      </c>
      <c r="D15233" s="4" t="n">
        <v>13</v>
      </c>
      <c r="E15233" s="4" t="s">
        <v>4721</v>
      </c>
      <c r="F15233" s="4" t="n">
        <v>3</v>
      </c>
      <c r="G15233" s="4" t="n">
        <v>15</v>
      </c>
      <c r="H15233" s="4" t="n">
        <v>4</v>
      </c>
      <c r="I15233" s="4" t="str">
        <v>×</v>
      </c>
      <c r="J15233" s="4"/>
      <c r="K15233" s="4"/>
      <c r="L15233" s="4"/>
      <c r="M15233" s="7" t="s">
        <v>6871</v>
      </c>
    </row>
    <row r="15234" customFormat="false" ht="15.75" hidden="false" customHeight="false" outlineLevel="0" collapsed="false">
      <c r="A15234" s="6" t="n">
        <f aca="false">DATE(2026,5,9)</f>
        <v>46151</v>
      </c>
      <c r="B15234" s="4" t="s">
        <v>13</v>
      </c>
      <c r="C15234" s="4" t="n">
        <v>8</v>
      </c>
      <c r="D15234" s="4" t="n">
        <v>10</v>
      </c>
      <c r="E15234" s="4" t="s">
        <v>3069</v>
      </c>
      <c r="F15234" s="4" t="n">
        <v>65</v>
      </c>
      <c r="G15234" s="4" t="n">
        <v>1</v>
      </c>
      <c r="H15234" s="4" t="n">
        <v>4</v>
      </c>
      <c r="I15234" s="4" t="str">
        <v>×</v>
      </c>
      <c r="J15234" s="4"/>
      <c r="K15234" s="4"/>
      <c r="L15234" s="4"/>
      <c r="M15234" s="7" t="s">
        <v>6871</v>
      </c>
    </row>
    <row r="15235" customFormat="false" ht="15.75" hidden="false" customHeight="false" outlineLevel="0" collapsed="false">
      <c r="A15235" s="6" t="n">
        <f aca="false">DATE(2026,5,9)</f>
        <v>46151</v>
      </c>
      <c r="B15235" s="4" t="s">
        <v>13</v>
      </c>
      <c r="C15235" s="4" t="n">
        <v>8</v>
      </c>
      <c r="D15235" s="4" t="n">
        <v>2</v>
      </c>
      <c r="E15235" s="4" t="s">
        <v>1797</v>
      </c>
      <c r="F15235" s="4" t="n">
        <v>34</v>
      </c>
      <c r="G15235" s="4" t="n">
        <v>2</v>
      </c>
      <c r="H15235" s="4" t="n">
        <v>3</v>
      </c>
      <c r="I15235" s="4" t="str">
        <v>○</v>
      </c>
      <c r="J15235" s="4" t="n">
        <v>340</v>
      </c>
      <c r="K15235" s="4"/>
      <c r="L15235" s="4"/>
      <c r="M15235" s="7" t="s">
        <v>6871</v>
      </c>
    </row>
    <row r="15236" customFormat="false" ht="15.75" hidden="false" customHeight="false" outlineLevel="0" collapsed="false">
      <c r="A15236" s="6" t="n">
        <f aca="false">DATE(2026,5,9)</f>
        <v>46151</v>
      </c>
      <c r="B15236" s="4" t="s">
        <v>13</v>
      </c>
      <c r="C15236" s="4" t="n">
        <v>8</v>
      </c>
      <c r="D15236" s="4" t="n">
        <v>3</v>
      </c>
      <c r="E15236" s="4" t="s">
        <v>568</v>
      </c>
      <c r="F15236" s="4" t="n">
        <v>31</v>
      </c>
      <c r="G15236" s="4" t="n">
        <v>3</v>
      </c>
      <c r="H15236" s="4" t="n">
        <v>1</v>
      </c>
      <c r="I15236" s="4" t="str">
        <v>○</v>
      </c>
      <c r="J15236" s="4" t="n">
        <v>220</v>
      </c>
      <c r="K15236" s="4"/>
      <c r="L15236" s="4"/>
      <c r="M15236" s="7" t="s">
        <v>6871</v>
      </c>
    </row>
    <row r="15237" customFormat="false" ht="15.75" hidden="false" customHeight="false" outlineLevel="0" collapsed="false">
      <c r="A15237" s="6" t="n">
        <f aca="false">DATE(2026,5,9)</f>
        <v>46151</v>
      </c>
      <c r="B15237" s="4" t="s">
        <v>13</v>
      </c>
      <c r="C15237" s="4" t="n">
        <v>8</v>
      </c>
      <c r="D15237" s="4" t="n">
        <v>8</v>
      </c>
      <c r="E15237" s="4" t="s">
        <v>6217</v>
      </c>
      <c r="F15237" s="4" t="n">
        <v>25</v>
      </c>
      <c r="G15237" s="4" t="n">
        <v>4</v>
      </c>
      <c r="H15237" s="4" t="n">
        <v>4</v>
      </c>
      <c r="I15237" s="4" t="str">
        <v>×</v>
      </c>
      <c r="J15237" s="4"/>
      <c r="K15237" s="4"/>
      <c r="L15237" s="4"/>
      <c r="M15237" s="7" t="s">
        <v>6871</v>
      </c>
    </row>
    <row r="15238" customFormat="false" ht="15.75" hidden="false" customHeight="false" outlineLevel="0" collapsed="false">
      <c r="A15238" s="6" t="n">
        <f aca="false">DATE(2026,5,9)</f>
        <v>46151</v>
      </c>
      <c r="B15238" s="4" t="s">
        <v>13</v>
      </c>
      <c r="C15238" s="4" t="n">
        <v>8</v>
      </c>
      <c r="D15238" s="4" t="n">
        <v>9</v>
      </c>
      <c r="E15238" s="4" t="s">
        <v>107</v>
      </c>
      <c r="F15238" s="4" t="n">
        <v>20</v>
      </c>
      <c r="G15238" s="4" t="n">
        <v>5</v>
      </c>
      <c r="H15238" s="4" t="n">
        <v>4</v>
      </c>
      <c r="I15238" s="4" t="str">
        <v>×</v>
      </c>
      <c r="J15238" s="4"/>
      <c r="K15238" s="4"/>
      <c r="L15238" s="4"/>
      <c r="M15238" s="7" t="s">
        <v>6871</v>
      </c>
    </row>
    <row r="15239" customFormat="false" ht="15.75" hidden="false" customHeight="false" outlineLevel="0" collapsed="false">
      <c r="A15239" s="6" t="n">
        <f aca="false">DATE(2026,5,9)</f>
        <v>46151</v>
      </c>
      <c r="B15239" s="4" t="s">
        <v>13</v>
      </c>
      <c r="C15239" s="4" t="n">
        <v>8</v>
      </c>
      <c r="D15239" s="4" t="n">
        <v>4</v>
      </c>
      <c r="E15239" s="4" t="s">
        <v>2110</v>
      </c>
      <c r="F15239" s="4" t="n">
        <v>17</v>
      </c>
      <c r="G15239" s="4" t="n">
        <v>6</v>
      </c>
      <c r="H15239" s="4" t="n">
        <v>2</v>
      </c>
      <c r="I15239" s="4" t="str">
        <v>○</v>
      </c>
      <c r="J15239" s="4" t="n">
        <v>460</v>
      </c>
      <c r="K15239" s="4"/>
      <c r="L15239" s="4"/>
      <c r="M15239" s="7" t="s">
        <v>6871</v>
      </c>
    </row>
    <row r="15240" customFormat="false" ht="15.75" hidden="false" customHeight="false" outlineLevel="0" collapsed="false">
      <c r="A15240" s="6" t="n">
        <f aca="false">DATE(2026,5,9)</f>
        <v>46151</v>
      </c>
      <c r="B15240" s="4" t="s">
        <v>13</v>
      </c>
      <c r="C15240" s="4" t="n">
        <v>8</v>
      </c>
      <c r="D15240" s="4" t="n">
        <v>6</v>
      </c>
      <c r="E15240" s="4" t="s">
        <v>167</v>
      </c>
      <c r="F15240" s="4" t="n">
        <v>17</v>
      </c>
      <c r="G15240" s="4" t="n">
        <v>7</v>
      </c>
      <c r="H15240" s="4" t="n">
        <v>4</v>
      </c>
      <c r="I15240" s="4" t="str">
        <v>×</v>
      </c>
      <c r="J15240" s="4"/>
      <c r="K15240" s="4"/>
      <c r="L15240" s="4"/>
      <c r="M15240" s="7" t="s">
        <v>6871</v>
      </c>
    </row>
    <row r="15241" customFormat="false" ht="15.75" hidden="false" customHeight="false" outlineLevel="0" collapsed="false">
      <c r="A15241" s="6" t="n">
        <f aca="false">DATE(2026,5,9)</f>
        <v>46151</v>
      </c>
      <c r="B15241" s="4" t="s">
        <v>13</v>
      </c>
      <c r="C15241" s="4" t="n">
        <v>8</v>
      </c>
      <c r="D15241" s="4" t="n">
        <v>12</v>
      </c>
      <c r="E15241" s="4" t="s">
        <v>4284</v>
      </c>
      <c r="F15241" s="4" t="n">
        <v>13</v>
      </c>
      <c r="G15241" s="4" t="n">
        <v>8</v>
      </c>
      <c r="H15241" s="4" t="n">
        <v>4</v>
      </c>
      <c r="I15241" s="4" t="str">
        <v>×</v>
      </c>
      <c r="J15241" s="4"/>
      <c r="K15241" s="4"/>
      <c r="L15241" s="4"/>
      <c r="M15241" s="7" t="s">
        <v>6871</v>
      </c>
    </row>
    <row r="15242" customFormat="false" ht="15.75" hidden="false" customHeight="false" outlineLevel="0" collapsed="false">
      <c r="A15242" s="6" t="n">
        <f aca="false">DATE(2026,5,9)</f>
        <v>46151</v>
      </c>
      <c r="B15242" s="4" t="s">
        <v>13</v>
      </c>
      <c r="C15242" s="4" t="n">
        <v>8</v>
      </c>
      <c r="D15242" s="4" t="n">
        <v>13</v>
      </c>
      <c r="E15242" s="4" t="s">
        <v>7004</v>
      </c>
      <c r="F15242" s="4" t="n">
        <v>13</v>
      </c>
      <c r="G15242" s="4" t="n">
        <v>9</v>
      </c>
      <c r="H15242" s="4" t="n">
        <v>4</v>
      </c>
      <c r="I15242" s="4" t="str">
        <v>×</v>
      </c>
      <c r="J15242" s="4"/>
      <c r="K15242" s="4"/>
      <c r="L15242" s="4"/>
      <c r="M15242" s="7" t="s">
        <v>6871</v>
      </c>
    </row>
    <row r="15243" customFormat="false" ht="15.75" hidden="false" customHeight="false" outlineLevel="0" collapsed="false">
      <c r="A15243" s="6" t="n">
        <f aca="false">DATE(2026,5,9)</f>
        <v>46151</v>
      </c>
      <c r="B15243" s="4" t="s">
        <v>13</v>
      </c>
      <c r="C15243" s="4" t="n">
        <v>8</v>
      </c>
      <c r="D15243" s="4" t="n">
        <v>5</v>
      </c>
      <c r="E15243" s="4" t="s">
        <v>2116</v>
      </c>
      <c r="F15243" s="4" t="n">
        <v>10</v>
      </c>
      <c r="G15243" s="4" t="n">
        <v>10</v>
      </c>
      <c r="H15243" s="4" t="n">
        <v>4</v>
      </c>
      <c r="I15243" s="4" t="str">
        <v>×</v>
      </c>
      <c r="J15243" s="4"/>
      <c r="K15243" s="4"/>
      <c r="L15243" s="4"/>
      <c r="M15243" s="7" t="s">
        <v>6871</v>
      </c>
    </row>
    <row r="15244" customFormat="false" ht="15.75" hidden="false" customHeight="false" outlineLevel="0" collapsed="false">
      <c r="A15244" s="6" t="n">
        <f aca="false">DATE(2026,5,9)</f>
        <v>46151</v>
      </c>
      <c r="B15244" s="4" t="s">
        <v>13</v>
      </c>
      <c r="C15244" s="4" t="n">
        <v>8</v>
      </c>
      <c r="D15244" s="4" t="n">
        <v>7</v>
      </c>
      <c r="E15244" s="4" t="s">
        <v>7005</v>
      </c>
      <c r="F15244" s="4" t="n">
        <v>8</v>
      </c>
      <c r="G15244" s="4" t="n">
        <v>11</v>
      </c>
      <c r="H15244" s="4" t="n">
        <v>4</v>
      </c>
      <c r="I15244" s="4" t="str">
        <v>×</v>
      </c>
      <c r="J15244" s="4"/>
      <c r="K15244" s="4"/>
      <c r="L15244" s="4"/>
      <c r="M15244" s="7" t="s">
        <v>6871</v>
      </c>
    </row>
    <row r="15245" customFormat="false" ht="15.75" hidden="false" customHeight="false" outlineLevel="0" collapsed="false">
      <c r="A15245" s="6" t="n">
        <f aca="false">DATE(2026,5,9)</f>
        <v>46151</v>
      </c>
      <c r="B15245" s="4" t="s">
        <v>13</v>
      </c>
      <c r="C15245" s="4" t="n">
        <v>8</v>
      </c>
      <c r="D15245" s="4" t="n">
        <v>1</v>
      </c>
      <c r="E15245" s="4" t="s">
        <v>1541</v>
      </c>
      <c r="F15245" s="4" t="n">
        <v>6</v>
      </c>
      <c r="G15245" s="4" t="n">
        <v>12</v>
      </c>
      <c r="H15245" s="4" t="n">
        <v>4</v>
      </c>
      <c r="I15245" s="4" t="str">
        <v>×</v>
      </c>
      <c r="J15245" s="4"/>
      <c r="K15245" s="4"/>
      <c r="L15245" s="4"/>
      <c r="M15245" s="7" t="s">
        <v>6871</v>
      </c>
    </row>
    <row r="15246" customFormat="false" ht="15.75" hidden="false" customHeight="false" outlineLevel="0" collapsed="false">
      <c r="A15246" s="6" t="n">
        <f aca="false">DATE(2026,5,9)</f>
        <v>46151</v>
      </c>
      <c r="B15246" s="4" t="s">
        <v>13</v>
      </c>
      <c r="C15246" s="4" t="n">
        <v>8</v>
      </c>
      <c r="D15246" s="4" t="n">
        <v>15</v>
      </c>
      <c r="E15246" s="4" t="s">
        <v>7006</v>
      </c>
      <c r="F15246" s="4" t="n">
        <v>6</v>
      </c>
      <c r="G15246" s="4" t="n">
        <v>13</v>
      </c>
      <c r="H15246" s="4" t="n">
        <v>4</v>
      </c>
      <c r="I15246" s="4" t="str">
        <v>×</v>
      </c>
      <c r="J15246" s="4"/>
      <c r="K15246" s="4"/>
      <c r="L15246" s="4"/>
      <c r="M15246" s="7" t="s">
        <v>6871</v>
      </c>
    </row>
    <row r="15247" customFormat="false" ht="15.75" hidden="false" customHeight="false" outlineLevel="0" collapsed="false">
      <c r="A15247" s="6" t="n">
        <f aca="false">DATE(2026,5,9)</f>
        <v>46151</v>
      </c>
      <c r="B15247" s="4" t="s">
        <v>13</v>
      </c>
      <c r="C15247" s="4" t="n">
        <v>8</v>
      </c>
      <c r="D15247" s="4" t="n">
        <v>11</v>
      </c>
      <c r="E15247" s="4" t="s">
        <v>2115</v>
      </c>
      <c r="F15247" s="4" t="n">
        <v>2</v>
      </c>
      <c r="G15247" s="4" t="n">
        <v>14</v>
      </c>
      <c r="H15247" s="4" t="n">
        <v>4</v>
      </c>
      <c r="I15247" s="4" t="str">
        <v>×</v>
      </c>
      <c r="J15247" s="4"/>
      <c r="K15247" s="4"/>
      <c r="L15247" s="4"/>
      <c r="M15247" s="7" t="s">
        <v>6871</v>
      </c>
    </row>
    <row r="15248" customFormat="false" ht="15.75" hidden="false" customHeight="false" outlineLevel="0" collapsed="false">
      <c r="A15248" s="6" t="n">
        <f aca="false">DATE(2026,5,9)</f>
        <v>46151</v>
      </c>
      <c r="B15248" s="4" t="s">
        <v>13</v>
      </c>
      <c r="C15248" s="4" t="n">
        <v>8</v>
      </c>
      <c r="D15248" s="4" t="n">
        <v>14</v>
      </c>
      <c r="E15248" s="4" t="s">
        <v>6318</v>
      </c>
      <c r="F15248" s="4" t="n">
        <v>2</v>
      </c>
      <c r="G15248" s="4" t="n">
        <v>15</v>
      </c>
      <c r="H15248" s="4" t="n">
        <v>4</v>
      </c>
      <c r="I15248" s="4" t="str">
        <v>×</v>
      </c>
      <c r="J15248" s="4"/>
      <c r="K15248" s="4"/>
      <c r="L15248" s="4"/>
      <c r="M15248" s="7" t="s">
        <v>6871</v>
      </c>
    </row>
    <row r="15249" customFormat="false" ht="15.75" hidden="false" customHeight="false" outlineLevel="0" collapsed="false">
      <c r="A15249" s="6" t="n">
        <f aca="false">DATE(2026,5,9)</f>
        <v>46151</v>
      </c>
      <c r="B15249" s="4" t="s">
        <v>13</v>
      </c>
      <c r="C15249" s="4" t="n">
        <v>9</v>
      </c>
      <c r="D15249" s="4" t="n">
        <v>8</v>
      </c>
      <c r="E15249" s="4" t="s">
        <v>7007</v>
      </c>
      <c r="F15249" s="4" t="n">
        <v>71</v>
      </c>
      <c r="G15249" s="4" t="n">
        <v>1</v>
      </c>
      <c r="H15249" s="4" t="n">
        <v>3</v>
      </c>
      <c r="I15249" s="4" t="str">
        <v>○</v>
      </c>
      <c r="J15249" s="4" t="n">
        <v>140</v>
      </c>
      <c r="K15249" s="4"/>
      <c r="L15249" s="4"/>
      <c r="M15249" s="7" t="s">
        <v>6871</v>
      </c>
    </row>
    <row r="15250" customFormat="false" ht="15.75" hidden="false" customHeight="false" outlineLevel="0" collapsed="false">
      <c r="A15250" s="6" t="n">
        <f aca="false">DATE(2026,5,9)</f>
        <v>46151</v>
      </c>
      <c r="B15250" s="4" t="s">
        <v>13</v>
      </c>
      <c r="C15250" s="4" t="n">
        <v>9</v>
      </c>
      <c r="D15250" s="4" t="n">
        <v>13</v>
      </c>
      <c r="E15250" s="4" t="s">
        <v>5548</v>
      </c>
      <c r="F15250" s="4" t="n">
        <v>44</v>
      </c>
      <c r="G15250" s="4" t="n">
        <v>2</v>
      </c>
      <c r="H15250" s="4" t="n">
        <v>4</v>
      </c>
      <c r="I15250" s="4" t="str">
        <v>×</v>
      </c>
      <c r="J15250" s="4"/>
      <c r="K15250" s="4"/>
      <c r="L15250" s="4"/>
      <c r="M15250" s="7" t="s">
        <v>6871</v>
      </c>
    </row>
    <row r="15251" customFormat="false" ht="15.75" hidden="false" customHeight="false" outlineLevel="0" collapsed="false">
      <c r="A15251" s="6" t="n">
        <f aca="false">DATE(2026,5,9)</f>
        <v>46151</v>
      </c>
      <c r="B15251" s="4" t="s">
        <v>13</v>
      </c>
      <c r="C15251" s="4" t="n">
        <v>9</v>
      </c>
      <c r="D15251" s="4" t="n">
        <v>9</v>
      </c>
      <c r="E15251" s="4" t="s">
        <v>2889</v>
      </c>
      <c r="F15251" s="4" t="n">
        <v>34</v>
      </c>
      <c r="G15251" s="4" t="n">
        <v>3</v>
      </c>
      <c r="H15251" s="4" t="n">
        <v>4</v>
      </c>
      <c r="I15251" s="4" t="str">
        <v>×</v>
      </c>
      <c r="J15251" s="4"/>
      <c r="K15251" s="4"/>
      <c r="L15251" s="4"/>
      <c r="M15251" s="7" t="s">
        <v>6871</v>
      </c>
    </row>
    <row r="15252" customFormat="false" ht="15.75" hidden="false" customHeight="false" outlineLevel="0" collapsed="false">
      <c r="A15252" s="6" t="n">
        <f aca="false">DATE(2026,5,9)</f>
        <v>46151</v>
      </c>
      <c r="B15252" s="4" t="s">
        <v>13</v>
      </c>
      <c r="C15252" s="4" t="n">
        <v>9</v>
      </c>
      <c r="D15252" s="4" t="n">
        <v>12</v>
      </c>
      <c r="E15252" s="4" t="s">
        <v>2375</v>
      </c>
      <c r="F15252" s="4" t="n">
        <v>34</v>
      </c>
      <c r="G15252" s="4" t="n">
        <v>4</v>
      </c>
      <c r="H15252" s="4" t="n">
        <v>2</v>
      </c>
      <c r="I15252" s="4" t="str">
        <v>○</v>
      </c>
      <c r="J15252" s="4" t="n">
        <v>270</v>
      </c>
      <c r="K15252" s="4"/>
      <c r="L15252" s="4"/>
      <c r="M15252" s="7" t="s">
        <v>6871</v>
      </c>
    </row>
    <row r="15253" customFormat="false" ht="15.75" hidden="false" customHeight="false" outlineLevel="0" collapsed="false">
      <c r="A15253" s="6" t="n">
        <f aca="false">DATE(2026,5,9)</f>
        <v>46151</v>
      </c>
      <c r="B15253" s="4" t="s">
        <v>13</v>
      </c>
      <c r="C15253" s="4" t="n">
        <v>9</v>
      </c>
      <c r="D15253" s="4" t="n">
        <v>1</v>
      </c>
      <c r="E15253" s="4" t="s">
        <v>1859</v>
      </c>
      <c r="F15253" s="4" t="n">
        <v>31</v>
      </c>
      <c r="G15253" s="4" t="n">
        <v>5</v>
      </c>
      <c r="H15253" s="4" t="n">
        <v>4</v>
      </c>
      <c r="I15253" s="4" t="str">
        <v>×</v>
      </c>
      <c r="J15253" s="4"/>
      <c r="K15253" s="4"/>
      <c r="L15253" s="4"/>
      <c r="M15253" s="7" t="s">
        <v>6871</v>
      </c>
    </row>
    <row r="15254" customFormat="false" ht="15.75" hidden="false" customHeight="false" outlineLevel="0" collapsed="false">
      <c r="A15254" s="6" t="n">
        <f aca="false">DATE(2026,5,9)</f>
        <v>46151</v>
      </c>
      <c r="B15254" s="4" t="s">
        <v>13</v>
      </c>
      <c r="C15254" s="4" t="n">
        <v>9</v>
      </c>
      <c r="D15254" s="4" t="n">
        <v>4</v>
      </c>
      <c r="E15254" s="4" t="s">
        <v>7008</v>
      </c>
      <c r="F15254" s="4" t="n">
        <v>31</v>
      </c>
      <c r="G15254" s="4" t="n">
        <v>6</v>
      </c>
      <c r="H15254" s="4" t="n">
        <v>4</v>
      </c>
      <c r="I15254" s="4" t="str">
        <v>×</v>
      </c>
      <c r="J15254" s="4"/>
      <c r="K15254" s="4"/>
      <c r="L15254" s="4"/>
      <c r="M15254" s="7" t="s">
        <v>6871</v>
      </c>
    </row>
    <row r="15255" customFormat="false" ht="15.75" hidden="false" customHeight="false" outlineLevel="0" collapsed="false">
      <c r="A15255" s="6" t="n">
        <f aca="false">DATE(2026,5,9)</f>
        <v>46151</v>
      </c>
      <c r="B15255" s="4" t="s">
        <v>13</v>
      </c>
      <c r="C15255" s="4" t="n">
        <v>9</v>
      </c>
      <c r="D15255" s="4" t="n">
        <v>6</v>
      </c>
      <c r="E15255" s="4" t="s">
        <v>7009</v>
      </c>
      <c r="F15255" s="4" t="n">
        <v>23</v>
      </c>
      <c r="G15255" s="4" t="n">
        <v>7</v>
      </c>
      <c r="H15255" s="4" t="n">
        <v>4</v>
      </c>
      <c r="I15255" s="4" t="str">
        <v>×</v>
      </c>
      <c r="J15255" s="4"/>
      <c r="K15255" s="4"/>
      <c r="L15255" s="4"/>
      <c r="M15255" s="7" t="s">
        <v>6871</v>
      </c>
    </row>
    <row r="15256" customFormat="false" ht="15.75" hidden="false" customHeight="false" outlineLevel="0" collapsed="false">
      <c r="A15256" s="6" t="n">
        <f aca="false">DATE(2026,5,9)</f>
        <v>46151</v>
      </c>
      <c r="B15256" s="4" t="s">
        <v>13</v>
      </c>
      <c r="C15256" s="4" t="n">
        <v>9</v>
      </c>
      <c r="D15256" s="4" t="n">
        <v>14</v>
      </c>
      <c r="E15256" s="4" t="s">
        <v>519</v>
      </c>
      <c r="F15256" s="4" t="n">
        <v>20</v>
      </c>
      <c r="G15256" s="4" t="n">
        <v>8</v>
      </c>
      <c r="H15256" s="4" t="n">
        <v>4</v>
      </c>
      <c r="I15256" s="4" t="str">
        <v>×</v>
      </c>
      <c r="J15256" s="4"/>
      <c r="K15256" s="4"/>
      <c r="L15256" s="4"/>
      <c r="M15256" s="7" t="s">
        <v>6871</v>
      </c>
    </row>
    <row r="15257" customFormat="false" ht="15.75" hidden="false" customHeight="false" outlineLevel="0" collapsed="false">
      <c r="A15257" s="6" t="n">
        <f aca="false">DATE(2026,5,9)</f>
        <v>46151</v>
      </c>
      <c r="B15257" s="4" t="s">
        <v>13</v>
      </c>
      <c r="C15257" s="4" t="n">
        <v>9</v>
      </c>
      <c r="D15257" s="4" t="n">
        <v>10</v>
      </c>
      <c r="E15257" s="4" t="s">
        <v>5603</v>
      </c>
      <c r="F15257" s="4" t="n">
        <v>17</v>
      </c>
      <c r="G15257" s="4" t="n">
        <v>9</v>
      </c>
      <c r="H15257" s="4" t="n">
        <v>4</v>
      </c>
      <c r="I15257" s="4" t="str">
        <v>×</v>
      </c>
      <c r="J15257" s="4"/>
      <c r="K15257" s="4"/>
      <c r="L15257" s="4"/>
      <c r="M15257" s="7" t="s">
        <v>6871</v>
      </c>
    </row>
    <row r="15258" customFormat="false" ht="15.75" hidden="false" customHeight="false" outlineLevel="0" collapsed="false">
      <c r="A15258" s="6" t="n">
        <f aca="false">DATE(2026,5,9)</f>
        <v>46151</v>
      </c>
      <c r="B15258" s="4" t="s">
        <v>13</v>
      </c>
      <c r="C15258" s="4" t="n">
        <v>9</v>
      </c>
      <c r="D15258" s="4" t="n">
        <v>3</v>
      </c>
      <c r="E15258" s="4" t="s">
        <v>4086</v>
      </c>
      <c r="F15258" s="4" t="n">
        <v>10</v>
      </c>
      <c r="G15258" s="4" t="n">
        <v>10</v>
      </c>
      <c r="H15258" s="4" t="n">
        <v>4</v>
      </c>
      <c r="I15258" s="4" t="str">
        <v>×</v>
      </c>
      <c r="J15258" s="4"/>
      <c r="K15258" s="4"/>
      <c r="L15258" s="4"/>
      <c r="M15258" s="7" t="s">
        <v>6871</v>
      </c>
    </row>
    <row r="15259" customFormat="false" ht="15.75" hidden="false" customHeight="false" outlineLevel="0" collapsed="false">
      <c r="A15259" s="6" t="n">
        <f aca="false">DATE(2026,5,9)</f>
        <v>46151</v>
      </c>
      <c r="B15259" s="4" t="s">
        <v>13</v>
      </c>
      <c r="C15259" s="4" t="n">
        <v>9</v>
      </c>
      <c r="D15259" s="4" t="n">
        <v>5</v>
      </c>
      <c r="E15259" s="4" t="s">
        <v>1862</v>
      </c>
      <c r="F15259" s="4" t="n">
        <v>10</v>
      </c>
      <c r="G15259" s="4" t="n">
        <v>11</v>
      </c>
      <c r="H15259" s="4" t="n">
        <v>4</v>
      </c>
      <c r="I15259" s="4" t="str">
        <v>×</v>
      </c>
      <c r="J15259" s="4"/>
      <c r="K15259" s="4"/>
      <c r="L15259" s="4"/>
      <c r="M15259" s="7" t="s">
        <v>6871</v>
      </c>
    </row>
    <row r="15260" customFormat="false" ht="15.75" hidden="false" customHeight="false" outlineLevel="0" collapsed="false">
      <c r="A15260" s="6" t="n">
        <f aca="false">DATE(2026,5,9)</f>
        <v>46151</v>
      </c>
      <c r="B15260" s="4" t="s">
        <v>13</v>
      </c>
      <c r="C15260" s="4" t="n">
        <v>9</v>
      </c>
      <c r="D15260" s="4" t="n">
        <v>11</v>
      </c>
      <c r="E15260" s="4" t="s">
        <v>5970</v>
      </c>
      <c r="F15260" s="4" t="n">
        <v>10</v>
      </c>
      <c r="G15260" s="4" t="n">
        <v>12</v>
      </c>
      <c r="H15260" s="4" t="n">
        <v>1</v>
      </c>
      <c r="I15260" s="4" t="str">
        <v>○</v>
      </c>
      <c r="J15260" s="4" t="n">
        <v>500</v>
      </c>
      <c r="K15260" s="4"/>
      <c r="L15260" s="4"/>
      <c r="M15260" s="7" t="s">
        <v>6871</v>
      </c>
    </row>
    <row r="15261" customFormat="false" ht="15.75" hidden="false" customHeight="false" outlineLevel="0" collapsed="false">
      <c r="A15261" s="6" t="n">
        <f aca="false">DATE(2026,5,9)</f>
        <v>46151</v>
      </c>
      <c r="B15261" s="4" t="s">
        <v>13</v>
      </c>
      <c r="C15261" s="4" t="n">
        <v>9</v>
      </c>
      <c r="D15261" s="4" t="n">
        <v>2</v>
      </c>
      <c r="E15261" s="4" t="s">
        <v>603</v>
      </c>
      <c r="F15261" s="4" t="n">
        <v>3</v>
      </c>
      <c r="G15261" s="4" t="n">
        <v>13</v>
      </c>
      <c r="H15261" s="4" t="n">
        <v>4</v>
      </c>
      <c r="I15261" s="4" t="str">
        <v>×</v>
      </c>
      <c r="J15261" s="4"/>
      <c r="K15261" s="4"/>
      <c r="L15261" s="4"/>
      <c r="M15261" s="7" t="s">
        <v>6871</v>
      </c>
    </row>
    <row r="15262" customFormat="false" ht="15.75" hidden="false" customHeight="false" outlineLevel="0" collapsed="false">
      <c r="A15262" s="6" t="n">
        <f aca="false">DATE(2026,5,9)</f>
        <v>46151</v>
      </c>
      <c r="B15262" s="4" t="s">
        <v>13</v>
      </c>
      <c r="C15262" s="4" t="n">
        <v>9</v>
      </c>
      <c r="D15262" s="4" t="n">
        <v>7</v>
      </c>
      <c r="E15262" s="4" t="s">
        <v>6012</v>
      </c>
      <c r="F15262" s="4" t="n">
        <v>1</v>
      </c>
      <c r="G15262" s="4" t="n">
        <v>14</v>
      </c>
      <c r="H15262" s="4" t="n">
        <v>4</v>
      </c>
      <c r="I15262" s="4" t="str">
        <v>×</v>
      </c>
      <c r="J15262" s="4"/>
      <c r="K15262" s="4"/>
      <c r="L15262" s="4"/>
      <c r="M15262" s="7" t="s">
        <v>6871</v>
      </c>
    </row>
    <row r="15263" customFormat="false" ht="15.75" hidden="false" customHeight="false" outlineLevel="0" collapsed="false">
      <c r="A15263" s="6" t="n">
        <f aca="false">DATE(2026,5,9)</f>
        <v>46151</v>
      </c>
      <c r="B15263" s="4" t="s">
        <v>13</v>
      </c>
      <c r="C15263" s="4" t="n">
        <v>10</v>
      </c>
      <c r="D15263" s="4" t="n">
        <v>3</v>
      </c>
      <c r="E15263" s="4" t="s">
        <v>7010</v>
      </c>
      <c r="F15263" s="4" t="n">
        <v>50</v>
      </c>
      <c r="G15263" s="4" t="n">
        <v>1</v>
      </c>
      <c r="H15263" s="4" t="n">
        <v>1</v>
      </c>
      <c r="I15263" s="4" t="str">
        <v>○</v>
      </c>
      <c r="J15263" s="4" t="n">
        <v>230</v>
      </c>
      <c r="K15263" s="4"/>
      <c r="L15263" s="4"/>
      <c r="M15263" s="7" t="s">
        <v>6871</v>
      </c>
    </row>
    <row r="15264" customFormat="false" ht="15.75" hidden="false" customHeight="false" outlineLevel="0" collapsed="false">
      <c r="A15264" s="6" t="n">
        <f aca="false">DATE(2026,5,9)</f>
        <v>46151</v>
      </c>
      <c r="B15264" s="4" t="s">
        <v>13</v>
      </c>
      <c r="C15264" s="4" t="n">
        <v>10</v>
      </c>
      <c r="D15264" s="4" t="n">
        <v>5</v>
      </c>
      <c r="E15264" s="4" t="s">
        <v>5551</v>
      </c>
      <c r="F15264" s="4" t="n">
        <v>47</v>
      </c>
      <c r="G15264" s="4" t="n">
        <v>2</v>
      </c>
      <c r="H15264" s="4" t="n">
        <v>4</v>
      </c>
      <c r="I15264" s="4" t="str">
        <v>×</v>
      </c>
      <c r="J15264" s="4"/>
      <c r="K15264" s="4"/>
      <c r="L15264" s="4"/>
      <c r="M15264" s="7" t="s">
        <v>6871</v>
      </c>
    </row>
    <row r="15265" customFormat="false" ht="15.75" hidden="false" customHeight="false" outlineLevel="0" collapsed="false">
      <c r="A15265" s="6" t="n">
        <f aca="false">DATE(2026,5,9)</f>
        <v>46151</v>
      </c>
      <c r="B15265" s="4" t="s">
        <v>13</v>
      </c>
      <c r="C15265" s="4" t="n">
        <v>10</v>
      </c>
      <c r="D15265" s="4" t="n">
        <v>1</v>
      </c>
      <c r="E15265" s="4" t="s">
        <v>1484</v>
      </c>
      <c r="F15265" s="4" t="n">
        <v>34</v>
      </c>
      <c r="G15265" s="4" t="n">
        <v>3</v>
      </c>
      <c r="H15265" s="4" t="n">
        <v>4</v>
      </c>
      <c r="I15265" s="4" t="str">
        <v>×</v>
      </c>
      <c r="J15265" s="4"/>
      <c r="K15265" s="4"/>
      <c r="L15265" s="4"/>
      <c r="M15265" s="7" t="s">
        <v>6871</v>
      </c>
    </row>
    <row r="15266" customFormat="false" ht="15.75" hidden="false" customHeight="false" outlineLevel="0" collapsed="false">
      <c r="A15266" s="6" t="n">
        <f aca="false">DATE(2026,5,9)</f>
        <v>46151</v>
      </c>
      <c r="B15266" s="4" t="s">
        <v>13</v>
      </c>
      <c r="C15266" s="4" t="n">
        <v>10</v>
      </c>
      <c r="D15266" s="4" t="n">
        <v>2</v>
      </c>
      <c r="E15266" s="4" t="s">
        <v>3823</v>
      </c>
      <c r="F15266" s="4" t="n">
        <v>23</v>
      </c>
      <c r="G15266" s="4" t="n">
        <v>4</v>
      </c>
      <c r="H15266" s="4" t="n">
        <v>4</v>
      </c>
      <c r="I15266" s="4" t="str">
        <v>×</v>
      </c>
      <c r="J15266" s="4"/>
      <c r="K15266" s="4"/>
      <c r="L15266" s="4"/>
      <c r="M15266" s="7" t="s">
        <v>6871</v>
      </c>
    </row>
    <row r="15267" customFormat="false" ht="15.75" hidden="false" customHeight="false" outlineLevel="0" collapsed="false">
      <c r="A15267" s="6" t="n">
        <f aca="false">DATE(2026,5,9)</f>
        <v>46151</v>
      </c>
      <c r="B15267" s="4" t="s">
        <v>13</v>
      </c>
      <c r="C15267" s="4" t="n">
        <v>10</v>
      </c>
      <c r="D15267" s="4" t="n">
        <v>8</v>
      </c>
      <c r="E15267" s="4" t="s">
        <v>1348</v>
      </c>
      <c r="F15267" s="4" t="n">
        <v>17</v>
      </c>
      <c r="G15267" s="4" t="n">
        <v>5</v>
      </c>
      <c r="H15267" s="4" t="n">
        <v>2</v>
      </c>
      <c r="I15267" s="4" t="str">
        <v>○</v>
      </c>
      <c r="J15267" s="4" t="n">
        <v>310</v>
      </c>
      <c r="K15267" s="4"/>
      <c r="L15267" s="4"/>
      <c r="M15267" s="7" t="s">
        <v>6871</v>
      </c>
    </row>
    <row r="15268" customFormat="false" ht="15.75" hidden="false" customHeight="false" outlineLevel="0" collapsed="false">
      <c r="A15268" s="6" t="n">
        <f aca="false">DATE(2026,5,9)</f>
        <v>46151</v>
      </c>
      <c r="B15268" s="4" t="s">
        <v>13</v>
      </c>
      <c r="C15268" s="4" t="n">
        <v>10</v>
      </c>
      <c r="D15268" s="4" t="n">
        <v>10</v>
      </c>
      <c r="E15268" s="4" t="s">
        <v>6721</v>
      </c>
      <c r="F15268" s="4" t="n">
        <v>17</v>
      </c>
      <c r="G15268" s="4" t="n">
        <v>6</v>
      </c>
      <c r="H15268" s="4" t="n">
        <v>4</v>
      </c>
      <c r="I15268" s="4" t="str">
        <v>×</v>
      </c>
      <c r="J15268" s="4"/>
      <c r="K15268" s="4"/>
      <c r="L15268" s="4"/>
      <c r="M15268" s="7" t="s">
        <v>6871</v>
      </c>
    </row>
    <row r="15269" customFormat="false" ht="15.75" hidden="false" customHeight="false" outlineLevel="0" collapsed="false">
      <c r="A15269" s="6" t="n">
        <f aca="false">DATE(2026,5,9)</f>
        <v>46151</v>
      </c>
      <c r="B15269" s="4" t="s">
        <v>13</v>
      </c>
      <c r="C15269" s="4" t="n">
        <v>10</v>
      </c>
      <c r="D15269" s="4" t="n">
        <v>12</v>
      </c>
      <c r="E15269" s="4" t="s">
        <v>6475</v>
      </c>
      <c r="F15269" s="4" t="n">
        <v>17</v>
      </c>
      <c r="G15269" s="4" t="n">
        <v>7</v>
      </c>
      <c r="H15269" s="4" t="n">
        <v>4</v>
      </c>
      <c r="I15269" s="4" t="str">
        <v>×</v>
      </c>
      <c r="J15269" s="4"/>
      <c r="K15269" s="4"/>
      <c r="L15269" s="4"/>
      <c r="M15269" s="7" t="s">
        <v>6871</v>
      </c>
    </row>
    <row r="15270" customFormat="false" ht="15.75" hidden="false" customHeight="false" outlineLevel="0" collapsed="false">
      <c r="A15270" s="6" t="n">
        <f aca="false">DATE(2026,5,9)</f>
        <v>46151</v>
      </c>
      <c r="B15270" s="4" t="s">
        <v>13</v>
      </c>
      <c r="C15270" s="4" t="n">
        <v>10</v>
      </c>
      <c r="D15270" s="4" t="n">
        <v>6</v>
      </c>
      <c r="E15270" s="4" t="s">
        <v>6323</v>
      </c>
      <c r="F15270" s="4" t="n">
        <v>15</v>
      </c>
      <c r="G15270" s="4" t="n">
        <v>8</v>
      </c>
      <c r="H15270" s="4" t="n">
        <v>4</v>
      </c>
      <c r="I15270" s="4" t="str">
        <v>×</v>
      </c>
      <c r="J15270" s="4"/>
      <c r="K15270" s="4"/>
      <c r="L15270" s="4"/>
      <c r="M15270" s="7" t="s">
        <v>6871</v>
      </c>
    </row>
    <row r="15271" customFormat="false" ht="15.75" hidden="false" customHeight="false" outlineLevel="0" collapsed="false">
      <c r="A15271" s="6" t="n">
        <f aca="false">DATE(2026,5,9)</f>
        <v>46151</v>
      </c>
      <c r="B15271" s="4" t="s">
        <v>13</v>
      </c>
      <c r="C15271" s="4" t="n">
        <v>10</v>
      </c>
      <c r="D15271" s="4" t="n">
        <v>7</v>
      </c>
      <c r="E15271" s="4" t="s">
        <v>4068</v>
      </c>
      <c r="F15271" s="4" t="n">
        <v>15</v>
      </c>
      <c r="G15271" s="4" t="n">
        <v>9</v>
      </c>
      <c r="H15271" s="4" t="n">
        <v>3</v>
      </c>
      <c r="I15271" s="4" t="str">
        <v>○</v>
      </c>
      <c r="J15271" s="4" t="n">
        <v>270</v>
      </c>
      <c r="K15271" s="4"/>
      <c r="L15271" s="4"/>
      <c r="M15271" s="7" t="s">
        <v>6871</v>
      </c>
    </row>
    <row r="15272" customFormat="false" ht="15.75" hidden="false" customHeight="false" outlineLevel="0" collapsed="false">
      <c r="A15272" s="6" t="n">
        <f aca="false">DATE(2026,5,9)</f>
        <v>46151</v>
      </c>
      <c r="B15272" s="4" t="s">
        <v>13</v>
      </c>
      <c r="C15272" s="4" t="n">
        <v>10</v>
      </c>
      <c r="D15272" s="4" t="n">
        <v>11</v>
      </c>
      <c r="E15272" s="4" t="s">
        <v>907</v>
      </c>
      <c r="F15272" s="4" t="n">
        <v>15</v>
      </c>
      <c r="G15272" s="4" t="n">
        <v>10</v>
      </c>
      <c r="H15272" s="4" t="n">
        <v>4</v>
      </c>
      <c r="I15272" s="4" t="str">
        <v>×</v>
      </c>
      <c r="J15272" s="4"/>
      <c r="K15272" s="4"/>
      <c r="L15272" s="4"/>
      <c r="M15272" s="7" t="s">
        <v>6871</v>
      </c>
    </row>
    <row r="15273" customFormat="false" ht="15.75" hidden="false" customHeight="false" outlineLevel="0" collapsed="false">
      <c r="A15273" s="6" t="n">
        <f aca="false">DATE(2026,5,9)</f>
        <v>46151</v>
      </c>
      <c r="B15273" s="4" t="s">
        <v>13</v>
      </c>
      <c r="C15273" s="4" t="n">
        <v>10</v>
      </c>
      <c r="D15273" s="4" t="n">
        <v>4</v>
      </c>
      <c r="E15273" s="4" t="s">
        <v>7011</v>
      </c>
      <c r="F15273" s="4" t="n">
        <v>10</v>
      </c>
      <c r="G15273" s="4" t="n">
        <v>11</v>
      </c>
      <c r="H15273" s="4" t="n">
        <v>4</v>
      </c>
      <c r="I15273" s="4" t="str">
        <v>×</v>
      </c>
      <c r="J15273" s="4"/>
      <c r="K15273" s="4"/>
      <c r="L15273" s="4"/>
      <c r="M15273" s="7" t="s">
        <v>6871</v>
      </c>
    </row>
    <row r="15274" customFormat="false" ht="15.75" hidden="false" customHeight="false" outlineLevel="0" collapsed="false">
      <c r="A15274" s="6" t="n">
        <f aca="false">DATE(2026,5,9)</f>
        <v>46151</v>
      </c>
      <c r="B15274" s="4" t="s">
        <v>13</v>
      </c>
      <c r="C15274" s="4" t="n">
        <v>10</v>
      </c>
      <c r="D15274" s="4" t="n">
        <v>9</v>
      </c>
      <c r="E15274" s="4" t="s">
        <v>2382</v>
      </c>
      <c r="F15274" s="4" t="n">
        <v>6</v>
      </c>
      <c r="G15274" s="4" t="n">
        <v>12</v>
      </c>
      <c r="H15274" s="4" t="n">
        <v>4</v>
      </c>
      <c r="I15274" s="4" t="str">
        <v>×</v>
      </c>
      <c r="J15274" s="4"/>
      <c r="K15274" s="4"/>
      <c r="L15274" s="4"/>
      <c r="M15274" s="7" t="s">
        <v>6871</v>
      </c>
    </row>
    <row r="15275" customFormat="false" ht="15.75" hidden="false" customHeight="false" outlineLevel="0" collapsed="false">
      <c r="A15275" s="6" t="n">
        <f aca="false">DATE(2026,5,9)</f>
        <v>46151</v>
      </c>
      <c r="B15275" s="4" t="s">
        <v>13</v>
      </c>
      <c r="C15275" s="4" t="n">
        <v>10</v>
      </c>
      <c r="D15275" s="4" t="n">
        <v>13</v>
      </c>
      <c r="E15275" s="4" t="s">
        <v>5693</v>
      </c>
      <c r="F15275" s="4" t="n">
        <v>6</v>
      </c>
      <c r="G15275" s="4" t="n">
        <v>13</v>
      </c>
      <c r="H15275" s="4" t="n">
        <v>4</v>
      </c>
      <c r="I15275" s="4" t="str">
        <v>×</v>
      </c>
      <c r="J15275" s="4"/>
      <c r="K15275" s="4"/>
      <c r="L15275" s="4"/>
      <c r="M15275" s="7" t="s">
        <v>6871</v>
      </c>
    </row>
    <row r="15276" customFormat="false" ht="15.75" hidden="false" customHeight="false" outlineLevel="0" collapsed="false">
      <c r="A15276" s="6" t="n">
        <f aca="false">DATE(2026,5,9)</f>
        <v>46151</v>
      </c>
      <c r="B15276" s="4" t="s">
        <v>13</v>
      </c>
      <c r="C15276" s="4" t="n">
        <v>11</v>
      </c>
      <c r="D15276" s="4" t="n">
        <v>1</v>
      </c>
      <c r="E15276" s="4" t="s">
        <v>7012</v>
      </c>
      <c r="F15276" s="4" t="n">
        <v>44</v>
      </c>
      <c r="G15276" s="4" t="n">
        <v>1</v>
      </c>
      <c r="H15276" s="4" t="n">
        <v>4</v>
      </c>
      <c r="I15276" s="4" t="str">
        <v>×</v>
      </c>
      <c r="J15276" s="4"/>
      <c r="K15276" s="4"/>
      <c r="L15276" s="4"/>
      <c r="M15276" s="7" t="s">
        <v>6871</v>
      </c>
    </row>
    <row r="15277" customFormat="false" ht="15.75" hidden="false" customHeight="false" outlineLevel="0" collapsed="false">
      <c r="A15277" s="6" t="n">
        <f aca="false">DATE(2026,5,9)</f>
        <v>46151</v>
      </c>
      <c r="B15277" s="4" t="s">
        <v>13</v>
      </c>
      <c r="C15277" s="4" t="n">
        <v>11</v>
      </c>
      <c r="D15277" s="4" t="n">
        <v>5</v>
      </c>
      <c r="E15277" s="4" t="s">
        <v>2000</v>
      </c>
      <c r="F15277" s="4" t="n">
        <v>37</v>
      </c>
      <c r="G15277" s="4" t="n">
        <v>2</v>
      </c>
      <c r="H15277" s="4" t="n">
        <v>4</v>
      </c>
      <c r="I15277" s="4" t="str">
        <v>×</v>
      </c>
      <c r="J15277" s="4"/>
      <c r="K15277" s="4"/>
      <c r="L15277" s="4"/>
      <c r="M15277" s="7" t="s">
        <v>6871</v>
      </c>
    </row>
    <row r="15278" customFormat="false" ht="15.75" hidden="false" customHeight="false" outlineLevel="0" collapsed="false">
      <c r="A15278" s="6" t="n">
        <f aca="false">DATE(2026,5,9)</f>
        <v>46151</v>
      </c>
      <c r="B15278" s="4" t="s">
        <v>13</v>
      </c>
      <c r="C15278" s="4" t="n">
        <v>11</v>
      </c>
      <c r="D15278" s="4" t="n">
        <v>8</v>
      </c>
      <c r="E15278" s="4" t="s">
        <v>1222</v>
      </c>
      <c r="F15278" s="4" t="n">
        <v>37</v>
      </c>
      <c r="G15278" s="4" t="n">
        <v>3</v>
      </c>
      <c r="H15278" s="4" t="n">
        <v>4</v>
      </c>
      <c r="I15278" s="4" t="str">
        <v>×</v>
      </c>
      <c r="J15278" s="4"/>
      <c r="K15278" s="4"/>
      <c r="L15278" s="4"/>
      <c r="M15278" s="7" t="s">
        <v>6871</v>
      </c>
    </row>
    <row r="15279" customFormat="false" ht="15.75" hidden="false" customHeight="false" outlineLevel="0" collapsed="false">
      <c r="A15279" s="6" t="n">
        <f aca="false">DATE(2026,5,9)</f>
        <v>46151</v>
      </c>
      <c r="B15279" s="4" t="s">
        <v>13</v>
      </c>
      <c r="C15279" s="4" t="n">
        <v>11</v>
      </c>
      <c r="D15279" s="4" t="n">
        <v>14</v>
      </c>
      <c r="E15279" s="4" t="s">
        <v>1220</v>
      </c>
      <c r="F15279" s="4" t="n">
        <v>29</v>
      </c>
      <c r="G15279" s="4" t="n">
        <v>4</v>
      </c>
      <c r="H15279" s="4" t="n">
        <v>4</v>
      </c>
      <c r="I15279" s="4" t="str">
        <v>×</v>
      </c>
      <c r="J15279" s="4"/>
      <c r="K15279" s="4"/>
      <c r="L15279" s="4"/>
      <c r="M15279" s="7" t="s">
        <v>6871</v>
      </c>
    </row>
    <row r="15280" customFormat="false" ht="15.75" hidden="false" customHeight="false" outlineLevel="0" collapsed="false">
      <c r="A15280" s="6" t="n">
        <f aca="false">DATE(2026,5,9)</f>
        <v>46151</v>
      </c>
      <c r="B15280" s="4" t="s">
        <v>13</v>
      </c>
      <c r="C15280" s="4" t="n">
        <v>11</v>
      </c>
      <c r="D15280" s="4" t="n">
        <v>15</v>
      </c>
      <c r="E15280" s="4" t="s">
        <v>4048</v>
      </c>
      <c r="F15280" s="4" t="n">
        <v>25</v>
      </c>
      <c r="G15280" s="4" t="n">
        <v>5</v>
      </c>
      <c r="H15280" s="4" t="n">
        <v>3</v>
      </c>
      <c r="I15280" s="4" t="str">
        <v>○</v>
      </c>
      <c r="J15280" s="4" t="n">
        <v>230</v>
      </c>
      <c r="K15280" s="4"/>
      <c r="L15280" s="4"/>
      <c r="M15280" s="7" t="s">
        <v>6871</v>
      </c>
    </row>
    <row r="15281" customFormat="false" ht="15.75" hidden="false" customHeight="false" outlineLevel="0" collapsed="false">
      <c r="A15281" s="6" t="n">
        <f aca="false">DATE(2026,5,9)</f>
        <v>46151</v>
      </c>
      <c r="B15281" s="4" t="s">
        <v>13</v>
      </c>
      <c r="C15281" s="4" t="n">
        <v>11</v>
      </c>
      <c r="D15281" s="4" t="n">
        <v>13</v>
      </c>
      <c r="E15281" s="4" t="s">
        <v>2981</v>
      </c>
      <c r="F15281" s="4" t="n">
        <v>20</v>
      </c>
      <c r="G15281" s="4" t="n">
        <v>6</v>
      </c>
      <c r="H15281" s="4" t="n">
        <v>4</v>
      </c>
      <c r="I15281" s="4" t="str">
        <v>×</v>
      </c>
      <c r="J15281" s="4"/>
      <c r="K15281" s="4"/>
      <c r="L15281" s="4"/>
      <c r="M15281" s="7" t="s">
        <v>6871</v>
      </c>
    </row>
    <row r="15282" customFormat="false" ht="15.75" hidden="false" customHeight="false" outlineLevel="0" collapsed="false">
      <c r="A15282" s="6" t="n">
        <f aca="false">DATE(2026,5,9)</f>
        <v>46151</v>
      </c>
      <c r="B15282" s="4" t="s">
        <v>13</v>
      </c>
      <c r="C15282" s="4" t="n">
        <v>11</v>
      </c>
      <c r="D15282" s="4" t="n">
        <v>3</v>
      </c>
      <c r="E15282" s="4" t="s">
        <v>6806</v>
      </c>
      <c r="F15282" s="4" t="n">
        <v>17</v>
      </c>
      <c r="G15282" s="4" t="n">
        <v>7</v>
      </c>
      <c r="H15282" s="4" t="n">
        <v>4</v>
      </c>
      <c r="I15282" s="4" t="str">
        <v>×</v>
      </c>
      <c r="J15282" s="4"/>
      <c r="K15282" s="4"/>
      <c r="L15282" s="4"/>
      <c r="M15282" s="7" t="s">
        <v>6871</v>
      </c>
    </row>
    <row r="15283" customFormat="false" ht="15.75" hidden="false" customHeight="false" outlineLevel="0" collapsed="false">
      <c r="A15283" s="6" t="n">
        <f aca="false">DATE(2026,5,9)</f>
        <v>46151</v>
      </c>
      <c r="B15283" s="4" t="s">
        <v>13</v>
      </c>
      <c r="C15283" s="4" t="n">
        <v>11</v>
      </c>
      <c r="D15283" s="4" t="n">
        <v>12</v>
      </c>
      <c r="E15283" s="4" t="s">
        <v>1211</v>
      </c>
      <c r="F15283" s="4" t="n">
        <v>17</v>
      </c>
      <c r="G15283" s="4" t="n">
        <v>8</v>
      </c>
      <c r="H15283" s="4" t="n">
        <v>2</v>
      </c>
      <c r="I15283" s="4" t="str">
        <v>○</v>
      </c>
      <c r="J15283" s="4" t="n">
        <v>430</v>
      </c>
      <c r="K15283" s="4"/>
      <c r="L15283" s="4"/>
      <c r="M15283" s="7" t="s">
        <v>6871</v>
      </c>
    </row>
    <row r="15284" customFormat="false" ht="15.75" hidden="false" customHeight="false" outlineLevel="0" collapsed="false">
      <c r="A15284" s="6" t="n">
        <f aca="false">DATE(2026,5,9)</f>
        <v>46151</v>
      </c>
      <c r="B15284" s="4" t="s">
        <v>13</v>
      </c>
      <c r="C15284" s="4" t="n">
        <v>11</v>
      </c>
      <c r="D15284" s="4" t="n">
        <v>9</v>
      </c>
      <c r="E15284" s="4" t="s">
        <v>2153</v>
      </c>
      <c r="F15284" s="4" t="n">
        <v>10</v>
      </c>
      <c r="G15284" s="4" t="n">
        <v>9</v>
      </c>
      <c r="H15284" s="4" t="n">
        <v>4</v>
      </c>
      <c r="I15284" s="4" t="str">
        <v>×</v>
      </c>
      <c r="J15284" s="4"/>
      <c r="K15284" s="4"/>
      <c r="L15284" s="4"/>
      <c r="M15284" s="7" t="s">
        <v>6871</v>
      </c>
    </row>
    <row r="15285" customFormat="false" ht="15.75" hidden="false" customHeight="false" outlineLevel="0" collapsed="false">
      <c r="A15285" s="6" t="n">
        <f aca="false">DATE(2026,5,9)</f>
        <v>46151</v>
      </c>
      <c r="B15285" s="4" t="s">
        <v>13</v>
      </c>
      <c r="C15285" s="4" t="n">
        <v>11</v>
      </c>
      <c r="D15285" s="4" t="n">
        <v>4</v>
      </c>
      <c r="E15285" s="4" t="s">
        <v>5710</v>
      </c>
      <c r="F15285" s="4" t="n">
        <v>6</v>
      </c>
      <c r="G15285" s="4" t="n">
        <v>10</v>
      </c>
      <c r="H15285" s="4" t="n">
        <v>4</v>
      </c>
      <c r="I15285" s="4" t="str">
        <v>×</v>
      </c>
      <c r="J15285" s="4"/>
      <c r="K15285" s="4"/>
      <c r="L15285" s="4"/>
      <c r="M15285" s="7" t="s">
        <v>6871</v>
      </c>
    </row>
    <row r="15286" customFormat="false" ht="15.75" hidden="false" customHeight="false" outlineLevel="0" collapsed="false">
      <c r="A15286" s="6" t="n">
        <f aca="false">DATE(2026,5,9)</f>
        <v>46151</v>
      </c>
      <c r="B15286" s="4" t="s">
        <v>13</v>
      </c>
      <c r="C15286" s="4" t="n">
        <v>11</v>
      </c>
      <c r="D15286" s="4" t="n">
        <v>2</v>
      </c>
      <c r="E15286" s="4" t="s">
        <v>6807</v>
      </c>
      <c r="F15286" s="4" t="n">
        <v>4</v>
      </c>
      <c r="G15286" s="4" t="n">
        <v>11</v>
      </c>
      <c r="H15286" s="4" t="n">
        <v>4</v>
      </c>
      <c r="I15286" s="4" t="str">
        <v>×</v>
      </c>
      <c r="J15286" s="4"/>
      <c r="K15286" s="4"/>
      <c r="L15286" s="4"/>
      <c r="M15286" s="7" t="s">
        <v>6871</v>
      </c>
    </row>
    <row r="15287" customFormat="false" ht="15.75" hidden="false" customHeight="false" outlineLevel="0" collapsed="false">
      <c r="A15287" s="6" t="n">
        <f aca="false">DATE(2026,5,9)</f>
        <v>46151</v>
      </c>
      <c r="B15287" s="4" t="s">
        <v>13</v>
      </c>
      <c r="C15287" s="4" t="n">
        <v>11</v>
      </c>
      <c r="D15287" s="4" t="n">
        <v>7</v>
      </c>
      <c r="E15287" s="4" t="s">
        <v>5787</v>
      </c>
      <c r="F15287" s="4" t="n">
        <v>4</v>
      </c>
      <c r="G15287" s="4" t="n">
        <v>12</v>
      </c>
      <c r="H15287" s="4" t="n">
        <v>4</v>
      </c>
      <c r="I15287" s="4" t="str">
        <v>×</v>
      </c>
      <c r="J15287" s="4"/>
      <c r="K15287" s="4"/>
      <c r="L15287" s="4"/>
      <c r="M15287" s="7" t="s">
        <v>6871</v>
      </c>
    </row>
    <row r="15288" customFormat="false" ht="15.75" hidden="false" customHeight="false" outlineLevel="0" collapsed="false">
      <c r="A15288" s="6" t="n">
        <f aca="false">DATE(2026,5,9)</f>
        <v>46151</v>
      </c>
      <c r="B15288" s="4" t="s">
        <v>13</v>
      </c>
      <c r="C15288" s="4" t="n">
        <v>11</v>
      </c>
      <c r="D15288" s="4" t="n">
        <v>11</v>
      </c>
      <c r="E15288" s="4" t="s">
        <v>4259</v>
      </c>
      <c r="F15288" s="4" t="n">
        <v>4</v>
      </c>
      <c r="G15288" s="4" t="n">
        <v>13</v>
      </c>
      <c r="H15288" s="4" t="n">
        <v>4</v>
      </c>
      <c r="I15288" s="4" t="str">
        <v>×</v>
      </c>
      <c r="J15288" s="4"/>
      <c r="K15288" s="4"/>
      <c r="L15288" s="4"/>
      <c r="M15288" s="7" t="s">
        <v>6871</v>
      </c>
    </row>
    <row r="15289" customFormat="false" ht="15.75" hidden="false" customHeight="false" outlineLevel="0" collapsed="false">
      <c r="A15289" s="6" t="n">
        <f aca="false">DATE(2026,5,9)</f>
        <v>46151</v>
      </c>
      <c r="B15289" s="4" t="s">
        <v>13</v>
      </c>
      <c r="C15289" s="4" t="n">
        <v>11</v>
      </c>
      <c r="D15289" s="4" t="n">
        <v>6</v>
      </c>
      <c r="E15289" s="4" t="s">
        <v>7013</v>
      </c>
      <c r="F15289" s="4" t="n">
        <v>3</v>
      </c>
      <c r="G15289" s="4" t="n">
        <v>14</v>
      </c>
      <c r="H15289" s="4" t="n">
        <v>4</v>
      </c>
      <c r="I15289" s="4" t="str">
        <v>×</v>
      </c>
      <c r="J15289" s="4"/>
      <c r="K15289" s="4"/>
      <c r="L15289" s="4"/>
      <c r="M15289" s="7" t="s">
        <v>6871</v>
      </c>
    </row>
    <row r="15290" customFormat="false" ht="15.75" hidden="false" customHeight="false" outlineLevel="0" collapsed="false">
      <c r="A15290" s="6" t="n">
        <f aca="false">DATE(2026,5,9)</f>
        <v>46151</v>
      </c>
      <c r="B15290" s="4" t="s">
        <v>13</v>
      </c>
      <c r="C15290" s="4" t="n">
        <v>11</v>
      </c>
      <c r="D15290" s="4" t="n">
        <v>10</v>
      </c>
      <c r="E15290" s="4" t="s">
        <v>6805</v>
      </c>
      <c r="F15290" s="4" t="n">
        <v>3</v>
      </c>
      <c r="G15290" s="4" t="n">
        <v>15</v>
      </c>
      <c r="H15290" s="4" t="n">
        <v>4</v>
      </c>
      <c r="I15290" s="4" t="str">
        <v>×</v>
      </c>
      <c r="J15290" s="4"/>
      <c r="K15290" s="4"/>
      <c r="L15290" s="4"/>
      <c r="M15290" s="7" t="s">
        <v>6871</v>
      </c>
    </row>
    <row r="15291" customFormat="false" ht="15.75" hidden="false" customHeight="false" outlineLevel="0" collapsed="false">
      <c r="A15291" s="6" t="n">
        <f aca="false">DATE(2026,5,9)</f>
        <v>46151</v>
      </c>
      <c r="B15291" s="4" t="s">
        <v>13</v>
      </c>
      <c r="C15291" s="4" t="n">
        <v>11</v>
      </c>
      <c r="D15291" s="4" t="n">
        <v>16</v>
      </c>
      <c r="E15291" s="4" t="s">
        <v>4051</v>
      </c>
      <c r="F15291" s="4" t="n">
        <v>1</v>
      </c>
      <c r="G15291" s="4" t="n">
        <v>16</v>
      </c>
      <c r="H15291" s="4" t="n">
        <v>1</v>
      </c>
      <c r="I15291" s="4" t="str">
        <v>○</v>
      </c>
      <c r="J15291" s="4" t="n">
        <v>340</v>
      </c>
      <c r="K15291" s="4"/>
      <c r="L15291" s="4"/>
      <c r="M15291" s="7" t="s">
        <v>6871</v>
      </c>
    </row>
    <row r="15292" customFormat="false" ht="15.75" hidden="false" customHeight="false" outlineLevel="0" collapsed="false">
      <c r="A15292" s="6" t="n">
        <f aca="false">DATE(2026,5,9)</f>
        <v>46151</v>
      </c>
      <c r="B15292" s="4" t="s">
        <v>13</v>
      </c>
      <c r="C15292" s="4" t="n">
        <v>12</v>
      </c>
      <c r="D15292" s="4" t="n">
        <v>11</v>
      </c>
      <c r="E15292" s="4" t="s">
        <v>461</v>
      </c>
      <c r="F15292" s="4" t="n">
        <v>67</v>
      </c>
      <c r="G15292" s="4" t="n">
        <v>1</v>
      </c>
      <c r="H15292" s="4" t="n">
        <v>1</v>
      </c>
      <c r="I15292" s="4" t="str">
        <v>○</v>
      </c>
      <c r="J15292" s="4" t="n">
        <v>110</v>
      </c>
      <c r="K15292" s="4"/>
      <c r="L15292" s="4"/>
      <c r="M15292" s="7" t="s">
        <v>6871</v>
      </c>
    </row>
    <row r="15293" customFormat="false" ht="15.75" hidden="false" customHeight="false" outlineLevel="0" collapsed="false">
      <c r="A15293" s="6" t="n">
        <f aca="false">DATE(2026,5,9)</f>
        <v>46151</v>
      </c>
      <c r="B15293" s="4" t="s">
        <v>13</v>
      </c>
      <c r="C15293" s="4" t="n">
        <v>12</v>
      </c>
      <c r="D15293" s="4" t="n">
        <v>8</v>
      </c>
      <c r="E15293" s="4" t="s">
        <v>2124</v>
      </c>
      <c r="F15293" s="4" t="n">
        <v>41</v>
      </c>
      <c r="G15293" s="4" t="n">
        <v>2</v>
      </c>
      <c r="H15293" s="4" t="n">
        <v>2</v>
      </c>
      <c r="I15293" s="4" t="str">
        <v>○</v>
      </c>
      <c r="J15293" s="4" t="n">
        <v>160</v>
      </c>
      <c r="K15293" s="4"/>
      <c r="L15293" s="4"/>
      <c r="M15293" s="7" t="s">
        <v>6871</v>
      </c>
    </row>
    <row r="15294" customFormat="false" ht="15.75" hidden="false" customHeight="false" outlineLevel="0" collapsed="false">
      <c r="A15294" s="6" t="n">
        <f aca="false">DATE(2026,5,9)</f>
        <v>46151</v>
      </c>
      <c r="B15294" s="4" t="s">
        <v>13</v>
      </c>
      <c r="C15294" s="4" t="n">
        <v>12</v>
      </c>
      <c r="D15294" s="4" t="n">
        <v>2</v>
      </c>
      <c r="E15294" s="4" t="s">
        <v>7014</v>
      </c>
      <c r="F15294" s="4" t="n">
        <v>39</v>
      </c>
      <c r="G15294" s="4" t="n">
        <v>3</v>
      </c>
      <c r="H15294" s="4" t="n">
        <v>4</v>
      </c>
      <c r="I15294" s="4" t="str">
        <v>×</v>
      </c>
      <c r="J15294" s="4"/>
      <c r="K15294" s="4"/>
      <c r="L15294" s="4"/>
      <c r="M15294" s="7" t="s">
        <v>6871</v>
      </c>
    </row>
    <row r="15295" customFormat="false" ht="15.75" hidden="false" customHeight="false" outlineLevel="0" collapsed="false">
      <c r="A15295" s="6" t="n">
        <f aca="false">DATE(2026,5,9)</f>
        <v>46151</v>
      </c>
      <c r="B15295" s="4" t="s">
        <v>13</v>
      </c>
      <c r="C15295" s="4" t="n">
        <v>12</v>
      </c>
      <c r="D15295" s="4" t="n">
        <v>3</v>
      </c>
      <c r="E15295" s="4" t="s">
        <v>5187</v>
      </c>
      <c r="F15295" s="4" t="n">
        <v>31</v>
      </c>
      <c r="G15295" s="4" t="n">
        <v>4</v>
      </c>
      <c r="H15295" s="4" t="n">
        <v>3</v>
      </c>
      <c r="I15295" s="4" t="str">
        <v>○</v>
      </c>
      <c r="J15295" s="4" t="n">
        <v>250</v>
      </c>
      <c r="K15295" s="4"/>
      <c r="L15295" s="4"/>
      <c r="M15295" s="7" t="s">
        <v>6871</v>
      </c>
    </row>
    <row r="15296" customFormat="false" ht="15.75" hidden="false" customHeight="false" outlineLevel="0" collapsed="false">
      <c r="A15296" s="6" t="n">
        <f aca="false">DATE(2026,5,9)</f>
        <v>46151</v>
      </c>
      <c r="B15296" s="4" t="s">
        <v>13</v>
      </c>
      <c r="C15296" s="4" t="n">
        <v>12</v>
      </c>
      <c r="D15296" s="4" t="n">
        <v>12</v>
      </c>
      <c r="E15296" s="4" t="s">
        <v>5790</v>
      </c>
      <c r="F15296" s="4" t="n">
        <v>25</v>
      </c>
      <c r="G15296" s="4" t="n">
        <v>5</v>
      </c>
      <c r="H15296" s="4" t="n">
        <v>4</v>
      </c>
      <c r="I15296" s="4" t="str">
        <v>×</v>
      </c>
      <c r="J15296" s="4"/>
      <c r="K15296" s="4"/>
      <c r="L15296" s="4"/>
      <c r="M15296" s="7" t="s">
        <v>6871</v>
      </c>
    </row>
    <row r="15297" customFormat="false" ht="15.75" hidden="false" customHeight="false" outlineLevel="0" collapsed="false">
      <c r="A15297" s="6" t="n">
        <f aca="false">DATE(2026,5,9)</f>
        <v>46151</v>
      </c>
      <c r="B15297" s="4" t="s">
        <v>13</v>
      </c>
      <c r="C15297" s="4" t="n">
        <v>12</v>
      </c>
      <c r="D15297" s="4" t="n">
        <v>4</v>
      </c>
      <c r="E15297" s="4" t="s">
        <v>7015</v>
      </c>
      <c r="F15297" s="4" t="n">
        <v>20</v>
      </c>
      <c r="G15297" s="4" t="n">
        <v>6</v>
      </c>
      <c r="H15297" s="4" t="n">
        <v>4</v>
      </c>
      <c r="I15297" s="4" t="str">
        <v>×</v>
      </c>
      <c r="J15297" s="4"/>
      <c r="K15297" s="4"/>
      <c r="L15297" s="4"/>
      <c r="M15297" s="7" t="s">
        <v>6871</v>
      </c>
    </row>
    <row r="15298" customFormat="false" ht="15.75" hidden="false" customHeight="false" outlineLevel="0" collapsed="false">
      <c r="A15298" s="6" t="n">
        <f aca="false">DATE(2026,5,9)</f>
        <v>46151</v>
      </c>
      <c r="B15298" s="4" t="s">
        <v>13</v>
      </c>
      <c r="C15298" s="4" t="n">
        <v>12</v>
      </c>
      <c r="D15298" s="4" t="n">
        <v>9</v>
      </c>
      <c r="E15298" s="4" t="s">
        <v>5850</v>
      </c>
      <c r="F15298" s="4" t="n">
        <v>17</v>
      </c>
      <c r="G15298" s="4" t="n">
        <v>7</v>
      </c>
      <c r="H15298" s="4" t="n">
        <v>4</v>
      </c>
      <c r="I15298" s="4" t="str">
        <v>×</v>
      </c>
      <c r="J15298" s="4"/>
      <c r="K15298" s="4"/>
      <c r="L15298" s="4"/>
      <c r="M15298" s="7" t="s">
        <v>6871</v>
      </c>
    </row>
    <row r="15299" customFormat="false" ht="15.75" hidden="false" customHeight="false" outlineLevel="0" collapsed="false">
      <c r="A15299" s="6" t="n">
        <f aca="false">DATE(2026,5,9)</f>
        <v>46151</v>
      </c>
      <c r="B15299" s="4" t="s">
        <v>13</v>
      </c>
      <c r="C15299" s="4" t="n">
        <v>12</v>
      </c>
      <c r="D15299" s="4" t="n">
        <v>1</v>
      </c>
      <c r="E15299" s="4" t="s">
        <v>5941</v>
      </c>
      <c r="F15299" s="4" t="n">
        <v>10</v>
      </c>
      <c r="G15299" s="4" t="n">
        <v>8</v>
      </c>
      <c r="H15299" s="4" t="n">
        <v>4</v>
      </c>
      <c r="I15299" s="4" t="str">
        <v>×</v>
      </c>
      <c r="J15299" s="4"/>
      <c r="K15299" s="4"/>
      <c r="L15299" s="4"/>
      <c r="M15299" s="7" t="s">
        <v>6871</v>
      </c>
    </row>
    <row r="15300" customFormat="false" ht="15.75" hidden="false" customHeight="false" outlineLevel="0" collapsed="false">
      <c r="A15300" s="6" t="n">
        <f aca="false">DATE(2026,5,9)</f>
        <v>46151</v>
      </c>
      <c r="B15300" s="4" t="s">
        <v>13</v>
      </c>
      <c r="C15300" s="4" t="n">
        <v>12</v>
      </c>
      <c r="D15300" s="4" t="n">
        <v>6</v>
      </c>
      <c r="E15300" s="4" t="s">
        <v>7016</v>
      </c>
      <c r="F15300" s="4" t="n">
        <v>8</v>
      </c>
      <c r="G15300" s="4" t="n">
        <v>9</v>
      </c>
      <c r="H15300" s="4" t="n">
        <v>4</v>
      </c>
      <c r="I15300" s="4" t="str">
        <v>×</v>
      </c>
      <c r="J15300" s="4"/>
      <c r="K15300" s="4"/>
      <c r="L15300" s="4"/>
      <c r="M15300" s="7" t="s">
        <v>6871</v>
      </c>
    </row>
    <row r="15301" customFormat="false" ht="15.75" hidden="false" customHeight="false" outlineLevel="0" collapsed="false">
      <c r="A15301" s="6" t="n">
        <f aca="false">DATE(2026,5,9)</f>
        <v>46151</v>
      </c>
      <c r="B15301" s="4" t="s">
        <v>13</v>
      </c>
      <c r="C15301" s="4" t="n">
        <v>12</v>
      </c>
      <c r="D15301" s="4" t="n">
        <v>7</v>
      </c>
      <c r="E15301" s="4" t="s">
        <v>4288</v>
      </c>
      <c r="F15301" s="4" t="n">
        <v>8</v>
      </c>
      <c r="G15301" s="4" t="n">
        <v>10</v>
      </c>
      <c r="H15301" s="4" t="n">
        <v>4</v>
      </c>
      <c r="I15301" s="4" t="str">
        <v>×</v>
      </c>
      <c r="J15301" s="4"/>
      <c r="K15301" s="4"/>
      <c r="L15301" s="4"/>
      <c r="M15301" s="7" t="s">
        <v>6871</v>
      </c>
    </row>
    <row r="15302" customFormat="false" ht="15.75" hidden="false" customHeight="false" outlineLevel="0" collapsed="false">
      <c r="A15302" s="6" t="n">
        <f aca="false">DATE(2026,5,9)</f>
        <v>46151</v>
      </c>
      <c r="B15302" s="4" t="s">
        <v>13</v>
      </c>
      <c r="C15302" s="4" t="n">
        <v>12</v>
      </c>
      <c r="D15302" s="4" t="n">
        <v>10</v>
      </c>
      <c r="E15302" s="4" t="s">
        <v>5469</v>
      </c>
      <c r="F15302" s="4" t="n">
        <v>4</v>
      </c>
      <c r="G15302" s="4" t="n">
        <v>11</v>
      </c>
      <c r="H15302" s="4" t="n">
        <v>4</v>
      </c>
      <c r="I15302" s="4" t="str">
        <v>×</v>
      </c>
      <c r="J15302" s="4"/>
      <c r="K15302" s="4"/>
      <c r="L15302" s="4"/>
      <c r="M15302" s="7" t="s">
        <v>6871</v>
      </c>
    </row>
    <row r="15303" customFormat="false" ht="15.75" hidden="false" customHeight="false" outlineLevel="0" collapsed="false">
      <c r="A15303" s="6" t="n">
        <f aca="false">DATE(2026,5,9)</f>
        <v>46151</v>
      </c>
      <c r="B15303" s="4" t="s">
        <v>13</v>
      </c>
      <c r="C15303" s="4" t="n">
        <v>12</v>
      </c>
      <c r="D15303" s="4" t="n">
        <v>5</v>
      </c>
      <c r="E15303" s="4" t="s">
        <v>7017</v>
      </c>
      <c r="F15303" s="4" t="n">
        <v>3</v>
      </c>
      <c r="G15303" s="4" t="n">
        <v>12</v>
      </c>
      <c r="H15303" s="4" t="n">
        <v>4</v>
      </c>
      <c r="I15303" s="4" t="str">
        <v>×</v>
      </c>
      <c r="J15303" s="4"/>
      <c r="K15303" s="4"/>
      <c r="L15303" s="4"/>
      <c r="M15303" s="7" t="s">
        <v>6871</v>
      </c>
    </row>
    <row r="15304" customFormat="false" ht="15.75" hidden="false" customHeight="false" outlineLevel="0" collapsed="false">
      <c r="A15304" s="6" t="n">
        <f aca="false">DATE(2026,5,9)</f>
        <v>46151</v>
      </c>
      <c r="B15304" s="4" t="s">
        <v>4473</v>
      </c>
      <c r="C15304" s="4" t="n">
        <v>1</v>
      </c>
      <c r="D15304" s="4" t="n">
        <v>16</v>
      </c>
      <c r="E15304" s="4" t="s">
        <v>3034</v>
      </c>
      <c r="F15304" s="4" t="n">
        <v>67</v>
      </c>
      <c r="G15304" s="4" t="n">
        <v>1</v>
      </c>
      <c r="H15304" s="4" t="n">
        <v>2</v>
      </c>
      <c r="I15304" s="4" t="str">
        <v>○</v>
      </c>
      <c r="J15304" s="4" t="n">
        <v>110</v>
      </c>
      <c r="K15304" s="4"/>
      <c r="L15304" s="4"/>
      <c r="M15304" s="7" t="s">
        <v>6871</v>
      </c>
    </row>
    <row r="15305" customFormat="false" ht="15.75" hidden="false" customHeight="false" outlineLevel="0" collapsed="false">
      <c r="A15305" s="6" t="n">
        <f aca="false">DATE(2026,5,9)</f>
        <v>46151</v>
      </c>
      <c r="B15305" s="4" t="s">
        <v>4473</v>
      </c>
      <c r="C15305" s="4" t="n">
        <v>1</v>
      </c>
      <c r="D15305" s="4" t="n">
        <v>14</v>
      </c>
      <c r="E15305" s="4" t="s">
        <v>529</v>
      </c>
      <c r="F15305" s="4" t="n">
        <v>44</v>
      </c>
      <c r="G15305" s="4" t="n">
        <v>2</v>
      </c>
      <c r="H15305" s="4" t="n">
        <v>1</v>
      </c>
      <c r="I15305" s="4" t="str">
        <v>○</v>
      </c>
      <c r="J15305" s="4" t="n">
        <v>150</v>
      </c>
      <c r="K15305" s="4"/>
      <c r="L15305" s="4"/>
      <c r="M15305" s="7" t="s">
        <v>6871</v>
      </c>
    </row>
    <row r="15306" customFormat="false" ht="15.75" hidden="false" customHeight="false" outlineLevel="0" collapsed="false">
      <c r="A15306" s="6" t="n">
        <f aca="false">DATE(2026,5,9)</f>
        <v>46151</v>
      </c>
      <c r="B15306" s="4" t="s">
        <v>4473</v>
      </c>
      <c r="C15306" s="4" t="n">
        <v>1</v>
      </c>
      <c r="D15306" s="4" t="n">
        <v>8</v>
      </c>
      <c r="E15306" s="4" t="s">
        <v>3036</v>
      </c>
      <c r="F15306" s="4" t="n">
        <v>39</v>
      </c>
      <c r="G15306" s="4" t="n">
        <v>3</v>
      </c>
      <c r="H15306" s="4" t="n">
        <v>3</v>
      </c>
      <c r="I15306" s="4" t="str">
        <v>○</v>
      </c>
      <c r="J15306" s="4" t="n">
        <v>160</v>
      </c>
      <c r="K15306" s="4"/>
      <c r="L15306" s="4"/>
      <c r="M15306" s="7" t="s">
        <v>6871</v>
      </c>
    </row>
    <row r="15307" customFormat="false" ht="15.75" hidden="false" customHeight="false" outlineLevel="0" collapsed="false">
      <c r="A15307" s="6" t="n">
        <f aca="false">DATE(2026,5,9)</f>
        <v>46151</v>
      </c>
      <c r="B15307" s="4" t="s">
        <v>4473</v>
      </c>
      <c r="C15307" s="4" t="n">
        <v>1</v>
      </c>
      <c r="D15307" s="4" t="n">
        <v>3</v>
      </c>
      <c r="E15307" s="4" t="s">
        <v>943</v>
      </c>
      <c r="F15307" s="4" t="n">
        <v>29</v>
      </c>
      <c r="G15307" s="4" t="n">
        <v>4</v>
      </c>
      <c r="H15307" s="4" t="n">
        <v>4</v>
      </c>
      <c r="I15307" s="4" t="str">
        <v>×</v>
      </c>
      <c r="J15307" s="4"/>
      <c r="K15307" s="4"/>
      <c r="L15307" s="4"/>
      <c r="M15307" s="7" t="s">
        <v>6871</v>
      </c>
    </row>
    <row r="15308" customFormat="false" ht="15.75" hidden="false" customHeight="false" outlineLevel="0" collapsed="false">
      <c r="A15308" s="6" t="n">
        <f aca="false">DATE(2026,5,9)</f>
        <v>46151</v>
      </c>
      <c r="B15308" s="4" t="s">
        <v>4473</v>
      </c>
      <c r="C15308" s="4" t="n">
        <v>1</v>
      </c>
      <c r="D15308" s="4" t="n">
        <v>13</v>
      </c>
      <c r="E15308" s="4" t="s">
        <v>5515</v>
      </c>
      <c r="F15308" s="4" t="n">
        <v>29</v>
      </c>
      <c r="G15308" s="4" t="n">
        <v>5</v>
      </c>
      <c r="H15308" s="4" t="n">
        <v>4</v>
      </c>
      <c r="I15308" s="4" t="str">
        <v>×</v>
      </c>
      <c r="J15308" s="4"/>
      <c r="K15308" s="4"/>
      <c r="L15308" s="4"/>
      <c r="M15308" s="7" t="s">
        <v>6871</v>
      </c>
    </row>
    <row r="15309" customFormat="false" ht="15.75" hidden="false" customHeight="false" outlineLevel="0" collapsed="false">
      <c r="A15309" s="6" t="n">
        <f aca="false">DATE(2026,5,9)</f>
        <v>46151</v>
      </c>
      <c r="B15309" s="4" t="s">
        <v>4473</v>
      </c>
      <c r="C15309" s="4" t="n">
        <v>1</v>
      </c>
      <c r="D15309" s="4" t="n">
        <v>4</v>
      </c>
      <c r="E15309" s="4" t="s">
        <v>7018</v>
      </c>
      <c r="F15309" s="4" t="n">
        <v>25</v>
      </c>
      <c r="G15309" s="4" t="n">
        <v>6</v>
      </c>
      <c r="H15309" s="4" t="n">
        <v>4</v>
      </c>
      <c r="I15309" s="4" t="str">
        <v>×</v>
      </c>
      <c r="J15309" s="4"/>
      <c r="K15309" s="4"/>
      <c r="L15309" s="4"/>
      <c r="M15309" s="7" t="s">
        <v>6871</v>
      </c>
    </row>
    <row r="15310" customFormat="false" ht="15.75" hidden="false" customHeight="false" outlineLevel="0" collapsed="false">
      <c r="A15310" s="6" t="n">
        <f aca="false">DATE(2026,5,9)</f>
        <v>46151</v>
      </c>
      <c r="B15310" s="4" t="s">
        <v>4473</v>
      </c>
      <c r="C15310" s="4" t="n">
        <v>1</v>
      </c>
      <c r="D15310" s="4" t="n">
        <v>5</v>
      </c>
      <c r="E15310" s="4" t="s">
        <v>5804</v>
      </c>
      <c r="F15310" s="4" t="n">
        <v>25</v>
      </c>
      <c r="G15310" s="4" t="n">
        <v>7</v>
      </c>
      <c r="H15310" s="4" t="n">
        <v>4</v>
      </c>
      <c r="I15310" s="4" t="str">
        <v>×</v>
      </c>
      <c r="J15310" s="4"/>
      <c r="K15310" s="4"/>
      <c r="L15310" s="4"/>
      <c r="M15310" s="7" t="s">
        <v>6871</v>
      </c>
    </row>
    <row r="15311" customFormat="false" ht="15.75" hidden="false" customHeight="false" outlineLevel="0" collapsed="false">
      <c r="A15311" s="6" t="n">
        <f aca="false">DATE(2026,5,9)</f>
        <v>46151</v>
      </c>
      <c r="B15311" s="4" t="s">
        <v>4473</v>
      </c>
      <c r="C15311" s="4" t="n">
        <v>1</v>
      </c>
      <c r="D15311" s="4" t="n">
        <v>7</v>
      </c>
      <c r="E15311" s="4" t="s">
        <v>4510</v>
      </c>
      <c r="F15311" s="4" t="n">
        <v>20</v>
      </c>
      <c r="G15311" s="4" t="n">
        <v>8</v>
      </c>
      <c r="H15311" s="4" t="n">
        <v>4</v>
      </c>
      <c r="I15311" s="4" t="str">
        <v>×</v>
      </c>
      <c r="J15311" s="4"/>
      <c r="K15311" s="4"/>
      <c r="L15311" s="4"/>
      <c r="M15311" s="7" t="s">
        <v>6871</v>
      </c>
    </row>
    <row r="15312" customFormat="false" ht="15.75" hidden="false" customHeight="false" outlineLevel="0" collapsed="false">
      <c r="A15312" s="6" t="n">
        <f aca="false">DATE(2026,5,9)</f>
        <v>46151</v>
      </c>
      <c r="B15312" s="4" t="s">
        <v>4473</v>
      </c>
      <c r="C15312" s="4" t="n">
        <v>1</v>
      </c>
      <c r="D15312" s="4" t="n">
        <v>2</v>
      </c>
      <c r="E15312" s="4" t="s">
        <v>5349</v>
      </c>
      <c r="F15312" s="4" t="n">
        <v>15</v>
      </c>
      <c r="G15312" s="4" t="n">
        <v>9</v>
      </c>
      <c r="H15312" s="4" t="n">
        <v>4</v>
      </c>
      <c r="I15312" s="4" t="str">
        <v>×</v>
      </c>
      <c r="J15312" s="4"/>
      <c r="K15312" s="4"/>
      <c r="L15312" s="4"/>
      <c r="M15312" s="7" t="s">
        <v>6871</v>
      </c>
    </row>
    <row r="15313" customFormat="false" ht="15.75" hidden="false" customHeight="false" outlineLevel="0" collapsed="false">
      <c r="A15313" s="6" t="n">
        <f aca="false">DATE(2026,5,9)</f>
        <v>46151</v>
      </c>
      <c r="B15313" s="4" t="s">
        <v>4473</v>
      </c>
      <c r="C15313" s="4" t="n">
        <v>1</v>
      </c>
      <c r="D15313" s="4" t="n">
        <v>10</v>
      </c>
      <c r="E15313" s="4" t="s">
        <v>7019</v>
      </c>
      <c r="F15313" s="4" t="n">
        <v>13</v>
      </c>
      <c r="G15313" s="4" t="n">
        <v>10</v>
      </c>
      <c r="H15313" s="4" t="n">
        <v>4</v>
      </c>
      <c r="I15313" s="4" t="str">
        <v>×</v>
      </c>
      <c r="J15313" s="4"/>
      <c r="K15313" s="4"/>
      <c r="L15313" s="4"/>
      <c r="M15313" s="7" t="s">
        <v>6871</v>
      </c>
    </row>
    <row r="15314" customFormat="false" ht="15.75" hidden="false" customHeight="false" outlineLevel="0" collapsed="false">
      <c r="A15314" s="6" t="n">
        <f aca="false">DATE(2026,5,9)</f>
        <v>46151</v>
      </c>
      <c r="B15314" s="4" t="s">
        <v>4473</v>
      </c>
      <c r="C15314" s="4" t="n">
        <v>1</v>
      </c>
      <c r="D15314" s="4" t="n">
        <v>1</v>
      </c>
      <c r="E15314" s="4" t="s">
        <v>7020</v>
      </c>
      <c r="F15314" s="4" t="n">
        <v>10</v>
      </c>
      <c r="G15314" s="4" t="n">
        <v>11</v>
      </c>
      <c r="H15314" s="4" t="n">
        <v>4</v>
      </c>
      <c r="I15314" s="4" t="str">
        <v>×</v>
      </c>
      <c r="J15314" s="4"/>
      <c r="K15314" s="4"/>
      <c r="L15314" s="4"/>
      <c r="M15314" s="7" t="s">
        <v>6871</v>
      </c>
    </row>
    <row r="15315" customFormat="false" ht="15.75" hidden="false" customHeight="false" outlineLevel="0" collapsed="false">
      <c r="A15315" s="6" t="n">
        <f aca="false">DATE(2026,5,9)</f>
        <v>46151</v>
      </c>
      <c r="B15315" s="4" t="s">
        <v>4473</v>
      </c>
      <c r="C15315" s="4" t="n">
        <v>1</v>
      </c>
      <c r="D15315" s="4" t="n">
        <v>12</v>
      </c>
      <c r="E15315" s="4" t="s">
        <v>7021</v>
      </c>
      <c r="F15315" s="4" t="n">
        <v>10</v>
      </c>
      <c r="G15315" s="4" t="n">
        <v>12</v>
      </c>
      <c r="H15315" s="4" t="n">
        <v>4</v>
      </c>
      <c r="I15315" s="4" t="str">
        <v>×</v>
      </c>
      <c r="J15315" s="4"/>
      <c r="K15315" s="4"/>
      <c r="L15315" s="4"/>
      <c r="M15315" s="7" t="s">
        <v>6871</v>
      </c>
    </row>
    <row r="15316" customFormat="false" ht="15.75" hidden="false" customHeight="false" outlineLevel="0" collapsed="false">
      <c r="A15316" s="6" t="n">
        <f aca="false">DATE(2026,5,9)</f>
        <v>46151</v>
      </c>
      <c r="B15316" s="4" t="s">
        <v>4473</v>
      </c>
      <c r="C15316" s="4" t="n">
        <v>1</v>
      </c>
      <c r="D15316" s="4" t="n">
        <v>6</v>
      </c>
      <c r="E15316" s="4" t="s">
        <v>5995</v>
      </c>
      <c r="F15316" s="4" t="n">
        <v>8</v>
      </c>
      <c r="G15316" s="4" t="n">
        <v>13</v>
      </c>
      <c r="H15316" s="4" t="n">
        <v>4</v>
      </c>
      <c r="I15316" s="4" t="str">
        <v>×</v>
      </c>
      <c r="J15316" s="4"/>
      <c r="K15316" s="4"/>
      <c r="L15316" s="4"/>
      <c r="M15316" s="7" t="s">
        <v>6871</v>
      </c>
    </row>
    <row r="15317" customFormat="false" ht="15.75" hidden="false" customHeight="false" outlineLevel="0" collapsed="false">
      <c r="A15317" s="6" t="n">
        <f aca="false">DATE(2026,5,9)</f>
        <v>46151</v>
      </c>
      <c r="B15317" s="4" t="s">
        <v>4473</v>
      </c>
      <c r="C15317" s="4" t="n">
        <v>1</v>
      </c>
      <c r="D15317" s="4" t="n">
        <v>11</v>
      </c>
      <c r="E15317" s="4" t="s">
        <v>7022</v>
      </c>
      <c r="F15317" s="4" t="n">
        <v>8</v>
      </c>
      <c r="G15317" s="4" t="n">
        <v>14</v>
      </c>
      <c r="H15317" s="4" t="n">
        <v>4</v>
      </c>
      <c r="I15317" s="4" t="str">
        <v>×</v>
      </c>
      <c r="J15317" s="4"/>
      <c r="K15317" s="4"/>
      <c r="L15317" s="4"/>
      <c r="M15317" s="7" t="s">
        <v>6871</v>
      </c>
    </row>
    <row r="15318" customFormat="false" ht="15.75" hidden="false" customHeight="false" outlineLevel="0" collapsed="false">
      <c r="A15318" s="6" t="n">
        <f aca="false">DATE(2026,5,9)</f>
        <v>46151</v>
      </c>
      <c r="B15318" s="4" t="s">
        <v>4473</v>
      </c>
      <c r="C15318" s="4" t="n">
        <v>1</v>
      </c>
      <c r="D15318" s="4" t="n">
        <v>15</v>
      </c>
      <c r="E15318" s="4" t="s">
        <v>3358</v>
      </c>
      <c r="F15318" s="4" t="n">
        <v>4</v>
      </c>
      <c r="G15318" s="4" t="n">
        <v>15</v>
      </c>
      <c r="H15318" s="4" t="n">
        <v>4</v>
      </c>
      <c r="I15318" s="4" t="str">
        <v>×</v>
      </c>
      <c r="J15318" s="4"/>
      <c r="K15318" s="4"/>
      <c r="L15318" s="4"/>
      <c r="M15318" s="7" t="s">
        <v>6871</v>
      </c>
    </row>
    <row r="15319" customFormat="false" ht="15.75" hidden="false" customHeight="false" outlineLevel="0" collapsed="false">
      <c r="A15319" s="6" t="n">
        <f aca="false">DATE(2026,5,9)</f>
        <v>46151</v>
      </c>
      <c r="B15319" s="4" t="s">
        <v>4473</v>
      </c>
      <c r="C15319" s="4" t="n">
        <v>1</v>
      </c>
      <c r="D15319" s="4" t="n">
        <v>9</v>
      </c>
      <c r="E15319" s="4" t="s">
        <v>7023</v>
      </c>
      <c r="F15319" s="4" t="n">
        <v>1</v>
      </c>
      <c r="G15319" s="4" t="n">
        <v>16</v>
      </c>
      <c r="H15319" s="4" t="n">
        <v>4</v>
      </c>
      <c r="I15319" s="4" t="str">
        <v>×</v>
      </c>
      <c r="J15319" s="4"/>
      <c r="K15319" s="4"/>
      <c r="L15319" s="4"/>
      <c r="M15319" s="7" t="s">
        <v>6871</v>
      </c>
    </row>
    <row r="15320" customFormat="false" ht="15.75" hidden="false" customHeight="false" outlineLevel="0" collapsed="false">
      <c r="A15320" s="6" t="n">
        <f aca="false">DATE(2026,5,9)</f>
        <v>46151</v>
      </c>
      <c r="B15320" s="4" t="s">
        <v>4473</v>
      </c>
      <c r="C15320" s="4" t="n">
        <v>2</v>
      </c>
      <c r="D15320" s="4" t="n">
        <v>3</v>
      </c>
      <c r="E15320" s="4" t="s">
        <v>1736</v>
      </c>
      <c r="F15320" s="4" t="n">
        <v>56</v>
      </c>
      <c r="G15320" s="4" t="n">
        <v>1</v>
      </c>
      <c r="H15320" s="4" t="n">
        <v>4</v>
      </c>
      <c r="I15320" s="4" t="str">
        <v>×</v>
      </c>
      <c r="J15320" s="4"/>
      <c r="K15320" s="4"/>
      <c r="L15320" s="4"/>
      <c r="M15320" s="7" t="s">
        <v>6871</v>
      </c>
    </row>
    <row r="15321" customFormat="false" ht="15.75" hidden="false" customHeight="false" outlineLevel="0" collapsed="false">
      <c r="A15321" s="6" t="n">
        <f aca="false">DATE(2026,5,9)</f>
        <v>46151</v>
      </c>
      <c r="B15321" s="4" t="s">
        <v>4473</v>
      </c>
      <c r="C15321" s="4" t="n">
        <v>2</v>
      </c>
      <c r="D15321" s="4" t="n">
        <v>10</v>
      </c>
      <c r="E15321" s="4" t="s">
        <v>6745</v>
      </c>
      <c r="F15321" s="4" t="n">
        <v>47</v>
      </c>
      <c r="G15321" s="4" t="n">
        <v>2</v>
      </c>
      <c r="H15321" s="4" t="n">
        <v>4</v>
      </c>
      <c r="I15321" s="4" t="str">
        <v>×</v>
      </c>
      <c r="J15321" s="4"/>
      <c r="K15321" s="4"/>
      <c r="L15321" s="4"/>
      <c r="M15321" s="7" t="s">
        <v>6871</v>
      </c>
    </row>
    <row r="15322" customFormat="false" ht="15.75" hidden="false" customHeight="false" outlineLevel="0" collapsed="false">
      <c r="A15322" s="6" t="n">
        <f aca="false">DATE(2026,5,9)</f>
        <v>46151</v>
      </c>
      <c r="B15322" s="4" t="s">
        <v>4473</v>
      </c>
      <c r="C15322" s="4" t="n">
        <v>2</v>
      </c>
      <c r="D15322" s="4" t="n">
        <v>8</v>
      </c>
      <c r="E15322" s="4" t="s">
        <v>7024</v>
      </c>
      <c r="F15322" s="4" t="n">
        <v>41</v>
      </c>
      <c r="G15322" s="4" t="n">
        <v>3</v>
      </c>
      <c r="H15322" s="4" t="n">
        <v>4</v>
      </c>
      <c r="I15322" s="4" t="str">
        <v>×</v>
      </c>
      <c r="J15322" s="4"/>
      <c r="K15322" s="4"/>
      <c r="L15322" s="4"/>
      <c r="M15322" s="7" t="s">
        <v>6871</v>
      </c>
    </row>
    <row r="15323" customFormat="false" ht="15.75" hidden="false" customHeight="false" outlineLevel="0" collapsed="false">
      <c r="A15323" s="6" t="n">
        <f aca="false">DATE(2026,5,9)</f>
        <v>46151</v>
      </c>
      <c r="B15323" s="4" t="s">
        <v>4473</v>
      </c>
      <c r="C15323" s="4" t="n">
        <v>2</v>
      </c>
      <c r="D15323" s="4" t="n">
        <v>2</v>
      </c>
      <c r="E15323" s="4" t="s">
        <v>7025</v>
      </c>
      <c r="F15323" s="4" t="n">
        <v>31</v>
      </c>
      <c r="G15323" s="4" t="n">
        <v>4</v>
      </c>
      <c r="H15323" s="4" t="n">
        <v>4</v>
      </c>
      <c r="I15323" s="4" t="str">
        <v>×</v>
      </c>
      <c r="J15323" s="4"/>
      <c r="K15323" s="4"/>
      <c r="L15323" s="4"/>
      <c r="M15323" s="7" t="s">
        <v>6871</v>
      </c>
    </row>
    <row r="15324" customFormat="false" ht="15.75" hidden="false" customHeight="false" outlineLevel="0" collapsed="false">
      <c r="A15324" s="6" t="n">
        <f aca="false">DATE(2026,5,9)</f>
        <v>46151</v>
      </c>
      <c r="B15324" s="4" t="s">
        <v>4473</v>
      </c>
      <c r="C15324" s="4" t="n">
        <v>2</v>
      </c>
      <c r="D15324" s="4" t="n">
        <v>5</v>
      </c>
      <c r="E15324" s="4" t="s">
        <v>1472</v>
      </c>
      <c r="F15324" s="4" t="n">
        <v>31</v>
      </c>
      <c r="G15324" s="4" t="n">
        <v>5</v>
      </c>
      <c r="H15324" s="4" t="n">
        <v>2</v>
      </c>
      <c r="I15324" s="4" t="str">
        <v>○</v>
      </c>
      <c r="J15324" s="4" t="n">
        <v>300</v>
      </c>
      <c r="K15324" s="4"/>
      <c r="L15324" s="4"/>
      <c r="M15324" s="7" t="s">
        <v>6871</v>
      </c>
    </row>
    <row r="15325" customFormat="false" ht="15.75" hidden="false" customHeight="false" outlineLevel="0" collapsed="false">
      <c r="A15325" s="6" t="n">
        <f aca="false">DATE(2026,5,9)</f>
        <v>46151</v>
      </c>
      <c r="B15325" s="4" t="s">
        <v>4473</v>
      </c>
      <c r="C15325" s="4" t="n">
        <v>2</v>
      </c>
      <c r="D15325" s="4" t="n">
        <v>1</v>
      </c>
      <c r="E15325" s="4" t="s">
        <v>4685</v>
      </c>
      <c r="F15325" s="4" t="n">
        <v>20</v>
      </c>
      <c r="G15325" s="4" t="n">
        <v>6</v>
      </c>
      <c r="H15325" s="4" t="n">
        <v>4</v>
      </c>
      <c r="I15325" s="4" t="str">
        <v>×</v>
      </c>
      <c r="J15325" s="4"/>
      <c r="K15325" s="4"/>
      <c r="L15325" s="4"/>
      <c r="M15325" s="7" t="s">
        <v>6871</v>
      </c>
    </row>
    <row r="15326" customFormat="false" ht="15.75" hidden="false" customHeight="false" outlineLevel="0" collapsed="false">
      <c r="A15326" s="6" t="n">
        <f aca="false">DATE(2026,5,9)</f>
        <v>46151</v>
      </c>
      <c r="B15326" s="4" t="s">
        <v>4473</v>
      </c>
      <c r="C15326" s="4" t="n">
        <v>2</v>
      </c>
      <c r="D15326" s="4" t="n">
        <v>6</v>
      </c>
      <c r="E15326" s="4" t="s">
        <v>7026</v>
      </c>
      <c r="F15326" s="4" t="n">
        <v>20</v>
      </c>
      <c r="G15326" s="4" t="n">
        <v>7</v>
      </c>
      <c r="H15326" s="4" t="n">
        <v>1</v>
      </c>
      <c r="I15326" s="4" t="str">
        <v>○</v>
      </c>
      <c r="J15326" s="4" t="n">
        <v>340</v>
      </c>
      <c r="K15326" s="4"/>
      <c r="L15326" s="4"/>
      <c r="M15326" s="7" t="s">
        <v>6871</v>
      </c>
    </row>
    <row r="15327" customFormat="false" ht="15.75" hidden="false" customHeight="false" outlineLevel="0" collapsed="false">
      <c r="A15327" s="6" t="n">
        <f aca="false">DATE(2026,5,9)</f>
        <v>46151</v>
      </c>
      <c r="B15327" s="4" t="s">
        <v>4473</v>
      </c>
      <c r="C15327" s="4" t="n">
        <v>2</v>
      </c>
      <c r="D15327" s="4" t="n">
        <v>9</v>
      </c>
      <c r="E15327" s="4" t="s">
        <v>7027</v>
      </c>
      <c r="F15327" s="4" t="n">
        <v>20</v>
      </c>
      <c r="G15327" s="4" t="n">
        <v>8</v>
      </c>
      <c r="H15327" s="4" t="n">
        <v>4</v>
      </c>
      <c r="I15327" s="4" t="str">
        <v>×</v>
      </c>
      <c r="J15327" s="4"/>
      <c r="K15327" s="4"/>
      <c r="L15327" s="4"/>
      <c r="M15327" s="7" t="s">
        <v>6871</v>
      </c>
    </row>
    <row r="15328" customFormat="false" ht="15.75" hidden="false" customHeight="false" outlineLevel="0" collapsed="false">
      <c r="A15328" s="6" t="n">
        <f aca="false">DATE(2026,5,9)</f>
        <v>46151</v>
      </c>
      <c r="B15328" s="4" t="s">
        <v>4473</v>
      </c>
      <c r="C15328" s="4" t="n">
        <v>2</v>
      </c>
      <c r="D15328" s="4" t="n">
        <v>11</v>
      </c>
      <c r="E15328" s="4" t="s">
        <v>5360</v>
      </c>
      <c r="F15328" s="4" t="n">
        <v>20</v>
      </c>
      <c r="G15328" s="4" t="n">
        <v>9</v>
      </c>
      <c r="H15328" s="4" t="n">
        <v>3</v>
      </c>
      <c r="I15328" s="4" t="str">
        <v>○</v>
      </c>
      <c r="J15328" s="4" t="n">
        <v>480</v>
      </c>
      <c r="K15328" s="4"/>
      <c r="L15328" s="4"/>
      <c r="M15328" s="7" t="s">
        <v>6871</v>
      </c>
    </row>
    <row r="15329" customFormat="false" ht="15.75" hidden="false" customHeight="false" outlineLevel="0" collapsed="false">
      <c r="A15329" s="6" t="n">
        <f aca="false">DATE(2026,5,9)</f>
        <v>46151</v>
      </c>
      <c r="B15329" s="4" t="s">
        <v>4473</v>
      </c>
      <c r="C15329" s="4" t="n">
        <v>2</v>
      </c>
      <c r="D15329" s="4" t="n">
        <v>4</v>
      </c>
      <c r="E15329" s="4" t="s">
        <v>7028</v>
      </c>
      <c r="F15329" s="4" t="n">
        <v>6</v>
      </c>
      <c r="G15329" s="4" t="n">
        <v>10</v>
      </c>
      <c r="H15329" s="4" t="n">
        <v>4</v>
      </c>
      <c r="I15329" s="4" t="str">
        <v>×</v>
      </c>
      <c r="J15329" s="4"/>
      <c r="K15329" s="4"/>
      <c r="L15329" s="4"/>
      <c r="M15329" s="7" t="s">
        <v>6871</v>
      </c>
    </row>
    <row r="15330" customFormat="false" ht="15.75" hidden="false" customHeight="false" outlineLevel="0" collapsed="false">
      <c r="A15330" s="6" t="n">
        <f aca="false">DATE(2026,5,9)</f>
        <v>46151</v>
      </c>
      <c r="B15330" s="4" t="s">
        <v>4473</v>
      </c>
      <c r="C15330" s="4" t="n">
        <v>2</v>
      </c>
      <c r="D15330" s="4" t="n">
        <v>7</v>
      </c>
      <c r="E15330" s="4" t="s">
        <v>999</v>
      </c>
      <c r="F15330" s="4" t="n">
        <v>2</v>
      </c>
      <c r="G15330" s="4" t="n">
        <v>11</v>
      </c>
      <c r="H15330" s="4" t="n">
        <v>4</v>
      </c>
      <c r="I15330" s="4" t="str">
        <v>×</v>
      </c>
      <c r="J15330" s="4"/>
      <c r="K15330" s="4"/>
      <c r="L15330" s="4"/>
      <c r="M15330" s="7" t="s">
        <v>6871</v>
      </c>
    </row>
    <row r="15331" customFormat="false" ht="15.75" hidden="false" customHeight="false" outlineLevel="0" collapsed="false">
      <c r="A15331" s="6" t="n">
        <f aca="false">DATE(2026,5,9)</f>
        <v>46151</v>
      </c>
      <c r="B15331" s="4" t="s">
        <v>4473</v>
      </c>
      <c r="C15331" s="4" t="n">
        <v>3</v>
      </c>
      <c r="D15331" s="4" t="n">
        <v>9</v>
      </c>
      <c r="E15331" s="4" t="s">
        <v>5582</v>
      </c>
      <c r="F15331" s="4" t="n">
        <v>67</v>
      </c>
      <c r="G15331" s="4" t="n">
        <v>1</v>
      </c>
      <c r="H15331" s="4" t="n">
        <v>3</v>
      </c>
      <c r="I15331" s="4" t="str">
        <v>○</v>
      </c>
      <c r="J15331" s="4" t="n">
        <v>110</v>
      </c>
      <c r="K15331" s="4"/>
      <c r="L15331" s="4"/>
      <c r="M15331" s="7" t="s">
        <v>6871</v>
      </c>
    </row>
    <row r="15332" customFormat="false" ht="15.75" hidden="false" customHeight="false" outlineLevel="0" collapsed="false">
      <c r="A15332" s="6" t="n">
        <f aca="false">DATE(2026,5,9)</f>
        <v>46151</v>
      </c>
      <c r="B15332" s="4" t="s">
        <v>4473</v>
      </c>
      <c r="C15332" s="4" t="n">
        <v>3</v>
      </c>
      <c r="D15332" s="4" t="n">
        <v>13</v>
      </c>
      <c r="E15332" s="4" t="s">
        <v>6667</v>
      </c>
      <c r="F15332" s="4" t="n">
        <v>66</v>
      </c>
      <c r="G15332" s="4" t="n">
        <v>2</v>
      </c>
      <c r="H15332" s="4" t="n">
        <v>1</v>
      </c>
      <c r="I15332" s="4" t="str">
        <v>○</v>
      </c>
      <c r="J15332" s="4" t="n">
        <v>120</v>
      </c>
      <c r="K15332" s="4"/>
      <c r="L15332" s="4"/>
      <c r="M15332" s="7" t="s">
        <v>6871</v>
      </c>
    </row>
    <row r="15333" customFormat="false" ht="15.75" hidden="false" customHeight="false" outlineLevel="0" collapsed="false">
      <c r="A15333" s="6" t="n">
        <f aca="false">DATE(2026,5,9)</f>
        <v>46151</v>
      </c>
      <c r="B15333" s="4" t="s">
        <v>4473</v>
      </c>
      <c r="C15333" s="4" t="n">
        <v>3</v>
      </c>
      <c r="D15333" s="4" t="n">
        <v>16</v>
      </c>
      <c r="E15333" s="4" t="s">
        <v>3354</v>
      </c>
      <c r="F15333" s="4" t="n">
        <v>44</v>
      </c>
      <c r="G15333" s="4" t="n">
        <v>3</v>
      </c>
      <c r="H15333" s="4" t="n">
        <v>4</v>
      </c>
      <c r="I15333" s="4" t="str">
        <v>×</v>
      </c>
      <c r="J15333" s="4"/>
      <c r="K15333" s="4"/>
      <c r="L15333" s="4"/>
      <c r="M15333" s="7" t="s">
        <v>6871</v>
      </c>
    </row>
    <row r="15334" customFormat="false" ht="15.75" hidden="false" customHeight="false" outlineLevel="0" collapsed="false">
      <c r="A15334" s="6" t="n">
        <f aca="false">DATE(2026,5,9)</f>
        <v>46151</v>
      </c>
      <c r="B15334" s="4" t="s">
        <v>4473</v>
      </c>
      <c r="C15334" s="4" t="n">
        <v>3</v>
      </c>
      <c r="D15334" s="4" t="n">
        <v>6</v>
      </c>
      <c r="E15334" s="4" t="s">
        <v>7029</v>
      </c>
      <c r="F15334" s="4" t="n">
        <v>41</v>
      </c>
      <c r="G15334" s="4" t="n">
        <v>4</v>
      </c>
      <c r="H15334" s="4" t="n">
        <v>2</v>
      </c>
      <c r="I15334" s="4" t="str">
        <v>○</v>
      </c>
      <c r="J15334" s="4" t="n">
        <v>150</v>
      </c>
      <c r="K15334" s="4"/>
      <c r="L15334" s="4"/>
      <c r="M15334" s="7" t="s">
        <v>6871</v>
      </c>
    </row>
    <row r="15335" customFormat="false" ht="15.75" hidden="false" customHeight="false" outlineLevel="0" collapsed="false">
      <c r="A15335" s="6" t="n">
        <f aca="false">DATE(2026,5,9)</f>
        <v>46151</v>
      </c>
      <c r="B15335" s="4" t="s">
        <v>4473</v>
      </c>
      <c r="C15335" s="4" t="n">
        <v>3</v>
      </c>
      <c r="D15335" s="4" t="n">
        <v>15</v>
      </c>
      <c r="E15335" s="4" t="s">
        <v>4498</v>
      </c>
      <c r="F15335" s="4" t="n">
        <v>37</v>
      </c>
      <c r="G15335" s="4" t="n">
        <v>5</v>
      </c>
      <c r="H15335" s="4" t="n">
        <v>4</v>
      </c>
      <c r="I15335" s="4" t="str">
        <v>×</v>
      </c>
      <c r="J15335" s="4"/>
      <c r="K15335" s="4"/>
      <c r="L15335" s="4"/>
      <c r="M15335" s="7" t="s">
        <v>6871</v>
      </c>
    </row>
    <row r="15336" customFormat="false" ht="15.75" hidden="false" customHeight="false" outlineLevel="0" collapsed="false">
      <c r="A15336" s="6" t="n">
        <f aca="false">DATE(2026,5,9)</f>
        <v>46151</v>
      </c>
      <c r="B15336" s="4" t="s">
        <v>4473</v>
      </c>
      <c r="C15336" s="4" t="n">
        <v>3</v>
      </c>
      <c r="D15336" s="4" t="n">
        <v>3</v>
      </c>
      <c r="E15336" s="4" t="s">
        <v>1478</v>
      </c>
      <c r="F15336" s="4" t="n">
        <v>15</v>
      </c>
      <c r="G15336" s="4" t="n">
        <v>6</v>
      </c>
      <c r="H15336" s="4" t="n">
        <v>4</v>
      </c>
      <c r="I15336" s="4" t="str">
        <v>×</v>
      </c>
      <c r="J15336" s="4"/>
      <c r="K15336" s="4"/>
      <c r="L15336" s="4"/>
      <c r="M15336" s="7" t="s">
        <v>6871</v>
      </c>
    </row>
    <row r="15337" customFormat="false" ht="15.75" hidden="false" customHeight="false" outlineLevel="0" collapsed="false">
      <c r="A15337" s="6" t="n">
        <f aca="false">DATE(2026,5,9)</f>
        <v>46151</v>
      </c>
      <c r="B15337" s="4" t="s">
        <v>4473</v>
      </c>
      <c r="C15337" s="4" t="n">
        <v>3</v>
      </c>
      <c r="D15337" s="4" t="n">
        <v>14</v>
      </c>
      <c r="E15337" s="4" t="s">
        <v>4509</v>
      </c>
      <c r="F15337" s="4" t="n">
        <v>10</v>
      </c>
      <c r="G15337" s="4" t="n">
        <v>7</v>
      </c>
      <c r="H15337" s="4" t="n">
        <v>4</v>
      </c>
      <c r="I15337" s="4" t="str">
        <v>×</v>
      </c>
      <c r="J15337" s="4"/>
      <c r="K15337" s="4"/>
      <c r="L15337" s="4"/>
      <c r="M15337" s="7" t="s">
        <v>6871</v>
      </c>
    </row>
    <row r="15338" customFormat="false" ht="15.75" hidden="false" customHeight="false" outlineLevel="0" collapsed="false">
      <c r="A15338" s="6" t="n">
        <f aca="false">DATE(2026,5,9)</f>
        <v>46151</v>
      </c>
      <c r="B15338" s="4" t="s">
        <v>4473</v>
      </c>
      <c r="C15338" s="4" t="n">
        <v>3</v>
      </c>
      <c r="D15338" s="4" t="n">
        <v>5</v>
      </c>
      <c r="E15338" s="4" t="s">
        <v>7030</v>
      </c>
      <c r="F15338" s="4" t="n">
        <v>8</v>
      </c>
      <c r="G15338" s="4" t="n">
        <v>8</v>
      </c>
      <c r="H15338" s="4" t="n">
        <v>4</v>
      </c>
      <c r="I15338" s="4" t="str">
        <v>×</v>
      </c>
      <c r="J15338" s="4"/>
      <c r="K15338" s="4"/>
      <c r="L15338" s="4"/>
      <c r="M15338" s="7" t="s">
        <v>6871</v>
      </c>
    </row>
    <row r="15339" customFormat="false" ht="15.75" hidden="false" customHeight="false" outlineLevel="0" collapsed="false">
      <c r="A15339" s="6" t="n">
        <f aca="false">DATE(2026,5,9)</f>
        <v>46151</v>
      </c>
      <c r="B15339" s="4" t="s">
        <v>4473</v>
      </c>
      <c r="C15339" s="4" t="n">
        <v>3</v>
      </c>
      <c r="D15339" s="4" t="n">
        <v>12</v>
      </c>
      <c r="E15339" s="4" t="s">
        <v>4901</v>
      </c>
      <c r="F15339" s="4" t="n">
        <v>8</v>
      </c>
      <c r="G15339" s="4" t="n">
        <v>9</v>
      </c>
      <c r="H15339" s="4" t="n">
        <v>4</v>
      </c>
      <c r="I15339" s="4" t="str">
        <v>×</v>
      </c>
      <c r="J15339" s="4"/>
      <c r="K15339" s="4"/>
      <c r="L15339" s="4"/>
      <c r="M15339" s="7" t="s">
        <v>6871</v>
      </c>
    </row>
    <row r="15340" customFormat="false" ht="15.75" hidden="false" customHeight="false" outlineLevel="0" collapsed="false">
      <c r="A15340" s="6" t="n">
        <f aca="false">DATE(2026,5,9)</f>
        <v>46151</v>
      </c>
      <c r="B15340" s="4" t="s">
        <v>4473</v>
      </c>
      <c r="C15340" s="4" t="n">
        <v>3</v>
      </c>
      <c r="D15340" s="4" t="n">
        <v>4</v>
      </c>
      <c r="E15340" s="4" t="s">
        <v>1006</v>
      </c>
      <c r="F15340" s="4" t="n">
        <v>6</v>
      </c>
      <c r="G15340" s="4" t="n">
        <v>10</v>
      </c>
      <c r="H15340" s="4" t="n">
        <v>4</v>
      </c>
      <c r="I15340" s="4" t="str">
        <v>×</v>
      </c>
      <c r="J15340" s="4"/>
      <c r="K15340" s="4"/>
      <c r="L15340" s="4"/>
      <c r="M15340" s="7" t="s">
        <v>6871</v>
      </c>
    </row>
    <row r="15341" customFormat="false" ht="15.75" hidden="false" customHeight="false" outlineLevel="0" collapsed="false">
      <c r="A15341" s="6" t="n">
        <f aca="false">DATE(2026,5,9)</f>
        <v>46151</v>
      </c>
      <c r="B15341" s="4" t="s">
        <v>4473</v>
      </c>
      <c r="C15341" s="4" t="n">
        <v>3</v>
      </c>
      <c r="D15341" s="4" t="n">
        <v>1</v>
      </c>
      <c r="E15341" s="4" t="s">
        <v>1259</v>
      </c>
      <c r="F15341" s="4" t="n">
        <v>4</v>
      </c>
      <c r="G15341" s="4" t="n">
        <v>11</v>
      </c>
      <c r="H15341" s="4" t="n">
        <v>4</v>
      </c>
      <c r="I15341" s="4" t="str">
        <v>×</v>
      </c>
      <c r="J15341" s="4"/>
      <c r="K15341" s="4"/>
      <c r="L15341" s="4"/>
      <c r="M15341" s="7" t="s">
        <v>6871</v>
      </c>
    </row>
    <row r="15342" customFormat="false" ht="15.75" hidden="false" customHeight="false" outlineLevel="0" collapsed="false">
      <c r="A15342" s="6" t="n">
        <f aca="false">DATE(2026,5,9)</f>
        <v>46151</v>
      </c>
      <c r="B15342" s="4" t="s">
        <v>4473</v>
      </c>
      <c r="C15342" s="4" t="n">
        <v>3</v>
      </c>
      <c r="D15342" s="4" t="n">
        <v>2</v>
      </c>
      <c r="E15342" s="4" t="s">
        <v>7031</v>
      </c>
      <c r="F15342" s="4" t="n">
        <v>4</v>
      </c>
      <c r="G15342" s="4" t="n">
        <v>12</v>
      </c>
      <c r="H15342" s="4" t="n">
        <v>4</v>
      </c>
      <c r="I15342" s="4" t="str">
        <v>×</v>
      </c>
      <c r="J15342" s="4"/>
      <c r="K15342" s="4"/>
      <c r="L15342" s="4"/>
      <c r="M15342" s="7" t="s">
        <v>6871</v>
      </c>
    </row>
    <row r="15343" customFormat="false" ht="15.75" hidden="false" customHeight="false" outlineLevel="0" collapsed="false">
      <c r="A15343" s="6" t="n">
        <f aca="false">DATE(2026,5,9)</f>
        <v>46151</v>
      </c>
      <c r="B15343" s="4" t="s">
        <v>4473</v>
      </c>
      <c r="C15343" s="4" t="n">
        <v>3</v>
      </c>
      <c r="D15343" s="4" t="n">
        <v>8</v>
      </c>
      <c r="E15343" s="4" t="s">
        <v>131</v>
      </c>
      <c r="F15343" s="4" t="n">
        <v>4</v>
      </c>
      <c r="G15343" s="4" t="n">
        <v>13</v>
      </c>
      <c r="H15343" s="4" t="n">
        <v>4</v>
      </c>
      <c r="I15343" s="4" t="str">
        <v>×</v>
      </c>
      <c r="J15343" s="4"/>
      <c r="K15343" s="4"/>
      <c r="L15343" s="4"/>
      <c r="M15343" s="7" t="s">
        <v>6871</v>
      </c>
    </row>
    <row r="15344" customFormat="false" ht="15.75" hidden="false" customHeight="false" outlineLevel="0" collapsed="false">
      <c r="A15344" s="6" t="n">
        <f aca="false">DATE(2026,5,9)</f>
        <v>46151</v>
      </c>
      <c r="B15344" s="4" t="s">
        <v>4473</v>
      </c>
      <c r="C15344" s="4" t="n">
        <v>3</v>
      </c>
      <c r="D15344" s="4" t="n">
        <v>10</v>
      </c>
      <c r="E15344" s="4" t="s">
        <v>7032</v>
      </c>
      <c r="F15344" s="4" t="n">
        <v>3</v>
      </c>
      <c r="G15344" s="4" t="n">
        <v>14</v>
      </c>
      <c r="H15344" s="4" t="n">
        <v>4</v>
      </c>
      <c r="I15344" s="4" t="str">
        <v>×</v>
      </c>
      <c r="J15344" s="4"/>
      <c r="K15344" s="4"/>
      <c r="L15344" s="4"/>
      <c r="M15344" s="7" t="s">
        <v>6871</v>
      </c>
    </row>
    <row r="15345" customFormat="false" ht="15.75" hidden="false" customHeight="false" outlineLevel="0" collapsed="false">
      <c r="A15345" s="6" t="n">
        <f aca="false">DATE(2026,5,9)</f>
        <v>46151</v>
      </c>
      <c r="B15345" s="4" t="s">
        <v>4473</v>
      </c>
      <c r="C15345" s="4" t="n">
        <v>3</v>
      </c>
      <c r="D15345" s="4" t="n">
        <v>11</v>
      </c>
      <c r="E15345" s="4" t="s">
        <v>5377</v>
      </c>
      <c r="F15345" s="4" t="n">
        <v>3</v>
      </c>
      <c r="G15345" s="4" t="n">
        <v>15</v>
      </c>
      <c r="H15345" s="4" t="n">
        <v>4</v>
      </c>
      <c r="I15345" s="4" t="str">
        <v>×</v>
      </c>
      <c r="J15345" s="4"/>
      <c r="K15345" s="4"/>
      <c r="L15345" s="4"/>
      <c r="M15345" s="7" t="s">
        <v>6871</v>
      </c>
    </row>
    <row r="15346" customFormat="false" ht="15.75" hidden="false" customHeight="false" outlineLevel="0" collapsed="false">
      <c r="A15346" s="6" t="n">
        <f aca="false">DATE(2026,5,9)</f>
        <v>46151</v>
      </c>
      <c r="B15346" s="4" t="s">
        <v>4473</v>
      </c>
      <c r="C15346" s="4" t="n">
        <v>3</v>
      </c>
      <c r="D15346" s="4" t="n">
        <v>7</v>
      </c>
      <c r="E15346" s="4" t="s">
        <v>3035</v>
      </c>
      <c r="F15346" s="4" t="n">
        <v>2</v>
      </c>
      <c r="G15346" s="4" t="n">
        <v>16</v>
      </c>
      <c r="H15346" s="4" t="n">
        <v>4</v>
      </c>
      <c r="I15346" s="4" t="str">
        <v>×</v>
      </c>
      <c r="J15346" s="4"/>
      <c r="K15346" s="4"/>
      <c r="L15346" s="4"/>
      <c r="M15346" s="7" t="s">
        <v>6871</v>
      </c>
    </row>
    <row r="15347" customFormat="false" ht="15.75" hidden="false" customHeight="false" outlineLevel="0" collapsed="false">
      <c r="A15347" s="6" t="n">
        <f aca="false">DATE(2026,5,9)</f>
        <v>46151</v>
      </c>
      <c r="B15347" s="4" t="s">
        <v>4473</v>
      </c>
      <c r="C15347" s="4" t="n">
        <v>4</v>
      </c>
      <c r="D15347" s="4" t="n">
        <v>4</v>
      </c>
      <c r="E15347" s="4" t="s">
        <v>4532</v>
      </c>
      <c r="F15347" s="4" t="n">
        <v>74</v>
      </c>
      <c r="G15347" s="4" t="n">
        <v>1</v>
      </c>
      <c r="H15347" s="4" t="n">
        <v>1</v>
      </c>
      <c r="I15347" s="4" t="str">
        <v>○</v>
      </c>
      <c r="J15347" s="4" t="n">
        <v>110</v>
      </c>
      <c r="K15347" s="4"/>
      <c r="L15347" s="4"/>
      <c r="M15347" s="7" t="s">
        <v>6871</v>
      </c>
    </row>
    <row r="15348" customFormat="false" ht="15.75" hidden="false" customHeight="false" outlineLevel="0" collapsed="false">
      <c r="A15348" s="6" t="n">
        <f aca="false">DATE(2026,5,9)</f>
        <v>46151</v>
      </c>
      <c r="B15348" s="4" t="s">
        <v>4473</v>
      </c>
      <c r="C15348" s="4" t="n">
        <v>4</v>
      </c>
      <c r="D15348" s="4" t="n">
        <v>6</v>
      </c>
      <c r="E15348" s="4" t="s">
        <v>7033</v>
      </c>
      <c r="F15348" s="4" t="n">
        <v>60</v>
      </c>
      <c r="G15348" s="4" t="n">
        <v>2</v>
      </c>
      <c r="H15348" s="4" t="n">
        <v>3</v>
      </c>
      <c r="I15348" s="4" t="str">
        <v>○</v>
      </c>
      <c r="J15348" s="4" t="n">
        <v>110</v>
      </c>
      <c r="K15348" s="4"/>
      <c r="L15348" s="4"/>
      <c r="M15348" s="7" t="s">
        <v>6871</v>
      </c>
    </row>
    <row r="15349" customFormat="false" ht="15.75" hidden="false" customHeight="false" outlineLevel="0" collapsed="false">
      <c r="A15349" s="6" t="n">
        <f aca="false">DATE(2026,5,9)</f>
        <v>46151</v>
      </c>
      <c r="B15349" s="4" t="s">
        <v>4473</v>
      </c>
      <c r="C15349" s="4" t="n">
        <v>4</v>
      </c>
      <c r="D15349" s="4" t="n">
        <v>10</v>
      </c>
      <c r="E15349" s="4" t="s">
        <v>4095</v>
      </c>
      <c r="F15349" s="4" t="n">
        <v>29</v>
      </c>
      <c r="G15349" s="4" t="n">
        <v>3</v>
      </c>
      <c r="H15349" s="4" t="n">
        <v>4</v>
      </c>
      <c r="I15349" s="4" t="str">
        <v>×</v>
      </c>
      <c r="J15349" s="4"/>
      <c r="K15349" s="4"/>
      <c r="L15349" s="4"/>
      <c r="M15349" s="7" t="s">
        <v>6871</v>
      </c>
    </row>
    <row r="15350" customFormat="false" ht="15.75" hidden="false" customHeight="false" outlineLevel="0" collapsed="false">
      <c r="A15350" s="6" t="n">
        <f aca="false">DATE(2026,5,9)</f>
        <v>46151</v>
      </c>
      <c r="B15350" s="4" t="s">
        <v>4473</v>
      </c>
      <c r="C15350" s="4" t="n">
        <v>4</v>
      </c>
      <c r="D15350" s="4" t="n">
        <v>8</v>
      </c>
      <c r="E15350" s="4" t="s">
        <v>3801</v>
      </c>
      <c r="F15350" s="4" t="n">
        <v>23</v>
      </c>
      <c r="G15350" s="4" t="n">
        <v>4</v>
      </c>
      <c r="H15350" s="4" t="n">
        <v>4</v>
      </c>
      <c r="I15350" s="4" t="str">
        <v>×</v>
      </c>
      <c r="J15350" s="4"/>
      <c r="K15350" s="4"/>
      <c r="L15350" s="4"/>
      <c r="M15350" s="7" t="s">
        <v>6871</v>
      </c>
    </row>
    <row r="15351" customFormat="false" ht="15.75" hidden="false" customHeight="false" outlineLevel="0" collapsed="false">
      <c r="A15351" s="6" t="n">
        <f aca="false">DATE(2026,5,9)</f>
        <v>46151</v>
      </c>
      <c r="B15351" s="4" t="s">
        <v>4473</v>
      </c>
      <c r="C15351" s="4" t="n">
        <v>4</v>
      </c>
      <c r="D15351" s="4" t="n">
        <v>9</v>
      </c>
      <c r="E15351" s="4" t="s">
        <v>7034</v>
      </c>
      <c r="F15351" s="4" t="n">
        <v>17</v>
      </c>
      <c r="G15351" s="4" t="n">
        <v>5</v>
      </c>
      <c r="H15351" s="4" t="n">
        <v>4</v>
      </c>
      <c r="I15351" s="4" t="str">
        <v>×</v>
      </c>
      <c r="J15351" s="4"/>
      <c r="K15351" s="4"/>
      <c r="L15351" s="4"/>
      <c r="M15351" s="7" t="s">
        <v>6871</v>
      </c>
    </row>
    <row r="15352" customFormat="false" ht="15.75" hidden="false" customHeight="false" outlineLevel="0" collapsed="false">
      <c r="A15352" s="6" t="n">
        <f aca="false">DATE(2026,5,9)</f>
        <v>46151</v>
      </c>
      <c r="B15352" s="4" t="s">
        <v>4473</v>
      </c>
      <c r="C15352" s="4" t="n">
        <v>4</v>
      </c>
      <c r="D15352" s="4" t="n">
        <v>5</v>
      </c>
      <c r="E15352" s="4" t="s">
        <v>1942</v>
      </c>
      <c r="F15352" s="4" t="n">
        <v>13</v>
      </c>
      <c r="G15352" s="4" t="n">
        <v>6</v>
      </c>
      <c r="H15352" s="4" t="n">
        <v>4</v>
      </c>
      <c r="I15352" s="4" t="str">
        <v>×</v>
      </c>
      <c r="J15352" s="4"/>
      <c r="K15352" s="4"/>
      <c r="L15352" s="4"/>
      <c r="M15352" s="7" t="s">
        <v>6871</v>
      </c>
    </row>
    <row r="15353" customFormat="false" ht="15.75" hidden="false" customHeight="false" outlineLevel="0" collapsed="false">
      <c r="A15353" s="6" t="n">
        <f aca="false">DATE(2026,5,9)</f>
        <v>46151</v>
      </c>
      <c r="B15353" s="4" t="s">
        <v>4473</v>
      </c>
      <c r="C15353" s="4" t="n">
        <v>4</v>
      </c>
      <c r="D15353" s="4" t="n">
        <v>2</v>
      </c>
      <c r="E15353" s="4" t="s">
        <v>7035</v>
      </c>
      <c r="F15353" s="4" t="n">
        <v>10</v>
      </c>
      <c r="G15353" s="4" t="n">
        <v>7</v>
      </c>
      <c r="H15353" s="4" t="n">
        <v>4</v>
      </c>
      <c r="I15353" s="4" t="str">
        <v>×</v>
      </c>
      <c r="J15353" s="4"/>
      <c r="K15353" s="4"/>
      <c r="L15353" s="4"/>
      <c r="M15353" s="7" t="s">
        <v>6871</v>
      </c>
    </row>
    <row r="15354" customFormat="false" ht="15.75" hidden="false" customHeight="false" outlineLevel="0" collapsed="false">
      <c r="A15354" s="6" t="n">
        <f aca="false">DATE(2026,5,9)</f>
        <v>46151</v>
      </c>
      <c r="B15354" s="4" t="s">
        <v>4473</v>
      </c>
      <c r="C15354" s="4" t="n">
        <v>4</v>
      </c>
      <c r="D15354" s="4" t="n">
        <v>12</v>
      </c>
      <c r="E15354" s="4" t="s">
        <v>7036</v>
      </c>
      <c r="F15354" s="4" t="n">
        <v>10</v>
      </c>
      <c r="G15354" s="4" t="n">
        <v>8</v>
      </c>
      <c r="H15354" s="4" t="n">
        <v>4</v>
      </c>
      <c r="I15354" s="4" t="str">
        <v>×</v>
      </c>
      <c r="J15354" s="4"/>
      <c r="K15354" s="4"/>
      <c r="L15354" s="4"/>
      <c r="M15354" s="7" t="s">
        <v>6871</v>
      </c>
    </row>
    <row r="15355" customFormat="false" ht="15.75" hidden="false" customHeight="false" outlineLevel="0" collapsed="false">
      <c r="A15355" s="6" t="n">
        <f aca="false">DATE(2026,5,9)</f>
        <v>46151</v>
      </c>
      <c r="B15355" s="4" t="s">
        <v>4473</v>
      </c>
      <c r="C15355" s="4" t="n">
        <v>4</v>
      </c>
      <c r="D15355" s="4" t="n">
        <v>1</v>
      </c>
      <c r="E15355" s="4" t="s">
        <v>7037</v>
      </c>
      <c r="F15355" s="4" t="n">
        <v>8</v>
      </c>
      <c r="G15355" s="4" t="n">
        <v>9</v>
      </c>
      <c r="H15355" s="4" t="n">
        <v>4</v>
      </c>
      <c r="I15355" s="4" t="str">
        <v>×</v>
      </c>
      <c r="J15355" s="4"/>
      <c r="K15355" s="4"/>
      <c r="L15355" s="4"/>
      <c r="M15355" s="7" t="s">
        <v>6871</v>
      </c>
    </row>
    <row r="15356" customFormat="false" ht="15.75" hidden="false" customHeight="false" outlineLevel="0" collapsed="false">
      <c r="A15356" s="6" t="n">
        <f aca="false">DATE(2026,5,9)</f>
        <v>46151</v>
      </c>
      <c r="B15356" s="4" t="s">
        <v>4473</v>
      </c>
      <c r="C15356" s="4" t="n">
        <v>4</v>
      </c>
      <c r="D15356" s="4" t="n">
        <v>3</v>
      </c>
      <c r="E15356" s="4" t="s">
        <v>7038</v>
      </c>
      <c r="F15356" s="4" t="n">
        <v>8</v>
      </c>
      <c r="G15356" s="4" t="n">
        <v>10</v>
      </c>
      <c r="H15356" s="4" t="n">
        <v>2</v>
      </c>
      <c r="I15356" s="4" t="str">
        <v>○</v>
      </c>
      <c r="J15356" s="4" t="n">
        <v>520</v>
      </c>
      <c r="K15356" s="4"/>
      <c r="L15356" s="4"/>
      <c r="M15356" s="7" t="s">
        <v>6871</v>
      </c>
    </row>
    <row r="15357" customFormat="false" ht="15.75" hidden="false" customHeight="false" outlineLevel="0" collapsed="false">
      <c r="A15357" s="6" t="n">
        <f aca="false">DATE(2026,5,9)</f>
        <v>46151</v>
      </c>
      <c r="B15357" s="4" t="s">
        <v>4473</v>
      </c>
      <c r="C15357" s="4" t="n">
        <v>4</v>
      </c>
      <c r="D15357" s="4" t="n">
        <v>7</v>
      </c>
      <c r="E15357" s="4" t="s">
        <v>1394</v>
      </c>
      <c r="F15357" s="4" t="n">
        <v>8</v>
      </c>
      <c r="G15357" s="4" t="n">
        <v>11</v>
      </c>
      <c r="H15357" s="4" t="n">
        <v>4</v>
      </c>
      <c r="I15357" s="4" t="str">
        <v>×</v>
      </c>
      <c r="J15357" s="4"/>
      <c r="K15357" s="4"/>
      <c r="L15357" s="4"/>
      <c r="M15357" s="7" t="s">
        <v>6871</v>
      </c>
    </row>
    <row r="15358" customFormat="false" ht="15.75" hidden="false" customHeight="false" outlineLevel="0" collapsed="false">
      <c r="A15358" s="6" t="n">
        <f aca="false">DATE(2026,5,9)</f>
        <v>46151</v>
      </c>
      <c r="B15358" s="4" t="s">
        <v>4473</v>
      </c>
      <c r="C15358" s="4" t="n">
        <v>4</v>
      </c>
      <c r="D15358" s="4" t="n">
        <v>11</v>
      </c>
      <c r="E15358" s="4" t="s">
        <v>2691</v>
      </c>
      <c r="F15358" s="4" t="n">
        <v>2</v>
      </c>
      <c r="G15358" s="4" t="n">
        <v>12</v>
      </c>
      <c r="H15358" s="4" t="n">
        <v>4</v>
      </c>
      <c r="I15358" s="4" t="str">
        <v>×</v>
      </c>
      <c r="J15358" s="4"/>
      <c r="K15358" s="4"/>
      <c r="L15358" s="4"/>
      <c r="M15358" s="7" t="s">
        <v>6871</v>
      </c>
    </row>
    <row r="15359" customFormat="false" ht="15.75" hidden="false" customHeight="false" outlineLevel="0" collapsed="false">
      <c r="A15359" s="6" t="n">
        <f aca="false">DATE(2026,5,9)</f>
        <v>46151</v>
      </c>
      <c r="B15359" s="4" t="s">
        <v>4473</v>
      </c>
      <c r="C15359" s="4" t="n">
        <v>5</v>
      </c>
      <c r="D15359" s="4" t="n">
        <v>9</v>
      </c>
      <c r="E15359" s="4" t="s">
        <v>1412</v>
      </c>
      <c r="F15359" s="4" t="n">
        <v>67</v>
      </c>
      <c r="G15359" s="4" t="n">
        <v>1</v>
      </c>
      <c r="H15359" s="4" t="n">
        <v>4</v>
      </c>
      <c r="I15359" s="4" t="str">
        <v>×</v>
      </c>
      <c r="J15359" s="4"/>
      <c r="K15359" s="4"/>
      <c r="L15359" s="4"/>
      <c r="M15359" s="7" t="s">
        <v>6871</v>
      </c>
    </row>
    <row r="15360" customFormat="false" ht="15.75" hidden="false" customHeight="false" outlineLevel="0" collapsed="false">
      <c r="A15360" s="6" t="n">
        <f aca="false">DATE(2026,5,9)</f>
        <v>46151</v>
      </c>
      <c r="B15360" s="4" t="s">
        <v>4473</v>
      </c>
      <c r="C15360" s="4" t="n">
        <v>5</v>
      </c>
      <c r="D15360" s="4" t="n">
        <v>1</v>
      </c>
      <c r="E15360" s="4" t="s">
        <v>1290</v>
      </c>
      <c r="F15360" s="4" t="n">
        <v>47</v>
      </c>
      <c r="G15360" s="4" t="n">
        <v>2</v>
      </c>
      <c r="H15360" s="4" t="n">
        <v>4</v>
      </c>
      <c r="I15360" s="4" t="str">
        <v>×</v>
      </c>
      <c r="J15360" s="4"/>
      <c r="K15360" s="4"/>
      <c r="L15360" s="4"/>
      <c r="M15360" s="7" t="s">
        <v>6871</v>
      </c>
    </row>
    <row r="15361" customFormat="false" ht="15.75" hidden="false" customHeight="false" outlineLevel="0" collapsed="false">
      <c r="A15361" s="6" t="n">
        <f aca="false">DATE(2026,5,9)</f>
        <v>46151</v>
      </c>
      <c r="B15361" s="4" t="s">
        <v>4473</v>
      </c>
      <c r="C15361" s="4" t="n">
        <v>5</v>
      </c>
      <c r="D15361" s="4" t="n">
        <v>11</v>
      </c>
      <c r="E15361" s="4" t="s">
        <v>173</v>
      </c>
      <c r="F15361" s="4" t="n">
        <v>47</v>
      </c>
      <c r="G15361" s="4" t="n">
        <v>3</v>
      </c>
      <c r="H15361" s="4" t="n">
        <v>3</v>
      </c>
      <c r="I15361" s="4" t="str">
        <v>○</v>
      </c>
      <c r="J15361" s="4" t="n">
        <v>160</v>
      </c>
      <c r="K15361" s="4"/>
      <c r="L15361" s="4"/>
      <c r="M15361" s="7" t="s">
        <v>6871</v>
      </c>
    </row>
    <row r="15362" customFormat="false" ht="15.75" hidden="false" customHeight="false" outlineLevel="0" collapsed="false">
      <c r="A15362" s="6" t="n">
        <f aca="false">DATE(2026,5,9)</f>
        <v>46151</v>
      </c>
      <c r="B15362" s="4" t="s">
        <v>4473</v>
      </c>
      <c r="C15362" s="4" t="n">
        <v>5</v>
      </c>
      <c r="D15362" s="4" t="n">
        <v>14</v>
      </c>
      <c r="E15362" s="4" t="s">
        <v>4106</v>
      </c>
      <c r="F15362" s="4" t="n">
        <v>37</v>
      </c>
      <c r="G15362" s="4" t="n">
        <v>4</v>
      </c>
      <c r="H15362" s="4" t="n">
        <v>2</v>
      </c>
      <c r="I15362" s="4" t="str">
        <v>○</v>
      </c>
      <c r="J15362" s="4" t="n">
        <v>230</v>
      </c>
      <c r="K15362" s="4"/>
      <c r="L15362" s="4"/>
      <c r="M15362" s="7" t="s">
        <v>6871</v>
      </c>
    </row>
    <row r="15363" customFormat="false" ht="15.75" hidden="false" customHeight="false" outlineLevel="0" collapsed="false">
      <c r="A15363" s="6" t="n">
        <f aca="false">DATE(2026,5,9)</f>
        <v>46151</v>
      </c>
      <c r="B15363" s="4" t="s">
        <v>4473</v>
      </c>
      <c r="C15363" s="4" t="n">
        <v>5</v>
      </c>
      <c r="D15363" s="4" t="n">
        <v>13</v>
      </c>
      <c r="E15363" s="4" t="s">
        <v>4727</v>
      </c>
      <c r="F15363" s="4" t="n">
        <v>31</v>
      </c>
      <c r="G15363" s="4" t="n">
        <v>5</v>
      </c>
      <c r="H15363" s="4" t="n">
        <v>1</v>
      </c>
      <c r="I15363" s="4" t="str">
        <v>○</v>
      </c>
      <c r="J15363" s="4" t="n">
        <v>220</v>
      </c>
      <c r="K15363" s="4"/>
      <c r="L15363" s="4"/>
      <c r="M15363" s="7" t="s">
        <v>6871</v>
      </c>
    </row>
    <row r="15364" customFormat="false" ht="15.75" hidden="false" customHeight="false" outlineLevel="0" collapsed="false">
      <c r="A15364" s="6" t="n">
        <f aca="false">DATE(2026,5,9)</f>
        <v>46151</v>
      </c>
      <c r="B15364" s="4" t="s">
        <v>4473</v>
      </c>
      <c r="C15364" s="4" t="n">
        <v>5</v>
      </c>
      <c r="D15364" s="4" t="n">
        <v>7</v>
      </c>
      <c r="E15364" s="4" t="s">
        <v>3007</v>
      </c>
      <c r="F15364" s="4" t="n">
        <v>29</v>
      </c>
      <c r="G15364" s="4" t="n">
        <v>6</v>
      </c>
      <c r="H15364" s="4" t="n">
        <v>4</v>
      </c>
      <c r="I15364" s="4" t="str">
        <v>×</v>
      </c>
      <c r="J15364" s="4"/>
      <c r="K15364" s="4"/>
      <c r="L15364" s="4"/>
      <c r="M15364" s="7" t="s">
        <v>6871</v>
      </c>
    </row>
    <row r="15365" customFormat="false" ht="15.75" hidden="false" customHeight="false" outlineLevel="0" collapsed="false">
      <c r="A15365" s="6" t="n">
        <f aca="false">DATE(2026,5,9)</f>
        <v>46151</v>
      </c>
      <c r="B15365" s="4" t="s">
        <v>4473</v>
      </c>
      <c r="C15365" s="4" t="n">
        <v>5</v>
      </c>
      <c r="D15365" s="4" t="n">
        <v>4</v>
      </c>
      <c r="E15365" s="4" t="s">
        <v>4098</v>
      </c>
      <c r="F15365" s="4" t="n">
        <v>15</v>
      </c>
      <c r="G15365" s="4" t="n">
        <v>7</v>
      </c>
      <c r="H15365" s="4" t="n">
        <v>4</v>
      </c>
      <c r="I15365" s="4" t="str">
        <v>×</v>
      </c>
      <c r="J15365" s="4"/>
      <c r="K15365" s="4"/>
      <c r="L15365" s="4"/>
      <c r="M15365" s="7" t="s">
        <v>6871</v>
      </c>
    </row>
    <row r="15366" customFormat="false" ht="15.75" hidden="false" customHeight="false" outlineLevel="0" collapsed="false">
      <c r="A15366" s="6" t="n">
        <f aca="false">DATE(2026,5,9)</f>
        <v>46151</v>
      </c>
      <c r="B15366" s="4" t="s">
        <v>4473</v>
      </c>
      <c r="C15366" s="4" t="n">
        <v>5</v>
      </c>
      <c r="D15366" s="4" t="n">
        <v>10</v>
      </c>
      <c r="E15366" s="4" t="s">
        <v>147</v>
      </c>
      <c r="F15366" s="4" t="n">
        <v>10</v>
      </c>
      <c r="G15366" s="4" t="n">
        <v>8</v>
      </c>
      <c r="H15366" s="4" t="n">
        <v>4</v>
      </c>
      <c r="I15366" s="4" t="str">
        <v>×</v>
      </c>
      <c r="J15366" s="4"/>
      <c r="K15366" s="4"/>
      <c r="L15366" s="4"/>
      <c r="M15366" s="7" t="s">
        <v>6871</v>
      </c>
    </row>
    <row r="15367" customFormat="false" ht="15.75" hidden="false" customHeight="false" outlineLevel="0" collapsed="false">
      <c r="A15367" s="6" t="n">
        <f aca="false">DATE(2026,5,9)</f>
        <v>46151</v>
      </c>
      <c r="B15367" s="4" t="s">
        <v>4473</v>
      </c>
      <c r="C15367" s="4" t="n">
        <v>5</v>
      </c>
      <c r="D15367" s="4" t="n">
        <v>12</v>
      </c>
      <c r="E15367" s="4" t="s">
        <v>7039</v>
      </c>
      <c r="F15367" s="4" t="n">
        <v>10</v>
      </c>
      <c r="G15367" s="4" t="n">
        <v>9</v>
      </c>
      <c r="H15367" s="4" t="n">
        <v>4</v>
      </c>
      <c r="I15367" s="4" t="str">
        <v>×</v>
      </c>
      <c r="J15367" s="4"/>
      <c r="K15367" s="4"/>
      <c r="L15367" s="4"/>
      <c r="M15367" s="7" t="s">
        <v>6871</v>
      </c>
    </row>
    <row r="15368" customFormat="false" ht="15.75" hidden="false" customHeight="false" outlineLevel="0" collapsed="false">
      <c r="A15368" s="6" t="n">
        <f aca="false">DATE(2026,5,9)</f>
        <v>46151</v>
      </c>
      <c r="B15368" s="4" t="s">
        <v>4473</v>
      </c>
      <c r="C15368" s="4" t="n">
        <v>5</v>
      </c>
      <c r="D15368" s="4" t="n">
        <v>17</v>
      </c>
      <c r="E15368" s="4" t="s">
        <v>7040</v>
      </c>
      <c r="F15368" s="4" t="n">
        <v>8</v>
      </c>
      <c r="G15368" s="4" t="n">
        <v>10</v>
      </c>
      <c r="H15368" s="4" t="n">
        <v>4</v>
      </c>
      <c r="I15368" s="4" t="str">
        <v>×</v>
      </c>
      <c r="J15368" s="4"/>
      <c r="K15368" s="4"/>
      <c r="L15368" s="4"/>
      <c r="M15368" s="7" t="s">
        <v>6871</v>
      </c>
    </row>
    <row r="15369" customFormat="false" ht="15.75" hidden="false" customHeight="false" outlineLevel="0" collapsed="false">
      <c r="A15369" s="6" t="n">
        <f aca="false">DATE(2026,5,9)</f>
        <v>46151</v>
      </c>
      <c r="B15369" s="4" t="s">
        <v>4473</v>
      </c>
      <c r="C15369" s="4" t="n">
        <v>5</v>
      </c>
      <c r="D15369" s="4" t="n">
        <v>2</v>
      </c>
      <c r="E15369" s="4" t="s">
        <v>3003</v>
      </c>
      <c r="F15369" s="4" t="n">
        <v>6</v>
      </c>
      <c r="G15369" s="4" t="n">
        <v>11</v>
      </c>
      <c r="H15369" s="4" t="n">
        <v>4</v>
      </c>
      <c r="I15369" s="4" t="str">
        <v>×</v>
      </c>
      <c r="J15369" s="4"/>
      <c r="K15369" s="4"/>
      <c r="L15369" s="4"/>
      <c r="M15369" s="7" t="s">
        <v>6871</v>
      </c>
    </row>
    <row r="15370" customFormat="false" ht="15.75" hidden="false" customHeight="false" outlineLevel="0" collapsed="false">
      <c r="A15370" s="6" t="n">
        <f aca="false">DATE(2026,5,9)</f>
        <v>46151</v>
      </c>
      <c r="B15370" s="4" t="s">
        <v>4473</v>
      </c>
      <c r="C15370" s="4" t="n">
        <v>5</v>
      </c>
      <c r="D15370" s="4" t="n">
        <v>6</v>
      </c>
      <c r="E15370" s="4" t="s">
        <v>3020</v>
      </c>
      <c r="F15370" s="4" t="n">
        <v>6</v>
      </c>
      <c r="G15370" s="4" t="n">
        <v>12</v>
      </c>
      <c r="H15370" s="4" t="n">
        <v>4</v>
      </c>
      <c r="I15370" s="4" t="str">
        <v>×</v>
      </c>
      <c r="J15370" s="4"/>
      <c r="K15370" s="4"/>
      <c r="L15370" s="4"/>
      <c r="M15370" s="7" t="s">
        <v>6871</v>
      </c>
    </row>
    <row r="15371" customFormat="false" ht="15.75" hidden="false" customHeight="false" outlineLevel="0" collapsed="false">
      <c r="A15371" s="6" t="n">
        <f aca="false">DATE(2026,5,9)</f>
        <v>46151</v>
      </c>
      <c r="B15371" s="4" t="s">
        <v>4473</v>
      </c>
      <c r="C15371" s="4" t="n">
        <v>5</v>
      </c>
      <c r="D15371" s="4" t="n">
        <v>18</v>
      </c>
      <c r="E15371" s="4" t="s">
        <v>1882</v>
      </c>
      <c r="F15371" s="4" t="n">
        <v>6</v>
      </c>
      <c r="G15371" s="4" t="n">
        <v>13</v>
      </c>
      <c r="H15371" s="4" t="n">
        <v>4</v>
      </c>
      <c r="I15371" s="4" t="str">
        <v>×</v>
      </c>
      <c r="J15371" s="4"/>
      <c r="K15371" s="4"/>
      <c r="L15371" s="4"/>
      <c r="M15371" s="7" t="s">
        <v>6871</v>
      </c>
    </row>
    <row r="15372" customFormat="false" ht="15.75" hidden="false" customHeight="false" outlineLevel="0" collapsed="false">
      <c r="A15372" s="6" t="n">
        <f aca="false">DATE(2026,5,9)</f>
        <v>46151</v>
      </c>
      <c r="B15372" s="4" t="s">
        <v>4473</v>
      </c>
      <c r="C15372" s="4" t="n">
        <v>5</v>
      </c>
      <c r="D15372" s="4" t="n">
        <v>3</v>
      </c>
      <c r="E15372" s="4" t="s">
        <v>7041</v>
      </c>
      <c r="F15372" s="4" t="n">
        <v>4</v>
      </c>
      <c r="G15372" s="4" t="n">
        <v>14</v>
      </c>
      <c r="H15372" s="4" t="n">
        <v>4</v>
      </c>
      <c r="I15372" s="4" t="str">
        <v>×</v>
      </c>
      <c r="J15372" s="4"/>
      <c r="K15372" s="4"/>
      <c r="L15372" s="4"/>
      <c r="M15372" s="7" t="s">
        <v>6871</v>
      </c>
    </row>
    <row r="15373" customFormat="false" ht="15.75" hidden="false" customHeight="false" outlineLevel="0" collapsed="false">
      <c r="A15373" s="6" t="n">
        <f aca="false">DATE(2026,5,9)</f>
        <v>46151</v>
      </c>
      <c r="B15373" s="4" t="s">
        <v>4473</v>
      </c>
      <c r="C15373" s="4" t="n">
        <v>5</v>
      </c>
      <c r="D15373" s="4" t="n">
        <v>16</v>
      </c>
      <c r="E15373" s="4" t="s">
        <v>5095</v>
      </c>
      <c r="F15373" s="4" t="n">
        <v>4</v>
      </c>
      <c r="G15373" s="4" t="n">
        <v>15</v>
      </c>
      <c r="H15373" s="4" t="n">
        <v>4</v>
      </c>
      <c r="I15373" s="4" t="str">
        <v>×</v>
      </c>
      <c r="J15373" s="4"/>
      <c r="K15373" s="4"/>
      <c r="L15373" s="4"/>
      <c r="M15373" s="7" t="s">
        <v>6871</v>
      </c>
    </row>
    <row r="15374" customFormat="false" ht="15.75" hidden="false" customHeight="false" outlineLevel="0" collapsed="false">
      <c r="A15374" s="6" t="n">
        <f aca="false">DATE(2026,5,9)</f>
        <v>46151</v>
      </c>
      <c r="B15374" s="4" t="s">
        <v>4473</v>
      </c>
      <c r="C15374" s="4" t="n">
        <v>5</v>
      </c>
      <c r="D15374" s="4" t="n">
        <v>8</v>
      </c>
      <c r="E15374" s="4" t="s">
        <v>4324</v>
      </c>
      <c r="F15374" s="4" t="n">
        <v>3</v>
      </c>
      <c r="G15374" s="4" t="n">
        <v>16</v>
      </c>
      <c r="H15374" s="4" t="n">
        <v>4</v>
      </c>
      <c r="I15374" s="4" t="str">
        <v>×</v>
      </c>
      <c r="J15374" s="4"/>
      <c r="K15374" s="4"/>
      <c r="L15374" s="4"/>
      <c r="M15374" s="7" t="s">
        <v>6871</v>
      </c>
    </row>
    <row r="15375" customFormat="false" ht="15.75" hidden="false" customHeight="false" outlineLevel="0" collapsed="false">
      <c r="A15375" s="6" t="n">
        <f aca="false">DATE(2026,5,9)</f>
        <v>46151</v>
      </c>
      <c r="B15375" s="4" t="s">
        <v>4473</v>
      </c>
      <c r="C15375" s="4" t="n">
        <v>5</v>
      </c>
      <c r="D15375" s="4" t="n">
        <v>5</v>
      </c>
      <c r="E15375" s="4" t="s">
        <v>7042</v>
      </c>
      <c r="F15375" s="4" t="n">
        <v>2</v>
      </c>
      <c r="G15375" s="4" t="n">
        <v>17</v>
      </c>
      <c r="H15375" s="4" t="n">
        <v>4</v>
      </c>
      <c r="I15375" s="4" t="str">
        <v>×</v>
      </c>
      <c r="J15375" s="4"/>
      <c r="K15375" s="4"/>
      <c r="L15375" s="4"/>
      <c r="M15375" s="7" t="s">
        <v>6871</v>
      </c>
    </row>
    <row r="15376" customFormat="false" ht="15.75" hidden="false" customHeight="false" outlineLevel="0" collapsed="false">
      <c r="A15376" s="6" t="n">
        <f aca="false">DATE(2026,5,9)</f>
        <v>46151</v>
      </c>
      <c r="B15376" s="4" t="s">
        <v>4473</v>
      </c>
      <c r="C15376" s="4" t="n">
        <v>5</v>
      </c>
      <c r="D15376" s="4" t="n">
        <v>15</v>
      </c>
      <c r="E15376" s="4" t="s">
        <v>7043</v>
      </c>
      <c r="F15376" s="4" t="n">
        <v>1</v>
      </c>
      <c r="G15376" s="4" t="n">
        <v>18</v>
      </c>
      <c r="H15376" s="4" t="n">
        <v>4</v>
      </c>
      <c r="I15376" s="4" t="str">
        <v>×</v>
      </c>
      <c r="J15376" s="4"/>
      <c r="K15376" s="4"/>
      <c r="L15376" s="4"/>
      <c r="M15376" s="7" t="s">
        <v>6871</v>
      </c>
    </row>
    <row r="15377" customFormat="false" ht="15.75" hidden="false" customHeight="false" outlineLevel="0" collapsed="false">
      <c r="A15377" s="6" t="n">
        <f aca="false">DATE(2026,5,9)</f>
        <v>46151</v>
      </c>
      <c r="B15377" s="4" t="s">
        <v>4473</v>
      </c>
      <c r="C15377" s="4" t="n">
        <v>6</v>
      </c>
      <c r="D15377" s="4" t="n">
        <v>7</v>
      </c>
      <c r="E15377" s="4" t="s">
        <v>5048</v>
      </c>
      <c r="F15377" s="4" t="n">
        <v>60</v>
      </c>
      <c r="G15377" s="4" t="n">
        <v>1</v>
      </c>
      <c r="H15377" s="4" t="n">
        <v>4</v>
      </c>
      <c r="I15377" s="4" t="str">
        <v>×</v>
      </c>
      <c r="J15377" s="4"/>
      <c r="K15377" s="4"/>
      <c r="L15377" s="4"/>
      <c r="M15377" s="7" t="s">
        <v>6871</v>
      </c>
    </row>
    <row r="15378" customFormat="false" ht="15.75" hidden="false" customHeight="false" outlineLevel="0" collapsed="false">
      <c r="A15378" s="6" t="n">
        <f aca="false">DATE(2026,5,9)</f>
        <v>46151</v>
      </c>
      <c r="B15378" s="4" t="s">
        <v>4473</v>
      </c>
      <c r="C15378" s="4" t="n">
        <v>6</v>
      </c>
      <c r="D15378" s="4" t="n">
        <v>10</v>
      </c>
      <c r="E15378" s="4" t="s">
        <v>863</v>
      </c>
      <c r="F15378" s="4" t="n">
        <v>50</v>
      </c>
      <c r="G15378" s="4" t="n">
        <v>2</v>
      </c>
      <c r="H15378" s="4" t="n">
        <v>4</v>
      </c>
      <c r="I15378" s="4" t="str">
        <v>×</v>
      </c>
      <c r="J15378" s="4"/>
      <c r="K15378" s="4"/>
      <c r="L15378" s="4"/>
      <c r="M15378" s="7" t="s">
        <v>6871</v>
      </c>
    </row>
    <row r="15379" customFormat="false" ht="15.75" hidden="false" customHeight="false" outlineLevel="0" collapsed="false">
      <c r="A15379" s="6" t="n">
        <f aca="false">DATE(2026,5,9)</f>
        <v>46151</v>
      </c>
      <c r="B15379" s="4" t="s">
        <v>4473</v>
      </c>
      <c r="C15379" s="4" t="n">
        <v>6</v>
      </c>
      <c r="D15379" s="4" t="n">
        <v>8</v>
      </c>
      <c r="E15379" s="4" t="s">
        <v>1342</v>
      </c>
      <c r="F15379" s="4" t="n">
        <v>47</v>
      </c>
      <c r="G15379" s="4" t="n">
        <v>3</v>
      </c>
      <c r="H15379" s="4" t="n">
        <v>4</v>
      </c>
      <c r="I15379" s="4" t="str">
        <v>×</v>
      </c>
      <c r="J15379" s="4"/>
      <c r="K15379" s="4"/>
      <c r="L15379" s="4"/>
      <c r="M15379" s="7" t="s">
        <v>6871</v>
      </c>
    </row>
    <row r="15380" customFormat="false" ht="15.75" hidden="false" customHeight="false" outlineLevel="0" collapsed="false">
      <c r="A15380" s="6" t="n">
        <f aca="false">DATE(2026,5,9)</f>
        <v>46151</v>
      </c>
      <c r="B15380" s="4" t="s">
        <v>4473</v>
      </c>
      <c r="C15380" s="4" t="n">
        <v>6</v>
      </c>
      <c r="D15380" s="4" t="n">
        <v>11</v>
      </c>
      <c r="E15380" s="4" t="s">
        <v>3402</v>
      </c>
      <c r="F15380" s="4" t="n">
        <v>34</v>
      </c>
      <c r="G15380" s="4" t="n">
        <v>4</v>
      </c>
      <c r="H15380" s="4" t="n">
        <v>1</v>
      </c>
      <c r="I15380" s="4" t="str">
        <v>○</v>
      </c>
      <c r="J15380" s="4" t="n">
        <v>180</v>
      </c>
      <c r="K15380" s="4"/>
      <c r="L15380" s="4"/>
      <c r="M15380" s="7" t="s">
        <v>6871</v>
      </c>
    </row>
    <row r="15381" customFormat="false" ht="15.75" hidden="false" customHeight="false" outlineLevel="0" collapsed="false">
      <c r="A15381" s="6" t="n">
        <f aca="false">DATE(2026,5,9)</f>
        <v>46151</v>
      </c>
      <c r="B15381" s="4" t="s">
        <v>4473</v>
      </c>
      <c r="C15381" s="4" t="n">
        <v>6</v>
      </c>
      <c r="D15381" s="4" t="n">
        <v>2</v>
      </c>
      <c r="E15381" s="4" t="s">
        <v>7044</v>
      </c>
      <c r="F15381" s="4" t="n">
        <v>29</v>
      </c>
      <c r="G15381" s="4" t="n">
        <v>5</v>
      </c>
      <c r="H15381" s="4" t="n">
        <v>4</v>
      </c>
      <c r="I15381" s="4" t="str">
        <v>×</v>
      </c>
      <c r="J15381" s="4"/>
      <c r="K15381" s="4"/>
      <c r="L15381" s="4"/>
      <c r="M15381" s="7" t="s">
        <v>6871</v>
      </c>
    </row>
    <row r="15382" customFormat="false" ht="15.75" hidden="false" customHeight="false" outlineLevel="0" collapsed="false">
      <c r="A15382" s="6" t="n">
        <f aca="false">DATE(2026,5,9)</f>
        <v>46151</v>
      </c>
      <c r="B15382" s="4" t="s">
        <v>4473</v>
      </c>
      <c r="C15382" s="4" t="n">
        <v>6</v>
      </c>
      <c r="D15382" s="4" t="n">
        <v>12</v>
      </c>
      <c r="E15382" s="4" t="s">
        <v>1488</v>
      </c>
      <c r="F15382" s="4" t="n">
        <v>25</v>
      </c>
      <c r="G15382" s="4" t="n">
        <v>6</v>
      </c>
      <c r="H15382" s="4" t="n">
        <v>3</v>
      </c>
      <c r="I15382" s="4" t="str">
        <v>○</v>
      </c>
      <c r="J15382" s="4" t="n">
        <v>210</v>
      </c>
      <c r="K15382" s="4"/>
      <c r="L15382" s="4"/>
      <c r="M15382" s="7" t="s">
        <v>6871</v>
      </c>
    </row>
    <row r="15383" customFormat="false" ht="15.75" hidden="false" customHeight="false" outlineLevel="0" collapsed="false">
      <c r="A15383" s="6" t="n">
        <f aca="false">DATE(2026,5,9)</f>
        <v>46151</v>
      </c>
      <c r="B15383" s="4" t="s">
        <v>4473</v>
      </c>
      <c r="C15383" s="4" t="n">
        <v>6</v>
      </c>
      <c r="D15383" s="4" t="n">
        <v>1</v>
      </c>
      <c r="E15383" s="4" t="s">
        <v>7045</v>
      </c>
      <c r="F15383" s="4" t="n">
        <v>20</v>
      </c>
      <c r="G15383" s="4" t="n">
        <v>7</v>
      </c>
      <c r="H15383" s="4" t="n">
        <v>4</v>
      </c>
      <c r="I15383" s="4" t="str">
        <v>×</v>
      </c>
      <c r="J15383" s="4"/>
      <c r="K15383" s="4"/>
      <c r="L15383" s="4"/>
      <c r="M15383" s="7" t="s">
        <v>6871</v>
      </c>
    </row>
    <row r="15384" customFormat="false" ht="15.75" hidden="false" customHeight="false" outlineLevel="0" collapsed="false">
      <c r="A15384" s="6" t="n">
        <f aca="false">DATE(2026,5,9)</f>
        <v>46151</v>
      </c>
      <c r="B15384" s="4" t="s">
        <v>4473</v>
      </c>
      <c r="C15384" s="4" t="n">
        <v>6</v>
      </c>
      <c r="D15384" s="4" t="n">
        <v>6</v>
      </c>
      <c r="E15384" s="4" t="s">
        <v>7046</v>
      </c>
      <c r="F15384" s="4" t="n">
        <v>20</v>
      </c>
      <c r="G15384" s="4" t="n">
        <v>8</v>
      </c>
      <c r="H15384" s="4" t="n">
        <v>2</v>
      </c>
      <c r="I15384" s="4" t="str">
        <v>○</v>
      </c>
      <c r="J15384" s="4" t="n">
        <v>690</v>
      </c>
      <c r="K15384" s="4"/>
      <c r="L15384" s="4"/>
      <c r="M15384" s="7" t="s">
        <v>6871</v>
      </c>
    </row>
    <row r="15385" customFormat="false" ht="15.75" hidden="false" customHeight="false" outlineLevel="0" collapsed="false">
      <c r="A15385" s="6" t="n">
        <f aca="false">DATE(2026,5,9)</f>
        <v>46151</v>
      </c>
      <c r="B15385" s="4" t="s">
        <v>4473</v>
      </c>
      <c r="C15385" s="4" t="n">
        <v>6</v>
      </c>
      <c r="D15385" s="4" t="n">
        <v>3</v>
      </c>
      <c r="E15385" s="4" t="s">
        <v>5831</v>
      </c>
      <c r="F15385" s="4" t="n">
        <v>17</v>
      </c>
      <c r="G15385" s="4" t="n">
        <v>9</v>
      </c>
      <c r="H15385" s="4" t="n">
        <v>4</v>
      </c>
      <c r="I15385" s="4" t="str">
        <v>×</v>
      </c>
      <c r="J15385" s="4"/>
      <c r="K15385" s="4"/>
      <c r="L15385" s="4"/>
      <c r="M15385" s="7" t="s">
        <v>6871</v>
      </c>
    </row>
    <row r="15386" customFormat="false" ht="15.75" hidden="false" customHeight="false" outlineLevel="0" collapsed="false">
      <c r="A15386" s="6" t="n">
        <f aca="false">DATE(2026,5,9)</f>
        <v>46151</v>
      </c>
      <c r="B15386" s="4" t="s">
        <v>4473</v>
      </c>
      <c r="C15386" s="4" t="n">
        <v>6</v>
      </c>
      <c r="D15386" s="4" t="n">
        <v>5</v>
      </c>
      <c r="E15386" s="4" t="s">
        <v>4840</v>
      </c>
      <c r="F15386" s="4" t="n">
        <v>17</v>
      </c>
      <c r="G15386" s="4" t="n">
        <v>10</v>
      </c>
      <c r="H15386" s="4" t="n">
        <v>4</v>
      </c>
      <c r="I15386" s="4" t="str">
        <v>×</v>
      </c>
      <c r="J15386" s="4"/>
      <c r="K15386" s="4"/>
      <c r="L15386" s="4"/>
      <c r="M15386" s="7" t="s">
        <v>6871</v>
      </c>
    </row>
    <row r="15387" customFormat="false" ht="15.75" hidden="false" customHeight="false" outlineLevel="0" collapsed="false">
      <c r="A15387" s="6" t="n">
        <f aca="false">DATE(2026,5,9)</f>
        <v>46151</v>
      </c>
      <c r="B15387" s="4" t="s">
        <v>4473</v>
      </c>
      <c r="C15387" s="4" t="n">
        <v>6</v>
      </c>
      <c r="D15387" s="4" t="n">
        <v>4</v>
      </c>
      <c r="E15387" s="4" t="s">
        <v>5834</v>
      </c>
      <c r="F15387" s="4" t="n">
        <v>10</v>
      </c>
      <c r="G15387" s="4" t="n">
        <v>11</v>
      </c>
      <c r="H15387" s="4" t="n">
        <v>4</v>
      </c>
      <c r="I15387" s="4" t="str">
        <v>×</v>
      </c>
      <c r="J15387" s="4"/>
      <c r="K15387" s="4"/>
      <c r="L15387" s="4"/>
      <c r="M15387" s="7" t="s">
        <v>6871</v>
      </c>
    </row>
    <row r="15388" customFormat="false" ht="15.75" hidden="false" customHeight="false" outlineLevel="0" collapsed="false">
      <c r="A15388" s="6" t="n">
        <f aca="false">DATE(2026,5,9)</f>
        <v>46151</v>
      </c>
      <c r="B15388" s="4" t="s">
        <v>4473</v>
      </c>
      <c r="C15388" s="4" t="n">
        <v>6</v>
      </c>
      <c r="D15388" s="4" t="n">
        <v>9</v>
      </c>
      <c r="E15388" s="4" t="s">
        <v>5598</v>
      </c>
      <c r="F15388" s="4" t="n">
        <v>1</v>
      </c>
      <c r="G15388" s="4" t="n">
        <v>12</v>
      </c>
      <c r="H15388" s="4" t="n">
        <v>4</v>
      </c>
      <c r="I15388" s="4" t="str">
        <v>×</v>
      </c>
      <c r="J15388" s="4"/>
      <c r="K15388" s="4"/>
      <c r="L15388" s="4"/>
      <c r="M15388" s="7" t="s">
        <v>6871</v>
      </c>
    </row>
    <row r="15389" customFormat="false" ht="15.75" hidden="false" customHeight="false" outlineLevel="0" collapsed="false">
      <c r="A15389" s="6" t="n">
        <f aca="false">DATE(2026,5,9)</f>
        <v>46151</v>
      </c>
      <c r="B15389" s="4" t="s">
        <v>4473</v>
      </c>
      <c r="C15389" s="4" t="n">
        <v>7</v>
      </c>
      <c r="D15389" s="4" t="n">
        <v>3</v>
      </c>
      <c r="E15389" s="4" t="s">
        <v>7047</v>
      </c>
      <c r="F15389" s="4" t="n">
        <v>71</v>
      </c>
      <c r="G15389" s="4" t="n">
        <v>1</v>
      </c>
      <c r="H15389" s="4" t="n">
        <v>4</v>
      </c>
      <c r="I15389" s="4" t="str">
        <v>×</v>
      </c>
      <c r="J15389" s="4"/>
      <c r="K15389" s="4"/>
      <c r="L15389" s="4"/>
      <c r="M15389" s="7" t="s">
        <v>6871</v>
      </c>
    </row>
    <row r="15390" customFormat="false" ht="15.75" hidden="false" customHeight="false" outlineLevel="0" collapsed="false">
      <c r="A15390" s="6" t="n">
        <f aca="false">DATE(2026,5,9)</f>
        <v>46151</v>
      </c>
      <c r="B15390" s="4" t="s">
        <v>4473</v>
      </c>
      <c r="C15390" s="4" t="n">
        <v>7</v>
      </c>
      <c r="D15390" s="4" t="n">
        <v>14</v>
      </c>
      <c r="E15390" s="4" t="s">
        <v>5793</v>
      </c>
      <c r="F15390" s="4" t="n">
        <v>60</v>
      </c>
      <c r="G15390" s="4" t="n">
        <v>2</v>
      </c>
      <c r="H15390" s="4" t="n">
        <v>2</v>
      </c>
      <c r="I15390" s="4" t="str">
        <v>○</v>
      </c>
      <c r="J15390" s="4" t="n">
        <v>190</v>
      </c>
      <c r="K15390" s="4"/>
      <c r="L15390" s="4"/>
      <c r="M15390" s="7" t="s">
        <v>6871</v>
      </c>
    </row>
    <row r="15391" customFormat="false" ht="15.75" hidden="false" customHeight="false" outlineLevel="0" collapsed="false">
      <c r="A15391" s="6" t="n">
        <f aca="false">DATE(2026,5,9)</f>
        <v>46151</v>
      </c>
      <c r="B15391" s="4" t="s">
        <v>4473</v>
      </c>
      <c r="C15391" s="4" t="n">
        <v>7</v>
      </c>
      <c r="D15391" s="4" t="n">
        <v>9</v>
      </c>
      <c r="E15391" s="4" t="s">
        <v>7048</v>
      </c>
      <c r="F15391" s="4" t="n">
        <v>31</v>
      </c>
      <c r="G15391" s="4" t="n">
        <v>3</v>
      </c>
      <c r="H15391" s="4" t="n">
        <v>4</v>
      </c>
      <c r="I15391" s="4" t="str">
        <v>×</v>
      </c>
      <c r="J15391" s="4"/>
      <c r="K15391" s="4"/>
      <c r="L15391" s="4"/>
      <c r="M15391" s="7" t="s">
        <v>6871</v>
      </c>
    </row>
    <row r="15392" customFormat="false" ht="15.75" hidden="false" customHeight="false" outlineLevel="0" collapsed="false">
      <c r="A15392" s="6" t="n">
        <f aca="false">DATE(2026,5,9)</f>
        <v>46151</v>
      </c>
      <c r="B15392" s="4" t="s">
        <v>4473</v>
      </c>
      <c r="C15392" s="4" t="n">
        <v>7</v>
      </c>
      <c r="D15392" s="4" t="n">
        <v>1</v>
      </c>
      <c r="E15392" s="4" t="s">
        <v>2627</v>
      </c>
      <c r="F15392" s="4" t="n">
        <v>15</v>
      </c>
      <c r="G15392" s="4" t="n">
        <v>4</v>
      </c>
      <c r="H15392" s="4" t="n">
        <v>4</v>
      </c>
      <c r="I15392" s="4" t="str">
        <v>×</v>
      </c>
      <c r="J15392" s="4"/>
      <c r="K15392" s="4"/>
      <c r="L15392" s="4"/>
      <c r="M15392" s="7" t="s">
        <v>6871</v>
      </c>
    </row>
    <row r="15393" customFormat="false" ht="15.75" hidden="false" customHeight="false" outlineLevel="0" collapsed="false">
      <c r="A15393" s="6" t="n">
        <f aca="false">DATE(2026,5,9)</f>
        <v>46151</v>
      </c>
      <c r="B15393" s="4" t="s">
        <v>4473</v>
      </c>
      <c r="C15393" s="4" t="n">
        <v>7</v>
      </c>
      <c r="D15393" s="4" t="n">
        <v>8</v>
      </c>
      <c r="E15393" s="4" t="s">
        <v>5172</v>
      </c>
      <c r="F15393" s="4" t="n">
        <v>15</v>
      </c>
      <c r="G15393" s="4" t="n">
        <v>5</v>
      </c>
      <c r="H15393" s="4" t="n">
        <v>4</v>
      </c>
      <c r="I15393" s="4" t="str">
        <v>×</v>
      </c>
      <c r="J15393" s="4"/>
      <c r="K15393" s="4"/>
      <c r="L15393" s="4"/>
      <c r="M15393" s="7" t="s">
        <v>6871</v>
      </c>
    </row>
    <row r="15394" customFormat="false" ht="15.75" hidden="false" customHeight="false" outlineLevel="0" collapsed="false">
      <c r="A15394" s="6" t="n">
        <f aca="false">DATE(2026,5,9)</f>
        <v>46151</v>
      </c>
      <c r="B15394" s="4" t="s">
        <v>4473</v>
      </c>
      <c r="C15394" s="4" t="n">
        <v>7</v>
      </c>
      <c r="D15394" s="4" t="n">
        <v>10</v>
      </c>
      <c r="E15394" s="4" t="s">
        <v>7049</v>
      </c>
      <c r="F15394" s="4" t="n">
        <v>15</v>
      </c>
      <c r="G15394" s="4" t="n">
        <v>6</v>
      </c>
      <c r="H15394" s="4" t="n">
        <v>1</v>
      </c>
      <c r="I15394" s="4" t="str">
        <v>○</v>
      </c>
      <c r="J15394" s="4" t="n">
        <v>650</v>
      </c>
      <c r="K15394" s="4"/>
      <c r="L15394" s="4"/>
      <c r="M15394" s="7" t="s">
        <v>6871</v>
      </c>
    </row>
    <row r="15395" customFormat="false" ht="15.75" hidden="false" customHeight="false" outlineLevel="0" collapsed="false">
      <c r="A15395" s="6" t="n">
        <f aca="false">DATE(2026,5,9)</f>
        <v>46151</v>
      </c>
      <c r="B15395" s="4" t="s">
        <v>4473</v>
      </c>
      <c r="C15395" s="4" t="n">
        <v>7</v>
      </c>
      <c r="D15395" s="4" t="n">
        <v>13</v>
      </c>
      <c r="E15395" s="4" t="s">
        <v>7050</v>
      </c>
      <c r="F15395" s="4" t="n">
        <v>15</v>
      </c>
      <c r="G15395" s="4" t="n">
        <v>7</v>
      </c>
      <c r="H15395" s="4" t="n">
        <v>4</v>
      </c>
      <c r="I15395" s="4" t="str">
        <v>×</v>
      </c>
      <c r="J15395" s="4"/>
      <c r="K15395" s="4"/>
      <c r="L15395" s="4"/>
      <c r="M15395" s="7" t="s">
        <v>6871</v>
      </c>
    </row>
    <row r="15396" customFormat="false" ht="15.75" hidden="false" customHeight="false" outlineLevel="0" collapsed="false">
      <c r="A15396" s="6" t="n">
        <f aca="false">DATE(2026,5,9)</f>
        <v>46151</v>
      </c>
      <c r="B15396" s="4" t="s">
        <v>4473</v>
      </c>
      <c r="C15396" s="4" t="n">
        <v>7</v>
      </c>
      <c r="D15396" s="4" t="n">
        <v>7</v>
      </c>
      <c r="E15396" s="4" t="s">
        <v>7051</v>
      </c>
      <c r="F15396" s="4" t="n">
        <v>13</v>
      </c>
      <c r="G15396" s="4" t="n">
        <v>8</v>
      </c>
      <c r="H15396" s="4" t="n">
        <v>4</v>
      </c>
      <c r="I15396" s="4" t="str">
        <v>×</v>
      </c>
      <c r="J15396" s="4"/>
      <c r="K15396" s="4"/>
      <c r="L15396" s="4"/>
      <c r="M15396" s="7" t="s">
        <v>6871</v>
      </c>
    </row>
    <row r="15397" customFormat="false" ht="15.75" hidden="false" customHeight="false" outlineLevel="0" collapsed="false">
      <c r="A15397" s="6" t="n">
        <f aca="false">DATE(2026,5,9)</f>
        <v>46151</v>
      </c>
      <c r="B15397" s="4" t="s">
        <v>4473</v>
      </c>
      <c r="C15397" s="4" t="n">
        <v>7</v>
      </c>
      <c r="D15397" s="4" t="n">
        <v>4</v>
      </c>
      <c r="E15397" s="4" t="s">
        <v>2629</v>
      </c>
      <c r="F15397" s="4" t="n">
        <v>10</v>
      </c>
      <c r="G15397" s="4" t="n">
        <v>9</v>
      </c>
      <c r="H15397" s="4" t="n">
        <v>4</v>
      </c>
      <c r="I15397" s="4" t="str">
        <v>×</v>
      </c>
      <c r="J15397" s="4"/>
      <c r="K15397" s="4"/>
      <c r="L15397" s="4"/>
      <c r="M15397" s="7" t="s">
        <v>6871</v>
      </c>
    </row>
    <row r="15398" customFormat="false" ht="15.75" hidden="false" customHeight="false" outlineLevel="0" collapsed="false">
      <c r="A15398" s="6" t="n">
        <f aca="false">DATE(2026,5,9)</f>
        <v>46151</v>
      </c>
      <c r="B15398" s="4" t="s">
        <v>4473</v>
      </c>
      <c r="C15398" s="4" t="n">
        <v>7</v>
      </c>
      <c r="D15398" s="4" t="n">
        <v>11</v>
      </c>
      <c r="E15398" s="4" t="s">
        <v>7052</v>
      </c>
      <c r="F15398" s="4" t="n">
        <v>10</v>
      </c>
      <c r="G15398" s="4" t="n">
        <v>10</v>
      </c>
      <c r="H15398" s="4" t="n">
        <v>3</v>
      </c>
      <c r="I15398" s="4" t="str">
        <v>○</v>
      </c>
      <c r="J15398" s="4" t="n">
        <v>780</v>
      </c>
      <c r="K15398" s="4"/>
      <c r="L15398" s="4"/>
      <c r="M15398" s="7" t="s">
        <v>6871</v>
      </c>
    </row>
    <row r="15399" customFormat="false" ht="15.75" hidden="false" customHeight="false" outlineLevel="0" collapsed="false">
      <c r="A15399" s="6" t="n">
        <f aca="false">DATE(2026,5,9)</f>
        <v>46151</v>
      </c>
      <c r="B15399" s="4" t="s">
        <v>4473</v>
      </c>
      <c r="C15399" s="4" t="n">
        <v>7</v>
      </c>
      <c r="D15399" s="4" t="n">
        <v>2</v>
      </c>
      <c r="E15399" s="4" t="s">
        <v>5846</v>
      </c>
      <c r="F15399" s="4" t="n">
        <v>4</v>
      </c>
      <c r="G15399" s="4" t="n">
        <v>11</v>
      </c>
      <c r="H15399" s="4" t="n">
        <v>4</v>
      </c>
      <c r="I15399" s="4" t="str">
        <v>×</v>
      </c>
      <c r="J15399" s="4"/>
      <c r="K15399" s="4"/>
      <c r="L15399" s="4"/>
      <c r="M15399" s="7" t="s">
        <v>6871</v>
      </c>
    </row>
    <row r="15400" customFormat="false" ht="15.75" hidden="false" customHeight="false" outlineLevel="0" collapsed="false">
      <c r="A15400" s="6" t="n">
        <f aca="false">DATE(2026,5,9)</f>
        <v>46151</v>
      </c>
      <c r="B15400" s="4" t="s">
        <v>4473</v>
      </c>
      <c r="C15400" s="4" t="n">
        <v>7</v>
      </c>
      <c r="D15400" s="4" t="n">
        <v>12</v>
      </c>
      <c r="E15400" s="4" t="s">
        <v>7053</v>
      </c>
      <c r="F15400" s="4" t="n">
        <v>4</v>
      </c>
      <c r="G15400" s="4" t="n">
        <v>12</v>
      </c>
      <c r="H15400" s="4" t="n">
        <v>4</v>
      </c>
      <c r="I15400" s="4" t="str">
        <v>×</v>
      </c>
      <c r="J15400" s="4"/>
      <c r="K15400" s="4"/>
      <c r="L15400" s="4"/>
      <c r="M15400" s="7" t="s">
        <v>6871</v>
      </c>
    </row>
    <row r="15401" customFormat="false" ht="15.75" hidden="false" customHeight="false" outlineLevel="0" collapsed="false">
      <c r="A15401" s="6" t="n">
        <f aca="false">DATE(2026,5,9)</f>
        <v>46151</v>
      </c>
      <c r="B15401" s="4" t="s">
        <v>4473</v>
      </c>
      <c r="C15401" s="4" t="n">
        <v>7</v>
      </c>
      <c r="D15401" s="4" t="n">
        <v>5</v>
      </c>
      <c r="E15401" s="4" t="s">
        <v>7054</v>
      </c>
      <c r="F15401" s="4" t="n">
        <v>3</v>
      </c>
      <c r="G15401" s="4" t="n">
        <v>13</v>
      </c>
      <c r="H15401" s="4" t="n">
        <v>4</v>
      </c>
      <c r="I15401" s="4" t="str">
        <v>×</v>
      </c>
      <c r="J15401" s="4"/>
      <c r="K15401" s="4"/>
      <c r="L15401" s="4"/>
      <c r="M15401" s="7" t="s">
        <v>6871</v>
      </c>
    </row>
    <row r="15402" customFormat="false" ht="15.75" hidden="false" customHeight="false" outlineLevel="0" collapsed="false">
      <c r="A15402" s="6" t="n">
        <f aca="false">DATE(2026,5,9)</f>
        <v>46151</v>
      </c>
      <c r="B15402" s="4" t="s">
        <v>4473</v>
      </c>
      <c r="C15402" s="4" t="n">
        <v>7</v>
      </c>
      <c r="D15402" s="4" t="n">
        <v>6</v>
      </c>
      <c r="E15402" s="4" t="s">
        <v>1552</v>
      </c>
      <c r="F15402" s="4" t="n">
        <v>3</v>
      </c>
      <c r="G15402" s="4" t="n">
        <v>14</v>
      </c>
      <c r="H15402" s="4" t="n">
        <v>4</v>
      </c>
      <c r="I15402" s="4" t="str">
        <v>×</v>
      </c>
      <c r="J15402" s="4"/>
      <c r="K15402" s="4"/>
      <c r="L15402" s="4"/>
      <c r="M15402" s="7" t="s">
        <v>6871</v>
      </c>
    </row>
    <row r="15403" customFormat="false" ht="15.75" hidden="false" customHeight="false" outlineLevel="0" collapsed="false">
      <c r="A15403" s="6" t="n">
        <f aca="false">DATE(2026,5,9)</f>
        <v>46151</v>
      </c>
      <c r="B15403" s="4" t="s">
        <v>4473</v>
      </c>
      <c r="C15403" s="4" t="n">
        <v>8</v>
      </c>
      <c r="D15403" s="4" t="n">
        <v>6</v>
      </c>
      <c r="E15403" s="4" t="s">
        <v>4191</v>
      </c>
      <c r="F15403" s="4" t="n">
        <v>81</v>
      </c>
      <c r="G15403" s="4" t="n">
        <v>1</v>
      </c>
      <c r="H15403" s="4" t="n">
        <v>3</v>
      </c>
      <c r="I15403" s="4" t="str">
        <v>○</v>
      </c>
      <c r="J15403" s="4" t="n">
        <v>100</v>
      </c>
      <c r="K15403" s="4"/>
      <c r="L15403" s="4"/>
      <c r="M15403" s="7" t="s">
        <v>6871</v>
      </c>
    </row>
    <row r="15404" customFormat="false" ht="15.75" hidden="false" customHeight="false" outlineLevel="0" collapsed="false">
      <c r="A15404" s="6" t="n">
        <f aca="false">DATE(2026,5,9)</f>
        <v>46151</v>
      </c>
      <c r="B15404" s="4" t="s">
        <v>4473</v>
      </c>
      <c r="C15404" s="4" t="n">
        <v>8</v>
      </c>
      <c r="D15404" s="4" t="n">
        <v>2</v>
      </c>
      <c r="E15404" s="4" t="s">
        <v>7055</v>
      </c>
      <c r="F15404" s="4" t="n">
        <v>62</v>
      </c>
      <c r="G15404" s="4" t="n">
        <v>2</v>
      </c>
      <c r="H15404" s="4" t="n">
        <v>2</v>
      </c>
      <c r="I15404" s="4" t="str">
        <v>○</v>
      </c>
      <c r="J15404" s="4" t="n">
        <v>100</v>
      </c>
      <c r="K15404" s="4"/>
      <c r="L15404" s="4"/>
      <c r="M15404" s="7" t="s">
        <v>6871</v>
      </c>
    </row>
    <row r="15405" customFormat="false" ht="15.75" hidden="false" customHeight="false" outlineLevel="0" collapsed="false">
      <c r="A15405" s="6" t="n">
        <f aca="false">DATE(2026,5,9)</f>
        <v>46151</v>
      </c>
      <c r="B15405" s="4" t="s">
        <v>4473</v>
      </c>
      <c r="C15405" s="4" t="n">
        <v>8</v>
      </c>
      <c r="D15405" s="4" t="n">
        <v>8</v>
      </c>
      <c r="E15405" s="4" t="s">
        <v>7056</v>
      </c>
      <c r="F15405" s="4" t="n">
        <v>34</v>
      </c>
      <c r="G15405" s="4" t="n">
        <v>3</v>
      </c>
      <c r="H15405" s="4" t="n">
        <v>1</v>
      </c>
      <c r="I15405" s="4" t="str">
        <v>○</v>
      </c>
      <c r="J15405" s="4" t="n">
        <v>110</v>
      </c>
      <c r="K15405" s="4"/>
      <c r="L15405" s="4"/>
      <c r="M15405" s="7" t="s">
        <v>6871</v>
      </c>
    </row>
    <row r="15406" customFormat="false" ht="15.75" hidden="false" customHeight="false" outlineLevel="0" collapsed="false">
      <c r="A15406" s="6" t="n">
        <f aca="false">DATE(2026,5,9)</f>
        <v>46151</v>
      </c>
      <c r="B15406" s="4" t="s">
        <v>4473</v>
      </c>
      <c r="C15406" s="4" t="n">
        <v>8</v>
      </c>
      <c r="D15406" s="4" t="n">
        <v>3</v>
      </c>
      <c r="E15406" s="4" t="s">
        <v>1827</v>
      </c>
      <c r="F15406" s="4" t="n">
        <v>23</v>
      </c>
      <c r="G15406" s="4" t="n">
        <v>4</v>
      </c>
      <c r="H15406" s="4" t="n">
        <v>4</v>
      </c>
      <c r="I15406" s="4" t="str">
        <v>×</v>
      </c>
      <c r="J15406" s="4"/>
      <c r="K15406" s="4"/>
      <c r="L15406" s="4"/>
      <c r="M15406" s="7" t="s">
        <v>6871</v>
      </c>
    </row>
    <row r="15407" customFormat="false" ht="15.75" hidden="false" customHeight="false" outlineLevel="0" collapsed="false">
      <c r="A15407" s="6" t="n">
        <f aca="false">DATE(2026,5,9)</f>
        <v>46151</v>
      </c>
      <c r="B15407" s="4" t="s">
        <v>4473</v>
      </c>
      <c r="C15407" s="4" t="n">
        <v>8</v>
      </c>
      <c r="D15407" s="4" t="n">
        <v>5</v>
      </c>
      <c r="E15407" s="4" t="s">
        <v>1486</v>
      </c>
      <c r="F15407" s="4" t="n">
        <v>20</v>
      </c>
      <c r="G15407" s="4" t="n">
        <v>5</v>
      </c>
      <c r="H15407" s="4" t="n">
        <v>4</v>
      </c>
      <c r="I15407" s="4" t="str">
        <v>×</v>
      </c>
      <c r="J15407" s="4"/>
      <c r="K15407" s="4"/>
      <c r="L15407" s="4"/>
      <c r="M15407" s="7" t="s">
        <v>6871</v>
      </c>
    </row>
    <row r="15408" customFormat="false" ht="15.75" hidden="false" customHeight="false" outlineLevel="0" collapsed="false">
      <c r="A15408" s="6" t="n">
        <f aca="false">DATE(2026,5,9)</f>
        <v>46151</v>
      </c>
      <c r="B15408" s="4" t="s">
        <v>4473</v>
      </c>
      <c r="C15408" s="4" t="n">
        <v>8</v>
      </c>
      <c r="D15408" s="4" t="n">
        <v>1</v>
      </c>
      <c r="E15408" s="4" t="s">
        <v>5194</v>
      </c>
      <c r="F15408" s="4" t="n">
        <v>4</v>
      </c>
      <c r="G15408" s="4" t="n">
        <v>6</v>
      </c>
      <c r="H15408" s="4" t="n">
        <v>4</v>
      </c>
      <c r="I15408" s="4" t="str">
        <v>×</v>
      </c>
      <c r="J15408" s="4"/>
      <c r="K15408" s="4"/>
      <c r="L15408" s="4"/>
      <c r="M15408" s="7" t="s">
        <v>6871</v>
      </c>
    </row>
    <row r="15409" customFormat="false" ht="15.75" hidden="false" customHeight="false" outlineLevel="0" collapsed="false">
      <c r="A15409" s="6" t="n">
        <f aca="false">DATE(2026,5,9)</f>
        <v>46151</v>
      </c>
      <c r="B15409" s="4" t="s">
        <v>4473</v>
      </c>
      <c r="C15409" s="4" t="n">
        <v>8</v>
      </c>
      <c r="D15409" s="4" t="n">
        <v>4</v>
      </c>
      <c r="E15409" s="4" t="s">
        <v>5625</v>
      </c>
      <c r="F15409" s="4" t="n">
        <v>2</v>
      </c>
      <c r="G15409" s="4" t="n">
        <v>7</v>
      </c>
      <c r="H15409" s="4" t="n">
        <v>4</v>
      </c>
      <c r="I15409" s="4" t="str">
        <v>×</v>
      </c>
      <c r="J15409" s="4"/>
      <c r="K15409" s="4"/>
      <c r="L15409" s="4"/>
      <c r="M15409" s="7" t="s">
        <v>6871</v>
      </c>
    </row>
    <row r="15410" customFormat="false" ht="15.75" hidden="false" customHeight="false" outlineLevel="0" collapsed="false">
      <c r="A15410" s="6" t="n">
        <f aca="false">DATE(2026,5,9)</f>
        <v>46151</v>
      </c>
      <c r="B15410" s="4" t="s">
        <v>4473</v>
      </c>
      <c r="C15410" s="4" t="n">
        <v>8</v>
      </c>
      <c r="D15410" s="4" t="n">
        <v>7</v>
      </c>
      <c r="E15410" s="4" t="s">
        <v>5472</v>
      </c>
      <c r="F15410" s="4" t="n">
        <v>2</v>
      </c>
      <c r="G15410" s="4" t="n">
        <v>8</v>
      </c>
      <c r="H15410" s="4" t="n">
        <v>4</v>
      </c>
      <c r="I15410" s="4" t="str">
        <v>×</v>
      </c>
      <c r="J15410" s="4"/>
      <c r="K15410" s="4"/>
      <c r="L15410" s="4"/>
      <c r="M15410" s="7" t="s">
        <v>6871</v>
      </c>
    </row>
    <row r="15411" customFormat="false" ht="15.75" hidden="false" customHeight="false" outlineLevel="0" collapsed="false">
      <c r="A15411" s="6" t="n">
        <f aca="false">DATE(2026,5,9)</f>
        <v>46151</v>
      </c>
      <c r="B15411" s="4" t="s">
        <v>4473</v>
      </c>
      <c r="C15411" s="4" t="n">
        <v>9</v>
      </c>
      <c r="D15411" s="4" t="n">
        <v>2</v>
      </c>
      <c r="E15411" s="4" t="s">
        <v>5294</v>
      </c>
      <c r="F15411" s="4" t="n">
        <v>50</v>
      </c>
      <c r="G15411" s="4" t="n">
        <v>1</v>
      </c>
      <c r="H15411" s="4" t="n">
        <v>4</v>
      </c>
      <c r="I15411" s="4" t="str">
        <v>×</v>
      </c>
      <c r="J15411" s="4"/>
      <c r="K15411" s="4"/>
      <c r="L15411" s="4"/>
      <c r="M15411" s="7" t="s">
        <v>6871</v>
      </c>
    </row>
    <row r="15412" customFormat="false" ht="15.75" hidden="false" customHeight="false" outlineLevel="0" collapsed="false">
      <c r="A15412" s="6" t="n">
        <f aca="false">DATE(2026,5,9)</f>
        <v>46151</v>
      </c>
      <c r="B15412" s="4" t="s">
        <v>4473</v>
      </c>
      <c r="C15412" s="4" t="n">
        <v>9</v>
      </c>
      <c r="D15412" s="4" t="n">
        <v>7</v>
      </c>
      <c r="E15412" s="4" t="s">
        <v>547</v>
      </c>
      <c r="F15412" s="4" t="n">
        <v>50</v>
      </c>
      <c r="G15412" s="4" t="n">
        <v>2</v>
      </c>
      <c r="H15412" s="4" t="n">
        <v>1</v>
      </c>
      <c r="I15412" s="4" t="str">
        <v>○</v>
      </c>
      <c r="J15412" s="4" t="n">
        <v>110</v>
      </c>
      <c r="K15412" s="4"/>
      <c r="L15412" s="4"/>
      <c r="M15412" s="7" t="s">
        <v>6871</v>
      </c>
    </row>
    <row r="15413" customFormat="false" ht="15.75" hidden="false" customHeight="false" outlineLevel="0" collapsed="false">
      <c r="A15413" s="6" t="n">
        <f aca="false">DATE(2026,5,9)</f>
        <v>46151</v>
      </c>
      <c r="B15413" s="4" t="s">
        <v>4473</v>
      </c>
      <c r="C15413" s="4" t="n">
        <v>9</v>
      </c>
      <c r="D15413" s="4" t="n">
        <v>8</v>
      </c>
      <c r="E15413" s="4" t="s">
        <v>5296</v>
      </c>
      <c r="F15413" s="4" t="n">
        <v>41</v>
      </c>
      <c r="G15413" s="4" t="n">
        <v>3</v>
      </c>
      <c r="H15413" s="4" t="n">
        <v>2</v>
      </c>
      <c r="I15413" s="4" t="str">
        <v>○</v>
      </c>
      <c r="J15413" s="4" t="n">
        <v>130</v>
      </c>
      <c r="K15413" s="4"/>
      <c r="L15413" s="4"/>
      <c r="M15413" s="7" t="s">
        <v>6871</v>
      </c>
    </row>
    <row r="15414" customFormat="false" ht="15.75" hidden="false" customHeight="false" outlineLevel="0" collapsed="false">
      <c r="A15414" s="6" t="n">
        <f aca="false">DATE(2026,5,9)</f>
        <v>46151</v>
      </c>
      <c r="B15414" s="4" t="s">
        <v>4473</v>
      </c>
      <c r="C15414" s="4" t="n">
        <v>9</v>
      </c>
      <c r="D15414" s="4" t="n">
        <v>3</v>
      </c>
      <c r="E15414" s="4" t="s">
        <v>7057</v>
      </c>
      <c r="F15414" s="4" t="n">
        <v>39</v>
      </c>
      <c r="G15414" s="4" t="n">
        <v>4</v>
      </c>
      <c r="H15414" s="4" t="n">
        <v>3</v>
      </c>
      <c r="I15414" s="4" t="str">
        <v>○</v>
      </c>
      <c r="J15414" s="4" t="n">
        <v>140</v>
      </c>
      <c r="K15414" s="4"/>
      <c r="L15414" s="4"/>
      <c r="M15414" s="7" t="s">
        <v>6871</v>
      </c>
    </row>
    <row r="15415" customFormat="false" ht="15.75" hidden="false" customHeight="false" outlineLevel="0" collapsed="false">
      <c r="A15415" s="6" t="n">
        <f aca="false">DATE(2026,5,9)</f>
        <v>46151</v>
      </c>
      <c r="B15415" s="4" t="s">
        <v>4473</v>
      </c>
      <c r="C15415" s="4" t="n">
        <v>9</v>
      </c>
      <c r="D15415" s="4" t="n">
        <v>12</v>
      </c>
      <c r="E15415" s="4" t="s">
        <v>5297</v>
      </c>
      <c r="F15415" s="4" t="n">
        <v>34</v>
      </c>
      <c r="G15415" s="4" t="n">
        <v>5</v>
      </c>
      <c r="H15415" s="4" t="n">
        <v>4</v>
      </c>
      <c r="I15415" s="4" t="str">
        <v>×</v>
      </c>
      <c r="J15415" s="4"/>
      <c r="K15415" s="4"/>
      <c r="L15415" s="4"/>
      <c r="M15415" s="7" t="s">
        <v>6871</v>
      </c>
    </row>
    <row r="15416" customFormat="false" ht="15.75" hidden="false" customHeight="false" outlineLevel="0" collapsed="false">
      <c r="A15416" s="6" t="n">
        <f aca="false">DATE(2026,5,9)</f>
        <v>46151</v>
      </c>
      <c r="B15416" s="4" t="s">
        <v>4473</v>
      </c>
      <c r="C15416" s="4" t="n">
        <v>9</v>
      </c>
      <c r="D15416" s="4" t="n">
        <v>5</v>
      </c>
      <c r="E15416" s="4" t="s">
        <v>7058</v>
      </c>
      <c r="F15416" s="4" t="n">
        <v>20</v>
      </c>
      <c r="G15416" s="4" t="n">
        <v>6</v>
      </c>
      <c r="H15416" s="4" t="n">
        <v>4</v>
      </c>
      <c r="I15416" s="4" t="str">
        <v>×</v>
      </c>
      <c r="J15416" s="4"/>
      <c r="K15416" s="4"/>
      <c r="L15416" s="4"/>
      <c r="M15416" s="7" t="s">
        <v>6871</v>
      </c>
    </row>
    <row r="15417" customFormat="false" ht="15.75" hidden="false" customHeight="false" outlineLevel="0" collapsed="false">
      <c r="A15417" s="6" t="n">
        <f aca="false">DATE(2026,5,9)</f>
        <v>46151</v>
      </c>
      <c r="B15417" s="4" t="s">
        <v>4473</v>
      </c>
      <c r="C15417" s="4" t="n">
        <v>9</v>
      </c>
      <c r="D15417" s="4" t="n">
        <v>4</v>
      </c>
      <c r="E15417" s="4" t="s">
        <v>7059</v>
      </c>
      <c r="F15417" s="4" t="n">
        <v>13</v>
      </c>
      <c r="G15417" s="4" t="n">
        <v>7</v>
      </c>
      <c r="H15417" s="4" t="n">
        <v>4</v>
      </c>
      <c r="I15417" s="4" t="str">
        <v>×</v>
      </c>
      <c r="J15417" s="4"/>
      <c r="K15417" s="4"/>
      <c r="L15417" s="4"/>
      <c r="M15417" s="7" t="s">
        <v>6871</v>
      </c>
    </row>
    <row r="15418" customFormat="false" ht="15.75" hidden="false" customHeight="false" outlineLevel="0" collapsed="false">
      <c r="A15418" s="6" t="n">
        <f aca="false">DATE(2026,5,9)</f>
        <v>46151</v>
      </c>
      <c r="B15418" s="4" t="s">
        <v>4473</v>
      </c>
      <c r="C15418" s="4" t="n">
        <v>9</v>
      </c>
      <c r="D15418" s="4" t="n">
        <v>11</v>
      </c>
      <c r="E15418" s="4" t="s">
        <v>7060</v>
      </c>
      <c r="F15418" s="4" t="n">
        <v>10</v>
      </c>
      <c r="G15418" s="4" t="n">
        <v>8</v>
      </c>
      <c r="H15418" s="4" t="n">
        <v>4</v>
      </c>
      <c r="I15418" s="4" t="str">
        <v>×</v>
      </c>
      <c r="J15418" s="4"/>
      <c r="K15418" s="4"/>
      <c r="L15418" s="4"/>
      <c r="M15418" s="7" t="s">
        <v>6871</v>
      </c>
    </row>
    <row r="15419" customFormat="false" ht="15.75" hidden="false" customHeight="false" outlineLevel="0" collapsed="false">
      <c r="A15419" s="6" t="n">
        <f aca="false">DATE(2026,5,9)</f>
        <v>46151</v>
      </c>
      <c r="B15419" s="4" t="s">
        <v>4473</v>
      </c>
      <c r="C15419" s="4" t="n">
        <v>9</v>
      </c>
      <c r="D15419" s="4" t="n">
        <v>1</v>
      </c>
      <c r="E15419" s="4" t="s">
        <v>4047</v>
      </c>
      <c r="F15419" s="4" t="n">
        <v>8</v>
      </c>
      <c r="G15419" s="4" t="n">
        <v>9</v>
      </c>
      <c r="H15419" s="4" t="n">
        <v>4</v>
      </c>
      <c r="I15419" s="4" t="str">
        <v>×</v>
      </c>
      <c r="J15419" s="4"/>
      <c r="K15419" s="4"/>
      <c r="L15419" s="4"/>
      <c r="M15419" s="7" t="s">
        <v>6871</v>
      </c>
    </row>
    <row r="15420" customFormat="false" ht="15.75" hidden="false" customHeight="false" outlineLevel="0" collapsed="false">
      <c r="A15420" s="6" t="n">
        <f aca="false">DATE(2026,5,9)</f>
        <v>46151</v>
      </c>
      <c r="B15420" s="4" t="s">
        <v>4473</v>
      </c>
      <c r="C15420" s="4" t="n">
        <v>9</v>
      </c>
      <c r="D15420" s="4" t="n">
        <v>9</v>
      </c>
      <c r="E15420" s="4" t="s">
        <v>1065</v>
      </c>
      <c r="F15420" s="4" t="n">
        <v>8</v>
      </c>
      <c r="G15420" s="4" t="n">
        <v>10</v>
      </c>
      <c r="H15420" s="4" t="n">
        <v>4</v>
      </c>
      <c r="I15420" s="4" t="str">
        <v>×</v>
      </c>
      <c r="J15420" s="4"/>
      <c r="K15420" s="4"/>
      <c r="L15420" s="4"/>
      <c r="M15420" s="7" t="s">
        <v>6871</v>
      </c>
    </row>
    <row r="15421" customFormat="false" ht="15.75" hidden="false" customHeight="false" outlineLevel="0" collapsed="false">
      <c r="A15421" s="6" t="n">
        <f aca="false">DATE(2026,5,9)</f>
        <v>46151</v>
      </c>
      <c r="B15421" s="4" t="s">
        <v>4473</v>
      </c>
      <c r="C15421" s="4" t="n">
        <v>9</v>
      </c>
      <c r="D15421" s="4" t="n">
        <v>10</v>
      </c>
      <c r="E15421" s="4" t="s">
        <v>5630</v>
      </c>
      <c r="F15421" s="4" t="n">
        <v>8</v>
      </c>
      <c r="G15421" s="4" t="n">
        <v>11</v>
      </c>
      <c r="H15421" s="4" t="n">
        <v>4</v>
      </c>
      <c r="I15421" s="4" t="str">
        <v>×</v>
      </c>
      <c r="J15421" s="4"/>
      <c r="K15421" s="4"/>
      <c r="L15421" s="4"/>
      <c r="M15421" s="7" t="s">
        <v>6871</v>
      </c>
    </row>
    <row r="15422" customFormat="false" ht="15.75" hidden="false" customHeight="false" outlineLevel="0" collapsed="false">
      <c r="A15422" s="6" t="n">
        <f aca="false">DATE(2026,5,9)</f>
        <v>46151</v>
      </c>
      <c r="B15422" s="4" t="s">
        <v>4473</v>
      </c>
      <c r="C15422" s="4" t="n">
        <v>9</v>
      </c>
      <c r="D15422" s="4" t="n">
        <v>6</v>
      </c>
      <c r="E15422" s="4" t="s">
        <v>7061</v>
      </c>
      <c r="F15422" s="4" t="n">
        <v>3</v>
      </c>
      <c r="G15422" s="4" t="n">
        <v>12</v>
      </c>
      <c r="H15422" s="4" t="n">
        <v>4</v>
      </c>
      <c r="I15422" s="4" t="str">
        <v>×</v>
      </c>
      <c r="J15422" s="4"/>
      <c r="K15422" s="4"/>
      <c r="L15422" s="4"/>
      <c r="M15422" s="7" t="s">
        <v>6871</v>
      </c>
    </row>
    <row r="15423" customFormat="false" ht="15.75" hidden="false" customHeight="false" outlineLevel="0" collapsed="false">
      <c r="A15423" s="6" t="n">
        <f aca="false">DATE(2026,5,9)</f>
        <v>46151</v>
      </c>
      <c r="B15423" s="4" t="s">
        <v>4473</v>
      </c>
      <c r="C15423" s="4" t="n">
        <v>10</v>
      </c>
      <c r="D15423" s="4" t="n">
        <v>10</v>
      </c>
      <c r="E15423" s="4" t="s">
        <v>7062</v>
      </c>
      <c r="F15423" s="4" t="n">
        <v>60</v>
      </c>
      <c r="G15423" s="4" t="n">
        <v>1</v>
      </c>
      <c r="H15423" s="4" t="n">
        <v>1</v>
      </c>
      <c r="I15423" s="4" t="str">
        <v>○</v>
      </c>
      <c r="J15423" s="4" t="n">
        <v>120</v>
      </c>
      <c r="K15423" s="4"/>
      <c r="L15423" s="4"/>
      <c r="M15423" s="7" t="s">
        <v>6871</v>
      </c>
    </row>
    <row r="15424" customFormat="false" ht="15.75" hidden="false" customHeight="false" outlineLevel="0" collapsed="false">
      <c r="A15424" s="6" t="n">
        <f aca="false">DATE(2026,5,9)</f>
        <v>46151</v>
      </c>
      <c r="B15424" s="4" t="s">
        <v>4473</v>
      </c>
      <c r="C15424" s="4" t="n">
        <v>10</v>
      </c>
      <c r="D15424" s="4" t="n">
        <v>4</v>
      </c>
      <c r="E15424" s="4" t="s">
        <v>4328</v>
      </c>
      <c r="F15424" s="4" t="n">
        <v>56</v>
      </c>
      <c r="G15424" s="4" t="n">
        <v>2</v>
      </c>
      <c r="H15424" s="4" t="n">
        <v>3</v>
      </c>
      <c r="I15424" s="4" t="str">
        <v>○</v>
      </c>
      <c r="J15424" s="4" t="n">
        <v>350</v>
      </c>
      <c r="K15424" s="4"/>
      <c r="L15424" s="4"/>
      <c r="M15424" s="7" t="s">
        <v>6871</v>
      </c>
    </row>
    <row r="15425" customFormat="false" ht="15.75" hidden="false" customHeight="false" outlineLevel="0" collapsed="false">
      <c r="A15425" s="6" t="n">
        <f aca="false">DATE(2026,5,9)</f>
        <v>46151</v>
      </c>
      <c r="B15425" s="4" t="s">
        <v>4473</v>
      </c>
      <c r="C15425" s="4" t="n">
        <v>10</v>
      </c>
      <c r="D15425" s="4" t="n">
        <v>2</v>
      </c>
      <c r="E15425" s="4" t="s">
        <v>4779</v>
      </c>
      <c r="F15425" s="4" t="n">
        <v>47</v>
      </c>
      <c r="G15425" s="4" t="n">
        <v>3</v>
      </c>
      <c r="H15425" s="4" t="n">
        <v>2</v>
      </c>
      <c r="I15425" s="4" t="str">
        <v>○</v>
      </c>
      <c r="J15425" s="4" t="n">
        <v>120</v>
      </c>
      <c r="K15425" s="4"/>
      <c r="L15425" s="4"/>
      <c r="M15425" s="7" t="s">
        <v>6871</v>
      </c>
    </row>
    <row r="15426" customFormat="false" ht="15.75" hidden="false" customHeight="false" outlineLevel="0" collapsed="false">
      <c r="A15426" s="6" t="n">
        <f aca="false">DATE(2026,5,9)</f>
        <v>46151</v>
      </c>
      <c r="B15426" s="4" t="s">
        <v>4473</v>
      </c>
      <c r="C15426" s="4" t="n">
        <v>10</v>
      </c>
      <c r="D15426" s="4" t="n">
        <v>12</v>
      </c>
      <c r="E15426" s="4" t="s">
        <v>7063</v>
      </c>
      <c r="F15426" s="4" t="n">
        <v>31</v>
      </c>
      <c r="G15426" s="4" t="n">
        <v>4</v>
      </c>
      <c r="H15426" s="4" t="n">
        <v>4</v>
      </c>
      <c r="I15426" s="4" t="str">
        <v>×</v>
      </c>
      <c r="J15426" s="4"/>
      <c r="K15426" s="4"/>
      <c r="L15426" s="4"/>
      <c r="M15426" s="7" t="s">
        <v>6871</v>
      </c>
    </row>
    <row r="15427" customFormat="false" ht="15.75" hidden="false" customHeight="false" outlineLevel="0" collapsed="false">
      <c r="A15427" s="6" t="n">
        <f aca="false">DATE(2026,5,9)</f>
        <v>46151</v>
      </c>
      <c r="B15427" s="4" t="s">
        <v>4473</v>
      </c>
      <c r="C15427" s="4" t="n">
        <v>10</v>
      </c>
      <c r="D15427" s="4" t="n">
        <v>7</v>
      </c>
      <c r="E15427" s="4" t="s">
        <v>7064</v>
      </c>
      <c r="F15427" s="4" t="n">
        <v>29</v>
      </c>
      <c r="G15427" s="4" t="n">
        <v>5</v>
      </c>
      <c r="H15427" s="4" t="n">
        <v>4</v>
      </c>
      <c r="I15427" s="4" t="str">
        <v>×</v>
      </c>
      <c r="J15427" s="4"/>
      <c r="K15427" s="4"/>
      <c r="L15427" s="4"/>
      <c r="M15427" s="7" t="s">
        <v>6871</v>
      </c>
    </row>
    <row r="15428" customFormat="false" ht="15.75" hidden="false" customHeight="false" outlineLevel="0" collapsed="false">
      <c r="A15428" s="6" t="n">
        <f aca="false">DATE(2026,5,9)</f>
        <v>46151</v>
      </c>
      <c r="B15428" s="4" t="s">
        <v>4473</v>
      </c>
      <c r="C15428" s="4" t="n">
        <v>10</v>
      </c>
      <c r="D15428" s="4" t="n">
        <v>11</v>
      </c>
      <c r="E15428" s="4" t="s">
        <v>4329</v>
      </c>
      <c r="F15428" s="4" t="n">
        <v>25</v>
      </c>
      <c r="G15428" s="4" t="n">
        <v>6</v>
      </c>
      <c r="H15428" s="4" t="n">
        <v>4</v>
      </c>
      <c r="I15428" s="4" t="str">
        <v>×</v>
      </c>
      <c r="J15428" s="4"/>
      <c r="K15428" s="4"/>
      <c r="L15428" s="4"/>
      <c r="M15428" s="7" t="s">
        <v>6871</v>
      </c>
    </row>
    <row r="15429" customFormat="false" ht="15.75" hidden="false" customHeight="false" outlineLevel="0" collapsed="false">
      <c r="A15429" s="6" t="n">
        <f aca="false">DATE(2026,5,9)</f>
        <v>46151</v>
      </c>
      <c r="B15429" s="4" t="s">
        <v>4473</v>
      </c>
      <c r="C15429" s="4" t="n">
        <v>10</v>
      </c>
      <c r="D15429" s="4" t="n">
        <v>1</v>
      </c>
      <c r="E15429" s="4" t="s">
        <v>2521</v>
      </c>
      <c r="F15429" s="4" t="n">
        <v>20</v>
      </c>
      <c r="G15429" s="4" t="n">
        <v>7</v>
      </c>
      <c r="H15429" s="4" t="n">
        <v>4</v>
      </c>
      <c r="I15429" s="4" t="str">
        <v>×</v>
      </c>
      <c r="J15429" s="4"/>
      <c r="K15429" s="4"/>
      <c r="L15429" s="4"/>
      <c r="M15429" s="7" t="s">
        <v>6871</v>
      </c>
    </row>
    <row r="15430" customFormat="false" ht="15.75" hidden="false" customHeight="false" outlineLevel="0" collapsed="false">
      <c r="A15430" s="6" t="n">
        <f aca="false">DATE(2026,5,9)</f>
        <v>46151</v>
      </c>
      <c r="B15430" s="4" t="s">
        <v>4473</v>
      </c>
      <c r="C15430" s="4" t="n">
        <v>10</v>
      </c>
      <c r="D15430" s="4" t="n">
        <v>13</v>
      </c>
      <c r="E15430" s="4" t="s">
        <v>883</v>
      </c>
      <c r="F15430" s="4" t="n">
        <v>20</v>
      </c>
      <c r="G15430" s="4" t="n">
        <v>8</v>
      </c>
      <c r="H15430" s="4" t="n">
        <v>4</v>
      </c>
      <c r="I15430" s="4" t="str">
        <v>×</v>
      </c>
      <c r="J15430" s="4"/>
      <c r="K15430" s="4"/>
      <c r="L15430" s="4"/>
      <c r="M15430" s="7" t="s">
        <v>6871</v>
      </c>
    </row>
    <row r="15431" customFormat="false" ht="15.75" hidden="false" customHeight="false" outlineLevel="0" collapsed="false">
      <c r="A15431" s="6" t="n">
        <f aca="false">DATE(2026,5,9)</f>
        <v>46151</v>
      </c>
      <c r="B15431" s="4" t="s">
        <v>4473</v>
      </c>
      <c r="C15431" s="4" t="n">
        <v>10</v>
      </c>
      <c r="D15431" s="4" t="n">
        <v>8</v>
      </c>
      <c r="E15431" s="4" t="s">
        <v>2015</v>
      </c>
      <c r="F15431" s="4" t="n">
        <v>13</v>
      </c>
      <c r="G15431" s="4" t="n">
        <v>9</v>
      </c>
      <c r="H15431" s="4" t="n">
        <v>4</v>
      </c>
      <c r="I15431" s="4" t="str">
        <v>×</v>
      </c>
      <c r="J15431" s="4"/>
      <c r="K15431" s="4"/>
      <c r="L15431" s="4"/>
      <c r="M15431" s="7" t="s">
        <v>6871</v>
      </c>
    </row>
    <row r="15432" customFormat="false" ht="15.75" hidden="false" customHeight="false" outlineLevel="0" collapsed="false">
      <c r="A15432" s="6" t="n">
        <f aca="false">DATE(2026,5,9)</f>
        <v>46151</v>
      </c>
      <c r="B15432" s="4" t="s">
        <v>4473</v>
      </c>
      <c r="C15432" s="4" t="n">
        <v>10</v>
      </c>
      <c r="D15432" s="4" t="n">
        <v>3</v>
      </c>
      <c r="E15432" s="4" t="s">
        <v>1509</v>
      </c>
      <c r="F15432" s="4" t="n">
        <v>10</v>
      </c>
      <c r="G15432" s="4" t="n">
        <v>10</v>
      </c>
      <c r="H15432" s="4" t="n">
        <v>4</v>
      </c>
      <c r="I15432" s="4" t="str">
        <v>×</v>
      </c>
      <c r="J15432" s="4"/>
      <c r="K15432" s="4"/>
      <c r="L15432" s="4"/>
      <c r="M15432" s="7" t="s">
        <v>6871</v>
      </c>
    </row>
    <row r="15433" customFormat="false" ht="15.75" hidden="false" customHeight="false" outlineLevel="0" collapsed="false">
      <c r="A15433" s="6" t="n">
        <f aca="false">DATE(2026,5,9)</f>
        <v>46151</v>
      </c>
      <c r="B15433" s="4" t="s">
        <v>4473</v>
      </c>
      <c r="C15433" s="4" t="n">
        <v>10</v>
      </c>
      <c r="D15433" s="4" t="n">
        <v>5</v>
      </c>
      <c r="E15433" s="4" t="s">
        <v>7065</v>
      </c>
      <c r="F15433" s="4" t="n">
        <v>10</v>
      </c>
      <c r="G15433" s="4" t="n">
        <v>11</v>
      </c>
      <c r="H15433" s="4" t="n">
        <v>4</v>
      </c>
      <c r="I15433" s="4" t="str">
        <v>×</v>
      </c>
      <c r="J15433" s="4"/>
      <c r="K15433" s="4"/>
      <c r="L15433" s="4"/>
      <c r="M15433" s="7" t="s">
        <v>6871</v>
      </c>
    </row>
    <row r="15434" customFormat="false" ht="15.75" hidden="false" customHeight="false" outlineLevel="0" collapsed="false">
      <c r="A15434" s="6" t="n">
        <f aca="false">DATE(2026,5,9)</f>
        <v>46151</v>
      </c>
      <c r="B15434" s="4" t="s">
        <v>4473</v>
      </c>
      <c r="C15434" s="4" t="n">
        <v>10</v>
      </c>
      <c r="D15434" s="4" t="n">
        <v>14</v>
      </c>
      <c r="E15434" s="4" t="s">
        <v>7066</v>
      </c>
      <c r="F15434" s="4" t="n">
        <v>8</v>
      </c>
      <c r="G15434" s="4" t="n">
        <v>12</v>
      </c>
      <c r="H15434" s="4" t="n">
        <v>4</v>
      </c>
      <c r="I15434" s="4" t="str">
        <v>×</v>
      </c>
      <c r="J15434" s="4"/>
      <c r="K15434" s="4"/>
      <c r="L15434" s="4"/>
      <c r="M15434" s="7" t="s">
        <v>6871</v>
      </c>
    </row>
    <row r="15435" customFormat="false" ht="15.75" hidden="false" customHeight="false" outlineLevel="0" collapsed="false">
      <c r="A15435" s="6" t="n">
        <f aca="false">DATE(2026,5,9)</f>
        <v>46151</v>
      </c>
      <c r="B15435" s="4" t="s">
        <v>4473</v>
      </c>
      <c r="C15435" s="4" t="n">
        <v>10</v>
      </c>
      <c r="D15435" s="4" t="n">
        <v>15</v>
      </c>
      <c r="E15435" s="4" t="s">
        <v>3827</v>
      </c>
      <c r="F15435" s="4" t="n">
        <v>3</v>
      </c>
      <c r="G15435" s="4" t="n">
        <v>13</v>
      </c>
      <c r="H15435" s="4" t="n">
        <v>4</v>
      </c>
      <c r="I15435" s="4" t="str">
        <v>×</v>
      </c>
      <c r="J15435" s="4"/>
      <c r="K15435" s="4"/>
      <c r="L15435" s="4"/>
      <c r="M15435" s="7" t="s">
        <v>6871</v>
      </c>
    </row>
    <row r="15436" customFormat="false" ht="15.75" hidden="false" customHeight="false" outlineLevel="0" collapsed="false">
      <c r="A15436" s="6" t="n">
        <f aca="false">DATE(2026,5,9)</f>
        <v>46151</v>
      </c>
      <c r="B15436" s="4" t="s">
        <v>4473</v>
      </c>
      <c r="C15436" s="4" t="n">
        <v>10</v>
      </c>
      <c r="D15436" s="4" t="n">
        <v>6</v>
      </c>
      <c r="E15436" s="4" t="s">
        <v>2766</v>
      </c>
      <c r="F15436" s="4" t="n">
        <v>1</v>
      </c>
      <c r="G15436" s="4" t="n">
        <v>14</v>
      </c>
      <c r="H15436" s="4" t="n">
        <v>4</v>
      </c>
      <c r="I15436" s="4" t="str">
        <v>×</v>
      </c>
      <c r="J15436" s="4"/>
      <c r="K15436" s="4"/>
      <c r="L15436" s="4"/>
      <c r="M15436" s="7" t="s">
        <v>6871</v>
      </c>
    </row>
    <row r="15437" customFormat="false" ht="15.75" hidden="false" customHeight="false" outlineLevel="0" collapsed="false">
      <c r="A15437" s="6" t="n">
        <f aca="false">DATE(2026,5,9)</f>
        <v>46151</v>
      </c>
      <c r="B15437" s="4" t="s">
        <v>4473</v>
      </c>
      <c r="C15437" s="4" t="n">
        <v>10</v>
      </c>
      <c r="D15437" s="4" t="n">
        <v>9</v>
      </c>
      <c r="E15437" s="4" t="s">
        <v>7067</v>
      </c>
      <c r="F15437" s="4" t="n">
        <v>1</v>
      </c>
      <c r="G15437" s="4" t="n">
        <v>15</v>
      </c>
      <c r="H15437" s="4" t="n">
        <v>4</v>
      </c>
      <c r="I15437" s="4" t="str">
        <v>×</v>
      </c>
      <c r="J15437" s="4"/>
      <c r="K15437" s="4"/>
      <c r="L15437" s="4"/>
      <c r="M15437" s="7" t="s">
        <v>6871</v>
      </c>
    </row>
    <row r="15438" customFormat="false" ht="15.75" hidden="false" customHeight="false" outlineLevel="0" collapsed="false">
      <c r="A15438" s="6" t="n">
        <f aca="false">DATE(2026,5,9)</f>
        <v>46151</v>
      </c>
      <c r="B15438" s="4" t="s">
        <v>4473</v>
      </c>
      <c r="C15438" s="4" t="n">
        <v>11</v>
      </c>
      <c r="D15438" s="4" t="n">
        <v>14</v>
      </c>
      <c r="E15438" s="4" t="s">
        <v>6868</v>
      </c>
      <c r="F15438" s="4" t="n">
        <v>56</v>
      </c>
      <c r="G15438" s="4" t="n">
        <v>1</v>
      </c>
      <c r="H15438" s="4" t="n">
        <v>4</v>
      </c>
      <c r="I15438" s="4" t="str">
        <v>×</v>
      </c>
      <c r="J15438" s="4"/>
      <c r="K15438" s="4"/>
      <c r="L15438" s="4"/>
      <c r="M15438" s="7" t="s">
        <v>6871</v>
      </c>
    </row>
    <row r="15439" customFormat="false" ht="15.75" hidden="false" customHeight="false" outlineLevel="0" collapsed="false">
      <c r="A15439" s="6" t="n">
        <f aca="false">DATE(2026,5,9)</f>
        <v>46151</v>
      </c>
      <c r="B15439" s="4" t="s">
        <v>4473</v>
      </c>
      <c r="C15439" s="4" t="n">
        <v>11</v>
      </c>
      <c r="D15439" s="4" t="n">
        <v>11</v>
      </c>
      <c r="E15439" s="4" t="s">
        <v>4771</v>
      </c>
      <c r="F15439" s="4" t="n">
        <v>47</v>
      </c>
      <c r="G15439" s="4" t="n">
        <v>2</v>
      </c>
      <c r="H15439" s="4" t="n">
        <v>1</v>
      </c>
      <c r="I15439" s="4" t="str">
        <v>○</v>
      </c>
      <c r="J15439" s="4" t="n">
        <v>190</v>
      </c>
      <c r="K15439" s="4"/>
      <c r="L15439" s="4"/>
      <c r="M15439" s="7" t="s">
        <v>6871</v>
      </c>
    </row>
    <row r="15440" customFormat="false" ht="15.75" hidden="false" customHeight="false" outlineLevel="0" collapsed="false">
      <c r="A15440" s="6" t="n">
        <f aca="false">DATE(2026,5,9)</f>
        <v>46151</v>
      </c>
      <c r="B15440" s="4" t="s">
        <v>4473</v>
      </c>
      <c r="C15440" s="4" t="n">
        <v>11</v>
      </c>
      <c r="D15440" s="4" t="n">
        <v>2</v>
      </c>
      <c r="E15440" s="4" t="s">
        <v>7068</v>
      </c>
      <c r="F15440" s="4" t="n">
        <v>37</v>
      </c>
      <c r="G15440" s="4" t="n">
        <v>3</v>
      </c>
      <c r="H15440" s="4" t="n">
        <v>4</v>
      </c>
      <c r="I15440" s="4" t="str">
        <v>×</v>
      </c>
      <c r="J15440" s="4"/>
      <c r="K15440" s="4"/>
      <c r="L15440" s="4"/>
      <c r="M15440" s="7" t="s">
        <v>6871</v>
      </c>
    </row>
    <row r="15441" customFormat="false" ht="15.75" hidden="false" customHeight="false" outlineLevel="0" collapsed="false">
      <c r="A15441" s="6" t="n">
        <f aca="false">DATE(2026,5,9)</f>
        <v>46151</v>
      </c>
      <c r="B15441" s="4" t="s">
        <v>4473</v>
      </c>
      <c r="C15441" s="4" t="n">
        <v>11</v>
      </c>
      <c r="D15441" s="4" t="n">
        <v>8</v>
      </c>
      <c r="E15441" s="4" t="s">
        <v>2661</v>
      </c>
      <c r="F15441" s="4" t="n">
        <v>31</v>
      </c>
      <c r="G15441" s="4" t="n">
        <v>4</v>
      </c>
      <c r="H15441" s="4" t="n">
        <v>4</v>
      </c>
      <c r="I15441" s="4" t="str">
        <v>×</v>
      </c>
      <c r="J15441" s="4"/>
      <c r="K15441" s="4"/>
      <c r="L15441" s="4"/>
      <c r="M15441" s="7" t="s">
        <v>6871</v>
      </c>
    </row>
    <row r="15442" customFormat="false" ht="15.75" hidden="false" customHeight="false" outlineLevel="0" collapsed="false">
      <c r="A15442" s="6" t="n">
        <f aca="false">DATE(2026,5,9)</f>
        <v>46151</v>
      </c>
      <c r="B15442" s="4" t="s">
        <v>4473</v>
      </c>
      <c r="C15442" s="4" t="n">
        <v>11</v>
      </c>
      <c r="D15442" s="4" t="n">
        <v>1</v>
      </c>
      <c r="E15442" s="4" t="s">
        <v>3557</v>
      </c>
      <c r="F15442" s="4" t="n">
        <v>29</v>
      </c>
      <c r="G15442" s="4" t="n">
        <v>5</v>
      </c>
      <c r="H15442" s="4" t="n">
        <v>4</v>
      </c>
      <c r="I15442" s="4" t="str">
        <v>×</v>
      </c>
      <c r="J15442" s="4"/>
      <c r="K15442" s="4"/>
      <c r="L15442" s="4"/>
      <c r="M15442" s="7" t="s">
        <v>6871</v>
      </c>
    </row>
    <row r="15443" customFormat="false" ht="15.75" hidden="false" customHeight="false" outlineLevel="0" collapsed="false">
      <c r="A15443" s="6" t="n">
        <f aca="false">DATE(2026,5,9)</f>
        <v>46151</v>
      </c>
      <c r="B15443" s="4" t="s">
        <v>4473</v>
      </c>
      <c r="C15443" s="4" t="n">
        <v>11</v>
      </c>
      <c r="D15443" s="4" t="n">
        <v>4</v>
      </c>
      <c r="E15443" s="4" t="s">
        <v>2403</v>
      </c>
      <c r="F15443" s="4" t="n">
        <v>25</v>
      </c>
      <c r="G15443" s="4" t="n">
        <v>6</v>
      </c>
      <c r="H15443" s="4" t="n">
        <v>4</v>
      </c>
      <c r="I15443" s="4" t="str">
        <v>×</v>
      </c>
      <c r="J15443" s="4"/>
      <c r="K15443" s="4"/>
      <c r="L15443" s="4"/>
      <c r="M15443" s="7" t="s">
        <v>6871</v>
      </c>
    </row>
    <row r="15444" customFormat="false" ht="15.75" hidden="false" customHeight="false" outlineLevel="0" collapsed="false">
      <c r="A15444" s="6" t="n">
        <f aca="false">DATE(2026,5,9)</f>
        <v>46151</v>
      </c>
      <c r="B15444" s="4" t="s">
        <v>4473</v>
      </c>
      <c r="C15444" s="4" t="n">
        <v>11</v>
      </c>
      <c r="D15444" s="4" t="n">
        <v>6</v>
      </c>
      <c r="E15444" s="4" t="s">
        <v>3552</v>
      </c>
      <c r="F15444" s="4" t="n">
        <v>25</v>
      </c>
      <c r="G15444" s="4" t="n">
        <v>7</v>
      </c>
      <c r="H15444" s="4" t="n">
        <v>4</v>
      </c>
      <c r="I15444" s="4" t="str">
        <v>×</v>
      </c>
      <c r="J15444" s="4"/>
      <c r="K15444" s="4"/>
      <c r="L15444" s="4"/>
      <c r="M15444" s="7" t="s">
        <v>6871</v>
      </c>
    </row>
    <row r="15445" customFormat="false" ht="15.75" hidden="false" customHeight="false" outlineLevel="0" collapsed="false">
      <c r="A15445" s="6" t="n">
        <f aca="false">DATE(2026,5,9)</f>
        <v>46151</v>
      </c>
      <c r="B15445" s="4" t="s">
        <v>4473</v>
      </c>
      <c r="C15445" s="4" t="n">
        <v>11</v>
      </c>
      <c r="D15445" s="4" t="n">
        <v>10</v>
      </c>
      <c r="E15445" s="4" t="s">
        <v>2409</v>
      </c>
      <c r="F15445" s="4" t="n">
        <v>25</v>
      </c>
      <c r="G15445" s="4" t="n">
        <v>8</v>
      </c>
      <c r="H15445" s="4" t="n">
        <v>4</v>
      </c>
      <c r="I15445" s="4" t="str">
        <v>×</v>
      </c>
      <c r="J15445" s="4"/>
      <c r="K15445" s="4"/>
      <c r="L15445" s="4"/>
      <c r="M15445" s="7" t="s">
        <v>6871</v>
      </c>
    </row>
    <row r="15446" customFormat="false" ht="15.75" hidden="false" customHeight="false" outlineLevel="0" collapsed="false">
      <c r="A15446" s="6" t="n">
        <f aca="false">DATE(2026,5,9)</f>
        <v>46151</v>
      </c>
      <c r="B15446" s="4" t="s">
        <v>4473</v>
      </c>
      <c r="C15446" s="4" t="n">
        <v>11</v>
      </c>
      <c r="D15446" s="4" t="n">
        <v>16</v>
      </c>
      <c r="E15446" s="4" t="s">
        <v>4761</v>
      </c>
      <c r="F15446" s="4" t="n">
        <v>25</v>
      </c>
      <c r="G15446" s="4" t="n">
        <v>9</v>
      </c>
      <c r="H15446" s="4" t="n">
        <v>2</v>
      </c>
      <c r="I15446" s="4" t="str">
        <v>○</v>
      </c>
      <c r="J15446" s="4" t="n">
        <v>460</v>
      </c>
      <c r="K15446" s="4"/>
      <c r="L15446" s="4"/>
      <c r="M15446" s="7" t="s">
        <v>6871</v>
      </c>
    </row>
    <row r="15447" customFormat="false" ht="15.75" hidden="false" customHeight="false" outlineLevel="0" collapsed="false">
      <c r="A15447" s="6" t="n">
        <f aca="false">DATE(2026,5,9)</f>
        <v>46151</v>
      </c>
      <c r="B15447" s="4" t="s">
        <v>4473</v>
      </c>
      <c r="C15447" s="4" t="n">
        <v>11</v>
      </c>
      <c r="D15447" s="4" t="n">
        <v>5</v>
      </c>
      <c r="E15447" s="4" t="s">
        <v>7069</v>
      </c>
      <c r="F15447" s="4" t="n">
        <v>20</v>
      </c>
      <c r="G15447" s="4" t="n">
        <v>10</v>
      </c>
      <c r="H15447" s="4" t="n">
        <v>4</v>
      </c>
      <c r="I15447" s="4" t="str">
        <v>×</v>
      </c>
      <c r="J15447" s="4"/>
      <c r="K15447" s="4"/>
      <c r="L15447" s="4"/>
      <c r="M15447" s="7" t="s">
        <v>6871</v>
      </c>
    </row>
    <row r="15448" customFormat="false" ht="15.75" hidden="false" customHeight="false" outlineLevel="0" collapsed="false">
      <c r="A15448" s="6" t="n">
        <f aca="false">DATE(2026,5,9)</f>
        <v>46151</v>
      </c>
      <c r="B15448" s="4" t="s">
        <v>4473</v>
      </c>
      <c r="C15448" s="4" t="n">
        <v>11</v>
      </c>
      <c r="D15448" s="4" t="n">
        <v>9</v>
      </c>
      <c r="E15448" s="4" t="s">
        <v>7070</v>
      </c>
      <c r="F15448" s="4" t="n">
        <v>20</v>
      </c>
      <c r="G15448" s="4" t="n">
        <v>11</v>
      </c>
      <c r="H15448" s="4" t="n">
        <v>4</v>
      </c>
      <c r="I15448" s="4" t="str">
        <v>×</v>
      </c>
      <c r="J15448" s="4"/>
      <c r="K15448" s="4"/>
      <c r="L15448" s="4"/>
      <c r="M15448" s="7" t="s">
        <v>6871</v>
      </c>
    </row>
    <row r="15449" customFormat="false" ht="15.75" hidden="false" customHeight="false" outlineLevel="0" collapsed="false">
      <c r="A15449" s="6" t="n">
        <f aca="false">DATE(2026,5,9)</f>
        <v>46151</v>
      </c>
      <c r="B15449" s="4" t="s">
        <v>4473</v>
      </c>
      <c r="C15449" s="4" t="n">
        <v>11</v>
      </c>
      <c r="D15449" s="4" t="n">
        <v>12</v>
      </c>
      <c r="E15449" s="4" t="s">
        <v>2405</v>
      </c>
      <c r="F15449" s="4" t="n">
        <v>17</v>
      </c>
      <c r="G15449" s="4" t="n">
        <v>12</v>
      </c>
      <c r="H15449" s="4" t="n">
        <v>4</v>
      </c>
      <c r="I15449" s="4" t="str">
        <v>×</v>
      </c>
      <c r="J15449" s="4"/>
      <c r="K15449" s="4"/>
      <c r="L15449" s="4"/>
      <c r="M15449" s="7" t="s">
        <v>6871</v>
      </c>
    </row>
    <row r="15450" customFormat="false" ht="15.75" hidden="false" customHeight="false" outlineLevel="0" collapsed="false">
      <c r="A15450" s="6" t="n">
        <f aca="false">DATE(2026,5,9)</f>
        <v>46151</v>
      </c>
      <c r="B15450" s="4" t="s">
        <v>4473</v>
      </c>
      <c r="C15450" s="4" t="n">
        <v>11</v>
      </c>
      <c r="D15450" s="4" t="n">
        <v>7</v>
      </c>
      <c r="E15450" s="4" t="s">
        <v>7071</v>
      </c>
      <c r="F15450" s="4" t="n">
        <v>15</v>
      </c>
      <c r="G15450" s="4" t="n">
        <v>13</v>
      </c>
      <c r="H15450" s="4" t="n">
        <v>4</v>
      </c>
      <c r="I15450" s="4" t="str">
        <v>×</v>
      </c>
      <c r="J15450" s="4"/>
      <c r="K15450" s="4"/>
      <c r="L15450" s="4"/>
      <c r="M15450" s="7" t="s">
        <v>6871</v>
      </c>
    </row>
    <row r="15451" customFormat="false" ht="15.75" hidden="false" customHeight="false" outlineLevel="0" collapsed="false">
      <c r="A15451" s="6" t="n">
        <f aca="false">DATE(2026,5,9)</f>
        <v>46151</v>
      </c>
      <c r="B15451" s="4" t="s">
        <v>4473</v>
      </c>
      <c r="C15451" s="4" t="n">
        <v>11</v>
      </c>
      <c r="D15451" s="4" t="n">
        <v>17</v>
      </c>
      <c r="E15451" s="4" t="s">
        <v>4968</v>
      </c>
      <c r="F15451" s="4" t="n">
        <v>13</v>
      </c>
      <c r="G15451" s="4" t="n">
        <v>14</v>
      </c>
      <c r="H15451" s="4" t="n">
        <v>3</v>
      </c>
      <c r="I15451" s="4" t="str">
        <v>○</v>
      </c>
      <c r="J15451" s="4" t="n">
        <v>590</v>
      </c>
      <c r="K15451" s="4"/>
      <c r="L15451" s="4"/>
      <c r="M15451" s="7" t="s">
        <v>6871</v>
      </c>
    </row>
    <row r="15452" customFormat="false" ht="15.75" hidden="false" customHeight="false" outlineLevel="0" collapsed="false">
      <c r="A15452" s="6" t="n">
        <f aca="false">DATE(2026,5,9)</f>
        <v>46151</v>
      </c>
      <c r="B15452" s="4" t="s">
        <v>4473</v>
      </c>
      <c r="C15452" s="4" t="n">
        <v>11</v>
      </c>
      <c r="D15452" s="4" t="n">
        <v>15</v>
      </c>
      <c r="E15452" s="4" t="s">
        <v>2665</v>
      </c>
      <c r="F15452" s="4" t="n">
        <v>10</v>
      </c>
      <c r="G15452" s="4" t="n">
        <v>15</v>
      </c>
      <c r="H15452" s="4" t="n">
        <v>4</v>
      </c>
      <c r="I15452" s="4" t="str">
        <v>×</v>
      </c>
      <c r="J15452" s="4"/>
      <c r="K15452" s="4"/>
      <c r="L15452" s="4"/>
      <c r="M15452" s="7" t="s">
        <v>6871</v>
      </c>
    </row>
    <row r="15453" customFormat="false" ht="15.75" hidden="false" customHeight="false" outlineLevel="0" collapsed="false">
      <c r="A15453" s="6" t="n">
        <f aca="false">DATE(2026,5,9)</f>
        <v>46151</v>
      </c>
      <c r="B15453" s="4" t="s">
        <v>4473</v>
      </c>
      <c r="C15453" s="4" t="n">
        <v>11</v>
      </c>
      <c r="D15453" s="4" t="n">
        <v>3</v>
      </c>
      <c r="E15453" s="4" t="s">
        <v>7072</v>
      </c>
      <c r="F15453" s="4" t="n">
        <v>6</v>
      </c>
      <c r="G15453" s="4" t="n">
        <v>16</v>
      </c>
      <c r="H15453" s="4" t="n">
        <v>4</v>
      </c>
      <c r="I15453" s="4" t="str">
        <v>×</v>
      </c>
      <c r="J15453" s="4"/>
      <c r="K15453" s="4"/>
      <c r="L15453" s="4"/>
      <c r="M15453" s="7" t="s">
        <v>6871</v>
      </c>
    </row>
    <row r="15454" customFormat="false" ht="15.75" hidden="false" customHeight="false" outlineLevel="0" collapsed="false">
      <c r="A15454" s="6" t="n">
        <f aca="false">DATE(2026,5,9)</f>
        <v>46151</v>
      </c>
      <c r="B15454" s="4" t="s">
        <v>4473</v>
      </c>
      <c r="C15454" s="4" t="n">
        <v>11</v>
      </c>
      <c r="D15454" s="4" t="n">
        <v>13</v>
      </c>
      <c r="E15454" s="4" t="s">
        <v>7073</v>
      </c>
      <c r="F15454" s="4" t="n">
        <v>2</v>
      </c>
      <c r="G15454" s="4" t="n">
        <v>17</v>
      </c>
      <c r="H15454" s="4" t="n">
        <v>4</v>
      </c>
      <c r="I15454" s="4" t="str">
        <v>×</v>
      </c>
      <c r="J15454" s="4"/>
      <c r="K15454" s="4"/>
      <c r="L15454" s="4"/>
      <c r="M15454" s="7" t="s">
        <v>6871</v>
      </c>
    </row>
    <row r="15455" customFormat="false" ht="15.75" hidden="false" customHeight="false" outlineLevel="0" collapsed="false">
      <c r="A15455" s="6" t="n">
        <f aca="false">DATE(2026,5,9)</f>
        <v>46151</v>
      </c>
      <c r="B15455" s="4" t="s">
        <v>4473</v>
      </c>
      <c r="C15455" s="4" t="n">
        <v>12</v>
      </c>
      <c r="D15455" s="4" t="n">
        <v>3</v>
      </c>
      <c r="E15455" s="4" t="s">
        <v>4553</v>
      </c>
      <c r="F15455" s="4" t="n">
        <v>58</v>
      </c>
      <c r="G15455" s="4" t="n">
        <v>1</v>
      </c>
      <c r="H15455" s="4" t="n">
        <v>1</v>
      </c>
      <c r="I15455" s="4" t="str">
        <v>○</v>
      </c>
      <c r="J15455" s="4" t="n">
        <v>130</v>
      </c>
      <c r="K15455" s="4"/>
      <c r="L15455" s="4"/>
      <c r="M15455" s="7" t="s">
        <v>6871</v>
      </c>
    </row>
    <row r="15456" customFormat="false" ht="15.75" hidden="false" customHeight="false" outlineLevel="0" collapsed="false">
      <c r="A15456" s="6" t="n">
        <f aca="false">DATE(2026,5,9)</f>
        <v>46151</v>
      </c>
      <c r="B15456" s="4" t="s">
        <v>4473</v>
      </c>
      <c r="C15456" s="4" t="n">
        <v>12</v>
      </c>
      <c r="D15456" s="4" t="n">
        <v>8</v>
      </c>
      <c r="E15456" s="4" t="s">
        <v>1206</v>
      </c>
      <c r="F15456" s="4" t="n">
        <v>52</v>
      </c>
      <c r="G15456" s="4" t="n">
        <v>2</v>
      </c>
      <c r="H15456" s="4" t="n">
        <v>4</v>
      </c>
      <c r="I15456" s="4" t="str">
        <v>×</v>
      </c>
      <c r="J15456" s="4"/>
      <c r="K15456" s="4"/>
      <c r="L15456" s="4"/>
      <c r="M15456" s="7" t="s">
        <v>6871</v>
      </c>
    </row>
    <row r="15457" customFormat="false" ht="15.75" hidden="false" customHeight="false" outlineLevel="0" collapsed="false">
      <c r="A15457" s="6" t="n">
        <f aca="false">DATE(2026,5,9)</f>
        <v>46151</v>
      </c>
      <c r="B15457" s="4" t="s">
        <v>4473</v>
      </c>
      <c r="C15457" s="4" t="n">
        <v>12</v>
      </c>
      <c r="D15457" s="4" t="n">
        <v>11</v>
      </c>
      <c r="E15457" s="4" t="s">
        <v>3210</v>
      </c>
      <c r="F15457" s="4" t="n">
        <v>37</v>
      </c>
      <c r="G15457" s="4" t="n">
        <v>3</v>
      </c>
      <c r="H15457" s="4" t="n">
        <v>2</v>
      </c>
      <c r="I15457" s="4" t="str">
        <v>○</v>
      </c>
      <c r="J15457" s="4" t="n">
        <v>320</v>
      </c>
      <c r="K15457" s="4"/>
      <c r="L15457" s="4"/>
      <c r="M15457" s="7" t="s">
        <v>6871</v>
      </c>
    </row>
    <row r="15458" customFormat="false" ht="15.75" hidden="false" customHeight="false" outlineLevel="0" collapsed="false">
      <c r="A15458" s="6" t="n">
        <f aca="false">DATE(2026,5,9)</f>
        <v>46151</v>
      </c>
      <c r="B15458" s="4" t="s">
        <v>4473</v>
      </c>
      <c r="C15458" s="4" t="n">
        <v>12</v>
      </c>
      <c r="D15458" s="4" t="n">
        <v>1</v>
      </c>
      <c r="E15458" s="4" t="s">
        <v>5860</v>
      </c>
      <c r="F15458" s="4" t="n">
        <v>25</v>
      </c>
      <c r="G15458" s="4" t="n">
        <v>4</v>
      </c>
      <c r="H15458" s="4" t="n">
        <v>4</v>
      </c>
      <c r="I15458" s="4" t="str">
        <v>×</v>
      </c>
      <c r="J15458" s="4"/>
      <c r="K15458" s="4"/>
      <c r="L15458" s="4"/>
      <c r="M15458" s="7" t="s">
        <v>6871</v>
      </c>
    </row>
    <row r="15459" customFormat="false" ht="15.75" hidden="false" customHeight="false" outlineLevel="0" collapsed="false">
      <c r="A15459" s="6" t="n">
        <f aca="false">DATE(2026,5,9)</f>
        <v>46151</v>
      </c>
      <c r="B15459" s="4" t="s">
        <v>4473</v>
      </c>
      <c r="C15459" s="4" t="n">
        <v>12</v>
      </c>
      <c r="D15459" s="4" t="n">
        <v>5</v>
      </c>
      <c r="E15459" s="4" t="s">
        <v>7074</v>
      </c>
      <c r="F15459" s="4" t="n">
        <v>25</v>
      </c>
      <c r="G15459" s="4" t="n">
        <v>5</v>
      </c>
      <c r="H15459" s="4" t="n">
        <v>4</v>
      </c>
      <c r="I15459" s="4" t="str">
        <v>×</v>
      </c>
      <c r="J15459" s="4"/>
      <c r="K15459" s="4"/>
      <c r="L15459" s="4"/>
      <c r="M15459" s="7" t="s">
        <v>6871</v>
      </c>
    </row>
    <row r="15460" customFormat="false" ht="15.75" hidden="false" customHeight="false" outlineLevel="0" collapsed="false">
      <c r="A15460" s="6" t="n">
        <f aca="false">DATE(2026,5,9)</f>
        <v>46151</v>
      </c>
      <c r="B15460" s="4" t="s">
        <v>4473</v>
      </c>
      <c r="C15460" s="4" t="n">
        <v>12</v>
      </c>
      <c r="D15460" s="4" t="n">
        <v>7</v>
      </c>
      <c r="E15460" s="4" t="s">
        <v>7075</v>
      </c>
      <c r="F15460" s="4" t="n">
        <v>20</v>
      </c>
      <c r="G15460" s="4" t="n">
        <v>6</v>
      </c>
      <c r="H15460" s="4" t="n">
        <v>4</v>
      </c>
      <c r="I15460" s="4" t="str">
        <v>×</v>
      </c>
      <c r="J15460" s="4"/>
      <c r="K15460" s="4"/>
      <c r="L15460" s="4"/>
      <c r="M15460" s="7" t="s">
        <v>6871</v>
      </c>
    </row>
    <row r="15461" customFormat="false" ht="15.75" hidden="false" customHeight="false" outlineLevel="0" collapsed="false">
      <c r="A15461" s="6" t="n">
        <f aca="false">DATE(2026,5,9)</f>
        <v>46151</v>
      </c>
      <c r="B15461" s="4" t="s">
        <v>4473</v>
      </c>
      <c r="C15461" s="4" t="n">
        <v>12</v>
      </c>
      <c r="D15461" s="4" t="n">
        <v>14</v>
      </c>
      <c r="E15461" s="4" t="s">
        <v>7076</v>
      </c>
      <c r="F15461" s="4" t="n">
        <v>20</v>
      </c>
      <c r="G15461" s="4" t="n">
        <v>7</v>
      </c>
      <c r="H15461" s="4" t="n">
        <v>4</v>
      </c>
      <c r="I15461" s="4" t="str">
        <v>×</v>
      </c>
      <c r="J15461" s="4"/>
      <c r="K15461" s="4"/>
      <c r="L15461" s="4"/>
      <c r="M15461" s="7" t="s">
        <v>6871</v>
      </c>
    </row>
    <row r="15462" customFormat="false" ht="15.75" hidden="false" customHeight="false" outlineLevel="0" collapsed="false">
      <c r="A15462" s="6" t="n">
        <f aca="false">DATE(2026,5,9)</f>
        <v>46151</v>
      </c>
      <c r="B15462" s="4" t="s">
        <v>4473</v>
      </c>
      <c r="C15462" s="4" t="n">
        <v>12</v>
      </c>
      <c r="D15462" s="4" t="n">
        <v>6</v>
      </c>
      <c r="E15462" s="4" t="s">
        <v>7077</v>
      </c>
      <c r="F15462" s="4" t="n">
        <v>15</v>
      </c>
      <c r="G15462" s="4" t="n">
        <v>8</v>
      </c>
      <c r="H15462" s="4" t="n">
        <v>4</v>
      </c>
      <c r="I15462" s="4" t="str">
        <v>×</v>
      </c>
      <c r="J15462" s="4"/>
      <c r="K15462" s="4"/>
      <c r="L15462" s="4"/>
      <c r="M15462" s="7" t="s">
        <v>6871</v>
      </c>
    </row>
    <row r="15463" customFormat="false" ht="15.75" hidden="false" customHeight="false" outlineLevel="0" collapsed="false">
      <c r="A15463" s="6" t="n">
        <f aca="false">DATE(2026,5,9)</f>
        <v>46151</v>
      </c>
      <c r="B15463" s="4" t="s">
        <v>4473</v>
      </c>
      <c r="C15463" s="4" t="n">
        <v>12</v>
      </c>
      <c r="D15463" s="4" t="n">
        <v>9</v>
      </c>
      <c r="E15463" s="4" t="s">
        <v>5224</v>
      </c>
      <c r="F15463" s="4" t="n">
        <v>15</v>
      </c>
      <c r="G15463" s="4" t="n">
        <v>9</v>
      </c>
      <c r="H15463" s="4" t="n">
        <v>4</v>
      </c>
      <c r="I15463" s="4" t="str">
        <v>×</v>
      </c>
      <c r="J15463" s="4"/>
      <c r="K15463" s="4"/>
      <c r="L15463" s="4"/>
      <c r="M15463" s="7" t="s">
        <v>6871</v>
      </c>
    </row>
    <row r="15464" customFormat="false" ht="15.75" hidden="false" customHeight="false" outlineLevel="0" collapsed="false">
      <c r="A15464" s="6" t="n">
        <f aca="false">DATE(2026,5,9)</f>
        <v>46151</v>
      </c>
      <c r="B15464" s="4" t="s">
        <v>4473</v>
      </c>
      <c r="C15464" s="4" t="n">
        <v>12</v>
      </c>
      <c r="D15464" s="4" t="n">
        <v>16</v>
      </c>
      <c r="E15464" s="4" t="s">
        <v>4755</v>
      </c>
      <c r="F15464" s="4" t="n">
        <v>13</v>
      </c>
      <c r="G15464" s="4" t="n">
        <v>10</v>
      </c>
      <c r="H15464" s="4" t="n">
        <v>4</v>
      </c>
      <c r="I15464" s="4" t="str">
        <v>×</v>
      </c>
      <c r="J15464" s="4"/>
      <c r="K15464" s="4"/>
      <c r="L15464" s="4"/>
      <c r="M15464" s="7" t="s">
        <v>6871</v>
      </c>
    </row>
    <row r="15465" customFormat="false" ht="15.75" hidden="false" customHeight="false" outlineLevel="0" collapsed="false">
      <c r="A15465" s="6" t="n">
        <f aca="false">DATE(2026,5,9)</f>
        <v>46151</v>
      </c>
      <c r="B15465" s="4" t="s">
        <v>4473</v>
      </c>
      <c r="C15465" s="4" t="n">
        <v>12</v>
      </c>
      <c r="D15465" s="4" t="n">
        <v>2</v>
      </c>
      <c r="E15465" s="4" t="s">
        <v>5287</v>
      </c>
      <c r="F15465" s="4" t="n">
        <v>10</v>
      </c>
      <c r="G15465" s="4" t="n">
        <v>11</v>
      </c>
      <c r="H15465" s="4" t="n">
        <v>4</v>
      </c>
      <c r="I15465" s="4" t="str">
        <v>×</v>
      </c>
      <c r="J15465" s="4"/>
      <c r="K15465" s="4"/>
      <c r="L15465" s="4"/>
      <c r="M15465" s="7" t="s">
        <v>6871</v>
      </c>
    </row>
    <row r="15466" customFormat="false" ht="15.75" hidden="false" customHeight="false" outlineLevel="0" collapsed="false">
      <c r="A15466" s="6" t="n">
        <f aca="false">DATE(2026,5,9)</f>
        <v>46151</v>
      </c>
      <c r="B15466" s="4" t="s">
        <v>4473</v>
      </c>
      <c r="C15466" s="4" t="n">
        <v>12</v>
      </c>
      <c r="D15466" s="4" t="n">
        <v>13</v>
      </c>
      <c r="E15466" s="4" t="s">
        <v>542</v>
      </c>
      <c r="F15466" s="4" t="n">
        <v>8</v>
      </c>
      <c r="G15466" s="4" t="n">
        <v>12</v>
      </c>
      <c r="H15466" s="4" t="n">
        <v>4</v>
      </c>
      <c r="I15466" s="4" t="str">
        <v>×</v>
      </c>
      <c r="J15466" s="4"/>
      <c r="K15466" s="4"/>
      <c r="L15466" s="4"/>
      <c r="M15466" s="7" t="s">
        <v>6871</v>
      </c>
    </row>
    <row r="15467" customFormat="false" ht="15.75" hidden="false" customHeight="false" outlineLevel="0" collapsed="false">
      <c r="A15467" s="6" t="n">
        <f aca="false">DATE(2026,5,9)</f>
        <v>46151</v>
      </c>
      <c r="B15467" s="4" t="s">
        <v>4473</v>
      </c>
      <c r="C15467" s="4" t="n">
        <v>12</v>
      </c>
      <c r="D15467" s="4" t="n">
        <v>15</v>
      </c>
      <c r="E15467" s="4" t="s">
        <v>5624</v>
      </c>
      <c r="F15467" s="4" t="n">
        <v>6</v>
      </c>
      <c r="G15467" s="4" t="n">
        <v>13</v>
      </c>
      <c r="H15467" s="4" t="n">
        <v>4</v>
      </c>
      <c r="I15467" s="4" t="str">
        <v>×</v>
      </c>
      <c r="J15467" s="4"/>
      <c r="K15467" s="4"/>
      <c r="L15467" s="4"/>
      <c r="M15467" s="7" t="s">
        <v>6871</v>
      </c>
    </row>
    <row r="15468" customFormat="false" ht="15.75" hidden="false" customHeight="false" outlineLevel="0" collapsed="false">
      <c r="A15468" s="6" t="n">
        <f aca="false">DATE(2026,5,9)</f>
        <v>46151</v>
      </c>
      <c r="B15468" s="4" t="s">
        <v>4473</v>
      </c>
      <c r="C15468" s="4" t="n">
        <v>12</v>
      </c>
      <c r="D15468" s="4" t="n">
        <v>10</v>
      </c>
      <c r="E15468" s="4" t="s">
        <v>5618</v>
      </c>
      <c r="F15468" s="4" t="n">
        <v>4</v>
      </c>
      <c r="G15468" s="4" t="n">
        <v>14</v>
      </c>
      <c r="H15468" s="4" t="n">
        <v>4</v>
      </c>
      <c r="I15468" s="4" t="str">
        <v>×</v>
      </c>
      <c r="J15468" s="4"/>
      <c r="K15468" s="4"/>
      <c r="L15468" s="4"/>
      <c r="M15468" s="7" t="s">
        <v>6871</v>
      </c>
    </row>
    <row r="15469" customFormat="false" ht="15.75" hidden="false" customHeight="false" outlineLevel="0" collapsed="false">
      <c r="A15469" s="6" t="n">
        <f aca="false">DATE(2026,5,9)</f>
        <v>46151</v>
      </c>
      <c r="B15469" s="4" t="s">
        <v>4473</v>
      </c>
      <c r="C15469" s="4" t="n">
        <v>12</v>
      </c>
      <c r="D15469" s="4" t="n">
        <v>12</v>
      </c>
      <c r="E15469" s="4" t="s">
        <v>5855</v>
      </c>
      <c r="F15469" s="4" t="n">
        <v>3</v>
      </c>
      <c r="G15469" s="4" t="n">
        <v>15</v>
      </c>
      <c r="H15469" s="4" t="n">
        <v>3</v>
      </c>
      <c r="I15469" s="4" t="str">
        <v>○</v>
      </c>
      <c r="J15469" s="4" t="n">
        <v>2320</v>
      </c>
      <c r="K15469" s="4"/>
      <c r="L15469" s="4"/>
      <c r="M15469" s="7" t="s">
        <v>6871</v>
      </c>
    </row>
    <row r="15470" customFormat="false" ht="15.75" hidden="false" customHeight="false" outlineLevel="0" collapsed="false">
      <c r="A15470" s="6" t="n">
        <f aca="false">DATE(2026,5,9)</f>
        <v>46151</v>
      </c>
      <c r="B15470" s="4" t="s">
        <v>4473</v>
      </c>
      <c r="C15470" s="4" t="n">
        <v>12</v>
      </c>
      <c r="D15470" s="4" t="n">
        <v>4</v>
      </c>
      <c r="E15470" s="4" t="s">
        <v>7078</v>
      </c>
      <c r="F15470" s="4" t="n">
        <v>2</v>
      </c>
      <c r="G15470" s="4" t="n">
        <v>16</v>
      </c>
      <c r="H15470" s="4" t="n">
        <v>4</v>
      </c>
      <c r="I15470" s="4" t="str">
        <v>×</v>
      </c>
      <c r="J15470" s="4"/>
      <c r="K15470" s="4"/>
      <c r="L15470" s="4"/>
      <c r="M15470" s="7" t="s">
        <v>6871</v>
      </c>
    </row>
    <row r="15471" customFormat="false" ht="15.75" hidden="false" customHeight="false" outlineLevel="0" collapsed="false">
      <c r="A15471" s="6" t="n">
        <f aca="false">DATE(2026,5,10)</f>
        <v>46152</v>
      </c>
      <c r="B15471" s="4" t="s">
        <v>5435</v>
      </c>
      <c r="C15471" s="4" t="n">
        <v>1</v>
      </c>
      <c r="D15471" s="4" t="n">
        <v>7</v>
      </c>
      <c r="E15471" s="4" t="s">
        <v>4823</v>
      </c>
      <c r="F15471" s="4" t="n">
        <v>81</v>
      </c>
      <c r="G15471" s="4" t="n">
        <v>1</v>
      </c>
      <c r="H15471" s="4" t="n">
        <v>1</v>
      </c>
      <c r="I15471" s="4" t="str">
        <v>○</v>
      </c>
      <c r="J15471" s="4" t="n">
        <v>110</v>
      </c>
      <c r="K15471" s="4"/>
      <c r="L15471" s="4"/>
      <c r="M15471" s="7" t="s">
        <v>6871</v>
      </c>
    </row>
    <row r="15472" customFormat="false" ht="15.75" hidden="false" customHeight="false" outlineLevel="0" collapsed="false">
      <c r="A15472" s="6" t="n">
        <f aca="false">DATE(2026,5,10)</f>
        <v>46152</v>
      </c>
      <c r="B15472" s="4" t="s">
        <v>5435</v>
      </c>
      <c r="C15472" s="4" t="n">
        <v>1</v>
      </c>
      <c r="D15472" s="4" t="n">
        <v>8</v>
      </c>
      <c r="E15472" s="4" t="s">
        <v>1596</v>
      </c>
      <c r="F15472" s="4" t="n">
        <v>56</v>
      </c>
      <c r="G15472" s="4" t="n">
        <v>2</v>
      </c>
      <c r="H15472" s="4" t="n">
        <v>4</v>
      </c>
      <c r="I15472" s="4" t="str">
        <v>×</v>
      </c>
      <c r="J15472" s="4"/>
      <c r="K15472" s="4"/>
      <c r="L15472" s="4"/>
      <c r="M15472" s="7" t="s">
        <v>6871</v>
      </c>
    </row>
    <row r="15473" customFormat="false" ht="15.75" hidden="false" customHeight="false" outlineLevel="0" collapsed="false">
      <c r="A15473" s="6" t="n">
        <f aca="false">DATE(2026,5,10)</f>
        <v>46152</v>
      </c>
      <c r="B15473" s="4" t="s">
        <v>5435</v>
      </c>
      <c r="C15473" s="4" t="n">
        <v>1</v>
      </c>
      <c r="D15473" s="4" t="n">
        <v>3</v>
      </c>
      <c r="E15473" s="4" t="s">
        <v>1589</v>
      </c>
      <c r="F15473" s="4" t="n">
        <v>50</v>
      </c>
      <c r="G15473" s="4" t="n">
        <v>3</v>
      </c>
      <c r="H15473" s="4" t="n">
        <v>3</v>
      </c>
      <c r="I15473" s="4" t="str">
        <v>○</v>
      </c>
      <c r="J15473" s="4" t="n">
        <v>130</v>
      </c>
      <c r="K15473" s="4"/>
      <c r="L15473" s="4"/>
      <c r="M15473" s="7" t="s">
        <v>6871</v>
      </c>
    </row>
    <row r="15474" customFormat="false" ht="15.75" hidden="false" customHeight="false" outlineLevel="0" collapsed="false">
      <c r="A15474" s="6" t="n">
        <f aca="false">DATE(2026,5,10)</f>
        <v>46152</v>
      </c>
      <c r="B15474" s="4" t="s">
        <v>5435</v>
      </c>
      <c r="C15474" s="4" t="n">
        <v>1</v>
      </c>
      <c r="D15474" s="4" t="n">
        <v>11</v>
      </c>
      <c r="E15474" s="4" t="s">
        <v>4817</v>
      </c>
      <c r="F15474" s="4" t="n">
        <v>39</v>
      </c>
      <c r="G15474" s="4" t="n">
        <v>4</v>
      </c>
      <c r="H15474" s="4" t="n">
        <v>2</v>
      </c>
      <c r="I15474" s="4" t="str">
        <v>○</v>
      </c>
      <c r="J15474" s="4" t="n">
        <v>110</v>
      </c>
      <c r="K15474" s="4"/>
      <c r="L15474" s="4"/>
      <c r="M15474" s="7" t="s">
        <v>6871</v>
      </c>
    </row>
    <row r="15475" customFormat="false" ht="15.75" hidden="false" customHeight="false" outlineLevel="0" collapsed="false">
      <c r="A15475" s="6" t="n">
        <f aca="false">DATE(2026,5,10)</f>
        <v>46152</v>
      </c>
      <c r="B15475" s="4" t="s">
        <v>5435</v>
      </c>
      <c r="C15475" s="4" t="n">
        <v>1</v>
      </c>
      <c r="D15475" s="4" t="n">
        <v>6</v>
      </c>
      <c r="E15475" s="4" t="s">
        <v>4111</v>
      </c>
      <c r="F15475" s="4" t="n">
        <v>13</v>
      </c>
      <c r="G15475" s="4" t="n">
        <v>5</v>
      </c>
      <c r="H15475" s="4" t="n">
        <v>4</v>
      </c>
      <c r="I15475" s="4" t="str">
        <v>×</v>
      </c>
      <c r="J15475" s="4"/>
      <c r="K15475" s="4"/>
      <c r="L15475" s="4"/>
      <c r="M15475" s="7" t="s">
        <v>6871</v>
      </c>
    </row>
    <row r="15476" customFormat="false" ht="15.75" hidden="false" customHeight="false" outlineLevel="0" collapsed="false">
      <c r="A15476" s="6" t="n">
        <f aca="false">DATE(2026,5,10)</f>
        <v>46152</v>
      </c>
      <c r="B15476" s="4" t="s">
        <v>5435</v>
      </c>
      <c r="C15476" s="4" t="n">
        <v>1</v>
      </c>
      <c r="D15476" s="4" t="n">
        <v>9</v>
      </c>
      <c r="E15476" s="4" t="s">
        <v>2070</v>
      </c>
      <c r="F15476" s="4" t="n">
        <v>10</v>
      </c>
      <c r="G15476" s="4" t="n">
        <v>6</v>
      </c>
      <c r="H15476" s="4" t="n">
        <v>4</v>
      </c>
      <c r="I15476" s="4" t="str">
        <v>×</v>
      </c>
      <c r="J15476" s="4"/>
      <c r="K15476" s="4"/>
      <c r="L15476" s="4"/>
      <c r="M15476" s="7" t="s">
        <v>6871</v>
      </c>
    </row>
    <row r="15477" customFormat="false" ht="15.75" hidden="false" customHeight="false" outlineLevel="0" collapsed="false">
      <c r="A15477" s="6" t="n">
        <f aca="false">DATE(2026,5,10)</f>
        <v>46152</v>
      </c>
      <c r="B15477" s="4" t="s">
        <v>5435</v>
      </c>
      <c r="C15477" s="4" t="n">
        <v>1</v>
      </c>
      <c r="D15477" s="4" t="n">
        <v>10</v>
      </c>
      <c r="E15477" s="4" t="s">
        <v>7079</v>
      </c>
      <c r="F15477" s="4" t="n">
        <v>10</v>
      </c>
      <c r="G15477" s="4" t="n">
        <v>7</v>
      </c>
      <c r="H15477" s="4" t="n">
        <v>4</v>
      </c>
      <c r="I15477" s="4" t="str">
        <v>×</v>
      </c>
      <c r="J15477" s="4"/>
      <c r="K15477" s="4"/>
      <c r="L15477" s="4"/>
      <c r="M15477" s="7" t="s">
        <v>6871</v>
      </c>
    </row>
    <row r="15478" customFormat="false" ht="15.75" hidden="false" customHeight="false" outlineLevel="0" collapsed="false">
      <c r="A15478" s="6" t="n">
        <f aca="false">DATE(2026,5,10)</f>
        <v>46152</v>
      </c>
      <c r="B15478" s="4" t="s">
        <v>5435</v>
      </c>
      <c r="C15478" s="4" t="n">
        <v>1</v>
      </c>
      <c r="D15478" s="4" t="n">
        <v>4</v>
      </c>
      <c r="E15478" s="4" t="s">
        <v>2042</v>
      </c>
      <c r="F15478" s="4" t="n">
        <v>8</v>
      </c>
      <c r="G15478" s="4" t="n">
        <v>8</v>
      </c>
      <c r="H15478" s="4" t="n">
        <v>4</v>
      </c>
      <c r="I15478" s="4" t="str">
        <v>×</v>
      </c>
      <c r="J15478" s="4"/>
      <c r="K15478" s="4"/>
      <c r="L15478" s="4"/>
      <c r="M15478" s="7" t="s">
        <v>6871</v>
      </c>
    </row>
    <row r="15479" customFormat="false" ht="15.75" hidden="false" customHeight="false" outlineLevel="0" collapsed="false">
      <c r="A15479" s="6" t="n">
        <f aca="false">DATE(2026,5,10)</f>
        <v>46152</v>
      </c>
      <c r="B15479" s="4" t="s">
        <v>5435</v>
      </c>
      <c r="C15479" s="4" t="n">
        <v>1</v>
      </c>
      <c r="D15479" s="4" t="n">
        <v>2</v>
      </c>
      <c r="E15479" s="4" t="s">
        <v>6084</v>
      </c>
      <c r="F15479" s="4" t="n">
        <v>6</v>
      </c>
      <c r="G15479" s="4" t="n">
        <v>9</v>
      </c>
      <c r="H15479" s="4" t="n">
        <v>4</v>
      </c>
      <c r="I15479" s="4" t="str">
        <v>×</v>
      </c>
      <c r="J15479" s="4"/>
      <c r="K15479" s="4"/>
      <c r="L15479" s="4"/>
      <c r="M15479" s="7" t="s">
        <v>6871</v>
      </c>
    </row>
    <row r="15480" customFormat="false" ht="15.75" hidden="false" customHeight="false" outlineLevel="0" collapsed="false">
      <c r="A15480" s="6" t="n">
        <f aca="false">DATE(2026,5,10)</f>
        <v>46152</v>
      </c>
      <c r="B15480" s="4" t="s">
        <v>5435</v>
      </c>
      <c r="C15480" s="4" t="n">
        <v>1</v>
      </c>
      <c r="D15480" s="4" t="n">
        <v>1</v>
      </c>
      <c r="E15480" s="4" t="s">
        <v>1587</v>
      </c>
      <c r="F15480" s="4" t="n">
        <v>4</v>
      </c>
      <c r="G15480" s="4" t="n">
        <v>10</v>
      </c>
      <c r="H15480" s="4" t="n">
        <v>4</v>
      </c>
      <c r="I15480" s="4" t="str">
        <v>×</v>
      </c>
      <c r="J15480" s="4"/>
      <c r="K15480" s="4"/>
      <c r="L15480" s="4"/>
      <c r="M15480" s="7" t="s">
        <v>6871</v>
      </c>
    </row>
    <row r="15481" customFormat="false" ht="15.75" hidden="false" customHeight="false" outlineLevel="0" collapsed="false">
      <c r="A15481" s="6" t="n">
        <f aca="false">DATE(2026,5,10)</f>
        <v>46152</v>
      </c>
      <c r="B15481" s="4" t="s">
        <v>5435</v>
      </c>
      <c r="C15481" s="4" t="n">
        <v>1</v>
      </c>
      <c r="D15481" s="4" t="n">
        <v>5</v>
      </c>
      <c r="E15481" s="4" t="s">
        <v>7080</v>
      </c>
      <c r="F15481" s="4" t="n">
        <v>3</v>
      </c>
      <c r="G15481" s="4" t="n">
        <v>11</v>
      </c>
      <c r="H15481" s="4" t="n">
        <v>4</v>
      </c>
      <c r="I15481" s="4" t="str">
        <v>×</v>
      </c>
      <c r="J15481" s="4"/>
      <c r="K15481" s="4"/>
      <c r="L15481" s="4"/>
      <c r="M15481" s="7" t="s">
        <v>6871</v>
      </c>
    </row>
    <row r="15482" customFormat="false" ht="15.75" hidden="false" customHeight="false" outlineLevel="0" collapsed="false">
      <c r="A15482" s="6" t="n">
        <f aca="false">DATE(2026,5,10)</f>
        <v>46152</v>
      </c>
      <c r="B15482" s="4" t="s">
        <v>5435</v>
      </c>
      <c r="C15482" s="4" t="n">
        <v>2</v>
      </c>
      <c r="D15482" s="4" t="n">
        <v>6</v>
      </c>
      <c r="E15482" s="4" t="s">
        <v>7081</v>
      </c>
      <c r="F15482" s="4" t="n">
        <v>62</v>
      </c>
      <c r="G15482" s="4" t="n">
        <v>1</v>
      </c>
      <c r="H15482" s="4" t="n">
        <v>4</v>
      </c>
      <c r="I15482" s="4" t="str">
        <v>×</v>
      </c>
      <c r="J15482" s="4"/>
      <c r="K15482" s="4"/>
      <c r="L15482" s="4"/>
      <c r="M15482" s="7" t="s">
        <v>6871</v>
      </c>
    </row>
    <row r="15483" customFormat="false" ht="15.75" hidden="false" customHeight="false" outlineLevel="0" collapsed="false">
      <c r="A15483" s="6" t="n">
        <f aca="false">DATE(2026,5,10)</f>
        <v>46152</v>
      </c>
      <c r="B15483" s="4" t="s">
        <v>5435</v>
      </c>
      <c r="C15483" s="4" t="n">
        <v>2</v>
      </c>
      <c r="D15483" s="4" t="n">
        <v>2</v>
      </c>
      <c r="E15483" s="4" t="s">
        <v>1116</v>
      </c>
      <c r="F15483" s="4" t="n">
        <v>56</v>
      </c>
      <c r="G15483" s="4" t="n">
        <v>2</v>
      </c>
      <c r="H15483" s="4" t="n">
        <v>2</v>
      </c>
      <c r="I15483" s="4" t="str">
        <v>○</v>
      </c>
      <c r="J15483" s="4" t="n">
        <v>160</v>
      </c>
      <c r="K15483" s="4"/>
      <c r="L15483" s="4"/>
      <c r="M15483" s="7" t="s">
        <v>6871</v>
      </c>
    </row>
    <row r="15484" customFormat="false" ht="15.75" hidden="false" customHeight="false" outlineLevel="0" collapsed="false">
      <c r="A15484" s="6" t="n">
        <f aca="false">DATE(2026,5,10)</f>
        <v>46152</v>
      </c>
      <c r="B15484" s="4" t="s">
        <v>5435</v>
      </c>
      <c r="C15484" s="4" t="n">
        <v>2</v>
      </c>
      <c r="D15484" s="4" t="n">
        <v>5</v>
      </c>
      <c r="E15484" s="4" t="s">
        <v>5437</v>
      </c>
      <c r="F15484" s="4" t="n">
        <v>47</v>
      </c>
      <c r="G15484" s="4" t="n">
        <v>3</v>
      </c>
      <c r="H15484" s="4" t="n">
        <v>3</v>
      </c>
      <c r="I15484" s="4" t="str">
        <v>○</v>
      </c>
      <c r="J15484" s="4" t="n">
        <v>170</v>
      </c>
      <c r="K15484" s="4"/>
      <c r="L15484" s="4"/>
      <c r="M15484" s="7" t="s">
        <v>6871</v>
      </c>
    </row>
    <row r="15485" customFormat="false" ht="15.75" hidden="false" customHeight="false" outlineLevel="0" collapsed="false">
      <c r="A15485" s="6" t="n">
        <f aca="false">DATE(2026,5,10)</f>
        <v>46152</v>
      </c>
      <c r="B15485" s="4" t="s">
        <v>5435</v>
      </c>
      <c r="C15485" s="4" t="n">
        <v>2</v>
      </c>
      <c r="D15485" s="4" t="n">
        <v>14</v>
      </c>
      <c r="E15485" s="4" t="s">
        <v>3914</v>
      </c>
      <c r="F15485" s="4" t="n">
        <v>44</v>
      </c>
      <c r="G15485" s="4" t="n">
        <v>4</v>
      </c>
      <c r="H15485" s="4" t="n">
        <v>4</v>
      </c>
      <c r="I15485" s="4" t="str">
        <v>×</v>
      </c>
      <c r="J15485" s="4"/>
      <c r="K15485" s="4"/>
      <c r="L15485" s="4"/>
      <c r="M15485" s="7" t="s">
        <v>6871</v>
      </c>
    </row>
    <row r="15486" customFormat="false" ht="15.75" hidden="false" customHeight="false" outlineLevel="0" collapsed="false">
      <c r="A15486" s="6" t="n">
        <f aca="false">DATE(2026,5,10)</f>
        <v>46152</v>
      </c>
      <c r="B15486" s="4" t="s">
        <v>5435</v>
      </c>
      <c r="C15486" s="4" t="n">
        <v>2</v>
      </c>
      <c r="D15486" s="4" t="n">
        <v>4</v>
      </c>
      <c r="E15486" s="4" t="s">
        <v>7082</v>
      </c>
      <c r="F15486" s="4" t="n">
        <v>37</v>
      </c>
      <c r="G15486" s="4" t="n">
        <v>5</v>
      </c>
      <c r="H15486" s="4" t="n">
        <v>4</v>
      </c>
      <c r="I15486" s="4" t="str">
        <v>×</v>
      </c>
      <c r="J15486" s="4"/>
      <c r="K15486" s="4"/>
      <c r="L15486" s="4"/>
      <c r="M15486" s="7" t="s">
        <v>6871</v>
      </c>
    </row>
    <row r="15487" customFormat="false" ht="15.75" hidden="false" customHeight="false" outlineLevel="0" collapsed="false">
      <c r="A15487" s="6" t="n">
        <f aca="false">DATE(2026,5,10)</f>
        <v>46152</v>
      </c>
      <c r="B15487" s="4" t="s">
        <v>5435</v>
      </c>
      <c r="C15487" s="4" t="n">
        <v>2</v>
      </c>
      <c r="D15487" s="4" t="n">
        <v>3</v>
      </c>
      <c r="E15487" s="4" t="s">
        <v>7083</v>
      </c>
      <c r="F15487" s="4" t="n">
        <v>20</v>
      </c>
      <c r="G15487" s="4" t="n">
        <v>6</v>
      </c>
      <c r="H15487" s="4" t="n">
        <v>1</v>
      </c>
      <c r="I15487" s="4" t="str">
        <v>○</v>
      </c>
      <c r="J15487" s="4" t="n">
        <v>830</v>
      </c>
      <c r="K15487" s="4"/>
      <c r="L15487" s="4"/>
      <c r="M15487" s="7" t="s">
        <v>6871</v>
      </c>
    </row>
    <row r="15488" customFormat="false" ht="15.75" hidden="false" customHeight="false" outlineLevel="0" collapsed="false">
      <c r="A15488" s="6" t="n">
        <f aca="false">DATE(2026,5,10)</f>
        <v>46152</v>
      </c>
      <c r="B15488" s="4" t="s">
        <v>5435</v>
      </c>
      <c r="C15488" s="4" t="n">
        <v>2</v>
      </c>
      <c r="D15488" s="4" t="n">
        <v>8</v>
      </c>
      <c r="E15488" s="4" t="s">
        <v>7084</v>
      </c>
      <c r="F15488" s="4" t="n">
        <v>8</v>
      </c>
      <c r="G15488" s="4" t="n">
        <v>7</v>
      </c>
      <c r="H15488" s="4" t="n">
        <v>4</v>
      </c>
      <c r="I15488" s="4" t="str">
        <v>×</v>
      </c>
      <c r="J15488" s="4"/>
      <c r="K15488" s="4"/>
      <c r="L15488" s="4"/>
      <c r="M15488" s="7" t="s">
        <v>6871</v>
      </c>
    </row>
    <row r="15489" customFormat="false" ht="15.75" hidden="false" customHeight="false" outlineLevel="0" collapsed="false">
      <c r="A15489" s="6" t="n">
        <f aca="false">DATE(2026,5,10)</f>
        <v>46152</v>
      </c>
      <c r="B15489" s="4" t="s">
        <v>5435</v>
      </c>
      <c r="C15489" s="4" t="n">
        <v>2</v>
      </c>
      <c r="D15489" s="4" t="n">
        <v>12</v>
      </c>
      <c r="E15489" s="4" t="s">
        <v>7085</v>
      </c>
      <c r="F15489" s="4" t="n">
        <v>8</v>
      </c>
      <c r="G15489" s="4" t="n">
        <v>8</v>
      </c>
      <c r="H15489" s="4" t="n">
        <v>4</v>
      </c>
      <c r="I15489" s="4" t="str">
        <v>×</v>
      </c>
      <c r="J15489" s="4"/>
      <c r="K15489" s="4"/>
      <c r="L15489" s="4"/>
      <c r="M15489" s="7" t="s">
        <v>6871</v>
      </c>
    </row>
    <row r="15490" customFormat="false" ht="15.75" hidden="false" customHeight="false" outlineLevel="0" collapsed="false">
      <c r="A15490" s="6" t="n">
        <f aca="false">DATE(2026,5,10)</f>
        <v>46152</v>
      </c>
      <c r="B15490" s="4" t="s">
        <v>5435</v>
      </c>
      <c r="C15490" s="4" t="n">
        <v>2</v>
      </c>
      <c r="D15490" s="4" t="n">
        <v>16</v>
      </c>
      <c r="E15490" s="4" t="s">
        <v>1121</v>
      </c>
      <c r="F15490" s="4" t="n">
        <v>8</v>
      </c>
      <c r="G15490" s="4" t="n">
        <v>9</v>
      </c>
      <c r="H15490" s="4" t="n">
        <v>4</v>
      </c>
      <c r="I15490" s="4" t="str">
        <v>×</v>
      </c>
      <c r="J15490" s="4"/>
      <c r="K15490" s="4"/>
      <c r="L15490" s="4"/>
      <c r="M15490" s="7" t="s">
        <v>6871</v>
      </c>
    </row>
    <row r="15491" customFormat="false" ht="15.75" hidden="false" customHeight="false" outlineLevel="0" collapsed="false">
      <c r="A15491" s="6" t="n">
        <f aca="false">DATE(2026,5,10)</f>
        <v>46152</v>
      </c>
      <c r="B15491" s="4" t="s">
        <v>5435</v>
      </c>
      <c r="C15491" s="4" t="n">
        <v>2</v>
      </c>
      <c r="D15491" s="4" t="n">
        <v>1</v>
      </c>
      <c r="E15491" s="4" t="s">
        <v>2443</v>
      </c>
      <c r="F15491" s="4" t="n">
        <v>6</v>
      </c>
      <c r="G15491" s="4" t="n">
        <v>10</v>
      </c>
      <c r="H15491" s="4" t="n">
        <v>4</v>
      </c>
      <c r="I15491" s="4" t="str">
        <v>×</v>
      </c>
      <c r="J15491" s="4"/>
      <c r="K15491" s="4"/>
      <c r="L15491" s="4"/>
      <c r="M15491" s="7" t="s">
        <v>6871</v>
      </c>
    </row>
    <row r="15492" customFormat="false" ht="15.75" hidden="false" customHeight="false" outlineLevel="0" collapsed="false">
      <c r="A15492" s="6" t="n">
        <f aca="false">DATE(2026,5,10)</f>
        <v>46152</v>
      </c>
      <c r="B15492" s="4" t="s">
        <v>5435</v>
      </c>
      <c r="C15492" s="4" t="n">
        <v>2</v>
      </c>
      <c r="D15492" s="4" t="n">
        <v>9</v>
      </c>
      <c r="E15492" s="4" t="s">
        <v>2453</v>
      </c>
      <c r="F15492" s="4" t="n">
        <v>6</v>
      </c>
      <c r="G15492" s="4" t="n">
        <v>11</v>
      </c>
      <c r="H15492" s="4" t="n">
        <v>4</v>
      </c>
      <c r="I15492" s="4" t="str">
        <v>×</v>
      </c>
      <c r="J15492" s="4"/>
      <c r="K15492" s="4"/>
      <c r="L15492" s="4"/>
      <c r="M15492" s="7" t="s">
        <v>6871</v>
      </c>
    </row>
    <row r="15493" customFormat="false" ht="15.75" hidden="false" customHeight="false" outlineLevel="0" collapsed="false">
      <c r="A15493" s="6" t="n">
        <f aca="false">DATE(2026,5,10)</f>
        <v>46152</v>
      </c>
      <c r="B15493" s="4" t="s">
        <v>5435</v>
      </c>
      <c r="C15493" s="4" t="n">
        <v>2</v>
      </c>
      <c r="D15493" s="4" t="n">
        <v>7</v>
      </c>
      <c r="E15493" s="4" t="s">
        <v>5671</v>
      </c>
      <c r="F15493" s="4" t="n">
        <v>4</v>
      </c>
      <c r="G15493" s="4" t="n">
        <v>12</v>
      </c>
      <c r="H15493" s="4" t="n">
        <v>4</v>
      </c>
      <c r="I15493" s="4" t="str">
        <v>×</v>
      </c>
      <c r="J15493" s="4"/>
      <c r="K15493" s="4"/>
      <c r="L15493" s="4"/>
      <c r="M15493" s="7" t="s">
        <v>6871</v>
      </c>
    </row>
    <row r="15494" customFormat="false" ht="15.75" hidden="false" customHeight="false" outlineLevel="0" collapsed="false">
      <c r="A15494" s="6" t="n">
        <f aca="false">DATE(2026,5,10)</f>
        <v>46152</v>
      </c>
      <c r="B15494" s="4" t="s">
        <v>5435</v>
      </c>
      <c r="C15494" s="4" t="n">
        <v>2</v>
      </c>
      <c r="D15494" s="4" t="n">
        <v>10</v>
      </c>
      <c r="E15494" s="4" t="s">
        <v>4591</v>
      </c>
      <c r="F15494" s="4" t="n">
        <v>4</v>
      </c>
      <c r="G15494" s="4" t="n">
        <v>13</v>
      </c>
      <c r="H15494" s="4" t="n">
        <v>4</v>
      </c>
      <c r="I15494" s="4" t="str">
        <v>×</v>
      </c>
      <c r="J15494" s="4"/>
      <c r="K15494" s="4"/>
      <c r="L15494" s="4"/>
      <c r="M15494" s="7" t="s">
        <v>6871</v>
      </c>
    </row>
    <row r="15495" customFormat="false" ht="15.75" hidden="false" customHeight="false" outlineLevel="0" collapsed="false">
      <c r="A15495" s="6" t="n">
        <f aca="false">DATE(2026,5,10)</f>
        <v>46152</v>
      </c>
      <c r="B15495" s="4" t="s">
        <v>5435</v>
      </c>
      <c r="C15495" s="4" t="n">
        <v>2</v>
      </c>
      <c r="D15495" s="4" t="n">
        <v>13</v>
      </c>
      <c r="E15495" s="4" t="s">
        <v>339</v>
      </c>
      <c r="F15495" s="4" t="n">
        <v>4</v>
      </c>
      <c r="G15495" s="4" t="n">
        <v>14</v>
      </c>
      <c r="H15495" s="4" t="n">
        <v>4</v>
      </c>
      <c r="I15495" s="4" t="str">
        <v>×</v>
      </c>
      <c r="J15495" s="4"/>
      <c r="K15495" s="4"/>
      <c r="L15495" s="4"/>
      <c r="M15495" s="7" t="s">
        <v>6871</v>
      </c>
    </row>
    <row r="15496" customFormat="false" ht="15.75" hidden="false" customHeight="false" outlineLevel="0" collapsed="false">
      <c r="A15496" s="6" t="n">
        <f aca="false">DATE(2026,5,10)</f>
        <v>46152</v>
      </c>
      <c r="B15496" s="4" t="s">
        <v>5435</v>
      </c>
      <c r="C15496" s="4" t="n">
        <v>2</v>
      </c>
      <c r="D15496" s="4" t="n">
        <v>11</v>
      </c>
      <c r="E15496" s="4" t="s">
        <v>815</v>
      </c>
      <c r="F15496" s="4" t="n">
        <v>2</v>
      </c>
      <c r="G15496" s="4" t="n">
        <v>15</v>
      </c>
      <c r="H15496" s="4" t="n">
        <v>4</v>
      </c>
      <c r="I15496" s="4" t="str">
        <v>×</v>
      </c>
      <c r="J15496" s="4"/>
      <c r="K15496" s="4"/>
      <c r="L15496" s="4"/>
      <c r="M15496" s="7" t="s">
        <v>6871</v>
      </c>
    </row>
    <row r="15497" customFormat="false" ht="15.75" hidden="false" customHeight="false" outlineLevel="0" collapsed="false">
      <c r="A15497" s="6" t="n">
        <f aca="false">DATE(2026,5,10)</f>
        <v>46152</v>
      </c>
      <c r="B15497" s="4" t="s">
        <v>5435</v>
      </c>
      <c r="C15497" s="4" t="n">
        <v>2</v>
      </c>
      <c r="D15497" s="4" t="n">
        <v>15</v>
      </c>
      <c r="E15497" s="4" t="s">
        <v>7086</v>
      </c>
      <c r="F15497" s="4" t="n">
        <v>2</v>
      </c>
      <c r="G15497" s="4" t="n">
        <v>16</v>
      </c>
      <c r="H15497" s="4" t="n">
        <v>4</v>
      </c>
      <c r="I15497" s="4" t="str">
        <v>×</v>
      </c>
      <c r="J15497" s="4"/>
      <c r="K15497" s="4"/>
      <c r="L15497" s="4"/>
      <c r="M15497" s="7" t="s">
        <v>6871</v>
      </c>
    </row>
    <row r="15498" customFormat="false" ht="15.75" hidden="false" customHeight="false" outlineLevel="0" collapsed="false">
      <c r="A15498" s="6" t="n">
        <f aca="false">DATE(2026,5,10)</f>
        <v>46152</v>
      </c>
      <c r="B15498" s="4" t="s">
        <v>5435</v>
      </c>
      <c r="C15498" s="4" t="n">
        <v>3</v>
      </c>
      <c r="D15498" s="4" t="n">
        <v>1</v>
      </c>
      <c r="E15498" s="4" t="s">
        <v>5328</v>
      </c>
      <c r="F15498" s="4" t="n">
        <v>86</v>
      </c>
      <c r="G15498" s="4" t="n">
        <v>1</v>
      </c>
      <c r="H15498" s="4" t="n">
        <v>4</v>
      </c>
      <c r="I15498" s="4" t="str">
        <v>×</v>
      </c>
      <c r="J15498" s="4"/>
      <c r="K15498" s="4"/>
      <c r="L15498" s="4"/>
      <c r="M15498" s="7" t="s">
        <v>6871</v>
      </c>
    </row>
    <row r="15499" customFormat="false" ht="15.75" hidden="false" customHeight="false" outlineLevel="0" collapsed="false">
      <c r="A15499" s="6" t="n">
        <f aca="false">DATE(2026,5,10)</f>
        <v>46152</v>
      </c>
      <c r="B15499" s="4" t="s">
        <v>5435</v>
      </c>
      <c r="C15499" s="4" t="n">
        <v>3</v>
      </c>
      <c r="D15499" s="4" t="n">
        <v>11</v>
      </c>
      <c r="E15499" s="4" t="s">
        <v>2635</v>
      </c>
      <c r="F15499" s="4" t="n">
        <v>52</v>
      </c>
      <c r="G15499" s="4" t="n">
        <v>2</v>
      </c>
      <c r="H15499" s="4" t="n">
        <v>4</v>
      </c>
      <c r="I15499" s="4" t="str">
        <v>×</v>
      </c>
      <c r="J15499" s="4"/>
      <c r="K15499" s="4"/>
      <c r="L15499" s="4"/>
      <c r="M15499" s="7" t="s">
        <v>6871</v>
      </c>
    </row>
    <row r="15500" customFormat="false" ht="15.75" hidden="false" customHeight="false" outlineLevel="0" collapsed="false">
      <c r="A15500" s="6" t="n">
        <f aca="false">DATE(2026,5,10)</f>
        <v>46152</v>
      </c>
      <c r="B15500" s="4" t="s">
        <v>5435</v>
      </c>
      <c r="C15500" s="4" t="n">
        <v>3</v>
      </c>
      <c r="D15500" s="4" t="n">
        <v>6</v>
      </c>
      <c r="E15500" s="4" t="s">
        <v>2063</v>
      </c>
      <c r="F15500" s="4" t="n">
        <v>23</v>
      </c>
      <c r="G15500" s="4" t="n">
        <v>3</v>
      </c>
      <c r="H15500" s="4" t="n">
        <v>3</v>
      </c>
      <c r="I15500" s="4" t="str">
        <v>○</v>
      </c>
      <c r="J15500" s="4" t="n">
        <v>880</v>
      </c>
      <c r="K15500" s="4"/>
      <c r="L15500" s="4"/>
      <c r="M15500" s="7" t="s">
        <v>6871</v>
      </c>
    </row>
    <row r="15501" customFormat="false" ht="15.75" hidden="false" customHeight="false" outlineLevel="0" collapsed="false">
      <c r="A15501" s="6" t="n">
        <f aca="false">DATE(2026,5,10)</f>
        <v>46152</v>
      </c>
      <c r="B15501" s="4" t="s">
        <v>5435</v>
      </c>
      <c r="C15501" s="4" t="n">
        <v>3</v>
      </c>
      <c r="D15501" s="4" t="n">
        <v>2</v>
      </c>
      <c r="E15501" s="4" t="s">
        <v>3613</v>
      </c>
      <c r="F15501" s="4" t="n">
        <v>17</v>
      </c>
      <c r="G15501" s="4" t="n">
        <v>4</v>
      </c>
      <c r="H15501" s="4" t="n">
        <v>4</v>
      </c>
      <c r="I15501" s="4" t="str">
        <v>×</v>
      </c>
      <c r="J15501" s="4"/>
      <c r="K15501" s="4"/>
      <c r="L15501" s="4"/>
      <c r="M15501" s="7" t="s">
        <v>6871</v>
      </c>
    </row>
    <row r="15502" customFormat="false" ht="15.75" hidden="false" customHeight="false" outlineLevel="0" collapsed="false">
      <c r="A15502" s="6" t="n">
        <f aca="false">DATE(2026,5,10)</f>
        <v>46152</v>
      </c>
      <c r="B15502" s="4" t="s">
        <v>5435</v>
      </c>
      <c r="C15502" s="4" t="n">
        <v>3</v>
      </c>
      <c r="D15502" s="4" t="n">
        <v>3</v>
      </c>
      <c r="E15502" s="4" t="s">
        <v>7087</v>
      </c>
      <c r="F15502" s="4" t="n">
        <v>17</v>
      </c>
      <c r="G15502" s="4" t="n">
        <v>5</v>
      </c>
      <c r="H15502" s="4" t="n">
        <v>4</v>
      </c>
      <c r="I15502" s="4" t="str">
        <v>×</v>
      </c>
      <c r="J15502" s="4"/>
      <c r="K15502" s="4"/>
      <c r="L15502" s="4"/>
      <c r="M15502" s="7" t="s">
        <v>6871</v>
      </c>
    </row>
    <row r="15503" customFormat="false" ht="15.75" hidden="false" customHeight="false" outlineLevel="0" collapsed="false">
      <c r="A15503" s="6" t="n">
        <f aca="false">DATE(2026,5,10)</f>
        <v>46152</v>
      </c>
      <c r="B15503" s="4" t="s">
        <v>5435</v>
      </c>
      <c r="C15503" s="4" t="n">
        <v>3</v>
      </c>
      <c r="D15503" s="4" t="n">
        <v>4</v>
      </c>
      <c r="E15503" s="4" t="s">
        <v>7088</v>
      </c>
      <c r="F15503" s="4" t="n">
        <v>13</v>
      </c>
      <c r="G15503" s="4" t="n">
        <v>6</v>
      </c>
      <c r="H15503" s="4" t="n">
        <v>4</v>
      </c>
      <c r="I15503" s="4" t="str">
        <v>×</v>
      </c>
      <c r="J15503" s="4"/>
      <c r="K15503" s="4"/>
      <c r="L15503" s="4"/>
      <c r="M15503" s="7" t="s">
        <v>6871</v>
      </c>
    </row>
    <row r="15504" customFormat="false" ht="15.75" hidden="false" customHeight="false" outlineLevel="0" collapsed="false">
      <c r="A15504" s="6" t="n">
        <f aca="false">DATE(2026,5,10)</f>
        <v>46152</v>
      </c>
      <c r="B15504" s="4" t="s">
        <v>5435</v>
      </c>
      <c r="C15504" s="4" t="n">
        <v>3</v>
      </c>
      <c r="D15504" s="4" t="n">
        <v>9</v>
      </c>
      <c r="E15504" s="4" t="s">
        <v>7089</v>
      </c>
      <c r="F15504" s="4" t="n">
        <v>13</v>
      </c>
      <c r="G15504" s="4" t="n">
        <v>7</v>
      </c>
      <c r="H15504" s="4" t="n">
        <v>2</v>
      </c>
      <c r="I15504" s="4" t="str">
        <v>○</v>
      </c>
      <c r="J15504" s="4" t="n">
        <v>1230</v>
      </c>
      <c r="K15504" s="4"/>
      <c r="L15504" s="4"/>
      <c r="M15504" s="7" t="s">
        <v>6871</v>
      </c>
    </row>
    <row r="15505" customFormat="false" ht="15.75" hidden="false" customHeight="false" outlineLevel="0" collapsed="false">
      <c r="A15505" s="6" t="n">
        <f aca="false">DATE(2026,5,10)</f>
        <v>46152</v>
      </c>
      <c r="B15505" s="4" t="s">
        <v>5435</v>
      </c>
      <c r="C15505" s="4" t="n">
        <v>3</v>
      </c>
      <c r="D15505" s="4" t="n">
        <v>5</v>
      </c>
      <c r="E15505" s="4" t="s">
        <v>6103</v>
      </c>
      <c r="F15505" s="4" t="n">
        <v>10</v>
      </c>
      <c r="G15505" s="4" t="n">
        <v>8</v>
      </c>
      <c r="H15505" s="4" t="n">
        <v>4</v>
      </c>
      <c r="I15505" s="4" t="str">
        <v>×</v>
      </c>
      <c r="J15505" s="4"/>
      <c r="K15505" s="4"/>
      <c r="L15505" s="4"/>
      <c r="M15505" s="7" t="s">
        <v>6871</v>
      </c>
    </row>
    <row r="15506" customFormat="false" ht="15.75" hidden="false" customHeight="false" outlineLevel="0" collapsed="false">
      <c r="A15506" s="6" t="n">
        <f aca="false">DATE(2026,5,10)</f>
        <v>46152</v>
      </c>
      <c r="B15506" s="4" t="s">
        <v>5435</v>
      </c>
      <c r="C15506" s="4" t="n">
        <v>3</v>
      </c>
      <c r="D15506" s="4" t="n">
        <v>8</v>
      </c>
      <c r="E15506" s="4" t="s">
        <v>6226</v>
      </c>
      <c r="F15506" s="4" t="n">
        <v>10</v>
      </c>
      <c r="G15506" s="4" t="n">
        <v>9</v>
      </c>
      <c r="H15506" s="4" t="n">
        <v>4</v>
      </c>
      <c r="I15506" s="4" t="str">
        <v>×</v>
      </c>
      <c r="J15506" s="4"/>
      <c r="K15506" s="4"/>
      <c r="L15506" s="4"/>
      <c r="M15506" s="7" t="s">
        <v>6871</v>
      </c>
    </row>
    <row r="15507" customFormat="false" ht="15.75" hidden="false" customHeight="false" outlineLevel="0" collapsed="false">
      <c r="A15507" s="6" t="n">
        <f aca="false">DATE(2026,5,10)</f>
        <v>46152</v>
      </c>
      <c r="B15507" s="4" t="s">
        <v>5435</v>
      </c>
      <c r="C15507" s="4" t="n">
        <v>3</v>
      </c>
      <c r="D15507" s="4" t="n">
        <v>12</v>
      </c>
      <c r="E15507" s="4" t="s">
        <v>2038</v>
      </c>
      <c r="F15507" s="4" t="n">
        <v>10</v>
      </c>
      <c r="G15507" s="4" t="n">
        <v>10</v>
      </c>
      <c r="H15507" s="4" t="n">
        <v>4</v>
      </c>
      <c r="I15507" s="4" t="str">
        <v>×</v>
      </c>
      <c r="J15507" s="4"/>
      <c r="K15507" s="4"/>
      <c r="L15507" s="4"/>
      <c r="M15507" s="7" t="s">
        <v>6871</v>
      </c>
    </row>
    <row r="15508" customFormat="false" ht="15.75" hidden="false" customHeight="false" outlineLevel="0" collapsed="false">
      <c r="A15508" s="6" t="n">
        <f aca="false">DATE(2026,5,10)</f>
        <v>46152</v>
      </c>
      <c r="B15508" s="4" t="s">
        <v>5435</v>
      </c>
      <c r="C15508" s="4" t="n">
        <v>3</v>
      </c>
      <c r="D15508" s="4" t="n">
        <v>7</v>
      </c>
      <c r="E15508" s="4" t="s">
        <v>3960</v>
      </c>
      <c r="F15508" s="4" t="n">
        <v>6</v>
      </c>
      <c r="G15508" s="4" t="n">
        <v>11</v>
      </c>
      <c r="H15508" s="4" t="n">
        <v>1</v>
      </c>
      <c r="I15508" s="4" t="str">
        <v>○</v>
      </c>
      <c r="J15508" s="4" t="n">
        <v>2900</v>
      </c>
      <c r="K15508" s="4"/>
      <c r="L15508" s="4"/>
      <c r="M15508" s="7" t="s">
        <v>6871</v>
      </c>
    </row>
    <row r="15509" customFormat="false" ht="15.75" hidden="false" customHeight="false" outlineLevel="0" collapsed="false">
      <c r="A15509" s="6" t="n">
        <f aca="false">DATE(2026,5,10)</f>
        <v>46152</v>
      </c>
      <c r="B15509" s="4" t="s">
        <v>5435</v>
      </c>
      <c r="C15509" s="4" t="n">
        <v>3</v>
      </c>
      <c r="D15509" s="4" t="n">
        <v>10</v>
      </c>
      <c r="E15509" s="4" t="s">
        <v>7090</v>
      </c>
      <c r="F15509" s="4" t="n">
        <v>6</v>
      </c>
      <c r="G15509" s="4" t="n">
        <v>12</v>
      </c>
      <c r="H15509" s="4" t="n">
        <v>4</v>
      </c>
      <c r="I15509" s="4" t="str">
        <v>×</v>
      </c>
      <c r="J15509" s="4"/>
      <c r="K15509" s="4"/>
      <c r="L15509" s="4"/>
      <c r="M15509" s="7" t="s">
        <v>6871</v>
      </c>
    </row>
    <row r="15510" customFormat="false" ht="15.75" hidden="false" customHeight="false" outlineLevel="0" collapsed="false">
      <c r="A15510" s="6" t="n">
        <f aca="false">DATE(2026,5,10)</f>
        <v>46152</v>
      </c>
      <c r="B15510" s="4" t="s">
        <v>5435</v>
      </c>
      <c r="C15510" s="4" t="n">
        <v>4</v>
      </c>
      <c r="D15510" s="4" t="n">
        <v>16</v>
      </c>
      <c r="E15510" s="4" t="s">
        <v>321</v>
      </c>
      <c r="F15510" s="4" t="n">
        <v>74</v>
      </c>
      <c r="G15510" s="4" t="n">
        <v>1</v>
      </c>
      <c r="H15510" s="4" t="n">
        <v>4</v>
      </c>
      <c r="I15510" s="4" t="str">
        <v>×</v>
      </c>
      <c r="J15510" s="4"/>
      <c r="K15510" s="4"/>
      <c r="L15510" s="4"/>
      <c r="M15510" s="7" t="s">
        <v>6871</v>
      </c>
    </row>
    <row r="15511" customFormat="false" ht="15.75" hidden="false" customHeight="false" outlineLevel="0" collapsed="false">
      <c r="A15511" s="6" t="n">
        <f aca="false">DATE(2026,5,10)</f>
        <v>46152</v>
      </c>
      <c r="B15511" s="4" t="s">
        <v>5435</v>
      </c>
      <c r="C15511" s="4" t="n">
        <v>4</v>
      </c>
      <c r="D15511" s="4" t="n">
        <v>9</v>
      </c>
      <c r="E15511" s="4" t="s">
        <v>386</v>
      </c>
      <c r="F15511" s="4" t="n">
        <v>39</v>
      </c>
      <c r="G15511" s="4" t="n">
        <v>2</v>
      </c>
      <c r="H15511" s="4" t="n">
        <v>4</v>
      </c>
      <c r="I15511" s="4" t="str">
        <v>×</v>
      </c>
      <c r="J15511" s="4"/>
      <c r="K15511" s="4"/>
      <c r="L15511" s="4"/>
      <c r="M15511" s="7" t="s">
        <v>6871</v>
      </c>
    </row>
    <row r="15512" customFormat="false" ht="15.75" hidden="false" customHeight="false" outlineLevel="0" collapsed="false">
      <c r="A15512" s="6" t="n">
        <f aca="false">DATE(2026,5,10)</f>
        <v>46152</v>
      </c>
      <c r="B15512" s="4" t="s">
        <v>5435</v>
      </c>
      <c r="C15512" s="4" t="n">
        <v>4</v>
      </c>
      <c r="D15512" s="4" t="n">
        <v>1</v>
      </c>
      <c r="E15512" s="4" t="s">
        <v>3691</v>
      </c>
      <c r="F15512" s="4" t="n">
        <v>29</v>
      </c>
      <c r="G15512" s="4" t="n">
        <v>3</v>
      </c>
      <c r="H15512" s="4" t="n">
        <v>1</v>
      </c>
      <c r="I15512" s="4" t="str">
        <v>○</v>
      </c>
      <c r="J15512" s="4" t="n">
        <v>310</v>
      </c>
      <c r="K15512" s="4"/>
      <c r="L15512" s="4"/>
      <c r="M15512" s="7" t="s">
        <v>6871</v>
      </c>
    </row>
    <row r="15513" customFormat="false" ht="15.75" hidden="false" customHeight="false" outlineLevel="0" collapsed="false">
      <c r="A15513" s="6" t="n">
        <f aca="false">DATE(2026,5,10)</f>
        <v>46152</v>
      </c>
      <c r="B15513" s="4" t="s">
        <v>5435</v>
      </c>
      <c r="C15513" s="4" t="n">
        <v>4</v>
      </c>
      <c r="D15513" s="4" t="n">
        <v>5</v>
      </c>
      <c r="E15513" s="4" t="s">
        <v>3845</v>
      </c>
      <c r="F15513" s="4" t="n">
        <v>29</v>
      </c>
      <c r="G15513" s="4" t="n">
        <v>4</v>
      </c>
      <c r="H15513" s="4" t="n">
        <v>4</v>
      </c>
      <c r="I15513" s="4" t="str">
        <v>×</v>
      </c>
      <c r="J15513" s="4"/>
      <c r="K15513" s="4"/>
      <c r="L15513" s="4"/>
      <c r="M15513" s="7" t="s">
        <v>6871</v>
      </c>
    </row>
    <row r="15514" customFormat="false" ht="15.75" hidden="false" customHeight="false" outlineLevel="0" collapsed="false">
      <c r="A15514" s="6" t="n">
        <f aca="false">DATE(2026,5,10)</f>
        <v>46152</v>
      </c>
      <c r="B15514" s="4" t="s">
        <v>5435</v>
      </c>
      <c r="C15514" s="4" t="n">
        <v>4</v>
      </c>
      <c r="D15514" s="4" t="n">
        <v>15</v>
      </c>
      <c r="E15514" s="4" t="s">
        <v>2818</v>
      </c>
      <c r="F15514" s="4" t="n">
        <v>29</v>
      </c>
      <c r="G15514" s="4" t="n">
        <v>5</v>
      </c>
      <c r="H15514" s="4" t="n">
        <v>4</v>
      </c>
      <c r="I15514" s="4" t="str">
        <v>×</v>
      </c>
      <c r="J15514" s="4"/>
      <c r="K15514" s="4"/>
      <c r="L15514" s="4"/>
      <c r="M15514" s="7" t="s">
        <v>6871</v>
      </c>
    </row>
    <row r="15515" customFormat="false" ht="15.75" hidden="false" customHeight="false" outlineLevel="0" collapsed="false">
      <c r="A15515" s="6" t="n">
        <f aca="false">DATE(2026,5,10)</f>
        <v>46152</v>
      </c>
      <c r="B15515" s="4" t="s">
        <v>5435</v>
      </c>
      <c r="C15515" s="4" t="n">
        <v>4</v>
      </c>
      <c r="D15515" s="4" t="n">
        <v>4</v>
      </c>
      <c r="E15515" s="4" t="s">
        <v>7091</v>
      </c>
      <c r="F15515" s="4" t="n">
        <v>25</v>
      </c>
      <c r="G15515" s="4" t="n">
        <v>6</v>
      </c>
      <c r="H15515" s="4" t="n">
        <v>4</v>
      </c>
      <c r="I15515" s="4" t="str">
        <v>×</v>
      </c>
      <c r="J15515" s="4"/>
      <c r="K15515" s="4"/>
      <c r="L15515" s="4"/>
      <c r="M15515" s="7" t="s">
        <v>6871</v>
      </c>
    </row>
    <row r="15516" customFormat="false" ht="15.75" hidden="false" customHeight="false" outlineLevel="0" collapsed="false">
      <c r="A15516" s="6" t="n">
        <f aca="false">DATE(2026,5,10)</f>
        <v>46152</v>
      </c>
      <c r="B15516" s="4" t="s">
        <v>5435</v>
      </c>
      <c r="C15516" s="4" t="n">
        <v>4</v>
      </c>
      <c r="D15516" s="4" t="n">
        <v>2</v>
      </c>
      <c r="E15516" s="4" t="s">
        <v>7092</v>
      </c>
      <c r="F15516" s="4" t="n">
        <v>23</v>
      </c>
      <c r="G15516" s="4" t="n">
        <v>7</v>
      </c>
      <c r="H15516" s="4" t="n">
        <v>4</v>
      </c>
      <c r="I15516" s="4" t="str">
        <v>×</v>
      </c>
      <c r="J15516" s="4"/>
      <c r="K15516" s="4"/>
      <c r="L15516" s="4"/>
      <c r="M15516" s="7" t="s">
        <v>6871</v>
      </c>
    </row>
    <row r="15517" customFormat="false" ht="15.75" hidden="false" customHeight="false" outlineLevel="0" collapsed="false">
      <c r="A15517" s="6" t="n">
        <f aca="false">DATE(2026,5,10)</f>
        <v>46152</v>
      </c>
      <c r="B15517" s="4" t="s">
        <v>5435</v>
      </c>
      <c r="C15517" s="4" t="n">
        <v>4</v>
      </c>
      <c r="D15517" s="4" t="n">
        <v>6</v>
      </c>
      <c r="E15517" s="4" t="s">
        <v>6571</v>
      </c>
      <c r="F15517" s="4" t="n">
        <v>23</v>
      </c>
      <c r="G15517" s="4" t="n">
        <v>8</v>
      </c>
      <c r="H15517" s="4" t="n">
        <v>4</v>
      </c>
      <c r="I15517" s="4" t="str">
        <v>×</v>
      </c>
      <c r="J15517" s="4"/>
      <c r="K15517" s="4"/>
      <c r="L15517" s="4"/>
      <c r="M15517" s="7" t="s">
        <v>6871</v>
      </c>
    </row>
    <row r="15518" customFormat="false" ht="15.75" hidden="false" customHeight="false" outlineLevel="0" collapsed="false">
      <c r="A15518" s="6" t="n">
        <f aca="false">DATE(2026,5,10)</f>
        <v>46152</v>
      </c>
      <c r="B15518" s="4" t="s">
        <v>5435</v>
      </c>
      <c r="C15518" s="4" t="n">
        <v>4</v>
      </c>
      <c r="D15518" s="4" t="n">
        <v>10</v>
      </c>
      <c r="E15518" s="4" t="s">
        <v>2474</v>
      </c>
      <c r="F15518" s="4" t="n">
        <v>20</v>
      </c>
      <c r="G15518" s="4" t="n">
        <v>9</v>
      </c>
      <c r="H15518" s="4" t="n">
        <v>3</v>
      </c>
      <c r="I15518" s="4" t="str">
        <v>○</v>
      </c>
      <c r="J15518" s="4" t="n">
        <v>430</v>
      </c>
      <c r="K15518" s="4"/>
      <c r="L15518" s="4"/>
      <c r="M15518" s="7" t="s">
        <v>6871</v>
      </c>
    </row>
    <row r="15519" customFormat="false" ht="15.75" hidden="false" customHeight="false" outlineLevel="0" collapsed="false">
      <c r="A15519" s="6" t="n">
        <f aca="false">DATE(2026,5,10)</f>
        <v>46152</v>
      </c>
      <c r="B15519" s="4" t="s">
        <v>5435</v>
      </c>
      <c r="C15519" s="4" t="n">
        <v>4</v>
      </c>
      <c r="D15519" s="4" t="n">
        <v>11</v>
      </c>
      <c r="E15519" s="4" t="s">
        <v>7093</v>
      </c>
      <c r="F15519" s="4" t="n">
        <v>17</v>
      </c>
      <c r="G15519" s="4" t="n">
        <v>10</v>
      </c>
      <c r="H15519" s="4" t="n">
        <v>4</v>
      </c>
      <c r="I15519" s="4" t="str">
        <v>×</v>
      </c>
      <c r="J15519" s="4"/>
      <c r="K15519" s="4"/>
      <c r="L15519" s="4"/>
      <c r="M15519" s="7" t="s">
        <v>6871</v>
      </c>
    </row>
    <row r="15520" customFormat="false" ht="15.75" hidden="false" customHeight="false" outlineLevel="0" collapsed="false">
      <c r="A15520" s="6" t="n">
        <f aca="false">DATE(2026,5,10)</f>
        <v>46152</v>
      </c>
      <c r="B15520" s="4" t="s">
        <v>5435</v>
      </c>
      <c r="C15520" s="4" t="n">
        <v>4</v>
      </c>
      <c r="D15520" s="4" t="n">
        <v>14</v>
      </c>
      <c r="E15520" s="4" t="s">
        <v>2930</v>
      </c>
      <c r="F15520" s="4" t="n">
        <v>17</v>
      </c>
      <c r="G15520" s="4" t="n">
        <v>11</v>
      </c>
      <c r="H15520" s="4" t="n">
        <v>4</v>
      </c>
      <c r="I15520" s="4" t="str">
        <v>×</v>
      </c>
      <c r="J15520" s="4"/>
      <c r="K15520" s="4"/>
      <c r="L15520" s="4"/>
      <c r="M15520" s="7" t="s">
        <v>6871</v>
      </c>
    </row>
    <row r="15521" customFormat="false" ht="15.75" hidden="false" customHeight="false" outlineLevel="0" collapsed="false">
      <c r="A15521" s="6" t="n">
        <f aca="false">DATE(2026,5,10)</f>
        <v>46152</v>
      </c>
      <c r="B15521" s="4" t="s">
        <v>5435</v>
      </c>
      <c r="C15521" s="4" t="n">
        <v>4</v>
      </c>
      <c r="D15521" s="4" t="n">
        <v>13</v>
      </c>
      <c r="E15521" s="4" t="s">
        <v>5670</v>
      </c>
      <c r="F15521" s="4" t="n">
        <v>10</v>
      </c>
      <c r="G15521" s="4" t="n">
        <v>12</v>
      </c>
      <c r="H15521" s="4" t="n">
        <v>2</v>
      </c>
      <c r="I15521" s="4" t="str">
        <v>○</v>
      </c>
      <c r="J15521" s="4" t="n">
        <v>2370</v>
      </c>
      <c r="K15521" s="4"/>
      <c r="L15521" s="4"/>
      <c r="M15521" s="7" t="s">
        <v>6871</v>
      </c>
    </row>
    <row r="15522" customFormat="false" ht="15.75" hidden="false" customHeight="false" outlineLevel="0" collapsed="false">
      <c r="A15522" s="6" t="n">
        <f aca="false">DATE(2026,5,10)</f>
        <v>46152</v>
      </c>
      <c r="B15522" s="4" t="s">
        <v>5435</v>
      </c>
      <c r="C15522" s="4" t="n">
        <v>4</v>
      </c>
      <c r="D15522" s="4" t="n">
        <v>17</v>
      </c>
      <c r="E15522" s="4" t="s">
        <v>5673</v>
      </c>
      <c r="F15522" s="4" t="n">
        <v>4</v>
      </c>
      <c r="G15522" s="4" t="n">
        <v>13</v>
      </c>
      <c r="H15522" s="4" t="n">
        <v>4</v>
      </c>
      <c r="I15522" s="4" t="str">
        <v>×</v>
      </c>
      <c r="J15522" s="4"/>
      <c r="K15522" s="4"/>
      <c r="L15522" s="4"/>
      <c r="M15522" s="7" t="s">
        <v>6871</v>
      </c>
    </row>
    <row r="15523" customFormat="false" ht="15.75" hidden="false" customHeight="false" outlineLevel="0" collapsed="false">
      <c r="A15523" s="6" t="n">
        <f aca="false">DATE(2026,5,10)</f>
        <v>46152</v>
      </c>
      <c r="B15523" s="4" t="s">
        <v>5435</v>
      </c>
      <c r="C15523" s="4" t="n">
        <v>4</v>
      </c>
      <c r="D15523" s="4" t="n">
        <v>3</v>
      </c>
      <c r="E15523" s="4" t="s">
        <v>5534</v>
      </c>
      <c r="F15523" s="4" t="n">
        <v>2</v>
      </c>
      <c r="G15523" s="4" t="n">
        <v>14</v>
      </c>
      <c r="H15523" s="4" t="n">
        <v>4</v>
      </c>
      <c r="I15523" s="4" t="str">
        <v>×</v>
      </c>
      <c r="J15523" s="4"/>
      <c r="K15523" s="4"/>
      <c r="L15523" s="4"/>
      <c r="M15523" s="7" t="s">
        <v>6871</v>
      </c>
    </row>
    <row r="15524" customFormat="false" ht="15.75" hidden="false" customHeight="false" outlineLevel="0" collapsed="false">
      <c r="A15524" s="6" t="n">
        <f aca="false">DATE(2026,5,10)</f>
        <v>46152</v>
      </c>
      <c r="B15524" s="4" t="s">
        <v>5435</v>
      </c>
      <c r="C15524" s="4" t="n">
        <v>4</v>
      </c>
      <c r="D15524" s="4" t="n">
        <v>7</v>
      </c>
      <c r="E15524" s="4" t="s">
        <v>2463</v>
      </c>
      <c r="F15524" s="4" t="n">
        <v>2</v>
      </c>
      <c r="G15524" s="4" t="n">
        <v>15</v>
      </c>
      <c r="H15524" s="4" t="n">
        <v>4</v>
      </c>
      <c r="I15524" s="4" t="str">
        <v>×</v>
      </c>
      <c r="J15524" s="4"/>
      <c r="K15524" s="4"/>
      <c r="L15524" s="4"/>
      <c r="M15524" s="7" t="s">
        <v>6871</v>
      </c>
    </row>
    <row r="15525" customFormat="false" ht="15.75" hidden="false" customHeight="false" outlineLevel="0" collapsed="false">
      <c r="A15525" s="6" t="n">
        <f aca="false">DATE(2026,5,10)</f>
        <v>46152</v>
      </c>
      <c r="B15525" s="4" t="s">
        <v>5435</v>
      </c>
      <c r="C15525" s="4" t="n">
        <v>4</v>
      </c>
      <c r="D15525" s="4" t="n">
        <v>8</v>
      </c>
      <c r="E15525" s="4" t="s">
        <v>7094</v>
      </c>
      <c r="F15525" s="4" t="n">
        <v>2</v>
      </c>
      <c r="G15525" s="4" t="n">
        <v>16</v>
      </c>
      <c r="H15525" s="4" t="n">
        <v>4</v>
      </c>
      <c r="I15525" s="4" t="str">
        <v>×</v>
      </c>
      <c r="J15525" s="4"/>
      <c r="K15525" s="4"/>
      <c r="L15525" s="4"/>
      <c r="M15525" s="7" t="s">
        <v>6871</v>
      </c>
    </row>
    <row r="15526" customFormat="false" ht="15.75" hidden="false" customHeight="false" outlineLevel="0" collapsed="false">
      <c r="A15526" s="6" t="n">
        <f aca="false">DATE(2026,5,10)</f>
        <v>46152</v>
      </c>
      <c r="B15526" s="4" t="s">
        <v>5435</v>
      </c>
      <c r="C15526" s="4" t="n">
        <v>4</v>
      </c>
      <c r="D15526" s="4" t="n">
        <v>12</v>
      </c>
      <c r="E15526" s="4" t="s">
        <v>5511</v>
      </c>
      <c r="F15526" s="4" t="n">
        <v>2</v>
      </c>
      <c r="G15526" s="4" t="n">
        <v>17</v>
      </c>
      <c r="H15526" s="4" t="n">
        <v>4</v>
      </c>
      <c r="I15526" s="4" t="str">
        <v>×</v>
      </c>
      <c r="J15526" s="4"/>
      <c r="K15526" s="4"/>
      <c r="L15526" s="4"/>
      <c r="M15526" s="7" t="s">
        <v>6871</v>
      </c>
    </row>
    <row r="15527" customFormat="false" ht="15.75" hidden="false" customHeight="false" outlineLevel="0" collapsed="false">
      <c r="A15527" s="6" t="n">
        <f aca="false">DATE(2026,5,10)</f>
        <v>46152</v>
      </c>
      <c r="B15527" s="4" t="s">
        <v>5435</v>
      </c>
      <c r="C15527" s="4" t="n">
        <v>5</v>
      </c>
      <c r="D15527" s="4" t="n">
        <v>8</v>
      </c>
      <c r="E15527" s="4" t="s">
        <v>1625</v>
      </c>
      <c r="F15527" s="4" t="n">
        <v>71</v>
      </c>
      <c r="G15527" s="4" t="n">
        <v>1</v>
      </c>
      <c r="H15527" s="4" t="n">
        <v>2</v>
      </c>
      <c r="I15527" s="4" t="str">
        <v>○</v>
      </c>
      <c r="J15527" s="4" t="n">
        <v>110</v>
      </c>
      <c r="K15527" s="4"/>
      <c r="L15527" s="4"/>
      <c r="M15527" s="7" t="s">
        <v>6871</v>
      </c>
    </row>
    <row r="15528" customFormat="false" ht="15.75" hidden="false" customHeight="false" outlineLevel="0" collapsed="false">
      <c r="A15528" s="6" t="n">
        <f aca="false">DATE(2026,5,10)</f>
        <v>46152</v>
      </c>
      <c r="B15528" s="4" t="s">
        <v>5435</v>
      </c>
      <c r="C15528" s="4" t="n">
        <v>5</v>
      </c>
      <c r="D15528" s="4" t="n">
        <v>9</v>
      </c>
      <c r="E15528" s="4" t="s">
        <v>278</v>
      </c>
      <c r="F15528" s="4" t="n">
        <v>44</v>
      </c>
      <c r="G15528" s="4" t="n">
        <v>2</v>
      </c>
      <c r="H15528" s="4" t="n">
        <v>1</v>
      </c>
      <c r="I15528" s="4" t="str">
        <v>○</v>
      </c>
      <c r="J15528" s="4" t="n">
        <v>180</v>
      </c>
      <c r="K15528" s="4"/>
      <c r="L15528" s="4"/>
      <c r="M15528" s="7" t="s">
        <v>6871</v>
      </c>
    </row>
    <row r="15529" customFormat="false" ht="15.75" hidden="false" customHeight="false" outlineLevel="0" collapsed="false">
      <c r="A15529" s="6" t="n">
        <f aca="false">DATE(2026,5,10)</f>
        <v>46152</v>
      </c>
      <c r="B15529" s="4" t="s">
        <v>5435</v>
      </c>
      <c r="C15529" s="4" t="n">
        <v>5</v>
      </c>
      <c r="D15529" s="4" t="n">
        <v>10</v>
      </c>
      <c r="E15529" s="4" t="s">
        <v>215</v>
      </c>
      <c r="F15529" s="4" t="n">
        <v>29</v>
      </c>
      <c r="G15529" s="4" t="n">
        <v>3</v>
      </c>
      <c r="H15529" s="4" t="n">
        <v>4</v>
      </c>
      <c r="I15529" s="4" t="str">
        <v>×</v>
      </c>
      <c r="J15529" s="4"/>
      <c r="K15529" s="4"/>
      <c r="L15529" s="4"/>
      <c r="M15529" s="7" t="s">
        <v>6871</v>
      </c>
    </row>
    <row r="15530" customFormat="false" ht="15.75" hidden="false" customHeight="false" outlineLevel="0" collapsed="false">
      <c r="A15530" s="6" t="n">
        <f aca="false">DATE(2026,5,10)</f>
        <v>46152</v>
      </c>
      <c r="B15530" s="4" t="s">
        <v>5435</v>
      </c>
      <c r="C15530" s="4" t="n">
        <v>5</v>
      </c>
      <c r="D15530" s="4" t="n">
        <v>3</v>
      </c>
      <c r="E15530" s="4" t="s">
        <v>329</v>
      </c>
      <c r="F15530" s="4" t="n">
        <v>23</v>
      </c>
      <c r="G15530" s="4" t="n">
        <v>4</v>
      </c>
      <c r="H15530" s="4" t="n">
        <v>4</v>
      </c>
      <c r="I15530" s="4" t="str">
        <v>×</v>
      </c>
      <c r="J15530" s="4"/>
      <c r="K15530" s="4"/>
      <c r="L15530" s="4"/>
      <c r="M15530" s="7" t="s">
        <v>6871</v>
      </c>
    </row>
    <row r="15531" customFormat="false" ht="15.75" hidden="false" customHeight="false" outlineLevel="0" collapsed="false">
      <c r="A15531" s="6" t="n">
        <f aca="false">DATE(2026,5,10)</f>
        <v>46152</v>
      </c>
      <c r="B15531" s="4" t="s">
        <v>5435</v>
      </c>
      <c r="C15531" s="4" t="n">
        <v>5</v>
      </c>
      <c r="D15531" s="4" t="n">
        <v>5</v>
      </c>
      <c r="E15531" s="4" t="s">
        <v>1170</v>
      </c>
      <c r="F15531" s="4" t="n">
        <v>17</v>
      </c>
      <c r="G15531" s="4" t="n">
        <v>5</v>
      </c>
      <c r="H15531" s="4" t="n">
        <v>4</v>
      </c>
      <c r="I15531" s="4" t="str">
        <v>×</v>
      </c>
      <c r="J15531" s="4"/>
      <c r="K15531" s="4"/>
      <c r="L15531" s="4"/>
      <c r="M15531" s="7" t="s">
        <v>6871</v>
      </c>
    </row>
    <row r="15532" customFormat="false" ht="15.75" hidden="false" customHeight="false" outlineLevel="0" collapsed="false">
      <c r="A15532" s="6" t="n">
        <f aca="false">DATE(2026,5,10)</f>
        <v>46152</v>
      </c>
      <c r="B15532" s="4" t="s">
        <v>5435</v>
      </c>
      <c r="C15532" s="4" t="n">
        <v>5</v>
      </c>
      <c r="D15532" s="4" t="n">
        <v>13</v>
      </c>
      <c r="E15532" s="4" t="s">
        <v>2838</v>
      </c>
      <c r="F15532" s="4" t="n">
        <v>17</v>
      </c>
      <c r="G15532" s="4" t="n">
        <v>6</v>
      </c>
      <c r="H15532" s="4" t="n">
        <v>3</v>
      </c>
      <c r="I15532" s="4" t="str">
        <v>○</v>
      </c>
      <c r="J15532" s="4" t="n">
        <v>470</v>
      </c>
      <c r="K15532" s="4"/>
      <c r="L15532" s="4"/>
      <c r="M15532" s="7" t="s">
        <v>6871</v>
      </c>
    </row>
    <row r="15533" customFormat="false" ht="15.75" hidden="false" customHeight="false" outlineLevel="0" collapsed="false">
      <c r="A15533" s="6" t="n">
        <f aca="false">DATE(2026,5,10)</f>
        <v>46152</v>
      </c>
      <c r="B15533" s="4" t="s">
        <v>5435</v>
      </c>
      <c r="C15533" s="4" t="n">
        <v>5</v>
      </c>
      <c r="D15533" s="4" t="n">
        <v>2</v>
      </c>
      <c r="E15533" s="4" t="s">
        <v>3617</v>
      </c>
      <c r="F15533" s="4" t="n">
        <v>13</v>
      </c>
      <c r="G15533" s="4" t="n">
        <v>7</v>
      </c>
      <c r="H15533" s="4" t="n">
        <v>4</v>
      </c>
      <c r="I15533" s="4" t="str">
        <v>×</v>
      </c>
      <c r="J15533" s="4"/>
      <c r="K15533" s="4"/>
      <c r="L15533" s="4"/>
      <c r="M15533" s="7" t="s">
        <v>6871</v>
      </c>
    </row>
    <row r="15534" customFormat="false" ht="15.75" hidden="false" customHeight="false" outlineLevel="0" collapsed="false">
      <c r="A15534" s="6" t="n">
        <f aca="false">DATE(2026,5,10)</f>
        <v>46152</v>
      </c>
      <c r="B15534" s="4" t="s">
        <v>5435</v>
      </c>
      <c r="C15534" s="4" t="n">
        <v>5</v>
      </c>
      <c r="D15534" s="4" t="n">
        <v>4</v>
      </c>
      <c r="E15534" s="4" t="s">
        <v>5453</v>
      </c>
      <c r="F15534" s="4" t="n">
        <v>13</v>
      </c>
      <c r="G15534" s="4" t="n">
        <v>8</v>
      </c>
      <c r="H15534" s="4" t="n">
        <v>4</v>
      </c>
      <c r="I15534" s="4" t="str">
        <v>×</v>
      </c>
      <c r="J15534" s="4"/>
      <c r="K15534" s="4"/>
      <c r="L15534" s="4"/>
      <c r="M15534" s="7" t="s">
        <v>6871</v>
      </c>
    </row>
    <row r="15535" customFormat="false" ht="15.75" hidden="false" customHeight="false" outlineLevel="0" collapsed="false">
      <c r="A15535" s="6" t="n">
        <f aca="false">DATE(2026,5,10)</f>
        <v>46152</v>
      </c>
      <c r="B15535" s="4" t="s">
        <v>5435</v>
      </c>
      <c r="C15535" s="4" t="n">
        <v>5</v>
      </c>
      <c r="D15535" s="4" t="n">
        <v>7</v>
      </c>
      <c r="E15535" s="4" t="s">
        <v>2567</v>
      </c>
      <c r="F15535" s="4" t="n">
        <v>13</v>
      </c>
      <c r="G15535" s="4" t="n">
        <v>9</v>
      </c>
      <c r="H15535" s="4" t="n">
        <v>4</v>
      </c>
      <c r="I15535" s="4" t="str">
        <v>×</v>
      </c>
      <c r="J15535" s="4"/>
      <c r="K15535" s="4"/>
      <c r="L15535" s="4"/>
      <c r="M15535" s="7" t="s">
        <v>6871</v>
      </c>
    </row>
    <row r="15536" customFormat="false" ht="15.75" hidden="false" customHeight="false" outlineLevel="0" collapsed="false">
      <c r="A15536" s="6" t="n">
        <f aca="false">DATE(2026,5,10)</f>
        <v>46152</v>
      </c>
      <c r="B15536" s="4" t="s">
        <v>5435</v>
      </c>
      <c r="C15536" s="4" t="n">
        <v>5</v>
      </c>
      <c r="D15536" s="4" t="n">
        <v>1</v>
      </c>
      <c r="E15536" s="4" t="s">
        <v>3147</v>
      </c>
      <c r="F15536" s="4" t="n">
        <v>10</v>
      </c>
      <c r="G15536" s="4" t="n">
        <v>10</v>
      </c>
      <c r="H15536" s="4" t="n">
        <v>4</v>
      </c>
      <c r="I15536" s="4" t="str">
        <v>×</v>
      </c>
      <c r="J15536" s="4"/>
      <c r="K15536" s="4"/>
      <c r="L15536" s="4"/>
      <c r="M15536" s="7" t="s">
        <v>6871</v>
      </c>
    </row>
    <row r="15537" customFormat="false" ht="15.75" hidden="false" customHeight="false" outlineLevel="0" collapsed="false">
      <c r="A15537" s="6" t="n">
        <f aca="false">DATE(2026,5,10)</f>
        <v>46152</v>
      </c>
      <c r="B15537" s="4" t="s">
        <v>5435</v>
      </c>
      <c r="C15537" s="4" t="n">
        <v>5</v>
      </c>
      <c r="D15537" s="4" t="n">
        <v>6</v>
      </c>
      <c r="E15537" s="4" t="s">
        <v>4390</v>
      </c>
      <c r="F15537" s="4" t="n">
        <v>10</v>
      </c>
      <c r="G15537" s="4" t="n">
        <v>11</v>
      </c>
      <c r="H15537" s="4" t="n">
        <v>4</v>
      </c>
      <c r="I15537" s="4" t="str">
        <v>×</v>
      </c>
      <c r="J15537" s="4"/>
      <c r="K15537" s="4"/>
      <c r="L15537" s="4"/>
      <c r="M15537" s="7" t="s">
        <v>6871</v>
      </c>
    </row>
    <row r="15538" customFormat="false" ht="15.75" hidden="false" customHeight="false" outlineLevel="0" collapsed="false">
      <c r="A15538" s="6" t="n">
        <f aca="false">DATE(2026,5,10)</f>
        <v>46152</v>
      </c>
      <c r="B15538" s="4" t="s">
        <v>5435</v>
      </c>
      <c r="C15538" s="4" t="n">
        <v>5</v>
      </c>
      <c r="D15538" s="4" t="n">
        <v>12</v>
      </c>
      <c r="E15538" s="4" t="s">
        <v>3518</v>
      </c>
      <c r="F15538" s="4" t="n">
        <v>6</v>
      </c>
      <c r="G15538" s="4" t="n">
        <v>12</v>
      </c>
      <c r="H15538" s="4" t="n">
        <v>4</v>
      </c>
      <c r="I15538" s="4" t="str">
        <v>×</v>
      </c>
      <c r="J15538" s="4"/>
      <c r="K15538" s="4"/>
      <c r="L15538" s="4"/>
      <c r="M15538" s="7" t="s">
        <v>6871</v>
      </c>
    </row>
    <row r="15539" customFormat="false" ht="15.75" hidden="false" customHeight="false" outlineLevel="0" collapsed="false">
      <c r="A15539" s="6" t="n">
        <f aca="false">DATE(2026,5,10)</f>
        <v>46152</v>
      </c>
      <c r="B15539" s="4" t="s">
        <v>5435</v>
      </c>
      <c r="C15539" s="4" t="n">
        <v>5</v>
      </c>
      <c r="D15539" s="4" t="n">
        <v>11</v>
      </c>
      <c r="E15539" s="4" t="s">
        <v>1609</v>
      </c>
      <c r="F15539" s="4" t="n">
        <v>2</v>
      </c>
      <c r="G15539" s="4" t="n">
        <v>13</v>
      </c>
      <c r="H15539" s="4" t="n">
        <v>4</v>
      </c>
      <c r="I15539" s="4" t="str">
        <v>×</v>
      </c>
      <c r="J15539" s="4"/>
      <c r="K15539" s="4"/>
      <c r="L15539" s="4"/>
      <c r="M15539" s="7" t="s">
        <v>6871</v>
      </c>
    </row>
    <row r="15540" customFormat="false" ht="15.75" hidden="false" customHeight="false" outlineLevel="0" collapsed="false">
      <c r="A15540" s="6" t="n">
        <f aca="false">DATE(2026,5,10)</f>
        <v>46152</v>
      </c>
      <c r="B15540" s="4" t="s">
        <v>5435</v>
      </c>
      <c r="C15540" s="4" t="n">
        <v>6</v>
      </c>
      <c r="D15540" s="4" t="n">
        <v>6</v>
      </c>
      <c r="E15540" s="4" t="s">
        <v>7095</v>
      </c>
      <c r="F15540" s="4" t="n">
        <v>50</v>
      </c>
      <c r="G15540" s="4" t="n">
        <v>1</v>
      </c>
      <c r="H15540" s="4" t="n">
        <v>2</v>
      </c>
      <c r="I15540" s="4" t="str">
        <v>○</v>
      </c>
      <c r="J15540" s="4" t="n">
        <v>220</v>
      </c>
      <c r="K15540" s="4"/>
      <c r="L15540" s="4"/>
      <c r="M15540" s="7" t="s">
        <v>6871</v>
      </c>
    </row>
    <row r="15541" customFormat="false" ht="15.75" hidden="false" customHeight="false" outlineLevel="0" collapsed="false">
      <c r="A15541" s="6" t="n">
        <f aca="false">DATE(2026,5,10)</f>
        <v>46152</v>
      </c>
      <c r="B15541" s="4" t="s">
        <v>5435</v>
      </c>
      <c r="C15541" s="4" t="n">
        <v>6</v>
      </c>
      <c r="D15541" s="4" t="n">
        <v>2</v>
      </c>
      <c r="E15541" s="4" t="s">
        <v>914</v>
      </c>
      <c r="F15541" s="4" t="n">
        <v>47</v>
      </c>
      <c r="G15541" s="4" t="n">
        <v>2</v>
      </c>
      <c r="H15541" s="4" t="n">
        <v>4</v>
      </c>
      <c r="I15541" s="4" t="str">
        <v>×</v>
      </c>
      <c r="J15541" s="4"/>
      <c r="K15541" s="4"/>
      <c r="L15541" s="4"/>
      <c r="M15541" s="7" t="s">
        <v>6871</v>
      </c>
    </row>
    <row r="15542" customFormat="false" ht="15.75" hidden="false" customHeight="false" outlineLevel="0" collapsed="false">
      <c r="A15542" s="6" t="n">
        <f aca="false">DATE(2026,5,10)</f>
        <v>46152</v>
      </c>
      <c r="B15542" s="4" t="s">
        <v>5435</v>
      </c>
      <c r="C15542" s="4" t="n">
        <v>6</v>
      </c>
      <c r="D15542" s="4" t="n">
        <v>5</v>
      </c>
      <c r="E15542" s="4" t="s">
        <v>6127</v>
      </c>
      <c r="F15542" s="4" t="n">
        <v>47</v>
      </c>
      <c r="G15542" s="4" t="n">
        <v>3</v>
      </c>
      <c r="H15542" s="4" t="n">
        <v>3</v>
      </c>
      <c r="I15542" s="4" t="str">
        <v>○</v>
      </c>
      <c r="J15542" s="4" t="n">
        <v>260</v>
      </c>
      <c r="K15542" s="4"/>
      <c r="L15542" s="4"/>
      <c r="M15542" s="7" t="s">
        <v>6871</v>
      </c>
    </row>
    <row r="15543" customFormat="false" ht="15.75" hidden="false" customHeight="false" outlineLevel="0" collapsed="false">
      <c r="A15543" s="6" t="n">
        <f aca="false">DATE(2026,5,10)</f>
        <v>46152</v>
      </c>
      <c r="B15543" s="4" t="s">
        <v>5435</v>
      </c>
      <c r="C15543" s="4" t="n">
        <v>6</v>
      </c>
      <c r="D15543" s="4" t="n">
        <v>1</v>
      </c>
      <c r="E15543" s="4" t="s">
        <v>7096</v>
      </c>
      <c r="F15543" s="4" t="n">
        <v>44</v>
      </c>
      <c r="G15543" s="4" t="n">
        <v>4</v>
      </c>
      <c r="H15543" s="4" t="n">
        <v>4</v>
      </c>
      <c r="I15543" s="4" t="str">
        <v>×</v>
      </c>
      <c r="J15543" s="4"/>
      <c r="K15543" s="4"/>
      <c r="L15543" s="4"/>
      <c r="M15543" s="7" t="s">
        <v>6871</v>
      </c>
    </row>
    <row r="15544" customFormat="false" ht="15.75" hidden="false" customHeight="false" outlineLevel="0" collapsed="false">
      <c r="A15544" s="6" t="n">
        <f aca="false">DATE(2026,5,10)</f>
        <v>46152</v>
      </c>
      <c r="B15544" s="4" t="s">
        <v>5435</v>
      </c>
      <c r="C15544" s="4" t="n">
        <v>6</v>
      </c>
      <c r="D15544" s="4" t="n">
        <v>3</v>
      </c>
      <c r="E15544" s="4" t="s">
        <v>7097</v>
      </c>
      <c r="F15544" s="4" t="n">
        <v>39</v>
      </c>
      <c r="G15544" s="4" t="n">
        <v>5</v>
      </c>
      <c r="H15544" s="4" t="n">
        <v>4</v>
      </c>
      <c r="I15544" s="4" t="str">
        <v>×</v>
      </c>
      <c r="J15544" s="4"/>
      <c r="K15544" s="4"/>
      <c r="L15544" s="4"/>
      <c r="M15544" s="7" t="s">
        <v>6871</v>
      </c>
    </row>
    <row r="15545" customFormat="false" ht="15.75" hidden="false" customHeight="false" outlineLevel="0" collapsed="false">
      <c r="A15545" s="6" t="n">
        <f aca="false">DATE(2026,5,10)</f>
        <v>46152</v>
      </c>
      <c r="B15545" s="4" t="s">
        <v>5435</v>
      </c>
      <c r="C15545" s="4" t="n">
        <v>6</v>
      </c>
      <c r="D15545" s="4" t="n">
        <v>8</v>
      </c>
      <c r="E15545" s="4" t="s">
        <v>3682</v>
      </c>
      <c r="F15545" s="4" t="n">
        <v>15</v>
      </c>
      <c r="G15545" s="4" t="n">
        <v>6</v>
      </c>
      <c r="H15545" s="4" t="n">
        <v>4</v>
      </c>
      <c r="I15545" s="4" t="str">
        <v>×</v>
      </c>
      <c r="J15545" s="4"/>
      <c r="K15545" s="4"/>
      <c r="L15545" s="4"/>
      <c r="M15545" s="7" t="s">
        <v>6871</v>
      </c>
    </row>
    <row r="15546" customFormat="false" ht="15.75" hidden="false" customHeight="false" outlineLevel="0" collapsed="false">
      <c r="A15546" s="6" t="n">
        <f aca="false">DATE(2026,5,10)</f>
        <v>46152</v>
      </c>
      <c r="B15546" s="4" t="s">
        <v>5435</v>
      </c>
      <c r="C15546" s="4" t="n">
        <v>6</v>
      </c>
      <c r="D15546" s="4" t="n">
        <v>7</v>
      </c>
      <c r="E15546" s="4" t="s">
        <v>5050</v>
      </c>
      <c r="F15546" s="4" t="n">
        <v>13</v>
      </c>
      <c r="G15546" s="4" t="n">
        <v>7</v>
      </c>
      <c r="H15546" s="4" t="n">
        <v>1</v>
      </c>
      <c r="I15546" s="4" t="str">
        <v>○</v>
      </c>
      <c r="J15546" s="4" t="n">
        <v>340</v>
      </c>
      <c r="K15546" s="4"/>
      <c r="L15546" s="4"/>
      <c r="M15546" s="7" t="s">
        <v>6871</v>
      </c>
    </row>
    <row r="15547" customFormat="false" ht="15.75" hidden="false" customHeight="false" outlineLevel="0" collapsed="false">
      <c r="A15547" s="6" t="n">
        <f aca="false">DATE(2026,5,10)</f>
        <v>46152</v>
      </c>
      <c r="B15547" s="4" t="s">
        <v>5435</v>
      </c>
      <c r="C15547" s="4" t="n">
        <v>6</v>
      </c>
      <c r="D15547" s="4" t="n">
        <v>4</v>
      </c>
      <c r="E15547" s="4" t="s">
        <v>7098</v>
      </c>
      <c r="F15547" s="4" t="n">
        <v>8</v>
      </c>
      <c r="G15547" s="4" t="n">
        <v>8</v>
      </c>
      <c r="H15547" s="4" t="n">
        <v>4</v>
      </c>
      <c r="I15547" s="4" t="str">
        <v>×</v>
      </c>
      <c r="J15547" s="4"/>
      <c r="K15547" s="4"/>
      <c r="L15547" s="4"/>
      <c r="M15547" s="7" t="s">
        <v>6871</v>
      </c>
    </row>
    <row r="15548" customFormat="false" ht="15.75" hidden="false" customHeight="false" outlineLevel="0" collapsed="false">
      <c r="A15548" s="6" t="n">
        <f aca="false">DATE(2026,5,10)</f>
        <v>46152</v>
      </c>
      <c r="B15548" s="4" t="s">
        <v>5435</v>
      </c>
      <c r="C15548" s="4" t="n">
        <v>6</v>
      </c>
      <c r="D15548" s="4" t="n">
        <v>10</v>
      </c>
      <c r="E15548" s="4" t="s">
        <v>2100</v>
      </c>
      <c r="F15548" s="4" t="n">
        <v>3</v>
      </c>
      <c r="G15548" s="4" t="n">
        <v>9</v>
      </c>
      <c r="H15548" s="4" t="n">
        <v>4</v>
      </c>
      <c r="I15548" s="4" t="str">
        <v>×</v>
      </c>
      <c r="J15548" s="4"/>
      <c r="K15548" s="4"/>
      <c r="L15548" s="4"/>
      <c r="M15548" s="7" t="s">
        <v>6871</v>
      </c>
    </row>
    <row r="15549" customFormat="false" ht="15.75" hidden="false" customHeight="false" outlineLevel="0" collapsed="false">
      <c r="A15549" s="6" t="n">
        <f aca="false">DATE(2026,5,10)</f>
        <v>46152</v>
      </c>
      <c r="B15549" s="4" t="s">
        <v>5435</v>
      </c>
      <c r="C15549" s="4" t="n">
        <v>6</v>
      </c>
      <c r="D15549" s="4" t="n">
        <v>9</v>
      </c>
      <c r="E15549" s="4" t="s">
        <v>2168</v>
      </c>
      <c r="F15549" s="4" t="n">
        <v>2</v>
      </c>
      <c r="G15549" s="4" t="n">
        <v>10</v>
      </c>
      <c r="H15549" s="4" t="n">
        <v>4</v>
      </c>
      <c r="I15549" s="4" t="str">
        <v>×</v>
      </c>
      <c r="J15549" s="4"/>
      <c r="K15549" s="4"/>
      <c r="L15549" s="4"/>
      <c r="M15549" s="7" t="s">
        <v>6871</v>
      </c>
    </row>
    <row r="15550" customFormat="false" ht="15.75" hidden="false" customHeight="false" outlineLevel="0" collapsed="false">
      <c r="A15550" s="6" t="n">
        <f aca="false">DATE(2026,5,10)</f>
        <v>46152</v>
      </c>
      <c r="B15550" s="4" t="s">
        <v>5435</v>
      </c>
      <c r="C15550" s="4" t="n">
        <v>7</v>
      </c>
      <c r="D15550" s="4" t="n">
        <v>6</v>
      </c>
      <c r="E15550" s="4" t="s">
        <v>7099</v>
      </c>
      <c r="F15550" s="4" t="n">
        <v>71</v>
      </c>
      <c r="G15550" s="4" t="n">
        <v>1</v>
      </c>
      <c r="H15550" s="4" t="n">
        <v>2</v>
      </c>
      <c r="I15550" s="4" t="str">
        <v>○</v>
      </c>
      <c r="J15550" s="4" t="n">
        <v>120</v>
      </c>
      <c r="K15550" s="4"/>
      <c r="L15550" s="4"/>
      <c r="M15550" s="7" t="s">
        <v>6871</v>
      </c>
    </row>
    <row r="15551" customFormat="false" ht="15.75" hidden="false" customHeight="false" outlineLevel="0" collapsed="false">
      <c r="A15551" s="6" t="n">
        <f aca="false">DATE(2026,5,10)</f>
        <v>46152</v>
      </c>
      <c r="B15551" s="4" t="s">
        <v>5435</v>
      </c>
      <c r="C15551" s="4" t="n">
        <v>7</v>
      </c>
      <c r="D15551" s="4" t="n">
        <v>1</v>
      </c>
      <c r="E15551" s="4" t="s">
        <v>4398</v>
      </c>
      <c r="F15551" s="4" t="n">
        <v>60</v>
      </c>
      <c r="G15551" s="4" t="n">
        <v>2</v>
      </c>
      <c r="H15551" s="4" t="n">
        <v>3</v>
      </c>
      <c r="I15551" s="4" t="str">
        <v>○</v>
      </c>
      <c r="J15551" s="4" t="n">
        <v>130</v>
      </c>
      <c r="K15551" s="4"/>
      <c r="L15551" s="4"/>
      <c r="M15551" s="7" t="s">
        <v>6871</v>
      </c>
    </row>
    <row r="15552" customFormat="false" ht="15.75" hidden="false" customHeight="false" outlineLevel="0" collapsed="false">
      <c r="A15552" s="6" t="n">
        <f aca="false">DATE(2026,5,10)</f>
        <v>46152</v>
      </c>
      <c r="B15552" s="4" t="s">
        <v>5435</v>
      </c>
      <c r="C15552" s="4" t="n">
        <v>7</v>
      </c>
      <c r="D15552" s="4" t="n">
        <v>11</v>
      </c>
      <c r="E15552" s="4" t="s">
        <v>6771</v>
      </c>
      <c r="F15552" s="4" t="n">
        <v>50</v>
      </c>
      <c r="G15552" s="4" t="n">
        <v>3</v>
      </c>
      <c r="H15552" s="4" t="n">
        <v>4</v>
      </c>
      <c r="I15552" s="4" t="str">
        <v>×</v>
      </c>
      <c r="J15552" s="4"/>
      <c r="K15552" s="4"/>
      <c r="L15552" s="4"/>
      <c r="M15552" s="7" t="s">
        <v>6871</v>
      </c>
    </row>
    <row r="15553" customFormat="false" ht="15.75" hidden="false" customHeight="false" outlineLevel="0" collapsed="false">
      <c r="A15553" s="6" t="n">
        <f aca="false">DATE(2026,5,10)</f>
        <v>46152</v>
      </c>
      <c r="B15553" s="4" t="s">
        <v>5435</v>
      </c>
      <c r="C15553" s="4" t="n">
        <v>7</v>
      </c>
      <c r="D15553" s="4" t="n">
        <v>7</v>
      </c>
      <c r="E15553" s="4" t="s">
        <v>5286</v>
      </c>
      <c r="F15553" s="4" t="n">
        <v>31</v>
      </c>
      <c r="G15553" s="4" t="n">
        <v>4</v>
      </c>
      <c r="H15553" s="4" t="n">
        <v>1</v>
      </c>
      <c r="I15553" s="4" t="str">
        <v>○</v>
      </c>
      <c r="J15553" s="4" t="n">
        <v>150</v>
      </c>
      <c r="K15553" s="4"/>
      <c r="L15553" s="4"/>
      <c r="M15553" s="7" t="s">
        <v>6871</v>
      </c>
    </row>
    <row r="15554" customFormat="false" ht="15.75" hidden="false" customHeight="false" outlineLevel="0" collapsed="false">
      <c r="A15554" s="6" t="n">
        <f aca="false">DATE(2026,5,10)</f>
        <v>46152</v>
      </c>
      <c r="B15554" s="4" t="s">
        <v>5435</v>
      </c>
      <c r="C15554" s="4" t="n">
        <v>7</v>
      </c>
      <c r="D15554" s="4" t="n">
        <v>10</v>
      </c>
      <c r="E15554" s="4" t="s">
        <v>875</v>
      </c>
      <c r="F15554" s="4" t="n">
        <v>23</v>
      </c>
      <c r="G15554" s="4" t="n">
        <v>5</v>
      </c>
      <c r="H15554" s="4" t="n">
        <v>4</v>
      </c>
      <c r="I15554" s="4" t="str">
        <v>×</v>
      </c>
      <c r="J15554" s="4"/>
      <c r="K15554" s="4"/>
      <c r="L15554" s="4"/>
      <c r="M15554" s="7" t="s">
        <v>6871</v>
      </c>
    </row>
    <row r="15555" customFormat="false" ht="15.75" hidden="false" customHeight="false" outlineLevel="0" collapsed="false">
      <c r="A15555" s="6" t="n">
        <f aca="false">DATE(2026,5,10)</f>
        <v>46152</v>
      </c>
      <c r="B15555" s="4" t="s">
        <v>5435</v>
      </c>
      <c r="C15555" s="4" t="n">
        <v>7</v>
      </c>
      <c r="D15555" s="4" t="n">
        <v>4</v>
      </c>
      <c r="E15555" s="4" t="s">
        <v>7100</v>
      </c>
      <c r="F15555" s="4" t="n">
        <v>15</v>
      </c>
      <c r="G15555" s="4" t="n">
        <v>6</v>
      </c>
      <c r="H15555" s="4" t="n">
        <v>4</v>
      </c>
      <c r="I15555" s="4" t="str">
        <v>×</v>
      </c>
      <c r="J15555" s="4"/>
      <c r="K15555" s="4"/>
      <c r="L15555" s="4"/>
      <c r="M15555" s="7" t="s">
        <v>6871</v>
      </c>
    </row>
    <row r="15556" customFormat="false" ht="15.75" hidden="false" customHeight="false" outlineLevel="0" collapsed="false">
      <c r="A15556" s="6" t="n">
        <f aca="false">DATE(2026,5,10)</f>
        <v>46152</v>
      </c>
      <c r="B15556" s="4" t="s">
        <v>5435</v>
      </c>
      <c r="C15556" s="4" t="n">
        <v>7</v>
      </c>
      <c r="D15556" s="4" t="n">
        <v>12</v>
      </c>
      <c r="E15556" s="4" t="s">
        <v>2119</v>
      </c>
      <c r="F15556" s="4" t="n">
        <v>15</v>
      </c>
      <c r="G15556" s="4" t="n">
        <v>7</v>
      </c>
      <c r="H15556" s="4" t="n">
        <v>4</v>
      </c>
      <c r="I15556" s="4" t="str">
        <v>×</v>
      </c>
      <c r="J15556" s="4"/>
      <c r="K15556" s="4"/>
      <c r="L15556" s="4"/>
      <c r="M15556" s="7" t="s">
        <v>6871</v>
      </c>
    </row>
    <row r="15557" customFormat="false" ht="15.75" hidden="false" customHeight="false" outlineLevel="0" collapsed="false">
      <c r="A15557" s="6" t="n">
        <f aca="false">DATE(2026,5,10)</f>
        <v>46152</v>
      </c>
      <c r="B15557" s="4" t="s">
        <v>5435</v>
      </c>
      <c r="C15557" s="4" t="n">
        <v>7</v>
      </c>
      <c r="D15557" s="4" t="n">
        <v>3</v>
      </c>
      <c r="E15557" s="4" t="s">
        <v>5045</v>
      </c>
      <c r="F15557" s="4" t="n">
        <v>13</v>
      </c>
      <c r="G15557" s="4" t="n">
        <v>8</v>
      </c>
      <c r="H15557" s="4" t="n">
        <v>4</v>
      </c>
      <c r="I15557" s="4" t="str">
        <v>×</v>
      </c>
      <c r="J15557" s="4"/>
      <c r="K15557" s="4"/>
      <c r="L15557" s="4"/>
      <c r="M15557" s="7" t="s">
        <v>6871</v>
      </c>
    </row>
    <row r="15558" customFormat="false" ht="15.75" hidden="false" customHeight="false" outlineLevel="0" collapsed="false">
      <c r="A15558" s="6" t="n">
        <f aca="false">DATE(2026,5,10)</f>
        <v>46152</v>
      </c>
      <c r="B15558" s="4" t="s">
        <v>5435</v>
      </c>
      <c r="C15558" s="4" t="n">
        <v>7</v>
      </c>
      <c r="D15558" s="4" t="n">
        <v>8</v>
      </c>
      <c r="E15558" s="4" t="s">
        <v>2772</v>
      </c>
      <c r="F15558" s="4" t="n">
        <v>13</v>
      </c>
      <c r="G15558" s="4" t="n">
        <v>9</v>
      </c>
      <c r="H15558" s="4" t="n">
        <v>4</v>
      </c>
      <c r="I15558" s="4" t="str">
        <v>×</v>
      </c>
      <c r="J15558" s="4"/>
      <c r="K15558" s="4"/>
      <c r="L15558" s="4"/>
      <c r="M15558" s="7" t="s">
        <v>6871</v>
      </c>
    </row>
    <row r="15559" customFormat="false" ht="15.75" hidden="false" customHeight="false" outlineLevel="0" collapsed="false">
      <c r="A15559" s="6" t="n">
        <f aca="false">DATE(2026,5,10)</f>
        <v>46152</v>
      </c>
      <c r="B15559" s="4" t="s">
        <v>5435</v>
      </c>
      <c r="C15559" s="4" t="n">
        <v>7</v>
      </c>
      <c r="D15559" s="4" t="n">
        <v>9</v>
      </c>
      <c r="E15559" s="4" t="s">
        <v>2111</v>
      </c>
      <c r="F15559" s="4" t="n">
        <v>10</v>
      </c>
      <c r="G15559" s="4" t="n">
        <v>10</v>
      </c>
      <c r="H15559" s="4" t="n">
        <v>4</v>
      </c>
      <c r="I15559" s="4" t="str">
        <v>×</v>
      </c>
      <c r="J15559" s="4"/>
      <c r="K15559" s="4"/>
      <c r="L15559" s="4"/>
      <c r="M15559" s="7" t="s">
        <v>6871</v>
      </c>
    </row>
    <row r="15560" customFormat="false" ht="15.75" hidden="false" customHeight="false" outlineLevel="0" collapsed="false">
      <c r="A15560" s="6" t="n">
        <f aca="false">DATE(2026,5,10)</f>
        <v>46152</v>
      </c>
      <c r="B15560" s="4" t="s">
        <v>5435</v>
      </c>
      <c r="C15560" s="4" t="n">
        <v>7</v>
      </c>
      <c r="D15560" s="4" t="n">
        <v>5</v>
      </c>
      <c r="E15560" s="4" t="s">
        <v>4820</v>
      </c>
      <c r="F15560" s="4" t="n">
        <v>8</v>
      </c>
      <c r="G15560" s="4" t="n">
        <v>11</v>
      </c>
      <c r="H15560" s="4" t="n">
        <v>4</v>
      </c>
      <c r="I15560" s="4" t="str">
        <v>×</v>
      </c>
      <c r="J15560" s="4"/>
      <c r="K15560" s="4"/>
      <c r="L15560" s="4"/>
      <c r="M15560" s="7" t="s">
        <v>6871</v>
      </c>
    </row>
    <row r="15561" customFormat="false" ht="15.75" hidden="false" customHeight="false" outlineLevel="0" collapsed="false">
      <c r="A15561" s="6" t="n">
        <f aca="false">DATE(2026,5,10)</f>
        <v>46152</v>
      </c>
      <c r="B15561" s="4" t="s">
        <v>5435</v>
      </c>
      <c r="C15561" s="4" t="n">
        <v>7</v>
      </c>
      <c r="D15561" s="4" t="n">
        <v>2</v>
      </c>
      <c r="E15561" s="4" t="s">
        <v>730</v>
      </c>
      <c r="F15561" s="4" t="n">
        <v>6</v>
      </c>
      <c r="G15561" s="4" t="n">
        <v>12</v>
      </c>
      <c r="H15561" s="4" t="n">
        <v>4</v>
      </c>
      <c r="I15561" s="4" t="str">
        <v>×</v>
      </c>
      <c r="J15561" s="4"/>
      <c r="K15561" s="4"/>
      <c r="L15561" s="4"/>
      <c r="M15561" s="7" t="s">
        <v>6871</v>
      </c>
    </row>
    <row r="15562" customFormat="false" ht="15.75" hidden="false" customHeight="false" outlineLevel="0" collapsed="false">
      <c r="A15562" s="6" t="n">
        <f aca="false">DATE(2026,5,10)</f>
        <v>46152</v>
      </c>
      <c r="B15562" s="4" t="s">
        <v>5435</v>
      </c>
      <c r="C15562" s="4" t="n">
        <v>8</v>
      </c>
      <c r="D15562" s="4" t="n">
        <v>1</v>
      </c>
      <c r="E15562" s="4" t="s">
        <v>406</v>
      </c>
      <c r="F15562" s="4" t="n">
        <v>62</v>
      </c>
      <c r="G15562" s="4" t="n">
        <v>1</v>
      </c>
      <c r="H15562" s="4" t="n">
        <v>2</v>
      </c>
      <c r="I15562" s="4" t="str">
        <v>○</v>
      </c>
      <c r="J15562" s="4" t="n">
        <v>150</v>
      </c>
      <c r="K15562" s="4"/>
      <c r="L15562" s="4"/>
      <c r="M15562" s="7" t="s">
        <v>6871</v>
      </c>
    </row>
    <row r="15563" customFormat="false" ht="15.75" hidden="false" customHeight="false" outlineLevel="0" collapsed="false">
      <c r="A15563" s="6" t="n">
        <f aca="false">DATE(2026,5,10)</f>
        <v>46152</v>
      </c>
      <c r="B15563" s="4" t="s">
        <v>5435</v>
      </c>
      <c r="C15563" s="4" t="n">
        <v>8</v>
      </c>
      <c r="D15563" s="4" t="n">
        <v>12</v>
      </c>
      <c r="E15563" s="4" t="s">
        <v>7101</v>
      </c>
      <c r="F15563" s="4" t="n">
        <v>47</v>
      </c>
      <c r="G15563" s="4" t="n">
        <v>2</v>
      </c>
      <c r="H15563" s="4" t="n">
        <v>1</v>
      </c>
      <c r="I15563" s="4" t="str">
        <v>○</v>
      </c>
      <c r="J15563" s="4" t="n">
        <v>150</v>
      </c>
      <c r="K15563" s="4"/>
      <c r="L15563" s="4"/>
      <c r="M15563" s="7" t="s">
        <v>6871</v>
      </c>
    </row>
    <row r="15564" customFormat="false" ht="15.75" hidden="false" customHeight="false" outlineLevel="0" collapsed="false">
      <c r="A15564" s="6" t="n">
        <f aca="false">DATE(2026,5,10)</f>
        <v>46152</v>
      </c>
      <c r="B15564" s="4" t="s">
        <v>5435</v>
      </c>
      <c r="C15564" s="4" t="n">
        <v>8</v>
      </c>
      <c r="D15564" s="4" t="n">
        <v>2</v>
      </c>
      <c r="E15564" s="4" t="s">
        <v>5692</v>
      </c>
      <c r="F15564" s="4" t="n">
        <v>44</v>
      </c>
      <c r="G15564" s="4" t="n">
        <v>3</v>
      </c>
      <c r="H15564" s="4" t="n">
        <v>3</v>
      </c>
      <c r="I15564" s="4" t="str">
        <v>○</v>
      </c>
      <c r="J15564" s="4" t="n">
        <v>170</v>
      </c>
      <c r="K15564" s="4"/>
      <c r="L15564" s="4"/>
      <c r="M15564" s="7" t="s">
        <v>6871</v>
      </c>
    </row>
    <row r="15565" customFormat="false" ht="15.75" hidden="false" customHeight="false" outlineLevel="0" collapsed="false">
      <c r="A15565" s="6" t="n">
        <f aca="false">DATE(2026,5,10)</f>
        <v>46152</v>
      </c>
      <c r="B15565" s="4" t="s">
        <v>5435</v>
      </c>
      <c r="C15565" s="4" t="n">
        <v>8</v>
      </c>
      <c r="D15565" s="4" t="n">
        <v>8</v>
      </c>
      <c r="E15565" s="4" t="s">
        <v>3315</v>
      </c>
      <c r="F15565" s="4" t="n">
        <v>34</v>
      </c>
      <c r="G15565" s="4" t="n">
        <v>4</v>
      </c>
      <c r="H15565" s="4" t="n">
        <v>4</v>
      </c>
      <c r="I15565" s="4" t="str">
        <v>×</v>
      </c>
      <c r="J15565" s="4"/>
      <c r="K15565" s="4"/>
      <c r="L15565" s="4"/>
      <c r="M15565" s="7" t="s">
        <v>6871</v>
      </c>
    </row>
    <row r="15566" customFormat="false" ht="15.75" hidden="false" customHeight="false" outlineLevel="0" collapsed="false">
      <c r="A15566" s="6" t="n">
        <f aca="false">DATE(2026,5,10)</f>
        <v>46152</v>
      </c>
      <c r="B15566" s="4" t="s">
        <v>5435</v>
      </c>
      <c r="C15566" s="4" t="n">
        <v>8</v>
      </c>
      <c r="D15566" s="4" t="n">
        <v>11</v>
      </c>
      <c r="E15566" s="4" t="s">
        <v>1649</v>
      </c>
      <c r="F15566" s="4" t="n">
        <v>23</v>
      </c>
      <c r="G15566" s="4" t="n">
        <v>5</v>
      </c>
      <c r="H15566" s="4" t="n">
        <v>4</v>
      </c>
      <c r="I15566" s="4" t="str">
        <v>×</v>
      </c>
      <c r="J15566" s="4"/>
      <c r="K15566" s="4"/>
      <c r="L15566" s="4"/>
      <c r="M15566" s="7" t="s">
        <v>6871</v>
      </c>
    </row>
    <row r="15567" customFormat="false" ht="15.75" hidden="false" customHeight="false" outlineLevel="0" collapsed="false">
      <c r="A15567" s="6" t="n">
        <f aca="false">DATE(2026,5,10)</f>
        <v>46152</v>
      </c>
      <c r="B15567" s="4" t="s">
        <v>5435</v>
      </c>
      <c r="C15567" s="4" t="n">
        <v>8</v>
      </c>
      <c r="D15567" s="4" t="n">
        <v>10</v>
      </c>
      <c r="E15567" s="4" t="s">
        <v>2883</v>
      </c>
      <c r="F15567" s="4" t="n">
        <v>20</v>
      </c>
      <c r="G15567" s="4" t="n">
        <v>6</v>
      </c>
      <c r="H15567" s="4" t="n">
        <v>4</v>
      </c>
      <c r="I15567" s="4" t="str">
        <v>×</v>
      </c>
      <c r="J15567" s="4"/>
      <c r="K15567" s="4"/>
      <c r="L15567" s="4"/>
      <c r="M15567" s="7" t="s">
        <v>6871</v>
      </c>
    </row>
    <row r="15568" customFormat="false" ht="15.75" hidden="false" customHeight="false" outlineLevel="0" collapsed="false">
      <c r="A15568" s="6" t="n">
        <f aca="false">DATE(2026,5,10)</f>
        <v>46152</v>
      </c>
      <c r="B15568" s="4" t="s">
        <v>5435</v>
      </c>
      <c r="C15568" s="4" t="n">
        <v>8</v>
      </c>
      <c r="D15568" s="4" t="n">
        <v>4</v>
      </c>
      <c r="E15568" s="4" t="s">
        <v>7102</v>
      </c>
      <c r="F15568" s="4" t="n">
        <v>15</v>
      </c>
      <c r="G15568" s="4" t="n">
        <v>7</v>
      </c>
      <c r="H15568" s="4" t="n">
        <v>4</v>
      </c>
      <c r="I15568" s="4" t="str">
        <v>×</v>
      </c>
      <c r="J15568" s="4"/>
      <c r="K15568" s="4"/>
      <c r="L15568" s="4"/>
      <c r="M15568" s="7" t="s">
        <v>6871</v>
      </c>
    </row>
    <row r="15569" customFormat="false" ht="15.75" hidden="false" customHeight="false" outlineLevel="0" collapsed="false">
      <c r="A15569" s="6" t="n">
        <f aca="false">DATE(2026,5,10)</f>
        <v>46152</v>
      </c>
      <c r="B15569" s="4" t="s">
        <v>5435</v>
      </c>
      <c r="C15569" s="4" t="n">
        <v>8</v>
      </c>
      <c r="D15569" s="4" t="n">
        <v>5</v>
      </c>
      <c r="E15569" s="4" t="s">
        <v>7103</v>
      </c>
      <c r="F15569" s="4" t="n">
        <v>8</v>
      </c>
      <c r="G15569" s="4" t="n">
        <v>8</v>
      </c>
      <c r="H15569" s="4" t="n">
        <v>4</v>
      </c>
      <c r="I15569" s="4" t="str">
        <v>×</v>
      </c>
      <c r="J15569" s="4"/>
      <c r="K15569" s="4"/>
      <c r="L15569" s="4"/>
      <c r="M15569" s="7" t="s">
        <v>6871</v>
      </c>
    </row>
    <row r="15570" customFormat="false" ht="15.75" hidden="false" customHeight="false" outlineLevel="0" collapsed="false">
      <c r="A15570" s="6" t="n">
        <f aca="false">DATE(2026,5,10)</f>
        <v>46152</v>
      </c>
      <c r="B15570" s="4" t="s">
        <v>5435</v>
      </c>
      <c r="C15570" s="4" t="n">
        <v>8</v>
      </c>
      <c r="D15570" s="4" t="n">
        <v>6</v>
      </c>
      <c r="E15570" s="4" t="s">
        <v>2547</v>
      </c>
      <c r="F15570" s="4" t="n">
        <v>8</v>
      </c>
      <c r="G15570" s="4" t="n">
        <v>9</v>
      </c>
      <c r="H15570" s="4" t="n">
        <v>4</v>
      </c>
      <c r="I15570" s="4" t="str">
        <v>×</v>
      </c>
      <c r="J15570" s="4"/>
      <c r="K15570" s="4"/>
      <c r="L15570" s="4"/>
      <c r="M15570" s="7" t="s">
        <v>6871</v>
      </c>
    </row>
    <row r="15571" customFormat="false" ht="15.75" hidden="false" customHeight="false" outlineLevel="0" collapsed="false">
      <c r="A15571" s="6" t="n">
        <f aca="false">DATE(2026,5,10)</f>
        <v>46152</v>
      </c>
      <c r="B15571" s="4" t="s">
        <v>5435</v>
      </c>
      <c r="C15571" s="4" t="n">
        <v>8</v>
      </c>
      <c r="D15571" s="4" t="n">
        <v>3</v>
      </c>
      <c r="E15571" s="4" t="s">
        <v>7104</v>
      </c>
      <c r="F15571" s="4" t="n">
        <v>6</v>
      </c>
      <c r="G15571" s="4" t="n">
        <v>10</v>
      </c>
      <c r="H15571" s="4" t="n">
        <v>4</v>
      </c>
      <c r="I15571" s="4" t="str">
        <v>×</v>
      </c>
      <c r="J15571" s="4"/>
      <c r="K15571" s="4"/>
      <c r="L15571" s="4"/>
      <c r="M15571" s="7" t="s">
        <v>6871</v>
      </c>
    </row>
    <row r="15572" customFormat="false" ht="15.75" hidden="false" customHeight="false" outlineLevel="0" collapsed="false">
      <c r="A15572" s="6" t="n">
        <f aca="false">DATE(2026,5,10)</f>
        <v>46152</v>
      </c>
      <c r="B15572" s="4" t="s">
        <v>5435</v>
      </c>
      <c r="C15572" s="4" t="n">
        <v>8</v>
      </c>
      <c r="D15572" s="4" t="n">
        <v>9</v>
      </c>
      <c r="E15572" s="4" t="s">
        <v>5697</v>
      </c>
      <c r="F15572" s="4" t="n">
        <v>6</v>
      </c>
      <c r="G15572" s="4" t="n">
        <v>11</v>
      </c>
      <c r="H15572" s="4" t="n">
        <v>4</v>
      </c>
      <c r="I15572" s="4" t="str">
        <v>×</v>
      </c>
      <c r="J15572" s="4"/>
      <c r="K15572" s="4"/>
      <c r="L15572" s="4"/>
      <c r="M15572" s="7" t="s">
        <v>6871</v>
      </c>
    </row>
    <row r="15573" customFormat="false" ht="15.75" hidden="false" customHeight="false" outlineLevel="0" collapsed="false">
      <c r="A15573" s="6" t="n">
        <f aca="false">DATE(2026,5,10)</f>
        <v>46152</v>
      </c>
      <c r="B15573" s="4" t="s">
        <v>5435</v>
      </c>
      <c r="C15573" s="4" t="n">
        <v>8</v>
      </c>
      <c r="D15573" s="4" t="n">
        <v>7</v>
      </c>
      <c r="E15573" s="4" t="s">
        <v>5689</v>
      </c>
      <c r="F15573" s="4" t="n">
        <v>2</v>
      </c>
      <c r="G15573" s="4" t="n">
        <v>12</v>
      </c>
      <c r="H15573" s="4" t="n">
        <v>4</v>
      </c>
      <c r="I15573" s="4" t="str">
        <v>×</v>
      </c>
      <c r="J15573" s="4"/>
      <c r="K15573" s="4"/>
      <c r="L15573" s="4"/>
      <c r="M15573" s="7" t="s">
        <v>6871</v>
      </c>
    </row>
    <row r="15574" customFormat="false" ht="15.75" hidden="false" customHeight="false" outlineLevel="0" collapsed="false">
      <c r="A15574" s="6" t="n">
        <f aca="false">DATE(2026,5,10)</f>
        <v>46152</v>
      </c>
      <c r="B15574" s="4" t="s">
        <v>5435</v>
      </c>
      <c r="C15574" s="4" t="n">
        <v>9</v>
      </c>
      <c r="D15574" s="4" t="n">
        <v>13</v>
      </c>
      <c r="E15574" s="4" t="s">
        <v>5202</v>
      </c>
      <c r="F15574" s="4" t="n">
        <v>65</v>
      </c>
      <c r="G15574" s="4" t="n">
        <v>1</v>
      </c>
      <c r="H15574" s="4" t="n">
        <v>3</v>
      </c>
      <c r="I15574" s="4" t="str">
        <v>○</v>
      </c>
      <c r="J15574" s="4" t="n">
        <v>140</v>
      </c>
      <c r="K15574" s="4"/>
      <c r="L15574" s="4"/>
      <c r="M15574" s="7" t="s">
        <v>6871</v>
      </c>
    </row>
    <row r="15575" customFormat="false" ht="15.75" hidden="false" customHeight="false" outlineLevel="0" collapsed="false">
      <c r="A15575" s="6" t="n">
        <f aca="false">DATE(2026,5,10)</f>
        <v>46152</v>
      </c>
      <c r="B15575" s="4" t="s">
        <v>5435</v>
      </c>
      <c r="C15575" s="4" t="n">
        <v>9</v>
      </c>
      <c r="D15575" s="4" t="n">
        <v>6</v>
      </c>
      <c r="E15575" s="4" t="s">
        <v>895</v>
      </c>
      <c r="F15575" s="4" t="n">
        <v>44</v>
      </c>
      <c r="G15575" s="4" t="n">
        <v>2</v>
      </c>
      <c r="H15575" s="4" t="n">
        <v>1</v>
      </c>
      <c r="I15575" s="4" t="str">
        <v>○</v>
      </c>
      <c r="J15575" s="4" t="n">
        <v>110</v>
      </c>
      <c r="K15575" s="4"/>
      <c r="L15575" s="4"/>
      <c r="M15575" s="7" t="s">
        <v>6871</v>
      </c>
    </row>
    <row r="15576" customFormat="false" ht="15.75" hidden="false" customHeight="false" outlineLevel="0" collapsed="false">
      <c r="A15576" s="6" t="n">
        <f aca="false">DATE(2026,5,10)</f>
        <v>46152</v>
      </c>
      <c r="B15576" s="4" t="s">
        <v>5435</v>
      </c>
      <c r="C15576" s="4" t="n">
        <v>9</v>
      </c>
      <c r="D15576" s="4" t="n">
        <v>2</v>
      </c>
      <c r="E15576" s="4" t="s">
        <v>3876</v>
      </c>
      <c r="F15576" s="4" t="n">
        <v>29</v>
      </c>
      <c r="G15576" s="4" t="n">
        <v>3</v>
      </c>
      <c r="H15576" s="4" t="n">
        <v>4</v>
      </c>
      <c r="I15576" s="4" t="str">
        <v>×</v>
      </c>
      <c r="J15576" s="4"/>
      <c r="K15576" s="4"/>
      <c r="L15576" s="4"/>
      <c r="M15576" s="7" t="s">
        <v>6871</v>
      </c>
    </row>
    <row r="15577" customFormat="false" ht="15.75" hidden="false" customHeight="false" outlineLevel="0" collapsed="false">
      <c r="A15577" s="6" t="n">
        <f aca="false">DATE(2026,5,10)</f>
        <v>46152</v>
      </c>
      <c r="B15577" s="4" t="s">
        <v>5435</v>
      </c>
      <c r="C15577" s="4" t="n">
        <v>9</v>
      </c>
      <c r="D15577" s="4" t="n">
        <v>5</v>
      </c>
      <c r="E15577" s="4" t="s">
        <v>7105</v>
      </c>
      <c r="F15577" s="4" t="n">
        <v>29</v>
      </c>
      <c r="G15577" s="4" t="n">
        <v>4</v>
      </c>
      <c r="H15577" s="4" t="n">
        <v>4</v>
      </c>
      <c r="I15577" s="4" t="str">
        <v>×</v>
      </c>
      <c r="J15577" s="4"/>
      <c r="K15577" s="4"/>
      <c r="L15577" s="4"/>
      <c r="M15577" s="7" t="s">
        <v>6871</v>
      </c>
    </row>
    <row r="15578" customFormat="false" ht="15.75" hidden="false" customHeight="false" outlineLevel="0" collapsed="false">
      <c r="A15578" s="6" t="n">
        <f aca="false">DATE(2026,5,10)</f>
        <v>46152</v>
      </c>
      <c r="B15578" s="4" t="s">
        <v>5435</v>
      </c>
      <c r="C15578" s="4" t="n">
        <v>9</v>
      </c>
      <c r="D15578" s="4" t="n">
        <v>7</v>
      </c>
      <c r="E15578" s="4" t="s">
        <v>7106</v>
      </c>
      <c r="F15578" s="4" t="n">
        <v>29</v>
      </c>
      <c r="G15578" s="4" t="n">
        <v>5</v>
      </c>
      <c r="H15578" s="4" t="n">
        <v>4</v>
      </c>
      <c r="I15578" s="4" t="str">
        <v>×</v>
      </c>
      <c r="J15578" s="4"/>
      <c r="K15578" s="4"/>
      <c r="L15578" s="4"/>
      <c r="M15578" s="7" t="s">
        <v>6871</v>
      </c>
    </row>
    <row r="15579" customFormat="false" ht="15.75" hidden="false" customHeight="false" outlineLevel="0" collapsed="false">
      <c r="A15579" s="6" t="n">
        <f aca="false">DATE(2026,5,10)</f>
        <v>46152</v>
      </c>
      <c r="B15579" s="4" t="s">
        <v>5435</v>
      </c>
      <c r="C15579" s="4" t="n">
        <v>9</v>
      </c>
      <c r="D15579" s="4" t="n">
        <v>3</v>
      </c>
      <c r="E15579" s="4" t="s">
        <v>7107</v>
      </c>
      <c r="F15579" s="4" t="n">
        <v>25</v>
      </c>
      <c r="G15579" s="4" t="n">
        <v>6</v>
      </c>
      <c r="H15579" s="4" t="n">
        <v>4</v>
      </c>
      <c r="I15579" s="4" t="str">
        <v>×</v>
      </c>
      <c r="J15579" s="4"/>
      <c r="K15579" s="4"/>
      <c r="L15579" s="4"/>
      <c r="M15579" s="7" t="s">
        <v>6871</v>
      </c>
    </row>
    <row r="15580" customFormat="false" ht="15.75" hidden="false" customHeight="false" outlineLevel="0" collapsed="false">
      <c r="A15580" s="6" t="n">
        <f aca="false">DATE(2026,5,10)</f>
        <v>46152</v>
      </c>
      <c r="B15580" s="4" t="s">
        <v>5435</v>
      </c>
      <c r="C15580" s="4" t="n">
        <v>9</v>
      </c>
      <c r="D15580" s="4" t="n">
        <v>9</v>
      </c>
      <c r="E15580" s="4" t="s">
        <v>6057</v>
      </c>
      <c r="F15580" s="4" t="n">
        <v>25</v>
      </c>
      <c r="G15580" s="4" t="n">
        <v>7</v>
      </c>
      <c r="H15580" s="4" t="n">
        <v>4</v>
      </c>
      <c r="I15580" s="4" t="str">
        <v>×</v>
      </c>
      <c r="J15580" s="4"/>
      <c r="K15580" s="4"/>
      <c r="L15580" s="4"/>
      <c r="M15580" s="7" t="s">
        <v>6871</v>
      </c>
    </row>
    <row r="15581" customFormat="false" ht="15.75" hidden="false" customHeight="false" outlineLevel="0" collapsed="false">
      <c r="A15581" s="6" t="n">
        <f aca="false">DATE(2026,5,10)</f>
        <v>46152</v>
      </c>
      <c r="B15581" s="4" t="s">
        <v>5435</v>
      </c>
      <c r="C15581" s="4" t="n">
        <v>9</v>
      </c>
      <c r="D15581" s="4" t="n">
        <v>12</v>
      </c>
      <c r="E15581" s="4" t="s">
        <v>7108</v>
      </c>
      <c r="F15581" s="4" t="n">
        <v>25</v>
      </c>
      <c r="G15581" s="4" t="n">
        <v>8</v>
      </c>
      <c r="H15581" s="4" t="n">
        <v>4</v>
      </c>
      <c r="I15581" s="4" t="str">
        <v>×</v>
      </c>
      <c r="J15581" s="4"/>
      <c r="K15581" s="4"/>
      <c r="L15581" s="4"/>
      <c r="M15581" s="7" t="s">
        <v>6871</v>
      </c>
    </row>
    <row r="15582" customFormat="false" ht="15.75" hidden="false" customHeight="false" outlineLevel="0" collapsed="false">
      <c r="A15582" s="6" t="n">
        <f aca="false">DATE(2026,5,10)</f>
        <v>46152</v>
      </c>
      <c r="B15582" s="4" t="s">
        <v>5435</v>
      </c>
      <c r="C15582" s="4" t="n">
        <v>9</v>
      </c>
      <c r="D15582" s="4" t="n">
        <v>10</v>
      </c>
      <c r="E15582" s="4" t="s">
        <v>7109</v>
      </c>
      <c r="F15582" s="4" t="n">
        <v>20</v>
      </c>
      <c r="G15582" s="4" t="n">
        <v>9</v>
      </c>
      <c r="H15582" s="4" t="n">
        <v>4</v>
      </c>
      <c r="I15582" s="4" t="str">
        <v>×</v>
      </c>
      <c r="J15582" s="4"/>
      <c r="K15582" s="4"/>
      <c r="L15582" s="4"/>
      <c r="M15582" s="7" t="s">
        <v>6871</v>
      </c>
    </row>
    <row r="15583" customFormat="false" ht="15.75" hidden="false" customHeight="false" outlineLevel="0" collapsed="false">
      <c r="A15583" s="6" t="n">
        <f aca="false">DATE(2026,5,10)</f>
        <v>46152</v>
      </c>
      <c r="B15583" s="4" t="s">
        <v>5435</v>
      </c>
      <c r="C15583" s="4" t="n">
        <v>9</v>
      </c>
      <c r="D15583" s="4" t="n">
        <v>1</v>
      </c>
      <c r="E15583" s="4" t="s">
        <v>267</v>
      </c>
      <c r="F15583" s="4" t="n">
        <v>6</v>
      </c>
      <c r="G15583" s="4" t="n">
        <v>10</v>
      </c>
      <c r="H15583" s="4" t="n">
        <v>2</v>
      </c>
      <c r="I15583" s="4" t="str">
        <v>○</v>
      </c>
      <c r="J15583" s="4" t="n">
        <v>1240</v>
      </c>
      <c r="K15583" s="4"/>
      <c r="L15583" s="4"/>
      <c r="M15583" s="7" t="s">
        <v>6871</v>
      </c>
    </row>
    <row r="15584" customFormat="false" ht="15.75" hidden="false" customHeight="false" outlineLevel="0" collapsed="false">
      <c r="A15584" s="6" t="n">
        <f aca="false">DATE(2026,5,10)</f>
        <v>46152</v>
      </c>
      <c r="B15584" s="4" t="s">
        <v>5435</v>
      </c>
      <c r="C15584" s="4" t="n">
        <v>9</v>
      </c>
      <c r="D15584" s="4" t="n">
        <v>11</v>
      </c>
      <c r="E15584" s="4" t="s">
        <v>271</v>
      </c>
      <c r="F15584" s="4" t="n">
        <v>6</v>
      </c>
      <c r="G15584" s="4" t="n">
        <v>11</v>
      </c>
      <c r="H15584" s="4" t="n">
        <v>4</v>
      </c>
      <c r="I15584" s="4" t="str">
        <v>×</v>
      </c>
      <c r="J15584" s="4"/>
      <c r="K15584" s="4"/>
      <c r="L15584" s="4"/>
      <c r="M15584" s="7" t="s">
        <v>6871</v>
      </c>
    </row>
    <row r="15585" customFormat="false" ht="15.75" hidden="false" customHeight="false" outlineLevel="0" collapsed="false">
      <c r="A15585" s="6" t="n">
        <f aca="false">DATE(2026,5,10)</f>
        <v>46152</v>
      </c>
      <c r="B15585" s="4" t="s">
        <v>5435</v>
      </c>
      <c r="C15585" s="4" t="n">
        <v>9</v>
      </c>
      <c r="D15585" s="4" t="n">
        <v>4</v>
      </c>
      <c r="E15585" s="4" t="s">
        <v>7110</v>
      </c>
      <c r="F15585" s="4" t="n">
        <v>4</v>
      </c>
      <c r="G15585" s="4" t="n">
        <v>12</v>
      </c>
      <c r="H15585" s="4" t="n">
        <v>4</v>
      </c>
      <c r="I15585" s="4" t="str">
        <v>×</v>
      </c>
      <c r="J15585" s="4"/>
      <c r="K15585" s="4"/>
      <c r="L15585" s="4"/>
      <c r="M15585" s="7" t="s">
        <v>6871</v>
      </c>
    </row>
    <row r="15586" customFormat="false" ht="15.75" hidden="false" customHeight="false" outlineLevel="0" collapsed="false">
      <c r="A15586" s="6" t="n">
        <f aca="false">DATE(2026,5,10)</f>
        <v>46152</v>
      </c>
      <c r="B15586" s="4" t="s">
        <v>5435</v>
      </c>
      <c r="C15586" s="4" t="n">
        <v>9</v>
      </c>
      <c r="D15586" s="4" t="n">
        <v>8</v>
      </c>
      <c r="E15586" s="4" t="s">
        <v>7111</v>
      </c>
      <c r="F15586" s="4" t="n">
        <v>2</v>
      </c>
      <c r="G15586" s="4" t="n">
        <v>13</v>
      </c>
      <c r="H15586" s="4" t="n">
        <v>4</v>
      </c>
      <c r="I15586" s="4" t="str">
        <v>×</v>
      </c>
      <c r="J15586" s="4"/>
      <c r="K15586" s="4"/>
      <c r="L15586" s="4"/>
      <c r="M15586" s="7" t="s">
        <v>6871</v>
      </c>
    </row>
    <row r="15587" customFormat="false" ht="15.75" hidden="false" customHeight="false" outlineLevel="0" collapsed="false">
      <c r="A15587" s="6" t="n">
        <f aca="false">DATE(2026,5,10)</f>
        <v>46152</v>
      </c>
      <c r="B15587" s="4" t="s">
        <v>5435</v>
      </c>
      <c r="C15587" s="4" t="n">
        <v>10</v>
      </c>
      <c r="D15587" s="4" t="n">
        <v>4</v>
      </c>
      <c r="E15587" s="4" t="s">
        <v>7112</v>
      </c>
      <c r="F15587" s="4" t="n">
        <v>67</v>
      </c>
      <c r="G15587" s="4" t="n">
        <v>1</v>
      </c>
      <c r="H15587" s="4" t="n">
        <v>1</v>
      </c>
      <c r="I15587" s="4" t="str">
        <v>○</v>
      </c>
      <c r="J15587" s="4" t="n">
        <v>110</v>
      </c>
      <c r="K15587" s="4"/>
      <c r="L15587" s="4"/>
      <c r="M15587" s="7" t="s">
        <v>6871</v>
      </c>
    </row>
    <row r="15588" customFormat="false" ht="15.75" hidden="false" customHeight="false" outlineLevel="0" collapsed="false">
      <c r="A15588" s="6" t="n">
        <f aca="false">DATE(2026,5,10)</f>
        <v>46152</v>
      </c>
      <c r="B15588" s="4" t="s">
        <v>5435</v>
      </c>
      <c r="C15588" s="4" t="n">
        <v>10</v>
      </c>
      <c r="D15588" s="4" t="n">
        <v>5</v>
      </c>
      <c r="E15588" s="4" t="s">
        <v>3411</v>
      </c>
      <c r="F15588" s="4" t="n">
        <v>52</v>
      </c>
      <c r="G15588" s="4" t="n">
        <v>2</v>
      </c>
      <c r="H15588" s="4" t="n">
        <v>3</v>
      </c>
      <c r="I15588" s="4" t="str">
        <v>○</v>
      </c>
      <c r="J15588" s="4" t="n">
        <v>130</v>
      </c>
      <c r="K15588" s="4"/>
      <c r="L15588" s="4"/>
      <c r="M15588" s="7" t="s">
        <v>6871</v>
      </c>
    </row>
    <row r="15589" customFormat="false" ht="15.75" hidden="false" customHeight="false" outlineLevel="0" collapsed="false">
      <c r="A15589" s="6" t="n">
        <f aca="false">DATE(2026,5,10)</f>
        <v>46152</v>
      </c>
      <c r="B15589" s="4" t="s">
        <v>5435</v>
      </c>
      <c r="C15589" s="4" t="n">
        <v>10</v>
      </c>
      <c r="D15589" s="4" t="n">
        <v>6</v>
      </c>
      <c r="E15589" s="4" t="s">
        <v>5971</v>
      </c>
      <c r="F15589" s="4" t="n">
        <v>47</v>
      </c>
      <c r="G15589" s="4" t="n">
        <v>3</v>
      </c>
      <c r="H15589" s="4" t="n">
        <v>2</v>
      </c>
      <c r="I15589" s="4" t="str">
        <v>○</v>
      </c>
      <c r="J15589" s="4" t="n">
        <v>140</v>
      </c>
      <c r="K15589" s="4"/>
      <c r="L15589" s="4"/>
      <c r="M15589" s="7" t="s">
        <v>6871</v>
      </c>
    </row>
    <row r="15590" customFormat="false" ht="15.75" hidden="false" customHeight="false" outlineLevel="0" collapsed="false">
      <c r="A15590" s="6" t="n">
        <f aca="false">DATE(2026,5,10)</f>
        <v>46152</v>
      </c>
      <c r="B15590" s="4" t="s">
        <v>5435</v>
      </c>
      <c r="C15590" s="4" t="n">
        <v>10</v>
      </c>
      <c r="D15590" s="4" t="n">
        <v>1</v>
      </c>
      <c r="E15590" s="4" t="s">
        <v>316</v>
      </c>
      <c r="F15590" s="4" t="n">
        <v>29</v>
      </c>
      <c r="G15590" s="4" t="n">
        <v>4</v>
      </c>
      <c r="H15590" s="4" t="n">
        <v>4</v>
      </c>
      <c r="I15590" s="4" t="str">
        <v>×</v>
      </c>
      <c r="J15590" s="4"/>
      <c r="K15590" s="4"/>
      <c r="L15590" s="4"/>
      <c r="M15590" s="7" t="s">
        <v>6871</v>
      </c>
    </row>
    <row r="15591" customFormat="false" ht="15.75" hidden="false" customHeight="false" outlineLevel="0" collapsed="false">
      <c r="A15591" s="6" t="n">
        <f aca="false">DATE(2026,5,10)</f>
        <v>46152</v>
      </c>
      <c r="B15591" s="4" t="s">
        <v>5435</v>
      </c>
      <c r="C15591" s="4" t="n">
        <v>10</v>
      </c>
      <c r="D15591" s="4" t="n">
        <v>7</v>
      </c>
      <c r="E15591" s="4" t="s">
        <v>5106</v>
      </c>
      <c r="F15591" s="4" t="n">
        <v>25</v>
      </c>
      <c r="G15591" s="4" t="n">
        <v>5</v>
      </c>
      <c r="H15591" s="4" t="n">
        <v>4</v>
      </c>
      <c r="I15591" s="4" t="str">
        <v>×</v>
      </c>
      <c r="J15591" s="4"/>
      <c r="K15591" s="4"/>
      <c r="L15591" s="4"/>
      <c r="M15591" s="7" t="s">
        <v>6871</v>
      </c>
    </row>
    <row r="15592" customFormat="false" ht="15.75" hidden="false" customHeight="false" outlineLevel="0" collapsed="false">
      <c r="A15592" s="6" t="n">
        <f aca="false">DATE(2026,5,10)</f>
        <v>46152</v>
      </c>
      <c r="B15592" s="4" t="s">
        <v>5435</v>
      </c>
      <c r="C15592" s="4" t="n">
        <v>10</v>
      </c>
      <c r="D15592" s="4" t="n">
        <v>10</v>
      </c>
      <c r="E15592" s="4" t="s">
        <v>6526</v>
      </c>
      <c r="F15592" s="4" t="n">
        <v>20</v>
      </c>
      <c r="G15592" s="4" t="n">
        <v>6</v>
      </c>
      <c r="H15592" s="4" t="n">
        <v>4</v>
      </c>
      <c r="I15592" s="4" t="str">
        <v>×</v>
      </c>
      <c r="J15592" s="4"/>
      <c r="K15592" s="4"/>
      <c r="L15592" s="4"/>
      <c r="M15592" s="7" t="s">
        <v>6871</v>
      </c>
    </row>
    <row r="15593" customFormat="false" ht="15.75" hidden="false" customHeight="false" outlineLevel="0" collapsed="false">
      <c r="A15593" s="6" t="n">
        <f aca="false">DATE(2026,5,10)</f>
        <v>46152</v>
      </c>
      <c r="B15593" s="4" t="s">
        <v>5435</v>
      </c>
      <c r="C15593" s="4" t="n">
        <v>10</v>
      </c>
      <c r="D15593" s="4" t="n">
        <v>3</v>
      </c>
      <c r="E15593" s="4" t="s">
        <v>4548</v>
      </c>
      <c r="F15593" s="4" t="n">
        <v>15</v>
      </c>
      <c r="G15593" s="4" t="n">
        <v>7</v>
      </c>
      <c r="H15593" s="4" t="n">
        <v>4</v>
      </c>
      <c r="I15593" s="4" t="str">
        <v>×</v>
      </c>
      <c r="J15593" s="4"/>
      <c r="K15593" s="4"/>
      <c r="L15593" s="4"/>
      <c r="M15593" s="7" t="s">
        <v>6871</v>
      </c>
    </row>
    <row r="15594" customFormat="false" ht="15.75" hidden="false" customHeight="false" outlineLevel="0" collapsed="false">
      <c r="A15594" s="6" t="n">
        <f aca="false">DATE(2026,5,10)</f>
        <v>46152</v>
      </c>
      <c r="B15594" s="4" t="s">
        <v>5435</v>
      </c>
      <c r="C15594" s="4" t="n">
        <v>10</v>
      </c>
      <c r="D15594" s="4" t="n">
        <v>2</v>
      </c>
      <c r="E15594" s="4" t="s">
        <v>7113</v>
      </c>
      <c r="F15594" s="4" t="n">
        <v>10</v>
      </c>
      <c r="G15594" s="4" t="n">
        <v>8</v>
      </c>
      <c r="H15594" s="4" t="n">
        <v>4</v>
      </c>
      <c r="I15594" s="4" t="str">
        <v>×</v>
      </c>
      <c r="J15594" s="4"/>
      <c r="K15594" s="4"/>
      <c r="L15594" s="4"/>
      <c r="M15594" s="7" t="s">
        <v>6871</v>
      </c>
    </row>
    <row r="15595" customFormat="false" ht="15.75" hidden="false" customHeight="false" outlineLevel="0" collapsed="false">
      <c r="A15595" s="6" t="n">
        <f aca="false">DATE(2026,5,10)</f>
        <v>46152</v>
      </c>
      <c r="B15595" s="4" t="s">
        <v>5435</v>
      </c>
      <c r="C15595" s="4" t="n">
        <v>10</v>
      </c>
      <c r="D15595" s="4" t="n">
        <v>8</v>
      </c>
      <c r="E15595" s="4" t="s">
        <v>7114</v>
      </c>
      <c r="F15595" s="4" t="n">
        <v>10</v>
      </c>
      <c r="G15595" s="4" t="n">
        <v>9</v>
      </c>
      <c r="H15595" s="4" t="n">
        <v>4</v>
      </c>
      <c r="I15595" s="4" t="str">
        <v>×</v>
      </c>
      <c r="J15595" s="4"/>
      <c r="K15595" s="4"/>
      <c r="L15595" s="4"/>
      <c r="M15595" s="7" t="s">
        <v>6871</v>
      </c>
    </row>
    <row r="15596" customFormat="false" ht="15.75" hidden="false" customHeight="false" outlineLevel="0" collapsed="false">
      <c r="A15596" s="6" t="n">
        <f aca="false">DATE(2026,5,10)</f>
        <v>46152</v>
      </c>
      <c r="B15596" s="4" t="s">
        <v>5435</v>
      </c>
      <c r="C15596" s="4" t="n">
        <v>10</v>
      </c>
      <c r="D15596" s="4" t="n">
        <v>9</v>
      </c>
      <c r="E15596" s="4" t="s">
        <v>4929</v>
      </c>
      <c r="F15596" s="4" t="n">
        <v>10</v>
      </c>
      <c r="G15596" s="4" t="n">
        <v>10</v>
      </c>
      <c r="H15596" s="4" t="n">
        <v>4</v>
      </c>
      <c r="I15596" s="4" t="str">
        <v>×</v>
      </c>
      <c r="J15596" s="4"/>
      <c r="K15596" s="4"/>
      <c r="L15596" s="4"/>
      <c r="M15596" s="7" t="s">
        <v>6871</v>
      </c>
    </row>
    <row r="15597" customFormat="false" ht="15.75" hidden="false" customHeight="false" outlineLevel="0" collapsed="false">
      <c r="A15597" s="6" t="n">
        <f aca="false">DATE(2026,5,10)</f>
        <v>46152</v>
      </c>
      <c r="B15597" s="4" t="s">
        <v>5435</v>
      </c>
      <c r="C15597" s="4" t="n">
        <v>10</v>
      </c>
      <c r="D15597" s="4" t="n">
        <v>11</v>
      </c>
      <c r="E15597" s="4" t="s">
        <v>6358</v>
      </c>
      <c r="F15597" s="4" t="n">
        <v>4</v>
      </c>
      <c r="G15597" s="4" t="n">
        <v>11</v>
      </c>
      <c r="H15597" s="4" t="n">
        <v>4</v>
      </c>
      <c r="I15597" s="4" t="str">
        <v>×</v>
      </c>
      <c r="J15597" s="4"/>
      <c r="K15597" s="4"/>
      <c r="L15597" s="4"/>
      <c r="M15597" s="7" t="s">
        <v>6871</v>
      </c>
    </row>
    <row r="15598" customFormat="false" ht="15.75" hidden="false" customHeight="false" outlineLevel="0" collapsed="false">
      <c r="A15598" s="6" t="n">
        <f aca="false">DATE(2026,5,10)</f>
        <v>46152</v>
      </c>
      <c r="B15598" s="4" t="s">
        <v>5435</v>
      </c>
      <c r="C15598" s="4" t="n">
        <v>11</v>
      </c>
      <c r="D15598" s="4" t="n">
        <v>10</v>
      </c>
      <c r="E15598" s="4" t="s">
        <v>5069</v>
      </c>
      <c r="F15598" s="4" t="n">
        <v>62</v>
      </c>
      <c r="G15598" s="4" t="n">
        <v>1</v>
      </c>
      <c r="H15598" s="4" t="n">
        <v>2</v>
      </c>
      <c r="I15598" s="4" t="str">
        <v>○</v>
      </c>
      <c r="J15598" s="4" t="n">
        <v>110</v>
      </c>
      <c r="K15598" s="4"/>
      <c r="L15598" s="4"/>
      <c r="M15598" s="7" t="s">
        <v>6871</v>
      </c>
    </row>
    <row r="15599" customFormat="false" ht="15.75" hidden="false" customHeight="false" outlineLevel="0" collapsed="false">
      <c r="A15599" s="6" t="n">
        <f aca="false">DATE(2026,5,10)</f>
        <v>46152</v>
      </c>
      <c r="B15599" s="4" t="s">
        <v>5435</v>
      </c>
      <c r="C15599" s="4" t="n">
        <v>11</v>
      </c>
      <c r="D15599" s="4" t="n">
        <v>4</v>
      </c>
      <c r="E15599" s="4" t="s">
        <v>7115</v>
      </c>
      <c r="F15599" s="4" t="n">
        <v>41</v>
      </c>
      <c r="G15599" s="4" t="n">
        <v>2</v>
      </c>
      <c r="H15599" s="4" t="n">
        <v>1</v>
      </c>
      <c r="I15599" s="4" t="str">
        <v>○</v>
      </c>
      <c r="J15599" s="4" t="n">
        <v>130</v>
      </c>
      <c r="K15599" s="4"/>
      <c r="L15599" s="4"/>
      <c r="M15599" s="7" t="s">
        <v>6871</v>
      </c>
    </row>
    <row r="15600" customFormat="false" ht="15.75" hidden="false" customHeight="false" outlineLevel="0" collapsed="false">
      <c r="A15600" s="6" t="n">
        <f aca="false">DATE(2026,5,10)</f>
        <v>46152</v>
      </c>
      <c r="B15600" s="4" t="s">
        <v>5435</v>
      </c>
      <c r="C15600" s="4" t="n">
        <v>11</v>
      </c>
      <c r="D15600" s="4" t="n">
        <v>16</v>
      </c>
      <c r="E15600" s="4" t="s">
        <v>7116</v>
      </c>
      <c r="F15600" s="4" t="n">
        <v>37</v>
      </c>
      <c r="G15600" s="4" t="n">
        <v>3</v>
      </c>
      <c r="H15600" s="4" t="n">
        <v>4</v>
      </c>
      <c r="I15600" s="4" t="str">
        <v>×</v>
      </c>
      <c r="J15600" s="4"/>
      <c r="K15600" s="4"/>
      <c r="L15600" s="4"/>
      <c r="M15600" s="7" t="s">
        <v>6871</v>
      </c>
    </row>
    <row r="15601" customFormat="false" ht="15.75" hidden="false" customHeight="false" outlineLevel="0" collapsed="false">
      <c r="A15601" s="6" t="n">
        <f aca="false">DATE(2026,5,10)</f>
        <v>46152</v>
      </c>
      <c r="B15601" s="4" t="s">
        <v>5435</v>
      </c>
      <c r="C15601" s="4" t="n">
        <v>11</v>
      </c>
      <c r="D15601" s="4" t="n">
        <v>5</v>
      </c>
      <c r="E15601" s="4" t="s">
        <v>3312</v>
      </c>
      <c r="F15601" s="4" t="n">
        <v>29</v>
      </c>
      <c r="G15601" s="4" t="n">
        <v>4</v>
      </c>
      <c r="H15601" s="4" t="n">
        <v>4</v>
      </c>
      <c r="I15601" s="4" t="str">
        <v>×</v>
      </c>
      <c r="J15601" s="4"/>
      <c r="K15601" s="4"/>
      <c r="L15601" s="4"/>
      <c r="M15601" s="7" t="s">
        <v>6871</v>
      </c>
    </row>
    <row r="15602" customFormat="false" ht="15.75" hidden="false" customHeight="false" outlineLevel="0" collapsed="false">
      <c r="A15602" s="6" t="n">
        <f aca="false">DATE(2026,5,10)</f>
        <v>46152</v>
      </c>
      <c r="B15602" s="4" t="s">
        <v>5435</v>
      </c>
      <c r="C15602" s="4" t="n">
        <v>11</v>
      </c>
      <c r="D15602" s="4" t="n">
        <v>9</v>
      </c>
      <c r="E15602" s="4" t="s">
        <v>5493</v>
      </c>
      <c r="F15602" s="4" t="n">
        <v>25</v>
      </c>
      <c r="G15602" s="4" t="n">
        <v>5</v>
      </c>
      <c r="H15602" s="4" t="n">
        <v>4</v>
      </c>
      <c r="I15602" s="4" t="str">
        <v>×</v>
      </c>
      <c r="J15602" s="4"/>
      <c r="K15602" s="4"/>
      <c r="L15602" s="4"/>
      <c r="M15602" s="7" t="s">
        <v>6871</v>
      </c>
    </row>
    <row r="15603" customFormat="false" ht="15.75" hidden="false" customHeight="false" outlineLevel="0" collapsed="false">
      <c r="A15603" s="6" t="n">
        <f aca="false">DATE(2026,5,10)</f>
        <v>46152</v>
      </c>
      <c r="B15603" s="4" t="s">
        <v>5435</v>
      </c>
      <c r="C15603" s="4" t="n">
        <v>11</v>
      </c>
      <c r="D15603" s="4" t="n">
        <v>7</v>
      </c>
      <c r="E15603" s="4" t="s">
        <v>7117</v>
      </c>
      <c r="F15603" s="4" t="n">
        <v>20</v>
      </c>
      <c r="G15603" s="4" t="n">
        <v>6</v>
      </c>
      <c r="H15603" s="4" t="n">
        <v>3</v>
      </c>
      <c r="I15603" s="4" t="str">
        <v>○</v>
      </c>
      <c r="J15603" s="4" t="n">
        <v>210</v>
      </c>
      <c r="K15603" s="4"/>
      <c r="L15603" s="4"/>
      <c r="M15603" s="7" t="s">
        <v>6871</v>
      </c>
    </row>
    <row r="15604" customFormat="false" ht="15.75" hidden="false" customHeight="false" outlineLevel="0" collapsed="false">
      <c r="A15604" s="6" t="n">
        <f aca="false">DATE(2026,5,10)</f>
        <v>46152</v>
      </c>
      <c r="B15604" s="4" t="s">
        <v>5435</v>
      </c>
      <c r="C15604" s="4" t="n">
        <v>11</v>
      </c>
      <c r="D15604" s="4" t="n">
        <v>2</v>
      </c>
      <c r="E15604" s="4" t="s">
        <v>3110</v>
      </c>
      <c r="F15604" s="4" t="n">
        <v>17</v>
      </c>
      <c r="G15604" s="4" t="n">
        <v>7</v>
      </c>
      <c r="H15604" s="4" t="n">
        <v>4</v>
      </c>
      <c r="I15604" s="4" t="str">
        <v>×</v>
      </c>
      <c r="J15604" s="4"/>
      <c r="K15604" s="4"/>
      <c r="L15604" s="4"/>
      <c r="M15604" s="7" t="s">
        <v>6871</v>
      </c>
    </row>
    <row r="15605" customFormat="false" ht="15.75" hidden="false" customHeight="false" outlineLevel="0" collapsed="false">
      <c r="A15605" s="6" t="n">
        <f aca="false">DATE(2026,5,10)</f>
        <v>46152</v>
      </c>
      <c r="B15605" s="4" t="s">
        <v>5435</v>
      </c>
      <c r="C15605" s="4" t="n">
        <v>11</v>
      </c>
      <c r="D15605" s="4" t="n">
        <v>8</v>
      </c>
      <c r="E15605" s="4" t="s">
        <v>7118</v>
      </c>
      <c r="F15605" s="4" t="n">
        <v>17</v>
      </c>
      <c r="G15605" s="4" t="n">
        <v>8</v>
      </c>
      <c r="H15605" s="4" t="n">
        <v>4</v>
      </c>
      <c r="I15605" s="4" t="str">
        <v>×</v>
      </c>
      <c r="J15605" s="4"/>
      <c r="K15605" s="4"/>
      <c r="L15605" s="4"/>
      <c r="M15605" s="7" t="s">
        <v>6871</v>
      </c>
    </row>
    <row r="15606" customFormat="false" ht="15.75" hidden="false" customHeight="false" outlineLevel="0" collapsed="false">
      <c r="A15606" s="6" t="n">
        <f aca="false">DATE(2026,5,10)</f>
        <v>46152</v>
      </c>
      <c r="B15606" s="4" t="s">
        <v>5435</v>
      </c>
      <c r="C15606" s="4" t="n">
        <v>11</v>
      </c>
      <c r="D15606" s="4" t="n">
        <v>14</v>
      </c>
      <c r="E15606" s="4" t="s">
        <v>3104</v>
      </c>
      <c r="F15606" s="4" t="n">
        <v>15</v>
      </c>
      <c r="G15606" s="4" t="n">
        <v>9</v>
      </c>
      <c r="H15606" s="4" t="n">
        <v>4</v>
      </c>
      <c r="I15606" s="4" t="str">
        <v>×</v>
      </c>
      <c r="J15606" s="4"/>
      <c r="K15606" s="4"/>
      <c r="L15606" s="4"/>
      <c r="M15606" s="7" t="s">
        <v>6871</v>
      </c>
    </row>
    <row r="15607" customFormat="false" ht="15.75" hidden="false" customHeight="false" outlineLevel="0" collapsed="false">
      <c r="A15607" s="6" t="n">
        <f aca="false">DATE(2026,5,10)</f>
        <v>46152</v>
      </c>
      <c r="B15607" s="4" t="s">
        <v>5435</v>
      </c>
      <c r="C15607" s="4" t="n">
        <v>11</v>
      </c>
      <c r="D15607" s="4" t="n">
        <v>11</v>
      </c>
      <c r="E15607" s="4" t="s">
        <v>7119</v>
      </c>
      <c r="F15607" s="4" t="n">
        <v>10</v>
      </c>
      <c r="G15607" s="4" t="n">
        <v>10</v>
      </c>
      <c r="H15607" s="4" t="n">
        <v>4</v>
      </c>
      <c r="I15607" s="4" t="str">
        <v>×</v>
      </c>
      <c r="J15607" s="4"/>
      <c r="K15607" s="4"/>
      <c r="L15607" s="4"/>
      <c r="M15607" s="7" t="s">
        <v>6871</v>
      </c>
    </row>
    <row r="15608" customFormat="false" ht="15.75" hidden="false" customHeight="false" outlineLevel="0" collapsed="false">
      <c r="A15608" s="6" t="n">
        <f aca="false">DATE(2026,5,10)</f>
        <v>46152</v>
      </c>
      <c r="B15608" s="4" t="s">
        <v>5435</v>
      </c>
      <c r="C15608" s="4" t="n">
        <v>11</v>
      </c>
      <c r="D15608" s="4" t="n">
        <v>13</v>
      </c>
      <c r="E15608" s="4" t="s">
        <v>2531</v>
      </c>
      <c r="F15608" s="4" t="n">
        <v>10</v>
      </c>
      <c r="G15608" s="4" t="n">
        <v>11</v>
      </c>
      <c r="H15608" s="4" t="n">
        <v>4</v>
      </c>
      <c r="I15608" s="4" t="str">
        <v>×</v>
      </c>
      <c r="J15608" s="4"/>
      <c r="K15608" s="4"/>
      <c r="L15608" s="4"/>
      <c r="M15608" s="7" t="s">
        <v>6871</v>
      </c>
    </row>
    <row r="15609" customFormat="false" ht="15.75" hidden="false" customHeight="false" outlineLevel="0" collapsed="false">
      <c r="A15609" s="6" t="n">
        <f aca="false">DATE(2026,5,10)</f>
        <v>46152</v>
      </c>
      <c r="B15609" s="4" t="s">
        <v>5435</v>
      </c>
      <c r="C15609" s="4" t="n">
        <v>11</v>
      </c>
      <c r="D15609" s="4" t="n">
        <v>1</v>
      </c>
      <c r="E15609" s="4" t="s">
        <v>3937</v>
      </c>
      <c r="F15609" s="4" t="n">
        <v>4</v>
      </c>
      <c r="G15609" s="4" t="n">
        <v>12</v>
      </c>
      <c r="H15609" s="4" t="n">
        <v>4</v>
      </c>
      <c r="I15609" s="4" t="str">
        <v>×</v>
      </c>
      <c r="J15609" s="4"/>
      <c r="K15609" s="4"/>
      <c r="L15609" s="4"/>
      <c r="M15609" s="7" t="s">
        <v>6871</v>
      </c>
    </row>
    <row r="15610" customFormat="false" ht="15.75" hidden="false" customHeight="false" outlineLevel="0" collapsed="false">
      <c r="A15610" s="6" t="n">
        <f aca="false">DATE(2026,5,10)</f>
        <v>46152</v>
      </c>
      <c r="B15610" s="4" t="s">
        <v>5435</v>
      </c>
      <c r="C15610" s="4" t="n">
        <v>11</v>
      </c>
      <c r="D15610" s="4" t="n">
        <v>3</v>
      </c>
      <c r="E15610" s="4" t="s">
        <v>7120</v>
      </c>
      <c r="F15610" s="4" t="n">
        <v>4</v>
      </c>
      <c r="G15610" s="4" t="n">
        <v>13</v>
      </c>
      <c r="H15610" s="4" t="n">
        <v>4</v>
      </c>
      <c r="I15610" s="4" t="str">
        <v>×</v>
      </c>
      <c r="J15610" s="4"/>
      <c r="K15610" s="4"/>
      <c r="L15610" s="4"/>
      <c r="M15610" s="7" t="s">
        <v>6871</v>
      </c>
    </row>
    <row r="15611" customFormat="false" ht="15.75" hidden="false" customHeight="false" outlineLevel="0" collapsed="false">
      <c r="A15611" s="6" t="n">
        <f aca="false">DATE(2026,5,10)</f>
        <v>46152</v>
      </c>
      <c r="B15611" s="4" t="s">
        <v>5435</v>
      </c>
      <c r="C15611" s="4" t="n">
        <v>11</v>
      </c>
      <c r="D15611" s="4" t="n">
        <v>12</v>
      </c>
      <c r="E15611" s="4" t="s">
        <v>7121</v>
      </c>
      <c r="F15611" s="4" t="n">
        <v>4</v>
      </c>
      <c r="G15611" s="4" t="n">
        <v>14</v>
      </c>
      <c r="H15611" s="4" t="n">
        <v>4</v>
      </c>
      <c r="I15611" s="4" t="str">
        <v>×</v>
      </c>
      <c r="J15611" s="4"/>
      <c r="K15611" s="4"/>
      <c r="L15611" s="4"/>
      <c r="M15611" s="7" t="s">
        <v>6871</v>
      </c>
    </row>
    <row r="15612" customFormat="false" ht="15.75" hidden="false" customHeight="false" outlineLevel="0" collapsed="false">
      <c r="A15612" s="6" t="n">
        <f aca="false">DATE(2026,5,10)</f>
        <v>46152</v>
      </c>
      <c r="B15612" s="4" t="s">
        <v>5435</v>
      </c>
      <c r="C15612" s="4" t="n">
        <v>11</v>
      </c>
      <c r="D15612" s="4" t="n">
        <v>6</v>
      </c>
      <c r="E15612" s="4" t="s">
        <v>7122</v>
      </c>
      <c r="F15612" s="4" t="n">
        <v>2</v>
      </c>
      <c r="G15612" s="4" t="n">
        <v>15</v>
      </c>
      <c r="H15612" s="4" t="n">
        <v>4</v>
      </c>
      <c r="I15612" s="4" t="str">
        <v>×</v>
      </c>
      <c r="J15612" s="4"/>
      <c r="K15612" s="4"/>
      <c r="L15612" s="4"/>
      <c r="M15612" s="7" t="s">
        <v>6871</v>
      </c>
    </row>
    <row r="15613" customFormat="false" ht="15.75" hidden="false" customHeight="false" outlineLevel="0" collapsed="false">
      <c r="A15613" s="6" t="n">
        <f aca="false">DATE(2026,5,10)</f>
        <v>46152</v>
      </c>
      <c r="B15613" s="4" t="s">
        <v>5435</v>
      </c>
      <c r="C15613" s="4" t="n">
        <v>11</v>
      </c>
      <c r="D15613" s="4" t="n">
        <v>15</v>
      </c>
      <c r="E15613" s="4" t="s">
        <v>4479</v>
      </c>
      <c r="F15613" s="4" t="n">
        <v>2</v>
      </c>
      <c r="G15613" s="4" t="n">
        <v>16</v>
      </c>
      <c r="H15613" s="4" t="n">
        <v>4</v>
      </c>
      <c r="I15613" s="4" t="str">
        <v>×</v>
      </c>
      <c r="J15613" s="4"/>
      <c r="K15613" s="4"/>
      <c r="L15613" s="4"/>
      <c r="M15613" s="7" t="s">
        <v>6871</v>
      </c>
    </row>
    <row r="15614" customFormat="false" ht="15.75" hidden="false" customHeight="false" outlineLevel="0" collapsed="false">
      <c r="A15614" s="6" t="n">
        <f aca="false">DATE(2026,5,10)</f>
        <v>46152</v>
      </c>
      <c r="B15614" s="4" t="s">
        <v>5435</v>
      </c>
      <c r="C15614" s="4" t="n">
        <v>12</v>
      </c>
      <c r="D15614" s="4" t="n">
        <v>11</v>
      </c>
      <c r="E15614" s="4" t="s">
        <v>5500</v>
      </c>
      <c r="F15614" s="4" t="n">
        <v>50</v>
      </c>
      <c r="G15614" s="4" t="n">
        <v>1</v>
      </c>
      <c r="H15614" s="4" t="n">
        <v>4</v>
      </c>
      <c r="I15614" s="4" t="str">
        <v>×</v>
      </c>
      <c r="J15614" s="4"/>
      <c r="K15614" s="4"/>
      <c r="L15614" s="4"/>
      <c r="M15614" s="7" t="s">
        <v>6871</v>
      </c>
    </row>
    <row r="15615" customFormat="false" ht="15.75" hidden="false" customHeight="false" outlineLevel="0" collapsed="false">
      <c r="A15615" s="6" t="n">
        <f aca="false">DATE(2026,5,10)</f>
        <v>46152</v>
      </c>
      <c r="B15615" s="4" t="s">
        <v>5435</v>
      </c>
      <c r="C15615" s="4" t="n">
        <v>12</v>
      </c>
      <c r="D15615" s="4" t="n">
        <v>10</v>
      </c>
      <c r="E15615" s="4" t="s">
        <v>3098</v>
      </c>
      <c r="F15615" s="4" t="n">
        <v>39</v>
      </c>
      <c r="G15615" s="4" t="n">
        <v>2</v>
      </c>
      <c r="H15615" s="4" t="n">
        <v>4</v>
      </c>
      <c r="I15615" s="4" t="str">
        <v>×</v>
      </c>
      <c r="J15615" s="4"/>
      <c r="K15615" s="4"/>
      <c r="L15615" s="4"/>
      <c r="M15615" s="7" t="s">
        <v>6871</v>
      </c>
    </row>
    <row r="15616" customFormat="false" ht="15.75" hidden="false" customHeight="false" outlineLevel="0" collapsed="false">
      <c r="A15616" s="6" t="n">
        <f aca="false">DATE(2026,5,10)</f>
        <v>46152</v>
      </c>
      <c r="B15616" s="4" t="s">
        <v>5435</v>
      </c>
      <c r="C15616" s="4" t="n">
        <v>12</v>
      </c>
      <c r="D15616" s="4" t="n">
        <v>2</v>
      </c>
      <c r="E15616" s="4" t="s">
        <v>6766</v>
      </c>
      <c r="F15616" s="4" t="n">
        <v>31</v>
      </c>
      <c r="G15616" s="4" t="n">
        <v>3</v>
      </c>
      <c r="H15616" s="4" t="n">
        <v>4</v>
      </c>
      <c r="I15616" s="4" t="str">
        <v>×</v>
      </c>
      <c r="J15616" s="4"/>
      <c r="K15616" s="4"/>
      <c r="L15616" s="4"/>
      <c r="M15616" s="7" t="s">
        <v>6871</v>
      </c>
    </row>
    <row r="15617" customFormat="false" ht="15.75" hidden="false" customHeight="false" outlineLevel="0" collapsed="false">
      <c r="A15617" s="6" t="n">
        <f aca="false">DATE(2026,5,10)</f>
        <v>46152</v>
      </c>
      <c r="B15617" s="4" t="s">
        <v>5435</v>
      </c>
      <c r="C15617" s="4" t="n">
        <v>12</v>
      </c>
      <c r="D15617" s="4" t="n">
        <v>12</v>
      </c>
      <c r="E15617" s="4" t="s">
        <v>7123</v>
      </c>
      <c r="F15617" s="4" t="n">
        <v>31</v>
      </c>
      <c r="G15617" s="4" t="n">
        <v>4</v>
      </c>
      <c r="H15617" s="4" t="n">
        <v>4</v>
      </c>
      <c r="I15617" s="4" t="str">
        <v>×</v>
      </c>
      <c r="J15617" s="4"/>
      <c r="K15617" s="4"/>
      <c r="L15617" s="4"/>
      <c r="M15617" s="7" t="s">
        <v>6871</v>
      </c>
    </row>
    <row r="15618" customFormat="false" ht="15.75" hidden="false" customHeight="false" outlineLevel="0" collapsed="false">
      <c r="A15618" s="6" t="n">
        <f aca="false">DATE(2026,5,10)</f>
        <v>46152</v>
      </c>
      <c r="B15618" s="4" t="s">
        <v>5435</v>
      </c>
      <c r="C15618" s="4" t="n">
        <v>12</v>
      </c>
      <c r="D15618" s="4" t="n">
        <v>8</v>
      </c>
      <c r="E15618" s="4" t="s">
        <v>5982</v>
      </c>
      <c r="F15618" s="4" t="n">
        <v>25</v>
      </c>
      <c r="G15618" s="4" t="n">
        <v>5</v>
      </c>
      <c r="H15618" s="4" t="n">
        <v>2</v>
      </c>
      <c r="I15618" s="4" t="str">
        <v>○</v>
      </c>
      <c r="J15618" s="4" t="n">
        <v>160</v>
      </c>
      <c r="K15618" s="4"/>
      <c r="L15618" s="4"/>
      <c r="M15618" s="7" t="s">
        <v>6871</v>
      </c>
    </row>
    <row r="15619" customFormat="false" ht="15.75" hidden="false" customHeight="false" outlineLevel="0" collapsed="false">
      <c r="A15619" s="6" t="n">
        <f aca="false">DATE(2026,5,10)</f>
        <v>46152</v>
      </c>
      <c r="B15619" s="4" t="s">
        <v>5435</v>
      </c>
      <c r="C15619" s="4" t="n">
        <v>12</v>
      </c>
      <c r="D15619" s="4" t="n">
        <v>14</v>
      </c>
      <c r="E15619" s="4" t="s">
        <v>3630</v>
      </c>
      <c r="F15619" s="4" t="n">
        <v>25</v>
      </c>
      <c r="G15619" s="4" t="n">
        <v>6</v>
      </c>
      <c r="H15619" s="4" t="n">
        <v>1</v>
      </c>
      <c r="I15619" s="4" t="str">
        <v>○</v>
      </c>
      <c r="J15619" s="4" t="n">
        <v>190</v>
      </c>
      <c r="K15619" s="4"/>
      <c r="L15619" s="4"/>
      <c r="M15619" s="7" t="s">
        <v>6871</v>
      </c>
    </row>
    <row r="15620" customFormat="false" ht="15.75" hidden="false" customHeight="false" outlineLevel="0" collapsed="false">
      <c r="A15620" s="6" t="n">
        <f aca="false">DATE(2026,5,10)</f>
        <v>46152</v>
      </c>
      <c r="B15620" s="4" t="s">
        <v>5435</v>
      </c>
      <c r="C15620" s="4" t="n">
        <v>12</v>
      </c>
      <c r="D15620" s="4" t="n">
        <v>7</v>
      </c>
      <c r="E15620" s="4" t="s">
        <v>5622</v>
      </c>
      <c r="F15620" s="4" t="n">
        <v>20</v>
      </c>
      <c r="G15620" s="4" t="n">
        <v>7</v>
      </c>
      <c r="H15620" s="4" t="n">
        <v>4</v>
      </c>
      <c r="I15620" s="4" t="str">
        <v>×</v>
      </c>
      <c r="J15620" s="4"/>
      <c r="K15620" s="4"/>
      <c r="L15620" s="4"/>
      <c r="M15620" s="7" t="s">
        <v>6871</v>
      </c>
    </row>
    <row r="15621" customFormat="false" ht="15.75" hidden="false" customHeight="false" outlineLevel="0" collapsed="false">
      <c r="A15621" s="6" t="n">
        <f aca="false">DATE(2026,5,10)</f>
        <v>46152</v>
      </c>
      <c r="B15621" s="4" t="s">
        <v>5435</v>
      </c>
      <c r="C15621" s="4" t="n">
        <v>12</v>
      </c>
      <c r="D15621" s="4" t="n">
        <v>3</v>
      </c>
      <c r="E15621" s="4" t="s">
        <v>4849</v>
      </c>
      <c r="F15621" s="4" t="n">
        <v>15</v>
      </c>
      <c r="G15621" s="4" t="n">
        <v>8</v>
      </c>
      <c r="H15621" s="4" t="n">
        <v>4</v>
      </c>
      <c r="I15621" s="4" t="str">
        <v>×</v>
      </c>
      <c r="J15621" s="4"/>
      <c r="K15621" s="4"/>
      <c r="L15621" s="4"/>
      <c r="M15621" s="7" t="s">
        <v>6871</v>
      </c>
    </row>
    <row r="15622" customFormat="false" ht="15.75" hidden="false" customHeight="false" outlineLevel="0" collapsed="false">
      <c r="A15622" s="6" t="n">
        <f aca="false">DATE(2026,5,10)</f>
        <v>46152</v>
      </c>
      <c r="B15622" s="4" t="s">
        <v>5435</v>
      </c>
      <c r="C15622" s="4" t="n">
        <v>12</v>
      </c>
      <c r="D15622" s="4" t="n">
        <v>5</v>
      </c>
      <c r="E15622" s="4" t="s">
        <v>4844</v>
      </c>
      <c r="F15622" s="4" t="n">
        <v>15</v>
      </c>
      <c r="G15622" s="4" t="n">
        <v>9</v>
      </c>
      <c r="H15622" s="4" t="n">
        <v>3</v>
      </c>
      <c r="I15622" s="4" t="str">
        <v>○</v>
      </c>
      <c r="J15622" s="4" t="n">
        <v>870</v>
      </c>
      <c r="K15622" s="4"/>
      <c r="L15622" s="4"/>
      <c r="M15622" s="7" t="s">
        <v>6871</v>
      </c>
    </row>
    <row r="15623" customFormat="false" ht="15.75" hidden="false" customHeight="false" outlineLevel="0" collapsed="false">
      <c r="A15623" s="6" t="n">
        <f aca="false">DATE(2026,5,10)</f>
        <v>46152</v>
      </c>
      <c r="B15623" s="4" t="s">
        <v>5435</v>
      </c>
      <c r="C15623" s="4" t="n">
        <v>12</v>
      </c>
      <c r="D15623" s="4" t="n">
        <v>9</v>
      </c>
      <c r="E15623" s="4" t="s">
        <v>4405</v>
      </c>
      <c r="F15623" s="4" t="n">
        <v>15</v>
      </c>
      <c r="G15623" s="4" t="n">
        <v>10</v>
      </c>
      <c r="H15623" s="4" t="n">
        <v>4</v>
      </c>
      <c r="I15623" s="4" t="str">
        <v>×</v>
      </c>
      <c r="J15623" s="4"/>
      <c r="K15623" s="4"/>
      <c r="L15623" s="4"/>
      <c r="M15623" s="7" t="s">
        <v>6871</v>
      </c>
    </row>
    <row r="15624" customFormat="false" ht="15.75" hidden="false" customHeight="false" outlineLevel="0" collapsed="false">
      <c r="A15624" s="6" t="n">
        <f aca="false">DATE(2026,5,10)</f>
        <v>46152</v>
      </c>
      <c r="B15624" s="4" t="s">
        <v>5435</v>
      </c>
      <c r="C15624" s="4" t="n">
        <v>12</v>
      </c>
      <c r="D15624" s="4" t="n">
        <v>6</v>
      </c>
      <c r="E15624" s="4" t="s">
        <v>4337</v>
      </c>
      <c r="F15624" s="4" t="n">
        <v>13</v>
      </c>
      <c r="G15624" s="4" t="n">
        <v>11</v>
      </c>
      <c r="H15624" s="4" t="n">
        <v>4</v>
      </c>
      <c r="I15624" s="4" t="str">
        <v>×</v>
      </c>
      <c r="J15624" s="4"/>
      <c r="K15624" s="4"/>
      <c r="L15624" s="4"/>
      <c r="M15624" s="7" t="s">
        <v>6871</v>
      </c>
    </row>
    <row r="15625" customFormat="false" ht="15.75" hidden="false" customHeight="false" outlineLevel="0" collapsed="false">
      <c r="A15625" s="6" t="n">
        <f aca="false">DATE(2026,5,10)</f>
        <v>46152</v>
      </c>
      <c r="B15625" s="4" t="s">
        <v>5435</v>
      </c>
      <c r="C15625" s="4" t="n">
        <v>12</v>
      </c>
      <c r="D15625" s="4" t="n">
        <v>1</v>
      </c>
      <c r="E15625" s="4" t="s">
        <v>2252</v>
      </c>
      <c r="F15625" s="4" t="n">
        <v>8</v>
      </c>
      <c r="G15625" s="4" t="n">
        <v>12</v>
      </c>
      <c r="H15625" s="4" t="n">
        <v>4</v>
      </c>
      <c r="I15625" s="4" t="str">
        <v>×</v>
      </c>
      <c r="J15625" s="4"/>
      <c r="K15625" s="4"/>
      <c r="L15625" s="4"/>
      <c r="M15625" s="7" t="s">
        <v>6871</v>
      </c>
    </row>
    <row r="15626" customFormat="false" ht="15.75" hidden="false" customHeight="false" outlineLevel="0" collapsed="false">
      <c r="A15626" s="6" t="n">
        <f aca="false">DATE(2026,5,10)</f>
        <v>46152</v>
      </c>
      <c r="B15626" s="4" t="s">
        <v>5435</v>
      </c>
      <c r="C15626" s="4" t="n">
        <v>12</v>
      </c>
      <c r="D15626" s="4" t="n">
        <v>4</v>
      </c>
      <c r="E15626" s="4" t="s">
        <v>5477</v>
      </c>
      <c r="F15626" s="4" t="n">
        <v>4</v>
      </c>
      <c r="G15626" s="4" t="n">
        <v>13</v>
      </c>
      <c r="H15626" s="4" t="n">
        <v>4</v>
      </c>
      <c r="I15626" s="4" t="str">
        <v>×</v>
      </c>
      <c r="J15626" s="4"/>
      <c r="K15626" s="4"/>
      <c r="L15626" s="4"/>
      <c r="M15626" s="7" t="s">
        <v>6871</v>
      </c>
    </row>
    <row r="15627" customFormat="false" ht="15.75" hidden="false" customHeight="false" outlineLevel="0" collapsed="false">
      <c r="A15627" s="6" t="n">
        <f aca="false">DATE(2026,5,10)</f>
        <v>46152</v>
      </c>
      <c r="B15627" s="4" t="s">
        <v>5435</v>
      </c>
      <c r="C15627" s="4" t="n">
        <v>12</v>
      </c>
      <c r="D15627" s="4" t="n">
        <v>13</v>
      </c>
      <c r="E15627" s="4" t="s">
        <v>6764</v>
      </c>
      <c r="F15627" s="4" t="n">
        <v>4</v>
      </c>
      <c r="G15627" s="4" t="n">
        <v>14</v>
      </c>
      <c r="H15627" s="4" t="n">
        <v>4</v>
      </c>
      <c r="I15627" s="4" t="str">
        <v>×</v>
      </c>
      <c r="J15627" s="4"/>
      <c r="K15627" s="4"/>
      <c r="L15627" s="4"/>
      <c r="M15627" s="7" t="s">
        <v>6871</v>
      </c>
    </row>
    <row r="15628" customFormat="false" ht="15.75" hidden="false" customHeight="false" outlineLevel="0" collapsed="false">
      <c r="A15628" s="6" t="n">
        <f aca="false">DATE(2026,5,10)</f>
        <v>46152</v>
      </c>
      <c r="B15628" s="4" t="s">
        <v>13</v>
      </c>
      <c r="C15628" s="4" t="n">
        <v>1</v>
      </c>
      <c r="D15628" s="4" t="n">
        <v>13</v>
      </c>
      <c r="E15628" s="4" t="s">
        <v>5682</v>
      </c>
      <c r="F15628" s="4" t="n">
        <v>56</v>
      </c>
      <c r="G15628" s="4" t="n">
        <v>1</v>
      </c>
      <c r="H15628" s="4" t="n">
        <v>1</v>
      </c>
      <c r="I15628" s="4" t="str">
        <v>○</v>
      </c>
      <c r="J15628" s="4" t="n">
        <v>110</v>
      </c>
      <c r="K15628" s="4"/>
      <c r="L15628" s="4"/>
      <c r="M15628" s="7" t="s">
        <v>6871</v>
      </c>
    </row>
    <row r="15629" customFormat="false" ht="15.75" hidden="false" customHeight="false" outlineLevel="0" collapsed="false">
      <c r="A15629" s="6" t="n">
        <f aca="false">DATE(2026,5,10)</f>
        <v>46152</v>
      </c>
      <c r="B15629" s="4" t="s">
        <v>13</v>
      </c>
      <c r="C15629" s="4" t="n">
        <v>1</v>
      </c>
      <c r="D15629" s="4" t="n">
        <v>3</v>
      </c>
      <c r="E15629" s="4" t="s">
        <v>7124</v>
      </c>
      <c r="F15629" s="4" t="n">
        <v>34</v>
      </c>
      <c r="G15629" s="4" t="n">
        <v>2</v>
      </c>
      <c r="H15629" s="4" t="n">
        <v>3</v>
      </c>
      <c r="I15629" s="4" t="str">
        <v>○</v>
      </c>
      <c r="J15629" s="4" t="n">
        <v>140</v>
      </c>
      <c r="K15629" s="4"/>
      <c r="L15629" s="4"/>
      <c r="M15629" s="7" t="s">
        <v>6871</v>
      </c>
    </row>
    <row r="15630" customFormat="false" ht="15.75" hidden="false" customHeight="false" outlineLevel="0" collapsed="false">
      <c r="A15630" s="6" t="n">
        <f aca="false">DATE(2026,5,10)</f>
        <v>46152</v>
      </c>
      <c r="B15630" s="4" t="s">
        <v>13</v>
      </c>
      <c r="C15630" s="4" t="n">
        <v>1</v>
      </c>
      <c r="D15630" s="4" t="n">
        <v>8</v>
      </c>
      <c r="E15630" s="4" t="s">
        <v>1740</v>
      </c>
      <c r="F15630" s="4" t="n">
        <v>34</v>
      </c>
      <c r="G15630" s="4" t="n">
        <v>3</v>
      </c>
      <c r="H15630" s="4" t="n">
        <v>2</v>
      </c>
      <c r="I15630" s="4" t="str">
        <v>○</v>
      </c>
      <c r="J15630" s="4" t="n">
        <v>140</v>
      </c>
      <c r="K15630" s="4"/>
      <c r="L15630" s="4"/>
      <c r="M15630" s="7" t="s">
        <v>6871</v>
      </c>
    </row>
    <row r="15631" customFormat="false" ht="15.75" hidden="false" customHeight="false" outlineLevel="0" collapsed="false">
      <c r="A15631" s="6" t="n">
        <f aca="false">DATE(2026,5,10)</f>
        <v>46152</v>
      </c>
      <c r="B15631" s="4" t="s">
        <v>13</v>
      </c>
      <c r="C15631" s="4" t="n">
        <v>1</v>
      </c>
      <c r="D15631" s="4" t="n">
        <v>1</v>
      </c>
      <c r="E15631" s="4" t="s">
        <v>7125</v>
      </c>
      <c r="F15631" s="4" t="n">
        <v>31</v>
      </c>
      <c r="G15631" s="4" t="n">
        <v>4</v>
      </c>
      <c r="H15631" s="4" t="n">
        <v>4</v>
      </c>
      <c r="I15631" s="4" t="str">
        <v>×</v>
      </c>
      <c r="J15631" s="4"/>
      <c r="K15631" s="4"/>
      <c r="L15631" s="4"/>
      <c r="M15631" s="7" t="s">
        <v>6871</v>
      </c>
    </row>
    <row r="15632" customFormat="false" ht="15.75" hidden="false" customHeight="false" outlineLevel="0" collapsed="false">
      <c r="A15632" s="6" t="n">
        <f aca="false">DATE(2026,5,10)</f>
        <v>46152</v>
      </c>
      <c r="B15632" s="4" t="s">
        <v>13</v>
      </c>
      <c r="C15632" s="4" t="n">
        <v>1</v>
      </c>
      <c r="D15632" s="4" t="n">
        <v>6</v>
      </c>
      <c r="E15632" s="4" t="s">
        <v>1800</v>
      </c>
      <c r="F15632" s="4" t="n">
        <v>31</v>
      </c>
      <c r="G15632" s="4" t="n">
        <v>5</v>
      </c>
      <c r="H15632" s="4" t="n">
        <v>4</v>
      </c>
      <c r="I15632" s="4" t="str">
        <v>×</v>
      </c>
      <c r="J15632" s="4"/>
      <c r="K15632" s="4"/>
      <c r="L15632" s="4"/>
      <c r="M15632" s="7" t="s">
        <v>6871</v>
      </c>
    </row>
    <row r="15633" customFormat="false" ht="15.75" hidden="false" customHeight="false" outlineLevel="0" collapsed="false">
      <c r="A15633" s="6" t="n">
        <f aca="false">DATE(2026,5,10)</f>
        <v>46152</v>
      </c>
      <c r="B15633" s="4" t="s">
        <v>13</v>
      </c>
      <c r="C15633" s="4" t="n">
        <v>1</v>
      </c>
      <c r="D15633" s="4" t="n">
        <v>5</v>
      </c>
      <c r="E15633" s="4" t="s">
        <v>7126</v>
      </c>
      <c r="F15633" s="4" t="n">
        <v>23</v>
      </c>
      <c r="G15633" s="4" t="n">
        <v>6</v>
      </c>
      <c r="H15633" s="4" t="n">
        <v>4</v>
      </c>
      <c r="I15633" s="4" t="str">
        <v>×</v>
      </c>
      <c r="J15633" s="4"/>
      <c r="K15633" s="4"/>
      <c r="L15633" s="4"/>
      <c r="M15633" s="7" t="s">
        <v>6871</v>
      </c>
    </row>
    <row r="15634" customFormat="false" ht="15.75" hidden="false" customHeight="false" outlineLevel="0" collapsed="false">
      <c r="A15634" s="6" t="n">
        <f aca="false">DATE(2026,5,10)</f>
        <v>46152</v>
      </c>
      <c r="B15634" s="4" t="s">
        <v>13</v>
      </c>
      <c r="C15634" s="4" t="n">
        <v>1</v>
      </c>
      <c r="D15634" s="4" t="n">
        <v>4</v>
      </c>
      <c r="E15634" s="4" t="s">
        <v>7127</v>
      </c>
      <c r="F15634" s="4" t="n">
        <v>10</v>
      </c>
      <c r="G15634" s="4" t="n">
        <v>7</v>
      </c>
      <c r="H15634" s="4" t="n">
        <v>4</v>
      </c>
      <c r="I15634" s="4" t="str">
        <v>×</v>
      </c>
      <c r="J15634" s="4"/>
      <c r="K15634" s="4"/>
      <c r="L15634" s="4"/>
      <c r="M15634" s="7" t="s">
        <v>6871</v>
      </c>
    </row>
    <row r="15635" customFormat="false" ht="15.75" hidden="false" customHeight="false" outlineLevel="0" collapsed="false">
      <c r="A15635" s="6" t="n">
        <f aca="false">DATE(2026,5,10)</f>
        <v>46152</v>
      </c>
      <c r="B15635" s="4" t="s">
        <v>13</v>
      </c>
      <c r="C15635" s="4" t="n">
        <v>1</v>
      </c>
      <c r="D15635" s="4" t="n">
        <v>14</v>
      </c>
      <c r="E15635" s="4" t="s">
        <v>7128</v>
      </c>
      <c r="F15635" s="4" t="n">
        <v>8</v>
      </c>
      <c r="G15635" s="4" t="n">
        <v>8</v>
      </c>
      <c r="H15635" s="4" t="n">
        <v>4</v>
      </c>
      <c r="I15635" s="4" t="str">
        <v>×</v>
      </c>
      <c r="J15635" s="4"/>
      <c r="K15635" s="4"/>
      <c r="L15635" s="4"/>
      <c r="M15635" s="7" t="s">
        <v>6871</v>
      </c>
    </row>
    <row r="15636" customFormat="false" ht="15.75" hidden="false" customHeight="false" outlineLevel="0" collapsed="false">
      <c r="A15636" s="6" t="n">
        <f aca="false">DATE(2026,5,10)</f>
        <v>46152</v>
      </c>
      <c r="B15636" s="4" t="s">
        <v>13</v>
      </c>
      <c r="C15636" s="4" t="n">
        <v>1</v>
      </c>
      <c r="D15636" s="4" t="n">
        <v>2</v>
      </c>
      <c r="E15636" s="4" t="s">
        <v>7129</v>
      </c>
      <c r="F15636" s="4" t="n">
        <v>6</v>
      </c>
      <c r="G15636" s="4" t="n">
        <v>9</v>
      </c>
      <c r="H15636" s="4" t="n">
        <v>4</v>
      </c>
      <c r="I15636" s="4" t="str">
        <v>×</v>
      </c>
      <c r="J15636" s="4"/>
      <c r="K15636" s="4"/>
      <c r="L15636" s="4"/>
      <c r="M15636" s="7" t="s">
        <v>6871</v>
      </c>
    </row>
    <row r="15637" customFormat="false" ht="15.75" hidden="false" customHeight="false" outlineLevel="0" collapsed="false">
      <c r="A15637" s="6" t="n">
        <f aca="false">DATE(2026,5,10)</f>
        <v>46152</v>
      </c>
      <c r="B15637" s="4" t="s">
        <v>13</v>
      </c>
      <c r="C15637" s="4" t="n">
        <v>1</v>
      </c>
      <c r="D15637" s="4" t="n">
        <v>7</v>
      </c>
      <c r="E15637" s="4" t="s">
        <v>5234</v>
      </c>
      <c r="F15637" s="4" t="n">
        <v>6</v>
      </c>
      <c r="G15637" s="4" t="n">
        <v>10</v>
      </c>
      <c r="H15637" s="4" t="n">
        <v>4</v>
      </c>
      <c r="I15637" s="4" t="str">
        <v>×</v>
      </c>
      <c r="J15637" s="4"/>
      <c r="K15637" s="4"/>
      <c r="L15637" s="4"/>
      <c r="M15637" s="7" t="s">
        <v>6871</v>
      </c>
    </row>
    <row r="15638" customFormat="false" ht="15.75" hidden="false" customHeight="false" outlineLevel="0" collapsed="false">
      <c r="A15638" s="6" t="n">
        <f aca="false">DATE(2026,5,10)</f>
        <v>46152</v>
      </c>
      <c r="B15638" s="4" t="s">
        <v>13</v>
      </c>
      <c r="C15638" s="4" t="n">
        <v>1</v>
      </c>
      <c r="D15638" s="4" t="n">
        <v>10</v>
      </c>
      <c r="E15638" s="4" t="s">
        <v>7130</v>
      </c>
      <c r="F15638" s="4" t="n">
        <v>6</v>
      </c>
      <c r="G15638" s="4" t="n">
        <v>11</v>
      </c>
      <c r="H15638" s="4" t="n">
        <v>4</v>
      </c>
      <c r="I15638" s="4" t="str">
        <v>×</v>
      </c>
      <c r="J15638" s="4"/>
      <c r="K15638" s="4"/>
      <c r="L15638" s="4"/>
      <c r="M15638" s="7" t="s">
        <v>6871</v>
      </c>
    </row>
    <row r="15639" customFormat="false" ht="15.75" hidden="false" customHeight="false" outlineLevel="0" collapsed="false">
      <c r="A15639" s="6" t="n">
        <f aca="false">DATE(2026,5,10)</f>
        <v>46152</v>
      </c>
      <c r="B15639" s="4" t="s">
        <v>13</v>
      </c>
      <c r="C15639" s="4" t="n">
        <v>1</v>
      </c>
      <c r="D15639" s="4" t="n">
        <v>12</v>
      </c>
      <c r="E15639" s="4" t="s">
        <v>7131</v>
      </c>
      <c r="F15639" s="4" t="n">
        <v>6</v>
      </c>
      <c r="G15639" s="4" t="n">
        <v>12</v>
      </c>
      <c r="H15639" s="4" t="n">
        <v>4</v>
      </c>
      <c r="I15639" s="4" t="str">
        <v>×</v>
      </c>
      <c r="J15639" s="4"/>
      <c r="K15639" s="4"/>
      <c r="L15639" s="4"/>
      <c r="M15639" s="7" t="s">
        <v>6871</v>
      </c>
    </row>
    <row r="15640" customFormat="false" ht="15.75" hidden="false" customHeight="false" outlineLevel="0" collapsed="false">
      <c r="A15640" s="6" t="n">
        <f aca="false">DATE(2026,5,10)</f>
        <v>46152</v>
      </c>
      <c r="B15640" s="4" t="s">
        <v>13</v>
      </c>
      <c r="C15640" s="4" t="n">
        <v>1</v>
      </c>
      <c r="D15640" s="4" t="n">
        <v>15</v>
      </c>
      <c r="E15640" s="4" t="s">
        <v>7132</v>
      </c>
      <c r="F15640" s="4" t="n">
        <v>4</v>
      </c>
      <c r="G15640" s="4" t="n">
        <v>13</v>
      </c>
      <c r="H15640" s="4" t="n">
        <v>4</v>
      </c>
      <c r="I15640" s="4" t="str">
        <v>×</v>
      </c>
      <c r="J15640" s="4"/>
      <c r="K15640" s="4"/>
      <c r="L15640" s="4"/>
      <c r="M15640" s="7" t="s">
        <v>6871</v>
      </c>
    </row>
    <row r="15641" customFormat="false" ht="15.75" hidden="false" customHeight="false" outlineLevel="0" collapsed="false">
      <c r="A15641" s="6" t="n">
        <f aca="false">DATE(2026,5,10)</f>
        <v>46152</v>
      </c>
      <c r="B15641" s="4" t="s">
        <v>13</v>
      </c>
      <c r="C15641" s="4" t="n">
        <v>1</v>
      </c>
      <c r="D15641" s="4" t="n">
        <v>9</v>
      </c>
      <c r="E15641" s="4" t="s">
        <v>993</v>
      </c>
      <c r="F15641" s="4" t="n">
        <v>3</v>
      </c>
      <c r="G15641" s="4" t="n">
        <v>14</v>
      </c>
      <c r="H15641" s="4" t="n">
        <v>4</v>
      </c>
      <c r="I15641" s="4" t="str">
        <v>×</v>
      </c>
      <c r="J15641" s="4"/>
      <c r="K15641" s="4"/>
      <c r="L15641" s="4"/>
      <c r="M15641" s="7" t="s">
        <v>6871</v>
      </c>
    </row>
    <row r="15642" customFormat="false" ht="15.75" hidden="false" customHeight="false" outlineLevel="0" collapsed="false">
      <c r="A15642" s="6" t="n">
        <f aca="false">DATE(2026,5,10)</f>
        <v>46152</v>
      </c>
      <c r="B15642" s="4" t="s">
        <v>13</v>
      </c>
      <c r="C15642" s="4" t="n">
        <v>1</v>
      </c>
      <c r="D15642" s="4" t="n">
        <v>11</v>
      </c>
      <c r="E15642" s="4" t="s">
        <v>7133</v>
      </c>
      <c r="F15642" s="4" t="n">
        <v>2</v>
      </c>
      <c r="G15642" s="4" t="n">
        <v>15</v>
      </c>
      <c r="H15642" s="4" t="n">
        <v>4</v>
      </c>
      <c r="I15642" s="4" t="str">
        <v>×</v>
      </c>
      <c r="J15642" s="4"/>
      <c r="K15642" s="4"/>
      <c r="L15642" s="4"/>
      <c r="M15642" s="7" t="s">
        <v>6871</v>
      </c>
    </row>
    <row r="15643" customFormat="false" ht="15.75" hidden="false" customHeight="false" outlineLevel="0" collapsed="false">
      <c r="A15643" s="6" t="n">
        <f aca="false">DATE(2026,5,10)</f>
        <v>46152</v>
      </c>
      <c r="B15643" s="4" t="s">
        <v>13</v>
      </c>
      <c r="C15643" s="4" t="n">
        <v>2</v>
      </c>
      <c r="D15643" s="4" t="n">
        <v>5</v>
      </c>
      <c r="E15643" s="4" t="s">
        <v>1252</v>
      </c>
      <c r="F15643" s="4" t="n">
        <v>56</v>
      </c>
      <c r="G15643" s="4" t="n">
        <v>1</v>
      </c>
      <c r="H15643" s="4" t="n">
        <v>4</v>
      </c>
      <c r="I15643" s="4" t="str">
        <v>×</v>
      </c>
      <c r="J15643" s="4"/>
      <c r="K15643" s="4"/>
      <c r="L15643" s="4"/>
      <c r="M15643" s="7" t="s">
        <v>6871</v>
      </c>
    </row>
    <row r="15644" customFormat="false" ht="15.75" hidden="false" customHeight="false" outlineLevel="0" collapsed="false">
      <c r="A15644" s="6" t="n">
        <f aca="false">DATE(2026,5,10)</f>
        <v>46152</v>
      </c>
      <c r="B15644" s="4" t="s">
        <v>13</v>
      </c>
      <c r="C15644" s="4" t="n">
        <v>2</v>
      </c>
      <c r="D15644" s="4" t="n">
        <v>3</v>
      </c>
      <c r="E15644" s="4" t="s">
        <v>4494</v>
      </c>
      <c r="F15644" s="4" t="n">
        <v>50</v>
      </c>
      <c r="G15644" s="4" t="n">
        <v>2</v>
      </c>
      <c r="H15644" s="4" t="n">
        <v>4</v>
      </c>
      <c r="I15644" s="4" t="str">
        <v>×</v>
      </c>
      <c r="J15644" s="4"/>
      <c r="K15644" s="4"/>
      <c r="L15644" s="4"/>
      <c r="M15644" s="7" t="s">
        <v>6871</v>
      </c>
    </row>
    <row r="15645" customFormat="false" ht="15.75" hidden="false" customHeight="false" outlineLevel="0" collapsed="false">
      <c r="A15645" s="6" t="n">
        <f aca="false">DATE(2026,5,10)</f>
        <v>46152</v>
      </c>
      <c r="B15645" s="4" t="s">
        <v>13</v>
      </c>
      <c r="C15645" s="4" t="n">
        <v>2</v>
      </c>
      <c r="D15645" s="4" t="n">
        <v>4</v>
      </c>
      <c r="E15645" s="4" t="s">
        <v>53</v>
      </c>
      <c r="F15645" s="4" t="n">
        <v>34</v>
      </c>
      <c r="G15645" s="4" t="n">
        <v>3</v>
      </c>
      <c r="H15645" s="4" t="n">
        <v>4</v>
      </c>
      <c r="I15645" s="4" t="str">
        <v>×</v>
      </c>
      <c r="J15645" s="4"/>
      <c r="K15645" s="4"/>
      <c r="L15645" s="4"/>
      <c r="M15645" s="7" t="s">
        <v>6871</v>
      </c>
    </row>
    <row r="15646" customFormat="false" ht="15.75" hidden="false" customHeight="false" outlineLevel="0" collapsed="false">
      <c r="A15646" s="6" t="n">
        <f aca="false">DATE(2026,5,10)</f>
        <v>46152</v>
      </c>
      <c r="B15646" s="4" t="s">
        <v>13</v>
      </c>
      <c r="C15646" s="4" t="n">
        <v>2</v>
      </c>
      <c r="D15646" s="4" t="n">
        <v>14</v>
      </c>
      <c r="E15646" s="4" t="s">
        <v>486</v>
      </c>
      <c r="F15646" s="4" t="n">
        <v>34</v>
      </c>
      <c r="G15646" s="4" t="n">
        <v>4</v>
      </c>
      <c r="H15646" s="4" t="n">
        <v>4</v>
      </c>
      <c r="I15646" s="4" t="str">
        <v>×</v>
      </c>
      <c r="J15646" s="4"/>
      <c r="K15646" s="4"/>
      <c r="L15646" s="4"/>
      <c r="M15646" s="7" t="s">
        <v>6871</v>
      </c>
    </row>
    <row r="15647" customFormat="false" ht="15.75" hidden="false" customHeight="false" outlineLevel="0" collapsed="false">
      <c r="A15647" s="6" t="n">
        <f aca="false">DATE(2026,5,10)</f>
        <v>46152</v>
      </c>
      <c r="B15647" s="4" t="s">
        <v>13</v>
      </c>
      <c r="C15647" s="4" t="n">
        <v>2</v>
      </c>
      <c r="D15647" s="4" t="n">
        <v>10</v>
      </c>
      <c r="E15647" s="4" t="s">
        <v>3672</v>
      </c>
      <c r="F15647" s="4" t="n">
        <v>31</v>
      </c>
      <c r="G15647" s="4" t="n">
        <v>5</v>
      </c>
      <c r="H15647" s="4" t="n">
        <v>1</v>
      </c>
      <c r="I15647" s="4" t="str">
        <v>○</v>
      </c>
      <c r="J15647" s="4" t="n">
        <v>200</v>
      </c>
      <c r="K15647" s="4"/>
      <c r="L15647" s="4"/>
      <c r="M15647" s="7" t="s">
        <v>6871</v>
      </c>
    </row>
    <row r="15648" customFormat="false" ht="15.75" hidden="false" customHeight="false" outlineLevel="0" collapsed="false">
      <c r="A15648" s="6" t="n">
        <f aca="false">DATE(2026,5,10)</f>
        <v>46152</v>
      </c>
      <c r="B15648" s="4" t="s">
        <v>13</v>
      </c>
      <c r="C15648" s="4" t="n">
        <v>2</v>
      </c>
      <c r="D15648" s="4" t="n">
        <v>6</v>
      </c>
      <c r="E15648" s="4" t="s">
        <v>953</v>
      </c>
      <c r="F15648" s="4" t="n">
        <v>17</v>
      </c>
      <c r="G15648" s="4" t="n">
        <v>6</v>
      </c>
      <c r="H15648" s="4" t="n">
        <v>4</v>
      </c>
      <c r="I15648" s="4" t="str">
        <v>×</v>
      </c>
      <c r="J15648" s="4"/>
      <c r="K15648" s="4"/>
      <c r="L15648" s="4"/>
      <c r="M15648" s="7" t="s">
        <v>6871</v>
      </c>
    </row>
    <row r="15649" customFormat="false" ht="15.75" hidden="false" customHeight="false" outlineLevel="0" collapsed="false">
      <c r="A15649" s="6" t="n">
        <f aca="false">DATE(2026,5,10)</f>
        <v>46152</v>
      </c>
      <c r="B15649" s="4" t="s">
        <v>13</v>
      </c>
      <c r="C15649" s="4" t="n">
        <v>2</v>
      </c>
      <c r="D15649" s="4" t="n">
        <v>9</v>
      </c>
      <c r="E15649" s="4" t="s">
        <v>2449</v>
      </c>
      <c r="F15649" s="4" t="n">
        <v>10</v>
      </c>
      <c r="G15649" s="4" t="n">
        <v>7</v>
      </c>
      <c r="H15649" s="4" t="n">
        <v>2</v>
      </c>
      <c r="I15649" s="4" t="str">
        <v>○</v>
      </c>
      <c r="J15649" s="4" t="n">
        <v>850</v>
      </c>
      <c r="K15649" s="4"/>
      <c r="L15649" s="4"/>
      <c r="M15649" s="7" t="s">
        <v>6871</v>
      </c>
    </row>
    <row r="15650" customFormat="false" ht="15.75" hidden="false" customHeight="false" outlineLevel="0" collapsed="false">
      <c r="A15650" s="6" t="n">
        <f aca="false">DATE(2026,5,10)</f>
        <v>46152</v>
      </c>
      <c r="B15650" s="4" t="s">
        <v>13</v>
      </c>
      <c r="C15650" s="4" t="n">
        <v>2</v>
      </c>
      <c r="D15650" s="4" t="n">
        <v>12</v>
      </c>
      <c r="E15650" s="4" t="s">
        <v>1090</v>
      </c>
      <c r="F15650" s="4" t="n">
        <v>10</v>
      </c>
      <c r="G15650" s="4" t="n">
        <v>8</v>
      </c>
      <c r="H15650" s="4" t="n">
        <v>3</v>
      </c>
      <c r="I15650" s="4" t="str">
        <v>○</v>
      </c>
      <c r="J15650" s="4" t="n">
        <v>570</v>
      </c>
      <c r="K15650" s="4"/>
      <c r="L15650" s="4"/>
      <c r="M15650" s="7" t="s">
        <v>6871</v>
      </c>
    </row>
    <row r="15651" customFormat="false" ht="15.75" hidden="false" customHeight="false" outlineLevel="0" collapsed="false">
      <c r="A15651" s="6" t="n">
        <f aca="false">DATE(2026,5,10)</f>
        <v>46152</v>
      </c>
      <c r="B15651" s="4" t="s">
        <v>13</v>
      </c>
      <c r="C15651" s="4" t="n">
        <v>2</v>
      </c>
      <c r="D15651" s="4" t="n">
        <v>15</v>
      </c>
      <c r="E15651" s="4" t="s">
        <v>7134</v>
      </c>
      <c r="F15651" s="4" t="n">
        <v>10</v>
      </c>
      <c r="G15651" s="4" t="n">
        <v>9</v>
      </c>
      <c r="H15651" s="4" t="n">
        <v>4</v>
      </c>
      <c r="I15651" s="4" t="str">
        <v>×</v>
      </c>
      <c r="J15651" s="4"/>
      <c r="K15651" s="4"/>
      <c r="L15651" s="4"/>
      <c r="M15651" s="7" t="s">
        <v>6871</v>
      </c>
    </row>
    <row r="15652" customFormat="false" ht="15.75" hidden="false" customHeight="false" outlineLevel="0" collapsed="false">
      <c r="A15652" s="6" t="n">
        <f aca="false">DATE(2026,5,10)</f>
        <v>46152</v>
      </c>
      <c r="B15652" s="4" t="s">
        <v>13</v>
      </c>
      <c r="C15652" s="4" t="n">
        <v>2</v>
      </c>
      <c r="D15652" s="4" t="n">
        <v>7</v>
      </c>
      <c r="E15652" s="4" t="s">
        <v>2842</v>
      </c>
      <c r="F15652" s="4" t="n">
        <v>8</v>
      </c>
      <c r="G15652" s="4" t="n">
        <v>10</v>
      </c>
      <c r="H15652" s="4" t="n">
        <v>4</v>
      </c>
      <c r="I15652" s="4" t="str">
        <v>×</v>
      </c>
      <c r="J15652" s="4"/>
      <c r="K15652" s="4"/>
      <c r="L15652" s="4"/>
      <c r="M15652" s="7" t="s">
        <v>6871</v>
      </c>
    </row>
    <row r="15653" customFormat="false" ht="15.75" hidden="false" customHeight="false" outlineLevel="0" collapsed="false">
      <c r="A15653" s="6" t="n">
        <f aca="false">DATE(2026,5,10)</f>
        <v>46152</v>
      </c>
      <c r="B15653" s="4" t="s">
        <v>13</v>
      </c>
      <c r="C15653" s="4" t="n">
        <v>2</v>
      </c>
      <c r="D15653" s="4" t="n">
        <v>2</v>
      </c>
      <c r="E15653" s="4" t="s">
        <v>7135</v>
      </c>
      <c r="F15653" s="4" t="n">
        <v>6</v>
      </c>
      <c r="G15653" s="4" t="n">
        <v>11</v>
      </c>
      <c r="H15653" s="4" t="n">
        <v>4</v>
      </c>
      <c r="I15653" s="4" t="str">
        <v>×</v>
      </c>
      <c r="J15653" s="4"/>
      <c r="K15653" s="4"/>
      <c r="L15653" s="4"/>
      <c r="M15653" s="7" t="s">
        <v>6871</v>
      </c>
    </row>
    <row r="15654" customFormat="false" ht="15.75" hidden="false" customHeight="false" outlineLevel="0" collapsed="false">
      <c r="A15654" s="6" t="n">
        <f aca="false">DATE(2026,5,10)</f>
        <v>46152</v>
      </c>
      <c r="B15654" s="4" t="s">
        <v>13</v>
      </c>
      <c r="C15654" s="4" t="n">
        <v>2</v>
      </c>
      <c r="D15654" s="4" t="n">
        <v>11</v>
      </c>
      <c r="E15654" s="4" t="s">
        <v>5589</v>
      </c>
      <c r="F15654" s="4" t="n">
        <v>6</v>
      </c>
      <c r="G15654" s="4" t="n">
        <v>12</v>
      </c>
      <c r="H15654" s="4" t="n">
        <v>4</v>
      </c>
      <c r="I15654" s="4" t="str">
        <v>×</v>
      </c>
      <c r="J15654" s="4"/>
      <c r="K15654" s="4"/>
      <c r="L15654" s="4"/>
      <c r="M15654" s="7" t="s">
        <v>6871</v>
      </c>
    </row>
    <row r="15655" customFormat="false" ht="15.75" hidden="false" customHeight="false" outlineLevel="0" collapsed="false">
      <c r="A15655" s="6" t="n">
        <f aca="false">DATE(2026,5,10)</f>
        <v>46152</v>
      </c>
      <c r="B15655" s="4" t="s">
        <v>13</v>
      </c>
      <c r="C15655" s="4" t="n">
        <v>2</v>
      </c>
      <c r="D15655" s="4" t="n">
        <v>1</v>
      </c>
      <c r="E15655" s="4" t="s">
        <v>7136</v>
      </c>
      <c r="F15655" s="4" t="n">
        <v>4</v>
      </c>
      <c r="G15655" s="4" t="n">
        <v>13</v>
      </c>
      <c r="H15655" s="4" t="n">
        <v>4</v>
      </c>
      <c r="I15655" s="4" t="str">
        <v>×</v>
      </c>
      <c r="J15655" s="4"/>
      <c r="K15655" s="4"/>
      <c r="L15655" s="4"/>
      <c r="M15655" s="7" t="s">
        <v>6871</v>
      </c>
    </row>
    <row r="15656" customFormat="false" ht="15.75" hidden="false" customHeight="false" outlineLevel="0" collapsed="false">
      <c r="A15656" s="6" t="n">
        <f aca="false">DATE(2026,5,10)</f>
        <v>46152</v>
      </c>
      <c r="B15656" s="4" t="s">
        <v>13</v>
      </c>
      <c r="C15656" s="4" t="n">
        <v>2</v>
      </c>
      <c r="D15656" s="4" t="n">
        <v>8</v>
      </c>
      <c r="E15656" s="4" t="s">
        <v>3000</v>
      </c>
      <c r="F15656" s="4" t="n">
        <v>4</v>
      </c>
      <c r="G15656" s="4" t="n">
        <v>14</v>
      </c>
      <c r="H15656" s="4" t="n">
        <v>4</v>
      </c>
      <c r="I15656" s="4" t="str">
        <v>×</v>
      </c>
      <c r="J15656" s="4"/>
      <c r="K15656" s="4"/>
      <c r="L15656" s="4"/>
      <c r="M15656" s="7" t="s">
        <v>6871</v>
      </c>
    </row>
    <row r="15657" customFormat="false" ht="15.75" hidden="false" customHeight="false" outlineLevel="0" collapsed="false">
      <c r="A15657" s="6" t="n">
        <f aca="false">DATE(2026,5,10)</f>
        <v>46152</v>
      </c>
      <c r="B15657" s="4" t="s">
        <v>13</v>
      </c>
      <c r="C15657" s="4" t="n">
        <v>2</v>
      </c>
      <c r="D15657" s="4" t="n">
        <v>13</v>
      </c>
      <c r="E15657" s="4" t="s">
        <v>3442</v>
      </c>
      <c r="F15657" s="4" t="n">
        <v>4</v>
      </c>
      <c r="G15657" s="4" t="n">
        <v>15</v>
      </c>
      <c r="H15657" s="4" t="n">
        <v>4</v>
      </c>
      <c r="I15657" s="4" t="str">
        <v>×</v>
      </c>
      <c r="J15657" s="4"/>
      <c r="K15657" s="4"/>
      <c r="L15657" s="4"/>
      <c r="M15657" s="7" t="s">
        <v>6871</v>
      </c>
    </row>
    <row r="15658" customFormat="false" ht="15.75" hidden="false" customHeight="false" outlineLevel="0" collapsed="false">
      <c r="A15658" s="6" t="n">
        <f aca="false">DATE(2026,5,10)</f>
        <v>46152</v>
      </c>
      <c r="B15658" s="4" t="s">
        <v>13</v>
      </c>
      <c r="C15658" s="4" t="n">
        <v>3</v>
      </c>
      <c r="D15658" s="4" t="n">
        <v>1</v>
      </c>
      <c r="E15658" s="4" t="s">
        <v>5744</v>
      </c>
      <c r="F15658" s="4" t="n">
        <v>71</v>
      </c>
      <c r="G15658" s="4" t="n">
        <v>1</v>
      </c>
      <c r="H15658" s="4" t="n">
        <v>2</v>
      </c>
      <c r="I15658" s="4" t="str">
        <v>○</v>
      </c>
      <c r="J15658" s="4" t="n">
        <v>110</v>
      </c>
      <c r="K15658" s="4"/>
      <c r="L15658" s="4"/>
      <c r="M15658" s="7" t="s">
        <v>6871</v>
      </c>
    </row>
    <row r="15659" customFormat="false" ht="15.75" hidden="false" customHeight="false" outlineLevel="0" collapsed="false">
      <c r="A15659" s="6" t="n">
        <f aca="false">DATE(2026,5,10)</f>
        <v>46152</v>
      </c>
      <c r="B15659" s="4" t="s">
        <v>13</v>
      </c>
      <c r="C15659" s="4" t="n">
        <v>3</v>
      </c>
      <c r="D15659" s="4" t="n">
        <v>2</v>
      </c>
      <c r="E15659" s="4" t="s">
        <v>5739</v>
      </c>
      <c r="F15659" s="4" t="n">
        <v>58</v>
      </c>
      <c r="G15659" s="4" t="n">
        <v>2</v>
      </c>
      <c r="H15659" s="4" t="n">
        <v>3</v>
      </c>
      <c r="I15659" s="4" t="str">
        <v>○</v>
      </c>
      <c r="J15659" s="4" t="n">
        <v>140</v>
      </c>
      <c r="K15659" s="4"/>
      <c r="L15659" s="4"/>
      <c r="M15659" s="7" t="s">
        <v>6871</v>
      </c>
    </row>
    <row r="15660" customFormat="false" ht="15.75" hidden="false" customHeight="false" outlineLevel="0" collapsed="false">
      <c r="A15660" s="6" t="n">
        <f aca="false">DATE(2026,5,10)</f>
        <v>46152</v>
      </c>
      <c r="B15660" s="4" t="s">
        <v>13</v>
      </c>
      <c r="C15660" s="4" t="n">
        <v>3</v>
      </c>
      <c r="D15660" s="4" t="n">
        <v>5</v>
      </c>
      <c r="E15660" s="4" t="s">
        <v>1316</v>
      </c>
      <c r="F15660" s="4" t="n">
        <v>37</v>
      </c>
      <c r="G15660" s="4" t="n">
        <v>3</v>
      </c>
      <c r="H15660" s="4" t="n">
        <v>1</v>
      </c>
      <c r="I15660" s="4" t="str">
        <v>○</v>
      </c>
      <c r="J15660" s="4" t="n">
        <v>130</v>
      </c>
      <c r="K15660" s="4"/>
      <c r="L15660" s="4"/>
      <c r="M15660" s="7" t="s">
        <v>6871</v>
      </c>
    </row>
    <row r="15661" customFormat="false" ht="15.75" hidden="false" customHeight="false" outlineLevel="0" collapsed="false">
      <c r="A15661" s="6" t="n">
        <f aca="false">DATE(2026,5,10)</f>
        <v>46152</v>
      </c>
      <c r="B15661" s="4" t="s">
        <v>13</v>
      </c>
      <c r="C15661" s="4" t="n">
        <v>3</v>
      </c>
      <c r="D15661" s="4" t="n">
        <v>12</v>
      </c>
      <c r="E15661" s="4" t="s">
        <v>596</v>
      </c>
      <c r="F15661" s="4" t="n">
        <v>25</v>
      </c>
      <c r="G15661" s="4" t="n">
        <v>4</v>
      </c>
      <c r="H15661" s="4" t="n">
        <v>4</v>
      </c>
      <c r="I15661" s="4" t="str">
        <v>×</v>
      </c>
      <c r="J15661" s="4"/>
      <c r="K15661" s="4"/>
      <c r="L15661" s="4"/>
      <c r="M15661" s="7" t="s">
        <v>6871</v>
      </c>
    </row>
    <row r="15662" customFormat="false" ht="15.75" hidden="false" customHeight="false" outlineLevel="0" collapsed="false">
      <c r="A15662" s="6" t="n">
        <f aca="false">DATE(2026,5,10)</f>
        <v>46152</v>
      </c>
      <c r="B15662" s="4" t="s">
        <v>13</v>
      </c>
      <c r="C15662" s="4" t="n">
        <v>3</v>
      </c>
      <c r="D15662" s="4" t="n">
        <v>8</v>
      </c>
      <c r="E15662" s="4" t="s">
        <v>1261</v>
      </c>
      <c r="F15662" s="4" t="n">
        <v>20</v>
      </c>
      <c r="G15662" s="4" t="n">
        <v>5</v>
      </c>
      <c r="H15662" s="4" t="n">
        <v>4</v>
      </c>
      <c r="I15662" s="4" t="str">
        <v>×</v>
      </c>
      <c r="J15662" s="4"/>
      <c r="K15662" s="4"/>
      <c r="L15662" s="4"/>
      <c r="M15662" s="7" t="s">
        <v>6871</v>
      </c>
    </row>
    <row r="15663" customFormat="false" ht="15.75" hidden="false" customHeight="false" outlineLevel="0" collapsed="false">
      <c r="A15663" s="6" t="n">
        <f aca="false">DATE(2026,5,10)</f>
        <v>46152</v>
      </c>
      <c r="B15663" s="4" t="s">
        <v>13</v>
      </c>
      <c r="C15663" s="4" t="n">
        <v>3</v>
      </c>
      <c r="D15663" s="4" t="n">
        <v>10</v>
      </c>
      <c r="E15663" s="4" t="s">
        <v>1264</v>
      </c>
      <c r="F15663" s="4" t="n">
        <v>20</v>
      </c>
      <c r="G15663" s="4" t="n">
        <v>6</v>
      </c>
      <c r="H15663" s="4" t="n">
        <v>4</v>
      </c>
      <c r="I15663" s="4" t="str">
        <v>×</v>
      </c>
      <c r="J15663" s="4"/>
      <c r="K15663" s="4"/>
      <c r="L15663" s="4"/>
      <c r="M15663" s="7" t="s">
        <v>6871</v>
      </c>
    </row>
    <row r="15664" customFormat="false" ht="15.75" hidden="false" customHeight="false" outlineLevel="0" collapsed="false">
      <c r="A15664" s="6" t="n">
        <f aca="false">DATE(2026,5,10)</f>
        <v>46152</v>
      </c>
      <c r="B15664" s="4" t="s">
        <v>13</v>
      </c>
      <c r="C15664" s="4" t="n">
        <v>3</v>
      </c>
      <c r="D15664" s="4" t="n">
        <v>3</v>
      </c>
      <c r="E15664" s="4" t="s">
        <v>7137</v>
      </c>
      <c r="F15664" s="4" t="n">
        <v>17</v>
      </c>
      <c r="G15664" s="4" t="n">
        <v>7</v>
      </c>
      <c r="H15664" s="4" t="n">
        <v>4</v>
      </c>
      <c r="I15664" s="4" t="str">
        <v>×</v>
      </c>
      <c r="J15664" s="4"/>
      <c r="K15664" s="4"/>
      <c r="L15664" s="4"/>
      <c r="M15664" s="7" t="s">
        <v>6871</v>
      </c>
    </row>
    <row r="15665" customFormat="false" ht="15.75" hidden="false" customHeight="false" outlineLevel="0" collapsed="false">
      <c r="A15665" s="6" t="n">
        <f aca="false">DATE(2026,5,10)</f>
        <v>46152</v>
      </c>
      <c r="B15665" s="4" t="s">
        <v>13</v>
      </c>
      <c r="C15665" s="4" t="n">
        <v>3</v>
      </c>
      <c r="D15665" s="4" t="n">
        <v>6</v>
      </c>
      <c r="E15665" s="4" t="s">
        <v>5757</v>
      </c>
      <c r="F15665" s="4" t="n">
        <v>10</v>
      </c>
      <c r="G15665" s="4" t="n">
        <v>8</v>
      </c>
      <c r="H15665" s="4" t="n">
        <v>4</v>
      </c>
      <c r="I15665" s="4" t="str">
        <v>×</v>
      </c>
      <c r="J15665" s="4"/>
      <c r="K15665" s="4"/>
      <c r="L15665" s="4"/>
      <c r="M15665" s="7" t="s">
        <v>6871</v>
      </c>
    </row>
    <row r="15666" customFormat="false" ht="15.75" hidden="false" customHeight="false" outlineLevel="0" collapsed="false">
      <c r="A15666" s="6" t="n">
        <f aca="false">DATE(2026,5,10)</f>
        <v>46152</v>
      </c>
      <c r="B15666" s="4" t="s">
        <v>13</v>
      </c>
      <c r="C15666" s="4" t="n">
        <v>3</v>
      </c>
      <c r="D15666" s="4" t="n">
        <v>11</v>
      </c>
      <c r="E15666" s="4" t="s">
        <v>1915</v>
      </c>
      <c r="F15666" s="4" t="n">
        <v>8</v>
      </c>
      <c r="G15666" s="4" t="n">
        <v>9</v>
      </c>
      <c r="H15666" s="4" t="n">
        <v>4</v>
      </c>
      <c r="I15666" s="4" t="str">
        <v>×</v>
      </c>
      <c r="J15666" s="4"/>
      <c r="K15666" s="4"/>
      <c r="L15666" s="4"/>
      <c r="M15666" s="7" t="s">
        <v>6871</v>
      </c>
    </row>
    <row r="15667" customFormat="false" ht="15.75" hidden="false" customHeight="false" outlineLevel="0" collapsed="false">
      <c r="A15667" s="6" t="n">
        <f aca="false">DATE(2026,5,10)</f>
        <v>46152</v>
      </c>
      <c r="B15667" s="4" t="s">
        <v>13</v>
      </c>
      <c r="C15667" s="4" t="n">
        <v>3</v>
      </c>
      <c r="D15667" s="4" t="n">
        <v>14</v>
      </c>
      <c r="E15667" s="4" t="s">
        <v>778</v>
      </c>
      <c r="F15667" s="4" t="n">
        <v>6</v>
      </c>
      <c r="G15667" s="4" t="n">
        <v>10</v>
      </c>
      <c r="H15667" s="4" t="n">
        <v>4</v>
      </c>
      <c r="I15667" s="4" t="str">
        <v>×</v>
      </c>
      <c r="J15667" s="4"/>
      <c r="K15667" s="4"/>
      <c r="L15667" s="4"/>
      <c r="M15667" s="7" t="s">
        <v>6871</v>
      </c>
    </row>
    <row r="15668" customFormat="false" ht="15.75" hidden="false" customHeight="false" outlineLevel="0" collapsed="false">
      <c r="A15668" s="6" t="n">
        <f aca="false">DATE(2026,5,10)</f>
        <v>46152</v>
      </c>
      <c r="B15668" s="4" t="s">
        <v>13</v>
      </c>
      <c r="C15668" s="4" t="n">
        <v>3</v>
      </c>
      <c r="D15668" s="4" t="n">
        <v>7</v>
      </c>
      <c r="E15668" s="4" t="s">
        <v>3965</v>
      </c>
      <c r="F15668" s="4" t="n">
        <v>4</v>
      </c>
      <c r="G15668" s="4" t="n">
        <v>11</v>
      </c>
      <c r="H15668" s="4" t="n">
        <v>4</v>
      </c>
      <c r="I15668" s="4" t="str">
        <v>×</v>
      </c>
      <c r="J15668" s="4"/>
      <c r="K15668" s="4"/>
      <c r="L15668" s="4"/>
      <c r="M15668" s="7" t="s">
        <v>6871</v>
      </c>
    </row>
    <row r="15669" customFormat="false" ht="15.75" hidden="false" customHeight="false" outlineLevel="0" collapsed="false">
      <c r="A15669" s="6" t="n">
        <f aca="false">DATE(2026,5,10)</f>
        <v>46152</v>
      </c>
      <c r="B15669" s="4" t="s">
        <v>13</v>
      </c>
      <c r="C15669" s="4" t="n">
        <v>3</v>
      </c>
      <c r="D15669" s="4" t="n">
        <v>9</v>
      </c>
      <c r="E15669" s="4" t="s">
        <v>7138</v>
      </c>
      <c r="F15669" s="4" t="n">
        <v>4</v>
      </c>
      <c r="G15669" s="4" t="n">
        <v>12</v>
      </c>
      <c r="H15669" s="4" t="n">
        <v>4</v>
      </c>
      <c r="I15669" s="4" t="str">
        <v>×</v>
      </c>
      <c r="J15669" s="4"/>
      <c r="K15669" s="4"/>
      <c r="L15669" s="4"/>
      <c r="M15669" s="7" t="s">
        <v>6871</v>
      </c>
    </row>
    <row r="15670" customFormat="false" ht="15.75" hidden="false" customHeight="false" outlineLevel="0" collapsed="false">
      <c r="A15670" s="6" t="n">
        <f aca="false">DATE(2026,5,10)</f>
        <v>46152</v>
      </c>
      <c r="B15670" s="4" t="s">
        <v>13</v>
      </c>
      <c r="C15670" s="4" t="n">
        <v>3</v>
      </c>
      <c r="D15670" s="4" t="n">
        <v>15</v>
      </c>
      <c r="E15670" s="4" t="s">
        <v>7139</v>
      </c>
      <c r="F15670" s="4" t="n">
        <v>4</v>
      </c>
      <c r="G15670" s="4" t="n">
        <v>13</v>
      </c>
      <c r="H15670" s="4" t="n">
        <v>4</v>
      </c>
      <c r="I15670" s="4" t="str">
        <v>×</v>
      </c>
      <c r="J15670" s="4"/>
      <c r="K15670" s="4"/>
      <c r="L15670" s="4"/>
      <c r="M15670" s="7" t="s">
        <v>6871</v>
      </c>
    </row>
    <row r="15671" customFormat="false" ht="15.75" hidden="false" customHeight="false" outlineLevel="0" collapsed="false">
      <c r="A15671" s="6" t="n">
        <f aca="false">DATE(2026,5,10)</f>
        <v>46152</v>
      </c>
      <c r="B15671" s="4" t="s">
        <v>13</v>
      </c>
      <c r="C15671" s="4" t="n">
        <v>3</v>
      </c>
      <c r="D15671" s="4" t="n">
        <v>4</v>
      </c>
      <c r="E15671" s="4" t="s">
        <v>2579</v>
      </c>
      <c r="F15671" s="4" t="n">
        <v>3</v>
      </c>
      <c r="G15671" s="4" t="n">
        <v>14</v>
      </c>
      <c r="H15671" s="4" t="n">
        <v>4</v>
      </c>
      <c r="I15671" s="4" t="str">
        <v>×</v>
      </c>
      <c r="J15671" s="4"/>
      <c r="K15671" s="4"/>
      <c r="L15671" s="4"/>
      <c r="M15671" s="7" t="s">
        <v>6871</v>
      </c>
    </row>
    <row r="15672" customFormat="false" ht="15.75" hidden="false" customHeight="false" outlineLevel="0" collapsed="false">
      <c r="A15672" s="6" t="n">
        <f aca="false">DATE(2026,5,10)</f>
        <v>46152</v>
      </c>
      <c r="B15672" s="4" t="s">
        <v>13</v>
      </c>
      <c r="C15672" s="4" t="n">
        <v>3</v>
      </c>
      <c r="D15672" s="4" t="n">
        <v>13</v>
      </c>
      <c r="E15672" s="4" t="s">
        <v>991</v>
      </c>
      <c r="F15672" s="4" t="n">
        <v>2</v>
      </c>
      <c r="G15672" s="4" t="n">
        <v>15</v>
      </c>
      <c r="H15672" s="4" t="n">
        <v>4</v>
      </c>
      <c r="I15672" s="4" t="str">
        <v>×</v>
      </c>
      <c r="J15672" s="4"/>
      <c r="K15672" s="4"/>
      <c r="L15672" s="4"/>
      <c r="M15672" s="7" t="s">
        <v>6871</v>
      </c>
    </row>
    <row r="15673" customFormat="false" ht="15.75" hidden="false" customHeight="false" outlineLevel="0" collapsed="false">
      <c r="A15673" s="6" t="n">
        <f aca="false">DATE(2026,5,10)</f>
        <v>46152</v>
      </c>
      <c r="B15673" s="4" t="s">
        <v>13</v>
      </c>
      <c r="C15673" s="4" t="n">
        <v>4</v>
      </c>
      <c r="D15673" s="4" t="n">
        <v>1</v>
      </c>
      <c r="E15673" s="4" t="s">
        <v>5825</v>
      </c>
      <c r="F15673" s="4" t="n">
        <v>55</v>
      </c>
      <c r="G15673" s="4" t="n">
        <v>1</v>
      </c>
      <c r="H15673" s="4" t="n">
        <v>4</v>
      </c>
      <c r="I15673" s="4" t="str">
        <v>×</v>
      </c>
      <c r="J15673" s="4"/>
      <c r="K15673" s="4"/>
      <c r="L15673" s="4"/>
      <c r="M15673" s="7" t="s">
        <v>6871</v>
      </c>
    </row>
    <row r="15674" customFormat="false" ht="15.75" hidden="false" customHeight="false" outlineLevel="0" collapsed="false">
      <c r="A15674" s="6" t="n">
        <f aca="false">DATE(2026,5,10)</f>
        <v>46152</v>
      </c>
      <c r="B15674" s="4" t="s">
        <v>13</v>
      </c>
      <c r="C15674" s="4" t="n">
        <v>4</v>
      </c>
      <c r="D15674" s="4" t="n">
        <v>8</v>
      </c>
      <c r="E15674" s="4" t="s">
        <v>3135</v>
      </c>
      <c r="F15674" s="4" t="n">
        <v>55</v>
      </c>
      <c r="G15674" s="4" t="n">
        <v>2</v>
      </c>
      <c r="H15674" s="4" t="n">
        <v>3</v>
      </c>
      <c r="I15674" s="4" t="str">
        <v>○</v>
      </c>
      <c r="J15674" s="4" t="n">
        <v>110</v>
      </c>
      <c r="K15674" s="4"/>
      <c r="L15674" s="4"/>
      <c r="M15674" s="7" t="s">
        <v>6871</v>
      </c>
    </row>
    <row r="15675" customFormat="false" ht="15.75" hidden="false" customHeight="false" outlineLevel="0" collapsed="false">
      <c r="A15675" s="6" t="n">
        <f aca="false">DATE(2026,5,10)</f>
        <v>46152</v>
      </c>
      <c r="B15675" s="4" t="s">
        <v>13</v>
      </c>
      <c r="C15675" s="4" t="n">
        <v>4</v>
      </c>
      <c r="D15675" s="4" t="n">
        <v>5</v>
      </c>
      <c r="E15675" s="4" t="s">
        <v>7140</v>
      </c>
      <c r="F15675" s="4" t="n">
        <v>37</v>
      </c>
      <c r="G15675" s="4" t="n">
        <v>3</v>
      </c>
      <c r="H15675" s="4" t="n">
        <v>1</v>
      </c>
      <c r="I15675" s="4" t="str">
        <v>○</v>
      </c>
      <c r="J15675" s="4" t="n">
        <v>150</v>
      </c>
      <c r="K15675" s="4"/>
      <c r="L15675" s="4"/>
      <c r="M15675" s="7" t="s">
        <v>6871</v>
      </c>
    </row>
    <row r="15676" customFormat="false" ht="15.75" hidden="false" customHeight="false" outlineLevel="0" collapsed="false">
      <c r="A15676" s="6" t="n">
        <f aca="false">DATE(2026,5,10)</f>
        <v>46152</v>
      </c>
      <c r="B15676" s="4" t="s">
        <v>13</v>
      </c>
      <c r="C15676" s="4" t="n">
        <v>4</v>
      </c>
      <c r="D15676" s="4" t="n">
        <v>10</v>
      </c>
      <c r="E15676" s="4" t="s">
        <v>3317</v>
      </c>
      <c r="F15676" s="4" t="n">
        <v>27</v>
      </c>
      <c r="G15676" s="4" t="n">
        <v>4</v>
      </c>
      <c r="H15676" s="4" t="n">
        <v>4</v>
      </c>
      <c r="I15676" s="4" t="str">
        <v>×</v>
      </c>
      <c r="J15676" s="4"/>
      <c r="K15676" s="4"/>
      <c r="L15676" s="4"/>
      <c r="M15676" s="7" t="s">
        <v>6871</v>
      </c>
    </row>
    <row r="15677" customFormat="false" ht="15.75" hidden="false" customHeight="false" outlineLevel="0" collapsed="false">
      <c r="A15677" s="6" t="n">
        <f aca="false">DATE(2026,5,10)</f>
        <v>46152</v>
      </c>
      <c r="B15677" s="4" t="s">
        <v>13</v>
      </c>
      <c r="C15677" s="4" t="n">
        <v>4</v>
      </c>
      <c r="D15677" s="4" t="n">
        <v>12</v>
      </c>
      <c r="E15677" s="4" t="s">
        <v>3320</v>
      </c>
      <c r="F15677" s="4" t="n">
        <v>24</v>
      </c>
      <c r="G15677" s="4" t="n">
        <v>5</v>
      </c>
      <c r="H15677" s="4" t="n">
        <v>2</v>
      </c>
      <c r="I15677" s="4" t="str">
        <v>○</v>
      </c>
      <c r="J15677" s="4" t="n">
        <v>130</v>
      </c>
      <c r="K15677" s="4"/>
      <c r="L15677" s="4"/>
      <c r="M15677" s="7" t="s">
        <v>6871</v>
      </c>
    </row>
    <row r="15678" customFormat="false" ht="15.75" hidden="false" customHeight="false" outlineLevel="0" collapsed="false">
      <c r="A15678" s="6" t="n">
        <f aca="false">DATE(2026,5,10)</f>
        <v>46152</v>
      </c>
      <c r="B15678" s="4" t="s">
        <v>13</v>
      </c>
      <c r="C15678" s="4" t="n">
        <v>4</v>
      </c>
      <c r="D15678" s="4" t="n">
        <v>3</v>
      </c>
      <c r="E15678" s="4" t="s">
        <v>3319</v>
      </c>
      <c r="F15678" s="4" t="n">
        <v>21</v>
      </c>
      <c r="G15678" s="4" t="n">
        <v>6</v>
      </c>
      <c r="H15678" s="4" t="n">
        <v>4</v>
      </c>
      <c r="I15678" s="4" t="str">
        <v>×</v>
      </c>
      <c r="J15678" s="4"/>
      <c r="K15678" s="4"/>
      <c r="L15678" s="4"/>
      <c r="M15678" s="7" t="s">
        <v>6871</v>
      </c>
    </row>
    <row r="15679" customFormat="false" ht="15.75" hidden="false" customHeight="false" outlineLevel="0" collapsed="false">
      <c r="A15679" s="6" t="n">
        <f aca="false">DATE(2026,5,10)</f>
        <v>46152</v>
      </c>
      <c r="B15679" s="4" t="s">
        <v>13</v>
      </c>
      <c r="C15679" s="4" t="n">
        <v>4</v>
      </c>
      <c r="D15679" s="4" t="n">
        <v>4</v>
      </c>
      <c r="E15679" s="4" t="s">
        <v>7141</v>
      </c>
      <c r="F15679" s="4" t="n">
        <v>16</v>
      </c>
      <c r="G15679" s="4" t="n">
        <v>7</v>
      </c>
      <c r="H15679" s="4" t="n">
        <v>4</v>
      </c>
      <c r="I15679" s="4" t="str">
        <v>×</v>
      </c>
      <c r="J15679" s="4"/>
      <c r="K15679" s="4"/>
      <c r="L15679" s="4"/>
      <c r="M15679" s="7" t="s">
        <v>6871</v>
      </c>
    </row>
    <row r="15680" customFormat="false" ht="15.75" hidden="false" customHeight="false" outlineLevel="0" collapsed="false">
      <c r="A15680" s="6" t="n">
        <f aca="false">DATE(2026,5,10)</f>
        <v>46152</v>
      </c>
      <c r="B15680" s="4" t="s">
        <v>13</v>
      </c>
      <c r="C15680" s="4" t="n">
        <v>4</v>
      </c>
      <c r="D15680" s="4" t="n">
        <v>6</v>
      </c>
      <c r="E15680" s="4" t="s">
        <v>3131</v>
      </c>
      <c r="F15680" s="4" t="n">
        <v>16</v>
      </c>
      <c r="G15680" s="4" t="n">
        <v>8</v>
      </c>
      <c r="H15680" s="4" t="n">
        <v>4</v>
      </c>
      <c r="I15680" s="4" t="str">
        <v>×</v>
      </c>
      <c r="J15680" s="4"/>
      <c r="K15680" s="4"/>
      <c r="L15680" s="4"/>
      <c r="M15680" s="7" t="s">
        <v>6871</v>
      </c>
    </row>
    <row r="15681" customFormat="false" ht="15.75" hidden="false" customHeight="false" outlineLevel="0" collapsed="false">
      <c r="A15681" s="6" t="n">
        <f aca="false">DATE(2026,5,10)</f>
        <v>46152</v>
      </c>
      <c r="B15681" s="4" t="s">
        <v>13</v>
      </c>
      <c r="C15681" s="4" t="n">
        <v>4</v>
      </c>
      <c r="D15681" s="4" t="n">
        <v>2</v>
      </c>
      <c r="E15681" s="4" t="s">
        <v>7142</v>
      </c>
      <c r="F15681" s="4" t="n">
        <v>14</v>
      </c>
      <c r="G15681" s="4" t="n">
        <v>9</v>
      </c>
      <c r="H15681" s="4" t="n">
        <v>4</v>
      </c>
      <c r="I15681" s="4" t="str">
        <v>×</v>
      </c>
      <c r="J15681" s="4"/>
      <c r="K15681" s="4"/>
      <c r="L15681" s="4"/>
      <c r="M15681" s="7" t="s">
        <v>6871</v>
      </c>
    </row>
    <row r="15682" customFormat="false" ht="15.75" hidden="false" customHeight="false" outlineLevel="0" collapsed="false">
      <c r="A15682" s="6" t="n">
        <f aca="false">DATE(2026,5,10)</f>
        <v>46152</v>
      </c>
      <c r="B15682" s="4" t="s">
        <v>13</v>
      </c>
      <c r="C15682" s="4" t="n">
        <v>4</v>
      </c>
      <c r="D15682" s="4" t="n">
        <v>9</v>
      </c>
      <c r="E15682" s="4" t="s">
        <v>3949</v>
      </c>
      <c r="F15682" s="4" t="n">
        <v>12</v>
      </c>
      <c r="G15682" s="4" t="n">
        <v>10</v>
      </c>
      <c r="H15682" s="4" t="n">
        <v>4</v>
      </c>
      <c r="I15682" s="4" t="str">
        <v>×</v>
      </c>
      <c r="J15682" s="4"/>
      <c r="K15682" s="4"/>
      <c r="L15682" s="4"/>
      <c r="M15682" s="7" t="s">
        <v>6871</v>
      </c>
    </row>
    <row r="15683" customFormat="false" ht="15.75" hidden="false" customHeight="false" outlineLevel="0" collapsed="false">
      <c r="A15683" s="6" t="n">
        <f aca="false">DATE(2026,5,10)</f>
        <v>46152</v>
      </c>
      <c r="B15683" s="4" t="s">
        <v>13</v>
      </c>
      <c r="C15683" s="4" t="n">
        <v>4</v>
      </c>
      <c r="D15683" s="4" t="n">
        <v>7</v>
      </c>
      <c r="E15683" s="4" t="s">
        <v>1559</v>
      </c>
      <c r="F15683" s="4" t="n">
        <v>8</v>
      </c>
      <c r="G15683" s="4" t="n">
        <v>11</v>
      </c>
      <c r="H15683" s="4" t="n">
        <v>4</v>
      </c>
      <c r="I15683" s="4" t="str">
        <v>×</v>
      </c>
      <c r="J15683" s="4"/>
      <c r="K15683" s="4"/>
      <c r="L15683" s="4"/>
      <c r="M15683" s="7" t="s">
        <v>6871</v>
      </c>
    </row>
    <row r="15684" customFormat="false" ht="15.75" hidden="false" customHeight="false" outlineLevel="0" collapsed="false">
      <c r="A15684" s="6" t="n">
        <f aca="false">DATE(2026,5,10)</f>
        <v>46152</v>
      </c>
      <c r="B15684" s="4" t="s">
        <v>13</v>
      </c>
      <c r="C15684" s="4" t="n">
        <v>4</v>
      </c>
      <c r="D15684" s="4" t="n">
        <v>11</v>
      </c>
      <c r="E15684" s="4" t="s">
        <v>4481</v>
      </c>
      <c r="F15684" s="4" t="n">
        <v>6</v>
      </c>
      <c r="G15684" s="4" t="n">
        <v>12</v>
      </c>
      <c r="H15684" s="4" t="n">
        <v>4</v>
      </c>
      <c r="I15684" s="4" t="str">
        <v>×</v>
      </c>
      <c r="J15684" s="4"/>
      <c r="K15684" s="4"/>
      <c r="L15684" s="4"/>
      <c r="M15684" s="7" t="s">
        <v>6871</v>
      </c>
    </row>
    <row r="15685" customFormat="false" ht="15.75" hidden="false" customHeight="false" outlineLevel="0" collapsed="false">
      <c r="A15685" s="6" t="n">
        <f aca="false">DATE(2026,5,10)</f>
        <v>46152</v>
      </c>
      <c r="B15685" s="4" t="s">
        <v>13</v>
      </c>
      <c r="C15685" s="4" t="n">
        <v>5</v>
      </c>
      <c r="D15685" s="4" t="n">
        <v>11</v>
      </c>
      <c r="E15685" s="4" t="s">
        <v>647</v>
      </c>
      <c r="F15685" s="4" t="n">
        <v>56</v>
      </c>
      <c r="G15685" s="4" t="n">
        <v>1</v>
      </c>
      <c r="H15685" s="4" t="n">
        <v>4</v>
      </c>
      <c r="I15685" s="4" t="str">
        <v>×</v>
      </c>
      <c r="J15685" s="4"/>
      <c r="K15685" s="4"/>
      <c r="L15685" s="4"/>
      <c r="M15685" s="7" t="s">
        <v>6871</v>
      </c>
    </row>
    <row r="15686" customFormat="false" ht="15.75" hidden="false" customHeight="false" outlineLevel="0" collapsed="false">
      <c r="A15686" s="6" t="n">
        <f aca="false">DATE(2026,5,10)</f>
        <v>46152</v>
      </c>
      <c r="B15686" s="4" t="s">
        <v>13</v>
      </c>
      <c r="C15686" s="4" t="n">
        <v>5</v>
      </c>
      <c r="D15686" s="4" t="n">
        <v>12</v>
      </c>
      <c r="E15686" s="4" t="s">
        <v>4060</v>
      </c>
      <c r="F15686" s="4" t="n">
        <v>47</v>
      </c>
      <c r="G15686" s="4" t="n">
        <v>2</v>
      </c>
      <c r="H15686" s="4" t="n">
        <v>1</v>
      </c>
      <c r="I15686" s="4" t="str">
        <v>○</v>
      </c>
      <c r="J15686" s="4" t="n">
        <v>150</v>
      </c>
      <c r="K15686" s="4"/>
      <c r="L15686" s="4"/>
      <c r="M15686" s="7" t="s">
        <v>6871</v>
      </c>
    </row>
    <row r="15687" customFormat="false" ht="15.75" hidden="false" customHeight="false" outlineLevel="0" collapsed="false">
      <c r="A15687" s="6" t="n">
        <f aca="false">DATE(2026,5,10)</f>
        <v>46152</v>
      </c>
      <c r="B15687" s="4" t="s">
        <v>13</v>
      </c>
      <c r="C15687" s="4" t="n">
        <v>5</v>
      </c>
      <c r="D15687" s="4" t="n">
        <v>2</v>
      </c>
      <c r="E15687" s="4" t="s">
        <v>7143</v>
      </c>
      <c r="F15687" s="4" t="n">
        <v>25</v>
      </c>
      <c r="G15687" s="4" t="n">
        <v>3</v>
      </c>
      <c r="H15687" s="4" t="n">
        <v>4</v>
      </c>
      <c r="I15687" s="4" t="str">
        <v>×</v>
      </c>
      <c r="J15687" s="4"/>
      <c r="K15687" s="4"/>
      <c r="L15687" s="4"/>
      <c r="M15687" s="7" t="s">
        <v>6871</v>
      </c>
    </row>
    <row r="15688" customFormat="false" ht="15.75" hidden="false" customHeight="false" outlineLevel="0" collapsed="false">
      <c r="A15688" s="6" t="n">
        <f aca="false">DATE(2026,5,10)</f>
        <v>46152</v>
      </c>
      <c r="B15688" s="4" t="s">
        <v>13</v>
      </c>
      <c r="C15688" s="4" t="n">
        <v>5</v>
      </c>
      <c r="D15688" s="4" t="n">
        <v>7</v>
      </c>
      <c r="E15688" s="4" t="s">
        <v>7144</v>
      </c>
      <c r="F15688" s="4" t="n">
        <v>25</v>
      </c>
      <c r="G15688" s="4" t="n">
        <v>4</v>
      </c>
      <c r="H15688" s="4" t="n">
        <v>2</v>
      </c>
      <c r="I15688" s="4" t="str">
        <v>○</v>
      </c>
      <c r="J15688" s="4" t="n">
        <v>170</v>
      </c>
      <c r="K15688" s="4"/>
      <c r="L15688" s="4"/>
      <c r="M15688" s="7" t="s">
        <v>6871</v>
      </c>
    </row>
    <row r="15689" customFormat="false" ht="15.75" hidden="false" customHeight="false" outlineLevel="0" collapsed="false">
      <c r="A15689" s="6" t="n">
        <f aca="false">DATE(2026,5,10)</f>
        <v>46152</v>
      </c>
      <c r="B15689" s="4" t="s">
        <v>13</v>
      </c>
      <c r="C15689" s="4" t="n">
        <v>5</v>
      </c>
      <c r="D15689" s="4" t="n">
        <v>4</v>
      </c>
      <c r="E15689" s="4" t="s">
        <v>7145</v>
      </c>
      <c r="F15689" s="4" t="n">
        <v>17</v>
      </c>
      <c r="G15689" s="4" t="n">
        <v>5</v>
      </c>
      <c r="H15689" s="4" t="n">
        <v>4</v>
      </c>
      <c r="I15689" s="4" t="str">
        <v>×</v>
      </c>
      <c r="J15689" s="4"/>
      <c r="K15689" s="4"/>
      <c r="L15689" s="4"/>
      <c r="M15689" s="7" t="s">
        <v>6871</v>
      </c>
    </row>
    <row r="15690" customFormat="false" ht="15.75" hidden="false" customHeight="false" outlineLevel="0" collapsed="false">
      <c r="A15690" s="6" t="n">
        <f aca="false">DATE(2026,5,10)</f>
        <v>46152</v>
      </c>
      <c r="B15690" s="4" t="s">
        <v>13</v>
      </c>
      <c r="C15690" s="4" t="n">
        <v>5</v>
      </c>
      <c r="D15690" s="4" t="n">
        <v>14</v>
      </c>
      <c r="E15690" s="4" t="s">
        <v>384</v>
      </c>
      <c r="F15690" s="4" t="n">
        <v>15</v>
      </c>
      <c r="G15690" s="4" t="n">
        <v>6</v>
      </c>
      <c r="H15690" s="4" t="n">
        <v>4</v>
      </c>
      <c r="I15690" s="4" t="str">
        <v>×</v>
      </c>
      <c r="J15690" s="4"/>
      <c r="K15690" s="4"/>
      <c r="L15690" s="4"/>
      <c r="M15690" s="7" t="s">
        <v>6871</v>
      </c>
    </row>
    <row r="15691" customFormat="false" ht="15.75" hidden="false" customHeight="false" outlineLevel="0" collapsed="false">
      <c r="A15691" s="6" t="n">
        <f aca="false">DATE(2026,5,10)</f>
        <v>46152</v>
      </c>
      <c r="B15691" s="4" t="s">
        <v>13</v>
      </c>
      <c r="C15691" s="4" t="n">
        <v>5</v>
      </c>
      <c r="D15691" s="4" t="n">
        <v>15</v>
      </c>
      <c r="E15691" s="4" t="s">
        <v>7146</v>
      </c>
      <c r="F15691" s="4" t="n">
        <v>13</v>
      </c>
      <c r="G15691" s="4" t="n">
        <v>7</v>
      </c>
      <c r="H15691" s="4" t="n">
        <v>4</v>
      </c>
      <c r="I15691" s="4" t="str">
        <v>×</v>
      </c>
      <c r="J15691" s="4"/>
      <c r="K15691" s="4"/>
      <c r="L15691" s="4"/>
      <c r="M15691" s="7" t="s">
        <v>6871</v>
      </c>
    </row>
    <row r="15692" customFormat="false" ht="15.75" hidden="false" customHeight="false" outlineLevel="0" collapsed="false">
      <c r="A15692" s="6" t="n">
        <f aca="false">DATE(2026,5,10)</f>
        <v>46152</v>
      </c>
      <c r="B15692" s="4" t="s">
        <v>13</v>
      </c>
      <c r="C15692" s="4" t="n">
        <v>5</v>
      </c>
      <c r="D15692" s="4" t="n">
        <v>1</v>
      </c>
      <c r="E15692" s="4" t="s">
        <v>3013</v>
      </c>
      <c r="F15692" s="4" t="n">
        <v>10</v>
      </c>
      <c r="G15692" s="4" t="n">
        <v>8</v>
      </c>
      <c r="H15692" s="4" t="n">
        <v>4</v>
      </c>
      <c r="I15692" s="4" t="str">
        <v>×</v>
      </c>
      <c r="J15692" s="4"/>
      <c r="K15692" s="4"/>
      <c r="L15692" s="4"/>
      <c r="M15692" s="7" t="s">
        <v>6871</v>
      </c>
    </row>
    <row r="15693" customFormat="false" ht="15.75" hidden="false" customHeight="false" outlineLevel="0" collapsed="false">
      <c r="A15693" s="6" t="n">
        <f aca="false">DATE(2026,5,10)</f>
        <v>46152</v>
      </c>
      <c r="B15693" s="4" t="s">
        <v>13</v>
      </c>
      <c r="C15693" s="4" t="n">
        <v>5</v>
      </c>
      <c r="D15693" s="4" t="n">
        <v>8</v>
      </c>
      <c r="E15693" s="4" t="s">
        <v>3330</v>
      </c>
      <c r="F15693" s="4" t="n">
        <v>10</v>
      </c>
      <c r="G15693" s="4" t="n">
        <v>9</v>
      </c>
      <c r="H15693" s="4" t="n">
        <v>4</v>
      </c>
      <c r="I15693" s="4" t="str">
        <v>×</v>
      </c>
      <c r="J15693" s="4"/>
      <c r="K15693" s="4"/>
      <c r="L15693" s="4"/>
      <c r="M15693" s="7" t="s">
        <v>6871</v>
      </c>
    </row>
    <row r="15694" customFormat="false" ht="15.75" hidden="false" customHeight="false" outlineLevel="0" collapsed="false">
      <c r="A15694" s="6" t="n">
        <f aca="false">DATE(2026,5,10)</f>
        <v>46152</v>
      </c>
      <c r="B15694" s="4" t="s">
        <v>13</v>
      </c>
      <c r="C15694" s="4" t="n">
        <v>5</v>
      </c>
      <c r="D15694" s="4" t="n">
        <v>3</v>
      </c>
      <c r="E15694" s="4" t="s">
        <v>7147</v>
      </c>
      <c r="F15694" s="4" t="n">
        <v>8</v>
      </c>
      <c r="G15694" s="4" t="n">
        <v>10</v>
      </c>
      <c r="H15694" s="4" t="n">
        <v>4</v>
      </c>
      <c r="I15694" s="4" t="str">
        <v>×</v>
      </c>
      <c r="J15694" s="4"/>
      <c r="K15694" s="4"/>
      <c r="L15694" s="4"/>
      <c r="M15694" s="7" t="s">
        <v>6871</v>
      </c>
    </row>
    <row r="15695" customFormat="false" ht="15.75" hidden="false" customHeight="false" outlineLevel="0" collapsed="false">
      <c r="A15695" s="6" t="n">
        <f aca="false">DATE(2026,5,10)</f>
        <v>46152</v>
      </c>
      <c r="B15695" s="4" t="s">
        <v>13</v>
      </c>
      <c r="C15695" s="4" t="n">
        <v>5</v>
      </c>
      <c r="D15695" s="4" t="n">
        <v>6</v>
      </c>
      <c r="E15695" s="4" t="s">
        <v>7148</v>
      </c>
      <c r="F15695" s="4" t="n">
        <v>8</v>
      </c>
      <c r="G15695" s="4" t="n">
        <v>11</v>
      </c>
      <c r="H15695" s="4" t="n">
        <v>4</v>
      </c>
      <c r="I15695" s="4" t="str">
        <v>×</v>
      </c>
      <c r="J15695" s="4"/>
      <c r="K15695" s="4"/>
      <c r="L15695" s="4"/>
      <c r="M15695" s="7" t="s">
        <v>6871</v>
      </c>
    </row>
    <row r="15696" customFormat="false" ht="15.75" hidden="false" customHeight="false" outlineLevel="0" collapsed="false">
      <c r="A15696" s="6" t="n">
        <f aca="false">DATE(2026,5,10)</f>
        <v>46152</v>
      </c>
      <c r="B15696" s="4" t="s">
        <v>13</v>
      </c>
      <c r="C15696" s="4" t="n">
        <v>5</v>
      </c>
      <c r="D15696" s="4" t="n">
        <v>16</v>
      </c>
      <c r="E15696" s="4" t="s">
        <v>3145</v>
      </c>
      <c r="F15696" s="4" t="n">
        <v>8</v>
      </c>
      <c r="G15696" s="4" t="n">
        <v>12</v>
      </c>
      <c r="H15696" s="4" t="n">
        <v>3</v>
      </c>
      <c r="I15696" s="4" t="str">
        <v>○</v>
      </c>
      <c r="J15696" s="4" t="n">
        <v>330</v>
      </c>
      <c r="K15696" s="4"/>
      <c r="L15696" s="4"/>
      <c r="M15696" s="7" t="s">
        <v>6871</v>
      </c>
    </row>
    <row r="15697" customFormat="false" ht="15.75" hidden="false" customHeight="false" outlineLevel="0" collapsed="false">
      <c r="A15697" s="6" t="n">
        <f aca="false">DATE(2026,5,10)</f>
        <v>46152</v>
      </c>
      <c r="B15697" s="4" t="s">
        <v>13</v>
      </c>
      <c r="C15697" s="4" t="n">
        <v>5</v>
      </c>
      <c r="D15697" s="4" t="n">
        <v>5</v>
      </c>
      <c r="E15697" s="4" t="s">
        <v>5596</v>
      </c>
      <c r="F15697" s="4" t="n">
        <v>6</v>
      </c>
      <c r="G15697" s="4" t="n">
        <v>13</v>
      </c>
      <c r="H15697" s="4" t="n">
        <v>4</v>
      </c>
      <c r="I15697" s="4" t="str">
        <v>×</v>
      </c>
      <c r="J15697" s="4"/>
      <c r="K15697" s="4"/>
      <c r="L15697" s="4"/>
      <c r="M15697" s="7" t="s">
        <v>6871</v>
      </c>
    </row>
    <row r="15698" customFormat="false" ht="15.75" hidden="false" customHeight="false" outlineLevel="0" collapsed="false">
      <c r="A15698" s="6" t="n">
        <f aca="false">DATE(2026,5,10)</f>
        <v>46152</v>
      </c>
      <c r="B15698" s="4" t="s">
        <v>13</v>
      </c>
      <c r="C15698" s="4" t="n">
        <v>5</v>
      </c>
      <c r="D15698" s="4" t="n">
        <v>13</v>
      </c>
      <c r="E15698" s="4" t="s">
        <v>4517</v>
      </c>
      <c r="F15698" s="4" t="n">
        <v>6</v>
      </c>
      <c r="G15698" s="4" t="n">
        <v>14</v>
      </c>
      <c r="H15698" s="4" t="n">
        <v>4</v>
      </c>
      <c r="I15698" s="4" t="str">
        <v>×</v>
      </c>
      <c r="J15698" s="4"/>
      <c r="K15698" s="4"/>
      <c r="L15698" s="4"/>
      <c r="M15698" s="7" t="s">
        <v>6871</v>
      </c>
    </row>
    <row r="15699" customFormat="false" ht="15.75" hidden="false" customHeight="false" outlineLevel="0" collapsed="false">
      <c r="A15699" s="6" t="n">
        <f aca="false">DATE(2026,5,10)</f>
        <v>46152</v>
      </c>
      <c r="B15699" s="4" t="s">
        <v>13</v>
      </c>
      <c r="C15699" s="4" t="n">
        <v>5</v>
      </c>
      <c r="D15699" s="4" t="n">
        <v>9</v>
      </c>
      <c r="E15699" s="4" t="s">
        <v>7149</v>
      </c>
      <c r="F15699" s="4" t="n">
        <v>4</v>
      </c>
      <c r="G15699" s="4" t="n">
        <v>15</v>
      </c>
      <c r="H15699" s="4" t="n">
        <v>4</v>
      </c>
      <c r="I15699" s="4" t="str">
        <v>×</v>
      </c>
      <c r="J15699" s="4"/>
      <c r="K15699" s="4"/>
      <c r="L15699" s="4"/>
      <c r="M15699" s="7" t="s">
        <v>6871</v>
      </c>
    </row>
    <row r="15700" customFormat="false" ht="15.75" hidden="false" customHeight="false" outlineLevel="0" collapsed="false">
      <c r="A15700" s="6" t="n">
        <f aca="false">DATE(2026,5,10)</f>
        <v>46152</v>
      </c>
      <c r="B15700" s="4" t="s">
        <v>13</v>
      </c>
      <c r="C15700" s="4" t="n">
        <v>5</v>
      </c>
      <c r="D15700" s="4" t="n">
        <v>10</v>
      </c>
      <c r="E15700" s="4" t="s">
        <v>6298</v>
      </c>
      <c r="F15700" s="4" t="n">
        <v>2</v>
      </c>
      <c r="G15700" s="4" t="n">
        <v>16</v>
      </c>
      <c r="H15700" s="4" t="n">
        <v>4</v>
      </c>
      <c r="I15700" s="4" t="str">
        <v>×</v>
      </c>
      <c r="J15700" s="4"/>
      <c r="K15700" s="4"/>
      <c r="L15700" s="4"/>
      <c r="M15700" s="7" t="s">
        <v>6871</v>
      </c>
    </row>
    <row r="15701" customFormat="false" ht="15.75" hidden="false" customHeight="false" outlineLevel="0" collapsed="false">
      <c r="A15701" s="6" t="n">
        <f aca="false">DATE(2026,5,10)</f>
        <v>46152</v>
      </c>
      <c r="B15701" s="4" t="s">
        <v>13</v>
      </c>
      <c r="C15701" s="4" t="n">
        <v>6</v>
      </c>
      <c r="D15701" s="4" t="n">
        <v>7</v>
      </c>
      <c r="E15701" s="4" t="s">
        <v>6308</v>
      </c>
      <c r="F15701" s="4" t="n">
        <v>62</v>
      </c>
      <c r="G15701" s="4" t="n">
        <v>1</v>
      </c>
      <c r="H15701" s="4" t="n">
        <v>2</v>
      </c>
      <c r="I15701" s="4" t="str">
        <v>○</v>
      </c>
      <c r="J15701" s="4" t="n">
        <v>160</v>
      </c>
      <c r="K15701" s="4"/>
      <c r="L15701" s="4"/>
      <c r="M15701" s="7" t="s">
        <v>6871</v>
      </c>
    </row>
    <row r="15702" customFormat="false" ht="15.75" hidden="false" customHeight="false" outlineLevel="0" collapsed="false">
      <c r="A15702" s="6" t="n">
        <f aca="false">DATE(2026,5,10)</f>
        <v>46152</v>
      </c>
      <c r="B15702" s="4" t="s">
        <v>13</v>
      </c>
      <c r="C15702" s="4" t="n">
        <v>6</v>
      </c>
      <c r="D15702" s="4" t="n">
        <v>10</v>
      </c>
      <c r="E15702" s="4" t="s">
        <v>7150</v>
      </c>
      <c r="F15702" s="4" t="n">
        <v>39</v>
      </c>
      <c r="G15702" s="4" t="n">
        <v>2</v>
      </c>
      <c r="H15702" s="4" t="n">
        <v>1</v>
      </c>
      <c r="I15702" s="4" t="str">
        <v>○</v>
      </c>
      <c r="J15702" s="4" t="n">
        <v>240</v>
      </c>
      <c r="K15702" s="4"/>
      <c r="L15702" s="4"/>
      <c r="M15702" s="7" t="s">
        <v>6871</v>
      </c>
    </row>
    <row r="15703" customFormat="false" ht="15.75" hidden="false" customHeight="false" outlineLevel="0" collapsed="false">
      <c r="A15703" s="6" t="n">
        <f aca="false">DATE(2026,5,10)</f>
        <v>46152</v>
      </c>
      <c r="B15703" s="4" t="s">
        <v>13</v>
      </c>
      <c r="C15703" s="4" t="n">
        <v>6</v>
      </c>
      <c r="D15703" s="4" t="n">
        <v>11</v>
      </c>
      <c r="E15703" s="4" t="s">
        <v>7151</v>
      </c>
      <c r="F15703" s="4" t="n">
        <v>37</v>
      </c>
      <c r="G15703" s="4" t="n">
        <v>3</v>
      </c>
      <c r="H15703" s="4" t="n">
        <v>4</v>
      </c>
      <c r="I15703" s="4" t="str">
        <v>×</v>
      </c>
      <c r="J15703" s="4"/>
      <c r="K15703" s="4"/>
      <c r="L15703" s="4"/>
      <c r="M15703" s="7" t="s">
        <v>6871</v>
      </c>
    </row>
    <row r="15704" customFormat="false" ht="15.75" hidden="false" customHeight="false" outlineLevel="0" collapsed="false">
      <c r="A15704" s="6" t="n">
        <f aca="false">DATE(2026,5,10)</f>
        <v>46152</v>
      </c>
      <c r="B15704" s="4" t="s">
        <v>13</v>
      </c>
      <c r="C15704" s="4" t="n">
        <v>6</v>
      </c>
      <c r="D15704" s="4" t="n">
        <v>16</v>
      </c>
      <c r="E15704" s="4" t="s">
        <v>6307</v>
      </c>
      <c r="F15704" s="4" t="n">
        <v>31</v>
      </c>
      <c r="G15704" s="4" t="n">
        <v>4</v>
      </c>
      <c r="H15704" s="4" t="n">
        <v>3</v>
      </c>
      <c r="I15704" s="4" t="str">
        <v>○</v>
      </c>
      <c r="J15704" s="4" t="n">
        <v>180</v>
      </c>
      <c r="K15704" s="4"/>
      <c r="L15704" s="4"/>
      <c r="M15704" s="7" t="s">
        <v>6871</v>
      </c>
    </row>
    <row r="15705" customFormat="false" ht="15.75" hidden="false" customHeight="false" outlineLevel="0" collapsed="false">
      <c r="A15705" s="6" t="n">
        <f aca="false">DATE(2026,5,10)</f>
        <v>46152</v>
      </c>
      <c r="B15705" s="4" t="s">
        <v>13</v>
      </c>
      <c r="C15705" s="4" t="n">
        <v>6</v>
      </c>
      <c r="D15705" s="4" t="n">
        <v>5</v>
      </c>
      <c r="E15705" s="4" t="s">
        <v>3009</v>
      </c>
      <c r="F15705" s="4" t="n">
        <v>29</v>
      </c>
      <c r="G15705" s="4" t="n">
        <v>5</v>
      </c>
      <c r="H15705" s="4" t="n">
        <v>4</v>
      </c>
      <c r="I15705" s="4" t="str">
        <v>×</v>
      </c>
      <c r="J15705" s="4"/>
      <c r="K15705" s="4"/>
      <c r="L15705" s="4"/>
      <c r="M15705" s="7" t="s">
        <v>6871</v>
      </c>
    </row>
    <row r="15706" customFormat="false" ht="15.75" hidden="false" customHeight="false" outlineLevel="0" collapsed="false">
      <c r="A15706" s="6" t="n">
        <f aca="false">DATE(2026,5,10)</f>
        <v>46152</v>
      </c>
      <c r="B15706" s="4" t="s">
        <v>13</v>
      </c>
      <c r="C15706" s="4" t="n">
        <v>6</v>
      </c>
      <c r="D15706" s="4" t="n">
        <v>1</v>
      </c>
      <c r="E15706" s="4" t="s">
        <v>3159</v>
      </c>
      <c r="F15706" s="4" t="n">
        <v>20</v>
      </c>
      <c r="G15706" s="4" t="n">
        <v>6</v>
      </c>
      <c r="H15706" s="4" t="n">
        <v>4</v>
      </c>
      <c r="I15706" s="4" t="str">
        <v>×</v>
      </c>
      <c r="J15706" s="4"/>
      <c r="K15706" s="4"/>
      <c r="L15706" s="4"/>
      <c r="M15706" s="7" t="s">
        <v>6871</v>
      </c>
    </row>
    <row r="15707" customFormat="false" ht="15.75" hidden="false" customHeight="false" outlineLevel="0" collapsed="false">
      <c r="A15707" s="6" t="n">
        <f aca="false">DATE(2026,5,10)</f>
        <v>46152</v>
      </c>
      <c r="B15707" s="4" t="s">
        <v>13</v>
      </c>
      <c r="C15707" s="4" t="n">
        <v>6</v>
      </c>
      <c r="D15707" s="4" t="n">
        <v>15</v>
      </c>
      <c r="E15707" s="4" t="s">
        <v>6676</v>
      </c>
      <c r="F15707" s="4" t="n">
        <v>15</v>
      </c>
      <c r="G15707" s="4" t="n">
        <v>7</v>
      </c>
      <c r="H15707" s="4" t="n">
        <v>4</v>
      </c>
      <c r="I15707" s="4" t="str">
        <v>×</v>
      </c>
      <c r="J15707" s="4"/>
      <c r="K15707" s="4"/>
      <c r="L15707" s="4"/>
      <c r="M15707" s="7" t="s">
        <v>6871</v>
      </c>
    </row>
    <row r="15708" customFormat="false" ht="15.75" hidden="false" customHeight="false" outlineLevel="0" collapsed="false">
      <c r="A15708" s="6" t="n">
        <f aca="false">DATE(2026,5,10)</f>
        <v>46152</v>
      </c>
      <c r="B15708" s="4" t="s">
        <v>13</v>
      </c>
      <c r="C15708" s="4" t="n">
        <v>6</v>
      </c>
      <c r="D15708" s="4" t="n">
        <v>12</v>
      </c>
      <c r="E15708" s="4" t="s">
        <v>4238</v>
      </c>
      <c r="F15708" s="4" t="n">
        <v>13</v>
      </c>
      <c r="G15708" s="4" t="n">
        <v>8</v>
      </c>
      <c r="H15708" s="4" t="n">
        <v>4</v>
      </c>
      <c r="I15708" s="4" t="str">
        <v>×</v>
      </c>
      <c r="J15708" s="4"/>
      <c r="K15708" s="4"/>
      <c r="L15708" s="4"/>
      <c r="M15708" s="7" t="s">
        <v>6871</v>
      </c>
    </row>
    <row r="15709" customFormat="false" ht="15.75" hidden="false" customHeight="false" outlineLevel="0" collapsed="false">
      <c r="A15709" s="6" t="n">
        <f aca="false">DATE(2026,5,10)</f>
        <v>46152</v>
      </c>
      <c r="B15709" s="4" t="s">
        <v>13</v>
      </c>
      <c r="C15709" s="4" t="n">
        <v>6</v>
      </c>
      <c r="D15709" s="4" t="n">
        <v>3</v>
      </c>
      <c r="E15709" s="4" t="s">
        <v>7152</v>
      </c>
      <c r="F15709" s="4" t="n">
        <v>10</v>
      </c>
      <c r="G15709" s="4" t="n">
        <v>9</v>
      </c>
      <c r="H15709" s="4" t="n">
        <v>4</v>
      </c>
      <c r="I15709" s="4" t="str">
        <v>×</v>
      </c>
      <c r="J15709" s="4"/>
      <c r="K15709" s="4"/>
      <c r="L15709" s="4"/>
      <c r="M15709" s="7" t="s">
        <v>6871</v>
      </c>
    </row>
    <row r="15710" customFormat="false" ht="15.75" hidden="false" customHeight="false" outlineLevel="0" collapsed="false">
      <c r="A15710" s="6" t="n">
        <f aca="false">DATE(2026,5,10)</f>
        <v>46152</v>
      </c>
      <c r="B15710" s="4" t="s">
        <v>13</v>
      </c>
      <c r="C15710" s="4" t="n">
        <v>6</v>
      </c>
      <c r="D15710" s="4" t="n">
        <v>8</v>
      </c>
      <c r="E15710" s="4" t="s">
        <v>7153</v>
      </c>
      <c r="F15710" s="4" t="n">
        <v>10</v>
      </c>
      <c r="G15710" s="4" t="n">
        <v>10</v>
      </c>
      <c r="H15710" s="4" t="n">
        <v>4</v>
      </c>
      <c r="I15710" s="4" t="str">
        <v>×</v>
      </c>
      <c r="J15710" s="4"/>
      <c r="K15710" s="4"/>
      <c r="L15710" s="4"/>
      <c r="M15710" s="7" t="s">
        <v>6871</v>
      </c>
    </row>
    <row r="15711" customFormat="false" ht="15.75" hidden="false" customHeight="false" outlineLevel="0" collapsed="false">
      <c r="A15711" s="6" t="n">
        <f aca="false">DATE(2026,5,10)</f>
        <v>46152</v>
      </c>
      <c r="B15711" s="4" t="s">
        <v>13</v>
      </c>
      <c r="C15711" s="4" t="n">
        <v>6</v>
      </c>
      <c r="D15711" s="4" t="n">
        <v>13</v>
      </c>
      <c r="E15711" s="4" t="s">
        <v>7154</v>
      </c>
      <c r="F15711" s="4" t="n">
        <v>10</v>
      </c>
      <c r="G15711" s="4" t="n">
        <v>11</v>
      </c>
      <c r="H15711" s="4" t="n">
        <v>4</v>
      </c>
      <c r="I15711" s="4" t="str">
        <v>×</v>
      </c>
      <c r="J15711" s="4"/>
      <c r="K15711" s="4"/>
      <c r="L15711" s="4"/>
      <c r="M15711" s="7" t="s">
        <v>6871</v>
      </c>
    </row>
    <row r="15712" customFormat="false" ht="15.75" hidden="false" customHeight="false" outlineLevel="0" collapsed="false">
      <c r="A15712" s="6" t="n">
        <f aca="false">DATE(2026,5,10)</f>
        <v>46152</v>
      </c>
      <c r="B15712" s="4" t="s">
        <v>13</v>
      </c>
      <c r="C15712" s="4" t="n">
        <v>6</v>
      </c>
      <c r="D15712" s="4" t="n">
        <v>14</v>
      </c>
      <c r="E15712" s="4" t="s">
        <v>7155</v>
      </c>
      <c r="F15712" s="4" t="n">
        <v>6</v>
      </c>
      <c r="G15712" s="4" t="n">
        <v>12</v>
      </c>
      <c r="H15712" s="4" t="n">
        <v>4</v>
      </c>
      <c r="I15712" s="4" t="str">
        <v>×</v>
      </c>
      <c r="J15712" s="4"/>
      <c r="K15712" s="4"/>
      <c r="L15712" s="4"/>
      <c r="M15712" s="7" t="s">
        <v>6871</v>
      </c>
    </row>
    <row r="15713" customFormat="false" ht="15.75" hidden="false" customHeight="false" outlineLevel="0" collapsed="false">
      <c r="A15713" s="6" t="n">
        <f aca="false">DATE(2026,5,10)</f>
        <v>46152</v>
      </c>
      <c r="B15713" s="4" t="s">
        <v>13</v>
      </c>
      <c r="C15713" s="4" t="n">
        <v>6</v>
      </c>
      <c r="D15713" s="4" t="n">
        <v>2</v>
      </c>
      <c r="E15713" s="4" t="s">
        <v>7156</v>
      </c>
      <c r="F15713" s="4" t="n">
        <v>4</v>
      </c>
      <c r="G15713" s="4" t="n">
        <v>13</v>
      </c>
      <c r="H15713" s="4" t="n">
        <v>4</v>
      </c>
      <c r="I15713" s="4" t="str">
        <v>×</v>
      </c>
      <c r="J15713" s="4"/>
      <c r="K15713" s="4"/>
      <c r="L15713" s="4"/>
      <c r="M15713" s="7" t="s">
        <v>6871</v>
      </c>
    </row>
    <row r="15714" customFormat="false" ht="15.75" hidden="false" customHeight="false" outlineLevel="0" collapsed="false">
      <c r="A15714" s="6" t="n">
        <f aca="false">DATE(2026,5,10)</f>
        <v>46152</v>
      </c>
      <c r="B15714" s="4" t="s">
        <v>13</v>
      </c>
      <c r="C15714" s="4" t="n">
        <v>6</v>
      </c>
      <c r="D15714" s="4" t="n">
        <v>4</v>
      </c>
      <c r="E15714" s="4" t="s">
        <v>7157</v>
      </c>
      <c r="F15714" s="4" t="n">
        <v>3</v>
      </c>
      <c r="G15714" s="4" t="n">
        <v>14</v>
      </c>
      <c r="H15714" s="4" t="n">
        <v>4</v>
      </c>
      <c r="I15714" s="4" t="str">
        <v>×</v>
      </c>
      <c r="J15714" s="4"/>
      <c r="K15714" s="4"/>
      <c r="L15714" s="4"/>
      <c r="M15714" s="7" t="s">
        <v>6871</v>
      </c>
    </row>
    <row r="15715" customFormat="false" ht="15.75" hidden="false" customHeight="false" outlineLevel="0" collapsed="false">
      <c r="A15715" s="6" t="n">
        <f aca="false">DATE(2026,5,10)</f>
        <v>46152</v>
      </c>
      <c r="B15715" s="4" t="s">
        <v>13</v>
      </c>
      <c r="C15715" s="4" t="n">
        <v>6</v>
      </c>
      <c r="D15715" s="4" t="n">
        <v>6</v>
      </c>
      <c r="E15715" s="4" t="s">
        <v>145</v>
      </c>
      <c r="F15715" s="4" t="n">
        <v>3</v>
      </c>
      <c r="G15715" s="4" t="n">
        <v>15</v>
      </c>
      <c r="H15715" s="4" t="n">
        <v>4</v>
      </c>
      <c r="I15715" s="4" t="str">
        <v>×</v>
      </c>
      <c r="J15715" s="4"/>
      <c r="K15715" s="4"/>
      <c r="L15715" s="4"/>
      <c r="M15715" s="7" t="s">
        <v>6871</v>
      </c>
    </row>
    <row r="15716" customFormat="false" ht="15.75" hidden="false" customHeight="false" outlineLevel="0" collapsed="false">
      <c r="A15716" s="6" t="n">
        <f aca="false">DATE(2026,5,10)</f>
        <v>46152</v>
      </c>
      <c r="B15716" s="4" t="s">
        <v>13</v>
      </c>
      <c r="C15716" s="4" t="n">
        <v>6</v>
      </c>
      <c r="D15716" s="4" t="n">
        <v>9</v>
      </c>
      <c r="E15716" s="4" t="s">
        <v>2608</v>
      </c>
      <c r="F15716" s="4" t="n">
        <v>2</v>
      </c>
      <c r="G15716" s="4" t="n">
        <v>16</v>
      </c>
      <c r="H15716" s="4" t="n">
        <v>4</v>
      </c>
      <c r="I15716" s="4" t="str">
        <v>×</v>
      </c>
      <c r="J15716" s="4"/>
      <c r="K15716" s="4"/>
      <c r="L15716" s="4"/>
      <c r="M15716" s="7" t="s">
        <v>6871</v>
      </c>
    </row>
    <row r="15717" customFormat="false" ht="15.75" hidden="false" customHeight="false" outlineLevel="0" collapsed="false">
      <c r="A15717" s="6" t="n">
        <f aca="false">DATE(2026,5,10)</f>
        <v>46152</v>
      </c>
      <c r="B15717" s="4" t="s">
        <v>13</v>
      </c>
      <c r="C15717" s="4" t="n">
        <v>7</v>
      </c>
      <c r="D15717" s="4" t="n">
        <v>15</v>
      </c>
      <c r="E15717" s="4" t="s">
        <v>4668</v>
      </c>
      <c r="F15717" s="4" t="n">
        <v>65</v>
      </c>
      <c r="G15717" s="4" t="n">
        <v>1</v>
      </c>
      <c r="H15717" s="4" t="n">
        <v>4</v>
      </c>
      <c r="I15717" s="4" t="str">
        <v>×</v>
      </c>
      <c r="J15717" s="4" t="n">
        <v>150</v>
      </c>
      <c r="K15717" s="4"/>
      <c r="L15717" s="4"/>
      <c r="M15717" s="7" t="s">
        <v>6871</v>
      </c>
    </row>
    <row r="15718" customFormat="false" ht="15.75" hidden="false" customHeight="false" outlineLevel="0" collapsed="false">
      <c r="A15718" s="6" t="n">
        <f aca="false">DATE(2026,5,10)</f>
        <v>46152</v>
      </c>
      <c r="B15718" s="4" t="s">
        <v>13</v>
      </c>
      <c r="C15718" s="4" t="n">
        <v>7</v>
      </c>
      <c r="D15718" s="4" t="n">
        <v>3</v>
      </c>
      <c r="E15718" s="4" t="s">
        <v>7158</v>
      </c>
      <c r="F15718" s="4" t="n">
        <v>37</v>
      </c>
      <c r="G15718" s="4" t="n">
        <v>2</v>
      </c>
      <c r="H15718" s="4" t="n">
        <v>4</v>
      </c>
      <c r="I15718" s="4" t="str">
        <v>×</v>
      </c>
      <c r="J15718" s="4"/>
      <c r="K15718" s="4"/>
      <c r="L15718" s="4"/>
      <c r="M15718" s="7" t="s">
        <v>6871</v>
      </c>
    </row>
    <row r="15719" customFormat="false" ht="15.75" hidden="false" customHeight="false" outlineLevel="0" collapsed="false">
      <c r="A15719" s="6" t="n">
        <f aca="false">DATE(2026,5,10)</f>
        <v>46152</v>
      </c>
      <c r="B15719" s="4" t="s">
        <v>13</v>
      </c>
      <c r="C15719" s="4" t="n">
        <v>7</v>
      </c>
      <c r="D15719" s="4" t="n">
        <v>7</v>
      </c>
      <c r="E15719" s="4" t="s">
        <v>1657</v>
      </c>
      <c r="F15719" s="4" t="n">
        <v>29</v>
      </c>
      <c r="G15719" s="4" t="n">
        <v>3</v>
      </c>
      <c r="H15719" s="4" t="n">
        <v>4</v>
      </c>
      <c r="I15719" s="4" t="str">
        <v>×</v>
      </c>
      <c r="J15719" s="4"/>
      <c r="K15719" s="4"/>
      <c r="L15719" s="4"/>
      <c r="M15719" s="7" t="s">
        <v>6871</v>
      </c>
    </row>
    <row r="15720" customFormat="false" ht="15.75" hidden="false" customHeight="false" outlineLevel="0" collapsed="false">
      <c r="A15720" s="6" t="n">
        <f aca="false">DATE(2026,5,10)</f>
        <v>46152</v>
      </c>
      <c r="B15720" s="4" t="s">
        <v>13</v>
      </c>
      <c r="C15720" s="4" t="n">
        <v>7</v>
      </c>
      <c r="D15720" s="4" t="n">
        <v>5</v>
      </c>
      <c r="E15720" s="4" t="s">
        <v>6314</v>
      </c>
      <c r="F15720" s="4" t="n">
        <v>25</v>
      </c>
      <c r="G15720" s="4" t="n">
        <v>4</v>
      </c>
      <c r="H15720" s="4" t="n">
        <v>4</v>
      </c>
      <c r="I15720" s="4" t="str">
        <v>×</v>
      </c>
      <c r="J15720" s="4"/>
      <c r="K15720" s="4"/>
      <c r="L15720" s="4"/>
      <c r="M15720" s="7" t="s">
        <v>6871</v>
      </c>
    </row>
    <row r="15721" customFormat="false" ht="15.75" hidden="false" customHeight="false" outlineLevel="0" collapsed="false">
      <c r="A15721" s="6" t="n">
        <f aca="false">DATE(2026,5,10)</f>
        <v>46152</v>
      </c>
      <c r="B15721" s="4" t="s">
        <v>13</v>
      </c>
      <c r="C15721" s="4" t="n">
        <v>7</v>
      </c>
      <c r="D15721" s="4" t="n">
        <v>9</v>
      </c>
      <c r="E15721" s="4" t="s">
        <v>7159</v>
      </c>
      <c r="F15721" s="4" t="n">
        <v>23</v>
      </c>
      <c r="G15721" s="4" t="n">
        <v>5</v>
      </c>
      <c r="H15721" s="4" t="n">
        <v>4</v>
      </c>
      <c r="I15721" s="4" t="str">
        <v>×</v>
      </c>
      <c r="J15721" s="4"/>
      <c r="K15721" s="4"/>
      <c r="L15721" s="4"/>
      <c r="M15721" s="7" t="s">
        <v>6871</v>
      </c>
    </row>
    <row r="15722" customFormat="false" ht="15.75" hidden="false" customHeight="false" outlineLevel="0" collapsed="false">
      <c r="A15722" s="6" t="n">
        <f aca="false">DATE(2026,5,10)</f>
        <v>46152</v>
      </c>
      <c r="B15722" s="4" t="s">
        <v>13</v>
      </c>
      <c r="C15722" s="4" t="n">
        <v>7</v>
      </c>
      <c r="D15722" s="4" t="n">
        <v>13</v>
      </c>
      <c r="E15722" s="4" t="s">
        <v>2170</v>
      </c>
      <c r="F15722" s="4" t="n">
        <v>20</v>
      </c>
      <c r="G15722" s="4" t="n">
        <v>6</v>
      </c>
      <c r="H15722" s="4" t="n">
        <v>4</v>
      </c>
      <c r="I15722" s="4" t="str">
        <v>×</v>
      </c>
      <c r="J15722" s="4"/>
      <c r="K15722" s="4"/>
      <c r="L15722" s="4"/>
      <c r="M15722" s="7" t="s">
        <v>6871</v>
      </c>
    </row>
    <row r="15723" customFormat="false" ht="15.75" hidden="false" customHeight="false" outlineLevel="0" collapsed="false">
      <c r="A15723" s="6" t="n">
        <f aca="false">DATE(2026,5,10)</f>
        <v>46152</v>
      </c>
      <c r="B15723" s="4" t="s">
        <v>13</v>
      </c>
      <c r="C15723" s="4" t="n">
        <v>7</v>
      </c>
      <c r="D15723" s="4" t="n">
        <v>2</v>
      </c>
      <c r="E15723" s="4" t="s">
        <v>5276</v>
      </c>
      <c r="F15723" s="4" t="n">
        <v>17</v>
      </c>
      <c r="G15723" s="4" t="n">
        <v>7</v>
      </c>
      <c r="H15723" s="4" t="n">
        <v>4</v>
      </c>
      <c r="I15723" s="4" t="str">
        <v>×</v>
      </c>
      <c r="J15723" s="4"/>
      <c r="K15723" s="4"/>
      <c r="L15723" s="4"/>
      <c r="M15723" s="7" t="s">
        <v>6871</v>
      </c>
    </row>
    <row r="15724" customFormat="false" ht="15.75" hidden="false" customHeight="false" outlineLevel="0" collapsed="false">
      <c r="A15724" s="6" t="n">
        <f aca="false">DATE(2026,5,10)</f>
        <v>46152</v>
      </c>
      <c r="B15724" s="4" t="s">
        <v>13</v>
      </c>
      <c r="C15724" s="4" t="n">
        <v>7</v>
      </c>
      <c r="D15724" s="4" t="n">
        <v>14</v>
      </c>
      <c r="E15724" s="4" t="s">
        <v>1646</v>
      </c>
      <c r="F15724" s="4" t="n">
        <v>17</v>
      </c>
      <c r="G15724" s="4" t="n">
        <v>8</v>
      </c>
      <c r="H15724" s="4" t="n">
        <v>2</v>
      </c>
      <c r="I15724" s="4" t="str">
        <v>○</v>
      </c>
      <c r="J15724" s="4" t="n">
        <v>180</v>
      </c>
      <c r="K15724" s="4"/>
      <c r="L15724" s="4"/>
      <c r="M15724" s="7" t="s">
        <v>6871</v>
      </c>
    </row>
    <row r="15725" customFormat="false" ht="15.75" hidden="false" customHeight="false" outlineLevel="0" collapsed="false">
      <c r="A15725" s="6" t="n">
        <f aca="false">DATE(2026,5,10)</f>
        <v>46152</v>
      </c>
      <c r="B15725" s="4" t="s">
        <v>13</v>
      </c>
      <c r="C15725" s="4" t="n">
        <v>7</v>
      </c>
      <c r="D15725" s="4" t="n">
        <v>10</v>
      </c>
      <c r="E15725" s="4" t="s">
        <v>7160</v>
      </c>
      <c r="F15725" s="4" t="n">
        <v>13</v>
      </c>
      <c r="G15725" s="4" t="n">
        <v>9</v>
      </c>
      <c r="H15725" s="4" t="n">
        <v>1</v>
      </c>
      <c r="I15725" s="4" t="str">
        <v>○</v>
      </c>
      <c r="J15725" s="4" t="n">
        <v>400</v>
      </c>
      <c r="K15725" s="4"/>
      <c r="L15725" s="4"/>
      <c r="M15725" s="7" t="s">
        <v>6871</v>
      </c>
    </row>
    <row r="15726" customFormat="false" ht="15.75" hidden="false" customHeight="false" outlineLevel="0" collapsed="false">
      <c r="A15726" s="6" t="n">
        <f aca="false">DATE(2026,5,10)</f>
        <v>46152</v>
      </c>
      <c r="B15726" s="4" t="s">
        <v>13</v>
      </c>
      <c r="C15726" s="4" t="n">
        <v>7</v>
      </c>
      <c r="D15726" s="4" t="n">
        <v>1</v>
      </c>
      <c r="E15726" s="4" t="s">
        <v>521</v>
      </c>
      <c r="F15726" s="4" t="n">
        <v>10</v>
      </c>
      <c r="G15726" s="4" t="n">
        <v>10</v>
      </c>
      <c r="H15726" s="4" t="n">
        <v>3</v>
      </c>
      <c r="I15726" s="4" t="str">
        <v>○</v>
      </c>
      <c r="J15726" s="4" t="n">
        <v>510</v>
      </c>
      <c r="K15726" s="4"/>
      <c r="L15726" s="4"/>
      <c r="M15726" s="7" t="s">
        <v>6871</v>
      </c>
    </row>
    <row r="15727" customFormat="false" ht="15.75" hidden="false" customHeight="false" outlineLevel="0" collapsed="false">
      <c r="A15727" s="6" t="n">
        <f aca="false">DATE(2026,5,10)</f>
        <v>46152</v>
      </c>
      <c r="B15727" s="4" t="s">
        <v>13</v>
      </c>
      <c r="C15727" s="4" t="n">
        <v>7</v>
      </c>
      <c r="D15727" s="4" t="n">
        <v>6</v>
      </c>
      <c r="E15727" s="4" t="s">
        <v>7161</v>
      </c>
      <c r="F15727" s="4" t="n">
        <v>6</v>
      </c>
      <c r="G15727" s="4" t="n">
        <v>11</v>
      </c>
      <c r="H15727" s="4" t="n">
        <v>4</v>
      </c>
      <c r="I15727" s="4" t="str">
        <v>×</v>
      </c>
      <c r="J15727" s="4"/>
      <c r="K15727" s="4"/>
      <c r="L15727" s="4"/>
      <c r="M15727" s="7" t="s">
        <v>6871</v>
      </c>
    </row>
    <row r="15728" customFormat="false" ht="15.75" hidden="false" customHeight="false" outlineLevel="0" collapsed="false">
      <c r="A15728" s="6" t="n">
        <f aca="false">DATE(2026,5,10)</f>
        <v>46152</v>
      </c>
      <c r="B15728" s="4" t="s">
        <v>13</v>
      </c>
      <c r="C15728" s="4" t="n">
        <v>7</v>
      </c>
      <c r="D15728" s="4" t="n">
        <v>11</v>
      </c>
      <c r="E15728" s="4" t="s">
        <v>7162</v>
      </c>
      <c r="F15728" s="4" t="n">
        <v>6</v>
      </c>
      <c r="G15728" s="4" t="n">
        <v>12</v>
      </c>
      <c r="H15728" s="4" t="n">
        <v>4</v>
      </c>
      <c r="I15728" s="4" t="str">
        <v>×</v>
      </c>
      <c r="J15728" s="4"/>
      <c r="K15728" s="4"/>
      <c r="L15728" s="4"/>
      <c r="M15728" s="7" t="s">
        <v>6871</v>
      </c>
    </row>
    <row r="15729" customFormat="false" ht="15.75" hidden="false" customHeight="false" outlineLevel="0" collapsed="false">
      <c r="A15729" s="6" t="n">
        <f aca="false">DATE(2026,5,10)</f>
        <v>46152</v>
      </c>
      <c r="B15729" s="4" t="s">
        <v>13</v>
      </c>
      <c r="C15729" s="4" t="n">
        <v>7</v>
      </c>
      <c r="D15729" s="4" t="n">
        <v>12</v>
      </c>
      <c r="E15729" s="4" t="s">
        <v>7163</v>
      </c>
      <c r="F15729" s="4" t="n">
        <v>6</v>
      </c>
      <c r="G15729" s="4" t="n">
        <v>13</v>
      </c>
      <c r="H15729" s="4" t="n">
        <v>4</v>
      </c>
      <c r="I15729" s="4" t="str">
        <v>×</v>
      </c>
      <c r="J15729" s="4"/>
      <c r="K15729" s="4"/>
      <c r="L15729" s="4"/>
      <c r="M15729" s="7" t="s">
        <v>6871</v>
      </c>
    </row>
    <row r="15730" customFormat="false" ht="15.75" hidden="false" customHeight="false" outlineLevel="0" collapsed="false">
      <c r="A15730" s="6" t="n">
        <f aca="false">DATE(2026,5,10)</f>
        <v>46152</v>
      </c>
      <c r="B15730" s="4" t="s">
        <v>13</v>
      </c>
      <c r="C15730" s="4" t="n">
        <v>7</v>
      </c>
      <c r="D15730" s="4" t="n">
        <v>8</v>
      </c>
      <c r="E15730" s="4" t="s">
        <v>7164</v>
      </c>
      <c r="F15730" s="4" t="n">
        <v>4</v>
      </c>
      <c r="G15730" s="4" t="n">
        <v>14</v>
      </c>
      <c r="H15730" s="4" t="n">
        <v>4</v>
      </c>
      <c r="I15730" s="4" t="str">
        <v>×</v>
      </c>
      <c r="J15730" s="4"/>
      <c r="K15730" s="4"/>
      <c r="L15730" s="4"/>
      <c r="M15730" s="7" t="s">
        <v>6871</v>
      </c>
    </row>
    <row r="15731" customFormat="false" ht="15.75" hidden="false" customHeight="false" outlineLevel="0" collapsed="false">
      <c r="A15731" s="6" t="n">
        <f aca="false">DATE(2026,5,10)</f>
        <v>46152</v>
      </c>
      <c r="B15731" s="4" t="s">
        <v>13</v>
      </c>
      <c r="C15731" s="4" t="n">
        <v>7</v>
      </c>
      <c r="D15731" s="4" t="n">
        <v>4</v>
      </c>
      <c r="E15731" s="4" t="s">
        <v>4936</v>
      </c>
      <c r="F15731" s="4" t="n">
        <v>2</v>
      </c>
      <c r="G15731" s="4" t="n">
        <v>15</v>
      </c>
      <c r="H15731" s="4" t="n">
        <v>4</v>
      </c>
      <c r="I15731" s="4" t="str">
        <v>×</v>
      </c>
      <c r="J15731" s="4"/>
      <c r="K15731" s="4"/>
      <c r="L15731" s="4"/>
      <c r="M15731" s="7" t="s">
        <v>6871</v>
      </c>
    </row>
    <row r="15732" customFormat="false" ht="15.75" hidden="false" customHeight="false" outlineLevel="0" collapsed="false">
      <c r="A15732" s="6" t="n">
        <f aca="false">DATE(2026,5,10)</f>
        <v>46152</v>
      </c>
      <c r="B15732" s="4" t="s">
        <v>13</v>
      </c>
      <c r="C15732" s="4" t="n">
        <v>8</v>
      </c>
      <c r="D15732" s="4" t="n">
        <v>12</v>
      </c>
      <c r="E15732" s="4" t="s">
        <v>5723</v>
      </c>
      <c r="F15732" s="4" t="n">
        <v>65</v>
      </c>
      <c r="G15732" s="4" t="n">
        <v>1</v>
      </c>
      <c r="H15732" s="4" t="n">
        <v>3</v>
      </c>
      <c r="I15732" s="4" t="str">
        <v>○</v>
      </c>
      <c r="J15732" s="4" t="n">
        <v>170</v>
      </c>
      <c r="K15732" s="4"/>
      <c r="L15732" s="4"/>
      <c r="M15732" s="7" t="s">
        <v>6871</v>
      </c>
    </row>
    <row r="15733" customFormat="false" ht="15.75" hidden="false" customHeight="false" outlineLevel="0" collapsed="false">
      <c r="A15733" s="6" t="n">
        <f aca="false">DATE(2026,5,10)</f>
        <v>46152</v>
      </c>
      <c r="B15733" s="4" t="s">
        <v>13</v>
      </c>
      <c r="C15733" s="4" t="n">
        <v>8</v>
      </c>
      <c r="D15733" s="4" t="n">
        <v>1</v>
      </c>
      <c r="E15733" s="4" t="s">
        <v>7165</v>
      </c>
      <c r="F15733" s="4" t="n">
        <v>41</v>
      </c>
      <c r="G15733" s="4" t="n">
        <v>2</v>
      </c>
      <c r="H15733" s="4" t="n">
        <v>4</v>
      </c>
      <c r="I15733" s="4" t="str">
        <v>×</v>
      </c>
      <c r="J15733" s="4"/>
      <c r="K15733" s="4"/>
      <c r="L15733" s="4"/>
      <c r="M15733" s="7" t="s">
        <v>6871</v>
      </c>
    </row>
    <row r="15734" customFormat="false" ht="15.75" hidden="false" customHeight="false" outlineLevel="0" collapsed="false">
      <c r="A15734" s="6" t="n">
        <f aca="false">DATE(2026,5,10)</f>
        <v>46152</v>
      </c>
      <c r="B15734" s="4" t="s">
        <v>13</v>
      </c>
      <c r="C15734" s="4" t="n">
        <v>8</v>
      </c>
      <c r="D15734" s="4" t="n">
        <v>3</v>
      </c>
      <c r="E15734" s="4" t="s">
        <v>1662</v>
      </c>
      <c r="F15734" s="4" t="n">
        <v>37</v>
      </c>
      <c r="G15734" s="4" t="n">
        <v>3</v>
      </c>
      <c r="H15734" s="4" t="n">
        <v>4</v>
      </c>
      <c r="I15734" s="4" t="str">
        <v>×</v>
      </c>
      <c r="J15734" s="4"/>
      <c r="K15734" s="4"/>
      <c r="L15734" s="4"/>
      <c r="M15734" s="7" t="s">
        <v>6871</v>
      </c>
    </row>
    <row r="15735" customFormat="false" ht="15.75" hidden="false" customHeight="false" outlineLevel="0" collapsed="false">
      <c r="A15735" s="6" t="n">
        <f aca="false">DATE(2026,5,10)</f>
        <v>46152</v>
      </c>
      <c r="B15735" s="4" t="s">
        <v>13</v>
      </c>
      <c r="C15735" s="4" t="n">
        <v>8</v>
      </c>
      <c r="D15735" s="4" t="n">
        <v>14</v>
      </c>
      <c r="E15735" s="4" t="s">
        <v>7166</v>
      </c>
      <c r="F15735" s="4" t="n">
        <v>31</v>
      </c>
      <c r="G15735" s="4" t="n">
        <v>4</v>
      </c>
      <c r="H15735" s="4" t="n">
        <v>1</v>
      </c>
      <c r="I15735" s="4" t="str">
        <v>○</v>
      </c>
      <c r="J15735" s="4" t="n">
        <v>250</v>
      </c>
      <c r="K15735" s="4"/>
      <c r="L15735" s="4"/>
      <c r="M15735" s="7" t="s">
        <v>6871</v>
      </c>
    </row>
    <row r="15736" customFormat="false" ht="15.75" hidden="false" customHeight="false" outlineLevel="0" collapsed="false">
      <c r="A15736" s="6" t="n">
        <f aca="false">DATE(2026,5,10)</f>
        <v>46152</v>
      </c>
      <c r="B15736" s="4" t="s">
        <v>13</v>
      </c>
      <c r="C15736" s="4" t="n">
        <v>8</v>
      </c>
      <c r="D15736" s="4" t="n">
        <v>2</v>
      </c>
      <c r="E15736" s="4" t="s">
        <v>7167</v>
      </c>
      <c r="F15736" s="4" t="n">
        <v>29</v>
      </c>
      <c r="G15736" s="4" t="n">
        <v>5</v>
      </c>
      <c r="H15736" s="4" t="n">
        <v>4</v>
      </c>
      <c r="I15736" s="4" t="str">
        <v>×</v>
      </c>
      <c r="J15736" s="4"/>
      <c r="K15736" s="4"/>
      <c r="L15736" s="4"/>
      <c r="M15736" s="7" t="s">
        <v>6871</v>
      </c>
    </row>
    <row r="15737" customFormat="false" ht="15.75" hidden="false" customHeight="false" outlineLevel="0" collapsed="false">
      <c r="A15737" s="6" t="n">
        <f aca="false">DATE(2026,5,10)</f>
        <v>46152</v>
      </c>
      <c r="B15737" s="4" t="s">
        <v>13</v>
      </c>
      <c r="C15737" s="4" t="n">
        <v>8</v>
      </c>
      <c r="D15737" s="4" t="n">
        <v>5</v>
      </c>
      <c r="E15737" s="4" t="s">
        <v>1374</v>
      </c>
      <c r="F15737" s="4" t="n">
        <v>29</v>
      </c>
      <c r="G15737" s="4" t="n">
        <v>6</v>
      </c>
      <c r="H15737" s="4" t="n">
        <v>4</v>
      </c>
      <c r="I15737" s="4" t="str">
        <v>×</v>
      </c>
      <c r="J15737" s="4"/>
      <c r="K15737" s="4"/>
      <c r="L15737" s="4"/>
      <c r="M15737" s="7" t="s">
        <v>6871</v>
      </c>
    </row>
    <row r="15738" customFormat="false" ht="15.75" hidden="false" customHeight="false" outlineLevel="0" collapsed="false">
      <c r="A15738" s="6" t="n">
        <f aca="false">DATE(2026,5,10)</f>
        <v>46152</v>
      </c>
      <c r="B15738" s="4" t="s">
        <v>13</v>
      </c>
      <c r="C15738" s="4" t="n">
        <v>8</v>
      </c>
      <c r="D15738" s="4" t="n">
        <v>9</v>
      </c>
      <c r="E15738" s="4" t="s">
        <v>5570</v>
      </c>
      <c r="F15738" s="4" t="n">
        <v>29</v>
      </c>
      <c r="G15738" s="4" t="n">
        <v>7</v>
      </c>
      <c r="H15738" s="4" t="n">
        <v>2</v>
      </c>
      <c r="I15738" s="4" t="str">
        <v>○</v>
      </c>
      <c r="J15738" s="4" t="n">
        <v>240</v>
      </c>
      <c r="K15738" s="4"/>
      <c r="L15738" s="4"/>
      <c r="M15738" s="7" t="s">
        <v>6871</v>
      </c>
    </row>
    <row r="15739" customFormat="false" ht="15.75" hidden="false" customHeight="false" outlineLevel="0" collapsed="false">
      <c r="A15739" s="6" t="n">
        <f aca="false">DATE(2026,5,10)</f>
        <v>46152</v>
      </c>
      <c r="B15739" s="4" t="s">
        <v>13</v>
      </c>
      <c r="C15739" s="4" t="n">
        <v>8</v>
      </c>
      <c r="D15739" s="4" t="n">
        <v>6</v>
      </c>
      <c r="E15739" s="4" t="s">
        <v>2919</v>
      </c>
      <c r="F15739" s="4" t="n">
        <v>25</v>
      </c>
      <c r="G15739" s="4" t="n">
        <v>8</v>
      </c>
      <c r="H15739" s="4" t="n">
        <v>4</v>
      </c>
      <c r="I15739" s="4" t="str">
        <v>×</v>
      </c>
      <c r="J15739" s="4"/>
      <c r="K15739" s="4"/>
      <c r="L15739" s="4"/>
      <c r="M15739" s="7" t="s">
        <v>6871</v>
      </c>
    </row>
    <row r="15740" customFormat="false" ht="15.75" hidden="false" customHeight="false" outlineLevel="0" collapsed="false">
      <c r="A15740" s="6" t="n">
        <f aca="false">DATE(2026,5,10)</f>
        <v>46152</v>
      </c>
      <c r="B15740" s="4" t="s">
        <v>13</v>
      </c>
      <c r="C15740" s="4" t="n">
        <v>8</v>
      </c>
      <c r="D15740" s="4" t="n">
        <v>4</v>
      </c>
      <c r="E15740" s="4" t="s">
        <v>4082</v>
      </c>
      <c r="F15740" s="4" t="n">
        <v>17</v>
      </c>
      <c r="G15740" s="4" t="n">
        <v>9</v>
      </c>
      <c r="H15740" s="4" t="n">
        <v>4</v>
      </c>
      <c r="I15740" s="4" t="str">
        <v>×</v>
      </c>
      <c r="J15740" s="4"/>
      <c r="K15740" s="4"/>
      <c r="L15740" s="4"/>
      <c r="M15740" s="7" t="s">
        <v>6871</v>
      </c>
    </row>
    <row r="15741" customFormat="false" ht="15.75" hidden="false" customHeight="false" outlineLevel="0" collapsed="false">
      <c r="A15741" s="6" t="n">
        <f aca="false">DATE(2026,5,10)</f>
        <v>46152</v>
      </c>
      <c r="B15741" s="4" t="s">
        <v>13</v>
      </c>
      <c r="C15741" s="4" t="n">
        <v>8</v>
      </c>
      <c r="D15741" s="4" t="n">
        <v>13</v>
      </c>
      <c r="E15741" s="4" t="s">
        <v>3665</v>
      </c>
      <c r="F15741" s="4" t="n">
        <v>15</v>
      </c>
      <c r="G15741" s="4" t="n">
        <v>10</v>
      </c>
      <c r="H15741" s="4" t="n">
        <v>4</v>
      </c>
      <c r="I15741" s="4" t="str">
        <v>×</v>
      </c>
      <c r="J15741" s="4"/>
      <c r="K15741" s="4"/>
      <c r="L15741" s="4"/>
      <c r="M15741" s="7" t="s">
        <v>6871</v>
      </c>
    </row>
    <row r="15742" customFormat="false" ht="15.75" hidden="false" customHeight="false" outlineLevel="0" collapsed="false">
      <c r="A15742" s="6" t="n">
        <f aca="false">DATE(2026,5,10)</f>
        <v>46152</v>
      </c>
      <c r="B15742" s="4" t="s">
        <v>13</v>
      </c>
      <c r="C15742" s="4" t="n">
        <v>8</v>
      </c>
      <c r="D15742" s="4" t="n">
        <v>8</v>
      </c>
      <c r="E15742" s="4" t="s">
        <v>3779</v>
      </c>
      <c r="F15742" s="4" t="n">
        <v>8</v>
      </c>
      <c r="G15742" s="4" t="n">
        <v>11</v>
      </c>
      <c r="H15742" s="4" t="n">
        <v>4</v>
      </c>
      <c r="I15742" s="4" t="str">
        <v>×</v>
      </c>
      <c r="J15742" s="4"/>
      <c r="K15742" s="4"/>
      <c r="L15742" s="4"/>
      <c r="M15742" s="7" t="s">
        <v>6871</v>
      </c>
    </row>
    <row r="15743" customFormat="false" ht="15.75" hidden="false" customHeight="false" outlineLevel="0" collapsed="false">
      <c r="A15743" s="6" t="n">
        <f aca="false">DATE(2026,5,10)</f>
        <v>46152</v>
      </c>
      <c r="B15743" s="4" t="s">
        <v>13</v>
      </c>
      <c r="C15743" s="4" t="n">
        <v>8</v>
      </c>
      <c r="D15743" s="4" t="n">
        <v>10</v>
      </c>
      <c r="E15743" s="4" t="s">
        <v>1645</v>
      </c>
      <c r="F15743" s="4" t="n">
        <v>8</v>
      </c>
      <c r="G15743" s="4" t="n">
        <v>12</v>
      </c>
      <c r="H15743" s="4" t="n">
        <v>4</v>
      </c>
      <c r="I15743" s="4" t="str">
        <v>×</v>
      </c>
      <c r="J15743" s="4"/>
      <c r="K15743" s="4"/>
      <c r="L15743" s="4"/>
      <c r="M15743" s="7" t="s">
        <v>6871</v>
      </c>
    </row>
    <row r="15744" customFormat="false" ht="15.75" hidden="false" customHeight="false" outlineLevel="0" collapsed="false">
      <c r="A15744" s="6" t="n">
        <f aca="false">DATE(2026,5,10)</f>
        <v>46152</v>
      </c>
      <c r="B15744" s="4" t="s">
        <v>13</v>
      </c>
      <c r="C15744" s="4" t="n">
        <v>8</v>
      </c>
      <c r="D15744" s="4" t="n">
        <v>11</v>
      </c>
      <c r="E15744" s="4" t="s">
        <v>4445</v>
      </c>
      <c r="F15744" s="4" t="n">
        <v>6</v>
      </c>
      <c r="G15744" s="4" t="n">
        <v>13</v>
      </c>
      <c r="H15744" s="4" t="n">
        <v>4</v>
      </c>
      <c r="I15744" s="4" t="str">
        <v>×</v>
      </c>
      <c r="J15744" s="4"/>
      <c r="K15744" s="4"/>
      <c r="L15744" s="4"/>
      <c r="M15744" s="7" t="s">
        <v>6871</v>
      </c>
    </row>
    <row r="15745" customFormat="false" ht="15.75" hidden="false" customHeight="false" outlineLevel="0" collapsed="false">
      <c r="A15745" s="6" t="n">
        <f aca="false">DATE(2026,5,10)</f>
        <v>46152</v>
      </c>
      <c r="B15745" s="4" t="s">
        <v>13</v>
      </c>
      <c r="C15745" s="4" t="n">
        <v>8</v>
      </c>
      <c r="D15745" s="4" t="n">
        <v>7</v>
      </c>
      <c r="E15745" s="4" t="s">
        <v>2800</v>
      </c>
      <c r="F15745" s="4" t="n">
        <v>1</v>
      </c>
      <c r="G15745" s="4" t="n">
        <v>14</v>
      </c>
      <c r="H15745" s="4" t="n">
        <v>4</v>
      </c>
      <c r="I15745" s="4" t="str">
        <v>×</v>
      </c>
      <c r="J15745" s="4"/>
      <c r="K15745" s="4"/>
      <c r="L15745" s="4"/>
      <c r="M15745" s="7" t="s">
        <v>6871</v>
      </c>
    </row>
    <row r="15746" customFormat="false" ht="15.75" hidden="false" customHeight="false" outlineLevel="0" collapsed="false">
      <c r="A15746" s="6" t="n">
        <f aca="false">DATE(2026,5,10)</f>
        <v>46152</v>
      </c>
      <c r="B15746" s="4" t="s">
        <v>13</v>
      </c>
      <c r="C15746" s="4" t="n">
        <v>8</v>
      </c>
      <c r="D15746" s="4" t="n">
        <v>15</v>
      </c>
      <c r="E15746" s="4" t="s">
        <v>7168</v>
      </c>
      <c r="F15746" s="4" t="n">
        <v>1</v>
      </c>
      <c r="G15746" s="4" t="n">
        <v>15</v>
      </c>
      <c r="H15746" s="4" t="n">
        <v>4</v>
      </c>
      <c r="I15746" s="4" t="str">
        <v>×</v>
      </c>
      <c r="J15746" s="4"/>
      <c r="K15746" s="4"/>
      <c r="L15746" s="4"/>
      <c r="M15746" s="7" t="s">
        <v>6871</v>
      </c>
    </row>
    <row r="15747" customFormat="false" ht="15.75" hidden="false" customHeight="false" outlineLevel="0" collapsed="false">
      <c r="A15747" s="6" t="n">
        <f aca="false">DATE(2026,5,10)</f>
        <v>46152</v>
      </c>
      <c r="B15747" s="4" t="s">
        <v>13</v>
      </c>
      <c r="C15747" s="4" t="n">
        <v>9</v>
      </c>
      <c r="D15747" s="4" t="n">
        <v>12</v>
      </c>
      <c r="E15747" s="4" t="s">
        <v>1971</v>
      </c>
      <c r="F15747" s="4" t="n">
        <v>56</v>
      </c>
      <c r="G15747" s="4" t="n">
        <v>1</v>
      </c>
      <c r="H15747" s="4" t="n">
        <v>1</v>
      </c>
      <c r="I15747" s="4" t="str">
        <v>○</v>
      </c>
      <c r="J15747" s="4" t="n">
        <v>210</v>
      </c>
      <c r="K15747" s="4"/>
      <c r="L15747" s="4"/>
      <c r="M15747" s="7" t="s">
        <v>6871</v>
      </c>
    </row>
    <row r="15748" customFormat="false" ht="15.75" hidden="false" customHeight="false" outlineLevel="0" collapsed="false">
      <c r="A15748" s="6" t="n">
        <f aca="false">DATE(2026,5,10)</f>
        <v>46152</v>
      </c>
      <c r="B15748" s="4" t="s">
        <v>13</v>
      </c>
      <c r="C15748" s="4" t="n">
        <v>9</v>
      </c>
      <c r="D15748" s="4" t="n">
        <v>10</v>
      </c>
      <c r="E15748" s="4" t="s">
        <v>115</v>
      </c>
      <c r="F15748" s="4" t="n">
        <v>47</v>
      </c>
      <c r="G15748" s="4" t="n">
        <v>2</v>
      </c>
      <c r="H15748" s="4" t="n">
        <v>4</v>
      </c>
      <c r="I15748" s="4" t="str">
        <v>×</v>
      </c>
      <c r="J15748" s="4"/>
      <c r="K15748" s="4"/>
      <c r="L15748" s="4"/>
      <c r="M15748" s="7" t="s">
        <v>6871</v>
      </c>
    </row>
    <row r="15749" customFormat="false" ht="15.75" hidden="false" customHeight="false" outlineLevel="0" collapsed="false">
      <c r="A15749" s="6" t="n">
        <f aca="false">DATE(2026,5,10)</f>
        <v>46152</v>
      </c>
      <c r="B15749" s="4" t="s">
        <v>13</v>
      </c>
      <c r="C15749" s="4" t="n">
        <v>9</v>
      </c>
      <c r="D15749" s="4" t="n">
        <v>3</v>
      </c>
      <c r="E15749" s="4" t="s">
        <v>2130</v>
      </c>
      <c r="F15749" s="4" t="n">
        <v>37</v>
      </c>
      <c r="G15749" s="4" t="n">
        <v>3</v>
      </c>
      <c r="H15749" s="4" t="n">
        <v>4</v>
      </c>
      <c r="I15749" s="4" t="str">
        <v>×</v>
      </c>
      <c r="J15749" s="4"/>
      <c r="K15749" s="4"/>
      <c r="L15749" s="4"/>
      <c r="M15749" s="7" t="s">
        <v>6871</v>
      </c>
    </row>
    <row r="15750" customFormat="false" ht="15.75" hidden="false" customHeight="false" outlineLevel="0" collapsed="false">
      <c r="A15750" s="6" t="n">
        <f aca="false">DATE(2026,5,10)</f>
        <v>46152</v>
      </c>
      <c r="B15750" s="4" t="s">
        <v>13</v>
      </c>
      <c r="C15750" s="4" t="n">
        <v>9</v>
      </c>
      <c r="D15750" s="4" t="n">
        <v>8</v>
      </c>
      <c r="E15750" s="4" t="s">
        <v>1483</v>
      </c>
      <c r="F15750" s="4" t="n">
        <v>29</v>
      </c>
      <c r="G15750" s="4" t="n">
        <v>4</v>
      </c>
      <c r="H15750" s="4" t="n">
        <v>4</v>
      </c>
      <c r="I15750" s="4" t="str">
        <v>×</v>
      </c>
      <c r="J15750" s="4"/>
      <c r="K15750" s="4"/>
      <c r="L15750" s="4"/>
      <c r="M15750" s="7" t="s">
        <v>6871</v>
      </c>
    </row>
    <row r="15751" customFormat="false" ht="15.75" hidden="false" customHeight="false" outlineLevel="0" collapsed="false">
      <c r="A15751" s="6" t="n">
        <f aca="false">DATE(2026,5,10)</f>
        <v>46152</v>
      </c>
      <c r="B15751" s="4" t="s">
        <v>13</v>
      </c>
      <c r="C15751" s="4" t="n">
        <v>9</v>
      </c>
      <c r="D15751" s="4" t="n">
        <v>7</v>
      </c>
      <c r="E15751" s="4" t="s">
        <v>7169</v>
      </c>
      <c r="F15751" s="4" t="n">
        <v>20</v>
      </c>
      <c r="G15751" s="4" t="n">
        <v>5</v>
      </c>
      <c r="H15751" s="4" t="n">
        <v>4</v>
      </c>
      <c r="I15751" s="4" t="str">
        <v>×</v>
      </c>
      <c r="J15751" s="4"/>
      <c r="K15751" s="4"/>
      <c r="L15751" s="4"/>
      <c r="M15751" s="7" t="s">
        <v>6871</v>
      </c>
    </row>
    <row r="15752" customFormat="false" ht="15.75" hidden="false" customHeight="false" outlineLevel="0" collapsed="false">
      <c r="A15752" s="6" t="n">
        <f aca="false">DATE(2026,5,10)</f>
        <v>46152</v>
      </c>
      <c r="B15752" s="4" t="s">
        <v>13</v>
      </c>
      <c r="C15752" s="4" t="n">
        <v>9</v>
      </c>
      <c r="D15752" s="4" t="n">
        <v>5</v>
      </c>
      <c r="E15752" s="4" t="s">
        <v>2123</v>
      </c>
      <c r="F15752" s="4" t="n">
        <v>17</v>
      </c>
      <c r="G15752" s="4" t="n">
        <v>6</v>
      </c>
      <c r="H15752" s="4" t="n">
        <v>3</v>
      </c>
      <c r="I15752" s="4" t="str">
        <v>○</v>
      </c>
      <c r="J15752" s="4" t="n">
        <v>390</v>
      </c>
      <c r="K15752" s="4"/>
      <c r="L15752" s="4"/>
      <c r="M15752" s="7" t="s">
        <v>6871</v>
      </c>
    </row>
    <row r="15753" customFormat="false" ht="15.75" hidden="false" customHeight="false" outlineLevel="0" collapsed="false">
      <c r="A15753" s="6" t="n">
        <f aca="false">DATE(2026,5,10)</f>
        <v>46152</v>
      </c>
      <c r="B15753" s="4" t="s">
        <v>13</v>
      </c>
      <c r="C15753" s="4" t="n">
        <v>9</v>
      </c>
      <c r="D15753" s="4" t="n">
        <v>6</v>
      </c>
      <c r="E15753" s="4" t="s">
        <v>110</v>
      </c>
      <c r="F15753" s="4" t="n">
        <v>17</v>
      </c>
      <c r="G15753" s="4" t="n">
        <v>7</v>
      </c>
      <c r="H15753" s="4" t="n">
        <v>4</v>
      </c>
      <c r="I15753" s="4" t="str">
        <v>×</v>
      </c>
      <c r="J15753" s="4"/>
      <c r="K15753" s="4"/>
      <c r="L15753" s="4"/>
      <c r="M15753" s="7" t="s">
        <v>6871</v>
      </c>
    </row>
    <row r="15754" customFormat="false" ht="15.75" hidden="false" customHeight="false" outlineLevel="0" collapsed="false">
      <c r="A15754" s="6" t="n">
        <f aca="false">DATE(2026,5,10)</f>
        <v>46152</v>
      </c>
      <c r="B15754" s="4" t="s">
        <v>13</v>
      </c>
      <c r="C15754" s="4" t="n">
        <v>9</v>
      </c>
      <c r="D15754" s="4" t="n">
        <v>9</v>
      </c>
      <c r="E15754" s="4" t="s">
        <v>2775</v>
      </c>
      <c r="F15754" s="4" t="n">
        <v>17</v>
      </c>
      <c r="G15754" s="4" t="n">
        <v>8</v>
      </c>
      <c r="H15754" s="4" t="n">
        <v>4</v>
      </c>
      <c r="I15754" s="4" t="str">
        <v>×</v>
      </c>
      <c r="J15754" s="4"/>
      <c r="K15754" s="4"/>
      <c r="L15754" s="4"/>
      <c r="M15754" s="7" t="s">
        <v>6871</v>
      </c>
    </row>
    <row r="15755" customFormat="false" ht="15.75" hidden="false" customHeight="false" outlineLevel="0" collapsed="false">
      <c r="A15755" s="6" t="n">
        <f aca="false">DATE(2026,5,10)</f>
        <v>46152</v>
      </c>
      <c r="B15755" s="4" t="s">
        <v>13</v>
      </c>
      <c r="C15755" s="4" t="n">
        <v>9</v>
      </c>
      <c r="D15755" s="4" t="n">
        <v>14</v>
      </c>
      <c r="E15755" s="4" t="s">
        <v>3373</v>
      </c>
      <c r="F15755" s="4" t="n">
        <v>17</v>
      </c>
      <c r="G15755" s="4" t="n">
        <v>9</v>
      </c>
      <c r="H15755" s="4" t="n">
        <v>2</v>
      </c>
      <c r="I15755" s="4" t="str">
        <v>○</v>
      </c>
      <c r="J15755" s="4" t="n">
        <v>340</v>
      </c>
      <c r="K15755" s="4"/>
      <c r="L15755" s="4"/>
      <c r="M15755" s="7" t="s">
        <v>6871</v>
      </c>
    </row>
    <row r="15756" customFormat="false" ht="15.75" hidden="false" customHeight="false" outlineLevel="0" collapsed="false">
      <c r="A15756" s="6" t="n">
        <f aca="false">DATE(2026,5,10)</f>
        <v>46152</v>
      </c>
      <c r="B15756" s="4" t="s">
        <v>13</v>
      </c>
      <c r="C15756" s="4" t="n">
        <v>9</v>
      </c>
      <c r="D15756" s="4" t="n">
        <v>4</v>
      </c>
      <c r="E15756" s="4" t="s">
        <v>4535</v>
      </c>
      <c r="F15756" s="4" t="n">
        <v>13</v>
      </c>
      <c r="G15756" s="4" t="n">
        <v>10</v>
      </c>
      <c r="H15756" s="4" t="n">
        <v>4</v>
      </c>
      <c r="I15756" s="4" t="str">
        <v>×</v>
      </c>
      <c r="J15756" s="4"/>
      <c r="K15756" s="4"/>
      <c r="L15756" s="4"/>
      <c r="M15756" s="7" t="s">
        <v>6871</v>
      </c>
    </row>
    <row r="15757" customFormat="false" ht="15.75" hidden="false" customHeight="false" outlineLevel="0" collapsed="false">
      <c r="A15757" s="6" t="n">
        <f aca="false">DATE(2026,5,10)</f>
        <v>46152</v>
      </c>
      <c r="B15757" s="4" t="s">
        <v>13</v>
      </c>
      <c r="C15757" s="4" t="n">
        <v>9</v>
      </c>
      <c r="D15757" s="4" t="n">
        <v>11</v>
      </c>
      <c r="E15757" s="4" t="s">
        <v>6425</v>
      </c>
      <c r="F15757" s="4" t="n">
        <v>13</v>
      </c>
      <c r="G15757" s="4" t="n">
        <v>11</v>
      </c>
      <c r="H15757" s="4" t="n">
        <v>4</v>
      </c>
      <c r="I15757" s="4" t="str">
        <v>×</v>
      </c>
      <c r="J15757" s="4"/>
      <c r="K15757" s="4"/>
      <c r="L15757" s="4"/>
      <c r="M15757" s="7" t="s">
        <v>6871</v>
      </c>
    </row>
    <row r="15758" customFormat="false" ht="15.75" hidden="false" customHeight="false" outlineLevel="0" collapsed="false">
      <c r="A15758" s="6" t="n">
        <f aca="false">DATE(2026,5,10)</f>
        <v>46152</v>
      </c>
      <c r="B15758" s="4" t="s">
        <v>13</v>
      </c>
      <c r="C15758" s="4" t="n">
        <v>9</v>
      </c>
      <c r="D15758" s="4" t="n">
        <v>13</v>
      </c>
      <c r="E15758" s="4" t="s">
        <v>4537</v>
      </c>
      <c r="F15758" s="4" t="n">
        <v>10</v>
      </c>
      <c r="G15758" s="4" t="n">
        <v>12</v>
      </c>
      <c r="H15758" s="4" t="n">
        <v>4</v>
      </c>
      <c r="I15758" s="4" t="str">
        <v>×</v>
      </c>
      <c r="J15758" s="4"/>
      <c r="K15758" s="4"/>
      <c r="L15758" s="4"/>
      <c r="M15758" s="7" t="s">
        <v>6871</v>
      </c>
    </row>
    <row r="15759" customFormat="false" ht="15.75" hidden="false" customHeight="false" outlineLevel="0" collapsed="false">
      <c r="A15759" s="6" t="n">
        <f aca="false">DATE(2026,5,10)</f>
        <v>46152</v>
      </c>
      <c r="B15759" s="4" t="s">
        <v>13</v>
      </c>
      <c r="C15759" s="4" t="n">
        <v>9</v>
      </c>
      <c r="D15759" s="4" t="n">
        <v>2</v>
      </c>
      <c r="E15759" s="4" t="s">
        <v>3380</v>
      </c>
      <c r="F15759" s="4" t="n">
        <v>6</v>
      </c>
      <c r="G15759" s="4" t="n">
        <v>13</v>
      </c>
      <c r="H15759" s="4" t="n">
        <v>4</v>
      </c>
      <c r="I15759" s="4" t="str">
        <v>×</v>
      </c>
      <c r="J15759" s="4"/>
      <c r="K15759" s="4"/>
      <c r="L15759" s="4"/>
      <c r="M15759" s="7" t="s">
        <v>6871</v>
      </c>
    </row>
    <row r="15760" customFormat="false" ht="15.75" hidden="false" customHeight="false" outlineLevel="0" collapsed="false">
      <c r="A15760" s="6" t="n">
        <f aca="false">DATE(2026,5,10)</f>
        <v>46152</v>
      </c>
      <c r="B15760" s="4" t="s">
        <v>13</v>
      </c>
      <c r="C15760" s="4" t="n">
        <v>9</v>
      </c>
      <c r="D15760" s="4" t="n">
        <v>1</v>
      </c>
      <c r="E15760" s="4" t="s">
        <v>7170</v>
      </c>
      <c r="F15760" s="4" t="n">
        <v>2</v>
      </c>
      <c r="G15760" s="4" t="n">
        <v>14</v>
      </c>
      <c r="H15760" s="4" t="n">
        <v>4</v>
      </c>
      <c r="I15760" s="4" t="str">
        <v>×</v>
      </c>
      <c r="J15760" s="4"/>
      <c r="K15760" s="4"/>
      <c r="L15760" s="4"/>
      <c r="M15760" s="7" t="s">
        <v>6871</v>
      </c>
    </row>
    <row r="15761" customFormat="false" ht="15.75" hidden="false" customHeight="false" outlineLevel="0" collapsed="false">
      <c r="A15761" s="6" t="n">
        <f aca="false">DATE(2026,5,10)</f>
        <v>46152</v>
      </c>
      <c r="B15761" s="4" t="s">
        <v>13</v>
      </c>
      <c r="C15761" s="4" t="n">
        <v>10</v>
      </c>
      <c r="D15761" s="4" t="n">
        <v>5</v>
      </c>
      <c r="E15761" s="4" t="s">
        <v>4952</v>
      </c>
      <c r="F15761" s="4" t="n">
        <v>65</v>
      </c>
      <c r="G15761" s="4" t="n">
        <v>1</v>
      </c>
      <c r="H15761" s="4" t="n">
        <v>4</v>
      </c>
      <c r="I15761" s="4" t="str">
        <v>×</v>
      </c>
      <c r="J15761" s="4"/>
      <c r="K15761" s="4"/>
      <c r="L15761" s="4"/>
      <c r="M15761" s="7" t="s">
        <v>6871</v>
      </c>
    </row>
    <row r="15762" customFormat="false" ht="15.75" hidden="false" customHeight="false" outlineLevel="0" collapsed="false">
      <c r="A15762" s="6" t="n">
        <f aca="false">DATE(2026,5,10)</f>
        <v>46152</v>
      </c>
      <c r="B15762" s="4" t="s">
        <v>13</v>
      </c>
      <c r="C15762" s="4" t="n">
        <v>10</v>
      </c>
      <c r="D15762" s="4" t="n">
        <v>3</v>
      </c>
      <c r="E15762" s="4" t="s">
        <v>4040</v>
      </c>
      <c r="F15762" s="4" t="n">
        <v>47</v>
      </c>
      <c r="G15762" s="4" t="n">
        <v>2</v>
      </c>
      <c r="H15762" s="4" t="n">
        <v>2</v>
      </c>
      <c r="I15762" s="4" t="str">
        <v>○</v>
      </c>
      <c r="J15762" s="4" t="n">
        <v>220</v>
      </c>
      <c r="K15762" s="4"/>
      <c r="L15762" s="4"/>
      <c r="M15762" s="7" t="s">
        <v>6871</v>
      </c>
    </row>
    <row r="15763" customFormat="false" ht="15.75" hidden="false" customHeight="false" outlineLevel="0" collapsed="false">
      <c r="A15763" s="6" t="n">
        <f aca="false">DATE(2026,5,10)</f>
        <v>46152</v>
      </c>
      <c r="B15763" s="4" t="s">
        <v>13</v>
      </c>
      <c r="C15763" s="4" t="n">
        <v>10</v>
      </c>
      <c r="D15763" s="4" t="n">
        <v>11</v>
      </c>
      <c r="E15763" s="4" t="s">
        <v>5965</v>
      </c>
      <c r="F15763" s="4" t="n">
        <v>31</v>
      </c>
      <c r="G15763" s="4" t="n">
        <v>3</v>
      </c>
      <c r="H15763" s="4" t="n">
        <v>1</v>
      </c>
      <c r="I15763" s="4" t="str">
        <v>○</v>
      </c>
      <c r="J15763" s="4" t="n">
        <v>220</v>
      </c>
      <c r="K15763" s="4"/>
      <c r="L15763" s="4"/>
      <c r="M15763" s="7" t="s">
        <v>6871</v>
      </c>
    </row>
    <row r="15764" customFormat="false" ht="15.75" hidden="false" customHeight="false" outlineLevel="0" collapsed="false">
      <c r="A15764" s="6" t="n">
        <f aca="false">DATE(2026,5,10)</f>
        <v>46152</v>
      </c>
      <c r="B15764" s="4" t="s">
        <v>13</v>
      </c>
      <c r="C15764" s="4" t="n">
        <v>10</v>
      </c>
      <c r="D15764" s="4" t="n">
        <v>7</v>
      </c>
      <c r="E15764" s="4" t="s">
        <v>5229</v>
      </c>
      <c r="F15764" s="4" t="n">
        <v>23</v>
      </c>
      <c r="G15764" s="4" t="n">
        <v>4</v>
      </c>
      <c r="H15764" s="4" t="n">
        <v>4</v>
      </c>
      <c r="I15764" s="4" t="str">
        <v>×</v>
      </c>
      <c r="J15764" s="4"/>
      <c r="K15764" s="4"/>
      <c r="L15764" s="4"/>
      <c r="M15764" s="7" t="s">
        <v>6871</v>
      </c>
    </row>
    <row r="15765" customFormat="false" ht="15.75" hidden="false" customHeight="false" outlineLevel="0" collapsed="false">
      <c r="A15765" s="6" t="n">
        <f aca="false">DATE(2026,5,10)</f>
        <v>46152</v>
      </c>
      <c r="B15765" s="4" t="s">
        <v>13</v>
      </c>
      <c r="C15765" s="4" t="n">
        <v>10</v>
      </c>
      <c r="D15765" s="4" t="n">
        <v>9</v>
      </c>
      <c r="E15765" s="4" t="s">
        <v>3479</v>
      </c>
      <c r="F15765" s="4" t="n">
        <v>23</v>
      </c>
      <c r="G15765" s="4" t="n">
        <v>5</v>
      </c>
      <c r="H15765" s="4" t="n">
        <v>4</v>
      </c>
      <c r="I15765" s="4" t="str">
        <v>×</v>
      </c>
      <c r="J15765" s="4"/>
      <c r="K15765" s="4"/>
      <c r="L15765" s="4"/>
      <c r="M15765" s="7" t="s">
        <v>6871</v>
      </c>
    </row>
    <row r="15766" customFormat="false" ht="15.75" hidden="false" customHeight="false" outlineLevel="0" collapsed="false">
      <c r="A15766" s="6" t="n">
        <f aca="false">DATE(2026,5,10)</f>
        <v>46152</v>
      </c>
      <c r="B15766" s="4" t="s">
        <v>13</v>
      </c>
      <c r="C15766" s="4" t="n">
        <v>10</v>
      </c>
      <c r="D15766" s="4" t="n">
        <v>10</v>
      </c>
      <c r="E15766" s="4" t="s">
        <v>6813</v>
      </c>
      <c r="F15766" s="4" t="n">
        <v>17</v>
      </c>
      <c r="G15766" s="4" t="n">
        <v>6</v>
      </c>
      <c r="H15766" s="4" t="n">
        <v>4</v>
      </c>
      <c r="I15766" s="4" t="str">
        <v>×</v>
      </c>
      <c r="J15766" s="4"/>
      <c r="K15766" s="4"/>
      <c r="L15766" s="4"/>
      <c r="M15766" s="7" t="s">
        <v>6871</v>
      </c>
    </row>
    <row r="15767" customFormat="false" ht="15.75" hidden="false" customHeight="false" outlineLevel="0" collapsed="false">
      <c r="A15767" s="6" t="n">
        <f aca="false">DATE(2026,5,10)</f>
        <v>46152</v>
      </c>
      <c r="B15767" s="4" t="s">
        <v>13</v>
      </c>
      <c r="C15767" s="4" t="n">
        <v>10</v>
      </c>
      <c r="D15767" s="4" t="n">
        <v>14</v>
      </c>
      <c r="E15767" s="4" t="s">
        <v>4225</v>
      </c>
      <c r="F15767" s="4" t="n">
        <v>15</v>
      </c>
      <c r="G15767" s="4" t="n">
        <v>7</v>
      </c>
      <c r="H15767" s="4" t="n">
        <v>4</v>
      </c>
      <c r="I15767" s="4" t="str">
        <v>×</v>
      </c>
      <c r="J15767" s="4"/>
      <c r="K15767" s="4"/>
      <c r="L15767" s="4"/>
      <c r="M15767" s="7" t="s">
        <v>6871</v>
      </c>
    </row>
    <row r="15768" customFormat="false" ht="15.75" hidden="false" customHeight="false" outlineLevel="0" collapsed="false">
      <c r="A15768" s="6" t="n">
        <f aca="false">DATE(2026,5,10)</f>
        <v>46152</v>
      </c>
      <c r="B15768" s="4" t="s">
        <v>13</v>
      </c>
      <c r="C15768" s="4" t="n">
        <v>10</v>
      </c>
      <c r="D15768" s="4" t="n">
        <v>2</v>
      </c>
      <c r="E15768" s="4" t="s">
        <v>5232</v>
      </c>
      <c r="F15768" s="4" t="n">
        <v>13</v>
      </c>
      <c r="G15768" s="4" t="n">
        <v>8</v>
      </c>
      <c r="H15768" s="4" t="n">
        <v>4</v>
      </c>
      <c r="I15768" s="4" t="str">
        <v>×</v>
      </c>
      <c r="J15768" s="4"/>
      <c r="K15768" s="4"/>
      <c r="L15768" s="4"/>
      <c r="M15768" s="7" t="s">
        <v>6871</v>
      </c>
    </row>
    <row r="15769" customFormat="false" ht="15.75" hidden="false" customHeight="false" outlineLevel="0" collapsed="false">
      <c r="A15769" s="6" t="n">
        <f aca="false">DATE(2026,5,10)</f>
        <v>46152</v>
      </c>
      <c r="B15769" s="4" t="s">
        <v>13</v>
      </c>
      <c r="C15769" s="4" t="n">
        <v>10</v>
      </c>
      <c r="D15769" s="4" t="n">
        <v>6</v>
      </c>
      <c r="E15769" s="4" t="s">
        <v>573</v>
      </c>
      <c r="F15769" s="4" t="n">
        <v>13</v>
      </c>
      <c r="G15769" s="4" t="n">
        <v>9</v>
      </c>
      <c r="H15769" s="4" t="n">
        <v>3</v>
      </c>
      <c r="I15769" s="4" t="str">
        <v>○</v>
      </c>
      <c r="J15769" s="4" t="n">
        <v>460</v>
      </c>
      <c r="K15769" s="4"/>
      <c r="L15769" s="4"/>
      <c r="M15769" s="7" t="s">
        <v>6871</v>
      </c>
    </row>
    <row r="15770" customFormat="false" ht="15.75" hidden="false" customHeight="false" outlineLevel="0" collapsed="false">
      <c r="A15770" s="6" t="n">
        <f aca="false">DATE(2026,5,10)</f>
        <v>46152</v>
      </c>
      <c r="B15770" s="4" t="s">
        <v>13</v>
      </c>
      <c r="C15770" s="4" t="n">
        <v>10</v>
      </c>
      <c r="D15770" s="4" t="n">
        <v>4</v>
      </c>
      <c r="E15770" s="4" t="s">
        <v>7171</v>
      </c>
      <c r="F15770" s="4" t="n">
        <v>10</v>
      </c>
      <c r="G15770" s="4" t="n">
        <v>10</v>
      </c>
      <c r="H15770" s="4" t="n">
        <v>4</v>
      </c>
      <c r="I15770" s="4" t="str">
        <v>×</v>
      </c>
      <c r="J15770" s="4"/>
      <c r="K15770" s="4"/>
      <c r="L15770" s="4"/>
      <c r="M15770" s="7" t="s">
        <v>6871</v>
      </c>
    </row>
    <row r="15771" customFormat="false" ht="15.75" hidden="false" customHeight="false" outlineLevel="0" collapsed="false">
      <c r="A15771" s="6" t="n">
        <f aca="false">DATE(2026,5,10)</f>
        <v>46152</v>
      </c>
      <c r="B15771" s="4" t="s">
        <v>13</v>
      </c>
      <c r="C15771" s="4" t="n">
        <v>10</v>
      </c>
      <c r="D15771" s="4" t="n">
        <v>12</v>
      </c>
      <c r="E15771" s="4" t="s">
        <v>7172</v>
      </c>
      <c r="F15771" s="4" t="n">
        <v>8</v>
      </c>
      <c r="G15771" s="4" t="n">
        <v>11</v>
      </c>
      <c r="H15771" s="4" t="n">
        <v>4</v>
      </c>
      <c r="I15771" s="4" t="str">
        <v>×</v>
      </c>
      <c r="J15771" s="4"/>
      <c r="K15771" s="4"/>
      <c r="L15771" s="4"/>
      <c r="M15771" s="7" t="s">
        <v>6871</v>
      </c>
    </row>
    <row r="15772" customFormat="false" ht="15.75" hidden="false" customHeight="false" outlineLevel="0" collapsed="false">
      <c r="A15772" s="6" t="n">
        <f aca="false">DATE(2026,5,10)</f>
        <v>46152</v>
      </c>
      <c r="B15772" s="4" t="s">
        <v>13</v>
      </c>
      <c r="C15772" s="4" t="n">
        <v>10</v>
      </c>
      <c r="D15772" s="4" t="n">
        <v>13</v>
      </c>
      <c r="E15772" s="4" t="s">
        <v>7173</v>
      </c>
      <c r="F15772" s="4" t="n">
        <v>8</v>
      </c>
      <c r="G15772" s="4" t="n">
        <v>12</v>
      </c>
      <c r="H15772" s="4" t="n">
        <v>4</v>
      </c>
      <c r="I15772" s="4" t="str">
        <v>×</v>
      </c>
      <c r="J15772" s="4"/>
      <c r="K15772" s="4"/>
      <c r="L15772" s="4"/>
      <c r="M15772" s="7" t="s">
        <v>6871</v>
      </c>
    </row>
    <row r="15773" customFormat="false" ht="15.75" hidden="false" customHeight="false" outlineLevel="0" collapsed="false">
      <c r="A15773" s="6" t="n">
        <f aca="false">DATE(2026,5,10)</f>
        <v>46152</v>
      </c>
      <c r="B15773" s="4" t="s">
        <v>13</v>
      </c>
      <c r="C15773" s="4" t="n">
        <v>10</v>
      </c>
      <c r="D15773" s="4" t="n">
        <v>1</v>
      </c>
      <c r="E15773" s="4" t="s">
        <v>4653</v>
      </c>
      <c r="F15773" s="4" t="n">
        <v>6</v>
      </c>
      <c r="G15773" s="4" t="n">
        <v>13</v>
      </c>
      <c r="H15773" s="4" t="n">
        <v>4</v>
      </c>
      <c r="I15773" s="4" t="str">
        <v>×</v>
      </c>
      <c r="J15773" s="4"/>
      <c r="K15773" s="4"/>
      <c r="L15773" s="4"/>
      <c r="M15773" s="7" t="s">
        <v>6871</v>
      </c>
    </row>
    <row r="15774" customFormat="false" ht="15.75" hidden="false" customHeight="false" outlineLevel="0" collapsed="false">
      <c r="A15774" s="6" t="n">
        <f aca="false">DATE(2026,5,10)</f>
        <v>46152</v>
      </c>
      <c r="B15774" s="4" t="s">
        <v>13</v>
      </c>
      <c r="C15774" s="4" t="n">
        <v>10</v>
      </c>
      <c r="D15774" s="4" t="n">
        <v>8</v>
      </c>
      <c r="E15774" s="4" t="s">
        <v>7174</v>
      </c>
      <c r="F15774" s="4" t="n">
        <v>3</v>
      </c>
      <c r="G15774" s="4" t="n">
        <v>14</v>
      </c>
      <c r="H15774" s="4" t="n">
        <v>4</v>
      </c>
      <c r="I15774" s="4" t="str">
        <v>×</v>
      </c>
      <c r="J15774" s="4"/>
      <c r="K15774" s="4"/>
      <c r="L15774" s="4"/>
      <c r="M15774" s="7" t="s">
        <v>6871</v>
      </c>
    </row>
    <row r="15775" customFormat="false" ht="15.75" hidden="false" customHeight="false" outlineLevel="0" collapsed="false">
      <c r="A15775" s="6" t="n">
        <f aca="false">DATE(2026,5,10)</f>
        <v>46152</v>
      </c>
      <c r="B15775" s="4" t="s">
        <v>13</v>
      </c>
      <c r="C15775" s="4" t="n">
        <v>11</v>
      </c>
      <c r="D15775" s="4" t="n">
        <v>11</v>
      </c>
      <c r="E15775" s="4" t="s">
        <v>554</v>
      </c>
      <c r="F15775" s="4" t="n">
        <v>62</v>
      </c>
      <c r="G15775" s="4" t="n">
        <v>1</v>
      </c>
      <c r="H15775" s="4" t="n">
        <v>4</v>
      </c>
      <c r="I15775" s="4" t="str">
        <v>×</v>
      </c>
      <c r="J15775" s="4"/>
      <c r="K15775" s="4"/>
      <c r="L15775" s="4"/>
      <c r="M15775" s="7" t="s">
        <v>6871</v>
      </c>
    </row>
    <row r="15776" customFormat="false" ht="15.75" hidden="false" customHeight="false" outlineLevel="0" collapsed="false">
      <c r="A15776" s="6" t="n">
        <f aca="false">DATE(2026,5,10)</f>
        <v>46152</v>
      </c>
      <c r="B15776" s="4" t="s">
        <v>13</v>
      </c>
      <c r="C15776" s="4" t="n">
        <v>11</v>
      </c>
      <c r="D15776" s="4" t="n">
        <v>5</v>
      </c>
      <c r="E15776" s="4" t="s">
        <v>5214</v>
      </c>
      <c r="F15776" s="4" t="n">
        <v>34</v>
      </c>
      <c r="G15776" s="4" t="n">
        <v>2</v>
      </c>
      <c r="H15776" s="4" t="n">
        <v>4</v>
      </c>
      <c r="I15776" s="4" t="str">
        <v>×</v>
      </c>
      <c r="J15776" s="4"/>
      <c r="K15776" s="4"/>
      <c r="L15776" s="4"/>
      <c r="M15776" s="7" t="s">
        <v>6871</v>
      </c>
    </row>
    <row r="15777" customFormat="false" ht="15.75" hidden="false" customHeight="false" outlineLevel="0" collapsed="false">
      <c r="A15777" s="6" t="n">
        <f aca="false">DATE(2026,5,10)</f>
        <v>46152</v>
      </c>
      <c r="B15777" s="4" t="s">
        <v>13</v>
      </c>
      <c r="C15777" s="4" t="n">
        <v>11</v>
      </c>
      <c r="D15777" s="4" t="n">
        <v>6</v>
      </c>
      <c r="E15777" s="4" t="s">
        <v>5220</v>
      </c>
      <c r="F15777" s="4" t="n">
        <v>34</v>
      </c>
      <c r="G15777" s="4" t="n">
        <v>3</v>
      </c>
      <c r="H15777" s="4" t="n">
        <v>4</v>
      </c>
      <c r="I15777" s="4" t="str">
        <v>×</v>
      </c>
      <c r="J15777" s="4"/>
      <c r="K15777" s="4"/>
      <c r="L15777" s="4"/>
      <c r="M15777" s="7" t="s">
        <v>6871</v>
      </c>
    </row>
    <row r="15778" customFormat="false" ht="15.75" hidden="false" customHeight="false" outlineLevel="0" collapsed="false">
      <c r="A15778" s="6" t="n">
        <f aca="false">DATE(2026,5,10)</f>
        <v>46152</v>
      </c>
      <c r="B15778" s="4" t="s">
        <v>13</v>
      </c>
      <c r="C15778" s="4" t="n">
        <v>11</v>
      </c>
      <c r="D15778" s="4" t="n">
        <v>9</v>
      </c>
      <c r="E15778" s="4" t="s">
        <v>6144</v>
      </c>
      <c r="F15778" s="4" t="n">
        <v>31</v>
      </c>
      <c r="G15778" s="4" t="n">
        <v>4</v>
      </c>
      <c r="H15778" s="4" t="n">
        <v>4</v>
      </c>
      <c r="I15778" s="4" t="str">
        <v>×</v>
      </c>
      <c r="J15778" s="4"/>
      <c r="K15778" s="4"/>
      <c r="L15778" s="4"/>
      <c r="M15778" s="7" t="s">
        <v>6871</v>
      </c>
    </row>
    <row r="15779" customFormat="false" ht="15.75" hidden="false" customHeight="false" outlineLevel="0" collapsed="false">
      <c r="A15779" s="6" t="n">
        <f aca="false">DATE(2026,5,10)</f>
        <v>46152</v>
      </c>
      <c r="B15779" s="4" t="s">
        <v>13</v>
      </c>
      <c r="C15779" s="4" t="n">
        <v>11</v>
      </c>
      <c r="D15779" s="4" t="n">
        <v>12</v>
      </c>
      <c r="E15779" s="4" t="s">
        <v>7175</v>
      </c>
      <c r="F15779" s="4" t="n">
        <v>29</v>
      </c>
      <c r="G15779" s="4" t="n">
        <v>5</v>
      </c>
      <c r="H15779" s="4" t="n">
        <v>4</v>
      </c>
      <c r="I15779" s="4" t="str">
        <v>×</v>
      </c>
      <c r="J15779" s="4"/>
      <c r="K15779" s="4"/>
      <c r="L15779" s="4"/>
      <c r="M15779" s="7" t="s">
        <v>6871</v>
      </c>
    </row>
    <row r="15780" customFormat="false" ht="15.75" hidden="false" customHeight="false" outlineLevel="0" collapsed="false">
      <c r="A15780" s="6" t="n">
        <f aca="false">DATE(2026,5,10)</f>
        <v>46152</v>
      </c>
      <c r="B15780" s="4" t="s">
        <v>13</v>
      </c>
      <c r="C15780" s="4" t="n">
        <v>11</v>
      </c>
      <c r="D15780" s="4" t="n">
        <v>1</v>
      </c>
      <c r="E15780" s="4" t="s">
        <v>7176</v>
      </c>
      <c r="F15780" s="4" t="n">
        <v>25</v>
      </c>
      <c r="G15780" s="4" t="n">
        <v>6</v>
      </c>
      <c r="H15780" s="4" t="n">
        <v>4</v>
      </c>
      <c r="I15780" s="4" t="str">
        <v>×</v>
      </c>
      <c r="J15780" s="4"/>
      <c r="K15780" s="4"/>
      <c r="L15780" s="4"/>
      <c r="M15780" s="7" t="s">
        <v>6871</v>
      </c>
    </row>
    <row r="15781" customFormat="false" ht="15.75" hidden="false" customHeight="false" outlineLevel="0" collapsed="false">
      <c r="A15781" s="6" t="n">
        <f aca="false">DATE(2026,5,10)</f>
        <v>46152</v>
      </c>
      <c r="B15781" s="4" t="s">
        <v>13</v>
      </c>
      <c r="C15781" s="4" t="n">
        <v>11</v>
      </c>
      <c r="D15781" s="4" t="n">
        <v>7</v>
      </c>
      <c r="E15781" s="4" t="s">
        <v>3218</v>
      </c>
      <c r="F15781" s="4" t="n">
        <v>25</v>
      </c>
      <c r="G15781" s="4" t="n">
        <v>7</v>
      </c>
      <c r="H15781" s="4" t="n">
        <v>1</v>
      </c>
      <c r="I15781" s="4" t="str">
        <v>○</v>
      </c>
      <c r="J15781" s="4" t="n">
        <v>430</v>
      </c>
      <c r="K15781" s="4"/>
      <c r="L15781" s="4"/>
      <c r="M15781" s="7" t="s">
        <v>6871</v>
      </c>
    </row>
    <row r="15782" customFormat="false" ht="15.75" hidden="false" customHeight="false" outlineLevel="0" collapsed="false">
      <c r="A15782" s="6" t="n">
        <f aca="false">DATE(2026,5,10)</f>
        <v>46152</v>
      </c>
      <c r="B15782" s="4" t="s">
        <v>13</v>
      </c>
      <c r="C15782" s="4" t="n">
        <v>11</v>
      </c>
      <c r="D15782" s="4" t="n">
        <v>2</v>
      </c>
      <c r="E15782" s="4" t="s">
        <v>7177</v>
      </c>
      <c r="F15782" s="4" t="n">
        <v>23</v>
      </c>
      <c r="G15782" s="4" t="n">
        <v>8</v>
      </c>
      <c r="H15782" s="4" t="n">
        <v>4</v>
      </c>
      <c r="I15782" s="4" t="str">
        <v>×</v>
      </c>
      <c r="J15782" s="4"/>
      <c r="K15782" s="4"/>
      <c r="L15782" s="4"/>
      <c r="M15782" s="7" t="s">
        <v>6871</v>
      </c>
    </row>
    <row r="15783" customFormat="false" ht="15.75" hidden="false" customHeight="false" outlineLevel="0" collapsed="false">
      <c r="A15783" s="6" t="n">
        <f aca="false">DATE(2026,5,10)</f>
        <v>46152</v>
      </c>
      <c r="B15783" s="4" t="s">
        <v>13</v>
      </c>
      <c r="C15783" s="4" t="n">
        <v>11</v>
      </c>
      <c r="D15783" s="4" t="n">
        <v>13</v>
      </c>
      <c r="E15783" s="4" t="s">
        <v>4209</v>
      </c>
      <c r="F15783" s="4" t="n">
        <v>17</v>
      </c>
      <c r="G15783" s="4" t="n">
        <v>9</v>
      </c>
      <c r="H15783" s="4" t="n">
        <v>4</v>
      </c>
      <c r="I15783" s="4" t="str">
        <v>×</v>
      </c>
      <c r="J15783" s="4"/>
      <c r="K15783" s="4"/>
      <c r="L15783" s="4"/>
      <c r="M15783" s="7" t="s">
        <v>6871</v>
      </c>
    </row>
    <row r="15784" customFormat="false" ht="15.75" hidden="false" customHeight="false" outlineLevel="0" collapsed="false">
      <c r="A15784" s="6" t="n">
        <f aca="false">DATE(2026,5,10)</f>
        <v>46152</v>
      </c>
      <c r="B15784" s="4" t="s">
        <v>13</v>
      </c>
      <c r="C15784" s="4" t="n">
        <v>11</v>
      </c>
      <c r="D15784" s="4" t="n">
        <v>14</v>
      </c>
      <c r="E15784" s="4" t="s">
        <v>7178</v>
      </c>
      <c r="F15784" s="4" t="n">
        <v>17</v>
      </c>
      <c r="G15784" s="4" t="n">
        <v>10</v>
      </c>
      <c r="H15784" s="4" t="n">
        <v>4</v>
      </c>
      <c r="I15784" s="4" t="str">
        <v>×</v>
      </c>
      <c r="J15784" s="4"/>
      <c r="K15784" s="4"/>
      <c r="L15784" s="4"/>
      <c r="M15784" s="7" t="s">
        <v>6871</v>
      </c>
    </row>
    <row r="15785" customFormat="false" ht="15.75" hidden="false" customHeight="false" outlineLevel="0" collapsed="false">
      <c r="A15785" s="6" t="n">
        <f aca="false">DATE(2026,5,10)</f>
        <v>46152</v>
      </c>
      <c r="B15785" s="4" t="s">
        <v>13</v>
      </c>
      <c r="C15785" s="4" t="n">
        <v>11</v>
      </c>
      <c r="D15785" s="4" t="n">
        <v>3</v>
      </c>
      <c r="E15785" s="4" t="s">
        <v>1996</v>
      </c>
      <c r="F15785" s="4" t="n">
        <v>13</v>
      </c>
      <c r="G15785" s="4" t="n">
        <v>11</v>
      </c>
      <c r="H15785" s="4" t="n">
        <v>3</v>
      </c>
      <c r="I15785" s="4" t="str">
        <v>○</v>
      </c>
      <c r="J15785" s="4" t="n">
        <v>860</v>
      </c>
      <c r="K15785" s="4"/>
      <c r="L15785" s="4"/>
      <c r="M15785" s="7" t="s">
        <v>6871</v>
      </c>
    </row>
    <row r="15786" customFormat="false" ht="15.75" hidden="false" customHeight="false" outlineLevel="0" collapsed="false">
      <c r="A15786" s="6" t="n">
        <f aca="false">DATE(2026,5,10)</f>
        <v>46152</v>
      </c>
      <c r="B15786" s="4" t="s">
        <v>13</v>
      </c>
      <c r="C15786" s="4" t="n">
        <v>11</v>
      </c>
      <c r="D15786" s="4" t="n">
        <v>10</v>
      </c>
      <c r="E15786" s="4" t="s">
        <v>7179</v>
      </c>
      <c r="F15786" s="4" t="n">
        <v>10</v>
      </c>
      <c r="G15786" s="4" t="n">
        <v>12</v>
      </c>
      <c r="H15786" s="4" t="n">
        <v>4</v>
      </c>
      <c r="I15786" s="4" t="str">
        <v>×</v>
      </c>
      <c r="J15786" s="4"/>
      <c r="K15786" s="4"/>
      <c r="L15786" s="4"/>
      <c r="M15786" s="7" t="s">
        <v>6871</v>
      </c>
    </row>
    <row r="15787" customFormat="false" ht="15.75" hidden="false" customHeight="false" outlineLevel="0" collapsed="false">
      <c r="A15787" s="6" t="n">
        <f aca="false">DATE(2026,5,10)</f>
        <v>46152</v>
      </c>
      <c r="B15787" s="4" t="s">
        <v>13</v>
      </c>
      <c r="C15787" s="4" t="n">
        <v>11</v>
      </c>
      <c r="D15787" s="4" t="n">
        <v>4</v>
      </c>
      <c r="E15787" s="4" t="s">
        <v>6145</v>
      </c>
      <c r="F15787" s="4" t="n">
        <v>8</v>
      </c>
      <c r="G15787" s="4" t="n">
        <v>13</v>
      </c>
      <c r="H15787" s="4" t="n">
        <v>4</v>
      </c>
      <c r="I15787" s="4" t="str">
        <v>×</v>
      </c>
      <c r="J15787" s="4"/>
      <c r="K15787" s="4"/>
      <c r="L15787" s="4"/>
      <c r="M15787" s="7" t="s">
        <v>6871</v>
      </c>
    </row>
    <row r="15788" customFormat="false" ht="15.75" hidden="false" customHeight="false" outlineLevel="0" collapsed="false">
      <c r="A15788" s="6" t="n">
        <f aca="false">DATE(2026,5,10)</f>
        <v>46152</v>
      </c>
      <c r="B15788" s="4" t="s">
        <v>13</v>
      </c>
      <c r="C15788" s="4" t="n">
        <v>11</v>
      </c>
      <c r="D15788" s="4" t="n">
        <v>8</v>
      </c>
      <c r="E15788" s="4" t="s">
        <v>5223</v>
      </c>
      <c r="F15788" s="4" t="n">
        <v>6</v>
      </c>
      <c r="G15788" s="4" t="n">
        <v>14</v>
      </c>
      <c r="H15788" s="4" t="n">
        <v>2</v>
      </c>
      <c r="I15788" s="4" t="str">
        <v>○</v>
      </c>
      <c r="J15788" s="4" t="n">
        <v>680</v>
      </c>
      <c r="K15788" s="4"/>
      <c r="L15788" s="4"/>
      <c r="M15788" s="7" t="s">
        <v>6871</v>
      </c>
    </row>
    <row r="15789" customFormat="false" ht="15.75" hidden="false" customHeight="false" outlineLevel="0" collapsed="false">
      <c r="A15789" s="6" t="n">
        <f aca="false">DATE(2026,5,10)</f>
        <v>46152</v>
      </c>
      <c r="B15789" s="4" t="s">
        <v>13</v>
      </c>
      <c r="C15789" s="4" t="n">
        <v>12</v>
      </c>
      <c r="D15789" s="4" t="n">
        <v>10</v>
      </c>
      <c r="E15789" s="4" t="s">
        <v>2554</v>
      </c>
      <c r="F15789" s="4" t="n">
        <v>56</v>
      </c>
      <c r="G15789" s="4" t="n">
        <v>1</v>
      </c>
      <c r="H15789" s="4" t="n">
        <v>3</v>
      </c>
      <c r="I15789" s="4" t="str">
        <v>○</v>
      </c>
      <c r="J15789" s="4" t="n">
        <v>140</v>
      </c>
      <c r="K15789" s="4"/>
      <c r="L15789" s="4"/>
      <c r="M15789" s="7" t="s">
        <v>6871</v>
      </c>
    </row>
    <row r="15790" customFormat="false" ht="15.75" hidden="false" customHeight="false" outlineLevel="0" collapsed="false">
      <c r="A15790" s="6" t="n">
        <f aca="false">DATE(2026,5,10)</f>
        <v>46152</v>
      </c>
      <c r="B15790" s="4" t="s">
        <v>13</v>
      </c>
      <c r="C15790" s="4" t="n">
        <v>12</v>
      </c>
      <c r="D15790" s="4" t="n">
        <v>12</v>
      </c>
      <c r="E15790" s="4" t="s">
        <v>7180</v>
      </c>
      <c r="F15790" s="4" t="n">
        <v>50</v>
      </c>
      <c r="G15790" s="4" t="n">
        <v>2</v>
      </c>
      <c r="H15790" s="4" t="n">
        <v>2</v>
      </c>
      <c r="I15790" s="4" t="str">
        <v>○</v>
      </c>
      <c r="J15790" s="4" t="n">
        <v>180</v>
      </c>
      <c r="K15790" s="4"/>
      <c r="L15790" s="4"/>
      <c r="M15790" s="7" t="s">
        <v>6871</v>
      </c>
    </row>
    <row r="15791" customFormat="false" ht="15.75" hidden="false" customHeight="false" outlineLevel="0" collapsed="false">
      <c r="A15791" s="6" t="n">
        <f aca="false">DATE(2026,5,10)</f>
        <v>46152</v>
      </c>
      <c r="B15791" s="4" t="s">
        <v>13</v>
      </c>
      <c r="C15791" s="4" t="n">
        <v>12</v>
      </c>
      <c r="D15791" s="4" t="n">
        <v>1</v>
      </c>
      <c r="E15791" s="4" t="s">
        <v>4841</v>
      </c>
      <c r="F15791" s="4" t="n">
        <v>41</v>
      </c>
      <c r="G15791" s="4" t="n">
        <v>3</v>
      </c>
      <c r="H15791" s="4" t="n">
        <v>4</v>
      </c>
      <c r="I15791" s="4" t="str">
        <v>×</v>
      </c>
      <c r="J15791" s="4"/>
      <c r="K15791" s="4"/>
      <c r="L15791" s="4"/>
      <c r="M15791" s="7" t="s">
        <v>6871</v>
      </c>
    </row>
    <row r="15792" customFormat="false" ht="15.75" hidden="false" customHeight="false" outlineLevel="0" collapsed="false">
      <c r="A15792" s="6" t="n">
        <f aca="false">DATE(2026,5,10)</f>
        <v>46152</v>
      </c>
      <c r="B15792" s="4" t="s">
        <v>13</v>
      </c>
      <c r="C15792" s="4" t="n">
        <v>12</v>
      </c>
      <c r="D15792" s="4" t="n">
        <v>7</v>
      </c>
      <c r="E15792" s="4" t="s">
        <v>3219</v>
      </c>
      <c r="F15792" s="4" t="n">
        <v>37</v>
      </c>
      <c r="G15792" s="4" t="n">
        <v>4</v>
      </c>
      <c r="H15792" s="4" t="n">
        <v>1</v>
      </c>
      <c r="I15792" s="4" t="str">
        <v>○</v>
      </c>
      <c r="J15792" s="4" t="n">
        <v>170</v>
      </c>
      <c r="K15792" s="4"/>
      <c r="L15792" s="4"/>
      <c r="M15792" s="7" t="s">
        <v>6871</v>
      </c>
    </row>
    <row r="15793" customFormat="false" ht="15.75" hidden="false" customHeight="false" outlineLevel="0" collapsed="false">
      <c r="A15793" s="6" t="n">
        <f aca="false">DATE(2026,5,10)</f>
        <v>46152</v>
      </c>
      <c r="B15793" s="4" t="s">
        <v>13</v>
      </c>
      <c r="C15793" s="4" t="n">
        <v>12</v>
      </c>
      <c r="D15793" s="4" t="n">
        <v>8</v>
      </c>
      <c r="E15793" s="4" t="s">
        <v>2798</v>
      </c>
      <c r="F15793" s="4" t="n">
        <v>34</v>
      </c>
      <c r="G15793" s="4" t="n">
        <v>5</v>
      </c>
      <c r="H15793" s="4" t="n">
        <v>4</v>
      </c>
      <c r="I15793" s="4" t="str">
        <v>×</v>
      </c>
      <c r="J15793" s="4"/>
      <c r="K15793" s="4"/>
      <c r="L15793" s="4"/>
      <c r="M15793" s="7" t="s">
        <v>6871</v>
      </c>
    </row>
    <row r="15794" customFormat="false" ht="15.75" hidden="false" customHeight="false" outlineLevel="0" collapsed="false">
      <c r="A15794" s="6" t="n">
        <f aca="false">DATE(2026,5,10)</f>
        <v>46152</v>
      </c>
      <c r="B15794" s="4" t="s">
        <v>13</v>
      </c>
      <c r="C15794" s="4" t="n">
        <v>12</v>
      </c>
      <c r="D15794" s="4" t="n">
        <v>13</v>
      </c>
      <c r="E15794" s="4" t="s">
        <v>400</v>
      </c>
      <c r="F15794" s="4" t="n">
        <v>25</v>
      </c>
      <c r="G15794" s="4" t="n">
        <v>6</v>
      </c>
      <c r="H15794" s="4" t="n">
        <v>4</v>
      </c>
      <c r="I15794" s="4" t="str">
        <v>×</v>
      </c>
      <c r="J15794" s="4"/>
      <c r="K15794" s="4"/>
      <c r="L15794" s="4"/>
      <c r="M15794" s="7" t="s">
        <v>6871</v>
      </c>
    </row>
    <row r="15795" customFormat="false" ht="15.75" hidden="false" customHeight="false" outlineLevel="0" collapsed="false">
      <c r="A15795" s="6" t="n">
        <f aca="false">DATE(2026,5,10)</f>
        <v>46152</v>
      </c>
      <c r="B15795" s="4" t="s">
        <v>13</v>
      </c>
      <c r="C15795" s="4" t="n">
        <v>12</v>
      </c>
      <c r="D15795" s="4" t="n">
        <v>9</v>
      </c>
      <c r="E15795" s="4" t="s">
        <v>5769</v>
      </c>
      <c r="F15795" s="4" t="n">
        <v>23</v>
      </c>
      <c r="G15795" s="4" t="n">
        <v>7</v>
      </c>
      <c r="H15795" s="4" t="n">
        <v>4</v>
      </c>
      <c r="I15795" s="4" t="str">
        <v>×</v>
      </c>
      <c r="J15795" s="4"/>
      <c r="K15795" s="4"/>
      <c r="L15795" s="4"/>
      <c r="M15795" s="7" t="s">
        <v>6871</v>
      </c>
    </row>
    <row r="15796" customFormat="false" ht="15.75" hidden="false" customHeight="false" outlineLevel="0" collapsed="false">
      <c r="A15796" s="6" t="n">
        <f aca="false">DATE(2026,5,10)</f>
        <v>46152</v>
      </c>
      <c r="B15796" s="4" t="s">
        <v>13</v>
      </c>
      <c r="C15796" s="4" t="n">
        <v>12</v>
      </c>
      <c r="D15796" s="4" t="n">
        <v>4</v>
      </c>
      <c r="E15796" s="4" t="s">
        <v>2372</v>
      </c>
      <c r="F15796" s="4" t="n">
        <v>20</v>
      </c>
      <c r="G15796" s="4" t="n">
        <v>8</v>
      </c>
      <c r="H15796" s="4" t="n">
        <v>4</v>
      </c>
      <c r="I15796" s="4" t="str">
        <v>×</v>
      </c>
      <c r="J15796" s="4"/>
      <c r="K15796" s="4"/>
      <c r="L15796" s="4"/>
      <c r="M15796" s="7" t="s">
        <v>6871</v>
      </c>
    </row>
    <row r="15797" customFormat="false" ht="15.75" hidden="false" customHeight="false" outlineLevel="0" collapsed="false">
      <c r="A15797" s="6" t="n">
        <f aca="false">DATE(2026,5,10)</f>
        <v>46152</v>
      </c>
      <c r="B15797" s="4" t="s">
        <v>13</v>
      </c>
      <c r="C15797" s="4" t="n">
        <v>12</v>
      </c>
      <c r="D15797" s="4" t="n">
        <v>6</v>
      </c>
      <c r="E15797" s="4" t="s">
        <v>4839</v>
      </c>
      <c r="F15797" s="4" t="n">
        <v>20</v>
      </c>
      <c r="G15797" s="4" t="n">
        <v>9</v>
      </c>
      <c r="H15797" s="4" t="n">
        <v>4</v>
      </c>
      <c r="I15797" s="4" t="str">
        <v>×</v>
      </c>
      <c r="J15797" s="4"/>
      <c r="K15797" s="4"/>
      <c r="L15797" s="4"/>
      <c r="M15797" s="7" t="s">
        <v>6871</v>
      </c>
    </row>
    <row r="15798" customFormat="false" ht="15.75" hidden="false" customHeight="false" outlineLevel="0" collapsed="false">
      <c r="A15798" s="6" t="n">
        <f aca="false">DATE(2026,5,10)</f>
        <v>46152</v>
      </c>
      <c r="B15798" s="4" t="s">
        <v>13</v>
      </c>
      <c r="C15798" s="4" t="n">
        <v>12</v>
      </c>
      <c r="D15798" s="4" t="n">
        <v>3</v>
      </c>
      <c r="E15798" s="4" t="s">
        <v>5098</v>
      </c>
      <c r="F15798" s="4" t="n">
        <v>13</v>
      </c>
      <c r="G15798" s="4" t="n">
        <v>10</v>
      </c>
      <c r="H15798" s="4" t="n">
        <v>4</v>
      </c>
      <c r="I15798" s="4" t="str">
        <v>×</v>
      </c>
      <c r="J15798" s="4"/>
      <c r="K15798" s="4"/>
      <c r="L15798" s="4"/>
      <c r="M15798" s="7" t="s">
        <v>6871</v>
      </c>
    </row>
    <row r="15799" customFormat="false" ht="15.75" hidden="false" customHeight="false" outlineLevel="0" collapsed="false">
      <c r="A15799" s="6" t="n">
        <f aca="false">DATE(2026,5,10)</f>
        <v>46152</v>
      </c>
      <c r="B15799" s="4" t="s">
        <v>13</v>
      </c>
      <c r="C15799" s="4" t="n">
        <v>12</v>
      </c>
      <c r="D15799" s="4" t="n">
        <v>11</v>
      </c>
      <c r="E15799" s="4" t="s">
        <v>6582</v>
      </c>
      <c r="F15799" s="4" t="n">
        <v>10</v>
      </c>
      <c r="G15799" s="4" t="n">
        <v>11</v>
      </c>
      <c r="H15799" s="4" t="n">
        <v>4</v>
      </c>
      <c r="I15799" s="4" t="str">
        <v>×</v>
      </c>
      <c r="J15799" s="4"/>
      <c r="K15799" s="4"/>
      <c r="L15799" s="4"/>
      <c r="M15799" s="7" t="s">
        <v>6871</v>
      </c>
    </row>
    <row r="15800" customFormat="false" ht="15.75" hidden="false" customHeight="false" outlineLevel="0" collapsed="false">
      <c r="A15800" s="6" t="n">
        <f aca="false">DATE(2026,5,10)</f>
        <v>46152</v>
      </c>
      <c r="B15800" s="4" t="s">
        <v>13</v>
      </c>
      <c r="C15800" s="4" t="n">
        <v>12</v>
      </c>
      <c r="D15800" s="4" t="n">
        <v>2</v>
      </c>
      <c r="E15800" s="4" t="s">
        <v>1641</v>
      </c>
      <c r="F15800" s="4" t="n">
        <v>8</v>
      </c>
      <c r="G15800" s="4" t="n">
        <v>12</v>
      </c>
      <c r="H15800" s="4" t="n">
        <v>4</v>
      </c>
      <c r="I15800" s="4" t="str">
        <v>×</v>
      </c>
      <c r="J15800" s="4"/>
      <c r="K15800" s="4"/>
      <c r="L15800" s="4"/>
      <c r="M15800" s="7" t="s">
        <v>6871</v>
      </c>
    </row>
    <row r="15801" customFormat="false" ht="15.75" hidden="false" customHeight="false" outlineLevel="0" collapsed="false">
      <c r="A15801" s="6" t="n">
        <f aca="false">DATE(2026,5,10)</f>
        <v>46152</v>
      </c>
      <c r="B15801" s="4" t="s">
        <v>13</v>
      </c>
      <c r="C15801" s="4" t="n">
        <v>12</v>
      </c>
      <c r="D15801" s="4" t="n">
        <v>5</v>
      </c>
      <c r="E15801" s="4" t="s">
        <v>7181</v>
      </c>
      <c r="F15801" s="4" t="n">
        <v>4</v>
      </c>
      <c r="G15801" s="4" t="n">
        <v>13</v>
      </c>
      <c r="H15801" s="4" t="n">
        <v>4</v>
      </c>
      <c r="I15801" s="4" t="str">
        <v>×</v>
      </c>
      <c r="J15801" s="4"/>
      <c r="K15801" s="4"/>
      <c r="L15801" s="4"/>
      <c r="M15801" s="7" t="s">
        <v>6871</v>
      </c>
    </row>
    <row r="15802" customFormat="false" ht="15.75" hidden="false" customHeight="false" outlineLevel="0" collapsed="false">
      <c r="A15802" s="6" t="n">
        <f aca="false">DATE(2026,5,10)</f>
        <v>46152</v>
      </c>
      <c r="B15802" s="4" t="s">
        <v>4473</v>
      </c>
      <c r="C15802" s="4" t="n">
        <v>1</v>
      </c>
      <c r="D15802" s="4" t="n">
        <v>3</v>
      </c>
      <c r="E15802" s="4" t="s">
        <v>137</v>
      </c>
      <c r="F15802" s="4" t="n">
        <v>58</v>
      </c>
      <c r="G15802" s="4" t="n">
        <v>1</v>
      </c>
      <c r="H15802" s="4" t="n">
        <v>4</v>
      </c>
      <c r="I15802" s="4" t="str">
        <v>×</v>
      </c>
      <c r="J15802" s="4"/>
      <c r="K15802" s="4"/>
      <c r="L15802" s="4"/>
      <c r="M15802" s="7" t="s">
        <v>6871</v>
      </c>
    </row>
    <row r="15803" customFormat="false" ht="15.75" hidden="false" customHeight="false" outlineLevel="0" collapsed="false">
      <c r="A15803" s="6" t="n">
        <f aca="false">DATE(2026,5,10)</f>
        <v>46152</v>
      </c>
      <c r="B15803" s="4" t="s">
        <v>4473</v>
      </c>
      <c r="C15803" s="4" t="n">
        <v>1</v>
      </c>
      <c r="D15803" s="4" t="n">
        <v>2</v>
      </c>
      <c r="E15803" s="4" t="s">
        <v>142</v>
      </c>
      <c r="F15803" s="4" t="n">
        <v>34</v>
      </c>
      <c r="G15803" s="4" t="n">
        <v>2</v>
      </c>
      <c r="H15803" s="4" t="n">
        <v>2</v>
      </c>
      <c r="I15803" s="4" t="str">
        <v>○</v>
      </c>
      <c r="J15803" s="4" t="n">
        <v>390</v>
      </c>
      <c r="K15803" s="4"/>
      <c r="L15803" s="4"/>
      <c r="M15803" s="7" t="s">
        <v>6871</v>
      </c>
    </row>
    <row r="15804" customFormat="false" ht="15.75" hidden="false" customHeight="false" outlineLevel="0" collapsed="false">
      <c r="A15804" s="6" t="n">
        <f aca="false">DATE(2026,5,10)</f>
        <v>46152</v>
      </c>
      <c r="B15804" s="4" t="s">
        <v>4473</v>
      </c>
      <c r="C15804" s="4" t="n">
        <v>1</v>
      </c>
      <c r="D15804" s="4" t="n">
        <v>16</v>
      </c>
      <c r="E15804" s="4" t="s">
        <v>5990</v>
      </c>
      <c r="F15804" s="4" t="n">
        <v>31</v>
      </c>
      <c r="G15804" s="4" t="n">
        <v>3</v>
      </c>
      <c r="H15804" s="4" t="n">
        <v>3</v>
      </c>
      <c r="I15804" s="4" t="str">
        <v>○</v>
      </c>
      <c r="J15804" s="4" t="n">
        <v>230</v>
      </c>
      <c r="K15804" s="4"/>
      <c r="L15804" s="4"/>
      <c r="M15804" s="7" t="s">
        <v>6871</v>
      </c>
    </row>
    <row r="15805" customFormat="false" ht="15.75" hidden="false" customHeight="false" outlineLevel="0" collapsed="false">
      <c r="A15805" s="6" t="n">
        <f aca="false">DATE(2026,5,10)</f>
        <v>46152</v>
      </c>
      <c r="B15805" s="4" t="s">
        <v>4473</v>
      </c>
      <c r="C15805" s="4" t="n">
        <v>1</v>
      </c>
      <c r="D15805" s="4" t="n">
        <v>8</v>
      </c>
      <c r="E15805" s="4" t="s">
        <v>3328</v>
      </c>
      <c r="F15805" s="4" t="n">
        <v>23</v>
      </c>
      <c r="G15805" s="4" t="n">
        <v>4</v>
      </c>
      <c r="H15805" s="4" t="n">
        <v>4</v>
      </c>
      <c r="I15805" s="4" t="str">
        <v>×</v>
      </c>
      <c r="J15805" s="4"/>
      <c r="K15805" s="4"/>
      <c r="L15805" s="4"/>
      <c r="M15805" s="7" t="s">
        <v>6871</v>
      </c>
    </row>
    <row r="15806" customFormat="false" ht="15.75" hidden="false" customHeight="false" outlineLevel="0" collapsed="false">
      <c r="A15806" s="6" t="n">
        <f aca="false">DATE(2026,5,10)</f>
        <v>46152</v>
      </c>
      <c r="B15806" s="4" t="s">
        <v>4473</v>
      </c>
      <c r="C15806" s="4" t="n">
        <v>1</v>
      </c>
      <c r="D15806" s="4" t="n">
        <v>1</v>
      </c>
      <c r="E15806" s="4" t="s">
        <v>1425</v>
      </c>
      <c r="F15806" s="4" t="n">
        <v>20</v>
      </c>
      <c r="G15806" s="4" t="n">
        <v>5</v>
      </c>
      <c r="H15806" s="4" t="n">
        <v>4</v>
      </c>
      <c r="I15806" s="4" t="str">
        <v>×</v>
      </c>
      <c r="J15806" s="4"/>
      <c r="K15806" s="4"/>
      <c r="L15806" s="4"/>
      <c r="M15806" s="7" t="s">
        <v>6871</v>
      </c>
    </row>
    <row r="15807" customFormat="false" ht="15.75" hidden="false" customHeight="false" outlineLevel="0" collapsed="false">
      <c r="A15807" s="6" t="n">
        <f aca="false">DATE(2026,5,10)</f>
        <v>46152</v>
      </c>
      <c r="B15807" s="4" t="s">
        <v>4473</v>
      </c>
      <c r="C15807" s="4" t="n">
        <v>1</v>
      </c>
      <c r="D15807" s="4" t="n">
        <v>6</v>
      </c>
      <c r="E15807" s="4" t="s">
        <v>7182</v>
      </c>
      <c r="F15807" s="4" t="n">
        <v>15</v>
      </c>
      <c r="G15807" s="4" t="n">
        <v>6</v>
      </c>
      <c r="H15807" s="4" t="n">
        <v>4</v>
      </c>
      <c r="I15807" s="4" t="str">
        <v>×</v>
      </c>
      <c r="J15807" s="4"/>
      <c r="K15807" s="4"/>
      <c r="L15807" s="4"/>
      <c r="M15807" s="7" t="s">
        <v>6871</v>
      </c>
    </row>
    <row r="15808" customFormat="false" ht="15.75" hidden="false" customHeight="false" outlineLevel="0" collapsed="false">
      <c r="A15808" s="6" t="n">
        <f aca="false">DATE(2026,5,10)</f>
        <v>46152</v>
      </c>
      <c r="B15808" s="4" t="s">
        <v>4473</v>
      </c>
      <c r="C15808" s="4" t="n">
        <v>1</v>
      </c>
      <c r="D15808" s="4" t="n">
        <v>15</v>
      </c>
      <c r="E15808" s="4" t="s">
        <v>7183</v>
      </c>
      <c r="F15808" s="4" t="n">
        <v>15</v>
      </c>
      <c r="G15808" s="4" t="n">
        <v>7</v>
      </c>
      <c r="H15808" s="4" t="n">
        <v>4</v>
      </c>
      <c r="I15808" s="4" t="str">
        <v>×</v>
      </c>
      <c r="J15808" s="4"/>
      <c r="K15808" s="4"/>
      <c r="L15808" s="4"/>
      <c r="M15808" s="7" t="s">
        <v>6871</v>
      </c>
    </row>
    <row r="15809" customFormat="false" ht="15.75" hidden="false" customHeight="false" outlineLevel="0" collapsed="false">
      <c r="A15809" s="6" t="n">
        <f aca="false">DATE(2026,5,10)</f>
        <v>46152</v>
      </c>
      <c r="B15809" s="4" t="s">
        <v>4473</v>
      </c>
      <c r="C15809" s="4" t="n">
        <v>1</v>
      </c>
      <c r="D15809" s="4" t="n">
        <v>7</v>
      </c>
      <c r="E15809" s="4" t="s">
        <v>4681</v>
      </c>
      <c r="F15809" s="4" t="n">
        <v>10</v>
      </c>
      <c r="G15809" s="4" t="n">
        <v>8</v>
      </c>
      <c r="H15809" s="4" t="n">
        <v>4</v>
      </c>
      <c r="I15809" s="4" t="str">
        <v>×</v>
      </c>
      <c r="J15809" s="4"/>
      <c r="K15809" s="4"/>
      <c r="L15809" s="4"/>
      <c r="M15809" s="7" t="s">
        <v>6871</v>
      </c>
    </row>
    <row r="15810" customFormat="false" ht="15.75" hidden="false" customHeight="false" outlineLevel="0" collapsed="false">
      <c r="A15810" s="6" t="n">
        <f aca="false">DATE(2026,5,10)</f>
        <v>46152</v>
      </c>
      <c r="B15810" s="4" t="s">
        <v>4473</v>
      </c>
      <c r="C15810" s="4" t="n">
        <v>1</v>
      </c>
      <c r="D15810" s="4" t="n">
        <v>4</v>
      </c>
      <c r="E15810" s="4" t="s">
        <v>7184</v>
      </c>
      <c r="F15810" s="4" t="n">
        <v>8</v>
      </c>
      <c r="G15810" s="4" t="n">
        <v>9</v>
      </c>
      <c r="H15810" s="4" t="n">
        <v>4</v>
      </c>
      <c r="I15810" s="4" t="str">
        <v>×</v>
      </c>
      <c r="J15810" s="4"/>
      <c r="K15810" s="4"/>
      <c r="L15810" s="4"/>
      <c r="M15810" s="7" t="s">
        <v>6871</v>
      </c>
    </row>
    <row r="15811" customFormat="false" ht="15.75" hidden="false" customHeight="false" outlineLevel="0" collapsed="false">
      <c r="A15811" s="6" t="n">
        <f aca="false">DATE(2026,5,10)</f>
        <v>46152</v>
      </c>
      <c r="B15811" s="4" t="s">
        <v>4473</v>
      </c>
      <c r="C15811" s="4" t="n">
        <v>1</v>
      </c>
      <c r="D15811" s="4" t="n">
        <v>5</v>
      </c>
      <c r="E15811" s="4" t="s">
        <v>7185</v>
      </c>
      <c r="F15811" s="4" t="n">
        <v>8</v>
      </c>
      <c r="G15811" s="4" t="n">
        <v>10</v>
      </c>
      <c r="H15811" s="4" t="n">
        <v>4</v>
      </c>
      <c r="I15811" s="4" t="str">
        <v>×</v>
      </c>
      <c r="J15811" s="4"/>
      <c r="K15811" s="4"/>
      <c r="L15811" s="4"/>
      <c r="M15811" s="7" t="s">
        <v>6871</v>
      </c>
    </row>
    <row r="15812" customFormat="false" ht="15.75" hidden="false" customHeight="false" outlineLevel="0" collapsed="false">
      <c r="A15812" s="6" t="n">
        <f aca="false">DATE(2026,5,10)</f>
        <v>46152</v>
      </c>
      <c r="B15812" s="4" t="s">
        <v>4473</v>
      </c>
      <c r="C15812" s="4" t="n">
        <v>1</v>
      </c>
      <c r="D15812" s="4" t="n">
        <v>9</v>
      </c>
      <c r="E15812" s="4" t="s">
        <v>7186</v>
      </c>
      <c r="F15812" s="4" t="n">
        <v>8</v>
      </c>
      <c r="G15812" s="4" t="n">
        <v>11</v>
      </c>
      <c r="H15812" s="4" t="n">
        <v>4</v>
      </c>
      <c r="I15812" s="4" t="str">
        <v>×</v>
      </c>
      <c r="J15812" s="4"/>
      <c r="K15812" s="4"/>
      <c r="L15812" s="4"/>
      <c r="M15812" s="7" t="s">
        <v>6871</v>
      </c>
    </row>
    <row r="15813" customFormat="false" ht="15.75" hidden="false" customHeight="false" outlineLevel="0" collapsed="false">
      <c r="A15813" s="6" t="n">
        <f aca="false">DATE(2026,5,10)</f>
        <v>46152</v>
      </c>
      <c r="B15813" s="4" t="s">
        <v>4473</v>
      </c>
      <c r="C15813" s="4" t="n">
        <v>1</v>
      </c>
      <c r="D15813" s="4" t="n">
        <v>10</v>
      </c>
      <c r="E15813" s="4" t="s">
        <v>1392</v>
      </c>
      <c r="F15813" s="4" t="n">
        <v>8</v>
      </c>
      <c r="G15813" s="4" t="n">
        <v>12</v>
      </c>
      <c r="H15813" s="4" t="n">
        <v>4</v>
      </c>
      <c r="I15813" s="4" t="str">
        <v>×</v>
      </c>
      <c r="J15813" s="4"/>
      <c r="K15813" s="4"/>
      <c r="L15813" s="4"/>
      <c r="M15813" s="7" t="s">
        <v>6871</v>
      </c>
    </row>
    <row r="15814" customFormat="false" ht="15.75" hidden="false" customHeight="false" outlineLevel="0" collapsed="false">
      <c r="A15814" s="6" t="n">
        <f aca="false">DATE(2026,5,10)</f>
        <v>46152</v>
      </c>
      <c r="B15814" s="4" t="s">
        <v>4473</v>
      </c>
      <c r="C15814" s="4" t="n">
        <v>1</v>
      </c>
      <c r="D15814" s="4" t="n">
        <v>12</v>
      </c>
      <c r="E15814" s="4" t="s">
        <v>1433</v>
      </c>
      <c r="F15814" s="4" t="n">
        <v>8</v>
      </c>
      <c r="G15814" s="4" t="n">
        <v>13</v>
      </c>
      <c r="H15814" s="4" t="n">
        <v>4</v>
      </c>
      <c r="I15814" s="4" t="str">
        <v>×</v>
      </c>
      <c r="J15814" s="4"/>
      <c r="K15814" s="4"/>
      <c r="L15814" s="4"/>
      <c r="M15814" s="7" t="s">
        <v>6871</v>
      </c>
    </row>
    <row r="15815" customFormat="false" ht="15.75" hidden="false" customHeight="false" outlineLevel="0" collapsed="false">
      <c r="A15815" s="6" t="n">
        <f aca="false">DATE(2026,5,10)</f>
        <v>46152</v>
      </c>
      <c r="B15815" s="4" t="s">
        <v>4473</v>
      </c>
      <c r="C15815" s="4" t="n">
        <v>1</v>
      </c>
      <c r="D15815" s="4" t="n">
        <v>11</v>
      </c>
      <c r="E15815" s="4" t="s">
        <v>2689</v>
      </c>
      <c r="F15815" s="4" t="n">
        <v>6</v>
      </c>
      <c r="G15815" s="4" t="n">
        <v>14</v>
      </c>
      <c r="H15815" s="4" t="n">
        <v>4</v>
      </c>
      <c r="I15815" s="4" t="str">
        <v>×</v>
      </c>
      <c r="J15815" s="4"/>
      <c r="K15815" s="4"/>
      <c r="L15815" s="4"/>
      <c r="M15815" s="7" t="s">
        <v>6871</v>
      </c>
    </row>
    <row r="15816" customFormat="false" ht="15.75" hidden="false" customHeight="false" outlineLevel="0" collapsed="false">
      <c r="A15816" s="6" t="n">
        <f aca="false">DATE(2026,5,10)</f>
        <v>46152</v>
      </c>
      <c r="B15816" s="4" t="s">
        <v>4473</v>
      </c>
      <c r="C15816" s="4" t="n">
        <v>1</v>
      </c>
      <c r="D15816" s="4" t="n">
        <v>14</v>
      </c>
      <c r="E15816" s="4" t="s">
        <v>4519</v>
      </c>
      <c r="F15816" s="4" t="n">
        <v>4</v>
      </c>
      <c r="G15816" s="4" t="n">
        <v>15</v>
      </c>
      <c r="H15816" s="4" t="n">
        <v>1</v>
      </c>
      <c r="I15816" s="4" t="str">
        <v>○</v>
      </c>
      <c r="J15816" s="4" t="n">
        <v>300</v>
      </c>
      <c r="K15816" s="4"/>
      <c r="L15816" s="4"/>
      <c r="M15816" s="7" t="s">
        <v>6871</v>
      </c>
    </row>
    <row r="15817" customFormat="false" ht="15.75" hidden="false" customHeight="false" outlineLevel="0" collapsed="false">
      <c r="A15817" s="6" t="n">
        <f aca="false">DATE(2026,5,10)</f>
        <v>46152</v>
      </c>
      <c r="B15817" s="4" t="s">
        <v>4473</v>
      </c>
      <c r="C15817" s="4" t="n">
        <v>1</v>
      </c>
      <c r="D15817" s="4" t="n">
        <v>13</v>
      </c>
      <c r="E15817" s="4" t="s">
        <v>3725</v>
      </c>
      <c r="F15817" s="4" t="n">
        <v>3</v>
      </c>
      <c r="G15817" s="4" t="n">
        <v>16</v>
      </c>
      <c r="H15817" s="4" t="n">
        <v>4</v>
      </c>
      <c r="I15817" s="4" t="str">
        <v>×</v>
      </c>
      <c r="J15817" s="4"/>
      <c r="K15817" s="4"/>
      <c r="L15817" s="4"/>
      <c r="M15817" s="7" t="s">
        <v>6871</v>
      </c>
    </row>
    <row r="15818" customFormat="false" ht="15.75" hidden="false" customHeight="false" outlineLevel="0" collapsed="false">
      <c r="A15818" s="6" t="n">
        <f aca="false">DATE(2026,5,10)</f>
        <v>46152</v>
      </c>
      <c r="B15818" s="4" t="s">
        <v>4473</v>
      </c>
      <c r="C15818" s="4" t="n">
        <v>2</v>
      </c>
      <c r="D15818" s="4" t="n">
        <v>16</v>
      </c>
      <c r="E15818" s="4" t="s">
        <v>7187</v>
      </c>
      <c r="F15818" s="4" t="n">
        <v>71</v>
      </c>
      <c r="G15818" s="4" t="n">
        <v>1</v>
      </c>
      <c r="H15818" s="4" t="n">
        <v>4</v>
      </c>
      <c r="I15818" s="4" t="str">
        <v>×</v>
      </c>
      <c r="J15818" s="4"/>
      <c r="K15818" s="4"/>
      <c r="L15818" s="4"/>
      <c r="M15818" s="7" t="s">
        <v>6871</v>
      </c>
    </row>
    <row r="15819" customFormat="false" ht="15.75" hidden="false" customHeight="false" outlineLevel="0" collapsed="false">
      <c r="A15819" s="6" t="n">
        <f aca="false">DATE(2026,5,10)</f>
        <v>46152</v>
      </c>
      <c r="B15819" s="4" t="s">
        <v>4473</v>
      </c>
      <c r="C15819" s="4" t="n">
        <v>2</v>
      </c>
      <c r="D15819" s="4" t="n">
        <v>7</v>
      </c>
      <c r="E15819" s="4" t="s">
        <v>7188</v>
      </c>
      <c r="F15819" s="4" t="n">
        <v>56</v>
      </c>
      <c r="G15819" s="4" t="n">
        <v>2</v>
      </c>
      <c r="H15819" s="4" t="n">
        <v>1</v>
      </c>
      <c r="I15819" s="4" t="str">
        <v>○</v>
      </c>
      <c r="J15819" s="4" t="n">
        <v>450</v>
      </c>
      <c r="K15819" s="4"/>
      <c r="L15819" s="4"/>
      <c r="M15819" s="7" t="s">
        <v>6871</v>
      </c>
    </row>
    <row r="15820" customFormat="false" ht="15.75" hidden="false" customHeight="false" outlineLevel="0" collapsed="false">
      <c r="A15820" s="6" t="n">
        <f aca="false">DATE(2026,5,10)</f>
        <v>46152</v>
      </c>
      <c r="B15820" s="4" t="s">
        <v>4473</v>
      </c>
      <c r="C15820" s="4" t="n">
        <v>2</v>
      </c>
      <c r="D15820" s="4" t="n">
        <v>2</v>
      </c>
      <c r="E15820" s="4" t="s">
        <v>3743</v>
      </c>
      <c r="F15820" s="4" t="n">
        <v>29</v>
      </c>
      <c r="G15820" s="4" t="n">
        <v>3</v>
      </c>
      <c r="H15820" s="4" t="n">
        <v>3</v>
      </c>
      <c r="I15820" s="4" t="str">
        <v>○</v>
      </c>
      <c r="J15820" s="4" t="n">
        <v>620</v>
      </c>
      <c r="K15820" s="4"/>
      <c r="L15820" s="4"/>
      <c r="M15820" s="7" t="s">
        <v>6871</v>
      </c>
    </row>
    <row r="15821" customFormat="false" ht="15.75" hidden="false" customHeight="false" outlineLevel="0" collapsed="false">
      <c r="A15821" s="6" t="n">
        <f aca="false">DATE(2026,5,10)</f>
        <v>46152</v>
      </c>
      <c r="B15821" s="4" t="s">
        <v>4473</v>
      </c>
      <c r="C15821" s="4" t="n">
        <v>2</v>
      </c>
      <c r="D15821" s="4" t="n">
        <v>11</v>
      </c>
      <c r="E15821" s="4" t="s">
        <v>1893</v>
      </c>
      <c r="F15821" s="4" t="n">
        <v>17</v>
      </c>
      <c r="G15821" s="4" t="n">
        <v>4</v>
      </c>
      <c r="H15821" s="4" t="n">
        <v>4</v>
      </c>
      <c r="I15821" s="4" t="str">
        <v>×</v>
      </c>
      <c r="J15821" s="4"/>
      <c r="K15821" s="4"/>
      <c r="L15821" s="4"/>
      <c r="M15821" s="7" t="s">
        <v>6871</v>
      </c>
    </row>
    <row r="15822" customFormat="false" ht="15.75" hidden="false" customHeight="false" outlineLevel="0" collapsed="false">
      <c r="A15822" s="6" t="n">
        <f aca="false">DATE(2026,5,10)</f>
        <v>46152</v>
      </c>
      <c r="B15822" s="4" t="s">
        <v>4473</v>
      </c>
      <c r="C15822" s="4" t="n">
        <v>2</v>
      </c>
      <c r="D15822" s="4" t="n">
        <v>14</v>
      </c>
      <c r="E15822" s="4" t="s">
        <v>5663</v>
      </c>
      <c r="F15822" s="4" t="n">
        <v>15</v>
      </c>
      <c r="G15822" s="4" t="n">
        <v>5</v>
      </c>
      <c r="H15822" s="4" t="n">
        <v>4</v>
      </c>
      <c r="I15822" s="4" t="str">
        <v>×</v>
      </c>
      <c r="J15822" s="4"/>
      <c r="K15822" s="4"/>
      <c r="L15822" s="4"/>
      <c r="M15822" s="7" t="s">
        <v>6871</v>
      </c>
    </row>
    <row r="15823" customFormat="false" ht="15.75" hidden="false" customHeight="false" outlineLevel="0" collapsed="false">
      <c r="A15823" s="6" t="n">
        <f aca="false">DATE(2026,5,10)</f>
        <v>46152</v>
      </c>
      <c r="B15823" s="4" t="s">
        <v>4473</v>
      </c>
      <c r="C15823" s="4" t="n">
        <v>2</v>
      </c>
      <c r="D15823" s="4" t="n">
        <v>1</v>
      </c>
      <c r="E15823" s="4" t="s">
        <v>4492</v>
      </c>
      <c r="F15823" s="4" t="n">
        <v>13</v>
      </c>
      <c r="G15823" s="4" t="n">
        <v>6</v>
      </c>
      <c r="H15823" s="4" t="n">
        <v>4</v>
      </c>
      <c r="I15823" s="4" t="str">
        <v>×</v>
      </c>
      <c r="J15823" s="4"/>
      <c r="K15823" s="4"/>
      <c r="L15823" s="4"/>
      <c r="M15823" s="7" t="s">
        <v>6871</v>
      </c>
    </row>
    <row r="15824" customFormat="false" ht="15.75" hidden="false" customHeight="false" outlineLevel="0" collapsed="false">
      <c r="A15824" s="6" t="n">
        <f aca="false">DATE(2026,5,10)</f>
        <v>46152</v>
      </c>
      <c r="B15824" s="4" t="s">
        <v>4473</v>
      </c>
      <c r="C15824" s="4" t="n">
        <v>2</v>
      </c>
      <c r="D15824" s="4" t="n">
        <v>10</v>
      </c>
      <c r="E15824" s="4" t="s">
        <v>4715</v>
      </c>
      <c r="F15824" s="4" t="n">
        <v>13</v>
      </c>
      <c r="G15824" s="4" t="n">
        <v>7</v>
      </c>
      <c r="H15824" s="4" t="n">
        <v>4</v>
      </c>
      <c r="I15824" s="4" t="str">
        <v>×</v>
      </c>
      <c r="J15824" s="4"/>
      <c r="K15824" s="4"/>
      <c r="L15824" s="4"/>
      <c r="M15824" s="7" t="s">
        <v>6871</v>
      </c>
    </row>
    <row r="15825" customFormat="false" ht="15.75" hidden="false" customHeight="false" outlineLevel="0" collapsed="false">
      <c r="A15825" s="6" t="n">
        <f aca="false">DATE(2026,5,10)</f>
        <v>46152</v>
      </c>
      <c r="B15825" s="4" t="s">
        <v>4473</v>
      </c>
      <c r="C15825" s="4" t="n">
        <v>2</v>
      </c>
      <c r="D15825" s="4" t="n">
        <v>6</v>
      </c>
      <c r="E15825" s="4" t="s">
        <v>2293</v>
      </c>
      <c r="F15825" s="4" t="n">
        <v>10</v>
      </c>
      <c r="G15825" s="4" t="n">
        <v>8</v>
      </c>
      <c r="H15825" s="4" t="n">
        <v>4</v>
      </c>
      <c r="I15825" s="4" t="str">
        <v>×</v>
      </c>
      <c r="J15825" s="4"/>
      <c r="K15825" s="4"/>
      <c r="L15825" s="4"/>
      <c r="M15825" s="7" t="s">
        <v>6871</v>
      </c>
    </row>
    <row r="15826" customFormat="false" ht="15.75" hidden="false" customHeight="false" outlineLevel="0" collapsed="false">
      <c r="A15826" s="6" t="n">
        <f aca="false">DATE(2026,5,10)</f>
        <v>46152</v>
      </c>
      <c r="B15826" s="4" t="s">
        <v>4473</v>
      </c>
      <c r="C15826" s="4" t="n">
        <v>2</v>
      </c>
      <c r="D15826" s="4" t="n">
        <v>9</v>
      </c>
      <c r="E15826" s="4" t="s">
        <v>5587</v>
      </c>
      <c r="F15826" s="4" t="n">
        <v>8</v>
      </c>
      <c r="G15826" s="4" t="n">
        <v>9</v>
      </c>
      <c r="H15826" s="4" t="n">
        <v>2</v>
      </c>
      <c r="I15826" s="4" t="str">
        <v>○</v>
      </c>
      <c r="J15826" s="4" t="n">
        <v>1840</v>
      </c>
      <c r="K15826" s="4"/>
      <c r="L15826" s="4"/>
      <c r="M15826" s="7" t="s">
        <v>6871</v>
      </c>
    </row>
    <row r="15827" customFormat="false" ht="15.75" hidden="false" customHeight="false" outlineLevel="0" collapsed="false">
      <c r="A15827" s="6" t="n">
        <f aca="false">DATE(2026,5,10)</f>
        <v>46152</v>
      </c>
      <c r="B15827" s="4" t="s">
        <v>4473</v>
      </c>
      <c r="C15827" s="4" t="n">
        <v>2</v>
      </c>
      <c r="D15827" s="4" t="n">
        <v>4</v>
      </c>
      <c r="E15827" s="4" t="s">
        <v>4236</v>
      </c>
      <c r="F15827" s="4" t="n">
        <v>6</v>
      </c>
      <c r="G15827" s="4" t="n">
        <v>10</v>
      </c>
      <c r="H15827" s="4" t="n">
        <v>4</v>
      </c>
      <c r="I15827" s="4" t="str">
        <v>×</v>
      </c>
      <c r="J15827" s="4"/>
      <c r="K15827" s="4"/>
      <c r="L15827" s="4"/>
      <c r="M15827" s="7" t="s">
        <v>6871</v>
      </c>
    </row>
    <row r="15828" customFormat="false" ht="15.75" hidden="false" customHeight="false" outlineLevel="0" collapsed="false">
      <c r="A15828" s="6" t="n">
        <f aca="false">DATE(2026,5,10)</f>
        <v>46152</v>
      </c>
      <c r="B15828" s="4" t="s">
        <v>4473</v>
      </c>
      <c r="C15828" s="4" t="n">
        <v>2</v>
      </c>
      <c r="D15828" s="4" t="n">
        <v>8</v>
      </c>
      <c r="E15828" s="4" t="s">
        <v>7189</v>
      </c>
      <c r="F15828" s="4" t="n">
        <v>6</v>
      </c>
      <c r="G15828" s="4" t="n">
        <v>11</v>
      </c>
      <c r="H15828" s="4" t="n">
        <v>4</v>
      </c>
      <c r="I15828" s="4" t="str">
        <v>×</v>
      </c>
      <c r="J15828" s="4"/>
      <c r="K15828" s="4"/>
      <c r="L15828" s="4"/>
      <c r="M15828" s="7" t="s">
        <v>6871</v>
      </c>
    </row>
    <row r="15829" customFormat="false" ht="15.75" hidden="false" customHeight="false" outlineLevel="0" collapsed="false">
      <c r="A15829" s="6" t="n">
        <f aca="false">DATE(2026,5,10)</f>
        <v>46152</v>
      </c>
      <c r="B15829" s="4" t="s">
        <v>4473</v>
      </c>
      <c r="C15829" s="4" t="n">
        <v>2</v>
      </c>
      <c r="D15829" s="4" t="n">
        <v>5</v>
      </c>
      <c r="E15829" s="4" t="s">
        <v>939</v>
      </c>
      <c r="F15829" s="4" t="n">
        <v>4</v>
      </c>
      <c r="G15829" s="4" t="n">
        <v>12</v>
      </c>
      <c r="H15829" s="4" t="n">
        <v>4</v>
      </c>
      <c r="I15829" s="4" t="str">
        <v>×</v>
      </c>
      <c r="J15829" s="4"/>
      <c r="K15829" s="4"/>
      <c r="L15829" s="4"/>
      <c r="M15829" s="7" t="s">
        <v>6871</v>
      </c>
    </row>
    <row r="15830" customFormat="false" ht="15.75" hidden="false" customHeight="false" outlineLevel="0" collapsed="false">
      <c r="A15830" s="6" t="n">
        <f aca="false">DATE(2026,5,10)</f>
        <v>46152</v>
      </c>
      <c r="B15830" s="4" t="s">
        <v>4473</v>
      </c>
      <c r="C15830" s="4" t="n">
        <v>2</v>
      </c>
      <c r="D15830" s="4" t="n">
        <v>15</v>
      </c>
      <c r="E15830" s="4" t="s">
        <v>807</v>
      </c>
      <c r="F15830" s="4" t="n">
        <v>3</v>
      </c>
      <c r="G15830" s="4" t="n">
        <v>13</v>
      </c>
      <c r="H15830" s="4" t="n">
        <v>4</v>
      </c>
      <c r="I15830" s="4" t="str">
        <v>×</v>
      </c>
      <c r="J15830" s="4"/>
      <c r="K15830" s="4"/>
      <c r="L15830" s="4"/>
      <c r="M15830" s="7" t="s">
        <v>6871</v>
      </c>
    </row>
    <row r="15831" customFormat="false" ht="15.75" hidden="false" customHeight="false" outlineLevel="0" collapsed="false">
      <c r="A15831" s="6" t="n">
        <f aca="false">DATE(2026,5,10)</f>
        <v>46152</v>
      </c>
      <c r="B15831" s="4" t="s">
        <v>4473</v>
      </c>
      <c r="C15831" s="4" t="n">
        <v>2</v>
      </c>
      <c r="D15831" s="4" t="n">
        <v>3</v>
      </c>
      <c r="E15831" s="4" t="s">
        <v>59</v>
      </c>
      <c r="F15831" s="4" t="n">
        <v>2</v>
      </c>
      <c r="G15831" s="4" t="n">
        <v>14</v>
      </c>
      <c r="H15831" s="4" t="n">
        <v>4</v>
      </c>
      <c r="I15831" s="4" t="str">
        <v>×</v>
      </c>
      <c r="J15831" s="4"/>
      <c r="K15831" s="4"/>
      <c r="L15831" s="4"/>
      <c r="M15831" s="7" t="s">
        <v>6871</v>
      </c>
    </row>
    <row r="15832" customFormat="false" ht="15.75" hidden="false" customHeight="false" outlineLevel="0" collapsed="false">
      <c r="A15832" s="6" t="n">
        <f aca="false">DATE(2026,5,10)</f>
        <v>46152</v>
      </c>
      <c r="B15832" s="4" t="s">
        <v>4473</v>
      </c>
      <c r="C15832" s="4" t="n">
        <v>2</v>
      </c>
      <c r="D15832" s="4" t="n">
        <v>12</v>
      </c>
      <c r="E15832" s="4" t="s">
        <v>4673</v>
      </c>
      <c r="F15832" s="4" t="n">
        <v>1</v>
      </c>
      <c r="G15832" s="4" t="n">
        <v>15</v>
      </c>
      <c r="H15832" s="4" t="n">
        <v>4</v>
      </c>
      <c r="I15832" s="4" t="str">
        <v>×</v>
      </c>
      <c r="J15832" s="4"/>
      <c r="K15832" s="4"/>
      <c r="L15832" s="4"/>
      <c r="M15832" s="7" t="s">
        <v>6871</v>
      </c>
    </row>
    <row r="15833" customFormat="false" ht="15.75" hidden="false" customHeight="false" outlineLevel="0" collapsed="false">
      <c r="A15833" s="6" t="n">
        <f aca="false">DATE(2026,5,10)</f>
        <v>46152</v>
      </c>
      <c r="B15833" s="4" t="s">
        <v>4473</v>
      </c>
      <c r="C15833" s="4" t="n">
        <v>2</v>
      </c>
      <c r="D15833" s="4" t="n">
        <v>13</v>
      </c>
      <c r="E15833" s="4" t="s">
        <v>7190</v>
      </c>
      <c r="F15833" s="4" t="n">
        <v>1</v>
      </c>
      <c r="G15833" s="4" t="n">
        <v>16</v>
      </c>
      <c r="H15833" s="4" t="n">
        <v>4</v>
      </c>
      <c r="I15833" s="4" t="str">
        <v>×</v>
      </c>
      <c r="J15833" s="4"/>
      <c r="K15833" s="4"/>
      <c r="L15833" s="4"/>
      <c r="M15833" s="7" t="s">
        <v>6871</v>
      </c>
    </row>
    <row r="15834" customFormat="false" ht="15.75" hidden="false" customHeight="false" outlineLevel="0" collapsed="false">
      <c r="A15834" s="6" t="n">
        <f aca="false">DATE(2026,5,10)</f>
        <v>46152</v>
      </c>
      <c r="B15834" s="4" t="s">
        <v>4473</v>
      </c>
      <c r="C15834" s="4" t="n">
        <v>3</v>
      </c>
      <c r="D15834" s="4" t="n">
        <v>10</v>
      </c>
      <c r="E15834" s="4" t="s">
        <v>2211</v>
      </c>
      <c r="F15834" s="4" t="n">
        <v>65</v>
      </c>
      <c r="G15834" s="4" t="n">
        <v>1</v>
      </c>
      <c r="H15834" s="4" t="n">
        <v>2</v>
      </c>
      <c r="I15834" s="4" t="str">
        <v>○</v>
      </c>
      <c r="J15834" s="4" t="n">
        <v>170</v>
      </c>
      <c r="K15834" s="4"/>
      <c r="L15834" s="4"/>
      <c r="M15834" s="7" t="s">
        <v>6871</v>
      </c>
    </row>
    <row r="15835" customFormat="false" ht="15.75" hidden="false" customHeight="false" outlineLevel="0" collapsed="false">
      <c r="A15835" s="6" t="n">
        <f aca="false">DATE(2026,5,10)</f>
        <v>46152</v>
      </c>
      <c r="B15835" s="4" t="s">
        <v>4473</v>
      </c>
      <c r="C15835" s="4" t="n">
        <v>3</v>
      </c>
      <c r="D15835" s="4" t="n">
        <v>6</v>
      </c>
      <c r="E15835" s="4" t="s">
        <v>2369</v>
      </c>
      <c r="F15835" s="4" t="n">
        <v>52</v>
      </c>
      <c r="G15835" s="4" t="n">
        <v>2</v>
      </c>
      <c r="H15835" s="4" t="n">
        <v>4</v>
      </c>
      <c r="I15835" s="4" t="str">
        <v>×</v>
      </c>
      <c r="J15835" s="4"/>
      <c r="K15835" s="4"/>
      <c r="L15835" s="4"/>
      <c r="M15835" s="7" t="s">
        <v>6871</v>
      </c>
    </row>
    <row r="15836" customFormat="false" ht="15.75" hidden="false" customHeight="false" outlineLevel="0" collapsed="false">
      <c r="A15836" s="6" t="n">
        <f aca="false">DATE(2026,5,10)</f>
        <v>46152</v>
      </c>
      <c r="B15836" s="4" t="s">
        <v>4473</v>
      </c>
      <c r="C15836" s="4" t="n">
        <v>3</v>
      </c>
      <c r="D15836" s="4" t="n">
        <v>2</v>
      </c>
      <c r="E15836" s="4" t="s">
        <v>368</v>
      </c>
      <c r="F15836" s="4" t="n">
        <v>39</v>
      </c>
      <c r="G15836" s="4" t="n">
        <v>3</v>
      </c>
      <c r="H15836" s="4" t="n">
        <v>4</v>
      </c>
      <c r="I15836" s="4" t="str">
        <v>×</v>
      </c>
      <c r="J15836" s="4"/>
      <c r="K15836" s="4"/>
      <c r="L15836" s="4"/>
      <c r="M15836" s="7" t="s">
        <v>6871</v>
      </c>
    </row>
    <row r="15837" customFormat="false" ht="15.75" hidden="false" customHeight="false" outlineLevel="0" collapsed="false">
      <c r="A15837" s="6" t="n">
        <f aca="false">DATE(2026,5,10)</f>
        <v>46152</v>
      </c>
      <c r="B15837" s="4" t="s">
        <v>4473</v>
      </c>
      <c r="C15837" s="4" t="n">
        <v>3</v>
      </c>
      <c r="D15837" s="4" t="n">
        <v>3</v>
      </c>
      <c r="E15837" s="4" t="s">
        <v>3015</v>
      </c>
      <c r="F15837" s="4" t="n">
        <v>34</v>
      </c>
      <c r="G15837" s="4" t="n">
        <v>4</v>
      </c>
      <c r="H15837" s="4" t="n">
        <v>4</v>
      </c>
      <c r="I15837" s="4" t="str">
        <v>×</v>
      </c>
      <c r="J15837" s="4"/>
      <c r="K15837" s="4"/>
      <c r="L15837" s="4"/>
      <c r="M15837" s="7" t="s">
        <v>6871</v>
      </c>
    </row>
    <row r="15838" customFormat="false" ht="15.75" hidden="false" customHeight="false" outlineLevel="0" collapsed="false">
      <c r="A15838" s="6" t="n">
        <f aca="false">DATE(2026,5,10)</f>
        <v>46152</v>
      </c>
      <c r="B15838" s="4" t="s">
        <v>4473</v>
      </c>
      <c r="C15838" s="4" t="n">
        <v>3</v>
      </c>
      <c r="D15838" s="4" t="n">
        <v>12</v>
      </c>
      <c r="E15838" s="4" t="s">
        <v>6004</v>
      </c>
      <c r="F15838" s="4" t="n">
        <v>29</v>
      </c>
      <c r="G15838" s="4" t="n">
        <v>5</v>
      </c>
      <c r="H15838" s="4" t="n">
        <v>3</v>
      </c>
      <c r="I15838" s="4" t="str">
        <v>○</v>
      </c>
      <c r="J15838" s="4" t="n">
        <v>360</v>
      </c>
      <c r="K15838" s="4"/>
      <c r="L15838" s="4"/>
      <c r="M15838" s="7" t="s">
        <v>6871</v>
      </c>
    </row>
    <row r="15839" customFormat="false" ht="15.75" hidden="false" customHeight="false" outlineLevel="0" collapsed="false">
      <c r="A15839" s="6" t="n">
        <f aca="false">DATE(2026,5,10)</f>
        <v>46152</v>
      </c>
      <c r="B15839" s="4" t="s">
        <v>4473</v>
      </c>
      <c r="C15839" s="4" t="n">
        <v>3</v>
      </c>
      <c r="D15839" s="4" t="n">
        <v>14</v>
      </c>
      <c r="E15839" s="4" t="s">
        <v>3010</v>
      </c>
      <c r="F15839" s="4" t="n">
        <v>17</v>
      </c>
      <c r="G15839" s="4" t="n">
        <v>6</v>
      </c>
      <c r="H15839" s="4" t="n">
        <v>4</v>
      </c>
      <c r="I15839" s="4" t="str">
        <v>×</v>
      </c>
      <c r="J15839" s="4"/>
      <c r="K15839" s="4"/>
      <c r="L15839" s="4"/>
      <c r="M15839" s="7" t="s">
        <v>6871</v>
      </c>
    </row>
    <row r="15840" customFormat="false" ht="15.75" hidden="false" customHeight="false" outlineLevel="0" collapsed="false">
      <c r="A15840" s="6" t="n">
        <f aca="false">DATE(2026,5,10)</f>
        <v>46152</v>
      </c>
      <c r="B15840" s="4" t="s">
        <v>4473</v>
      </c>
      <c r="C15840" s="4" t="n">
        <v>3</v>
      </c>
      <c r="D15840" s="4" t="n">
        <v>1</v>
      </c>
      <c r="E15840" s="4" t="s">
        <v>5989</v>
      </c>
      <c r="F15840" s="4" t="n">
        <v>15</v>
      </c>
      <c r="G15840" s="4" t="n">
        <v>7</v>
      </c>
      <c r="H15840" s="4" t="n">
        <v>4</v>
      </c>
      <c r="I15840" s="4" t="str">
        <v>×</v>
      </c>
      <c r="J15840" s="4"/>
      <c r="K15840" s="4"/>
      <c r="L15840" s="4"/>
      <c r="M15840" s="7" t="s">
        <v>6871</v>
      </c>
    </row>
    <row r="15841" customFormat="false" ht="15.75" hidden="false" customHeight="false" outlineLevel="0" collapsed="false">
      <c r="A15841" s="6" t="n">
        <f aca="false">DATE(2026,5,10)</f>
        <v>46152</v>
      </c>
      <c r="B15841" s="4" t="s">
        <v>4473</v>
      </c>
      <c r="C15841" s="4" t="n">
        <v>3</v>
      </c>
      <c r="D15841" s="4" t="n">
        <v>18</v>
      </c>
      <c r="E15841" s="4" t="s">
        <v>508</v>
      </c>
      <c r="F15841" s="4" t="n">
        <v>13</v>
      </c>
      <c r="G15841" s="4" t="n">
        <v>8</v>
      </c>
      <c r="H15841" s="4" t="n">
        <v>4</v>
      </c>
      <c r="I15841" s="4" t="str">
        <v>×</v>
      </c>
      <c r="J15841" s="4"/>
      <c r="K15841" s="4"/>
      <c r="L15841" s="4"/>
      <c r="M15841" s="7" t="s">
        <v>6871</v>
      </c>
    </row>
    <row r="15842" customFormat="false" ht="15.75" hidden="false" customHeight="false" outlineLevel="0" collapsed="false">
      <c r="A15842" s="6" t="n">
        <f aca="false">DATE(2026,5,10)</f>
        <v>46152</v>
      </c>
      <c r="B15842" s="4" t="s">
        <v>4473</v>
      </c>
      <c r="C15842" s="4" t="n">
        <v>3</v>
      </c>
      <c r="D15842" s="4" t="n">
        <v>9</v>
      </c>
      <c r="E15842" s="4" t="s">
        <v>146</v>
      </c>
      <c r="F15842" s="4" t="n">
        <v>10</v>
      </c>
      <c r="G15842" s="4" t="n">
        <v>9</v>
      </c>
      <c r="H15842" s="4" t="n">
        <v>4</v>
      </c>
      <c r="I15842" s="4" t="str">
        <v>×</v>
      </c>
      <c r="J15842" s="4"/>
      <c r="K15842" s="4"/>
      <c r="L15842" s="4"/>
      <c r="M15842" s="7" t="s">
        <v>6871</v>
      </c>
    </row>
    <row r="15843" customFormat="false" ht="15.75" hidden="false" customHeight="false" outlineLevel="0" collapsed="false">
      <c r="A15843" s="6" t="n">
        <f aca="false">DATE(2026,5,10)</f>
        <v>46152</v>
      </c>
      <c r="B15843" s="4" t="s">
        <v>4473</v>
      </c>
      <c r="C15843" s="4" t="n">
        <v>3</v>
      </c>
      <c r="D15843" s="4" t="n">
        <v>13</v>
      </c>
      <c r="E15843" s="4" t="s">
        <v>3027</v>
      </c>
      <c r="F15843" s="4" t="n">
        <v>10</v>
      </c>
      <c r="G15843" s="4" t="n">
        <v>10</v>
      </c>
      <c r="H15843" s="4" t="n">
        <v>4</v>
      </c>
      <c r="I15843" s="4" t="str">
        <v>×</v>
      </c>
      <c r="J15843" s="4"/>
      <c r="K15843" s="4"/>
      <c r="L15843" s="4"/>
      <c r="M15843" s="7" t="s">
        <v>6871</v>
      </c>
    </row>
    <row r="15844" customFormat="false" ht="15.75" hidden="false" customHeight="false" outlineLevel="0" collapsed="false">
      <c r="A15844" s="6" t="n">
        <f aca="false">DATE(2026,5,10)</f>
        <v>46152</v>
      </c>
      <c r="B15844" s="4" t="s">
        <v>4473</v>
      </c>
      <c r="C15844" s="4" t="n">
        <v>3</v>
      </c>
      <c r="D15844" s="4" t="n">
        <v>8</v>
      </c>
      <c r="E15844" s="4" t="s">
        <v>7191</v>
      </c>
      <c r="F15844" s="4" t="n">
        <v>8</v>
      </c>
      <c r="G15844" s="4" t="n">
        <v>11</v>
      </c>
      <c r="H15844" s="4" t="n">
        <v>4</v>
      </c>
      <c r="I15844" s="4" t="str">
        <v>×</v>
      </c>
      <c r="J15844" s="4"/>
      <c r="K15844" s="4"/>
      <c r="L15844" s="4"/>
      <c r="M15844" s="7" t="s">
        <v>6871</v>
      </c>
    </row>
    <row r="15845" customFormat="false" ht="15.75" hidden="false" customHeight="false" outlineLevel="0" collapsed="false">
      <c r="A15845" s="6" t="n">
        <f aca="false">DATE(2026,5,10)</f>
        <v>46152</v>
      </c>
      <c r="B15845" s="4" t="s">
        <v>4473</v>
      </c>
      <c r="C15845" s="4" t="n">
        <v>3</v>
      </c>
      <c r="D15845" s="4" t="n">
        <v>5</v>
      </c>
      <c r="E15845" s="4" t="s">
        <v>7192</v>
      </c>
      <c r="F15845" s="4" t="n">
        <v>6</v>
      </c>
      <c r="G15845" s="4" t="n">
        <v>12</v>
      </c>
      <c r="H15845" s="4" t="n">
        <v>1</v>
      </c>
      <c r="I15845" s="4" t="str">
        <v>○</v>
      </c>
      <c r="J15845" s="4" t="n">
        <v>1490</v>
      </c>
      <c r="K15845" s="4"/>
      <c r="L15845" s="4"/>
      <c r="M15845" s="7" t="s">
        <v>6871</v>
      </c>
    </row>
    <row r="15846" customFormat="false" ht="15.75" hidden="false" customHeight="false" outlineLevel="0" collapsed="false">
      <c r="A15846" s="6" t="n">
        <f aca="false">DATE(2026,5,10)</f>
        <v>46152</v>
      </c>
      <c r="B15846" s="4" t="s">
        <v>4473</v>
      </c>
      <c r="C15846" s="4" t="n">
        <v>3</v>
      </c>
      <c r="D15846" s="4" t="n">
        <v>4</v>
      </c>
      <c r="E15846" s="4" t="s">
        <v>1396</v>
      </c>
      <c r="F15846" s="4" t="n">
        <v>4</v>
      </c>
      <c r="G15846" s="4" t="n">
        <v>13</v>
      </c>
      <c r="H15846" s="4" t="n">
        <v>4</v>
      </c>
      <c r="I15846" s="4" t="str">
        <v>×</v>
      </c>
      <c r="J15846" s="4"/>
      <c r="K15846" s="4"/>
      <c r="L15846" s="4"/>
      <c r="M15846" s="7" t="s">
        <v>6871</v>
      </c>
    </row>
    <row r="15847" customFormat="false" ht="15.75" hidden="false" customHeight="false" outlineLevel="0" collapsed="false">
      <c r="A15847" s="6" t="n">
        <f aca="false">DATE(2026,5,10)</f>
        <v>46152</v>
      </c>
      <c r="B15847" s="4" t="s">
        <v>4473</v>
      </c>
      <c r="C15847" s="4" t="n">
        <v>3</v>
      </c>
      <c r="D15847" s="4" t="n">
        <v>15</v>
      </c>
      <c r="E15847" s="4" t="s">
        <v>4107</v>
      </c>
      <c r="F15847" s="4" t="n">
        <v>4</v>
      </c>
      <c r="G15847" s="4" t="n">
        <v>14</v>
      </c>
      <c r="H15847" s="4" t="n">
        <v>4</v>
      </c>
      <c r="I15847" s="4" t="str">
        <v>×</v>
      </c>
      <c r="J15847" s="4"/>
      <c r="K15847" s="4"/>
      <c r="L15847" s="4"/>
      <c r="M15847" s="7" t="s">
        <v>6871</v>
      </c>
    </row>
    <row r="15848" customFormat="false" ht="15.75" hidden="false" customHeight="false" outlineLevel="0" collapsed="false">
      <c r="A15848" s="6" t="n">
        <f aca="false">DATE(2026,5,10)</f>
        <v>46152</v>
      </c>
      <c r="B15848" s="4" t="s">
        <v>4473</v>
      </c>
      <c r="C15848" s="4" t="n">
        <v>3</v>
      </c>
      <c r="D15848" s="4" t="n">
        <v>17</v>
      </c>
      <c r="E15848" s="4" t="s">
        <v>7193</v>
      </c>
      <c r="F15848" s="4" t="n">
        <v>4</v>
      </c>
      <c r="G15848" s="4" t="n">
        <v>15</v>
      </c>
      <c r="H15848" s="4" t="n">
        <v>4</v>
      </c>
      <c r="I15848" s="4" t="str">
        <v>×</v>
      </c>
      <c r="J15848" s="4"/>
      <c r="K15848" s="4"/>
      <c r="L15848" s="4"/>
      <c r="M15848" s="7" t="s">
        <v>6871</v>
      </c>
    </row>
    <row r="15849" customFormat="false" ht="15.75" hidden="false" customHeight="false" outlineLevel="0" collapsed="false">
      <c r="A15849" s="6" t="n">
        <f aca="false">DATE(2026,5,10)</f>
        <v>46152</v>
      </c>
      <c r="B15849" s="4" t="s">
        <v>4473</v>
      </c>
      <c r="C15849" s="4" t="n">
        <v>3</v>
      </c>
      <c r="D15849" s="4" t="n">
        <v>7</v>
      </c>
      <c r="E15849" s="4" t="s">
        <v>3011</v>
      </c>
      <c r="F15849" s="4" t="n">
        <v>2</v>
      </c>
      <c r="G15849" s="4" t="n">
        <v>16</v>
      </c>
      <c r="H15849" s="4" t="n">
        <v>4</v>
      </c>
      <c r="I15849" s="4" t="str">
        <v>×</v>
      </c>
      <c r="J15849" s="4"/>
      <c r="K15849" s="4"/>
      <c r="L15849" s="4"/>
      <c r="M15849" s="7" t="s">
        <v>6871</v>
      </c>
    </row>
    <row r="15850" customFormat="false" ht="15.75" hidden="false" customHeight="false" outlineLevel="0" collapsed="false">
      <c r="A15850" s="6" t="n">
        <f aca="false">DATE(2026,5,10)</f>
        <v>46152</v>
      </c>
      <c r="B15850" s="4" t="s">
        <v>4473</v>
      </c>
      <c r="C15850" s="4" t="n">
        <v>3</v>
      </c>
      <c r="D15850" s="4" t="n">
        <v>11</v>
      </c>
      <c r="E15850" s="4" t="s">
        <v>5815</v>
      </c>
      <c r="F15850" s="4" t="n">
        <v>2</v>
      </c>
      <c r="G15850" s="4" t="n">
        <v>17</v>
      </c>
      <c r="H15850" s="4" t="n">
        <v>4</v>
      </c>
      <c r="I15850" s="4" t="str">
        <v>×</v>
      </c>
      <c r="J15850" s="4"/>
      <c r="K15850" s="4"/>
      <c r="L15850" s="4"/>
      <c r="M15850" s="7" t="s">
        <v>6871</v>
      </c>
    </row>
    <row r="15851" customFormat="false" ht="15.75" hidden="false" customHeight="false" outlineLevel="0" collapsed="false">
      <c r="A15851" s="6" t="n">
        <f aca="false">DATE(2026,5,10)</f>
        <v>46152</v>
      </c>
      <c r="B15851" s="4" t="s">
        <v>4473</v>
      </c>
      <c r="C15851" s="4" t="n">
        <v>3</v>
      </c>
      <c r="D15851" s="4" t="n">
        <v>16</v>
      </c>
      <c r="E15851" s="4" t="s">
        <v>489</v>
      </c>
      <c r="F15851" s="4" t="n">
        <v>1</v>
      </c>
      <c r="G15851" s="4" t="n">
        <v>18</v>
      </c>
      <c r="H15851" s="4" t="n">
        <v>4</v>
      </c>
      <c r="I15851" s="4" t="str">
        <v>×</v>
      </c>
      <c r="J15851" s="4"/>
      <c r="K15851" s="4"/>
      <c r="L15851" s="4"/>
      <c r="M15851" s="7" t="s">
        <v>6871</v>
      </c>
    </row>
    <row r="15852" customFormat="false" ht="15.75" hidden="false" customHeight="false" outlineLevel="0" collapsed="false">
      <c r="A15852" s="6" t="n">
        <f aca="false">DATE(2026,5,10)</f>
        <v>46152</v>
      </c>
      <c r="B15852" s="4" t="s">
        <v>4473</v>
      </c>
      <c r="C15852" s="4" t="n">
        <v>4</v>
      </c>
      <c r="D15852" s="4" t="n">
        <v>7</v>
      </c>
      <c r="E15852" s="4" t="s">
        <v>5806</v>
      </c>
      <c r="F15852" s="4" t="n">
        <v>67</v>
      </c>
      <c r="G15852" s="4" t="n">
        <v>1</v>
      </c>
      <c r="H15852" s="4" t="n">
        <v>4</v>
      </c>
      <c r="I15852" s="4" t="str">
        <v>×</v>
      </c>
      <c r="J15852" s="4"/>
      <c r="K15852" s="4"/>
      <c r="L15852" s="4"/>
      <c r="M15852" s="7" t="s">
        <v>6871</v>
      </c>
    </row>
    <row r="15853" customFormat="false" ht="15.75" hidden="false" customHeight="false" outlineLevel="0" collapsed="false">
      <c r="A15853" s="6" t="n">
        <f aca="false">DATE(2026,5,10)</f>
        <v>46152</v>
      </c>
      <c r="B15853" s="4" t="s">
        <v>4473</v>
      </c>
      <c r="C15853" s="4" t="n">
        <v>4</v>
      </c>
      <c r="D15853" s="4" t="n">
        <v>4</v>
      </c>
      <c r="E15853" s="4" t="s">
        <v>7194</v>
      </c>
      <c r="F15853" s="4" t="n">
        <v>65</v>
      </c>
      <c r="G15853" s="4" t="n">
        <v>2</v>
      </c>
      <c r="H15853" s="4" t="n">
        <v>1</v>
      </c>
      <c r="I15853" s="4" t="str">
        <v>○</v>
      </c>
      <c r="J15853" s="4" t="n">
        <v>110</v>
      </c>
      <c r="K15853" s="4"/>
      <c r="L15853" s="4"/>
      <c r="M15853" s="7" t="s">
        <v>6871</v>
      </c>
    </row>
    <row r="15854" customFormat="false" ht="15.75" hidden="false" customHeight="false" outlineLevel="0" collapsed="false">
      <c r="A15854" s="6" t="n">
        <f aca="false">DATE(2026,5,10)</f>
        <v>46152</v>
      </c>
      <c r="B15854" s="4" t="s">
        <v>4473</v>
      </c>
      <c r="C15854" s="4" t="n">
        <v>4</v>
      </c>
      <c r="D15854" s="4" t="n">
        <v>10</v>
      </c>
      <c r="E15854" s="4" t="s">
        <v>4030</v>
      </c>
      <c r="F15854" s="4" t="n">
        <v>39</v>
      </c>
      <c r="G15854" s="4" t="n">
        <v>3</v>
      </c>
      <c r="H15854" s="4" t="n">
        <v>4</v>
      </c>
      <c r="I15854" s="4" t="str">
        <v>×</v>
      </c>
      <c r="J15854" s="4"/>
      <c r="K15854" s="4"/>
      <c r="L15854" s="4"/>
      <c r="M15854" s="7" t="s">
        <v>6871</v>
      </c>
    </row>
    <row r="15855" customFormat="false" ht="15.75" hidden="false" customHeight="false" outlineLevel="0" collapsed="false">
      <c r="A15855" s="6" t="n">
        <f aca="false">DATE(2026,5,10)</f>
        <v>46152</v>
      </c>
      <c r="B15855" s="4" t="s">
        <v>4473</v>
      </c>
      <c r="C15855" s="4" t="n">
        <v>4</v>
      </c>
      <c r="D15855" s="4" t="n">
        <v>6</v>
      </c>
      <c r="E15855" s="4" t="s">
        <v>5829</v>
      </c>
      <c r="F15855" s="4" t="n">
        <v>25</v>
      </c>
      <c r="G15855" s="4" t="n">
        <v>4</v>
      </c>
      <c r="H15855" s="4" t="n">
        <v>3</v>
      </c>
      <c r="I15855" s="4" t="str">
        <v>○</v>
      </c>
      <c r="J15855" s="4" t="n">
        <v>380</v>
      </c>
      <c r="K15855" s="4"/>
      <c r="L15855" s="4"/>
      <c r="M15855" s="7" t="s">
        <v>6871</v>
      </c>
    </row>
    <row r="15856" customFormat="false" ht="15.75" hidden="false" customHeight="false" outlineLevel="0" collapsed="false">
      <c r="A15856" s="6" t="n">
        <f aca="false">DATE(2026,5,10)</f>
        <v>46152</v>
      </c>
      <c r="B15856" s="4" t="s">
        <v>4473</v>
      </c>
      <c r="C15856" s="4" t="n">
        <v>4</v>
      </c>
      <c r="D15856" s="4" t="n">
        <v>9</v>
      </c>
      <c r="E15856" s="4" t="s">
        <v>7195</v>
      </c>
      <c r="F15856" s="4" t="n">
        <v>23</v>
      </c>
      <c r="G15856" s="4" t="n">
        <v>5</v>
      </c>
      <c r="H15856" s="4" t="n">
        <v>4</v>
      </c>
      <c r="I15856" s="4" t="str">
        <v>×</v>
      </c>
      <c r="J15856" s="4"/>
      <c r="K15856" s="4"/>
      <c r="L15856" s="4"/>
      <c r="M15856" s="7" t="s">
        <v>6871</v>
      </c>
    </row>
    <row r="15857" customFormat="false" ht="15.75" hidden="false" customHeight="false" outlineLevel="0" collapsed="false">
      <c r="A15857" s="6" t="n">
        <f aca="false">DATE(2026,5,10)</f>
        <v>46152</v>
      </c>
      <c r="B15857" s="4" t="s">
        <v>4473</v>
      </c>
      <c r="C15857" s="4" t="n">
        <v>4</v>
      </c>
      <c r="D15857" s="4" t="n">
        <v>8</v>
      </c>
      <c r="E15857" s="4" t="s">
        <v>2878</v>
      </c>
      <c r="F15857" s="4" t="n">
        <v>20</v>
      </c>
      <c r="G15857" s="4" t="n">
        <v>6</v>
      </c>
      <c r="H15857" s="4" t="n">
        <v>4</v>
      </c>
      <c r="I15857" s="4" t="str">
        <v>×</v>
      </c>
      <c r="J15857" s="4"/>
      <c r="K15857" s="4"/>
      <c r="L15857" s="4"/>
      <c r="M15857" s="7" t="s">
        <v>6871</v>
      </c>
    </row>
    <row r="15858" customFormat="false" ht="15.75" hidden="false" customHeight="false" outlineLevel="0" collapsed="false">
      <c r="A15858" s="6" t="n">
        <f aca="false">DATE(2026,5,10)</f>
        <v>46152</v>
      </c>
      <c r="B15858" s="4" t="s">
        <v>4473</v>
      </c>
      <c r="C15858" s="4" t="n">
        <v>4</v>
      </c>
      <c r="D15858" s="4" t="n">
        <v>2</v>
      </c>
      <c r="E15858" s="4" t="s">
        <v>5919</v>
      </c>
      <c r="F15858" s="4" t="n">
        <v>17</v>
      </c>
      <c r="G15858" s="4" t="n">
        <v>7</v>
      </c>
      <c r="H15858" s="4" t="n">
        <v>4</v>
      </c>
      <c r="I15858" s="4" t="str">
        <v>×</v>
      </c>
      <c r="J15858" s="4"/>
      <c r="K15858" s="4"/>
      <c r="L15858" s="4"/>
      <c r="M15858" s="7" t="s">
        <v>6871</v>
      </c>
    </row>
    <row r="15859" customFormat="false" ht="15.75" hidden="false" customHeight="false" outlineLevel="0" collapsed="false">
      <c r="A15859" s="6" t="n">
        <f aca="false">DATE(2026,5,10)</f>
        <v>46152</v>
      </c>
      <c r="B15859" s="4" t="s">
        <v>4473</v>
      </c>
      <c r="C15859" s="4" t="n">
        <v>4</v>
      </c>
      <c r="D15859" s="4" t="n">
        <v>3</v>
      </c>
      <c r="E15859" s="4" t="s">
        <v>7196</v>
      </c>
      <c r="F15859" s="4" t="n">
        <v>15</v>
      </c>
      <c r="G15859" s="4" t="n">
        <v>8</v>
      </c>
      <c r="H15859" s="4" t="n">
        <v>4</v>
      </c>
      <c r="I15859" s="4" t="str">
        <v>×</v>
      </c>
      <c r="J15859" s="4"/>
      <c r="K15859" s="4"/>
      <c r="L15859" s="4"/>
      <c r="M15859" s="7" t="s">
        <v>6871</v>
      </c>
    </row>
    <row r="15860" customFormat="false" ht="15.75" hidden="false" customHeight="false" outlineLevel="0" collapsed="false">
      <c r="A15860" s="6" t="n">
        <f aca="false">DATE(2026,5,10)</f>
        <v>46152</v>
      </c>
      <c r="B15860" s="4" t="s">
        <v>4473</v>
      </c>
      <c r="C15860" s="4" t="n">
        <v>4</v>
      </c>
      <c r="D15860" s="4" t="n">
        <v>1</v>
      </c>
      <c r="E15860" s="4" t="s">
        <v>3795</v>
      </c>
      <c r="F15860" s="4" t="n">
        <v>13</v>
      </c>
      <c r="G15860" s="4" t="n">
        <v>9</v>
      </c>
      <c r="H15860" s="4" t="n">
        <v>4</v>
      </c>
      <c r="I15860" s="4" t="str">
        <v>×</v>
      </c>
      <c r="J15860" s="4"/>
      <c r="K15860" s="4"/>
      <c r="L15860" s="4"/>
      <c r="M15860" s="7" t="s">
        <v>6871</v>
      </c>
    </row>
    <row r="15861" customFormat="false" ht="15.75" hidden="false" customHeight="false" outlineLevel="0" collapsed="false">
      <c r="A15861" s="6" t="n">
        <f aca="false">DATE(2026,5,10)</f>
        <v>46152</v>
      </c>
      <c r="B15861" s="4" t="s">
        <v>4473</v>
      </c>
      <c r="C15861" s="4" t="n">
        <v>4</v>
      </c>
      <c r="D15861" s="4" t="n">
        <v>11</v>
      </c>
      <c r="E15861" s="4" t="s">
        <v>622</v>
      </c>
      <c r="F15861" s="4" t="n">
        <v>8</v>
      </c>
      <c r="G15861" s="4" t="n">
        <v>10</v>
      </c>
      <c r="H15861" s="4" t="n">
        <v>4</v>
      </c>
      <c r="I15861" s="4" t="str">
        <v>×</v>
      </c>
      <c r="J15861" s="4"/>
      <c r="K15861" s="4"/>
      <c r="L15861" s="4"/>
      <c r="M15861" s="7" t="s">
        <v>6871</v>
      </c>
    </row>
    <row r="15862" customFormat="false" ht="15.75" hidden="false" customHeight="false" outlineLevel="0" collapsed="false">
      <c r="A15862" s="6" t="n">
        <f aca="false">DATE(2026,5,10)</f>
        <v>46152</v>
      </c>
      <c r="B15862" s="4" t="s">
        <v>4473</v>
      </c>
      <c r="C15862" s="4" t="n">
        <v>4</v>
      </c>
      <c r="D15862" s="4" t="n">
        <v>14</v>
      </c>
      <c r="E15862" s="4" t="s">
        <v>7197</v>
      </c>
      <c r="F15862" s="4" t="n">
        <v>8</v>
      </c>
      <c r="G15862" s="4" t="n">
        <v>11</v>
      </c>
      <c r="H15862" s="4" t="n">
        <v>4</v>
      </c>
      <c r="I15862" s="4" t="str">
        <v>×</v>
      </c>
      <c r="J15862" s="4"/>
      <c r="K15862" s="4"/>
      <c r="L15862" s="4"/>
      <c r="M15862" s="7" t="s">
        <v>6871</v>
      </c>
    </row>
    <row r="15863" customFormat="false" ht="15.75" hidden="false" customHeight="false" outlineLevel="0" collapsed="false">
      <c r="A15863" s="6" t="n">
        <f aca="false">DATE(2026,5,10)</f>
        <v>46152</v>
      </c>
      <c r="B15863" s="4" t="s">
        <v>4473</v>
      </c>
      <c r="C15863" s="4" t="n">
        <v>4</v>
      </c>
      <c r="D15863" s="4" t="n">
        <v>5</v>
      </c>
      <c r="E15863" s="4" t="s">
        <v>4487</v>
      </c>
      <c r="F15863" s="4" t="n">
        <v>4</v>
      </c>
      <c r="G15863" s="4" t="n">
        <v>12</v>
      </c>
      <c r="H15863" s="4" t="n">
        <v>4</v>
      </c>
      <c r="I15863" s="4" t="str">
        <v>×</v>
      </c>
      <c r="J15863" s="4"/>
      <c r="K15863" s="4"/>
      <c r="L15863" s="4"/>
      <c r="M15863" s="7" t="s">
        <v>6871</v>
      </c>
    </row>
    <row r="15864" customFormat="false" ht="15.75" hidden="false" customHeight="false" outlineLevel="0" collapsed="false">
      <c r="A15864" s="6" t="n">
        <f aca="false">DATE(2026,5,10)</f>
        <v>46152</v>
      </c>
      <c r="B15864" s="4" t="s">
        <v>4473</v>
      </c>
      <c r="C15864" s="4" t="n">
        <v>4</v>
      </c>
      <c r="D15864" s="4" t="n">
        <v>12</v>
      </c>
      <c r="E15864" s="4" t="s">
        <v>1004</v>
      </c>
      <c r="F15864" s="4" t="n">
        <v>4</v>
      </c>
      <c r="G15864" s="4" t="n">
        <v>13</v>
      </c>
      <c r="H15864" s="4" t="n">
        <v>2</v>
      </c>
      <c r="I15864" s="4" t="str">
        <v>○</v>
      </c>
      <c r="J15864" s="4" t="n">
        <v>920</v>
      </c>
      <c r="K15864" s="4"/>
      <c r="L15864" s="4"/>
      <c r="M15864" s="7" t="s">
        <v>6871</v>
      </c>
    </row>
    <row r="15865" customFormat="false" ht="15.75" hidden="false" customHeight="false" outlineLevel="0" collapsed="false">
      <c r="A15865" s="6" t="n">
        <f aca="false">DATE(2026,5,10)</f>
        <v>46152</v>
      </c>
      <c r="B15865" s="4" t="s">
        <v>4473</v>
      </c>
      <c r="C15865" s="4" t="n">
        <v>4</v>
      </c>
      <c r="D15865" s="4" t="n">
        <v>13</v>
      </c>
      <c r="E15865" s="4" t="s">
        <v>7198</v>
      </c>
      <c r="F15865" s="4" t="n">
        <v>4</v>
      </c>
      <c r="G15865" s="4" t="n">
        <v>14</v>
      </c>
      <c r="H15865" s="4" t="n">
        <v>4</v>
      </c>
      <c r="I15865" s="4" t="str">
        <v>×</v>
      </c>
      <c r="J15865" s="4"/>
      <c r="K15865" s="4"/>
      <c r="L15865" s="4"/>
      <c r="M15865" s="7" t="s">
        <v>6871</v>
      </c>
    </row>
    <row r="15866" customFormat="false" ht="15.75" hidden="false" customHeight="false" outlineLevel="0" collapsed="false">
      <c r="A15866" s="6" t="n">
        <f aca="false">DATE(2026,5,10)</f>
        <v>46152</v>
      </c>
      <c r="B15866" s="4" t="s">
        <v>4473</v>
      </c>
      <c r="C15866" s="4" t="n">
        <v>5</v>
      </c>
      <c r="D15866" s="4" t="n">
        <v>12</v>
      </c>
      <c r="E15866" s="4" t="s">
        <v>565</v>
      </c>
      <c r="F15866" s="4" t="n">
        <v>58</v>
      </c>
      <c r="G15866" s="4" t="n">
        <v>1</v>
      </c>
      <c r="H15866" s="4" t="n">
        <v>4</v>
      </c>
      <c r="I15866" s="4" t="str">
        <v>×</v>
      </c>
      <c r="J15866" s="4"/>
      <c r="K15866" s="4"/>
      <c r="L15866" s="4"/>
      <c r="M15866" s="7" t="s">
        <v>6871</v>
      </c>
    </row>
    <row r="15867" customFormat="false" ht="15.75" hidden="false" customHeight="false" outlineLevel="0" collapsed="false">
      <c r="A15867" s="6" t="n">
        <f aca="false">DATE(2026,5,10)</f>
        <v>46152</v>
      </c>
      <c r="B15867" s="4" t="s">
        <v>4473</v>
      </c>
      <c r="C15867" s="4" t="n">
        <v>5</v>
      </c>
      <c r="D15867" s="4" t="n">
        <v>5</v>
      </c>
      <c r="E15867" s="4" t="s">
        <v>7199</v>
      </c>
      <c r="F15867" s="4" t="n">
        <v>52</v>
      </c>
      <c r="G15867" s="4" t="n">
        <v>2</v>
      </c>
      <c r="H15867" s="4" t="n">
        <v>4</v>
      </c>
      <c r="I15867" s="4" t="str">
        <v>×</v>
      </c>
      <c r="J15867" s="4"/>
      <c r="K15867" s="4"/>
      <c r="L15867" s="4"/>
      <c r="M15867" s="7" t="s">
        <v>6871</v>
      </c>
    </row>
    <row r="15868" customFormat="false" ht="15.75" hidden="false" customHeight="false" outlineLevel="0" collapsed="false">
      <c r="A15868" s="6" t="n">
        <f aca="false">DATE(2026,5,10)</f>
        <v>46152</v>
      </c>
      <c r="B15868" s="4" t="s">
        <v>4473</v>
      </c>
      <c r="C15868" s="4" t="n">
        <v>5</v>
      </c>
      <c r="D15868" s="4" t="n">
        <v>16</v>
      </c>
      <c r="E15868" s="4" t="s">
        <v>4948</v>
      </c>
      <c r="F15868" s="4" t="n">
        <v>34</v>
      </c>
      <c r="G15868" s="4" t="n">
        <v>3</v>
      </c>
      <c r="H15868" s="4" t="n">
        <v>1</v>
      </c>
      <c r="I15868" s="4" t="str">
        <v>○</v>
      </c>
      <c r="J15868" s="4" t="n">
        <v>150</v>
      </c>
      <c r="K15868" s="4"/>
      <c r="L15868" s="4"/>
      <c r="M15868" s="7" t="s">
        <v>6871</v>
      </c>
    </row>
    <row r="15869" customFormat="false" ht="15.75" hidden="false" customHeight="false" outlineLevel="0" collapsed="false">
      <c r="A15869" s="6" t="n">
        <f aca="false">DATE(2026,5,10)</f>
        <v>46152</v>
      </c>
      <c r="B15869" s="4" t="s">
        <v>4473</v>
      </c>
      <c r="C15869" s="4" t="n">
        <v>5</v>
      </c>
      <c r="D15869" s="4" t="n">
        <v>14</v>
      </c>
      <c r="E15869" s="4" t="s">
        <v>7200</v>
      </c>
      <c r="F15869" s="4" t="n">
        <v>29</v>
      </c>
      <c r="G15869" s="4" t="n">
        <v>4</v>
      </c>
      <c r="H15869" s="4" t="n">
        <v>4</v>
      </c>
      <c r="I15869" s="4" t="str">
        <v>×</v>
      </c>
      <c r="J15869" s="4"/>
      <c r="K15869" s="4"/>
      <c r="L15869" s="4"/>
      <c r="M15869" s="7" t="s">
        <v>6871</v>
      </c>
    </row>
    <row r="15870" customFormat="false" ht="15.75" hidden="false" customHeight="false" outlineLevel="0" collapsed="false">
      <c r="A15870" s="6" t="n">
        <f aca="false">DATE(2026,5,10)</f>
        <v>46152</v>
      </c>
      <c r="B15870" s="4" t="s">
        <v>4473</v>
      </c>
      <c r="C15870" s="4" t="n">
        <v>5</v>
      </c>
      <c r="D15870" s="4" t="n">
        <v>9</v>
      </c>
      <c r="E15870" s="4" t="s">
        <v>4070</v>
      </c>
      <c r="F15870" s="4" t="n">
        <v>25</v>
      </c>
      <c r="G15870" s="4" t="n">
        <v>5</v>
      </c>
      <c r="H15870" s="4" t="n">
        <v>4</v>
      </c>
      <c r="I15870" s="4" t="str">
        <v>×</v>
      </c>
      <c r="J15870" s="4"/>
      <c r="K15870" s="4"/>
      <c r="L15870" s="4"/>
      <c r="M15870" s="7" t="s">
        <v>6871</v>
      </c>
    </row>
    <row r="15871" customFormat="false" ht="15.75" hidden="false" customHeight="false" outlineLevel="0" collapsed="false">
      <c r="A15871" s="6" t="n">
        <f aca="false">DATE(2026,5,10)</f>
        <v>46152</v>
      </c>
      <c r="B15871" s="4" t="s">
        <v>4473</v>
      </c>
      <c r="C15871" s="4" t="n">
        <v>5</v>
      </c>
      <c r="D15871" s="4" t="n">
        <v>10</v>
      </c>
      <c r="E15871" s="4" t="s">
        <v>7201</v>
      </c>
      <c r="F15871" s="4" t="n">
        <v>20</v>
      </c>
      <c r="G15871" s="4" t="n">
        <v>6</v>
      </c>
      <c r="H15871" s="4" t="n">
        <v>4</v>
      </c>
      <c r="I15871" s="4" t="str">
        <v>×</v>
      </c>
      <c r="J15871" s="4"/>
      <c r="K15871" s="4"/>
      <c r="L15871" s="4"/>
      <c r="M15871" s="7" t="s">
        <v>6871</v>
      </c>
    </row>
    <row r="15872" customFormat="false" ht="15.75" hidden="false" customHeight="false" outlineLevel="0" collapsed="false">
      <c r="A15872" s="6" t="n">
        <f aca="false">DATE(2026,5,10)</f>
        <v>46152</v>
      </c>
      <c r="B15872" s="4" t="s">
        <v>4473</v>
      </c>
      <c r="C15872" s="4" t="n">
        <v>5</v>
      </c>
      <c r="D15872" s="4" t="n">
        <v>4</v>
      </c>
      <c r="E15872" s="4" t="s">
        <v>4034</v>
      </c>
      <c r="F15872" s="4" t="n">
        <v>15</v>
      </c>
      <c r="G15872" s="4" t="n">
        <v>7</v>
      </c>
      <c r="H15872" s="4" t="n">
        <v>3</v>
      </c>
      <c r="I15872" s="4" t="str">
        <v>○</v>
      </c>
      <c r="J15872" s="4" t="n">
        <v>610</v>
      </c>
      <c r="K15872" s="4"/>
      <c r="L15872" s="4"/>
      <c r="M15872" s="7" t="s">
        <v>6871</v>
      </c>
    </row>
    <row r="15873" customFormat="false" ht="15.75" hidden="false" customHeight="false" outlineLevel="0" collapsed="false">
      <c r="A15873" s="6" t="n">
        <f aca="false">DATE(2026,5,10)</f>
        <v>46152</v>
      </c>
      <c r="B15873" s="4" t="s">
        <v>4473</v>
      </c>
      <c r="C15873" s="4" t="n">
        <v>5</v>
      </c>
      <c r="D15873" s="4" t="n">
        <v>7</v>
      </c>
      <c r="E15873" s="4" t="s">
        <v>2761</v>
      </c>
      <c r="F15873" s="4" t="n">
        <v>15</v>
      </c>
      <c r="G15873" s="4" t="n">
        <v>8</v>
      </c>
      <c r="H15873" s="4" t="n">
        <v>4</v>
      </c>
      <c r="I15873" s="4" t="str">
        <v>×</v>
      </c>
      <c r="J15873" s="4"/>
      <c r="K15873" s="4"/>
      <c r="L15873" s="4"/>
      <c r="M15873" s="7" t="s">
        <v>6871</v>
      </c>
    </row>
    <row r="15874" customFormat="false" ht="15.75" hidden="false" customHeight="false" outlineLevel="0" collapsed="false">
      <c r="A15874" s="6" t="n">
        <f aca="false">DATE(2026,5,10)</f>
        <v>46152</v>
      </c>
      <c r="B15874" s="4" t="s">
        <v>4473</v>
      </c>
      <c r="C15874" s="4" t="n">
        <v>5</v>
      </c>
      <c r="D15874" s="4" t="n">
        <v>11</v>
      </c>
      <c r="E15874" s="4" t="s">
        <v>7202</v>
      </c>
      <c r="F15874" s="4" t="n">
        <v>13</v>
      </c>
      <c r="G15874" s="4" t="n">
        <v>9</v>
      </c>
      <c r="H15874" s="4" t="n">
        <v>4</v>
      </c>
      <c r="I15874" s="4" t="str">
        <v>×</v>
      </c>
      <c r="J15874" s="4"/>
      <c r="K15874" s="4"/>
      <c r="L15874" s="4"/>
      <c r="M15874" s="7" t="s">
        <v>6871</v>
      </c>
    </row>
    <row r="15875" customFormat="false" ht="15.75" hidden="false" customHeight="false" outlineLevel="0" collapsed="false">
      <c r="A15875" s="6" t="n">
        <f aca="false">DATE(2026,5,10)</f>
        <v>46152</v>
      </c>
      <c r="B15875" s="4" t="s">
        <v>4473</v>
      </c>
      <c r="C15875" s="4" t="n">
        <v>5</v>
      </c>
      <c r="D15875" s="4" t="n">
        <v>1</v>
      </c>
      <c r="E15875" s="4" t="s">
        <v>2001</v>
      </c>
      <c r="F15875" s="4" t="n">
        <v>10</v>
      </c>
      <c r="G15875" s="4" t="n">
        <v>10</v>
      </c>
      <c r="H15875" s="4" t="n">
        <v>4</v>
      </c>
      <c r="I15875" s="4" t="str">
        <v>×</v>
      </c>
      <c r="J15875" s="4"/>
      <c r="K15875" s="4"/>
      <c r="L15875" s="4"/>
      <c r="M15875" s="7" t="s">
        <v>6871</v>
      </c>
    </row>
    <row r="15876" customFormat="false" ht="15.75" hidden="false" customHeight="false" outlineLevel="0" collapsed="false">
      <c r="A15876" s="6" t="n">
        <f aca="false">DATE(2026,5,10)</f>
        <v>46152</v>
      </c>
      <c r="B15876" s="4" t="s">
        <v>4473</v>
      </c>
      <c r="C15876" s="4" t="n">
        <v>5</v>
      </c>
      <c r="D15876" s="4" t="n">
        <v>2</v>
      </c>
      <c r="E15876" s="4" t="s">
        <v>4128</v>
      </c>
      <c r="F15876" s="4" t="n">
        <v>10</v>
      </c>
      <c r="G15876" s="4" t="n">
        <v>11</v>
      </c>
      <c r="H15876" s="4" t="n">
        <v>4</v>
      </c>
      <c r="I15876" s="4" t="str">
        <v>×</v>
      </c>
      <c r="J15876" s="4"/>
      <c r="K15876" s="4"/>
      <c r="L15876" s="4"/>
      <c r="M15876" s="7" t="s">
        <v>6871</v>
      </c>
    </row>
    <row r="15877" customFormat="false" ht="15.75" hidden="false" customHeight="false" outlineLevel="0" collapsed="false">
      <c r="A15877" s="6" t="n">
        <f aca="false">DATE(2026,5,10)</f>
        <v>46152</v>
      </c>
      <c r="B15877" s="4" t="s">
        <v>4473</v>
      </c>
      <c r="C15877" s="4" t="n">
        <v>5</v>
      </c>
      <c r="D15877" s="4" t="n">
        <v>6</v>
      </c>
      <c r="E15877" s="4" t="s">
        <v>3374</v>
      </c>
      <c r="F15877" s="4" t="n">
        <v>6</v>
      </c>
      <c r="G15877" s="4" t="n">
        <v>12</v>
      </c>
      <c r="H15877" s="4" t="n">
        <v>4</v>
      </c>
      <c r="I15877" s="4" t="str">
        <v>×</v>
      </c>
      <c r="J15877" s="4"/>
      <c r="K15877" s="4"/>
      <c r="L15877" s="4"/>
      <c r="M15877" s="7" t="s">
        <v>6871</v>
      </c>
    </row>
    <row r="15878" customFormat="false" ht="15.75" hidden="false" customHeight="false" outlineLevel="0" collapsed="false">
      <c r="A15878" s="6" t="n">
        <f aca="false">DATE(2026,5,10)</f>
        <v>46152</v>
      </c>
      <c r="B15878" s="4" t="s">
        <v>4473</v>
      </c>
      <c r="C15878" s="4" t="n">
        <v>5</v>
      </c>
      <c r="D15878" s="4" t="n">
        <v>13</v>
      </c>
      <c r="E15878" s="4" t="s">
        <v>6891</v>
      </c>
      <c r="F15878" s="4" t="n">
        <v>6</v>
      </c>
      <c r="G15878" s="4" t="n">
        <v>13</v>
      </c>
      <c r="H15878" s="4" t="n">
        <v>4</v>
      </c>
      <c r="I15878" s="4" t="str">
        <v>×</v>
      </c>
      <c r="J15878" s="4"/>
      <c r="K15878" s="4"/>
      <c r="L15878" s="4"/>
      <c r="M15878" s="7" t="s">
        <v>6871</v>
      </c>
    </row>
    <row r="15879" customFormat="false" ht="15.75" hidden="false" customHeight="false" outlineLevel="0" collapsed="false">
      <c r="A15879" s="6" t="n">
        <f aca="false">DATE(2026,5,10)</f>
        <v>46152</v>
      </c>
      <c r="B15879" s="4" t="s">
        <v>4473</v>
      </c>
      <c r="C15879" s="4" t="n">
        <v>5</v>
      </c>
      <c r="D15879" s="4" t="n">
        <v>3</v>
      </c>
      <c r="E15879" s="4" t="s">
        <v>7203</v>
      </c>
      <c r="F15879" s="4" t="n">
        <v>4</v>
      </c>
      <c r="G15879" s="4" t="n">
        <v>14</v>
      </c>
      <c r="H15879" s="4" t="n">
        <v>4</v>
      </c>
      <c r="I15879" s="4" t="str">
        <v>×</v>
      </c>
      <c r="J15879" s="4"/>
      <c r="K15879" s="4"/>
      <c r="L15879" s="4"/>
      <c r="M15879" s="7" t="s">
        <v>6871</v>
      </c>
    </row>
    <row r="15880" customFormat="false" ht="15.75" hidden="false" customHeight="false" outlineLevel="0" collapsed="false">
      <c r="A15880" s="6" t="n">
        <f aca="false">DATE(2026,5,10)</f>
        <v>46152</v>
      </c>
      <c r="B15880" s="4" t="s">
        <v>4473</v>
      </c>
      <c r="C15880" s="4" t="n">
        <v>5</v>
      </c>
      <c r="D15880" s="4" t="n">
        <v>15</v>
      </c>
      <c r="E15880" s="4" t="s">
        <v>3958</v>
      </c>
      <c r="F15880" s="4" t="n">
        <v>3</v>
      </c>
      <c r="G15880" s="4" t="n">
        <v>15</v>
      </c>
      <c r="H15880" s="4" t="n">
        <v>2</v>
      </c>
      <c r="I15880" s="4" t="str">
        <v>○</v>
      </c>
      <c r="J15880" s="4" t="n">
        <v>3820</v>
      </c>
      <c r="K15880" s="4"/>
      <c r="L15880" s="4"/>
      <c r="M15880" s="7" t="s">
        <v>6871</v>
      </c>
    </row>
    <row r="15881" customFormat="false" ht="15.75" hidden="false" customHeight="false" outlineLevel="0" collapsed="false">
      <c r="A15881" s="6" t="n">
        <f aca="false">DATE(2026,5,10)</f>
        <v>46152</v>
      </c>
      <c r="B15881" s="4" t="s">
        <v>4473</v>
      </c>
      <c r="C15881" s="4" t="n">
        <v>5</v>
      </c>
      <c r="D15881" s="4" t="n">
        <v>8</v>
      </c>
      <c r="E15881" s="4" t="s">
        <v>5173</v>
      </c>
      <c r="F15881" s="4" t="n">
        <v>2</v>
      </c>
      <c r="G15881" s="4" t="n">
        <v>16</v>
      </c>
      <c r="H15881" s="4" t="n">
        <v>4</v>
      </c>
      <c r="I15881" s="4" t="str">
        <v>×</v>
      </c>
      <c r="J15881" s="4"/>
      <c r="K15881" s="4"/>
      <c r="L15881" s="4"/>
      <c r="M15881" s="7" t="s">
        <v>6871</v>
      </c>
    </row>
    <row r="15882" customFormat="false" ht="15.75" hidden="false" customHeight="false" outlineLevel="0" collapsed="false">
      <c r="A15882" s="6" t="n">
        <f aca="false">DATE(2026,5,10)</f>
        <v>46152</v>
      </c>
      <c r="B15882" s="4" t="s">
        <v>4473</v>
      </c>
      <c r="C15882" s="4" t="n">
        <v>6</v>
      </c>
      <c r="D15882" s="4" t="n">
        <v>8</v>
      </c>
      <c r="E15882" s="4" t="s">
        <v>4737</v>
      </c>
      <c r="F15882" s="4" t="n">
        <v>65</v>
      </c>
      <c r="G15882" s="4" t="n">
        <v>1</v>
      </c>
      <c r="H15882" s="4" t="n">
        <v>4</v>
      </c>
      <c r="I15882" s="4" t="str">
        <v>×</v>
      </c>
      <c r="J15882" s="4"/>
      <c r="K15882" s="4"/>
      <c r="L15882" s="4"/>
      <c r="M15882" s="7" t="s">
        <v>6871</v>
      </c>
    </row>
    <row r="15883" customFormat="false" ht="15.75" hidden="false" customHeight="false" outlineLevel="0" collapsed="false">
      <c r="A15883" s="6" t="n">
        <f aca="false">DATE(2026,5,10)</f>
        <v>46152</v>
      </c>
      <c r="B15883" s="4" t="s">
        <v>4473</v>
      </c>
      <c r="C15883" s="4" t="n">
        <v>6</v>
      </c>
      <c r="D15883" s="4" t="n">
        <v>6</v>
      </c>
      <c r="E15883" s="4" t="s">
        <v>7204</v>
      </c>
      <c r="F15883" s="4" t="n">
        <v>58</v>
      </c>
      <c r="G15883" s="4" t="n">
        <v>2</v>
      </c>
      <c r="H15883" s="4" t="n">
        <v>3</v>
      </c>
      <c r="I15883" s="4" t="str">
        <v>○</v>
      </c>
      <c r="J15883" s="4" t="n">
        <v>120</v>
      </c>
      <c r="K15883" s="4"/>
      <c r="L15883" s="4"/>
      <c r="M15883" s="7" t="s">
        <v>6871</v>
      </c>
    </row>
    <row r="15884" customFormat="false" ht="15.75" hidden="false" customHeight="false" outlineLevel="0" collapsed="false">
      <c r="A15884" s="6" t="n">
        <f aca="false">DATE(2026,5,10)</f>
        <v>46152</v>
      </c>
      <c r="B15884" s="4" t="s">
        <v>4473</v>
      </c>
      <c r="C15884" s="4" t="n">
        <v>6</v>
      </c>
      <c r="D15884" s="4" t="n">
        <v>10</v>
      </c>
      <c r="E15884" s="4" t="s">
        <v>6897</v>
      </c>
      <c r="F15884" s="4" t="n">
        <v>47</v>
      </c>
      <c r="G15884" s="4" t="n">
        <v>3</v>
      </c>
      <c r="H15884" s="4" t="n">
        <v>2</v>
      </c>
      <c r="I15884" s="4" t="str">
        <v>○</v>
      </c>
      <c r="J15884" s="4" t="n">
        <v>110</v>
      </c>
      <c r="K15884" s="4"/>
      <c r="L15884" s="4"/>
      <c r="M15884" s="7" t="s">
        <v>6871</v>
      </c>
    </row>
    <row r="15885" customFormat="false" ht="15.75" hidden="false" customHeight="false" outlineLevel="0" collapsed="false">
      <c r="A15885" s="6" t="n">
        <f aca="false">DATE(2026,5,10)</f>
        <v>46152</v>
      </c>
      <c r="B15885" s="4" t="s">
        <v>4473</v>
      </c>
      <c r="C15885" s="4" t="n">
        <v>6</v>
      </c>
      <c r="D15885" s="4" t="n">
        <v>7</v>
      </c>
      <c r="E15885" s="4" t="s">
        <v>3692</v>
      </c>
      <c r="F15885" s="4" t="n">
        <v>25</v>
      </c>
      <c r="G15885" s="4" t="n">
        <v>4</v>
      </c>
      <c r="H15885" s="4" t="n">
        <v>4</v>
      </c>
      <c r="I15885" s="4" t="str">
        <v>×</v>
      </c>
      <c r="J15885" s="4"/>
      <c r="K15885" s="4"/>
      <c r="L15885" s="4"/>
      <c r="M15885" s="7" t="s">
        <v>6871</v>
      </c>
    </row>
    <row r="15886" customFormat="false" ht="15.75" hidden="false" customHeight="false" outlineLevel="0" collapsed="false">
      <c r="A15886" s="6" t="n">
        <f aca="false">DATE(2026,5,10)</f>
        <v>46152</v>
      </c>
      <c r="B15886" s="4" t="s">
        <v>4473</v>
      </c>
      <c r="C15886" s="4" t="n">
        <v>6</v>
      </c>
      <c r="D15886" s="4" t="n">
        <v>5</v>
      </c>
      <c r="E15886" s="4" t="s">
        <v>4544</v>
      </c>
      <c r="F15886" s="4" t="n">
        <v>23</v>
      </c>
      <c r="G15886" s="4" t="n">
        <v>5</v>
      </c>
      <c r="H15886" s="4" t="n">
        <v>1</v>
      </c>
      <c r="I15886" s="4" t="str">
        <v>○</v>
      </c>
      <c r="J15886" s="4" t="n">
        <v>190</v>
      </c>
      <c r="K15886" s="4"/>
      <c r="L15886" s="4"/>
      <c r="M15886" s="7" t="s">
        <v>6871</v>
      </c>
    </row>
    <row r="15887" customFormat="false" ht="15.75" hidden="false" customHeight="false" outlineLevel="0" collapsed="false">
      <c r="A15887" s="6" t="n">
        <f aca="false">DATE(2026,5,10)</f>
        <v>46152</v>
      </c>
      <c r="B15887" s="4" t="s">
        <v>4473</v>
      </c>
      <c r="C15887" s="4" t="n">
        <v>6</v>
      </c>
      <c r="D15887" s="4" t="n">
        <v>1</v>
      </c>
      <c r="E15887" s="4" t="s">
        <v>2149</v>
      </c>
      <c r="F15887" s="4" t="n">
        <v>20</v>
      </c>
      <c r="G15887" s="4" t="n">
        <v>6</v>
      </c>
      <c r="H15887" s="4" t="n">
        <v>4</v>
      </c>
      <c r="I15887" s="4" t="str">
        <v>×</v>
      </c>
      <c r="J15887" s="4"/>
      <c r="K15887" s="4"/>
      <c r="L15887" s="4"/>
      <c r="M15887" s="7" t="s">
        <v>6871</v>
      </c>
    </row>
    <row r="15888" customFormat="false" ht="15.75" hidden="false" customHeight="false" outlineLevel="0" collapsed="false">
      <c r="A15888" s="6" t="n">
        <f aca="false">DATE(2026,5,10)</f>
        <v>46152</v>
      </c>
      <c r="B15888" s="4" t="s">
        <v>4473</v>
      </c>
      <c r="C15888" s="4" t="n">
        <v>6</v>
      </c>
      <c r="D15888" s="4" t="n">
        <v>9</v>
      </c>
      <c r="E15888" s="4" t="s">
        <v>4932</v>
      </c>
      <c r="F15888" s="4" t="n">
        <v>20</v>
      </c>
      <c r="G15888" s="4" t="n">
        <v>7</v>
      </c>
      <c r="H15888" s="4" t="n">
        <v>4</v>
      </c>
      <c r="I15888" s="4" t="str">
        <v>×</v>
      </c>
      <c r="J15888" s="4"/>
      <c r="K15888" s="4"/>
      <c r="L15888" s="4"/>
      <c r="M15888" s="7" t="s">
        <v>6871</v>
      </c>
    </row>
    <row r="15889" customFormat="false" ht="15.75" hidden="false" customHeight="false" outlineLevel="0" collapsed="false">
      <c r="A15889" s="6" t="n">
        <f aca="false">DATE(2026,5,10)</f>
        <v>46152</v>
      </c>
      <c r="B15889" s="4" t="s">
        <v>4473</v>
      </c>
      <c r="C15889" s="4" t="n">
        <v>6</v>
      </c>
      <c r="D15889" s="4" t="n">
        <v>11</v>
      </c>
      <c r="E15889" s="4" t="s">
        <v>7205</v>
      </c>
      <c r="F15889" s="4" t="n">
        <v>13</v>
      </c>
      <c r="G15889" s="4" t="n">
        <v>8</v>
      </c>
      <c r="H15889" s="4" t="n">
        <v>4</v>
      </c>
      <c r="I15889" s="4" t="str">
        <v>×</v>
      </c>
      <c r="J15889" s="4"/>
      <c r="K15889" s="4"/>
      <c r="L15889" s="4"/>
      <c r="M15889" s="7" t="s">
        <v>6871</v>
      </c>
    </row>
    <row r="15890" customFormat="false" ht="15.75" hidden="false" customHeight="false" outlineLevel="0" collapsed="false">
      <c r="A15890" s="6" t="n">
        <f aca="false">DATE(2026,5,10)</f>
        <v>46152</v>
      </c>
      <c r="B15890" s="4" t="s">
        <v>4473</v>
      </c>
      <c r="C15890" s="4" t="n">
        <v>6</v>
      </c>
      <c r="D15890" s="4" t="n">
        <v>2</v>
      </c>
      <c r="E15890" s="4" t="s">
        <v>7206</v>
      </c>
      <c r="F15890" s="4" t="n">
        <v>10</v>
      </c>
      <c r="G15890" s="4" t="n">
        <v>9</v>
      </c>
      <c r="H15890" s="4" t="n">
        <v>4</v>
      </c>
      <c r="I15890" s="4" t="str">
        <v>×</v>
      </c>
      <c r="J15890" s="4"/>
      <c r="K15890" s="4"/>
      <c r="L15890" s="4"/>
      <c r="M15890" s="7" t="s">
        <v>6871</v>
      </c>
    </row>
    <row r="15891" customFormat="false" ht="15.75" hidden="false" customHeight="false" outlineLevel="0" collapsed="false">
      <c r="A15891" s="6" t="n">
        <f aca="false">DATE(2026,5,10)</f>
        <v>46152</v>
      </c>
      <c r="B15891" s="4" t="s">
        <v>4473</v>
      </c>
      <c r="C15891" s="4" t="n">
        <v>6</v>
      </c>
      <c r="D15891" s="4" t="n">
        <v>4</v>
      </c>
      <c r="E15891" s="4" t="s">
        <v>4442</v>
      </c>
      <c r="F15891" s="4" t="n">
        <v>8</v>
      </c>
      <c r="G15891" s="4" t="n">
        <v>10</v>
      </c>
      <c r="H15891" s="4" t="n">
        <v>4</v>
      </c>
      <c r="I15891" s="4" t="str">
        <v>×</v>
      </c>
      <c r="J15891" s="4"/>
      <c r="K15891" s="4"/>
      <c r="L15891" s="4"/>
      <c r="M15891" s="7" t="s">
        <v>6871</v>
      </c>
    </row>
    <row r="15892" customFormat="false" ht="15.75" hidden="false" customHeight="false" outlineLevel="0" collapsed="false">
      <c r="A15892" s="6" t="n">
        <f aca="false">DATE(2026,5,10)</f>
        <v>46152</v>
      </c>
      <c r="B15892" s="4" t="s">
        <v>4473</v>
      </c>
      <c r="C15892" s="4" t="n">
        <v>6</v>
      </c>
      <c r="D15892" s="4" t="n">
        <v>3</v>
      </c>
      <c r="E15892" s="4" t="s">
        <v>7207</v>
      </c>
      <c r="F15892" s="4" t="n">
        <v>4</v>
      </c>
      <c r="G15892" s="4" t="n">
        <v>11</v>
      </c>
      <c r="H15892" s="4" t="n">
        <v>4</v>
      </c>
      <c r="I15892" s="4" t="str">
        <v>×</v>
      </c>
      <c r="J15892" s="4"/>
      <c r="K15892" s="4"/>
      <c r="L15892" s="4"/>
      <c r="M15892" s="7" t="s">
        <v>6871</v>
      </c>
    </row>
    <row r="15893" customFormat="false" ht="15.75" hidden="false" customHeight="false" outlineLevel="0" collapsed="false">
      <c r="A15893" s="6" t="n">
        <f aca="false">DATE(2026,5,10)</f>
        <v>46152</v>
      </c>
      <c r="B15893" s="4" t="s">
        <v>4473</v>
      </c>
      <c r="C15893" s="4" t="n">
        <v>7</v>
      </c>
      <c r="D15893" s="4" t="n">
        <v>12</v>
      </c>
      <c r="E15893" s="4" t="s">
        <v>7208</v>
      </c>
      <c r="F15893" s="4" t="n">
        <v>56</v>
      </c>
      <c r="G15893" s="4" t="n">
        <v>1</v>
      </c>
      <c r="H15893" s="4" t="n">
        <v>4</v>
      </c>
      <c r="I15893" s="4" t="str">
        <v>×</v>
      </c>
      <c r="J15893" s="4"/>
      <c r="K15893" s="4"/>
      <c r="L15893" s="4"/>
      <c r="M15893" s="7" t="s">
        <v>6871</v>
      </c>
    </row>
    <row r="15894" customFormat="false" ht="15.75" hidden="false" customHeight="false" outlineLevel="0" collapsed="false">
      <c r="A15894" s="6" t="n">
        <f aca="false">DATE(2026,5,10)</f>
        <v>46152</v>
      </c>
      <c r="B15894" s="4" t="s">
        <v>4473</v>
      </c>
      <c r="C15894" s="4" t="n">
        <v>7</v>
      </c>
      <c r="D15894" s="4" t="n">
        <v>4</v>
      </c>
      <c r="E15894" s="4" t="s">
        <v>1088</v>
      </c>
      <c r="F15894" s="4" t="n">
        <v>41</v>
      </c>
      <c r="G15894" s="4" t="n">
        <v>2</v>
      </c>
      <c r="H15894" s="4" t="n">
        <v>4</v>
      </c>
      <c r="I15894" s="4" t="str">
        <v>×</v>
      </c>
      <c r="J15894" s="4"/>
      <c r="K15894" s="4"/>
      <c r="L15894" s="4"/>
      <c r="M15894" s="7" t="s">
        <v>6871</v>
      </c>
    </row>
    <row r="15895" customFormat="false" ht="15.75" hidden="false" customHeight="false" outlineLevel="0" collapsed="false">
      <c r="A15895" s="6" t="n">
        <f aca="false">DATE(2026,5,10)</f>
        <v>46152</v>
      </c>
      <c r="B15895" s="4" t="s">
        <v>4473</v>
      </c>
      <c r="C15895" s="4" t="n">
        <v>7</v>
      </c>
      <c r="D15895" s="4" t="n">
        <v>13</v>
      </c>
      <c r="E15895" s="4" t="s">
        <v>5859</v>
      </c>
      <c r="F15895" s="4" t="n">
        <v>39</v>
      </c>
      <c r="G15895" s="4" t="n">
        <v>3</v>
      </c>
      <c r="H15895" s="4" t="n">
        <v>1</v>
      </c>
      <c r="I15895" s="4" t="str">
        <v>○</v>
      </c>
      <c r="J15895" s="4" t="n">
        <v>160</v>
      </c>
      <c r="K15895" s="4"/>
      <c r="L15895" s="4"/>
      <c r="M15895" s="7" t="s">
        <v>6871</v>
      </c>
    </row>
    <row r="15896" customFormat="false" ht="15.75" hidden="false" customHeight="false" outlineLevel="0" collapsed="false">
      <c r="A15896" s="6" t="n">
        <f aca="false">DATE(2026,5,10)</f>
        <v>46152</v>
      </c>
      <c r="B15896" s="4" t="s">
        <v>4473</v>
      </c>
      <c r="C15896" s="4" t="n">
        <v>7</v>
      </c>
      <c r="D15896" s="4" t="n">
        <v>9</v>
      </c>
      <c r="E15896" s="4" t="s">
        <v>6496</v>
      </c>
      <c r="F15896" s="4" t="n">
        <v>34</v>
      </c>
      <c r="G15896" s="4" t="n">
        <v>4</v>
      </c>
      <c r="H15896" s="4" t="n">
        <v>4</v>
      </c>
      <c r="I15896" s="4" t="str">
        <v>×</v>
      </c>
      <c r="J15896" s="4"/>
      <c r="K15896" s="4"/>
      <c r="L15896" s="4"/>
      <c r="M15896" s="7" t="s">
        <v>6871</v>
      </c>
    </row>
    <row r="15897" customFormat="false" ht="15.75" hidden="false" customHeight="false" outlineLevel="0" collapsed="false">
      <c r="A15897" s="6" t="n">
        <f aca="false">DATE(2026,5,10)</f>
        <v>46152</v>
      </c>
      <c r="B15897" s="4" t="s">
        <v>4473</v>
      </c>
      <c r="C15897" s="4" t="n">
        <v>7</v>
      </c>
      <c r="D15897" s="4" t="n">
        <v>8</v>
      </c>
      <c r="E15897" s="4" t="s">
        <v>7209</v>
      </c>
      <c r="F15897" s="4" t="n">
        <v>23</v>
      </c>
      <c r="G15897" s="4" t="n">
        <v>5</v>
      </c>
      <c r="H15897" s="4" t="n">
        <v>4</v>
      </c>
      <c r="I15897" s="4" t="str">
        <v>×</v>
      </c>
      <c r="J15897" s="4"/>
      <c r="K15897" s="4"/>
      <c r="L15897" s="4"/>
      <c r="M15897" s="7" t="s">
        <v>6871</v>
      </c>
    </row>
    <row r="15898" customFormat="false" ht="15.75" hidden="false" customHeight="false" outlineLevel="0" collapsed="false">
      <c r="A15898" s="6" t="n">
        <f aca="false">DATE(2026,5,10)</f>
        <v>46152</v>
      </c>
      <c r="B15898" s="4" t="s">
        <v>4473</v>
      </c>
      <c r="C15898" s="4" t="n">
        <v>7</v>
      </c>
      <c r="D15898" s="4" t="n">
        <v>1</v>
      </c>
      <c r="E15898" s="4" t="s">
        <v>3775</v>
      </c>
      <c r="F15898" s="4" t="n">
        <v>17</v>
      </c>
      <c r="G15898" s="4" t="n">
        <v>6</v>
      </c>
      <c r="H15898" s="4" t="n">
        <v>3</v>
      </c>
      <c r="I15898" s="4" t="str">
        <v>○</v>
      </c>
      <c r="J15898" s="4" t="n">
        <v>380</v>
      </c>
      <c r="K15898" s="4"/>
      <c r="L15898" s="4"/>
      <c r="M15898" s="7" t="s">
        <v>6871</v>
      </c>
    </row>
    <row r="15899" customFormat="false" ht="15.75" hidden="false" customHeight="false" outlineLevel="0" collapsed="false">
      <c r="A15899" s="6" t="n">
        <f aca="false">DATE(2026,5,10)</f>
        <v>46152</v>
      </c>
      <c r="B15899" s="4" t="s">
        <v>4473</v>
      </c>
      <c r="C15899" s="4" t="n">
        <v>7</v>
      </c>
      <c r="D15899" s="4" t="n">
        <v>7</v>
      </c>
      <c r="E15899" s="4" t="s">
        <v>7210</v>
      </c>
      <c r="F15899" s="4" t="n">
        <v>10</v>
      </c>
      <c r="G15899" s="4" t="n">
        <v>7</v>
      </c>
      <c r="H15899" s="4" t="n">
        <v>4</v>
      </c>
      <c r="I15899" s="4" t="str">
        <v>×</v>
      </c>
      <c r="J15899" s="4"/>
      <c r="K15899" s="4"/>
      <c r="L15899" s="4"/>
      <c r="M15899" s="7" t="s">
        <v>6871</v>
      </c>
    </row>
    <row r="15900" customFormat="false" ht="15.75" hidden="false" customHeight="false" outlineLevel="0" collapsed="false">
      <c r="A15900" s="6" t="n">
        <f aca="false">DATE(2026,5,10)</f>
        <v>46152</v>
      </c>
      <c r="B15900" s="4" t="s">
        <v>4473</v>
      </c>
      <c r="C15900" s="4" t="n">
        <v>7</v>
      </c>
      <c r="D15900" s="4" t="n">
        <v>14</v>
      </c>
      <c r="E15900" s="4" t="s">
        <v>7211</v>
      </c>
      <c r="F15900" s="4" t="n">
        <v>10</v>
      </c>
      <c r="G15900" s="4" t="n">
        <v>8</v>
      </c>
      <c r="H15900" s="4" t="n">
        <v>4</v>
      </c>
      <c r="I15900" s="4" t="str">
        <v>×</v>
      </c>
      <c r="J15900" s="4"/>
      <c r="K15900" s="4"/>
      <c r="L15900" s="4"/>
      <c r="M15900" s="7" t="s">
        <v>6871</v>
      </c>
    </row>
    <row r="15901" customFormat="false" ht="15.75" hidden="false" customHeight="false" outlineLevel="0" collapsed="false">
      <c r="A15901" s="6" t="n">
        <f aca="false">DATE(2026,5,10)</f>
        <v>46152</v>
      </c>
      <c r="B15901" s="4" t="s">
        <v>4473</v>
      </c>
      <c r="C15901" s="4" t="n">
        <v>7</v>
      </c>
      <c r="D15901" s="4" t="n">
        <v>15</v>
      </c>
      <c r="E15901" s="4" t="s">
        <v>7212</v>
      </c>
      <c r="F15901" s="4" t="n">
        <v>10</v>
      </c>
      <c r="G15901" s="4" t="n">
        <v>9</v>
      </c>
      <c r="H15901" s="4" t="n">
        <v>4</v>
      </c>
      <c r="I15901" s="4" t="str">
        <v>×</v>
      </c>
      <c r="J15901" s="4"/>
      <c r="K15901" s="4"/>
      <c r="L15901" s="4"/>
      <c r="M15901" s="7" t="s">
        <v>6871</v>
      </c>
    </row>
    <row r="15902" customFormat="false" ht="15.75" hidden="false" customHeight="false" outlineLevel="0" collapsed="false">
      <c r="A15902" s="6" t="n">
        <f aca="false">DATE(2026,5,10)</f>
        <v>46152</v>
      </c>
      <c r="B15902" s="4" t="s">
        <v>4473</v>
      </c>
      <c r="C15902" s="4" t="n">
        <v>7</v>
      </c>
      <c r="D15902" s="4" t="n">
        <v>10</v>
      </c>
      <c r="E15902" s="4" t="s">
        <v>7213</v>
      </c>
      <c r="F15902" s="4" t="n">
        <v>8</v>
      </c>
      <c r="G15902" s="4" t="n">
        <v>10</v>
      </c>
      <c r="H15902" s="4" t="n">
        <v>4</v>
      </c>
      <c r="I15902" s="4" t="str">
        <v>×</v>
      </c>
      <c r="J15902" s="4"/>
      <c r="K15902" s="4"/>
      <c r="L15902" s="4"/>
      <c r="M15902" s="7" t="s">
        <v>6871</v>
      </c>
    </row>
    <row r="15903" customFormat="false" ht="15.75" hidden="false" customHeight="false" outlineLevel="0" collapsed="false">
      <c r="A15903" s="6" t="n">
        <f aca="false">DATE(2026,5,10)</f>
        <v>46152</v>
      </c>
      <c r="B15903" s="4" t="s">
        <v>4473</v>
      </c>
      <c r="C15903" s="4" t="n">
        <v>7</v>
      </c>
      <c r="D15903" s="4" t="n">
        <v>11</v>
      </c>
      <c r="E15903" s="4" t="s">
        <v>4726</v>
      </c>
      <c r="F15903" s="4" t="n">
        <v>8</v>
      </c>
      <c r="G15903" s="4" t="n">
        <v>11</v>
      </c>
      <c r="H15903" s="4" t="n">
        <v>4</v>
      </c>
      <c r="I15903" s="4" t="str">
        <v>×</v>
      </c>
      <c r="J15903" s="4"/>
      <c r="K15903" s="4"/>
      <c r="L15903" s="4"/>
      <c r="M15903" s="7" t="s">
        <v>6871</v>
      </c>
    </row>
    <row r="15904" customFormat="false" ht="15.75" hidden="false" customHeight="false" outlineLevel="0" collapsed="false">
      <c r="A15904" s="6" t="n">
        <f aca="false">DATE(2026,5,10)</f>
        <v>46152</v>
      </c>
      <c r="B15904" s="4" t="s">
        <v>4473</v>
      </c>
      <c r="C15904" s="4" t="n">
        <v>7</v>
      </c>
      <c r="D15904" s="4" t="n">
        <v>2</v>
      </c>
      <c r="E15904" s="4" t="s">
        <v>6029</v>
      </c>
      <c r="F15904" s="4" t="n">
        <v>6</v>
      </c>
      <c r="G15904" s="4" t="n">
        <v>12</v>
      </c>
      <c r="H15904" s="4" t="n">
        <v>2</v>
      </c>
      <c r="I15904" s="4" t="str">
        <v>○</v>
      </c>
      <c r="J15904" s="4" t="n">
        <v>910</v>
      </c>
      <c r="K15904" s="4"/>
      <c r="L15904" s="4"/>
      <c r="M15904" s="7" t="s">
        <v>6871</v>
      </c>
    </row>
    <row r="15905" customFormat="false" ht="15.75" hidden="false" customHeight="false" outlineLevel="0" collapsed="false">
      <c r="A15905" s="6" t="n">
        <f aca="false">DATE(2026,5,10)</f>
        <v>46152</v>
      </c>
      <c r="B15905" s="4" t="s">
        <v>4473</v>
      </c>
      <c r="C15905" s="4" t="n">
        <v>7</v>
      </c>
      <c r="D15905" s="4" t="n">
        <v>16</v>
      </c>
      <c r="E15905" s="4" t="s">
        <v>7214</v>
      </c>
      <c r="F15905" s="4" t="n">
        <v>6</v>
      </c>
      <c r="G15905" s="4" t="n">
        <v>13</v>
      </c>
      <c r="H15905" s="4" t="n">
        <v>4</v>
      </c>
      <c r="I15905" s="4" t="str">
        <v>×</v>
      </c>
      <c r="J15905" s="4"/>
      <c r="K15905" s="4"/>
      <c r="L15905" s="4"/>
      <c r="M15905" s="7" t="s">
        <v>6871</v>
      </c>
    </row>
    <row r="15906" customFormat="false" ht="15.75" hidden="false" customHeight="false" outlineLevel="0" collapsed="false">
      <c r="A15906" s="6" t="n">
        <f aca="false">DATE(2026,5,10)</f>
        <v>46152</v>
      </c>
      <c r="B15906" s="4" t="s">
        <v>4473</v>
      </c>
      <c r="C15906" s="4" t="n">
        <v>7</v>
      </c>
      <c r="D15906" s="4" t="n">
        <v>6</v>
      </c>
      <c r="E15906" s="4" t="s">
        <v>7215</v>
      </c>
      <c r="F15906" s="4" t="n">
        <v>4</v>
      </c>
      <c r="G15906" s="4" t="n">
        <v>14</v>
      </c>
      <c r="H15906" s="4" t="n">
        <v>4</v>
      </c>
      <c r="I15906" s="4" t="str">
        <v>×</v>
      </c>
      <c r="J15906" s="4"/>
      <c r="K15906" s="4"/>
      <c r="L15906" s="4"/>
      <c r="M15906" s="7" t="s">
        <v>6871</v>
      </c>
    </row>
    <row r="15907" customFormat="false" ht="15.75" hidden="false" customHeight="false" outlineLevel="0" collapsed="false">
      <c r="A15907" s="6" t="n">
        <f aca="false">DATE(2026,5,10)</f>
        <v>46152</v>
      </c>
      <c r="B15907" s="4" t="s">
        <v>4473</v>
      </c>
      <c r="C15907" s="4" t="n">
        <v>7</v>
      </c>
      <c r="D15907" s="4" t="n">
        <v>3</v>
      </c>
      <c r="E15907" s="4" t="s">
        <v>4528</v>
      </c>
      <c r="F15907" s="4" t="n">
        <v>3</v>
      </c>
      <c r="G15907" s="4" t="n">
        <v>15</v>
      </c>
      <c r="H15907" s="4" t="n">
        <v>4</v>
      </c>
      <c r="I15907" s="4" t="str">
        <v>×</v>
      </c>
      <c r="J15907" s="4"/>
      <c r="K15907" s="4"/>
      <c r="L15907" s="4"/>
      <c r="M15907" s="7" t="s">
        <v>6871</v>
      </c>
    </row>
    <row r="15908" customFormat="false" ht="15.75" hidden="false" customHeight="false" outlineLevel="0" collapsed="false">
      <c r="A15908" s="6" t="n">
        <f aca="false">DATE(2026,5,10)</f>
        <v>46152</v>
      </c>
      <c r="B15908" s="4" t="s">
        <v>4473</v>
      </c>
      <c r="C15908" s="4" t="n">
        <v>7</v>
      </c>
      <c r="D15908" s="4" t="n">
        <v>5</v>
      </c>
      <c r="E15908" s="4" t="s">
        <v>4723</v>
      </c>
      <c r="F15908" s="4" t="n">
        <v>1</v>
      </c>
      <c r="G15908" s="4" t="n">
        <v>16</v>
      </c>
      <c r="H15908" s="4" t="n">
        <v>4</v>
      </c>
      <c r="I15908" s="4" t="str">
        <v>×</v>
      </c>
      <c r="J15908" s="4"/>
      <c r="K15908" s="4"/>
      <c r="L15908" s="4"/>
      <c r="M15908" s="7" t="s">
        <v>6871</v>
      </c>
    </row>
    <row r="15909" customFormat="false" ht="15.75" hidden="false" customHeight="false" outlineLevel="0" collapsed="false">
      <c r="A15909" s="6" t="n">
        <f aca="false">DATE(2026,5,10)</f>
        <v>46152</v>
      </c>
      <c r="B15909" s="4" t="s">
        <v>4473</v>
      </c>
      <c r="C15909" s="4" t="n">
        <v>8</v>
      </c>
      <c r="D15909" s="4" t="n">
        <v>7</v>
      </c>
      <c r="E15909" s="4" t="s">
        <v>7216</v>
      </c>
      <c r="F15909" s="4" t="n">
        <v>65</v>
      </c>
      <c r="G15909" s="4" t="n">
        <v>1</v>
      </c>
      <c r="H15909" s="4" t="n">
        <v>1</v>
      </c>
      <c r="I15909" s="4" t="str">
        <v>○</v>
      </c>
      <c r="J15909" s="4" t="n">
        <v>110</v>
      </c>
      <c r="K15909" s="4"/>
      <c r="L15909" s="4"/>
      <c r="M15909" s="7" t="s">
        <v>6871</v>
      </c>
    </row>
    <row r="15910" customFormat="false" ht="15.75" hidden="false" customHeight="false" outlineLevel="0" collapsed="false">
      <c r="A15910" s="6" t="n">
        <f aca="false">DATE(2026,5,10)</f>
        <v>46152</v>
      </c>
      <c r="B15910" s="4" t="s">
        <v>4473</v>
      </c>
      <c r="C15910" s="4" t="n">
        <v>8</v>
      </c>
      <c r="D15910" s="4" t="n">
        <v>3</v>
      </c>
      <c r="E15910" s="4" t="s">
        <v>4543</v>
      </c>
      <c r="F15910" s="4" t="n">
        <v>41</v>
      </c>
      <c r="G15910" s="4" t="n">
        <v>2</v>
      </c>
      <c r="H15910" s="4" t="n">
        <v>2</v>
      </c>
      <c r="I15910" s="4" t="str">
        <v>○</v>
      </c>
      <c r="J15910" s="4" t="n">
        <v>280</v>
      </c>
      <c r="K15910" s="4"/>
      <c r="L15910" s="4"/>
      <c r="M15910" s="7" t="s">
        <v>6871</v>
      </c>
    </row>
    <row r="15911" customFormat="false" ht="15.75" hidden="false" customHeight="false" outlineLevel="0" collapsed="false">
      <c r="A15911" s="6" t="n">
        <f aca="false">DATE(2026,5,10)</f>
        <v>46152</v>
      </c>
      <c r="B15911" s="4" t="s">
        <v>4473</v>
      </c>
      <c r="C15911" s="4" t="n">
        <v>8</v>
      </c>
      <c r="D15911" s="4" t="n">
        <v>1</v>
      </c>
      <c r="E15911" s="4" t="s">
        <v>6538</v>
      </c>
      <c r="F15911" s="4" t="n">
        <v>37</v>
      </c>
      <c r="G15911" s="4" t="n">
        <v>3</v>
      </c>
      <c r="H15911" s="4" t="n">
        <v>3</v>
      </c>
      <c r="I15911" s="4" t="str">
        <v>○</v>
      </c>
      <c r="J15911" s="4" t="n">
        <v>180</v>
      </c>
      <c r="K15911" s="4"/>
      <c r="L15911" s="4"/>
      <c r="M15911" s="7" t="s">
        <v>6871</v>
      </c>
    </row>
    <row r="15912" customFormat="false" ht="15.75" hidden="false" customHeight="false" outlineLevel="0" collapsed="false">
      <c r="A15912" s="6" t="n">
        <f aca="false">DATE(2026,5,10)</f>
        <v>46152</v>
      </c>
      <c r="B15912" s="4" t="s">
        <v>4473</v>
      </c>
      <c r="C15912" s="4" t="n">
        <v>8</v>
      </c>
      <c r="D15912" s="4" t="n">
        <v>9</v>
      </c>
      <c r="E15912" s="4" t="s">
        <v>1505</v>
      </c>
      <c r="F15912" s="4" t="n">
        <v>37</v>
      </c>
      <c r="G15912" s="4" t="n">
        <v>4</v>
      </c>
      <c r="H15912" s="4" t="n">
        <v>4</v>
      </c>
      <c r="I15912" s="4" t="str">
        <v>×</v>
      </c>
      <c r="J15912" s="4"/>
      <c r="K15912" s="4"/>
      <c r="L15912" s="4"/>
      <c r="M15912" s="7" t="s">
        <v>6871</v>
      </c>
    </row>
    <row r="15913" customFormat="false" ht="15.75" hidden="false" customHeight="false" outlineLevel="0" collapsed="false">
      <c r="A15913" s="6" t="n">
        <f aca="false">DATE(2026,5,10)</f>
        <v>46152</v>
      </c>
      <c r="B15913" s="4" t="s">
        <v>4473</v>
      </c>
      <c r="C15913" s="4" t="n">
        <v>8</v>
      </c>
      <c r="D15913" s="4" t="n">
        <v>5</v>
      </c>
      <c r="E15913" s="4" t="s">
        <v>5199</v>
      </c>
      <c r="F15913" s="4" t="n">
        <v>34</v>
      </c>
      <c r="G15913" s="4" t="n">
        <v>5</v>
      </c>
      <c r="H15913" s="4" t="n">
        <v>4</v>
      </c>
      <c r="I15913" s="4" t="str">
        <v>×</v>
      </c>
      <c r="J15913" s="4"/>
      <c r="K15913" s="4"/>
      <c r="L15913" s="4"/>
      <c r="M15913" s="7" t="s">
        <v>6871</v>
      </c>
    </row>
    <row r="15914" customFormat="false" ht="15.75" hidden="false" customHeight="false" outlineLevel="0" collapsed="false">
      <c r="A15914" s="6" t="n">
        <f aca="false">DATE(2026,5,10)</f>
        <v>46152</v>
      </c>
      <c r="B15914" s="4" t="s">
        <v>4473</v>
      </c>
      <c r="C15914" s="4" t="n">
        <v>8</v>
      </c>
      <c r="D15914" s="4" t="n">
        <v>4</v>
      </c>
      <c r="E15914" s="4" t="s">
        <v>7217</v>
      </c>
      <c r="F15914" s="4" t="n">
        <v>31</v>
      </c>
      <c r="G15914" s="4" t="n">
        <v>6</v>
      </c>
      <c r="H15914" s="4" t="n">
        <v>4</v>
      </c>
      <c r="I15914" s="4" t="str">
        <v>×</v>
      </c>
      <c r="J15914" s="4"/>
      <c r="K15914" s="4"/>
      <c r="L15914" s="4"/>
      <c r="M15914" s="7" t="s">
        <v>6871</v>
      </c>
    </row>
    <row r="15915" customFormat="false" ht="15.75" hidden="false" customHeight="false" outlineLevel="0" collapsed="false">
      <c r="A15915" s="6" t="n">
        <f aca="false">DATE(2026,5,10)</f>
        <v>46152</v>
      </c>
      <c r="B15915" s="4" t="s">
        <v>4473</v>
      </c>
      <c r="C15915" s="4" t="n">
        <v>8</v>
      </c>
      <c r="D15915" s="4" t="n">
        <v>11</v>
      </c>
      <c r="E15915" s="4" t="s">
        <v>4549</v>
      </c>
      <c r="F15915" s="4" t="n">
        <v>25</v>
      </c>
      <c r="G15915" s="4" t="n">
        <v>7</v>
      </c>
      <c r="H15915" s="4" t="n">
        <v>4</v>
      </c>
      <c r="I15915" s="4" t="str">
        <v>×</v>
      </c>
      <c r="J15915" s="4"/>
      <c r="K15915" s="4"/>
      <c r="L15915" s="4"/>
      <c r="M15915" s="7" t="s">
        <v>6871</v>
      </c>
    </row>
    <row r="15916" customFormat="false" ht="15.75" hidden="false" customHeight="false" outlineLevel="0" collapsed="false">
      <c r="A15916" s="6" t="n">
        <f aca="false">DATE(2026,5,10)</f>
        <v>46152</v>
      </c>
      <c r="B15916" s="4" t="s">
        <v>4473</v>
      </c>
      <c r="C15916" s="4" t="n">
        <v>8</v>
      </c>
      <c r="D15916" s="4" t="n">
        <v>6</v>
      </c>
      <c r="E15916" s="4" t="s">
        <v>7218</v>
      </c>
      <c r="F15916" s="4" t="n">
        <v>23</v>
      </c>
      <c r="G15916" s="4" t="n">
        <v>8</v>
      </c>
      <c r="H15916" s="4" t="n">
        <v>4</v>
      </c>
      <c r="I15916" s="4" t="str">
        <v>×</v>
      </c>
      <c r="J15916" s="4"/>
      <c r="K15916" s="4"/>
      <c r="L15916" s="4"/>
      <c r="M15916" s="7" t="s">
        <v>6871</v>
      </c>
    </row>
    <row r="15917" customFormat="false" ht="15.75" hidden="false" customHeight="false" outlineLevel="0" collapsed="false">
      <c r="A15917" s="6" t="n">
        <f aca="false">DATE(2026,5,10)</f>
        <v>46152</v>
      </c>
      <c r="B15917" s="4" t="s">
        <v>4473</v>
      </c>
      <c r="C15917" s="4" t="n">
        <v>8</v>
      </c>
      <c r="D15917" s="4" t="n">
        <v>10</v>
      </c>
      <c r="E15917" s="4" t="s">
        <v>4546</v>
      </c>
      <c r="F15917" s="4" t="n">
        <v>23</v>
      </c>
      <c r="G15917" s="4" t="n">
        <v>9</v>
      </c>
      <c r="H15917" s="4" t="n">
        <v>4</v>
      </c>
      <c r="I15917" s="4" t="str">
        <v>×</v>
      </c>
      <c r="J15917" s="4"/>
      <c r="K15917" s="4"/>
      <c r="L15917" s="4"/>
      <c r="M15917" s="7" t="s">
        <v>6871</v>
      </c>
    </row>
    <row r="15918" customFormat="false" ht="15.75" hidden="false" customHeight="false" outlineLevel="0" collapsed="false">
      <c r="A15918" s="6" t="n">
        <f aca="false">DATE(2026,5,10)</f>
        <v>46152</v>
      </c>
      <c r="B15918" s="4" t="s">
        <v>4473</v>
      </c>
      <c r="C15918" s="4" t="n">
        <v>8</v>
      </c>
      <c r="D15918" s="4" t="n">
        <v>8</v>
      </c>
      <c r="E15918" s="4" t="s">
        <v>74</v>
      </c>
      <c r="F15918" s="4" t="n">
        <v>8</v>
      </c>
      <c r="G15918" s="4" t="n">
        <v>10</v>
      </c>
      <c r="H15918" s="4" t="n">
        <v>4</v>
      </c>
      <c r="I15918" s="4" t="str">
        <v>×</v>
      </c>
      <c r="J15918" s="4"/>
      <c r="K15918" s="4"/>
      <c r="L15918" s="4"/>
      <c r="M15918" s="7" t="s">
        <v>6871</v>
      </c>
    </row>
    <row r="15919" customFormat="false" ht="15.75" hidden="false" customHeight="false" outlineLevel="0" collapsed="false">
      <c r="A15919" s="6" t="n">
        <f aca="false">DATE(2026,5,10)</f>
        <v>46152</v>
      </c>
      <c r="B15919" s="4" t="s">
        <v>4473</v>
      </c>
      <c r="C15919" s="4" t="n">
        <v>8</v>
      </c>
      <c r="D15919" s="4" t="n">
        <v>2</v>
      </c>
      <c r="E15919" s="4" t="s">
        <v>7219</v>
      </c>
      <c r="F15919" s="4" t="n">
        <v>6</v>
      </c>
      <c r="G15919" s="4" t="n">
        <v>11</v>
      </c>
      <c r="H15919" s="4" t="n">
        <v>4</v>
      </c>
      <c r="I15919" s="4" t="str">
        <v>×</v>
      </c>
      <c r="J15919" s="4"/>
      <c r="K15919" s="4"/>
      <c r="L15919" s="4"/>
      <c r="M15919" s="7" t="s">
        <v>6871</v>
      </c>
    </row>
    <row r="15920" customFormat="false" ht="15.75" hidden="false" customHeight="false" outlineLevel="0" collapsed="false">
      <c r="A15920" s="6" t="n">
        <f aca="false">DATE(2026,5,10)</f>
        <v>46152</v>
      </c>
      <c r="B15920" s="4" t="s">
        <v>4473</v>
      </c>
      <c r="C15920" s="4" t="n">
        <v>9</v>
      </c>
      <c r="D15920" s="4" t="n">
        <v>3</v>
      </c>
      <c r="E15920" s="4" t="s">
        <v>7220</v>
      </c>
      <c r="F15920" s="4" t="n">
        <v>71</v>
      </c>
      <c r="G15920" s="4" t="n">
        <v>1</v>
      </c>
      <c r="H15920" s="4" t="n">
        <v>4</v>
      </c>
      <c r="I15920" s="4" t="str">
        <v>×</v>
      </c>
      <c r="J15920" s="4"/>
      <c r="K15920" s="4"/>
      <c r="L15920" s="4"/>
      <c r="M15920" s="7" t="s">
        <v>6871</v>
      </c>
    </row>
    <row r="15921" customFormat="false" ht="15.75" hidden="false" customHeight="false" outlineLevel="0" collapsed="false">
      <c r="A15921" s="6" t="n">
        <f aca="false">DATE(2026,5,10)</f>
        <v>46152</v>
      </c>
      <c r="B15921" s="4" t="s">
        <v>4473</v>
      </c>
      <c r="C15921" s="4" t="n">
        <v>9</v>
      </c>
      <c r="D15921" s="4" t="n">
        <v>8</v>
      </c>
      <c r="E15921" s="4" t="s">
        <v>5888</v>
      </c>
      <c r="F15921" s="4" t="n">
        <v>52</v>
      </c>
      <c r="G15921" s="4" t="n">
        <v>2</v>
      </c>
      <c r="H15921" s="4" t="n">
        <v>2</v>
      </c>
      <c r="I15921" s="4" t="str">
        <v>○</v>
      </c>
      <c r="J15921" s="4" t="n">
        <v>140</v>
      </c>
      <c r="K15921" s="4"/>
      <c r="L15921" s="4"/>
      <c r="M15921" s="7" t="s">
        <v>6871</v>
      </c>
    </row>
    <row r="15922" customFormat="false" ht="15.75" hidden="false" customHeight="false" outlineLevel="0" collapsed="false">
      <c r="A15922" s="6" t="n">
        <f aca="false">DATE(2026,5,10)</f>
        <v>46152</v>
      </c>
      <c r="B15922" s="4" t="s">
        <v>4473</v>
      </c>
      <c r="C15922" s="4" t="n">
        <v>9</v>
      </c>
      <c r="D15922" s="4" t="n">
        <v>1</v>
      </c>
      <c r="E15922" s="4" t="s">
        <v>4946</v>
      </c>
      <c r="F15922" s="4" t="n">
        <v>39</v>
      </c>
      <c r="G15922" s="4" t="n">
        <v>3</v>
      </c>
      <c r="H15922" s="4" t="n">
        <v>4</v>
      </c>
      <c r="I15922" s="4" t="str">
        <v>×</v>
      </c>
      <c r="J15922" s="4"/>
      <c r="K15922" s="4"/>
      <c r="L15922" s="4"/>
      <c r="M15922" s="7" t="s">
        <v>6871</v>
      </c>
    </row>
    <row r="15923" customFormat="false" ht="15.75" hidden="false" customHeight="false" outlineLevel="0" collapsed="false">
      <c r="A15923" s="6" t="n">
        <f aca="false">DATE(2026,5,10)</f>
        <v>46152</v>
      </c>
      <c r="B15923" s="4" t="s">
        <v>4473</v>
      </c>
      <c r="C15923" s="4" t="n">
        <v>9</v>
      </c>
      <c r="D15923" s="4" t="n">
        <v>7</v>
      </c>
      <c r="E15923" s="4" t="s">
        <v>4648</v>
      </c>
      <c r="F15923" s="4" t="n">
        <v>39</v>
      </c>
      <c r="G15923" s="4" t="n">
        <v>4</v>
      </c>
      <c r="H15923" s="4" t="n">
        <v>3</v>
      </c>
      <c r="I15923" s="4" t="str">
        <v>○</v>
      </c>
      <c r="J15923" s="4" t="n">
        <v>160</v>
      </c>
      <c r="K15923" s="4"/>
      <c r="L15923" s="4"/>
      <c r="M15923" s="7" t="s">
        <v>6871</v>
      </c>
    </row>
    <row r="15924" customFormat="false" ht="15.75" hidden="false" customHeight="false" outlineLevel="0" collapsed="false">
      <c r="A15924" s="6" t="n">
        <f aca="false">DATE(2026,5,10)</f>
        <v>46152</v>
      </c>
      <c r="B15924" s="4" t="s">
        <v>4473</v>
      </c>
      <c r="C15924" s="4" t="n">
        <v>9</v>
      </c>
      <c r="D15924" s="4" t="n">
        <v>4</v>
      </c>
      <c r="E15924" s="4" t="s">
        <v>6716</v>
      </c>
      <c r="F15924" s="4" t="n">
        <v>25</v>
      </c>
      <c r="G15924" s="4" t="n">
        <v>5</v>
      </c>
      <c r="H15924" s="4" t="n">
        <v>1</v>
      </c>
      <c r="I15924" s="4" t="str">
        <v>○</v>
      </c>
      <c r="J15924" s="4" t="n">
        <v>190</v>
      </c>
      <c r="K15924" s="4"/>
      <c r="L15924" s="4"/>
      <c r="M15924" s="7" t="s">
        <v>6871</v>
      </c>
    </row>
    <row r="15925" customFormat="false" ht="15.75" hidden="false" customHeight="false" outlineLevel="0" collapsed="false">
      <c r="A15925" s="6" t="n">
        <f aca="false">DATE(2026,5,10)</f>
        <v>46152</v>
      </c>
      <c r="B15925" s="4" t="s">
        <v>4473</v>
      </c>
      <c r="C15925" s="4" t="n">
        <v>9</v>
      </c>
      <c r="D15925" s="4" t="n">
        <v>2</v>
      </c>
      <c r="E15925" s="4" t="s">
        <v>1972</v>
      </c>
      <c r="F15925" s="4" t="n">
        <v>10</v>
      </c>
      <c r="G15925" s="4" t="n">
        <v>6</v>
      </c>
      <c r="H15925" s="4" t="n">
        <v>4</v>
      </c>
      <c r="I15925" s="4" t="str">
        <v>×</v>
      </c>
      <c r="J15925" s="4"/>
      <c r="K15925" s="4"/>
      <c r="L15925" s="4"/>
      <c r="M15925" s="7" t="s">
        <v>6871</v>
      </c>
    </row>
    <row r="15926" customFormat="false" ht="15.75" hidden="false" customHeight="false" outlineLevel="0" collapsed="false">
      <c r="A15926" s="6" t="n">
        <f aca="false">DATE(2026,5,10)</f>
        <v>46152</v>
      </c>
      <c r="B15926" s="4" t="s">
        <v>4473</v>
      </c>
      <c r="C15926" s="4" t="n">
        <v>9</v>
      </c>
      <c r="D15926" s="4" t="n">
        <v>9</v>
      </c>
      <c r="E15926" s="4" t="s">
        <v>4945</v>
      </c>
      <c r="F15926" s="4" t="n">
        <v>10</v>
      </c>
      <c r="G15926" s="4" t="n">
        <v>7</v>
      </c>
      <c r="H15926" s="4" t="n">
        <v>4</v>
      </c>
      <c r="I15926" s="4" t="str">
        <v>×</v>
      </c>
      <c r="J15926" s="4" t="n">
        <v>480</v>
      </c>
      <c r="K15926" s="4"/>
      <c r="L15926" s="4"/>
      <c r="M15926" s="7" t="s">
        <v>6871</v>
      </c>
    </row>
    <row r="15927" customFormat="false" ht="15.75" hidden="false" customHeight="false" outlineLevel="0" collapsed="false">
      <c r="A15927" s="6" t="n">
        <f aca="false">DATE(2026,5,10)</f>
        <v>46152</v>
      </c>
      <c r="B15927" s="4" t="s">
        <v>4473</v>
      </c>
      <c r="C15927" s="4" t="n">
        <v>9</v>
      </c>
      <c r="D15927" s="4" t="n">
        <v>6</v>
      </c>
      <c r="E15927" s="4" t="s">
        <v>4942</v>
      </c>
      <c r="F15927" s="4" t="n">
        <v>8</v>
      </c>
      <c r="G15927" s="4" t="n">
        <v>8</v>
      </c>
      <c r="H15927" s="4" t="n">
        <v>4</v>
      </c>
      <c r="I15927" s="4" t="str">
        <v>×</v>
      </c>
      <c r="J15927" s="4"/>
      <c r="K15927" s="4"/>
      <c r="L15927" s="4"/>
      <c r="M15927" s="7" t="s">
        <v>6871</v>
      </c>
    </row>
    <row r="15928" customFormat="false" ht="15.75" hidden="false" customHeight="false" outlineLevel="0" collapsed="false">
      <c r="A15928" s="6" t="n">
        <f aca="false">DATE(2026,5,10)</f>
        <v>46152</v>
      </c>
      <c r="B15928" s="4" t="s">
        <v>4473</v>
      </c>
      <c r="C15928" s="4" t="n">
        <v>9</v>
      </c>
      <c r="D15928" s="4" t="n">
        <v>5</v>
      </c>
      <c r="E15928" s="4" t="s">
        <v>7221</v>
      </c>
      <c r="F15928" s="4" t="n">
        <v>4</v>
      </c>
      <c r="G15928" s="4" t="n">
        <v>9</v>
      </c>
      <c r="H15928" s="4" t="n">
        <v>4</v>
      </c>
      <c r="I15928" s="4" t="str">
        <v>×</v>
      </c>
      <c r="J15928" s="4"/>
      <c r="K15928" s="4"/>
      <c r="L15928" s="4"/>
      <c r="M15928" s="7" t="s">
        <v>6871</v>
      </c>
    </row>
    <row r="15929" customFormat="false" ht="15.75" hidden="false" customHeight="false" outlineLevel="0" collapsed="false">
      <c r="A15929" s="6" t="n">
        <f aca="false">DATE(2026,5,10)</f>
        <v>46152</v>
      </c>
      <c r="B15929" s="4" t="s">
        <v>4473</v>
      </c>
      <c r="C15929" s="4" t="n">
        <v>10</v>
      </c>
      <c r="D15929" s="4" t="n">
        <v>12</v>
      </c>
      <c r="E15929" s="4" t="s">
        <v>1704</v>
      </c>
      <c r="F15929" s="4" t="n">
        <v>58</v>
      </c>
      <c r="G15929" s="4" t="n">
        <v>1</v>
      </c>
      <c r="H15929" s="4" t="n">
        <v>1</v>
      </c>
      <c r="I15929" s="4" t="str">
        <v>○</v>
      </c>
      <c r="J15929" s="4" t="n">
        <v>150</v>
      </c>
      <c r="K15929" s="4"/>
      <c r="L15929" s="4"/>
      <c r="M15929" s="7" t="s">
        <v>6871</v>
      </c>
    </row>
    <row r="15930" customFormat="false" ht="15.75" hidden="false" customHeight="false" outlineLevel="0" collapsed="false">
      <c r="A15930" s="6" t="n">
        <f aca="false">DATE(2026,5,10)</f>
        <v>46152</v>
      </c>
      <c r="B15930" s="4" t="s">
        <v>4473</v>
      </c>
      <c r="C15930" s="4" t="n">
        <v>10</v>
      </c>
      <c r="D15930" s="4" t="n">
        <v>10</v>
      </c>
      <c r="E15930" s="4" t="s">
        <v>7222</v>
      </c>
      <c r="F15930" s="4" t="n">
        <v>47</v>
      </c>
      <c r="G15930" s="4" t="n">
        <v>2</v>
      </c>
      <c r="H15930" s="4" t="n">
        <v>2</v>
      </c>
      <c r="I15930" s="4" t="str">
        <v>○</v>
      </c>
      <c r="J15930" s="4" t="n">
        <v>110</v>
      </c>
      <c r="K15930" s="4"/>
      <c r="L15930" s="4"/>
      <c r="M15930" s="7" t="s">
        <v>6871</v>
      </c>
    </row>
    <row r="15931" customFormat="false" ht="15.75" hidden="false" customHeight="false" outlineLevel="0" collapsed="false">
      <c r="A15931" s="6" t="n">
        <f aca="false">DATE(2026,5,10)</f>
        <v>46152</v>
      </c>
      <c r="B15931" s="4" t="s">
        <v>4473</v>
      </c>
      <c r="C15931" s="4" t="n">
        <v>10</v>
      </c>
      <c r="D15931" s="4" t="n">
        <v>2</v>
      </c>
      <c r="E15931" s="4" t="s">
        <v>2412</v>
      </c>
      <c r="F15931" s="4" t="n">
        <v>44</v>
      </c>
      <c r="G15931" s="4" t="n">
        <v>3</v>
      </c>
      <c r="H15931" s="4" t="n">
        <v>3</v>
      </c>
      <c r="I15931" s="4" t="str">
        <v>○</v>
      </c>
      <c r="J15931" s="4" t="n">
        <v>120</v>
      </c>
      <c r="K15931" s="4"/>
      <c r="L15931" s="4"/>
      <c r="M15931" s="7" t="s">
        <v>6871</v>
      </c>
    </row>
    <row r="15932" customFormat="false" ht="15.75" hidden="false" customHeight="false" outlineLevel="0" collapsed="false">
      <c r="A15932" s="6" t="n">
        <f aca="false">DATE(2026,5,10)</f>
        <v>46152</v>
      </c>
      <c r="B15932" s="4" t="s">
        <v>4473</v>
      </c>
      <c r="C15932" s="4" t="n">
        <v>10</v>
      </c>
      <c r="D15932" s="4" t="n">
        <v>8</v>
      </c>
      <c r="E15932" s="4" t="s">
        <v>6079</v>
      </c>
      <c r="F15932" s="4" t="n">
        <v>31</v>
      </c>
      <c r="G15932" s="4" t="n">
        <v>4</v>
      </c>
      <c r="H15932" s="4" t="n">
        <v>4</v>
      </c>
      <c r="I15932" s="4" t="str">
        <v>×</v>
      </c>
      <c r="J15932" s="4"/>
      <c r="K15932" s="4"/>
      <c r="L15932" s="4"/>
      <c r="M15932" s="7" t="s">
        <v>6871</v>
      </c>
    </row>
    <row r="15933" customFormat="false" ht="15.75" hidden="false" customHeight="false" outlineLevel="0" collapsed="false">
      <c r="A15933" s="6" t="n">
        <f aca="false">DATE(2026,5,10)</f>
        <v>46152</v>
      </c>
      <c r="B15933" s="4" t="s">
        <v>4473</v>
      </c>
      <c r="C15933" s="4" t="n">
        <v>10</v>
      </c>
      <c r="D15933" s="4" t="n">
        <v>3</v>
      </c>
      <c r="E15933" s="4" t="s">
        <v>904</v>
      </c>
      <c r="F15933" s="4" t="n">
        <v>23</v>
      </c>
      <c r="G15933" s="4" t="n">
        <v>5</v>
      </c>
      <c r="H15933" s="4" t="n">
        <v>4</v>
      </c>
      <c r="I15933" s="4" t="str">
        <v>×</v>
      </c>
      <c r="J15933" s="4"/>
      <c r="K15933" s="4"/>
      <c r="L15933" s="4"/>
      <c r="M15933" s="7" t="s">
        <v>6871</v>
      </c>
    </row>
    <row r="15934" customFormat="false" ht="15.75" hidden="false" customHeight="false" outlineLevel="0" collapsed="false">
      <c r="A15934" s="6" t="n">
        <f aca="false">DATE(2026,5,10)</f>
        <v>46152</v>
      </c>
      <c r="B15934" s="4" t="s">
        <v>4473</v>
      </c>
      <c r="C15934" s="4" t="n">
        <v>10</v>
      </c>
      <c r="D15934" s="4" t="n">
        <v>6</v>
      </c>
      <c r="E15934" s="4" t="s">
        <v>7223</v>
      </c>
      <c r="F15934" s="4" t="n">
        <v>20</v>
      </c>
      <c r="G15934" s="4" t="n">
        <v>6</v>
      </c>
      <c r="H15934" s="4" t="n">
        <v>4</v>
      </c>
      <c r="I15934" s="4" t="str">
        <v>×</v>
      </c>
      <c r="J15934" s="4"/>
      <c r="K15934" s="4"/>
      <c r="L15934" s="4"/>
      <c r="M15934" s="7" t="s">
        <v>6871</v>
      </c>
    </row>
    <row r="15935" customFormat="false" ht="15.75" hidden="false" customHeight="false" outlineLevel="0" collapsed="false">
      <c r="A15935" s="6" t="n">
        <f aca="false">DATE(2026,5,10)</f>
        <v>46152</v>
      </c>
      <c r="B15935" s="4" t="s">
        <v>4473</v>
      </c>
      <c r="C15935" s="4" t="n">
        <v>10</v>
      </c>
      <c r="D15935" s="4" t="n">
        <v>5</v>
      </c>
      <c r="E15935" s="4" t="s">
        <v>7224</v>
      </c>
      <c r="F15935" s="4" t="n">
        <v>17</v>
      </c>
      <c r="G15935" s="4" t="n">
        <v>7</v>
      </c>
      <c r="H15935" s="4" t="n">
        <v>4</v>
      </c>
      <c r="I15935" s="4" t="str">
        <v>×</v>
      </c>
      <c r="J15935" s="4"/>
      <c r="K15935" s="4"/>
      <c r="L15935" s="4"/>
      <c r="M15935" s="7" t="s">
        <v>6871</v>
      </c>
    </row>
    <row r="15936" customFormat="false" ht="15.75" hidden="false" customHeight="false" outlineLevel="0" collapsed="false">
      <c r="A15936" s="6" t="n">
        <f aca="false">DATE(2026,5,10)</f>
        <v>46152</v>
      </c>
      <c r="B15936" s="4" t="s">
        <v>4473</v>
      </c>
      <c r="C15936" s="4" t="n">
        <v>10</v>
      </c>
      <c r="D15936" s="4" t="n">
        <v>4</v>
      </c>
      <c r="E15936" s="4" t="s">
        <v>7225</v>
      </c>
      <c r="F15936" s="4" t="n">
        <v>10</v>
      </c>
      <c r="G15936" s="4" t="n">
        <v>8</v>
      </c>
      <c r="H15936" s="4" t="n">
        <v>4</v>
      </c>
      <c r="I15936" s="4" t="str">
        <v>×</v>
      </c>
      <c r="J15936" s="4"/>
      <c r="K15936" s="4"/>
      <c r="L15936" s="4"/>
      <c r="M15936" s="7" t="s">
        <v>6871</v>
      </c>
    </row>
    <row r="15937" customFormat="false" ht="15.75" hidden="false" customHeight="false" outlineLevel="0" collapsed="false">
      <c r="A15937" s="6" t="n">
        <f aca="false">DATE(2026,5,10)</f>
        <v>46152</v>
      </c>
      <c r="B15937" s="4" t="s">
        <v>4473</v>
      </c>
      <c r="C15937" s="4" t="n">
        <v>10</v>
      </c>
      <c r="D15937" s="4" t="n">
        <v>9</v>
      </c>
      <c r="E15937" s="4" t="s">
        <v>1700</v>
      </c>
      <c r="F15937" s="4" t="n">
        <v>10</v>
      </c>
      <c r="G15937" s="4" t="n">
        <v>9</v>
      </c>
      <c r="H15937" s="4" t="n">
        <v>4</v>
      </c>
      <c r="I15937" s="4" t="str">
        <v>×</v>
      </c>
      <c r="J15937" s="4"/>
      <c r="K15937" s="4"/>
      <c r="L15937" s="4"/>
      <c r="M15937" s="7" t="s">
        <v>6871</v>
      </c>
    </row>
    <row r="15938" customFormat="false" ht="15.75" hidden="false" customHeight="false" outlineLevel="0" collapsed="false">
      <c r="A15938" s="6" t="n">
        <f aca="false">DATE(2026,5,10)</f>
        <v>46152</v>
      </c>
      <c r="B15938" s="4" t="s">
        <v>4473</v>
      </c>
      <c r="C15938" s="4" t="n">
        <v>10</v>
      </c>
      <c r="D15938" s="4" t="n">
        <v>11</v>
      </c>
      <c r="E15938" s="4" t="s">
        <v>6328</v>
      </c>
      <c r="F15938" s="4" t="n">
        <v>10</v>
      </c>
      <c r="G15938" s="4" t="n">
        <v>10</v>
      </c>
      <c r="H15938" s="4" t="n">
        <v>4</v>
      </c>
      <c r="I15938" s="4" t="str">
        <v>×</v>
      </c>
      <c r="J15938" s="4"/>
      <c r="K15938" s="4"/>
      <c r="L15938" s="4"/>
      <c r="M15938" s="7" t="s">
        <v>6871</v>
      </c>
    </row>
    <row r="15939" customFormat="false" ht="15.75" hidden="false" customHeight="false" outlineLevel="0" collapsed="false">
      <c r="A15939" s="6" t="n">
        <f aca="false">DATE(2026,5,10)</f>
        <v>46152</v>
      </c>
      <c r="B15939" s="4" t="s">
        <v>4473</v>
      </c>
      <c r="C15939" s="4" t="n">
        <v>10</v>
      </c>
      <c r="D15939" s="4" t="n">
        <v>1</v>
      </c>
      <c r="E15939" s="4" t="s">
        <v>1694</v>
      </c>
      <c r="F15939" s="4" t="n">
        <v>3</v>
      </c>
      <c r="G15939" s="4" t="n">
        <v>11</v>
      </c>
      <c r="H15939" s="4" t="n">
        <v>4</v>
      </c>
      <c r="I15939" s="4" t="str">
        <v>×</v>
      </c>
      <c r="J15939" s="4"/>
      <c r="K15939" s="4"/>
      <c r="L15939" s="4"/>
      <c r="M15939" s="7" t="s">
        <v>6871</v>
      </c>
    </row>
    <row r="15940" customFormat="false" ht="15.75" hidden="false" customHeight="false" outlineLevel="0" collapsed="false">
      <c r="A15940" s="6" t="n">
        <f aca="false">DATE(2026,5,10)</f>
        <v>46152</v>
      </c>
      <c r="B15940" s="4" t="s">
        <v>4473</v>
      </c>
      <c r="C15940" s="4" t="n">
        <v>10</v>
      </c>
      <c r="D15940" s="4" t="n">
        <v>7</v>
      </c>
      <c r="E15940" s="4" t="s">
        <v>7226</v>
      </c>
      <c r="F15940" s="4" t="n">
        <v>3</v>
      </c>
      <c r="G15940" s="4" t="n">
        <v>12</v>
      </c>
      <c r="H15940" s="4" t="n">
        <v>4</v>
      </c>
      <c r="I15940" s="4" t="str">
        <v>×</v>
      </c>
      <c r="J15940" s="4"/>
      <c r="K15940" s="4"/>
      <c r="L15940" s="4"/>
      <c r="M15940" s="7" t="s">
        <v>6871</v>
      </c>
    </row>
    <row r="15941" customFormat="false" ht="15.75" hidden="false" customHeight="false" outlineLevel="0" collapsed="false">
      <c r="A15941" s="6" t="n">
        <f aca="false">DATE(2026,5,10)</f>
        <v>46152</v>
      </c>
      <c r="B15941" s="4" t="s">
        <v>4473</v>
      </c>
      <c r="C15941" s="4" t="n">
        <v>11</v>
      </c>
      <c r="D15941" s="4" t="n">
        <v>7</v>
      </c>
      <c r="E15941" s="4" t="s">
        <v>7227</v>
      </c>
      <c r="F15941" s="4" t="n">
        <v>52</v>
      </c>
      <c r="G15941" s="4" t="n">
        <v>1</v>
      </c>
      <c r="H15941" s="4" t="n">
        <v>4</v>
      </c>
      <c r="I15941" s="4" t="str">
        <v>×</v>
      </c>
      <c r="J15941" s="4"/>
      <c r="K15941" s="4"/>
      <c r="L15941" s="4"/>
      <c r="M15941" s="7" t="s">
        <v>6871</v>
      </c>
    </row>
    <row r="15942" customFormat="false" ht="15.75" hidden="false" customHeight="false" outlineLevel="0" collapsed="false">
      <c r="A15942" s="6" t="n">
        <f aca="false">DATE(2026,5,10)</f>
        <v>46152</v>
      </c>
      <c r="B15942" s="4" t="s">
        <v>4473</v>
      </c>
      <c r="C15942" s="4" t="n">
        <v>11</v>
      </c>
      <c r="D15942" s="4" t="n">
        <v>17</v>
      </c>
      <c r="E15942" s="4" t="s">
        <v>7228</v>
      </c>
      <c r="F15942" s="4" t="n">
        <v>50</v>
      </c>
      <c r="G15942" s="4" t="n">
        <v>2</v>
      </c>
      <c r="H15942" s="4" t="n">
        <v>1</v>
      </c>
      <c r="I15942" s="4" t="str">
        <v>○</v>
      </c>
      <c r="J15942" s="4" t="n">
        <v>230</v>
      </c>
      <c r="K15942" s="4"/>
      <c r="L15942" s="4"/>
      <c r="M15942" s="7" t="s">
        <v>6871</v>
      </c>
    </row>
    <row r="15943" customFormat="false" ht="15.75" hidden="false" customHeight="false" outlineLevel="0" collapsed="false">
      <c r="A15943" s="6" t="n">
        <f aca="false">DATE(2026,5,10)</f>
        <v>46152</v>
      </c>
      <c r="B15943" s="4" t="s">
        <v>4473</v>
      </c>
      <c r="C15943" s="4" t="n">
        <v>11</v>
      </c>
      <c r="D15943" s="4" t="n">
        <v>4</v>
      </c>
      <c r="E15943" s="4" t="s">
        <v>7229</v>
      </c>
      <c r="F15943" s="4" t="n">
        <v>44</v>
      </c>
      <c r="G15943" s="4" t="n">
        <v>3</v>
      </c>
      <c r="H15943" s="4" t="n">
        <v>4</v>
      </c>
      <c r="I15943" s="4" t="str">
        <v>×</v>
      </c>
      <c r="J15943" s="4"/>
      <c r="K15943" s="4"/>
      <c r="L15943" s="4"/>
      <c r="M15943" s="7" t="s">
        <v>6871</v>
      </c>
    </row>
    <row r="15944" customFormat="false" ht="15.75" hidden="false" customHeight="false" outlineLevel="0" collapsed="false">
      <c r="A15944" s="6" t="n">
        <f aca="false">DATE(2026,5,10)</f>
        <v>46152</v>
      </c>
      <c r="B15944" s="4" t="s">
        <v>4473</v>
      </c>
      <c r="C15944" s="4" t="n">
        <v>11</v>
      </c>
      <c r="D15944" s="4" t="n">
        <v>11</v>
      </c>
      <c r="E15944" s="4" t="s">
        <v>7230</v>
      </c>
      <c r="F15944" s="4" t="n">
        <v>44</v>
      </c>
      <c r="G15944" s="4" t="n">
        <v>4</v>
      </c>
      <c r="H15944" s="4" t="n">
        <v>3</v>
      </c>
      <c r="I15944" s="4" t="str">
        <v>○</v>
      </c>
      <c r="J15944" s="4" t="n">
        <v>300</v>
      </c>
      <c r="K15944" s="4"/>
      <c r="L15944" s="4"/>
      <c r="M15944" s="7" t="s">
        <v>6871</v>
      </c>
    </row>
    <row r="15945" customFormat="false" ht="15.75" hidden="false" customHeight="false" outlineLevel="0" collapsed="false">
      <c r="A15945" s="6" t="n">
        <f aca="false">DATE(2026,5,10)</f>
        <v>46152</v>
      </c>
      <c r="B15945" s="4" t="s">
        <v>4473</v>
      </c>
      <c r="C15945" s="4" t="n">
        <v>11</v>
      </c>
      <c r="D15945" s="4" t="n">
        <v>16</v>
      </c>
      <c r="E15945" s="4" t="s">
        <v>7231</v>
      </c>
      <c r="F15945" s="4" t="n">
        <v>31</v>
      </c>
      <c r="G15945" s="4" t="n">
        <v>5</v>
      </c>
      <c r="H15945" s="4" t="n">
        <v>2</v>
      </c>
      <c r="I15945" s="4" t="str">
        <v>○</v>
      </c>
      <c r="J15945" s="4" t="n">
        <v>300</v>
      </c>
      <c r="K15945" s="4"/>
      <c r="L15945" s="4"/>
      <c r="M15945" s="7" t="s">
        <v>6871</v>
      </c>
    </row>
    <row r="15946" customFormat="false" ht="15.75" hidden="false" customHeight="false" outlineLevel="0" collapsed="false">
      <c r="A15946" s="6" t="n">
        <f aca="false">DATE(2026,5,10)</f>
        <v>46152</v>
      </c>
      <c r="B15946" s="4" t="s">
        <v>4473</v>
      </c>
      <c r="C15946" s="4" t="n">
        <v>11</v>
      </c>
      <c r="D15946" s="4" t="n">
        <v>3</v>
      </c>
      <c r="E15946" s="4" t="s">
        <v>7232</v>
      </c>
      <c r="F15946" s="4" t="n">
        <v>25</v>
      </c>
      <c r="G15946" s="4" t="n">
        <v>6</v>
      </c>
      <c r="H15946" s="4" t="n">
        <v>4</v>
      </c>
      <c r="I15946" s="4" t="str">
        <v>×</v>
      </c>
      <c r="J15946" s="4"/>
      <c r="K15946" s="4"/>
      <c r="L15946" s="4"/>
      <c r="M15946" s="7" t="s">
        <v>6871</v>
      </c>
    </row>
    <row r="15947" customFormat="false" ht="15.75" hidden="false" customHeight="false" outlineLevel="0" collapsed="false">
      <c r="A15947" s="6" t="n">
        <f aca="false">DATE(2026,5,10)</f>
        <v>46152</v>
      </c>
      <c r="B15947" s="4" t="s">
        <v>4473</v>
      </c>
      <c r="C15947" s="4" t="n">
        <v>11</v>
      </c>
      <c r="D15947" s="4" t="n">
        <v>8</v>
      </c>
      <c r="E15947" s="4" t="s">
        <v>3407</v>
      </c>
      <c r="F15947" s="4" t="n">
        <v>25</v>
      </c>
      <c r="G15947" s="4" t="n">
        <v>7</v>
      </c>
      <c r="H15947" s="4" t="n">
        <v>4</v>
      </c>
      <c r="I15947" s="4" t="str">
        <v>×</v>
      </c>
      <c r="J15947" s="4"/>
      <c r="K15947" s="4"/>
      <c r="L15947" s="4"/>
      <c r="M15947" s="7" t="s">
        <v>6871</v>
      </c>
    </row>
    <row r="15948" customFormat="false" ht="15.75" hidden="false" customHeight="false" outlineLevel="0" collapsed="false">
      <c r="A15948" s="6" t="n">
        <f aca="false">DATE(2026,5,10)</f>
        <v>46152</v>
      </c>
      <c r="B15948" s="4" t="s">
        <v>4473</v>
      </c>
      <c r="C15948" s="4" t="n">
        <v>11</v>
      </c>
      <c r="D15948" s="4" t="n">
        <v>18</v>
      </c>
      <c r="E15948" s="4" t="s">
        <v>7233</v>
      </c>
      <c r="F15948" s="4" t="n">
        <v>25</v>
      </c>
      <c r="G15948" s="4" t="n">
        <v>8</v>
      </c>
      <c r="H15948" s="4" t="n">
        <v>4</v>
      </c>
      <c r="I15948" s="4" t="str">
        <v>×</v>
      </c>
      <c r="J15948" s="4"/>
      <c r="K15948" s="4"/>
      <c r="L15948" s="4"/>
      <c r="M15948" s="7" t="s">
        <v>6871</v>
      </c>
    </row>
    <row r="15949" customFormat="false" ht="15.75" hidden="false" customHeight="false" outlineLevel="0" collapsed="false">
      <c r="A15949" s="6" t="n">
        <f aca="false">DATE(2026,5,10)</f>
        <v>46152</v>
      </c>
      <c r="B15949" s="4" t="s">
        <v>4473</v>
      </c>
      <c r="C15949" s="4" t="n">
        <v>11</v>
      </c>
      <c r="D15949" s="4" t="n">
        <v>9</v>
      </c>
      <c r="E15949" s="4" t="s">
        <v>553</v>
      </c>
      <c r="F15949" s="4" t="n">
        <v>23</v>
      </c>
      <c r="G15949" s="4" t="n">
        <v>9</v>
      </c>
      <c r="H15949" s="4" t="n">
        <v>4</v>
      </c>
      <c r="I15949" s="4" t="str">
        <v>×</v>
      </c>
      <c r="J15949" s="4"/>
      <c r="K15949" s="4"/>
      <c r="L15949" s="4"/>
      <c r="M15949" s="7" t="s">
        <v>6871</v>
      </c>
    </row>
    <row r="15950" customFormat="false" ht="15.75" hidden="false" customHeight="false" outlineLevel="0" collapsed="false">
      <c r="A15950" s="6" t="n">
        <f aca="false">DATE(2026,5,10)</f>
        <v>46152</v>
      </c>
      <c r="B15950" s="4" t="s">
        <v>4473</v>
      </c>
      <c r="C15950" s="4" t="n">
        <v>11</v>
      </c>
      <c r="D15950" s="4" t="n">
        <v>10</v>
      </c>
      <c r="E15950" s="4" t="s">
        <v>4213</v>
      </c>
      <c r="F15950" s="4" t="n">
        <v>17</v>
      </c>
      <c r="G15950" s="4" t="n">
        <v>10</v>
      </c>
      <c r="H15950" s="4" t="n">
        <v>4</v>
      </c>
      <c r="I15950" s="4" t="str">
        <v>×</v>
      </c>
      <c r="J15950" s="4"/>
      <c r="K15950" s="4"/>
      <c r="L15950" s="4"/>
      <c r="M15950" s="7" t="s">
        <v>6871</v>
      </c>
    </row>
    <row r="15951" customFormat="false" ht="15.75" hidden="false" customHeight="false" outlineLevel="0" collapsed="false">
      <c r="A15951" s="6" t="n">
        <f aca="false">DATE(2026,5,10)</f>
        <v>46152</v>
      </c>
      <c r="B15951" s="4" t="s">
        <v>4473</v>
      </c>
      <c r="C15951" s="4" t="n">
        <v>11</v>
      </c>
      <c r="D15951" s="4" t="n">
        <v>2</v>
      </c>
      <c r="E15951" s="4" t="s">
        <v>7234</v>
      </c>
      <c r="F15951" s="4" t="n">
        <v>15</v>
      </c>
      <c r="G15951" s="4" t="n">
        <v>11</v>
      </c>
      <c r="H15951" s="4" t="n">
        <v>4</v>
      </c>
      <c r="I15951" s="4" t="str">
        <v>×</v>
      </c>
      <c r="J15951" s="4"/>
      <c r="K15951" s="4"/>
      <c r="L15951" s="4"/>
      <c r="M15951" s="7" t="s">
        <v>6871</v>
      </c>
    </row>
    <row r="15952" customFormat="false" ht="15.75" hidden="false" customHeight="false" outlineLevel="0" collapsed="false">
      <c r="A15952" s="6" t="n">
        <f aca="false">DATE(2026,5,10)</f>
        <v>46152</v>
      </c>
      <c r="B15952" s="4" t="s">
        <v>4473</v>
      </c>
      <c r="C15952" s="4" t="n">
        <v>11</v>
      </c>
      <c r="D15952" s="4" t="n">
        <v>5</v>
      </c>
      <c r="E15952" s="4" t="s">
        <v>7235</v>
      </c>
      <c r="F15952" s="4" t="n">
        <v>15</v>
      </c>
      <c r="G15952" s="4" t="n">
        <v>12</v>
      </c>
      <c r="H15952" s="4" t="n">
        <v>4</v>
      </c>
      <c r="I15952" s="4" t="str">
        <v>×</v>
      </c>
      <c r="J15952" s="4"/>
      <c r="K15952" s="4"/>
      <c r="L15952" s="4"/>
      <c r="M15952" s="7" t="s">
        <v>6871</v>
      </c>
    </row>
    <row r="15953" customFormat="false" ht="15.75" hidden="false" customHeight="false" outlineLevel="0" collapsed="false">
      <c r="A15953" s="6" t="n">
        <f aca="false">DATE(2026,5,10)</f>
        <v>46152</v>
      </c>
      <c r="B15953" s="4" t="s">
        <v>4473</v>
      </c>
      <c r="C15953" s="4" t="n">
        <v>11</v>
      </c>
      <c r="D15953" s="4" t="n">
        <v>6</v>
      </c>
      <c r="E15953" s="4" t="s">
        <v>81</v>
      </c>
      <c r="F15953" s="4" t="n">
        <v>15</v>
      </c>
      <c r="G15953" s="4" t="n">
        <v>13</v>
      </c>
      <c r="H15953" s="4" t="n">
        <v>4</v>
      </c>
      <c r="I15953" s="4" t="str">
        <v>×</v>
      </c>
      <c r="J15953" s="4"/>
      <c r="K15953" s="4"/>
      <c r="L15953" s="4"/>
      <c r="M15953" s="7" t="s">
        <v>6871</v>
      </c>
    </row>
    <row r="15954" customFormat="false" ht="15.75" hidden="false" customHeight="false" outlineLevel="0" collapsed="false">
      <c r="A15954" s="6" t="n">
        <f aca="false">DATE(2026,5,10)</f>
        <v>46152</v>
      </c>
      <c r="B15954" s="4" t="s">
        <v>4473</v>
      </c>
      <c r="C15954" s="4" t="n">
        <v>11</v>
      </c>
      <c r="D15954" s="4" t="n">
        <v>12</v>
      </c>
      <c r="E15954" s="4" t="s">
        <v>3639</v>
      </c>
      <c r="F15954" s="4" t="n">
        <v>15</v>
      </c>
      <c r="G15954" s="4" t="n">
        <v>14</v>
      </c>
      <c r="H15954" s="4" t="n">
        <v>4</v>
      </c>
      <c r="I15954" s="4" t="str">
        <v>×</v>
      </c>
      <c r="J15954" s="4"/>
      <c r="K15954" s="4"/>
      <c r="L15954" s="4"/>
      <c r="M15954" s="7" t="s">
        <v>6871</v>
      </c>
    </row>
    <row r="15955" customFormat="false" ht="15.75" hidden="false" customHeight="false" outlineLevel="0" collapsed="false">
      <c r="A15955" s="6" t="n">
        <f aca="false">DATE(2026,5,10)</f>
        <v>46152</v>
      </c>
      <c r="B15955" s="4" t="s">
        <v>4473</v>
      </c>
      <c r="C15955" s="4" t="n">
        <v>11</v>
      </c>
      <c r="D15955" s="4" t="n">
        <v>14</v>
      </c>
      <c r="E15955" s="4" t="s">
        <v>6878</v>
      </c>
      <c r="F15955" s="4" t="n">
        <v>15</v>
      </c>
      <c r="G15955" s="4" t="n">
        <v>15</v>
      </c>
      <c r="H15955" s="4" t="n">
        <v>4</v>
      </c>
      <c r="I15955" s="4" t="str">
        <v>×</v>
      </c>
      <c r="J15955" s="4"/>
      <c r="K15955" s="4"/>
      <c r="L15955" s="4"/>
      <c r="M15955" s="7" t="s">
        <v>6871</v>
      </c>
    </row>
    <row r="15956" customFormat="false" ht="15.75" hidden="false" customHeight="false" outlineLevel="0" collapsed="false">
      <c r="A15956" s="6" t="n">
        <f aca="false">DATE(2026,5,10)</f>
        <v>46152</v>
      </c>
      <c r="B15956" s="4" t="s">
        <v>4473</v>
      </c>
      <c r="C15956" s="4" t="n">
        <v>11</v>
      </c>
      <c r="D15956" s="4" t="n">
        <v>15</v>
      </c>
      <c r="E15956" s="4" t="s">
        <v>7236</v>
      </c>
      <c r="F15956" s="4" t="n">
        <v>15</v>
      </c>
      <c r="G15956" s="4" t="n">
        <v>16</v>
      </c>
      <c r="H15956" s="4" t="n">
        <v>4</v>
      </c>
      <c r="I15956" s="4" t="str">
        <v>×</v>
      </c>
      <c r="J15956" s="4"/>
      <c r="K15956" s="4"/>
      <c r="L15956" s="4"/>
      <c r="M15956" s="7" t="s">
        <v>6871</v>
      </c>
    </row>
    <row r="15957" customFormat="false" ht="15.75" hidden="false" customHeight="false" outlineLevel="0" collapsed="false">
      <c r="A15957" s="6" t="n">
        <f aca="false">DATE(2026,5,10)</f>
        <v>46152</v>
      </c>
      <c r="B15957" s="4" t="s">
        <v>4473</v>
      </c>
      <c r="C15957" s="4" t="n">
        <v>11</v>
      </c>
      <c r="D15957" s="4" t="n">
        <v>1</v>
      </c>
      <c r="E15957" s="4" t="s">
        <v>7237</v>
      </c>
      <c r="F15957" s="4" t="n">
        <v>8</v>
      </c>
      <c r="G15957" s="4" t="n">
        <v>17</v>
      </c>
      <c r="H15957" s="4" t="n">
        <v>4</v>
      </c>
      <c r="I15957" s="4" t="str">
        <v>×</v>
      </c>
      <c r="J15957" s="4"/>
      <c r="K15957" s="4"/>
      <c r="L15957" s="4"/>
      <c r="M15957" s="7" t="s">
        <v>6871</v>
      </c>
    </row>
    <row r="15958" customFormat="false" ht="15.75" hidden="false" customHeight="false" outlineLevel="0" collapsed="false">
      <c r="A15958" s="6" t="n">
        <f aca="false">DATE(2026,5,10)</f>
        <v>46152</v>
      </c>
      <c r="B15958" s="4" t="s">
        <v>4473</v>
      </c>
      <c r="C15958" s="4" t="n">
        <v>11</v>
      </c>
      <c r="D15958" s="4" t="n">
        <v>13</v>
      </c>
      <c r="E15958" s="4" t="s">
        <v>1508</v>
      </c>
      <c r="F15958" s="4" t="n">
        <v>3</v>
      </c>
      <c r="G15958" s="4" t="n">
        <v>18</v>
      </c>
      <c r="H15958" s="4" t="n">
        <v>4</v>
      </c>
      <c r="I15958" s="4" t="str">
        <v>×</v>
      </c>
      <c r="J15958" s="4"/>
      <c r="K15958" s="4"/>
      <c r="L15958" s="4"/>
      <c r="M15958" s="7" t="s">
        <v>6871</v>
      </c>
    </row>
    <row r="15959" customFormat="false" ht="15.75" hidden="false" customHeight="false" outlineLevel="0" collapsed="false">
      <c r="A15959" s="6" t="n">
        <f aca="false">DATE(2026,5,10)</f>
        <v>46152</v>
      </c>
      <c r="B15959" s="4" t="s">
        <v>4473</v>
      </c>
      <c r="C15959" s="4" t="n">
        <v>12</v>
      </c>
      <c r="D15959" s="4" t="n">
        <v>6</v>
      </c>
      <c r="E15959" s="4" t="s">
        <v>7238</v>
      </c>
      <c r="F15959" s="4" t="n">
        <v>44</v>
      </c>
      <c r="G15959" s="4" t="n">
        <v>1</v>
      </c>
      <c r="H15959" s="4" t="n">
        <v>4</v>
      </c>
      <c r="I15959" s="4" t="str">
        <v>×</v>
      </c>
      <c r="J15959" s="4"/>
      <c r="K15959" s="4"/>
      <c r="L15959" s="4"/>
      <c r="M15959" s="7" t="s">
        <v>6871</v>
      </c>
    </row>
    <row r="15960" customFormat="false" ht="15.75" hidden="false" customHeight="false" outlineLevel="0" collapsed="false">
      <c r="A15960" s="6" t="n">
        <f aca="false">DATE(2026,5,10)</f>
        <v>46152</v>
      </c>
      <c r="B15960" s="4" t="s">
        <v>4473</v>
      </c>
      <c r="C15960" s="4" t="n">
        <v>12</v>
      </c>
      <c r="D15960" s="4" t="n">
        <v>13</v>
      </c>
      <c r="E15960" s="4" t="s">
        <v>7239</v>
      </c>
      <c r="F15960" s="4" t="n">
        <v>39</v>
      </c>
      <c r="G15960" s="4" t="n">
        <v>2</v>
      </c>
      <c r="H15960" s="4" t="n">
        <v>4</v>
      </c>
      <c r="I15960" s="4" t="str">
        <v>×</v>
      </c>
      <c r="J15960" s="4"/>
      <c r="K15960" s="4"/>
      <c r="L15960" s="4"/>
      <c r="M15960" s="7" t="s">
        <v>6871</v>
      </c>
    </row>
    <row r="15961" customFormat="false" ht="15.75" hidden="false" customHeight="false" outlineLevel="0" collapsed="false">
      <c r="A15961" s="6" t="n">
        <f aca="false">DATE(2026,5,10)</f>
        <v>46152</v>
      </c>
      <c r="B15961" s="4" t="s">
        <v>4473</v>
      </c>
      <c r="C15961" s="4" t="n">
        <v>12</v>
      </c>
      <c r="D15961" s="4" t="n">
        <v>1</v>
      </c>
      <c r="E15961" s="4" t="s">
        <v>2396</v>
      </c>
      <c r="F15961" s="4" t="n">
        <v>37</v>
      </c>
      <c r="G15961" s="4" t="n">
        <v>3</v>
      </c>
      <c r="H15961" s="4" t="n">
        <v>4</v>
      </c>
      <c r="I15961" s="4" t="str">
        <v>×</v>
      </c>
      <c r="J15961" s="4"/>
      <c r="K15961" s="4"/>
      <c r="L15961" s="4"/>
      <c r="M15961" s="7" t="s">
        <v>6871</v>
      </c>
    </row>
    <row r="15962" customFormat="false" ht="15.75" hidden="false" customHeight="false" outlineLevel="0" collapsed="false">
      <c r="A15962" s="6" t="n">
        <f aca="false">DATE(2026,5,10)</f>
        <v>46152</v>
      </c>
      <c r="B15962" s="4" t="s">
        <v>4473</v>
      </c>
      <c r="C15962" s="4" t="n">
        <v>12</v>
      </c>
      <c r="D15962" s="4" t="n">
        <v>2</v>
      </c>
      <c r="E15962" s="4" t="s">
        <v>4413</v>
      </c>
      <c r="F15962" s="4" t="n">
        <v>37</v>
      </c>
      <c r="G15962" s="4" t="n">
        <v>4</v>
      </c>
      <c r="H15962" s="4" t="n">
        <v>4</v>
      </c>
      <c r="I15962" s="4" t="str">
        <v>×</v>
      </c>
      <c r="J15962" s="4"/>
      <c r="K15962" s="4"/>
      <c r="L15962" s="4"/>
      <c r="M15962" s="7" t="s">
        <v>6871</v>
      </c>
    </row>
    <row r="15963" customFormat="false" ht="15.75" hidden="false" customHeight="false" outlineLevel="0" collapsed="false">
      <c r="A15963" s="6" t="n">
        <f aca="false">DATE(2026,5,10)</f>
        <v>46152</v>
      </c>
      <c r="B15963" s="4" t="s">
        <v>4473</v>
      </c>
      <c r="C15963" s="4" t="n">
        <v>12</v>
      </c>
      <c r="D15963" s="4" t="n">
        <v>3</v>
      </c>
      <c r="E15963" s="4" t="s">
        <v>6045</v>
      </c>
      <c r="F15963" s="4" t="n">
        <v>37</v>
      </c>
      <c r="G15963" s="4" t="n">
        <v>5</v>
      </c>
      <c r="H15963" s="4" t="n">
        <v>2</v>
      </c>
      <c r="I15963" s="4" t="str">
        <v>○</v>
      </c>
      <c r="J15963" s="4" t="n">
        <v>140</v>
      </c>
      <c r="K15963" s="4"/>
      <c r="L15963" s="4"/>
      <c r="M15963" s="7" t="s">
        <v>6871</v>
      </c>
    </row>
    <row r="15964" customFormat="false" ht="15.75" hidden="false" customHeight="false" outlineLevel="0" collapsed="false">
      <c r="A15964" s="6" t="n">
        <f aca="false">DATE(2026,5,10)</f>
        <v>46152</v>
      </c>
      <c r="B15964" s="4" t="s">
        <v>4473</v>
      </c>
      <c r="C15964" s="4" t="n">
        <v>12</v>
      </c>
      <c r="D15964" s="4" t="n">
        <v>12</v>
      </c>
      <c r="E15964" s="4" t="s">
        <v>5873</v>
      </c>
      <c r="F15964" s="4" t="n">
        <v>37</v>
      </c>
      <c r="G15964" s="4" t="n">
        <v>6</v>
      </c>
      <c r="H15964" s="4" t="n">
        <v>1</v>
      </c>
      <c r="I15964" s="4" t="str">
        <v>○</v>
      </c>
      <c r="J15964" s="4" t="n">
        <v>190</v>
      </c>
      <c r="K15964" s="4"/>
      <c r="L15964" s="4"/>
      <c r="M15964" s="7" t="s">
        <v>6871</v>
      </c>
    </row>
    <row r="15965" customFormat="false" ht="15.75" hidden="false" customHeight="false" outlineLevel="0" collapsed="false">
      <c r="A15965" s="6" t="n">
        <f aca="false">DATE(2026,5,10)</f>
        <v>46152</v>
      </c>
      <c r="B15965" s="4" t="s">
        <v>4473</v>
      </c>
      <c r="C15965" s="4" t="n">
        <v>12</v>
      </c>
      <c r="D15965" s="4" t="n">
        <v>4</v>
      </c>
      <c r="E15965" s="4" t="s">
        <v>7240</v>
      </c>
      <c r="F15965" s="4" t="n">
        <v>29</v>
      </c>
      <c r="G15965" s="4" t="n">
        <v>7</v>
      </c>
      <c r="H15965" s="4" t="n">
        <v>4</v>
      </c>
      <c r="I15965" s="4" t="str">
        <v>×</v>
      </c>
      <c r="J15965" s="4"/>
      <c r="K15965" s="4"/>
      <c r="L15965" s="4"/>
      <c r="M15965" s="7" t="s">
        <v>6871</v>
      </c>
    </row>
    <row r="15966" customFormat="false" ht="15.75" hidden="false" customHeight="false" outlineLevel="0" collapsed="false">
      <c r="A15966" s="6" t="n">
        <f aca="false">DATE(2026,5,10)</f>
        <v>46152</v>
      </c>
      <c r="B15966" s="4" t="s">
        <v>4473</v>
      </c>
      <c r="C15966" s="4" t="n">
        <v>12</v>
      </c>
      <c r="D15966" s="4" t="n">
        <v>8</v>
      </c>
      <c r="E15966" s="4" t="s">
        <v>7241</v>
      </c>
      <c r="F15966" s="4" t="n">
        <v>23</v>
      </c>
      <c r="G15966" s="4" t="n">
        <v>8</v>
      </c>
      <c r="H15966" s="4" t="n">
        <v>4</v>
      </c>
      <c r="I15966" s="4" t="str">
        <v>×</v>
      </c>
      <c r="J15966" s="4"/>
      <c r="K15966" s="4"/>
      <c r="L15966" s="4"/>
      <c r="M15966" s="7" t="s">
        <v>6871</v>
      </c>
    </row>
    <row r="15967" customFormat="false" ht="15.75" hidden="false" customHeight="false" outlineLevel="0" collapsed="false">
      <c r="A15967" s="6" t="n">
        <f aca="false">DATE(2026,5,10)</f>
        <v>46152</v>
      </c>
      <c r="B15967" s="4" t="s">
        <v>4473</v>
      </c>
      <c r="C15967" s="4" t="n">
        <v>12</v>
      </c>
      <c r="D15967" s="4" t="n">
        <v>11</v>
      </c>
      <c r="E15967" s="4" t="s">
        <v>2262</v>
      </c>
      <c r="F15967" s="4" t="n">
        <v>20</v>
      </c>
      <c r="G15967" s="4" t="n">
        <v>9</v>
      </c>
      <c r="H15967" s="4" t="n">
        <v>4</v>
      </c>
      <c r="I15967" s="4" t="str">
        <v>×</v>
      </c>
      <c r="J15967" s="4"/>
      <c r="K15967" s="4"/>
      <c r="L15967" s="4"/>
      <c r="M15967" s="7" t="s">
        <v>6871</v>
      </c>
    </row>
    <row r="15968" customFormat="false" ht="15.75" hidden="false" customHeight="false" outlineLevel="0" collapsed="false">
      <c r="A15968" s="6" t="n">
        <f aca="false">DATE(2026,5,10)</f>
        <v>46152</v>
      </c>
      <c r="B15968" s="4" t="s">
        <v>4473</v>
      </c>
      <c r="C15968" s="4" t="n">
        <v>12</v>
      </c>
      <c r="D15968" s="4" t="n">
        <v>7</v>
      </c>
      <c r="E15968" s="4" t="s">
        <v>1560</v>
      </c>
      <c r="F15968" s="4" t="n">
        <v>15</v>
      </c>
      <c r="G15968" s="4" t="n">
        <v>10</v>
      </c>
      <c r="H15968" s="4" t="n">
        <v>4</v>
      </c>
      <c r="I15968" s="4" t="str">
        <v>×</v>
      </c>
      <c r="J15968" s="4"/>
      <c r="K15968" s="4"/>
      <c r="L15968" s="4"/>
      <c r="M15968" s="7" t="s">
        <v>6871</v>
      </c>
    </row>
    <row r="15969" customFormat="false" ht="15.75" hidden="false" customHeight="false" outlineLevel="0" collapsed="false">
      <c r="A15969" s="6" t="n">
        <f aca="false">DATE(2026,5,10)</f>
        <v>46152</v>
      </c>
      <c r="B15969" s="4" t="s">
        <v>4473</v>
      </c>
      <c r="C15969" s="4" t="n">
        <v>12</v>
      </c>
      <c r="D15969" s="4" t="n">
        <v>9</v>
      </c>
      <c r="E15969" s="4" t="s">
        <v>7242</v>
      </c>
      <c r="F15969" s="4" t="n">
        <v>15</v>
      </c>
      <c r="G15969" s="4" t="n">
        <v>11</v>
      </c>
      <c r="H15969" s="4" t="n">
        <v>3</v>
      </c>
      <c r="I15969" s="4" t="str">
        <v>○</v>
      </c>
      <c r="J15969" s="4" t="n">
        <v>320</v>
      </c>
      <c r="K15969" s="4"/>
      <c r="L15969" s="4"/>
      <c r="M15969" s="7" t="s">
        <v>6871</v>
      </c>
    </row>
    <row r="15970" customFormat="false" ht="15.75" hidden="false" customHeight="false" outlineLevel="0" collapsed="false">
      <c r="A15970" s="6" t="n">
        <f aca="false">DATE(2026,5,10)</f>
        <v>46152</v>
      </c>
      <c r="B15970" s="4" t="s">
        <v>4473</v>
      </c>
      <c r="C15970" s="4" t="n">
        <v>12</v>
      </c>
      <c r="D15970" s="4" t="n">
        <v>15</v>
      </c>
      <c r="E15970" s="4" t="s">
        <v>4965</v>
      </c>
      <c r="F15970" s="4" t="n">
        <v>15</v>
      </c>
      <c r="G15970" s="4" t="n">
        <v>12</v>
      </c>
      <c r="H15970" s="4" t="n">
        <v>4</v>
      </c>
      <c r="I15970" s="4" t="str">
        <v>×</v>
      </c>
      <c r="J15970" s="4"/>
      <c r="K15970" s="4"/>
      <c r="L15970" s="4"/>
      <c r="M15970" s="7" t="s">
        <v>6871</v>
      </c>
    </row>
    <row r="15971" customFormat="false" ht="15.75" hidden="false" customHeight="false" outlineLevel="0" collapsed="false">
      <c r="A15971" s="6" t="n">
        <f aca="false">DATE(2026,5,10)</f>
        <v>46152</v>
      </c>
      <c r="B15971" s="4" t="s">
        <v>4473</v>
      </c>
      <c r="C15971" s="4" t="n">
        <v>12</v>
      </c>
      <c r="D15971" s="4" t="n">
        <v>5</v>
      </c>
      <c r="E15971" s="4" t="s">
        <v>7243</v>
      </c>
      <c r="F15971" s="4" t="n">
        <v>4</v>
      </c>
      <c r="G15971" s="4" t="n">
        <v>13</v>
      </c>
      <c r="H15971" s="4" t="n">
        <v>4</v>
      </c>
      <c r="I15971" s="4" t="str">
        <v>×</v>
      </c>
      <c r="J15971" s="4"/>
      <c r="K15971" s="4"/>
      <c r="L15971" s="4"/>
      <c r="M15971" s="7" t="s">
        <v>6871</v>
      </c>
    </row>
    <row r="15972" customFormat="false" ht="15.75" hidden="false" customHeight="false" outlineLevel="0" collapsed="false">
      <c r="A15972" s="6" t="n">
        <f aca="false">DATE(2026,5,10)</f>
        <v>46152</v>
      </c>
      <c r="B15972" s="4" t="s">
        <v>4473</v>
      </c>
      <c r="C15972" s="4" t="n">
        <v>12</v>
      </c>
      <c r="D15972" s="4" t="n">
        <v>10</v>
      </c>
      <c r="E15972" s="4" t="s">
        <v>3756</v>
      </c>
      <c r="F15972" s="4" t="n">
        <v>3</v>
      </c>
      <c r="G15972" s="4" t="n">
        <v>14</v>
      </c>
      <c r="H15972" s="4" t="n">
        <v>4</v>
      </c>
      <c r="I15972" s="4" t="str">
        <v>×</v>
      </c>
      <c r="J15972" s="4"/>
      <c r="K15972" s="4"/>
      <c r="L15972" s="4"/>
      <c r="M15972" s="7" t="s">
        <v>6871</v>
      </c>
    </row>
    <row r="15973" customFormat="false" ht="15.75" hidden="false" customHeight="false" outlineLevel="0" collapsed="false">
      <c r="A15973" s="6" t="n">
        <f aca="false">DATE(2026,5,10)</f>
        <v>46152</v>
      </c>
      <c r="B15973" s="4" t="s">
        <v>4473</v>
      </c>
      <c r="C15973" s="4" t="n">
        <v>12</v>
      </c>
      <c r="D15973" s="4" t="n">
        <v>14</v>
      </c>
      <c r="E15973" s="4" t="s">
        <v>7244</v>
      </c>
      <c r="F15973" s="4" t="n">
        <v>3</v>
      </c>
      <c r="G15973" s="4" t="n">
        <v>15</v>
      </c>
      <c r="H15973" s="4" t="n">
        <v>4</v>
      </c>
      <c r="I15973" s="4" t="str">
        <v>×</v>
      </c>
      <c r="J15973" s="4"/>
      <c r="K15973" s="4"/>
      <c r="L15973" s="4"/>
      <c r="M15973" s="7" t="s">
        <v>6871</v>
      </c>
    </row>
    <row r="15974" customFormat="false" ht="15.75" hidden="false" customHeight="false" outlineLevel="0" collapsed="false">
      <c r="A15974" s="6" t="n">
        <f aca="false">DATE(2026,5,2)</f>
        <v>46144</v>
      </c>
      <c r="B15974" s="4" t="s">
        <v>5435</v>
      </c>
      <c r="C15974" s="4" t="n">
        <v>1</v>
      </c>
      <c r="D15974" s="4" t="n">
        <v>1</v>
      </c>
      <c r="E15974" s="4" t="s">
        <v>3423</v>
      </c>
      <c r="F15974" s="4" t="n">
        <v>8</v>
      </c>
      <c r="G15974" s="4" t="n">
        <v>8</v>
      </c>
      <c r="H15974" s="4" t="n">
        <v>4</v>
      </c>
      <c r="I15974" s="4" t="str">
        <v>×</v>
      </c>
      <c r="J15974" s="4"/>
      <c r="K15974" s="4"/>
      <c r="L15974" s="4"/>
      <c r="M15974" s="7" t="s">
        <v>6871</v>
      </c>
    </row>
    <row r="15975" customFormat="false" ht="15.75" hidden="false" customHeight="false" outlineLevel="0" collapsed="false">
      <c r="A15975" s="6" t="n">
        <f aca="false">DATE(2026,5,2)</f>
        <v>46144</v>
      </c>
      <c r="B15975" s="4" t="s">
        <v>5435</v>
      </c>
      <c r="C15975" s="4" t="n">
        <v>1</v>
      </c>
      <c r="D15975" s="4" t="n">
        <v>2</v>
      </c>
      <c r="E15975" s="4" t="s">
        <v>4364</v>
      </c>
      <c r="F15975" s="4" t="n">
        <v>8</v>
      </c>
      <c r="G15975" s="4" t="n">
        <v>9</v>
      </c>
      <c r="H15975" s="4" t="n">
        <v>4</v>
      </c>
      <c r="I15975" s="4" t="str">
        <v>×</v>
      </c>
      <c r="J15975" s="4"/>
      <c r="K15975" s="4"/>
      <c r="L15975" s="4"/>
      <c r="M15975" s="7" t="s">
        <v>6871</v>
      </c>
    </row>
    <row r="15976" customFormat="false" ht="15.75" hidden="false" customHeight="false" outlineLevel="0" collapsed="false">
      <c r="A15976" s="6" t="n">
        <f aca="false">DATE(2026,5,2)</f>
        <v>46144</v>
      </c>
      <c r="B15976" s="4" t="s">
        <v>5435</v>
      </c>
      <c r="C15976" s="4" t="n">
        <v>1</v>
      </c>
      <c r="D15976" s="4" t="n">
        <v>3</v>
      </c>
      <c r="E15976" s="4" t="s">
        <v>4359</v>
      </c>
      <c r="F15976" s="4" t="n">
        <v>29</v>
      </c>
      <c r="G15976" s="4" t="n">
        <v>4</v>
      </c>
      <c r="H15976" s="4" t="n">
        <v>3</v>
      </c>
      <c r="I15976" s="4" t="str">
        <v>○</v>
      </c>
      <c r="J15976" s="4" t="n">
        <v>150</v>
      </c>
      <c r="K15976" s="4"/>
      <c r="L15976" s="4"/>
      <c r="M15976" s="7" t="s">
        <v>6871</v>
      </c>
    </row>
    <row r="15977" customFormat="false" ht="15.75" hidden="false" customHeight="false" outlineLevel="0" collapsed="false">
      <c r="A15977" s="6" t="n">
        <f aca="false">DATE(2026,5,2)</f>
        <v>46144</v>
      </c>
      <c r="B15977" s="4" t="s">
        <v>5435</v>
      </c>
      <c r="C15977" s="4" t="n">
        <v>1</v>
      </c>
      <c r="D15977" s="4" t="n">
        <v>4</v>
      </c>
      <c r="E15977" s="4" t="s">
        <v>4577</v>
      </c>
      <c r="F15977" s="4" t="n">
        <v>3</v>
      </c>
      <c r="G15977" s="4" t="n">
        <v>13</v>
      </c>
      <c r="H15977" s="4" t="n">
        <v>4</v>
      </c>
      <c r="I15977" s="4" t="str">
        <v>×</v>
      </c>
      <c r="J15977" s="4"/>
      <c r="K15977" s="4"/>
      <c r="L15977" s="4"/>
      <c r="M15977" s="7" t="s">
        <v>6871</v>
      </c>
    </row>
    <row r="15978" customFormat="false" ht="15.75" hidden="false" customHeight="false" outlineLevel="0" collapsed="false">
      <c r="A15978" s="6" t="n">
        <f aca="false">DATE(2026,5,2)</f>
        <v>46144</v>
      </c>
      <c r="B15978" s="4" t="s">
        <v>5435</v>
      </c>
      <c r="C15978" s="4" t="n">
        <v>1</v>
      </c>
      <c r="D15978" s="4" t="n">
        <v>5</v>
      </c>
      <c r="E15978" s="4" t="s">
        <v>7245</v>
      </c>
      <c r="F15978" s="4" t="n">
        <v>66</v>
      </c>
      <c r="G15978" s="4" t="n">
        <v>1</v>
      </c>
      <c r="H15978" s="4" t="n">
        <v>1</v>
      </c>
      <c r="I15978" s="4" t="str">
        <v>○</v>
      </c>
      <c r="J15978" s="4" t="n">
        <v>110</v>
      </c>
      <c r="K15978" s="4"/>
      <c r="L15978" s="4"/>
      <c r="M15978" s="7" t="s">
        <v>6871</v>
      </c>
    </row>
    <row r="15979" customFormat="false" ht="15.75" hidden="false" customHeight="false" outlineLevel="0" collapsed="false">
      <c r="A15979" s="6" t="n">
        <f aca="false">DATE(2026,5,2)</f>
        <v>46144</v>
      </c>
      <c r="B15979" s="4" t="s">
        <v>5435</v>
      </c>
      <c r="C15979" s="4" t="n">
        <v>1</v>
      </c>
      <c r="D15979" s="4" t="n">
        <v>6</v>
      </c>
      <c r="E15979" s="4" t="s">
        <v>7246</v>
      </c>
      <c r="F15979" s="4" t="n">
        <v>3</v>
      </c>
      <c r="G15979" s="4" t="n">
        <v>14</v>
      </c>
      <c r="H15979" s="4" t="n">
        <v>4</v>
      </c>
      <c r="I15979" s="4" t="str">
        <v>×</v>
      </c>
      <c r="J15979" s="4"/>
      <c r="K15979" s="4"/>
      <c r="L15979" s="4"/>
      <c r="M15979" s="7" t="s">
        <v>6871</v>
      </c>
    </row>
    <row r="15980" customFormat="false" ht="15.75" hidden="false" customHeight="false" outlineLevel="0" collapsed="false">
      <c r="A15980" s="6" t="n">
        <f aca="false">DATE(2026,5,2)</f>
        <v>46144</v>
      </c>
      <c r="B15980" s="4" t="s">
        <v>5435</v>
      </c>
      <c r="C15980" s="4" t="n">
        <v>1</v>
      </c>
      <c r="D15980" s="4" t="n">
        <v>7</v>
      </c>
      <c r="E15980" s="4" t="s">
        <v>2565</v>
      </c>
      <c r="F15980" s="4" t="n">
        <v>34</v>
      </c>
      <c r="G15980" s="4" t="n">
        <v>3</v>
      </c>
      <c r="H15980" s="4" t="n">
        <v>4</v>
      </c>
      <c r="I15980" s="4" t="str">
        <v>×</v>
      </c>
      <c r="J15980" s="4"/>
      <c r="K15980" s="4"/>
      <c r="L15980" s="4"/>
      <c r="M15980" s="7" t="s">
        <v>6871</v>
      </c>
    </row>
    <row r="15981" customFormat="false" ht="15.75" hidden="false" customHeight="false" outlineLevel="0" collapsed="false">
      <c r="A15981" s="6" t="n">
        <f aca="false">DATE(2026,5,2)</f>
        <v>46144</v>
      </c>
      <c r="B15981" s="4" t="s">
        <v>5435</v>
      </c>
      <c r="C15981" s="4" t="n">
        <v>1</v>
      </c>
      <c r="D15981" s="4" t="n">
        <v>8</v>
      </c>
      <c r="E15981" s="4" t="s">
        <v>6579</v>
      </c>
      <c r="F15981" s="4" t="n">
        <v>6</v>
      </c>
      <c r="G15981" s="4" t="n">
        <v>10</v>
      </c>
      <c r="H15981" s="4" t="n">
        <v>4</v>
      </c>
      <c r="I15981" s="4" t="str">
        <v>×</v>
      </c>
      <c r="J15981" s="4"/>
      <c r="K15981" s="4"/>
      <c r="L15981" s="4"/>
      <c r="M15981" s="7" t="s">
        <v>6871</v>
      </c>
    </row>
    <row r="15982" customFormat="false" ht="15.75" hidden="false" customHeight="false" outlineLevel="0" collapsed="false">
      <c r="A15982" s="6" t="n">
        <f aca="false">DATE(2026,5,2)</f>
        <v>46144</v>
      </c>
      <c r="B15982" s="4" t="s">
        <v>5435</v>
      </c>
      <c r="C15982" s="4" t="n">
        <v>1</v>
      </c>
      <c r="D15982" s="4" t="n">
        <v>9</v>
      </c>
      <c r="E15982" s="4" t="s">
        <v>7247</v>
      </c>
      <c r="F15982" s="4" t="n">
        <v>6</v>
      </c>
      <c r="G15982" s="4" t="n">
        <v>11</v>
      </c>
      <c r="H15982" s="4" t="n">
        <v>4</v>
      </c>
      <c r="I15982" s="4" t="str">
        <v>×</v>
      </c>
      <c r="J15982" s="4"/>
      <c r="K15982" s="4"/>
      <c r="L15982" s="4"/>
      <c r="M15982" s="7" t="s">
        <v>6871</v>
      </c>
    </row>
    <row r="15983" customFormat="false" ht="15.75" hidden="false" customHeight="false" outlineLevel="0" collapsed="false">
      <c r="A15983" s="6" t="n">
        <f aca="false">DATE(2026,5,2)</f>
        <v>46144</v>
      </c>
      <c r="B15983" s="4" t="s">
        <v>5435</v>
      </c>
      <c r="C15983" s="4" t="n">
        <v>1</v>
      </c>
      <c r="D15983" s="4" t="n">
        <v>10</v>
      </c>
      <c r="E15983" s="4" t="s">
        <v>7248</v>
      </c>
      <c r="F15983" s="4" t="n">
        <v>4</v>
      </c>
      <c r="G15983" s="4" t="n">
        <v>12</v>
      </c>
      <c r="H15983" s="4" t="n">
        <v>4</v>
      </c>
      <c r="I15983" s="4" t="str">
        <v>×</v>
      </c>
      <c r="J15983" s="4"/>
      <c r="K15983" s="4"/>
      <c r="L15983" s="4"/>
      <c r="M15983" s="7" t="s">
        <v>6871</v>
      </c>
    </row>
    <row r="15984" customFormat="false" ht="15.75" hidden="false" customHeight="false" outlineLevel="0" collapsed="false">
      <c r="A15984" s="6" t="n">
        <f aca="false">DATE(2026,5,2)</f>
        <v>46144</v>
      </c>
      <c r="B15984" s="4" t="s">
        <v>5435</v>
      </c>
      <c r="C15984" s="4" t="n">
        <v>1</v>
      </c>
      <c r="D15984" s="4" t="n">
        <v>11</v>
      </c>
      <c r="E15984" s="4" t="s">
        <v>1811</v>
      </c>
      <c r="F15984" s="4" t="n">
        <v>65</v>
      </c>
      <c r="G15984" s="4" t="n">
        <v>2</v>
      </c>
      <c r="H15984" s="4" t="n">
        <v>2</v>
      </c>
      <c r="I15984" s="4" t="str">
        <v>○</v>
      </c>
      <c r="J15984" s="4" t="n">
        <v>110</v>
      </c>
      <c r="K15984" s="4"/>
      <c r="L15984" s="4"/>
      <c r="M15984" s="7" t="s">
        <v>6871</v>
      </c>
    </row>
    <row r="15985" customFormat="false" ht="15.75" hidden="false" customHeight="false" outlineLevel="0" collapsed="false">
      <c r="A15985" s="6" t="n">
        <f aca="false">DATE(2026,5,2)</f>
        <v>46144</v>
      </c>
      <c r="B15985" s="4" t="s">
        <v>5435</v>
      </c>
      <c r="C15985" s="4" t="n">
        <v>1</v>
      </c>
      <c r="D15985" s="4" t="n">
        <v>12</v>
      </c>
      <c r="E15985" s="4" t="s">
        <v>7249</v>
      </c>
      <c r="F15985" s="4" t="n">
        <v>2</v>
      </c>
      <c r="G15985" s="4" t="n">
        <v>15</v>
      </c>
      <c r="H15985" s="4" t="n">
        <v>4</v>
      </c>
      <c r="I15985" s="4" t="str">
        <v>×</v>
      </c>
      <c r="J15985" s="4"/>
      <c r="K15985" s="4"/>
      <c r="L15985" s="4"/>
      <c r="M15985" s="7" t="s">
        <v>6871</v>
      </c>
    </row>
    <row r="15986" customFormat="false" ht="15.75" hidden="false" customHeight="false" outlineLevel="0" collapsed="false">
      <c r="A15986" s="6" t="n">
        <f aca="false">DATE(2026,5,2)</f>
        <v>46144</v>
      </c>
      <c r="B15986" s="4" t="s">
        <v>5435</v>
      </c>
      <c r="C15986" s="4" t="n">
        <v>1</v>
      </c>
      <c r="D15986" s="4" t="n">
        <v>13</v>
      </c>
      <c r="E15986" s="4" t="s">
        <v>5249</v>
      </c>
      <c r="F15986" s="4" t="n">
        <v>13</v>
      </c>
      <c r="G15986" s="4" t="n">
        <v>6</v>
      </c>
      <c r="H15986" s="4" t="n">
        <v>4</v>
      </c>
      <c r="I15986" s="4" t="str">
        <v>×</v>
      </c>
      <c r="J15986" s="4"/>
      <c r="K15986" s="4"/>
      <c r="L15986" s="4"/>
      <c r="M15986" s="7" t="s">
        <v>6871</v>
      </c>
    </row>
    <row r="15987" customFormat="false" ht="15.75" hidden="false" customHeight="false" outlineLevel="0" collapsed="false">
      <c r="A15987" s="6" t="n">
        <f aca="false">DATE(2026,5,2)</f>
        <v>46144</v>
      </c>
      <c r="B15987" s="4" t="s">
        <v>5435</v>
      </c>
      <c r="C15987" s="4" t="n">
        <v>1</v>
      </c>
      <c r="D15987" s="4" t="n">
        <v>14</v>
      </c>
      <c r="E15987" s="4" t="s">
        <v>7250</v>
      </c>
      <c r="F15987" s="4" t="n">
        <v>10</v>
      </c>
      <c r="G15987" s="4" t="n">
        <v>7</v>
      </c>
      <c r="H15987" s="4" t="n">
        <v>4</v>
      </c>
      <c r="I15987" s="4" t="str">
        <v>×</v>
      </c>
      <c r="J15987" s="4"/>
      <c r="K15987" s="4"/>
      <c r="L15987" s="4"/>
      <c r="M15987" s="7" t="s">
        <v>6871</v>
      </c>
    </row>
    <row r="15988" customFormat="false" ht="15.75" hidden="false" customHeight="false" outlineLevel="0" collapsed="false">
      <c r="A15988" s="6" t="n">
        <f aca="false">DATE(2026,5,2)</f>
        <v>46144</v>
      </c>
      <c r="B15988" s="4" t="s">
        <v>5435</v>
      </c>
      <c r="C15988" s="4" t="n">
        <v>1</v>
      </c>
      <c r="D15988" s="4" t="n">
        <v>15</v>
      </c>
      <c r="E15988" s="4" t="s">
        <v>7251</v>
      </c>
      <c r="F15988" s="4" t="n">
        <v>2</v>
      </c>
      <c r="G15988" s="4" t="n">
        <v>16</v>
      </c>
      <c r="H15988" s="4" t="n">
        <v>4</v>
      </c>
      <c r="I15988" s="4" t="str">
        <v>×</v>
      </c>
      <c r="J15988" s="4"/>
      <c r="K15988" s="4"/>
      <c r="L15988" s="4"/>
      <c r="M15988" s="7" t="s">
        <v>6871</v>
      </c>
    </row>
    <row r="15989" customFormat="false" ht="15.75" hidden="false" customHeight="false" outlineLevel="0" collapsed="false">
      <c r="A15989" s="6" t="n">
        <f aca="false">DATE(2026,5,2)</f>
        <v>46144</v>
      </c>
      <c r="B15989" s="4" t="s">
        <v>5435</v>
      </c>
      <c r="C15989" s="4" t="n">
        <v>1</v>
      </c>
      <c r="D15989" s="4" t="n">
        <v>16</v>
      </c>
      <c r="E15989" s="4" t="s">
        <v>781</v>
      </c>
      <c r="F15989" s="4" t="n">
        <v>20</v>
      </c>
      <c r="G15989" s="4" t="n">
        <v>5</v>
      </c>
      <c r="H15989" s="4" t="n">
        <v>4</v>
      </c>
      <c r="I15989" s="4" t="str">
        <v>×</v>
      </c>
      <c r="J15989" s="4"/>
      <c r="K15989" s="4"/>
      <c r="L15989" s="4"/>
      <c r="M15989" s="7" t="s">
        <v>6871</v>
      </c>
    </row>
    <row r="15990" customFormat="false" ht="15.75" hidden="false" customHeight="false" outlineLevel="0" collapsed="false">
      <c r="A15990" s="6" t="n">
        <f aca="false">DATE(2026,5,2)</f>
        <v>46144</v>
      </c>
      <c r="B15990" s="4" t="s">
        <v>5435</v>
      </c>
      <c r="C15990" s="4" t="n">
        <v>2</v>
      </c>
      <c r="D15990" s="4" t="n">
        <v>1</v>
      </c>
      <c r="E15990" s="4" t="s">
        <v>4241</v>
      </c>
      <c r="F15990" s="4" t="n">
        <v>4</v>
      </c>
      <c r="G15990" s="4" t="n">
        <v>13</v>
      </c>
      <c r="H15990" s="4" t="n">
        <v>4</v>
      </c>
      <c r="I15990" s="4" t="str">
        <v>×</v>
      </c>
      <c r="J15990" s="4"/>
      <c r="K15990" s="4"/>
      <c r="L15990" s="4"/>
      <c r="M15990" s="7" t="s">
        <v>6871</v>
      </c>
    </row>
    <row r="15991" customFormat="false" ht="15.75" hidden="false" customHeight="false" outlineLevel="0" collapsed="false">
      <c r="A15991" s="6" t="n">
        <f aca="false">DATE(2026,5,2)</f>
        <v>46144</v>
      </c>
      <c r="B15991" s="4" t="s">
        <v>5435</v>
      </c>
      <c r="C15991" s="4" t="n">
        <v>2</v>
      </c>
      <c r="D15991" s="4" t="n">
        <v>2</v>
      </c>
      <c r="E15991" s="4" t="s">
        <v>7252</v>
      </c>
      <c r="F15991" s="4" t="n">
        <v>4</v>
      </c>
      <c r="G15991" s="4" t="n">
        <v>14</v>
      </c>
      <c r="H15991" s="4" t="n">
        <v>4</v>
      </c>
      <c r="I15991" s="4" t="str">
        <v>×</v>
      </c>
      <c r="J15991" s="4"/>
      <c r="K15991" s="4"/>
      <c r="L15991" s="4"/>
      <c r="M15991" s="7" t="s">
        <v>6871</v>
      </c>
    </row>
    <row r="15992" customFormat="false" ht="15.75" hidden="false" customHeight="false" outlineLevel="0" collapsed="false">
      <c r="A15992" s="6" t="n">
        <f aca="false">DATE(2026,5,2)</f>
        <v>46144</v>
      </c>
      <c r="B15992" s="4" t="s">
        <v>5435</v>
      </c>
      <c r="C15992" s="4" t="n">
        <v>2</v>
      </c>
      <c r="D15992" s="4" t="n">
        <v>3</v>
      </c>
      <c r="E15992" s="4" t="s">
        <v>5759</v>
      </c>
      <c r="F15992" s="4" t="n">
        <v>3</v>
      </c>
      <c r="G15992" s="4" t="n">
        <v>15</v>
      </c>
      <c r="H15992" s="4" t="n">
        <v>4</v>
      </c>
      <c r="I15992" s="4" t="str">
        <v>×</v>
      </c>
      <c r="J15992" s="4"/>
      <c r="K15992" s="4"/>
      <c r="L15992" s="4"/>
      <c r="M15992" s="7" t="s">
        <v>6871</v>
      </c>
    </row>
    <row r="15993" customFormat="false" ht="15.75" hidden="false" customHeight="false" outlineLevel="0" collapsed="false">
      <c r="A15993" s="6" t="n">
        <f aca="false">DATE(2026,5,2)</f>
        <v>46144</v>
      </c>
      <c r="B15993" s="4" t="s">
        <v>5435</v>
      </c>
      <c r="C15993" s="4" t="n">
        <v>2</v>
      </c>
      <c r="D15993" s="4" t="n">
        <v>4</v>
      </c>
      <c r="E15993" s="4" t="s">
        <v>7253</v>
      </c>
      <c r="F15993" s="4" t="n">
        <v>39</v>
      </c>
      <c r="G15993" s="4" t="n">
        <v>2</v>
      </c>
      <c r="H15993" s="4" t="n">
        <v>3</v>
      </c>
      <c r="I15993" s="4" t="str">
        <v>○</v>
      </c>
      <c r="J15993" s="4" t="n">
        <v>140</v>
      </c>
      <c r="K15993" s="4"/>
      <c r="L15993" s="4"/>
      <c r="M15993" s="7" t="s">
        <v>6871</v>
      </c>
    </row>
    <row r="15994" customFormat="false" ht="15.75" hidden="false" customHeight="false" outlineLevel="0" collapsed="false">
      <c r="A15994" s="6" t="n">
        <f aca="false">DATE(2026,5,2)</f>
        <v>46144</v>
      </c>
      <c r="B15994" s="4" t="s">
        <v>5435</v>
      </c>
      <c r="C15994" s="4" t="n">
        <v>2</v>
      </c>
      <c r="D15994" s="4" t="n">
        <v>5</v>
      </c>
      <c r="E15994" s="4" t="s">
        <v>2861</v>
      </c>
      <c r="F15994" s="4" t="n">
        <v>8</v>
      </c>
      <c r="G15994" s="4" t="n">
        <v>8</v>
      </c>
      <c r="H15994" s="4" t="n">
        <v>4</v>
      </c>
      <c r="I15994" s="4" t="str">
        <v>×</v>
      </c>
      <c r="J15994" s="4"/>
      <c r="K15994" s="4"/>
      <c r="L15994" s="4"/>
      <c r="M15994" s="7" t="s">
        <v>6871</v>
      </c>
    </row>
    <row r="15995" customFormat="false" ht="15.75" hidden="false" customHeight="false" outlineLevel="0" collapsed="false">
      <c r="A15995" s="6" t="n">
        <f aca="false">DATE(2026,5,2)</f>
        <v>46144</v>
      </c>
      <c r="B15995" s="4" t="s">
        <v>5435</v>
      </c>
      <c r="C15995" s="4" t="n">
        <v>2</v>
      </c>
      <c r="D15995" s="4" t="n">
        <v>6</v>
      </c>
      <c r="E15995" s="4" t="s">
        <v>7254</v>
      </c>
      <c r="F15995" s="4" t="n">
        <v>20</v>
      </c>
      <c r="G15995" s="4" t="n">
        <v>6</v>
      </c>
      <c r="H15995" s="4" t="n">
        <v>4</v>
      </c>
      <c r="I15995" s="4" t="str">
        <v>×</v>
      </c>
      <c r="J15995" s="4"/>
      <c r="K15995" s="4"/>
      <c r="L15995" s="4"/>
      <c r="M15995" s="7" t="s">
        <v>6871</v>
      </c>
    </row>
    <row r="15996" customFormat="false" ht="15.75" hidden="false" customHeight="false" outlineLevel="0" collapsed="false">
      <c r="A15996" s="6" t="n">
        <f aca="false">DATE(2026,5,2)</f>
        <v>46144</v>
      </c>
      <c r="B15996" s="4" t="s">
        <v>5435</v>
      </c>
      <c r="C15996" s="4" t="n">
        <v>2</v>
      </c>
      <c r="D15996" s="4" t="n">
        <v>7</v>
      </c>
      <c r="E15996" s="4" t="s">
        <v>3612</v>
      </c>
      <c r="F15996" s="4" t="n">
        <v>8</v>
      </c>
      <c r="G15996" s="4" t="n">
        <v>9</v>
      </c>
      <c r="H15996" s="4" t="n">
        <v>4</v>
      </c>
      <c r="I15996" s="4" t="str">
        <v>×</v>
      </c>
      <c r="J15996" s="4"/>
      <c r="K15996" s="4"/>
      <c r="L15996" s="4"/>
      <c r="M15996" s="7" t="s">
        <v>6871</v>
      </c>
    </row>
    <row r="15997" customFormat="false" ht="15.75" hidden="false" customHeight="false" outlineLevel="0" collapsed="false">
      <c r="A15997" s="6" t="n">
        <f aca="false">DATE(2026,5,2)</f>
        <v>46144</v>
      </c>
      <c r="B15997" s="4" t="s">
        <v>5435</v>
      </c>
      <c r="C15997" s="4" t="n">
        <v>2</v>
      </c>
      <c r="D15997" s="4" t="n">
        <v>8</v>
      </c>
      <c r="E15997" s="4" t="s">
        <v>1233</v>
      </c>
      <c r="F15997" s="4" t="n">
        <v>37</v>
      </c>
      <c r="G15997" s="4" t="n">
        <v>3</v>
      </c>
      <c r="H15997" s="4" t="n">
        <v>1</v>
      </c>
      <c r="I15997" s="4" t="str">
        <v>○</v>
      </c>
      <c r="J15997" s="4" t="n">
        <v>150</v>
      </c>
      <c r="K15997" s="4"/>
      <c r="L15997" s="4"/>
      <c r="M15997" s="7" t="s">
        <v>6871</v>
      </c>
    </row>
    <row r="15998" customFormat="false" ht="15.75" hidden="false" customHeight="false" outlineLevel="0" collapsed="false">
      <c r="A15998" s="6" t="n">
        <f aca="false">DATE(2026,5,2)</f>
        <v>46144</v>
      </c>
      <c r="B15998" s="4" t="s">
        <v>5435</v>
      </c>
      <c r="C15998" s="4" t="n">
        <v>2</v>
      </c>
      <c r="D15998" s="4" t="n">
        <v>9</v>
      </c>
      <c r="E15998" s="4" t="s">
        <v>4618</v>
      </c>
      <c r="F15998" s="4" t="n">
        <v>10</v>
      </c>
      <c r="G15998" s="4" t="n">
        <v>7</v>
      </c>
      <c r="H15998" s="4" t="n">
        <v>4</v>
      </c>
      <c r="I15998" s="4" t="str">
        <v>×</v>
      </c>
      <c r="J15998" s="4"/>
      <c r="K15998" s="4"/>
      <c r="L15998" s="4"/>
      <c r="M15998" s="7" t="s">
        <v>6871</v>
      </c>
    </row>
    <row r="15999" customFormat="false" ht="15.75" hidden="false" customHeight="false" outlineLevel="0" collapsed="false">
      <c r="A15999" s="6" t="n">
        <f aca="false">DATE(2026,5,2)</f>
        <v>46144</v>
      </c>
      <c r="B15999" s="4" t="s">
        <v>5435</v>
      </c>
      <c r="C15999" s="4" t="n">
        <v>2</v>
      </c>
      <c r="D15999" s="4" t="n">
        <v>10</v>
      </c>
      <c r="E15999" s="4" t="s">
        <v>2863</v>
      </c>
      <c r="F15999" s="4" t="n">
        <v>75</v>
      </c>
      <c r="G15999" s="4" t="n">
        <v>1</v>
      </c>
      <c r="H15999" s="4" t="n">
        <v>2</v>
      </c>
      <c r="I15999" s="4" t="str">
        <v>○</v>
      </c>
      <c r="J15999" s="4" t="n">
        <v>110</v>
      </c>
      <c r="K15999" s="4"/>
      <c r="L15999" s="4"/>
      <c r="M15999" s="7" t="s">
        <v>6871</v>
      </c>
    </row>
    <row r="16000" customFormat="false" ht="15.75" hidden="false" customHeight="false" outlineLevel="0" collapsed="false">
      <c r="A16000" s="6" t="n">
        <f aca="false">DATE(2026,5,2)</f>
        <v>46144</v>
      </c>
      <c r="B16000" s="4" t="s">
        <v>5435</v>
      </c>
      <c r="C16000" s="4" t="n">
        <v>2</v>
      </c>
      <c r="D16000" s="4" t="n">
        <v>11</v>
      </c>
      <c r="E16000" s="4" t="s">
        <v>5668</v>
      </c>
      <c r="F16000" s="4" t="n">
        <v>29</v>
      </c>
      <c r="G16000" s="4" t="n">
        <v>5</v>
      </c>
      <c r="H16000" s="4" t="n">
        <v>4</v>
      </c>
      <c r="I16000" s="4" t="str">
        <v>×</v>
      </c>
      <c r="J16000" s="4"/>
      <c r="K16000" s="4"/>
      <c r="L16000" s="4"/>
      <c r="M16000" s="7" t="s">
        <v>6871</v>
      </c>
    </row>
    <row r="16001" customFormat="false" ht="15.75" hidden="false" customHeight="false" outlineLevel="0" collapsed="false">
      <c r="A16001" s="6" t="n">
        <f aca="false">DATE(2026,5,2)</f>
        <v>46144</v>
      </c>
      <c r="B16001" s="4" t="s">
        <v>5435</v>
      </c>
      <c r="C16001" s="4" t="n">
        <v>2</v>
      </c>
      <c r="D16001" s="4" t="n">
        <v>12</v>
      </c>
      <c r="E16001" s="4" t="s">
        <v>217</v>
      </c>
      <c r="F16001" s="4" t="n">
        <v>31</v>
      </c>
      <c r="G16001" s="4" t="n">
        <v>4</v>
      </c>
      <c r="H16001" s="4" t="n">
        <v>4</v>
      </c>
      <c r="I16001" s="4" t="str">
        <v>×</v>
      </c>
      <c r="J16001" s="4"/>
      <c r="K16001" s="4"/>
      <c r="L16001" s="4"/>
      <c r="M16001" s="7" t="s">
        <v>6871</v>
      </c>
    </row>
    <row r="16002" customFormat="false" ht="15.75" hidden="false" customHeight="false" outlineLevel="0" collapsed="false">
      <c r="A16002" s="6" t="n">
        <f aca="false">DATE(2026,5,2)</f>
        <v>46144</v>
      </c>
      <c r="B16002" s="4" t="s">
        <v>5435</v>
      </c>
      <c r="C16002" s="4" t="n">
        <v>2</v>
      </c>
      <c r="D16002" s="4" t="n">
        <v>13</v>
      </c>
      <c r="E16002" s="4" t="s">
        <v>1148</v>
      </c>
      <c r="F16002" s="4" t="n">
        <v>6</v>
      </c>
      <c r="G16002" s="4" t="n">
        <v>10</v>
      </c>
      <c r="H16002" s="4" t="n">
        <v>4</v>
      </c>
      <c r="I16002" s="4" t="str">
        <v>×</v>
      </c>
      <c r="J16002" s="4"/>
      <c r="K16002" s="4"/>
      <c r="L16002" s="4"/>
      <c r="M16002" s="7" t="s">
        <v>6871</v>
      </c>
    </row>
    <row r="16003" customFormat="false" ht="15.75" hidden="false" customHeight="false" outlineLevel="0" collapsed="false">
      <c r="A16003" s="6" t="n">
        <f aca="false">DATE(2026,5,2)</f>
        <v>46144</v>
      </c>
      <c r="B16003" s="4" t="s">
        <v>5435</v>
      </c>
      <c r="C16003" s="4" t="n">
        <v>2</v>
      </c>
      <c r="D16003" s="4" t="n">
        <v>14</v>
      </c>
      <c r="E16003" s="4" t="s">
        <v>7255</v>
      </c>
      <c r="F16003" s="4" t="n">
        <v>6</v>
      </c>
      <c r="G16003" s="4" t="n">
        <v>11</v>
      </c>
      <c r="H16003" s="4" t="n">
        <v>4</v>
      </c>
      <c r="I16003" s="4" t="str">
        <v>×</v>
      </c>
      <c r="J16003" s="4"/>
      <c r="K16003" s="4"/>
      <c r="L16003" s="4"/>
      <c r="M16003" s="7" t="s">
        <v>6871</v>
      </c>
    </row>
    <row r="16004" customFormat="false" ht="15.75" hidden="false" customHeight="false" outlineLevel="0" collapsed="false">
      <c r="A16004" s="6" t="n">
        <f aca="false">DATE(2026,5,2)</f>
        <v>46144</v>
      </c>
      <c r="B16004" s="4" t="s">
        <v>5435</v>
      </c>
      <c r="C16004" s="4" t="n">
        <v>2</v>
      </c>
      <c r="D16004" s="4" t="n">
        <v>15</v>
      </c>
      <c r="E16004" s="4" t="s">
        <v>5444</v>
      </c>
      <c r="F16004" s="4" t="n">
        <v>6</v>
      </c>
      <c r="G16004" s="4" t="n">
        <v>12</v>
      </c>
      <c r="H16004" s="4" t="n">
        <v>4</v>
      </c>
      <c r="I16004" s="4" t="str">
        <v>×</v>
      </c>
      <c r="J16004" s="4"/>
      <c r="K16004" s="4"/>
      <c r="L16004" s="4"/>
      <c r="M16004" s="7" t="s">
        <v>6871</v>
      </c>
    </row>
    <row r="16005" customFormat="false" ht="15.75" hidden="false" customHeight="false" outlineLevel="0" collapsed="false">
      <c r="A16005" s="6" t="n">
        <f aca="false">DATE(2026,5,2)</f>
        <v>46144</v>
      </c>
      <c r="B16005" s="4" t="s">
        <v>5435</v>
      </c>
      <c r="C16005" s="4" t="n">
        <v>3</v>
      </c>
      <c r="D16005" s="4" t="n">
        <v>1</v>
      </c>
      <c r="E16005" s="4" t="s">
        <v>234</v>
      </c>
      <c r="F16005" s="4" t="n">
        <v>60</v>
      </c>
      <c r="G16005" s="4" t="n">
        <v>1</v>
      </c>
      <c r="H16005" s="4" t="n">
        <v>2</v>
      </c>
      <c r="I16005" s="4" t="str">
        <v>○</v>
      </c>
      <c r="J16005" s="4" t="n">
        <v>120</v>
      </c>
      <c r="K16005" s="4"/>
      <c r="L16005" s="4"/>
      <c r="M16005" s="7" t="s">
        <v>6871</v>
      </c>
    </row>
    <row r="16006" customFormat="false" ht="15.75" hidden="false" customHeight="false" outlineLevel="0" collapsed="false">
      <c r="A16006" s="6" t="n">
        <f aca="false">DATE(2026,5,2)</f>
        <v>46144</v>
      </c>
      <c r="B16006" s="4" t="s">
        <v>5435</v>
      </c>
      <c r="C16006" s="4" t="n">
        <v>3</v>
      </c>
      <c r="D16006" s="4" t="n">
        <v>2</v>
      </c>
      <c r="E16006" s="4" t="s">
        <v>1160</v>
      </c>
      <c r="F16006" s="4" t="n">
        <v>17</v>
      </c>
      <c r="G16006" s="4" t="n">
        <v>9</v>
      </c>
      <c r="H16006" s="4" t="n">
        <v>4</v>
      </c>
      <c r="I16006" s="4" t="str">
        <v>×</v>
      </c>
      <c r="J16006" s="4"/>
      <c r="K16006" s="4"/>
      <c r="L16006" s="4"/>
      <c r="M16006" s="7" t="s">
        <v>6871</v>
      </c>
    </row>
    <row r="16007" customFormat="false" ht="15.75" hidden="false" customHeight="false" outlineLevel="0" collapsed="false">
      <c r="A16007" s="6" t="n">
        <f aca="false">DATE(2026,5,2)</f>
        <v>46144</v>
      </c>
      <c r="B16007" s="4" t="s">
        <v>5435</v>
      </c>
      <c r="C16007" s="4" t="n">
        <v>3</v>
      </c>
      <c r="D16007" s="4" t="n">
        <v>3</v>
      </c>
      <c r="E16007" s="4" t="s">
        <v>1788</v>
      </c>
      <c r="F16007" s="4" t="n">
        <v>4</v>
      </c>
      <c r="G16007" s="4" t="n">
        <v>11</v>
      </c>
      <c r="H16007" s="4" t="n">
        <v>4</v>
      </c>
      <c r="I16007" s="4" t="str">
        <v>×</v>
      </c>
      <c r="J16007" s="4"/>
      <c r="K16007" s="4"/>
      <c r="L16007" s="4"/>
      <c r="M16007" s="7" t="s">
        <v>6871</v>
      </c>
    </row>
    <row r="16008" customFormat="false" ht="15.75" hidden="false" customHeight="false" outlineLevel="0" collapsed="false">
      <c r="A16008" s="6" t="n">
        <f aca="false">DATE(2026,5,2)</f>
        <v>46144</v>
      </c>
      <c r="B16008" s="4" t="s">
        <v>5435</v>
      </c>
      <c r="C16008" s="4" t="n">
        <v>3</v>
      </c>
      <c r="D16008" s="4" t="n">
        <v>4</v>
      </c>
      <c r="E16008" s="4" t="s">
        <v>6293</v>
      </c>
      <c r="F16008" s="4" t="n">
        <v>50</v>
      </c>
      <c r="G16008" s="4" t="n">
        <v>2</v>
      </c>
      <c r="H16008" s="4" t="n">
        <v>4</v>
      </c>
      <c r="I16008" s="4" t="str">
        <v>×</v>
      </c>
      <c r="J16008" s="4"/>
      <c r="K16008" s="4"/>
      <c r="L16008" s="4"/>
      <c r="M16008" s="7" t="s">
        <v>6871</v>
      </c>
    </row>
    <row r="16009" customFormat="false" ht="15.75" hidden="false" customHeight="false" outlineLevel="0" collapsed="false">
      <c r="A16009" s="6" t="n">
        <f aca="false">DATE(2026,5,2)</f>
        <v>46144</v>
      </c>
      <c r="B16009" s="4" t="s">
        <v>5435</v>
      </c>
      <c r="C16009" s="4" t="n">
        <v>3</v>
      </c>
      <c r="D16009" s="4" t="n">
        <v>5</v>
      </c>
      <c r="E16009" s="4" t="s">
        <v>3021</v>
      </c>
      <c r="F16009" s="4" t="n">
        <v>2</v>
      </c>
      <c r="G16009" s="4" t="n">
        <v>15</v>
      </c>
      <c r="H16009" s="4" t="n">
        <v>4</v>
      </c>
      <c r="I16009" s="4" t="str">
        <v>×</v>
      </c>
      <c r="J16009" s="4"/>
      <c r="K16009" s="4"/>
      <c r="L16009" s="4"/>
      <c r="M16009" s="7" t="s">
        <v>6871</v>
      </c>
    </row>
    <row r="16010" customFormat="false" ht="15.75" hidden="false" customHeight="false" outlineLevel="0" collapsed="false">
      <c r="A16010" s="6" t="n">
        <f aca="false">DATE(2026,5,2)</f>
        <v>46144</v>
      </c>
      <c r="B16010" s="4" t="s">
        <v>5435</v>
      </c>
      <c r="C16010" s="4" t="n">
        <v>3</v>
      </c>
      <c r="D16010" s="4" t="n">
        <v>6</v>
      </c>
      <c r="E16010" s="4" t="s">
        <v>6412</v>
      </c>
      <c r="F16010" s="4" t="n">
        <v>23</v>
      </c>
      <c r="G16010" s="4" t="n">
        <v>5</v>
      </c>
      <c r="H16010" s="4" t="n">
        <v>3</v>
      </c>
      <c r="I16010" s="4" t="str">
        <v>○</v>
      </c>
      <c r="J16010" s="4" t="n">
        <v>300</v>
      </c>
      <c r="K16010" s="4"/>
      <c r="L16010" s="4"/>
      <c r="M16010" s="7" t="s">
        <v>6871</v>
      </c>
    </row>
    <row r="16011" customFormat="false" ht="15.75" hidden="false" customHeight="false" outlineLevel="0" collapsed="false">
      <c r="A16011" s="6" t="n">
        <f aca="false">DATE(2026,5,2)</f>
        <v>46144</v>
      </c>
      <c r="B16011" s="4" t="s">
        <v>5435</v>
      </c>
      <c r="C16011" s="4" t="n">
        <v>3</v>
      </c>
      <c r="D16011" s="4" t="n">
        <v>7</v>
      </c>
      <c r="E16011" s="4" t="s">
        <v>2569</v>
      </c>
      <c r="F16011" s="4" t="n">
        <v>20</v>
      </c>
      <c r="G16011" s="4" t="n">
        <v>6</v>
      </c>
      <c r="H16011" s="4" t="n">
        <v>4</v>
      </c>
      <c r="I16011" s="4" t="str">
        <v>×</v>
      </c>
      <c r="J16011" s="4"/>
      <c r="K16011" s="4"/>
      <c r="L16011" s="4"/>
      <c r="M16011" s="7" t="s">
        <v>6871</v>
      </c>
    </row>
    <row r="16012" customFormat="false" ht="15.75" hidden="false" customHeight="false" outlineLevel="0" collapsed="false">
      <c r="A16012" s="6" t="n">
        <f aca="false">DATE(2026,5,2)</f>
        <v>46144</v>
      </c>
      <c r="B16012" s="4" t="s">
        <v>5435</v>
      </c>
      <c r="C16012" s="4" t="n">
        <v>3</v>
      </c>
      <c r="D16012" s="4" t="n">
        <v>8</v>
      </c>
      <c r="E16012" s="4" t="s">
        <v>1604</v>
      </c>
      <c r="F16012" s="4" t="n">
        <v>13</v>
      </c>
      <c r="G16012" s="4" t="n">
        <v>10</v>
      </c>
      <c r="H16012" s="4" t="n">
        <v>4</v>
      </c>
      <c r="I16012" s="4" t="str">
        <v>×</v>
      </c>
      <c r="J16012" s="4"/>
      <c r="K16012" s="4"/>
      <c r="L16012" s="4"/>
      <c r="M16012" s="7" t="s">
        <v>6871</v>
      </c>
    </row>
    <row r="16013" customFormat="false" ht="15.75" hidden="false" customHeight="false" outlineLevel="0" collapsed="false">
      <c r="A16013" s="6" t="n">
        <f aca="false">DATE(2026,5,2)</f>
        <v>46144</v>
      </c>
      <c r="B16013" s="4" t="s">
        <v>5435</v>
      </c>
      <c r="C16013" s="4" t="n">
        <v>3</v>
      </c>
      <c r="D16013" s="4" t="n">
        <v>9</v>
      </c>
      <c r="E16013" s="4" t="s">
        <v>4369</v>
      </c>
      <c r="F16013" s="4" t="n">
        <v>29</v>
      </c>
      <c r="G16013" s="4" t="n">
        <v>4</v>
      </c>
      <c r="H16013" s="4" t="n">
        <v>4</v>
      </c>
      <c r="I16013" s="4" t="str">
        <v>×</v>
      </c>
      <c r="J16013" s="4"/>
      <c r="K16013" s="4"/>
      <c r="L16013" s="4"/>
      <c r="M16013" s="7" t="s">
        <v>6871</v>
      </c>
    </row>
    <row r="16014" customFormat="false" ht="15.75" hidden="false" customHeight="false" outlineLevel="0" collapsed="false">
      <c r="A16014" s="6" t="n">
        <f aca="false">DATE(2026,5,2)</f>
        <v>46144</v>
      </c>
      <c r="B16014" s="4" t="s">
        <v>5435</v>
      </c>
      <c r="C16014" s="4" t="n">
        <v>3</v>
      </c>
      <c r="D16014" s="4" t="n">
        <v>10</v>
      </c>
      <c r="E16014" s="4" t="s">
        <v>7256</v>
      </c>
      <c r="F16014" s="4" t="n">
        <v>2</v>
      </c>
      <c r="G16014" s="4" t="n">
        <v>16</v>
      </c>
      <c r="H16014" s="4" t="n">
        <v>4</v>
      </c>
      <c r="I16014" s="4" t="str">
        <v>×</v>
      </c>
      <c r="J16014" s="4"/>
      <c r="K16014" s="4"/>
      <c r="L16014" s="4"/>
      <c r="M16014" s="7" t="s">
        <v>6871</v>
      </c>
    </row>
    <row r="16015" customFormat="false" ht="15.75" hidden="false" customHeight="false" outlineLevel="0" collapsed="false">
      <c r="A16015" s="6" t="n">
        <f aca="false">DATE(2026,5,2)</f>
        <v>46144</v>
      </c>
      <c r="B16015" s="4" t="s">
        <v>5435</v>
      </c>
      <c r="C16015" s="4" t="n">
        <v>3</v>
      </c>
      <c r="D16015" s="4" t="n">
        <v>11</v>
      </c>
      <c r="E16015" s="4" t="s">
        <v>402</v>
      </c>
      <c r="F16015" s="4" t="n">
        <v>34</v>
      </c>
      <c r="G16015" s="4" t="n">
        <v>3</v>
      </c>
      <c r="H16015" s="4" t="n">
        <v>4</v>
      </c>
      <c r="I16015" s="4" t="str">
        <v>×</v>
      </c>
      <c r="J16015" s="4"/>
      <c r="K16015" s="4"/>
      <c r="L16015" s="4"/>
      <c r="M16015" s="7" t="s">
        <v>6871</v>
      </c>
    </row>
    <row r="16016" customFormat="false" ht="15.75" hidden="false" customHeight="false" outlineLevel="0" collapsed="false">
      <c r="A16016" s="6" t="n">
        <f aca="false">DATE(2026,5,2)</f>
        <v>46144</v>
      </c>
      <c r="B16016" s="4" t="s">
        <v>5435</v>
      </c>
      <c r="C16016" s="4" t="n">
        <v>3</v>
      </c>
      <c r="D16016" s="4" t="n">
        <v>12</v>
      </c>
      <c r="E16016" s="4" t="s">
        <v>4628</v>
      </c>
      <c r="F16016" s="4" t="n">
        <v>3</v>
      </c>
      <c r="G16016" s="4" t="n">
        <v>13</v>
      </c>
      <c r="H16016" s="4" t="n">
        <v>4</v>
      </c>
      <c r="I16016" s="4" t="str">
        <v>×</v>
      </c>
      <c r="J16016" s="4"/>
      <c r="K16016" s="4"/>
      <c r="L16016" s="4"/>
      <c r="M16016" s="7" t="s">
        <v>6871</v>
      </c>
    </row>
    <row r="16017" customFormat="false" ht="15.75" hidden="false" customHeight="false" outlineLevel="0" collapsed="false">
      <c r="A16017" s="6" t="n">
        <f aca="false">DATE(2026,5,2)</f>
        <v>46144</v>
      </c>
      <c r="B16017" s="4" t="s">
        <v>5435</v>
      </c>
      <c r="C16017" s="4" t="n">
        <v>3</v>
      </c>
      <c r="D16017" s="4" t="n">
        <v>13</v>
      </c>
      <c r="E16017" s="4" t="s">
        <v>1570</v>
      </c>
      <c r="F16017" s="4" t="n">
        <v>20</v>
      </c>
      <c r="G16017" s="4" t="n">
        <v>7</v>
      </c>
      <c r="H16017" s="4" t="n">
        <v>4</v>
      </c>
      <c r="I16017" s="4" t="str">
        <v>×</v>
      </c>
      <c r="J16017" s="4"/>
      <c r="K16017" s="4"/>
      <c r="L16017" s="4"/>
      <c r="M16017" s="7" t="s">
        <v>6871</v>
      </c>
    </row>
    <row r="16018" customFormat="false" ht="15.75" hidden="false" customHeight="false" outlineLevel="0" collapsed="false">
      <c r="A16018" s="6" t="n">
        <f aca="false">DATE(2026,5,2)</f>
        <v>46144</v>
      </c>
      <c r="B16018" s="4" t="s">
        <v>5435</v>
      </c>
      <c r="C16018" s="4" t="n">
        <v>3</v>
      </c>
      <c r="D16018" s="4" t="n">
        <v>14</v>
      </c>
      <c r="E16018" s="4" t="s">
        <v>7257</v>
      </c>
      <c r="F16018" s="4" t="n">
        <v>4</v>
      </c>
      <c r="G16018" s="4" t="n">
        <v>12</v>
      </c>
      <c r="H16018" s="4" t="n">
        <v>4</v>
      </c>
      <c r="I16018" s="4" t="str">
        <v>×</v>
      </c>
      <c r="J16018" s="4"/>
      <c r="K16018" s="4"/>
      <c r="L16018" s="4"/>
      <c r="M16018" s="7" t="s">
        <v>6871</v>
      </c>
    </row>
    <row r="16019" customFormat="false" ht="15.75" hidden="false" customHeight="false" outlineLevel="0" collapsed="false">
      <c r="A16019" s="6" t="n">
        <f aca="false">DATE(2026,5,2)</f>
        <v>46144</v>
      </c>
      <c r="B16019" s="4" t="s">
        <v>5435</v>
      </c>
      <c r="C16019" s="4" t="n">
        <v>3</v>
      </c>
      <c r="D16019" s="4" t="n">
        <v>15</v>
      </c>
      <c r="E16019" s="4" t="s">
        <v>7258</v>
      </c>
      <c r="F16019" s="4" t="n">
        <v>2</v>
      </c>
      <c r="G16019" s="4" t="n">
        <v>17</v>
      </c>
      <c r="H16019" s="4" t="n">
        <v>4</v>
      </c>
      <c r="I16019" s="4" t="str">
        <v>×</v>
      </c>
      <c r="J16019" s="4"/>
      <c r="K16019" s="4"/>
      <c r="L16019" s="4"/>
      <c r="M16019" s="7" t="s">
        <v>6871</v>
      </c>
    </row>
    <row r="16020" customFormat="false" ht="15.75" hidden="false" customHeight="false" outlineLevel="0" collapsed="false">
      <c r="A16020" s="6" t="n">
        <f aca="false">DATE(2026,5,2)</f>
        <v>46144</v>
      </c>
      <c r="B16020" s="4" t="s">
        <v>5435</v>
      </c>
      <c r="C16020" s="4" t="n">
        <v>3</v>
      </c>
      <c r="D16020" s="4" t="n">
        <v>16</v>
      </c>
      <c r="E16020" s="4" t="s">
        <v>759</v>
      </c>
      <c r="F16020" s="4" t="n">
        <v>3</v>
      </c>
      <c r="G16020" s="4" t="n">
        <v>14</v>
      </c>
      <c r="H16020" s="4" t="n">
        <v>1</v>
      </c>
      <c r="I16020" s="4" t="str">
        <v>○</v>
      </c>
      <c r="J16020" s="4" t="n">
        <v>3790</v>
      </c>
      <c r="K16020" s="4"/>
      <c r="L16020" s="4"/>
      <c r="M16020" s="7" t="s">
        <v>6871</v>
      </c>
    </row>
    <row r="16021" customFormat="false" ht="15.75" hidden="false" customHeight="false" outlineLevel="0" collapsed="false">
      <c r="A16021" s="6" t="n">
        <f aca="false">DATE(2026,5,2)</f>
        <v>46144</v>
      </c>
      <c r="B16021" s="4" t="s">
        <v>5435</v>
      </c>
      <c r="C16021" s="4" t="n">
        <v>3</v>
      </c>
      <c r="D16021" s="4" t="n">
        <v>17</v>
      </c>
      <c r="E16021" s="4" t="s">
        <v>6233</v>
      </c>
      <c r="F16021" s="4" t="n">
        <v>1</v>
      </c>
      <c r="G16021" s="4" t="n">
        <v>18</v>
      </c>
      <c r="H16021" s="4" t="n">
        <v>4</v>
      </c>
      <c r="I16021" s="4" t="str">
        <v>×</v>
      </c>
      <c r="J16021" s="4"/>
      <c r="K16021" s="4"/>
      <c r="L16021" s="4"/>
      <c r="M16021" s="7" t="s">
        <v>6871</v>
      </c>
    </row>
    <row r="16022" customFormat="false" ht="15.75" hidden="false" customHeight="false" outlineLevel="0" collapsed="false">
      <c r="A16022" s="6" t="n">
        <f aca="false">DATE(2026,5,2)</f>
        <v>46144</v>
      </c>
      <c r="B16022" s="4" t="s">
        <v>5435</v>
      </c>
      <c r="C16022" s="4" t="n">
        <v>3</v>
      </c>
      <c r="D16022" s="4" t="n">
        <v>18</v>
      </c>
      <c r="E16022" s="4" t="s">
        <v>3845</v>
      </c>
      <c r="F16022" s="4" t="n">
        <v>20</v>
      </c>
      <c r="G16022" s="4" t="n">
        <v>8</v>
      </c>
      <c r="H16022" s="4" t="n">
        <v>4</v>
      </c>
      <c r="I16022" s="4" t="str">
        <v>×</v>
      </c>
      <c r="J16022" s="4"/>
      <c r="K16022" s="4"/>
      <c r="L16022" s="4"/>
      <c r="M16022" s="7" t="s">
        <v>6871</v>
      </c>
    </row>
    <row r="16023" customFormat="false" ht="15.75" hidden="false" customHeight="false" outlineLevel="0" collapsed="false">
      <c r="A16023" s="6" t="n">
        <f aca="false">DATE(2026,5,2)</f>
        <v>46144</v>
      </c>
      <c r="B16023" s="4" t="s">
        <v>5435</v>
      </c>
      <c r="C16023" s="4" t="n">
        <v>4</v>
      </c>
      <c r="D16023" s="4" t="n">
        <v>1</v>
      </c>
      <c r="E16023" s="4" t="s">
        <v>2098</v>
      </c>
      <c r="F16023" s="4" t="n">
        <v>10</v>
      </c>
      <c r="G16023" s="4" t="n">
        <v>8</v>
      </c>
      <c r="H16023" s="4" t="n">
        <v>4</v>
      </c>
      <c r="I16023" s="4" t="str">
        <v>×</v>
      </c>
      <c r="J16023" s="4"/>
      <c r="K16023" s="4"/>
      <c r="L16023" s="4"/>
      <c r="M16023" s="7" t="s">
        <v>6871</v>
      </c>
    </row>
    <row r="16024" customFormat="false" ht="15.75" hidden="false" customHeight="false" outlineLevel="0" collapsed="false">
      <c r="A16024" s="6" t="n">
        <f aca="false">DATE(2026,5,2)</f>
        <v>46144</v>
      </c>
      <c r="B16024" s="4" t="s">
        <v>5435</v>
      </c>
      <c r="C16024" s="4" t="n">
        <v>4</v>
      </c>
      <c r="D16024" s="4" t="n">
        <v>2</v>
      </c>
      <c r="E16024" s="4" t="s">
        <v>1144</v>
      </c>
      <c r="F16024" s="4" t="n">
        <v>3</v>
      </c>
      <c r="G16024" s="4" t="n">
        <v>14</v>
      </c>
      <c r="H16024" s="4" t="n">
        <v>4</v>
      </c>
      <c r="I16024" s="4" t="str">
        <v>×</v>
      </c>
      <c r="J16024" s="4"/>
      <c r="K16024" s="4"/>
      <c r="L16024" s="4"/>
      <c r="M16024" s="7" t="s">
        <v>6871</v>
      </c>
    </row>
    <row r="16025" customFormat="false" ht="15.75" hidden="false" customHeight="false" outlineLevel="0" collapsed="false">
      <c r="A16025" s="6" t="n">
        <f aca="false">DATE(2026,5,2)</f>
        <v>46144</v>
      </c>
      <c r="B16025" s="4" t="s">
        <v>5435</v>
      </c>
      <c r="C16025" s="4" t="n">
        <v>4</v>
      </c>
      <c r="D16025" s="4" t="n">
        <v>3</v>
      </c>
      <c r="E16025" s="4" t="s">
        <v>5674</v>
      </c>
      <c r="F16025" s="4" t="n">
        <v>44</v>
      </c>
      <c r="G16025" s="4" t="n">
        <v>3</v>
      </c>
      <c r="H16025" s="4" t="n">
        <v>4</v>
      </c>
      <c r="I16025" s="4" t="str">
        <v>×</v>
      </c>
      <c r="J16025" s="4"/>
      <c r="K16025" s="4"/>
      <c r="L16025" s="4"/>
      <c r="M16025" s="7" t="s">
        <v>6871</v>
      </c>
    </row>
    <row r="16026" customFormat="false" ht="15.75" hidden="false" customHeight="false" outlineLevel="0" collapsed="false">
      <c r="A16026" s="6" t="n">
        <f aca="false">DATE(2026,5,2)</f>
        <v>46144</v>
      </c>
      <c r="B16026" s="4" t="s">
        <v>5435</v>
      </c>
      <c r="C16026" s="4" t="n">
        <v>4</v>
      </c>
      <c r="D16026" s="4" t="n">
        <v>4</v>
      </c>
      <c r="E16026" s="4" t="s">
        <v>2161</v>
      </c>
      <c r="F16026" s="4" t="n">
        <v>29</v>
      </c>
      <c r="G16026" s="4" t="n">
        <v>6</v>
      </c>
      <c r="H16026" s="4" t="n">
        <v>4</v>
      </c>
      <c r="I16026" s="4" t="str">
        <v>×</v>
      </c>
      <c r="J16026" s="4"/>
      <c r="K16026" s="4"/>
      <c r="L16026" s="4"/>
      <c r="M16026" s="7" t="s">
        <v>6871</v>
      </c>
    </row>
    <row r="16027" customFormat="false" ht="15.75" hidden="false" customHeight="false" outlineLevel="0" collapsed="false">
      <c r="A16027" s="6" t="n">
        <f aca="false">DATE(2026,5,2)</f>
        <v>46144</v>
      </c>
      <c r="B16027" s="4" t="s">
        <v>5435</v>
      </c>
      <c r="C16027" s="4" t="n">
        <v>4</v>
      </c>
      <c r="D16027" s="4" t="n">
        <v>5</v>
      </c>
      <c r="E16027" s="4" t="s">
        <v>7259</v>
      </c>
      <c r="F16027" s="4" t="n">
        <v>31</v>
      </c>
      <c r="G16027" s="4" t="n">
        <v>5</v>
      </c>
      <c r="H16027" s="4" t="n">
        <v>2</v>
      </c>
      <c r="I16027" s="4" t="str">
        <v>○</v>
      </c>
      <c r="J16027" s="4" t="n">
        <v>180</v>
      </c>
      <c r="K16027" s="4"/>
      <c r="L16027" s="4"/>
      <c r="M16027" s="7" t="s">
        <v>6871</v>
      </c>
    </row>
    <row r="16028" customFormat="false" ht="15.75" hidden="false" customHeight="false" outlineLevel="0" collapsed="false">
      <c r="A16028" s="6" t="n">
        <f aca="false">DATE(2026,5,2)</f>
        <v>46144</v>
      </c>
      <c r="B16028" s="4" t="s">
        <v>5435</v>
      </c>
      <c r="C16028" s="4" t="n">
        <v>4</v>
      </c>
      <c r="D16028" s="4" t="n">
        <v>6</v>
      </c>
      <c r="E16028" s="4" t="s">
        <v>5481</v>
      </c>
      <c r="F16028" s="4" t="n">
        <v>50</v>
      </c>
      <c r="G16028" s="4" t="n">
        <v>2</v>
      </c>
      <c r="H16028" s="4" t="n">
        <v>1</v>
      </c>
      <c r="I16028" s="4" t="str">
        <v>○</v>
      </c>
      <c r="J16028" s="4" t="n">
        <v>170</v>
      </c>
      <c r="K16028" s="4"/>
      <c r="L16028" s="4"/>
      <c r="M16028" s="7" t="s">
        <v>6871</v>
      </c>
    </row>
    <row r="16029" customFormat="false" ht="15.75" hidden="false" customHeight="false" outlineLevel="0" collapsed="false">
      <c r="A16029" s="6" t="n">
        <f aca="false">DATE(2026,5,2)</f>
        <v>46144</v>
      </c>
      <c r="B16029" s="4" t="s">
        <v>5435</v>
      </c>
      <c r="C16029" s="4" t="n">
        <v>4</v>
      </c>
      <c r="D16029" s="4" t="n">
        <v>7</v>
      </c>
      <c r="E16029" s="4" t="s">
        <v>7260</v>
      </c>
      <c r="F16029" s="4" t="n">
        <v>2</v>
      </c>
      <c r="G16029" s="4" t="n">
        <v>16</v>
      </c>
      <c r="H16029" s="4" t="n">
        <v>4</v>
      </c>
      <c r="I16029" s="4" t="str">
        <v>×</v>
      </c>
      <c r="J16029" s="4"/>
      <c r="K16029" s="4"/>
      <c r="L16029" s="4"/>
      <c r="M16029" s="7" t="s">
        <v>6871</v>
      </c>
    </row>
    <row r="16030" customFormat="false" ht="15.75" hidden="false" customHeight="false" outlineLevel="0" collapsed="false">
      <c r="A16030" s="6" t="n">
        <f aca="false">DATE(2026,5,2)</f>
        <v>46144</v>
      </c>
      <c r="B16030" s="4" t="s">
        <v>5435</v>
      </c>
      <c r="C16030" s="4" t="n">
        <v>4</v>
      </c>
      <c r="D16030" s="4" t="n">
        <v>8</v>
      </c>
      <c r="E16030" s="4" t="s">
        <v>1274</v>
      </c>
      <c r="F16030" s="4" t="n">
        <v>4</v>
      </c>
      <c r="G16030" s="4" t="n">
        <v>12</v>
      </c>
      <c r="H16030" s="4" t="n">
        <v>4</v>
      </c>
      <c r="I16030" s="4" t="str">
        <v>×</v>
      </c>
      <c r="J16030" s="4"/>
      <c r="K16030" s="4"/>
      <c r="L16030" s="4"/>
      <c r="M16030" s="7" t="s">
        <v>6871</v>
      </c>
    </row>
    <row r="16031" customFormat="false" ht="15.75" hidden="false" customHeight="false" outlineLevel="0" collapsed="false">
      <c r="A16031" s="6" t="n">
        <f aca="false">DATE(2026,5,2)</f>
        <v>46144</v>
      </c>
      <c r="B16031" s="4" t="s">
        <v>5435</v>
      </c>
      <c r="C16031" s="4" t="n">
        <v>4</v>
      </c>
      <c r="D16031" s="4" t="n">
        <v>9</v>
      </c>
      <c r="E16031" s="4" t="s">
        <v>7261</v>
      </c>
      <c r="F16031" s="4" t="n">
        <v>1</v>
      </c>
      <c r="G16031" s="4" t="n">
        <v>18</v>
      </c>
      <c r="H16031" s="4" t="n">
        <v>4</v>
      </c>
      <c r="I16031" s="4" t="str">
        <v>×</v>
      </c>
      <c r="J16031" s="4"/>
      <c r="K16031" s="4"/>
      <c r="L16031" s="4"/>
      <c r="M16031" s="7" t="s">
        <v>6871</v>
      </c>
    </row>
    <row r="16032" customFormat="false" ht="15.75" hidden="false" customHeight="false" outlineLevel="0" collapsed="false">
      <c r="A16032" s="6" t="n">
        <f aca="false">DATE(2026,5,2)</f>
        <v>46144</v>
      </c>
      <c r="B16032" s="4" t="s">
        <v>5435</v>
      </c>
      <c r="C16032" s="4" t="n">
        <v>4</v>
      </c>
      <c r="D16032" s="4" t="n">
        <v>10</v>
      </c>
      <c r="E16032" s="4" t="s">
        <v>7262</v>
      </c>
      <c r="F16032" s="4" t="n">
        <v>4</v>
      </c>
      <c r="G16032" s="4" t="n">
        <v>13</v>
      </c>
      <c r="H16032" s="4" t="n">
        <v>4</v>
      </c>
      <c r="I16032" s="4" t="str">
        <v>×</v>
      </c>
      <c r="J16032" s="4"/>
      <c r="K16032" s="4"/>
      <c r="L16032" s="4"/>
      <c r="M16032" s="7" t="s">
        <v>6871</v>
      </c>
    </row>
    <row r="16033" customFormat="false" ht="15.75" hidden="false" customHeight="false" outlineLevel="0" collapsed="false">
      <c r="A16033" s="6" t="n">
        <f aca="false">DATE(2026,5,2)</f>
        <v>46144</v>
      </c>
      <c r="B16033" s="4" t="s">
        <v>5435</v>
      </c>
      <c r="C16033" s="4" t="n">
        <v>4</v>
      </c>
      <c r="D16033" s="4" t="n">
        <v>11</v>
      </c>
      <c r="E16033" s="4" t="s">
        <v>3977</v>
      </c>
      <c r="F16033" s="4" t="n">
        <v>10</v>
      </c>
      <c r="G16033" s="4" t="n">
        <v>9</v>
      </c>
      <c r="H16033" s="4" t="n">
        <v>3</v>
      </c>
      <c r="I16033" s="4" t="str">
        <v>○</v>
      </c>
      <c r="J16033" s="4" t="n">
        <v>950</v>
      </c>
      <c r="K16033" s="4"/>
      <c r="L16033" s="4"/>
      <c r="M16033" s="7" t="s">
        <v>6871</v>
      </c>
    </row>
    <row r="16034" customFormat="false" ht="15.75" hidden="false" customHeight="false" outlineLevel="0" collapsed="false">
      <c r="A16034" s="6" t="n">
        <f aca="false">DATE(2026,5,2)</f>
        <v>46144</v>
      </c>
      <c r="B16034" s="4" t="s">
        <v>5435</v>
      </c>
      <c r="C16034" s="4" t="n">
        <v>4</v>
      </c>
      <c r="D16034" s="4" t="n">
        <v>12</v>
      </c>
      <c r="E16034" s="4" t="s">
        <v>7263</v>
      </c>
      <c r="F16034" s="4" t="n">
        <v>3</v>
      </c>
      <c r="G16034" s="4" t="n">
        <v>15</v>
      </c>
      <c r="H16034" s="4" t="n">
        <v>4</v>
      </c>
      <c r="I16034" s="4" t="str">
        <v>×</v>
      </c>
      <c r="J16034" s="4"/>
      <c r="K16034" s="4"/>
      <c r="L16034" s="4"/>
      <c r="M16034" s="7" t="s">
        <v>6871</v>
      </c>
    </row>
    <row r="16035" customFormat="false" ht="15.75" hidden="false" customHeight="false" outlineLevel="0" collapsed="false">
      <c r="A16035" s="6" t="n">
        <f aca="false">DATE(2026,5,2)</f>
        <v>46144</v>
      </c>
      <c r="B16035" s="4" t="s">
        <v>5435</v>
      </c>
      <c r="C16035" s="4" t="n">
        <v>4</v>
      </c>
      <c r="D16035" s="4" t="n">
        <v>13</v>
      </c>
      <c r="E16035" s="4" t="s">
        <v>5909</v>
      </c>
      <c r="F16035" s="4" t="n">
        <v>52</v>
      </c>
      <c r="G16035" s="4" t="n">
        <v>1</v>
      </c>
      <c r="H16035" s="4" t="n">
        <v>4</v>
      </c>
      <c r="I16035" s="4" t="str">
        <v>×</v>
      </c>
      <c r="J16035" s="4"/>
      <c r="K16035" s="4"/>
      <c r="L16035" s="4"/>
      <c r="M16035" s="7" t="s">
        <v>6871</v>
      </c>
    </row>
    <row r="16036" customFormat="false" ht="15.75" hidden="false" customHeight="false" outlineLevel="0" collapsed="false">
      <c r="A16036" s="6" t="n">
        <f aca="false">DATE(2026,5,2)</f>
        <v>46144</v>
      </c>
      <c r="B16036" s="4" t="s">
        <v>5435</v>
      </c>
      <c r="C16036" s="4" t="n">
        <v>4</v>
      </c>
      <c r="D16036" s="4" t="n">
        <v>14</v>
      </c>
      <c r="E16036" s="4" t="s">
        <v>7264</v>
      </c>
      <c r="F16036" s="4" t="n">
        <v>2</v>
      </c>
      <c r="G16036" s="4" t="n">
        <v>17</v>
      </c>
      <c r="H16036" s="4" t="n">
        <v>4</v>
      </c>
      <c r="I16036" s="4" t="str">
        <v>×</v>
      </c>
      <c r="J16036" s="4"/>
      <c r="K16036" s="4"/>
      <c r="L16036" s="4"/>
      <c r="M16036" s="7" t="s">
        <v>6871</v>
      </c>
    </row>
    <row r="16037" customFormat="false" ht="15.75" hidden="false" customHeight="false" outlineLevel="0" collapsed="false">
      <c r="A16037" s="6" t="n">
        <f aca="false">DATE(2026,5,2)</f>
        <v>46144</v>
      </c>
      <c r="B16037" s="4" t="s">
        <v>5435</v>
      </c>
      <c r="C16037" s="4" t="n">
        <v>4</v>
      </c>
      <c r="D16037" s="4" t="n">
        <v>15</v>
      </c>
      <c r="E16037" s="4" t="s">
        <v>3437</v>
      </c>
      <c r="F16037" s="4" t="n">
        <v>15</v>
      </c>
      <c r="G16037" s="4" t="n">
        <v>7</v>
      </c>
      <c r="H16037" s="4" t="n">
        <v>4</v>
      </c>
      <c r="I16037" s="4" t="str">
        <v>×</v>
      </c>
      <c r="J16037" s="4"/>
      <c r="K16037" s="4"/>
      <c r="L16037" s="4"/>
      <c r="M16037" s="7" t="s">
        <v>6871</v>
      </c>
    </row>
    <row r="16038" customFormat="false" ht="15.75" hidden="false" customHeight="false" outlineLevel="0" collapsed="false">
      <c r="A16038" s="6" t="n">
        <f aca="false">DATE(2026,5,2)</f>
        <v>46144</v>
      </c>
      <c r="B16038" s="4" t="s">
        <v>5435</v>
      </c>
      <c r="C16038" s="4" t="n">
        <v>4</v>
      </c>
      <c r="D16038" s="4" t="n">
        <v>16</v>
      </c>
      <c r="E16038" s="4" t="s">
        <v>2816</v>
      </c>
      <c r="F16038" s="4" t="n">
        <v>8</v>
      </c>
      <c r="G16038" s="4" t="n">
        <v>10</v>
      </c>
      <c r="H16038" s="4" t="n">
        <v>4</v>
      </c>
      <c r="I16038" s="4" t="str">
        <v>×</v>
      </c>
      <c r="J16038" s="4"/>
      <c r="K16038" s="4"/>
      <c r="L16038" s="4"/>
      <c r="M16038" s="7" t="s">
        <v>6871</v>
      </c>
    </row>
    <row r="16039" customFormat="false" ht="15.75" hidden="false" customHeight="false" outlineLevel="0" collapsed="false">
      <c r="A16039" s="6" t="n">
        <f aca="false">DATE(2026,5,2)</f>
        <v>46144</v>
      </c>
      <c r="B16039" s="4" t="s">
        <v>5435</v>
      </c>
      <c r="C16039" s="4" t="n">
        <v>4</v>
      </c>
      <c r="D16039" s="4" t="n">
        <v>17</v>
      </c>
      <c r="E16039" s="4" t="s">
        <v>2609</v>
      </c>
      <c r="F16039" s="4" t="n">
        <v>34</v>
      </c>
      <c r="G16039" s="4" t="n">
        <v>4</v>
      </c>
      <c r="H16039" s="4" t="n">
        <v>4</v>
      </c>
      <c r="I16039" s="4" t="str">
        <v>×</v>
      </c>
      <c r="J16039" s="4"/>
      <c r="K16039" s="4"/>
      <c r="L16039" s="4"/>
      <c r="M16039" s="7" t="s">
        <v>6871</v>
      </c>
    </row>
    <row r="16040" customFormat="false" ht="15.75" hidden="false" customHeight="false" outlineLevel="0" collapsed="false">
      <c r="A16040" s="6" t="n">
        <f aca="false">DATE(2026,5,2)</f>
        <v>46144</v>
      </c>
      <c r="B16040" s="4" t="s">
        <v>5435</v>
      </c>
      <c r="C16040" s="4" t="n">
        <v>4</v>
      </c>
      <c r="D16040" s="4" t="n">
        <v>18</v>
      </c>
      <c r="E16040" s="4" t="s">
        <v>6411</v>
      </c>
      <c r="F16040" s="4" t="n">
        <v>8</v>
      </c>
      <c r="G16040" s="4" t="n">
        <v>11</v>
      </c>
      <c r="H16040" s="4" t="n">
        <v>4</v>
      </c>
      <c r="I16040" s="4" t="str">
        <v>×</v>
      </c>
      <c r="J16040" s="4"/>
      <c r="K16040" s="4"/>
      <c r="L16040" s="4"/>
      <c r="M16040" s="7" t="s">
        <v>6871</v>
      </c>
    </row>
    <row r="16041" customFormat="false" ht="15.75" hidden="false" customHeight="false" outlineLevel="0" collapsed="false">
      <c r="A16041" s="6" t="n">
        <f aca="false">DATE(2026,5,2)</f>
        <v>46144</v>
      </c>
      <c r="B16041" s="4" t="s">
        <v>5435</v>
      </c>
      <c r="C16041" s="4" t="n">
        <v>5</v>
      </c>
      <c r="D16041" s="4" t="n">
        <v>1</v>
      </c>
      <c r="E16041" s="4" t="s">
        <v>2468</v>
      </c>
      <c r="F16041" s="4" t="n">
        <v>37</v>
      </c>
      <c r="G16041" s="4" t="n">
        <v>3</v>
      </c>
      <c r="H16041" s="4" t="n">
        <v>2</v>
      </c>
      <c r="I16041" s="4" t="str">
        <v>○</v>
      </c>
      <c r="J16041" s="4" t="n">
        <v>140</v>
      </c>
      <c r="K16041" s="4"/>
      <c r="L16041" s="4"/>
      <c r="M16041" s="7" t="s">
        <v>6871</v>
      </c>
    </row>
    <row r="16042" customFormat="false" ht="15.75" hidden="false" customHeight="false" outlineLevel="0" collapsed="false">
      <c r="A16042" s="6" t="n">
        <f aca="false">DATE(2026,5,2)</f>
        <v>46144</v>
      </c>
      <c r="B16042" s="4" t="s">
        <v>5435</v>
      </c>
      <c r="C16042" s="4" t="n">
        <v>5</v>
      </c>
      <c r="D16042" s="4" t="n">
        <v>2</v>
      </c>
      <c r="E16042" s="4" t="s">
        <v>2829</v>
      </c>
      <c r="F16042" s="4" t="n">
        <v>13</v>
      </c>
      <c r="G16042" s="4" t="n">
        <v>7</v>
      </c>
      <c r="H16042" s="4" t="n">
        <v>4</v>
      </c>
      <c r="I16042" s="4" t="str">
        <v>×</v>
      </c>
      <c r="J16042" s="4"/>
      <c r="K16042" s="4"/>
      <c r="L16042" s="4"/>
      <c r="M16042" s="7" t="s">
        <v>6871</v>
      </c>
    </row>
    <row r="16043" customFormat="false" ht="15.75" hidden="false" customHeight="false" outlineLevel="0" collapsed="false">
      <c r="A16043" s="6" t="n">
        <f aca="false">DATE(2026,5,2)</f>
        <v>46144</v>
      </c>
      <c r="B16043" s="4" t="s">
        <v>5435</v>
      </c>
      <c r="C16043" s="4" t="n">
        <v>5</v>
      </c>
      <c r="D16043" s="4" t="n">
        <v>3</v>
      </c>
      <c r="E16043" s="4" t="s">
        <v>5541</v>
      </c>
      <c r="F16043" s="4" t="n">
        <v>17</v>
      </c>
      <c r="G16043" s="4" t="n">
        <v>5</v>
      </c>
      <c r="H16043" s="4" t="n">
        <v>4</v>
      </c>
      <c r="I16043" s="4" t="str">
        <v>×</v>
      </c>
      <c r="J16043" s="4"/>
      <c r="K16043" s="4"/>
      <c r="L16043" s="4"/>
      <c r="M16043" s="7" t="s">
        <v>6871</v>
      </c>
    </row>
    <row r="16044" customFormat="false" ht="15.75" hidden="false" customHeight="false" outlineLevel="0" collapsed="false">
      <c r="A16044" s="6" t="n">
        <f aca="false">DATE(2026,5,2)</f>
        <v>46144</v>
      </c>
      <c r="B16044" s="4" t="s">
        <v>5435</v>
      </c>
      <c r="C16044" s="4" t="n">
        <v>5</v>
      </c>
      <c r="D16044" s="4" t="n">
        <v>4</v>
      </c>
      <c r="E16044" s="4" t="s">
        <v>218</v>
      </c>
      <c r="F16044" s="4" t="n">
        <v>10</v>
      </c>
      <c r="G16044" s="4" t="n">
        <v>8</v>
      </c>
      <c r="H16044" s="4" t="n">
        <v>4</v>
      </c>
      <c r="I16044" s="4" t="str">
        <v>×</v>
      </c>
      <c r="J16044" s="4"/>
      <c r="K16044" s="4"/>
      <c r="L16044" s="4"/>
      <c r="M16044" s="7" t="s">
        <v>6871</v>
      </c>
    </row>
    <row r="16045" customFormat="false" ht="15.75" hidden="false" customHeight="false" outlineLevel="0" collapsed="false">
      <c r="A16045" s="6" t="n">
        <f aca="false">DATE(2026,5,2)</f>
        <v>46144</v>
      </c>
      <c r="B16045" s="4" t="s">
        <v>5435</v>
      </c>
      <c r="C16045" s="4" t="n">
        <v>5</v>
      </c>
      <c r="D16045" s="4" t="n">
        <v>5</v>
      </c>
      <c r="E16045" s="4" t="s">
        <v>5917</v>
      </c>
      <c r="F16045" s="4" t="n">
        <v>4</v>
      </c>
      <c r="G16045" s="4" t="n">
        <v>13</v>
      </c>
      <c r="H16045" s="4" t="n">
        <v>4</v>
      </c>
      <c r="I16045" s="4" t="str">
        <v>×</v>
      </c>
      <c r="J16045" s="4"/>
      <c r="K16045" s="4"/>
      <c r="L16045" s="4"/>
      <c r="M16045" s="7" t="s">
        <v>6871</v>
      </c>
    </row>
    <row r="16046" customFormat="false" ht="15.75" hidden="false" customHeight="false" outlineLevel="0" collapsed="false">
      <c r="A16046" s="6" t="n">
        <f aca="false">DATE(2026,5,2)</f>
        <v>46144</v>
      </c>
      <c r="B16046" s="4" t="s">
        <v>5435</v>
      </c>
      <c r="C16046" s="4" t="n">
        <v>5</v>
      </c>
      <c r="D16046" s="4" t="n">
        <v>6</v>
      </c>
      <c r="E16046" s="4" t="s">
        <v>7265</v>
      </c>
      <c r="F16046" s="4" t="n">
        <v>86</v>
      </c>
      <c r="G16046" s="4" t="n">
        <v>1</v>
      </c>
      <c r="H16046" s="4" t="n">
        <v>1</v>
      </c>
      <c r="I16046" s="4" t="str">
        <v>○</v>
      </c>
      <c r="J16046" s="4" t="n">
        <v>100</v>
      </c>
      <c r="K16046" s="4"/>
      <c r="L16046" s="4"/>
      <c r="M16046" s="7" t="s">
        <v>6871</v>
      </c>
    </row>
    <row r="16047" customFormat="false" ht="15.75" hidden="false" customHeight="false" outlineLevel="0" collapsed="false">
      <c r="A16047" s="6" t="n">
        <f aca="false">DATE(2026,5,2)</f>
        <v>46144</v>
      </c>
      <c r="B16047" s="4" t="s">
        <v>5435</v>
      </c>
      <c r="C16047" s="4" t="n">
        <v>5</v>
      </c>
      <c r="D16047" s="4" t="n">
        <v>7</v>
      </c>
      <c r="E16047" s="4" t="s">
        <v>5379</v>
      </c>
      <c r="F16047" s="4" t="n">
        <v>8</v>
      </c>
      <c r="G16047" s="4" t="n">
        <v>10</v>
      </c>
      <c r="H16047" s="4" t="n">
        <v>4</v>
      </c>
      <c r="I16047" s="4" t="str">
        <v>×</v>
      </c>
      <c r="J16047" s="4"/>
      <c r="K16047" s="4"/>
      <c r="L16047" s="4"/>
      <c r="M16047" s="7" t="s">
        <v>6871</v>
      </c>
    </row>
    <row r="16048" customFormat="false" ht="15.75" hidden="false" customHeight="false" outlineLevel="0" collapsed="false">
      <c r="A16048" s="6" t="n">
        <f aca="false">DATE(2026,5,2)</f>
        <v>46144</v>
      </c>
      <c r="B16048" s="4" t="s">
        <v>5435</v>
      </c>
      <c r="C16048" s="4" t="n">
        <v>5</v>
      </c>
      <c r="D16048" s="4" t="n">
        <v>8</v>
      </c>
      <c r="E16048" s="4" t="s">
        <v>1731</v>
      </c>
      <c r="F16048" s="4" t="n">
        <v>8</v>
      </c>
      <c r="G16048" s="4" t="n">
        <v>11</v>
      </c>
      <c r="H16048" s="4" t="n">
        <v>4</v>
      </c>
      <c r="I16048" s="4" t="str">
        <v>×</v>
      </c>
      <c r="J16048" s="4"/>
      <c r="K16048" s="4"/>
      <c r="L16048" s="4"/>
      <c r="M16048" s="7" t="s">
        <v>6871</v>
      </c>
    </row>
    <row r="16049" customFormat="false" ht="15.75" hidden="false" customHeight="false" outlineLevel="0" collapsed="false">
      <c r="A16049" s="6" t="n">
        <f aca="false">DATE(2026,5,2)</f>
        <v>46144</v>
      </c>
      <c r="B16049" s="4" t="s">
        <v>5435</v>
      </c>
      <c r="C16049" s="4" t="n">
        <v>5</v>
      </c>
      <c r="D16049" s="4" t="n">
        <v>9</v>
      </c>
      <c r="E16049" s="4" t="s">
        <v>4802</v>
      </c>
      <c r="F16049" s="4" t="n">
        <v>6</v>
      </c>
      <c r="G16049" s="4" t="n">
        <v>12</v>
      </c>
      <c r="H16049" s="4" t="n">
        <v>4</v>
      </c>
      <c r="I16049" s="4" t="str">
        <v>×</v>
      </c>
      <c r="J16049" s="4"/>
      <c r="K16049" s="4"/>
      <c r="L16049" s="4"/>
      <c r="M16049" s="7" t="s">
        <v>6871</v>
      </c>
    </row>
    <row r="16050" customFormat="false" ht="15.75" hidden="false" customHeight="false" outlineLevel="0" collapsed="false">
      <c r="A16050" s="6" t="n">
        <f aca="false">DATE(2026,5,2)</f>
        <v>46144</v>
      </c>
      <c r="B16050" s="4" t="s">
        <v>5435</v>
      </c>
      <c r="C16050" s="4" t="n">
        <v>5</v>
      </c>
      <c r="D16050" s="4" t="n">
        <v>10</v>
      </c>
      <c r="E16050" s="4" t="s">
        <v>3517</v>
      </c>
      <c r="F16050" s="4" t="n">
        <v>41</v>
      </c>
      <c r="G16050" s="4" t="n">
        <v>2</v>
      </c>
      <c r="H16050" s="4" t="n">
        <v>3</v>
      </c>
      <c r="I16050" s="4" t="str">
        <v>○</v>
      </c>
      <c r="J16050" s="4" t="n">
        <v>150</v>
      </c>
      <c r="K16050" s="4"/>
      <c r="L16050" s="4"/>
      <c r="M16050" s="7" t="s">
        <v>6871</v>
      </c>
    </row>
    <row r="16051" customFormat="false" ht="15.75" hidden="false" customHeight="false" outlineLevel="0" collapsed="false">
      <c r="A16051" s="6" t="n">
        <f aca="false">DATE(2026,5,2)</f>
        <v>46144</v>
      </c>
      <c r="B16051" s="4" t="s">
        <v>5435</v>
      </c>
      <c r="C16051" s="4" t="n">
        <v>5</v>
      </c>
      <c r="D16051" s="4" t="n">
        <v>11</v>
      </c>
      <c r="E16051" s="4" t="s">
        <v>2457</v>
      </c>
      <c r="F16051" s="4" t="n">
        <v>10</v>
      </c>
      <c r="G16051" s="4" t="n">
        <v>9</v>
      </c>
      <c r="H16051" s="4" t="n">
        <v>4</v>
      </c>
      <c r="I16051" s="4" t="str">
        <v>×</v>
      </c>
      <c r="J16051" s="4"/>
      <c r="K16051" s="4"/>
      <c r="L16051" s="4"/>
      <c r="M16051" s="7" t="s">
        <v>6871</v>
      </c>
    </row>
    <row r="16052" customFormat="false" ht="15.75" hidden="false" customHeight="false" outlineLevel="0" collapsed="false">
      <c r="A16052" s="6" t="n">
        <f aca="false">DATE(2026,5,2)</f>
        <v>46144</v>
      </c>
      <c r="B16052" s="4" t="s">
        <v>5435</v>
      </c>
      <c r="C16052" s="4" t="n">
        <v>5</v>
      </c>
      <c r="D16052" s="4" t="n">
        <v>12</v>
      </c>
      <c r="E16052" s="4" t="s">
        <v>2459</v>
      </c>
      <c r="F16052" s="4" t="n">
        <v>20</v>
      </c>
      <c r="G16052" s="4" t="n">
        <v>4</v>
      </c>
      <c r="H16052" s="4" t="n">
        <v>4</v>
      </c>
      <c r="I16052" s="4" t="str">
        <v>×</v>
      </c>
      <c r="J16052" s="4"/>
      <c r="K16052" s="4"/>
      <c r="L16052" s="4"/>
      <c r="M16052" s="7" t="s">
        <v>6871</v>
      </c>
    </row>
    <row r="16053" customFormat="false" ht="15.75" hidden="false" customHeight="false" outlineLevel="0" collapsed="false">
      <c r="A16053" s="6" t="n">
        <f aca="false">DATE(2026,5,2)</f>
        <v>46144</v>
      </c>
      <c r="B16053" s="4" t="s">
        <v>5435</v>
      </c>
      <c r="C16053" s="4" t="n">
        <v>5</v>
      </c>
      <c r="D16053" s="4" t="n">
        <v>13</v>
      </c>
      <c r="E16053" s="4" t="s">
        <v>1612</v>
      </c>
      <c r="F16053" s="4" t="n">
        <v>17</v>
      </c>
      <c r="G16053" s="4" t="n">
        <v>6</v>
      </c>
      <c r="H16053" s="4" t="n">
        <v>4</v>
      </c>
      <c r="I16053" s="4" t="str">
        <v>×</v>
      </c>
      <c r="J16053" s="4"/>
      <c r="K16053" s="4"/>
      <c r="L16053" s="4"/>
      <c r="M16053" s="7" t="s">
        <v>6871</v>
      </c>
    </row>
    <row r="16054" customFormat="false" ht="15.75" hidden="false" customHeight="false" outlineLevel="0" collapsed="false">
      <c r="A16054" s="6" t="n">
        <f aca="false">DATE(2026,5,2)</f>
        <v>46144</v>
      </c>
      <c r="B16054" s="4" t="s">
        <v>5435</v>
      </c>
      <c r="C16054" s="4" t="n">
        <v>6</v>
      </c>
      <c r="D16054" s="4" t="n">
        <v>1</v>
      </c>
      <c r="E16054" s="4" t="s">
        <v>2621</v>
      </c>
      <c r="F16054" s="4" t="n">
        <v>39</v>
      </c>
      <c r="G16054" s="4" t="n">
        <v>4</v>
      </c>
      <c r="H16054" s="4" t="n">
        <v>3</v>
      </c>
      <c r="I16054" s="4" t="str">
        <v>○</v>
      </c>
      <c r="J16054" s="4" t="n">
        <v>160</v>
      </c>
      <c r="K16054" s="4"/>
      <c r="L16054" s="4"/>
      <c r="M16054" s="7" t="s">
        <v>6871</v>
      </c>
    </row>
    <row r="16055" customFormat="false" ht="15.75" hidden="false" customHeight="false" outlineLevel="0" collapsed="false">
      <c r="A16055" s="6" t="n">
        <f aca="false">DATE(2026,5,2)</f>
        <v>46144</v>
      </c>
      <c r="B16055" s="4" t="s">
        <v>5435</v>
      </c>
      <c r="C16055" s="4" t="n">
        <v>6</v>
      </c>
      <c r="D16055" s="4" t="n">
        <v>2</v>
      </c>
      <c r="E16055" s="4" t="s">
        <v>4392</v>
      </c>
      <c r="F16055" s="4" t="n">
        <v>8</v>
      </c>
      <c r="G16055" s="4" t="n">
        <v>10</v>
      </c>
      <c r="H16055" s="4" t="n">
        <v>4</v>
      </c>
      <c r="I16055" s="4" t="str">
        <v>×</v>
      </c>
      <c r="J16055" s="4"/>
      <c r="K16055" s="4"/>
      <c r="L16055" s="4"/>
      <c r="M16055" s="7" t="s">
        <v>6871</v>
      </c>
    </row>
    <row r="16056" customFormat="false" ht="15.75" hidden="false" customHeight="false" outlineLevel="0" collapsed="false">
      <c r="A16056" s="6" t="n">
        <f aca="false">DATE(2026,5,2)</f>
        <v>46144</v>
      </c>
      <c r="B16056" s="4" t="s">
        <v>5435</v>
      </c>
      <c r="C16056" s="4" t="n">
        <v>6</v>
      </c>
      <c r="D16056" s="4" t="n">
        <v>3</v>
      </c>
      <c r="E16056" s="4" t="s">
        <v>6479</v>
      </c>
      <c r="F16056" s="4" t="n">
        <v>17</v>
      </c>
      <c r="G16056" s="4" t="n">
        <v>8</v>
      </c>
      <c r="H16056" s="4" t="n">
        <v>4</v>
      </c>
      <c r="I16056" s="4" t="str">
        <v>×</v>
      </c>
      <c r="J16056" s="4"/>
      <c r="K16056" s="4"/>
      <c r="L16056" s="4"/>
      <c r="M16056" s="7" t="s">
        <v>6871</v>
      </c>
    </row>
    <row r="16057" customFormat="false" ht="15.75" hidden="false" customHeight="false" outlineLevel="0" collapsed="false">
      <c r="A16057" s="6" t="n">
        <f aca="false">DATE(2026,5,2)</f>
        <v>46144</v>
      </c>
      <c r="B16057" s="4" t="s">
        <v>5435</v>
      </c>
      <c r="C16057" s="4" t="n">
        <v>6</v>
      </c>
      <c r="D16057" s="4" t="n">
        <v>4</v>
      </c>
      <c r="E16057" s="4" t="s">
        <v>2624</v>
      </c>
      <c r="F16057" s="4" t="n">
        <v>37</v>
      </c>
      <c r="G16057" s="4" t="n">
        <v>5</v>
      </c>
      <c r="H16057" s="4" t="n">
        <v>4</v>
      </c>
      <c r="I16057" s="4" t="str">
        <v>×</v>
      </c>
      <c r="J16057" s="4"/>
      <c r="K16057" s="4"/>
      <c r="L16057" s="4"/>
      <c r="M16057" s="7" t="s">
        <v>6871</v>
      </c>
    </row>
    <row r="16058" customFormat="false" ht="15.75" hidden="false" customHeight="false" outlineLevel="0" collapsed="false">
      <c r="A16058" s="6" t="n">
        <f aca="false">DATE(2026,5,2)</f>
        <v>46144</v>
      </c>
      <c r="B16058" s="4" t="s">
        <v>5435</v>
      </c>
      <c r="C16058" s="4" t="n">
        <v>6</v>
      </c>
      <c r="D16058" s="4" t="n">
        <v>5</v>
      </c>
      <c r="E16058" s="4" t="s">
        <v>7266</v>
      </c>
      <c r="F16058" s="4" t="n">
        <v>8</v>
      </c>
      <c r="G16058" s="4" t="n">
        <v>11</v>
      </c>
      <c r="H16058" s="4" t="n">
        <v>4</v>
      </c>
      <c r="I16058" s="4" t="str">
        <v>×</v>
      </c>
      <c r="J16058" s="4"/>
      <c r="K16058" s="4"/>
      <c r="L16058" s="4"/>
      <c r="M16058" s="7" t="s">
        <v>6871</v>
      </c>
    </row>
    <row r="16059" customFormat="false" ht="15.75" hidden="false" customHeight="false" outlineLevel="0" collapsed="false">
      <c r="A16059" s="6" t="n">
        <f aca="false">DATE(2026,5,2)</f>
        <v>46144</v>
      </c>
      <c r="B16059" s="4" t="s">
        <v>5435</v>
      </c>
      <c r="C16059" s="4" t="n">
        <v>6</v>
      </c>
      <c r="D16059" s="4" t="n">
        <v>6</v>
      </c>
      <c r="E16059" s="4" t="s">
        <v>2620</v>
      </c>
      <c r="F16059" s="4" t="n">
        <v>23</v>
      </c>
      <c r="G16059" s="4" t="n">
        <v>6</v>
      </c>
      <c r="H16059" s="4" t="n">
        <v>4</v>
      </c>
      <c r="I16059" s="4" t="str">
        <v>×</v>
      </c>
      <c r="J16059" s="4"/>
      <c r="K16059" s="4"/>
      <c r="L16059" s="4"/>
      <c r="M16059" s="7" t="s">
        <v>6871</v>
      </c>
    </row>
    <row r="16060" customFormat="false" ht="15.75" hidden="false" customHeight="false" outlineLevel="0" collapsed="false">
      <c r="A16060" s="6" t="n">
        <f aca="false">DATE(2026,5,2)</f>
        <v>46144</v>
      </c>
      <c r="B16060" s="4" t="s">
        <v>5435</v>
      </c>
      <c r="C16060" s="4" t="n">
        <v>6</v>
      </c>
      <c r="D16060" s="4" t="n">
        <v>7</v>
      </c>
      <c r="E16060" s="4" t="s">
        <v>7267</v>
      </c>
      <c r="F16060" s="4" t="n">
        <v>50</v>
      </c>
      <c r="G16060" s="4" t="n">
        <v>1</v>
      </c>
      <c r="H16060" s="4" t="n">
        <v>1</v>
      </c>
      <c r="I16060" s="4" t="str">
        <v>○</v>
      </c>
      <c r="J16060" s="4" t="n">
        <v>130</v>
      </c>
      <c r="K16060" s="4"/>
      <c r="L16060" s="4"/>
      <c r="M16060" s="7" t="s">
        <v>6871</v>
      </c>
    </row>
    <row r="16061" customFormat="false" ht="15.75" hidden="false" customHeight="false" outlineLevel="0" collapsed="false">
      <c r="A16061" s="6" t="n">
        <f aca="false">DATE(2026,5,2)</f>
        <v>46144</v>
      </c>
      <c r="B16061" s="4" t="s">
        <v>5435</v>
      </c>
      <c r="C16061" s="4" t="n">
        <v>6</v>
      </c>
      <c r="D16061" s="4" t="n">
        <v>8</v>
      </c>
      <c r="E16061" s="4" t="s">
        <v>5939</v>
      </c>
      <c r="F16061" s="4" t="n">
        <v>23</v>
      </c>
      <c r="G16061" s="4" t="n">
        <v>7</v>
      </c>
      <c r="H16061" s="4" t="n">
        <v>4</v>
      </c>
      <c r="I16061" s="4" t="str">
        <v>×</v>
      </c>
      <c r="J16061" s="4"/>
      <c r="K16061" s="4"/>
      <c r="L16061" s="4"/>
      <c r="M16061" s="7" t="s">
        <v>6871</v>
      </c>
    </row>
    <row r="16062" customFormat="false" ht="15.75" hidden="false" customHeight="false" outlineLevel="0" collapsed="false">
      <c r="A16062" s="6" t="n">
        <f aca="false">DATE(2026,5,2)</f>
        <v>46144</v>
      </c>
      <c r="B16062" s="4" t="s">
        <v>5435</v>
      </c>
      <c r="C16062" s="4" t="n">
        <v>6</v>
      </c>
      <c r="D16062" s="4" t="n">
        <v>9</v>
      </c>
      <c r="E16062" s="4" t="s">
        <v>4394</v>
      </c>
      <c r="F16062" s="4" t="n">
        <v>13</v>
      </c>
      <c r="G16062" s="4" t="n">
        <v>9</v>
      </c>
      <c r="H16062" s="4" t="n">
        <v>4</v>
      </c>
      <c r="I16062" s="4" t="str">
        <v>×</v>
      </c>
      <c r="J16062" s="4"/>
      <c r="K16062" s="4"/>
      <c r="L16062" s="4"/>
      <c r="M16062" s="7" t="s">
        <v>6871</v>
      </c>
    </row>
    <row r="16063" customFormat="false" ht="15.75" hidden="false" customHeight="false" outlineLevel="0" collapsed="false">
      <c r="A16063" s="6" t="n">
        <f aca="false">DATE(2026,5,2)</f>
        <v>46144</v>
      </c>
      <c r="B16063" s="4" t="s">
        <v>5435</v>
      </c>
      <c r="C16063" s="4" t="n">
        <v>6</v>
      </c>
      <c r="D16063" s="4" t="n">
        <v>10</v>
      </c>
      <c r="E16063" s="4" t="s">
        <v>3684</v>
      </c>
      <c r="F16063" s="4" t="n">
        <v>41</v>
      </c>
      <c r="G16063" s="4" t="n">
        <v>3</v>
      </c>
      <c r="H16063" s="4" t="n">
        <v>4</v>
      </c>
      <c r="I16063" s="4" t="str">
        <v>×</v>
      </c>
      <c r="J16063" s="4"/>
      <c r="K16063" s="4"/>
      <c r="L16063" s="4"/>
      <c r="M16063" s="7" t="s">
        <v>6871</v>
      </c>
    </row>
    <row r="16064" customFormat="false" ht="15.75" hidden="false" customHeight="false" outlineLevel="0" collapsed="false">
      <c r="A16064" s="6" t="n">
        <f aca="false">DATE(2026,5,2)</f>
        <v>46144</v>
      </c>
      <c r="B16064" s="4" t="s">
        <v>5435</v>
      </c>
      <c r="C16064" s="4" t="n">
        <v>6</v>
      </c>
      <c r="D16064" s="4" t="n">
        <v>11</v>
      </c>
      <c r="E16064" s="4" t="s">
        <v>4827</v>
      </c>
      <c r="F16064" s="4" t="n">
        <v>44</v>
      </c>
      <c r="G16064" s="4" t="n">
        <v>2</v>
      </c>
      <c r="H16064" s="4" t="n">
        <v>2</v>
      </c>
      <c r="I16064" s="4" t="str">
        <v>○</v>
      </c>
      <c r="J16064" s="4" t="n">
        <v>140</v>
      </c>
      <c r="K16064" s="4"/>
      <c r="L16064" s="4"/>
      <c r="M16064" s="7" t="s">
        <v>6871</v>
      </c>
    </row>
    <row r="16065" customFormat="false" ht="15.75" hidden="false" customHeight="false" outlineLevel="0" collapsed="false">
      <c r="A16065" s="6" t="n">
        <f aca="false">DATE(2026,5,2)</f>
        <v>46144</v>
      </c>
      <c r="B16065" s="4" t="s">
        <v>5435</v>
      </c>
      <c r="C16065" s="4" t="n">
        <v>7</v>
      </c>
      <c r="D16065" s="4" t="n">
        <v>1</v>
      </c>
      <c r="E16065" s="4" t="s">
        <v>5075</v>
      </c>
      <c r="F16065" s="4" t="n">
        <v>8</v>
      </c>
      <c r="G16065" s="4" t="n">
        <v>11</v>
      </c>
      <c r="H16065" s="4" t="n">
        <v>4</v>
      </c>
      <c r="I16065" s="4" t="str">
        <v>×</v>
      </c>
      <c r="J16065" s="4"/>
      <c r="K16065" s="4"/>
      <c r="L16065" s="4"/>
      <c r="M16065" s="7" t="s">
        <v>6871</v>
      </c>
    </row>
    <row r="16066" customFormat="false" ht="15.75" hidden="false" customHeight="false" outlineLevel="0" collapsed="false">
      <c r="A16066" s="6" t="n">
        <f aca="false">DATE(2026,5,2)</f>
        <v>46144</v>
      </c>
      <c r="B16066" s="4" t="s">
        <v>5435</v>
      </c>
      <c r="C16066" s="4" t="n">
        <v>7</v>
      </c>
      <c r="D16066" s="4" t="n">
        <v>2</v>
      </c>
      <c r="E16066" s="4" t="s">
        <v>3930</v>
      </c>
      <c r="F16066" s="4" t="n">
        <v>44</v>
      </c>
      <c r="G16066" s="4" t="n">
        <v>3</v>
      </c>
      <c r="H16066" s="4" t="n">
        <v>4</v>
      </c>
      <c r="I16066" s="4" t="str">
        <v>×</v>
      </c>
      <c r="J16066" s="4"/>
      <c r="K16066" s="4"/>
      <c r="L16066" s="4"/>
      <c r="M16066" s="7" t="s">
        <v>6871</v>
      </c>
    </row>
    <row r="16067" customFormat="false" ht="15.75" hidden="false" customHeight="false" outlineLevel="0" collapsed="false">
      <c r="A16067" s="6" t="n">
        <f aca="false">DATE(2026,5,2)</f>
        <v>46144</v>
      </c>
      <c r="B16067" s="4" t="s">
        <v>5435</v>
      </c>
      <c r="C16067" s="4" t="n">
        <v>7</v>
      </c>
      <c r="D16067" s="4" t="n">
        <v>3</v>
      </c>
      <c r="E16067" s="4" t="s">
        <v>285</v>
      </c>
      <c r="F16067" s="4" t="n">
        <v>10</v>
      </c>
      <c r="G16067" s="4" t="n">
        <v>10</v>
      </c>
      <c r="H16067" s="4" t="n">
        <v>4</v>
      </c>
      <c r="I16067" s="4" t="str">
        <v>×</v>
      </c>
      <c r="J16067" s="4"/>
      <c r="K16067" s="4"/>
      <c r="L16067" s="4"/>
      <c r="M16067" s="7" t="s">
        <v>6871</v>
      </c>
    </row>
    <row r="16068" customFormat="false" ht="15.75" hidden="false" customHeight="false" outlineLevel="0" collapsed="false">
      <c r="A16068" s="6" t="n">
        <f aca="false">DATE(2026,5,2)</f>
        <v>46144</v>
      </c>
      <c r="B16068" s="4" t="s">
        <v>5435</v>
      </c>
      <c r="C16068" s="4" t="n">
        <v>7</v>
      </c>
      <c r="D16068" s="4" t="n">
        <v>4</v>
      </c>
      <c r="E16068" s="4" t="s">
        <v>729</v>
      </c>
      <c r="F16068" s="4" t="n">
        <v>25</v>
      </c>
      <c r="G16068" s="4" t="n">
        <v>6</v>
      </c>
      <c r="H16068" s="4" t="n">
        <v>2</v>
      </c>
      <c r="I16068" s="4" t="str">
        <v>○</v>
      </c>
      <c r="J16068" s="4" t="n">
        <v>520</v>
      </c>
      <c r="K16068" s="4"/>
      <c r="L16068" s="4"/>
      <c r="M16068" s="7" t="s">
        <v>6871</v>
      </c>
    </row>
    <row r="16069" customFormat="false" ht="15.75" hidden="false" customHeight="false" outlineLevel="0" collapsed="false">
      <c r="A16069" s="6" t="n">
        <f aca="false">DATE(2026,5,2)</f>
        <v>46144</v>
      </c>
      <c r="B16069" s="4" t="s">
        <v>5435</v>
      </c>
      <c r="C16069" s="4" t="n">
        <v>7</v>
      </c>
      <c r="D16069" s="4" t="n">
        <v>5</v>
      </c>
      <c r="E16069" s="4" t="s">
        <v>4545</v>
      </c>
      <c r="F16069" s="4" t="n">
        <v>56</v>
      </c>
      <c r="G16069" s="4" t="n">
        <v>1</v>
      </c>
      <c r="H16069" s="4" t="n">
        <v>1</v>
      </c>
      <c r="I16069" s="4" t="str">
        <v>○</v>
      </c>
      <c r="J16069" s="4" t="n">
        <v>150</v>
      </c>
      <c r="K16069" s="4"/>
      <c r="L16069" s="4"/>
      <c r="M16069" s="7" t="s">
        <v>6871</v>
      </c>
    </row>
    <row r="16070" customFormat="false" ht="15.75" hidden="false" customHeight="false" outlineLevel="0" collapsed="false">
      <c r="A16070" s="6" t="n">
        <f aca="false">DATE(2026,5,2)</f>
        <v>46144</v>
      </c>
      <c r="B16070" s="4" t="s">
        <v>5435</v>
      </c>
      <c r="C16070" s="4" t="n">
        <v>7</v>
      </c>
      <c r="D16070" s="4" t="n">
        <v>6</v>
      </c>
      <c r="E16070" s="4" t="s">
        <v>2166</v>
      </c>
      <c r="F16070" s="4" t="n">
        <v>25</v>
      </c>
      <c r="G16070" s="4" t="n">
        <v>7</v>
      </c>
      <c r="H16070" s="4" t="n">
        <v>4</v>
      </c>
      <c r="I16070" s="4" t="str">
        <v>×</v>
      </c>
      <c r="J16070" s="4"/>
      <c r="K16070" s="4"/>
      <c r="L16070" s="4"/>
      <c r="M16070" s="7" t="s">
        <v>6871</v>
      </c>
    </row>
    <row r="16071" customFormat="false" ht="15.75" hidden="false" customHeight="false" outlineLevel="0" collapsed="false">
      <c r="A16071" s="6" t="n">
        <f aca="false">DATE(2026,5,2)</f>
        <v>46144</v>
      </c>
      <c r="B16071" s="4" t="s">
        <v>5435</v>
      </c>
      <c r="C16071" s="4" t="n">
        <v>7</v>
      </c>
      <c r="D16071" s="4" t="n">
        <v>7</v>
      </c>
      <c r="E16071" s="4" t="s">
        <v>752</v>
      </c>
      <c r="F16071" s="4" t="n">
        <v>37</v>
      </c>
      <c r="G16071" s="4" t="n">
        <v>4</v>
      </c>
      <c r="H16071" s="4" t="n">
        <v>4</v>
      </c>
      <c r="I16071" s="4" t="str">
        <v>×</v>
      </c>
      <c r="J16071" s="4"/>
      <c r="K16071" s="4"/>
      <c r="L16071" s="4"/>
      <c r="M16071" s="7" t="s">
        <v>6871</v>
      </c>
    </row>
    <row r="16072" customFormat="false" ht="15.75" hidden="false" customHeight="false" outlineLevel="0" collapsed="false">
      <c r="A16072" s="6" t="n">
        <f aca="false">DATE(2026,5,2)</f>
        <v>46144</v>
      </c>
      <c r="B16072" s="4" t="s">
        <v>5435</v>
      </c>
      <c r="C16072" s="4" t="n">
        <v>7</v>
      </c>
      <c r="D16072" s="4" t="n">
        <v>8</v>
      </c>
      <c r="E16072" s="4" t="s">
        <v>7268</v>
      </c>
      <c r="F16072" s="4" t="n">
        <v>31</v>
      </c>
      <c r="G16072" s="4" t="n">
        <v>5</v>
      </c>
      <c r="H16072" s="4" t="n">
        <v>4</v>
      </c>
      <c r="I16072" s="4" t="str">
        <v>×</v>
      </c>
      <c r="J16072" s="4"/>
      <c r="K16072" s="4"/>
      <c r="L16072" s="4"/>
      <c r="M16072" s="7" t="s">
        <v>6871</v>
      </c>
    </row>
    <row r="16073" customFormat="false" ht="15.75" hidden="false" customHeight="false" outlineLevel="0" collapsed="false">
      <c r="A16073" s="6" t="n">
        <f aca="false">DATE(2026,5,2)</f>
        <v>46144</v>
      </c>
      <c r="B16073" s="4" t="s">
        <v>5435</v>
      </c>
      <c r="C16073" s="4" t="n">
        <v>7</v>
      </c>
      <c r="D16073" s="4" t="n">
        <v>9</v>
      </c>
      <c r="E16073" s="4" t="s">
        <v>4929</v>
      </c>
      <c r="F16073" s="4" t="n">
        <v>8</v>
      </c>
      <c r="G16073" s="4" t="n">
        <v>12</v>
      </c>
      <c r="H16073" s="4" t="n">
        <v>4</v>
      </c>
      <c r="I16073" s="4" t="str">
        <v>×</v>
      </c>
      <c r="J16073" s="4"/>
      <c r="K16073" s="4"/>
      <c r="L16073" s="4"/>
      <c r="M16073" s="7" t="s">
        <v>6871</v>
      </c>
    </row>
    <row r="16074" customFormat="false" ht="15.75" hidden="false" customHeight="false" outlineLevel="0" collapsed="false">
      <c r="A16074" s="6" t="n">
        <f aca="false">DATE(2026,5,2)</f>
        <v>46144</v>
      </c>
      <c r="B16074" s="4" t="s">
        <v>5435</v>
      </c>
      <c r="C16074" s="4" t="n">
        <v>7</v>
      </c>
      <c r="D16074" s="4" t="n">
        <v>10</v>
      </c>
      <c r="E16074" s="4" t="s">
        <v>6586</v>
      </c>
      <c r="F16074" s="4" t="n">
        <v>23</v>
      </c>
      <c r="G16074" s="4" t="n">
        <v>8</v>
      </c>
      <c r="H16074" s="4" t="n">
        <v>4</v>
      </c>
      <c r="I16074" s="4" t="str">
        <v>×</v>
      </c>
      <c r="J16074" s="4"/>
      <c r="K16074" s="4"/>
      <c r="L16074" s="4"/>
      <c r="M16074" s="7" t="s">
        <v>6871</v>
      </c>
    </row>
    <row r="16075" customFormat="false" ht="15.75" hidden="false" customHeight="false" outlineLevel="0" collapsed="false">
      <c r="A16075" s="6" t="n">
        <f aca="false">DATE(2026,5,2)</f>
        <v>46144</v>
      </c>
      <c r="B16075" s="4" t="s">
        <v>5435</v>
      </c>
      <c r="C16075" s="4" t="n">
        <v>7</v>
      </c>
      <c r="D16075" s="4" t="n">
        <v>11</v>
      </c>
      <c r="E16075" s="4" t="s">
        <v>3864</v>
      </c>
      <c r="F16075" s="4" t="n">
        <v>15</v>
      </c>
      <c r="G16075" s="4" t="n">
        <v>9</v>
      </c>
      <c r="H16075" s="4" t="n">
        <v>4</v>
      </c>
      <c r="I16075" s="4" t="str">
        <v>×</v>
      </c>
      <c r="J16075" s="4"/>
      <c r="K16075" s="4"/>
      <c r="L16075" s="4"/>
      <c r="M16075" s="7" t="s">
        <v>6871</v>
      </c>
    </row>
    <row r="16076" customFormat="false" ht="15.75" hidden="false" customHeight="false" outlineLevel="0" collapsed="false">
      <c r="A16076" s="6" t="n">
        <f aca="false">DATE(2026,5,2)</f>
        <v>46144</v>
      </c>
      <c r="B16076" s="4" t="s">
        <v>5435</v>
      </c>
      <c r="C16076" s="4" t="n">
        <v>7</v>
      </c>
      <c r="D16076" s="4" t="n">
        <v>12</v>
      </c>
      <c r="E16076" s="4" t="s">
        <v>4247</v>
      </c>
      <c r="F16076" s="4" t="n">
        <v>47</v>
      </c>
      <c r="G16076" s="4" t="n">
        <v>2</v>
      </c>
      <c r="H16076" s="4" t="n">
        <v>3</v>
      </c>
      <c r="I16076" s="4" t="str">
        <v>○</v>
      </c>
      <c r="J16076" s="4" t="n">
        <v>390</v>
      </c>
      <c r="K16076" s="4"/>
      <c r="L16076" s="4"/>
      <c r="M16076" s="7" t="s">
        <v>6871</v>
      </c>
    </row>
    <row r="16077" customFormat="false" ht="15.75" hidden="false" customHeight="false" outlineLevel="0" collapsed="false">
      <c r="A16077" s="6" t="n">
        <f aca="false">DATE(2026,5,2)</f>
        <v>46144</v>
      </c>
      <c r="B16077" s="4" t="s">
        <v>5435</v>
      </c>
      <c r="C16077" s="4" t="n">
        <v>8</v>
      </c>
      <c r="D16077" s="4" t="n">
        <v>1</v>
      </c>
      <c r="E16077" s="4" t="s">
        <v>5719</v>
      </c>
      <c r="F16077" s="4" t="n">
        <v>10</v>
      </c>
      <c r="G16077" s="4" t="n">
        <v>7</v>
      </c>
      <c r="H16077" s="4" t="n">
        <v>4</v>
      </c>
      <c r="I16077" s="4" t="str">
        <v>×</v>
      </c>
      <c r="J16077" s="4"/>
      <c r="K16077" s="4"/>
      <c r="L16077" s="4"/>
      <c r="M16077" s="7" t="s">
        <v>6871</v>
      </c>
    </row>
    <row r="16078" customFormat="false" ht="15.75" hidden="false" customHeight="false" outlineLevel="0" collapsed="false">
      <c r="A16078" s="6" t="n">
        <f aca="false">DATE(2026,5,2)</f>
        <v>46144</v>
      </c>
      <c r="B16078" s="4" t="s">
        <v>5435</v>
      </c>
      <c r="C16078" s="4" t="n">
        <v>8</v>
      </c>
      <c r="D16078" s="4" t="n">
        <v>2</v>
      </c>
      <c r="E16078" s="4" t="s">
        <v>7269</v>
      </c>
      <c r="F16078" s="4" t="n">
        <v>6</v>
      </c>
      <c r="G16078" s="4" t="n">
        <v>11</v>
      </c>
      <c r="H16078" s="4" t="n">
        <v>4</v>
      </c>
      <c r="I16078" s="4" t="str">
        <v>×</v>
      </c>
      <c r="J16078" s="4"/>
      <c r="K16078" s="4"/>
      <c r="L16078" s="4"/>
      <c r="M16078" s="7" t="s">
        <v>6871</v>
      </c>
    </row>
    <row r="16079" customFormat="false" ht="15.75" hidden="false" customHeight="false" outlineLevel="0" collapsed="false">
      <c r="A16079" s="6" t="n">
        <f aca="false">DATE(2026,5,2)</f>
        <v>46144</v>
      </c>
      <c r="B16079" s="4" t="s">
        <v>5435</v>
      </c>
      <c r="C16079" s="4" t="n">
        <v>8</v>
      </c>
      <c r="D16079" s="4" t="n">
        <v>3</v>
      </c>
      <c r="E16079" s="4" t="s">
        <v>7270</v>
      </c>
      <c r="F16079" s="4" t="n">
        <v>3</v>
      </c>
      <c r="G16079" s="4" t="n">
        <v>13</v>
      </c>
      <c r="H16079" s="4" t="n">
        <v>4</v>
      </c>
      <c r="I16079" s="4" t="str">
        <v>×</v>
      </c>
      <c r="J16079" s="4"/>
      <c r="K16079" s="4"/>
      <c r="L16079" s="4"/>
      <c r="M16079" s="7" t="s">
        <v>6871</v>
      </c>
    </row>
    <row r="16080" customFormat="false" ht="15.75" hidden="false" customHeight="false" outlineLevel="0" collapsed="false">
      <c r="A16080" s="6" t="n">
        <f aca="false">DATE(2026,5,2)</f>
        <v>46144</v>
      </c>
      <c r="B16080" s="4" t="s">
        <v>5435</v>
      </c>
      <c r="C16080" s="4" t="n">
        <v>8</v>
      </c>
      <c r="D16080" s="4" t="n">
        <v>4</v>
      </c>
      <c r="E16080" s="4" t="s">
        <v>5722</v>
      </c>
      <c r="F16080" s="4" t="n">
        <v>56</v>
      </c>
      <c r="G16080" s="4" t="n">
        <v>2</v>
      </c>
      <c r="H16080" s="4" t="n">
        <v>3</v>
      </c>
      <c r="I16080" s="4" t="str">
        <v>○</v>
      </c>
      <c r="J16080" s="4" t="n">
        <v>210</v>
      </c>
      <c r="K16080" s="4"/>
      <c r="L16080" s="4"/>
      <c r="M16080" s="7" t="s">
        <v>6871</v>
      </c>
    </row>
    <row r="16081" customFormat="false" ht="15.75" hidden="false" customHeight="false" outlineLevel="0" collapsed="false">
      <c r="A16081" s="6" t="n">
        <f aca="false">DATE(2026,5,2)</f>
        <v>46144</v>
      </c>
      <c r="B16081" s="4" t="s">
        <v>5435</v>
      </c>
      <c r="C16081" s="4" t="n">
        <v>8</v>
      </c>
      <c r="D16081" s="4" t="n">
        <v>5</v>
      </c>
      <c r="E16081" s="4" t="s">
        <v>1650</v>
      </c>
      <c r="F16081" s="4" t="n">
        <v>8</v>
      </c>
      <c r="G16081" s="4" t="n">
        <v>8</v>
      </c>
      <c r="H16081" s="4" t="n">
        <v>4</v>
      </c>
      <c r="I16081" s="4" t="str">
        <v>×</v>
      </c>
      <c r="J16081" s="4"/>
      <c r="K16081" s="4"/>
      <c r="L16081" s="4"/>
      <c r="M16081" s="7" t="s">
        <v>6871</v>
      </c>
    </row>
    <row r="16082" customFormat="false" ht="15.75" hidden="false" customHeight="false" outlineLevel="0" collapsed="false">
      <c r="A16082" s="6" t="n">
        <f aca="false">DATE(2026,5,2)</f>
        <v>46144</v>
      </c>
      <c r="B16082" s="4" t="s">
        <v>5435</v>
      </c>
      <c r="C16082" s="4" t="n">
        <v>8</v>
      </c>
      <c r="D16082" s="4" t="n">
        <v>6</v>
      </c>
      <c r="E16082" s="4" t="s">
        <v>6320</v>
      </c>
      <c r="F16082" s="4" t="n">
        <v>17</v>
      </c>
      <c r="G16082" s="4" t="n">
        <v>5</v>
      </c>
      <c r="H16082" s="4" t="n">
        <v>4</v>
      </c>
      <c r="I16082" s="4" t="str">
        <v>×</v>
      </c>
      <c r="J16082" s="4"/>
      <c r="K16082" s="4"/>
      <c r="L16082" s="4"/>
      <c r="M16082" s="7" t="s">
        <v>6871</v>
      </c>
    </row>
    <row r="16083" customFormat="false" ht="15.75" hidden="false" customHeight="false" outlineLevel="0" collapsed="false">
      <c r="A16083" s="6" t="n">
        <f aca="false">DATE(2026,5,2)</f>
        <v>46144</v>
      </c>
      <c r="B16083" s="4" t="s">
        <v>5435</v>
      </c>
      <c r="C16083" s="4" t="n">
        <v>8</v>
      </c>
      <c r="D16083" s="4" t="n">
        <v>7</v>
      </c>
      <c r="E16083" s="4" t="s">
        <v>1343</v>
      </c>
      <c r="F16083" s="4" t="n">
        <v>23</v>
      </c>
      <c r="G16083" s="4" t="n">
        <v>4</v>
      </c>
      <c r="H16083" s="4" t="n">
        <v>4</v>
      </c>
      <c r="I16083" s="4" t="str">
        <v>×</v>
      </c>
      <c r="J16083" s="4"/>
      <c r="K16083" s="4"/>
      <c r="L16083" s="4"/>
      <c r="M16083" s="7" t="s">
        <v>6871</v>
      </c>
    </row>
    <row r="16084" customFormat="false" ht="15.75" hidden="false" customHeight="false" outlineLevel="0" collapsed="false">
      <c r="A16084" s="6" t="n">
        <f aca="false">DATE(2026,5,2)</f>
        <v>46144</v>
      </c>
      <c r="B16084" s="4" t="s">
        <v>5435</v>
      </c>
      <c r="C16084" s="4" t="n">
        <v>8</v>
      </c>
      <c r="D16084" s="4" t="n">
        <v>8</v>
      </c>
      <c r="E16084" s="4" t="s">
        <v>6241</v>
      </c>
      <c r="F16084" s="4" t="n">
        <v>67</v>
      </c>
      <c r="G16084" s="4" t="n">
        <v>1</v>
      </c>
      <c r="H16084" s="4" t="n">
        <v>4</v>
      </c>
      <c r="I16084" s="4" t="str">
        <v>×</v>
      </c>
      <c r="J16084" s="4"/>
      <c r="K16084" s="4"/>
      <c r="L16084" s="4"/>
      <c r="M16084" s="7" t="s">
        <v>6871</v>
      </c>
    </row>
    <row r="16085" customFormat="false" ht="15.75" hidden="false" customHeight="false" outlineLevel="0" collapsed="false">
      <c r="A16085" s="6" t="n">
        <f aca="false">DATE(2026,5,2)</f>
        <v>46144</v>
      </c>
      <c r="B16085" s="4" t="s">
        <v>5435</v>
      </c>
      <c r="C16085" s="4" t="n">
        <v>8</v>
      </c>
      <c r="D16085" s="4" t="n">
        <v>9</v>
      </c>
      <c r="E16085" s="4" t="s">
        <v>743</v>
      </c>
      <c r="F16085" s="4" t="n">
        <v>56</v>
      </c>
      <c r="G16085" s="4" t="n">
        <v>3</v>
      </c>
      <c r="H16085" s="4" t="n">
        <v>4</v>
      </c>
      <c r="I16085" s="4" t="str">
        <v>×</v>
      </c>
      <c r="J16085" s="4"/>
      <c r="K16085" s="4"/>
      <c r="L16085" s="4"/>
      <c r="M16085" s="7" t="s">
        <v>6871</v>
      </c>
    </row>
    <row r="16086" customFormat="false" ht="15.75" hidden="false" customHeight="false" outlineLevel="0" collapsed="false">
      <c r="A16086" s="6" t="n">
        <f aca="false">DATE(2026,5,2)</f>
        <v>46144</v>
      </c>
      <c r="B16086" s="4" t="s">
        <v>5435</v>
      </c>
      <c r="C16086" s="4" t="n">
        <v>8</v>
      </c>
      <c r="D16086" s="4" t="n">
        <v>10</v>
      </c>
      <c r="E16086" s="4" t="s">
        <v>3676</v>
      </c>
      <c r="F16086" s="4" t="n">
        <v>8</v>
      </c>
      <c r="G16086" s="4" t="n">
        <v>9</v>
      </c>
      <c r="H16086" s="4" t="n">
        <v>4</v>
      </c>
      <c r="I16086" s="4" t="str">
        <v>×</v>
      </c>
      <c r="J16086" s="4"/>
      <c r="K16086" s="4"/>
      <c r="L16086" s="4"/>
      <c r="M16086" s="7" t="s">
        <v>6871</v>
      </c>
    </row>
    <row r="16087" customFormat="false" ht="15.75" hidden="false" customHeight="false" outlineLevel="0" collapsed="false">
      <c r="A16087" s="6" t="n">
        <f aca="false">DATE(2026,5,2)</f>
        <v>46144</v>
      </c>
      <c r="B16087" s="4" t="s">
        <v>5435</v>
      </c>
      <c r="C16087" s="4" t="n">
        <v>8</v>
      </c>
      <c r="D16087" s="4" t="n">
        <v>11</v>
      </c>
      <c r="E16087" s="4" t="s">
        <v>4665</v>
      </c>
      <c r="F16087" s="4" t="n">
        <v>17</v>
      </c>
      <c r="G16087" s="4" t="n">
        <v>6</v>
      </c>
      <c r="H16087" s="4" t="n">
        <v>2</v>
      </c>
      <c r="I16087" s="4" t="str">
        <v>○</v>
      </c>
      <c r="J16087" s="4" t="n">
        <v>350</v>
      </c>
      <c r="K16087" s="4"/>
      <c r="L16087" s="4"/>
      <c r="M16087" s="7" t="s">
        <v>6871</v>
      </c>
    </row>
    <row r="16088" customFormat="false" ht="15.75" hidden="false" customHeight="false" outlineLevel="0" collapsed="false">
      <c r="A16088" s="6" t="n">
        <f aca="false">DATE(2026,5,2)</f>
        <v>46144</v>
      </c>
      <c r="B16088" s="4" t="s">
        <v>5435</v>
      </c>
      <c r="C16088" s="4" t="n">
        <v>8</v>
      </c>
      <c r="D16088" s="4" t="n">
        <v>12</v>
      </c>
      <c r="E16088" s="4" t="s">
        <v>5497</v>
      </c>
      <c r="F16088" s="4" t="n">
        <v>4</v>
      </c>
      <c r="G16088" s="4" t="n">
        <v>12</v>
      </c>
      <c r="H16088" s="4" t="n">
        <v>1</v>
      </c>
      <c r="I16088" s="4" t="str">
        <v>○</v>
      </c>
      <c r="J16088" s="4" t="n">
        <v>900</v>
      </c>
      <c r="K16088" s="4"/>
      <c r="L16088" s="4"/>
      <c r="M16088" s="7" t="s">
        <v>6871</v>
      </c>
    </row>
    <row r="16089" customFormat="false" ht="15.75" hidden="false" customHeight="false" outlineLevel="0" collapsed="false">
      <c r="A16089" s="6" t="n">
        <f aca="false">DATE(2026,5,2)</f>
        <v>46144</v>
      </c>
      <c r="B16089" s="4" t="s">
        <v>5435</v>
      </c>
      <c r="C16089" s="4" t="n">
        <v>8</v>
      </c>
      <c r="D16089" s="4" t="n">
        <v>13</v>
      </c>
      <c r="E16089" s="4" t="s">
        <v>3465</v>
      </c>
      <c r="F16089" s="4" t="n">
        <v>8</v>
      </c>
      <c r="G16089" s="4" t="n">
        <v>10</v>
      </c>
      <c r="H16089" s="4" t="n">
        <v>4</v>
      </c>
      <c r="I16089" s="4" t="str">
        <v>×</v>
      </c>
      <c r="J16089" s="4"/>
      <c r="K16089" s="4"/>
      <c r="L16089" s="4"/>
      <c r="M16089" s="7" t="s">
        <v>6871</v>
      </c>
    </row>
    <row r="16090" customFormat="false" ht="15.75" hidden="false" customHeight="false" outlineLevel="0" collapsed="false">
      <c r="A16090" s="6" t="n">
        <f aca="false">DATE(2026,5,2)</f>
        <v>46144</v>
      </c>
      <c r="B16090" s="4" t="s">
        <v>5435</v>
      </c>
      <c r="C16090" s="4" t="n">
        <v>9</v>
      </c>
      <c r="D16090" s="4" t="n">
        <v>1</v>
      </c>
      <c r="E16090" s="4" t="s">
        <v>1712</v>
      </c>
      <c r="F16090" s="4" t="n">
        <v>47</v>
      </c>
      <c r="G16090" s="4" t="n">
        <v>2</v>
      </c>
      <c r="H16090" s="4" t="n">
        <v>4</v>
      </c>
      <c r="I16090" s="4" t="str">
        <v>×</v>
      </c>
      <c r="J16090" s="4"/>
      <c r="K16090" s="4"/>
      <c r="L16090" s="4"/>
      <c r="M16090" s="7" t="s">
        <v>6871</v>
      </c>
    </row>
    <row r="16091" customFormat="false" ht="15.75" hidden="false" customHeight="false" outlineLevel="0" collapsed="false">
      <c r="A16091" s="6" t="n">
        <f aca="false">DATE(2026,5,2)</f>
        <v>46144</v>
      </c>
      <c r="B16091" s="4" t="s">
        <v>5435</v>
      </c>
      <c r="C16091" s="4" t="n">
        <v>9</v>
      </c>
      <c r="D16091" s="4" t="n">
        <v>2</v>
      </c>
      <c r="E16091" s="4" t="s">
        <v>3681</v>
      </c>
      <c r="F16091" s="4" t="n">
        <v>29</v>
      </c>
      <c r="G16091" s="4" t="n">
        <v>7</v>
      </c>
      <c r="H16091" s="4" t="n">
        <v>4</v>
      </c>
      <c r="I16091" s="4" t="str">
        <v>×</v>
      </c>
      <c r="J16091" s="4"/>
      <c r="K16091" s="4"/>
      <c r="L16091" s="4"/>
      <c r="M16091" s="7" t="s">
        <v>6871</v>
      </c>
    </row>
    <row r="16092" customFormat="false" ht="15.75" hidden="false" customHeight="false" outlineLevel="0" collapsed="false">
      <c r="A16092" s="6" t="n">
        <f aca="false">DATE(2026,5,2)</f>
        <v>46144</v>
      </c>
      <c r="B16092" s="4" t="s">
        <v>5435</v>
      </c>
      <c r="C16092" s="4" t="n">
        <v>9</v>
      </c>
      <c r="D16092" s="4" t="n">
        <v>3</v>
      </c>
      <c r="E16092" s="4" t="s">
        <v>7271</v>
      </c>
      <c r="F16092" s="4" t="n">
        <v>31</v>
      </c>
      <c r="G16092" s="4" t="n">
        <v>6</v>
      </c>
      <c r="H16092" s="4" t="n">
        <v>4</v>
      </c>
      <c r="I16092" s="4" t="str">
        <v>×</v>
      </c>
      <c r="J16092" s="4"/>
      <c r="K16092" s="4"/>
      <c r="L16092" s="4"/>
      <c r="M16092" s="7" t="s">
        <v>6871</v>
      </c>
    </row>
    <row r="16093" customFormat="false" ht="15.75" hidden="false" customHeight="false" outlineLevel="0" collapsed="false">
      <c r="A16093" s="6" t="n">
        <f aca="false">DATE(2026,5,2)</f>
        <v>46144</v>
      </c>
      <c r="B16093" s="4" t="s">
        <v>5435</v>
      </c>
      <c r="C16093" s="4" t="n">
        <v>9</v>
      </c>
      <c r="D16093" s="4" t="n">
        <v>4</v>
      </c>
      <c r="E16093" s="4" t="s">
        <v>1039</v>
      </c>
      <c r="F16093" s="4" t="n">
        <v>20</v>
      </c>
      <c r="G16093" s="4" t="n">
        <v>8</v>
      </c>
      <c r="H16093" s="4" t="n">
        <v>4</v>
      </c>
      <c r="I16093" s="4" t="str">
        <v>×</v>
      </c>
      <c r="J16093" s="4"/>
      <c r="K16093" s="4"/>
      <c r="L16093" s="4"/>
      <c r="M16093" s="7" t="s">
        <v>6871</v>
      </c>
    </row>
    <row r="16094" customFormat="false" ht="15.75" hidden="false" customHeight="false" outlineLevel="0" collapsed="false">
      <c r="A16094" s="6" t="n">
        <f aca="false">DATE(2026,5,2)</f>
        <v>46144</v>
      </c>
      <c r="B16094" s="4" t="s">
        <v>5435</v>
      </c>
      <c r="C16094" s="4" t="n">
        <v>9</v>
      </c>
      <c r="D16094" s="4" t="n">
        <v>5</v>
      </c>
      <c r="E16094" s="4" t="s">
        <v>906</v>
      </c>
      <c r="F16094" s="4" t="n">
        <v>34</v>
      </c>
      <c r="G16094" s="4" t="n">
        <v>5</v>
      </c>
      <c r="H16094" s="4" t="n">
        <v>3</v>
      </c>
      <c r="I16094" s="4" t="str">
        <v>○</v>
      </c>
      <c r="J16094" s="4" t="n">
        <v>180</v>
      </c>
      <c r="K16094" s="4"/>
      <c r="L16094" s="4"/>
      <c r="M16094" s="7" t="s">
        <v>6871</v>
      </c>
    </row>
    <row r="16095" customFormat="false" ht="15.75" hidden="false" customHeight="false" outlineLevel="0" collapsed="false">
      <c r="A16095" s="6" t="n">
        <f aca="false">DATE(2026,5,2)</f>
        <v>46144</v>
      </c>
      <c r="B16095" s="4" t="s">
        <v>5435</v>
      </c>
      <c r="C16095" s="4" t="n">
        <v>9</v>
      </c>
      <c r="D16095" s="4" t="n">
        <v>6</v>
      </c>
      <c r="E16095" s="4" t="s">
        <v>761</v>
      </c>
      <c r="F16095" s="4" t="n">
        <v>41</v>
      </c>
      <c r="G16095" s="4" t="n">
        <v>4</v>
      </c>
      <c r="H16095" s="4" t="n">
        <v>4</v>
      </c>
      <c r="I16095" s="4" t="str">
        <v>×</v>
      </c>
      <c r="J16095" s="4"/>
      <c r="K16095" s="4"/>
      <c r="L16095" s="4"/>
      <c r="M16095" s="7" t="s">
        <v>6871</v>
      </c>
    </row>
    <row r="16096" customFormat="false" ht="15.75" hidden="false" customHeight="false" outlineLevel="0" collapsed="false">
      <c r="A16096" s="6" t="n">
        <f aca="false">DATE(2026,5,2)</f>
        <v>46144</v>
      </c>
      <c r="B16096" s="4" t="s">
        <v>5435</v>
      </c>
      <c r="C16096" s="4" t="n">
        <v>9</v>
      </c>
      <c r="D16096" s="4" t="n">
        <v>7</v>
      </c>
      <c r="E16096" s="4" t="s">
        <v>5640</v>
      </c>
      <c r="F16096" s="4" t="n">
        <v>44</v>
      </c>
      <c r="G16096" s="4" t="n">
        <v>3</v>
      </c>
      <c r="H16096" s="4" t="n">
        <v>1</v>
      </c>
      <c r="I16096" s="4" t="str">
        <v>○</v>
      </c>
      <c r="J16096" s="4" t="n">
        <v>180</v>
      </c>
      <c r="K16096" s="4"/>
      <c r="L16096" s="4"/>
      <c r="M16096" s="7" t="s">
        <v>6871</v>
      </c>
    </row>
    <row r="16097" customFormat="false" ht="15.75" hidden="false" customHeight="false" outlineLevel="0" collapsed="false">
      <c r="A16097" s="6" t="n">
        <f aca="false">DATE(2026,5,2)</f>
        <v>46144</v>
      </c>
      <c r="B16097" s="4" t="s">
        <v>5435</v>
      </c>
      <c r="C16097" s="4" t="n">
        <v>9</v>
      </c>
      <c r="D16097" s="4" t="n">
        <v>8</v>
      </c>
      <c r="E16097" s="4" t="s">
        <v>3849</v>
      </c>
      <c r="F16097" s="4" t="n">
        <v>8</v>
      </c>
      <c r="G16097" s="4" t="n">
        <v>9</v>
      </c>
      <c r="H16097" s="4" t="n">
        <v>4</v>
      </c>
      <c r="I16097" s="4" t="str">
        <v>×</v>
      </c>
      <c r="J16097" s="4"/>
      <c r="K16097" s="4"/>
      <c r="L16097" s="4"/>
      <c r="M16097" s="7" t="s">
        <v>6871</v>
      </c>
    </row>
    <row r="16098" customFormat="false" ht="15.75" hidden="false" customHeight="false" outlineLevel="0" collapsed="false">
      <c r="A16098" s="6" t="n">
        <f aca="false">DATE(2026,5,2)</f>
        <v>46144</v>
      </c>
      <c r="B16098" s="4" t="s">
        <v>5435</v>
      </c>
      <c r="C16098" s="4" t="n">
        <v>9</v>
      </c>
      <c r="D16098" s="4" t="n">
        <v>9</v>
      </c>
      <c r="E16098" s="4" t="s">
        <v>5635</v>
      </c>
      <c r="F16098" s="4" t="n">
        <v>52</v>
      </c>
      <c r="G16098" s="4" t="n">
        <v>1</v>
      </c>
      <c r="H16098" s="4" t="n">
        <v>2</v>
      </c>
      <c r="I16098" s="4" t="str">
        <v>○</v>
      </c>
      <c r="J16098" s="4" t="n">
        <v>140</v>
      </c>
      <c r="K16098" s="4"/>
      <c r="L16098" s="4"/>
      <c r="M16098" s="7" t="s">
        <v>6871</v>
      </c>
    </row>
    <row r="16099" customFormat="false" ht="15.75" hidden="false" customHeight="false" outlineLevel="0" collapsed="false">
      <c r="A16099" s="6" t="n">
        <f aca="false">DATE(2026,5,2)</f>
        <v>46144</v>
      </c>
      <c r="B16099" s="4" t="s">
        <v>5435</v>
      </c>
      <c r="C16099" s="4" t="n">
        <v>10</v>
      </c>
      <c r="D16099" s="4" t="n">
        <v>1</v>
      </c>
      <c r="E16099" s="4" t="s">
        <v>6277</v>
      </c>
      <c r="F16099" s="4" t="n">
        <v>50</v>
      </c>
      <c r="G16099" s="4" t="n">
        <v>3</v>
      </c>
      <c r="H16099" s="4" t="n">
        <v>4</v>
      </c>
      <c r="I16099" s="4" t="str">
        <v>×</v>
      </c>
      <c r="J16099" s="4"/>
      <c r="K16099" s="4"/>
      <c r="L16099" s="4"/>
      <c r="M16099" s="7" t="s">
        <v>6871</v>
      </c>
    </row>
    <row r="16100" customFormat="false" ht="15.75" hidden="false" customHeight="false" outlineLevel="0" collapsed="false">
      <c r="A16100" s="6" t="n">
        <f aca="false">DATE(2026,5,2)</f>
        <v>46144</v>
      </c>
      <c r="B16100" s="4" t="s">
        <v>5435</v>
      </c>
      <c r="C16100" s="4" t="n">
        <v>10</v>
      </c>
      <c r="D16100" s="4" t="n">
        <v>2</v>
      </c>
      <c r="E16100" s="4" t="s">
        <v>5063</v>
      </c>
      <c r="F16100" s="4" t="n">
        <v>60</v>
      </c>
      <c r="G16100" s="4" t="n">
        <v>1</v>
      </c>
      <c r="H16100" s="4" t="n">
        <v>4</v>
      </c>
      <c r="I16100" s="4" t="str">
        <v>×</v>
      </c>
      <c r="J16100" s="4"/>
      <c r="K16100" s="4"/>
      <c r="L16100" s="4"/>
      <c r="M16100" s="7" t="s">
        <v>6871</v>
      </c>
    </row>
    <row r="16101" customFormat="false" ht="15.75" hidden="false" customHeight="false" outlineLevel="0" collapsed="false">
      <c r="A16101" s="6" t="n">
        <f aca="false">DATE(2026,5,2)</f>
        <v>46144</v>
      </c>
      <c r="B16101" s="4" t="s">
        <v>5435</v>
      </c>
      <c r="C16101" s="4" t="n">
        <v>10</v>
      </c>
      <c r="D16101" s="4" t="n">
        <v>3</v>
      </c>
      <c r="E16101" s="4" t="s">
        <v>7272</v>
      </c>
      <c r="F16101" s="4" t="n">
        <v>39</v>
      </c>
      <c r="G16101" s="4" t="n">
        <v>4</v>
      </c>
      <c r="H16101" s="4" t="n">
        <v>4</v>
      </c>
      <c r="I16101" s="4" t="str">
        <v>×</v>
      </c>
      <c r="J16101" s="4"/>
      <c r="K16101" s="4"/>
      <c r="L16101" s="4"/>
      <c r="M16101" s="7" t="s">
        <v>6871</v>
      </c>
    </row>
    <row r="16102" customFormat="false" ht="15.75" hidden="false" customHeight="false" outlineLevel="0" collapsed="false">
      <c r="A16102" s="6" t="n">
        <f aca="false">DATE(2026,5,2)</f>
        <v>46144</v>
      </c>
      <c r="B16102" s="4" t="s">
        <v>5435</v>
      </c>
      <c r="C16102" s="4" t="n">
        <v>10</v>
      </c>
      <c r="D16102" s="4" t="n">
        <v>4</v>
      </c>
      <c r="E16102" s="4" t="s">
        <v>2419</v>
      </c>
      <c r="F16102" s="4" t="n">
        <v>4</v>
      </c>
      <c r="G16102" s="4" t="n">
        <v>10</v>
      </c>
      <c r="H16102" s="4" t="n">
        <v>4</v>
      </c>
      <c r="I16102" s="4" t="str">
        <v>×</v>
      </c>
      <c r="J16102" s="4"/>
      <c r="K16102" s="4"/>
      <c r="L16102" s="4"/>
      <c r="M16102" s="7" t="s">
        <v>6871</v>
      </c>
    </row>
    <row r="16103" customFormat="false" ht="15.75" hidden="false" customHeight="false" outlineLevel="0" collapsed="false">
      <c r="A16103" s="6" t="n">
        <f aca="false">DATE(2026,5,2)</f>
        <v>46144</v>
      </c>
      <c r="B16103" s="4" t="s">
        <v>5435</v>
      </c>
      <c r="C16103" s="4" t="n">
        <v>10</v>
      </c>
      <c r="D16103" s="4" t="n">
        <v>5</v>
      </c>
      <c r="E16103" s="4" t="s">
        <v>5711</v>
      </c>
      <c r="F16103" s="4" t="n">
        <v>4</v>
      </c>
      <c r="G16103" s="4" t="n">
        <v>11</v>
      </c>
      <c r="H16103" s="4" t="n">
        <v>1</v>
      </c>
      <c r="I16103" s="4" t="str">
        <v>○</v>
      </c>
      <c r="J16103" s="4" t="n">
        <v>630</v>
      </c>
      <c r="K16103" s="4"/>
      <c r="L16103" s="4"/>
      <c r="M16103" s="7" t="s">
        <v>6871</v>
      </c>
    </row>
    <row r="16104" customFormat="false" ht="15.75" hidden="false" customHeight="false" outlineLevel="0" collapsed="false">
      <c r="A16104" s="6" t="n">
        <f aca="false">DATE(2026,5,2)</f>
        <v>46144</v>
      </c>
      <c r="B16104" s="4" t="s">
        <v>5435</v>
      </c>
      <c r="C16104" s="4" t="n">
        <v>10</v>
      </c>
      <c r="D16104" s="4" t="n">
        <v>6</v>
      </c>
      <c r="E16104" s="4" t="s">
        <v>7273</v>
      </c>
      <c r="F16104" s="4" t="n">
        <v>3</v>
      </c>
      <c r="G16104" s="4" t="n">
        <v>12</v>
      </c>
      <c r="H16104" s="4" t="n">
        <v>4</v>
      </c>
      <c r="I16104" s="4" t="str">
        <v>×</v>
      </c>
      <c r="J16104" s="4"/>
      <c r="K16104" s="4"/>
      <c r="L16104" s="4"/>
      <c r="M16104" s="7" t="s">
        <v>6871</v>
      </c>
    </row>
    <row r="16105" customFormat="false" ht="15.75" hidden="false" customHeight="false" outlineLevel="0" collapsed="false">
      <c r="A16105" s="6" t="n">
        <f aca="false">DATE(2026,5,2)</f>
        <v>46144</v>
      </c>
      <c r="B16105" s="4" t="s">
        <v>5435</v>
      </c>
      <c r="C16105" s="4" t="n">
        <v>10</v>
      </c>
      <c r="D16105" s="4" t="n">
        <v>7</v>
      </c>
      <c r="E16105" s="4" t="s">
        <v>4332</v>
      </c>
      <c r="F16105" s="4" t="n">
        <v>29</v>
      </c>
      <c r="G16105" s="4" t="n">
        <v>5</v>
      </c>
      <c r="H16105" s="4" t="n">
        <v>4</v>
      </c>
      <c r="I16105" s="4" t="str">
        <v>×</v>
      </c>
      <c r="J16105" s="4"/>
      <c r="K16105" s="4"/>
      <c r="L16105" s="4"/>
      <c r="M16105" s="7" t="s">
        <v>6871</v>
      </c>
    </row>
    <row r="16106" customFormat="false" ht="15.75" hidden="false" customHeight="false" outlineLevel="0" collapsed="false">
      <c r="A16106" s="6" t="n">
        <f aca="false">DATE(2026,5,2)</f>
        <v>46144</v>
      </c>
      <c r="B16106" s="4" t="s">
        <v>5435</v>
      </c>
      <c r="C16106" s="4" t="n">
        <v>10</v>
      </c>
      <c r="D16106" s="4" t="n">
        <v>8</v>
      </c>
      <c r="E16106" s="4" t="s">
        <v>7274</v>
      </c>
      <c r="F16106" s="4" t="n">
        <v>52</v>
      </c>
      <c r="G16106" s="4" t="n">
        <v>2</v>
      </c>
      <c r="H16106" s="4" t="n">
        <v>2</v>
      </c>
      <c r="I16106" s="4" t="str">
        <v>○</v>
      </c>
      <c r="J16106" s="4" t="n">
        <v>160</v>
      </c>
      <c r="K16106" s="4"/>
      <c r="L16106" s="4"/>
      <c r="M16106" s="7" t="s">
        <v>6871</v>
      </c>
    </row>
    <row r="16107" customFormat="false" ht="15.75" hidden="false" customHeight="false" outlineLevel="0" collapsed="false">
      <c r="A16107" s="6" t="n">
        <f aca="false">DATE(2026,5,2)</f>
        <v>46144</v>
      </c>
      <c r="B16107" s="4" t="s">
        <v>5435</v>
      </c>
      <c r="C16107" s="4" t="n">
        <v>10</v>
      </c>
      <c r="D16107" s="4" t="n">
        <v>9</v>
      </c>
      <c r="E16107" s="4" t="s">
        <v>6274</v>
      </c>
      <c r="F16107" s="4" t="n">
        <v>8</v>
      </c>
      <c r="G16107" s="4" t="n">
        <v>9</v>
      </c>
      <c r="H16107" s="4" t="n">
        <v>4</v>
      </c>
      <c r="I16107" s="4" t="str">
        <v>×</v>
      </c>
      <c r="J16107" s="4"/>
      <c r="K16107" s="4"/>
      <c r="L16107" s="4"/>
      <c r="M16107" s="7" t="s">
        <v>6871</v>
      </c>
    </row>
    <row r="16108" customFormat="false" ht="15.75" hidden="false" customHeight="false" outlineLevel="0" collapsed="false">
      <c r="A16108" s="6" t="n">
        <f aca="false">DATE(2026,5,2)</f>
        <v>46144</v>
      </c>
      <c r="B16108" s="4" t="s">
        <v>5435</v>
      </c>
      <c r="C16108" s="4" t="n">
        <v>10</v>
      </c>
      <c r="D16108" s="4" t="n">
        <v>10</v>
      </c>
      <c r="E16108" s="4" t="s">
        <v>3943</v>
      </c>
      <c r="F16108" s="4" t="n">
        <v>23</v>
      </c>
      <c r="G16108" s="4" t="n">
        <v>6</v>
      </c>
      <c r="H16108" s="4" t="n">
        <v>3</v>
      </c>
      <c r="I16108" s="4" t="str">
        <v>○</v>
      </c>
      <c r="J16108" s="4" t="n">
        <v>410</v>
      </c>
      <c r="K16108" s="4"/>
      <c r="L16108" s="4"/>
      <c r="M16108" s="7" t="s">
        <v>6871</v>
      </c>
    </row>
    <row r="16109" customFormat="false" ht="15.75" hidden="false" customHeight="false" outlineLevel="0" collapsed="false">
      <c r="A16109" s="6" t="n">
        <f aca="false">DATE(2026,5,2)</f>
        <v>46144</v>
      </c>
      <c r="B16109" s="4" t="s">
        <v>5435</v>
      </c>
      <c r="C16109" s="4" t="n">
        <v>10</v>
      </c>
      <c r="D16109" s="4" t="n">
        <v>11</v>
      </c>
      <c r="E16109" s="4" t="s">
        <v>2902</v>
      </c>
      <c r="F16109" s="4" t="n">
        <v>23</v>
      </c>
      <c r="G16109" s="4" t="n">
        <v>7</v>
      </c>
      <c r="H16109" s="4" t="n">
        <v>4</v>
      </c>
      <c r="I16109" s="4" t="str">
        <v>×</v>
      </c>
      <c r="J16109" s="4"/>
      <c r="K16109" s="4"/>
      <c r="L16109" s="4"/>
      <c r="M16109" s="7" t="s">
        <v>6871</v>
      </c>
    </row>
    <row r="16110" customFormat="false" ht="15.75" hidden="false" customHeight="false" outlineLevel="0" collapsed="false">
      <c r="A16110" s="6" t="n">
        <f aca="false">DATE(2026,5,2)</f>
        <v>46144</v>
      </c>
      <c r="B16110" s="4" t="s">
        <v>5435</v>
      </c>
      <c r="C16110" s="4" t="n">
        <v>10</v>
      </c>
      <c r="D16110" s="4" t="n">
        <v>12</v>
      </c>
      <c r="E16110" s="4" t="s">
        <v>2252</v>
      </c>
      <c r="F16110" s="4" t="n">
        <v>20</v>
      </c>
      <c r="G16110" s="4" t="n">
        <v>8</v>
      </c>
      <c r="H16110" s="4" t="n">
        <v>4</v>
      </c>
      <c r="I16110" s="4" t="str">
        <v>×</v>
      </c>
      <c r="J16110" s="4"/>
      <c r="K16110" s="4"/>
      <c r="L16110" s="4"/>
      <c r="M16110" s="7" t="s">
        <v>6871</v>
      </c>
    </row>
    <row r="16111" customFormat="false" ht="15.75" hidden="false" customHeight="false" outlineLevel="0" collapsed="false">
      <c r="A16111" s="6" t="n">
        <f aca="false">DATE(2026,5,2)</f>
        <v>46144</v>
      </c>
      <c r="B16111" s="4" t="s">
        <v>5435</v>
      </c>
      <c r="C16111" s="4" t="n">
        <v>11</v>
      </c>
      <c r="D16111" s="4" t="n">
        <v>1</v>
      </c>
      <c r="E16111" s="4" t="s">
        <v>309</v>
      </c>
      <c r="F16111" s="4" t="n">
        <v>4</v>
      </c>
      <c r="G16111" s="4" t="n">
        <v>11</v>
      </c>
      <c r="H16111" s="4" t="n">
        <v>4</v>
      </c>
      <c r="I16111" s="4" t="str">
        <v>×</v>
      </c>
      <c r="J16111" s="4"/>
      <c r="K16111" s="4"/>
      <c r="L16111" s="4"/>
      <c r="M16111" s="7" t="s">
        <v>6871</v>
      </c>
    </row>
    <row r="16112" customFormat="false" ht="15.75" hidden="false" customHeight="false" outlineLevel="0" collapsed="false">
      <c r="A16112" s="6" t="n">
        <f aca="false">DATE(2026,5,2)</f>
        <v>46144</v>
      </c>
      <c r="B16112" s="4" t="s">
        <v>5435</v>
      </c>
      <c r="C16112" s="4" t="n">
        <v>11</v>
      </c>
      <c r="D16112" s="4" t="n">
        <v>2</v>
      </c>
      <c r="E16112" s="4" t="s">
        <v>2971</v>
      </c>
      <c r="F16112" s="4" t="n">
        <v>29</v>
      </c>
      <c r="G16112" s="4" t="n">
        <v>6</v>
      </c>
      <c r="H16112" s="4" t="n">
        <v>3</v>
      </c>
      <c r="I16112" s="4" t="str">
        <v>○</v>
      </c>
      <c r="J16112" s="4" t="n">
        <v>180</v>
      </c>
      <c r="K16112" s="4"/>
      <c r="L16112" s="4"/>
      <c r="M16112" s="7" t="s">
        <v>6871</v>
      </c>
    </row>
    <row r="16113" customFormat="false" ht="15.75" hidden="false" customHeight="false" outlineLevel="0" collapsed="false">
      <c r="A16113" s="6" t="n">
        <f aca="false">DATE(2026,5,2)</f>
        <v>46144</v>
      </c>
      <c r="B16113" s="4" t="s">
        <v>5435</v>
      </c>
      <c r="C16113" s="4" t="n">
        <v>11</v>
      </c>
      <c r="D16113" s="4" t="n">
        <v>3</v>
      </c>
      <c r="E16113" s="4" t="s">
        <v>298</v>
      </c>
      <c r="F16113" s="4" t="n">
        <v>13</v>
      </c>
      <c r="G16113" s="4" t="n">
        <v>8</v>
      </c>
      <c r="H16113" s="4" t="n">
        <v>4</v>
      </c>
      <c r="I16113" s="4" t="str">
        <v>×</v>
      </c>
      <c r="J16113" s="4"/>
      <c r="K16113" s="4"/>
      <c r="L16113" s="4"/>
      <c r="M16113" s="7" t="s">
        <v>6871</v>
      </c>
    </row>
    <row r="16114" customFormat="false" ht="15.75" hidden="false" customHeight="false" outlineLevel="0" collapsed="false">
      <c r="A16114" s="6" t="n">
        <f aca="false">DATE(2026,5,2)</f>
        <v>46144</v>
      </c>
      <c r="B16114" s="4" t="s">
        <v>5435</v>
      </c>
      <c r="C16114" s="4" t="n">
        <v>11</v>
      </c>
      <c r="D16114" s="4" t="n">
        <v>4</v>
      </c>
      <c r="E16114" s="4" t="s">
        <v>7275</v>
      </c>
      <c r="F16114" s="4" t="n">
        <v>58</v>
      </c>
      <c r="G16114" s="4" t="n">
        <v>1</v>
      </c>
      <c r="H16114" s="4" t="n">
        <v>1</v>
      </c>
      <c r="I16114" s="4" t="str">
        <v>○</v>
      </c>
      <c r="J16114" s="4" t="n">
        <v>110</v>
      </c>
      <c r="K16114" s="4"/>
      <c r="L16114" s="4"/>
      <c r="M16114" s="7" t="s">
        <v>6871</v>
      </c>
    </row>
    <row r="16115" customFormat="false" ht="15.75" hidden="false" customHeight="false" outlineLevel="0" collapsed="false">
      <c r="A16115" s="6" t="n">
        <f aca="false">DATE(2026,5,2)</f>
        <v>46144</v>
      </c>
      <c r="B16115" s="4" t="s">
        <v>5435</v>
      </c>
      <c r="C16115" s="4" t="n">
        <v>11</v>
      </c>
      <c r="D16115" s="4" t="n">
        <v>5</v>
      </c>
      <c r="E16115" s="4" t="s">
        <v>3406</v>
      </c>
      <c r="F16115" s="4" t="n">
        <v>34</v>
      </c>
      <c r="G16115" s="4" t="n">
        <v>4</v>
      </c>
      <c r="H16115" s="4" t="n">
        <v>4</v>
      </c>
      <c r="I16115" s="4" t="str">
        <v>×</v>
      </c>
      <c r="J16115" s="4"/>
      <c r="K16115" s="4"/>
      <c r="L16115" s="4"/>
      <c r="M16115" s="7" t="s">
        <v>6871</v>
      </c>
    </row>
    <row r="16116" customFormat="false" ht="15.75" hidden="false" customHeight="false" outlineLevel="0" collapsed="false">
      <c r="A16116" s="6" t="n">
        <f aca="false">DATE(2026,5,2)</f>
        <v>46144</v>
      </c>
      <c r="B16116" s="4" t="s">
        <v>5435</v>
      </c>
      <c r="C16116" s="4" t="n">
        <v>11</v>
      </c>
      <c r="D16116" s="4" t="n">
        <v>6</v>
      </c>
      <c r="E16116" s="4" t="s">
        <v>106</v>
      </c>
      <c r="F16116" s="4" t="n">
        <v>13</v>
      </c>
      <c r="G16116" s="4" t="n">
        <v>9</v>
      </c>
      <c r="H16116" s="4" t="n">
        <v>4</v>
      </c>
      <c r="I16116" s="4" t="str">
        <v>×</v>
      </c>
      <c r="J16116" s="4"/>
      <c r="K16116" s="4"/>
      <c r="L16116" s="4"/>
      <c r="M16116" s="7" t="s">
        <v>6871</v>
      </c>
    </row>
    <row r="16117" customFormat="false" ht="15.75" hidden="false" customHeight="false" outlineLevel="0" collapsed="false">
      <c r="A16117" s="6" t="n">
        <f aca="false">DATE(2026,5,2)</f>
        <v>46144</v>
      </c>
      <c r="B16117" s="4" t="s">
        <v>5435</v>
      </c>
      <c r="C16117" s="4" t="n">
        <v>11</v>
      </c>
      <c r="D16117" s="4" t="n">
        <v>7</v>
      </c>
      <c r="E16117" s="4" t="s">
        <v>7276</v>
      </c>
      <c r="F16117" s="4" t="n">
        <v>23</v>
      </c>
      <c r="G16117" s="4" t="n">
        <v>7</v>
      </c>
      <c r="H16117" s="4" t="n">
        <v>4</v>
      </c>
      <c r="I16117" s="4" t="str">
        <v>×</v>
      </c>
      <c r="J16117" s="4"/>
      <c r="K16117" s="4"/>
      <c r="L16117" s="4"/>
      <c r="M16117" s="7" t="s">
        <v>6871</v>
      </c>
    </row>
    <row r="16118" customFormat="false" ht="15.75" hidden="false" customHeight="false" outlineLevel="0" collapsed="false">
      <c r="A16118" s="6" t="n">
        <f aca="false">DATE(2026,5,2)</f>
        <v>46144</v>
      </c>
      <c r="B16118" s="4" t="s">
        <v>5435</v>
      </c>
      <c r="C16118" s="4" t="n">
        <v>11</v>
      </c>
      <c r="D16118" s="4" t="n">
        <v>8</v>
      </c>
      <c r="E16118" s="4" t="s">
        <v>2628</v>
      </c>
      <c r="F16118" s="4" t="n">
        <v>6</v>
      </c>
      <c r="G16118" s="4" t="n">
        <v>10</v>
      </c>
      <c r="H16118" s="4" t="n">
        <v>4</v>
      </c>
      <c r="I16118" s="4" t="str">
        <v>×</v>
      </c>
      <c r="J16118" s="4"/>
      <c r="K16118" s="4"/>
      <c r="L16118" s="4"/>
      <c r="M16118" s="7" t="s">
        <v>6871</v>
      </c>
    </row>
    <row r="16119" customFormat="false" ht="15.75" hidden="false" customHeight="false" outlineLevel="0" collapsed="false">
      <c r="A16119" s="6" t="n">
        <f aca="false">DATE(2026,5,2)</f>
        <v>46144</v>
      </c>
      <c r="B16119" s="4" t="s">
        <v>5435</v>
      </c>
      <c r="C16119" s="4" t="n">
        <v>11</v>
      </c>
      <c r="D16119" s="4" t="n">
        <v>9</v>
      </c>
      <c r="E16119" s="4" t="s">
        <v>5958</v>
      </c>
      <c r="F16119" s="4" t="n">
        <v>31</v>
      </c>
      <c r="G16119" s="4" t="n">
        <v>5</v>
      </c>
      <c r="H16119" s="4" t="n">
        <v>4</v>
      </c>
      <c r="I16119" s="4" t="str">
        <v>×</v>
      </c>
      <c r="J16119" s="4"/>
      <c r="K16119" s="4"/>
      <c r="L16119" s="4"/>
      <c r="M16119" s="7" t="s">
        <v>6871</v>
      </c>
    </row>
    <row r="16120" customFormat="false" ht="15.75" hidden="false" customHeight="false" outlineLevel="0" collapsed="false">
      <c r="A16120" s="6" t="n">
        <f aca="false">DATE(2026,5,2)</f>
        <v>46144</v>
      </c>
      <c r="B16120" s="4" t="s">
        <v>5435</v>
      </c>
      <c r="C16120" s="4" t="n">
        <v>11</v>
      </c>
      <c r="D16120" s="4" t="n">
        <v>10</v>
      </c>
      <c r="E16120" s="4" t="s">
        <v>4951</v>
      </c>
      <c r="F16120" s="4" t="n">
        <v>39</v>
      </c>
      <c r="G16120" s="4" t="n">
        <v>3</v>
      </c>
      <c r="H16120" s="4" t="n">
        <v>4</v>
      </c>
      <c r="I16120" s="4" t="str">
        <v>×</v>
      </c>
      <c r="J16120" s="4"/>
      <c r="K16120" s="4"/>
      <c r="L16120" s="4"/>
      <c r="M16120" s="7" t="s">
        <v>6871</v>
      </c>
    </row>
    <row r="16121" customFormat="false" ht="15.75" hidden="false" customHeight="false" outlineLevel="0" collapsed="false">
      <c r="A16121" s="6" t="n">
        <f aca="false">DATE(2026,5,2)</f>
        <v>46144</v>
      </c>
      <c r="B16121" s="4" t="s">
        <v>5435</v>
      </c>
      <c r="C16121" s="4" t="n">
        <v>11</v>
      </c>
      <c r="D16121" s="4" t="n">
        <v>11</v>
      </c>
      <c r="E16121" s="4" t="s">
        <v>6925</v>
      </c>
      <c r="F16121" s="4" t="n">
        <v>58</v>
      </c>
      <c r="G16121" s="4" t="n">
        <v>2</v>
      </c>
      <c r="H16121" s="4" t="n">
        <v>2</v>
      </c>
      <c r="I16121" s="4" t="str">
        <v>○</v>
      </c>
      <c r="J16121" s="4" t="n">
        <v>110</v>
      </c>
      <c r="K16121" s="4"/>
      <c r="L16121" s="4"/>
      <c r="M16121" s="7" t="s">
        <v>6871</v>
      </c>
    </row>
    <row r="16122" customFormat="false" ht="15.75" hidden="false" customHeight="false" outlineLevel="0" collapsed="false">
      <c r="A16122" s="6" t="n">
        <f aca="false">DATE(2026,5,2)</f>
        <v>46144</v>
      </c>
      <c r="B16122" s="4" t="s">
        <v>5435</v>
      </c>
      <c r="C16122" s="4" t="n">
        <v>11</v>
      </c>
      <c r="D16122" s="4" t="n">
        <v>12</v>
      </c>
      <c r="E16122" s="4" t="s">
        <v>3922</v>
      </c>
      <c r="F16122" s="4" t="n">
        <v>3</v>
      </c>
      <c r="G16122" s="4" t="n">
        <v>12</v>
      </c>
      <c r="H16122" s="4" t="n">
        <v>4</v>
      </c>
      <c r="I16122" s="4" t="str">
        <v>×</v>
      </c>
      <c r="J16122" s="4"/>
      <c r="K16122" s="4"/>
      <c r="L16122" s="4"/>
      <c r="M16122" s="7" t="s">
        <v>6871</v>
      </c>
    </row>
    <row r="16123" customFormat="false" ht="15.75" hidden="false" customHeight="false" outlineLevel="0" collapsed="false">
      <c r="A16123" s="6" t="n">
        <f aca="false">DATE(2026,5,2)</f>
        <v>46144</v>
      </c>
      <c r="B16123" s="4" t="s">
        <v>5435</v>
      </c>
      <c r="C16123" s="4" t="n">
        <v>12</v>
      </c>
      <c r="D16123" s="4" t="n">
        <v>1</v>
      </c>
      <c r="E16123" s="4" t="s">
        <v>5949</v>
      </c>
      <c r="F16123" s="4" t="n">
        <v>44</v>
      </c>
      <c r="G16123" s="4" t="n">
        <v>3</v>
      </c>
      <c r="H16123" s="4" t="n">
        <v>3</v>
      </c>
      <c r="I16123" s="4" t="str">
        <v>○</v>
      </c>
      <c r="J16123" s="4" t="n">
        <v>190</v>
      </c>
      <c r="K16123" s="4"/>
      <c r="L16123" s="4"/>
      <c r="M16123" s="7" t="s">
        <v>6871</v>
      </c>
    </row>
    <row r="16124" customFormat="false" ht="15.75" hidden="false" customHeight="false" outlineLevel="0" collapsed="false">
      <c r="A16124" s="6" t="n">
        <f aca="false">DATE(2026,5,2)</f>
        <v>46144</v>
      </c>
      <c r="B16124" s="4" t="s">
        <v>5435</v>
      </c>
      <c r="C16124" s="4" t="n">
        <v>12</v>
      </c>
      <c r="D16124" s="4" t="n">
        <v>2</v>
      </c>
      <c r="E16124" s="4" t="s">
        <v>2108</v>
      </c>
      <c r="F16124" s="4" t="n">
        <v>23</v>
      </c>
      <c r="G16124" s="4" t="n">
        <v>6</v>
      </c>
      <c r="H16124" s="4" t="n">
        <v>4</v>
      </c>
      <c r="I16124" s="4" t="str">
        <v>×</v>
      </c>
      <c r="J16124" s="4"/>
      <c r="K16124" s="4"/>
      <c r="L16124" s="4"/>
      <c r="M16124" s="7" t="s">
        <v>6871</v>
      </c>
    </row>
    <row r="16125" customFormat="false" ht="15.75" hidden="false" customHeight="false" outlineLevel="0" collapsed="false">
      <c r="A16125" s="6" t="n">
        <f aca="false">DATE(2026,5,2)</f>
        <v>46144</v>
      </c>
      <c r="B16125" s="4" t="s">
        <v>5435</v>
      </c>
      <c r="C16125" s="4" t="n">
        <v>12</v>
      </c>
      <c r="D16125" s="4" t="n">
        <v>3</v>
      </c>
      <c r="E16125" s="4" t="s">
        <v>2549</v>
      </c>
      <c r="F16125" s="4" t="n">
        <v>8</v>
      </c>
      <c r="G16125" s="4" t="n">
        <v>8</v>
      </c>
      <c r="H16125" s="4" t="n">
        <v>4</v>
      </c>
      <c r="I16125" s="4" t="str">
        <v>×</v>
      </c>
      <c r="J16125" s="4"/>
      <c r="K16125" s="4"/>
      <c r="L16125" s="4"/>
      <c r="M16125" s="7" t="s">
        <v>6871</v>
      </c>
    </row>
    <row r="16126" customFormat="false" ht="15.75" hidden="false" customHeight="false" outlineLevel="0" collapsed="false">
      <c r="A16126" s="6" t="n">
        <f aca="false">DATE(2026,5,2)</f>
        <v>46144</v>
      </c>
      <c r="B16126" s="4" t="s">
        <v>5435</v>
      </c>
      <c r="C16126" s="4" t="n">
        <v>12</v>
      </c>
      <c r="D16126" s="4" t="n">
        <v>4</v>
      </c>
      <c r="E16126" s="4" t="s">
        <v>85</v>
      </c>
      <c r="F16126" s="4" t="n">
        <v>20</v>
      </c>
      <c r="G16126" s="4" t="n">
        <v>7</v>
      </c>
      <c r="H16126" s="4" t="n">
        <v>1</v>
      </c>
      <c r="I16126" s="4" t="str">
        <v>○</v>
      </c>
      <c r="J16126" s="4" t="n">
        <v>290</v>
      </c>
      <c r="K16126" s="4"/>
      <c r="L16126" s="4"/>
      <c r="M16126" s="7" t="s">
        <v>6871</v>
      </c>
    </row>
    <row r="16127" customFormat="false" ht="15.75" hidden="false" customHeight="false" outlineLevel="0" collapsed="false">
      <c r="A16127" s="6" t="n">
        <f aca="false">DATE(2026,5,2)</f>
        <v>46144</v>
      </c>
      <c r="B16127" s="4" t="s">
        <v>5435</v>
      </c>
      <c r="C16127" s="4" t="n">
        <v>12</v>
      </c>
      <c r="D16127" s="4" t="n">
        <v>5</v>
      </c>
      <c r="E16127" s="4" t="s">
        <v>7277</v>
      </c>
      <c r="F16127" s="4" t="n">
        <v>67</v>
      </c>
      <c r="G16127" s="4" t="n">
        <v>1</v>
      </c>
      <c r="H16127" s="4" t="n">
        <v>2</v>
      </c>
      <c r="I16127" s="4" t="str">
        <v>○</v>
      </c>
      <c r="J16127" s="4" t="n">
        <v>110</v>
      </c>
      <c r="K16127" s="4"/>
      <c r="L16127" s="4"/>
      <c r="M16127" s="7" t="s">
        <v>6871</v>
      </c>
    </row>
    <row r="16128" customFormat="false" ht="15.75" hidden="false" customHeight="false" outlineLevel="0" collapsed="false">
      <c r="A16128" s="6" t="n">
        <f aca="false">DATE(2026,5,2)</f>
        <v>46144</v>
      </c>
      <c r="B16128" s="4" t="s">
        <v>5435</v>
      </c>
      <c r="C16128" s="4" t="n">
        <v>12</v>
      </c>
      <c r="D16128" s="4" t="n">
        <v>6</v>
      </c>
      <c r="E16128" s="4" t="s">
        <v>6245</v>
      </c>
      <c r="F16128" s="4" t="n">
        <v>47</v>
      </c>
      <c r="G16128" s="4" t="n">
        <v>2</v>
      </c>
      <c r="H16128" s="4" t="n">
        <v>4</v>
      </c>
      <c r="I16128" s="4" t="str">
        <v>×</v>
      </c>
      <c r="J16128" s="4"/>
      <c r="K16128" s="4"/>
      <c r="L16128" s="4"/>
      <c r="M16128" s="7" t="s">
        <v>6871</v>
      </c>
    </row>
    <row r="16129" customFormat="false" ht="15.75" hidden="false" customHeight="false" outlineLevel="0" collapsed="false">
      <c r="A16129" s="6" t="n">
        <f aca="false">DATE(2026,5,2)</f>
        <v>46144</v>
      </c>
      <c r="B16129" s="4" t="s">
        <v>5435</v>
      </c>
      <c r="C16129" s="4" t="n">
        <v>12</v>
      </c>
      <c r="D16129" s="4" t="n">
        <v>7</v>
      </c>
      <c r="E16129" s="4" t="s">
        <v>4638</v>
      </c>
      <c r="F16129" s="4" t="n">
        <v>29</v>
      </c>
      <c r="G16129" s="4" t="n">
        <v>5</v>
      </c>
      <c r="H16129" s="4" t="n">
        <v>4</v>
      </c>
      <c r="I16129" s="4" t="str">
        <v>×</v>
      </c>
      <c r="J16129" s="4"/>
      <c r="K16129" s="4"/>
      <c r="L16129" s="4"/>
      <c r="M16129" s="7" t="s">
        <v>6871</v>
      </c>
    </row>
    <row r="16130" customFormat="false" ht="15.75" hidden="false" customHeight="false" outlineLevel="0" collapsed="false">
      <c r="A16130" s="6" t="n">
        <f aca="false">DATE(2026,5,2)</f>
        <v>46144</v>
      </c>
      <c r="B16130" s="4" t="s">
        <v>5435</v>
      </c>
      <c r="C16130" s="4" t="n">
        <v>12</v>
      </c>
      <c r="D16130" s="4" t="n">
        <v>8</v>
      </c>
      <c r="E16130" s="4" t="s">
        <v>7278</v>
      </c>
      <c r="F16130" s="4" t="n">
        <v>4</v>
      </c>
      <c r="G16130" s="4" t="n">
        <v>9</v>
      </c>
      <c r="H16130" s="4" t="n">
        <v>4</v>
      </c>
      <c r="I16130" s="4" t="str">
        <v>×</v>
      </c>
      <c r="J16130" s="4"/>
      <c r="K16130" s="4"/>
      <c r="L16130" s="4"/>
      <c r="M16130" s="7" t="s">
        <v>6871</v>
      </c>
    </row>
    <row r="16131" customFormat="false" ht="15.75" hidden="false" customHeight="false" outlineLevel="0" collapsed="false">
      <c r="A16131" s="6" t="n">
        <f aca="false">DATE(2026,5,2)</f>
        <v>46144</v>
      </c>
      <c r="B16131" s="4" t="s">
        <v>5435</v>
      </c>
      <c r="C16131" s="4" t="n">
        <v>12</v>
      </c>
      <c r="D16131" s="4" t="n">
        <v>9</v>
      </c>
      <c r="E16131" s="4" t="s">
        <v>5696</v>
      </c>
      <c r="F16131" s="4" t="n">
        <v>41</v>
      </c>
      <c r="G16131" s="4" t="n">
        <v>4</v>
      </c>
      <c r="H16131" s="4" t="n">
        <v>4</v>
      </c>
      <c r="I16131" s="4" t="str">
        <v>×</v>
      </c>
      <c r="J16131" s="4"/>
      <c r="K16131" s="4"/>
      <c r="L16131" s="4"/>
      <c r="M16131" s="7" t="s">
        <v>6871</v>
      </c>
    </row>
    <row r="16132" customFormat="false" ht="15.75" hidden="false" customHeight="false" outlineLevel="0" collapsed="false">
      <c r="A16132" s="6" t="n">
        <f aca="false">DATE(2026,5,2)</f>
        <v>46144</v>
      </c>
      <c r="B16132" s="4" t="s">
        <v>5435</v>
      </c>
      <c r="C16132" s="4" t="n">
        <v>12</v>
      </c>
      <c r="D16132" s="4" t="n">
        <v>10</v>
      </c>
      <c r="E16132" s="4" t="s">
        <v>7279</v>
      </c>
      <c r="F16132" s="4" t="n">
        <v>4</v>
      </c>
      <c r="G16132" s="4" t="n">
        <v>10</v>
      </c>
      <c r="H16132" s="4" t="n">
        <v>4</v>
      </c>
      <c r="I16132" s="4" t="str">
        <v>×</v>
      </c>
      <c r="J16132" s="4"/>
      <c r="K16132" s="4"/>
      <c r="L16132" s="4"/>
      <c r="M16132" s="7" t="s">
        <v>6871</v>
      </c>
    </row>
    <row r="16133" customFormat="false" ht="15.75" hidden="false" customHeight="false" outlineLevel="0" collapsed="false">
      <c r="A16133" s="6" t="n">
        <f aca="false">DATE(2026,5,2)</f>
        <v>46144</v>
      </c>
      <c r="B16133" s="4" t="s">
        <v>13</v>
      </c>
      <c r="C16133" s="4" t="n">
        <v>1</v>
      </c>
      <c r="D16133" s="4" t="n">
        <v>1</v>
      </c>
      <c r="E16133" s="4" t="s">
        <v>5747</v>
      </c>
      <c r="F16133" s="4" t="n">
        <v>6</v>
      </c>
      <c r="G16133" s="4" t="n">
        <v>12</v>
      </c>
      <c r="H16133" s="4" t="n">
        <v>4</v>
      </c>
      <c r="I16133" s="4" t="str">
        <v>×</v>
      </c>
      <c r="J16133" s="4"/>
      <c r="K16133" s="4"/>
      <c r="L16133" s="4"/>
      <c r="M16133" s="7" t="s">
        <v>6871</v>
      </c>
    </row>
    <row r="16134" customFormat="false" ht="15.75" hidden="false" customHeight="false" outlineLevel="0" collapsed="false">
      <c r="A16134" s="6" t="n">
        <f aca="false">DATE(2026,5,2)</f>
        <v>46144</v>
      </c>
      <c r="B16134" s="4" t="s">
        <v>13</v>
      </c>
      <c r="C16134" s="4" t="n">
        <v>1</v>
      </c>
      <c r="D16134" s="4" t="n">
        <v>2</v>
      </c>
      <c r="E16134" s="4" t="s">
        <v>2141</v>
      </c>
      <c r="F16134" s="4" t="n">
        <v>8</v>
      </c>
      <c r="G16134" s="4" t="n">
        <v>11</v>
      </c>
      <c r="H16134" s="4" t="n">
        <v>4</v>
      </c>
      <c r="I16134" s="4" t="str">
        <v>×</v>
      </c>
      <c r="J16134" s="4"/>
      <c r="K16134" s="4"/>
      <c r="L16134" s="4"/>
      <c r="M16134" s="7" t="s">
        <v>6871</v>
      </c>
    </row>
    <row r="16135" customFormat="false" ht="15.75" hidden="false" customHeight="false" outlineLevel="0" collapsed="false">
      <c r="A16135" s="6" t="n">
        <f aca="false">DATE(2026,5,2)</f>
        <v>46144</v>
      </c>
      <c r="B16135" s="4" t="s">
        <v>13</v>
      </c>
      <c r="C16135" s="4" t="n">
        <v>1</v>
      </c>
      <c r="D16135" s="4" t="n">
        <v>3</v>
      </c>
      <c r="E16135" s="4" t="s">
        <v>583</v>
      </c>
      <c r="F16135" s="4" t="n">
        <v>6</v>
      </c>
      <c r="G16135" s="4" t="n">
        <v>13</v>
      </c>
      <c r="H16135" s="4" t="n">
        <v>4</v>
      </c>
      <c r="I16135" s="4" t="str">
        <v>×</v>
      </c>
      <c r="J16135" s="4"/>
      <c r="K16135" s="4"/>
      <c r="L16135" s="4"/>
      <c r="M16135" s="7" t="s">
        <v>6871</v>
      </c>
    </row>
    <row r="16136" customFormat="false" ht="15.75" hidden="false" customHeight="false" outlineLevel="0" collapsed="false">
      <c r="A16136" s="6" t="n">
        <f aca="false">DATE(2026,5,2)</f>
        <v>46144</v>
      </c>
      <c r="B16136" s="4" t="s">
        <v>13</v>
      </c>
      <c r="C16136" s="4" t="n">
        <v>1</v>
      </c>
      <c r="D16136" s="4" t="n">
        <v>4</v>
      </c>
      <c r="E16136" s="4" t="s">
        <v>6912</v>
      </c>
      <c r="F16136" s="4" t="n">
        <v>37</v>
      </c>
      <c r="G16136" s="4" t="n">
        <v>4</v>
      </c>
      <c r="H16136" s="4" t="n">
        <v>4</v>
      </c>
      <c r="I16136" s="4" t="str">
        <v>×</v>
      </c>
      <c r="J16136" s="4"/>
      <c r="K16136" s="4"/>
      <c r="L16136" s="4"/>
      <c r="M16136" s="7" t="s">
        <v>6871</v>
      </c>
    </row>
    <row r="16137" customFormat="false" ht="15.75" hidden="false" customHeight="false" outlineLevel="0" collapsed="false">
      <c r="A16137" s="6" t="n">
        <f aca="false">DATE(2026,5,2)</f>
        <v>46144</v>
      </c>
      <c r="B16137" s="4" t="s">
        <v>13</v>
      </c>
      <c r="C16137" s="4" t="n">
        <v>1</v>
      </c>
      <c r="D16137" s="4" t="n">
        <v>5</v>
      </c>
      <c r="E16137" s="4" t="s">
        <v>7280</v>
      </c>
      <c r="F16137" s="4" t="n">
        <v>31</v>
      </c>
      <c r="G16137" s="4" t="n">
        <v>6</v>
      </c>
      <c r="H16137" s="4" t="n">
        <v>4</v>
      </c>
      <c r="I16137" s="4" t="str">
        <v>×</v>
      </c>
      <c r="J16137" s="4"/>
      <c r="K16137" s="4"/>
      <c r="L16137" s="4"/>
      <c r="M16137" s="7" t="s">
        <v>6871</v>
      </c>
    </row>
    <row r="16138" customFormat="false" ht="15.75" hidden="false" customHeight="false" outlineLevel="0" collapsed="false">
      <c r="A16138" s="6" t="n">
        <f aca="false">DATE(2026,5,2)</f>
        <v>46144</v>
      </c>
      <c r="B16138" s="4" t="s">
        <v>13</v>
      </c>
      <c r="C16138" s="4" t="n">
        <v>1</v>
      </c>
      <c r="D16138" s="4" t="n">
        <v>6</v>
      </c>
      <c r="E16138" s="4" t="s">
        <v>4787</v>
      </c>
      <c r="F16138" s="4" t="n">
        <v>6</v>
      </c>
      <c r="G16138" s="4" t="n">
        <v>14</v>
      </c>
      <c r="H16138" s="4" t="n">
        <v>4</v>
      </c>
      <c r="I16138" s="4" t="str">
        <v>×</v>
      </c>
      <c r="J16138" s="4"/>
      <c r="K16138" s="4"/>
      <c r="L16138" s="4"/>
      <c r="M16138" s="7" t="s">
        <v>6871</v>
      </c>
    </row>
    <row r="16139" customFormat="false" ht="15.75" hidden="false" customHeight="false" outlineLevel="0" collapsed="false">
      <c r="A16139" s="6" t="n">
        <f aca="false">DATE(2026,5,2)</f>
        <v>46144</v>
      </c>
      <c r="B16139" s="4" t="s">
        <v>13</v>
      </c>
      <c r="C16139" s="4" t="n">
        <v>1</v>
      </c>
      <c r="D16139" s="4" t="n">
        <v>7</v>
      </c>
      <c r="E16139" s="4" t="s">
        <v>5522</v>
      </c>
      <c r="F16139" s="4" t="n">
        <v>44</v>
      </c>
      <c r="G16139" s="4" t="n">
        <v>2</v>
      </c>
      <c r="H16139" s="4" t="n">
        <v>1</v>
      </c>
      <c r="I16139" s="4" t="str">
        <v>○</v>
      </c>
      <c r="J16139" s="4" t="n">
        <v>150</v>
      </c>
      <c r="K16139" s="4"/>
      <c r="L16139" s="4"/>
      <c r="M16139" s="7" t="s">
        <v>6871</v>
      </c>
    </row>
    <row r="16140" customFormat="false" ht="15.75" hidden="false" customHeight="false" outlineLevel="0" collapsed="false">
      <c r="A16140" s="6" t="n">
        <f aca="false">DATE(2026,5,2)</f>
        <v>46144</v>
      </c>
      <c r="B16140" s="4" t="s">
        <v>13</v>
      </c>
      <c r="C16140" s="4" t="n">
        <v>1</v>
      </c>
      <c r="D16140" s="4" t="n">
        <v>8</v>
      </c>
      <c r="E16140" s="4" t="s">
        <v>581</v>
      </c>
      <c r="F16140" s="4" t="n">
        <v>14</v>
      </c>
      <c r="G16140" s="4" t="n">
        <v>10</v>
      </c>
      <c r="H16140" s="4" t="n">
        <v>2</v>
      </c>
      <c r="I16140" s="4" t="str">
        <v>○</v>
      </c>
      <c r="J16140" s="4" t="n">
        <v>380</v>
      </c>
      <c r="K16140" s="4"/>
      <c r="L16140" s="4"/>
      <c r="M16140" s="7" t="s">
        <v>6871</v>
      </c>
    </row>
    <row r="16141" customFormat="false" ht="15.75" hidden="false" customHeight="false" outlineLevel="0" collapsed="false">
      <c r="A16141" s="6" t="n">
        <f aca="false">DATE(2026,5,2)</f>
        <v>46144</v>
      </c>
      <c r="B16141" s="4" t="s">
        <v>13</v>
      </c>
      <c r="C16141" s="4" t="n">
        <v>1</v>
      </c>
      <c r="D16141" s="4" t="n">
        <v>9</v>
      </c>
      <c r="E16141" s="4" t="s">
        <v>6818</v>
      </c>
      <c r="F16141" s="4" t="n">
        <v>16</v>
      </c>
      <c r="G16141" s="4" t="n">
        <v>9</v>
      </c>
      <c r="H16141" s="4" t="n">
        <v>4</v>
      </c>
      <c r="I16141" s="4" t="str">
        <v>×</v>
      </c>
      <c r="J16141" s="4"/>
      <c r="K16141" s="4"/>
      <c r="L16141" s="4"/>
      <c r="M16141" s="7" t="s">
        <v>6871</v>
      </c>
    </row>
    <row r="16142" customFormat="false" ht="15.75" hidden="false" customHeight="false" outlineLevel="0" collapsed="false">
      <c r="A16142" s="6" t="n">
        <f aca="false">DATE(2026,5,2)</f>
        <v>46144</v>
      </c>
      <c r="B16142" s="4" t="s">
        <v>13</v>
      </c>
      <c r="C16142" s="4" t="n">
        <v>1</v>
      </c>
      <c r="D16142" s="4" t="n">
        <v>10</v>
      </c>
      <c r="E16142" s="4" t="s">
        <v>1097</v>
      </c>
      <c r="F16142" s="4" t="n">
        <v>24</v>
      </c>
      <c r="G16142" s="4" t="n">
        <v>8</v>
      </c>
      <c r="H16142" s="4" t="n">
        <v>4</v>
      </c>
      <c r="I16142" s="4" t="str">
        <v>×</v>
      </c>
      <c r="J16142" s="4"/>
      <c r="K16142" s="4"/>
      <c r="L16142" s="4"/>
      <c r="M16142" s="7" t="s">
        <v>6871</v>
      </c>
    </row>
    <row r="16143" customFormat="false" ht="15.75" hidden="false" customHeight="false" outlineLevel="0" collapsed="false">
      <c r="A16143" s="6" t="n">
        <f aca="false">DATE(2026,5,2)</f>
        <v>46144</v>
      </c>
      <c r="B16143" s="4" t="s">
        <v>13</v>
      </c>
      <c r="C16143" s="4" t="n">
        <v>1</v>
      </c>
      <c r="D16143" s="4" t="n">
        <v>11</v>
      </c>
      <c r="E16143" s="4" t="s">
        <v>6816</v>
      </c>
      <c r="F16143" s="4" t="n">
        <v>37</v>
      </c>
      <c r="G16143" s="4" t="n">
        <v>5</v>
      </c>
      <c r="H16143" s="4" t="n">
        <v>3</v>
      </c>
      <c r="I16143" s="4" t="str">
        <v>○</v>
      </c>
      <c r="J16143" s="4" t="n">
        <v>160</v>
      </c>
      <c r="K16143" s="4"/>
      <c r="L16143" s="4"/>
      <c r="M16143" s="7" t="s">
        <v>6871</v>
      </c>
    </row>
    <row r="16144" customFormat="false" ht="15.75" hidden="false" customHeight="false" outlineLevel="0" collapsed="false">
      <c r="A16144" s="6" t="n">
        <f aca="false">DATE(2026,5,2)</f>
        <v>46144</v>
      </c>
      <c r="B16144" s="4" t="s">
        <v>13</v>
      </c>
      <c r="C16144" s="4" t="n">
        <v>1</v>
      </c>
      <c r="D16144" s="4" t="n">
        <v>12</v>
      </c>
      <c r="E16144" s="4" t="s">
        <v>2812</v>
      </c>
      <c r="F16144" s="4" t="n">
        <v>44</v>
      </c>
      <c r="G16144" s="4" t="n">
        <v>3</v>
      </c>
      <c r="H16144" s="4" t="n">
        <v>4</v>
      </c>
      <c r="I16144" s="4" t="str">
        <v>×</v>
      </c>
      <c r="J16144" s="4"/>
      <c r="K16144" s="4"/>
      <c r="L16144" s="4"/>
      <c r="M16144" s="7" t="s">
        <v>6871</v>
      </c>
    </row>
    <row r="16145" customFormat="false" ht="15.75" hidden="false" customHeight="false" outlineLevel="0" collapsed="false">
      <c r="A16145" s="6" t="n">
        <f aca="false">DATE(2026,5,2)</f>
        <v>46144</v>
      </c>
      <c r="B16145" s="4" t="s">
        <v>13</v>
      </c>
      <c r="C16145" s="4" t="n">
        <v>1</v>
      </c>
      <c r="D16145" s="4" t="n">
        <v>13</v>
      </c>
      <c r="E16145" s="4" t="s">
        <v>4412</v>
      </c>
      <c r="F16145" s="4" t="n">
        <v>31</v>
      </c>
      <c r="G16145" s="4" t="n">
        <v>7</v>
      </c>
      <c r="H16145" s="4" t="n">
        <v>4</v>
      </c>
      <c r="I16145" s="4" t="str">
        <v>×</v>
      </c>
      <c r="J16145" s="4"/>
      <c r="K16145" s="4"/>
      <c r="L16145" s="4"/>
      <c r="M16145" s="7" t="s">
        <v>6871</v>
      </c>
    </row>
    <row r="16146" customFormat="false" ht="15.75" hidden="false" customHeight="false" outlineLevel="0" collapsed="false">
      <c r="A16146" s="6" t="n">
        <f aca="false">DATE(2026,5,2)</f>
        <v>46144</v>
      </c>
      <c r="B16146" s="4" t="s">
        <v>13</v>
      </c>
      <c r="C16146" s="4" t="n">
        <v>1</v>
      </c>
      <c r="D16146" s="4" t="n">
        <v>14</v>
      </c>
      <c r="E16146" s="4" t="s">
        <v>4267</v>
      </c>
      <c r="F16146" s="4" t="n">
        <v>55</v>
      </c>
      <c r="G16146" s="4" t="n">
        <v>1</v>
      </c>
      <c r="H16146" s="4" t="n">
        <v>4</v>
      </c>
      <c r="I16146" s="4" t="str">
        <v>×</v>
      </c>
      <c r="J16146" s="4"/>
      <c r="K16146" s="4"/>
      <c r="L16146" s="4"/>
      <c r="M16146" s="7" t="s">
        <v>6871</v>
      </c>
    </row>
    <row r="16147" customFormat="false" ht="15.75" hidden="false" customHeight="false" outlineLevel="0" collapsed="false">
      <c r="A16147" s="6" t="n">
        <f aca="false">DATE(2026,5,2)</f>
        <v>46144</v>
      </c>
      <c r="B16147" s="4" t="s">
        <v>13</v>
      </c>
      <c r="C16147" s="4" t="n">
        <v>2</v>
      </c>
      <c r="D16147" s="4" t="n">
        <v>1</v>
      </c>
      <c r="E16147" s="4" t="s">
        <v>209</v>
      </c>
      <c r="F16147" s="4" t="n">
        <v>31</v>
      </c>
      <c r="G16147" s="4" t="n">
        <v>4</v>
      </c>
      <c r="H16147" s="4" t="n">
        <v>4</v>
      </c>
      <c r="I16147" s="4" t="str">
        <v>×</v>
      </c>
      <c r="J16147" s="4"/>
      <c r="K16147" s="4"/>
      <c r="L16147" s="4"/>
      <c r="M16147" s="7" t="s">
        <v>6871</v>
      </c>
    </row>
    <row r="16148" customFormat="false" ht="15.75" hidden="false" customHeight="false" outlineLevel="0" collapsed="false">
      <c r="A16148" s="6" t="n">
        <f aca="false">DATE(2026,5,2)</f>
        <v>46144</v>
      </c>
      <c r="B16148" s="4" t="s">
        <v>13</v>
      </c>
      <c r="C16148" s="4" t="n">
        <v>2</v>
      </c>
      <c r="D16148" s="4" t="n">
        <v>2</v>
      </c>
      <c r="E16148" s="4" t="s">
        <v>2452</v>
      </c>
      <c r="F16148" s="4" t="n">
        <v>2</v>
      </c>
      <c r="G16148" s="4" t="n">
        <v>15</v>
      </c>
      <c r="H16148" s="4" t="n">
        <v>4</v>
      </c>
      <c r="I16148" s="4" t="str">
        <v>×</v>
      </c>
      <c r="J16148" s="4"/>
      <c r="K16148" s="4"/>
      <c r="L16148" s="4"/>
      <c r="M16148" s="7" t="s">
        <v>6871</v>
      </c>
    </row>
    <row r="16149" customFormat="false" ht="15.75" hidden="false" customHeight="false" outlineLevel="0" collapsed="false">
      <c r="A16149" s="6" t="n">
        <f aca="false">DATE(2026,5,2)</f>
        <v>46144</v>
      </c>
      <c r="B16149" s="4" t="s">
        <v>13</v>
      </c>
      <c r="C16149" s="4" t="n">
        <v>2</v>
      </c>
      <c r="D16149" s="4" t="n">
        <v>3</v>
      </c>
      <c r="E16149" s="4" t="s">
        <v>4122</v>
      </c>
      <c r="F16149" s="4" t="n">
        <v>8</v>
      </c>
      <c r="G16149" s="4" t="n">
        <v>11</v>
      </c>
      <c r="H16149" s="4" t="n">
        <v>4</v>
      </c>
      <c r="I16149" s="4" t="str">
        <v>×</v>
      </c>
      <c r="J16149" s="4"/>
      <c r="K16149" s="4"/>
      <c r="L16149" s="4"/>
      <c r="M16149" s="7" t="s">
        <v>6871</v>
      </c>
    </row>
    <row r="16150" customFormat="false" ht="15.75" hidden="false" customHeight="false" outlineLevel="0" collapsed="false">
      <c r="A16150" s="6" t="n">
        <f aca="false">DATE(2026,5,2)</f>
        <v>46144</v>
      </c>
      <c r="B16150" s="4" t="s">
        <v>13</v>
      </c>
      <c r="C16150" s="4" t="n">
        <v>2</v>
      </c>
      <c r="D16150" s="4" t="n">
        <v>4</v>
      </c>
      <c r="E16150" s="4" t="s">
        <v>1747</v>
      </c>
      <c r="F16150" s="4" t="n">
        <v>15</v>
      </c>
      <c r="G16150" s="4" t="n">
        <v>8</v>
      </c>
      <c r="H16150" s="4" t="n">
        <v>2</v>
      </c>
      <c r="I16150" s="4" t="str">
        <v>○</v>
      </c>
      <c r="J16150" s="4" t="n">
        <v>560</v>
      </c>
      <c r="K16150" s="4"/>
      <c r="L16150" s="4"/>
      <c r="M16150" s="7" t="s">
        <v>6871</v>
      </c>
    </row>
    <row r="16151" customFormat="false" ht="15.75" hidden="false" customHeight="false" outlineLevel="0" collapsed="false">
      <c r="A16151" s="6" t="n">
        <f aca="false">DATE(2026,5,2)</f>
        <v>46144</v>
      </c>
      <c r="B16151" s="4" t="s">
        <v>13</v>
      </c>
      <c r="C16151" s="4" t="n">
        <v>2</v>
      </c>
      <c r="D16151" s="4" t="n">
        <v>5</v>
      </c>
      <c r="E16151" s="4" t="s">
        <v>5166</v>
      </c>
      <c r="F16151" s="4" t="n">
        <v>25</v>
      </c>
      <c r="G16151" s="4" t="n">
        <v>5</v>
      </c>
      <c r="H16151" s="4" t="n">
        <v>1</v>
      </c>
      <c r="I16151" s="4" t="str">
        <v>○</v>
      </c>
      <c r="J16151" s="4" t="n">
        <v>190</v>
      </c>
      <c r="K16151" s="4"/>
      <c r="L16151" s="4"/>
      <c r="M16151" s="7" t="s">
        <v>6871</v>
      </c>
    </row>
    <row r="16152" customFormat="false" ht="15.75" hidden="false" customHeight="false" outlineLevel="0" collapsed="false">
      <c r="A16152" s="6" t="n">
        <f aca="false">DATE(2026,5,2)</f>
        <v>46144</v>
      </c>
      <c r="B16152" s="4" t="s">
        <v>13</v>
      </c>
      <c r="C16152" s="4" t="n">
        <v>2</v>
      </c>
      <c r="D16152" s="4" t="n">
        <v>6</v>
      </c>
      <c r="E16152" s="4" t="s">
        <v>1596</v>
      </c>
      <c r="F16152" s="4" t="n">
        <v>17</v>
      </c>
      <c r="G16152" s="4" t="n">
        <v>6</v>
      </c>
      <c r="H16152" s="4" t="n">
        <v>3</v>
      </c>
      <c r="I16152" s="4" t="str">
        <v>○</v>
      </c>
      <c r="J16152" s="4" t="n">
        <v>230</v>
      </c>
      <c r="K16152" s="4"/>
      <c r="L16152" s="4"/>
      <c r="M16152" s="7" t="s">
        <v>6871</v>
      </c>
    </row>
    <row r="16153" customFormat="false" ht="15.75" hidden="false" customHeight="false" outlineLevel="0" collapsed="false">
      <c r="A16153" s="6" t="n">
        <f aca="false">DATE(2026,5,2)</f>
        <v>46144</v>
      </c>
      <c r="B16153" s="4" t="s">
        <v>13</v>
      </c>
      <c r="C16153" s="4" t="n">
        <v>2</v>
      </c>
      <c r="D16153" s="4" t="n">
        <v>7</v>
      </c>
      <c r="E16153" s="4" t="s">
        <v>6469</v>
      </c>
      <c r="F16153" s="4" t="n">
        <v>41</v>
      </c>
      <c r="G16153" s="4" t="n">
        <v>2</v>
      </c>
      <c r="H16153" s="4" t="n">
        <v>4</v>
      </c>
      <c r="I16153" s="4" t="str">
        <v>×</v>
      </c>
      <c r="J16153" s="4"/>
      <c r="K16153" s="4"/>
      <c r="L16153" s="4"/>
      <c r="M16153" s="7" t="s">
        <v>6871</v>
      </c>
    </row>
    <row r="16154" customFormat="false" ht="15.75" hidden="false" customHeight="false" outlineLevel="0" collapsed="false">
      <c r="A16154" s="6" t="n">
        <f aca="false">DATE(2026,5,2)</f>
        <v>46144</v>
      </c>
      <c r="B16154" s="4" t="s">
        <v>13</v>
      </c>
      <c r="C16154" s="4" t="n">
        <v>2</v>
      </c>
      <c r="D16154" s="4" t="n">
        <v>8</v>
      </c>
      <c r="E16154" s="4" t="s">
        <v>7281</v>
      </c>
      <c r="F16154" s="4" t="n">
        <v>10</v>
      </c>
      <c r="G16154" s="4" t="n">
        <v>9</v>
      </c>
      <c r="H16154" s="4" t="n">
        <v>4</v>
      </c>
      <c r="I16154" s="4" t="str">
        <v>×</v>
      </c>
      <c r="J16154" s="4"/>
      <c r="K16154" s="4"/>
      <c r="L16154" s="4"/>
      <c r="M16154" s="7" t="s">
        <v>6871</v>
      </c>
    </row>
    <row r="16155" customFormat="false" ht="15.75" hidden="false" customHeight="false" outlineLevel="0" collapsed="false">
      <c r="A16155" s="6" t="n">
        <f aca="false">DATE(2026,5,2)</f>
        <v>46144</v>
      </c>
      <c r="B16155" s="4" t="s">
        <v>13</v>
      </c>
      <c r="C16155" s="4" t="n">
        <v>2</v>
      </c>
      <c r="D16155" s="4" t="n">
        <v>9</v>
      </c>
      <c r="E16155" s="4" t="s">
        <v>7282</v>
      </c>
      <c r="F16155" s="4" t="n">
        <v>3</v>
      </c>
      <c r="G16155" s="4" t="n">
        <v>13</v>
      </c>
      <c r="H16155" s="4" t="n">
        <v>4</v>
      </c>
      <c r="I16155" s="4" t="str">
        <v>×</v>
      </c>
      <c r="J16155" s="4"/>
      <c r="K16155" s="4"/>
      <c r="L16155" s="4"/>
      <c r="M16155" s="7" t="s">
        <v>6871</v>
      </c>
    </row>
    <row r="16156" customFormat="false" ht="15.75" hidden="false" customHeight="false" outlineLevel="0" collapsed="false">
      <c r="A16156" s="6" t="n">
        <f aca="false">DATE(2026,5,2)</f>
        <v>46144</v>
      </c>
      <c r="B16156" s="4" t="s">
        <v>13</v>
      </c>
      <c r="C16156" s="4" t="n">
        <v>2</v>
      </c>
      <c r="D16156" s="4" t="n">
        <v>10</v>
      </c>
      <c r="E16156" s="4" t="s">
        <v>2036</v>
      </c>
      <c r="F16156" s="4" t="n">
        <v>71</v>
      </c>
      <c r="G16156" s="4" t="n">
        <v>1</v>
      </c>
      <c r="H16156" s="4" t="n">
        <v>4</v>
      </c>
      <c r="I16156" s="4" t="str">
        <v>×</v>
      </c>
      <c r="J16156" s="4"/>
      <c r="K16156" s="4"/>
      <c r="L16156" s="4"/>
      <c r="M16156" s="7" t="s">
        <v>6871</v>
      </c>
    </row>
    <row r="16157" customFormat="false" ht="15.75" hidden="false" customHeight="false" outlineLevel="0" collapsed="false">
      <c r="A16157" s="6" t="n">
        <f aca="false">DATE(2026,5,2)</f>
        <v>46144</v>
      </c>
      <c r="B16157" s="4" t="s">
        <v>13</v>
      </c>
      <c r="C16157" s="4" t="n">
        <v>2</v>
      </c>
      <c r="D16157" s="4" t="n">
        <v>11</v>
      </c>
      <c r="E16157" s="4" t="s">
        <v>1423</v>
      </c>
      <c r="F16157" s="4" t="n">
        <v>34</v>
      </c>
      <c r="G16157" s="4" t="n">
        <v>3</v>
      </c>
      <c r="H16157" s="4" t="n">
        <v>4</v>
      </c>
      <c r="I16157" s="4" t="str">
        <v>×</v>
      </c>
      <c r="J16157" s="4"/>
      <c r="K16157" s="4"/>
      <c r="L16157" s="4"/>
      <c r="M16157" s="7" t="s">
        <v>6871</v>
      </c>
    </row>
    <row r="16158" customFormat="false" ht="15.75" hidden="false" customHeight="false" outlineLevel="0" collapsed="false">
      <c r="A16158" s="6" t="n">
        <f aca="false">DATE(2026,5,2)</f>
        <v>46144</v>
      </c>
      <c r="B16158" s="4" t="s">
        <v>13</v>
      </c>
      <c r="C16158" s="4" t="n">
        <v>2</v>
      </c>
      <c r="D16158" s="4" t="n">
        <v>12</v>
      </c>
      <c r="E16158" s="4" t="s">
        <v>5233</v>
      </c>
      <c r="F16158" s="4" t="n">
        <v>4</v>
      </c>
      <c r="G16158" s="4" t="n">
        <v>12</v>
      </c>
      <c r="H16158" s="4" t="n">
        <v>4</v>
      </c>
      <c r="I16158" s="4" t="str">
        <v>×</v>
      </c>
      <c r="J16158" s="4"/>
      <c r="K16158" s="4"/>
      <c r="L16158" s="4"/>
      <c r="M16158" s="7" t="s">
        <v>6871</v>
      </c>
    </row>
    <row r="16159" customFormat="false" ht="15.75" hidden="false" customHeight="false" outlineLevel="0" collapsed="false">
      <c r="A16159" s="6" t="n">
        <f aca="false">DATE(2026,5,2)</f>
        <v>46144</v>
      </c>
      <c r="B16159" s="4" t="s">
        <v>13</v>
      </c>
      <c r="C16159" s="4" t="n">
        <v>2</v>
      </c>
      <c r="D16159" s="4" t="n">
        <v>13</v>
      </c>
      <c r="E16159" s="4" t="s">
        <v>1592</v>
      </c>
      <c r="F16159" s="4" t="n">
        <v>17</v>
      </c>
      <c r="G16159" s="4" t="n">
        <v>7</v>
      </c>
      <c r="H16159" s="4" t="n">
        <v>4</v>
      </c>
      <c r="I16159" s="4" t="str">
        <v>×</v>
      </c>
      <c r="J16159" s="4"/>
      <c r="K16159" s="4"/>
      <c r="L16159" s="4"/>
      <c r="M16159" s="7" t="s">
        <v>6871</v>
      </c>
    </row>
    <row r="16160" customFormat="false" ht="15.75" hidden="false" customHeight="false" outlineLevel="0" collapsed="false">
      <c r="A16160" s="6" t="n">
        <f aca="false">DATE(2026,5,2)</f>
        <v>46144</v>
      </c>
      <c r="B16160" s="4" t="s">
        <v>13</v>
      </c>
      <c r="C16160" s="4" t="n">
        <v>2</v>
      </c>
      <c r="D16160" s="4" t="n">
        <v>14</v>
      </c>
      <c r="E16160" s="4" t="s">
        <v>7283</v>
      </c>
      <c r="F16160" s="4" t="n">
        <v>3</v>
      </c>
      <c r="G16160" s="4" t="n">
        <v>14</v>
      </c>
      <c r="H16160" s="4" t="n">
        <v>4</v>
      </c>
      <c r="I16160" s="4" t="str">
        <v>×</v>
      </c>
      <c r="J16160" s="4"/>
      <c r="K16160" s="4"/>
      <c r="L16160" s="4"/>
      <c r="M16160" s="7" t="s">
        <v>6871</v>
      </c>
    </row>
    <row r="16161" customFormat="false" ht="15.75" hidden="false" customHeight="false" outlineLevel="0" collapsed="false">
      <c r="A16161" s="6" t="n">
        <f aca="false">DATE(2026,5,2)</f>
        <v>46144</v>
      </c>
      <c r="B16161" s="4" t="s">
        <v>13</v>
      </c>
      <c r="C16161" s="4" t="n">
        <v>2</v>
      </c>
      <c r="D16161" s="4" t="n">
        <v>15</v>
      </c>
      <c r="E16161" s="4" t="s">
        <v>136</v>
      </c>
      <c r="F16161" s="4" t="n">
        <v>10</v>
      </c>
      <c r="G16161" s="4" t="n">
        <v>10</v>
      </c>
      <c r="H16161" s="4" t="n">
        <v>4</v>
      </c>
      <c r="I16161" s="4" t="str">
        <v>×</v>
      </c>
      <c r="J16161" s="4"/>
      <c r="K16161" s="4"/>
      <c r="L16161" s="4"/>
      <c r="M16161" s="7" t="s">
        <v>6871</v>
      </c>
    </row>
    <row r="16162" customFormat="false" ht="15.75" hidden="false" customHeight="false" outlineLevel="0" collapsed="false">
      <c r="A16162" s="6" t="n">
        <f aca="false">DATE(2026,5,2)</f>
        <v>46144</v>
      </c>
      <c r="B16162" s="4" t="s">
        <v>13</v>
      </c>
      <c r="C16162" s="4" t="n">
        <v>3</v>
      </c>
      <c r="D16162" s="4" t="n">
        <v>1</v>
      </c>
      <c r="E16162" s="4" t="s">
        <v>967</v>
      </c>
      <c r="F16162" s="4" t="n">
        <v>8</v>
      </c>
      <c r="G16162" s="4" t="n">
        <v>8</v>
      </c>
      <c r="H16162" s="4" t="n">
        <v>4</v>
      </c>
      <c r="I16162" s="4" t="str">
        <v>×</v>
      </c>
      <c r="J16162" s="4"/>
      <c r="K16162" s="4"/>
      <c r="L16162" s="4"/>
      <c r="M16162" s="7" t="s">
        <v>6871</v>
      </c>
    </row>
    <row r="16163" customFormat="false" ht="15.75" hidden="false" customHeight="false" outlineLevel="0" collapsed="false">
      <c r="A16163" s="6" t="n">
        <f aca="false">DATE(2026,5,2)</f>
        <v>46144</v>
      </c>
      <c r="B16163" s="4" t="s">
        <v>13</v>
      </c>
      <c r="C16163" s="4" t="n">
        <v>3</v>
      </c>
      <c r="D16163" s="4" t="n">
        <v>2</v>
      </c>
      <c r="E16163" s="4" t="s">
        <v>782</v>
      </c>
      <c r="F16163" s="4" t="n">
        <v>4</v>
      </c>
      <c r="G16163" s="4" t="n">
        <v>11</v>
      </c>
      <c r="H16163" s="4" t="n">
        <v>4</v>
      </c>
      <c r="I16163" s="4" t="str">
        <v>×</v>
      </c>
      <c r="J16163" s="4"/>
      <c r="K16163" s="4"/>
      <c r="L16163" s="4"/>
      <c r="M16163" s="7" t="s">
        <v>6871</v>
      </c>
    </row>
    <row r="16164" customFormat="false" ht="15.75" hidden="false" customHeight="false" outlineLevel="0" collapsed="false">
      <c r="A16164" s="6" t="n">
        <f aca="false">DATE(2026,5,2)</f>
        <v>46144</v>
      </c>
      <c r="B16164" s="4" t="s">
        <v>13</v>
      </c>
      <c r="C16164" s="4" t="n">
        <v>3</v>
      </c>
      <c r="D16164" s="4" t="n">
        <v>3</v>
      </c>
      <c r="E16164" s="4" t="s">
        <v>50</v>
      </c>
      <c r="F16164" s="4" t="n">
        <v>50</v>
      </c>
      <c r="G16164" s="4" t="n">
        <v>2</v>
      </c>
      <c r="H16164" s="4" t="n">
        <v>3</v>
      </c>
      <c r="I16164" s="4" t="str">
        <v>○</v>
      </c>
      <c r="J16164" s="4" t="n">
        <v>160</v>
      </c>
      <c r="K16164" s="4"/>
      <c r="L16164" s="4"/>
      <c r="M16164" s="7" t="s">
        <v>6871</v>
      </c>
    </row>
    <row r="16165" customFormat="false" ht="15.75" hidden="false" customHeight="false" outlineLevel="0" collapsed="false">
      <c r="A16165" s="6" t="n">
        <f aca="false">DATE(2026,5,2)</f>
        <v>46144</v>
      </c>
      <c r="B16165" s="4" t="s">
        <v>13</v>
      </c>
      <c r="C16165" s="4" t="n">
        <v>3</v>
      </c>
      <c r="D16165" s="4" t="n">
        <v>4</v>
      </c>
      <c r="E16165" s="4" t="s">
        <v>3266</v>
      </c>
      <c r="F16165" s="4" t="n">
        <v>39</v>
      </c>
      <c r="G16165" s="4" t="n">
        <v>3</v>
      </c>
      <c r="H16165" s="4" t="n">
        <v>2</v>
      </c>
      <c r="I16165" s="4" t="str">
        <v>○</v>
      </c>
      <c r="J16165" s="4" t="n">
        <v>160</v>
      </c>
      <c r="K16165" s="4"/>
      <c r="L16165" s="4"/>
      <c r="M16165" s="7" t="s">
        <v>6871</v>
      </c>
    </row>
    <row r="16166" customFormat="false" ht="15.75" hidden="false" customHeight="false" outlineLevel="0" collapsed="false">
      <c r="A16166" s="6" t="n">
        <f aca="false">DATE(2026,5,2)</f>
        <v>46144</v>
      </c>
      <c r="B16166" s="4" t="s">
        <v>13</v>
      </c>
      <c r="C16166" s="4" t="n">
        <v>3</v>
      </c>
      <c r="D16166" s="4" t="n">
        <v>5</v>
      </c>
      <c r="E16166" s="4" t="s">
        <v>7284</v>
      </c>
      <c r="F16166" s="4" t="n">
        <v>6</v>
      </c>
      <c r="G16166" s="4" t="n">
        <v>9</v>
      </c>
      <c r="H16166" s="4" t="n">
        <v>4</v>
      </c>
      <c r="I16166" s="4" t="str">
        <v>×</v>
      </c>
      <c r="J16166" s="4"/>
      <c r="K16166" s="4"/>
      <c r="L16166" s="4"/>
      <c r="M16166" s="7" t="s">
        <v>6871</v>
      </c>
    </row>
    <row r="16167" customFormat="false" ht="15.75" hidden="false" customHeight="false" outlineLevel="0" collapsed="false">
      <c r="A16167" s="6" t="n">
        <f aca="false">DATE(2026,5,2)</f>
        <v>46144</v>
      </c>
      <c r="B16167" s="4" t="s">
        <v>13</v>
      </c>
      <c r="C16167" s="4" t="n">
        <v>3</v>
      </c>
      <c r="D16167" s="4" t="n">
        <v>6</v>
      </c>
      <c r="E16167" s="4" t="s">
        <v>2623</v>
      </c>
      <c r="F16167" s="4" t="n">
        <v>65</v>
      </c>
      <c r="G16167" s="4" t="n">
        <v>1</v>
      </c>
      <c r="H16167" s="4" t="n">
        <v>4</v>
      </c>
      <c r="I16167" s="4" t="str">
        <v>×</v>
      </c>
      <c r="J16167" s="4"/>
      <c r="K16167" s="4"/>
      <c r="L16167" s="4"/>
      <c r="M16167" s="7" t="s">
        <v>6871</v>
      </c>
    </row>
    <row r="16168" customFormat="false" ht="15.75" hidden="false" customHeight="false" outlineLevel="0" collapsed="false">
      <c r="A16168" s="6" t="n">
        <f aca="false">DATE(2026,5,2)</f>
        <v>46144</v>
      </c>
      <c r="B16168" s="4" t="s">
        <v>13</v>
      </c>
      <c r="C16168" s="4" t="n">
        <v>3</v>
      </c>
      <c r="D16168" s="4" t="n">
        <v>7</v>
      </c>
      <c r="E16168" s="4" t="s">
        <v>2222</v>
      </c>
      <c r="F16168" s="4" t="n">
        <v>20</v>
      </c>
      <c r="G16168" s="4" t="n">
        <v>5</v>
      </c>
      <c r="H16168" s="4" t="n">
        <v>4</v>
      </c>
      <c r="I16168" s="4" t="str">
        <v>×</v>
      </c>
      <c r="J16168" s="4"/>
      <c r="K16168" s="4"/>
      <c r="L16168" s="4"/>
      <c r="M16168" s="7" t="s">
        <v>6871</v>
      </c>
    </row>
    <row r="16169" customFormat="false" ht="15.75" hidden="false" customHeight="false" outlineLevel="0" collapsed="false">
      <c r="A16169" s="6" t="n">
        <f aca="false">DATE(2026,5,2)</f>
        <v>46144</v>
      </c>
      <c r="B16169" s="4" t="s">
        <v>13</v>
      </c>
      <c r="C16169" s="4" t="n">
        <v>3</v>
      </c>
      <c r="D16169" s="4" t="n">
        <v>8</v>
      </c>
      <c r="E16169" s="4" t="s">
        <v>528</v>
      </c>
      <c r="F16169" s="4" t="n">
        <v>39</v>
      </c>
      <c r="G16169" s="4" t="n">
        <v>4</v>
      </c>
      <c r="H16169" s="4" t="n">
        <v>1</v>
      </c>
      <c r="I16169" s="4" t="str">
        <v>○</v>
      </c>
      <c r="J16169" s="4" t="n">
        <v>160</v>
      </c>
      <c r="K16169" s="4"/>
      <c r="L16169" s="4"/>
      <c r="M16169" s="7" t="s">
        <v>6871</v>
      </c>
    </row>
    <row r="16170" customFormat="false" ht="15.75" hidden="false" customHeight="false" outlineLevel="0" collapsed="false">
      <c r="A16170" s="6" t="n">
        <f aca="false">DATE(2026,5,2)</f>
        <v>46144</v>
      </c>
      <c r="B16170" s="4" t="s">
        <v>13</v>
      </c>
      <c r="C16170" s="4" t="n">
        <v>3</v>
      </c>
      <c r="D16170" s="4" t="n">
        <v>9</v>
      </c>
      <c r="E16170" s="4" t="s">
        <v>1286</v>
      </c>
      <c r="F16170" s="4" t="n">
        <v>13</v>
      </c>
      <c r="G16170" s="4" t="n">
        <v>6</v>
      </c>
      <c r="H16170" s="4" t="n">
        <v>4</v>
      </c>
      <c r="I16170" s="4" t="str">
        <v>×</v>
      </c>
      <c r="J16170" s="4"/>
      <c r="K16170" s="4"/>
      <c r="L16170" s="4"/>
      <c r="M16170" s="7" t="s">
        <v>6871</v>
      </c>
    </row>
    <row r="16171" customFormat="false" ht="15.75" hidden="false" customHeight="false" outlineLevel="0" collapsed="false">
      <c r="A16171" s="6" t="n">
        <f aca="false">DATE(2026,5,2)</f>
        <v>46144</v>
      </c>
      <c r="B16171" s="4" t="s">
        <v>13</v>
      </c>
      <c r="C16171" s="4" t="n">
        <v>3</v>
      </c>
      <c r="D16171" s="4" t="n">
        <v>10</v>
      </c>
      <c r="E16171" s="4" t="s">
        <v>5734</v>
      </c>
      <c r="F16171" s="4" t="n">
        <v>6</v>
      </c>
      <c r="G16171" s="4" t="n">
        <v>10</v>
      </c>
      <c r="H16171" s="4" t="n">
        <v>4</v>
      </c>
      <c r="I16171" s="4" t="str">
        <v>×</v>
      </c>
      <c r="J16171" s="4"/>
      <c r="K16171" s="4"/>
      <c r="L16171" s="4"/>
      <c r="M16171" s="7" t="s">
        <v>6871</v>
      </c>
    </row>
    <row r="16172" customFormat="false" ht="15.75" hidden="false" customHeight="false" outlineLevel="0" collapsed="false">
      <c r="A16172" s="6" t="n">
        <f aca="false">DATE(2026,5,2)</f>
        <v>46144</v>
      </c>
      <c r="B16172" s="4" t="s">
        <v>13</v>
      </c>
      <c r="C16172" s="4" t="n">
        <v>3</v>
      </c>
      <c r="D16172" s="4" t="n">
        <v>11</v>
      </c>
      <c r="E16172" s="4" t="s">
        <v>7285</v>
      </c>
      <c r="F16172" s="4" t="n">
        <v>4</v>
      </c>
      <c r="G16172" s="4" t="n">
        <v>12</v>
      </c>
      <c r="H16172" s="4" t="n">
        <v>4</v>
      </c>
      <c r="I16172" s="4" t="str">
        <v>×</v>
      </c>
      <c r="J16172" s="4"/>
      <c r="K16172" s="4"/>
      <c r="L16172" s="4"/>
      <c r="M16172" s="7" t="s">
        <v>6871</v>
      </c>
    </row>
    <row r="16173" customFormat="false" ht="15.75" hidden="false" customHeight="false" outlineLevel="0" collapsed="false">
      <c r="A16173" s="6" t="n">
        <f aca="false">DATE(2026,5,2)</f>
        <v>46144</v>
      </c>
      <c r="B16173" s="4" t="s">
        <v>13</v>
      </c>
      <c r="C16173" s="4" t="n">
        <v>3</v>
      </c>
      <c r="D16173" s="4" t="n">
        <v>12</v>
      </c>
      <c r="E16173" s="4" t="s">
        <v>7286</v>
      </c>
      <c r="F16173" s="4" t="n">
        <v>4</v>
      </c>
      <c r="G16173" s="4" t="n">
        <v>13</v>
      </c>
      <c r="H16173" s="4" t="n">
        <v>4</v>
      </c>
      <c r="I16173" s="4" t="str">
        <v>×</v>
      </c>
      <c r="J16173" s="4"/>
      <c r="K16173" s="4"/>
      <c r="L16173" s="4"/>
      <c r="M16173" s="7" t="s">
        <v>6871</v>
      </c>
    </row>
    <row r="16174" customFormat="false" ht="15.75" hidden="false" customHeight="false" outlineLevel="0" collapsed="false">
      <c r="A16174" s="6" t="n">
        <f aca="false">DATE(2026,5,2)</f>
        <v>46144</v>
      </c>
      <c r="B16174" s="4" t="s">
        <v>13</v>
      </c>
      <c r="C16174" s="4" t="n">
        <v>3</v>
      </c>
      <c r="D16174" s="4" t="n">
        <v>13</v>
      </c>
      <c r="E16174" s="4" t="s">
        <v>243</v>
      </c>
      <c r="F16174" s="4" t="n">
        <v>4</v>
      </c>
      <c r="G16174" s="4" t="n">
        <v>14</v>
      </c>
      <c r="H16174" s="4" t="n">
        <v>4</v>
      </c>
      <c r="I16174" s="4" t="str">
        <v>×</v>
      </c>
      <c r="J16174" s="4"/>
      <c r="K16174" s="4"/>
      <c r="L16174" s="4"/>
      <c r="M16174" s="7" t="s">
        <v>6871</v>
      </c>
    </row>
    <row r="16175" customFormat="false" ht="15.75" hidden="false" customHeight="false" outlineLevel="0" collapsed="false">
      <c r="A16175" s="6" t="n">
        <f aca="false">DATE(2026,5,2)</f>
        <v>46144</v>
      </c>
      <c r="B16175" s="4" t="s">
        <v>13</v>
      </c>
      <c r="C16175" s="4" t="n">
        <v>3</v>
      </c>
      <c r="D16175" s="4" t="n">
        <v>14</v>
      </c>
      <c r="E16175" s="4" t="s">
        <v>2199</v>
      </c>
      <c r="F16175" s="4" t="n">
        <v>10</v>
      </c>
      <c r="G16175" s="4" t="n">
        <v>7</v>
      </c>
      <c r="H16175" s="4" t="n">
        <v>4</v>
      </c>
      <c r="I16175" s="4" t="str">
        <v>×</v>
      </c>
      <c r="J16175" s="4"/>
      <c r="K16175" s="4"/>
      <c r="L16175" s="4"/>
      <c r="M16175" s="7" t="s">
        <v>6871</v>
      </c>
    </row>
    <row r="16176" customFormat="false" ht="15.75" hidden="false" customHeight="false" outlineLevel="0" collapsed="false">
      <c r="A16176" s="6" t="n">
        <f aca="false">DATE(2026,5,2)</f>
        <v>46144</v>
      </c>
      <c r="B16176" s="4" t="s">
        <v>13</v>
      </c>
      <c r="C16176" s="4" t="n">
        <v>3</v>
      </c>
      <c r="D16176" s="4" t="n">
        <v>15</v>
      </c>
      <c r="E16176" s="4" t="s">
        <v>7287</v>
      </c>
      <c r="F16176" s="4" t="n">
        <v>4</v>
      </c>
      <c r="G16176" s="4" t="n">
        <v>15</v>
      </c>
      <c r="H16176" s="4" t="n">
        <v>4</v>
      </c>
      <c r="I16176" s="4" t="str">
        <v>×</v>
      </c>
      <c r="J16176" s="4"/>
      <c r="K16176" s="4"/>
      <c r="L16176" s="4"/>
      <c r="M16176" s="7" t="s">
        <v>6871</v>
      </c>
    </row>
    <row r="16177" customFormat="false" ht="15.75" hidden="false" customHeight="false" outlineLevel="0" collapsed="false">
      <c r="A16177" s="6" t="n">
        <f aca="false">DATE(2026,5,2)</f>
        <v>46144</v>
      </c>
      <c r="B16177" s="4" t="s">
        <v>13</v>
      </c>
      <c r="C16177" s="4" t="n">
        <v>4</v>
      </c>
      <c r="D16177" s="4" t="n">
        <v>1</v>
      </c>
      <c r="E16177" s="4" t="s">
        <v>4297</v>
      </c>
      <c r="F16177" s="4" t="n">
        <v>44</v>
      </c>
      <c r="G16177" s="4" t="n">
        <v>1</v>
      </c>
      <c r="H16177" s="4" t="n">
        <v>4</v>
      </c>
      <c r="I16177" s="4" t="str">
        <v>×</v>
      </c>
      <c r="J16177" s="4"/>
      <c r="K16177" s="4"/>
      <c r="L16177" s="4"/>
      <c r="M16177" s="7" t="s">
        <v>6871</v>
      </c>
    </row>
    <row r="16178" customFormat="false" ht="15.75" hidden="false" customHeight="false" outlineLevel="0" collapsed="false">
      <c r="A16178" s="6" t="n">
        <f aca="false">DATE(2026,5,2)</f>
        <v>46144</v>
      </c>
      <c r="B16178" s="4" t="s">
        <v>13</v>
      </c>
      <c r="C16178" s="4" t="n">
        <v>4</v>
      </c>
      <c r="D16178" s="4" t="n">
        <v>2</v>
      </c>
      <c r="E16178" s="4" t="s">
        <v>5528</v>
      </c>
      <c r="F16178" s="4" t="n">
        <v>24</v>
      </c>
      <c r="G16178" s="4" t="n">
        <v>10</v>
      </c>
      <c r="H16178" s="4" t="n">
        <v>1</v>
      </c>
      <c r="I16178" s="4" t="str">
        <v>○</v>
      </c>
      <c r="J16178" s="4" t="n">
        <v>1460</v>
      </c>
      <c r="K16178" s="4"/>
      <c r="L16178" s="4"/>
      <c r="M16178" s="7" t="s">
        <v>6871</v>
      </c>
    </row>
    <row r="16179" customFormat="false" ht="15.75" hidden="false" customHeight="false" outlineLevel="0" collapsed="false">
      <c r="A16179" s="6" t="n">
        <f aca="false">DATE(2026,5,2)</f>
        <v>46144</v>
      </c>
      <c r="B16179" s="4" t="s">
        <v>13</v>
      </c>
      <c r="C16179" s="4" t="n">
        <v>4</v>
      </c>
      <c r="D16179" s="4" t="n">
        <v>3</v>
      </c>
      <c r="E16179" s="4" t="s">
        <v>6104</v>
      </c>
      <c r="F16179" s="4" t="n">
        <v>44</v>
      </c>
      <c r="G16179" s="4" t="n">
        <v>2</v>
      </c>
      <c r="H16179" s="4" t="n">
        <v>2</v>
      </c>
      <c r="I16179" s="4" t="str">
        <v>○</v>
      </c>
      <c r="J16179" s="4" t="n">
        <v>180</v>
      </c>
      <c r="K16179" s="4"/>
      <c r="L16179" s="4"/>
      <c r="M16179" s="7" t="s">
        <v>6871</v>
      </c>
    </row>
    <row r="16180" customFormat="false" ht="15.75" hidden="false" customHeight="false" outlineLevel="0" collapsed="false">
      <c r="A16180" s="6" t="n">
        <f aca="false">DATE(2026,5,2)</f>
        <v>46144</v>
      </c>
      <c r="B16180" s="4" t="s">
        <v>13</v>
      </c>
      <c r="C16180" s="4" t="n">
        <v>4</v>
      </c>
      <c r="D16180" s="4" t="n">
        <v>4</v>
      </c>
      <c r="E16180" s="4" t="s">
        <v>128</v>
      </c>
      <c r="F16180" s="4" t="n">
        <v>44</v>
      </c>
      <c r="G16180" s="4" t="n">
        <v>3</v>
      </c>
      <c r="H16180" s="4" t="n">
        <v>4</v>
      </c>
      <c r="I16180" s="4" t="str">
        <v>×</v>
      </c>
      <c r="J16180" s="4"/>
      <c r="K16180" s="4"/>
      <c r="L16180" s="4"/>
      <c r="M16180" s="7" t="s">
        <v>6871</v>
      </c>
    </row>
    <row r="16181" customFormat="false" ht="15.75" hidden="false" customHeight="false" outlineLevel="0" collapsed="false">
      <c r="A16181" s="6" t="n">
        <f aca="false">DATE(2026,5,2)</f>
        <v>46144</v>
      </c>
      <c r="B16181" s="4" t="s">
        <v>13</v>
      </c>
      <c r="C16181" s="4" t="n">
        <v>4</v>
      </c>
      <c r="D16181" s="4" t="n">
        <v>5</v>
      </c>
      <c r="E16181" s="4" t="s">
        <v>7288</v>
      </c>
      <c r="F16181" s="4" t="n">
        <v>44</v>
      </c>
      <c r="G16181" s="4" t="n">
        <v>4</v>
      </c>
      <c r="H16181" s="4" t="n">
        <v>4</v>
      </c>
      <c r="I16181" s="4" t="str">
        <v>×</v>
      </c>
      <c r="J16181" s="4"/>
      <c r="K16181" s="4"/>
      <c r="L16181" s="4"/>
      <c r="M16181" s="7" t="s">
        <v>6871</v>
      </c>
    </row>
    <row r="16182" customFormat="false" ht="15.75" hidden="false" customHeight="false" outlineLevel="0" collapsed="false">
      <c r="A16182" s="6" t="n">
        <f aca="false">DATE(2026,5,2)</f>
        <v>46144</v>
      </c>
      <c r="B16182" s="4" t="s">
        <v>13</v>
      </c>
      <c r="C16182" s="4" t="n">
        <v>4</v>
      </c>
      <c r="D16182" s="4" t="n">
        <v>6</v>
      </c>
      <c r="E16182" s="4" t="s">
        <v>4292</v>
      </c>
      <c r="F16182" s="4" t="n">
        <v>44</v>
      </c>
      <c r="G16182" s="4" t="n">
        <v>5</v>
      </c>
      <c r="H16182" s="4" t="n">
        <v>4</v>
      </c>
      <c r="I16182" s="4" t="str">
        <v>×</v>
      </c>
      <c r="J16182" s="4"/>
      <c r="K16182" s="4"/>
      <c r="L16182" s="4"/>
      <c r="M16182" s="7" t="s">
        <v>6871</v>
      </c>
    </row>
    <row r="16183" customFormat="false" ht="15.75" hidden="false" customHeight="false" outlineLevel="0" collapsed="false">
      <c r="A16183" s="6" t="n">
        <f aca="false">DATE(2026,5,2)</f>
        <v>46144</v>
      </c>
      <c r="B16183" s="4" t="s">
        <v>13</v>
      </c>
      <c r="C16183" s="4" t="n">
        <v>4</v>
      </c>
      <c r="D16183" s="4" t="n">
        <v>7</v>
      </c>
      <c r="E16183" s="4" t="s">
        <v>7289</v>
      </c>
      <c r="F16183" s="4" t="n">
        <v>37</v>
      </c>
      <c r="G16183" s="4" t="n">
        <v>6</v>
      </c>
      <c r="H16183" s="4" t="n">
        <v>4</v>
      </c>
      <c r="I16183" s="4" t="str">
        <v>×</v>
      </c>
      <c r="J16183" s="4"/>
      <c r="K16183" s="4"/>
      <c r="L16183" s="4"/>
      <c r="M16183" s="7" t="s">
        <v>6871</v>
      </c>
    </row>
    <row r="16184" customFormat="false" ht="15.75" hidden="false" customHeight="false" outlineLevel="0" collapsed="false">
      <c r="A16184" s="6" t="n">
        <f aca="false">DATE(2026,5,2)</f>
        <v>46144</v>
      </c>
      <c r="B16184" s="4" t="s">
        <v>13</v>
      </c>
      <c r="C16184" s="4" t="n">
        <v>4</v>
      </c>
      <c r="D16184" s="4" t="n">
        <v>8</v>
      </c>
      <c r="E16184" s="4" t="s">
        <v>6107</v>
      </c>
      <c r="F16184" s="4" t="n">
        <v>24</v>
      </c>
      <c r="G16184" s="4" t="n">
        <v>11</v>
      </c>
      <c r="H16184" s="4" t="n">
        <v>4</v>
      </c>
      <c r="I16184" s="4" t="str">
        <v>×</v>
      </c>
      <c r="J16184" s="4"/>
      <c r="K16184" s="4"/>
      <c r="L16184" s="4"/>
      <c r="M16184" s="7" t="s">
        <v>6871</v>
      </c>
    </row>
    <row r="16185" customFormat="false" ht="15.75" hidden="false" customHeight="false" outlineLevel="0" collapsed="false">
      <c r="A16185" s="6" t="n">
        <f aca="false">DATE(2026,5,2)</f>
        <v>46144</v>
      </c>
      <c r="B16185" s="4" t="s">
        <v>13</v>
      </c>
      <c r="C16185" s="4" t="n">
        <v>4</v>
      </c>
      <c r="D16185" s="4" t="n">
        <v>9</v>
      </c>
      <c r="E16185" s="4" t="s">
        <v>123</v>
      </c>
      <c r="F16185" s="4" t="n">
        <v>31</v>
      </c>
      <c r="G16185" s="4" t="n">
        <v>8</v>
      </c>
      <c r="H16185" s="4" t="n">
        <v>4</v>
      </c>
      <c r="I16185" s="4" t="str">
        <v>×</v>
      </c>
      <c r="J16185" s="4"/>
      <c r="K16185" s="4"/>
      <c r="L16185" s="4"/>
      <c r="M16185" s="7" t="s">
        <v>6871</v>
      </c>
    </row>
    <row r="16186" customFormat="false" ht="15.75" hidden="false" customHeight="false" outlineLevel="0" collapsed="false">
      <c r="A16186" s="6" t="n">
        <f aca="false">DATE(2026,5,2)</f>
        <v>46144</v>
      </c>
      <c r="B16186" s="4" t="s">
        <v>13</v>
      </c>
      <c r="C16186" s="4" t="n">
        <v>4</v>
      </c>
      <c r="D16186" s="4" t="n">
        <v>10</v>
      </c>
      <c r="E16186" s="4" t="s">
        <v>5524</v>
      </c>
      <c r="F16186" s="4" t="n">
        <v>37</v>
      </c>
      <c r="G16186" s="4" t="n">
        <v>7</v>
      </c>
      <c r="H16186" s="4" t="n">
        <v>4</v>
      </c>
      <c r="I16186" s="4" t="str">
        <v>×</v>
      </c>
      <c r="J16186" s="4"/>
      <c r="K16186" s="4"/>
      <c r="L16186" s="4"/>
      <c r="M16186" s="7" t="s">
        <v>6871</v>
      </c>
    </row>
    <row r="16187" customFormat="false" ht="15.75" hidden="false" customHeight="false" outlineLevel="0" collapsed="false">
      <c r="A16187" s="6" t="n">
        <f aca="false">DATE(2026,5,2)</f>
        <v>46144</v>
      </c>
      <c r="B16187" s="4" t="s">
        <v>13</v>
      </c>
      <c r="C16187" s="4" t="n">
        <v>4</v>
      </c>
      <c r="D16187" s="4" t="n">
        <v>11</v>
      </c>
      <c r="E16187" s="4" t="s">
        <v>4298</v>
      </c>
      <c r="F16187" s="4" t="n">
        <v>31</v>
      </c>
      <c r="G16187" s="4" t="n">
        <v>9</v>
      </c>
      <c r="H16187" s="4" t="n">
        <v>3</v>
      </c>
      <c r="I16187" s="4" t="str">
        <v>○</v>
      </c>
      <c r="J16187" s="4" t="n">
        <v>190</v>
      </c>
      <c r="K16187" s="4"/>
      <c r="L16187" s="4"/>
      <c r="M16187" s="7" t="s">
        <v>6871</v>
      </c>
    </row>
    <row r="16188" customFormat="false" ht="15.75" hidden="false" customHeight="false" outlineLevel="0" collapsed="false">
      <c r="A16188" s="6" t="n">
        <f aca="false">DATE(2026,5,2)</f>
        <v>46144</v>
      </c>
      <c r="B16188" s="4" t="s">
        <v>13</v>
      </c>
      <c r="C16188" s="4" t="n">
        <v>5</v>
      </c>
      <c r="D16188" s="4" t="n">
        <v>1</v>
      </c>
      <c r="E16188" s="4" t="s">
        <v>4592</v>
      </c>
      <c r="F16188" s="4" t="n">
        <v>6</v>
      </c>
      <c r="G16188" s="4" t="n">
        <v>10</v>
      </c>
      <c r="H16188" s="4" t="n">
        <v>4</v>
      </c>
      <c r="I16188" s="4" t="str">
        <v>×</v>
      </c>
      <c r="J16188" s="4"/>
      <c r="K16188" s="4"/>
      <c r="L16188" s="4"/>
      <c r="M16188" s="7" t="s">
        <v>6871</v>
      </c>
    </row>
    <row r="16189" customFormat="false" ht="15.75" hidden="false" customHeight="false" outlineLevel="0" collapsed="false">
      <c r="A16189" s="6" t="n">
        <f aca="false">DATE(2026,5,2)</f>
        <v>46144</v>
      </c>
      <c r="B16189" s="4" t="s">
        <v>13</v>
      </c>
      <c r="C16189" s="4" t="n">
        <v>5</v>
      </c>
      <c r="D16189" s="4" t="n">
        <v>2</v>
      </c>
      <c r="E16189" s="4" t="s">
        <v>4104</v>
      </c>
      <c r="F16189" s="4" t="n">
        <v>4</v>
      </c>
      <c r="G16189" s="4" t="n">
        <v>11</v>
      </c>
      <c r="H16189" s="4" t="n">
        <v>4</v>
      </c>
      <c r="I16189" s="4" t="str">
        <v>×</v>
      </c>
      <c r="J16189" s="4"/>
      <c r="K16189" s="4"/>
      <c r="L16189" s="4"/>
      <c r="M16189" s="7" t="s">
        <v>6871</v>
      </c>
    </row>
    <row r="16190" customFormat="false" ht="15.75" hidden="false" customHeight="false" outlineLevel="0" collapsed="false">
      <c r="A16190" s="6" t="n">
        <f aca="false">DATE(2026,5,2)</f>
        <v>46144</v>
      </c>
      <c r="B16190" s="4" t="s">
        <v>13</v>
      </c>
      <c r="C16190" s="4" t="n">
        <v>5</v>
      </c>
      <c r="D16190" s="4" t="n">
        <v>3</v>
      </c>
      <c r="E16190" s="4" t="s">
        <v>7290</v>
      </c>
      <c r="F16190" s="4" t="n">
        <v>4</v>
      </c>
      <c r="G16190" s="4" t="n">
        <v>12</v>
      </c>
      <c r="H16190" s="4" t="n">
        <v>4</v>
      </c>
      <c r="I16190" s="4" t="str">
        <v>×</v>
      </c>
      <c r="J16190" s="4"/>
      <c r="K16190" s="4"/>
      <c r="L16190" s="4"/>
      <c r="M16190" s="7" t="s">
        <v>6871</v>
      </c>
    </row>
    <row r="16191" customFormat="false" ht="15.75" hidden="false" customHeight="false" outlineLevel="0" collapsed="false">
      <c r="A16191" s="6" t="n">
        <f aca="false">DATE(2026,5,2)</f>
        <v>46144</v>
      </c>
      <c r="B16191" s="4" t="s">
        <v>13</v>
      </c>
      <c r="C16191" s="4" t="n">
        <v>5</v>
      </c>
      <c r="D16191" s="4" t="n">
        <v>4</v>
      </c>
      <c r="E16191" s="4" t="s">
        <v>2089</v>
      </c>
      <c r="F16191" s="4" t="n">
        <v>41</v>
      </c>
      <c r="G16191" s="4" t="n">
        <v>2</v>
      </c>
      <c r="H16191" s="4" t="n">
        <v>4</v>
      </c>
      <c r="I16191" s="4" t="str">
        <v>×</v>
      </c>
      <c r="J16191" s="4"/>
      <c r="K16191" s="4"/>
      <c r="L16191" s="4"/>
      <c r="M16191" s="7" t="s">
        <v>6871</v>
      </c>
    </row>
    <row r="16192" customFormat="false" ht="15.75" hidden="false" customHeight="false" outlineLevel="0" collapsed="false">
      <c r="A16192" s="6" t="n">
        <f aca="false">DATE(2026,5,2)</f>
        <v>46144</v>
      </c>
      <c r="B16192" s="4" t="s">
        <v>13</v>
      </c>
      <c r="C16192" s="4" t="n">
        <v>5</v>
      </c>
      <c r="D16192" s="4" t="n">
        <v>5</v>
      </c>
      <c r="E16192" s="4" t="s">
        <v>4379</v>
      </c>
      <c r="F16192" s="4" t="n">
        <v>4</v>
      </c>
      <c r="G16192" s="4" t="n">
        <v>13</v>
      </c>
      <c r="H16192" s="4" t="n">
        <v>4</v>
      </c>
      <c r="I16192" s="4" t="str">
        <v>×</v>
      </c>
      <c r="J16192" s="4"/>
      <c r="K16192" s="4"/>
      <c r="L16192" s="4"/>
      <c r="M16192" s="7" t="s">
        <v>6871</v>
      </c>
    </row>
    <row r="16193" customFormat="false" ht="15.75" hidden="false" customHeight="false" outlineLevel="0" collapsed="false">
      <c r="A16193" s="6" t="n">
        <f aca="false">DATE(2026,5,2)</f>
        <v>46144</v>
      </c>
      <c r="B16193" s="4" t="s">
        <v>13</v>
      </c>
      <c r="C16193" s="4" t="n">
        <v>5</v>
      </c>
      <c r="D16193" s="4" t="n">
        <v>6</v>
      </c>
      <c r="E16193" s="4" t="s">
        <v>2350</v>
      </c>
      <c r="F16193" s="4" t="n">
        <v>4</v>
      </c>
      <c r="G16193" s="4" t="n">
        <v>14</v>
      </c>
      <c r="H16193" s="4" t="n">
        <v>4</v>
      </c>
      <c r="I16193" s="4" t="str">
        <v>×</v>
      </c>
      <c r="J16193" s="4"/>
      <c r="K16193" s="4"/>
      <c r="L16193" s="4"/>
      <c r="M16193" s="7" t="s">
        <v>6871</v>
      </c>
    </row>
    <row r="16194" customFormat="false" ht="15.75" hidden="false" customHeight="false" outlineLevel="0" collapsed="false">
      <c r="A16194" s="6" t="n">
        <f aca="false">DATE(2026,5,2)</f>
        <v>46144</v>
      </c>
      <c r="B16194" s="4" t="s">
        <v>13</v>
      </c>
      <c r="C16194" s="4" t="n">
        <v>5</v>
      </c>
      <c r="D16194" s="4" t="n">
        <v>7</v>
      </c>
      <c r="E16194" s="4" t="s">
        <v>1573</v>
      </c>
      <c r="F16194" s="4" t="n">
        <v>10</v>
      </c>
      <c r="G16194" s="4" t="n">
        <v>6</v>
      </c>
      <c r="H16194" s="4" t="n">
        <v>4</v>
      </c>
      <c r="I16194" s="4" t="str">
        <v>×</v>
      </c>
      <c r="J16194" s="4"/>
      <c r="K16194" s="4"/>
      <c r="L16194" s="4"/>
      <c r="M16194" s="7" t="s">
        <v>6871</v>
      </c>
    </row>
    <row r="16195" customFormat="false" ht="15.75" hidden="false" customHeight="false" outlineLevel="0" collapsed="false">
      <c r="A16195" s="6" t="n">
        <f aca="false">DATE(2026,5,2)</f>
        <v>46144</v>
      </c>
      <c r="B16195" s="4" t="s">
        <v>13</v>
      </c>
      <c r="C16195" s="4" t="n">
        <v>5</v>
      </c>
      <c r="D16195" s="4" t="n">
        <v>8</v>
      </c>
      <c r="E16195" s="4" t="s">
        <v>5817</v>
      </c>
      <c r="F16195" s="4" t="n">
        <v>8</v>
      </c>
      <c r="G16195" s="4" t="n">
        <v>9</v>
      </c>
      <c r="H16195" s="4" t="n">
        <v>4</v>
      </c>
      <c r="I16195" s="4" t="str">
        <v>×</v>
      </c>
      <c r="J16195" s="4"/>
      <c r="K16195" s="4"/>
      <c r="L16195" s="4"/>
      <c r="M16195" s="7" t="s">
        <v>6871</v>
      </c>
    </row>
    <row r="16196" customFormat="false" ht="15.75" hidden="false" customHeight="false" outlineLevel="0" collapsed="false">
      <c r="A16196" s="6" t="n">
        <f aca="false">DATE(2026,5,2)</f>
        <v>46144</v>
      </c>
      <c r="B16196" s="4" t="s">
        <v>13</v>
      </c>
      <c r="C16196" s="4" t="n">
        <v>5</v>
      </c>
      <c r="D16196" s="4" t="n">
        <v>9</v>
      </c>
      <c r="E16196" s="4" t="s">
        <v>3813</v>
      </c>
      <c r="F16196" s="4" t="n">
        <v>67</v>
      </c>
      <c r="G16196" s="4" t="n">
        <v>1</v>
      </c>
      <c r="H16196" s="4" t="n">
        <v>4</v>
      </c>
      <c r="I16196" s="4" t="str">
        <v>×</v>
      </c>
      <c r="J16196" s="4"/>
      <c r="K16196" s="4"/>
      <c r="L16196" s="4"/>
      <c r="M16196" s="7" t="s">
        <v>6871</v>
      </c>
    </row>
    <row r="16197" customFormat="false" ht="15.75" hidden="false" customHeight="false" outlineLevel="0" collapsed="false">
      <c r="A16197" s="6" t="n">
        <f aca="false">DATE(2026,5,2)</f>
        <v>46144</v>
      </c>
      <c r="B16197" s="4" t="s">
        <v>13</v>
      </c>
      <c r="C16197" s="4" t="n">
        <v>5</v>
      </c>
      <c r="D16197" s="4" t="n">
        <v>10</v>
      </c>
      <c r="E16197" s="4" t="s">
        <v>7291</v>
      </c>
      <c r="F16197" s="4" t="n">
        <v>3</v>
      </c>
      <c r="G16197" s="4" t="n">
        <v>15</v>
      </c>
      <c r="H16197" s="4" t="n">
        <v>2</v>
      </c>
      <c r="I16197" s="4" t="str">
        <v>○</v>
      </c>
      <c r="J16197" s="4" t="n">
        <v>1650</v>
      </c>
      <c r="K16197" s="4"/>
      <c r="L16197" s="4"/>
      <c r="M16197" s="7" t="s">
        <v>6871</v>
      </c>
    </row>
    <row r="16198" customFormat="false" ht="15.75" hidden="false" customHeight="false" outlineLevel="0" collapsed="false">
      <c r="A16198" s="6" t="n">
        <f aca="false">DATE(2026,5,2)</f>
        <v>46144</v>
      </c>
      <c r="B16198" s="4" t="s">
        <v>13</v>
      </c>
      <c r="C16198" s="4" t="n">
        <v>5</v>
      </c>
      <c r="D16198" s="4" t="n">
        <v>11</v>
      </c>
      <c r="E16198" s="4" t="s">
        <v>5932</v>
      </c>
      <c r="F16198" s="4" t="n">
        <v>10</v>
      </c>
      <c r="G16198" s="4" t="n">
        <v>7</v>
      </c>
      <c r="H16198" s="4" t="n">
        <v>4</v>
      </c>
      <c r="I16198" s="4" t="str">
        <v>×</v>
      </c>
      <c r="J16198" s="4"/>
      <c r="K16198" s="4"/>
      <c r="L16198" s="4"/>
      <c r="M16198" s="7" t="s">
        <v>6871</v>
      </c>
    </row>
    <row r="16199" customFormat="false" ht="15.75" hidden="false" customHeight="false" outlineLevel="0" collapsed="false">
      <c r="A16199" s="6" t="n">
        <f aca="false">DATE(2026,5,2)</f>
        <v>46144</v>
      </c>
      <c r="B16199" s="4" t="s">
        <v>13</v>
      </c>
      <c r="C16199" s="4" t="n">
        <v>5</v>
      </c>
      <c r="D16199" s="4" t="n">
        <v>12</v>
      </c>
      <c r="E16199" s="4" t="s">
        <v>4117</v>
      </c>
      <c r="F16199" s="4" t="n">
        <v>10</v>
      </c>
      <c r="G16199" s="4" t="n">
        <v>8</v>
      </c>
      <c r="H16199" s="4" t="n">
        <v>4</v>
      </c>
      <c r="I16199" s="4" t="str">
        <v>×</v>
      </c>
      <c r="J16199" s="4"/>
      <c r="K16199" s="4"/>
      <c r="L16199" s="4"/>
      <c r="M16199" s="7" t="s">
        <v>6871</v>
      </c>
    </row>
    <row r="16200" customFormat="false" ht="15.75" hidden="false" customHeight="false" outlineLevel="0" collapsed="false">
      <c r="A16200" s="6" t="n">
        <f aca="false">DATE(2026,5,2)</f>
        <v>46144</v>
      </c>
      <c r="B16200" s="4" t="s">
        <v>13</v>
      </c>
      <c r="C16200" s="4" t="n">
        <v>5</v>
      </c>
      <c r="D16200" s="4" t="n">
        <v>13</v>
      </c>
      <c r="E16200" s="4" t="s">
        <v>5839</v>
      </c>
      <c r="F16200" s="4" t="n">
        <v>23</v>
      </c>
      <c r="G16200" s="4" t="n">
        <v>5</v>
      </c>
      <c r="H16200" s="4" t="n">
        <v>1</v>
      </c>
      <c r="I16200" s="4" t="str">
        <v>○</v>
      </c>
      <c r="J16200" s="4" t="n">
        <v>360</v>
      </c>
      <c r="K16200" s="4"/>
      <c r="L16200" s="4"/>
      <c r="M16200" s="7" t="s">
        <v>6871</v>
      </c>
    </row>
    <row r="16201" customFormat="false" ht="15.75" hidden="false" customHeight="false" outlineLevel="0" collapsed="false">
      <c r="A16201" s="6" t="n">
        <f aca="false">DATE(2026,5,2)</f>
        <v>46144</v>
      </c>
      <c r="B16201" s="4" t="s">
        <v>13</v>
      </c>
      <c r="C16201" s="4" t="n">
        <v>5</v>
      </c>
      <c r="D16201" s="4" t="n">
        <v>14</v>
      </c>
      <c r="E16201" s="4" t="s">
        <v>5143</v>
      </c>
      <c r="F16201" s="4" t="n">
        <v>34</v>
      </c>
      <c r="G16201" s="4" t="n">
        <v>3</v>
      </c>
      <c r="H16201" s="4" t="n">
        <v>4</v>
      </c>
      <c r="I16201" s="4" t="str">
        <v>×</v>
      </c>
      <c r="J16201" s="4"/>
      <c r="K16201" s="4"/>
      <c r="L16201" s="4"/>
      <c r="M16201" s="7" t="s">
        <v>6871</v>
      </c>
    </row>
    <row r="16202" customFormat="false" ht="15.75" hidden="false" customHeight="false" outlineLevel="0" collapsed="false">
      <c r="A16202" s="6" t="n">
        <f aca="false">DATE(2026,5,2)</f>
        <v>46144</v>
      </c>
      <c r="B16202" s="4" t="s">
        <v>13</v>
      </c>
      <c r="C16202" s="4" t="n">
        <v>5</v>
      </c>
      <c r="D16202" s="4" t="n">
        <v>15</v>
      </c>
      <c r="E16202" s="4" t="s">
        <v>4100</v>
      </c>
      <c r="F16202" s="4" t="n">
        <v>29</v>
      </c>
      <c r="G16202" s="4" t="n">
        <v>4</v>
      </c>
      <c r="H16202" s="4" t="n">
        <v>4</v>
      </c>
      <c r="I16202" s="4" t="str">
        <v>×</v>
      </c>
      <c r="J16202" s="4"/>
      <c r="K16202" s="4"/>
      <c r="L16202" s="4"/>
      <c r="M16202" s="7" t="s">
        <v>6871</v>
      </c>
    </row>
    <row r="16203" customFormat="false" ht="15.75" hidden="false" customHeight="false" outlineLevel="0" collapsed="false">
      <c r="A16203" s="6" t="n">
        <f aca="false">DATE(2026,5,2)</f>
        <v>46144</v>
      </c>
      <c r="B16203" s="4" t="s">
        <v>13</v>
      </c>
      <c r="C16203" s="4" t="n">
        <v>5</v>
      </c>
      <c r="D16203" s="4" t="n">
        <v>16</v>
      </c>
      <c r="E16203" s="4" t="s">
        <v>1782</v>
      </c>
      <c r="F16203" s="4" t="n">
        <v>3</v>
      </c>
      <c r="G16203" s="4" t="n">
        <v>16</v>
      </c>
      <c r="H16203" s="4" t="n">
        <v>3</v>
      </c>
      <c r="I16203" s="4" t="str">
        <v>○</v>
      </c>
      <c r="J16203" s="4" t="n">
        <v>4340</v>
      </c>
      <c r="K16203" s="4"/>
      <c r="L16203" s="4"/>
      <c r="M16203" s="7" t="s">
        <v>6871</v>
      </c>
    </row>
    <row r="16204" customFormat="false" ht="15.75" hidden="false" customHeight="false" outlineLevel="0" collapsed="false">
      <c r="A16204" s="6" t="n">
        <f aca="false">DATE(2026,5,2)</f>
        <v>46144</v>
      </c>
      <c r="B16204" s="4" t="s">
        <v>13</v>
      </c>
      <c r="C16204" s="4" t="n">
        <v>6</v>
      </c>
      <c r="D16204" s="4" t="n">
        <v>1</v>
      </c>
      <c r="E16204" s="4" t="s">
        <v>2044</v>
      </c>
      <c r="F16204" s="4" t="n">
        <v>17</v>
      </c>
      <c r="G16204" s="4" t="n">
        <v>7</v>
      </c>
      <c r="H16204" s="4" t="n">
        <v>4</v>
      </c>
      <c r="I16204" s="4" t="str">
        <v>×</v>
      </c>
      <c r="J16204" s="4"/>
      <c r="K16204" s="4"/>
      <c r="L16204" s="4"/>
      <c r="M16204" s="7" t="s">
        <v>6871</v>
      </c>
    </row>
    <row r="16205" customFormat="false" ht="15.75" hidden="false" customHeight="false" outlineLevel="0" collapsed="false">
      <c r="A16205" s="6" t="n">
        <f aca="false">DATE(2026,5,2)</f>
        <v>46144</v>
      </c>
      <c r="B16205" s="4" t="s">
        <v>13</v>
      </c>
      <c r="C16205" s="4" t="n">
        <v>6</v>
      </c>
      <c r="D16205" s="4" t="n">
        <v>2</v>
      </c>
      <c r="E16205" s="4" t="s">
        <v>2834</v>
      </c>
      <c r="F16205" s="4" t="n">
        <v>29</v>
      </c>
      <c r="G16205" s="4" t="n">
        <v>3</v>
      </c>
      <c r="H16205" s="4" t="n">
        <v>4</v>
      </c>
      <c r="I16205" s="4" t="str">
        <v>×</v>
      </c>
      <c r="J16205" s="4"/>
      <c r="K16205" s="4"/>
      <c r="L16205" s="4"/>
      <c r="M16205" s="7" t="s">
        <v>6871</v>
      </c>
    </row>
    <row r="16206" customFormat="false" ht="15.75" hidden="false" customHeight="false" outlineLevel="0" collapsed="false">
      <c r="A16206" s="6" t="n">
        <f aca="false">DATE(2026,5,2)</f>
        <v>46144</v>
      </c>
      <c r="B16206" s="4" t="s">
        <v>13</v>
      </c>
      <c r="C16206" s="4" t="n">
        <v>6</v>
      </c>
      <c r="D16206" s="4" t="n">
        <v>3</v>
      </c>
      <c r="E16206" s="4" t="s">
        <v>1013</v>
      </c>
      <c r="F16206" s="4" t="n">
        <v>23</v>
      </c>
      <c r="G16206" s="4" t="n">
        <v>6</v>
      </c>
      <c r="H16206" s="4" t="n">
        <v>4</v>
      </c>
      <c r="I16206" s="4" t="str">
        <v>×</v>
      </c>
      <c r="J16206" s="4"/>
      <c r="K16206" s="4"/>
      <c r="L16206" s="4"/>
      <c r="M16206" s="7" t="s">
        <v>6871</v>
      </c>
    </row>
    <row r="16207" customFormat="false" ht="15.75" hidden="false" customHeight="false" outlineLevel="0" collapsed="false">
      <c r="A16207" s="6" t="n">
        <f aca="false">DATE(2026,5,2)</f>
        <v>46144</v>
      </c>
      <c r="B16207" s="4" t="s">
        <v>13</v>
      </c>
      <c r="C16207" s="4" t="n">
        <v>6</v>
      </c>
      <c r="D16207" s="4" t="n">
        <v>4</v>
      </c>
      <c r="E16207" s="4" t="s">
        <v>4148</v>
      </c>
      <c r="F16207" s="4" t="n">
        <v>25</v>
      </c>
      <c r="G16207" s="4" t="n">
        <v>4</v>
      </c>
      <c r="H16207" s="4" t="n">
        <v>4</v>
      </c>
      <c r="I16207" s="4" t="str">
        <v>×</v>
      </c>
      <c r="J16207" s="4"/>
      <c r="K16207" s="4"/>
      <c r="L16207" s="4"/>
      <c r="M16207" s="7" t="s">
        <v>6871</v>
      </c>
    </row>
    <row r="16208" customFormat="false" ht="15.75" hidden="false" customHeight="false" outlineLevel="0" collapsed="false">
      <c r="A16208" s="6" t="n">
        <f aca="false">DATE(2026,5,2)</f>
        <v>46144</v>
      </c>
      <c r="B16208" s="4" t="s">
        <v>13</v>
      </c>
      <c r="C16208" s="4" t="n">
        <v>6</v>
      </c>
      <c r="D16208" s="4" t="n">
        <v>5</v>
      </c>
      <c r="E16208" s="4" t="s">
        <v>7292</v>
      </c>
      <c r="F16208" s="4" t="n">
        <v>65</v>
      </c>
      <c r="G16208" s="4" t="n">
        <v>1</v>
      </c>
      <c r="H16208" s="4" t="n">
        <v>1</v>
      </c>
      <c r="I16208" s="4" t="str">
        <v>○</v>
      </c>
      <c r="J16208" s="4" t="n">
        <v>130</v>
      </c>
      <c r="K16208" s="4"/>
      <c r="L16208" s="4"/>
      <c r="M16208" s="7" t="s">
        <v>6871</v>
      </c>
    </row>
    <row r="16209" customFormat="false" ht="15.75" hidden="false" customHeight="false" outlineLevel="0" collapsed="false">
      <c r="A16209" s="6" t="n">
        <f aca="false">DATE(2026,5,2)</f>
        <v>46144</v>
      </c>
      <c r="B16209" s="4" t="s">
        <v>13</v>
      </c>
      <c r="C16209" s="4" t="n">
        <v>6</v>
      </c>
      <c r="D16209" s="4" t="n">
        <v>6</v>
      </c>
      <c r="E16209" s="4" t="s">
        <v>3771</v>
      </c>
      <c r="F16209" s="4" t="n">
        <v>56</v>
      </c>
      <c r="G16209" s="4" t="n">
        <v>2</v>
      </c>
      <c r="H16209" s="4" t="n">
        <v>3</v>
      </c>
      <c r="I16209" s="4" t="str">
        <v>○</v>
      </c>
      <c r="J16209" s="4" t="n">
        <v>150</v>
      </c>
      <c r="K16209" s="4"/>
      <c r="L16209" s="4"/>
      <c r="M16209" s="7" t="s">
        <v>6871</v>
      </c>
    </row>
    <row r="16210" customFormat="false" ht="15.75" hidden="false" customHeight="false" outlineLevel="0" collapsed="false">
      <c r="A16210" s="6" t="n">
        <f aca="false">DATE(2026,5,2)</f>
        <v>46144</v>
      </c>
      <c r="B16210" s="4" t="s">
        <v>13</v>
      </c>
      <c r="C16210" s="4" t="n">
        <v>6</v>
      </c>
      <c r="D16210" s="4" t="n">
        <v>7</v>
      </c>
      <c r="E16210" s="4" t="s">
        <v>2694</v>
      </c>
      <c r="F16210" s="4" t="n">
        <v>25</v>
      </c>
      <c r="G16210" s="4" t="n">
        <v>5</v>
      </c>
      <c r="H16210" s="4" t="n">
        <v>4</v>
      </c>
      <c r="I16210" s="4" t="str">
        <v>×</v>
      </c>
      <c r="J16210" s="4"/>
      <c r="K16210" s="4"/>
      <c r="L16210" s="4"/>
      <c r="M16210" s="7" t="s">
        <v>6871</v>
      </c>
    </row>
    <row r="16211" customFormat="false" ht="15.75" hidden="false" customHeight="false" outlineLevel="0" collapsed="false">
      <c r="A16211" s="6" t="n">
        <f aca="false">DATE(2026,5,2)</f>
        <v>46144</v>
      </c>
      <c r="B16211" s="4" t="s">
        <v>13</v>
      </c>
      <c r="C16211" s="4" t="n">
        <v>6</v>
      </c>
      <c r="D16211" s="4" t="n">
        <v>8</v>
      </c>
      <c r="E16211" s="4" t="s">
        <v>7293</v>
      </c>
      <c r="F16211" s="4" t="n">
        <v>4</v>
      </c>
      <c r="G16211" s="4" t="n">
        <v>12</v>
      </c>
      <c r="H16211" s="4" t="n">
        <v>2</v>
      </c>
      <c r="I16211" s="4" t="str">
        <v>○</v>
      </c>
      <c r="J16211" s="4" t="n">
        <v>610</v>
      </c>
      <c r="K16211" s="4"/>
      <c r="L16211" s="4"/>
      <c r="M16211" s="7" t="s">
        <v>6871</v>
      </c>
    </row>
    <row r="16212" customFormat="false" ht="15.75" hidden="false" customHeight="false" outlineLevel="0" collapsed="false">
      <c r="A16212" s="6" t="n">
        <f aca="false">DATE(2026,5,2)</f>
        <v>46144</v>
      </c>
      <c r="B16212" s="4" t="s">
        <v>13</v>
      </c>
      <c r="C16212" s="4" t="n">
        <v>6</v>
      </c>
      <c r="D16212" s="4" t="n">
        <v>9</v>
      </c>
      <c r="E16212" s="4" t="s">
        <v>7294</v>
      </c>
      <c r="F16212" s="4" t="n">
        <v>8</v>
      </c>
      <c r="G16212" s="4" t="n">
        <v>9</v>
      </c>
      <c r="H16212" s="4" t="n">
        <v>4</v>
      </c>
      <c r="I16212" s="4" t="str">
        <v>×</v>
      </c>
      <c r="J16212" s="4"/>
      <c r="K16212" s="4"/>
      <c r="L16212" s="4"/>
      <c r="M16212" s="7" t="s">
        <v>6871</v>
      </c>
    </row>
    <row r="16213" customFormat="false" ht="15.75" hidden="false" customHeight="false" outlineLevel="0" collapsed="false">
      <c r="A16213" s="6" t="n">
        <f aca="false">DATE(2026,5,2)</f>
        <v>46144</v>
      </c>
      <c r="B16213" s="4" t="s">
        <v>13</v>
      </c>
      <c r="C16213" s="4" t="n">
        <v>6</v>
      </c>
      <c r="D16213" s="4" t="n">
        <v>10</v>
      </c>
      <c r="E16213" s="4" t="s">
        <v>7295</v>
      </c>
      <c r="F16213" s="4" t="n">
        <v>13</v>
      </c>
      <c r="G16213" s="4" t="n">
        <v>8</v>
      </c>
      <c r="H16213" s="4" t="n">
        <v>4</v>
      </c>
      <c r="I16213" s="4" t="str">
        <v>×</v>
      </c>
      <c r="J16213" s="4"/>
      <c r="K16213" s="4"/>
      <c r="L16213" s="4"/>
      <c r="M16213" s="7" t="s">
        <v>6871</v>
      </c>
    </row>
    <row r="16214" customFormat="false" ht="15.75" hidden="false" customHeight="false" outlineLevel="0" collapsed="false">
      <c r="A16214" s="6" t="n">
        <f aca="false">DATE(2026,5,2)</f>
        <v>46144</v>
      </c>
      <c r="B16214" s="4" t="s">
        <v>13</v>
      </c>
      <c r="C16214" s="4" t="n">
        <v>6</v>
      </c>
      <c r="D16214" s="4" t="n">
        <v>11</v>
      </c>
      <c r="E16214" s="4" t="s">
        <v>2307</v>
      </c>
      <c r="F16214" s="4" t="n">
        <v>6</v>
      </c>
      <c r="G16214" s="4" t="n">
        <v>10</v>
      </c>
      <c r="H16214" s="4" t="n">
        <v>4</v>
      </c>
      <c r="I16214" s="4" t="str">
        <v>×</v>
      </c>
      <c r="J16214" s="4"/>
      <c r="K16214" s="4"/>
      <c r="L16214" s="4"/>
      <c r="M16214" s="7" t="s">
        <v>6871</v>
      </c>
    </row>
    <row r="16215" customFormat="false" ht="15.75" hidden="false" customHeight="false" outlineLevel="0" collapsed="false">
      <c r="A16215" s="6" t="n">
        <f aca="false">DATE(2026,5,2)</f>
        <v>46144</v>
      </c>
      <c r="B16215" s="4" t="s">
        <v>13</v>
      </c>
      <c r="C16215" s="4" t="n">
        <v>6</v>
      </c>
      <c r="D16215" s="4" t="n">
        <v>12</v>
      </c>
      <c r="E16215" s="4" t="s">
        <v>4883</v>
      </c>
      <c r="F16215" s="4" t="n">
        <v>3</v>
      </c>
      <c r="G16215" s="4" t="n">
        <v>14</v>
      </c>
      <c r="H16215" s="4" t="n">
        <v>4</v>
      </c>
      <c r="I16215" s="4" t="str">
        <v>×</v>
      </c>
      <c r="J16215" s="4"/>
      <c r="K16215" s="4"/>
      <c r="L16215" s="4"/>
      <c r="M16215" s="7" t="s">
        <v>6871</v>
      </c>
    </row>
    <row r="16216" customFormat="false" ht="15.75" hidden="false" customHeight="false" outlineLevel="0" collapsed="false">
      <c r="A16216" s="6" t="n">
        <f aca="false">DATE(2026,5,2)</f>
        <v>46144</v>
      </c>
      <c r="B16216" s="4" t="s">
        <v>13</v>
      </c>
      <c r="C16216" s="4" t="n">
        <v>6</v>
      </c>
      <c r="D16216" s="4" t="n">
        <v>13</v>
      </c>
      <c r="E16216" s="4" t="s">
        <v>1260</v>
      </c>
      <c r="F16216" s="4" t="n">
        <v>4</v>
      </c>
      <c r="G16216" s="4" t="n">
        <v>13</v>
      </c>
      <c r="H16216" s="4" t="n">
        <v>4</v>
      </c>
      <c r="I16216" s="4" t="str">
        <v>×</v>
      </c>
      <c r="J16216" s="4"/>
      <c r="K16216" s="4"/>
      <c r="L16216" s="4"/>
      <c r="M16216" s="7" t="s">
        <v>6871</v>
      </c>
    </row>
    <row r="16217" customFormat="false" ht="15.75" hidden="false" customHeight="false" outlineLevel="0" collapsed="false">
      <c r="A16217" s="6" t="n">
        <f aca="false">DATE(2026,5,2)</f>
        <v>46144</v>
      </c>
      <c r="B16217" s="4" t="s">
        <v>13</v>
      </c>
      <c r="C16217" s="4" t="n">
        <v>6</v>
      </c>
      <c r="D16217" s="4" t="n">
        <v>14</v>
      </c>
      <c r="E16217" s="4" t="s">
        <v>2038</v>
      </c>
      <c r="F16217" s="4" t="n">
        <v>6</v>
      </c>
      <c r="G16217" s="4" t="n">
        <v>11</v>
      </c>
      <c r="H16217" s="4" t="n">
        <v>4</v>
      </c>
      <c r="I16217" s="4" t="str">
        <v>×</v>
      </c>
      <c r="J16217" s="4"/>
      <c r="K16217" s="4"/>
      <c r="L16217" s="4"/>
      <c r="M16217" s="7" t="s">
        <v>6871</v>
      </c>
    </row>
    <row r="16218" customFormat="false" ht="15.75" hidden="false" customHeight="false" outlineLevel="0" collapsed="false">
      <c r="A16218" s="6" t="n">
        <f aca="false">DATE(2026,5,2)</f>
        <v>46144</v>
      </c>
      <c r="B16218" s="4" t="s">
        <v>13</v>
      </c>
      <c r="C16218" s="4" t="n">
        <v>7</v>
      </c>
      <c r="D16218" s="4" t="n">
        <v>1</v>
      </c>
      <c r="E16218" s="4" t="s">
        <v>7296</v>
      </c>
      <c r="F16218" s="4" t="n">
        <v>81</v>
      </c>
      <c r="G16218" s="4" t="n">
        <v>1</v>
      </c>
      <c r="H16218" s="4" t="n">
        <v>1</v>
      </c>
      <c r="I16218" s="4" t="str">
        <v>○</v>
      </c>
      <c r="J16218" s="4" t="n">
        <v>110</v>
      </c>
      <c r="K16218" s="4"/>
      <c r="L16218" s="4"/>
      <c r="M16218" s="7" t="s">
        <v>6871</v>
      </c>
    </row>
    <row r="16219" customFormat="false" ht="15.75" hidden="false" customHeight="false" outlineLevel="0" collapsed="false">
      <c r="A16219" s="6" t="n">
        <f aca="false">DATE(2026,5,2)</f>
        <v>46144</v>
      </c>
      <c r="B16219" s="4" t="s">
        <v>13</v>
      </c>
      <c r="C16219" s="4" t="n">
        <v>7</v>
      </c>
      <c r="D16219" s="4" t="n">
        <v>2</v>
      </c>
      <c r="E16219" s="4" t="s">
        <v>7297</v>
      </c>
      <c r="F16219" s="4" t="n">
        <v>8</v>
      </c>
      <c r="G16219" s="4" t="n">
        <v>10</v>
      </c>
      <c r="H16219" s="4" t="n">
        <v>2</v>
      </c>
      <c r="I16219" s="4" t="str">
        <v>○</v>
      </c>
      <c r="J16219" s="4" t="n">
        <v>300</v>
      </c>
      <c r="K16219" s="4"/>
      <c r="L16219" s="4"/>
      <c r="M16219" s="7" t="s">
        <v>6871</v>
      </c>
    </row>
    <row r="16220" customFormat="false" ht="15.75" hidden="false" customHeight="false" outlineLevel="0" collapsed="false">
      <c r="A16220" s="6" t="n">
        <f aca="false">DATE(2026,5,2)</f>
        <v>46144</v>
      </c>
      <c r="B16220" s="4" t="s">
        <v>13</v>
      </c>
      <c r="C16220" s="4" t="n">
        <v>7</v>
      </c>
      <c r="D16220" s="4" t="n">
        <v>3</v>
      </c>
      <c r="E16220" s="4" t="s">
        <v>5468</v>
      </c>
      <c r="F16220" s="4" t="n">
        <v>23</v>
      </c>
      <c r="G16220" s="4" t="n">
        <v>4</v>
      </c>
      <c r="H16220" s="4" t="n">
        <v>4</v>
      </c>
      <c r="I16220" s="4" t="str">
        <v>×</v>
      </c>
      <c r="J16220" s="4"/>
      <c r="K16220" s="4"/>
      <c r="L16220" s="4"/>
      <c r="M16220" s="7" t="s">
        <v>6871</v>
      </c>
    </row>
    <row r="16221" customFormat="false" ht="15.75" hidden="false" customHeight="false" outlineLevel="0" collapsed="false">
      <c r="A16221" s="6" t="n">
        <f aca="false">DATE(2026,5,2)</f>
        <v>46144</v>
      </c>
      <c r="B16221" s="4" t="s">
        <v>13</v>
      </c>
      <c r="C16221" s="4" t="n">
        <v>7</v>
      </c>
      <c r="D16221" s="4" t="n">
        <v>4</v>
      </c>
      <c r="E16221" s="4" t="s">
        <v>7298</v>
      </c>
      <c r="F16221" s="4" t="n">
        <v>3</v>
      </c>
      <c r="G16221" s="4" t="n">
        <v>13</v>
      </c>
      <c r="H16221" s="4" t="n">
        <v>4</v>
      </c>
      <c r="I16221" s="4" t="str">
        <v>×</v>
      </c>
      <c r="J16221" s="4"/>
      <c r="K16221" s="4"/>
      <c r="L16221" s="4"/>
      <c r="M16221" s="7" t="s">
        <v>6871</v>
      </c>
    </row>
    <row r="16222" customFormat="false" ht="15.75" hidden="false" customHeight="false" outlineLevel="0" collapsed="false">
      <c r="A16222" s="6" t="n">
        <f aca="false">DATE(2026,5,2)</f>
        <v>46144</v>
      </c>
      <c r="B16222" s="4" t="s">
        <v>13</v>
      </c>
      <c r="C16222" s="4" t="n">
        <v>7</v>
      </c>
      <c r="D16222" s="4" t="n">
        <v>5</v>
      </c>
      <c r="E16222" s="4" t="s">
        <v>7299</v>
      </c>
      <c r="F16222" s="4" t="n">
        <v>17</v>
      </c>
      <c r="G16222" s="4" t="n">
        <v>5</v>
      </c>
      <c r="H16222" s="4" t="n">
        <v>4</v>
      </c>
      <c r="I16222" s="4" t="str">
        <v>×</v>
      </c>
      <c r="J16222" s="4"/>
      <c r="K16222" s="4"/>
      <c r="L16222" s="4"/>
      <c r="M16222" s="7" t="s">
        <v>6871</v>
      </c>
    </row>
    <row r="16223" customFormat="false" ht="15.75" hidden="false" customHeight="false" outlineLevel="0" collapsed="false">
      <c r="A16223" s="6" t="n">
        <f aca="false">DATE(2026,5,2)</f>
        <v>46144</v>
      </c>
      <c r="B16223" s="4" t="s">
        <v>13</v>
      </c>
      <c r="C16223" s="4" t="n">
        <v>7</v>
      </c>
      <c r="D16223" s="4" t="n">
        <v>6</v>
      </c>
      <c r="E16223" s="4" t="s">
        <v>7300</v>
      </c>
      <c r="F16223" s="4" t="n">
        <v>3</v>
      </c>
      <c r="G16223" s="4" t="n">
        <v>14</v>
      </c>
      <c r="H16223" s="4" t="n">
        <v>4</v>
      </c>
      <c r="I16223" s="4" t="str">
        <v>×</v>
      </c>
      <c r="J16223" s="4"/>
      <c r="K16223" s="4"/>
      <c r="L16223" s="4"/>
      <c r="M16223" s="7" t="s">
        <v>6871</v>
      </c>
    </row>
    <row r="16224" customFormat="false" ht="15.75" hidden="false" customHeight="false" outlineLevel="0" collapsed="false">
      <c r="A16224" s="6" t="n">
        <f aca="false">DATE(2026,5,2)</f>
        <v>46144</v>
      </c>
      <c r="B16224" s="4" t="s">
        <v>13</v>
      </c>
      <c r="C16224" s="4" t="n">
        <v>7</v>
      </c>
      <c r="D16224" s="4" t="n">
        <v>7</v>
      </c>
      <c r="E16224" s="4" t="s">
        <v>7301</v>
      </c>
      <c r="F16224" s="4" t="n">
        <v>4</v>
      </c>
      <c r="G16224" s="4" t="n">
        <v>12</v>
      </c>
      <c r="H16224" s="4" t="n">
        <v>4</v>
      </c>
      <c r="I16224" s="4" t="str">
        <v>×</v>
      </c>
      <c r="J16224" s="4"/>
      <c r="K16224" s="4"/>
      <c r="L16224" s="4"/>
      <c r="M16224" s="7" t="s">
        <v>6871</v>
      </c>
    </row>
    <row r="16225" customFormat="false" ht="15.75" hidden="false" customHeight="false" outlineLevel="0" collapsed="false">
      <c r="A16225" s="6" t="n">
        <f aca="false">DATE(2026,5,2)</f>
        <v>46144</v>
      </c>
      <c r="B16225" s="4" t="s">
        <v>13</v>
      </c>
      <c r="C16225" s="4" t="n">
        <v>7</v>
      </c>
      <c r="D16225" s="4" t="n">
        <v>8</v>
      </c>
      <c r="E16225" s="4" t="s">
        <v>3851</v>
      </c>
      <c r="F16225" s="4" t="n">
        <v>6</v>
      </c>
      <c r="G16225" s="4" t="n">
        <v>11</v>
      </c>
      <c r="H16225" s="4" t="n">
        <v>4</v>
      </c>
      <c r="I16225" s="4" t="str">
        <v>×</v>
      </c>
      <c r="J16225" s="4"/>
      <c r="K16225" s="4"/>
      <c r="L16225" s="4"/>
      <c r="M16225" s="7" t="s">
        <v>6871</v>
      </c>
    </row>
    <row r="16226" customFormat="false" ht="15.75" hidden="false" customHeight="false" outlineLevel="0" collapsed="false">
      <c r="A16226" s="6" t="n">
        <f aca="false">DATE(2026,5,2)</f>
        <v>46144</v>
      </c>
      <c r="B16226" s="4" t="s">
        <v>13</v>
      </c>
      <c r="C16226" s="4" t="n">
        <v>7</v>
      </c>
      <c r="D16226" s="4" t="n">
        <v>9</v>
      </c>
      <c r="E16226" s="4" t="s">
        <v>1710</v>
      </c>
      <c r="F16226" s="4" t="n">
        <v>17</v>
      </c>
      <c r="G16226" s="4" t="n">
        <v>6</v>
      </c>
      <c r="H16226" s="4" t="n">
        <v>4</v>
      </c>
      <c r="I16226" s="4" t="str">
        <v>×</v>
      </c>
      <c r="J16226" s="4"/>
      <c r="K16226" s="4"/>
      <c r="L16226" s="4"/>
      <c r="M16226" s="7" t="s">
        <v>6871</v>
      </c>
    </row>
    <row r="16227" customFormat="false" ht="15.75" hidden="false" customHeight="false" outlineLevel="0" collapsed="false">
      <c r="A16227" s="6" t="n">
        <f aca="false">DATE(2026,5,2)</f>
        <v>46144</v>
      </c>
      <c r="B16227" s="4" t="s">
        <v>13</v>
      </c>
      <c r="C16227" s="4" t="n">
        <v>7</v>
      </c>
      <c r="D16227" s="4" t="n">
        <v>10</v>
      </c>
      <c r="E16227" s="4" t="s">
        <v>1040</v>
      </c>
      <c r="F16227" s="4" t="n">
        <v>17</v>
      </c>
      <c r="G16227" s="4" t="n">
        <v>7</v>
      </c>
      <c r="H16227" s="4" t="n">
        <v>4</v>
      </c>
      <c r="I16227" s="4" t="str">
        <v>×</v>
      </c>
      <c r="J16227" s="4"/>
      <c r="K16227" s="4"/>
      <c r="L16227" s="4"/>
      <c r="M16227" s="7" t="s">
        <v>6871</v>
      </c>
    </row>
    <row r="16228" customFormat="false" ht="15.75" hidden="false" customHeight="false" outlineLevel="0" collapsed="false">
      <c r="A16228" s="6" t="n">
        <f aca="false">DATE(2026,5,2)</f>
        <v>46144</v>
      </c>
      <c r="B16228" s="4" t="s">
        <v>13</v>
      </c>
      <c r="C16228" s="4" t="n">
        <v>7</v>
      </c>
      <c r="D16228" s="4" t="n">
        <v>11</v>
      </c>
      <c r="E16228" s="4" t="s">
        <v>2100</v>
      </c>
      <c r="F16228" s="4" t="n">
        <v>13</v>
      </c>
      <c r="G16228" s="4" t="n">
        <v>8</v>
      </c>
      <c r="H16228" s="4" t="n">
        <v>4</v>
      </c>
      <c r="I16228" s="4" t="str">
        <v>×</v>
      </c>
      <c r="J16228" s="4"/>
      <c r="K16228" s="4"/>
      <c r="L16228" s="4"/>
      <c r="M16228" s="7" t="s">
        <v>6871</v>
      </c>
    </row>
    <row r="16229" customFormat="false" ht="15.75" hidden="false" customHeight="false" outlineLevel="0" collapsed="false">
      <c r="A16229" s="6" t="n">
        <f aca="false">DATE(2026,5,2)</f>
        <v>46144</v>
      </c>
      <c r="B16229" s="4" t="s">
        <v>13</v>
      </c>
      <c r="C16229" s="4" t="n">
        <v>7</v>
      </c>
      <c r="D16229" s="4" t="n">
        <v>12</v>
      </c>
      <c r="E16229" s="4" t="s">
        <v>413</v>
      </c>
      <c r="F16229" s="4" t="n">
        <v>34</v>
      </c>
      <c r="G16229" s="4" t="n">
        <v>2</v>
      </c>
      <c r="H16229" s="4" t="n">
        <v>4</v>
      </c>
      <c r="I16229" s="4" t="str">
        <v>×</v>
      </c>
      <c r="J16229" s="4"/>
      <c r="K16229" s="4"/>
      <c r="L16229" s="4"/>
      <c r="M16229" s="7" t="s">
        <v>6871</v>
      </c>
    </row>
    <row r="16230" customFormat="false" ht="15.75" hidden="false" customHeight="false" outlineLevel="0" collapsed="false">
      <c r="A16230" s="6" t="n">
        <f aca="false">DATE(2026,5,2)</f>
        <v>46144</v>
      </c>
      <c r="B16230" s="4" t="s">
        <v>13</v>
      </c>
      <c r="C16230" s="4" t="n">
        <v>7</v>
      </c>
      <c r="D16230" s="4" t="n">
        <v>13</v>
      </c>
      <c r="E16230" s="4" t="s">
        <v>7302</v>
      </c>
      <c r="F16230" s="4" t="n">
        <v>3</v>
      </c>
      <c r="G16230" s="4" t="n">
        <v>15</v>
      </c>
      <c r="H16230" s="4" t="n">
        <v>4</v>
      </c>
      <c r="I16230" s="4" t="str">
        <v>×</v>
      </c>
      <c r="J16230" s="4"/>
      <c r="K16230" s="4"/>
      <c r="L16230" s="4"/>
      <c r="M16230" s="7" t="s">
        <v>6871</v>
      </c>
    </row>
    <row r="16231" customFormat="false" ht="15.75" hidden="false" customHeight="false" outlineLevel="0" collapsed="false">
      <c r="A16231" s="6" t="n">
        <f aca="false">DATE(2026,5,2)</f>
        <v>46144</v>
      </c>
      <c r="B16231" s="4" t="s">
        <v>13</v>
      </c>
      <c r="C16231" s="4" t="n">
        <v>7</v>
      </c>
      <c r="D16231" s="4" t="n">
        <v>14</v>
      </c>
      <c r="E16231" s="4" t="s">
        <v>4073</v>
      </c>
      <c r="F16231" s="4" t="n">
        <v>31</v>
      </c>
      <c r="G16231" s="4" t="n">
        <v>3</v>
      </c>
      <c r="H16231" s="4" t="n">
        <v>3</v>
      </c>
      <c r="I16231" s="4" t="str">
        <v>○</v>
      </c>
      <c r="J16231" s="4" t="n">
        <v>240</v>
      </c>
      <c r="K16231" s="4"/>
      <c r="L16231" s="4"/>
      <c r="M16231" s="7" t="s">
        <v>6871</v>
      </c>
    </row>
    <row r="16232" customFormat="false" ht="15.75" hidden="false" customHeight="false" outlineLevel="0" collapsed="false">
      <c r="A16232" s="6" t="n">
        <f aca="false">DATE(2026,5,2)</f>
        <v>46144</v>
      </c>
      <c r="B16232" s="4" t="s">
        <v>13</v>
      </c>
      <c r="C16232" s="4" t="n">
        <v>7</v>
      </c>
      <c r="D16232" s="4" t="n">
        <v>15</v>
      </c>
      <c r="E16232" s="4" t="s">
        <v>2005</v>
      </c>
      <c r="F16232" s="4" t="n">
        <v>10</v>
      </c>
      <c r="G16232" s="4" t="n">
        <v>9</v>
      </c>
      <c r="H16232" s="4" t="n">
        <v>4</v>
      </c>
      <c r="I16232" s="4" t="str">
        <v>×</v>
      </c>
      <c r="J16232" s="4"/>
      <c r="K16232" s="4"/>
      <c r="L16232" s="4"/>
      <c r="M16232" s="7" t="s">
        <v>6871</v>
      </c>
    </row>
    <row r="16233" customFormat="false" ht="15.75" hidden="false" customHeight="false" outlineLevel="0" collapsed="false">
      <c r="A16233" s="6" t="n">
        <f aca="false">DATE(2026,5,2)</f>
        <v>46144</v>
      </c>
      <c r="B16233" s="4" t="s">
        <v>13</v>
      </c>
      <c r="C16233" s="4" t="n">
        <v>8</v>
      </c>
      <c r="D16233" s="4" t="n">
        <v>1</v>
      </c>
      <c r="E16233" s="4" t="s">
        <v>6452</v>
      </c>
      <c r="F16233" s="4" t="n">
        <v>41</v>
      </c>
      <c r="G16233" s="4" t="n">
        <v>3</v>
      </c>
      <c r="H16233" s="4" t="n">
        <v>1</v>
      </c>
      <c r="I16233" s="4" t="str">
        <v>○</v>
      </c>
      <c r="J16233" s="4" t="n">
        <v>230</v>
      </c>
      <c r="K16233" s="4"/>
      <c r="L16233" s="4"/>
      <c r="M16233" s="7" t="s">
        <v>6871</v>
      </c>
    </row>
    <row r="16234" customFormat="false" ht="15.75" hidden="false" customHeight="false" outlineLevel="0" collapsed="false">
      <c r="A16234" s="6" t="n">
        <f aca="false">DATE(2026,5,2)</f>
        <v>46144</v>
      </c>
      <c r="B16234" s="4" t="s">
        <v>13</v>
      </c>
      <c r="C16234" s="4" t="n">
        <v>8</v>
      </c>
      <c r="D16234" s="4" t="n">
        <v>2</v>
      </c>
      <c r="E16234" s="4" t="s">
        <v>177</v>
      </c>
      <c r="F16234" s="4" t="n">
        <v>13</v>
      </c>
      <c r="G16234" s="4" t="n">
        <v>7</v>
      </c>
      <c r="H16234" s="4" t="n">
        <v>4</v>
      </c>
      <c r="I16234" s="4" t="str">
        <v>×</v>
      </c>
      <c r="J16234" s="4"/>
      <c r="K16234" s="4"/>
      <c r="L16234" s="4"/>
      <c r="M16234" s="7" t="s">
        <v>6871</v>
      </c>
    </row>
    <row r="16235" customFormat="false" ht="15.75" hidden="false" customHeight="false" outlineLevel="0" collapsed="false">
      <c r="A16235" s="6" t="n">
        <f aca="false">DATE(2026,5,2)</f>
        <v>46144</v>
      </c>
      <c r="B16235" s="4" t="s">
        <v>13</v>
      </c>
      <c r="C16235" s="4" t="n">
        <v>8</v>
      </c>
      <c r="D16235" s="4" t="n">
        <v>3</v>
      </c>
      <c r="E16235" s="4" t="s">
        <v>3692</v>
      </c>
      <c r="F16235" s="4" t="n">
        <v>56</v>
      </c>
      <c r="G16235" s="4" t="n">
        <v>2</v>
      </c>
      <c r="H16235" s="4" t="n">
        <v>4</v>
      </c>
      <c r="I16235" s="4" t="str">
        <v>×</v>
      </c>
      <c r="J16235" s="4"/>
      <c r="K16235" s="4"/>
      <c r="L16235" s="4"/>
      <c r="M16235" s="7" t="s">
        <v>6871</v>
      </c>
    </row>
    <row r="16236" customFormat="false" ht="15.75" hidden="false" customHeight="false" outlineLevel="0" collapsed="false">
      <c r="A16236" s="6" t="n">
        <f aca="false">DATE(2026,5,2)</f>
        <v>46144</v>
      </c>
      <c r="B16236" s="4" t="s">
        <v>13</v>
      </c>
      <c r="C16236" s="4" t="n">
        <v>8</v>
      </c>
      <c r="D16236" s="4" t="n">
        <v>4</v>
      </c>
      <c r="E16236" s="4" t="s">
        <v>7303</v>
      </c>
      <c r="F16236" s="4" t="n">
        <v>6</v>
      </c>
      <c r="G16236" s="4" t="n">
        <v>11</v>
      </c>
      <c r="H16236" s="4" t="n">
        <v>4</v>
      </c>
      <c r="I16236" s="4" t="str">
        <v>×</v>
      </c>
      <c r="J16236" s="4"/>
      <c r="K16236" s="4"/>
      <c r="L16236" s="4"/>
      <c r="M16236" s="7" t="s">
        <v>6871</v>
      </c>
    </row>
    <row r="16237" customFormat="false" ht="15.75" hidden="false" customHeight="false" outlineLevel="0" collapsed="false">
      <c r="A16237" s="6" t="n">
        <f aca="false">DATE(2026,5,2)</f>
        <v>46144</v>
      </c>
      <c r="B16237" s="4" t="s">
        <v>13</v>
      </c>
      <c r="C16237" s="4" t="n">
        <v>8</v>
      </c>
      <c r="D16237" s="4" t="n">
        <v>5</v>
      </c>
      <c r="E16237" s="4" t="s">
        <v>3203</v>
      </c>
      <c r="F16237" s="4" t="n">
        <v>23</v>
      </c>
      <c r="G16237" s="4" t="n">
        <v>6</v>
      </c>
      <c r="H16237" s="4" t="n">
        <v>4</v>
      </c>
      <c r="I16237" s="4" t="str">
        <v>×</v>
      </c>
      <c r="J16237" s="4"/>
      <c r="K16237" s="4"/>
      <c r="L16237" s="4"/>
      <c r="M16237" s="7" t="s">
        <v>6871</v>
      </c>
    </row>
    <row r="16238" customFormat="false" ht="15.75" hidden="false" customHeight="false" outlineLevel="0" collapsed="false">
      <c r="A16238" s="6" t="n">
        <f aca="false">DATE(2026,5,2)</f>
        <v>46144</v>
      </c>
      <c r="B16238" s="4" t="s">
        <v>13</v>
      </c>
      <c r="C16238" s="4" t="n">
        <v>8</v>
      </c>
      <c r="D16238" s="4" t="n">
        <v>6</v>
      </c>
      <c r="E16238" s="4" t="s">
        <v>4829</v>
      </c>
      <c r="F16238" s="4" t="n">
        <v>4</v>
      </c>
      <c r="G16238" s="4" t="n">
        <v>12</v>
      </c>
      <c r="H16238" s="4" t="n">
        <v>4</v>
      </c>
      <c r="I16238" s="4" t="str">
        <v>×</v>
      </c>
      <c r="J16238" s="4"/>
      <c r="K16238" s="4"/>
      <c r="L16238" s="4"/>
      <c r="M16238" s="7" t="s">
        <v>6871</v>
      </c>
    </row>
    <row r="16239" customFormat="false" ht="15.75" hidden="false" customHeight="false" outlineLevel="0" collapsed="false">
      <c r="A16239" s="6" t="n">
        <f aca="false">DATE(2026,5,2)</f>
        <v>46144</v>
      </c>
      <c r="B16239" s="4" t="s">
        <v>13</v>
      </c>
      <c r="C16239" s="4" t="n">
        <v>8</v>
      </c>
      <c r="D16239" s="4" t="n">
        <v>7</v>
      </c>
      <c r="E16239" s="4" t="s">
        <v>1031</v>
      </c>
      <c r="F16239" s="4" t="n">
        <v>8</v>
      </c>
      <c r="G16239" s="4" t="n">
        <v>8</v>
      </c>
      <c r="H16239" s="4" t="n">
        <v>4</v>
      </c>
      <c r="I16239" s="4" t="str">
        <v>×</v>
      </c>
      <c r="J16239" s="4"/>
      <c r="K16239" s="4"/>
      <c r="L16239" s="4"/>
      <c r="M16239" s="7" t="s">
        <v>6871</v>
      </c>
    </row>
    <row r="16240" customFormat="false" ht="15.75" hidden="false" customHeight="false" outlineLevel="0" collapsed="false">
      <c r="A16240" s="6" t="n">
        <f aca="false">DATE(2026,5,2)</f>
        <v>46144</v>
      </c>
      <c r="B16240" s="4" t="s">
        <v>13</v>
      </c>
      <c r="C16240" s="4" t="n">
        <v>8</v>
      </c>
      <c r="D16240" s="4" t="n">
        <v>8</v>
      </c>
      <c r="E16240" s="4" t="s">
        <v>762</v>
      </c>
      <c r="F16240" s="4" t="n">
        <v>74</v>
      </c>
      <c r="G16240" s="4" t="n">
        <v>1</v>
      </c>
      <c r="H16240" s="4" t="n">
        <v>4</v>
      </c>
      <c r="I16240" s="4" t="str">
        <v>×</v>
      </c>
      <c r="J16240" s="4"/>
      <c r="K16240" s="4"/>
      <c r="L16240" s="4"/>
      <c r="M16240" s="7" t="s">
        <v>6871</v>
      </c>
    </row>
    <row r="16241" customFormat="false" ht="15.75" hidden="false" customHeight="false" outlineLevel="0" collapsed="false">
      <c r="A16241" s="6" t="n">
        <f aca="false">DATE(2026,5,2)</f>
        <v>46144</v>
      </c>
      <c r="B16241" s="4" t="s">
        <v>13</v>
      </c>
      <c r="C16241" s="4" t="n">
        <v>8</v>
      </c>
      <c r="D16241" s="4" t="n">
        <v>9</v>
      </c>
      <c r="E16241" s="4" t="s">
        <v>6337</v>
      </c>
      <c r="F16241" s="4" t="n">
        <v>8</v>
      </c>
      <c r="G16241" s="4" t="n">
        <v>9</v>
      </c>
      <c r="H16241" s="4" t="n">
        <v>4</v>
      </c>
      <c r="I16241" s="4" t="str">
        <v>×</v>
      </c>
      <c r="J16241" s="4"/>
      <c r="K16241" s="4"/>
      <c r="L16241" s="4"/>
      <c r="M16241" s="7" t="s">
        <v>6871</v>
      </c>
    </row>
    <row r="16242" customFormat="false" ht="15.75" hidden="false" customHeight="false" outlineLevel="0" collapsed="false">
      <c r="A16242" s="6" t="n">
        <f aca="false">DATE(2026,5,2)</f>
        <v>46144</v>
      </c>
      <c r="B16242" s="4" t="s">
        <v>13</v>
      </c>
      <c r="C16242" s="4" t="n">
        <v>8</v>
      </c>
      <c r="D16242" s="4" t="n">
        <v>10</v>
      </c>
      <c r="E16242" s="4" t="s">
        <v>3689</v>
      </c>
      <c r="F16242" s="4" t="n">
        <v>31</v>
      </c>
      <c r="G16242" s="4" t="n">
        <v>4</v>
      </c>
      <c r="H16242" s="4" t="n">
        <v>2</v>
      </c>
      <c r="I16242" s="4" t="str">
        <v>○</v>
      </c>
      <c r="J16242" s="4" t="n">
        <v>230</v>
      </c>
      <c r="K16242" s="4"/>
      <c r="L16242" s="4"/>
      <c r="M16242" s="7" t="s">
        <v>6871</v>
      </c>
    </row>
    <row r="16243" customFormat="false" ht="15.75" hidden="false" customHeight="false" outlineLevel="0" collapsed="false">
      <c r="A16243" s="6" t="n">
        <f aca="false">DATE(2026,5,2)</f>
        <v>46144</v>
      </c>
      <c r="B16243" s="4" t="s">
        <v>13</v>
      </c>
      <c r="C16243" s="4" t="n">
        <v>8</v>
      </c>
      <c r="D16243" s="4" t="n">
        <v>11</v>
      </c>
      <c r="E16243" s="4" t="s">
        <v>2553</v>
      </c>
      <c r="F16243" s="4" t="n">
        <v>4</v>
      </c>
      <c r="G16243" s="4" t="n">
        <v>13</v>
      </c>
      <c r="H16243" s="4" t="n">
        <v>4</v>
      </c>
      <c r="I16243" s="4" t="str">
        <v>×</v>
      </c>
      <c r="J16243" s="4"/>
      <c r="K16243" s="4"/>
      <c r="L16243" s="4"/>
      <c r="M16243" s="7" t="s">
        <v>6871</v>
      </c>
    </row>
    <row r="16244" customFormat="false" ht="15.75" hidden="false" customHeight="false" outlineLevel="0" collapsed="false">
      <c r="A16244" s="6" t="n">
        <f aca="false">DATE(2026,5,2)</f>
        <v>46144</v>
      </c>
      <c r="B16244" s="4" t="s">
        <v>13</v>
      </c>
      <c r="C16244" s="4" t="n">
        <v>8</v>
      </c>
      <c r="D16244" s="4" t="n">
        <v>12</v>
      </c>
      <c r="E16244" s="4" t="s">
        <v>5775</v>
      </c>
      <c r="F16244" s="4" t="n">
        <v>31</v>
      </c>
      <c r="G16244" s="4" t="n">
        <v>5</v>
      </c>
      <c r="H16244" s="4" t="n">
        <v>3</v>
      </c>
      <c r="I16244" s="4" t="str">
        <v>○</v>
      </c>
      <c r="J16244" s="4" t="n">
        <v>190</v>
      </c>
      <c r="K16244" s="4"/>
      <c r="L16244" s="4"/>
      <c r="M16244" s="7" t="s">
        <v>6871</v>
      </c>
    </row>
    <row r="16245" customFormat="false" ht="15.75" hidden="false" customHeight="false" outlineLevel="0" collapsed="false">
      <c r="A16245" s="6" t="n">
        <f aca="false">DATE(2026,5,2)</f>
        <v>46144</v>
      </c>
      <c r="B16245" s="4" t="s">
        <v>13</v>
      </c>
      <c r="C16245" s="4" t="n">
        <v>8</v>
      </c>
      <c r="D16245" s="4" t="n">
        <v>13</v>
      </c>
      <c r="E16245" s="4" t="s">
        <v>2891</v>
      </c>
      <c r="F16245" s="4" t="n">
        <v>8</v>
      </c>
      <c r="G16245" s="4" t="n">
        <v>10</v>
      </c>
      <c r="H16245" s="4" t="n">
        <v>4</v>
      </c>
      <c r="I16245" s="4" t="str">
        <v>×</v>
      </c>
      <c r="J16245" s="4"/>
      <c r="K16245" s="4"/>
      <c r="L16245" s="4"/>
      <c r="M16245" s="7" t="s">
        <v>6871</v>
      </c>
    </row>
    <row r="16246" customFormat="false" ht="15.75" hidden="false" customHeight="false" outlineLevel="0" collapsed="false">
      <c r="A16246" s="6" t="n">
        <f aca="false">DATE(2026,5,2)</f>
        <v>46144</v>
      </c>
      <c r="B16246" s="4" t="s">
        <v>13</v>
      </c>
      <c r="C16246" s="4" t="n">
        <v>9</v>
      </c>
      <c r="D16246" s="4" t="n">
        <v>1</v>
      </c>
      <c r="E16246" s="4" t="s">
        <v>300</v>
      </c>
      <c r="F16246" s="4" t="n">
        <v>13</v>
      </c>
      <c r="G16246" s="4" t="n">
        <v>12</v>
      </c>
      <c r="H16246" s="4" t="n">
        <v>4</v>
      </c>
      <c r="I16246" s="4" t="str">
        <v>×</v>
      </c>
      <c r="J16246" s="4"/>
      <c r="K16246" s="4"/>
      <c r="L16246" s="4"/>
      <c r="M16246" s="7" t="s">
        <v>6871</v>
      </c>
    </row>
    <row r="16247" customFormat="false" ht="15.75" hidden="false" customHeight="false" outlineLevel="0" collapsed="false">
      <c r="A16247" s="6" t="n">
        <f aca="false">DATE(2026,5,2)</f>
        <v>46144</v>
      </c>
      <c r="B16247" s="4" t="s">
        <v>13</v>
      </c>
      <c r="C16247" s="4" t="n">
        <v>9</v>
      </c>
      <c r="D16247" s="4" t="n">
        <v>2</v>
      </c>
      <c r="E16247" s="4" t="s">
        <v>7304</v>
      </c>
      <c r="F16247" s="4" t="n">
        <v>10</v>
      </c>
      <c r="G16247" s="4" t="n">
        <v>13</v>
      </c>
      <c r="H16247" s="4" t="n">
        <v>4</v>
      </c>
      <c r="I16247" s="4" t="str">
        <v>×</v>
      </c>
      <c r="J16247" s="4"/>
      <c r="K16247" s="4"/>
      <c r="L16247" s="4"/>
      <c r="M16247" s="7" t="s">
        <v>6871</v>
      </c>
    </row>
    <row r="16248" customFormat="false" ht="15.75" hidden="false" customHeight="false" outlineLevel="0" collapsed="false">
      <c r="A16248" s="6" t="n">
        <f aca="false">DATE(2026,5,2)</f>
        <v>46144</v>
      </c>
      <c r="B16248" s="4" t="s">
        <v>13</v>
      </c>
      <c r="C16248" s="4" t="n">
        <v>9</v>
      </c>
      <c r="D16248" s="4" t="n">
        <v>3</v>
      </c>
      <c r="E16248" s="4" t="s">
        <v>1546</v>
      </c>
      <c r="F16248" s="4" t="n">
        <v>23</v>
      </c>
      <c r="G16248" s="4" t="n">
        <v>6</v>
      </c>
      <c r="H16248" s="4" t="n">
        <v>4</v>
      </c>
      <c r="I16248" s="4" t="str">
        <v>×</v>
      </c>
      <c r="J16248" s="4"/>
      <c r="K16248" s="4"/>
      <c r="L16248" s="4"/>
      <c r="M16248" s="7" t="s">
        <v>6871</v>
      </c>
    </row>
    <row r="16249" customFormat="false" ht="15.75" hidden="false" customHeight="false" outlineLevel="0" collapsed="false">
      <c r="A16249" s="6" t="n">
        <f aca="false">DATE(2026,5,2)</f>
        <v>46144</v>
      </c>
      <c r="B16249" s="4" t="s">
        <v>13</v>
      </c>
      <c r="C16249" s="4" t="n">
        <v>9</v>
      </c>
      <c r="D16249" s="4" t="n">
        <v>4</v>
      </c>
      <c r="E16249" s="4" t="s">
        <v>7305</v>
      </c>
      <c r="F16249" s="4" t="n">
        <v>23</v>
      </c>
      <c r="G16249" s="4" t="n">
        <v>7</v>
      </c>
      <c r="H16249" s="4" t="n">
        <v>4</v>
      </c>
      <c r="I16249" s="4" t="str">
        <v>×</v>
      </c>
      <c r="J16249" s="4"/>
      <c r="K16249" s="4"/>
      <c r="L16249" s="4"/>
      <c r="M16249" s="7" t="s">
        <v>6871</v>
      </c>
    </row>
    <row r="16250" customFormat="false" ht="15.75" hidden="false" customHeight="false" outlineLevel="0" collapsed="false">
      <c r="A16250" s="6" t="n">
        <f aca="false">DATE(2026,5,2)</f>
        <v>46144</v>
      </c>
      <c r="B16250" s="4" t="s">
        <v>13</v>
      </c>
      <c r="C16250" s="4" t="n">
        <v>9</v>
      </c>
      <c r="D16250" s="4" t="n">
        <v>5</v>
      </c>
      <c r="E16250" s="4" t="s">
        <v>4874</v>
      </c>
      <c r="F16250" s="4" t="n">
        <v>41</v>
      </c>
      <c r="G16250" s="4" t="n">
        <v>2</v>
      </c>
      <c r="H16250" s="4" t="n">
        <v>4</v>
      </c>
      <c r="I16250" s="4" t="str">
        <v>×</v>
      </c>
      <c r="J16250" s="4"/>
      <c r="K16250" s="4"/>
      <c r="L16250" s="4"/>
      <c r="M16250" s="7" t="s">
        <v>6871</v>
      </c>
    </row>
    <row r="16251" customFormat="false" ht="15.75" hidden="false" customHeight="false" outlineLevel="0" collapsed="false">
      <c r="A16251" s="6" t="n">
        <f aca="false">DATE(2026,5,2)</f>
        <v>46144</v>
      </c>
      <c r="B16251" s="4" t="s">
        <v>13</v>
      </c>
      <c r="C16251" s="4" t="n">
        <v>9</v>
      </c>
      <c r="D16251" s="4" t="n">
        <v>6</v>
      </c>
      <c r="E16251" s="4" t="s">
        <v>5171</v>
      </c>
      <c r="F16251" s="4" t="n">
        <v>41</v>
      </c>
      <c r="G16251" s="4" t="n">
        <v>3</v>
      </c>
      <c r="H16251" s="4" t="n">
        <v>2</v>
      </c>
      <c r="I16251" s="4" t="str">
        <v>○</v>
      </c>
      <c r="J16251" s="4" t="n">
        <v>210</v>
      </c>
      <c r="K16251" s="4"/>
      <c r="L16251" s="4"/>
      <c r="M16251" s="7" t="s">
        <v>6871</v>
      </c>
    </row>
    <row r="16252" customFormat="false" ht="15.75" hidden="false" customHeight="false" outlineLevel="0" collapsed="false">
      <c r="A16252" s="6" t="n">
        <f aca="false">DATE(2026,5,2)</f>
        <v>46144</v>
      </c>
      <c r="B16252" s="4" t="s">
        <v>13</v>
      </c>
      <c r="C16252" s="4" t="n">
        <v>9</v>
      </c>
      <c r="D16252" s="4" t="n">
        <v>7</v>
      </c>
      <c r="E16252" s="4" t="s">
        <v>6661</v>
      </c>
      <c r="F16252" s="4" t="n">
        <v>29</v>
      </c>
      <c r="G16252" s="4" t="n">
        <v>4</v>
      </c>
      <c r="H16252" s="4" t="n">
        <v>4</v>
      </c>
      <c r="I16252" s="4" t="str">
        <v>×</v>
      </c>
      <c r="J16252" s="4"/>
      <c r="K16252" s="4"/>
      <c r="L16252" s="4"/>
      <c r="M16252" s="7" t="s">
        <v>6871</v>
      </c>
    </row>
    <row r="16253" customFormat="false" ht="15.75" hidden="false" customHeight="false" outlineLevel="0" collapsed="false">
      <c r="A16253" s="6" t="n">
        <f aca="false">DATE(2026,5,2)</f>
        <v>46144</v>
      </c>
      <c r="B16253" s="4" t="s">
        <v>13</v>
      </c>
      <c r="C16253" s="4" t="n">
        <v>9</v>
      </c>
      <c r="D16253" s="4" t="n">
        <v>8</v>
      </c>
      <c r="E16253" s="4" t="s">
        <v>7306</v>
      </c>
      <c r="F16253" s="4" t="n">
        <v>17</v>
      </c>
      <c r="G16253" s="4" t="n">
        <v>9</v>
      </c>
      <c r="H16253" s="4" t="n">
        <v>4</v>
      </c>
      <c r="I16253" s="4" t="str">
        <v>×</v>
      </c>
      <c r="J16253" s="4"/>
      <c r="K16253" s="4"/>
      <c r="L16253" s="4"/>
      <c r="M16253" s="7" t="s">
        <v>6871</v>
      </c>
    </row>
    <row r="16254" customFormat="false" ht="15.75" hidden="false" customHeight="false" outlineLevel="0" collapsed="false">
      <c r="A16254" s="6" t="n">
        <f aca="false">DATE(2026,5,2)</f>
        <v>46144</v>
      </c>
      <c r="B16254" s="4" t="s">
        <v>13</v>
      </c>
      <c r="C16254" s="4" t="n">
        <v>9</v>
      </c>
      <c r="D16254" s="4" t="n">
        <v>9</v>
      </c>
      <c r="E16254" s="4" t="s">
        <v>4285</v>
      </c>
      <c r="F16254" s="4" t="n">
        <v>17</v>
      </c>
      <c r="G16254" s="4" t="n">
        <v>10</v>
      </c>
      <c r="H16254" s="4" t="n">
        <v>4</v>
      </c>
      <c r="I16254" s="4" t="str">
        <v>×</v>
      </c>
      <c r="J16254" s="4"/>
      <c r="K16254" s="4"/>
      <c r="L16254" s="4"/>
      <c r="M16254" s="7" t="s">
        <v>6871</v>
      </c>
    </row>
    <row r="16255" customFormat="false" ht="15.75" hidden="false" customHeight="false" outlineLevel="0" collapsed="false">
      <c r="A16255" s="6" t="n">
        <f aca="false">DATE(2026,5,2)</f>
        <v>46144</v>
      </c>
      <c r="B16255" s="4" t="s">
        <v>13</v>
      </c>
      <c r="C16255" s="4" t="n">
        <v>9</v>
      </c>
      <c r="D16255" s="4" t="n">
        <v>10</v>
      </c>
      <c r="E16255" s="4" t="s">
        <v>1545</v>
      </c>
      <c r="F16255" s="4" t="n">
        <v>10</v>
      </c>
      <c r="G16255" s="4" t="n">
        <v>14</v>
      </c>
      <c r="H16255" s="4" t="n">
        <v>4</v>
      </c>
      <c r="I16255" s="4" t="str">
        <v>×</v>
      </c>
      <c r="J16255" s="4"/>
      <c r="K16255" s="4"/>
      <c r="L16255" s="4"/>
      <c r="M16255" s="7" t="s">
        <v>6871</v>
      </c>
    </row>
    <row r="16256" customFormat="false" ht="15.75" hidden="false" customHeight="false" outlineLevel="0" collapsed="false">
      <c r="A16256" s="6" t="n">
        <f aca="false">DATE(2026,5,2)</f>
        <v>46144</v>
      </c>
      <c r="B16256" s="4" t="s">
        <v>13</v>
      </c>
      <c r="C16256" s="4" t="n">
        <v>9</v>
      </c>
      <c r="D16256" s="4" t="n">
        <v>11</v>
      </c>
      <c r="E16256" s="4" t="s">
        <v>7307</v>
      </c>
      <c r="F16256" s="4" t="n">
        <v>74</v>
      </c>
      <c r="G16256" s="4" t="n">
        <v>1</v>
      </c>
      <c r="H16256" s="4" t="n">
        <v>1</v>
      </c>
      <c r="I16256" s="4" t="str">
        <v>○</v>
      </c>
      <c r="J16256" s="4" t="n">
        <v>110</v>
      </c>
      <c r="K16256" s="4"/>
      <c r="L16256" s="4"/>
      <c r="M16256" s="7" t="s">
        <v>6871</v>
      </c>
    </row>
    <row r="16257" customFormat="false" ht="15.75" hidden="false" customHeight="false" outlineLevel="0" collapsed="false">
      <c r="A16257" s="6" t="n">
        <f aca="false">DATE(2026,5,2)</f>
        <v>46144</v>
      </c>
      <c r="B16257" s="4" t="s">
        <v>13</v>
      </c>
      <c r="C16257" s="4" t="n">
        <v>9</v>
      </c>
      <c r="D16257" s="4" t="n">
        <v>12</v>
      </c>
      <c r="E16257" s="4" t="s">
        <v>5685</v>
      </c>
      <c r="F16257" s="4" t="n">
        <v>20</v>
      </c>
      <c r="G16257" s="4" t="n">
        <v>8</v>
      </c>
      <c r="H16257" s="4" t="n">
        <v>3</v>
      </c>
      <c r="I16257" s="4" t="str">
        <v>○</v>
      </c>
      <c r="J16257" s="4" t="n">
        <v>210</v>
      </c>
      <c r="K16257" s="4"/>
      <c r="L16257" s="4"/>
      <c r="M16257" s="7" t="s">
        <v>6871</v>
      </c>
    </row>
    <row r="16258" customFormat="false" ht="15.75" hidden="false" customHeight="false" outlineLevel="0" collapsed="false">
      <c r="A16258" s="6" t="n">
        <f aca="false">DATE(2026,5,2)</f>
        <v>46144</v>
      </c>
      <c r="B16258" s="4" t="s">
        <v>13</v>
      </c>
      <c r="C16258" s="4" t="n">
        <v>9</v>
      </c>
      <c r="D16258" s="4" t="n">
        <v>13</v>
      </c>
      <c r="E16258" s="4" t="s">
        <v>1228</v>
      </c>
      <c r="F16258" s="4" t="n">
        <v>29</v>
      </c>
      <c r="G16258" s="4" t="n">
        <v>5</v>
      </c>
      <c r="H16258" s="4" t="n">
        <v>4</v>
      </c>
      <c r="I16258" s="4" t="str">
        <v>×</v>
      </c>
      <c r="J16258" s="4"/>
      <c r="K16258" s="4"/>
      <c r="L16258" s="4"/>
      <c r="M16258" s="7" t="s">
        <v>6871</v>
      </c>
    </row>
    <row r="16259" customFormat="false" ht="15.75" hidden="false" customHeight="false" outlineLevel="0" collapsed="false">
      <c r="A16259" s="6" t="n">
        <f aca="false">DATE(2026,5,2)</f>
        <v>46144</v>
      </c>
      <c r="B16259" s="4" t="s">
        <v>13</v>
      </c>
      <c r="C16259" s="4" t="n">
        <v>9</v>
      </c>
      <c r="D16259" s="4" t="n">
        <v>14</v>
      </c>
      <c r="E16259" s="4" t="s">
        <v>7308</v>
      </c>
      <c r="F16259" s="4" t="n">
        <v>10</v>
      </c>
      <c r="G16259" s="4" t="n">
        <v>15</v>
      </c>
      <c r="H16259" s="4" t="n">
        <v>4</v>
      </c>
      <c r="I16259" s="4" t="str">
        <v>×</v>
      </c>
      <c r="J16259" s="4"/>
      <c r="K16259" s="4"/>
      <c r="L16259" s="4"/>
      <c r="M16259" s="7" t="s">
        <v>6871</v>
      </c>
    </row>
    <row r="16260" customFormat="false" ht="15.75" hidden="false" customHeight="false" outlineLevel="0" collapsed="false">
      <c r="A16260" s="6" t="n">
        <f aca="false">DATE(2026,5,2)</f>
        <v>46144</v>
      </c>
      <c r="B16260" s="4" t="s">
        <v>13</v>
      </c>
      <c r="C16260" s="4" t="n">
        <v>9</v>
      </c>
      <c r="D16260" s="4" t="n">
        <v>15</v>
      </c>
      <c r="E16260" s="4" t="s">
        <v>6420</v>
      </c>
      <c r="F16260" s="4" t="n">
        <v>17</v>
      </c>
      <c r="G16260" s="4" t="n">
        <v>11</v>
      </c>
      <c r="H16260" s="4" t="n">
        <v>4</v>
      </c>
      <c r="I16260" s="4" t="str">
        <v>×</v>
      </c>
      <c r="J16260" s="4"/>
      <c r="K16260" s="4"/>
      <c r="L16260" s="4"/>
      <c r="M16260" s="7" t="s">
        <v>6871</v>
      </c>
    </row>
    <row r="16261" customFormat="false" ht="15.75" hidden="false" customHeight="false" outlineLevel="0" collapsed="false">
      <c r="A16261" s="6" t="n">
        <f aca="false">DATE(2026,5,2)</f>
        <v>46144</v>
      </c>
      <c r="B16261" s="4" t="s">
        <v>13</v>
      </c>
      <c r="C16261" s="4" t="n">
        <v>10</v>
      </c>
      <c r="D16261" s="4" t="n">
        <v>1</v>
      </c>
      <c r="E16261" s="4" t="s">
        <v>1070</v>
      </c>
      <c r="F16261" s="4" t="n">
        <v>15</v>
      </c>
      <c r="G16261" s="4" t="n">
        <v>10</v>
      </c>
      <c r="H16261" s="4" t="n">
        <v>4</v>
      </c>
      <c r="I16261" s="4" t="str">
        <v>×</v>
      </c>
      <c r="J16261" s="4"/>
      <c r="K16261" s="4"/>
      <c r="L16261" s="4"/>
      <c r="M16261" s="7" t="s">
        <v>6871</v>
      </c>
    </row>
    <row r="16262" customFormat="false" ht="15.75" hidden="false" customHeight="false" outlineLevel="0" collapsed="false">
      <c r="A16262" s="6" t="n">
        <f aca="false">DATE(2026,5,2)</f>
        <v>46144</v>
      </c>
      <c r="B16262" s="4" t="s">
        <v>13</v>
      </c>
      <c r="C16262" s="4" t="n">
        <v>10</v>
      </c>
      <c r="D16262" s="4" t="n">
        <v>2</v>
      </c>
      <c r="E16262" s="4" t="s">
        <v>7309</v>
      </c>
      <c r="F16262" s="4" t="n">
        <v>15</v>
      </c>
      <c r="G16262" s="4" t="n">
        <v>11</v>
      </c>
      <c r="H16262" s="4" t="n">
        <v>4</v>
      </c>
      <c r="I16262" s="4" t="str">
        <v>×</v>
      </c>
      <c r="J16262" s="4"/>
      <c r="K16262" s="4"/>
      <c r="L16262" s="4"/>
      <c r="M16262" s="7" t="s">
        <v>6871</v>
      </c>
    </row>
    <row r="16263" customFormat="false" ht="15.75" hidden="false" customHeight="false" outlineLevel="0" collapsed="false">
      <c r="A16263" s="6" t="n">
        <f aca="false">DATE(2026,5,2)</f>
        <v>46144</v>
      </c>
      <c r="B16263" s="4" t="s">
        <v>13</v>
      </c>
      <c r="C16263" s="4" t="n">
        <v>10</v>
      </c>
      <c r="D16263" s="4" t="n">
        <v>3</v>
      </c>
      <c r="E16263" s="4" t="s">
        <v>5626</v>
      </c>
      <c r="F16263" s="4" t="n">
        <v>17</v>
      </c>
      <c r="G16263" s="4" t="n">
        <v>7</v>
      </c>
      <c r="H16263" s="4" t="n">
        <v>4</v>
      </c>
      <c r="I16263" s="4" t="str">
        <v>×</v>
      </c>
      <c r="J16263" s="4"/>
      <c r="K16263" s="4"/>
      <c r="L16263" s="4"/>
      <c r="M16263" s="7" t="s">
        <v>6871</v>
      </c>
    </row>
    <row r="16264" customFormat="false" ht="15.75" hidden="false" customHeight="false" outlineLevel="0" collapsed="false">
      <c r="A16264" s="6" t="n">
        <f aca="false">DATE(2026,5,2)</f>
        <v>46144</v>
      </c>
      <c r="B16264" s="4" t="s">
        <v>13</v>
      </c>
      <c r="C16264" s="4" t="n">
        <v>10</v>
      </c>
      <c r="D16264" s="4" t="n">
        <v>4</v>
      </c>
      <c r="E16264" s="4" t="s">
        <v>6056</v>
      </c>
      <c r="F16264" s="4" t="n">
        <v>41</v>
      </c>
      <c r="G16264" s="4" t="n">
        <v>2</v>
      </c>
      <c r="H16264" s="4" t="n">
        <v>1</v>
      </c>
      <c r="I16264" s="4" t="str">
        <v>○</v>
      </c>
      <c r="J16264" s="4" t="n">
        <v>210</v>
      </c>
      <c r="K16264" s="4"/>
      <c r="L16264" s="4"/>
      <c r="M16264" s="7" t="s">
        <v>6871</v>
      </c>
    </row>
    <row r="16265" customFormat="false" ht="15.75" hidden="false" customHeight="false" outlineLevel="0" collapsed="false">
      <c r="A16265" s="6" t="n">
        <f aca="false">DATE(2026,5,2)</f>
        <v>46144</v>
      </c>
      <c r="B16265" s="4" t="s">
        <v>13</v>
      </c>
      <c r="C16265" s="4" t="n">
        <v>10</v>
      </c>
      <c r="D16265" s="4" t="n">
        <v>5</v>
      </c>
      <c r="E16265" s="4" t="s">
        <v>2909</v>
      </c>
      <c r="F16265" s="4" t="n">
        <v>13</v>
      </c>
      <c r="G16265" s="4" t="n">
        <v>13</v>
      </c>
      <c r="H16265" s="4" t="n">
        <v>4</v>
      </c>
      <c r="I16265" s="4" t="str">
        <v>×</v>
      </c>
      <c r="J16265" s="4"/>
      <c r="K16265" s="4"/>
      <c r="L16265" s="4"/>
      <c r="M16265" s="7" t="s">
        <v>6871</v>
      </c>
    </row>
    <row r="16266" customFormat="false" ht="15.75" hidden="false" customHeight="false" outlineLevel="0" collapsed="false">
      <c r="A16266" s="6" t="n">
        <f aca="false">DATE(2026,5,2)</f>
        <v>46144</v>
      </c>
      <c r="B16266" s="4" t="s">
        <v>13</v>
      </c>
      <c r="C16266" s="4" t="n">
        <v>10</v>
      </c>
      <c r="D16266" s="4" t="n">
        <v>6</v>
      </c>
      <c r="E16266" s="4" t="s">
        <v>3751</v>
      </c>
      <c r="F16266" s="4" t="n">
        <v>37</v>
      </c>
      <c r="G16266" s="4" t="n">
        <v>3</v>
      </c>
      <c r="H16266" s="4" t="n">
        <v>4</v>
      </c>
      <c r="I16266" s="4" t="str">
        <v>×</v>
      </c>
      <c r="J16266" s="4"/>
      <c r="K16266" s="4"/>
      <c r="L16266" s="4"/>
      <c r="M16266" s="7" t="s">
        <v>6871</v>
      </c>
    </row>
    <row r="16267" customFormat="false" ht="15.75" hidden="false" customHeight="false" outlineLevel="0" collapsed="false">
      <c r="A16267" s="6" t="n">
        <f aca="false">DATE(2026,5,2)</f>
        <v>46144</v>
      </c>
      <c r="B16267" s="4" t="s">
        <v>13</v>
      </c>
      <c r="C16267" s="4" t="n">
        <v>10</v>
      </c>
      <c r="D16267" s="4" t="n">
        <v>7</v>
      </c>
      <c r="E16267" s="4" t="s">
        <v>78</v>
      </c>
      <c r="F16267" s="4" t="n">
        <v>8</v>
      </c>
      <c r="G16267" s="4" t="n">
        <v>14</v>
      </c>
      <c r="H16267" s="4" t="n">
        <v>4</v>
      </c>
      <c r="I16267" s="4" t="str">
        <v>×</v>
      </c>
      <c r="J16267" s="4"/>
      <c r="K16267" s="4"/>
      <c r="L16267" s="4"/>
      <c r="M16267" s="7" t="s">
        <v>6871</v>
      </c>
    </row>
    <row r="16268" customFormat="false" ht="15.75" hidden="false" customHeight="false" outlineLevel="0" collapsed="false">
      <c r="A16268" s="6" t="n">
        <f aca="false">DATE(2026,5,2)</f>
        <v>46144</v>
      </c>
      <c r="B16268" s="4" t="s">
        <v>13</v>
      </c>
      <c r="C16268" s="4" t="n">
        <v>10</v>
      </c>
      <c r="D16268" s="4" t="n">
        <v>8</v>
      </c>
      <c r="E16268" s="4" t="s">
        <v>1517</v>
      </c>
      <c r="F16268" s="4" t="n">
        <v>31</v>
      </c>
      <c r="G16268" s="4" t="n">
        <v>5</v>
      </c>
      <c r="H16268" s="4" t="n">
        <v>3</v>
      </c>
      <c r="I16268" s="4" t="str">
        <v>○</v>
      </c>
      <c r="J16268" s="4" t="n">
        <v>250</v>
      </c>
      <c r="K16268" s="4"/>
      <c r="L16268" s="4"/>
      <c r="M16268" s="7" t="s">
        <v>6871</v>
      </c>
    </row>
    <row r="16269" customFormat="false" ht="15.75" hidden="false" customHeight="false" outlineLevel="0" collapsed="false">
      <c r="A16269" s="6" t="n">
        <f aca="false">DATE(2026,5,2)</f>
        <v>46144</v>
      </c>
      <c r="B16269" s="4" t="s">
        <v>13</v>
      </c>
      <c r="C16269" s="4" t="n">
        <v>10</v>
      </c>
      <c r="D16269" s="4" t="n">
        <v>9</v>
      </c>
      <c r="E16269" s="4" t="s">
        <v>6370</v>
      </c>
      <c r="F16269" s="4" t="n">
        <v>4</v>
      </c>
      <c r="G16269" s="4" t="n">
        <v>15</v>
      </c>
      <c r="H16269" s="4" t="n">
        <v>4</v>
      </c>
      <c r="I16269" s="4" t="str">
        <v>×</v>
      </c>
      <c r="J16269" s="4"/>
      <c r="K16269" s="4"/>
      <c r="L16269" s="4"/>
      <c r="M16269" s="7" t="s">
        <v>6871</v>
      </c>
    </row>
    <row r="16270" customFormat="false" ht="15.75" hidden="false" customHeight="false" outlineLevel="0" collapsed="false">
      <c r="A16270" s="6" t="n">
        <f aca="false">DATE(2026,5,2)</f>
        <v>46144</v>
      </c>
      <c r="B16270" s="4" t="s">
        <v>13</v>
      </c>
      <c r="C16270" s="4" t="n">
        <v>10</v>
      </c>
      <c r="D16270" s="4" t="n">
        <v>10</v>
      </c>
      <c r="E16270" s="4" t="s">
        <v>1819</v>
      </c>
      <c r="F16270" s="4" t="n">
        <v>23</v>
      </c>
      <c r="G16270" s="4" t="n">
        <v>6</v>
      </c>
      <c r="H16270" s="4" t="n">
        <v>4</v>
      </c>
      <c r="I16270" s="4" t="str">
        <v>×</v>
      </c>
      <c r="J16270" s="4"/>
      <c r="K16270" s="4"/>
      <c r="L16270" s="4"/>
      <c r="M16270" s="7" t="s">
        <v>6871</v>
      </c>
    </row>
    <row r="16271" customFormat="false" ht="15.75" hidden="false" customHeight="false" outlineLevel="0" collapsed="false">
      <c r="A16271" s="6" t="n">
        <f aca="false">DATE(2026,5,2)</f>
        <v>46144</v>
      </c>
      <c r="B16271" s="4" t="s">
        <v>13</v>
      </c>
      <c r="C16271" s="4" t="n">
        <v>10</v>
      </c>
      <c r="D16271" s="4" t="n">
        <v>11</v>
      </c>
      <c r="E16271" s="4" t="s">
        <v>7310</v>
      </c>
      <c r="F16271" s="4" t="n">
        <v>17</v>
      </c>
      <c r="G16271" s="4" t="n">
        <v>8</v>
      </c>
      <c r="H16271" s="4" t="n">
        <v>4</v>
      </c>
      <c r="I16271" s="4" t="str">
        <v>×</v>
      </c>
      <c r="J16271" s="4"/>
      <c r="K16271" s="4"/>
      <c r="L16271" s="4"/>
      <c r="M16271" s="7" t="s">
        <v>6871</v>
      </c>
    </row>
    <row r="16272" customFormat="false" ht="15.75" hidden="false" customHeight="false" outlineLevel="0" collapsed="false">
      <c r="A16272" s="6" t="n">
        <f aca="false">DATE(2026,5,2)</f>
        <v>46144</v>
      </c>
      <c r="B16272" s="4" t="s">
        <v>13</v>
      </c>
      <c r="C16272" s="4" t="n">
        <v>10</v>
      </c>
      <c r="D16272" s="4" t="n">
        <v>12</v>
      </c>
      <c r="E16272" s="4" t="s">
        <v>4035</v>
      </c>
      <c r="F16272" s="4" t="n">
        <v>56</v>
      </c>
      <c r="G16272" s="4" t="n">
        <v>1</v>
      </c>
      <c r="H16272" s="4" t="n">
        <v>4</v>
      </c>
      <c r="I16272" s="4" t="str">
        <v>×</v>
      </c>
      <c r="J16272" s="4"/>
      <c r="K16272" s="4"/>
      <c r="L16272" s="4"/>
      <c r="M16272" s="7" t="s">
        <v>6871</v>
      </c>
    </row>
    <row r="16273" customFormat="false" ht="15.75" hidden="false" customHeight="false" outlineLevel="0" collapsed="false">
      <c r="A16273" s="6" t="n">
        <f aca="false">DATE(2026,5,2)</f>
        <v>46144</v>
      </c>
      <c r="B16273" s="4" t="s">
        <v>13</v>
      </c>
      <c r="C16273" s="4" t="n">
        <v>10</v>
      </c>
      <c r="D16273" s="4" t="n">
        <v>13</v>
      </c>
      <c r="E16273" s="4" t="s">
        <v>3211</v>
      </c>
      <c r="F16273" s="4" t="n">
        <v>15</v>
      </c>
      <c r="G16273" s="4" t="n">
        <v>12</v>
      </c>
      <c r="H16273" s="4" t="n">
        <v>4</v>
      </c>
      <c r="I16273" s="4" t="str">
        <v>×</v>
      </c>
      <c r="J16273" s="4"/>
      <c r="K16273" s="4"/>
      <c r="L16273" s="4"/>
      <c r="M16273" s="7" t="s">
        <v>6871</v>
      </c>
    </row>
    <row r="16274" customFormat="false" ht="15.75" hidden="false" customHeight="false" outlineLevel="0" collapsed="false">
      <c r="A16274" s="6" t="n">
        <f aca="false">DATE(2026,5,2)</f>
        <v>46144</v>
      </c>
      <c r="B16274" s="4" t="s">
        <v>13</v>
      </c>
      <c r="C16274" s="4" t="n">
        <v>10</v>
      </c>
      <c r="D16274" s="4" t="n">
        <v>14</v>
      </c>
      <c r="E16274" s="4" t="s">
        <v>2646</v>
      </c>
      <c r="F16274" s="4" t="n">
        <v>17</v>
      </c>
      <c r="G16274" s="4" t="n">
        <v>9</v>
      </c>
      <c r="H16274" s="4" t="n">
        <v>4</v>
      </c>
      <c r="I16274" s="4" t="str">
        <v>×</v>
      </c>
      <c r="J16274" s="4"/>
      <c r="K16274" s="4"/>
      <c r="L16274" s="4"/>
      <c r="M16274" s="7" t="s">
        <v>6871</v>
      </c>
    </row>
    <row r="16275" customFormat="false" ht="15.75" hidden="false" customHeight="false" outlineLevel="0" collapsed="false">
      <c r="A16275" s="6" t="n">
        <f aca="false">DATE(2026,5,2)</f>
        <v>46144</v>
      </c>
      <c r="B16275" s="4" t="s">
        <v>13</v>
      </c>
      <c r="C16275" s="4" t="n">
        <v>10</v>
      </c>
      <c r="D16275" s="4" t="n">
        <v>15</v>
      </c>
      <c r="E16275" s="4" t="s">
        <v>3753</v>
      </c>
      <c r="F16275" s="4" t="n">
        <v>34</v>
      </c>
      <c r="G16275" s="4" t="n">
        <v>4</v>
      </c>
      <c r="H16275" s="4" t="n">
        <v>2</v>
      </c>
      <c r="I16275" s="4" t="str">
        <v>○</v>
      </c>
      <c r="J16275" s="4" t="n">
        <v>200</v>
      </c>
      <c r="K16275" s="4"/>
      <c r="L16275" s="4"/>
      <c r="M16275" s="7" t="s">
        <v>6871</v>
      </c>
    </row>
    <row r="16276" customFormat="false" ht="15.75" hidden="false" customHeight="false" outlineLevel="0" collapsed="false">
      <c r="A16276" s="6" t="n">
        <f aca="false">DATE(2026,5,2)</f>
        <v>46144</v>
      </c>
      <c r="B16276" s="4" t="s">
        <v>13</v>
      </c>
      <c r="C16276" s="4" t="n">
        <v>11</v>
      </c>
      <c r="D16276" s="4" t="n">
        <v>1</v>
      </c>
      <c r="E16276" s="4" t="s">
        <v>3759</v>
      </c>
      <c r="F16276" s="4" t="n">
        <v>8</v>
      </c>
      <c r="G16276" s="4" t="n">
        <v>11</v>
      </c>
      <c r="H16276" s="4" t="n">
        <v>4</v>
      </c>
      <c r="I16276" s="4" t="str">
        <v>×</v>
      </c>
      <c r="J16276" s="4"/>
      <c r="K16276" s="4"/>
      <c r="L16276" s="4"/>
      <c r="M16276" s="7" t="s">
        <v>6871</v>
      </c>
    </row>
    <row r="16277" customFormat="false" ht="15.75" hidden="false" customHeight="false" outlineLevel="0" collapsed="false">
      <c r="A16277" s="6" t="n">
        <f aca="false">DATE(2026,5,2)</f>
        <v>46144</v>
      </c>
      <c r="B16277" s="4" t="s">
        <v>13</v>
      </c>
      <c r="C16277" s="4" t="n">
        <v>11</v>
      </c>
      <c r="D16277" s="4" t="n">
        <v>2</v>
      </c>
      <c r="E16277" s="4" t="s">
        <v>7311</v>
      </c>
      <c r="F16277" s="4" t="n">
        <v>8</v>
      </c>
      <c r="G16277" s="4" t="n">
        <v>12</v>
      </c>
      <c r="H16277" s="4" t="n">
        <v>4</v>
      </c>
      <c r="I16277" s="4" t="str">
        <v>×</v>
      </c>
      <c r="J16277" s="4"/>
      <c r="K16277" s="4"/>
      <c r="L16277" s="4"/>
      <c r="M16277" s="7" t="s">
        <v>6871</v>
      </c>
    </row>
    <row r="16278" customFormat="false" ht="15.75" hidden="false" customHeight="false" outlineLevel="0" collapsed="false">
      <c r="A16278" s="6" t="n">
        <f aca="false">DATE(2026,5,2)</f>
        <v>46144</v>
      </c>
      <c r="B16278" s="4" t="s">
        <v>13</v>
      </c>
      <c r="C16278" s="4" t="n">
        <v>11</v>
      </c>
      <c r="D16278" s="4" t="n">
        <v>3</v>
      </c>
      <c r="E16278" s="4" t="s">
        <v>7312</v>
      </c>
      <c r="F16278" s="4" t="n">
        <v>4</v>
      </c>
      <c r="G16278" s="4" t="n">
        <v>14</v>
      </c>
      <c r="H16278" s="4" t="n">
        <v>4</v>
      </c>
      <c r="I16278" s="4" t="str">
        <v>×</v>
      </c>
      <c r="J16278" s="4"/>
      <c r="K16278" s="4"/>
      <c r="L16278" s="4"/>
      <c r="M16278" s="7" t="s">
        <v>6871</v>
      </c>
    </row>
    <row r="16279" customFormat="false" ht="15.75" hidden="false" customHeight="false" outlineLevel="0" collapsed="false">
      <c r="A16279" s="6" t="n">
        <f aca="false">DATE(2026,5,2)</f>
        <v>46144</v>
      </c>
      <c r="B16279" s="4" t="s">
        <v>13</v>
      </c>
      <c r="C16279" s="4" t="n">
        <v>11</v>
      </c>
      <c r="D16279" s="4" t="n">
        <v>4</v>
      </c>
      <c r="E16279" s="4" t="s">
        <v>7313</v>
      </c>
      <c r="F16279" s="4" t="n">
        <v>3</v>
      </c>
      <c r="G16279" s="4" t="n">
        <v>15</v>
      </c>
      <c r="H16279" s="4" t="n">
        <v>4</v>
      </c>
      <c r="I16279" s="4" t="str">
        <v>×</v>
      </c>
      <c r="J16279" s="4"/>
      <c r="K16279" s="4"/>
      <c r="L16279" s="4"/>
      <c r="M16279" s="7" t="s">
        <v>6871</v>
      </c>
    </row>
    <row r="16280" customFormat="false" ht="15.75" hidden="false" customHeight="false" outlineLevel="0" collapsed="false">
      <c r="A16280" s="6" t="n">
        <f aca="false">DATE(2026,5,2)</f>
        <v>46144</v>
      </c>
      <c r="B16280" s="4" t="s">
        <v>13</v>
      </c>
      <c r="C16280" s="4" t="n">
        <v>11</v>
      </c>
      <c r="D16280" s="4" t="n">
        <v>5</v>
      </c>
      <c r="E16280" s="4" t="s">
        <v>5066</v>
      </c>
      <c r="F16280" s="4" t="n">
        <v>34</v>
      </c>
      <c r="G16280" s="4" t="n">
        <v>2</v>
      </c>
      <c r="H16280" s="4" t="n">
        <v>1</v>
      </c>
      <c r="I16280" s="4" t="str">
        <v>○</v>
      </c>
      <c r="J16280" s="4" t="n">
        <v>160</v>
      </c>
      <c r="K16280" s="4"/>
      <c r="L16280" s="4"/>
      <c r="M16280" s="7" t="s">
        <v>6871</v>
      </c>
    </row>
    <row r="16281" customFormat="false" ht="15.75" hidden="false" customHeight="false" outlineLevel="0" collapsed="false">
      <c r="A16281" s="6" t="n">
        <f aca="false">DATE(2026,5,2)</f>
        <v>46144</v>
      </c>
      <c r="B16281" s="4" t="s">
        <v>13</v>
      </c>
      <c r="C16281" s="4" t="n">
        <v>11</v>
      </c>
      <c r="D16281" s="4" t="n">
        <v>6</v>
      </c>
      <c r="E16281" s="4" t="s">
        <v>4955</v>
      </c>
      <c r="F16281" s="4" t="n">
        <v>23</v>
      </c>
      <c r="G16281" s="4" t="n">
        <v>7</v>
      </c>
      <c r="H16281" s="4" t="n">
        <v>4</v>
      </c>
      <c r="I16281" s="4" t="str">
        <v>×</v>
      </c>
      <c r="J16281" s="4"/>
      <c r="K16281" s="4"/>
      <c r="L16281" s="4"/>
      <c r="M16281" s="7" t="s">
        <v>6871</v>
      </c>
    </row>
    <row r="16282" customFormat="false" ht="15.75" hidden="false" customHeight="false" outlineLevel="0" collapsed="false">
      <c r="A16282" s="6" t="n">
        <f aca="false">DATE(2026,5,2)</f>
        <v>46144</v>
      </c>
      <c r="B16282" s="4" t="s">
        <v>13</v>
      </c>
      <c r="C16282" s="4" t="n">
        <v>11</v>
      </c>
      <c r="D16282" s="4" t="n">
        <v>7</v>
      </c>
      <c r="E16282" s="4" t="s">
        <v>3398</v>
      </c>
      <c r="F16282" s="4" t="n">
        <v>17</v>
      </c>
      <c r="G16282" s="4" t="n">
        <v>10</v>
      </c>
      <c r="H16282" s="4" t="n">
        <v>4</v>
      </c>
      <c r="I16282" s="4" t="str">
        <v>×</v>
      </c>
      <c r="J16282" s="4"/>
      <c r="K16282" s="4"/>
      <c r="L16282" s="4"/>
      <c r="M16282" s="7" t="s">
        <v>6871</v>
      </c>
    </row>
    <row r="16283" customFormat="false" ht="15.75" hidden="false" customHeight="false" outlineLevel="0" collapsed="false">
      <c r="A16283" s="6" t="n">
        <f aca="false">DATE(2026,5,2)</f>
        <v>46144</v>
      </c>
      <c r="B16283" s="4" t="s">
        <v>13</v>
      </c>
      <c r="C16283" s="4" t="n">
        <v>11</v>
      </c>
      <c r="D16283" s="4" t="n">
        <v>8</v>
      </c>
      <c r="E16283" s="4" t="s">
        <v>7314</v>
      </c>
      <c r="F16283" s="4" t="n">
        <v>31</v>
      </c>
      <c r="G16283" s="4" t="n">
        <v>3</v>
      </c>
      <c r="H16283" s="4" t="n">
        <v>4</v>
      </c>
      <c r="I16283" s="4" t="str">
        <v>×</v>
      </c>
      <c r="J16283" s="4"/>
      <c r="K16283" s="4"/>
      <c r="L16283" s="4"/>
      <c r="M16283" s="7" t="s">
        <v>6871</v>
      </c>
    </row>
    <row r="16284" customFormat="false" ht="15.75" hidden="false" customHeight="false" outlineLevel="0" collapsed="false">
      <c r="A16284" s="6" t="n">
        <f aca="false">DATE(2026,5,2)</f>
        <v>46144</v>
      </c>
      <c r="B16284" s="4" t="s">
        <v>13</v>
      </c>
      <c r="C16284" s="4" t="n">
        <v>11</v>
      </c>
      <c r="D16284" s="4" t="n">
        <v>9</v>
      </c>
      <c r="E16284" s="4" t="s">
        <v>1682</v>
      </c>
      <c r="F16284" s="4" t="n">
        <v>29</v>
      </c>
      <c r="G16284" s="4" t="n">
        <v>4</v>
      </c>
      <c r="H16284" s="4" t="n">
        <v>4</v>
      </c>
      <c r="I16284" s="4" t="str">
        <v>×</v>
      </c>
      <c r="J16284" s="4"/>
      <c r="K16284" s="4"/>
      <c r="L16284" s="4"/>
      <c r="M16284" s="7" t="s">
        <v>6871</v>
      </c>
    </row>
    <row r="16285" customFormat="false" ht="15.75" hidden="false" customHeight="false" outlineLevel="0" collapsed="false">
      <c r="A16285" s="6" t="n">
        <f aca="false">DATE(2026,5,2)</f>
        <v>46144</v>
      </c>
      <c r="B16285" s="4" t="s">
        <v>13</v>
      </c>
      <c r="C16285" s="4" t="n">
        <v>11</v>
      </c>
      <c r="D16285" s="4" t="n">
        <v>10</v>
      </c>
      <c r="E16285" s="4" t="s">
        <v>3643</v>
      </c>
      <c r="F16285" s="4" t="n">
        <v>8</v>
      </c>
      <c r="G16285" s="4" t="n">
        <v>13</v>
      </c>
      <c r="H16285" s="4" t="n">
        <v>4</v>
      </c>
      <c r="I16285" s="4" t="str">
        <v>×</v>
      </c>
      <c r="J16285" s="4"/>
      <c r="K16285" s="4"/>
      <c r="L16285" s="4"/>
      <c r="M16285" s="7" t="s">
        <v>6871</v>
      </c>
    </row>
    <row r="16286" customFormat="false" ht="15.75" hidden="false" customHeight="false" outlineLevel="0" collapsed="false">
      <c r="A16286" s="6" t="n">
        <f aca="false">DATE(2026,5,2)</f>
        <v>46144</v>
      </c>
      <c r="B16286" s="4" t="s">
        <v>13</v>
      </c>
      <c r="C16286" s="4" t="n">
        <v>11</v>
      </c>
      <c r="D16286" s="4" t="n">
        <v>11</v>
      </c>
      <c r="E16286" s="4" t="s">
        <v>7315</v>
      </c>
      <c r="F16286" s="4" t="n">
        <v>23</v>
      </c>
      <c r="G16286" s="4" t="n">
        <v>8</v>
      </c>
      <c r="H16286" s="4" t="n">
        <v>4</v>
      </c>
      <c r="I16286" s="4" t="str">
        <v>×</v>
      </c>
      <c r="J16286" s="4"/>
      <c r="K16286" s="4"/>
      <c r="L16286" s="4"/>
      <c r="M16286" s="7" t="s">
        <v>6871</v>
      </c>
    </row>
    <row r="16287" customFormat="false" ht="15.75" hidden="false" customHeight="false" outlineLevel="0" collapsed="false">
      <c r="A16287" s="6" t="n">
        <f aca="false">DATE(2026,5,2)</f>
        <v>46144</v>
      </c>
      <c r="B16287" s="4" t="s">
        <v>13</v>
      </c>
      <c r="C16287" s="4" t="n">
        <v>11</v>
      </c>
      <c r="D16287" s="4" t="n">
        <v>12</v>
      </c>
      <c r="E16287" s="4" t="s">
        <v>3873</v>
      </c>
      <c r="F16287" s="4" t="n">
        <v>47</v>
      </c>
      <c r="G16287" s="4" t="n">
        <v>1</v>
      </c>
      <c r="H16287" s="4" t="n">
        <v>2</v>
      </c>
      <c r="I16287" s="4" t="str">
        <v>○</v>
      </c>
      <c r="J16287" s="4" t="n">
        <v>390</v>
      </c>
      <c r="K16287" s="4"/>
      <c r="L16287" s="4"/>
      <c r="M16287" s="7" t="s">
        <v>6871</v>
      </c>
    </row>
    <row r="16288" customFormat="false" ht="15.75" hidden="false" customHeight="false" outlineLevel="0" collapsed="false">
      <c r="A16288" s="6" t="n">
        <f aca="false">DATE(2026,5,2)</f>
        <v>46144</v>
      </c>
      <c r="B16288" s="4" t="s">
        <v>13</v>
      </c>
      <c r="C16288" s="4" t="n">
        <v>11</v>
      </c>
      <c r="D16288" s="4" t="n">
        <v>13</v>
      </c>
      <c r="E16288" s="4" t="s">
        <v>4205</v>
      </c>
      <c r="F16288" s="4" t="n">
        <v>25</v>
      </c>
      <c r="G16288" s="4" t="n">
        <v>6</v>
      </c>
      <c r="H16288" s="4" t="n">
        <v>3</v>
      </c>
      <c r="I16288" s="4" t="str">
        <v>○</v>
      </c>
      <c r="J16288" s="4" t="n">
        <v>310</v>
      </c>
      <c r="K16288" s="4"/>
      <c r="L16288" s="4"/>
      <c r="M16288" s="7" t="s">
        <v>6871</v>
      </c>
    </row>
    <row r="16289" customFormat="false" ht="15.75" hidden="false" customHeight="false" outlineLevel="0" collapsed="false">
      <c r="A16289" s="6" t="n">
        <f aca="false">DATE(2026,5,2)</f>
        <v>46144</v>
      </c>
      <c r="B16289" s="4" t="s">
        <v>13</v>
      </c>
      <c r="C16289" s="4" t="n">
        <v>11</v>
      </c>
      <c r="D16289" s="4" t="n">
        <v>14</v>
      </c>
      <c r="E16289" s="4" t="s">
        <v>4194</v>
      </c>
      <c r="F16289" s="4" t="n">
        <v>29</v>
      </c>
      <c r="G16289" s="4" t="n">
        <v>5</v>
      </c>
      <c r="H16289" s="4" t="n">
        <v>4</v>
      </c>
      <c r="I16289" s="4" t="str">
        <v>×</v>
      </c>
      <c r="J16289" s="4"/>
      <c r="K16289" s="4"/>
      <c r="L16289" s="4"/>
      <c r="M16289" s="7" t="s">
        <v>6871</v>
      </c>
    </row>
    <row r="16290" customFormat="false" ht="15.75" hidden="false" customHeight="false" outlineLevel="0" collapsed="false">
      <c r="A16290" s="6" t="n">
        <f aca="false">DATE(2026,5,2)</f>
        <v>46144</v>
      </c>
      <c r="B16290" s="4" t="s">
        <v>13</v>
      </c>
      <c r="C16290" s="4" t="n">
        <v>11</v>
      </c>
      <c r="D16290" s="4" t="n">
        <v>15</v>
      </c>
      <c r="E16290" s="4" t="s">
        <v>3766</v>
      </c>
      <c r="F16290" s="4" t="n">
        <v>20</v>
      </c>
      <c r="G16290" s="4" t="n">
        <v>9</v>
      </c>
      <c r="H16290" s="4" t="n">
        <v>4</v>
      </c>
      <c r="I16290" s="4" t="str">
        <v>×</v>
      </c>
      <c r="J16290" s="4"/>
      <c r="K16290" s="4"/>
      <c r="L16290" s="4"/>
      <c r="M16290" s="7" t="s">
        <v>6871</v>
      </c>
    </row>
    <row r="16291" customFormat="false" ht="15.75" hidden="false" customHeight="false" outlineLevel="0" collapsed="false">
      <c r="A16291" s="6" t="n">
        <f aca="false">DATE(2026,5,2)</f>
        <v>46144</v>
      </c>
      <c r="B16291" s="4" t="s">
        <v>13</v>
      </c>
      <c r="C16291" s="4" t="n">
        <v>12</v>
      </c>
      <c r="D16291" s="4" t="n">
        <v>1</v>
      </c>
      <c r="E16291" s="4" t="s">
        <v>6240</v>
      </c>
      <c r="F16291" s="4" t="n">
        <v>13</v>
      </c>
      <c r="G16291" s="4" t="n">
        <v>9</v>
      </c>
      <c r="H16291" s="4" t="n">
        <v>4</v>
      </c>
      <c r="I16291" s="4" t="str">
        <v>×</v>
      </c>
      <c r="J16291" s="4"/>
      <c r="K16291" s="4"/>
      <c r="L16291" s="4"/>
      <c r="M16291" s="7" t="s">
        <v>6871</v>
      </c>
    </row>
    <row r="16292" customFormat="false" ht="15.75" hidden="false" customHeight="false" outlineLevel="0" collapsed="false">
      <c r="A16292" s="6" t="n">
        <f aca="false">DATE(2026,5,2)</f>
        <v>46144</v>
      </c>
      <c r="B16292" s="4" t="s">
        <v>13</v>
      </c>
      <c r="C16292" s="4" t="n">
        <v>12</v>
      </c>
      <c r="D16292" s="4" t="n">
        <v>2</v>
      </c>
      <c r="E16292" s="4" t="s">
        <v>7316</v>
      </c>
      <c r="F16292" s="4" t="n">
        <v>50</v>
      </c>
      <c r="G16292" s="4" t="n">
        <v>1</v>
      </c>
      <c r="H16292" s="4" t="n">
        <v>4</v>
      </c>
      <c r="I16292" s="4" t="str">
        <v>×</v>
      </c>
      <c r="J16292" s="4"/>
      <c r="K16292" s="4"/>
      <c r="L16292" s="4"/>
      <c r="M16292" s="7" t="s">
        <v>6871</v>
      </c>
    </row>
    <row r="16293" customFormat="false" ht="15.75" hidden="false" customHeight="false" outlineLevel="0" collapsed="false">
      <c r="A16293" s="6" t="n">
        <f aca="false">DATE(2026,5,2)</f>
        <v>46144</v>
      </c>
      <c r="B16293" s="4" t="s">
        <v>13</v>
      </c>
      <c r="C16293" s="4" t="n">
        <v>12</v>
      </c>
      <c r="D16293" s="4" t="n">
        <v>3</v>
      </c>
      <c r="E16293" s="4" t="s">
        <v>7317</v>
      </c>
      <c r="F16293" s="4" t="n">
        <v>25</v>
      </c>
      <c r="G16293" s="4" t="n">
        <v>3</v>
      </c>
      <c r="H16293" s="4" t="n">
        <v>4</v>
      </c>
      <c r="I16293" s="4" t="str">
        <v>×</v>
      </c>
      <c r="J16293" s="4"/>
      <c r="K16293" s="4"/>
      <c r="L16293" s="4"/>
      <c r="M16293" s="7" t="s">
        <v>6871</v>
      </c>
    </row>
    <row r="16294" customFormat="false" ht="15.75" hidden="false" customHeight="false" outlineLevel="0" collapsed="false">
      <c r="A16294" s="6" t="n">
        <f aca="false">DATE(2026,5,2)</f>
        <v>46144</v>
      </c>
      <c r="B16294" s="4" t="s">
        <v>13</v>
      </c>
      <c r="C16294" s="4" t="n">
        <v>12</v>
      </c>
      <c r="D16294" s="4" t="n">
        <v>4</v>
      </c>
      <c r="E16294" s="4" t="s">
        <v>614</v>
      </c>
      <c r="F16294" s="4" t="n">
        <v>29</v>
      </c>
      <c r="G16294" s="4" t="n">
        <v>2</v>
      </c>
      <c r="H16294" s="4" t="n">
        <v>4</v>
      </c>
      <c r="I16294" s="4" t="str">
        <v>×</v>
      </c>
      <c r="J16294" s="4"/>
      <c r="K16294" s="4"/>
      <c r="L16294" s="4"/>
      <c r="M16294" s="7" t="s">
        <v>6871</v>
      </c>
    </row>
    <row r="16295" customFormat="false" ht="15.75" hidden="false" customHeight="false" outlineLevel="0" collapsed="false">
      <c r="A16295" s="6" t="n">
        <f aca="false">DATE(2026,5,2)</f>
        <v>46144</v>
      </c>
      <c r="B16295" s="4" t="s">
        <v>13</v>
      </c>
      <c r="C16295" s="4" t="n">
        <v>12</v>
      </c>
      <c r="D16295" s="4" t="n">
        <v>5</v>
      </c>
      <c r="E16295" s="4" t="s">
        <v>2510</v>
      </c>
      <c r="F16295" s="4" t="n">
        <v>13</v>
      </c>
      <c r="G16295" s="4" t="n">
        <v>10</v>
      </c>
      <c r="H16295" s="4" t="n">
        <v>4</v>
      </c>
      <c r="I16295" s="4" t="str">
        <v>×</v>
      </c>
      <c r="J16295" s="4"/>
      <c r="K16295" s="4"/>
      <c r="L16295" s="4"/>
      <c r="M16295" s="7" t="s">
        <v>6871</v>
      </c>
    </row>
    <row r="16296" customFormat="false" ht="15.75" hidden="false" customHeight="false" outlineLevel="0" collapsed="false">
      <c r="A16296" s="6" t="n">
        <f aca="false">DATE(2026,5,2)</f>
        <v>46144</v>
      </c>
      <c r="B16296" s="4" t="s">
        <v>13</v>
      </c>
      <c r="C16296" s="4" t="n">
        <v>12</v>
      </c>
      <c r="D16296" s="4" t="n">
        <v>6</v>
      </c>
      <c r="E16296" s="4" t="s">
        <v>3124</v>
      </c>
      <c r="F16296" s="4" t="n">
        <v>10</v>
      </c>
      <c r="G16296" s="4" t="n">
        <v>12</v>
      </c>
      <c r="H16296" s="4" t="n">
        <v>4</v>
      </c>
      <c r="I16296" s="4" t="str">
        <v>×</v>
      </c>
      <c r="J16296" s="4"/>
      <c r="K16296" s="4"/>
      <c r="L16296" s="4"/>
      <c r="M16296" s="7" t="s">
        <v>6871</v>
      </c>
    </row>
    <row r="16297" customFormat="false" ht="15.75" hidden="false" customHeight="false" outlineLevel="0" collapsed="false">
      <c r="A16297" s="6" t="n">
        <f aca="false">DATE(2026,5,2)</f>
        <v>46144</v>
      </c>
      <c r="B16297" s="4" t="s">
        <v>13</v>
      </c>
      <c r="C16297" s="4" t="n">
        <v>12</v>
      </c>
      <c r="D16297" s="4" t="n">
        <v>7</v>
      </c>
      <c r="E16297" s="4" t="s">
        <v>7318</v>
      </c>
      <c r="F16297" s="4" t="n">
        <v>20</v>
      </c>
      <c r="G16297" s="4" t="n">
        <v>6</v>
      </c>
      <c r="H16297" s="4" t="n">
        <v>4</v>
      </c>
      <c r="I16297" s="4" t="str">
        <v>×</v>
      </c>
      <c r="J16297" s="4"/>
      <c r="K16297" s="4"/>
      <c r="L16297" s="4"/>
      <c r="M16297" s="7" t="s">
        <v>6871</v>
      </c>
    </row>
    <row r="16298" customFormat="false" ht="15.75" hidden="false" customHeight="false" outlineLevel="0" collapsed="false">
      <c r="A16298" s="6" t="n">
        <f aca="false">DATE(2026,5,2)</f>
        <v>46144</v>
      </c>
      <c r="B16298" s="4" t="s">
        <v>13</v>
      </c>
      <c r="C16298" s="4" t="n">
        <v>12</v>
      </c>
      <c r="D16298" s="4" t="n">
        <v>8</v>
      </c>
      <c r="E16298" s="4" t="s">
        <v>7319</v>
      </c>
      <c r="F16298" s="4" t="n">
        <v>23</v>
      </c>
      <c r="G16298" s="4" t="n">
        <v>4</v>
      </c>
      <c r="H16298" s="4" t="n">
        <v>1</v>
      </c>
      <c r="I16298" s="4" t="str">
        <v>○</v>
      </c>
      <c r="J16298" s="4" t="n">
        <v>150</v>
      </c>
      <c r="K16298" s="4"/>
      <c r="L16298" s="4"/>
      <c r="M16298" s="7" t="s">
        <v>6871</v>
      </c>
    </row>
    <row r="16299" customFormat="false" ht="15.75" hidden="false" customHeight="false" outlineLevel="0" collapsed="false">
      <c r="A16299" s="6" t="n">
        <f aca="false">DATE(2026,5,2)</f>
        <v>46144</v>
      </c>
      <c r="B16299" s="4" t="s">
        <v>13</v>
      </c>
      <c r="C16299" s="4" t="n">
        <v>12</v>
      </c>
      <c r="D16299" s="4" t="n">
        <v>9</v>
      </c>
      <c r="E16299" s="4" t="s">
        <v>6481</v>
      </c>
      <c r="F16299" s="4" t="n">
        <v>8</v>
      </c>
      <c r="G16299" s="4" t="n">
        <v>14</v>
      </c>
      <c r="H16299" s="4" t="n">
        <v>4</v>
      </c>
      <c r="I16299" s="4" t="str">
        <v>×</v>
      </c>
      <c r="J16299" s="4"/>
      <c r="K16299" s="4"/>
      <c r="L16299" s="4"/>
      <c r="M16299" s="7" t="s">
        <v>6871</v>
      </c>
    </row>
    <row r="16300" customFormat="false" ht="15.75" hidden="false" customHeight="false" outlineLevel="0" collapsed="false">
      <c r="A16300" s="6" t="n">
        <f aca="false">DATE(2026,5,2)</f>
        <v>46144</v>
      </c>
      <c r="B16300" s="4" t="s">
        <v>13</v>
      </c>
      <c r="C16300" s="4" t="n">
        <v>12</v>
      </c>
      <c r="D16300" s="4" t="n">
        <v>10</v>
      </c>
      <c r="E16300" s="4" t="s">
        <v>2884</v>
      </c>
      <c r="F16300" s="4" t="n">
        <v>3</v>
      </c>
      <c r="G16300" s="4" t="n">
        <v>15</v>
      </c>
      <c r="H16300" s="4" t="n">
        <v>4</v>
      </c>
      <c r="I16300" s="4" t="str">
        <v>×</v>
      </c>
      <c r="J16300" s="4"/>
      <c r="K16300" s="4"/>
      <c r="L16300" s="4"/>
      <c r="M16300" s="7" t="s">
        <v>6871</v>
      </c>
    </row>
    <row r="16301" customFormat="false" ht="15.75" hidden="false" customHeight="false" outlineLevel="0" collapsed="false">
      <c r="A16301" s="6" t="n">
        <f aca="false">DATE(2026,5,2)</f>
        <v>46144</v>
      </c>
      <c r="B16301" s="4" t="s">
        <v>13</v>
      </c>
      <c r="C16301" s="4" t="n">
        <v>12</v>
      </c>
      <c r="D16301" s="4" t="n">
        <v>11</v>
      </c>
      <c r="E16301" s="4" t="s">
        <v>608</v>
      </c>
      <c r="F16301" s="4" t="n">
        <v>1</v>
      </c>
      <c r="G16301" s="4" t="n">
        <v>16</v>
      </c>
      <c r="H16301" s="4" t="n">
        <v>4</v>
      </c>
      <c r="I16301" s="4" t="str">
        <v>×</v>
      </c>
      <c r="J16301" s="4"/>
      <c r="K16301" s="4"/>
      <c r="L16301" s="4"/>
      <c r="M16301" s="7" t="s">
        <v>6871</v>
      </c>
    </row>
    <row r="16302" customFormat="false" ht="15.75" hidden="false" customHeight="false" outlineLevel="0" collapsed="false">
      <c r="A16302" s="6" t="n">
        <f aca="false">DATE(2026,5,2)</f>
        <v>46144</v>
      </c>
      <c r="B16302" s="4" t="s">
        <v>13</v>
      </c>
      <c r="C16302" s="4" t="n">
        <v>12</v>
      </c>
      <c r="D16302" s="4" t="n">
        <v>12</v>
      </c>
      <c r="E16302" s="4" t="s">
        <v>398</v>
      </c>
      <c r="F16302" s="4" t="n">
        <v>13</v>
      </c>
      <c r="G16302" s="4" t="n">
        <v>11</v>
      </c>
      <c r="H16302" s="4" t="n">
        <v>4</v>
      </c>
      <c r="I16302" s="4" t="str">
        <v>×</v>
      </c>
      <c r="J16302" s="4"/>
      <c r="K16302" s="4"/>
      <c r="L16302" s="4"/>
      <c r="M16302" s="7" t="s">
        <v>6871</v>
      </c>
    </row>
    <row r="16303" customFormat="false" ht="15.75" hidden="false" customHeight="false" outlineLevel="0" collapsed="false">
      <c r="A16303" s="6" t="n">
        <f aca="false">DATE(2026,5,2)</f>
        <v>46144</v>
      </c>
      <c r="B16303" s="4" t="s">
        <v>13</v>
      </c>
      <c r="C16303" s="4" t="n">
        <v>12</v>
      </c>
      <c r="D16303" s="4" t="n">
        <v>13</v>
      </c>
      <c r="E16303" s="4" t="s">
        <v>7320</v>
      </c>
      <c r="F16303" s="4" t="n">
        <v>17</v>
      </c>
      <c r="G16303" s="4" t="n">
        <v>7</v>
      </c>
      <c r="H16303" s="4" t="n">
        <v>4</v>
      </c>
      <c r="I16303" s="4" t="str">
        <v>×</v>
      </c>
      <c r="J16303" s="4"/>
      <c r="K16303" s="4"/>
      <c r="L16303" s="4"/>
      <c r="M16303" s="7" t="s">
        <v>6871</v>
      </c>
    </row>
    <row r="16304" customFormat="false" ht="15.75" hidden="false" customHeight="false" outlineLevel="0" collapsed="false">
      <c r="A16304" s="6" t="n">
        <f aca="false">DATE(2026,5,2)</f>
        <v>46144</v>
      </c>
      <c r="B16304" s="4" t="s">
        <v>13</v>
      </c>
      <c r="C16304" s="4" t="n">
        <v>12</v>
      </c>
      <c r="D16304" s="4" t="n">
        <v>14</v>
      </c>
      <c r="E16304" s="4" t="s">
        <v>7321</v>
      </c>
      <c r="F16304" s="4" t="n">
        <v>15</v>
      </c>
      <c r="G16304" s="4" t="n">
        <v>8</v>
      </c>
      <c r="H16304" s="4" t="n">
        <v>4</v>
      </c>
      <c r="I16304" s="4" t="str">
        <v>×</v>
      </c>
      <c r="J16304" s="4"/>
      <c r="K16304" s="4"/>
      <c r="L16304" s="4"/>
      <c r="M16304" s="7" t="s">
        <v>6871</v>
      </c>
    </row>
    <row r="16305" customFormat="false" ht="15.75" hidden="false" customHeight="false" outlineLevel="0" collapsed="false">
      <c r="A16305" s="6" t="n">
        <f aca="false">DATE(2026,5,2)</f>
        <v>46144</v>
      </c>
      <c r="B16305" s="4" t="s">
        <v>13</v>
      </c>
      <c r="C16305" s="4" t="n">
        <v>12</v>
      </c>
      <c r="D16305" s="4" t="n">
        <v>15</v>
      </c>
      <c r="E16305" s="4" t="s">
        <v>2545</v>
      </c>
      <c r="F16305" s="4" t="n">
        <v>10</v>
      </c>
      <c r="G16305" s="4" t="n">
        <v>13</v>
      </c>
      <c r="H16305" s="4" t="n">
        <v>3</v>
      </c>
      <c r="I16305" s="4" t="str">
        <v>○</v>
      </c>
      <c r="J16305" s="4" t="n">
        <v>160</v>
      </c>
      <c r="K16305" s="4"/>
      <c r="L16305" s="4"/>
      <c r="M16305" s="7" t="s">
        <v>6871</v>
      </c>
    </row>
    <row r="16306" customFormat="false" ht="15.75" hidden="false" customHeight="false" outlineLevel="0" collapsed="false">
      <c r="A16306" s="6" t="n">
        <f aca="false">DATE(2026,5,2)</f>
        <v>46144</v>
      </c>
      <c r="B16306" s="4" t="s">
        <v>13</v>
      </c>
      <c r="C16306" s="4" t="n">
        <v>12</v>
      </c>
      <c r="D16306" s="4" t="n">
        <v>16</v>
      </c>
      <c r="E16306" s="4" t="s">
        <v>6480</v>
      </c>
      <c r="F16306" s="4" t="n">
        <v>23</v>
      </c>
      <c r="G16306" s="4" t="n">
        <v>5</v>
      </c>
      <c r="H16306" s="4" t="n">
        <v>2</v>
      </c>
      <c r="I16306" s="4" t="str">
        <v>○</v>
      </c>
      <c r="J16306" s="4" t="n">
        <v>150</v>
      </c>
      <c r="K16306" s="4"/>
      <c r="L16306" s="4"/>
      <c r="M16306" s="7" t="s">
        <v>6871</v>
      </c>
    </row>
    <row r="16307" customFormat="false" ht="15.75" hidden="false" customHeight="false" outlineLevel="0" collapsed="false">
      <c r="A16307" s="6" t="n">
        <f aca="false">DATE(2026,5,2)</f>
        <v>46144</v>
      </c>
      <c r="B16307" s="4" t="s">
        <v>4473</v>
      </c>
      <c r="C16307" s="4" t="n">
        <v>1</v>
      </c>
      <c r="D16307" s="4" t="n">
        <v>1</v>
      </c>
      <c r="E16307" s="4" t="s">
        <v>496</v>
      </c>
      <c r="F16307" s="4" t="n">
        <v>44</v>
      </c>
      <c r="G16307" s="4" t="n">
        <v>3</v>
      </c>
      <c r="H16307" s="4" t="n">
        <v>2</v>
      </c>
      <c r="I16307" s="4" t="str">
        <v>○</v>
      </c>
      <c r="J16307" s="4" t="n">
        <v>120</v>
      </c>
      <c r="K16307" s="4"/>
      <c r="L16307" s="4"/>
      <c r="M16307" s="7" t="s">
        <v>6871</v>
      </c>
    </row>
    <row r="16308" customFormat="false" ht="15.75" hidden="false" customHeight="false" outlineLevel="0" collapsed="false">
      <c r="A16308" s="6" t="n">
        <f aca="false">DATE(2026,5,2)</f>
        <v>46144</v>
      </c>
      <c r="B16308" s="4" t="s">
        <v>4473</v>
      </c>
      <c r="C16308" s="4" t="n">
        <v>1</v>
      </c>
      <c r="D16308" s="4" t="n">
        <v>2</v>
      </c>
      <c r="E16308" s="4" t="s">
        <v>1256</v>
      </c>
      <c r="F16308" s="4" t="n">
        <v>58</v>
      </c>
      <c r="G16308" s="4" t="n">
        <v>2</v>
      </c>
      <c r="H16308" s="4" t="n">
        <v>4</v>
      </c>
      <c r="I16308" s="4" t="str">
        <v>×</v>
      </c>
      <c r="J16308" s="4"/>
      <c r="K16308" s="4"/>
      <c r="L16308" s="4"/>
      <c r="M16308" s="7" t="s">
        <v>6871</v>
      </c>
    </row>
    <row r="16309" customFormat="false" ht="15.75" hidden="false" customHeight="false" outlineLevel="0" collapsed="false">
      <c r="A16309" s="6" t="n">
        <f aca="false">DATE(2026,5,2)</f>
        <v>46144</v>
      </c>
      <c r="B16309" s="4" t="s">
        <v>4473</v>
      </c>
      <c r="C16309" s="4" t="n">
        <v>1</v>
      </c>
      <c r="D16309" s="4" t="n">
        <v>3</v>
      </c>
      <c r="E16309" s="4" t="s">
        <v>7322</v>
      </c>
      <c r="F16309" s="4" t="n">
        <v>4</v>
      </c>
      <c r="G16309" s="4" t="n">
        <v>10</v>
      </c>
      <c r="H16309" s="4" t="n">
        <v>4</v>
      </c>
      <c r="I16309" s="4" t="str">
        <v>×</v>
      </c>
      <c r="J16309" s="4"/>
      <c r="K16309" s="4"/>
      <c r="L16309" s="4"/>
      <c r="M16309" s="7" t="s">
        <v>6871</v>
      </c>
    </row>
    <row r="16310" customFormat="false" ht="15.75" hidden="false" customHeight="false" outlineLevel="0" collapsed="false">
      <c r="A16310" s="6" t="n">
        <f aca="false">DATE(2026,5,2)</f>
        <v>46144</v>
      </c>
      <c r="B16310" s="4" t="s">
        <v>4473</v>
      </c>
      <c r="C16310" s="4" t="n">
        <v>1</v>
      </c>
      <c r="D16310" s="4" t="n">
        <v>4</v>
      </c>
      <c r="E16310" s="4" t="s">
        <v>7323</v>
      </c>
      <c r="F16310" s="4" t="n">
        <v>8</v>
      </c>
      <c r="G16310" s="4" t="n">
        <v>9</v>
      </c>
      <c r="H16310" s="4" t="n">
        <v>4</v>
      </c>
      <c r="I16310" s="4" t="str">
        <v>×</v>
      </c>
      <c r="J16310" s="4"/>
      <c r="K16310" s="4"/>
      <c r="L16310" s="4"/>
      <c r="M16310" s="7" t="s">
        <v>6871</v>
      </c>
    </row>
    <row r="16311" customFormat="false" ht="15.75" hidden="false" customHeight="false" outlineLevel="0" collapsed="false">
      <c r="A16311" s="6" t="n">
        <f aca="false">DATE(2026,5,2)</f>
        <v>46144</v>
      </c>
      <c r="B16311" s="4" t="s">
        <v>4473</v>
      </c>
      <c r="C16311" s="4" t="n">
        <v>1</v>
      </c>
      <c r="D16311" s="4" t="n">
        <v>5</v>
      </c>
      <c r="E16311" s="4" t="s">
        <v>6919</v>
      </c>
      <c r="F16311" s="4" t="n">
        <v>25</v>
      </c>
      <c r="G16311" s="4" t="n">
        <v>4</v>
      </c>
      <c r="H16311" s="4" t="n">
        <v>4</v>
      </c>
      <c r="I16311" s="4" t="str">
        <v>×</v>
      </c>
      <c r="J16311" s="4"/>
      <c r="K16311" s="4"/>
      <c r="L16311" s="4"/>
      <c r="M16311" s="7" t="s">
        <v>6871</v>
      </c>
    </row>
    <row r="16312" customFormat="false" ht="15.75" hidden="false" customHeight="false" outlineLevel="0" collapsed="false">
      <c r="A16312" s="6" t="n">
        <f aca="false">DATE(2026,5,2)</f>
        <v>46144</v>
      </c>
      <c r="B16312" s="4" t="s">
        <v>4473</v>
      </c>
      <c r="C16312" s="4" t="n">
        <v>1</v>
      </c>
      <c r="D16312" s="4" t="n">
        <v>6</v>
      </c>
      <c r="E16312" s="4" t="s">
        <v>1392</v>
      </c>
      <c r="F16312" s="4" t="n">
        <v>3</v>
      </c>
      <c r="G16312" s="4" t="n">
        <v>15</v>
      </c>
      <c r="H16312" s="4" t="n">
        <v>4</v>
      </c>
      <c r="I16312" s="4" t="str">
        <v>×</v>
      </c>
      <c r="J16312" s="4"/>
      <c r="K16312" s="4"/>
      <c r="L16312" s="4"/>
      <c r="M16312" s="7" t="s">
        <v>6871</v>
      </c>
    </row>
    <row r="16313" customFormat="false" ht="15.75" hidden="false" customHeight="false" outlineLevel="0" collapsed="false">
      <c r="A16313" s="6" t="n">
        <f aca="false">DATE(2026,5,2)</f>
        <v>46144</v>
      </c>
      <c r="B16313" s="4" t="s">
        <v>4473</v>
      </c>
      <c r="C16313" s="4" t="n">
        <v>1</v>
      </c>
      <c r="D16313" s="4" t="n">
        <v>7</v>
      </c>
      <c r="E16313" s="4" t="s">
        <v>3726</v>
      </c>
      <c r="F16313" s="4" t="n">
        <v>4</v>
      </c>
      <c r="G16313" s="4" t="n">
        <v>11</v>
      </c>
      <c r="H16313" s="4" t="n">
        <v>4</v>
      </c>
      <c r="I16313" s="4" t="str">
        <v>×</v>
      </c>
      <c r="J16313" s="4"/>
      <c r="K16313" s="4"/>
      <c r="L16313" s="4"/>
      <c r="M16313" s="7" t="s">
        <v>6871</v>
      </c>
    </row>
    <row r="16314" customFormat="false" ht="15.75" hidden="false" customHeight="false" outlineLevel="0" collapsed="false">
      <c r="A16314" s="6" t="n">
        <f aca="false">DATE(2026,5,2)</f>
        <v>46144</v>
      </c>
      <c r="B16314" s="4" t="s">
        <v>4473</v>
      </c>
      <c r="C16314" s="4" t="n">
        <v>1</v>
      </c>
      <c r="D16314" s="4" t="n">
        <v>8</v>
      </c>
      <c r="E16314" s="4" t="s">
        <v>7324</v>
      </c>
      <c r="F16314" s="4" t="n">
        <v>4</v>
      </c>
      <c r="G16314" s="4" t="n">
        <v>12</v>
      </c>
      <c r="H16314" s="4" t="n">
        <v>4</v>
      </c>
      <c r="I16314" s="4" t="str">
        <v>×</v>
      </c>
      <c r="J16314" s="4"/>
      <c r="K16314" s="4"/>
      <c r="L16314" s="4"/>
      <c r="M16314" s="7" t="s">
        <v>6871</v>
      </c>
    </row>
    <row r="16315" customFormat="false" ht="15.75" hidden="false" customHeight="false" outlineLevel="0" collapsed="false">
      <c r="A16315" s="6" t="n">
        <f aca="false">DATE(2026,5,2)</f>
        <v>46144</v>
      </c>
      <c r="B16315" s="4" t="s">
        <v>4473</v>
      </c>
      <c r="C16315" s="4" t="n">
        <v>1</v>
      </c>
      <c r="D16315" s="4" t="n">
        <v>9</v>
      </c>
      <c r="E16315" s="4" t="s">
        <v>7325</v>
      </c>
      <c r="F16315" s="4" t="n">
        <v>2</v>
      </c>
      <c r="G16315" s="4" t="n">
        <v>16</v>
      </c>
      <c r="H16315" s="4" t="n">
        <v>4</v>
      </c>
      <c r="I16315" s="4" t="str">
        <v>×</v>
      </c>
      <c r="J16315" s="4"/>
      <c r="K16315" s="4"/>
      <c r="L16315" s="4"/>
      <c r="M16315" s="7" t="s">
        <v>6871</v>
      </c>
    </row>
    <row r="16316" customFormat="false" ht="15.75" hidden="false" customHeight="false" outlineLevel="0" collapsed="false">
      <c r="A16316" s="6" t="n">
        <f aca="false">DATE(2026,5,2)</f>
        <v>46144</v>
      </c>
      <c r="B16316" s="4" t="s">
        <v>4473</v>
      </c>
      <c r="C16316" s="4" t="n">
        <v>1</v>
      </c>
      <c r="D16316" s="4" t="n">
        <v>10</v>
      </c>
      <c r="E16316" s="4" t="s">
        <v>4281</v>
      </c>
      <c r="F16316" s="4" t="n">
        <v>10</v>
      </c>
      <c r="G16316" s="4" t="n">
        <v>7</v>
      </c>
      <c r="H16316" s="4" t="n">
        <v>3</v>
      </c>
      <c r="I16316" s="4" t="str">
        <v>○</v>
      </c>
      <c r="J16316" s="4" t="n">
        <v>650</v>
      </c>
      <c r="K16316" s="4"/>
      <c r="L16316" s="4"/>
      <c r="M16316" s="7" t="s">
        <v>6871</v>
      </c>
    </row>
    <row r="16317" customFormat="false" ht="15.75" hidden="false" customHeight="false" outlineLevel="0" collapsed="false">
      <c r="A16317" s="6" t="n">
        <f aca="false">DATE(2026,5,2)</f>
        <v>46144</v>
      </c>
      <c r="B16317" s="4" t="s">
        <v>4473</v>
      </c>
      <c r="C16317" s="4" t="n">
        <v>1</v>
      </c>
      <c r="D16317" s="4" t="n">
        <v>11</v>
      </c>
      <c r="E16317" s="4" t="s">
        <v>7326</v>
      </c>
      <c r="F16317" s="4" t="n">
        <v>4</v>
      </c>
      <c r="G16317" s="4" t="n">
        <v>13</v>
      </c>
      <c r="H16317" s="4" t="n">
        <v>4</v>
      </c>
      <c r="I16317" s="4" t="str">
        <v>×</v>
      </c>
      <c r="J16317" s="4"/>
      <c r="K16317" s="4"/>
      <c r="L16317" s="4"/>
      <c r="M16317" s="7" t="s">
        <v>6871</v>
      </c>
    </row>
    <row r="16318" customFormat="false" ht="15.75" hidden="false" customHeight="false" outlineLevel="0" collapsed="false">
      <c r="A16318" s="6" t="n">
        <f aca="false">DATE(2026,5,2)</f>
        <v>46144</v>
      </c>
      <c r="B16318" s="4" t="s">
        <v>4473</v>
      </c>
      <c r="C16318" s="4" t="n">
        <v>1</v>
      </c>
      <c r="D16318" s="4" t="n">
        <v>12</v>
      </c>
      <c r="E16318" s="4" t="s">
        <v>7327</v>
      </c>
      <c r="F16318" s="4" t="n">
        <v>23</v>
      </c>
      <c r="G16318" s="4" t="n">
        <v>5</v>
      </c>
      <c r="H16318" s="4" t="n">
        <v>4</v>
      </c>
      <c r="I16318" s="4" t="str">
        <v>×</v>
      </c>
      <c r="J16318" s="4"/>
      <c r="K16318" s="4"/>
      <c r="L16318" s="4"/>
      <c r="M16318" s="7" t="s">
        <v>6871</v>
      </c>
    </row>
    <row r="16319" customFormat="false" ht="15.75" hidden="false" customHeight="false" outlineLevel="0" collapsed="false">
      <c r="A16319" s="6" t="n">
        <f aca="false">DATE(2026,5,2)</f>
        <v>46144</v>
      </c>
      <c r="B16319" s="4" t="s">
        <v>4473</v>
      </c>
      <c r="C16319" s="4" t="n">
        <v>1</v>
      </c>
      <c r="D16319" s="4" t="n">
        <v>13</v>
      </c>
      <c r="E16319" s="4" t="s">
        <v>1884</v>
      </c>
      <c r="F16319" s="4" t="n">
        <v>15</v>
      </c>
      <c r="G16319" s="4" t="n">
        <v>6</v>
      </c>
      <c r="H16319" s="4" t="n">
        <v>4</v>
      </c>
      <c r="I16319" s="4" t="str">
        <v>×</v>
      </c>
      <c r="J16319" s="4"/>
      <c r="K16319" s="4"/>
      <c r="L16319" s="4"/>
      <c r="M16319" s="7" t="s">
        <v>6871</v>
      </c>
    </row>
    <row r="16320" customFormat="false" ht="15.75" hidden="false" customHeight="false" outlineLevel="0" collapsed="false">
      <c r="A16320" s="6" t="n">
        <f aca="false">DATE(2026,5,2)</f>
        <v>46144</v>
      </c>
      <c r="B16320" s="4" t="s">
        <v>4473</v>
      </c>
      <c r="C16320" s="4" t="n">
        <v>1</v>
      </c>
      <c r="D16320" s="4" t="n">
        <v>14</v>
      </c>
      <c r="E16320" s="4" t="s">
        <v>7328</v>
      </c>
      <c r="F16320" s="4" t="n">
        <v>66</v>
      </c>
      <c r="G16320" s="4" t="n">
        <v>1</v>
      </c>
      <c r="H16320" s="4" t="n">
        <v>1</v>
      </c>
      <c r="I16320" s="4" t="str">
        <v>○</v>
      </c>
      <c r="J16320" s="4" t="n">
        <v>130</v>
      </c>
      <c r="K16320" s="4"/>
      <c r="L16320" s="4"/>
      <c r="M16320" s="7" t="s">
        <v>6871</v>
      </c>
    </row>
    <row r="16321" customFormat="false" ht="15.75" hidden="false" customHeight="false" outlineLevel="0" collapsed="false">
      <c r="A16321" s="6" t="n">
        <f aca="false">DATE(2026,5,2)</f>
        <v>46144</v>
      </c>
      <c r="B16321" s="4" t="s">
        <v>4473</v>
      </c>
      <c r="C16321" s="4" t="n">
        <v>1</v>
      </c>
      <c r="D16321" s="4" t="n">
        <v>15</v>
      </c>
      <c r="E16321" s="4" t="s">
        <v>2581</v>
      </c>
      <c r="F16321" s="4" t="n">
        <v>10</v>
      </c>
      <c r="G16321" s="4" t="n">
        <v>8</v>
      </c>
      <c r="H16321" s="4" t="n">
        <v>4</v>
      </c>
      <c r="I16321" s="4" t="str">
        <v>×</v>
      </c>
      <c r="J16321" s="4"/>
      <c r="K16321" s="4"/>
      <c r="L16321" s="4"/>
      <c r="M16321" s="7" t="s">
        <v>6871</v>
      </c>
    </row>
    <row r="16322" customFormat="false" ht="15.75" hidden="false" customHeight="false" outlineLevel="0" collapsed="false">
      <c r="A16322" s="6" t="n">
        <f aca="false">DATE(2026,5,2)</f>
        <v>46144</v>
      </c>
      <c r="B16322" s="4" t="s">
        <v>4473</v>
      </c>
      <c r="C16322" s="4" t="n">
        <v>1</v>
      </c>
      <c r="D16322" s="4" t="n">
        <v>16</v>
      </c>
      <c r="E16322" s="4" t="s">
        <v>4489</v>
      </c>
      <c r="F16322" s="4" t="n">
        <v>4</v>
      </c>
      <c r="G16322" s="4" t="n">
        <v>14</v>
      </c>
      <c r="H16322" s="4" t="n">
        <v>4</v>
      </c>
      <c r="I16322" s="4" t="str">
        <v>×</v>
      </c>
      <c r="J16322" s="4"/>
      <c r="K16322" s="4"/>
      <c r="L16322" s="4"/>
      <c r="M16322" s="7" t="s">
        <v>6871</v>
      </c>
    </row>
    <row r="16323" customFormat="false" ht="15.75" hidden="false" customHeight="false" outlineLevel="0" collapsed="false">
      <c r="A16323" s="6" t="n">
        <f aca="false">DATE(2026,5,2)</f>
        <v>46144</v>
      </c>
      <c r="B16323" s="4" t="s">
        <v>4473</v>
      </c>
      <c r="C16323" s="4" t="n">
        <v>2</v>
      </c>
      <c r="D16323" s="4" t="n">
        <v>1</v>
      </c>
      <c r="E16323" s="4" t="s">
        <v>2688</v>
      </c>
      <c r="F16323" s="4" t="n">
        <v>13</v>
      </c>
      <c r="G16323" s="4" t="n">
        <v>5</v>
      </c>
      <c r="H16323" s="4" t="n">
        <v>4</v>
      </c>
      <c r="I16323" s="4" t="str">
        <v>×</v>
      </c>
      <c r="J16323" s="4"/>
      <c r="K16323" s="4"/>
      <c r="L16323" s="4"/>
      <c r="M16323" s="7" t="s">
        <v>6871</v>
      </c>
    </row>
    <row r="16324" customFormat="false" ht="15.75" hidden="false" customHeight="false" outlineLevel="0" collapsed="false">
      <c r="A16324" s="6" t="n">
        <f aca="false">DATE(2026,5,2)</f>
        <v>46144</v>
      </c>
      <c r="B16324" s="4" t="s">
        <v>4473</v>
      </c>
      <c r="C16324" s="4" t="n">
        <v>2</v>
      </c>
      <c r="D16324" s="4" t="n">
        <v>2</v>
      </c>
      <c r="E16324" s="4" t="s">
        <v>7329</v>
      </c>
      <c r="F16324" s="4" t="n">
        <v>4</v>
      </c>
      <c r="G16324" s="4" t="n">
        <v>11</v>
      </c>
      <c r="H16324" s="4" t="n">
        <v>4</v>
      </c>
      <c r="I16324" s="4" t="str">
        <v>×</v>
      </c>
      <c r="J16324" s="4"/>
      <c r="K16324" s="4"/>
      <c r="L16324" s="4"/>
      <c r="M16324" s="7" t="s">
        <v>6871</v>
      </c>
    </row>
    <row r="16325" customFormat="false" ht="15.75" hidden="false" customHeight="false" outlineLevel="0" collapsed="false">
      <c r="A16325" s="6" t="n">
        <f aca="false">DATE(2026,5,2)</f>
        <v>46144</v>
      </c>
      <c r="B16325" s="4" t="s">
        <v>4473</v>
      </c>
      <c r="C16325" s="4" t="n">
        <v>2</v>
      </c>
      <c r="D16325" s="4" t="n">
        <v>3</v>
      </c>
      <c r="E16325" s="4" t="s">
        <v>7330</v>
      </c>
      <c r="F16325" s="4" t="n">
        <v>67</v>
      </c>
      <c r="G16325" s="4" t="n">
        <v>2</v>
      </c>
      <c r="H16325" s="4" t="n">
        <v>1</v>
      </c>
      <c r="I16325" s="4" t="str">
        <v>○</v>
      </c>
      <c r="J16325" s="4" t="n">
        <v>110</v>
      </c>
      <c r="K16325" s="4"/>
      <c r="L16325" s="4"/>
      <c r="M16325" s="7" t="s">
        <v>6871</v>
      </c>
    </row>
    <row r="16326" customFormat="false" ht="15.75" hidden="false" customHeight="false" outlineLevel="0" collapsed="false">
      <c r="A16326" s="6" t="n">
        <f aca="false">DATE(2026,5,2)</f>
        <v>46144</v>
      </c>
      <c r="B16326" s="4" t="s">
        <v>4473</v>
      </c>
      <c r="C16326" s="4" t="n">
        <v>2</v>
      </c>
      <c r="D16326" s="4" t="n">
        <v>4</v>
      </c>
      <c r="E16326" s="4" t="s">
        <v>2576</v>
      </c>
      <c r="F16326" s="4" t="n">
        <v>2</v>
      </c>
      <c r="G16326" s="4" t="n">
        <v>14</v>
      </c>
      <c r="H16326" s="4" t="n">
        <v>4</v>
      </c>
      <c r="I16326" s="4" t="str">
        <v>×</v>
      </c>
      <c r="J16326" s="4"/>
      <c r="K16326" s="4"/>
      <c r="L16326" s="4"/>
      <c r="M16326" s="7" t="s">
        <v>6871</v>
      </c>
    </row>
    <row r="16327" customFormat="false" ht="15.75" hidden="false" customHeight="false" outlineLevel="0" collapsed="false">
      <c r="A16327" s="6" t="n">
        <f aca="false">DATE(2026,5,2)</f>
        <v>46144</v>
      </c>
      <c r="B16327" s="4" t="s">
        <v>4473</v>
      </c>
      <c r="C16327" s="4" t="n">
        <v>2</v>
      </c>
      <c r="D16327" s="4" t="n">
        <v>5</v>
      </c>
      <c r="E16327" s="4" t="s">
        <v>3332</v>
      </c>
      <c r="F16327" s="4" t="n">
        <v>81</v>
      </c>
      <c r="G16327" s="4" t="n">
        <v>1</v>
      </c>
      <c r="H16327" s="4" t="n">
        <v>2</v>
      </c>
      <c r="I16327" s="4" t="str">
        <v>○</v>
      </c>
      <c r="J16327" s="4" t="n">
        <v>110</v>
      </c>
      <c r="K16327" s="4"/>
      <c r="L16327" s="4"/>
      <c r="M16327" s="7" t="s">
        <v>6871</v>
      </c>
    </row>
    <row r="16328" customFormat="false" ht="15.75" hidden="false" customHeight="false" outlineLevel="0" collapsed="false">
      <c r="A16328" s="6" t="n">
        <f aca="false">DATE(2026,5,2)</f>
        <v>46144</v>
      </c>
      <c r="B16328" s="4" t="s">
        <v>4473</v>
      </c>
      <c r="C16328" s="4" t="n">
        <v>2</v>
      </c>
      <c r="D16328" s="4" t="n">
        <v>6</v>
      </c>
      <c r="E16328" s="4" t="s">
        <v>7331</v>
      </c>
      <c r="F16328" s="4" t="n">
        <v>6</v>
      </c>
      <c r="G16328" s="4" t="n">
        <v>8</v>
      </c>
      <c r="H16328" s="4" t="n">
        <v>4</v>
      </c>
      <c r="I16328" s="4" t="str">
        <v>×</v>
      </c>
      <c r="J16328" s="4"/>
      <c r="K16328" s="4"/>
      <c r="L16328" s="4"/>
      <c r="M16328" s="7" t="s">
        <v>6871</v>
      </c>
    </row>
    <row r="16329" customFormat="false" ht="15.75" hidden="false" customHeight="false" outlineLevel="0" collapsed="false">
      <c r="A16329" s="6" t="n">
        <f aca="false">DATE(2026,5,2)</f>
        <v>46144</v>
      </c>
      <c r="B16329" s="4" t="s">
        <v>4473</v>
      </c>
      <c r="C16329" s="4" t="n">
        <v>2</v>
      </c>
      <c r="D16329" s="4" t="n">
        <v>7</v>
      </c>
      <c r="E16329" s="4" t="s">
        <v>5134</v>
      </c>
      <c r="F16329" s="4" t="n">
        <v>17</v>
      </c>
      <c r="G16329" s="4" t="n">
        <v>4</v>
      </c>
      <c r="H16329" s="4" t="n">
        <v>4</v>
      </c>
      <c r="I16329" s="4" t="str">
        <v>×</v>
      </c>
      <c r="J16329" s="4"/>
      <c r="K16329" s="4"/>
      <c r="L16329" s="4"/>
      <c r="M16329" s="7" t="s">
        <v>6871</v>
      </c>
    </row>
    <row r="16330" customFormat="false" ht="15.75" hidden="false" customHeight="false" outlineLevel="0" collapsed="false">
      <c r="A16330" s="6" t="n">
        <f aca="false">DATE(2026,5,2)</f>
        <v>46144</v>
      </c>
      <c r="B16330" s="4" t="s">
        <v>4473</v>
      </c>
      <c r="C16330" s="4" t="n">
        <v>2</v>
      </c>
      <c r="D16330" s="4" t="n">
        <v>8</v>
      </c>
      <c r="E16330" s="4" t="s">
        <v>7332</v>
      </c>
      <c r="F16330" s="4" t="n">
        <v>4</v>
      </c>
      <c r="G16330" s="4" t="n">
        <v>12</v>
      </c>
      <c r="H16330" s="4" t="n">
        <v>4</v>
      </c>
      <c r="I16330" s="4" t="str">
        <v>×</v>
      </c>
      <c r="J16330" s="4"/>
      <c r="K16330" s="4"/>
      <c r="L16330" s="4"/>
      <c r="M16330" s="7" t="s">
        <v>6871</v>
      </c>
    </row>
    <row r="16331" customFormat="false" ht="15.75" hidden="false" customHeight="false" outlineLevel="0" collapsed="false">
      <c r="A16331" s="6" t="n">
        <f aca="false">DATE(2026,5,2)</f>
        <v>46144</v>
      </c>
      <c r="B16331" s="4" t="s">
        <v>4473</v>
      </c>
      <c r="C16331" s="4" t="n">
        <v>2</v>
      </c>
      <c r="D16331" s="4" t="n">
        <v>9</v>
      </c>
      <c r="E16331" s="4" t="s">
        <v>7333</v>
      </c>
      <c r="F16331" s="4" t="n">
        <v>10</v>
      </c>
      <c r="G16331" s="4" t="n">
        <v>7</v>
      </c>
      <c r="H16331" s="4" t="n">
        <v>4</v>
      </c>
      <c r="I16331" s="4" t="str">
        <v>×</v>
      </c>
      <c r="J16331" s="4"/>
      <c r="K16331" s="4"/>
      <c r="L16331" s="4"/>
      <c r="M16331" s="7" t="s">
        <v>6871</v>
      </c>
    </row>
    <row r="16332" customFormat="false" ht="15.75" hidden="false" customHeight="false" outlineLevel="0" collapsed="false">
      <c r="A16332" s="6" t="n">
        <f aca="false">DATE(2026,5,2)</f>
        <v>46144</v>
      </c>
      <c r="B16332" s="4" t="s">
        <v>4473</v>
      </c>
      <c r="C16332" s="4" t="n">
        <v>2</v>
      </c>
      <c r="D16332" s="4" t="n">
        <v>10</v>
      </c>
      <c r="E16332" s="4" t="s">
        <v>6671</v>
      </c>
      <c r="F16332" s="4" t="n">
        <v>6</v>
      </c>
      <c r="G16332" s="4" t="n">
        <v>9</v>
      </c>
      <c r="H16332" s="4" t="n">
        <v>4</v>
      </c>
      <c r="I16332" s="4" t="str">
        <v>×</v>
      </c>
      <c r="J16332" s="4"/>
      <c r="K16332" s="4"/>
      <c r="L16332" s="4"/>
      <c r="M16332" s="7" t="s">
        <v>6871</v>
      </c>
    </row>
    <row r="16333" customFormat="false" ht="15.75" hidden="false" customHeight="false" outlineLevel="0" collapsed="false">
      <c r="A16333" s="6" t="n">
        <f aca="false">DATE(2026,5,2)</f>
        <v>46144</v>
      </c>
      <c r="B16333" s="4" t="s">
        <v>4473</v>
      </c>
      <c r="C16333" s="4" t="n">
        <v>2</v>
      </c>
      <c r="D16333" s="4" t="n">
        <v>11</v>
      </c>
      <c r="E16333" s="4" t="s">
        <v>6295</v>
      </c>
      <c r="F16333" s="4" t="n">
        <v>6</v>
      </c>
      <c r="G16333" s="4" t="n">
        <v>10</v>
      </c>
      <c r="H16333" s="4" t="n">
        <v>4</v>
      </c>
      <c r="I16333" s="4" t="str">
        <v>×</v>
      </c>
      <c r="J16333" s="4"/>
      <c r="K16333" s="4"/>
      <c r="L16333" s="4"/>
      <c r="M16333" s="7" t="s">
        <v>6871</v>
      </c>
    </row>
    <row r="16334" customFormat="false" ht="15.75" hidden="false" customHeight="false" outlineLevel="0" collapsed="false">
      <c r="A16334" s="6" t="n">
        <f aca="false">DATE(2026,5,2)</f>
        <v>46144</v>
      </c>
      <c r="B16334" s="4" t="s">
        <v>4473</v>
      </c>
      <c r="C16334" s="4" t="n">
        <v>2</v>
      </c>
      <c r="D16334" s="4" t="n">
        <v>12</v>
      </c>
      <c r="E16334" s="4" t="s">
        <v>6196</v>
      </c>
      <c r="F16334" s="4" t="n">
        <v>3</v>
      </c>
      <c r="G16334" s="4" t="n">
        <v>13</v>
      </c>
      <c r="H16334" s="4" t="n">
        <v>4</v>
      </c>
      <c r="I16334" s="4" t="str">
        <v>×</v>
      </c>
      <c r="J16334" s="4"/>
      <c r="K16334" s="4"/>
      <c r="L16334" s="4"/>
      <c r="M16334" s="7" t="s">
        <v>6871</v>
      </c>
    </row>
    <row r="16335" customFormat="false" ht="15.75" hidden="false" customHeight="false" outlineLevel="0" collapsed="false">
      <c r="A16335" s="6" t="n">
        <f aca="false">DATE(2026,5,2)</f>
        <v>46144</v>
      </c>
      <c r="B16335" s="4" t="s">
        <v>4473</v>
      </c>
      <c r="C16335" s="4" t="n">
        <v>2</v>
      </c>
      <c r="D16335" s="4" t="n">
        <v>13</v>
      </c>
      <c r="E16335" s="4" t="s">
        <v>7334</v>
      </c>
      <c r="F16335" s="4" t="n">
        <v>13</v>
      </c>
      <c r="G16335" s="4" t="n">
        <v>6</v>
      </c>
      <c r="H16335" s="4" t="n">
        <v>4</v>
      </c>
      <c r="I16335" s="4" t="str">
        <v>×</v>
      </c>
      <c r="J16335" s="4"/>
      <c r="K16335" s="4"/>
      <c r="L16335" s="4"/>
      <c r="M16335" s="7" t="s">
        <v>6871</v>
      </c>
    </row>
    <row r="16336" customFormat="false" ht="15.75" hidden="false" customHeight="false" outlineLevel="0" collapsed="false">
      <c r="A16336" s="6" t="n">
        <f aca="false">DATE(2026,5,2)</f>
        <v>46144</v>
      </c>
      <c r="B16336" s="4" t="s">
        <v>4473</v>
      </c>
      <c r="C16336" s="4" t="n">
        <v>2</v>
      </c>
      <c r="D16336" s="4" t="n">
        <v>14</v>
      </c>
      <c r="E16336" s="4" t="s">
        <v>4012</v>
      </c>
      <c r="F16336" s="4" t="n">
        <v>23</v>
      </c>
      <c r="G16336" s="4" t="n">
        <v>3</v>
      </c>
      <c r="H16336" s="4" t="n">
        <v>3</v>
      </c>
      <c r="I16336" s="4" t="str">
        <v>○</v>
      </c>
      <c r="J16336" s="4" t="n">
        <v>160</v>
      </c>
      <c r="K16336" s="4"/>
      <c r="L16336" s="4"/>
      <c r="M16336" s="7" t="s">
        <v>6871</v>
      </c>
    </row>
    <row r="16337" customFormat="false" ht="15.75" hidden="false" customHeight="false" outlineLevel="0" collapsed="false">
      <c r="A16337" s="6" t="n">
        <f aca="false">DATE(2026,5,2)</f>
        <v>46144</v>
      </c>
      <c r="B16337" s="4" t="s">
        <v>4473</v>
      </c>
      <c r="C16337" s="4" t="n">
        <v>3</v>
      </c>
      <c r="D16337" s="4" t="n">
        <v>1</v>
      </c>
      <c r="E16337" s="4" t="s">
        <v>4680</v>
      </c>
      <c r="F16337" s="4" t="n">
        <v>39</v>
      </c>
      <c r="G16337" s="4" t="n">
        <v>3</v>
      </c>
      <c r="H16337" s="4" t="n">
        <v>4</v>
      </c>
      <c r="I16337" s="4" t="str">
        <v>×</v>
      </c>
      <c r="J16337" s="4"/>
      <c r="K16337" s="4"/>
      <c r="L16337" s="4"/>
      <c r="M16337" s="7" t="s">
        <v>6871</v>
      </c>
    </row>
    <row r="16338" customFormat="false" ht="15.75" hidden="false" customHeight="false" outlineLevel="0" collapsed="false">
      <c r="A16338" s="6" t="n">
        <f aca="false">DATE(2026,5,2)</f>
        <v>46144</v>
      </c>
      <c r="B16338" s="4" t="s">
        <v>4473</v>
      </c>
      <c r="C16338" s="4" t="n">
        <v>3</v>
      </c>
      <c r="D16338" s="4" t="n">
        <v>2</v>
      </c>
      <c r="E16338" s="4" t="s">
        <v>5362</v>
      </c>
      <c r="F16338" s="4" t="n">
        <v>8</v>
      </c>
      <c r="G16338" s="4" t="n">
        <v>8</v>
      </c>
      <c r="H16338" s="4" t="n">
        <v>4</v>
      </c>
      <c r="I16338" s="4" t="str">
        <v>×</v>
      </c>
      <c r="J16338" s="4"/>
      <c r="K16338" s="4"/>
      <c r="L16338" s="4"/>
      <c r="M16338" s="7" t="s">
        <v>6871</v>
      </c>
    </row>
    <row r="16339" customFormat="false" ht="15.75" hidden="false" customHeight="false" outlineLevel="0" collapsed="false">
      <c r="A16339" s="6" t="n">
        <f aca="false">DATE(2026,5,2)</f>
        <v>46144</v>
      </c>
      <c r="B16339" s="4" t="s">
        <v>4473</v>
      </c>
      <c r="C16339" s="4" t="n">
        <v>3</v>
      </c>
      <c r="D16339" s="4" t="n">
        <v>3</v>
      </c>
      <c r="E16339" s="4" t="s">
        <v>5681</v>
      </c>
      <c r="F16339" s="4" t="n">
        <v>23</v>
      </c>
      <c r="G16339" s="4" t="n">
        <v>5</v>
      </c>
      <c r="H16339" s="4" t="n">
        <v>1</v>
      </c>
      <c r="I16339" s="4" t="str">
        <v>○</v>
      </c>
      <c r="J16339" s="4" t="n">
        <v>320</v>
      </c>
      <c r="K16339" s="4"/>
      <c r="L16339" s="4"/>
      <c r="M16339" s="7" t="s">
        <v>6871</v>
      </c>
    </row>
    <row r="16340" customFormat="false" ht="15.75" hidden="false" customHeight="false" outlineLevel="0" collapsed="false">
      <c r="A16340" s="6" t="n">
        <f aca="false">DATE(2026,5,2)</f>
        <v>46144</v>
      </c>
      <c r="B16340" s="4" t="s">
        <v>4473</v>
      </c>
      <c r="C16340" s="4" t="n">
        <v>3</v>
      </c>
      <c r="D16340" s="4" t="n">
        <v>4</v>
      </c>
      <c r="E16340" s="4" t="s">
        <v>5921</v>
      </c>
      <c r="F16340" s="4" t="n">
        <v>8</v>
      </c>
      <c r="G16340" s="4" t="n">
        <v>9</v>
      </c>
      <c r="H16340" s="4" t="n">
        <v>4</v>
      </c>
      <c r="I16340" s="4" t="str">
        <v>×</v>
      </c>
      <c r="J16340" s="4"/>
      <c r="K16340" s="4"/>
      <c r="L16340" s="4"/>
      <c r="M16340" s="7" t="s">
        <v>6871</v>
      </c>
    </row>
    <row r="16341" customFormat="false" ht="15.75" hidden="false" customHeight="false" outlineLevel="0" collapsed="false">
      <c r="A16341" s="6" t="n">
        <f aca="false">DATE(2026,5,2)</f>
        <v>46144</v>
      </c>
      <c r="B16341" s="4" t="s">
        <v>4473</v>
      </c>
      <c r="C16341" s="4" t="n">
        <v>3</v>
      </c>
      <c r="D16341" s="4" t="n">
        <v>5</v>
      </c>
      <c r="E16341" s="4" t="s">
        <v>3790</v>
      </c>
      <c r="F16341" s="4" t="n">
        <v>15</v>
      </c>
      <c r="G16341" s="4" t="n">
        <v>6</v>
      </c>
      <c r="H16341" s="4" t="n">
        <v>4</v>
      </c>
      <c r="I16341" s="4" t="str">
        <v>×</v>
      </c>
      <c r="J16341" s="4"/>
      <c r="K16341" s="4"/>
      <c r="L16341" s="4"/>
      <c r="M16341" s="7" t="s">
        <v>6871</v>
      </c>
    </row>
    <row r="16342" customFormat="false" ht="15.75" hidden="false" customHeight="false" outlineLevel="0" collapsed="false">
      <c r="A16342" s="6" t="n">
        <f aca="false">DATE(2026,5,2)</f>
        <v>46144</v>
      </c>
      <c r="B16342" s="4" t="s">
        <v>4473</v>
      </c>
      <c r="C16342" s="4" t="n">
        <v>3</v>
      </c>
      <c r="D16342" s="4" t="n">
        <v>6</v>
      </c>
      <c r="E16342" s="4" t="s">
        <v>1748</v>
      </c>
      <c r="F16342" s="4" t="n">
        <v>60</v>
      </c>
      <c r="G16342" s="4" t="n">
        <v>2</v>
      </c>
      <c r="H16342" s="4" t="n">
        <v>4</v>
      </c>
      <c r="I16342" s="4" t="str">
        <v>×</v>
      </c>
      <c r="J16342" s="4"/>
      <c r="K16342" s="4"/>
      <c r="L16342" s="4"/>
      <c r="M16342" s="7" t="s">
        <v>6871</v>
      </c>
    </row>
    <row r="16343" customFormat="false" ht="15.75" hidden="false" customHeight="false" outlineLevel="0" collapsed="false">
      <c r="A16343" s="6" t="n">
        <f aca="false">DATE(2026,5,2)</f>
        <v>46144</v>
      </c>
      <c r="B16343" s="4" t="s">
        <v>4473</v>
      </c>
      <c r="C16343" s="4" t="n">
        <v>3</v>
      </c>
      <c r="D16343" s="4" t="n">
        <v>7</v>
      </c>
      <c r="E16343" s="4" t="s">
        <v>221</v>
      </c>
      <c r="F16343" s="4" t="n">
        <v>65</v>
      </c>
      <c r="G16343" s="4" t="n">
        <v>1</v>
      </c>
      <c r="H16343" s="4" t="n">
        <v>4</v>
      </c>
      <c r="I16343" s="4" t="str">
        <v>×</v>
      </c>
      <c r="J16343" s="4"/>
      <c r="K16343" s="4"/>
      <c r="L16343" s="4"/>
      <c r="M16343" s="7" t="s">
        <v>6871</v>
      </c>
    </row>
    <row r="16344" customFormat="false" ht="15.75" hidden="false" customHeight="false" outlineLevel="0" collapsed="false">
      <c r="A16344" s="6" t="n">
        <f aca="false">DATE(2026,5,2)</f>
        <v>46144</v>
      </c>
      <c r="B16344" s="4" t="s">
        <v>4473</v>
      </c>
      <c r="C16344" s="4" t="n">
        <v>3</v>
      </c>
      <c r="D16344" s="4" t="n">
        <v>8</v>
      </c>
      <c r="E16344" s="4" t="s">
        <v>5361</v>
      </c>
      <c r="F16344" s="4" t="n">
        <v>39</v>
      </c>
      <c r="G16344" s="4" t="n">
        <v>4</v>
      </c>
      <c r="H16344" s="4" t="n">
        <v>2</v>
      </c>
      <c r="I16344" s="4" t="str">
        <v>○</v>
      </c>
      <c r="J16344" s="4" t="n">
        <v>200</v>
      </c>
      <c r="K16344" s="4"/>
      <c r="L16344" s="4"/>
      <c r="M16344" s="7" t="s">
        <v>6871</v>
      </c>
    </row>
    <row r="16345" customFormat="false" ht="15.75" hidden="false" customHeight="false" outlineLevel="0" collapsed="false">
      <c r="A16345" s="6" t="n">
        <f aca="false">DATE(2026,5,2)</f>
        <v>46144</v>
      </c>
      <c r="B16345" s="4" t="s">
        <v>4473</v>
      </c>
      <c r="C16345" s="4" t="n">
        <v>3</v>
      </c>
      <c r="D16345" s="4" t="n">
        <v>9</v>
      </c>
      <c r="E16345" s="4" t="s">
        <v>358</v>
      </c>
      <c r="F16345" s="4" t="n">
        <v>13</v>
      </c>
      <c r="G16345" s="4" t="n">
        <v>7</v>
      </c>
      <c r="H16345" s="4" t="n">
        <v>3</v>
      </c>
      <c r="I16345" s="4" t="str">
        <v>○</v>
      </c>
      <c r="J16345" s="4" t="n">
        <v>500</v>
      </c>
      <c r="K16345" s="4"/>
      <c r="L16345" s="4"/>
      <c r="M16345" s="7" t="s">
        <v>6871</v>
      </c>
    </row>
    <row r="16346" customFormat="false" ht="15.75" hidden="false" customHeight="false" outlineLevel="0" collapsed="false">
      <c r="A16346" s="6" t="n">
        <f aca="false">DATE(2026,5,2)</f>
        <v>46144</v>
      </c>
      <c r="B16346" s="4" t="s">
        <v>4473</v>
      </c>
      <c r="C16346" s="4" t="n">
        <v>4</v>
      </c>
      <c r="D16346" s="4" t="n">
        <v>1</v>
      </c>
      <c r="E16346" s="4" t="s">
        <v>7335</v>
      </c>
      <c r="F16346" s="4" t="n">
        <v>10</v>
      </c>
      <c r="G16346" s="4" t="n">
        <v>7</v>
      </c>
      <c r="H16346" s="4" t="n">
        <v>4</v>
      </c>
      <c r="I16346" s="4" t="str">
        <v>×</v>
      </c>
      <c r="J16346" s="4"/>
      <c r="K16346" s="4"/>
      <c r="L16346" s="4"/>
      <c r="M16346" s="7" t="s">
        <v>6871</v>
      </c>
    </row>
    <row r="16347" customFormat="false" ht="15.75" hidden="false" customHeight="false" outlineLevel="0" collapsed="false">
      <c r="A16347" s="6" t="n">
        <f aca="false">DATE(2026,5,2)</f>
        <v>46144</v>
      </c>
      <c r="B16347" s="4" t="s">
        <v>4473</v>
      </c>
      <c r="C16347" s="4" t="n">
        <v>4</v>
      </c>
      <c r="D16347" s="4" t="n">
        <v>2</v>
      </c>
      <c r="E16347" s="4" t="s">
        <v>1399</v>
      </c>
      <c r="F16347" s="4" t="n">
        <v>71</v>
      </c>
      <c r="G16347" s="4" t="n">
        <v>1</v>
      </c>
      <c r="H16347" s="4" t="n">
        <v>4</v>
      </c>
      <c r="I16347" s="4" t="str">
        <v>×</v>
      </c>
      <c r="J16347" s="4"/>
      <c r="K16347" s="4"/>
      <c r="L16347" s="4"/>
      <c r="M16347" s="7" t="s">
        <v>6871</v>
      </c>
    </row>
    <row r="16348" customFormat="false" ht="15.75" hidden="false" customHeight="false" outlineLevel="0" collapsed="false">
      <c r="A16348" s="6" t="n">
        <f aca="false">DATE(2026,5,2)</f>
        <v>46144</v>
      </c>
      <c r="B16348" s="4" t="s">
        <v>4473</v>
      </c>
      <c r="C16348" s="4" t="n">
        <v>4</v>
      </c>
      <c r="D16348" s="4" t="n">
        <v>3</v>
      </c>
      <c r="E16348" s="4" t="s">
        <v>5811</v>
      </c>
      <c r="F16348" s="4" t="n">
        <v>15</v>
      </c>
      <c r="G16348" s="4" t="n">
        <v>6</v>
      </c>
      <c r="H16348" s="4" t="n">
        <v>4</v>
      </c>
      <c r="I16348" s="4" t="str">
        <v>×</v>
      </c>
      <c r="J16348" s="4"/>
      <c r="K16348" s="4"/>
      <c r="L16348" s="4"/>
      <c r="M16348" s="7" t="s">
        <v>6871</v>
      </c>
    </row>
    <row r="16349" customFormat="false" ht="15.75" hidden="false" customHeight="false" outlineLevel="0" collapsed="false">
      <c r="A16349" s="6" t="n">
        <f aca="false">DATE(2026,5,2)</f>
        <v>46144</v>
      </c>
      <c r="B16349" s="4" t="s">
        <v>4473</v>
      </c>
      <c r="C16349" s="4" t="n">
        <v>4</v>
      </c>
      <c r="D16349" s="4" t="n">
        <v>4</v>
      </c>
      <c r="E16349" s="4" t="s">
        <v>590</v>
      </c>
      <c r="F16349" s="4" t="n">
        <v>17</v>
      </c>
      <c r="G16349" s="4" t="n">
        <v>5</v>
      </c>
      <c r="H16349" s="4" t="n">
        <v>4</v>
      </c>
      <c r="I16349" s="4" t="str">
        <v>×</v>
      </c>
      <c r="J16349" s="4"/>
      <c r="K16349" s="4"/>
      <c r="L16349" s="4"/>
      <c r="M16349" s="7" t="s">
        <v>6871</v>
      </c>
    </row>
    <row r="16350" customFormat="false" ht="15.75" hidden="false" customHeight="false" outlineLevel="0" collapsed="false">
      <c r="A16350" s="6" t="n">
        <f aca="false">DATE(2026,5,2)</f>
        <v>46144</v>
      </c>
      <c r="B16350" s="4" t="s">
        <v>4473</v>
      </c>
      <c r="C16350" s="4" t="n">
        <v>4</v>
      </c>
      <c r="D16350" s="4" t="n">
        <v>5</v>
      </c>
      <c r="E16350" s="4" t="s">
        <v>4313</v>
      </c>
      <c r="F16350" s="4" t="n">
        <v>44</v>
      </c>
      <c r="G16350" s="4" t="n">
        <v>3</v>
      </c>
      <c r="H16350" s="4" t="n">
        <v>3</v>
      </c>
      <c r="I16350" s="4" t="str">
        <v>○</v>
      </c>
      <c r="J16350" s="4" t="n">
        <v>170</v>
      </c>
      <c r="K16350" s="4"/>
      <c r="L16350" s="4"/>
      <c r="M16350" s="7" t="s">
        <v>6871</v>
      </c>
    </row>
    <row r="16351" customFormat="false" ht="15.75" hidden="false" customHeight="false" outlineLevel="0" collapsed="false">
      <c r="A16351" s="6" t="n">
        <f aca="false">DATE(2026,5,2)</f>
        <v>46144</v>
      </c>
      <c r="B16351" s="4" t="s">
        <v>4473</v>
      </c>
      <c r="C16351" s="4" t="n">
        <v>4</v>
      </c>
      <c r="D16351" s="4" t="n">
        <v>6</v>
      </c>
      <c r="E16351" s="4" t="s">
        <v>7336</v>
      </c>
      <c r="F16351" s="4" t="n">
        <v>41</v>
      </c>
      <c r="G16351" s="4" t="n">
        <v>4</v>
      </c>
      <c r="H16351" s="4" t="n">
        <v>1</v>
      </c>
      <c r="I16351" s="4" t="str">
        <v>○</v>
      </c>
      <c r="J16351" s="4" t="n">
        <v>110</v>
      </c>
      <c r="K16351" s="4"/>
      <c r="L16351" s="4"/>
      <c r="M16351" s="7" t="s">
        <v>6871</v>
      </c>
    </row>
    <row r="16352" customFormat="false" ht="15.75" hidden="false" customHeight="false" outlineLevel="0" collapsed="false">
      <c r="A16352" s="6" t="n">
        <f aca="false">DATE(2026,5,2)</f>
        <v>46144</v>
      </c>
      <c r="B16352" s="4" t="s">
        <v>4473</v>
      </c>
      <c r="C16352" s="4" t="n">
        <v>4</v>
      </c>
      <c r="D16352" s="4" t="n">
        <v>7</v>
      </c>
      <c r="E16352" s="4" t="s">
        <v>1416</v>
      </c>
      <c r="F16352" s="4" t="n">
        <v>6</v>
      </c>
      <c r="G16352" s="4" t="n">
        <v>9</v>
      </c>
      <c r="H16352" s="4" t="n">
        <v>4</v>
      </c>
      <c r="I16352" s="4" t="str">
        <v>×</v>
      </c>
      <c r="J16352" s="4"/>
      <c r="K16352" s="4"/>
      <c r="L16352" s="4"/>
      <c r="M16352" s="7" t="s">
        <v>6871</v>
      </c>
    </row>
    <row r="16353" customFormat="false" ht="15.75" hidden="false" customHeight="false" outlineLevel="0" collapsed="false">
      <c r="A16353" s="6" t="n">
        <f aca="false">DATE(2026,5,2)</f>
        <v>46144</v>
      </c>
      <c r="B16353" s="4" t="s">
        <v>4473</v>
      </c>
      <c r="C16353" s="4" t="n">
        <v>4</v>
      </c>
      <c r="D16353" s="4" t="n">
        <v>8</v>
      </c>
      <c r="E16353" s="4" t="s">
        <v>509</v>
      </c>
      <c r="F16353" s="4" t="n">
        <v>8</v>
      </c>
      <c r="G16353" s="4" t="n">
        <v>8</v>
      </c>
      <c r="H16353" s="4" t="n">
        <v>4</v>
      </c>
      <c r="I16353" s="4" t="str">
        <v>×</v>
      </c>
      <c r="J16353" s="4"/>
      <c r="K16353" s="4"/>
      <c r="L16353" s="4"/>
      <c r="M16353" s="7" t="s">
        <v>6871</v>
      </c>
    </row>
    <row r="16354" customFormat="false" ht="15.75" hidden="false" customHeight="false" outlineLevel="0" collapsed="false">
      <c r="A16354" s="6" t="n">
        <f aca="false">DATE(2026,5,2)</f>
        <v>46144</v>
      </c>
      <c r="B16354" s="4" t="s">
        <v>4473</v>
      </c>
      <c r="C16354" s="4" t="n">
        <v>4</v>
      </c>
      <c r="D16354" s="4" t="n">
        <v>9</v>
      </c>
      <c r="E16354" s="4" t="s">
        <v>2693</v>
      </c>
      <c r="F16354" s="4" t="n">
        <v>3</v>
      </c>
      <c r="G16354" s="4" t="n">
        <v>10</v>
      </c>
      <c r="H16354" s="4" t="n">
        <v>4</v>
      </c>
      <c r="I16354" s="4" t="str">
        <v>×</v>
      </c>
      <c r="J16354" s="4"/>
      <c r="K16354" s="4"/>
      <c r="L16354" s="4"/>
      <c r="M16354" s="7" t="s">
        <v>6871</v>
      </c>
    </row>
    <row r="16355" customFormat="false" ht="15.75" hidden="false" customHeight="false" outlineLevel="0" collapsed="false">
      <c r="A16355" s="6" t="n">
        <f aca="false">DATE(2026,5,2)</f>
        <v>46144</v>
      </c>
      <c r="B16355" s="4" t="s">
        <v>4473</v>
      </c>
      <c r="C16355" s="4" t="n">
        <v>4</v>
      </c>
      <c r="D16355" s="4" t="n">
        <v>10</v>
      </c>
      <c r="E16355" s="4" t="s">
        <v>7337</v>
      </c>
      <c r="F16355" s="4" t="n">
        <v>56</v>
      </c>
      <c r="G16355" s="4" t="n">
        <v>2</v>
      </c>
      <c r="H16355" s="4" t="n">
        <v>2</v>
      </c>
      <c r="I16355" s="4" t="str">
        <v>○</v>
      </c>
      <c r="J16355" s="4" t="n">
        <v>140</v>
      </c>
      <c r="K16355" s="4"/>
      <c r="L16355" s="4"/>
      <c r="M16355" s="7" t="s">
        <v>6871</v>
      </c>
    </row>
    <row r="16356" customFormat="false" ht="15.75" hidden="false" customHeight="false" outlineLevel="0" collapsed="false">
      <c r="A16356" s="6" t="n">
        <f aca="false">DATE(2026,5,2)</f>
        <v>46144</v>
      </c>
      <c r="B16356" s="4" t="s">
        <v>4473</v>
      </c>
      <c r="C16356" s="4" t="n">
        <v>5</v>
      </c>
      <c r="D16356" s="4" t="n">
        <v>1</v>
      </c>
      <c r="E16356" s="4" t="s">
        <v>4520</v>
      </c>
      <c r="F16356" s="4" t="n">
        <v>13</v>
      </c>
      <c r="G16356" s="4" t="n">
        <v>11</v>
      </c>
      <c r="H16356" s="4" t="n">
        <v>4</v>
      </c>
      <c r="I16356" s="4" t="str">
        <v>×</v>
      </c>
      <c r="J16356" s="4"/>
      <c r="K16356" s="4"/>
      <c r="L16356" s="4"/>
      <c r="M16356" s="7" t="s">
        <v>6871</v>
      </c>
    </row>
    <row r="16357" customFormat="false" ht="15.75" hidden="false" customHeight="false" outlineLevel="0" collapsed="false">
      <c r="A16357" s="6" t="n">
        <f aca="false">DATE(2026,5,2)</f>
        <v>46144</v>
      </c>
      <c r="B16357" s="4" t="s">
        <v>4473</v>
      </c>
      <c r="C16357" s="4" t="n">
        <v>5</v>
      </c>
      <c r="D16357" s="4" t="n">
        <v>2</v>
      </c>
      <c r="E16357" s="4" t="s">
        <v>1866</v>
      </c>
      <c r="F16357" s="4" t="n">
        <v>4</v>
      </c>
      <c r="G16357" s="4" t="n">
        <v>16</v>
      </c>
      <c r="H16357" s="4" t="n">
        <v>4</v>
      </c>
      <c r="I16357" s="4" t="str">
        <v>×</v>
      </c>
      <c r="J16357" s="4"/>
      <c r="K16357" s="4"/>
      <c r="L16357" s="4"/>
      <c r="M16357" s="7" t="s">
        <v>6871</v>
      </c>
    </row>
    <row r="16358" customFormat="false" ht="15.75" hidden="false" customHeight="false" outlineLevel="0" collapsed="false">
      <c r="A16358" s="6" t="n">
        <f aca="false">DATE(2026,5,2)</f>
        <v>46144</v>
      </c>
      <c r="B16358" s="4" t="s">
        <v>4473</v>
      </c>
      <c r="C16358" s="4" t="n">
        <v>5</v>
      </c>
      <c r="D16358" s="4" t="n">
        <v>3</v>
      </c>
      <c r="E16358" s="4" t="s">
        <v>3087</v>
      </c>
      <c r="F16358" s="4" t="n">
        <v>23</v>
      </c>
      <c r="G16358" s="4" t="n">
        <v>6</v>
      </c>
      <c r="H16358" s="4" t="n">
        <v>1</v>
      </c>
      <c r="I16358" s="4" t="str">
        <v>○</v>
      </c>
      <c r="J16358" s="4" t="n">
        <v>180</v>
      </c>
      <c r="K16358" s="4"/>
      <c r="L16358" s="4"/>
      <c r="M16358" s="7" t="s">
        <v>6871</v>
      </c>
    </row>
    <row r="16359" customFormat="false" ht="15.75" hidden="false" customHeight="false" outlineLevel="0" collapsed="false">
      <c r="A16359" s="6" t="n">
        <f aca="false">DATE(2026,5,2)</f>
        <v>46144</v>
      </c>
      <c r="B16359" s="4" t="s">
        <v>4473</v>
      </c>
      <c r="C16359" s="4" t="n">
        <v>5</v>
      </c>
      <c r="D16359" s="4" t="n">
        <v>4</v>
      </c>
      <c r="E16359" s="4" t="s">
        <v>6607</v>
      </c>
      <c r="F16359" s="4" t="n">
        <v>25</v>
      </c>
      <c r="G16359" s="4" t="n">
        <v>5</v>
      </c>
      <c r="H16359" s="4" t="n">
        <v>4</v>
      </c>
      <c r="I16359" s="4" t="str">
        <v>×</v>
      </c>
      <c r="J16359" s="4"/>
      <c r="K16359" s="4"/>
      <c r="L16359" s="4"/>
      <c r="M16359" s="7" t="s">
        <v>6871</v>
      </c>
    </row>
    <row r="16360" customFormat="false" ht="15.75" hidden="false" customHeight="false" outlineLevel="0" collapsed="false">
      <c r="A16360" s="6" t="n">
        <f aca="false">DATE(2026,5,2)</f>
        <v>46144</v>
      </c>
      <c r="B16360" s="4" t="s">
        <v>4473</v>
      </c>
      <c r="C16360" s="4" t="n">
        <v>5</v>
      </c>
      <c r="D16360" s="4" t="n">
        <v>5</v>
      </c>
      <c r="E16360" s="4" t="s">
        <v>2673</v>
      </c>
      <c r="F16360" s="4" t="n">
        <v>23</v>
      </c>
      <c r="G16360" s="4" t="n">
        <v>7</v>
      </c>
      <c r="H16360" s="4" t="n">
        <v>4</v>
      </c>
      <c r="I16360" s="4" t="str">
        <v>×</v>
      </c>
      <c r="J16360" s="4"/>
      <c r="K16360" s="4"/>
      <c r="L16360" s="4"/>
      <c r="M16360" s="7" t="s">
        <v>6871</v>
      </c>
    </row>
    <row r="16361" customFormat="false" ht="15.75" hidden="false" customHeight="false" outlineLevel="0" collapsed="false">
      <c r="A16361" s="6" t="n">
        <f aca="false">DATE(2026,5,2)</f>
        <v>46144</v>
      </c>
      <c r="B16361" s="4" t="s">
        <v>4473</v>
      </c>
      <c r="C16361" s="4" t="n">
        <v>5</v>
      </c>
      <c r="D16361" s="4" t="n">
        <v>6</v>
      </c>
      <c r="E16361" s="4" t="s">
        <v>3535</v>
      </c>
      <c r="F16361" s="4" t="n">
        <v>37</v>
      </c>
      <c r="G16361" s="4" t="n">
        <v>3</v>
      </c>
      <c r="H16361" s="4" t="n">
        <v>4</v>
      </c>
      <c r="I16361" s="4" t="str">
        <v>×</v>
      </c>
      <c r="J16361" s="4"/>
      <c r="K16361" s="4"/>
      <c r="L16361" s="4"/>
      <c r="M16361" s="7" t="s">
        <v>6871</v>
      </c>
    </row>
    <row r="16362" customFormat="false" ht="15.75" hidden="false" customHeight="false" outlineLevel="0" collapsed="false">
      <c r="A16362" s="6" t="n">
        <f aca="false">DATE(2026,5,2)</f>
        <v>46144</v>
      </c>
      <c r="B16362" s="4" t="s">
        <v>4473</v>
      </c>
      <c r="C16362" s="4" t="n">
        <v>5</v>
      </c>
      <c r="D16362" s="4" t="n">
        <v>7</v>
      </c>
      <c r="E16362" s="4" t="s">
        <v>5840</v>
      </c>
      <c r="F16362" s="4" t="n">
        <v>10</v>
      </c>
      <c r="G16362" s="4" t="n">
        <v>13</v>
      </c>
      <c r="H16362" s="4" t="n">
        <v>4</v>
      </c>
      <c r="I16362" s="4" t="str">
        <v>×</v>
      </c>
      <c r="J16362" s="4"/>
      <c r="K16362" s="4"/>
      <c r="L16362" s="4"/>
      <c r="M16362" s="7" t="s">
        <v>6871</v>
      </c>
    </row>
    <row r="16363" customFormat="false" ht="15.75" hidden="false" customHeight="false" outlineLevel="0" collapsed="false">
      <c r="A16363" s="6" t="n">
        <f aca="false">DATE(2026,5,2)</f>
        <v>46144</v>
      </c>
      <c r="B16363" s="4" t="s">
        <v>4473</v>
      </c>
      <c r="C16363" s="4" t="n">
        <v>5</v>
      </c>
      <c r="D16363" s="4" t="n">
        <v>8</v>
      </c>
      <c r="E16363" s="4" t="s">
        <v>7338</v>
      </c>
      <c r="F16363" s="4" t="n">
        <v>31</v>
      </c>
      <c r="G16363" s="4" t="n">
        <v>4</v>
      </c>
      <c r="H16363" s="4" t="n">
        <v>2</v>
      </c>
      <c r="I16363" s="4" t="str">
        <v>○</v>
      </c>
      <c r="J16363" s="4" t="n">
        <v>360</v>
      </c>
      <c r="K16363" s="4"/>
      <c r="L16363" s="4"/>
      <c r="M16363" s="7" t="s">
        <v>6871</v>
      </c>
    </row>
    <row r="16364" customFormat="false" ht="15.75" hidden="false" customHeight="false" outlineLevel="0" collapsed="false">
      <c r="A16364" s="6" t="n">
        <f aca="false">DATE(2026,5,2)</f>
        <v>46144</v>
      </c>
      <c r="B16364" s="4" t="s">
        <v>4473</v>
      </c>
      <c r="C16364" s="4" t="n">
        <v>5</v>
      </c>
      <c r="D16364" s="4" t="n">
        <v>9</v>
      </c>
      <c r="E16364" s="4" t="s">
        <v>7339</v>
      </c>
      <c r="F16364" s="4" t="n">
        <v>41</v>
      </c>
      <c r="G16364" s="4" t="n">
        <v>1</v>
      </c>
      <c r="H16364" s="4" t="n">
        <v>3</v>
      </c>
      <c r="I16364" s="4" t="str">
        <v>○</v>
      </c>
      <c r="J16364" s="4" t="n">
        <v>250</v>
      </c>
      <c r="K16364" s="4"/>
      <c r="L16364" s="4"/>
      <c r="M16364" s="7" t="s">
        <v>6871</v>
      </c>
    </row>
    <row r="16365" customFormat="false" ht="15.75" hidden="false" customHeight="false" outlineLevel="0" collapsed="false">
      <c r="A16365" s="6" t="n">
        <f aca="false">DATE(2026,5,2)</f>
        <v>46144</v>
      </c>
      <c r="B16365" s="4" t="s">
        <v>4473</v>
      </c>
      <c r="C16365" s="4" t="n">
        <v>5</v>
      </c>
      <c r="D16365" s="4" t="n">
        <v>10</v>
      </c>
      <c r="E16365" s="4" t="s">
        <v>7340</v>
      </c>
      <c r="F16365" s="4" t="n">
        <v>20</v>
      </c>
      <c r="G16365" s="4" t="n">
        <v>8</v>
      </c>
      <c r="H16365" s="4" t="n">
        <v>4</v>
      </c>
      <c r="I16365" s="4" t="str">
        <v>×</v>
      </c>
      <c r="J16365" s="4"/>
      <c r="K16365" s="4"/>
      <c r="L16365" s="4"/>
      <c r="M16365" s="7" t="s">
        <v>6871</v>
      </c>
    </row>
    <row r="16366" customFormat="false" ht="15.75" hidden="false" customHeight="false" outlineLevel="0" collapsed="false">
      <c r="A16366" s="6" t="n">
        <f aca="false">DATE(2026,5,2)</f>
        <v>46144</v>
      </c>
      <c r="B16366" s="4" t="s">
        <v>4473</v>
      </c>
      <c r="C16366" s="4" t="n">
        <v>5</v>
      </c>
      <c r="D16366" s="4" t="n">
        <v>11</v>
      </c>
      <c r="E16366" s="4" t="s">
        <v>2374</v>
      </c>
      <c r="F16366" s="4" t="n">
        <v>8</v>
      </c>
      <c r="G16366" s="4" t="n">
        <v>14</v>
      </c>
      <c r="H16366" s="4" t="n">
        <v>4</v>
      </c>
      <c r="I16366" s="4" t="str">
        <v>×</v>
      </c>
      <c r="J16366" s="4"/>
      <c r="K16366" s="4"/>
      <c r="L16366" s="4"/>
      <c r="M16366" s="7" t="s">
        <v>6871</v>
      </c>
    </row>
    <row r="16367" customFormat="false" ht="15.75" hidden="false" customHeight="false" outlineLevel="0" collapsed="false">
      <c r="A16367" s="6" t="n">
        <f aca="false">DATE(2026,5,2)</f>
        <v>46144</v>
      </c>
      <c r="B16367" s="4" t="s">
        <v>4473</v>
      </c>
      <c r="C16367" s="4" t="n">
        <v>5</v>
      </c>
      <c r="D16367" s="4" t="n">
        <v>12</v>
      </c>
      <c r="E16367" s="4" t="s">
        <v>7341</v>
      </c>
      <c r="F16367" s="4" t="n">
        <v>15</v>
      </c>
      <c r="G16367" s="4" t="n">
        <v>10</v>
      </c>
      <c r="H16367" s="4" t="n">
        <v>4</v>
      </c>
      <c r="I16367" s="4" t="str">
        <v>×</v>
      </c>
      <c r="J16367" s="4"/>
      <c r="K16367" s="4"/>
      <c r="L16367" s="4"/>
      <c r="M16367" s="7" t="s">
        <v>6871</v>
      </c>
    </row>
    <row r="16368" customFormat="false" ht="15.75" hidden="false" customHeight="false" outlineLevel="0" collapsed="false">
      <c r="A16368" s="6" t="n">
        <f aca="false">DATE(2026,5,2)</f>
        <v>46144</v>
      </c>
      <c r="B16368" s="4" t="s">
        <v>4473</v>
      </c>
      <c r="C16368" s="4" t="n">
        <v>5</v>
      </c>
      <c r="D16368" s="4" t="n">
        <v>13</v>
      </c>
      <c r="E16368" s="4" t="s">
        <v>2368</v>
      </c>
      <c r="F16368" s="4" t="n">
        <v>3</v>
      </c>
      <c r="G16368" s="4" t="n">
        <v>17</v>
      </c>
      <c r="H16368" s="4" t="n">
        <v>4</v>
      </c>
      <c r="I16368" s="4" t="str">
        <v>×</v>
      </c>
      <c r="J16368" s="4"/>
      <c r="K16368" s="4"/>
      <c r="L16368" s="4"/>
      <c r="M16368" s="7" t="s">
        <v>6871</v>
      </c>
    </row>
    <row r="16369" customFormat="false" ht="15.75" hidden="false" customHeight="false" outlineLevel="0" collapsed="false">
      <c r="A16369" s="6" t="n">
        <f aca="false">DATE(2026,5,2)</f>
        <v>46144</v>
      </c>
      <c r="B16369" s="4" t="s">
        <v>4473</v>
      </c>
      <c r="C16369" s="4" t="n">
        <v>5</v>
      </c>
      <c r="D16369" s="4" t="n">
        <v>14</v>
      </c>
      <c r="E16369" s="4" t="s">
        <v>7342</v>
      </c>
      <c r="F16369" s="4" t="n">
        <v>1</v>
      </c>
      <c r="G16369" s="4" t="n">
        <v>18</v>
      </c>
      <c r="H16369" s="4" t="n">
        <v>4</v>
      </c>
      <c r="I16369" s="4" t="str">
        <v>×</v>
      </c>
      <c r="J16369" s="4"/>
      <c r="K16369" s="4"/>
      <c r="L16369" s="4"/>
      <c r="M16369" s="7" t="s">
        <v>6871</v>
      </c>
    </row>
    <row r="16370" customFormat="false" ht="15.75" hidden="false" customHeight="false" outlineLevel="0" collapsed="false">
      <c r="A16370" s="6" t="n">
        <f aca="false">DATE(2026,5,2)</f>
        <v>46144</v>
      </c>
      <c r="B16370" s="4" t="s">
        <v>4473</v>
      </c>
      <c r="C16370" s="4" t="n">
        <v>5</v>
      </c>
      <c r="D16370" s="4" t="n">
        <v>15</v>
      </c>
      <c r="E16370" s="4" t="s">
        <v>5842</v>
      </c>
      <c r="F16370" s="4" t="n">
        <v>41</v>
      </c>
      <c r="G16370" s="4" t="n">
        <v>2</v>
      </c>
      <c r="H16370" s="4" t="n">
        <v>4</v>
      </c>
      <c r="I16370" s="4" t="str">
        <v>×</v>
      </c>
      <c r="J16370" s="4"/>
      <c r="K16370" s="4"/>
      <c r="L16370" s="4"/>
      <c r="M16370" s="7" t="s">
        <v>6871</v>
      </c>
    </row>
    <row r="16371" customFormat="false" ht="15.75" hidden="false" customHeight="false" outlineLevel="0" collapsed="false">
      <c r="A16371" s="6" t="n">
        <f aca="false">DATE(2026,5,2)</f>
        <v>46144</v>
      </c>
      <c r="B16371" s="4" t="s">
        <v>4473</v>
      </c>
      <c r="C16371" s="4" t="n">
        <v>5</v>
      </c>
      <c r="D16371" s="4" t="n">
        <v>16</v>
      </c>
      <c r="E16371" s="4" t="s">
        <v>1017</v>
      </c>
      <c r="F16371" s="4" t="n">
        <v>17</v>
      </c>
      <c r="G16371" s="4" t="n">
        <v>9</v>
      </c>
      <c r="H16371" s="4" t="n">
        <v>4</v>
      </c>
      <c r="I16371" s="4" t="str">
        <v>×</v>
      </c>
      <c r="J16371" s="4"/>
      <c r="K16371" s="4"/>
      <c r="L16371" s="4"/>
      <c r="M16371" s="7" t="s">
        <v>6871</v>
      </c>
    </row>
    <row r="16372" customFormat="false" ht="15.75" hidden="false" customHeight="false" outlineLevel="0" collapsed="false">
      <c r="A16372" s="6" t="n">
        <f aca="false">DATE(2026,5,2)</f>
        <v>46144</v>
      </c>
      <c r="B16372" s="4" t="s">
        <v>4473</v>
      </c>
      <c r="C16372" s="4" t="n">
        <v>5</v>
      </c>
      <c r="D16372" s="4" t="n">
        <v>17</v>
      </c>
      <c r="E16372" s="4" t="s">
        <v>4935</v>
      </c>
      <c r="F16372" s="4" t="n">
        <v>6</v>
      </c>
      <c r="G16372" s="4" t="n">
        <v>15</v>
      </c>
      <c r="H16372" s="4" t="n">
        <v>4</v>
      </c>
      <c r="I16372" s="4" t="str">
        <v>×</v>
      </c>
      <c r="J16372" s="4"/>
      <c r="K16372" s="4"/>
      <c r="L16372" s="4"/>
      <c r="M16372" s="7" t="s">
        <v>6871</v>
      </c>
    </row>
    <row r="16373" customFormat="false" ht="15.75" hidden="false" customHeight="false" outlineLevel="0" collapsed="false">
      <c r="A16373" s="6" t="n">
        <f aca="false">DATE(2026,5,2)</f>
        <v>46144</v>
      </c>
      <c r="B16373" s="4" t="s">
        <v>4473</v>
      </c>
      <c r="C16373" s="4" t="n">
        <v>5</v>
      </c>
      <c r="D16373" s="4" t="n">
        <v>18</v>
      </c>
      <c r="E16373" s="4" t="s">
        <v>7343</v>
      </c>
      <c r="F16373" s="4" t="n">
        <v>13</v>
      </c>
      <c r="G16373" s="4" t="n">
        <v>12</v>
      </c>
      <c r="H16373" s="4" t="n">
        <v>4</v>
      </c>
      <c r="I16373" s="4" t="str">
        <v>×</v>
      </c>
      <c r="J16373" s="4"/>
      <c r="K16373" s="4"/>
      <c r="L16373" s="4"/>
      <c r="M16373" s="7" t="s">
        <v>6871</v>
      </c>
    </row>
    <row r="16374" customFormat="false" ht="15.75" hidden="false" customHeight="false" outlineLevel="0" collapsed="false">
      <c r="A16374" s="6" t="n">
        <f aca="false">DATE(2026,5,2)</f>
        <v>46144</v>
      </c>
      <c r="B16374" s="4" t="s">
        <v>4473</v>
      </c>
      <c r="C16374" s="4" t="n">
        <v>6</v>
      </c>
      <c r="D16374" s="4" t="n">
        <v>1</v>
      </c>
      <c r="E16374" s="4" t="s">
        <v>4296</v>
      </c>
      <c r="F16374" s="4" t="n">
        <v>8</v>
      </c>
      <c r="G16374" s="4" t="n">
        <v>5</v>
      </c>
      <c r="H16374" s="4" t="n">
        <v>4</v>
      </c>
      <c r="I16374" s="4" t="str">
        <v>×</v>
      </c>
      <c r="J16374" s="4"/>
      <c r="K16374" s="4"/>
      <c r="L16374" s="4"/>
      <c r="M16374" s="7" t="s">
        <v>6871</v>
      </c>
    </row>
    <row r="16375" customFormat="false" ht="15.75" hidden="false" customHeight="false" outlineLevel="0" collapsed="false">
      <c r="A16375" s="6" t="n">
        <f aca="false">DATE(2026,5,2)</f>
        <v>46144</v>
      </c>
      <c r="B16375" s="4" t="s">
        <v>4473</v>
      </c>
      <c r="C16375" s="4" t="n">
        <v>6</v>
      </c>
      <c r="D16375" s="4" t="n">
        <v>2</v>
      </c>
      <c r="E16375" s="4" t="s">
        <v>5472</v>
      </c>
      <c r="F16375" s="4" t="n">
        <v>6</v>
      </c>
      <c r="G16375" s="4" t="n">
        <v>6</v>
      </c>
      <c r="H16375" s="4" t="n">
        <v>4</v>
      </c>
      <c r="I16375" s="4" t="str">
        <v>×</v>
      </c>
      <c r="J16375" s="4"/>
      <c r="K16375" s="4"/>
      <c r="L16375" s="4"/>
      <c r="M16375" s="7" t="s">
        <v>6871</v>
      </c>
    </row>
    <row r="16376" customFormat="false" ht="15.75" hidden="false" customHeight="false" outlineLevel="0" collapsed="false">
      <c r="A16376" s="6" t="n">
        <f aca="false">DATE(2026,5,2)</f>
        <v>46144</v>
      </c>
      <c r="B16376" s="4" t="s">
        <v>4473</v>
      </c>
      <c r="C16376" s="4" t="n">
        <v>6</v>
      </c>
      <c r="D16376" s="4" t="n">
        <v>3</v>
      </c>
      <c r="E16376" s="4" t="s">
        <v>5606</v>
      </c>
      <c r="F16376" s="4" t="n">
        <v>20</v>
      </c>
      <c r="G16376" s="4" t="n">
        <v>4</v>
      </c>
      <c r="H16376" s="4" t="n">
        <v>3</v>
      </c>
      <c r="I16376" s="4" t="str">
        <v>○</v>
      </c>
      <c r="J16376" s="4"/>
      <c r="K16376" s="4"/>
      <c r="L16376" s="4"/>
      <c r="M16376" s="7" t="s">
        <v>6871</v>
      </c>
    </row>
    <row r="16377" customFormat="false" ht="15.75" hidden="false" customHeight="false" outlineLevel="0" collapsed="false">
      <c r="A16377" s="6" t="n">
        <f aca="false">DATE(2026,5,2)</f>
        <v>46144</v>
      </c>
      <c r="B16377" s="4" t="s">
        <v>4473</v>
      </c>
      <c r="C16377" s="4" t="n">
        <v>6</v>
      </c>
      <c r="D16377" s="4" t="n">
        <v>4</v>
      </c>
      <c r="E16377" s="4" t="s">
        <v>5557</v>
      </c>
      <c r="F16377" s="4" t="n">
        <v>44</v>
      </c>
      <c r="G16377" s="4" t="n">
        <v>3</v>
      </c>
      <c r="H16377" s="4" t="n">
        <v>4</v>
      </c>
      <c r="I16377" s="4" t="str">
        <v>×</v>
      </c>
      <c r="J16377" s="4"/>
      <c r="K16377" s="4"/>
      <c r="L16377" s="4"/>
      <c r="M16377" s="7" t="s">
        <v>6871</v>
      </c>
    </row>
    <row r="16378" customFormat="false" ht="15.75" hidden="false" customHeight="false" outlineLevel="0" collapsed="false">
      <c r="A16378" s="6" t="n">
        <f aca="false">DATE(2026,5,2)</f>
        <v>46144</v>
      </c>
      <c r="B16378" s="4" t="s">
        <v>4473</v>
      </c>
      <c r="C16378" s="4" t="n">
        <v>6</v>
      </c>
      <c r="D16378" s="4" t="n">
        <v>5</v>
      </c>
      <c r="E16378" s="4" t="s">
        <v>4067</v>
      </c>
      <c r="F16378" s="4" t="n">
        <v>2</v>
      </c>
      <c r="G16378" s="4" t="n">
        <v>7</v>
      </c>
      <c r="H16378" s="4" t="n">
        <v>4</v>
      </c>
      <c r="I16378" s="4" t="str">
        <v>×</v>
      </c>
      <c r="J16378" s="4"/>
      <c r="K16378" s="4"/>
      <c r="L16378" s="4"/>
      <c r="M16378" s="7" t="s">
        <v>6871</v>
      </c>
    </row>
    <row r="16379" customFormat="false" ht="15.75" hidden="false" customHeight="false" outlineLevel="0" collapsed="false">
      <c r="A16379" s="6" t="n">
        <f aca="false">DATE(2026,5,2)</f>
        <v>46144</v>
      </c>
      <c r="B16379" s="4" t="s">
        <v>4473</v>
      </c>
      <c r="C16379" s="4" t="n">
        <v>6</v>
      </c>
      <c r="D16379" s="4" t="n">
        <v>6</v>
      </c>
      <c r="E16379" s="4" t="s">
        <v>1979</v>
      </c>
      <c r="F16379" s="4" t="n">
        <v>86</v>
      </c>
      <c r="G16379" s="4" t="n">
        <v>1</v>
      </c>
      <c r="H16379" s="4" t="n">
        <v>1</v>
      </c>
      <c r="I16379" s="4" t="str">
        <v>○</v>
      </c>
      <c r="J16379" s="4" t="n">
        <v>110</v>
      </c>
      <c r="K16379" s="4"/>
      <c r="L16379" s="4"/>
      <c r="M16379" s="7" t="s">
        <v>6871</v>
      </c>
    </row>
    <row r="16380" customFormat="false" ht="15.75" hidden="false" customHeight="false" outlineLevel="0" collapsed="false">
      <c r="A16380" s="6" t="n">
        <f aca="false">DATE(2026,5,2)</f>
        <v>46144</v>
      </c>
      <c r="B16380" s="4" t="s">
        <v>4473</v>
      </c>
      <c r="C16380" s="4" t="n">
        <v>6</v>
      </c>
      <c r="D16380" s="4" t="n">
        <v>7</v>
      </c>
      <c r="E16380" s="4" t="s">
        <v>4063</v>
      </c>
      <c r="F16380" s="4" t="n">
        <v>81</v>
      </c>
      <c r="G16380" s="4" t="n">
        <v>2</v>
      </c>
      <c r="H16380" s="4" t="n">
        <v>2</v>
      </c>
      <c r="I16380" s="4" t="str">
        <v>○</v>
      </c>
      <c r="J16380" s="4" t="n">
        <v>110</v>
      </c>
      <c r="K16380" s="4"/>
      <c r="L16380" s="4"/>
      <c r="M16380" s="7" t="s">
        <v>6871</v>
      </c>
    </row>
    <row r="16381" customFormat="false" ht="15.75" hidden="false" customHeight="false" outlineLevel="0" collapsed="false">
      <c r="A16381" s="6" t="n">
        <f aca="false">DATE(2026,5,2)</f>
        <v>46144</v>
      </c>
      <c r="B16381" s="4" t="s">
        <v>4473</v>
      </c>
      <c r="C16381" s="4" t="n">
        <v>7</v>
      </c>
      <c r="D16381" s="4" t="n">
        <v>1</v>
      </c>
      <c r="E16381" s="4" t="s">
        <v>530</v>
      </c>
      <c r="F16381" s="4" t="n">
        <v>3</v>
      </c>
      <c r="G16381" s="4" t="n">
        <v>13</v>
      </c>
      <c r="H16381" s="4" t="n">
        <v>4</v>
      </c>
      <c r="I16381" s="4" t="str">
        <v>×</v>
      </c>
      <c r="J16381" s="4"/>
      <c r="K16381" s="4"/>
      <c r="L16381" s="4"/>
      <c r="M16381" s="7" t="s">
        <v>6871</v>
      </c>
    </row>
    <row r="16382" customFormat="false" ht="15.75" hidden="false" customHeight="false" outlineLevel="0" collapsed="false">
      <c r="A16382" s="6" t="n">
        <f aca="false">DATE(2026,5,2)</f>
        <v>46144</v>
      </c>
      <c r="B16382" s="4" t="s">
        <v>4473</v>
      </c>
      <c r="C16382" s="4" t="n">
        <v>7</v>
      </c>
      <c r="D16382" s="4" t="n">
        <v>2</v>
      </c>
      <c r="E16382" s="4" t="s">
        <v>7344</v>
      </c>
      <c r="F16382" s="4" t="n">
        <v>17</v>
      </c>
      <c r="G16382" s="4" t="n">
        <v>6</v>
      </c>
      <c r="H16382" s="4" t="n">
        <v>4</v>
      </c>
      <c r="I16382" s="4" t="str">
        <v>×</v>
      </c>
      <c r="J16382" s="4"/>
      <c r="K16382" s="4"/>
      <c r="L16382" s="4"/>
      <c r="M16382" s="7" t="s">
        <v>6871</v>
      </c>
    </row>
    <row r="16383" customFormat="false" ht="15.75" hidden="false" customHeight="false" outlineLevel="0" collapsed="false">
      <c r="A16383" s="6" t="n">
        <f aca="false">DATE(2026,5,2)</f>
        <v>46144</v>
      </c>
      <c r="B16383" s="4" t="s">
        <v>4473</v>
      </c>
      <c r="C16383" s="4" t="n">
        <v>7</v>
      </c>
      <c r="D16383" s="4" t="n">
        <v>3</v>
      </c>
      <c r="E16383" s="4" t="s">
        <v>1542</v>
      </c>
      <c r="F16383" s="4" t="n">
        <v>47</v>
      </c>
      <c r="G16383" s="4" t="n">
        <v>2</v>
      </c>
      <c r="H16383" s="4" t="n">
        <v>4</v>
      </c>
      <c r="I16383" s="4" t="str">
        <v>×</v>
      </c>
      <c r="J16383" s="4"/>
      <c r="K16383" s="4"/>
      <c r="L16383" s="4"/>
      <c r="M16383" s="7" t="s">
        <v>6871</v>
      </c>
    </row>
    <row r="16384" customFormat="false" ht="15.75" hidden="false" customHeight="false" outlineLevel="0" collapsed="false">
      <c r="A16384" s="6" t="n">
        <f aca="false">DATE(2026,5,2)</f>
        <v>46144</v>
      </c>
      <c r="B16384" s="4" t="s">
        <v>4473</v>
      </c>
      <c r="C16384" s="4" t="n">
        <v>7</v>
      </c>
      <c r="D16384" s="4" t="n">
        <v>4</v>
      </c>
      <c r="E16384" s="4" t="s">
        <v>6317</v>
      </c>
      <c r="F16384" s="4" t="n">
        <v>2</v>
      </c>
      <c r="G16384" s="4" t="n">
        <v>15</v>
      </c>
      <c r="H16384" s="4" t="n">
        <v>4</v>
      </c>
      <c r="I16384" s="4" t="str">
        <v>×</v>
      </c>
      <c r="J16384" s="4"/>
      <c r="K16384" s="4"/>
      <c r="L16384" s="4"/>
      <c r="M16384" s="7" t="s">
        <v>6871</v>
      </c>
    </row>
    <row r="16385" customFormat="false" ht="15.75" hidden="false" customHeight="false" outlineLevel="0" collapsed="false">
      <c r="A16385" s="6" t="n">
        <f aca="false">DATE(2026,5,2)</f>
        <v>46144</v>
      </c>
      <c r="B16385" s="4" t="s">
        <v>4473</v>
      </c>
      <c r="C16385" s="4" t="n">
        <v>7</v>
      </c>
      <c r="D16385" s="4" t="n">
        <v>5</v>
      </c>
      <c r="E16385" s="4" t="s">
        <v>1075</v>
      </c>
      <c r="F16385" s="4" t="n">
        <v>1</v>
      </c>
      <c r="G16385" s="4" t="n">
        <v>16</v>
      </c>
      <c r="H16385" s="4" t="n">
        <v>4</v>
      </c>
      <c r="I16385" s="4" t="str">
        <v>×</v>
      </c>
      <c r="J16385" s="4"/>
      <c r="K16385" s="4"/>
      <c r="L16385" s="4"/>
      <c r="M16385" s="7" t="s">
        <v>6871</v>
      </c>
    </row>
    <row r="16386" customFormat="false" ht="15.75" hidden="false" customHeight="false" outlineLevel="0" collapsed="false">
      <c r="A16386" s="6" t="n">
        <f aca="false">DATE(2026,5,2)</f>
        <v>46144</v>
      </c>
      <c r="B16386" s="4" t="s">
        <v>4473</v>
      </c>
      <c r="C16386" s="4" t="n">
        <v>7</v>
      </c>
      <c r="D16386" s="4" t="n">
        <v>6</v>
      </c>
      <c r="E16386" s="4" t="s">
        <v>7345</v>
      </c>
      <c r="F16386" s="4" t="n">
        <v>6</v>
      </c>
      <c r="G16386" s="4" t="n">
        <v>12</v>
      </c>
      <c r="H16386" s="4" t="n">
        <v>4</v>
      </c>
      <c r="I16386" s="4" t="str">
        <v>×</v>
      </c>
      <c r="J16386" s="4"/>
      <c r="K16386" s="4"/>
      <c r="L16386" s="4"/>
      <c r="M16386" s="7" t="s">
        <v>6871</v>
      </c>
    </row>
    <row r="16387" customFormat="false" ht="15.75" hidden="false" customHeight="false" outlineLevel="0" collapsed="false">
      <c r="A16387" s="6" t="n">
        <f aca="false">DATE(2026,5,2)</f>
        <v>46144</v>
      </c>
      <c r="B16387" s="4" t="s">
        <v>4473</v>
      </c>
      <c r="C16387" s="4" t="n">
        <v>7</v>
      </c>
      <c r="D16387" s="4" t="n">
        <v>7</v>
      </c>
      <c r="E16387" s="4" t="s">
        <v>3120</v>
      </c>
      <c r="F16387" s="4" t="n">
        <v>8</v>
      </c>
      <c r="G16387" s="4" t="n">
        <v>11</v>
      </c>
      <c r="H16387" s="4" t="n">
        <v>4</v>
      </c>
      <c r="I16387" s="4" t="str">
        <v>×</v>
      </c>
      <c r="J16387" s="4"/>
      <c r="K16387" s="4"/>
      <c r="L16387" s="4"/>
      <c r="M16387" s="7" t="s">
        <v>6871</v>
      </c>
    </row>
    <row r="16388" customFormat="false" ht="15.75" hidden="false" customHeight="false" outlineLevel="0" collapsed="false">
      <c r="A16388" s="6" t="n">
        <f aca="false">DATE(2026,5,2)</f>
        <v>46144</v>
      </c>
      <c r="B16388" s="4" t="s">
        <v>4473</v>
      </c>
      <c r="C16388" s="4" t="n">
        <v>7</v>
      </c>
      <c r="D16388" s="4" t="n">
        <v>8</v>
      </c>
      <c r="E16388" s="4" t="s">
        <v>7346</v>
      </c>
      <c r="F16388" s="4" t="n">
        <v>31</v>
      </c>
      <c r="G16388" s="4" t="n">
        <v>4</v>
      </c>
      <c r="H16388" s="4" t="n">
        <v>4</v>
      </c>
      <c r="I16388" s="4" t="str">
        <v>×</v>
      </c>
      <c r="J16388" s="4"/>
      <c r="K16388" s="4"/>
      <c r="L16388" s="4"/>
      <c r="M16388" s="7" t="s">
        <v>6871</v>
      </c>
    </row>
    <row r="16389" customFormat="false" ht="15.75" hidden="false" customHeight="false" outlineLevel="0" collapsed="false">
      <c r="A16389" s="6" t="n">
        <f aca="false">DATE(2026,5,2)</f>
        <v>46144</v>
      </c>
      <c r="B16389" s="4" t="s">
        <v>4473</v>
      </c>
      <c r="C16389" s="4" t="n">
        <v>7</v>
      </c>
      <c r="D16389" s="4" t="n">
        <v>9</v>
      </c>
      <c r="E16389" s="4" t="s">
        <v>4978</v>
      </c>
      <c r="F16389" s="4" t="n">
        <v>15</v>
      </c>
      <c r="G16389" s="4" t="n">
        <v>7</v>
      </c>
      <c r="H16389" s="4" t="n">
        <v>3</v>
      </c>
      <c r="I16389" s="4" t="str">
        <v>○</v>
      </c>
      <c r="J16389" s="4" t="n">
        <v>720</v>
      </c>
      <c r="K16389" s="4"/>
      <c r="L16389" s="4"/>
      <c r="M16389" s="7" t="s">
        <v>6871</v>
      </c>
    </row>
    <row r="16390" customFormat="false" ht="15.75" hidden="false" customHeight="false" outlineLevel="0" collapsed="false">
      <c r="A16390" s="6" t="n">
        <f aca="false">DATE(2026,5,2)</f>
        <v>46144</v>
      </c>
      <c r="B16390" s="4" t="s">
        <v>4473</v>
      </c>
      <c r="C16390" s="4" t="n">
        <v>7</v>
      </c>
      <c r="D16390" s="4" t="n">
        <v>10</v>
      </c>
      <c r="E16390" s="4" t="s">
        <v>7347</v>
      </c>
      <c r="F16390" s="4" t="n">
        <v>15</v>
      </c>
      <c r="G16390" s="4" t="n">
        <v>8</v>
      </c>
      <c r="H16390" s="4" t="n">
        <v>4</v>
      </c>
      <c r="I16390" s="4" t="str">
        <v>×</v>
      </c>
      <c r="J16390" s="4"/>
      <c r="K16390" s="4"/>
      <c r="L16390" s="4"/>
      <c r="M16390" s="7" t="s">
        <v>6871</v>
      </c>
    </row>
    <row r="16391" customFormat="false" ht="15.75" hidden="false" customHeight="false" outlineLevel="0" collapsed="false">
      <c r="A16391" s="6" t="n">
        <f aca="false">DATE(2026,5,2)</f>
        <v>46144</v>
      </c>
      <c r="B16391" s="4" t="s">
        <v>4473</v>
      </c>
      <c r="C16391" s="4" t="n">
        <v>7</v>
      </c>
      <c r="D16391" s="4" t="n">
        <v>11</v>
      </c>
      <c r="E16391" s="4" t="s">
        <v>412</v>
      </c>
      <c r="F16391" s="4" t="n">
        <v>15</v>
      </c>
      <c r="G16391" s="4" t="n">
        <v>9</v>
      </c>
      <c r="H16391" s="4" t="n">
        <v>4</v>
      </c>
      <c r="I16391" s="4" t="str">
        <v>×</v>
      </c>
      <c r="J16391" s="4"/>
      <c r="K16391" s="4"/>
      <c r="L16391" s="4"/>
      <c r="M16391" s="7" t="s">
        <v>6871</v>
      </c>
    </row>
    <row r="16392" customFormat="false" ht="15.75" hidden="false" customHeight="false" outlineLevel="0" collapsed="false">
      <c r="A16392" s="6" t="n">
        <f aca="false">DATE(2026,5,2)</f>
        <v>46144</v>
      </c>
      <c r="B16392" s="4" t="s">
        <v>4473</v>
      </c>
      <c r="C16392" s="4" t="n">
        <v>7</v>
      </c>
      <c r="D16392" s="4" t="n">
        <v>12</v>
      </c>
      <c r="E16392" s="4" t="s">
        <v>5858</v>
      </c>
      <c r="F16392" s="4" t="n">
        <v>50</v>
      </c>
      <c r="G16392" s="4" t="n">
        <v>1</v>
      </c>
      <c r="H16392" s="4" t="n">
        <v>1</v>
      </c>
      <c r="I16392" s="4" t="str">
        <v>○</v>
      </c>
      <c r="J16392" s="4" t="n">
        <v>200</v>
      </c>
      <c r="K16392" s="4"/>
      <c r="L16392" s="4"/>
      <c r="M16392" s="7" t="s">
        <v>6871</v>
      </c>
    </row>
    <row r="16393" customFormat="false" ht="15.75" hidden="false" customHeight="false" outlineLevel="0" collapsed="false">
      <c r="A16393" s="6" t="n">
        <f aca="false">DATE(2026,5,2)</f>
        <v>46144</v>
      </c>
      <c r="B16393" s="4" t="s">
        <v>4473</v>
      </c>
      <c r="C16393" s="4" t="n">
        <v>7</v>
      </c>
      <c r="D16393" s="4" t="n">
        <v>13</v>
      </c>
      <c r="E16393" s="4" t="s">
        <v>532</v>
      </c>
      <c r="F16393" s="4" t="n">
        <v>20</v>
      </c>
      <c r="G16393" s="4" t="n">
        <v>5</v>
      </c>
      <c r="H16393" s="4" t="n">
        <v>2</v>
      </c>
      <c r="I16393" s="4" t="str">
        <v>○</v>
      </c>
      <c r="J16393" s="4" t="n">
        <v>450</v>
      </c>
      <c r="K16393" s="4"/>
      <c r="L16393" s="4"/>
      <c r="M16393" s="7" t="s">
        <v>6871</v>
      </c>
    </row>
    <row r="16394" customFormat="false" ht="15.75" hidden="false" customHeight="false" outlineLevel="0" collapsed="false">
      <c r="A16394" s="6" t="n">
        <f aca="false">DATE(2026,5,2)</f>
        <v>46144</v>
      </c>
      <c r="B16394" s="4" t="s">
        <v>4473</v>
      </c>
      <c r="C16394" s="4" t="n">
        <v>7</v>
      </c>
      <c r="D16394" s="4" t="n">
        <v>14</v>
      </c>
      <c r="E16394" s="4" t="s">
        <v>7348</v>
      </c>
      <c r="F16394" s="4" t="n">
        <v>3</v>
      </c>
      <c r="G16394" s="4" t="n">
        <v>14</v>
      </c>
      <c r="H16394" s="4" t="n">
        <v>4</v>
      </c>
      <c r="I16394" s="4" t="str">
        <v>×</v>
      </c>
      <c r="J16394" s="4"/>
      <c r="K16394" s="4"/>
      <c r="L16394" s="4"/>
      <c r="M16394" s="7" t="s">
        <v>6871</v>
      </c>
    </row>
    <row r="16395" customFormat="false" ht="15.75" hidden="false" customHeight="false" outlineLevel="0" collapsed="false">
      <c r="A16395" s="6" t="n">
        <f aca="false">DATE(2026,5,2)</f>
        <v>46144</v>
      </c>
      <c r="B16395" s="4" t="s">
        <v>4473</v>
      </c>
      <c r="C16395" s="4" t="n">
        <v>7</v>
      </c>
      <c r="D16395" s="4" t="n">
        <v>15</v>
      </c>
      <c r="E16395" s="4" t="s">
        <v>4452</v>
      </c>
      <c r="F16395" s="4" t="n">
        <v>47</v>
      </c>
      <c r="G16395" s="4" t="n">
        <v>3</v>
      </c>
      <c r="H16395" s="4" t="n">
        <v>4</v>
      </c>
      <c r="I16395" s="4" t="str">
        <v>×</v>
      </c>
      <c r="J16395" s="4"/>
      <c r="K16395" s="4"/>
      <c r="L16395" s="4"/>
      <c r="M16395" s="7" t="s">
        <v>6871</v>
      </c>
    </row>
    <row r="16396" customFormat="false" ht="15.75" hidden="false" customHeight="false" outlineLevel="0" collapsed="false">
      <c r="A16396" s="6" t="n">
        <f aca="false">DATE(2026,5,2)</f>
        <v>46144</v>
      </c>
      <c r="B16396" s="4" t="s">
        <v>4473</v>
      </c>
      <c r="C16396" s="4" t="n">
        <v>7</v>
      </c>
      <c r="D16396" s="4" t="n">
        <v>16</v>
      </c>
      <c r="E16396" s="4" t="s">
        <v>7349</v>
      </c>
      <c r="F16396" s="4" t="n">
        <v>10</v>
      </c>
      <c r="G16396" s="4" t="n">
        <v>10</v>
      </c>
      <c r="H16396" s="4" t="n">
        <v>4</v>
      </c>
      <c r="I16396" s="4" t="str">
        <v>×</v>
      </c>
      <c r="J16396" s="4"/>
      <c r="K16396" s="4"/>
      <c r="L16396" s="4"/>
      <c r="M16396" s="7" t="s">
        <v>6871</v>
      </c>
    </row>
    <row r="16397" customFormat="false" ht="15.75" hidden="false" customHeight="false" outlineLevel="0" collapsed="false">
      <c r="A16397" s="6" t="n">
        <f aca="false">DATE(2026,5,2)</f>
        <v>46144</v>
      </c>
      <c r="B16397" s="4" t="s">
        <v>4473</v>
      </c>
      <c r="C16397" s="4" t="n">
        <v>8</v>
      </c>
      <c r="D16397" s="4" t="n">
        <v>1</v>
      </c>
      <c r="E16397" s="4" t="s">
        <v>7350</v>
      </c>
      <c r="F16397" s="4" t="n">
        <v>20</v>
      </c>
      <c r="G16397" s="4" t="n">
        <v>7</v>
      </c>
      <c r="H16397" s="4" t="n">
        <v>4</v>
      </c>
      <c r="I16397" s="4" t="str">
        <v>×</v>
      </c>
      <c r="J16397" s="4"/>
      <c r="K16397" s="4"/>
      <c r="L16397" s="4"/>
      <c r="M16397" s="7" t="s">
        <v>6871</v>
      </c>
    </row>
    <row r="16398" customFormat="false" ht="15.75" hidden="false" customHeight="false" outlineLevel="0" collapsed="false">
      <c r="A16398" s="6" t="n">
        <f aca="false">DATE(2026,5,2)</f>
        <v>46144</v>
      </c>
      <c r="B16398" s="4" t="s">
        <v>4473</v>
      </c>
      <c r="C16398" s="4" t="n">
        <v>8</v>
      </c>
      <c r="D16398" s="4" t="n">
        <v>2</v>
      </c>
      <c r="E16398" s="4" t="s">
        <v>7351</v>
      </c>
      <c r="F16398" s="4" t="n">
        <v>25</v>
      </c>
      <c r="G16398" s="4" t="n">
        <v>6</v>
      </c>
      <c r="H16398" s="4" t="n">
        <v>4</v>
      </c>
      <c r="I16398" s="4" t="str">
        <v>×</v>
      </c>
      <c r="J16398" s="4"/>
      <c r="K16398" s="4"/>
      <c r="L16398" s="4"/>
      <c r="M16398" s="7" t="s">
        <v>6871</v>
      </c>
    </row>
    <row r="16399" customFormat="false" ht="15.75" hidden="false" customHeight="false" outlineLevel="0" collapsed="false">
      <c r="A16399" s="6" t="n">
        <f aca="false">DATE(2026,5,2)</f>
        <v>46144</v>
      </c>
      <c r="B16399" s="4" t="s">
        <v>4473</v>
      </c>
      <c r="C16399" s="4" t="n">
        <v>8</v>
      </c>
      <c r="D16399" s="4" t="n">
        <v>3</v>
      </c>
      <c r="E16399" s="4" t="s">
        <v>3304</v>
      </c>
      <c r="F16399" s="4" t="n">
        <v>39</v>
      </c>
      <c r="G16399" s="4" t="n">
        <v>4</v>
      </c>
      <c r="H16399" s="4" t="n">
        <v>3</v>
      </c>
      <c r="I16399" s="4" t="str">
        <v>○</v>
      </c>
      <c r="J16399" s="4" t="n">
        <v>150</v>
      </c>
      <c r="K16399" s="4"/>
      <c r="L16399" s="4"/>
      <c r="M16399" s="7" t="s">
        <v>6871</v>
      </c>
    </row>
    <row r="16400" customFormat="false" ht="15.75" hidden="false" customHeight="false" outlineLevel="0" collapsed="false">
      <c r="A16400" s="6" t="n">
        <f aca="false">DATE(2026,5,2)</f>
        <v>46144</v>
      </c>
      <c r="B16400" s="4" t="s">
        <v>4473</v>
      </c>
      <c r="C16400" s="4" t="n">
        <v>8</v>
      </c>
      <c r="D16400" s="4" t="n">
        <v>4</v>
      </c>
      <c r="E16400" s="4" t="s">
        <v>7352</v>
      </c>
      <c r="F16400" s="4" t="n">
        <v>41</v>
      </c>
      <c r="G16400" s="4" t="n">
        <v>3</v>
      </c>
      <c r="H16400" s="4" t="n">
        <v>4</v>
      </c>
      <c r="I16400" s="4" t="str">
        <v>×</v>
      </c>
      <c r="J16400" s="4"/>
      <c r="K16400" s="4"/>
      <c r="L16400" s="4"/>
      <c r="M16400" s="7" t="s">
        <v>6871</v>
      </c>
    </row>
    <row r="16401" customFormat="false" ht="15.75" hidden="false" customHeight="false" outlineLevel="0" collapsed="false">
      <c r="A16401" s="6" t="n">
        <f aca="false">DATE(2026,5,2)</f>
        <v>46144</v>
      </c>
      <c r="B16401" s="4" t="s">
        <v>4473</v>
      </c>
      <c r="C16401" s="4" t="n">
        <v>8</v>
      </c>
      <c r="D16401" s="4" t="n">
        <v>5</v>
      </c>
      <c r="E16401" s="4" t="s">
        <v>7353</v>
      </c>
      <c r="F16401" s="4" t="n">
        <v>62</v>
      </c>
      <c r="G16401" s="4" t="n">
        <v>1</v>
      </c>
      <c r="H16401" s="4" t="n">
        <v>1</v>
      </c>
      <c r="I16401" s="4" t="str">
        <v>○</v>
      </c>
      <c r="J16401" s="4" t="n">
        <v>110</v>
      </c>
      <c r="K16401" s="4"/>
      <c r="L16401" s="4"/>
      <c r="M16401" s="7" t="s">
        <v>6871</v>
      </c>
    </row>
    <row r="16402" customFormat="false" ht="15.75" hidden="false" customHeight="false" outlineLevel="0" collapsed="false">
      <c r="A16402" s="6" t="n">
        <f aca="false">DATE(2026,5,2)</f>
        <v>46144</v>
      </c>
      <c r="B16402" s="4" t="s">
        <v>4473</v>
      </c>
      <c r="C16402" s="4" t="n">
        <v>8</v>
      </c>
      <c r="D16402" s="4" t="n">
        <v>6</v>
      </c>
      <c r="E16402" s="4" t="s">
        <v>6033</v>
      </c>
      <c r="F16402" s="4" t="n">
        <v>37</v>
      </c>
      <c r="G16402" s="4" t="n">
        <v>5</v>
      </c>
      <c r="H16402" s="4" t="n">
        <v>2</v>
      </c>
      <c r="I16402" s="4" t="str">
        <v>○</v>
      </c>
      <c r="J16402" s="4" t="n">
        <v>170</v>
      </c>
      <c r="K16402" s="4"/>
      <c r="L16402" s="4"/>
      <c r="M16402" s="7" t="s">
        <v>6871</v>
      </c>
    </row>
    <row r="16403" customFormat="false" ht="15.75" hidden="false" customHeight="false" outlineLevel="0" collapsed="false">
      <c r="A16403" s="6" t="n">
        <f aca="false">DATE(2026,5,2)</f>
        <v>46144</v>
      </c>
      <c r="B16403" s="4" t="s">
        <v>4473</v>
      </c>
      <c r="C16403" s="4" t="n">
        <v>8</v>
      </c>
      <c r="D16403" s="4" t="n">
        <v>7</v>
      </c>
      <c r="E16403" s="4" t="s">
        <v>1974</v>
      </c>
      <c r="F16403" s="4" t="n">
        <v>4</v>
      </c>
      <c r="G16403" s="4" t="n">
        <v>9</v>
      </c>
      <c r="H16403" s="4" t="n">
        <v>4</v>
      </c>
      <c r="I16403" s="4" t="str">
        <v>×</v>
      </c>
      <c r="J16403" s="4"/>
      <c r="K16403" s="4"/>
      <c r="L16403" s="4"/>
      <c r="M16403" s="7" t="s">
        <v>6871</v>
      </c>
    </row>
    <row r="16404" customFormat="false" ht="15.75" hidden="false" customHeight="false" outlineLevel="0" collapsed="false">
      <c r="A16404" s="6" t="n">
        <f aca="false">DATE(2026,5,2)</f>
        <v>46144</v>
      </c>
      <c r="B16404" s="4" t="s">
        <v>4473</v>
      </c>
      <c r="C16404" s="4" t="n">
        <v>8</v>
      </c>
      <c r="D16404" s="4" t="n">
        <v>8</v>
      </c>
      <c r="E16404" s="4" t="s">
        <v>1982</v>
      </c>
      <c r="F16404" s="4" t="n">
        <v>47</v>
      </c>
      <c r="G16404" s="4" t="n">
        <v>2</v>
      </c>
      <c r="H16404" s="4" t="n">
        <v>4</v>
      </c>
      <c r="I16404" s="4" t="str">
        <v>×</v>
      </c>
      <c r="J16404" s="4"/>
      <c r="K16404" s="4"/>
      <c r="L16404" s="4"/>
      <c r="M16404" s="7" t="s">
        <v>6871</v>
      </c>
    </row>
    <row r="16405" customFormat="false" ht="15.75" hidden="false" customHeight="false" outlineLevel="0" collapsed="false">
      <c r="A16405" s="6" t="n">
        <f aca="false">DATE(2026,5,2)</f>
        <v>46144</v>
      </c>
      <c r="B16405" s="4" t="s">
        <v>4473</v>
      </c>
      <c r="C16405" s="4" t="n">
        <v>8</v>
      </c>
      <c r="D16405" s="4" t="n">
        <v>9</v>
      </c>
      <c r="E16405" s="4" t="s">
        <v>435</v>
      </c>
      <c r="F16405" s="4" t="n">
        <v>17</v>
      </c>
      <c r="G16405" s="4" t="n">
        <v>8</v>
      </c>
      <c r="H16405" s="4" t="n">
        <v>4</v>
      </c>
      <c r="I16405" s="4" t="str">
        <v>×</v>
      </c>
      <c r="J16405" s="4"/>
      <c r="K16405" s="4"/>
      <c r="L16405" s="4"/>
      <c r="M16405" s="7" t="s">
        <v>6871</v>
      </c>
    </row>
    <row r="16406" customFormat="false" ht="15.75" hidden="false" customHeight="false" outlineLevel="0" collapsed="false">
      <c r="A16406" s="6" t="n">
        <f aca="false">DATE(2026,5,2)</f>
        <v>46144</v>
      </c>
      <c r="B16406" s="4" t="s">
        <v>4473</v>
      </c>
      <c r="C16406" s="4" t="n">
        <v>8</v>
      </c>
      <c r="D16406" s="4" t="n">
        <v>10</v>
      </c>
      <c r="E16406" s="4" t="s">
        <v>7354</v>
      </c>
      <c r="F16406" s="4" t="n">
        <v>4</v>
      </c>
      <c r="G16406" s="4" t="n">
        <v>10</v>
      </c>
      <c r="H16406" s="4" t="n">
        <v>4</v>
      </c>
      <c r="I16406" s="4" t="str">
        <v>×</v>
      </c>
      <c r="J16406" s="4"/>
      <c r="K16406" s="4"/>
      <c r="L16406" s="4"/>
      <c r="M16406" s="7" t="s">
        <v>6871</v>
      </c>
    </row>
    <row r="16407" customFormat="false" ht="15.75" hidden="false" customHeight="false" outlineLevel="0" collapsed="false">
      <c r="A16407" s="6" t="n">
        <f aca="false">DATE(2026,5,2)</f>
        <v>46144</v>
      </c>
      <c r="B16407" s="4" t="s">
        <v>4473</v>
      </c>
      <c r="C16407" s="4" t="n">
        <v>9</v>
      </c>
      <c r="D16407" s="4" t="n">
        <v>1</v>
      </c>
      <c r="E16407" s="4" t="s">
        <v>5650</v>
      </c>
      <c r="F16407" s="4" t="n">
        <v>20</v>
      </c>
      <c r="G16407" s="4" t="n">
        <v>6</v>
      </c>
      <c r="H16407" s="4" t="n">
        <v>4</v>
      </c>
      <c r="I16407" s="4" t="str">
        <v>×</v>
      </c>
      <c r="J16407" s="4"/>
      <c r="K16407" s="4"/>
      <c r="L16407" s="4"/>
      <c r="M16407" s="7" t="s">
        <v>6871</v>
      </c>
    </row>
    <row r="16408" customFormat="false" ht="15.75" hidden="false" customHeight="false" outlineLevel="0" collapsed="false">
      <c r="A16408" s="6" t="n">
        <f aca="false">DATE(2026,5,2)</f>
        <v>46144</v>
      </c>
      <c r="B16408" s="4" t="s">
        <v>4473</v>
      </c>
      <c r="C16408" s="4" t="n">
        <v>9</v>
      </c>
      <c r="D16408" s="4" t="n">
        <v>2</v>
      </c>
      <c r="E16408" s="4" t="s">
        <v>5653</v>
      </c>
      <c r="F16408" s="4" t="n">
        <v>37</v>
      </c>
      <c r="G16408" s="4" t="n">
        <v>3</v>
      </c>
      <c r="H16408" s="4" t="n">
        <v>2</v>
      </c>
      <c r="I16408" s="4" t="str">
        <v>○</v>
      </c>
      <c r="J16408" s="4" t="n">
        <v>140</v>
      </c>
      <c r="K16408" s="4"/>
      <c r="L16408" s="4"/>
      <c r="M16408" s="7" t="s">
        <v>6871</v>
      </c>
    </row>
    <row r="16409" customFormat="false" ht="15.75" hidden="false" customHeight="false" outlineLevel="0" collapsed="false">
      <c r="A16409" s="6" t="n">
        <f aca="false">DATE(2026,5,2)</f>
        <v>46144</v>
      </c>
      <c r="B16409" s="4" t="s">
        <v>4473</v>
      </c>
      <c r="C16409" s="4" t="n">
        <v>9</v>
      </c>
      <c r="D16409" s="4" t="n">
        <v>3</v>
      </c>
      <c r="E16409" s="4" t="s">
        <v>2389</v>
      </c>
      <c r="F16409" s="4" t="n">
        <v>17</v>
      </c>
      <c r="G16409" s="4" t="n">
        <v>8</v>
      </c>
      <c r="H16409" s="4" t="n">
        <v>4</v>
      </c>
      <c r="I16409" s="4" t="str">
        <v>×</v>
      </c>
      <c r="J16409" s="4"/>
      <c r="K16409" s="4"/>
      <c r="L16409" s="4"/>
      <c r="M16409" s="7" t="s">
        <v>6871</v>
      </c>
    </row>
    <row r="16410" customFormat="false" ht="15.75" hidden="false" customHeight="false" outlineLevel="0" collapsed="false">
      <c r="A16410" s="6" t="n">
        <f aca="false">DATE(2026,5,2)</f>
        <v>46144</v>
      </c>
      <c r="B16410" s="4" t="s">
        <v>4473</v>
      </c>
      <c r="C16410" s="4" t="n">
        <v>9</v>
      </c>
      <c r="D16410" s="4" t="n">
        <v>4</v>
      </c>
      <c r="E16410" s="4" t="s">
        <v>5657</v>
      </c>
      <c r="F16410" s="4" t="n">
        <v>34</v>
      </c>
      <c r="G16410" s="4" t="n">
        <v>4</v>
      </c>
      <c r="H16410" s="4" t="n">
        <v>4</v>
      </c>
      <c r="I16410" s="4" t="str">
        <v>×</v>
      </c>
      <c r="J16410" s="4"/>
      <c r="K16410" s="4"/>
      <c r="L16410" s="4"/>
      <c r="M16410" s="7" t="s">
        <v>6871</v>
      </c>
    </row>
    <row r="16411" customFormat="false" ht="15.75" hidden="false" customHeight="false" outlineLevel="0" collapsed="false">
      <c r="A16411" s="6" t="n">
        <f aca="false">DATE(2026,5,2)</f>
        <v>46144</v>
      </c>
      <c r="B16411" s="4" t="s">
        <v>4473</v>
      </c>
      <c r="C16411" s="4" t="n">
        <v>9</v>
      </c>
      <c r="D16411" s="4" t="n">
        <v>5</v>
      </c>
      <c r="E16411" s="4" t="s">
        <v>4201</v>
      </c>
      <c r="F16411" s="4" t="n">
        <v>20</v>
      </c>
      <c r="G16411" s="4" t="n">
        <v>7</v>
      </c>
      <c r="H16411" s="4" t="n">
        <v>4</v>
      </c>
      <c r="I16411" s="4" t="str">
        <v>×</v>
      </c>
      <c r="J16411" s="4"/>
      <c r="K16411" s="4"/>
      <c r="L16411" s="4"/>
      <c r="M16411" s="7" t="s">
        <v>6871</v>
      </c>
    </row>
    <row r="16412" customFormat="false" ht="15.75" hidden="false" customHeight="false" outlineLevel="0" collapsed="false">
      <c r="A16412" s="6" t="n">
        <f aca="false">DATE(2026,5,2)</f>
        <v>46144</v>
      </c>
      <c r="B16412" s="4" t="s">
        <v>4473</v>
      </c>
      <c r="C16412" s="4" t="n">
        <v>9</v>
      </c>
      <c r="D16412" s="4" t="n">
        <v>6</v>
      </c>
      <c r="E16412" s="4" t="s">
        <v>7355</v>
      </c>
      <c r="F16412" s="4" t="n">
        <v>10</v>
      </c>
      <c r="G16412" s="4" t="n">
        <v>12</v>
      </c>
      <c r="H16412" s="4" t="n">
        <v>4</v>
      </c>
      <c r="I16412" s="4" t="str">
        <v>×</v>
      </c>
      <c r="J16412" s="4"/>
      <c r="K16412" s="4"/>
      <c r="L16412" s="4"/>
      <c r="M16412" s="7" t="s">
        <v>6871</v>
      </c>
    </row>
    <row r="16413" customFormat="false" ht="15.75" hidden="false" customHeight="false" outlineLevel="0" collapsed="false">
      <c r="A16413" s="6" t="n">
        <f aca="false">DATE(2026,5,2)</f>
        <v>46144</v>
      </c>
      <c r="B16413" s="4" t="s">
        <v>4473</v>
      </c>
      <c r="C16413" s="4" t="n">
        <v>9</v>
      </c>
      <c r="D16413" s="4" t="n">
        <v>7</v>
      </c>
      <c r="E16413" s="4" t="s">
        <v>7356</v>
      </c>
      <c r="F16413" s="4" t="n">
        <v>23</v>
      </c>
      <c r="G16413" s="4" t="n">
        <v>5</v>
      </c>
      <c r="H16413" s="4" t="n">
        <v>4</v>
      </c>
      <c r="I16413" s="4" t="str">
        <v>×</v>
      </c>
      <c r="J16413" s="4"/>
      <c r="K16413" s="4"/>
      <c r="L16413" s="4"/>
      <c r="M16413" s="7" t="s">
        <v>6871</v>
      </c>
    </row>
    <row r="16414" customFormat="false" ht="15.75" hidden="false" customHeight="false" outlineLevel="0" collapsed="false">
      <c r="A16414" s="6" t="n">
        <f aca="false">DATE(2026,5,2)</f>
        <v>46144</v>
      </c>
      <c r="B16414" s="4" t="s">
        <v>4473</v>
      </c>
      <c r="C16414" s="4" t="n">
        <v>9</v>
      </c>
      <c r="D16414" s="4" t="n">
        <v>8</v>
      </c>
      <c r="E16414" s="4" t="s">
        <v>7357</v>
      </c>
      <c r="F16414" s="4" t="n">
        <v>3</v>
      </c>
      <c r="G16414" s="4" t="n">
        <v>16</v>
      </c>
      <c r="H16414" s="4" t="n">
        <v>4</v>
      </c>
      <c r="I16414" s="4" t="str">
        <v>×</v>
      </c>
      <c r="J16414" s="4"/>
      <c r="K16414" s="4"/>
      <c r="L16414" s="4"/>
      <c r="M16414" s="7" t="s">
        <v>6871</v>
      </c>
    </row>
    <row r="16415" customFormat="false" ht="15.75" hidden="false" customHeight="false" outlineLevel="0" collapsed="false">
      <c r="A16415" s="6" t="n">
        <f aca="false">DATE(2026,5,2)</f>
        <v>46144</v>
      </c>
      <c r="B16415" s="4" t="s">
        <v>4473</v>
      </c>
      <c r="C16415" s="4" t="n">
        <v>9</v>
      </c>
      <c r="D16415" s="4" t="n">
        <v>9</v>
      </c>
      <c r="E16415" s="4" t="s">
        <v>5654</v>
      </c>
      <c r="F16415" s="4" t="n">
        <v>10</v>
      </c>
      <c r="G16415" s="4" t="n">
        <v>13</v>
      </c>
      <c r="H16415" s="4" t="n">
        <v>4</v>
      </c>
      <c r="I16415" s="4" t="str">
        <v>×</v>
      </c>
      <c r="J16415" s="4"/>
      <c r="K16415" s="4"/>
      <c r="L16415" s="4"/>
      <c r="M16415" s="7" t="s">
        <v>6871</v>
      </c>
    </row>
    <row r="16416" customFormat="false" ht="15.75" hidden="false" customHeight="false" outlineLevel="0" collapsed="false">
      <c r="A16416" s="6" t="n">
        <f aca="false">DATE(2026,5,2)</f>
        <v>46144</v>
      </c>
      <c r="B16416" s="4" t="s">
        <v>4473</v>
      </c>
      <c r="C16416" s="4" t="n">
        <v>9</v>
      </c>
      <c r="D16416" s="4" t="n">
        <v>10</v>
      </c>
      <c r="E16416" s="4" t="s">
        <v>3394</v>
      </c>
      <c r="F16416" s="4" t="n">
        <v>13</v>
      </c>
      <c r="G16416" s="4" t="n">
        <v>11</v>
      </c>
      <c r="H16416" s="4" t="n">
        <v>4</v>
      </c>
      <c r="I16416" s="4" t="str">
        <v>×</v>
      </c>
      <c r="J16416" s="4"/>
      <c r="K16416" s="4"/>
      <c r="L16416" s="4"/>
      <c r="M16416" s="7" t="s">
        <v>6871</v>
      </c>
    </row>
    <row r="16417" customFormat="false" ht="15.75" hidden="false" customHeight="false" outlineLevel="0" collapsed="false">
      <c r="A16417" s="6" t="n">
        <f aca="false">DATE(2026,5,2)</f>
        <v>46144</v>
      </c>
      <c r="B16417" s="4" t="s">
        <v>4473</v>
      </c>
      <c r="C16417" s="4" t="n">
        <v>9</v>
      </c>
      <c r="D16417" s="4" t="n">
        <v>11</v>
      </c>
      <c r="E16417" s="4" t="s">
        <v>7358</v>
      </c>
      <c r="F16417" s="4" t="n">
        <v>4</v>
      </c>
      <c r="G16417" s="4" t="n">
        <v>15</v>
      </c>
      <c r="H16417" s="4" t="n">
        <v>4</v>
      </c>
      <c r="I16417" s="4" t="str">
        <v>×</v>
      </c>
      <c r="J16417" s="4"/>
      <c r="K16417" s="4"/>
      <c r="L16417" s="4"/>
      <c r="M16417" s="7" t="s">
        <v>6871</v>
      </c>
    </row>
    <row r="16418" customFormat="false" ht="15.75" hidden="false" customHeight="false" outlineLevel="0" collapsed="false">
      <c r="A16418" s="6" t="n">
        <f aca="false">DATE(2026,5,2)</f>
        <v>46144</v>
      </c>
      <c r="B16418" s="4" t="s">
        <v>4473</v>
      </c>
      <c r="C16418" s="4" t="n">
        <v>9</v>
      </c>
      <c r="D16418" s="4" t="n">
        <v>12</v>
      </c>
      <c r="E16418" s="4" t="s">
        <v>5490</v>
      </c>
      <c r="F16418" s="4" t="n">
        <v>52</v>
      </c>
      <c r="G16418" s="4" t="n">
        <v>1</v>
      </c>
      <c r="H16418" s="4" t="n">
        <v>1</v>
      </c>
      <c r="I16418" s="4" t="str">
        <v>○</v>
      </c>
      <c r="J16418" s="4" t="n">
        <v>150</v>
      </c>
      <c r="K16418" s="4"/>
      <c r="L16418" s="4"/>
      <c r="M16418" s="7" t="s">
        <v>6871</v>
      </c>
    </row>
    <row r="16419" customFormat="false" ht="15.75" hidden="false" customHeight="false" outlineLevel="0" collapsed="false">
      <c r="A16419" s="6" t="n">
        <f aca="false">DATE(2026,5,2)</f>
        <v>46144</v>
      </c>
      <c r="B16419" s="4" t="s">
        <v>4473</v>
      </c>
      <c r="C16419" s="4" t="n">
        <v>9</v>
      </c>
      <c r="D16419" s="4" t="n">
        <v>13</v>
      </c>
      <c r="E16419" s="4" t="s">
        <v>7359</v>
      </c>
      <c r="F16419" s="4" t="n">
        <v>17</v>
      </c>
      <c r="G16419" s="4" t="n">
        <v>9</v>
      </c>
      <c r="H16419" s="4" t="n">
        <v>4</v>
      </c>
      <c r="I16419" s="4" t="str">
        <v>×</v>
      </c>
      <c r="J16419" s="4"/>
      <c r="K16419" s="4"/>
      <c r="L16419" s="4"/>
      <c r="M16419" s="7" t="s">
        <v>6871</v>
      </c>
    </row>
    <row r="16420" customFormat="false" ht="15.75" hidden="false" customHeight="false" outlineLevel="0" collapsed="false">
      <c r="A16420" s="6" t="n">
        <f aca="false">DATE(2026,5,2)</f>
        <v>46144</v>
      </c>
      <c r="B16420" s="4" t="s">
        <v>4473</v>
      </c>
      <c r="C16420" s="4" t="n">
        <v>9</v>
      </c>
      <c r="D16420" s="4" t="n">
        <v>14</v>
      </c>
      <c r="E16420" s="4" t="s">
        <v>4200</v>
      </c>
      <c r="F16420" s="4" t="n">
        <v>52</v>
      </c>
      <c r="G16420" s="4" t="n">
        <v>2</v>
      </c>
      <c r="H16420" s="4" t="n">
        <v>3</v>
      </c>
      <c r="I16420" s="4" t="str">
        <v>○</v>
      </c>
      <c r="J16420" s="4" t="n">
        <v>110</v>
      </c>
      <c r="K16420" s="4"/>
      <c r="L16420" s="4"/>
      <c r="M16420" s="7" t="s">
        <v>6871</v>
      </c>
    </row>
    <row r="16421" customFormat="false" ht="15.75" hidden="false" customHeight="false" outlineLevel="0" collapsed="false">
      <c r="A16421" s="6" t="n">
        <f aca="false">DATE(2026,5,2)</f>
        <v>46144</v>
      </c>
      <c r="B16421" s="4" t="s">
        <v>4473</v>
      </c>
      <c r="C16421" s="4" t="n">
        <v>9</v>
      </c>
      <c r="D16421" s="4" t="n">
        <v>15</v>
      </c>
      <c r="E16421" s="4" t="s">
        <v>7360</v>
      </c>
      <c r="F16421" s="4" t="n">
        <v>15</v>
      </c>
      <c r="G16421" s="4" t="n">
        <v>10</v>
      </c>
      <c r="H16421" s="4" t="n">
        <v>4</v>
      </c>
      <c r="I16421" s="4" t="str">
        <v>×</v>
      </c>
      <c r="J16421" s="4"/>
      <c r="K16421" s="4"/>
      <c r="L16421" s="4"/>
      <c r="M16421" s="7" t="s">
        <v>6871</v>
      </c>
    </row>
    <row r="16422" customFormat="false" ht="15.75" hidden="false" customHeight="false" outlineLevel="0" collapsed="false">
      <c r="A16422" s="6" t="n">
        <f aca="false">DATE(2026,5,2)</f>
        <v>46144</v>
      </c>
      <c r="B16422" s="4" t="s">
        <v>4473</v>
      </c>
      <c r="C16422" s="4" t="n">
        <v>9</v>
      </c>
      <c r="D16422" s="4" t="n">
        <v>16</v>
      </c>
      <c r="E16422" s="4" t="s">
        <v>5659</v>
      </c>
      <c r="F16422" s="4" t="n">
        <v>10</v>
      </c>
      <c r="G16422" s="4" t="n">
        <v>14</v>
      </c>
      <c r="H16422" s="4" t="n">
        <v>4</v>
      </c>
      <c r="I16422" s="4" t="str">
        <v>×</v>
      </c>
      <c r="J16422" s="4"/>
      <c r="K16422" s="4"/>
      <c r="L16422" s="4"/>
      <c r="M16422" s="7" t="s">
        <v>6871</v>
      </c>
    </row>
    <row r="16423" customFormat="false" ht="15.75" hidden="false" customHeight="false" outlineLevel="0" collapsed="false">
      <c r="A16423" s="6" t="n">
        <f aca="false">DATE(2026,5,2)</f>
        <v>46144</v>
      </c>
      <c r="B16423" s="4" t="s">
        <v>4473</v>
      </c>
      <c r="C16423" s="4" t="n">
        <v>10</v>
      </c>
      <c r="D16423" s="4" t="n">
        <v>1</v>
      </c>
      <c r="E16423" s="4" t="s">
        <v>5409</v>
      </c>
      <c r="F16423" s="4" t="n">
        <v>25</v>
      </c>
      <c r="G16423" s="4" t="n">
        <v>6</v>
      </c>
      <c r="H16423" s="4" t="n">
        <v>4</v>
      </c>
      <c r="I16423" s="4" t="str">
        <v>×</v>
      </c>
      <c r="J16423" s="4"/>
      <c r="K16423" s="4"/>
      <c r="L16423" s="4"/>
      <c r="M16423" s="7" t="s">
        <v>6871</v>
      </c>
    </row>
    <row r="16424" customFormat="false" ht="15.75" hidden="false" customHeight="false" outlineLevel="0" collapsed="false">
      <c r="A16424" s="6" t="n">
        <f aca="false">DATE(2026,5,2)</f>
        <v>46144</v>
      </c>
      <c r="B16424" s="4" t="s">
        <v>4473</v>
      </c>
      <c r="C16424" s="4" t="n">
        <v>10</v>
      </c>
      <c r="D16424" s="4" t="n">
        <v>2</v>
      </c>
      <c r="E16424" s="4" t="s">
        <v>1951</v>
      </c>
      <c r="F16424" s="4" t="n">
        <v>50</v>
      </c>
      <c r="G16424" s="4" t="n">
        <v>2</v>
      </c>
      <c r="H16424" s="4" t="n">
        <v>3</v>
      </c>
      <c r="I16424" s="4" t="str">
        <v>○</v>
      </c>
      <c r="J16424" s="4" t="n">
        <v>190</v>
      </c>
      <c r="K16424" s="4"/>
      <c r="L16424" s="4"/>
      <c r="M16424" s="7" t="s">
        <v>6871</v>
      </c>
    </row>
    <row r="16425" customFormat="false" ht="15.75" hidden="false" customHeight="false" outlineLevel="0" collapsed="false">
      <c r="A16425" s="6" t="n">
        <f aca="false">DATE(2026,5,2)</f>
        <v>46144</v>
      </c>
      <c r="B16425" s="4" t="s">
        <v>4473</v>
      </c>
      <c r="C16425" s="4" t="n">
        <v>10</v>
      </c>
      <c r="D16425" s="4" t="n">
        <v>3</v>
      </c>
      <c r="E16425" s="4" t="s">
        <v>5044</v>
      </c>
      <c r="F16425" s="4" t="n">
        <v>23</v>
      </c>
      <c r="G16425" s="4" t="n">
        <v>8</v>
      </c>
      <c r="H16425" s="4" t="n">
        <v>4</v>
      </c>
      <c r="I16425" s="4" t="str">
        <v>×</v>
      </c>
      <c r="J16425" s="4"/>
      <c r="K16425" s="4"/>
      <c r="L16425" s="4"/>
      <c r="M16425" s="7" t="s">
        <v>6871</v>
      </c>
    </row>
    <row r="16426" customFormat="false" ht="15.75" hidden="false" customHeight="false" outlineLevel="0" collapsed="false">
      <c r="A16426" s="6" t="n">
        <f aca="false">DATE(2026,5,2)</f>
        <v>46144</v>
      </c>
      <c r="B16426" s="4" t="s">
        <v>4473</v>
      </c>
      <c r="C16426" s="4" t="n">
        <v>10</v>
      </c>
      <c r="D16426" s="4" t="n">
        <v>4</v>
      </c>
      <c r="E16426" s="4" t="s">
        <v>7361</v>
      </c>
      <c r="F16426" s="4" t="n">
        <v>31</v>
      </c>
      <c r="G16426" s="4" t="n">
        <v>5</v>
      </c>
      <c r="H16426" s="4" t="n">
        <v>4</v>
      </c>
      <c r="I16426" s="4" t="str">
        <v>×</v>
      </c>
      <c r="J16426" s="4"/>
      <c r="K16426" s="4"/>
      <c r="L16426" s="4"/>
      <c r="M16426" s="7" t="s">
        <v>6871</v>
      </c>
    </row>
    <row r="16427" customFormat="false" ht="15.75" hidden="false" customHeight="false" outlineLevel="0" collapsed="false">
      <c r="A16427" s="6" t="n">
        <f aca="false">DATE(2026,5,2)</f>
        <v>46144</v>
      </c>
      <c r="B16427" s="4" t="s">
        <v>4473</v>
      </c>
      <c r="C16427" s="4" t="n">
        <v>10</v>
      </c>
      <c r="D16427" s="4" t="n">
        <v>5</v>
      </c>
      <c r="E16427" s="4" t="s">
        <v>2377</v>
      </c>
      <c r="F16427" s="4" t="n">
        <v>10</v>
      </c>
      <c r="G16427" s="4" t="n">
        <v>11</v>
      </c>
      <c r="H16427" s="4" t="n">
        <v>4</v>
      </c>
      <c r="I16427" s="4" t="str">
        <v>×</v>
      </c>
      <c r="J16427" s="4"/>
      <c r="K16427" s="4"/>
      <c r="L16427" s="4"/>
      <c r="M16427" s="7" t="s">
        <v>6871</v>
      </c>
    </row>
    <row r="16428" customFormat="false" ht="15.75" hidden="false" customHeight="false" outlineLevel="0" collapsed="false">
      <c r="A16428" s="6" t="n">
        <f aca="false">DATE(2026,5,2)</f>
        <v>46144</v>
      </c>
      <c r="B16428" s="4" t="s">
        <v>4473</v>
      </c>
      <c r="C16428" s="4" t="n">
        <v>10</v>
      </c>
      <c r="D16428" s="4" t="n">
        <v>6</v>
      </c>
      <c r="E16428" s="4" t="s">
        <v>6927</v>
      </c>
      <c r="F16428" s="4" t="n">
        <v>41</v>
      </c>
      <c r="G16428" s="4" t="n">
        <v>4</v>
      </c>
      <c r="H16428" s="4" t="n">
        <v>2</v>
      </c>
      <c r="I16428" s="4" t="str">
        <v>○</v>
      </c>
      <c r="J16428" s="4" t="n">
        <v>160</v>
      </c>
      <c r="K16428" s="4"/>
      <c r="L16428" s="4"/>
      <c r="M16428" s="7" t="s">
        <v>6871</v>
      </c>
    </row>
    <row r="16429" customFormat="false" ht="15.75" hidden="false" customHeight="false" outlineLevel="0" collapsed="false">
      <c r="A16429" s="6" t="n">
        <f aca="false">DATE(2026,5,2)</f>
        <v>46144</v>
      </c>
      <c r="B16429" s="4" t="s">
        <v>4473</v>
      </c>
      <c r="C16429" s="4" t="n">
        <v>10</v>
      </c>
      <c r="D16429" s="4" t="n">
        <v>7</v>
      </c>
      <c r="E16429" s="4" t="s">
        <v>7362</v>
      </c>
      <c r="F16429" s="4" t="n">
        <v>25</v>
      </c>
      <c r="G16429" s="4" t="n">
        <v>7</v>
      </c>
      <c r="H16429" s="4" t="n">
        <v>4</v>
      </c>
      <c r="I16429" s="4" t="str">
        <v>×</v>
      </c>
      <c r="J16429" s="4"/>
      <c r="K16429" s="4"/>
      <c r="L16429" s="4"/>
      <c r="M16429" s="7" t="s">
        <v>6871</v>
      </c>
    </row>
    <row r="16430" customFormat="false" ht="15.75" hidden="false" customHeight="false" outlineLevel="0" collapsed="false">
      <c r="A16430" s="6" t="n">
        <f aca="false">DATE(2026,5,2)</f>
        <v>46144</v>
      </c>
      <c r="B16430" s="4" t="s">
        <v>4473</v>
      </c>
      <c r="C16430" s="4" t="n">
        <v>10</v>
      </c>
      <c r="D16430" s="4" t="n">
        <v>8</v>
      </c>
      <c r="E16430" s="4" t="s">
        <v>7363</v>
      </c>
      <c r="F16430" s="4" t="n">
        <v>52</v>
      </c>
      <c r="G16430" s="4" t="n">
        <v>1</v>
      </c>
      <c r="H16430" s="4" t="n">
        <v>4</v>
      </c>
      <c r="I16430" s="4" t="str">
        <v>×</v>
      </c>
      <c r="J16430" s="4"/>
      <c r="K16430" s="4"/>
      <c r="L16430" s="4"/>
      <c r="M16430" s="7" t="s">
        <v>6871</v>
      </c>
    </row>
    <row r="16431" customFormat="false" ht="15.75" hidden="false" customHeight="false" outlineLevel="0" collapsed="false">
      <c r="A16431" s="6" t="n">
        <f aca="false">DATE(2026,5,2)</f>
        <v>46144</v>
      </c>
      <c r="B16431" s="4" t="s">
        <v>4473</v>
      </c>
      <c r="C16431" s="4" t="n">
        <v>10</v>
      </c>
      <c r="D16431" s="4" t="n">
        <v>9</v>
      </c>
      <c r="E16431" s="4" t="s">
        <v>3679</v>
      </c>
      <c r="F16431" s="4" t="n">
        <v>17</v>
      </c>
      <c r="G16431" s="4" t="n">
        <v>9</v>
      </c>
      <c r="H16431" s="4" t="n">
        <v>4</v>
      </c>
      <c r="I16431" s="4" t="str">
        <v>×</v>
      </c>
      <c r="J16431" s="4"/>
      <c r="K16431" s="4"/>
      <c r="L16431" s="4"/>
      <c r="M16431" s="7" t="s">
        <v>6871</v>
      </c>
    </row>
    <row r="16432" customFormat="false" ht="15.75" hidden="false" customHeight="false" outlineLevel="0" collapsed="false">
      <c r="A16432" s="6" t="n">
        <f aca="false">DATE(2026,5,2)</f>
        <v>46144</v>
      </c>
      <c r="B16432" s="4" t="s">
        <v>4473</v>
      </c>
      <c r="C16432" s="4" t="n">
        <v>10</v>
      </c>
      <c r="D16432" s="4" t="n">
        <v>10</v>
      </c>
      <c r="E16432" s="4" t="s">
        <v>5634</v>
      </c>
      <c r="F16432" s="4" t="n">
        <v>17</v>
      </c>
      <c r="G16432" s="4" t="n">
        <v>10</v>
      </c>
      <c r="H16432" s="4" t="n">
        <v>4</v>
      </c>
      <c r="I16432" s="4" t="str">
        <v>×</v>
      </c>
      <c r="J16432" s="4"/>
      <c r="K16432" s="4"/>
      <c r="L16432" s="4"/>
      <c r="M16432" s="7" t="s">
        <v>6871</v>
      </c>
    </row>
    <row r="16433" customFormat="false" ht="15.75" hidden="false" customHeight="false" outlineLevel="0" collapsed="false">
      <c r="A16433" s="6" t="n">
        <f aca="false">DATE(2026,5,2)</f>
        <v>46144</v>
      </c>
      <c r="B16433" s="4" t="s">
        <v>4473</v>
      </c>
      <c r="C16433" s="4" t="n">
        <v>10</v>
      </c>
      <c r="D16433" s="4" t="n">
        <v>11</v>
      </c>
      <c r="E16433" s="4" t="s">
        <v>7364</v>
      </c>
      <c r="F16433" s="4" t="n">
        <v>50</v>
      </c>
      <c r="G16433" s="4" t="n">
        <v>3</v>
      </c>
      <c r="H16433" s="4" t="n">
        <v>1</v>
      </c>
      <c r="I16433" s="4" t="str">
        <v>○</v>
      </c>
      <c r="J16433" s="4" t="n">
        <v>150</v>
      </c>
      <c r="K16433" s="4"/>
      <c r="L16433" s="4"/>
      <c r="M16433" s="7" t="s">
        <v>6871</v>
      </c>
    </row>
    <row r="16434" customFormat="false" ht="15.75" hidden="false" customHeight="false" outlineLevel="0" collapsed="false">
      <c r="A16434" s="6" t="n">
        <f aca="false">DATE(2026,5,2)</f>
        <v>46144</v>
      </c>
      <c r="B16434" s="4" t="s">
        <v>4473</v>
      </c>
      <c r="C16434" s="4" t="n">
        <v>11</v>
      </c>
      <c r="D16434" s="4" t="n">
        <v>1</v>
      </c>
      <c r="E16434" s="4" t="s">
        <v>5222</v>
      </c>
      <c r="F16434" s="4" t="n">
        <v>2</v>
      </c>
      <c r="G16434" s="4" t="n">
        <v>18</v>
      </c>
      <c r="H16434" s="4" t="n">
        <v>4</v>
      </c>
      <c r="I16434" s="4" t="str">
        <v>×</v>
      </c>
      <c r="J16434" s="4"/>
      <c r="K16434" s="4"/>
      <c r="L16434" s="4"/>
      <c r="M16434" s="7" t="s">
        <v>6871</v>
      </c>
    </row>
    <row r="16435" customFormat="false" ht="15.75" hidden="false" customHeight="false" outlineLevel="0" collapsed="false">
      <c r="A16435" s="6" t="n">
        <f aca="false">DATE(2026,5,2)</f>
        <v>46144</v>
      </c>
      <c r="B16435" s="4" t="s">
        <v>4473</v>
      </c>
      <c r="C16435" s="4" t="n">
        <v>11</v>
      </c>
      <c r="D16435" s="4" t="n">
        <v>2</v>
      </c>
      <c r="E16435" s="4" t="s">
        <v>552</v>
      </c>
      <c r="F16435" s="4" t="n">
        <v>25</v>
      </c>
      <c r="G16435" s="4" t="n">
        <v>6</v>
      </c>
      <c r="H16435" s="4" t="n">
        <v>4</v>
      </c>
      <c r="I16435" s="4" t="str">
        <v>×</v>
      </c>
      <c r="J16435" s="4"/>
      <c r="K16435" s="4"/>
      <c r="L16435" s="4"/>
      <c r="M16435" s="7" t="s">
        <v>6871</v>
      </c>
    </row>
    <row r="16436" customFormat="false" ht="15.75" hidden="false" customHeight="false" outlineLevel="0" collapsed="false">
      <c r="A16436" s="6" t="n">
        <f aca="false">DATE(2026,5,2)</f>
        <v>46144</v>
      </c>
      <c r="B16436" s="4" t="s">
        <v>4473</v>
      </c>
      <c r="C16436" s="4" t="n">
        <v>11</v>
      </c>
      <c r="D16436" s="4" t="n">
        <v>3</v>
      </c>
      <c r="E16436" s="4" t="s">
        <v>7365</v>
      </c>
      <c r="F16436" s="4" t="n">
        <v>6</v>
      </c>
      <c r="G16436" s="4" t="n">
        <v>16</v>
      </c>
      <c r="H16436" s="4" t="n">
        <v>4</v>
      </c>
      <c r="I16436" s="4" t="str">
        <v>×</v>
      </c>
      <c r="J16436" s="4"/>
      <c r="K16436" s="4"/>
      <c r="L16436" s="4"/>
      <c r="M16436" s="7" t="s">
        <v>6871</v>
      </c>
    </row>
    <row r="16437" customFormat="false" ht="15.75" hidden="false" customHeight="false" outlineLevel="0" collapsed="false">
      <c r="A16437" s="6" t="n">
        <f aca="false">DATE(2026,5,2)</f>
        <v>46144</v>
      </c>
      <c r="B16437" s="4" t="s">
        <v>4473</v>
      </c>
      <c r="C16437" s="4" t="n">
        <v>11</v>
      </c>
      <c r="D16437" s="4" t="n">
        <v>4</v>
      </c>
      <c r="E16437" s="4" t="s">
        <v>550</v>
      </c>
      <c r="F16437" s="4" t="n">
        <v>13</v>
      </c>
      <c r="G16437" s="4" t="n">
        <v>11</v>
      </c>
      <c r="H16437" s="4" t="n">
        <v>4</v>
      </c>
      <c r="I16437" s="4" t="str">
        <v>×</v>
      </c>
      <c r="J16437" s="4"/>
      <c r="K16437" s="4"/>
      <c r="L16437" s="4"/>
      <c r="M16437" s="7" t="s">
        <v>6871</v>
      </c>
    </row>
    <row r="16438" customFormat="false" ht="15.75" hidden="false" customHeight="false" outlineLevel="0" collapsed="false">
      <c r="A16438" s="6" t="n">
        <f aca="false">DATE(2026,5,2)</f>
        <v>46144</v>
      </c>
      <c r="B16438" s="4" t="s">
        <v>4473</v>
      </c>
      <c r="C16438" s="4" t="n">
        <v>11</v>
      </c>
      <c r="D16438" s="4" t="n">
        <v>5</v>
      </c>
      <c r="E16438" s="4" t="s">
        <v>6376</v>
      </c>
      <c r="F16438" s="4" t="n">
        <v>25</v>
      </c>
      <c r="G16438" s="4" t="n">
        <v>7</v>
      </c>
      <c r="H16438" s="4" t="n">
        <v>4</v>
      </c>
      <c r="I16438" s="4" t="str">
        <v>×</v>
      </c>
      <c r="J16438" s="4"/>
      <c r="K16438" s="4"/>
      <c r="L16438" s="4"/>
      <c r="M16438" s="7" t="s">
        <v>6871</v>
      </c>
    </row>
    <row r="16439" customFormat="false" ht="15.75" hidden="false" customHeight="false" outlineLevel="0" collapsed="false">
      <c r="A16439" s="6" t="n">
        <f aca="false">DATE(2026,5,2)</f>
        <v>46144</v>
      </c>
      <c r="B16439" s="4" t="s">
        <v>4473</v>
      </c>
      <c r="C16439" s="4" t="n">
        <v>11</v>
      </c>
      <c r="D16439" s="4" t="n">
        <v>6</v>
      </c>
      <c r="E16439" s="4" t="s">
        <v>7366</v>
      </c>
      <c r="F16439" s="4" t="n">
        <v>15</v>
      </c>
      <c r="G16439" s="4" t="n">
        <v>10</v>
      </c>
      <c r="H16439" s="4" t="n">
        <v>2</v>
      </c>
      <c r="I16439" s="4" t="str">
        <v>○</v>
      </c>
      <c r="J16439" s="4" t="n">
        <v>1290</v>
      </c>
      <c r="K16439" s="4"/>
      <c r="L16439" s="4"/>
      <c r="M16439" s="7" t="s">
        <v>6871</v>
      </c>
    </row>
    <row r="16440" customFormat="false" ht="15.75" hidden="false" customHeight="false" outlineLevel="0" collapsed="false">
      <c r="A16440" s="6" t="n">
        <f aca="false">DATE(2026,5,2)</f>
        <v>46144</v>
      </c>
      <c r="B16440" s="4" t="s">
        <v>4473</v>
      </c>
      <c r="C16440" s="4" t="n">
        <v>11</v>
      </c>
      <c r="D16440" s="4" t="n">
        <v>7</v>
      </c>
      <c r="E16440" s="4" t="s">
        <v>5213</v>
      </c>
      <c r="F16440" s="4" t="n">
        <v>6</v>
      </c>
      <c r="G16440" s="4" t="n">
        <v>17</v>
      </c>
      <c r="H16440" s="4" t="n">
        <v>4</v>
      </c>
      <c r="I16440" s="4" t="str">
        <v>×</v>
      </c>
      <c r="J16440" s="4"/>
      <c r="K16440" s="4"/>
      <c r="L16440" s="4"/>
      <c r="M16440" s="7" t="s">
        <v>6871</v>
      </c>
    </row>
    <row r="16441" customFormat="false" ht="15.75" hidden="false" customHeight="false" outlineLevel="0" collapsed="false">
      <c r="A16441" s="6" t="n">
        <f aca="false">DATE(2026,5,2)</f>
        <v>46144</v>
      </c>
      <c r="B16441" s="4" t="s">
        <v>4473</v>
      </c>
      <c r="C16441" s="4" t="n">
        <v>11</v>
      </c>
      <c r="D16441" s="4" t="n">
        <v>8</v>
      </c>
      <c r="E16441" s="4" t="s">
        <v>6509</v>
      </c>
      <c r="F16441" s="4" t="n">
        <v>8</v>
      </c>
      <c r="G16441" s="4" t="n">
        <v>14</v>
      </c>
      <c r="H16441" s="4" t="n">
        <v>4</v>
      </c>
      <c r="I16441" s="4" t="str">
        <v>×</v>
      </c>
      <c r="J16441" s="4"/>
      <c r="K16441" s="4"/>
      <c r="L16441" s="4"/>
      <c r="M16441" s="7" t="s">
        <v>6871</v>
      </c>
    </row>
    <row r="16442" customFormat="false" ht="15.75" hidden="false" customHeight="false" outlineLevel="0" collapsed="false">
      <c r="A16442" s="6" t="n">
        <f aca="false">DATE(2026,5,2)</f>
        <v>46144</v>
      </c>
      <c r="B16442" s="4" t="s">
        <v>4473</v>
      </c>
      <c r="C16442" s="4" t="n">
        <v>11</v>
      </c>
      <c r="D16442" s="4" t="n">
        <v>9</v>
      </c>
      <c r="E16442" s="4" t="s">
        <v>4856</v>
      </c>
      <c r="F16442" s="4" t="n">
        <v>10</v>
      </c>
      <c r="G16442" s="4" t="n">
        <v>13</v>
      </c>
      <c r="H16442" s="4" t="n">
        <v>4</v>
      </c>
      <c r="I16442" s="4" t="str">
        <v>×</v>
      </c>
      <c r="J16442" s="4"/>
      <c r="K16442" s="4"/>
      <c r="L16442" s="4"/>
      <c r="M16442" s="7" t="s">
        <v>6871</v>
      </c>
    </row>
    <row r="16443" customFormat="false" ht="15.75" hidden="false" customHeight="false" outlineLevel="0" collapsed="false">
      <c r="A16443" s="6" t="n">
        <f aca="false">DATE(2026,5,2)</f>
        <v>46144</v>
      </c>
      <c r="B16443" s="4" t="s">
        <v>4473</v>
      </c>
      <c r="C16443" s="4" t="n">
        <v>11</v>
      </c>
      <c r="D16443" s="4" t="n">
        <v>10</v>
      </c>
      <c r="E16443" s="4" t="s">
        <v>4210</v>
      </c>
      <c r="F16443" s="4" t="n">
        <v>29</v>
      </c>
      <c r="G16443" s="4" t="n">
        <v>5</v>
      </c>
      <c r="H16443" s="4" t="n">
        <v>4</v>
      </c>
      <c r="I16443" s="4" t="str">
        <v>×</v>
      </c>
      <c r="J16443" s="4"/>
      <c r="K16443" s="4"/>
      <c r="L16443" s="4"/>
      <c r="M16443" s="7" t="s">
        <v>6871</v>
      </c>
    </row>
    <row r="16444" customFormat="false" ht="15.75" hidden="false" customHeight="false" outlineLevel="0" collapsed="false">
      <c r="A16444" s="6" t="n">
        <f aca="false">DATE(2026,5,2)</f>
        <v>46144</v>
      </c>
      <c r="B16444" s="4" t="s">
        <v>4473</v>
      </c>
      <c r="C16444" s="4" t="n">
        <v>11</v>
      </c>
      <c r="D16444" s="4" t="n">
        <v>11</v>
      </c>
      <c r="E16444" s="4" t="s">
        <v>6146</v>
      </c>
      <c r="F16444" s="4" t="n">
        <v>23</v>
      </c>
      <c r="G16444" s="4" t="n">
        <v>8</v>
      </c>
      <c r="H16444" s="4" t="n">
        <v>4</v>
      </c>
      <c r="I16444" s="4" t="str">
        <v>×</v>
      </c>
      <c r="J16444" s="4"/>
      <c r="K16444" s="4"/>
      <c r="L16444" s="4"/>
      <c r="M16444" s="7" t="s">
        <v>6871</v>
      </c>
    </row>
    <row r="16445" customFormat="false" ht="15.75" hidden="false" customHeight="false" outlineLevel="0" collapsed="false">
      <c r="A16445" s="6" t="n">
        <f aca="false">DATE(2026,5,2)</f>
        <v>46144</v>
      </c>
      <c r="B16445" s="4" t="s">
        <v>4473</v>
      </c>
      <c r="C16445" s="4" t="n">
        <v>11</v>
      </c>
      <c r="D16445" s="4" t="n">
        <v>12</v>
      </c>
      <c r="E16445" s="4" t="s">
        <v>7367</v>
      </c>
      <c r="F16445" s="4" t="n">
        <v>20</v>
      </c>
      <c r="G16445" s="4" t="n">
        <v>9</v>
      </c>
      <c r="H16445" s="4" t="n">
        <v>4</v>
      </c>
      <c r="I16445" s="4" t="str">
        <v>×</v>
      </c>
      <c r="J16445" s="4"/>
      <c r="K16445" s="4"/>
      <c r="L16445" s="4"/>
      <c r="M16445" s="7" t="s">
        <v>6871</v>
      </c>
    </row>
    <row r="16446" customFormat="false" ht="15.75" hidden="false" customHeight="false" outlineLevel="0" collapsed="false">
      <c r="A16446" s="6" t="n">
        <f aca="false">DATE(2026,5,2)</f>
        <v>46144</v>
      </c>
      <c r="B16446" s="4" t="s">
        <v>4473</v>
      </c>
      <c r="C16446" s="4" t="n">
        <v>11</v>
      </c>
      <c r="D16446" s="4" t="n">
        <v>13</v>
      </c>
      <c r="E16446" s="4" t="s">
        <v>4212</v>
      </c>
      <c r="F16446" s="4" t="n">
        <v>34</v>
      </c>
      <c r="G16446" s="4" t="n">
        <v>3</v>
      </c>
      <c r="H16446" s="4" t="n">
        <v>4</v>
      </c>
      <c r="I16446" s="4" t="str">
        <v>×</v>
      </c>
      <c r="J16446" s="4"/>
      <c r="K16446" s="4"/>
      <c r="L16446" s="4"/>
      <c r="M16446" s="7" t="s">
        <v>6871</v>
      </c>
    </row>
    <row r="16447" customFormat="false" ht="15.75" hidden="false" customHeight="false" outlineLevel="0" collapsed="false">
      <c r="A16447" s="6" t="n">
        <f aca="false">DATE(2026,5,2)</f>
        <v>46144</v>
      </c>
      <c r="B16447" s="4" t="s">
        <v>4473</v>
      </c>
      <c r="C16447" s="4" t="n">
        <v>11</v>
      </c>
      <c r="D16447" s="4" t="n">
        <v>14</v>
      </c>
      <c r="E16447" s="4" t="s">
        <v>5221</v>
      </c>
      <c r="F16447" s="4" t="n">
        <v>37</v>
      </c>
      <c r="G16447" s="4" t="n">
        <v>2</v>
      </c>
      <c r="H16447" s="4" t="n">
        <v>3</v>
      </c>
      <c r="I16447" s="4" t="str">
        <v>○</v>
      </c>
      <c r="J16447" s="4" t="n">
        <v>460</v>
      </c>
      <c r="K16447" s="4"/>
      <c r="L16447" s="4"/>
      <c r="M16447" s="7" t="s">
        <v>6871</v>
      </c>
    </row>
    <row r="16448" customFormat="false" ht="15.75" hidden="false" customHeight="false" outlineLevel="0" collapsed="false">
      <c r="A16448" s="6" t="n">
        <f aca="false">DATE(2026,5,2)</f>
        <v>46144</v>
      </c>
      <c r="B16448" s="4" t="s">
        <v>4473</v>
      </c>
      <c r="C16448" s="4" t="n">
        <v>11</v>
      </c>
      <c r="D16448" s="4" t="n">
        <v>15</v>
      </c>
      <c r="E16448" s="4" t="s">
        <v>6147</v>
      </c>
      <c r="F16448" s="4" t="n">
        <v>8</v>
      </c>
      <c r="G16448" s="4" t="n">
        <v>15</v>
      </c>
      <c r="H16448" s="4" t="n">
        <v>4</v>
      </c>
      <c r="I16448" s="4" t="str">
        <v>×</v>
      </c>
      <c r="J16448" s="4"/>
      <c r="K16448" s="4"/>
      <c r="L16448" s="4"/>
      <c r="M16448" s="7" t="s">
        <v>6871</v>
      </c>
    </row>
    <row r="16449" customFormat="false" ht="15.75" hidden="false" customHeight="false" outlineLevel="0" collapsed="false">
      <c r="A16449" s="6" t="n">
        <f aca="false">DATE(2026,5,2)</f>
        <v>46144</v>
      </c>
      <c r="B16449" s="4" t="s">
        <v>4473</v>
      </c>
      <c r="C16449" s="4" t="n">
        <v>11</v>
      </c>
      <c r="D16449" s="4" t="n">
        <v>16</v>
      </c>
      <c r="E16449" s="4" t="s">
        <v>4766</v>
      </c>
      <c r="F16449" s="4" t="n">
        <v>41</v>
      </c>
      <c r="G16449" s="4" t="n">
        <v>1</v>
      </c>
      <c r="H16449" s="4" t="n">
        <v>1</v>
      </c>
      <c r="I16449" s="4" t="str">
        <v>○</v>
      </c>
      <c r="J16449" s="4" t="n">
        <v>270</v>
      </c>
      <c r="K16449" s="4"/>
      <c r="L16449" s="4"/>
      <c r="M16449" s="7" t="s">
        <v>6871</v>
      </c>
    </row>
    <row r="16450" customFormat="false" ht="15.75" hidden="false" customHeight="false" outlineLevel="0" collapsed="false">
      <c r="A16450" s="6" t="n">
        <f aca="false">DATE(2026,5,2)</f>
        <v>46144</v>
      </c>
      <c r="B16450" s="4" t="s">
        <v>4473</v>
      </c>
      <c r="C16450" s="4" t="n">
        <v>11</v>
      </c>
      <c r="D16450" s="4" t="n">
        <v>17</v>
      </c>
      <c r="E16450" s="4" t="s">
        <v>5110</v>
      </c>
      <c r="F16450" s="4" t="n">
        <v>31</v>
      </c>
      <c r="G16450" s="4" t="n">
        <v>4</v>
      </c>
      <c r="H16450" s="4" t="n">
        <v>4</v>
      </c>
      <c r="I16450" s="4" t="str">
        <v>×</v>
      </c>
      <c r="J16450" s="4"/>
      <c r="K16450" s="4"/>
      <c r="L16450" s="4"/>
      <c r="M16450" s="7" t="s">
        <v>6871</v>
      </c>
    </row>
    <row r="16451" customFormat="false" ht="15.75" hidden="false" customHeight="false" outlineLevel="0" collapsed="false">
      <c r="A16451" s="6" t="n">
        <f aca="false">DATE(2026,5,2)</f>
        <v>46144</v>
      </c>
      <c r="B16451" s="4" t="s">
        <v>4473</v>
      </c>
      <c r="C16451" s="4" t="n">
        <v>11</v>
      </c>
      <c r="D16451" s="4" t="n">
        <v>18</v>
      </c>
      <c r="E16451" s="4" t="s">
        <v>6140</v>
      </c>
      <c r="F16451" s="4" t="n">
        <v>13</v>
      </c>
      <c r="G16451" s="4" t="n">
        <v>12</v>
      </c>
      <c r="H16451" s="4" t="n">
        <v>4</v>
      </c>
      <c r="I16451" s="4" t="str">
        <v>×</v>
      </c>
      <c r="J16451" s="4"/>
      <c r="K16451" s="4"/>
      <c r="L16451" s="4"/>
      <c r="M16451" s="7" t="s">
        <v>6871</v>
      </c>
    </row>
    <row r="16452" customFormat="false" ht="15.75" hidden="false" customHeight="false" outlineLevel="0" collapsed="false">
      <c r="A16452" s="6" t="n">
        <f aca="false">DATE(2026,5,2)</f>
        <v>46144</v>
      </c>
      <c r="B16452" s="4" t="s">
        <v>4473</v>
      </c>
      <c r="C16452" s="4" t="n">
        <v>12</v>
      </c>
      <c r="D16452" s="4" t="n">
        <v>1</v>
      </c>
      <c r="E16452" s="4" t="s">
        <v>4043</v>
      </c>
      <c r="F16452" s="4" t="n">
        <v>3</v>
      </c>
      <c r="G16452" s="4" t="n">
        <v>14</v>
      </c>
      <c r="H16452" s="4" t="n">
        <v>4</v>
      </c>
      <c r="I16452" s="4" t="str">
        <v>×</v>
      </c>
      <c r="J16452" s="4"/>
      <c r="K16452" s="4"/>
      <c r="L16452" s="4"/>
      <c r="M16452" s="7" t="s">
        <v>6871</v>
      </c>
    </row>
    <row r="16453" customFormat="false" ht="15.75" hidden="false" customHeight="false" outlineLevel="0" collapsed="false">
      <c r="A16453" s="6" t="n">
        <f aca="false">DATE(2026,5,2)</f>
        <v>46144</v>
      </c>
      <c r="B16453" s="4" t="s">
        <v>4473</v>
      </c>
      <c r="C16453" s="4" t="n">
        <v>12</v>
      </c>
      <c r="D16453" s="4" t="n">
        <v>2</v>
      </c>
      <c r="E16453" s="4" t="s">
        <v>7368</v>
      </c>
      <c r="F16453" s="4" t="n">
        <v>58</v>
      </c>
      <c r="G16453" s="4" t="n">
        <v>1</v>
      </c>
      <c r="H16453" s="4" t="n">
        <v>2</v>
      </c>
      <c r="I16453" s="4" t="str">
        <v>○</v>
      </c>
      <c r="J16453" s="4" t="n">
        <v>110</v>
      </c>
      <c r="K16453" s="4"/>
      <c r="L16453" s="4"/>
      <c r="M16453" s="7" t="s">
        <v>6871</v>
      </c>
    </row>
    <row r="16454" customFormat="false" ht="15.75" hidden="false" customHeight="false" outlineLevel="0" collapsed="false">
      <c r="A16454" s="6" t="n">
        <f aca="false">DATE(2026,5,2)</f>
        <v>46144</v>
      </c>
      <c r="B16454" s="4" t="s">
        <v>4473</v>
      </c>
      <c r="C16454" s="4" t="n">
        <v>12</v>
      </c>
      <c r="D16454" s="4" t="n">
        <v>3</v>
      </c>
      <c r="E16454" s="4" t="s">
        <v>6374</v>
      </c>
      <c r="F16454" s="4" t="n">
        <v>15</v>
      </c>
      <c r="G16454" s="4" t="n">
        <v>7</v>
      </c>
      <c r="H16454" s="4" t="n">
        <v>4</v>
      </c>
      <c r="I16454" s="4" t="str">
        <v>×</v>
      </c>
      <c r="J16454" s="4"/>
      <c r="K16454" s="4"/>
      <c r="L16454" s="4"/>
      <c r="M16454" s="7" t="s">
        <v>6871</v>
      </c>
    </row>
    <row r="16455" customFormat="false" ht="15.75" hidden="false" customHeight="false" outlineLevel="0" collapsed="false">
      <c r="A16455" s="6" t="n">
        <f aca="false">DATE(2026,5,2)</f>
        <v>46144</v>
      </c>
      <c r="B16455" s="4" t="s">
        <v>4473</v>
      </c>
      <c r="C16455" s="4" t="n">
        <v>12</v>
      </c>
      <c r="D16455" s="4" t="n">
        <v>4</v>
      </c>
      <c r="E16455" s="4" t="s">
        <v>7369</v>
      </c>
      <c r="F16455" s="4" t="n">
        <v>4</v>
      </c>
      <c r="G16455" s="4" t="n">
        <v>13</v>
      </c>
      <c r="H16455" s="4" t="n">
        <v>4</v>
      </c>
      <c r="I16455" s="4" t="str">
        <v>×</v>
      </c>
      <c r="J16455" s="4"/>
      <c r="K16455" s="4"/>
      <c r="L16455" s="4"/>
      <c r="M16455" s="7" t="s">
        <v>6871</v>
      </c>
    </row>
    <row r="16456" customFormat="false" ht="15.75" hidden="false" customHeight="false" outlineLevel="0" collapsed="false">
      <c r="A16456" s="6" t="n">
        <f aca="false">DATE(2026,5,2)</f>
        <v>46144</v>
      </c>
      <c r="B16456" s="4" t="s">
        <v>4473</v>
      </c>
      <c r="C16456" s="4" t="n">
        <v>12</v>
      </c>
      <c r="D16456" s="4" t="n">
        <v>5</v>
      </c>
      <c r="E16456" s="4" t="s">
        <v>4960</v>
      </c>
      <c r="F16456" s="4" t="n">
        <v>50</v>
      </c>
      <c r="G16456" s="4" t="n">
        <v>2</v>
      </c>
      <c r="H16456" s="4" t="n">
        <v>1</v>
      </c>
      <c r="I16456" s="4" t="str">
        <v>○</v>
      </c>
      <c r="J16456" s="4" t="n">
        <v>140</v>
      </c>
      <c r="K16456" s="4"/>
      <c r="L16456" s="4"/>
      <c r="M16456" s="7" t="s">
        <v>6871</v>
      </c>
    </row>
    <row r="16457" customFormat="false" ht="15.75" hidden="false" customHeight="false" outlineLevel="0" collapsed="false">
      <c r="A16457" s="6" t="n">
        <f aca="false">DATE(2026,5,2)</f>
        <v>46144</v>
      </c>
      <c r="B16457" s="4" t="s">
        <v>4473</v>
      </c>
      <c r="C16457" s="4" t="n">
        <v>12</v>
      </c>
      <c r="D16457" s="4" t="n">
        <v>6</v>
      </c>
      <c r="E16457" s="4" t="s">
        <v>5613</v>
      </c>
      <c r="F16457" s="4" t="n">
        <v>10</v>
      </c>
      <c r="G16457" s="4" t="n">
        <v>8</v>
      </c>
      <c r="H16457" s="4" t="n">
        <v>4</v>
      </c>
      <c r="I16457" s="4" t="str">
        <v>×</v>
      </c>
      <c r="J16457" s="4"/>
      <c r="K16457" s="4"/>
      <c r="L16457" s="4"/>
      <c r="M16457" s="7" t="s">
        <v>6871</v>
      </c>
    </row>
    <row r="16458" customFormat="false" ht="15.75" hidden="false" customHeight="false" outlineLevel="0" collapsed="false">
      <c r="A16458" s="6" t="n">
        <f aca="false">DATE(2026,5,2)</f>
        <v>46144</v>
      </c>
      <c r="B16458" s="4" t="s">
        <v>4473</v>
      </c>
      <c r="C16458" s="4" t="n">
        <v>12</v>
      </c>
      <c r="D16458" s="4" t="n">
        <v>7</v>
      </c>
      <c r="E16458" s="4" t="s">
        <v>463</v>
      </c>
      <c r="F16458" s="4" t="n">
        <v>37</v>
      </c>
      <c r="G16458" s="4" t="n">
        <v>3</v>
      </c>
      <c r="H16458" s="4" t="n">
        <v>3</v>
      </c>
      <c r="I16458" s="4" t="str">
        <v>○</v>
      </c>
      <c r="J16458" s="4" t="n">
        <v>300</v>
      </c>
      <c r="K16458" s="4"/>
      <c r="L16458" s="4"/>
      <c r="M16458" s="7" t="s">
        <v>6871</v>
      </c>
    </row>
    <row r="16459" customFormat="false" ht="15.75" hidden="false" customHeight="false" outlineLevel="0" collapsed="false">
      <c r="A16459" s="6" t="n">
        <f aca="false">DATE(2026,5,2)</f>
        <v>46144</v>
      </c>
      <c r="B16459" s="4" t="s">
        <v>4473</v>
      </c>
      <c r="C16459" s="4" t="n">
        <v>12</v>
      </c>
      <c r="D16459" s="4" t="n">
        <v>8</v>
      </c>
      <c r="E16459" s="4" t="s">
        <v>7370</v>
      </c>
      <c r="F16459" s="4" t="n">
        <v>23</v>
      </c>
      <c r="G16459" s="4" t="n">
        <v>6</v>
      </c>
      <c r="H16459" s="4" t="n">
        <v>4</v>
      </c>
      <c r="I16459" s="4" t="str">
        <v>×</v>
      </c>
      <c r="J16459" s="4"/>
      <c r="K16459" s="4"/>
      <c r="L16459" s="4"/>
      <c r="M16459" s="7" t="s">
        <v>6871</v>
      </c>
    </row>
    <row r="16460" customFormat="false" ht="15.75" hidden="false" customHeight="false" outlineLevel="0" collapsed="false">
      <c r="A16460" s="6" t="n">
        <f aca="false">DATE(2026,5,2)</f>
        <v>46144</v>
      </c>
      <c r="B16460" s="4" t="s">
        <v>4473</v>
      </c>
      <c r="C16460" s="4" t="n">
        <v>12</v>
      </c>
      <c r="D16460" s="4" t="n">
        <v>9</v>
      </c>
      <c r="E16460" s="4" t="s">
        <v>7371</v>
      </c>
      <c r="F16460" s="4" t="n">
        <v>37</v>
      </c>
      <c r="G16460" s="4" t="n">
        <v>4</v>
      </c>
      <c r="H16460" s="4" t="n">
        <v>4</v>
      </c>
      <c r="I16460" s="4" t="str">
        <v>×</v>
      </c>
      <c r="J16460" s="4"/>
      <c r="K16460" s="4"/>
      <c r="L16460" s="4"/>
      <c r="M16460" s="7" t="s">
        <v>6871</v>
      </c>
    </row>
    <row r="16461" customFormat="false" ht="15.75" hidden="false" customHeight="false" outlineLevel="0" collapsed="false">
      <c r="A16461" s="6" t="n">
        <f aca="false">DATE(2026,5,2)</f>
        <v>46144</v>
      </c>
      <c r="B16461" s="4" t="s">
        <v>4473</v>
      </c>
      <c r="C16461" s="4" t="n">
        <v>12</v>
      </c>
      <c r="D16461" s="4" t="n">
        <v>10</v>
      </c>
      <c r="E16461" s="4" t="s">
        <v>5983</v>
      </c>
      <c r="F16461" s="4" t="n">
        <v>6</v>
      </c>
      <c r="G16461" s="4" t="n">
        <v>12</v>
      </c>
      <c r="H16461" s="4" t="n">
        <v>4</v>
      </c>
      <c r="I16461" s="4" t="str">
        <v>×</v>
      </c>
      <c r="J16461" s="4"/>
      <c r="K16461" s="4"/>
      <c r="L16461" s="4"/>
      <c r="M16461" s="7" t="s">
        <v>6871</v>
      </c>
    </row>
    <row r="16462" customFormat="false" ht="15.75" hidden="false" customHeight="false" outlineLevel="0" collapsed="false">
      <c r="A16462" s="6" t="n">
        <f aca="false">DATE(2026,5,2)</f>
        <v>46144</v>
      </c>
      <c r="B16462" s="4" t="s">
        <v>4473</v>
      </c>
      <c r="C16462" s="4" t="n">
        <v>12</v>
      </c>
      <c r="D16462" s="4" t="n">
        <v>11</v>
      </c>
      <c r="E16462" s="4" t="s">
        <v>1839</v>
      </c>
      <c r="F16462" s="4" t="n">
        <v>10</v>
      </c>
      <c r="G16462" s="4" t="n">
        <v>9</v>
      </c>
      <c r="H16462" s="4" t="n">
        <v>4</v>
      </c>
      <c r="I16462" s="4" t="str">
        <v>×</v>
      </c>
      <c r="J16462" s="4"/>
      <c r="K16462" s="4"/>
      <c r="L16462" s="4"/>
      <c r="M16462" s="7" t="s">
        <v>6871</v>
      </c>
    </row>
    <row r="16463" customFormat="false" ht="15.75" hidden="false" customHeight="false" outlineLevel="0" collapsed="false">
      <c r="A16463" s="6" t="n">
        <f aca="false">DATE(2026,5,2)</f>
        <v>46144</v>
      </c>
      <c r="B16463" s="4" t="s">
        <v>4473</v>
      </c>
      <c r="C16463" s="4" t="n">
        <v>12</v>
      </c>
      <c r="D16463" s="4" t="n">
        <v>12</v>
      </c>
      <c r="E16463" s="4" t="s">
        <v>4776</v>
      </c>
      <c r="F16463" s="4" t="n">
        <v>10</v>
      </c>
      <c r="G16463" s="4" t="n">
        <v>10</v>
      </c>
      <c r="H16463" s="4" t="n">
        <v>4</v>
      </c>
      <c r="I16463" s="4" t="str">
        <v>×</v>
      </c>
      <c r="J16463" s="4"/>
      <c r="K16463" s="4"/>
      <c r="L16463" s="4"/>
      <c r="M16463" s="7" t="s">
        <v>6871</v>
      </c>
    </row>
    <row r="16464" customFormat="false" ht="15.75" hidden="false" customHeight="false" outlineLevel="0" collapsed="false">
      <c r="A16464" s="6" t="n">
        <f aca="false">DATE(2026,5,2)</f>
        <v>46144</v>
      </c>
      <c r="B16464" s="4" t="s">
        <v>4473</v>
      </c>
      <c r="C16464" s="4" t="n">
        <v>12</v>
      </c>
      <c r="D16464" s="4" t="n">
        <v>13</v>
      </c>
      <c r="E16464" s="4" t="s">
        <v>6373</v>
      </c>
      <c r="F16464" s="4" t="n">
        <v>10</v>
      </c>
      <c r="G16464" s="4" t="n">
        <v>11</v>
      </c>
      <c r="H16464" s="4" t="n">
        <v>4</v>
      </c>
      <c r="I16464" s="4" t="str">
        <v>×</v>
      </c>
      <c r="J16464" s="4"/>
      <c r="K16464" s="4"/>
      <c r="L16464" s="4"/>
      <c r="M16464" s="7" t="s">
        <v>6871</v>
      </c>
    </row>
    <row r="16465" customFormat="false" ht="15.75" hidden="false" customHeight="false" outlineLevel="0" collapsed="false">
      <c r="A16465" s="6" t="n">
        <f aca="false">DATE(2026,5,2)</f>
        <v>46144</v>
      </c>
      <c r="B16465" s="4" t="s">
        <v>4473</v>
      </c>
      <c r="C16465" s="4" t="n">
        <v>12</v>
      </c>
      <c r="D16465" s="4" t="n">
        <v>14</v>
      </c>
      <c r="E16465" s="4" t="s">
        <v>3098</v>
      </c>
      <c r="F16465" s="4" t="n">
        <v>34</v>
      </c>
      <c r="G16465" s="4" t="n">
        <v>5</v>
      </c>
      <c r="H16465" s="4" t="n">
        <v>4</v>
      </c>
      <c r="I16465" s="4" t="str">
        <v>×</v>
      </c>
      <c r="J16465" s="4"/>
      <c r="K16465" s="4"/>
      <c r="L16465" s="4"/>
      <c r="M16465" s="7" t="s">
        <v>6871</v>
      </c>
    </row>
    <row r="16466" customFormat="false" ht="15.75" hidden="false" customHeight="false" outlineLevel="0" collapsed="false">
      <c r="A16466" s="6" t="n">
        <f aca="false">DATE(2026,5,3)</f>
        <v>46145</v>
      </c>
      <c r="B16466" s="4" t="s">
        <v>5435</v>
      </c>
      <c r="C16466" s="4" t="n">
        <v>1</v>
      </c>
      <c r="D16466" s="4" t="n">
        <v>1</v>
      </c>
      <c r="E16466" s="4" t="s">
        <v>3449</v>
      </c>
      <c r="F16466" s="4" t="n">
        <v>3</v>
      </c>
      <c r="G16466" s="4" t="n">
        <v>16</v>
      </c>
      <c r="H16466" s="4" t="n">
        <v>4</v>
      </c>
      <c r="I16466" s="4" t="str">
        <v>×</v>
      </c>
      <c r="J16466" s="4"/>
      <c r="K16466" s="4"/>
      <c r="L16466" s="4"/>
      <c r="M16466" s="7" t="s">
        <v>6871</v>
      </c>
    </row>
    <row r="16467" customFormat="false" ht="15.75" hidden="false" customHeight="false" outlineLevel="0" collapsed="false">
      <c r="A16467" s="6" t="n">
        <f aca="false">DATE(2026,5,3)</f>
        <v>46145</v>
      </c>
      <c r="B16467" s="4" t="s">
        <v>5435</v>
      </c>
      <c r="C16467" s="4" t="n">
        <v>1</v>
      </c>
      <c r="D16467" s="4" t="n">
        <v>2</v>
      </c>
      <c r="E16467" s="4" t="s">
        <v>4601</v>
      </c>
      <c r="F16467" s="4" t="n">
        <v>8</v>
      </c>
      <c r="G16467" s="4" t="n">
        <v>9</v>
      </c>
      <c r="H16467" s="4" t="n">
        <v>4</v>
      </c>
      <c r="I16467" s="4" t="str">
        <v>×</v>
      </c>
      <c r="J16467" s="4"/>
      <c r="K16467" s="4"/>
      <c r="L16467" s="4"/>
      <c r="M16467" s="7" t="s">
        <v>6871</v>
      </c>
    </row>
    <row r="16468" customFormat="false" ht="15.75" hidden="false" customHeight="false" outlineLevel="0" collapsed="false">
      <c r="A16468" s="6" t="n">
        <f aca="false">DATE(2026,5,3)</f>
        <v>46145</v>
      </c>
      <c r="B16468" s="4" t="s">
        <v>5435</v>
      </c>
      <c r="C16468" s="4" t="n">
        <v>1</v>
      </c>
      <c r="D16468" s="4" t="n">
        <v>3</v>
      </c>
      <c r="E16468" s="4" t="s">
        <v>7372</v>
      </c>
      <c r="F16468" s="4" t="n">
        <v>10</v>
      </c>
      <c r="G16468" s="4" t="n">
        <v>6</v>
      </c>
      <c r="H16468" s="4" t="n">
        <v>4</v>
      </c>
      <c r="I16468" s="4" t="str">
        <v>×</v>
      </c>
      <c r="J16468" s="4"/>
      <c r="K16468" s="4"/>
      <c r="L16468" s="4"/>
      <c r="M16468" s="7" t="s">
        <v>6871</v>
      </c>
    </row>
    <row r="16469" customFormat="false" ht="15.75" hidden="false" customHeight="false" outlineLevel="0" collapsed="false">
      <c r="A16469" s="6" t="n">
        <f aca="false">DATE(2026,5,3)</f>
        <v>46145</v>
      </c>
      <c r="B16469" s="4" t="s">
        <v>5435</v>
      </c>
      <c r="C16469" s="4" t="n">
        <v>1</v>
      </c>
      <c r="D16469" s="4" t="n">
        <v>4</v>
      </c>
      <c r="E16469" s="4" t="s">
        <v>7373</v>
      </c>
      <c r="F16469" s="4" t="n">
        <v>29</v>
      </c>
      <c r="G16469" s="4" t="n">
        <v>4</v>
      </c>
      <c r="H16469" s="4" t="n">
        <v>4</v>
      </c>
      <c r="I16469" s="4" t="str">
        <v>×</v>
      </c>
      <c r="J16469" s="4"/>
      <c r="K16469" s="4"/>
      <c r="L16469" s="4"/>
      <c r="M16469" s="7" t="s">
        <v>6871</v>
      </c>
    </row>
    <row r="16470" customFormat="false" ht="15.75" hidden="false" customHeight="false" outlineLevel="0" collapsed="false">
      <c r="A16470" s="6" t="n">
        <f aca="false">DATE(2026,5,3)</f>
        <v>46145</v>
      </c>
      <c r="B16470" s="4" t="s">
        <v>5435</v>
      </c>
      <c r="C16470" s="4" t="n">
        <v>1</v>
      </c>
      <c r="D16470" s="4" t="n">
        <v>5</v>
      </c>
      <c r="E16470" s="4" t="s">
        <v>2188</v>
      </c>
      <c r="F16470" s="4" t="n">
        <v>10</v>
      </c>
      <c r="G16470" s="4" t="n">
        <v>7</v>
      </c>
      <c r="H16470" s="4" t="n">
        <v>3</v>
      </c>
      <c r="I16470" s="4" t="str">
        <v>○</v>
      </c>
      <c r="J16470" s="4" t="n">
        <v>1200</v>
      </c>
      <c r="K16470" s="4"/>
      <c r="L16470" s="4"/>
      <c r="M16470" s="7" t="s">
        <v>6871</v>
      </c>
    </row>
    <row r="16471" customFormat="false" ht="15.75" hidden="false" customHeight="false" outlineLevel="0" collapsed="false">
      <c r="A16471" s="6" t="n">
        <f aca="false">DATE(2026,5,3)</f>
        <v>46145</v>
      </c>
      <c r="B16471" s="4" t="s">
        <v>5435</v>
      </c>
      <c r="C16471" s="4" t="n">
        <v>1</v>
      </c>
      <c r="D16471" s="4" t="n">
        <v>6</v>
      </c>
      <c r="E16471" s="4" t="s">
        <v>1655</v>
      </c>
      <c r="F16471" s="4" t="n">
        <v>67</v>
      </c>
      <c r="G16471" s="4" t="n">
        <v>1</v>
      </c>
      <c r="H16471" s="4" t="n">
        <v>4</v>
      </c>
      <c r="I16471" s="4" t="str">
        <v>×</v>
      </c>
      <c r="J16471" s="4"/>
      <c r="K16471" s="4"/>
      <c r="L16471" s="4"/>
      <c r="M16471" s="7" t="s">
        <v>6871</v>
      </c>
    </row>
    <row r="16472" customFormat="false" ht="15.75" hidden="false" customHeight="false" outlineLevel="0" collapsed="false">
      <c r="A16472" s="6" t="n">
        <f aca="false">DATE(2026,5,3)</f>
        <v>46145</v>
      </c>
      <c r="B16472" s="4" t="s">
        <v>5435</v>
      </c>
      <c r="C16472" s="4" t="n">
        <v>1</v>
      </c>
      <c r="D16472" s="4" t="n">
        <v>7</v>
      </c>
      <c r="E16472" s="4" t="s">
        <v>1157</v>
      </c>
      <c r="F16472" s="4" t="n">
        <v>4</v>
      </c>
      <c r="G16472" s="4" t="n">
        <v>15</v>
      </c>
      <c r="H16472" s="4" t="n">
        <v>4</v>
      </c>
      <c r="I16472" s="4" t="str">
        <v>×</v>
      </c>
      <c r="J16472" s="4"/>
      <c r="K16472" s="4"/>
      <c r="L16472" s="4"/>
      <c r="M16472" s="7" t="s">
        <v>6871</v>
      </c>
    </row>
    <row r="16473" customFormat="false" ht="15.75" hidden="false" customHeight="false" outlineLevel="0" collapsed="false">
      <c r="A16473" s="6" t="n">
        <f aca="false">DATE(2026,5,3)</f>
        <v>46145</v>
      </c>
      <c r="B16473" s="4" t="s">
        <v>5435</v>
      </c>
      <c r="C16473" s="4" t="n">
        <v>1</v>
      </c>
      <c r="D16473" s="4" t="n">
        <v>8</v>
      </c>
      <c r="E16473" s="4" t="s">
        <v>681</v>
      </c>
      <c r="F16473" s="4" t="n">
        <v>10</v>
      </c>
      <c r="G16473" s="4" t="n">
        <v>8</v>
      </c>
      <c r="H16473" s="4" t="n">
        <v>4</v>
      </c>
      <c r="I16473" s="4" t="str">
        <v>×</v>
      </c>
      <c r="J16473" s="4"/>
      <c r="K16473" s="4"/>
      <c r="L16473" s="4"/>
      <c r="M16473" s="7" t="s">
        <v>6871</v>
      </c>
    </row>
    <row r="16474" customFormat="false" ht="15.75" hidden="false" customHeight="false" outlineLevel="0" collapsed="false">
      <c r="A16474" s="6" t="n">
        <f aca="false">DATE(2026,5,3)</f>
        <v>46145</v>
      </c>
      <c r="B16474" s="4" t="s">
        <v>5435</v>
      </c>
      <c r="C16474" s="4" t="n">
        <v>1</v>
      </c>
      <c r="D16474" s="4" t="n">
        <v>9</v>
      </c>
      <c r="E16474" s="4" t="s">
        <v>6122</v>
      </c>
      <c r="F16474" s="4" t="n">
        <v>44</v>
      </c>
      <c r="G16474" s="4" t="n">
        <v>3</v>
      </c>
      <c r="H16474" s="4" t="n">
        <v>1</v>
      </c>
      <c r="I16474" s="4" t="str">
        <v>○</v>
      </c>
      <c r="J16474" s="4" t="n">
        <v>180</v>
      </c>
      <c r="K16474" s="4"/>
      <c r="L16474" s="4"/>
      <c r="M16474" s="7" t="s">
        <v>6871</v>
      </c>
    </row>
    <row r="16475" customFormat="false" ht="15.75" hidden="false" customHeight="false" outlineLevel="0" collapsed="false">
      <c r="A16475" s="6" t="n">
        <f aca="false">DATE(2026,5,3)</f>
        <v>46145</v>
      </c>
      <c r="B16475" s="4" t="s">
        <v>5435</v>
      </c>
      <c r="C16475" s="4" t="n">
        <v>1</v>
      </c>
      <c r="D16475" s="4" t="n">
        <v>10</v>
      </c>
      <c r="E16475" s="4" t="s">
        <v>1796</v>
      </c>
      <c r="F16475" s="4" t="n">
        <v>56</v>
      </c>
      <c r="G16475" s="4" t="n">
        <v>2</v>
      </c>
      <c r="H16475" s="4" t="n">
        <v>2</v>
      </c>
      <c r="I16475" s="4" t="str">
        <v>○</v>
      </c>
      <c r="J16475" s="4" t="n">
        <v>150</v>
      </c>
      <c r="K16475" s="4"/>
      <c r="L16475" s="4"/>
      <c r="M16475" s="7" t="s">
        <v>6871</v>
      </c>
    </row>
    <row r="16476" customFormat="false" ht="15.75" hidden="false" customHeight="false" outlineLevel="0" collapsed="false">
      <c r="A16476" s="6" t="n">
        <f aca="false">DATE(2026,5,3)</f>
        <v>46145</v>
      </c>
      <c r="B16476" s="4" t="s">
        <v>5435</v>
      </c>
      <c r="C16476" s="4" t="n">
        <v>1</v>
      </c>
      <c r="D16476" s="4" t="n">
        <v>11</v>
      </c>
      <c r="E16476" s="4" t="s">
        <v>7374</v>
      </c>
      <c r="F16476" s="4" t="n">
        <v>8</v>
      </c>
      <c r="G16476" s="4" t="n">
        <v>10</v>
      </c>
      <c r="H16476" s="4" t="n">
        <v>4</v>
      </c>
      <c r="I16476" s="4" t="str">
        <v>×</v>
      </c>
      <c r="J16476" s="4"/>
      <c r="K16476" s="4"/>
      <c r="L16476" s="4"/>
      <c r="M16476" s="7" t="s">
        <v>6871</v>
      </c>
    </row>
    <row r="16477" customFormat="false" ht="15.75" hidden="false" customHeight="false" outlineLevel="0" collapsed="false">
      <c r="A16477" s="6" t="n">
        <f aca="false">DATE(2026,5,3)</f>
        <v>46145</v>
      </c>
      <c r="B16477" s="4" t="s">
        <v>5435</v>
      </c>
      <c r="C16477" s="4" t="n">
        <v>1</v>
      </c>
      <c r="D16477" s="4" t="n">
        <v>12</v>
      </c>
      <c r="E16477" s="4" t="s">
        <v>2186</v>
      </c>
      <c r="F16477" s="4" t="n">
        <v>6</v>
      </c>
      <c r="G16477" s="4" t="n">
        <v>13</v>
      </c>
      <c r="H16477" s="4" t="n">
        <v>4</v>
      </c>
      <c r="I16477" s="4" t="str">
        <v>×</v>
      </c>
      <c r="J16477" s="4"/>
      <c r="K16477" s="4"/>
      <c r="L16477" s="4"/>
      <c r="M16477" s="7" t="s">
        <v>6871</v>
      </c>
    </row>
    <row r="16478" customFormat="false" ht="15.75" hidden="false" customHeight="false" outlineLevel="0" collapsed="false">
      <c r="A16478" s="6" t="n">
        <f aca="false">DATE(2026,5,3)</f>
        <v>46145</v>
      </c>
      <c r="B16478" s="4" t="s">
        <v>5435</v>
      </c>
      <c r="C16478" s="4" t="n">
        <v>1</v>
      </c>
      <c r="D16478" s="4" t="n">
        <v>13</v>
      </c>
      <c r="E16478" s="4" t="s">
        <v>2954</v>
      </c>
      <c r="F16478" s="4" t="n">
        <v>29</v>
      </c>
      <c r="G16478" s="4" t="n">
        <v>5</v>
      </c>
      <c r="H16478" s="4" t="n">
        <v>4</v>
      </c>
      <c r="I16478" s="4" t="str">
        <v>×</v>
      </c>
      <c r="J16478" s="4"/>
      <c r="K16478" s="4"/>
      <c r="L16478" s="4"/>
      <c r="M16478" s="7" t="s">
        <v>6871</v>
      </c>
    </row>
    <row r="16479" customFormat="false" ht="15.75" hidden="false" customHeight="false" outlineLevel="0" collapsed="false">
      <c r="A16479" s="6" t="n">
        <f aca="false">DATE(2026,5,3)</f>
        <v>46145</v>
      </c>
      <c r="B16479" s="4" t="s">
        <v>5435</v>
      </c>
      <c r="C16479" s="4" t="n">
        <v>1</v>
      </c>
      <c r="D16479" s="4" t="n">
        <v>14</v>
      </c>
      <c r="E16479" s="4" t="s">
        <v>7375</v>
      </c>
      <c r="F16479" s="4" t="n">
        <v>6</v>
      </c>
      <c r="G16479" s="4" t="n">
        <v>14</v>
      </c>
      <c r="H16479" s="4" t="n">
        <v>4</v>
      </c>
      <c r="I16479" s="4" t="str">
        <v>×</v>
      </c>
      <c r="J16479" s="4"/>
      <c r="K16479" s="4"/>
      <c r="L16479" s="4"/>
      <c r="M16479" s="7" t="s">
        <v>6871</v>
      </c>
    </row>
    <row r="16480" customFormat="false" ht="15.75" hidden="false" customHeight="false" outlineLevel="0" collapsed="false">
      <c r="A16480" s="6" t="n">
        <f aca="false">DATE(2026,5,3)</f>
        <v>46145</v>
      </c>
      <c r="B16480" s="4" t="s">
        <v>5435</v>
      </c>
      <c r="C16480" s="4" t="n">
        <v>1</v>
      </c>
      <c r="D16480" s="4" t="n">
        <v>15</v>
      </c>
      <c r="E16480" s="4" t="s">
        <v>2820</v>
      </c>
      <c r="F16480" s="4" t="n">
        <v>8</v>
      </c>
      <c r="G16480" s="4" t="n">
        <v>11</v>
      </c>
      <c r="H16480" s="4" t="n">
        <v>4</v>
      </c>
      <c r="I16480" s="4" t="str">
        <v>×</v>
      </c>
      <c r="J16480" s="4"/>
      <c r="K16480" s="4"/>
      <c r="L16480" s="4"/>
      <c r="M16480" s="7" t="s">
        <v>6871</v>
      </c>
    </row>
    <row r="16481" customFormat="false" ht="15.75" hidden="false" customHeight="false" outlineLevel="0" collapsed="false">
      <c r="A16481" s="6" t="n">
        <f aca="false">DATE(2026,5,3)</f>
        <v>46145</v>
      </c>
      <c r="B16481" s="4" t="s">
        <v>5435</v>
      </c>
      <c r="C16481" s="4" t="n">
        <v>1</v>
      </c>
      <c r="D16481" s="4" t="n">
        <v>16</v>
      </c>
      <c r="E16481" s="4" t="s">
        <v>2120</v>
      </c>
      <c r="F16481" s="4" t="n">
        <v>8</v>
      </c>
      <c r="G16481" s="4" t="n">
        <v>12</v>
      </c>
      <c r="H16481" s="4" t="n">
        <v>4</v>
      </c>
      <c r="I16481" s="4" t="str">
        <v>×</v>
      </c>
      <c r="J16481" s="4"/>
      <c r="K16481" s="4"/>
      <c r="L16481" s="4"/>
      <c r="M16481" s="7" t="s">
        <v>6871</v>
      </c>
    </row>
    <row r="16482" customFormat="false" ht="15.75" hidden="false" customHeight="false" outlineLevel="0" collapsed="false">
      <c r="A16482" s="6" t="n">
        <f aca="false">DATE(2026,5,3)</f>
        <v>46145</v>
      </c>
      <c r="B16482" s="4" t="s">
        <v>5435</v>
      </c>
      <c r="C16482" s="4" t="n">
        <v>2</v>
      </c>
      <c r="D16482" s="4" t="n">
        <v>1</v>
      </c>
      <c r="E16482" s="4" t="s">
        <v>2448</v>
      </c>
      <c r="F16482" s="4" t="n">
        <v>13</v>
      </c>
      <c r="G16482" s="4" t="n">
        <v>9</v>
      </c>
      <c r="H16482" s="4" t="n">
        <v>4</v>
      </c>
      <c r="I16482" s="4" t="str">
        <v>×</v>
      </c>
      <c r="J16482" s="4"/>
      <c r="K16482" s="4"/>
      <c r="L16482" s="4"/>
      <c r="M16482" s="7" t="s">
        <v>6871</v>
      </c>
    </row>
    <row r="16483" customFormat="false" ht="15.75" hidden="false" customHeight="false" outlineLevel="0" collapsed="false">
      <c r="A16483" s="6" t="n">
        <f aca="false">DATE(2026,5,3)</f>
        <v>46145</v>
      </c>
      <c r="B16483" s="4" t="s">
        <v>5435</v>
      </c>
      <c r="C16483" s="4" t="n">
        <v>2</v>
      </c>
      <c r="D16483" s="4" t="n">
        <v>2</v>
      </c>
      <c r="E16483" s="4" t="s">
        <v>3957</v>
      </c>
      <c r="F16483" s="4" t="n">
        <v>44</v>
      </c>
      <c r="G16483" s="4" t="n">
        <v>2</v>
      </c>
      <c r="H16483" s="4" t="n">
        <v>4</v>
      </c>
      <c r="I16483" s="4" t="str">
        <v>×</v>
      </c>
      <c r="J16483" s="4"/>
      <c r="K16483" s="4"/>
      <c r="L16483" s="4"/>
      <c r="M16483" s="7" t="s">
        <v>6871</v>
      </c>
    </row>
    <row r="16484" customFormat="false" ht="15.75" hidden="false" customHeight="false" outlineLevel="0" collapsed="false">
      <c r="A16484" s="6" t="n">
        <f aca="false">DATE(2026,5,3)</f>
        <v>46145</v>
      </c>
      <c r="B16484" s="4" t="s">
        <v>5435</v>
      </c>
      <c r="C16484" s="4" t="n">
        <v>2</v>
      </c>
      <c r="D16484" s="4" t="n">
        <v>3</v>
      </c>
      <c r="E16484" s="4" t="s">
        <v>6408</v>
      </c>
      <c r="F16484" s="4" t="n">
        <v>10</v>
      </c>
      <c r="G16484" s="4" t="n">
        <v>10</v>
      </c>
      <c r="H16484" s="4" t="n">
        <v>4</v>
      </c>
      <c r="I16484" s="4" t="str">
        <v>×</v>
      </c>
      <c r="J16484" s="4"/>
      <c r="K16484" s="4"/>
      <c r="L16484" s="4"/>
      <c r="M16484" s="7" t="s">
        <v>6871</v>
      </c>
    </row>
    <row r="16485" customFormat="false" ht="15.75" hidden="false" customHeight="false" outlineLevel="0" collapsed="false">
      <c r="A16485" s="6" t="n">
        <f aca="false">DATE(2026,5,3)</f>
        <v>46145</v>
      </c>
      <c r="B16485" s="4" t="s">
        <v>5435</v>
      </c>
      <c r="C16485" s="4" t="n">
        <v>2</v>
      </c>
      <c r="D16485" s="4" t="n">
        <v>4</v>
      </c>
      <c r="E16485" s="4" t="s">
        <v>2033</v>
      </c>
      <c r="F16485" s="4" t="n">
        <v>25</v>
      </c>
      <c r="G16485" s="4" t="n">
        <v>6</v>
      </c>
      <c r="H16485" s="4" t="n">
        <v>2</v>
      </c>
      <c r="I16485" s="4" t="str">
        <v>○</v>
      </c>
      <c r="J16485" s="4" t="n">
        <v>220</v>
      </c>
      <c r="K16485" s="4"/>
      <c r="L16485" s="4"/>
      <c r="M16485" s="7" t="s">
        <v>6871</v>
      </c>
    </row>
    <row r="16486" customFormat="false" ht="15.75" hidden="false" customHeight="false" outlineLevel="0" collapsed="false">
      <c r="A16486" s="6" t="n">
        <f aca="false">DATE(2026,5,3)</f>
        <v>46145</v>
      </c>
      <c r="B16486" s="4" t="s">
        <v>5435</v>
      </c>
      <c r="C16486" s="4" t="n">
        <v>2</v>
      </c>
      <c r="D16486" s="4" t="n">
        <v>5</v>
      </c>
      <c r="E16486" s="4" t="s">
        <v>1268</v>
      </c>
      <c r="F16486" s="4" t="n">
        <v>25</v>
      </c>
      <c r="G16486" s="4" t="n">
        <v>7</v>
      </c>
      <c r="H16486" s="4" t="n">
        <v>4</v>
      </c>
      <c r="I16486" s="4" t="str">
        <v>×</v>
      </c>
      <c r="J16486" s="4"/>
      <c r="K16486" s="4"/>
      <c r="L16486" s="4"/>
      <c r="M16486" s="7" t="s">
        <v>6871</v>
      </c>
    </row>
    <row r="16487" customFormat="false" ht="15.75" hidden="false" customHeight="false" outlineLevel="0" collapsed="false">
      <c r="A16487" s="6" t="n">
        <f aca="false">DATE(2026,5,3)</f>
        <v>46145</v>
      </c>
      <c r="B16487" s="4" t="s">
        <v>5435</v>
      </c>
      <c r="C16487" s="4" t="n">
        <v>2</v>
      </c>
      <c r="D16487" s="4" t="n">
        <v>6</v>
      </c>
      <c r="E16487" s="4" t="s">
        <v>1258</v>
      </c>
      <c r="F16487" s="4" t="n">
        <v>4</v>
      </c>
      <c r="G16487" s="4" t="n">
        <v>12</v>
      </c>
      <c r="H16487" s="4" t="n">
        <v>4</v>
      </c>
      <c r="I16487" s="4" t="str">
        <v>×</v>
      </c>
      <c r="J16487" s="4"/>
      <c r="K16487" s="4"/>
      <c r="L16487" s="4"/>
      <c r="M16487" s="7" t="s">
        <v>6871</v>
      </c>
    </row>
    <row r="16488" customFormat="false" ht="15.75" hidden="false" customHeight="false" outlineLevel="0" collapsed="false">
      <c r="A16488" s="6" t="n">
        <f aca="false">DATE(2026,5,3)</f>
        <v>46145</v>
      </c>
      <c r="B16488" s="4" t="s">
        <v>5435</v>
      </c>
      <c r="C16488" s="4" t="n">
        <v>2</v>
      </c>
      <c r="D16488" s="4" t="n">
        <v>7</v>
      </c>
      <c r="E16488" s="4" t="s">
        <v>5006</v>
      </c>
      <c r="F16488" s="4" t="n">
        <v>52</v>
      </c>
      <c r="G16488" s="4" t="n">
        <v>1</v>
      </c>
      <c r="H16488" s="4" t="n">
        <v>4</v>
      </c>
      <c r="I16488" s="4" t="str">
        <v>×</v>
      </c>
      <c r="J16488" s="4"/>
      <c r="K16488" s="4"/>
      <c r="L16488" s="4"/>
      <c r="M16488" s="7" t="s">
        <v>6871</v>
      </c>
    </row>
    <row r="16489" customFormat="false" ht="15.75" hidden="false" customHeight="false" outlineLevel="0" collapsed="false">
      <c r="A16489" s="6" t="n">
        <f aca="false">DATE(2026,5,3)</f>
        <v>46145</v>
      </c>
      <c r="B16489" s="4" t="s">
        <v>5435</v>
      </c>
      <c r="C16489" s="4" t="n">
        <v>2</v>
      </c>
      <c r="D16489" s="4" t="n">
        <v>8</v>
      </c>
      <c r="E16489" s="4" t="s">
        <v>7376</v>
      </c>
      <c r="F16489" s="4" t="n">
        <v>10</v>
      </c>
      <c r="G16489" s="4" t="n">
        <v>11</v>
      </c>
      <c r="H16489" s="4" t="n">
        <v>4</v>
      </c>
      <c r="I16489" s="4" t="str">
        <v>×</v>
      </c>
      <c r="J16489" s="4"/>
      <c r="K16489" s="4"/>
      <c r="L16489" s="4"/>
      <c r="M16489" s="7" t="s">
        <v>6871</v>
      </c>
    </row>
    <row r="16490" customFormat="false" ht="15.75" hidden="false" customHeight="false" outlineLevel="0" collapsed="false">
      <c r="A16490" s="6" t="n">
        <f aca="false">DATE(2026,5,3)</f>
        <v>46145</v>
      </c>
      <c r="B16490" s="4" t="s">
        <v>5435</v>
      </c>
      <c r="C16490" s="4" t="n">
        <v>2</v>
      </c>
      <c r="D16490" s="4" t="n">
        <v>9</v>
      </c>
      <c r="E16490" s="4" t="s">
        <v>5667</v>
      </c>
      <c r="F16490" s="4" t="n">
        <v>29</v>
      </c>
      <c r="G16490" s="4" t="n">
        <v>5</v>
      </c>
      <c r="H16490" s="4" t="n">
        <v>3</v>
      </c>
      <c r="I16490" s="4" t="str">
        <v>○</v>
      </c>
      <c r="J16490" s="4" t="n">
        <v>290</v>
      </c>
      <c r="K16490" s="4"/>
      <c r="L16490" s="4"/>
      <c r="M16490" s="7" t="s">
        <v>6871</v>
      </c>
    </row>
    <row r="16491" customFormat="false" ht="15.75" hidden="false" customHeight="false" outlineLevel="0" collapsed="false">
      <c r="A16491" s="6" t="n">
        <f aca="false">DATE(2026,5,3)</f>
        <v>46145</v>
      </c>
      <c r="B16491" s="4" t="s">
        <v>5435</v>
      </c>
      <c r="C16491" s="4" t="n">
        <v>2</v>
      </c>
      <c r="D16491" s="4" t="n">
        <v>10</v>
      </c>
      <c r="E16491" s="4" t="s">
        <v>6409</v>
      </c>
      <c r="F16491" s="4" t="n">
        <v>15</v>
      </c>
      <c r="G16491" s="4" t="n">
        <v>8</v>
      </c>
      <c r="H16491" s="4" t="n">
        <v>4</v>
      </c>
      <c r="I16491" s="4" t="str">
        <v>×</v>
      </c>
      <c r="J16491" s="4"/>
      <c r="K16491" s="4"/>
      <c r="L16491" s="4"/>
      <c r="M16491" s="7" t="s">
        <v>6871</v>
      </c>
    </row>
    <row r="16492" customFormat="false" ht="15.75" hidden="false" customHeight="false" outlineLevel="0" collapsed="false">
      <c r="A16492" s="6" t="n">
        <f aca="false">DATE(2026,5,3)</f>
        <v>46145</v>
      </c>
      <c r="B16492" s="4" t="s">
        <v>5435</v>
      </c>
      <c r="C16492" s="4" t="n">
        <v>2</v>
      </c>
      <c r="D16492" s="4" t="n">
        <v>11</v>
      </c>
      <c r="E16492" s="4" t="s">
        <v>662</v>
      </c>
      <c r="F16492" s="4" t="n">
        <v>44</v>
      </c>
      <c r="G16492" s="4" t="n">
        <v>3</v>
      </c>
      <c r="H16492" s="4" t="n">
        <v>4</v>
      </c>
      <c r="I16492" s="4" t="str">
        <v>×</v>
      </c>
      <c r="J16492" s="4"/>
      <c r="K16492" s="4"/>
      <c r="L16492" s="4"/>
      <c r="M16492" s="7" t="s">
        <v>6871</v>
      </c>
    </row>
    <row r="16493" customFormat="false" ht="15.75" hidden="false" customHeight="false" outlineLevel="0" collapsed="false">
      <c r="A16493" s="6" t="n">
        <f aca="false">DATE(2026,5,3)</f>
        <v>46145</v>
      </c>
      <c r="B16493" s="4" t="s">
        <v>5435</v>
      </c>
      <c r="C16493" s="4" t="n">
        <v>2</v>
      </c>
      <c r="D16493" s="4" t="n">
        <v>12</v>
      </c>
      <c r="E16493" s="4" t="s">
        <v>5686</v>
      </c>
      <c r="F16493" s="4" t="n">
        <v>31</v>
      </c>
      <c r="G16493" s="4" t="n">
        <v>4</v>
      </c>
      <c r="H16493" s="4" t="n">
        <v>1</v>
      </c>
      <c r="I16493" s="4" t="str">
        <v>○</v>
      </c>
      <c r="J16493" s="4" t="n">
        <v>550</v>
      </c>
      <c r="K16493" s="4"/>
      <c r="L16493" s="4"/>
      <c r="M16493" s="7" t="s">
        <v>6871</v>
      </c>
    </row>
    <row r="16494" customFormat="false" ht="15.75" hidden="false" customHeight="false" outlineLevel="0" collapsed="false">
      <c r="A16494" s="6" t="n">
        <f aca="false">DATE(2026,5,3)</f>
        <v>46145</v>
      </c>
      <c r="B16494" s="4" t="s">
        <v>5435</v>
      </c>
      <c r="C16494" s="4" t="n">
        <v>3</v>
      </c>
      <c r="D16494" s="4" t="n">
        <v>1</v>
      </c>
      <c r="E16494" s="4" t="s">
        <v>7377</v>
      </c>
      <c r="F16494" s="4" t="n">
        <v>1</v>
      </c>
      <c r="G16494" s="4" t="n">
        <v>15</v>
      </c>
      <c r="H16494" s="4" t="n">
        <v>4</v>
      </c>
      <c r="I16494" s="4" t="str">
        <v>×</v>
      </c>
      <c r="J16494" s="4"/>
      <c r="K16494" s="4"/>
      <c r="L16494" s="4"/>
      <c r="M16494" s="7" t="s">
        <v>6871</v>
      </c>
    </row>
    <row r="16495" customFormat="false" ht="15.75" hidden="false" customHeight="false" outlineLevel="0" collapsed="false">
      <c r="A16495" s="6" t="n">
        <f aca="false">DATE(2026,5,3)</f>
        <v>46145</v>
      </c>
      <c r="B16495" s="4" t="s">
        <v>5435</v>
      </c>
      <c r="C16495" s="4" t="n">
        <v>3</v>
      </c>
      <c r="D16495" s="4" t="n">
        <v>2</v>
      </c>
      <c r="E16495" s="4" t="s">
        <v>1609</v>
      </c>
      <c r="F16495" s="4" t="n">
        <v>2</v>
      </c>
      <c r="G16495" s="4" t="n">
        <v>13</v>
      </c>
      <c r="H16495" s="4" t="n">
        <v>4</v>
      </c>
      <c r="I16495" s="4" t="str">
        <v>×</v>
      </c>
      <c r="J16495" s="4"/>
      <c r="K16495" s="4"/>
      <c r="L16495" s="4"/>
      <c r="M16495" s="7" t="s">
        <v>6871</v>
      </c>
    </row>
    <row r="16496" customFormat="false" ht="15.75" hidden="false" customHeight="false" outlineLevel="0" collapsed="false">
      <c r="A16496" s="6" t="n">
        <f aca="false">DATE(2026,5,3)</f>
        <v>46145</v>
      </c>
      <c r="B16496" s="4" t="s">
        <v>5435</v>
      </c>
      <c r="C16496" s="4" t="n">
        <v>3</v>
      </c>
      <c r="D16496" s="4" t="n">
        <v>3</v>
      </c>
      <c r="E16496" s="4" t="s">
        <v>1801</v>
      </c>
      <c r="F16496" s="4" t="n">
        <v>8</v>
      </c>
      <c r="G16496" s="4" t="n">
        <v>10</v>
      </c>
      <c r="H16496" s="4" t="n">
        <v>4</v>
      </c>
      <c r="I16496" s="4" t="str">
        <v>×</v>
      </c>
      <c r="J16496" s="4"/>
      <c r="K16496" s="4"/>
      <c r="L16496" s="4"/>
      <c r="M16496" s="7" t="s">
        <v>6871</v>
      </c>
    </row>
    <row r="16497" customFormat="false" ht="15.75" hidden="false" customHeight="false" outlineLevel="0" collapsed="false">
      <c r="A16497" s="6" t="n">
        <f aca="false">DATE(2026,5,3)</f>
        <v>46145</v>
      </c>
      <c r="B16497" s="4" t="s">
        <v>5435</v>
      </c>
      <c r="C16497" s="4" t="n">
        <v>3</v>
      </c>
      <c r="D16497" s="4" t="n">
        <v>4</v>
      </c>
      <c r="E16497" s="4" t="s">
        <v>6939</v>
      </c>
      <c r="F16497" s="4" t="n">
        <v>2</v>
      </c>
      <c r="G16497" s="4" t="n">
        <v>14</v>
      </c>
      <c r="H16497" s="4" t="n">
        <v>4</v>
      </c>
      <c r="I16497" s="4" t="str">
        <v>×</v>
      </c>
      <c r="J16497" s="4"/>
      <c r="K16497" s="4"/>
      <c r="L16497" s="4"/>
      <c r="M16497" s="7" t="s">
        <v>6871</v>
      </c>
    </row>
    <row r="16498" customFormat="false" ht="15.75" hidden="false" customHeight="false" outlineLevel="0" collapsed="false">
      <c r="A16498" s="6" t="n">
        <f aca="false">DATE(2026,5,3)</f>
        <v>46145</v>
      </c>
      <c r="B16498" s="4" t="s">
        <v>5435</v>
      </c>
      <c r="C16498" s="4" t="n">
        <v>3</v>
      </c>
      <c r="D16498" s="4" t="n">
        <v>5</v>
      </c>
      <c r="E16498" s="4" t="s">
        <v>2625</v>
      </c>
      <c r="F16498" s="4" t="n">
        <v>50</v>
      </c>
      <c r="G16498" s="4" t="n">
        <v>3</v>
      </c>
      <c r="H16498" s="4" t="n">
        <v>2</v>
      </c>
      <c r="I16498" s="4" t="str">
        <v>○</v>
      </c>
      <c r="J16498" s="4" t="n">
        <v>210</v>
      </c>
      <c r="K16498" s="4"/>
      <c r="L16498" s="4"/>
      <c r="M16498" s="7" t="s">
        <v>6871</v>
      </c>
    </row>
    <row r="16499" customFormat="false" ht="15.75" hidden="false" customHeight="false" outlineLevel="0" collapsed="false">
      <c r="A16499" s="6" t="n">
        <f aca="false">DATE(2026,5,3)</f>
        <v>46145</v>
      </c>
      <c r="B16499" s="4" t="s">
        <v>5435</v>
      </c>
      <c r="C16499" s="4" t="n">
        <v>3</v>
      </c>
      <c r="D16499" s="4" t="n">
        <v>6</v>
      </c>
      <c r="E16499" s="4" t="s">
        <v>2189</v>
      </c>
      <c r="F16499" s="4" t="n">
        <v>62</v>
      </c>
      <c r="G16499" s="4" t="n">
        <v>2</v>
      </c>
      <c r="H16499" s="4" t="n">
        <v>4</v>
      </c>
      <c r="I16499" s="4" t="str">
        <v>×</v>
      </c>
      <c r="J16499" s="4"/>
      <c r="K16499" s="4"/>
      <c r="L16499" s="4"/>
      <c r="M16499" s="7" t="s">
        <v>6871</v>
      </c>
    </row>
    <row r="16500" customFormat="false" ht="15.75" hidden="false" customHeight="false" outlineLevel="0" collapsed="false">
      <c r="A16500" s="6" t="n">
        <f aca="false">DATE(2026,5,3)</f>
        <v>46145</v>
      </c>
      <c r="B16500" s="4" t="s">
        <v>5435</v>
      </c>
      <c r="C16500" s="4" t="n">
        <v>3</v>
      </c>
      <c r="D16500" s="4" t="n">
        <v>7</v>
      </c>
      <c r="E16500" s="4" t="s">
        <v>2849</v>
      </c>
      <c r="F16500" s="4" t="n">
        <v>10</v>
      </c>
      <c r="G16500" s="4" t="n">
        <v>8</v>
      </c>
      <c r="H16500" s="4" t="n">
        <v>4</v>
      </c>
      <c r="I16500" s="4" t="str">
        <v>×</v>
      </c>
      <c r="J16500" s="4"/>
      <c r="K16500" s="4"/>
      <c r="L16500" s="4"/>
      <c r="M16500" s="7" t="s">
        <v>6871</v>
      </c>
    </row>
    <row r="16501" customFormat="false" ht="15.75" hidden="false" customHeight="false" outlineLevel="0" collapsed="false">
      <c r="A16501" s="6" t="n">
        <f aca="false">DATE(2026,5,3)</f>
        <v>46145</v>
      </c>
      <c r="B16501" s="4" t="s">
        <v>5435</v>
      </c>
      <c r="C16501" s="4" t="n">
        <v>3</v>
      </c>
      <c r="D16501" s="4" t="n">
        <v>8</v>
      </c>
      <c r="E16501" s="4" t="s">
        <v>7378</v>
      </c>
      <c r="F16501" s="4" t="n">
        <v>3</v>
      </c>
      <c r="G16501" s="4" t="n">
        <v>12</v>
      </c>
      <c r="H16501" s="4" t="n">
        <v>4</v>
      </c>
      <c r="I16501" s="4" t="str">
        <v>×</v>
      </c>
      <c r="J16501" s="4"/>
      <c r="K16501" s="4"/>
      <c r="L16501" s="4"/>
      <c r="M16501" s="7" t="s">
        <v>6871</v>
      </c>
    </row>
    <row r="16502" customFormat="false" ht="15.75" hidden="false" customHeight="false" outlineLevel="0" collapsed="false">
      <c r="A16502" s="6" t="n">
        <f aca="false">DATE(2026,5,3)</f>
        <v>46145</v>
      </c>
      <c r="B16502" s="4" t="s">
        <v>5435</v>
      </c>
      <c r="C16502" s="4" t="n">
        <v>3</v>
      </c>
      <c r="D16502" s="4" t="n">
        <v>9</v>
      </c>
      <c r="E16502" s="4" t="s">
        <v>7379</v>
      </c>
      <c r="F16502" s="4" t="n">
        <v>10</v>
      </c>
      <c r="G16502" s="4" t="n">
        <v>9</v>
      </c>
      <c r="H16502" s="4" t="n">
        <v>4</v>
      </c>
      <c r="I16502" s="4" t="str">
        <v>×</v>
      </c>
      <c r="J16502" s="4"/>
      <c r="K16502" s="4"/>
      <c r="L16502" s="4"/>
      <c r="M16502" s="7" t="s">
        <v>6871</v>
      </c>
    </row>
    <row r="16503" customFormat="false" ht="15.75" hidden="false" customHeight="false" outlineLevel="0" collapsed="false">
      <c r="A16503" s="6" t="n">
        <f aca="false">DATE(2026,5,3)</f>
        <v>46145</v>
      </c>
      <c r="B16503" s="4" t="s">
        <v>5435</v>
      </c>
      <c r="C16503" s="4" t="n">
        <v>3</v>
      </c>
      <c r="D16503" s="4" t="n">
        <v>10</v>
      </c>
      <c r="E16503" s="4" t="s">
        <v>2113</v>
      </c>
      <c r="F16503" s="4" t="n">
        <v>15</v>
      </c>
      <c r="G16503" s="4" t="n">
        <v>7</v>
      </c>
      <c r="H16503" s="4" t="n">
        <v>3</v>
      </c>
      <c r="I16503" s="4" t="str">
        <v>○</v>
      </c>
      <c r="J16503" s="4" t="n">
        <v>450</v>
      </c>
      <c r="K16503" s="4"/>
      <c r="L16503" s="4"/>
      <c r="M16503" s="7" t="s">
        <v>6871</v>
      </c>
    </row>
    <row r="16504" customFormat="false" ht="15.75" hidden="false" customHeight="false" outlineLevel="0" collapsed="false">
      <c r="A16504" s="6" t="n">
        <f aca="false">DATE(2026,5,3)</f>
        <v>46145</v>
      </c>
      <c r="B16504" s="4" t="s">
        <v>5435</v>
      </c>
      <c r="C16504" s="4" t="n">
        <v>3</v>
      </c>
      <c r="D16504" s="4" t="n">
        <v>11</v>
      </c>
      <c r="E16504" s="4" t="s">
        <v>3604</v>
      </c>
      <c r="F16504" s="4" t="n">
        <v>37</v>
      </c>
      <c r="G16504" s="4" t="n">
        <v>4</v>
      </c>
      <c r="H16504" s="4" t="n">
        <v>4</v>
      </c>
      <c r="I16504" s="4" t="str">
        <v>×</v>
      </c>
      <c r="J16504" s="4"/>
      <c r="K16504" s="4"/>
      <c r="L16504" s="4"/>
      <c r="M16504" s="7" t="s">
        <v>6871</v>
      </c>
    </row>
    <row r="16505" customFormat="false" ht="15.75" hidden="false" customHeight="false" outlineLevel="0" collapsed="false">
      <c r="A16505" s="6" t="n">
        <f aca="false">DATE(2026,5,3)</f>
        <v>46145</v>
      </c>
      <c r="B16505" s="4" t="s">
        <v>5435</v>
      </c>
      <c r="C16505" s="4" t="n">
        <v>3</v>
      </c>
      <c r="D16505" s="4" t="n">
        <v>12</v>
      </c>
      <c r="E16505" s="4" t="s">
        <v>802</v>
      </c>
      <c r="F16505" s="4" t="n">
        <v>29</v>
      </c>
      <c r="G16505" s="4" t="n">
        <v>5</v>
      </c>
      <c r="H16505" s="4" t="n">
        <v>4</v>
      </c>
      <c r="I16505" s="4" t="str">
        <v>×</v>
      </c>
      <c r="J16505" s="4"/>
      <c r="K16505" s="4"/>
      <c r="L16505" s="4"/>
      <c r="M16505" s="7" t="s">
        <v>6871</v>
      </c>
    </row>
    <row r="16506" customFormat="false" ht="15.75" hidden="false" customHeight="false" outlineLevel="0" collapsed="false">
      <c r="A16506" s="6" t="n">
        <f aca="false">DATE(2026,5,3)</f>
        <v>46145</v>
      </c>
      <c r="B16506" s="4" t="s">
        <v>5435</v>
      </c>
      <c r="C16506" s="4" t="n">
        <v>3</v>
      </c>
      <c r="D16506" s="4" t="n">
        <v>13</v>
      </c>
      <c r="E16506" s="4" t="s">
        <v>7380</v>
      </c>
      <c r="F16506" s="4" t="n">
        <v>17</v>
      </c>
      <c r="G16506" s="4" t="n">
        <v>6</v>
      </c>
      <c r="H16506" s="4" t="n">
        <v>4</v>
      </c>
      <c r="I16506" s="4" t="str">
        <v>×</v>
      </c>
      <c r="J16506" s="4"/>
      <c r="K16506" s="4"/>
      <c r="L16506" s="4"/>
      <c r="M16506" s="7" t="s">
        <v>6871</v>
      </c>
    </row>
    <row r="16507" customFormat="false" ht="15.75" hidden="false" customHeight="false" outlineLevel="0" collapsed="false">
      <c r="A16507" s="6" t="n">
        <f aca="false">DATE(2026,5,3)</f>
        <v>46145</v>
      </c>
      <c r="B16507" s="4" t="s">
        <v>5435</v>
      </c>
      <c r="C16507" s="4" t="n">
        <v>3</v>
      </c>
      <c r="D16507" s="4" t="n">
        <v>14</v>
      </c>
      <c r="E16507" s="4" t="s">
        <v>5688</v>
      </c>
      <c r="F16507" s="4" t="n">
        <v>6</v>
      </c>
      <c r="G16507" s="4" t="n">
        <v>11</v>
      </c>
      <c r="H16507" s="4" t="n">
        <v>1</v>
      </c>
      <c r="I16507" s="4" t="str">
        <v>○</v>
      </c>
      <c r="J16507" s="4" t="n">
        <v>1030</v>
      </c>
      <c r="K16507" s="4"/>
      <c r="L16507" s="4"/>
      <c r="M16507" s="7" t="s">
        <v>6871</v>
      </c>
    </row>
    <row r="16508" customFormat="false" ht="15.75" hidden="false" customHeight="false" outlineLevel="0" collapsed="false">
      <c r="A16508" s="6" t="n">
        <f aca="false">DATE(2026,5,3)</f>
        <v>46145</v>
      </c>
      <c r="B16508" s="4" t="s">
        <v>5435</v>
      </c>
      <c r="C16508" s="4" t="n">
        <v>3</v>
      </c>
      <c r="D16508" s="4" t="n">
        <v>15</v>
      </c>
      <c r="E16508" s="4" t="s">
        <v>1590</v>
      </c>
      <c r="F16508" s="4" t="n">
        <v>71</v>
      </c>
      <c r="G16508" s="4" t="n">
        <v>1</v>
      </c>
      <c r="H16508" s="4" t="n">
        <v>4</v>
      </c>
      <c r="I16508" s="4" t="str">
        <v>×</v>
      </c>
      <c r="J16508" s="4"/>
      <c r="K16508" s="4"/>
      <c r="L16508" s="4"/>
      <c r="M16508" s="7" t="s">
        <v>6871</v>
      </c>
    </row>
    <row r="16509" customFormat="false" ht="15.75" hidden="false" customHeight="false" outlineLevel="0" collapsed="false">
      <c r="A16509" s="6" t="n">
        <f aca="false">DATE(2026,5,3)</f>
        <v>46145</v>
      </c>
      <c r="B16509" s="4" t="s">
        <v>5435</v>
      </c>
      <c r="C16509" s="4" t="n">
        <v>4</v>
      </c>
      <c r="D16509" s="4" t="n">
        <v>1</v>
      </c>
      <c r="E16509" s="4" t="s">
        <v>2466</v>
      </c>
      <c r="F16509" s="4" t="n">
        <v>13</v>
      </c>
      <c r="G16509" s="4" t="n">
        <v>9</v>
      </c>
      <c r="H16509" s="4" t="n">
        <v>4</v>
      </c>
      <c r="I16509" s="4" t="str">
        <v>×</v>
      </c>
      <c r="J16509" s="4"/>
      <c r="K16509" s="4"/>
      <c r="L16509" s="4"/>
      <c r="M16509" s="7" t="s">
        <v>6871</v>
      </c>
    </row>
    <row r="16510" customFormat="false" ht="15.75" hidden="false" customHeight="false" outlineLevel="0" collapsed="false">
      <c r="A16510" s="6" t="n">
        <f aca="false">DATE(2026,5,3)</f>
        <v>46145</v>
      </c>
      <c r="B16510" s="4" t="s">
        <v>5435</v>
      </c>
      <c r="C16510" s="4" t="n">
        <v>4</v>
      </c>
      <c r="D16510" s="4" t="n">
        <v>2</v>
      </c>
      <c r="E16510" s="4" t="s">
        <v>2031</v>
      </c>
      <c r="F16510" s="4" t="n">
        <v>13</v>
      </c>
      <c r="G16510" s="4" t="n">
        <v>10</v>
      </c>
      <c r="H16510" s="4" t="n">
        <v>4</v>
      </c>
      <c r="I16510" s="4" t="str">
        <v>×</v>
      </c>
      <c r="J16510" s="4"/>
      <c r="K16510" s="4"/>
      <c r="L16510" s="4"/>
      <c r="M16510" s="7" t="s">
        <v>6871</v>
      </c>
    </row>
    <row r="16511" customFormat="false" ht="15.75" hidden="false" customHeight="false" outlineLevel="0" collapsed="false">
      <c r="A16511" s="6" t="n">
        <f aca="false">DATE(2026,5,3)</f>
        <v>46145</v>
      </c>
      <c r="B16511" s="4" t="s">
        <v>5435</v>
      </c>
      <c r="C16511" s="4" t="n">
        <v>4</v>
      </c>
      <c r="D16511" s="4" t="n">
        <v>3</v>
      </c>
      <c r="E16511" s="4" t="s">
        <v>7381</v>
      </c>
      <c r="F16511" s="4" t="n">
        <v>17</v>
      </c>
      <c r="G16511" s="4" t="n">
        <v>8</v>
      </c>
      <c r="H16511" s="4" t="n">
        <v>2</v>
      </c>
      <c r="I16511" s="4" t="str">
        <v>○</v>
      </c>
      <c r="J16511" s="4" t="n">
        <v>280</v>
      </c>
      <c r="K16511" s="4"/>
      <c r="L16511" s="4"/>
      <c r="M16511" s="7" t="s">
        <v>6871</v>
      </c>
    </row>
    <row r="16512" customFormat="false" ht="15.75" hidden="false" customHeight="false" outlineLevel="0" collapsed="false">
      <c r="A16512" s="6" t="n">
        <f aca="false">DATE(2026,5,3)</f>
        <v>46145</v>
      </c>
      <c r="B16512" s="4" t="s">
        <v>5435</v>
      </c>
      <c r="C16512" s="4" t="n">
        <v>4</v>
      </c>
      <c r="D16512" s="4" t="n">
        <v>4</v>
      </c>
      <c r="E16512" s="4" t="s">
        <v>667</v>
      </c>
      <c r="F16512" s="4" t="n">
        <v>50</v>
      </c>
      <c r="G16512" s="4" t="n">
        <v>3</v>
      </c>
      <c r="H16512" s="4" t="n">
        <v>4</v>
      </c>
      <c r="I16512" s="4" t="str">
        <v>×</v>
      </c>
      <c r="J16512" s="4"/>
      <c r="K16512" s="4"/>
      <c r="L16512" s="4"/>
      <c r="M16512" s="7" t="s">
        <v>6871</v>
      </c>
    </row>
    <row r="16513" customFormat="false" ht="15.75" hidden="false" customHeight="false" outlineLevel="0" collapsed="false">
      <c r="A16513" s="6" t="n">
        <f aca="false">DATE(2026,5,3)</f>
        <v>46145</v>
      </c>
      <c r="B16513" s="4" t="s">
        <v>5435</v>
      </c>
      <c r="C16513" s="4" t="n">
        <v>4</v>
      </c>
      <c r="D16513" s="4" t="n">
        <v>5</v>
      </c>
      <c r="E16513" s="4" t="s">
        <v>656</v>
      </c>
      <c r="F16513" s="4" t="n">
        <v>23</v>
      </c>
      <c r="G16513" s="4" t="n">
        <v>7</v>
      </c>
      <c r="H16513" s="4" t="n">
        <v>4</v>
      </c>
      <c r="I16513" s="4" t="str">
        <v>×</v>
      </c>
      <c r="J16513" s="4"/>
      <c r="K16513" s="4"/>
      <c r="L16513" s="4"/>
      <c r="M16513" s="7" t="s">
        <v>6871</v>
      </c>
    </row>
    <row r="16514" customFormat="false" ht="15.75" hidden="false" customHeight="false" outlineLevel="0" collapsed="false">
      <c r="A16514" s="6" t="n">
        <f aca="false">DATE(2026,5,3)</f>
        <v>46145</v>
      </c>
      <c r="B16514" s="4" t="s">
        <v>5435</v>
      </c>
      <c r="C16514" s="4" t="n">
        <v>4</v>
      </c>
      <c r="D16514" s="4" t="n">
        <v>6</v>
      </c>
      <c r="E16514" s="4" t="s">
        <v>4382</v>
      </c>
      <c r="F16514" s="4" t="n">
        <v>29</v>
      </c>
      <c r="G16514" s="4" t="n">
        <v>6</v>
      </c>
      <c r="H16514" s="4" t="n">
        <v>4</v>
      </c>
      <c r="I16514" s="4" t="str">
        <v>×</v>
      </c>
      <c r="J16514" s="4"/>
      <c r="K16514" s="4"/>
      <c r="L16514" s="4"/>
      <c r="M16514" s="7" t="s">
        <v>6871</v>
      </c>
    </row>
    <row r="16515" customFormat="false" ht="15.75" hidden="false" customHeight="false" outlineLevel="0" collapsed="false">
      <c r="A16515" s="6" t="n">
        <f aca="false">DATE(2026,5,3)</f>
        <v>46145</v>
      </c>
      <c r="B16515" s="4" t="s">
        <v>5435</v>
      </c>
      <c r="C16515" s="4" t="n">
        <v>4</v>
      </c>
      <c r="D16515" s="4" t="n">
        <v>7</v>
      </c>
      <c r="E16515" s="4" t="s">
        <v>652</v>
      </c>
      <c r="F16515" s="4" t="n">
        <v>34</v>
      </c>
      <c r="G16515" s="4" t="n">
        <v>4</v>
      </c>
      <c r="H16515" s="4" t="n">
        <v>3</v>
      </c>
      <c r="I16515" s="4" t="str">
        <v>○</v>
      </c>
      <c r="J16515" s="4" t="n">
        <v>160</v>
      </c>
      <c r="K16515" s="4"/>
      <c r="L16515" s="4"/>
      <c r="M16515" s="7" t="s">
        <v>6871</v>
      </c>
    </row>
    <row r="16516" customFormat="false" ht="15.75" hidden="false" customHeight="false" outlineLevel="0" collapsed="false">
      <c r="A16516" s="6" t="n">
        <f aca="false">DATE(2026,5,3)</f>
        <v>46145</v>
      </c>
      <c r="B16516" s="4" t="s">
        <v>5435</v>
      </c>
      <c r="C16516" s="4" t="n">
        <v>4</v>
      </c>
      <c r="D16516" s="4" t="n">
        <v>8</v>
      </c>
      <c r="E16516" s="4" t="s">
        <v>5540</v>
      </c>
      <c r="F16516" s="4" t="n">
        <v>56</v>
      </c>
      <c r="G16516" s="4" t="n">
        <v>2</v>
      </c>
      <c r="H16516" s="4" t="n">
        <v>4</v>
      </c>
      <c r="I16516" s="4" t="str">
        <v>×</v>
      </c>
      <c r="J16516" s="4"/>
      <c r="K16516" s="4"/>
      <c r="L16516" s="4"/>
      <c r="M16516" s="7" t="s">
        <v>6871</v>
      </c>
    </row>
    <row r="16517" customFormat="false" ht="15.75" hidden="false" customHeight="false" outlineLevel="0" collapsed="false">
      <c r="A16517" s="6" t="n">
        <f aca="false">DATE(2026,5,3)</f>
        <v>46145</v>
      </c>
      <c r="B16517" s="4" t="s">
        <v>5435</v>
      </c>
      <c r="C16517" s="4" t="n">
        <v>4</v>
      </c>
      <c r="D16517" s="4" t="n">
        <v>9</v>
      </c>
      <c r="E16517" s="4" t="s">
        <v>7382</v>
      </c>
      <c r="F16517" s="4" t="n">
        <v>10</v>
      </c>
      <c r="G16517" s="4" t="n">
        <v>11</v>
      </c>
      <c r="H16517" s="4" t="n">
        <v>4</v>
      </c>
      <c r="I16517" s="4" t="str">
        <v>×</v>
      </c>
      <c r="J16517" s="4"/>
      <c r="K16517" s="4"/>
      <c r="L16517" s="4"/>
      <c r="M16517" s="7" t="s">
        <v>6871</v>
      </c>
    </row>
    <row r="16518" customFormat="false" ht="15.75" hidden="false" customHeight="false" outlineLevel="0" collapsed="false">
      <c r="A16518" s="6" t="n">
        <f aca="false">DATE(2026,5,3)</f>
        <v>46145</v>
      </c>
      <c r="B16518" s="4" t="s">
        <v>5435</v>
      </c>
      <c r="C16518" s="4" t="n">
        <v>4</v>
      </c>
      <c r="D16518" s="4" t="n">
        <v>10</v>
      </c>
      <c r="E16518" s="4" t="s">
        <v>2596</v>
      </c>
      <c r="F16518" s="4" t="n">
        <v>34</v>
      </c>
      <c r="G16518" s="4" t="n">
        <v>5</v>
      </c>
      <c r="H16518" s="4" t="n">
        <v>4</v>
      </c>
      <c r="I16518" s="4" t="str">
        <v>×</v>
      </c>
      <c r="J16518" s="4"/>
      <c r="K16518" s="4"/>
      <c r="L16518" s="4"/>
      <c r="M16518" s="7" t="s">
        <v>6871</v>
      </c>
    </row>
    <row r="16519" customFormat="false" ht="15.75" hidden="false" customHeight="false" outlineLevel="0" collapsed="false">
      <c r="A16519" s="6" t="n">
        <f aca="false">DATE(2026,5,3)</f>
        <v>46145</v>
      </c>
      <c r="B16519" s="4" t="s">
        <v>5435</v>
      </c>
      <c r="C16519" s="4" t="n">
        <v>4</v>
      </c>
      <c r="D16519" s="4" t="n">
        <v>11</v>
      </c>
      <c r="E16519" s="4" t="s">
        <v>6194</v>
      </c>
      <c r="F16519" s="4" t="n">
        <v>60</v>
      </c>
      <c r="G16519" s="4" t="n">
        <v>1</v>
      </c>
      <c r="H16519" s="4" t="n">
        <v>1</v>
      </c>
      <c r="I16519" s="4" t="str">
        <v>○</v>
      </c>
      <c r="J16519" s="4" t="n">
        <v>110</v>
      </c>
      <c r="K16519" s="4"/>
      <c r="L16519" s="4"/>
      <c r="M16519" s="7" t="s">
        <v>6871</v>
      </c>
    </row>
    <row r="16520" customFormat="false" ht="15.75" hidden="false" customHeight="false" outlineLevel="0" collapsed="false">
      <c r="A16520" s="6" t="n">
        <f aca="false">DATE(2026,5,3)</f>
        <v>46145</v>
      </c>
      <c r="B16520" s="4" t="s">
        <v>5435</v>
      </c>
      <c r="C16520" s="4" t="n">
        <v>5</v>
      </c>
      <c r="D16520" s="4" t="n">
        <v>1</v>
      </c>
      <c r="E16520" s="4" t="s">
        <v>7383</v>
      </c>
      <c r="F16520" s="4" t="n">
        <v>4</v>
      </c>
      <c r="G16520" s="4" t="n">
        <v>10</v>
      </c>
      <c r="H16520" s="4" t="n">
        <v>4</v>
      </c>
      <c r="I16520" s="4" t="str">
        <v>×</v>
      </c>
      <c r="J16520" s="4"/>
      <c r="K16520" s="4"/>
      <c r="L16520" s="4"/>
      <c r="M16520" s="7" t="s">
        <v>6871</v>
      </c>
    </row>
    <row r="16521" customFormat="false" ht="15.75" hidden="false" customHeight="false" outlineLevel="0" collapsed="false">
      <c r="A16521" s="6" t="n">
        <f aca="false">DATE(2026,5,3)</f>
        <v>46145</v>
      </c>
      <c r="B16521" s="4" t="s">
        <v>5435</v>
      </c>
      <c r="C16521" s="4" t="n">
        <v>5</v>
      </c>
      <c r="D16521" s="4" t="n">
        <v>2</v>
      </c>
      <c r="E16521" s="4" t="s">
        <v>3890</v>
      </c>
      <c r="F16521" s="4" t="n">
        <v>6</v>
      </c>
      <c r="G16521" s="4" t="n">
        <v>9</v>
      </c>
      <c r="H16521" s="4" t="n">
        <v>4</v>
      </c>
      <c r="I16521" s="4" t="str">
        <v>×</v>
      </c>
      <c r="J16521" s="4"/>
      <c r="K16521" s="4"/>
      <c r="L16521" s="4"/>
      <c r="M16521" s="7" t="s">
        <v>6871</v>
      </c>
    </row>
    <row r="16522" customFormat="false" ht="15.75" hidden="false" customHeight="false" outlineLevel="0" collapsed="false">
      <c r="A16522" s="6" t="n">
        <f aca="false">DATE(2026,5,3)</f>
        <v>46145</v>
      </c>
      <c r="B16522" s="4" t="s">
        <v>5435</v>
      </c>
      <c r="C16522" s="4" t="n">
        <v>5</v>
      </c>
      <c r="D16522" s="4" t="n">
        <v>3</v>
      </c>
      <c r="E16522" s="4" t="s">
        <v>5013</v>
      </c>
      <c r="F16522" s="4" t="n">
        <v>58</v>
      </c>
      <c r="G16522" s="4" t="n">
        <v>2</v>
      </c>
      <c r="H16522" s="4" t="n">
        <v>4</v>
      </c>
      <c r="I16522" s="4" t="str">
        <v>×</v>
      </c>
      <c r="J16522" s="4"/>
      <c r="K16522" s="4"/>
      <c r="L16522" s="4"/>
      <c r="M16522" s="7" t="s">
        <v>6871</v>
      </c>
    </row>
    <row r="16523" customFormat="false" ht="15.75" hidden="false" customHeight="false" outlineLevel="0" collapsed="false">
      <c r="A16523" s="6" t="n">
        <f aca="false">DATE(2026,5,3)</f>
        <v>46145</v>
      </c>
      <c r="B16523" s="4" t="s">
        <v>5435</v>
      </c>
      <c r="C16523" s="4" t="n">
        <v>5</v>
      </c>
      <c r="D16523" s="4" t="n">
        <v>4</v>
      </c>
      <c r="E16523" s="4" t="s">
        <v>829</v>
      </c>
      <c r="F16523" s="4" t="n">
        <v>4</v>
      </c>
      <c r="G16523" s="4" t="n">
        <v>11</v>
      </c>
      <c r="H16523" s="4" t="n">
        <v>4</v>
      </c>
      <c r="I16523" s="4" t="str">
        <v>×</v>
      </c>
      <c r="J16523" s="4"/>
      <c r="K16523" s="4"/>
      <c r="L16523" s="4"/>
      <c r="M16523" s="7" t="s">
        <v>6871</v>
      </c>
    </row>
    <row r="16524" customFormat="false" ht="15.75" hidden="false" customHeight="false" outlineLevel="0" collapsed="false">
      <c r="A16524" s="6" t="n">
        <f aca="false">DATE(2026,5,3)</f>
        <v>46145</v>
      </c>
      <c r="B16524" s="4" t="s">
        <v>5435</v>
      </c>
      <c r="C16524" s="4" t="n">
        <v>5</v>
      </c>
      <c r="D16524" s="4" t="n">
        <v>5</v>
      </c>
      <c r="E16524" s="4" t="s">
        <v>273</v>
      </c>
      <c r="F16524" s="4" t="n">
        <v>8</v>
      </c>
      <c r="G16524" s="4" t="n">
        <v>8</v>
      </c>
      <c r="H16524" s="4" t="n">
        <v>3</v>
      </c>
      <c r="I16524" s="4" t="str">
        <v>○</v>
      </c>
      <c r="J16524" s="4" t="n">
        <v>170</v>
      </c>
      <c r="K16524" s="4"/>
      <c r="L16524" s="4"/>
      <c r="M16524" s="7" t="s">
        <v>6871</v>
      </c>
    </row>
    <row r="16525" customFormat="false" ht="15.75" hidden="false" customHeight="false" outlineLevel="0" collapsed="false">
      <c r="A16525" s="6" t="n">
        <f aca="false">DATE(2026,5,3)</f>
        <v>46145</v>
      </c>
      <c r="B16525" s="4" t="s">
        <v>5435</v>
      </c>
      <c r="C16525" s="4" t="n">
        <v>5</v>
      </c>
      <c r="D16525" s="4" t="n">
        <v>6</v>
      </c>
      <c r="E16525" s="4" t="s">
        <v>7384</v>
      </c>
      <c r="F16525" s="4" t="n">
        <v>15</v>
      </c>
      <c r="G16525" s="4" t="n">
        <v>7</v>
      </c>
      <c r="H16525" s="4" t="n">
        <v>4</v>
      </c>
      <c r="I16525" s="4" t="str">
        <v>×</v>
      </c>
      <c r="J16525" s="4"/>
      <c r="K16525" s="4"/>
      <c r="L16525" s="4"/>
      <c r="M16525" s="7" t="s">
        <v>6871</v>
      </c>
    </row>
    <row r="16526" customFormat="false" ht="15.75" hidden="false" customHeight="false" outlineLevel="0" collapsed="false">
      <c r="A16526" s="6" t="n">
        <f aca="false">DATE(2026,5,3)</f>
        <v>46145</v>
      </c>
      <c r="B16526" s="4" t="s">
        <v>5435</v>
      </c>
      <c r="C16526" s="4" t="n">
        <v>5</v>
      </c>
      <c r="D16526" s="4" t="n">
        <v>7</v>
      </c>
      <c r="E16526" s="4" t="s">
        <v>333</v>
      </c>
      <c r="F16526" s="4" t="n">
        <v>52</v>
      </c>
      <c r="G16526" s="4" t="n">
        <v>3</v>
      </c>
      <c r="H16526" s="4" t="n">
        <v>4</v>
      </c>
      <c r="I16526" s="4" t="str">
        <v>×</v>
      </c>
      <c r="J16526" s="4"/>
      <c r="K16526" s="4"/>
      <c r="L16526" s="4"/>
      <c r="M16526" s="7" t="s">
        <v>6871</v>
      </c>
    </row>
    <row r="16527" customFormat="false" ht="15.75" hidden="false" customHeight="false" outlineLevel="0" collapsed="false">
      <c r="A16527" s="6" t="n">
        <f aca="false">DATE(2026,5,3)</f>
        <v>46145</v>
      </c>
      <c r="B16527" s="4" t="s">
        <v>5435</v>
      </c>
      <c r="C16527" s="4" t="n">
        <v>5</v>
      </c>
      <c r="D16527" s="4" t="n">
        <v>8</v>
      </c>
      <c r="E16527" s="4" t="s">
        <v>5928</v>
      </c>
      <c r="F16527" s="4" t="n">
        <v>31</v>
      </c>
      <c r="G16527" s="4" t="n">
        <v>5</v>
      </c>
      <c r="H16527" s="4" t="n">
        <v>2</v>
      </c>
      <c r="I16527" s="4" t="str">
        <v>○</v>
      </c>
      <c r="J16527" s="4" t="n">
        <v>280</v>
      </c>
      <c r="K16527" s="4"/>
      <c r="L16527" s="4"/>
      <c r="M16527" s="7" t="s">
        <v>6871</v>
      </c>
    </row>
    <row r="16528" customFormat="false" ht="15.75" hidden="false" customHeight="false" outlineLevel="0" collapsed="false">
      <c r="A16528" s="6" t="n">
        <f aca="false">DATE(2026,5,3)</f>
        <v>46145</v>
      </c>
      <c r="B16528" s="4" t="s">
        <v>5435</v>
      </c>
      <c r="C16528" s="4" t="n">
        <v>5</v>
      </c>
      <c r="D16528" s="4" t="n">
        <v>9</v>
      </c>
      <c r="E16528" s="4" t="s">
        <v>3075</v>
      </c>
      <c r="F16528" s="4" t="n">
        <v>17</v>
      </c>
      <c r="G16528" s="4" t="n">
        <v>6</v>
      </c>
      <c r="H16528" s="4" t="n">
        <v>1</v>
      </c>
      <c r="I16528" s="4" t="str">
        <v>○</v>
      </c>
      <c r="J16528" s="4" t="n">
        <v>370</v>
      </c>
      <c r="K16528" s="4"/>
      <c r="L16528" s="4"/>
      <c r="M16528" s="7" t="s">
        <v>6871</v>
      </c>
    </row>
    <row r="16529" customFormat="false" ht="15.75" hidden="false" customHeight="false" outlineLevel="0" collapsed="false">
      <c r="A16529" s="6" t="n">
        <f aca="false">DATE(2026,5,3)</f>
        <v>46145</v>
      </c>
      <c r="B16529" s="4" t="s">
        <v>5435</v>
      </c>
      <c r="C16529" s="4" t="n">
        <v>5</v>
      </c>
      <c r="D16529" s="4" t="n">
        <v>10</v>
      </c>
      <c r="E16529" s="4" t="s">
        <v>7385</v>
      </c>
      <c r="F16529" s="4" t="n">
        <v>62</v>
      </c>
      <c r="G16529" s="4" t="n">
        <v>1</v>
      </c>
      <c r="H16529" s="4" t="n">
        <v>4</v>
      </c>
      <c r="I16529" s="4" t="str">
        <v>×</v>
      </c>
      <c r="J16529" s="4"/>
      <c r="K16529" s="4"/>
      <c r="L16529" s="4"/>
      <c r="M16529" s="7" t="s">
        <v>6871</v>
      </c>
    </row>
    <row r="16530" customFormat="false" ht="15.75" hidden="false" customHeight="false" outlineLevel="0" collapsed="false">
      <c r="A16530" s="6" t="n">
        <f aca="false">DATE(2026,5,3)</f>
        <v>46145</v>
      </c>
      <c r="B16530" s="4" t="s">
        <v>5435</v>
      </c>
      <c r="C16530" s="4" t="n">
        <v>5</v>
      </c>
      <c r="D16530" s="4" t="n">
        <v>11</v>
      </c>
      <c r="E16530" s="4" t="s">
        <v>5011</v>
      </c>
      <c r="F16530" s="4" t="n">
        <v>37</v>
      </c>
      <c r="G16530" s="4" t="n">
        <v>4</v>
      </c>
      <c r="H16530" s="4" t="n">
        <v>4</v>
      </c>
      <c r="I16530" s="4" t="str">
        <v>×</v>
      </c>
      <c r="J16530" s="4"/>
      <c r="K16530" s="4"/>
      <c r="L16530" s="4"/>
      <c r="M16530" s="7" t="s">
        <v>6871</v>
      </c>
    </row>
    <row r="16531" customFormat="false" ht="15.75" hidden="false" customHeight="false" outlineLevel="0" collapsed="false">
      <c r="A16531" s="6" t="n">
        <f aca="false">DATE(2026,5,3)</f>
        <v>46145</v>
      </c>
      <c r="B16531" s="4" t="s">
        <v>5435</v>
      </c>
      <c r="C16531" s="4" t="n">
        <v>6</v>
      </c>
      <c r="D16531" s="4" t="n">
        <v>1</v>
      </c>
      <c r="E16531" s="4" t="s">
        <v>7386</v>
      </c>
      <c r="F16531" s="4" t="n">
        <v>50</v>
      </c>
      <c r="G16531" s="4" t="n">
        <v>1</v>
      </c>
      <c r="H16531" s="4" t="n">
        <v>4</v>
      </c>
      <c r="I16531" s="4" t="str">
        <v>×</v>
      </c>
      <c r="J16531" s="4"/>
      <c r="K16531" s="4"/>
      <c r="L16531" s="4"/>
      <c r="M16531" s="7" t="s">
        <v>6871</v>
      </c>
    </row>
    <row r="16532" customFormat="false" ht="15.75" hidden="false" customHeight="false" outlineLevel="0" collapsed="false">
      <c r="A16532" s="6" t="n">
        <f aca="false">DATE(2026,5,3)</f>
        <v>46145</v>
      </c>
      <c r="B16532" s="4" t="s">
        <v>5435</v>
      </c>
      <c r="C16532" s="4" t="n">
        <v>6</v>
      </c>
      <c r="D16532" s="4" t="n">
        <v>2</v>
      </c>
      <c r="E16532" s="4" t="s">
        <v>7387</v>
      </c>
      <c r="F16532" s="4" t="n">
        <v>4</v>
      </c>
      <c r="G16532" s="4" t="n">
        <v>14</v>
      </c>
      <c r="H16532" s="4" t="n">
        <v>4</v>
      </c>
      <c r="I16532" s="4" t="str">
        <v>×</v>
      </c>
      <c r="J16532" s="4"/>
      <c r="K16532" s="4"/>
      <c r="L16532" s="4"/>
      <c r="M16532" s="7" t="s">
        <v>6871</v>
      </c>
    </row>
    <row r="16533" customFormat="false" ht="15.75" hidden="false" customHeight="false" outlineLevel="0" collapsed="false">
      <c r="A16533" s="6" t="n">
        <f aca="false">DATE(2026,5,3)</f>
        <v>46145</v>
      </c>
      <c r="B16533" s="4" t="s">
        <v>5435</v>
      </c>
      <c r="C16533" s="4" t="n">
        <v>6</v>
      </c>
      <c r="D16533" s="4" t="n">
        <v>3</v>
      </c>
      <c r="E16533" s="4" t="s">
        <v>251</v>
      </c>
      <c r="F16533" s="4" t="n">
        <v>50</v>
      </c>
      <c r="G16533" s="4" t="n">
        <v>2</v>
      </c>
      <c r="H16533" s="4" t="n">
        <v>1</v>
      </c>
      <c r="I16533" s="4" t="str">
        <v>○</v>
      </c>
      <c r="J16533" s="4" t="n">
        <v>110</v>
      </c>
      <c r="K16533" s="4"/>
      <c r="L16533" s="4"/>
      <c r="M16533" s="7" t="s">
        <v>6871</v>
      </c>
    </row>
    <row r="16534" customFormat="false" ht="15.75" hidden="false" customHeight="false" outlineLevel="0" collapsed="false">
      <c r="A16534" s="6" t="n">
        <f aca="false">DATE(2026,5,3)</f>
        <v>46145</v>
      </c>
      <c r="B16534" s="4" t="s">
        <v>5435</v>
      </c>
      <c r="C16534" s="4" t="n">
        <v>6</v>
      </c>
      <c r="D16534" s="4" t="n">
        <v>4</v>
      </c>
      <c r="E16534" s="4" t="s">
        <v>7388</v>
      </c>
      <c r="F16534" s="4" t="n">
        <v>3</v>
      </c>
      <c r="G16534" s="4" t="n">
        <v>15</v>
      </c>
      <c r="H16534" s="4" t="n">
        <v>4</v>
      </c>
      <c r="I16534" s="4" t="str">
        <v>×</v>
      </c>
      <c r="J16534" s="4"/>
      <c r="K16534" s="4"/>
      <c r="L16534" s="4"/>
      <c r="M16534" s="7" t="s">
        <v>6871</v>
      </c>
    </row>
    <row r="16535" customFormat="false" ht="15.75" hidden="false" customHeight="false" outlineLevel="0" collapsed="false">
      <c r="A16535" s="6" t="n">
        <f aca="false">DATE(2026,5,3)</f>
        <v>46145</v>
      </c>
      <c r="B16535" s="4" t="s">
        <v>5435</v>
      </c>
      <c r="C16535" s="4" t="n">
        <v>6</v>
      </c>
      <c r="D16535" s="4" t="n">
        <v>5</v>
      </c>
      <c r="E16535" s="4" t="s">
        <v>879</v>
      </c>
      <c r="F16535" s="4" t="n">
        <v>37</v>
      </c>
      <c r="G16535" s="4" t="n">
        <v>4</v>
      </c>
      <c r="H16535" s="4" t="n">
        <v>4</v>
      </c>
      <c r="I16535" s="4" t="str">
        <v>×</v>
      </c>
      <c r="J16535" s="4"/>
      <c r="K16535" s="4"/>
      <c r="L16535" s="4"/>
      <c r="M16535" s="7" t="s">
        <v>6871</v>
      </c>
    </row>
    <row r="16536" customFormat="false" ht="15.75" hidden="false" customHeight="false" outlineLevel="0" collapsed="false">
      <c r="A16536" s="6" t="n">
        <f aca="false">DATE(2026,5,3)</f>
        <v>46145</v>
      </c>
      <c r="B16536" s="4" t="s">
        <v>5435</v>
      </c>
      <c r="C16536" s="4" t="n">
        <v>6</v>
      </c>
      <c r="D16536" s="4" t="n">
        <v>6</v>
      </c>
      <c r="E16536" s="4" t="s">
        <v>7389</v>
      </c>
      <c r="F16536" s="4" t="n">
        <v>1</v>
      </c>
      <c r="G16536" s="4" t="n">
        <v>16</v>
      </c>
      <c r="H16536" s="4" t="n">
        <v>4</v>
      </c>
      <c r="I16536" s="4" t="str">
        <v>×</v>
      </c>
      <c r="J16536" s="4"/>
      <c r="K16536" s="4"/>
      <c r="L16536" s="4"/>
      <c r="M16536" s="7" t="s">
        <v>6871</v>
      </c>
    </row>
    <row r="16537" customFormat="false" ht="15.75" hidden="false" customHeight="false" outlineLevel="0" collapsed="false">
      <c r="A16537" s="6" t="n">
        <f aca="false">DATE(2026,5,3)</f>
        <v>46145</v>
      </c>
      <c r="B16537" s="4" t="s">
        <v>5435</v>
      </c>
      <c r="C16537" s="4" t="n">
        <v>6</v>
      </c>
      <c r="D16537" s="4" t="n">
        <v>7</v>
      </c>
      <c r="E16537" s="4" t="s">
        <v>7390</v>
      </c>
      <c r="F16537" s="4" t="n">
        <v>6</v>
      </c>
      <c r="G16537" s="4" t="n">
        <v>11</v>
      </c>
      <c r="H16537" s="4" t="n">
        <v>4</v>
      </c>
      <c r="I16537" s="4" t="str">
        <v>×</v>
      </c>
      <c r="J16537" s="4"/>
      <c r="K16537" s="4"/>
      <c r="L16537" s="4"/>
      <c r="M16537" s="7" t="s">
        <v>6871</v>
      </c>
    </row>
    <row r="16538" customFormat="false" ht="15.75" hidden="false" customHeight="false" outlineLevel="0" collapsed="false">
      <c r="A16538" s="6" t="n">
        <f aca="false">DATE(2026,5,3)</f>
        <v>46145</v>
      </c>
      <c r="B16538" s="4" t="s">
        <v>5435</v>
      </c>
      <c r="C16538" s="4" t="n">
        <v>6</v>
      </c>
      <c r="D16538" s="4" t="n">
        <v>8</v>
      </c>
      <c r="E16538" s="4" t="s">
        <v>7391</v>
      </c>
      <c r="F16538" s="4" t="n">
        <v>29</v>
      </c>
      <c r="G16538" s="4" t="n">
        <v>6</v>
      </c>
      <c r="H16538" s="4" t="n">
        <v>4</v>
      </c>
      <c r="I16538" s="4" t="str">
        <v>×</v>
      </c>
      <c r="J16538" s="4"/>
      <c r="K16538" s="4"/>
      <c r="L16538" s="4"/>
      <c r="M16538" s="7" t="s">
        <v>6871</v>
      </c>
    </row>
    <row r="16539" customFormat="false" ht="15.75" hidden="false" customHeight="false" outlineLevel="0" collapsed="false">
      <c r="A16539" s="6" t="n">
        <f aca="false">DATE(2026,5,3)</f>
        <v>46145</v>
      </c>
      <c r="B16539" s="4" t="s">
        <v>5435</v>
      </c>
      <c r="C16539" s="4" t="n">
        <v>6</v>
      </c>
      <c r="D16539" s="4" t="n">
        <v>9</v>
      </c>
      <c r="E16539" s="4" t="s">
        <v>1234</v>
      </c>
      <c r="F16539" s="4" t="n">
        <v>6</v>
      </c>
      <c r="G16539" s="4" t="n">
        <v>12</v>
      </c>
      <c r="H16539" s="4" t="n">
        <v>4</v>
      </c>
      <c r="I16539" s="4" t="str">
        <v>×</v>
      </c>
      <c r="J16539" s="4"/>
      <c r="K16539" s="4"/>
      <c r="L16539" s="4"/>
      <c r="M16539" s="7" t="s">
        <v>6871</v>
      </c>
    </row>
    <row r="16540" customFormat="false" ht="15.75" hidden="false" customHeight="false" outlineLevel="0" collapsed="false">
      <c r="A16540" s="6" t="n">
        <f aca="false">DATE(2026,5,3)</f>
        <v>46145</v>
      </c>
      <c r="B16540" s="4" t="s">
        <v>5435</v>
      </c>
      <c r="C16540" s="4" t="n">
        <v>6</v>
      </c>
      <c r="D16540" s="4" t="n">
        <v>10</v>
      </c>
      <c r="E16540" s="4" t="s">
        <v>1653</v>
      </c>
      <c r="F16540" s="4" t="n">
        <v>20</v>
      </c>
      <c r="G16540" s="4" t="n">
        <v>7</v>
      </c>
      <c r="H16540" s="4" t="n">
        <v>4</v>
      </c>
      <c r="I16540" s="4" t="str">
        <v>×</v>
      </c>
      <c r="J16540" s="4"/>
      <c r="K16540" s="4"/>
      <c r="L16540" s="4"/>
      <c r="M16540" s="7" t="s">
        <v>6871</v>
      </c>
    </row>
    <row r="16541" customFormat="false" ht="15.75" hidden="false" customHeight="false" outlineLevel="0" collapsed="false">
      <c r="A16541" s="6" t="n">
        <f aca="false">DATE(2026,5,3)</f>
        <v>46145</v>
      </c>
      <c r="B16541" s="4" t="s">
        <v>5435</v>
      </c>
      <c r="C16541" s="4" t="n">
        <v>6</v>
      </c>
      <c r="D16541" s="4" t="n">
        <v>11</v>
      </c>
      <c r="E16541" s="4" t="s">
        <v>7392</v>
      </c>
      <c r="F16541" s="4" t="n">
        <v>47</v>
      </c>
      <c r="G16541" s="4" t="n">
        <v>3</v>
      </c>
      <c r="H16541" s="4" t="n">
        <v>3</v>
      </c>
      <c r="I16541" s="4" t="str">
        <v>○</v>
      </c>
      <c r="J16541" s="4" t="n">
        <v>140</v>
      </c>
      <c r="K16541" s="4"/>
      <c r="L16541" s="4"/>
      <c r="M16541" s="7" t="s">
        <v>6871</v>
      </c>
    </row>
    <row r="16542" customFormat="false" ht="15.75" hidden="false" customHeight="false" outlineLevel="0" collapsed="false">
      <c r="A16542" s="6" t="n">
        <f aca="false">DATE(2026,5,3)</f>
        <v>46145</v>
      </c>
      <c r="B16542" s="4" t="s">
        <v>5435</v>
      </c>
      <c r="C16542" s="4" t="n">
        <v>6</v>
      </c>
      <c r="D16542" s="4" t="n">
        <v>12</v>
      </c>
      <c r="E16542" s="4" t="s">
        <v>258</v>
      </c>
      <c r="F16542" s="4" t="n">
        <v>34</v>
      </c>
      <c r="G16542" s="4" t="n">
        <v>5</v>
      </c>
      <c r="H16542" s="4" t="n">
        <v>2</v>
      </c>
      <c r="I16542" s="4" t="str">
        <v>○</v>
      </c>
      <c r="J16542" s="4" t="n">
        <v>200</v>
      </c>
      <c r="K16542" s="4"/>
      <c r="L16542" s="4"/>
      <c r="M16542" s="7" t="s">
        <v>6871</v>
      </c>
    </row>
    <row r="16543" customFormat="false" ht="15.75" hidden="false" customHeight="false" outlineLevel="0" collapsed="false">
      <c r="A16543" s="6" t="n">
        <f aca="false">DATE(2026,5,3)</f>
        <v>46145</v>
      </c>
      <c r="B16543" s="4" t="s">
        <v>5435</v>
      </c>
      <c r="C16543" s="4" t="n">
        <v>6</v>
      </c>
      <c r="D16543" s="4" t="n">
        <v>13</v>
      </c>
      <c r="E16543" s="4" t="s">
        <v>7393</v>
      </c>
      <c r="F16543" s="4" t="n">
        <v>8</v>
      </c>
      <c r="G16543" s="4" t="n">
        <v>9</v>
      </c>
      <c r="H16543" s="4" t="n">
        <v>4</v>
      </c>
      <c r="I16543" s="4" t="str">
        <v>×</v>
      </c>
      <c r="J16543" s="4"/>
      <c r="K16543" s="4"/>
      <c r="L16543" s="4"/>
      <c r="M16543" s="7" t="s">
        <v>6871</v>
      </c>
    </row>
    <row r="16544" customFormat="false" ht="15.75" hidden="false" customHeight="false" outlineLevel="0" collapsed="false">
      <c r="A16544" s="6" t="n">
        <f aca="false">DATE(2026,5,3)</f>
        <v>46145</v>
      </c>
      <c r="B16544" s="4" t="s">
        <v>5435</v>
      </c>
      <c r="C16544" s="4" t="n">
        <v>6</v>
      </c>
      <c r="D16544" s="4" t="n">
        <v>14</v>
      </c>
      <c r="E16544" s="4" t="s">
        <v>1018</v>
      </c>
      <c r="F16544" s="4" t="n">
        <v>6</v>
      </c>
      <c r="G16544" s="4" t="n">
        <v>13</v>
      </c>
      <c r="H16544" s="4" t="n">
        <v>4</v>
      </c>
      <c r="I16544" s="4" t="str">
        <v>×</v>
      </c>
      <c r="J16544" s="4"/>
      <c r="K16544" s="4"/>
      <c r="L16544" s="4"/>
      <c r="M16544" s="7" t="s">
        <v>6871</v>
      </c>
    </row>
    <row r="16545" customFormat="false" ht="15.75" hidden="false" customHeight="false" outlineLevel="0" collapsed="false">
      <c r="A16545" s="6" t="n">
        <f aca="false">DATE(2026,5,3)</f>
        <v>46145</v>
      </c>
      <c r="B16545" s="4" t="s">
        <v>5435</v>
      </c>
      <c r="C16545" s="4" t="n">
        <v>6</v>
      </c>
      <c r="D16545" s="4" t="n">
        <v>15</v>
      </c>
      <c r="E16545" s="4" t="s">
        <v>7394</v>
      </c>
      <c r="F16545" s="4" t="n">
        <v>20</v>
      </c>
      <c r="G16545" s="4" t="n">
        <v>8</v>
      </c>
      <c r="H16545" s="4" t="n">
        <v>4</v>
      </c>
      <c r="I16545" s="4" t="str">
        <v>×</v>
      </c>
      <c r="J16545" s="4"/>
      <c r="K16545" s="4"/>
      <c r="L16545" s="4"/>
      <c r="M16545" s="7" t="s">
        <v>6871</v>
      </c>
    </row>
    <row r="16546" customFormat="false" ht="15.75" hidden="false" customHeight="false" outlineLevel="0" collapsed="false">
      <c r="A16546" s="6" t="n">
        <f aca="false">DATE(2026,5,3)</f>
        <v>46145</v>
      </c>
      <c r="B16546" s="4" t="s">
        <v>5435</v>
      </c>
      <c r="C16546" s="4" t="n">
        <v>6</v>
      </c>
      <c r="D16546" s="4" t="n">
        <v>16</v>
      </c>
      <c r="E16546" s="4" t="s">
        <v>3497</v>
      </c>
      <c r="F16546" s="4" t="n">
        <v>8</v>
      </c>
      <c r="G16546" s="4" t="n">
        <v>10</v>
      </c>
      <c r="H16546" s="4" t="n">
        <v>4</v>
      </c>
      <c r="I16546" s="4" t="str">
        <v>×</v>
      </c>
      <c r="J16546" s="4"/>
      <c r="K16546" s="4"/>
      <c r="L16546" s="4"/>
      <c r="M16546" s="7" t="s">
        <v>6871</v>
      </c>
    </row>
    <row r="16547" customFormat="false" ht="15.75" hidden="false" customHeight="false" outlineLevel="0" collapsed="false">
      <c r="A16547" s="6" t="n">
        <f aca="false">DATE(2026,5,3)</f>
        <v>46145</v>
      </c>
      <c r="B16547" s="4" t="s">
        <v>5435</v>
      </c>
      <c r="C16547" s="4" t="n">
        <v>7</v>
      </c>
      <c r="D16547" s="4" t="n">
        <v>1</v>
      </c>
      <c r="E16547" s="4" t="s">
        <v>6427</v>
      </c>
      <c r="F16547" s="4" t="n">
        <v>10</v>
      </c>
      <c r="G16547" s="4" t="n">
        <v>7</v>
      </c>
      <c r="H16547" s="4" t="n">
        <v>4</v>
      </c>
      <c r="I16547" s="4" t="str">
        <v>×</v>
      </c>
      <c r="J16547" s="4"/>
      <c r="K16547" s="4"/>
      <c r="L16547" s="4"/>
      <c r="M16547" s="7" t="s">
        <v>6871</v>
      </c>
    </row>
    <row r="16548" customFormat="false" ht="15.75" hidden="false" customHeight="false" outlineLevel="0" collapsed="false">
      <c r="A16548" s="6" t="n">
        <f aca="false">DATE(2026,5,3)</f>
        <v>46145</v>
      </c>
      <c r="B16548" s="4" t="s">
        <v>5435</v>
      </c>
      <c r="C16548" s="4" t="n">
        <v>7</v>
      </c>
      <c r="D16548" s="4" t="n">
        <v>2</v>
      </c>
      <c r="E16548" s="4" t="s">
        <v>2122</v>
      </c>
      <c r="F16548" s="4" t="n">
        <v>4</v>
      </c>
      <c r="G16548" s="4" t="n">
        <v>8</v>
      </c>
      <c r="H16548" s="4" t="n">
        <v>4</v>
      </c>
      <c r="I16548" s="4" t="str">
        <v>×</v>
      </c>
      <c r="J16548" s="4"/>
      <c r="K16548" s="4"/>
      <c r="L16548" s="4"/>
      <c r="M16548" s="7" t="s">
        <v>6871</v>
      </c>
    </row>
    <row r="16549" customFormat="false" ht="15.75" hidden="false" customHeight="false" outlineLevel="0" collapsed="false">
      <c r="A16549" s="6" t="n">
        <f aca="false">DATE(2026,5,3)</f>
        <v>46145</v>
      </c>
      <c r="B16549" s="4" t="s">
        <v>5435</v>
      </c>
      <c r="C16549" s="4" t="n">
        <v>7</v>
      </c>
      <c r="D16549" s="4" t="n">
        <v>3</v>
      </c>
      <c r="E16549" s="4" t="s">
        <v>5041</v>
      </c>
      <c r="F16549" s="4" t="n">
        <v>20</v>
      </c>
      <c r="G16549" s="4" t="n">
        <v>5</v>
      </c>
      <c r="H16549" s="4" t="n">
        <v>4</v>
      </c>
      <c r="I16549" s="4" t="str">
        <v>×</v>
      </c>
      <c r="J16549" s="4"/>
      <c r="K16549" s="4"/>
      <c r="L16549" s="4"/>
      <c r="M16549" s="7" t="s">
        <v>6871</v>
      </c>
    </row>
    <row r="16550" customFormat="false" ht="15.75" hidden="false" customHeight="false" outlineLevel="0" collapsed="false">
      <c r="A16550" s="6" t="n">
        <f aca="false">DATE(2026,5,3)</f>
        <v>46145</v>
      </c>
      <c r="B16550" s="4" t="s">
        <v>5435</v>
      </c>
      <c r="C16550" s="4" t="n">
        <v>7</v>
      </c>
      <c r="D16550" s="4" t="n">
        <v>4</v>
      </c>
      <c r="E16550" s="4" t="s">
        <v>274</v>
      </c>
      <c r="F16550" s="4" t="n">
        <v>58</v>
      </c>
      <c r="G16550" s="4" t="n">
        <v>2</v>
      </c>
      <c r="H16550" s="4" t="n">
        <v>2</v>
      </c>
      <c r="I16550" s="4" t="str">
        <v>○</v>
      </c>
      <c r="J16550" s="4" t="n">
        <v>110</v>
      </c>
      <c r="K16550" s="4"/>
      <c r="L16550" s="4"/>
      <c r="M16550" s="7" t="s">
        <v>6871</v>
      </c>
    </row>
    <row r="16551" customFormat="false" ht="15.75" hidden="false" customHeight="false" outlineLevel="0" collapsed="false">
      <c r="A16551" s="6" t="n">
        <f aca="false">DATE(2026,5,3)</f>
        <v>46145</v>
      </c>
      <c r="B16551" s="4" t="s">
        <v>5435</v>
      </c>
      <c r="C16551" s="4" t="n">
        <v>7</v>
      </c>
      <c r="D16551" s="4" t="n">
        <v>5</v>
      </c>
      <c r="E16551" s="4" t="s">
        <v>3199</v>
      </c>
      <c r="F16551" s="4" t="n">
        <v>20</v>
      </c>
      <c r="G16551" s="4" t="n">
        <v>6</v>
      </c>
      <c r="H16551" s="4" t="n">
        <v>3</v>
      </c>
      <c r="I16551" s="4" t="str">
        <v>○</v>
      </c>
      <c r="J16551" s="4" t="n">
        <v>160</v>
      </c>
      <c r="K16551" s="4"/>
      <c r="L16551" s="4"/>
      <c r="M16551" s="7" t="s">
        <v>6871</v>
      </c>
    </row>
    <row r="16552" customFormat="false" ht="15.75" hidden="false" customHeight="false" outlineLevel="0" collapsed="false">
      <c r="A16552" s="6" t="n">
        <f aca="false">DATE(2026,5,3)</f>
        <v>46145</v>
      </c>
      <c r="B16552" s="4" t="s">
        <v>5435</v>
      </c>
      <c r="C16552" s="4" t="n">
        <v>7</v>
      </c>
      <c r="D16552" s="4" t="n">
        <v>6</v>
      </c>
      <c r="E16552" s="4" t="s">
        <v>5608</v>
      </c>
      <c r="F16552" s="4" t="n">
        <v>37</v>
      </c>
      <c r="G16552" s="4" t="n">
        <v>3</v>
      </c>
      <c r="H16552" s="4" t="n">
        <v>4</v>
      </c>
      <c r="I16552" s="4" t="str">
        <v>×</v>
      </c>
      <c r="J16552" s="4"/>
      <c r="K16552" s="4"/>
      <c r="L16552" s="4"/>
      <c r="M16552" s="7" t="s">
        <v>6871</v>
      </c>
    </row>
    <row r="16553" customFormat="false" ht="15.75" hidden="false" customHeight="false" outlineLevel="0" collapsed="false">
      <c r="A16553" s="6" t="n">
        <f aca="false">DATE(2026,5,3)</f>
        <v>46145</v>
      </c>
      <c r="B16553" s="4" t="s">
        <v>5435</v>
      </c>
      <c r="C16553" s="4" t="n">
        <v>7</v>
      </c>
      <c r="D16553" s="4" t="n">
        <v>7</v>
      </c>
      <c r="E16553" s="4" t="s">
        <v>1669</v>
      </c>
      <c r="F16553" s="4" t="n">
        <v>86</v>
      </c>
      <c r="G16553" s="4" t="n">
        <v>1</v>
      </c>
      <c r="H16553" s="4" t="n">
        <v>1</v>
      </c>
      <c r="I16553" s="4" t="str">
        <v>○</v>
      </c>
      <c r="J16553" s="4" t="n">
        <v>110</v>
      </c>
      <c r="K16553" s="4"/>
      <c r="L16553" s="4"/>
      <c r="M16553" s="7" t="s">
        <v>6871</v>
      </c>
    </row>
    <row r="16554" customFormat="false" ht="15.75" hidden="false" customHeight="false" outlineLevel="0" collapsed="false">
      <c r="A16554" s="6" t="n">
        <f aca="false">DATE(2026,5,3)</f>
        <v>46145</v>
      </c>
      <c r="B16554" s="4" t="s">
        <v>5435</v>
      </c>
      <c r="C16554" s="4" t="n">
        <v>7</v>
      </c>
      <c r="D16554" s="4" t="n">
        <v>8</v>
      </c>
      <c r="E16554" s="4" t="s">
        <v>276</v>
      </c>
      <c r="F16554" s="4" t="n">
        <v>25</v>
      </c>
      <c r="G16554" s="4" t="n">
        <v>4</v>
      </c>
      <c r="H16554" s="4" t="n">
        <v>4</v>
      </c>
      <c r="I16554" s="4" t="str">
        <v>×</v>
      </c>
      <c r="J16554" s="4"/>
      <c r="K16554" s="4"/>
      <c r="L16554" s="4"/>
      <c r="M16554" s="7" t="s">
        <v>6871</v>
      </c>
    </row>
    <row r="16555" customFormat="false" ht="15.75" hidden="false" customHeight="false" outlineLevel="0" collapsed="false">
      <c r="A16555" s="6" t="n">
        <f aca="false">DATE(2026,5,3)</f>
        <v>46145</v>
      </c>
      <c r="B16555" s="4" t="s">
        <v>5435</v>
      </c>
      <c r="C16555" s="4" t="n">
        <v>8</v>
      </c>
      <c r="D16555" s="4" t="n">
        <v>1</v>
      </c>
      <c r="E16555" s="4" t="s">
        <v>5421</v>
      </c>
      <c r="F16555" s="4" t="n">
        <v>13</v>
      </c>
      <c r="G16555" s="4" t="n">
        <v>11</v>
      </c>
      <c r="H16555" s="4" t="n">
        <v>4</v>
      </c>
      <c r="I16555" s="4" t="str">
        <v>×</v>
      </c>
      <c r="J16555" s="4"/>
      <c r="K16555" s="4"/>
      <c r="L16555" s="4"/>
      <c r="M16555" s="7" t="s">
        <v>6871</v>
      </c>
    </row>
    <row r="16556" customFormat="false" ht="15.75" hidden="false" customHeight="false" outlineLevel="0" collapsed="false">
      <c r="A16556" s="6" t="n">
        <f aca="false">DATE(2026,5,3)</f>
        <v>46145</v>
      </c>
      <c r="B16556" s="4" t="s">
        <v>5435</v>
      </c>
      <c r="C16556" s="4" t="n">
        <v>8</v>
      </c>
      <c r="D16556" s="4" t="n">
        <v>2</v>
      </c>
      <c r="E16556" s="4" t="s">
        <v>7395</v>
      </c>
      <c r="F16556" s="4" t="n">
        <v>20</v>
      </c>
      <c r="G16556" s="4" t="n">
        <v>7</v>
      </c>
      <c r="H16556" s="4" t="n">
        <v>4</v>
      </c>
      <c r="I16556" s="4" t="str">
        <v>×</v>
      </c>
      <c r="J16556" s="4"/>
      <c r="K16556" s="4"/>
      <c r="L16556" s="4"/>
      <c r="M16556" s="7" t="s">
        <v>6871</v>
      </c>
    </row>
    <row r="16557" customFormat="false" ht="15.75" hidden="false" customHeight="false" outlineLevel="0" collapsed="false">
      <c r="A16557" s="6" t="n">
        <f aca="false">DATE(2026,5,3)</f>
        <v>46145</v>
      </c>
      <c r="B16557" s="4" t="s">
        <v>5435</v>
      </c>
      <c r="C16557" s="4" t="n">
        <v>8</v>
      </c>
      <c r="D16557" s="4" t="n">
        <v>3</v>
      </c>
      <c r="E16557" s="4" t="s">
        <v>4402</v>
      </c>
      <c r="F16557" s="4" t="n">
        <v>34</v>
      </c>
      <c r="G16557" s="4" t="n">
        <v>4</v>
      </c>
      <c r="H16557" s="4" t="n">
        <v>4</v>
      </c>
      <c r="I16557" s="4" t="str">
        <v>×</v>
      </c>
      <c r="J16557" s="4"/>
      <c r="K16557" s="4"/>
      <c r="L16557" s="4"/>
      <c r="M16557" s="7" t="s">
        <v>6871</v>
      </c>
    </row>
    <row r="16558" customFormat="false" ht="15.75" hidden="false" customHeight="false" outlineLevel="0" collapsed="false">
      <c r="A16558" s="6" t="n">
        <f aca="false">DATE(2026,5,3)</f>
        <v>46145</v>
      </c>
      <c r="B16558" s="4" t="s">
        <v>5435</v>
      </c>
      <c r="C16558" s="4" t="n">
        <v>8</v>
      </c>
      <c r="D16558" s="4" t="n">
        <v>4</v>
      </c>
      <c r="E16558" s="4" t="s">
        <v>7396</v>
      </c>
      <c r="F16558" s="4" t="n">
        <v>4</v>
      </c>
      <c r="G16558" s="4" t="n">
        <v>15</v>
      </c>
      <c r="H16558" s="4" t="n">
        <v>4</v>
      </c>
      <c r="I16558" s="4" t="str">
        <v>×</v>
      </c>
      <c r="J16558" s="4"/>
      <c r="K16558" s="4"/>
      <c r="L16558" s="4"/>
      <c r="M16558" s="7" t="s">
        <v>6871</v>
      </c>
    </row>
    <row r="16559" customFormat="false" ht="15.75" hidden="false" customHeight="false" outlineLevel="0" collapsed="false">
      <c r="A16559" s="6" t="n">
        <f aca="false">DATE(2026,5,3)</f>
        <v>46145</v>
      </c>
      <c r="B16559" s="4" t="s">
        <v>5435</v>
      </c>
      <c r="C16559" s="4" t="n">
        <v>8</v>
      </c>
      <c r="D16559" s="4" t="n">
        <v>5</v>
      </c>
      <c r="E16559" s="4" t="s">
        <v>6712</v>
      </c>
      <c r="F16559" s="4" t="n">
        <v>17</v>
      </c>
      <c r="G16559" s="4" t="n">
        <v>8</v>
      </c>
      <c r="H16559" s="4" t="n">
        <v>3</v>
      </c>
      <c r="I16559" s="4" t="str">
        <v>○</v>
      </c>
      <c r="J16559" s="4" t="n">
        <v>720</v>
      </c>
      <c r="K16559" s="4"/>
      <c r="L16559" s="4"/>
      <c r="M16559" s="7" t="s">
        <v>6871</v>
      </c>
    </row>
    <row r="16560" customFormat="false" ht="15.75" hidden="false" customHeight="false" outlineLevel="0" collapsed="false">
      <c r="A16560" s="6" t="n">
        <f aca="false">DATE(2026,5,3)</f>
        <v>46145</v>
      </c>
      <c r="B16560" s="4" t="s">
        <v>5435</v>
      </c>
      <c r="C16560" s="4" t="n">
        <v>8</v>
      </c>
      <c r="D16560" s="4" t="n">
        <v>6</v>
      </c>
      <c r="E16560" s="4" t="s">
        <v>1354</v>
      </c>
      <c r="F16560" s="4" t="n">
        <v>10</v>
      </c>
      <c r="G16560" s="4" t="n">
        <v>13</v>
      </c>
      <c r="H16560" s="4" t="n">
        <v>4</v>
      </c>
      <c r="I16560" s="4" t="str">
        <v>×</v>
      </c>
      <c r="J16560" s="4"/>
      <c r="K16560" s="4"/>
      <c r="L16560" s="4"/>
      <c r="M16560" s="7" t="s">
        <v>6871</v>
      </c>
    </row>
    <row r="16561" customFormat="false" ht="15.75" hidden="false" customHeight="false" outlineLevel="0" collapsed="false">
      <c r="A16561" s="6" t="n">
        <f aca="false">DATE(2026,5,3)</f>
        <v>46145</v>
      </c>
      <c r="B16561" s="4" t="s">
        <v>5435</v>
      </c>
      <c r="C16561" s="4" t="n">
        <v>8</v>
      </c>
      <c r="D16561" s="4" t="n">
        <v>7</v>
      </c>
      <c r="E16561" s="4" t="s">
        <v>1356</v>
      </c>
      <c r="F16561" s="4" t="n">
        <v>31</v>
      </c>
      <c r="G16561" s="4" t="n">
        <v>5</v>
      </c>
      <c r="H16561" s="4" t="n">
        <v>4</v>
      </c>
      <c r="I16561" s="4" t="str">
        <v>×</v>
      </c>
      <c r="J16561" s="4"/>
      <c r="K16561" s="4"/>
      <c r="L16561" s="4"/>
      <c r="M16561" s="7" t="s">
        <v>6871</v>
      </c>
    </row>
    <row r="16562" customFormat="false" ht="15.75" hidden="false" customHeight="false" outlineLevel="0" collapsed="false">
      <c r="A16562" s="6" t="n">
        <f aca="false">DATE(2026,5,3)</f>
        <v>46145</v>
      </c>
      <c r="B16562" s="4" t="s">
        <v>5435</v>
      </c>
      <c r="C16562" s="4" t="n">
        <v>8</v>
      </c>
      <c r="D16562" s="4" t="n">
        <v>8</v>
      </c>
      <c r="E16562" s="4" t="s">
        <v>2147</v>
      </c>
      <c r="F16562" s="4" t="n">
        <v>41</v>
      </c>
      <c r="G16562" s="4" t="n">
        <v>1</v>
      </c>
      <c r="H16562" s="4" t="n">
        <v>2</v>
      </c>
      <c r="I16562" s="4" t="str">
        <v>○</v>
      </c>
      <c r="J16562" s="4" t="n">
        <v>210</v>
      </c>
      <c r="K16562" s="4"/>
      <c r="L16562" s="4"/>
      <c r="M16562" s="7" t="s">
        <v>6871</v>
      </c>
    </row>
    <row r="16563" customFormat="false" ht="15.75" hidden="false" customHeight="false" outlineLevel="0" collapsed="false">
      <c r="A16563" s="6" t="n">
        <f aca="false">DATE(2026,5,3)</f>
        <v>46145</v>
      </c>
      <c r="B16563" s="4" t="s">
        <v>5435</v>
      </c>
      <c r="C16563" s="4" t="n">
        <v>8</v>
      </c>
      <c r="D16563" s="4" t="n">
        <v>9</v>
      </c>
      <c r="E16563" s="4" t="s">
        <v>7397</v>
      </c>
      <c r="F16563" s="4" t="n">
        <v>37</v>
      </c>
      <c r="G16563" s="4" t="n">
        <v>3</v>
      </c>
      <c r="H16563" s="4" t="n">
        <v>4</v>
      </c>
      <c r="I16563" s="4" t="str">
        <v>×</v>
      </c>
      <c r="J16563" s="4"/>
      <c r="K16563" s="4"/>
      <c r="L16563" s="4"/>
      <c r="M16563" s="7" t="s">
        <v>6871</v>
      </c>
    </row>
    <row r="16564" customFormat="false" ht="15.75" hidden="false" customHeight="false" outlineLevel="0" collapsed="false">
      <c r="A16564" s="6" t="n">
        <f aca="false">DATE(2026,5,3)</f>
        <v>46145</v>
      </c>
      <c r="B16564" s="4" t="s">
        <v>5435</v>
      </c>
      <c r="C16564" s="4" t="n">
        <v>8</v>
      </c>
      <c r="D16564" s="4" t="n">
        <v>10</v>
      </c>
      <c r="E16564" s="4" t="s">
        <v>1216</v>
      </c>
      <c r="F16564" s="4" t="n">
        <v>8</v>
      </c>
      <c r="G16564" s="4" t="n">
        <v>14</v>
      </c>
      <c r="H16564" s="4" t="n">
        <v>4</v>
      </c>
      <c r="I16564" s="4" t="str">
        <v>×</v>
      </c>
      <c r="J16564" s="4"/>
      <c r="K16564" s="4"/>
      <c r="L16564" s="4"/>
      <c r="M16564" s="7" t="s">
        <v>6871</v>
      </c>
    </row>
    <row r="16565" customFormat="false" ht="15.75" hidden="false" customHeight="false" outlineLevel="0" collapsed="false">
      <c r="A16565" s="6" t="n">
        <f aca="false">DATE(2026,5,3)</f>
        <v>46145</v>
      </c>
      <c r="B16565" s="4" t="s">
        <v>5435</v>
      </c>
      <c r="C16565" s="4" t="n">
        <v>8</v>
      </c>
      <c r="D16565" s="4" t="n">
        <v>11</v>
      </c>
      <c r="E16565" s="4" t="s">
        <v>1986</v>
      </c>
      <c r="F16565" s="4" t="n">
        <v>17</v>
      </c>
      <c r="G16565" s="4" t="n">
        <v>9</v>
      </c>
      <c r="H16565" s="4" t="n">
        <v>1</v>
      </c>
      <c r="I16565" s="4" t="str">
        <v>○</v>
      </c>
      <c r="J16565" s="4" t="n">
        <v>1120</v>
      </c>
      <c r="K16565" s="4"/>
      <c r="L16565" s="4"/>
      <c r="M16565" s="7" t="s">
        <v>6871</v>
      </c>
    </row>
    <row r="16566" customFormat="false" ht="15.75" hidden="false" customHeight="false" outlineLevel="0" collapsed="false">
      <c r="A16566" s="6" t="n">
        <f aca="false">DATE(2026,5,3)</f>
        <v>46145</v>
      </c>
      <c r="B16566" s="4" t="s">
        <v>5435</v>
      </c>
      <c r="C16566" s="4" t="n">
        <v>8</v>
      </c>
      <c r="D16566" s="4" t="n">
        <v>12</v>
      </c>
      <c r="E16566" s="4" t="s">
        <v>3302</v>
      </c>
      <c r="F16566" s="4" t="n">
        <v>17</v>
      </c>
      <c r="G16566" s="4" t="n">
        <v>10</v>
      </c>
      <c r="H16566" s="4" t="n">
        <v>4</v>
      </c>
      <c r="I16566" s="4" t="str">
        <v>×</v>
      </c>
      <c r="J16566" s="4"/>
      <c r="K16566" s="4"/>
      <c r="L16566" s="4"/>
      <c r="M16566" s="7" t="s">
        <v>6871</v>
      </c>
    </row>
    <row r="16567" customFormat="false" ht="15.75" hidden="false" customHeight="false" outlineLevel="0" collapsed="false">
      <c r="A16567" s="6" t="n">
        <f aca="false">DATE(2026,5,3)</f>
        <v>46145</v>
      </c>
      <c r="B16567" s="4" t="s">
        <v>5435</v>
      </c>
      <c r="C16567" s="4" t="n">
        <v>8</v>
      </c>
      <c r="D16567" s="4" t="n">
        <v>13</v>
      </c>
      <c r="E16567" s="4" t="s">
        <v>2901</v>
      </c>
      <c r="F16567" s="4" t="n">
        <v>13</v>
      </c>
      <c r="G16567" s="4" t="n">
        <v>12</v>
      </c>
      <c r="H16567" s="4" t="n">
        <v>4</v>
      </c>
      <c r="I16567" s="4" t="str">
        <v>×</v>
      </c>
      <c r="J16567" s="4"/>
      <c r="K16567" s="4"/>
      <c r="L16567" s="4"/>
      <c r="M16567" s="7" t="s">
        <v>6871</v>
      </c>
    </row>
    <row r="16568" customFormat="false" ht="15.75" hidden="false" customHeight="false" outlineLevel="0" collapsed="false">
      <c r="A16568" s="6" t="n">
        <f aca="false">DATE(2026,5,3)</f>
        <v>46145</v>
      </c>
      <c r="B16568" s="4" t="s">
        <v>5435</v>
      </c>
      <c r="C16568" s="4" t="n">
        <v>8</v>
      </c>
      <c r="D16568" s="4" t="n">
        <v>14</v>
      </c>
      <c r="E16568" s="4" t="s">
        <v>7398</v>
      </c>
      <c r="F16568" s="4" t="n">
        <v>41</v>
      </c>
      <c r="G16568" s="4" t="n">
        <v>2</v>
      </c>
      <c r="H16568" s="4" t="n">
        <v>4</v>
      </c>
      <c r="I16568" s="4" t="str">
        <v>×</v>
      </c>
      <c r="J16568" s="4"/>
      <c r="K16568" s="4"/>
      <c r="L16568" s="4"/>
      <c r="M16568" s="7" t="s">
        <v>6871</v>
      </c>
    </row>
    <row r="16569" customFormat="false" ht="15.75" hidden="false" customHeight="false" outlineLevel="0" collapsed="false">
      <c r="A16569" s="6" t="n">
        <f aca="false">DATE(2026,5,3)</f>
        <v>46145</v>
      </c>
      <c r="B16569" s="4" t="s">
        <v>5435</v>
      </c>
      <c r="C16569" s="4" t="n">
        <v>8</v>
      </c>
      <c r="D16569" s="4" t="n">
        <v>15</v>
      </c>
      <c r="E16569" s="4" t="s">
        <v>1500</v>
      </c>
      <c r="F16569" s="4" t="n">
        <v>25</v>
      </c>
      <c r="G16569" s="4" t="n">
        <v>6</v>
      </c>
      <c r="H16569" s="4" t="n">
        <v>4</v>
      </c>
      <c r="I16569" s="4" t="str">
        <v>×</v>
      </c>
      <c r="J16569" s="4"/>
      <c r="K16569" s="4"/>
      <c r="L16569" s="4"/>
      <c r="M16569" s="7" t="s">
        <v>6871</v>
      </c>
    </row>
    <row r="16570" customFormat="false" ht="15.75" hidden="false" customHeight="false" outlineLevel="0" collapsed="false">
      <c r="A16570" s="6" t="n">
        <f aca="false">DATE(2026,5,3)</f>
        <v>46145</v>
      </c>
      <c r="B16570" s="4" t="s">
        <v>5435</v>
      </c>
      <c r="C16570" s="4" t="n">
        <v>9</v>
      </c>
      <c r="D16570" s="4" t="n">
        <v>1</v>
      </c>
      <c r="E16570" s="4" t="s">
        <v>4651</v>
      </c>
      <c r="F16570" s="4" t="n">
        <v>8</v>
      </c>
      <c r="G16570" s="4" t="n">
        <v>8</v>
      </c>
      <c r="H16570" s="4" t="n">
        <v>4</v>
      </c>
      <c r="I16570" s="4" t="str">
        <v>×</v>
      </c>
      <c r="J16570" s="4"/>
      <c r="K16570" s="4"/>
      <c r="L16570" s="4"/>
      <c r="M16570" s="7" t="s">
        <v>6871</v>
      </c>
    </row>
    <row r="16571" customFormat="false" ht="15.75" hidden="false" customHeight="false" outlineLevel="0" collapsed="false">
      <c r="A16571" s="6" t="n">
        <f aca="false">DATE(2026,5,3)</f>
        <v>46145</v>
      </c>
      <c r="B16571" s="4" t="s">
        <v>5435</v>
      </c>
      <c r="C16571" s="4" t="n">
        <v>9</v>
      </c>
      <c r="D16571" s="4" t="n">
        <v>2</v>
      </c>
      <c r="E16571" s="4" t="s">
        <v>4647</v>
      </c>
      <c r="F16571" s="4" t="n">
        <v>29</v>
      </c>
      <c r="G16571" s="4" t="n">
        <v>5</v>
      </c>
      <c r="H16571" s="4" t="n">
        <v>4</v>
      </c>
      <c r="I16571" s="4" t="str">
        <v>×</v>
      </c>
      <c r="J16571" s="4"/>
      <c r="K16571" s="4"/>
      <c r="L16571" s="4"/>
      <c r="M16571" s="7" t="s">
        <v>6871</v>
      </c>
    </row>
    <row r="16572" customFormat="false" ht="15.75" hidden="false" customHeight="false" outlineLevel="0" collapsed="false">
      <c r="A16572" s="6" t="n">
        <f aca="false">DATE(2026,5,3)</f>
        <v>46145</v>
      </c>
      <c r="B16572" s="4" t="s">
        <v>5435</v>
      </c>
      <c r="C16572" s="4" t="n">
        <v>9</v>
      </c>
      <c r="D16572" s="4" t="n">
        <v>3</v>
      </c>
      <c r="E16572" s="4" t="s">
        <v>6136</v>
      </c>
      <c r="F16572" s="4" t="n">
        <v>39</v>
      </c>
      <c r="G16572" s="4" t="n">
        <v>4</v>
      </c>
      <c r="H16572" s="4" t="n">
        <v>3</v>
      </c>
      <c r="I16572" s="4" t="str">
        <v>○</v>
      </c>
      <c r="J16572" s="4" t="n">
        <v>160</v>
      </c>
      <c r="K16572" s="4"/>
      <c r="L16572" s="4"/>
      <c r="M16572" s="7" t="s">
        <v>6871</v>
      </c>
    </row>
    <row r="16573" customFormat="false" ht="15.75" hidden="false" customHeight="false" outlineLevel="0" collapsed="false">
      <c r="A16573" s="6" t="n">
        <f aca="false">DATE(2026,5,3)</f>
        <v>46145</v>
      </c>
      <c r="B16573" s="4" t="s">
        <v>5435</v>
      </c>
      <c r="C16573" s="4" t="n">
        <v>9</v>
      </c>
      <c r="D16573" s="4" t="n">
        <v>4</v>
      </c>
      <c r="E16573" s="4" t="s">
        <v>4646</v>
      </c>
      <c r="F16573" s="4" t="n">
        <v>10</v>
      </c>
      <c r="G16573" s="4" t="n">
        <v>6</v>
      </c>
      <c r="H16573" s="4" t="n">
        <v>4</v>
      </c>
      <c r="I16573" s="4" t="str">
        <v>×</v>
      </c>
      <c r="J16573" s="4"/>
      <c r="K16573" s="4"/>
      <c r="L16573" s="4"/>
      <c r="M16573" s="7" t="s">
        <v>6871</v>
      </c>
    </row>
    <row r="16574" customFormat="false" ht="15.75" hidden="false" customHeight="false" outlineLevel="0" collapsed="false">
      <c r="A16574" s="6" t="n">
        <f aca="false">DATE(2026,5,3)</f>
        <v>46145</v>
      </c>
      <c r="B16574" s="4" t="s">
        <v>5435</v>
      </c>
      <c r="C16574" s="4" t="n">
        <v>9</v>
      </c>
      <c r="D16574" s="4" t="n">
        <v>5</v>
      </c>
      <c r="E16574" s="4" t="s">
        <v>3481</v>
      </c>
      <c r="F16574" s="4" t="n">
        <v>41</v>
      </c>
      <c r="G16574" s="4" t="n">
        <v>3</v>
      </c>
      <c r="H16574" s="4" t="n">
        <v>4</v>
      </c>
      <c r="I16574" s="4" t="str">
        <v>×</v>
      </c>
      <c r="J16574" s="4"/>
      <c r="K16574" s="4"/>
      <c r="L16574" s="4"/>
      <c r="M16574" s="7" t="s">
        <v>6871</v>
      </c>
    </row>
    <row r="16575" customFormat="false" ht="15.75" hidden="false" customHeight="false" outlineLevel="0" collapsed="false">
      <c r="A16575" s="6" t="n">
        <f aca="false">DATE(2026,5,3)</f>
        <v>46145</v>
      </c>
      <c r="B16575" s="4" t="s">
        <v>5435</v>
      </c>
      <c r="C16575" s="4" t="n">
        <v>9</v>
      </c>
      <c r="D16575" s="4" t="n">
        <v>6</v>
      </c>
      <c r="E16575" s="4" t="s">
        <v>1687</v>
      </c>
      <c r="F16575" s="4" t="n">
        <v>47</v>
      </c>
      <c r="G16575" s="4" t="n">
        <v>2</v>
      </c>
      <c r="H16575" s="4" t="n">
        <v>1</v>
      </c>
      <c r="I16575" s="4" t="str">
        <v>○</v>
      </c>
      <c r="J16575" s="4" t="n">
        <v>110</v>
      </c>
      <c r="K16575" s="4"/>
      <c r="L16575" s="4"/>
      <c r="M16575" s="7" t="s">
        <v>6871</v>
      </c>
    </row>
    <row r="16576" customFormat="false" ht="15.75" hidden="false" customHeight="false" outlineLevel="0" collapsed="false">
      <c r="A16576" s="6" t="n">
        <f aca="false">DATE(2026,5,3)</f>
        <v>46145</v>
      </c>
      <c r="B16576" s="4" t="s">
        <v>5435</v>
      </c>
      <c r="C16576" s="4" t="n">
        <v>9</v>
      </c>
      <c r="D16576" s="4" t="n">
        <v>7</v>
      </c>
      <c r="E16576" s="4" t="s">
        <v>6430</v>
      </c>
      <c r="F16576" s="4" t="n">
        <v>8</v>
      </c>
      <c r="G16576" s="4" t="n">
        <v>9</v>
      </c>
      <c r="H16576" s="4" t="n">
        <v>4</v>
      </c>
      <c r="I16576" s="4" t="str">
        <v>×</v>
      </c>
      <c r="J16576" s="4"/>
      <c r="K16576" s="4"/>
      <c r="L16576" s="4"/>
      <c r="M16576" s="7" t="s">
        <v>6871</v>
      </c>
    </row>
    <row r="16577" customFormat="false" ht="15.75" hidden="false" customHeight="false" outlineLevel="0" collapsed="false">
      <c r="A16577" s="6" t="n">
        <f aca="false">DATE(2026,5,3)</f>
        <v>46145</v>
      </c>
      <c r="B16577" s="4" t="s">
        <v>5435</v>
      </c>
      <c r="C16577" s="4" t="n">
        <v>9</v>
      </c>
      <c r="D16577" s="4" t="n">
        <v>8</v>
      </c>
      <c r="E16577" s="4" t="s">
        <v>7399</v>
      </c>
      <c r="F16577" s="4" t="n">
        <v>81</v>
      </c>
      <c r="G16577" s="4" t="n">
        <v>1</v>
      </c>
      <c r="H16577" s="4" t="n">
        <v>2</v>
      </c>
      <c r="I16577" s="4" t="str">
        <v>○</v>
      </c>
      <c r="J16577" s="4" t="n">
        <v>100</v>
      </c>
      <c r="K16577" s="4"/>
      <c r="L16577" s="4"/>
      <c r="M16577" s="7" t="s">
        <v>6871</v>
      </c>
    </row>
    <row r="16578" customFormat="false" ht="15.75" hidden="false" customHeight="false" outlineLevel="0" collapsed="false">
      <c r="A16578" s="6" t="n">
        <f aca="false">DATE(2026,5,3)</f>
        <v>46145</v>
      </c>
      <c r="B16578" s="4" t="s">
        <v>5435</v>
      </c>
      <c r="C16578" s="4" t="n">
        <v>9</v>
      </c>
      <c r="D16578" s="4" t="n">
        <v>9</v>
      </c>
      <c r="E16578" s="4" t="s">
        <v>7400</v>
      </c>
      <c r="F16578" s="4" t="n">
        <v>10</v>
      </c>
      <c r="G16578" s="4" t="n">
        <v>7</v>
      </c>
      <c r="H16578" s="4" t="n">
        <v>4</v>
      </c>
      <c r="I16578" s="4" t="str">
        <v>×</v>
      </c>
      <c r="J16578" s="4"/>
      <c r="K16578" s="4"/>
      <c r="L16578" s="4"/>
      <c r="M16578" s="7" t="s">
        <v>6871</v>
      </c>
    </row>
    <row r="16579" customFormat="false" ht="15.75" hidden="false" customHeight="false" outlineLevel="0" collapsed="false">
      <c r="A16579" s="6" t="n">
        <f aca="false">DATE(2026,5,3)</f>
        <v>46145</v>
      </c>
      <c r="B16579" s="4" t="s">
        <v>5435</v>
      </c>
      <c r="C16579" s="4" t="n">
        <v>10</v>
      </c>
      <c r="D16579" s="4" t="n">
        <v>1</v>
      </c>
      <c r="E16579" s="4" t="s">
        <v>7401</v>
      </c>
      <c r="F16579" s="4" t="n">
        <v>17</v>
      </c>
      <c r="G16579" s="4" t="n">
        <v>9</v>
      </c>
      <c r="H16579" s="4" t="n">
        <v>4</v>
      </c>
      <c r="I16579" s="4" t="str">
        <v>×</v>
      </c>
      <c r="J16579" s="4"/>
      <c r="K16579" s="4"/>
      <c r="L16579" s="4"/>
      <c r="M16579" s="7" t="s">
        <v>6871</v>
      </c>
    </row>
    <row r="16580" customFormat="false" ht="15.75" hidden="false" customHeight="false" outlineLevel="0" collapsed="false">
      <c r="A16580" s="6" t="n">
        <f aca="false">DATE(2026,5,3)</f>
        <v>46145</v>
      </c>
      <c r="B16580" s="4" t="s">
        <v>5435</v>
      </c>
      <c r="C16580" s="4" t="n">
        <v>10</v>
      </c>
      <c r="D16580" s="4" t="n">
        <v>2</v>
      </c>
      <c r="E16580" s="4" t="s">
        <v>445</v>
      </c>
      <c r="F16580" s="4" t="n">
        <v>47</v>
      </c>
      <c r="G16580" s="4" t="n">
        <v>2</v>
      </c>
      <c r="H16580" s="4" t="n">
        <v>2</v>
      </c>
      <c r="I16580" s="4" t="str">
        <v>○</v>
      </c>
      <c r="J16580" s="4" t="n">
        <v>240</v>
      </c>
      <c r="K16580" s="4"/>
      <c r="L16580" s="4"/>
      <c r="M16580" s="7" t="s">
        <v>6871</v>
      </c>
    </row>
    <row r="16581" customFormat="false" ht="15.75" hidden="false" customHeight="false" outlineLevel="0" collapsed="false">
      <c r="A16581" s="6" t="n">
        <f aca="false">DATE(2026,5,3)</f>
        <v>46145</v>
      </c>
      <c r="B16581" s="4" t="s">
        <v>5435</v>
      </c>
      <c r="C16581" s="4" t="n">
        <v>10</v>
      </c>
      <c r="D16581" s="4" t="n">
        <v>3</v>
      </c>
      <c r="E16581" s="4" t="s">
        <v>5116</v>
      </c>
      <c r="F16581" s="4" t="n">
        <v>50</v>
      </c>
      <c r="G16581" s="4" t="n">
        <v>1</v>
      </c>
      <c r="H16581" s="4" t="n">
        <v>1</v>
      </c>
      <c r="I16581" s="4" t="str">
        <v>○</v>
      </c>
      <c r="J16581" s="4" t="n">
        <v>150</v>
      </c>
      <c r="K16581" s="4"/>
      <c r="L16581" s="4"/>
      <c r="M16581" s="7" t="s">
        <v>6871</v>
      </c>
    </row>
    <row r="16582" customFormat="false" ht="15.75" hidden="false" customHeight="false" outlineLevel="0" collapsed="false">
      <c r="A16582" s="6" t="n">
        <f aca="false">DATE(2026,5,3)</f>
        <v>46145</v>
      </c>
      <c r="B16582" s="4" t="s">
        <v>5435</v>
      </c>
      <c r="C16582" s="4" t="n">
        <v>10</v>
      </c>
      <c r="D16582" s="4" t="n">
        <v>4</v>
      </c>
      <c r="E16582" s="4" t="s">
        <v>5629</v>
      </c>
      <c r="F16582" s="4" t="n">
        <v>41</v>
      </c>
      <c r="G16582" s="4" t="n">
        <v>4</v>
      </c>
      <c r="H16582" s="4" t="n">
        <v>3</v>
      </c>
      <c r="I16582" s="4" t="str">
        <v>○</v>
      </c>
      <c r="J16582" s="4" t="n">
        <v>170</v>
      </c>
      <c r="K16582" s="4"/>
      <c r="L16582" s="4"/>
      <c r="M16582" s="7" t="s">
        <v>6871</v>
      </c>
    </row>
    <row r="16583" customFormat="false" ht="15.75" hidden="false" customHeight="false" outlineLevel="0" collapsed="false">
      <c r="A16583" s="6" t="n">
        <f aca="false">DATE(2026,5,3)</f>
        <v>46145</v>
      </c>
      <c r="B16583" s="4" t="s">
        <v>5435</v>
      </c>
      <c r="C16583" s="4" t="n">
        <v>10</v>
      </c>
      <c r="D16583" s="4" t="n">
        <v>5</v>
      </c>
      <c r="E16583" s="4" t="s">
        <v>7402</v>
      </c>
      <c r="F16583" s="4" t="n">
        <v>20</v>
      </c>
      <c r="G16583" s="4" t="n">
        <v>8</v>
      </c>
      <c r="H16583" s="4" t="n">
        <v>4</v>
      </c>
      <c r="I16583" s="4" t="str">
        <v>×</v>
      </c>
      <c r="J16583" s="4"/>
      <c r="K16583" s="4"/>
      <c r="L16583" s="4"/>
      <c r="M16583" s="7" t="s">
        <v>6871</v>
      </c>
    </row>
    <row r="16584" customFormat="false" ht="15.75" hidden="false" customHeight="false" outlineLevel="0" collapsed="false">
      <c r="A16584" s="6" t="n">
        <f aca="false">DATE(2026,5,3)</f>
        <v>46145</v>
      </c>
      <c r="B16584" s="4" t="s">
        <v>5435</v>
      </c>
      <c r="C16584" s="4" t="n">
        <v>10</v>
      </c>
      <c r="D16584" s="4" t="n">
        <v>6</v>
      </c>
      <c r="E16584" s="4" t="s">
        <v>1214</v>
      </c>
      <c r="F16584" s="4" t="n">
        <v>3</v>
      </c>
      <c r="G16584" s="4" t="n">
        <v>18</v>
      </c>
      <c r="H16584" s="4" t="n">
        <v>4</v>
      </c>
      <c r="I16584" s="4" t="str">
        <v>×</v>
      </c>
      <c r="J16584" s="4"/>
      <c r="K16584" s="4"/>
      <c r="L16584" s="4"/>
      <c r="M16584" s="7" t="s">
        <v>6871</v>
      </c>
    </row>
    <row r="16585" customFormat="false" ht="15.75" hidden="false" customHeight="false" outlineLevel="0" collapsed="false">
      <c r="A16585" s="6" t="n">
        <f aca="false">DATE(2026,5,3)</f>
        <v>46145</v>
      </c>
      <c r="B16585" s="4" t="s">
        <v>5435</v>
      </c>
      <c r="C16585" s="4" t="n">
        <v>10</v>
      </c>
      <c r="D16585" s="4" t="n">
        <v>7</v>
      </c>
      <c r="E16585" s="4" t="s">
        <v>7403</v>
      </c>
      <c r="F16585" s="4" t="n">
        <v>13</v>
      </c>
      <c r="G16585" s="4" t="n">
        <v>10</v>
      </c>
      <c r="H16585" s="4" t="n">
        <v>4</v>
      </c>
      <c r="I16585" s="4" t="str">
        <v>×</v>
      </c>
      <c r="J16585" s="4"/>
      <c r="K16585" s="4"/>
      <c r="L16585" s="4"/>
      <c r="M16585" s="7" t="s">
        <v>6871</v>
      </c>
    </row>
    <row r="16586" customFormat="false" ht="15.75" hidden="false" customHeight="false" outlineLevel="0" collapsed="false">
      <c r="A16586" s="6" t="n">
        <f aca="false">DATE(2026,5,3)</f>
        <v>46145</v>
      </c>
      <c r="B16586" s="4" t="s">
        <v>5435</v>
      </c>
      <c r="C16586" s="4" t="n">
        <v>10</v>
      </c>
      <c r="D16586" s="4" t="n">
        <v>8</v>
      </c>
      <c r="E16586" s="4" t="s">
        <v>2979</v>
      </c>
      <c r="F16586" s="4" t="n">
        <v>13</v>
      </c>
      <c r="G16586" s="4" t="n">
        <v>11</v>
      </c>
      <c r="H16586" s="4" t="n">
        <v>4</v>
      </c>
      <c r="I16586" s="4" t="str">
        <v>×</v>
      </c>
      <c r="J16586" s="4"/>
      <c r="K16586" s="4"/>
      <c r="L16586" s="4"/>
      <c r="M16586" s="7" t="s">
        <v>6871</v>
      </c>
    </row>
    <row r="16587" customFormat="false" ht="15.75" hidden="false" customHeight="false" outlineLevel="0" collapsed="false">
      <c r="A16587" s="6" t="n">
        <f aca="false">DATE(2026,5,3)</f>
        <v>46145</v>
      </c>
      <c r="B16587" s="4" t="s">
        <v>5435</v>
      </c>
      <c r="C16587" s="4" t="n">
        <v>10</v>
      </c>
      <c r="D16587" s="4" t="n">
        <v>9</v>
      </c>
      <c r="E16587" s="4" t="s">
        <v>1215</v>
      </c>
      <c r="F16587" s="4" t="n">
        <v>47</v>
      </c>
      <c r="G16587" s="4" t="n">
        <v>3</v>
      </c>
      <c r="H16587" s="4" t="n">
        <v>4</v>
      </c>
      <c r="I16587" s="4" t="str">
        <v>×</v>
      </c>
      <c r="J16587" s="4"/>
      <c r="K16587" s="4"/>
      <c r="L16587" s="4"/>
      <c r="M16587" s="7" t="s">
        <v>6871</v>
      </c>
    </row>
    <row r="16588" customFormat="false" ht="15.75" hidden="false" customHeight="false" outlineLevel="0" collapsed="false">
      <c r="A16588" s="6" t="n">
        <f aca="false">DATE(2026,5,3)</f>
        <v>46145</v>
      </c>
      <c r="B16588" s="4" t="s">
        <v>5435</v>
      </c>
      <c r="C16588" s="4" t="n">
        <v>10</v>
      </c>
      <c r="D16588" s="4" t="n">
        <v>10</v>
      </c>
      <c r="E16588" s="4" t="s">
        <v>7404</v>
      </c>
      <c r="F16588" s="4" t="n">
        <v>6</v>
      </c>
      <c r="G16588" s="4" t="n">
        <v>14</v>
      </c>
      <c r="H16588" s="4" t="n">
        <v>4</v>
      </c>
      <c r="I16588" s="4" t="str">
        <v>×</v>
      </c>
      <c r="J16588" s="4"/>
      <c r="K16588" s="4"/>
      <c r="L16588" s="4"/>
      <c r="M16588" s="7" t="s">
        <v>6871</v>
      </c>
    </row>
    <row r="16589" customFormat="false" ht="15.75" hidden="false" customHeight="false" outlineLevel="0" collapsed="false">
      <c r="A16589" s="6" t="n">
        <f aca="false">DATE(2026,5,3)</f>
        <v>46145</v>
      </c>
      <c r="B16589" s="4" t="s">
        <v>5435</v>
      </c>
      <c r="C16589" s="4" t="n">
        <v>10</v>
      </c>
      <c r="D16589" s="4" t="n">
        <v>11</v>
      </c>
      <c r="E16589" s="4" t="s">
        <v>1217</v>
      </c>
      <c r="F16589" s="4" t="n">
        <v>10</v>
      </c>
      <c r="G16589" s="4" t="n">
        <v>13</v>
      </c>
      <c r="H16589" s="4" t="n">
        <v>4</v>
      </c>
      <c r="I16589" s="4" t="str">
        <v>×</v>
      </c>
      <c r="J16589" s="4"/>
      <c r="K16589" s="4"/>
      <c r="L16589" s="4"/>
      <c r="M16589" s="7" t="s">
        <v>6871</v>
      </c>
    </row>
    <row r="16590" customFormat="false" ht="15.75" hidden="false" customHeight="false" outlineLevel="0" collapsed="false">
      <c r="A16590" s="6" t="n">
        <f aca="false">DATE(2026,5,3)</f>
        <v>46145</v>
      </c>
      <c r="B16590" s="4" t="s">
        <v>5435</v>
      </c>
      <c r="C16590" s="4" t="n">
        <v>10</v>
      </c>
      <c r="D16590" s="4" t="n">
        <v>12</v>
      </c>
      <c r="E16590" s="4" t="s">
        <v>7405</v>
      </c>
      <c r="F16590" s="4" t="n">
        <v>4</v>
      </c>
      <c r="G16590" s="4" t="n">
        <v>15</v>
      </c>
      <c r="H16590" s="4" t="n">
        <v>4</v>
      </c>
      <c r="I16590" s="4" t="str">
        <v>×</v>
      </c>
      <c r="J16590" s="4"/>
      <c r="K16590" s="4"/>
      <c r="L16590" s="4"/>
      <c r="M16590" s="7" t="s">
        <v>6871</v>
      </c>
    </row>
    <row r="16591" customFormat="false" ht="15.75" hidden="false" customHeight="false" outlineLevel="0" collapsed="false">
      <c r="A16591" s="6" t="n">
        <f aca="false">DATE(2026,5,3)</f>
        <v>46145</v>
      </c>
      <c r="B16591" s="4" t="s">
        <v>5435</v>
      </c>
      <c r="C16591" s="4" t="n">
        <v>10</v>
      </c>
      <c r="D16591" s="4" t="n">
        <v>13</v>
      </c>
      <c r="E16591" s="4" t="s">
        <v>7406</v>
      </c>
      <c r="F16591" s="4" t="n">
        <v>4</v>
      </c>
      <c r="G16591" s="4" t="n">
        <v>16</v>
      </c>
      <c r="H16591" s="4" t="n">
        <v>4</v>
      </c>
      <c r="I16591" s="4" t="str">
        <v>×</v>
      </c>
      <c r="J16591" s="4"/>
      <c r="K16591" s="4"/>
      <c r="L16591" s="4"/>
      <c r="M16591" s="7" t="s">
        <v>6871</v>
      </c>
    </row>
    <row r="16592" customFormat="false" ht="15.75" hidden="false" customHeight="false" outlineLevel="0" collapsed="false">
      <c r="A16592" s="6" t="n">
        <f aca="false">DATE(2026,5,3)</f>
        <v>46145</v>
      </c>
      <c r="B16592" s="4" t="s">
        <v>5435</v>
      </c>
      <c r="C16592" s="4" t="n">
        <v>10</v>
      </c>
      <c r="D16592" s="4" t="n">
        <v>14</v>
      </c>
      <c r="E16592" s="4" t="s">
        <v>443</v>
      </c>
      <c r="F16592" s="4" t="n">
        <v>13</v>
      </c>
      <c r="G16592" s="4" t="n">
        <v>12</v>
      </c>
      <c r="H16592" s="4" t="n">
        <v>4</v>
      </c>
      <c r="I16592" s="4" t="str">
        <v>×</v>
      </c>
      <c r="J16592" s="4"/>
      <c r="K16592" s="4"/>
      <c r="L16592" s="4"/>
      <c r="M16592" s="7" t="s">
        <v>6871</v>
      </c>
    </row>
    <row r="16593" customFormat="false" ht="15.75" hidden="false" customHeight="false" outlineLevel="0" collapsed="false">
      <c r="A16593" s="6" t="n">
        <f aca="false">DATE(2026,5,3)</f>
        <v>46145</v>
      </c>
      <c r="B16593" s="4" t="s">
        <v>5435</v>
      </c>
      <c r="C16593" s="4" t="n">
        <v>10</v>
      </c>
      <c r="D16593" s="4" t="n">
        <v>15</v>
      </c>
      <c r="E16593" s="4" t="s">
        <v>1212</v>
      </c>
      <c r="F16593" s="4" t="n">
        <v>23</v>
      </c>
      <c r="G16593" s="4" t="n">
        <v>5</v>
      </c>
      <c r="H16593" s="4" t="n">
        <v>4</v>
      </c>
      <c r="I16593" s="4" t="str">
        <v>×</v>
      </c>
      <c r="J16593" s="4"/>
      <c r="K16593" s="4"/>
      <c r="L16593" s="4"/>
      <c r="M16593" s="7" t="s">
        <v>6871</v>
      </c>
    </row>
    <row r="16594" customFormat="false" ht="15.75" hidden="false" customHeight="false" outlineLevel="0" collapsed="false">
      <c r="A16594" s="6" t="n">
        <f aca="false">DATE(2026,5,3)</f>
        <v>46145</v>
      </c>
      <c r="B16594" s="4" t="s">
        <v>5435</v>
      </c>
      <c r="C16594" s="4" t="n">
        <v>10</v>
      </c>
      <c r="D16594" s="4" t="n">
        <v>16</v>
      </c>
      <c r="E16594" s="4" t="s">
        <v>6157</v>
      </c>
      <c r="F16594" s="4" t="n">
        <v>23</v>
      </c>
      <c r="G16594" s="4" t="n">
        <v>6</v>
      </c>
      <c r="H16594" s="4" t="n">
        <v>4</v>
      </c>
      <c r="I16594" s="4" t="str">
        <v>×</v>
      </c>
      <c r="J16594" s="4"/>
      <c r="K16594" s="4"/>
      <c r="L16594" s="4"/>
      <c r="M16594" s="7" t="s">
        <v>6871</v>
      </c>
    </row>
    <row r="16595" customFormat="false" ht="15.75" hidden="false" customHeight="false" outlineLevel="0" collapsed="false">
      <c r="A16595" s="6" t="n">
        <f aca="false">DATE(2026,5,3)</f>
        <v>46145</v>
      </c>
      <c r="B16595" s="4" t="s">
        <v>5435</v>
      </c>
      <c r="C16595" s="4" t="n">
        <v>10</v>
      </c>
      <c r="D16595" s="4" t="n">
        <v>17</v>
      </c>
      <c r="E16595" s="4" t="s">
        <v>4262</v>
      </c>
      <c r="F16595" s="4" t="n">
        <v>23</v>
      </c>
      <c r="G16595" s="4" t="n">
        <v>7</v>
      </c>
      <c r="H16595" s="4" t="n">
        <v>4</v>
      </c>
      <c r="I16595" s="4" t="str">
        <v>×</v>
      </c>
      <c r="J16595" s="4"/>
      <c r="K16595" s="4"/>
      <c r="L16595" s="4"/>
      <c r="M16595" s="7" t="s">
        <v>6871</v>
      </c>
    </row>
    <row r="16596" customFormat="false" ht="15.75" hidden="false" customHeight="false" outlineLevel="0" collapsed="false">
      <c r="A16596" s="6" t="n">
        <f aca="false">DATE(2026,5,3)</f>
        <v>46145</v>
      </c>
      <c r="B16596" s="4" t="s">
        <v>5435</v>
      </c>
      <c r="C16596" s="4" t="n">
        <v>10</v>
      </c>
      <c r="D16596" s="4" t="n">
        <v>18</v>
      </c>
      <c r="E16596" s="4" t="s">
        <v>7407</v>
      </c>
      <c r="F16596" s="4" t="n">
        <v>4</v>
      </c>
      <c r="G16596" s="4" t="n">
        <v>17</v>
      </c>
      <c r="H16596" s="4" t="n">
        <v>4</v>
      </c>
      <c r="I16596" s="4" t="str">
        <v>×</v>
      </c>
      <c r="J16596" s="4"/>
      <c r="K16596" s="4"/>
      <c r="L16596" s="4"/>
      <c r="M16596" s="7" t="s">
        <v>6871</v>
      </c>
    </row>
    <row r="16597" customFormat="false" ht="15.75" hidden="false" customHeight="false" outlineLevel="0" collapsed="false">
      <c r="A16597" s="6" t="n">
        <f aca="false">DATE(2026,5,3)</f>
        <v>46145</v>
      </c>
      <c r="B16597" s="4" t="s">
        <v>5435</v>
      </c>
      <c r="C16597" s="4" t="n">
        <v>11</v>
      </c>
      <c r="D16597" s="4" t="n">
        <v>1</v>
      </c>
      <c r="E16597" s="4" t="s">
        <v>6082</v>
      </c>
      <c r="F16597" s="4" t="n">
        <v>4</v>
      </c>
      <c r="G16597" s="4" t="n">
        <v>10</v>
      </c>
      <c r="H16597" s="4" t="n">
        <v>4</v>
      </c>
      <c r="I16597" s="4" t="str">
        <v>×</v>
      </c>
      <c r="J16597" s="4"/>
      <c r="K16597" s="4"/>
      <c r="L16597" s="4"/>
      <c r="M16597" s="7" t="s">
        <v>6871</v>
      </c>
    </row>
    <row r="16598" customFormat="false" ht="15.75" hidden="false" customHeight="false" outlineLevel="0" collapsed="false">
      <c r="A16598" s="6" t="n">
        <f aca="false">DATE(2026,5,3)</f>
        <v>46145</v>
      </c>
      <c r="B16598" s="4" t="s">
        <v>5435</v>
      </c>
      <c r="C16598" s="4" t="n">
        <v>11</v>
      </c>
      <c r="D16598" s="4" t="n">
        <v>2</v>
      </c>
      <c r="E16598" s="4" t="s">
        <v>7408</v>
      </c>
      <c r="F16598" s="4" t="n">
        <v>10</v>
      </c>
      <c r="G16598" s="4" t="n">
        <v>9</v>
      </c>
      <c r="H16598" s="4" t="n">
        <v>4</v>
      </c>
      <c r="I16598" s="4" t="str">
        <v>×</v>
      </c>
      <c r="J16598" s="4"/>
      <c r="K16598" s="4"/>
      <c r="L16598" s="4"/>
      <c r="M16598" s="7" t="s">
        <v>6871</v>
      </c>
    </row>
    <row r="16599" customFormat="false" ht="15.75" hidden="false" customHeight="false" outlineLevel="0" collapsed="false">
      <c r="A16599" s="6" t="n">
        <f aca="false">DATE(2026,5,3)</f>
        <v>46145</v>
      </c>
      <c r="B16599" s="4" t="s">
        <v>5435</v>
      </c>
      <c r="C16599" s="4" t="n">
        <v>11</v>
      </c>
      <c r="D16599" s="4" t="n">
        <v>3</v>
      </c>
      <c r="E16599" s="4" t="s">
        <v>6869</v>
      </c>
      <c r="F16599" s="4" t="n">
        <v>66</v>
      </c>
      <c r="G16599" s="4" t="n">
        <v>1</v>
      </c>
      <c r="H16599" s="4" t="n">
        <v>3</v>
      </c>
      <c r="I16599" s="4" t="str">
        <v>○</v>
      </c>
      <c r="J16599" s="4" t="n">
        <v>120</v>
      </c>
      <c r="K16599" s="4"/>
      <c r="L16599" s="4"/>
      <c r="M16599" s="7" t="s">
        <v>6871</v>
      </c>
    </row>
    <row r="16600" customFormat="false" ht="15.75" hidden="false" customHeight="false" outlineLevel="0" collapsed="false">
      <c r="A16600" s="6" t="n">
        <f aca="false">DATE(2026,5,3)</f>
        <v>46145</v>
      </c>
      <c r="B16600" s="4" t="s">
        <v>5435</v>
      </c>
      <c r="C16600" s="4" t="n">
        <v>11</v>
      </c>
      <c r="D16600" s="4" t="n">
        <v>4</v>
      </c>
      <c r="E16600" s="4" t="s">
        <v>7409</v>
      </c>
      <c r="F16600" s="4" t="n">
        <v>31</v>
      </c>
      <c r="G16600" s="4" t="n">
        <v>3</v>
      </c>
      <c r="H16600" s="4" t="n">
        <v>4</v>
      </c>
      <c r="I16600" s="4" t="str">
        <v>×</v>
      </c>
      <c r="J16600" s="4"/>
      <c r="K16600" s="4"/>
      <c r="L16600" s="4"/>
      <c r="M16600" s="7" t="s">
        <v>6871</v>
      </c>
    </row>
    <row r="16601" customFormat="false" ht="15.75" hidden="false" customHeight="false" outlineLevel="0" collapsed="false">
      <c r="A16601" s="6" t="n">
        <f aca="false">DATE(2026,5,3)</f>
        <v>46145</v>
      </c>
      <c r="B16601" s="4" t="s">
        <v>5435</v>
      </c>
      <c r="C16601" s="4" t="n">
        <v>11</v>
      </c>
      <c r="D16601" s="4" t="n">
        <v>5</v>
      </c>
      <c r="E16601" s="4" t="s">
        <v>7410</v>
      </c>
      <c r="F16601" s="4" t="n">
        <v>1</v>
      </c>
      <c r="G16601" s="4" t="n">
        <v>14</v>
      </c>
      <c r="H16601" s="4" t="n">
        <v>4</v>
      </c>
      <c r="I16601" s="4" t="str">
        <v>×</v>
      </c>
      <c r="J16601" s="4"/>
      <c r="K16601" s="4"/>
      <c r="L16601" s="4"/>
      <c r="M16601" s="7" t="s">
        <v>6871</v>
      </c>
    </row>
    <row r="16602" customFormat="false" ht="15.75" hidden="false" customHeight="false" outlineLevel="0" collapsed="false">
      <c r="A16602" s="6" t="n">
        <f aca="false">DATE(2026,5,3)</f>
        <v>46145</v>
      </c>
      <c r="B16602" s="4" t="s">
        <v>5435</v>
      </c>
      <c r="C16602" s="4" t="n">
        <v>11</v>
      </c>
      <c r="D16602" s="4" t="n">
        <v>6</v>
      </c>
      <c r="E16602" s="4" t="s">
        <v>1695</v>
      </c>
      <c r="F16602" s="4" t="n">
        <v>15</v>
      </c>
      <c r="G16602" s="4" t="n">
        <v>7</v>
      </c>
      <c r="H16602" s="4" t="n">
        <v>4</v>
      </c>
      <c r="I16602" s="4" t="str">
        <v>×</v>
      </c>
      <c r="J16602" s="4"/>
      <c r="K16602" s="4"/>
      <c r="L16602" s="4"/>
      <c r="M16602" s="7" t="s">
        <v>6871</v>
      </c>
    </row>
    <row r="16603" customFormat="false" ht="15.75" hidden="false" customHeight="false" outlineLevel="0" collapsed="false">
      <c r="A16603" s="6" t="n">
        <f aca="false">DATE(2026,5,3)</f>
        <v>46145</v>
      </c>
      <c r="B16603" s="4" t="s">
        <v>5435</v>
      </c>
      <c r="C16603" s="4" t="n">
        <v>11</v>
      </c>
      <c r="D16603" s="4" t="n">
        <v>7</v>
      </c>
      <c r="E16603" s="4" t="s">
        <v>5303</v>
      </c>
      <c r="F16603" s="4" t="n">
        <v>58</v>
      </c>
      <c r="G16603" s="4" t="n">
        <v>2</v>
      </c>
      <c r="H16603" s="4" t="n">
        <v>1</v>
      </c>
      <c r="I16603" s="4" t="str">
        <v>○</v>
      </c>
      <c r="J16603" s="4" t="n">
        <v>110</v>
      </c>
      <c r="K16603" s="4"/>
      <c r="L16603" s="4"/>
      <c r="M16603" s="7" t="s">
        <v>6871</v>
      </c>
    </row>
    <row r="16604" customFormat="false" ht="15.75" hidden="false" customHeight="false" outlineLevel="0" collapsed="false">
      <c r="A16604" s="6" t="n">
        <f aca="false">DATE(2026,5,3)</f>
        <v>46145</v>
      </c>
      <c r="B16604" s="4" t="s">
        <v>5435</v>
      </c>
      <c r="C16604" s="4" t="n">
        <v>11</v>
      </c>
      <c r="D16604" s="4" t="n">
        <v>8</v>
      </c>
      <c r="E16604" s="4" t="s">
        <v>5309</v>
      </c>
      <c r="F16604" s="4" t="n">
        <v>17</v>
      </c>
      <c r="G16604" s="4" t="n">
        <v>6</v>
      </c>
      <c r="H16604" s="4" t="n">
        <v>4</v>
      </c>
      <c r="I16604" s="4" t="str">
        <v>×</v>
      </c>
      <c r="J16604" s="4"/>
      <c r="K16604" s="4"/>
      <c r="L16604" s="4"/>
      <c r="M16604" s="7" t="s">
        <v>6871</v>
      </c>
    </row>
    <row r="16605" customFormat="false" ht="15.75" hidden="false" customHeight="false" outlineLevel="0" collapsed="false">
      <c r="A16605" s="6" t="n">
        <f aca="false">DATE(2026,5,3)</f>
        <v>46145</v>
      </c>
      <c r="B16605" s="4" t="s">
        <v>5435</v>
      </c>
      <c r="C16605" s="4" t="n">
        <v>11</v>
      </c>
      <c r="D16605" s="4" t="n">
        <v>9</v>
      </c>
      <c r="E16605" s="4" t="s">
        <v>7411</v>
      </c>
      <c r="F16605" s="4" t="n">
        <v>2</v>
      </c>
      <c r="G16605" s="4" t="n">
        <v>12</v>
      </c>
      <c r="H16605" s="4" t="n">
        <v>4</v>
      </c>
      <c r="I16605" s="4" t="str">
        <v>×</v>
      </c>
      <c r="J16605" s="4"/>
      <c r="K16605" s="4"/>
      <c r="L16605" s="4"/>
      <c r="M16605" s="7" t="s">
        <v>6871</v>
      </c>
    </row>
    <row r="16606" customFormat="false" ht="15.75" hidden="false" customHeight="false" outlineLevel="0" collapsed="false">
      <c r="A16606" s="6" t="n">
        <f aca="false">DATE(2026,5,3)</f>
        <v>46145</v>
      </c>
      <c r="B16606" s="4" t="s">
        <v>5435</v>
      </c>
      <c r="C16606" s="4" t="n">
        <v>11</v>
      </c>
      <c r="D16606" s="4" t="n">
        <v>10</v>
      </c>
      <c r="E16606" s="4" t="s">
        <v>7412</v>
      </c>
      <c r="F16606" s="4" t="n">
        <v>2</v>
      </c>
      <c r="G16606" s="4" t="n">
        <v>13</v>
      </c>
      <c r="H16606" s="4" t="n">
        <v>4</v>
      </c>
      <c r="I16606" s="4" t="str">
        <v>×</v>
      </c>
      <c r="J16606" s="4"/>
      <c r="K16606" s="4"/>
      <c r="L16606" s="4"/>
      <c r="M16606" s="7" t="s">
        <v>6871</v>
      </c>
    </row>
    <row r="16607" customFormat="false" ht="15.75" hidden="false" customHeight="false" outlineLevel="0" collapsed="false">
      <c r="A16607" s="6" t="n">
        <f aca="false">DATE(2026,5,3)</f>
        <v>46145</v>
      </c>
      <c r="B16607" s="4" t="s">
        <v>5435</v>
      </c>
      <c r="C16607" s="4" t="n">
        <v>11</v>
      </c>
      <c r="D16607" s="4" t="n">
        <v>11</v>
      </c>
      <c r="E16607" s="4" t="s">
        <v>7413</v>
      </c>
      <c r="F16607" s="4" t="n">
        <v>25</v>
      </c>
      <c r="G16607" s="4" t="n">
        <v>5</v>
      </c>
      <c r="H16607" s="4" t="n">
        <v>4</v>
      </c>
      <c r="I16607" s="4" t="str">
        <v>×</v>
      </c>
      <c r="J16607" s="4"/>
      <c r="K16607" s="4"/>
      <c r="L16607" s="4"/>
      <c r="M16607" s="7" t="s">
        <v>6871</v>
      </c>
    </row>
    <row r="16608" customFormat="false" ht="15.75" hidden="false" customHeight="false" outlineLevel="0" collapsed="false">
      <c r="A16608" s="6" t="n">
        <f aca="false">DATE(2026,5,3)</f>
        <v>46145</v>
      </c>
      <c r="B16608" s="4" t="s">
        <v>5435</v>
      </c>
      <c r="C16608" s="4" t="n">
        <v>11</v>
      </c>
      <c r="D16608" s="4" t="n">
        <v>12</v>
      </c>
      <c r="E16608" s="4" t="s">
        <v>7414</v>
      </c>
      <c r="F16608" s="4" t="n">
        <v>29</v>
      </c>
      <c r="G16608" s="4" t="n">
        <v>4</v>
      </c>
      <c r="H16608" s="4" t="n">
        <v>4</v>
      </c>
      <c r="I16608" s="4" t="str">
        <v>×</v>
      </c>
      <c r="J16608" s="4"/>
      <c r="K16608" s="4"/>
      <c r="L16608" s="4"/>
      <c r="M16608" s="7" t="s">
        <v>6871</v>
      </c>
    </row>
    <row r="16609" customFormat="false" ht="15.75" hidden="false" customHeight="false" outlineLevel="0" collapsed="false">
      <c r="A16609" s="6" t="n">
        <f aca="false">DATE(2026,5,3)</f>
        <v>46145</v>
      </c>
      <c r="B16609" s="4" t="s">
        <v>5435</v>
      </c>
      <c r="C16609" s="4" t="n">
        <v>11</v>
      </c>
      <c r="D16609" s="4" t="n">
        <v>13</v>
      </c>
      <c r="E16609" s="4" t="s">
        <v>5315</v>
      </c>
      <c r="F16609" s="4" t="n">
        <v>1</v>
      </c>
      <c r="G16609" s="4" t="n">
        <v>15</v>
      </c>
      <c r="H16609" s="4" t="n">
        <v>4</v>
      </c>
      <c r="I16609" s="4" t="str">
        <v>×</v>
      </c>
      <c r="J16609" s="4"/>
      <c r="K16609" s="4"/>
      <c r="L16609" s="4"/>
      <c r="M16609" s="7" t="s">
        <v>6871</v>
      </c>
    </row>
    <row r="16610" customFormat="false" ht="15.75" hidden="false" customHeight="false" outlineLevel="0" collapsed="false">
      <c r="A16610" s="6" t="n">
        <f aca="false">DATE(2026,5,3)</f>
        <v>46145</v>
      </c>
      <c r="B16610" s="4" t="s">
        <v>5435</v>
      </c>
      <c r="C16610" s="4" t="n">
        <v>11</v>
      </c>
      <c r="D16610" s="4" t="n">
        <v>14</v>
      </c>
      <c r="E16610" s="4" t="s">
        <v>7415</v>
      </c>
      <c r="F16610" s="4" t="n">
        <v>15</v>
      </c>
      <c r="G16610" s="4" t="n">
        <v>8</v>
      </c>
      <c r="H16610" s="4" t="n">
        <v>4</v>
      </c>
      <c r="I16610" s="4" t="str">
        <v>×</v>
      </c>
      <c r="J16610" s="4"/>
      <c r="K16610" s="4"/>
      <c r="L16610" s="4"/>
      <c r="M16610" s="7" t="s">
        <v>6871</v>
      </c>
    </row>
    <row r="16611" customFormat="false" ht="15.75" hidden="false" customHeight="false" outlineLevel="0" collapsed="false">
      <c r="A16611" s="6" t="n">
        <f aca="false">DATE(2026,5,3)</f>
        <v>46145</v>
      </c>
      <c r="B16611" s="4" t="s">
        <v>5435</v>
      </c>
      <c r="C16611" s="4" t="n">
        <v>11</v>
      </c>
      <c r="D16611" s="4" t="n">
        <v>15</v>
      </c>
      <c r="E16611" s="4" t="s">
        <v>7416</v>
      </c>
      <c r="F16611" s="4" t="n">
        <v>3</v>
      </c>
      <c r="G16611" s="4" t="n">
        <v>11</v>
      </c>
      <c r="H16611" s="4" t="n">
        <v>2</v>
      </c>
      <c r="I16611" s="4" t="str">
        <v>○</v>
      </c>
      <c r="J16611" s="4" t="n">
        <v>940</v>
      </c>
      <c r="K16611" s="4"/>
      <c r="L16611" s="4"/>
      <c r="M16611" s="7" t="s">
        <v>6871</v>
      </c>
    </row>
    <row r="16612" customFormat="false" ht="15.75" hidden="false" customHeight="false" outlineLevel="0" collapsed="false">
      <c r="A16612" s="6" t="n">
        <f aca="false">DATE(2026,5,3)</f>
        <v>46145</v>
      </c>
      <c r="B16612" s="4" t="s">
        <v>5435</v>
      </c>
      <c r="C16612" s="4" t="n">
        <v>12</v>
      </c>
      <c r="D16612" s="4" t="n">
        <v>1</v>
      </c>
      <c r="E16612" s="4" t="s">
        <v>3623</v>
      </c>
      <c r="F16612" s="4" t="n">
        <v>13</v>
      </c>
      <c r="G16612" s="4" t="n">
        <v>10</v>
      </c>
      <c r="H16612" s="4" t="n">
        <v>4</v>
      </c>
      <c r="I16612" s="4" t="str">
        <v>×</v>
      </c>
      <c r="J16612" s="4"/>
      <c r="K16612" s="4"/>
      <c r="L16612" s="4"/>
      <c r="M16612" s="7" t="s">
        <v>6871</v>
      </c>
    </row>
    <row r="16613" customFormat="false" ht="15.75" hidden="false" customHeight="false" outlineLevel="0" collapsed="false">
      <c r="A16613" s="6" t="n">
        <f aca="false">DATE(2026,5,3)</f>
        <v>46145</v>
      </c>
      <c r="B16613" s="4" t="s">
        <v>5435</v>
      </c>
      <c r="C16613" s="4" t="n">
        <v>12</v>
      </c>
      <c r="D16613" s="4" t="n">
        <v>2</v>
      </c>
      <c r="E16613" s="4" t="s">
        <v>3765</v>
      </c>
      <c r="F16613" s="4" t="n">
        <v>15</v>
      </c>
      <c r="G16613" s="4" t="n">
        <v>9</v>
      </c>
      <c r="H16613" s="4" t="n">
        <v>4</v>
      </c>
      <c r="I16613" s="4" t="str">
        <v>×</v>
      </c>
      <c r="J16613" s="4"/>
      <c r="K16613" s="4"/>
      <c r="L16613" s="4"/>
      <c r="M16613" s="7" t="s">
        <v>6871</v>
      </c>
    </row>
    <row r="16614" customFormat="false" ht="15.75" hidden="false" customHeight="false" outlineLevel="0" collapsed="false">
      <c r="A16614" s="6" t="n">
        <f aca="false">DATE(2026,5,3)</f>
        <v>46145</v>
      </c>
      <c r="B16614" s="4" t="s">
        <v>5435</v>
      </c>
      <c r="C16614" s="4" t="n">
        <v>12</v>
      </c>
      <c r="D16614" s="4" t="n">
        <v>3</v>
      </c>
      <c r="E16614" s="4" t="s">
        <v>3633</v>
      </c>
      <c r="F16614" s="4" t="n">
        <v>4</v>
      </c>
      <c r="G16614" s="4" t="n">
        <v>14</v>
      </c>
      <c r="H16614" s="4" t="n">
        <v>4</v>
      </c>
      <c r="I16614" s="4" t="str">
        <v>×</v>
      </c>
      <c r="J16614" s="4"/>
      <c r="K16614" s="4"/>
      <c r="L16614" s="4"/>
      <c r="M16614" s="7" t="s">
        <v>6871</v>
      </c>
    </row>
    <row r="16615" customFormat="false" ht="15.75" hidden="false" customHeight="false" outlineLevel="0" collapsed="false">
      <c r="A16615" s="6" t="n">
        <f aca="false">DATE(2026,5,3)</f>
        <v>46145</v>
      </c>
      <c r="B16615" s="4" t="s">
        <v>5435</v>
      </c>
      <c r="C16615" s="4" t="n">
        <v>12</v>
      </c>
      <c r="D16615" s="4" t="n">
        <v>4</v>
      </c>
      <c r="E16615" s="4" t="s">
        <v>3632</v>
      </c>
      <c r="F16615" s="4" t="n">
        <v>20</v>
      </c>
      <c r="G16615" s="4" t="n">
        <v>8</v>
      </c>
      <c r="H16615" s="4" t="n">
        <v>4</v>
      </c>
      <c r="I16615" s="4" t="str">
        <v>×</v>
      </c>
      <c r="J16615" s="4"/>
      <c r="K16615" s="4"/>
      <c r="L16615" s="4"/>
      <c r="M16615" s="7" t="s">
        <v>6871</v>
      </c>
    </row>
    <row r="16616" customFormat="false" ht="15.75" hidden="false" customHeight="false" outlineLevel="0" collapsed="false">
      <c r="A16616" s="6" t="n">
        <f aca="false">DATE(2026,5,3)</f>
        <v>46145</v>
      </c>
      <c r="B16616" s="4" t="s">
        <v>5435</v>
      </c>
      <c r="C16616" s="4" t="n">
        <v>12</v>
      </c>
      <c r="D16616" s="4" t="n">
        <v>5</v>
      </c>
      <c r="E16616" s="4" t="s">
        <v>5712</v>
      </c>
      <c r="F16616" s="4" t="n">
        <v>37</v>
      </c>
      <c r="G16616" s="4" t="n">
        <v>2</v>
      </c>
      <c r="H16616" s="4" t="n">
        <v>4</v>
      </c>
      <c r="I16616" s="4" t="str">
        <v>×</v>
      </c>
      <c r="J16616" s="4"/>
      <c r="K16616" s="4"/>
      <c r="L16616" s="4"/>
      <c r="M16616" s="7" t="s">
        <v>6871</v>
      </c>
    </row>
    <row r="16617" customFormat="false" ht="15.75" hidden="false" customHeight="false" outlineLevel="0" collapsed="false">
      <c r="A16617" s="6" t="n">
        <f aca="false">DATE(2026,5,3)</f>
        <v>46145</v>
      </c>
      <c r="B16617" s="4" t="s">
        <v>5435</v>
      </c>
      <c r="C16617" s="4" t="n">
        <v>12</v>
      </c>
      <c r="D16617" s="4" t="n">
        <v>6</v>
      </c>
      <c r="E16617" s="4" t="s">
        <v>3631</v>
      </c>
      <c r="F16617" s="4" t="n">
        <v>50</v>
      </c>
      <c r="G16617" s="4" t="n">
        <v>1</v>
      </c>
      <c r="H16617" s="4" t="n">
        <v>4</v>
      </c>
      <c r="I16617" s="4" t="str">
        <v>×</v>
      </c>
      <c r="J16617" s="4"/>
      <c r="K16617" s="4"/>
      <c r="L16617" s="4"/>
      <c r="M16617" s="7" t="s">
        <v>6871</v>
      </c>
    </row>
    <row r="16618" customFormat="false" ht="15.75" hidden="false" customHeight="false" outlineLevel="0" collapsed="false">
      <c r="A16618" s="6" t="n">
        <f aca="false">DATE(2026,5,3)</f>
        <v>46145</v>
      </c>
      <c r="B16618" s="4" t="s">
        <v>5435</v>
      </c>
      <c r="C16618" s="4" t="n">
        <v>12</v>
      </c>
      <c r="D16618" s="4" t="n">
        <v>7</v>
      </c>
      <c r="E16618" s="4" t="s">
        <v>2532</v>
      </c>
      <c r="F16618" s="4" t="n">
        <v>31</v>
      </c>
      <c r="G16618" s="4" t="n">
        <v>4</v>
      </c>
      <c r="H16618" s="4" t="n">
        <v>4</v>
      </c>
      <c r="I16618" s="4" t="str">
        <v>×</v>
      </c>
      <c r="J16618" s="4"/>
      <c r="K16618" s="4"/>
      <c r="L16618" s="4"/>
      <c r="M16618" s="7" t="s">
        <v>6871</v>
      </c>
    </row>
    <row r="16619" customFormat="false" ht="15.75" hidden="false" customHeight="false" outlineLevel="0" collapsed="false">
      <c r="A16619" s="6" t="n">
        <f aca="false">DATE(2026,5,3)</f>
        <v>46145</v>
      </c>
      <c r="B16619" s="4" t="s">
        <v>5435</v>
      </c>
      <c r="C16619" s="4" t="n">
        <v>12</v>
      </c>
      <c r="D16619" s="4" t="n">
        <v>8</v>
      </c>
      <c r="E16619" s="4" t="s">
        <v>5319</v>
      </c>
      <c r="F16619" s="4" t="n">
        <v>10</v>
      </c>
      <c r="G16619" s="4" t="n">
        <v>13</v>
      </c>
      <c r="H16619" s="4" t="n">
        <v>4</v>
      </c>
      <c r="I16619" s="4" t="str">
        <v>×</v>
      </c>
      <c r="J16619" s="4"/>
      <c r="K16619" s="4"/>
      <c r="L16619" s="4"/>
      <c r="M16619" s="7" t="s">
        <v>6871</v>
      </c>
    </row>
    <row r="16620" customFormat="false" ht="15.75" hidden="false" customHeight="false" outlineLevel="0" collapsed="false">
      <c r="A16620" s="6" t="n">
        <f aca="false">DATE(2026,5,3)</f>
        <v>46145</v>
      </c>
      <c r="B16620" s="4" t="s">
        <v>5435</v>
      </c>
      <c r="C16620" s="4" t="n">
        <v>12</v>
      </c>
      <c r="D16620" s="4" t="n">
        <v>9</v>
      </c>
      <c r="E16620" s="4" t="s">
        <v>2393</v>
      </c>
      <c r="F16620" s="4" t="n">
        <v>3</v>
      </c>
      <c r="G16620" s="4" t="n">
        <v>16</v>
      </c>
      <c r="H16620" s="4" t="n">
        <v>4</v>
      </c>
      <c r="I16620" s="4" t="str">
        <v>×</v>
      </c>
      <c r="J16620" s="4"/>
      <c r="K16620" s="4"/>
      <c r="L16620" s="4"/>
      <c r="M16620" s="7" t="s">
        <v>6871</v>
      </c>
    </row>
    <row r="16621" customFormat="false" ht="15.75" hidden="false" customHeight="false" outlineLevel="0" collapsed="false">
      <c r="A16621" s="6" t="n">
        <f aca="false">DATE(2026,5,3)</f>
        <v>46145</v>
      </c>
      <c r="B16621" s="4" t="s">
        <v>5435</v>
      </c>
      <c r="C16621" s="4" t="n">
        <v>12</v>
      </c>
      <c r="D16621" s="4" t="n">
        <v>10</v>
      </c>
      <c r="E16621" s="4" t="s">
        <v>3628</v>
      </c>
      <c r="F16621" s="4" t="n">
        <v>25</v>
      </c>
      <c r="G16621" s="4" t="n">
        <v>7</v>
      </c>
      <c r="H16621" s="4" t="n">
        <v>2</v>
      </c>
      <c r="I16621" s="4" t="str">
        <v>○</v>
      </c>
      <c r="J16621" s="4" t="n">
        <v>420</v>
      </c>
      <c r="K16621" s="4"/>
      <c r="L16621" s="4"/>
      <c r="M16621" s="7" t="s">
        <v>6871</v>
      </c>
    </row>
    <row r="16622" customFormat="false" ht="15.75" hidden="false" customHeight="false" outlineLevel="0" collapsed="false">
      <c r="A16622" s="6" t="n">
        <f aca="false">DATE(2026,5,3)</f>
        <v>46145</v>
      </c>
      <c r="B16622" s="4" t="s">
        <v>5435</v>
      </c>
      <c r="C16622" s="4" t="n">
        <v>12</v>
      </c>
      <c r="D16622" s="4" t="n">
        <v>11</v>
      </c>
      <c r="E16622" s="4" t="s">
        <v>7417</v>
      </c>
      <c r="F16622" s="4" t="n">
        <v>4</v>
      </c>
      <c r="G16622" s="4" t="n">
        <v>15</v>
      </c>
      <c r="H16622" s="4" t="n">
        <v>4</v>
      </c>
      <c r="I16622" s="4" t="str">
        <v>×</v>
      </c>
      <c r="J16622" s="4"/>
      <c r="K16622" s="4"/>
      <c r="L16622" s="4"/>
      <c r="M16622" s="7" t="s">
        <v>6871</v>
      </c>
    </row>
    <row r="16623" customFormat="false" ht="15.75" hidden="false" customHeight="false" outlineLevel="0" collapsed="false">
      <c r="A16623" s="6" t="n">
        <f aca="false">DATE(2026,5,3)</f>
        <v>46145</v>
      </c>
      <c r="B16623" s="4" t="s">
        <v>5435</v>
      </c>
      <c r="C16623" s="4" t="n">
        <v>12</v>
      </c>
      <c r="D16623" s="4" t="n">
        <v>12</v>
      </c>
      <c r="E16623" s="4" t="s">
        <v>6158</v>
      </c>
      <c r="F16623" s="4" t="n">
        <v>13</v>
      </c>
      <c r="G16623" s="4" t="n">
        <v>11</v>
      </c>
      <c r="H16623" s="4" t="n">
        <v>4</v>
      </c>
      <c r="I16623" s="4" t="str">
        <v>×</v>
      </c>
      <c r="J16623" s="4"/>
      <c r="K16623" s="4"/>
      <c r="L16623" s="4"/>
      <c r="M16623" s="7" t="s">
        <v>6871</v>
      </c>
    </row>
    <row r="16624" customFormat="false" ht="15.75" hidden="false" customHeight="false" outlineLevel="0" collapsed="false">
      <c r="A16624" s="6" t="n">
        <f aca="false">DATE(2026,5,3)</f>
        <v>46145</v>
      </c>
      <c r="B16624" s="4" t="s">
        <v>5435</v>
      </c>
      <c r="C16624" s="4" t="n">
        <v>12</v>
      </c>
      <c r="D16624" s="4" t="n">
        <v>13</v>
      </c>
      <c r="E16624" s="4" t="s">
        <v>6443</v>
      </c>
      <c r="F16624" s="4" t="n">
        <v>31</v>
      </c>
      <c r="G16624" s="4" t="n">
        <v>5</v>
      </c>
      <c r="H16624" s="4" t="n">
        <v>1</v>
      </c>
      <c r="I16624" s="4" t="str">
        <v>○</v>
      </c>
      <c r="J16624" s="4" t="n">
        <v>250</v>
      </c>
      <c r="K16624" s="4"/>
      <c r="L16624" s="4"/>
      <c r="M16624" s="7" t="s">
        <v>6871</v>
      </c>
    </row>
    <row r="16625" customFormat="false" ht="15.75" hidden="false" customHeight="false" outlineLevel="0" collapsed="false">
      <c r="A16625" s="6" t="n">
        <f aca="false">DATE(2026,5,3)</f>
        <v>46145</v>
      </c>
      <c r="B16625" s="4" t="s">
        <v>5435</v>
      </c>
      <c r="C16625" s="4" t="n">
        <v>12</v>
      </c>
      <c r="D16625" s="4" t="n">
        <v>14</v>
      </c>
      <c r="E16625" s="4" t="s">
        <v>1683</v>
      </c>
      <c r="F16625" s="4" t="n">
        <v>37</v>
      </c>
      <c r="G16625" s="4" t="n">
        <v>3</v>
      </c>
      <c r="H16625" s="4" t="n">
        <v>4</v>
      </c>
      <c r="I16625" s="4" t="str">
        <v>×</v>
      </c>
      <c r="J16625" s="4"/>
      <c r="K16625" s="4"/>
      <c r="L16625" s="4"/>
      <c r="M16625" s="7" t="s">
        <v>6871</v>
      </c>
    </row>
    <row r="16626" customFormat="false" ht="15.75" hidden="false" customHeight="false" outlineLevel="0" collapsed="false">
      <c r="A16626" s="6" t="n">
        <f aca="false">DATE(2026,5,3)</f>
        <v>46145</v>
      </c>
      <c r="B16626" s="4" t="s">
        <v>5435</v>
      </c>
      <c r="C16626" s="4" t="n">
        <v>12</v>
      </c>
      <c r="D16626" s="4" t="n">
        <v>15</v>
      </c>
      <c r="E16626" s="4" t="s">
        <v>1679</v>
      </c>
      <c r="F16626" s="4" t="n">
        <v>13</v>
      </c>
      <c r="G16626" s="4" t="n">
        <v>12</v>
      </c>
      <c r="H16626" s="4" t="n">
        <v>4</v>
      </c>
      <c r="I16626" s="4" t="str">
        <v>×</v>
      </c>
      <c r="J16626" s="4"/>
      <c r="K16626" s="4"/>
      <c r="L16626" s="4"/>
      <c r="M16626" s="7" t="s">
        <v>6871</v>
      </c>
    </row>
    <row r="16627" customFormat="false" ht="15.75" hidden="false" customHeight="false" outlineLevel="0" collapsed="false">
      <c r="A16627" s="6" t="n">
        <f aca="false">DATE(2026,5,3)</f>
        <v>46145</v>
      </c>
      <c r="B16627" s="4" t="s">
        <v>5435</v>
      </c>
      <c r="C16627" s="4" t="n">
        <v>12</v>
      </c>
      <c r="D16627" s="4" t="n">
        <v>16</v>
      </c>
      <c r="E16627" s="4" t="s">
        <v>3636</v>
      </c>
      <c r="F16627" s="4" t="n">
        <v>29</v>
      </c>
      <c r="G16627" s="4" t="n">
        <v>6</v>
      </c>
      <c r="H16627" s="4" t="n">
        <v>3</v>
      </c>
      <c r="I16627" s="4" t="str">
        <v>○</v>
      </c>
      <c r="J16627" s="4" t="n">
        <v>220</v>
      </c>
      <c r="K16627" s="4"/>
      <c r="L16627" s="4"/>
      <c r="M16627" s="7" t="s">
        <v>6871</v>
      </c>
    </row>
    <row r="16628" customFormat="false" ht="15.75" hidden="false" customHeight="false" outlineLevel="0" collapsed="false">
      <c r="A16628" s="6" t="n">
        <f aca="false">DATE(2026,5,3)</f>
        <v>46145</v>
      </c>
      <c r="B16628" s="4" t="s">
        <v>13</v>
      </c>
      <c r="C16628" s="4" t="n">
        <v>1</v>
      </c>
      <c r="D16628" s="4" t="n">
        <v>1</v>
      </c>
      <c r="E16628" s="4" t="s">
        <v>998</v>
      </c>
      <c r="F16628" s="4" t="n">
        <v>56</v>
      </c>
      <c r="G16628" s="4" t="n">
        <v>2</v>
      </c>
      <c r="H16628" s="4" t="n">
        <v>2</v>
      </c>
      <c r="I16628" s="4" t="str">
        <v>○</v>
      </c>
      <c r="J16628" s="4" t="n">
        <v>150</v>
      </c>
      <c r="K16628" s="4"/>
      <c r="L16628" s="4"/>
      <c r="M16628" s="7" t="s">
        <v>6871</v>
      </c>
    </row>
    <row r="16629" customFormat="false" ht="15.75" hidden="false" customHeight="false" outlineLevel="0" collapsed="false">
      <c r="A16629" s="6" t="n">
        <f aca="false">DATE(2026,5,3)</f>
        <v>46145</v>
      </c>
      <c r="B16629" s="4" t="s">
        <v>13</v>
      </c>
      <c r="C16629" s="4" t="n">
        <v>1</v>
      </c>
      <c r="D16629" s="4" t="n">
        <v>2</v>
      </c>
      <c r="E16629" s="4" t="s">
        <v>7032</v>
      </c>
      <c r="F16629" s="4" t="n">
        <v>1</v>
      </c>
      <c r="G16629" s="4" t="n">
        <v>15</v>
      </c>
      <c r="H16629" s="4" t="n">
        <v>4</v>
      </c>
      <c r="I16629" s="4" t="str">
        <v>×</v>
      </c>
      <c r="J16629" s="4"/>
      <c r="K16629" s="4"/>
      <c r="L16629" s="4"/>
      <c r="M16629" s="7" t="s">
        <v>6871</v>
      </c>
    </row>
    <row r="16630" customFormat="false" ht="15.75" hidden="false" customHeight="false" outlineLevel="0" collapsed="false">
      <c r="A16630" s="6" t="n">
        <f aca="false">DATE(2026,5,3)</f>
        <v>46145</v>
      </c>
      <c r="B16630" s="4" t="s">
        <v>13</v>
      </c>
      <c r="C16630" s="4" t="n">
        <v>1</v>
      </c>
      <c r="D16630" s="4" t="n">
        <v>3</v>
      </c>
      <c r="E16630" s="4" t="s">
        <v>2572</v>
      </c>
      <c r="F16630" s="4" t="n">
        <v>4</v>
      </c>
      <c r="G16630" s="4" t="n">
        <v>12</v>
      </c>
      <c r="H16630" s="4" t="n">
        <v>4</v>
      </c>
      <c r="I16630" s="4" t="str">
        <v>×</v>
      </c>
      <c r="J16630" s="4"/>
      <c r="K16630" s="4"/>
      <c r="L16630" s="4"/>
      <c r="M16630" s="7" t="s">
        <v>6871</v>
      </c>
    </row>
    <row r="16631" customFormat="false" ht="15.75" hidden="false" customHeight="false" outlineLevel="0" collapsed="false">
      <c r="A16631" s="6" t="n">
        <f aca="false">DATE(2026,5,3)</f>
        <v>46145</v>
      </c>
      <c r="B16631" s="4" t="s">
        <v>13</v>
      </c>
      <c r="C16631" s="4" t="n">
        <v>1</v>
      </c>
      <c r="D16631" s="4" t="n">
        <v>4</v>
      </c>
      <c r="E16631" s="4" t="s">
        <v>3889</v>
      </c>
      <c r="F16631" s="4" t="n">
        <v>10</v>
      </c>
      <c r="G16631" s="4" t="n">
        <v>8</v>
      </c>
      <c r="H16631" s="4" t="n">
        <v>4</v>
      </c>
      <c r="I16631" s="4" t="str">
        <v>×</v>
      </c>
      <c r="J16631" s="4"/>
      <c r="K16631" s="4"/>
      <c r="L16631" s="4"/>
      <c r="M16631" s="7" t="s">
        <v>6871</v>
      </c>
    </row>
    <row r="16632" customFormat="false" ht="15.75" hidden="false" customHeight="false" outlineLevel="0" collapsed="false">
      <c r="A16632" s="6" t="n">
        <f aca="false">DATE(2026,5,3)</f>
        <v>46145</v>
      </c>
      <c r="B16632" s="4" t="s">
        <v>13</v>
      </c>
      <c r="C16632" s="4" t="n">
        <v>1</v>
      </c>
      <c r="D16632" s="4" t="n">
        <v>5</v>
      </c>
      <c r="E16632" s="4" t="s">
        <v>7418</v>
      </c>
      <c r="F16632" s="4" t="n">
        <v>2</v>
      </c>
      <c r="G16632" s="4" t="n">
        <v>14</v>
      </c>
      <c r="H16632" s="4" t="n">
        <v>4</v>
      </c>
      <c r="I16632" s="4" t="str">
        <v>×</v>
      </c>
      <c r="J16632" s="4"/>
      <c r="K16632" s="4"/>
      <c r="L16632" s="4"/>
      <c r="M16632" s="7" t="s">
        <v>6871</v>
      </c>
    </row>
    <row r="16633" customFormat="false" ht="15.75" hidden="false" customHeight="false" outlineLevel="0" collapsed="false">
      <c r="A16633" s="6" t="n">
        <f aca="false">DATE(2026,5,3)</f>
        <v>46145</v>
      </c>
      <c r="B16633" s="4" t="s">
        <v>13</v>
      </c>
      <c r="C16633" s="4" t="n">
        <v>1</v>
      </c>
      <c r="D16633" s="4" t="n">
        <v>6</v>
      </c>
      <c r="E16633" s="4" t="s">
        <v>7419</v>
      </c>
      <c r="F16633" s="4" t="n">
        <v>65</v>
      </c>
      <c r="G16633" s="4" t="n">
        <v>1</v>
      </c>
      <c r="H16633" s="4" t="n">
        <v>4</v>
      </c>
      <c r="I16633" s="4" t="str">
        <v>×</v>
      </c>
      <c r="J16633" s="4"/>
      <c r="K16633" s="4"/>
      <c r="L16633" s="4"/>
      <c r="M16633" s="7" t="s">
        <v>6871</v>
      </c>
    </row>
    <row r="16634" customFormat="false" ht="15.75" hidden="false" customHeight="false" outlineLevel="0" collapsed="false">
      <c r="A16634" s="6" t="n">
        <f aca="false">DATE(2026,5,3)</f>
        <v>46145</v>
      </c>
      <c r="B16634" s="4" t="s">
        <v>13</v>
      </c>
      <c r="C16634" s="4" t="n">
        <v>1</v>
      </c>
      <c r="D16634" s="4" t="n">
        <v>7</v>
      </c>
      <c r="E16634" s="4" t="s">
        <v>7420</v>
      </c>
      <c r="F16634" s="4" t="n">
        <v>1</v>
      </c>
      <c r="G16634" s="4" t="n">
        <v>16</v>
      </c>
      <c r="H16634" s="4" t="n">
        <v>4</v>
      </c>
      <c r="I16634" s="4" t="str">
        <v>×</v>
      </c>
      <c r="J16634" s="4"/>
      <c r="K16634" s="4"/>
      <c r="L16634" s="4"/>
      <c r="M16634" s="7" t="s">
        <v>6871</v>
      </c>
    </row>
    <row r="16635" customFormat="false" ht="15.75" hidden="false" customHeight="false" outlineLevel="0" collapsed="false">
      <c r="A16635" s="6" t="n">
        <f aca="false">DATE(2026,5,3)</f>
        <v>46145</v>
      </c>
      <c r="B16635" s="4" t="s">
        <v>13</v>
      </c>
      <c r="C16635" s="4" t="n">
        <v>1</v>
      </c>
      <c r="D16635" s="4" t="n">
        <v>8</v>
      </c>
      <c r="E16635" s="4" t="s">
        <v>7421</v>
      </c>
      <c r="F16635" s="4" t="n">
        <v>17</v>
      </c>
      <c r="G16635" s="4" t="n">
        <v>4</v>
      </c>
      <c r="H16635" s="4" t="n">
        <v>4</v>
      </c>
      <c r="I16635" s="4" t="str">
        <v>×</v>
      </c>
      <c r="J16635" s="4"/>
      <c r="K16635" s="4"/>
      <c r="L16635" s="4"/>
      <c r="M16635" s="7" t="s">
        <v>6871</v>
      </c>
    </row>
    <row r="16636" customFormat="false" ht="15.75" hidden="false" customHeight="false" outlineLevel="0" collapsed="false">
      <c r="A16636" s="6" t="n">
        <f aca="false">DATE(2026,5,3)</f>
        <v>46145</v>
      </c>
      <c r="B16636" s="4" t="s">
        <v>13</v>
      </c>
      <c r="C16636" s="4" t="n">
        <v>1</v>
      </c>
      <c r="D16636" s="4" t="n">
        <v>9</v>
      </c>
      <c r="E16636" s="4" t="s">
        <v>7182</v>
      </c>
      <c r="F16636" s="4" t="n">
        <v>10</v>
      </c>
      <c r="G16636" s="4" t="n">
        <v>9</v>
      </c>
      <c r="H16636" s="4" t="n">
        <v>4</v>
      </c>
      <c r="I16636" s="4" t="str">
        <v>×</v>
      </c>
      <c r="J16636" s="4"/>
      <c r="K16636" s="4"/>
      <c r="L16636" s="4"/>
      <c r="M16636" s="7" t="s">
        <v>6871</v>
      </c>
    </row>
    <row r="16637" customFormat="false" ht="15.75" hidden="false" customHeight="false" outlineLevel="0" collapsed="false">
      <c r="A16637" s="6" t="n">
        <f aca="false">DATE(2026,5,3)</f>
        <v>46145</v>
      </c>
      <c r="B16637" s="4" t="s">
        <v>13</v>
      </c>
      <c r="C16637" s="4" t="n">
        <v>1</v>
      </c>
      <c r="D16637" s="4" t="n">
        <v>10</v>
      </c>
      <c r="E16637" s="4" t="s">
        <v>3431</v>
      </c>
      <c r="F16637" s="4" t="n">
        <v>8</v>
      </c>
      <c r="G16637" s="4" t="n">
        <v>11</v>
      </c>
      <c r="H16637" s="4" t="n">
        <v>3</v>
      </c>
      <c r="I16637" s="4" t="str">
        <v>○</v>
      </c>
      <c r="J16637" s="4" t="n">
        <v>1250</v>
      </c>
      <c r="K16637" s="4"/>
      <c r="L16637" s="4"/>
      <c r="M16637" s="7" t="s">
        <v>6871</v>
      </c>
    </row>
    <row r="16638" customFormat="false" ht="15.75" hidden="false" customHeight="false" outlineLevel="0" collapsed="false">
      <c r="A16638" s="6" t="n">
        <f aca="false">DATE(2026,5,3)</f>
        <v>46145</v>
      </c>
      <c r="B16638" s="4" t="s">
        <v>13</v>
      </c>
      <c r="C16638" s="4" t="n">
        <v>1</v>
      </c>
      <c r="D16638" s="4" t="n">
        <v>11</v>
      </c>
      <c r="E16638" s="4" t="s">
        <v>1403</v>
      </c>
      <c r="F16638" s="4" t="n">
        <v>15</v>
      </c>
      <c r="G16638" s="4" t="n">
        <v>6</v>
      </c>
      <c r="H16638" s="4" t="n">
        <v>4</v>
      </c>
      <c r="I16638" s="4" t="str">
        <v>×</v>
      </c>
      <c r="J16638" s="4"/>
      <c r="K16638" s="4"/>
      <c r="L16638" s="4"/>
      <c r="M16638" s="7" t="s">
        <v>6871</v>
      </c>
    </row>
    <row r="16639" customFormat="false" ht="15.75" hidden="false" customHeight="false" outlineLevel="0" collapsed="false">
      <c r="A16639" s="6" t="n">
        <f aca="false">DATE(2026,5,3)</f>
        <v>46145</v>
      </c>
      <c r="B16639" s="4" t="s">
        <v>13</v>
      </c>
      <c r="C16639" s="4" t="n">
        <v>1</v>
      </c>
      <c r="D16639" s="4" t="n">
        <v>12</v>
      </c>
      <c r="E16639" s="4" t="s">
        <v>7422</v>
      </c>
      <c r="F16639" s="4" t="n">
        <v>10</v>
      </c>
      <c r="G16639" s="4" t="n">
        <v>10</v>
      </c>
      <c r="H16639" s="4" t="n">
        <v>4</v>
      </c>
      <c r="I16639" s="4" t="str">
        <v>×</v>
      </c>
      <c r="J16639" s="4"/>
      <c r="K16639" s="4"/>
      <c r="L16639" s="4"/>
      <c r="M16639" s="7" t="s">
        <v>6871</v>
      </c>
    </row>
    <row r="16640" customFormat="false" ht="15.75" hidden="false" customHeight="false" outlineLevel="0" collapsed="false">
      <c r="A16640" s="6" t="n">
        <f aca="false">DATE(2026,5,3)</f>
        <v>46145</v>
      </c>
      <c r="B16640" s="4" t="s">
        <v>13</v>
      </c>
      <c r="C16640" s="4" t="n">
        <v>1</v>
      </c>
      <c r="D16640" s="4" t="n">
        <v>13</v>
      </c>
      <c r="E16640" s="4" t="s">
        <v>5533</v>
      </c>
      <c r="F16640" s="4" t="n">
        <v>17</v>
      </c>
      <c r="G16640" s="4" t="n">
        <v>5</v>
      </c>
      <c r="H16640" s="4" t="n">
        <v>4</v>
      </c>
      <c r="I16640" s="4" t="str">
        <v>×</v>
      </c>
      <c r="J16640" s="4"/>
      <c r="K16640" s="4"/>
      <c r="L16640" s="4"/>
      <c r="M16640" s="7" t="s">
        <v>6871</v>
      </c>
    </row>
    <row r="16641" customFormat="false" ht="15.75" hidden="false" customHeight="false" outlineLevel="0" collapsed="false">
      <c r="A16641" s="6" t="n">
        <f aca="false">DATE(2026,5,3)</f>
        <v>46145</v>
      </c>
      <c r="B16641" s="4" t="s">
        <v>13</v>
      </c>
      <c r="C16641" s="4" t="n">
        <v>1</v>
      </c>
      <c r="D16641" s="4" t="n">
        <v>14</v>
      </c>
      <c r="E16641" s="4" t="s">
        <v>2746</v>
      </c>
      <c r="F16641" s="4" t="n">
        <v>15</v>
      </c>
      <c r="G16641" s="4" t="n">
        <v>7</v>
      </c>
      <c r="H16641" s="4" t="n">
        <v>4</v>
      </c>
      <c r="I16641" s="4" t="str">
        <v>×</v>
      </c>
      <c r="J16641" s="4"/>
      <c r="K16641" s="4"/>
      <c r="L16641" s="4"/>
      <c r="M16641" s="7" t="s">
        <v>6871</v>
      </c>
    </row>
    <row r="16642" customFormat="false" ht="15.75" hidden="false" customHeight="false" outlineLevel="0" collapsed="false">
      <c r="A16642" s="6" t="n">
        <f aca="false">DATE(2026,5,3)</f>
        <v>46145</v>
      </c>
      <c r="B16642" s="4" t="s">
        <v>13</v>
      </c>
      <c r="C16642" s="4" t="n">
        <v>1</v>
      </c>
      <c r="D16642" s="4" t="n">
        <v>15</v>
      </c>
      <c r="E16642" s="4" t="s">
        <v>7423</v>
      </c>
      <c r="F16642" s="4" t="n">
        <v>4</v>
      </c>
      <c r="G16642" s="4" t="n">
        <v>13</v>
      </c>
      <c r="H16642" s="4" t="n">
        <v>4</v>
      </c>
      <c r="I16642" s="4" t="str">
        <v>×</v>
      </c>
      <c r="J16642" s="4"/>
      <c r="K16642" s="4"/>
      <c r="L16642" s="4"/>
      <c r="M16642" s="7" t="s">
        <v>6871</v>
      </c>
    </row>
    <row r="16643" customFormat="false" ht="15.75" hidden="false" customHeight="false" outlineLevel="0" collapsed="false">
      <c r="A16643" s="6" t="n">
        <f aca="false">DATE(2026,5,3)</f>
        <v>46145</v>
      </c>
      <c r="B16643" s="4" t="s">
        <v>13</v>
      </c>
      <c r="C16643" s="4" t="n">
        <v>1</v>
      </c>
      <c r="D16643" s="4" t="n">
        <v>16</v>
      </c>
      <c r="E16643" s="4" t="s">
        <v>7424</v>
      </c>
      <c r="F16643" s="4" t="n">
        <v>31</v>
      </c>
      <c r="G16643" s="4" t="n">
        <v>3</v>
      </c>
      <c r="H16643" s="4" t="n">
        <v>1</v>
      </c>
      <c r="I16643" s="4" t="str">
        <v>○</v>
      </c>
      <c r="J16643" s="4" t="n">
        <v>230</v>
      </c>
      <c r="K16643" s="4"/>
      <c r="L16643" s="4"/>
      <c r="M16643" s="7" t="s">
        <v>6871</v>
      </c>
    </row>
    <row r="16644" customFormat="false" ht="15.75" hidden="false" customHeight="false" outlineLevel="0" collapsed="false">
      <c r="A16644" s="6" t="n">
        <f aca="false">DATE(2026,5,3)</f>
        <v>46145</v>
      </c>
      <c r="B16644" s="4" t="s">
        <v>13</v>
      </c>
      <c r="C16644" s="4" t="n">
        <v>2</v>
      </c>
      <c r="D16644" s="4" t="n">
        <v>1</v>
      </c>
      <c r="E16644" s="4" t="s">
        <v>3329</v>
      </c>
      <c r="F16644" s="4" t="n">
        <v>10</v>
      </c>
      <c r="G16644" s="4" t="n">
        <v>7</v>
      </c>
      <c r="H16644" s="4" t="n">
        <v>4</v>
      </c>
      <c r="I16644" s="4" t="str">
        <v>×</v>
      </c>
      <c r="J16644" s="4"/>
      <c r="K16644" s="4"/>
      <c r="L16644" s="4"/>
      <c r="M16644" s="7" t="s">
        <v>6871</v>
      </c>
    </row>
    <row r="16645" customFormat="false" ht="15.75" hidden="false" customHeight="false" outlineLevel="0" collapsed="false">
      <c r="A16645" s="6" t="n">
        <f aca="false">DATE(2026,5,3)</f>
        <v>46145</v>
      </c>
      <c r="B16645" s="4" t="s">
        <v>13</v>
      </c>
      <c r="C16645" s="4" t="n">
        <v>2</v>
      </c>
      <c r="D16645" s="4" t="n">
        <v>2</v>
      </c>
      <c r="E16645" s="4" t="s">
        <v>7425</v>
      </c>
      <c r="F16645" s="4" t="n">
        <v>2</v>
      </c>
      <c r="G16645" s="4" t="n">
        <v>15</v>
      </c>
      <c r="H16645" s="4" t="n">
        <v>4</v>
      </c>
      <c r="I16645" s="4" t="str">
        <v>×</v>
      </c>
      <c r="J16645" s="4"/>
      <c r="K16645" s="4"/>
      <c r="L16645" s="4"/>
      <c r="M16645" s="7" t="s">
        <v>6871</v>
      </c>
    </row>
    <row r="16646" customFormat="false" ht="15.75" hidden="false" customHeight="false" outlineLevel="0" collapsed="false">
      <c r="A16646" s="6" t="n">
        <f aca="false">DATE(2026,5,3)</f>
        <v>46145</v>
      </c>
      <c r="B16646" s="4" t="s">
        <v>13</v>
      </c>
      <c r="C16646" s="4" t="n">
        <v>2</v>
      </c>
      <c r="D16646" s="4" t="n">
        <v>3</v>
      </c>
      <c r="E16646" s="4" t="s">
        <v>5579</v>
      </c>
      <c r="F16646" s="4" t="n">
        <v>4</v>
      </c>
      <c r="G16646" s="4" t="n">
        <v>12</v>
      </c>
      <c r="H16646" s="4" t="n">
        <v>4</v>
      </c>
      <c r="I16646" s="4" t="str">
        <v>×</v>
      </c>
      <c r="J16646" s="4"/>
      <c r="K16646" s="4"/>
      <c r="L16646" s="4"/>
      <c r="M16646" s="7" t="s">
        <v>6871</v>
      </c>
    </row>
    <row r="16647" customFormat="false" ht="15.75" hidden="false" customHeight="false" outlineLevel="0" collapsed="false">
      <c r="A16647" s="6" t="n">
        <f aca="false">DATE(2026,5,3)</f>
        <v>46145</v>
      </c>
      <c r="B16647" s="4" t="s">
        <v>13</v>
      </c>
      <c r="C16647" s="4" t="n">
        <v>2</v>
      </c>
      <c r="D16647" s="4" t="n">
        <v>4</v>
      </c>
      <c r="E16647" s="4" t="s">
        <v>6174</v>
      </c>
      <c r="F16647" s="4" t="n">
        <v>8</v>
      </c>
      <c r="G16647" s="4" t="n">
        <v>8</v>
      </c>
      <c r="H16647" s="4" t="n">
        <v>4</v>
      </c>
      <c r="I16647" s="4" t="str">
        <v>×</v>
      </c>
      <c r="J16647" s="4"/>
      <c r="K16647" s="4"/>
      <c r="L16647" s="4"/>
      <c r="M16647" s="7" t="s">
        <v>6871</v>
      </c>
    </row>
    <row r="16648" customFormat="false" ht="15.75" hidden="false" customHeight="false" outlineLevel="0" collapsed="false">
      <c r="A16648" s="6" t="n">
        <f aca="false">DATE(2026,5,3)</f>
        <v>46145</v>
      </c>
      <c r="B16648" s="4" t="s">
        <v>13</v>
      </c>
      <c r="C16648" s="4" t="n">
        <v>2</v>
      </c>
      <c r="D16648" s="4" t="n">
        <v>5</v>
      </c>
      <c r="E16648" s="4" t="s">
        <v>6339</v>
      </c>
      <c r="F16648" s="4" t="n">
        <v>4</v>
      </c>
      <c r="G16648" s="4" t="n">
        <v>13</v>
      </c>
      <c r="H16648" s="4" t="n">
        <v>4</v>
      </c>
      <c r="I16648" s="4" t="str">
        <v>×</v>
      </c>
      <c r="J16648" s="4"/>
      <c r="K16648" s="4"/>
      <c r="L16648" s="4"/>
      <c r="M16648" s="7" t="s">
        <v>6871</v>
      </c>
    </row>
    <row r="16649" customFormat="false" ht="15.75" hidden="false" customHeight="false" outlineLevel="0" collapsed="false">
      <c r="A16649" s="6" t="n">
        <f aca="false">DATE(2026,5,3)</f>
        <v>46145</v>
      </c>
      <c r="B16649" s="4" t="s">
        <v>13</v>
      </c>
      <c r="C16649" s="4" t="n">
        <v>2</v>
      </c>
      <c r="D16649" s="4" t="n">
        <v>6</v>
      </c>
      <c r="E16649" s="4" t="s">
        <v>488</v>
      </c>
      <c r="F16649" s="4" t="n">
        <v>31</v>
      </c>
      <c r="G16649" s="4" t="n">
        <v>4</v>
      </c>
      <c r="H16649" s="4" t="n">
        <v>4</v>
      </c>
      <c r="I16649" s="4" t="str">
        <v>×</v>
      </c>
      <c r="J16649" s="4"/>
      <c r="K16649" s="4"/>
      <c r="L16649" s="4"/>
      <c r="M16649" s="7" t="s">
        <v>6871</v>
      </c>
    </row>
    <row r="16650" customFormat="false" ht="15.75" hidden="false" customHeight="false" outlineLevel="0" collapsed="false">
      <c r="A16650" s="6" t="n">
        <f aca="false">DATE(2026,5,3)</f>
        <v>46145</v>
      </c>
      <c r="B16650" s="4" t="s">
        <v>13</v>
      </c>
      <c r="C16650" s="4" t="n">
        <v>2</v>
      </c>
      <c r="D16650" s="4" t="n">
        <v>7</v>
      </c>
      <c r="E16650" s="4" t="s">
        <v>4176</v>
      </c>
      <c r="F16650" s="4" t="n">
        <v>81</v>
      </c>
      <c r="G16650" s="4" t="n">
        <v>1</v>
      </c>
      <c r="H16650" s="4" t="n">
        <v>4</v>
      </c>
      <c r="I16650" s="4" t="str">
        <v>×</v>
      </c>
      <c r="J16650" s="4"/>
      <c r="K16650" s="4"/>
      <c r="L16650" s="4"/>
      <c r="M16650" s="7" t="s">
        <v>6871</v>
      </c>
    </row>
    <row r="16651" customFormat="false" ht="15.75" hidden="false" customHeight="false" outlineLevel="0" collapsed="false">
      <c r="A16651" s="6" t="n">
        <f aca="false">DATE(2026,5,3)</f>
        <v>46145</v>
      </c>
      <c r="B16651" s="4" t="s">
        <v>13</v>
      </c>
      <c r="C16651" s="4" t="n">
        <v>2</v>
      </c>
      <c r="D16651" s="4" t="n">
        <v>8</v>
      </c>
      <c r="E16651" s="4" t="s">
        <v>6093</v>
      </c>
      <c r="F16651" s="4" t="n">
        <v>20</v>
      </c>
      <c r="G16651" s="4" t="n">
        <v>5</v>
      </c>
      <c r="H16651" s="4" t="n">
        <v>4</v>
      </c>
      <c r="I16651" s="4" t="str">
        <v>×</v>
      </c>
      <c r="J16651" s="4"/>
      <c r="K16651" s="4"/>
      <c r="L16651" s="4"/>
      <c r="M16651" s="7" t="s">
        <v>6871</v>
      </c>
    </row>
    <row r="16652" customFormat="false" ht="15.75" hidden="false" customHeight="false" outlineLevel="0" collapsed="false">
      <c r="A16652" s="6" t="n">
        <f aca="false">DATE(2026,5,3)</f>
        <v>46145</v>
      </c>
      <c r="B16652" s="4" t="s">
        <v>13</v>
      </c>
      <c r="C16652" s="4" t="n">
        <v>2</v>
      </c>
      <c r="D16652" s="4" t="n">
        <v>9</v>
      </c>
      <c r="E16652" s="4" t="s">
        <v>5358</v>
      </c>
      <c r="F16652" s="4" t="n">
        <v>6</v>
      </c>
      <c r="G16652" s="4" t="n">
        <v>9</v>
      </c>
      <c r="H16652" s="4" t="n">
        <v>4</v>
      </c>
      <c r="I16652" s="4" t="str">
        <v>×</v>
      </c>
      <c r="J16652" s="4"/>
      <c r="K16652" s="4"/>
      <c r="L16652" s="4"/>
      <c r="M16652" s="7" t="s">
        <v>6871</v>
      </c>
    </row>
    <row r="16653" customFormat="false" ht="15.75" hidden="false" customHeight="false" outlineLevel="0" collapsed="false">
      <c r="A16653" s="6" t="n">
        <f aca="false">DATE(2026,5,3)</f>
        <v>46145</v>
      </c>
      <c r="B16653" s="4" t="s">
        <v>13</v>
      </c>
      <c r="C16653" s="4" t="n">
        <v>2</v>
      </c>
      <c r="D16653" s="4" t="n">
        <v>10</v>
      </c>
      <c r="E16653" s="4" t="s">
        <v>493</v>
      </c>
      <c r="F16653" s="4" t="n">
        <v>74</v>
      </c>
      <c r="G16653" s="4" t="n">
        <v>2</v>
      </c>
      <c r="H16653" s="4" t="n">
        <v>2</v>
      </c>
      <c r="I16653" s="4" t="str">
        <v>○</v>
      </c>
      <c r="J16653" s="4" t="n">
        <v>170</v>
      </c>
      <c r="K16653" s="4"/>
      <c r="L16653" s="4"/>
      <c r="M16653" s="7" t="s">
        <v>6871</v>
      </c>
    </row>
    <row r="16654" customFormat="false" ht="15.75" hidden="false" customHeight="false" outlineLevel="0" collapsed="false">
      <c r="A16654" s="6" t="n">
        <f aca="false">DATE(2026,5,3)</f>
        <v>46145</v>
      </c>
      <c r="B16654" s="4" t="s">
        <v>13</v>
      </c>
      <c r="C16654" s="4" t="n">
        <v>2</v>
      </c>
      <c r="D16654" s="4" t="n">
        <v>11</v>
      </c>
      <c r="E16654" s="4" t="s">
        <v>7426</v>
      </c>
      <c r="F16654" s="4" t="n">
        <v>3</v>
      </c>
      <c r="G16654" s="4" t="n">
        <v>14</v>
      </c>
      <c r="H16654" s="4" t="n">
        <v>4</v>
      </c>
      <c r="I16654" s="4" t="str">
        <v>×</v>
      </c>
      <c r="J16654" s="4"/>
      <c r="K16654" s="4"/>
      <c r="L16654" s="4"/>
      <c r="M16654" s="7" t="s">
        <v>6871</v>
      </c>
    </row>
    <row r="16655" customFormat="false" ht="15.75" hidden="false" customHeight="false" outlineLevel="0" collapsed="false">
      <c r="A16655" s="6" t="n">
        <f aca="false">DATE(2026,5,3)</f>
        <v>46145</v>
      </c>
      <c r="B16655" s="4" t="s">
        <v>13</v>
      </c>
      <c r="C16655" s="4" t="n">
        <v>2</v>
      </c>
      <c r="D16655" s="4" t="n">
        <v>12</v>
      </c>
      <c r="E16655" s="4" t="s">
        <v>7427</v>
      </c>
      <c r="F16655" s="4" t="n">
        <v>6</v>
      </c>
      <c r="G16655" s="4" t="n">
        <v>10</v>
      </c>
      <c r="H16655" s="4" t="n">
        <v>3</v>
      </c>
      <c r="I16655" s="4" t="str">
        <v>○</v>
      </c>
      <c r="J16655" s="4" t="n">
        <v>960</v>
      </c>
      <c r="K16655" s="4"/>
      <c r="L16655" s="4"/>
      <c r="M16655" s="7" t="s">
        <v>6871</v>
      </c>
    </row>
    <row r="16656" customFormat="false" ht="15.75" hidden="false" customHeight="false" outlineLevel="0" collapsed="false">
      <c r="A16656" s="6" t="n">
        <f aca="false">DATE(2026,5,3)</f>
        <v>46145</v>
      </c>
      <c r="B16656" s="4" t="s">
        <v>13</v>
      </c>
      <c r="C16656" s="4" t="n">
        <v>2</v>
      </c>
      <c r="D16656" s="4" t="n">
        <v>13</v>
      </c>
      <c r="E16656" s="4" t="s">
        <v>7428</v>
      </c>
      <c r="F16656" s="4" t="n">
        <v>47</v>
      </c>
      <c r="G16656" s="4" t="n">
        <v>3</v>
      </c>
      <c r="H16656" s="4" t="n">
        <v>1</v>
      </c>
      <c r="I16656" s="4" t="str">
        <v>○</v>
      </c>
      <c r="J16656" s="4" t="n">
        <v>180</v>
      </c>
      <c r="K16656" s="4"/>
      <c r="L16656" s="4"/>
      <c r="M16656" s="7" t="s">
        <v>6871</v>
      </c>
    </row>
    <row r="16657" customFormat="false" ht="15.75" hidden="false" customHeight="false" outlineLevel="0" collapsed="false">
      <c r="A16657" s="6" t="n">
        <f aca="false">DATE(2026,5,3)</f>
        <v>46145</v>
      </c>
      <c r="B16657" s="4" t="s">
        <v>13</v>
      </c>
      <c r="C16657" s="4" t="n">
        <v>2</v>
      </c>
      <c r="D16657" s="4" t="n">
        <v>14</v>
      </c>
      <c r="E16657" s="4" t="s">
        <v>3157</v>
      </c>
      <c r="F16657" s="4" t="n">
        <v>17</v>
      </c>
      <c r="G16657" s="4" t="n">
        <v>6</v>
      </c>
      <c r="H16657" s="4" t="n">
        <v>4</v>
      </c>
      <c r="I16657" s="4" t="str">
        <v>×</v>
      </c>
      <c r="J16657" s="4"/>
      <c r="K16657" s="4"/>
      <c r="L16657" s="4"/>
      <c r="M16657" s="7" t="s">
        <v>6871</v>
      </c>
    </row>
    <row r="16658" customFormat="false" ht="15.75" hidden="false" customHeight="false" outlineLevel="0" collapsed="false">
      <c r="A16658" s="6" t="n">
        <f aca="false">DATE(2026,5,3)</f>
        <v>46145</v>
      </c>
      <c r="B16658" s="4" t="s">
        <v>13</v>
      </c>
      <c r="C16658" s="4" t="n">
        <v>2</v>
      </c>
      <c r="D16658" s="4" t="n">
        <v>15</v>
      </c>
      <c r="E16658" s="4" t="s">
        <v>7429</v>
      </c>
      <c r="F16658" s="4" t="n">
        <v>6</v>
      </c>
      <c r="G16658" s="4" t="n">
        <v>11</v>
      </c>
      <c r="H16658" s="4" t="n">
        <v>4</v>
      </c>
      <c r="I16658" s="4" t="str">
        <v>×</v>
      </c>
      <c r="J16658" s="4"/>
      <c r="K16658" s="4"/>
      <c r="L16658" s="4"/>
      <c r="M16658" s="7" t="s">
        <v>6871</v>
      </c>
    </row>
    <row r="16659" customFormat="false" ht="15.75" hidden="false" customHeight="false" outlineLevel="0" collapsed="false">
      <c r="A16659" s="6" t="n">
        <f aca="false">DATE(2026,5,3)</f>
        <v>46145</v>
      </c>
      <c r="B16659" s="4" t="s">
        <v>13</v>
      </c>
      <c r="C16659" s="4" t="n">
        <v>3</v>
      </c>
      <c r="D16659" s="4" t="n">
        <v>1</v>
      </c>
      <c r="E16659" s="4" t="s">
        <v>7430</v>
      </c>
      <c r="F16659" s="4" t="n">
        <v>8</v>
      </c>
      <c r="G16659" s="4" t="n">
        <v>7</v>
      </c>
      <c r="H16659" s="4" t="n">
        <v>4</v>
      </c>
      <c r="I16659" s="4" t="str">
        <v>×</v>
      </c>
      <c r="J16659" s="4"/>
      <c r="K16659" s="4"/>
      <c r="L16659" s="4"/>
      <c r="M16659" s="7" t="s">
        <v>6871</v>
      </c>
    </row>
    <row r="16660" customFormat="false" ht="15.75" hidden="false" customHeight="false" outlineLevel="0" collapsed="false">
      <c r="A16660" s="6" t="n">
        <f aca="false">DATE(2026,5,3)</f>
        <v>46145</v>
      </c>
      <c r="B16660" s="4" t="s">
        <v>13</v>
      </c>
      <c r="C16660" s="4" t="n">
        <v>3</v>
      </c>
      <c r="D16660" s="4" t="n">
        <v>2</v>
      </c>
      <c r="E16660" s="4" t="s">
        <v>4999</v>
      </c>
      <c r="F16660" s="4" t="n">
        <v>25</v>
      </c>
      <c r="G16660" s="4" t="n">
        <v>6</v>
      </c>
      <c r="H16660" s="4" t="n">
        <v>4</v>
      </c>
      <c r="I16660" s="4" t="str">
        <v>×</v>
      </c>
      <c r="J16660" s="4"/>
      <c r="K16660" s="4"/>
      <c r="L16660" s="4"/>
      <c r="M16660" s="7" t="s">
        <v>6871</v>
      </c>
    </row>
    <row r="16661" customFormat="false" ht="15.75" hidden="false" customHeight="false" outlineLevel="0" collapsed="false">
      <c r="A16661" s="6" t="n">
        <f aca="false">DATE(2026,5,3)</f>
        <v>46145</v>
      </c>
      <c r="B16661" s="4" t="s">
        <v>13</v>
      </c>
      <c r="C16661" s="4" t="n">
        <v>3</v>
      </c>
      <c r="D16661" s="4" t="n">
        <v>3</v>
      </c>
      <c r="E16661" s="4" t="s">
        <v>227</v>
      </c>
      <c r="F16661" s="4" t="n">
        <v>65</v>
      </c>
      <c r="G16661" s="4" t="n">
        <v>1</v>
      </c>
      <c r="H16661" s="4" t="n">
        <v>3</v>
      </c>
      <c r="I16661" s="4" t="str">
        <v>○</v>
      </c>
      <c r="J16661" s="4" t="n">
        <v>150</v>
      </c>
      <c r="K16661" s="4"/>
      <c r="L16661" s="4"/>
      <c r="M16661" s="7" t="s">
        <v>6871</v>
      </c>
    </row>
    <row r="16662" customFormat="false" ht="15.75" hidden="false" customHeight="false" outlineLevel="0" collapsed="false">
      <c r="A16662" s="6" t="n">
        <f aca="false">DATE(2026,5,3)</f>
        <v>46145</v>
      </c>
      <c r="B16662" s="4" t="s">
        <v>13</v>
      </c>
      <c r="C16662" s="4" t="n">
        <v>3</v>
      </c>
      <c r="D16662" s="4" t="n">
        <v>4</v>
      </c>
      <c r="E16662" s="4" t="s">
        <v>6294</v>
      </c>
      <c r="F16662" s="4" t="n">
        <v>6</v>
      </c>
      <c r="G16662" s="4" t="n">
        <v>10</v>
      </c>
      <c r="H16662" s="4" t="n">
        <v>4</v>
      </c>
      <c r="I16662" s="4" t="str">
        <v>×</v>
      </c>
      <c r="J16662" s="4"/>
      <c r="K16662" s="4"/>
      <c r="L16662" s="4"/>
      <c r="M16662" s="7" t="s">
        <v>6871</v>
      </c>
    </row>
    <row r="16663" customFormat="false" ht="15.75" hidden="false" customHeight="false" outlineLevel="0" collapsed="false">
      <c r="A16663" s="6" t="n">
        <f aca="false">DATE(2026,5,3)</f>
        <v>46145</v>
      </c>
      <c r="B16663" s="4" t="s">
        <v>13</v>
      </c>
      <c r="C16663" s="4" t="n">
        <v>3</v>
      </c>
      <c r="D16663" s="4" t="n">
        <v>5</v>
      </c>
      <c r="E16663" s="4" t="s">
        <v>6281</v>
      </c>
      <c r="F16663" s="4" t="n">
        <v>6</v>
      </c>
      <c r="G16663" s="4" t="n">
        <v>11</v>
      </c>
      <c r="H16663" s="4" t="n">
        <v>4</v>
      </c>
      <c r="I16663" s="4" t="str">
        <v>×</v>
      </c>
      <c r="J16663" s="4"/>
      <c r="K16663" s="4"/>
      <c r="L16663" s="4"/>
      <c r="M16663" s="7" t="s">
        <v>6871</v>
      </c>
    </row>
    <row r="16664" customFormat="false" ht="15.75" hidden="false" customHeight="false" outlineLevel="0" collapsed="false">
      <c r="A16664" s="6" t="n">
        <f aca="false">DATE(2026,5,3)</f>
        <v>46145</v>
      </c>
      <c r="B16664" s="4" t="s">
        <v>13</v>
      </c>
      <c r="C16664" s="4" t="n">
        <v>3</v>
      </c>
      <c r="D16664" s="4" t="n">
        <v>6</v>
      </c>
      <c r="E16664" s="4" t="s">
        <v>4425</v>
      </c>
      <c r="F16664" s="4" t="n">
        <v>56</v>
      </c>
      <c r="G16664" s="4" t="n">
        <v>2</v>
      </c>
      <c r="H16664" s="4" t="n">
        <v>2</v>
      </c>
      <c r="I16664" s="4" t="str">
        <v>○</v>
      </c>
      <c r="J16664" s="4" t="n">
        <v>150</v>
      </c>
      <c r="K16664" s="4"/>
      <c r="L16664" s="4"/>
      <c r="M16664" s="7" t="s">
        <v>6871</v>
      </c>
    </row>
    <row r="16665" customFormat="false" ht="15.75" hidden="false" customHeight="false" outlineLevel="0" collapsed="false">
      <c r="A16665" s="6" t="n">
        <f aca="false">DATE(2026,5,3)</f>
        <v>46145</v>
      </c>
      <c r="B16665" s="4" t="s">
        <v>13</v>
      </c>
      <c r="C16665" s="4" t="n">
        <v>3</v>
      </c>
      <c r="D16665" s="4" t="n">
        <v>7</v>
      </c>
      <c r="E16665" s="4" t="s">
        <v>2590</v>
      </c>
      <c r="F16665" s="4" t="n">
        <v>6</v>
      </c>
      <c r="G16665" s="4" t="n">
        <v>12</v>
      </c>
      <c r="H16665" s="4" t="n">
        <v>4</v>
      </c>
      <c r="I16665" s="4" t="str">
        <v>×</v>
      </c>
      <c r="J16665" s="4"/>
      <c r="K16665" s="4"/>
      <c r="L16665" s="4"/>
      <c r="M16665" s="7" t="s">
        <v>6871</v>
      </c>
    </row>
    <row r="16666" customFormat="false" ht="15.75" hidden="false" customHeight="false" outlineLevel="0" collapsed="false">
      <c r="A16666" s="6" t="n">
        <f aca="false">DATE(2026,5,3)</f>
        <v>46145</v>
      </c>
      <c r="B16666" s="4" t="s">
        <v>13</v>
      </c>
      <c r="C16666" s="4" t="n">
        <v>3</v>
      </c>
      <c r="D16666" s="4" t="n">
        <v>8</v>
      </c>
      <c r="E16666" s="4" t="s">
        <v>7087</v>
      </c>
      <c r="F16666" s="4" t="n">
        <v>8</v>
      </c>
      <c r="G16666" s="4" t="n">
        <v>8</v>
      </c>
      <c r="H16666" s="4" t="n">
        <v>4</v>
      </c>
      <c r="I16666" s="4" t="str">
        <v>×</v>
      </c>
      <c r="J16666" s="4"/>
      <c r="K16666" s="4"/>
      <c r="L16666" s="4"/>
      <c r="M16666" s="7" t="s">
        <v>6871</v>
      </c>
    </row>
    <row r="16667" customFormat="false" ht="15.75" hidden="false" customHeight="false" outlineLevel="0" collapsed="false">
      <c r="A16667" s="6" t="n">
        <f aca="false">DATE(2026,5,3)</f>
        <v>46145</v>
      </c>
      <c r="B16667" s="4" t="s">
        <v>13</v>
      </c>
      <c r="C16667" s="4" t="n">
        <v>3</v>
      </c>
      <c r="D16667" s="4" t="n">
        <v>9</v>
      </c>
      <c r="E16667" s="4" t="s">
        <v>7431</v>
      </c>
      <c r="F16667" s="4" t="n">
        <v>3</v>
      </c>
      <c r="G16667" s="4" t="n">
        <v>14</v>
      </c>
      <c r="H16667" s="4" t="n">
        <v>4</v>
      </c>
      <c r="I16667" s="4" t="str">
        <v>×</v>
      </c>
      <c r="J16667" s="4"/>
      <c r="K16667" s="4"/>
      <c r="L16667" s="4"/>
      <c r="M16667" s="7" t="s">
        <v>6871</v>
      </c>
    </row>
    <row r="16668" customFormat="false" ht="15.75" hidden="false" customHeight="false" outlineLevel="0" collapsed="false">
      <c r="A16668" s="6" t="n">
        <f aca="false">DATE(2026,5,3)</f>
        <v>46145</v>
      </c>
      <c r="B16668" s="4" t="s">
        <v>13</v>
      </c>
      <c r="C16668" s="4" t="n">
        <v>3</v>
      </c>
      <c r="D16668" s="4" t="n">
        <v>10</v>
      </c>
      <c r="E16668" s="4" t="s">
        <v>5254</v>
      </c>
      <c r="F16668" s="4" t="n">
        <v>6</v>
      </c>
      <c r="G16668" s="4" t="n">
        <v>13</v>
      </c>
      <c r="H16668" s="4" t="n">
        <v>4</v>
      </c>
      <c r="I16668" s="4" t="str">
        <v>×</v>
      </c>
      <c r="J16668" s="4"/>
      <c r="K16668" s="4"/>
      <c r="L16668" s="4"/>
      <c r="M16668" s="7" t="s">
        <v>6871</v>
      </c>
    </row>
    <row r="16669" customFormat="false" ht="15.75" hidden="false" customHeight="false" outlineLevel="0" collapsed="false">
      <c r="A16669" s="6" t="n">
        <f aca="false">DATE(2026,5,3)</f>
        <v>46145</v>
      </c>
      <c r="B16669" s="4" t="s">
        <v>13</v>
      </c>
      <c r="C16669" s="4" t="n">
        <v>3</v>
      </c>
      <c r="D16669" s="4" t="n">
        <v>11</v>
      </c>
      <c r="E16669" s="4" t="s">
        <v>7432</v>
      </c>
      <c r="F16669" s="4" t="n">
        <v>50</v>
      </c>
      <c r="G16669" s="4" t="n">
        <v>3</v>
      </c>
      <c r="H16669" s="4" t="n">
        <v>4</v>
      </c>
      <c r="I16669" s="4" t="str">
        <v>×</v>
      </c>
      <c r="J16669" s="4"/>
      <c r="K16669" s="4"/>
      <c r="L16669" s="4"/>
      <c r="M16669" s="7" t="s">
        <v>6871</v>
      </c>
    </row>
    <row r="16670" customFormat="false" ht="15.75" hidden="false" customHeight="false" outlineLevel="0" collapsed="false">
      <c r="A16670" s="6" t="n">
        <f aca="false">DATE(2026,5,3)</f>
        <v>46145</v>
      </c>
      <c r="B16670" s="4" t="s">
        <v>13</v>
      </c>
      <c r="C16670" s="4" t="n">
        <v>3</v>
      </c>
      <c r="D16670" s="4" t="n">
        <v>12</v>
      </c>
      <c r="E16670" s="4" t="s">
        <v>7433</v>
      </c>
      <c r="F16670" s="4" t="n">
        <v>44</v>
      </c>
      <c r="G16670" s="4" t="n">
        <v>4</v>
      </c>
      <c r="H16670" s="4" t="n">
        <v>4</v>
      </c>
      <c r="I16670" s="4" t="str">
        <v>×</v>
      </c>
      <c r="J16670" s="4"/>
      <c r="K16670" s="4"/>
      <c r="L16670" s="4"/>
      <c r="M16670" s="7" t="s">
        <v>6871</v>
      </c>
    </row>
    <row r="16671" customFormat="false" ht="15.75" hidden="false" customHeight="false" outlineLevel="0" collapsed="false">
      <c r="A16671" s="6" t="n">
        <f aca="false">DATE(2026,5,3)</f>
        <v>46145</v>
      </c>
      <c r="B16671" s="4" t="s">
        <v>13</v>
      </c>
      <c r="C16671" s="4" t="n">
        <v>3</v>
      </c>
      <c r="D16671" s="4" t="n">
        <v>13</v>
      </c>
      <c r="E16671" s="4" t="s">
        <v>7434</v>
      </c>
      <c r="F16671" s="4" t="n">
        <v>8</v>
      </c>
      <c r="G16671" s="4" t="n">
        <v>9</v>
      </c>
      <c r="H16671" s="4" t="n">
        <v>4</v>
      </c>
      <c r="I16671" s="4" t="str">
        <v>×</v>
      </c>
      <c r="J16671" s="4"/>
      <c r="K16671" s="4"/>
      <c r="L16671" s="4"/>
      <c r="M16671" s="7" t="s">
        <v>6871</v>
      </c>
    </row>
    <row r="16672" customFormat="false" ht="15.75" hidden="false" customHeight="false" outlineLevel="0" collapsed="false">
      <c r="A16672" s="6" t="n">
        <f aca="false">DATE(2026,5,3)</f>
        <v>46145</v>
      </c>
      <c r="B16672" s="4" t="s">
        <v>13</v>
      </c>
      <c r="C16672" s="4" t="n">
        <v>3</v>
      </c>
      <c r="D16672" s="4" t="n">
        <v>14</v>
      </c>
      <c r="E16672" s="4" t="s">
        <v>7435</v>
      </c>
      <c r="F16672" s="4" t="n">
        <v>31</v>
      </c>
      <c r="G16672" s="4" t="n">
        <v>5</v>
      </c>
      <c r="H16672" s="4" t="n">
        <v>1</v>
      </c>
      <c r="I16672" s="4" t="str">
        <v>○</v>
      </c>
      <c r="J16672" s="4" t="n">
        <v>330</v>
      </c>
      <c r="K16672" s="4"/>
      <c r="L16672" s="4"/>
      <c r="M16672" s="7" t="s">
        <v>6871</v>
      </c>
    </row>
    <row r="16673" customFormat="false" ht="15.75" hidden="false" customHeight="false" outlineLevel="0" collapsed="false">
      <c r="A16673" s="6" t="n">
        <f aca="false">DATE(2026,5,3)</f>
        <v>46145</v>
      </c>
      <c r="B16673" s="4" t="s">
        <v>13</v>
      </c>
      <c r="C16673" s="4" t="n">
        <v>4</v>
      </c>
      <c r="D16673" s="4" t="n">
        <v>1</v>
      </c>
      <c r="E16673" s="4" t="s">
        <v>1562</v>
      </c>
      <c r="F16673" s="4" t="n">
        <v>31</v>
      </c>
      <c r="G16673" s="4" t="n">
        <v>4</v>
      </c>
      <c r="H16673" s="4" t="n">
        <v>4</v>
      </c>
      <c r="I16673" s="4" t="str">
        <v>×</v>
      </c>
      <c r="J16673" s="4"/>
      <c r="K16673" s="4"/>
      <c r="L16673" s="4"/>
      <c r="M16673" s="7" t="s">
        <v>6871</v>
      </c>
    </row>
    <row r="16674" customFormat="false" ht="15.75" hidden="false" customHeight="false" outlineLevel="0" collapsed="false">
      <c r="A16674" s="6" t="n">
        <f aca="false">DATE(2026,5,3)</f>
        <v>46145</v>
      </c>
      <c r="B16674" s="4" t="s">
        <v>13</v>
      </c>
      <c r="C16674" s="4" t="n">
        <v>4</v>
      </c>
      <c r="D16674" s="4" t="n">
        <v>2</v>
      </c>
      <c r="E16674" s="4" t="s">
        <v>7436</v>
      </c>
      <c r="F16674" s="4" t="n">
        <v>8</v>
      </c>
      <c r="G16674" s="4" t="n">
        <v>10</v>
      </c>
      <c r="H16674" s="4" t="n">
        <v>4</v>
      </c>
      <c r="I16674" s="4" t="str">
        <v>×</v>
      </c>
      <c r="J16674" s="4"/>
      <c r="K16674" s="4"/>
      <c r="L16674" s="4"/>
      <c r="M16674" s="7" t="s">
        <v>6871</v>
      </c>
    </row>
    <row r="16675" customFormat="false" ht="15.75" hidden="false" customHeight="false" outlineLevel="0" collapsed="false">
      <c r="A16675" s="6" t="n">
        <f aca="false">DATE(2026,5,3)</f>
        <v>46145</v>
      </c>
      <c r="B16675" s="4" t="s">
        <v>13</v>
      </c>
      <c r="C16675" s="4" t="n">
        <v>4</v>
      </c>
      <c r="D16675" s="4" t="n">
        <v>3</v>
      </c>
      <c r="E16675" s="4" t="s">
        <v>7437</v>
      </c>
      <c r="F16675" s="4" t="n">
        <v>6</v>
      </c>
      <c r="G16675" s="4" t="n">
        <v>13</v>
      </c>
      <c r="H16675" s="4" t="n">
        <v>4</v>
      </c>
      <c r="I16675" s="4" t="str">
        <v>×</v>
      </c>
      <c r="J16675" s="4"/>
      <c r="K16675" s="4"/>
      <c r="L16675" s="4"/>
      <c r="M16675" s="7" t="s">
        <v>6871</v>
      </c>
    </row>
    <row r="16676" customFormat="false" ht="15.75" hidden="false" customHeight="false" outlineLevel="0" collapsed="false">
      <c r="A16676" s="6" t="n">
        <f aca="false">DATE(2026,5,3)</f>
        <v>46145</v>
      </c>
      <c r="B16676" s="4" t="s">
        <v>13</v>
      </c>
      <c r="C16676" s="4" t="n">
        <v>4</v>
      </c>
      <c r="D16676" s="4" t="n">
        <v>4</v>
      </c>
      <c r="E16676" s="4" t="s">
        <v>7438</v>
      </c>
      <c r="F16676" s="4" t="n">
        <v>27</v>
      </c>
      <c r="G16676" s="4" t="n">
        <v>5</v>
      </c>
      <c r="H16676" s="4" t="n">
        <v>4</v>
      </c>
      <c r="I16676" s="4" t="str">
        <v>×</v>
      </c>
      <c r="J16676" s="4"/>
      <c r="K16676" s="4"/>
      <c r="L16676" s="4"/>
      <c r="M16676" s="7" t="s">
        <v>6871</v>
      </c>
    </row>
    <row r="16677" customFormat="false" ht="15.75" hidden="false" customHeight="false" outlineLevel="0" collapsed="false">
      <c r="A16677" s="6" t="n">
        <f aca="false">DATE(2026,5,3)</f>
        <v>46145</v>
      </c>
      <c r="B16677" s="4" t="s">
        <v>13</v>
      </c>
      <c r="C16677" s="4" t="n">
        <v>4</v>
      </c>
      <c r="D16677" s="4" t="n">
        <v>5</v>
      </c>
      <c r="E16677" s="4" t="s">
        <v>5523</v>
      </c>
      <c r="F16677" s="4" t="n">
        <v>55</v>
      </c>
      <c r="G16677" s="4" t="n">
        <v>1</v>
      </c>
      <c r="H16677" s="4" t="n">
        <v>1</v>
      </c>
      <c r="I16677" s="4" t="str">
        <v>○</v>
      </c>
      <c r="J16677" s="4" t="n">
        <v>160</v>
      </c>
      <c r="K16677" s="4"/>
      <c r="L16677" s="4"/>
      <c r="M16677" s="7" t="s">
        <v>6871</v>
      </c>
    </row>
    <row r="16678" customFormat="false" ht="15.75" hidden="false" customHeight="false" outlineLevel="0" collapsed="false">
      <c r="A16678" s="6" t="n">
        <f aca="false">DATE(2026,5,3)</f>
        <v>46145</v>
      </c>
      <c r="B16678" s="4" t="s">
        <v>13</v>
      </c>
      <c r="C16678" s="4" t="n">
        <v>4</v>
      </c>
      <c r="D16678" s="4" t="n">
        <v>6</v>
      </c>
      <c r="E16678" s="4" t="s">
        <v>7439</v>
      </c>
      <c r="F16678" s="4" t="n">
        <v>8</v>
      </c>
      <c r="G16678" s="4" t="n">
        <v>11</v>
      </c>
      <c r="H16678" s="4" t="n">
        <v>4</v>
      </c>
      <c r="I16678" s="4" t="str">
        <v>×</v>
      </c>
      <c r="J16678" s="4"/>
      <c r="K16678" s="4"/>
      <c r="L16678" s="4"/>
      <c r="M16678" s="7" t="s">
        <v>6871</v>
      </c>
    </row>
    <row r="16679" customFormat="false" ht="15.75" hidden="false" customHeight="false" outlineLevel="0" collapsed="false">
      <c r="A16679" s="6" t="n">
        <f aca="false">DATE(2026,5,3)</f>
        <v>46145</v>
      </c>
      <c r="B16679" s="4" t="s">
        <v>13</v>
      </c>
      <c r="C16679" s="4" t="n">
        <v>4</v>
      </c>
      <c r="D16679" s="4" t="n">
        <v>7</v>
      </c>
      <c r="E16679" s="4" t="s">
        <v>3129</v>
      </c>
      <c r="F16679" s="4" t="n">
        <v>21</v>
      </c>
      <c r="G16679" s="4" t="n">
        <v>6</v>
      </c>
      <c r="H16679" s="4" t="n">
        <v>4</v>
      </c>
      <c r="I16679" s="4" t="str">
        <v>×</v>
      </c>
      <c r="J16679" s="4"/>
      <c r="K16679" s="4"/>
      <c r="L16679" s="4"/>
      <c r="M16679" s="7" t="s">
        <v>6871</v>
      </c>
    </row>
    <row r="16680" customFormat="false" ht="15.75" hidden="false" customHeight="false" outlineLevel="0" collapsed="false">
      <c r="A16680" s="6" t="n">
        <f aca="false">DATE(2026,5,3)</f>
        <v>46145</v>
      </c>
      <c r="B16680" s="4" t="s">
        <v>13</v>
      </c>
      <c r="C16680" s="4" t="n">
        <v>4</v>
      </c>
      <c r="D16680" s="4" t="n">
        <v>8</v>
      </c>
      <c r="E16680" s="4" t="s">
        <v>3656</v>
      </c>
      <c r="F16680" s="4" t="n">
        <v>6</v>
      </c>
      <c r="G16680" s="4" t="n">
        <v>14</v>
      </c>
      <c r="H16680" s="4" t="n">
        <v>4</v>
      </c>
      <c r="I16680" s="4" t="str">
        <v>×</v>
      </c>
      <c r="J16680" s="4"/>
      <c r="K16680" s="4"/>
      <c r="L16680" s="4"/>
      <c r="M16680" s="7" t="s">
        <v>6871</v>
      </c>
    </row>
    <row r="16681" customFormat="false" ht="15.75" hidden="false" customHeight="false" outlineLevel="0" collapsed="false">
      <c r="A16681" s="6" t="n">
        <f aca="false">DATE(2026,5,3)</f>
        <v>46145</v>
      </c>
      <c r="B16681" s="4" t="s">
        <v>13</v>
      </c>
      <c r="C16681" s="4" t="n">
        <v>4</v>
      </c>
      <c r="D16681" s="4" t="n">
        <v>9</v>
      </c>
      <c r="E16681" s="4" t="s">
        <v>4272</v>
      </c>
      <c r="F16681" s="4" t="n">
        <v>37</v>
      </c>
      <c r="G16681" s="4" t="n">
        <v>2</v>
      </c>
      <c r="H16681" s="4" t="n">
        <v>4</v>
      </c>
      <c r="I16681" s="4" t="str">
        <v>×</v>
      </c>
      <c r="J16681" s="4"/>
      <c r="K16681" s="4"/>
      <c r="L16681" s="4"/>
      <c r="M16681" s="7" t="s">
        <v>6871</v>
      </c>
    </row>
    <row r="16682" customFormat="false" ht="15.75" hidden="false" customHeight="false" outlineLevel="0" collapsed="false">
      <c r="A16682" s="6" t="n">
        <f aca="false">DATE(2026,5,3)</f>
        <v>46145</v>
      </c>
      <c r="B16682" s="4" t="s">
        <v>13</v>
      </c>
      <c r="C16682" s="4" t="n">
        <v>4</v>
      </c>
      <c r="D16682" s="4" t="n">
        <v>10</v>
      </c>
      <c r="E16682" s="4" t="s">
        <v>122</v>
      </c>
      <c r="F16682" s="4" t="n">
        <v>16</v>
      </c>
      <c r="G16682" s="4" t="n">
        <v>8</v>
      </c>
      <c r="H16682" s="4" t="n">
        <v>3</v>
      </c>
      <c r="I16682" s="4" t="str">
        <v>○</v>
      </c>
      <c r="J16682" s="4" t="n">
        <v>400</v>
      </c>
      <c r="K16682" s="4"/>
      <c r="L16682" s="4"/>
      <c r="M16682" s="7" t="s">
        <v>6871</v>
      </c>
    </row>
    <row r="16683" customFormat="false" ht="15.75" hidden="false" customHeight="false" outlineLevel="0" collapsed="false">
      <c r="A16683" s="6" t="n">
        <f aca="false">DATE(2026,5,3)</f>
        <v>46145</v>
      </c>
      <c r="B16683" s="4" t="s">
        <v>13</v>
      </c>
      <c r="C16683" s="4" t="n">
        <v>4</v>
      </c>
      <c r="D16683" s="4" t="n">
        <v>11</v>
      </c>
      <c r="E16683" s="4" t="s">
        <v>578</v>
      </c>
      <c r="F16683" s="4" t="n">
        <v>37</v>
      </c>
      <c r="G16683" s="4" t="n">
        <v>3</v>
      </c>
      <c r="H16683" s="4" t="n">
        <v>2</v>
      </c>
      <c r="I16683" s="4" t="str">
        <v>○</v>
      </c>
      <c r="J16683" s="4" t="n">
        <v>310</v>
      </c>
      <c r="K16683" s="4"/>
      <c r="L16683" s="4"/>
      <c r="M16683" s="7" t="s">
        <v>6871</v>
      </c>
    </row>
    <row r="16684" customFormat="false" ht="15.75" hidden="false" customHeight="false" outlineLevel="0" collapsed="false">
      <c r="A16684" s="6" t="n">
        <f aca="false">DATE(2026,5,3)</f>
        <v>46145</v>
      </c>
      <c r="B16684" s="4" t="s">
        <v>13</v>
      </c>
      <c r="C16684" s="4" t="n">
        <v>4</v>
      </c>
      <c r="D16684" s="4" t="n">
        <v>12</v>
      </c>
      <c r="E16684" s="4" t="s">
        <v>7440</v>
      </c>
      <c r="F16684" s="4" t="n">
        <v>21</v>
      </c>
      <c r="G16684" s="4" t="n">
        <v>7</v>
      </c>
      <c r="H16684" s="4" t="n">
        <v>4</v>
      </c>
      <c r="I16684" s="4" t="str">
        <v>×</v>
      </c>
      <c r="J16684" s="4"/>
      <c r="K16684" s="4"/>
      <c r="L16684" s="4"/>
      <c r="M16684" s="7" t="s">
        <v>6871</v>
      </c>
    </row>
    <row r="16685" customFormat="false" ht="15.75" hidden="false" customHeight="false" outlineLevel="0" collapsed="false">
      <c r="A16685" s="6" t="n">
        <f aca="false">DATE(2026,5,3)</f>
        <v>46145</v>
      </c>
      <c r="B16685" s="4" t="s">
        <v>13</v>
      </c>
      <c r="C16685" s="4" t="n">
        <v>4</v>
      </c>
      <c r="D16685" s="4" t="n">
        <v>13</v>
      </c>
      <c r="E16685" s="4" t="s">
        <v>5503</v>
      </c>
      <c r="F16685" s="4" t="n">
        <v>8</v>
      </c>
      <c r="G16685" s="4" t="n">
        <v>12</v>
      </c>
      <c r="H16685" s="4" t="n">
        <v>4</v>
      </c>
      <c r="I16685" s="4" t="str">
        <v>×</v>
      </c>
      <c r="J16685" s="4"/>
      <c r="K16685" s="4"/>
      <c r="L16685" s="4"/>
      <c r="M16685" s="7" t="s">
        <v>6871</v>
      </c>
    </row>
    <row r="16686" customFormat="false" ht="15.75" hidden="false" customHeight="false" outlineLevel="0" collapsed="false">
      <c r="A16686" s="6" t="n">
        <f aca="false">DATE(2026,5,3)</f>
        <v>46145</v>
      </c>
      <c r="B16686" s="4" t="s">
        <v>13</v>
      </c>
      <c r="C16686" s="4" t="n">
        <v>4</v>
      </c>
      <c r="D16686" s="4" t="n">
        <v>14</v>
      </c>
      <c r="E16686" s="4" t="s">
        <v>7441</v>
      </c>
      <c r="F16686" s="4" t="n">
        <v>14</v>
      </c>
      <c r="G16686" s="4" t="n">
        <v>9</v>
      </c>
      <c r="H16686" s="4" t="n">
        <v>4</v>
      </c>
      <c r="I16686" s="4" t="str">
        <v>×</v>
      </c>
      <c r="J16686" s="4"/>
      <c r="K16686" s="4"/>
      <c r="L16686" s="4"/>
      <c r="M16686" s="7" t="s">
        <v>6871</v>
      </c>
    </row>
    <row r="16687" customFormat="false" ht="15.75" hidden="false" customHeight="false" outlineLevel="0" collapsed="false">
      <c r="A16687" s="6" t="n">
        <f aca="false">DATE(2026,5,3)</f>
        <v>46145</v>
      </c>
      <c r="B16687" s="4" t="s">
        <v>13</v>
      </c>
      <c r="C16687" s="4" t="n">
        <v>5</v>
      </c>
      <c r="D16687" s="4" t="n">
        <v>1</v>
      </c>
      <c r="E16687" s="4" t="s">
        <v>324</v>
      </c>
      <c r="F16687" s="4" t="n">
        <v>39</v>
      </c>
      <c r="G16687" s="4" t="n">
        <v>3</v>
      </c>
      <c r="H16687" s="4" t="n">
        <v>4</v>
      </c>
      <c r="I16687" s="4" t="str">
        <v>×</v>
      </c>
      <c r="J16687" s="4"/>
      <c r="K16687" s="4"/>
      <c r="L16687" s="4"/>
      <c r="M16687" s="7" t="s">
        <v>6871</v>
      </c>
    </row>
    <row r="16688" customFormat="false" ht="15.75" hidden="false" customHeight="false" outlineLevel="0" collapsed="false">
      <c r="A16688" s="6" t="n">
        <f aca="false">DATE(2026,5,3)</f>
        <v>46145</v>
      </c>
      <c r="B16688" s="4" t="s">
        <v>13</v>
      </c>
      <c r="C16688" s="4" t="n">
        <v>5</v>
      </c>
      <c r="D16688" s="4" t="n">
        <v>2</v>
      </c>
      <c r="E16688" s="4" t="s">
        <v>1296</v>
      </c>
      <c r="F16688" s="4" t="n">
        <v>47</v>
      </c>
      <c r="G16688" s="4" t="n">
        <v>2</v>
      </c>
      <c r="H16688" s="4" t="n">
        <v>4</v>
      </c>
      <c r="I16688" s="4" t="str">
        <v>×</v>
      </c>
      <c r="J16688" s="4"/>
      <c r="K16688" s="4"/>
      <c r="L16688" s="4"/>
      <c r="M16688" s="7" t="s">
        <v>6871</v>
      </c>
    </row>
    <row r="16689" customFormat="false" ht="15.75" hidden="false" customHeight="false" outlineLevel="0" collapsed="false">
      <c r="A16689" s="6" t="n">
        <f aca="false">DATE(2026,5,3)</f>
        <v>46145</v>
      </c>
      <c r="B16689" s="4" t="s">
        <v>13</v>
      </c>
      <c r="C16689" s="4" t="n">
        <v>5</v>
      </c>
      <c r="D16689" s="4" t="n">
        <v>3</v>
      </c>
      <c r="E16689" s="4" t="s">
        <v>4433</v>
      </c>
      <c r="F16689" s="4" t="n">
        <v>23</v>
      </c>
      <c r="G16689" s="4" t="n">
        <v>4</v>
      </c>
      <c r="H16689" s="4" t="n">
        <v>4</v>
      </c>
      <c r="I16689" s="4" t="str">
        <v>×</v>
      </c>
      <c r="J16689" s="4"/>
      <c r="K16689" s="4"/>
      <c r="L16689" s="4"/>
      <c r="M16689" s="7" t="s">
        <v>6871</v>
      </c>
    </row>
    <row r="16690" customFormat="false" ht="15.75" hidden="false" customHeight="false" outlineLevel="0" collapsed="false">
      <c r="A16690" s="6" t="n">
        <f aca="false">DATE(2026,5,3)</f>
        <v>46145</v>
      </c>
      <c r="B16690" s="4" t="s">
        <v>13</v>
      </c>
      <c r="C16690" s="4" t="n">
        <v>5</v>
      </c>
      <c r="D16690" s="4" t="n">
        <v>4</v>
      </c>
      <c r="E16690" s="4" t="s">
        <v>7442</v>
      </c>
      <c r="F16690" s="4" t="n">
        <v>58</v>
      </c>
      <c r="G16690" s="4" t="n">
        <v>1</v>
      </c>
      <c r="H16690" s="4" t="n">
        <v>4</v>
      </c>
      <c r="I16690" s="4" t="str">
        <v>×</v>
      </c>
      <c r="J16690" s="4"/>
      <c r="K16690" s="4"/>
      <c r="L16690" s="4"/>
      <c r="M16690" s="7" t="s">
        <v>6871</v>
      </c>
    </row>
    <row r="16691" customFormat="false" ht="15.75" hidden="false" customHeight="false" outlineLevel="0" collapsed="false">
      <c r="A16691" s="6" t="n">
        <f aca="false">DATE(2026,5,3)</f>
        <v>46145</v>
      </c>
      <c r="B16691" s="4" t="s">
        <v>13</v>
      </c>
      <c r="C16691" s="4" t="n">
        <v>5</v>
      </c>
      <c r="D16691" s="4" t="n">
        <v>5</v>
      </c>
      <c r="E16691" s="4" t="s">
        <v>3799</v>
      </c>
      <c r="F16691" s="4" t="n">
        <v>10</v>
      </c>
      <c r="G16691" s="4" t="n">
        <v>9</v>
      </c>
      <c r="H16691" s="4" t="n">
        <v>3</v>
      </c>
      <c r="I16691" s="4" t="str">
        <v>○</v>
      </c>
      <c r="J16691" s="4" t="n">
        <v>880</v>
      </c>
      <c r="K16691" s="4"/>
      <c r="L16691" s="4"/>
      <c r="M16691" s="7" t="s">
        <v>6871</v>
      </c>
    </row>
    <row r="16692" customFormat="false" ht="15.75" hidden="false" customHeight="false" outlineLevel="0" collapsed="false">
      <c r="A16692" s="6" t="n">
        <f aca="false">DATE(2026,5,3)</f>
        <v>46145</v>
      </c>
      <c r="B16692" s="4" t="s">
        <v>13</v>
      </c>
      <c r="C16692" s="4" t="n">
        <v>5</v>
      </c>
      <c r="D16692" s="4" t="n">
        <v>6</v>
      </c>
      <c r="E16692" s="4" t="s">
        <v>3595</v>
      </c>
      <c r="F16692" s="4" t="n">
        <v>4</v>
      </c>
      <c r="G16692" s="4" t="n">
        <v>13</v>
      </c>
      <c r="H16692" s="4" t="n">
        <v>4</v>
      </c>
      <c r="I16692" s="4" t="str">
        <v>×</v>
      </c>
      <c r="J16692" s="4"/>
      <c r="K16692" s="4"/>
      <c r="L16692" s="4"/>
      <c r="M16692" s="7" t="s">
        <v>6871</v>
      </c>
    </row>
    <row r="16693" customFormat="false" ht="15.75" hidden="false" customHeight="false" outlineLevel="0" collapsed="false">
      <c r="A16693" s="6" t="n">
        <f aca="false">DATE(2026,5,3)</f>
        <v>46145</v>
      </c>
      <c r="B16693" s="4" t="s">
        <v>13</v>
      </c>
      <c r="C16693" s="4" t="n">
        <v>5</v>
      </c>
      <c r="D16693" s="4" t="n">
        <v>7</v>
      </c>
      <c r="E16693" s="4" t="s">
        <v>4795</v>
      </c>
      <c r="F16693" s="4" t="n">
        <v>4</v>
      </c>
      <c r="G16693" s="4" t="n">
        <v>14</v>
      </c>
      <c r="H16693" s="4" t="n">
        <v>4</v>
      </c>
      <c r="I16693" s="4" t="str">
        <v>×</v>
      </c>
      <c r="J16693" s="4"/>
      <c r="K16693" s="4"/>
      <c r="L16693" s="4"/>
      <c r="M16693" s="7" t="s">
        <v>6871</v>
      </c>
    </row>
    <row r="16694" customFormat="false" ht="15.75" hidden="false" customHeight="false" outlineLevel="0" collapsed="false">
      <c r="A16694" s="6" t="n">
        <f aca="false">DATE(2026,5,3)</f>
        <v>46145</v>
      </c>
      <c r="B16694" s="4" t="s">
        <v>13</v>
      </c>
      <c r="C16694" s="4" t="n">
        <v>5</v>
      </c>
      <c r="D16694" s="4" t="n">
        <v>8</v>
      </c>
      <c r="E16694" s="4" t="s">
        <v>808</v>
      </c>
      <c r="F16694" s="4" t="n">
        <v>6</v>
      </c>
      <c r="G16694" s="4" t="n">
        <v>12</v>
      </c>
      <c r="H16694" s="4" t="n">
        <v>4</v>
      </c>
      <c r="I16694" s="4" t="str">
        <v>×</v>
      </c>
      <c r="J16694" s="4"/>
      <c r="K16694" s="4"/>
      <c r="L16694" s="4"/>
      <c r="M16694" s="7" t="s">
        <v>6871</v>
      </c>
    </row>
    <row r="16695" customFormat="false" ht="15.75" hidden="false" customHeight="false" outlineLevel="0" collapsed="false">
      <c r="A16695" s="6" t="n">
        <f aca="false">DATE(2026,5,3)</f>
        <v>46145</v>
      </c>
      <c r="B16695" s="4" t="s">
        <v>13</v>
      </c>
      <c r="C16695" s="4" t="n">
        <v>5</v>
      </c>
      <c r="D16695" s="4" t="n">
        <v>9</v>
      </c>
      <c r="E16695" s="4" t="s">
        <v>5597</v>
      </c>
      <c r="F16695" s="4" t="n">
        <v>15</v>
      </c>
      <c r="G16695" s="4" t="n">
        <v>7</v>
      </c>
      <c r="H16695" s="4" t="n">
        <v>2</v>
      </c>
      <c r="I16695" s="4" t="str">
        <v>○</v>
      </c>
      <c r="J16695" s="4" t="n">
        <v>240</v>
      </c>
      <c r="K16695" s="4"/>
      <c r="L16695" s="4"/>
      <c r="M16695" s="7" t="s">
        <v>6871</v>
      </c>
    </row>
    <row r="16696" customFormat="false" ht="15.75" hidden="false" customHeight="false" outlineLevel="0" collapsed="false">
      <c r="A16696" s="6" t="n">
        <f aca="false">DATE(2026,5,3)</f>
        <v>46145</v>
      </c>
      <c r="B16696" s="4" t="s">
        <v>13</v>
      </c>
      <c r="C16696" s="4" t="n">
        <v>5</v>
      </c>
      <c r="D16696" s="4" t="n">
        <v>10</v>
      </c>
      <c r="E16696" s="4" t="s">
        <v>7443</v>
      </c>
      <c r="F16696" s="4" t="n">
        <v>8</v>
      </c>
      <c r="G16696" s="4" t="n">
        <v>10</v>
      </c>
      <c r="H16696" s="4" t="n">
        <v>4</v>
      </c>
      <c r="I16696" s="4" t="str">
        <v>×</v>
      </c>
      <c r="J16696" s="4"/>
      <c r="K16696" s="4"/>
      <c r="L16696" s="4"/>
      <c r="M16696" s="7" t="s">
        <v>6871</v>
      </c>
    </row>
    <row r="16697" customFormat="false" ht="15.75" hidden="false" customHeight="false" outlineLevel="0" collapsed="false">
      <c r="A16697" s="6" t="n">
        <f aca="false">DATE(2026,5,3)</f>
        <v>46145</v>
      </c>
      <c r="B16697" s="4" t="s">
        <v>13</v>
      </c>
      <c r="C16697" s="4" t="n">
        <v>5</v>
      </c>
      <c r="D16697" s="4" t="n">
        <v>11</v>
      </c>
      <c r="E16697" s="4" t="s">
        <v>7444</v>
      </c>
      <c r="F16697" s="4" t="n">
        <v>17</v>
      </c>
      <c r="G16697" s="4" t="n">
        <v>6</v>
      </c>
      <c r="H16697" s="4" t="n">
        <v>1</v>
      </c>
      <c r="I16697" s="4" t="str">
        <v>○</v>
      </c>
      <c r="J16697" s="4" t="n">
        <v>210</v>
      </c>
      <c r="K16697" s="4"/>
      <c r="L16697" s="4"/>
      <c r="M16697" s="7" t="s">
        <v>6871</v>
      </c>
    </row>
    <row r="16698" customFormat="false" ht="15.75" hidden="false" customHeight="false" outlineLevel="0" collapsed="false">
      <c r="A16698" s="6" t="n">
        <f aca="false">DATE(2026,5,3)</f>
        <v>46145</v>
      </c>
      <c r="B16698" s="4" t="s">
        <v>13</v>
      </c>
      <c r="C16698" s="4" t="n">
        <v>5</v>
      </c>
      <c r="D16698" s="4" t="n">
        <v>12</v>
      </c>
      <c r="E16698" s="4" t="s">
        <v>4360</v>
      </c>
      <c r="F16698" s="4" t="n">
        <v>8</v>
      </c>
      <c r="G16698" s="4" t="n">
        <v>11</v>
      </c>
      <c r="H16698" s="4" t="n">
        <v>4</v>
      </c>
      <c r="I16698" s="4" t="str">
        <v>×</v>
      </c>
      <c r="J16698" s="4"/>
      <c r="K16698" s="4"/>
      <c r="L16698" s="4"/>
      <c r="M16698" s="7" t="s">
        <v>6871</v>
      </c>
    </row>
    <row r="16699" customFormat="false" ht="15.75" hidden="false" customHeight="false" outlineLevel="0" collapsed="false">
      <c r="A16699" s="6" t="n">
        <f aca="false">DATE(2026,5,3)</f>
        <v>46145</v>
      </c>
      <c r="B16699" s="4" t="s">
        <v>13</v>
      </c>
      <c r="C16699" s="4" t="n">
        <v>5</v>
      </c>
      <c r="D16699" s="4" t="n">
        <v>13</v>
      </c>
      <c r="E16699" s="4" t="s">
        <v>4483</v>
      </c>
      <c r="F16699" s="4" t="n">
        <v>20</v>
      </c>
      <c r="G16699" s="4" t="n">
        <v>5</v>
      </c>
      <c r="H16699" s="4" t="n">
        <v>4</v>
      </c>
      <c r="I16699" s="4" t="str">
        <v>×</v>
      </c>
      <c r="J16699" s="4"/>
      <c r="K16699" s="4"/>
      <c r="L16699" s="4"/>
      <c r="M16699" s="7" t="s">
        <v>6871</v>
      </c>
    </row>
    <row r="16700" customFormat="false" ht="15.75" hidden="false" customHeight="false" outlineLevel="0" collapsed="false">
      <c r="A16700" s="6" t="n">
        <f aca="false">DATE(2026,5,3)</f>
        <v>46145</v>
      </c>
      <c r="B16700" s="4" t="s">
        <v>13</v>
      </c>
      <c r="C16700" s="4" t="n">
        <v>5</v>
      </c>
      <c r="D16700" s="4" t="n">
        <v>14</v>
      </c>
      <c r="E16700" s="4" t="s">
        <v>1299</v>
      </c>
      <c r="F16700" s="4" t="n">
        <v>15</v>
      </c>
      <c r="G16700" s="4" t="n">
        <v>8</v>
      </c>
      <c r="H16700" s="4" t="n">
        <v>4</v>
      </c>
      <c r="I16700" s="4" t="str">
        <v>×</v>
      </c>
      <c r="J16700" s="4"/>
      <c r="K16700" s="4"/>
      <c r="L16700" s="4"/>
      <c r="M16700" s="7" t="s">
        <v>6871</v>
      </c>
    </row>
    <row r="16701" customFormat="false" ht="15.75" hidden="false" customHeight="false" outlineLevel="0" collapsed="false">
      <c r="A16701" s="6" t="n">
        <f aca="false">DATE(2026,5,3)</f>
        <v>46145</v>
      </c>
      <c r="B16701" s="4" t="s">
        <v>13</v>
      </c>
      <c r="C16701" s="4" t="n">
        <v>6</v>
      </c>
      <c r="D16701" s="4" t="n">
        <v>1</v>
      </c>
      <c r="E16701" s="4" t="s">
        <v>6428</v>
      </c>
      <c r="F16701" s="4" t="n">
        <v>34</v>
      </c>
      <c r="G16701" s="4" t="n">
        <v>2</v>
      </c>
      <c r="H16701" s="4" t="n">
        <v>4</v>
      </c>
      <c r="I16701" s="4" t="str">
        <v>×</v>
      </c>
      <c r="J16701" s="4"/>
      <c r="K16701" s="4"/>
      <c r="L16701" s="4"/>
      <c r="M16701" s="7" t="s">
        <v>6871</v>
      </c>
    </row>
    <row r="16702" customFormat="false" ht="15.75" hidden="false" customHeight="false" outlineLevel="0" collapsed="false">
      <c r="A16702" s="6" t="n">
        <f aca="false">DATE(2026,5,3)</f>
        <v>46145</v>
      </c>
      <c r="B16702" s="4" t="s">
        <v>13</v>
      </c>
      <c r="C16702" s="4" t="n">
        <v>6</v>
      </c>
      <c r="D16702" s="4" t="n">
        <v>2</v>
      </c>
      <c r="E16702" s="4" t="s">
        <v>3966</v>
      </c>
      <c r="F16702" s="4" t="n">
        <v>8</v>
      </c>
      <c r="G16702" s="4" t="n">
        <v>10</v>
      </c>
      <c r="H16702" s="4" t="n">
        <v>4</v>
      </c>
      <c r="I16702" s="4" t="str">
        <v>×</v>
      </c>
      <c r="J16702" s="4"/>
      <c r="K16702" s="4"/>
      <c r="L16702" s="4"/>
      <c r="M16702" s="7" t="s">
        <v>6871</v>
      </c>
    </row>
    <row r="16703" customFormat="false" ht="15.75" hidden="false" customHeight="false" outlineLevel="0" collapsed="false">
      <c r="A16703" s="6" t="n">
        <f aca="false">DATE(2026,5,3)</f>
        <v>46145</v>
      </c>
      <c r="B16703" s="4" t="s">
        <v>13</v>
      </c>
      <c r="C16703" s="4" t="n">
        <v>6</v>
      </c>
      <c r="D16703" s="4" t="n">
        <v>3</v>
      </c>
      <c r="E16703" s="4" t="s">
        <v>7445</v>
      </c>
      <c r="F16703" s="4" t="n">
        <v>17</v>
      </c>
      <c r="G16703" s="4" t="n">
        <v>7</v>
      </c>
      <c r="H16703" s="4" t="n">
        <v>2</v>
      </c>
      <c r="I16703" s="4" t="str">
        <v>○</v>
      </c>
      <c r="J16703" s="4" t="n">
        <v>850</v>
      </c>
      <c r="K16703" s="4"/>
      <c r="L16703" s="4"/>
      <c r="M16703" s="7" t="s">
        <v>6871</v>
      </c>
    </row>
    <row r="16704" customFormat="false" ht="15.75" hidden="false" customHeight="false" outlineLevel="0" collapsed="false">
      <c r="A16704" s="6" t="n">
        <f aca="false">DATE(2026,5,3)</f>
        <v>46145</v>
      </c>
      <c r="B16704" s="4" t="s">
        <v>13</v>
      </c>
      <c r="C16704" s="4" t="n">
        <v>6</v>
      </c>
      <c r="D16704" s="4" t="n">
        <v>4</v>
      </c>
      <c r="E16704" s="4" t="s">
        <v>7014</v>
      </c>
      <c r="F16704" s="4" t="n">
        <v>34</v>
      </c>
      <c r="G16704" s="4" t="n">
        <v>3</v>
      </c>
      <c r="H16704" s="4" t="n">
        <v>4</v>
      </c>
      <c r="I16704" s="4" t="str">
        <v>×</v>
      </c>
      <c r="J16704" s="4"/>
      <c r="K16704" s="4"/>
      <c r="L16704" s="4"/>
      <c r="M16704" s="7" t="s">
        <v>6871</v>
      </c>
    </row>
    <row r="16705" customFormat="false" ht="15.75" hidden="false" customHeight="false" outlineLevel="0" collapsed="false">
      <c r="A16705" s="6" t="n">
        <f aca="false">DATE(2026,5,3)</f>
        <v>46145</v>
      </c>
      <c r="B16705" s="4" t="s">
        <v>13</v>
      </c>
      <c r="C16705" s="4" t="n">
        <v>6</v>
      </c>
      <c r="D16705" s="4" t="n">
        <v>5</v>
      </c>
      <c r="E16705" s="4" t="s">
        <v>5607</v>
      </c>
      <c r="F16705" s="4" t="n">
        <v>6</v>
      </c>
      <c r="G16705" s="4" t="n">
        <v>11</v>
      </c>
      <c r="H16705" s="4" t="n">
        <v>4</v>
      </c>
      <c r="I16705" s="4" t="str">
        <v>×</v>
      </c>
      <c r="J16705" s="4"/>
      <c r="K16705" s="4"/>
      <c r="L16705" s="4"/>
      <c r="M16705" s="7" t="s">
        <v>6871</v>
      </c>
    </row>
    <row r="16706" customFormat="false" ht="15.75" hidden="false" customHeight="false" outlineLevel="0" collapsed="false">
      <c r="A16706" s="6" t="n">
        <f aca="false">DATE(2026,5,3)</f>
        <v>46145</v>
      </c>
      <c r="B16706" s="4" t="s">
        <v>13</v>
      </c>
      <c r="C16706" s="4" t="n">
        <v>6</v>
      </c>
      <c r="D16706" s="4" t="n">
        <v>6</v>
      </c>
      <c r="E16706" s="4" t="s">
        <v>7446</v>
      </c>
      <c r="F16706" s="4" t="n">
        <v>6</v>
      </c>
      <c r="G16706" s="4" t="n">
        <v>12</v>
      </c>
      <c r="H16706" s="4" t="n">
        <v>4</v>
      </c>
      <c r="I16706" s="4" t="str">
        <v>×</v>
      </c>
      <c r="J16706" s="4"/>
      <c r="K16706" s="4"/>
      <c r="L16706" s="4"/>
      <c r="M16706" s="7" t="s">
        <v>6871</v>
      </c>
    </row>
    <row r="16707" customFormat="false" ht="15.75" hidden="false" customHeight="false" outlineLevel="0" collapsed="false">
      <c r="A16707" s="6" t="n">
        <f aca="false">DATE(2026,5,3)</f>
        <v>46145</v>
      </c>
      <c r="B16707" s="4" t="s">
        <v>13</v>
      </c>
      <c r="C16707" s="4" t="n">
        <v>6</v>
      </c>
      <c r="D16707" s="4" t="n">
        <v>7</v>
      </c>
      <c r="E16707" s="4" t="s">
        <v>3195</v>
      </c>
      <c r="F16707" s="4" t="n">
        <v>10</v>
      </c>
      <c r="G16707" s="4" t="n">
        <v>9</v>
      </c>
      <c r="H16707" s="4" t="n">
        <v>4</v>
      </c>
      <c r="I16707" s="4" t="str">
        <v>×</v>
      </c>
      <c r="J16707" s="4"/>
      <c r="K16707" s="4"/>
      <c r="L16707" s="4"/>
      <c r="M16707" s="7" t="s">
        <v>6871</v>
      </c>
    </row>
    <row r="16708" customFormat="false" ht="15.75" hidden="false" customHeight="false" outlineLevel="0" collapsed="false">
      <c r="A16708" s="6" t="n">
        <f aca="false">DATE(2026,5,3)</f>
        <v>46145</v>
      </c>
      <c r="B16708" s="4" t="s">
        <v>13</v>
      </c>
      <c r="C16708" s="4" t="n">
        <v>6</v>
      </c>
      <c r="D16708" s="4" t="n">
        <v>8</v>
      </c>
      <c r="E16708" s="4" t="s">
        <v>2769</v>
      </c>
      <c r="F16708" s="4" t="n">
        <v>31</v>
      </c>
      <c r="G16708" s="4" t="n">
        <v>4</v>
      </c>
      <c r="H16708" s="4" t="n">
        <v>3</v>
      </c>
      <c r="I16708" s="4" t="str">
        <v>○</v>
      </c>
      <c r="J16708" s="4" t="n">
        <v>280</v>
      </c>
      <c r="K16708" s="4"/>
      <c r="L16708" s="4"/>
      <c r="M16708" s="7" t="s">
        <v>6871</v>
      </c>
    </row>
    <row r="16709" customFormat="false" ht="15.75" hidden="false" customHeight="false" outlineLevel="0" collapsed="false">
      <c r="A16709" s="6" t="n">
        <f aca="false">DATE(2026,5,3)</f>
        <v>46145</v>
      </c>
      <c r="B16709" s="4" t="s">
        <v>13</v>
      </c>
      <c r="C16709" s="4" t="n">
        <v>6</v>
      </c>
      <c r="D16709" s="4" t="n">
        <v>9</v>
      </c>
      <c r="E16709" s="4" t="s">
        <v>5792</v>
      </c>
      <c r="F16709" s="4" t="n">
        <v>15</v>
      </c>
      <c r="G16709" s="4" t="n">
        <v>8</v>
      </c>
      <c r="H16709" s="4" t="n">
        <v>4</v>
      </c>
      <c r="I16709" s="4" t="str">
        <v>×</v>
      </c>
      <c r="J16709" s="4"/>
      <c r="K16709" s="4"/>
      <c r="L16709" s="4"/>
      <c r="M16709" s="7" t="s">
        <v>6871</v>
      </c>
    </row>
    <row r="16710" customFormat="false" ht="15.75" hidden="false" customHeight="false" outlineLevel="0" collapsed="false">
      <c r="A16710" s="6" t="n">
        <f aca="false">DATE(2026,5,3)</f>
        <v>46145</v>
      </c>
      <c r="B16710" s="4" t="s">
        <v>13</v>
      </c>
      <c r="C16710" s="4" t="n">
        <v>6</v>
      </c>
      <c r="D16710" s="4" t="n">
        <v>10</v>
      </c>
      <c r="E16710" s="4" t="s">
        <v>4336</v>
      </c>
      <c r="F16710" s="4" t="n">
        <v>62</v>
      </c>
      <c r="G16710" s="4" t="n">
        <v>1</v>
      </c>
      <c r="H16710" s="4" t="n">
        <v>1</v>
      </c>
      <c r="I16710" s="4" t="str">
        <v>○</v>
      </c>
      <c r="J16710" s="4" t="n">
        <v>160</v>
      </c>
      <c r="K16710" s="4"/>
      <c r="L16710" s="4"/>
      <c r="M16710" s="7" t="s">
        <v>6871</v>
      </c>
    </row>
    <row r="16711" customFormat="false" ht="15.75" hidden="false" customHeight="false" outlineLevel="0" collapsed="false">
      <c r="A16711" s="6" t="n">
        <f aca="false">DATE(2026,5,3)</f>
        <v>46145</v>
      </c>
      <c r="B16711" s="4" t="s">
        <v>13</v>
      </c>
      <c r="C16711" s="4" t="n">
        <v>6</v>
      </c>
      <c r="D16711" s="4" t="n">
        <v>11</v>
      </c>
      <c r="E16711" s="4" t="s">
        <v>6665</v>
      </c>
      <c r="F16711" s="4" t="n">
        <v>25</v>
      </c>
      <c r="G16711" s="4" t="n">
        <v>6</v>
      </c>
      <c r="H16711" s="4" t="n">
        <v>4</v>
      </c>
      <c r="I16711" s="4" t="str">
        <v>×</v>
      </c>
      <c r="J16711" s="4"/>
      <c r="K16711" s="4"/>
      <c r="L16711" s="4"/>
      <c r="M16711" s="7" t="s">
        <v>6871</v>
      </c>
    </row>
    <row r="16712" customFormat="false" ht="15.75" hidden="false" customHeight="false" outlineLevel="0" collapsed="false">
      <c r="A16712" s="6" t="n">
        <f aca="false">DATE(2026,5,3)</f>
        <v>46145</v>
      </c>
      <c r="B16712" s="4" t="s">
        <v>13</v>
      </c>
      <c r="C16712" s="4" t="n">
        <v>6</v>
      </c>
      <c r="D16712" s="4" t="n">
        <v>12</v>
      </c>
      <c r="E16712" s="4" t="s">
        <v>7447</v>
      </c>
      <c r="F16712" s="4" t="n">
        <v>31</v>
      </c>
      <c r="G16712" s="4" t="n">
        <v>5</v>
      </c>
      <c r="H16712" s="4" t="n">
        <v>4</v>
      </c>
      <c r="I16712" s="4" t="str">
        <v>×</v>
      </c>
      <c r="J16712" s="4"/>
      <c r="K16712" s="4"/>
      <c r="L16712" s="4"/>
      <c r="M16712" s="7" t="s">
        <v>6871</v>
      </c>
    </row>
    <row r="16713" customFormat="false" ht="15.75" hidden="false" customHeight="false" outlineLevel="0" collapsed="false">
      <c r="A16713" s="6" t="n">
        <f aca="false">DATE(2026,5,3)</f>
        <v>46145</v>
      </c>
      <c r="B16713" s="4" t="s">
        <v>13</v>
      </c>
      <c r="C16713" s="4" t="n">
        <v>6</v>
      </c>
      <c r="D16713" s="4" t="n">
        <v>13</v>
      </c>
      <c r="E16713" s="4" t="s">
        <v>3785</v>
      </c>
      <c r="F16713" s="4" t="n">
        <v>4</v>
      </c>
      <c r="G16713" s="4" t="n">
        <v>13</v>
      </c>
      <c r="H16713" s="4" t="n">
        <v>4</v>
      </c>
      <c r="I16713" s="4" t="str">
        <v>×</v>
      </c>
      <c r="J16713" s="4"/>
      <c r="K16713" s="4"/>
      <c r="L16713" s="4"/>
      <c r="M16713" s="7" t="s">
        <v>6871</v>
      </c>
    </row>
    <row r="16714" customFormat="false" ht="15.75" hidden="false" customHeight="false" outlineLevel="0" collapsed="false">
      <c r="A16714" s="6" t="n">
        <f aca="false">DATE(2026,5,3)</f>
        <v>46145</v>
      </c>
      <c r="B16714" s="4" t="s">
        <v>13</v>
      </c>
      <c r="C16714" s="4" t="n">
        <v>7</v>
      </c>
      <c r="D16714" s="4" t="n">
        <v>1</v>
      </c>
      <c r="E16714" s="4" t="s">
        <v>82</v>
      </c>
      <c r="F16714" s="4" t="n">
        <v>39</v>
      </c>
      <c r="G16714" s="4" t="n">
        <v>1</v>
      </c>
      <c r="H16714" s="4" t="n">
        <v>1</v>
      </c>
      <c r="I16714" s="4" t="str">
        <v>○</v>
      </c>
      <c r="J16714" s="4" t="n">
        <v>250</v>
      </c>
      <c r="K16714" s="4"/>
      <c r="L16714" s="4"/>
      <c r="M16714" s="7" t="s">
        <v>6871</v>
      </c>
    </row>
    <row r="16715" customFormat="false" ht="15.75" hidden="false" customHeight="false" outlineLevel="0" collapsed="false">
      <c r="A16715" s="6" t="n">
        <f aca="false">DATE(2026,5,3)</f>
        <v>46145</v>
      </c>
      <c r="B16715" s="4" t="s">
        <v>13</v>
      </c>
      <c r="C16715" s="4" t="n">
        <v>7</v>
      </c>
      <c r="D16715" s="4" t="n">
        <v>2</v>
      </c>
      <c r="E16715" s="4" t="s">
        <v>7448</v>
      </c>
      <c r="F16715" s="4" t="n">
        <v>15</v>
      </c>
      <c r="G16715" s="4" t="n">
        <v>9</v>
      </c>
      <c r="H16715" s="4" t="n">
        <v>4</v>
      </c>
      <c r="I16715" s="4" t="str">
        <v>×</v>
      </c>
      <c r="J16715" s="4"/>
      <c r="K16715" s="4"/>
      <c r="L16715" s="4"/>
      <c r="M16715" s="7" t="s">
        <v>6871</v>
      </c>
    </row>
    <row r="16716" customFormat="false" ht="15.75" hidden="false" customHeight="false" outlineLevel="0" collapsed="false">
      <c r="A16716" s="6" t="n">
        <f aca="false">DATE(2026,5,3)</f>
        <v>46145</v>
      </c>
      <c r="B16716" s="4" t="s">
        <v>13</v>
      </c>
      <c r="C16716" s="4" t="n">
        <v>7</v>
      </c>
      <c r="D16716" s="4" t="n">
        <v>3</v>
      </c>
      <c r="E16716" s="4" t="s">
        <v>7449</v>
      </c>
      <c r="F16716" s="4" t="n">
        <v>20</v>
      </c>
      <c r="G16716" s="4" t="n">
        <v>5</v>
      </c>
      <c r="H16716" s="4" t="n">
        <v>4</v>
      </c>
      <c r="I16716" s="4" t="str">
        <v>×</v>
      </c>
      <c r="J16716" s="4"/>
      <c r="K16716" s="4"/>
      <c r="L16716" s="4"/>
      <c r="M16716" s="7" t="s">
        <v>6871</v>
      </c>
    </row>
    <row r="16717" customFormat="false" ht="15.75" hidden="false" customHeight="false" outlineLevel="0" collapsed="false">
      <c r="A16717" s="6" t="n">
        <f aca="false">DATE(2026,5,3)</f>
        <v>46145</v>
      </c>
      <c r="B16717" s="4" t="s">
        <v>13</v>
      </c>
      <c r="C16717" s="4" t="n">
        <v>7</v>
      </c>
      <c r="D16717" s="4" t="n">
        <v>4</v>
      </c>
      <c r="E16717" s="4" t="s">
        <v>2961</v>
      </c>
      <c r="F16717" s="4" t="n">
        <v>17</v>
      </c>
      <c r="G16717" s="4" t="n">
        <v>8</v>
      </c>
      <c r="H16717" s="4" t="n">
        <v>4</v>
      </c>
      <c r="I16717" s="4" t="str">
        <v>×</v>
      </c>
      <c r="J16717" s="4"/>
      <c r="K16717" s="4"/>
      <c r="L16717" s="4"/>
      <c r="M16717" s="7" t="s">
        <v>6871</v>
      </c>
    </row>
    <row r="16718" customFormat="false" ht="15.75" hidden="false" customHeight="false" outlineLevel="0" collapsed="false">
      <c r="A16718" s="6" t="n">
        <f aca="false">DATE(2026,5,3)</f>
        <v>46145</v>
      </c>
      <c r="B16718" s="4" t="s">
        <v>13</v>
      </c>
      <c r="C16718" s="4" t="n">
        <v>7</v>
      </c>
      <c r="D16718" s="4" t="n">
        <v>5</v>
      </c>
      <c r="E16718" s="4" t="s">
        <v>2366</v>
      </c>
      <c r="F16718" s="4" t="n">
        <v>10</v>
      </c>
      <c r="G16718" s="4" t="n">
        <v>11</v>
      </c>
      <c r="H16718" s="4" t="n">
        <v>4</v>
      </c>
      <c r="I16718" s="4" t="str">
        <v>×</v>
      </c>
      <c r="J16718" s="4"/>
      <c r="K16718" s="4"/>
      <c r="L16718" s="4"/>
      <c r="M16718" s="7" t="s">
        <v>6871</v>
      </c>
    </row>
    <row r="16719" customFormat="false" ht="15.75" hidden="false" customHeight="false" outlineLevel="0" collapsed="false">
      <c r="A16719" s="6" t="n">
        <f aca="false">DATE(2026,5,3)</f>
        <v>46145</v>
      </c>
      <c r="B16719" s="4" t="s">
        <v>13</v>
      </c>
      <c r="C16719" s="4" t="n">
        <v>7</v>
      </c>
      <c r="D16719" s="4" t="n">
        <v>6</v>
      </c>
      <c r="E16719" s="4" t="s">
        <v>7450</v>
      </c>
      <c r="F16719" s="4" t="n">
        <v>2</v>
      </c>
      <c r="G16719" s="4" t="n">
        <v>15</v>
      </c>
      <c r="H16719" s="4" t="n">
        <v>4</v>
      </c>
      <c r="I16719" s="4" t="str">
        <v>×</v>
      </c>
      <c r="J16719" s="4"/>
      <c r="K16719" s="4"/>
      <c r="L16719" s="4"/>
      <c r="M16719" s="7" t="s">
        <v>6871</v>
      </c>
    </row>
    <row r="16720" customFormat="false" ht="15.75" hidden="false" customHeight="false" outlineLevel="0" collapsed="false">
      <c r="A16720" s="6" t="n">
        <f aca="false">DATE(2026,5,3)</f>
        <v>46145</v>
      </c>
      <c r="B16720" s="4" t="s">
        <v>13</v>
      </c>
      <c r="C16720" s="4" t="n">
        <v>7</v>
      </c>
      <c r="D16720" s="4" t="n">
        <v>7</v>
      </c>
      <c r="E16720" s="4" t="s">
        <v>6335</v>
      </c>
      <c r="F16720" s="4" t="n">
        <v>39</v>
      </c>
      <c r="G16720" s="4" t="n">
        <v>2</v>
      </c>
      <c r="H16720" s="4" t="n">
        <v>4</v>
      </c>
      <c r="I16720" s="4" t="str">
        <v>×</v>
      </c>
      <c r="J16720" s="4"/>
      <c r="K16720" s="4"/>
      <c r="L16720" s="4"/>
      <c r="M16720" s="7" t="s">
        <v>6871</v>
      </c>
    </row>
    <row r="16721" customFormat="false" ht="15.75" hidden="false" customHeight="false" outlineLevel="0" collapsed="false">
      <c r="A16721" s="6" t="n">
        <f aca="false">DATE(2026,5,3)</f>
        <v>46145</v>
      </c>
      <c r="B16721" s="4" t="s">
        <v>13</v>
      </c>
      <c r="C16721" s="4" t="n">
        <v>7</v>
      </c>
      <c r="D16721" s="4" t="n">
        <v>8</v>
      </c>
      <c r="E16721" s="4" t="s">
        <v>6649</v>
      </c>
      <c r="F16721" s="4" t="n">
        <v>2</v>
      </c>
      <c r="G16721" s="4" t="n">
        <v>16</v>
      </c>
      <c r="H16721" s="4" t="n">
        <v>4</v>
      </c>
      <c r="I16721" s="4" t="str">
        <v>×</v>
      </c>
      <c r="J16721" s="4"/>
      <c r="K16721" s="4"/>
      <c r="L16721" s="4"/>
      <c r="M16721" s="7" t="s">
        <v>6871</v>
      </c>
    </row>
    <row r="16722" customFormat="false" ht="15.75" hidden="false" customHeight="false" outlineLevel="0" collapsed="false">
      <c r="A16722" s="6" t="n">
        <f aca="false">DATE(2026,5,3)</f>
        <v>46145</v>
      </c>
      <c r="B16722" s="4" t="s">
        <v>13</v>
      </c>
      <c r="C16722" s="4" t="n">
        <v>7</v>
      </c>
      <c r="D16722" s="4" t="n">
        <v>9</v>
      </c>
      <c r="E16722" s="4" t="s">
        <v>1377</v>
      </c>
      <c r="F16722" s="4" t="n">
        <v>4</v>
      </c>
      <c r="G16722" s="4" t="n">
        <v>13</v>
      </c>
      <c r="H16722" s="4" t="n">
        <v>2</v>
      </c>
      <c r="I16722" s="4" t="str">
        <v>○</v>
      </c>
      <c r="J16722" s="4" t="n">
        <v>580</v>
      </c>
      <c r="K16722" s="4"/>
      <c r="L16722" s="4"/>
      <c r="M16722" s="7" t="s">
        <v>6871</v>
      </c>
    </row>
    <row r="16723" customFormat="false" ht="15.75" hidden="false" customHeight="false" outlineLevel="0" collapsed="false">
      <c r="A16723" s="6" t="n">
        <f aca="false">DATE(2026,5,3)</f>
        <v>46145</v>
      </c>
      <c r="B16723" s="4" t="s">
        <v>13</v>
      </c>
      <c r="C16723" s="4" t="n">
        <v>7</v>
      </c>
      <c r="D16723" s="4" t="n">
        <v>10</v>
      </c>
      <c r="E16723" s="4" t="s">
        <v>5770</v>
      </c>
      <c r="F16723" s="4" t="n">
        <v>13</v>
      </c>
      <c r="G16723" s="4" t="n">
        <v>10</v>
      </c>
      <c r="H16723" s="4" t="n">
        <v>4</v>
      </c>
      <c r="I16723" s="4" t="str">
        <v>×</v>
      </c>
      <c r="J16723" s="4"/>
      <c r="K16723" s="4"/>
      <c r="L16723" s="4"/>
      <c r="M16723" s="7" t="s">
        <v>6871</v>
      </c>
    </row>
    <row r="16724" customFormat="false" ht="15.75" hidden="false" customHeight="false" outlineLevel="0" collapsed="false">
      <c r="A16724" s="6" t="n">
        <f aca="false">DATE(2026,5,3)</f>
        <v>46145</v>
      </c>
      <c r="B16724" s="4" t="s">
        <v>13</v>
      </c>
      <c r="C16724" s="4" t="n">
        <v>7</v>
      </c>
      <c r="D16724" s="4" t="n">
        <v>11</v>
      </c>
      <c r="E16724" s="4" t="s">
        <v>2133</v>
      </c>
      <c r="F16724" s="4" t="n">
        <v>34</v>
      </c>
      <c r="G16724" s="4" t="n">
        <v>3</v>
      </c>
      <c r="H16724" s="4" t="n">
        <v>3</v>
      </c>
      <c r="I16724" s="4" t="str">
        <v>○</v>
      </c>
      <c r="J16724" s="4" t="n">
        <v>200</v>
      </c>
      <c r="K16724" s="4"/>
      <c r="L16724" s="4"/>
      <c r="M16724" s="7" t="s">
        <v>6871</v>
      </c>
    </row>
    <row r="16725" customFormat="false" ht="15.75" hidden="false" customHeight="false" outlineLevel="0" collapsed="false">
      <c r="A16725" s="6" t="n">
        <f aca="false">DATE(2026,5,3)</f>
        <v>46145</v>
      </c>
      <c r="B16725" s="4" t="s">
        <v>13</v>
      </c>
      <c r="C16725" s="4" t="n">
        <v>7</v>
      </c>
      <c r="D16725" s="4" t="n">
        <v>12</v>
      </c>
      <c r="E16725" s="4" t="s">
        <v>1021</v>
      </c>
      <c r="F16725" s="4" t="n">
        <v>20</v>
      </c>
      <c r="G16725" s="4" t="n">
        <v>6</v>
      </c>
      <c r="H16725" s="4" t="n">
        <v>4</v>
      </c>
      <c r="I16725" s="4" t="str">
        <v>×</v>
      </c>
      <c r="J16725" s="4"/>
      <c r="K16725" s="4"/>
      <c r="L16725" s="4"/>
      <c r="M16725" s="7" t="s">
        <v>6871</v>
      </c>
    </row>
    <row r="16726" customFormat="false" ht="15.75" hidden="false" customHeight="false" outlineLevel="0" collapsed="false">
      <c r="A16726" s="6" t="n">
        <f aca="false">DATE(2026,5,3)</f>
        <v>46145</v>
      </c>
      <c r="B16726" s="4" t="s">
        <v>13</v>
      </c>
      <c r="C16726" s="4" t="n">
        <v>7</v>
      </c>
      <c r="D16726" s="4" t="n">
        <v>13</v>
      </c>
      <c r="E16726" s="4" t="s">
        <v>6548</v>
      </c>
      <c r="F16726" s="4" t="n">
        <v>20</v>
      </c>
      <c r="G16726" s="4" t="n">
        <v>7</v>
      </c>
      <c r="H16726" s="4" t="n">
        <v>4</v>
      </c>
      <c r="I16726" s="4" t="str">
        <v>×</v>
      </c>
      <c r="J16726" s="4"/>
      <c r="K16726" s="4"/>
      <c r="L16726" s="4"/>
      <c r="M16726" s="7" t="s">
        <v>6871</v>
      </c>
    </row>
    <row r="16727" customFormat="false" ht="15.75" hidden="false" customHeight="false" outlineLevel="0" collapsed="false">
      <c r="A16727" s="6" t="n">
        <f aca="false">DATE(2026,5,3)</f>
        <v>46145</v>
      </c>
      <c r="B16727" s="4" t="s">
        <v>13</v>
      </c>
      <c r="C16727" s="4" t="n">
        <v>7</v>
      </c>
      <c r="D16727" s="4" t="n">
        <v>14</v>
      </c>
      <c r="E16727" s="4" t="s">
        <v>6770</v>
      </c>
      <c r="F16727" s="4" t="n">
        <v>23</v>
      </c>
      <c r="G16727" s="4" t="n">
        <v>4</v>
      </c>
      <c r="H16727" s="4" t="n">
        <v>4</v>
      </c>
      <c r="I16727" s="4" t="str">
        <v>×</v>
      </c>
      <c r="J16727" s="4"/>
      <c r="K16727" s="4"/>
      <c r="L16727" s="4"/>
      <c r="M16727" s="7" t="s">
        <v>6871</v>
      </c>
    </row>
    <row r="16728" customFormat="false" ht="15.75" hidden="false" customHeight="false" outlineLevel="0" collapsed="false">
      <c r="A16728" s="6" t="n">
        <f aca="false">DATE(2026,5,3)</f>
        <v>46145</v>
      </c>
      <c r="B16728" s="4" t="s">
        <v>13</v>
      </c>
      <c r="C16728" s="4" t="n">
        <v>7</v>
      </c>
      <c r="D16728" s="4" t="n">
        <v>15</v>
      </c>
      <c r="E16728" s="4" t="s">
        <v>1375</v>
      </c>
      <c r="F16728" s="4" t="n">
        <v>8</v>
      </c>
      <c r="G16728" s="4" t="n">
        <v>12</v>
      </c>
      <c r="H16728" s="4" t="n">
        <v>4</v>
      </c>
      <c r="I16728" s="4" t="str">
        <v>×</v>
      </c>
      <c r="J16728" s="4"/>
      <c r="K16728" s="4"/>
      <c r="L16728" s="4"/>
      <c r="M16728" s="7" t="s">
        <v>6871</v>
      </c>
    </row>
    <row r="16729" customFormat="false" ht="15.75" hidden="false" customHeight="false" outlineLevel="0" collapsed="false">
      <c r="A16729" s="6" t="n">
        <f aca="false">DATE(2026,5,3)</f>
        <v>46145</v>
      </c>
      <c r="B16729" s="4" t="s">
        <v>13</v>
      </c>
      <c r="C16729" s="4" t="n">
        <v>7</v>
      </c>
      <c r="D16729" s="4" t="n">
        <v>16</v>
      </c>
      <c r="E16729" s="4" t="s">
        <v>2547</v>
      </c>
      <c r="F16729" s="4" t="n">
        <v>3</v>
      </c>
      <c r="G16729" s="4" t="n">
        <v>14</v>
      </c>
      <c r="H16729" s="4" t="n">
        <v>4</v>
      </c>
      <c r="I16729" s="4" t="str">
        <v>×</v>
      </c>
      <c r="J16729" s="4"/>
      <c r="K16729" s="4"/>
      <c r="L16729" s="4"/>
      <c r="M16729" s="7" t="s">
        <v>6871</v>
      </c>
    </row>
    <row r="16730" customFormat="false" ht="15.75" hidden="false" customHeight="false" outlineLevel="0" collapsed="false">
      <c r="A16730" s="6" t="n">
        <f aca="false">DATE(2026,5,3)</f>
        <v>46145</v>
      </c>
      <c r="B16730" s="4" t="s">
        <v>13</v>
      </c>
      <c r="C16730" s="4" t="n">
        <v>8</v>
      </c>
      <c r="D16730" s="4" t="n">
        <v>1</v>
      </c>
      <c r="E16730" s="4" t="s">
        <v>5387</v>
      </c>
      <c r="F16730" s="4" t="n">
        <v>25</v>
      </c>
      <c r="G16730" s="4" t="n">
        <v>6</v>
      </c>
      <c r="H16730" s="4" t="n">
        <v>4</v>
      </c>
      <c r="I16730" s="4" t="str">
        <v>×</v>
      </c>
      <c r="J16730" s="4"/>
      <c r="K16730" s="4"/>
      <c r="L16730" s="4"/>
      <c r="M16730" s="7" t="s">
        <v>6871</v>
      </c>
    </row>
    <row r="16731" customFormat="false" ht="15.75" hidden="false" customHeight="false" outlineLevel="0" collapsed="false">
      <c r="A16731" s="6" t="n">
        <f aca="false">DATE(2026,5,3)</f>
        <v>46145</v>
      </c>
      <c r="B16731" s="4" t="s">
        <v>13</v>
      </c>
      <c r="C16731" s="4" t="n">
        <v>8</v>
      </c>
      <c r="D16731" s="4" t="n">
        <v>2</v>
      </c>
      <c r="E16731" s="4" t="s">
        <v>7451</v>
      </c>
      <c r="F16731" s="4" t="n">
        <v>8</v>
      </c>
      <c r="G16731" s="4" t="n">
        <v>11</v>
      </c>
      <c r="H16731" s="4" t="n">
        <v>4</v>
      </c>
      <c r="I16731" s="4" t="str">
        <v>×</v>
      </c>
      <c r="J16731" s="4"/>
      <c r="K16731" s="4"/>
      <c r="L16731" s="4"/>
      <c r="M16731" s="7" t="s">
        <v>6871</v>
      </c>
    </row>
    <row r="16732" customFormat="false" ht="15.75" hidden="false" customHeight="false" outlineLevel="0" collapsed="false">
      <c r="A16732" s="6" t="n">
        <f aca="false">DATE(2026,5,3)</f>
        <v>46145</v>
      </c>
      <c r="B16732" s="4" t="s">
        <v>13</v>
      </c>
      <c r="C16732" s="4" t="n">
        <v>8</v>
      </c>
      <c r="D16732" s="4" t="n">
        <v>3</v>
      </c>
      <c r="E16732" s="4" t="s">
        <v>6471</v>
      </c>
      <c r="F16732" s="4" t="n">
        <v>34</v>
      </c>
      <c r="G16732" s="4" t="n">
        <v>3</v>
      </c>
      <c r="H16732" s="4" t="n">
        <v>4</v>
      </c>
      <c r="I16732" s="4" t="str">
        <v>×</v>
      </c>
      <c r="J16732" s="4"/>
      <c r="K16732" s="4"/>
      <c r="L16732" s="4"/>
      <c r="M16732" s="7" t="s">
        <v>6871</v>
      </c>
    </row>
    <row r="16733" customFormat="false" ht="15.75" hidden="false" customHeight="false" outlineLevel="0" collapsed="false">
      <c r="A16733" s="6" t="n">
        <f aca="false">DATE(2026,5,3)</f>
        <v>46145</v>
      </c>
      <c r="B16733" s="4" t="s">
        <v>13</v>
      </c>
      <c r="C16733" s="4" t="n">
        <v>8</v>
      </c>
      <c r="D16733" s="4" t="n">
        <v>4</v>
      </c>
      <c r="E16733" s="4" t="s">
        <v>1826</v>
      </c>
      <c r="F16733" s="4" t="n">
        <v>52</v>
      </c>
      <c r="G16733" s="4" t="n">
        <v>1</v>
      </c>
      <c r="H16733" s="4" t="n">
        <v>1</v>
      </c>
      <c r="I16733" s="4" t="str">
        <v>○</v>
      </c>
      <c r="J16733" s="4" t="n">
        <v>150</v>
      </c>
      <c r="K16733" s="4"/>
      <c r="L16733" s="4"/>
      <c r="M16733" s="7" t="s">
        <v>6871</v>
      </c>
    </row>
    <row r="16734" customFormat="false" ht="15.75" hidden="false" customHeight="false" outlineLevel="0" collapsed="false">
      <c r="A16734" s="6" t="n">
        <f aca="false">DATE(2026,5,3)</f>
        <v>46145</v>
      </c>
      <c r="B16734" s="4" t="s">
        <v>13</v>
      </c>
      <c r="C16734" s="4" t="n">
        <v>8</v>
      </c>
      <c r="D16734" s="4" t="n">
        <v>5</v>
      </c>
      <c r="E16734" s="4" t="s">
        <v>4641</v>
      </c>
      <c r="F16734" s="4" t="n">
        <v>25</v>
      </c>
      <c r="G16734" s="4" t="n">
        <v>7</v>
      </c>
      <c r="H16734" s="4" t="n">
        <v>3</v>
      </c>
      <c r="I16734" s="4" t="str">
        <v>○</v>
      </c>
      <c r="J16734" s="4" t="n">
        <v>350</v>
      </c>
      <c r="K16734" s="4"/>
      <c r="L16734" s="4"/>
      <c r="M16734" s="7" t="s">
        <v>6871</v>
      </c>
    </row>
    <row r="16735" customFormat="false" ht="15.75" hidden="false" customHeight="false" outlineLevel="0" collapsed="false">
      <c r="A16735" s="6" t="n">
        <f aca="false">DATE(2026,5,3)</f>
        <v>46145</v>
      </c>
      <c r="B16735" s="4" t="s">
        <v>13</v>
      </c>
      <c r="C16735" s="4" t="n">
        <v>8</v>
      </c>
      <c r="D16735" s="4" t="n">
        <v>6</v>
      </c>
      <c r="E16735" s="4" t="s">
        <v>4740</v>
      </c>
      <c r="F16735" s="4" t="n">
        <v>41</v>
      </c>
      <c r="G16735" s="4" t="n">
        <v>2</v>
      </c>
      <c r="H16735" s="4" t="n">
        <v>2</v>
      </c>
      <c r="I16735" s="4" t="str">
        <v>○</v>
      </c>
      <c r="J16735" s="4" t="n">
        <v>210</v>
      </c>
      <c r="K16735" s="4"/>
      <c r="L16735" s="4"/>
      <c r="M16735" s="7" t="s">
        <v>6871</v>
      </c>
    </row>
    <row r="16736" customFormat="false" ht="15.75" hidden="false" customHeight="false" outlineLevel="0" collapsed="false">
      <c r="A16736" s="6" t="n">
        <f aca="false">DATE(2026,5,3)</f>
        <v>46145</v>
      </c>
      <c r="B16736" s="4" t="s">
        <v>13</v>
      </c>
      <c r="C16736" s="4" t="n">
        <v>8</v>
      </c>
      <c r="D16736" s="4" t="n">
        <v>7</v>
      </c>
      <c r="E16736" s="4" t="s">
        <v>4065</v>
      </c>
      <c r="F16736" s="4" t="n">
        <v>34</v>
      </c>
      <c r="G16736" s="4" t="n">
        <v>4</v>
      </c>
      <c r="H16736" s="4" t="n">
        <v>4</v>
      </c>
      <c r="I16736" s="4" t="str">
        <v>×</v>
      </c>
      <c r="J16736" s="4"/>
      <c r="K16736" s="4"/>
      <c r="L16736" s="4"/>
      <c r="M16736" s="7" t="s">
        <v>6871</v>
      </c>
    </row>
    <row r="16737" customFormat="false" ht="15.75" hidden="false" customHeight="false" outlineLevel="0" collapsed="false">
      <c r="A16737" s="6" t="n">
        <f aca="false">DATE(2026,5,3)</f>
        <v>46145</v>
      </c>
      <c r="B16737" s="4" t="s">
        <v>13</v>
      </c>
      <c r="C16737" s="4" t="n">
        <v>8</v>
      </c>
      <c r="D16737" s="4" t="n">
        <v>8</v>
      </c>
      <c r="E16737" s="4" t="s">
        <v>5772</v>
      </c>
      <c r="F16737" s="4" t="n">
        <v>20</v>
      </c>
      <c r="G16737" s="4" t="n">
        <v>8</v>
      </c>
      <c r="H16737" s="4" t="n">
        <v>4</v>
      </c>
      <c r="I16737" s="4" t="str">
        <v>×</v>
      </c>
      <c r="J16737" s="4"/>
      <c r="K16737" s="4"/>
      <c r="L16737" s="4"/>
      <c r="M16737" s="7" t="s">
        <v>6871</v>
      </c>
    </row>
    <row r="16738" customFormat="false" ht="15.75" hidden="false" customHeight="false" outlineLevel="0" collapsed="false">
      <c r="A16738" s="6" t="n">
        <f aca="false">DATE(2026,5,3)</f>
        <v>46145</v>
      </c>
      <c r="B16738" s="4" t="s">
        <v>13</v>
      </c>
      <c r="C16738" s="4" t="n">
        <v>8</v>
      </c>
      <c r="D16738" s="4" t="n">
        <v>9</v>
      </c>
      <c r="E16738" s="4" t="s">
        <v>7452</v>
      </c>
      <c r="F16738" s="4" t="n">
        <v>34</v>
      </c>
      <c r="G16738" s="4" t="n">
        <v>5</v>
      </c>
      <c r="H16738" s="4" t="n">
        <v>4</v>
      </c>
      <c r="I16738" s="4" t="str">
        <v>×</v>
      </c>
      <c r="J16738" s="4"/>
      <c r="K16738" s="4"/>
      <c r="L16738" s="4"/>
      <c r="M16738" s="7" t="s">
        <v>6871</v>
      </c>
    </row>
    <row r="16739" customFormat="false" ht="15.75" hidden="false" customHeight="false" outlineLevel="0" collapsed="false">
      <c r="A16739" s="6" t="n">
        <f aca="false">DATE(2026,5,3)</f>
        <v>46145</v>
      </c>
      <c r="B16739" s="4" t="s">
        <v>13</v>
      </c>
      <c r="C16739" s="4" t="n">
        <v>8</v>
      </c>
      <c r="D16739" s="4" t="n">
        <v>10</v>
      </c>
      <c r="E16739" s="4" t="s">
        <v>7453</v>
      </c>
      <c r="F16739" s="4" t="n">
        <v>10</v>
      </c>
      <c r="G16739" s="4" t="n">
        <v>10</v>
      </c>
      <c r="H16739" s="4" t="n">
        <v>4</v>
      </c>
      <c r="I16739" s="4" t="str">
        <v>×</v>
      </c>
      <c r="J16739" s="4"/>
      <c r="K16739" s="4"/>
      <c r="L16739" s="4"/>
      <c r="M16739" s="7" t="s">
        <v>6871</v>
      </c>
    </row>
    <row r="16740" customFormat="false" ht="15.75" hidden="false" customHeight="false" outlineLevel="0" collapsed="false">
      <c r="A16740" s="6" t="n">
        <f aca="false">DATE(2026,5,3)</f>
        <v>46145</v>
      </c>
      <c r="B16740" s="4" t="s">
        <v>13</v>
      </c>
      <c r="C16740" s="4" t="n">
        <v>8</v>
      </c>
      <c r="D16740" s="4" t="n">
        <v>11</v>
      </c>
      <c r="E16740" s="4" t="s">
        <v>6324</v>
      </c>
      <c r="F16740" s="4" t="n">
        <v>2</v>
      </c>
      <c r="G16740" s="4" t="n">
        <v>12</v>
      </c>
      <c r="H16740" s="4" t="n">
        <v>4</v>
      </c>
      <c r="I16740" s="4" t="str">
        <v>×</v>
      </c>
      <c r="J16740" s="4"/>
      <c r="K16740" s="4"/>
      <c r="L16740" s="4"/>
      <c r="M16740" s="7" t="s">
        <v>6871</v>
      </c>
    </row>
    <row r="16741" customFormat="false" ht="15.75" hidden="false" customHeight="false" outlineLevel="0" collapsed="false">
      <c r="A16741" s="6" t="n">
        <f aca="false">DATE(2026,5,3)</f>
        <v>46145</v>
      </c>
      <c r="B16741" s="4" t="s">
        <v>13</v>
      </c>
      <c r="C16741" s="4" t="n">
        <v>8</v>
      </c>
      <c r="D16741" s="4" t="n">
        <v>12</v>
      </c>
      <c r="E16741" s="4" t="s">
        <v>5771</v>
      </c>
      <c r="F16741" s="4" t="n">
        <v>15</v>
      </c>
      <c r="G16741" s="4" t="n">
        <v>9</v>
      </c>
      <c r="H16741" s="4" t="n">
        <v>4</v>
      </c>
      <c r="I16741" s="4" t="str">
        <v>×</v>
      </c>
      <c r="J16741" s="4"/>
      <c r="K16741" s="4"/>
      <c r="L16741" s="4"/>
      <c r="M16741" s="7" t="s">
        <v>6871</v>
      </c>
    </row>
    <row r="16742" customFormat="false" ht="15.75" hidden="false" customHeight="false" outlineLevel="0" collapsed="false">
      <c r="A16742" s="6" t="n">
        <f aca="false">DATE(2026,5,3)</f>
        <v>46145</v>
      </c>
      <c r="B16742" s="4" t="s">
        <v>13</v>
      </c>
      <c r="C16742" s="4" t="n">
        <v>9</v>
      </c>
      <c r="D16742" s="4" t="n">
        <v>1</v>
      </c>
      <c r="E16742" s="4" t="s">
        <v>1833</v>
      </c>
      <c r="F16742" s="4" t="n">
        <v>13</v>
      </c>
      <c r="G16742" s="4" t="n">
        <v>7</v>
      </c>
      <c r="H16742" s="4" t="n">
        <v>4</v>
      </c>
      <c r="I16742" s="4" t="str">
        <v>×</v>
      </c>
      <c r="J16742" s="4"/>
      <c r="K16742" s="4"/>
      <c r="L16742" s="4"/>
      <c r="M16742" s="7" t="s">
        <v>6871</v>
      </c>
    </row>
    <row r="16743" customFormat="false" ht="15.75" hidden="false" customHeight="false" outlineLevel="0" collapsed="false">
      <c r="A16743" s="6" t="n">
        <f aca="false">DATE(2026,5,3)</f>
        <v>46145</v>
      </c>
      <c r="B16743" s="4" t="s">
        <v>13</v>
      </c>
      <c r="C16743" s="4" t="n">
        <v>9</v>
      </c>
      <c r="D16743" s="4" t="n">
        <v>2</v>
      </c>
      <c r="E16743" s="4" t="s">
        <v>3209</v>
      </c>
      <c r="F16743" s="4" t="n">
        <v>8</v>
      </c>
      <c r="G16743" s="4" t="n">
        <v>9</v>
      </c>
      <c r="H16743" s="4" t="n">
        <v>4</v>
      </c>
      <c r="I16743" s="4" t="str">
        <v>×</v>
      </c>
      <c r="J16743" s="4"/>
      <c r="K16743" s="4"/>
      <c r="L16743" s="4"/>
      <c r="M16743" s="7" t="s">
        <v>6871</v>
      </c>
    </row>
    <row r="16744" customFormat="false" ht="15.75" hidden="false" customHeight="false" outlineLevel="0" collapsed="false">
      <c r="A16744" s="6" t="n">
        <f aca="false">DATE(2026,5,3)</f>
        <v>46145</v>
      </c>
      <c r="B16744" s="4" t="s">
        <v>13</v>
      </c>
      <c r="C16744" s="4" t="n">
        <v>9</v>
      </c>
      <c r="D16744" s="4" t="n">
        <v>3</v>
      </c>
      <c r="E16744" s="4" t="s">
        <v>7454</v>
      </c>
      <c r="F16744" s="4" t="n">
        <v>52</v>
      </c>
      <c r="G16744" s="4" t="n">
        <v>2</v>
      </c>
      <c r="H16744" s="4" t="n">
        <v>2</v>
      </c>
      <c r="I16744" s="4" t="str">
        <v>○</v>
      </c>
      <c r="J16744" s="4" t="n">
        <v>130</v>
      </c>
      <c r="K16744" s="4"/>
      <c r="L16744" s="4"/>
      <c r="M16744" s="7" t="s">
        <v>6871</v>
      </c>
    </row>
    <row r="16745" customFormat="false" ht="15.75" hidden="false" customHeight="false" outlineLevel="0" collapsed="false">
      <c r="A16745" s="6" t="n">
        <f aca="false">DATE(2026,5,3)</f>
        <v>46145</v>
      </c>
      <c r="B16745" s="4" t="s">
        <v>13</v>
      </c>
      <c r="C16745" s="4" t="n">
        <v>9</v>
      </c>
      <c r="D16745" s="4" t="n">
        <v>4</v>
      </c>
      <c r="E16745" s="4" t="s">
        <v>3764</v>
      </c>
      <c r="F16745" s="4" t="n">
        <v>86</v>
      </c>
      <c r="G16745" s="4" t="n">
        <v>1</v>
      </c>
      <c r="H16745" s="4" t="n">
        <v>1</v>
      </c>
      <c r="I16745" s="4" t="str">
        <v>○</v>
      </c>
      <c r="J16745" s="4" t="n">
        <v>110</v>
      </c>
      <c r="K16745" s="4"/>
      <c r="L16745" s="4"/>
      <c r="M16745" s="7" t="s">
        <v>6871</v>
      </c>
    </row>
    <row r="16746" customFormat="false" ht="15.75" hidden="false" customHeight="false" outlineLevel="0" collapsed="false">
      <c r="A16746" s="6" t="n">
        <f aca="false">DATE(2026,5,3)</f>
        <v>46145</v>
      </c>
      <c r="B16746" s="4" t="s">
        <v>13</v>
      </c>
      <c r="C16746" s="4" t="n">
        <v>9</v>
      </c>
      <c r="D16746" s="4" t="n">
        <v>5</v>
      </c>
      <c r="E16746" s="4" t="s">
        <v>7455</v>
      </c>
      <c r="F16746" s="4" t="n">
        <v>10</v>
      </c>
      <c r="G16746" s="4" t="n">
        <v>8</v>
      </c>
      <c r="H16746" s="4" t="n">
        <v>4</v>
      </c>
      <c r="I16746" s="4" t="str">
        <v>×</v>
      </c>
      <c r="J16746" s="4"/>
      <c r="K16746" s="4"/>
      <c r="L16746" s="4"/>
      <c r="M16746" s="7" t="s">
        <v>6871</v>
      </c>
    </row>
    <row r="16747" customFormat="false" ht="15.75" hidden="false" customHeight="false" outlineLevel="0" collapsed="false">
      <c r="A16747" s="6" t="n">
        <f aca="false">DATE(2026,5,3)</f>
        <v>46145</v>
      </c>
      <c r="B16747" s="4" t="s">
        <v>13</v>
      </c>
      <c r="C16747" s="4" t="n">
        <v>9</v>
      </c>
      <c r="D16747" s="4" t="n">
        <v>6</v>
      </c>
      <c r="E16747" s="4" t="s">
        <v>3216</v>
      </c>
      <c r="F16747" s="4" t="n">
        <v>6</v>
      </c>
      <c r="G16747" s="4" t="n">
        <v>11</v>
      </c>
      <c r="H16747" s="4" t="n">
        <v>4</v>
      </c>
      <c r="I16747" s="4" t="str">
        <v>×</v>
      </c>
      <c r="J16747" s="4"/>
      <c r="K16747" s="4"/>
      <c r="L16747" s="4"/>
      <c r="M16747" s="7" t="s">
        <v>6871</v>
      </c>
    </row>
    <row r="16748" customFormat="false" ht="15.75" hidden="false" customHeight="false" outlineLevel="0" collapsed="false">
      <c r="A16748" s="6" t="n">
        <f aca="false">DATE(2026,5,3)</f>
        <v>46145</v>
      </c>
      <c r="B16748" s="4" t="s">
        <v>13</v>
      </c>
      <c r="C16748" s="4" t="n">
        <v>9</v>
      </c>
      <c r="D16748" s="4" t="n">
        <v>7</v>
      </c>
      <c r="E16748" s="4" t="s">
        <v>562</v>
      </c>
      <c r="F16748" s="4" t="n">
        <v>15</v>
      </c>
      <c r="G16748" s="4" t="n">
        <v>6</v>
      </c>
      <c r="H16748" s="4" t="n">
        <v>4</v>
      </c>
      <c r="I16748" s="4" t="str">
        <v>×</v>
      </c>
      <c r="J16748" s="4"/>
      <c r="K16748" s="4"/>
      <c r="L16748" s="4"/>
      <c r="M16748" s="7" t="s">
        <v>6871</v>
      </c>
    </row>
    <row r="16749" customFormat="false" ht="15.75" hidden="false" customHeight="false" outlineLevel="0" collapsed="false">
      <c r="A16749" s="6" t="n">
        <f aca="false">DATE(2026,5,3)</f>
        <v>46145</v>
      </c>
      <c r="B16749" s="4" t="s">
        <v>13</v>
      </c>
      <c r="C16749" s="4" t="n">
        <v>9</v>
      </c>
      <c r="D16749" s="4" t="n">
        <v>8</v>
      </c>
      <c r="E16749" s="4" t="s">
        <v>560</v>
      </c>
      <c r="F16749" s="4" t="n">
        <v>47</v>
      </c>
      <c r="G16749" s="4" t="n">
        <v>3</v>
      </c>
      <c r="H16749" s="4" t="n">
        <v>3</v>
      </c>
      <c r="I16749" s="4" t="str">
        <v>○</v>
      </c>
      <c r="J16749" s="4" t="n">
        <v>140</v>
      </c>
      <c r="K16749" s="4"/>
      <c r="L16749" s="4"/>
      <c r="M16749" s="7" t="s">
        <v>6871</v>
      </c>
    </row>
    <row r="16750" customFormat="false" ht="15.75" hidden="false" customHeight="false" outlineLevel="0" collapsed="false">
      <c r="A16750" s="6" t="n">
        <f aca="false">DATE(2026,5,3)</f>
        <v>46145</v>
      </c>
      <c r="B16750" s="4" t="s">
        <v>13</v>
      </c>
      <c r="C16750" s="4" t="n">
        <v>9</v>
      </c>
      <c r="D16750" s="4" t="n">
        <v>9</v>
      </c>
      <c r="E16750" s="4" t="s">
        <v>5702</v>
      </c>
      <c r="F16750" s="4" t="n">
        <v>8</v>
      </c>
      <c r="G16750" s="4" t="n">
        <v>10</v>
      </c>
      <c r="H16750" s="4" t="n">
        <v>4</v>
      </c>
      <c r="I16750" s="4" t="str">
        <v>×</v>
      </c>
      <c r="J16750" s="4"/>
      <c r="K16750" s="4"/>
      <c r="L16750" s="4"/>
      <c r="M16750" s="7" t="s">
        <v>6871</v>
      </c>
    </row>
    <row r="16751" customFormat="false" ht="15.75" hidden="false" customHeight="false" outlineLevel="0" collapsed="false">
      <c r="A16751" s="6" t="n">
        <f aca="false">DATE(2026,5,3)</f>
        <v>46145</v>
      </c>
      <c r="B16751" s="4" t="s">
        <v>13</v>
      </c>
      <c r="C16751" s="4" t="n">
        <v>9</v>
      </c>
      <c r="D16751" s="4" t="n">
        <v>10</v>
      </c>
      <c r="E16751" s="4" t="s">
        <v>5285</v>
      </c>
      <c r="F16751" s="4" t="n">
        <v>3</v>
      </c>
      <c r="G16751" s="4" t="n">
        <v>12</v>
      </c>
      <c r="H16751" s="4" t="n">
        <v>4</v>
      </c>
      <c r="I16751" s="4" t="str">
        <v>×</v>
      </c>
      <c r="J16751" s="4"/>
      <c r="K16751" s="4"/>
      <c r="L16751" s="4"/>
      <c r="M16751" s="7" t="s">
        <v>6871</v>
      </c>
    </row>
    <row r="16752" customFormat="false" ht="15.75" hidden="false" customHeight="false" outlineLevel="0" collapsed="false">
      <c r="A16752" s="6" t="n">
        <f aca="false">DATE(2026,5,3)</f>
        <v>46145</v>
      </c>
      <c r="B16752" s="4" t="s">
        <v>13</v>
      </c>
      <c r="C16752" s="4" t="n">
        <v>9</v>
      </c>
      <c r="D16752" s="4" t="n">
        <v>11</v>
      </c>
      <c r="E16752" s="4" t="s">
        <v>2520</v>
      </c>
      <c r="F16752" s="4" t="n">
        <v>20</v>
      </c>
      <c r="G16752" s="4" t="n">
        <v>5</v>
      </c>
      <c r="H16752" s="4" t="n">
        <v>4</v>
      </c>
      <c r="I16752" s="4" t="str">
        <v>×</v>
      </c>
      <c r="J16752" s="4"/>
      <c r="K16752" s="4"/>
      <c r="L16752" s="4"/>
      <c r="M16752" s="7" t="s">
        <v>6871</v>
      </c>
    </row>
    <row r="16753" customFormat="false" ht="15.75" hidden="false" customHeight="false" outlineLevel="0" collapsed="false">
      <c r="A16753" s="6" t="n">
        <f aca="false">DATE(2026,5,3)</f>
        <v>46145</v>
      </c>
      <c r="B16753" s="4" t="s">
        <v>13</v>
      </c>
      <c r="C16753" s="4" t="n">
        <v>9</v>
      </c>
      <c r="D16753" s="4" t="n">
        <v>12</v>
      </c>
      <c r="E16753" s="4" t="s">
        <v>5615</v>
      </c>
      <c r="F16753" s="4" t="n">
        <v>23</v>
      </c>
      <c r="G16753" s="4" t="n">
        <v>4</v>
      </c>
      <c r="H16753" s="4" t="n">
        <v>4</v>
      </c>
      <c r="I16753" s="4" t="str">
        <v>×</v>
      </c>
      <c r="J16753" s="4"/>
      <c r="K16753" s="4"/>
      <c r="L16753" s="4"/>
      <c r="M16753" s="7" t="s">
        <v>6871</v>
      </c>
    </row>
    <row r="16754" customFormat="false" ht="15.75" hidden="false" customHeight="false" outlineLevel="0" collapsed="false">
      <c r="A16754" s="6" t="n">
        <f aca="false">DATE(2026,5,3)</f>
        <v>46145</v>
      </c>
      <c r="B16754" s="4" t="s">
        <v>13</v>
      </c>
      <c r="C16754" s="4" t="n">
        <v>10</v>
      </c>
      <c r="D16754" s="4" t="n">
        <v>1</v>
      </c>
      <c r="E16754" s="4" t="s">
        <v>6371</v>
      </c>
      <c r="F16754" s="4" t="n">
        <v>23</v>
      </c>
      <c r="G16754" s="4" t="n">
        <v>5</v>
      </c>
      <c r="H16754" s="4" t="n">
        <v>4</v>
      </c>
      <c r="I16754" s="4" t="str">
        <v>×</v>
      </c>
      <c r="J16754" s="4"/>
      <c r="K16754" s="4"/>
      <c r="L16754" s="4"/>
      <c r="M16754" s="7" t="s">
        <v>6871</v>
      </c>
    </row>
    <row r="16755" customFormat="false" ht="15.75" hidden="false" customHeight="false" outlineLevel="0" collapsed="false">
      <c r="A16755" s="6" t="n">
        <f aca="false">DATE(2026,5,3)</f>
        <v>46145</v>
      </c>
      <c r="B16755" s="4" t="s">
        <v>13</v>
      </c>
      <c r="C16755" s="4" t="n">
        <v>10</v>
      </c>
      <c r="D16755" s="4" t="n">
        <v>2</v>
      </c>
      <c r="E16755" s="4" t="s">
        <v>3294</v>
      </c>
      <c r="F16755" s="4" t="n">
        <v>10</v>
      </c>
      <c r="G16755" s="4" t="n">
        <v>10</v>
      </c>
      <c r="H16755" s="4" t="n">
        <v>4</v>
      </c>
      <c r="I16755" s="4" t="str">
        <v>×</v>
      </c>
      <c r="J16755" s="4"/>
      <c r="K16755" s="4"/>
      <c r="L16755" s="4"/>
      <c r="M16755" s="7" t="s">
        <v>6871</v>
      </c>
    </row>
    <row r="16756" customFormat="false" ht="15.75" hidden="false" customHeight="false" outlineLevel="0" collapsed="false">
      <c r="A16756" s="6" t="n">
        <f aca="false">DATE(2026,5,3)</f>
        <v>46145</v>
      </c>
      <c r="B16756" s="4" t="s">
        <v>13</v>
      </c>
      <c r="C16756" s="4" t="n">
        <v>10</v>
      </c>
      <c r="D16756" s="4" t="n">
        <v>3</v>
      </c>
      <c r="E16756" s="4" t="s">
        <v>2155</v>
      </c>
      <c r="F16756" s="4" t="n">
        <v>4</v>
      </c>
      <c r="G16756" s="4" t="n">
        <v>15</v>
      </c>
      <c r="H16756" s="4" t="n">
        <v>4</v>
      </c>
      <c r="I16756" s="4" t="str">
        <v>×</v>
      </c>
      <c r="J16756" s="4"/>
      <c r="K16756" s="4"/>
      <c r="L16756" s="4"/>
      <c r="M16756" s="7" t="s">
        <v>6871</v>
      </c>
    </row>
    <row r="16757" customFormat="false" ht="15.75" hidden="false" customHeight="false" outlineLevel="0" collapsed="false">
      <c r="A16757" s="6" t="n">
        <f aca="false">DATE(2026,5,3)</f>
        <v>46145</v>
      </c>
      <c r="B16757" s="4" t="s">
        <v>13</v>
      </c>
      <c r="C16757" s="4" t="n">
        <v>10</v>
      </c>
      <c r="D16757" s="4" t="n">
        <v>4</v>
      </c>
      <c r="E16757" s="4" t="s">
        <v>3300</v>
      </c>
      <c r="F16757" s="4" t="n">
        <v>17</v>
      </c>
      <c r="G16757" s="4" t="n">
        <v>6</v>
      </c>
      <c r="H16757" s="4" t="n">
        <v>4</v>
      </c>
      <c r="I16757" s="4" t="str">
        <v>×</v>
      </c>
      <c r="J16757" s="4"/>
      <c r="K16757" s="4"/>
      <c r="L16757" s="4"/>
      <c r="M16757" s="7" t="s">
        <v>6871</v>
      </c>
    </row>
    <row r="16758" customFormat="false" ht="15.75" hidden="false" customHeight="false" outlineLevel="0" collapsed="false">
      <c r="A16758" s="6" t="n">
        <f aca="false">DATE(2026,5,3)</f>
        <v>46145</v>
      </c>
      <c r="B16758" s="4" t="s">
        <v>13</v>
      </c>
      <c r="C16758" s="4" t="n">
        <v>10</v>
      </c>
      <c r="D16758" s="4" t="n">
        <v>5</v>
      </c>
      <c r="E16758" s="4" t="s">
        <v>5344</v>
      </c>
      <c r="F16758" s="4" t="n">
        <v>15</v>
      </c>
      <c r="G16758" s="4" t="n">
        <v>8</v>
      </c>
      <c r="H16758" s="4" t="n">
        <v>4</v>
      </c>
      <c r="I16758" s="4" t="str">
        <v>×</v>
      </c>
      <c r="J16758" s="4"/>
      <c r="K16758" s="4"/>
      <c r="L16758" s="4"/>
      <c r="M16758" s="7" t="s">
        <v>6871</v>
      </c>
    </row>
    <row r="16759" customFormat="false" ht="15.75" hidden="false" customHeight="false" outlineLevel="0" collapsed="false">
      <c r="A16759" s="6" t="n">
        <f aca="false">DATE(2026,5,3)</f>
        <v>46145</v>
      </c>
      <c r="B16759" s="4" t="s">
        <v>13</v>
      </c>
      <c r="C16759" s="4" t="n">
        <v>10</v>
      </c>
      <c r="D16759" s="4" t="n">
        <v>6</v>
      </c>
      <c r="E16759" s="4" t="s">
        <v>7456</v>
      </c>
      <c r="F16759" s="4" t="n">
        <v>8</v>
      </c>
      <c r="G16759" s="4" t="n">
        <v>12</v>
      </c>
      <c r="H16759" s="4" t="n">
        <v>4</v>
      </c>
      <c r="I16759" s="4" t="str">
        <v>×</v>
      </c>
      <c r="J16759" s="4"/>
      <c r="K16759" s="4"/>
      <c r="L16759" s="4"/>
      <c r="M16759" s="7" t="s">
        <v>6871</v>
      </c>
    </row>
    <row r="16760" customFormat="false" ht="15.75" hidden="false" customHeight="false" outlineLevel="0" collapsed="false">
      <c r="A16760" s="6" t="n">
        <f aca="false">DATE(2026,5,3)</f>
        <v>46145</v>
      </c>
      <c r="B16760" s="4" t="s">
        <v>13</v>
      </c>
      <c r="C16760" s="4" t="n">
        <v>10</v>
      </c>
      <c r="D16760" s="4" t="n">
        <v>7</v>
      </c>
      <c r="E16760" s="4" t="s">
        <v>7457</v>
      </c>
      <c r="F16760" s="4" t="n">
        <v>10</v>
      </c>
      <c r="G16760" s="4" t="n">
        <v>11</v>
      </c>
      <c r="H16760" s="4" t="n">
        <v>3</v>
      </c>
      <c r="I16760" s="4" t="str">
        <v>○</v>
      </c>
      <c r="J16760" s="4" t="n">
        <v>400</v>
      </c>
      <c r="K16760" s="4"/>
      <c r="L16760" s="4"/>
      <c r="M16760" s="7" t="s">
        <v>6871</v>
      </c>
    </row>
    <row r="16761" customFormat="false" ht="15.75" hidden="false" customHeight="false" outlineLevel="0" collapsed="false">
      <c r="A16761" s="6" t="n">
        <f aca="false">DATE(2026,5,3)</f>
        <v>46145</v>
      </c>
      <c r="B16761" s="4" t="s">
        <v>13</v>
      </c>
      <c r="C16761" s="4" t="n">
        <v>10</v>
      </c>
      <c r="D16761" s="4" t="n">
        <v>8</v>
      </c>
      <c r="E16761" s="4" t="s">
        <v>5562</v>
      </c>
      <c r="F16761" s="4" t="n">
        <v>34</v>
      </c>
      <c r="G16761" s="4" t="n">
        <v>3</v>
      </c>
      <c r="H16761" s="4" t="n">
        <v>2</v>
      </c>
      <c r="I16761" s="4" t="str">
        <v>○</v>
      </c>
      <c r="J16761" s="4" t="n">
        <v>170</v>
      </c>
      <c r="K16761" s="4"/>
      <c r="L16761" s="4"/>
      <c r="M16761" s="7" t="s">
        <v>6871</v>
      </c>
    </row>
    <row r="16762" customFormat="false" ht="15.75" hidden="false" customHeight="false" outlineLevel="0" collapsed="false">
      <c r="A16762" s="6" t="n">
        <f aca="false">DATE(2026,5,3)</f>
        <v>46145</v>
      </c>
      <c r="B16762" s="4" t="s">
        <v>13</v>
      </c>
      <c r="C16762" s="4" t="n">
        <v>10</v>
      </c>
      <c r="D16762" s="4" t="n">
        <v>9</v>
      </c>
      <c r="E16762" s="4" t="s">
        <v>886</v>
      </c>
      <c r="F16762" s="4" t="n">
        <v>17</v>
      </c>
      <c r="G16762" s="4" t="n">
        <v>7</v>
      </c>
      <c r="H16762" s="4" t="n">
        <v>4</v>
      </c>
      <c r="I16762" s="4" t="str">
        <v>×</v>
      </c>
      <c r="J16762" s="4"/>
      <c r="K16762" s="4"/>
      <c r="L16762" s="4"/>
      <c r="M16762" s="7" t="s">
        <v>6871</v>
      </c>
    </row>
    <row r="16763" customFormat="false" ht="15.75" hidden="false" customHeight="false" outlineLevel="0" collapsed="false">
      <c r="A16763" s="6" t="n">
        <f aca="false">DATE(2026,5,3)</f>
        <v>46145</v>
      </c>
      <c r="B16763" s="4" t="s">
        <v>13</v>
      </c>
      <c r="C16763" s="4" t="n">
        <v>10</v>
      </c>
      <c r="D16763" s="4" t="n">
        <v>10</v>
      </c>
      <c r="E16763" s="4" t="s">
        <v>7458</v>
      </c>
      <c r="F16763" s="4" t="n">
        <v>6</v>
      </c>
      <c r="G16763" s="4" t="n">
        <v>13</v>
      </c>
      <c r="H16763" s="4" t="n">
        <v>4</v>
      </c>
      <c r="I16763" s="4" t="str">
        <v>×</v>
      </c>
      <c r="J16763" s="4"/>
      <c r="K16763" s="4"/>
      <c r="L16763" s="4"/>
      <c r="M16763" s="7" t="s">
        <v>6871</v>
      </c>
    </row>
    <row r="16764" customFormat="false" ht="15.75" hidden="false" customHeight="false" outlineLevel="0" collapsed="false">
      <c r="A16764" s="6" t="n">
        <f aca="false">DATE(2026,5,3)</f>
        <v>46145</v>
      </c>
      <c r="B16764" s="4" t="s">
        <v>13</v>
      </c>
      <c r="C16764" s="4" t="n">
        <v>10</v>
      </c>
      <c r="D16764" s="4" t="n">
        <v>11</v>
      </c>
      <c r="E16764" s="4" t="s">
        <v>4153</v>
      </c>
      <c r="F16764" s="4" t="n">
        <v>31</v>
      </c>
      <c r="G16764" s="4" t="n">
        <v>4</v>
      </c>
      <c r="H16764" s="4" t="n">
        <v>4</v>
      </c>
      <c r="I16764" s="4" t="str">
        <v>×</v>
      </c>
      <c r="J16764" s="4"/>
      <c r="K16764" s="4"/>
      <c r="L16764" s="4"/>
      <c r="M16764" s="7" t="s">
        <v>6871</v>
      </c>
    </row>
    <row r="16765" customFormat="false" ht="15.75" hidden="false" customHeight="false" outlineLevel="0" collapsed="false">
      <c r="A16765" s="6" t="n">
        <f aca="false">DATE(2026,5,3)</f>
        <v>46145</v>
      </c>
      <c r="B16765" s="4" t="s">
        <v>13</v>
      </c>
      <c r="C16765" s="4" t="n">
        <v>10</v>
      </c>
      <c r="D16765" s="4" t="n">
        <v>12</v>
      </c>
      <c r="E16765" s="4" t="s">
        <v>7459</v>
      </c>
      <c r="F16765" s="4" t="n">
        <v>41</v>
      </c>
      <c r="G16765" s="4" t="n">
        <v>1</v>
      </c>
      <c r="H16765" s="4" t="n">
        <v>4</v>
      </c>
      <c r="I16765" s="4" t="str">
        <v>×</v>
      </c>
      <c r="J16765" s="4"/>
      <c r="K16765" s="4"/>
      <c r="L16765" s="4"/>
      <c r="M16765" s="7" t="s">
        <v>6871</v>
      </c>
    </row>
    <row r="16766" customFormat="false" ht="15.75" hidden="false" customHeight="false" outlineLevel="0" collapsed="false">
      <c r="A16766" s="6" t="n">
        <f aca="false">DATE(2026,5,3)</f>
        <v>46145</v>
      </c>
      <c r="B16766" s="4" t="s">
        <v>13</v>
      </c>
      <c r="C16766" s="4" t="n">
        <v>10</v>
      </c>
      <c r="D16766" s="4" t="n">
        <v>13</v>
      </c>
      <c r="E16766" s="4" t="s">
        <v>5561</v>
      </c>
      <c r="F16766" s="4" t="n">
        <v>13</v>
      </c>
      <c r="G16766" s="4" t="n">
        <v>9</v>
      </c>
      <c r="H16766" s="4" t="n">
        <v>4</v>
      </c>
      <c r="I16766" s="4" t="str">
        <v>×</v>
      </c>
      <c r="J16766" s="4"/>
      <c r="K16766" s="4"/>
      <c r="L16766" s="4"/>
      <c r="M16766" s="7" t="s">
        <v>6871</v>
      </c>
    </row>
    <row r="16767" customFormat="false" ht="15.75" hidden="false" customHeight="false" outlineLevel="0" collapsed="false">
      <c r="A16767" s="6" t="n">
        <f aca="false">DATE(2026,5,3)</f>
        <v>46145</v>
      </c>
      <c r="B16767" s="4" t="s">
        <v>13</v>
      </c>
      <c r="C16767" s="4" t="n">
        <v>10</v>
      </c>
      <c r="D16767" s="4" t="n">
        <v>14</v>
      </c>
      <c r="E16767" s="4" t="s">
        <v>7460</v>
      </c>
      <c r="F16767" s="4" t="n">
        <v>6</v>
      </c>
      <c r="G16767" s="4" t="n">
        <v>14</v>
      </c>
      <c r="H16767" s="4" t="n">
        <v>4</v>
      </c>
      <c r="I16767" s="4" t="str">
        <v>×</v>
      </c>
      <c r="J16767" s="4"/>
      <c r="K16767" s="4"/>
      <c r="L16767" s="4"/>
      <c r="M16767" s="7" t="s">
        <v>6871</v>
      </c>
    </row>
    <row r="16768" customFormat="false" ht="15.75" hidden="false" customHeight="false" outlineLevel="0" collapsed="false">
      <c r="A16768" s="6" t="n">
        <f aca="false">DATE(2026,5,3)</f>
        <v>46145</v>
      </c>
      <c r="B16768" s="4" t="s">
        <v>13</v>
      </c>
      <c r="C16768" s="4" t="n">
        <v>10</v>
      </c>
      <c r="D16768" s="4" t="n">
        <v>15</v>
      </c>
      <c r="E16768" s="4" t="s">
        <v>3126</v>
      </c>
      <c r="F16768" s="4" t="n">
        <v>3</v>
      </c>
      <c r="G16768" s="4" t="n">
        <v>16</v>
      </c>
      <c r="H16768" s="4" t="n">
        <v>4</v>
      </c>
      <c r="I16768" s="4" t="str">
        <v>×</v>
      </c>
      <c r="J16768" s="4"/>
      <c r="K16768" s="4"/>
      <c r="L16768" s="4"/>
      <c r="M16768" s="7" t="s">
        <v>6871</v>
      </c>
    </row>
    <row r="16769" customFormat="false" ht="15.75" hidden="false" customHeight="false" outlineLevel="0" collapsed="false">
      <c r="A16769" s="6" t="n">
        <f aca="false">DATE(2026,5,3)</f>
        <v>46145</v>
      </c>
      <c r="B16769" s="4" t="s">
        <v>13</v>
      </c>
      <c r="C16769" s="4" t="n">
        <v>10</v>
      </c>
      <c r="D16769" s="4" t="n">
        <v>16</v>
      </c>
      <c r="E16769" s="4" t="s">
        <v>2000</v>
      </c>
      <c r="F16769" s="4" t="n">
        <v>39</v>
      </c>
      <c r="G16769" s="4" t="n">
        <v>2</v>
      </c>
      <c r="H16769" s="4" t="n">
        <v>1</v>
      </c>
      <c r="I16769" s="4" t="str">
        <v>○</v>
      </c>
      <c r="J16769" s="4" t="n">
        <v>130</v>
      </c>
      <c r="K16769" s="4"/>
      <c r="L16769" s="4"/>
      <c r="M16769" s="7" t="s">
        <v>6871</v>
      </c>
    </row>
    <row r="16770" customFormat="false" ht="15.75" hidden="false" customHeight="false" outlineLevel="0" collapsed="false">
      <c r="A16770" s="6" t="n">
        <f aca="false">DATE(2026,5,3)</f>
        <v>46145</v>
      </c>
      <c r="B16770" s="4" t="s">
        <v>13</v>
      </c>
      <c r="C16770" s="4" t="n">
        <v>11</v>
      </c>
      <c r="D16770" s="4" t="n">
        <v>1</v>
      </c>
      <c r="E16770" s="4" t="s">
        <v>7461</v>
      </c>
      <c r="F16770" s="4" t="n">
        <v>20</v>
      </c>
      <c r="G16770" s="4" t="n">
        <v>6</v>
      </c>
      <c r="H16770" s="4" t="n">
        <v>4</v>
      </c>
      <c r="I16770" s="4" t="str">
        <v>×</v>
      </c>
      <c r="J16770" s="4"/>
      <c r="K16770" s="4"/>
      <c r="L16770" s="4"/>
      <c r="M16770" s="7" t="s">
        <v>6871</v>
      </c>
    </row>
    <row r="16771" customFormat="false" ht="15.75" hidden="false" customHeight="false" outlineLevel="0" collapsed="false">
      <c r="A16771" s="6" t="n">
        <f aca="false">DATE(2026,5,3)</f>
        <v>46145</v>
      </c>
      <c r="B16771" s="4" t="s">
        <v>13</v>
      </c>
      <c r="C16771" s="4" t="n">
        <v>11</v>
      </c>
      <c r="D16771" s="4" t="n">
        <v>2</v>
      </c>
      <c r="E16771" s="4" t="s">
        <v>7462</v>
      </c>
      <c r="F16771" s="4" t="n">
        <v>41</v>
      </c>
      <c r="G16771" s="4" t="n">
        <v>2</v>
      </c>
      <c r="H16771" s="4" t="n">
        <v>4</v>
      </c>
      <c r="I16771" s="4" t="str">
        <v>×</v>
      </c>
      <c r="J16771" s="4"/>
      <c r="K16771" s="4"/>
      <c r="L16771" s="4"/>
      <c r="M16771" s="7" t="s">
        <v>6871</v>
      </c>
    </row>
    <row r="16772" customFormat="false" ht="15.75" hidden="false" customHeight="false" outlineLevel="0" collapsed="false">
      <c r="A16772" s="6" t="n">
        <f aca="false">DATE(2026,5,3)</f>
        <v>46145</v>
      </c>
      <c r="B16772" s="4" t="s">
        <v>13</v>
      </c>
      <c r="C16772" s="4" t="n">
        <v>11</v>
      </c>
      <c r="D16772" s="4" t="n">
        <v>3</v>
      </c>
      <c r="E16772" s="4" t="s">
        <v>1538</v>
      </c>
      <c r="F16772" s="4" t="n">
        <v>15</v>
      </c>
      <c r="G16772" s="4" t="n">
        <v>8</v>
      </c>
      <c r="H16772" s="4" t="n">
        <v>3</v>
      </c>
      <c r="I16772" s="4" t="str">
        <v>○</v>
      </c>
      <c r="J16772" s="4" t="n">
        <v>350</v>
      </c>
      <c r="K16772" s="4"/>
      <c r="L16772" s="4"/>
      <c r="M16772" s="7" t="s">
        <v>6871</v>
      </c>
    </row>
    <row r="16773" customFormat="false" ht="15.75" hidden="false" customHeight="false" outlineLevel="0" collapsed="false">
      <c r="A16773" s="6" t="n">
        <f aca="false">DATE(2026,5,3)</f>
        <v>46145</v>
      </c>
      <c r="B16773" s="4" t="s">
        <v>13</v>
      </c>
      <c r="C16773" s="4" t="n">
        <v>11</v>
      </c>
      <c r="D16773" s="4" t="n">
        <v>4</v>
      </c>
      <c r="E16773" s="4" t="s">
        <v>7463</v>
      </c>
      <c r="F16773" s="4" t="n">
        <v>34</v>
      </c>
      <c r="G16773" s="4" t="n">
        <v>4</v>
      </c>
      <c r="H16773" s="4" t="n">
        <v>1</v>
      </c>
      <c r="I16773" s="4" t="str">
        <v>○</v>
      </c>
      <c r="J16773" s="4" t="n">
        <v>400</v>
      </c>
      <c r="K16773" s="4"/>
      <c r="L16773" s="4"/>
      <c r="M16773" s="7" t="s">
        <v>6871</v>
      </c>
    </row>
    <row r="16774" customFormat="false" ht="15.75" hidden="false" customHeight="false" outlineLevel="0" collapsed="false">
      <c r="A16774" s="6" t="n">
        <f aca="false">DATE(2026,5,3)</f>
        <v>46145</v>
      </c>
      <c r="B16774" s="4" t="s">
        <v>13</v>
      </c>
      <c r="C16774" s="4" t="n">
        <v>11</v>
      </c>
      <c r="D16774" s="4" t="n">
        <v>5</v>
      </c>
      <c r="E16774" s="4" t="s">
        <v>6450</v>
      </c>
      <c r="F16774" s="4" t="n">
        <v>3</v>
      </c>
      <c r="G16774" s="4" t="n">
        <v>15</v>
      </c>
      <c r="H16774" s="4" t="n">
        <v>4</v>
      </c>
      <c r="I16774" s="4" t="str">
        <v>×</v>
      </c>
      <c r="J16774" s="4"/>
      <c r="K16774" s="4"/>
      <c r="L16774" s="4"/>
      <c r="M16774" s="7" t="s">
        <v>6871</v>
      </c>
    </row>
    <row r="16775" customFormat="false" ht="15.75" hidden="false" customHeight="false" outlineLevel="0" collapsed="false">
      <c r="A16775" s="6" t="n">
        <f aca="false">DATE(2026,5,3)</f>
        <v>46145</v>
      </c>
      <c r="B16775" s="4" t="s">
        <v>13</v>
      </c>
      <c r="C16775" s="4" t="n">
        <v>11</v>
      </c>
      <c r="D16775" s="4" t="n">
        <v>6</v>
      </c>
      <c r="E16775" s="4" t="s">
        <v>6447</v>
      </c>
      <c r="F16775" s="4" t="n">
        <v>6</v>
      </c>
      <c r="G16775" s="4" t="n">
        <v>12</v>
      </c>
      <c r="H16775" s="4" t="n">
        <v>4</v>
      </c>
      <c r="I16775" s="4" t="str">
        <v>×</v>
      </c>
      <c r="J16775" s="4"/>
      <c r="K16775" s="4"/>
      <c r="L16775" s="4"/>
      <c r="M16775" s="7" t="s">
        <v>6871</v>
      </c>
    </row>
    <row r="16776" customFormat="false" ht="15.75" hidden="false" customHeight="false" outlineLevel="0" collapsed="false">
      <c r="A16776" s="6" t="n">
        <f aca="false">DATE(2026,5,3)</f>
        <v>46145</v>
      </c>
      <c r="B16776" s="4" t="s">
        <v>13</v>
      </c>
      <c r="C16776" s="4" t="n">
        <v>11</v>
      </c>
      <c r="D16776" s="4" t="n">
        <v>7</v>
      </c>
      <c r="E16776" s="4" t="s">
        <v>6811</v>
      </c>
      <c r="F16776" s="4" t="n">
        <v>41</v>
      </c>
      <c r="G16776" s="4" t="n">
        <v>3</v>
      </c>
      <c r="H16776" s="4" t="n">
        <v>4</v>
      </c>
      <c r="I16776" s="4" t="str">
        <v>×</v>
      </c>
      <c r="J16776" s="4"/>
      <c r="K16776" s="4"/>
      <c r="L16776" s="4"/>
      <c r="M16776" s="7" t="s">
        <v>6871</v>
      </c>
    </row>
    <row r="16777" customFormat="false" ht="15.75" hidden="false" customHeight="false" outlineLevel="0" collapsed="false">
      <c r="A16777" s="6" t="n">
        <f aca="false">DATE(2026,5,3)</f>
        <v>46145</v>
      </c>
      <c r="B16777" s="4" t="s">
        <v>13</v>
      </c>
      <c r="C16777" s="4" t="n">
        <v>11</v>
      </c>
      <c r="D16777" s="4" t="n">
        <v>8</v>
      </c>
      <c r="E16777" s="4" t="s">
        <v>7464</v>
      </c>
      <c r="F16777" s="4" t="n">
        <v>10</v>
      </c>
      <c r="G16777" s="4" t="n">
        <v>10</v>
      </c>
      <c r="H16777" s="4" t="n">
        <v>4</v>
      </c>
      <c r="I16777" s="4" t="str">
        <v>×</v>
      </c>
      <c r="J16777" s="4"/>
      <c r="K16777" s="4"/>
      <c r="L16777" s="4"/>
      <c r="M16777" s="7" t="s">
        <v>6871</v>
      </c>
    </row>
    <row r="16778" customFormat="false" ht="15.75" hidden="false" customHeight="false" outlineLevel="0" collapsed="false">
      <c r="A16778" s="6" t="n">
        <f aca="false">DATE(2026,5,3)</f>
        <v>46145</v>
      </c>
      <c r="B16778" s="4" t="s">
        <v>13</v>
      </c>
      <c r="C16778" s="4" t="n">
        <v>11</v>
      </c>
      <c r="D16778" s="4" t="n">
        <v>9</v>
      </c>
      <c r="E16778" s="4" t="s">
        <v>7465</v>
      </c>
      <c r="F16778" s="4" t="n">
        <v>8</v>
      </c>
      <c r="G16778" s="4" t="n">
        <v>11</v>
      </c>
      <c r="H16778" s="4" t="n">
        <v>4</v>
      </c>
      <c r="I16778" s="4" t="str">
        <v>×</v>
      </c>
      <c r="J16778" s="4"/>
      <c r="K16778" s="4"/>
      <c r="L16778" s="4"/>
      <c r="M16778" s="7" t="s">
        <v>6871</v>
      </c>
    </row>
    <row r="16779" customFormat="false" ht="15.75" hidden="false" customHeight="false" outlineLevel="0" collapsed="false">
      <c r="A16779" s="6" t="n">
        <f aca="false">DATE(2026,5,3)</f>
        <v>46145</v>
      </c>
      <c r="B16779" s="4" t="s">
        <v>13</v>
      </c>
      <c r="C16779" s="4" t="n">
        <v>11</v>
      </c>
      <c r="D16779" s="4" t="n">
        <v>10</v>
      </c>
      <c r="E16779" s="4" t="s">
        <v>1536</v>
      </c>
      <c r="F16779" s="4" t="n">
        <v>50</v>
      </c>
      <c r="G16779" s="4" t="n">
        <v>1</v>
      </c>
      <c r="H16779" s="4" t="n">
        <v>2</v>
      </c>
      <c r="I16779" s="4" t="str">
        <v>○</v>
      </c>
      <c r="J16779" s="4" t="n">
        <v>200</v>
      </c>
      <c r="K16779" s="4"/>
      <c r="L16779" s="4"/>
      <c r="M16779" s="7" t="s">
        <v>6871</v>
      </c>
    </row>
    <row r="16780" customFormat="false" ht="15.75" hidden="false" customHeight="false" outlineLevel="0" collapsed="false">
      <c r="A16780" s="6" t="n">
        <f aca="false">DATE(2026,5,3)</f>
        <v>46145</v>
      </c>
      <c r="B16780" s="4" t="s">
        <v>13</v>
      </c>
      <c r="C16780" s="4" t="n">
        <v>11</v>
      </c>
      <c r="D16780" s="4" t="n">
        <v>11</v>
      </c>
      <c r="E16780" s="4" t="s">
        <v>7466</v>
      </c>
      <c r="F16780" s="4" t="n">
        <v>17</v>
      </c>
      <c r="G16780" s="4" t="n">
        <v>7</v>
      </c>
      <c r="H16780" s="4" t="n">
        <v>4</v>
      </c>
      <c r="I16780" s="4" t="str">
        <v>×</v>
      </c>
      <c r="J16780" s="4"/>
      <c r="K16780" s="4"/>
      <c r="L16780" s="4"/>
      <c r="M16780" s="7" t="s">
        <v>6871</v>
      </c>
    </row>
    <row r="16781" customFormat="false" ht="15.75" hidden="false" customHeight="false" outlineLevel="0" collapsed="false">
      <c r="A16781" s="6" t="n">
        <f aca="false">DATE(2026,5,3)</f>
        <v>46145</v>
      </c>
      <c r="B16781" s="4" t="s">
        <v>13</v>
      </c>
      <c r="C16781" s="4" t="n">
        <v>11</v>
      </c>
      <c r="D16781" s="4" t="n">
        <v>12</v>
      </c>
      <c r="E16781" s="4" t="s">
        <v>6446</v>
      </c>
      <c r="F16781" s="4" t="n">
        <v>15</v>
      </c>
      <c r="G16781" s="4" t="n">
        <v>9</v>
      </c>
      <c r="H16781" s="4" t="n">
        <v>4</v>
      </c>
      <c r="I16781" s="4" t="str">
        <v>×</v>
      </c>
      <c r="J16781" s="4"/>
      <c r="K16781" s="4"/>
      <c r="L16781" s="4"/>
      <c r="M16781" s="7" t="s">
        <v>6871</v>
      </c>
    </row>
    <row r="16782" customFormat="false" ht="15.75" hidden="false" customHeight="false" outlineLevel="0" collapsed="false">
      <c r="A16782" s="6" t="n">
        <f aca="false">DATE(2026,5,3)</f>
        <v>46145</v>
      </c>
      <c r="B16782" s="4" t="s">
        <v>13</v>
      </c>
      <c r="C16782" s="4" t="n">
        <v>11</v>
      </c>
      <c r="D16782" s="4" t="n">
        <v>13</v>
      </c>
      <c r="E16782" s="4" t="s">
        <v>7467</v>
      </c>
      <c r="F16782" s="4" t="n">
        <v>6</v>
      </c>
      <c r="G16782" s="4" t="n">
        <v>13</v>
      </c>
      <c r="H16782" s="4" t="n">
        <v>4</v>
      </c>
      <c r="I16782" s="4" t="str">
        <v>×</v>
      </c>
      <c r="J16782" s="4"/>
      <c r="K16782" s="4"/>
      <c r="L16782" s="4"/>
      <c r="M16782" s="7" t="s">
        <v>6871</v>
      </c>
    </row>
    <row r="16783" customFormat="false" ht="15.75" hidden="false" customHeight="false" outlineLevel="0" collapsed="false">
      <c r="A16783" s="6" t="n">
        <f aca="false">DATE(2026,5,3)</f>
        <v>46145</v>
      </c>
      <c r="B16783" s="4" t="s">
        <v>13</v>
      </c>
      <c r="C16783" s="4" t="n">
        <v>11</v>
      </c>
      <c r="D16783" s="4" t="n">
        <v>14</v>
      </c>
      <c r="E16783" s="4" t="s">
        <v>1535</v>
      </c>
      <c r="F16783" s="4" t="n">
        <v>4</v>
      </c>
      <c r="G16783" s="4" t="n">
        <v>14</v>
      </c>
      <c r="H16783" s="4" t="n">
        <v>4</v>
      </c>
      <c r="I16783" s="4" t="str">
        <v>×</v>
      </c>
      <c r="J16783" s="4"/>
      <c r="K16783" s="4"/>
      <c r="L16783" s="4"/>
      <c r="M16783" s="7" t="s">
        <v>6871</v>
      </c>
    </row>
    <row r="16784" customFormat="false" ht="15.75" hidden="false" customHeight="false" outlineLevel="0" collapsed="false">
      <c r="A16784" s="6" t="n">
        <f aca="false">DATE(2026,5,3)</f>
        <v>46145</v>
      </c>
      <c r="B16784" s="4" t="s">
        <v>13</v>
      </c>
      <c r="C16784" s="4" t="n">
        <v>11</v>
      </c>
      <c r="D16784" s="4" t="n">
        <v>15</v>
      </c>
      <c r="E16784" s="4" t="s">
        <v>1539</v>
      </c>
      <c r="F16784" s="4" t="n">
        <v>25</v>
      </c>
      <c r="G16784" s="4" t="n">
        <v>5</v>
      </c>
      <c r="H16784" s="4" t="n">
        <v>4</v>
      </c>
      <c r="I16784" s="4" t="str">
        <v>×</v>
      </c>
      <c r="J16784" s="4"/>
      <c r="K16784" s="4"/>
      <c r="L16784" s="4"/>
      <c r="M16784" s="7" t="s">
        <v>6871</v>
      </c>
    </row>
    <row r="16785" customFormat="false" ht="15.75" hidden="false" customHeight="false" outlineLevel="0" collapsed="false">
      <c r="A16785" s="6" t="n">
        <f aca="false">DATE(2026,5,3)</f>
        <v>46145</v>
      </c>
      <c r="B16785" s="4" t="s">
        <v>13</v>
      </c>
      <c r="C16785" s="4" t="n">
        <v>12</v>
      </c>
      <c r="D16785" s="4" t="n">
        <v>1</v>
      </c>
      <c r="E16785" s="4" t="s">
        <v>5762</v>
      </c>
      <c r="F16785" s="4" t="n">
        <v>2</v>
      </c>
      <c r="G16785" s="4" t="n">
        <v>12</v>
      </c>
      <c r="H16785" s="4" t="n">
        <v>4</v>
      </c>
      <c r="I16785" s="4" t="str">
        <v>×</v>
      </c>
      <c r="J16785" s="4"/>
      <c r="K16785" s="4"/>
      <c r="L16785" s="4"/>
      <c r="M16785" s="7" t="s">
        <v>6871</v>
      </c>
    </row>
    <row r="16786" customFormat="false" ht="15.75" hidden="false" customHeight="false" outlineLevel="0" collapsed="false">
      <c r="A16786" s="6" t="n">
        <f aca="false">DATE(2026,5,3)</f>
        <v>46145</v>
      </c>
      <c r="B16786" s="4" t="s">
        <v>13</v>
      </c>
      <c r="C16786" s="4" t="n">
        <v>12</v>
      </c>
      <c r="D16786" s="4" t="n">
        <v>2</v>
      </c>
      <c r="E16786" s="4" t="s">
        <v>7468</v>
      </c>
      <c r="F16786" s="4" t="n">
        <v>1</v>
      </c>
      <c r="G16786" s="4" t="n">
        <v>13</v>
      </c>
      <c r="H16786" s="4" t="n">
        <v>4</v>
      </c>
      <c r="I16786" s="4" t="str">
        <v>×</v>
      </c>
      <c r="J16786" s="4"/>
      <c r="K16786" s="4"/>
      <c r="L16786" s="4"/>
      <c r="M16786" s="7" t="s">
        <v>6871</v>
      </c>
    </row>
    <row r="16787" customFormat="false" ht="15.75" hidden="false" customHeight="false" outlineLevel="0" collapsed="false">
      <c r="A16787" s="6" t="n">
        <f aca="false">DATE(2026,5,3)</f>
        <v>46145</v>
      </c>
      <c r="B16787" s="4" t="s">
        <v>13</v>
      </c>
      <c r="C16787" s="4" t="n">
        <v>12</v>
      </c>
      <c r="D16787" s="4" t="n">
        <v>3</v>
      </c>
      <c r="E16787" s="4" t="s">
        <v>7469</v>
      </c>
      <c r="F16787" s="4" t="n">
        <v>66</v>
      </c>
      <c r="G16787" s="4" t="n">
        <v>1</v>
      </c>
      <c r="H16787" s="4" t="n">
        <v>1</v>
      </c>
      <c r="I16787" s="4" t="str">
        <v>○</v>
      </c>
      <c r="J16787" s="4" t="n">
        <v>140</v>
      </c>
      <c r="K16787" s="4"/>
      <c r="L16787" s="4"/>
      <c r="M16787" s="7" t="s">
        <v>6871</v>
      </c>
    </row>
    <row r="16788" customFormat="false" ht="15.75" hidden="false" customHeight="false" outlineLevel="0" collapsed="false">
      <c r="A16788" s="6" t="n">
        <f aca="false">DATE(2026,5,3)</f>
        <v>46145</v>
      </c>
      <c r="B16788" s="4" t="s">
        <v>13</v>
      </c>
      <c r="C16788" s="4" t="n">
        <v>12</v>
      </c>
      <c r="D16788" s="4" t="n">
        <v>4</v>
      </c>
      <c r="E16788" s="4" t="s">
        <v>5566</v>
      </c>
      <c r="F16788" s="4" t="n">
        <v>17</v>
      </c>
      <c r="G16788" s="4" t="n">
        <v>5</v>
      </c>
      <c r="H16788" s="4" t="n">
        <v>3</v>
      </c>
      <c r="I16788" s="4" t="str">
        <v>○</v>
      </c>
      <c r="J16788" s="4" t="n">
        <v>280</v>
      </c>
      <c r="K16788" s="4"/>
      <c r="L16788" s="4"/>
      <c r="M16788" s="7" t="s">
        <v>6871</v>
      </c>
    </row>
    <row r="16789" customFormat="false" ht="15.75" hidden="false" customHeight="false" outlineLevel="0" collapsed="false">
      <c r="A16789" s="6" t="n">
        <f aca="false">DATE(2026,5,3)</f>
        <v>46145</v>
      </c>
      <c r="B16789" s="4" t="s">
        <v>13</v>
      </c>
      <c r="C16789" s="4" t="n">
        <v>12</v>
      </c>
      <c r="D16789" s="4" t="n">
        <v>5</v>
      </c>
      <c r="E16789" s="4" t="s">
        <v>6310</v>
      </c>
      <c r="F16789" s="4" t="n">
        <v>65</v>
      </c>
      <c r="G16789" s="4" t="n">
        <v>2</v>
      </c>
      <c r="H16789" s="4" t="n">
        <v>4</v>
      </c>
      <c r="I16789" s="4" t="str">
        <v>×</v>
      </c>
      <c r="J16789" s="4"/>
      <c r="K16789" s="4"/>
      <c r="L16789" s="4"/>
      <c r="M16789" s="7" t="s">
        <v>6871</v>
      </c>
    </row>
    <row r="16790" customFormat="false" ht="15.75" hidden="false" customHeight="false" outlineLevel="0" collapsed="false">
      <c r="A16790" s="6" t="n">
        <f aca="false">DATE(2026,5,3)</f>
        <v>46145</v>
      </c>
      <c r="B16790" s="4" t="s">
        <v>13</v>
      </c>
      <c r="C16790" s="4" t="n">
        <v>12</v>
      </c>
      <c r="D16790" s="4" t="n">
        <v>6</v>
      </c>
      <c r="E16790" s="4" t="s">
        <v>6242</v>
      </c>
      <c r="F16790" s="4" t="n">
        <v>10</v>
      </c>
      <c r="G16790" s="4" t="n">
        <v>10</v>
      </c>
      <c r="H16790" s="4" t="n">
        <v>4</v>
      </c>
      <c r="I16790" s="4" t="str">
        <v>×</v>
      </c>
      <c r="J16790" s="4"/>
      <c r="K16790" s="4"/>
      <c r="L16790" s="4"/>
      <c r="M16790" s="7" t="s">
        <v>6871</v>
      </c>
    </row>
    <row r="16791" customFormat="false" ht="15.75" hidden="false" customHeight="false" outlineLevel="0" collapsed="false">
      <c r="A16791" s="6" t="n">
        <f aca="false">DATE(2026,5,3)</f>
        <v>46145</v>
      </c>
      <c r="B16791" s="4" t="s">
        <v>13</v>
      </c>
      <c r="C16791" s="4" t="n">
        <v>12</v>
      </c>
      <c r="D16791" s="4" t="n">
        <v>7</v>
      </c>
      <c r="E16791" s="4" t="s">
        <v>5720</v>
      </c>
      <c r="F16791" s="4" t="n">
        <v>15</v>
      </c>
      <c r="G16791" s="4" t="n">
        <v>8</v>
      </c>
      <c r="H16791" s="4" t="n">
        <v>4</v>
      </c>
      <c r="I16791" s="4" t="str">
        <v>×</v>
      </c>
      <c r="J16791" s="4"/>
      <c r="K16791" s="4"/>
      <c r="L16791" s="4"/>
      <c r="M16791" s="7" t="s">
        <v>6871</v>
      </c>
    </row>
    <row r="16792" customFormat="false" ht="15.75" hidden="false" customHeight="false" outlineLevel="0" collapsed="false">
      <c r="A16792" s="6" t="n">
        <f aca="false">DATE(2026,5,3)</f>
        <v>46145</v>
      </c>
      <c r="B16792" s="4" t="s">
        <v>13</v>
      </c>
      <c r="C16792" s="4" t="n">
        <v>12</v>
      </c>
      <c r="D16792" s="4" t="n">
        <v>8</v>
      </c>
      <c r="E16792" s="4" t="s">
        <v>4833</v>
      </c>
      <c r="F16792" s="4" t="n">
        <v>17</v>
      </c>
      <c r="G16792" s="4" t="n">
        <v>6</v>
      </c>
      <c r="H16792" s="4" t="n">
        <v>4</v>
      </c>
      <c r="I16792" s="4" t="str">
        <v>×</v>
      </c>
      <c r="J16792" s="4"/>
      <c r="K16792" s="4"/>
      <c r="L16792" s="4"/>
      <c r="M16792" s="7" t="s">
        <v>6871</v>
      </c>
    </row>
    <row r="16793" customFormat="false" ht="15.75" hidden="false" customHeight="false" outlineLevel="0" collapsed="false">
      <c r="A16793" s="6" t="n">
        <f aca="false">DATE(2026,5,3)</f>
        <v>46145</v>
      </c>
      <c r="B16793" s="4" t="s">
        <v>13</v>
      </c>
      <c r="C16793" s="4" t="n">
        <v>12</v>
      </c>
      <c r="D16793" s="4" t="n">
        <v>9</v>
      </c>
      <c r="E16793" s="4" t="s">
        <v>6495</v>
      </c>
      <c r="F16793" s="4" t="n">
        <v>20</v>
      </c>
      <c r="G16793" s="4" t="n">
        <v>4</v>
      </c>
      <c r="H16793" s="4" t="n">
        <v>4</v>
      </c>
      <c r="I16793" s="4" t="str">
        <v>×</v>
      </c>
      <c r="J16793" s="4"/>
      <c r="K16793" s="4"/>
      <c r="L16793" s="4"/>
      <c r="M16793" s="7" t="s">
        <v>6871</v>
      </c>
    </row>
    <row r="16794" customFormat="false" ht="15.75" hidden="false" customHeight="false" outlineLevel="0" collapsed="false">
      <c r="A16794" s="6" t="n">
        <f aca="false">DATE(2026,5,3)</f>
        <v>46145</v>
      </c>
      <c r="B16794" s="4" t="s">
        <v>13</v>
      </c>
      <c r="C16794" s="4" t="n">
        <v>12</v>
      </c>
      <c r="D16794" s="4" t="n">
        <v>10</v>
      </c>
      <c r="E16794" s="4" t="s">
        <v>539</v>
      </c>
      <c r="F16794" s="4" t="n">
        <v>44</v>
      </c>
      <c r="G16794" s="4" t="n">
        <v>3</v>
      </c>
      <c r="H16794" s="4" t="n">
        <v>2</v>
      </c>
      <c r="I16794" s="4" t="str">
        <v>○</v>
      </c>
      <c r="J16794" s="4" t="n">
        <v>190</v>
      </c>
      <c r="K16794" s="4"/>
      <c r="L16794" s="4"/>
      <c r="M16794" s="7" t="s">
        <v>6871</v>
      </c>
    </row>
    <row r="16795" customFormat="false" ht="15.75" hidden="false" customHeight="false" outlineLevel="0" collapsed="false">
      <c r="A16795" s="6" t="n">
        <f aca="false">DATE(2026,5,3)</f>
        <v>46145</v>
      </c>
      <c r="B16795" s="4" t="s">
        <v>13</v>
      </c>
      <c r="C16795" s="4" t="n">
        <v>12</v>
      </c>
      <c r="D16795" s="4" t="n">
        <v>11</v>
      </c>
      <c r="E16795" s="4" t="s">
        <v>2424</v>
      </c>
      <c r="F16795" s="4" t="n">
        <v>17</v>
      </c>
      <c r="G16795" s="4" t="n">
        <v>7</v>
      </c>
      <c r="H16795" s="4" t="n">
        <v>4</v>
      </c>
      <c r="I16795" s="4" t="str">
        <v>×</v>
      </c>
      <c r="J16795" s="4"/>
      <c r="K16795" s="4"/>
      <c r="L16795" s="4"/>
      <c r="M16795" s="7" t="s">
        <v>6871</v>
      </c>
    </row>
    <row r="16796" customFormat="false" ht="15.75" hidden="false" customHeight="false" outlineLevel="0" collapsed="false">
      <c r="A16796" s="6" t="n">
        <f aca="false">DATE(2026,5,3)</f>
        <v>46145</v>
      </c>
      <c r="B16796" s="4" t="s">
        <v>13</v>
      </c>
      <c r="C16796" s="4" t="n">
        <v>12</v>
      </c>
      <c r="D16796" s="4" t="n">
        <v>12</v>
      </c>
      <c r="E16796" s="4" t="s">
        <v>6250</v>
      </c>
      <c r="F16796" s="4" t="n">
        <v>8</v>
      </c>
      <c r="G16796" s="4" t="n">
        <v>11</v>
      </c>
      <c r="H16796" s="4" t="n">
        <v>4</v>
      </c>
      <c r="I16796" s="4" t="str">
        <v>×</v>
      </c>
      <c r="J16796" s="4"/>
      <c r="K16796" s="4"/>
      <c r="L16796" s="4"/>
      <c r="M16796" s="7" t="s">
        <v>6871</v>
      </c>
    </row>
    <row r="16797" customFormat="false" ht="15.75" hidden="false" customHeight="false" outlineLevel="0" collapsed="false">
      <c r="A16797" s="6" t="n">
        <f aca="false">DATE(2026,5,3)</f>
        <v>46145</v>
      </c>
      <c r="B16797" s="4" t="s">
        <v>13</v>
      </c>
      <c r="C16797" s="4" t="n">
        <v>12</v>
      </c>
      <c r="D16797" s="4" t="n">
        <v>13</v>
      </c>
      <c r="E16797" s="4" t="s">
        <v>4568</v>
      </c>
      <c r="F16797" s="4" t="n">
        <v>1</v>
      </c>
      <c r="G16797" s="4" t="n">
        <v>14</v>
      </c>
      <c r="H16797" s="4" t="n">
        <v>4</v>
      </c>
      <c r="I16797" s="4" t="str">
        <v>×</v>
      </c>
      <c r="J16797" s="4"/>
      <c r="K16797" s="4"/>
      <c r="L16797" s="4"/>
      <c r="M16797" s="7" t="s">
        <v>6871</v>
      </c>
    </row>
    <row r="16798" customFormat="false" ht="15.75" hidden="false" customHeight="false" outlineLevel="0" collapsed="false">
      <c r="A16798" s="6" t="n">
        <f aca="false">DATE(2026,5,3)</f>
        <v>46145</v>
      </c>
      <c r="B16798" s="4" t="s">
        <v>13</v>
      </c>
      <c r="C16798" s="4" t="n">
        <v>12</v>
      </c>
      <c r="D16798" s="4" t="n">
        <v>14</v>
      </c>
      <c r="E16798" s="4" t="s">
        <v>7470</v>
      </c>
      <c r="F16798" s="4" t="n">
        <v>13</v>
      </c>
      <c r="G16798" s="4" t="n">
        <v>9</v>
      </c>
      <c r="H16798" s="4" t="n">
        <v>4</v>
      </c>
      <c r="I16798" s="4" t="str">
        <v>×</v>
      </c>
      <c r="J16798" s="4"/>
      <c r="K16798" s="4"/>
      <c r="L16798" s="4"/>
      <c r="M16798" s="7" t="s">
        <v>6871</v>
      </c>
    </row>
    <row r="16799" customFormat="false" ht="15.75" hidden="false" customHeight="false" outlineLevel="0" collapsed="false">
      <c r="A16799" s="6" t="n">
        <f aca="false">DATE(2026,5,3)</f>
        <v>46145</v>
      </c>
      <c r="B16799" s="4" t="s">
        <v>13</v>
      </c>
      <c r="C16799" s="4" t="n">
        <v>12</v>
      </c>
      <c r="D16799" s="4" t="n">
        <v>15</v>
      </c>
      <c r="E16799" s="4" t="s">
        <v>5773</v>
      </c>
      <c r="F16799" s="4" t="n">
        <v>1</v>
      </c>
      <c r="G16799" s="4" t="n">
        <v>15</v>
      </c>
      <c r="H16799" s="4" t="n">
        <v>4</v>
      </c>
      <c r="I16799" s="4" t="str">
        <v>×</v>
      </c>
      <c r="J16799" s="4"/>
      <c r="K16799" s="4"/>
      <c r="L16799" s="4"/>
      <c r="M16799" s="7" t="s">
        <v>6871</v>
      </c>
    </row>
    <row r="16800" customFormat="false" ht="15.75" hidden="false" customHeight="false" outlineLevel="0" collapsed="false">
      <c r="A16800" s="6" t="n">
        <f aca="false">DATE(2026,5,3)</f>
        <v>46145</v>
      </c>
      <c r="B16800" s="4" t="s">
        <v>4473</v>
      </c>
      <c r="C16800" s="4" t="n">
        <v>1</v>
      </c>
      <c r="D16800" s="4" t="n">
        <v>1</v>
      </c>
      <c r="E16800" s="4" t="s">
        <v>2190</v>
      </c>
      <c r="F16800" s="4" t="n">
        <v>23</v>
      </c>
      <c r="G16800" s="4" t="n">
        <v>6</v>
      </c>
      <c r="H16800" s="4" t="n">
        <v>4</v>
      </c>
      <c r="I16800" s="4" t="str">
        <v>×</v>
      </c>
      <c r="J16800" s="4"/>
      <c r="K16800" s="4"/>
      <c r="L16800" s="4"/>
      <c r="M16800" s="7" t="s">
        <v>6871</v>
      </c>
    </row>
    <row r="16801" customFormat="false" ht="15.75" hidden="false" customHeight="false" outlineLevel="0" collapsed="false">
      <c r="A16801" s="6" t="n">
        <f aca="false">DATE(2026,5,3)</f>
        <v>46145</v>
      </c>
      <c r="B16801" s="4" t="s">
        <v>4473</v>
      </c>
      <c r="C16801" s="4" t="n">
        <v>1</v>
      </c>
      <c r="D16801" s="4" t="n">
        <v>2</v>
      </c>
      <c r="E16801" s="4" t="s">
        <v>7471</v>
      </c>
      <c r="F16801" s="4" t="n">
        <v>15</v>
      </c>
      <c r="G16801" s="4" t="n">
        <v>7</v>
      </c>
      <c r="H16801" s="4" t="n">
        <v>4</v>
      </c>
      <c r="I16801" s="4" t="str">
        <v>×</v>
      </c>
      <c r="J16801" s="4"/>
      <c r="K16801" s="4"/>
      <c r="L16801" s="4"/>
      <c r="M16801" s="7" t="s">
        <v>6871</v>
      </c>
    </row>
    <row r="16802" customFormat="false" ht="15.75" hidden="false" customHeight="false" outlineLevel="0" collapsed="false">
      <c r="A16802" s="6" t="n">
        <f aca="false">DATE(2026,5,3)</f>
        <v>46145</v>
      </c>
      <c r="B16802" s="4" t="s">
        <v>4473</v>
      </c>
      <c r="C16802" s="4" t="n">
        <v>1</v>
      </c>
      <c r="D16802" s="4" t="n">
        <v>3</v>
      </c>
      <c r="E16802" s="4" t="s">
        <v>5986</v>
      </c>
      <c r="F16802" s="4" t="n">
        <v>47</v>
      </c>
      <c r="G16802" s="4" t="n">
        <v>2</v>
      </c>
      <c r="H16802" s="4" t="n">
        <v>2</v>
      </c>
      <c r="I16802" s="4" t="str">
        <v>○</v>
      </c>
      <c r="J16802" s="4" t="n">
        <v>210</v>
      </c>
      <c r="K16802" s="4"/>
      <c r="L16802" s="4"/>
      <c r="M16802" s="7" t="s">
        <v>6871</v>
      </c>
    </row>
    <row r="16803" customFormat="false" ht="15.75" hidden="false" customHeight="false" outlineLevel="0" collapsed="false">
      <c r="A16803" s="6" t="n">
        <f aca="false">DATE(2026,5,3)</f>
        <v>46145</v>
      </c>
      <c r="B16803" s="4" t="s">
        <v>4473</v>
      </c>
      <c r="C16803" s="4" t="n">
        <v>1</v>
      </c>
      <c r="D16803" s="4" t="n">
        <v>4</v>
      </c>
      <c r="E16803" s="4" t="s">
        <v>491</v>
      </c>
      <c r="F16803" s="4" t="n">
        <v>8</v>
      </c>
      <c r="G16803" s="4" t="n">
        <v>12</v>
      </c>
      <c r="H16803" s="4" t="n">
        <v>3</v>
      </c>
      <c r="I16803" s="4" t="str">
        <v>○</v>
      </c>
      <c r="J16803" s="4" t="n">
        <v>200</v>
      </c>
      <c r="K16803" s="4"/>
      <c r="L16803" s="4"/>
      <c r="M16803" s="7" t="s">
        <v>6871</v>
      </c>
    </row>
    <row r="16804" customFormat="false" ht="15.75" hidden="false" customHeight="false" outlineLevel="0" collapsed="false">
      <c r="A16804" s="6" t="n">
        <f aca="false">DATE(2026,5,3)</f>
        <v>46145</v>
      </c>
      <c r="B16804" s="4" t="s">
        <v>4473</v>
      </c>
      <c r="C16804" s="4" t="n">
        <v>1</v>
      </c>
      <c r="D16804" s="4" t="n">
        <v>5</v>
      </c>
      <c r="E16804" s="4" t="s">
        <v>2014</v>
      </c>
      <c r="F16804" s="4" t="n">
        <v>15</v>
      </c>
      <c r="G16804" s="4" t="n">
        <v>8</v>
      </c>
      <c r="H16804" s="4" t="n">
        <v>4</v>
      </c>
      <c r="I16804" s="4" t="str">
        <v>×</v>
      </c>
      <c r="J16804" s="4"/>
      <c r="K16804" s="4"/>
      <c r="L16804" s="4"/>
      <c r="M16804" s="7" t="s">
        <v>6871</v>
      </c>
    </row>
    <row r="16805" customFormat="false" ht="15.75" hidden="false" customHeight="false" outlineLevel="0" collapsed="false">
      <c r="A16805" s="6" t="n">
        <f aca="false">DATE(2026,5,3)</f>
        <v>46145</v>
      </c>
      <c r="B16805" s="4" t="s">
        <v>4473</v>
      </c>
      <c r="C16805" s="4" t="n">
        <v>1</v>
      </c>
      <c r="D16805" s="4" t="n">
        <v>6</v>
      </c>
      <c r="E16805" s="4" t="s">
        <v>7472</v>
      </c>
      <c r="F16805" s="4" t="n">
        <v>3</v>
      </c>
      <c r="G16805" s="4" t="n">
        <v>15</v>
      </c>
      <c r="H16805" s="4" t="n">
        <v>4</v>
      </c>
      <c r="I16805" s="4" t="str">
        <v>×</v>
      </c>
      <c r="J16805" s="4"/>
      <c r="K16805" s="4"/>
      <c r="L16805" s="4"/>
      <c r="M16805" s="7" t="s">
        <v>6871</v>
      </c>
    </row>
    <row r="16806" customFormat="false" ht="15.75" hidden="false" customHeight="false" outlineLevel="0" collapsed="false">
      <c r="A16806" s="6" t="n">
        <f aca="false">DATE(2026,5,3)</f>
        <v>46145</v>
      </c>
      <c r="B16806" s="4" t="s">
        <v>4473</v>
      </c>
      <c r="C16806" s="4" t="n">
        <v>1</v>
      </c>
      <c r="D16806" s="4" t="n">
        <v>7</v>
      </c>
      <c r="E16806" s="4" t="s">
        <v>2184</v>
      </c>
      <c r="F16806" s="4" t="n">
        <v>47</v>
      </c>
      <c r="G16806" s="4" t="n">
        <v>3</v>
      </c>
      <c r="H16806" s="4" t="n">
        <v>4</v>
      </c>
      <c r="I16806" s="4" t="str">
        <v>×</v>
      </c>
      <c r="J16806" s="4"/>
      <c r="K16806" s="4"/>
      <c r="L16806" s="4"/>
      <c r="M16806" s="7" t="s">
        <v>6871</v>
      </c>
    </row>
    <row r="16807" customFormat="false" ht="15.75" hidden="false" customHeight="false" outlineLevel="0" collapsed="false">
      <c r="A16807" s="6" t="n">
        <f aca="false">DATE(2026,5,3)</f>
        <v>46145</v>
      </c>
      <c r="B16807" s="4" t="s">
        <v>4473</v>
      </c>
      <c r="C16807" s="4" t="n">
        <v>1</v>
      </c>
      <c r="D16807" s="4" t="n">
        <v>8</v>
      </c>
      <c r="E16807" s="4" t="s">
        <v>143</v>
      </c>
      <c r="F16807" s="4" t="n">
        <v>4</v>
      </c>
      <c r="G16807" s="4" t="n">
        <v>14</v>
      </c>
      <c r="H16807" s="4" t="n">
        <v>4</v>
      </c>
      <c r="I16807" s="4" t="str">
        <v>×</v>
      </c>
      <c r="J16807" s="4"/>
      <c r="K16807" s="4"/>
      <c r="L16807" s="4"/>
      <c r="M16807" s="7" t="s">
        <v>6871</v>
      </c>
    </row>
    <row r="16808" customFormat="false" ht="15.75" hidden="false" customHeight="false" outlineLevel="0" collapsed="false">
      <c r="A16808" s="6" t="n">
        <f aca="false">DATE(2026,5,3)</f>
        <v>46145</v>
      </c>
      <c r="B16808" s="4" t="s">
        <v>4473</v>
      </c>
      <c r="C16808" s="4" t="n">
        <v>1</v>
      </c>
      <c r="D16808" s="4" t="n">
        <v>9</v>
      </c>
      <c r="E16808" s="4" t="s">
        <v>1289</v>
      </c>
      <c r="F16808" s="4" t="n">
        <v>10</v>
      </c>
      <c r="G16808" s="4" t="n">
        <v>10</v>
      </c>
      <c r="H16808" s="4" t="n">
        <v>4</v>
      </c>
      <c r="I16808" s="4" t="str">
        <v>×</v>
      </c>
      <c r="J16808" s="4"/>
      <c r="K16808" s="4"/>
      <c r="L16808" s="4"/>
      <c r="M16808" s="7" t="s">
        <v>6871</v>
      </c>
    </row>
    <row r="16809" customFormat="false" ht="15.75" hidden="false" customHeight="false" outlineLevel="0" collapsed="false">
      <c r="A16809" s="6" t="n">
        <f aca="false">DATE(2026,5,3)</f>
        <v>46145</v>
      </c>
      <c r="B16809" s="4" t="s">
        <v>4473</v>
      </c>
      <c r="C16809" s="4" t="n">
        <v>1</v>
      </c>
      <c r="D16809" s="4" t="n">
        <v>10</v>
      </c>
      <c r="E16809" s="4" t="s">
        <v>7473</v>
      </c>
      <c r="F16809" s="4" t="n">
        <v>10</v>
      </c>
      <c r="G16809" s="4" t="n">
        <v>11</v>
      </c>
      <c r="H16809" s="4" t="n">
        <v>4</v>
      </c>
      <c r="I16809" s="4" t="str">
        <v>×</v>
      </c>
      <c r="J16809" s="4"/>
      <c r="K16809" s="4"/>
      <c r="L16809" s="4"/>
      <c r="M16809" s="7" t="s">
        <v>6871</v>
      </c>
    </row>
    <row r="16810" customFormat="false" ht="15.75" hidden="false" customHeight="false" outlineLevel="0" collapsed="false">
      <c r="A16810" s="6" t="n">
        <f aca="false">DATE(2026,5,3)</f>
        <v>46145</v>
      </c>
      <c r="B16810" s="4" t="s">
        <v>4473</v>
      </c>
      <c r="C16810" s="4" t="n">
        <v>1</v>
      </c>
      <c r="D16810" s="4" t="n">
        <v>11</v>
      </c>
      <c r="E16810" s="4" t="s">
        <v>2953</v>
      </c>
      <c r="F16810" s="4" t="n">
        <v>15</v>
      </c>
      <c r="G16810" s="4" t="n">
        <v>9</v>
      </c>
      <c r="H16810" s="4" t="n">
        <v>4</v>
      </c>
      <c r="I16810" s="4" t="str">
        <v>×</v>
      </c>
      <c r="J16810" s="4"/>
      <c r="K16810" s="4"/>
      <c r="L16810" s="4"/>
      <c r="M16810" s="7" t="s">
        <v>6871</v>
      </c>
    </row>
    <row r="16811" customFormat="false" ht="15.75" hidden="false" customHeight="false" outlineLevel="0" collapsed="false">
      <c r="A16811" s="6" t="n">
        <f aca="false">DATE(2026,5,3)</f>
        <v>46145</v>
      </c>
      <c r="B16811" s="4" t="s">
        <v>4473</v>
      </c>
      <c r="C16811" s="4" t="n">
        <v>1</v>
      </c>
      <c r="D16811" s="4" t="n">
        <v>12</v>
      </c>
      <c r="E16811" s="4" t="s">
        <v>3731</v>
      </c>
      <c r="F16811" s="4" t="n">
        <v>34</v>
      </c>
      <c r="G16811" s="4" t="n">
        <v>4</v>
      </c>
      <c r="H16811" s="4" t="n">
        <v>4</v>
      </c>
      <c r="I16811" s="4" t="str">
        <v>×</v>
      </c>
      <c r="J16811" s="4"/>
      <c r="K16811" s="4"/>
      <c r="L16811" s="4"/>
      <c r="M16811" s="7" t="s">
        <v>6871</v>
      </c>
    </row>
    <row r="16812" customFormat="false" ht="15.75" hidden="false" customHeight="false" outlineLevel="0" collapsed="false">
      <c r="A16812" s="6" t="n">
        <f aca="false">DATE(2026,5,3)</f>
        <v>46145</v>
      </c>
      <c r="B16812" s="4" t="s">
        <v>4473</v>
      </c>
      <c r="C16812" s="4" t="n">
        <v>1</v>
      </c>
      <c r="D16812" s="4" t="n">
        <v>13</v>
      </c>
      <c r="E16812" s="4" t="s">
        <v>7474</v>
      </c>
      <c r="F16812" s="4" t="n">
        <v>67</v>
      </c>
      <c r="G16812" s="4" t="n">
        <v>1</v>
      </c>
      <c r="H16812" s="4" t="n">
        <v>1</v>
      </c>
      <c r="I16812" s="4" t="str">
        <v>○</v>
      </c>
      <c r="J16812" s="4" t="n">
        <v>120</v>
      </c>
      <c r="K16812" s="4"/>
      <c r="L16812" s="4"/>
      <c r="M16812" s="7" t="s">
        <v>6871</v>
      </c>
    </row>
    <row r="16813" customFormat="false" ht="15.75" hidden="false" customHeight="false" outlineLevel="0" collapsed="false">
      <c r="A16813" s="6" t="n">
        <f aca="false">DATE(2026,5,3)</f>
        <v>46145</v>
      </c>
      <c r="B16813" s="4" t="s">
        <v>4473</v>
      </c>
      <c r="C16813" s="4" t="n">
        <v>1</v>
      </c>
      <c r="D16813" s="4" t="n">
        <v>14</v>
      </c>
      <c r="E16813" s="4" t="s">
        <v>5604</v>
      </c>
      <c r="F16813" s="4" t="n">
        <v>8</v>
      </c>
      <c r="G16813" s="4" t="n">
        <v>13</v>
      </c>
      <c r="H16813" s="4" t="n">
        <v>4</v>
      </c>
      <c r="I16813" s="4" t="str">
        <v>×</v>
      </c>
      <c r="J16813" s="4"/>
      <c r="K16813" s="4"/>
      <c r="L16813" s="4"/>
      <c r="M16813" s="7" t="s">
        <v>6871</v>
      </c>
    </row>
    <row r="16814" customFormat="false" ht="15.75" hidden="false" customHeight="false" outlineLevel="0" collapsed="false">
      <c r="A16814" s="6" t="n">
        <f aca="false">DATE(2026,5,3)</f>
        <v>46145</v>
      </c>
      <c r="B16814" s="4" t="s">
        <v>4473</v>
      </c>
      <c r="C16814" s="4" t="n">
        <v>1</v>
      </c>
      <c r="D16814" s="4" t="n">
        <v>15</v>
      </c>
      <c r="E16814" s="4" t="s">
        <v>4899</v>
      </c>
      <c r="F16814" s="4" t="n">
        <v>31</v>
      </c>
      <c r="G16814" s="4" t="n">
        <v>5</v>
      </c>
      <c r="H16814" s="4" t="n">
        <v>4</v>
      </c>
      <c r="I16814" s="4" t="str">
        <v>×</v>
      </c>
      <c r="J16814" s="4"/>
      <c r="K16814" s="4"/>
      <c r="L16814" s="4"/>
      <c r="M16814" s="7" t="s">
        <v>6871</v>
      </c>
    </row>
    <row r="16815" customFormat="false" ht="15.75" hidden="false" customHeight="false" outlineLevel="0" collapsed="false">
      <c r="A16815" s="6" t="n">
        <f aca="false">DATE(2026,5,3)</f>
        <v>46145</v>
      </c>
      <c r="B16815" s="4" t="s">
        <v>4473</v>
      </c>
      <c r="C16815" s="4" t="n">
        <v>2</v>
      </c>
      <c r="D16815" s="4" t="n">
        <v>1</v>
      </c>
      <c r="E16815" s="4" t="s">
        <v>7475</v>
      </c>
      <c r="F16815" s="4" t="n">
        <v>4</v>
      </c>
      <c r="G16815" s="4" t="n">
        <v>11</v>
      </c>
      <c r="H16815" s="4" t="n">
        <v>4</v>
      </c>
      <c r="I16815" s="4" t="str">
        <v>×</v>
      </c>
      <c r="J16815" s="4"/>
      <c r="K16815" s="4"/>
      <c r="L16815" s="4"/>
      <c r="M16815" s="7" t="s">
        <v>6871</v>
      </c>
    </row>
    <row r="16816" customFormat="false" ht="15.75" hidden="false" customHeight="false" outlineLevel="0" collapsed="false">
      <c r="A16816" s="6" t="n">
        <f aca="false">DATE(2026,5,3)</f>
        <v>46145</v>
      </c>
      <c r="B16816" s="4" t="s">
        <v>4473</v>
      </c>
      <c r="C16816" s="4" t="n">
        <v>2</v>
      </c>
      <c r="D16816" s="4" t="n">
        <v>2</v>
      </c>
      <c r="E16816" s="4" t="s">
        <v>1470</v>
      </c>
      <c r="F16816" s="4" t="n">
        <v>29</v>
      </c>
      <c r="G16816" s="4" t="n">
        <v>3</v>
      </c>
      <c r="H16816" s="4" t="n">
        <v>4</v>
      </c>
      <c r="I16816" s="4" t="str">
        <v>×</v>
      </c>
      <c r="J16816" s="4"/>
      <c r="K16816" s="4"/>
      <c r="L16816" s="4"/>
      <c r="M16816" s="7" t="s">
        <v>6871</v>
      </c>
    </row>
    <row r="16817" customFormat="false" ht="15.75" hidden="false" customHeight="false" outlineLevel="0" collapsed="false">
      <c r="A16817" s="6" t="n">
        <f aca="false">DATE(2026,5,3)</f>
        <v>46145</v>
      </c>
      <c r="B16817" s="4" t="s">
        <v>4473</v>
      </c>
      <c r="C16817" s="4" t="n">
        <v>2</v>
      </c>
      <c r="D16817" s="4" t="n">
        <v>3</v>
      </c>
      <c r="E16817" s="4" t="s">
        <v>3277</v>
      </c>
      <c r="F16817" s="4" t="n">
        <v>3</v>
      </c>
      <c r="G16817" s="4" t="n">
        <v>14</v>
      </c>
      <c r="H16817" s="4" t="n">
        <v>4</v>
      </c>
      <c r="I16817" s="4" t="str">
        <v>×</v>
      </c>
      <c r="J16817" s="4"/>
      <c r="K16817" s="4"/>
      <c r="L16817" s="4"/>
      <c r="M16817" s="7" t="s">
        <v>6871</v>
      </c>
    </row>
    <row r="16818" customFormat="false" ht="15.75" hidden="false" customHeight="false" outlineLevel="0" collapsed="false">
      <c r="A16818" s="6" t="n">
        <f aca="false">DATE(2026,5,3)</f>
        <v>46145</v>
      </c>
      <c r="B16818" s="4" t="s">
        <v>4473</v>
      </c>
      <c r="C16818" s="4" t="n">
        <v>2</v>
      </c>
      <c r="D16818" s="4" t="n">
        <v>4</v>
      </c>
      <c r="E16818" s="4" t="s">
        <v>7476</v>
      </c>
      <c r="F16818" s="4" t="n">
        <v>8</v>
      </c>
      <c r="G16818" s="4" t="n">
        <v>9</v>
      </c>
      <c r="H16818" s="4" t="n">
        <v>4</v>
      </c>
      <c r="I16818" s="4" t="str">
        <v>×</v>
      </c>
      <c r="J16818" s="4"/>
      <c r="K16818" s="4"/>
      <c r="L16818" s="4"/>
      <c r="M16818" s="7" t="s">
        <v>6871</v>
      </c>
    </row>
    <row r="16819" customFormat="false" ht="15.75" hidden="false" customHeight="false" outlineLevel="0" collapsed="false">
      <c r="A16819" s="6" t="n">
        <f aca="false">DATE(2026,5,3)</f>
        <v>46145</v>
      </c>
      <c r="B16819" s="4" t="s">
        <v>4473</v>
      </c>
      <c r="C16819" s="4" t="n">
        <v>2</v>
      </c>
      <c r="D16819" s="4" t="n">
        <v>5</v>
      </c>
      <c r="E16819" s="4" t="s">
        <v>7477</v>
      </c>
      <c r="F16819" s="4" t="n">
        <v>29</v>
      </c>
      <c r="G16819" s="4" t="n">
        <v>4</v>
      </c>
      <c r="H16819" s="4" t="n">
        <v>1</v>
      </c>
      <c r="I16819" s="4" t="str">
        <v>○</v>
      </c>
      <c r="J16819" s="4" t="n">
        <v>170</v>
      </c>
      <c r="K16819" s="4"/>
      <c r="L16819" s="4"/>
      <c r="M16819" s="7" t="s">
        <v>6871</v>
      </c>
    </row>
    <row r="16820" customFormat="false" ht="15.75" hidden="false" customHeight="false" outlineLevel="0" collapsed="false">
      <c r="A16820" s="6" t="n">
        <f aca="false">DATE(2026,5,3)</f>
        <v>46145</v>
      </c>
      <c r="B16820" s="4" t="s">
        <v>4473</v>
      </c>
      <c r="C16820" s="4" t="n">
        <v>2</v>
      </c>
      <c r="D16820" s="4" t="n">
        <v>6</v>
      </c>
      <c r="E16820" s="4" t="s">
        <v>955</v>
      </c>
      <c r="F16820" s="4" t="n">
        <v>3</v>
      </c>
      <c r="G16820" s="4" t="n">
        <v>15</v>
      </c>
      <c r="H16820" s="4" t="n">
        <v>4</v>
      </c>
      <c r="I16820" s="4" t="str">
        <v>×</v>
      </c>
      <c r="J16820" s="4"/>
      <c r="K16820" s="4"/>
      <c r="L16820" s="4"/>
      <c r="M16820" s="7" t="s">
        <v>6871</v>
      </c>
    </row>
    <row r="16821" customFormat="false" ht="15.75" hidden="false" customHeight="false" outlineLevel="0" collapsed="false">
      <c r="A16821" s="6" t="n">
        <f aca="false">DATE(2026,5,3)</f>
        <v>46145</v>
      </c>
      <c r="B16821" s="4" t="s">
        <v>4473</v>
      </c>
      <c r="C16821" s="4" t="n">
        <v>2</v>
      </c>
      <c r="D16821" s="4" t="n">
        <v>7</v>
      </c>
      <c r="E16821" s="4" t="s">
        <v>5799</v>
      </c>
      <c r="F16821" s="4" t="n">
        <v>29</v>
      </c>
      <c r="G16821" s="4" t="n">
        <v>5</v>
      </c>
      <c r="H16821" s="4" t="n">
        <v>3</v>
      </c>
      <c r="I16821" s="4" t="str">
        <v>○</v>
      </c>
      <c r="J16821" s="4" t="n">
        <v>240</v>
      </c>
      <c r="K16821" s="4"/>
      <c r="L16821" s="4"/>
      <c r="M16821" s="7" t="s">
        <v>6871</v>
      </c>
    </row>
    <row r="16822" customFormat="false" ht="15.75" hidden="false" customHeight="false" outlineLevel="0" collapsed="false">
      <c r="A16822" s="6" t="n">
        <f aca="false">DATE(2026,5,3)</f>
        <v>46145</v>
      </c>
      <c r="B16822" s="4" t="s">
        <v>4473</v>
      </c>
      <c r="C16822" s="4" t="n">
        <v>2</v>
      </c>
      <c r="D16822" s="4" t="n">
        <v>8</v>
      </c>
      <c r="E16822" s="4" t="s">
        <v>4927</v>
      </c>
      <c r="F16822" s="4" t="n">
        <v>8</v>
      </c>
      <c r="G16822" s="4" t="n">
        <v>10</v>
      </c>
      <c r="H16822" s="4" t="n">
        <v>4</v>
      </c>
      <c r="I16822" s="4" t="str">
        <v>×</v>
      </c>
      <c r="J16822" s="4"/>
      <c r="K16822" s="4"/>
      <c r="L16822" s="4"/>
      <c r="M16822" s="7" t="s">
        <v>6871</v>
      </c>
    </row>
    <row r="16823" customFormat="false" ht="15.75" hidden="false" customHeight="false" outlineLevel="0" collapsed="false">
      <c r="A16823" s="6" t="n">
        <f aca="false">DATE(2026,5,3)</f>
        <v>46145</v>
      </c>
      <c r="B16823" s="4" t="s">
        <v>4473</v>
      </c>
      <c r="C16823" s="4" t="n">
        <v>2</v>
      </c>
      <c r="D16823" s="4" t="n">
        <v>9</v>
      </c>
      <c r="E16823" s="4" t="s">
        <v>5353</v>
      </c>
      <c r="F16823" s="4" t="n">
        <v>4</v>
      </c>
      <c r="G16823" s="4" t="n">
        <v>12</v>
      </c>
      <c r="H16823" s="4" t="n">
        <v>4</v>
      </c>
      <c r="I16823" s="4" t="str">
        <v>×</v>
      </c>
      <c r="J16823" s="4"/>
      <c r="K16823" s="4"/>
      <c r="L16823" s="4"/>
      <c r="M16823" s="7" t="s">
        <v>6871</v>
      </c>
    </row>
    <row r="16824" customFormat="false" ht="15.75" hidden="false" customHeight="false" outlineLevel="0" collapsed="false">
      <c r="A16824" s="6" t="n">
        <f aca="false">DATE(2026,5,3)</f>
        <v>46145</v>
      </c>
      <c r="B16824" s="4" t="s">
        <v>4473</v>
      </c>
      <c r="C16824" s="4" t="n">
        <v>2</v>
      </c>
      <c r="D16824" s="4" t="n">
        <v>10</v>
      </c>
      <c r="E16824" s="4" t="s">
        <v>3735</v>
      </c>
      <c r="F16824" s="4" t="n">
        <v>50</v>
      </c>
      <c r="G16824" s="4" t="n">
        <v>2</v>
      </c>
      <c r="H16824" s="4" t="n">
        <v>4</v>
      </c>
      <c r="I16824" s="4" t="str">
        <v>×</v>
      </c>
      <c r="J16824" s="4"/>
      <c r="K16824" s="4"/>
      <c r="L16824" s="4"/>
      <c r="M16824" s="7" t="s">
        <v>6871</v>
      </c>
    </row>
    <row r="16825" customFormat="false" ht="15.75" hidden="false" customHeight="false" outlineLevel="0" collapsed="false">
      <c r="A16825" s="6" t="n">
        <f aca="false">DATE(2026,5,3)</f>
        <v>46145</v>
      </c>
      <c r="B16825" s="4" t="s">
        <v>4473</v>
      </c>
      <c r="C16825" s="4" t="n">
        <v>2</v>
      </c>
      <c r="D16825" s="4" t="n">
        <v>11</v>
      </c>
      <c r="E16825" s="4" t="s">
        <v>3504</v>
      </c>
      <c r="F16825" s="4" t="n">
        <v>66</v>
      </c>
      <c r="G16825" s="4" t="n">
        <v>1</v>
      </c>
      <c r="H16825" s="4" t="n">
        <v>4</v>
      </c>
      <c r="I16825" s="4" t="str">
        <v>×</v>
      </c>
      <c r="J16825" s="4"/>
      <c r="K16825" s="4"/>
      <c r="L16825" s="4"/>
      <c r="M16825" s="7" t="s">
        <v>6871</v>
      </c>
    </row>
    <row r="16826" customFormat="false" ht="15.75" hidden="false" customHeight="false" outlineLevel="0" collapsed="false">
      <c r="A16826" s="6" t="n">
        <f aca="false">DATE(2026,5,3)</f>
        <v>46145</v>
      </c>
      <c r="B16826" s="4" t="s">
        <v>4473</v>
      </c>
      <c r="C16826" s="4" t="n">
        <v>2</v>
      </c>
      <c r="D16826" s="4" t="n">
        <v>12</v>
      </c>
      <c r="E16826" s="4" t="s">
        <v>7478</v>
      </c>
      <c r="F16826" s="4" t="n">
        <v>20</v>
      </c>
      <c r="G16826" s="4" t="n">
        <v>7</v>
      </c>
      <c r="H16826" s="4" t="n">
        <v>4</v>
      </c>
      <c r="I16826" s="4" t="str">
        <v>×</v>
      </c>
      <c r="J16826" s="4"/>
      <c r="K16826" s="4"/>
      <c r="L16826" s="4"/>
      <c r="M16826" s="7" t="s">
        <v>6871</v>
      </c>
    </row>
    <row r="16827" customFormat="false" ht="15.75" hidden="false" customHeight="false" outlineLevel="0" collapsed="false">
      <c r="A16827" s="6" t="n">
        <f aca="false">DATE(2026,5,3)</f>
        <v>46145</v>
      </c>
      <c r="B16827" s="4" t="s">
        <v>4473</v>
      </c>
      <c r="C16827" s="4" t="n">
        <v>2</v>
      </c>
      <c r="D16827" s="4" t="n">
        <v>13</v>
      </c>
      <c r="E16827" s="4" t="s">
        <v>49</v>
      </c>
      <c r="F16827" s="4" t="n">
        <v>4</v>
      </c>
      <c r="G16827" s="4" t="n">
        <v>13</v>
      </c>
      <c r="H16827" s="4" t="n">
        <v>2</v>
      </c>
      <c r="I16827" s="4" t="str">
        <v>○</v>
      </c>
      <c r="J16827" s="4" t="n">
        <v>1450</v>
      </c>
      <c r="K16827" s="4"/>
      <c r="L16827" s="4"/>
      <c r="M16827" s="7" t="s">
        <v>6871</v>
      </c>
    </row>
    <row r="16828" customFormat="false" ht="15.75" hidden="false" customHeight="false" outlineLevel="0" collapsed="false">
      <c r="A16828" s="6" t="n">
        <f aca="false">DATE(2026,5,3)</f>
        <v>46145</v>
      </c>
      <c r="B16828" s="4" t="s">
        <v>4473</v>
      </c>
      <c r="C16828" s="4" t="n">
        <v>2</v>
      </c>
      <c r="D16828" s="4" t="n">
        <v>14</v>
      </c>
      <c r="E16828" s="4" t="s">
        <v>5514</v>
      </c>
      <c r="F16828" s="4" t="n">
        <v>23</v>
      </c>
      <c r="G16828" s="4" t="n">
        <v>6</v>
      </c>
      <c r="H16828" s="4" t="n">
        <v>4</v>
      </c>
      <c r="I16828" s="4" t="str">
        <v>×</v>
      </c>
      <c r="J16828" s="4"/>
      <c r="K16828" s="4"/>
      <c r="L16828" s="4"/>
      <c r="M16828" s="7" t="s">
        <v>6871</v>
      </c>
    </row>
    <row r="16829" customFormat="false" ht="15.75" hidden="false" customHeight="false" outlineLevel="0" collapsed="false">
      <c r="A16829" s="6" t="n">
        <f aca="false">DATE(2026,5,3)</f>
        <v>46145</v>
      </c>
      <c r="B16829" s="4" t="s">
        <v>4473</v>
      </c>
      <c r="C16829" s="4" t="n">
        <v>2</v>
      </c>
      <c r="D16829" s="4" t="n">
        <v>15</v>
      </c>
      <c r="E16829" s="4" t="s">
        <v>2615</v>
      </c>
      <c r="F16829" s="4" t="n">
        <v>10</v>
      </c>
      <c r="G16829" s="4" t="n">
        <v>8</v>
      </c>
      <c r="H16829" s="4" t="n">
        <v>4</v>
      </c>
      <c r="I16829" s="4" t="str">
        <v>×</v>
      </c>
      <c r="J16829" s="4"/>
      <c r="K16829" s="4"/>
      <c r="L16829" s="4"/>
      <c r="M16829" s="7" t="s">
        <v>6871</v>
      </c>
    </row>
    <row r="16830" customFormat="false" ht="15.75" hidden="false" customHeight="false" outlineLevel="0" collapsed="false">
      <c r="A16830" s="6" t="n">
        <f aca="false">DATE(2026,5,3)</f>
        <v>46145</v>
      </c>
      <c r="B16830" s="4" t="s">
        <v>4473</v>
      </c>
      <c r="C16830" s="4" t="n">
        <v>2</v>
      </c>
      <c r="D16830" s="4" t="n">
        <v>16</v>
      </c>
      <c r="E16830" s="4" t="s">
        <v>4125</v>
      </c>
      <c r="F16830" s="4" t="n">
        <v>3</v>
      </c>
      <c r="G16830" s="4" t="n">
        <v>16</v>
      </c>
      <c r="H16830" s="4" t="n">
        <v>4</v>
      </c>
      <c r="I16830" s="4" t="str">
        <v>×</v>
      </c>
      <c r="J16830" s="4"/>
      <c r="K16830" s="4"/>
      <c r="L16830" s="4"/>
      <c r="M16830" s="7" t="s">
        <v>6871</v>
      </c>
    </row>
    <row r="16831" customFormat="false" ht="15.75" hidden="false" customHeight="false" outlineLevel="0" collapsed="false">
      <c r="A16831" s="6" t="n">
        <f aca="false">DATE(2026,5,3)</f>
        <v>46145</v>
      </c>
      <c r="B16831" s="4" t="s">
        <v>4473</v>
      </c>
      <c r="C16831" s="4" t="n">
        <v>3</v>
      </c>
      <c r="D16831" s="4" t="n">
        <v>1</v>
      </c>
      <c r="E16831" s="4" t="s">
        <v>7479</v>
      </c>
      <c r="F16831" s="4" t="n">
        <v>6</v>
      </c>
      <c r="G16831" s="4" t="n">
        <v>10</v>
      </c>
      <c r="H16831" s="4" t="n">
        <v>4</v>
      </c>
      <c r="I16831" s="4" t="str">
        <v>×</v>
      </c>
      <c r="J16831" s="4"/>
      <c r="K16831" s="4"/>
      <c r="L16831" s="4"/>
      <c r="M16831" s="7" t="s">
        <v>6871</v>
      </c>
    </row>
    <row r="16832" customFormat="false" ht="15.75" hidden="false" customHeight="false" outlineLevel="0" collapsed="false">
      <c r="A16832" s="6" t="n">
        <f aca="false">DATE(2026,5,3)</f>
        <v>46145</v>
      </c>
      <c r="B16832" s="4" t="s">
        <v>4473</v>
      </c>
      <c r="C16832" s="4" t="n">
        <v>3</v>
      </c>
      <c r="D16832" s="4" t="n">
        <v>2</v>
      </c>
      <c r="E16832" s="4" t="s">
        <v>7480</v>
      </c>
      <c r="F16832" s="4" t="n">
        <v>10</v>
      </c>
      <c r="G16832" s="4" t="n">
        <v>6</v>
      </c>
      <c r="H16832" s="4" t="n">
        <v>4</v>
      </c>
      <c r="I16832" s="4" t="str">
        <v>×</v>
      </c>
      <c r="J16832" s="4"/>
      <c r="K16832" s="4"/>
      <c r="L16832" s="4"/>
      <c r="M16832" s="7" t="s">
        <v>6871</v>
      </c>
    </row>
    <row r="16833" customFormat="false" ht="15.75" hidden="false" customHeight="false" outlineLevel="0" collapsed="false">
      <c r="A16833" s="6" t="n">
        <f aca="false">DATE(2026,5,3)</f>
        <v>46145</v>
      </c>
      <c r="B16833" s="4" t="s">
        <v>4473</v>
      </c>
      <c r="C16833" s="4" t="n">
        <v>3</v>
      </c>
      <c r="D16833" s="4" t="n">
        <v>3</v>
      </c>
      <c r="E16833" s="4" t="s">
        <v>5357</v>
      </c>
      <c r="F16833" s="4" t="n">
        <v>10</v>
      </c>
      <c r="G16833" s="4" t="n">
        <v>7</v>
      </c>
      <c r="H16833" s="4" t="n">
        <v>4</v>
      </c>
      <c r="I16833" s="4" t="str">
        <v>×</v>
      </c>
      <c r="J16833" s="4"/>
      <c r="K16833" s="4"/>
      <c r="L16833" s="4"/>
      <c r="M16833" s="7" t="s">
        <v>6871</v>
      </c>
    </row>
    <row r="16834" customFormat="false" ht="15.75" hidden="false" customHeight="false" outlineLevel="0" collapsed="false">
      <c r="A16834" s="6" t="n">
        <f aca="false">DATE(2026,5,3)</f>
        <v>46145</v>
      </c>
      <c r="B16834" s="4" t="s">
        <v>4473</v>
      </c>
      <c r="C16834" s="4" t="n">
        <v>3</v>
      </c>
      <c r="D16834" s="4" t="n">
        <v>4</v>
      </c>
      <c r="E16834" s="4" t="s">
        <v>7481</v>
      </c>
      <c r="F16834" s="4" t="n">
        <v>6</v>
      </c>
      <c r="G16834" s="4" t="n">
        <v>11</v>
      </c>
      <c r="H16834" s="4" t="n">
        <v>4</v>
      </c>
      <c r="I16834" s="4" t="str">
        <v>×</v>
      </c>
      <c r="J16834" s="4"/>
      <c r="K16834" s="4"/>
      <c r="L16834" s="4"/>
      <c r="M16834" s="7" t="s">
        <v>6871</v>
      </c>
    </row>
    <row r="16835" customFormat="false" ht="15.75" hidden="false" customHeight="false" outlineLevel="0" collapsed="false">
      <c r="A16835" s="6" t="n">
        <f aca="false">DATE(2026,5,3)</f>
        <v>46145</v>
      </c>
      <c r="B16835" s="4" t="s">
        <v>4473</v>
      </c>
      <c r="C16835" s="4" t="n">
        <v>3</v>
      </c>
      <c r="D16835" s="4" t="n">
        <v>5</v>
      </c>
      <c r="E16835" s="4" t="s">
        <v>7482</v>
      </c>
      <c r="F16835" s="4" t="n">
        <v>8</v>
      </c>
      <c r="G16835" s="4" t="n">
        <v>9</v>
      </c>
      <c r="H16835" s="4" t="n">
        <v>4</v>
      </c>
      <c r="I16835" s="4" t="str">
        <v>×</v>
      </c>
      <c r="J16835" s="4"/>
      <c r="K16835" s="4"/>
      <c r="L16835" s="4"/>
      <c r="M16835" s="7" t="s">
        <v>6871</v>
      </c>
    </row>
    <row r="16836" customFormat="false" ht="15.75" hidden="false" customHeight="false" outlineLevel="0" collapsed="false">
      <c r="A16836" s="6" t="n">
        <f aca="false">DATE(2026,5,3)</f>
        <v>46145</v>
      </c>
      <c r="B16836" s="4" t="s">
        <v>4473</v>
      </c>
      <c r="C16836" s="4" t="n">
        <v>3</v>
      </c>
      <c r="D16836" s="4" t="n">
        <v>6</v>
      </c>
      <c r="E16836" s="4" t="s">
        <v>1910</v>
      </c>
      <c r="F16836" s="4" t="n">
        <v>67</v>
      </c>
      <c r="G16836" s="4" t="n">
        <v>2</v>
      </c>
      <c r="H16836" s="4" t="n">
        <v>2</v>
      </c>
      <c r="I16836" s="4" t="str">
        <v>○</v>
      </c>
      <c r="J16836" s="4" t="n">
        <v>110</v>
      </c>
      <c r="K16836" s="4"/>
      <c r="L16836" s="4"/>
      <c r="M16836" s="7" t="s">
        <v>6871</v>
      </c>
    </row>
    <row r="16837" customFormat="false" ht="15.75" hidden="false" customHeight="false" outlineLevel="0" collapsed="false">
      <c r="A16837" s="6" t="n">
        <f aca="false">DATE(2026,5,3)</f>
        <v>46145</v>
      </c>
      <c r="B16837" s="4" t="s">
        <v>4473</v>
      </c>
      <c r="C16837" s="4" t="n">
        <v>3</v>
      </c>
      <c r="D16837" s="4" t="n">
        <v>7</v>
      </c>
      <c r="E16837" s="4" t="s">
        <v>7483</v>
      </c>
      <c r="F16837" s="4" t="n">
        <v>3</v>
      </c>
      <c r="G16837" s="4" t="n">
        <v>12</v>
      </c>
      <c r="H16837" s="4" t="n">
        <v>4</v>
      </c>
      <c r="I16837" s="4" t="str">
        <v>×</v>
      </c>
      <c r="J16837" s="4"/>
      <c r="K16837" s="4"/>
      <c r="L16837" s="4"/>
      <c r="M16837" s="7" t="s">
        <v>6871</v>
      </c>
    </row>
    <row r="16838" customFormat="false" ht="15.75" hidden="false" customHeight="false" outlineLevel="0" collapsed="false">
      <c r="A16838" s="6" t="n">
        <f aca="false">DATE(2026,5,3)</f>
        <v>46145</v>
      </c>
      <c r="B16838" s="4" t="s">
        <v>4473</v>
      </c>
      <c r="C16838" s="4" t="n">
        <v>3</v>
      </c>
      <c r="D16838" s="4" t="n">
        <v>8</v>
      </c>
      <c r="E16838" s="4" t="s">
        <v>990</v>
      </c>
      <c r="F16838" s="4" t="n">
        <v>41</v>
      </c>
      <c r="G16838" s="4" t="n">
        <v>3</v>
      </c>
      <c r="H16838" s="4" t="n">
        <v>3</v>
      </c>
      <c r="I16838" s="4" t="str">
        <v>○</v>
      </c>
      <c r="J16838" s="4" t="n">
        <v>140</v>
      </c>
      <c r="K16838" s="4"/>
      <c r="L16838" s="4"/>
      <c r="M16838" s="7" t="s">
        <v>6871</v>
      </c>
    </row>
    <row r="16839" customFormat="false" ht="15.75" hidden="false" customHeight="false" outlineLevel="0" collapsed="false">
      <c r="A16839" s="6" t="n">
        <f aca="false">DATE(2026,5,3)</f>
        <v>46145</v>
      </c>
      <c r="B16839" s="4" t="s">
        <v>4473</v>
      </c>
      <c r="C16839" s="4" t="n">
        <v>3</v>
      </c>
      <c r="D16839" s="4" t="n">
        <v>9</v>
      </c>
      <c r="E16839" s="4" t="s">
        <v>7484</v>
      </c>
      <c r="F16839" s="4" t="n">
        <v>10</v>
      </c>
      <c r="G16839" s="4" t="n">
        <v>8</v>
      </c>
      <c r="H16839" s="4" t="n">
        <v>4</v>
      </c>
      <c r="I16839" s="4" t="str">
        <v>×</v>
      </c>
      <c r="J16839" s="4"/>
      <c r="K16839" s="4"/>
      <c r="L16839" s="4"/>
      <c r="M16839" s="7" t="s">
        <v>6871</v>
      </c>
    </row>
    <row r="16840" customFormat="false" ht="15.75" hidden="false" customHeight="false" outlineLevel="0" collapsed="false">
      <c r="A16840" s="6" t="n">
        <f aca="false">DATE(2026,5,3)</f>
        <v>46145</v>
      </c>
      <c r="B16840" s="4" t="s">
        <v>4473</v>
      </c>
      <c r="C16840" s="4" t="n">
        <v>3</v>
      </c>
      <c r="D16840" s="4" t="n">
        <v>10</v>
      </c>
      <c r="E16840" s="4" t="s">
        <v>4280</v>
      </c>
      <c r="F16840" s="4" t="n">
        <v>31</v>
      </c>
      <c r="G16840" s="4" t="n">
        <v>5</v>
      </c>
      <c r="H16840" s="4" t="n">
        <v>4</v>
      </c>
      <c r="I16840" s="4" t="str">
        <v>×</v>
      </c>
      <c r="J16840" s="4"/>
      <c r="K16840" s="4"/>
      <c r="L16840" s="4"/>
      <c r="M16840" s="7" t="s">
        <v>6871</v>
      </c>
    </row>
    <row r="16841" customFormat="false" ht="15.75" hidden="false" customHeight="false" outlineLevel="0" collapsed="false">
      <c r="A16841" s="6" t="n">
        <f aca="false">DATE(2026,5,3)</f>
        <v>46145</v>
      </c>
      <c r="B16841" s="4" t="s">
        <v>4473</v>
      </c>
      <c r="C16841" s="4" t="n">
        <v>3</v>
      </c>
      <c r="D16841" s="4" t="n">
        <v>11</v>
      </c>
      <c r="E16841" s="4" t="s">
        <v>5991</v>
      </c>
      <c r="F16841" s="4" t="n">
        <v>39</v>
      </c>
      <c r="G16841" s="4" t="n">
        <v>4</v>
      </c>
      <c r="H16841" s="4" t="n">
        <v>4</v>
      </c>
      <c r="I16841" s="4" t="str">
        <v>×</v>
      </c>
      <c r="J16841" s="4"/>
      <c r="K16841" s="4"/>
      <c r="L16841" s="4"/>
      <c r="M16841" s="7" t="s">
        <v>6871</v>
      </c>
    </row>
    <row r="16842" customFormat="false" ht="15.75" hidden="false" customHeight="false" outlineLevel="0" collapsed="false">
      <c r="A16842" s="6" t="n">
        <f aca="false">DATE(2026,5,3)</f>
        <v>46145</v>
      </c>
      <c r="B16842" s="4" t="s">
        <v>4473</v>
      </c>
      <c r="C16842" s="4" t="n">
        <v>3</v>
      </c>
      <c r="D16842" s="4" t="n">
        <v>12</v>
      </c>
      <c r="E16842" s="4" t="s">
        <v>7485</v>
      </c>
      <c r="F16842" s="4" t="n">
        <v>71</v>
      </c>
      <c r="G16842" s="4" t="n">
        <v>1</v>
      </c>
      <c r="H16842" s="4" t="n">
        <v>1</v>
      </c>
      <c r="I16842" s="4" t="str">
        <v>○</v>
      </c>
      <c r="J16842" s="4" t="n">
        <v>110</v>
      </c>
      <c r="K16842" s="4"/>
      <c r="L16842" s="4"/>
      <c r="M16842" s="7" t="s">
        <v>6871</v>
      </c>
    </row>
    <row r="16843" customFormat="false" ht="15.75" hidden="false" customHeight="false" outlineLevel="0" collapsed="false">
      <c r="A16843" s="6" t="n">
        <f aca="false">DATE(2026,5,3)</f>
        <v>46145</v>
      </c>
      <c r="B16843" s="4" t="s">
        <v>4473</v>
      </c>
      <c r="C16843" s="4" t="n">
        <v>4</v>
      </c>
      <c r="D16843" s="4" t="n">
        <v>1</v>
      </c>
      <c r="E16843" s="4" t="s">
        <v>6801</v>
      </c>
      <c r="F16843" s="4" t="n">
        <v>4</v>
      </c>
      <c r="G16843" s="4" t="n">
        <v>15</v>
      </c>
      <c r="H16843" s="4" t="n">
        <v>1</v>
      </c>
      <c r="I16843" s="4" t="str">
        <v>○</v>
      </c>
      <c r="J16843" s="4" t="n">
        <v>720</v>
      </c>
      <c r="K16843" s="4"/>
      <c r="L16843" s="4"/>
      <c r="M16843" s="7" t="s">
        <v>6871</v>
      </c>
    </row>
    <row r="16844" customFormat="false" ht="15.75" hidden="false" customHeight="false" outlineLevel="0" collapsed="false">
      <c r="A16844" s="6" t="n">
        <f aca="false">DATE(2026,5,3)</f>
        <v>46145</v>
      </c>
      <c r="B16844" s="4" t="s">
        <v>4473</v>
      </c>
      <c r="C16844" s="4" t="n">
        <v>4</v>
      </c>
      <c r="D16844" s="4" t="n">
        <v>2</v>
      </c>
      <c r="E16844" s="4" t="s">
        <v>4731</v>
      </c>
      <c r="F16844" s="4" t="n">
        <v>13</v>
      </c>
      <c r="G16844" s="4" t="n">
        <v>6</v>
      </c>
      <c r="H16844" s="4" t="n">
        <v>3</v>
      </c>
      <c r="I16844" s="4" t="str">
        <v>○</v>
      </c>
      <c r="J16844" s="4" t="n">
        <v>710</v>
      </c>
      <c r="K16844" s="4"/>
      <c r="L16844" s="4"/>
      <c r="M16844" s="7" t="s">
        <v>6871</v>
      </c>
    </row>
    <row r="16845" customFormat="false" ht="15.75" hidden="false" customHeight="false" outlineLevel="0" collapsed="false">
      <c r="A16845" s="6" t="n">
        <f aca="false">DATE(2026,5,3)</f>
        <v>46145</v>
      </c>
      <c r="B16845" s="4" t="s">
        <v>4473</v>
      </c>
      <c r="C16845" s="4" t="n">
        <v>4</v>
      </c>
      <c r="D16845" s="4" t="n">
        <v>3</v>
      </c>
      <c r="E16845" s="4" t="s">
        <v>5372</v>
      </c>
      <c r="F16845" s="4" t="n">
        <v>56</v>
      </c>
      <c r="G16845" s="4" t="n">
        <v>1</v>
      </c>
      <c r="H16845" s="4" t="n">
        <v>4</v>
      </c>
      <c r="I16845" s="4" t="str">
        <v>×</v>
      </c>
      <c r="J16845" s="4"/>
      <c r="K16845" s="4"/>
      <c r="L16845" s="4"/>
      <c r="M16845" s="7" t="s">
        <v>6871</v>
      </c>
    </row>
    <row r="16846" customFormat="false" ht="15.75" hidden="false" customHeight="false" outlineLevel="0" collapsed="false">
      <c r="A16846" s="6" t="n">
        <f aca="false">DATE(2026,5,3)</f>
        <v>46145</v>
      </c>
      <c r="B16846" s="4" t="s">
        <v>4473</v>
      </c>
      <c r="C16846" s="4" t="n">
        <v>4</v>
      </c>
      <c r="D16846" s="4" t="n">
        <v>4</v>
      </c>
      <c r="E16846" s="4" t="s">
        <v>7486</v>
      </c>
      <c r="F16846" s="4" t="n">
        <v>20</v>
      </c>
      <c r="G16846" s="4" t="n">
        <v>4</v>
      </c>
      <c r="H16846" s="4" t="n">
        <v>4</v>
      </c>
      <c r="I16846" s="4" t="str">
        <v>×</v>
      </c>
      <c r="J16846" s="4"/>
      <c r="K16846" s="4"/>
      <c r="L16846" s="4"/>
      <c r="M16846" s="7" t="s">
        <v>6871</v>
      </c>
    </row>
    <row r="16847" customFormat="false" ht="15.75" hidden="false" customHeight="false" outlineLevel="0" collapsed="false">
      <c r="A16847" s="6" t="n">
        <f aca="false">DATE(2026,5,3)</f>
        <v>46145</v>
      </c>
      <c r="B16847" s="4" t="s">
        <v>4473</v>
      </c>
      <c r="C16847" s="4" t="n">
        <v>4</v>
      </c>
      <c r="D16847" s="4" t="n">
        <v>5</v>
      </c>
      <c r="E16847" s="4" t="s">
        <v>2942</v>
      </c>
      <c r="F16847" s="4" t="n">
        <v>13</v>
      </c>
      <c r="G16847" s="4" t="n">
        <v>7</v>
      </c>
      <c r="H16847" s="4" t="n">
        <v>4</v>
      </c>
      <c r="I16847" s="4" t="str">
        <v>×</v>
      </c>
      <c r="J16847" s="4"/>
      <c r="K16847" s="4"/>
      <c r="L16847" s="4"/>
      <c r="M16847" s="7" t="s">
        <v>6871</v>
      </c>
    </row>
    <row r="16848" customFormat="false" ht="15.75" hidden="false" customHeight="false" outlineLevel="0" collapsed="false">
      <c r="A16848" s="6" t="n">
        <f aca="false">DATE(2026,5,3)</f>
        <v>46145</v>
      </c>
      <c r="B16848" s="4" t="s">
        <v>4473</v>
      </c>
      <c r="C16848" s="4" t="n">
        <v>4</v>
      </c>
      <c r="D16848" s="4" t="n">
        <v>6</v>
      </c>
      <c r="E16848" s="4" t="s">
        <v>2233</v>
      </c>
      <c r="F16848" s="4" t="n">
        <v>41</v>
      </c>
      <c r="G16848" s="4" t="n">
        <v>3</v>
      </c>
      <c r="H16848" s="4" t="n">
        <v>4</v>
      </c>
      <c r="I16848" s="4" t="str">
        <v>×</v>
      </c>
      <c r="J16848" s="4"/>
      <c r="K16848" s="4"/>
      <c r="L16848" s="4"/>
      <c r="M16848" s="7" t="s">
        <v>6871</v>
      </c>
    </row>
    <row r="16849" customFormat="false" ht="15.75" hidden="false" customHeight="false" outlineLevel="0" collapsed="false">
      <c r="A16849" s="6" t="n">
        <f aca="false">DATE(2026,5,3)</f>
        <v>46145</v>
      </c>
      <c r="B16849" s="4" t="s">
        <v>4473</v>
      </c>
      <c r="C16849" s="4" t="n">
        <v>4</v>
      </c>
      <c r="D16849" s="4" t="n">
        <v>7</v>
      </c>
      <c r="E16849" s="4" t="s">
        <v>5813</v>
      </c>
      <c r="F16849" s="4" t="n">
        <v>4</v>
      </c>
      <c r="G16849" s="4" t="n">
        <v>16</v>
      </c>
      <c r="H16849" s="4" t="n">
        <v>4</v>
      </c>
      <c r="I16849" s="4" t="str">
        <v>×</v>
      </c>
      <c r="J16849" s="4"/>
      <c r="K16849" s="4"/>
      <c r="L16849" s="4"/>
      <c r="M16849" s="7" t="s">
        <v>6871</v>
      </c>
    </row>
    <row r="16850" customFormat="false" ht="15.75" hidden="false" customHeight="false" outlineLevel="0" collapsed="false">
      <c r="A16850" s="6" t="n">
        <f aca="false">DATE(2026,5,3)</f>
        <v>46145</v>
      </c>
      <c r="B16850" s="4" t="s">
        <v>4473</v>
      </c>
      <c r="C16850" s="4" t="n">
        <v>4</v>
      </c>
      <c r="D16850" s="4" t="n">
        <v>8</v>
      </c>
      <c r="E16850" s="4" t="s">
        <v>7487</v>
      </c>
      <c r="F16850" s="4" t="n">
        <v>13</v>
      </c>
      <c r="G16850" s="4" t="n">
        <v>8</v>
      </c>
      <c r="H16850" s="4" t="n">
        <v>4</v>
      </c>
      <c r="I16850" s="4" t="str">
        <v>×</v>
      </c>
      <c r="J16850" s="4"/>
      <c r="K16850" s="4"/>
      <c r="L16850" s="4"/>
      <c r="M16850" s="7" t="s">
        <v>6871</v>
      </c>
    </row>
    <row r="16851" customFormat="false" ht="15.75" hidden="false" customHeight="false" outlineLevel="0" collapsed="false">
      <c r="A16851" s="6" t="n">
        <f aca="false">DATE(2026,5,3)</f>
        <v>46145</v>
      </c>
      <c r="B16851" s="4" t="s">
        <v>4473</v>
      </c>
      <c r="C16851" s="4" t="n">
        <v>4</v>
      </c>
      <c r="D16851" s="4" t="n">
        <v>9</v>
      </c>
      <c r="E16851" s="4" t="s">
        <v>598</v>
      </c>
      <c r="F16851" s="4" t="n">
        <v>3</v>
      </c>
      <c r="G16851" s="4" t="n">
        <v>17</v>
      </c>
      <c r="H16851" s="4" t="n">
        <v>4</v>
      </c>
      <c r="I16851" s="4" t="str">
        <v>×</v>
      </c>
      <c r="J16851" s="4"/>
      <c r="K16851" s="4"/>
      <c r="L16851" s="4"/>
      <c r="M16851" s="7" t="s">
        <v>6871</v>
      </c>
    </row>
    <row r="16852" customFormat="false" ht="15.75" hidden="false" customHeight="false" outlineLevel="0" collapsed="false">
      <c r="A16852" s="6" t="n">
        <f aca="false">DATE(2026,5,3)</f>
        <v>46145</v>
      </c>
      <c r="B16852" s="4" t="s">
        <v>4473</v>
      </c>
      <c r="C16852" s="4" t="n">
        <v>4</v>
      </c>
      <c r="D16852" s="4" t="n">
        <v>10</v>
      </c>
      <c r="E16852" s="4" t="s">
        <v>1015</v>
      </c>
      <c r="F16852" s="4" t="n">
        <v>6</v>
      </c>
      <c r="G16852" s="4" t="n">
        <v>12</v>
      </c>
      <c r="H16852" s="4" t="n">
        <v>4</v>
      </c>
      <c r="I16852" s="4" t="str">
        <v>×</v>
      </c>
      <c r="J16852" s="4"/>
      <c r="K16852" s="4"/>
      <c r="L16852" s="4"/>
      <c r="M16852" s="7" t="s">
        <v>6871</v>
      </c>
    </row>
    <row r="16853" customFormat="false" ht="15.75" hidden="false" customHeight="false" outlineLevel="0" collapsed="false">
      <c r="A16853" s="6" t="n">
        <f aca="false">DATE(2026,5,3)</f>
        <v>46145</v>
      </c>
      <c r="B16853" s="4" t="s">
        <v>4473</v>
      </c>
      <c r="C16853" s="4" t="n">
        <v>4</v>
      </c>
      <c r="D16853" s="4" t="n">
        <v>11</v>
      </c>
      <c r="E16853" s="4" t="s">
        <v>3733</v>
      </c>
      <c r="F16853" s="4" t="n">
        <v>8</v>
      </c>
      <c r="G16853" s="4" t="n">
        <v>11</v>
      </c>
      <c r="H16853" s="4" t="n">
        <v>4</v>
      </c>
      <c r="I16853" s="4" t="str">
        <v>×</v>
      </c>
      <c r="J16853" s="4"/>
      <c r="K16853" s="4"/>
      <c r="L16853" s="4"/>
      <c r="M16853" s="7" t="s">
        <v>6871</v>
      </c>
    </row>
    <row r="16854" customFormat="false" ht="15.75" hidden="false" customHeight="false" outlineLevel="0" collapsed="false">
      <c r="A16854" s="6" t="n">
        <f aca="false">DATE(2026,5,3)</f>
        <v>46145</v>
      </c>
      <c r="B16854" s="4" t="s">
        <v>4473</v>
      </c>
      <c r="C16854" s="4" t="n">
        <v>4</v>
      </c>
      <c r="D16854" s="4" t="n">
        <v>12</v>
      </c>
      <c r="E16854" s="4" t="s">
        <v>4026</v>
      </c>
      <c r="F16854" s="4" t="n">
        <v>15</v>
      </c>
      <c r="G16854" s="4" t="n">
        <v>5</v>
      </c>
      <c r="H16854" s="4" t="n">
        <v>4</v>
      </c>
      <c r="I16854" s="4" t="str">
        <v>×</v>
      </c>
      <c r="J16854" s="4"/>
      <c r="K16854" s="4"/>
      <c r="L16854" s="4"/>
      <c r="M16854" s="7" t="s">
        <v>6871</v>
      </c>
    </row>
    <row r="16855" customFormat="false" ht="15.75" hidden="false" customHeight="false" outlineLevel="0" collapsed="false">
      <c r="A16855" s="6" t="n">
        <f aca="false">DATE(2026,5,3)</f>
        <v>46145</v>
      </c>
      <c r="B16855" s="4" t="s">
        <v>4473</v>
      </c>
      <c r="C16855" s="4" t="n">
        <v>4</v>
      </c>
      <c r="D16855" s="4" t="n">
        <v>13</v>
      </c>
      <c r="E16855" s="4" t="s">
        <v>4120</v>
      </c>
      <c r="F16855" s="4" t="n">
        <v>10</v>
      </c>
      <c r="G16855" s="4" t="n">
        <v>9</v>
      </c>
      <c r="H16855" s="4" t="n">
        <v>4</v>
      </c>
      <c r="I16855" s="4" t="str">
        <v>×</v>
      </c>
      <c r="J16855" s="4"/>
      <c r="K16855" s="4"/>
      <c r="L16855" s="4"/>
      <c r="M16855" s="7" t="s">
        <v>6871</v>
      </c>
    </row>
    <row r="16856" customFormat="false" ht="15.75" hidden="false" customHeight="false" outlineLevel="0" collapsed="false">
      <c r="A16856" s="6" t="n">
        <f aca="false">DATE(2026,5,3)</f>
        <v>46145</v>
      </c>
      <c r="B16856" s="4" t="s">
        <v>4473</v>
      </c>
      <c r="C16856" s="4" t="n">
        <v>4</v>
      </c>
      <c r="D16856" s="4" t="n">
        <v>14</v>
      </c>
      <c r="E16856" s="4" t="s">
        <v>7488</v>
      </c>
      <c r="F16856" s="4" t="n">
        <v>6</v>
      </c>
      <c r="G16856" s="4" t="n">
        <v>13</v>
      </c>
      <c r="H16856" s="4" t="n">
        <v>4</v>
      </c>
      <c r="I16856" s="4" t="str">
        <v>×</v>
      </c>
      <c r="J16856" s="4"/>
      <c r="K16856" s="4"/>
      <c r="L16856" s="4"/>
      <c r="M16856" s="7" t="s">
        <v>6871</v>
      </c>
    </row>
    <row r="16857" customFormat="false" ht="15.75" hidden="false" customHeight="false" outlineLevel="0" collapsed="false">
      <c r="A16857" s="6" t="n">
        <f aca="false">DATE(2026,5,3)</f>
        <v>46145</v>
      </c>
      <c r="B16857" s="4" t="s">
        <v>4473</v>
      </c>
      <c r="C16857" s="4" t="n">
        <v>4</v>
      </c>
      <c r="D16857" s="4" t="n">
        <v>15</v>
      </c>
      <c r="E16857" s="4" t="s">
        <v>2754</v>
      </c>
      <c r="F16857" s="4" t="n">
        <v>10</v>
      </c>
      <c r="G16857" s="4" t="n">
        <v>10</v>
      </c>
      <c r="H16857" s="4" t="n">
        <v>4</v>
      </c>
      <c r="I16857" s="4" t="str">
        <v>×</v>
      </c>
      <c r="J16857" s="4"/>
      <c r="K16857" s="4"/>
      <c r="L16857" s="4"/>
      <c r="M16857" s="7" t="s">
        <v>6871</v>
      </c>
    </row>
    <row r="16858" customFormat="false" ht="15.75" hidden="false" customHeight="false" outlineLevel="0" collapsed="false">
      <c r="A16858" s="6" t="n">
        <f aca="false">DATE(2026,5,3)</f>
        <v>46145</v>
      </c>
      <c r="B16858" s="4" t="s">
        <v>4473</v>
      </c>
      <c r="C16858" s="4" t="n">
        <v>4</v>
      </c>
      <c r="D16858" s="4" t="n">
        <v>16</v>
      </c>
      <c r="E16858" s="4" t="s">
        <v>6353</v>
      </c>
      <c r="F16858" s="4" t="n">
        <v>2</v>
      </c>
      <c r="G16858" s="4" t="n">
        <v>18</v>
      </c>
      <c r="H16858" s="4" t="n">
        <v>4</v>
      </c>
      <c r="I16858" s="4" t="str">
        <v>×</v>
      </c>
      <c r="J16858" s="4"/>
      <c r="K16858" s="4"/>
      <c r="L16858" s="4"/>
      <c r="M16858" s="7" t="s">
        <v>6871</v>
      </c>
    </row>
    <row r="16859" customFormat="false" ht="15.75" hidden="false" customHeight="false" outlineLevel="0" collapsed="false">
      <c r="A16859" s="6" t="n">
        <f aca="false">DATE(2026,5,3)</f>
        <v>46145</v>
      </c>
      <c r="B16859" s="4" t="s">
        <v>4473</v>
      </c>
      <c r="C16859" s="4" t="n">
        <v>4</v>
      </c>
      <c r="D16859" s="4" t="n">
        <v>17</v>
      </c>
      <c r="E16859" s="4" t="s">
        <v>5139</v>
      </c>
      <c r="F16859" s="4" t="n">
        <v>44</v>
      </c>
      <c r="G16859" s="4" t="n">
        <v>2</v>
      </c>
      <c r="H16859" s="4" t="n">
        <v>2</v>
      </c>
      <c r="I16859" s="4" t="str">
        <v>○</v>
      </c>
      <c r="J16859" s="4" t="n">
        <v>270</v>
      </c>
      <c r="K16859" s="4"/>
      <c r="L16859" s="4"/>
      <c r="M16859" s="7" t="s">
        <v>6871</v>
      </c>
    </row>
    <row r="16860" customFormat="false" ht="15.75" hidden="false" customHeight="false" outlineLevel="0" collapsed="false">
      <c r="A16860" s="6" t="n">
        <f aca="false">DATE(2026,5,3)</f>
        <v>46145</v>
      </c>
      <c r="B16860" s="4" t="s">
        <v>4473</v>
      </c>
      <c r="C16860" s="4" t="n">
        <v>4</v>
      </c>
      <c r="D16860" s="4" t="n">
        <v>18</v>
      </c>
      <c r="E16860" s="4" t="s">
        <v>5581</v>
      </c>
      <c r="F16860" s="4" t="n">
        <v>6</v>
      </c>
      <c r="G16860" s="4" t="n">
        <v>14</v>
      </c>
      <c r="H16860" s="4" t="n">
        <v>4</v>
      </c>
      <c r="I16860" s="4" t="str">
        <v>×</v>
      </c>
      <c r="J16860" s="4"/>
      <c r="K16860" s="4"/>
      <c r="L16860" s="4"/>
      <c r="M16860" s="7" t="s">
        <v>6871</v>
      </c>
    </row>
    <row r="16861" customFormat="false" ht="15.75" hidden="false" customHeight="false" outlineLevel="0" collapsed="false">
      <c r="A16861" s="6" t="n">
        <f aca="false">DATE(2026,5,3)</f>
        <v>46145</v>
      </c>
      <c r="B16861" s="4" t="s">
        <v>4473</v>
      </c>
      <c r="C16861" s="4" t="n">
        <v>5</v>
      </c>
      <c r="D16861" s="4" t="n">
        <v>1</v>
      </c>
      <c r="E16861" s="4" t="s">
        <v>7489</v>
      </c>
      <c r="F16861" s="4" t="n">
        <v>23</v>
      </c>
      <c r="G16861" s="4" t="n">
        <v>6</v>
      </c>
      <c r="H16861" s="4" t="n">
        <v>1</v>
      </c>
      <c r="I16861" s="4" t="str">
        <v>○</v>
      </c>
      <c r="J16861" s="4" t="n">
        <v>170</v>
      </c>
      <c r="K16861" s="4"/>
      <c r="L16861" s="4"/>
      <c r="M16861" s="7" t="s">
        <v>6871</v>
      </c>
    </row>
    <row r="16862" customFormat="false" ht="15.75" hidden="false" customHeight="false" outlineLevel="0" collapsed="false">
      <c r="A16862" s="6" t="n">
        <f aca="false">DATE(2026,5,3)</f>
        <v>46145</v>
      </c>
      <c r="B16862" s="4" t="s">
        <v>4473</v>
      </c>
      <c r="C16862" s="4" t="n">
        <v>5</v>
      </c>
      <c r="D16862" s="4" t="n">
        <v>2</v>
      </c>
      <c r="E16862" s="4" t="s">
        <v>232</v>
      </c>
      <c r="F16862" s="4" t="n">
        <v>39</v>
      </c>
      <c r="G16862" s="4" t="n">
        <v>3</v>
      </c>
      <c r="H16862" s="4" t="n">
        <v>4</v>
      </c>
      <c r="I16862" s="4" t="str">
        <v>×</v>
      </c>
      <c r="J16862" s="4"/>
      <c r="K16862" s="4"/>
      <c r="L16862" s="4"/>
      <c r="M16862" s="7" t="s">
        <v>6871</v>
      </c>
    </row>
    <row r="16863" customFormat="false" ht="15.75" hidden="false" customHeight="false" outlineLevel="0" collapsed="false">
      <c r="A16863" s="6" t="n">
        <f aca="false">DATE(2026,5,3)</f>
        <v>46145</v>
      </c>
      <c r="B16863" s="4" t="s">
        <v>4473</v>
      </c>
      <c r="C16863" s="4" t="n">
        <v>5</v>
      </c>
      <c r="D16863" s="4" t="n">
        <v>3</v>
      </c>
      <c r="E16863" s="4" t="s">
        <v>6173</v>
      </c>
      <c r="F16863" s="4" t="n">
        <v>2</v>
      </c>
      <c r="G16863" s="4" t="n">
        <v>15</v>
      </c>
      <c r="H16863" s="4" t="n">
        <v>4</v>
      </c>
      <c r="I16863" s="4" t="str">
        <v>×</v>
      </c>
      <c r="J16863" s="4"/>
      <c r="K16863" s="4"/>
      <c r="L16863" s="4"/>
      <c r="M16863" s="7" t="s">
        <v>6871</v>
      </c>
    </row>
    <row r="16864" customFormat="false" ht="15.75" hidden="false" customHeight="false" outlineLevel="0" collapsed="false">
      <c r="A16864" s="6" t="n">
        <f aca="false">DATE(2026,5,3)</f>
        <v>46145</v>
      </c>
      <c r="B16864" s="4" t="s">
        <v>4473</v>
      </c>
      <c r="C16864" s="4" t="n">
        <v>5</v>
      </c>
      <c r="D16864" s="4" t="n">
        <v>4</v>
      </c>
      <c r="E16864" s="4" t="s">
        <v>4061</v>
      </c>
      <c r="F16864" s="4" t="n">
        <v>47</v>
      </c>
      <c r="G16864" s="4" t="n">
        <v>2</v>
      </c>
      <c r="H16864" s="4" t="n">
        <v>2</v>
      </c>
      <c r="I16864" s="4" t="str">
        <v>○</v>
      </c>
      <c r="J16864" s="4" t="n">
        <v>190</v>
      </c>
      <c r="K16864" s="4"/>
      <c r="L16864" s="4"/>
      <c r="M16864" s="7" t="s">
        <v>6871</v>
      </c>
    </row>
    <row r="16865" customFormat="false" ht="15.75" hidden="false" customHeight="false" outlineLevel="0" collapsed="false">
      <c r="A16865" s="6" t="n">
        <f aca="false">DATE(2026,5,3)</f>
        <v>46145</v>
      </c>
      <c r="B16865" s="4" t="s">
        <v>4473</v>
      </c>
      <c r="C16865" s="4" t="n">
        <v>5</v>
      </c>
      <c r="D16865" s="4" t="n">
        <v>5</v>
      </c>
      <c r="E16865" s="4" t="s">
        <v>7490</v>
      </c>
      <c r="F16865" s="4" t="n">
        <v>20</v>
      </c>
      <c r="G16865" s="4" t="n">
        <v>7</v>
      </c>
      <c r="H16865" s="4" t="n">
        <v>4</v>
      </c>
      <c r="I16865" s="4" t="str">
        <v>×</v>
      </c>
      <c r="J16865" s="4"/>
      <c r="K16865" s="4"/>
      <c r="L16865" s="4"/>
      <c r="M16865" s="7" t="s">
        <v>6871</v>
      </c>
    </row>
    <row r="16866" customFormat="false" ht="15.75" hidden="false" customHeight="false" outlineLevel="0" collapsed="false">
      <c r="A16866" s="6" t="n">
        <f aca="false">DATE(2026,5,3)</f>
        <v>46145</v>
      </c>
      <c r="B16866" s="4" t="s">
        <v>4473</v>
      </c>
      <c r="C16866" s="4" t="n">
        <v>5</v>
      </c>
      <c r="D16866" s="4" t="n">
        <v>6</v>
      </c>
      <c r="E16866" s="4" t="s">
        <v>2931</v>
      </c>
      <c r="F16866" s="4" t="n">
        <v>37</v>
      </c>
      <c r="G16866" s="4" t="n">
        <v>4</v>
      </c>
      <c r="H16866" s="4" t="n">
        <v>3</v>
      </c>
      <c r="I16866" s="4" t="str">
        <v>○</v>
      </c>
      <c r="J16866" s="4" t="n">
        <v>220</v>
      </c>
      <c r="K16866" s="4"/>
      <c r="L16866" s="4"/>
      <c r="M16866" s="7" t="s">
        <v>6871</v>
      </c>
    </row>
    <row r="16867" customFormat="false" ht="15.75" hidden="false" customHeight="false" outlineLevel="0" collapsed="false">
      <c r="A16867" s="6" t="n">
        <f aca="false">DATE(2026,5,3)</f>
        <v>46145</v>
      </c>
      <c r="B16867" s="4" t="s">
        <v>4473</v>
      </c>
      <c r="C16867" s="4" t="n">
        <v>5</v>
      </c>
      <c r="D16867" s="4" t="n">
        <v>7</v>
      </c>
      <c r="E16867" s="4" t="s">
        <v>7491</v>
      </c>
      <c r="F16867" s="4" t="n">
        <v>6</v>
      </c>
      <c r="G16867" s="4" t="n">
        <v>11</v>
      </c>
      <c r="H16867" s="4" t="n">
        <v>4</v>
      </c>
      <c r="I16867" s="4" t="str">
        <v>×</v>
      </c>
      <c r="J16867" s="4"/>
      <c r="K16867" s="4"/>
      <c r="L16867" s="4"/>
      <c r="M16867" s="7" t="s">
        <v>6871</v>
      </c>
    </row>
    <row r="16868" customFormat="false" ht="15.75" hidden="false" customHeight="false" outlineLevel="0" collapsed="false">
      <c r="A16868" s="6" t="n">
        <f aca="false">DATE(2026,5,3)</f>
        <v>46145</v>
      </c>
      <c r="B16868" s="4" t="s">
        <v>4473</v>
      </c>
      <c r="C16868" s="4" t="n">
        <v>5</v>
      </c>
      <c r="D16868" s="4" t="n">
        <v>8</v>
      </c>
      <c r="E16868" s="4" t="s">
        <v>7492</v>
      </c>
      <c r="F16868" s="4" t="n">
        <v>4</v>
      </c>
      <c r="G16868" s="4" t="n">
        <v>12</v>
      </c>
      <c r="H16868" s="4" t="n">
        <v>4</v>
      </c>
      <c r="I16868" s="4" t="str">
        <v>×</v>
      </c>
      <c r="J16868" s="4"/>
      <c r="K16868" s="4"/>
      <c r="L16868" s="4"/>
      <c r="M16868" s="7" t="s">
        <v>6871</v>
      </c>
    </row>
    <row r="16869" customFormat="false" ht="15.75" hidden="false" customHeight="false" outlineLevel="0" collapsed="false">
      <c r="A16869" s="6" t="n">
        <f aca="false">DATE(2026,5,3)</f>
        <v>46145</v>
      </c>
      <c r="B16869" s="4" t="s">
        <v>4473</v>
      </c>
      <c r="C16869" s="4" t="n">
        <v>5</v>
      </c>
      <c r="D16869" s="4" t="n">
        <v>9</v>
      </c>
      <c r="E16869" s="4" t="s">
        <v>7493</v>
      </c>
      <c r="F16869" s="4" t="n">
        <v>15</v>
      </c>
      <c r="G16869" s="4" t="n">
        <v>8</v>
      </c>
      <c r="H16869" s="4" t="n">
        <v>4</v>
      </c>
      <c r="I16869" s="4" t="str">
        <v>×</v>
      </c>
      <c r="J16869" s="4"/>
      <c r="K16869" s="4"/>
      <c r="L16869" s="4"/>
      <c r="M16869" s="7" t="s">
        <v>6871</v>
      </c>
    </row>
    <row r="16870" customFormat="false" ht="15.75" hidden="false" customHeight="false" outlineLevel="0" collapsed="false">
      <c r="A16870" s="6" t="n">
        <f aca="false">DATE(2026,5,3)</f>
        <v>46145</v>
      </c>
      <c r="B16870" s="4" t="s">
        <v>4473</v>
      </c>
      <c r="C16870" s="4" t="n">
        <v>5</v>
      </c>
      <c r="D16870" s="4" t="n">
        <v>10</v>
      </c>
      <c r="E16870" s="4" t="s">
        <v>655</v>
      </c>
      <c r="F16870" s="4" t="n">
        <v>58</v>
      </c>
      <c r="G16870" s="4" t="n">
        <v>1</v>
      </c>
      <c r="H16870" s="4" t="n">
        <v>4</v>
      </c>
      <c r="I16870" s="4" t="str">
        <v>×</v>
      </c>
      <c r="J16870" s="4"/>
      <c r="K16870" s="4"/>
      <c r="L16870" s="4"/>
      <c r="M16870" s="7" t="s">
        <v>6871</v>
      </c>
    </row>
    <row r="16871" customFormat="false" ht="15.75" hidden="false" customHeight="false" outlineLevel="0" collapsed="false">
      <c r="A16871" s="6" t="n">
        <f aca="false">DATE(2026,5,3)</f>
        <v>46145</v>
      </c>
      <c r="B16871" s="4" t="s">
        <v>4473</v>
      </c>
      <c r="C16871" s="4" t="n">
        <v>5</v>
      </c>
      <c r="D16871" s="4" t="n">
        <v>11</v>
      </c>
      <c r="E16871" s="4" t="s">
        <v>4097</v>
      </c>
      <c r="F16871" s="4" t="n">
        <v>25</v>
      </c>
      <c r="G16871" s="4" t="n">
        <v>5</v>
      </c>
      <c r="H16871" s="4" t="n">
        <v>4</v>
      </c>
      <c r="I16871" s="4" t="str">
        <v>×</v>
      </c>
      <c r="J16871" s="4"/>
      <c r="K16871" s="4"/>
      <c r="L16871" s="4"/>
      <c r="M16871" s="7" t="s">
        <v>6871</v>
      </c>
    </row>
    <row r="16872" customFormat="false" ht="15.75" hidden="false" customHeight="false" outlineLevel="0" collapsed="false">
      <c r="A16872" s="6" t="n">
        <f aca="false">DATE(2026,5,3)</f>
        <v>46145</v>
      </c>
      <c r="B16872" s="4" t="s">
        <v>4473</v>
      </c>
      <c r="C16872" s="4" t="n">
        <v>5</v>
      </c>
      <c r="D16872" s="4" t="n">
        <v>12</v>
      </c>
      <c r="E16872" s="4" t="s">
        <v>4278</v>
      </c>
      <c r="F16872" s="4" t="n">
        <v>4</v>
      </c>
      <c r="G16872" s="4" t="n">
        <v>13</v>
      </c>
      <c r="H16872" s="4" t="n">
        <v>4</v>
      </c>
      <c r="I16872" s="4" t="str">
        <v>×</v>
      </c>
      <c r="J16872" s="4"/>
      <c r="K16872" s="4"/>
      <c r="L16872" s="4"/>
      <c r="M16872" s="7" t="s">
        <v>6871</v>
      </c>
    </row>
    <row r="16873" customFormat="false" ht="15.75" hidden="false" customHeight="false" outlineLevel="0" collapsed="false">
      <c r="A16873" s="6" t="n">
        <f aca="false">DATE(2026,5,3)</f>
        <v>46145</v>
      </c>
      <c r="B16873" s="4" t="s">
        <v>4473</v>
      </c>
      <c r="C16873" s="4" t="n">
        <v>5</v>
      </c>
      <c r="D16873" s="4" t="n">
        <v>13</v>
      </c>
      <c r="E16873" s="4" t="s">
        <v>7494</v>
      </c>
      <c r="F16873" s="4" t="n">
        <v>10</v>
      </c>
      <c r="G16873" s="4" t="n">
        <v>9</v>
      </c>
      <c r="H16873" s="4" t="n">
        <v>4</v>
      </c>
      <c r="I16873" s="4" t="str">
        <v>×</v>
      </c>
      <c r="J16873" s="4"/>
      <c r="K16873" s="4"/>
      <c r="L16873" s="4"/>
      <c r="M16873" s="7" t="s">
        <v>6871</v>
      </c>
    </row>
    <row r="16874" customFormat="false" ht="15.75" hidden="false" customHeight="false" outlineLevel="0" collapsed="false">
      <c r="A16874" s="6" t="n">
        <f aca="false">DATE(2026,5,3)</f>
        <v>46145</v>
      </c>
      <c r="B16874" s="4" t="s">
        <v>4473</v>
      </c>
      <c r="C16874" s="4" t="n">
        <v>5</v>
      </c>
      <c r="D16874" s="4" t="n">
        <v>14</v>
      </c>
      <c r="E16874" s="4" t="s">
        <v>849</v>
      </c>
      <c r="F16874" s="4" t="n">
        <v>8</v>
      </c>
      <c r="G16874" s="4" t="n">
        <v>10</v>
      </c>
      <c r="H16874" s="4" t="n">
        <v>4</v>
      </c>
      <c r="I16874" s="4" t="str">
        <v>×</v>
      </c>
      <c r="J16874" s="4"/>
      <c r="K16874" s="4"/>
      <c r="L16874" s="4"/>
      <c r="M16874" s="7" t="s">
        <v>6871</v>
      </c>
    </row>
    <row r="16875" customFormat="false" ht="15.75" hidden="false" customHeight="false" outlineLevel="0" collapsed="false">
      <c r="A16875" s="6" t="n">
        <f aca="false">DATE(2026,5,3)</f>
        <v>46145</v>
      </c>
      <c r="B16875" s="4" t="s">
        <v>4473</v>
      </c>
      <c r="C16875" s="4" t="n">
        <v>5</v>
      </c>
      <c r="D16875" s="4" t="n">
        <v>15</v>
      </c>
      <c r="E16875" s="4" t="s">
        <v>5370</v>
      </c>
      <c r="F16875" s="4" t="n">
        <v>4</v>
      </c>
      <c r="G16875" s="4" t="n">
        <v>14</v>
      </c>
      <c r="H16875" s="4" t="n">
        <v>4</v>
      </c>
      <c r="I16875" s="4" t="str">
        <v>×</v>
      </c>
      <c r="J16875" s="4"/>
      <c r="K16875" s="4"/>
      <c r="L16875" s="4"/>
      <c r="M16875" s="7" t="s">
        <v>6871</v>
      </c>
    </row>
    <row r="16876" customFormat="false" ht="15.75" hidden="false" customHeight="false" outlineLevel="0" collapsed="false">
      <c r="A16876" s="6" t="n">
        <f aca="false">DATE(2026,5,3)</f>
        <v>46145</v>
      </c>
      <c r="B16876" s="4" t="s">
        <v>4473</v>
      </c>
      <c r="C16876" s="4" t="n">
        <v>6</v>
      </c>
      <c r="D16876" s="4" t="n">
        <v>1</v>
      </c>
      <c r="E16876" s="4" t="s">
        <v>4986</v>
      </c>
      <c r="F16876" s="4" t="n">
        <v>10</v>
      </c>
      <c r="G16876" s="4" t="n">
        <v>10</v>
      </c>
      <c r="H16876" s="4" t="n">
        <v>4</v>
      </c>
      <c r="I16876" s="4" t="str">
        <v>×</v>
      </c>
      <c r="J16876" s="4"/>
      <c r="K16876" s="4"/>
      <c r="L16876" s="4"/>
      <c r="M16876" s="7" t="s">
        <v>6871</v>
      </c>
    </row>
    <row r="16877" customFormat="false" ht="15.75" hidden="false" customHeight="false" outlineLevel="0" collapsed="false">
      <c r="A16877" s="6" t="n">
        <f aca="false">DATE(2026,5,3)</f>
        <v>46145</v>
      </c>
      <c r="B16877" s="4" t="s">
        <v>4473</v>
      </c>
      <c r="C16877" s="4" t="n">
        <v>6</v>
      </c>
      <c r="D16877" s="4" t="n">
        <v>2</v>
      </c>
      <c r="E16877" s="4" t="s">
        <v>7495</v>
      </c>
      <c r="F16877" s="4" t="n">
        <v>17</v>
      </c>
      <c r="G16877" s="4" t="n">
        <v>6</v>
      </c>
      <c r="H16877" s="4" t="n">
        <v>4</v>
      </c>
      <c r="I16877" s="4" t="str">
        <v>×</v>
      </c>
      <c r="J16877" s="4"/>
      <c r="K16877" s="4"/>
      <c r="L16877" s="4"/>
      <c r="M16877" s="7" t="s">
        <v>6871</v>
      </c>
    </row>
    <row r="16878" customFormat="false" ht="15.75" hidden="false" customHeight="false" outlineLevel="0" collapsed="false">
      <c r="A16878" s="6" t="n">
        <f aca="false">DATE(2026,5,3)</f>
        <v>46145</v>
      </c>
      <c r="B16878" s="4" t="s">
        <v>4473</v>
      </c>
      <c r="C16878" s="4" t="n">
        <v>6</v>
      </c>
      <c r="D16878" s="4" t="n">
        <v>3</v>
      </c>
      <c r="E16878" s="4" t="s">
        <v>7496</v>
      </c>
      <c r="F16878" s="4" t="n">
        <v>10</v>
      </c>
      <c r="G16878" s="4" t="n">
        <v>11</v>
      </c>
      <c r="H16878" s="4" t="n">
        <v>4</v>
      </c>
      <c r="I16878" s="4" t="str">
        <v>×</v>
      </c>
      <c r="J16878" s="4"/>
      <c r="K16878" s="4"/>
      <c r="L16878" s="4"/>
      <c r="M16878" s="7" t="s">
        <v>6871</v>
      </c>
    </row>
    <row r="16879" customFormat="false" ht="15.75" hidden="false" customHeight="false" outlineLevel="0" collapsed="false">
      <c r="A16879" s="6" t="n">
        <f aca="false">DATE(2026,5,3)</f>
        <v>46145</v>
      </c>
      <c r="B16879" s="4" t="s">
        <v>4473</v>
      </c>
      <c r="C16879" s="4" t="n">
        <v>6</v>
      </c>
      <c r="D16879" s="4" t="n">
        <v>4</v>
      </c>
      <c r="E16879" s="4" t="s">
        <v>5838</v>
      </c>
      <c r="F16879" s="4" t="n">
        <v>15</v>
      </c>
      <c r="G16879" s="4" t="n">
        <v>7</v>
      </c>
      <c r="H16879" s="4" t="n">
        <v>4</v>
      </c>
      <c r="I16879" s="4" t="str">
        <v>×</v>
      </c>
      <c r="J16879" s="4"/>
      <c r="K16879" s="4"/>
      <c r="L16879" s="4"/>
      <c r="M16879" s="7" t="s">
        <v>6871</v>
      </c>
    </row>
    <row r="16880" customFormat="false" ht="15.75" hidden="false" customHeight="false" outlineLevel="0" collapsed="false">
      <c r="A16880" s="6" t="n">
        <f aca="false">DATE(2026,5,3)</f>
        <v>46145</v>
      </c>
      <c r="B16880" s="4" t="s">
        <v>4473</v>
      </c>
      <c r="C16880" s="4" t="n">
        <v>6</v>
      </c>
      <c r="D16880" s="4" t="n">
        <v>5</v>
      </c>
      <c r="E16880" s="4" t="s">
        <v>7497</v>
      </c>
      <c r="F16880" s="4" t="n">
        <v>4</v>
      </c>
      <c r="G16880" s="4" t="n">
        <v>15</v>
      </c>
      <c r="H16880" s="4" t="n">
        <v>4</v>
      </c>
      <c r="I16880" s="4" t="str">
        <v>×</v>
      </c>
      <c r="J16880" s="4"/>
      <c r="K16880" s="4"/>
      <c r="L16880" s="4"/>
      <c r="M16880" s="7" t="s">
        <v>6871</v>
      </c>
    </row>
    <row r="16881" customFormat="false" ht="15.75" hidden="false" customHeight="false" outlineLevel="0" collapsed="false">
      <c r="A16881" s="6" t="n">
        <f aca="false">DATE(2026,5,3)</f>
        <v>46145</v>
      </c>
      <c r="B16881" s="4" t="s">
        <v>4473</v>
      </c>
      <c r="C16881" s="4" t="n">
        <v>6</v>
      </c>
      <c r="D16881" s="4" t="n">
        <v>6</v>
      </c>
      <c r="E16881" s="4" t="s">
        <v>2274</v>
      </c>
      <c r="F16881" s="4" t="n">
        <v>4</v>
      </c>
      <c r="G16881" s="4" t="n">
        <v>16</v>
      </c>
      <c r="H16881" s="4" t="n">
        <v>4</v>
      </c>
      <c r="I16881" s="4" t="str">
        <v>×</v>
      </c>
      <c r="J16881" s="4"/>
      <c r="K16881" s="4"/>
      <c r="L16881" s="4"/>
      <c r="M16881" s="7" t="s">
        <v>6871</v>
      </c>
    </row>
    <row r="16882" customFormat="false" ht="15.75" hidden="false" customHeight="false" outlineLevel="0" collapsed="false">
      <c r="A16882" s="6" t="n">
        <f aca="false">DATE(2026,5,3)</f>
        <v>46145</v>
      </c>
      <c r="B16882" s="4" t="s">
        <v>4473</v>
      </c>
      <c r="C16882" s="4" t="n">
        <v>6</v>
      </c>
      <c r="D16882" s="4" t="n">
        <v>7</v>
      </c>
      <c r="E16882" s="4" t="s">
        <v>2391</v>
      </c>
      <c r="F16882" s="4" t="n">
        <v>29</v>
      </c>
      <c r="G16882" s="4" t="n">
        <v>4</v>
      </c>
      <c r="H16882" s="4" t="n">
        <v>1</v>
      </c>
      <c r="I16882" s="4" t="str">
        <v>○</v>
      </c>
      <c r="J16882" s="4" t="n">
        <v>370</v>
      </c>
      <c r="K16882" s="4"/>
      <c r="L16882" s="4"/>
      <c r="M16882" s="7" t="s">
        <v>6871</v>
      </c>
    </row>
    <row r="16883" customFormat="false" ht="15.75" hidden="false" customHeight="false" outlineLevel="0" collapsed="false">
      <c r="A16883" s="6" t="n">
        <f aca="false">DATE(2026,5,3)</f>
        <v>46145</v>
      </c>
      <c r="B16883" s="4" t="s">
        <v>4473</v>
      </c>
      <c r="C16883" s="4" t="n">
        <v>6</v>
      </c>
      <c r="D16883" s="4" t="n">
        <v>8</v>
      </c>
      <c r="E16883" s="4" t="s">
        <v>6008</v>
      </c>
      <c r="F16883" s="4" t="n">
        <v>50</v>
      </c>
      <c r="G16883" s="4" t="n">
        <v>2</v>
      </c>
      <c r="H16883" s="4" t="n">
        <v>4</v>
      </c>
      <c r="I16883" s="4" t="str">
        <v>×</v>
      </c>
      <c r="J16883" s="4"/>
      <c r="K16883" s="4"/>
      <c r="L16883" s="4"/>
      <c r="M16883" s="7" t="s">
        <v>6871</v>
      </c>
    </row>
    <row r="16884" customFormat="false" ht="15.75" hidden="false" customHeight="false" outlineLevel="0" collapsed="false">
      <c r="A16884" s="6" t="n">
        <f aca="false">DATE(2026,5,3)</f>
        <v>46145</v>
      </c>
      <c r="B16884" s="4" t="s">
        <v>4473</v>
      </c>
      <c r="C16884" s="4" t="n">
        <v>6</v>
      </c>
      <c r="D16884" s="4" t="n">
        <v>9</v>
      </c>
      <c r="E16884" s="4" t="s">
        <v>1963</v>
      </c>
      <c r="F16884" s="4" t="n">
        <v>31</v>
      </c>
      <c r="G16884" s="4" t="n">
        <v>3</v>
      </c>
      <c r="H16884" s="4" t="n">
        <v>4</v>
      </c>
      <c r="I16884" s="4" t="str">
        <v>×</v>
      </c>
      <c r="J16884" s="4"/>
      <c r="K16884" s="4"/>
      <c r="L16884" s="4"/>
      <c r="M16884" s="7" t="s">
        <v>6871</v>
      </c>
    </row>
    <row r="16885" customFormat="false" ht="15.75" hidden="false" customHeight="false" outlineLevel="0" collapsed="false">
      <c r="A16885" s="6" t="n">
        <f aca="false">DATE(2026,5,3)</f>
        <v>46145</v>
      </c>
      <c r="B16885" s="4" t="s">
        <v>4473</v>
      </c>
      <c r="C16885" s="4" t="n">
        <v>6</v>
      </c>
      <c r="D16885" s="4" t="n">
        <v>10</v>
      </c>
      <c r="E16885" s="4" t="s">
        <v>2762</v>
      </c>
      <c r="F16885" s="4" t="n">
        <v>13</v>
      </c>
      <c r="G16885" s="4" t="n">
        <v>8</v>
      </c>
      <c r="H16885" s="4" t="n">
        <v>4</v>
      </c>
      <c r="I16885" s="4" t="str">
        <v>×</v>
      </c>
      <c r="J16885" s="4"/>
      <c r="K16885" s="4"/>
      <c r="L16885" s="4"/>
      <c r="M16885" s="7" t="s">
        <v>6871</v>
      </c>
    </row>
    <row r="16886" customFormat="false" ht="15.75" hidden="false" customHeight="false" outlineLevel="0" collapsed="false">
      <c r="A16886" s="6" t="n">
        <f aca="false">DATE(2026,5,3)</f>
        <v>46145</v>
      </c>
      <c r="B16886" s="4" t="s">
        <v>4473</v>
      </c>
      <c r="C16886" s="4" t="n">
        <v>6</v>
      </c>
      <c r="D16886" s="4" t="n">
        <v>11</v>
      </c>
      <c r="E16886" s="4" t="s">
        <v>7498</v>
      </c>
      <c r="F16886" s="4" t="n">
        <v>10</v>
      </c>
      <c r="G16886" s="4" t="n">
        <v>12</v>
      </c>
      <c r="H16886" s="4" t="n">
        <v>3</v>
      </c>
      <c r="I16886" s="4" t="str">
        <v>○</v>
      </c>
      <c r="J16886" s="4" t="n">
        <v>490</v>
      </c>
      <c r="K16886" s="4"/>
      <c r="L16886" s="4"/>
      <c r="M16886" s="7" t="s">
        <v>6871</v>
      </c>
    </row>
    <row r="16887" customFormat="false" ht="15.75" hidden="false" customHeight="false" outlineLevel="0" collapsed="false">
      <c r="A16887" s="6" t="n">
        <f aca="false">DATE(2026,5,3)</f>
        <v>46145</v>
      </c>
      <c r="B16887" s="4" t="s">
        <v>4473</v>
      </c>
      <c r="C16887" s="4" t="n">
        <v>6</v>
      </c>
      <c r="D16887" s="4" t="n">
        <v>12</v>
      </c>
      <c r="E16887" s="4" t="s">
        <v>6121</v>
      </c>
      <c r="F16887" s="4" t="n">
        <v>23</v>
      </c>
      <c r="G16887" s="4" t="n">
        <v>5</v>
      </c>
      <c r="H16887" s="4" t="n">
        <v>4</v>
      </c>
      <c r="I16887" s="4" t="str">
        <v>×</v>
      </c>
      <c r="J16887" s="4"/>
      <c r="K16887" s="4"/>
      <c r="L16887" s="4"/>
      <c r="M16887" s="7" t="s">
        <v>6871</v>
      </c>
    </row>
    <row r="16888" customFormat="false" ht="15.75" hidden="false" customHeight="false" outlineLevel="0" collapsed="false">
      <c r="A16888" s="6" t="n">
        <f aca="false">DATE(2026,5,3)</f>
        <v>46145</v>
      </c>
      <c r="B16888" s="4" t="s">
        <v>4473</v>
      </c>
      <c r="C16888" s="4" t="n">
        <v>6</v>
      </c>
      <c r="D16888" s="4" t="n">
        <v>13</v>
      </c>
      <c r="E16888" s="4" t="s">
        <v>4291</v>
      </c>
      <c r="F16888" s="4" t="n">
        <v>13</v>
      </c>
      <c r="G16888" s="4" t="n">
        <v>9</v>
      </c>
      <c r="H16888" s="4" t="n">
        <v>4</v>
      </c>
      <c r="I16888" s="4" t="str">
        <v>×</v>
      </c>
      <c r="J16888" s="4"/>
      <c r="K16888" s="4"/>
      <c r="L16888" s="4"/>
      <c r="M16888" s="7" t="s">
        <v>6871</v>
      </c>
    </row>
    <row r="16889" customFormat="false" ht="15.75" hidden="false" customHeight="false" outlineLevel="0" collapsed="false">
      <c r="A16889" s="6" t="n">
        <f aca="false">DATE(2026,5,3)</f>
        <v>46145</v>
      </c>
      <c r="B16889" s="4" t="s">
        <v>4473</v>
      </c>
      <c r="C16889" s="4" t="n">
        <v>6</v>
      </c>
      <c r="D16889" s="4" t="n">
        <v>14</v>
      </c>
      <c r="E16889" s="4" t="s">
        <v>7499</v>
      </c>
      <c r="F16889" s="4" t="n">
        <v>75</v>
      </c>
      <c r="G16889" s="4" t="n">
        <v>1</v>
      </c>
      <c r="H16889" s="4" t="n">
        <v>4</v>
      </c>
      <c r="I16889" s="4" t="str">
        <v>×</v>
      </c>
      <c r="J16889" s="4"/>
      <c r="K16889" s="4"/>
      <c r="L16889" s="4"/>
      <c r="M16889" s="7" t="s">
        <v>6871</v>
      </c>
    </row>
    <row r="16890" customFormat="false" ht="15.75" hidden="false" customHeight="false" outlineLevel="0" collapsed="false">
      <c r="A16890" s="6" t="n">
        <f aca="false">DATE(2026,5,3)</f>
        <v>46145</v>
      </c>
      <c r="B16890" s="4" t="s">
        <v>4473</v>
      </c>
      <c r="C16890" s="4" t="n">
        <v>6</v>
      </c>
      <c r="D16890" s="4" t="n">
        <v>15</v>
      </c>
      <c r="E16890" s="4" t="s">
        <v>4077</v>
      </c>
      <c r="F16890" s="4" t="n">
        <v>10</v>
      </c>
      <c r="G16890" s="4" t="n">
        <v>13</v>
      </c>
      <c r="H16890" s="4" t="n">
        <v>2</v>
      </c>
      <c r="I16890" s="4" t="str">
        <v>○</v>
      </c>
      <c r="J16890" s="4" t="n">
        <v>1310</v>
      </c>
      <c r="K16890" s="4"/>
      <c r="L16890" s="4"/>
      <c r="M16890" s="7" t="s">
        <v>6871</v>
      </c>
    </row>
    <row r="16891" customFormat="false" ht="15.75" hidden="false" customHeight="false" outlineLevel="0" collapsed="false">
      <c r="A16891" s="6" t="n">
        <f aca="false">DATE(2026,5,3)</f>
        <v>46145</v>
      </c>
      <c r="B16891" s="4" t="s">
        <v>4473</v>
      </c>
      <c r="C16891" s="4" t="n">
        <v>6</v>
      </c>
      <c r="D16891" s="4" t="n">
        <v>16</v>
      </c>
      <c r="E16891" s="4" t="s">
        <v>7500</v>
      </c>
      <c r="F16891" s="4" t="n">
        <v>10</v>
      </c>
      <c r="G16891" s="4" t="n">
        <v>14</v>
      </c>
      <c r="H16891" s="4" t="n">
        <v>4</v>
      </c>
      <c r="I16891" s="4" t="str">
        <v>×</v>
      </c>
      <c r="J16891" s="4"/>
      <c r="K16891" s="4"/>
      <c r="L16891" s="4"/>
      <c r="M16891" s="7" t="s">
        <v>6871</v>
      </c>
    </row>
    <row r="16892" customFormat="false" ht="15.75" hidden="false" customHeight="false" outlineLevel="0" collapsed="false">
      <c r="A16892" s="6" t="n">
        <f aca="false">DATE(2026,5,3)</f>
        <v>46145</v>
      </c>
      <c r="B16892" s="4" t="s">
        <v>4473</v>
      </c>
      <c r="C16892" s="4" t="n">
        <v>7</v>
      </c>
      <c r="D16892" s="4" t="n">
        <v>1</v>
      </c>
      <c r="E16892" s="4" t="s">
        <v>5183</v>
      </c>
      <c r="F16892" s="4" t="n">
        <v>3</v>
      </c>
      <c r="G16892" s="4" t="n">
        <v>14</v>
      </c>
      <c r="H16892" s="4" t="n">
        <v>4</v>
      </c>
      <c r="I16892" s="4" t="str">
        <v>×</v>
      </c>
      <c r="J16892" s="4"/>
      <c r="K16892" s="4"/>
      <c r="L16892" s="4"/>
      <c r="M16892" s="7" t="s">
        <v>6871</v>
      </c>
    </row>
    <row r="16893" customFormat="false" ht="15.75" hidden="false" customHeight="false" outlineLevel="0" collapsed="false">
      <c r="A16893" s="6" t="n">
        <f aca="false">DATE(2026,5,3)</f>
        <v>46145</v>
      </c>
      <c r="B16893" s="4" t="s">
        <v>4473</v>
      </c>
      <c r="C16893" s="4" t="n">
        <v>7</v>
      </c>
      <c r="D16893" s="4" t="n">
        <v>2</v>
      </c>
      <c r="E16893" s="4" t="s">
        <v>5118</v>
      </c>
      <c r="F16893" s="4" t="n">
        <v>20</v>
      </c>
      <c r="G16893" s="4" t="n">
        <v>8</v>
      </c>
      <c r="H16893" s="4" t="n">
        <v>4</v>
      </c>
      <c r="I16893" s="4" t="str">
        <v>×</v>
      </c>
      <c r="J16893" s="4"/>
      <c r="K16893" s="4"/>
      <c r="L16893" s="4"/>
      <c r="M16893" s="7" t="s">
        <v>6871</v>
      </c>
    </row>
    <row r="16894" customFormat="false" ht="15.75" hidden="false" customHeight="false" outlineLevel="0" collapsed="false">
      <c r="A16894" s="6" t="n">
        <f aca="false">DATE(2026,5,3)</f>
        <v>46145</v>
      </c>
      <c r="B16894" s="4" t="s">
        <v>4473</v>
      </c>
      <c r="C16894" s="4" t="n">
        <v>7</v>
      </c>
      <c r="D16894" s="4" t="n">
        <v>3</v>
      </c>
      <c r="E16894" s="4" t="s">
        <v>6362</v>
      </c>
      <c r="F16894" s="4" t="n">
        <v>10</v>
      </c>
      <c r="G16894" s="4" t="n">
        <v>9</v>
      </c>
      <c r="H16894" s="4" t="n">
        <v>4</v>
      </c>
      <c r="I16894" s="4" t="str">
        <v>×</v>
      </c>
      <c r="J16894" s="4"/>
      <c r="K16894" s="4"/>
      <c r="L16894" s="4"/>
      <c r="M16894" s="7" t="s">
        <v>6871</v>
      </c>
    </row>
    <row r="16895" customFormat="false" ht="15.75" hidden="false" customHeight="false" outlineLevel="0" collapsed="false">
      <c r="A16895" s="6" t="n">
        <f aca="false">DATE(2026,5,3)</f>
        <v>46145</v>
      </c>
      <c r="B16895" s="4" t="s">
        <v>4473</v>
      </c>
      <c r="C16895" s="4" t="n">
        <v>7</v>
      </c>
      <c r="D16895" s="4" t="n">
        <v>4</v>
      </c>
      <c r="E16895" s="4" t="s">
        <v>2768</v>
      </c>
      <c r="F16895" s="4" t="n">
        <v>8</v>
      </c>
      <c r="G16895" s="4" t="n">
        <v>10</v>
      </c>
      <c r="H16895" s="4" t="n">
        <v>4</v>
      </c>
      <c r="I16895" s="4" t="str">
        <v>×</v>
      </c>
      <c r="J16895" s="4"/>
      <c r="K16895" s="4"/>
      <c r="L16895" s="4"/>
      <c r="M16895" s="7" t="s">
        <v>6871</v>
      </c>
    </row>
    <row r="16896" customFormat="false" ht="15.75" hidden="false" customHeight="false" outlineLevel="0" collapsed="false">
      <c r="A16896" s="6" t="n">
        <f aca="false">DATE(2026,5,3)</f>
        <v>46145</v>
      </c>
      <c r="B16896" s="4" t="s">
        <v>4473</v>
      </c>
      <c r="C16896" s="4" t="n">
        <v>7</v>
      </c>
      <c r="D16896" s="4" t="n">
        <v>5</v>
      </c>
      <c r="E16896" s="4" t="s">
        <v>4573</v>
      </c>
      <c r="F16896" s="4" t="n">
        <v>4</v>
      </c>
      <c r="G16896" s="4" t="n">
        <v>13</v>
      </c>
      <c r="H16896" s="4" t="n">
        <v>4</v>
      </c>
      <c r="I16896" s="4" t="str">
        <v>×</v>
      </c>
      <c r="J16896" s="4"/>
      <c r="K16896" s="4"/>
      <c r="L16896" s="4"/>
      <c r="M16896" s="7" t="s">
        <v>6871</v>
      </c>
    </row>
    <row r="16897" customFormat="false" ht="15.75" hidden="false" customHeight="false" outlineLevel="0" collapsed="false">
      <c r="A16897" s="6" t="n">
        <f aca="false">DATE(2026,5,3)</f>
        <v>46145</v>
      </c>
      <c r="B16897" s="4" t="s">
        <v>4473</v>
      </c>
      <c r="C16897" s="4" t="n">
        <v>7</v>
      </c>
      <c r="D16897" s="4" t="n">
        <v>6</v>
      </c>
      <c r="E16897" s="4" t="s">
        <v>4567</v>
      </c>
      <c r="F16897" s="4" t="n">
        <v>23</v>
      </c>
      <c r="G16897" s="4" t="n">
        <v>6</v>
      </c>
      <c r="H16897" s="4" t="n">
        <v>4</v>
      </c>
      <c r="I16897" s="4" t="str">
        <v>×</v>
      </c>
      <c r="J16897" s="4"/>
      <c r="K16897" s="4"/>
      <c r="L16897" s="4"/>
      <c r="M16897" s="7" t="s">
        <v>6871</v>
      </c>
    </row>
    <row r="16898" customFormat="false" ht="15.75" hidden="false" customHeight="false" outlineLevel="0" collapsed="false">
      <c r="A16898" s="6" t="n">
        <f aca="false">DATE(2026,5,3)</f>
        <v>46145</v>
      </c>
      <c r="B16898" s="4" t="s">
        <v>4473</v>
      </c>
      <c r="C16898" s="4" t="n">
        <v>7</v>
      </c>
      <c r="D16898" s="4" t="n">
        <v>7</v>
      </c>
      <c r="E16898" s="4" t="s">
        <v>7501</v>
      </c>
      <c r="F16898" s="4" t="n">
        <v>23</v>
      </c>
      <c r="G16898" s="4" t="n">
        <v>7</v>
      </c>
      <c r="H16898" s="4" t="n">
        <v>3</v>
      </c>
      <c r="I16898" s="4" t="str">
        <v>○</v>
      </c>
      <c r="J16898" s="4" t="n">
        <v>200</v>
      </c>
      <c r="K16898" s="4"/>
      <c r="L16898" s="4"/>
      <c r="M16898" s="7" t="s">
        <v>6871</v>
      </c>
    </row>
    <row r="16899" customFormat="false" ht="15.75" hidden="false" customHeight="false" outlineLevel="0" collapsed="false">
      <c r="A16899" s="6" t="n">
        <f aca="false">DATE(2026,5,3)</f>
        <v>46145</v>
      </c>
      <c r="B16899" s="4" t="s">
        <v>4473</v>
      </c>
      <c r="C16899" s="4" t="n">
        <v>7</v>
      </c>
      <c r="D16899" s="4" t="n">
        <v>8</v>
      </c>
      <c r="E16899" s="4" t="s">
        <v>6208</v>
      </c>
      <c r="F16899" s="4" t="n">
        <v>1</v>
      </c>
      <c r="G16899" s="4" t="n">
        <v>15</v>
      </c>
      <c r="H16899" s="4" t="n">
        <v>4</v>
      </c>
      <c r="I16899" s="4" t="str">
        <v>×</v>
      </c>
      <c r="J16899" s="4"/>
      <c r="K16899" s="4"/>
      <c r="L16899" s="4"/>
      <c r="M16899" s="7" t="s">
        <v>6871</v>
      </c>
    </row>
    <row r="16900" customFormat="false" ht="15.75" hidden="false" customHeight="false" outlineLevel="0" collapsed="false">
      <c r="A16900" s="6" t="n">
        <f aca="false">DATE(2026,5,3)</f>
        <v>46145</v>
      </c>
      <c r="B16900" s="4" t="s">
        <v>4473</v>
      </c>
      <c r="C16900" s="4" t="n">
        <v>7</v>
      </c>
      <c r="D16900" s="4" t="n">
        <v>9</v>
      </c>
      <c r="E16900" s="4" t="s">
        <v>5186</v>
      </c>
      <c r="F16900" s="4" t="n">
        <v>34</v>
      </c>
      <c r="G16900" s="4" t="n">
        <v>3</v>
      </c>
      <c r="H16900" s="4" t="n">
        <v>4</v>
      </c>
      <c r="I16900" s="4" t="str">
        <v>×</v>
      </c>
      <c r="J16900" s="4"/>
      <c r="K16900" s="4"/>
      <c r="L16900" s="4"/>
      <c r="M16900" s="7" t="s">
        <v>6871</v>
      </c>
    </row>
    <row r="16901" customFormat="false" ht="15.75" hidden="false" customHeight="false" outlineLevel="0" collapsed="false">
      <c r="A16901" s="6" t="n">
        <f aca="false">DATE(2026,5,3)</f>
        <v>46145</v>
      </c>
      <c r="B16901" s="4" t="s">
        <v>4473</v>
      </c>
      <c r="C16901" s="4" t="n">
        <v>7</v>
      </c>
      <c r="D16901" s="4" t="n">
        <v>10</v>
      </c>
      <c r="E16901" s="4" t="s">
        <v>1049</v>
      </c>
      <c r="F16901" s="4" t="n">
        <v>50</v>
      </c>
      <c r="G16901" s="4" t="n">
        <v>2</v>
      </c>
      <c r="H16901" s="4" t="n">
        <v>1</v>
      </c>
      <c r="I16901" s="4" t="str">
        <v>○</v>
      </c>
      <c r="J16901" s="4" t="n">
        <v>240</v>
      </c>
      <c r="K16901" s="4"/>
      <c r="L16901" s="4"/>
      <c r="M16901" s="7" t="s">
        <v>6871</v>
      </c>
    </row>
    <row r="16902" customFormat="false" ht="15.75" hidden="false" customHeight="false" outlineLevel="0" collapsed="false">
      <c r="A16902" s="6" t="n">
        <f aca="false">DATE(2026,5,3)</f>
        <v>46145</v>
      </c>
      <c r="B16902" s="4" t="s">
        <v>4473</v>
      </c>
      <c r="C16902" s="4" t="n">
        <v>7</v>
      </c>
      <c r="D16902" s="4" t="n">
        <v>11</v>
      </c>
      <c r="E16902" s="4" t="s">
        <v>5788</v>
      </c>
      <c r="F16902" s="4" t="n">
        <v>52</v>
      </c>
      <c r="G16902" s="4" t="n">
        <v>1</v>
      </c>
      <c r="H16902" s="4" t="n">
        <v>4</v>
      </c>
      <c r="I16902" s="4" t="str">
        <v>×</v>
      </c>
      <c r="J16902" s="4"/>
      <c r="K16902" s="4"/>
      <c r="L16902" s="4"/>
      <c r="M16902" s="7" t="s">
        <v>6871</v>
      </c>
    </row>
    <row r="16903" customFormat="false" ht="15.75" hidden="false" customHeight="false" outlineLevel="0" collapsed="false">
      <c r="A16903" s="6" t="n">
        <f aca="false">DATE(2026,5,3)</f>
        <v>46145</v>
      </c>
      <c r="B16903" s="4" t="s">
        <v>4473</v>
      </c>
      <c r="C16903" s="4" t="n">
        <v>7</v>
      </c>
      <c r="D16903" s="4" t="n">
        <v>12</v>
      </c>
      <c r="E16903" s="4" t="s">
        <v>5852</v>
      </c>
      <c r="F16903" s="4" t="n">
        <v>29</v>
      </c>
      <c r="G16903" s="4" t="n">
        <v>4</v>
      </c>
      <c r="H16903" s="4" t="n">
        <v>2</v>
      </c>
      <c r="I16903" s="4" t="str">
        <v>○</v>
      </c>
      <c r="J16903" s="4" t="n">
        <v>340</v>
      </c>
      <c r="K16903" s="4"/>
      <c r="L16903" s="4"/>
      <c r="M16903" s="7" t="s">
        <v>6871</v>
      </c>
    </row>
    <row r="16904" customFormat="false" ht="15.75" hidden="false" customHeight="false" outlineLevel="0" collapsed="false">
      <c r="A16904" s="6" t="n">
        <f aca="false">DATE(2026,5,3)</f>
        <v>46145</v>
      </c>
      <c r="B16904" s="4" t="s">
        <v>4473</v>
      </c>
      <c r="C16904" s="4" t="n">
        <v>7</v>
      </c>
      <c r="D16904" s="4" t="n">
        <v>13</v>
      </c>
      <c r="E16904" s="4" t="s">
        <v>6316</v>
      </c>
      <c r="F16904" s="4" t="n">
        <v>8</v>
      </c>
      <c r="G16904" s="4" t="n">
        <v>11</v>
      </c>
      <c r="H16904" s="4" t="n">
        <v>4</v>
      </c>
      <c r="I16904" s="4" t="str">
        <v>×</v>
      </c>
      <c r="J16904" s="4"/>
      <c r="K16904" s="4"/>
      <c r="L16904" s="4"/>
      <c r="M16904" s="7" t="s">
        <v>6871</v>
      </c>
    </row>
    <row r="16905" customFormat="false" ht="15.75" hidden="false" customHeight="false" outlineLevel="0" collapsed="false">
      <c r="A16905" s="6" t="n">
        <f aca="false">DATE(2026,5,3)</f>
        <v>46145</v>
      </c>
      <c r="B16905" s="4" t="s">
        <v>4473</v>
      </c>
      <c r="C16905" s="4" t="n">
        <v>7</v>
      </c>
      <c r="D16905" s="4" t="n">
        <v>14</v>
      </c>
      <c r="E16905" s="4" t="s">
        <v>410</v>
      </c>
      <c r="F16905" s="4" t="n">
        <v>25</v>
      </c>
      <c r="G16905" s="4" t="n">
        <v>5</v>
      </c>
      <c r="H16905" s="4" t="n">
        <v>4</v>
      </c>
      <c r="I16905" s="4" t="str">
        <v>×</v>
      </c>
      <c r="J16905" s="4"/>
      <c r="K16905" s="4"/>
      <c r="L16905" s="4"/>
      <c r="M16905" s="7" t="s">
        <v>6871</v>
      </c>
    </row>
    <row r="16906" customFormat="false" ht="15.75" hidden="false" customHeight="false" outlineLevel="0" collapsed="false">
      <c r="A16906" s="6" t="n">
        <f aca="false">DATE(2026,5,3)</f>
        <v>46145</v>
      </c>
      <c r="B16906" s="4" t="s">
        <v>4473</v>
      </c>
      <c r="C16906" s="4" t="n">
        <v>7</v>
      </c>
      <c r="D16906" s="4" t="n">
        <v>15</v>
      </c>
      <c r="E16906" s="4" t="s">
        <v>7502</v>
      </c>
      <c r="F16906" s="4" t="n">
        <v>8</v>
      </c>
      <c r="G16906" s="4" t="n">
        <v>12</v>
      </c>
      <c r="H16906" s="4" t="n">
        <v>4</v>
      </c>
      <c r="I16906" s="4" t="str">
        <v>×</v>
      </c>
      <c r="J16906" s="4"/>
      <c r="K16906" s="4"/>
      <c r="L16906" s="4"/>
      <c r="M16906" s="7" t="s">
        <v>6871</v>
      </c>
    </row>
    <row r="16907" customFormat="false" ht="15.75" hidden="false" customHeight="false" outlineLevel="0" collapsed="false">
      <c r="A16907" s="6" t="n">
        <f aca="false">DATE(2026,5,3)</f>
        <v>46145</v>
      </c>
      <c r="B16907" s="4" t="s">
        <v>4473</v>
      </c>
      <c r="C16907" s="4" t="n">
        <v>8</v>
      </c>
      <c r="D16907" s="4" t="n">
        <v>1</v>
      </c>
      <c r="E16907" s="4" t="s">
        <v>5198</v>
      </c>
      <c r="F16907" s="4" t="n">
        <v>10</v>
      </c>
      <c r="G16907" s="4" t="n">
        <v>8</v>
      </c>
      <c r="H16907" s="4" t="n">
        <v>3</v>
      </c>
      <c r="I16907" s="4" t="str">
        <v>○</v>
      </c>
      <c r="J16907" s="4" t="n">
        <v>360</v>
      </c>
      <c r="K16907" s="4"/>
      <c r="L16907" s="4"/>
      <c r="M16907" s="7" t="s">
        <v>6871</v>
      </c>
    </row>
    <row r="16908" customFormat="false" ht="15.75" hidden="false" customHeight="false" outlineLevel="0" collapsed="false">
      <c r="A16908" s="6" t="n">
        <f aca="false">DATE(2026,5,3)</f>
        <v>46145</v>
      </c>
      <c r="B16908" s="4" t="s">
        <v>4473</v>
      </c>
      <c r="C16908" s="4" t="n">
        <v>8</v>
      </c>
      <c r="D16908" s="4" t="n">
        <v>2</v>
      </c>
      <c r="E16908" s="4" t="s">
        <v>5197</v>
      </c>
      <c r="F16908" s="4" t="n">
        <v>58</v>
      </c>
      <c r="G16908" s="4" t="n">
        <v>2</v>
      </c>
      <c r="H16908" s="4" t="n">
        <v>4</v>
      </c>
      <c r="I16908" s="4" t="str">
        <v>×</v>
      </c>
      <c r="J16908" s="4"/>
      <c r="K16908" s="4"/>
      <c r="L16908" s="4"/>
      <c r="M16908" s="7" t="s">
        <v>6871</v>
      </c>
    </row>
    <row r="16909" customFormat="false" ht="15.75" hidden="false" customHeight="false" outlineLevel="0" collapsed="false">
      <c r="A16909" s="6" t="n">
        <f aca="false">DATE(2026,5,3)</f>
        <v>46145</v>
      </c>
      <c r="B16909" s="4" t="s">
        <v>4473</v>
      </c>
      <c r="C16909" s="4" t="n">
        <v>8</v>
      </c>
      <c r="D16909" s="4" t="n">
        <v>3</v>
      </c>
      <c r="E16909" s="4" t="s">
        <v>7503</v>
      </c>
      <c r="F16909" s="4" t="n">
        <v>60</v>
      </c>
      <c r="G16909" s="4" t="n">
        <v>1</v>
      </c>
      <c r="H16909" s="4" t="n">
        <v>4</v>
      </c>
      <c r="I16909" s="4" t="str">
        <v>×</v>
      </c>
      <c r="J16909" s="4"/>
      <c r="K16909" s="4"/>
      <c r="L16909" s="4"/>
      <c r="M16909" s="7" t="s">
        <v>6871</v>
      </c>
    </row>
    <row r="16910" customFormat="false" ht="15.75" hidden="false" customHeight="false" outlineLevel="0" collapsed="false">
      <c r="A16910" s="6" t="n">
        <f aca="false">DATE(2026,5,3)</f>
        <v>46145</v>
      </c>
      <c r="B16910" s="4" t="s">
        <v>4473</v>
      </c>
      <c r="C16910" s="4" t="n">
        <v>8</v>
      </c>
      <c r="D16910" s="4" t="n">
        <v>4</v>
      </c>
      <c r="E16910" s="4" t="s">
        <v>7504</v>
      </c>
      <c r="F16910" s="4" t="n">
        <v>31</v>
      </c>
      <c r="G16910" s="4" t="n">
        <v>5</v>
      </c>
      <c r="H16910" s="4" t="n">
        <v>1</v>
      </c>
      <c r="I16910" s="4" t="str">
        <v>○</v>
      </c>
      <c r="J16910" s="4" t="n">
        <v>140</v>
      </c>
      <c r="K16910" s="4"/>
      <c r="L16910" s="4"/>
      <c r="M16910" s="7" t="s">
        <v>6871</v>
      </c>
    </row>
    <row r="16911" customFormat="false" ht="15.75" hidden="false" customHeight="false" outlineLevel="0" collapsed="false">
      <c r="A16911" s="6" t="n">
        <f aca="false">DATE(2026,5,3)</f>
        <v>46145</v>
      </c>
      <c r="B16911" s="4" t="s">
        <v>4473</v>
      </c>
      <c r="C16911" s="4" t="n">
        <v>8</v>
      </c>
      <c r="D16911" s="4" t="n">
        <v>5</v>
      </c>
      <c r="E16911" s="4" t="s">
        <v>3383</v>
      </c>
      <c r="F16911" s="4" t="n">
        <v>13</v>
      </c>
      <c r="G16911" s="4" t="n">
        <v>7</v>
      </c>
      <c r="H16911" s="4" t="n">
        <v>4</v>
      </c>
      <c r="I16911" s="4" t="str">
        <v>×</v>
      </c>
      <c r="J16911" s="4"/>
      <c r="K16911" s="4"/>
      <c r="L16911" s="4"/>
      <c r="M16911" s="7" t="s">
        <v>6871</v>
      </c>
    </row>
    <row r="16912" customFormat="false" ht="15.75" hidden="false" customHeight="false" outlineLevel="0" collapsed="false">
      <c r="A16912" s="6" t="n">
        <f aca="false">DATE(2026,5,3)</f>
        <v>46145</v>
      </c>
      <c r="B16912" s="4" t="s">
        <v>4473</v>
      </c>
      <c r="C16912" s="4" t="n">
        <v>8</v>
      </c>
      <c r="D16912" s="4" t="n">
        <v>6</v>
      </c>
      <c r="E16912" s="4" t="s">
        <v>5194</v>
      </c>
      <c r="F16912" s="4" t="n">
        <v>8</v>
      </c>
      <c r="G16912" s="4" t="n">
        <v>9</v>
      </c>
      <c r="H16912" s="4" t="n">
        <v>4</v>
      </c>
      <c r="I16912" s="4" t="str">
        <v>×</v>
      </c>
      <c r="J16912" s="4"/>
      <c r="K16912" s="4"/>
      <c r="L16912" s="4"/>
      <c r="M16912" s="7" t="s">
        <v>6871</v>
      </c>
    </row>
    <row r="16913" customFormat="false" ht="15.75" hidden="false" customHeight="false" outlineLevel="0" collapsed="false">
      <c r="A16913" s="6" t="n">
        <f aca="false">DATE(2026,5,3)</f>
        <v>46145</v>
      </c>
      <c r="B16913" s="4" t="s">
        <v>4473</v>
      </c>
      <c r="C16913" s="4" t="n">
        <v>8</v>
      </c>
      <c r="D16913" s="4" t="n">
        <v>7</v>
      </c>
      <c r="E16913" s="4" t="s">
        <v>7505</v>
      </c>
      <c r="F16913" s="4" t="n">
        <v>37</v>
      </c>
      <c r="G16913" s="4" t="n">
        <v>3</v>
      </c>
      <c r="H16913" s="4" t="n">
        <v>2</v>
      </c>
      <c r="I16913" s="4" t="str">
        <v>○</v>
      </c>
      <c r="J16913" s="4" t="n">
        <v>170</v>
      </c>
      <c r="K16913" s="4"/>
      <c r="L16913" s="4"/>
      <c r="M16913" s="7" t="s">
        <v>6871</v>
      </c>
    </row>
    <row r="16914" customFormat="false" ht="15.75" hidden="false" customHeight="false" outlineLevel="0" collapsed="false">
      <c r="A16914" s="6" t="n">
        <f aca="false">DATE(2026,5,3)</f>
        <v>46145</v>
      </c>
      <c r="B16914" s="4" t="s">
        <v>4473</v>
      </c>
      <c r="C16914" s="4" t="n">
        <v>8</v>
      </c>
      <c r="D16914" s="4" t="n">
        <v>8</v>
      </c>
      <c r="E16914" s="4" t="s">
        <v>7506</v>
      </c>
      <c r="F16914" s="4" t="n">
        <v>37</v>
      </c>
      <c r="G16914" s="4" t="n">
        <v>4</v>
      </c>
      <c r="H16914" s="4" t="n">
        <v>4</v>
      </c>
      <c r="I16914" s="4" t="str">
        <v>×</v>
      </c>
      <c r="J16914" s="4"/>
      <c r="K16914" s="4"/>
      <c r="L16914" s="4"/>
      <c r="M16914" s="7" t="s">
        <v>6871</v>
      </c>
    </row>
    <row r="16915" customFormat="false" ht="15.75" hidden="false" customHeight="false" outlineLevel="0" collapsed="false">
      <c r="A16915" s="6" t="n">
        <f aca="false">DATE(2026,5,3)</f>
        <v>46145</v>
      </c>
      <c r="B16915" s="4" t="s">
        <v>4473</v>
      </c>
      <c r="C16915" s="4" t="n">
        <v>8</v>
      </c>
      <c r="D16915" s="4" t="n">
        <v>9</v>
      </c>
      <c r="E16915" s="4" t="s">
        <v>4846</v>
      </c>
      <c r="F16915" s="4" t="n">
        <v>23</v>
      </c>
      <c r="G16915" s="4" t="n">
        <v>6</v>
      </c>
      <c r="H16915" s="4" t="n">
        <v>4</v>
      </c>
      <c r="I16915" s="4" t="str">
        <v>×</v>
      </c>
      <c r="J16915" s="4"/>
      <c r="K16915" s="4"/>
      <c r="L16915" s="4"/>
      <c r="M16915" s="7" t="s">
        <v>6871</v>
      </c>
    </row>
    <row r="16916" customFormat="false" ht="15.75" hidden="false" customHeight="false" outlineLevel="0" collapsed="false">
      <c r="A16916" s="6" t="n">
        <f aca="false">DATE(2026,5,3)</f>
        <v>46145</v>
      </c>
      <c r="B16916" s="4" t="s">
        <v>4473</v>
      </c>
      <c r="C16916" s="4" t="n">
        <v>9</v>
      </c>
      <c r="D16916" s="4" t="n">
        <v>1</v>
      </c>
      <c r="E16916" s="4" t="s">
        <v>6046</v>
      </c>
      <c r="F16916" s="4" t="n">
        <v>15</v>
      </c>
      <c r="G16916" s="4" t="n">
        <v>11</v>
      </c>
      <c r="H16916" s="4" t="n">
        <v>4</v>
      </c>
      <c r="I16916" s="4" t="str">
        <v>×</v>
      </c>
      <c r="J16916" s="4"/>
      <c r="K16916" s="4"/>
      <c r="L16916" s="4"/>
      <c r="M16916" s="7" t="s">
        <v>6871</v>
      </c>
    </row>
    <row r="16917" customFormat="false" ht="15.75" hidden="false" customHeight="false" outlineLevel="0" collapsed="false">
      <c r="A16917" s="6" t="n">
        <f aca="false">DATE(2026,5,3)</f>
        <v>46145</v>
      </c>
      <c r="B16917" s="4" t="s">
        <v>4473</v>
      </c>
      <c r="C16917" s="4" t="n">
        <v>9</v>
      </c>
      <c r="D16917" s="4" t="n">
        <v>2</v>
      </c>
      <c r="E16917" s="4" t="s">
        <v>4976</v>
      </c>
      <c r="F16917" s="4" t="n">
        <v>4</v>
      </c>
      <c r="G16917" s="4" t="n">
        <v>16</v>
      </c>
      <c r="H16917" s="4" t="n">
        <v>4</v>
      </c>
      <c r="I16917" s="4" t="str">
        <v>×</v>
      </c>
      <c r="J16917" s="4"/>
      <c r="K16917" s="4"/>
      <c r="L16917" s="4"/>
      <c r="M16917" s="7" t="s">
        <v>6871</v>
      </c>
    </row>
    <row r="16918" customFormat="false" ht="15.75" hidden="false" customHeight="false" outlineLevel="0" collapsed="false">
      <c r="A16918" s="6" t="n">
        <f aca="false">DATE(2026,5,3)</f>
        <v>46145</v>
      </c>
      <c r="B16918" s="4" t="s">
        <v>4473</v>
      </c>
      <c r="C16918" s="4" t="n">
        <v>9</v>
      </c>
      <c r="D16918" s="4" t="n">
        <v>3</v>
      </c>
      <c r="E16918" s="4" t="s">
        <v>7507</v>
      </c>
      <c r="F16918" s="4" t="n">
        <v>2</v>
      </c>
      <c r="G16918" s="4" t="n">
        <v>18</v>
      </c>
      <c r="H16918" s="4" t="n">
        <v>4</v>
      </c>
      <c r="I16918" s="4" t="str">
        <v>×</v>
      </c>
      <c r="J16918" s="4"/>
      <c r="K16918" s="4"/>
      <c r="L16918" s="4"/>
      <c r="M16918" s="7" t="s">
        <v>6871</v>
      </c>
    </row>
    <row r="16919" customFormat="false" ht="15.75" hidden="false" customHeight="false" outlineLevel="0" collapsed="false">
      <c r="A16919" s="6" t="n">
        <f aca="false">DATE(2026,5,3)</f>
        <v>46145</v>
      </c>
      <c r="B16919" s="4" t="s">
        <v>4473</v>
      </c>
      <c r="C16919" s="4" t="n">
        <v>9</v>
      </c>
      <c r="D16919" s="4" t="n">
        <v>4</v>
      </c>
      <c r="E16919" s="4" t="s">
        <v>6330</v>
      </c>
      <c r="F16919" s="4" t="n">
        <v>17</v>
      </c>
      <c r="G16919" s="4" t="n">
        <v>7</v>
      </c>
      <c r="H16919" s="4" t="n">
        <v>4</v>
      </c>
      <c r="I16919" s="4" t="str">
        <v>×</v>
      </c>
      <c r="J16919" s="4"/>
      <c r="K16919" s="4"/>
      <c r="L16919" s="4"/>
      <c r="M16919" s="7" t="s">
        <v>6871</v>
      </c>
    </row>
    <row r="16920" customFormat="false" ht="15.75" hidden="false" customHeight="false" outlineLevel="0" collapsed="false">
      <c r="A16920" s="6" t="n">
        <f aca="false">DATE(2026,5,3)</f>
        <v>46145</v>
      </c>
      <c r="B16920" s="4" t="s">
        <v>4473</v>
      </c>
      <c r="C16920" s="4" t="n">
        <v>9</v>
      </c>
      <c r="D16920" s="4" t="n">
        <v>5</v>
      </c>
      <c r="E16920" s="4" t="s">
        <v>6078</v>
      </c>
      <c r="F16920" s="4" t="n">
        <v>37</v>
      </c>
      <c r="G16920" s="4" t="n">
        <v>2</v>
      </c>
      <c r="H16920" s="4" t="n">
        <v>1</v>
      </c>
      <c r="I16920" s="4" t="str">
        <v>○</v>
      </c>
      <c r="J16920" s="4" t="n">
        <v>220</v>
      </c>
      <c r="K16920" s="4"/>
      <c r="L16920" s="4"/>
      <c r="M16920" s="7" t="s">
        <v>6871</v>
      </c>
    </row>
    <row r="16921" customFormat="false" ht="15.75" hidden="false" customHeight="false" outlineLevel="0" collapsed="false">
      <c r="A16921" s="6" t="n">
        <f aca="false">DATE(2026,5,3)</f>
        <v>46145</v>
      </c>
      <c r="B16921" s="4" t="s">
        <v>4473</v>
      </c>
      <c r="C16921" s="4" t="n">
        <v>9</v>
      </c>
      <c r="D16921" s="4" t="n">
        <v>6</v>
      </c>
      <c r="E16921" s="4" t="s">
        <v>4271</v>
      </c>
      <c r="F16921" s="4" t="n">
        <v>10</v>
      </c>
      <c r="G16921" s="4" t="n">
        <v>13</v>
      </c>
      <c r="H16921" s="4" t="n">
        <v>4</v>
      </c>
      <c r="I16921" s="4" t="str">
        <v>×</v>
      </c>
      <c r="J16921" s="4"/>
      <c r="K16921" s="4"/>
      <c r="L16921" s="4"/>
      <c r="M16921" s="7" t="s">
        <v>6871</v>
      </c>
    </row>
    <row r="16922" customFormat="false" ht="15.75" hidden="false" customHeight="false" outlineLevel="0" collapsed="false">
      <c r="A16922" s="6" t="n">
        <f aca="false">DATE(2026,5,3)</f>
        <v>46145</v>
      </c>
      <c r="B16922" s="4" t="s">
        <v>4473</v>
      </c>
      <c r="C16922" s="4" t="n">
        <v>9</v>
      </c>
      <c r="D16922" s="4" t="n">
        <v>7</v>
      </c>
      <c r="E16922" s="4" t="s">
        <v>3871</v>
      </c>
      <c r="F16922" s="4" t="n">
        <v>13</v>
      </c>
      <c r="G16922" s="4" t="n">
        <v>12</v>
      </c>
      <c r="H16922" s="4" t="n">
        <v>3</v>
      </c>
      <c r="I16922" s="4" t="str">
        <v>○</v>
      </c>
      <c r="J16922" s="4" t="n">
        <v>1400</v>
      </c>
      <c r="K16922" s="4"/>
      <c r="L16922" s="4"/>
      <c r="M16922" s="7" t="s">
        <v>6871</v>
      </c>
    </row>
    <row r="16923" customFormat="false" ht="15.75" hidden="false" customHeight="false" outlineLevel="0" collapsed="false">
      <c r="A16923" s="6" t="n">
        <f aca="false">DATE(2026,5,3)</f>
        <v>46145</v>
      </c>
      <c r="B16923" s="4" t="s">
        <v>4473</v>
      </c>
      <c r="C16923" s="4" t="n">
        <v>9</v>
      </c>
      <c r="D16923" s="4" t="n">
        <v>8</v>
      </c>
      <c r="E16923" s="4" t="s">
        <v>262</v>
      </c>
      <c r="F16923" s="4" t="n">
        <v>47</v>
      </c>
      <c r="G16923" s="4" t="n">
        <v>1</v>
      </c>
      <c r="H16923" s="4" t="n">
        <v>4</v>
      </c>
      <c r="I16923" s="4" t="str">
        <v>×</v>
      </c>
      <c r="J16923" s="4"/>
      <c r="K16923" s="4"/>
      <c r="L16923" s="4"/>
      <c r="M16923" s="7" t="s">
        <v>6871</v>
      </c>
    </row>
    <row r="16924" customFormat="false" ht="15.75" hidden="false" customHeight="false" outlineLevel="0" collapsed="false">
      <c r="A16924" s="6" t="n">
        <f aca="false">DATE(2026,5,3)</f>
        <v>46145</v>
      </c>
      <c r="B16924" s="4" t="s">
        <v>4473</v>
      </c>
      <c r="C16924" s="4" t="n">
        <v>9</v>
      </c>
      <c r="D16924" s="4" t="n">
        <v>9</v>
      </c>
      <c r="E16924" s="4" t="s">
        <v>6050</v>
      </c>
      <c r="F16924" s="4" t="n">
        <v>29</v>
      </c>
      <c r="G16924" s="4" t="n">
        <v>5</v>
      </c>
      <c r="H16924" s="4" t="n">
        <v>4</v>
      </c>
      <c r="I16924" s="4" t="str">
        <v>×</v>
      </c>
      <c r="J16924" s="4"/>
      <c r="K16924" s="4"/>
      <c r="L16924" s="4"/>
      <c r="M16924" s="7" t="s">
        <v>6871</v>
      </c>
    </row>
    <row r="16925" customFormat="false" ht="15.75" hidden="false" customHeight="false" outlineLevel="0" collapsed="false">
      <c r="A16925" s="6" t="n">
        <f aca="false">DATE(2026,5,3)</f>
        <v>46145</v>
      </c>
      <c r="B16925" s="4" t="s">
        <v>4473</v>
      </c>
      <c r="C16925" s="4" t="n">
        <v>9</v>
      </c>
      <c r="D16925" s="4" t="n">
        <v>10</v>
      </c>
      <c r="E16925" s="4" t="s">
        <v>5209</v>
      </c>
      <c r="F16925" s="4" t="n">
        <v>37</v>
      </c>
      <c r="G16925" s="4" t="n">
        <v>3</v>
      </c>
      <c r="H16925" s="4" t="n">
        <v>4</v>
      </c>
      <c r="I16925" s="4" t="str">
        <v>×</v>
      </c>
      <c r="J16925" s="4"/>
      <c r="K16925" s="4"/>
      <c r="L16925" s="4"/>
      <c r="M16925" s="7" t="s">
        <v>6871</v>
      </c>
    </row>
    <row r="16926" customFormat="false" ht="15.75" hidden="false" customHeight="false" outlineLevel="0" collapsed="false">
      <c r="A16926" s="6" t="n">
        <f aca="false">DATE(2026,5,3)</f>
        <v>46145</v>
      </c>
      <c r="B16926" s="4" t="s">
        <v>4473</v>
      </c>
      <c r="C16926" s="4" t="n">
        <v>9</v>
      </c>
      <c r="D16926" s="4" t="n">
        <v>11</v>
      </c>
      <c r="E16926" s="4" t="s">
        <v>7508</v>
      </c>
      <c r="F16926" s="4" t="n">
        <v>17</v>
      </c>
      <c r="G16926" s="4" t="n">
        <v>8</v>
      </c>
      <c r="H16926" s="4" t="n">
        <v>4</v>
      </c>
      <c r="I16926" s="4" t="str">
        <v>×</v>
      </c>
      <c r="J16926" s="4"/>
      <c r="K16926" s="4"/>
      <c r="L16926" s="4"/>
      <c r="M16926" s="7" t="s">
        <v>6871</v>
      </c>
    </row>
    <row r="16927" customFormat="false" ht="15.75" hidden="false" customHeight="false" outlineLevel="0" collapsed="false">
      <c r="A16927" s="6" t="n">
        <f aca="false">DATE(2026,5,3)</f>
        <v>46145</v>
      </c>
      <c r="B16927" s="4" t="s">
        <v>4473</v>
      </c>
      <c r="C16927" s="4" t="n">
        <v>9</v>
      </c>
      <c r="D16927" s="4" t="n">
        <v>12</v>
      </c>
      <c r="E16927" s="4" t="s">
        <v>6216</v>
      </c>
      <c r="F16927" s="4" t="n">
        <v>17</v>
      </c>
      <c r="G16927" s="4" t="n">
        <v>9</v>
      </c>
      <c r="H16927" s="4" t="n">
        <v>4</v>
      </c>
      <c r="I16927" s="4" t="str">
        <v>×</v>
      </c>
      <c r="J16927" s="4"/>
      <c r="K16927" s="4"/>
      <c r="L16927" s="4"/>
      <c r="M16927" s="7" t="s">
        <v>6871</v>
      </c>
    </row>
    <row r="16928" customFormat="false" ht="15.75" hidden="false" customHeight="false" outlineLevel="0" collapsed="false">
      <c r="A16928" s="6" t="n">
        <f aca="false">DATE(2026,5,3)</f>
        <v>46145</v>
      </c>
      <c r="B16928" s="4" t="s">
        <v>4473</v>
      </c>
      <c r="C16928" s="4" t="n">
        <v>9</v>
      </c>
      <c r="D16928" s="4" t="n">
        <v>13</v>
      </c>
      <c r="E16928" s="4" t="s">
        <v>3875</v>
      </c>
      <c r="F16928" s="4" t="n">
        <v>4</v>
      </c>
      <c r="G16928" s="4" t="n">
        <v>17</v>
      </c>
      <c r="H16928" s="4" t="n">
        <v>4</v>
      </c>
      <c r="I16928" s="4" t="str">
        <v>×</v>
      </c>
      <c r="J16928" s="4"/>
      <c r="K16928" s="4"/>
      <c r="L16928" s="4"/>
      <c r="M16928" s="7" t="s">
        <v>6871</v>
      </c>
    </row>
    <row r="16929" customFormat="false" ht="15.75" hidden="false" customHeight="false" outlineLevel="0" collapsed="false">
      <c r="A16929" s="6" t="n">
        <f aca="false">DATE(2026,5,3)</f>
        <v>46145</v>
      </c>
      <c r="B16929" s="4" t="s">
        <v>4473</v>
      </c>
      <c r="C16929" s="4" t="n">
        <v>9</v>
      </c>
      <c r="D16929" s="4" t="n">
        <v>14</v>
      </c>
      <c r="E16929" s="4" t="s">
        <v>4660</v>
      </c>
      <c r="F16929" s="4" t="n">
        <v>8</v>
      </c>
      <c r="G16929" s="4" t="n">
        <v>14</v>
      </c>
      <c r="H16929" s="4" t="n">
        <v>4</v>
      </c>
      <c r="I16929" s="4" t="str">
        <v>×</v>
      </c>
      <c r="J16929" s="4"/>
      <c r="K16929" s="4"/>
      <c r="L16929" s="4"/>
      <c r="M16929" s="7" t="s">
        <v>6871</v>
      </c>
    </row>
    <row r="16930" customFormat="false" ht="15.75" hidden="false" customHeight="false" outlineLevel="0" collapsed="false">
      <c r="A16930" s="6" t="n">
        <f aca="false">DATE(2026,5,3)</f>
        <v>46145</v>
      </c>
      <c r="B16930" s="4" t="s">
        <v>4473</v>
      </c>
      <c r="C16930" s="4" t="n">
        <v>9</v>
      </c>
      <c r="D16930" s="4" t="n">
        <v>15</v>
      </c>
      <c r="E16930" s="4" t="s">
        <v>5211</v>
      </c>
      <c r="F16930" s="4" t="n">
        <v>37</v>
      </c>
      <c r="G16930" s="4" t="n">
        <v>4</v>
      </c>
      <c r="H16930" s="4" t="n">
        <v>4</v>
      </c>
      <c r="I16930" s="4" t="str">
        <v>×</v>
      </c>
      <c r="J16930" s="4"/>
      <c r="K16930" s="4"/>
      <c r="L16930" s="4"/>
      <c r="M16930" s="7" t="s">
        <v>6871</v>
      </c>
    </row>
    <row r="16931" customFormat="false" ht="15.75" hidden="false" customHeight="false" outlineLevel="0" collapsed="false">
      <c r="A16931" s="6" t="n">
        <f aca="false">DATE(2026,5,3)</f>
        <v>46145</v>
      </c>
      <c r="B16931" s="4" t="s">
        <v>4473</v>
      </c>
      <c r="C16931" s="4" t="n">
        <v>9</v>
      </c>
      <c r="D16931" s="4" t="n">
        <v>16</v>
      </c>
      <c r="E16931" s="4" t="s">
        <v>3868</v>
      </c>
      <c r="F16931" s="4" t="n">
        <v>17</v>
      </c>
      <c r="G16931" s="4" t="n">
        <v>10</v>
      </c>
      <c r="H16931" s="4" t="n">
        <v>4</v>
      </c>
      <c r="I16931" s="4" t="str">
        <v>×</v>
      </c>
      <c r="J16931" s="4"/>
      <c r="K16931" s="4"/>
      <c r="L16931" s="4"/>
      <c r="M16931" s="7" t="s">
        <v>6871</v>
      </c>
    </row>
    <row r="16932" customFormat="false" ht="15.75" hidden="false" customHeight="false" outlineLevel="0" collapsed="false">
      <c r="A16932" s="6" t="n">
        <f aca="false">DATE(2026,5,3)</f>
        <v>46145</v>
      </c>
      <c r="B16932" s="4" t="s">
        <v>4473</v>
      </c>
      <c r="C16932" s="4" t="n">
        <v>9</v>
      </c>
      <c r="D16932" s="4" t="n">
        <v>17</v>
      </c>
      <c r="E16932" s="4" t="s">
        <v>7509</v>
      </c>
      <c r="F16932" s="4" t="n">
        <v>23</v>
      </c>
      <c r="G16932" s="4" t="n">
        <v>6</v>
      </c>
      <c r="H16932" s="4" t="n">
        <v>2</v>
      </c>
      <c r="I16932" s="4" t="str">
        <v>○</v>
      </c>
      <c r="J16932" s="4" t="n">
        <v>290</v>
      </c>
      <c r="K16932" s="4"/>
      <c r="L16932" s="4"/>
      <c r="M16932" s="7" t="s">
        <v>6871</v>
      </c>
    </row>
    <row r="16933" customFormat="false" ht="15.75" hidden="false" customHeight="false" outlineLevel="0" collapsed="false">
      <c r="A16933" s="6" t="n">
        <f aca="false">DATE(2026,5,3)</f>
        <v>46145</v>
      </c>
      <c r="B16933" s="4" t="s">
        <v>4473</v>
      </c>
      <c r="C16933" s="4" t="n">
        <v>9</v>
      </c>
      <c r="D16933" s="4" t="n">
        <v>18</v>
      </c>
      <c r="E16933" s="4" t="s">
        <v>6493</v>
      </c>
      <c r="F16933" s="4" t="n">
        <v>8</v>
      </c>
      <c r="G16933" s="4" t="n">
        <v>15</v>
      </c>
      <c r="H16933" s="4" t="n">
        <v>4</v>
      </c>
      <c r="I16933" s="4" t="str">
        <v>×</v>
      </c>
      <c r="J16933" s="4"/>
      <c r="K16933" s="4"/>
      <c r="L16933" s="4"/>
      <c r="M16933" s="7" t="s">
        <v>6871</v>
      </c>
    </row>
    <row r="16934" customFormat="false" ht="15.75" hidden="false" customHeight="false" outlineLevel="0" collapsed="false">
      <c r="A16934" s="6" t="n">
        <f aca="false">DATE(2026,5,3)</f>
        <v>46145</v>
      </c>
      <c r="B16934" s="4" t="s">
        <v>4473</v>
      </c>
      <c r="C16934" s="4" t="n">
        <v>10</v>
      </c>
      <c r="D16934" s="4" t="n">
        <v>1</v>
      </c>
      <c r="E16934" s="4" t="s">
        <v>7510</v>
      </c>
      <c r="F16934" s="4" t="n">
        <v>6</v>
      </c>
      <c r="G16934" s="4" t="n">
        <v>11</v>
      </c>
      <c r="H16934" s="4" t="n">
        <v>4</v>
      </c>
      <c r="I16934" s="4" t="str">
        <v>×</v>
      </c>
      <c r="J16934" s="4"/>
      <c r="K16934" s="4"/>
      <c r="L16934" s="4"/>
      <c r="M16934" s="7" t="s">
        <v>6871</v>
      </c>
    </row>
    <row r="16935" customFormat="false" ht="15.75" hidden="false" customHeight="false" outlineLevel="0" collapsed="false">
      <c r="A16935" s="6" t="n">
        <f aca="false">DATE(2026,5,3)</f>
        <v>46145</v>
      </c>
      <c r="B16935" s="4" t="s">
        <v>4473</v>
      </c>
      <c r="C16935" s="4" t="n">
        <v>10</v>
      </c>
      <c r="D16935" s="4" t="n">
        <v>2</v>
      </c>
      <c r="E16935" s="4" t="s">
        <v>2538</v>
      </c>
      <c r="F16935" s="4" t="n">
        <v>17</v>
      </c>
      <c r="G16935" s="4" t="n">
        <v>5</v>
      </c>
      <c r="H16935" s="4" t="n">
        <v>4</v>
      </c>
      <c r="I16935" s="4" t="str">
        <v>×</v>
      </c>
      <c r="J16935" s="4"/>
      <c r="K16935" s="4"/>
      <c r="L16935" s="4"/>
      <c r="M16935" s="7" t="s">
        <v>6871</v>
      </c>
    </row>
    <row r="16936" customFormat="false" ht="15.75" hidden="false" customHeight="false" outlineLevel="0" collapsed="false">
      <c r="A16936" s="6" t="n">
        <f aca="false">DATE(2026,5,3)</f>
        <v>46145</v>
      </c>
      <c r="B16936" s="4" t="s">
        <v>4473</v>
      </c>
      <c r="C16936" s="4" t="n">
        <v>10</v>
      </c>
      <c r="D16936" s="4" t="n">
        <v>3</v>
      </c>
      <c r="E16936" s="4" t="s">
        <v>7511</v>
      </c>
      <c r="F16936" s="4" t="n">
        <v>2</v>
      </c>
      <c r="G16936" s="4" t="n">
        <v>15</v>
      </c>
      <c r="H16936" s="4" t="n">
        <v>4</v>
      </c>
      <c r="I16936" s="4" t="str">
        <v>×</v>
      </c>
      <c r="J16936" s="4"/>
      <c r="K16936" s="4"/>
      <c r="L16936" s="4"/>
      <c r="M16936" s="7" t="s">
        <v>6871</v>
      </c>
    </row>
    <row r="16937" customFormat="false" ht="15.75" hidden="false" customHeight="false" outlineLevel="0" collapsed="false">
      <c r="A16937" s="6" t="n">
        <f aca="false">DATE(2026,5,3)</f>
        <v>46145</v>
      </c>
      <c r="B16937" s="4" t="s">
        <v>4473</v>
      </c>
      <c r="C16937" s="4" t="n">
        <v>10</v>
      </c>
      <c r="D16937" s="4" t="n">
        <v>4</v>
      </c>
      <c r="E16937" s="4" t="s">
        <v>7512</v>
      </c>
      <c r="F16937" s="4" t="n">
        <v>13</v>
      </c>
      <c r="G16937" s="4" t="n">
        <v>7</v>
      </c>
      <c r="H16937" s="4" t="n">
        <v>4</v>
      </c>
      <c r="I16937" s="4" t="str">
        <v>×</v>
      </c>
      <c r="J16937" s="4"/>
      <c r="K16937" s="4"/>
      <c r="L16937" s="4"/>
      <c r="M16937" s="7" t="s">
        <v>6871</v>
      </c>
    </row>
    <row r="16938" customFormat="false" ht="15.75" hidden="false" customHeight="false" outlineLevel="0" collapsed="false">
      <c r="A16938" s="6" t="n">
        <f aca="false">DATE(2026,5,3)</f>
        <v>46145</v>
      </c>
      <c r="B16938" s="4" t="s">
        <v>4473</v>
      </c>
      <c r="C16938" s="4" t="n">
        <v>10</v>
      </c>
      <c r="D16938" s="4" t="n">
        <v>5</v>
      </c>
      <c r="E16938" s="4" t="s">
        <v>3941</v>
      </c>
      <c r="F16938" s="4" t="n">
        <v>39</v>
      </c>
      <c r="G16938" s="4" t="n">
        <v>2</v>
      </c>
      <c r="H16938" s="4" t="n">
        <v>4</v>
      </c>
      <c r="I16938" s="4" t="str">
        <v>×</v>
      </c>
      <c r="J16938" s="4"/>
      <c r="K16938" s="4"/>
      <c r="L16938" s="4"/>
      <c r="M16938" s="7" t="s">
        <v>6871</v>
      </c>
    </row>
    <row r="16939" customFormat="false" ht="15.75" hidden="false" customHeight="false" outlineLevel="0" collapsed="false">
      <c r="A16939" s="6" t="n">
        <f aca="false">DATE(2026,5,3)</f>
        <v>46145</v>
      </c>
      <c r="B16939" s="4" t="s">
        <v>4473</v>
      </c>
      <c r="C16939" s="4" t="n">
        <v>10</v>
      </c>
      <c r="D16939" s="4" t="n">
        <v>6</v>
      </c>
      <c r="E16939" s="4" t="s">
        <v>7513</v>
      </c>
      <c r="F16939" s="4" t="n">
        <v>4</v>
      </c>
      <c r="G16939" s="4" t="n">
        <v>13</v>
      </c>
      <c r="H16939" s="4" t="n">
        <v>4</v>
      </c>
      <c r="I16939" s="4" t="str">
        <v>×</v>
      </c>
      <c r="J16939" s="4"/>
      <c r="K16939" s="4"/>
      <c r="L16939" s="4"/>
      <c r="M16939" s="7" t="s">
        <v>6871</v>
      </c>
    </row>
    <row r="16940" customFormat="false" ht="15.75" hidden="false" customHeight="false" outlineLevel="0" collapsed="false">
      <c r="A16940" s="6" t="n">
        <f aca="false">DATE(2026,5,3)</f>
        <v>46145</v>
      </c>
      <c r="B16940" s="4" t="s">
        <v>4473</v>
      </c>
      <c r="C16940" s="4" t="n">
        <v>10</v>
      </c>
      <c r="D16940" s="4" t="n">
        <v>7</v>
      </c>
      <c r="E16940" s="4" t="s">
        <v>7514</v>
      </c>
      <c r="F16940" s="4" t="n">
        <v>3</v>
      </c>
      <c r="G16940" s="4" t="n">
        <v>14</v>
      </c>
      <c r="H16940" s="4" t="n">
        <v>2</v>
      </c>
      <c r="I16940" s="4" t="str">
        <v>○</v>
      </c>
      <c r="J16940" s="4" t="n">
        <v>2210</v>
      </c>
      <c r="K16940" s="4"/>
      <c r="L16940" s="4"/>
      <c r="M16940" s="7" t="s">
        <v>6871</v>
      </c>
    </row>
    <row r="16941" customFormat="false" ht="15.75" hidden="false" customHeight="false" outlineLevel="0" collapsed="false">
      <c r="A16941" s="6" t="n">
        <f aca="false">DATE(2026,5,3)</f>
        <v>46145</v>
      </c>
      <c r="B16941" s="4" t="s">
        <v>4473</v>
      </c>
      <c r="C16941" s="4" t="n">
        <v>10</v>
      </c>
      <c r="D16941" s="4" t="n">
        <v>8</v>
      </c>
      <c r="E16941" s="4" t="s">
        <v>3942</v>
      </c>
      <c r="F16941" s="4" t="n">
        <v>50</v>
      </c>
      <c r="G16941" s="4" t="n">
        <v>1</v>
      </c>
      <c r="H16941" s="4" t="n">
        <v>4</v>
      </c>
      <c r="I16941" s="4" t="str">
        <v>×</v>
      </c>
      <c r="J16941" s="4"/>
      <c r="K16941" s="4"/>
      <c r="L16941" s="4"/>
      <c r="M16941" s="7" t="s">
        <v>6871</v>
      </c>
    </row>
    <row r="16942" customFormat="false" ht="15.75" hidden="false" customHeight="false" outlineLevel="0" collapsed="false">
      <c r="A16942" s="6" t="n">
        <f aca="false">DATE(2026,5,3)</f>
        <v>46145</v>
      </c>
      <c r="B16942" s="4" t="s">
        <v>4473</v>
      </c>
      <c r="C16942" s="4" t="n">
        <v>10</v>
      </c>
      <c r="D16942" s="4" t="n">
        <v>9</v>
      </c>
      <c r="E16942" s="4" t="s">
        <v>5068</v>
      </c>
      <c r="F16942" s="4" t="n">
        <v>34</v>
      </c>
      <c r="G16942" s="4" t="n">
        <v>3</v>
      </c>
      <c r="H16942" s="4" t="n">
        <v>4</v>
      </c>
      <c r="I16942" s="4" t="str">
        <v>×</v>
      </c>
      <c r="J16942" s="4"/>
      <c r="K16942" s="4"/>
      <c r="L16942" s="4"/>
      <c r="M16942" s="7" t="s">
        <v>6871</v>
      </c>
    </row>
    <row r="16943" customFormat="false" ht="15.75" hidden="false" customHeight="false" outlineLevel="0" collapsed="false">
      <c r="A16943" s="6" t="n">
        <f aca="false">DATE(2026,5,3)</f>
        <v>46145</v>
      </c>
      <c r="B16943" s="4" t="s">
        <v>4473</v>
      </c>
      <c r="C16943" s="4" t="n">
        <v>10</v>
      </c>
      <c r="D16943" s="4" t="n">
        <v>10</v>
      </c>
      <c r="E16943" s="4" t="s">
        <v>7515</v>
      </c>
      <c r="F16943" s="4" t="n">
        <v>10</v>
      </c>
      <c r="G16943" s="4" t="n">
        <v>9</v>
      </c>
      <c r="H16943" s="4" t="n">
        <v>4</v>
      </c>
      <c r="I16943" s="4" t="str">
        <v>×</v>
      </c>
      <c r="J16943" s="4"/>
      <c r="K16943" s="4"/>
      <c r="L16943" s="4"/>
      <c r="M16943" s="7" t="s">
        <v>6871</v>
      </c>
    </row>
    <row r="16944" customFormat="false" ht="15.75" hidden="false" customHeight="false" outlineLevel="0" collapsed="false">
      <c r="A16944" s="6" t="n">
        <f aca="false">DATE(2026,5,3)</f>
        <v>46145</v>
      </c>
      <c r="B16944" s="4" t="s">
        <v>4473</v>
      </c>
      <c r="C16944" s="4" t="n">
        <v>10</v>
      </c>
      <c r="D16944" s="4" t="n">
        <v>11</v>
      </c>
      <c r="E16944" s="4" t="s">
        <v>3103</v>
      </c>
      <c r="F16944" s="4" t="n">
        <v>13</v>
      </c>
      <c r="G16944" s="4" t="n">
        <v>8</v>
      </c>
      <c r="H16944" s="4" t="n">
        <v>4</v>
      </c>
      <c r="I16944" s="4" t="str">
        <v>×</v>
      </c>
      <c r="J16944" s="4"/>
      <c r="K16944" s="4"/>
      <c r="L16944" s="4"/>
      <c r="M16944" s="7" t="s">
        <v>6871</v>
      </c>
    </row>
    <row r="16945" customFormat="false" ht="15.75" hidden="false" customHeight="false" outlineLevel="0" collapsed="false">
      <c r="A16945" s="6" t="n">
        <f aca="false">DATE(2026,5,3)</f>
        <v>46145</v>
      </c>
      <c r="B16945" s="4" t="s">
        <v>4473</v>
      </c>
      <c r="C16945" s="4" t="n">
        <v>10</v>
      </c>
      <c r="D16945" s="4" t="n">
        <v>12</v>
      </c>
      <c r="E16945" s="4" t="s">
        <v>7516</v>
      </c>
      <c r="F16945" s="4" t="n">
        <v>15</v>
      </c>
      <c r="G16945" s="4" t="n">
        <v>6</v>
      </c>
      <c r="H16945" s="4" t="n">
        <v>4</v>
      </c>
      <c r="I16945" s="4" t="str">
        <v>×</v>
      </c>
      <c r="J16945" s="4"/>
      <c r="K16945" s="4"/>
      <c r="L16945" s="4"/>
      <c r="M16945" s="7" t="s">
        <v>6871</v>
      </c>
    </row>
    <row r="16946" customFormat="false" ht="15.75" hidden="false" customHeight="false" outlineLevel="0" collapsed="false">
      <c r="A16946" s="6" t="n">
        <f aca="false">DATE(2026,5,3)</f>
        <v>46145</v>
      </c>
      <c r="B16946" s="4" t="s">
        <v>4473</v>
      </c>
      <c r="C16946" s="4" t="n">
        <v>10</v>
      </c>
      <c r="D16946" s="4" t="n">
        <v>13</v>
      </c>
      <c r="E16946" s="4" t="s">
        <v>5072</v>
      </c>
      <c r="F16946" s="4" t="n">
        <v>2</v>
      </c>
      <c r="G16946" s="4" t="n">
        <v>16</v>
      </c>
      <c r="H16946" s="4" t="n">
        <v>4</v>
      </c>
      <c r="I16946" s="4" t="str">
        <v>×</v>
      </c>
      <c r="J16946" s="4"/>
      <c r="K16946" s="4"/>
      <c r="L16946" s="4"/>
      <c r="M16946" s="7" t="s">
        <v>6871</v>
      </c>
    </row>
    <row r="16947" customFormat="false" ht="15.75" hidden="false" customHeight="false" outlineLevel="0" collapsed="false">
      <c r="A16947" s="6" t="n">
        <f aca="false">DATE(2026,5,3)</f>
        <v>46145</v>
      </c>
      <c r="B16947" s="4" t="s">
        <v>4473</v>
      </c>
      <c r="C16947" s="4" t="n">
        <v>10</v>
      </c>
      <c r="D16947" s="4" t="n">
        <v>14</v>
      </c>
      <c r="E16947" s="4" t="s">
        <v>7517</v>
      </c>
      <c r="F16947" s="4" t="n">
        <v>20</v>
      </c>
      <c r="G16947" s="4" t="n">
        <v>4</v>
      </c>
      <c r="H16947" s="4" t="n">
        <v>1</v>
      </c>
      <c r="I16947" s="4" t="str">
        <v>○</v>
      </c>
      <c r="J16947" s="4" t="n">
        <v>300</v>
      </c>
      <c r="K16947" s="4"/>
      <c r="L16947" s="4"/>
      <c r="M16947" s="7" t="s">
        <v>6871</v>
      </c>
    </row>
    <row r="16948" customFormat="false" ht="15.75" hidden="false" customHeight="false" outlineLevel="0" collapsed="false">
      <c r="A16948" s="6" t="n">
        <f aca="false">DATE(2026,5,3)</f>
        <v>46145</v>
      </c>
      <c r="B16948" s="4" t="s">
        <v>4473</v>
      </c>
      <c r="C16948" s="4" t="n">
        <v>10</v>
      </c>
      <c r="D16948" s="4" t="n">
        <v>15</v>
      </c>
      <c r="E16948" s="4" t="s">
        <v>7518</v>
      </c>
      <c r="F16948" s="4" t="n">
        <v>8</v>
      </c>
      <c r="G16948" s="4" t="n">
        <v>10</v>
      </c>
      <c r="H16948" s="4" t="n">
        <v>3</v>
      </c>
      <c r="I16948" s="4" t="str">
        <v>○</v>
      </c>
      <c r="J16948" s="4" t="n">
        <v>470</v>
      </c>
      <c r="K16948" s="4"/>
      <c r="L16948" s="4"/>
      <c r="M16948" s="7" t="s">
        <v>6871</v>
      </c>
    </row>
    <row r="16949" customFormat="false" ht="15.75" hidden="false" customHeight="false" outlineLevel="0" collapsed="false">
      <c r="A16949" s="6" t="n">
        <f aca="false">DATE(2026,5,3)</f>
        <v>46145</v>
      </c>
      <c r="B16949" s="4" t="s">
        <v>4473</v>
      </c>
      <c r="C16949" s="4" t="n">
        <v>10</v>
      </c>
      <c r="D16949" s="4" t="n">
        <v>16</v>
      </c>
      <c r="E16949" s="4" t="s">
        <v>5489</v>
      </c>
      <c r="F16949" s="4" t="n">
        <v>6</v>
      </c>
      <c r="G16949" s="4" t="n">
        <v>12</v>
      </c>
      <c r="H16949" s="4" t="n">
        <v>4</v>
      </c>
      <c r="I16949" s="4" t="str">
        <v>×</v>
      </c>
      <c r="J16949" s="4"/>
      <c r="K16949" s="4"/>
      <c r="L16949" s="4"/>
      <c r="M16949" s="7" t="s">
        <v>6871</v>
      </c>
    </row>
    <row r="16950" customFormat="false" ht="15.75" hidden="false" customHeight="false" outlineLevel="0" collapsed="false">
      <c r="A16950" s="6" t="n">
        <f aca="false">DATE(2026,5,3)</f>
        <v>46145</v>
      </c>
      <c r="B16950" s="4" t="s">
        <v>4473</v>
      </c>
      <c r="C16950" s="4" t="n">
        <v>11</v>
      </c>
      <c r="D16950" s="4" t="n">
        <v>1</v>
      </c>
      <c r="E16950" s="4" t="s">
        <v>3769</v>
      </c>
      <c r="F16950" s="4" t="n">
        <v>13</v>
      </c>
      <c r="G16950" s="4" t="n">
        <v>13</v>
      </c>
      <c r="H16950" s="4" t="n">
        <v>4</v>
      </c>
      <c r="I16950" s="4" t="str">
        <v>×</v>
      </c>
      <c r="J16950" s="4"/>
      <c r="K16950" s="4"/>
      <c r="L16950" s="4"/>
      <c r="M16950" s="7" t="s">
        <v>6871</v>
      </c>
    </row>
    <row r="16951" customFormat="false" ht="15.75" hidden="false" customHeight="false" outlineLevel="0" collapsed="false">
      <c r="A16951" s="6" t="n">
        <f aca="false">DATE(2026,5,3)</f>
        <v>46145</v>
      </c>
      <c r="B16951" s="4" t="s">
        <v>4473</v>
      </c>
      <c r="C16951" s="4" t="n">
        <v>11</v>
      </c>
      <c r="D16951" s="4" t="n">
        <v>2</v>
      </c>
      <c r="E16951" s="4" t="s">
        <v>689</v>
      </c>
      <c r="F16951" s="4" t="n">
        <v>29</v>
      </c>
      <c r="G16951" s="4" t="n">
        <v>10</v>
      </c>
      <c r="H16951" s="4" t="n">
        <v>4</v>
      </c>
      <c r="I16951" s="4" t="str">
        <v>×</v>
      </c>
      <c r="J16951" s="4"/>
      <c r="K16951" s="4"/>
      <c r="L16951" s="4"/>
      <c r="M16951" s="7" t="s">
        <v>6871</v>
      </c>
    </row>
    <row r="16952" customFormat="false" ht="15.75" hidden="false" customHeight="false" outlineLevel="0" collapsed="false">
      <c r="A16952" s="6" t="n">
        <f aca="false">DATE(2026,5,3)</f>
        <v>46145</v>
      </c>
      <c r="B16952" s="4" t="s">
        <v>4473</v>
      </c>
      <c r="C16952" s="4" t="n">
        <v>11</v>
      </c>
      <c r="D16952" s="4" t="n">
        <v>3</v>
      </c>
      <c r="E16952" s="4" t="s">
        <v>1495</v>
      </c>
      <c r="F16952" s="4" t="n">
        <v>37</v>
      </c>
      <c r="G16952" s="4" t="n">
        <v>4</v>
      </c>
      <c r="H16952" s="4" t="n">
        <v>4</v>
      </c>
      <c r="I16952" s="4" t="str">
        <v>×</v>
      </c>
      <c r="J16952" s="4"/>
      <c r="K16952" s="4"/>
      <c r="L16952" s="4"/>
      <c r="M16952" s="7" t="s">
        <v>6871</v>
      </c>
    </row>
    <row r="16953" customFormat="false" ht="15.75" hidden="false" customHeight="false" outlineLevel="0" collapsed="false">
      <c r="A16953" s="6" t="n">
        <f aca="false">DATE(2026,5,3)</f>
        <v>46145</v>
      </c>
      <c r="B16953" s="4" t="s">
        <v>4473</v>
      </c>
      <c r="C16953" s="4" t="n">
        <v>11</v>
      </c>
      <c r="D16953" s="4" t="n">
        <v>4</v>
      </c>
      <c r="E16953" s="4" t="s">
        <v>852</v>
      </c>
      <c r="F16953" s="4" t="n">
        <v>47</v>
      </c>
      <c r="G16953" s="4" t="n">
        <v>3</v>
      </c>
      <c r="H16953" s="4" t="n">
        <v>4</v>
      </c>
      <c r="I16953" s="4" t="str">
        <v>×</v>
      </c>
      <c r="J16953" s="4"/>
      <c r="K16953" s="4"/>
      <c r="L16953" s="4"/>
      <c r="M16953" s="7" t="s">
        <v>6871</v>
      </c>
    </row>
    <row r="16954" customFormat="false" ht="15.75" hidden="false" customHeight="false" outlineLevel="0" collapsed="false">
      <c r="A16954" s="6" t="n">
        <f aca="false">DATE(2026,5,3)</f>
        <v>46145</v>
      </c>
      <c r="B16954" s="4" t="s">
        <v>4473</v>
      </c>
      <c r="C16954" s="4" t="n">
        <v>11</v>
      </c>
      <c r="D16954" s="4" t="n">
        <v>5</v>
      </c>
      <c r="E16954" s="4" t="s">
        <v>3772</v>
      </c>
      <c r="F16954" s="4" t="n">
        <v>34</v>
      </c>
      <c r="G16954" s="4" t="n">
        <v>6</v>
      </c>
      <c r="H16954" s="4" t="n">
        <v>4</v>
      </c>
      <c r="I16954" s="4" t="str">
        <v>×</v>
      </c>
      <c r="J16954" s="4"/>
      <c r="K16954" s="4"/>
      <c r="L16954" s="4"/>
      <c r="M16954" s="7" t="s">
        <v>6871</v>
      </c>
    </row>
    <row r="16955" customFormat="false" ht="15.75" hidden="false" customHeight="false" outlineLevel="0" collapsed="false">
      <c r="A16955" s="6" t="n">
        <f aca="false">DATE(2026,5,3)</f>
        <v>46145</v>
      </c>
      <c r="B16955" s="4" t="s">
        <v>4473</v>
      </c>
      <c r="C16955" s="4" t="n">
        <v>11</v>
      </c>
      <c r="D16955" s="4" t="n">
        <v>6</v>
      </c>
      <c r="E16955" s="4" t="s">
        <v>7519</v>
      </c>
      <c r="F16955" s="4" t="n">
        <v>10</v>
      </c>
      <c r="G16955" s="4" t="n">
        <v>14</v>
      </c>
      <c r="H16955" s="4" t="n">
        <v>4</v>
      </c>
      <c r="I16955" s="4" t="str">
        <v>×</v>
      </c>
      <c r="J16955" s="4"/>
      <c r="K16955" s="4"/>
      <c r="L16955" s="4"/>
      <c r="M16955" s="7" t="s">
        <v>6871</v>
      </c>
    </row>
    <row r="16956" customFormat="false" ht="15.75" hidden="false" customHeight="false" outlineLevel="0" collapsed="false">
      <c r="A16956" s="6" t="n">
        <f aca="false">DATE(2026,5,3)</f>
        <v>46145</v>
      </c>
      <c r="B16956" s="4" t="s">
        <v>4473</v>
      </c>
      <c r="C16956" s="4" t="n">
        <v>11</v>
      </c>
      <c r="D16956" s="4" t="n">
        <v>7</v>
      </c>
      <c r="E16956" s="4" t="s">
        <v>7520</v>
      </c>
      <c r="F16956" s="4" t="n">
        <v>29</v>
      </c>
      <c r="G16956" s="4" t="n">
        <v>11</v>
      </c>
      <c r="H16956" s="4" t="n">
        <v>4</v>
      </c>
      <c r="I16956" s="4" t="str">
        <v>×</v>
      </c>
      <c r="J16956" s="4"/>
      <c r="K16956" s="4"/>
      <c r="L16956" s="4"/>
      <c r="M16956" s="7" t="s">
        <v>6871</v>
      </c>
    </row>
    <row r="16957" customFormat="false" ht="15.75" hidden="false" customHeight="false" outlineLevel="0" collapsed="false">
      <c r="A16957" s="6" t="n">
        <f aca="false">DATE(2026,5,3)</f>
        <v>46145</v>
      </c>
      <c r="B16957" s="4" t="s">
        <v>4473</v>
      </c>
      <c r="C16957" s="4" t="n">
        <v>11</v>
      </c>
      <c r="D16957" s="4" t="n">
        <v>8</v>
      </c>
      <c r="E16957" s="4" t="s">
        <v>7521</v>
      </c>
      <c r="F16957" s="4" t="n">
        <v>31</v>
      </c>
      <c r="G16957" s="4" t="n">
        <v>7</v>
      </c>
      <c r="H16957" s="4" t="n">
        <v>4</v>
      </c>
      <c r="I16957" s="4" t="str">
        <v>×</v>
      </c>
      <c r="J16957" s="4"/>
      <c r="K16957" s="4"/>
      <c r="L16957" s="4"/>
      <c r="M16957" s="7" t="s">
        <v>6871</v>
      </c>
    </row>
    <row r="16958" customFormat="false" ht="15.75" hidden="false" customHeight="false" outlineLevel="0" collapsed="false">
      <c r="A16958" s="6" t="n">
        <f aca="false">DATE(2026,5,3)</f>
        <v>46145</v>
      </c>
      <c r="B16958" s="4" t="s">
        <v>4473</v>
      </c>
      <c r="C16958" s="4" t="n">
        <v>11</v>
      </c>
      <c r="D16958" s="4" t="n">
        <v>9</v>
      </c>
      <c r="E16958" s="4" t="s">
        <v>6259</v>
      </c>
      <c r="F16958" s="4" t="n">
        <v>6</v>
      </c>
      <c r="G16958" s="4" t="n">
        <v>15</v>
      </c>
      <c r="H16958" s="4" t="n">
        <v>4</v>
      </c>
      <c r="I16958" s="4" t="str">
        <v>×</v>
      </c>
      <c r="J16958" s="4"/>
      <c r="K16958" s="4"/>
      <c r="L16958" s="4"/>
      <c r="M16958" s="7" t="s">
        <v>6871</v>
      </c>
    </row>
    <row r="16959" customFormat="false" ht="15.75" hidden="false" customHeight="false" outlineLevel="0" collapsed="false">
      <c r="A16959" s="6" t="n">
        <f aca="false">DATE(2026,5,3)</f>
        <v>46145</v>
      </c>
      <c r="B16959" s="4" t="s">
        <v>4473</v>
      </c>
      <c r="C16959" s="4" t="n">
        <v>11</v>
      </c>
      <c r="D16959" s="4" t="n">
        <v>10</v>
      </c>
      <c r="E16959" s="4" t="s">
        <v>7522</v>
      </c>
      <c r="F16959" s="4" t="n">
        <v>56</v>
      </c>
      <c r="G16959" s="4" t="n">
        <v>1</v>
      </c>
      <c r="H16959" s="4" t="n">
        <v>3</v>
      </c>
      <c r="I16959" s="4" t="str">
        <v>○</v>
      </c>
      <c r="J16959" s="4" t="n">
        <v>240</v>
      </c>
      <c r="K16959" s="4"/>
      <c r="L16959" s="4"/>
      <c r="M16959" s="7" t="s">
        <v>6871</v>
      </c>
    </row>
    <row r="16960" customFormat="false" ht="15.75" hidden="false" customHeight="false" outlineLevel="0" collapsed="false">
      <c r="A16960" s="6" t="n">
        <f aca="false">DATE(2026,5,3)</f>
        <v>46145</v>
      </c>
      <c r="B16960" s="4" t="s">
        <v>4473</v>
      </c>
      <c r="C16960" s="4" t="n">
        <v>11</v>
      </c>
      <c r="D16960" s="4" t="n">
        <v>11</v>
      </c>
      <c r="E16960" s="4" t="s">
        <v>7523</v>
      </c>
      <c r="F16960" s="4" t="n">
        <v>50</v>
      </c>
      <c r="G16960" s="4" t="n">
        <v>2</v>
      </c>
      <c r="H16960" s="4" t="n">
        <v>4</v>
      </c>
      <c r="I16960" s="4" t="str">
        <v>×</v>
      </c>
      <c r="J16960" s="4"/>
      <c r="K16960" s="4"/>
      <c r="L16960" s="4"/>
      <c r="M16960" s="7" t="s">
        <v>6871</v>
      </c>
    </row>
    <row r="16961" customFormat="false" ht="15.75" hidden="false" customHeight="false" outlineLevel="0" collapsed="false">
      <c r="A16961" s="6" t="n">
        <f aca="false">DATE(2026,5,3)</f>
        <v>46145</v>
      </c>
      <c r="B16961" s="4" t="s">
        <v>4473</v>
      </c>
      <c r="C16961" s="4" t="n">
        <v>11</v>
      </c>
      <c r="D16961" s="4" t="n">
        <v>12</v>
      </c>
      <c r="E16961" s="4" t="s">
        <v>6064</v>
      </c>
      <c r="F16961" s="4" t="n">
        <v>17</v>
      </c>
      <c r="G16961" s="4" t="n">
        <v>12</v>
      </c>
      <c r="H16961" s="4" t="n">
        <v>1</v>
      </c>
      <c r="I16961" s="4" t="str">
        <v>○</v>
      </c>
      <c r="J16961" s="4" t="n">
        <v>750</v>
      </c>
      <c r="K16961" s="4"/>
      <c r="L16961" s="4"/>
      <c r="M16961" s="7" t="s">
        <v>6871</v>
      </c>
    </row>
    <row r="16962" customFormat="false" ht="15.75" hidden="false" customHeight="false" outlineLevel="0" collapsed="false">
      <c r="A16962" s="6" t="n">
        <f aca="false">DATE(2026,5,3)</f>
        <v>46145</v>
      </c>
      <c r="B16962" s="4" t="s">
        <v>4473</v>
      </c>
      <c r="C16962" s="4" t="n">
        <v>11</v>
      </c>
      <c r="D16962" s="4" t="n">
        <v>13</v>
      </c>
      <c r="E16962" s="4" t="s">
        <v>5181</v>
      </c>
      <c r="F16962" s="4" t="n">
        <v>37</v>
      </c>
      <c r="G16962" s="4" t="n">
        <v>5</v>
      </c>
      <c r="H16962" s="4" t="n">
        <v>2</v>
      </c>
      <c r="I16962" s="4" t="str">
        <v>○</v>
      </c>
      <c r="J16962" s="4" t="n">
        <v>360</v>
      </c>
      <c r="K16962" s="4"/>
      <c r="L16962" s="4"/>
      <c r="M16962" s="7" t="s">
        <v>6871</v>
      </c>
    </row>
    <row r="16963" customFormat="false" ht="15.75" hidden="false" customHeight="false" outlineLevel="0" collapsed="false">
      <c r="A16963" s="6" t="n">
        <f aca="false">DATE(2026,5,3)</f>
        <v>46145</v>
      </c>
      <c r="B16963" s="4" t="s">
        <v>4473</v>
      </c>
      <c r="C16963" s="4" t="n">
        <v>11</v>
      </c>
      <c r="D16963" s="4" t="n">
        <v>14</v>
      </c>
      <c r="E16963" s="4" t="s">
        <v>1715</v>
      </c>
      <c r="F16963" s="4" t="n">
        <v>31</v>
      </c>
      <c r="G16963" s="4" t="n">
        <v>8</v>
      </c>
      <c r="H16963" s="4" t="n">
        <v>4</v>
      </c>
      <c r="I16963" s="4" t="str">
        <v>×</v>
      </c>
      <c r="J16963" s="4"/>
      <c r="K16963" s="4"/>
      <c r="L16963" s="4"/>
      <c r="M16963" s="7" t="s">
        <v>6871</v>
      </c>
    </row>
    <row r="16964" customFormat="false" ht="15.75" hidden="false" customHeight="false" outlineLevel="0" collapsed="false">
      <c r="A16964" s="6" t="n">
        <f aca="false">DATE(2026,5,3)</f>
        <v>46145</v>
      </c>
      <c r="B16964" s="4" t="s">
        <v>4473</v>
      </c>
      <c r="C16964" s="4" t="n">
        <v>11</v>
      </c>
      <c r="D16964" s="4" t="n">
        <v>15</v>
      </c>
      <c r="E16964" s="4" t="s">
        <v>5178</v>
      </c>
      <c r="F16964" s="4" t="n">
        <v>31</v>
      </c>
      <c r="G16964" s="4" t="n">
        <v>9</v>
      </c>
      <c r="H16964" s="4" t="n">
        <v>4</v>
      </c>
      <c r="I16964" s="4" t="str">
        <v>×</v>
      </c>
      <c r="J16964" s="4"/>
      <c r="K16964" s="4"/>
      <c r="L16964" s="4"/>
      <c r="M16964" s="7" t="s">
        <v>6871</v>
      </c>
    </row>
    <row r="16965" customFormat="false" ht="15.75" hidden="false" customHeight="false" outlineLevel="0" collapsed="false">
      <c r="A16965" s="6" t="n">
        <f aca="false">DATE(2026,5,3)</f>
        <v>46145</v>
      </c>
      <c r="B16965" s="4" t="s">
        <v>4473</v>
      </c>
      <c r="C16965" s="4" t="n">
        <v>12</v>
      </c>
      <c r="D16965" s="4" t="n">
        <v>1</v>
      </c>
      <c r="E16965" s="4" t="s">
        <v>6713</v>
      </c>
      <c r="F16965" s="4" t="n">
        <v>8</v>
      </c>
      <c r="G16965" s="4" t="n">
        <v>10</v>
      </c>
      <c r="H16965" s="4" t="n">
        <v>4</v>
      </c>
      <c r="I16965" s="4" t="str">
        <v>×</v>
      </c>
      <c r="J16965" s="4"/>
      <c r="K16965" s="4"/>
      <c r="L16965" s="4"/>
      <c r="M16965" s="7" t="s">
        <v>6871</v>
      </c>
    </row>
    <row r="16966" customFormat="false" ht="15.75" hidden="false" customHeight="false" outlineLevel="0" collapsed="false">
      <c r="A16966" s="6" t="n">
        <f aca="false">DATE(2026,5,3)</f>
        <v>46145</v>
      </c>
      <c r="B16966" s="4" t="s">
        <v>4473</v>
      </c>
      <c r="C16966" s="4" t="n">
        <v>12</v>
      </c>
      <c r="D16966" s="4" t="n">
        <v>2</v>
      </c>
      <c r="E16966" s="4" t="s">
        <v>7524</v>
      </c>
      <c r="F16966" s="4" t="n">
        <v>13</v>
      </c>
      <c r="G16966" s="4" t="n">
        <v>9</v>
      </c>
      <c r="H16966" s="4" t="n">
        <v>4</v>
      </c>
      <c r="I16966" s="4" t="str">
        <v>×</v>
      </c>
      <c r="J16966" s="4"/>
      <c r="K16966" s="4"/>
      <c r="L16966" s="4"/>
      <c r="M16966" s="7" t="s">
        <v>6871</v>
      </c>
    </row>
    <row r="16967" customFormat="false" ht="15.75" hidden="false" customHeight="false" outlineLevel="0" collapsed="false">
      <c r="A16967" s="6" t="n">
        <f aca="false">DATE(2026,5,3)</f>
        <v>46145</v>
      </c>
      <c r="B16967" s="4" t="s">
        <v>4473</v>
      </c>
      <c r="C16967" s="4" t="n">
        <v>12</v>
      </c>
      <c r="D16967" s="4" t="n">
        <v>3</v>
      </c>
      <c r="E16967" s="4" t="s">
        <v>7525</v>
      </c>
      <c r="F16967" s="4" t="n">
        <v>4</v>
      </c>
      <c r="G16967" s="4" t="n">
        <v>13</v>
      </c>
      <c r="H16967" s="4" t="n">
        <v>4</v>
      </c>
      <c r="I16967" s="4" t="str">
        <v>×</v>
      </c>
      <c r="J16967" s="4"/>
      <c r="K16967" s="4"/>
      <c r="L16967" s="4"/>
      <c r="M16967" s="7" t="s">
        <v>6871</v>
      </c>
    </row>
    <row r="16968" customFormat="false" ht="15.75" hidden="false" customHeight="false" outlineLevel="0" collapsed="false">
      <c r="A16968" s="6" t="n">
        <f aca="false">DATE(2026,5,3)</f>
        <v>46145</v>
      </c>
      <c r="B16968" s="4" t="s">
        <v>4473</v>
      </c>
      <c r="C16968" s="4" t="n">
        <v>12</v>
      </c>
      <c r="D16968" s="4" t="n">
        <v>4</v>
      </c>
      <c r="E16968" s="4" t="s">
        <v>5984</v>
      </c>
      <c r="F16968" s="4" t="n">
        <v>31</v>
      </c>
      <c r="G16968" s="4" t="n">
        <v>5</v>
      </c>
      <c r="H16968" s="4" t="n">
        <v>4</v>
      </c>
      <c r="I16968" s="4" t="str">
        <v>×</v>
      </c>
      <c r="J16968" s="4"/>
      <c r="K16968" s="4"/>
      <c r="L16968" s="4"/>
      <c r="M16968" s="7" t="s">
        <v>6871</v>
      </c>
    </row>
    <row r="16969" customFormat="false" ht="15.75" hidden="false" customHeight="false" outlineLevel="0" collapsed="false">
      <c r="A16969" s="6" t="n">
        <f aca="false">DATE(2026,5,3)</f>
        <v>46145</v>
      </c>
      <c r="B16969" s="4" t="s">
        <v>4473</v>
      </c>
      <c r="C16969" s="4" t="n">
        <v>12</v>
      </c>
      <c r="D16969" s="4" t="n">
        <v>5</v>
      </c>
      <c r="E16969" s="4" t="s">
        <v>4555</v>
      </c>
      <c r="F16969" s="4" t="n">
        <v>62</v>
      </c>
      <c r="G16969" s="4" t="n">
        <v>1</v>
      </c>
      <c r="H16969" s="4" t="n">
        <v>1</v>
      </c>
      <c r="I16969" s="4" t="str">
        <v>○</v>
      </c>
      <c r="J16969" s="4" t="n">
        <v>140</v>
      </c>
      <c r="K16969" s="4"/>
      <c r="L16969" s="4"/>
      <c r="M16969" s="7" t="s">
        <v>6871</v>
      </c>
    </row>
    <row r="16970" customFormat="false" ht="15.75" hidden="false" customHeight="false" outlineLevel="0" collapsed="false">
      <c r="A16970" s="6" t="n">
        <f aca="false">DATE(2026,5,3)</f>
        <v>46145</v>
      </c>
      <c r="B16970" s="4" t="s">
        <v>4473</v>
      </c>
      <c r="C16970" s="4" t="n">
        <v>12</v>
      </c>
      <c r="D16970" s="4" t="n">
        <v>6</v>
      </c>
      <c r="E16970" s="4" t="s">
        <v>7526</v>
      </c>
      <c r="F16970" s="4" t="n">
        <v>41</v>
      </c>
      <c r="G16970" s="4" t="n">
        <v>3</v>
      </c>
      <c r="H16970" s="4" t="n">
        <v>4</v>
      </c>
      <c r="I16970" s="4" t="str">
        <v>×</v>
      </c>
      <c r="J16970" s="4"/>
      <c r="K16970" s="4"/>
      <c r="L16970" s="4"/>
      <c r="M16970" s="7" t="s">
        <v>6871</v>
      </c>
    </row>
    <row r="16971" customFormat="false" ht="15.75" hidden="false" customHeight="false" outlineLevel="0" collapsed="false">
      <c r="A16971" s="6" t="n">
        <f aca="false">DATE(2026,5,3)</f>
        <v>46145</v>
      </c>
      <c r="B16971" s="4" t="s">
        <v>4473</v>
      </c>
      <c r="C16971" s="4" t="n">
        <v>12</v>
      </c>
      <c r="D16971" s="4" t="n">
        <v>7</v>
      </c>
      <c r="E16971" s="4" t="s">
        <v>6273</v>
      </c>
      <c r="F16971" s="4" t="n">
        <v>15</v>
      </c>
      <c r="G16971" s="4" t="n">
        <v>8</v>
      </c>
      <c r="H16971" s="4" t="n">
        <v>4</v>
      </c>
      <c r="I16971" s="4" t="str">
        <v>×</v>
      </c>
      <c r="J16971" s="4"/>
      <c r="K16971" s="4"/>
      <c r="L16971" s="4"/>
      <c r="M16971" s="7" t="s">
        <v>6871</v>
      </c>
    </row>
    <row r="16972" customFormat="false" ht="15.75" hidden="false" customHeight="false" outlineLevel="0" collapsed="false">
      <c r="A16972" s="6" t="n">
        <f aca="false">DATE(2026,5,3)</f>
        <v>46145</v>
      </c>
      <c r="B16972" s="4" t="s">
        <v>4473</v>
      </c>
      <c r="C16972" s="4" t="n">
        <v>12</v>
      </c>
      <c r="D16972" s="4" t="n">
        <v>8</v>
      </c>
      <c r="E16972" s="4" t="s">
        <v>1841</v>
      </c>
      <c r="F16972" s="4" t="n">
        <v>6</v>
      </c>
      <c r="G16972" s="4" t="n">
        <v>12</v>
      </c>
      <c r="H16972" s="4" t="n">
        <v>4</v>
      </c>
      <c r="I16972" s="4" t="str">
        <v>×</v>
      </c>
      <c r="J16972" s="4"/>
      <c r="K16972" s="4"/>
      <c r="L16972" s="4"/>
      <c r="M16972" s="7" t="s">
        <v>6871</v>
      </c>
    </row>
    <row r="16973" customFormat="false" ht="15.75" hidden="false" customHeight="false" outlineLevel="0" collapsed="false">
      <c r="A16973" s="6" t="n">
        <f aca="false">DATE(2026,5,3)</f>
        <v>46145</v>
      </c>
      <c r="B16973" s="4" t="s">
        <v>4473</v>
      </c>
      <c r="C16973" s="4" t="n">
        <v>12</v>
      </c>
      <c r="D16973" s="4" t="n">
        <v>9</v>
      </c>
      <c r="E16973" s="4" t="s">
        <v>5867</v>
      </c>
      <c r="F16973" s="4" t="n">
        <v>29</v>
      </c>
      <c r="G16973" s="4" t="n">
        <v>7</v>
      </c>
      <c r="H16973" s="4" t="n">
        <v>4</v>
      </c>
      <c r="I16973" s="4" t="str">
        <v>×</v>
      </c>
      <c r="J16973" s="4"/>
      <c r="K16973" s="4"/>
      <c r="L16973" s="4"/>
      <c r="M16973" s="7" t="s">
        <v>6871</v>
      </c>
    </row>
    <row r="16974" customFormat="false" ht="15.75" hidden="false" customHeight="false" outlineLevel="0" collapsed="false">
      <c r="A16974" s="6" t="n">
        <f aca="false">DATE(2026,5,3)</f>
        <v>46145</v>
      </c>
      <c r="B16974" s="4" t="s">
        <v>4473</v>
      </c>
      <c r="C16974" s="4" t="n">
        <v>12</v>
      </c>
      <c r="D16974" s="4" t="n">
        <v>10</v>
      </c>
      <c r="E16974" s="4" t="s">
        <v>7074</v>
      </c>
      <c r="F16974" s="4" t="n">
        <v>31</v>
      </c>
      <c r="G16974" s="4" t="n">
        <v>6</v>
      </c>
      <c r="H16974" s="4" t="n">
        <v>2</v>
      </c>
      <c r="I16974" s="4" t="str">
        <v>○</v>
      </c>
      <c r="J16974" s="4" t="n">
        <v>440</v>
      </c>
      <c r="K16974" s="4"/>
      <c r="L16974" s="4"/>
      <c r="M16974" s="7" t="s">
        <v>6871</v>
      </c>
    </row>
    <row r="16975" customFormat="false" ht="15.75" hidden="false" customHeight="false" outlineLevel="0" collapsed="false">
      <c r="A16975" s="6" t="n">
        <f aca="false">DATE(2026,5,3)</f>
        <v>46145</v>
      </c>
      <c r="B16975" s="4" t="s">
        <v>4473</v>
      </c>
      <c r="C16975" s="4" t="n">
        <v>12</v>
      </c>
      <c r="D16975" s="4" t="n">
        <v>11</v>
      </c>
      <c r="E16975" s="4" t="s">
        <v>7527</v>
      </c>
      <c r="F16975" s="4" t="n">
        <v>8</v>
      </c>
      <c r="G16975" s="4" t="n">
        <v>11</v>
      </c>
      <c r="H16975" s="4" t="n">
        <v>4</v>
      </c>
      <c r="I16975" s="4" t="str">
        <v>×</v>
      </c>
      <c r="J16975" s="4"/>
      <c r="K16975" s="4"/>
      <c r="L16975" s="4"/>
      <c r="M16975" s="7" t="s">
        <v>6871</v>
      </c>
    </row>
    <row r="16976" customFormat="false" ht="15.75" hidden="false" customHeight="false" outlineLevel="0" collapsed="false">
      <c r="A16976" s="6" t="n">
        <f aca="false">DATE(2026,5,3)</f>
        <v>46145</v>
      </c>
      <c r="B16976" s="4" t="s">
        <v>4473</v>
      </c>
      <c r="C16976" s="4" t="n">
        <v>12</v>
      </c>
      <c r="D16976" s="4" t="n">
        <v>12</v>
      </c>
      <c r="E16976" s="4" t="s">
        <v>3946</v>
      </c>
      <c r="F16976" s="4" t="n">
        <v>47</v>
      </c>
      <c r="G16976" s="4" t="n">
        <v>2</v>
      </c>
      <c r="H16976" s="4" t="n">
        <v>4</v>
      </c>
      <c r="I16976" s="4" t="str">
        <v>×</v>
      </c>
      <c r="J16976" s="4"/>
      <c r="K16976" s="4"/>
      <c r="L16976" s="4"/>
      <c r="M16976" s="7" t="s">
        <v>6871</v>
      </c>
    </row>
    <row r="16977" customFormat="false" ht="15.75" hidden="false" customHeight="false" outlineLevel="0" collapsed="false">
      <c r="A16977" s="6" t="n">
        <f aca="false">DATE(2026,5,3)</f>
        <v>46145</v>
      </c>
      <c r="B16977" s="4" t="s">
        <v>4473</v>
      </c>
      <c r="C16977" s="4" t="n">
        <v>12</v>
      </c>
      <c r="D16977" s="4" t="n">
        <v>13</v>
      </c>
      <c r="E16977" s="4" t="s">
        <v>4154</v>
      </c>
      <c r="F16977" s="4" t="n">
        <v>39</v>
      </c>
      <c r="G16977" s="4" t="n">
        <v>4</v>
      </c>
      <c r="H16977" s="4" t="n">
        <v>3</v>
      </c>
      <c r="I16977" s="4" t="str">
        <v>○</v>
      </c>
      <c r="J16977" s="4" t="n">
        <v>240</v>
      </c>
      <c r="K16977" s="4"/>
      <c r="L16977" s="4"/>
      <c r="M16977" s="7" t="s">
        <v>6871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5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7.75"/>
    <col collapsed="false" customWidth="true" hidden="false" outlineLevel="0" max="2" min="2" style="0" width="4"/>
    <col collapsed="false" customWidth="true" hidden="false" outlineLevel="0" max="3" min="3" style="0" width="4.5"/>
    <col collapsed="false" customWidth="true" hidden="false" outlineLevel="0" max="4" min="4" style="0" width="4.88"/>
    <col collapsed="false" customWidth="true" hidden="false" outlineLevel="0" max="5" min="5" style="0" width="6.51"/>
    <col collapsed="false" customWidth="true" hidden="false" outlineLevel="0" max="6" min="6" style="0" width="22.63"/>
    <col collapsed="false" customWidth="true" hidden="false" outlineLevel="0" max="7" min="7" style="0" width="5.75"/>
    <col collapsed="false" customWidth="true" hidden="false" outlineLevel="0" max="8" min="8" style="0" width="6.51"/>
    <col collapsed="false" customWidth="true" hidden="false" outlineLevel="0" max="9" min="9" style="0" width="22.63"/>
    <col collapsed="false" customWidth="true" hidden="false" outlineLevel="0" max="10" min="10" style="0" width="5.75"/>
    <col collapsed="false" customWidth="true" hidden="false" outlineLevel="0" max="11" min="11" style="0" width="6.51"/>
    <col collapsed="false" customWidth="true" hidden="false" outlineLevel="0" max="12" min="12" style="0" width="22.63"/>
    <col collapsed="false" customWidth="true" hidden="false" outlineLevel="0" max="13" min="13" style="0" width="5.75"/>
    <col collapsed="false" customWidth="true" hidden="false" outlineLevel="0" max="15" min="14" style="0" width="8.13"/>
    <col collapsed="false" customWidth="true" hidden="false" outlineLevel="0" max="16" min="16" style="0" width="8"/>
    <col collapsed="false" customWidth="true" hidden="false" outlineLevel="0" max="17" min="17" style="0" width="7"/>
    <col collapsed="false" customWidth="true" hidden="false" outlineLevel="0" max="18" min="18" style="0" width="6.38"/>
    <col collapsed="false" customWidth="true" hidden="false" outlineLevel="0" max="19" min="19" style="0" width="8.75"/>
    <col collapsed="false" customWidth="true" hidden="false" outlineLevel="0" max="21" min="20" style="0" width="6.51"/>
    <col collapsed="false" customWidth="true" hidden="false" outlineLevel="0" max="22" min="22" style="0" width="8.13"/>
    <col collapsed="false" customWidth="true" hidden="false" outlineLevel="0" max="23" min="23" style="0" width="8"/>
    <col collapsed="false" customWidth="true" hidden="false" outlineLevel="0" max="25" min="24" style="0" width="7"/>
    <col collapsed="false" customWidth="true" hidden="false" outlineLevel="0" max="40" min="26" style="0" width="30.12"/>
    <col collapsed="false" customWidth="true" hidden="false" outlineLevel="0" max="42" min="41" style="0" width="14"/>
    <col collapsed="false" customWidth="true" hidden="false" outlineLevel="0" max="43" min="43" style="0" width="16"/>
    <col collapsed="false" customWidth="true" hidden="false" outlineLevel="0" max="44" min="44" style="0" width="26"/>
    <col collapsed="false" customWidth="true" hidden="false" outlineLevel="0" max="47" min="45" style="0" width="16"/>
    <col collapsed="false" customWidth="true" hidden="false" outlineLevel="0" max="48" min="48" style="0" width="14"/>
    <col collapsed="false" customWidth="true" hidden="false" outlineLevel="0" max="66" min="49" style="0" width="16"/>
    <col collapsed="false" customWidth="true" hidden="false" outlineLevel="0" max="67" min="67" style="0" width="12"/>
    <col collapsed="false" customWidth="true" hidden="false" outlineLevel="0" max="73" min="68" style="0" width="16"/>
  </cols>
  <sheetData>
    <row r="1" customFormat="false" ht="27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7528</v>
      </c>
      <c r="E1" s="2" t="s">
        <v>7529</v>
      </c>
      <c r="F1" s="2" t="s">
        <v>7530</v>
      </c>
      <c r="G1" s="2" t="s">
        <v>7531</v>
      </c>
      <c r="H1" s="2" t="s">
        <v>7532</v>
      </c>
      <c r="I1" s="2" t="s">
        <v>7533</v>
      </c>
      <c r="J1" s="2" t="s">
        <v>7534</v>
      </c>
      <c r="K1" s="2" t="s">
        <v>7535</v>
      </c>
      <c r="L1" s="2" t="s">
        <v>7536</v>
      </c>
      <c r="M1" s="2" t="s">
        <v>7537</v>
      </c>
      <c r="N1" s="2" t="s">
        <v>7538</v>
      </c>
      <c r="O1" s="2" t="s">
        <v>7539</v>
      </c>
      <c r="P1" s="1" t="s">
        <v>7540</v>
      </c>
      <c r="Q1" s="1" t="s">
        <v>7541</v>
      </c>
      <c r="R1" s="1" t="s">
        <v>7542</v>
      </c>
      <c r="S1" s="1" t="s">
        <v>7543</v>
      </c>
      <c r="T1" s="2" t="s">
        <v>7544</v>
      </c>
      <c r="U1" s="2" t="s">
        <v>7545</v>
      </c>
      <c r="V1" s="2" t="s">
        <v>7546</v>
      </c>
      <c r="W1" s="2" t="s">
        <v>7547</v>
      </c>
      <c r="X1" s="1" t="s">
        <v>7548</v>
      </c>
      <c r="Y1" s="1" t="s">
        <v>7549</v>
      </c>
      <c r="Z1" s="1" t="s">
        <v>12</v>
      </c>
      <c r="AA1" s="1" t="s">
        <v>7550</v>
      </c>
      <c r="AB1" s="2" t="s">
        <v>7551</v>
      </c>
      <c r="AC1" s="2" t="s">
        <v>7552</v>
      </c>
      <c r="AD1" s="2" t="s">
        <v>7553</v>
      </c>
      <c r="AE1" s="2" t="s">
        <v>7554</v>
      </c>
      <c r="AF1" s="1" t="s">
        <v>7555</v>
      </c>
      <c r="AG1" s="2" t="s">
        <v>7556</v>
      </c>
      <c r="AH1" s="1" t="s">
        <v>7557</v>
      </c>
      <c r="AI1" s="2" t="s">
        <v>7558</v>
      </c>
      <c r="AJ1" s="2" t="s">
        <v>7559</v>
      </c>
      <c r="AK1" s="2" t="s">
        <v>7560</v>
      </c>
      <c r="AL1" s="2" t="s">
        <v>7561</v>
      </c>
      <c r="AM1" s="1" t="s">
        <v>7562</v>
      </c>
      <c r="AN1" s="1" t="s">
        <v>7563</v>
      </c>
      <c r="AO1" s="2" t="s">
        <v>7564</v>
      </c>
      <c r="AP1" s="2" t="s">
        <v>7565</v>
      </c>
      <c r="AQ1" s="1" t="s">
        <v>7566</v>
      </c>
      <c r="AR1" s="2" t="s">
        <v>7567</v>
      </c>
      <c r="AS1" s="2" t="s">
        <v>7568</v>
      </c>
      <c r="AT1" s="2" t="s">
        <v>7569</v>
      </c>
      <c r="AU1" s="2" t="s">
        <v>7570</v>
      </c>
      <c r="AV1" s="2" t="s">
        <v>7571</v>
      </c>
      <c r="AW1" s="2" t="s">
        <v>7572</v>
      </c>
      <c r="AX1" s="2" t="s">
        <v>7573</v>
      </c>
      <c r="AY1" s="2" t="s">
        <v>7574</v>
      </c>
      <c r="AZ1" s="2" t="s">
        <v>7575</v>
      </c>
      <c r="BA1" s="2" t="s">
        <v>7576</v>
      </c>
      <c r="BB1" s="2" t="s">
        <v>7577</v>
      </c>
      <c r="BC1" s="2" t="s">
        <v>7578</v>
      </c>
      <c r="BD1" s="2" t="s">
        <v>7579</v>
      </c>
      <c r="BE1" s="2" t="s">
        <v>7580</v>
      </c>
      <c r="BF1" s="2" t="s">
        <v>7581</v>
      </c>
      <c r="BG1" s="2" t="s">
        <v>7582</v>
      </c>
      <c r="BH1" s="2" t="s">
        <v>7583</v>
      </c>
      <c r="BI1" s="2" t="s">
        <v>7584</v>
      </c>
      <c r="BJ1" s="2" t="s">
        <v>7585</v>
      </c>
      <c r="BK1" s="2" t="s">
        <v>7586</v>
      </c>
      <c r="BL1" s="2" t="s">
        <v>7587</v>
      </c>
      <c r="BM1" s="2" t="s">
        <v>7588</v>
      </c>
      <c r="BN1" s="2" t="s">
        <v>7589</v>
      </c>
      <c r="BO1" s="2" t="s">
        <v>7590</v>
      </c>
      <c r="BP1" s="2" t="s">
        <v>7591</v>
      </c>
      <c r="BQ1" s="2" t="s">
        <v>7592</v>
      </c>
      <c r="BR1" s="2" t="s">
        <v>7593</v>
      </c>
      <c r="BS1" s="2" t="s">
        <v>7594</v>
      </c>
      <c r="BT1" s="2" t="s">
        <v>7595</v>
      </c>
      <c r="BU1" s="2" t="s">
        <v>7596</v>
      </c>
    </row>
    <row r="2" customFormat="false" ht="15.75" hidden="false" customHeight="false" outlineLevel="0" collapsed="false">
      <c r="A2" s="3" t="n">
        <v>46228</v>
      </c>
      <c r="B2" s="4" t="s">
        <v>13</v>
      </c>
      <c r="C2" s="4" t="n">
        <v>1</v>
      </c>
      <c r="D2" s="4" t="n">
        <v>10</v>
      </c>
      <c r="E2" s="4" t="n">
        <v>10</v>
      </c>
      <c r="F2" s="4" t="s">
        <v>24</v>
      </c>
      <c r="G2" s="4" t="n">
        <v>60</v>
      </c>
      <c r="H2" s="4" t="n">
        <v>7</v>
      </c>
      <c r="I2" s="4" t="s">
        <v>21</v>
      </c>
      <c r="J2" s="4" t="n">
        <v>44</v>
      </c>
      <c r="K2" s="4" t="n">
        <v>4</v>
      </c>
      <c r="L2" s="4" t="s">
        <v>18</v>
      </c>
      <c r="M2" s="4" t="n">
        <v>37</v>
      </c>
      <c r="N2" s="4" t="n">
        <f aca="false">IF(A2="","",G2-J2)</f>
        <v>16</v>
      </c>
      <c r="O2" s="4" t="n">
        <f aca="false">IF(A2="","",J2-M2)</f>
        <v>7</v>
      </c>
      <c r="P2" s="4" t="n">
        <f aca="false">IF(A2="","",G2+J2)</f>
        <v>104</v>
      </c>
      <c r="Q2" s="4" t="str">
        <f aca="false">IF(A2="","",IF(AND(Y2&lt;&gt;"参考",G2&gt;=ルール設定!$B$2),"○",""))</f>
        <v/>
      </c>
      <c r="R2" s="4" t="str">
        <f aca="false">IF(A2="","",IF(AND(Y2&lt;&gt;"参考",G2&gt;=ルール設定!$B$3,N2&gt;=ルール設定!$B$4),"○",""))</f>
        <v/>
      </c>
      <c r="S2" s="4" t="str">
        <f aca="false">IF(A2="","",IF(AND(Y2&lt;&gt;"参考",G2&gt;=ルール設定!$B$5,J2&gt;=ルール設定!$B$6,O2&gt;=ルール設定!$B$7),"○",""))</f>
        <v/>
      </c>
      <c r="T2" s="4" t="n">
        <v>1</v>
      </c>
      <c r="U2" s="4" t="n">
        <v>3</v>
      </c>
      <c r="V2" s="4" t="str">
        <f aca="false">IF(A2="","",IF(AND(ISNUMBER(T2),ISNUMBER(U2)),IF(AND(T2&lt;=3,U2&lt;=3),"○","×"),""))</f>
        <v>○</v>
      </c>
      <c r="W2" s="4" t="n">
        <v>110</v>
      </c>
      <c r="X2" s="4" t="n">
        <v>260</v>
      </c>
      <c r="Y2" s="4" t="s">
        <v>7597</v>
      </c>
      <c r="Z2" s="4"/>
      <c r="AA2" s="4" t="str">
        <f aca="false" t="array" ref="AA2:AA1146">IF(A2:A1146="","",IF((Y2:Y1146&lt;&gt;"参考")*(G2:G1146&gt;=ルール設定!$B$10),"○",""))</f>
        <v/>
      </c>
      <c r="AB2" s="4" t="str">
        <f aca="false" t="array" ref="AB2:AB1146">IF(A2:A1146="","",IF((Y2:Y1146&lt;&gt;"参考")*(G2:G1146&gt;=ルール設定!$B$2)*(D2:D1146&gt;=ルール設定!$B$11),"○",""))</f>
        <v/>
      </c>
      <c r="AC2" s="4" t="str">
        <f aca="false" t="array" ref="AC2:AC1146">IF(A2:A1146="","",IF((Y2:Y1146&lt;&gt;"参考")*(G2:G1146&gt;=ルール設定!$B$2)*(N2:N1146&gt;=ルール設定!$B$12)*(N2:N1146&lt;=ルール設定!$B$13),"○",""))</f>
        <v/>
      </c>
      <c r="AD2" s="4" t="str">
        <f aca="false" t="array" ref="AD2:AD1146">IF(A2:A1146="","",IF((Y2:Y1146&lt;&gt;"参考")*(G2:G1146&gt;=ルール設定!$B$2)*(N2:N1146&gt;=ルール設定!$B$14),"○",""))</f>
        <v/>
      </c>
      <c r="AE2" s="4" t="str">
        <f aca="false" t="array" ref="AE2:AE1146">IF(A2:A1146="","",IF((Y2:Y1146&lt;&gt;"参考")*(G2:G1146&gt;=ルール設定!$B$15)*(G2:G1146&lt;=ルール設定!$B$16)*(N2:N1146&gt;=ルール設定!$B$14),"○",""))</f>
        <v/>
      </c>
      <c r="AF2" s="4" t="str">
        <f aca="false" t="array" ref="AF2:AF1146">IF(A2:A1146="","",IF((Y2:Y1146&lt;&gt;"参考")*(G2:G1146&gt;=ルール設定!$B$2)*(P2:P1146&gt;=ルール設定!$B$17),"○",""))</f>
        <v/>
      </c>
      <c r="AG2" s="4" t="str">
        <f aca="false" t="array" ref="AG2:AG1146">IF(A2:A1146="","",IF((Y2:Y1146&lt;&gt;"参考")*(G2:G1146&gt;=ルール設定!$B$2)*(AI2:AI1146&gt;=ルール設定!$B$18),"○",""))</f>
        <v/>
      </c>
      <c r="AH2" s="4" t="str">
        <f aca="false" t="array" ref="AH2:AH1146">IF(A2:A1146="","",IF((Y2:Y1146&lt;&gt;"参考")*(G2:G1146&gt;=ルール設定!$B$2)*(D2:D1146&gt;=1)*(D2:D1146&lt;=ルール設定!$B$19),"○",""))</f>
        <v/>
      </c>
      <c r="AI2" s="4" t="n">
        <f aca="false" t="array" ref="AI2:AI1146">IF(A2:A1146="","",IF((ISNUMBER(G2:G1146))*(ISNUMBER(M2:M1146)),G2:G1146-M2:M1146,""))</f>
        <v>23</v>
      </c>
      <c r="AJ2" s="4" t="str">
        <f aca="false" t="array" ref="AJ2:AJ1146">IF(A2:A1146="","",IF(NOT(ISNUMBER(G2:G1146)),"",IF(G2:G1146&lt;=59,"～59",IF(G2:G1146&lt;=69,"60～69",IF(G2:G1146&lt;=74,"70～74",IF(G2:G1146&lt;=79,"75～79",IF(G2:G1146&lt;=84,"80～84","85以上")))))))</f>
        <v>60～69</v>
      </c>
      <c r="AK2" s="4" t="str">
        <f aca="false" t="array" ref="AK2:AK1146">IF(A2:A1146="","",IF(NOT(ISNUMBER(N2:N1146)),"",IF(N2:N1146&lt;=4,"0～4",IF(N2:N1146&lt;=9,"5～9",IF(N2:N1146&lt;=19,"10～19",IF(N2:N1146&lt;=29,"20～29","30以上"))))))</f>
        <v>10～19</v>
      </c>
      <c r="AL2" s="4" t="str">
        <f aca="false" t="array" ref="AL2:AL1146">IF(A2:A1146="","",IF(NOT(ISNUMBER(AI2:AI1146)),"",IF(AI2:AI1146&lt;=9,"0～9",IF(AI2:AI1146&lt;=19,"10～19",IF(AI2:AI1146&lt;=29,"20～29",IF(AI2:AI1146&lt;=39,"30～39","40以上"))))))</f>
        <v>20～29</v>
      </c>
      <c r="AM2" s="4" t="str">
        <f aca="false" t="array" ref="AM2:AM1146">IF(A2:A1146="","",IF(NOT(ISNUMBER(P2:P1146)),"",IF(P2:P1146&lt;=99,"～99",IF(P2:P1146&lt;=119,"100～119",IF(P2:P1146&lt;=139,"120～139",IF(P2:P1146&lt;=159,"140～159","160以上"))))))</f>
        <v>100～119</v>
      </c>
      <c r="AN2" s="4" t="str">
        <f aca="false" t="array" ref="AN2:AN1146">IF(A2:A1146="","",IF((NOT(ISNUMBER(D2:D1146)))+(D2:D1146&lt;1),"",IF(D2:D1146&lt;=7,"7以下",IF(D2:D1146&lt;=11,"8～11",IF(D2:D1146&lt;=14,"12～14","15以上")))))</f>
        <v>8～11</v>
      </c>
      <c r="AO2" s="4" t="str">
        <f aca="false">IF(A2="","",IF(COUNTIFS(全馬データ!$A$2:$A$50000,A2,全馬データ!$B$2:$B$50000,B2,全馬データ!$C$2:$C$50000,C2,全馬データ!$D$2:$D$50000,E2,全馬データ!$K$2:$K$50000,"&lt;&gt;")=0,"",SUMIFS(全馬データ!$K$2:$K$50000,全馬データ!$A$2:$A$50000,A2,全馬データ!$B$2:$B$50000,B2,全馬データ!$C$2:$C$50000,C2,全馬データ!$D$2:$D$50000,E2)))</f>
        <v/>
      </c>
      <c r="AP2" s="4" t="str">
        <f aca="false">IF(A2="","",IF(AO2="","欠損",IF(AO2&lt;=1.1,"1.0～1.1",IF(AO2&lt;1.3,"1.2",IF(AO2&lt;1.5,"1.3～1.4",IF(AO2&lt;2,"1.5～1.9","2.0以上"))))))</f>
        <v>欠損</v>
      </c>
      <c r="AQ2" s="4" t="str">
        <f aca="false">IF(A2="","",IF(ISNUMBER(SEARCH("2歳",Z2)),"2歳戦",IF(ISNUMBER(SEARCH("3歳未勝利",Z2)),"3歳未勝利",IF(ISNUMBER(SEARCH("未勝利",Z2)),"その他未勝利",IF(ISNUMBER(SEARCH("G1",Z2)),"G1",IF(ISNUMBER(SEARCH("G2",Z2)),"G2",IF(ISNUMBER(SEARCH("G3",Z2)),"G3",IF(ISNUMBER(SEARCH("古馬条件",Z2)),"古馬条件戦",IF(ISNUMBER(SEARCH("重賞",Z2)),"重賞","分類不能")))))))))</f>
        <v>分類不能</v>
      </c>
      <c r="AR2" s="4"/>
      <c r="AS2" s="8" t="s">
        <v>7598</v>
      </c>
      <c r="AT2" s="8" t="s">
        <v>7599</v>
      </c>
      <c r="AU2" s="8" t="s">
        <v>7600</v>
      </c>
      <c r="AV2" s="4" t="s">
        <v>7601</v>
      </c>
      <c r="AW2" s="8"/>
      <c r="AX2" s="8"/>
      <c r="AY2" s="8" t="s">
        <v>7602</v>
      </c>
      <c r="AZ2" s="4" t="s">
        <v>7603</v>
      </c>
      <c r="BA2" s="8" t="n">
        <v>1800</v>
      </c>
      <c r="BB2" s="8" t="s">
        <v>7598</v>
      </c>
      <c r="BC2" s="4" t="s">
        <v>7604</v>
      </c>
      <c r="BD2" s="8" t="s">
        <v>7605</v>
      </c>
      <c r="BE2" s="4" t="s">
        <v>7606</v>
      </c>
      <c r="BF2" s="8" t="s">
        <v>7607</v>
      </c>
      <c r="BG2" s="8" t="s">
        <v>7608</v>
      </c>
      <c r="BH2" s="4" t="s">
        <v>7609</v>
      </c>
      <c r="BI2" s="8" t="n">
        <v>10</v>
      </c>
      <c r="BJ2" s="8" t="s">
        <v>7610</v>
      </c>
      <c r="BK2" s="4" t="s">
        <v>7611</v>
      </c>
      <c r="BL2" s="8" t="s">
        <v>7610</v>
      </c>
      <c r="BM2" s="4" t="s">
        <v>7612</v>
      </c>
      <c r="BN2" s="8" t="s">
        <v>7602</v>
      </c>
      <c r="BO2" s="8" t="s">
        <v>7613</v>
      </c>
      <c r="BP2" s="8" t="s">
        <v>7602</v>
      </c>
      <c r="BQ2" s="8" t="str">
        <f aca="false">IF(A2="","",AT2)</f>
        <v>2歳</v>
      </c>
      <c r="BR2" s="8" t="str">
        <f aca="false">IF(A2="","",IF(BA2&lt;=1200,"～1200",IF(BA2&lt;=1500,"1300～1500",IF(BA2=1600,"1600",IF(BA2&lt;=1800,"1700～1800",IF(BA2&lt;=2000,"1900～2000","2100以上"))))))</f>
        <v>1700～1800</v>
      </c>
      <c r="BS2" s="8" t="str">
        <f aca="false">IF(A2="","",IF(AX2="G1","G1",IF(AX2="G2","G2",IF(AX2="G3","G3",IF(AX2="L","L","その他")))))</f>
        <v>その他</v>
      </c>
      <c r="BT2" s="8" t="str">
        <f aca="false">IF(A2="","",IF(BI2="","未結合",IF(D2=BI2,"一致","不一致")))</f>
        <v>一致</v>
      </c>
      <c r="BU2" s="8" t="str">
        <f aca="false">IF(A2="","",IF(BE2="牝馬限定","牝馬限定","その他"))</f>
        <v>その他</v>
      </c>
    </row>
    <row r="3" customFormat="false" ht="15.75" hidden="false" customHeight="false" outlineLevel="0" collapsed="false">
      <c r="A3" s="3" t="n">
        <v>46228</v>
      </c>
      <c r="B3" s="4" t="s">
        <v>13</v>
      </c>
      <c r="C3" s="8" t="n">
        <v>2</v>
      </c>
      <c r="D3" s="8" t="n">
        <v>14</v>
      </c>
      <c r="E3" s="8" t="n">
        <v>4</v>
      </c>
      <c r="F3" s="4" t="s">
        <v>28</v>
      </c>
      <c r="G3" s="8" t="n">
        <v>37</v>
      </c>
      <c r="H3" s="8" t="n">
        <v>9</v>
      </c>
      <c r="I3" s="4" t="s">
        <v>33</v>
      </c>
      <c r="J3" s="8" t="n">
        <v>37</v>
      </c>
      <c r="K3" s="8" t="n">
        <v>1</v>
      </c>
      <c r="L3" s="4" t="s">
        <v>25</v>
      </c>
      <c r="M3" s="8" t="n">
        <v>31</v>
      </c>
      <c r="N3" s="8" t="n">
        <f aca="false">IF(A3="","",G3-J3)</f>
        <v>0</v>
      </c>
      <c r="O3" s="8" t="n">
        <f aca="false">IF(A3="","",J3-M3)</f>
        <v>6</v>
      </c>
      <c r="P3" s="8" t="n">
        <f aca="false">IF(A3="","",G3+J3)</f>
        <v>74</v>
      </c>
      <c r="Q3" s="8" t="str">
        <f aca="false">IF(A3="","",IF(AND(Y3&lt;&gt;"参考",G3&gt;=ルール設定!$B$2),"○",""))</f>
        <v/>
      </c>
      <c r="R3" s="8" t="str">
        <f aca="false">IF(A3="","",IF(AND(Y3&lt;&gt;"参考",G3&gt;=ルール設定!$B$3,N3&gt;=ルール設定!$B$4),"○",""))</f>
        <v/>
      </c>
      <c r="S3" s="8" t="str">
        <f aca="false">IF(A3="","",IF(AND(Y3&lt;&gt;"参考",G3&gt;=ルール設定!$B$5,J3&gt;=ルール設定!$B$6,O3&gt;=ルール設定!$B$7),"○",""))</f>
        <v/>
      </c>
      <c r="T3" s="8" t="n">
        <v>4</v>
      </c>
      <c r="U3" s="8" t="n">
        <v>4</v>
      </c>
      <c r="V3" s="8" t="str">
        <f aca="false">IF(A3="","",IF(AND(ISNUMBER(T3),ISNUMBER(U3)),IF(AND(T3&lt;=3,U3&lt;=3),"○","×"),""))</f>
        <v>×</v>
      </c>
      <c r="W3" s="8"/>
      <c r="X3" s="8"/>
      <c r="Y3" s="4" t="s">
        <v>7597</v>
      </c>
      <c r="Z3" s="4" t="s">
        <v>7614</v>
      </c>
      <c r="AA3" s="8" t="str">
        <v/>
      </c>
      <c r="AB3" s="8" t="str">
        <v/>
      </c>
      <c r="AC3" s="8" t="str">
        <v/>
      </c>
      <c r="AD3" s="8" t="str">
        <v/>
      </c>
      <c r="AE3" s="8" t="str">
        <v/>
      </c>
      <c r="AF3" s="8" t="str">
        <v/>
      </c>
      <c r="AG3" s="8" t="str">
        <v/>
      </c>
      <c r="AH3" s="8" t="str">
        <v/>
      </c>
      <c r="AI3" s="8" t="n">
        <v>6</v>
      </c>
      <c r="AJ3" s="8" t="str">
        <v>～59</v>
      </c>
      <c r="AK3" s="8" t="str">
        <v>0～4</v>
      </c>
      <c r="AL3" s="8" t="str">
        <v>0～9</v>
      </c>
      <c r="AM3" s="8" t="str">
        <v>～99</v>
      </c>
      <c r="AN3" s="8" t="str">
        <v>12～14</v>
      </c>
      <c r="AO3" s="8" t="str">
        <f aca="false">IF(A3="","",IF(COUNTIFS(全馬データ!$A$2:$A$50000,A3,全馬データ!$B$2:$B$50000,B3,全馬データ!$C$2:$C$50000,C3,全馬データ!$D$2:$D$50000,E3,全馬データ!$K$2:$K$50000,"&lt;&gt;")=0,"",SUMIFS(全馬データ!$K$2:$K$50000,全馬データ!$A$2:$A$50000,A3,全馬データ!$B$2:$B$50000,B3,全馬データ!$C$2:$C$50000,C3,全馬データ!$D$2:$D$50000,E3)))</f>
        <v/>
      </c>
      <c r="AP3" s="8" t="str">
        <f aca="false">IF(A3="","",IF(AO3="","欠損",IF(AO3&lt;=1.1,"1.0～1.1",IF(AO3&lt;1.3,"1.2",IF(AO3&lt;1.5,"1.3～1.4",IF(AO3&lt;2,"1.5～1.9","2.0以上"))))))</f>
        <v>欠損</v>
      </c>
      <c r="AQ3" s="8" t="str">
        <f aca="false">IF(A3="","",IF(ISNUMBER(SEARCH("2歳",Z3)),"2歳戦",IF(ISNUMBER(SEARCH("3歳未勝利",Z3)),"3歳未勝利",IF(ISNUMBER(SEARCH("未勝利",Z3)),"その他未勝利",IF(ISNUMBER(SEARCH("G1",Z3)),"G1",IF(ISNUMBER(SEARCH("G2",Z3)),"G2",IF(ISNUMBER(SEARCH("G3",Z3)),"G3",IF(ISNUMBER(SEARCH("古馬条件",Z3)),"古馬条件戦",IF(ISNUMBER(SEARCH("重賞",Z3)),"重賞","分類不能")))))))))</f>
        <v>分類不能</v>
      </c>
      <c r="AR3" s="8"/>
      <c r="AS3" s="8" t="s">
        <v>7598</v>
      </c>
      <c r="AT3" s="8" t="s">
        <v>7599</v>
      </c>
      <c r="AU3" s="8" t="s">
        <v>7615</v>
      </c>
      <c r="AV3" s="4" t="s">
        <v>7616</v>
      </c>
      <c r="AW3" s="8"/>
      <c r="AX3" s="8"/>
      <c r="AY3" s="8" t="s">
        <v>7610</v>
      </c>
      <c r="AZ3" s="4" t="s">
        <v>7617</v>
      </c>
      <c r="BA3" s="8" t="n">
        <v>1200</v>
      </c>
      <c r="BB3" s="8" t="s">
        <v>7618</v>
      </c>
      <c r="BC3" s="4" t="s">
        <v>7619</v>
      </c>
      <c r="BD3" s="8" t="s">
        <v>7605</v>
      </c>
      <c r="BE3" s="4" t="s">
        <v>7606</v>
      </c>
      <c r="BF3" s="8" t="s">
        <v>7607</v>
      </c>
      <c r="BG3" s="8" t="s">
        <v>7608</v>
      </c>
      <c r="BH3" s="4" t="s">
        <v>7609</v>
      </c>
      <c r="BI3" s="8" t="n">
        <v>14</v>
      </c>
      <c r="BJ3" s="8" t="s">
        <v>7610</v>
      </c>
      <c r="BK3" s="4" t="s">
        <v>7611</v>
      </c>
      <c r="BL3" s="8" t="s">
        <v>7602</v>
      </c>
      <c r="BM3" s="4" t="s">
        <v>7620</v>
      </c>
      <c r="BN3" s="8"/>
      <c r="BO3" s="8"/>
      <c r="BP3" s="8" t="s">
        <v>7602</v>
      </c>
      <c r="BQ3" s="8" t="str">
        <f aca="false">IF(A3="","",AT3)</f>
        <v>2歳</v>
      </c>
      <c r="BR3" s="8" t="str">
        <f aca="false">IF(A3="","",IF(BA3&lt;=1200,"～1200",IF(BA3&lt;=1500,"1300～1500",IF(BA3=1600,"1600",IF(BA3&lt;=1800,"1700～1800",IF(BA3&lt;=2000,"1900～2000","2100以上"))))))</f>
        <v>～1200</v>
      </c>
      <c r="BS3" s="8" t="str">
        <f aca="false">IF(A3="","",IF(AX3="G1","G1",IF(AX3="G2","G2",IF(AX3="G3","G3",IF(AX3="L","L","その他")))))</f>
        <v>その他</v>
      </c>
      <c r="BT3" s="8" t="str">
        <f aca="false">IF(A3="","",IF(BI3="","未結合",IF(D3=BI3,"一致","不一致")))</f>
        <v>一致</v>
      </c>
      <c r="BU3" s="8" t="str">
        <f aca="false">IF(A3="","",IF(BE3="牝馬限定","牝馬限定","その他"))</f>
        <v>その他</v>
      </c>
    </row>
    <row r="4" customFormat="false" ht="15.75" hidden="false" customHeight="false" outlineLevel="0" collapsed="false">
      <c r="A4" s="3" t="n">
        <v>46228</v>
      </c>
      <c r="B4" s="4" t="s">
        <v>13</v>
      </c>
      <c r="C4" s="8" t="n">
        <v>3</v>
      </c>
      <c r="D4" s="8" t="n">
        <v>8</v>
      </c>
      <c r="E4" s="8" t="n">
        <v>1</v>
      </c>
      <c r="F4" s="4" t="s">
        <v>39</v>
      </c>
      <c r="G4" s="8" t="n">
        <v>37</v>
      </c>
      <c r="H4" s="8" t="n">
        <v>4</v>
      </c>
      <c r="I4" s="4" t="s">
        <v>42</v>
      </c>
      <c r="J4" s="8" t="n">
        <v>31</v>
      </c>
      <c r="K4" s="8" t="n">
        <v>3</v>
      </c>
      <c r="L4" s="4" t="s">
        <v>41</v>
      </c>
      <c r="M4" s="8" t="n">
        <v>27</v>
      </c>
      <c r="N4" s="8" t="n">
        <f aca="false">IF(A4="","",G4-J4)</f>
        <v>6</v>
      </c>
      <c r="O4" s="8" t="n">
        <f aca="false">IF(A4="","",J4-M4)</f>
        <v>4</v>
      </c>
      <c r="P4" s="8" t="n">
        <f aca="false">IF(A4="","",G4+J4)</f>
        <v>68</v>
      </c>
      <c r="Q4" s="8" t="str">
        <f aca="false">IF(A4="","",IF(AND(Y4&lt;&gt;"参考",G4&gt;=ルール設定!$B$2),"○",""))</f>
        <v/>
      </c>
      <c r="R4" s="8" t="str">
        <f aca="false">IF(A4="","",IF(AND(Y4&lt;&gt;"参考",G4&gt;=ルール設定!$B$3,N4&gt;=ルール設定!$B$4),"○",""))</f>
        <v/>
      </c>
      <c r="S4" s="8" t="str">
        <f aca="false">IF(A4="","",IF(AND(Y4&lt;&gt;"参考",G4&gt;=ルール設定!$B$5,J4&gt;=ルール設定!$B$6,O4&gt;=ルール設定!$B$7),"○",""))</f>
        <v/>
      </c>
      <c r="T4" s="8" t="n">
        <v>2</v>
      </c>
      <c r="U4" s="8" t="n">
        <v>1</v>
      </c>
      <c r="V4" s="8" t="str">
        <f aca="false">IF(A4="","",IF(AND(ISNUMBER(T4),ISNUMBER(U4)),IF(AND(T4&lt;=3,U4&lt;=3),"○","×"),""))</f>
        <v>○</v>
      </c>
      <c r="W4" s="8" t="n">
        <v>110</v>
      </c>
      <c r="X4" s="8" t="n">
        <v>320</v>
      </c>
      <c r="Y4" s="4" t="s">
        <v>7597</v>
      </c>
      <c r="Z4" s="8"/>
      <c r="AA4" s="8" t="str">
        <v/>
      </c>
      <c r="AB4" s="8" t="str">
        <v/>
      </c>
      <c r="AC4" s="8" t="str">
        <v/>
      </c>
      <c r="AD4" s="8" t="str">
        <v/>
      </c>
      <c r="AE4" s="8" t="str">
        <v/>
      </c>
      <c r="AF4" s="8" t="str">
        <v/>
      </c>
      <c r="AG4" s="8" t="str">
        <v/>
      </c>
      <c r="AH4" s="8" t="str">
        <v/>
      </c>
      <c r="AI4" s="8" t="n">
        <v>10</v>
      </c>
      <c r="AJ4" s="8" t="str">
        <v>～59</v>
      </c>
      <c r="AK4" s="8" t="str">
        <v>5～9</v>
      </c>
      <c r="AL4" s="8" t="str">
        <v>10～19</v>
      </c>
      <c r="AM4" s="8" t="str">
        <v>～99</v>
      </c>
      <c r="AN4" s="8" t="str">
        <v>8～11</v>
      </c>
      <c r="AO4" s="8" t="str">
        <f aca="false">IF(A4="","",IF(COUNTIFS(全馬データ!$A$2:$A$50000,A4,全馬データ!$B$2:$B$50000,B4,全馬データ!$C$2:$C$50000,C4,全馬データ!$D$2:$D$50000,E4,全馬データ!$K$2:$K$50000,"&lt;&gt;")=0,"",SUMIFS(全馬データ!$K$2:$K$50000,全馬データ!$A$2:$A$50000,A4,全馬データ!$B$2:$B$50000,B4,全馬データ!$C$2:$C$50000,C4,全馬データ!$D$2:$D$50000,E4)))</f>
        <v/>
      </c>
      <c r="AP4" s="8" t="str">
        <f aca="false">IF(A4="","",IF(AO4="","欠損",IF(AO4&lt;=1.1,"1.0～1.1",IF(AO4&lt;1.3,"1.2",IF(AO4&lt;1.5,"1.3～1.4",IF(AO4&lt;2,"1.5～1.9","2.0以上"))))))</f>
        <v>欠損</v>
      </c>
      <c r="AQ4" s="8" t="str">
        <f aca="false">IF(A4="","",IF(ISNUMBER(SEARCH("2歳",Z4)),"2歳戦",IF(ISNUMBER(SEARCH("3歳未勝利",Z4)),"3歳未勝利",IF(ISNUMBER(SEARCH("未勝利",Z4)),"その他未勝利",IF(ISNUMBER(SEARCH("G1",Z4)),"G1",IF(ISNUMBER(SEARCH("G2",Z4)),"G2",IF(ISNUMBER(SEARCH("G3",Z4)),"G3",IF(ISNUMBER(SEARCH("古馬条件",Z4)),"古馬条件戦",IF(ISNUMBER(SEARCH("重賞",Z4)),"重賞","分類不能")))))))))</f>
        <v>分類不能</v>
      </c>
      <c r="AR4" s="8"/>
      <c r="AS4" s="8" t="s">
        <v>7598</v>
      </c>
      <c r="AT4" s="8" t="s">
        <v>7599</v>
      </c>
      <c r="AU4" s="8" t="s">
        <v>7615</v>
      </c>
      <c r="AV4" s="4" t="s">
        <v>7616</v>
      </c>
      <c r="AW4" s="8"/>
      <c r="AX4" s="8"/>
      <c r="AY4" s="8" t="s">
        <v>7602</v>
      </c>
      <c r="AZ4" s="4" t="s">
        <v>7603</v>
      </c>
      <c r="BA4" s="8" t="n">
        <v>1600</v>
      </c>
      <c r="BB4" s="8" t="s">
        <v>7598</v>
      </c>
      <c r="BC4" s="4" t="s">
        <v>7604</v>
      </c>
      <c r="BD4" s="8" t="s">
        <v>7621</v>
      </c>
      <c r="BE4" s="4" t="s">
        <v>7622</v>
      </c>
      <c r="BF4" s="8" t="s">
        <v>7602</v>
      </c>
      <c r="BG4" s="8" t="s">
        <v>7608</v>
      </c>
      <c r="BH4" s="4" t="s">
        <v>7609</v>
      </c>
      <c r="BI4" s="8" t="n">
        <v>8</v>
      </c>
      <c r="BJ4" s="8" t="s">
        <v>7610</v>
      </c>
      <c r="BK4" s="4" t="s">
        <v>7611</v>
      </c>
      <c r="BL4" s="8" t="s">
        <v>7610</v>
      </c>
      <c r="BM4" s="4" t="s">
        <v>7612</v>
      </c>
      <c r="BN4" s="8" t="s">
        <v>7602</v>
      </c>
      <c r="BO4" s="8" t="s">
        <v>7613</v>
      </c>
      <c r="BP4" s="8" t="s">
        <v>7602</v>
      </c>
      <c r="BQ4" s="8" t="str">
        <f aca="false">IF(A4="","",AT4)</f>
        <v>2歳</v>
      </c>
      <c r="BR4" s="8" t="str">
        <f aca="false">IF(A4="","",IF(BA4&lt;=1200,"～1200",IF(BA4&lt;=1500,"1300～1500",IF(BA4=1600,"1600",IF(BA4&lt;=1800,"1700～1800",IF(BA4&lt;=2000,"1900～2000","2100以上"))))))</f>
        <v>1600</v>
      </c>
      <c r="BS4" s="8" t="str">
        <f aca="false">IF(A4="","",IF(AX4="G1","G1",IF(AX4="G2","G2",IF(AX4="G3","G3",IF(AX4="L","L","その他")))))</f>
        <v>その他</v>
      </c>
      <c r="BT4" s="8" t="str">
        <f aca="false">IF(A4="","",IF(BI4="","未結合",IF(D4=BI4,"一致","不一致")))</f>
        <v>一致</v>
      </c>
      <c r="BU4" s="8" t="str">
        <f aca="false">IF(A4="","",IF(BE4="牝馬限定","牝馬限定","その他"))</f>
        <v>牝馬限定</v>
      </c>
    </row>
    <row r="5" customFormat="false" ht="15.75" hidden="false" customHeight="false" outlineLevel="0" collapsed="false">
      <c r="A5" s="3" t="n">
        <v>46228</v>
      </c>
      <c r="B5" s="4" t="s">
        <v>13</v>
      </c>
      <c r="C5" s="8" t="n">
        <v>4</v>
      </c>
      <c r="D5" s="8" t="n">
        <v>15</v>
      </c>
      <c r="E5" s="8" t="n">
        <v>14</v>
      </c>
      <c r="F5" s="4" t="s">
        <v>60</v>
      </c>
      <c r="G5" s="8" t="n">
        <v>58</v>
      </c>
      <c r="H5" s="8" t="n">
        <v>3</v>
      </c>
      <c r="I5" s="4" t="s">
        <v>49</v>
      </c>
      <c r="J5" s="8" t="n">
        <v>44</v>
      </c>
      <c r="K5" s="8" t="n">
        <v>15</v>
      </c>
      <c r="L5" s="4" t="s">
        <v>61</v>
      </c>
      <c r="M5" s="8" t="n">
        <v>44</v>
      </c>
      <c r="N5" s="8" t="n">
        <f aca="false">IF(A5="","",G5-J5)</f>
        <v>14</v>
      </c>
      <c r="O5" s="8" t="n">
        <f aca="false">IF(A5="","",J5-M5)</f>
        <v>0</v>
      </c>
      <c r="P5" s="8" t="n">
        <f aca="false">IF(A5="","",G5+J5)</f>
        <v>102</v>
      </c>
      <c r="Q5" s="8" t="str">
        <f aca="false">IF(A5="","",IF(AND(Y5&lt;&gt;"参考",G5&gt;=ルール設定!$B$2),"○",""))</f>
        <v/>
      </c>
      <c r="R5" s="8" t="str">
        <f aca="false">IF(A5="","",IF(AND(Y5&lt;&gt;"参考",G5&gt;=ルール設定!$B$3,N5&gt;=ルール設定!$B$4),"○",""))</f>
        <v/>
      </c>
      <c r="S5" s="8" t="str">
        <f aca="false">IF(A5="","",IF(AND(Y5&lt;&gt;"参考",G5&gt;=ルール設定!$B$5,J5&gt;=ルール設定!$B$6,O5&gt;=ルール設定!$B$7),"○",""))</f>
        <v/>
      </c>
      <c r="T5" s="8" t="n">
        <v>4</v>
      </c>
      <c r="U5" s="8" t="n">
        <v>1</v>
      </c>
      <c r="V5" s="8" t="str">
        <f aca="false">IF(A5="","",IF(AND(ISNUMBER(T5),ISNUMBER(U5)),IF(AND(T5&lt;=3,U5&lt;=3),"○","×"),""))</f>
        <v>×</v>
      </c>
      <c r="W5" s="8"/>
      <c r="X5" s="8"/>
      <c r="Y5" s="4" t="s">
        <v>7597</v>
      </c>
      <c r="Z5" s="4" t="s">
        <v>7614</v>
      </c>
      <c r="AA5" s="8" t="str">
        <v/>
      </c>
      <c r="AB5" s="8" t="str">
        <v/>
      </c>
      <c r="AC5" s="8" t="str">
        <v/>
      </c>
      <c r="AD5" s="8" t="str">
        <v/>
      </c>
      <c r="AE5" s="8" t="str">
        <v/>
      </c>
      <c r="AF5" s="8" t="str">
        <v/>
      </c>
      <c r="AG5" s="8" t="str">
        <v/>
      </c>
      <c r="AH5" s="8" t="str">
        <v/>
      </c>
      <c r="AI5" s="8" t="n">
        <v>14</v>
      </c>
      <c r="AJ5" s="8" t="str">
        <v>～59</v>
      </c>
      <c r="AK5" s="8" t="str">
        <v>10～19</v>
      </c>
      <c r="AL5" s="8" t="str">
        <v>10～19</v>
      </c>
      <c r="AM5" s="8" t="str">
        <v>100～119</v>
      </c>
      <c r="AN5" s="8" t="str">
        <v>15以上</v>
      </c>
      <c r="AO5" s="8" t="str">
        <f aca="false">IF(A5="","",IF(COUNTIFS(全馬データ!$A$2:$A$50000,A5,全馬データ!$B$2:$B$50000,B5,全馬データ!$C$2:$C$50000,C5,全馬データ!$D$2:$D$50000,E5,全馬データ!$K$2:$K$50000,"&lt;&gt;")=0,"",SUMIFS(全馬データ!$K$2:$K$50000,全馬データ!$A$2:$A$50000,A5,全馬データ!$B$2:$B$50000,B5,全馬データ!$C$2:$C$50000,C5,全馬データ!$D$2:$D$50000,E5)))</f>
        <v/>
      </c>
      <c r="AP5" s="8" t="str">
        <f aca="false">IF(A5="","",IF(AO5="","欠損",IF(AO5&lt;=1.1,"1.0～1.1",IF(AO5&lt;1.3,"1.2",IF(AO5&lt;1.5,"1.3～1.4",IF(AO5&lt;2,"1.5～1.9","2.0以上"))))))</f>
        <v>欠損</v>
      </c>
      <c r="AQ5" s="8" t="str">
        <f aca="false">IF(A5="","",IF(ISNUMBER(SEARCH("2歳",Z5)),"2歳戦",IF(ISNUMBER(SEARCH("3歳未勝利",Z5)),"3歳未勝利",IF(ISNUMBER(SEARCH("未勝利",Z5)),"その他未勝利",IF(ISNUMBER(SEARCH("G1",Z5)),"G1",IF(ISNUMBER(SEARCH("G2",Z5)),"G2",IF(ISNUMBER(SEARCH("G3",Z5)),"G3",IF(ISNUMBER(SEARCH("古馬条件",Z5)),"古馬条件戦",IF(ISNUMBER(SEARCH("重賞",Z5)),"重賞","分類不能")))))))))</f>
        <v>分類不能</v>
      </c>
      <c r="AR5" s="8"/>
      <c r="AS5" s="8" t="s">
        <v>7623</v>
      </c>
      <c r="AT5" s="8" t="s">
        <v>7624</v>
      </c>
      <c r="AU5" s="8" t="s">
        <v>7600</v>
      </c>
      <c r="AV5" s="4" t="s">
        <v>7601</v>
      </c>
      <c r="AW5" s="8"/>
      <c r="AX5" s="8"/>
      <c r="AY5" s="8" t="s">
        <v>7610</v>
      </c>
      <c r="AZ5" s="4" t="s">
        <v>7617</v>
      </c>
      <c r="BA5" s="8" t="n">
        <v>1200</v>
      </c>
      <c r="BB5" s="8" t="s">
        <v>7618</v>
      </c>
      <c r="BC5" s="4" t="s">
        <v>7619</v>
      </c>
      <c r="BD5" s="8" t="s">
        <v>7625</v>
      </c>
      <c r="BE5" s="4" t="s">
        <v>7606</v>
      </c>
      <c r="BF5" s="8" t="s">
        <v>7607</v>
      </c>
      <c r="BG5" s="8" t="s">
        <v>7608</v>
      </c>
      <c r="BH5" s="4" t="s">
        <v>7609</v>
      </c>
      <c r="BI5" s="8" t="n">
        <v>15</v>
      </c>
      <c r="BJ5" s="8" t="s">
        <v>7610</v>
      </c>
      <c r="BK5" s="4" t="s">
        <v>7611</v>
      </c>
      <c r="BL5" s="8" t="s">
        <v>7602</v>
      </c>
      <c r="BM5" s="4" t="s">
        <v>7620</v>
      </c>
      <c r="BN5" s="8"/>
      <c r="BO5" s="8"/>
      <c r="BP5" s="8" t="s">
        <v>7602</v>
      </c>
      <c r="BQ5" s="8" t="str">
        <f aca="false">IF(A5="","",AT5)</f>
        <v>3歳</v>
      </c>
      <c r="BR5" s="8" t="str">
        <f aca="false">IF(A5="","",IF(BA5&lt;=1200,"～1200",IF(BA5&lt;=1500,"1300～1500",IF(BA5=1600,"1600",IF(BA5&lt;=1800,"1700～1800",IF(BA5&lt;=2000,"1900～2000","2100以上"))))))</f>
        <v>～1200</v>
      </c>
      <c r="BS5" s="8" t="str">
        <f aca="false">IF(A5="","",IF(AX5="G1","G1",IF(AX5="G2","G2",IF(AX5="G3","G3",IF(AX5="L","L","その他")))))</f>
        <v>その他</v>
      </c>
      <c r="BT5" s="8" t="str">
        <f aca="false">IF(A5="","",IF(BI5="","未結合",IF(D5=BI5,"一致","不一致")))</f>
        <v>一致</v>
      </c>
      <c r="BU5" s="8" t="str">
        <f aca="false">IF(A5="","",IF(BE5="牝馬限定","牝馬限定","その他"))</f>
        <v>その他</v>
      </c>
    </row>
    <row r="6" customFormat="false" ht="15.75" hidden="false" customHeight="false" outlineLevel="0" collapsed="false">
      <c r="A6" s="3" t="n">
        <v>46228</v>
      </c>
      <c r="B6" s="4" t="s">
        <v>13</v>
      </c>
      <c r="C6" s="8" t="n">
        <v>5</v>
      </c>
      <c r="D6" s="8" t="n">
        <v>11</v>
      </c>
      <c r="E6" s="8" t="n">
        <v>5</v>
      </c>
      <c r="F6" s="4" t="s">
        <v>66</v>
      </c>
      <c r="G6" s="8" t="n">
        <v>58</v>
      </c>
      <c r="H6" s="8" t="n">
        <v>7</v>
      </c>
      <c r="I6" s="4" t="s">
        <v>68</v>
      </c>
      <c r="J6" s="8" t="n">
        <v>47</v>
      </c>
      <c r="K6" s="8" t="n">
        <v>1</v>
      </c>
      <c r="L6" s="4" t="s">
        <v>62</v>
      </c>
      <c r="M6" s="8" t="n">
        <v>39</v>
      </c>
      <c r="N6" s="8" t="n">
        <f aca="false">IF(A6="","",G6-J6)</f>
        <v>11</v>
      </c>
      <c r="O6" s="8" t="n">
        <f aca="false">IF(A6="","",J6-M6)</f>
        <v>8</v>
      </c>
      <c r="P6" s="8" t="n">
        <f aca="false">IF(A6="","",G6+J6)</f>
        <v>105</v>
      </c>
      <c r="Q6" s="8" t="str">
        <f aca="false">IF(A6="","",IF(AND(Y6&lt;&gt;"参考",G6&gt;=ルール設定!$B$2),"○",""))</f>
        <v/>
      </c>
      <c r="R6" s="8" t="str">
        <f aca="false">IF(A6="","",IF(AND(Y6&lt;&gt;"参考",G6&gt;=ルール設定!$B$3,N6&gt;=ルール設定!$B$4),"○",""))</f>
        <v/>
      </c>
      <c r="S6" s="8" t="str">
        <f aca="false">IF(A6="","",IF(AND(Y6&lt;&gt;"参考",G6&gt;=ルール設定!$B$5,J6&gt;=ルール設定!$B$6,O6&gt;=ルール設定!$B$7),"○",""))</f>
        <v/>
      </c>
      <c r="T6" s="8" t="n">
        <v>1</v>
      </c>
      <c r="U6" s="8" t="n">
        <v>2</v>
      </c>
      <c r="V6" s="8" t="str">
        <f aca="false">IF(A6="","",IF(AND(ISNUMBER(T6),ISNUMBER(U6)),IF(AND(T6&lt;=3,U6&lt;=3),"○","×"),""))</f>
        <v>○</v>
      </c>
      <c r="W6" s="8" t="n">
        <v>130</v>
      </c>
      <c r="X6" s="8" t="n">
        <v>240</v>
      </c>
      <c r="Y6" s="4" t="s">
        <v>7597</v>
      </c>
      <c r="Z6" s="4" t="s">
        <v>7614</v>
      </c>
      <c r="AA6" s="8" t="str">
        <v/>
      </c>
      <c r="AB6" s="8" t="str">
        <v/>
      </c>
      <c r="AC6" s="8" t="str">
        <v/>
      </c>
      <c r="AD6" s="8" t="str">
        <v/>
      </c>
      <c r="AE6" s="8" t="str">
        <v/>
      </c>
      <c r="AF6" s="8" t="str">
        <v/>
      </c>
      <c r="AG6" s="8" t="str">
        <v/>
      </c>
      <c r="AH6" s="8" t="str">
        <v/>
      </c>
      <c r="AI6" s="8" t="n">
        <v>19</v>
      </c>
      <c r="AJ6" s="8" t="str">
        <v>～59</v>
      </c>
      <c r="AK6" s="8" t="str">
        <v>10～19</v>
      </c>
      <c r="AL6" s="8" t="str">
        <v>10～19</v>
      </c>
      <c r="AM6" s="8" t="str">
        <v>100～119</v>
      </c>
      <c r="AN6" s="8" t="str">
        <v>8～11</v>
      </c>
      <c r="AO6" s="8" t="str">
        <f aca="false">IF(A6="","",IF(COUNTIFS(全馬データ!$A$2:$A$50000,A6,全馬データ!$B$2:$B$50000,B6,全馬データ!$C$2:$C$50000,C6,全馬データ!$D$2:$D$50000,E6,全馬データ!$K$2:$K$50000,"&lt;&gt;")=0,"",SUMIFS(全馬データ!$K$2:$K$50000,全馬データ!$A$2:$A$50000,A6,全馬データ!$B$2:$B$50000,B6,全馬データ!$C$2:$C$50000,C6,全馬データ!$D$2:$D$50000,E6)))</f>
        <v/>
      </c>
      <c r="AP6" s="8" t="str">
        <f aca="false">IF(A6="","",IF(AO6="","欠損",IF(AO6&lt;=1.1,"1.0～1.1",IF(AO6&lt;1.3,"1.2",IF(AO6&lt;1.5,"1.3～1.4",IF(AO6&lt;2,"1.5～1.9","2.0以上"))))))</f>
        <v>欠損</v>
      </c>
      <c r="AQ6" s="8" t="str">
        <f aca="false">IF(A6="","",IF(ISNUMBER(SEARCH("2歳",Z6)),"2歳戦",IF(ISNUMBER(SEARCH("3歳未勝利",Z6)),"3歳未勝利",IF(ISNUMBER(SEARCH("未勝利",Z6)),"その他未勝利",IF(ISNUMBER(SEARCH("G1",Z6)),"G1",IF(ISNUMBER(SEARCH("G2",Z6)),"G2",IF(ISNUMBER(SEARCH("G3",Z6)),"G3",IF(ISNUMBER(SEARCH("古馬条件",Z6)),"古馬条件戦",IF(ISNUMBER(SEARCH("重賞",Z6)),"重賞","分類不能")))))))))</f>
        <v>分類不能</v>
      </c>
      <c r="AR6" s="8"/>
      <c r="AS6" s="8" t="s">
        <v>7626</v>
      </c>
      <c r="AT6" s="8" t="s">
        <v>7627</v>
      </c>
      <c r="AU6" s="8" t="s">
        <v>7628</v>
      </c>
      <c r="AV6" s="8" t="s">
        <v>7629</v>
      </c>
      <c r="AW6" s="8"/>
      <c r="AX6" s="8"/>
      <c r="AY6" s="8" t="s">
        <v>7602</v>
      </c>
      <c r="AZ6" s="4" t="s">
        <v>7603</v>
      </c>
      <c r="BA6" s="8" t="n">
        <v>1800</v>
      </c>
      <c r="BB6" s="8" t="s">
        <v>7598</v>
      </c>
      <c r="BC6" s="4" t="s">
        <v>7604</v>
      </c>
      <c r="BD6" s="8" t="s">
        <v>7630</v>
      </c>
      <c r="BE6" s="4" t="s">
        <v>7606</v>
      </c>
      <c r="BF6" s="8" t="s">
        <v>7607</v>
      </c>
      <c r="BG6" s="8" t="s">
        <v>7631</v>
      </c>
      <c r="BH6" s="4" t="s">
        <v>7632</v>
      </c>
      <c r="BI6" s="8" t="n">
        <v>11</v>
      </c>
      <c r="BJ6" s="8" t="s">
        <v>7610</v>
      </c>
      <c r="BK6" s="4" t="s">
        <v>7611</v>
      </c>
      <c r="BL6" s="8" t="s">
        <v>7610</v>
      </c>
      <c r="BM6" s="4" t="s">
        <v>7612</v>
      </c>
      <c r="BN6" s="8" t="s">
        <v>7602</v>
      </c>
      <c r="BO6" s="8" t="s">
        <v>7613</v>
      </c>
      <c r="BP6" s="8" t="s">
        <v>7602</v>
      </c>
      <c r="BQ6" s="8" t="str">
        <f aca="false">IF(A6="","",AT6)</f>
        <v>3歳以上</v>
      </c>
      <c r="BR6" s="8" t="str">
        <f aca="false">IF(A6="","",IF(BA6&lt;=1200,"～1200",IF(BA6&lt;=1500,"1300～1500",IF(BA6=1600,"1600",IF(BA6&lt;=1800,"1700～1800",IF(BA6&lt;=2000,"1900～2000","2100以上"))))))</f>
        <v>1700～1800</v>
      </c>
      <c r="BS6" s="8" t="str">
        <f aca="false">IF(A6="","",IF(AX6="G1","G1",IF(AX6="G2","G2",IF(AX6="G3","G3",IF(AX6="L","L","その他")))))</f>
        <v>その他</v>
      </c>
      <c r="BT6" s="8" t="str">
        <f aca="false">IF(A6="","",IF(BI6="","未結合",IF(D6=BI6,"一致","不一致")))</f>
        <v>一致</v>
      </c>
      <c r="BU6" s="8" t="str">
        <f aca="false">IF(A6="","",IF(BE6="牝馬限定","牝馬限定","その他"))</f>
        <v>その他</v>
      </c>
    </row>
    <row r="7" customFormat="false" ht="15.75" hidden="false" customHeight="false" outlineLevel="0" collapsed="false">
      <c r="A7" s="3" t="n">
        <v>46228</v>
      </c>
      <c r="B7" s="4" t="s">
        <v>13</v>
      </c>
      <c r="C7" s="8" t="n">
        <v>6</v>
      </c>
      <c r="D7" s="8" t="n">
        <v>15</v>
      </c>
      <c r="E7" s="8" t="n">
        <v>14</v>
      </c>
      <c r="F7" s="4" t="s">
        <v>86</v>
      </c>
      <c r="G7" s="8" t="n">
        <v>62</v>
      </c>
      <c r="H7" s="8" t="n">
        <v>9</v>
      </c>
      <c r="I7" s="4" t="s">
        <v>81</v>
      </c>
      <c r="J7" s="8" t="n">
        <v>50</v>
      </c>
      <c r="K7" s="8" t="n">
        <v>3</v>
      </c>
      <c r="L7" s="4" t="s">
        <v>75</v>
      </c>
      <c r="M7" s="8" t="n">
        <v>44</v>
      </c>
      <c r="N7" s="8" t="n">
        <f aca="false">IF(A7="","",G7-J7)</f>
        <v>12</v>
      </c>
      <c r="O7" s="8" t="n">
        <f aca="false">IF(A7="","",J7-M7)</f>
        <v>6</v>
      </c>
      <c r="P7" s="8" t="n">
        <f aca="false">IF(A7="","",G7+J7)</f>
        <v>112</v>
      </c>
      <c r="Q7" s="8" t="str">
        <f aca="false">IF(A7="","",IF(AND(Y7&lt;&gt;"参考",G7&gt;=ルール設定!$B$2),"○",""))</f>
        <v/>
      </c>
      <c r="R7" s="8" t="str">
        <f aca="false">IF(A7="","",IF(AND(Y7&lt;&gt;"参考",G7&gt;=ルール設定!$B$3,N7&gt;=ルール設定!$B$4),"○",""))</f>
        <v/>
      </c>
      <c r="S7" s="8" t="str">
        <f aca="false">IF(A7="","",IF(AND(Y7&lt;&gt;"参考",G7&gt;=ルール設定!$B$5,J7&gt;=ルール設定!$B$6,O7&gt;=ルール設定!$B$7),"○",""))</f>
        <v/>
      </c>
      <c r="T7" s="8" t="n">
        <v>3</v>
      </c>
      <c r="U7" s="8" t="n">
        <v>2</v>
      </c>
      <c r="V7" s="8" t="str">
        <f aca="false">IF(A7="","",IF(AND(ISNUMBER(T7),ISNUMBER(U7)),IF(AND(T7&lt;=3,U7&lt;=3),"○","×"),""))</f>
        <v>○</v>
      </c>
      <c r="W7" s="8" t="n">
        <v>130</v>
      </c>
      <c r="X7" s="8" t="n">
        <v>330</v>
      </c>
      <c r="Y7" s="4" t="s">
        <v>7597</v>
      </c>
      <c r="Z7" s="8"/>
      <c r="AA7" s="8" t="str">
        <v/>
      </c>
      <c r="AB7" s="8" t="str">
        <v/>
      </c>
      <c r="AC7" s="8" t="str">
        <v/>
      </c>
      <c r="AD7" s="8" t="str">
        <v/>
      </c>
      <c r="AE7" s="8" t="str">
        <v/>
      </c>
      <c r="AF7" s="8" t="str">
        <v/>
      </c>
      <c r="AG7" s="8" t="str">
        <v/>
      </c>
      <c r="AH7" s="8" t="str">
        <v/>
      </c>
      <c r="AI7" s="8" t="n">
        <v>18</v>
      </c>
      <c r="AJ7" s="8" t="str">
        <v>60～69</v>
      </c>
      <c r="AK7" s="8" t="str">
        <v>10～19</v>
      </c>
      <c r="AL7" s="8" t="str">
        <v>10～19</v>
      </c>
      <c r="AM7" s="8" t="str">
        <v>100～119</v>
      </c>
      <c r="AN7" s="8" t="str">
        <v>15以上</v>
      </c>
      <c r="AO7" s="8" t="str">
        <f aca="false">IF(A7="","",IF(COUNTIFS(全馬データ!$A$2:$A$50000,A7,全馬データ!$B$2:$B$50000,B7,全馬データ!$C$2:$C$50000,C7,全馬データ!$D$2:$D$50000,E7,全馬データ!$K$2:$K$50000,"&lt;&gt;")=0,"",SUMIFS(全馬データ!$K$2:$K$50000,全馬データ!$A$2:$A$50000,A7,全馬データ!$B$2:$B$50000,B7,全馬データ!$C$2:$C$50000,C7,全馬データ!$D$2:$D$50000,E7)))</f>
        <v/>
      </c>
      <c r="AP7" s="8" t="str">
        <f aca="false">IF(A7="","",IF(AO7="","欠損",IF(AO7&lt;=1.1,"1.0～1.1",IF(AO7&lt;1.3,"1.2",IF(AO7&lt;1.5,"1.3～1.4",IF(AO7&lt;2,"1.5～1.9","2.0以上"))))))</f>
        <v>欠損</v>
      </c>
      <c r="AQ7" s="8" t="str">
        <f aca="false">IF(A7="","",IF(ISNUMBER(SEARCH("2歳",Z7)),"2歳戦",IF(ISNUMBER(SEARCH("3歳未勝利",Z7)),"3歳未勝利",IF(ISNUMBER(SEARCH("未勝利",Z7)),"その他未勝利",IF(ISNUMBER(SEARCH("G1",Z7)),"G1",IF(ISNUMBER(SEARCH("G2",Z7)),"G2",IF(ISNUMBER(SEARCH("G3",Z7)),"G3",IF(ISNUMBER(SEARCH("古馬条件",Z7)),"古馬条件戦",IF(ISNUMBER(SEARCH("重賞",Z7)),"重賞","分類不能")))))))))</f>
        <v>分類不能</v>
      </c>
      <c r="AR7" s="4" t="s">
        <v>7633</v>
      </c>
      <c r="AS7" s="8" t="s">
        <v>7626</v>
      </c>
      <c r="AT7" s="8" t="s">
        <v>7627</v>
      </c>
      <c r="AU7" s="8" t="s">
        <v>7634</v>
      </c>
      <c r="AV7" s="8" t="s">
        <v>7635</v>
      </c>
      <c r="AW7" s="8" t="s">
        <v>7636</v>
      </c>
      <c r="AX7" s="4" t="s">
        <v>7637</v>
      </c>
      <c r="AY7" s="8" t="s">
        <v>7602</v>
      </c>
      <c r="AZ7" s="4" t="s">
        <v>7603</v>
      </c>
      <c r="BA7" s="8" t="n">
        <v>1600</v>
      </c>
      <c r="BB7" s="8" t="s">
        <v>7598</v>
      </c>
      <c r="BC7" s="4" t="s">
        <v>7604</v>
      </c>
      <c r="BD7" s="8" t="s">
        <v>7630</v>
      </c>
      <c r="BE7" s="4" t="s">
        <v>7606</v>
      </c>
      <c r="BF7" s="8" t="s">
        <v>7607</v>
      </c>
      <c r="BG7" s="8" t="s">
        <v>7631</v>
      </c>
      <c r="BH7" s="4" t="s">
        <v>7632</v>
      </c>
      <c r="BI7" s="8" t="n">
        <v>15</v>
      </c>
      <c r="BJ7" s="8" t="s">
        <v>7610</v>
      </c>
      <c r="BK7" s="4" t="s">
        <v>7611</v>
      </c>
      <c r="BL7" s="8" t="s">
        <v>7610</v>
      </c>
      <c r="BM7" s="4" t="s">
        <v>7612</v>
      </c>
      <c r="BN7" s="8" t="s">
        <v>7602</v>
      </c>
      <c r="BO7" s="8" t="s">
        <v>7613</v>
      </c>
      <c r="BP7" s="8" t="s">
        <v>7602</v>
      </c>
      <c r="BQ7" s="8" t="str">
        <f aca="false">IF(A7="","",AT7)</f>
        <v>3歳以上</v>
      </c>
      <c r="BR7" s="8" t="str">
        <f aca="false">IF(A7="","",IF(BA7&lt;=1200,"～1200",IF(BA7&lt;=1500,"1300～1500",IF(BA7=1600,"1600",IF(BA7&lt;=1800,"1700～1800",IF(BA7&lt;=2000,"1900～2000","2100以上"))))))</f>
        <v>1600</v>
      </c>
      <c r="BS7" s="8" t="str">
        <f aca="false">IF(A7="","",IF(AX7="G1","G1",IF(AX7="G2","G2",IF(AX7="G3","G3",IF(AX7="L","L","その他")))))</f>
        <v>その他</v>
      </c>
      <c r="BT7" s="8" t="str">
        <f aca="false">IF(A7="","",IF(BI7="","未結合",IF(D7=BI7,"一致","不一致")))</f>
        <v>一致</v>
      </c>
      <c r="BU7" s="8" t="str">
        <f aca="false">IF(A7="","",IF(BE7="牝馬限定","牝馬限定","その他"))</f>
        <v>その他</v>
      </c>
    </row>
    <row r="8" customFormat="false" ht="15.75" hidden="false" customHeight="false" outlineLevel="0" collapsed="false">
      <c r="A8" s="3" t="n">
        <v>46228</v>
      </c>
      <c r="B8" s="4" t="s">
        <v>13</v>
      </c>
      <c r="C8" s="8" t="n">
        <v>7</v>
      </c>
      <c r="D8" s="8" t="n">
        <v>18</v>
      </c>
      <c r="E8" s="8" t="n">
        <v>2</v>
      </c>
      <c r="F8" s="4" t="s">
        <v>89</v>
      </c>
      <c r="G8" s="8" t="n">
        <v>67</v>
      </c>
      <c r="H8" s="8" t="n">
        <v>17</v>
      </c>
      <c r="I8" s="4" t="s">
        <v>104</v>
      </c>
      <c r="J8" s="8" t="n">
        <v>31</v>
      </c>
      <c r="K8" s="8" t="n">
        <v>8</v>
      </c>
      <c r="L8" s="4" t="s">
        <v>95</v>
      </c>
      <c r="M8" s="8" t="n">
        <v>29</v>
      </c>
      <c r="N8" s="8" t="n">
        <f aca="false">IF(A8="","",G8-J8)</f>
        <v>36</v>
      </c>
      <c r="O8" s="8" t="n">
        <f aca="false">IF(A8="","",J8-M8)</f>
        <v>2</v>
      </c>
      <c r="P8" s="8" t="n">
        <f aca="false">IF(A8="","",G8+J8)</f>
        <v>98</v>
      </c>
      <c r="Q8" s="8" t="str">
        <f aca="false">IF(A8="","",IF(AND(Y8&lt;&gt;"参考",G8&gt;=ルール設定!$B$2),"○",""))</f>
        <v/>
      </c>
      <c r="R8" s="8" t="str">
        <f aca="false">IF(A8="","",IF(AND(Y8&lt;&gt;"参考",G8&gt;=ルール設定!$B$3,N8&gt;=ルール設定!$B$4),"○",""))</f>
        <v/>
      </c>
      <c r="S8" s="8" t="str">
        <f aca="false">IF(A8="","",IF(AND(Y8&lt;&gt;"参考",G8&gt;=ルール設定!$B$5,J8&gt;=ルール設定!$B$6,O8&gt;=ルール設定!$B$7),"○",""))</f>
        <v/>
      </c>
      <c r="T8" s="8" t="n">
        <v>4</v>
      </c>
      <c r="U8" s="8" t="n">
        <v>4</v>
      </c>
      <c r="V8" s="8" t="str">
        <f aca="false">IF(A8="","",IF(AND(ISNUMBER(T8),ISNUMBER(U8)),IF(AND(T8&lt;=3,U8&lt;=3),"○","×"),""))</f>
        <v>×</v>
      </c>
      <c r="W8" s="8"/>
      <c r="X8" s="8"/>
      <c r="Y8" s="4" t="s">
        <v>7597</v>
      </c>
      <c r="Z8" s="8"/>
      <c r="AA8" s="8" t="str">
        <v/>
      </c>
      <c r="AB8" s="8" t="str">
        <v/>
      </c>
      <c r="AC8" s="8" t="str">
        <v/>
      </c>
      <c r="AD8" s="8" t="str">
        <v/>
      </c>
      <c r="AE8" s="8" t="str">
        <v/>
      </c>
      <c r="AF8" s="8" t="str">
        <v/>
      </c>
      <c r="AG8" s="8" t="str">
        <v/>
      </c>
      <c r="AH8" s="8" t="str">
        <v/>
      </c>
      <c r="AI8" s="8" t="n">
        <v>38</v>
      </c>
      <c r="AJ8" s="8" t="str">
        <v>60～69</v>
      </c>
      <c r="AK8" s="8" t="str">
        <v>30以上</v>
      </c>
      <c r="AL8" s="8" t="str">
        <v>30～39</v>
      </c>
      <c r="AM8" s="8" t="str">
        <v>～99</v>
      </c>
      <c r="AN8" s="8" t="str">
        <v>15以上</v>
      </c>
      <c r="AO8" s="8" t="str">
        <f aca="false">IF(A8="","",IF(COUNTIFS(全馬データ!$A$2:$A$50000,A8,全馬データ!$B$2:$B$50000,B8,全馬データ!$C$2:$C$50000,C8,全馬データ!$D$2:$D$50000,E8,全馬データ!$K$2:$K$50000,"&lt;&gt;")=0,"",SUMIFS(全馬データ!$K$2:$K$50000,全馬データ!$A$2:$A$50000,A8,全馬データ!$B$2:$B$50000,B8,全馬データ!$C$2:$C$50000,C8,全馬データ!$D$2:$D$50000,E8)))</f>
        <v/>
      </c>
      <c r="AP8" s="8" t="str">
        <f aca="false">IF(A8="","",IF(AO8="","欠損",IF(AO8&lt;=1.1,"1.0～1.1",IF(AO8&lt;1.3,"1.2",IF(AO8&lt;1.5,"1.3～1.4",IF(AO8&lt;2,"1.5～1.9","2.0以上"))))))</f>
        <v>欠損</v>
      </c>
      <c r="AQ8" s="8" t="str">
        <f aca="false">IF(A8="","",IF(ISNUMBER(SEARCH("2歳",Z8)),"2歳戦",IF(ISNUMBER(SEARCH("3歳未勝利",Z8)),"3歳未勝利",IF(ISNUMBER(SEARCH("未勝利",Z8)),"その他未勝利",IF(ISNUMBER(SEARCH("G1",Z8)),"G1",IF(ISNUMBER(SEARCH("G2",Z8)),"G2",IF(ISNUMBER(SEARCH("G3",Z8)),"G3",IF(ISNUMBER(SEARCH("古馬条件",Z8)),"古馬条件戦",IF(ISNUMBER(SEARCH("重賞",Z8)),"重賞","分類不能")))))))))</f>
        <v>分類不能</v>
      </c>
      <c r="AR8" s="4" t="s">
        <v>7638</v>
      </c>
      <c r="AS8" s="8" t="s">
        <v>7626</v>
      </c>
      <c r="AT8" s="8" t="s">
        <v>7627</v>
      </c>
      <c r="AU8" s="8" t="s">
        <v>7639</v>
      </c>
      <c r="AV8" s="8" t="s">
        <v>7640</v>
      </c>
      <c r="AW8" s="8" t="s">
        <v>7636</v>
      </c>
      <c r="AX8" s="4" t="s">
        <v>7637</v>
      </c>
      <c r="AY8" s="8" t="s">
        <v>7602</v>
      </c>
      <c r="AZ8" s="4" t="s">
        <v>7603</v>
      </c>
      <c r="BA8" s="8" t="n">
        <v>1400</v>
      </c>
      <c r="BB8" s="8" t="s">
        <v>7598</v>
      </c>
      <c r="BC8" s="4" t="s">
        <v>7604</v>
      </c>
      <c r="BD8" s="8" t="s">
        <v>7630</v>
      </c>
      <c r="BE8" s="4" t="s">
        <v>7606</v>
      </c>
      <c r="BF8" s="8" t="s">
        <v>7607</v>
      </c>
      <c r="BG8" s="8" t="s">
        <v>7631</v>
      </c>
      <c r="BH8" s="4" t="s">
        <v>7632</v>
      </c>
      <c r="BI8" s="8" t="n">
        <v>18</v>
      </c>
      <c r="BJ8" s="8" t="s">
        <v>7610</v>
      </c>
      <c r="BK8" s="4" t="s">
        <v>7611</v>
      </c>
      <c r="BL8" s="8" t="s">
        <v>7602</v>
      </c>
      <c r="BM8" s="4" t="s">
        <v>7620</v>
      </c>
      <c r="BN8" s="8" t="s">
        <v>7602</v>
      </c>
      <c r="BO8" s="8" t="s">
        <v>7613</v>
      </c>
      <c r="BP8" s="8" t="s">
        <v>7602</v>
      </c>
      <c r="BQ8" s="8" t="str">
        <f aca="false">IF(A8="","",AT8)</f>
        <v>3歳以上</v>
      </c>
      <c r="BR8" s="8" t="str">
        <f aca="false">IF(A8="","",IF(BA8&lt;=1200,"～1200",IF(BA8&lt;=1500,"1300～1500",IF(BA8=1600,"1600",IF(BA8&lt;=1800,"1700～1800",IF(BA8&lt;=2000,"1900～2000","2100以上"))))))</f>
        <v>1300～1500</v>
      </c>
      <c r="BS8" s="8" t="str">
        <f aca="false">IF(A8="","",IF(AX8="G1","G1",IF(AX8="G2","G2",IF(AX8="G3","G3",IF(AX8="L","L","その他")))))</f>
        <v>その他</v>
      </c>
      <c r="BT8" s="8" t="str">
        <f aca="false">IF(A8="","",IF(BI8="","未結合",IF(D8=BI8,"一致","不一致")))</f>
        <v>一致</v>
      </c>
      <c r="BU8" s="8" t="str">
        <f aca="false">IF(A8="","",IF(BE8="牝馬限定","牝馬限定","その他"))</f>
        <v>その他</v>
      </c>
    </row>
    <row r="9" customFormat="false" ht="15.75" hidden="false" customHeight="false" outlineLevel="0" collapsed="false">
      <c r="A9" s="3" t="n">
        <v>46228</v>
      </c>
      <c r="B9" s="4" t="s">
        <v>13</v>
      </c>
      <c r="C9" s="8" t="n">
        <v>8</v>
      </c>
      <c r="D9" s="8" t="n">
        <v>13</v>
      </c>
      <c r="E9" s="8" t="n">
        <v>10</v>
      </c>
      <c r="F9" s="4" t="s">
        <v>115</v>
      </c>
      <c r="G9" s="8" t="n">
        <v>62</v>
      </c>
      <c r="H9" s="8" t="n">
        <v>11</v>
      </c>
      <c r="I9" s="4" t="s">
        <v>116</v>
      </c>
      <c r="J9" s="8" t="n">
        <v>60</v>
      </c>
      <c r="K9" s="8" t="n">
        <v>5</v>
      </c>
      <c r="L9" s="4" t="s">
        <v>110</v>
      </c>
      <c r="M9" s="8" t="n">
        <v>37</v>
      </c>
      <c r="N9" s="8" t="n">
        <f aca="false">IF(A9="","",G9-J9)</f>
        <v>2</v>
      </c>
      <c r="O9" s="8" t="n">
        <f aca="false">IF(A9="","",J9-M9)</f>
        <v>23</v>
      </c>
      <c r="P9" s="8" t="n">
        <f aca="false">IF(A9="","",G9+J9)</f>
        <v>122</v>
      </c>
      <c r="Q9" s="8" t="str">
        <f aca="false">IF(A9="","",IF(AND(Y9&lt;&gt;"参考",G9&gt;=ルール設定!$B$2),"○",""))</f>
        <v/>
      </c>
      <c r="R9" s="8" t="str">
        <f aca="false">IF(A9="","",IF(AND(Y9&lt;&gt;"参考",G9&gt;=ルール設定!$B$3,N9&gt;=ルール設定!$B$4),"○",""))</f>
        <v/>
      </c>
      <c r="S9" s="8" t="str">
        <f aca="false">IF(A9="","",IF(AND(Y9&lt;&gt;"参考",G9&gt;=ルール設定!$B$5,J9&gt;=ルール設定!$B$6,O9&gt;=ルール設定!$B$7),"○",""))</f>
        <v>○</v>
      </c>
      <c r="T9" s="8" t="n">
        <v>2</v>
      </c>
      <c r="U9" s="8" t="n">
        <v>4</v>
      </c>
      <c r="V9" s="8" t="str">
        <f aca="false">IF(A9="","",IF(AND(ISNUMBER(T9),ISNUMBER(U9)),IF(AND(T9&lt;=3,U9&lt;=3),"○","×"),""))</f>
        <v>×</v>
      </c>
      <c r="W9" s="8" t="n">
        <v>200</v>
      </c>
      <c r="X9" s="8"/>
      <c r="Y9" s="4" t="s">
        <v>7597</v>
      </c>
      <c r="Z9" s="8"/>
      <c r="AA9" s="8" t="str">
        <v/>
      </c>
      <c r="AB9" s="8" t="str">
        <v/>
      </c>
      <c r="AC9" s="8" t="str">
        <v/>
      </c>
      <c r="AD9" s="8" t="str">
        <v/>
      </c>
      <c r="AE9" s="8" t="str">
        <v/>
      </c>
      <c r="AF9" s="8" t="str">
        <v/>
      </c>
      <c r="AG9" s="8" t="str">
        <v/>
      </c>
      <c r="AH9" s="8" t="str">
        <v/>
      </c>
      <c r="AI9" s="8" t="n">
        <v>25</v>
      </c>
      <c r="AJ9" s="8" t="str">
        <v>60～69</v>
      </c>
      <c r="AK9" s="8" t="str">
        <v>0～4</v>
      </c>
      <c r="AL9" s="8" t="str">
        <v>20～29</v>
      </c>
      <c r="AM9" s="8" t="str">
        <v>120～139</v>
      </c>
      <c r="AN9" s="8" t="str">
        <v>12～14</v>
      </c>
      <c r="AO9" s="8" t="str">
        <f aca="false">IF(A9="","",IF(COUNTIFS(全馬データ!$A$2:$A$50000,A9,全馬データ!$B$2:$B$50000,B9,全馬データ!$C$2:$C$50000,C9,全馬データ!$D$2:$D$50000,E9,全馬データ!$K$2:$K$50000,"&lt;&gt;")=0,"",SUMIFS(全馬データ!$K$2:$K$50000,全馬データ!$A$2:$A$50000,A9,全馬データ!$B$2:$B$50000,B9,全馬データ!$C$2:$C$50000,C9,全馬データ!$D$2:$D$50000,E9)))</f>
        <v/>
      </c>
      <c r="AP9" s="8" t="str">
        <f aca="false">IF(A9="","",IF(AO9="","欠損",IF(AO9&lt;=1.1,"1.0～1.1",IF(AO9&lt;1.3,"1.2",IF(AO9&lt;1.5,"1.3～1.4",IF(AO9&lt;2,"1.5～1.9","2.0以上"))))))</f>
        <v>欠損</v>
      </c>
      <c r="AQ9" s="8" t="str">
        <f aca="false">IF(A9="","",IF(ISNUMBER(SEARCH("2歳",Z9)),"2歳戦",IF(ISNUMBER(SEARCH("3歳未勝利",Z9)),"3歳未勝利",IF(ISNUMBER(SEARCH("未勝利",Z9)),"その他未勝利",IF(ISNUMBER(SEARCH("G1",Z9)),"G1",IF(ISNUMBER(SEARCH("G2",Z9)),"G2",IF(ISNUMBER(SEARCH("G3",Z9)),"G3",IF(ISNUMBER(SEARCH("古馬条件",Z9)),"古馬条件戦",IF(ISNUMBER(SEARCH("重賞",Z9)),"重賞","分類不能")))))))))</f>
        <v>分類不能</v>
      </c>
      <c r="AR9" s="4" t="s">
        <v>7641</v>
      </c>
      <c r="AS9" s="8" t="s">
        <v>7626</v>
      </c>
      <c r="AT9" s="8" t="s">
        <v>7627</v>
      </c>
      <c r="AU9" s="8" t="s">
        <v>7628</v>
      </c>
      <c r="AV9" s="8" t="s">
        <v>7629</v>
      </c>
      <c r="AW9" s="8" t="s">
        <v>7636</v>
      </c>
      <c r="AX9" s="4" t="s">
        <v>7637</v>
      </c>
      <c r="AY9" s="8" t="s">
        <v>7610</v>
      </c>
      <c r="AZ9" s="4" t="s">
        <v>7617</v>
      </c>
      <c r="BA9" s="8" t="n">
        <v>1800</v>
      </c>
      <c r="BB9" s="8" t="s">
        <v>7618</v>
      </c>
      <c r="BC9" s="4" t="s">
        <v>7619</v>
      </c>
      <c r="BD9" s="8" t="s">
        <v>7605</v>
      </c>
      <c r="BE9" s="4" t="s">
        <v>7606</v>
      </c>
      <c r="BF9" s="8" t="s">
        <v>7607</v>
      </c>
      <c r="BG9" s="8" t="s">
        <v>7631</v>
      </c>
      <c r="BH9" s="4" t="s">
        <v>7632</v>
      </c>
      <c r="BI9" s="8" t="n">
        <v>13</v>
      </c>
      <c r="BJ9" s="8" t="s">
        <v>7610</v>
      </c>
      <c r="BK9" s="4" t="s">
        <v>7611</v>
      </c>
      <c r="BL9" s="8" t="s">
        <v>7602</v>
      </c>
      <c r="BM9" s="4" t="s">
        <v>7620</v>
      </c>
      <c r="BN9" s="8"/>
      <c r="BO9" s="8"/>
      <c r="BP9" s="8" t="s">
        <v>7602</v>
      </c>
      <c r="BQ9" s="8" t="str">
        <f aca="false">IF(A9="","",AT9)</f>
        <v>3歳以上</v>
      </c>
      <c r="BR9" s="8" t="str">
        <f aca="false">IF(A9="","",IF(BA9&lt;=1200,"～1200",IF(BA9&lt;=1500,"1300～1500",IF(BA9=1600,"1600",IF(BA9&lt;=1800,"1700～1800",IF(BA9&lt;=2000,"1900～2000","2100以上"))))))</f>
        <v>1700～1800</v>
      </c>
      <c r="BS9" s="8" t="str">
        <f aca="false">IF(A9="","",IF(AX9="G1","G1",IF(AX9="G2","G2",IF(AX9="G3","G3",IF(AX9="L","L","その他")))))</f>
        <v>その他</v>
      </c>
      <c r="BT9" s="8" t="str">
        <f aca="false">IF(A9="","",IF(BI9="","未結合",IF(D9=BI9,"一致","不一致")))</f>
        <v>一致</v>
      </c>
      <c r="BU9" s="8" t="str">
        <f aca="false">IF(A9="","",IF(BE9="牝馬限定","牝馬限定","その他"))</f>
        <v>その他</v>
      </c>
    </row>
    <row r="10" customFormat="false" ht="15.75" hidden="false" customHeight="false" outlineLevel="0" collapsed="false">
      <c r="A10" s="3" t="n">
        <v>46228</v>
      </c>
      <c r="B10" s="4" t="s">
        <v>13</v>
      </c>
      <c r="C10" s="8" t="n">
        <v>9</v>
      </c>
      <c r="D10" s="8" t="n">
        <v>10</v>
      </c>
      <c r="E10" s="8" t="n">
        <v>3</v>
      </c>
      <c r="F10" s="4" t="s">
        <v>121</v>
      </c>
      <c r="G10" s="8" t="n">
        <v>55</v>
      </c>
      <c r="H10" s="8" t="n">
        <v>8</v>
      </c>
      <c r="I10" s="4" t="s">
        <v>126</v>
      </c>
      <c r="J10" s="8" t="n">
        <v>44</v>
      </c>
      <c r="K10" s="8" t="n">
        <v>1</v>
      </c>
      <c r="L10" s="4" t="s">
        <v>119</v>
      </c>
      <c r="M10" s="8" t="n">
        <v>37</v>
      </c>
      <c r="N10" s="8" t="n">
        <f aca="false">IF(A10="","",G10-J10)</f>
        <v>11</v>
      </c>
      <c r="O10" s="8" t="n">
        <f aca="false">IF(A10="","",J10-M10)</f>
        <v>7</v>
      </c>
      <c r="P10" s="8" t="n">
        <f aca="false">IF(A10="","",G10+J10)</f>
        <v>99</v>
      </c>
      <c r="Q10" s="8" t="str">
        <f aca="false">IF(A10="","",IF(AND(Y10&lt;&gt;"参考",G10&gt;=ルール設定!$B$2),"○",""))</f>
        <v/>
      </c>
      <c r="R10" s="8" t="str">
        <f aca="false">IF(A10="","",IF(AND(Y10&lt;&gt;"参考",G10&gt;=ルール設定!$B$3,N10&gt;=ルール設定!$B$4),"○",""))</f>
        <v/>
      </c>
      <c r="S10" s="8" t="str">
        <f aca="false">IF(A10="","",IF(AND(Y10&lt;&gt;"参考",G10&gt;=ルール設定!$B$5,J10&gt;=ルール設定!$B$6,O10&gt;=ルール設定!$B$7),"○",""))</f>
        <v/>
      </c>
      <c r="T10" s="8" t="n">
        <v>4</v>
      </c>
      <c r="U10" s="8" t="n">
        <v>1</v>
      </c>
      <c r="V10" s="8" t="str">
        <f aca="false">IF(A10="","",IF(AND(ISNUMBER(T10),ISNUMBER(U10)),IF(AND(T10&lt;=3,U10&lt;=3),"○","×"),""))</f>
        <v>×</v>
      </c>
      <c r="W10" s="8"/>
      <c r="X10" s="8"/>
      <c r="Y10" s="4" t="s">
        <v>7597</v>
      </c>
      <c r="Z10" s="4" t="s">
        <v>7614</v>
      </c>
      <c r="AA10" s="8" t="str">
        <v/>
      </c>
      <c r="AB10" s="8" t="str">
        <v/>
      </c>
      <c r="AC10" s="8" t="str">
        <v/>
      </c>
      <c r="AD10" s="8" t="str">
        <v/>
      </c>
      <c r="AE10" s="8" t="str">
        <v/>
      </c>
      <c r="AF10" s="8" t="str">
        <v/>
      </c>
      <c r="AG10" s="8" t="str">
        <v/>
      </c>
      <c r="AH10" s="8" t="str">
        <v/>
      </c>
      <c r="AI10" s="8" t="n">
        <v>18</v>
      </c>
      <c r="AJ10" s="8" t="str">
        <v>～59</v>
      </c>
      <c r="AK10" s="8" t="str">
        <v>10～19</v>
      </c>
      <c r="AL10" s="8" t="str">
        <v>10～19</v>
      </c>
      <c r="AM10" s="8" t="str">
        <v>～99</v>
      </c>
      <c r="AN10" s="8" t="str">
        <v>8～11</v>
      </c>
      <c r="AO10" s="8" t="str">
        <f aca="false">IF(A10="","",IF(COUNTIFS(全馬データ!$A$2:$A$50000,A10,全馬データ!$B$2:$B$50000,B10,全馬データ!$C$2:$C$50000,C10,全馬データ!$D$2:$D$50000,E10,全馬データ!$K$2:$K$50000,"&lt;&gt;")=0,"",SUMIFS(全馬データ!$K$2:$K$50000,全馬データ!$A$2:$A$50000,A10,全馬データ!$B$2:$B$50000,B10,全馬データ!$C$2:$C$50000,C10,全馬データ!$D$2:$D$50000,E10)))</f>
        <v/>
      </c>
      <c r="AP10" s="8" t="str">
        <f aca="false">IF(A10="","",IF(AO10="","欠損",IF(AO10&lt;=1.1,"1.0～1.1",IF(AO10&lt;1.3,"1.2",IF(AO10&lt;1.5,"1.3～1.4",IF(AO10&lt;2,"1.5～1.9","2.0以上"))))))</f>
        <v>欠損</v>
      </c>
      <c r="AQ10" s="8" t="str">
        <f aca="false">IF(A10="","",IF(ISNUMBER(SEARCH("2歳",Z10)),"2歳戦",IF(ISNUMBER(SEARCH("3歳未勝利",Z10)),"3歳未勝利",IF(ISNUMBER(SEARCH("未勝利",Z10)),"その他未勝利",IF(ISNUMBER(SEARCH("G1",Z10)),"G1",IF(ISNUMBER(SEARCH("G2",Z10)),"G2",IF(ISNUMBER(SEARCH("G3",Z10)),"G3",IF(ISNUMBER(SEARCH("古馬条件",Z10)),"古馬条件戦",IF(ISNUMBER(SEARCH("重賞",Z10)),"重賞","分類不能")))))))))</f>
        <v>分類不能</v>
      </c>
      <c r="AR10" s="8"/>
      <c r="AS10" s="8" t="s">
        <v>7618</v>
      </c>
      <c r="AT10" s="4" t="s">
        <v>7642</v>
      </c>
      <c r="AU10" s="8" t="s">
        <v>7643</v>
      </c>
      <c r="AV10" s="4" t="s">
        <v>7644</v>
      </c>
      <c r="AW10" s="8"/>
      <c r="AX10" s="8"/>
      <c r="AY10" s="8" t="s">
        <v>7608</v>
      </c>
      <c r="AZ10" s="4" t="s">
        <v>7642</v>
      </c>
      <c r="BA10" s="8" t="n">
        <v>2850</v>
      </c>
      <c r="BB10" s="8" t="s">
        <v>7634</v>
      </c>
      <c r="BC10" s="4" t="s">
        <v>7604</v>
      </c>
      <c r="BD10" s="8" t="s">
        <v>7645</v>
      </c>
      <c r="BE10" s="4" t="s">
        <v>7606</v>
      </c>
      <c r="BF10" s="8" t="s">
        <v>7607</v>
      </c>
      <c r="BG10" s="8" t="s">
        <v>7610</v>
      </c>
      <c r="BH10" s="4" t="s">
        <v>7646</v>
      </c>
      <c r="BI10" s="8" t="n">
        <v>10</v>
      </c>
      <c r="BJ10" s="8" t="s">
        <v>7647</v>
      </c>
      <c r="BK10" s="4" t="s">
        <v>7648</v>
      </c>
      <c r="BL10" s="8" t="s">
        <v>7647</v>
      </c>
      <c r="BM10" s="4" t="s">
        <v>7648</v>
      </c>
      <c r="BN10" s="8"/>
      <c r="BO10" s="8"/>
      <c r="BP10" s="8" t="s">
        <v>7602</v>
      </c>
      <c r="BQ10" s="8" t="str">
        <f aca="false">IF(A10="","",AT10)</f>
        <v>障害</v>
      </c>
      <c r="BR10" s="8" t="str">
        <f aca="false">IF(A10="","",IF(BA10&lt;=1200,"～1200",IF(BA10&lt;=1500,"1300～1500",IF(BA10=1600,"1600",IF(BA10&lt;=1800,"1700～1800",IF(BA10&lt;=2000,"1900～2000","2100以上"))))))</f>
        <v>2100以上</v>
      </c>
      <c r="BS10" s="8" t="str">
        <f aca="false">IF(A10="","",IF(AX10="G1","G1",IF(AX10="G2","G2",IF(AX10="G3","G3",IF(AX10="L","L","その他")))))</f>
        <v>その他</v>
      </c>
      <c r="BT10" s="8" t="str">
        <f aca="false">IF(A10="","",IF(BI10="","未結合",IF(D10=BI10,"一致","不一致")))</f>
        <v>一致</v>
      </c>
      <c r="BU10" s="8" t="str">
        <f aca="false">IF(A10="","",IF(BE10="牝馬限定","牝馬限定","その他"))</f>
        <v>その他</v>
      </c>
    </row>
    <row r="11" customFormat="false" ht="15.75" hidden="false" customHeight="false" outlineLevel="0" collapsed="false">
      <c r="A11" s="3" t="n">
        <v>46228</v>
      </c>
      <c r="B11" s="4" t="s">
        <v>13</v>
      </c>
      <c r="C11" s="8" t="n">
        <v>10</v>
      </c>
      <c r="D11" s="8" t="n">
        <v>15</v>
      </c>
      <c r="E11" s="8" t="n">
        <v>1</v>
      </c>
      <c r="F11" s="4" t="s">
        <v>129</v>
      </c>
      <c r="G11" s="8" t="n">
        <v>62</v>
      </c>
      <c r="H11" s="8" t="n">
        <v>12</v>
      </c>
      <c r="I11" s="4" t="s">
        <v>140</v>
      </c>
      <c r="J11" s="8" t="n">
        <v>52</v>
      </c>
      <c r="K11" s="8" t="n">
        <v>9</v>
      </c>
      <c r="L11" s="4" t="s">
        <v>137</v>
      </c>
      <c r="M11" s="8" t="n">
        <v>47</v>
      </c>
      <c r="N11" s="8" t="n">
        <f aca="false">IF(A11="","",G11-J11)</f>
        <v>10</v>
      </c>
      <c r="O11" s="8" t="n">
        <f aca="false">IF(A11="","",J11-M11)</f>
        <v>5</v>
      </c>
      <c r="P11" s="8" t="n">
        <f aca="false">IF(A11="","",G11+J11)</f>
        <v>114</v>
      </c>
      <c r="Q11" s="8" t="str">
        <f aca="false">IF(A11="","",IF(AND(Y11&lt;&gt;"参考",G11&gt;=ルール設定!$B$2),"○",""))</f>
        <v/>
      </c>
      <c r="R11" s="8" t="str">
        <f aca="false">IF(A11="","",IF(AND(Y11&lt;&gt;"参考",G11&gt;=ルール設定!$B$3,N11&gt;=ルール設定!$B$4),"○",""))</f>
        <v/>
      </c>
      <c r="S11" s="8" t="str">
        <f aca="false">IF(A11="","",IF(AND(Y11&lt;&gt;"参考",G11&gt;=ルール設定!$B$5,J11&gt;=ルール設定!$B$6,O11&gt;=ルール設定!$B$7),"○",""))</f>
        <v/>
      </c>
      <c r="T11" s="8" t="n">
        <v>4</v>
      </c>
      <c r="U11" s="8" t="n">
        <v>3</v>
      </c>
      <c r="V11" s="8" t="str">
        <f aca="false">IF(A11="","",IF(AND(ISNUMBER(T11),ISNUMBER(U11)),IF(AND(T11&lt;=3,U11&lt;=3),"○","×"),""))</f>
        <v>×</v>
      </c>
      <c r="W11" s="8"/>
      <c r="X11" s="8"/>
      <c r="Y11" s="4" t="s">
        <v>7597</v>
      </c>
      <c r="Z11" s="8"/>
      <c r="AA11" s="8" t="str">
        <v/>
      </c>
      <c r="AB11" s="8" t="str">
        <v/>
      </c>
      <c r="AC11" s="8" t="str">
        <v/>
      </c>
      <c r="AD11" s="8" t="str">
        <v/>
      </c>
      <c r="AE11" s="8" t="str">
        <v/>
      </c>
      <c r="AF11" s="8" t="str">
        <v/>
      </c>
      <c r="AG11" s="8" t="str">
        <v/>
      </c>
      <c r="AH11" s="8" t="str">
        <v/>
      </c>
      <c r="AI11" s="8" t="n">
        <v>15</v>
      </c>
      <c r="AJ11" s="8" t="str">
        <v>60～69</v>
      </c>
      <c r="AK11" s="8" t="str">
        <v>10～19</v>
      </c>
      <c r="AL11" s="8" t="str">
        <v>10～19</v>
      </c>
      <c r="AM11" s="8" t="str">
        <v>100～119</v>
      </c>
      <c r="AN11" s="8" t="str">
        <v>15以上</v>
      </c>
      <c r="AO11" s="8" t="str">
        <f aca="false">IF(A11="","",IF(COUNTIFS(全馬データ!$A$2:$A$50000,A11,全馬データ!$B$2:$B$50000,B11,全馬データ!$C$2:$C$50000,C11,全馬データ!$D$2:$D$50000,E11,全馬データ!$K$2:$K$50000,"&lt;&gt;")=0,"",SUMIFS(全馬データ!$K$2:$K$50000,全馬データ!$A$2:$A$50000,A11,全馬データ!$B$2:$B$50000,B11,全馬データ!$C$2:$C$50000,C11,全馬データ!$D$2:$D$50000,E11)))</f>
        <v/>
      </c>
      <c r="AP11" s="8" t="str">
        <f aca="false">IF(A11="","",IF(AO11="","欠損",IF(AO11&lt;=1.1,"1.0～1.1",IF(AO11&lt;1.3,"1.2",IF(AO11&lt;1.5,"1.3～1.4",IF(AO11&lt;2,"1.5～1.9","2.0以上"))))))</f>
        <v>欠損</v>
      </c>
      <c r="AQ11" s="8" t="str">
        <f aca="false">IF(A11="","",IF(ISNUMBER(SEARCH("2歳",Z11)),"2歳戦",IF(ISNUMBER(SEARCH("3歳未勝利",Z11)),"3歳未勝利",IF(ISNUMBER(SEARCH("未勝利",Z11)),"その他未勝利",IF(ISNUMBER(SEARCH("G1",Z11)),"G1",IF(ISNUMBER(SEARCH("G2",Z11)),"G2",IF(ISNUMBER(SEARCH("G3",Z11)),"G3",IF(ISNUMBER(SEARCH("古馬条件",Z11)),"古馬条件戦",IF(ISNUMBER(SEARCH("重賞",Z11)),"重賞","分類不能")))))))))</f>
        <v>分類不能</v>
      </c>
      <c r="AR11" s="8"/>
      <c r="AS11" s="8" t="s">
        <v>7623</v>
      </c>
      <c r="AT11" s="8" t="s">
        <v>7624</v>
      </c>
      <c r="AU11" s="8" t="s">
        <v>7600</v>
      </c>
      <c r="AV11" s="4" t="s">
        <v>7601</v>
      </c>
      <c r="AW11" s="8"/>
      <c r="AX11" s="8"/>
      <c r="AY11" s="8" t="s">
        <v>7610</v>
      </c>
      <c r="AZ11" s="4" t="s">
        <v>7617</v>
      </c>
      <c r="BA11" s="8" t="n">
        <v>1800</v>
      </c>
      <c r="BB11" s="8" t="s">
        <v>7618</v>
      </c>
      <c r="BC11" s="4" t="s">
        <v>7619</v>
      </c>
      <c r="BD11" s="8" t="s">
        <v>7621</v>
      </c>
      <c r="BE11" s="4" t="s">
        <v>7622</v>
      </c>
      <c r="BF11" s="8" t="s">
        <v>7602</v>
      </c>
      <c r="BG11" s="8" t="s">
        <v>7608</v>
      </c>
      <c r="BH11" s="4" t="s">
        <v>7609</v>
      </c>
      <c r="BI11" s="8" t="n">
        <v>15</v>
      </c>
      <c r="BJ11" s="8" t="s">
        <v>7610</v>
      </c>
      <c r="BK11" s="4" t="s">
        <v>7611</v>
      </c>
      <c r="BL11" s="8" t="s">
        <v>7602</v>
      </c>
      <c r="BM11" s="4" t="s">
        <v>7620</v>
      </c>
      <c r="BN11" s="8"/>
      <c r="BO11" s="8"/>
      <c r="BP11" s="8" t="s">
        <v>7602</v>
      </c>
      <c r="BQ11" s="8" t="str">
        <f aca="false">IF(A11="","",AT11)</f>
        <v>3歳</v>
      </c>
      <c r="BR11" s="8" t="str">
        <f aca="false">IF(A11="","",IF(BA11&lt;=1200,"～1200",IF(BA11&lt;=1500,"1300～1500",IF(BA11=1600,"1600",IF(BA11&lt;=1800,"1700～1800",IF(BA11&lt;=2000,"1900～2000","2100以上"))))))</f>
        <v>1700～1800</v>
      </c>
      <c r="BS11" s="8" t="str">
        <f aca="false">IF(A11="","",IF(AX11="G1","G1",IF(AX11="G2","G2",IF(AX11="G3","G3",IF(AX11="L","L","その他")))))</f>
        <v>その他</v>
      </c>
      <c r="BT11" s="8" t="str">
        <f aca="false">IF(A11="","",IF(BI11="","未結合",IF(D11=BI11,"一致","不一致")))</f>
        <v>一致</v>
      </c>
      <c r="BU11" s="8" t="str">
        <f aca="false">IF(A11="","",IF(BE11="牝馬限定","牝馬限定","その他"))</f>
        <v>牝馬限定</v>
      </c>
    </row>
    <row r="12" customFormat="false" ht="15.75" hidden="false" customHeight="false" outlineLevel="0" collapsed="false">
      <c r="A12" s="3" t="n">
        <v>46228</v>
      </c>
      <c r="B12" s="4" t="s">
        <v>13</v>
      </c>
      <c r="C12" s="8" t="n">
        <v>11</v>
      </c>
      <c r="D12" s="8" t="n">
        <v>18</v>
      </c>
      <c r="E12" s="8" t="n">
        <v>16</v>
      </c>
      <c r="F12" s="4" t="s">
        <v>159</v>
      </c>
      <c r="G12" s="8" t="n">
        <v>67</v>
      </c>
      <c r="H12" s="8" t="n">
        <v>18</v>
      </c>
      <c r="I12" s="4" t="s">
        <v>161</v>
      </c>
      <c r="J12" s="8" t="n">
        <v>56</v>
      </c>
      <c r="K12" s="8" t="n">
        <v>4</v>
      </c>
      <c r="L12" s="4" t="s">
        <v>147</v>
      </c>
      <c r="M12" s="8" t="n">
        <v>31</v>
      </c>
      <c r="N12" s="8" t="n">
        <f aca="false">IF(A12="","",G12-J12)</f>
        <v>11</v>
      </c>
      <c r="O12" s="8" t="n">
        <f aca="false">IF(A12="","",J12-M12)</f>
        <v>25</v>
      </c>
      <c r="P12" s="8" t="n">
        <f aca="false">IF(A12="","",G12+J12)</f>
        <v>123</v>
      </c>
      <c r="Q12" s="8" t="str">
        <f aca="false">IF(A12="","",IF(AND(Y12&lt;&gt;"参考",G12&gt;=ルール設定!$B$2),"○",""))</f>
        <v/>
      </c>
      <c r="R12" s="8" t="str">
        <f aca="false">IF(A12="","",IF(AND(Y12&lt;&gt;"参考",G12&gt;=ルール設定!$B$3,N12&gt;=ルール設定!$B$4),"○",""))</f>
        <v/>
      </c>
      <c r="S12" s="8" t="str">
        <f aca="false">IF(A12="","",IF(AND(Y12&lt;&gt;"参考",G12&gt;=ルール設定!$B$5,J12&gt;=ルール設定!$B$6,O12&gt;=ルール設定!$B$7),"○",""))</f>
        <v>○</v>
      </c>
      <c r="T12" s="8" t="n">
        <v>4</v>
      </c>
      <c r="U12" s="8" t="n">
        <v>4</v>
      </c>
      <c r="V12" s="8" t="str">
        <f aca="false">IF(A12="","",IF(AND(ISNUMBER(T12),ISNUMBER(U12)),IF(AND(T12&lt;=3,U12&lt;=3),"○","×"),""))</f>
        <v>×</v>
      </c>
      <c r="W12" s="8"/>
      <c r="X12" s="8"/>
      <c r="Y12" s="4" t="s">
        <v>7597</v>
      </c>
      <c r="Z12" s="8"/>
      <c r="AA12" s="8" t="str">
        <v/>
      </c>
      <c r="AB12" s="8" t="str">
        <v/>
      </c>
      <c r="AC12" s="8" t="str">
        <v/>
      </c>
      <c r="AD12" s="8" t="str">
        <v/>
      </c>
      <c r="AE12" s="8" t="str">
        <v/>
      </c>
      <c r="AF12" s="8" t="str">
        <v/>
      </c>
      <c r="AG12" s="8" t="str">
        <v/>
      </c>
      <c r="AH12" s="8" t="str">
        <v/>
      </c>
      <c r="AI12" s="8" t="n">
        <v>36</v>
      </c>
      <c r="AJ12" s="8" t="str">
        <v>60～69</v>
      </c>
      <c r="AK12" s="8" t="str">
        <v>10～19</v>
      </c>
      <c r="AL12" s="8" t="str">
        <v>30～39</v>
      </c>
      <c r="AM12" s="8" t="str">
        <v>120～139</v>
      </c>
      <c r="AN12" s="8" t="str">
        <v>15以上</v>
      </c>
      <c r="AO12" s="8" t="str">
        <f aca="false">IF(A12="","",IF(COUNTIFS(全馬データ!$A$2:$A$50000,A12,全馬データ!$B$2:$B$50000,B12,全馬データ!$C$2:$C$50000,C12,全馬データ!$D$2:$D$50000,E12,全馬データ!$K$2:$K$50000,"&lt;&gt;")=0,"",SUMIFS(全馬データ!$K$2:$K$50000,全馬データ!$A$2:$A$50000,A12,全馬データ!$B$2:$B$50000,B12,全馬データ!$C$2:$C$50000,C12,全馬データ!$D$2:$D$50000,E12)))</f>
        <v/>
      </c>
      <c r="AP12" s="8" t="str">
        <f aca="false">IF(A12="","",IF(AO12="","欠損",IF(AO12&lt;=1.1,"1.0～1.1",IF(AO12&lt;1.3,"1.2",IF(AO12&lt;1.5,"1.3～1.4",IF(AO12&lt;2,"1.5～1.9","2.0以上"))))))</f>
        <v>欠損</v>
      </c>
      <c r="AQ12" s="8" t="str">
        <f aca="false">IF(A12="","",IF(ISNUMBER(SEARCH("2歳",Z12)),"2歳戦",IF(ISNUMBER(SEARCH("3歳未勝利",Z12)),"3歳未勝利",IF(ISNUMBER(SEARCH("未勝利",Z12)),"その他未勝利",IF(ISNUMBER(SEARCH("G1",Z12)),"G1",IF(ISNUMBER(SEARCH("G2",Z12)),"G2",IF(ISNUMBER(SEARCH("G3",Z12)),"G3",IF(ISNUMBER(SEARCH("古馬条件",Z12)),"古馬条件戦",IF(ISNUMBER(SEARCH("重賞",Z12)),"重賞","分類不能")))))))))</f>
        <v>分類不能</v>
      </c>
      <c r="AR12" s="8"/>
      <c r="AS12" s="8" t="s">
        <v>7623</v>
      </c>
      <c r="AT12" s="8" t="s">
        <v>7624</v>
      </c>
      <c r="AU12" s="8" t="s">
        <v>7600</v>
      </c>
      <c r="AV12" s="4" t="s">
        <v>7601</v>
      </c>
      <c r="AW12" s="8"/>
      <c r="AX12" s="8"/>
      <c r="AY12" s="8" t="s">
        <v>7602</v>
      </c>
      <c r="AZ12" s="4" t="s">
        <v>7603</v>
      </c>
      <c r="BA12" s="8" t="n">
        <v>1000</v>
      </c>
      <c r="BB12" s="8" t="s">
        <v>7598</v>
      </c>
      <c r="BC12" s="4" t="s">
        <v>7604</v>
      </c>
      <c r="BD12" s="8" t="s">
        <v>7625</v>
      </c>
      <c r="BE12" s="4" t="s">
        <v>7606</v>
      </c>
      <c r="BF12" s="8" t="s">
        <v>7607</v>
      </c>
      <c r="BG12" s="8" t="s">
        <v>7608</v>
      </c>
      <c r="BH12" s="4" t="s">
        <v>7609</v>
      </c>
      <c r="BI12" s="8" t="n">
        <v>18</v>
      </c>
      <c r="BJ12" s="8" t="s">
        <v>7608</v>
      </c>
      <c r="BK12" s="4" t="s">
        <v>7649</v>
      </c>
      <c r="BL12" s="8" t="s">
        <v>7647</v>
      </c>
      <c r="BM12" s="4" t="s">
        <v>7648</v>
      </c>
      <c r="BN12" s="8" t="s">
        <v>7602</v>
      </c>
      <c r="BO12" s="8" t="s">
        <v>7613</v>
      </c>
      <c r="BP12" s="8" t="s">
        <v>7602</v>
      </c>
      <c r="BQ12" s="8" t="str">
        <f aca="false">IF(A12="","",AT12)</f>
        <v>3歳</v>
      </c>
      <c r="BR12" s="8" t="str">
        <f aca="false">IF(A12="","",IF(BA12&lt;=1200,"～1200",IF(BA12&lt;=1500,"1300～1500",IF(BA12=1600,"1600",IF(BA12&lt;=1800,"1700～1800",IF(BA12&lt;=2000,"1900～2000","2100以上"))))))</f>
        <v>～1200</v>
      </c>
      <c r="BS12" s="8" t="str">
        <f aca="false">IF(A12="","",IF(AX12="G1","G1",IF(AX12="G2","G2",IF(AX12="G3","G3",IF(AX12="L","L","その他")))))</f>
        <v>その他</v>
      </c>
      <c r="BT12" s="8" t="str">
        <f aca="false">IF(A12="","",IF(BI12="","未結合",IF(D12=BI12,"一致","不一致")))</f>
        <v>一致</v>
      </c>
      <c r="BU12" s="8" t="str">
        <f aca="false">IF(A12="","",IF(BE12="牝馬限定","牝馬限定","その他"))</f>
        <v>その他</v>
      </c>
    </row>
    <row r="13" customFormat="false" ht="15.75" hidden="false" customHeight="false" outlineLevel="0" collapsed="false">
      <c r="A13" s="3" t="n">
        <v>46228</v>
      </c>
      <c r="B13" s="4" t="s">
        <v>13</v>
      </c>
      <c r="C13" s="8" t="n">
        <v>12</v>
      </c>
      <c r="D13" s="8" t="n">
        <v>17</v>
      </c>
      <c r="E13" s="8" t="n">
        <v>15</v>
      </c>
      <c r="F13" s="4" t="s">
        <v>176</v>
      </c>
      <c r="G13" s="8" t="n">
        <v>67</v>
      </c>
      <c r="H13" s="8" t="n">
        <v>4</v>
      </c>
      <c r="I13" s="4" t="s">
        <v>165</v>
      </c>
      <c r="J13" s="8" t="n">
        <v>39</v>
      </c>
      <c r="K13" s="8" t="n">
        <v>11</v>
      </c>
      <c r="L13" s="4" t="s">
        <v>172</v>
      </c>
      <c r="M13" s="8" t="n">
        <v>37</v>
      </c>
      <c r="N13" s="8" t="n">
        <f aca="false">IF(A13="","",G13-J13)</f>
        <v>28</v>
      </c>
      <c r="O13" s="8" t="n">
        <f aca="false">IF(A13="","",J13-M13)</f>
        <v>2</v>
      </c>
      <c r="P13" s="8" t="n">
        <f aca="false">IF(A13="","",G13+J13)</f>
        <v>106</v>
      </c>
      <c r="Q13" s="8" t="str">
        <f aca="false">IF(A13="","",IF(AND(Y13&lt;&gt;"参考",G13&gt;=ルール設定!$B$2),"○",""))</f>
        <v/>
      </c>
      <c r="R13" s="8" t="str">
        <f aca="false">IF(A13="","",IF(AND(Y13&lt;&gt;"参考",G13&gt;=ルール設定!$B$3,N13&gt;=ルール設定!$B$4),"○",""))</f>
        <v/>
      </c>
      <c r="S13" s="8" t="str">
        <f aca="false">IF(A13="","",IF(AND(Y13&lt;&gt;"参考",G13&gt;=ルール設定!$B$5,J13&gt;=ルール設定!$B$6,O13&gt;=ルール設定!$B$7),"○",""))</f>
        <v/>
      </c>
      <c r="T13" s="8" t="n">
        <v>4</v>
      </c>
      <c r="U13" s="8" t="n">
        <v>4</v>
      </c>
      <c r="V13" s="8" t="str">
        <f aca="false">IF(A13="","",IF(AND(ISNUMBER(T13),ISNUMBER(U13)),IF(AND(T13&lt;=3,U13&lt;=3),"○","×"),""))</f>
        <v>×</v>
      </c>
      <c r="W13" s="8"/>
      <c r="X13" s="8"/>
      <c r="Y13" s="4" t="s">
        <v>7597</v>
      </c>
      <c r="Z13" s="8"/>
      <c r="AA13" s="8" t="str">
        <v/>
      </c>
      <c r="AB13" s="8" t="str">
        <v/>
      </c>
      <c r="AC13" s="8" t="str">
        <v/>
      </c>
      <c r="AD13" s="8" t="str">
        <v/>
      </c>
      <c r="AE13" s="8" t="str">
        <v/>
      </c>
      <c r="AF13" s="8" t="str">
        <v/>
      </c>
      <c r="AG13" s="8" t="str">
        <v/>
      </c>
      <c r="AH13" s="8" t="str">
        <v/>
      </c>
      <c r="AI13" s="8" t="n">
        <v>30</v>
      </c>
      <c r="AJ13" s="8" t="str">
        <v>60～69</v>
      </c>
      <c r="AK13" s="8" t="str">
        <v>20～29</v>
      </c>
      <c r="AL13" s="8" t="str">
        <v>30～39</v>
      </c>
      <c r="AM13" s="8" t="str">
        <v>100～119</v>
      </c>
      <c r="AN13" s="8" t="str">
        <v>15以上</v>
      </c>
      <c r="AO13" s="8" t="str">
        <f aca="false">IF(A13="","",IF(COUNTIFS(全馬データ!$A$2:$A$50000,A13,全馬データ!$B$2:$B$50000,B13,全馬データ!$C$2:$C$50000,C13,全馬データ!$D$2:$D$50000,E13,全馬データ!$K$2:$K$50000,"&lt;&gt;")=0,"",SUMIFS(全馬データ!$K$2:$K$50000,全馬データ!$A$2:$A$50000,A13,全馬データ!$B$2:$B$50000,B13,全馬データ!$C$2:$C$50000,C13,全馬データ!$D$2:$D$50000,E13)))</f>
        <v/>
      </c>
      <c r="AP13" s="8" t="str">
        <f aca="false">IF(A13="","",IF(AO13="","欠損",IF(AO13&lt;=1.1,"1.0～1.1",IF(AO13&lt;1.3,"1.2",IF(AO13&lt;1.5,"1.3～1.4",IF(AO13&lt;2,"1.5～1.9","2.0以上"))))))</f>
        <v>欠損</v>
      </c>
      <c r="AQ13" s="8" t="str">
        <f aca="false">IF(A13="","",IF(ISNUMBER(SEARCH("2歳",Z13)),"2歳戦",IF(ISNUMBER(SEARCH("3歳未勝利",Z13)),"3歳未勝利",IF(ISNUMBER(SEARCH("未勝利",Z13)),"その他未勝利",IF(ISNUMBER(SEARCH("G1",Z13)),"G1",IF(ISNUMBER(SEARCH("G2",Z13)),"G2",IF(ISNUMBER(SEARCH("G3",Z13)),"G3",IF(ISNUMBER(SEARCH("古馬条件",Z13)),"古馬条件戦",IF(ISNUMBER(SEARCH("重賞",Z13)),"重賞","分類不能")))))))))</f>
        <v>分類不能</v>
      </c>
      <c r="AR13" s="8"/>
      <c r="AS13" s="8" t="s">
        <v>7626</v>
      </c>
      <c r="AT13" s="8" t="s">
        <v>7627</v>
      </c>
      <c r="AU13" s="8" t="s">
        <v>7628</v>
      </c>
      <c r="AV13" s="8" t="s">
        <v>7629</v>
      </c>
      <c r="AW13" s="8"/>
      <c r="AX13" s="8"/>
      <c r="AY13" s="8" t="s">
        <v>7602</v>
      </c>
      <c r="AZ13" s="4" t="s">
        <v>7603</v>
      </c>
      <c r="BA13" s="8" t="n">
        <v>1400</v>
      </c>
      <c r="BB13" s="8" t="s">
        <v>7598</v>
      </c>
      <c r="BC13" s="4" t="s">
        <v>7604</v>
      </c>
      <c r="BD13" s="8" t="s">
        <v>7621</v>
      </c>
      <c r="BE13" s="4" t="s">
        <v>7622</v>
      </c>
      <c r="BF13" s="8" t="s">
        <v>7602</v>
      </c>
      <c r="BG13" s="8" t="s">
        <v>7631</v>
      </c>
      <c r="BH13" s="4" t="s">
        <v>7632</v>
      </c>
      <c r="BI13" s="8" t="n">
        <v>17</v>
      </c>
      <c r="BJ13" s="8" t="s">
        <v>7610</v>
      </c>
      <c r="BK13" s="4" t="s">
        <v>7611</v>
      </c>
      <c r="BL13" s="8" t="s">
        <v>7602</v>
      </c>
      <c r="BM13" s="4" t="s">
        <v>7620</v>
      </c>
      <c r="BN13" s="8" t="s">
        <v>7602</v>
      </c>
      <c r="BO13" s="8" t="s">
        <v>7613</v>
      </c>
      <c r="BP13" s="8" t="s">
        <v>7602</v>
      </c>
      <c r="BQ13" s="8" t="str">
        <f aca="false">IF(A13="","",AT13)</f>
        <v>3歳以上</v>
      </c>
      <c r="BR13" s="8" t="str">
        <f aca="false">IF(A13="","",IF(BA13&lt;=1200,"～1200",IF(BA13&lt;=1500,"1300～1500",IF(BA13=1600,"1600",IF(BA13&lt;=1800,"1700～1800",IF(BA13&lt;=2000,"1900～2000","2100以上"))))))</f>
        <v>1300～1500</v>
      </c>
      <c r="BS13" s="8" t="str">
        <f aca="false">IF(A13="","",IF(AX13="G1","G1",IF(AX13="G2","G2",IF(AX13="G3","G3",IF(AX13="L","L","その他")))))</f>
        <v>その他</v>
      </c>
      <c r="BT13" s="8" t="str">
        <f aca="false">IF(A13="","",IF(BI13="","未結合",IF(D13=BI13,"一致","不一致")))</f>
        <v>一致</v>
      </c>
      <c r="BU13" s="8" t="str">
        <f aca="false">IF(A13="","",IF(BE13="牝馬限定","牝馬限定","その他"))</f>
        <v>牝馬限定</v>
      </c>
    </row>
    <row r="14" customFormat="false" ht="15.75" hidden="false" customHeight="false" outlineLevel="0" collapsed="false">
      <c r="A14" s="3" t="n">
        <v>46228</v>
      </c>
      <c r="B14" s="4" t="s">
        <v>179</v>
      </c>
      <c r="C14" s="8" t="n">
        <v>1</v>
      </c>
      <c r="D14" s="8" t="n">
        <v>9</v>
      </c>
      <c r="E14" s="8" t="n">
        <v>5</v>
      </c>
      <c r="F14" s="4" t="s">
        <v>184</v>
      </c>
      <c r="G14" s="8" t="n">
        <v>81</v>
      </c>
      <c r="H14" s="8" t="n">
        <v>1</v>
      </c>
      <c r="I14" s="4" t="s">
        <v>180</v>
      </c>
      <c r="J14" s="8" t="n">
        <v>37</v>
      </c>
      <c r="K14" s="8" t="n">
        <v>6</v>
      </c>
      <c r="L14" s="4" t="s">
        <v>185</v>
      </c>
      <c r="M14" s="8" t="n">
        <v>34</v>
      </c>
      <c r="N14" s="8" t="n">
        <f aca="false">IF(A14="","",G14-J14)</f>
        <v>44</v>
      </c>
      <c r="O14" s="8" t="n">
        <f aca="false">IF(A14="","",J14-M14)</f>
        <v>3</v>
      </c>
      <c r="P14" s="8" t="n">
        <f aca="false">IF(A14="","",G14+J14)</f>
        <v>118</v>
      </c>
      <c r="Q14" s="8" t="str">
        <f aca="false">IF(A14="","",IF(AND(Y14&lt;&gt;"参考",G14&gt;=ルール設定!$B$2),"○",""))</f>
        <v>○</v>
      </c>
      <c r="R14" s="8" t="str">
        <f aca="false">IF(A14="","",IF(AND(Y14&lt;&gt;"参考",G14&gt;=ルール設定!$B$3,N14&gt;=ルール設定!$B$4),"○",""))</f>
        <v>○</v>
      </c>
      <c r="S14" s="8" t="str">
        <f aca="false">IF(A14="","",IF(AND(Y14&lt;&gt;"参考",G14&gt;=ルール設定!$B$5,J14&gt;=ルール設定!$B$6,O14&gt;=ルール設定!$B$7),"○",""))</f>
        <v/>
      </c>
      <c r="T14" s="8" t="n">
        <v>4</v>
      </c>
      <c r="U14" s="8" t="n">
        <v>1</v>
      </c>
      <c r="V14" s="8" t="str">
        <f aca="false">IF(A14="","",IF(AND(ISNUMBER(T14),ISNUMBER(U14)),IF(AND(T14&lt;=3,U14&lt;=3),"○","×"),""))</f>
        <v>×</v>
      </c>
      <c r="W14" s="8"/>
      <c r="X14" s="8"/>
      <c r="Y14" s="4" t="s">
        <v>7597</v>
      </c>
      <c r="Z14" s="8"/>
      <c r="AA14" s="8" t="str">
        <v/>
      </c>
      <c r="AB14" s="8" t="str">
        <v>○</v>
      </c>
      <c r="AC14" s="8" t="str">
        <v/>
      </c>
      <c r="AD14" s="8" t="str">
        <v>○</v>
      </c>
      <c r="AE14" s="8" t="str">
        <v/>
      </c>
      <c r="AF14" s="8" t="str">
        <v/>
      </c>
      <c r="AG14" s="8" t="str">
        <v>○</v>
      </c>
      <c r="AH14" s="8" t="str">
        <v/>
      </c>
      <c r="AI14" s="8" t="n">
        <v>47</v>
      </c>
      <c r="AJ14" s="8" t="str">
        <v>80～84</v>
      </c>
      <c r="AK14" s="8" t="str">
        <v>30以上</v>
      </c>
      <c r="AL14" s="8" t="str">
        <v>40以上</v>
      </c>
      <c r="AM14" s="8" t="str">
        <v>100～119</v>
      </c>
      <c r="AN14" s="8" t="str">
        <v>8～11</v>
      </c>
      <c r="AO14" s="8" t="n">
        <f aca="false">IF(A14="","",IF(COUNTIFS(全馬データ!$A$2:$A$50000,A14,全馬データ!$B$2:$B$50000,B14,全馬データ!$C$2:$C$50000,C14,全馬データ!$D$2:$D$50000,E14,全馬データ!$K$2:$K$50000,"&lt;&gt;")=0,"",SUMIFS(全馬データ!$K$2:$K$50000,全馬データ!$A$2:$A$50000,A14,全馬データ!$B$2:$B$50000,B14,全馬データ!$C$2:$C$50000,C14,全馬データ!$D$2:$D$50000,E14)))</f>
        <v>1.1</v>
      </c>
      <c r="AP14" s="8" t="str">
        <f aca="false">IF(A14="","",IF(AO14="","欠損",IF(AO14&lt;=1.1,"1.0～1.1",IF(AO14&lt;1.3,"1.2",IF(AO14&lt;1.5,"1.3～1.4",IF(AO14&lt;2,"1.5～1.9","2.0以上"))))))</f>
        <v>1.0～1.1</v>
      </c>
      <c r="AQ14" s="8" t="str">
        <f aca="false">IF(A14="","",IF(ISNUMBER(SEARCH("2歳",Z14)),"2歳戦",IF(ISNUMBER(SEARCH("3歳未勝利",Z14)),"3歳未勝利",IF(ISNUMBER(SEARCH("未勝利",Z14)),"その他未勝利",IF(ISNUMBER(SEARCH("G1",Z14)),"G1",IF(ISNUMBER(SEARCH("G2",Z14)),"G2",IF(ISNUMBER(SEARCH("G3",Z14)),"G3",IF(ISNUMBER(SEARCH("古馬条件",Z14)),"古馬条件戦",IF(ISNUMBER(SEARCH("重賞",Z14)),"重賞","分類不能")))))))))</f>
        <v>分類不能</v>
      </c>
      <c r="AR14" s="8"/>
      <c r="AS14" s="8" t="s">
        <v>7598</v>
      </c>
      <c r="AT14" s="8" t="s">
        <v>7599</v>
      </c>
      <c r="AU14" s="8" t="s">
        <v>7600</v>
      </c>
      <c r="AV14" s="4" t="s">
        <v>7601</v>
      </c>
      <c r="AW14" s="8"/>
      <c r="AX14" s="8"/>
      <c r="AY14" s="8" t="s">
        <v>7610</v>
      </c>
      <c r="AZ14" s="4" t="s">
        <v>7617</v>
      </c>
      <c r="BA14" s="8" t="n">
        <v>1200</v>
      </c>
      <c r="BB14" s="8" t="s">
        <v>7634</v>
      </c>
      <c r="BC14" s="4" t="s">
        <v>7604</v>
      </c>
      <c r="BD14" s="8" t="s">
        <v>7605</v>
      </c>
      <c r="BE14" s="4" t="s">
        <v>7606</v>
      </c>
      <c r="BF14" s="8" t="s">
        <v>7607</v>
      </c>
      <c r="BG14" s="8" t="s">
        <v>7608</v>
      </c>
      <c r="BH14" s="4" t="s">
        <v>7609</v>
      </c>
      <c r="BI14" s="8" t="n">
        <v>9</v>
      </c>
      <c r="BJ14" s="8" t="s">
        <v>7610</v>
      </c>
      <c r="BK14" s="4" t="s">
        <v>7611</v>
      </c>
      <c r="BL14" s="8" t="s">
        <v>7602</v>
      </c>
      <c r="BM14" s="4" t="s">
        <v>7620</v>
      </c>
      <c r="BN14" s="8"/>
      <c r="BO14" s="8"/>
      <c r="BP14" s="8" t="s">
        <v>7610</v>
      </c>
      <c r="BQ14" s="8" t="str">
        <f aca="false">IF(A14="","",AT14)</f>
        <v>2歳</v>
      </c>
      <c r="BR14" s="8" t="str">
        <f aca="false">IF(A14="","",IF(BA14&lt;=1200,"～1200",IF(BA14&lt;=1500,"1300～1500",IF(BA14=1600,"1600",IF(BA14&lt;=1800,"1700～1800",IF(BA14&lt;=2000,"1900～2000","2100以上"))))))</f>
        <v>～1200</v>
      </c>
      <c r="BS14" s="8" t="str">
        <f aca="false">IF(A14="","",IF(AX14="G1","G1",IF(AX14="G2","G2",IF(AX14="G3","G3",IF(AX14="L","L","その他")))))</f>
        <v>その他</v>
      </c>
      <c r="BT14" s="8" t="str">
        <f aca="false">IF(A14="","",IF(BI14="","未結合",IF(D14=BI14,"一致","不一致")))</f>
        <v>一致</v>
      </c>
      <c r="BU14" s="8" t="str">
        <f aca="false">IF(A14="","",IF(BE14="牝馬限定","牝馬限定","その他"))</f>
        <v>その他</v>
      </c>
    </row>
    <row r="15" customFormat="false" ht="15.75" hidden="false" customHeight="false" outlineLevel="0" collapsed="false">
      <c r="A15" s="3" t="n">
        <v>46228</v>
      </c>
      <c r="B15" s="4" t="s">
        <v>179</v>
      </c>
      <c r="C15" s="8" t="n">
        <v>2</v>
      </c>
      <c r="D15" s="8" t="n">
        <v>13</v>
      </c>
      <c r="E15" s="8" t="n">
        <v>11</v>
      </c>
      <c r="F15" s="4" t="s">
        <v>199</v>
      </c>
      <c r="G15" s="8" t="n">
        <v>31</v>
      </c>
      <c r="H15" s="8" t="n">
        <v>5</v>
      </c>
      <c r="I15" s="4" t="s">
        <v>193</v>
      </c>
      <c r="J15" s="8" t="n">
        <v>24</v>
      </c>
      <c r="K15" s="8" t="n">
        <v>13</v>
      </c>
      <c r="L15" s="4" t="s">
        <v>201</v>
      </c>
      <c r="M15" s="8" t="n">
        <v>24</v>
      </c>
      <c r="N15" s="8" t="n">
        <f aca="false">IF(A15="","",G15-J15)</f>
        <v>7</v>
      </c>
      <c r="O15" s="8" t="n">
        <f aca="false">IF(A15="","",J15-M15)</f>
        <v>0</v>
      </c>
      <c r="P15" s="8" t="n">
        <f aca="false">IF(A15="","",G15+J15)</f>
        <v>55</v>
      </c>
      <c r="Q15" s="8" t="str">
        <f aca="false">IF(A15="","",IF(AND(Y15&lt;&gt;"参考",G15&gt;=ルール設定!$B$2),"○",""))</f>
        <v/>
      </c>
      <c r="R15" s="8" t="str">
        <f aca="false">IF(A15="","",IF(AND(Y15&lt;&gt;"参考",G15&gt;=ルール設定!$B$3,N15&gt;=ルール設定!$B$4),"○",""))</f>
        <v/>
      </c>
      <c r="S15" s="8" t="str">
        <f aca="false">IF(A15="","",IF(AND(Y15&lt;&gt;"参考",G15&gt;=ルール設定!$B$5,J15&gt;=ルール設定!$B$6,O15&gt;=ルール設定!$B$7),"○",""))</f>
        <v/>
      </c>
      <c r="T15" s="8" t="n">
        <v>1</v>
      </c>
      <c r="U15" s="8" t="n">
        <v>4</v>
      </c>
      <c r="V15" s="8" t="str">
        <f aca="false">IF(A15="","",IF(AND(ISNUMBER(T15),ISNUMBER(U15)),IF(AND(T15&lt;=3,U15&lt;=3),"○","×"),""))</f>
        <v>×</v>
      </c>
      <c r="W15" s="8" t="n">
        <v>110</v>
      </c>
      <c r="X15" s="8"/>
      <c r="Y15" s="4" t="s">
        <v>7597</v>
      </c>
      <c r="Z15" s="4" t="s">
        <v>7614</v>
      </c>
      <c r="AA15" s="8" t="str">
        <v/>
      </c>
      <c r="AB15" s="8" t="str">
        <v/>
      </c>
      <c r="AC15" s="8" t="str">
        <v/>
      </c>
      <c r="AD15" s="8" t="str">
        <v/>
      </c>
      <c r="AE15" s="8" t="str">
        <v/>
      </c>
      <c r="AF15" s="8" t="str">
        <v/>
      </c>
      <c r="AG15" s="8" t="str">
        <v/>
      </c>
      <c r="AH15" s="8" t="str">
        <v/>
      </c>
      <c r="AI15" s="8" t="n">
        <v>7</v>
      </c>
      <c r="AJ15" s="8" t="str">
        <v>～59</v>
      </c>
      <c r="AK15" s="8" t="str">
        <v>5～9</v>
      </c>
      <c r="AL15" s="8" t="str">
        <v>0～9</v>
      </c>
      <c r="AM15" s="8" t="str">
        <v>～99</v>
      </c>
      <c r="AN15" s="8" t="str">
        <v>12～14</v>
      </c>
      <c r="AO15" s="8" t="str">
        <f aca="false">IF(A15="","",IF(COUNTIFS(全馬データ!$A$2:$A$50000,A15,全馬データ!$B$2:$B$50000,B15,全馬データ!$C$2:$C$50000,C15,全馬データ!$D$2:$D$50000,E15,全馬データ!$K$2:$K$50000,"&lt;&gt;")=0,"",SUMIFS(全馬データ!$K$2:$K$50000,全馬データ!$A$2:$A$50000,A15,全馬データ!$B$2:$B$50000,B15,全馬データ!$C$2:$C$50000,C15,全馬データ!$D$2:$D$50000,E15)))</f>
        <v/>
      </c>
      <c r="AP15" s="8" t="str">
        <f aca="false">IF(A15="","",IF(AO15="","欠損",IF(AO15&lt;=1.1,"1.0～1.1",IF(AO15&lt;1.3,"1.2",IF(AO15&lt;1.5,"1.3～1.4",IF(AO15&lt;2,"1.5～1.9","2.0以上"))))))</f>
        <v>欠損</v>
      </c>
      <c r="AQ15" s="8" t="str">
        <f aca="false">IF(A15="","",IF(ISNUMBER(SEARCH("2歳",Z15)),"2歳戦",IF(ISNUMBER(SEARCH("3歳未勝利",Z15)),"3歳未勝利",IF(ISNUMBER(SEARCH("未勝利",Z15)),"その他未勝利",IF(ISNUMBER(SEARCH("G1",Z15)),"G1",IF(ISNUMBER(SEARCH("G2",Z15)),"G2",IF(ISNUMBER(SEARCH("G3",Z15)),"G3",IF(ISNUMBER(SEARCH("古馬条件",Z15)),"古馬条件戦",IF(ISNUMBER(SEARCH("重賞",Z15)),"重賞","分類不能")))))))))</f>
        <v>分類不能</v>
      </c>
      <c r="AR15" s="8"/>
      <c r="AS15" s="8" t="s">
        <v>7598</v>
      </c>
      <c r="AT15" s="8" t="s">
        <v>7599</v>
      </c>
      <c r="AU15" s="8" t="s">
        <v>7615</v>
      </c>
      <c r="AV15" s="4" t="s">
        <v>7616</v>
      </c>
      <c r="AW15" s="8"/>
      <c r="AX15" s="8"/>
      <c r="AY15" s="8" t="s">
        <v>7602</v>
      </c>
      <c r="AZ15" s="4" t="s">
        <v>7603</v>
      </c>
      <c r="BA15" s="8" t="n">
        <v>1400</v>
      </c>
      <c r="BB15" s="8" t="s">
        <v>7598</v>
      </c>
      <c r="BC15" s="4" t="s">
        <v>7604</v>
      </c>
      <c r="BD15" s="8" t="s">
        <v>7625</v>
      </c>
      <c r="BE15" s="4" t="s">
        <v>7606</v>
      </c>
      <c r="BF15" s="8" t="s">
        <v>7607</v>
      </c>
      <c r="BG15" s="8" t="s">
        <v>7608</v>
      </c>
      <c r="BH15" s="4" t="s">
        <v>7609</v>
      </c>
      <c r="BI15" s="8" t="n">
        <v>13</v>
      </c>
      <c r="BJ15" s="8" t="s">
        <v>7610</v>
      </c>
      <c r="BK15" s="4" t="s">
        <v>7611</v>
      </c>
      <c r="BL15" s="8" t="s">
        <v>7602</v>
      </c>
      <c r="BM15" s="4" t="s">
        <v>7620</v>
      </c>
      <c r="BN15" s="8" t="s">
        <v>7602</v>
      </c>
      <c r="BO15" s="8" t="s">
        <v>7613</v>
      </c>
      <c r="BP15" s="8" t="s">
        <v>7610</v>
      </c>
      <c r="BQ15" s="8" t="str">
        <f aca="false">IF(A15="","",AT15)</f>
        <v>2歳</v>
      </c>
      <c r="BR15" s="8" t="str">
        <f aca="false">IF(A15="","",IF(BA15&lt;=1200,"～1200",IF(BA15&lt;=1500,"1300～1500",IF(BA15=1600,"1600",IF(BA15&lt;=1800,"1700～1800",IF(BA15&lt;=2000,"1900～2000","2100以上"))))))</f>
        <v>1300～1500</v>
      </c>
      <c r="BS15" s="8" t="str">
        <f aca="false">IF(A15="","",IF(AX15="G1","G1",IF(AX15="G2","G2",IF(AX15="G3","G3",IF(AX15="L","L","その他")))))</f>
        <v>その他</v>
      </c>
      <c r="BT15" s="8" t="str">
        <f aca="false">IF(A15="","",IF(BI15="","未結合",IF(D15=BI15,"一致","不一致")))</f>
        <v>一致</v>
      </c>
      <c r="BU15" s="8" t="str">
        <f aca="false">IF(A15="","",IF(BE15="牝馬限定","牝馬限定","その他"))</f>
        <v>その他</v>
      </c>
    </row>
    <row r="16" customFormat="false" ht="15.75" hidden="false" customHeight="false" outlineLevel="0" collapsed="false">
      <c r="A16" s="3" t="n">
        <v>46228</v>
      </c>
      <c r="B16" s="4" t="s">
        <v>179</v>
      </c>
      <c r="C16" s="8" t="n">
        <v>3</v>
      </c>
      <c r="D16" s="8" t="n">
        <v>12</v>
      </c>
      <c r="E16" s="8" t="n">
        <v>6</v>
      </c>
      <c r="F16" s="4" t="s">
        <v>207</v>
      </c>
      <c r="G16" s="8" t="n">
        <v>67</v>
      </c>
      <c r="H16" s="8" t="n">
        <v>2</v>
      </c>
      <c r="I16" s="4" t="s">
        <v>203</v>
      </c>
      <c r="J16" s="8" t="n">
        <v>58</v>
      </c>
      <c r="K16" s="8" t="n">
        <v>10</v>
      </c>
      <c r="L16" s="4" t="s">
        <v>211</v>
      </c>
      <c r="M16" s="8" t="n">
        <v>58</v>
      </c>
      <c r="N16" s="8" t="n">
        <f aca="false">IF(A16="","",G16-J16)</f>
        <v>9</v>
      </c>
      <c r="O16" s="8" t="n">
        <f aca="false">IF(A16="","",J16-M16)</f>
        <v>0</v>
      </c>
      <c r="P16" s="8" t="n">
        <f aca="false">IF(A16="","",G16+J16)</f>
        <v>125</v>
      </c>
      <c r="Q16" s="8" t="str">
        <f aca="false">IF(A16="","",IF(AND(Y16&lt;&gt;"参考",G16&gt;=ルール設定!$B$2),"○",""))</f>
        <v/>
      </c>
      <c r="R16" s="8" t="str">
        <f aca="false">IF(A16="","",IF(AND(Y16&lt;&gt;"参考",G16&gt;=ルール設定!$B$3,N16&gt;=ルール設定!$B$4),"○",""))</f>
        <v/>
      </c>
      <c r="S16" s="8" t="str">
        <f aca="false">IF(A16="","",IF(AND(Y16&lt;&gt;"参考",G16&gt;=ルール設定!$B$5,J16&gt;=ルール設定!$B$6,O16&gt;=ルール設定!$B$7),"○",""))</f>
        <v/>
      </c>
      <c r="T16" s="8" t="n">
        <v>2</v>
      </c>
      <c r="U16" s="8" t="n">
        <v>4</v>
      </c>
      <c r="V16" s="8" t="str">
        <f aca="false">IF(A16="","",IF(AND(ISNUMBER(T16),ISNUMBER(U16)),IF(AND(T16&lt;=3,U16&lt;=3),"○","×"),""))</f>
        <v>×</v>
      </c>
      <c r="W16" s="8" t="n">
        <v>130</v>
      </c>
      <c r="X16" s="8"/>
      <c r="Y16" s="4" t="s">
        <v>7597</v>
      </c>
      <c r="Z16" s="4" t="s">
        <v>7614</v>
      </c>
      <c r="AA16" s="8" t="str">
        <v/>
      </c>
      <c r="AB16" s="8" t="str">
        <v/>
      </c>
      <c r="AC16" s="8" t="str">
        <v/>
      </c>
      <c r="AD16" s="8" t="str">
        <v/>
      </c>
      <c r="AE16" s="8" t="str">
        <v/>
      </c>
      <c r="AF16" s="8" t="str">
        <v/>
      </c>
      <c r="AG16" s="8" t="str">
        <v/>
      </c>
      <c r="AH16" s="8" t="str">
        <v/>
      </c>
      <c r="AI16" s="8" t="n">
        <v>9</v>
      </c>
      <c r="AJ16" s="8" t="str">
        <v>60～69</v>
      </c>
      <c r="AK16" s="8" t="str">
        <v>5～9</v>
      </c>
      <c r="AL16" s="8" t="str">
        <v>0～9</v>
      </c>
      <c r="AM16" s="8" t="str">
        <v>120～139</v>
      </c>
      <c r="AN16" s="8" t="str">
        <v>12～14</v>
      </c>
      <c r="AO16" s="8" t="str">
        <f aca="false">IF(A16="","",IF(COUNTIFS(全馬データ!$A$2:$A$50000,A16,全馬データ!$B$2:$B$50000,B16,全馬データ!$C$2:$C$50000,C16,全馬データ!$D$2:$D$50000,E16,全馬データ!$K$2:$K$50000,"&lt;&gt;")=0,"",SUMIFS(全馬データ!$K$2:$K$50000,全馬データ!$A$2:$A$50000,A16,全馬データ!$B$2:$B$50000,B16,全馬データ!$C$2:$C$50000,C16,全馬データ!$D$2:$D$50000,E16)))</f>
        <v/>
      </c>
      <c r="AP16" s="8" t="str">
        <f aca="false">IF(A16="","",IF(AO16="","欠損",IF(AO16&lt;=1.1,"1.0～1.1",IF(AO16&lt;1.3,"1.2",IF(AO16&lt;1.5,"1.3～1.4",IF(AO16&lt;2,"1.5～1.9","2.0以上"))))))</f>
        <v>欠損</v>
      </c>
      <c r="AQ16" s="8" t="str">
        <f aca="false">IF(A16="","",IF(ISNUMBER(SEARCH("2歳",Z16)),"2歳戦",IF(ISNUMBER(SEARCH("3歳未勝利",Z16)),"3歳未勝利",IF(ISNUMBER(SEARCH("未勝利",Z16)),"その他未勝利",IF(ISNUMBER(SEARCH("G1",Z16)),"G1",IF(ISNUMBER(SEARCH("G2",Z16)),"G2",IF(ISNUMBER(SEARCH("G3",Z16)),"G3",IF(ISNUMBER(SEARCH("古馬条件",Z16)),"古馬条件戦",IF(ISNUMBER(SEARCH("重賞",Z16)),"重賞","分類不能")))))))))</f>
        <v>分類不能</v>
      </c>
      <c r="AR16" s="8"/>
      <c r="AS16" s="8" t="s">
        <v>7623</v>
      </c>
      <c r="AT16" s="8" t="s">
        <v>7624</v>
      </c>
      <c r="AU16" s="8" t="s">
        <v>7600</v>
      </c>
      <c r="AV16" s="4" t="s">
        <v>7601</v>
      </c>
      <c r="AW16" s="8"/>
      <c r="AX16" s="8"/>
      <c r="AY16" s="8" t="s">
        <v>7602</v>
      </c>
      <c r="AZ16" s="4" t="s">
        <v>7603</v>
      </c>
      <c r="BA16" s="8" t="n">
        <v>2000</v>
      </c>
      <c r="BB16" s="8" t="s">
        <v>7598</v>
      </c>
      <c r="BC16" s="4" t="s">
        <v>7604</v>
      </c>
      <c r="BD16" s="8" t="s">
        <v>7625</v>
      </c>
      <c r="BE16" s="4" t="s">
        <v>7606</v>
      </c>
      <c r="BF16" s="8" t="s">
        <v>7607</v>
      </c>
      <c r="BG16" s="8" t="s">
        <v>7608</v>
      </c>
      <c r="BH16" s="4" t="s">
        <v>7609</v>
      </c>
      <c r="BI16" s="8" t="n">
        <v>12</v>
      </c>
      <c r="BJ16" s="8" t="s">
        <v>7610</v>
      </c>
      <c r="BK16" s="4" t="s">
        <v>7611</v>
      </c>
      <c r="BL16" s="8" t="s">
        <v>7602</v>
      </c>
      <c r="BM16" s="4" t="s">
        <v>7620</v>
      </c>
      <c r="BN16" s="8" t="s">
        <v>7602</v>
      </c>
      <c r="BO16" s="8" t="s">
        <v>7613</v>
      </c>
      <c r="BP16" s="8" t="s">
        <v>7610</v>
      </c>
      <c r="BQ16" s="8" t="str">
        <f aca="false">IF(A16="","",AT16)</f>
        <v>3歳</v>
      </c>
      <c r="BR16" s="8" t="str">
        <f aca="false">IF(A16="","",IF(BA16&lt;=1200,"～1200",IF(BA16&lt;=1500,"1300～1500",IF(BA16=1600,"1600",IF(BA16&lt;=1800,"1700～1800",IF(BA16&lt;=2000,"1900～2000","2100以上"))))))</f>
        <v>1900～2000</v>
      </c>
      <c r="BS16" s="8" t="str">
        <f aca="false">IF(A16="","",IF(AX16="G1","G1",IF(AX16="G2","G2",IF(AX16="G3","G3",IF(AX16="L","L","その他")))))</f>
        <v>その他</v>
      </c>
      <c r="BT16" s="8" t="str">
        <f aca="false">IF(A16="","",IF(BI16="","未結合",IF(D16=BI16,"一致","不一致")))</f>
        <v>一致</v>
      </c>
      <c r="BU16" s="8" t="str">
        <f aca="false">IF(A16="","",IF(BE16="牝馬限定","牝馬限定","その他"))</f>
        <v>その他</v>
      </c>
    </row>
    <row r="17" customFormat="false" ht="15.75" hidden="false" customHeight="false" outlineLevel="0" collapsed="false">
      <c r="A17" s="3" t="n">
        <v>46228</v>
      </c>
      <c r="B17" s="4" t="s">
        <v>179</v>
      </c>
      <c r="C17" s="8" t="n">
        <v>4</v>
      </c>
      <c r="D17" s="8" t="n">
        <v>16</v>
      </c>
      <c r="E17" s="8" t="n">
        <v>14</v>
      </c>
      <c r="F17" s="4" t="s">
        <v>227</v>
      </c>
      <c r="G17" s="8" t="n">
        <v>62</v>
      </c>
      <c r="H17" s="8" t="n">
        <v>2</v>
      </c>
      <c r="I17" s="4" t="s">
        <v>215</v>
      </c>
      <c r="J17" s="8" t="n">
        <v>58</v>
      </c>
      <c r="K17" s="8" t="n">
        <v>8</v>
      </c>
      <c r="L17" s="4" t="s">
        <v>221</v>
      </c>
      <c r="M17" s="8" t="n">
        <v>37</v>
      </c>
      <c r="N17" s="8" t="n">
        <f aca="false">IF(A17="","",G17-J17)</f>
        <v>4</v>
      </c>
      <c r="O17" s="8" t="n">
        <f aca="false">IF(A17="","",J17-M17)</f>
        <v>21</v>
      </c>
      <c r="P17" s="8" t="n">
        <f aca="false">IF(A17="","",G17+J17)</f>
        <v>120</v>
      </c>
      <c r="Q17" s="8" t="str">
        <f aca="false">IF(A17="","",IF(AND(Y17&lt;&gt;"参考",G17&gt;=ルール設定!$B$2),"○",""))</f>
        <v/>
      </c>
      <c r="R17" s="8" t="str">
        <f aca="false">IF(A17="","",IF(AND(Y17&lt;&gt;"参考",G17&gt;=ルール設定!$B$3,N17&gt;=ルール設定!$B$4),"○",""))</f>
        <v/>
      </c>
      <c r="S17" s="8" t="str">
        <f aca="false">IF(A17="","",IF(AND(Y17&lt;&gt;"参考",G17&gt;=ルール設定!$B$5,J17&gt;=ルール設定!$B$6,O17&gt;=ルール設定!$B$7),"○",""))</f>
        <v>○</v>
      </c>
      <c r="T17" s="8" t="n">
        <v>2</v>
      </c>
      <c r="U17" s="8" t="n">
        <v>4</v>
      </c>
      <c r="V17" s="8" t="str">
        <f aca="false">IF(A17="","",IF(AND(ISNUMBER(T17),ISNUMBER(U17)),IF(AND(T17&lt;=3,U17&lt;=3),"○","×"),""))</f>
        <v>×</v>
      </c>
      <c r="W17" s="8" t="n">
        <v>200</v>
      </c>
      <c r="X17" s="8"/>
      <c r="Y17" s="4" t="s">
        <v>7597</v>
      </c>
      <c r="Z17" s="8"/>
      <c r="AA17" s="8" t="str">
        <v/>
      </c>
      <c r="AB17" s="8" t="str">
        <v/>
      </c>
      <c r="AC17" s="8" t="str">
        <v/>
      </c>
      <c r="AD17" s="8" t="str">
        <v/>
      </c>
      <c r="AE17" s="8" t="str">
        <v/>
      </c>
      <c r="AF17" s="8" t="str">
        <v/>
      </c>
      <c r="AG17" s="8" t="str">
        <v/>
      </c>
      <c r="AH17" s="8" t="str">
        <v/>
      </c>
      <c r="AI17" s="8" t="n">
        <v>25</v>
      </c>
      <c r="AJ17" s="8" t="str">
        <v>60～69</v>
      </c>
      <c r="AK17" s="8" t="str">
        <v>0～4</v>
      </c>
      <c r="AL17" s="8" t="str">
        <v>20～29</v>
      </c>
      <c r="AM17" s="8" t="str">
        <v>120～139</v>
      </c>
      <c r="AN17" s="8" t="str">
        <v>15以上</v>
      </c>
      <c r="AO17" s="8" t="str">
        <f aca="false">IF(A17="","",IF(COUNTIFS(全馬データ!$A$2:$A$50000,A17,全馬データ!$B$2:$B$50000,B17,全馬データ!$C$2:$C$50000,C17,全馬データ!$D$2:$D$50000,E17,全馬データ!$K$2:$K$50000,"&lt;&gt;")=0,"",SUMIFS(全馬データ!$K$2:$K$50000,全馬データ!$A$2:$A$50000,A17,全馬データ!$B$2:$B$50000,B17,全馬データ!$C$2:$C$50000,C17,全馬データ!$D$2:$D$50000,E17)))</f>
        <v/>
      </c>
      <c r="AP17" s="8" t="str">
        <f aca="false">IF(A17="","",IF(AO17="","欠損",IF(AO17&lt;=1.1,"1.0～1.1",IF(AO17&lt;1.3,"1.2",IF(AO17&lt;1.5,"1.3～1.4",IF(AO17&lt;2,"1.5～1.9","2.0以上"))))))</f>
        <v>欠損</v>
      </c>
      <c r="AQ17" s="8" t="str">
        <f aca="false">IF(A17="","",IF(ISNUMBER(SEARCH("2歳",Z17)),"2歳戦",IF(ISNUMBER(SEARCH("3歳未勝利",Z17)),"3歳未勝利",IF(ISNUMBER(SEARCH("未勝利",Z17)),"その他未勝利",IF(ISNUMBER(SEARCH("G1",Z17)),"G1",IF(ISNUMBER(SEARCH("G2",Z17)),"G2",IF(ISNUMBER(SEARCH("G3",Z17)),"G3",IF(ISNUMBER(SEARCH("古馬条件",Z17)),"古馬条件戦",IF(ISNUMBER(SEARCH("重賞",Z17)),"重賞","分類不能")))))))))</f>
        <v>分類不能</v>
      </c>
      <c r="AR17" s="8"/>
      <c r="AS17" s="8" t="s">
        <v>7623</v>
      </c>
      <c r="AT17" s="8" t="s">
        <v>7624</v>
      </c>
      <c r="AU17" s="8" t="s">
        <v>7600</v>
      </c>
      <c r="AV17" s="4" t="s">
        <v>7601</v>
      </c>
      <c r="AW17" s="8"/>
      <c r="AX17" s="8"/>
      <c r="AY17" s="8" t="s">
        <v>7610</v>
      </c>
      <c r="AZ17" s="4" t="s">
        <v>7617</v>
      </c>
      <c r="BA17" s="8" t="n">
        <v>1800</v>
      </c>
      <c r="BB17" s="8" t="s">
        <v>7634</v>
      </c>
      <c r="BC17" s="4" t="s">
        <v>7604</v>
      </c>
      <c r="BD17" s="8" t="s">
        <v>7625</v>
      </c>
      <c r="BE17" s="4" t="s">
        <v>7606</v>
      </c>
      <c r="BF17" s="8" t="s">
        <v>7607</v>
      </c>
      <c r="BG17" s="8" t="s">
        <v>7608</v>
      </c>
      <c r="BH17" s="4" t="s">
        <v>7609</v>
      </c>
      <c r="BI17" s="8" t="n">
        <v>16</v>
      </c>
      <c r="BJ17" s="8" t="s">
        <v>7610</v>
      </c>
      <c r="BK17" s="4" t="s">
        <v>7611</v>
      </c>
      <c r="BL17" s="8" t="s">
        <v>7602</v>
      </c>
      <c r="BM17" s="4" t="s">
        <v>7620</v>
      </c>
      <c r="BN17" s="8"/>
      <c r="BO17" s="8"/>
      <c r="BP17" s="8" t="s">
        <v>7610</v>
      </c>
      <c r="BQ17" s="8" t="str">
        <f aca="false">IF(A17="","",AT17)</f>
        <v>3歳</v>
      </c>
      <c r="BR17" s="8" t="str">
        <f aca="false">IF(A17="","",IF(BA17&lt;=1200,"～1200",IF(BA17&lt;=1500,"1300～1500",IF(BA17=1600,"1600",IF(BA17&lt;=1800,"1700～1800",IF(BA17&lt;=2000,"1900～2000","2100以上"))))))</f>
        <v>1700～1800</v>
      </c>
      <c r="BS17" s="8" t="str">
        <f aca="false">IF(A17="","",IF(AX17="G1","G1",IF(AX17="G2","G2",IF(AX17="G3","G3",IF(AX17="L","L","その他")))))</f>
        <v>その他</v>
      </c>
      <c r="BT17" s="8" t="str">
        <f aca="false">IF(A17="","",IF(BI17="","未結合",IF(D17=BI17,"一致","不一致")))</f>
        <v>一致</v>
      </c>
      <c r="BU17" s="8" t="str">
        <f aca="false">IF(A17="","",IF(BE17="牝馬限定","牝馬限定","その他"))</f>
        <v>その他</v>
      </c>
    </row>
    <row r="18" customFormat="false" ht="15.75" hidden="false" customHeight="false" outlineLevel="0" collapsed="false">
      <c r="A18" s="3" t="n">
        <v>46228</v>
      </c>
      <c r="B18" s="4" t="s">
        <v>179</v>
      </c>
      <c r="C18" s="8" t="n">
        <v>5</v>
      </c>
      <c r="D18" s="8" t="n">
        <v>16</v>
      </c>
      <c r="E18" s="8" t="n">
        <v>11</v>
      </c>
      <c r="F18" s="4" t="s">
        <v>240</v>
      </c>
      <c r="G18" s="8" t="n">
        <v>56</v>
      </c>
      <c r="H18" s="8" t="n">
        <v>5</v>
      </c>
      <c r="I18" s="4" t="s">
        <v>234</v>
      </c>
      <c r="J18" s="8" t="n">
        <v>47</v>
      </c>
      <c r="K18" s="8" t="n">
        <v>12</v>
      </c>
      <c r="L18" s="4" t="s">
        <v>241</v>
      </c>
      <c r="M18" s="8" t="n">
        <v>41</v>
      </c>
      <c r="N18" s="8" t="n">
        <f aca="false">IF(A18="","",G18-J18)</f>
        <v>9</v>
      </c>
      <c r="O18" s="8" t="n">
        <f aca="false">IF(A18="","",J18-M18)</f>
        <v>6</v>
      </c>
      <c r="P18" s="8" t="n">
        <f aca="false">IF(A18="","",G18+J18)</f>
        <v>103</v>
      </c>
      <c r="Q18" s="8" t="str">
        <f aca="false">IF(A18="","",IF(AND(Y18&lt;&gt;"参考",G18&gt;=ルール設定!$B$2),"○",""))</f>
        <v/>
      </c>
      <c r="R18" s="8" t="str">
        <f aca="false">IF(A18="","",IF(AND(Y18&lt;&gt;"参考",G18&gt;=ルール設定!$B$3,N18&gt;=ルール設定!$B$4),"○",""))</f>
        <v/>
      </c>
      <c r="S18" s="8" t="str">
        <f aca="false">IF(A18="","",IF(AND(Y18&lt;&gt;"参考",G18&gt;=ルール設定!$B$5,J18&gt;=ルール設定!$B$6,O18&gt;=ルール設定!$B$7),"○",""))</f>
        <v/>
      </c>
      <c r="T18" s="8" t="n">
        <v>4</v>
      </c>
      <c r="U18" s="8" t="n">
        <v>4</v>
      </c>
      <c r="V18" s="8" t="str">
        <f aca="false">IF(A18="","",IF(AND(ISNUMBER(T18),ISNUMBER(U18)),IF(AND(T18&lt;=3,U18&lt;=3),"○","×"),""))</f>
        <v>×</v>
      </c>
      <c r="W18" s="8"/>
      <c r="X18" s="8"/>
      <c r="Y18" s="4" t="s">
        <v>7597</v>
      </c>
      <c r="Z18" s="8"/>
      <c r="AA18" s="8" t="str">
        <v/>
      </c>
      <c r="AB18" s="8" t="str">
        <v/>
      </c>
      <c r="AC18" s="8" t="str">
        <v/>
      </c>
      <c r="AD18" s="8" t="str">
        <v/>
      </c>
      <c r="AE18" s="8" t="str">
        <v/>
      </c>
      <c r="AF18" s="8" t="str">
        <v/>
      </c>
      <c r="AG18" s="8" t="str">
        <v/>
      </c>
      <c r="AH18" s="8" t="str">
        <v/>
      </c>
      <c r="AI18" s="8" t="n">
        <v>15</v>
      </c>
      <c r="AJ18" s="8" t="str">
        <v>～59</v>
      </c>
      <c r="AK18" s="8" t="str">
        <v>5～9</v>
      </c>
      <c r="AL18" s="8" t="str">
        <v>10～19</v>
      </c>
      <c r="AM18" s="8" t="str">
        <v>100～119</v>
      </c>
      <c r="AN18" s="8" t="str">
        <v>15以上</v>
      </c>
      <c r="AO18" s="8" t="str">
        <f aca="false">IF(A18="","",IF(COUNTIFS(全馬データ!$A$2:$A$50000,A18,全馬データ!$B$2:$B$50000,B18,全馬データ!$C$2:$C$50000,C18,全馬データ!$D$2:$D$50000,E18,全馬データ!$K$2:$K$50000,"&lt;&gt;")=0,"",SUMIFS(全馬データ!$K$2:$K$50000,全馬データ!$A$2:$A$50000,A18,全馬データ!$B$2:$B$50000,B18,全馬データ!$C$2:$C$50000,C18,全馬データ!$D$2:$D$50000,E18)))</f>
        <v/>
      </c>
      <c r="AP18" s="8" t="str">
        <f aca="false">IF(A18="","",IF(AO18="","欠損",IF(AO18&lt;=1.1,"1.0～1.1",IF(AO18&lt;1.3,"1.2",IF(AO18&lt;1.5,"1.3～1.4",IF(AO18&lt;2,"1.5～1.9","2.0以上"))))))</f>
        <v>欠損</v>
      </c>
      <c r="AQ18" s="8" t="str">
        <f aca="false">IF(A18="","",IF(ISNUMBER(SEARCH("2歳",Z18)),"2歳戦",IF(ISNUMBER(SEARCH("3歳未勝利",Z18)),"3歳未勝利",IF(ISNUMBER(SEARCH("未勝利",Z18)),"その他未勝利",IF(ISNUMBER(SEARCH("G1",Z18)),"G1",IF(ISNUMBER(SEARCH("G2",Z18)),"G2",IF(ISNUMBER(SEARCH("G3",Z18)),"G3",IF(ISNUMBER(SEARCH("古馬条件",Z18)),"古馬条件戦",IF(ISNUMBER(SEARCH("重賞",Z18)),"重賞","分類不能")))))))))</f>
        <v>分類不能</v>
      </c>
      <c r="AR18" s="8"/>
      <c r="AS18" s="8" t="s">
        <v>7623</v>
      </c>
      <c r="AT18" s="8" t="s">
        <v>7624</v>
      </c>
      <c r="AU18" s="8" t="s">
        <v>7600</v>
      </c>
      <c r="AV18" s="4" t="s">
        <v>7601</v>
      </c>
      <c r="AW18" s="8"/>
      <c r="AX18" s="8"/>
      <c r="AY18" s="8" t="s">
        <v>7602</v>
      </c>
      <c r="AZ18" s="4" t="s">
        <v>7603</v>
      </c>
      <c r="BA18" s="8" t="n">
        <v>1600</v>
      </c>
      <c r="BB18" s="8" t="s">
        <v>7598</v>
      </c>
      <c r="BC18" s="4" t="s">
        <v>7604</v>
      </c>
      <c r="BD18" s="8" t="s">
        <v>7621</v>
      </c>
      <c r="BE18" s="4" t="s">
        <v>7622</v>
      </c>
      <c r="BF18" s="8" t="s">
        <v>7602</v>
      </c>
      <c r="BG18" s="8" t="s">
        <v>7608</v>
      </c>
      <c r="BH18" s="4" t="s">
        <v>7609</v>
      </c>
      <c r="BI18" s="8" t="n">
        <v>16</v>
      </c>
      <c r="BJ18" s="8" t="s">
        <v>7610</v>
      </c>
      <c r="BK18" s="4" t="s">
        <v>7611</v>
      </c>
      <c r="BL18" s="8" t="s">
        <v>7602</v>
      </c>
      <c r="BM18" s="4" t="s">
        <v>7620</v>
      </c>
      <c r="BN18" s="8" t="s">
        <v>7602</v>
      </c>
      <c r="BO18" s="8" t="s">
        <v>7613</v>
      </c>
      <c r="BP18" s="8" t="s">
        <v>7610</v>
      </c>
      <c r="BQ18" s="8" t="str">
        <f aca="false">IF(A18="","",AT18)</f>
        <v>3歳</v>
      </c>
      <c r="BR18" s="8" t="str">
        <f aca="false">IF(A18="","",IF(BA18&lt;=1200,"～1200",IF(BA18&lt;=1500,"1300～1500",IF(BA18=1600,"1600",IF(BA18&lt;=1800,"1700～1800",IF(BA18&lt;=2000,"1900～2000","2100以上"))))))</f>
        <v>1600</v>
      </c>
      <c r="BS18" s="8" t="str">
        <f aca="false">IF(A18="","",IF(AX18="G1","G1",IF(AX18="G2","G2",IF(AX18="G3","G3",IF(AX18="L","L","その他")))))</f>
        <v>その他</v>
      </c>
      <c r="BT18" s="8" t="str">
        <f aca="false">IF(A18="","",IF(BI18="","未結合",IF(D18=BI18,"一致","不一致")))</f>
        <v>一致</v>
      </c>
      <c r="BU18" s="8" t="str">
        <f aca="false">IF(A18="","",IF(BE18="牝馬限定","牝馬限定","その他"))</f>
        <v>牝馬限定</v>
      </c>
    </row>
    <row r="19" customFormat="false" ht="15.75" hidden="false" customHeight="false" outlineLevel="0" collapsed="false">
      <c r="A19" s="3" t="n">
        <v>46228</v>
      </c>
      <c r="B19" s="4" t="s">
        <v>179</v>
      </c>
      <c r="C19" s="8" t="n">
        <v>6</v>
      </c>
      <c r="D19" s="8" t="n">
        <v>16</v>
      </c>
      <c r="E19" s="8" t="n">
        <v>9</v>
      </c>
      <c r="F19" s="4" t="s">
        <v>254</v>
      </c>
      <c r="G19" s="8" t="n">
        <v>58</v>
      </c>
      <c r="H19" s="8" t="n">
        <v>12</v>
      </c>
      <c r="I19" s="4" t="s">
        <v>257</v>
      </c>
      <c r="J19" s="8" t="n">
        <v>47</v>
      </c>
      <c r="K19" s="8" t="n">
        <v>6</v>
      </c>
      <c r="L19" s="4" t="s">
        <v>251</v>
      </c>
      <c r="M19" s="8" t="n">
        <v>39</v>
      </c>
      <c r="N19" s="8" t="n">
        <f aca="false">IF(A19="","",G19-J19)</f>
        <v>11</v>
      </c>
      <c r="O19" s="8" t="n">
        <f aca="false">IF(A19="","",J19-M19)</f>
        <v>8</v>
      </c>
      <c r="P19" s="8" t="n">
        <f aca="false">IF(A19="","",G19+J19)</f>
        <v>105</v>
      </c>
      <c r="Q19" s="8" t="str">
        <f aca="false">IF(A19="","",IF(AND(Y19&lt;&gt;"参考",G19&gt;=ルール設定!$B$2),"○",""))</f>
        <v/>
      </c>
      <c r="R19" s="8" t="str">
        <f aca="false">IF(A19="","",IF(AND(Y19&lt;&gt;"参考",G19&gt;=ルール設定!$B$3,N19&gt;=ルール設定!$B$4),"○",""))</f>
        <v/>
      </c>
      <c r="S19" s="8" t="str">
        <f aca="false">IF(A19="","",IF(AND(Y19&lt;&gt;"参考",G19&gt;=ルール設定!$B$5,J19&gt;=ルール設定!$B$6,O19&gt;=ルール設定!$B$7),"○",""))</f>
        <v/>
      </c>
      <c r="T19" s="8" t="n">
        <v>4</v>
      </c>
      <c r="U19" s="8" t="n">
        <v>1</v>
      </c>
      <c r="V19" s="8" t="str">
        <f aca="false">IF(A19="","",IF(AND(ISNUMBER(T19),ISNUMBER(U19)),IF(AND(T19&lt;=3,U19&lt;=3),"○","×"),""))</f>
        <v>×</v>
      </c>
      <c r="W19" s="8"/>
      <c r="X19" s="8"/>
      <c r="Y19" s="4" t="s">
        <v>7597</v>
      </c>
      <c r="Z19" s="4" t="s">
        <v>7614</v>
      </c>
      <c r="AA19" s="8" t="str">
        <v/>
      </c>
      <c r="AB19" s="8" t="str">
        <v/>
      </c>
      <c r="AC19" s="8" t="str">
        <v/>
      </c>
      <c r="AD19" s="8" t="str">
        <v/>
      </c>
      <c r="AE19" s="8" t="str">
        <v/>
      </c>
      <c r="AF19" s="8" t="str">
        <v/>
      </c>
      <c r="AG19" s="8" t="str">
        <v/>
      </c>
      <c r="AH19" s="8" t="str">
        <v/>
      </c>
      <c r="AI19" s="8" t="n">
        <v>19</v>
      </c>
      <c r="AJ19" s="8" t="str">
        <v>～59</v>
      </c>
      <c r="AK19" s="8" t="str">
        <v>10～19</v>
      </c>
      <c r="AL19" s="8" t="str">
        <v>10～19</v>
      </c>
      <c r="AM19" s="8" t="str">
        <v>100～119</v>
      </c>
      <c r="AN19" s="8" t="str">
        <v>15以上</v>
      </c>
      <c r="AO19" s="8" t="str">
        <f aca="false">IF(A19="","",IF(COUNTIFS(全馬データ!$A$2:$A$50000,A19,全馬データ!$B$2:$B$50000,B19,全馬データ!$C$2:$C$50000,C19,全馬データ!$D$2:$D$50000,E19,全馬データ!$K$2:$K$50000,"&lt;&gt;")=0,"",SUMIFS(全馬データ!$K$2:$K$50000,全馬データ!$A$2:$A$50000,A19,全馬データ!$B$2:$B$50000,B19,全馬データ!$C$2:$C$50000,C19,全馬データ!$D$2:$D$50000,E19)))</f>
        <v/>
      </c>
      <c r="AP19" s="8" t="str">
        <f aca="false">IF(A19="","",IF(AO19="","欠損",IF(AO19&lt;=1.1,"1.0～1.1",IF(AO19&lt;1.3,"1.2",IF(AO19&lt;1.5,"1.3～1.4",IF(AO19&lt;2,"1.5～1.9","2.0以上"))))))</f>
        <v>欠損</v>
      </c>
      <c r="AQ19" s="8" t="str">
        <f aca="false">IF(A19="","",IF(ISNUMBER(SEARCH("2歳",Z19)),"2歳戦",IF(ISNUMBER(SEARCH("3歳未勝利",Z19)),"3歳未勝利",IF(ISNUMBER(SEARCH("未勝利",Z19)),"その他未勝利",IF(ISNUMBER(SEARCH("G1",Z19)),"G1",IF(ISNUMBER(SEARCH("G2",Z19)),"G2",IF(ISNUMBER(SEARCH("G3",Z19)),"G3",IF(ISNUMBER(SEARCH("古馬条件",Z19)),"古馬条件戦",IF(ISNUMBER(SEARCH("重賞",Z19)),"重賞","分類不能")))))))))</f>
        <v>分類不能</v>
      </c>
      <c r="AR19" s="4" t="s">
        <v>7650</v>
      </c>
      <c r="AS19" s="8" t="s">
        <v>7626</v>
      </c>
      <c r="AT19" s="8" t="s">
        <v>7627</v>
      </c>
      <c r="AU19" s="8" t="s">
        <v>7634</v>
      </c>
      <c r="AV19" s="8" t="s">
        <v>7635</v>
      </c>
      <c r="AW19" s="8" t="s">
        <v>7636</v>
      </c>
      <c r="AX19" s="4" t="s">
        <v>7637</v>
      </c>
      <c r="AY19" s="8" t="s">
        <v>7610</v>
      </c>
      <c r="AZ19" s="4" t="s">
        <v>7617</v>
      </c>
      <c r="BA19" s="8" t="n">
        <v>1400</v>
      </c>
      <c r="BB19" s="8" t="s">
        <v>7634</v>
      </c>
      <c r="BC19" s="4" t="s">
        <v>7604</v>
      </c>
      <c r="BD19" s="8" t="s">
        <v>7605</v>
      </c>
      <c r="BE19" s="4" t="s">
        <v>7606</v>
      </c>
      <c r="BF19" s="8" t="s">
        <v>7607</v>
      </c>
      <c r="BG19" s="8" t="s">
        <v>7631</v>
      </c>
      <c r="BH19" s="4" t="s">
        <v>7632</v>
      </c>
      <c r="BI19" s="8" t="n">
        <v>16</v>
      </c>
      <c r="BJ19" s="8" t="s">
        <v>7610</v>
      </c>
      <c r="BK19" s="4" t="s">
        <v>7611</v>
      </c>
      <c r="BL19" s="8" t="s">
        <v>7602</v>
      </c>
      <c r="BM19" s="4" t="s">
        <v>7620</v>
      </c>
      <c r="BN19" s="8"/>
      <c r="BO19" s="8"/>
      <c r="BP19" s="8" t="s">
        <v>7610</v>
      </c>
      <c r="BQ19" s="8" t="str">
        <f aca="false">IF(A19="","",AT19)</f>
        <v>3歳以上</v>
      </c>
      <c r="BR19" s="8" t="str">
        <f aca="false">IF(A19="","",IF(BA19&lt;=1200,"～1200",IF(BA19&lt;=1500,"1300～1500",IF(BA19=1600,"1600",IF(BA19&lt;=1800,"1700～1800",IF(BA19&lt;=2000,"1900～2000","2100以上"))))))</f>
        <v>1300～1500</v>
      </c>
      <c r="BS19" s="8" t="str">
        <f aca="false">IF(A19="","",IF(AX19="G1","G1",IF(AX19="G2","G2",IF(AX19="G3","G3",IF(AX19="L","L","その他")))))</f>
        <v>その他</v>
      </c>
      <c r="BT19" s="8" t="str">
        <f aca="false">IF(A19="","",IF(BI19="","未結合",IF(D19=BI19,"一致","不一致")))</f>
        <v>一致</v>
      </c>
      <c r="BU19" s="8" t="str">
        <f aca="false">IF(A19="","",IF(BE19="牝馬限定","牝馬限定","その他"))</f>
        <v>その他</v>
      </c>
    </row>
    <row r="20" customFormat="false" ht="15.75" hidden="false" customHeight="false" outlineLevel="0" collapsed="false">
      <c r="A20" s="3" t="n">
        <v>46228</v>
      </c>
      <c r="B20" s="4" t="s">
        <v>179</v>
      </c>
      <c r="C20" s="8" t="n">
        <v>7</v>
      </c>
      <c r="D20" s="8" t="n">
        <v>11</v>
      </c>
      <c r="E20" s="8" t="n">
        <v>7</v>
      </c>
      <c r="F20" s="4" t="s">
        <v>268</v>
      </c>
      <c r="G20" s="8" t="n">
        <v>60</v>
      </c>
      <c r="H20" s="8" t="n">
        <v>9</v>
      </c>
      <c r="I20" s="4" t="s">
        <v>270</v>
      </c>
      <c r="J20" s="8" t="n">
        <v>58</v>
      </c>
      <c r="K20" s="8" t="n">
        <v>1</v>
      </c>
      <c r="L20" s="4" t="s">
        <v>262</v>
      </c>
      <c r="M20" s="8" t="n">
        <v>44</v>
      </c>
      <c r="N20" s="8" t="n">
        <f aca="false">IF(A20="","",G20-J20)</f>
        <v>2</v>
      </c>
      <c r="O20" s="8" t="n">
        <f aca="false">IF(A20="","",J20-M20)</f>
        <v>14</v>
      </c>
      <c r="P20" s="8" t="n">
        <f aca="false">IF(A20="","",G20+J20)</f>
        <v>118</v>
      </c>
      <c r="Q20" s="8" t="str">
        <f aca="false">IF(A20="","",IF(AND(Y20&lt;&gt;"参考",G20&gt;=ルール設定!$B$2),"○",""))</f>
        <v/>
      </c>
      <c r="R20" s="8" t="str">
        <f aca="false">IF(A20="","",IF(AND(Y20&lt;&gt;"参考",G20&gt;=ルール設定!$B$3,N20&gt;=ルール設定!$B$4),"○",""))</f>
        <v/>
      </c>
      <c r="S20" s="8" t="str">
        <f aca="false">IF(A20="","",IF(AND(Y20&lt;&gt;"参考",G20&gt;=ルール設定!$B$5,J20&gt;=ルール設定!$B$6,O20&gt;=ルール設定!$B$7),"○",""))</f>
        <v/>
      </c>
      <c r="T20" s="8" t="n">
        <v>3</v>
      </c>
      <c r="U20" s="8" t="n">
        <v>4</v>
      </c>
      <c r="V20" s="8" t="str">
        <f aca="false">IF(A20="","",IF(AND(ISNUMBER(T20),ISNUMBER(U20)),IF(AND(T20&lt;=3,U20&lt;=3),"○","×"),""))</f>
        <v>×</v>
      </c>
      <c r="W20" s="8" t="n">
        <v>170</v>
      </c>
      <c r="X20" s="8"/>
      <c r="Y20" s="4" t="s">
        <v>7597</v>
      </c>
      <c r="Z20" s="8"/>
      <c r="AA20" s="8" t="str">
        <v/>
      </c>
      <c r="AB20" s="8" t="str">
        <v/>
      </c>
      <c r="AC20" s="8" t="str">
        <v/>
      </c>
      <c r="AD20" s="8" t="str">
        <v/>
      </c>
      <c r="AE20" s="8" t="str">
        <v/>
      </c>
      <c r="AF20" s="8" t="str">
        <v/>
      </c>
      <c r="AG20" s="8" t="str">
        <v/>
      </c>
      <c r="AH20" s="8" t="str">
        <v/>
      </c>
      <c r="AI20" s="8" t="n">
        <v>16</v>
      </c>
      <c r="AJ20" s="8" t="str">
        <v>60～69</v>
      </c>
      <c r="AK20" s="8" t="str">
        <v>0～4</v>
      </c>
      <c r="AL20" s="8" t="str">
        <v>10～19</v>
      </c>
      <c r="AM20" s="8" t="str">
        <v>100～119</v>
      </c>
      <c r="AN20" s="8" t="str">
        <v>8～11</v>
      </c>
      <c r="AO20" s="8" t="str">
        <f aca="false">IF(A20="","",IF(COUNTIFS(全馬データ!$A$2:$A$50000,A20,全馬データ!$B$2:$B$50000,B20,全馬データ!$C$2:$C$50000,C20,全馬データ!$D$2:$D$50000,E20,全馬データ!$K$2:$K$50000,"&lt;&gt;")=0,"",SUMIFS(全馬データ!$K$2:$K$50000,全馬データ!$A$2:$A$50000,A20,全馬データ!$B$2:$B$50000,B20,全馬データ!$C$2:$C$50000,C20,全馬データ!$D$2:$D$50000,E20)))</f>
        <v/>
      </c>
      <c r="AP20" s="8" t="str">
        <f aca="false">IF(A20="","",IF(AO20="","欠損",IF(AO20&lt;=1.1,"1.0～1.1",IF(AO20&lt;1.3,"1.2",IF(AO20&lt;1.5,"1.3～1.4",IF(AO20&lt;2,"1.5～1.9","2.0以上"))))))</f>
        <v>欠損</v>
      </c>
      <c r="AQ20" s="8" t="str">
        <f aca="false">IF(A20="","",IF(ISNUMBER(SEARCH("2歳",Z20)),"2歳戦",IF(ISNUMBER(SEARCH("3歳未勝利",Z20)),"3歳未勝利",IF(ISNUMBER(SEARCH("未勝利",Z20)),"その他未勝利",IF(ISNUMBER(SEARCH("G1",Z20)),"G1",IF(ISNUMBER(SEARCH("G2",Z20)),"G2",IF(ISNUMBER(SEARCH("G3",Z20)),"G3",IF(ISNUMBER(SEARCH("古馬条件",Z20)),"古馬条件戦",IF(ISNUMBER(SEARCH("重賞",Z20)),"重賞","分類不能")))))))))</f>
        <v>分類不能</v>
      </c>
      <c r="AR20" s="4" t="s">
        <v>7651</v>
      </c>
      <c r="AS20" s="8" t="s">
        <v>7626</v>
      </c>
      <c r="AT20" s="8" t="s">
        <v>7627</v>
      </c>
      <c r="AU20" s="8" t="s">
        <v>7639</v>
      </c>
      <c r="AV20" s="8" t="s">
        <v>7640</v>
      </c>
      <c r="AW20" s="8" t="s">
        <v>7636</v>
      </c>
      <c r="AX20" s="4" t="s">
        <v>7637</v>
      </c>
      <c r="AY20" s="8" t="s">
        <v>7602</v>
      </c>
      <c r="AZ20" s="4" t="s">
        <v>7603</v>
      </c>
      <c r="BA20" s="8" t="n">
        <v>2200</v>
      </c>
      <c r="BB20" s="8" t="s">
        <v>7598</v>
      </c>
      <c r="BC20" s="4" t="s">
        <v>7604</v>
      </c>
      <c r="BD20" s="8" t="s">
        <v>7630</v>
      </c>
      <c r="BE20" s="4" t="s">
        <v>7606</v>
      </c>
      <c r="BF20" s="8" t="s">
        <v>7607</v>
      </c>
      <c r="BG20" s="8" t="s">
        <v>7631</v>
      </c>
      <c r="BH20" s="4" t="s">
        <v>7632</v>
      </c>
      <c r="BI20" s="8" t="n">
        <v>11</v>
      </c>
      <c r="BJ20" s="8" t="s">
        <v>7610</v>
      </c>
      <c r="BK20" s="4" t="s">
        <v>7611</v>
      </c>
      <c r="BL20" s="8" t="s">
        <v>7602</v>
      </c>
      <c r="BM20" s="4" t="s">
        <v>7620</v>
      </c>
      <c r="BN20" s="8" t="s">
        <v>7602</v>
      </c>
      <c r="BO20" s="8" t="s">
        <v>7613</v>
      </c>
      <c r="BP20" s="8" t="s">
        <v>7610</v>
      </c>
      <c r="BQ20" s="8" t="str">
        <f aca="false">IF(A20="","",AT20)</f>
        <v>3歳以上</v>
      </c>
      <c r="BR20" s="8" t="str">
        <f aca="false">IF(A20="","",IF(BA20&lt;=1200,"～1200",IF(BA20&lt;=1500,"1300～1500",IF(BA20=1600,"1600",IF(BA20&lt;=1800,"1700～1800",IF(BA20&lt;=2000,"1900～2000","2100以上"))))))</f>
        <v>2100以上</v>
      </c>
      <c r="BS20" s="8" t="str">
        <f aca="false">IF(A20="","",IF(AX20="G1","G1",IF(AX20="G2","G2",IF(AX20="G3","G3",IF(AX20="L","L","その他")))))</f>
        <v>その他</v>
      </c>
      <c r="BT20" s="8" t="str">
        <f aca="false">IF(A20="","",IF(BI20="","未結合",IF(D20=BI20,"一致","不一致")))</f>
        <v>一致</v>
      </c>
      <c r="BU20" s="8" t="str">
        <f aca="false">IF(A20="","",IF(BE20="牝馬限定","牝馬限定","その他"))</f>
        <v>その他</v>
      </c>
    </row>
    <row r="21" customFormat="false" ht="15.75" hidden="false" customHeight="false" outlineLevel="0" collapsed="false">
      <c r="A21" s="3" t="n">
        <v>46228</v>
      </c>
      <c r="B21" s="4" t="s">
        <v>179</v>
      </c>
      <c r="C21" s="8" t="n">
        <v>8</v>
      </c>
      <c r="D21" s="8" t="n">
        <v>8</v>
      </c>
      <c r="E21" s="8" t="n">
        <v>2</v>
      </c>
      <c r="F21" s="4" t="s">
        <v>274</v>
      </c>
      <c r="G21" s="8" t="n">
        <v>74</v>
      </c>
      <c r="H21" s="8" t="n">
        <v>1</v>
      </c>
      <c r="I21" s="4" t="s">
        <v>273</v>
      </c>
      <c r="J21" s="8" t="n">
        <v>60</v>
      </c>
      <c r="K21" s="8" t="n">
        <v>5</v>
      </c>
      <c r="L21" s="4" t="s">
        <v>277</v>
      </c>
      <c r="M21" s="8" t="n">
        <v>52</v>
      </c>
      <c r="N21" s="8" t="n">
        <f aca="false">IF(A21="","",G21-J21)</f>
        <v>14</v>
      </c>
      <c r="O21" s="8" t="n">
        <f aca="false">IF(A21="","",J21-M21)</f>
        <v>8</v>
      </c>
      <c r="P21" s="8" t="n">
        <f aca="false">IF(A21="","",G21+J21)</f>
        <v>134</v>
      </c>
      <c r="Q21" s="8" t="str">
        <f aca="false">IF(A21="","",IF(AND(Y21&lt;&gt;"参考",G21&gt;=ルール設定!$B$2),"○",""))</f>
        <v/>
      </c>
      <c r="R21" s="8" t="str">
        <f aca="false">IF(A21="","",IF(AND(Y21&lt;&gt;"参考",G21&gt;=ルール設定!$B$3,N21&gt;=ルール設定!$B$4),"○",""))</f>
        <v/>
      </c>
      <c r="S21" s="8" t="str">
        <f aca="false">IF(A21="","",IF(AND(Y21&lt;&gt;"参考",G21&gt;=ルール設定!$B$5,J21&gt;=ルール設定!$B$6,O21&gt;=ルール設定!$B$7),"○",""))</f>
        <v/>
      </c>
      <c r="T21" s="8" t="n">
        <v>3</v>
      </c>
      <c r="U21" s="8" t="n">
        <v>2</v>
      </c>
      <c r="V21" s="8" t="str">
        <f aca="false">IF(A21="","",IF(AND(ISNUMBER(T21),ISNUMBER(U21)),IF(AND(T21&lt;=3,U21&lt;=3),"○","×"),""))</f>
        <v>○</v>
      </c>
      <c r="W21" s="8" t="n">
        <v>210</v>
      </c>
      <c r="X21" s="8" t="n">
        <v>440</v>
      </c>
      <c r="Y21" s="4" t="s">
        <v>7597</v>
      </c>
      <c r="Z21" s="8"/>
      <c r="AA21" s="8" t="str">
        <v/>
      </c>
      <c r="AB21" s="8" t="str">
        <v/>
      </c>
      <c r="AC21" s="8" t="str">
        <v/>
      </c>
      <c r="AD21" s="8" t="str">
        <v/>
      </c>
      <c r="AE21" s="8" t="str">
        <v/>
      </c>
      <c r="AF21" s="8" t="str">
        <v/>
      </c>
      <c r="AG21" s="8" t="str">
        <v/>
      </c>
      <c r="AH21" s="8" t="str">
        <v/>
      </c>
      <c r="AI21" s="8" t="n">
        <v>22</v>
      </c>
      <c r="AJ21" s="8" t="str">
        <v>70～74</v>
      </c>
      <c r="AK21" s="8" t="str">
        <v>10～19</v>
      </c>
      <c r="AL21" s="8" t="str">
        <v>20～29</v>
      </c>
      <c r="AM21" s="8" t="str">
        <v>120～139</v>
      </c>
      <c r="AN21" s="8" t="str">
        <v>8～11</v>
      </c>
      <c r="AO21" s="8" t="str">
        <f aca="false">IF(A21="","",IF(COUNTIFS(全馬データ!$A$2:$A$50000,A21,全馬データ!$B$2:$B$50000,B21,全馬データ!$C$2:$C$50000,C21,全馬データ!$D$2:$D$50000,E21,全馬データ!$K$2:$K$50000,"&lt;&gt;")=0,"",SUMIFS(全馬データ!$K$2:$K$50000,全馬データ!$A$2:$A$50000,A21,全馬データ!$B$2:$B$50000,B21,全馬データ!$C$2:$C$50000,C21,全馬データ!$D$2:$D$50000,E21)))</f>
        <v/>
      </c>
      <c r="AP21" s="8" t="str">
        <f aca="false">IF(A21="","",IF(AO21="","欠損",IF(AO21&lt;=1.1,"1.0～1.1",IF(AO21&lt;1.3,"1.2",IF(AO21&lt;1.5,"1.3～1.4",IF(AO21&lt;2,"1.5～1.9","2.0以上"))))))</f>
        <v>欠損</v>
      </c>
      <c r="AQ21" s="8" t="str">
        <f aca="false">IF(A21="","",IF(ISNUMBER(SEARCH("2歳",Z21)),"2歳戦",IF(ISNUMBER(SEARCH("3歳未勝利",Z21)),"3歳未勝利",IF(ISNUMBER(SEARCH("未勝利",Z21)),"その他未勝利",IF(ISNUMBER(SEARCH("G1",Z21)),"G1",IF(ISNUMBER(SEARCH("G2",Z21)),"G2",IF(ISNUMBER(SEARCH("G3",Z21)),"G3",IF(ISNUMBER(SEARCH("古馬条件",Z21)),"古馬条件戦",IF(ISNUMBER(SEARCH("重賞",Z21)),"重賞","分類不能")))))))))</f>
        <v>分類不能</v>
      </c>
      <c r="AR21" s="4" t="s">
        <v>7652</v>
      </c>
      <c r="AS21" s="8" t="s">
        <v>7626</v>
      </c>
      <c r="AT21" s="8" t="s">
        <v>7627</v>
      </c>
      <c r="AU21" s="8" t="s">
        <v>7628</v>
      </c>
      <c r="AV21" s="8" t="s">
        <v>7629</v>
      </c>
      <c r="AW21" s="8" t="s">
        <v>7636</v>
      </c>
      <c r="AX21" s="4" t="s">
        <v>7637</v>
      </c>
      <c r="AY21" s="8" t="s">
        <v>7602</v>
      </c>
      <c r="AZ21" s="4" t="s">
        <v>7603</v>
      </c>
      <c r="BA21" s="8" t="n">
        <v>2000</v>
      </c>
      <c r="BB21" s="8" t="s">
        <v>7598</v>
      </c>
      <c r="BC21" s="4" t="s">
        <v>7604</v>
      </c>
      <c r="BD21" s="8" t="s">
        <v>7605</v>
      </c>
      <c r="BE21" s="4" t="s">
        <v>7606</v>
      </c>
      <c r="BF21" s="8" t="s">
        <v>7607</v>
      </c>
      <c r="BG21" s="8" t="s">
        <v>7631</v>
      </c>
      <c r="BH21" s="4" t="s">
        <v>7632</v>
      </c>
      <c r="BI21" s="8" t="n">
        <v>8</v>
      </c>
      <c r="BJ21" s="8" t="s">
        <v>7610</v>
      </c>
      <c r="BK21" s="4" t="s">
        <v>7611</v>
      </c>
      <c r="BL21" s="8" t="s">
        <v>7602</v>
      </c>
      <c r="BM21" s="4" t="s">
        <v>7620</v>
      </c>
      <c r="BN21" s="8" t="s">
        <v>7602</v>
      </c>
      <c r="BO21" s="8" t="s">
        <v>7613</v>
      </c>
      <c r="BP21" s="8" t="s">
        <v>7610</v>
      </c>
      <c r="BQ21" s="8" t="str">
        <f aca="false">IF(A21="","",AT21)</f>
        <v>3歳以上</v>
      </c>
      <c r="BR21" s="8" t="str">
        <f aca="false">IF(A21="","",IF(BA21&lt;=1200,"～1200",IF(BA21&lt;=1500,"1300～1500",IF(BA21=1600,"1600",IF(BA21&lt;=1800,"1700～1800",IF(BA21&lt;=2000,"1900～2000","2100以上"))))))</f>
        <v>1900～2000</v>
      </c>
      <c r="BS21" s="8" t="str">
        <f aca="false">IF(A21="","",IF(AX21="G1","G1",IF(AX21="G2","G2",IF(AX21="G3","G3",IF(AX21="L","L","その他")))))</f>
        <v>その他</v>
      </c>
      <c r="BT21" s="8" t="str">
        <f aca="false">IF(A21="","",IF(BI21="","未結合",IF(D21=BI21,"一致","不一致")))</f>
        <v>一致</v>
      </c>
      <c r="BU21" s="8" t="str">
        <f aca="false">IF(A21="","",IF(BE21="牝馬限定","牝馬限定","その他"))</f>
        <v>その他</v>
      </c>
    </row>
    <row r="22" customFormat="false" ht="15.75" hidden="false" customHeight="false" outlineLevel="0" collapsed="false">
      <c r="A22" s="3" t="n">
        <v>46228</v>
      </c>
      <c r="B22" s="4" t="s">
        <v>179</v>
      </c>
      <c r="C22" s="8" t="n">
        <v>9</v>
      </c>
      <c r="D22" s="8" t="n">
        <v>16</v>
      </c>
      <c r="E22" s="8" t="n">
        <v>2</v>
      </c>
      <c r="F22" s="4" t="s">
        <v>282</v>
      </c>
      <c r="G22" s="8" t="n">
        <v>60</v>
      </c>
      <c r="H22" s="8" t="n">
        <v>1</v>
      </c>
      <c r="I22" s="4" t="s">
        <v>281</v>
      </c>
      <c r="J22" s="8" t="n">
        <v>44</v>
      </c>
      <c r="K22" s="8" t="n">
        <v>14</v>
      </c>
      <c r="L22" s="4" t="s">
        <v>294</v>
      </c>
      <c r="M22" s="8" t="n">
        <v>37</v>
      </c>
      <c r="N22" s="8" t="n">
        <f aca="false">IF(A22="","",G22-J22)</f>
        <v>16</v>
      </c>
      <c r="O22" s="8" t="n">
        <f aca="false">IF(A22="","",J22-M22)</f>
        <v>7</v>
      </c>
      <c r="P22" s="8" t="n">
        <f aca="false">IF(A22="","",G22+J22)</f>
        <v>104</v>
      </c>
      <c r="Q22" s="8" t="str">
        <f aca="false">IF(A22="","",IF(AND(Y22&lt;&gt;"参考",G22&gt;=ルール設定!$B$2),"○",""))</f>
        <v/>
      </c>
      <c r="R22" s="8" t="str">
        <f aca="false">IF(A22="","",IF(AND(Y22&lt;&gt;"参考",G22&gt;=ルール設定!$B$3,N22&gt;=ルール設定!$B$4),"○",""))</f>
        <v/>
      </c>
      <c r="S22" s="8" t="str">
        <f aca="false">IF(A22="","",IF(AND(Y22&lt;&gt;"参考",G22&gt;=ルール設定!$B$5,J22&gt;=ルール設定!$B$6,O22&gt;=ルール設定!$B$7),"○",""))</f>
        <v/>
      </c>
      <c r="T22" s="8" t="n">
        <v>1</v>
      </c>
      <c r="U22" s="8" t="n">
        <v>4</v>
      </c>
      <c r="V22" s="8" t="str">
        <f aca="false">IF(A22="","",IF(AND(ISNUMBER(T22),ISNUMBER(U22)),IF(AND(T22&lt;=3,U22&lt;=3),"○","×"),""))</f>
        <v>×</v>
      </c>
      <c r="W22" s="8" t="n">
        <v>150</v>
      </c>
      <c r="X22" s="8"/>
      <c r="Y22" s="4" t="s">
        <v>7597</v>
      </c>
      <c r="Z22" s="8"/>
      <c r="AA22" s="8" t="str">
        <v/>
      </c>
      <c r="AB22" s="8" t="str">
        <v/>
      </c>
      <c r="AC22" s="8" t="str">
        <v/>
      </c>
      <c r="AD22" s="8" t="str">
        <v/>
      </c>
      <c r="AE22" s="8" t="str">
        <v/>
      </c>
      <c r="AF22" s="8" t="str">
        <v/>
      </c>
      <c r="AG22" s="8" t="str">
        <v/>
      </c>
      <c r="AH22" s="8" t="str">
        <v/>
      </c>
      <c r="AI22" s="8" t="n">
        <v>23</v>
      </c>
      <c r="AJ22" s="8" t="str">
        <v>60～69</v>
      </c>
      <c r="AK22" s="8" t="str">
        <v>10～19</v>
      </c>
      <c r="AL22" s="8" t="str">
        <v>20～29</v>
      </c>
      <c r="AM22" s="8" t="str">
        <v>100～119</v>
      </c>
      <c r="AN22" s="8" t="str">
        <v>15以上</v>
      </c>
      <c r="AO22" s="8" t="str">
        <f aca="false">IF(A22="","",IF(COUNTIFS(全馬データ!$A$2:$A$50000,A22,全馬データ!$B$2:$B$50000,B22,全馬データ!$C$2:$C$50000,C22,全馬データ!$D$2:$D$50000,E22,全馬データ!$K$2:$K$50000,"&lt;&gt;")=0,"",SUMIFS(全馬データ!$K$2:$K$50000,全馬データ!$A$2:$A$50000,A22,全馬データ!$B$2:$B$50000,B22,全馬データ!$C$2:$C$50000,C22,全馬データ!$D$2:$D$50000,E22)))</f>
        <v/>
      </c>
      <c r="AP22" s="8" t="str">
        <f aca="false">IF(A22="","",IF(AO22="","欠損",IF(AO22&lt;=1.1,"1.0～1.1",IF(AO22&lt;1.3,"1.2",IF(AO22&lt;1.5,"1.3～1.4",IF(AO22&lt;2,"1.5～1.9","2.0以上"))))))</f>
        <v>欠損</v>
      </c>
      <c r="AQ22" s="8" t="str">
        <f aca="false">IF(A22="","",IF(ISNUMBER(SEARCH("2歳",Z22)),"2歳戦",IF(ISNUMBER(SEARCH("3歳未勝利",Z22)),"3歳未勝利",IF(ISNUMBER(SEARCH("未勝利",Z22)),"その他未勝利",IF(ISNUMBER(SEARCH("G1",Z22)),"G1",IF(ISNUMBER(SEARCH("G2",Z22)),"G2",IF(ISNUMBER(SEARCH("G3",Z22)),"G3",IF(ISNUMBER(SEARCH("古馬条件",Z22)),"古馬条件戦",IF(ISNUMBER(SEARCH("重賞",Z22)),"重賞","分類不能")))))))))</f>
        <v>分類不能</v>
      </c>
      <c r="AR22" s="8"/>
      <c r="AS22" s="8" t="s">
        <v>7626</v>
      </c>
      <c r="AT22" s="8" t="s">
        <v>7627</v>
      </c>
      <c r="AU22" s="8" t="s">
        <v>7628</v>
      </c>
      <c r="AV22" s="8" t="s">
        <v>7629</v>
      </c>
      <c r="AW22" s="8"/>
      <c r="AX22" s="8"/>
      <c r="AY22" s="8" t="s">
        <v>7610</v>
      </c>
      <c r="AZ22" s="4" t="s">
        <v>7617</v>
      </c>
      <c r="BA22" s="8" t="n">
        <v>1400</v>
      </c>
      <c r="BB22" s="8" t="s">
        <v>7634</v>
      </c>
      <c r="BC22" s="4" t="s">
        <v>7604</v>
      </c>
      <c r="BD22" s="8" t="s">
        <v>7621</v>
      </c>
      <c r="BE22" s="4" t="s">
        <v>7622</v>
      </c>
      <c r="BF22" s="8" t="s">
        <v>7602</v>
      </c>
      <c r="BG22" s="8" t="s">
        <v>7631</v>
      </c>
      <c r="BH22" s="4" t="s">
        <v>7632</v>
      </c>
      <c r="BI22" s="8" t="n">
        <v>16</v>
      </c>
      <c r="BJ22" s="8" t="s">
        <v>7610</v>
      </c>
      <c r="BK22" s="4" t="s">
        <v>7611</v>
      </c>
      <c r="BL22" s="8" t="s">
        <v>7602</v>
      </c>
      <c r="BM22" s="4" t="s">
        <v>7620</v>
      </c>
      <c r="BN22" s="8"/>
      <c r="BO22" s="8"/>
      <c r="BP22" s="8" t="s">
        <v>7610</v>
      </c>
      <c r="BQ22" s="8" t="str">
        <f aca="false">IF(A22="","",AT22)</f>
        <v>3歳以上</v>
      </c>
      <c r="BR22" s="8" t="str">
        <f aca="false">IF(A22="","",IF(BA22&lt;=1200,"～1200",IF(BA22&lt;=1500,"1300～1500",IF(BA22=1600,"1600",IF(BA22&lt;=1800,"1700～1800",IF(BA22&lt;=2000,"1900～2000","2100以上"))))))</f>
        <v>1300～1500</v>
      </c>
      <c r="BS22" s="8" t="str">
        <f aca="false">IF(A22="","",IF(AX22="G1","G1",IF(AX22="G2","G2",IF(AX22="G3","G3",IF(AX22="L","L","その他")))))</f>
        <v>その他</v>
      </c>
      <c r="BT22" s="8" t="str">
        <f aca="false">IF(A22="","",IF(BI22="","未結合",IF(D22=BI22,"一致","不一致")))</f>
        <v>一致</v>
      </c>
      <c r="BU22" s="8" t="str">
        <f aca="false">IF(A22="","",IF(BE22="牝馬限定","牝馬限定","その他"))</f>
        <v>牝馬限定</v>
      </c>
    </row>
    <row r="23" customFormat="false" ht="15.75" hidden="false" customHeight="false" outlineLevel="0" collapsed="false">
      <c r="A23" s="3" t="n">
        <v>46228</v>
      </c>
      <c r="B23" s="4" t="s">
        <v>179</v>
      </c>
      <c r="C23" s="8" t="n">
        <v>10</v>
      </c>
      <c r="D23" s="8" t="n">
        <v>13</v>
      </c>
      <c r="E23" s="8" t="n">
        <v>9</v>
      </c>
      <c r="F23" s="4" t="s">
        <v>305</v>
      </c>
      <c r="G23" s="8" t="n">
        <v>71</v>
      </c>
      <c r="H23" s="8" t="n">
        <v>12</v>
      </c>
      <c r="I23" s="4" t="s">
        <v>308</v>
      </c>
      <c r="J23" s="8" t="n">
        <v>47</v>
      </c>
      <c r="K23" s="8" t="n">
        <v>1</v>
      </c>
      <c r="L23" s="4" t="s">
        <v>297</v>
      </c>
      <c r="M23" s="8" t="n">
        <v>41</v>
      </c>
      <c r="N23" s="8" t="n">
        <f aca="false">IF(A23="","",G23-J23)</f>
        <v>24</v>
      </c>
      <c r="O23" s="8" t="n">
        <f aca="false">IF(A23="","",J23-M23)</f>
        <v>6</v>
      </c>
      <c r="P23" s="8" t="n">
        <f aca="false">IF(A23="","",G23+J23)</f>
        <v>118</v>
      </c>
      <c r="Q23" s="8" t="str">
        <f aca="false">IF(A23="","",IF(AND(Y23&lt;&gt;"参考",G23&gt;=ルール設定!$B$2),"○",""))</f>
        <v/>
      </c>
      <c r="R23" s="8" t="str">
        <f aca="false">IF(A23="","",IF(AND(Y23&lt;&gt;"参考",G23&gt;=ルール設定!$B$3,N23&gt;=ルール設定!$B$4),"○",""))</f>
        <v/>
      </c>
      <c r="S23" s="8" t="str">
        <f aca="false">IF(A23="","",IF(AND(Y23&lt;&gt;"参考",G23&gt;=ルール設定!$B$5,J23&gt;=ルール設定!$B$6,O23&gt;=ルール設定!$B$7),"○",""))</f>
        <v/>
      </c>
      <c r="T23" s="8" t="n">
        <v>3</v>
      </c>
      <c r="U23" s="8" t="n">
        <v>1</v>
      </c>
      <c r="V23" s="8" t="str">
        <f aca="false">IF(A23="","",IF(AND(ISNUMBER(T23),ISNUMBER(U23)),IF(AND(T23&lt;=3,U23&lt;=3),"○","×"),""))</f>
        <v>○</v>
      </c>
      <c r="W23" s="8" t="n">
        <v>130</v>
      </c>
      <c r="X23" s="8" t="n">
        <v>310</v>
      </c>
      <c r="Y23" s="4" t="s">
        <v>7597</v>
      </c>
      <c r="Z23" s="4" t="s">
        <v>7614</v>
      </c>
      <c r="AA23" s="8" t="str">
        <v/>
      </c>
      <c r="AB23" s="8" t="str">
        <v/>
      </c>
      <c r="AC23" s="8" t="str">
        <v/>
      </c>
      <c r="AD23" s="8" t="str">
        <v/>
      </c>
      <c r="AE23" s="8" t="str">
        <v/>
      </c>
      <c r="AF23" s="8" t="str">
        <v/>
      </c>
      <c r="AG23" s="8" t="str">
        <v/>
      </c>
      <c r="AH23" s="8" t="str">
        <v/>
      </c>
      <c r="AI23" s="8" t="n">
        <v>30</v>
      </c>
      <c r="AJ23" s="8" t="str">
        <v>70～74</v>
      </c>
      <c r="AK23" s="8" t="str">
        <v>20～29</v>
      </c>
      <c r="AL23" s="8" t="str">
        <v>30～39</v>
      </c>
      <c r="AM23" s="8" t="str">
        <v>100～119</v>
      </c>
      <c r="AN23" s="8" t="str">
        <v>12～14</v>
      </c>
      <c r="AO23" s="8" t="str">
        <f aca="false">IF(A23="","",IF(COUNTIFS(全馬データ!$A$2:$A$50000,A23,全馬データ!$B$2:$B$50000,B23,全馬データ!$C$2:$C$50000,C23,全馬データ!$D$2:$D$50000,E23,全馬データ!$K$2:$K$50000,"&lt;&gt;")=0,"",SUMIFS(全馬データ!$K$2:$K$50000,全馬データ!$A$2:$A$50000,A23,全馬データ!$B$2:$B$50000,B23,全馬データ!$C$2:$C$50000,C23,全馬データ!$D$2:$D$50000,E23)))</f>
        <v/>
      </c>
      <c r="AP23" s="8" t="str">
        <f aca="false">IF(A23="","",IF(AO23="","欠損",IF(AO23&lt;=1.1,"1.0～1.1",IF(AO23&lt;1.3,"1.2",IF(AO23&lt;1.5,"1.3～1.4",IF(AO23&lt;2,"1.5～1.9","2.0以上"))))))</f>
        <v>欠損</v>
      </c>
      <c r="AQ23" s="8" t="str">
        <f aca="false">IF(A23="","",IF(ISNUMBER(SEARCH("2歳",Z23)),"2歳戦",IF(ISNUMBER(SEARCH("3歳未勝利",Z23)),"3歳未勝利",IF(ISNUMBER(SEARCH("未勝利",Z23)),"その他未勝利",IF(ISNUMBER(SEARCH("G1",Z23)),"G1",IF(ISNUMBER(SEARCH("G2",Z23)),"G2",IF(ISNUMBER(SEARCH("G3",Z23)),"G3",IF(ISNUMBER(SEARCH("古馬条件",Z23)),"古馬条件戦",IF(ISNUMBER(SEARCH("重賞",Z23)),"重賞","分類不能")))))))))</f>
        <v>分類不能</v>
      </c>
      <c r="AR23" s="8"/>
      <c r="AS23" s="8" t="s">
        <v>7626</v>
      </c>
      <c r="AT23" s="8" t="s">
        <v>7627</v>
      </c>
      <c r="AU23" s="8" t="s">
        <v>7628</v>
      </c>
      <c r="AV23" s="8" t="s">
        <v>7629</v>
      </c>
      <c r="AW23" s="8"/>
      <c r="AX23" s="8"/>
      <c r="AY23" s="8" t="s">
        <v>7610</v>
      </c>
      <c r="AZ23" s="4" t="s">
        <v>7617</v>
      </c>
      <c r="BA23" s="8" t="n">
        <v>1800</v>
      </c>
      <c r="BB23" s="8" t="s">
        <v>7634</v>
      </c>
      <c r="BC23" s="4" t="s">
        <v>7604</v>
      </c>
      <c r="BD23" s="8" t="s">
        <v>7625</v>
      </c>
      <c r="BE23" s="4" t="s">
        <v>7606</v>
      </c>
      <c r="BF23" s="8" t="s">
        <v>7607</v>
      </c>
      <c r="BG23" s="8" t="s">
        <v>7631</v>
      </c>
      <c r="BH23" s="4" t="s">
        <v>7632</v>
      </c>
      <c r="BI23" s="8" t="n">
        <v>13</v>
      </c>
      <c r="BJ23" s="8" t="s">
        <v>7610</v>
      </c>
      <c r="BK23" s="4" t="s">
        <v>7611</v>
      </c>
      <c r="BL23" s="8" t="s">
        <v>7602</v>
      </c>
      <c r="BM23" s="4" t="s">
        <v>7620</v>
      </c>
      <c r="BN23" s="8"/>
      <c r="BO23" s="8"/>
      <c r="BP23" s="8" t="s">
        <v>7610</v>
      </c>
      <c r="BQ23" s="8" t="str">
        <f aca="false">IF(A23="","",AT23)</f>
        <v>3歳以上</v>
      </c>
      <c r="BR23" s="8" t="str">
        <f aca="false">IF(A23="","",IF(BA23&lt;=1200,"～1200",IF(BA23&lt;=1500,"1300～1500",IF(BA23=1600,"1600",IF(BA23&lt;=1800,"1700～1800",IF(BA23&lt;=2000,"1900～2000","2100以上"))))))</f>
        <v>1700～1800</v>
      </c>
      <c r="BS23" s="8" t="str">
        <f aca="false">IF(A23="","",IF(AX23="G1","G1",IF(AX23="G2","G2",IF(AX23="G3","G3",IF(AX23="L","L","その他")))))</f>
        <v>その他</v>
      </c>
      <c r="BT23" s="8" t="str">
        <f aca="false">IF(A23="","",IF(BI23="","未結合",IF(D23=BI23,"一致","不一致")))</f>
        <v>一致</v>
      </c>
      <c r="BU23" s="8" t="str">
        <f aca="false">IF(A23="","",IF(BE23="牝馬限定","牝馬限定","その他"))</f>
        <v>その他</v>
      </c>
    </row>
    <row r="24" customFormat="false" ht="15.75" hidden="false" customHeight="false" outlineLevel="0" collapsed="false">
      <c r="A24" s="3" t="n">
        <v>46228</v>
      </c>
      <c r="B24" s="4" t="s">
        <v>179</v>
      </c>
      <c r="C24" s="8" t="n">
        <v>11</v>
      </c>
      <c r="D24" s="8" t="n">
        <v>8</v>
      </c>
      <c r="E24" s="8" t="n">
        <v>3</v>
      </c>
      <c r="F24" s="4" t="s">
        <v>312</v>
      </c>
      <c r="G24" s="8" t="n">
        <v>65</v>
      </c>
      <c r="H24" s="8" t="n">
        <v>7</v>
      </c>
      <c r="I24" s="4" t="s">
        <v>316</v>
      </c>
      <c r="J24" s="8" t="n">
        <v>60</v>
      </c>
      <c r="K24" s="8" t="n">
        <v>5</v>
      </c>
      <c r="L24" s="4" t="s">
        <v>314</v>
      </c>
      <c r="M24" s="8" t="n">
        <v>34</v>
      </c>
      <c r="N24" s="8" t="n">
        <f aca="false">IF(A24="","",G24-J24)</f>
        <v>5</v>
      </c>
      <c r="O24" s="8" t="n">
        <f aca="false">IF(A24="","",J24-M24)</f>
        <v>26</v>
      </c>
      <c r="P24" s="8" t="n">
        <f aca="false">IF(A24="","",G24+J24)</f>
        <v>125</v>
      </c>
      <c r="Q24" s="8" t="str">
        <f aca="false">IF(A24="","",IF(AND(Y24&lt;&gt;"参考",G24&gt;=ルール設定!$B$2),"○",""))</f>
        <v/>
      </c>
      <c r="R24" s="8" t="str">
        <f aca="false">IF(A24="","",IF(AND(Y24&lt;&gt;"参考",G24&gt;=ルール設定!$B$3,N24&gt;=ルール設定!$B$4),"○",""))</f>
        <v/>
      </c>
      <c r="S24" s="8" t="str">
        <f aca="false">IF(A24="","",IF(AND(Y24&lt;&gt;"参考",G24&gt;=ルール設定!$B$5,J24&gt;=ルール設定!$B$6,O24&gt;=ルール設定!$B$7),"○",""))</f>
        <v>○</v>
      </c>
      <c r="T24" s="8" t="n">
        <v>1</v>
      </c>
      <c r="U24" s="8" t="n">
        <v>2</v>
      </c>
      <c r="V24" s="8" t="str">
        <f aca="false">IF(A24="","",IF(AND(ISNUMBER(T24),ISNUMBER(U24)),IF(AND(T24&lt;=3,U24&lt;=3),"○","×"),""))</f>
        <v>○</v>
      </c>
      <c r="W24" s="8" t="n">
        <v>110</v>
      </c>
      <c r="X24" s="8" t="n">
        <v>130</v>
      </c>
      <c r="Y24" s="4" t="s">
        <v>7597</v>
      </c>
      <c r="Z24" s="8"/>
      <c r="AA24" s="8" t="str">
        <v/>
      </c>
      <c r="AB24" s="8" t="str">
        <v/>
      </c>
      <c r="AC24" s="8" t="str">
        <v/>
      </c>
      <c r="AD24" s="8" t="str">
        <v/>
      </c>
      <c r="AE24" s="8" t="str">
        <v/>
      </c>
      <c r="AF24" s="8" t="str">
        <v/>
      </c>
      <c r="AG24" s="8" t="str">
        <v/>
      </c>
      <c r="AH24" s="8" t="str">
        <v/>
      </c>
      <c r="AI24" s="8" t="n">
        <v>31</v>
      </c>
      <c r="AJ24" s="8" t="str">
        <v>60～69</v>
      </c>
      <c r="AK24" s="8" t="str">
        <v>5～9</v>
      </c>
      <c r="AL24" s="8" t="str">
        <v>30～39</v>
      </c>
      <c r="AM24" s="8" t="str">
        <v>120～139</v>
      </c>
      <c r="AN24" s="8" t="str">
        <v>8～11</v>
      </c>
      <c r="AO24" s="8" t="str">
        <f aca="false">IF(A24="","",IF(COUNTIFS(全馬データ!$A$2:$A$50000,A24,全馬データ!$B$2:$B$50000,B24,全馬データ!$C$2:$C$50000,C24,全馬データ!$D$2:$D$50000,E24,全馬データ!$K$2:$K$50000,"&lt;&gt;")=0,"",SUMIFS(全馬データ!$K$2:$K$50000,全馬データ!$A$2:$A$50000,A24,全馬データ!$B$2:$B$50000,B24,全馬データ!$C$2:$C$50000,C24,全馬データ!$D$2:$D$50000,E24)))</f>
        <v/>
      </c>
      <c r="AP24" s="8" t="str">
        <f aca="false">IF(A24="","",IF(AO24="","欠損",IF(AO24&lt;=1.1,"1.0～1.1",IF(AO24&lt;1.3,"1.2",IF(AO24&lt;1.5,"1.3～1.4",IF(AO24&lt;2,"1.5～1.9","2.0以上"))))))</f>
        <v>欠損</v>
      </c>
      <c r="AQ24" s="8" t="str">
        <f aca="false">IF(A24="","",IF(ISNUMBER(SEARCH("2歳",Z24)),"2歳戦",IF(ISNUMBER(SEARCH("3歳未勝利",Z24)),"3歳未勝利",IF(ISNUMBER(SEARCH("未勝利",Z24)),"その他未勝利",IF(ISNUMBER(SEARCH("G1",Z24)),"G1",IF(ISNUMBER(SEARCH("G2",Z24)),"G2",IF(ISNUMBER(SEARCH("G3",Z24)),"G3",IF(ISNUMBER(SEARCH("古馬条件",Z24)),"古馬条件戦",IF(ISNUMBER(SEARCH("重賞",Z24)),"重賞","分類不能")))))))))</f>
        <v>分類不能</v>
      </c>
      <c r="AR24" s="8"/>
      <c r="AS24" s="8" t="s">
        <v>7626</v>
      </c>
      <c r="AT24" s="8" t="s">
        <v>7627</v>
      </c>
      <c r="AU24" s="8" t="s">
        <v>7628</v>
      </c>
      <c r="AV24" s="8" t="s">
        <v>7629</v>
      </c>
      <c r="AW24" s="8"/>
      <c r="AX24" s="8"/>
      <c r="AY24" s="8" t="s">
        <v>7602</v>
      </c>
      <c r="AZ24" s="4" t="s">
        <v>7603</v>
      </c>
      <c r="BA24" s="8" t="n">
        <v>1200</v>
      </c>
      <c r="BB24" s="8" t="s">
        <v>7598</v>
      </c>
      <c r="BC24" s="4" t="s">
        <v>7604</v>
      </c>
      <c r="BD24" s="8" t="s">
        <v>7625</v>
      </c>
      <c r="BE24" s="4" t="s">
        <v>7606</v>
      </c>
      <c r="BF24" s="8" t="s">
        <v>7607</v>
      </c>
      <c r="BG24" s="8" t="s">
        <v>7631</v>
      </c>
      <c r="BH24" s="4" t="s">
        <v>7632</v>
      </c>
      <c r="BI24" s="8" t="n">
        <v>8</v>
      </c>
      <c r="BJ24" s="8" t="s">
        <v>7610</v>
      </c>
      <c r="BK24" s="4" t="s">
        <v>7611</v>
      </c>
      <c r="BL24" s="8" t="s">
        <v>7602</v>
      </c>
      <c r="BM24" s="4" t="s">
        <v>7620</v>
      </c>
      <c r="BN24" s="8" t="s">
        <v>7602</v>
      </c>
      <c r="BO24" s="8" t="s">
        <v>7613</v>
      </c>
      <c r="BP24" s="8" t="s">
        <v>7610</v>
      </c>
      <c r="BQ24" s="8" t="str">
        <f aca="false">IF(A24="","",AT24)</f>
        <v>3歳以上</v>
      </c>
      <c r="BR24" s="8" t="str">
        <f aca="false">IF(A24="","",IF(BA24&lt;=1200,"～1200",IF(BA24&lt;=1500,"1300～1500",IF(BA24=1600,"1600",IF(BA24&lt;=1800,"1700～1800",IF(BA24&lt;=2000,"1900～2000","2100以上"))))))</f>
        <v>～1200</v>
      </c>
      <c r="BS24" s="8" t="str">
        <f aca="false">IF(A24="","",IF(AX24="G1","G1",IF(AX24="G2","G2",IF(AX24="G3","G3",IF(AX24="L","L","その他")))))</f>
        <v>その他</v>
      </c>
      <c r="BT24" s="8" t="str">
        <f aca="false">IF(A24="","",IF(BI24="","未結合",IF(D24=BI24,"一致","不一致")))</f>
        <v>一致</v>
      </c>
      <c r="BU24" s="8" t="str">
        <f aca="false">IF(A24="","",IF(BE24="牝馬限定","牝馬限定","その他"))</f>
        <v>その他</v>
      </c>
    </row>
    <row r="25" customFormat="false" ht="15.75" hidden="false" customHeight="false" outlineLevel="0" collapsed="false">
      <c r="A25" s="3" t="n">
        <v>46228</v>
      </c>
      <c r="B25" s="4" t="s">
        <v>179</v>
      </c>
      <c r="C25" s="8" t="n">
        <v>12</v>
      </c>
      <c r="D25" s="8" t="n">
        <v>16</v>
      </c>
      <c r="E25" s="8" t="n">
        <v>4</v>
      </c>
      <c r="F25" s="4" t="s">
        <v>321</v>
      </c>
      <c r="G25" s="8" t="n">
        <v>56</v>
      </c>
      <c r="H25" s="8" t="n">
        <v>13</v>
      </c>
      <c r="I25" s="4" t="s">
        <v>330</v>
      </c>
      <c r="J25" s="8" t="n">
        <v>56</v>
      </c>
      <c r="K25" s="8" t="n">
        <v>8</v>
      </c>
      <c r="L25" s="4" t="s">
        <v>325</v>
      </c>
      <c r="M25" s="8" t="n">
        <v>39</v>
      </c>
      <c r="N25" s="8" t="n">
        <f aca="false">IF(A25="","",G25-J25)</f>
        <v>0</v>
      </c>
      <c r="O25" s="8" t="n">
        <f aca="false">IF(A25="","",J25-M25)</f>
        <v>17</v>
      </c>
      <c r="P25" s="8" t="n">
        <f aca="false">IF(A25="","",G25+J25)</f>
        <v>112</v>
      </c>
      <c r="Q25" s="8" t="str">
        <f aca="false">IF(A25="","",IF(AND(Y25&lt;&gt;"参考",G25&gt;=ルール設定!$B$2),"○",""))</f>
        <v/>
      </c>
      <c r="R25" s="8" t="str">
        <f aca="false">IF(A25="","",IF(AND(Y25&lt;&gt;"参考",G25&gt;=ルール設定!$B$3,N25&gt;=ルール設定!$B$4),"○",""))</f>
        <v/>
      </c>
      <c r="S25" s="8" t="str">
        <f aca="false">IF(A25="","",IF(AND(Y25&lt;&gt;"参考",G25&gt;=ルール設定!$B$5,J25&gt;=ルール設定!$B$6,O25&gt;=ルール設定!$B$7),"○",""))</f>
        <v/>
      </c>
      <c r="T25" s="8" t="n">
        <v>2</v>
      </c>
      <c r="U25" s="8" t="n">
        <v>4</v>
      </c>
      <c r="V25" s="8" t="str">
        <f aca="false">IF(A25="","",IF(AND(ISNUMBER(T25),ISNUMBER(U25)),IF(AND(T25&lt;=3,U25&lt;=3),"○","×"),""))</f>
        <v>×</v>
      </c>
      <c r="W25" s="8" t="n">
        <v>140</v>
      </c>
      <c r="X25" s="8"/>
      <c r="Y25" s="4" t="s">
        <v>7597</v>
      </c>
      <c r="Z25" s="4" t="s">
        <v>7614</v>
      </c>
      <c r="AA25" s="8" t="str">
        <v/>
      </c>
      <c r="AB25" s="8" t="str">
        <v/>
      </c>
      <c r="AC25" s="8" t="str">
        <v/>
      </c>
      <c r="AD25" s="8" t="str">
        <v/>
      </c>
      <c r="AE25" s="8" t="str">
        <v/>
      </c>
      <c r="AF25" s="8" t="str">
        <v/>
      </c>
      <c r="AG25" s="8" t="str">
        <v/>
      </c>
      <c r="AH25" s="8" t="str">
        <v/>
      </c>
      <c r="AI25" s="8" t="n">
        <v>17</v>
      </c>
      <c r="AJ25" s="8" t="str">
        <v>～59</v>
      </c>
      <c r="AK25" s="8" t="str">
        <v>0～4</v>
      </c>
      <c r="AL25" s="8" t="str">
        <v>10～19</v>
      </c>
      <c r="AM25" s="8" t="str">
        <v>100～119</v>
      </c>
      <c r="AN25" s="8" t="str">
        <v>15以上</v>
      </c>
      <c r="AO25" s="8" t="str">
        <f aca="false">IF(A25="","",IF(COUNTIFS(全馬データ!$A$2:$A$50000,A25,全馬データ!$B$2:$B$50000,B25,全馬データ!$C$2:$C$50000,C25,全馬データ!$D$2:$D$50000,E25,全馬データ!$K$2:$K$50000,"&lt;&gt;")=0,"",SUMIFS(全馬データ!$K$2:$K$50000,全馬データ!$A$2:$A$50000,A25,全馬データ!$B$2:$B$50000,B25,全馬データ!$C$2:$C$50000,C25,全馬データ!$D$2:$D$50000,E25)))</f>
        <v/>
      </c>
      <c r="AP25" s="8" t="str">
        <f aca="false">IF(A25="","",IF(AO25="","欠損",IF(AO25&lt;=1.1,"1.0～1.1",IF(AO25&lt;1.3,"1.2",IF(AO25&lt;1.5,"1.3～1.4",IF(AO25&lt;2,"1.5～1.9","2.0以上"))))))</f>
        <v>欠損</v>
      </c>
      <c r="AQ25" s="8" t="str">
        <f aca="false">IF(A25="","",IF(ISNUMBER(SEARCH("2歳",Z25)),"2歳戦",IF(ISNUMBER(SEARCH("3歳未勝利",Z25)),"3歳未勝利",IF(ISNUMBER(SEARCH("未勝利",Z25)),"その他未勝利",IF(ISNUMBER(SEARCH("G1",Z25)),"G1",IF(ISNUMBER(SEARCH("G2",Z25)),"G2",IF(ISNUMBER(SEARCH("G3",Z25)),"G3",IF(ISNUMBER(SEARCH("古馬条件",Z25)),"古馬条件戦",IF(ISNUMBER(SEARCH("重賞",Z25)),"重賞","分類不能")))))))))</f>
        <v>分類不能</v>
      </c>
      <c r="AR25" s="8"/>
      <c r="AS25" s="8" t="s">
        <v>7623</v>
      </c>
      <c r="AT25" s="8" t="s">
        <v>7624</v>
      </c>
      <c r="AU25" s="8" t="s">
        <v>7600</v>
      </c>
      <c r="AV25" s="4" t="s">
        <v>7601</v>
      </c>
      <c r="AW25" s="8"/>
      <c r="AX25" s="8"/>
      <c r="AY25" s="8" t="s">
        <v>7602</v>
      </c>
      <c r="AZ25" s="4" t="s">
        <v>7603</v>
      </c>
      <c r="BA25" s="8" t="n">
        <v>1600</v>
      </c>
      <c r="BB25" s="8" t="s">
        <v>7598</v>
      </c>
      <c r="BC25" s="4" t="s">
        <v>7604</v>
      </c>
      <c r="BD25" s="8" t="s">
        <v>7605</v>
      </c>
      <c r="BE25" s="4" t="s">
        <v>7606</v>
      </c>
      <c r="BF25" s="8" t="s">
        <v>7607</v>
      </c>
      <c r="BG25" s="8" t="s">
        <v>7608</v>
      </c>
      <c r="BH25" s="4" t="s">
        <v>7609</v>
      </c>
      <c r="BI25" s="8" t="n">
        <v>16</v>
      </c>
      <c r="BJ25" s="8" t="s">
        <v>7610</v>
      </c>
      <c r="BK25" s="4" t="s">
        <v>7611</v>
      </c>
      <c r="BL25" s="8" t="s">
        <v>7602</v>
      </c>
      <c r="BM25" s="4" t="s">
        <v>7620</v>
      </c>
      <c r="BN25" s="8" t="s">
        <v>7602</v>
      </c>
      <c r="BO25" s="8" t="s">
        <v>7613</v>
      </c>
      <c r="BP25" s="8" t="s">
        <v>7610</v>
      </c>
      <c r="BQ25" s="8" t="str">
        <f aca="false">IF(A25="","",AT25)</f>
        <v>3歳</v>
      </c>
      <c r="BR25" s="8" t="str">
        <f aca="false">IF(A25="","",IF(BA25&lt;=1200,"～1200",IF(BA25&lt;=1500,"1300～1500",IF(BA25=1600,"1600",IF(BA25&lt;=1800,"1700～1800",IF(BA25&lt;=2000,"1900～2000","2100以上"))))))</f>
        <v>1600</v>
      </c>
      <c r="BS25" s="8" t="str">
        <f aca="false">IF(A25="","",IF(AX25="G1","G1",IF(AX25="G2","G2",IF(AX25="G3","G3",IF(AX25="L","L","その他")))))</f>
        <v>その他</v>
      </c>
      <c r="BT25" s="8" t="str">
        <f aca="false">IF(A25="","",IF(BI25="","未結合",IF(D25=BI25,"一致","不一致")))</f>
        <v>一致</v>
      </c>
      <c r="BU25" s="8" t="str">
        <f aca="false">IF(A25="","",IF(BE25="牝馬限定","牝馬限定","その他"))</f>
        <v>その他</v>
      </c>
    </row>
    <row r="26" customFormat="false" ht="15.75" hidden="false" customHeight="false" outlineLevel="0" collapsed="false">
      <c r="A26" s="3" t="n">
        <v>46228</v>
      </c>
      <c r="B26" s="4" t="s">
        <v>334</v>
      </c>
      <c r="C26" s="8" t="n">
        <v>1</v>
      </c>
      <c r="D26" s="8" t="n">
        <v>8</v>
      </c>
      <c r="E26" s="8" t="n">
        <v>3</v>
      </c>
      <c r="F26" s="4" t="s">
        <v>337</v>
      </c>
      <c r="G26" s="8" t="n">
        <v>65</v>
      </c>
      <c r="H26" s="8" t="n">
        <v>5</v>
      </c>
      <c r="I26" s="4" t="s">
        <v>339</v>
      </c>
      <c r="J26" s="8" t="n">
        <v>47</v>
      </c>
      <c r="K26" s="8" t="n">
        <v>7</v>
      </c>
      <c r="L26" s="4" t="s">
        <v>341</v>
      </c>
      <c r="M26" s="8" t="n">
        <v>41</v>
      </c>
      <c r="N26" s="8" t="n">
        <f aca="false">IF(A26="","",G26-J26)</f>
        <v>18</v>
      </c>
      <c r="O26" s="8" t="n">
        <f aca="false">IF(A26="","",J26-M26)</f>
        <v>6</v>
      </c>
      <c r="P26" s="8" t="n">
        <f aca="false">IF(A26="","",G26+J26)</f>
        <v>112</v>
      </c>
      <c r="Q26" s="8" t="str">
        <f aca="false">IF(A26="","",IF(AND(Y26&lt;&gt;"参考",G26&gt;=ルール設定!$B$2),"○",""))</f>
        <v/>
      </c>
      <c r="R26" s="8" t="str">
        <f aca="false">IF(A26="","",IF(AND(Y26&lt;&gt;"参考",G26&gt;=ルール設定!$B$3,N26&gt;=ルール設定!$B$4),"○",""))</f>
        <v/>
      </c>
      <c r="S26" s="8" t="str">
        <f aca="false">IF(A26="","",IF(AND(Y26&lt;&gt;"参考",G26&gt;=ルール設定!$B$5,J26&gt;=ルール設定!$B$6,O26&gt;=ルール設定!$B$7),"○",""))</f>
        <v/>
      </c>
      <c r="T26" s="8" t="n">
        <v>3</v>
      </c>
      <c r="U26" s="8" t="n">
        <v>2</v>
      </c>
      <c r="V26" s="8" t="str">
        <f aca="false">IF(A26="","",IF(AND(ISNUMBER(T26),ISNUMBER(U26)),IF(AND(T26&lt;=3,U26&lt;=3),"○","×"),""))</f>
        <v>○</v>
      </c>
      <c r="W26" s="8" t="n">
        <v>110</v>
      </c>
      <c r="X26" s="8" t="n">
        <v>230</v>
      </c>
      <c r="Y26" s="4" t="s">
        <v>7597</v>
      </c>
      <c r="Z26" s="8"/>
      <c r="AA26" s="8" t="str">
        <v/>
      </c>
      <c r="AB26" s="8" t="str">
        <v/>
      </c>
      <c r="AC26" s="8" t="str">
        <v/>
      </c>
      <c r="AD26" s="8" t="str">
        <v/>
      </c>
      <c r="AE26" s="8" t="str">
        <v/>
      </c>
      <c r="AF26" s="8" t="str">
        <v/>
      </c>
      <c r="AG26" s="8" t="str">
        <v/>
      </c>
      <c r="AH26" s="8" t="str">
        <v/>
      </c>
      <c r="AI26" s="8" t="n">
        <v>24</v>
      </c>
      <c r="AJ26" s="8" t="str">
        <v>60～69</v>
      </c>
      <c r="AK26" s="8" t="str">
        <v>10～19</v>
      </c>
      <c r="AL26" s="8" t="str">
        <v>20～29</v>
      </c>
      <c r="AM26" s="8" t="str">
        <v>100～119</v>
      </c>
      <c r="AN26" s="8" t="str">
        <v>8～11</v>
      </c>
      <c r="AO26" s="8" t="str">
        <f aca="false">IF(A26="","",IF(COUNTIFS(全馬データ!$A$2:$A$50000,A26,全馬データ!$B$2:$B$50000,B26,全馬データ!$C$2:$C$50000,C26,全馬データ!$D$2:$D$50000,E26,全馬データ!$K$2:$K$50000,"&lt;&gt;")=0,"",SUMIFS(全馬データ!$K$2:$K$50000,全馬データ!$A$2:$A$50000,A26,全馬データ!$B$2:$B$50000,B26,全馬データ!$C$2:$C$50000,C26,全馬データ!$D$2:$D$50000,E26)))</f>
        <v/>
      </c>
      <c r="AP26" s="8" t="str">
        <f aca="false">IF(A26="","",IF(AO26="","欠損",IF(AO26&lt;=1.1,"1.0～1.1",IF(AO26&lt;1.3,"1.2",IF(AO26&lt;1.5,"1.3～1.4",IF(AO26&lt;2,"1.5～1.9","2.0以上"))))))</f>
        <v>欠損</v>
      </c>
      <c r="AQ26" s="8" t="str">
        <f aca="false">IF(A26="","",IF(ISNUMBER(SEARCH("2歳",Z26)),"2歳戦",IF(ISNUMBER(SEARCH("3歳未勝利",Z26)),"3歳未勝利",IF(ISNUMBER(SEARCH("未勝利",Z26)),"その他未勝利",IF(ISNUMBER(SEARCH("G1",Z26)),"G1",IF(ISNUMBER(SEARCH("G2",Z26)),"G2",IF(ISNUMBER(SEARCH("G3",Z26)),"G3",IF(ISNUMBER(SEARCH("古馬条件",Z26)),"古馬条件戦",IF(ISNUMBER(SEARCH("重賞",Z26)),"重賞","分類不能")))))))))</f>
        <v>分類不能</v>
      </c>
      <c r="AR26" s="8"/>
      <c r="AS26" s="8" t="s">
        <v>7623</v>
      </c>
      <c r="AT26" s="8" t="s">
        <v>7624</v>
      </c>
      <c r="AU26" s="8" t="s">
        <v>7600</v>
      </c>
      <c r="AV26" s="4" t="s">
        <v>7601</v>
      </c>
      <c r="AW26" s="8"/>
      <c r="AX26" s="8"/>
      <c r="AY26" s="8" t="s">
        <v>7610</v>
      </c>
      <c r="AZ26" s="4" t="s">
        <v>7617</v>
      </c>
      <c r="BA26" s="8" t="n">
        <v>1000</v>
      </c>
      <c r="BB26" s="8" t="s">
        <v>7598</v>
      </c>
      <c r="BC26" s="4" t="s">
        <v>7604</v>
      </c>
      <c r="BD26" s="8" t="s">
        <v>7605</v>
      </c>
      <c r="BE26" s="4" t="s">
        <v>7606</v>
      </c>
      <c r="BF26" s="8" t="s">
        <v>7607</v>
      </c>
      <c r="BG26" s="8" t="s">
        <v>7608</v>
      </c>
      <c r="BH26" s="4" t="s">
        <v>7609</v>
      </c>
      <c r="BI26" s="8" t="n">
        <v>8</v>
      </c>
      <c r="BJ26" s="8" t="s">
        <v>7602</v>
      </c>
      <c r="BK26" s="4" t="s">
        <v>7653</v>
      </c>
      <c r="BL26" s="8" t="s">
        <v>7602</v>
      </c>
      <c r="BM26" s="4" t="s">
        <v>7620</v>
      </c>
      <c r="BN26" s="8"/>
      <c r="BO26" s="8"/>
      <c r="BP26" s="8" t="s">
        <v>7608</v>
      </c>
      <c r="BQ26" s="8" t="str">
        <f aca="false">IF(A26="","",AT26)</f>
        <v>3歳</v>
      </c>
      <c r="BR26" s="8" t="str">
        <f aca="false">IF(A26="","",IF(BA26&lt;=1200,"～1200",IF(BA26&lt;=1500,"1300～1500",IF(BA26=1600,"1600",IF(BA26&lt;=1800,"1700～1800",IF(BA26&lt;=2000,"1900～2000","2100以上"))))))</f>
        <v>～1200</v>
      </c>
      <c r="BS26" s="8" t="str">
        <f aca="false">IF(A26="","",IF(AX26="G1","G1",IF(AX26="G2","G2",IF(AX26="G3","G3",IF(AX26="L","L","その他")))))</f>
        <v>その他</v>
      </c>
      <c r="BT26" s="8" t="str">
        <f aca="false">IF(A26="","",IF(BI26="","未結合",IF(D26=BI26,"一致","不一致")))</f>
        <v>一致</v>
      </c>
      <c r="BU26" s="8" t="str">
        <f aca="false">IF(A26="","",IF(BE26="牝馬限定","牝馬限定","その他"))</f>
        <v>その他</v>
      </c>
    </row>
    <row r="27" customFormat="false" ht="15.75" hidden="false" customHeight="false" outlineLevel="0" collapsed="false">
      <c r="A27" s="3" t="n">
        <v>46228</v>
      </c>
      <c r="B27" s="4" t="s">
        <v>334</v>
      </c>
      <c r="C27" s="8" t="n">
        <v>2</v>
      </c>
      <c r="D27" s="8" t="n">
        <v>8</v>
      </c>
      <c r="E27" s="8" t="n">
        <v>6</v>
      </c>
      <c r="F27" s="4" t="s">
        <v>348</v>
      </c>
      <c r="G27" s="8" t="n">
        <v>56</v>
      </c>
      <c r="H27" s="8" t="n">
        <v>5</v>
      </c>
      <c r="I27" s="4" t="s">
        <v>347</v>
      </c>
      <c r="J27" s="8" t="n">
        <v>52</v>
      </c>
      <c r="K27" s="8" t="n">
        <v>2</v>
      </c>
      <c r="L27" s="4" t="s">
        <v>344</v>
      </c>
      <c r="M27" s="8" t="n">
        <v>44</v>
      </c>
      <c r="N27" s="8" t="n">
        <f aca="false">IF(A27="","",G27-J27)</f>
        <v>4</v>
      </c>
      <c r="O27" s="8" t="n">
        <f aca="false">IF(A27="","",J27-M27)</f>
        <v>8</v>
      </c>
      <c r="P27" s="8" t="n">
        <f aca="false">IF(A27="","",G27+J27)</f>
        <v>108</v>
      </c>
      <c r="Q27" s="8" t="str">
        <f aca="false">IF(A27="","",IF(AND(Y27&lt;&gt;"参考",G27&gt;=ルール設定!$B$2),"○",""))</f>
        <v/>
      </c>
      <c r="R27" s="8" t="str">
        <f aca="false">IF(A27="","",IF(AND(Y27&lt;&gt;"参考",G27&gt;=ルール設定!$B$3,N27&gt;=ルール設定!$B$4),"○",""))</f>
        <v/>
      </c>
      <c r="S27" s="8" t="str">
        <f aca="false">IF(A27="","",IF(AND(Y27&lt;&gt;"参考",G27&gt;=ルール設定!$B$5,J27&gt;=ルール設定!$B$6,O27&gt;=ルール設定!$B$7),"○",""))</f>
        <v/>
      </c>
      <c r="T27" s="8" t="n">
        <v>4</v>
      </c>
      <c r="U27" s="8" t="n">
        <v>1</v>
      </c>
      <c r="V27" s="8" t="str">
        <f aca="false">IF(A27="","",IF(AND(ISNUMBER(T27),ISNUMBER(U27)),IF(AND(T27&lt;=3,U27&lt;=3),"○","×"),""))</f>
        <v>×</v>
      </c>
      <c r="W27" s="8"/>
      <c r="X27" s="8"/>
      <c r="Y27" s="4" t="s">
        <v>7597</v>
      </c>
      <c r="Z27" s="8"/>
      <c r="AA27" s="8" t="str">
        <v/>
      </c>
      <c r="AB27" s="8" t="str">
        <v/>
      </c>
      <c r="AC27" s="8" t="str">
        <v/>
      </c>
      <c r="AD27" s="8" t="str">
        <v/>
      </c>
      <c r="AE27" s="8" t="str">
        <v/>
      </c>
      <c r="AF27" s="8" t="str">
        <v/>
      </c>
      <c r="AG27" s="8" t="str">
        <v/>
      </c>
      <c r="AH27" s="8" t="str">
        <v/>
      </c>
      <c r="AI27" s="8" t="n">
        <v>12</v>
      </c>
      <c r="AJ27" s="8" t="str">
        <v>～59</v>
      </c>
      <c r="AK27" s="8" t="str">
        <v>0～4</v>
      </c>
      <c r="AL27" s="8" t="str">
        <v>10～19</v>
      </c>
      <c r="AM27" s="8" t="str">
        <v>100～119</v>
      </c>
      <c r="AN27" s="8" t="str">
        <v>8～11</v>
      </c>
      <c r="AO27" s="8" t="str">
        <f aca="false">IF(A27="","",IF(COUNTIFS(全馬データ!$A$2:$A$50000,A27,全馬データ!$B$2:$B$50000,B27,全馬データ!$C$2:$C$50000,C27,全馬データ!$D$2:$D$50000,E27,全馬データ!$K$2:$K$50000,"&lt;&gt;")=0,"",SUMIFS(全馬データ!$K$2:$K$50000,全馬データ!$A$2:$A$50000,A27,全馬データ!$B$2:$B$50000,B27,全馬データ!$C$2:$C$50000,C27,全馬データ!$D$2:$D$50000,E27)))</f>
        <v/>
      </c>
      <c r="AP27" s="8" t="str">
        <f aca="false">IF(A27="","",IF(AO27="","欠損",IF(AO27&lt;=1.1,"1.0～1.1",IF(AO27&lt;1.3,"1.2",IF(AO27&lt;1.5,"1.3～1.4",IF(AO27&lt;2,"1.5～1.9","2.0以上"))))))</f>
        <v>欠損</v>
      </c>
      <c r="AQ27" s="8" t="str">
        <f aca="false">IF(A27="","",IF(ISNUMBER(SEARCH("2歳",Z27)),"2歳戦",IF(ISNUMBER(SEARCH("3歳未勝利",Z27)),"3歳未勝利",IF(ISNUMBER(SEARCH("未勝利",Z27)),"その他未勝利",IF(ISNUMBER(SEARCH("G1",Z27)),"G1",IF(ISNUMBER(SEARCH("G2",Z27)),"G2",IF(ISNUMBER(SEARCH("G3",Z27)),"G3",IF(ISNUMBER(SEARCH("古馬条件",Z27)),"古馬条件戦",IF(ISNUMBER(SEARCH("重賞",Z27)),"重賞","分類不能")))))))))</f>
        <v>分類不能</v>
      </c>
      <c r="AR27" s="8"/>
      <c r="AS27" s="8" t="s">
        <v>7598</v>
      </c>
      <c r="AT27" s="8" t="s">
        <v>7599</v>
      </c>
      <c r="AU27" s="8" t="s">
        <v>7600</v>
      </c>
      <c r="AV27" s="4" t="s">
        <v>7601</v>
      </c>
      <c r="AW27" s="8"/>
      <c r="AX27" s="8"/>
      <c r="AY27" s="8" t="s">
        <v>7602</v>
      </c>
      <c r="AZ27" s="4" t="s">
        <v>7603</v>
      </c>
      <c r="BA27" s="8" t="n">
        <v>1200</v>
      </c>
      <c r="BB27" s="8" t="s">
        <v>7598</v>
      </c>
      <c r="BC27" s="4" t="s">
        <v>7604</v>
      </c>
      <c r="BD27" s="8" t="s">
        <v>7605</v>
      </c>
      <c r="BE27" s="4" t="s">
        <v>7606</v>
      </c>
      <c r="BF27" s="8" t="s">
        <v>7607</v>
      </c>
      <c r="BG27" s="8" t="s">
        <v>7608</v>
      </c>
      <c r="BH27" s="4" t="s">
        <v>7609</v>
      </c>
      <c r="BI27" s="8" t="n">
        <v>8</v>
      </c>
      <c r="BJ27" s="8" t="s">
        <v>7602</v>
      </c>
      <c r="BK27" s="4" t="s">
        <v>7653</v>
      </c>
      <c r="BL27" s="8" t="s">
        <v>7602</v>
      </c>
      <c r="BM27" s="4" t="s">
        <v>7620</v>
      </c>
      <c r="BN27" s="8" t="s">
        <v>7602</v>
      </c>
      <c r="BO27" s="8" t="s">
        <v>7613</v>
      </c>
      <c r="BP27" s="8" t="s">
        <v>7608</v>
      </c>
      <c r="BQ27" s="8" t="str">
        <f aca="false">IF(A27="","",AT27)</f>
        <v>2歳</v>
      </c>
      <c r="BR27" s="8" t="str">
        <f aca="false">IF(A27="","",IF(BA27&lt;=1200,"～1200",IF(BA27&lt;=1500,"1300～1500",IF(BA27=1600,"1600",IF(BA27&lt;=1800,"1700～1800",IF(BA27&lt;=2000,"1900～2000","2100以上"))))))</f>
        <v>～1200</v>
      </c>
      <c r="BS27" s="8" t="str">
        <f aca="false">IF(A27="","",IF(AX27="G1","G1",IF(AX27="G2","G2",IF(AX27="G3","G3",IF(AX27="L","L","その他")))))</f>
        <v>その他</v>
      </c>
      <c r="BT27" s="8" t="str">
        <f aca="false">IF(A27="","",IF(BI27="","未結合",IF(D27=BI27,"一致","不一致")))</f>
        <v>一致</v>
      </c>
      <c r="BU27" s="8" t="str">
        <f aca="false">IF(A27="","",IF(BE27="牝馬限定","牝馬限定","その他"))</f>
        <v>その他</v>
      </c>
    </row>
    <row r="28" customFormat="false" ht="15.75" hidden="false" customHeight="false" outlineLevel="0" collapsed="false">
      <c r="A28" s="3" t="n">
        <v>46228</v>
      </c>
      <c r="B28" s="4" t="s">
        <v>334</v>
      </c>
      <c r="C28" s="8" t="n">
        <v>3</v>
      </c>
      <c r="D28" s="8" t="n">
        <v>10</v>
      </c>
      <c r="E28" s="8" t="n">
        <v>6</v>
      </c>
      <c r="F28" s="4" t="s">
        <v>356</v>
      </c>
      <c r="G28" s="8" t="n">
        <v>47</v>
      </c>
      <c r="H28" s="8" t="n">
        <v>7</v>
      </c>
      <c r="I28" s="4" t="s">
        <v>357</v>
      </c>
      <c r="J28" s="8" t="n">
        <v>47</v>
      </c>
      <c r="K28" s="8" t="n">
        <v>8</v>
      </c>
      <c r="L28" s="4" t="s">
        <v>358</v>
      </c>
      <c r="M28" s="8" t="n">
        <v>41</v>
      </c>
      <c r="N28" s="8" t="n">
        <f aca="false">IF(A28="","",G28-J28)</f>
        <v>0</v>
      </c>
      <c r="O28" s="8" t="n">
        <f aca="false">IF(A28="","",J28-M28)</f>
        <v>6</v>
      </c>
      <c r="P28" s="8" t="n">
        <f aca="false">IF(A28="","",G28+J28)</f>
        <v>94</v>
      </c>
      <c r="Q28" s="8" t="str">
        <f aca="false">IF(A28="","",IF(AND(Y28&lt;&gt;"参考",G28&gt;=ルール設定!$B$2),"○",""))</f>
        <v/>
      </c>
      <c r="R28" s="8" t="str">
        <f aca="false">IF(A28="","",IF(AND(Y28&lt;&gt;"参考",G28&gt;=ルール設定!$B$3,N28&gt;=ルール設定!$B$4),"○",""))</f>
        <v/>
      </c>
      <c r="S28" s="8" t="str">
        <f aca="false">IF(A28="","",IF(AND(Y28&lt;&gt;"参考",G28&gt;=ルール設定!$B$5,J28&gt;=ルール設定!$B$6,O28&gt;=ルール設定!$B$7),"○",""))</f>
        <v/>
      </c>
      <c r="T28" s="8" t="n">
        <v>3</v>
      </c>
      <c r="U28" s="8" t="n">
        <v>4</v>
      </c>
      <c r="V28" s="8" t="str">
        <f aca="false">IF(A28="","",IF(AND(ISNUMBER(T28),ISNUMBER(U28)),IF(AND(T28&lt;=3,U28&lt;=3),"○","×"),""))</f>
        <v>×</v>
      </c>
      <c r="W28" s="8" t="n">
        <v>120</v>
      </c>
      <c r="X28" s="8"/>
      <c r="Y28" s="4" t="s">
        <v>7597</v>
      </c>
      <c r="Z28" s="4" t="s">
        <v>7614</v>
      </c>
      <c r="AA28" s="8" t="str">
        <v/>
      </c>
      <c r="AB28" s="8" t="str">
        <v/>
      </c>
      <c r="AC28" s="8" t="str">
        <v/>
      </c>
      <c r="AD28" s="8" t="str">
        <v/>
      </c>
      <c r="AE28" s="8" t="str">
        <v/>
      </c>
      <c r="AF28" s="8" t="str">
        <v/>
      </c>
      <c r="AG28" s="8" t="str">
        <v/>
      </c>
      <c r="AH28" s="8" t="str">
        <v/>
      </c>
      <c r="AI28" s="8" t="n">
        <v>6</v>
      </c>
      <c r="AJ28" s="8" t="str">
        <v>～59</v>
      </c>
      <c r="AK28" s="8" t="str">
        <v>0～4</v>
      </c>
      <c r="AL28" s="8" t="str">
        <v>0～9</v>
      </c>
      <c r="AM28" s="8" t="str">
        <v>～99</v>
      </c>
      <c r="AN28" s="8" t="str">
        <v>8～11</v>
      </c>
      <c r="AO28" s="8" t="str">
        <f aca="false">IF(A28="","",IF(COUNTIFS(全馬データ!$A$2:$A$50000,A28,全馬データ!$B$2:$B$50000,B28,全馬データ!$C$2:$C$50000,C28,全馬データ!$D$2:$D$50000,E28,全馬データ!$K$2:$K$50000,"&lt;&gt;")=0,"",SUMIFS(全馬データ!$K$2:$K$50000,全馬データ!$A$2:$A$50000,A28,全馬データ!$B$2:$B$50000,B28,全馬データ!$C$2:$C$50000,C28,全馬データ!$D$2:$D$50000,E28)))</f>
        <v/>
      </c>
      <c r="AP28" s="8" t="str">
        <f aca="false">IF(A28="","",IF(AO28="","欠損",IF(AO28&lt;=1.1,"1.0～1.1",IF(AO28&lt;1.3,"1.2",IF(AO28&lt;1.5,"1.3～1.4",IF(AO28&lt;2,"1.5～1.9","2.0以上"))))))</f>
        <v>欠損</v>
      </c>
      <c r="AQ28" s="8" t="str">
        <f aca="false">IF(A28="","",IF(ISNUMBER(SEARCH("2歳",Z28)),"2歳戦",IF(ISNUMBER(SEARCH("3歳未勝利",Z28)),"3歳未勝利",IF(ISNUMBER(SEARCH("未勝利",Z28)),"その他未勝利",IF(ISNUMBER(SEARCH("G1",Z28)),"G1",IF(ISNUMBER(SEARCH("G2",Z28)),"G2",IF(ISNUMBER(SEARCH("G3",Z28)),"G3",IF(ISNUMBER(SEARCH("古馬条件",Z28)),"古馬条件戦",IF(ISNUMBER(SEARCH("重賞",Z28)),"重賞","分類不能")))))))))</f>
        <v>分類不能</v>
      </c>
      <c r="AR28" s="8"/>
      <c r="AS28" s="8" t="s">
        <v>7623</v>
      </c>
      <c r="AT28" s="8" t="s">
        <v>7624</v>
      </c>
      <c r="AU28" s="8" t="s">
        <v>7600</v>
      </c>
      <c r="AV28" s="4" t="s">
        <v>7601</v>
      </c>
      <c r="AW28" s="8"/>
      <c r="AX28" s="8"/>
      <c r="AY28" s="8" t="s">
        <v>7610</v>
      </c>
      <c r="AZ28" s="4" t="s">
        <v>7617</v>
      </c>
      <c r="BA28" s="8" t="n">
        <v>1700</v>
      </c>
      <c r="BB28" s="8" t="s">
        <v>7598</v>
      </c>
      <c r="BC28" s="4" t="s">
        <v>7604</v>
      </c>
      <c r="BD28" s="8" t="s">
        <v>7625</v>
      </c>
      <c r="BE28" s="4" t="s">
        <v>7606</v>
      </c>
      <c r="BF28" s="8" t="s">
        <v>7607</v>
      </c>
      <c r="BG28" s="8" t="s">
        <v>7608</v>
      </c>
      <c r="BH28" s="4" t="s">
        <v>7609</v>
      </c>
      <c r="BI28" s="8" t="n">
        <v>10</v>
      </c>
      <c r="BJ28" s="8" t="s">
        <v>7602</v>
      </c>
      <c r="BK28" s="4" t="s">
        <v>7653</v>
      </c>
      <c r="BL28" s="8" t="s">
        <v>7602</v>
      </c>
      <c r="BM28" s="4" t="s">
        <v>7620</v>
      </c>
      <c r="BN28" s="8"/>
      <c r="BO28" s="8"/>
      <c r="BP28" s="8" t="s">
        <v>7608</v>
      </c>
      <c r="BQ28" s="8" t="str">
        <f aca="false">IF(A28="","",AT28)</f>
        <v>3歳</v>
      </c>
      <c r="BR28" s="8" t="str">
        <f aca="false">IF(A28="","",IF(BA28&lt;=1200,"～1200",IF(BA28&lt;=1500,"1300～1500",IF(BA28=1600,"1600",IF(BA28&lt;=1800,"1700～1800",IF(BA28&lt;=2000,"1900～2000","2100以上"))))))</f>
        <v>1700～1800</v>
      </c>
      <c r="BS28" s="8" t="str">
        <f aca="false">IF(A28="","",IF(AX28="G1","G1",IF(AX28="G2","G2",IF(AX28="G3","G3",IF(AX28="L","L","その他")))))</f>
        <v>その他</v>
      </c>
      <c r="BT28" s="8" t="str">
        <f aca="false">IF(A28="","",IF(BI28="","未結合",IF(D28=BI28,"一致","不一致")))</f>
        <v>一致</v>
      </c>
      <c r="BU28" s="8" t="str">
        <f aca="false">IF(A28="","",IF(BE28="牝馬限定","牝馬限定","その他"))</f>
        <v>その他</v>
      </c>
    </row>
    <row r="29" customFormat="false" ht="15.75" hidden="false" customHeight="false" outlineLevel="0" collapsed="false">
      <c r="A29" s="3" t="n">
        <v>46228</v>
      </c>
      <c r="B29" s="4" t="s">
        <v>334</v>
      </c>
      <c r="C29" s="8" t="n">
        <v>4</v>
      </c>
      <c r="D29" s="8" t="n">
        <v>14</v>
      </c>
      <c r="E29" s="8" t="n">
        <v>4</v>
      </c>
      <c r="F29" s="4" t="s">
        <v>364</v>
      </c>
      <c r="G29" s="8" t="n">
        <v>56</v>
      </c>
      <c r="H29" s="8" t="n">
        <v>11</v>
      </c>
      <c r="I29" s="4" t="s">
        <v>371</v>
      </c>
      <c r="J29" s="8" t="n">
        <v>56</v>
      </c>
      <c r="K29" s="8" t="n">
        <v>3</v>
      </c>
      <c r="L29" s="4" t="s">
        <v>363</v>
      </c>
      <c r="M29" s="8" t="n">
        <v>47</v>
      </c>
      <c r="N29" s="8" t="n">
        <f aca="false">IF(A29="","",G29-J29)</f>
        <v>0</v>
      </c>
      <c r="O29" s="8" t="n">
        <f aca="false">IF(A29="","",J29-M29)</f>
        <v>9</v>
      </c>
      <c r="P29" s="8" t="n">
        <f aca="false">IF(A29="","",G29+J29)</f>
        <v>112</v>
      </c>
      <c r="Q29" s="8" t="str">
        <f aca="false">IF(A29="","",IF(AND(Y29&lt;&gt;"参考",G29&gt;=ルール設定!$B$2),"○",""))</f>
        <v/>
      </c>
      <c r="R29" s="8" t="str">
        <f aca="false">IF(A29="","",IF(AND(Y29&lt;&gt;"参考",G29&gt;=ルール設定!$B$3,N29&gt;=ルール設定!$B$4),"○",""))</f>
        <v/>
      </c>
      <c r="S29" s="8" t="str">
        <f aca="false">IF(A29="","",IF(AND(Y29&lt;&gt;"参考",G29&gt;=ルール設定!$B$5,J29&gt;=ルール設定!$B$6,O29&gt;=ルール設定!$B$7),"○",""))</f>
        <v/>
      </c>
      <c r="T29" s="8" t="n">
        <v>3</v>
      </c>
      <c r="U29" s="8" t="n">
        <v>1</v>
      </c>
      <c r="V29" s="8" t="str">
        <f aca="false">IF(A29="","",IF(AND(ISNUMBER(T29),ISNUMBER(U29)),IF(AND(T29&lt;=3,U29&lt;=3),"○","×"),""))</f>
        <v>○</v>
      </c>
      <c r="W29" s="8" t="n">
        <v>140</v>
      </c>
      <c r="X29" s="8" t="n">
        <v>250</v>
      </c>
      <c r="Y29" s="4" t="s">
        <v>7597</v>
      </c>
      <c r="Z29" s="4" t="s">
        <v>7614</v>
      </c>
      <c r="AA29" s="8" t="str">
        <v/>
      </c>
      <c r="AB29" s="8" t="str">
        <v/>
      </c>
      <c r="AC29" s="8" t="str">
        <v/>
      </c>
      <c r="AD29" s="8" t="str">
        <v/>
      </c>
      <c r="AE29" s="8" t="str">
        <v/>
      </c>
      <c r="AF29" s="8" t="str">
        <v/>
      </c>
      <c r="AG29" s="8" t="str">
        <v/>
      </c>
      <c r="AH29" s="8" t="str">
        <v/>
      </c>
      <c r="AI29" s="8" t="n">
        <v>9</v>
      </c>
      <c r="AJ29" s="8" t="str">
        <v>～59</v>
      </c>
      <c r="AK29" s="8" t="str">
        <v>0～4</v>
      </c>
      <c r="AL29" s="8" t="str">
        <v>0～9</v>
      </c>
      <c r="AM29" s="8" t="str">
        <v>100～119</v>
      </c>
      <c r="AN29" s="8" t="str">
        <v>12～14</v>
      </c>
      <c r="AO29" s="8" t="str">
        <f aca="false">IF(A29="","",IF(COUNTIFS(全馬データ!$A$2:$A$50000,A29,全馬データ!$B$2:$B$50000,B29,全馬データ!$C$2:$C$50000,C29,全馬データ!$D$2:$D$50000,E29,全馬データ!$K$2:$K$50000,"&lt;&gt;")=0,"",SUMIFS(全馬データ!$K$2:$K$50000,全馬データ!$A$2:$A$50000,A29,全馬データ!$B$2:$B$50000,B29,全馬データ!$C$2:$C$50000,C29,全馬データ!$D$2:$D$50000,E29)))</f>
        <v/>
      </c>
      <c r="AP29" s="8" t="str">
        <f aca="false">IF(A29="","",IF(AO29="","欠損",IF(AO29&lt;=1.1,"1.0～1.1",IF(AO29&lt;1.3,"1.2",IF(AO29&lt;1.5,"1.3～1.4",IF(AO29&lt;2,"1.5～1.9","2.0以上"))))))</f>
        <v>欠損</v>
      </c>
      <c r="AQ29" s="8" t="str">
        <f aca="false">IF(A29="","",IF(ISNUMBER(SEARCH("2歳",Z29)),"2歳戦",IF(ISNUMBER(SEARCH("3歳未勝利",Z29)),"3歳未勝利",IF(ISNUMBER(SEARCH("未勝利",Z29)),"その他未勝利",IF(ISNUMBER(SEARCH("G1",Z29)),"G1",IF(ISNUMBER(SEARCH("G2",Z29)),"G2",IF(ISNUMBER(SEARCH("G3",Z29)),"G3",IF(ISNUMBER(SEARCH("古馬条件",Z29)),"古馬条件戦",IF(ISNUMBER(SEARCH("重賞",Z29)),"重賞","分類不能")))))))))</f>
        <v>分類不能</v>
      </c>
      <c r="AR29" s="8"/>
      <c r="AS29" s="8" t="s">
        <v>7623</v>
      </c>
      <c r="AT29" s="8" t="s">
        <v>7624</v>
      </c>
      <c r="AU29" s="8" t="s">
        <v>7600</v>
      </c>
      <c r="AV29" s="4" t="s">
        <v>7601</v>
      </c>
      <c r="AW29" s="8"/>
      <c r="AX29" s="8"/>
      <c r="AY29" s="8" t="s">
        <v>7602</v>
      </c>
      <c r="AZ29" s="4" t="s">
        <v>7603</v>
      </c>
      <c r="BA29" s="8" t="n">
        <v>1500</v>
      </c>
      <c r="BB29" s="8" t="s">
        <v>7598</v>
      </c>
      <c r="BC29" s="4" t="s">
        <v>7604</v>
      </c>
      <c r="BD29" s="8" t="s">
        <v>7621</v>
      </c>
      <c r="BE29" s="4" t="s">
        <v>7622</v>
      </c>
      <c r="BF29" s="8" t="s">
        <v>7602</v>
      </c>
      <c r="BG29" s="8" t="s">
        <v>7608</v>
      </c>
      <c r="BH29" s="4" t="s">
        <v>7609</v>
      </c>
      <c r="BI29" s="8" t="n">
        <v>14</v>
      </c>
      <c r="BJ29" s="8" t="s">
        <v>7602</v>
      </c>
      <c r="BK29" s="4" t="s">
        <v>7653</v>
      </c>
      <c r="BL29" s="8" t="s">
        <v>7602</v>
      </c>
      <c r="BM29" s="4" t="s">
        <v>7620</v>
      </c>
      <c r="BN29" s="8" t="s">
        <v>7602</v>
      </c>
      <c r="BO29" s="8" t="s">
        <v>7613</v>
      </c>
      <c r="BP29" s="8" t="s">
        <v>7608</v>
      </c>
      <c r="BQ29" s="8" t="str">
        <f aca="false">IF(A29="","",AT29)</f>
        <v>3歳</v>
      </c>
      <c r="BR29" s="8" t="str">
        <f aca="false">IF(A29="","",IF(BA29&lt;=1200,"～1200",IF(BA29&lt;=1500,"1300～1500",IF(BA29=1600,"1600",IF(BA29&lt;=1800,"1700～1800",IF(BA29&lt;=2000,"1900～2000","2100以上"))))))</f>
        <v>1300～1500</v>
      </c>
      <c r="BS29" s="8" t="str">
        <f aca="false">IF(A29="","",IF(AX29="G1","G1",IF(AX29="G2","G2",IF(AX29="G3","G3",IF(AX29="L","L","その他")))))</f>
        <v>その他</v>
      </c>
      <c r="BT29" s="8" t="str">
        <f aca="false">IF(A29="","",IF(BI29="","未結合",IF(D29=BI29,"一致","不一致")))</f>
        <v>一致</v>
      </c>
      <c r="BU29" s="8" t="str">
        <f aca="false">IF(A29="","",IF(BE29="牝馬限定","牝馬限定","その他"))</f>
        <v>牝馬限定</v>
      </c>
    </row>
    <row r="30" customFormat="false" ht="15.75" hidden="false" customHeight="false" outlineLevel="0" collapsed="false">
      <c r="A30" s="3" t="n">
        <v>46228</v>
      </c>
      <c r="B30" s="4" t="s">
        <v>334</v>
      </c>
      <c r="C30" s="8" t="n">
        <v>5</v>
      </c>
      <c r="D30" s="8" t="n">
        <v>6</v>
      </c>
      <c r="E30" s="8" t="n">
        <v>1</v>
      </c>
      <c r="F30" s="4" t="s">
        <v>375</v>
      </c>
      <c r="G30" s="8" t="n">
        <v>37</v>
      </c>
      <c r="H30" s="8" t="n">
        <v>2</v>
      </c>
      <c r="I30" s="4" t="s">
        <v>376</v>
      </c>
      <c r="J30" s="8" t="n">
        <v>37</v>
      </c>
      <c r="K30" s="8" t="n">
        <v>3</v>
      </c>
      <c r="L30" s="4" t="s">
        <v>377</v>
      </c>
      <c r="M30" s="8" t="n">
        <v>37</v>
      </c>
      <c r="N30" s="8" t="n">
        <f aca="false">IF(A30="","",G30-J30)</f>
        <v>0</v>
      </c>
      <c r="O30" s="8" t="n">
        <f aca="false">IF(A30="","",J30-M30)</f>
        <v>0</v>
      </c>
      <c r="P30" s="8" t="n">
        <f aca="false">IF(A30="","",G30+J30)</f>
        <v>74</v>
      </c>
      <c r="Q30" s="8" t="str">
        <f aca="false">IF(A30="","",IF(AND(Y30&lt;&gt;"参考",G30&gt;=ルール設定!$B$2),"○",""))</f>
        <v/>
      </c>
      <c r="R30" s="8" t="str">
        <f aca="false">IF(A30="","",IF(AND(Y30&lt;&gt;"参考",G30&gt;=ルール設定!$B$3,N30&gt;=ルール設定!$B$4),"○",""))</f>
        <v/>
      </c>
      <c r="S30" s="8" t="str">
        <f aca="false">IF(A30="","",IF(AND(Y30&lt;&gt;"参考",G30&gt;=ルール設定!$B$5,J30&gt;=ルール設定!$B$6,O30&gt;=ルール設定!$B$7),"○",""))</f>
        <v/>
      </c>
      <c r="T30" s="8" t="n">
        <v>1</v>
      </c>
      <c r="U30" s="8" t="n">
        <v>3</v>
      </c>
      <c r="V30" s="8" t="str">
        <f aca="false">IF(A30="","",IF(AND(ISNUMBER(T30),ISNUMBER(U30)),IF(AND(T30&lt;=3,U30&lt;=3),"○","×"),""))</f>
        <v>○</v>
      </c>
      <c r="W30" s="8" t="n">
        <v>130</v>
      </c>
      <c r="X30" s="8" t="n">
        <v>190</v>
      </c>
      <c r="Y30" s="4" t="s">
        <v>7597</v>
      </c>
      <c r="Z30" s="4" t="s">
        <v>7614</v>
      </c>
      <c r="AA30" s="8" t="str">
        <v/>
      </c>
      <c r="AB30" s="8" t="str">
        <v/>
      </c>
      <c r="AC30" s="8" t="str">
        <v/>
      </c>
      <c r="AD30" s="8" t="str">
        <v/>
      </c>
      <c r="AE30" s="8" t="str">
        <v/>
      </c>
      <c r="AF30" s="8" t="str">
        <v/>
      </c>
      <c r="AG30" s="8" t="str">
        <v/>
      </c>
      <c r="AH30" s="8" t="str">
        <v/>
      </c>
      <c r="AI30" s="8" t="n">
        <v>0</v>
      </c>
      <c r="AJ30" s="8" t="str">
        <v>～59</v>
      </c>
      <c r="AK30" s="8" t="str">
        <v>0～4</v>
      </c>
      <c r="AL30" s="8" t="str">
        <v>0～9</v>
      </c>
      <c r="AM30" s="8" t="str">
        <v>～99</v>
      </c>
      <c r="AN30" s="8" t="str">
        <v>7以下</v>
      </c>
      <c r="AO30" s="8" t="str">
        <f aca="false">IF(A30="","",IF(COUNTIFS(全馬データ!$A$2:$A$50000,A30,全馬データ!$B$2:$B$50000,B30,全馬データ!$C$2:$C$50000,C30,全馬データ!$D$2:$D$50000,E30,全馬データ!$K$2:$K$50000,"&lt;&gt;")=0,"",SUMIFS(全馬データ!$K$2:$K$50000,全馬データ!$A$2:$A$50000,A30,全馬データ!$B$2:$B$50000,B30,全馬データ!$C$2:$C$50000,C30,全馬データ!$D$2:$D$50000,E30)))</f>
        <v/>
      </c>
      <c r="AP30" s="8" t="str">
        <f aca="false">IF(A30="","",IF(AO30="","欠損",IF(AO30&lt;=1.1,"1.0～1.1",IF(AO30&lt;1.3,"1.2",IF(AO30&lt;1.5,"1.3～1.4",IF(AO30&lt;2,"1.5～1.9","2.0以上"))))))</f>
        <v>欠損</v>
      </c>
      <c r="AQ30" s="8" t="str">
        <f aca="false">IF(A30="","",IF(ISNUMBER(SEARCH("2歳",Z30)),"2歳戦",IF(ISNUMBER(SEARCH("3歳未勝利",Z30)),"3歳未勝利",IF(ISNUMBER(SEARCH("未勝利",Z30)),"その他未勝利",IF(ISNUMBER(SEARCH("G1",Z30)),"G1",IF(ISNUMBER(SEARCH("G2",Z30)),"G2",IF(ISNUMBER(SEARCH("G3",Z30)),"G3",IF(ISNUMBER(SEARCH("古馬条件",Z30)),"古馬条件戦",IF(ISNUMBER(SEARCH("重賞",Z30)),"重賞","分類不能")))))))))</f>
        <v>分類不能</v>
      </c>
      <c r="AR30" s="8"/>
      <c r="AS30" s="8" t="s">
        <v>7598</v>
      </c>
      <c r="AT30" s="8" t="s">
        <v>7599</v>
      </c>
      <c r="AU30" s="8" t="s">
        <v>7615</v>
      </c>
      <c r="AV30" s="4" t="s">
        <v>7616</v>
      </c>
      <c r="AW30" s="8"/>
      <c r="AX30" s="8"/>
      <c r="AY30" s="8" t="s">
        <v>7610</v>
      </c>
      <c r="AZ30" s="4" t="s">
        <v>7617</v>
      </c>
      <c r="BA30" s="8" t="n">
        <v>1700</v>
      </c>
      <c r="BB30" s="8" t="s">
        <v>7598</v>
      </c>
      <c r="BC30" s="4" t="s">
        <v>7604</v>
      </c>
      <c r="BD30" s="8" t="s">
        <v>7605</v>
      </c>
      <c r="BE30" s="4" t="s">
        <v>7606</v>
      </c>
      <c r="BF30" s="8" t="s">
        <v>7607</v>
      </c>
      <c r="BG30" s="8" t="s">
        <v>7608</v>
      </c>
      <c r="BH30" s="4" t="s">
        <v>7609</v>
      </c>
      <c r="BI30" s="8" t="n">
        <v>6</v>
      </c>
      <c r="BJ30" s="8" t="s">
        <v>7602</v>
      </c>
      <c r="BK30" s="4" t="s">
        <v>7653</v>
      </c>
      <c r="BL30" s="8" t="s">
        <v>7602</v>
      </c>
      <c r="BM30" s="4" t="s">
        <v>7620</v>
      </c>
      <c r="BN30" s="8"/>
      <c r="BO30" s="8"/>
      <c r="BP30" s="8" t="s">
        <v>7608</v>
      </c>
      <c r="BQ30" s="8" t="str">
        <f aca="false">IF(A30="","",AT30)</f>
        <v>2歳</v>
      </c>
      <c r="BR30" s="8" t="str">
        <f aca="false">IF(A30="","",IF(BA30&lt;=1200,"～1200",IF(BA30&lt;=1500,"1300～1500",IF(BA30=1600,"1600",IF(BA30&lt;=1800,"1700～1800",IF(BA30&lt;=2000,"1900～2000","2100以上"))))))</f>
        <v>1700～1800</v>
      </c>
      <c r="BS30" s="8" t="str">
        <f aca="false">IF(A30="","",IF(AX30="G1","G1",IF(AX30="G2","G2",IF(AX30="G3","G3",IF(AX30="L","L","その他")))))</f>
        <v>その他</v>
      </c>
      <c r="BT30" s="8" t="str">
        <f aca="false">IF(A30="","",IF(BI30="","未結合",IF(D30=BI30,"一致","不一致")))</f>
        <v>一致</v>
      </c>
      <c r="BU30" s="8" t="str">
        <f aca="false">IF(A30="","",IF(BE30="牝馬限定","牝馬限定","その他"))</f>
        <v>その他</v>
      </c>
    </row>
    <row r="31" customFormat="false" ht="15.75" hidden="false" customHeight="false" outlineLevel="0" collapsed="false">
      <c r="A31" s="3" t="n">
        <v>46228</v>
      </c>
      <c r="B31" s="4" t="s">
        <v>334</v>
      </c>
      <c r="C31" s="8" t="n">
        <v>6</v>
      </c>
      <c r="D31" s="8" t="n">
        <v>14</v>
      </c>
      <c r="E31" s="8" t="n">
        <v>10</v>
      </c>
      <c r="F31" s="4" t="s">
        <v>390</v>
      </c>
      <c r="G31" s="8" t="n">
        <v>47</v>
      </c>
      <c r="H31" s="8" t="n">
        <v>1</v>
      </c>
      <c r="I31" s="4" t="s">
        <v>381</v>
      </c>
      <c r="J31" s="8" t="n">
        <v>41</v>
      </c>
      <c r="K31" s="8" t="n">
        <v>6</v>
      </c>
      <c r="L31" s="4" t="s">
        <v>386</v>
      </c>
      <c r="M31" s="8" t="n">
        <v>34</v>
      </c>
      <c r="N31" s="8" t="n">
        <f aca="false">IF(A31="","",G31-J31)</f>
        <v>6</v>
      </c>
      <c r="O31" s="8" t="n">
        <f aca="false">IF(A31="","",J31-M31)</f>
        <v>7</v>
      </c>
      <c r="P31" s="8" t="n">
        <f aca="false">IF(A31="","",G31+J31)</f>
        <v>88</v>
      </c>
      <c r="Q31" s="8" t="str">
        <f aca="false">IF(A31="","",IF(AND(Y31&lt;&gt;"参考",G31&gt;=ルール設定!$B$2),"○",""))</f>
        <v/>
      </c>
      <c r="R31" s="8" t="str">
        <f aca="false">IF(A31="","",IF(AND(Y31&lt;&gt;"参考",G31&gt;=ルール設定!$B$3,N31&gt;=ルール設定!$B$4),"○",""))</f>
        <v/>
      </c>
      <c r="S31" s="8" t="str">
        <f aca="false">IF(A31="","",IF(AND(Y31&lt;&gt;"参考",G31&gt;=ルール設定!$B$5,J31&gt;=ルール設定!$B$6,O31&gt;=ルール設定!$B$7),"○",""))</f>
        <v/>
      </c>
      <c r="T31" s="8" t="n">
        <v>2</v>
      </c>
      <c r="U31" s="8" t="n">
        <v>4</v>
      </c>
      <c r="V31" s="8" t="str">
        <f aca="false">IF(A31="","",IF(AND(ISNUMBER(T31),ISNUMBER(U31)),IF(AND(T31&lt;=3,U31&lt;=3),"○","×"),""))</f>
        <v>×</v>
      </c>
      <c r="W31" s="8" t="n">
        <v>170</v>
      </c>
      <c r="X31" s="8"/>
      <c r="Y31" s="4" t="s">
        <v>7597</v>
      </c>
      <c r="Z31" s="8"/>
      <c r="AA31" s="8" t="str">
        <v/>
      </c>
      <c r="AB31" s="8" t="str">
        <v/>
      </c>
      <c r="AC31" s="8" t="str">
        <v/>
      </c>
      <c r="AD31" s="8" t="str">
        <v/>
      </c>
      <c r="AE31" s="8" t="str">
        <v/>
      </c>
      <c r="AF31" s="8" t="str">
        <v/>
      </c>
      <c r="AG31" s="8" t="str">
        <v/>
      </c>
      <c r="AH31" s="8" t="str">
        <v/>
      </c>
      <c r="AI31" s="8" t="n">
        <v>13</v>
      </c>
      <c r="AJ31" s="8" t="str">
        <v>～59</v>
      </c>
      <c r="AK31" s="8" t="str">
        <v>5～9</v>
      </c>
      <c r="AL31" s="8" t="str">
        <v>10～19</v>
      </c>
      <c r="AM31" s="8" t="str">
        <v>～99</v>
      </c>
      <c r="AN31" s="8" t="str">
        <v>12～14</v>
      </c>
      <c r="AO31" s="8" t="str">
        <f aca="false">IF(A31="","",IF(COUNTIFS(全馬データ!$A$2:$A$50000,A31,全馬データ!$B$2:$B$50000,B31,全馬データ!$C$2:$C$50000,C31,全馬データ!$D$2:$D$50000,E31,全馬データ!$K$2:$K$50000,"&lt;&gt;")=0,"",SUMIFS(全馬データ!$K$2:$K$50000,全馬データ!$A$2:$A$50000,A31,全馬データ!$B$2:$B$50000,B31,全馬データ!$C$2:$C$50000,C31,全馬データ!$D$2:$D$50000,E31)))</f>
        <v/>
      </c>
      <c r="AP31" s="8" t="str">
        <f aca="false">IF(A31="","",IF(AO31="","欠損",IF(AO31&lt;=1.1,"1.0～1.1",IF(AO31&lt;1.3,"1.2",IF(AO31&lt;1.5,"1.3～1.4",IF(AO31&lt;2,"1.5～1.9","2.0以上"))))))</f>
        <v>欠損</v>
      </c>
      <c r="AQ31" s="8" t="str">
        <f aca="false">IF(A31="","",IF(ISNUMBER(SEARCH("2歳",Z31)),"2歳戦",IF(ISNUMBER(SEARCH("3歳未勝利",Z31)),"3歳未勝利",IF(ISNUMBER(SEARCH("未勝利",Z31)),"その他未勝利",IF(ISNUMBER(SEARCH("G1",Z31)),"G1",IF(ISNUMBER(SEARCH("G2",Z31)),"G2",IF(ISNUMBER(SEARCH("G3",Z31)),"G3",IF(ISNUMBER(SEARCH("古馬条件",Z31)),"古馬条件戦",IF(ISNUMBER(SEARCH("重賞",Z31)),"重賞","分類不能")))))))))</f>
        <v>分類不能</v>
      </c>
      <c r="AR31" s="8"/>
      <c r="AS31" s="8" t="s">
        <v>7623</v>
      </c>
      <c r="AT31" s="8" t="s">
        <v>7624</v>
      </c>
      <c r="AU31" s="8" t="s">
        <v>7600</v>
      </c>
      <c r="AV31" s="4" t="s">
        <v>7601</v>
      </c>
      <c r="AW31" s="8"/>
      <c r="AX31" s="8"/>
      <c r="AY31" s="8" t="s">
        <v>7602</v>
      </c>
      <c r="AZ31" s="4" t="s">
        <v>7603</v>
      </c>
      <c r="BA31" s="8" t="n">
        <v>1800</v>
      </c>
      <c r="BB31" s="8" t="s">
        <v>7598</v>
      </c>
      <c r="BC31" s="4" t="s">
        <v>7604</v>
      </c>
      <c r="BD31" s="8" t="s">
        <v>7605</v>
      </c>
      <c r="BE31" s="4" t="s">
        <v>7606</v>
      </c>
      <c r="BF31" s="8" t="s">
        <v>7607</v>
      </c>
      <c r="BG31" s="8" t="s">
        <v>7608</v>
      </c>
      <c r="BH31" s="4" t="s">
        <v>7609</v>
      </c>
      <c r="BI31" s="8" t="n">
        <v>14</v>
      </c>
      <c r="BJ31" s="8" t="s">
        <v>7602</v>
      </c>
      <c r="BK31" s="4" t="s">
        <v>7653</v>
      </c>
      <c r="BL31" s="8" t="s">
        <v>7602</v>
      </c>
      <c r="BM31" s="4" t="s">
        <v>7620</v>
      </c>
      <c r="BN31" s="8" t="s">
        <v>7602</v>
      </c>
      <c r="BO31" s="8" t="s">
        <v>7613</v>
      </c>
      <c r="BP31" s="8" t="s">
        <v>7608</v>
      </c>
      <c r="BQ31" s="8" t="str">
        <f aca="false">IF(A31="","",AT31)</f>
        <v>3歳</v>
      </c>
      <c r="BR31" s="8" t="str">
        <f aca="false">IF(A31="","",IF(BA31&lt;=1200,"～1200",IF(BA31&lt;=1500,"1300～1500",IF(BA31=1600,"1600",IF(BA31&lt;=1800,"1700～1800",IF(BA31&lt;=2000,"1900～2000","2100以上"))))))</f>
        <v>1700～1800</v>
      </c>
      <c r="BS31" s="8" t="str">
        <f aca="false">IF(A31="","",IF(AX31="G1","G1",IF(AX31="G2","G2",IF(AX31="G3","G3",IF(AX31="L","L","その他")))))</f>
        <v>その他</v>
      </c>
      <c r="BT31" s="8" t="str">
        <f aca="false">IF(A31="","",IF(BI31="","未結合",IF(D31=BI31,"一致","不一致")))</f>
        <v>一致</v>
      </c>
      <c r="BU31" s="8" t="str">
        <f aca="false">IF(A31="","",IF(BE31="牝馬限定","牝馬限定","その他"))</f>
        <v>その他</v>
      </c>
    </row>
    <row r="32" customFormat="false" ht="15.75" hidden="false" customHeight="false" outlineLevel="0" collapsed="false">
      <c r="A32" s="3" t="n">
        <v>46228</v>
      </c>
      <c r="B32" s="4" t="s">
        <v>334</v>
      </c>
      <c r="C32" s="8" t="n">
        <v>7</v>
      </c>
      <c r="D32" s="8" t="n">
        <v>15</v>
      </c>
      <c r="E32" s="8" t="n">
        <v>7</v>
      </c>
      <c r="F32" s="4" t="s">
        <v>401</v>
      </c>
      <c r="G32" s="8" t="n">
        <v>56</v>
      </c>
      <c r="H32" s="8" t="n">
        <v>9</v>
      </c>
      <c r="I32" s="4" t="s">
        <v>403</v>
      </c>
      <c r="J32" s="8" t="n">
        <v>52</v>
      </c>
      <c r="K32" s="8" t="n">
        <v>12</v>
      </c>
      <c r="L32" s="4" t="s">
        <v>406</v>
      </c>
      <c r="M32" s="8" t="n">
        <v>52</v>
      </c>
      <c r="N32" s="8" t="n">
        <f aca="false">IF(A32="","",G32-J32)</f>
        <v>4</v>
      </c>
      <c r="O32" s="8" t="n">
        <f aca="false">IF(A32="","",J32-M32)</f>
        <v>0</v>
      </c>
      <c r="P32" s="8" t="n">
        <f aca="false">IF(A32="","",G32+J32)</f>
        <v>108</v>
      </c>
      <c r="Q32" s="8" t="str">
        <f aca="false">IF(A32="","",IF(AND(Y32&lt;&gt;"参考",G32&gt;=ルール設定!$B$2),"○",""))</f>
        <v/>
      </c>
      <c r="R32" s="8" t="str">
        <f aca="false">IF(A32="","",IF(AND(Y32&lt;&gt;"参考",G32&gt;=ルール設定!$B$3,N32&gt;=ルール設定!$B$4),"○",""))</f>
        <v/>
      </c>
      <c r="S32" s="8" t="str">
        <f aca="false">IF(A32="","",IF(AND(Y32&lt;&gt;"参考",G32&gt;=ルール設定!$B$5,J32&gt;=ルール設定!$B$6,O32&gt;=ルール設定!$B$7),"○",""))</f>
        <v/>
      </c>
      <c r="T32" s="8" t="n">
        <v>2</v>
      </c>
      <c r="U32" s="8" t="n">
        <v>4</v>
      </c>
      <c r="V32" s="8" t="str">
        <f aca="false">IF(A32="","",IF(AND(ISNUMBER(T32),ISNUMBER(U32)),IF(AND(T32&lt;=3,U32&lt;=3),"○","×"),""))</f>
        <v>×</v>
      </c>
      <c r="W32" s="8" t="n">
        <v>190</v>
      </c>
      <c r="X32" s="8"/>
      <c r="Y32" s="4" t="s">
        <v>7597</v>
      </c>
      <c r="Z32" s="4" t="s">
        <v>7614</v>
      </c>
      <c r="AA32" s="8" t="str">
        <v/>
      </c>
      <c r="AB32" s="8" t="str">
        <v/>
      </c>
      <c r="AC32" s="8" t="str">
        <v/>
      </c>
      <c r="AD32" s="8" t="str">
        <v/>
      </c>
      <c r="AE32" s="8" t="str">
        <v/>
      </c>
      <c r="AF32" s="8" t="str">
        <v/>
      </c>
      <c r="AG32" s="8" t="str">
        <v/>
      </c>
      <c r="AH32" s="8" t="str">
        <v/>
      </c>
      <c r="AI32" s="8" t="n">
        <v>4</v>
      </c>
      <c r="AJ32" s="8" t="str">
        <v>～59</v>
      </c>
      <c r="AK32" s="8" t="str">
        <v>0～4</v>
      </c>
      <c r="AL32" s="8" t="str">
        <v>0～9</v>
      </c>
      <c r="AM32" s="8" t="str">
        <v>100～119</v>
      </c>
      <c r="AN32" s="8" t="str">
        <v>15以上</v>
      </c>
      <c r="AO32" s="8" t="str">
        <f aca="false">IF(A32="","",IF(COUNTIFS(全馬データ!$A$2:$A$50000,A32,全馬データ!$B$2:$B$50000,B32,全馬データ!$C$2:$C$50000,C32,全馬データ!$D$2:$D$50000,E32,全馬データ!$K$2:$K$50000,"&lt;&gt;")=0,"",SUMIFS(全馬データ!$K$2:$K$50000,全馬データ!$A$2:$A$50000,A32,全馬データ!$B$2:$B$50000,B32,全馬データ!$C$2:$C$50000,C32,全馬データ!$D$2:$D$50000,E32)))</f>
        <v/>
      </c>
      <c r="AP32" s="8" t="str">
        <f aca="false">IF(A32="","",IF(AO32="","欠損",IF(AO32&lt;=1.1,"1.0～1.1",IF(AO32&lt;1.3,"1.2",IF(AO32&lt;1.5,"1.3～1.4",IF(AO32&lt;2,"1.5～1.9","2.0以上"))))))</f>
        <v>欠損</v>
      </c>
      <c r="AQ32" s="8" t="str">
        <f aca="false">IF(A32="","",IF(ISNUMBER(SEARCH("2歳",Z32)),"2歳戦",IF(ISNUMBER(SEARCH("3歳未勝利",Z32)),"3歳未勝利",IF(ISNUMBER(SEARCH("未勝利",Z32)),"その他未勝利",IF(ISNUMBER(SEARCH("G1",Z32)),"G1",IF(ISNUMBER(SEARCH("G2",Z32)),"G2",IF(ISNUMBER(SEARCH("G3",Z32)),"G3",IF(ISNUMBER(SEARCH("古馬条件",Z32)),"古馬条件戦",IF(ISNUMBER(SEARCH("重賞",Z32)),"重賞","分類不能")))))))))</f>
        <v>分類不能</v>
      </c>
      <c r="AR32" s="8"/>
      <c r="AS32" s="8" t="s">
        <v>7626</v>
      </c>
      <c r="AT32" s="8" t="s">
        <v>7627</v>
      </c>
      <c r="AU32" s="8" t="s">
        <v>7628</v>
      </c>
      <c r="AV32" s="8" t="s">
        <v>7629</v>
      </c>
      <c r="AW32" s="8"/>
      <c r="AX32" s="8"/>
      <c r="AY32" s="8" t="s">
        <v>7602</v>
      </c>
      <c r="AZ32" s="4" t="s">
        <v>7603</v>
      </c>
      <c r="BA32" s="8" t="n">
        <v>1200</v>
      </c>
      <c r="BB32" s="8" t="s">
        <v>7598</v>
      </c>
      <c r="BC32" s="4" t="s">
        <v>7604</v>
      </c>
      <c r="BD32" s="8" t="s">
        <v>7625</v>
      </c>
      <c r="BE32" s="4" t="s">
        <v>7606</v>
      </c>
      <c r="BF32" s="8" t="s">
        <v>7607</v>
      </c>
      <c r="BG32" s="8" t="s">
        <v>7631</v>
      </c>
      <c r="BH32" s="4" t="s">
        <v>7632</v>
      </c>
      <c r="BI32" s="8" t="n">
        <v>15</v>
      </c>
      <c r="BJ32" s="8" t="s">
        <v>7602</v>
      </c>
      <c r="BK32" s="4" t="s">
        <v>7653</v>
      </c>
      <c r="BL32" s="8" t="s">
        <v>7602</v>
      </c>
      <c r="BM32" s="4" t="s">
        <v>7620</v>
      </c>
      <c r="BN32" s="8" t="s">
        <v>7602</v>
      </c>
      <c r="BO32" s="8" t="s">
        <v>7613</v>
      </c>
      <c r="BP32" s="8" t="s">
        <v>7608</v>
      </c>
      <c r="BQ32" s="8" t="str">
        <f aca="false">IF(A32="","",AT32)</f>
        <v>3歳以上</v>
      </c>
      <c r="BR32" s="8" t="str">
        <f aca="false">IF(A32="","",IF(BA32&lt;=1200,"～1200",IF(BA32&lt;=1500,"1300～1500",IF(BA32=1600,"1600",IF(BA32&lt;=1800,"1700～1800",IF(BA32&lt;=2000,"1900～2000","2100以上"))))))</f>
        <v>～1200</v>
      </c>
      <c r="BS32" s="8" t="str">
        <f aca="false">IF(A32="","",IF(AX32="G1","G1",IF(AX32="G2","G2",IF(AX32="G3","G3",IF(AX32="L","L","その他")))))</f>
        <v>その他</v>
      </c>
      <c r="BT32" s="8" t="str">
        <f aca="false">IF(A32="","",IF(BI32="","未結合",IF(D32=BI32,"一致","不一致")))</f>
        <v>一致</v>
      </c>
      <c r="BU32" s="8" t="str">
        <f aca="false">IF(A32="","",IF(BE32="牝馬限定","牝馬限定","その他"))</f>
        <v>その他</v>
      </c>
    </row>
    <row r="33" customFormat="false" ht="15.75" hidden="false" customHeight="false" outlineLevel="0" collapsed="false">
      <c r="A33" s="3" t="n">
        <v>46228</v>
      </c>
      <c r="B33" s="4" t="s">
        <v>334</v>
      </c>
      <c r="C33" s="8" t="n">
        <v>8</v>
      </c>
      <c r="D33" s="8" t="n">
        <v>12</v>
      </c>
      <c r="E33" s="8" t="n">
        <v>7</v>
      </c>
      <c r="F33" s="4" t="s">
        <v>416</v>
      </c>
      <c r="G33" s="8" t="n">
        <v>74</v>
      </c>
      <c r="H33" s="8" t="n">
        <v>12</v>
      </c>
      <c r="I33" s="4" t="s">
        <v>421</v>
      </c>
      <c r="J33" s="8" t="n">
        <v>50</v>
      </c>
      <c r="K33" s="8" t="n">
        <v>5</v>
      </c>
      <c r="L33" s="4" t="s">
        <v>414</v>
      </c>
      <c r="M33" s="8" t="n">
        <v>37</v>
      </c>
      <c r="N33" s="8" t="n">
        <f aca="false">IF(A33="","",G33-J33)</f>
        <v>24</v>
      </c>
      <c r="O33" s="8" t="n">
        <f aca="false">IF(A33="","",J33-M33)</f>
        <v>13</v>
      </c>
      <c r="P33" s="8" t="n">
        <f aca="false">IF(A33="","",G33+J33)</f>
        <v>124</v>
      </c>
      <c r="Q33" s="8" t="str">
        <f aca="false">IF(A33="","",IF(AND(Y33&lt;&gt;"参考",G33&gt;=ルール設定!$B$2),"○",""))</f>
        <v/>
      </c>
      <c r="R33" s="8" t="str">
        <f aca="false">IF(A33="","",IF(AND(Y33&lt;&gt;"参考",G33&gt;=ルール設定!$B$3,N33&gt;=ルール設定!$B$4),"○",""))</f>
        <v/>
      </c>
      <c r="S33" s="8" t="str">
        <f aca="false">IF(A33="","",IF(AND(Y33&lt;&gt;"参考",G33&gt;=ルール設定!$B$5,J33&gt;=ルール設定!$B$6,O33&gt;=ルール設定!$B$7),"○",""))</f>
        <v/>
      </c>
      <c r="T33" s="8" t="n">
        <v>1</v>
      </c>
      <c r="U33" s="8" t="n">
        <v>4</v>
      </c>
      <c r="V33" s="8" t="str">
        <f aca="false">IF(A33="","",IF(AND(ISNUMBER(T33),ISNUMBER(U33)),IF(AND(T33&lt;=3,U33&lt;=3),"○","×"),""))</f>
        <v>×</v>
      </c>
      <c r="W33" s="8" t="n">
        <v>110</v>
      </c>
      <c r="X33" s="8"/>
      <c r="Y33" s="4" t="s">
        <v>7597</v>
      </c>
      <c r="Z33" s="4" t="s">
        <v>7614</v>
      </c>
      <c r="AA33" s="8" t="str">
        <v/>
      </c>
      <c r="AB33" s="8" t="str">
        <v/>
      </c>
      <c r="AC33" s="8" t="str">
        <v/>
      </c>
      <c r="AD33" s="8" t="str">
        <v/>
      </c>
      <c r="AE33" s="8" t="str">
        <v/>
      </c>
      <c r="AF33" s="8" t="str">
        <v/>
      </c>
      <c r="AG33" s="8" t="str">
        <v/>
      </c>
      <c r="AH33" s="8" t="str">
        <v/>
      </c>
      <c r="AI33" s="8" t="n">
        <v>37</v>
      </c>
      <c r="AJ33" s="8" t="str">
        <v>70～74</v>
      </c>
      <c r="AK33" s="8" t="str">
        <v>20～29</v>
      </c>
      <c r="AL33" s="8" t="str">
        <v>30～39</v>
      </c>
      <c r="AM33" s="8" t="str">
        <v>120～139</v>
      </c>
      <c r="AN33" s="8" t="str">
        <v>12～14</v>
      </c>
      <c r="AO33" s="8" t="str">
        <f aca="false">IF(A33="","",IF(COUNTIFS(全馬データ!$A$2:$A$50000,A33,全馬データ!$B$2:$B$50000,B33,全馬データ!$C$2:$C$50000,C33,全馬データ!$D$2:$D$50000,E33,全馬データ!$K$2:$K$50000,"&lt;&gt;")=0,"",SUMIFS(全馬データ!$K$2:$K$50000,全馬データ!$A$2:$A$50000,A33,全馬データ!$B$2:$B$50000,B33,全馬データ!$C$2:$C$50000,C33,全馬データ!$D$2:$D$50000,E33)))</f>
        <v/>
      </c>
      <c r="AP33" s="8" t="str">
        <f aca="false">IF(A33="","",IF(AO33="","欠損",IF(AO33&lt;=1.1,"1.0～1.1",IF(AO33&lt;1.3,"1.2",IF(AO33&lt;1.5,"1.3～1.4",IF(AO33&lt;2,"1.5～1.9","2.0以上"))))))</f>
        <v>欠損</v>
      </c>
      <c r="AQ33" s="8" t="str">
        <f aca="false">IF(A33="","",IF(ISNUMBER(SEARCH("2歳",Z33)),"2歳戦",IF(ISNUMBER(SEARCH("3歳未勝利",Z33)),"3歳未勝利",IF(ISNUMBER(SEARCH("未勝利",Z33)),"その他未勝利",IF(ISNUMBER(SEARCH("G1",Z33)),"G1",IF(ISNUMBER(SEARCH("G2",Z33)),"G2",IF(ISNUMBER(SEARCH("G3",Z33)),"G3",IF(ISNUMBER(SEARCH("古馬条件",Z33)),"古馬条件戦",IF(ISNUMBER(SEARCH("重賞",Z33)),"重賞","分類不能")))))))))</f>
        <v>分類不能</v>
      </c>
      <c r="AR33" s="8"/>
      <c r="AS33" s="8" t="s">
        <v>7626</v>
      </c>
      <c r="AT33" s="8" t="s">
        <v>7627</v>
      </c>
      <c r="AU33" s="8" t="s">
        <v>7628</v>
      </c>
      <c r="AV33" s="8" t="s">
        <v>7629</v>
      </c>
      <c r="AW33" s="8"/>
      <c r="AX33" s="8"/>
      <c r="AY33" s="8" t="s">
        <v>7610</v>
      </c>
      <c r="AZ33" s="4" t="s">
        <v>7617</v>
      </c>
      <c r="BA33" s="8" t="n">
        <v>1700</v>
      </c>
      <c r="BB33" s="8" t="s">
        <v>7598</v>
      </c>
      <c r="BC33" s="4" t="s">
        <v>7604</v>
      </c>
      <c r="BD33" s="8" t="s">
        <v>7625</v>
      </c>
      <c r="BE33" s="4" t="s">
        <v>7606</v>
      </c>
      <c r="BF33" s="8" t="s">
        <v>7607</v>
      </c>
      <c r="BG33" s="8" t="s">
        <v>7631</v>
      </c>
      <c r="BH33" s="4" t="s">
        <v>7632</v>
      </c>
      <c r="BI33" s="8" t="n">
        <v>12</v>
      </c>
      <c r="BJ33" s="8" t="s">
        <v>7602</v>
      </c>
      <c r="BK33" s="4" t="s">
        <v>7653</v>
      </c>
      <c r="BL33" s="8" t="s">
        <v>7602</v>
      </c>
      <c r="BM33" s="4" t="s">
        <v>7620</v>
      </c>
      <c r="BN33" s="8"/>
      <c r="BO33" s="8"/>
      <c r="BP33" s="8" t="s">
        <v>7608</v>
      </c>
      <c r="BQ33" s="8" t="str">
        <f aca="false">IF(A33="","",AT33)</f>
        <v>3歳以上</v>
      </c>
      <c r="BR33" s="8" t="str">
        <f aca="false">IF(A33="","",IF(BA33&lt;=1200,"～1200",IF(BA33&lt;=1500,"1300～1500",IF(BA33=1600,"1600",IF(BA33&lt;=1800,"1700～1800",IF(BA33&lt;=2000,"1900～2000","2100以上"))))))</f>
        <v>1700～1800</v>
      </c>
      <c r="BS33" s="8" t="str">
        <f aca="false">IF(A33="","",IF(AX33="G1","G1",IF(AX33="G2","G2",IF(AX33="G3","G3",IF(AX33="L","L","その他")))))</f>
        <v>その他</v>
      </c>
      <c r="BT33" s="8" t="str">
        <f aca="false">IF(A33="","",IF(BI33="","未結合",IF(D33=BI33,"一致","不一致")))</f>
        <v>一致</v>
      </c>
      <c r="BU33" s="8" t="str">
        <f aca="false">IF(A33="","",IF(BE33="牝馬限定","牝馬限定","その他"))</f>
        <v>その他</v>
      </c>
    </row>
    <row r="34" customFormat="false" ht="15.75" hidden="false" customHeight="false" outlineLevel="0" collapsed="false">
      <c r="A34" s="3" t="n">
        <v>46228</v>
      </c>
      <c r="B34" s="4" t="s">
        <v>334</v>
      </c>
      <c r="C34" s="8" t="n">
        <v>9</v>
      </c>
      <c r="D34" s="8" t="n">
        <v>10</v>
      </c>
      <c r="E34" s="8" t="n">
        <v>4</v>
      </c>
      <c r="F34" s="4" t="s">
        <v>425</v>
      </c>
      <c r="G34" s="8" t="n">
        <v>74</v>
      </c>
      <c r="H34" s="8" t="n">
        <v>5</v>
      </c>
      <c r="I34" s="4" t="s">
        <v>426</v>
      </c>
      <c r="J34" s="8" t="n">
        <v>52</v>
      </c>
      <c r="K34" s="8" t="n">
        <v>10</v>
      </c>
      <c r="L34" s="4" t="s">
        <v>431</v>
      </c>
      <c r="M34" s="8" t="n">
        <v>39</v>
      </c>
      <c r="N34" s="8" t="n">
        <f aca="false">IF(A34="","",G34-J34)</f>
        <v>22</v>
      </c>
      <c r="O34" s="8" t="n">
        <f aca="false">IF(A34="","",J34-M34)</f>
        <v>13</v>
      </c>
      <c r="P34" s="8" t="n">
        <f aca="false">IF(A34="","",G34+J34)</f>
        <v>126</v>
      </c>
      <c r="Q34" s="8" t="str">
        <f aca="false">IF(A34="","",IF(AND(Y34&lt;&gt;"参考",G34&gt;=ルール設定!$B$2),"○",""))</f>
        <v/>
      </c>
      <c r="R34" s="8" t="str">
        <f aca="false">IF(A34="","",IF(AND(Y34&lt;&gt;"参考",G34&gt;=ルール設定!$B$3,N34&gt;=ルール設定!$B$4),"○",""))</f>
        <v/>
      </c>
      <c r="S34" s="8" t="str">
        <f aca="false">IF(A34="","",IF(AND(Y34&lt;&gt;"参考",G34&gt;=ルール設定!$B$5,J34&gt;=ルール設定!$B$6,O34&gt;=ルール設定!$B$7),"○",""))</f>
        <v/>
      </c>
      <c r="T34" s="8" t="n">
        <v>4</v>
      </c>
      <c r="U34" s="8" t="n">
        <v>4</v>
      </c>
      <c r="V34" s="8" t="str">
        <f aca="false">IF(A34="","",IF(AND(ISNUMBER(T34),ISNUMBER(U34)),IF(AND(T34&lt;=3,U34&lt;=3),"○","×"),""))</f>
        <v>×</v>
      </c>
      <c r="W34" s="8"/>
      <c r="X34" s="8"/>
      <c r="Y34" s="4" t="s">
        <v>7597</v>
      </c>
      <c r="Z34" s="8"/>
      <c r="AA34" s="8" t="str">
        <v/>
      </c>
      <c r="AB34" s="8" t="str">
        <v/>
      </c>
      <c r="AC34" s="8" t="str">
        <v/>
      </c>
      <c r="AD34" s="8" t="str">
        <v/>
      </c>
      <c r="AE34" s="8" t="str">
        <v/>
      </c>
      <c r="AF34" s="8" t="str">
        <v/>
      </c>
      <c r="AG34" s="8" t="str">
        <v/>
      </c>
      <c r="AH34" s="8" t="str">
        <v/>
      </c>
      <c r="AI34" s="8" t="n">
        <v>35</v>
      </c>
      <c r="AJ34" s="8" t="str">
        <v>70～74</v>
      </c>
      <c r="AK34" s="8" t="str">
        <v>20～29</v>
      </c>
      <c r="AL34" s="8" t="str">
        <v>30～39</v>
      </c>
      <c r="AM34" s="8" t="str">
        <v>120～139</v>
      </c>
      <c r="AN34" s="8" t="str">
        <v>8～11</v>
      </c>
      <c r="AO34" s="8" t="str">
        <f aca="false">IF(A34="","",IF(COUNTIFS(全馬データ!$A$2:$A$50000,A34,全馬データ!$B$2:$B$50000,B34,全馬データ!$C$2:$C$50000,C34,全馬データ!$D$2:$D$50000,E34,全馬データ!$K$2:$K$50000,"&lt;&gt;")=0,"",SUMIFS(全馬データ!$K$2:$K$50000,全馬データ!$A$2:$A$50000,A34,全馬データ!$B$2:$B$50000,B34,全馬データ!$C$2:$C$50000,C34,全馬データ!$D$2:$D$50000,E34)))</f>
        <v/>
      </c>
      <c r="AP34" s="8" t="str">
        <f aca="false">IF(A34="","",IF(AO34="","欠損",IF(AO34&lt;=1.1,"1.0～1.1",IF(AO34&lt;1.3,"1.2",IF(AO34&lt;1.5,"1.3～1.4",IF(AO34&lt;2,"1.5～1.9","2.0以上"))))))</f>
        <v>欠損</v>
      </c>
      <c r="AQ34" s="8" t="str">
        <f aca="false">IF(A34="","",IF(ISNUMBER(SEARCH("2歳",Z34)),"2歳戦",IF(ISNUMBER(SEARCH("3歳未勝利",Z34)),"3歳未勝利",IF(ISNUMBER(SEARCH("未勝利",Z34)),"その他未勝利",IF(ISNUMBER(SEARCH("G1",Z34)),"G1",IF(ISNUMBER(SEARCH("G2",Z34)),"G2",IF(ISNUMBER(SEARCH("G3",Z34)),"G3",IF(ISNUMBER(SEARCH("古馬条件",Z34)),"古馬条件戦",IF(ISNUMBER(SEARCH("重賞",Z34)),"重賞","分類不能")))))))))</f>
        <v>分類不能</v>
      </c>
      <c r="AR34" s="8"/>
      <c r="AS34" s="8" t="s">
        <v>7626</v>
      </c>
      <c r="AT34" s="8" t="s">
        <v>7627</v>
      </c>
      <c r="AU34" s="8" t="s">
        <v>7628</v>
      </c>
      <c r="AV34" s="8" t="s">
        <v>7629</v>
      </c>
      <c r="AW34" s="8"/>
      <c r="AX34" s="8"/>
      <c r="AY34" s="8" t="s">
        <v>7602</v>
      </c>
      <c r="AZ34" s="4" t="s">
        <v>7603</v>
      </c>
      <c r="BA34" s="8" t="n">
        <v>1800</v>
      </c>
      <c r="BB34" s="8" t="s">
        <v>7598</v>
      </c>
      <c r="BC34" s="4" t="s">
        <v>7604</v>
      </c>
      <c r="BD34" s="8" t="s">
        <v>7621</v>
      </c>
      <c r="BE34" s="4" t="s">
        <v>7622</v>
      </c>
      <c r="BF34" s="8" t="s">
        <v>7602</v>
      </c>
      <c r="BG34" s="8" t="s">
        <v>7631</v>
      </c>
      <c r="BH34" s="4" t="s">
        <v>7632</v>
      </c>
      <c r="BI34" s="8" t="n">
        <v>10</v>
      </c>
      <c r="BJ34" s="8" t="s">
        <v>7602</v>
      </c>
      <c r="BK34" s="4" t="s">
        <v>7653</v>
      </c>
      <c r="BL34" s="8" t="s">
        <v>7602</v>
      </c>
      <c r="BM34" s="4" t="s">
        <v>7620</v>
      </c>
      <c r="BN34" s="8" t="s">
        <v>7602</v>
      </c>
      <c r="BO34" s="8" t="s">
        <v>7613</v>
      </c>
      <c r="BP34" s="8" t="s">
        <v>7608</v>
      </c>
      <c r="BQ34" s="8" t="str">
        <f aca="false">IF(A34="","",AT34)</f>
        <v>3歳以上</v>
      </c>
      <c r="BR34" s="8" t="str">
        <f aca="false">IF(A34="","",IF(BA34&lt;=1200,"～1200",IF(BA34&lt;=1500,"1300～1500",IF(BA34=1600,"1600",IF(BA34&lt;=1800,"1700～1800",IF(BA34&lt;=2000,"1900～2000","2100以上"))))))</f>
        <v>1700～1800</v>
      </c>
      <c r="BS34" s="8" t="str">
        <f aca="false">IF(A34="","",IF(AX34="G1","G1",IF(AX34="G2","G2",IF(AX34="G3","G3",IF(AX34="L","L","その他")))))</f>
        <v>その他</v>
      </c>
      <c r="BT34" s="8" t="str">
        <f aca="false">IF(A34="","",IF(BI34="","未結合",IF(D34=BI34,"一致","不一致")))</f>
        <v>一致</v>
      </c>
      <c r="BU34" s="8" t="str">
        <f aca="false">IF(A34="","",IF(BE34="牝馬限定","牝馬限定","その他"))</f>
        <v>牝馬限定</v>
      </c>
    </row>
    <row r="35" customFormat="false" ht="15.75" hidden="false" customHeight="false" outlineLevel="0" collapsed="false">
      <c r="A35" s="3" t="n">
        <v>46228</v>
      </c>
      <c r="B35" s="4" t="s">
        <v>334</v>
      </c>
      <c r="C35" s="8" t="n">
        <v>10</v>
      </c>
      <c r="D35" s="8" t="n">
        <v>11</v>
      </c>
      <c r="E35" s="8" t="n">
        <v>9</v>
      </c>
      <c r="F35" s="4" t="s">
        <v>440</v>
      </c>
      <c r="G35" s="8" t="n">
        <v>52</v>
      </c>
      <c r="H35" s="8" t="n">
        <v>6</v>
      </c>
      <c r="I35" s="4" t="s">
        <v>437</v>
      </c>
      <c r="J35" s="8" t="n">
        <v>50</v>
      </c>
      <c r="K35" s="8" t="n">
        <v>7</v>
      </c>
      <c r="L35" s="4" t="s">
        <v>438</v>
      </c>
      <c r="M35" s="8" t="n">
        <v>37</v>
      </c>
      <c r="N35" s="8" t="n">
        <f aca="false">IF(A35="","",G35-J35)</f>
        <v>2</v>
      </c>
      <c r="O35" s="8" t="n">
        <f aca="false">IF(A35="","",J35-M35)</f>
        <v>13</v>
      </c>
      <c r="P35" s="8" t="n">
        <f aca="false">IF(A35="","",G35+J35)</f>
        <v>102</v>
      </c>
      <c r="Q35" s="8" t="str">
        <f aca="false">IF(A35="","",IF(AND(Y35&lt;&gt;"参考",G35&gt;=ルール設定!$B$2),"○",""))</f>
        <v/>
      </c>
      <c r="R35" s="8" t="str">
        <f aca="false">IF(A35="","",IF(AND(Y35&lt;&gt;"参考",G35&gt;=ルール設定!$B$3,N35&gt;=ルール設定!$B$4),"○",""))</f>
        <v/>
      </c>
      <c r="S35" s="8" t="str">
        <f aca="false">IF(A35="","",IF(AND(Y35&lt;&gt;"参考",G35&gt;=ルール設定!$B$5,J35&gt;=ルール設定!$B$6,O35&gt;=ルール設定!$B$7),"○",""))</f>
        <v/>
      </c>
      <c r="T35" s="8" t="n">
        <v>4</v>
      </c>
      <c r="U35" s="8" t="n">
        <v>4</v>
      </c>
      <c r="V35" s="8" t="str">
        <f aca="false">IF(A35="","",IF(AND(ISNUMBER(T35),ISNUMBER(U35)),IF(AND(T35&lt;=3,U35&lt;=3),"○","×"),""))</f>
        <v>×</v>
      </c>
      <c r="W35" s="8"/>
      <c r="X35" s="8"/>
      <c r="Y35" s="4" t="s">
        <v>7597</v>
      </c>
      <c r="Z35" s="8"/>
      <c r="AA35" s="8" t="str">
        <v/>
      </c>
      <c r="AB35" s="8" t="str">
        <v/>
      </c>
      <c r="AC35" s="8" t="str">
        <v/>
      </c>
      <c r="AD35" s="8" t="str">
        <v/>
      </c>
      <c r="AE35" s="8" t="str">
        <v/>
      </c>
      <c r="AF35" s="8" t="str">
        <v/>
      </c>
      <c r="AG35" s="8" t="str">
        <v/>
      </c>
      <c r="AH35" s="8" t="str">
        <v/>
      </c>
      <c r="AI35" s="8" t="n">
        <v>15</v>
      </c>
      <c r="AJ35" s="8" t="str">
        <v>～59</v>
      </c>
      <c r="AK35" s="8" t="str">
        <v>0～4</v>
      </c>
      <c r="AL35" s="8" t="str">
        <v>10～19</v>
      </c>
      <c r="AM35" s="8" t="str">
        <v>100～119</v>
      </c>
      <c r="AN35" s="8" t="str">
        <v>8～11</v>
      </c>
      <c r="AO35" s="8" t="str">
        <f aca="false">IF(A35="","",IF(COUNTIFS(全馬データ!$A$2:$A$50000,A35,全馬データ!$B$2:$B$50000,B35,全馬データ!$C$2:$C$50000,C35,全馬データ!$D$2:$D$50000,E35,全馬データ!$K$2:$K$50000,"&lt;&gt;")=0,"",SUMIFS(全馬データ!$K$2:$K$50000,全馬データ!$A$2:$A$50000,A35,全馬データ!$B$2:$B$50000,B35,全馬データ!$C$2:$C$50000,C35,全馬データ!$D$2:$D$50000,E35)))</f>
        <v/>
      </c>
      <c r="AP35" s="8" t="str">
        <f aca="false">IF(A35="","",IF(AO35="","欠損",IF(AO35&lt;=1.1,"1.0～1.1",IF(AO35&lt;1.3,"1.2",IF(AO35&lt;1.5,"1.3～1.4",IF(AO35&lt;2,"1.5～1.9","2.0以上"))))))</f>
        <v>欠損</v>
      </c>
      <c r="AQ35" s="8" t="str">
        <f aca="false">IF(A35="","",IF(ISNUMBER(SEARCH("2歳",Z35)),"2歳戦",IF(ISNUMBER(SEARCH("3歳未勝利",Z35)),"3歳未勝利",IF(ISNUMBER(SEARCH("未勝利",Z35)),"その他未勝利",IF(ISNUMBER(SEARCH("G1",Z35)),"G1",IF(ISNUMBER(SEARCH("G2",Z35)),"G2",IF(ISNUMBER(SEARCH("G3",Z35)),"G3",IF(ISNUMBER(SEARCH("古馬条件",Z35)),"古馬条件戦",IF(ISNUMBER(SEARCH("重賞",Z35)),"重賞","分類不能")))))))))</f>
        <v>分類不能</v>
      </c>
      <c r="AR35" s="4" t="s">
        <v>7654</v>
      </c>
      <c r="AS35" s="8" t="s">
        <v>7626</v>
      </c>
      <c r="AT35" s="8" t="s">
        <v>7627</v>
      </c>
      <c r="AU35" s="8" t="s">
        <v>7634</v>
      </c>
      <c r="AV35" s="8" t="s">
        <v>7635</v>
      </c>
      <c r="AW35" s="8" t="s">
        <v>7636</v>
      </c>
      <c r="AX35" s="4" t="s">
        <v>7637</v>
      </c>
      <c r="AY35" s="8" t="s">
        <v>7602</v>
      </c>
      <c r="AZ35" s="4" t="s">
        <v>7603</v>
      </c>
      <c r="BA35" s="8" t="n">
        <v>2600</v>
      </c>
      <c r="BB35" s="8" t="s">
        <v>7598</v>
      </c>
      <c r="BC35" s="4" t="s">
        <v>7604</v>
      </c>
      <c r="BD35" s="8" t="s">
        <v>7630</v>
      </c>
      <c r="BE35" s="4" t="s">
        <v>7606</v>
      </c>
      <c r="BF35" s="8" t="s">
        <v>7607</v>
      </c>
      <c r="BG35" s="8" t="s">
        <v>7631</v>
      </c>
      <c r="BH35" s="4" t="s">
        <v>7632</v>
      </c>
      <c r="BI35" s="8" t="n">
        <v>11</v>
      </c>
      <c r="BJ35" s="8" t="s">
        <v>7602</v>
      </c>
      <c r="BK35" s="4" t="s">
        <v>7653</v>
      </c>
      <c r="BL35" s="8" t="s">
        <v>7602</v>
      </c>
      <c r="BM35" s="4" t="s">
        <v>7620</v>
      </c>
      <c r="BN35" s="8" t="s">
        <v>7602</v>
      </c>
      <c r="BO35" s="8" t="s">
        <v>7613</v>
      </c>
      <c r="BP35" s="8" t="s">
        <v>7608</v>
      </c>
      <c r="BQ35" s="8" t="str">
        <f aca="false">IF(A35="","",AT35)</f>
        <v>3歳以上</v>
      </c>
      <c r="BR35" s="8" t="str">
        <f aca="false">IF(A35="","",IF(BA35&lt;=1200,"～1200",IF(BA35&lt;=1500,"1300～1500",IF(BA35=1600,"1600",IF(BA35&lt;=1800,"1700～1800",IF(BA35&lt;=2000,"1900～2000","2100以上"))))))</f>
        <v>2100以上</v>
      </c>
      <c r="BS35" s="8" t="str">
        <f aca="false">IF(A35="","",IF(AX35="G1","G1",IF(AX35="G2","G2",IF(AX35="G3","G3",IF(AX35="L","L","その他")))))</f>
        <v>その他</v>
      </c>
      <c r="BT35" s="8" t="str">
        <f aca="false">IF(A35="","",IF(BI35="","未結合",IF(D35=BI35,"一致","不一致")))</f>
        <v>一致</v>
      </c>
      <c r="BU35" s="8" t="str">
        <f aca="false">IF(A35="","",IF(BE35="牝馬限定","牝馬限定","その他"))</f>
        <v>その他</v>
      </c>
    </row>
    <row r="36" customFormat="false" ht="15.75" hidden="false" customHeight="false" outlineLevel="0" collapsed="false">
      <c r="A36" s="3" t="n">
        <v>46228</v>
      </c>
      <c r="B36" s="4" t="s">
        <v>334</v>
      </c>
      <c r="C36" s="8" t="n">
        <v>11</v>
      </c>
      <c r="D36" s="8" t="n">
        <v>12</v>
      </c>
      <c r="E36" s="8" t="n">
        <v>3</v>
      </c>
      <c r="F36" s="4" t="s">
        <v>445</v>
      </c>
      <c r="G36" s="8" t="n">
        <v>60</v>
      </c>
      <c r="H36" s="8" t="n">
        <v>10</v>
      </c>
      <c r="I36" s="4" t="s">
        <v>452</v>
      </c>
      <c r="J36" s="8" t="n">
        <v>50</v>
      </c>
      <c r="K36" s="8" t="n">
        <v>2</v>
      </c>
      <c r="L36" s="4" t="s">
        <v>444</v>
      </c>
      <c r="M36" s="8" t="n">
        <v>37</v>
      </c>
      <c r="N36" s="8" t="n">
        <f aca="false">IF(A36="","",G36-J36)</f>
        <v>10</v>
      </c>
      <c r="O36" s="8" t="n">
        <f aca="false">IF(A36="","",J36-M36)</f>
        <v>13</v>
      </c>
      <c r="P36" s="8" t="n">
        <f aca="false">IF(A36="","",G36+J36)</f>
        <v>110</v>
      </c>
      <c r="Q36" s="8" t="str">
        <f aca="false">IF(A36="","",IF(AND(Y36&lt;&gt;"参考",G36&gt;=ルール設定!$B$2),"○",""))</f>
        <v/>
      </c>
      <c r="R36" s="8" t="str">
        <f aca="false">IF(A36="","",IF(AND(Y36&lt;&gt;"参考",G36&gt;=ルール設定!$B$3,N36&gt;=ルール設定!$B$4),"○",""))</f>
        <v/>
      </c>
      <c r="S36" s="8" t="str">
        <f aca="false">IF(A36="","",IF(AND(Y36&lt;&gt;"参考",G36&gt;=ルール設定!$B$5,J36&gt;=ルール設定!$B$6,O36&gt;=ルール設定!$B$7),"○",""))</f>
        <v/>
      </c>
      <c r="T36" s="8" t="n">
        <v>3</v>
      </c>
      <c r="U36" s="8" t="n">
        <v>4</v>
      </c>
      <c r="V36" s="8" t="str">
        <f aca="false">IF(A36="","",IF(AND(ISNUMBER(T36),ISNUMBER(U36)),IF(AND(T36&lt;=3,U36&lt;=3),"○","×"),""))</f>
        <v>×</v>
      </c>
      <c r="W36" s="8" t="n">
        <v>160</v>
      </c>
      <c r="X36" s="8"/>
      <c r="Y36" s="4" t="s">
        <v>7597</v>
      </c>
      <c r="Z36" s="4" t="s">
        <v>7614</v>
      </c>
      <c r="AA36" s="8" t="str">
        <v/>
      </c>
      <c r="AB36" s="8" t="str">
        <v/>
      </c>
      <c r="AC36" s="8" t="str">
        <v/>
      </c>
      <c r="AD36" s="8" t="str">
        <v/>
      </c>
      <c r="AE36" s="8" t="str">
        <v/>
      </c>
      <c r="AF36" s="8" t="str">
        <v/>
      </c>
      <c r="AG36" s="8" t="str">
        <v/>
      </c>
      <c r="AH36" s="8" t="str">
        <v/>
      </c>
      <c r="AI36" s="8" t="n">
        <v>23</v>
      </c>
      <c r="AJ36" s="8" t="str">
        <v>60～69</v>
      </c>
      <c r="AK36" s="8" t="str">
        <v>10～19</v>
      </c>
      <c r="AL36" s="8" t="str">
        <v>20～29</v>
      </c>
      <c r="AM36" s="8" t="str">
        <v>100～119</v>
      </c>
      <c r="AN36" s="8" t="str">
        <v>12～14</v>
      </c>
      <c r="AO36" s="8" t="str">
        <f aca="false">IF(A36="","",IF(COUNTIFS(全馬データ!$A$2:$A$50000,A36,全馬データ!$B$2:$B$50000,B36,全馬データ!$C$2:$C$50000,C36,全馬データ!$D$2:$D$50000,E36,全馬データ!$K$2:$K$50000,"&lt;&gt;")=0,"",SUMIFS(全馬データ!$K$2:$K$50000,全馬データ!$A$2:$A$50000,A36,全馬データ!$B$2:$B$50000,B36,全馬データ!$C$2:$C$50000,C36,全馬データ!$D$2:$D$50000,E36)))</f>
        <v/>
      </c>
      <c r="AP36" s="8" t="str">
        <f aca="false">IF(A36="","",IF(AO36="","欠損",IF(AO36&lt;=1.1,"1.0～1.1",IF(AO36&lt;1.3,"1.2",IF(AO36&lt;1.5,"1.3～1.4",IF(AO36&lt;2,"1.5～1.9","2.0以上"))))))</f>
        <v>欠損</v>
      </c>
      <c r="AQ36" s="8" t="str">
        <f aca="false">IF(A36="","",IF(ISNUMBER(SEARCH("2歳",Z36)),"2歳戦",IF(ISNUMBER(SEARCH("3歳未勝利",Z36)),"3歳未勝利",IF(ISNUMBER(SEARCH("未勝利",Z36)),"その他未勝利",IF(ISNUMBER(SEARCH("G1",Z36)),"G1",IF(ISNUMBER(SEARCH("G2",Z36)),"G2",IF(ISNUMBER(SEARCH("G3",Z36)),"G3",IF(ISNUMBER(SEARCH("古馬条件",Z36)),"古馬条件戦",IF(ISNUMBER(SEARCH("重賞",Z36)),"重賞","分類不能")))))))))</f>
        <v>分類不能</v>
      </c>
      <c r="AR36" s="4" t="s">
        <v>7655</v>
      </c>
      <c r="AS36" s="8" t="s">
        <v>7626</v>
      </c>
      <c r="AT36" s="8" t="s">
        <v>7627</v>
      </c>
      <c r="AU36" s="8" t="s">
        <v>7639</v>
      </c>
      <c r="AV36" s="8" t="s">
        <v>7640</v>
      </c>
      <c r="AW36" s="8" t="s">
        <v>7636</v>
      </c>
      <c r="AX36" s="4" t="s">
        <v>7637</v>
      </c>
      <c r="AY36" s="8" t="s">
        <v>7602</v>
      </c>
      <c r="AZ36" s="4" t="s">
        <v>7603</v>
      </c>
      <c r="BA36" s="8" t="n">
        <v>1200</v>
      </c>
      <c r="BB36" s="8" t="s">
        <v>7598</v>
      </c>
      <c r="BC36" s="4" t="s">
        <v>7604</v>
      </c>
      <c r="BD36" s="8" t="s">
        <v>7630</v>
      </c>
      <c r="BE36" s="4" t="s">
        <v>7606</v>
      </c>
      <c r="BF36" s="8" t="s">
        <v>7607</v>
      </c>
      <c r="BG36" s="8" t="s">
        <v>7631</v>
      </c>
      <c r="BH36" s="4" t="s">
        <v>7632</v>
      </c>
      <c r="BI36" s="8" t="n">
        <v>12</v>
      </c>
      <c r="BJ36" s="8" t="s">
        <v>7602</v>
      </c>
      <c r="BK36" s="4" t="s">
        <v>7653</v>
      </c>
      <c r="BL36" s="8" t="s">
        <v>7602</v>
      </c>
      <c r="BM36" s="4" t="s">
        <v>7620</v>
      </c>
      <c r="BN36" s="8" t="s">
        <v>7602</v>
      </c>
      <c r="BO36" s="8" t="s">
        <v>7613</v>
      </c>
      <c r="BP36" s="8" t="s">
        <v>7608</v>
      </c>
      <c r="BQ36" s="8" t="str">
        <f aca="false">IF(A36="","",AT36)</f>
        <v>3歳以上</v>
      </c>
      <c r="BR36" s="8" t="str">
        <f aca="false">IF(A36="","",IF(BA36&lt;=1200,"～1200",IF(BA36&lt;=1500,"1300～1500",IF(BA36=1600,"1600",IF(BA36&lt;=1800,"1700～1800",IF(BA36&lt;=2000,"1900～2000","2100以上"))))))</f>
        <v>～1200</v>
      </c>
      <c r="BS36" s="8" t="str">
        <f aca="false">IF(A36="","",IF(AX36="G1","G1",IF(AX36="G2","G2",IF(AX36="G3","G3",IF(AX36="L","L","その他")))))</f>
        <v>その他</v>
      </c>
      <c r="BT36" s="8" t="str">
        <f aca="false">IF(A36="","",IF(BI36="","未結合",IF(D36=BI36,"一致","不一致")))</f>
        <v>一致</v>
      </c>
      <c r="BU36" s="8" t="str">
        <f aca="false">IF(A36="","",IF(BE36="牝馬限定","牝馬限定","その他"))</f>
        <v>その他</v>
      </c>
    </row>
    <row r="37" customFormat="false" ht="15.75" hidden="false" customHeight="false" outlineLevel="0" collapsed="false">
      <c r="A37" s="3" t="n">
        <v>46228</v>
      </c>
      <c r="B37" s="4" t="s">
        <v>334</v>
      </c>
      <c r="C37" s="8" t="n">
        <v>12</v>
      </c>
      <c r="D37" s="8" t="n">
        <v>11</v>
      </c>
      <c r="E37" s="8" t="n">
        <v>8</v>
      </c>
      <c r="F37" s="4" t="s">
        <v>462</v>
      </c>
      <c r="G37" s="8" t="n">
        <v>71</v>
      </c>
      <c r="H37" s="8" t="n">
        <v>5</v>
      </c>
      <c r="I37" s="4" t="s">
        <v>459</v>
      </c>
      <c r="J37" s="8" t="n">
        <v>52</v>
      </c>
      <c r="K37" s="8" t="n">
        <v>9</v>
      </c>
      <c r="L37" s="4" t="s">
        <v>463</v>
      </c>
      <c r="M37" s="8" t="n">
        <v>47</v>
      </c>
      <c r="N37" s="8" t="n">
        <f aca="false">IF(A37="","",G37-J37)</f>
        <v>19</v>
      </c>
      <c r="O37" s="8" t="n">
        <f aca="false">IF(A37="","",J37-M37)</f>
        <v>5</v>
      </c>
      <c r="P37" s="8" t="n">
        <f aca="false">IF(A37="","",G37+J37)</f>
        <v>123</v>
      </c>
      <c r="Q37" s="8" t="str">
        <f aca="false">IF(A37="","",IF(AND(Y37&lt;&gt;"参考",G37&gt;=ルール設定!$B$2),"○",""))</f>
        <v/>
      </c>
      <c r="R37" s="8" t="str">
        <f aca="false">IF(A37="","",IF(AND(Y37&lt;&gt;"参考",G37&gt;=ルール設定!$B$3,N37&gt;=ルール設定!$B$4),"○",""))</f>
        <v/>
      </c>
      <c r="S37" s="8" t="str">
        <f aca="false">IF(A37="","",IF(AND(Y37&lt;&gt;"参考",G37&gt;=ルール設定!$B$5,J37&gt;=ルール設定!$B$6,O37&gt;=ルール設定!$B$7),"○",""))</f>
        <v/>
      </c>
      <c r="T37" s="8" t="n">
        <v>3</v>
      </c>
      <c r="U37" s="8" t="n">
        <v>1</v>
      </c>
      <c r="V37" s="8" t="str">
        <f aca="false">IF(A37="","",IF(AND(ISNUMBER(T37),ISNUMBER(U37)),IF(AND(T37&lt;=3,U37&lt;=3),"○","×"),""))</f>
        <v>○</v>
      </c>
      <c r="W37" s="8" t="n">
        <v>110</v>
      </c>
      <c r="X37" s="8" t="n">
        <v>180</v>
      </c>
      <c r="Y37" s="4" t="s">
        <v>7597</v>
      </c>
      <c r="Z37" s="8"/>
      <c r="AA37" s="8" t="str">
        <v/>
      </c>
      <c r="AB37" s="8" t="str">
        <v/>
      </c>
      <c r="AC37" s="8" t="str">
        <v/>
      </c>
      <c r="AD37" s="8" t="str">
        <v/>
      </c>
      <c r="AE37" s="8" t="str">
        <v/>
      </c>
      <c r="AF37" s="8" t="str">
        <v/>
      </c>
      <c r="AG37" s="8" t="str">
        <v/>
      </c>
      <c r="AH37" s="8" t="str">
        <v/>
      </c>
      <c r="AI37" s="8" t="n">
        <v>24</v>
      </c>
      <c r="AJ37" s="8" t="str">
        <v>70～74</v>
      </c>
      <c r="AK37" s="8" t="str">
        <v>10～19</v>
      </c>
      <c r="AL37" s="8" t="str">
        <v>20～29</v>
      </c>
      <c r="AM37" s="8" t="str">
        <v>120～139</v>
      </c>
      <c r="AN37" s="8" t="str">
        <v>8～11</v>
      </c>
      <c r="AO37" s="8" t="str">
        <f aca="false">IF(A37="","",IF(COUNTIFS(全馬データ!$A$2:$A$50000,A37,全馬データ!$B$2:$B$50000,B37,全馬データ!$C$2:$C$50000,C37,全馬データ!$D$2:$D$50000,E37,全馬データ!$K$2:$K$50000,"&lt;&gt;")=0,"",SUMIFS(全馬データ!$K$2:$K$50000,全馬データ!$A$2:$A$50000,A37,全馬データ!$B$2:$B$50000,B37,全馬データ!$C$2:$C$50000,C37,全馬データ!$D$2:$D$50000,E37)))</f>
        <v/>
      </c>
      <c r="AP37" s="8" t="str">
        <f aca="false">IF(A37="","",IF(AO37="","欠損",IF(AO37&lt;=1.1,"1.0～1.1",IF(AO37&lt;1.3,"1.2",IF(AO37&lt;1.5,"1.3～1.4",IF(AO37&lt;2,"1.5～1.9","2.0以上"))))))</f>
        <v>欠損</v>
      </c>
      <c r="AQ37" s="8" t="str">
        <f aca="false">IF(A37="","",IF(ISNUMBER(SEARCH("2歳",Z37)),"2歳戦",IF(ISNUMBER(SEARCH("3歳未勝利",Z37)),"3歳未勝利",IF(ISNUMBER(SEARCH("未勝利",Z37)),"その他未勝利",IF(ISNUMBER(SEARCH("G1",Z37)),"G1",IF(ISNUMBER(SEARCH("G2",Z37)),"G2",IF(ISNUMBER(SEARCH("G3",Z37)),"G3",IF(ISNUMBER(SEARCH("古馬条件",Z37)),"古馬条件戦",IF(ISNUMBER(SEARCH("重賞",Z37)),"重賞","分類不能")))))))))</f>
        <v>分類不能</v>
      </c>
      <c r="AR37" s="4" t="s">
        <v>7656</v>
      </c>
      <c r="AS37" s="8" t="s">
        <v>7626</v>
      </c>
      <c r="AT37" s="8" t="s">
        <v>7627</v>
      </c>
      <c r="AU37" s="8" t="s">
        <v>7634</v>
      </c>
      <c r="AV37" s="8" t="s">
        <v>7635</v>
      </c>
      <c r="AW37" s="8" t="s">
        <v>7636</v>
      </c>
      <c r="AX37" s="4" t="s">
        <v>7637</v>
      </c>
      <c r="AY37" s="8" t="s">
        <v>7610</v>
      </c>
      <c r="AZ37" s="4" t="s">
        <v>7617</v>
      </c>
      <c r="BA37" s="8" t="n">
        <v>1700</v>
      </c>
      <c r="BB37" s="8" t="s">
        <v>7598</v>
      </c>
      <c r="BC37" s="4" t="s">
        <v>7604</v>
      </c>
      <c r="BD37" s="8" t="s">
        <v>7630</v>
      </c>
      <c r="BE37" s="4" t="s">
        <v>7606</v>
      </c>
      <c r="BF37" s="8" t="s">
        <v>7607</v>
      </c>
      <c r="BG37" s="8" t="s">
        <v>7631</v>
      </c>
      <c r="BH37" s="4" t="s">
        <v>7632</v>
      </c>
      <c r="BI37" s="8" t="n">
        <v>11</v>
      </c>
      <c r="BJ37" s="8" t="s">
        <v>7602</v>
      </c>
      <c r="BK37" s="4" t="s">
        <v>7653</v>
      </c>
      <c r="BL37" s="8" t="s">
        <v>7602</v>
      </c>
      <c r="BM37" s="4" t="s">
        <v>7620</v>
      </c>
      <c r="BN37" s="8"/>
      <c r="BO37" s="8"/>
      <c r="BP37" s="8" t="s">
        <v>7608</v>
      </c>
      <c r="BQ37" s="8" t="str">
        <f aca="false">IF(A37="","",AT37)</f>
        <v>3歳以上</v>
      </c>
      <c r="BR37" s="8" t="str">
        <f aca="false">IF(A37="","",IF(BA37&lt;=1200,"～1200",IF(BA37&lt;=1500,"1300～1500",IF(BA37=1600,"1600",IF(BA37&lt;=1800,"1700～1800",IF(BA37&lt;=2000,"1900～2000","2100以上"))))))</f>
        <v>1700～1800</v>
      </c>
      <c r="BS37" s="8" t="str">
        <f aca="false">IF(A37="","",IF(AX37="G1","G1",IF(AX37="G2","G2",IF(AX37="G3","G3",IF(AX37="L","L","その他")))))</f>
        <v>その他</v>
      </c>
      <c r="BT37" s="8" t="str">
        <f aca="false">IF(A37="","",IF(BI37="","未結合",IF(D37=BI37,"一致","不一致")))</f>
        <v>一致</v>
      </c>
      <c r="BU37" s="8" t="str">
        <f aca="false">IF(A37="","",IF(BE37="牝馬限定","牝馬限定","その他"))</f>
        <v>その他</v>
      </c>
    </row>
    <row r="38" customFormat="false" ht="15.75" hidden="false" customHeight="false" outlineLevel="0" collapsed="false">
      <c r="A38" s="3" t="n">
        <v>46229</v>
      </c>
      <c r="B38" s="4" t="s">
        <v>13</v>
      </c>
      <c r="C38" s="8" t="n">
        <v>1</v>
      </c>
      <c r="D38" s="8" t="n">
        <v>11</v>
      </c>
      <c r="E38" s="8" t="n">
        <v>4</v>
      </c>
      <c r="F38" s="4" t="s">
        <v>469</v>
      </c>
      <c r="G38" s="8" t="n">
        <v>81</v>
      </c>
      <c r="H38" s="8" t="n">
        <v>7</v>
      </c>
      <c r="I38" s="4" t="s">
        <v>472</v>
      </c>
      <c r="J38" s="8" t="n">
        <v>67</v>
      </c>
      <c r="K38" s="8" t="n">
        <v>5</v>
      </c>
      <c r="L38" s="4" t="s">
        <v>470</v>
      </c>
      <c r="M38" s="8" t="n">
        <v>29</v>
      </c>
      <c r="N38" s="8" t="n">
        <f aca="false">IF(A38="","",G38-J38)</f>
        <v>14</v>
      </c>
      <c r="O38" s="8" t="n">
        <f aca="false">IF(A38="","",J38-M38)</f>
        <v>38</v>
      </c>
      <c r="P38" s="8" t="n">
        <f aca="false">IF(A38="","",G38+J38)</f>
        <v>148</v>
      </c>
      <c r="Q38" s="8" t="str">
        <f aca="false">IF(A38="","",IF(AND(Y38&lt;&gt;"参考",G38&gt;=ルール設定!$B$2),"○",""))</f>
        <v>○</v>
      </c>
      <c r="R38" s="8" t="str">
        <f aca="false">IF(A38="","",IF(AND(Y38&lt;&gt;"参考",G38&gt;=ルール設定!$B$3,N38&gt;=ルール設定!$B$4),"○",""))</f>
        <v/>
      </c>
      <c r="S38" s="8" t="str">
        <f aca="false">IF(A38="","",IF(AND(Y38&lt;&gt;"参考",G38&gt;=ルール設定!$B$5,J38&gt;=ルール設定!$B$6,O38&gt;=ルール設定!$B$7),"○",""))</f>
        <v>○</v>
      </c>
      <c r="T38" s="8" t="n">
        <v>3</v>
      </c>
      <c r="U38" s="8" t="n">
        <v>1</v>
      </c>
      <c r="V38" s="8" t="str">
        <f aca="false">IF(A38="","",IF(AND(ISNUMBER(T38),ISNUMBER(U38)),IF(AND(T38&lt;=3,U38&lt;=3),"○","×"),""))</f>
        <v>○</v>
      </c>
      <c r="W38" s="8" t="n">
        <v>110</v>
      </c>
      <c r="X38" s="8" t="n">
        <v>130</v>
      </c>
      <c r="Y38" s="4" t="s">
        <v>7597</v>
      </c>
      <c r="Z38" s="4" t="s">
        <v>7614</v>
      </c>
      <c r="AA38" s="8" t="str">
        <v/>
      </c>
      <c r="AB38" s="8" t="str">
        <v>○</v>
      </c>
      <c r="AC38" s="8" t="str">
        <v>○</v>
      </c>
      <c r="AD38" s="8" t="str">
        <v/>
      </c>
      <c r="AE38" s="8" t="str">
        <v/>
      </c>
      <c r="AF38" s="8" t="str">
        <v>○</v>
      </c>
      <c r="AG38" s="8" t="str">
        <v>○</v>
      </c>
      <c r="AH38" s="8" t="str">
        <v/>
      </c>
      <c r="AI38" s="8" t="n">
        <v>52</v>
      </c>
      <c r="AJ38" s="8" t="str">
        <v>80～84</v>
      </c>
      <c r="AK38" s="8" t="str">
        <v>10～19</v>
      </c>
      <c r="AL38" s="8" t="str">
        <v>40以上</v>
      </c>
      <c r="AM38" s="8" t="str">
        <v>140～159</v>
      </c>
      <c r="AN38" s="8" t="str">
        <v>8～11</v>
      </c>
      <c r="AO38" s="8" t="n">
        <f aca="false">IF(A38="","",IF(COUNTIFS(全馬データ!$A$2:$A$50000,A38,全馬データ!$B$2:$B$50000,B38,全馬データ!$C$2:$C$50000,C38,全馬データ!$D$2:$D$50000,E38,全馬データ!$K$2:$K$50000,"&lt;&gt;")=0,"",SUMIFS(全馬データ!$K$2:$K$50000,全馬データ!$A$2:$A$50000,A38,全馬データ!$B$2:$B$50000,B38,全馬データ!$C$2:$C$50000,C38,全馬データ!$D$2:$D$50000,E38)))</f>
        <v>1.1</v>
      </c>
      <c r="AP38" s="8" t="str">
        <f aca="false">IF(A38="","",IF(AO38="","欠損",IF(AO38&lt;=1.1,"1.0～1.1",IF(AO38&lt;1.3,"1.2",IF(AO38&lt;1.5,"1.3～1.4",IF(AO38&lt;2,"1.5～1.9","2.0以上"))))))</f>
        <v>1.0～1.1</v>
      </c>
      <c r="AQ38" s="8" t="str">
        <f aca="false">IF(A38="","",IF(ISNUMBER(SEARCH("2歳",Z38)),"2歳戦",IF(ISNUMBER(SEARCH("3歳未勝利",Z38)),"3歳未勝利",IF(ISNUMBER(SEARCH("未勝利",Z38)),"その他未勝利",IF(ISNUMBER(SEARCH("G1",Z38)),"G1",IF(ISNUMBER(SEARCH("G2",Z38)),"G2",IF(ISNUMBER(SEARCH("G3",Z38)),"G3",IF(ISNUMBER(SEARCH("古馬条件",Z38)),"古馬条件戦",IF(ISNUMBER(SEARCH("重賞",Z38)),"重賞","分類不能")))))))))</f>
        <v>分類不能</v>
      </c>
      <c r="AR38" s="8"/>
      <c r="AS38" s="8" t="s">
        <v>7598</v>
      </c>
      <c r="AT38" s="8" t="s">
        <v>7599</v>
      </c>
      <c r="AU38" s="8" t="s">
        <v>7600</v>
      </c>
      <c r="AV38" s="4" t="s">
        <v>7601</v>
      </c>
      <c r="AW38" s="8"/>
      <c r="AX38" s="8"/>
      <c r="AY38" s="8" t="s">
        <v>7602</v>
      </c>
      <c r="AZ38" s="4" t="s">
        <v>7603</v>
      </c>
      <c r="BA38" s="8" t="n">
        <v>1400</v>
      </c>
      <c r="BB38" s="8" t="s">
        <v>7598</v>
      </c>
      <c r="BC38" s="4" t="s">
        <v>7604</v>
      </c>
      <c r="BD38" s="8" t="s">
        <v>7621</v>
      </c>
      <c r="BE38" s="4" t="s">
        <v>7622</v>
      </c>
      <c r="BF38" s="8" t="s">
        <v>7602</v>
      </c>
      <c r="BG38" s="8" t="s">
        <v>7608</v>
      </c>
      <c r="BH38" s="4" t="s">
        <v>7609</v>
      </c>
      <c r="BI38" s="8" t="n">
        <v>11</v>
      </c>
      <c r="BJ38" s="8" t="s">
        <v>7610</v>
      </c>
      <c r="BK38" s="4" t="s">
        <v>7611</v>
      </c>
      <c r="BL38" s="8" t="s">
        <v>7602</v>
      </c>
      <c r="BM38" s="4" t="s">
        <v>7620</v>
      </c>
      <c r="BN38" s="8" t="s">
        <v>7602</v>
      </c>
      <c r="BO38" s="8" t="s">
        <v>7613</v>
      </c>
      <c r="BP38" s="8" t="s">
        <v>7602</v>
      </c>
      <c r="BQ38" s="8" t="str">
        <f aca="false">IF(A38="","",AT38)</f>
        <v>2歳</v>
      </c>
      <c r="BR38" s="8" t="str">
        <f aca="false">IF(A38="","",IF(BA38&lt;=1200,"～1200",IF(BA38&lt;=1500,"1300～1500",IF(BA38=1600,"1600",IF(BA38&lt;=1800,"1700～1800",IF(BA38&lt;=2000,"1900～2000","2100以上"))))))</f>
        <v>1300～1500</v>
      </c>
      <c r="BS38" s="8" t="str">
        <f aca="false">IF(A38="","",IF(AX38="G1","G1",IF(AX38="G2","G2",IF(AX38="G3","G3",IF(AX38="L","L","その他")))))</f>
        <v>その他</v>
      </c>
      <c r="BT38" s="8" t="str">
        <f aca="false">IF(A38="","",IF(BI38="","未結合",IF(D38=BI38,"一致","不一致")))</f>
        <v>一致</v>
      </c>
      <c r="BU38" s="8" t="str">
        <f aca="false">IF(A38="","",IF(BE38="牝馬限定","牝馬限定","その他"))</f>
        <v>牝馬限定</v>
      </c>
    </row>
    <row r="39" customFormat="false" ht="15.75" hidden="false" customHeight="false" outlineLevel="0" collapsed="false">
      <c r="A39" s="3" t="n">
        <v>46229</v>
      </c>
      <c r="B39" s="4" t="s">
        <v>13</v>
      </c>
      <c r="C39" s="8" t="n">
        <v>2</v>
      </c>
      <c r="D39" s="8" t="n">
        <v>9</v>
      </c>
      <c r="E39" s="8" t="n">
        <v>3</v>
      </c>
      <c r="F39" s="4" t="s">
        <v>479</v>
      </c>
      <c r="G39" s="8" t="n">
        <v>31</v>
      </c>
      <c r="H39" s="8" t="n">
        <v>9</v>
      </c>
      <c r="I39" s="4" t="s">
        <v>485</v>
      </c>
      <c r="J39" s="8" t="n">
        <v>31</v>
      </c>
      <c r="K39" s="8" t="n">
        <v>1</v>
      </c>
      <c r="L39" s="4" t="s">
        <v>477</v>
      </c>
      <c r="M39" s="8" t="n">
        <v>27</v>
      </c>
      <c r="N39" s="8" t="n">
        <f aca="false">IF(A39="","",G39-J39)</f>
        <v>0</v>
      </c>
      <c r="O39" s="8" t="n">
        <f aca="false">IF(A39="","",J39-M39)</f>
        <v>4</v>
      </c>
      <c r="P39" s="8" t="n">
        <f aca="false">IF(A39="","",G39+J39)</f>
        <v>62</v>
      </c>
      <c r="Q39" s="8" t="str">
        <f aca="false">IF(A39="","",IF(AND(Y39&lt;&gt;"参考",G39&gt;=ルール設定!$B$2),"○",""))</f>
        <v/>
      </c>
      <c r="R39" s="8" t="str">
        <f aca="false">IF(A39="","",IF(AND(Y39&lt;&gt;"参考",G39&gt;=ルール設定!$B$3,N39&gt;=ルール設定!$B$4),"○",""))</f>
        <v/>
      </c>
      <c r="S39" s="8" t="str">
        <f aca="false">IF(A39="","",IF(AND(Y39&lt;&gt;"参考",G39&gt;=ルール設定!$B$5,J39&gt;=ルール設定!$B$6,O39&gt;=ルール設定!$B$7),"○",""))</f>
        <v/>
      </c>
      <c r="T39" s="8" t="n">
        <v>2</v>
      </c>
      <c r="U39" s="8" t="n">
        <v>4</v>
      </c>
      <c r="V39" s="8" t="str">
        <f aca="false">IF(A39="","",IF(AND(ISNUMBER(T39),ISNUMBER(U39)),IF(AND(T39&lt;=3,U39&lt;=3),"○","×"),""))</f>
        <v>×</v>
      </c>
      <c r="W39" s="8" t="n">
        <v>100</v>
      </c>
      <c r="X39" s="8"/>
      <c r="Y39" s="4" t="s">
        <v>7597</v>
      </c>
      <c r="Z39" s="4" t="s">
        <v>7614</v>
      </c>
      <c r="AA39" s="8" t="str">
        <v/>
      </c>
      <c r="AB39" s="8" t="str">
        <v/>
      </c>
      <c r="AC39" s="8" t="str">
        <v/>
      </c>
      <c r="AD39" s="8" t="str">
        <v/>
      </c>
      <c r="AE39" s="8" t="str">
        <v/>
      </c>
      <c r="AF39" s="8" t="str">
        <v/>
      </c>
      <c r="AG39" s="8" t="str">
        <v/>
      </c>
      <c r="AH39" s="8" t="str">
        <v/>
      </c>
      <c r="AI39" s="8" t="n">
        <v>4</v>
      </c>
      <c r="AJ39" s="8" t="str">
        <v>～59</v>
      </c>
      <c r="AK39" s="8" t="str">
        <v>0～4</v>
      </c>
      <c r="AL39" s="8" t="str">
        <v>0～9</v>
      </c>
      <c r="AM39" s="8" t="str">
        <v>～99</v>
      </c>
      <c r="AN39" s="8" t="str">
        <v>8～11</v>
      </c>
      <c r="AO39" s="8" t="str">
        <f aca="false">IF(A39="","",IF(COUNTIFS(全馬データ!$A$2:$A$50000,A39,全馬データ!$B$2:$B$50000,B39,全馬データ!$C$2:$C$50000,C39,全馬データ!$D$2:$D$50000,E39,全馬データ!$K$2:$K$50000,"&lt;&gt;")=0,"",SUMIFS(全馬データ!$K$2:$K$50000,全馬データ!$A$2:$A$50000,A39,全馬データ!$B$2:$B$50000,B39,全馬データ!$C$2:$C$50000,C39,全馬データ!$D$2:$D$50000,E39)))</f>
        <v/>
      </c>
      <c r="AP39" s="8" t="str">
        <f aca="false">IF(A39="","",IF(AO39="","欠損",IF(AO39&lt;=1.1,"1.0～1.1",IF(AO39&lt;1.3,"1.2",IF(AO39&lt;1.5,"1.3～1.4",IF(AO39&lt;2,"1.5～1.9","2.0以上"))))))</f>
        <v>欠損</v>
      </c>
      <c r="AQ39" s="8" t="str">
        <f aca="false">IF(A39="","",IF(ISNUMBER(SEARCH("2歳",Z39)),"2歳戦",IF(ISNUMBER(SEARCH("3歳未勝利",Z39)),"3歳未勝利",IF(ISNUMBER(SEARCH("未勝利",Z39)),"その他未勝利",IF(ISNUMBER(SEARCH("G1",Z39)),"G1",IF(ISNUMBER(SEARCH("G2",Z39)),"G2",IF(ISNUMBER(SEARCH("G3",Z39)),"G3",IF(ISNUMBER(SEARCH("古馬条件",Z39)),"古馬条件戦",IF(ISNUMBER(SEARCH("重賞",Z39)),"重賞","分類不能")))))))))</f>
        <v>分類不能</v>
      </c>
      <c r="AR39" s="8"/>
      <c r="AS39" s="8" t="s">
        <v>7598</v>
      </c>
      <c r="AT39" s="8" t="s">
        <v>7599</v>
      </c>
      <c r="AU39" s="8" t="s">
        <v>7615</v>
      </c>
      <c r="AV39" s="4" t="s">
        <v>7616</v>
      </c>
      <c r="AW39" s="8"/>
      <c r="AX39" s="8"/>
      <c r="AY39" s="8" t="s">
        <v>7602</v>
      </c>
      <c r="AZ39" s="4" t="s">
        <v>7603</v>
      </c>
      <c r="BA39" s="8" t="n">
        <v>1600</v>
      </c>
      <c r="BB39" s="8" t="s">
        <v>7598</v>
      </c>
      <c r="BC39" s="4" t="s">
        <v>7604</v>
      </c>
      <c r="BD39" s="8" t="s">
        <v>7605</v>
      </c>
      <c r="BE39" s="4" t="s">
        <v>7606</v>
      </c>
      <c r="BF39" s="8" t="s">
        <v>7607</v>
      </c>
      <c r="BG39" s="8" t="s">
        <v>7608</v>
      </c>
      <c r="BH39" s="4" t="s">
        <v>7609</v>
      </c>
      <c r="BI39" s="8" t="n">
        <v>9</v>
      </c>
      <c r="BJ39" s="8" t="s">
        <v>7610</v>
      </c>
      <c r="BK39" s="4" t="s">
        <v>7611</v>
      </c>
      <c r="BL39" s="8" t="s">
        <v>7610</v>
      </c>
      <c r="BM39" s="4" t="s">
        <v>7612</v>
      </c>
      <c r="BN39" s="8" t="s">
        <v>7602</v>
      </c>
      <c r="BO39" s="8" t="s">
        <v>7613</v>
      </c>
      <c r="BP39" s="8" t="s">
        <v>7602</v>
      </c>
      <c r="BQ39" s="8" t="str">
        <f aca="false">IF(A39="","",AT39)</f>
        <v>2歳</v>
      </c>
      <c r="BR39" s="8" t="str">
        <f aca="false">IF(A39="","",IF(BA39&lt;=1200,"～1200",IF(BA39&lt;=1500,"1300～1500",IF(BA39=1600,"1600",IF(BA39&lt;=1800,"1700～1800",IF(BA39&lt;=2000,"1900～2000","2100以上"))))))</f>
        <v>1600</v>
      </c>
      <c r="BS39" s="8" t="str">
        <f aca="false">IF(A39="","",IF(AX39="G1","G1",IF(AX39="G2","G2",IF(AX39="G3","G3",IF(AX39="L","L","その他")))))</f>
        <v>その他</v>
      </c>
      <c r="BT39" s="8" t="str">
        <f aca="false">IF(A39="","",IF(BI39="","未結合",IF(D39=BI39,"一致","不一致")))</f>
        <v>一致</v>
      </c>
      <c r="BU39" s="8" t="str">
        <f aca="false">IF(A39="","",IF(BE39="牝馬限定","牝馬限定","その他"))</f>
        <v>その他</v>
      </c>
    </row>
    <row r="40" customFormat="false" ht="15.75" hidden="false" customHeight="false" outlineLevel="0" collapsed="false">
      <c r="A40" s="3" t="n">
        <v>46229</v>
      </c>
      <c r="B40" s="4" t="s">
        <v>13</v>
      </c>
      <c r="C40" s="8" t="n">
        <v>3</v>
      </c>
      <c r="D40" s="8" t="n">
        <v>15</v>
      </c>
      <c r="E40" s="8" t="n">
        <v>8</v>
      </c>
      <c r="F40" s="4" t="s">
        <v>493</v>
      </c>
      <c r="G40" s="8" t="n">
        <v>62</v>
      </c>
      <c r="H40" s="8" t="n">
        <v>11</v>
      </c>
      <c r="I40" s="4" t="s">
        <v>496</v>
      </c>
      <c r="J40" s="8" t="n">
        <v>50</v>
      </c>
      <c r="K40" s="8" t="n">
        <v>7</v>
      </c>
      <c r="L40" s="4" t="s">
        <v>492</v>
      </c>
      <c r="M40" s="8" t="n">
        <v>44</v>
      </c>
      <c r="N40" s="8" t="n">
        <f aca="false">IF(A40="","",G40-J40)</f>
        <v>12</v>
      </c>
      <c r="O40" s="8" t="n">
        <f aca="false">IF(A40="","",J40-M40)</f>
        <v>6</v>
      </c>
      <c r="P40" s="8" t="n">
        <f aca="false">IF(A40="","",G40+J40)</f>
        <v>112</v>
      </c>
      <c r="Q40" s="8" t="str">
        <f aca="false">IF(A40="","",IF(AND(Y40&lt;&gt;"参考",G40&gt;=ルール設定!$B$2),"○",""))</f>
        <v/>
      </c>
      <c r="R40" s="8" t="str">
        <f aca="false">IF(A40="","",IF(AND(Y40&lt;&gt;"参考",G40&gt;=ルール設定!$B$3,N40&gt;=ルール設定!$B$4),"○",""))</f>
        <v/>
      </c>
      <c r="S40" s="8" t="str">
        <f aca="false">IF(A40="","",IF(AND(Y40&lt;&gt;"参考",G40&gt;=ルール設定!$B$5,J40&gt;=ルール設定!$B$6,O40&gt;=ルール設定!$B$7),"○",""))</f>
        <v/>
      </c>
      <c r="T40" s="8" t="n">
        <v>4</v>
      </c>
      <c r="U40" s="8" t="n">
        <v>4</v>
      </c>
      <c r="V40" s="8" t="str">
        <f aca="false">IF(A40="","",IF(AND(ISNUMBER(T40),ISNUMBER(U40)),IF(AND(T40&lt;=3,U40&lt;=3),"○","×"),""))</f>
        <v>×</v>
      </c>
      <c r="W40" s="8"/>
      <c r="X40" s="8"/>
      <c r="Y40" s="4" t="s">
        <v>7597</v>
      </c>
      <c r="Z40" s="8"/>
      <c r="AA40" s="8" t="str">
        <v/>
      </c>
      <c r="AB40" s="8" t="str">
        <v/>
      </c>
      <c r="AC40" s="8" t="str">
        <v/>
      </c>
      <c r="AD40" s="8" t="str">
        <v/>
      </c>
      <c r="AE40" s="8" t="str">
        <v/>
      </c>
      <c r="AF40" s="8" t="str">
        <v/>
      </c>
      <c r="AG40" s="8" t="str">
        <v/>
      </c>
      <c r="AH40" s="8" t="str">
        <v/>
      </c>
      <c r="AI40" s="8" t="n">
        <v>18</v>
      </c>
      <c r="AJ40" s="8" t="str">
        <v>60～69</v>
      </c>
      <c r="AK40" s="8" t="str">
        <v>10～19</v>
      </c>
      <c r="AL40" s="8" t="str">
        <v>10～19</v>
      </c>
      <c r="AM40" s="8" t="str">
        <v>100～119</v>
      </c>
      <c r="AN40" s="8" t="str">
        <v>15以上</v>
      </c>
      <c r="AO40" s="8" t="str">
        <f aca="false">IF(A40="","",IF(COUNTIFS(全馬データ!$A$2:$A$50000,A40,全馬データ!$B$2:$B$50000,B40,全馬データ!$C$2:$C$50000,C40,全馬データ!$D$2:$D$50000,E40,全馬データ!$K$2:$K$50000,"&lt;&gt;")=0,"",SUMIFS(全馬データ!$K$2:$K$50000,全馬データ!$A$2:$A$50000,A40,全馬データ!$B$2:$B$50000,B40,全馬データ!$C$2:$C$50000,C40,全馬データ!$D$2:$D$50000,E40)))</f>
        <v/>
      </c>
      <c r="AP40" s="8" t="str">
        <f aca="false">IF(A40="","",IF(AO40="","欠損",IF(AO40&lt;=1.1,"1.0～1.1",IF(AO40&lt;1.3,"1.2",IF(AO40&lt;1.5,"1.3～1.4",IF(AO40&lt;2,"1.5～1.9","2.0以上"))))))</f>
        <v>欠損</v>
      </c>
      <c r="AQ40" s="8" t="str">
        <f aca="false">IF(A40="","",IF(ISNUMBER(SEARCH("2歳",Z40)),"2歳戦",IF(ISNUMBER(SEARCH("3歳未勝利",Z40)),"3歳未勝利",IF(ISNUMBER(SEARCH("未勝利",Z40)),"その他未勝利",IF(ISNUMBER(SEARCH("G1",Z40)),"G1",IF(ISNUMBER(SEARCH("G2",Z40)),"G2",IF(ISNUMBER(SEARCH("G3",Z40)),"G3",IF(ISNUMBER(SEARCH("古馬条件",Z40)),"古馬条件戦",IF(ISNUMBER(SEARCH("重賞",Z40)),"重賞","分類不能")))))))))</f>
        <v>分類不能</v>
      </c>
      <c r="AR40" s="8"/>
      <c r="AS40" s="8" t="s">
        <v>7623</v>
      </c>
      <c r="AT40" s="8" t="s">
        <v>7624</v>
      </c>
      <c r="AU40" s="8" t="s">
        <v>7600</v>
      </c>
      <c r="AV40" s="4" t="s">
        <v>7601</v>
      </c>
      <c r="AW40" s="8"/>
      <c r="AX40" s="8"/>
      <c r="AY40" s="8" t="s">
        <v>7610</v>
      </c>
      <c r="AZ40" s="4" t="s">
        <v>7617</v>
      </c>
      <c r="BA40" s="8" t="n">
        <v>1200</v>
      </c>
      <c r="BB40" s="8" t="s">
        <v>7657</v>
      </c>
      <c r="BC40" s="4" t="s">
        <v>7658</v>
      </c>
      <c r="BD40" s="8" t="s">
        <v>7605</v>
      </c>
      <c r="BE40" s="4" t="s">
        <v>7606</v>
      </c>
      <c r="BF40" s="8" t="s">
        <v>7607</v>
      </c>
      <c r="BG40" s="8" t="s">
        <v>7608</v>
      </c>
      <c r="BH40" s="4" t="s">
        <v>7609</v>
      </c>
      <c r="BI40" s="8" t="n">
        <v>15</v>
      </c>
      <c r="BJ40" s="8" t="s">
        <v>7610</v>
      </c>
      <c r="BK40" s="4" t="s">
        <v>7611</v>
      </c>
      <c r="BL40" s="8" t="s">
        <v>7602</v>
      </c>
      <c r="BM40" s="4" t="s">
        <v>7620</v>
      </c>
      <c r="BN40" s="8"/>
      <c r="BO40" s="8"/>
      <c r="BP40" s="8" t="s">
        <v>7602</v>
      </c>
      <c r="BQ40" s="8" t="str">
        <f aca="false">IF(A40="","",AT40)</f>
        <v>3歳</v>
      </c>
      <c r="BR40" s="8" t="str">
        <f aca="false">IF(A40="","",IF(BA40&lt;=1200,"～1200",IF(BA40&lt;=1500,"1300～1500",IF(BA40=1600,"1600",IF(BA40&lt;=1800,"1700～1800",IF(BA40&lt;=2000,"1900～2000","2100以上"))))))</f>
        <v>～1200</v>
      </c>
      <c r="BS40" s="8" t="str">
        <f aca="false">IF(A40="","",IF(AX40="G1","G1",IF(AX40="G2","G2",IF(AX40="G3","G3",IF(AX40="L","L","その他")))))</f>
        <v>その他</v>
      </c>
      <c r="BT40" s="8" t="str">
        <f aca="false">IF(A40="","",IF(BI40="","未結合",IF(D40=BI40,"一致","不一致")))</f>
        <v>一致</v>
      </c>
      <c r="BU40" s="8" t="str">
        <f aca="false">IF(A40="","",IF(BE40="牝馬限定","牝馬限定","その他"))</f>
        <v>その他</v>
      </c>
    </row>
    <row r="41" customFormat="false" ht="15.75" hidden="false" customHeight="false" outlineLevel="0" collapsed="false">
      <c r="A41" s="3" t="n">
        <v>46229</v>
      </c>
      <c r="B41" s="4" t="s">
        <v>13</v>
      </c>
      <c r="C41" s="8" t="n">
        <v>4</v>
      </c>
      <c r="D41" s="8" t="n">
        <v>18</v>
      </c>
      <c r="E41" s="8" t="n">
        <v>14</v>
      </c>
      <c r="F41" s="4" t="s">
        <v>514</v>
      </c>
      <c r="G41" s="8" t="n">
        <v>67</v>
      </c>
      <c r="H41" s="8" t="n">
        <v>2</v>
      </c>
      <c r="I41" s="4" t="s">
        <v>502</v>
      </c>
      <c r="J41" s="8" t="n">
        <v>37</v>
      </c>
      <c r="K41" s="8" t="n">
        <v>8</v>
      </c>
      <c r="L41" s="4" t="s">
        <v>508</v>
      </c>
      <c r="M41" s="8" t="n">
        <v>37</v>
      </c>
      <c r="N41" s="8" t="n">
        <f aca="false">IF(A41="","",G41-J41)</f>
        <v>30</v>
      </c>
      <c r="O41" s="8" t="n">
        <f aca="false">IF(A41="","",J41-M41)</f>
        <v>0</v>
      </c>
      <c r="P41" s="8" t="n">
        <f aca="false">IF(A41="","",G41+J41)</f>
        <v>104</v>
      </c>
      <c r="Q41" s="8" t="str">
        <f aca="false">IF(A41="","",IF(AND(Y41&lt;&gt;"参考",G41&gt;=ルール設定!$B$2),"○",""))</f>
        <v/>
      </c>
      <c r="R41" s="8" t="str">
        <f aca="false">IF(A41="","",IF(AND(Y41&lt;&gt;"参考",G41&gt;=ルール設定!$B$3,N41&gt;=ルール設定!$B$4),"○",""))</f>
        <v/>
      </c>
      <c r="S41" s="8" t="str">
        <f aca="false">IF(A41="","",IF(AND(Y41&lt;&gt;"参考",G41&gt;=ルール設定!$B$5,J41&gt;=ルール設定!$B$6,O41&gt;=ルール設定!$B$7),"○",""))</f>
        <v/>
      </c>
      <c r="T41" s="8" t="n">
        <v>4</v>
      </c>
      <c r="U41" s="8" t="n">
        <v>4</v>
      </c>
      <c r="V41" s="8" t="str">
        <f aca="false">IF(A41="","",IF(AND(ISNUMBER(T41),ISNUMBER(U41)),IF(AND(T41&lt;=3,U41&lt;=3),"○","×"),""))</f>
        <v>×</v>
      </c>
      <c r="W41" s="8"/>
      <c r="X41" s="8"/>
      <c r="Y41" s="4" t="s">
        <v>7597</v>
      </c>
      <c r="Z41" s="4" t="s">
        <v>7614</v>
      </c>
      <c r="AA41" s="8" t="str">
        <v/>
      </c>
      <c r="AB41" s="8" t="str">
        <v/>
      </c>
      <c r="AC41" s="8" t="str">
        <v/>
      </c>
      <c r="AD41" s="8" t="str">
        <v/>
      </c>
      <c r="AE41" s="8" t="str">
        <v/>
      </c>
      <c r="AF41" s="8" t="str">
        <v/>
      </c>
      <c r="AG41" s="8" t="str">
        <v/>
      </c>
      <c r="AH41" s="8" t="str">
        <v/>
      </c>
      <c r="AI41" s="8" t="n">
        <v>30</v>
      </c>
      <c r="AJ41" s="8" t="str">
        <v>60～69</v>
      </c>
      <c r="AK41" s="8" t="str">
        <v>30以上</v>
      </c>
      <c r="AL41" s="8" t="str">
        <v>30～39</v>
      </c>
      <c r="AM41" s="8" t="str">
        <v>100～119</v>
      </c>
      <c r="AN41" s="8" t="str">
        <v>15以上</v>
      </c>
      <c r="AO41" s="8" t="str">
        <f aca="false">IF(A41="","",IF(COUNTIFS(全馬データ!$A$2:$A$50000,A41,全馬データ!$B$2:$B$50000,B41,全馬データ!$C$2:$C$50000,C41,全馬データ!$D$2:$D$50000,E41,全馬データ!$K$2:$K$50000,"&lt;&gt;")=0,"",SUMIFS(全馬データ!$K$2:$K$50000,全馬データ!$A$2:$A$50000,A41,全馬データ!$B$2:$B$50000,B41,全馬データ!$C$2:$C$50000,C41,全馬データ!$D$2:$D$50000,E41)))</f>
        <v/>
      </c>
      <c r="AP41" s="8" t="str">
        <f aca="false">IF(A41="","",IF(AO41="","欠損",IF(AO41&lt;=1.1,"1.0～1.1",IF(AO41&lt;1.3,"1.2",IF(AO41&lt;1.5,"1.3～1.4",IF(AO41&lt;2,"1.5～1.9","2.0以上"))))))</f>
        <v>欠損</v>
      </c>
      <c r="AQ41" s="8" t="str">
        <f aca="false">IF(A41="","",IF(ISNUMBER(SEARCH("2歳",Z41)),"2歳戦",IF(ISNUMBER(SEARCH("3歳未勝利",Z41)),"3歳未勝利",IF(ISNUMBER(SEARCH("未勝利",Z41)),"その他未勝利",IF(ISNUMBER(SEARCH("G1",Z41)),"G1",IF(ISNUMBER(SEARCH("G2",Z41)),"G2",IF(ISNUMBER(SEARCH("G3",Z41)),"G3",IF(ISNUMBER(SEARCH("古馬条件",Z41)),"古馬条件戦",IF(ISNUMBER(SEARCH("重賞",Z41)),"重賞","分類不能")))))))))</f>
        <v>分類不能</v>
      </c>
      <c r="AR41" s="8"/>
      <c r="AS41" s="8" t="s">
        <v>7623</v>
      </c>
      <c r="AT41" s="8" t="s">
        <v>7624</v>
      </c>
      <c r="AU41" s="8" t="s">
        <v>7600</v>
      </c>
      <c r="AV41" s="4" t="s">
        <v>7601</v>
      </c>
      <c r="AW41" s="8"/>
      <c r="AX41" s="8"/>
      <c r="AY41" s="8" t="s">
        <v>7602</v>
      </c>
      <c r="AZ41" s="4" t="s">
        <v>7603</v>
      </c>
      <c r="BA41" s="8" t="n">
        <v>1600</v>
      </c>
      <c r="BB41" s="8" t="s">
        <v>7659</v>
      </c>
      <c r="BC41" s="4" t="s">
        <v>7619</v>
      </c>
      <c r="BD41" s="8" t="s">
        <v>7605</v>
      </c>
      <c r="BE41" s="4" t="s">
        <v>7606</v>
      </c>
      <c r="BF41" s="8" t="s">
        <v>7607</v>
      </c>
      <c r="BG41" s="8" t="s">
        <v>7608</v>
      </c>
      <c r="BH41" s="4" t="s">
        <v>7609</v>
      </c>
      <c r="BI41" s="8" t="n">
        <v>18</v>
      </c>
      <c r="BJ41" s="8" t="s">
        <v>7610</v>
      </c>
      <c r="BK41" s="4" t="s">
        <v>7611</v>
      </c>
      <c r="BL41" s="8" t="s">
        <v>7610</v>
      </c>
      <c r="BM41" s="4" t="s">
        <v>7612</v>
      </c>
      <c r="BN41" s="8" t="s">
        <v>7602</v>
      </c>
      <c r="BO41" s="8" t="s">
        <v>7613</v>
      </c>
      <c r="BP41" s="8" t="s">
        <v>7602</v>
      </c>
      <c r="BQ41" s="8" t="str">
        <f aca="false">IF(A41="","",AT41)</f>
        <v>3歳</v>
      </c>
      <c r="BR41" s="8" t="str">
        <f aca="false">IF(A41="","",IF(BA41&lt;=1200,"～1200",IF(BA41&lt;=1500,"1300～1500",IF(BA41=1600,"1600",IF(BA41&lt;=1800,"1700～1800",IF(BA41&lt;=2000,"1900～2000","2100以上"))))))</f>
        <v>1600</v>
      </c>
      <c r="BS41" s="8" t="str">
        <f aca="false">IF(A41="","",IF(AX41="G1","G1",IF(AX41="G2","G2",IF(AX41="G3","G3",IF(AX41="L","L","その他")))))</f>
        <v>その他</v>
      </c>
      <c r="BT41" s="8" t="str">
        <f aca="false">IF(A41="","",IF(BI41="","未結合",IF(D41=BI41,"一致","不一致")))</f>
        <v>一致</v>
      </c>
      <c r="BU41" s="8" t="str">
        <f aca="false">IF(A41="","",IF(BE41="牝馬限定","牝馬限定","その他"))</f>
        <v>その他</v>
      </c>
    </row>
    <row r="42" customFormat="false" ht="15.75" hidden="false" customHeight="false" outlineLevel="0" collapsed="false">
      <c r="A42" s="3" t="n">
        <v>46229</v>
      </c>
      <c r="B42" s="4" t="s">
        <v>13</v>
      </c>
      <c r="C42" s="8" t="n">
        <v>5</v>
      </c>
      <c r="D42" s="8" t="n">
        <v>15</v>
      </c>
      <c r="E42" s="8" t="n">
        <v>14</v>
      </c>
      <c r="F42" s="4" t="s">
        <v>532</v>
      </c>
      <c r="G42" s="8" t="n">
        <v>65</v>
      </c>
      <c r="H42" s="8" t="n">
        <v>8</v>
      </c>
      <c r="I42" s="4" t="s">
        <v>526</v>
      </c>
      <c r="J42" s="8" t="n">
        <v>47</v>
      </c>
      <c r="K42" s="8" t="n">
        <v>10</v>
      </c>
      <c r="L42" s="4" t="s">
        <v>528</v>
      </c>
      <c r="M42" s="8" t="n">
        <v>41</v>
      </c>
      <c r="N42" s="8" t="n">
        <f aca="false">IF(A42="","",G42-J42)</f>
        <v>18</v>
      </c>
      <c r="O42" s="8" t="n">
        <f aca="false">IF(A42="","",J42-M42)</f>
        <v>6</v>
      </c>
      <c r="P42" s="8" t="n">
        <f aca="false">IF(A42="","",G42+J42)</f>
        <v>112</v>
      </c>
      <c r="Q42" s="8" t="str">
        <f aca="false">IF(A42="","",IF(AND(Y42&lt;&gt;"参考",G42&gt;=ルール設定!$B$2),"○",""))</f>
        <v/>
      </c>
      <c r="R42" s="8" t="str">
        <f aca="false">IF(A42="","",IF(AND(Y42&lt;&gt;"参考",G42&gt;=ルール設定!$B$3,N42&gt;=ルール設定!$B$4),"○",""))</f>
        <v/>
      </c>
      <c r="S42" s="8" t="str">
        <f aca="false">IF(A42="","",IF(AND(Y42&lt;&gt;"参考",G42&gt;=ルール設定!$B$5,J42&gt;=ルール設定!$B$6,O42&gt;=ルール設定!$B$7),"○",""))</f>
        <v/>
      </c>
      <c r="T42" s="8" t="n">
        <v>3</v>
      </c>
      <c r="U42" s="8" t="n">
        <v>4</v>
      </c>
      <c r="V42" s="8" t="str">
        <f aca="false">IF(A42="","",IF(AND(ISNUMBER(T42),ISNUMBER(U42)),IF(AND(T42&lt;=3,U42&lt;=3),"○","×"),""))</f>
        <v>×</v>
      </c>
      <c r="W42" s="8" t="n">
        <v>160</v>
      </c>
      <c r="X42" s="8"/>
      <c r="Y42" s="4" t="s">
        <v>7597</v>
      </c>
      <c r="Z42" s="8"/>
      <c r="AA42" s="8" t="str">
        <v/>
      </c>
      <c r="AB42" s="8" t="str">
        <v/>
      </c>
      <c r="AC42" s="8" t="str">
        <v/>
      </c>
      <c r="AD42" s="8" t="str">
        <v/>
      </c>
      <c r="AE42" s="8" t="str">
        <v/>
      </c>
      <c r="AF42" s="8" t="str">
        <v/>
      </c>
      <c r="AG42" s="8" t="str">
        <v/>
      </c>
      <c r="AH42" s="8" t="str">
        <v/>
      </c>
      <c r="AI42" s="8" t="n">
        <v>24</v>
      </c>
      <c r="AJ42" s="8" t="str">
        <v>60～69</v>
      </c>
      <c r="AK42" s="8" t="str">
        <v>10～19</v>
      </c>
      <c r="AL42" s="8" t="str">
        <v>20～29</v>
      </c>
      <c r="AM42" s="8" t="str">
        <v>100～119</v>
      </c>
      <c r="AN42" s="8" t="str">
        <v>15以上</v>
      </c>
      <c r="AO42" s="8" t="str">
        <f aca="false">IF(A42="","",IF(COUNTIFS(全馬データ!$A$2:$A$50000,A42,全馬データ!$B$2:$B$50000,B42,全馬データ!$C$2:$C$50000,C42,全馬データ!$D$2:$D$50000,E42,全馬データ!$K$2:$K$50000,"&lt;&gt;")=0,"",SUMIFS(全馬データ!$K$2:$K$50000,全馬データ!$A$2:$A$50000,A42,全馬データ!$B$2:$B$50000,B42,全馬データ!$C$2:$C$50000,C42,全馬データ!$D$2:$D$50000,E42)))</f>
        <v/>
      </c>
      <c r="AP42" s="8" t="str">
        <f aca="false">IF(A42="","",IF(AO42="","欠損",IF(AO42&lt;=1.1,"1.0～1.1",IF(AO42&lt;1.3,"1.2",IF(AO42&lt;1.5,"1.3～1.4",IF(AO42&lt;2,"1.5～1.9","2.0以上"))))))</f>
        <v>欠損</v>
      </c>
      <c r="AQ42" s="8" t="str">
        <f aca="false">IF(A42="","",IF(ISNUMBER(SEARCH("2歳",Z42)),"2歳戦",IF(ISNUMBER(SEARCH("3歳未勝利",Z42)),"3歳未勝利",IF(ISNUMBER(SEARCH("未勝利",Z42)),"その他未勝利",IF(ISNUMBER(SEARCH("G1",Z42)),"G1",IF(ISNUMBER(SEARCH("G2",Z42)),"G2",IF(ISNUMBER(SEARCH("G3",Z42)),"G3",IF(ISNUMBER(SEARCH("古馬条件",Z42)),"古馬条件戦",IF(ISNUMBER(SEARCH("重賞",Z42)),"重賞","分類不能")))))))))</f>
        <v>分類不能</v>
      </c>
      <c r="AR42" s="8"/>
      <c r="AS42" s="8" t="s">
        <v>7626</v>
      </c>
      <c r="AT42" s="8" t="s">
        <v>7627</v>
      </c>
      <c r="AU42" s="8" t="s">
        <v>7628</v>
      </c>
      <c r="AV42" s="8" t="s">
        <v>7629</v>
      </c>
      <c r="AW42" s="8"/>
      <c r="AX42" s="8"/>
      <c r="AY42" s="8" t="s">
        <v>7610</v>
      </c>
      <c r="AZ42" s="4" t="s">
        <v>7617</v>
      </c>
      <c r="BA42" s="8" t="n">
        <v>1200</v>
      </c>
      <c r="BB42" s="8" t="s">
        <v>7657</v>
      </c>
      <c r="BC42" s="4" t="s">
        <v>7658</v>
      </c>
      <c r="BD42" s="8" t="s">
        <v>7625</v>
      </c>
      <c r="BE42" s="4" t="s">
        <v>7606</v>
      </c>
      <c r="BF42" s="8" t="s">
        <v>7607</v>
      </c>
      <c r="BG42" s="8" t="s">
        <v>7631</v>
      </c>
      <c r="BH42" s="4" t="s">
        <v>7632</v>
      </c>
      <c r="BI42" s="8" t="n">
        <v>15</v>
      </c>
      <c r="BJ42" s="8" t="s">
        <v>7610</v>
      </c>
      <c r="BK42" s="4" t="s">
        <v>7611</v>
      </c>
      <c r="BL42" s="8" t="s">
        <v>7602</v>
      </c>
      <c r="BM42" s="4" t="s">
        <v>7620</v>
      </c>
      <c r="BN42" s="8"/>
      <c r="BO42" s="8"/>
      <c r="BP42" s="8" t="s">
        <v>7602</v>
      </c>
      <c r="BQ42" s="8" t="str">
        <f aca="false">IF(A42="","",AT42)</f>
        <v>3歳以上</v>
      </c>
      <c r="BR42" s="8" t="str">
        <f aca="false">IF(A42="","",IF(BA42&lt;=1200,"～1200",IF(BA42&lt;=1500,"1300～1500",IF(BA42=1600,"1600",IF(BA42&lt;=1800,"1700～1800",IF(BA42&lt;=2000,"1900～2000","2100以上"))))))</f>
        <v>～1200</v>
      </c>
      <c r="BS42" s="8" t="str">
        <f aca="false">IF(A42="","",IF(AX42="G1","G1",IF(AX42="G2","G2",IF(AX42="G3","G3",IF(AX42="L","L","その他")))))</f>
        <v>その他</v>
      </c>
      <c r="BT42" s="8" t="str">
        <f aca="false">IF(A42="","",IF(BI42="","未結合",IF(D42=BI42,"一致","不一致")))</f>
        <v>一致</v>
      </c>
      <c r="BU42" s="8" t="str">
        <f aca="false">IF(A42="","",IF(BE42="牝馬限定","牝馬限定","その他"))</f>
        <v>その他</v>
      </c>
    </row>
    <row r="43" customFormat="false" ht="15.75" hidden="false" customHeight="false" outlineLevel="0" collapsed="false">
      <c r="A43" s="3" t="n">
        <v>46229</v>
      </c>
      <c r="B43" s="4" t="s">
        <v>13</v>
      </c>
      <c r="C43" s="8" t="n">
        <v>6</v>
      </c>
      <c r="D43" s="8" t="n">
        <v>11</v>
      </c>
      <c r="E43" s="8" t="n">
        <v>1</v>
      </c>
      <c r="F43" s="4" t="s">
        <v>534</v>
      </c>
      <c r="G43" s="8" t="n">
        <v>56</v>
      </c>
      <c r="H43" s="8" t="n">
        <v>8</v>
      </c>
      <c r="I43" s="4" t="s">
        <v>541</v>
      </c>
      <c r="J43" s="8" t="n">
        <v>39</v>
      </c>
      <c r="K43" s="8" t="n">
        <v>2</v>
      </c>
      <c r="L43" s="4" t="s">
        <v>535</v>
      </c>
      <c r="M43" s="8" t="n">
        <v>37</v>
      </c>
      <c r="N43" s="8" t="n">
        <f aca="false">IF(A43="","",G43-J43)</f>
        <v>17</v>
      </c>
      <c r="O43" s="8" t="n">
        <f aca="false">IF(A43="","",J43-M43)</f>
        <v>2</v>
      </c>
      <c r="P43" s="8" t="n">
        <f aca="false">IF(A43="","",G43+J43)</f>
        <v>95</v>
      </c>
      <c r="Q43" s="8" t="str">
        <f aca="false">IF(A43="","",IF(AND(Y43&lt;&gt;"参考",G43&gt;=ルール設定!$B$2),"○",""))</f>
        <v/>
      </c>
      <c r="R43" s="8" t="str">
        <f aca="false">IF(A43="","",IF(AND(Y43&lt;&gt;"参考",G43&gt;=ルール設定!$B$3,N43&gt;=ルール設定!$B$4),"○",""))</f>
        <v/>
      </c>
      <c r="S43" s="8" t="str">
        <f aca="false">IF(A43="","",IF(AND(Y43&lt;&gt;"参考",G43&gt;=ルール設定!$B$5,J43&gt;=ルール設定!$B$6,O43&gt;=ルール設定!$B$7),"○",""))</f>
        <v/>
      </c>
      <c r="T43" s="8" t="n">
        <v>4</v>
      </c>
      <c r="U43" s="8" t="n">
        <v>4</v>
      </c>
      <c r="V43" s="8" t="str">
        <f aca="false">IF(A43="","",IF(AND(ISNUMBER(T43),ISNUMBER(U43)),IF(AND(T43&lt;=3,U43&lt;=3),"○","×"),""))</f>
        <v>×</v>
      </c>
      <c r="W43" s="8"/>
      <c r="X43" s="8"/>
      <c r="Y43" s="4" t="s">
        <v>7597</v>
      </c>
      <c r="Z43" s="4" t="s">
        <v>7614</v>
      </c>
      <c r="AA43" s="8" t="str">
        <v/>
      </c>
      <c r="AB43" s="8" t="str">
        <v/>
      </c>
      <c r="AC43" s="8" t="str">
        <v/>
      </c>
      <c r="AD43" s="8" t="str">
        <v/>
      </c>
      <c r="AE43" s="8" t="str">
        <v/>
      </c>
      <c r="AF43" s="8" t="str">
        <v/>
      </c>
      <c r="AG43" s="8" t="str">
        <v/>
      </c>
      <c r="AH43" s="8" t="str">
        <v/>
      </c>
      <c r="AI43" s="8" t="n">
        <v>19</v>
      </c>
      <c r="AJ43" s="8" t="str">
        <v>～59</v>
      </c>
      <c r="AK43" s="8" t="str">
        <v>10～19</v>
      </c>
      <c r="AL43" s="8" t="str">
        <v>10～19</v>
      </c>
      <c r="AM43" s="8" t="str">
        <v>～99</v>
      </c>
      <c r="AN43" s="8" t="str">
        <v>8～11</v>
      </c>
      <c r="AO43" s="8" t="str">
        <f aca="false">IF(A43="","",IF(COUNTIFS(全馬データ!$A$2:$A$50000,A43,全馬データ!$B$2:$B$50000,B43,全馬データ!$C$2:$C$50000,C43,全馬データ!$D$2:$D$50000,E43,全馬データ!$K$2:$K$50000,"&lt;&gt;")=0,"",SUMIFS(全馬データ!$K$2:$K$50000,全馬データ!$A$2:$A$50000,A43,全馬データ!$B$2:$B$50000,B43,全馬データ!$C$2:$C$50000,C43,全馬データ!$D$2:$D$50000,E43)))</f>
        <v/>
      </c>
      <c r="AP43" s="8" t="str">
        <f aca="false">IF(A43="","",IF(AO43="","欠損",IF(AO43&lt;=1.1,"1.0～1.1",IF(AO43&lt;1.3,"1.2",IF(AO43&lt;1.5,"1.3～1.4",IF(AO43&lt;2,"1.5～1.9","2.0以上"))))))</f>
        <v>欠損</v>
      </c>
      <c r="AQ43" s="8" t="str">
        <f aca="false">IF(A43="","",IF(ISNUMBER(SEARCH("2歳",Z43)),"2歳戦",IF(ISNUMBER(SEARCH("3歳未勝利",Z43)),"3歳未勝利",IF(ISNUMBER(SEARCH("未勝利",Z43)),"その他未勝利",IF(ISNUMBER(SEARCH("G1",Z43)),"G1",IF(ISNUMBER(SEARCH("G2",Z43)),"G2",IF(ISNUMBER(SEARCH("G3",Z43)),"G3",IF(ISNUMBER(SEARCH("古馬条件",Z43)),"古馬条件戦",IF(ISNUMBER(SEARCH("重賞",Z43)),"重賞","分類不能")))))))))</f>
        <v>分類不能</v>
      </c>
      <c r="AR43" s="4" t="s">
        <v>7660</v>
      </c>
      <c r="AS43" s="8" t="s">
        <v>7626</v>
      </c>
      <c r="AT43" s="8" t="s">
        <v>7627</v>
      </c>
      <c r="AU43" s="8" t="s">
        <v>7634</v>
      </c>
      <c r="AV43" s="8" t="s">
        <v>7635</v>
      </c>
      <c r="AW43" s="8" t="s">
        <v>7636</v>
      </c>
      <c r="AX43" s="4" t="s">
        <v>7637</v>
      </c>
      <c r="AY43" s="8" t="s">
        <v>7610</v>
      </c>
      <c r="AZ43" s="4" t="s">
        <v>7617</v>
      </c>
      <c r="BA43" s="8" t="n">
        <v>1200</v>
      </c>
      <c r="BB43" s="8" t="s">
        <v>7661</v>
      </c>
      <c r="BC43" s="4" t="s">
        <v>7662</v>
      </c>
      <c r="BD43" s="8" t="s">
        <v>7625</v>
      </c>
      <c r="BE43" s="4" t="s">
        <v>7606</v>
      </c>
      <c r="BF43" s="8" t="s">
        <v>7607</v>
      </c>
      <c r="BG43" s="8" t="s">
        <v>7631</v>
      </c>
      <c r="BH43" s="4" t="s">
        <v>7632</v>
      </c>
      <c r="BI43" s="8" t="n">
        <v>11</v>
      </c>
      <c r="BJ43" s="8" t="s">
        <v>7610</v>
      </c>
      <c r="BK43" s="4" t="s">
        <v>7611</v>
      </c>
      <c r="BL43" s="8" t="s">
        <v>7602</v>
      </c>
      <c r="BM43" s="4" t="s">
        <v>7620</v>
      </c>
      <c r="BN43" s="8"/>
      <c r="BO43" s="8"/>
      <c r="BP43" s="8" t="s">
        <v>7602</v>
      </c>
      <c r="BQ43" s="8" t="str">
        <f aca="false">IF(A43="","",AT43)</f>
        <v>3歳以上</v>
      </c>
      <c r="BR43" s="8" t="str">
        <f aca="false">IF(A43="","",IF(BA43&lt;=1200,"～1200",IF(BA43&lt;=1500,"1300～1500",IF(BA43=1600,"1600",IF(BA43&lt;=1800,"1700～1800",IF(BA43&lt;=2000,"1900～2000","2100以上"))))))</f>
        <v>～1200</v>
      </c>
      <c r="BS43" s="8" t="str">
        <f aca="false">IF(A43="","",IF(AX43="G1","G1",IF(AX43="G2","G2",IF(AX43="G3","G3",IF(AX43="L","L","その他")))))</f>
        <v>その他</v>
      </c>
      <c r="BT43" s="8" t="str">
        <f aca="false">IF(A43="","",IF(BI43="","未結合",IF(D43=BI43,"一致","不一致")))</f>
        <v>一致</v>
      </c>
      <c r="BU43" s="8" t="str">
        <f aca="false">IF(A43="","",IF(BE43="牝馬限定","牝馬限定","その他"))</f>
        <v>その他</v>
      </c>
    </row>
    <row r="44" customFormat="false" ht="15.75" hidden="false" customHeight="false" outlineLevel="0" collapsed="false">
      <c r="A44" s="3" t="n">
        <v>46229</v>
      </c>
      <c r="B44" s="4" t="s">
        <v>13</v>
      </c>
      <c r="C44" s="8" t="n">
        <v>7</v>
      </c>
      <c r="D44" s="8" t="n">
        <v>14</v>
      </c>
      <c r="E44" s="8" t="n">
        <v>1</v>
      </c>
      <c r="F44" s="4" t="s">
        <v>545</v>
      </c>
      <c r="G44" s="8" t="n">
        <v>47</v>
      </c>
      <c r="H44" s="8" t="n">
        <v>7</v>
      </c>
      <c r="I44" s="4" t="s">
        <v>551</v>
      </c>
      <c r="J44" s="8" t="n">
        <v>47</v>
      </c>
      <c r="K44" s="8" t="n">
        <v>3</v>
      </c>
      <c r="L44" s="4" t="s">
        <v>547</v>
      </c>
      <c r="M44" s="8" t="n">
        <v>39</v>
      </c>
      <c r="N44" s="8" t="n">
        <f aca="false">IF(A44="","",G44-J44)</f>
        <v>0</v>
      </c>
      <c r="O44" s="8" t="n">
        <f aca="false">IF(A44="","",J44-M44)</f>
        <v>8</v>
      </c>
      <c r="P44" s="8" t="n">
        <f aca="false">IF(A44="","",G44+J44)</f>
        <v>94</v>
      </c>
      <c r="Q44" s="8" t="str">
        <f aca="false">IF(A44="","",IF(AND(Y44&lt;&gt;"参考",G44&gt;=ルール設定!$B$2),"○",""))</f>
        <v/>
      </c>
      <c r="R44" s="8" t="str">
        <f aca="false">IF(A44="","",IF(AND(Y44&lt;&gt;"参考",G44&gt;=ルール設定!$B$3,N44&gt;=ルール設定!$B$4),"○",""))</f>
        <v/>
      </c>
      <c r="S44" s="8" t="str">
        <f aca="false">IF(A44="","",IF(AND(Y44&lt;&gt;"参考",G44&gt;=ルール設定!$B$5,J44&gt;=ルール設定!$B$6,O44&gt;=ルール設定!$B$7),"○",""))</f>
        <v/>
      </c>
      <c r="T44" s="8" t="n">
        <v>3</v>
      </c>
      <c r="U44" s="8" t="n">
        <v>4</v>
      </c>
      <c r="V44" s="8" t="str">
        <f aca="false">IF(A44="","",IF(AND(ISNUMBER(T44),ISNUMBER(U44)),IF(AND(T44&lt;=3,U44&lt;=3),"○","×"),""))</f>
        <v>×</v>
      </c>
      <c r="W44" s="8" t="n">
        <v>300</v>
      </c>
      <c r="X44" s="8"/>
      <c r="Y44" s="4" t="s">
        <v>7597</v>
      </c>
      <c r="Z44" s="4" t="s">
        <v>7614</v>
      </c>
      <c r="AA44" s="8" t="str">
        <v/>
      </c>
      <c r="AB44" s="8" t="str">
        <v/>
      </c>
      <c r="AC44" s="8" t="str">
        <v/>
      </c>
      <c r="AD44" s="8" t="str">
        <v/>
      </c>
      <c r="AE44" s="8" t="str">
        <v/>
      </c>
      <c r="AF44" s="8" t="str">
        <v/>
      </c>
      <c r="AG44" s="8" t="str">
        <v/>
      </c>
      <c r="AH44" s="8" t="str">
        <v/>
      </c>
      <c r="AI44" s="8" t="n">
        <v>8</v>
      </c>
      <c r="AJ44" s="8" t="str">
        <v>～59</v>
      </c>
      <c r="AK44" s="8" t="str">
        <v>0～4</v>
      </c>
      <c r="AL44" s="8" t="str">
        <v>0～9</v>
      </c>
      <c r="AM44" s="8" t="str">
        <v>～99</v>
      </c>
      <c r="AN44" s="8" t="str">
        <v>12～14</v>
      </c>
      <c r="AO44" s="8" t="str">
        <f aca="false">IF(A44="","",IF(COUNTIFS(全馬データ!$A$2:$A$50000,A44,全馬データ!$B$2:$B$50000,B44,全馬データ!$C$2:$C$50000,C44,全馬データ!$D$2:$D$50000,E44,全馬データ!$K$2:$K$50000,"&lt;&gt;")=0,"",SUMIFS(全馬データ!$K$2:$K$50000,全馬データ!$A$2:$A$50000,A44,全馬データ!$B$2:$B$50000,B44,全馬データ!$C$2:$C$50000,C44,全馬データ!$D$2:$D$50000,E44)))</f>
        <v/>
      </c>
      <c r="AP44" s="8" t="str">
        <f aca="false">IF(A44="","",IF(AO44="","欠損",IF(AO44&lt;=1.1,"1.0～1.1",IF(AO44&lt;1.3,"1.2",IF(AO44&lt;1.5,"1.3～1.4",IF(AO44&lt;2,"1.5～1.9","2.0以上"))))))</f>
        <v>欠損</v>
      </c>
      <c r="AQ44" s="8" t="str">
        <f aca="false">IF(A44="","",IF(ISNUMBER(SEARCH("2歳",Z44)),"2歳戦",IF(ISNUMBER(SEARCH("3歳未勝利",Z44)),"3歳未勝利",IF(ISNUMBER(SEARCH("未勝利",Z44)),"その他未勝利",IF(ISNUMBER(SEARCH("G1",Z44)),"G1",IF(ISNUMBER(SEARCH("G2",Z44)),"G2",IF(ISNUMBER(SEARCH("G3",Z44)),"G3",IF(ISNUMBER(SEARCH("古馬条件",Z44)),"古馬条件戦",IF(ISNUMBER(SEARCH("重賞",Z44)),"重賞","分類不能")))))))))</f>
        <v>分類不能</v>
      </c>
      <c r="AR44" s="4" t="s">
        <v>7663</v>
      </c>
      <c r="AS44" s="8" t="s">
        <v>7626</v>
      </c>
      <c r="AT44" s="8" t="s">
        <v>7627</v>
      </c>
      <c r="AU44" s="8" t="s">
        <v>7643</v>
      </c>
      <c r="AV44" s="4" t="s">
        <v>7644</v>
      </c>
      <c r="AW44" s="8" t="s">
        <v>7608</v>
      </c>
      <c r="AX44" s="8" t="s">
        <v>7664</v>
      </c>
      <c r="AY44" s="8" t="s">
        <v>7602</v>
      </c>
      <c r="AZ44" s="4" t="s">
        <v>7603</v>
      </c>
      <c r="BA44" s="8" t="n">
        <v>1600</v>
      </c>
      <c r="BB44" s="8" t="s">
        <v>7665</v>
      </c>
      <c r="BC44" s="4" t="s">
        <v>7662</v>
      </c>
      <c r="BD44" s="8" t="s">
        <v>7666</v>
      </c>
      <c r="BE44" s="4" t="s">
        <v>7606</v>
      </c>
      <c r="BF44" s="8" t="s">
        <v>7607</v>
      </c>
      <c r="BG44" s="8" t="s">
        <v>7602</v>
      </c>
      <c r="BH44" s="4" t="s">
        <v>7667</v>
      </c>
      <c r="BI44" s="8" t="n">
        <v>14</v>
      </c>
      <c r="BJ44" s="8" t="s">
        <v>7610</v>
      </c>
      <c r="BK44" s="4" t="s">
        <v>7611</v>
      </c>
      <c r="BL44" s="8" t="s">
        <v>7610</v>
      </c>
      <c r="BM44" s="4" t="s">
        <v>7612</v>
      </c>
      <c r="BN44" s="8" t="s">
        <v>7602</v>
      </c>
      <c r="BO44" s="8" t="s">
        <v>7613</v>
      </c>
      <c r="BP44" s="8" t="s">
        <v>7602</v>
      </c>
      <c r="BQ44" s="8" t="str">
        <f aca="false">IF(A44="","",AT44)</f>
        <v>3歳以上</v>
      </c>
      <c r="BR44" s="8" t="str">
        <f aca="false">IF(A44="","",IF(BA44&lt;=1200,"～1200",IF(BA44&lt;=1500,"1300～1500",IF(BA44=1600,"1600",IF(BA44&lt;=1800,"1700～1800",IF(BA44&lt;=2000,"1900～2000","2100以上"))))))</f>
        <v>1600</v>
      </c>
      <c r="BS44" s="8" t="str">
        <f aca="false">IF(A44="","",IF(AX44="G1","G1",IF(AX44="G2","G2",IF(AX44="G3","G3",IF(AX44="L","L","その他")))))</f>
        <v>G3</v>
      </c>
      <c r="BT44" s="8" t="str">
        <f aca="false">IF(A44="","",IF(BI44="","未結合",IF(D44=BI44,"一致","不一致")))</f>
        <v>一致</v>
      </c>
      <c r="BU44" s="8" t="str">
        <f aca="false">IF(A44="","",IF(BE44="牝馬限定","牝馬限定","その他"))</f>
        <v>その他</v>
      </c>
    </row>
    <row r="45" customFormat="false" ht="15.75" hidden="false" customHeight="false" outlineLevel="0" collapsed="false">
      <c r="A45" s="3" t="n">
        <v>46229</v>
      </c>
      <c r="B45" s="4" t="s">
        <v>13</v>
      </c>
      <c r="C45" s="8" t="n">
        <v>8</v>
      </c>
      <c r="D45" s="8" t="n">
        <v>15</v>
      </c>
      <c r="E45" s="8" t="n">
        <v>1</v>
      </c>
      <c r="F45" s="4" t="s">
        <v>559</v>
      </c>
      <c r="G45" s="8" t="n">
        <v>52</v>
      </c>
      <c r="H45" s="8" t="n">
        <v>11</v>
      </c>
      <c r="I45" s="4" t="s">
        <v>569</v>
      </c>
      <c r="J45" s="8" t="n">
        <v>41</v>
      </c>
      <c r="K45" s="8" t="n">
        <v>3</v>
      </c>
      <c r="L45" s="4" t="s">
        <v>561</v>
      </c>
      <c r="M45" s="8" t="n">
        <v>39</v>
      </c>
      <c r="N45" s="8" t="n">
        <f aca="false">IF(A45="","",G45-J45)</f>
        <v>11</v>
      </c>
      <c r="O45" s="8" t="n">
        <f aca="false">IF(A45="","",J45-M45)</f>
        <v>2</v>
      </c>
      <c r="P45" s="8" t="n">
        <f aca="false">IF(A45="","",G45+J45)</f>
        <v>93</v>
      </c>
      <c r="Q45" s="8" t="str">
        <f aca="false">IF(A45="","",IF(AND(Y45&lt;&gt;"参考",G45&gt;=ルール設定!$B$2),"○",""))</f>
        <v/>
      </c>
      <c r="R45" s="8" t="str">
        <f aca="false">IF(A45="","",IF(AND(Y45&lt;&gt;"参考",G45&gt;=ルール設定!$B$3,N45&gt;=ルール設定!$B$4),"○",""))</f>
        <v/>
      </c>
      <c r="S45" s="8" t="str">
        <f aca="false">IF(A45="","",IF(AND(Y45&lt;&gt;"参考",G45&gt;=ルール設定!$B$5,J45&gt;=ルール設定!$B$6,O45&gt;=ルール設定!$B$7),"○",""))</f>
        <v/>
      </c>
      <c r="T45" s="8" t="n">
        <v>4</v>
      </c>
      <c r="U45" s="8" t="n">
        <v>4</v>
      </c>
      <c r="V45" s="8" t="str">
        <f aca="false">IF(A45="","",IF(AND(ISNUMBER(T45),ISNUMBER(U45)),IF(AND(T45&lt;=3,U45&lt;=3),"○","×"),""))</f>
        <v>×</v>
      </c>
      <c r="W45" s="8"/>
      <c r="X45" s="8"/>
      <c r="Y45" s="4" t="s">
        <v>7597</v>
      </c>
      <c r="Z45" s="4" t="s">
        <v>7614</v>
      </c>
      <c r="AA45" s="8" t="str">
        <v/>
      </c>
      <c r="AB45" s="8" t="str">
        <v/>
      </c>
      <c r="AC45" s="8" t="str">
        <v/>
      </c>
      <c r="AD45" s="8" t="str">
        <v/>
      </c>
      <c r="AE45" s="8" t="str">
        <v/>
      </c>
      <c r="AF45" s="8" t="str">
        <v/>
      </c>
      <c r="AG45" s="8" t="str">
        <v/>
      </c>
      <c r="AH45" s="8" t="str">
        <v/>
      </c>
      <c r="AI45" s="8" t="n">
        <v>13</v>
      </c>
      <c r="AJ45" s="8" t="str">
        <v>～59</v>
      </c>
      <c r="AK45" s="8" t="str">
        <v>10～19</v>
      </c>
      <c r="AL45" s="8" t="str">
        <v>10～19</v>
      </c>
      <c r="AM45" s="8" t="str">
        <v>～99</v>
      </c>
      <c r="AN45" s="8" t="str">
        <v>15以上</v>
      </c>
      <c r="AO45" s="8" t="str">
        <f aca="false">IF(A45="","",IF(COUNTIFS(全馬データ!$A$2:$A$50000,A45,全馬データ!$B$2:$B$50000,B45,全馬データ!$C$2:$C$50000,C45,全馬データ!$D$2:$D$50000,E45,全馬データ!$K$2:$K$50000,"&lt;&gt;")=0,"",SUMIFS(全馬データ!$K$2:$K$50000,全馬データ!$A$2:$A$50000,A45,全馬データ!$B$2:$B$50000,B45,全馬データ!$C$2:$C$50000,C45,全馬データ!$D$2:$D$50000,E45)))</f>
        <v/>
      </c>
      <c r="AP45" s="8" t="str">
        <f aca="false">IF(A45="","",IF(AO45="","欠損",IF(AO45&lt;=1.1,"1.0～1.1",IF(AO45&lt;1.3,"1.2",IF(AO45&lt;1.5,"1.3～1.4",IF(AO45&lt;2,"1.5～1.9","2.0以上"))))))</f>
        <v>欠損</v>
      </c>
      <c r="AQ45" s="8" t="str">
        <f aca="false">IF(A45="","",IF(ISNUMBER(SEARCH("2歳",Z45)),"2歳戦",IF(ISNUMBER(SEARCH("3歳未勝利",Z45)),"3歳未勝利",IF(ISNUMBER(SEARCH("未勝利",Z45)),"その他未勝利",IF(ISNUMBER(SEARCH("G1",Z45)),"G1",IF(ISNUMBER(SEARCH("G2",Z45)),"G2",IF(ISNUMBER(SEARCH("G3",Z45)),"G3",IF(ISNUMBER(SEARCH("古馬条件",Z45)),"古馬条件戦",IF(ISNUMBER(SEARCH("重賞",Z45)),"重賞","分類不能")))))))))</f>
        <v>分類不能</v>
      </c>
      <c r="AR45" s="4" t="s">
        <v>7668</v>
      </c>
      <c r="AS45" s="8" t="s">
        <v>7626</v>
      </c>
      <c r="AT45" s="8" t="s">
        <v>7627</v>
      </c>
      <c r="AU45" s="8" t="s">
        <v>7634</v>
      </c>
      <c r="AV45" s="8" t="s">
        <v>7635</v>
      </c>
      <c r="AW45" s="8" t="s">
        <v>7636</v>
      </c>
      <c r="AX45" s="4" t="s">
        <v>7637</v>
      </c>
      <c r="AY45" s="8" t="s">
        <v>7610</v>
      </c>
      <c r="AZ45" s="4" t="s">
        <v>7617</v>
      </c>
      <c r="BA45" s="8" t="n">
        <v>1800</v>
      </c>
      <c r="BB45" s="8" t="s">
        <v>7661</v>
      </c>
      <c r="BC45" s="4" t="s">
        <v>7662</v>
      </c>
      <c r="BD45" s="8" t="s">
        <v>7621</v>
      </c>
      <c r="BE45" s="4" t="s">
        <v>7622</v>
      </c>
      <c r="BF45" s="8" t="s">
        <v>7602</v>
      </c>
      <c r="BG45" s="8" t="s">
        <v>7631</v>
      </c>
      <c r="BH45" s="4" t="s">
        <v>7632</v>
      </c>
      <c r="BI45" s="8" t="n">
        <v>15</v>
      </c>
      <c r="BJ45" s="8" t="s">
        <v>7610</v>
      </c>
      <c r="BK45" s="4" t="s">
        <v>7611</v>
      </c>
      <c r="BL45" s="8" t="s">
        <v>7602</v>
      </c>
      <c r="BM45" s="4" t="s">
        <v>7620</v>
      </c>
      <c r="BN45" s="8"/>
      <c r="BO45" s="8"/>
      <c r="BP45" s="8" t="s">
        <v>7602</v>
      </c>
      <c r="BQ45" s="8" t="str">
        <f aca="false">IF(A45="","",AT45)</f>
        <v>3歳以上</v>
      </c>
      <c r="BR45" s="8" t="str">
        <f aca="false">IF(A45="","",IF(BA45&lt;=1200,"～1200",IF(BA45&lt;=1500,"1300～1500",IF(BA45=1600,"1600",IF(BA45&lt;=1800,"1700～1800",IF(BA45&lt;=2000,"1900～2000","2100以上"))))))</f>
        <v>1700～1800</v>
      </c>
      <c r="BS45" s="8" t="str">
        <f aca="false">IF(A45="","",IF(AX45="G1","G1",IF(AX45="G2","G2",IF(AX45="G3","G3",IF(AX45="L","L","その他")))))</f>
        <v>その他</v>
      </c>
      <c r="BT45" s="8" t="str">
        <f aca="false">IF(A45="","",IF(BI45="","未結合",IF(D45=BI45,"一致","不一致")))</f>
        <v>一致</v>
      </c>
      <c r="BU45" s="8" t="str">
        <f aca="false">IF(A45="","",IF(BE45="牝馬限定","牝馬限定","その他"))</f>
        <v>牝馬限定</v>
      </c>
    </row>
    <row r="46" customFormat="false" ht="15.75" hidden="false" customHeight="false" outlineLevel="0" collapsed="false">
      <c r="A46" s="3" t="n">
        <v>46229</v>
      </c>
      <c r="B46" s="4" t="s">
        <v>13</v>
      </c>
      <c r="C46" s="8" t="n">
        <v>9</v>
      </c>
      <c r="D46" s="8" t="n">
        <v>14</v>
      </c>
      <c r="E46" s="8" t="n">
        <v>5</v>
      </c>
      <c r="F46" s="4" t="s">
        <v>578</v>
      </c>
      <c r="G46" s="8" t="n">
        <v>55</v>
      </c>
      <c r="H46" s="8" t="n">
        <v>8</v>
      </c>
      <c r="I46" s="4" t="s">
        <v>581</v>
      </c>
      <c r="J46" s="8" t="n">
        <v>55</v>
      </c>
      <c r="K46" s="8" t="n">
        <v>12</v>
      </c>
      <c r="L46" s="4" t="s">
        <v>585</v>
      </c>
      <c r="M46" s="8" t="n">
        <v>44</v>
      </c>
      <c r="N46" s="8" t="n">
        <f aca="false">IF(A46="","",G46-J46)</f>
        <v>0</v>
      </c>
      <c r="O46" s="8" t="n">
        <f aca="false">IF(A46="","",J46-M46)</f>
        <v>11</v>
      </c>
      <c r="P46" s="8" t="n">
        <f aca="false">IF(A46="","",G46+J46)</f>
        <v>110</v>
      </c>
      <c r="Q46" s="8" t="str">
        <f aca="false">IF(A46="","",IF(AND(Y46&lt;&gt;"参考",G46&gt;=ルール設定!$B$2),"○",""))</f>
        <v/>
      </c>
      <c r="R46" s="8" t="str">
        <f aca="false">IF(A46="","",IF(AND(Y46&lt;&gt;"参考",G46&gt;=ルール設定!$B$3,N46&gt;=ルール設定!$B$4),"○",""))</f>
        <v/>
      </c>
      <c r="S46" s="8" t="str">
        <f aca="false">IF(A46="","",IF(AND(Y46&lt;&gt;"参考",G46&gt;=ルール設定!$B$5,J46&gt;=ルール設定!$B$6,O46&gt;=ルール設定!$B$7),"○",""))</f>
        <v/>
      </c>
      <c r="T46" s="8" t="n">
        <v>1</v>
      </c>
      <c r="U46" s="8" t="n">
        <v>4</v>
      </c>
      <c r="V46" s="8" t="str">
        <f aca="false">IF(A46="","",IF(AND(ISNUMBER(T46),ISNUMBER(U46)),IF(AND(T46&lt;=3,U46&lt;=3),"○","×"),""))</f>
        <v>×</v>
      </c>
      <c r="W46" s="8" t="n">
        <v>160</v>
      </c>
      <c r="X46" s="8"/>
      <c r="Y46" s="4" t="s">
        <v>7597</v>
      </c>
      <c r="Z46" s="4" t="s">
        <v>7614</v>
      </c>
      <c r="AA46" s="8" t="str">
        <v/>
      </c>
      <c r="AB46" s="8" t="str">
        <v/>
      </c>
      <c r="AC46" s="8" t="str">
        <v/>
      </c>
      <c r="AD46" s="8" t="str">
        <v/>
      </c>
      <c r="AE46" s="8" t="str">
        <v/>
      </c>
      <c r="AF46" s="8" t="str">
        <v/>
      </c>
      <c r="AG46" s="8" t="str">
        <v/>
      </c>
      <c r="AH46" s="8" t="str">
        <v/>
      </c>
      <c r="AI46" s="8" t="n">
        <v>11</v>
      </c>
      <c r="AJ46" s="8" t="str">
        <v>～59</v>
      </c>
      <c r="AK46" s="8" t="str">
        <v>0～4</v>
      </c>
      <c r="AL46" s="8" t="str">
        <v>10～19</v>
      </c>
      <c r="AM46" s="8" t="str">
        <v>100～119</v>
      </c>
      <c r="AN46" s="8" t="str">
        <v>12～14</v>
      </c>
      <c r="AO46" s="8" t="str">
        <f aca="false">IF(A46="","",IF(COUNTIFS(全馬データ!$A$2:$A$50000,A46,全馬データ!$B$2:$B$50000,B46,全馬データ!$C$2:$C$50000,C46,全馬データ!$D$2:$D$50000,E46,全馬データ!$K$2:$K$50000,"&lt;&gt;")=0,"",SUMIFS(全馬データ!$K$2:$K$50000,全馬データ!$A$2:$A$50000,A46,全馬データ!$B$2:$B$50000,B46,全馬データ!$C$2:$C$50000,C46,全馬データ!$D$2:$D$50000,E46)))</f>
        <v/>
      </c>
      <c r="AP46" s="8" t="str">
        <f aca="false">IF(A46="","",IF(AO46="","欠損",IF(AO46&lt;=1.1,"1.0～1.1",IF(AO46&lt;1.3,"1.2",IF(AO46&lt;1.5,"1.3～1.4",IF(AO46&lt;2,"1.5～1.9","2.0以上"))))))</f>
        <v>欠損</v>
      </c>
      <c r="AQ46" s="8" t="str">
        <f aca="false">IF(A46="","",IF(ISNUMBER(SEARCH("2歳",Z46)),"2歳戦",IF(ISNUMBER(SEARCH("3歳未勝利",Z46)),"3歳未勝利",IF(ISNUMBER(SEARCH("未勝利",Z46)),"その他未勝利",IF(ISNUMBER(SEARCH("G1",Z46)),"G1",IF(ISNUMBER(SEARCH("G2",Z46)),"G2",IF(ISNUMBER(SEARCH("G3",Z46)),"G3",IF(ISNUMBER(SEARCH("古馬条件",Z46)),"古馬条件戦",IF(ISNUMBER(SEARCH("重賞",Z46)),"重賞","分類不能")))))))))</f>
        <v>分類不能</v>
      </c>
      <c r="AR46" s="8"/>
      <c r="AS46" s="8" t="s">
        <v>7618</v>
      </c>
      <c r="AT46" s="4" t="s">
        <v>7642</v>
      </c>
      <c r="AU46" s="8" t="s">
        <v>7600</v>
      </c>
      <c r="AV46" s="4" t="s">
        <v>7601</v>
      </c>
      <c r="AW46" s="8"/>
      <c r="AX46" s="8"/>
      <c r="AY46" s="8" t="s">
        <v>7608</v>
      </c>
      <c r="AZ46" s="4" t="s">
        <v>7642</v>
      </c>
      <c r="BA46" s="8" t="n">
        <v>2850</v>
      </c>
      <c r="BB46" s="8" t="s">
        <v>7669</v>
      </c>
      <c r="BC46" s="4" t="s">
        <v>7662</v>
      </c>
      <c r="BD46" s="8" t="s">
        <v>7645</v>
      </c>
      <c r="BE46" s="4" t="s">
        <v>7606</v>
      </c>
      <c r="BF46" s="8" t="s">
        <v>7607</v>
      </c>
      <c r="BG46" s="8" t="s">
        <v>7631</v>
      </c>
      <c r="BH46" s="4" t="s">
        <v>7632</v>
      </c>
      <c r="BI46" s="8" t="n">
        <v>14</v>
      </c>
      <c r="BJ46" s="8" t="s">
        <v>7647</v>
      </c>
      <c r="BK46" s="4" t="s">
        <v>7648</v>
      </c>
      <c r="BL46" s="8" t="s">
        <v>7647</v>
      </c>
      <c r="BM46" s="4" t="s">
        <v>7648</v>
      </c>
      <c r="BN46" s="8"/>
      <c r="BO46" s="8"/>
      <c r="BP46" s="8" t="s">
        <v>7602</v>
      </c>
      <c r="BQ46" s="8" t="str">
        <f aca="false">IF(A46="","",AT46)</f>
        <v>障害</v>
      </c>
      <c r="BR46" s="8" t="str">
        <f aca="false">IF(A46="","",IF(BA46&lt;=1200,"～1200",IF(BA46&lt;=1500,"1300～1500",IF(BA46=1600,"1600",IF(BA46&lt;=1800,"1700～1800",IF(BA46&lt;=2000,"1900～2000","2100以上"))))))</f>
        <v>2100以上</v>
      </c>
      <c r="BS46" s="8" t="str">
        <f aca="false">IF(A46="","",IF(AX46="G1","G1",IF(AX46="G2","G2",IF(AX46="G3","G3",IF(AX46="L","L","その他")))))</f>
        <v>その他</v>
      </c>
      <c r="BT46" s="8" t="str">
        <f aca="false">IF(A46="","",IF(BI46="","未結合",IF(D46=BI46,"一致","不一致")))</f>
        <v>一致</v>
      </c>
      <c r="BU46" s="8" t="str">
        <f aca="false">IF(A46="","",IF(BE46="牝馬限定","牝馬限定","その他"))</f>
        <v>その他</v>
      </c>
    </row>
    <row r="47" customFormat="false" ht="15.75" hidden="false" customHeight="false" outlineLevel="0" collapsed="false">
      <c r="A47" s="3" t="n">
        <v>46229</v>
      </c>
      <c r="B47" s="4" t="s">
        <v>13</v>
      </c>
      <c r="C47" s="8" t="n">
        <v>10</v>
      </c>
      <c r="D47" s="8" t="n">
        <v>14</v>
      </c>
      <c r="E47" s="8" t="n">
        <v>5</v>
      </c>
      <c r="F47" s="4" t="s">
        <v>592</v>
      </c>
      <c r="G47" s="8" t="n">
        <v>58</v>
      </c>
      <c r="H47" s="8" t="n">
        <v>4</v>
      </c>
      <c r="I47" s="4" t="s">
        <v>591</v>
      </c>
      <c r="J47" s="8" t="n">
        <v>52</v>
      </c>
      <c r="K47" s="8" t="n">
        <v>9</v>
      </c>
      <c r="L47" s="4" t="s">
        <v>596</v>
      </c>
      <c r="M47" s="8" t="n">
        <v>47</v>
      </c>
      <c r="N47" s="8" t="n">
        <f aca="false">IF(A47="","",G47-J47)</f>
        <v>6</v>
      </c>
      <c r="O47" s="8" t="n">
        <f aca="false">IF(A47="","",J47-M47)</f>
        <v>5</v>
      </c>
      <c r="P47" s="8" t="n">
        <f aca="false">IF(A47="","",G47+J47)</f>
        <v>110</v>
      </c>
      <c r="Q47" s="8" t="str">
        <f aca="false">IF(A47="","",IF(AND(Y47&lt;&gt;"参考",G47&gt;=ルール設定!$B$2),"○",""))</f>
        <v/>
      </c>
      <c r="R47" s="8" t="str">
        <f aca="false">IF(A47="","",IF(AND(Y47&lt;&gt;"参考",G47&gt;=ルール設定!$B$3,N47&gt;=ルール設定!$B$4),"○",""))</f>
        <v/>
      </c>
      <c r="S47" s="8" t="str">
        <f aca="false">IF(A47="","",IF(AND(Y47&lt;&gt;"参考",G47&gt;=ルール設定!$B$5,J47&gt;=ルール設定!$B$6,O47&gt;=ルール設定!$B$7),"○",""))</f>
        <v/>
      </c>
      <c r="T47" s="8" t="n">
        <v>4</v>
      </c>
      <c r="U47" s="8" t="n">
        <v>4</v>
      </c>
      <c r="V47" s="8" t="str">
        <f aca="false">IF(A47="","",IF(AND(ISNUMBER(T47),ISNUMBER(U47)),IF(AND(T47&lt;=3,U47&lt;=3),"○","×"),""))</f>
        <v>×</v>
      </c>
      <c r="W47" s="8"/>
      <c r="X47" s="8"/>
      <c r="Y47" s="4" t="s">
        <v>7597</v>
      </c>
      <c r="Z47" s="8"/>
      <c r="AA47" s="8" t="str">
        <v/>
      </c>
      <c r="AB47" s="8" t="str">
        <v/>
      </c>
      <c r="AC47" s="8" t="str">
        <v/>
      </c>
      <c r="AD47" s="8" t="str">
        <v/>
      </c>
      <c r="AE47" s="8" t="str">
        <v/>
      </c>
      <c r="AF47" s="8" t="str">
        <v/>
      </c>
      <c r="AG47" s="8" t="str">
        <v/>
      </c>
      <c r="AH47" s="8" t="str">
        <v/>
      </c>
      <c r="AI47" s="8" t="n">
        <v>11</v>
      </c>
      <c r="AJ47" s="8" t="str">
        <v>～59</v>
      </c>
      <c r="AK47" s="8" t="str">
        <v>5～9</v>
      </c>
      <c r="AL47" s="8" t="str">
        <v>10～19</v>
      </c>
      <c r="AM47" s="8" t="str">
        <v>100～119</v>
      </c>
      <c r="AN47" s="8" t="str">
        <v>12～14</v>
      </c>
      <c r="AO47" s="8" t="str">
        <f aca="false">IF(A47="","",IF(COUNTIFS(全馬データ!$A$2:$A$50000,A47,全馬データ!$B$2:$B$50000,B47,全馬データ!$C$2:$C$50000,C47,全馬データ!$D$2:$D$50000,E47,全馬データ!$K$2:$K$50000,"&lt;&gt;")=0,"",SUMIFS(全馬データ!$K$2:$K$50000,全馬データ!$A$2:$A$50000,A47,全馬データ!$B$2:$B$50000,B47,全馬データ!$C$2:$C$50000,C47,全馬データ!$D$2:$D$50000,E47)))</f>
        <v/>
      </c>
      <c r="AP47" s="8" t="str">
        <f aca="false">IF(A47="","",IF(AO47="","欠損",IF(AO47&lt;=1.1,"1.0～1.1",IF(AO47&lt;1.3,"1.2",IF(AO47&lt;1.5,"1.3～1.4",IF(AO47&lt;2,"1.5～1.9","2.0以上"))))))</f>
        <v>欠損</v>
      </c>
      <c r="AQ47" s="8" t="str">
        <f aca="false">IF(A47="","",IF(ISNUMBER(SEARCH("2歳",Z47)),"2歳戦",IF(ISNUMBER(SEARCH("3歳未勝利",Z47)),"3歳未勝利",IF(ISNUMBER(SEARCH("未勝利",Z47)),"その他未勝利",IF(ISNUMBER(SEARCH("G1",Z47)),"G1",IF(ISNUMBER(SEARCH("G2",Z47)),"G2",IF(ISNUMBER(SEARCH("G3",Z47)),"G3",IF(ISNUMBER(SEARCH("古馬条件",Z47)),"古馬条件戦",IF(ISNUMBER(SEARCH("重賞",Z47)),"重賞","分類不能")))))))))</f>
        <v>分類不能</v>
      </c>
      <c r="AR47" s="8"/>
      <c r="AS47" s="8" t="s">
        <v>7623</v>
      </c>
      <c r="AT47" s="8" t="s">
        <v>7624</v>
      </c>
      <c r="AU47" s="8" t="s">
        <v>7600</v>
      </c>
      <c r="AV47" s="4" t="s">
        <v>7601</v>
      </c>
      <c r="AW47" s="8"/>
      <c r="AX47" s="8"/>
      <c r="AY47" s="8" t="s">
        <v>7610</v>
      </c>
      <c r="AZ47" s="4" t="s">
        <v>7617</v>
      </c>
      <c r="BA47" s="8" t="n">
        <v>1800</v>
      </c>
      <c r="BB47" s="8" t="s">
        <v>7669</v>
      </c>
      <c r="BC47" s="4" t="s">
        <v>7662</v>
      </c>
      <c r="BD47" s="8" t="s">
        <v>7625</v>
      </c>
      <c r="BE47" s="4" t="s">
        <v>7606</v>
      </c>
      <c r="BF47" s="8" t="s">
        <v>7607</v>
      </c>
      <c r="BG47" s="8" t="s">
        <v>7608</v>
      </c>
      <c r="BH47" s="4" t="s">
        <v>7609</v>
      </c>
      <c r="BI47" s="8" t="n">
        <v>14</v>
      </c>
      <c r="BJ47" s="8" t="s">
        <v>7610</v>
      </c>
      <c r="BK47" s="4" t="s">
        <v>7611</v>
      </c>
      <c r="BL47" s="8" t="s">
        <v>7602</v>
      </c>
      <c r="BM47" s="4" t="s">
        <v>7620</v>
      </c>
      <c r="BN47" s="8"/>
      <c r="BO47" s="8"/>
      <c r="BP47" s="8" t="s">
        <v>7602</v>
      </c>
      <c r="BQ47" s="8" t="str">
        <f aca="false">IF(A47="","",AT47)</f>
        <v>3歳</v>
      </c>
      <c r="BR47" s="8" t="str">
        <f aca="false">IF(A47="","",IF(BA47&lt;=1200,"～1200",IF(BA47&lt;=1500,"1300～1500",IF(BA47=1600,"1600",IF(BA47&lt;=1800,"1700～1800",IF(BA47&lt;=2000,"1900～2000","2100以上"))))))</f>
        <v>1700～1800</v>
      </c>
      <c r="BS47" s="8" t="str">
        <f aca="false">IF(A47="","",IF(AX47="G1","G1",IF(AX47="G2","G2",IF(AX47="G3","G3",IF(AX47="L","L","その他")))))</f>
        <v>その他</v>
      </c>
      <c r="BT47" s="8" t="str">
        <f aca="false">IF(A47="","",IF(BI47="","未結合",IF(D47=BI47,"一致","不一致")))</f>
        <v>一致</v>
      </c>
      <c r="BU47" s="8" t="str">
        <f aca="false">IF(A47="","",IF(BE47="牝馬限定","牝馬限定","その他"))</f>
        <v>その他</v>
      </c>
    </row>
    <row r="48" customFormat="false" ht="15.75" hidden="false" customHeight="false" outlineLevel="0" collapsed="false">
      <c r="A48" s="3" t="n">
        <v>46229</v>
      </c>
      <c r="B48" s="4" t="s">
        <v>13</v>
      </c>
      <c r="C48" s="8" t="n">
        <v>11</v>
      </c>
      <c r="D48" s="8" t="n">
        <v>15</v>
      </c>
      <c r="E48" s="8" t="n">
        <v>5</v>
      </c>
      <c r="F48" s="4" t="s">
        <v>606</v>
      </c>
      <c r="G48" s="8" t="n">
        <v>66</v>
      </c>
      <c r="H48" s="8" t="n">
        <v>10</v>
      </c>
      <c r="I48" s="4" t="s">
        <v>611</v>
      </c>
      <c r="J48" s="8" t="n">
        <v>25</v>
      </c>
      <c r="K48" s="8" t="n">
        <v>8</v>
      </c>
      <c r="L48" s="4" t="s">
        <v>609</v>
      </c>
      <c r="M48" s="8" t="n">
        <v>23</v>
      </c>
      <c r="N48" s="8" t="n">
        <f aca="false">IF(A48="","",G48-J48)</f>
        <v>41</v>
      </c>
      <c r="O48" s="8" t="n">
        <f aca="false">IF(A48="","",J48-M48)</f>
        <v>2</v>
      </c>
      <c r="P48" s="8" t="n">
        <f aca="false">IF(A48="","",G48+J48)</f>
        <v>91</v>
      </c>
      <c r="Q48" s="8" t="str">
        <f aca="false">IF(A48="","",IF(AND(Y48&lt;&gt;"参考",G48&gt;=ルール設定!$B$2),"○",""))</f>
        <v/>
      </c>
      <c r="R48" s="8" t="str">
        <f aca="false">IF(A48="","",IF(AND(Y48&lt;&gt;"参考",G48&gt;=ルール設定!$B$3,N48&gt;=ルール設定!$B$4),"○",""))</f>
        <v/>
      </c>
      <c r="S48" s="8" t="str">
        <f aca="false">IF(A48="","",IF(AND(Y48&lt;&gt;"参考",G48&gt;=ルール設定!$B$5,J48&gt;=ルール設定!$B$6,O48&gt;=ルール設定!$B$7),"○",""))</f>
        <v/>
      </c>
      <c r="T48" s="8" t="n">
        <v>3</v>
      </c>
      <c r="U48" s="8" t="n">
        <v>2</v>
      </c>
      <c r="V48" s="8" t="str">
        <f aca="false">IF(A48="","",IF(AND(ISNUMBER(T48),ISNUMBER(U48)),IF(AND(T48&lt;=3,U48&lt;=3),"○","×"),""))</f>
        <v>○</v>
      </c>
      <c r="W48" s="8" t="n">
        <v>310</v>
      </c>
      <c r="X48" s="8" t="n">
        <v>1120</v>
      </c>
      <c r="Y48" s="4" t="s">
        <v>7597</v>
      </c>
      <c r="Z48" s="8"/>
      <c r="AA48" s="8" t="str">
        <v/>
      </c>
      <c r="AB48" s="8" t="str">
        <v/>
      </c>
      <c r="AC48" s="8" t="str">
        <v/>
      </c>
      <c r="AD48" s="8" t="str">
        <v/>
      </c>
      <c r="AE48" s="8" t="str">
        <v/>
      </c>
      <c r="AF48" s="8" t="str">
        <v/>
      </c>
      <c r="AG48" s="8" t="str">
        <v/>
      </c>
      <c r="AH48" s="8" t="str">
        <v/>
      </c>
      <c r="AI48" s="8" t="n">
        <v>43</v>
      </c>
      <c r="AJ48" s="8" t="str">
        <v>60～69</v>
      </c>
      <c r="AK48" s="8" t="str">
        <v>30以上</v>
      </c>
      <c r="AL48" s="8" t="str">
        <v>40以上</v>
      </c>
      <c r="AM48" s="8" t="str">
        <v>～99</v>
      </c>
      <c r="AN48" s="8" t="str">
        <v>15以上</v>
      </c>
      <c r="AO48" s="8" t="str">
        <f aca="false">IF(A48="","",IF(COUNTIFS(全馬データ!$A$2:$A$50000,A48,全馬データ!$B$2:$B$50000,B48,全馬データ!$C$2:$C$50000,C48,全馬データ!$D$2:$D$50000,E48,全馬データ!$K$2:$K$50000,"&lt;&gt;")=0,"",SUMIFS(全馬データ!$K$2:$K$50000,全馬データ!$A$2:$A$50000,A48,全馬データ!$B$2:$B$50000,B48,全馬データ!$C$2:$C$50000,C48,全馬データ!$D$2:$D$50000,E48)))</f>
        <v/>
      </c>
      <c r="AP48" s="8" t="str">
        <f aca="false">IF(A48="","",IF(AO48="","欠損",IF(AO48&lt;=1.1,"1.0～1.1",IF(AO48&lt;1.3,"1.2",IF(AO48&lt;1.5,"1.3～1.4",IF(AO48&lt;2,"1.5～1.9","2.0以上"))))))</f>
        <v>欠損</v>
      </c>
      <c r="AQ48" s="8" t="str">
        <f aca="false">IF(A48="","",IF(ISNUMBER(SEARCH("2歳",Z48)),"2歳戦",IF(ISNUMBER(SEARCH("3歳未勝利",Z48)),"3歳未勝利",IF(ISNUMBER(SEARCH("未勝利",Z48)),"その他未勝利",IF(ISNUMBER(SEARCH("G1",Z48)),"G1",IF(ISNUMBER(SEARCH("G2",Z48)),"G2",IF(ISNUMBER(SEARCH("G3",Z48)),"G3",IF(ISNUMBER(SEARCH("古馬条件",Z48)),"古馬条件戦",IF(ISNUMBER(SEARCH("重賞",Z48)),"重賞","分類不能")))))))))</f>
        <v>分類不能</v>
      </c>
      <c r="AR48" s="8"/>
      <c r="AS48" s="8" t="s">
        <v>7626</v>
      </c>
      <c r="AT48" s="8" t="s">
        <v>7627</v>
      </c>
      <c r="AU48" s="8" t="s">
        <v>7628</v>
      </c>
      <c r="AV48" s="8" t="s">
        <v>7629</v>
      </c>
      <c r="AW48" s="8"/>
      <c r="AX48" s="8"/>
      <c r="AY48" s="8" t="s">
        <v>7602</v>
      </c>
      <c r="AZ48" s="4" t="s">
        <v>7603</v>
      </c>
      <c r="BA48" s="8" t="n">
        <v>1000</v>
      </c>
      <c r="BB48" s="8" t="s">
        <v>7669</v>
      </c>
      <c r="BC48" s="4" t="s">
        <v>7662</v>
      </c>
      <c r="BD48" s="8" t="s">
        <v>7625</v>
      </c>
      <c r="BE48" s="4" t="s">
        <v>7606</v>
      </c>
      <c r="BF48" s="8" t="s">
        <v>7607</v>
      </c>
      <c r="BG48" s="8" t="s">
        <v>7631</v>
      </c>
      <c r="BH48" s="4" t="s">
        <v>7632</v>
      </c>
      <c r="BI48" s="8" t="n">
        <v>15</v>
      </c>
      <c r="BJ48" s="8" t="s">
        <v>7608</v>
      </c>
      <c r="BK48" s="4" t="s">
        <v>7649</v>
      </c>
      <c r="BL48" s="8" t="s">
        <v>7647</v>
      </c>
      <c r="BM48" s="4" t="s">
        <v>7648</v>
      </c>
      <c r="BN48" s="8" t="s">
        <v>7602</v>
      </c>
      <c r="BO48" s="8" t="s">
        <v>7613</v>
      </c>
      <c r="BP48" s="8" t="s">
        <v>7602</v>
      </c>
      <c r="BQ48" s="8" t="str">
        <f aca="false">IF(A48="","",AT48)</f>
        <v>3歳以上</v>
      </c>
      <c r="BR48" s="8" t="str">
        <f aca="false">IF(A48="","",IF(BA48&lt;=1200,"～1200",IF(BA48&lt;=1500,"1300～1500",IF(BA48=1600,"1600",IF(BA48&lt;=1800,"1700～1800",IF(BA48&lt;=2000,"1900～2000","2100以上"))))))</f>
        <v>～1200</v>
      </c>
      <c r="BS48" s="8" t="str">
        <f aca="false">IF(A48="","",IF(AX48="G1","G1",IF(AX48="G2","G2",IF(AX48="G3","G3",IF(AX48="L","L","その他")))))</f>
        <v>その他</v>
      </c>
      <c r="BT48" s="8" t="str">
        <f aca="false">IF(A48="","",IF(BI48="","未結合",IF(D48=BI48,"一致","不一致")))</f>
        <v>一致</v>
      </c>
      <c r="BU48" s="8" t="str">
        <f aca="false">IF(A48="","",IF(BE48="牝馬限定","牝馬限定","その他"))</f>
        <v>その他</v>
      </c>
    </row>
    <row r="49" customFormat="false" ht="15.75" hidden="false" customHeight="false" outlineLevel="0" collapsed="false">
      <c r="A49" s="3" t="n">
        <v>46229</v>
      </c>
      <c r="B49" s="4" t="s">
        <v>13</v>
      </c>
      <c r="C49" s="8" t="n">
        <v>12</v>
      </c>
      <c r="D49" s="8" t="n">
        <v>15</v>
      </c>
      <c r="E49" s="8" t="n">
        <v>13</v>
      </c>
      <c r="F49" s="4" t="s">
        <v>629</v>
      </c>
      <c r="G49" s="8" t="n">
        <v>75</v>
      </c>
      <c r="H49" s="8" t="n">
        <v>7</v>
      </c>
      <c r="I49" s="4" t="s">
        <v>623</v>
      </c>
      <c r="J49" s="8" t="n">
        <v>44</v>
      </c>
      <c r="K49" s="8" t="n">
        <v>2</v>
      </c>
      <c r="L49" s="4" t="s">
        <v>618</v>
      </c>
      <c r="M49" s="8" t="n">
        <v>41</v>
      </c>
      <c r="N49" s="8" t="n">
        <f aca="false">IF(A49="","",G49-J49)</f>
        <v>31</v>
      </c>
      <c r="O49" s="8" t="n">
        <f aca="false">IF(A49="","",J49-M49)</f>
        <v>3</v>
      </c>
      <c r="P49" s="8" t="n">
        <f aca="false">IF(A49="","",G49+J49)</f>
        <v>119</v>
      </c>
      <c r="Q49" s="8" t="str">
        <f aca="false">IF(A49="","",IF(AND(Y49&lt;&gt;"参考",G49&gt;=ルール設定!$B$2),"○",""))</f>
        <v/>
      </c>
      <c r="R49" s="8" t="str">
        <f aca="false">IF(A49="","",IF(AND(Y49&lt;&gt;"参考",G49&gt;=ルール設定!$B$3,N49&gt;=ルール設定!$B$4),"○",""))</f>
        <v>○</v>
      </c>
      <c r="S49" s="8" t="str">
        <f aca="false">IF(A49="","",IF(AND(Y49&lt;&gt;"参考",G49&gt;=ルール設定!$B$5,J49&gt;=ルール設定!$B$6,O49&gt;=ルール設定!$B$7),"○",""))</f>
        <v/>
      </c>
      <c r="T49" s="8" t="n">
        <v>4</v>
      </c>
      <c r="U49" s="8" t="n">
        <v>4</v>
      </c>
      <c r="V49" s="8" t="str">
        <f aca="false">IF(A49="","",IF(AND(ISNUMBER(T49),ISNUMBER(U49)),IF(AND(T49&lt;=3,U49&lt;=3),"○","×"),""))</f>
        <v>×</v>
      </c>
      <c r="W49" s="8"/>
      <c r="X49" s="8"/>
      <c r="Y49" s="4" t="s">
        <v>7597</v>
      </c>
      <c r="Z49" s="8"/>
      <c r="AA49" s="8" t="str">
        <v/>
      </c>
      <c r="AB49" s="8" t="str">
        <v/>
      </c>
      <c r="AC49" s="8" t="str">
        <v/>
      </c>
      <c r="AD49" s="8" t="str">
        <v/>
      </c>
      <c r="AE49" s="8" t="str">
        <v>○</v>
      </c>
      <c r="AF49" s="8" t="str">
        <v/>
      </c>
      <c r="AG49" s="8" t="str">
        <v/>
      </c>
      <c r="AH49" s="8" t="str">
        <v/>
      </c>
      <c r="AI49" s="8" t="n">
        <v>34</v>
      </c>
      <c r="AJ49" s="8" t="str">
        <v>75～79</v>
      </c>
      <c r="AK49" s="8" t="str">
        <v>30以上</v>
      </c>
      <c r="AL49" s="8" t="str">
        <v>30～39</v>
      </c>
      <c r="AM49" s="8" t="str">
        <v>100～119</v>
      </c>
      <c r="AN49" s="8" t="str">
        <v>15以上</v>
      </c>
      <c r="AO49" s="8" t="str">
        <f aca="false">IF(A49="","",IF(COUNTIFS(全馬データ!$A$2:$A$50000,A49,全馬データ!$B$2:$B$50000,B49,全馬データ!$C$2:$C$50000,C49,全馬データ!$D$2:$D$50000,E49,全馬データ!$K$2:$K$50000,"&lt;&gt;")=0,"",SUMIFS(全馬データ!$K$2:$K$50000,全馬データ!$A$2:$A$50000,A49,全馬データ!$B$2:$B$50000,B49,全馬データ!$C$2:$C$50000,C49,全馬データ!$D$2:$D$50000,E49)))</f>
        <v/>
      </c>
      <c r="AP49" s="8" t="str">
        <f aca="false">IF(A49="","",IF(AO49="","欠損",IF(AO49&lt;=1.1,"1.0～1.1",IF(AO49&lt;1.3,"1.2",IF(AO49&lt;1.5,"1.3～1.4",IF(AO49&lt;2,"1.5～1.9","2.0以上"))))))</f>
        <v>欠損</v>
      </c>
      <c r="AQ49" s="8" t="str">
        <f aca="false">IF(A49="","",IF(ISNUMBER(SEARCH("2歳",Z49)),"2歳戦",IF(ISNUMBER(SEARCH("3歳未勝利",Z49)),"3歳未勝利",IF(ISNUMBER(SEARCH("未勝利",Z49)),"その他未勝利",IF(ISNUMBER(SEARCH("G1",Z49)),"G1",IF(ISNUMBER(SEARCH("G2",Z49)),"G2",IF(ISNUMBER(SEARCH("G3",Z49)),"G3",IF(ISNUMBER(SEARCH("古馬条件",Z49)),"古馬条件戦",IF(ISNUMBER(SEARCH("重賞",Z49)),"重賞","分類不能")))))))))</f>
        <v>分類不能</v>
      </c>
      <c r="AR49" s="8"/>
      <c r="AS49" s="8" t="s">
        <v>7623</v>
      </c>
      <c r="AT49" s="8" t="s">
        <v>7624</v>
      </c>
      <c r="AU49" s="8" t="s">
        <v>7600</v>
      </c>
      <c r="AV49" s="4" t="s">
        <v>7601</v>
      </c>
      <c r="AW49" s="8"/>
      <c r="AX49" s="8"/>
      <c r="AY49" s="8" t="s">
        <v>7602</v>
      </c>
      <c r="AZ49" s="4" t="s">
        <v>7603</v>
      </c>
      <c r="BA49" s="8" t="n">
        <v>2000</v>
      </c>
      <c r="BB49" s="8" t="s">
        <v>7665</v>
      </c>
      <c r="BC49" s="4" t="s">
        <v>7662</v>
      </c>
      <c r="BD49" s="8" t="s">
        <v>7605</v>
      </c>
      <c r="BE49" s="4" t="s">
        <v>7606</v>
      </c>
      <c r="BF49" s="8" t="s">
        <v>7607</v>
      </c>
      <c r="BG49" s="8" t="s">
        <v>7608</v>
      </c>
      <c r="BH49" s="4" t="s">
        <v>7609</v>
      </c>
      <c r="BI49" s="8" t="n">
        <v>15</v>
      </c>
      <c r="BJ49" s="8" t="s">
        <v>7610</v>
      </c>
      <c r="BK49" s="4" t="s">
        <v>7611</v>
      </c>
      <c r="BL49" s="8" t="s">
        <v>7602</v>
      </c>
      <c r="BM49" s="4" t="s">
        <v>7620</v>
      </c>
      <c r="BN49" s="8" t="s">
        <v>7602</v>
      </c>
      <c r="BO49" s="8" t="s">
        <v>7613</v>
      </c>
      <c r="BP49" s="8" t="s">
        <v>7602</v>
      </c>
      <c r="BQ49" s="8" t="str">
        <f aca="false">IF(A49="","",AT49)</f>
        <v>3歳</v>
      </c>
      <c r="BR49" s="8" t="str">
        <f aca="false">IF(A49="","",IF(BA49&lt;=1200,"～1200",IF(BA49&lt;=1500,"1300～1500",IF(BA49=1600,"1600",IF(BA49&lt;=1800,"1700～1800",IF(BA49&lt;=2000,"1900～2000","2100以上"))))))</f>
        <v>1900～2000</v>
      </c>
      <c r="BS49" s="8" t="str">
        <f aca="false">IF(A49="","",IF(AX49="G1","G1",IF(AX49="G2","G2",IF(AX49="G3","G3",IF(AX49="L","L","その他")))))</f>
        <v>その他</v>
      </c>
      <c r="BT49" s="8" t="str">
        <f aca="false">IF(A49="","",IF(BI49="","未結合",IF(D49=BI49,"一致","不一致")))</f>
        <v>一致</v>
      </c>
      <c r="BU49" s="8" t="str">
        <f aca="false">IF(A49="","",IF(BE49="牝馬限定","牝馬限定","その他"))</f>
        <v>その他</v>
      </c>
    </row>
    <row r="50" customFormat="false" ht="15.75" hidden="false" customHeight="false" outlineLevel="0" collapsed="false">
      <c r="A50" s="3" t="n">
        <v>46229</v>
      </c>
      <c r="B50" s="4" t="s">
        <v>179</v>
      </c>
      <c r="C50" s="8" t="n">
        <v>1</v>
      </c>
      <c r="D50" s="8" t="n">
        <v>9</v>
      </c>
      <c r="E50" s="8" t="n">
        <v>1</v>
      </c>
      <c r="F50" s="4" t="s">
        <v>632</v>
      </c>
      <c r="G50" s="8" t="n">
        <v>86</v>
      </c>
      <c r="H50" s="8" t="n">
        <v>9</v>
      </c>
      <c r="I50" s="4" t="s">
        <v>640</v>
      </c>
      <c r="J50" s="8" t="n">
        <v>44</v>
      </c>
      <c r="K50" s="8" t="n">
        <v>6</v>
      </c>
      <c r="L50" s="4" t="s">
        <v>637</v>
      </c>
      <c r="M50" s="8" t="n">
        <v>39</v>
      </c>
      <c r="N50" s="8" t="n">
        <f aca="false">IF(A50="","",G50-J50)</f>
        <v>42</v>
      </c>
      <c r="O50" s="8" t="n">
        <f aca="false">IF(A50="","",J50-M50)</f>
        <v>5</v>
      </c>
      <c r="P50" s="8" t="n">
        <f aca="false">IF(A50="","",G50+J50)</f>
        <v>130</v>
      </c>
      <c r="Q50" s="8" t="str">
        <f aca="false">IF(A50="","",IF(AND(Y50&lt;&gt;"参考",G50&gt;=ルール設定!$B$2),"○",""))</f>
        <v>○</v>
      </c>
      <c r="R50" s="8" t="str">
        <f aca="false">IF(A50="","",IF(AND(Y50&lt;&gt;"参考",G50&gt;=ルール設定!$B$3,N50&gt;=ルール設定!$B$4),"○",""))</f>
        <v>○</v>
      </c>
      <c r="S50" s="8" t="str">
        <f aca="false">IF(A50="","",IF(AND(Y50&lt;&gt;"参考",G50&gt;=ルール設定!$B$5,J50&gt;=ルール設定!$B$6,O50&gt;=ルール設定!$B$7),"○",""))</f>
        <v/>
      </c>
      <c r="T50" s="8" t="n">
        <v>3</v>
      </c>
      <c r="U50" s="8" t="n">
        <v>4</v>
      </c>
      <c r="V50" s="8" t="str">
        <f aca="false">IF(A50="","",IF(AND(ISNUMBER(T50),ISNUMBER(U50)),IF(AND(T50&lt;=3,U50&lt;=3),"○","×"),""))</f>
        <v>×</v>
      </c>
      <c r="W50" s="8" t="n">
        <v>110</v>
      </c>
      <c r="X50" s="8"/>
      <c r="Y50" s="4" t="s">
        <v>7597</v>
      </c>
      <c r="Z50" s="8"/>
      <c r="AA50" s="8" t="str">
        <v>○</v>
      </c>
      <c r="AB50" s="8" t="str">
        <v>○</v>
      </c>
      <c r="AC50" s="8" t="str">
        <v/>
      </c>
      <c r="AD50" s="8" t="str">
        <v>○</v>
      </c>
      <c r="AE50" s="8" t="str">
        <v/>
      </c>
      <c r="AF50" s="8" t="str">
        <v/>
      </c>
      <c r="AG50" s="8" t="str">
        <v>○</v>
      </c>
      <c r="AH50" s="8" t="str">
        <v/>
      </c>
      <c r="AI50" s="8" t="n">
        <v>47</v>
      </c>
      <c r="AJ50" s="8" t="str">
        <v>85以上</v>
      </c>
      <c r="AK50" s="8" t="str">
        <v>30以上</v>
      </c>
      <c r="AL50" s="8" t="str">
        <v>40以上</v>
      </c>
      <c r="AM50" s="8" t="str">
        <v>120～139</v>
      </c>
      <c r="AN50" s="8" t="str">
        <v>8～11</v>
      </c>
      <c r="AO50" s="8" t="n">
        <f aca="false">IF(A50="","",IF(COUNTIFS(全馬データ!$A$2:$A$50000,A50,全馬データ!$B$2:$B$50000,B50,全馬データ!$C$2:$C$50000,C50,全馬データ!$D$2:$D$50000,E50,全馬データ!$K$2:$K$50000,"&lt;&gt;")=0,"",SUMIFS(全馬データ!$K$2:$K$50000,全馬データ!$A$2:$A$50000,A50,全馬データ!$B$2:$B$50000,B50,全馬データ!$C$2:$C$50000,C50,全馬データ!$D$2:$D$50000,E50)))</f>
        <v>1.1</v>
      </c>
      <c r="AP50" s="8" t="str">
        <f aca="false">IF(A50="","",IF(AO50="","欠損",IF(AO50&lt;=1.1,"1.0～1.1",IF(AO50&lt;1.3,"1.2",IF(AO50&lt;1.5,"1.3～1.4",IF(AO50&lt;2,"1.5～1.9","2.0以上"))))))</f>
        <v>1.0～1.1</v>
      </c>
      <c r="AQ50" s="8" t="str">
        <f aca="false">IF(A50="","",IF(ISNUMBER(SEARCH("2歳",Z50)),"2歳戦",IF(ISNUMBER(SEARCH("3歳未勝利",Z50)),"3歳未勝利",IF(ISNUMBER(SEARCH("未勝利",Z50)),"その他未勝利",IF(ISNUMBER(SEARCH("G1",Z50)),"G1",IF(ISNUMBER(SEARCH("G2",Z50)),"G2",IF(ISNUMBER(SEARCH("G3",Z50)),"G3",IF(ISNUMBER(SEARCH("古馬条件",Z50)),"古馬条件戦",IF(ISNUMBER(SEARCH("重賞",Z50)),"重賞","分類不能")))))))))</f>
        <v>分類不能</v>
      </c>
      <c r="AR50" s="8"/>
      <c r="AS50" s="8" t="s">
        <v>7598</v>
      </c>
      <c r="AT50" s="8" t="s">
        <v>7599</v>
      </c>
      <c r="AU50" s="8" t="s">
        <v>7600</v>
      </c>
      <c r="AV50" s="4" t="s">
        <v>7601</v>
      </c>
      <c r="AW50" s="8"/>
      <c r="AX50" s="8"/>
      <c r="AY50" s="8" t="s">
        <v>7602</v>
      </c>
      <c r="AZ50" s="4" t="s">
        <v>7603</v>
      </c>
      <c r="BA50" s="8" t="n">
        <v>1400</v>
      </c>
      <c r="BB50" s="8" t="s">
        <v>7598</v>
      </c>
      <c r="BC50" s="4" t="s">
        <v>7604</v>
      </c>
      <c r="BD50" s="8" t="s">
        <v>7605</v>
      </c>
      <c r="BE50" s="4" t="s">
        <v>7606</v>
      </c>
      <c r="BF50" s="8" t="s">
        <v>7607</v>
      </c>
      <c r="BG50" s="8" t="s">
        <v>7608</v>
      </c>
      <c r="BH50" s="4" t="s">
        <v>7609</v>
      </c>
      <c r="BI50" s="8" t="n">
        <v>9</v>
      </c>
      <c r="BJ50" s="8" t="s">
        <v>7610</v>
      </c>
      <c r="BK50" s="4" t="s">
        <v>7611</v>
      </c>
      <c r="BL50" s="8" t="s">
        <v>7602</v>
      </c>
      <c r="BM50" s="4" t="s">
        <v>7620</v>
      </c>
      <c r="BN50" s="8" t="s">
        <v>7602</v>
      </c>
      <c r="BO50" s="8" t="s">
        <v>7613</v>
      </c>
      <c r="BP50" s="8" t="s">
        <v>7610</v>
      </c>
      <c r="BQ50" s="8" t="str">
        <f aca="false">IF(A50="","",AT50)</f>
        <v>2歳</v>
      </c>
      <c r="BR50" s="8" t="str">
        <f aca="false">IF(A50="","",IF(BA50&lt;=1200,"～1200",IF(BA50&lt;=1500,"1300～1500",IF(BA50=1600,"1600",IF(BA50&lt;=1800,"1700～1800",IF(BA50&lt;=2000,"1900～2000","2100以上"))))))</f>
        <v>1300～1500</v>
      </c>
      <c r="BS50" s="8" t="str">
        <f aca="false">IF(A50="","",IF(AX50="G1","G1",IF(AX50="G2","G2",IF(AX50="G3","G3",IF(AX50="L","L","その他")))))</f>
        <v>その他</v>
      </c>
      <c r="BT50" s="8" t="str">
        <f aca="false">IF(A50="","",IF(BI50="","未結合",IF(D50=BI50,"一致","不一致")))</f>
        <v>一致</v>
      </c>
      <c r="BU50" s="8" t="str">
        <f aca="false">IF(A50="","",IF(BE50="牝馬限定","牝馬限定","その他"))</f>
        <v>その他</v>
      </c>
    </row>
    <row r="51" customFormat="false" ht="15.75" hidden="false" customHeight="false" outlineLevel="0" collapsed="false">
      <c r="A51" s="3" t="n">
        <v>46229</v>
      </c>
      <c r="B51" s="4" t="s">
        <v>179</v>
      </c>
      <c r="C51" s="8" t="n">
        <v>2</v>
      </c>
      <c r="D51" s="8" t="n">
        <v>6</v>
      </c>
      <c r="E51" s="8" t="n">
        <v>4</v>
      </c>
      <c r="F51" s="4" t="s">
        <v>644</v>
      </c>
      <c r="G51" s="8" t="n">
        <v>37</v>
      </c>
      <c r="H51" s="8" t="n">
        <v>1</v>
      </c>
      <c r="I51" s="4" t="s">
        <v>641</v>
      </c>
      <c r="J51" s="8" t="n">
        <v>31</v>
      </c>
      <c r="K51" s="8" t="n">
        <v>5</v>
      </c>
      <c r="L51" s="4" t="s">
        <v>645</v>
      </c>
      <c r="M51" s="8" t="n">
        <v>31</v>
      </c>
      <c r="N51" s="8" t="n">
        <f aca="false">IF(A51="","",G51-J51)</f>
        <v>6</v>
      </c>
      <c r="O51" s="8" t="n">
        <f aca="false">IF(A51="","",J51-M51)</f>
        <v>0</v>
      </c>
      <c r="P51" s="8" t="n">
        <f aca="false">IF(A51="","",G51+J51)</f>
        <v>68</v>
      </c>
      <c r="Q51" s="8" t="str">
        <f aca="false">IF(A51="","",IF(AND(Y51&lt;&gt;"参考",G51&gt;=ルール設定!$B$2),"○",""))</f>
        <v/>
      </c>
      <c r="R51" s="8" t="str">
        <f aca="false">IF(A51="","",IF(AND(Y51&lt;&gt;"参考",G51&gt;=ルール設定!$B$3,N51&gt;=ルール設定!$B$4),"○",""))</f>
        <v/>
      </c>
      <c r="S51" s="8" t="str">
        <f aca="false">IF(A51="","",IF(AND(Y51&lt;&gt;"参考",G51&gt;=ルール設定!$B$5,J51&gt;=ルール設定!$B$6,O51&gt;=ルール設定!$B$7),"○",""))</f>
        <v/>
      </c>
      <c r="T51" s="8" t="n">
        <v>2</v>
      </c>
      <c r="U51" s="8" t="n">
        <v>3</v>
      </c>
      <c r="V51" s="8" t="str">
        <f aca="false">IF(A51="","",IF(AND(ISNUMBER(T51),ISNUMBER(U51)),IF(AND(T51&lt;=3,U51&lt;=3),"○","×"),""))</f>
        <v>○</v>
      </c>
      <c r="W51" s="8" t="n">
        <v>690</v>
      </c>
      <c r="X51" s="8" t="n">
        <v>1790</v>
      </c>
      <c r="Y51" s="4" t="s">
        <v>7597</v>
      </c>
      <c r="Z51" s="4" t="s">
        <v>7614</v>
      </c>
      <c r="AA51" s="8" t="str">
        <v/>
      </c>
      <c r="AB51" s="8" t="str">
        <v/>
      </c>
      <c r="AC51" s="8" t="str">
        <v/>
      </c>
      <c r="AD51" s="8" t="str">
        <v/>
      </c>
      <c r="AE51" s="8" t="str">
        <v/>
      </c>
      <c r="AF51" s="8" t="str">
        <v/>
      </c>
      <c r="AG51" s="8" t="str">
        <v/>
      </c>
      <c r="AH51" s="8" t="str">
        <v/>
      </c>
      <c r="AI51" s="8" t="n">
        <v>6</v>
      </c>
      <c r="AJ51" s="8" t="str">
        <v>～59</v>
      </c>
      <c r="AK51" s="8" t="str">
        <v>5～9</v>
      </c>
      <c r="AL51" s="8" t="str">
        <v>0～9</v>
      </c>
      <c r="AM51" s="8" t="str">
        <v>～99</v>
      </c>
      <c r="AN51" s="8" t="str">
        <v>7以下</v>
      </c>
      <c r="AO51" s="8" t="str">
        <f aca="false">IF(A51="","",IF(COUNTIFS(全馬データ!$A$2:$A$50000,A51,全馬データ!$B$2:$B$50000,B51,全馬データ!$C$2:$C$50000,C51,全馬データ!$D$2:$D$50000,E51,全馬データ!$K$2:$K$50000,"&lt;&gt;")=0,"",SUMIFS(全馬データ!$K$2:$K$50000,全馬データ!$A$2:$A$50000,A51,全馬データ!$B$2:$B$50000,B51,全馬データ!$C$2:$C$50000,C51,全馬データ!$D$2:$D$50000,E51)))</f>
        <v/>
      </c>
      <c r="AP51" s="8" t="str">
        <f aca="false">IF(A51="","",IF(AO51="","欠損",IF(AO51&lt;=1.1,"1.0～1.1",IF(AO51&lt;1.3,"1.2",IF(AO51&lt;1.5,"1.3～1.4",IF(AO51&lt;2,"1.5～1.9","2.0以上"))))))</f>
        <v>欠損</v>
      </c>
      <c r="AQ51" s="8" t="str">
        <f aca="false">IF(A51="","",IF(ISNUMBER(SEARCH("2歳",Z51)),"2歳戦",IF(ISNUMBER(SEARCH("3歳未勝利",Z51)),"3歳未勝利",IF(ISNUMBER(SEARCH("未勝利",Z51)),"その他未勝利",IF(ISNUMBER(SEARCH("G1",Z51)),"G1",IF(ISNUMBER(SEARCH("G2",Z51)),"G2",IF(ISNUMBER(SEARCH("G3",Z51)),"G3",IF(ISNUMBER(SEARCH("古馬条件",Z51)),"古馬条件戦",IF(ISNUMBER(SEARCH("重賞",Z51)),"重賞","分類不能")))))))))</f>
        <v>分類不能</v>
      </c>
      <c r="AR51" s="8"/>
      <c r="AS51" s="8" t="s">
        <v>7598</v>
      </c>
      <c r="AT51" s="8" t="s">
        <v>7599</v>
      </c>
      <c r="AU51" s="8" t="s">
        <v>7615</v>
      </c>
      <c r="AV51" s="4" t="s">
        <v>7616</v>
      </c>
      <c r="AW51" s="8"/>
      <c r="AX51" s="8"/>
      <c r="AY51" s="8" t="s">
        <v>7602</v>
      </c>
      <c r="AZ51" s="4" t="s">
        <v>7603</v>
      </c>
      <c r="BA51" s="8" t="n">
        <v>2000</v>
      </c>
      <c r="BB51" s="8" t="s">
        <v>7598</v>
      </c>
      <c r="BC51" s="4" t="s">
        <v>7604</v>
      </c>
      <c r="BD51" s="8" t="s">
        <v>7605</v>
      </c>
      <c r="BE51" s="4" t="s">
        <v>7606</v>
      </c>
      <c r="BF51" s="8" t="s">
        <v>7607</v>
      </c>
      <c r="BG51" s="8" t="s">
        <v>7608</v>
      </c>
      <c r="BH51" s="4" t="s">
        <v>7609</v>
      </c>
      <c r="BI51" s="8" t="n">
        <v>6</v>
      </c>
      <c r="BJ51" s="8" t="s">
        <v>7610</v>
      </c>
      <c r="BK51" s="4" t="s">
        <v>7611</v>
      </c>
      <c r="BL51" s="8" t="s">
        <v>7602</v>
      </c>
      <c r="BM51" s="4" t="s">
        <v>7620</v>
      </c>
      <c r="BN51" s="8" t="s">
        <v>7602</v>
      </c>
      <c r="BO51" s="8" t="s">
        <v>7613</v>
      </c>
      <c r="BP51" s="8" t="s">
        <v>7610</v>
      </c>
      <c r="BQ51" s="8" t="str">
        <f aca="false">IF(A51="","",AT51)</f>
        <v>2歳</v>
      </c>
      <c r="BR51" s="8" t="str">
        <f aca="false">IF(A51="","",IF(BA51&lt;=1200,"～1200",IF(BA51&lt;=1500,"1300～1500",IF(BA51=1600,"1600",IF(BA51&lt;=1800,"1700～1800",IF(BA51&lt;=2000,"1900～2000","2100以上"))))))</f>
        <v>1900～2000</v>
      </c>
      <c r="BS51" s="8" t="str">
        <f aca="false">IF(A51="","",IF(AX51="G1","G1",IF(AX51="G2","G2",IF(AX51="G3","G3",IF(AX51="L","L","その他")))))</f>
        <v>その他</v>
      </c>
      <c r="BT51" s="8" t="str">
        <f aca="false">IF(A51="","",IF(BI51="","未結合",IF(D51=BI51,"一致","不一致")))</f>
        <v>一致</v>
      </c>
      <c r="BU51" s="8" t="str">
        <f aca="false">IF(A51="","",IF(BE51="牝馬限定","牝馬限定","その他"))</f>
        <v>その他</v>
      </c>
    </row>
    <row r="52" customFormat="false" ht="15.75" hidden="false" customHeight="false" outlineLevel="0" collapsed="false">
      <c r="A52" s="3" t="n">
        <v>46229</v>
      </c>
      <c r="B52" s="4" t="s">
        <v>179</v>
      </c>
      <c r="C52" s="8" t="n">
        <v>3</v>
      </c>
      <c r="D52" s="8" t="n">
        <v>10</v>
      </c>
      <c r="E52" s="8" t="n">
        <v>6</v>
      </c>
      <c r="F52" s="4" t="s">
        <v>652</v>
      </c>
      <c r="G52" s="8" t="n">
        <v>74</v>
      </c>
      <c r="H52" s="8" t="n">
        <v>8</v>
      </c>
      <c r="I52" s="4" t="s">
        <v>654</v>
      </c>
      <c r="J52" s="8" t="n">
        <v>56</v>
      </c>
      <c r="K52" s="8" t="n">
        <v>9</v>
      </c>
      <c r="L52" s="4" t="s">
        <v>655</v>
      </c>
      <c r="M52" s="8" t="n">
        <v>47</v>
      </c>
      <c r="N52" s="8" t="n">
        <f aca="false">IF(A52="","",G52-J52)</f>
        <v>18</v>
      </c>
      <c r="O52" s="8" t="n">
        <f aca="false">IF(A52="","",J52-M52)</f>
        <v>9</v>
      </c>
      <c r="P52" s="8" t="n">
        <f aca="false">IF(A52="","",G52+J52)</f>
        <v>130</v>
      </c>
      <c r="Q52" s="8" t="str">
        <f aca="false">IF(A52="","",IF(AND(Y52&lt;&gt;"参考",G52&gt;=ルール設定!$B$2),"○",""))</f>
        <v/>
      </c>
      <c r="R52" s="8" t="str">
        <f aca="false">IF(A52="","",IF(AND(Y52&lt;&gt;"参考",G52&gt;=ルール設定!$B$3,N52&gt;=ルール設定!$B$4),"○",""))</f>
        <v/>
      </c>
      <c r="S52" s="8" t="str">
        <f aca="false">IF(A52="","",IF(AND(Y52&lt;&gt;"参考",G52&gt;=ルール設定!$B$5,J52&gt;=ルール設定!$B$6,O52&gt;=ルール設定!$B$7),"○",""))</f>
        <v/>
      </c>
      <c r="T52" s="8" t="n">
        <v>1</v>
      </c>
      <c r="U52" s="8" t="n">
        <v>2</v>
      </c>
      <c r="V52" s="8" t="str">
        <f aca="false">IF(A52="","",IF(AND(ISNUMBER(T52),ISNUMBER(U52)),IF(AND(T52&lt;=3,U52&lt;=3),"○","×"),""))</f>
        <v>○</v>
      </c>
      <c r="W52" s="8" t="n">
        <v>110</v>
      </c>
      <c r="X52" s="8" t="n">
        <v>170</v>
      </c>
      <c r="Y52" s="4" t="s">
        <v>7597</v>
      </c>
      <c r="Z52" s="8"/>
      <c r="AA52" s="8" t="str">
        <v/>
      </c>
      <c r="AB52" s="8" t="str">
        <v/>
      </c>
      <c r="AC52" s="8" t="str">
        <v/>
      </c>
      <c r="AD52" s="8" t="str">
        <v/>
      </c>
      <c r="AE52" s="8" t="str">
        <v/>
      </c>
      <c r="AF52" s="8" t="str">
        <v/>
      </c>
      <c r="AG52" s="8" t="str">
        <v/>
      </c>
      <c r="AH52" s="8" t="str">
        <v/>
      </c>
      <c r="AI52" s="8" t="n">
        <v>27</v>
      </c>
      <c r="AJ52" s="8" t="str">
        <v>70～74</v>
      </c>
      <c r="AK52" s="8" t="str">
        <v>10～19</v>
      </c>
      <c r="AL52" s="8" t="str">
        <v>20～29</v>
      </c>
      <c r="AM52" s="8" t="str">
        <v>120～139</v>
      </c>
      <c r="AN52" s="8" t="str">
        <v>8～11</v>
      </c>
      <c r="AO52" s="8" t="str">
        <f aca="false">IF(A52="","",IF(COUNTIFS(全馬データ!$A$2:$A$50000,A52,全馬データ!$B$2:$B$50000,B52,全馬データ!$C$2:$C$50000,C52,全馬データ!$D$2:$D$50000,E52,全馬データ!$K$2:$K$50000,"&lt;&gt;")=0,"",SUMIFS(全馬データ!$K$2:$K$50000,全馬データ!$A$2:$A$50000,A52,全馬データ!$B$2:$B$50000,B52,全馬データ!$C$2:$C$50000,C52,全馬データ!$D$2:$D$50000,E52)))</f>
        <v/>
      </c>
      <c r="AP52" s="8" t="str">
        <f aca="false">IF(A52="","",IF(AO52="","欠損",IF(AO52&lt;=1.1,"1.0～1.1",IF(AO52&lt;1.3,"1.2",IF(AO52&lt;1.5,"1.3～1.4",IF(AO52&lt;2,"1.5～1.9","2.0以上"))))))</f>
        <v>欠損</v>
      </c>
      <c r="AQ52" s="8" t="str">
        <f aca="false">IF(A52="","",IF(ISNUMBER(SEARCH("2歳",Z52)),"2歳戦",IF(ISNUMBER(SEARCH("3歳未勝利",Z52)),"3歳未勝利",IF(ISNUMBER(SEARCH("未勝利",Z52)),"その他未勝利",IF(ISNUMBER(SEARCH("G1",Z52)),"G1",IF(ISNUMBER(SEARCH("G2",Z52)),"G2",IF(ISNUMBER(SEARCH("G3",Z52)),"G3",IF(ISNUMBER(SEARCH("古馬条件",Z52)),"古馬条件戦",IF(ISNUMBER(SEARCH("重賞",Z52)),"重賞","分類不能")))))))))</f>
        <v>分類不能</v>
      </c>
      <c r="AR52" s="8"/>
      <c r="AS52" s="8" t="s">
        <v>7623</v>
      </c>
      <c r="AT52" s="8" t="s">
        <v>7624</v>
      </c>
      <c r="AU52" s="8" t="s">
        <v>7600</v>
      </c>
      <c r="AV52" s="4" t="s">
        <v>7601</v>
      </c>
      <c r="AW52" s="8"/>
      <c r="AX52" s="8"/>
      <c r="AY52" s="8" t="s">
        <v>7602</v>
      </c>
      <c r="AZ52" s="4" t="s">
        <v>7603</v>
      </c>
      <c r="BA52" s="8" t="n">
        <v>2200</v>
      </c>
      <c r="BB52" s="8" t="s">
        <v>7598</v>
      </c>
      <c r="BC52" s="4" t="s">
        <v>7604</v>
      </c>
      <c r="BD52" s="8" t="s">
        <v>7605</v>
      </c>
      <c r="BE52" s="4" t="s">
        <v>7606</v>
      </c>
      <c r="BF52" s="8" t="s">
        <v>7607</v>
      </c>
      <c r="BG52" s="8" t="s">
        <v>7608</v>
      </c>
      <c r="BH52" s="4" t="s">
        <v>7609</v>
      </c>
      <c r="BI52" s="8" t="n">
        <v>10</v>
      </c>
      <c r="BJ52" s="8" t="s">
        <v>7610</v>
      </c>
      <c r="BK52" s="4" t="s">
        <v>7611</v>
      </c>
      <c r="BL52" s="8" t="s">
        <v>7602</v>
      </c>
      <c r="BM52" s="4" t="s">
        <v>7620</v>
      </c>
      <c r="BN52" s="8" t="s">
        <v>7602</v>
      </c>
      <c r="BO52" s="8" t="s">
        <v>7613</v>
      </c>
      <c r="BP52" s="8" t="s">
        <v>7610</v>
      </c>
      <c r="BQ52" s="8" t="str">
        <f aca="false">IF(A52="","",AT52)</f>
        <v>3歳</v>
      </c>
      <c r="BR52" s="8" t="str">
        <f aca="false">IF(A52="","",IF(BA52&lt;=1200,"～1200",IF(BA52&lt;=1500,"1300～1500",IF(BA52=1600,"1600",IF(BA52&lt;=1800,"1700～1800",IF(BA52&lt;=2000,"1900～2000","2100以上"))))))</f>
        <v>2100以上</v>
      </c>
      <c r="BS52" s="8" t="str">
        <f aca="false">IF(A52="","",IF(AX52="G1","G1",IF(AX52="G2","G2",IF(AX52="G3","G3",IF(AX52="L","L","その他")))))</f>
        <v>その他</v>
      </c>
      <c r="BT52" s="8" t="str">
        <f aca="false">IF(A52="","",IF(BI52="","未結合",IF(D52=BI52,"一致","不一致")))</f>
        <v>一致</v>
      </c>
      <c r="BU52" s="8" t="str">
        <f aca="false">IF(A52="","",IF(BE52="牝馬限定","牝馬限定","その他"))</f>
        <v>その他</v>
      </c>
    </row>
    <row r="53" customFormat="false" ht="15.75" hidden="false" customHeight="false" outlineLevel="0" collapsed="false">
      <c r="A53" s="3" t="n">
        <v>46229</v>
      </c>
      <c r="B53" s="4" t="s">
        <v>179</v>
      </c>
      <c r="C53" s="8" t="n">
        <v>4</v>
      </c>
      <c r="D53" s="8" t="n">
        <v>15</v>
      </c>
      <c r="E53" s="8" t="n">
        <v>1</v>
      </c>
      <c r="F53" s="4" t="s">
        <v>657</v>
      </c>
      <c r="G53" s="8" t="n">
        <v>86</v>
      </c>
      <c r="H53" s="8" t="n">
        <v>14</v>
      </c>
      <c r="I53" s="4" t="s">
        <v>670</v>
      </c>
      <c r="J53" s="8" t="n">
        <v>47</v>
      </c>
      <c r="K53" s="8" t="n">
        <v>11</v>
      </c>
      <c r="L53" s="4" t="s">
        <v>667</v>
      </c>
      <c r="M53" s="8" t="n">
        <v>39</v>
      </c>
      <c r="N53" s="8" t="n">
        <f aca="false">IF(A53="","",G53-J53)</f>
        <v>39</v>
      </c>
      <c r="O53" s="8" t="n">
        <f aca="false">IF(A53="","",J53-M53)</f>
        <v>8</v>
      </c>
      <c r="P53" s="8" t="n">
        <f aca="false">IF(A53="","",G53+J53)</f>
        <v>133</v>
      </c>
      <c r="Q53" s="8" t="str">
        <f aca="false">IF(A53="","",IF(AND(Y53&lt;&gt;"参考",G53&gt;=ルール設定!$B$2),"○",""))</f>
        <v>○</v>
      </c>
      <c r="R53" s="8" t="str">
        <f aca="false">IF(A53="","",IF(AND(Y53&lt;&gt;"参考",G53&gt;=ルール設定!$B$3,N53&gt;=ルール設定!$B$4),"○",""))</f>
        <v>○</v>
      </c>
      <c r="S53" s="8" t="str">
        <f aca="false">IF(A53="","",IF(AND(Y53&lt;&gt;"参考",G53&gt;=ルール設定!$B$5,J53&gt;=ルール設定!$B$6,O53&gt;=ルール設定!$B$7),"○",""))</f>
        <v/>
      </c>
      <c r="T53" s="8" t="n">
        <v>3</v>
      </c>
      <c r="U53" s="8" t="n">
        <v>2</v>
      </c>
      <c r="V53" s="8" t="str">
        <f aca="false">IF(A53="","",IF(AND(ISNUMBER(T53),ISNUMBER(U53)),IF(AND(T53&lt;=3,U53&lt;=3),"○","×"),""))</f>
        <v>○</v>
      </c>
      <c r="W53" s="8" t="n">
        <v>120</v>
      </c>
      <c r="X53" s="8" t="n">
        <v>360</v>
      </c>
      <c r="Y53" s="4" t="s">
        <v>7597</v>
      </c>
      <c r="Z53" s="8"/>
      <c r="AA53" s="8" t="str">
        <v>○</v>
      </c>
      <c r="AB53" s="8" t="str">
        <v>○</v>
      </c>
      <c r="AC53" s="8" t="str">
        <v/>
      </c>
      <c r="AD53" s="8" t="str">
        <v>○</v>
      </c>
      <c r="AE53" s="8" t="str">
        <v/>
      </c>
      <c r="AF53" s="8" t="str">
        <v/>
      </c>
      <c r="AG53" s="8" t="str">
        <v>○</v>
      </c>
      <c r="AH53" s="8" t="str">
        <v/>
      </c>
      <c r="AI53" s="8" t="n">
        <v>47</v>
      </c>
      <c r="AJ53" s="8" t="str">
        <v>85以上</v>
      </c>
      <c r="AK53" s="8" t="str">
        <v>30以上</v>
      </c>
      <c r="AL53" s="8" t="str">
        <v>40以上</v>
      </c>
      <c r="AM53" s="8" t="str">
        <v>120～139</v>
      </c>
      <c r="AN53" s="8" t="str">
        <v>15以上</v>
      </c>
      <c r="AO53" s="8" t="n">
        <f aca="false">IF(A53="","",IF(COUNTIFS(全馬データ!$A$2:$A$50000,A53,全馬データ!$B$2:$B$50000,B53,全馬データ!$C$2:$C$50000,C53,全馬データ!$D$2:$D$50000,E53,全馬データ!$K$2:$K$50000,"&lt;&gt;")=0,"",SUMIFS(全馬データ!$K$2:$K$50000,全馬データ!$A$2:$A$50000,A53,全馬データ!$B$2:$B$50000,B53,全馬データ!$C$2:$C$50000,C53,全馬データ!$D$2:$D$50000,E53)))</f>
        <v>1.2</v>
      </c>
      <c r="AP53" s="8" t="str">
        <f aca="false">IF(A53="","",IF(AO53="","欠損",IF(AO53&lt;=1.1,"1.0～1.1",IF(AO53&lt;1.3,"1.2",IF(AO53&lt;1.5,"1.3～1.4",IF(AO53&lt;2,"1.5～1.9","2.0以上"))))))</f>
        <v>1.2</v>
      </c>
      <c r="AQ53" s="8" t="str">
        <f aca="false">IF(A53="","",IF(ISNUMBER(SEARCH("2歳",Z53)),"2歳戦",IF(ISNUMBER(SEARCH("3歳未勝利",Z53)),"3歳未勝利",IF(ISNUMBER(SEARCH("未勝利",Z53)),"その他未勝利",IF(ISNUMBER(SEARCH("G1",Z53)),"G1",IF(ISNUMBER(SEARCH("G2",Z53)),"G2",IF(ISNUMBER(SEARCH("G3",Z53)),"G3",IF(ISNUMBER(SEARCH("古馬条件",Z53)),"古馬条件戦",IF(ISNUMBER(SEARCH("重賞",Z53)),"重賞","分類不能")))))))))</f>
        <v>分類不能</v>
      </c>
      <c r="AR53" s="8"/>
      <c r="AS53" s="8" t="s">
        <v>7623</v>
      </c>
      <c r="AT53" s="8" t="s">
        <v>7624</v>
      </c>
      <c r="AU53" s="8" t="s">
        <v>7600</v>
      </c>
      <c r="AV53" s="4" t="s">
        <v>7601</v>
      </c>
      <c r="AW53" s="8"/>
      <c r="AX53" s="8"/>
      <c r="AY53" s="8" t="s">
        <v>7610</v>
      </c>
      <c r="AZ53" s="4" t="s">
        <v>7617</v>
      </c>
      <c r="BA53" s="8" t="n">
        <v>1800</v>
      </c>
      <c r="BB53" s="8" t="s">
        <v>7634</v>
      </c>
      <c r="BC53" s="4" t="s">
        <v>7604</v>
      </c>
      <c r="BD53" s="8" t="s">
        <v>7605</v>
      </c>
      <c r="BE53" s="4" t="s">
        <v>7606</v>
      </c>
      <c r="BF53" s="8" t="s">
        <v>7607</v>
      </c>
      <c r="BG53" s="8" t="s">
        <v>7608</v>
      </c>
      <c r="BH53" s="4" t="s">
        <v>7609</v>
      </c>
      <c r="BI53" s="8" t="n">
        <v>15</v>
      </c>
      <c r="BJ53" s="8" t="s">
        <v>7610</v>
      </c>
      <c r="BK53" s="4" t="s">
        <v>7611</v>
      </c>
      <c r="BL53" s="8" t="s">
        <v>7602</v>
      </c>
      <c r="BM53" s="4" t="s">
        <v>7620</v>
      </c>
      <c r="BN53" s="8"/>
      <c r="BO53" s="8"/>
      <c r="BP53" s="8" t="s">
        <v>7610</v>
      </c>
      <c r="BQ53" s="8" t="str">
        <f aca="false">IF(A53="","",AT53)</f>
        <v>3歳</v>
      </c>
      <c r="BR53" s="8" t="str">
        <f aca="false">IF(A53="","",IF(BA53&lt;=1200,"～1200",IF(BA53&lt;=1500,"1300～1500",IF(BA53=1600,"1600",IF(BA53&lt;=1800,"1700～1800",IF(BA53&lt;=2000,"1900～2000","2100以上"))))))</f>
        <v>1700～1800</v>
      </c>
      <c r="BS53" s="8" t="str">
        <f aca="false">IF(A53="","",IF(AX53="G1","G1",IF(AX53="G2","G2",IF(AX53="G3","G3",IF(AX53="L","L","その他")))))</f>
        <v>その他</v>
      </c>
      <c r="BT53" s="8" t="str">
        <f aca="false">IF(A53="","",IF(BI53="","未結合",IF(D53=BI53,"一致","不一致")))</f>
        <v>一致</v>
      </c>
      <c r="BU53" s="8" t="str">
        <f aca="false">IF(A53="","",IF(BE53="牝馬限定","牝馬限定","その他"))</f>
        <v>その他</v>
      </c>
    </row>
    <row r="54" customFormat="false" ht="15.75" hidden="false" customHeight="false" outlineLevel="0" collapsed="false">
      <c r="A54" s="3" t="n">
        <v>46229</v>
      </c>
      <c r="B54" s="4" t="s">
        <v>179</v>
      </c>
      <c r="C54" s="8" t="n">
        <v>5</v>
      </c>
      <c r="D54" s="8" t="n">
        <v>16</v>
      </c>
      <c r="E54" s="8" t="n">
        <v>14</v>
      </c>
      <c r="F54" s="4" t="s">
        <v>685</v>
      </c>
      <c r="G54" s="8" t="n">
        <v>65</v>
      </c>
      <c r="H54" s="8" t="n">
        <v>1</v>
      </c>
      <c r="I54" s="4" t="s">
        <v>672</v>
      </c>
      <c r="J54" s="8" t="n">
        <v>56</v>
      </c>
      <c r="K54" s="8" t="n">
        <v>6</v>
      </c>
      <c r="L54" s="4" t="s">
        <v>677</v>
      </c>
      <c r="M54" s="8" t="n">
        <v>52</v>
      </c>
      <c r="N54" s="8" t="n">
        <f aca="false">IF(A54="","",G54-J54)</f>
        <v>9</v>
      </c>
      <c r="O54" s="8" t="n">
        <f aca="false">IF(A54="","",J54-M54)</f>
        <v>4</v>
      </c>
      <c r="P54" s="8" t="n">
        <f aca="false">IF(A54="","",G54+J54)</f>
        <v>121</v>
      </c>
      <c r="Q54" s="8" t="str">
        <f aca="false">IF(A54="","",IF(AND(Y54&lt;&gt;"参考",G54&gt;=ルール設定!$B$2),"○",""))</f>
        <v/>
      </c>
      <c r="R54" s="8" t="str">
        <f aca="false">IF(A54="","",IF(AND(Y54&lt;&gt;"参考",G54&gt;=ルール設定!$B$3,N54&gt;=ルール設定!$B$4),"○",""))</f>
        <v/>
      </c>
      <c r="S54" s="8" t="str">
        <f aca="false">IF(A54="","",IF(AND(Y54&lt;&gt;"参考",G54&gt;=ルール設定!$B$5,J54&gt;=ルール設定!$B$6,O54&gt;=ルール設定!$B$7),"○",""))</f>
        <v/>
      </c>
      <c r="T54" s="8" t="n">
        <v>3</v>
      </c>
      <c r="U54" s="8" t="n">
        <v>4</v>
      </c>
      <c r="V54" s="8" t="str">
        <f aca="false">IF(A54="","",IF(AND(ISNUMBER(T54),ISNUMBER(U54)),IF(AND(T54&lt;=3,U54&lt;=3),"○","×"),""))</f>
        <v>×</v>
      </c>
      <c r="W54" s="8" t="n">
        <v>120</v>
      </c>
      <c r="X54" s="8"/>
      <c r="Y54" s="4" t="s">
        <v>7597</v>
      </c>
      <c r="Z54" s="8"/>
      <c r="AA54" s="8" t="str">
        <v/>
      </c>
      <c r="AB54" s="8" t="str">
        <v/>
      </c>
      <c r="AC54" s="8" t="str">
        <v/>
      </c>
      <c r="AD54" s="8" t="str">
        <v/>
      </c>
      <c r="AE54" s="8" t="str">
        <v/>
      </c>
      <c r="AF54" s="8" t="str">
        <v/>
      </c>
      <c r="AG54" s="8" t="str">
        <v/>
      </c>
      <c r="AH54" s="8" t="str">
        <v/>
      </c>
      <c r="AI54" s="8" t="n">
        <v>13</v>
      </c>
      <c r="AJ54" s="8" t="str">
        <v>60～69</v>
      </c>
      <c r="AK54" s="8" t="str">
        <v>5～9</v>
      </c>
      <c r="AL54" s="8" t="str">
        <v>10～19</v>
      </c>
      <c r="AM54" s="8" t="str">
        <v>120～139</v>
      </c>
      <c r="AN54" s="8" t="str">
        <v>15以上</v>
      </c>
      <c r="AO54" s="8" t="str">
        <f aca="false">IF(A54="","",IF(COUNTIFS(全馬データ!$A$2:$A$50000,A54,全馬データ!$B$2:$B$50000,B54,全馬データ!$C$2:$C$50000,C54,全馬データ!$D$2:$D$50000,E54,全馬データ!$K$2:$K$50000,"&lt;&gt;")=0,"",SUMIFS(全馬データ!$K$2:$K$50000,全馬データ!$A$2:$A$50000,A54,全馬データ!$B$2:$B$50000,B54,全馬データ!$C$2:$C$50000,C54,全馬データ!$D$2:$D$50000,E54)))</f>
        <v/>
      </c>
      <c r="AP54" s="8" t="str">
        <f aca="false">IF(A54="","",IF(AO54="","欠損",IF(AO54&lt;=1.1,"1.0～1.1",IF(AO54&lt;1.3,"1.2",IF(AO54&lt;1.5,"1.3～1.4",IF(AO54&lt;2,"1.5～1.9","2.0以上"))))))</f>
        <v>欠損</v>
      </c>
      <c r="AQ54" s="8" t="str">
        <f aca="false">IF(A54="","",IF(ISNUMBER(SEARCH("2歳",Z54)),"2歳戦",IF(ISNUMBER(SEARCH("3歳未勝利",Z54)),"3歳未勝利",IF(ISNUMBER(SEARCH("未勝利",Z54)),"その他未勝利",IF(ISNUMBER(SEARCH("G1",Z54)),"G1",IF(ISNUMBER(SEARCH("G2",Z54)),"G2",IF(ISNUMBER(SEARCH("G3",Z54)),"G3",IF(ISNUMBER(SEARCH("古馬条件",Z54)),"古馬条件戦",IF(ISNUMBER(SEARCH("重賞",Z54)),"重賞","分類不能")))))))))</f>
        <v>分類不能</v>
      </c>
      <c r="AR54" s="8"/>
      <c r="AS54" s="8" t="s">
        <v>7623</v>
      </c>
      <c r="AT54" s="8" t="s">
        <v>7624</v>
      </c>
      <c r="AU54" s="8" t="s">
        <v>7600</v>
      </c>
      <c r="AV54" s="4" t="s">
        <v>7601</v>
      </c>
      <c r="AW54" s="8"/>
      <c r="AX54" s="8"/>
      <c r="AY54" s="8" t="s">
        <v>7610</v>
      </c>
      <c r="AZ54" s="4" t="s">
        <v>7617</v>
      </c>
      <c r="BA54" s="8" t="n">
        <v>1400</v>
      </c>
      <c r="BB54" s="8" t="s">
        <v>7634</v>
      </c>
      <c r="BC54" s="4" t="s">
        <v>7604</v>
      </c>
      <c r="BD54" s="8" t="s">
        <v>7605</v>
      </c>
      <c r="BE54" s="4" t="s">
        <v>7606</v>
      </c>
      <c r="BF54" s="8" t="s">
        <v>7607</v>
      </c>
      <c r="BG54" s="8" t="s">
        <v>7608</v>
      </c>
      <c r="BH54" s="4" t="s">
        <v>7609</v>
      </c>
      <c r="BI54" s="8" t="n">
        <v>16</v>
      </c>
      <c r="BJ54" s="8" t="s">
        <v>7610</v>
      </c>
      <c r="BK54" s="4" t="s">
        <v>7611</v>
      </c>
      <c r="BL54" s="8" t="s">
        <v>7602</v>
      </c>
      <c r="BM54" s="4" t="s">
        <v>7620</v>
      </c>
      <c r="BN54" s="8"/>
      <c r="BO54" s="8"/>
      <c r="BP54" s="8" t="s">
        <v>7610</v>
      </c>
      <c r="BQ54" s="8" t="str">
        <f aca="false">IF(A54="","",AT54)</f>
        <v>3歳</v>
      </c>
      <c r="BR54" s="8" t="str">
        <f aca="false">IF(A54="","",IF(BA54&lt;=1200,"～1200",IF(BA54&lt;=1500,"1300～1500",IF(BA54=1600,"1600",IF(BA54&lt;=1800,"1700～1800",IF(BA54&lt;=2000,"1900～2000","2100以上"))))))</f>
        <v>1300～1500</v>
      </c>
      <c r="BS54" s="8" t="str">
        <f aca="false">IF(A54="","",IF(AX54="G1","G1",IF(AX54="G2","G2",IF(AX54="G3","G3",IF(AX54="L","L","その他")))))</f>
        <v>その他</v>
      </c>
      <c r="BT54" s="8" t="str">
        <f aca="false">IF(A54="","",IF(BI54="","未結合",IF(D54=BI54,"一致","不一致")))</f>
        <v>一致</v>
      </c>
      <c r="BU54" s="8" t="str">
        <f aca="false">IF(A54="","",IF(BE54="牝馬限定","牝馬限定","その他"))</f>
        <v>その他</v>
      </c>
    </row>
    <row r="55" customFormat="false" ht="15.75" hidden="false" customHeight="false" outlineLevel="0" collapsed="false">
      <c r="A55" s="3" t="n">
        <v>46229</v>
      </c>
      <c r="B55" s="4" t="s">
        <v>179</v>
      </c>
      <c r="C55" s="8" t="n">
        <v>6</v>
      </c>
      <c r="D55" s="8" t="n">
        <v>10</v>
      </c>
      <c r="E55" s="8" t="n">
        <v>1</v>
      </c>
      <c r="F55" s="4" t="s">
        <v>688</v>
      </c>
      <c r="G55" s="8" t="n">
        <v>75</v>
      </c>
      <c r="H55" s="8" t="n">
        <v>6</v>
      </c>
      <c r="I55" s="4" t="s">
        <v>693</v>
      </c>
      <c r="J55" s="8" t="n">
        <v>56</v>
      </c>
      <c r="K55" s="8" t="n">
        <v>5</v>
      </c>
      <c r="L55" s="4" t="s">
        <v>692</v>
      </c>
      <c r="M55" s="8" t="n">
        <v>47</v>
      </c>
      <c r="N55" s="8" t="n">
        <f aca="false">IF(A55="","",G55-J55)</f>
        <v>19</v>
      </c>
      <c r="O55" s="8" t="n">
        <f aca="false">IF(A55="","",J55-M55)</f>
        <v>9</v>
      </c>
      <c r="P55" s="8" t="n">
        <f aca="false">IF(A55="","",G55+J55)</f>
        <v>131</v>
      </c>
      <c r="Q55" s="8" t="str">
        <f aca="false">IF(A55="","",IF(AND(Y55&lt;&gt;"参考",G55&gt;=ルール設定!$B$2),"○",""))</f>
        <v/>
      </c>
      <c r="R55" s="8" t="str">
        <f aca="false">IF(A55="","",IF(AND(Y55&lt;&gt;"参考",G55&gt;=ルール設定!$B$3,N55&gt;=ルール設定!$B$4),"○",""))</f>
        <v/>
      </c>
      <c r="S55" s="8" t="str">
        <f aca="false">IF(A55="","",IF(AND(Y55&lt;&gt;"参考",G55&gt;=ルール設定!$B$5,J55&gt;=ルール設定!$B$6,O55&gt;=ルール設定!$B$7),"○",""))</f>
        <v/>
      </c>
      <c r="T55" s="8" t="n">
        <v>1</v>
      </c>
      <c r="U55" s="8" t="n">
        <v>4</v>
      </c>
      <c r="V55" s="8" t="str">
        <f aca="false">IF(A55="","",IF(AND(ISNUMBER(T55),ISNUMBER(U55)),IF(AND(T55&lt;=3,U55&lt;=3),"○","×"),""))</f>
        <v>×</v>
      </c>
      <c r="W55" s="8" t="n">
        <v>120</v>
      </c>
      <c r="X55" s="8"/>
      <c r="Y55" s="4" t="s">
        <v>7597</v>
      </c>
      <c r="Z55" s="8"/>
      <c r="AA55" s="8" t="str">
        <v/>
      </c>
      <c r="AB55" s="8" t="str">
        <v/>
      </c>
      <c r="AC55" s="8" t="str">
        <v/>
      </c>
      <c r="AD55" s="8" t="str">
        <v/>
      </c>
      <c r="AE55" s="8" t="str">
        <v/>
      </c>
      <c r="AF55" s="8" t="str">
        <v/>
      </c>
      <c r="AG55" s="8" t="str">
        <v/>
      </c>
      <c r="AH55" s="8" t="str">
        <v/>
      </c>
      <c r="AI55" s="8" t="n">
        <v>28</v>
      </c>
      <c r="AJ55" s="8" t="str">
        <v>75～79</v>
      </c>
      <c r="AK55" s="8" t="str">
        <v>10～19</v>
      </c>
      <c r="AL55" s="8" t="str">
        <v>20～29</v>
      </c>
      <c r="AM55" s="8" t="str">
        <v>120～139</v>
      </c>
      <c r="AN55" s="8" t="str">
        <v>8～11</v>
      </c>
      <c r="AO55" s="8" t="str">
        <f aca="false">IF(A55="","",IF(COUNTIFS(全馬データ!$A$2:$A$50000,A55,全馬データ!$B$2:$B$50000,B55,全馬データ!$C$2:$C$50000,C55,全馬データ!$D$2:$D$50000,E55,全馬データ!$K$2:$K$50000,"&lt;&gt;")=0,"",SUMIFS(全馬データ!$K$2:$K$50000,全馬データ!$A$2:$A$50000,A55,全馬データ!$B$2:$B$50000,B55,全馬データ!$C$2:$C$50000,C55,全馬データ!$D$2:$D$50000,E55)))</f>
        <v/>
      </c>
      <c r="AP55" s="8" t="str">
        <f aca="false">IF(A55="","",IF(AO55="","欠損",IF(AO55&lt;=1.1,"1.0～1.1",IF(AO55&lt;1.3,"1.2",IF(AO55&lt;1.5,"1.3～1.4",IF(AO55&lt;2,"1.5～1.9","2.0以上"))))))</f>
        <v>欠損</v>
      </c>
      <c r="AQ55" s="8" t="str">
        <f aca="false">IF(A55="","",IF(ISNUMBER(SEARCH("2歳",Z55)),"2歳戦",IF(ISNUMBER(SEARCH("3歳未勝利",Z55)),"3歳未勝利",IF(ISNUMBER(SEARCH("未勝利",Z55)),"その他未勝利",IF(ISNUMBER(SEARCH("G1",Z55)),"G1",IF(ISNUMBER(SEARCH("G2",Z55)),"G2",IF(ISNUMBER(SEARCH("G3",Z55)),"G3",IF(ISNUMBER(SEARCH("古馬条件",Z55)),"古馬条件戦",IF(ISNUMBER(SEARCH("重賞",Z55)),"重賞","分類不能")))))))))</f>
        <v>分類不能</v>
      </c>
      <c r="AR55" s="4" t="s">
        <v>7670</v>
      </c>
      <c r="AS55" s="8" t="s">
        <v>7626</v>
      </c>
      <c r="AT55" s="8" t="s">
        <v>7627</v>
      </c>
      <c r="AU55" s="8" t="s">
        <v>7634</v>
      </c>
      <c r="AV55" s="8" t="s">
        <v>7635</v>
      </c>
      <c r="AW55" s="8" t="s">
        <v>7636</v>
      </c>
      <c r="AX55" s="4" t="s">
        <v>7637</v>
      </c>
      <c r="AY55" s="8" t="s">
        <v>7602</v>
      </c>
      <c r="AZ55" s="4" t="s">
        <v>7603</v>
      </c>
      <c r="BA55" s="8" t="n">
        <v>2000</v>
      </c>
      <c r="BB55" s="8" t="s">
        <v>7598</v>
      </c>
      <c r="BC55" s="4" t="s">
        <v>7604</v>
      </c>
      <c r="BD55" s="8" t="s">
        <v>7605</v>
      </c>
      <c r="BE55" s="4" t="s">
        <v>7606</v>
      </c>
      <c r="BF55" s="8" t="s">
        <v>7607</v>
      </c>
      <c r="BG55" s="8" t="s">
        <v>7602</v>
      </c>
      <c r="BH55" s="4" t="s">
        <v>7667</v>
      </c>
      <c r="BI55" s="8" t="n">
        <v>10</v>
      </c>
      <c r="BJ55" s="8" t="s">
        <v>7610</v>
      </c>
      <c r="BK55" s="4" t="s">
        <v>7611</v>
      </c>
      <c r="BL55" s="8" t="s">
        <v>7602</v>
      </c>
      <c r="BM55" s="4" t="s">
        <v>7620</v>
      </c>
      <c r="BN55" s="8" t="s">
        <v>7602</v>
      </c>
      <c r="BO55" s="8" t="s">
        <v>7613</v>
      </c>
      <c r="BP55" s="8" t="s">
        <v>7610</v>
      </c>
      <c r="BQ55" s="8" t="str">
        <f aca="false">IF(A55="","",AT55)</f>
        <v>3歳以上</v>
      </c>
      <c r="BR55" s="8" t="str">
        <f aca="false">IF(A55="","",IF(BA55&lt;=1200,"～1200",IF(BA55&lt;=1500,"1300～1500",IF(BA55=1600,"1600",IF(BA55&lt;=1800,"1700～1800",IF(BA55&lt;=2000,"1900～2000","2100以上"))))))</f>
        <v>1900～2000</v>
      </c>
      <c r="BS55" s="8" t="str">
        <f aca="false">IF(A55="","",IF(AX55="G1","G1",IF(AX55="G2","G2",IF(AX55="G3","G3",IF(AX55="L","L","その他")))))</f>
        <v>その他</v>
      </c>
      <c r="BT55" s="8" t="str">
        <f aca="false">IF(A55="","",IF(BI55="","未結合",IF(D55=BI55,"一致","不一致")))</f>
        <v>一致</v>
      </c>
      <c r="BU55" s="8" t="str">
        <f aca="false">IF(A55="","",IF(BE55="牝馬限定","牝馬限定","その他"))</f>
        <v>その他</v>
      </c>
    </row>
    <row r="56" customFormat="false" ht="15.75" hidden="false" customHeight="false" outlineLevel="0" collapsed="false">
      <c r="A56" s="3" t="n">
        <v>46229</v>
      </c>
      <c r="B56" s="4" t="s">
        <v>179</v>
      </c>
      <c r="C56" s="8" t="n">
        <v>7</v>
      </c>
      <c r="D56" s="8" t="n">
        <v>14</v>
      </c>
      <c r="E56" s="8" t="n">
        <v>5</v>
      </c>
      <c r="F56" s="4" t="s">
        <v>702</v>
      </c>
      <c r="G56" s="8" t="n">
        <v>56</v>
      </c>
      <c r="H56" s="8" t="n">
        <v>9</v>
      </c>
      <c r="I56" s="4" t="s">
        <v>706</v>
      </c>
      <c r="J56" s="8" t="n">
        <v>56</v>
      </c>
      <c r="K56" s="8" t="n">
        <v>11</v>
      </c>
      <c r="L56" s="4" t="s">
        <v>708</v>
      </c>
      <c r="M56" s="8" t="n">
        <v>47</v>
      </c>
      <c r="N56" s="8" t="n">
        <f aca="false">IF(A56="","",G56-J56)</f>
        <v>0</v>
      </c>
      <c r="O56" s="8" t="n">
        <f aca="false">IF(A56="","",J56-M56)</f>
        <v>9</v>
      </c>
      <c r="P56" s="8" t="n">
        <f aca="false">IF(A56="","",G56+J56)</f>
        <v>112</v>
      </c>
      <c r="Q56" s="8" t="str">
        <f aca="false">IF(A56="","",IF(AND(Y56&lt;&gt;"参考",G56&gt;=ルール設定!$B$2),"○",""))</f>
        <v/>
      </c>
      <c r="R56" s="8" t="str">
        <f aca="false">IF(A56="","",IF(AND(Y56&lt;&gt;"参考",G56&gt;=ルール設定!$B$3,N56&gt;=ルール設定!$B$4),"○",""))</f>
        <v/>
      </c>
      <c r="S56" s="8" t="str">
        <f aca="false">IF(A56="","",IF(AND(Y56&lt;&gt;"参考",G56&gt;=ルール設定!$B$5,J56&gt;=ルール設定!$B$6,O56&gt;=ルール設定!$B$7),"○",""))</f>
        <v/>
      </c>
      <c r="T56" s="8" t="n">
        <v>3</v>
      </c>
      <c r="U56" s="8" t="n">
        <v>4</v>
      </c>
      <c r="V56" s="8" t="str">
        <f aca="false">IF(A56="","",IF(AND(ISNUMBER(T56),ISNUMBER(U56)),IF(AND(T56&lt;=3,U56&lt;=3),"○","×"),""))</f>
        <v>×</v>
      </c>
      <c r="W56" s="8" t="n">
        <v>110</v>
      </c>
      <c r="X56" s="8"/>
      <c r="Y56" s="4" t="s">
        <v>7597</v>
      </c>
      <c r="Z56" s="4" t="s">
        <v>7614</v>
      </c>
      <c r="AA56" s="8" t="str">
        <v/>
      </c>
      <c r="AB56" s="8" t="str">
        <v/>
      </c>
      <c r="AC56" s="8" t="str">
        <v/>
      </c>
      <c r="AD56" s="8" t="str">
        <v/>
      </c>
      <c r="AE56" s="8" t="str">
        <v/>
      </c>
      <c r="AF56" s="8" t="str">
        <v/>
      </c>
      <c r="AG56" s="8" t="str">
        <v/>
      </c>
      <c r="AH56" s="8" t="str">
        <v/>
      </c>
      <c r="AI56" s="8" t="n">
        <v>9</v>
      </c>
      <c r="AJ56" s="8" t="str">
        <v>～59</v>
      </c>
      <c r="AK56" s="8" t="str">
        <v>0～4</v>
      </c>
      <c r="AL56" s="8" t="str">
        <v>0～9</v>
      </c>
      <c r="AM56" s="8" t="str">
        <v>100～119</v>
      </c>
      <c r="AN56" s="8" t="str">
        <v>12～14</v>
      </c>
      <c r="AO56" s="8" t="str">
        <f aca="false">IF(A56="","",IF(COUNTIFS(全馬データ!$A$2:$A$50000,A56,全馬データ!$B$2:$B$50000,B56,全馬データ!$C$2:$C$50000,C56,全馬データ!$D$2:$D$50000,E56,全馬データ!$K$2:$K$50000,"&lt;&gt;")=0,"",SUMIFS(全馬データ!$K$2:$K$50000,全馬データ!$A$2:$A$50000,A56,全馬データ!$B$2:$B$50000,B56,全馬データ!$C$2:$C$50000,C56,全馬データ!$D$2:$D$50000,E56)))</f>
        <v/>
      </c>
      <c r="AP56" s="8" t="str">
        <f aca="false">IF(A56="","",IF(AO56="","欠損",IF(AO56&lt;=1.1,"1.0～1.1",IF(AO56&lt;1.3,"1.2",IF(AO56&lt;1.5,"1.3～1.4",IF(AO56&lt;2,"1.5～1.9","2.0以上"))))))</f>
        <v>欠損</v>
      </c>
      <c r="AQ56" s="8" t="str">
        <f aca="false">IF(A56="","",IF(ISNUMBER(SEARCH("2歳",Z56)),"2歳戦",IF(ISNUMBER(SEARCH("3歳未勝利",Z56)),"3歳未勝利",IF(ISNUMBER(SEARCH("未勝利",Z56)),"その他未勝利",IF(ISNUMBER(SEARCH("G1",Z56)),"G1",IF(ISNUMBER(SEARCH("G2",Z56)),"G2",IF(ISNUMBER(SEARCH("G3",Z56)),"G3",IF(ISNUMBER(SEARCH("古馬条件",Z56)),"古馬条件戦",IF(ISNUMBER(SEARCH("重賞",Z56)),"重賞","分類不能")))))))))</f>
        <v>分類不能</v>
      </c>
      <c r="AR56" s="4" t="s">
        <v>7671</v>
      </c>
      <c r="AS56" s="8" t="s">
        <v>7626</v>
      </c>
      <c r="AT56" s="8" t="s">
        <v>7627</v>
      </c>
      <c r="AU56" s="8" t="s">
        <v>7643</v>
      </c>
      <c r="AV56" s="4" t="s">
        <v>7644</v>
      </c>
      <c r="AW56" s="8" t="s">
        <v>7608</v>
      </c>
      <c r="AX56" s="8" t="s">
        <v>7664</v>
      </c>
      <c r="AY56" s="8" t="s">
        <v>7610</v>
      </c>
      <c r="AZ56" s="4" t="s">
        <v>7617</v>
      </c>
      <c r="BA56" s="8" t="n">
        <v>1400</v>
      </c>
      <c r="BB56" s="8" t="s">
        <v>7634</v>
      </c>
      <c r="BC56" s="4" t="s">
        <v>7604</v>
      </c>
      <c r="BD56" s="8" t="s">
        <v>7672</v>
      </c>
      <c r="BE56" s="4" t="s">
        <v>7606</v>
      </c>
      <c r="BF56" s="8" t="s">
        <v>7607</v>
      </c>
      <c r="BG56" s="8" t="s">
        <v>7610</v>
      </c>
      <c r="BH56" s="4" t="s">
        <v>7646</v>
      </c>
      <c r="BI56" s="8" t="n">
        <v>14</v>
      </c>
      <c r="BJ56" s="8" t="s">
        <v>7610</v>
      </c>
      <c r="BK56" s="4" t="s">
        <v>7611</v>
      </c>
      <c r="BL56" s="8" t="s">
        <v>7602</v>
      </c>
      <c r="BM56" s="4" t="s">
        <v>7620</v>
      </c>
      <c r="BN56" s="8"/>
      <c r="BO56" s="8"/>
      <c r="BP56" s="8" t="s">
        <v>7610</v>
      </c>
      <c r="BQ56" s="8" t="str">
        <f aca="false">IF(A56="","",AT56)</f>
        <v>3歳以上</v>
      </c>
      <c r="BR56" s="8" t="str">
        <f aca="false">IF(A56="","",IF(BA56&lt;=1200,"～1200",IF(BA56&lt;=1500,"1300～1500",IF(BA56=1600,"1600",IF(BA56&lt;=1800,"1700～1800",IF(BA56&lt;=2000,"1900～2000","2100以上"))))))</f>
        <v>1300～1500</v>
      </c>
      <c r="BS56" s="8" t="str">
        <f aca="false">IF(A56="","",IF(AX56="G1","G1",IF(AX56="G2","G2",IF(AX56="G3","G3",IF(AX56="L","L","その他")))))</f>
        <v>G3</v>
      </c>
      <c r="BT56" s="8" t="str">
        <f aca="false">IF(A56="","",IF(BI56="","未結合",IF(D56=BI56,"一致","不一致")))</f>
        <v>一致</v>
      </c>
      <c r="BU56" s="8" t="str">
        <f aca="false">IF(A56="","",IF(BE56="牝馬限定","牝馬限定","その他"))</f>
        <v>その他</v>
      </c>
    </row>
    <row r="57" customFormat="false" ht="15.75" hidden="false" customHeight="false" outlineLevel="0" collapsed="false">
      <c r="A57" s="3" t="n">
        <v>46229</v>
      </c>
      <c r="B57" s="4" t="s">
        <v>179</v>
      </c>
      <c r="C57" s="8" t="n">
        <v>8</v>
      </c>
      <c r="D57" s="8" t="n">
        <v>12</v>
      </c>
      <c r="E57" s="8" t="n">
        <v>2</v>
      </c>
      <c r="F57" s="4" t="s">
        <v>713</v>
      </c>
      <c r="G57" s="8" t="n">
        <v>44</v>
      </c>
      <c r="H57" s="8" t="n">
        <v>4</v>
      </c>
      <c r="I57" s="4" t="s">
        <v>715</v>
      </c>
      <c r="J57" s="8" t="n">
        <v>44</v>
      </c>
      <c r="K57" s="8" t="n">
        <v>10</v>
      </c>
      <c r="L57" s="4" t="s">
        <v>721</v>
      </c>
      <c r="M57" s="8" t="n">
        <v>37</v>
      </c>
      <c r="N57" s="8" t="n">
        <f aca="false">IF(A57="","",G57-J57)</f>
        <v>0</v>
      </c>
      <c r="O57" s="8" t="n">
        <f aca="false">IF(A57="","",J57-M57)</f>
        <v>7</v>
      </c>
      <c r="P57" s="8" t="n">
        <f aca="false">IF(A57="","",G57+J57)</f>
        <v>88</v>
      </c>
      <c r="Q57" s="8" t="str">
        <f aca="false">IF(A57="","",IF(AND(Y57&lt;&gt;"参考",G57&gt;=ルール設定!$B$2),"○",""))</f>
        <v/>
      </c>
      <c r="R57" s="8" t="str">
        <f aca="false">IF(A57="","",IF(AND(Y57&lt;&gt;"参考",G57&gt;=ルール設定!$B$3,N57&gt;=ルール設定!$B$4),"○",""))</f>
        <v/>
      </c>
      <c r="S57" s="8" t="str">
        <f aca="false">IF(A57="","",IF(AND(Y57&lt;&gt;"参考",G57&gt;=ルール設定!$B$5,J57&gt;=ルール設定!$B$6,O57&gt;=ルール設定!$B$7),"○",""))</f>
        <v/>
      </c>
      <c r="T57" s="8" t="n">
        <v>1</v>
      </c>
      <c r="U57" s="8" t="n">
        <v>4</v>
      </c>
      <c r="V57" s="8" t="str">
        <f aca="false">IF(A57="","",IF(AND(ISNUMBER(T57),ISNUMBER(U57)),IF(AND(T57&lt;=3,U57&lt;=3),"○","×"),""))</f>
        <v>×</v>
      </c>
      <c r="W57" s="8" t="n">
        <v>160</v>
      </c>
      <c r="X57" s="8"/>
      <c r="Y57" s="4" t="s">
        <v>7597</v>
      </c>
      <c r="Z57" s="4" t="s">
        <v>7614</v>
      </c>
      <c r="AA57" s="8" t="str">
        <v/>
      </c>
      <c r="AB57" s="8" t="str">
        <v/>
      </c>
      <c r="AC57" s="8" t="str">
        <v/>
      </c>
      <c r="AD57" s="8" t="str">
        <v/>
      </c>
      <c r="AE57" s="8" t="str">
        <v/>
      </c>
      <c r="AF57" s="8" t="str">
        <v/>
      </c>
      <c r="AG57" s="8" t="str">
        <v/>
      </c>
      <c r="AH57" s="8" t="str">
        <v/>
      </c>
      <c r="AI57" s="8" t="n">
        <v>7</v>
      </c>
      <c r="AJ57" s="8" t="str">
        <v>～59</v>
      </c>
      <c r="AK57" s="8" t="str">
        <v>0～4</v>
      </c>
      <c r="AL57" s="8" t="str">
        <v>0～9</v>
      </c>
      <c r="AM57" s="8" t="str">
        <v>～99</v>
      </c>
      <c r="AN57" s="8" t="str">
        <v>12～14</v>
      </c>
      <c r="AO57" s="8" t="str">
        <f aca="false">IF(A57="","",IF(COUNTIFS(全馬データ!$A$2:$A$50000,A57,全馬データ!$B$2:$B$50000,B57,全馬データ!$C$2:$C$50000,C57,全馬データ!$D$2:$D$50000,E57,全馬データ!$K$2:$K$50000,"&lt;&gt;")=0,"",SUMIFS(全馬データ!$K$2:$K$50000,全馬データ!$A$2:$A$50000,A57,全馬データ!$B$2:$B$50000,B57,全馬データ!$C$2:$C$50000,C57,全馬データ!$D$2:$D$50000,E57)))</f>
        <v/>
      </c>
      <c r="AP57" s="8" t="str">
        <f aca="false">IF(A57="","",IF(AO57="","欠損",IF(AO57&lt;=1.1,"1.0～1.1",IF(AO57&lt;1.3,"1.2",IF(AO57&lt;1.5,"1.3～1.4",IF(AO57&lt;2,"1.5～1.9","2.0以上"))))))</f>
        <v>欠損</v>
      </c>
      <c r="AQ57" s="8" t="str">
        <f aca="false">IF(A57="","",IF(ISNUMBER(SEARCH("2歳",Z57)),"2歳戦",IF(ISNUMBER(SEARCH("3歳未勝利",Z57)),"3歳未勝利",IF(ISNUMBER(SEARCH("未勝利",Z57)),"その他未勝利",IF(ISNUMBER(SEARCH("G1",Z57)),"G1",IF(ISNUMBER(SEARCH("G2",Z57)),"G2",IF(ISNUMBER(SEARCH("G3",Z57)),"G3",IF(ISNUMBER(SEARCH("古馬条件",Z57)),"古馬条件戦",IF(ISNUMBER(SEARCH("重賞",Z57)),"重賞","分類不能")))))))))</f>
        <v>分類不能</v>
      </c>
      <c r="AR57" s="4" t="s">
        <v>7673</v>
      </c>
      <c r="AS57" s="8" t="s">
        <v>7626</v>
      </c>
      <c r="AT57" s="8" t="s">
        <v>7627</v>
      </c>
      <c r="AU57" s="8" t="s">
        <v>7634</v>
      </c>
      <c r="AV57" s="8" t="s">
        <v>7635</v>
      </c>
      <c r="AW57" s="8" t="s">
        <v>7636</v>
      </c>
      <c r="AX57" s="4" t="s">
        <v>7637</v>
      </c>
      <c r="AY57" s="8" t="s">
        <v>7610</v>
      </c>
      <c r="AZ57" s="4" t="s">
        <v>7617</v>
      </c>
      <c r="BA57" s="8" t="n">
        <v>1800</v>
      </c>
      <c r="BB57" s="8" t="s">
        <v>7634</v>
      </c>
      <c r="BC57" s="4" t="s">
        <v>7604</v>
      </c>
      <c r="BD57" s="8" t="s">
        <v>7630</v>
      </c>
      <c r="BE57" s="4" t="s">
        <v>7606</v>
      </c>
      <c r="BF57" s="8" t="s">
        <v>7607</v>
      </c>
      <c r="BG57" s="8" t="s">
        <v>7631</v>
      </c>
      <c r="BH57" s="4" t="s">
        <v>7632</v>
      </c>
      <c r="BI57" s="8" t="n">
        <v>12</v>
      </c>
      <c r="BJ57" s="8" t="s">
        <v>7610</v>
      </c>
      <c r="BK57" s="4" t="s">
        <v>7611</v>
      </c>
      <c r="BL57" s="8" t="s">
        <v>7602</v>
      </c>
      <c r="BM57" s="4" t="s">
        <v>7620</v>
      </c>
      <c r="BN57" s="8"/>
      <c r="BO57" s="8"/>
      <c r="BP57" s="8" t="s">
        <v>7610</v>
      </c>
      <c r="BQ57" s="8" t="str">
        <f aca="false">IF(A57="","",AT57)</f>
        <v>3歳以上</v>
      </c>
      <c r="BR57" s="8" t="str">
        <f aca="false">IF(A57="","",IF(BA57&lt;=1200,"～1200",IF(BA57&lt;=1500,"1300～1500",IF(BA57=1600,"1600",IF(BA57&lt;=1800,"1700～1800",IF(BA57&lt;=2000,"1900～2000","2100以上"))))))</f>
        <v>1700～1800</v>
      </c>
      <c r="BS57" s="8" t="str">
        <f aca="false">IF(A57="","",IF(AX57="G1","G1",IF(AX57="G2","G2",IF(AX57="G3","G3",IF(AX57="L","L","その他")))))</f>
        <v>その他</v>
      </c>
      <c r="BT57" s="8" t="str">
        <f aca="false">IF(A57="","",IF(BI57="","未結合",IF(D57=BI57,"一致","不一致")))</f>
        <v>一致</v>
      </c>
      <c r="BU57" s="8" t="str">
        <f aca="false">IF(A57="","",IF(BE57="牝馬限定","牝馬限定","その他"))</f>
        <v>その他</v>
      </c>
    </row>
    <row r="58" customFormat="false" ht="15.75" hidden="false" customHeight="false" outlineLevel="0" collapsed="false">
      <c r="A58" s="3" t="n">
        <v>46229</v>
      </c>
      <c r="B58" s="4" t="s">
        <v>179</v>
      </c>
      <c r="C58" s="8" t="n">
        <v>9</v>
      </c>
      <c r="D58" s="8" t="n">
        <v>14</v>
      </c>
      <c r="E58" s="8" t="n">
        <v>4</v>
      </c>
      <c r="F58" s="4" t="s">
        <v>727</v>
      </c>
      <c r="G58" s="8" t="n">
        <v>67</v>
      </c>
      <c r="H58" s="8" t="n">
        <v>6</v>
      </c>
      <c r="I58" s="4" t="s">
        <v>729</v>
      </c>
      <c r="J58" s="8" t="n">
        <v>52</v>
      </c>
      <c r="K58" s="8" t="n">
        <v>3</v>
      </c>
      <c r="L58" s="4" t="s">
        <v>726</v>
      </c>
      <c r="M58" s="8" t="n">
        <v>44</v>
      </c>
      <c r="N58" s="8" t="n">
        <f aca="false">IF(A58="","",G58-J58)</f>
        <v>15</v>
      </c>
      <c r="O58" s="8" t="n">
        <f aca="false">IF(A58="","",J58-M58)</f>
        <v>8</v>
      </c>
      <c r="P58" s="8" t="n">
        <f aca="false">IF(A58="","",G58+J58)</f>
        <v>119</v>
      </c>
      <c r="Q58" s="8" t="str">
        <f aca="false">IF(A58="","",IF(AND(Y58&lt;&gt;"参考",G58&gt;=ルール設定!$B$2),"○",""))</f>
        <v/>
      </c>
      <c r="R58" s="8" t="str">
        <f aca="false">IF(A58="","",IF(AND(Y58&lt;&gt;"参考",G58&gt;=ルール設定!$B$3,N58&gt;=ルール設定!$B$4),"○",""))</f>
        <v/>
      </c>
      <c r="S58" s="8" t="str">
        <f aca="false">IF(A58="","",IF(AND(Y58&lt;&gt;"参考",G58&gt;=ルール設定!$B$5,J58&gt;=ルール設定!$B$6,O58&gt;=ルール設定!$B$7),"○",""))</f>
        <v/>
      </c>
      <c r="T58" s="8" t="n">
        <v>2</v>
      </c>
      <c r="U58" s="8" t="n">
        <v>4</v>
      </c>
      <c r="V58" s="8" t="str">
        <f aca="false">IF(A58="","",IF(AND(ISNUMBER(T58),ISNUMBER(U58)),IF(AND(T58&lt;=3,U58&lt;=3),"○","×"),""))</f>
        <v>×</v>
      </c>
      <c r="W58" s="8" t="n">
        <v>220</v>
      </c>
      <c r="X58" s="8"/>
      <c r="Y58" s="4" t="s">
        <v>7597</v>
      </c>
      <c r="Z58" s="8"/>
      <c r="AA58" s="8" t="str">
        <v/>
      </c>
      <c r="AB58" s="8" t="str">
        <v/>
      </c>
      <c r="AC58" s="8" t="str">
        <v/>
      </c>
      <c r="AD58" s="8" t="str">
        <v/>
      </c>
      <c r="AE58" s="8" t="str">
        <v/>
      </c>
      <c r="AF58" s="8" t="str">
        <v/>
      </c>
      <c r="AG58" s="8" t="str">
        <v/>
      </c>
      <c r="AH58" s="8" t="str">
        <v/>
      </c>
      <c r="AI58" s="8" t="n">
        <v>23</v>
      </c>
      <c r="AJ58" s="8" t="str">
        <v>60～69</v>
      </c>
      <c r="AK58" s="8" t="str">
        <v>10～19</v>
      </c>
      <c r="AL58" s="8" t="str">
        <v>20～29</v>
      </c>
      <c r="AM58" s="8" t="str">
        <v>100～119</v>
      </c>
      <c r="AN58" s="8" t="str">
        <v>12～14</v>
      </c>
      <c r="AO58" s="8" t="str">
        <f aca="false">IF(A58="","",IF(COUNTIFS(全馬データ!$A$2:$A$50000,A58,全馬データ!$B$2:$B$50000,B58,全馬データ!$C$2:$C$50000,C58,全馬データ!$D$2:$D$50000,E58,全馬データ!$K$2:$K$50000,"&lt;&gt;")=0,"",SUMIFS(全馬データ!$K$2:$K$50000,全馬データ!$A$2:$A$50000,A58,全馬データ!$B$2:$B$50000,B58,全馬データ!$C$2:$C$50000,C58,全馬データ!$D$2:$D$50000,E58)))</f>
        <v/>
      </c>
      <c r="AP58" s="8" t="str">
        <f aca="false">IF(A58="","",IF(AO58="","欠損",IF(AO58&lt;=1.1,"1.0～1.1",IF(AO58&lt;1.3,"1.2",IF(AO58&lt;1.5,"1.3～1.4",IF(AO58&lt;2,"1.5～1.9","2.0以上"))))))</f>
        <v>欠損</v>
      </c>
      <c r="AQ58" s="8" t="str">
        <f aca="false">IF(A58="","",IF(ISNUMBER(SEARCH("2歳",Z58)),"2歳戦",IF(ISNUMBER(SEARCH("3歳未勝利",Z58)),"3歳未勝利",IF(ISNUMBER(SEARCH("未勝利",Z58)),"その他未勝利",IF(ISNUMBER(SEARCH("G1",Z58)),"G1",IF(ISNUMBER(SEARCH("G2",Z58)),"G2",IF(ISNUMBER(SEARCH("G3",Z58)),"G3",IF(ISNUMBER(SEARCH("古馬条件",Z58)),"古馬条件戦",IF(ISNUMBER(SEARCH("重賞",Z58)),"重賞","分類不能")))))))))</f>
        <v>分類不能</v>
      </c>
      <c r="AR58" s="8"/>
      <c r="AS58" s="8" t="s">
        <v>7626</v>
      </c>
      <c r="AT58" s="8" t="s">
        <v>7627</v>
      </c>
      <c r="AU58" s="8" t="s">
        <v>7628</v>
      </c>
      <c r="AV58" s="8" t="s">
        <v>7629</v>
      </c>
      <c r="AW58" s="8"/>
      <c r="AX58" s="8"/>
      <c r="AY58" s="8" t="s">
        <v>7602</v>
      </c>
      <c r="AZ58" s="4" t="s">
        <v>7603</v>
      </c>
      <c r="BA58" s="8" t="n">
        <v>1400</v>
      </c>
      <c r="BB58" s="8" t="s">
        <v>7598</v>
      </c>
      <c r="BC58" s="4" t="s">
        <v>7604</v>
      </c>
      <c r="BD58" s="8" t="s">
        <v>7630</v>
      </c>
      <c r="BE58" s="4" t="s">
        <v>7606</v>
      </c>
      <c r="BF58" s="8" t="s">
        <v>7607</v>
      </c>
      <c r="BG58" s="8" t="s">
        <v>7631</v>
      </c>
      <c r="BH58" s="4" t="s">
        <v>7632</v>
      </c>
      <c r="BI58" s="8" t="n">
        <v>14</v>
      </c>
      <c r="BJ58" s="8" t="s">
        <v>7610</v>
      </c>
      <c r="BK58" s="4" t="s">
        <v>7611</v>
      </c>
      <c r="BL58" s="8" t="s">
        <v>7602</v>
      </c>
      <c r="BM58" s="4" t="s">
        <v>7620</v>
      </c>
      <c r="BN58" s="8" t="s">
        <v>7602</v>
      </c>
      <c r="BO58" s="8" t="s">
        <v>7613</v>
      </c>
      <c r="BP58" s="8" t="s">
        <v>7610</v>
      </c>
      <c r="BQ58" s="8" t="str">
        <f aca="false">IF(A58="","",AT58)</f>
        <v>3歳以上</v>
      </c>
      <c r="BR58" s="8" t="str">
        <f aca="false">IF(A58="","",IF(BA58&lt;=1200,"～1200",IF(BA58&lt;=1500,"1300～1500",IF(BA58=1600,"1600",IF(BA58&lt;=1800,"1700～1800",IF(BA58&lt;=2000,"1900～2000","2100以上"))))))</f>
        <v>1300～1500</v>
      </c>
      <c r="BS58" s="8" t="str">
        <f aca="false">IF(A58="","",IF(AX58="G1","G1",IF(AX58="G2","G2",IF(AX58="G3","G3",IF(AX58="L","L","その他")))))</f>
        <v>その他</v>
      </c>
      <c r="BT58" s="8" t="str">
        <f aca="false">IF(A58="","",IF(BI58="","未結合",IF(D58=BI58,"一致","不一致")))</f>
        <v>一致</v>
      </c>
      <c r="BU58" s="8" t="str">
        <f aca="false">IF(A58="","",IF(BE58="牝馬限定","牝馬限定","その他"))</f>
        <v>その他</v>
      </c>
    </row>
    <row r="59" customFormat="false" ht="15.75" hidden="false" customHeight="false" outlineLevel="0" collapsed="false">
      <c r="A59" s="3" t="n">
        <v>46229</v>
      </c>
      <c r="B59" s="4" t="s">
        <v>179</v>
      </c>
      <c r="C59" s="8" t="n">
        <v>10</v>
      </c>
      <c r="D59" s="8" t="n">
        <v>16</v>
      </c>
      <c r="E59" s="8" t="n">
        <v>2</v>
      </c>
      <c r="F59" s="4" t="s">
        <v>739</v>
      </c>
      <c r="G59" s="8" t="n">
        <v>71</v>
      </c>
      <c r="H59" s="8" t="n">
        <v>10</v>
      </c>
      <c r="I59" s="4" t="s">
        <v>747</v>
      </c>
      <c r="J59" s="8" t="n">
        <v>56</v>
      </c>
      <c r="K59" s="8" t="n">
        <v>16</v>
      </c>
      <c r="L59" s="4" t="s">
        <v>753</v>
      </c>
      <c r="M59" s="8" t="n">
        <v>39</v>
      </c>
      <c r="N59" s="8" t="n">
        <f aca="false">IF(A59="","",G59-J59)</f>
        <v>15</v>
      </c>
      <c r="O59" s="8" t="n">
        <f aca="false">IF(A59="","",J59-M59)</f>
        <v>17</v>
      </c>
      <c r="P59" s="8" t="n">
        <f aca="false">IF(A59="","",G59+J59)</f>
        <v>127</v>
      </c>
      <c r="Q59" s="8" t="str">
        <f aca="false">IF(A59="","",IF(AND(Y59&lt;&gt;"参考",G59&gt;=ルール設定!$B$2),"○",""))</f>
        <v/>
      </c>
      <c r="R59" s="8" t="str">
        <f aca="false">IF(A59="","",IF(AND(Y59&lt;&gt;"参考",G59&gt;=ルール設定!$B$3,N59&gt;=ルール設定!$B$4),"○",""))</f>
        <v/>
      </c>
      <c r="S59" s="8" t="str">
        <f aca="false">IF(A59="","",IF(AND(Y59&lt;&gt;"参考",G59&gt;=ルール設定!$B$5,J59&gt;=ルール設定!$B$6,O59&gt;=ルール設定!$B$7),"○",""))</f>
        <v/>
      </c>
      <c r="T59" s="8" t="n">
        <v>3</v>
      </c>
      <c r="U59" s="8" t="n">
        <v>1</v>
      </c>
      <c r="V59" s="8" t="str">
        <f aca="false">IF(A59="","",IF(AND(ISNUMBER(T59),ISNUMBER(U59)),IF(AND(T59&lt;=3,U59&lt;=3),"○","×"),""))</f>
        <v>○</v>
      </c>
      <c r="W59" s="8" t="n">
        <v>180</v>
      </c>
      <c r="X59" s="8" t="n">
        <v>340</v>
      </c>
      <c r="Y59" s="4" t="s">
        <v>7597</v>
      </c>
      <c r="Z59" s="8"/>
      <c r="AA59" s="8" t="str">
        <v/>
      </c>
      <c r="AB59" s="8" t="str">
        <v/>
      </c>
      <c r="AC59" s="8" t="str">
        <v/>
      </c>
      <c r="AD59" s="8" t="str">
        <v/>
      </c>
      <c r="AE59" s="8" t="str">
        <v/>
      </c>
      <c r="AF59" s="8" t="str">
        <v/>
      </c>
      <c r="AG59" s="8" t="str">
        <v/>
      </c>
      <c r="AH59" s="8" t="str">
        <v/>
      </c>
      <c r="AI59" s="8" t="n">
        <v>32</v>
      </c>
      <c r="AJ59" s="8" t="str">
        <v>70～74</v>
      </c>
      <c r="AK59" s="8" t="str">
        <v>10～19</v>
      </c>
      <c r="AL59" s="8" t="str">
        <v>30～39</v>
      </c>
      <c r="AM59" s="8" t="str">
        <v>120～139</v>
      </c>
      <c r="AN59" s="8" t="str">
        <v>15以上</v>
      </c>
      <c r="AO59" s="8" t="str">
        <f aca="false">IF(A59="","",IF(COUNTIFS(全馬データ!$A$2:$A$50000,A59,全馬データ!$B$2:$B$50000,B59,全馬データ!$C$2:$C$50000,C59,全馬データ!$D$2:$D$50000,E59,全馬データ!$K$2:$K$50000,"&lt;&gt;")=0,"",SUMIFS(全馬データ!$K$2:$K$50000,全馬データ!$A$2:$A$50000,A59,全馬データ!$B$2:$B$50000,B59,全馬データ!$C$2:$C$50000,C59,全馬データ!$D$2:$D$50000,E59)))</f>
        <v/>
      </c>
      <c r="AP59" s="8" t="str">
        <f aca="false">IF(A59="","",IF(AO59="","欠損",IF(AO59&lt;=1.1,"1.0～1.1",IF(AO59&lt;1.3,"1.2",IF(AO59&lt;1.5,"1.3～1.4",IF(AO59&lt;2,"1.5～1.9","2.0以上"))))))</f>
        <v>欠損</v>
      </c>
      <c r="AQ59" s="8" t="str">
        <f aca="false">IF(A59="","",IF(ISNUMBER(SEARCH("2歳",Z59)),"2歳戦",IF(ISNUMBER(SEARCH("3歳未勝利",Z59)),"3歳未勝利",IF(ISNUMBER(SEARCH("未勝利",Z59)),"その他未勝利",IF(ISNUMBER(SEARCH("G1",Z59)),"G1",IF(ISNUMBER(SEARCH("G2",Z59)),"G2",IF(ISNUMBER(SEARCH("G3",Z59)),"G3",IF(ISNUMBER(SEARCH("古馬条件",Z59)),"古馬条件戦",IF(ISNUMBER(SEARCH("重賞",Z59)),"重賞","分類不能")))))))))</f>
        <v>分類不能</v>
      </c>
      <c r="AR59" s="8"/>
      <c r="AS59" s="8" t="s">
        <v>7626</v>
      </c>
      <c r="AT59" s="8" t="s">
        <v>7627</v>
      </c>
      <c r="AU59" s="8" t="s">
        <v>7628</v>
      </c>
      <c r="AV59" s="8" t="s">
        <v>7629</v>
      </c>
      <c r="AW59" s="8"/>
      <c r="AX59" s="8"/>
      <c r="AY59" s="8" t="s">
        <v>7610</v>
      </c>
      <c r="AZ59" s="4" t="s">
        <v>7617</v>
      </c>
      <c r="BA59" s="8" t="n">
        <v>1400</v>
      </c>
      <c r="BB59" s="8" t="s">
        <v>7634</v>
      </c>
      <c r="BC59" s="4" t="s">
        <v>7604</v>
      </c>
      <c r="BD59" s="8" t="s">
        <v>7605</v>
      </c>
      <c r="BE59" s="4" t="s">
        <v>7606</v>
      </c>
      <c r="BF59" s="8" t="s">
        <v>7607</v>
      </c>
      <c r="BG59" s="8" t="s">
        <v>7631</v>
      </c>
      <c r="BH59" s="4" t="s">
        <v>7632</v>
      </c>
      <c r="BI59" s="8" t="n">
        <v>16</v>
      </c>
      <c r="BJ59" s="8" t="s">
        <v>7610</v>
      </c>
      <c r="BK59" s="4" t="s">
        <v>7611</v>
      </c>
      <c r="BL59" s="8" t="s">
        <v>7602</v>
      </c>
      <c r="BM59" s="4" t="s">
        <v>7620</v>
      </c>
      <c r="BN59" s="8"/>
      <c r="BO59" s="8"/>
      <c r="BP59" s="8" t="s">
        <v>7610</v>
      </c>
      <c r="BQ59" s="8" t="str">
        <f aca="false">IF(A59="","",AT59)</f>
        <v>3歳以上</v>
      </c>
      <c r="BR59" s="8" t="str">
        <f aca="false">IF(A59="","",IF(BA59&lt;=1200,"～1200",IF(BA59&lt;=1500,"1300～1500",IF(BA59=1600,"1600",IF(BA59&lt;=1800,"1700～1800",IF(BA59&lt;=2000,"1900～2000","2100以上"))))))</f>
        <v>1300～1500</v>
      </c>
      <c r="BS59" s="8" t="str">
        <f aca="false">IF(A59="","",IF(AX59="G1","G1",IF(AX59="G2","G2",IF(AX59="G3","G3",IF(AX59="L","L","その他")))))</f>
        <v>その他</v>
      </c>
      <c r="BT59" s="8" t="str">
        <f aca="false">IF(A59="","",IF(BI59="","未結合",IF(D59=BI59,"一致","不一致")))</f>
        <v>一致</v>
      </c>
      <c r="BU59" s="8" t="str">
        <f aca="false">IF(A59="","",IF(BE59="牝馬限定","牝馬限定","その他"))</f>
        <v>その他</v>
      </c>
    </row>
    <row r="60" customFormat="false" ht="15.75" hidden="false" customHeight="false" outlineLevel="0" collapsed="false">
      <c r="A60" s="3" t="n">
        <v>46229</v>
      </c>
      <c r="B60" s="4" t="s">
        <v>179</v>
      </c>
      <c r="C60" s="8" t="n">
        <v>11</v>
      </c>
      <c r="D60" s="8" t="n">
        <v>16</v>
      </c>
      <c r="E60" s="8" t="n">
        <v>2</v>
      </c>
      <c r="F60" s="4" t="s">
        <v>755</v>
      </c>
      <c r="G60" s="8" t="n">
        <v>60</v>
      </c>
      <c r="H60" s="8" t="n">
        <v>11</v>
      </c>
      <c r="I60" s="4" t="s">
        <v>764</v>
      </c>
      <c r="J60" s="8" t="n">
        <v>52</v>
      </c>
      <c r="K60" s="8" t="n">
        <v>13</v>
      </c>
      <c r="L60" s="4" t="s">
        <v>766</v>
      </c>
      <c r="M60" s="8" t="n">
        <v>41</v>
      </c>
      <c r="N60" s="8" t="n">
        <f aca="false">IF(A60="","",G60-J60)</f>
        <v>8</v>
      </c>
      <c r="O60" s="8" t="n">
        <f aca="false">IF(A60="","",J60-M60)</f>
        <v>11</v>
      </c>
      <c r="P60" s="8" t="n">
        <f aca="false">IF(A60="","",G60+J60)</f>
        <v>112</v>
      </c>
      <c r="Q60" s="8" t="str">
        <f aca="false">IF(A60="","",IF(AND(Y60&lt;&gt;"参考",G60&gt;=ルール設定!$B$2),"○",""))</f>
        <v/>
      </c>
      <c r="R60" s="8" t="str">
        <f aca="false">IF(A60="","",IF(AND(Y60&lt;&gt;"参考",G60&gt;=ルール設定!$B$3,N60&gt;=ルール設定!$B$4),"○",""))</f>
        <v/>
      </c>
      <c r="S60" s="8" t="str">
        <f aca="false">IF(A60="","",IF(AND(Y60&lt;&gt;"参考",G60&gt;=ルール設定!$B$5,J60&gt;=ルール設定!$B$6,O60&gt;=ルール設定!$B$7),"○",""))</f>
        <v/>
      </c>
      <c r="T60" s="8" t="n">
        <v>4</v>
      </c>
      <c r="U60" s="8" t="n">
        <v>3</v>
      </c>
      <c r="V60" s="8" t="str">
        <f aca="false">IF(A60="","",IF(AND(ISNUMBER(T60),ISNUMBER(U60)),IF(AND(T60&lt;=3,U60&lt;=3),"○","×"),""))</f>
        <v>×</v>
      </c>
      <c r="W60" s="8"/>
      <c r="X60" s="8"/>
      <c r="Y60" s="4" t="s">
        <v>7597</v>
      </c>
      <c r="Z60" s="8"/>
      <c r="AA60" s="8" t="str">
        <v/>
      </c>
      <c r="AB60" s="8" t="str">
        <v/>
      </c>
      <c r="AC60" s="8" t="str">
        <v/>
      </c>
      <c r="AD60" s="8" t="str">
        <v/>
      </c>
      <c r="AE60" s="8" t="str">
        <v/>
      </c>
      <c r="AF60" s="8" t="str">
        <v/>
      </c>
      <c r="AG60" s="8" t="str">
        <v/>
      </c>
      <c r="AH60" s="8" t="str">
        <v/>
      </c>
      <c r="AI60" s="8" t="n">
        <v>19</v>
      </c>
      <c r="AJ60" s="8" t="str">
        <v>60～69</v>
      </c>
      <c r="AK60" s="8" t="str">
        <v>5～9</v>
      </c>
      <c r="AL60" s="8" t="str">
        <v>10～19</v>
      </c>
      <c r="AM60" s="8" t="str">
        <v>100～119</v>
      </c>
      <c r="AN60" s="8" t="str">
        <v>15以上</v>
      </c>
      <c r="AO60" s="8" t="str">
        <f aca="false">IF(A60="","",IF(COUNTIFS(全馬データ!$A$2:$A$50000,A60,全馬データ!$B$2:$B$50000,B60,全馬データ!$C$2:$C$50000,C60,全馬データ!$D$2:$D$50000,E60,全馬データ!$K$2:$K$50000,"&lt;&gt;")=0,"",SUMIFS(全馬データ!$K$2:$K$50000,全馬データ!$A$2:$A$50000,A60,全馬データ!$B$2:$B$50000,B60,全馬データ!$C$2:$C$50000,C60,全馬データ!$D$2:$D$50000,E60)))</f>
        <v/>
      </c>
      <c r="AP60" s="8" t="str">
        <f aca="false">IF(A60="","",IF(AO60="","欠損",IF(AO60&lt;=1.1,"1.0～1.1",IF(AO60&lt;1.3,"1.2",IF(AO60&lt;1.5,"1.3～1.4",IF(AO60&lt;2,"1.5～1.9","2.0以上"))))))</f>
        <v>欠損</v>
      </c>
      <c r="AQ60" s="8" t="str">
        <f aca="false">IF(A60="","",IF(ISNUMBER(SEARCH("2歳",Z60)),"2歳戦",IF(ISNUMBER(SEARCH("3歳未勝利",Z60)),"3歳未勝利",IF(ISNUMBER(SEARCH("未勝利",Z60)),"その他未勝利",IF(ISNUMBER(SEARCH("G1",Z60)),"G1",IF(ISNUMBER(SEARCH("G2",Z60)),"G2",IF(ISNUMBER(SEARCH("G3",Z60)),"G3",IF(ISNUMBER(SEARCH("古馬条件",Z60)),"古馬条件戦",IF(ISNUMBER(SEARCH("重賞",Z60)),"重賞","分類不能")))))))))</f>
        <v>分類不能</v>
      </c>
      <c r="AR60" s="8"/>
      <c r="AS60" s="8" t="s">
        <v>7626</v>
      </c>
      <c r="AT60" s="8" t="s">
        <v>7627</v>
      </c>
      <c r="AU60" s="8" t="s">
        <v>7628</v>
      </c>
      <c r="AV60" s="8" t="s">
        <v>7629</v>
      </c>
      <c r="AW60" s="8"/>
      <c r="AX60" s="8"/>
      <c r="AY60" s="8" t="s">
        <v>7602</v>
      </c>
      <c r="AZ60" s="4" t="s">
        <v>7603</v>
      </c>
      <c r="BA60" s="8" t="n">
        <v>1600</v>
      </c>
      <c r="BB60" s="8" t="s">
        <v>7598</v>
      </c>
      <c r="BC60" s="4" t="s">
        <v>7604</v>
      </c>
      <c r="BD60" s="8" t="s">
        <v>7621</v>
      </c>
      <c r="BE60" s="4" t="s">
        <v>7622</v>
      </c>
      <c r="BF60" s="8" t="s">
        <v>7602</v>
      </c>
      <c r="BG60" s="8" t="s">
        <v>7631</v>
      </c>
      <c r="BH60" s="4" t="s">
        <v>7632</v>
      </c>
      <c r="BI60" s="8" t="n">
        <v>16</v>
      </c>
      <c r="BJ60" s="8" t="s">
        <v>7610</v>
      </c>
      <c r="BK60" s="4" t="s">
        <v>7611</v>
      </c>
      <c r="BL60" s="8" t="s">
        <v>7602</v>
      </c>
      <c r="BM60" s="4" t="s">
        <v>7620</v>
      </c>
      <c r="BN60" s="8" t="s">
        <v>7602</v>
      </c>
      <c r="BO60" s="8" t="s">
        <v>7613</v>
      </c>
      <c r="BP60" s="8" t="s">
        <v>7610</v>
      </c>
      <c r="BQ60" s="8" t="str">
        <f aca="false">IF(A60="","",AT60)</f>
        <v>3歳以上</v>
      </c>
      <c r="BR60" s="8" t="str">
        <f aca="false">IF(A60="","",IF(BA60&lt;=1200,"～1200",IF(BA60&lt;=1500,"1300～1500",IF(BA60=1600,"1600",IF(BA60&lt;=1800,"1700～1800",IF(BA60&lt;=2000,"1900～2000","2100以上"))))))</f>
        <v>1600</v>
      </c>
      <c r="BS60" s="8" t="str">
        <f aca="false">IF(A60="","",IF(AX60="G1","G1",IF(AX60="G2","G2",IF(AX60="G3","G3",IF(AX60="L","L","その他")))))</f>
        <v>その他</v>
      </c>
      <c r="BT60" s="8" t="str">
        <f aca="false">IF(A60="","",IF(BI60="","未結合",IF(D60=BI60,"一致","不一致")))</f>
        <v>一致</v>
      </c>
      <c r="BU60" s="8" t="str">
        <f aca="false">IF(A60="","",IF(BE60="牝馬限定","牝馬限定","その他"))</f>
        <v>牝馬限定</v>
      </c>
    </row>
    <row r="61" customFormat="false" ht="15.75" hidden="false" customHeight="false" outlineLevel="0" collapsed="false">
      <c r="A61" s="3" t="n">
        <v>46229</v>
      </c>
      <c r="B61" s="4" t="s">
        <v>179</v>
      </c>
      <c r="C61" s="8" t="n">
        <v>12</v>
      </c>
      <c r="D61" s="8" t="n">
        <v>15</v>
      </c>
      <c r="E61" s="8" t="n">
        <v>7</v>
      </c>
      <c r="F61" s="4" t="s">
        <v>776</v>
      </c>
      <c r="G61" s="8" t="n">
        <v>81</v>
      </c>
      <c r="H61" s="8" t="n">
        <v>3</v>
      </c>
      <c r="I61" s="4" t="s">
        <v>772</v>
      </c>
      <c r="J61" s="8" t="n">
        <v>62</v>
      </c>
      <c r="K61" s="8" t="n">
        <v>6</v>
      </c>
      <c r="L61" s="4" t="s">
        <v>775</v>
      </c>
      <c r="M61" s="8" t="n">
        <v>29</v>
      </c>
      <c r="N61" s="8" t="n">
        <f aca="false">IF(A61="","",G61-J61)</f>
        <v>19</v>
      </c>
      <c r="O61" s="8" t="n">
        <f aca="false">IF(A61="","",J61-M61)</f>
        <v>33</v>
      </c>
      <c r="P61" s="8" t="n">
        <f aca="false">IF(A61="","",G61+J61)</f>
        <v>143</v>
      </c>
      <c r="Q61" s="8" t="str">
        <f aca="false">IF(A61="","",IF(AND(Y61&lt;&gt;"参考",G61&gt;=ルール設定!$B$2),"○",""))</f>
        <v>○</v>
      </c>
      <c r="R61" s="8" t="str">
        <f aca="false">IF(A61="","",IF(AND(Y61&lt;&gt;"参考",G61&gt;=ルール設定!$B$3,N61&gt;=ルール設定!$B$4),"○",""))</f>
        <v/>
      </c>
      <c r="S61" s="8" t="str">
        <f aca="false">IF(A61="","",IF(AND(Y61&lt;&gt;"参考",G61&gt;=ルール設定!$B$5,J61&gt;=ルール設定!$B$6,O61&gt;=ルール設定!$B$7),"○",""))</f>
        <v>○</v>
      </c>
      <c r="T61" s="8" t="n">
        <v>3</v>
      </c>
      <c r="U61" s="8" t="n">
        <v>4</v>
      </c>
      <c r="V61" s="8" t="str">
        <f aca="false">IF(A61="","",IF(AND(ISNUMBER(T61),ISNUMBER(U61)),IF(AND(T61&lt;=3,U61&lt;=3),"○","×"),""))</f>
        <v>×</v>
      </c>
      <c r="W61" s="8" t="n">
        <v>110</v>
      </c>
      <c r="X61" s="8"/>
      <c r="Y61" s="4" t="s">
        <v>7597</v>
      </c>
      <c r="Z61" s="8"/>
      <c r="AA61" s="8" t="str">
        <v/>
      </c>
      <c r="AB61" s="8" t="str">
        <v>○</v>
      </c>
      <c r="AC61" s="8" t="str">
        <v>○</v>
      </c>
      <c r="AD61" s="8" t="str">
        <v/>
      </c>
      <c r="AE61" s="8" t="str">
        <v/>
      </c>
      <c r="AF61" s="8" t="str">
        <v>○</v>
      </c>
      <c r="AG61" s="8" t="str">
        <v>○</v>
      </c>
      <c r="AH61" s="8" t="str">
        <v/>
      </c>
      <c r="AI61" s="8" t="n">
        <v>52</v>
      </c>
      <c r="AJ61" s="8" t="str">
        <v>80～84</v>
      </c>
      <c r="AK61" s="8" t="str">
        <v>10～19</v>
      </c>
      <c r="AL61" s="8" t="str">
        <v>40以上</v>
      </c>
      <c r="AM61" s="8" t="str">
        <v>140～159</v>
      </c>
      <c r="AN61" s="8" t="str">
        <v>15以上</v>
      </c>
      <c r="AO61" s="8" t="n">
        <f aca="false">IF(A61="","",IF(COUNTIFS(全馬データ!$A$2:$A$50000,A61,全馬データ!$B$2:$B$50000,B61,全馬データ!$C$2:$C$50000,C61,全馬データ!$D$2:$D$50000,E61,全馬データ!$K$2:$K$50000,"&lt;&gt;")=0,"",SUMIFS(全馬データ!$K$2:$K$50000,全馬データ!$A$2:$A$50000,A61,全馬データ!$B$2:$B$50000,B61,全馬データ!$C$2:$C$50000,C61,全馬データ!$D$2:$D$50000,E61)))</f>
        <v>1.1</v>
      </c>
      <c r="AP61" s="8" t="str">
        <f aca="false">IF(A61="","",IF(AO61="","欠損",IF(AO61&lt;=1.1,"1.0～1.1",IF(AO61&lt;1.3,"1.2",IF(AO61&lt;1.5,"1.3～1.4",IF(AO61&lt;2,"1.5～1.9","2.0以上"))))))</f>
        <v>1.0～1.1</v>
      </c>
      <c r="AQ61" s="8" t="str">
        <f aca="false">IF(A61="","",IF(ISNUMBER(SEARCH("2歳",Z61)),"2歳戦",IF(ISNUMBER(SEARCH("3歳未勝利",Z61)),"3歳未勝利",IF(ISNUMBER(SEARCH("未勝利",Z61)),"その他未勝利",IF(ISNUMBER(SEARCH("G1",Z61)),"G1",IF(ISNUMBER(SEARCH("G2",Z61)),"G2",IF(ISNUMBER(SEARCH("G3",Z61)),"G3",IF(ISNUMBER(SEARCH("古馬条件",Z61)),"古馬条件戦",IF(ISNUMBER(SEARCH("重賞",Z61)),"重賞","分類不能")))))))))</f>
        <v>分類不能</v>
      </c>
      <c r="AR61" s="8"/>
      <c r="AS61" s="8" t="s">
        <v>7623</v>
      </c>
      <c r="AT61" s="8" t="s">
        <v>7624</v>
      </c>
      <c r="AU61" s="8" t="s">
        <v>7600</v>
      </c>
      <c r="AV61" s="4" t="s">
        <v>7601</v>
      </c>
      <c r="AW61" s="8"/>
      <c r="AX61" s="8"/>
      <c r="AY61" s="8" t="s">
        <v>7602</v>
      </c>
      <c r="AZ61" s="4" t="s">
        <v>7603</v>
      </c>
      <c r="BA61" s="8" t="n">
        <v>1200</v>
      </c>
      <c r="BB61" s="8" t="s">
        <v>7598</v>
      </c>
      <c r="BC61" s="4" t="s">
        <v>7604</v>
      </c>
      <c r="BD61" s="8" t="s">
        <v>7625</v>
      </c>
      <c r="BE61" s="4" t="s">
        <v>7606</v>
      </c>
      <c r="BF61" s="8" t="s">
        <v>7607</v>
      </c>
      <c r="BG61" s="8" t="s">
        <v>7608</v>
      </c>
      <c r="BH61" s="4" t="s">
        <v>7609</v>
      </c>
      <c r="BI61" s="8" t="n">
        <v>15</v>
      </c>
      <c r="BJ61" s="8" t="s">
        <v>7610</v>
      </c>
      <c r="BK61" s="4" t="s">
        <v>7611</v>
      </c>
      <c r="BL61" s="8" t="s">
        <v>7602</v>
      </c>
      <c r="BM61" s="4" t="s">
        <v>7620</v>
      </c>
      <c r="BN61" s="8" t="s">
        <v>7602</v>
      </c>
      <c r="BO61" s="8" t="s">
        <v>7613</v>
      </c>
      <c r="BP61" s="8" t="s">
        <v>7610</v>
      </c>
      <c r="BQ61" s="8" t="str">
        <f aca="false">IF(A61="","",AT61)</f>
        <v>3歳</v>
      </c>
      <c r="BR61" s="8" t="str">
        <f aca="false">IF(A61="","",IF(BA61&lt;=1200,"～1200",IF(BA61&lt;=1500,"1300～1500",IF(BA61=1600,"1600",IF(BA61&lt;=1800,"1700～1800",IF(BA61&lt;=2000,"1900～2000","2100以上"))))))</f>
        <v>～1200</v>
      </c>
      <c r="BS61" s="8" t="str">
        <f aca="false">IF(A61="","",IF(AX61="G1","G1",IF(AX61="G2","G2",IF(AX61="G3","G3",IF(AX61="L","L","その他")))))</f>
        <v>その他</v>
      </c>
      <c r="BT61" s="8" t="str">
        <f aca="false">IF(A61="","",IF(BI61="","未結合",IF(D61=BI61,"一致","不一致")))</f>
        <v>一致</v>
      </c>
      <c r="BU61" s="8" t="str">
        <f aca="false">IF(A61="","",IF(BE61="牝馬限定","牝馬限定","その他"))</f>
        <v>その他</v>
      </c>
    </row>
    <row r="62" customFormat="false" ht="15.75" hidden="false" customHeight="false" outlineLevel="0" collapsed="false">
      <c r="A62" s="3" t="n">
        <v>46229</v>
      </c>
      <c r="B62" s="4" t="s">
        <v>334</v>
      </c>
      <c r="C62" s="8" t="n">
        <v>1</v>
      </c>
      <c r="D62" s="8" t="n">
        <v>12</v>
      </c>
      <c r="E62" s="8" t="n">
        <v>10</v>
      </c>
      <c r="F62" s="4" t="s">
        <v>794</v>
      </c>
      <c r="G62" s="8" t="n">
        <v>81</v>
      </c>
      <c r="H62" s="8" t="n">
        <v>6</v>
      </c>
      <c r="I62" s="4" t="s">
        <v>790</v>
      </c>
      <c r="J62" s="8" t="n">
        <v>56</v>
      </c>
      <c r="K62" s="8" t="n">
        <v>3</v>
      </c>
      <c r="L62" s="4" t="s">
        <v>787</v>
      </c>
      <c r="M62" s="8" t="n">
        <v>41</v>
      </c>
      <c r="N62" s="8" t="n">
        <f aca="false">IF(A62="","",G62-J62)</f>
        <v>25</v>
      </c>
      <c r="O62" s="8" t="n">
        <f aca="false">IF(A62="","",J62-M62)</f>
        <v>15</v>
      </c>
      <c r="P62" s="8" t="n">
        <f aca="false">IF(A62="","",G62+J62)</f>
        <v>137</v>
      </c>
      <c r="Q62" s="8" t="str">
        <f aca="false">IF(A62="","",IF(AND(Y62&lt;&gt;"参考",G62&gt;=ルール設定!$B$2),"○",""))</f>
        <v>○</v>
      </c>
      <c r="R62" s="8" t="str">
        <f aca="false">IF(A62="","",IF(AND(Y62&lt;&gt;"参考",G62&gt;=ルール設定!$B$3,N62&gt;=ルール設定!$B$4),"○",""))</f>
        <v/>
      </c>
      <c r="S62" s="8" t="str">
        <f aca="false">IF(A62="","",IF(AND(Y62&lt;&gt;"参考",G62&gt;=ルール設定!$B$5,J62&gt;=ルール設定!$B$6,O62&gt;=ルール設定!$B$7),"○",""))</f>
        <v/>
      </c>
      <c r="T62" s="8" t="n">
        <v>1</v>
      </c>
      <c r="U62" s="8" t="n">
        <v>4</v>
      </c>
      <c r="V62" s="8" t="str">
        <f aca="false">IF(A62="","",IF(AND(ISNUMBER(T62),ISNUMBER(U62)),IF(AND(T62&lt;=3,U62&lt;=3),"○","×"),""))</f>
        <v>×</v>
      </c>
      <c r="W62" s="8" t="n">
        <v>110</v>
      </c>
      <c r="X62" s="8"/>
      <c r="Y62" s="4" t="s">
        <v>7597</v>
      </c>
      <c r="Z62" s="8"/>
      <c r="AA62" s="8" t="str">
        <v/>
      </c>
      <c r="AB62" s="8" t="str">
        <v>○</v>
      </c>
      <c r="AC62" s="8" t="str">
        <v>○</v>
      </c>
      <c r="AD62" s="8" t="str">
        <v/>
      </c>
      <c r="AE62" s="8" t="str">
        <v/>
      </c>
      <c r="AF62" s="8" t="str">
        <v/>
      </c>
      <c r="AG62" s="8" t="str">
        <v>○</v>
      </c>
      <c r="AH62" s="8" t="str">
        <v/>
      </c>
      <c r="AI62" s="8" t="n">
        <v>40</v>
      </c>
      <c r="AJ62" s="8" t="str">
        <v>80～84</v>
      </c>
      <c r="AK62" s="8" t="str">
        <v>20～29</v>
      </c>
      <c r="AL62" s="8" t="str">
        <v>40以上</v>
      </c>
      <c r="AM62" s="8" t="str">
        <v>120～139</v>
      </c>
      <c r="AN62" s="8" t="str">
        <v>12～14</v>
      </c>
      <c r="AO62" s="8" t="n">
        <f aca="false">IF(A62="","",IF(COUNTIFS(全馬データ!$A$2:$A$50000,A62,全馬データ!$B$2:$B$50000,B62,全馬データ!$C$2:$C$50000,C62,全馬データ!$D$2:$D$50000,E62,全馬データ!$K$2:$K$50000,"&lt;&gt;")=0,"",SUMIFS(全馬データ!$K$2:$K$50000,全馬データ!$A$2:$A$50000,A62,全馬データ!$B$2:$B$50000,B62,全馬データ!$C$2:$C$50000,C62,全馬データ!$D$2:$D$50000,E62)))</f>
        <v>1.1</v>
      </c>
      <c r="AP62" s="8" t="str">
        <f aca="false">IF(A62="","",IF(AO62="","欠損",IF(AO62&lt;=1.1,"1.0～1.1",IF(AO62&lt;1.3,"1.2",IF(AO62&lt;1.5,"1.3～1.4",IF(AO62&lt;2,"1.5～1.9","2.0以上"))))))</f>
        <v>1.0～1.1</v>
      </c>
      <c r="AQ62" s="8" t="str">
        <f aca="false">IF(A62="","",IF(ISNUMBER(SEARCH("2歳",Z62)),"2歳戦",IF(ISNUMBER(SEARCH("3歳未勝利",Z62)),"3歳未勝利",IF(ISNUMBER(SEARCH("未勝利",Z62)),"その他未勝利",IF(ISNUMBER(SEARCH("G1",Z62)),"G1",IF(ISNUMBER(SEARCH("G2",Z62)),"G2",IF(ISNUMBER(SEARCH("G3",Z62)),"G3",IF(ISNUMBER(SEARCH("古馬条件",Z62)),"古馬条件戦",IF(ISNUMBER(SEARCH("重賞",Z62)),"重賞","分類不能")))))))))</f>
        <v>分類不能</v>
      </c>
      <c r="AR62" s="8"/>
      <c r="AS62" s="8" t="s">
        <v>7598</v>
      </c>
      <c r="AT62" s="8" t="s">
        <v>7599</v>
      </c>
      <c r="AU62" s="8" t="s">
        <v>7600</v>
      </c>
      <c r="AV62" s="4" t="s">
        <v>7601</v>
      </c>
      <c r="AW62" s="8"/>
      <c r="AX62" s="8"/>
      <c r="AY62" s="8" t="s">
        <v>7610</v>
      </c>
      <c r="AZ62" s="4" t="s">
        <v>7617</v>
      </c>
      <c r="BA62" s="8" t="n">
        <v>1000</v>
      </c>
      <c r="BB62" s="8" t="s">
        <v>7598</v>
      </c>
      <c r="BC62" s="4" t="s">
        <v>7604</v>
      </c>
      <c r="BD62" s="8" t="s">
        <v>7605</v>
      </c>
      <c r="BE62" s="4" t="s">
        <v>7606</v>
      </c>
      <c r="BF62" s="8" t="s">
        <v>7607</v>
      </c>
      <c r="BG62" s="8" t="s">
        <v>7608</v>
      </c>
      <c r="BH62" s="4" t="s">
        <v>7609</v>
      </c>
      <c r="BI62" s="8" t="n">
        <v>12</v>
      </c>
      <c r="BJ62" s="8" t="s">
        <v>7602</v>
      </c>
      <c r="BK62" s="4" t="s">
        <v>7653</v>
      </c>
      <c r="BL62" s="8" t="s">
        <v>7602</v>
      </c>
      <c r="BM62" s="4" t="s">
        <v>7620</v>
      </c>
      <c r="BN62" s="8"/>
      <c r="BO62" s="8"/>
      <c r="BP62" s="8" t="s">
        <v>7608</v>
      </c>
      <c r="BQ62" s="8" t="str">
        <f aca="false">IF(A62="","",AT62)</f>
        <v>2歳</v>
      </c>
      <c r="BR62" s="8" t="str">
        <f aca="false">IF(A62="","",IF(BA62&lt;=1200,"～1200",IF(BA62&lt;=1500,"1300～1500",IF(BA62=1600,"1600",IF(BA62&lt;=1800,"1700～1800",IF(BA62&lt;=2000,"1900～2000","2100以上"))))))</f>
        <v>～1200</v>
      </c>
      <c r="BS62" s="8" t="str">
        <f aca="false">IF(A62="","",IF(AX62="G1","G1",IF(AX62="G2","G2",IF(AX62="G3","G3",IF(AX62="L","L","その他")))))</f>
        <v>その他</v>
      </c>
      <c r="BT62" s="8" t="str">
        <f aca="false">IF(A62="","",IF(BI62="","未結合",IF(D62=BI62,"一致","不一致")))</f>
        <v>一致</v>
      </c>
      <c r="BU62" s="8" t="str">
        <f aca="false">IF(A62="","",IF(BE62="牝馬限定","牝馬限定","その他"))</f>
        <v>その他</v>
      </c>
    </row>
    <row r="63" customFormat="false" ht="15.75" hidden="false" customHeight="false" outlineLevel="0" collapsed="false">
      <c r="A63" s="3" t="n">
        <v>46229</v>
      </c>
      <c r="B63" s="4" t="s">
        <v>334</v>
      </c>
      <c r="C63" s="8" t="n">
        <v>2</v>
      </c>
      <c r="D63" s="8" t="n">
        <v>10</v>
      </c>
      <c r="E63" s="8" t="n">
        <v>6</v>
      </c>
      <c r="F63" s="4" t="s">
        <v>802</v>
      </c>
      <c r="G63" s="8" t="n">
        <v>75</v>
      </c>
      <c r="H63" s="8" t="n">
        <v>5</v>
      </c>
      <c r="I63" s="4" t="s">
        <v>801</v>
      </c>
      <c r="J63" s="8" t="n">
        <v>52</v>
      </c>
      <c r="K63" s="8" t="n">
        <v>2</v>
      </c>
      <c r="L63" s="4" t="s">
        <v>798</v>
      </c>
      <c r="M63" s="8" t="n">
        <v>47</v>
      </c>
      <c r="N63" s="8" t="n">
        <f aca="false">IF(A63="","",G63-J63)</f>
        <v>23</v>
      </c>
      <c r="O63" s="8" t="n">
        <f aca="false">IF(A63="","",J63-M63)</f>
        <v>5</v>
      </c>
      <c r="P63" s="8" t="n">
        <f aca="false">IF(A63="","",G63+J63)</f>
        <v>127</v>
      </c>
      <c r="Q63" s="8" t="str">
        <f aca="false">IF(A63="","",IF(AND(Y63&lt;&gt;"参考",G63&gt;=ルール設定!$B$2),"○",""))</f>
        <v/>
      </c>
      <c r="R63" s="8" t="str">
        <f aca="false">IF(A63="","",IF(AND(Y63&lt;&gt;"参考",G63&gt;=ルール設定!$B$3,N63&gt;=ルール設定!$B$4),"○",""))</f>
        <v/>
      </c>
      <c r="S63" s="8" t="str">
        <f aca="false">IF(A63="","",IF(AND(Y63&lt;&gt;"参考",G63&gt;=ルール設定!$B$5,J63&gt;=ルール設定!$B$6,O63&gt;=ルール設定!$B$7),"○",""))</f>
        <v/>
      </c>
      <c r="T63" s="8" t="n">
        <v>3</v>
      </c>
      <c r="U63" s="8" t="n">
        <v>2</v>
      </c>
      <c r="V63" s="8" t="str">
        <f aca="false">IF(A63="","",IF(AND(ISNUMBER(T63),ISNUMBER(U63)),IF(AND(T63&lt;=3,U63&lt;=3),"○","×"),""))</f>
        <v>○</v>
      </c>
      <c r="W63" s="8" t="n">
        <v>130</v>
      </c>
      <c r="X63" s="8" t="n">
        <v>300</v>
      </c>
      <c r="Y63" s="4" t="s">
        <v>7597</v>
      </c>
      <c r="Z63" s="8"/>
      <c r="AA63" s="8" t="str">
        <v/>
      </c>
      <c r="AB63" s="8" t="str">
        <v/>
      </c>
      <c r="AC63" s="8" t="str">
        <v/>
      </c>
      <c r="AD63" s="8" t="str">
        <v/>
      </c>
      <c r="AE63" s="8" t="str">
        <v/>
      </c>
      <c r="AF63" s="8" t="str">
        <v/>
      </c>
      <c r="AG63" s="8" t="str">
        <v/>
      </c>
      <c r="AH63" s="8" t="str">
        <v/>
      </c>
      <c r="AI63" s="8" t="n">
        <v>28</v>
      </c>
      <c r="AJ63" s="8" t="str">
        <v>75～79</v>
      </c>
      <c r="AK63" s="8" t="str">
        <v>20～29</v>
      </c>
      <c r="AL63" s="8" t="str">
        <v>20～29</v>
      </c>
      <c r="AM63" s="8" t="str">
        <v>120～139</v>
      </c>
      <c r="AN63" s="8" t="str">
        <v>8～11</v>
      </c>
      <c r="AO63" s="8" t="str">
        <f aca="false">IF(A63="","",IF(COUNTIFS(全馬データ!$A$2:$A$50000,A63,全馬データ!$B$2:$B$50000,B63,全馬データ!$C$2:$C$50000,C63,全馬データ!$D$2:$D$50000,E63,全馬データ!$K$2:$K$50000,"&lt;&gt;")=0,"",SUMIFS(全馬データ!$K$2:$K$50000,全馬データ!$A$2:$A$50000,A63,全馬データ!$B$2:$B$50000,B63,全馬データ!$C$2:$C$50000,C63,全馬データ!$D$2:$D$50000,E63)))</f>
        <v/>
      </c>
      <c r="AP63" s="8" t="str">
        <f aca="false">IF(A63="","",IF(AO63="","欠損",IF(AO63&lt;=1.1,"1.0～1.1",IF(AO63&lt;1.3,"1.2",IF(AO63&lt;1.5,"1.3～1.4",IF(AO63&lt;2,"1.5～1.9","2.0以上"))))))</f>
        <v>欠損</v>
      </c>
      <c r="AQ63" s="8" t="str">
        <f aca="false">IF(A63="","",IF(ISNUMBER(SEARCH("2歳",Z63)),"2歳戦",IF(ISNUMBER(SEARCH("3歳未勝利",Z63)),"3歳未勝利",IF(ISNUMBER(SEARCH("未勝利",Z63)),"その他未勝利",IF(ISNUMBER(SEARCH("G1",Z63)),"G1",IF(ISNUMBER(SEARCH("G2",Z63)),"G2",IF(ISNUMBER(SEARCH("G3",Z63)),"G3",IF(ISNUMBER(SEARCH("古馬条件",Z63)),"古馬条件戦",IF(ISNUMBER(SEARCH("重賞",Z63)),"重賞","分類不能")))))))))</f>
        <v>分類不能</v>
      </c>
      <c r="AR63" s="8"/>
      <c r="AS63" s="8" t="s">
        <v>7623</v>
      </c>
      <c r="AT63" s="8" t="s">
        <v>7624</v>
      </c>
      <c r="AU63" s="8" t="s">
        <v>7600</v>
      </c>
      <c r="AV63" s="4" t="s">
        <v>7601</v>
      </c>
      <c r="AW63" s="8"/>
      <c r="AX63" s="8"/>
      <c r="AY63" s="8" t="s">
        <v>7610</v>
      </c>
      <c r="AZ63" s="4" t="s">
        <v>7617</v>
      </c>
      <c r="BA63" s="8" t="n">
        <v>1700</v>
      </c>
      <c r="BB63" s="8" t="s">
        <v>7598</v>
      </c>
      <c r="BC63" s="4" t="s">
        <v>7604</v>
      </c>
      <c r="BD63" s="8" t="s">
        <v>7621</v>
      </c>
      <c r="BE63" s="4" t="s">
        <v>7622</v>
      </c>
      <c r="BF63" s="8" t="s">
        <v>7602</v>
      </c>
      <c r="BG63" s="8" t="s">
        <v>7608</v>
      </c>
      <c r="BH63" s="4" t="s">
        <v>7609</v>
      </c>
      <c r="BI63" s="8" t="n">
        <v>10</v>
      </c>
      <c r="BJ63" s="8" t="s">
        <v>7602</v>
      </c>
      <c r="BK63" s="4" t="s">
        <v>7653</v>
      </c>
      <c r="BL63" s="8" t="s">
        <v>7602</v>
      </c>
      <c r="BM63" s="4" t="s">
        <v>7620</v>
      </c>
      <c r="BN63" s="8"/>
      <c r="BO63" s="8"/>
      <c r="BP63" s="8" t="s">
        <v>7608</v>
      </c>
      <c r="BQ63" s="8" t="str">
        <f aca="false">IF(A63="","",AT63)</f>
        <v>3歳</v>
      </c>
      <c r="BR63" s="8" t="str">
        <f aca="false">IF(A63="","",IF(BA63&lt;=1200,"～1200",IF(BA63&lt;=1500,"1300～1500",IF(BA63=1600,"1600",IF(BA63&lt;=1800,"1700～1800",IF(BA63&lt;=2000,"1900～2000","2100以上"))))))</f>
        <v>1700～1800</v>
      </c>
      <c r="BS63" s="8" t="str">
        <f aca="false">IF(A63="","",IF(AX63="G1","G1",IF(AX63="G2","G2",IF(AX63="G3","G3",IF(AX63="L","L","その他")))))</f>
        <v>その他</v>
      </c>
      <c r="BT63" s="8" t="str">
        <f aca="false">IF(A63="","",IF(BI63="","未結合",IF(D63=BI63,"一致","不一致")))</f>
        <v>一致</v>
      </c>
      <c r="BU63" s="8" t="str">
        <f aca="false">IF(A63="","",IF(BE63="牝馬限定","牝馬限定","その他"))</f>
        <v>牝馬限定</v>
      </c>
    </row>
    <row r="64" customFormat="false" ht="15.75" hidden="false" customHeight="false" outlineLevel="0" collapsed="false">
      <c r="A64" s="3" t="n">
        <v>46229</v>
      </c>
      <c r="B64" s="4" t="s">
        <v>334</v>
      </c>
      <c r="C64" s="8" t="n">
        <v>3</v>
      </c>
      <c r="D64" s="8" t="n">
        <v>16</v>
      </c>
      <c r="E64" s="8" t="n">
        <v>8</v>
      </c>
      <c r="F64" s="4" t="s">
        <v>814</v>
      </c>
      <c r="G64" s="8" t="n">
        <v>39</v>
      </c>
      <c r="H64" s="8" t="n">
        <v>10</v>
      </c>
      <c r="I64" s="4" t="s">
        <v>816</v>
      </c>
      <c r="J64" s="8" t="n">
        <v>39</v>
      </c>
      <c r="K64" s="8" t="n">
        <v>14</v>
      </c>
      <c r="L64" s="4" t="s">
        <v>820</v>
      </c>
      <c r="M64" s="8" t="n">
        <v>31</v>
      </c>
      <c r="N64" s="8" t="n">
        <f aca="false">IF(A64="","",G64-J64)</f>
        <v>0</v>
      </c>
      <c r="O64" s="8" t="n">
        <f aca="false">IF(A64="","",J64-M64)</f>
        <v>8</v>
      </c>
      <c r="P64" s="8" t="n">
        <f aca="false">IF(A64="","",G64+J64)</f>
        <v>78</v>
      </c>
      <c r="Q64" s="8" t="str">
        <f aca="false">IF(A64="","",IF(AND(Y64&lt;&gt;"参考",G64&gt;=ルール設定!$B$2),"○",""))</f>
        <v/>
      </c>
      <c r="R64" s="8" t="str">
        <f aca="false">IF(A64="","",IF(AND(Y64&lt;&gt;"参考",G64&gt;=ルール設定!$B$3,N64&gt;=ルール設定!$B$4),"○",""))</f>
        <v/>
      </c>
      <c r="S64" s="8" t="str">
        <f aca="false">IF(A64="","",IF(AND(Y64&lt;&gt;"参考",G64&gt;=ルール設定!$B$5,J64&gt;=ルール設定!$B$6,O64&gt;=ルール設定!$B$7),"○",""))</f>
        <v/>
      </c>
      <c r="T64" s="8" t="n">
        <v>1</v>
      </c>
      <c r="U64" s="8" t="n">
        <v>4</v>
      </c>
      <c r="V64" s="8" t="str">
        <f aca="false">IF(A64="","",IF(AND(ISNUMBER(T64),ISNUMBER(U64)),IF(AND(T64&lt;=3,U64&lt;=3),"○","×"),""))</f>
        <v>×</v>
      </c>
      <c r="W64" s="8" t="n">
        <v>170</v>
      </c>
      <c r="X64" s="8"/>
      <c r="Y64" s="4" t="s">
        <v>7597</v>
      </c>
      <c r="Z64" s="4" t="s">
        <v>7614</v>
      </c>
      <c r="AA64" s="8" t="str">
        <v/>
      </c>
      <c r="AB64" s="8" t="str">
        <v/>
      </c>
      <c r="AC64" s="8" t="str">
        <v/>
      </c>
      <c r="AD64" s="8" t="str">
        <v/>
      </c>
      <c r="AE64" s="8" t="str">
        <v/>
      </c>
      <c r="AF64" s="8" t="str">
        <v/>
      </c>
      <c r="AG64" s="8" t="str">
        <v/>
      </c>
      <c r="AH64" s="8" t="str">
        <v/>
      </c>
      <c r="AI64" s="8" t="n">
        <v>8</v>
      </c>
      <c r="AJ64" s="8" t="str">
        <v>～59</v>
      </c>
      <c r="AK64" s="8" t="str">
        <v>0～4</v>
      </c>
      <c r="AL64" s="8" t="str">
        <v>0～9</v>
      </c>
      <c r="AM64" s="8" t="str">
        <v>～99</v>
      </c>
      <c r="AN64" s="8" t="str">
        <v>15以上</v>
      </c>
      <c r="AO64" s="8" t="str">
        <f aca="false">IF(A64="","",IF(COUNTIFS(全馬データ!$A$2:$A$50000,A64,全馬データ!$B$2:$B$50000,B64,全馬データ!$C$2:$C$50000,C64,全馬データ!$D$2:$D$50000,E64,全馬データ!$K$2:$K$50000,"&lt;&gt;")=0,"",SUMIFS(全馬データ!$K$2:$K$50000,全馬データ!$A$2:$A$50000,A64,全馬データ!$B$2:$B$50000,B64,全馬データ!$C$2:$C$50000,C64,全馬データ!$D$2:$D$50000,E64)))</f>
        <v/>
      </c>
      <c r="AP64" s="8" t="str">
        <f aca="false">IF(A64="","",IF(AO64="","欠損",IF(AO64&lt;=1.1,"1.0～1.1",IF(AO64&lt;1.3,"1.2",IF(AO64&lt;1.5,"1.3～1.4",IF(AO64&lt;2,"1.5～1.9","2.0以上"))))))</f>
        <v>欠損</v>
      </c>
      <c r="AQ64" s="8" t="str">
        <f aca="false">IF(A64="","",IF(ISNUMBER(SEARCH("2歳",Z64)),"2歳戦",IF(ISNUMBER(SEARCH("3歳未勝利",Z64)),"3歳未勝利",IF(ISNUMBER(SEARCH("未勝利",Z64)),"その他未勝利",IF(ISNUMBER(SEARCH("G1",Z64)),"G1",IF(ISNUMBER(SEARCH("G2",Z64)),"G2",IF(ISNUMBER(SEARCH("G3",Z64)),"G3",IF(ISNUMBER(SEARCH("古馬条件",Z64)),"古馬条件戦",IF(ISNUMBER(SEARCH("重賞",Z64)),"重賞","分類不能")))))))))</f>
        <v>分類不能</v>
      </c>
      <c r="AR64" s="8"/>
      <c r="AS64" s="8" t="s">
        <v>7623</v>
      </c>
      <c r="AT64" s="8" t="s">
        <v>7624</v>
      </c>
      <c r="AU64" s="8" t="s">
        <v>7600</v>
      </c>
      <c r="AV64" s="4" t="s">
        <v>7601</v>
      </c>
      <c r="AW64" s="8"/>
      <c r="AX64" s="8"/>
      <c r="AY64" s="8" t="s">
        <v>7602</v>
      </c>
      <c r="AZ64" s="4" t="s">
        <v>7603</v>
      </c>
      <c r="BA64" s="8" t="n">
        <v>1200</v>
      </c>
      <c r="BB64" s="8" t="s">
        <v>7598</v>
      </c>
      <c r="BC64" s="4" t="s">
        <v>7604</v>
      </c>
      <c r="BD64" s="8" t="s">
        <v>7605</v>
      </c>
      <c r="BE64" s="4" t="s">
        <v>7606</v>
      </c>
      <c r="BF64" s="8" t="s">
        <v>7607</v>
      </c>
      <c r="BG64" s="8" t="s">
        <v>7608</v>
      </c>
      <c r="BH64" s="4" t="s">
        <v>7609</v>
      </c>
      <c r="BI64" s="8" t="n">
        <v>16</v>
      </c>
      <c r="BJ64" s="8" t="s">
        <v>7602</v>
      </c>
      <c r="BK64" s="4" t="s">
        <v>7653</v>
      </c>
      <c r="BL64" s="8" t="s">
        <v>7602</v>
      </c>
      <c r="BM64" s="4" t="s">
        <v>7620</v>
      </c>
      <c r="BN64" s="8" t="s">
        <v>7602</v>
      </c>
      <c r="BO64" s="8" t="s">
        <v>7613</v>
      </c>
      <c r="BP64" s="8" t="s">
        <v>7608</v>
      </c>
      <c r="BQ64" s="8" t="str">
        <f aca="false">IF(A64="","",AT64)</f>
        <v>3歳</v>
      </c>
      <c r="BR64" s="8" t="str">
        <f aca="false">IF(A64="","",IF(BA64&lt;=1200,"～1200",IF(BA64&lt;=1500,"1300～1500",IF(BA64=1600,"1600",IF(BA64&lt;=1800,"1700～1800",IF(BA64&lt;=2000,"1900～2000","2100以上"))))))</f>
        <v>～1200</v>
      </c>
      <c r="BS64" s="8" t="str">
        <f aca="false">IF(A64="","",IF(AX64="G1","G1",IF(AX64="G2","G2",IF(AX64="G3","G3",IF(AX64="L","L","その他")))))</f>
        <v>その他</v>
      </c>
      <c r="BT64" s="8" t="str">
        <f aca="false">IF(A64="","",IF(BI64="","未結合",IF(D64=BI64,"一致","不一致")))</f>
        <v>一致</v>
      </c>
      <c r="BU64" s="8" t="str">
        <f aca="false">IF(A64="","",IF(BE64="牝馬限定","牝馬限定","その他"))</f>
        <v>その他</v>
      </c>
    </row>
    <row r="65" customFormat="false" ht="15.75" hidden="false" customHeight="false" outlineLevel="0" collapsed="false">
      <c r="A65" s="3" t="n">
        <v>46229</v>
      </c>
      <c r="B65" s="4" t="s">
        <v>334</v>
      </c>
      <c r="C65" s="8" t="n">
        <v>4</v>
      </c>
      <c r="D65" s="8" t="n">
        <v>11</v>
      </c>
      <c r="E65" s="8" t="n">
        <v>9</v>
      </c>
      <c r="F65" s="4" t="s">
        <v>831</v>
      </c>
      <c r="G65" s="8" t="n">
        <v>50</v>
      </c>
      <c r="H65" s="8" t="n">
        <v>4</v>
      </c>
      <c r="I65" s="4" t="s">
        <v>826</v>
      </c>
      <c r="J65" s="8" t="n">
        <v>39</v>
      </c>
      <c r="K65" s="8" t="n">
        <v>5</v>
      </c>
      <c r="L65" s="4" t="s">
        <v>827</v>
      </c>
      <c r="M65" s="8" t="n">
        <v>39</v>
      </c>
      <c r="N65" s="8" t="n">
        <f aca="false">IF(A65="","",G65-J65)</f>
        <v>11</v>
      </c>
      <c r="O65" s="8" t="n">
        <f aca="false">IF(A65="","",J65-M65)</f>
        <v>0</v>
      </c>
      <c r="P65" s="8" t="n">
        <f aca="false">IF(A65="","",G65+J65)</f>
        <v>89</v>
      </c>
      <c r="Q65" s="8" t="str">
        <f aca="false">IF(A65="","",IF(AND(Y65&lt;&gt;"参考",G65&gt;=ルール設定!$B$2),"○",""))</f>
        <v/>
      </c>
      <c r="R65" s="8" t="str">
        <f aca="false">IF(A65="","",IF(AND(Y65&lt;&gt;"参考",G65&gt;=ルール設定!$B$3,N65&gt;=ルール設定!$B$4),"○",""))</f>
        <v/>
      </c>
      <c r="S65" s="8" t="str">
        <f aca="false">IF(A65="","",IF(AND(Y65&lt;&gt;"参考",G65&gt;=ルール設定!$B$5,J65&gt;=ルール設定!$B$6,O65&gt;=ルール設定!$B$7),"○",""))</f>
        <v/>
      </c>
      <c r="T65" s="8" t="n">
        <v>3</v>
      </c>
      <c r="U65" s="8" t="n">
        <v>4</v>
      </c>
      <c r="V65" s="8" t="str">
        <f aca="false">IF(A65="","",IF(AND(ISNUMBER(T65),ISNUMBER(U65)),IF(AND(T65&lt;=3,U65&lt;=3),"○","×"),""))</f>
        <v>×</v>
      </c>
      <c r="W65" s="8" t="n">
        <v>160</v>
      </c>
      <c r="X65" s="8"/>
      <c r="Y65" s="4" t="s">
        <v>7597</v>
      </c>
      <c r="Z65" s="4" t="s">
        <v>7614</v>
      </c>
      <c r="AA65" s="8" t="str">
        <v/>
      </c>
      <c r="AB65" s="8" t="str">
        <v/>
      </c>
      <c r="AC65" s="8" t="str">
        <v/>
      </c>
      <c r="AD65" s="8" t="str">
        <v/>
      </c>
      <c r="AE65" s="8" t="str">
        <v/>
      </c>
      <c r="AF65" s="8" t="str">
        <v/>
      </c>
      <c r="AG65" s="8" t="str">
        <v/>
      </c>
      <c r="AH65" s="8" t="str">
        <v/>
      </c>
      <c r="AI65" s="8" t="n">
        <v>11</v>
      </c>
      <c r="AJ65" s="8" t="str">
        <v>～59</v>
      </c>
      <c r="AK65" s="8" t="str">
        <v>10～19</v>
      </c>
      <c r="AL65" s="8" t="str">
        <v>10～19</v>
      </c>
      <c r="AM65" s="8" t="str">
        <v>～99</v>
      </c>
      <c r="AN65" s="8" t="str">
        <v>8～11</v>
      </c>
      <c r="AO65" s="8" t="str">
        <f aca="false">IF(A65="","",IF(COUNTIFS(全馬データ!$A$2:$A$50000,A65,全馬データ!$B$2:$B$50000,B65,全馬データ!$C$2:$C$50000,C65,全馬データ!$D$2:$D$50000,E65,全馬データ!$K$2:$K$50000,"&lt;&gt;")=0,"",SUMIFS(全馬データ!$K$2:$K$50000,全馬データ!$A$2:$A$50000,A65,全馬データ!$B$2:$B$50000,B65,全馬データ!$C$2:$C$50000,C65,全馬データ!$D$2:$D$50000,E65)))</f>
        <v/>
      </c>
      <c r="AP65" s="8" t="str">
        <f aca="false">IF(A65="","",IF(AO65="","欠損",IF(AO65&lt;=1.1,"1.0～1.1",IF(AO65&lt;1.3,"1.2",IF(AO65&lt;1.5,"1.3～1.4",IF(AO65&lt;2,"1.5～1.9","2.0以上"))))))</f>
        <v>欠損</v>
      </c>
      <c r="AQ65" s="8" t="str">
        <f aca="false">IF(A65="","",IF(ISNUMBER(SEARCH("2歳",Z65)),"2歳戦",IF(ISNUMBER(SEARCH("3歳未勝利",Z65)),"3歳未勝利",IF(ISNUMBER(SEARCH("未勝利",Z65)),"その他未勝利",IF(ISNUMBER(SEARCH("G1",Z65)),"G1",IF(ISNUMBER(SEARCH("G2",Z65)),"G2",IF(ISNUMBER(SEARCH("G3",Z65)),"G3",IF(ISNUMBER(SEARCH("古馬条件",Z65)),"古馬条件戦",IF(ISNUMBER(SEARCH("重賞",Z65)),"重賞","分類不能")))))))))</f>
        <v>分類不能</v>
      </c>
      <c r="AR65" s="8"/>
      <c r="AS65" s="8" t="s">
        <v>7623</v>
      </c>
      <c r="AT65" s="8" t="s">
        <v>7624</v>
      </c>
      <c r="AU65" s="8" t="s">
        <v>7600</v>
      </c>
      <c r="AV65" s="4" t="s">
        <v>7601</v>
      </c>
      <c r="AW65" s="8"/>
      <c r="AX65" s="8"/>
      <c r="AY65" s="8" t="s">
        <v>7610</v>
      </c>
      <c r="AZ65" s="4" t="s">
        <v>7617</v>
      </c>
      <c r="BA65" s="8" t="n">
        <v>1700</v>
      </c>
      <c r="BB65" s="8" t="s">
        <v>7598</v>
      </c>
      <c r="BC65" s="4" t="s">
        <v>7604</v>
      </c>
      <c r="BD65" s="8" t="s">
        <v>7625</v>
      </c>
      <c r="BE65" s="4" t="s">
        <v>7606</v>
      </c>
      <c r="BF65" s="8" t="s">
        <v>7607</v>
      </c>
      <c r="BG65" s="8" t="s">
        <v>7608</v>
      </c>
      <c r="BH65" s="4" t="s">
        <v>7609</v>
      </c>
      <c r="BI65" s="8" t="n">
        <v>11</v>
      </c>
      <c r="BJ65" s="8" t="s">
        <v>7602</v>
      </c>
      <c r="BK65" s="4" t="s">
        <v>7653</v>
      </c>
      <c r="BL65" s="8" t="s">
        <v>7602</v>
      </c>
      <c r="BM65" s="4" t="s">
        <v>7620</v>
      </c>
      <c r="BN65" s="8"/>
      <c r="BO65" s="8"/>
      <c r="BP65" s="8" t="s">
        <v>7608</v>
      </c>
      <c r="BQ65" s="8" t="str">
        <f aca="false">IF(A65="","",AT65)</f>
        <v>3歳</v>
      </c>
      <c r="BR65" s="8" t="str">
        <f aca="false">IF(A65="","",IF(BA65&lt;=1200,"～1200",IF(BA65&lt;=1500,"1300～1500",IF(BA65=1600,"1600",IF(BA65&lt;=1800,"1700～1800",IF(BA65&lt;=2000,"1900～2000","2100以上"))))))</f>
        <v>1700～1800</v>
      </c>
      <c r="BS65" s="8" t="str">
        <f aca="false">IF(A65="","",IF(AX65="G1","G1",IF(AX65="G2","G2",IF(AX65="G3","G3",IF(AX65="L","L","その他")))))</f>
        <v>その他</v>
      </c>
      <c r="BT65" s="8" t="str">
        <f aca="false">IF(A65="","",IF(BI65="","未結合",IF(D65=BI65,"一致","不一致")))</f>
        <v>一致</v>
      </c>
      <c r="BU65" s="8" t="str">
        <f aca="false">IF(A65="","",IF(BE65="牝馬限定","牝馬限定","その他"))</f>
        <v>その他</v>
      </c>
    </row>
    <row r="66" customFormat="false" ht="15.75" hidden="false" customHeight="false" outlineLevel="0" collapsed="false">
      <c r="A66" s="3" t="n">
        <v>46229</v>
      </c>
      <c r="B66" s="4" t="s">
        <v>334</v>
      </c>
      <c r="C66" s="8" t="n">
        <v>5</v>
      </c>
      <c r="D66" s="8" t="n">
        <v>10</v>
      </c>
      <c r="E66" s="8" t="n">
        <v>5</v>
      </c>
      <c r="F66" s="4" t="s">
        <v>838</v>
      </c>
      <c r="G66" s="8" t="n">
        <v>37</v>
      </c>
      <c r="H66" s="8" t="n">
        <v>3</v>
      </c>
      <c r="I66" s="4" t="s">
        <v>836</v>
      </c>
      <c r="J66" s="8" t="n">
        <v>31</v>
      </c>
      <c r="K66" s="8" t="n">
        <v>6</v>
      </c>
      <c r="L66" s="4" t="s">
        <v>839</v>
      </c>
      <c r="M66" s="8" t="n">
        <v>27</v>
      </c>
      <c r="N66" s="8" t="n">
        <f aca="false">IF(A66="","",G66-J66)</f>
        <v>6</v>
      </c>
      <c r="O66" s="8" t="n">
        <f aca="false">IF(A66="","",J66-M66)</f>
        <v>4</v>
      </c>
      <c r="P66" s="8" t="n">
        <f aca="false">IF(A66="","",G66+J66)</f>
        <v>68</v>
      </c>
      <c r="Q66" s="8" t="str">
        <f aca="false">IF(A66="","",IF(AND(Y66&lt;&gt;"参考",G66&gt;=ルール設定!$B$2),"○",""))</f>
        <v/>
      </c>
      <c r="R66" s="8" t="str">
        <f aca="false">IF(A66="","",IF(AND(Y66&lt;&gt;"参考",G66&gt;=ルール設定!$B$3,N66&gt;=ルール設定!$B$4),"○",""))</f>
        <v/>
      </c>
      <c r="S66" s="8" t="str">
        <f aca="false">IF(A66="","",IF(AND(Y66&lt;&gt;"参考",G66&gt;=ルール設定!$B$5,J66&gt;=ルール設定!$B$6,O66&gt;=ルール設定!$B$7),"○",""))</f>
        <v/>
      </c>
      <c r="T66" s="8" t="n">
        <v>4</v>
      </c>
      <c r="U66" s="8" t="n">
        <v>4</v>
      </c>
      <c r="V66" s="8" t="str">
        <f aca="false">IF(A66="","",IF(AND(ISNUMBER(T66),ISNUMBER(U66)),IF(AND(T66&lt;=3,U66&lt;=3),"○","×"),""))</f>
        <v>×</v>
      </c>
      <c r="W66" s="8"/>
      <c r="X66" s="8"/>
      <c r="Y66" s="4" t="s">
        <v>7597</v>
      </c>
      <c r="Z66" s="8"/>
      <c r="AA66" s="8" t="str">
        <v/>
      </c>
      <c r="AB66" s="8" t="str">
        <v/>
      </c>
      <c r="AC66" s="8" t="str">
        <v/>
      </c>
      <c r="AD66" s="8" t="str">
        <v/>
      </c>
      <c r="AE66" s="8" t="str">
        <v/>
      </c>
      <c r="AF66" s="8" t="str">
        <v/>
      </c>
      <c r="AG66" s="8" t="str">
        <v/>
      </c>
      <c r="AH66" s="8" t="str">
        <v/>
      </c>
      <c r="AI66" s="8" t="n">
        <v>10</v>
      </c>
      <c r="AJ66" s="8" t="str">
        <v>～59</v>
      </c>
      <c r="AK66" s="8" t="str">
        <v>5～9</v>
      </c>
      <c r="AL66" s="8" t="str">
        <v>10～19</v>
      </c>
      <c r="AM66" s="8" t="str">
        <v>～99</v>
      </c>
      <c r="AN66" s="8" t="str">
        <v>8～11</v>
      </c>
      <c r="AO66" s="8" t="str">
        <f aca="false">IF(A66="","",IF(COUNTIFS(全馬データ!$A$2:$A$50000,A66,全馬データ!$B$2:$B$50000,B66,全馬データ!$C$2:$C$50000,C66,全馬データ!$D$2:$D$50000,E66,全馬データ!$K$2:$K$50000,"&lt;&gt;")=0,"",SUMIFS(全馬データ!$K$2:$K$50000,全馬データ!$A$2:$A$50000,A66,全馬データ!$B$2:$B$50000,B66,全馬データ!$C$2:$C$50000,C66,全馬データ!$D$2:$D$50000,E66)))</f>
        <v/>
      </c>
      <c r="AP66" s="8" t="str">
        <f aca="false">IF(A66="","",IF(AO66="","欠損",IF(AO66&lt;=1.1,"1.0～1.1",IF(AO66&lt;1.3,"1.2",IF(AO66&lt;1.5,"1.3～1.4",IF(AO66&lt;2,"1.5～1.9","2.0以上"))))))</f>
        <v>欠損</v>
      </c>
      <c r="AQ66" s="8" t="str">
        <f aca="false">IF(A66="","",IF(ISNUMBER(SEARCH("2歳",Z66)),"2歳戦",IF(ISNUMBER(SEARCH("3歳未勝利",Z66)),"3歳未勝利",IF(ISNUMBER(SEARCH("未勝利",Z66)),"その他未勝利",IF(ISNUMBER(SEARCH("G1",Z66)),"G1",IF(ISNUMBER(SEARCH("G2",Z66)),"G2",IF(ISNUMBER(SEARCH("G3",Z66)),"G3",IF(ISNUMBER(SEARCH("古馬条件",Z66)),"古馬条件戦",IF(ISNUMBER(SEARCH("重賞",Z66)),"重賞","分類不能")))))))))</f>
        <v>分類不能</v>
      </c>
      <c r="AR66" s="8"/>
      <c r="AS66" s="8" t="s">
        <v>7598</v>
      </c>
      <c r="AT66" s="8" t="s">
        <v>7599</v>
      </c>
      <c r="AU66" s="8" t="s">
        <v>7615</v>
      </c>
      <c r="AV66" s="4" t="s">
        <v>7616</v>
      </c>
      <c r="AW66" s="8"/>
      <c r="AX66" s="8"/>
      <c r="AY66" s="8" t="s">
        <v>7602</v>
      </c>
      <c r="AZ66" s="4" t="s">
        <v>7603</v>
      </c>
      <c r="BA66" s="8" t="n">
        <v>1800</v>
      </c>
      <c r="BB66" s="8" t="s">
        <v>7598</v>
      </c>
      <c r="BC66" s="4" t="s">
        <v>7604</v>
      </c>
      <c r="BD66" s="8" t="s">
        <v>7605</v>
      </c>
      <c r="BE66" s="4" t="s">
        <v>7606</v>
      </c>
      <c r="BF66" s="8" t="s">
        <v>7607</v>
      </c>
      <c r="BG66" s="8" t="s">
        <v>7608</v>
      </c>
      <c r="BH66" s="4" t="s">
        <v>7609</v>
      </c>
      <c r="BI66" s="8" t="n">
        <v>10</v>
      </c>
      <c r="BJ66" s="8" t="s">
        <v>7602</v>
      </c>
      <c r="BK66" s="4" t="s">
        <v>7653</v>
      </c>
      <c r="BL66" s="8" t="s">
        <v>7602</v>
      </c>
      <c r="BM66" s="4" t="s">
        <v>7620</v>
      </c>
      <c r="BN66" s="8" t="s">
        <v>7602</v>
      </c>
      <c r="BO66" s="8" t="s">
        <v>7613</v>
      </c>
      <c r="BP66" s="8" t="s">
        <v>7608</v>
      </c>
      <c r="BQ66" s="8" t="str">
        <f aca="false">IF(A66="","",AT66)</f>
        <v>2歳</v>
      </c>
      <c r="BR66" s="8" t="str">
        <f aca="false">IF(A66="","",IF(BA66&lt;=1200,"～1200",IF(BA66&lt;=1500,"1300～1500",IF(BA66=1600,"1600",IF(BA66&lt;=1800,"1700～1800",IF(BA66&lt;=2000,"1900～2000","2100以上"))))))</f>
        <v>1700～1800</v>
      </c>
      <c r="BS66" s="8" t="str">
        <f aca="false">IF(A66="","",IF(AX66="G1","G1",IF(AX66="G2","G2",IF(AX66="G3","G3",IF(AX66="L","L","その他")))))</f>
        <v>その他</v>
      </c>
      <c r="BT66" s="8" t="str">
        <f aca="false">IF(A66="","",IF(BI66="","未結合",IF(D66=BI66,"一致","不一致")))</f>
        <v>一致</v>
      </c>
      <c r="BU66" s="8" t="str">
        <f aca="false">IF(A66="","",IF(BE66="牝馬限定","牝馬限定","その他"))</f>
        <v>その他</v>
      </c>
    </row>
    <row r="67" customFormat="false" ht="15.75" hidden="false" customHeight="false" outlineLevel="0" collapsed="false">
      <c r="A67" s="3" t="n">
        <v>46229</v>
      </c>
      <c r="B67" s="4" t="s">
        <v>334</v>
      </c>
      <c r="C67" s="8" t="n">
        <v>6</v>
      </c>
      <c r="D67" s="8" t="n">
        <v>12</v>
      </c>
      <c r="E67" s="8" t="n">
        <v>2</v>
      </c>
      <c r="F67" s="4" t="s">
        <v>845</v>
      </c>
      <c r="G67" s="8" t="n">
        <v>58</v>
      </c>
      <c r="H67" s="8" t="n">
        <v>9</v>
      </c>
      <c r="I67" s="4" t="s">
        <v>852</v>
      </c>
      <c r="J67" s="8" t="n">
        <v>44</v>
      </c>
      <c r="K67" s="8" t="n">
        <v>8</v>
      </c>
      <c r="L67" s="4" t="s">
        <v>851</v>
      </c>
      <c r="M67" s="8" t="n">
        <v>37</v>
      </c>
      <c r="N67" s="8" t="n">
        <f aca="false">IF(A67="","",G67-J67)</f>
        <v>14</v>
      </c>
      <c r="O67" s="8" t="n">
        <f aca="false">IF(A67="","",J67-M67)</f>
        <v>7</v>
      </c>
      <c r="P67" s="8" t="n">
        <f aca="false">IF(A67="","",G67+J67)</f>
        <v>102</v>
      </c>
      <c r="Q67" s="8" t="str">
        <f aca="false">IF(A67="","",IF(AND(Y67&lt;&gt;"参考",G67&gt;=ルール設定!$B$2),"○",""))</f>
        <v/>
      </c>
      <c r="R67" s="8" t="str">
        <f aca="false">IF(A67="","",IF(AND(Y67&lt;&gt;"参考",G67&gt;=ルール設定!$B$3,N67&gt;=ルール設定!$B$4),"○",""))</f>
        <v/>
      </c>
      <c r="S67" s="8" t="str">
        <f aca="false">IF(A67="","",IF(AND(Y67&lt;&gt;"参考",G67&gt;=ルール設定!$B$5,J67&gt;=ルール設定!$B$6,O67&gt;=ルール設定!$B$7),"○",""))</f>
        <v/>
      </c>
      <c r="T67" s="8" t="n">
        <v>1</v>
      </c>
      <c r="U67" s="8" t="n">
        <v>3</v>
      </c>
      <c r="V67" s="8" t="str">
        <f aca="false">IF(A67="","",IF(AND(ISNUMBER(T67),ISNUMBER(U67)),IF(AND(T67&lt;=3,U67&lt;=3),"○","×"),""))</f>
        <v>○</v>
      </c>
      <c r="W67" s="8" t="n">
        <v>120</v>
      </c>
      <c r="X67" s="8" t="n">
        <v>180</v>
      </c>
      <c r="Y67" s="4" t="s">
        <v>7597</v>
      </c>
      <c r="Z67" s="8"/>
      <c r="AA67" s="8" t="str">
        <v/>
      </c>
      <c r="AB67" s="8" t="str">
        <v/>
      </c>
      <c r="AC67" s="8" t="str">
        <v/>
      </c>
      <c r="AD67" s="8" t="str">
        <v/>
      </c>
      <c r="AE67" s="8" t="str">
        <v/>
      </c>
      <c r="AF67" s="8" t="str">
        <v/>
      </c>
      <c r="AG67" s="8" t="str">
        <v/>
      </c>
      <c r="AH67" s="8" t="str">
        <v/>
      </c>
      <c r="AI67" s="8" t="n">
        <v>21</v>
      </c>
      <c r="AJ67" s="8" t="str">
        <v>～59</v>
      </c>
      <c r="AK67" s="8" t="str">
        <v>10～19</v>
      </c>
      <c r="AL67" s="8" t="str">
        <v>20～29</v>
      </c>
      <c r="AM67" s="8" t="str">
        <v>100～119</v>
      </c>
      <c r="AN67" s="8" t="str">
        <v>12～14</v>
      </c>
      <c r="AO67" s="8" t="str">
        <f aca="false">IF(A67="","",IF(COUNTIFS(全馬データ!$A$2:$A$50000,A67,全馬データ!$B$2:$B$50000,B67,全馬データ!$C$2:$C$50000,C67,全馬データ!$D$2:$D$50000,E67,全馬データ!$K$2:$K$50000,"&lt;&gt;")=0,"",SUMIFS(全馬データ!$K$2:$K$50000,全馬データ!$A$2:$A$50000,A67,全馬データ!$B$2:$B$50000,B67,全馬データ!$C$2:$C$50000,C67,全馬データ!$D$2:$D$50000,E67)))</f>
        <v/>
      </c>
      <c r="AP67" s="8" t="str">
        <f aca="false">IF(A67="","",IF(AO67="","欠損",IF(AO67&lt;=1.1,"1.0～1.1",IF(AO67&lt;1.3,"1.2",IF(AO67&lt;1.5,"1.3～1.4",IF(AO67&lt;2,"1.5～1.9","2.0以上"))))))</f>
        <v>欠損</v>
      </c>
      <c r="AQ67" s="8" t="str">
        <f aca="false">IF(A67="","",IF(ISNUMBER(SEARCH("2歳",Z67)),"2歳戦",IF(ISNUMBER(SEARCH("3歳未勝利",Z67)),"3歳未勝利",IF(ISNUMBER(SEARCH("未勝利",Z67)),"その他未勝利",IF(ISNUMBER(SEARCH("G1",Z67)),"G1",IF(ISNUMBER(SEARCH("G2",Z67)),"G2",IF(ISNUMBER(SEARCH("G3",Z67)),"G3",IF(ISNUMBER(SEARCH("古馬条件",Z67)),"古馬条件戦",IF(ISNUMBER(SEARCH("重賞",Z67)),"重賞","分類不能")))))))))</f>
        <v>分類不能</v>
      </c>
      <c r="AR67" s="8"/>
      <c r="AS67" s="8" t="s">
        <v>7623</v>
      </c>
      <c r="AT67" s="8" t="s">
        <v>7624</v>
      </c>
      <c r="AU67" s="8" t="s">
        <v>7600</v>
      </c>
      <c r="AV67" s="4" t="s">
        <v>7601</v>
      </c>
      <c r="AW67" s="8"/>
      <c r="AX67" s="8"/>
      <c r="AY67" s="8" t="s">
        <v>7602</v>
      </c>
      <c r="AZ67" s="4" t="s">
        <v>7603</v>
      </c>
      <c r="BA67" s="8" t="n">
        <v>2000</v>
      </c>
      <c r="BB67" s="8" t="s">
        <v>7598</v>
      </c>
      <c r="BC67" s="4" t="s">
        <v>7604</v>
      </c>
      <c r="BD67" s="8" t="s">
        <v>7625</v>
      </c>
      <c r="BE67" s="4" t="s">
        <v>7606</v>
      </c>
      <c r="BF67" s="8" t="s">
        <v>7607</v>
      </c>
      <c r="BG67" s="8" t="s">
        <v>7608</v>
      </c>
      <c r="BH67" s="4" t="s">
        <v>7609</v>
      </c>
      <c r="BI67" s="8" t="n">
        <v>12</v>
      </c>
      <c r="BJ67" s="8" t="s">
        <v>7602</v>
      </c>
      <c r="BK67" s="4" t="s">
        <v>7653</v>
      </c>
      <c r="BL67" s="8" t="s">
        <v>7602</v>
      </c>
      <c r="BM67" s="4" t="s">
        <v>7620</v>
      </c>
      <c r="BN67" s="8" t="s">
        <v>7602</v>
      </c>
      <c r="BO67" s="8" t="s">
        <v>7613</v>
      </c>
      <c r="BP67" s="8" t="s">
        <v>7608</v>
      </c>
      <c r="BQ67" s="8" t="str">
        <f aca="false">IF(A67="","",AT67)</f>
        <v>3歳</v>
      </c>
      <c r="BR67" s="8" t="str">
        <f aca="false">IF(A67="","",IF(BA67&lt;=1200,"～1200",IF(BA67&lt;=1500,"1300～1500",IF(BA67=1600,"1600",IF(BA67&lt;=1800,"1700～1800",IF(BA67&lt;=2000,"1900～2000","2100以上"))))))</f>
        <v>1900～2000</v>
      </c>
      <c r="BS67" s="8" t="str">
        <f aca="false">IF(A67="","",IF(AX67="G1","G1",IF(AX67="G2","G2",IF(AX67="G3","G3",IF(AX67="L","L","その他")))))</f>
        <v>その他</v>
      </c>
      <c r="BT67" s="8" t="str">
        <f aca="false">IF(A67="","",IF(BI67="","未結合",IF(D67=BI67,"一致","不一致")))</f>
        <v>一致</v>
      </c>
      <c r="BU67" s="8" t="str">
        <f aca="false">IF(A67="","",IF(BE67="牝馬限定","牝馬限定","その他"))</f>
        <v>その他</v>
      </c>
    </row>
    <row r="68" customFormat="false" ht="15.75" hidden="false" customHeight="false" outlineLevel="0" collapsed="false">
      <c r="A68" s="3" t="n">
        <v>46229</v>
      </c>
      <c r="B68" s="4" t="s">
        <v>334</v>
      </c>
      <c r="C68" s="8" t="n">
        <v>7</v>
      </c>
      <c r="D68" s="8" t="n">
        <v>7</v>
      </c>
      <c r="E68" s="8" t="n">
        <v>4</v>
      </c>
      <c r="F68" s="4" t="s">
        <v>859</v>
      </c>
      <c r="G68" s="8" t="n">
        <v>74</v>
      </c>
      <c r="H68" s="8" t="n">
        <v>5</v>
      </c>
      <c r="I68" s="4" t="s">
        <v>860</v>
      </c>
      <c r="J68" s="8" t="n">
        <v>39</v>
      </c>
      <c r="K68" s="8" t="n">
        <v>6</v>
      </c>
      <c r="L68" s="4" t="s">
        <v>861</v>
      </c>
      <c r="M68" s="8" t="n">
        <v>39</v>
      </c>
      <c r="N68" s="8" t="n">
        <f aca="false">IF(A68="","",G68-J68)</f>
        <v>35</v>
      </c>
      <c r="O68" s="8" t="n">
        <f aca="false">IF(A68="","",J68-M68)</f>
        <v>0</v>
      </c>
      <c r="P68" s="8" t="n">
        <f aca="false">IF(A68="","",G68+J68)</f>
        <v>113</v>
      </c>
      <c r="Q68" s="8" t="str">
        <f aca="false">IF(A68="","",IF(AND(Y68&lt;&gt;"参考",G68&gt;=ルール設定!$B$2),"○",""))</f>
        <v/>
      </c>
      <c r="R68" s="8" t="str">
        <f aca="false">IF(A68="","",IF(AND(Y68&lt;&gt;"参考",G68&gt;=ルール設定!$B$3,N68&gt;=ルール設定!$B$4),"○",""))</f>
        <v>○</v>
      </c>
      <c r="S68" s="8" t="str">
        <f aca="false">IF(A68="","",IF(AND(Y68&lt;&gt;"参考",G68&gt;=ルール設定!$B$5,J68&gt;=ルール設定!$B$6,O68&gt;=ルール設定!$B$7),"○",""))</f>
        <v/>
      </c>
      <c r="T68" s="8" t="n">
        <v>3</v>
      </c>
      <c r="U68" s="8" t="n">
        <v>4</v>
      </c>
      <c r="V68" s="8" t="str">
        <f aca="false">IF(A68="","",IF(AND(ISNUMBER(T68),ISNUMBER(U68)),IF(AND(T68&lt;=3,U68&lt;=3),"○","×"),""))</f>
        <v>×</v>
      </c>
      <c r="W68" s="8"/>
      <c r="X68" s="8"/>
      <c r="Y68" s="4" t="s">
        <v>7597</v>
      </c>
      <c r="Z68" s="4" t="s">
        <v>7614</v>
      </c>
      <c r="AA68" s="8" t="str">
        <v/>
      </c>
      <c r="AB68" s="8" t="str">
        <v/>
      </c>
      <c r="AC68" s="8" t="str">
        <v/>
      </c>
      <c r="AD68" s="8" t="str">
        <v/>
      </c>
      <c r="AE68" s="8" t="str">
        <v>○</v>
      </c>
      <c r="AF68" s="8" t="str">
        <v/>
      </c>
      <c r="AG68" s="8" t="str">
        <v/>
      </c>
      <c r="AH68" s="8" t="str">
        <v/>
      </c>
      <c r="AI68" s="8" t="n">
        <v>35</v>
      </c>
      <c r="AJ68" s="8" t="str">
        <v>70～74</v>
      </c>
      <c r="AK68" s="8" t="str">
        <v>30以上</v>
      </c>
      <c r="AL68" s="8" t="str">
        <v>30～39</v>
      </c>
      <c r="AM68" s="8" t="str">
        <v>100～119</v>
      </c>
      <c r="AN68" s="8" t="str">
        <v>7以下</v>
      </c>
      <c r="AO68" s="8" t="str">
        <f aca="false">IF(A68="","",IF(COUNTIFS(全馬データ!$A$2:$A$50000,A68,全馬データ!$B$2:$B$50000,B68,全馬データ!$C$2:$C$50000,C68,全馬データ!$D$2:$D$50000,E68,全馬データ!$K$2:$K$50000,"&lt;&gt;")=0,"",SUMIFS(全馬データ!$K$2:$K$50000,全馬データ!$A$2:$A$50000,A68,全馬データ!$B$2:$B$50000,B68,全馬データ!$C$2:$C$50000,C68,全馬データ!$D$2:$D$50000,E68)))</f>
        <v/>
      </c>
      <c r="AP68" s="8" t="str">
        <f aca="false">IF(A68="","",IF(AO68="","欠損",IF(AO68&lt;=1.1,"1.0～1.1",IF(AO68&lt;1.3,"1.2",IF(AO68&lt;1.5,"1.3～1.4",IF(AO68&lt;2,"1.5～1.9","2.0以上"))))))</f>
        <v>欠損</v>
      </c>
      <c r="AQ68" s="8" t="str">
        <f aca="false">IF(A68="","",IF(ISNUMBER(SEARCH("2歳",Z68)),"2歳戦",IF(ISNUMBER(SEARCH("3歳未勝利",Z68)),"3歳未勝利",IF(ISNUMBER(SEARCH("未勝利",Z68)),"その他未勝利",IF(ISNUMBER(SEARCH("G1",Z68)),"G1",IF(ISNUMBER(SEARCH("G2",Z68)),"G2",IF(ISNUMBER(SEARCH("G3",Z68)),"G3",IF(ISNUMBER(SEARCH("古馬条件",Z68)),"古馬条件戦",IF(ISNUMBER(SEARCH("重賞",Z68)),"重賞","分類不能")))))))))</f>
        <v>分類不能</v>
      </c>
      <c r="AR68" s="8"/>
      <c r="AS68" s="8" t="s">
        <v>7626</v>
      </c>
      <c r="AT68" s="8" t="s">
        <v>7627</v>
      </c>
      <c r="AU68" s="8" t="s">
        <v>7628</v>
      </c>
      <c r="AV68" s="8" t="s">
        <v>7629</v>
      </c>
      <c r="AW68" s="8"/>
      <c r="AX68" s="8"/>
      <c r="AY68" s="8" t="s">
        <v>7610</v>
      </c>
      <c r="AZ68" s="4" t="s">
        <v>7617</v>
      </c>
      <c r="BA68" s="8" t="n">
        <v>1000</v>
      </c>
      <c r="BB68" s="8" t="s">
        <v>7598</v>
      </c>
      <c r="BC68" s="4" t="s">
        <v>7604</v>
      </c>
      <c r="BD68" s="8" t="s">
        <v>7605</v>
      </c>
      <c r="BE68" s="4" t="s">
        <v>7606</v>
      </c>
      <c r="BF68" s="8" t="s">
        <v>7607</v>
      </c>
      <c r="BG68" s="8" t="s">
        <v>7631</v>
      </c>
      <c r="BH68" s="4" t="s">
        <v>7632</v>
      </c>
      <c r="BI68" s="8" t="n">
        <v>7</v>
      </c>
      <c r="BJ68" s="8" t="s">
        <v>7602</v>
      </c>
      <c r="BK68" s="4" t="s">
        <v>7653</v>
      </c>
      <c r="BL68" s="8" t="s">
        <v>7602</v>
      </c>
      <c r="BM68" s="4" t="s">
        <v>7620</v>
      </c>
      <c r="BN68" s="8"/>
      <c r="BO68" s="8"/>
      <c r="BP68" s="8" t="s">
        <v>7608</v>
      </c>
      <c r="BQ68" s="8" t="str">
        <f aca="false">IF(A68="","",AT68)</f>
        <v>3歳以上</v>
      </c>
      <c r="BR68" s="8" t="str">
        <f aca="false">IF(A68="","",IF(BA68&lt;=1200,"～1200",IF(BA68&lt;=1500,"1300～1500",IF(BA68=1600,"1600",IF(BA68&lt;=1800,"1700～1800",IF(BA68&lt;=2000,"1900～2000","2100以上"))))))</f>
        <v>～1200</v>
      </c>
      <c r="BS68" s="8" t="str">
        <f aca="false">IF(A68="","",IF(AX68="G1","G1",IF(AX68="G2","G2",IF(AX68="G3","G3",IF(AX68="L","L","その他")))))</f>
        <v>その他</v>
      </c>
      <c r="BT68" s="8" t="str">
        <f aca="false">IF(A68="","",IF(BI68="","未結合",IF(D68=BI68,"一致","不一致")))</f>
        <v>一致</v>
      </c>
      <c r="BU68" s="8" t="str">
        <f aca="false">IF(A68="","",IF(BE68="牝馬限定","牝馬限定","その他"))</f>
        <v>その他</v>
      </c>
    </row>
    <row r="69" customFormat="false" ht="15.75" hidden="false" customHeight="false" outlineLevel="0" collapsed="false">
      <c r="A69" s="3" t="n">
        <v>46229</v>
      </c>
      <c r="B69" s="4" t="s">
        <v>334</v>
      </c>
      <c r="C69" s="8" t="n">
        <v>8</v>
      </c>
      <c r="D69" s="8" t="n">
        <v>12</v>
      </c>
      <c r="E69" s="8" t="n">
        <v>10</v>
      </c>
      <c r="F69" s="4" t="s">
        <v>872</v>
      </c>
      <c r="G69" s="8" t="n">
        <v>34</v>
      </c>
      <c r="H69" s="8" t="n">
        <v>8</v>
      </c>
      <c r="I69" s="4" t="s">
        <v>870</v>
      </c>
      <c r="J69" s="8" t="n">
        <v>29</v>
      </c>
      <c r="K69" s="8" t="n">
        <v>12</v>
      </c>
      <c r="L69" s="4" t="s">
        <v>874</v>
      </c>
      <c r="M69" s="8" t="n">
        <v>29</v>
      </c>
      <c r="N69" s="8" t="n">
        <f aca="false">IF(A69="","",G69-J69)</f>
        <v>5</v>
      </c>
      <c r="O69" s="8" t="n">
        <f aca="false">IF(A69="","",J69-M69)</f>
        <v>0</v>
      </c>
      <c r="P69" s="8" t="n">
        <f aca="false">IF(A69="","",G69+J69)</f>
        <v>63</v>
      </c>
      <c r="Q69" s="8" t="str">
        <f aca="false">IF(A69="","",IF(AND(Y69&lt;&gt;"参考",G69&gt;=ルール設定!$B$2),"○",""))</f>
        <v/>
      </c>
      <c r="R69" s="8" t="str">
        <f aca="false">IF(A69="","",IF(AND(Y69&lt;&gt;"参考",G69&gt;=ルール設定!$B$3,N69&gt;=ルール設定!$B$4),"○",""))</f>
        <v/>
      </c>
      <c r="S69" s="8" t="str">
        <f aca="false">IF(A69="","",IF(AND(Y69&lt;&gt;"参考",G69&gt;=ルール設定!$B$5,J69&gt;=ルール設定!$B$6,O69&gt;=ルール設定!$B$7),"○",""))</f>
        <v/>
      </c>
      <c r="T69" s="8" t="n">
        <v>4</v>
      </c>
      <c r="U69" s="8" t="n">
        <v>3</v>
      </c>
      <c r="V69" s="8" t="str">
        <f aca="false">IF(A69="","",IF(AND(ISNUMBER(T69),ISNUMBER(U69)),IF(AND(T69&lt;=3,U69&lt;=3),"○","×"),""))</f>
        <v>×</v>
      </c>
      <c r="W69" s="8"/>
      <c r="X69" s="8"/>
      <c r="Y69" s="4" t="s">
        <v>7597</v>
      </c>
      <c r="Z69" s="4" t="s">
        <v>7614</v>
      </c>
      <c r="AA69" s="8" t="str">
        <v/>
      </c>
      <c r="AB69" s="8" t="str">
        <v/>
      </c>
      <c r="AC69" s="8" t="str">
        <v/>
      </c>
      <c r="AD69" s="8" t="str">
        <v/>
      </c>
      <c r="AE69" s="8" t="str">
        <v/>
      </c>
      <c r="AF69" s="8" t="str">
        <v/>
      </c>
      <c r="AG69" s="8" t="str">
        <v/>
      </c>
      <c r="AH69" s="8" t="str">
        <v/>
      </c>
      <c r="AI69" s="8" t="n">
        <v>5</v>
      </c>
      <c r="AJ69" s="8" t="str">
        <v>～59</v>
      </c>
      <c r="AK69" s="8" t="str">
        <v>5～9</v>
      </c>
      <c r="AL69" s="8" t="str">
        <v>0～9</v>
      </c>
      <c r="AM69" s="8" t="str">
        <v>～99</v>
      </c>
      <c r="AN69" s="8" t="str">
        <v>12～14</v>
      </c>
      <c r="AO69" s="8" t="str">
        <f aca="false">IF(A69="","",IF(COUNTIFS(全馬データ!$A$2:$A$50000,A69,全馬データ!$B$2:$B$50000,B69,全馬データ!$C$2:$C$50000,C69,全馬データ!$D$2:$D$50000,E69,全馬データ!$K$2:$K$50000,"&lt;&gt;")=0,"",SUMIFS(全馬データ!$K$2:$K$50000,全馬データ!$A$2:$A$50000,A69,全馬データ!$B$2:$B$50000,B69,全馬データ!$C$2:$C$50000,C69,全馬データ!$D$2:$D$50000,E69)))</f>
        <v/>
      </c>
      <c r="AP69" s="8" t="str">
        <f aca="false">IF(A69="","",IF(AO69="","欠損",IF(AO69&lt;=1.1,"1.0～1.1",IF(AO69&lt;1.3,"1.2",IF(AO69&lt;1.5,"1.3～1.4",IF(AO69&lt;2,"1.5～1.9","2.0以上"))))))</f>
        <v>欠損</v>
      </c>
      <c r="AQ69" s="8" t="str">
        <f aca="false">IF(A69="","",IF(ISNUMBER(SEARCH("2歳",Z69)),"2歳戦",IF(ISNUMBER(SEARCH("3歳未勝利",Z69)),"3歳未勝利",IF(ISNUMBER(SEARCH("未勝利",Z69)),"その他未勝利",IF(ISNUMBER(SEARCH("G1",Z69)),"G1",IF(ISNUMBER(SEARCH("G2",Z69)),"G2",IF(ISNUMBER(SEARCH("G3",Z69)),"G3",IF(ISNUMBER(SEARCH("古馬条件",Z69)),"古馬条件戦",IF(ISNUMBER(SEARCH("重賞",Z69)),"重賞","分類不能")))))))))</f>
        <v>分類不能</v>
      </c>
      <c r="AR69" s="8"/>
      <c r="AS69" s="8" t="s">
        <v>7626</v>
      </c>
      <c r="AT69" s="8" t="s">
        <v>7627</v>
      </c>
      <c r="AU69" s="8" t="s">
        <v>7628</v>
      </c>
      <c r="AV69" s="8" t="s">
        <v>7629</v>
      </c>
      <c r="AW69" s="8"/>
      <c r="AX69" s="8"/>
      <c r="AY69" s="8" t="s">
        <v>7602</v>
      </c>
      <c r="AZ69" s="4" t="s">
        <v>7603</v>
      </c>
      <c r="BA69" s="8" t="n">
        <v>1500</v>
      </c>
      <c r="BB69" s="8" t="s">
        <v>7598</v>
      </c>
      <c r="BC69" s="4" t="s">
        <v>7604</v>
      </c>
      <c r="BD69" s="8" t="s">
        <v>7630</v>
      </c>
      <c r="BE69" s="4" t="s">
        <v>7606</v>
      </c>
      <c r="BF69" s="8" t="s">
        <v>7607</v>
      </c>
      <c r="BG69" s="8" t="s">
        <v>7631</v>
      </c>
      <c r="BH69" s="4" t="s">
        <v>7632</v>
      </c>
      <c r="BI69" s="8" t="n">
        <v>12</v>
      </c>
      <c r="BJ69" s="8" t="s">
        <v>7602</v>
      </c>
      <c r="BK69" s="4" t="s">
        <v>7653</v>
      </c>
      <c r="BL69" s="8" t="s">
        <v>7602</v>
      </c>
      <c r="BM69" s="4" t="s">
        <v>7620</v>
      </c>
      <c r="BN69" s="8" t="s">
        <v>7602</v>
      </c>
      <c r="BO69" s="8" t="s">
        <v>7613</v>
      </c>
      <c r="BP69" s="8" t="s">
        <v>7608</v>
      </c>
      <c r="BQ69" s="8" t="str">
        <f aca="false">IF(A69="","",AT69)</f>
        <v>3歳以上</v>
      </c>
      <c r="BR69" s="8" t="str">
        <f aca="false">IF(A69="","",IF(BA69&lt;=1200,"～1200",IF(BA69&lt;=1500,"1300～1500",IF(BA69=1600,"1600",IF(BA69&lt;=1800,"1700～1800",IF(BA69&lt;=2000,"1900～2000","2100以上"))))))</f>
        <v>1300～1500</v>
      </c>
      <c r="BS69" s="8" t="str">
        <f aca="false">IF(A69="","",IF(AX69="G1","G1",IF(AX69="G2","G2",IF(AX69="G3","G3",IF(AX69="L","L","その他")))))</f>
        <v>その他</v>
      </c>
      <c r="BT69" s="8" t="str">
        <f aca="false">IF(A69="","",IF(BI69="","未結合",IF(D69=BI69,"一致","不一致")))</f>
        <v>一致</v>
      </c>
      <c r="BU69" s="8" t="str">
        <f aca="false">IF(A69="","",IF(BE69="牝馬限定","牝馬限定","その他"))</f>
        <v>その他</v>
      </c>
    </row>
    <row r="70" customFormat="false" ht="15.75" hidden="false" customHeight="false" outlineLevel="0" collapsed="false">
      <c r="A70" s="3" t="n">
        <v>46229</v>
      </c>
      <c r="B70" s="4" t="s">
        <v>334</v>
      </c>
      <c r="C70" s="8" t="n">
        <v>9</v>
      </c>
      <c r="D70" s="8" t="n">
        <v>8</v>
      </c>
      <c r="E70" s="8" t="n">
        <v>1</v>
      </c>
      <c r="F70" s="4" t="s">
        <v>875</v>
      </c>
      <c r="G70" s="8" t="n">
        <v>65</v>
      </c>
      <c r="H70" s="8" t="n">
        <v>5</v>
      </c>
      <c r="I70" s="4" t="s">
        <v>879</v>
      </c>
      <c r="J70" s="8" t="n">
        <v>65</v>
      </c>
      <c r="K70" s="8" t="n">
        <v>6</v>
      </c>
      <c r="L70" s="4" t="s">
        <v>880</v>
      </c>
      <c r="M70" s="8" t="n">
        <v>44</v>
      </c>
      <c r="N70" s="8" t="n">
        <f aca="false">IF(A70="","",G70-J70)</f>
        <v>0</v>
      </c>
      <c r="O70" s="8" t="n">
        <f aca="false">IF(A70="","",J70-M70)</f>
        <v>21</v>
      </c>
      <c r="P70" s="8" t="n">
        <f aca="false">IF(A70="","",G70+J70)</f>
        <v>130</v>
      </c>
      <c r="Q70" s="8" t="str">
        <f aca="false">IF(A70="","",IF(AND(Y70&lt;&gt;"参考",G70&gt;=ルール設定!$B$2),"○",""))</f>
        <v/>
      </c>
      <c r="R70" s="8" t="str">
        <f aca="false">IF(A70="","",IF(AND(Y70&lt;&gt;"参考",G70&gt;=ルール設定!$B$3,N70&gt;=ルール設定!$B$4),"○",""))</f>
        <v/>
      </c>
      <c r="S70" s="8" t="str">
        <f aca="false">IF(A70="","",IF(AND(Y70&lt;&gt;"参考",G70&gt;=ルール設定!$B$5,J70&gt;=ルール設定!$B$6,O70&gt;=ルール設定!$B$7),"○",""))</f>
        <v>○</v>
      </c>
      <c r="T70" s="8" t="n">
        <v>2</v>
      </c>
      <c r="U70" s="8" t="n">
        <v>1</v>
      </c>
      <c r="V70" s="8" t="str">
        <f aca="false">IF(A70="","",IF(AND(ISNUMBER(T70),ISNUMBER(U70)),IF(AND(T70&lt;=3,U70&lt;=3),"○","×"),""))</f>
        <v>○</v>
      </c>
      <c r="W70" s="8" t="n">
        <v>130</v>
      </c>
      <c r="X70" s="8" t="n">
        <v>170</v>
      </c>
      <c r="Y70" s="4" t="s">
        <v>7597</v>
      </c>
      <c r="Z70" s="4" t="s">
        <v>7614</v>
      </c>
      <c r="AA70" s="8" t="str">
        <v/>
      </c>
      <c r="AB70" s="8" t="str">
        <v/>
      </c>
      <c r="AC70" s="8" t="str">
        <v/>
      </c>
      <c r="AD70" s="8" t="str">
        <v/>
      </c>
      <c r="AE70" s="8" t="str">
        <v/>
      </c>
      <c r="AF70" s="8" t="str">
        <v/>
      </c>
      <c r="AG70" s="8" t="str">
        <v/>
      </c>
      <c r="AH70" s="8" t="str">
        <v/>
      </c>
      <c r="AI70" s="8" t="n">
        <v>21</v>
      </c>
      <c r="AJ70" s="8" t="str">
        <v>60～69</v>
      </c>
      <c r="AK70" s="8" t="str">
        <v>0～4</v>
      </c>
      <c r="AL70" s="8" t="str">
        <v>20～29</v>
      </c>
      <c r="AM70" s="8" t="str">
        <v>120～139</v>
      </c>
      <c r="AN70" s="8" t="str">
        <v>8～11</v>
      </c>
      <c r="AO70" s="8" t="str">
        <f aca="false">IF(A70="","",IF(COUNTIFS(全馬データ!$A$2:$A$50000,A70,全馬データ!$B$2:$B$50000,B70,全馬データ!$C$2:$C$50000,C70,全馬データ!$D$2:$D$50000,E70,全馬データ!$K$2:$K$50000,"&lt;&gt;")=0,"",SUMIFS(全馬データ!$K$2:$K$50000,全馬データ!$A$2:$A$50000,A70,全馬データ!$B$2:$B$50000,B70,全馬データ!$C$2:$C$50000,C70,全馬データ!$D$2:$D$50000,E70)))</f>
        <v/>
      </c>
      <c r="AP70" s="8" t="str">
        <f aca="false">IF(A70="","",IF(AO70="","欠損",IF(AO70&lt;=1.1,"1.0～1.1",IF(AO70&lt;1.3,"1.2",IF(AO70&lt;1.5,"1.3～1.4",IF(AO70&lt;2,"1.5～1.9","2.0以上"))))))</f>
        <v>欠損</v>
      </c>
      <c r="AQ70" s="8" t="str">
        <f aca="false">IF(A70="","",IF(ISNUMBER(SEARCH("2歳",Z70)),"2歳戦",IF(ISNUMBER(SEARCH("3歳未勝利",Z70)),"3歳未勝利",IF(ISNUMBER(SEARCH("未勝利",Z70)),"その他未勝利",IF(ISNUMBER(SEARCH("G1",Z70)),"G1",IF(ISNUMBER(SEARCH("G2",Z70)),"G2",IF(ISNUMBER(SEARCH("G3",Z70)),"G3",IF(ISNUMBER(SEARCH("古馬条件",Z70)),"古馬条件戦",IF(ISNUMBER(SEARCH("重賞",Z70)),"重賞","分類不能")))))))))</f>
        <v>分類不能</v>
      </c>
      <c r="AR70" s="8"/>
      <c r="AS70" s="8" t="s">
        <v>7626</v>
      </c>
      <c r="AT70" s="8" t="s">
        <v>7627</v>
      </c>
      <c r="AU70" s="8" t="s">
        <v>7628</v>
      </c>
      <c r="AV70" s="8" t="s">
        <v>7629</v>
      </c>
      <c r="AW70" s="8"/>
      <c r="AX70" s="8"/>
      <c r="AY70" s="8" t="s">
        <v>7610</v>
      </c>
      <c r="AZ70" s="4" t="s">
        <v>7617</v>
      </c>
      <c r="BA70" s="8" t="n">
        <v>1700</v>
      </c>
      <c r="BB70" s="8" t="s">
        <v>7598</v>
      </c>
      <c r="BC70" s="4" t="s">
        <v>7604</v>
      </c>
      <c r="BD70" s="8" t="s">
        <v>7621</v>
      </c>
      <c r="BE70" s="4" t="s">
        <v>7622</v>
      </c>
      <c r="BF70" s="8" t="s">
        <v>7602</v>
      </c>
      <c r="BG70" s="8" t="s">
        <v>7631</v>
      </c>
      <c r="BH70" s="4" t="s">
        <v>7632</v>
      </c>
      <c r="BI70" s="8" t="n">
        <v>8</v>
      </c>
      <c r="BJ70" s="8" t="s">
        <v>7602</v>
      </c>
      <c r="BK70" s="4" t="s">
        <v>7653</v>
      </c>
      <c r="BL70" s="8" t="s">
        <v>7602</v>
      </c>
      <c r="BM70" s="4" t="s">
        <v>7620</v>
      </c>
      <c r="BN70" s="8"/>
      <c r="BO70" s="8"/>
      <c r="BP70" s="8" t="s">
        <v>7608</v>
      </c>
      <c r="BQ70" s="8" t="str">
        <f aca="false">IF(A70="","",AT70)</f>
        <v>3歳以上</v>
      </c>
      <c r="BR70" s="8" t="str">
        <f aca="false">IF(A70="","",IF(BA70&lt;=1200,"～1200",IF(BA70&lt;=1500,"1300～1500",IF(BA70=1600,"1600",IF(BA70&lt;=1800,"1700～1800",IF(BA70&lt;=2000,"1900～2000","2100以上"))))))</f>
        <v>1700～1800</v>
      </c>
      <c r="BS70" s="8" t="str">
        <f aca="false">IF(A70="","",IF(AX70="G1","G1",IF(AX70="G2","G2",IF(AX70="G3","G3",IF(AX70="L","L","その他")))))</f>
        <v>その他</v>
      </c>
      <c r="BT70" s="8" t="str">
        <f aca="false">IF(A70="","",IF(BI70="","未結合",IF(D70=BI70,"一致","不一致")))</f>
        <v>一致</v>
      </c>
      <c r="BU70" s="8" t="str">
        <f aca="false">IF(A70="","",IF(BE70="牝馬限定","牝馬限定","その他"))</f>
        <v>牝馬限定</v>
      </c>
    </row>
    <row r="71" customFormat="false" ht="15.75" hidden="false" customHeight="false" outlineLevel="0" collapsed="false">
      <c r="A71" s="3" t="n">
        <v>46229</v>
      </c>
      <c r="B71" s="4" t="s">
        <v>334</v>
      </c>
      <c r="C71" s="8" t="n">
        <v>10</v>
      </c>
      <c r="D71" s="8" t="n">
        <v>10</v>
      </c>
      <c r="E71" s="8" t="n">
        <v>1</v>
      </c>
      <c r="F71" s="4" t="s">
        <v>883</v>
      </c>
      <c r="G71" s="8" t="n">
        <v>58</v>
      </c>
      <c r="H71" s="8" t="n">
        <v>9</v>
      </c>
      <c r="I71" s="4" t="s">
        <v>891</v>
      </c>
      <c r="J71" s="8" t="n">
        <v>50</v>
      </c>
      <c r="K71" s="8" t="n">
        <v>6</v>
      </c>
      <c r="L71" s="4" t="s">
        <v>888</v>
      </c>
      <c r="M71" s="8" t="n">
        <v>44</v>
      </c>
      <c r="N71" s="8" t="n">
        <f aca="false">IF(A71="","",G71-J71)</f>
        <v>8</v>
      </c>
      <c r="O71" s="8" t="n">
        <f aca="false">IF(A71="","",J71-M71)</f>
        <v>6</v>
      </c>
      <c r="P71" s="8" t="n">
        <f aca="false">IF(A71="","",G71+J71)</f>
        <v>108</v>
      </c>
      <c r="Q71" s="8" t="str">
        <f aca="false">IF(A71="","",IF(AND(Y71&lt;&gt;"参考",G71&gt;=ルール設定!$B$2),"○",""))</f>
        <v/>
      </c>
      <c r="R71" s="8" t="str">
        <f aca="false">IF(A71="","",IF(AND(Y71&lt;&gt;"参考",G71&gt;=ルール設定!$B$3,N71&gt;=ルール設定!$B$4),"○",""))</f>
        <v/>
      </c>
      <c r="S71" s="8" t="str">
        <f aca="false">IF(A71="","",IF(AND(Y71&lt;&gt;"参考",G71&gt;=ルール設定!$B$5,J71&gt;=ルール設定!$B$6,O71&gt;=ルール設定!$B$7),"○",""))</f>
        <v/>
      </c>
      <c r="T71" s="8" t="n">
        <v>3</v>
      </c>
      <c r="U71" s="8" t="n">
        <v>4</v>
      </c>
      <c r="V71" s="8" t="str">
        <f aca="false">IF(A71="","",IF(AND(ISNUMBER(T71),ISNUMBER(U71)),IF(AND(T71&lt;=3,U71&lt;=3),"○","×"),""))</f>
        <v>×</v>
      </c>
      <c r="W71" s="8" t="n">
        <v>210</v>
      </c>
      <c r="X71" s="8"/>
      <c r="Y71" s="4" t="s">
        <v>7597</v>
      </c>
      <c r="Z71" s="8"/>
      <c r="AA71" s="8" t="str">
        <v/>
      </c>
      <c r="AB71" s="8" t="str">
        <v/>
      </c>
      <c r="AC71" s="8" t="str">
        <v/>
      </c>
      <c r="AD71" s="8" t="str">
        <v/>
      </c>
      <c r="AE71" s="8" t="str">
        <v/>
      </c>
      <c r="AF71" s="8" t="str">
        <v/>
      </c>
      <c r="AG71" s="8" t="str">
        <v/>
      </c>
      <c r="AH71" s="8" t="str">
        <v/>
      </c>
      <c r="AI71" s="8" t="n">
        <v>14</v>
      </c>
      <c r="AJ71" s="8" t="str">
        <v>～59</v>
      </c>
      <c r="AK71" s="8" t="str">
        <v>5～9</v>
      </c>
      <c r="AL71" s="8" t="str">
        <v>10～19</v>
      </c>
      <c r="AM71" s="8" t="str">
        <v>100～119</v>
      </c>
      <c r="AN71" s="8" t="str">
        <v>8～11</v>
      </c>
      <c r="AO71" s="8" t="str">
        <f aca="false">IF(A71="","",IF(COUNTIFS(全馬データ!$A$2:$A$50000,A71,全馬データ!$B$2:$B$50000,B71,全馬データ!$C$2:$C$50000,C71,全馬データ!$D$2:$D$50000,E71,全馬データ!$K$2:$K$50000,"&lt;&gt;")=0,"",SUMIFS(全馬データ!$K$2:$K$50000,全馬データ!$A$2:$A$50000,A71,全馬データ!$B$2:$B$50000,B71,全馬データ!$C$2:$C$50000,C71,全馬データ!$D$2:$D$50000,E71)))</f>
        <v/>
      </c>
      <c r="AP71" s="8" t="str">
        <f aca="false">IF(A71="","",IF(AO71="","欠損",IF(AO71&lt;=1.1,"1.0～1.1",IF(AO71&lt;1.3,"1.2",IF(AO71&lt;1.5,"1.3～1.4",IF(AO71&lt;2,"1.5～1.9","2.0以上"))))))</f>
        <v>欠損</v>
      </c>
      <c r="AQ71" s="8" t="str">
        <f aca="false">IF(A71="","",IF(ISNUMBER(SEARCH("2歳",Z71)),"2歳戦",IF(ISNUMBER(SEARCH("3歳未勝利",Z71)),"3歳未勝利",IF(ISNUMBER(SEARCH("未勝利",Z71)),"その他未勝利",IF(ISNUMBER(SEARCH("G1",Z71)),"G1",IF(ISNUMBER(SEARCH("G2",Z71)),"G2",IF(ISNUMBER(SEARCH("G3",Z71)),"G3",IF(ISNUMBER(SEARCH("古馬条件",Z71)),"古馬条件戦",IF(ISNUMBER(SEARCH("重賞",Z71)),"重賞","分類不能")))))))))</f>
        <v>分類不能</v>
      </c>
      <c r="AR71" s="4" t="s">
        <v>7674</v>
      </c>
      <c r="AS71" s="8" t="s">
        <v>7626</v>
      </c>
      <c r="AT71" s="8" t="s">
        <v>7627</v>
      </c>
      <c r="AU71" s="8" t="s">
        <v>7634</v>
      </c>
      <c r="AV71" s="8" t="s">
        <v>7635</v>
      </c>
      <c r="AW71" s="8" t="s">
        <v>7636</v>
      </c>
      <c r="AX71" s="4" t="s">
        <v>7637</v>
      </c>
      <c r="AY71" s="8" t="s">
        <v>7602</v>
      </c>
      <c r="AZ71" s="4" t="s">
        <v>7603</v>
      </c>
      <c r="BA71" s="8" t="n">
        <v>1500</v>
      </c>
      <c r="BB71" s="8" t="s">
        <v>7598</v>
      </c>
      <c r="BC71" s="4" t="s">
        <v>7604</v>
      </c>
      <c r="BD71" s="8" t="s">
        <v>7605</v>
      </c>
      <c r="BE71" s="4" t="s">
        <v>7606</v>
      </c>
      <c r="BF71" s="8" t="s">
        <v>7607</v>
      </c>
      <c r="BG71" s="8" t="s">
        <v>7602</v>
      </c>
      <c r="BH71" s="4" t="s">
        <v>7667</v>
      </c>
      <c r="BI71" s="8" t="n">
        <v>10</v>
      </c>
      <c r="BJ71" s="8" t="s">
        <v>7602</v>
      </c>
      <c r="BK71" s="4" t="s">
        <v>7653</v>
      </c>
      <c r="BL71" s="8" t="s">
        <v>7602</v>
      </c>
      <c r="BM71" s="4" t="s">
        <v>7620</v>
      </c>
      <c r="BN71" s="8" t="s">
        <v>7602</v>
      </c>
      <c r="BO71" s="8" t="s">
        <v>7613</v>
      </c>
      <c r="BP71" s="8" t="s">
        <v>7608</v>
      </c>
      <c r="BQ71" s="8" t="str">
        <f aca="false">IF(A71="","",AT71)</f>
        <v>3歳以上</v>
      </c>
      <c r="BR71" s="8" t="str">
        <f aca="false">IF(A71="","",IF(BA71&lt;=1200,"～1200",IF(BA71&lt;=1500,"1300～1500",IF(BA71=1600,"1600",IF(BA71&lt;=1800,"1700～1800",IF(BA71&lt;=2000,"1900～2000","2100以上"))))))</f>
        <v>1300～1500</v>
      </c>
      <c r="BS71" s="8" t="str">
        <f aca="false">IF(A71="","",IF(AX71="G1","G1",IF(AX71="G2","G2",IF(AX71="G3","G3",IF(AX71="L","L","その他")))))</f>
        <v>その他</v>
      </c>
      <c r="BT71" s="8" t="str">
        <f aca="false">IF(A71="","",IF(BI71="","未結合",IF(D71=BI71,"一致","不一致")))</f>
        <v>一致</v>
      </c>
      <c r="BU71" s="8" t="str">
        <f aca="false">IF(A71="","",IF(BE71="牝馬限定","牝馬限定","その他"))</f>
        <v>その他</v>
      </c>
    </row>
    <row r="72" customFormat="false" ht="15.75" hidden="false" customHeight="false" outlineLevel="0" collapsed="false">
      <c r="A72" s="3" t="n">
        <v>46229</v>
      </c>
      <c r="B72" s="4" t="s">
        <v>334</v>
      </c>
      <c r="C72" s="8" t="n">
        <v>11</v>
      </c>
      <c r="D72" s="8" t="n">
        <v>13</v>
      </c>
      <c r="E72" s="8" t="n">
        <v>2</v>
      </c>
      <c r="F72" s="4" t="s">
        <v>894</v>
      </c>
      <c r="G72" s="8" t="n">
        <v>62</v>
      </c>
      <c r="H72" s="8" t="n">
        <v>3</v>
      </c>
      <c r="I72" s="4" t="s">
        <v>895</v>
      </c>
      <c r="J72" s="8" t="n">
        <v>37</v>
      </c>
      <c r="K72" s="8" t="n">
        <v>11</v>
      </c>
      <c r="L72" s="4" t="s">
        <v>903</v>
      </c>
      <c r="M72" s="8" t="n">
        <v>34</v>
      </c>
      <c r="N72" s="8" t="n">
        <f aca="false">IF(A72="","",G72-J72)</f>
        <v>25</v>
      </c>
      <c r="O72" s="8" t="n">
        <f aca="false">IF(A72="","",J72-M72)</f>
        <v>3</v>
      </c>
      <c r="P72" s="8" t="n">
        <f aca="false">IF(A72="","",G72+J72)</f>
        <v>99</v>
      </c>
      <c r="Q72" s="8" t="str">
        <f aca="false">IF(A72="","",IF(AND(Y72&lt;&gt;"参考",G72&gt;=ルール設定!$B$2),"○",""))</f>
        <v/>
      </c>
      <c r="R72" s="8" t="str">
        <f aca="false">IF(A72="","",IF(AND(Y72&lt;&gt;"参考",G72&gt;=ルール設定!$B$3,N72&gt;=ルール設定!$B$4),"○",""))</f>
        <v/>
      </c>
      <c r="S72" s="8" t="str">
        <f aca="false">IF(A72="","",IF(AND(Y72&lt;&gt;"参考",G72&gt;=ルール設定!$B$5,J72&gt;=ルール設定!$B$6,O72&gt;=ルール設定!$B$7),"○",""))</f>
        <v/>
      </c>
      <c r="T72" s="8" t="n">
        <v>1</v>
      </c>
      <c r="U72" s="8" t="n">
        <v>4</v>
      </c>
      <c r="V72" s="8" t="str">
        <f aca="false">IF(A72="","",IF(AND(ISNUMBER(T72),ISNUMBER(U72)),IF(AND(T72&lt;=3,U72&lt;=3),"○","×"),""))</f>
        <v>×</v>
      </c>
      <c r="W72" s="8" t="n">
        <v>120</v>
      </c>
      <c r="X72" s="8"/>
      <c r="Y72" s="4" t="s">
        <v>7597</v>
      </c>
      <c r="Z72" s="8"/>
      <c r="AA72" s="8" t="str">
        <v/>
      </c>
      <c r="AB72" s="8" t="str">
        <v/>
      </c>
      <c r="AC72" s="8" t="str">
        <v/>
      </c>
      <c r="AD72" s="8" t="str">
        <v/>
      </c>
      <c r="AE72" s="8" t="str">
        <v/>
      </c>
      <c r="AF72" s="8" t="str">
        <v/>
      </c>
      <c r="AG72" s="8" t="str">
        <v/>
      </c>
      <c r="AH72" s="8" t="str">
        <v/>
      </c>
      <c r="AI72" s="8" t="n">
        <v>28</v>
      </c>
      <c r="AJ72" s="8" t="str">
        <v>60～69</v>
      </c>
      <c r="AK72" s="8" t="str">
        <v>20～29</v>
      </c>
      <c r="AL72" s="8" t="str">
        <v>20～29</v>
      </c>
      <c r="AM72" s="8" t="str">
        <v>～99</v>
      </c>
      <c r="AN72" s="8" t="str">
        <v>12～14</v>
      </c>
      <c r="AO72" s="8" t="str">
        <f aca="false">IF(A72="","",IF(COUNTIFS(全馬データ!$A$2:$A$50000,A72,全馬データ!$B$2:$B$50000,B72,全馬データ!$C$2:$C$50000,C72,全馬データ!$D$2:$D$50000,E72,全馬データ!$K$2:$K$50000,"&lt;&gt;")=0,"",SUMIFS(全馬データ!$K$2:$K$50000,全馬データ!$A$2:$A$50000,A72,全馬データ!$B$2:$B$50000,B72,全馬データ!$C$2:$C$50000,C72,全馬データ!$D$2:$D$50000,E72)))</f>
        <v/>
      </c>
      <c r="AP72" s="8" t="str">
        <f aca="false">IF(A72="","",IF(AO72="","欠損",IF(AO72&lt;=1.1,"1.0～1.1",IF(AO72&lt;1.3,"1.2",IF(AO72&lt;1.5,"1.3～1.4",IF(AO72&lt;2,"1.5～1.9","2.0以上"))))))</f>
        <v>欠損</v>
      </c>
      <c r="AQ72" s="8" t="str">
        <f aca="false">IF(A72="","",IF(ISNUMBER(SEARCH("2歳",Z72)),"2歳戦",IF(ISNUMBER(SEARCH("3歳未勝利",Z72)),"3歳未勝利",IF(ISNUMBER(SEARCH("未勝利",Z72)),"その他未勝利",IF(ISNUMBER(SEARCH("G1",Z72)),"G1",IF(ISNUMBER(SEARCH("G2",Z72)),"G2",IF(ISNUMBER(SEARCH("G3",Z72)),"G3",IF(ISNUMBER(SEARCH("古馬条件",Z72)),"古馬条件戦",IF(ISNUMBER(SEARCH("重賞",Z72)),"重賞","分類不能")))))))))</f>
        <v>分類不能</v>
      </c>
      <c r="AR72" s="4" t="s">
        <v>7675</v>
      </c>
      <c r="AS72" s="8" t="s">
        <v>7626</v>
      </c>
      <c r="AT72" s="8" t="s">
        <v>7627</v>
      </c>
      <c r="AU72" s="8" t="s">
        <v>7643</v>
      </c>
      <c r="AV72" s="4" t="s">
        <v>7644</v>
      </c>
      <c r="AW72" s="8" t="s">
        <v>7676</v>
      </c>
      <c r="AX72" s="8" t="s">
        <v>7677</v>
      </c>
      <c r="AY72" s="8" t="s">
        <v>7602</v>
      </c>
      <c r="AZ72" s="4" t="s">
        <v>7603</v>
      </c>
      <c r="BA72" s="8" t="n">
        <v>2600</v>
      </c>
      <c r="BB72" s="8" t="s">
        <v>7598</v>
      </c>
      <c r="BC72" s="4" t="s">
        <v>7604</v>
      </c>
      <c r="BD72" s="8" t="s">
        <v>7666</v>
      </c>
      <c r="BE72" s="4" t="s">
        <v>7606</v>
      </c>
      <c r="BF72" s="8" t="s">
        <v>7607</v>
      </c>
      <c r="BG72" s="8" t="s">
        <v>7610</v>
      </c>
      <c r="BH72" s="4" t="s">
        <v>7646</v>
      </c>
      <c r="BI72" s="8" t="n">
        <v>13</v>
      </c>
      <c r="BJ72" s="8" t="s">
        <v>7602</v>
      </c>
      <c r="BK72" s="4" t="s">
        <v>7653</v>
      </c>
      <c r="BL72" s="8" t="s">
        <v>7602</v>
      </c>
      <c r="BM72" s="4" t="s">
        <v>7620</v>
      </c>
      <c r="BN72" s="8" t="s">
        <v>7602</v>
      </c>
      <c r="BO72" s="8" t="s">
        <v>7613</v>
      </c>
      <c r="BP72" s="8" t="s">
        <v>7608</v>
      </c>
      <c r="BQ72" s="8" t="str">
        <f aca="false">IF(A72="","",AT72)</f>
        <v>3歳以上</v>
      </c>
      <c r="BR72" s="8" t="str">
        <f aca="false">IF(A72="","",IF(BA72&lt;=1200,"～1200",IF(BA72&lt;=1500,"1300～1500",IF(BA72=1600,"1600",IF(BA72&lt;=1800,"1700～1800",IF(BA72&lt;=2000,"1900～2000","2100以上"))))))</f>
        <v>2100以上</v>
      </c>
      <c r="BS72" s="8" t="str">
        <f aca="false">IF(A72="","",IF(AX72="G1","G1",IF(AX72="G2","G2",IF(AX72="G3","G3",IF(AX72="L","L","その他")))))</f>
        <v>L</v>
      </c>
      <c r="BT72" s="8" t="str">
        <f aca="false">IF(A72="","",IF(BI72="","未結合",IF(D72=BI72,"一致","不一致")))</f>
        <v>一致</v>
      </c>
      <c r="BU72" s="8" t="str">
        <f aca="false">IF(A72="","",IF(BE72="牝馬限定","牝馬限定","その他"))</f>
        <v>その他</v>
      </c>
    </row>
    <row r="73" customFormat="false" ht="15.75" hidden="false" customHeight="false" outlineLevel="0" collapsed="false">
      <c r="A73" s="3" t="n">
        <v>46229</v>
      </c>
      <c r="B73" s="4" t="s">
        <v>334</v>
      </c>
      <c r="C73" s="8" t="n">
        <v>12</v>
      </c>
      <c r="D73" s="8" t="n">
        <v>9</v>
      </c>
      <c r="E73" s="8" t="n">
        <v>8</v>
      </c>
      <c r="F73" s="4" t="s">
        <v>913</v>
      </c>
      <c r="G73" s="8" t="n">
        <v>62</v>
      </c>
      <c r="H73" s="8" t="n">
        <v>1</v>
      </c>
      <c r="I73" s="4" t="s">
        <v>906</v>
      </c>
      <c r="J73" s="8" t="n">
        <v>52</v>
      </c>
      <c r="K73" s="8" t="n">
        <v>7</v>
      </c>
      <c r="L73" s="4" t="s">
        <v>912</v>
      </c>
      <c r="M73" s="8" t="n">
        <v>34</v>
      </c>
      <c r="N73" s="8" t="n">
        <f aca="false">IF(A73="","",G73-J73)</f>
        <v>10</v>
      </c>
      <c r="O73" s="8" t="n">
        <f aca="false">IF(A73="","",J73-M73)</f>
        <v>18</v>
      </c>
      <c r="P73" s="8" t="n">
        <f aca="false">IF(A73="","",G73+J73)</f>
        <v>114</v>
      </c>
      <c r="Q73" s="8" t="str">
        <f aca="false">IF(A73="","",IF(AND(Y73&lt;&gt;"参考",G73&gt;=ルール設定!$B$2),"○",""))</f>
        <v/>
      </c>
      <c r="R73" s="8" t="str">
        <f aca="false">IF(A73="","",IF(AND(Y73&lt;&gt;"参考",G73&gt;=ルール設定!$B$3,N73&gt;=ルール設定!$B$4),"○",""))</f>
        <v/>
      </c>
      <c r="S73" s="8" t="str">
        <f aca="false">IF(A73="","",IF(AND(Y73&lt;&gt;"参考",G73&gt;=ルール設定!$B$5,J73&gt;=ルール設定!$B$6,O73&gt;=ルール設定!$B$7),"○",""))</f>
        <v/>
      </c>
      <c r="T73" s="8" t="n">
        <v>4</v>
      </c>
      <c r="U73" s="8" t="n">
        <v>3</v>
      </c>
      <c r="V73" s="8" t="str">
        <f aca="false">IF(A73="","",IF(AND(ISNUMBER(T73),ISNUMBER(U73)),IF(AND(T73&lt;=3,U73&lt;=3),"○","×"),""))</f>
        <v>×</v>
      </c>
      <c r="W73" s="8"/>
      <c r="X73" s="8"/>
      <c r="Y73" s="4" t="s">
        <v>7597</v>
      </c>
      <c r="Z73" s="4" t="s">
        <v>7614</v>
      </c>
      <c r="AA73" s="8" t="str">
        <v/>
      </c>
      <c r="AB73" s="8" t="str">
        <v/>
      </c>
      <c r="AC73" s="8" t="str">
        <v/>
      </c>
      <c r="AD73" s="8" t="str">
        <v/>
      </c>
      <c r="AE73" s="8" t="str">
        <v/>
      </c>
      <c r="AF73" s="8" t="str">
        <v/>
      </c>
      <c r="AG73" s="8" t="str">
        <v/>
      </c>
      <c r="AH73" s="8" t="str">
        <v/>
      </c>
      <c r="AI73" s="8" t="n">
        <v>28</v>
      </c>
      <c r="AJ73" s="8" t="str">
        <v>60～69</v>
      </c>
      <c r="AK73" s="8" t="str">
        <v>10～19</v>
      </c>
      <c r="AL73" s="8" t="str">
        <v>20～29</v>
      </c>
      <c r="AM73" s="8" t="str">
        <v>100～119</v>
      </c>
      <c r="AN73" s="8" t="str">
        <v>8～11</v>
      </c>
      <c r="AO73" s="8" t="str">
        <f aca="false">IF(A73="","",IF(COUNTIFS(全馬データ!$A$2:$A$50000,A73,全馬データ!$B$2:$B$50000,B73,全馬データ!$C$2:$C$50000,C73,全馬データ!$D$2:$D$50000,E73,全馬データ!$K$2:$K$50000,"&lt;&gt;")=0,"",SUMIFS(全馬データ!$K$2:$K$50000,全馬データ!$A$2:$A$50000,A73,全馬データ!$B$2:$B$50000,B73,全馬データ!$C$2:$C$50000,C73,全馬データ!$D$2:$D$50000,E73)))</f>
        <v/>
      </c>
      <c r="AP73" s="8" t="str">
        <f aca="false">IF(A73="","",IF(AO73="","欠損",IF(AO73&lt;=1.1,"1.0～1.1",IF(AO73&lt;1.3,"1.2",IF(AO73&lt;1.5,"1.3～1.4",IF(AO73&lt;2,"1.5～1.9","2.0以上"))))))</f>
        <v>欠損</v>
      </c>
      <c r="AQ73" s="8" t="str">
        <f aca="false">IF(A73="","",IF(ISNUMBER(SEARCH("2歳",Z73)),"2歳戦",IF(ISNUMBER(SEARCH("3歳未勝利",Z73)),"3歳未勝利",IF(ISNUMBER(SEARCH("未勝利",Z73)),"その他未勝利",IF(ISNUMBER(SEARCH("G1",Z73)),"G1",IF(ISNUMBER(SEARCH("G2",Z73)),"G2",IF(ISNUMBER(SEARCH("G3",Z73)),"G3",IF(ISNUMBER(SEARCH("古馬条件",Z73)),"古馬条件戦",IF(ISNUMBER(SEARCH("重賞",Z73)),"重賞","分類不能")))))))))</f>
        <v>分類不能</v>
      </c>
      <c r="AR73" s="4" t="s">
        <v>7678</v>
      </c>
      <c r="AS73" s="8" t="s">
        <v>7626</v>
      </c>
      <c r="AT73" s="8" t="s">
        <v>7627</v>
      </c>
      <c r="AU73" s="8" t="s">
        <v>7628</v>
      </c>
      <c r="AV73" s="8" t="s">
        <v>7629</v>
      </c>
      <c r="AW73" s="8" t="s">
        <v>7636</v>
      </c>
      <c r="AX73" s="4" t="s">
        <v>7637</v>
      </c>
      <c r="AY73" s="8" t="s">
        <v>7602</v>
      </c>
      <c r="AZ73" s="4" t="s">
        <v>7603</v>
      </c>
      <c r="BA73" s="8" t="n">
        <v>2000</v>
      </c>
      <c r="BB73" s="8" t="s">
        <v>7598</v>
      </c>
      <c r="BC73" s="4" t="s">
        <v>7604</v>
      </c>
      <c r="BD73" s="8" t="s">
        <v>7630</v>
      </c>
      <c r="BE73" s="4" t="s">
        <v>7606</v>
      </c>
      <c r="BF73" s="8" t="s">
        <v>7607</v>
      </c>
      <c r="BG73" s="8" t="s">
        <v>7631</v>
      </c>
      <c r="BH73" s="4" t="s">
        <v>7632</v>
      </c>
      <c r="BI73" s="8" t="n">
        <v>9</v>
      </c>
      <c r="BJ73" s="8" t="s">
        <v>7602</v>
      </c>
      <c r="BK73" s="4" t="s">
        <v>7653</v>
      </c>
      <c r="BL73" s="8" t="s">
        <v>7602</v>
      </c>
      <c r="BM73" s="4" t="s">
        <v>7620</v>
      </c>
      <c r="BN73" s="8" t="s">
        <v>7602</v>
      </c>
      <c r="BO73" s="8" t="s">
        <v>7613</v>
      </c>
      <c r="BP73" s="8" t="s">
        <v>7608</v>
      </c>
      <c r="BQ73" s="8" t="str">
        <f aca="false">IF(A73="","",AT73)</f>
        <v>3歳以上</v>
      </c>
      <c r="BR73" s="8" t="str">
        <f aca="false">IF(A73="","",IF(BA73&lt;=1200,"～1200",IF(BA73&lt;=1500,"1300～1500",IF(BA73=1600,"1600",IF(BA73&lt;=1800,"1700～1800",IF(BA73&lt;=2000,"1900～2000","2100以上"))))))</f>
        <v>1900～2000</v>
      </c>
      <c r="BS73" s="8" t="str">
        <f aca="false">IF(A73="","",IF(AX73="G1","G1",IF(AX73="G2","G2",IF(AX73="G3","G3",IF(AX73="L","L","その他")))))</f>
        <v>その他</v>
      </c>
      <c r="BT73" s="8" t="str">
        <f aca="false">IF(A73="","",IF(BI73="","未結合",IF(D73=BI73,"一致","不一致")))</f>
        <v>一致</v>
      </c>
      <c r="BU73" s="8" t="str">
        <f aca="false">IF(A73="","",IF(BE73="牝馬限定","牝馬限定","その他"))</f>
        <v>その他</v>
      </c>
    </row>
    <row r="74" customFormat="false" ht="15.75" hidden="false" customHeight="false" outlineLevel="0" collapsed="false">
      <c r="A74" s="6" t="n">
        <v>46221</v>
      </c>
      <c r="B74" s="4" t="s">
        <v>915</v>
      </c>
      <c r="C74" s="8" t="n">
        <v>1</v>
      </c>
      <c r="D74" s="8" t="n">
        <v>13</v>
      </c>
      <c r="E74" s="8" t="n">
        <v>4</v>
      </c>
      <c r="F74" s="4" t="s">
        <v>920</v>
      </c>
      <c r="G74" s="8" t="n">
        <v>81</v>
      </c>
      <c r="H74" s="8" t="n">
        <v>8</v>
      </c>
      <c r="I74" s="4" t="s">
        <v>924</v>
      </c>
      <c r="J74" s="8" t="n">
        <v>66</v>
      </c>
      <c r="K74" s="8" t="n">
        <v>5</v>
      </c>
      <c r="L74" s="4" t="s">
        <v>921</v>
      </c>
      <c r="M74" s="8" t="n">
        <v>41</v>
      </c>
      <c r="N74" s="8" t="n">
        <f aca="false">IF(A74="","",G74-J74)</f>
        <v>15</v>
      </c>
      <c r="O74" s="8" t="n">
        <f aca="false">IF(A74="","",J74-M74)</f>
        <v>25</v>
      </c>
      <c r="P74" s="8" t="n">
        <f aca="false">IF(A74="","",G74+J74)</f>
        <v>147</v>
      </c>
      <c r="Q74" s="8" t="str">
        <f aca="false">IF(A74="","",IF(AND(Y74&lt;&gt;"参考",G74&gt;=ルール設定!$B$2),"○",""))</f>
        <v>○</v>
      </c>
      <c r="R74" s="8" t="str">
        <f aca="false">IF(A74="","",IF(AND(Y74&lt;&gt;"参考",G74&gt;=ルール設定!$B$3,N74&gt;=ルール設定!$B$4),"○",""))</f>
        <v/>
      </c>
      <c r="S74" s="8" t="str">
        <f aca="false">IF(A74="","",IF(AND(Y74&lt;&gt;"参考",G74&gt;=ルール設定!$B$5,J74&gt;=ルール設定!$B$6,O74&gt;=ルール設定!$B$7),"○",""))</f>
        <v>○</v>
      </c>
      <c r="T74" s="8" t="n">
        <v>4</v>
      </c>
      <c r="U74" s="8" t="n">
        <v>3</v>
      </c>
      <c r="V74" s="8" t="str">
        <f aca="false">IF(A74="","",IF(AND(ISNUMBER(T74),ISNUMBER(U74)),IF(AND(T74&lt;=3,U74&lt;=3),"○","×"),""))</f>
        <v>×</v>
      </c>
      <c r="W74" s="8"/>
      <c r="X74" s="8"/>
      <c r="Y74" s="4" t="s">
        <v>7597</v>
      </c>
      <c r="Z74" s="4" t="s">
        <v>7679</v>
      </c>
      <c r="AA74" s="8" t="str">
        <v/>
      </c>
      <c r="AB74" s="8" t="str">
        <v>○</v>
      </c>
      <c r="AC74" s="8" t="str">
        <v>○</v>
      </c>
      <c r="AD74" s="8" t="str">
        <v/>
      </c>
      <c r="AE74" s="8" t="str">
        <v/>
      </c>
      <c r="AF74" s="8" t="str">
        <v>○</v>
      </c>
      <c r="AG74" s="8" t="str">
        <v>○</v>
      </c>
      <c r="AH74" s="8" t="str">
        <v/>
      </c>
      <c r="AI74" s="8" t="n">
        <v>40</v>
      </c>
      <c r="AJ74" s="8" t="str">
        <v>80～84</v>
      </c>
      <c r="AK74" s="8" t="str">
        <v>10～19</v>
      </c>
      <c r="AL74" s="8" t="str">
        <v>40以上</v>
      </c>
      <c r="AM74" s="8" t="str">
        <v>140～159</v>
      </c>
      <c r="AN74" s="8" t="str">
        <v>12～14</v>
      </c>
      <c r="AO74" s="8" t="n">
        <f aca="false">IF(A74="","",IF(COUNTIFS(全馬データ!$A$2:$A$50000,A74,全馬データ!$B$2:$B$50000,B74,全馬データ!$C$2:$C$50000,C74,全馬データ!$D$2:$D$50000,E74,全馬データ!$K$2:$K$50000,"&lt;&gt;")=0,"",SUMIFS(全馬データ!$K$2:$K$50000,全馬データ!$A$2:$A$50000,A74,全馬データ!$B$2:$B$50000,B74,全馬データ!$C$2:$C$50000,C74,全馬データ!$D$2:$D$50000,E74)))</f>
        <v>1.1</v>
      </c>
      <c r="AP74" s="8" t="str">
        <f aca="false">IF(A74="","",IF(AO74="","欠損",IF(AO74&lt;=1.1,"1.0～1.1",IF(AO74&lt;1.3,"1.2",IF(AO74&lt;1.5,"1.3～1.4",IF(AO74&lt;2,"1.5～1.9","2.0以上"))))))</f>
        <v>1.0～1.1</v>
      </c>
      <c r="AQ74" s="8" t="str">
        <f aca="false">IF(A74="","",IF(ISNUMBER(SEARCH("2歳",Z74)),"2歳戦",IF(ISNUMBER(SEARCH("3歳未勝利",Z74)),"3歳未勝利",IF(ISNUMBER(SEARCH("未勝利",Z74)),"その他未勝利",IF(ISNUMBER(SEARCH("G1",Z74)),"G1",IF(ISNUMBER(SEARCH("G2",Z74)),"G2",IF(ISNUMBER(SEARCH("G3",Z74)),"G3",IF(ISNUMBER(SEARCH("古馬条件",Z74)),"古馬条件戦",IF(ISNUMBER(SEARCH("重賞",Z74)),"重賞","分類不能")))))))))</f>
        <v>分類不能</v>
      </c>
      <c r="AR74" s="8"/>
      <c r="AS74" s="8" t="s">
        <v>7598</v>
      </c>
      <c r="AT74" s="8" t="s">
        <v>7599</v>
      </c>
      <c r="AU74" s="8" t="s">
        <v>7600</v>
      </c>
      <c r="AV74" s="4" t="s">
        <v>7601</v>
      </c>
      <c r="AW74" s="8"/>
      <c r="AX74" s="8"/>
      <c r="AY74" s="8" t="s">
        <v>7602</v>
      </c>
      <c r="AZ74" s="4" t="s">
        <v>7603</v>
      </c>
      <c r="BA74" s="8" t="n">
        <v>1200</v>
      </c>
      <c r="BB74" s="8" t="s">
        <v>7598</v>
      </c>
      <c r="BC74" s="4" t="s">
        <v>7604</v>
      </c>
      <c r="BD74" s="8" t="s">
        <v>7605</v>
      </c>
      <c r="BE74" s="4" t="s">
        <v>7606</v>
      </c>
      <c r="BF74" s="8" t="s">
        <v>7607</v>
      </c>
      <c r="BG74" s="8" t="s">
        <v>7608</v>
      </c>
      <c r="BH74" s="4" t="s">
        <v>7609</v>
      </c>
      <c r="BI74" s="8" t="n">
        <v>13</v>
      </c>
      <c r="BJ74" s="8" t="s">
        <v>7602</v>
      </c>
      <c r="BK74" s="4" t="s">
        <v>7653</v>
      </c>
      <c r="BL74" s="8" t="s">
        <v>7602</v>
      </c>
      <c r="BM74" s="4" t="s">
        <v>7620</v>
      </c>
      <c r="BN74" s="8" t="s">
        <v>7631</v>
      </c>
      <c r="BO74" s="8" t="s">
        <v>7680</v>
      </c>
      <c r="BP74" s="8" t="s">
        <v>7602</v>
      </c>
      <c r="BQ74" s="8" t="str">
        <f aca="false">IF(A74="","",AT74)</f>
        <v>2歳</v>
      </c>
      <c r="BR74" s="8" t="str">
        <f aca="false">IF(A74="","",IF(BA74&lt;=1200,"～1200",IF(BA74&lt;=1500,"1300～1500",IF(BA74=1600,"1600",IF(BA74&lt;=1800,"1700～1800",IF(BA74&lt;=2000,"1900～2000","2100以上"))))))</f>
        <v>～1200</v>
      </c>
      <c r="BS74" s="8" t="str">
        <f aca="false">IF(A74="","",IF(AX74="G1","G1",IF(AX74="G2","G2",IF(AX74="G3","G3",IF(AX74="L","L","その他")))))</f>
        <v>その他</v>
      </c>
      <c r="BT74" s="8" t="str">
        <f aca="false">IF(A74="","",IF(BI74="","未結合",IF(D74=BI74,"一致","不一致")))</f>
        <v>一致</v>
      </c>
      <c r="BU74" s="8" t="str">
        <f aca="false">IF(A74="","",IF(BE74="牝馬限定","牝馬限定","その他"))</f>
        <v>その他</v>
      </c>
    </row>
    <row r="75" customFormat="false" ht="15.75" hidden="false" customHeight="false" outlineLevel="0" collapsed="false">
      <c r="A75" s="6" t="n">
        <v>46221</v>
      </c>
      <c r="B75" s="4" t="s">
        <v>915</v>
      </c>
      <c r="C75" s="8" t="n">
        <v>2</v>
      </c>
      <c r="D75" s="8" t="n">
        <v>9</v>
      </c>
      <c r="E75" s="8" t="n">
        <v>2</v>
      </c>
      <c r="F75" s="4" t="s">
        <v>931</v>
      </c>
      <c r="G75" s="8" t="n">
        <v>81</v>
      </c>
      <c r="H75" s="8" t="n">
        <v>1</v>
      </c>
      <c r="I75" s="4" t="s">
        <v>930</v>
      </c>
      <c r="J75" s="8" t="n">
        <v>58</v>
      </c>
      <c r="K75" s="8" t="n">
        <v>3</v>
      </c>
      <c r="L75" s="4" t="s">
        <v>932</v>
      </c>
      <c r="M75" s="8" t="n">
        <v>39</v>
      </c>
      <c r="N75" s="8" t="n">
        <f aca="false">IF(A75="","",G75-J75)</f>
        <v>23</v>
      </c>
      <c r="O75" s="8" t="n">
        <f aca="false">IF(A75="","",J75-M75)</f>
        <v>19</v>
      </c>
      <c r="P75" s="8" t="n">
        <f aca="false">IF(A75="","",G75+J75)</f>
        <v>139</v>
      </c>
      <c r="Q75" s="8" t="str">
        <f aca="false">IF(A75="","",IF(AND(Y75&lt;&gt;"参考",G75&gt;=ルール設定!$B$2),"○",""))</f>
        <v>○</v>
      </c>
      <c r="R75" s="8" t="str">
        <f aca="false">IF(A75="","",IF(AND(Y75&lt;&gt;"参考",G75&gt;=ルール設定!$B$3,N75&gt;=ルール設定!$B$4),"○",""))</f>
        <v/>
      </c>
      <c r="S75" s="8" t="str">
        <f aca="false">IF(A75="","",IF(AND(Y75&lt;&gt;"参考",G75&gt;=ルール設定!$B$5,J75&gt;=ルール設定!$B$6,O75&gt;=ルール設定!$B$7),"○",""))</f>
        <v/>
      </c>
      <c r="T75" s="8" t="n">
        <v>1</v>
      </c>
      <c r="U75" s="8" t="n">
        <v>3</v>
      </c>
      <c r="V75" s="8" t="str">
        <f aca="false">IF(A75="","",IF(AND(ISNUMBER(T75),ISNUMBER(U75)),IF(AND(T75&lt;=3,U75&lt;=3),"○","×"),""))</f>
        <v>○</v>
      </c>
      <c r="W75" s="8" t="n">
        <v>110</v>
      </c>
      <c r="X75" s="8" t="n">
        <v>120</v>
      </c>
      <c r="Y75" s="4" t="s">
        <v>7597</v>
      </c>
      <c r="Z75" s="4" t="s">
        <v>7679</v>
      </c>
      <c r="AA75" s="8" t="str">
        <v/>
      </c>
      <c r="AB75" s="8" t="str">
        <v>○</v>
      </c>
      <c r="AC75" s="8" t="str">
        <v>○</v>
      </c>
      <c r="AD75" s="8" t="str">
        <v/>
      </c>
      <c r="AE75" s="8" t="str">
        <v/>
      </c>
      <c r="AF75" s="8" t="str">
        <v/>
      </c>
      <c r="AG75" s="8" t="str">
        <v>○</v>
      </c>
      <c r="AH75" s="8" t="str">
        <v/>
      </c>
      <c r="AI75" s="8" t="n">
        <v>42</v>
      </c>
      <c r="AJ75" s="8" t="str">
        <v>80～84</v>
      </c>
      <c r="AK75" s="8" t="str">
        <v>20～29</v>
      </c>
      <c r="AL75" s="8" t="str">
        <v>40以上</v>
      </c>
      <c r="AM75" s="8" t="str">
        <v>120～139</v>
      </c>
      <c r="AN75" s="8" t="str">
        <v>8～11</v>
      </c>
      <c r="AO75" s="8" t="n">
        <f aca="false">IF(A75="","",IF(COUNTIFS(全馬データ!$A$2:$A$50000,A75,全馬データ!$B$2:$B$50000,B75,全馬データ!$C$2:$C$50000,C75,全馬データ!$D$2:$D$50000,E75,全馬データ!$K$2:$K$50000,"&lt;&gt;")=0,"",SUMIFS(全馬データ!$K$2:$K$50000,全馬データ!$A$2:$A$50000,A75,全馬データ!$B$2:$B$50000,B75,全馬データ!$C$2:$C$50000,C75,全馬データ!$D$2:$D$50000,E75)))</f>
        <v>1.1</v>
      </c>
      <c r="AP75" s="8" t="str">
        <f aca="false">IF(A75="","",IF(AO75="","欠損",IF(AO75&lt;=1.1,"1.0～1.1",IF(AO75&lt;1.3,"1.2",IF(AO75&lt;1.5,"1.3～1.4",IF(AO75&lt;2,"1.5～1.9","2.0以上"))))))</f>
        <v>1.0～1.1</v>
      </c>
      <c r="AQ75" s="8" t="str">
        <f aca="false">IF(A75="","",IF(ISNUMBER(SEARCH("2歳",Z75)),"2歳戦",IF(ISNUMBER(SEARCH("3歳未勝利",Z75)),"3歳未勝利",IF(ISNUMBER(SEARCH("未勝利",Z75)),"その他未勝利",IF(ISNUMBER(SEARCH("G1",Z75)),"G1",IF(ISNUMBER(SEARCH("G2",Z75)),"G2",IF(ISNUMBER(SEARCH("G3",Z75)),"G3",IF(ISNUMBER(SEARCH("古馬条件",Z75)),"古馬条件戦",IF(ISNUMBER(SEARCH("重賞",Z75)),"重賞","分類不能")))))))))</f>
        <v>分類不能</v>
      </c>
      <c r="AR75" s="8"/>
      <c r="AS75" s="8" t="s">
        <v>7598</v>
      </c>
      <c r="AT75" s="8" t="s">
        <v>7599</v>
      </c>
      <c r="AU75" s="8" t="s">
        <v>7600</v>
      </c>
      <c r="AV75" s="4" t="s">
        <v>7601</v>
      </c>
      <c r="AW75" s="8"/>
      <c r="AX75" s="8"/>
      <c r="AY75" s="8" t="s">
        <v>7602</v>
      </c>
      <c r="AZ75" s="4" t="s">
        <v>7603</v>
      </c>
      <c r="BA75" s="8" t="n">
        <v>1800</v>
      </c>
      <c r="BB75" s="8" t="s">
        <v>7598</v>
      </c>
      <c r="BC75" s="4" t="s">
        <v>7604</v>
      </c>
      <c r="BD75" s="8" t="s">
        <v>7625</v>
      </c>
      <c r="BE75" s="4" t="s">
        <v>7606</v>
      </c>
      <c r="BF75" s="8" t="s">
        <v>7607</v>
      </c>
      <c r="BG75" s="8" t="s">
        <v>7608</v>
      </c>
      <c r="BH75" s="4" t="s">
        <v>7609</v>
      </c>
      <c r="BI75" s="8" t="n">
        <v>9</v>
      </c>
      <c r="BJ75" s="8" t="s">
        <v>7602</v>
      </c>
      <c r="BK75" s="4" t="s">
        <v>7653</v>
      </c>
      <c r="BL75" s="8" t="s">
        <v>7602</v>
      </c>
      <c r="BM75" s="4" t="s">
        <v>7620</v>
      </c>
      <c r="BN75" s="8" t="s">
        <v>7631</v>
      </c>
      <c r="BO75" s="8" t="s">
        <v>7680</v>
      </c>
      <c r="BP75" s="8" t="s">
        <v>7602</v>
      </c>
      <c r="BQ75" s="8" t="str">
        <f aca="false">IF(A75="","",AT75)</f>
        <v>2歳</v>
      </c>
      <c r="BR75" s="8" t="str">
        <f aca="false">IF(A75="","",IF(BA75&lt;=1200,"～1200",IF(BA75&lt;=1500,"1300～1500",IF(BA75=1600,"1600",IF(BA75&lt;=1800,"1700～1800",IF(BA75&lt;=2000,"1900～2000","2100以上"))))))</f>
        <v>1700～1800</v>
      </c>
      <c r="BS75" s="8" t="str">
        <f aca="false">IF(A75="","",IF(AX75="G1","G1",IF(AX75="G2","G2",IF(AX75="G3","G3",IF(AX75="L","L","その他")))))</f>
        <v>その他</v>
      </c>
      <c r="BT75" s="8" t="str">
        <f aca="false">IF(A75="","",IF(BI75="","未結合",IF(D75=BI75,"一致","不一致")))</f>
        <v>一致</v>
      </c>
      <c r="BU75" s="8" t="str">
        <f aca="false">IF(A75="","",IF(BE75="牝馬限定","牝馬限定","その他"))</f>
        <v>その他</v>
      </c>
    </row>
    <row r="76" customFormat="false" ht="15.75" hidden="false" customHeight="false" outlineLevel="0" collapsed="false">
      <c r="A76" s="6" t="n">
        <v>46221</v>
      </c>
      <c r="B76" s="4" t="s">
        <v>915</v>
      </c>
      <c r="C76" s="8" t="n">
        <v>3</v>
      </c>
      <c r="D76" s="8" t="n">
        <v>16</v>
      </c>
      <c r="E76" s="8" t="n">
        <v>9</v>
      </c>
      <c r="F76" s="4" t="s">
        <v>947</v>
      </c>
      <c r="G76" s="8" t="n">
        <v>62</v>
      </c>
      <c r="H76" s="8" t="n">
        <v>6</v>
      </c>
      <c r="I76" s="4" t="s">
        <v>944</v>
      </c>
      <c r="J76" s="8" t="n">
        <v>52</v>
      </c>
      <c r="K76" s="8" t="n">
        <v>13</v>
      </c>
      <c r="L76" s="4" t="s">
        <v>951</v>
      </c>
      <c r="M76" s="8" t="n">
        <v>34</v>
      </c>
      <c r="N76" s="8" t="n">
        <f aca="false">IF(A76="","",G76-J76)</f>
        <v>10</v>
      </c>
      <c r="O76" s="8" t="n">
        <f aca="false">IF(A76="","",J76-M76)</f>
        <v>18</v>
      </c>
      <c r="P76" s="8" t="n">
        <f aca="false">IF(A76="","",G76+J76)</f>
        <v>114</v>
      </c>
      <c r="Q76" s="8" t="str">
        <f aca="false">IF(A76="","",IF(AND(Y76&lt;&gt;"参考",G76&gt;=ルール設定!$B$2),"○",""))</f>
        <v/>
      </c>
      <c r="R76" s="8" t="str">
        <f aca="false">IF(A76="","",IF(AND(Y76&lt;&gt;"参考",G76&gt;=ルール設定!$B$3,N76&gt;=ルール設定!$B$4),"○",""))</f>
        <v/>
      </c>
      <c r="S76" s="8" t="str">
        <f aca="false">IF(A76="","",IF(AND(Y76&lt;&gt;"参考",G76&gt;=ルール設定!$B$5,J76&gt;=ルール設定!$B$6,O76&gt;=ルール設定!$B$7),"○",""))</f>
        <v/>
      </c>
      <c r="T76" s="8" t="n">
        <v>3</v>
      </c>
      <c r="U76" s="8" t="n">
        <v>2</v>
      </c>
      <c r="V76" s="8" t="str">
        <f aca="false">IF(A76="","",IF(AND(ISNUMBER(T76),ISNUMBER(U76)),IF(AND(T76&lt;=3,U76&lt;=3),"○","×"),""))</f>
        <v>○</v>
      </c>
      <c r="W76" s="8" t="n">
        <v>120</v>
      </c>
      <c r="X76" s="8" t="n">
        <v>190</v>
      </c>
      <c r="Y76" s="4" t="s">
        <v>7597</v>
      </c>
      <c r="Z76" s="4" t="s">
        <v>7679</v>
      </c>
      <c r="AA76" s="8" t="str">
        <v/>
      </c>
      <c r="AB76" s="8" t="str">
        <v/>
      </c>
      <c r="AC76" s="8" t="str">
        <v/>
      </c>
      <c r="AD76" s="8" t="str">
        <v/>
      </c>
      <c r="AE76" s="8" t="str">
        <v/>
      </c>
      <c r="AF76" s="8" t="str">
        <v/>
      </c>
      <c r="AG76" s="8" t="str">
        <v/>
      </c>
      <c r="AH76" s="8" t="str">
        <v/>
      </c>
      <c r="AI76" s="8" t="n">
        <v>28</v>
      </c>
      <c r="AJ76" s="8" t="str">
        <v>60～69</v>
      </c>
      <c r="AK76" s="8" t="str">
        <v>10～19</v>
      </c>
      <c r="AL76" s="8" t="str">
        <v>20～29</v>
      </c>
      <c r="AM76" s="8" t="str">
        <v>100～119</v>
      </c>
      <c r="AN76" s="8" t="str">
        <v>15以上</v>
      </c>
      <c r="AO76" s="8" t="str">
        <f aca="false">IF(A76="","",IF(COUNTIFS(全馬データ!$A$2:$A$50000,A76,全馬データ!$B$2:$B$50000,B76,全馬データ!$C$2:$C$50000,C76,全馬データ!$D$2:$D$50000,E76,全馬データ!$K$2:$K$50000,"&lt;&gt;")=0,"",SUMIFS(全馬データ!$K$2:$K$50000,全馬データ!$A$2:$A$50000,A76,全馬データ!$B$2:$B$50000,B76,全馬データ!$C$2:$C$50000,C76,全馬データ!$D$2:$D$50000,E76)))</f>
        <v/>
      </c>
      <c r="AP76" s="8" t="str">
        <f aca="false">IF(A76="","",IF(AO76="","欠損",IF(AO76&lt;=1.1,"1.0～1.1",IF(AO76&lt;1.3,"1.2",IF(AO76&lt;1.5,"1.3～1.4",IF(AO76&lt;2,"1.5～1.9","2.0以上"))))))</f>
        <v>欠損</v>
      </c>
      <c r="AQ76" s="8" t="str">
        <f aca="false">IF(A76="","",IF(ISNUMBER(SEARCH("2歳",Z76)),"2歳戦",IF(ISNUMBER(SEARCH("3歳未勝利",Z76)),"3歳未勝利",IF(ISNUMBER(SEARCH("未勝利",Z76)),"その他未勝利",IF(ISNUMBER(SEARCH("G1",Z76)),"G1",IF(ISNUMBER(SEARCH("G2",Z76)),"G2",IF(ISNUMBER(SEARCH("G3",Z76)),"G3",IF(ISNUMBER(SEARCH("古馬条件",Z76)),"古馬条件戦",IF(ISNUMBER(SEARCH("重賞",Z76)),"重賞","分類不能")))))))))</f>
        <v>分類不能</v>
      </c>
      <c r="AR76" s="8"/>
      <c r="AS76" s="8" t="s">
        <v>7623</v>
      </c>
      <c r="AT76" s="8" t="s">
        <v>7624</v>
      </c>
      <c r="AU76" s="8" t="s">
        <v>7600</v>
      </c>
      <c r="AV76" s="4" t="s">
        <v>7601</v>
      </c>
      <c r="AW76" s="8"/>
      <c r="AX76" s="8"/>
      <c r="AY76" s="8" t="s">
        <v>7610</v>
      </c>
      <c r="AZ76" s="4" t="s">
        <v>7617</v>
      </c>
      <c r="BA76" s="8" t="n">
        <v>1150</v>
      </c>
      <c r="BB76" s="8" t="s">
        <v>7598</v>
      </c>
      <c r="BC76" s="4" t="s">
        <v>7604</v>
      </c>
      <c r="BD76" s="8" t="s">
        <v>7625</v>
      </c>
      <c r="BE76" s="4" t="s">
        <v>7606</v>
      </c>
      <c r="BF76" s="8" t="s">
        <v>7607</v>
      </c>
      <c r="BG76" s="8" t="s">
        <v>7608</v>
      </c>
      <c r="BH76" s="4" t="s">
        <v>7609</v>
      </c>
      <c r="BI76" s="8" t="n">
        <v>16</v>
      </c>
      <c r="BJ76" s="8" t="s">
        <v>7602</v>
      </c>
      <c r="BK76" s="4" t="s">
        <v>7653</v>
      </c>
      <c r="BL76" s="8" t="s">
        <v>7602</v>
      </c>
      <c r="BM76" s="4" t="s">
        <v>7620</v>
      </c>
      <c r="BN76" s="8"/>
      <c r="BO76" s="8"/>
      <c r="BP76" s="8" t="s">
        <v>7602</v>
      </c>
      <c r="BQ76" s="8" t="str">
        <f aca="false">IF(A76="","",AT76)</f>
        <v>3歳</v>
      </c>
      <c r="BR76" s="8" t="str">
        <f aca="false">IF(A76="","",IF(BA76&lt;=1200,"～1200",IF(BA76&lt;=1500,"1300～1500",IF(BA76=1600,"1600",IF(BA76&lt;=1800,"1700～1800",IF(BA76&lt;=2000,"1900～2000","2100以上"))))))</f>
        <v>～1200</v>
      </c>
      <c r="BS76" s="8" t="str">
        <f aca="false">IF(A76="","",IF(AX76="G1","G1",IF(AX76="G2","G2",IF(AX76="G3","G3",IF(AX76="L","L","その他")))))</f>
        <v>その他</v>
      </c>
      <c r="BT76" s="8" t="str">
        <f aca="false">IF(A76="","",IF(BI76="","未結合",IF(D76=BI76,"一致","不一致")))</f>
        <v>一致</v>
      </c>
      <c r="BU76" s="8" t="str">
        <f aca="false">IF(A76="","",IF(BE76="牝馬限定","牝馬限定","その他"))</f>
        <v>その他</v>
      </c>
    </row>
    <row r="77" customFormat="false" ht="15.75" hidden="false" customHeight="false" outlineLevel="0" collapsed="false">
      <c r="A77" s="6" t="n">
        <v>46221</v>
      </c>
      <c r="B77" s="4" t="s">
        <v>915</v>
      </c>
      <c r="C77" s="8" t="n">
        <v>4</v>
      </c>
      <c r="D77" s="8" t="n">
        <v>16</v>
      </c>
      <c r="E77" s="8" t="n">
        <v>3</v>
      </c>
      <c r="F77" s="4" t="s">
        <v>957</v>
      </c>
      <c r="G77" s="8" t="n">
        <v>66</v>
      </c>
      <c r="H77" s="8" t="n">
        <v>2</v>
      </c>
      <c r="I77" s="4" t="s">
        <v>956</v>
      </c>
      <c r="J77" s="8" t="n">
        <v>44</v>
      </c>
      <c r="K77" s="8" t="n">
        <v>11</v>
      </c>
      <c r="L77" s="4" t="s">
        <v>965</v>
      </c>
      <c r="M77" s="8" t="n">
        <v>39</v>
      </c>
      <c r="N77" s="8" t="n">
        <f aca="false">IF(A77="","",G77-J77)</f>
        <v>22</v>
      </c>
      <c r="O77" s="8" t="n">
        <f aca="false">IF(A77="","",J77-M77)</f>
        <v>5</v>
      </c>
      <c r="P77" s="8" t="n">
        <f aca="false">IF(A77="","",G77+J77)</f>
        <v>110</v>
      </c>
      <c r="Q77" s="8" t="str">
        <f aca="false">IF(A77="","",IF(AND(Y77&lt;&gt;"参考",G77&gt;=ルール設定!$B$2),"○",""))</f>
        <v/>
      </c>
      <c r="R77" s="8" t="str">
        <f aca="false">IF(A77="","",IF(AND(Y77&lt;&gt;"参考",G77&gt;=ルール設定!$B$3,N77&gt;=ルール設定!$B$4),"○",""))</f>
        <v/>
      </c>
      <c r="S77" s="8" t="str">
        <f aca="false">IF(A77="","",IF(AND(Y77&lt;&gt;"参考",G77&gt;=ルール設定!$B$5,J77&gt;=ルール設定!$B$6,O77&gt;=ルール設定!$B$7),"○",""))</f>
        <v/>
      </c>
      <c r="T77" s="8" t="n">
        <v>4</v>
      </c>
      <c r="U77" s="8" t="n">
        <v>4</v>
      </c>
      <c r="V77" s="8" t="str">
        <f aca="false">IF(A77="","",IF(AND(ISNUMBER(T77),ISNUMBER(U77)),IF(AND(T77&lt;=3,U77&lt;=3),"○","×"),""))</f>
        <v>×</v>
      </c>
      <c r="W77" s="8"/>
      <c r="X77" s="8"/>
      <c r="Y77" s="4" t="s">
        <v>7597</v>
      </c>
      <c r="Z77" s="4" t="s">
        <v>7679</v>
      </c>
      <c r="AA77" s="8" t="str">
        <v/>
      </c>
      <c r="AB77" s="8" t="str">
        <v/>
      </c>
      <c r="AC77" s="8" t="str">
        <v/>
      </c>
      <c r="AD77" s="8" t="str">
        <v/>
      </c>
      <c r="AE77" s="8" t="str">
        <v/>
      </c>
      <c r="AF77" s="8" t="str">
        <v/>
      </c>
      <c r="AG77" s="8" t="str">
        <v/>
      </c>
      <c r="AH77" s="8" t="str">
        <v/>
      </c>
      <c r="AI77" s="8" t="n">
        <v>27</v>
      </c>
      <c r="AJ77" s="8" t="str">
        <v>60～69</v>
      </c>
      <c r="AK77" s="8" t="str">
        <v>20～29</v>
      </c>
      <c r="AL77" s="8" t="str">
        <v>20～29</v>
      </c>
      <c r="AM77" s="8" t="str">
        <v>100～119</v>
      </c>
      <c r="AN77" s="8" t="str">
        <v>15以上</v>
      </c>
      <c r="AO77" s="8" t="str">
        <f aca="false">IF(A77="","",IF(COUNTIFS(全馬データ!$A$2:$A$50000,A77,全馬データ!$B$2:$B$50000,B77,全馬データ!$C$2:$C$50000,C77,全馬データ!$D$2:$D$50000,E77,全馬データ!$K$2:$K$50000,"&lt;&gt;")=0,"",SUMIFS(全馬データ!$K$2:$K$50000,全馬データ!$A$2:$A$50000,A77,全馬データ!$B$2:$B$50000,B77,全馬データ!$C$2:$C$50000,C77,全馬データ!$D$2:$D$50000,E77)))</f>
        <v/>
      </c>
      <c r="AP77" s="8" t="str">
        <f aca="false">IF(A77="","",IF(AO77="","欠損",IF(AO77&lt;=1.1,"1.0～1.1",IF(AO77&lt;1.3,"1.2",IF(AO77&lt;1.5,"1.3～1.4",IF(AO77&lt;2,"1.5～1.9","2.0以上"))))))</f>
        <v>欠損</v>
      </c>
      <c r="AQ77" s="8" t="str">
        <f aca="false">IF(A77="","",IF(ISNUMBER(SEARCH("2歳",Z77)),"2歳戦",IF(ISNUMBER(SEARCH("3歳未勝利",Z77)),"3歳未勝利",IF(ISNUMBER(SEARCH("未勝利",Z77)),"その他未勝利",IF(ISNUMBER(SEARCH("G1",Z77)),"G1",IF(ISNUMBER(SEARCH("G2",Z77)),"G2",IF(ISNUMBER(SEARCH("G3",Z77)),"G3",IF(ISNUMBER(SEARCH("古馬条件",Z77)),"古馬条件戦",IF(ISNUMBER(SEARCH("重賞",Z77)),"重賞","分類不能")))))))))</f>
        <v>分類不能</v>
      </c>
      <c r="AR77" s="8"/>
      <c r="AS77" s="8" t="s">
        <v>7623</v>
      </c>
      <c r="AT77" s="8" t="s">
        <v>7624</v>
      </c>
      <c r="AU77" s="8" t="s">
        <v>7600</v>
      </c>
      <c r="AV77" s="4" t="s">
        <v>7601</v>
      </c>
      <c r="AW77" s="8"/>
      <c r="AX77" s="8"/>
      <c r="AY77" s="8" t="s">
        <v>7602</v>
      </c>
      <c r="AZ77" s="4" t="s">
        <v>7603</v>
      </c>
      <c r="BA77" s="8" t="n">
        <v>1200</v>
      </c>
      <c r="BB77" s="8" t="s">
        <v>7598</v>
      </c>
      <c r="BC77" s="4" t="s">
        <v>7604</v>
      </c>
      <c r="BD77" s="8" t="s">
        <v>7605</v>
      </c>
      <c r="BE77" s="4" t="s">
        <v>7606</v>
      </c>
      <c r="BF77" s="8" t="s">
        <v>7607</v>
      </c>
      <c r="BG77" s="8" t="s">
        <v>7608</v>
      </c>
      <c r="BH77" s="4" t="s">
        <v>7609</v>
      </c>
      <c r="BI77" s="8" t="n">
        <v>16</v>
      </c>
      <c r="BJ77" s="8" t="s">
        <v>7602</v>
      </c>
      <c r="BK77" s="4" t="s">
        <v>7653</v>
      </c>
      <c r="BL77" s="8" t="s">
        <v>7602</v>
      </c>
      <c r="BM77" s="4" t="s">
        <v>7620</v>
      </c>
      <c r="BN77" s="8" t="s">
        <v>7631</v>
      </c>
      <c r="BO77" s="8" t="s">
        <v>7680</v>
      </c>
      <c r="BP77" s="8" t="s">
        <v>7602</v>
      </c>
      <c r="BQ77" s="8" t="str">
        <f aca="false">IF(A77="","",AT77)</f>
        <v>3歳</v>
      </c>
      <c r="BR77" s="8" t="str">
        <f aca="false">IF(A77="","",IF(BA77&lt;=1200,"～1200",IF(BA77&lt;=1500,"1300～1500",IF(BA77=1600,"1600",IF(BA77&lt;=1800,"1700～1800",IF(BA77&lt;=2000,"1900～2000","2100以上"))))))</f>
        <v>～1200</v>
      </c>
      <c r="BS77" s="8" t="str">
        <f aca="false">IF(A77="","",IF(AX77="G1","G1",IF(AX77="G2","G2",IF(AX77="G3","G3",IF(AX77="L","L","その他")))))</f>
        <v>その他</v>
      </c>
      <c r="BT77" s="8" t="str">
        <f aca="false">IF(A77="","",IF(BI77="","未結合",IF(D77=BI77,"一致","不一致")))</f>
        <v>一致</v>
      </c>
      <c r="BU77" s="8" t="str">
        <f aca="false">IF(A77="","",IF(BE77="牝馬限定","牝馬限定","その他"))</f>
        <v>その他</v>
      </c>
    </row>
    <row r="78" customFormat="false" ht="15.75" hidden="false" customHeight="false" outlineLevel="0" collapsed="false">
      <c r="A78" s="6" t="n">
        <v>46221</v>
      </c>
      <c r="B78" s="4" t="s">
        <v>915</v>
      </c>
      <c r="C78" s="8" t="n">
        <v>5</v>
      </c>
      <c r="D78" s="8" t="n">
        <v>15</v>
      </c>
      <c r="E78" s="8" t="n">
        <v>9</v>
      </c>
      <c r="F78" s="4" t="s">
        <v>979</v>
      </c>
      <c r="G78" s="8" t="n">
        <v>31</v>
      </c>
      <c r="H78" s="8" t="n">
        <v>1</v>
      </c>
      <c r="I78" s="4" t="s">
        <v>971</v>
      </c>
      <c r="J78" s="8" t="n">
        <v>27</v>
      </c>
      <c r="K78" s="8" t="n">
        <v>2</v>
      </c>
      <c r="L78" s="4" t="s">
        <v>972</v>
      </c>
      <c r="M78" s="8" t="n">
        <v>27</v>
      </c>
      <c r="N78" s="8" t="n">
        <f aca="false">IF(A78="","",G78-J78)</f>
        <v>4</v>
      </c>
      <c r="O78" s="8" t="n">
        <f aca="false">IF(A78="","",J78-M78)</f>
        <v>0</v>
      </c>
      <c r="P78" s="8" t="n">
        <f aca="false">IF(A78="","",G78+J78)</f>
        <v>58</v>
      </c>
      <c r="Q78" s="8" t="str">
        <f aca="false">IF(A78="","",IF(AND(Y78&lt;&gt;"参考",G78&gt;=ルール設定!$B$2),"○",""))</f>
        <v/>
      </c>
      <c r="R78" s="8" t="str">
        <f aca="false">IF(A78="","",IF(AND(Y78&lt;&gt;"参考",G78&gt;=ルール設定!$B$3,N78&gt;=ルール設定!$B$4),"○",""))</f>
        <v/>
      </c>
      <c r="S78" s="8" t="str">
        <f aca="false">IF(A78="","",IF(AND(Y78&lt;&gt;"参考",G78&gt;=ルール設定!$B$5,J78&gt;=ルール設定!$B$6,O78&gt;=ルール設定!$B$7),"○",""))</f>
        <v/>
      </c>
      <c r="T78" s="8" t="n">
        <v>4</v>
      </c>
      <c r="U78" s="8" t="n">
        <v>3</v>
      </c>
      <c r="V78" s="8" t="str">
        <f aca="false">IF(A78="","",IF(AND(ISNUMBER(T78),ISNUMBER(U78)),IF(AND(T78&lt;=3,U78&lt;=3),"○","×"),""))</f>
        <v>×</v>
      </c>
      <c r="W78" s="8"/>
      <c r="X78" s="8"/>
      <c r="Y78" s="4" t="s">
        <v>7597</v>
      </c>
      <c r="Z78" s="4" t="s">
        <v>7679</v>
      </c>
      <c r="AA78" s="8" t="str">
        <v/>
      </c>
      <c r="AB78" s="8" t="str">
        <v/>
      </c>
      <c r="AC78" s="8" t="str">
        <v/>
      </c>
      <c r="AD78" s="8" t="str">
        <v/>
      </c>
      <c r="AE78" s="8" t="str">
        <v/>
      </c>
      <c r="AF78" s="8" t="str">
        <v/>
      </c>
      <c r="AG78" s="8" t="str">
        <v/>
      </c>
      <c r="AH78" s="8" t="str">
        <v/>
      </c>
      <c r="AI78" s="8" t="n">
        <v>4</v>
      </c>
      <c r="AJ78" s="8" t="str">
        <v>～59</v>
      </c>
      <c r="AK78" s="8" t="str">
        <v>0～4</v>
      </c>
      <c r="AL78" s="8" t="str">
        <v>0～9</v>
      </c>
      <c r="AM78" s="8" t="str">
        <v>～99</v>
      </c>
      <c r="AN78" s="8" t="str">
        <v>15以上</v>
      </c>
      <c r="AO78" s="8" t="str">
        <f aca="false">IF(A78="","",IF(COUNTIFS(全馬データ!$A$2:$A$50000,A78,全馬データ!$B$2:$B$50000,B78,全馬データ!$C$2:$C$50000,C78,全馬データ!$D$2:$D$50000,E78,全馬データ!$K$2:$K$50000,"&lt;&gt;")=0,"",SUMIFS(全馬データ!$K$2:$K$50000,全馬データ!$A$2:$A$50000,A78,全馬データ!$B$2:$B$50000,B78,全馬データ!$C$2:$C$50000,C78,全馬データ!$D$2:$D$50000,E78)))</f>
        <v/>
      </c>
      <c r="AP78" s="8" t="str">
        <f aca="false">IF(A78="","",IF(AO78="","欠損",IF(AO78&lt;=1.1,"1.0～1.1",IF(AO78&lt;1.3,"1.2",IF(AO78&lt;1.5,"1.3～1.4",IF(AO78&lt;2,"1.5～1.9","2.0以上"))))))</f>
        <v>欠損</v>
      </c>
      <c r="AQ78" s="8" t="str">
        <f aca="false">IF(A78="","",IF(ISNUMBER(SEARCH("2歳",Z78)),"2歳戦",IF(ISNUMBER(SEARCH("3歳未勝利",Z78)),"3歳未勝利",IF(ISNUMBER(SEARCH("未勝利",Z78)),"その他未勝利",IF(ISNUMBER(SEARCH("G1",Z78)),"G1",IF(ISNUMBER(SEARCH("G2",Z78)),"G2",IF(ISNUMBER(SEARCH("G3",Z78)),"G3",IF(ISNUMBER(SEARCH("古馬条件",Z78)),"古馬条件戦",IF(ISNUMBER(SEARCH("重賞",Z78)),"重賞","分類不能")))))))))</f>
        <v>分類不能</v>
      </c>
      <c r="AR78" s="8"/>
      <c r="AS78" s="8" t="s">
        <v>7598</v>
      </c>
      <c r="AT78" s="8" t="s">
        <v>7599</v>
      </c>
      <c r="AU78" s="8" t="s">
        <v>7615</v>
      </c>
      <c r="AV78" s="4" t="s">
        <v>7616</v>
      </c>
      <c r="AW78" s="8"/>
      <c r="AX78" s="8"/>
      <c r="AY78" s="8" t="s">
        <v>7602</v>
      </c>
      <c r="AZ78" s="4" t="s">
        <v>7603</v>
      </c>
      <c r="BA78" s="8" t="n">
        <v>1800</v>
      </c>
      <c r="BB78" s="8" t="s">
        <v>7598</v>
      </c>
      <c r="BC78" s="4" t="s">
        <v>7604</v>
      </c>
      <c r="BD78" s="8" t="s">
        <v>7621</v>
      </c>
      <c r="BE78" s="4" t="s">
        <v>7622</v>
      </c>
      <c r="BF78" s="8" t="s">
        <v>7602</v>
      </c>
      <c r="BG78" s="8" t="s">
        <v>7608</v>
      </c>
      <c r="BH78" s="4" t="s">
        <v>7609</v>
      </c>
      <c r="BI78" s="8" t="n">
        <v>15</v>
      </c>
      <c r="BJ78" s="8" t="s">
        <v>7602</v>
      </c>
      <c r="BK78" s="4" t="s">
        <v>7653</v>
      </c>
      <c r="BL78" s="8" t="s">
        <v>7602</v>
      </c>
      <c r="BM78" s="4" t="s">
        <v>7620</v>
      </c>
      <c r="BN78" s="8" t="s">
        <v>7631</v>
      </c>
      <c r="BO78" s="8" t="s">
        <v>7680</v>
      </c>
      <c r="BP78" s="8" t="s">
        <v>7602</v>
      </c>
      <c r="BQ78" s="8" t="str">
        <f aca="false">IF(A78="","",AT78)</f>
        <v>2歳</v>
      </c>
      <c r="BR78" s="8" t="str">
        <f aca="false">IF(A78="","",IF(BA78&lt;=1200,"～1200",IF(BA78&lt;=1500,"1300～1500",IF(BA78=1600,"1600",IF(BA78&lt;=1800,"1700～1800",IF(BA78&lt;=2000,"1900～2000","2100以上"))))))</f>
        <v>1700～1800</v>
      </c>
      <c r="BS78" s="8" t="str">
        <f aca="false">IF(A78="","",IF(AX78="G1","G1",IF(AX78="G2","G2",IF(AX78="G3","G3",IF(AX78="L","L","その他")))))</f>
        <v>その他</v>
      </c>
      <c r="BT78" s="8" t="str">
        <f aca="false">IF(A78="","",IF(BI78="","未結合",IF(D78=BI78,"一致","不一致")))</f>
        <v>一致</v>
      </c>
      <c r="BU78" s="8" t="str">
        <f aca="false">IF(A78="","",IF(BE78="牝馬限定","牝馬限定","その他"))</f>
        <v>牝馬限定</v>
      </c>
    </row>
    <row r="79" customFormat="false" ht="15.75" hidden="false" customHeight="false" outlineLevel="0" collapsed="false">
      <c r="A79" s="6" t="n">
        <v>46221</v>
      </c>
      <c r="B79" s="4" t="s">
        <v>915</v>
      </c>
      <c r="C79" s="8" t="n">
        <v>6</v>
      </c>
      <c r="D79" s="8" t="n">
        <v>15</v>
      </c>
      <c r="E79" s="8" t="n">
        <v>1</v>
      </c>
      <c r="F79" s="4" t="s">
        <v>986</v>
      </c>
      <c r="G79" s="8" t="n">
        <v>58</v>
      </c>
      <c r="H79" s="8" t="n">
        <v>15</v>
      </c>
      <c r="I79" s="4" t="s">
        <v>1000</v>
      </c>
      <c r="J79" s="8" t="n">
        <v>56</v>
      </c>
      <c r="K79" s="8" t="n">
        <v>12</v>
      </c>
      <c r="L79" s="4" t="s">
        <v>997</v>
      </c>
      <c r="M79" s="8" t="n">
        <v>50</v>
      </c>
      <c r="N79" s="8" t="n">
        <f aca="false">IF(A79="","",G79-J79)</f>
        <v>2</v>
      </c>
      <c r="O79" s="8" t="n">
        <f aca="false">IF(A79="","",J79-M79)</f>
        <v>6</v>
      </c>
      <c r="P79" s="8" t="n">
        <f aca="false">IF(A79="","",G79+J79)</f>
        <v>114</v>
      </c>
      <c r="Q79" s="8" t="str">
        <f aca="false">IF(A79="","",IF(AND(Y79&lt;&gt;"参考",G79&gt;=ルール設定!$B$2),"○",""))</f>
        <v/>
      </c>
      <c r="R79" s="8" t="str">
        <f aca="false">IF(A79="","",IF(AND(Y79&lt;&gt;"参考",G79&gt;=ルール設定!$B$3,N79&gt;=ルール設定!$B$4),"○",""))</f>
        <v/>
      </c>
      <c r="S79" s="8" t="str">
        <f aca="false">IF(A79="","",IF(AND(Y79&lt;&gt;"参考",G79&gt;=ルール設定!$B$5,J79&gt;=ルール設定!$B$6,O79&gt;=ルール設定!$B$7),"○",""))</f>
        <v/>
      </c>
      <c r="T79" s="8" t="n">
        <v>4</v>
      </c>
      <c r="U79" s="8" t="n">
        <v>2</v>
      </c>
      <c r="V79" s="8" t="str">
        <f aca="false">IF(A79="","",IF(AND(ISNUMBER(T79),ISNUMBER(U79)),IF(AND(T79&lt;=3,U79&lt;=3),"○","×"),""))</f>
        <v>×</v>
      </c>
      <c r="W79" s="8"/>
      <c r="X79" s="8"/>
      <c r="Y79" s="4" t="s">
        <v>7597</v>
      </c>
      <c r="Z79" s="4" t="s">
        <v>7679</v>
      </c>
      <c r="AA79" s="8" t="str">
        <v/>
      </c>
      <c r="AB79" s="8" t="str">
        <v/>
      </c>
      <c r="AC79" s="8" t="str">
        <v/>
      </c>
      <c r="AD79" s="8" t="str">
        <v/>
      </c>
      <c r="AE79" s="8" t="str">
        <v/>
      </c>
      <c r="AF79" s="8" t="str">
        <v/>
      </c>
      <c r="AG79" s="8" t="str">
        <v/>
      </c>
      <c r="AH79" s="8" t="str">
        <v/>
      </c>
      <c r="AI79" s="8" t="n">
        <v>8</v>
      </c>
      <c r="AJ79" s="8" t="str">
        <v>～59</v>
      </c>
      <c r="AK79" s="8" t="str">
        <v>0～4</v>
      </c>
      <c r="AL79" s="8" t="str">
        <v>0～9</v>
      </c>
      <c r="AM79" s="8" t="str">
        <v>100～119</v>
      </c>
      <c r="AN79" s="8" t="str">
        <v>15以上</v>
      </c>
      <c r="AO79" s="8" t="str">
        <f aca="false">IF(A79="","",IF(COUNTIFS(全馬データ!$A$2:$A$50000,A79,全馬データ!$B$2:$B$50000,B79,全馬データ!$C$2:$C$50000,C79,全馬データ!$D$2:$D$50000,E79,全馬データ!$K$2:$K$50000,"&lt;&gt;")=0,"",SUMIFS(全馬データ!$K$2:$K$50000,全馬データ!$A$2:$A$50000,A79,全馬データ!$B$2:$B$50000,B79,全馬データ!$C$2:$C$50000,C79,全馬データ!$D$2:$D$50000,E79)))</f>
        <v/>
      </c>
      <c r="AP79" s="8" t="str">
        <f aca="false">IF(A79="","",IF(AO79="","欠損",IF(AO79&lt;=1.1,"1.0～1.1",IF(AO79&lt;1.3,"1.2",IF(AO79&lt;1.5,"1.3～1.4",IF(AO79&lt;2,"1.5～1.9","2.0以上"))))))</f>
        <v>欠損</v>
      </c>
      <c r="AQ79" s="8" t="str">
        <f aca="false">IF(A79="","",IF(ISNUMBER(SEARCH("2歳",Z79)),"2歳戦",IF(ISNUMBER(SEARCH("3歳未勝利",Z79)),"3歳未勝利",IF(ISNUMBER(SEARCH("未勝利",Z79)),"その他未勝利",IF(ISNUMBER(SEARCH("G1",Z79)),"G1",IF(ISNUMBER(SEARCH("G2",Z79)),"G2",IF(ISNUMBER(SEARCH("G3",Z79)),"G3",IF(ISNUMBER(SEARCH("古馬条件",Z79)),"古馬条件戦",IF(ISNUMBER(SEARCH("重賞",Z79)),"重賞","分類不能")))))))))</f>
        <v>分類不能</v>
      </c>
      <c r="AR79" s="8"/>
      <c r="AS79" s="8" t="s">
        <v>7623</v>
      </c>
      <c r="AT79" s="8" t="s">
        <v>7624</v>
      </c>
      <c r="AU79" s="8" t="s">
        <v>7600</v>
      </c>
      <c r="AV79" s="4" t="s">
        <v>7601</v>
      </c>
      <c r="AW79" s="8"/>
      <c r="AX79" s="8"/>
      <c r="AY79" s="8" t="s">
        <v>7610</v>
      </c>
      <c r="AZ79" s="4" t="s">
        <v>7617</v>
      </c>
      <c r="BA79" s="8" t="n">
        <v>1700</v>
      </c>
      <c r="BB79" s="8" t="s">
        <v>7598</v>
      </c>
      <c r="BC79" s="4" t="s">
        <v>7604</v>
      </c>
      <c r="BD79" s="8" t="s">
        <v>7625</v>
      </c>
      <c r="BE79" s="4" t="s">
        <v>7606</v>
      </c>
      <c r="BF79" s="8" t="s">
        <v>7607</v>
      </c>
      <c r="BG79" s="8" t="s">
        <v>7608</v>
      </c>
      <c r="BH79" s="4" t="s">
        <v>7609</v>
      </c>
      <c r="BI79" s="8" t="n">
        <v>15</v>
      </c>
      <c r="BJ79" s="8" t="s">
        <v>7602</v>
      </c>
      <c r="BK79" s="4" t="s">
        <v>7653</v>
      </c>
      <c r="BL79" s="8" t="s">
        <v>7602</v>
      </c>
      <c r="BM79" s="4" t="s">
        <v>7620</v>
      </c>
      <c r="BN79" s="8"/>
      <c r="BO79" s="8"/>
      <c r="BP79" s="8" t="s">
        <v>7602</v>
      </c>
      <c r="BQ79" s="8" t="str">
        <f aca="false">IF(A79="","",AT79)</f>
        <v>3歳</v>
      </c>
      <c r="BR79" s="8" t="str">
        <f aca="false">IF(A79="","",IF(BA79&lt;=1200,"～1200",IF(BA79&lt;=1500,"1300～1500",IF(BA79=1600,"1600",IF(BA79&lt;=1800,"1700～1800",IF(BA79&lt;=2000,"1900～2000","2100以上"))))))</f>
        <v>1700～1800</v>
      </c>
      <c r="BS79" s="8" t="str">
        <f aca="false">IF(A79="","",IF(AX79="G1","G1",IF(AX79="G2","G2",IF(AX79="G3","G3",IF(AX79="L","L","その他")))))</f>
        <v>その他</v>
      </c>
      <c r="BT79" s="8" t="str">
        <f aca="false">IF(A79="","",IF(BI79="","未結合",IF(D79=BI79,"一致","不一致")))</f>
        <v>一致</v>
      </c>
      <c r="BU79" s="8" t="str">
        <f aca="false">IF(A79="","",IF(BE79="牝馬限定","牝馬限定","その他"))</f>
        <v>その他</v>
      </c>
    </row>
    <row r="80" customFormat="false" ht="15.75" hidden="false" customHeight="false" outlineLevel="0" collapsed="false">
      <c r="A80" s="6" t="n">
        <v>46221</v>
      </c>
      <c r="B80" s="4" t="s">
        <v>915</v>
      </c>
      <c r="C80" s="8" t="n">
        <v>7</v>
      </c>
      <c r="D80" s="8" t="n">
        <v>16</v>
      </c>
      <c r="E80" s="8" t="n">
        <v>12</v>
      </c>
      <c r="F80" s="4" t="s">
        <v>1012</v>
      </c>
      <c r="G80" s="8" t="n">
        <v>62</v>
      </c>
      <c r="H80" s="8" t="n">
        <v>11</v>
      </c>
      <c r="I80" s="4" t="s">
        <v>1011</v>
      </c>
      <c r="J80" s="8" t="n">
        <v>44</v>
      </c>
      <c r="K80" s="8" t="n">
        <v>4</v>
      </c>
      <c r="L80" s="4" t="s">
        <v>1004</v>
      </c>
      <c r="M80" s="8" t="n">
        <v>41</v>
      </c>
      <c r="N80" s="8" t="n">
        <f aca="false">IF(A80="","",G80-J80)</f>
        <v>18</v>
      </c>
      <c r="O80" s="8" t="n">
        <f aca="false">IF(A80="","",J80-M80)</f>
        <v>3</v>
      </c>
      <c r="P80" s="8" t="n">
        <f aca="false">IF(A80="","",G80+J80)</f>
        <v>106</v>
      </c>
      <c r="Q80" s="8" t="str">
        <f aca="false">IF(A80="","",IF(AND(Y80&lt;&gt;"参考",G80&gt;=ルール設定!$B$2),"○",""))</f>
        <v/>
      </c>
      <c r="R80" s="8" t="str">
        <f aca="false">IF(A80="","",IF(AND(Y80&lt;&gt;"参考",G80&gt;=ルール設定!$B$3,N80&gt;=ルール設定!$B$4),"○",""))</f>
        <v/>
      </c>
      <c r="S80" s="8" t="str">
        <f aca="false">IF(A80="","",IF(AND(Y80&lt;&gt;"参考",G80&gt;=ルール設定!$B$5,J80&gt;=ルール設定!$B$6,O80&gt;=ルール設定!$B$7),"○",""))</f>
        <v/>
      </c>
      <c r="T80" s="8" t="n">
        <v>4</v>
      </c>
      <c r="U80" s="8" t="n">
        <v>1</v>
      </c>
      <c r="V80" s="8" t="str">
        <f aca="false">IF(A80="","",IF(AND(ISNUMBER(T80),ISNUMBER(U80)),IF(AND(T80&lt;=3,U80&lt;=3),"○","×"),""))</f>
        <v>×</v>
      </c>
      <c r="W80" s="8"/>
      <c r="X80" s="8"/>
      <c r="Y80" s="4" t="s">
        <v>7597</v>
      </c>
      <c r="Z80" s="4" t="s">
        <v>7679</v>
      </c>
      <c r="AA80" s="8" t="str">
        <v/>
      </c>
      <c r="AB80" s="8" t="str">
        <v/>
      </c>
      <c r="AC80" s="8" t="str">
        <v/>
      </c>
      <c r="AD80" s="8" t="str">
        <v/>
      </c>
      <c r="AE80" s="8" t="str">
        <v/>
      </c>
      <c r="AF80" s="8" t="str">
        <v/>
      </c>
      <c r="AG80" s="8" t="str">
        <v/>
      </c>
      <c r="AH80" s="8" t="str">
        <v/>
      </c>
      <c r="AI80" s="8" t="n">
        <v>21</v>
      </c>
      <c r="AJ80" s="8" t="str">
        <v>60～69</v>
      </c>
      <c r="AK80" s="8" t="str">
        <v>10～19</v>
      </c>
      <c r="AL80" s="8" t="str">
        <v>20～29</v>
      </c>
      <c r="AM80" s="8" t="str">
        <v>100～119</v>
      </c>
      <c r="AN80" s="8" t="str">
        <v>15以上</v>
      </c>
      <c r="AO80" s="8" t="str">
        <f aca="false">IF(A80="","",IF(COUNTIFS(全馬データ!$A$2:$A$50000,A80,全馬データ!$B$2:$B$50000,B80,全馬データ!$C$2:$C$50000,C80,全馬データ!$D$2:$D$50000,E80,全馬データ!$K$2:$K$50000,"&lt;&gt;")=0,"",SUMIFS(全馬データ!$K$2:$K$50000,全馬データ!$A$2:$A$50000,A80,全馬データ!$B$2:$B$50000,B80,全馬データ!$C$2:$C$50000,C80,全馬データ!$D$2:$D$50000,E80)))</f>
        <v/>
      </c>
      <c r="AP80" s="8" t="str">
        <f aca="false">IF(A80="","",IF(AO80="","欠損",IF(AO80&lt;=1.1,"1.0～1.1",IF(AO80&lt;1.3,"1.2",IF(AO80&lt;1.5,"1.3～1.4",IF(AO80&lt;2,"1.5～1.9","2.0以上"))))))</f>
        <v>欠損</v>
      </c>
      <c r="AQ80" s="8" t="str">
        <f aca="false">IF(A80="","",IF(ISNUMBER(SEARCH("2歳",Z80)),"2歳戦",IF(ISNUMBER(SEARCH("3歳未勝利",Z80)),"3歳未勝利",IF(ISNUMBER(SEARCH("未勝利",Z80)),"その他未勝利",IF(ISNUMBER(SEARCH("G1",Z80)),"G1",IF(ISNUMBER(SEARCH("G2",Z80)),"G2",IF(ISNUMBER(SEARCH("G3",Z80)),"G3",IF(ISNUMBER(SEARCH("古馬条件",Z80)),"古馬条件戦",IF(ISNUMBER(SEARCH("重賞",Z80)),"重賞","分類不能")))))))))</f>
        <v>分類不能</v>
      </c>
      <c r="AR80" s="8"/>
      <c r="AS80" s="8" t="s">
        <v>7623</v>
      </c>
      <c r="AT80" s="8" t="s">
        <v>7624</v>
      </c>
      <c r="AU80" s="8" t="s">
        <v>7600</v>
      </c>
      <c r="AV80" s="4" t="s">
        <v>7601</v>
      </c>
      <c r="AW80" s="8"/>
      <c r="AX80" s="8"/>
      <c r="AY80" s="8" t="s">
        <v>7602</v>
      </c>
      <c r="AZ80" s="4" t="s">
        <v>7603</v>
      </c>
      <c r="BA80" s="8" t="n">
        <v>2000</v>
      </c>
      <c r="BB80" s="8" t="s">
        <v>7598</v>
      </c>
      <c r="BC80" s="4" t="s">
        <v>7604</v>
      </c>
      <c r="BD80" s="8" t="s">
        <v>7605</v>
      </c>
      <c r="BE80" s="4" t="s">
        <v>7606</v>
      </c>
      <c r="BF80" s="8" t="s">
        <v>7607</v>
      </c>
      <c r="BG80" s="8" t="s">
        <v>7608</v>
      </c>
      <c r="BH80" s="4" t="s">
        <v>7609</v>
      </c>
      <c r="BI80" s="8" t="n">
        <v>16</v>
      </c>
      <c r="BJ80" s="8" t="s">
        <v>7602</v>
      </c>
      <c r="BK80" s="4" t="s">
        <v>7653</v>
      </c>
      <c r="BL80" s="8" t="s">
        <v>7602</v>
      </c>
      <c r="BM80" s="4" t="s">
        <v>7620</v>
      </c>
      <c r="BN80" s="8" t="s">
        <v>7631</v>
      </c>
      <c r="BO80" s="8" t="s">
        <v>7680</v>
      </c>
      <c r="BP80" s="8" t="s">
        <v>7602</v>
      </c>
      <c r="BQ80" s="8" t="str">
        <f aca="false">IF(A80="","",AT80)</f>
        <v>3歳</v>
      </c>
      <c r="BR80" s="8" t="str">
        <f aca="false">IF(A80="","",IF(BA80&lt;=1200,"～1200",IF(BA80&lt;=1500,"1300～1500",IF(BA80=1600,"1600",IF(BA80&lt;=1800,"1700～1800",IF(BA80&lt;=2000,"1900～2000","2100以上"))))))</f>
        <v>1900～2000</v>
      </c>
      <c r="BS80" s="8" t="str">
        <f aca="false">IF(A80="","",IF(AX80="G1","G1",IF(AX80="G2","G2",IF(AX80="G3","G3",IF(AX80="L","L","その他")))))</f>
        <v>その他</v>
      </c>
      <c r="BT80" s="8" t="str">
        <f aca="false">IF(A80="","",IF(BI80="","未結合",IF(D80=BI80,"一致","不一致")))</f>
        <v>一致</v>
      </c>
      <c r="BU80" s="8" t="str">
        <f aca="false">IF(A80="","",IF(BE80="牝馬限定","牝馬限定","その他"))</f>
        <v>その他</v>
      </c>
    </row>
    <row r="81" customFormat="false" ht="15.75" hidden="false" customHeight="false" outlineLevel="0" collapsed="false">
      <c r="A81" s="6" t="n">
        <v>46221</v>
      </c>
      <c r="B81" s="4" t="s">
        <v>915</v>
      </c>
      <c r="C81" s="8" t="n">
        <v>8</v>
      </c>
      <c r="D81" s="8" t="n">
        <v>16</v>
      </c>
      <c r="E81" s="8" t="n">
        <v>2</v>
      </c>
      <c r="F81" s="4" t="s">
        <v>1018</v>
      </c>
      <c r="G81" s="8" t="n">
        <v>44</v>
      </c>
      <c r="H81" s="8" t="n">
        <v>10</v>
      </c>
      <c r="I81" s="4" t="s">
        <v>1026</v>
      </c>
      <c r="J81" s="8" t="n">
        <v>39</v>
      </c>
      <c r="K81" s="8" t="n">
        <v>5</v>
      </c>
      <c r="L81" s="4" t="s">
        <v>1021</v>
      </c>
      <c r="M81" s="8" t="n">
        <v>37</v>
      </c>
      <c r="N81" s="8" t="n">
        <f aca="false">IF(A81="","",G81-J81)</f>
        <v>5</v>
      </c>
      <c r="O81" s="8" t="n">
        <f aca="false">IF(A81="","",J81-M81)</f>
        <v>2</v>
      </c>
      <c r="P81" s="8" t="n">
        <f aca="false">IF(A81="","",G81+J81)</f>
        <v>83</v>
      </c>
      <c r="Q81" s="8" t="str">
        <f aca="false">IF(A81="","",IF(AND(Y81&lt;&gt;"参考",G81&gt;=ルール設定!$B$2),"○",""))</f>
        <v/>
      </c>
      <c r="R81" s="8" t="str">
        <f aca="false">IF(A81="","",IF(AND(Y81&lt;&gt;"参考",G81&gt;=ルール設定!$B$3,N81&gt;=ルール設定!$B$4),"○",""))</f>
        <v/>
      </c>
      <c r="S81" s="8" t="str">
        <f aca="false">IF(A81="","",IF(AND(Y81&lt;&gt;"参考",G81&gt;=ルール設定!$B$5,J81&gt;=ルール設定!$B$6,O81&gt;=ルール設定!$B$7),"○",""))</f>
        <v/>
      </c>
      <c r="T81" s="8" t="n">
        <v>4</v>
      </c>
      <c r="U81" s="8" t="n">
        <v>4</v>
      </c>
      <c r="V81" s="8" t="str">
        <f aca="false">IF(A81="","",IF(AND(ISNUMBER(T81),ISNUMBER(U81)),IF(AND(T81&lt;=3,U81&lt;=3),"○","×"),""))</f>
        <v>×</v>
      </c>
      <c r="W81" s="8"/>
      <c r="X81" s="8"/>
      <c r="Y81" s="4" t="s">
        <v>7597</v>
      </c>
      <c r="Z81" s="4" t="s">
        <v>7679</v>
      </c>
      <c r="AA81" s="8" t="str">
        <v/>
      </c>
      <c r="AB81" s="8" t="str">
        <v/>
      </c>
      <c r="AC81" s="8" t="str">
        <v/>
      </c>
      <c r="AD81" s="8" t="str">
        <v/>
      </c>
      <c r="AE81" s="8" t="str">
        <v/>
      </c>
      <c r="AF81" s="8" t="str">
        <v/>
      </c>
      <c r="AG81" s="8" t="str">
        <v/>
      </c>
      <c r="AH81" s="8" t="str">
        <v/>
      </c>
      <c r="AI81" s="8" t="n">
        <v>7</v>
      </c>
      <c r="AJ81" s="8" t="str">
        <v>～59</v>
      </c>
      <c r="AK81" s="8" t="str">
        <v>5～9</v>
      </c>
      <c r="AL81" s="8" t="str">
        <v>0～9</v>
      </c>
      <c r="AM81" s="8" t="str">
        <v>～99</v>
      </c>
      <c r="AN81" s="8" t="str">
        <v>15以上</v>
      </c>
      <c r="AO81" s="8" t="str">
        <f aca="false">IF(A81="","",IF(COUNTIFS(全馬データ!$A$2:$A$50000,A81,全馬データ!$B$2:$B$50000,B81,全馬データ!$C$2:$C$50000,C81,全馬データ!$D$2:$D$50000,E81,全馬データ!$K$2:$K$50000,"&lt;&gt;")=0,"",SUMIFS(全馬データ!$K$2:$K$50000,全馬データ!$A$2:$A$50000,A81,全馬データ!$B$2:$B$50000,B81,全馬データ!$C$2:$C$50000,C81,全馬データ!$D$2:$D$50000,E81)))</f>
        <v/>
      </c>
      <c r="AP81" s="8" t="str">
        <f aca="false">IF(A81="","",IF(AO81="","欠損",IF(AO81&lt;=1.1,"1.0～1.1",IF(AO81&lt;1.3,"1.2",IF(AO81&lt;1.5,"1.3～1.4",IF(AO81&lt;2,"1.5～1.9","2.0以上"))))))</f>
        <v>欠損</v>
      </c>
      <c r="AQ81" s="8" t="str">
        <f aca="false">IF(A81="","",IF(ISNUMBER(SEARCH("2歳",Z81)),"2歳戦",IF(ISNUMBER(SEARCH("3歳未勝利",Z81)),"3歳未勝利",IF(ISNUMBER(SEARCH("未勝利",Z81)),"その他未勝利",IF(ISNUMBER(SEARCH("G1",Z81)),"G1",IF(ISNUMBER(SEARCH("G2",Z81)),"G2",IF(ISNUMBER(SEARCH("G3",Z81)),"G3",IF(ISNUMBER(SEARCH("古馬条件",Z81)),"古馬条件戦",IF(ISNUMBER(SEARCH("重賞",Z81)),"重賞","分類不能")))))))))</f>
        <v>分類不能</v>
      </c>
      <c r="AR81" s="8"/>
      <c r="AS81" s="8" t="s">
        <v>7626</v>
      </c>
      <c r="AT81" s="8" t="s">
        <v>7627</v>
      </c>
      <c r="AU81" s="8" t="s">
        <v>7628</v>
      </c>
      <c r="AV81" s="8" t="s">
        <v>7629</v>
      </c>
      <c r="AW81" s="8"/>
      <c r="AX81" s="8"/>
      <c r="AY81" s="8" t="s">
        <v>7602</v>
      </c>
      <c r="AZ81" s="4" t="s">
        <v>7603</v>
      </c>
      <c r="BA81" s="8" t="n">
        <v>1200</v>
      </c>
      <c r="BB81" s="8" t="s">
        <v>7598</v>
      </c>
      <c r="BC81" s="4" t="s">
        <v>7604</v>
      </c>
      <c r="BD81" s="8" t="s">
        <v>7605</v>
      </c>
      <c r="BE81" s="4" t="s">
        <v>7606</v>
      </c>
      <c r="BF81" s="8" t="s">
        <v>7607</v>
      </c>
      <c r="BG81" s="8" t="s">
        <v>7631</v>
      </c>
      <c r="BH81" s="4" t="s">
        <v>7632</v>
      </c>
      <c r="BI81" s="8" t="n">
        <v>16</v>
      </c>
      <c r="BJ81" s="8" t="s">
        <v>7602</v>
      </c>
      <c r="BK81" s="4" t="s">
        <v>7653</v>
      </c>
      <c r="BL81" s="8" t="s">
        <v>7602</v>
      </c>
      <c r="BM81" s="4" t="s">
        <v>7620</v>
      </c>
      <c r="BN81" s="8" t="s">
        <v>7631</v>
      </c>
      <c r="BO81" s="8" t="s">
        <v>7680</v>
      </c>
      <c r="BP81" s="8" t="s">
        <v>7602</v>
      </c>
      <c r="BQ81" s="8" t="str">
        <f aca="false">IF(A81="","",AT81)</f>
        <v>3歳以上</v>
      </c>
      <c r="BR81" s="8" t="str">
        <f aca="false">IF(A81="","",IF(BA81&lt;=1200,"～1200",IF(BA81&lt;=1500,"1300～1500",IF(BA81=1600,"1600",IF(BA81&lt;=1800,"1700～1800",IF(BA81&lt;=2000,"1900～2000","2100以上"))))))</f>
        <v>～1200</v>
      </c>
      <c r="BS81" s="8" t="str">
        <f aca="false">IF(A81="","",IF(AX81="G1","G1",IF(AX81="G2","G2",IF(AX81="G3","G3",IF(AX81="L","L","その他")))))</f>
        <v>その他</v>
      </c>
      <c r="BT81" s="8" t="str">
        <f aca="false">IF(A81="","",IF(BI81="","未結合",IF(D81=BI81,"一致","不一致")))</f>
        <v>一致</v>
      </c>
      <c r="BU81" s="8" t="str">
        <f aca="false">IF(A81="","",IF(BE81="牝馬限定","牝馬限定","その他"))</f>
        <v>その他</v>
      </c>
    </row>
    <row r="82" customFormat="false" ht="15.75" hidden="false" customHeight="false" outlineLevel="0" collapsed="false">
      <c r="A82" s="6" t="n">
        <v>46221</v>
      </c>
      <c r="B82" s="4" t="s">
        <v>915</v>
      </c>
      <c r="C82" s="8" t="n">
        <v>9</v>
      </c>
      <c r="D82" s="8" t="n">
        <v>12</v>
      </c>
      <c r="E82" s="8" t="n">
        <v>5</v>
      </c>
      <c r="F82" s="4" t="s">
        <v>1036</v>
      </c>
      <c r="G82" s="8" t="n">
        <v>81</v>
      </c>
      <c r="H82" s="8" t="n">
        <v>11</v>
      </c>
      <c r="I82" s="4" t="s">
        <v>1042</v>
      </c>
      <c r="J82" s="8" t="n">
        <v>41</v>
      </c>
      <c r="K82" s="8" t="n">
        <v>7</v>
      </c>
      <c r="L82" s="4" t="s">
        <v>1038</v>
      </c>
      <c r="M82" s="8" t="n">
        <v>29</v>
      </c>
      <c r="N82" s="8" t="n">
        <f aca="false">IF(A82="","",G82-J82)</f>
        <v>40</v>
      </c>
      <c r="O82" s="8" t="n">
        <f aca="false">IF(A82="","",J82-M82)</f>
        <v>12</v>
      </c>
      <c r="P82" s="8" t="n">
        <f aca="false">IF(A82="","",G82+J82)</f>
        <v>122</v>
      </c>
      <c r="Q82" s="8" t="str">
        <f aca="false">IF(A82="","",IF(AND(Y82&lt;&gt;"参考",G82&gt;=ルール設定!$B$2),"○",""))</f>
        <v>○</v>
      </c>
      <c r="R82" s="8" t="str">
        <f aca="false">IF(A82="","",IF(AND(Y82&lt;&gt;"参考",G82&gt;=ルール設定!$B$3,N82&gt;=ルール設定!$B$4),"○",""))</f>
        <v>○</v>
      </c>
      <c r="S82" s="8" t="str">
        <f aca="false">IF(A82="","",IF(AND(Y82&lt;&gt;"参考",G82&gt;=ルール設定!$B$5,J82&gt;=ルール設定!$B$6,O82&gt;=ルール設定!$B$7),"○",""))</f>
        <v/>
      </c>
      <c r="T82" s="8" t="n">
        <v>3</v>
      </c>
      <c r="U82" s="8" t="n">
        <v>2</v>
      </c>
      <c r="V82" s="8" t="str">
        <f aca="false">IF(A82="","",IF(AND(ISNUMBER(T82),ISNUMBER(U82)),IF(AND(T82&lt;=3,U82&lt;=3),"○","×"),""))</f>
        <v>○</v>
      </c>
      <c r="W82" s="8" t="n">
        <v>110</v>
      </c>
      <c r="X82" s="8" t="n">
        <v>180</v>
      </c>
      <c r="Y82" s="4" t="s">
        <v>7597</v>
      </c>
      <c r="Z82" s="4" t="s">
        <v>7679</v>
      </c>
      <c r="AA82" s="8" t="str">
        <v/>
      </c>
      <c r="AB82" s="8" t="str">
        <v>○</v>
      </c>
      <c r="AC82" s="8" t="str">
        <v/>
      </c>
      <c r="AD82" s="8" t="str">
        <v>○</v>
      </c>
      <c r="AE82" s="8" t="str">
        <v/>
      </c>
      <c r="AF82" s="8" t="str">
        <v/>
      </c>
      <c r="AG82" s="8" t="str">
        <v>○</v>
      </c>
      <c r="AH82" s="8" t="str">
        <v/>
      </c>
      <c r="AI82" s="8" t="n">
        <v>52</v>
      </c>
      <c r="AJ82" s="8" t="str">
        <v>80～84</v>
      </c>
      <c r="AK82" s="8" t="str">
        <v>30以上</v>
      </c>
      <c r="AL82" s="8" t="str">
        <v>40以上</v>
      </c>
      <c r="AM82" s="8" t="str">
        <v>120～139</v>
      </c>
      <c r="AN82" s="8" t="str">
        <v>12～14</v>
      </c>
      <c r="AO82" s="8" t="n">
        <f aca="false">IF(A82="","",IF(COUNTIFS(全馬データ!$A$2:$A$50000,A82,全馬データ!$B$2:$B$50000,B82,全馬データ!$C$2:$C$50000,C82,全馬データ!$D$2:$D$50000,E82,全馬データ!$K$2:$K$50000,"&lt;&gt;")=0,"",SUMIFS(全馬データ!$K$2:$K$50000,全馬データ!$A$2:$A$50000,A82,全馬データ!$B$2:$B$50000,B82,全馬データ!$C$2:$C$50000,C82,全馬データ!$D$2:$D$50000,E82)))</f>
        <v>1.1</v>
      </c>
      <c r="AP82" s="8" t="str">
        <f aca="false">IF(A82="","",IF(AO82="","欠損",IF(AO82&lt;=1.1,"1.0～1.1",IF(AO82&lt;1.3,"1.2",IF(AO82&lt;1.5,"1.3～1.4",IF(AO82&lt;2,"1.5～1.9","2.0以上"))))))</f>
        <v>1.0～1.1</v>
      </c>
      <c r="AQ82" s="8" t="str">
        <f aca="false">IF(A82="","",IF(ISNUMBER(SEARCH("2歳",Z82)),"2歳戦",IF(ISNUMBER(SEARCH("3歳未勝利",Z82)),"3歳未勝利",IF(ISNUMBER(SEARCH("未勝利",Z82)),"その他未勝利",IF(ISNUMBER(SEARCH("G1",Z82)),"G1",IF(ISNUMBER(SEARCH("G2",Z82)),"G2",IF(ISNUMBER(SEARCH("G3",Z82)),"G3",IF(ISNUMBER(SEARCH("古馬条件",Z82)),"古馬条件戦",IF(ISNUMBER(SEARCH("重賞",Z82)),"重賞","分類不能")))))))))</f>
        <v>分類不能</v>
      </c>
      <c r="AR82" s="4" t="s">
        <v>7681</v>
      </c>
      <c r="AS82" s="8" t="s">
        <v>7626</v>
      </c>
      <c r="AT82" s="8" t="s">
        <v>7627</v>
      </c>
      <c r="AU82" s="8" t="s">
        <v>7628</v>
      </c>
      <c r="AV82" s="8" t="s">
        <v>7629</v>
      </c>
      <c r="AW82" s="8" t="s">
        <v>7636</v>
      </c>
      <c r="AX82" s="4" t="s">
        <v>7637</v>
      </c>
      <c r="AY82" s="8" t="s">
        <v>7602</v>
      </c>
      <c r="AZ82" s="4" t="s">
        <v>7603</v>
      </c>
      <c r="BA82" s="8" t="n">
        <v>2600</v>
      </c>
      <c r="BB82" s="8" t="s">
        <v>7598</v>
      </c>
      <c r="BC82" s="4" t="s">
        <v>7604</v>
      </c>
      <c r="BD82" s="8" t="s">
        <v>7630</v>
      </c>
      <c r="BE82" s="4" t="s">
        <v>7606</v>
      </c>
      <c r="BF82" s="8" t="s">
        <v>7607</v>
      </c>
      <c r="BG82" s="8" t="s">
        <v>7631</v>
      </c>
      <c r="BH82" s="4" t="s">
        <v>7632</v>
      </c>
      <c r="BI82" s="8" t="n">
        <v>12</v>
      </c>
      <c r="BJ82" s="8" t="s">
        <v>7602</v>
      </c>
      <c r="BK82" s="4" t="s">
        <v>7653</v>
      </c>
      <c r="BL82" s="8" t="s">
        <v>7602</v>
      </c>
      <c r="BM82" s="4" t="s">
        <v>7620</v>
      </c>
      <c r="BN82" s="8" t="s">
        <v>7631</v>
      </c>
      <c r="BO82" s="8" t="s">
        <v>7680</v>
      </c>
      <c r="BP82" s="8" t="s">
        <v>7602</v>
      </c>
      <c r="BQ82" s="8" t="str">
        <f aca="false">IF(A82="","",AT82)</f>
        <v>3歳以上</v>
      </c>
      <c r="BR82" s="8" t="str">
        <f aca="false">IF(A82="","",IF(BA82&lt;=1200,"～1200",IF(BA82&lt;=1500,"1300～1500",IF(BA82=1600,"1600",IF(BA82&lt;=1800,"1700～1800",IF(BA82&lt;=2000,"1900～2000","2100以上"))))))</f>
        <v>2100以上</v>
      </c>
      <c r="BS82" s="8" t="str">
        <f aca="false">IF(A82="","",IF(AX82="G1","G1",IF(AX82="G2","G2",IF(AX82="G3","G3",IF(AX82="L","L","その他")))))</f>
        <v>その他</v>
      </c>
      <c r="BT82" s="8" t="str">
        <f aca="false">IF(A82="","",IF(BI82="","未結合",IF(D82=BI82,"一致","不一致")))</f>
        <v>一致</v>
      </c>
      <c r="BU82" s="8" t="str">
        <f aca="false">IF(A82="","",IF(BE82="牝馬限定","牝馬限定","その他"))</f>
        <v>その他</v>
      </c>
    </row>
    <row r="83" customFormat="false" ht="15.75" hidden="false" customHeight="false" outlineLevel="0" collapsed="false">
      <c r="A83" s="6" t="n">
        <v>46221</v>
      </c>
      <c r="B83" s="4" t="s">
        <v>915</v>
      </c>
      <c r="C83" s="8" t="n">
        <v>10</v>
      </c>
      <c r="D83" s="8" t="n">
        <v>15</v>
      </c>
      <c r="E83" s="8" t="n">
        <v>3</v>
      </c>
      <c r="F83" s="4" t="s">
        <v>1046</v>
      </c>
      <c r="G83" s="8" t="n">
        <v>47</v>
      </c>
      <c r="H83" s="8" t="n">
        <v>6</v>
      </c>
      <c r="I83" s="4" t="s">
        <v>1049</v>
      </c>
      <c r="J83" s="8" t="n">
        <v>47</v>
      </c>
      <c r="K83" s="8" t="n">
        <v>12</v>
      </c>
      <c r="L83" s="4" t="s">
        <v>1055</v>
      </c>
      <c r="M83" s="8" t="n">
        <v>31</v>
      </c>
      <c r="N83" s="8" t="n">
        <f aca="false">IF(A83="","",G83-J83)</f>
        <v>0</v>
      </c>
      <c r="O83" s="8" t="n">
        <f aca="false">IF(A83="","",J83-M83)</f>
        <v>16</v>
      </c>
      <c r="P83" s="8" t="n">
        <f aca="false">IF(A83="","",G83+J83)</f>
        <v>94</v>
      </c>
      <c r="Q83" s="8" t="str">
        <f aca="false">IF(A83="","",IF(AND(Y83&lt;&gt;"参考",G83&gt;=ルール設定!$B$2),"○",""))</f>
        <v/>
      </c>
      <c r="R83" s="8" t="str">
        <f aca="false">IF(A83="","",IF(AND(Y83&lt;&gt;"参考",G83&gt;=ルール設定!$B$3,N83&gt;=ルール設定!$B$4),"○",""))</f>
        <v/>
      </c>
      <c r="S83" s="8" t="str">
        <f aca="false">IF(A83="","",IF(AND(Y83&lt;&gt;"参考",G83&gt;=ルール設定!$B$5,J83&gt;=ルール設定!$B$6,O83&gt;=ルール設定!$B$7),"○",""))</f>
        <v/>
      </c>
      <c r="T83" s="8" t="n">
        <v>4</v>
      </c>
      <c r="U83" s="8" t="n">
        <v>3</v>
      </c>
      <c r="V83" s="8" t="str">
        <f aca="false">IF(A83="","",IF(AND(ISNUMBER(T83),ISNUMBER(U83)),IF(AND(T83&lt;=3,U83&lt;=3),"○","×"),""))</f>
        <v>×</v>
      </c>
      <c r="W83" s="8"/>
      <c r="X83" s="8"/>
      <c r="Y83" s="4" t="s">
        <v>7597</v>
      </c>
      <c r="Z83" s="4" t="s">
        <v>7679</v>
      </c>
      <c r="AA83" s="8" t="str">
        <v/>
      </c>
      <c r="AB83" s="8" t="str">
        <v/>
      </c>
      <c r="AC83" s="8" t="str">
        <v/>
      </c>
      <c r="AD83" s="8" t="str">
        <v/>
      </c>
      <c r="AE83" s="8" t="str">
        <v/>
      </c>
      <c r="AF83" s="8" t="str">
        <v/>
      </c>
      <c r="AG83" s="8" t="str">
        <v/>
      </c>
      <c r="AH83" s="8" t="str">
        <v/>
      </c>
      <c r="AI83" s="8" t="n">
        <v>16</v>
      </c>
      <c r="AJ83" s="8" t="str">
        <v>～59</v>
      </c>
      <c r="AK83" s="8" t="str">
        <v>0～4</v>
      </c>
      <c r="AL83" s="8" t="str">
        <v>10～19</v>
      </c>
      <c r="AM83" s="8" t="str">
        <v>～99</v>
      </c>
      <c r="AN83" s="8" t="str">
        <v>15以上</v>
      </c>
      <c r="AO83" s="8" t="str">
        <f aca="false">IF(A83="","",IF(COUNTIFS(全馬データ!$A$2:$A$50000,A83,全馬データ!$B$2:$B$50000,B83,全馬データ!$C$2:$C$50000,C83,全馬データ!$D$2:$D$50000,E83,全馬データ!$K$2:$K$50000,"&lt;&gt;")=0,"",SUMIFS(全馬データ!$K$2:$K$50000,全馬データ!$A$2:$A$50000,A83,全馬データ!$B$2:$B$50000,B83,全馬データ!$C$2:$C$50000,C83,全馬データ!$D$2:$D$50000,E83)))</f>
        <v/>
      </c>
      <c r="AP83" s="8" t="str">
        <f aca="false">IF(A83="","",IF(AO83="","欠損",IF(AO83&lt;=1.1,"1.0～1.1",IF(AO83&lt;1.3,"1.2",IF(AO83&lt;1.5,"1.3～1.4",IF(AO83&lt;2,"1.5～1.9","2.0以上"))))))</f>
        <v>欠損</v>
      </c>
      <c r="AQ83" s="8" t="str">
        <f aca="false">IF(A83="","",IF(ISNUMBER(SEARCH("2歳",Z83)),"2歳戦",IF(ISNUMBER(SEARCH("3歳未勝利",Z83)),"3歳未勝利",IF(ISNUMBER(SEARCH("未勝利",Z83)),"その他未勝利",IF(ISNUMBER(SEARCH("G1",Z83)),"G1",IF(ISNUMBER(SEARCH("G2",Z83)),"G2",IF(ISNUMBER(SEARCH("G3",Z83)),"G3",IF(ISNUMBER(SEARCH("古馬条件",Z83)),"古馬条件戦",IF(ISNUMBER(SEARCH("重賞",Z83)),"重賞","分類不能")))))))))</f>
        <v>分類不能</v>
      </c>
      <c r="AR83" s="4" t="s">
        <v>7682</v>
      </c>
      <c r="AS83" s="8" t="s">
        <v>7626</v>
      </c>
      <c r="AT83" s="8" t="s">
        <v>7627</v>
      </c>
      <c r="AU83" s="8" t="s">
        <v>7634</v>
      </c>
      <c r="AV83" s="8" t="s">
        <v>7635</v>
      </c>
      <c r="AW83" s="8" t="s">
        <v>7636</v>
      </c>
      <c r="AX83" s="4" t="s">
        <v>7637</v>
      </c>
      <c r="AY83" s="8" t="s">
        <v>7610</v>
      </c>
      <c r="AZ83" s="4" t="s">
        <v>7617</v>
      </c>
      <c r="BA83" s="8" t="n">
        <v>1700</v>
      </c>
      <c r="BB83" s="8" t="s">
        <v>7598</v>
      </c>
      <c r="BC83" s="4" t="s">
        <v>7604</v>
      </c>
      <c r="BD83" s="8" t="s">
        <v>7605</v>
      </c>
      <c r="BE83" s="4" t="s">
        <v>7606</v>
      </c>
      <c r="BF83" s="8" t="s">
        <v>7607</v>
      </c>
      <c r="BG83" s="8" t="s">
        <v>7631</v>
      </c>
      <c r="BH83" s="4" t="s">
        <v>7632</v>
      </c>
      <c r="BI83" s="8" t="n">
        <v>15</v>
      </c>
      <c r="BJ83" s="8" t="s">
        <v>7602</v>
      </c>
      <c r="BK83" s="4" t="s">
        <v>7653</v>
      </c>
      <c r="BL83" s="8" t="s">
        <v>7602</v>
      </c>
      <c r="BM83" s="4" t="s">
        <v>7620</v>
      </c>
      <c r="BN83" s="8"/>
      <c r="BO83" s="8"/>
      <c r="BP83" s="8" t="s">
        <v>7602</v>
      </c>
      <c r="BQ83" s="8" t="str">
        <f aca="false">IF(A83="","",AT83)</f>
        <v>3歳以上</v>
      </c>
      <c r="BR83" s="8" t="str">
        <f aca="false">IF(A83="","",IF(BA83&lt;=1200,"～1200",IF(BA83&lt;=1500,"1300～1500",IF(BA83=1600,"1600",IF(BA83&lt;=1800,"1700～1800",IF(BA83&lt;=2000,"1900～2000","2100以上"))))))</f>
        <v>1700～1800</v>
      </c>
      <c r="BS83" s="8" t="str">
        <f aca="false">IF(A83="","",IF(AX83="G1","G1",IF(AX83="G2","G2",IF(AX83="G3","G3",IF(AX83="L","L","その他")))))</f>
        <v>その他</v>
      </c>
      <c r="BT83" s="8" t="str">
        <f aca="false">IF(A83="","",IF(BI83="","未結合",IF(D83=BI83,"一致","不一致")))</f>
        <v>一致</v>
      </c>
      <c r="BU83" s="8" t="str">
        <f aca="false">IF(A83="","",IF(BE83="牝馬限定","牝馬限定","その他"))</f>
        <v>その他</v>
      </c>
    </row>
    <row r="84" customFormat="false" ht="15.75" hidden="false" customHeight="false" outlineLevel="0" collapsed="false">
      <c r="A84" s="6" t="n">
        <v>46221</v>
      </c>
      <c r="B84" s="4" t="s">
        <v>915</v>
      </c>
      <c r="C84" s="8" t="n">
        <v>11</v>
      </c>
      <c r="D84" s="8" t="n">
        <v>16</v>
      </c>
      <c r="E84" s="8" t="n">
        <v>16</v>
      </c>
      <c r="F84" s="4" t="s">
        <v>1074</v>
      </c>
      <c r="G84" s="8" t="n">
        <v>56</v>
      </c>
      <c r="H84" s="8" t="n">
        <v>13</v>
      </c>
      <c r="I84" s="4" t="s">
        <v>1071</v>
      </c>
      <c r="J84" s="8" t="n">
        <v>41</v>
      </c>
      <c r="K84" s="8" t="n">
        <v>6</v>
      </c>
      <c r="L84" s="4" t="s">
        <v>1064</v>
      </c>
      <c r="M84" s="8" t="n">
        <v>31</v>
      </c>
      <c r="N84" s="8" t="n">
        <f aca="false">IF(A84="","",G84-J84)</f>
        <v>15</v>
      </c>
      <c r="O84" s="8" t="n">
        <f aca="false">IF(A84="","",J84-M84)</f>
        <v>10</v>
      </c>
      <c r="P84" s="8" t="n">
        <f aca="false">IF(A84="","",G84+J84)</f>
        <v>97</v>
      </c>
      <c r="Q84" s="8" t="str">
        <f aca="false">IF(A84="","",IF(AND(Y84&lt;&gt;"参考",G84&gt;=ルール設定!$B$2),"○",""))</f>
        <v/>
      </c>
      <c r="R84" s="8" t="str">
        <f aca="false">IF(A84="","",IF(AND(Y84&lt;&gt;"参考",G84&gt;=ルール設定!$B$3,N84&gt;=ルール設定!$B$4),"○",""))</f>
        <v/>
      </c>
      <c r="S84" s="8" t="str">
        <f aca="false">IF(A84="","",IF(AND(Y84&lt;&gt;"参考",G84&gt;=ルール設定!$B$5,J84&gt;=ルール設定!$B$6,O84&gt;=ルール設定!$B$7),"○",""))</f>
        <v/>
      </c>
      <c r="T84" s="8" t="n">
        <v>4</v>
      </c>
      <c r="U84" s="8" t="n">
        <v>1</v>
      </c>
      <c r="V84" s="8" t="str">
        <f aca="false">IF(A84="","",IF(AND(ISNUMBER(T84),ISNUMBER(U84)),IF(AND(T84&lt;=3,U84&lt;=3),"○","×"),""))</f>
        <v>×</v>
      </c>
      <c r="W84" s="8"/>
      <c r="X84" s="8"/>
      <c r="Y84" s="4" t="s">
        <v>7597</v>
      </c>
      <c r="Z84" s="4" t="s">
        <v>7679</v>
      </c>
      <c r="AA84" s="8" t="str">
        <v/>
      </c>
      <c r="AB84" s="8" t="str">
        <v/>
      </c>
      <c r="AC84" s="8" t="str">
        <v/>
      </c>
      <c r="AD84" s="8" t="str">
        <v/>
      </c>
      <c r="AE84" s="8" t="str">
        <v/>
      </c>
      <c r="AF84" s="8" t="str">
        <v/>
      </c>
      <c r="AG84" s="8" t="str">
        <v/>
      </c>
      <c r="AH84" s="8" t="str">
        <v/>
      </c>
      <c r="AI84" s="8" t="n">
        <v>25</v>
      </c>
      <c r="AJ84" s="8" t="str">
        <v>～59</v>
      </c>
      <c r="AK84" s="8" t="str">
        <v>10～19</v>
      </c>
      <c r="AL84" s="8" t="str">
        <v>20～29</v>
      </c>
      <c r="AM84" s="8" t="str">
        <v>～99</v>
      </c>
      <c r="AN84" s="8" t="str">
        <v>15以上</v>
      </c>
      <c r="AO84" s="8" t="str">
        <f aca="false">IF(A84="","",IF(COUNTIFS(全馬データ!$A$2:$A$50000,A84,全馬データ!$B$2:$B$50000,B84,全馬データ!$C$2:$C$50000,C84,全馬データ!$D$2:$D$50000,E84,全馬データ!$K$2:$K$50000,"&lt;&gt;")=0,"",SUMIFS(全馬データ!$K$2:$K$50000,全馬データ!$A$2:$A$50000,A84,全馬データ!$B$2:$B$50000,B84,全馬データ!$C$2:$C$50000,C84,全馬データ!$D$2:$D$50000,E84)))</f>
        <v/>
      </c>
      <c r="AP84" s="8" t="str">
        <f aca="false">IF(A84="","",IF(AO84="","欠損",IF(AO84&lt;=1.1,"1.0～1.1",IF(AO84&lt;1.3,"1.2",IF(AO84&lt;1.5,"1.3～1.4",IF(AO84&lt;2,"1.5～1.9","2.0以上"))))))</f>
        <v>欠損</v>
      </c>
      <c r="AQ84" s="8" t="str">
        <f aca="false">IF(A84="","",IF(ISNUMBER(SEARCH("2歳",Z84)),"2歳戦",IF(ISNUMBER(SEARCH("3歳未勝利",Z84)),"3歳未勝利",IF(ISNUMBER(SEARCH("未勝利",Z84)),"その他未勝利",IF(ISNUMBER(SEARCH("G1",Z84)),"G1",IF(ISNUMBER(SEARCH("G2",Z84)),"G2",IF(ISNUMBER(SEARCH("G3",Z84)),"G3",IF(ISNUMBER(SEARCH("古馬条件",Z84)),"古馬条件戦",IF(ISNUMBER(SEARCH("重賞",Z84)),"重賞","分類不能")))))))))</f>
        <v>分類不能</v>
      </c>
      <c r="AR84" s="4" t="s">
        <v>7683</v>
      </c>
      <c r="AS84" s="8" t="s">
        <v>7626</v>
      </c>
      <c r="AT84" s="8" t="s">
        <v>7627</v>
      </c>
      <c r="AU84" s="8" t="s">
        <v>7639</v>
      </c>
      <c r="AV84" s="8" t="s">
        <v>7640</v>
      </c>
      <c r="AW84" s="8" t="s">
        <v>7636</v>
      </c>
      <c r="AX84" s="4" t="s">
        <v>7637</v>
      </c>
      <c r="AY84" s="8" t="s">
        <v>7602</v>
      </c>
      <c r="AZ84" s="4" t="s">
        <v>7603</v>
      </c>
      <c r="BA84" s="8" t="n">
        <v>1800</v>
      </c>
      <c r="BB84" s="8" t="s">
        <v>7598</v>
      </c>
      <c r="BC84" s="4" t="s">
        <v>7604</v>
      </c>
      <c r="BD84" s="8" t="s">
        <v>7605</v>
      </c>
      <c r="BE84" s="4" t="s">
        <v>7606</v>
      </c>
      <c r="BF84" s="8" t="s">
        <v>7607</v>
      </c>
      <c r="BG84" s="8" t="s">
        <v>7602</v>
      </c>
      <c r="BH84" s="4" t="s">
        <v>7667</v>
      </c>
      <c r="BI84" s="8" t="n">
        <v>16</v>
      </c>
      <c r="BJ84" s="8" t="s">
        <v>7602</v>
      </c>
      <c r="BK84" s="4" t="s">
        <v>7653</v>
      </c>
      <c r="BL84" s="8" t="s">
        <v>7602</v>
      </c>
      <c r="BM84" s="4" t="s">
        <v>7620</v>
      </c>
      <c r="BN84" s="8" t="s">
        <v>7631</v>
      </c>
      <c r="BO84" s="8" t="s">
        <v>7680</v>
      </c>
      <c r="BP84" s="8" t="s">
        <v>7602</v>
      </c>
      <c r="BQ84" s="8" t="str">
        <f aca="false">IF(A84="","",AT84)</f>
        <v>3歳以上</v>
      </c>
      <c r="BR84" s="8" t="str">
        <f aca="false">IF(A84="","",IF(BA84&lt;=1200,"～1200",IF(BA84&lt;=1500,"1300～1500",IF(BA84=1600,"1600",IF(BA84&lt;=1800,"1700～1800",IF(BA84&lt;=2000,"1900～2000","2100以上"))))))</f>
        <v>1700～1800</v>
      </c>
      <c r="BS84" s="8" t="str">
        <f aca="false">IF(A84="","",IF(AX84="G1","G1",IF(AX84="G2","G2",IF(AX84="G3","G3",IF(AX84="L","L","その他")))))</f>
        <v>その他</v>
      </c>
      <c r="BT84" s="8" t="str">
        <f aca="false">IF(A84="","",IF(BI84="","未結合",IF(D84=BI84,"一致","不一致")))</f>
        <v>一致</v>
      </c>
      <c r="BU84" s="8" t="str">
        <f aca="false">IF(A84="","",IF(BE84="牝馬限定","牝馬限定","その他"))</f>
        <v>その他</v>
      </c>
    </row>
    <row r="85" customFormat="false" ht="15.75" hidden="false" customHeight="false" outlineLevel="0" collapsed="false">
      <c r="A85" s="6" t="n">
        <v>46221</v>
      </c>
      <c r="B85" s="4" t="s">
        <v>915</v>
      </c>
      <c r="C85" s="8" t="n">
        <v>12</v>
      </c>
      <c r="D85" s="8" t="n">
        <v>16</v>
      </c>
      <c r="E85" s="8" t="n">
        <v>13</v>
      </c>
      <c r="F85" s="4" t="s">
        <v>1087</v>
      </c>
      <c r="G85" s="8" t="n">
        <v>58</v>
      </c>
      <c r="H85" s="8" t="n">
        <v>2</v>
      </c>
      <c r="I85" s="4" t="s">
        <v>1076</v>
      </c>
      <c r="J85" s="8" t="n">
        <v>52</v>
      </c>
      <c r="K85" s="8" t="n">
        <v>6</v>
      </c>
      <c r="L85" s="4" t="s">
        <v>1080</v>
      </c>
      <c r="M85" s="8" t="n">
        <v>39</v>
      </c>
      <c r="N85" s="8" t="n">
        <f aca="false">IF(A85="","",G85-J85)</f>
        <v>6</v>
      </c>
      <c r="O85" s="8" t="n">
        <f aca="false">IF(A85="","",J85-M85)</f>
        <v>13</v>
      </c>
      <c r="P85" s="8" t="n">
        <f aca="false">IF(A85="","",G85+J85)</f>
        <v>110</v>
      </c>
      <c r="Q85" s="8" t="str">
        <f aca="false">IF(A85="","",IF(AND(Y85&lt;&gt;"参考",G85&gt;=ルール設定!$B$2),"○",""))</f>
        <v/>
      </c>
      <c r="R85" s="8" t="str">
        <f aca="false">IF(A85="","",IF(AND(Y85&lt;&gt;"参考",G85&gt;=ルール設定!$B$3,N85&gt;=ルール設定!$B$4),"○",""))</f>
        <v/>
      </c>
      <c r="S85" s="8" t="str">
        <f aca="false">IF(A85="","",IF(AND(Y85&lt;&gt;"参考",G85&gt;=ルール設定!$B$5,J85&gt;=ルール設定!$B$6,O85&gt;=ルール設定!$B$7),"○",""))</f>
        <v/>
      </c>
      <c r="T85" s="8" t="n">
        <v>4</v>
      </c>
      <c r="U85" s="8" t="n">
        <v>2</v>
      </c>
      <c r="V85" s="8" t="str">
        <f aca="false">IF(A85="","",IF(AND(ISNUMBER(T85),ISNUMBER(U85)),IF(AND(T85&lt;=3,U85&lt;=3),"○","×"),""))</f>
        <v>×</v>
      </c>
      <c r="W85" s="8"/>
      <c r="X85" s="8"/>
      <c r="Y85" s="4" t="s">
        <v>7597</v>
      </c>
      <c r="Z85" s="4" t="s">
        <v>7679</v>
      </c>
      <c r="AA85" s="8" t="str">
        <v/>
      </c>
      <c r="AB85" s="8" t="str">
        <v/>
      </c>
      <c r="AC85" s="8" t="str">
        <v/>
      </c>
      <c r="AD85" s="8" t="str">
        <v/>
      </c>
      <c r="AE85" s="8" t="str">
        <v/>
      </c>
      <c r="AF85" s="8" t="str">
        <v/>
      </c>
      <c r="AG85" s="8" t="str">
        <v/>
      </c>
      <c r="AH85" s="8" t="str">
        <v/>
      </c>
      <c r="AI85" s="8" t="n">
        <v>19</v>
      </c>
      <c r="AJ85" s="8" t="str">
        <v>～59</v>
      </c>
      <c r="AK85" s="8" t="str">
        <v>5～9</v>
      </c>
      <c r="AL85" s="8" t="str">
        <v>10～19</v>
      </c>
      <c r="AM85" s="8" t="str">
        <v>100～119</v>
      </c>
      <c r="AN85" s="8" t="str">
        <v>15以上</v>
      </c>
      <c r="AO85" s="8" t="str">
        <f aca="false">IF(A85="","",IF(COUNTIFS(全馬データ!$A$2:$A$50000,A85,全馬データ!$B$2:$B$50000,B85,全馬データ!$C$2:$C$50000,C85,全馬データ!$D$2:$D$50000,E85,全馬データ!$K$2:$K$50000,"&lt;&gt;")=0,"",SUMIFS(全馬データ!$K$2:$K$50000,全馬データ!$A$2:$A$50000,A85,全馬データ!$B$2:$B$50000,B85,全馬データ!$C$2:$C$50000,C85,全馬データ!$D$2:$D$50000,E85)))</f>
        <v/>
      </c>
      <c r="AP85" s="8" t="str">
        <f aca="false">IF(A85="","",IF(AO85="","欠損",IF(AO85&lt;=1.1,"1.0～1.1",IF(AO85&lt;1.3,"1.2",IF(AO85&lt;1.5,"1.3～1.4",IF(AO85&lt;2,"1.5～1.9","2.0以上"))))))</f>
        <v>欠損</v>
      </c>
      <c r="AQ85" s="8" t="str">
        <f aca="false">IF(A85="","",IF(ISNUMBER(SEARCH("2歳",Z85)),"2歳戦",IF(ISNUMBER(SEARCH("3歳未勝利",Z85)),"3歳未勝利",IF(ISNUMBER(SEARCH("未勝利",Z85)),"その他未勝利",IF(ISNUMBER(SEARCH("G1",Z85)),"G1",IF(ISNUMBER(SEARCH("G2",Z85)),"G2",IF(ISNUMBER(SEARCH("G3",Z85)),"G3",IF(ISNUMBER(SEARCH("古馬条件",Z85)),"古馬条件戦",IF(ISNUMBER(SEARCH("重賞",Z85)),"重賞","分類不能")))))))))</f>
        <v>分類不能</v>
      </c>
      <c r="AR85" s="8"/>
      <c r="AS85" s="8" t="s">
        <v>7626</v>
      </c>
      <c r="AT85" s="8" t="s">
        <v>7627</v>
      </c>
      <c r="AU85" s="8" t="s">
        <v>7628</v>
      </c>
      <c r="AV85" s="8" t="s">
        <v>7629</v>
      </c>
      <c r="AW85" s="8"/>
      <c r="AX85" s="8"/>
      <c r="AY85" s="8" t="s">
        <v>7610</v>
      </c>
      <c r="AZ85" s="4" t="s">
        <v>7617</v>
      </c>
      <c r="BA85" s="8" t="n">
        <v>1150</v>
      </c>
      <c r="BB85" s="8" t="s">
        <v>7598</v>
      </c>
      <c r="BC85" s="4" t="s">
        <v>7604</v>
      </c>
      <c r="BD85" s="8" t="s">
        <v>7605</v>
      </c>
      <c r="BE85" s="4" t="s">
        <v>7606</v>
      </c>
      <c r="BF85" s="8" t="s">
        <v>7607</v>
      </c>
      <c r="BG85" s="8" t="s">
        <v>7631</v>
      </c>
      <c r="BH85" s="4" t="s">
        <v>7632</v>
      </c>
      <c r="BI85" s="8" t="n">
        <v>16</v>
      </c>
      <c r="BJ85" s="8" t="s">
        <v>7602</v>
      </c>
      <c r="BK85" s="4" t="s">
        <v>7653</v>
      </c>
      <c r="BL85" s="8" t="s">
        <v>7602</v>
      </c>
      <c r="BM85" s="4" t="s">
        <v>7620</v>
      </c>
      <c r="BN85" s="8"/>
      <c r="BO85" s="8"/>
      <c r="BP85" s="8" t="s">
        <v>7602</v>
      </c>
      <c r="BQ85" s="8" t="str">
        <f aca="false">IF(A85="","",AT85)</f>
        <v>3歳以上</v>
      </c>
      <c r="BR85" s="8" t="str">
        <f aca="false">IF(A85="","",IF(BA85&lt;=1200,"～1200",IF(BA85&lt;=1500,"1300～1500",IF(BA85=1600,"1600",IF(BA85&lt;=1800,"1700～1800",IF(BA85&lt;=2000,"1900～2000","2100以上"))))))</f>
        <v>～1200</v>
      </c>
      <c r="BS85" s="8" t="str">
        <f aca="false">IF(A85="","",IF(AX85="G1","G1",IF(AX85="G2","G2",IF(AX85="G3","G3",IF(AX85="L","L","その他")))))</f>
        <v>その他</v>
      </c>
      <c r="BT85" s="8" t="str">
        <f aca="false">IF(A85="","",IF(BI85="","未結合",IF(D85=BI85,"一致","不一致")))</f>
        <v>一致</v>
      </c>
      <c r="BU85" s="8" t="str">
        <f aca="false">IF(A85="","",IF(BE85="牝馬限定","牝馬限定","その他"))</f>
        <v>その他</v>
      </c>
    </row>
    <row r="86" customFormat="false" ht="15.75" hidden="false" customHeight="false" outlineLevel="0" collapsed="false">
      <c r="A86" s="6" t="n">
        <v>46221</v>
      </c>
      <c r="B86" s="4" t="s">
        <v>1091</v>
      </c>
      <c r="C86" s="8" t="n">
        <v>1</v>
      </c>
      <c r="D86" s="8" t="n">
        <v>12</v>
      </c>
      <c r="E86" s="8" t="n">
        <v>5</v>
      </c>
      <c r="F86" s="4" t="s">
        <v>1096</v>
      </c>
      <c r="G86" s="8" t="n">
        <v>58</v>
      </c>
      <c r="H86" s="8" t="n">
        <v>1</v>
      </c>
      <c r="I86" s="4" t="s">
        <v>1092</v>
      </c>
      <c r="J86" s="8" t="n">
        <v>37</v>
      </c>
      <c r="K86" s="8" t="n">
        <v>6</v>
      </c>
      <c r="L86" s="4" t="s">
        <v>1097</v>
      </c>
      <c r="M86" s="8" t="n">
        <v>37</v>
      </c>
      <c r="N86" s="8" t="n">
        <f aca="false">IF(A86="","",G86-J86)</f>
        <v>21</v>
      </c>
      <c r="O86" s="8" t="n">
        <f aca="false">IF(A86="","",J86-M86)</f>
        <v>0</v>
      </c>
      <c r="P86" s="8" t="n">
        <f aca="false">IF(A86="","",G86+J86)</f>
        <v>95</v>
      </c>
      <c r="Q86" s="8" t="str">
        <f aca="false">IF(A86="","",IF(AND(Y86&lt;&gt;"参考",G86&gt;=ルール設定!$B$2),"○",""))</f>
        <v/>
      </c>
      <c r="R86" s="8" t="str">
        <f aca="false">IF(A86="","",IF(AND(Y86&lt;&gt;"参考",G86&gt;=ルール設定!$B$3,N86&gt;=ルール設定!$B$4),"○",""))</f>
        <v/>
      </c>
      <c r="S86" s="8" t="str">
        <f aca="false">IF(A86="","",IF(AND(Y86&lt;&gt;"参考",G86&gt;=ルール設定!$B$5,J86&gt;=ルール設定!$B$6,O86&gt;=ルール設定!$B$7),"○",""))</f>
        <v/>
      </c>
      <c r="T86" s="8" t="n">
        <v>4</v>
      </c>
      <c r="U86" s="8" t="n">
        <v>4</v>
      </c>
      <c r="V86" s="8" t="str">
        <f aca="false">IF(A86="","",IF(AND(ISNUMBER(T86),ISNUMBER(U86)),IF(AND(T86&lt;=3,U86&lt;=3),"○","×"),""))</f>
        <v>×</v>
      </c>
      <c r="W86" s="8"/>
      <c r="X86" s="8"/>
      <c r="Y86" s="4" t="s">
        <v>7597</v>
      </c>
      <c r="Z86" s="4" t="s">
        <v>7679</v>
      </c>
      <c r="AA86" s="8" t="str">
        <v/>
      </c>
      <c r="AB86" s="8" t="str">
        <v/>
      </c>
      <c r="AC86" s="8" t="str">
        <v/>
      </c>
      <c r="AD86" s="8" t="str">
        <v/>
      </c>
      <c r="AE86" s="8" t="str">
        <v/>
      </c>
      <c r="AF86" s="8" t="str">
        <v/>
      </c>
      <c r="AG86" s="8" t="str">
        <v/>
      </c>
      <c r="AH86" s="8" t="str">
        <v/>
      </c>
      <c r="AI86" s="8" t="n">
        <v>21</v>
      </c>
      <c r="AJ86" s="8" t="str">
        <v>～59</v>
      </c>
      <c r="AK86" s="8" t="str">
        <v>20～29</v>
      </c>
      <c r="AL86" s="8" t="str">
        <v>20～29</v>
      </c>
      <c r="AM86" s="8" t="str">
        <v>～99</v>
      </c>
      <c r="AN86" s="8" t="str">
        <v>12～14</v>
      </c>
      <c r="AO86" s="8" t="str">
        <f aca="false">IF(A86="","",IF(COUNTIFS(全馬データ!$A$2:$A$50000,A86,全馬データ!$B$2:$B$50000,B86,全馬データ!$C$2:$C$50000,C86,全馬データ!$D$2:$D$50000,E86,全馬データ!$K$2:$K$50000,"&lt;&gt;")=0,"",SUMIFS(全馬データ!$K$2:$K$50000,全馬データ!$A$2:$A$50000,A86,全馬データ!$B$2:$B$50000,B86,全馬データ!$C$2:$C$50000,C86,全馬データ!$D$2:$D$50000,E86)))</f>
        <v/>
      </c>
      <c r="AP86" s="8" t="str">
        <f aca="false">IF(A86="","",IF(AO86="","欠損",IF(AO86&lt;=1.1,"1.0～1.1",IF(AO86&lt;1.3,"1.2",IF(AO86&lt;1.5,"1.3～1.4",IF(AO86&lt;2,"1.5～1.9","2.0以上"))))))</f>
        <v>欠損</v>
      </c>
      <c r="AQ86" s="8" t="str">
        <f aca="false">IF(A86="","",IF(ISNUMBER(SEARCH("2歳",Z86)),"2歳戦",IF(ISNUMBER(SEARCH("3歳未勝利",Z86)),"3歳未勝利",IF(ISNUMBER(SEARCH("未勝利",Z86)),"その他未勝利",IF(ISNUMBER(SEARCH("G1",Z86)),"G1",IF(ISNUMBER(SEARCH("G2",Z86)),"G2",IF(ISNUMBER(SEARCH("G3",Z86)),"G3",IF(ISNUMBER(SEARCH("古馬条件",Z86)),"古馬条件戦",IF(ISNUMBER(SEARCH("重賞",Z86)),"重賞","分類不能")))))))))</f>
        <v>分類不能</v>
      </c>
      <c r="AR86" s="8"/>
      <c r="AS86" s="8" t="s">
        <v>7618</v>
      </c>
      <c r="AT86" s="4" t="s">
        <v>7642</v>
      </c>
      <c r="AU86" s="8" t="s">
        <v>7600</v>
      </c>
      <c r="AV86" s="4" t="s">
        <v>7601</v>
      </c>
      <c r="AW86" s="8"/>
      <c r="AX86" s="8"/>
      <c r="AY86" s="8" t="s">
        <v>7608</v>
      </c>
      <c r="AZ86" s="4" t="s">
        <v>7642</v>
      </c>
      <c r="BA86" s="8" t="n">
        <v>2860</v>
      </c>
      <c r="BB86" s="8" t="s">
        <v>7618</v>
      </c>
      <c r="BC86" s="4" t="s">
        <v>7619</v>
      </c>
      <c r="BD86" s="8" t="s">
        <v>7645</v>
      </c>
      <c r="BE86" s="4" t="s">
        <v>7606</v>
      </c>
      <c r="BF86" s="8" t="s">
        <v>7607</v>
      </c>
      <c r="BG86" s="8" t="s">
        <v>7631</v>
      </c>
      <c r="BH86" s="4" t="s">
        <v>7632</v>
      </c>
      <c r="BI86" s="8" t="n">
        <v>12</v>
      </c>
      <c r="BJ86" s="8" t="s">
        <v>7647</v>
      </c>
      <c r="BK86" s="4" t="s">
        <v>7648</v>
      </c>
      <c r="BL86" s="8" t="s">
        <v>7647</v>
      </c>
      <c r="BM86" s="4" t="s">
        <v>7648</v>
      </c>
      <c r="BN86" s="8"/>
      <c r="BO86" s="8"/>
      <c r="BP86" s="8" t="s">
        <v>7610</v>
      </c>
      <c r="BQ86" s="8" t="str">
        <f aca="false">IF(A86="","",AT86)</f>
        <v>障害</v>
      </c>
      <c r="BR86" s="8" t="str">
        <f aca="false">IF(A86="","",IF(BA86&lt;=1200,"～1200",IF(BA86&lt;=1500,"1300～1500",IF(BA86=1600,"1600",IF(BA86&lt;=1800,"1700～1800",IF(BA86&lt;=2000,"1900～2000","2100以上"))))))</f>
        <v>2100以上</v>
      </c>
      <c r="BS86" s="8" t="str">
        <f aca="false">IF(A86="","",IF(AX86="G1","G1",IF(AX86="G2","G2",IF(AX86="G3","G3",IF(AX86="L","L","その他")))))</f>
        <v>その他</v>
      </c>
      <c r="BT86" s="8" t="str">
        <f aca="false">IF(A86="","",IF(BI86="","未結合",IF(D86=BI86,"一致","不一致")))</f>
        <v>一致</v>
      </c>
      <c r="BU86" s="8" t="str">
        <f aca="false">IF(A86="","",IF(BE86="牝馬限定","牝馬限定","その他"))</f>
        <v>その他</v>
      </c>
    </row>
    <row r="87" customFormat="false" ht="15.75" hidden="false" customHeight="false" outlineLevel="0" collapsed="false">
      <c r="A87" s="6" t="n">
        <v>46221</v>
      </c>
      <c r="B87" s="4" t="s">
        <v>1091</v>
      </c>
      <c r="C87" s="8" t="n">
        <v>2</v>
      </c>
      <c r="D87" s="8" t="n">
        <v>11</v>
      </c>
      <c r="E87" s="8" t="n">
        <v>10</v>
      </c>
      <c r="F87" s="4" t="s">
        <v>1113</v>
      </c>
      <c r="G87" s="8" t="n">
        <v>60</v>
      </c>
      <c r="H87" s="8" t="n">
        <v>5</v>
      </c>
      <c r="I87" s="4" t="s">
        <v>1108</v>
      </c>
      <c r="J87" s="8" t="n">
        <v>58</v>
      </c>
      <c r="K87" s="8" t="n">
        <v>11</v>
      </c>
      <c r="L87" s="4" t="s">
        <v>1114</v>
      </c>
      <c r="M87" s="8" t="n">
        <v>34</v>
      </c>
      <c r="N87" s="8" t="n">
        <f aca="false">IF(A87="","",G87-J87)</f>
        <v>2</v>
      </c>
      <c r="O87" s="8" t="n">
        <f aca="false">IF(A87="","",J87-M87)</f>
        <v>24</v>
      </c>
      <c r="P87" s="8" t="n">
        <f aca="false">IF(A87="","",G87+J87)</f>
        <v>118</v>
      </c>
      <c r="Q87" s="8" t="str">
        <f aca="false">IF(A87="","",IF(AND(Y87&lt;&gt;"参考",G87&gt;=ルール設定!$B$2),"○",""))</f>
        <v/>
      </c>
      <c r="R87" s="8" t="str">
        <f aca="false">IF(A87="","",IF(AND(Y87&lt;&gt;"参考",G87&gt;=ルール設定!$B$3,N87&gt;=ルール設定!$B$4),"○",""))</f>
        <v/>
      </c>
      <c r="S87" s="8" t="str">
        <f aca="false">IF(A87="","",IF(AND(Y87&lt;&gt;"参考",G87&gt;=ルール設定!$B$5,J87&gt;=ルール設定!$B$6,O87&gt;=ルール設定!$B$7),"○",""))</f>
        <v>○</v>
      </c>
      <c r="T87" s="8" t="n">
        <v>1</v>
      </c>
      <c r="U87" s="8" t="n">
        <v>2</v>
      </c>
      <c r="V87" s="8" t="str">
        <f aca="false">IF(A87="","",IF(AND(ISNUMBER(T87),ISNUMBER(U87)),IF(AND(T87&lt;=3,U87&lt;=3),"○","×"),""))</f>
        <v>○</v>
      </c>
      <c r="W87" s="8" t="n">
        <v>150</v>
      </c>
      <c r="X87" s="8" t="n">
        <v>180</v>
      </c>
      <c r="Y87" s="4" t="s">
        <v>7597</v>
      </c>
      <c r="Z87" s="4" t="s">
        <v>7679</v>
      </c>
      <c r="AA87" s="8" t="str">
        <v/>
      </c>
      <c r="AB87" s="8" t="str">
        <v/>
      </c>
      <c r="AC87" s="8" t="str">
        <v/>
      </c>
      <c r="AD87" s="8" t="str">
        <v/>
      </c>
      <c r="AE87" s="8" t="str">
        <v/>
      </c>
      <c r="AF87" s="8" t="str">
        <v/>
      </c>
      <c r="AG87" s="8" t="str">
        <v/>
      </c>
      <c r="AH87" s="8" t="str">
        <v/>
      </c>
      <c r="AI87" s="8" t="n">
        <v>26</v>
      </c>
      <c r="AJ87" s="8" t="str">
        <v>60～69</v>
      </c>
      <c r="AK87" s="8" t="str">
        <v>0～4</v>
      </c>
      <c r="AL87" s="8" t="str">
        <v>20～29</v>
      </c>
      <c r="AM87" s="8" t="str">
        <v>100～119</v>
      </c>
      <c r="AN87" s="8" t="str">
        <v>8～11</v>
      </c>
      <c r="AO87" s="8" t="str">
        <f aca="false">IF(A87="","",IF(COUNTIFS(全馬データ!$A$2:$A$50000,A87,全馬データ!$B$2:$B$50000,B87,全馬データ!$C$2:$C$50000,C87,全馬データ!$D$2:$D$50000,E87,全馬データ!$K$2:$K$50000,"&lt;&gt;")=0,"",SUMIFS(全馬データ!$K$2:$K$50000,全馬データ!$A$2:$A$50000,A87,全馬データ!$B$2:$B$50000,B87,全馬データ!$C$2:$C$50000,C87,全馬データ!$D$2:$D$50000,E87)))</f>
        <v/>
      </c>
      <c r="AP87" s="8" t="str">
        <f aca="false">IF(A87="","",IF(AO87="","欠損",IF(AO87&lt;=1.1,"1.0～1.1",IF(AO87&lt;1.3,"1.2",IF(AO87&lt;1.5,"1.3～1.4",IF(AO87&lt;2,"1.5～1.9","2.0以上"))))))</f>
        <v>欠損</v>
      </c>
      <c r="AQ87" s="8" t="str">
        <f aca="false">IF(A87="","",IF(ISNUMBER(SEARCH("2歳",Z87)),"2歳戦",IF(ISNUMBER(SEARCH("3歳未勝利",Z87)),"3歳未勝利",IF(ISNUMBER(SEARCH("未勝利",Z87)),"その他未勝利",IF(ISNUMBER(SEARCH("G1",Z87)),"G1",IF(ISNUMBER(SEARCH("G2",Z87)),"G2",IF(ISNUMBER(SEARCH("G3",Z87)),"G3",IF(ISNUMBER(SEARCH("古馬条件",Z87)),"古馬条件戦",IF(ISNUMBER(SEARCH("重賞",Z87)),"重賞","分類不能")))))))))</f>
        <v>分類不能</v>
      </c>
      <c r="AR87" s="8"/>
      <c r="AS87" s="8" t="s">
        <v>7598</v>
      </c>
      <c r="AT87" s="8" t="s">
        <v>7599</v>
      </c>
      <c r="AU87" s="8" t="s">
        <v>7600</v>
      </c>
      <c r="AV87" s="4" t="s">
        <v>7601</v>
      </c>
      <c r="AW87" s="8"/>
      <c r="AX87" s="8"/>
      <c r="AY87" s="8" t="s">
        <v>7602</v>
      </c>
      <c r="AZ87" s="4" t="s">
        <v>7603</v>
      </c>
      <c r="BA87" s="8" t="n">
        <v>1800</v>
      </c>
      <c r="BB87" s="8" t="s">
        <v>7659</v>
      </c>
      <c r="BC87" s="4" t="s">
        <v>7619</v>
      </c>
      <c r="BD87" s="8" t="s">
        <v>7605</v>
      </c>
      <c r="BE87" s="4" t="s">
        <v>7606</v>
      </c>
      <c r="BF87" s="8" t="s">
        <v>7607</v>
      </c>
      <c r="BG87" s="8" t="s">
        <v>7608</v>
      </c>
      <c r="BH87" s="4" t="s">
        <v>7609</v>
      </c>
      <c r="BI87" s="8" t="n">
        <v>11</v>
      </c>
      <c r="BJ87" s="8" t="s">
        <v>7602</v>
      </c>
      <c r="BK87" s="4" t="s">
        <v>7653</v>
      </c>
      <c r="BL87" s="8" t="s">
        <v>7602</v>
      </c>
      <c r="BM87" s="4" t="s">
        <v>7620</v>
      </c>
      <c r="BN87" s="8" t="s">
        <v>7602</v>
      </c>
      <c r="BO87" s="8" t="s">
        <v>7613</v>
      </c>
      <c r="BP87" s="8" t="s">
        <v>7610</v>
      </c>
      <c r="BQ87" s="8" t="str">
        <f aca="false">IF(A87="","",AT87)</f>
        <v>2歳</v>
      </c>
      <c r="BR87" s="8" t="str">
        <f aca="false">IF(A87="","",IF(BA87&lt;=1200,"～1200",IF(BA87&lt;=1500,"1300～1500",IF(BA87=1600,"1600",IF(BA87&lt;=1800,"1700～1800",IF(BA87&lt;=2000,"1900～2000","2100以上"))))))</f>
        <v>1700～1800</v>
      </c>
      <c r="BS87" s="8" t="str">
        <f aca="false">IF(A87="","",IF(AX87="G1","G1",IF(AX87="G2","G2",IF(AX87="G3","G3",IF(AX87="L","L","その他")))))</f>
        <v>その他</v>
      </c>
      <c r="BT87" s="8" t="str">
        <f aca="false">IF(A87="","",IF(BI87="","未結合",IF(D87=BI87,"一致","不一致")))</f>
        <v>一致</v>
      </c>
      <c r="BU87" s="8" t="str">
        <f aca="false">IF(A87="","",IF(BE87="牝馬限定","牝馬限定","その他"))</f>
        <v>その他</v>
      </c>
    </row>
    <row r="88" customFormat="false" ht="15.75" hidden="false" customHeight="false" outlineLevel="0" collapsed="false">
      <c r="A88" s="6" t="n">
        <v>46221</v>
      </c>
      <c r="B88" s="4" t="s">
        <v>1091</v>
      </c>
      <c r="C88" s="8" t="n">
        <v>3</v>
      </c>
      <c r="D88" s="8" t="n">
        <v>14</v>
      </c>
      <c r="E88" s="8" t="n">
        <v>2</v>
      </c>
      <c r="F88" s="4" t="s">
        <v>1116</v>
      </c>
      <c r="G88" s="8" t="n">
        <v>67</v>
      </c>
      <c r="H88" s="8" t="n">
        <v>11</v>
      </c>
      <c r="I88" s="4" t="s">
        <v>1125</v>
      </c>
      <c r="J88" s="8" t="n">
        <v>47</v>
      </c>
      <c r="K88" s="8" t="n">
        <v>14</v>
      </c>
      <c r="L88" s="4" t="s">
        <v>1128</v>
      </c>
      <c r="M88" s="8" t="n">
        <v>44</v>
      </c>
      <c r="N88" s="8" t="n">
        <f aca="false">IF(A88="","",G88-J88)</f>
        <v>20</v>
      </c>
      <c r="O88" s="8" t="n">
        <f aca="false">IF(A88="","",J88-M88)</f>
        <v>3</v>
      </c>
      <c r="P88" s="8" t="n">
        <f aca="false">IF(A88="","",G88+J88)</f>
        <v>114</v>
      </c>
      <c r="Q88" s="8" t="str">
        <f aca="false">IF(A88="","",IF(AND(Y88&lt;&gt;"参考",G88&gt;=ルール設定!$B$2),"○",""))</f>
        <v/>
      </c>
      <c r="R88" s="8" t="str">
        <f aca="false">IF(A88="","",IF(AND(Y88&lt;&gt;"参考",G88&gt;=ルール設定!$B$3,N88&gt;=ルール設定!$B$4),"○",""))</f>
        <v/>
      </c>
      <c r="S88" s="8" t="str">
        <f aca="false">IF(A88="","",IF(AND(Y88&lt;&gt;"参考",G88&gt;=ルール設定!$B$5,J88&gt;=ルール設定!$B$6,O88&gt;=ルール設定!$B$7),"○",""))</f>
        <v/>
      </c>
      <c r="T88" s="8" t="n">
        <v>1</v>
      </c>
      <c r="U88" s="8" t="n">
        <v>4</v>
      </c>
      <c r="V88" s="8" t="str">
        <f aca="false">IF(A88="","",IF(AND(ISNUMBER(T88),ISNUMBER(U88)),IF(AND(T88&lt;=3,U88&lt;=3),"○","×"),""))</f>
        <v>×</v>
      </c>
      <c r="W88" s="8" t="n">
        <v>140</v>
      </c>
      <c r="X88" s="8"/>
      <c r="Y88" s="4" t="s">
        <v>7597</v>
      </c>
      <c r="Z88" s="4" t="s">
        <v>7679</v>
      </c>
      <c r="AA88" s="8" t="str">
        <v/>
      </c>
      <c r="AB88" s="8" t="str">
        <v/>
      </c>
      <c r="AC88" s="8" t="str">
        <v/>
      </c>
      <c r="AD88" s="8" t="str">
        <v/>
      </c>
      <c r="AE88" s="8" t="str">
        <v/>
      </c>
      <c r="AF88" s="8" t="str">
        <v/>
      </c>
      <c r="AG88" s="8" t="str">
        <v/>
      </c>
      <c r="AH88" s="8" t="str">
        <v/>
      </c>
      <c r="AI88" s="8" t="n">
        <v>23</v>
      </c>
      <c r="AJ88" s="8" t="str">
        <v>60～69</v>
      </c>
      <c r="AK88" s="8" t="str">
        <v>20～29</v>
      </c>
      <c r="AL88" s="8" t="str">
        <v>20～29</v>
      </c>
      <c r="AM88" s="8" t="str">
        <v>100～119</v>
      </c>
      <c r="AN88" s="8" t="str">
        <v>12～14</v>
      </c>
      <c r="AO88" s="8" t="str">
        <f aca="false">IF(A88="","",IF(COUNTIFS(全馬データ!$A$2:$A$50000,A88,全馬データ!$B$2:$B$50000,B88,全馬データ!$C$2:$C$50000,C88,全馬データ!$D$2:$D$50000,E88,全馬データ!$K$2:$K$50000,"&lt;&gt;")=0,"",SUMIFS(全馬データ!$K$2:$K$50000,全馬データ!$A$2:$A$50000,A88,全馬データ!$B$2:$B$50000,B88,全馬データ!$C$2:$C$50000,C88,全馬データ!$D$2:$D$50000,E88)))</f>
        <v/>
      </c>
      <c r="AP88" s="8" t="str">
        <f aca="false">IF(A88="","",IF(AO88="","欠損",IF(AO88&lt;=1.1,"1.0～1.1",IF(AO88&lt;1.3,"1.2",IF(AO88&lt;1.5,"1.3～1.4",IF(AO88&lt;2,"1.5～1.9","2.0以上"))))))</f>
        <v>欠損</v>
      </c>
      <c r="AQ88" s="8" t="str">
        <f aca="false">IF(A88="","",IF(ISNUMBER(SEARCH("2歳",Z88)),"2歳戦",IF(ISNUMBER(SEARCH("3歳未勝利",Z88)),"3歳未勝利",IF(ISNUMBER(SEARCH("未勝利",Z88)),"その他未勝利",IF(ISNUMBER(SEARCH("G1",Z88)),"G1",IF(ISNUMBER(SEARCH("G2",Z88)),"G2",IF(ISNUMBER(SEARCH("G3",Z88)),"G3",IF(ISNUMBER(SEARCH("古馬条件",Z88)),"古馬条件戦",IF(ISNUMBER(SEARCH("重賞",Z88)),"重賞","分類不能")))))))))</f>
        <v>分類不能</v>
      </c>
      <c r="AR88" s="8"/>
      <c r="AS88" s="8" t="s">
        <v>7623</v>
      </c>
      <c r="AT88" s="8" t="s">
        <v>7624</v>
      </c>
      <c r="AU88" s="8" t="s">
        <v>7600</v>
      </c>
      <c r="AV88" s="4" t="s">
        <v>7601</v>
      </c>
      <c r="AW88" s="8"/>
      <c r="AX88" s="8"/>
      <c r="AY88" s="8" t="s">
        <v>7610</v>
      </c>
      <c r="AZ88" s="4" t="s">
        <v>7617</v>
      </c>
      <c r="BA88" s="8" t="n">
        <v>1000</v>
      </c>
      <c r="BB88" s="8" t="s">
        <v>7659</v>
      </c>
      <c r="BC88" s="4" t="s">
        <v>7619</v>
      </c>
      <c r="BD88" s="8" t="s">
        <v>7605</v>
      </c>
      <c r="BE88" s="4" t="s">
        <v>7606</v>
      </c>
      <c r="BF88" s="8" t="s">
        <v>7607</v>
      </c>
      <c r="BG88" s="8" t="s">
        <v>7608</v>
      </c>
      <c r="BH88" s="4" t="s">
        <v>7609</v>
      </c>
      <c r="BI88" s="8" t="n">
        <v>14</v>
      </c>
      <c r="BJ88" s="8" t="s">
        <v>7602</v>
      </c>
      <c r="BK88" s="4" t="s">
        <v>7653</v>
      </c>
      <c r="BL88" s="8" t="s">
        <v>7602</v>
      </c>
      <c r="BM88" s="4" t="s">
        <v>7620</v>
      </c>
      <c r="BN88" s="8"/>
      <c r="BO88" s="8"/>
      <c r="BP88" s="8" t="s">
        <v>7610</v>
      </c>
      <c r="BQ88" s="8" t="str">
        <f aca="false">IF(A88="","",AT88)</f>
        <v>3歳</v>
      </c>
      <c r="BR88" s="8" t="str">
        <f aca="false">IF(A88="","",IF(BA88&lt;=1200,"～1200",IF(BA88&lt;=1500,"1300～1500",IF(BA88=1600,"1600",IF(BA88&lt;=1800,"1700～1800",IF(BA88&lt;=2000,"1900～2000","2100以上"))))))</f>
        <v>～1200</v>
      </c>
      <c r="BS88" s="8" t="str">
        <f aca="false">IF(A88="","",IF(AX88="G1","G1",IF(AX88="G2","G2",IF(AX88="G3","G3",IF(AX88="L","L","その他")))))</f>
        <v>その他</v>
      </c>
      <c r="BT88" s="8" t="str">
        <f aca="false">IF(A88="","",IF(BI88="","未結合",IF(D88=BI88,"一致","不一致")))</f>
        <v>一致</v>
      </c>
      <c r="BU88" s="8" t="str">
        <f aca="false">IF(A88="","",IF(BE88="牝馬限定","牝馬限定","その他"))</f>
        <v>その他</v>
      </c>
    </row>
    <row r="89" customFormat="false" ht="15.75" hidden="false" customHeight="false" outlineLevel="0" collapsed="false">
      <c r="A89" s="6" t="n">
        <v>46221</v>
      </c>
      <c r="B89" s="4" t="s">
        <v>1091</v>
      </c>
      <c r="C89" s="8" t="n">
        <v>4</v>
      </c>
      <c r="D89" s="8" t="n">
        <v>8</v>
      </c>
      <c r="E89" s="8" t="n">
        <v>2</v>
      </c>
      <c r="F89" s="4" t="s">
        <v>1130</v>
      </c>
      <c r="G89" s="8" t="n">
        <v>55</v>
      </c>
      <c r="H89" s="8" t="n">
        <v>4</v>
      </c>
      <c r="I89" s="4" t="s">
        <v>1132</v>
      </c>
      <c r="J89" s="8" t="n">
        <v>55</v>
      </c>
      <c r="K89" s="8" t="n">
        <v>7</v>
      </c>
      <c r="L89" s="4" t="s">
        <v>1135</v>
      </c>
      <c r="M89" s="8" t="n">
        <v>44</v>
      </c>
      <c r="N89" s="8" t="n">
        <f aca="false">IF(A89="","",G89-J89)</f>
        <v>0</v>
      </c>
      <c r="O89" s="8" t="n">
        <f aca="false">IF(A89="","",J89-M89)</f>
        <v>11</v>
      </c>
      <c r="P89" s="8" t="n">
        <f aca="false">IF(A89="","",G89+J89)</f>
        <v>110</v>
      </c>
      <c r="Q89" s="8" t="str">
        <f aca="false">IF(A89="","",IF(AND(Y89&lt;&gt;"参考",G89&gt;=ルール設定!$B$2),"○",""))</f>
        <v/>
      </c>
      <c r="R89" s="8" t="str">
        <f aca="false">IF(A89="","",IF(AND(Y89&lt;&gt;"参考",G89&gt;=ルール設定!$B$3,N89&gt;=ルール設定!$B$4),"○",""))</f>
        <v/>
      </c>
      <c r="S89" s="8" t="str">
        <f aca="false">IF(A89="","",IF(AND(Y89&lt;&gt;"参考",G89&gt;=ルール設定!$B$5,J89&gt;=ルール設定!$B$6,O89&gt;=ルール設定!$B$7),"○",""))</f>
        <v/>
      </c>
      <c r="T89" s="8" t="n">
        <v>4</v>
      </c>
      <c r="U89" s="8" t="n">
        <v>3</v>
      </c>
      <c r="V89" s="8" t="str">
        <f aca="false">IF(A89="","",IF(AND(ISNUMBER(T89),ISNUMBER(U89)),IF(AND(T89&lt;=3,U89&lt;=3),"○","×"),""))</f>
        <v>×</v>
      </c>
      <c r="W89" s="8"/>
      <c r="X89" s="8"/>
      <c r="Y89" s="4" t="s">
        <v>7597</v>
      </c>
      <c r="Z89" s="4" t="s">
        <v>7679</v>
      </c>
      <c r="AA89" s="8" t="str">
        <v/>
      </c>
      <c r="AB89" s="8" t="str">
        <v/>
      </c>
      <c r="AC89" s="8" t="str">
        <v/>
      </c>
      <c r="AD89" s="8" t="str">
        <v/>
      </c>
      <c r="AE89" s="8" t="str">
        <v/>
      </c>
      <c r="AF89" s="8" t="str">
        <v/>
      </c>
      <c r="AG89" s="8" t="str">
        <v/>
      </c>
      <c r="AH89" s="8" t="str">
        <v/>
      </c>
      <c r="AI89" s="8" t="n">
        <v>11</v>
      </c>
      <c r="AJ89" s="8" t="str">
        <v>～59</v>
      </c>
      <c r="AK89" s="8" t="str">
        <v>0～4</v>
      </c>
      <c r="AL89" s="8" t="str">
        <v>10～19</v>
      </c>
      <c r="AM89" s="8" t="str">
        <v>100～119</v>
      </c>
      <c r="AN89" s="8" t="str">
        <v>8～11</v>
      </c>
      <c r="AO89" s="8" t="str">
        <f aca="false">IF(A89="","",IF(COUNTIFS(全馬データ!$A$2:$A$50000,A89,全馬データ!$B$2:$B$50000,B89,全馬データ!$C$2:$C$50000,C89,全馬データ!$D$2:$D$50000,E89,全馬データ!$K$2:$K$50000,"&lt;&gt;")=0,"",SUMIFS(全馬データ!$K$2:$K$50000,全馬データ!$A$2:$A$50000,A89,全馬データ!$B$2:$B$50000,B89,全馬データ!$C$2:$C$50000,C89,全馬データ!$D$2:$D$50000,E89)))</f>
        <v/>
      </c>
      <c r="AP89" s="8" t="str">
        <f aca="false">IF(A89="","",IF(AO89="","欠損",IF(AO89&lt;=1.1,"1.0～1.1",IF(AO89&lt;1.3,"1.2",IF(AO89&lt;1.5,"1.3～1.4",IF(AO89&lt;2,"1.5～1.9","2.0以上"))))))</f>
        <v>欠損</v>
      </c>
      <c r="AQ89" s="8" t="str">
        <f aca="false">IF(A89="","",IF(ISNUMBER(SEARCH("2歳",Z89)),"2歳戦",IF(ISNUMBER(SEARCH("3歳未勝利",Z89)),"3歳未勝利",IF(ISNUMBER(SEARCH("未勝利",Z89)),"その他未勝利",IF(ISNUMBER(SEARCH("G1",Z89)),"G1",IF(ISNUMBER(SEARCH("G2",Z89)),"G2",IF(ISNUMBER(SEARCH("G3",Z89)),"G3",IF(ISNUMBER(SEARCH("古馬条件",Z89)),"古馬条件戦",IF(ISNUMBER(SEARCH("重賞",Z89)),"重賞","分類不能")))))))))</f>
        <v>分類不能</v>
      </c>
      <c r="AR89" s="4" t="s">
        <v>7684</v>
      </c>
      <c r="AS89" s="8" t="s">
        <v>7618</v>
      </c>
      <c r="AT89" s="4" t="s">
        <v>7642</v>
      </c>
      <c r="AU89" s="8" t="s">
        <v>7643</v>
      </c>
      <c r="AV89" s="4" t="s">
        <v>7644</v>
      </c>
      <c r="AW89" s="8" t="s">
        <v>7636</v>
      </c>
      <c r="AX89" s="4" t="s">
        <v>7637</v>
      </c>
      <c r="AY89" s="8" t="s">
        <v>7608</v>
      </c>
      <c r="AZ89" s="4" t="s">
        <v>7642</v>
      </c>
      <c r="BA89" s="8" t="n">
        <v>3390</v>
      </c>
      <c r="BB89" s="8" t="s">
        <v>7618</v>
      </c>
      <c r="BC89" s="4" t="s">
        <v>7619</v>
      </c>
      <c r="BD89" s="8" t="s">
        <v>7645</v>
      </c>
      <c r="BE89" s="4" t="s">
        <v>7606</v>
      </c>
      <c r="BF89" s="8" t="s">
        <v>7607</v>
      </c>
      <c r="BG89" s="8" t="s">
        <v>7610</v>
      </c>
      <c r="BH89" s="4" t="s">
        <v>7646</v>
      </c>
      <c r="BI89" s="8" t="n">
        <v>8</v>
      </c>
      <c r="BJ89" s="8" t="s">
        <v>7647</v>
      </c>
      <c r="BK89" s="4" t="s">
        <v>7648</v>
      </c>
      <c r="BL89" s="8" t="s">
        <v>7647</v>
      </c>
      <c r="BM89" s="4" t="s">
        <v>7648</v>
      </c>
      <c r="BN89" s="8"/>
      <c r="BO89" s="8"/>
      <c r="BP89" s="8" t="s">
        <v>7610</v>
      </c>
      <c r="BQ89" s="8" t="str">
        <f aca="false">IF(A89="","",AT89)</f>
        <v>障害</v>
      </c>
      <c r="BR89" s="8" t="str">
        <f aca="false">IF(A89="","",IF(BA89&lt;=1200,"～1200",IF(BA89&lt;=1500,"1300～1500",IF(BA89=1600,"1600",IF(BA89&lt;=1800,"1700～1800",IF(BA89&lt;=2000,"1900～2000","2100以上"))))))</f>
        <v>2100以上</v>
      </c>
      <c r="BS89" s="8" t="str">
        <f aca="false">IF(A89="","",IF(AX89="G1","G1",IF(AX89="G2","G2",IF(AX89="G3","G3",IF(AX89="L","L","その他")))))</f>
        <v>その他</v>
      </c>
      <c r="BT89" s="8" t="str">
        <f aca="false">IF(A89="","",IF(BI89="","未結合",IF(D89=BI89,"一致","不一致")))</f>
        <v>一致</v>
      </c>
      <c r="BU89" s="8" t="str">
        <f aca="false">IF(A89="","",IF(BE89="牝馬限定","牝馬限定","その他"))</f>
        <v>その他</v>
      </c>
    </row>
    <row r="90" customFormat="false" ht="15.75" hidden="false" customHeight="false" outlineLevel="0" collapsed="false">
      <c r="A90" s="6" t="n">
        <v>46221</v>
      </c>
      <c r="B90" s="4" t="s">
        <v>1091</v>
      </c>
      <c r="C90" s="8" t="n">
        <v>5</v>
      </c>
      <c r="D90" s="8" t="n">
        <v>7</v>
      </c>
      <c r="E90" s="8" t="n">
        <v>1</v>
      </c>
      <c r="F90" s="4" t="s">
        <v>1137</v>
      </c>
      <c r="G90" s="8" t="n">
        <v>37</v>
      </c>
      <c r="H90" s="8" t="n">
        <v>5</v>
      </c>
      <c r="I90" s="4" t="s">
        <v>1141</v>
      </c>
      <c r="J90" s="8" t="n">
        <v>31</v>
      </c>
      <c r="K90" s="8" t="n">
        <v>2</v>
      </c>
      <c r="L90" s="4" t="s">
        <v>1138</v>
      </c>
      <c r="M90" s="8" t="n">
        <v>24</v>
      </c>
      <c r="N90" s="8" t="n">
        <f aca="false">IF(A90="","",G90-J90)</f>
        <v>6</v>
      </c>
      <c r="O90" s="8" t="n">
        <f aca="false">IF(A90="","",J90-M90)</f>
        <v>7</v>
      </c>
      <c r="P90" s="8" t="n">
        <f aca="false">IF(A90="","",G90+J90)</f>
        <v>68</v>
      </c>
      <c r="Q90" s="8" t="str">
        <f aca="false">IF(A90="","",IF(AND(Y90&lt;&gt;"参考",G90&gt;=ルール設定!$B$2),"○",""))</f>
        <v/>
      </c>
      <c r="R90" s="8" t="str">
        <f aca="false">IF(A90="","",IF(AND(Y90&lt;&gt;"参考",G90&gt;=ルール設定!$B$3,N90&gt;=ルール設定!$B$4),"○",""))</f>
        <v/>
      </c>
      <c r="S90" s="8" t="str">
        <f aca="false">IF(A90="","",IF(AND(Y90&lt;&gt;"参考",G90&gt;=ルール設定!$B$5,J90&gt;=ルール設定!$B$6,O90&gt;=ルール設定!$B$7),"○",""))</f>
        <v/>
      </c>
      <c r="T90" s="8" t="n">
        <v>1</v>
      </c>
      <c r="U90" s="8" t="n">
        <v>3</v>
      </c>
      <c r="V90" s="8" t="str">
        <f aca="false">IF(A90="","",IF(AND(ISNUMBER(T90),ISNUMBER(U90)),IF(AND(T90&lt;=3,U90&lt;=3),"○","×"),""))</f>
        <v>○</v>
      </c>
      <c r="W90" s="8" t="n">
        <v>110</v>
      </c>
      <c r="X90" s="8" t="n">
        <v>150</v>
      </c>
      <c r="Y90" s="4" t="s">
        <v>7597</v>
      </c>
      <c r="Z90" s="4" t="s">
        <v>7679</v>
      </c>
      <c r="AA90" s="8" t="str">
        <v/>
      </c>
      <c r="AB90" s="8" t="str">
        <v/>
      </c>
      <c r="AC90" s="8" t="str">
        <v/>
      </c>
      <c r="AD90" s="8" t="str">
        <v/>
      </c>
      <c r="AE90" s="8" t="str">
        <v/>
      </c>
      <c r="AF90" s="8" t="str">
        <v/>
      </c>
      <c r="AG90" s="8" t="str">
        <v/>
      </c>
      <c r="AH90" s="8" t="str">
        <v/>
      </c>
      <c r="AI90" s="8" t="n">
        <v>13</v>
      </c>
      <c r="AJ90" s="8" t="str">
        <v>～59</v>
      </c>
      <c r="AK90" s="8" t="str">
        <v>5～9</v>
      </c>
      <c r="AL90" s="8" t="str">
        <v>10～19</v>
      </c>
      <c r="AM90" s="8" t="str">
        <v>～99</v>
      </c>
      <c r="AN90" s="8" t="str">
        <v>7以下</v>
      </c>
      <c r="AO90" s="8" t="str">
        <f aca="false">IF(A90="","",IF(COUNTIFS(全馬データ!$A$2:$A$50000,A90,全馬データ!$B$2:$B$50000,B90,全馬データ!$C$2:$C$50000,C90,全馬データ!$D$2:$D$50000,E90,全馬データ!$K$2:$K$50000,"&lt;&gt;")=0,"",SUMIFS(全馬データ!$K$2:$K$50000,全馬データ!$A$2:$A$50000,A90,全馬データ!$B$2:$B$50000,B90,全馬データ!$C$2:$C$50000,C90,全馬データ!$D$2:$D$50000,E90)))</f>
        <v/>
      </c>
      <c r="AP90" s="8" t="str">
        <f aca="false">IF(A90="","",IF(AO90="","欠損",IF(AO90&lt;=1.1,"1.0～1.1",IF(AO90&lt;1.3,"1.2",IF(AO90&lt;1.5,"1.3～1.4",IF(AO90&lt;2,"1.5～1.9","2.0以上"))))))</f>
        <v>欠損</v>
      </c>
      <c r="AQ90" s="8" t="str">
        <f aca="false">IF(A90="","",IF(ISNUMBER(SEARCH("2歳",Z90)),"2歳戦",IF(ISNUMBER(SEARCH("3歳未勝利",Z90)),"3歳未勝利",IF(ISNUMBER(SEARCH("未勝利",Z90)),"その他未勝利",IF(ISNUMBER(SEARCH("G1",Z90)),"G1",IF(ISNUMBER(SEARCH("G2",Z90)),"G2",IF(ISNUMBER(SEARCH("G3",Z90)),"G3",IF(ISNUMBER(SEARCH("古馬条件",Z90)),"古馬条件戦",IF(ISNUMBER(SEARCH("重賞",Z90)),"重賞","分類不能")))))))))</f>
        <v>分類不能</v>
      </c>
      <c r="AR90" s="8"/>
      <c r="AS90" s="8" t="s">
        <v>7598</v>
      </c>
      <c r="AT90" s="8" t="s">
        <v>7599</v>
      </c>
      <c r="AU90" s="8" t="s">
        <v>7615</v>
      </c>
      <c r="AV90" s="4" t="s">
        <v>7616</v>
      </c>
      <c r="AW90" s="8"/>
      <c r="AX90" s="8"/>
      <c r="AY90" s="8" t="s">
        <v>7602</v>
      </c>
      <c r="AZ90" s="4" t="s">
        <v>7603</v>
      </c>
      <c r="BA90" s="8" t="n">
        <v>1200</v>
      </c>
      <c r="BB90" s="8" t="s">
        <v>7598</v>
      </c>
      <c r="BC90" s="4" t="s">
        <v>7604</v>
      </c>
      <c r="BD90" s="8" t="s">
        <v>7605</v>
      </c>
      <c r="BE90" s="4" t="s">
        <v>7606</v>
      </c>
      <c r="BF90" s="8" t="s">
        <v>7607</v>
      </c>
      <c r="BG90" s="8" t="s">
        <v>7608</v>
      </c>
      <c r="BH90" s="4" t="s">
        <v>7609</v>
      </c>
      <c r="BI90" s="8" t="n">
        <v>7</v>
      </c>
      <c r="BJ90" s="8" t="s">
        <v>7602</v>
      </c>
      <c r="BK90" s="4" t="s">
        <v>7653</v>
      </c>
      <c r="BL90" s="8" t="s">
        <v>7602</v>
      </c>
      <c r="BM90" s="4" t="s">
        <v>7620</v>
      </c>
      <c r="BN90" s="8" t="s">
        <v>7602</v>
      </c>
      <c r="BO90" s="8" t="s">
        <v>7613</v>
      </c>
      <c r="BP90" s="8" t="s">
        <v>7610</v>
      </c>
      <c r="BQ90" s="8" t="str">
        <f aca="false">IF(A90="","",AT90)</f>
        <v>2歳</v>
      </c>
      <c r="BR90" s="8" t="str">
        <f aca="false">IF(A90="","",IF(BA90&lt;=1200,"～1200",IF(BA90&lt;=1500,"1300～1500",IF(BA90=1600,"1600",IF(BA90&lt;=1800,"1700～1800",IF(BA90&lt;=2000,"1900～2000","2100以上"))))))</f>
        <v>～1200</v>
      </c>
      <c r="BS90" s="8" t="str">
        <f aca="false">IF(A90="","",IF(AX90="G1","G1",IF(AX90="G2","G2",IF(AX90="G3","G3",IF(AX90="L","L","その他")))))</f>
        <v>その他</v>
      </c>
      <c r="BT90" s="8" t="str">
        <f aca="false">IF(A90="","",IF(BI90="","未結合",IF(D90=BI90,"一致","不一致")))</f>
        <v>一致</v>
      </c>
      <c r="BU90" s="8" t="str">
        <f aca="false">IF(A90="","",IF(BE90="牝馬限定","牝馬限定","その他"))</f>
        <v>その他</v>
      </c>
    </row>
    <row r="91" customFormat="false" ht="15.75" hidden="false" customHeight="false" outlineLevel="0" collapsed="false">
      <c r="A91" s="6" t="n">
        <v>46221</v>
      </c>
      <c r="B91" s="4" t="s">
        <v>1091</v>
      </c>
      <c r="C91" s="8" t="n">
        <v>6</v>
      </c>
      <c r="D91" s="8" t="n">
        <v>13</v>
      </c>
      <c r="E91" s="8" t="n">
        <v>12</v>
      </c>
      <c r="F91" s="4" t="s">
        <v>1155</v>
      </c>
      <c r="G91" s="8" t="n">
        <v>65</v>
      </c>
      <c r="H91" s="8" t="n">
        <v>6</v>
      </c>
      <c r="I91" s="4" t="s">
        <v>1149</v>
      </c>
      <c r="J91" s="8" t="n">
        <v>52</v>
      </c>
      <c r="K91" s="8" t="n">
        <v>2</v>
      </c>
      <c r="L91" s="4" t="s">
        <v>1145</v>
      </c>
      <c r="M91" s="8" t="n">
        <v>39</v>
      </c>
      <c r="N91" s="8" t="n">
        <f aca="false">IF(A91="","",G91-J91)</f>
        <v>13</v>
      </c>
      <c r="O91" s="8" t="n">
        <f aca="false">IF(A91="","",J91-M91)</f>
        <v>13</v>
      </c>
      <c r="P91" s="8" t="n">
        <f aca="false">IF(A91="","",G91+J91)</f>
        <v>117</v>
      </c>
      <c r="Q91" s="8" t="str">
        <f aca="false">IF(A91="","",IF(AND(Y91&lt;&gt;"参考",G91&gt;=ルール設定!$B$2),"○",""))</f>
        <v/>
      </c>
      <c r="R91" s="8" t="str">
        <f aca="false">IF(A91="","",IF(AND(Y91&lt;&gt;"参考",G91&gt;=ルール設定!$B$3,N91&gt;=ルール設定!$B$4),"○",""))</f>
        <v/>
      </c>
      <c r="S91" s="8" t="str">
        <f aca="false">IF(A91="","",IF(AND(Y91&lt;&gt;"参考",G91&gt;=ルール設定!$B$5,J91&gt;=ルール設定!$B$6,O91&gt;=ルール設定!$B$7),"○",""))</f>
        <v/>
      </c>
      <c r="T91" s="8" t="n">
        <v>2</v>
      </c>
      <c r="U91" s="8" t="n">
        <v>1</v>
      </c>
      <c r="V91" s="8" t="str">
        <f aca="false">IF(A91="","",IF(AND(ISNUMBER(T91),ISNUMBER(U91)),IF(AND(T91&lt;=3,U91&lt;=3),"○","×"),""))</f>
        <v>○</v>
      </c>
      <c r="W91" s="8" t="n">
        <v>150</v>
      </c>
      <c r="X91" s="8" t="n">
        <v>220</v>
      </c>
      <c r="Y91" s="4" t="s">
        <v>7597</v>
      </c>
      <c r="Z91" s="4" t="s">
        <v>7679</v>
      </c>
      <c r="AA91" s="8" t="str">
        <v/>
      </c>
      <c r="AB91" s="8" t="str">
        <v/>
      </c>
      <c r="AC91" s="8" t="str">
        <v/>
      </c>
      <c r="AD91" s="8" t="str">
        <v/>
      </c>
      <c r="AE91" s="8" t="str">
        <v/>
      </c>
      <c r="AF91" s="8" t="str">
        <v/>
      </c>
      <c r="AG91" s="8" t="str">
        <v/>
      </c>
      <c r="AH91" s="8" t="str">
        <v/>
      </c>
      <c r="AI91" s="8" t="n">
        <v>26</v>
      </c>
      <c r="AJ91" s="8" t="str">
        <v>60～69</v>
      </c>
      <c r="AK91" s="8" t="str">
        <v>10～19</v>
      </c>
      <c r="AL91" s="8" t="str">
        <v>20～29</v>
      </c>
      <c r="AM91" s="8" t="str">
        <v>100～119</v>
      </c>
      <c r="AN91" s="8" t="str">
        <v>12～14</v>
      </c>
      <c r="AO91" s="8" t="str">
        <f aca="false">IF(A91="","",IF(COUNTIFS(全馬データ!$A$2:$A$50000,A91,全馬データ!$B$2:$B$50000,B91,全馬データ!$C$2:$C$50000,C91,全馬データ!$D$2:$D$50000,E91,全馬データ!$K$2:$K$50000,"&lt;&gt;")=0,"",SUMIFS(全馬データ!$K$2:$K$50000,全馬データ!$A$2:$A$50000,A91,全馬データ!$B$2:$B$50000,B91,全馬データ!$C$2:$C$50000,C91,全馬データ!$D$2:$D$50000,E91)))</f>
        <v/>
      </c>
      <c r="AP91" s="8" t="str">
        <f aca="false">IF(A91="","",IF(AO91="","欠損",IF(AO91&lt;=1.1,"1.0～1.1",IF(AO91&lt;1.3,"1.2",IF(AO91&lt;1.5,"1.3～1.4",IF(AO91&lt;2,"1.5～1.9","2.0以上"))))))</f>
        <v>欠損</v>
      </c>
      <c r="AQ91" s="8" t="str">
        <f aca="false">IF(A91="","",IF(ISNUMBER(SEARCH("2歳",Z91)),"2歳戦",IF(ISNUMBER(SEARCH("3歳未勝利",Z91)),"3歳未勝利",IF(ISNUMBER(SEARCH("未勝利",Z91)),"その他未勝利",IF(ISNUMBER(SEARCH("G1",Z91)),"G1",IF(ISNUMBER(SEARCH("G2",Z91)),"G2",IF(ISNUMBER(SEARCH("G3",Z91)),"G3",IF(ISNUMBER(SEARCH("古馬条件",Z91)),"古馬条件戦",IF(ISNUMBER(SEARCH("重賞",Z91)),"重賞","分類不能")))))))))</f>
        <v>分類不能</v>
      </c>
      <c r="AR91" s="8"/>
      <c r="AS91" s="8" t="s">
        <v>7623</v>
      </c>
      <c r="AT91" s="8" t="s">
        <v>7624</v>
      </c>
      <c r="AU91" s="8" t="s">
        <v>7600</v>
      </c>
      <c r="AV91" s="4" t="s">
        <v>7601</v>
      </c>
      <c r="AW91" s="8"/>
      <c r="AX91" s="8"/>
      <c r="AY91" s="8" t="s">
        <v>7610</v>
      </c>
      <c r="AZ91" s="4" t="s">
        <v>7617</v>
      </c>
      <c r="BA91" s="8" t="n">
        <v>1700</v>
      </c>
      <c r="BB91" s="8" t="s">
        <v>7659</v>
      </c>
      <c r="BC91" s="4" t="s">
        <v>7619</v>
      </c>
      <c r="BD91" s="8" t="s">
        <v>7625</v>
      </c>
      <c r="BE91" s="4" t="s">
        <v>7606</v>
      </c>
      <c r="BF91" s="8" t="s">
        <v>7607</v>
      </c>
      <c r="BG91" s="8" t="s">
        <v>7608</v>
      </c>
      <c r="BH91" s="4" t="s">
        <v>7609</v>
      </c>
      <c r="BI91" s="8" t="n">
        <v>13</v>
      </c>
      <c r="BJ91" s="8" t="s">
        <v>7602</v>
      </c>
      <c r="BK91" s="4" t="s">
        <v>7653</v>
      </c>
      <c r="BL91" s="8" t="s">
        <v>7602</v>
      </c>
      <c r="BM91" s="4" t="s">
        <v>7620</v>
      </c>
      <c r="BN91" s="8"/>
      <c r="BO91" s="8"/>
      <c r="BP91" s="8" t="s">
        <v>7610</v>
      </c>
      <c r="BQ91" s="8" t="str">
        <f aca="false">IF(A91="","",AT91)</f>
        <v>3歳</v>
      </c>
      <c r="BR91" s="8" t="str">
        <f aca="false">IF(A91="","",IF(BA91&lt;=1200,"～1200",IF(BA91&lt;=1500,"1300～1500",IF(BA91=1600,"1600",IF(BA91&lt;=1800,"1700～1800",IF(BA91&lt;=2000,"1900～2000","2100以上"))))))</f>
        <v>1700～1800</v>
      </c>
      <c r="BS91" s="8" t="str">
        <f aca="false">IF(A91="","",IF(AX91="G1","G1",IF(AX91="G2","G2",IF(AX91="G3","G3",IF(AX91="L","L","その他")))))</f>
        <v>その他</v>
      </c>
      <c r="BT91" s="8" t="str">
        <f aca="false">IF(A91="","",IF(BI91="","未結合",IF(D91=BI91,"一致","不一致")))</f>
        <v>一致</v>
      </c>
      <c r="BU91" s="8" t="str">
        <f aca="false">IF(A91="","",IF(BE91="牝馬限定","牝馬限定","その他"))</f>
        <v>その他</v>
      </c>
    </row>
    <row r="92" customFormat="false" ht="15.75" hidden="false" customHeight="false" outlineLevel="0" collapsed="false">
      <c r="A92" s="6" t="n">
        <v>46221</v>
      </c>
      <c r="B92" s="4" t="s">
        <v>1091</v>
      </c>
      <c r="C92" s="8" t="n">
        <v>7</v>
      </c>
      <c r="D92" s="8" t="n">
        <v>14</v>
      </c>
      <c r="E92" s="8" t="n">
        <v>13</v>
      </c>
      <c r="F92" s="4" t="s">
        <v>1169</v>
      </c>
      <c r="G92" s="8" t="n">
        <v>58</v>
      </c>
      <c r="H92" s="8" t="n">
        <v>8</v>
      </c>
      <c r="I92" s="4" t="s">
        <v>1164</v>
      </c>
      <c r="J92" s="8" t="n">
        <v>39</v>
      </c>
      <c r="K92" s="8" t="n">
        <v>11</v>
      </c>
      <c r="L92" s="4" t="s">
        <v>1167</v>
      </c>
      <c r="M92" s="8" t="n">
        <v>39</v>
      </c>
      <c r="N92" s="8" t="n">
        <f aca="false">IF(A92="","",G92-J92)</f>
        <v>19</v>
      </c>
      <c r="O92" s="8" t="n">
        <f aca="false">IF(A92="","",J92-M92)</f>
        <v>0</v>
      </c>
      <c r="P92" s="8" t="n">
        <f aca="false">IF(A92="","",G92+J92)</f>
        <v>97</v>
      </c>
      <c r="Q92" s="8" t="str">
        <f aca="false">IF(A92="","",IF(AND(Y92&lt;&gt;"参考",G92&gt;=ルール設定!$B$2),"○",""))</f>
        <v/>
      </c>
      <c r="R92" s="8" t="str">
        <f aca="false">IF(A92="","",IF(AND(Y92&lt;&gt;"参考",G92&gt;=ルール設定!$B$3,N92&gt;=ルール設定!$B$4),"○",""))</f>
        <v/>
      </c>
      <c r="S92" s="8" t="str">
        <f aca="false">IF(A92="","",IF(AND(Y92&lt;&gt;"参考",G92&gt;=ルール設定!$B$5,J92&gt;=ルール設定!$B$6,O92&gt;=ルール設定!$B$7),"○",""))</f>
        <v/>
      </c>
      <c r="T92" s="8" t="n">
        <v>1</v>
      </c>
      <c r="U92" s="8" t="n">
        <v>2</v>
      </c>
      <c r="V92" s="8" t="str">
        <f aca="false">IF(A92="","",IF(AND(ISNUMBER(T92),ISNUMBER(U92)),IF(AND(T92&lt;=3,U92&lt;=3),"○","×"),""))</f>
        <v>○</v>
      </c>
      <c r="W92" s="8" t="n">
        <v>140</v>
      </c>
      <c r="X92" s="8" t="n">
        <v>370</v>
      </c>
      <c r="Y92" s="4" t="s">
        <v>7597</v>
      </c>
      <c r="Z92" s="4" t="s">
        <v>7679</v>
      </c>
      <c r="AA92" s="8" t="str">
        <v/>
      </c>
      <c r="AB92" s="8" t="str">
        <v/>
      </c>
      <c r="AC92" s="8" t="str">
        <v/>
      </c>
      <c r="AD92" s="8" t="str">
        <v/>
      </c>
      <c r="AE92" s="8" t="str">
        <v/>
      </c>
      <c r="AF92" s="8" t="str">
        <v/>
      </c>
      <c r="AG92" s="8" t="str">
        <v/>
      </c>
      <c r="AH92" s="8" t="str">
        <v/>
      </c>
      <c r="AI92" s="8" t="n">
        <v>19</v>
      </c>
      <c r="AJ92" s="8" t="str">
        <v>～59</v>
      </c>
      <c r="AK92" s="8" t="str">
        <v>10～19</v>
      </c>
      <c r="AL92" s="8" t="str">
        <v>10～19</v>
      </c>
      <c r="AM92" s="8" t="str">
        <v>～99</v>
      </c>
      <c r="AN92" s="8" t="str">
        <v>12～14</v>
      </c>
      <c r="AO92" s="8" t="str">
        <f aca="false">IF(A92="","",IF(COUNTIFS(全馬データ!$A$2:$A$50000,A92,全馬データ!$B$2:$B$50000,B92,全馬データ!$C$2:$C$50000,C92,全馬データ!$D$2:$D$50000,E92,全馬データ!$K$2:$K$50000,"&lt;&gt;")=0,"",SUMIFS(全馬データ!$K$2:$K$50000,全馬データ!$A$2:$A$50000,A92,全馬データ!$B$2:$B$50000,B92,全馬データ!$C$2:$C$50000,C92,全馬データ!$D$2:$D$50000,E92)))</f>
        <v/>
      </c>
      <c r="AP92" s="8" t="str">
        <f aca="false">IF(A92="","",IF(AO92="","欠損",IF(AO92&lt;=1.1,"1.0～1.1",IF(AO92&lt;1.3,"1.2",IF(AO92&lt;1.5,"1.3～1.4",IF(AO92&lt;2,"1.5～1.9","2.0以上"))))))</f>
        <v>欠損</v>
      </c>
      <c r="AQ92" s="8" t="str">
        <f aca="false">IF(A92="","",IF(ISNUMBER(SEARCH("2歳",Z92)),"2歳戦",IF(ISNUMBER(SEARCH("3歳未勝利",Z92)),"3歳未勝利",IF(ISNUMBER(SEARCH("未勝利",Z92)),"その他未勝利",IF(ISNUMBER(SEARCH("G1",Z92)),"G1",IF(ISNUMBER(SEARCH("G2",Z92)),"G2",IF(ISNUMBER(SEARCH("G3",Z92)),"G3",IF(ISNUMBER(SEARCH("古馬条件",Z92)),"古馬条件戦",IF(ISNUMBER(SEARCH("重賞",Z92)),"重賞","分類不能")))))))))</f>
        <v>分類不能</v>
      </c>
      <c r="AR92" s="8"/>
      <c r="AS92" s="8" t="s">
        <v>7623</v>
      </c>
      <c r="AT92" s="8" t="s">
        <v>7624</v>
      </c>
      <c r="AU92" s="8" t="s">
        <v>7600</v>
      </c>
      <c r="AV92" s="4" t="s">
        <v>7601</v>
      </c>
      <c r="AW92" s="8"/>
      <c r="AX92" s="8"/>
      <c r="AY92" s="8" t="s">
        <v>7602</v>
      </c>
      <c r="AZ92" s="4" t="s">
        <v>7603</v>
      </c>
      <c r="BA92" s="8" t="n">
        <v>1800</v>
      </c>
      <c r="BB92" s="8" t="s">
        <v>7598</v>
      </c>
      <c r="BC92" s="4" t="s">
        <v>7604</v>
      </c>
      <c r="BD92" s="8" t="s">
        <v>7605</v>
      </c>
      <c r="BE92" s="4" t="s">
        <v>7606</v>
      </c>
      <c r="BF92" s="8" t="s">
        <v>7607</v>
      </c>
      <c r="BG92" s="8" t="s">
        <v>7608</v>
      </c>
      <c r="BH92" s="4" t="s">
        <v>7609</v>
      </c>
      <c r="BI92" s="8" t="n">
        <v>14</v>
      </c>
      <c r="BJ92" s="8" t="s">
        <v>7602</v>
      </c>
      <c r="BK92" s="4" t="s">
        <v>7653</v>
      </c>
      <c r="BL92" s="8" t="s">
        <v>7602</v>
      </c>
      <c r="BM92" s="4" t="s">
        <v>7620</v>
      </c>
      <c r="BN92" s="8" t="s">
        <v>7602</v>
      </c>
      <c r="BO92" s="8" t="s">
        <v>7613</v>
      </c>
      <c r="BP92" s="8" t="s">
        <v>7610</v>
      </c>
      <c r="BQ92" s="8" t="str">
        <f aca="false">IF(A92="","",AT92)</f>
        <v>3歳</v>
      </c>
      <c r="BR92" s="8" t="str">
        <f aca="false">IF(A92="","",IF(BA92&lt;=1200,"～1200",IF(BA92&lt;=1500,"1300～1500",IF(BA92=1600,"1600",IF(BA92&lt;=1800,"1700～1800",IF(BA92&lt;=2000,"1900～2000","2100以上"))))))</f>
        <v>1700～1800</v>
      </c>
      <c r="BS92" s="8" t="str">
        <f aca="false">IF(A92="","",IF(AX92="G1","G1",IF(AX92="G2","G2",IF(AX92="G3","G3",IF(AX92="L","L","その他")))))</f>
        <v>その他</v>
      </c>
      <c r="BT92" s="8" t="str">
        <f aca="false">IF(A92="","",IF(BI92="","未結合",IF(D92=BI92,"一致","不一致")))</f>
        <v>一致</v>
      </c>
      <c r="BU92" s="8" t="str">
        <f aca="false">IF(A92="","",IF(BE92="牝馬限定","牝馬限定","その他"))</f>
        <v>その他</v>
      </c>
    </row>
    <row r="93" customFormat="false" ht="15.75" hidden="false" customHeight="false" outlineLevel="0" collapsed="false">
      <c r="A93" s="6" t="n">
        <v>46221</v>
      </c>
      <c r="B93" s="4" t="s">
        <v>1091</v>
      </c>
      <c r="C93" s="8" t="n">
        <v>8</v>
      </c>
      <c r="D93" s="8" t="n">
        <v>10</v>
      </c>
      <c r="E93" s="8" t="n">
        <v>4</v>
      </c>
      <c r="F93" s="4" t="s">
        <v>1174</v>
      </c>
      <c r="G93" s="8" t="n">
        <v>62</v>
      </c>
      <c r="H93" s="8" t="n">
        <v>5</v>
      </c>
      <c r="I93" s="4" t="s">
        <v>1175</v>
      </c>
      <c r="J93" s="8" t="n">
        <v>50</v>
      </c>
      <c r="K93" s="8" t="n">
        <v>3</v>
      </c>
      <c r="L93" s="4" t="s">
        <v>1173</v>
      </c>
      <c r="M93" s="8" t="n">
        <v>39</v>
      </c>
      <c r="N93" s="8" t="n">
        <f aca="false">IF(A93="","",G93-J93)</f>
        <v>12</v>
      </c>
      <c r="O93" s="8" t="n">
        <f aca="false">IF(A93="","",J93-M93)</f>
        <v>11</v>
      </c>
      <c r="P93" s="8" t="n">
        <f aca="false">IF(A93="","",G93+J93)</f>
        <v>112</v>
      </c>
      <c r="Q93" s="8" t="str">
        <f aca="false">IF(A93="","",IF(AND(Y93&lt;&gt;"参考",G93&gt;=ルール設定!$B$2),"○",""))</f>
        <v/>
      </c>
      <c r="R93" s="8" t="str">
        <f aca="false">IF(A93="","",IF(AND(Y93&lt;&gt;"参考",G93&gt;=ルール設定!$B$3,N93&gt;=ルール設定!$B$4),"○",""))</f>
        <v/>
      </c>
      <c r="S93" s="8" t="str">
        <f aca="false">IF(A93="","",IF(AND(Y93&lt;&gt;"参考",G93&gt;=ルール設定!$B$5,J93&gt;=ルール設定!$B$6,O93&gt;=ルール設定!$B$7),"○",""))</f>
        <v/>
      </c>
      <c r="T93" s="8" t="n">
        <v>4</v>
      </c>
      <c r="U93" s="8" t="n">
        <v>2</v>
      </c>
      <c r="V93" s="8" t="str">
        <f aca="false">IF(A93="","",IF(AND(ISNUMBER(T93),ISNUMBER(U93)),IF(AND(T93&lt;=3,U93&lt;=3),"○","×"),""))</f>
        <v>×</v>
      </c>
      <c r="W93" s="8"/>
      <c r="X93" s="8"/>
      <c r="Y93" s="4" t="s">
        <v>7597</v>
      </c>
      <c r="Z93" s="4" t="s">
        <v>7679</v>
      </c>
      <c r="AA93" s="8" t="str">
        <v/>
      </c>
      <c r="AB93" s="8" t="str">
        <v/>
      </c>
      <c r="AC93" s="8" t="str">
        <v/>
      </c>
      <c r="AD93" s="8" t="str">
        <v/>
      </c>
      <c r="AE93" s="8" t="str">
        <v/>
      </c>
      <c r="AF93" s="8" t="str">
        <v/>
      </c>
      <c r="AG93" s="8" t="str">
        <v/>
      </c>
      <c r="AH93" s="8" t="str">
        <v/>
      </c>
      <c r="AI93" s="8" t="n">
        <v>23</v>
      </c>
      <c r="AJ93" s="8" t="str">
        <v>60～69</v>
      </c>
      <c r="AK93" s="8" t="str">
        <v>10～19</v>
      </c>
      <c r="AL93" s="8" t="str">
        <v>20～29</v>
      </c>
      <c r="AM93" s="8" t="str">
        <v>100～119</v>
      </c>
      <c r="AN93" s="8" t="str">
        <v>8～11</v>
      </c>
      <c r="AO93" s="8" t="str">
        <f aca="false">IF(A93="","",IF(COUNTIFS(全馬データ!$A$2:$A$50000,A93,全馬データ!$B$2:$B$50000,B93,全馬データ!$C$2:$C$50000,C93,全馬データ!$D$2:$D$50000,E93,全馬データ!$K$2:$K$50000,"&lt;&gt;")=0,"",SUMIFS(全馬データ!$K$2:$K$50000,全馬データ!$A$2:$A$50000,A93,全馬データ!$B$2:$B$50000,B93,全馬データ!$C$2:$C$50000,C93,全馬データ!$D$2:$D$50000,E93)))</f>
        <v/>
      </c>
      <c r="AP93" s="8" t="str">
        <f aca="false">IF(A93="","",IF(AO93="","欠損",IF(AO93&lt;=1.1,"1.0～1.1",IF(AO93&lt;1.3,"1.2",IF(AO93&lt;1.5,"1.3～1.4",IF(AO93&lt;2,"1.5～1.9","2.0以上"))))))</f>
        <v>欠損</v>
      </c>
      <c r="AQ93" s="8" t="str">
        <f aca="false">IF(A93="","",IF(ISNUMBER(SEARCH("2歳",Z93)),"2歳戦",IF(ISNUMBER(SEARCH("3歳未勝利",Z93)),"3歳未勝利",IF(ISNUMBER(SEARCH("未勝利",Z93)),"その他未勝利",IF(ISNUMBER(SEARCH("G1",Z93)),"G1",IF(ISNUMBER(SEARCH("G2",Z93)),"G2",IF(ISNUMBER(SEARCH("G3",Z93)),"G3",IF(ISNUMBER(SEARCH("古馬条件",Z93)),"古馬条件戦",IF(ISNUMBER(SEARCH("重賞",Z93)),"重賞","分類不能")))))))))</f>
        <v>分類不能</v>
      </c>
      <c r="AR93" s="8"/>
      <c r="AS93" s="8" t="s">
        <v>7626</v>
      </c>
      <c r="AT93" s="8" t="s">
        <v>7627</v>
      </c>
      <c r="AU93" s="8" t="s">
        <v>7628</v>
      </c>
      <c r="AV93" s="8" t="s">
        <v>7629</v>
      </c>
      <c r="AW93" s="8"/>
      <c r="AX93" s="8"/>
      <c r="AY93" s="8" t="s">
        <v>7602</v>
      </c>
      <c r="AZ93" s="4" t="s">
        <v>7603</v>
      </c>
      <c r="BA93" s="8" t="n">
        <v>2000</v>
      </c>
      <c r="BB93" s="8" t="s">
        <v>7598</v>
      </c>
      <c r="BC93" s="4" t="s">
        <v>7604</v>
      </c>
      <c r="BD93" s="8" t="s">
        <v>7625</v>
      </c>
      <c r="BE93" s="4" t="s">
        <v>7606</v>
      </c>
      <c r="BF93" s="8" t="s">
        <v>7607</v>
      </c>
      <c r="BG93" s="8" t="s">
        <v>7631</v>
      </c>
      <c r="BH93" s="4" t="s">
        <v>7632</v>
      </c>
      <c r="BI93" s="8" t="n">
        <v>10</v>
      </c>
      <c r="BJ93" s="8" t="s">
        <v>7602</v>
      </c>
      <c r="BK93" s="4" t="s">
        <v>7653</v>
      </c>
      <c r="BL93" s="8" t="s">
        <v>7602</v>
      </c>
      <c r="BM93" s="4" t="s">
        <v>7620</v>
      </c>
      <c r="BN93" s="8" t="s">
        <v>7602</v>
      </c>
      <c r="BO93" s="8" t="s">
        <v>7613</v>
      </c>
      <c r="BP93" s="8" t="s">
        <v>7610</v>
      </c>
      <c r="BQ93" s="8" t="str">
        <f aca="false">IF(A93="","",AT93)</f>
        <v>3歳以上</v>
      </c>
      <c r="BR93" s="8" t="str">
        <f aca="false">IF(A93="","",IF(BA93&lt;=1200,"～1200",IF(BA93&lt;=1500,"1300～1500",IF(BA93=1600,"1600",IF(BA93&lt;=1800,"1700～1800",IF(BA93&lt;=2000,"1900～2000","2100以上"))))))</f>
        <v>1900～2000</v>
      </c>
      <c r="BS93" s="8" t="str">
        <f aca="false">IF(A93="","",IF(AX93="G1","G1",IF(AX93="G2","G2",IF(AX93="G3","G3",IF(AX93="L","L","その他")))))</f>
        <v>その他</v>
      </c>
      <c r="BT93" s="8" t="str">
        <f aca="false">IF(A93="","",IF(BI93="","未結合",IF(D93=BI93,"一致","不一致")))</f>
        <v>一致</v>
      </c>
      <c r="BU93" s="8" t="str">
        <f aca="false">IF(A93="","",IF(BE93="牝馬限定","牝馬限定","その他"))</f>
        <v>その他</v>
      </c>
    </row>
    <row r="94" customFormat="false" ht="15.75" hidden="false" customHeight="false" outlineLevel="0" collapsed="false">
      <c r="A94" s="6" t="n">
        <v>46221</v>
      </c>
      <c r="B94" s="4" t="s">
        <v>1091</v>
      </c>
      <c r="C94" s="8" t="n">
        <v>9</v>
      </c>
      <c r="D94" s="8" t="n">
        <v>18</v>
      </c>
      <c r="E94" s="8" t="n">
        <v>16</v>
      </c>
      <c r="F94" s="4" t="s">
        <v>1196</v>
      </c>
      <c r="G94" s="8" t="n">
        <v>67</v>
      </c>
      <c r="H94" s="8" t="n">
        <v>3</v>
      </c>
      <c r="I94" s="4" t="s">
        <v>1183</v>
      </c>
      <c r="J94" s="8" t="n">
        <v>65</v>
      </c>
      <c r="K94" s="8" t="n">
        <v>11</v>
      </c>
      <c r="L94" s="4" t="s">
        <v>1191</v>
      </c>
      <c r="M94" s="8" t="n">
        <v>41</v>
      </c>
      <c r="N94" s="8" t="n">
        <f aca="false">IF(A94="","",G94-J94)</f>
        <v>2</v>
      </c>
      <c r="O94" s="8" t="n">
        <f aca="false">IF(A94="","",J94-M94)</f>
        <v>24</v>
      </c>
      <c r="P94" s="8" t="n">
        <f aca="false">IF(A94="","",G94+J94)</f>
        <v>132</v>
      </c>
      <c r="Q94" s="8" t="str">
        <f aca="false">IF(A94="","",IF(AND(Y94&lt;&gt;"参考",G94&gt;=ルール設定!$B$2),"○",""))</f>
        <v/>
      </c>
      <c r="R94" s="8" t="str">
        <f aca="false">IF(A94="","",IF(AND(Y94&lt;&gt;"参考",G94&gt;=ルール設定!$B$3,N94&gt;=ルール設定!$B$4),"○",""))</f>
        <v/>
      </c>
      <c r="S94" s="8" t="str">
        <f aca="false">IF(A94="","",IF(AND(Y94&lt;&gt;"参考",G94&gt;=ルール設定!$B$5,J94&gt;=ルール設定!$B$6,O94&gt;=ルール設定!$B$7),"○",""))</f>
        <v>○</v>
      </c>
      <c r="T94" s="8" t="n">
        <v>1</v>
      </c>
      <c r="U94" s="8" t="n">
        <v>4</v>
      </c>
      <c r="V94" s="8" t="str">
        <f aca="false">IF(A94="","",IF(AND(ISNUMBER(T94),ISNUMBER(U94)),IF(AND(T94&lt;=3,U94&lt;=3),"○","×"),""))</f>
        <v>×</v>
      </c>
      <c r="W94" s="8" t="n">
        <v>120</v>
      </c>
      <c r="X94" s="8"/>
      <c r="Y94" s="4" t="s">
        <v>7597</v>
      </c>
      <c r="Z94" s="4" t="s">
        <v>7679</v>
      </c>
      <c r="AA94" s="8" t="str">
        <v/>
      </c>
      <c r="AB94" s="8" t="str">
        <v/>
      </c>
      <c r="AC94" s="8" t="str">
        <v/>
      </c>
      <c r="AD94" s="8" t="str">
        <v/>
      </c>
      <c r="AE94" s="8" t="str">
        <v/>
      </c>
      <c r="AF94" s="8" t="str">
        <v/>
      </c>
      <c r="AG94" s="8" t="str">
        <v/>
      </c>
      <c r="AH94" s="8" t="str">
        <v/>
      </c>
      <c r="AI94" s="8" t="n">
        <v>26</v>
      </c>
      <c r="AJ94" s="8" t="str">
        <v>60～69</v>
      </c>
      <c r="AK94" s="8" t="str">
        <v>0～4</v>
      </c>
      <c r="AL94" s="8" t="str">
        <v>20～29</v>
      </c>
      <c r="AM94" s="8" t="str">
        <v>120～139</v>
      </c>
      <c r="AN94" s="8" t="str">
        <v>15以上</v>
      </c>
      <c r="AO94" s="8" t="str">
        <f aca="false">IF(A94="","",IF(COUNTIFS(全馬データ!$A$2:$A$50000,A94,全馬データ!$B$2:$B$50000,B94,全馬データ!$C$2:$C$50000,C94,全馬データ!$D$2:$D$50000,E94,全馬データ!$K$2:$K$50000,"&lt;&gt;")=0,"",SUMIFS(全馬データ!$K$2:$K$50000,全馬データ!$A$2:$A$50000,A94,全馬データ!$B$2:$B$50000,B94,全馬データ!$C$2:$C$50000,C94,全馬データ!$D$2:$D$50000,E94)))</f>
        <v/>
      </c>
      <c r="AP94" s="8" t="str">
        <f aca="false">IF(A94="","",IF(AO94="","欠損",IF(AO94&lt;=1.1,"1.0～1.1",IF(AO94&lt;1.3,"1.2",IF(AO94&lt;1.5,"1.3～1.4",IF(AO94&lt;2,"1.5～1.9","2.0以上"))))))</f>
        <v>欠損</v>
      </c>
      <c r="AQ94" s="8" t="str">
        <f aca="false">IF(A94="","",IF(ISNUMBER(SEARCH("2歳",Z94)),"2歳戦",IF(ISNUMBER(SEARCH("3歳未勝利",Z94)),"3歳未勝利",IF(ISNUMBER(SEARCH("未勝利",Z94)),"その他未勝利",IF(ISNUMBER(SEARCH("G1",Z94)),"G1",IF(ISNUMBER(SEARCH("G2",Z94)),"G2",IF(ISNUMBER(SEARCH("G3",Z94)),"G3",IF(ISNUMBER(SEARCH("古馬条件",Z94)),"古馬条件戦",IF(ISNUMBER(SEARCH("重賞",Z94)),"重賞","分類不能")))))))))</f>
        <v>分類不能</v>
      </c>
      <c r="AR94" s="4" t="s">
        <v>7685</v>
      </c>
      <c r="AS94" s="8" t="s">
        <v>7598</v>
      </c>
      <c r="AT94" s="8" t="s">
        <v>7599</v>
      </c>
      <c r="AU94" s="8" t="s">
        <v>7643</v>
      </c>
      <c r="AV94" s="4" t="s">
        <v>7644</v>
      </c>
      <c r="AW94" s="8" t="s">
        <v>7636</v>
      </c>
      <c r="AX94" s="4" t="s">
        <v>7637</v>
      </c>
      <c r="AY94" s="8" t="s">
        <v>7602</v>
      </c>
      <c r="AZ94" s="4" t="s">
        <v>7603</v>
      </c>
      <c r="BA94" s="8" t="n">
        <v>1200</v>
      </c>
      <c r="BB94" s="8" t="s">
        <v>7598</v>
      </c>
      <c r="BC94" s="4" t="s">
        <v>7604</v>
      </c>
      <c r="BD94" s="8" t="s">
        <v>7686</v>
      </c>
      <c r="BE94" s="4" t="s">
        <v>7606</v>
      </c>
      <c r="BF94" s="8" t="s">
        <v>7607</v>
      </c>
      <c r="BG94" s="8" t="s">
        <v>7610</v>
      </c>
      <c r="BH94" s="4" t="s">
        <v>7646</v>
      </c>
      <c r="BI94" s="8" t="n">
        <v>18</v>
      </c>
      <c r="BJ94" s="8" t="s">
        <v>7602</v>
      </c>
      <c r="BK94" s="4" t="s">
        <v>7653</v>
      </c>
      <c r="BL94" s="8" t="s">
        <v>7602</v>
      </c>
      <c r="BM94" s="4" t="s">
        <v>7620</v>
      </c>
      <c r="BN94" s="8" t="s">
        <v>7602</v>
      </c>
      <c r="BO94" s="8" t="s">
        <v>7613</v>
      </c>
      <c r="BP94" s="8" t="s">
        <v>7610</v>
      </c>
      <c r="BQ94" s="8" t="str">
        <f aca="false">IF(A94="","",AT94)</f>
        <v>2歳</v>
      </c>
      <c r="BR94" s="8" t="str">
        <f aca="false">IF(A94="","",IF(BA94&lt;=1200,"～1200",IF(BA94&lt;=1500,"1300～1500",IF(BA94=1600,"1600",IF(BA94&lt;=1800,"1700～1800",IF(BA94&lt;=2000,"1900～2000","2100以上"))))))</f>
        <v>～1200</v>
      </c>
      <c r="BS94" s="8" t="str">
        <f aca="false">IF(A94="","",IF(AX94="G1","G1",IF(AX94="G2","G2",IF(AX94="G3","G3",IF(AX94="L","L","その他")))))</f>
        <v>その他</v>
      </c>
      <c r="BT94" s="8" t="str">
        <f aca="false">IF(A94="","",IF(BI94="","未結合",IF(D94=BI94,"一致","不一致")))</f>
        <v>一致</v>
      </c>
      <c r="BU94" s="8" t="str">
        <f aca="false">IF(A94="","",IF(BE94="牝馬限定","牝馬限定","その他"))</f>
        <v>その他</v>
      </c>
    </row>
    <row r="95" customFormat="false" ht="15.75" hidden="false" customHeight="false" outlineLevel="0" collapsed="false">
      <c r="A95" s="6" t="n">
        <v>46221</v>
      </c>
      <c r="B95" s="4" t="s">
        <v>1091</v>
      </c>
      <c r="C95" s="8" t="n">
        <v>10</v>
      </c>
      <c r="D95" s="8" t="n">
        <v>12</v>
      </c>
      <c r="E95" s="8" t="n">
        <v>1</v>
      </c>
      <c r="F95" s="4" t="s">
        <v>1199</v>
      </c>
      <c r="G95" s="8" t="n">
        <v>65</v>
      </c>
      <c r="H95" s="8" t="n">
        <v>8</v>
      </c>
      <c r="I95" s="4" t="s">
        <v>1206</v>
      </c>
      <c r="J95" s="8" t="n">
        <v>52</v>
      </c>
      <c r="K95" s="8" t="n">
        <v>6</v>
      </c>
      <c r="L95" s="4" t="s">
        <v>1204</v>
      </c>
      <c r="M95" s="8" t="n">
        <v>31</v>
      </c>
      <c r="N95" s="8" t="n">
        <f aca="false">IF(A95="","",G95-J95)</f>
        <v>13</v>
      </c>
      <c r="O95" s="8" t="n">
        <f aca="false">IF(A95="","",J95-M95)</f>
        <v>21</v>
      </c>
      <c r="P95" s="8" t="n">
        <f aca="false">IF(A95="","",G95+J95)</f>
        <v>117</v>
      </c>
      <c r="Q95" s="8" t="str">
        <f aca="false">IF(A95="","",IF(AND(Y95&lt;&gt;"参考",G95&gt;=ルール設定!$B$2),"○",""))</f>
        <v/>
      </c>
      <c r="R95" s="8" t="str">
        <f aca="false">IF(A95="","",IF(AND(Y95&lt;&gt;"参考",G95&gt;=ルール設定!$B$3,N95&gt;=ルール設定!$B$4),"○",""))</f>
        <v/>
      </c>
      <c r="S95" s="8" t="str">
        <f aca="false">IF(A95="","",IF(AND(Y95&lt;&gt;"参考",G95&gt;=ルール設定!$B$5,J95&gt;=ルール設定!$B$6,O95&gt;=ルール設定!$B$7),"○",""))</f>
        <v>○</v>
      </c>
      <c r="T95" s="8" t="n">
        <v>2</v>
      </c>
      <c r="U95" s="8" t="n">
        <v>4</v>
      </c>
      <c r="V95" s="8" t="str">
        <f aca="false">IF(A95="","",IF(AND(ISNUMBER(T95),ISNUMBER(U95)),IF(AND(T95&lt;=3,U95&lt;=3),"○","×"),""))</f>
        <v>×</v>
      </c>
      <c r="W95" s="8" t="n">
        <v>140</v>
      </c>
      <c r="X95" s="8"/>
      <c r="Y95" s="4" t="s">
        <v>7597</v>
      </c>
      <c r="Z95" s="4" t="s">
        <v>7679</v>
      </c>
      <c r="AA95" s="8" t="str">
        <v/>
      </c>
      <c r="AB95" s="8" t="str">
        <v/>
      </c>
      <c r="AC95" s="8" t="str">
        <v/>
      </c>
      <c r="AD95" s="8" t="str">
        <v/>
      </c>
      <c r="AE95" s="8" t="str">
        <v/>
      </c>
      <c r="AF95" s="8" t="str">
        <v/>
      </c>
      <c r="AG95" s="8" t="str">
        <v/>
      </c>
      <c r="AH95" s="8" t="str">
        <v/>
      </c>
      <c r="AI95" s="8" t="n">
        <v>34</v>
      </c>
      <c r="AJ95" s="8" t="str">
        <v>60～69</v>
      </c>
      <c r="AK95" s="8" t="str">
        <v>10～19</v>
      </c>
      <c r="AL95" s="8" t="str">
        <v>30～39</v>
      </c>
      <c r="AM95" s="8" t="str">
        <v>100～119</v>
      </c>
      <c r="AN95" s="8" t="str">
        <v>12～14</v>
      </c>
      <c r="AO95" s="8" t="str">
        <f aca="false">IF(A95="","",IF(COUNTIFS(全馬データ!$A$2:$A$50000,A95,全馬データ!$B$2:$B$50000,B95,全馬データ!$C$2:$C$50000,C95,全馬データ!$D$2:$D$50000,E95,全馬データ!$K$2:$K$50000,"&lt;&gt;")=0,"",SUMIFS(全馬データ!$K$2:$K$50000,全馬データ!$A$2:$A$50000,A95,全馬データ!$B$2:$B$50000,B95,全馬データ!$C$2:$C$50000,C95,全馬データ!$D$2:$D$50000,E95)))</f>
        <v/>
      </c>
      <c r="AP95" s="8" t="str">
        <f aca="false">IF(A95="","",IF(AO95="","欠損",IF(AO95&lt;=1.1,"1.0～1.1",IF(AO95&lt;1.3,"1.2",IF(AO95&lt;1.5,"1.3～1.4",IF(AO95&lt;2,"1.5～1.9","2.0以上"))))))</f>
        <v>欠損</v>
      </c>
      <c r="AQ95" s="8" t="str">
        <f aca="false">IF(A95="","",IF(ISNUMBER(SEARCH("2歳",Z95)),"2歳戦",IF(ISNUMBER(SEARCH("3歳未勝利",Z95)),"3歳未勝利",IF(ISNUMBER(SEARCH("未勝利",Z95)),"その他未勝利",IF(ISNUMBER(SEARCH("G1",Z95)),"G1",IF(ISNUMBER(SEARCH("G2",Z95)),"G2",IF(ISNUMBER(SEARCH("G3",Z95)),"G3",IF(ISNUMBER(SEARCH("古馬条件",Z95)),"古馬条件戦",IF(ISNUMBER(SEARCH("重賞",Z95)),"重賞","分類不能")))))))))</f>
        <v>分類不能</v>
      </c>
      <c r="AR95" s="4" t="s">
        <v>7687</v>
      </c>
      <c r="AS95" s="8" t="s">
        <v>7626</v>
      </c>
      <c r="AT95" s="8" t="s">
        <v>7627</v>
      </c>
      <c r="AU95" s="8" t="s">
        <v>7634</v>
      </c>
      <c r="AV95" s="8" t="s">
        <v>7635</v>
      </c>
      <c r="AW95" s="8" t="s">
        <v>7636</v>
      </c>
      <c r="AX95" s="4" t="s">
        <v>7637</v>
      </c>
      <c r="AY95" s="8" t="s">
        <v>7610</v>
      </c>
      <c r="AZ95" s="4" t="s">
        <v>7617</v>
      </c>
      <c r="BA95" s="8" t="n">
        <v>1700</v>
      </c>
      <c r="BB95" s="8" t="s">
        <v>7659</v>
      </c>
      <c r="BC95" s="4" t="s">
        <v>7619</v>
      </c>
      <c r="BD95" s="8" t="s">
        <v>7605</v>
      </c>
      <c r="BE95" s="4" t="s">
        <v>7606</v>
      </c>
      <c r="BF95" s="8" t="s">
        <v>7607</v>
      </c>
      <c r="BG95" s="8" t="s">
        <v>7631</v>
      </c>
      <c r="BH95" s="4" t="s">
        <v>7632</v>
      </c>
      <c r="BI95" s="8" t="n">
        <v>12</v>
      </c>
      <c r="BJ95" s="8" t="s">
        <v>7602</v>
      </c>
      <c r="BK95" s="4" t="s">
        <v>7653</v>
      </c>
      <c r="BL95" s="8" t="s">
        <v>7602</v>
      </c>
      <c r="BM95" s="4" t="s">
        <v>7620</v>
      </c>
      <c r="BN95" s="8"/>
      <c r="BO95" s="8"/>
      <c r="BP95" s="8" t="s">
        <v>7610</v>
      </c>
      <c r="BQ95" s="8" t="str">
        <f aca="false">IF(A95="","",AT95)</f>
        <v>3歳以上</v>
      </c>
      <c r="BR95" s="8" t="str">
        <f aca="false">IF(A95="","",IF(BA95&lt;=1200,"～1200",IF(BA95&lt;=1500,"1300～1500",IF(BA95=1600,"1600",IF(BA95&lt;=1800,"1700～1800",IF(BA95&lt;=2000,"1900～2000","2100以上"))))))</f>
        <v>1700～1800</v>
      </c>
      <c r="BS95" s="8" t="str">
        <f aca="false">IF(A95="","",IF(AX95="G1","G1",IF(AX95="G2","G2",IF(AX95="G3","G3",IF(AX95="L","L","その他")))))</f>
        <v>その他</v>
      </c>
      <c r="BT95" s="8" t="str">
        <f aca="false">IF(A95="","",IF(BI95="","未結合",IF(D95=BI95,"一致","不一致")))</f>
        <v>一致</v>
      </c>
      <c r="BU95" s="8" t="str">
        <f aca="false">IF(A95="","",IF(BE95="牝馬限定","牝馬限定","その他"))</f>
        <v>その他</v>
      </c>
    </row>
    <row r="96" customFormat="false" ht="15.75" hidden="false" customHeight="false" outlineLevel="0" collapsed="false">
      <c r="A96" s="6" t="n">
        <v>46221</v>
      </c>
      <c r="B96" s="4" t="s">
        <v>1091</v>
      </c>
      <c r="C96" s="8" t="n">
        <v>11</v>
      </c>
      <c r="D96" s="8" t="n">
        <v>12</v>
      </c>
      <c r="E96" s="8" t="n">
        <v>5</v>
      </c>
      <c r="F96" s="4" t="s">
        <v>1215</v>
      </c>
      <c r="G96" s="8" t="n">
        <v>58</v>
      </c>
      <c r="H96" s="8" t="n">
        <v>10</v>
      </c>
      <c r="I96" s="4" t="s">
        <v>1220</v>
      </c>
      <c r="J96" s="8" t="n">
        <v>41</v>
      </c>
      <c r="K96" s="8" t="n">
        <v>2</v>
      </c>
      <c r="L96" s="4" t="s">
        <v>1212</v>
      </c>
      <c r="M96" s="8" t="n">
        <v>31</v>
      </c>
      <c r="N96" s="8" t="n">
        <f aca="false">IF(A96="","",G96-J96)</f>
        <v>17</v>
      </c>
      <c r="O96" s="8" t="n">
        <f aca="false">IF(A96="","",J96-M96)</f>
        <v>10</v>
      </c>
      <c r="P96" s="8" t="n">
        <f aca="false">IF(A96="","",G96+J96)</f>
        <v>99</v>
      </c>
      <c r="Q96" s="8" t="str">
        <f aca="false">IF(A96="","",IF(AND(Y96&lt;&gt;"参考",G96&gt;=ルール設定!$B$2),"○",""))</f>
        <v/>
      </c>
      <c r="R96" s="8" t="str">
        <f aca="false">IF(A96="","",IF(AND(Y96&lt;&gt;"参考",G96&gt;=ルール設定!$B$3,N96&gt;=ルール設定!$B$4),"○",""))</f>
        <v/>
      </c>
      <c r="S96" s="8" t="str">
        <f aca="false">IF(A96="","",IF(AND(Y96&lt;&gt;"参考",G96&gt;=ルール設定!$B$5,J96&gt;=ルール設定!$B$6,O96&gt;=ルール設定!$B$7),"○",""))</f>
        <v/>
      </c>
      <c r="T96" s="8" t="n">
        <v>1</v>
      </c>
      <c r="U96" s="8" t="n">
        <v>3</v>
      </c>
      <c r="V96" s="8" t="str">
        <f aca="false">IF(A96="","",IF(AND(ISNUMBER(T96),ISNUMBER(U96)),IF(AND(T96&lt;=3,U96&lt;=3),"○","×"),""))</f>
        <v>○</v>
      </c>
      <c r="W96" s="8" t="n">
        <v>110</v>
      </c>
      <c r="X96" s="8" t="n">
        <v>380</v>
      </c>
      <c r="Y96" s="4" t="s">
        <v>7597</v>
      </c>
      <c r="Z96" s="4" t="s">
        <v>7679</v>
      </c>
      <c r="AA96" s="8" t="str">
        <v/>
      </c>
      <c r="AB96" s="8" t="str">
        <v/>
      </c>
      <c r="AC96" s="8" t="str">
        <v/>
      </c>
      <c r="AD96" s="8" t="str">
        <v/>
      </c>
      <c r="AE96" s="8" t="str">
        <v/>
      </c>
      <c r="AF96" s="8" t="str">
        <v/>
      </c>
      <c r="AG96" s="8" t="str">
        <v/>
      </c>
      <c r="AH96" s="8" t="str">
        <v/>
      </c>
      <c r="AI96" s="8" t="n">
        <v>27</v>
      </c>
      <c r="AJ96" s="8" t="str">
        <v>～59</v>
      </c>
      <c r="AK96" s="8" t="str">
        <v>10～19</v>
      </c>
      <c r="AL96" s="8" t="str">
        <v>20～29</v>
      </c>
      <c r="AM96" s="8" t="str">
        <v>～99</v>
      </c>
      <c r="AN96" s="8" t="str">
        <v>12～14</v>
      </c>
      <c r="AO96" s="8" t="str">
        <f aca="false">IF(A96="","",IF(COUNTIFS(全馬データ!$A$2:$A$50000,A96,全馬データ!$B$2:$B$50000,B96,全馬データ!$C$2:$C$50000,C96,全馬データ!$D$2:$D$50000,E96,全馬データ!$K$2:$K$50000,"&lt;&gt;")=0,"",SUMIFS(全馬データ!$K$2:$K$50000,全馬データ!$A$2:$A$50000,A96,全馬データ!$B$2:$B$50000,B96,全馬データ!$C$2:$C$50000,C96,全馬データ!$D$2:$D$50000,E96)))</f>
        <v/>
      </c>
      <c r="AP96" s="8" t="str">
        <f aca="false">IF(A96="","",IF(AO96="","欠損",IF(AO96&lt;=1.1,"1.0～1.1",IF(AO96&lt;1.3,"1.2",IF(AO96&lt;1.5,"1.3～1.4",IF(AO96&lt;2,"1.5～1.9","2.0以上"))))))</f>
        <v>欠損</v>
      </c>
      <c r="AQ96" s="8" t="str">
        <f aca="false">IF(A96="","",IF(ISNUMBER(SEARCH("2歳",Z96)),"2歳戦",IF(ISNUMBER(SEARCH("3歳未勝利",Z96)),"3歳未勝利",IF(ISNUMBER(SEARCH("未勝利",Z96)),"その他未勝利",IF(ISNUMBER(SEARCH("G1",Z96)),"G1",IF(ISNUMBER(SEARCH("G2",Z96)),"G2",IF(ISNUMBER(SEARCH("G3",Z96)),"G3",IF(ISNUMBER(SEARCH("古馬条件",Z96)),"古馬条件戦",IF(ISNUMBER(SEARCH("重賞",Z96)),"重賞","分類不能")))))))))</f>
        <v>分類不能</v>
      </c>
      <c r="AR96" s="4" t="s">
        <v>7688</v>
      </c>
      <c r="AS96" s="8" t="s">
        <v>7626</v>
      </c>
      <c r="AT96" s="8" t="s">
        <v>7627</v>
      </c>
      <c r="AU96" s="8" t="s">
        <v>7639</v>
      </c>
      <c r="AV96" s="8" t="s">
        <v>7640</v>
      </c>
      <c r="AW96" s="8" t="s">
        <v>7636</v>
      </c>
      <c r="AX96" s="4" t="s">
        <v>7637</v>
      </c>
      <c r="AY96" s="8" t="s">
        <v>7602</v>
      </c>
      <c r="AZ96" s="4" t="s">
        <v>7603</v>
      </c>
      <c r="BA96" s="8" t="n">
        <v>1200</v>
      </c>
      <c r="BB96" s="8" t="s">
        <v>7598</v>
      </c>
      <c r="BC96" s="4" t="s">
        <v>7604</v>
      </c>
      <c r="BD96" s="8" t="s">
        <v>7630</v>
      </c>
      <c r="BE96" s="4" t="s">
        <v>7606</v>
      </c>
      <c r="BF96" s="8" t="s">
        <v>7607</v>
      </c>
      <c r="BG96" s="8" t="s">
        <v>7631</v>
      </c>
      <c r="BH96" s="4" t="s">
        <v>7632</v>
      </c>
      <c r="BI96" s="8" t="n">
        <v>12</v>
      </c>
      <c r="BJ96" s="8" t="s">
        <v>7602</v>
      </c>
      <c r="BK96" s="4" t="s">
        <v>7653</v>
      </c>
      <c r="BL96" s="8" t="s">
        <v>7602</v>
      </c>
      <c r="BM96" s="4" t="s">
        <v>7620</v>
      </c>
      <c r="BN96" s="8" t="s">
        <v>7602</v>
      </c>
      <c r="BO96" s="8" t="s">
        <v>7613</v>
      </c>
      <c r="BP96" s="8" t="s">
        <v>7610</v>
      </c>
      <c r="BQ96" s="8" t="str">
        <f aca="false">IF(A96="","",AT96)</f>
        <v>3歳以上</v>
      </c>
      <c r="BR96" s="8" t="str">
        <f aca="false">IF(A96="","",IF(BA96&lt;=1200,"～1200",IF(BA96&lt;=1500,"1300～1500",IF(BA96=1600,"1600",IF(BA96&lt;=1800,"1700～1800",IF(BA96&lt;=2000,"1900～2000","2100以上"))))))</f>
        <v>～1200</v>
      </c>
      <c r="BS96" s="8" t="str">
        <f aca="false">IF(A96="","",IF(AX96="G1","G1",IF(AX96="G2","G2",IF(AX96="G3","G3",IF(AX96="L","L","その他")))))</f>
        <v>その他</v>
      </c>
      <c r="BT96" s="8" t="str">
        <f aca="false">IF(A96="","",IF(BI96="","未結合",IF(D96=BI96,"一致","不一致")))</f>
        <v>一致</v>
      </c>
      <c r="BU96" s="8" t="str">
        <f aca="false">IF(A96="","",IF(BE96="牝馬限定","牝馬限定","その他"))</f>
        <v>その他</v>
      </c>
    </row>
    <row r="97" customFormat="false" ht="15.75" hidden="false" customHeight="false" outlineLevel="0" collapsed="false">
      <c r="A97" s="6" t="n">
        <v>46221</v>
      </c>
      <c r="B97" s="4" t="s">
        <v>1091</v>
      </c>
      <c r="C97" s="8" t="n">
        <v>12</v>
      </c>
      <c r="D97" s="8" t="n">
        <v>14</v>
      </c>
      <c r="E97" s="8" t="n">
        <v>5</v>
      </c>
      <c r="F97" s="4" t="s">
        <v>1227</v>
      </c>
      <c r="G97" s="8" t="n">
        <v>74</v>
      </c>
      <c r="H97" s="8" t="n">
        <v>7</v>
      </c>
      <c r="I97" s="4" t="s">
        <v>1229</v>
      </c>
      <c r="J97" s="8" t="n">
        <v>50</v>
      </c>
      <c r="K97" s="8" t="n">
        <v>14</v>
      </c>
      <c r="L97" s="4" t="s">
        <v>1236</v>
      </c>
      <c r="M97" s="8" t="n">
        <v>47</v>
      </c>
      <c r="N97" s="8" t="n">
        <f aca="false">IF(A97="","",G97-J97)</f>
        <v>24</v>
      </c>
      <c r="O97" s="8" t="n">
        <f aca="false">IF(A97="","",J97-M97)</f>
        <v>3</v>
      </c>
      <c r="P97" s="8" t="n">
        <f aca="false">IF(A97="","",G97+J97)</f>
        <v>124</v>
      </c>
      <c r="Q97" s="8" t="str">
        <f aca="false">IF(A97="","",IF(AND(Y97&lt;&gt;"参考",G97&gt;=ルール設定!$B$2),"○",""))</f>
        <v/>
      </c>
      <c r="R97" s="8" t="str">
        <f aca="false">IF(A97="","",IF(AND(Y97&lt;&gt;"参考",G97&gt;=ルール設定!$B$3,N97&gt;=ルール設定!$B$4),"○",""))</f>
        <v/>
      </c>
      <c r="S97" s="8" t="str">
        <f aca="false">IF(A97="","",IF(AND(Y97&lt;&gt;"参考",G97&gt;=ルール設定!$B$5,J97&gt;=ルール設定!$B$6,O97&gt;=ルール設定!$B$7),"○",""))</f>
        <v/>
      </c>
      <c r="T97" s="8" t="n">
        <v>1</v>
      </c>
      <c r="U97" s="8" t="n">
        <v>2</v>
      </c>
      <c r="V97" s="8" t="str">
        <f aca="false">IF(A97="","",IF(AND(ISNUMBER(T97),ISNUMBER(U97)),IF(AND(T97&lt;=3,U97&lt;=3),"○","×"),""))</f>
        <v>○</v>
      </c>
      <c r="W97" s="8" t="n">
        <v>110</v>
      </c>
      <c r="X97" s="8" t="n">
        <v>260</v>
      </c>
      <c r="Y97" s="4" t="s">
        <v>7597</v>
      </c>
      <c r="Z97" s="4" t="s">
        <v>7679</v>
      </c>
      <c r="AA97" s="8" t="str">
        <v/>
      </c>
      <c r="AB97" s="8" t="str">
        <v/>
      </c>
      <c r="AC97" s="8" t="str">
        <v/>
      </c>
      <c r="AD97" s="8" t="str">
        <v/>
      </c>
      <c r="AE97" s="8" t="str">
        <v/>
      </c>
      <c r="AF97" s="8" t="str">
        <v/>
      </c>
      <c r="AG97" s="8" t="str">
        <v/>
      </c>
      <c r="AH97" s="8" t="str">
        <v/>
      </c>
      <c r="AI97" s="8" t="n">
        <v>27</v>
      </c>
      <c r="AJ97" s="8" t="str">
        <v>70～74</v>
      </c>
      <c r="AK97" s="8" t="str">
        <v>20～29</v>
      </c>
      <c r="AL97" s="8" t="str">
        <v>20～29</v>
      </c>
      <c r="AM97" s="8" t="str">
        <v>120～139</v>
      </c>
      <c r="AN97" s="8" t="str">
        <v>12～14</v>
      </c>
      <c r="AO97" s="8" t="str">
        <f aca="false">IF(A97="","",IF(COUNTIFS(全馬データ!$A$2:$A$50000,A97,全馬データ!$B$2:$B$50000,B97,全馬データ!$C$2:$C$50000,C97,全馬データ!$D$2:$D$50000,E97,全馬データ!$K$2:$K$50000,"&lt;&gt;")=0,"",SUMIFS(全馬データ!$K$2:$K$50000,全馬データ!$A$2:$A$50000,A97,全馬データ!$B$2:$B$50000,B97,全馬データ!$C$2:$C$50000,C97,全馬データ!$D$2:$D$50000,E97)))</f>
        <v/>
      </c>
      <c r="AP97" s="8" t="str">
        <f aca="false">IF(A97="","",IF(AO97="","欠損",IF(AO97&lt;=1.1,"1.0～1.1",IF(AO97&lt;1.3,"1.2",IF(AO97&lt;1.5,"1.3～1.4",IF(AO97&lt;2,"1.5～1.9","2.0以上"))))))</f>
        <v>欠損</v>
      </c>
      <c r="AQ97" s="8" t="str">
        <f aca="false">IF(A97="","",IF(ISNUMBER(SEARCH("2歳",Z97)),"2歳戦",IF(ISNUMBER(SEARCH("3歳未勝利",Z97)),"3歳未勝利",IF(ISNUMBER(SEARCH("未勝利",Z97)),"その他未勝利",IF(ISNUMBER(SEARCH("G1",Z97)),"G1",IF(ISNUMBER(SEARCH("G2",Z97)),"G2",IF(ISNUMBER(SEARCH("G3",Z97)),"G3",IF(ISNUMBER(SEARCH("古馬条件",Z97)),"古馬条件戦",IF(ISNUMBER(SEARCH("重賞",Z97)),"重賞","分類不能")))))))))</f>
        <v>分類不能</v>
      </c>
      <c r="AR97" s="8"/>
      <c r="AS97" s="8" t="s">
        <v>7626</v>
      </c>
      <c r="AT97" s="8" t="s">
        <v>7627</v>
      </c>
      <c r="AU97" s="8" t="s">
        <v>7628</v>
      </c>
      <c r="AV97" s="8" t="s">
        <v>7629</v>
      </c>
      <c r="AW97" s="8"/>
      <c r="AX97" s="8"/>
      <c r="AY97" s="8" t="s">
        <v>7610</v>
      </c>
      <c r="AZ97" s="4" t="s">
        <v>7617</v>
      </c>
      <c r="BA97" s="8" t="n">
        <v>1700</v>
      </c>
      <c r="BB97" s="8" t="s">
        <v>7659</v>
      </c>
      <c r="BC97" s="4" t="s">
        <v>7619</v>
      </c>
      <c r="BD97" s="8" t="s">
        <v>7605</v>
      </c>
      <c r="BE97" s="4" t="s">
        <v>7606</v>
      </c>
      <c r="BF97" s="8" t="s">
        <v>7607</v>
      </c>
      <c r="BG97" s="8" t="s">
        <v>7631</v>
      </c>
      <c r="BH97" s="4" t="s">
        <v>7632</v>
      </c>
      <c r="BI97" s="8" t="n">
        <v>14</v>
      </c>
      <c r="BJ97" s="8" t="s">
        <v>7602</v>
      </c>
      <c r="BK97" s="4" t="s">
        <v>7653</v>
      </c>
      <c r="BL97" s="8" t="s">
        <v>7602</v>
      </c>
      <c r="BM97" s="4" t="s">
        <v>7620</v>
      </c>
      <c r="BN97" s="8"/>
      <c r="BO97" s="8"/>
      <c r="BP97" s="8" t="s">
        <v>7610</v>
      </c>
      <c r="BQ97" s="8" t="str">
        <f aca="false">IF(A97="","",AT97)</f>
        <v>3歳以上</v>
      </c>
      <c r="BR97" s="8" t="str">
        <f aca="false">IF(A97="","",IF(BA97&lt;=1200,"～1200",IF(BA97&lt;=1500,"1300～1500",IF(BA97=1600,"1600",IF(BA97&lt;=1800,"1700～1800",IF(BA97&lt;=2000,"1900～2000","2100以上"))))))</f>
        <v>1700～1800</v>
      </c>
      <c r="BS97" s="8" t="str">
        <f aca="false">IF(A97="","",IF(AX97="G1","G1",IF(AX97="G2","G2",IF(AX97="G3","G3",IF(AX97="L","L","その他")))))</f>
        <v>その他</v>
      </c>
      <c r="BT97" s="8" t="str">
        <f aca="false">IF(A97="","",IF(BI97="","未結合",IF(D97=BI97,"一致","不一致")))</f>
        <v>一致</v>
      </c>
      <c r="BU97" s="8" t="str">
        <f aca="false">IF(A97="","",IF(BE97="牝馬限定","牝馬限定","その他"))</f>
        <v>その他</v>
      </c>
    </row>
    <row r="98" customFormat="false" ht="15.75" hidden="false" customHeight="false" outlineLevel="0" collapsed="false">
      <c r="A98" s="6" t="n">
        <v>46221</v>
      </c>
      <c r="B98" s="4" t="s">
        <v>1237</v>
      </c>
      <c r="C98" s="8" t="n">
        <v>1</v>
      </c>
      <c r="D98" s="8" t="n">
        <v>8</v>
      </c>
      <c r="E98" s="8" t="n">
        <v>6</v>
      </c>
      <c r="F98" s="4" t="s">
        <v>1243</v>
      </c>
      <c r="G98" s="8" t="n">
        <v>81</v>
      </c>
      <c r="H98" s="8" t="n">
        <v>2</v>
      </c>
      <c r="I98" s="4" t="s">
        <v>1239</v>
      </c>
      <c r="J98" s="8" t="n">
        <v>75</v>
      </c>
      <c r="K98" s="8" t="n">
        <v>4</v>
      </c>
      <c r="L98" s="4" t="s">
        <v>1241</v>
      </c>
      <c r="M98" s="8" t="n">
        <v>25</v>
      </c>
      <c r="N98" s="8" t="n">
        <f aca="false">IF(A98="","",G98-J98)</f>
        <v>6</v>
      </c>
      <c r="O98" s="8" t="n">
        <f aca="false">IF(A98="","",J98-M98)</f>
        <v>50</v>
      </c>
      <c r="P98" s="8" t="n">
        <f aca="false">IF(A98="","",G98+J98)</f>
        <v>156</v>
      </c>
      <c r="Q98" s="8" t="str">
        <f aca="false">IF(A98="","",IF(AND(Y98&lt;&gt;"参考",G98&gt;=ルール設定!$B$2),"○",""))</f>
        <v>○</v>
      </c>
      <c r="R98" s="8" t="str">
        <f aca="false">IF(A98="","",IF(AND(Y98&lt;&gt;"参考",G98&gt;=ルール設定!$B$3,N98&gt;=ルール設定!$B$4),"○",""))</f>
        <v/>
      </c>
      <c r="S98" s="8" t="str">
        <f aca="false">IF(A98="","",IF(AND(Y98&lt;&gt;"参考",G98&gt;=ルール設定!$B$5,J98&gt;=ルール設定!$B$6,O98&gt;=ルール設定!$B$7),"○",""))</f>
        <v>○</v>
      </c>
      <c r="T98" s="8" t="n">
        <v>2</v>
      </c>
      <c r="U98" s="8" t="n">
        <v>1</v>
      </c>
      <c r="V98" s="8" t="str">
        <f aca="false">IF(A98="","",IF(AND(ISNUMBER(T98),ISNUMBER(U98)),IF(AND(T98&lt;=3,U98&lt;=3),"○","×"),""))</f>
        <v>○</v>
      </c>
      <c r="W98" s="8" t="n">
        <v>100</v>
      </c>
      <c r="X98" s="8" t="n">
        <v>110</v>
      </c>
      <c r="Y98" s="4" t="s">
        <v>7597</v>
      </c>
      <c r="Z98" s="4" t="s">
        <v>7679</v>
      </c>
      <c r="AA98" s="8" t="str">
        <v/>
      </c>
      <c r="AB98" s="8" t="str">
        <v>○</v>
      </c>
      <c r="AC98" s="8" t="str">
        <v/>
      </c>
      <c r="AD98" s="8" t="str">
        <v/>
      </c>
      <c r="AE98" s="8" t="str">
        <v/>
      </c>
      <c r="AF98" s="8" t="str">
        <v>○</v>
      </c>
      <c r="AG98" s="8" t="str">
        <v>○</v>
      </c>
      <c r="AH98" s="8" t="str">
        <v/>
      </c>
      <c r="AI98" s="8" t="n">
        <v>56</v>
      </c>
      <c r="AJ98" s="8" t="str">
        <v>80～84</v>
      </c>
      <c r="AK98" s="8" t="str">
        <v>5～9</v>
      </c>
      <c r="AL98" s="8" t="str">
        <v>40以上</v>
      </c>
      <c r="AM98" s="8" t="str">
        <v>140～159</v>
      </c>
      <c r="AN98" s="8" t="str">
        <v>8～11</v>
      </c>
      <c r="AO98" s="8" t="n">
        <f aca="false">IF(A98="","",IF(COUNTIFS(全馬データ!$A$2:$A$50000,A98,全馬データ!$B$2:$B$50000,B98,全馬データ!$C$2:$C$50000,C98,全馬データ!$D$2:$D$50000,E98,全馬データ!$K$2:$K$50000,"&lt;&gt;")=0,"",SUMIFS(全馬データ!$K$2:$K$50000,全馬データ!$A$2:$A$50000,A98,全馬データ!$B$2:$B$50000,B98,全馬データ!$C$2:$C$50000,C98,全馬データ!$D$2:$D$50000,E98)))</f>
        <v>1</v>
      </c>
      <c r="AP98" s="8" t="str">
        <f aca="false">IF(A98="","",IF(AO98="","欠損",IF(AO98&lt;=1.1,"1.0～1.1",IF(AO98&lt;1.3,"1.2",IF(AO98&lt;1.5,"1.3～1.4",IF(AO98&lt;2,"1.5～1.9","2.0以上"))))))</f>
        <v>1.0～1.1</v>
      </c>
      <c r="AQ98" s="8" t="str">
        <f aca="false">IF(A98="","",IF(ISNUMBER(SEARCH("2歳",Z98)),"2歳戦",IF(ISNUMBER(SEARCH("3歳未勝利",Z98)),"3歳未勝利",IF(ISNUMBER(SEARCH("未勝利",Z98)),"その他未勝利",IF(ISNUMBER(SEARCH("G1",Z98)),"G1",IF(ISNUMBER(SEARCH("G2",Z98)),"G2",IF(ISNUMBER(SEARCH("G3",Z98)),"G3",IF(ISNUMBER(SEARCH("古馬条件",Z98)),"古馬条件戦",IF(ISNUMBER(SEARCH("重賞",Z98)),"重賞","分類不能")))))))))</f>
        <v>分類不能</v>
      </c>
      <c r="AR98" s="8"/>
      <c r="AS98" s="8" t="s">
        <v>7598</v>
      </c>
      <c r="AT98" s="8" t="s">
        <v>7599</v>
      </c>
      <c r="AU98" s="8" t="s">
        <v>7600</v>
      </c>
      <c r="AV98" s="4" t="s">
        <v>7601</v>
      </c>
      <c r="AW98" s="8"/>
      <c r="AX98" s="8"/>
      <c r="AY98" s="8" t="s">
        <v>7602</v>
      </c>
      <c r="AZ98" s="4" t="s">
        <v>7603</v>
      </c>
      <c r="BA98" s="8" t="n">
        <v>1800</v>
      </c>
      <c r="BB98" s="8" t="s">
        <v>7598</v>
      </c>
      <c r="BC98" s="4" t="s">
        <v>7604</v>
      </c>
      <c r="BD98" s="8" t="s">
        <v>7605</v>
      </c>
      <c r="BE98" s="4" t="s">
        <v>7606</v>
      </c>
      <c r="BF98" s="8" t="s">
        <v>7607</v>
      </c>
      <c r="BG98" s="8" t="s">
        <v>7608</v>
      </c>
      <c r="BH98" s="4" t="s">
        <v>7609</v>
      </c>
      <c r="BI98" s="8" t="n">
        <v>8</v>
      </c>
      <c r="BJ98" s="8" t="s">
        <v>7602</v>
      </c>
      <c r="BK98" s="4" t="s">
        <v>7653</v>
      </c>
      <c r="BL98" s="8" t="s">
        <v>7602</v>
      </c>
      <c r="BM98" s="4" t="s">
        <v>7620</v>
      </c>
      <c r="BN98" s="8" t="s">
        <v>7631</v>
      </c>
      <c r="BO98" s="8" t="s">
        <v>7680</v>
      </c>
      <c r="BP98" s="8" t="s">
        <v>7608</v>
      </c>
      <c r="BQ98" s="8" t="str">
        <f aca="false">IF(A98="","",AT98)</f>
        <v>2歳</v>
      </c>
      <c r="BR98" s="8" t="str">
        <f aca="false">IF(A98="","",IF(BA98&lt;=1200,"～1200",IF(BA98&lt;=1500,"1300～1500",IF(BA98=1600,"1600",IF(BA98&lt;=1800,"1700～1800",IF(BA98&lt;=2000,"1900～2000","2100以上"))))))</f>
        <v>1700～1800</v>
      </c>
      <c r="BS98" s="8" t="str">
        <f aca="false">IF(A98="","",IF(AX98="G1","G1",IF(AX98="G2","G2",IF(AX98="G3","G3",IF(AX98="L","L","その他")))))</f>
        <v>その他</v>
      </c>
      <c r="BT98" s="8" t="str">
        <f aca="false">IF(A98="","",IF(BI98="","未結合",IF(D98=BI98,"一致","不一致")))</f>
        <v>一致</v>
      </c>
      <c r="BU98" s="8" t="str">
        <f aca="false">IF(A98="","",IF(BE98="牝馬限定","牝馬限定","その他"))</f>
        <v>その他</v>
      </c>
    </row>
    <row r="99" customFormat="false" ht="15.75" hidden="false" customHeight="false" outlineLevel="0" collapsed="false">
      <c r="A99" s="6" t="n">
        <v>46221</v>
      </c>
      <c r="B99" s="4" t="s">
        <v>1237</v>
      </c>
      <c r="C99" s="8" t="n">
        <v>2</v>
      </c>
      <c r="D99" s="8" t="n">
        <v>12</v>
      </c>
      <c r="E99" s="8" t="n">
        <v>7</v>
      </c>
      <c r="F99" s="4" t="s">
        <v>1252</v>
      </c>
      <c r="G99" s="8" t="n">
        <v>50</v>
      </c>
      <c r="H99" s="8" t="n">
        <v>11</v>
      </c>
      <c r="I99" s="4" t="s">
        <v>1256</v>
      </c>
      <c r="J99" s="8" t="n">
        <v>47</v>
      </c>
      <c r="K99" s="8" t="n">
        <v>6</v>
      </c>
      <c r="L99" s="4" t="s">
        <v>1251</v>
      </c>
      <c r="M99" s="8" t="n">
        <v>44</v>
      </c>
      <c r="N99" s="8" t="n">
        <f aca="false">IF(A99="","",G99-J99)</f>
        <v>3</v>
      </c>
      <c r="O99" s="8" t="n">
        <f aca="false">IF(A99="","",J99-M99)</f>
        <v>3</v>
      </c>
      <c r="P99" s="8" t="n">
        <f aca="false">IF(A99="","",G99+J99)</f>
        <v>97</v>
      </c>
      <c r="Q99" s="8" t="str">
        <f aca="false">IF(A99="","",IF(AND(Y99&lt;&gt;"参考",G99&gt;=ルール設定!$B$2),"○",""))</f>
        <v/>
      </c>
      <c r="R99" s="8" t="str">
        <f aca="false">IF(A99="","",IF(AND(Y99&lt;&gt;"参考",G99&gt;=ルール設定!$B$3,N99&gt;=ルール設定!$B$4),"○",""))</f>
        <v/>
      </c>
      <c r="S99" s="8" t="str">
        <f aca="false">IF(A99="","",IF(AND(Y99&lt;&gt;"参考",G99&gt;=ルール設定!$B$5,J99&gt;=ルール設定!$B$6,O99&gt;=ルール設定!$B$7),"○",""))</f>
        <v/>
      </c>
      <c r="T99" s="8" t="n">
        <v>2</v>
      </c>
      <c r="U99" s="8" t="n">
        <v>4</v>
      </c>
      <c r="V99" s="8" t="str">
        <f aca="false">IF(A99="","",IF(AND(ISNUMBER(T99),ISNUMBER(U99)),IF(AND(T99&lt;=3,U99&lt;=3),"○","×"),""))</f>
        <v>×</v>
      </c>
      <c r="W99" s="8" t="n">
        <v>150</v>
      </c>
      <c r="X99" s="8"/>
      <c r="Y99" s="4" t="s">
        <v>7597</v>
      </c>
      <c r="Z99" s="4" t="s">
        <v>7679</v>
      </c>
      <c r="AA99" s="8" t="str">
        <v/>
      </c>
      <c r="AB99" s="8" t="str">
        <v/>
      </c>
      <c r="AC99" s="8" t="str">
        <v/>
      </c>
      <c r="AD99" s="8" t="str">
        <v/>
      </c>
      <c r="AE99" s="8" t="str">
        <v/>
      </c>
      <c r="AF99" s="8" t="str">
        <v/>
      </c>
      <c r="AG99" s="8" t="str">
        <v/>
      </c>
      <c r="AH99" s="8" t="str">
        <v/>
      </c>
      <c r="AI99" s="8" t="n">
        <v>6</v>
      </c>
      <c r="AJ99" s="8" t="str">
        <v>～59</v>
      </c>
      <c r="AK99" s="8" t="str">
        <v>0～4</v>
      </c>
      <c r="AL99" s="8" t="str">
        <v>0～9</v>
      </c>
      <c r="AM99" s="8" t="str">
        <v>～99</v>
      </c>
      <c r="AN99" s="8" t="str">
        <v>12～14</v>
      </c>
      <c r="AO99" s="8" t="str">
        <f aca="false">IF(A99="","",IF(COUNTIFS(全馬データ!$A$2:$A$50000,A99,全馬データ!$B$2:$B$50000,B99,全馬データ!$C$2:$C$50000,C99,全馬データ!$D$2:$D$50000,E99,全馬データ!$K$2:$K$50000,"&lt;&gt;")=0,"",SUMIFS(全馬データ!$K$2:$K$50000,全馬データ!$A$2:$A$50000,A99,全馬データ!$B$2:$B$50000,B99,全馬データ!$C$2:$C$50000,C99,全馬データ!$D$2:$D$50000,E99)))</f>
        <v/>
      </c>
      <c r="AP99" s="8" t="str">
        <f aca="false">IF(A99="","",IF(AO99="","欠損",IF(AO99&lt;=1.1,"1.0～1.1",IF(AO99&lt;1.3,"1.2",IF(AO99&lt;1.5,"1.3～1.4",IF(AO99&lt;2,"1.5～1.9","2.0以上"))))))</f>
        <v>欠損</v>
      </c>
      <c r="AQ99" s="8" t="str">
        <f aca="false">IF(A99="","",IF(ISNUMBER(SEARCH("2歳",Z99)),"2歳戦",IF(ISNUMBER(SEARCH("3歳未勝利",Z99)),"3歳未勝利",IF(ISNUMBER(SEARCH("未勝利",Z99)),"その他未勝利",IF(ISNUMBER(SEARCH("G1",Z99)),"G1",IF(ISNUMBER(SEARCH("G2",Z99)),"G2",IF(ISNUMBER(SEARCH("G3",Z99)),"G3",IF(ISNUMBER(SEARCH("古馬条件",Z99)),"古馬条件戦",IF(ISNUMBER(SEARCH("重賞",Z99)),"重賞","分類不能")))))))))</f>
        <v>分類不能</v>
      </c>
      <c r="AR99" s="8"/>
      <c r="AS99" s="8" t="s">
        <v>7623</v>
      </c>
      <c r="AT99" s="8" t="s">
        <v>7624</v>
      </c>
      <c r="AU99" s="8" t="s">
        <v>7600</v>
      </c>
      <c r="AV99" s="4" t="s">
        <v>7601</v>
      </c>
      <c r="AW99" s="8"/>
      <c r="AX99" s="8"/>
      <c r="AY99" s="8" t="s">
        <v>7610</v>
      </c>
      <c r="AZ99" s="4" t="s">
        <v>7617</v>
      </c>
      <c r="BA99" s="8" t="n">
        <v>1000</v>
      </c>
      <c r="BB99" s="8" t="s">
        <v>7598</v>
      </c>
      <c r="BC99" s="4" t="s">
        <v>7604</v>
      </c>
      <c r="BD99" s="8" t="s">
        <v>7621</v>
      </c>
      <c r="BE99" s="4" t="s">
        <v>7622</v>
      </c>
      <c r="BF99" s="8" t="s">
        <v>7602</v>
      </c>
      <c r="BG99" s="8" t="s">
        <v>7608</v>
      </c>
      <c r="BH99" s="4" t="s">
        <v>7609</v>
      </c>
      <c r="BI99" s="8" t="n">
        <v>12</v>
      </c>
      <c r="BJ99" s="8" t="s">
        <v>7602</v>
      </c>
      <c r="BK99" s="4" t="s">
        <v>7653</v>
      </c>
      <c r="BL99" s="8" t="s">
        <v>7602</v>
      </c>
      <c r="BM99" s="4" t="s">
        <v>7620</v>
      </c>
      <c r="BN99" s="8"/>
      <c r="BO99" s="8"/>
      <c r="BP99" s="8" t="s">
        <v>7608</v>
      </c>
      <c r="BQ99" s="8" t="str">
        <f aca="false">IF(A99="","",AT99)</f>
        <v>3歳</v>
      </c>
      <c r="BR99" s="8" t="str">
        <f aca="false">IF(A99="","",IF(BA99&lt;=1200,"～1200",IF(BA99&lt;=1500,"1300～1500",IF(BA99=1600,"1600",IF(BA99&lt;=1800,"1700～1800",IF(BA99&lt;=2000,"1900～2000","2100以上"))))))</f>
        <v>～1200</v>
      </c>
      <c r="BS99" s="8" t="str">
        <f aca="false">IF(A99="","",IF(AX99="G1","G1",IF(AX99="G2","G2",IF(AX99="G3","G3",IF(AX99="L","L","その他")))))</f>
        <v>その他</v>
      </c>
      <c r="BT99" s="8" t="str">
        <f aca="false">IF(A99="","",IF(BI99="","未結合",IF(D99=BI99,"一致","不一致")))</f>
        <v>一致</v>
      </c>
      <c r="BU99" s="8" t="str">
        <f aca="false">IF(A99="","",IF(BE99="牝馬限定","牝馬限定","その他"))</f>
        <v>牝馬限定</v>
      </c>
    </row>
    <row r="100" customFormat="false" ht="15.75" hidden="false" customHeight="false" outlineLevel="0" collapsed="false">
      <c r="A100" s="6" t="n">
        <v>46221</v>
      </c>
      <c r="B100" s="4" t="s">
        <v>1237</v>
      </c>
      <c r="C100" s="8" t="n">
        <v>3</v>
      </c>
      <c r="D100" s="8" t="n">
        <v>12</v>
      </c>
      <c r="E100" s="8" t="n">
        <v>4</v>
      </c>
      <c r="F100" s="4" t="s">
        <v>1261</v>
      </c>
      <c r="G100" s="8" t="n">
        <v>65</v>
      </c>
      <c r="H100" s="8" t="n">
        <v>8</v>
      </c>
      <c r="I100" s="4" t="s">
        <v>1265</v>
      </c>
      <c r="J100" s="8" t="n">
        <v>60</v>
      </c>
      <c r="K100" s="8" t="n">
        <v>2</v>
      </c>
      <c r="L100" s="4" t="s">
        <v>1259</v>
      </c>
      <c r="M100" s="8" t="n">
        <v>56</v>
      </c>
      <c r="N100" s="8" t="n">
        <f aca="false">IF(A100="","",G100-J100)</f>
        <v>5</v>
      </c>
      <c r="O100" s="8" t="n">
        <f aca="false">IF(A100="","",J100-M100)</f>
        <v>4</v>
      </c>
      <c r="P100" s="8" t="n">
        <f aca="false">IF(A100="","",G100+J100)</f>
        <v>125</v>
      </c>
      <c r="Q100" s="8" t="str">
        <f aca="false">IF(A100="","",IF(AND(Y100&lt;&gt;"参考",G100&gt;=ルール設定!$B$2),"○",""))</f>
        <v/>
      </c>
      <c r="R100" s="8" t="str">
        <f aca="false">IF(A100="","",IF(AND(Y100&lt;&gt;"参考",G100&gt;=ルール設定!$B$3,N100&gt;=ルール設定!$B$4),"○",""))</f>
        <v/>
      </c>
      <c r="S100" s="8" t="str">
        <f aca="false">IF(A100="","",IF(AND(Y100&lt;&gt;"参考",G100&gt;=ルール設定!$B$5,J100&gt;=ルール設定!$B$6,O100&gt;=ルール設定!$B$7),"○",""))</f>
        <v/>
      </c>
      <c r="T100" s="8" t="n">
        <v>2</v>
      </c>
      <c r="U100" s="8" t="n">
        <v>1</v>
      </c>
      <c r="V100" s="8" t="str">
        <f aca="false">IF(A100="","",IF(AND(ISNUMBER(T100),ISNUMBER(U100)),IF(AND(T100&lt;=3,U100&lt;=3),"○","×"),""))</f>
        <v>○</v>
      </c>
      <c r="W100" s="8" t="n">
        <v>140</v>
      </c>
      <c r="X100" s="8" t="n">
        <v>350</v>
      </c>
      <c r="Y100" s="4" t="s">
        <v>7597</v>
      </c>
      <c r="Z100" s="4" t="s">
        <v>7679</v>
      </c>
      <c r="AA100" s="8" t="str">
        <v/>
      </c>
      <c r="AB100" s="8" t="str">
        <v/>
      </c>
      <c r="AC100" s="8" t="str">
        <v/>
      </c>
      <c r="AD100" s="8" t="str">
        <v/>
      </c>
      <c r="AE100" s="8" t="str">
        <v/>
      </c>
      <c r="AF100" s="8" t="str">
        <v/>
      </c>
      <c r="AG100" s="8" t="str">
        <v/>
      </c>
      <c r="AH100" s="8" t="str">
        <v/>
      </c>
      <c r="AI100" s="8" t="n">
        <v>9</v>
      </c>
      <c r="AJ100" s="8" t="str">
        <v>60～69</v>
      </c>
      <c r="AK100" s="8" t="str">
        <v>5～9</v>
      </c>
      <c r="AL100" s="8" t="str">
        <v>0～9</v>
      </c>
      <c r="AM100" s="8" t="str">
        <v>120～139</v>
      </c>
      <c r="AN100" s="8" t="str">
        <v>12～14</v>
      </c>
      <c r="AO100" s="8" t="str">
        <f aca="false">IF(A100="","",IF(COUNTIFS(全馬データ!$A$2:$A$50000,A100,全馬データ!$B$2:$B$50000,B100,全馬データ!$C$2:$C$50000,C100,全馬データ!$D$2:$D$50000,E100,全馬データ!$K$2:$K$50000,"&lt;&gt;")=0,"",SUMIFS(全馬データ!$K$2:$K$50000,全馬データ!$A$2:$A$50000,A100,全馬データ!$B$2:$B$50000,B100,全馬データ!$C$2:$C$50000,C100,全馬データ!$D$2:$D$50000,E100)))</f>
        <v/>
      </c>
      <c r="AP100" s="8" t="str">
        <f aca="false">IF(A100="","",IF(AO100="","欠損",IF(AO100&lt;=1.1,"1.0～1.1",IF(AO100&lt;1.3,"1.2",IF(AO100&lt;1.5,"1.3～1.4",IF(AO100&lt;2,"1.5～1.9","2.0以上"))))))</f>
        <v>欠損</v>
      </c>
      <c r="AQ100" s="8" t="str">
        <f aca="false">IF(A100="","",IF(ISNUMBER(SEARCH("2歳",Z100)),"2歳戦",IF(ISNUMBER(SEARCH("3歳未勝利",Z100)),"3歳未勝利",IF(ISNUMBER(SEARCH("未勝利",Z100)),"その他未勝利",IF(ISNUMBER(SEARCH("G1",Z100)),"G1",IF(ISNUMBER(SEARCH("G2",Z100)),"G2",IF(ISNUMBER(SEARCH("G3",Z100)),"G3",IF(ISNUMBER(SEARCH("古馬条件",Z100)),"古馬条件戦",IF(ISNUMBER(SEARCH("重賞",Z100)),"重賞","分類不能")))))))))</f>
        <v>分類不能</v>
      </c>
      <c r="AR100" s="8"/>
      <c r="AS100" s="8" t="s">
        <v>7623</v>
      </c>
      <c r="AT100" s="8" t="s">
        <v>7624</v>
      </c>
      <c r="AU100" s="8" t="s">
        <v>7600</v>
      </c>
      <c r="AV100" s="4" t="s">
        <v>7601</v>
      </c>
      <c r="AW100" s="8"/>
      <c r="AX100" s="8"/>
      <c r="AY100" s="8" t="s">
        <v>7610</v>
      </c>
      <c r="AZ100" s="4" t="s">
        <v>7617</v>
      </c>
      <c r="BA100" s="8" t="n">
        <v>2400</v>
      </c>
      <c r="BB100" s="8" t="s">
        <v>7598</v>
      </c>
      <c r="BC100" s="4" t="s">
        <v>7604</v>
      </c>
      <c r="BD100" s="8" t="s">
        <v>7605</v>
      </c>
      <c r="BE100" s="4" t="s">
        <v>7606</v>
      </c>
      <c r="BF100" s="8" t="s">
        <v>7607</v>
      </c>
      <c r="BG100" s="8" t="s">
        <v>7608</v>
      </c>
      <c r="BH100" s="4" t="s">
        <v>7609</v>
      </c>
      <c r="BI100" s="8" t="n">
        <v>12</v>
      </c>
      <c r="BJ100" s="8" t="s">
        <v>7602</v>
      </c>
      <c r="BK100" s="4" t="s">
        <v>7653</v>
      </c>
      <c r="BL100" s="8" t="s">
        <v>7602</v>
      </c>
      <c r="BM100" s="4" t="s">
        <v>7620</v>
      </c>
      <c r="BN100" s="8"/>
      <c r="BO100" s="8"/>
      <c r="BP100" s="8" t="s">
        <v>7608</v>
      </c>
      <c r="BQ100" s="8" t="str">
        <f aca="false">IF(A100="","",AT100)</f>
        <v>3歳</v>
      </c>
      <c r="BR100" s="8" t="str">
        <f aca="false">IF(A100="","",IF(BA100&lt;=1200,"～1200",IF(BA100&lt;=1500,"1300～1500",IF(BA100=1600,"1600",IF(BA100&lt;=1800,"1700～1800",IF(BA100&lt;=2000,"1900～2000","2100以上"))))))</f>
        <v>2100以上</v>
      </c>
      <c r="BS100" s="8" t="str">
        <f aca="false">IF(A100="","",IF(AX100="G1","G1",IF(AX100="G2","G2",IF(AX100="G3","G3",IF(AX100="L","L","その他")))))</f>
        <v>その他</v>
      </c>
      <c r="BT100" s="8" t="str">
        <f aca="false">IF(A100="","",IF(BI100="","未結合",IF(D100=BI100,"一致","不一致")))</f>
        <v>一致</v>
      </c>
      <c r="BU100" s="8" t="str">
        <f aca="false">IF(A100="","",IF(BE100="牝馬限定","牝馬限定","その他"))</f>
        <v>その他</v>
      </c>
    </row>
    <row r="101" customFormat="false" ht="15.75" hidden="false" customHeight="false" outlineLevel="0" collapsed="false">
      <c r="A101" s="6" t="n">
        <v>46221</v>
      </c>
      <c r="B101" s="4" t="s">
        <v>1237</v>
      </c>
      <c r="C101" s="8" t="n">
        <v>4</v>
      </c>
      <c r="D101" s="8" t="n">
        <v>16</v>
      </c>
      <c r="E101" s="8" t="n">
        <v>8</v>
      </c>
      <c r="F101" s="4" t="s">
        <v>1276</v>
      </c>
      <c r="G101" s="8" t="n">
        <v>47</v>
      </c>
      <c r="H101" s="8" t="n">
        <v>1</v>
      </c>
      <c r="I101" s="4" t="s">
        <v>1270</v>
      </c>
      <c r="J101" s="8" t="n">
        <v>44</v>
      </c>
      <c r="K101" s="8" t="n">
        <v>14</v>
      </c>
      <c r="L101" s="4" t="s">
        <v>1282</v>
      </c>
      <c r="M101" s="8" t="n">
        <v>37</v>
      </c>
      <c r="N101" s="8" t="n">
        <f aca="false">IF(A101="","",G101-J101)</f>
        <v>3</v>
      </c>
      <c r="O101" s="8" t="n">
        <f aca="false">IF(A101="","",J101-M101)</f>
        <v>7</v>
      </c>
      <c r="P101" s="8" t="n">
        <f aca="false">IF(A101="","",G101+J101)</f>
        <v>91</v>
      </c>
      <c r="Q101" s="8" t="str">
        <f aca="false">IF(A101="","",IF(AND(Y101&lt;&gt;"参考",G101&gt;=ルール設定!$B$2),"○",""))</f>
        <v/>
      </c>
      <c r="R101" s="8" t="str">
        <f aca="false">IF(A101="","",IF(AND(Y101&lt;&gt;"参考",G101&gt;=ルール設定!$B$3,N101&gt;=ルール設定!$B$4),"○",""))</f>
        <v/>
      </c>
      <c r="S101" s="8" t="str">
        <f aca="false">IF(A101="","",IF(AND(Y101&lt;&gt;"参考",G101&gt;=ルール設定!$B$5,J101&gt;=ルール設定!$B$6,O101&gt;=ルール設定!$B$7),"○",""))</f>
        <v/>
      </c>
      <c r="T101" s="8" t="n">
        <v>1</v>
      </c>
      <c r="U101" s="8" t="n">
        <v>4</v>
      </c>
      <c r="V101" s="8" t="str">
        <f aca="false">IF(A101="","",IF(AND(ISNUMBER(T101),ISNUMBER(U101)),IF(AND(T101&lt;=3,U101&lt;=3),"○","×"),""))</f>
        <v>×</v>
      </c>
      <c r="W101" s="8" t="n">
        <v>130</v>
      </c>
      <c r="X101" s="8"/>
      <c r="Y101" s="4" t="s">
        <v>7597</v>
      </c>
      <c r="Z101" s="4" t="s">
        <v>7679</v>
      </c>
      <c r="AA101" s="8" t="str">
        <v/>
      </c>
      <c r="AB101" s="8" t="str">
        <v/>
      </c>
      <c r="AC101" s="8" t="str">
        <v/>
      </c>
      <c r="AD101" s="8" t="str">
        <v/>
      </c>
      <c r="AE101" s="8" t="str">
        <v/>
      </c>
      <c r="AF101" s="8" t="str">
        <v/>
      </c>
      <c r="AG101" s="8" t="str">
        <v/>
      </c>
      <c r="AH101" s="8" t="str">
        <v/>
      </c>
      <c r="AI101" s="8" t="n">
        <v>10</v>
      </c>
      <c r="AJ101" s="8" t="str">
        <v>～59</v>
      </c>
      <c r="AK101" s="8" t="str">
        <v>0～4</v>
      </c>
      <c r="AL101" s="8" t="str">
        <v>10～19</v>
      </c>
      <c r="AM101" s="8" t="str">
        <v>～99</v>
      </c>
      <c r="AN101" s="8" t="str">
        <v>15以上</v>
      </c>
      <c r="AO101" s="8" t="str">
        <f aca="false">IF(A101="","",IF(COUNTIFS(全馬データ!$A$2:$A$50000,A101,全馬データ!$B$2:$B$50000,B101,全馬データ!$C$2:$C$50000,C101,全馬データ!$D$2:$D$50000,E101,全馬データ!$K$2:$K$50000,"&lt;&gt;")=0,"",SUMIFS(全馬データ!$K$2:$K$50000,全馬データ!$A$2:$A$50000,A101,全馬データ!$B$2:$B$50000,B101,全馬データ!$C$2:$C$50000,C101,全馬データ!$D$2:$D$50000,E101)))</f>
        <v/>
      </c>
      <c r="AP101" s="8" t="str">
        <f aca="false">IF(A101="","",IF(AO101="","欠損",IF(AO101&lt;=1.1,"1.0～1.1",IF(AO101&lt;1.3,"1.2",IF(AO101&lt;1.5,"1.3～1.4",IF(AO101&lt;2,"1.5～1.9","2.0以上"))))))</f>
        <v>欠損</v>
      </c>
      <c r="AQ101" s="8" t="str">
        <f aca="false">IF(A101="","",IF(ISNUMBER(SEARCH("2歳",Z101)),"2歳戦",IF(ISNUMBER(SEARCH("3歳未勝利",Z101)),"3歳未勝利",IF(ISNUMBER(SEARCH("未勝利",Z101)),"その他未勝利",IF(ISNUMBER(SEARCH("G1",Z101)),"G1",IF(ISNUMBER(SEARCH("G2",Z101)),"G2",IF(ISNUMBER(SEARCH("G3",Z101)),"G3",IF(ISNUMBER(SEARCH("古馬条件",Z101)),"古馬条件戦",IF(ISNUMBER(SEARCH("重賞",Z101)),"重賞","分類不能")))))))))</f>
        <v>分類不能</v>
      </c>
      <c r="AR101" s="8"/>
      <c r="AS101" s="8" t="s">
        <v>7623</v>
      </c>
      <c r="AT101" s="8" t="s">
        <v>7624</v>
      </c>
      <c r="AU101" s="8" t="s">
        <v>7600</v>
      </c>
      <c r="AV101" s="4" t="s">
        <v>7601</v>
      </c>
      <c r="AW101" s="8"/>
      <c r="AX101" s="8"/>
      <c r="AY101" s="8" t="s">
        <v>7602</v>
      </c>
      <c r="AZ101" s="4" t="s">
        <v>7603</v>
      </c>
      <c r="BA101" s="8" t="n">
        <v>1200</v>
      </c>
      <c r="BB101" s="8" t="s">
        <v>7598</v>
      </c>
      <c r="BC101" s="4" t="s">
        <v>7604</v>
      </c>
      <c r="BD101" s="8" t="s">
        <v>7625</v>
      </c>
      <c r="BE101" s="4" t="s">
        <v>7606</v>
      </c>
      <c r="BF101" s="8" t="s">
        <v>7607</v>
      </c>
      <c r="BG101" s="8" t="s">
        <v>7608</v>
      </c>
      <c r="BH101" s="4" t="s">
        <v>7609</v>
      </c>
      <c r="BI101" s="8" t="n">
        <v>16</v>
      </c>
      <c r="BJ101" s="8" t="s">
        <v>7602</v>
      </c>
      <c r="BK101" s="4" t="s">
        <v>7653</v>
      </c>
      <c r="BL101" s="8" t="s">
        <v>7602</v>
      </c>
      <c r="BM101" s="4" t="s">
        <v>7620</v>
      </c>
      <c r="BN101" s="8" t="s">
        <v>7631</v>
      </c>
      <c r="BO101" s="8" t="s">
        <v>7680</v>
      </c>
      <c r="BP101" s="8" t="s">
        <v>7608</v>
      </c>
      <c r="BQ101" s="8" t="str">
        <f aca="false">IF(A101="","",AT101)</f>
        <v>3歳</v>
      </c>
      <c r="BR101" s="8" t="str">
        <f aca="false">IF(A101="","",IF(BA101&lt;=1200,"～1200",IF(BA101&lt;=1500,"1300～1500",IF(BA101=1600,"1600",IF(BA101&lt;=1800,"1700～1800",IF(BA101&lt;=2000,"1900～2000","2100以上"))))))</f>
        <v>～1200</v>
      </c>
      <c r="BS101" s="8" t="str">
        <f aca="false">IF(A101="","",IF(AX101="G1","G1",IF(AX101="G2","G2",IF(AX101="G3","G3",IF(AX101="L","L","その他")))))</f>
        <v>その他</v>
      </c>
      <c r="BT101" s="8" t="str">
        <f aca="false">IF(A101="","",IF(BI101="","未結合",IF(D101=BI101,"一致","不一致")))</f>
        <v>一致</v>
      </c>
      <c r="BU101" s="8" t="str">
        <f aca="false">IF(A101="","",IF(BE101="牝馬限定","牝馬限定","その他"))</f>
        <v>その他</v>
      </c>
    </row>
    <row r="102" customFormat="false" ht="15.75" hidden="false" customHeight="false" outlineLevel="0" collapsed="false">
      <c r="A102" s="6" t="n">
        <v>46221</v>
      </c>
      <c r="B102" s="4" t="s">
        <v>1237</v>
      </c>
      <c r="C102" s="8" t="n">
        <v>5</v>
      </c>
      <c r="D102" s="8" t="n">
        <v>14</v>
      </c>
      <c r="E102" s="8" t="n">
        <v>14</v>
      </c>
      <c r="F102" s="4" t="s">
        <v>1298</v>
      </c>
      <c r="G102" s="8" t="n">
        <v>50</v>
      </c>
      <c r="H102" s="8" t="n">
        <v>6</v>
      </c>
      <c r="I102" s="4" t="s">
        <v>1290</v>
      </c>
      <c r="J102" s="8" t="n">
        <v>47</v>
      </c>
      <c r="K102" s="8" t="n">
        <v>3</v>
      </c>
      <c r="L102" s="4" t="s">
        <v>1287</v>
      </c>
      <c r="M102" s="8" t="n">
        <v>41</v>
      </c>
      <c r="N102" s="8" t="n">
        <f aca="false">IF(A102="","",G102-J102)</f>
        <v>3</v>
      </c>
      <c r="O102" s="8" t="n">
        <f aca="false">IF(A102="","",J102-M102)</f>
        <v>6</v>
      </c>
      <c r="P102" s="8" t="n">
        <f aca="false">IF(A102="","",G102+J102)</f>
        <v>97</v>
      </c>
      <c r="Q102" s="8" t="str">
        <f aca="false">IF(A102="","",IF(AND(Y102&lt;&gt;"参考",G102&gt;=ルール設定!$B$2),"○",""))</f>
        <v/>
      </c>
      <c r="R102" s="8" t="str">
        <f aca="false">IF(A102="","",IF(AND(Y102&lt;&gt;"参考",G102&gt;=ルール設定!$B$3,N102&gt;=ルール設定!$B$4),"○",""))</f>
        <v/>
      </c>
      <c r="S102" s="8" t="str">
        <f aca="false">IF(A102="","",IF(AND(Y102&lt;&gt;"参考",G102&gt;=ルール設定!$B$5,J102&gt;=ルール設定!$B$6,O102&gt;=ルール設定!$B$7),"○",""))</f>
        <v/>
      </c>
      <c r="T102" s="8" t="n">
        <v>4</v>
      </c>
      <c r="U102" s="8" t="n">
        <v>3</v>
      </c>
      <c r="V102" s="8" t="str">
        <f aca="false">IF(A102="","",IF(AND(ISNUMBER(T102),ISNUMBER(U102)),IF(AND(T102&lt;=3,U102&lt;=3),"○","×"),""))</f>
        <v>×</v>
      </c>
      <c r="W102" s="8"/>
      <c r="X102" s="8"/>
      <c r="Y102" s="4" t="s">
        <v>7597</v>
      </c>
      <c r="Z102" s="4" t="s">
        <v>7679</v>
      </c>
      <c r="AA102" s="8" t="str">
        <v/>
      </c>
      <c r="AB102" s="8" t="str">
        <v/>
      </c>
      <c r="AC102" s="8" t="str">
        <v/>
      </c>
      <c r="AD102" s="8" t="str">
        <v/>
      </c>
      <c r="AE102" s="8" t="str">
        <v/>
      </c>
      <c r="AF102" s="8" t="str">
        <v/>
      </c>
      <c r="AG102" s="8" t="str">
        <v/>
      </c>
      <c r="AH102" s="8" t="str">
        <v/>
      </c>
      <c r="AI102" s="8" t="n">
        <v>9</v>
      </c>
      <c r="AJ102" s="8" t="str">
        <v>～59</v>
      </c>
      <c r="AK102" s="8" t="str">
        <v>0～4</v>
      </c>
      <c r="AL102" s="8" t="str">
        <v>0～9</v>
      </c>
      <c r="AM102" s="8" t="str">
        <v>～99</v>
      </c>
      <c r="AN102" s="8" t="str">
        <v>12～14</v>
      </c>
      <c r="AO102" s="8" t="str">
        <f aca="false">IF(A102="","",IF(COUNTIFS(全馬データ!$A$2:$A$50000,A102,全馬データ!$B$2:$B$50000,B102,全馬データ!$C$2:$C$50000,C102,全馬データ!$D$2:$D$50000,E102,全馬データ!$K$2:$K$50000,"&lt;&gt;")=0,"",SUMIFS(全馬データ!$K$2:$K$50000,全馬データ!$A$2:$A$50000,A102,全馬データ!$B$2:$B$50000,B102,全馬データ!$C$2:$C$50000,C102,全馬データ!$D$2:$D$50000,E102)))</f>
        <v/>
      </c>
      <c r="AP102" s="8" t="str">
        <f aca="false">IF(A102="","",IF(AO102="","欠損",IF(AO102&lt;=1.1,"1.0～1.1",IF(AO102&lt;1.3,"1.2",IF(AO102&lt;1.5,"1.3～1.4",IF(AO102&lt;2,"1.5～1.9","2.0以上"))))))</f>
        <v>欠損</v>
      </c>
      <c r="AQ102" s="8" t="str">
        <f aca="false">IF(A102="","",IF(ISNUMBER(SEARCH("2歳",Z102)),"2歳戦",IF(ISNUMBER(SEARCH("3歳未勝利",Z102)),"3歳未勝利",IF(ISNUMBER(SEARCH("未勝利",Z102)),"その他未勝利",IF(ISNUMBER(SEARCH("G1",Z102)),"G1",IF(ISNUMBER(SEARCH("G2",Z102)),"G2",IF(ISNUMBER(SEARCH("G3",Z102)),"G3",IF(ISNUMBER(SEARCH("古馬条件",Z102)),"古馬条件戦",IF(ISNUMBER(SEARCH("重賞",Z102)),"重賞","分類不能")))))))))</f>
        <v>分類不能</v>
      </c>
      <c r="AR102" s="8"/>
      <c r="AS102" s="8" t="s">
        <v>7623</v>
      </c>
      <c r="AT102" s="8" t="s">
        <v>7624</v>
      </c>
      <c r="AU102" s="8" t="s">
        <v>7600</v>
      </c>
      <c r="AV102" s="4" t="s">
        <v>7601</v>
      </c>
      <c r="AW102" s="8"/>
      <c r="AX102" s="8"/>
      <c r="AY102" s="8" t="s">
        <v>7610</v>
      </c>
      <c r="AZ102" s="4" t="s">
        <v>7617</v>
      </c>
      <c r="BA102" s="8" t="n">
        <v>1700</v>
      </c>
      <c r="BB102" s="8" t="s">
        <v>7598</v>
      </c>
      <c r="BC102" s="4" t="s">
        <v>7604</v>
      </c>
      <c r="BD102" s="8" t="s">
        <v>7625</v>
      </c>
      <c r="BE102" s="4" t="s">
        <v>7606</v>
      </c>
      <c r="BF102" s="8" t="s">
        <v>7607</v>
      </c>
      <c r="BG102" s="8" t="s">
        <v>7608</v>
      </c>
      <c r="BH102" s="4" t="s">
        <v>7609</v>
      </c>
      <c r="BI102" s="8" t="n">
        <v>14</v>
      </c>
      <c r="BJ102" s="8" t="s">
        <v>7602</v>
      </c>
      <c r="BK102" s="4" t="s">
        <v>7653</v>
      </c>
      <c r="BL102" s="8" t="s">
        <v>7602</v>
      </c>
      <c r="BM102" s="4" t="s">
        <v>7620</v>
      </c>
      <c r="BN102" s="8"/>
      <c r="BO102" s="8"/>
      <c r="BP102" s="8" t="s">
        <v>7608</v>
      </c>
      <c r="BQ102" s="8" t="str">
        <f aca="false">IF(A102="","",AT102)</f>
        <v>3歳</v>
      </c>
      <c r="BR102" s="8" t="str">
        <f aca="false">IF(A102="","",IF(BA102&lt;=1200,"～1200",IF(BA102&lt;=1500,"1300～1500",IF(BA102=1600,"1600",IF(BA102&lt;=1800,"1700～1800",IF(BA102&lt;=2000,"1900～2000","2100以上"))))))</f>
        <v>1700～1800</v>
      </c>
      <c r="BS102" s="8" t="str">
        <f aca="false">IF(A102="","",IF(AX102="G1","G1",IF(AX102="G2","G2",IF(AX102="G3","G3",IF(AX102="L","L","その他")))))</f>
        <v>その他</v>
      </c>
      <c r="BT102" s="8" t="str">
        <f aca="false">IF(A102="","",IF(BI102="","未結合",IF(D102=BI102,"一致","不一致")))</f>
        <v>一致</v>
      </c>
      <c r="BU102" s="8" t="str">
        <f aca="false">IF(A102="","",IF(BE102="牝馬限定","牝馬限定","その他"))</f>
        <v>その他</v>
      </c>
    </row>
    <row r="103" customFormat="false" ht="15.75" hidden="false" customHeight="false" outlineLevel="0" collapsed="false">
      <c r="A103" s="6" t="n">
        <v>46221</v>
      </c>
      <c r="B103" s="4" t="s">
        <v>1237</v>
      </c>
      <c r="C103" s="8" t="n">
        <v>6</v>
      </c>
      <c r="D103" s="8" t="n">
        <v>12</v>
      </c>
      <c r="E103" s="8" t="n">
        <v>2</v>
      </c>
      <c r="F103" s="4" t="s">
        <v>1300</v>
      </c>
      <c r="G103" s="8" t="n">
        <v>62</v>
      </c>
      <c r="H103" s="8" t="n">
        <v>12</v>
      </c>
      <c r="I103" s="4" t="s">
        <v>1310</v>
      </c>
      <c r="J103" s="8" t="n">
        <v>52</v>
      </c>
      <c r="K103" s="8" t="n">
        <v>5</v>
      </c>
      <c r="L103" s="4" t="s">
        <v>1303</v>
      </c>
      <c r="M103" s="8" t="n">
        <v>39</v>
      </c>
      <c r="N103" s="8" t="n">
        <f aca="false">IF(A103="","",G103-J103)</f>
        <v>10</v>
      </c>
      <c r="O103" s="8" t="n">
        <f aca="false">IF(A103="","",J103-M103)</f>
        <v>13</v>
      </c>
      <c r="P103" s="8" t="n">
        <f aca="false">IF(A103="","",G103+J103)</f>
        <v>114</v>
      </c>
      <c r="Q103" s="8" t="str">
        <f aca="false">IF(A103="","",IF(AND(Y103&lt;&gt;"参考",G103&gt;=ルール設定!$B$2),"○",""))</f>
        <v/>
      </c>
      <c r="R103" s="8" t="str">
        <f aca="false">IF(A103="","",IF(AND(Y103&lt;&gt;"参考",G103&gt;=ルール設定!$B$3,N103&gt;=ルール設定!$B$4),"○",""))</f>
        <v/>
      </c>
      <c r="S103" s="8" t="str">
        <f aca="false">IF(A103="","",IF(AND(Y103&lt;&gt;"参考",G103&gt;=ルール設定!$B$5,J103&gt;=ルール設定!$B$6,O103&gt;=ルール設定!$B$7),"○",""))</f>
        <v/>
      </c>
      <c r="T103" s="8" t="n">
        <v>2</v>
      </c>
      <c r="U103" s="8" t="n">
        <v>1</v>
      </c>
      <c r="V103" s="8" t="str">
        <f aca="false">IF(A103="","",IF(AND(ISNUMBER(T103),ISNUMBER(U103)),IF(AND(T103&lt;=3,U103&lt;=3),"○","×"),""))</f>
        <v>○</v>
      </c>
      <c r="W103" s="8" t="n">
        <v>110</v>
      </c>
      <c r="X103" s="8" t="n">
        <v>170</v>
      </c>
      <c r="Y103" s="4" t="s">
        <v>7597</v>
      </c>
      <c r="Z103" s="4" t="s">
        <v>7679</v>
      </c>
      <c r="AA103" s="8" t="str">
        <v/>
      </c>
      <c r="AB103" s="8" t="str">
        <v/>
      </c>
      <c r="AC103" s="8" t="str">
        <v/>
      </c>
      <c r="AD103" s="8" t="str">
        <v/>
      </c>
      <c r="AE103" s="8" t="str">
        <v/>
      </c>
      <c r="AF103" s="8" t="str">
        <v/>
      </c>
      <c r="AG103" s="8" t="str">
        <v/>
      </c>
      <c r="AH103" s="8" t="str">
        <v/>
      </c>
      <c r="AI103" s="8" t="n">
        <v>23</v>
      </c>
      <c r="AJ103" s="8" t="str">
        <v>60～69</v>
      </c>
      <c r="AK103" s="8" t="str">
        <v>10～19</v>
      </c>
      <c r="AL103" s="8" t="str">
        <v>20～29</v>
      </c>
      <c r="AM103" s="8" t="str">
        <v>100～119</v>
      </c>
      <c r="AN103" s="8" t="str">
        <v>12～14</v>
      </c>
      <c r="AO103" s="8" t="str">
        <f aca="false">IF(A103="","",IF(COUNTIFS(全馬データ!$A$2:$A$50000,A103,全馬データ!$B$2:$B$50000,B103,全馬データ!$C$2:$C$50000,C103,全馬データ!$D$2:$D$50000,E103,全馬データ!$K$2:$K$50000,"&lt;&gt;")=0,"",SUMIFS(全馬データ!$K$2:$K$50000,全馬データ!$A$2:$A$50000,A103,全馬データ!$B$2:$B$50000,B103,全馬データ!$C$2:$C$50000,C103,全馬データ!$D$2:$D$50000,E103)))</f>
        <v/>
      </c>
      <c r="AP103" s="8" t="str">
        <f aca="false">IF(A103="","",IF(AO103="","欠損",IF(AO103&lt;=1.1,"1.0～1.1",IF(AO103&lt;1.3,"1.2",IF(AO103&lt;1.5,"1.3～1.4",IF(AO103&lt;2,"1.5～1.9","2.0以上"))))))</f>
        <v>欠損</v>
      </c>
      <c r="AQ103" s="8" t="str">
        <f aca="false">IF(A103="","",IF(ISNUMBER(SEARCH("2歳",Z103)),"2歳戦",IF(ISNUMBER(SEARCH("3歳未勝利",Z103)),"3歳未勝利",IF(ISNUMBER(SEARCH("未勝利",Z103)),"その他未勝利",IF(ISNUMBER(SEARCH("G1",Z103)),"G1",IF(ISNUMBER(SEARCH("G2",Z103)),"G2",IF(ISNUMBER(SEARCH("G3",Z103)),"G3",IF(ISNUMBER(SEARCH("古馬条件",Z103)),"古馬条件戦",IF(ISNUMBER(SEARCH("重賞",Z103)),"重賞","分類不能")))))))))</f>
        <v>分類不能</v>
      </c>
      <c r="AR103" s="8"/>
      <c r="AS103" s="8" t="s">
        <v>7623</v>
      </c>
      <c r="AT103" s="8" t="s">
        <v>7624</v>
      </c>
      <c r="AU103" s="8" t="s">
        <v>7600</v>
      </c>
      <c r="AV103" s="4" t="s">
        <v>7601</v>
      </c>
      <c r="AW103" s="8"/>
      <c r="AX103" s="8"/>
      <c r="AY103" s="8" t="s">
        <v>7602</v>
      </c>
      <c r="AZ103" s="4" t="s">
        <v>7603</v>
      </c>
      <c r="BA103" s="8" t="n">
        <v>1800</v>
      </c>
      <c r="BB103" s="8" t="s">
        <v>7598</v>
      </c>
      <c r="BC103" s="4" t="s">
        <v>7604</v>
      </c>
      <c r="BD103" s="8" t="s">
        <v>7625</v>
      </c>
      <c r="BE103" s="4" t="s">
        <v>7606</v>
      </c>
      <c r="BF103" s="8" t="s">
        <v>7607</v>
      </c>
      <c r="BG103" s="8" t="s">
        <v>7608</v>
      </c>
      <c r="BH103" s="4" t="s">
        <v>7609</v>
      </c>
      <c r="BI103" s="8" t="n">
        <v>12</v>
      </c>
      <c r="BJ103" s="8" t="s">
        <v>7602</v>
      </c>
      <c r="BK103" s="4" t="s">
        <v>7653</v>
      </c>
      <c r="BL103" s="8" t="s">
        <v>7602</v>
      </c>
      <c r="BM103" s="4" t="s">
        <v>7620</v>
      </c>
      <c r="BN103" s="8" t="s">
        <v>7631</v>
      </c>
      <c r="BO103" s="8" t="s">
        <v>7680</v>
      </c>
      <c r="BP103" s="8" t="s">
        <v>7608</v>
      </c>
      <c r="BQ103" s="8" t="str">
        <f aca="false">IF(A103="","",AT103)</f>
        <v>3歳</v>
      </c>
      <c r="BR103" s="8" t="str">
        <f aca="false">IF(A103="","",IF(BA103&lt;=1200,"～1200",IF(BA103&lt;=1500,"1300～1500",IF(BA103=1600,"1600",IF(BA103&lt;=1800,"1700～1800",IF(BA103&lt;=2000,"1900～2000","2100以上"))))))</f>
        <v>1700～1800</v>
      </c>
      <c r="BS103" s="8" t="str">
        <f aca="false">IF(A103="","",IF(AX103="G1","G1",IF(AX103="G2","G2",IF(AX103="G3","G3",IF(AX103="L","L","その他")))))</f>
        <v>その他</v>
      </c>
      <c r="BT103" s="8" t="str">
        <f aca="false">IF(A103="","",IF(BI103="","未結合",IF(D103=BI103,"一致","不一致")))</f>
        <v>一致</v>
      </c>
      <c r="BU103" s="8" t="str">
        <f aca="false">IF(A103="","",IF(BE103="牝馬限定","牝馬限定","その他"))</f>
        <v>その他</v>
      </c>
    </row>
    <row r="104" customFormat="false" ht="15.75" hidden="false" customHeight="false" outlineLevel="0" collapsed="false">
      <c r="A104" s="6" t="n">
        <v>46221</v>
      </c>
      <c r="B104" s="4" t="s">
        <v>1237</v>
      </c>
      <c r="C104" s="8" t="n">
        <v>7</v>
      </c>
      <c r="D104" s="8" t="n">
        <v>14</v>
      </c>
      <c r="E104" s="8" t="n">
        <v>8</v>
      </c>
      <c r="F104" s="4" t="s">
        <v>1318</v>
      </c>
      <c r="G104" s="8" t="n">
        <v>52</v>
      </c>
      <c r="H104" s="8" t="n">
        <v>5</v>
      </c>
      <c r="I104" s="4" t="s">
        <v>1315</v>
      </c>
      <c r="J104" s="8" t="n">
        <v>50</v>
      </c>
      <c r="K104" s="8" t="n">
        <v>1</v>
      </c>
      <c r="L104" s="4" t="s">
        <v>1311</v>
      </c>
      <c r="M104" s="8" t="n">
        <v>47</v>
      </c>
      <c r="N104" s="8" t="n">
        <f aca="false">IF(A104="","",G104-J104)</f>
        <v>2</v>
      </c>
      <c r="O104" s="8" t="n">
        <f aca="false">IF(A104="","",J104-M104)</f>
        <v>3</v>
      </c>
      <c r="P104" s="8" t="n">
        <f aca="false">IF(A104="","",G104+J104)</f>
        <v>102</v>
      </c>
      <c r="Q104" s="8" t="str">
        <f aca="false">IF(A104="","",IF(AND(Y104&lt;&gt;"参考",G104&gt;=ルール設定!$B$2),"○",""))</f>
        <v/>
      </c>
      <c r="R104" s="8" t="str">
        <f aca="false">IF(A104="","",IF(AND(Y104&lt;&gt;"参考",G104&gt;=ルール設定!$B$3,N104&gt;=ルール設定!$B$4),"○",""))</f>
        <v/>
      </c>
      <c r="S104" s="8" t="str">
        <f aca="false">IF(A104="","",IF(AND(Y104&lt;&gt;"参考",G104&gt;=ルール設定!$B$5,J104&gt;=ルール設定!$B$6,O104&gt;=ルール設定!$B$7),"○",""))</f>
        <v/>
      </c>
      <c r="T104" s="8" t="n">
        <v>1</v>
      </c>
      <c r="U104" s="8" t="n">
        <v>4</v>
      </c>
      <c r="V104" s="8" t="str">
        <f aca="false">IF(A104="","",IF(AND(ISNUMBER(T104),ISNUMBER(U104)),IF(AND(T104&lt;=3,U104&lt;=3),"○","×"),""))</f>
        <v>×</v>
      </c>
      <c r="W104" s="8" t="n">
        <v>140</v>
      </c>
      <c r="X104" s="8"/>
      <c r="Y104" s="4" t="s">
        <v>7597</v>
      </c>
      <c r="Z104" s="4" t="s">
        <v>7679</v>
      </c>
      <c r="AA104" s="8" t="str">
        <v/>
      </c>
      <c r="AB104" s="8" t="str">
        <v/>
      </c>
      <c r="AC104" s="8" t="str">
        <v/>
      </c>
      <c r="AD104" s="8" t="str">
        <v/>
      </c>
      <c r="AE104" s="8" t="str">
        <v/>
      </c>
      <c r="AF104" s="8" t="str">
        <v/>
      </c>
      <c r="AG104" s="8" t="str">
        <v/>
      </c>
      <c r="AH104" s="8" t="str">
        <v/>
      </c>
      <c r="AI104" s="8" t="n">
        <v>5</v>
      </c>
      <c r="AJ104" s="8" t="str">
        <v>～59</v>
      </c>
      <c r="AK104" s="8" t="str">
        <v>0～4</v>
      </c>
      <c r="AL104" s="8" t="str">
        <v>0～9</v>
      </c>
      <c r="AM104" s="8" t="str">
        <v>100～119</v>
      </c>
      <c r="AN104" s="8" t="str">
        <v>12～14</v>
      </c>
      <c r="AO104" s="8" t="str">
        <f aca="false">IF(A104="","",IF(COUNTIFS(全馬データ!$A$2:$A$50000,A104,全馬データ!$B$2:$B$50000,B104,全馬データ!$C$2:$C$50000,C104,全馬データ!$D$2:$D$50000,E104,全馬データ!$K$2:$K$50000,"&lt;&gt;")=0,"",SUMIFS(全馬データ!$K$2:$K$50000,全馬データ!$A$2:$A$50000,A104,全馬データ!$B$2:$B$50000,B104,全馬データ!$C$2:$C$50000,C104,全馬データ!$D$2:$D$50000,E104)))</f>
        <v/>
      </c>
      <c r="AP104" s="8" t="str">
        <f aca="false">IF(A104="","",IF(AO104="","欠損",IF(AO104&lt;=1.1,"1.0～1.1",IF(AO104&lt;1.3,"1.2",IF(AO104&lt;1.5,"1.3～1.4",IF(AO104&lt;2,"1.5～1.9","2.0以上"))))))</f>
        <v>欠損</v>
      </c>
      <c r="AQ104" s="8" t="str">
        <f aca="false">IF(A104="","",IF(ISNUMBER(SEARCH("2歳",Z104)),"2歳戦",IF(ISNUMBER(SEARCH("3歳未勝利",Z104)),"3歳未勝利",IF(ISNUMBER(SEARCH("未勝利",Z104)),"その他未勝利",IF(ISNUMBER(SEARCH("G1",Z104)),"G1",IF(ISNUMBER(SEARCH("G2",Z104)),"G2",IF(ISNUMBER(SEARCH("G3",Z104)),"G3",IF(ISNUMBER(SEARCH("古馬条件",Z104)),"古馬条件戦",IF(ISNUMBER(SEARCH("重賞",Z104)),"重賞","分類不能")))))))))</f>
        <v>分類不能</v>
      </c>
      <c r="AR104" s="8"/>
      <c r="AS104" s="8" t="s">
        <v>7626</v>
      </c>
      <c r="AT104" s="8" t="s">
        <v>7627</v>
      </c>
      <c r="AU104" s="8" t="s">
        <v>7628</v>
      </c>
      <c r="AV104" s="8" t="s">
        <v>7629</v>
      </c>
      <c r="AW104" s="8"/>
      <c r="AX104" s="8"/>
      <c r="AY104" s="8" t="s">
        <v>7610</v>
      </c>
      <c r="AZ104" s="4" t="s">
        <v>7617</v>
      </c>
      <c r="BA104" s="8" t="n">
        <v>1700</v>
      </c>
      <c r="BB104" s="8" t="s">
        <v>7598</v>
      </c>
      <c r="BC104" s="4" t="s">
        <v>7604</v>
      </c>
      <c r="BD104" s="8" t="s">
        <v>7605</v>
      </c>
      <c r="BE104" s="4" t="s">
        <v>7606</v>
      </c>
      <c r="BF104" s="8" t="s">
        <v>7607</v>
      </c>
      <c r="BG104" s="8" t="s">
        <v>7631</v>
      </c>
      <c r="BH104" s="4" t="s">
        <v>7632</v>
      </c>
      <c r="BI104" s="8" t="n">
        <v>14</v>
      </c>
      <c r="BJ104" s="8" t="s">
        <v>7602</v>
      </c>
      <c r="BK104" s="4" t="s">
        <v>7653</v>
      </c>
      <c r="BL104" s="8" t="s">
        <v>7602</v>
      </c>
      <c r="BM104" s="4" t="s">
        <v>7620</v>
      </c>
      <c r="BN104" s="8"/>
      <c r="BO104" s="8"/>
      <c r="BP104" s="8" t="s">
        <v>7608</v>
      </c>
      <c r="BQ104" s="8" t="str">
        <f aca="false">IF(A104="","",AT104)</f>
        <v>3歳以上</v>
      </c>
      <c r="BR104" s="8" t="str">
        <f aca="false">IF(A104="","",IF(BA104&lt;=1200,"～1200",IF(BA104&lt;=1500,"1300～1500",IF(BA104=1600,"1600",IF(BA104&lt;=1800,"1700～1800",IF(BA104&lt;=2000,"1900～2000","2100以上"))))))</f>
        <v>1700～1800</v>
      </c>
      <c r="BS104" s="8" t="str">
        <f aca="false">IF(A104="","",IF(AX104="G1","G1",IF(AX104="G2","G2",IF(AX104="G3","G3",IF(AX104="L","L","その他")))))</f>
        <v>その他</v>
      </c>
      <c r="BT104" s="8" t="str">
        <f aca="false">IF(A104="","",IF(BI104="","未結合",IF(D104=BI104,"一致","不一致")))</f>
        <v>一致</v>
      </c>
      <c r="BU104" s="8" t="str">
        <f aca="false">IF(A104="","",IF(BE104="牝馬限定","牝馬限定","その他"))</f>
        <v>その他</v>
      </c>
    </row>
    <row r="105" customFormat="false" ht="15.75" hidden="false" customHeight="false" outlineLevel="0" collapsed="false">
      <c r="A105" s="6" t="n">
        <v>46221</v>
      </c>
      <c r="B105" s="4" t="s">
        <v>1237</v>
      </c>
      <c r="C105" s="8" t="n">
        <v>8</v>
      </c>
      <c r="D105" s="8" t="n">
        <v>12</v>
      </c>
      <c r="E105" s="8" t="n">
        <v>5</v>
      </c>
      <c r="F105" s="4" t="s">
        <v>1329</v>
      </c>
      <c r="G105" s="8" t="n">
        <v>55</v>
      </c>
      <c r="H105" s="8" t="n">
        <v>4</v>
      </c>
      <c r="I105" s="4" t="s">
        <v>1328</v>
      </c>
      <c r="J105" s="8" t="n">
        <v>47</v>
      </c>
      <c r="K105" s="8" t="n">
        <v>10</v>
      </c>
      <c r="L105" s="4" t="s">
        <v>1334</v>
      </c>
      <c r="M105" s="8" t="n">
        <v>41</v>
      </c>
      <c r="N105" s="8" t="n">
        <f aca="false">IF(A105="","",G105-J105)</f>
        <v>8</v>
      </c>
      <c r="O105" s="8" t="n">
        <f aca="false">IF(A105="","",J105-M105)</f>
        <v>6</v>
      </c>
      <c r="P105" s="8" t="n">
        <f aca="false">IF(A105="","",G105+J105)</f>
        <v>102</v>
      </c>
      <c r="Q105" s="8" t="str">
        <f aca="false">IF(A105="","",IF(AND(Y105&lt;&gt;"参考",G105&gt;=ルール設定!$B$2),"○",""))</f>
        <v/>
      </c>
      <c r="R105" s="8" t="str">
        <f aca="false">IF(A105="","",IF(AND(Y105&lt;&gt;"参考",G105&gt;=ルール設定!$B$3,N105&gt;=ルール設定!$B$4),"○",""))</f>
        <v/>
      </c>
      <c r="S105" s="8" t="str">
        <f aca="false">IF(A105="","",IF(AND(Y105&lt;&gt;"参考",G105&gt;=ルール設定!$B$5,J105&gt;=ルール設定!$B$6,O105&gt;=ルール設定!$B$7),"○",""))</f>
        <v/>
      </c>
      <c r="T105" s="8" t="n">
        <v>4</v>
      </c>
      <c r="U105" s="8" t="n">
        <v>4</v>
      </c>
      <c r="V105" s="8" t="str">
        <f aca="false">IF(A105="","",IF(AND(ISNUMBER(T105),ISNUMBER(U105)),IF(AND(T105&lt;=3,U105&lt;=3),"○","×"),""))</f>
        <v>×</v>
      </c>
      <c r="W105" s="8"/>
      <c r="X105" s="8"/>
      <c r="Y105" s="4" t="s">
        <v>7597</v>
      </c>
      <c r="Z105" s="4" t="s">
        <v>7679</v>
      </c>
      <c r="AA105" s="8" t="str">
        <v/>
      </c>
      <c r="AB105" s="8" t="str">
        <v/>
      </c>
      <c r="AC105" s="8" t="str">
        <v/>
      </c>
      <c r="AD105" s="8" t="str">
        <v/>
      </c>
      <c r="AE105" s="8" t="str">
        <v/>
      </c>
      <c r="AF105" s="8" t="str">
        <v/>
      </c>
      <c r="AG105" s="8" t="str">
        <v/>
      </c>
      <c r="AH105" s="8" t="str">
        <v/>
      </c>
      <c r="AI105" s="8" t="n">
        <v>14</v>
      </c>
      <c r="AJ105" s="8" t="str">
        <v>～59</v>
      </c>
      <c r="AK105" s="8" t="str">
        <v>5～9</v>
      </c>
      <c r="AL105" s="8" t="str">
        <v>10～19</v>
      </c>
      <c r="AM105" s="8" t="str">
        <v>100～119</v>
      </c>
      <c r="AN105" s="8" t="str">
        <v>12～14</v>
      </c>
      <c r="AO105" s="8" t="str">
        <f aca="false">IF(A105="","",IF(COUNTIFS(全馬データ!$A$2:$A$50000,A105,全馬データ!$B$2:$B$50000,B105,全馬データ!$C$2:$C$50000,C105,全馬データ!$D$2:$D$50000,E105,全馬データ!$K$2:$K$50000,"&lt;&gt;")=0,"",SUMIFS(全馬データ!$K$2:$K$50000,全馬データ!$A$2:$A$50000,A105,全馬データ!$B$2:$B$50000,B105,全馬データ!$C$2:$C$50000,C105,全馬データ!$D$2:$D$50000,E105)))</f>
        <v/>
      </c>
      <c r="AP105" s="8" t="str">
        <f aca="false">IF(A105="","",IF(AO105="","欠損",IF(AO105&lt;=1.1,"1.0～1.1",IF(AO105&lt;1.3,"1.2",IF(AO105&lt;1.5,"1.3～1.4",IF(AO105&lt;2,"1.5～1.9","2.0以上"))))))</f>
        <v>欠損</v>
      </c>
      <c r="AQ105" s="8" t="str">
        <f aca="false">IF(A105="","",IF(ISNUMBER(SEARCH("2歳",Z105)),"2歳戦",IF(ISNUMBER(SEARCH("3歳未勝利",Z105)),"3歳未勝利",IF(ISNUMBER(SEARCH("未勝利",Z105)),"その他未勝利",IF(ISNUMBER(SEARCH("G1",Z105)),"G1",IF(ISNUMBER(SEARCH("G2",Z105)),"G2",IF(ISNUMBER(SEARCH("G3",Z105)),"G3",IF(ISNUMBER(SEARCH("古馬条件",Z105)),"古馬条件戦",IF(ISNUMBER(SEARCH("重賞",Z105)),"重賞","分類不能")))))))))</f>
        <v>分類不能</v>
      </c>
      <c r="AR105" s="8"/>
      <c r="AS105" s="8" t="s">
        <v>7626</v>
      </c>
      <c r="AT105" s="8" t="s">
        <v>7627</v>
      </c>
      <c r="AU105" s="8" t="s">
        <v>7628</v>
      </c>
      <c r="AV105" s="8" t="s">
        <v>7629</v>
      </c>
      <c r="AW105" s="8"/>
      <c r="AX105" s="8"/>
      <c r="AY105" s="8" t="s">
        <v>7602</v>
      </c>
      <c r="AZ105" s="4" t="s">
        <v>7603</v>
      </c>
      <c r="BA105" s="8" t="n">
        <v>2600</v>
      </c>
      <c r="BB105" s="8" t="s">
        <v>7598</v>
      </c>
      <c r="BC105" s="4" t="s">
        <v>7604</v>
      </c>
      <c r="BD105" s="8" t="s">
        <v>7630</v>
      </c>
      <c r="BE105" s="4" t="s">
        <v>7606</v>
      </c>
      <c r="BF105" s="8" t="s">
        <v>7607</v>
      </c>
      <c r="BG105" s="8" t="s">
        <v>7631</v>
      </c>
      <c r="BH105" s="4" t="s">
        <v>7632</v>
      </c>
      <c r="BI105" s="8" t="n">
        <v>12</v>
      </c>
      <c r="BJ105" s="8" t="s">
        <v>7602</v>
      </c>
      <c r="BK105" s="4" t="s">
        <v>7653</v>
      </c>
      <c r="BL105" s="8" t="s">
        <v>7602</v>
      </c>
      <c r="BM105" s="4" t="s">
        <v>7620</v>
      </c>
      <c r="BN105" s="8" t="s">
        <v>7631</v>
      </c>
      <c r="BO105" s="8" t="s">
        <v>7680</v>
      </c>
      <c r="BP105" s="8" t="s">
        <v>7608</v>
      </c>
      <c r="BQ105" s="8" t="str">
        <f aca="false">IF(A105="","",AT105)</f>
        <v>3歳以上</v>
      </c>
      <c r="BR105" s="8" t="str">
        <f aca="false">IF(A105="","",IF(BA105&lt;=1200,"～1200",IF(BA105&lt;=1500,"1300～1500",IF(BA105=1600,"1600",IF(BA105&lt;=1800,"1700～1800",IF(BA105&lt;=2000,"1900～2000","2100以上"))))))</f>
        <v>2100以上</v>
      </c>
      <c r="BS105" s="8" t="str">
        <f aca="false">IF(A105="","",IF(AX105="G1","G1",IF(AX105="G2","G2",IF(AX105="G3","G3",IF(AX105="L","L","その他")))))</f>
        <v>その他</v>
      </c>
      <c r="BT105" s="8" t="str">
        <f aca="false">IF(A105="","",IF(BI105="","未結合",IF(D105=BI105,"一致","不一致")))</f>
        <v>一致</v>
      </c>
      <c r="BU105" s="8" t="str">
        <f aca="false">IF(A105="","",IF(BE105="牝馬限定","牝馬限定","その他"))</f>
        <v>その他</v>
      </c>
    </row>
    <row r="106" customFormat="false" ht="15.75" hidden="false" customHeight="false" outlineLevel="0" collapsed="false">
      <c r="A106" s="6" t="n">
        <v>46221</v>
      </c>
      <c r="B106" s="4" t="s">
        <v>1237</v>
      </c>
      <c r="C106" s="8" t="n">
        <v>9</v>
      </c>
      <c r="D106" s="8" t="n">
        <v>13</v>
      </c>
      <c r="E106" s="8" t="n">
        <v>5</v>
      </c>
      <c r="F106" s="4" t="s">
        <v>1341</v>
      </c>
      <c r="G106" s="8" t="n">
        <v>50</v>
      </c>
      <c r="H106" s="8" t="n">
        <v>4</v>
      </c>
      <c r="I106" s="4" t="s">
        <v>1340</v>
      </c>
      <c r="J106" s="8" t="n">
        <v>41</v>
      </c>
      <c r="K106" s="8" t="n">
        <v>7</v>
      </c>
      <c r="L106" s="4" t="s">
        <v>1342</v>
      </c>
      <c r="M106" s="8" t="n">
        <v>39</v>
      </c>
      <c r="N106" s="8" t="n">
        <f aca="false">IF(A106="","",G106-J106)</f>
        <v>9</v>
      </c>
      <c r="O106" s="8" t="n">
        <f aca="false">IF(A106="","",J106-M106)</f>
        <v>2</v>
      </c>
      <c r="P106" s="8" t="n">
        <f aca="false">IF(A106="","",G106+J106)</f>
        <v>91</v>
      </c>
      <c r="Q106" s="8" t="str">
        <f aca="false">IF(A106="","",IF(AND(Y106&lt;&gt;"参考",G106&gt;=ルール設定!$B$2),"○",""))</f>
        <v/>
      </c>
      <c r="R106" s="8" t="str">
        <f aca="false">IF(A106="","",IF(AND(Y106&lt;&gt;"参考",G106&gt;=ルール設定!$B$3,N106&gt;=ルール設定!$B$4),"○",""))</f>
        <v/>
      </c>
      <c r="S106" s="8" t="str">
        <f aca="false">IF(A106="","",IF(AND(Y106&lt;&gt;"参考",G106&gt;=ルール設定!$B$5,J106&gt;=ルール設定!$B$6,O106&gt;=ルール設定!$B$7),"○",""))</f>
        <v/>
      </c>
      <c r="T106" s="8" t="n">
        <v>1</v>
      </c>
      <c r="U106" s="8" t="n">
        <v>3</v>
      </c>
      <c r="V106" s="8" t="str">
        <f aca="false">IF(A106="","",IF(AND(ISNUMBER(T106),ISNUMBER(U106)),IF(AND(T106&lt;=3,U106&lt;=3),"○","×"),""))</f>
        <v>○</v>
      </c>
      <c r="W106" s="8" t="n">
        <v>120</v>
      </c>
      <c r="X106" s="8" t="n">
        <v>420</v>
      </c>
      <c r="Y106" s="4" t="s">
        <v>7597</v>
      </c>
      <c r="Z106" s="4" t="s">
        <v>7679</v>
      </c>
      <c r="AA106" s="8" t="str">
        <v/>
      </c>
      <c r="AB106" s="8" t="str">
        <v/>
      </c>
      <c r="AC106" s="8" t="str">
        <v/>
      </c>
      <c r="AD106" s="8" t="str">
        <v/>
      </c>
      <c r="AE106" s="8" t="str">
        <v/>
      </c>
      <c r="AF106" s="8" t="str">
        <v/>
      </c>
      <c r="AG106" s="8" t="str">
        <v/>
      </c>
      <c r="AH106" s="8" t="str">
        <v/>
      </c>
      <c r="AI106" s="8" t="n">
        <v>11</v>
      </c>
      <c r="AJ106" s="8" t="str">
        <v>～59</v>
      </c>
      <c r="AK106" s="8" t="str">
        <v>5～9</v>
      </c>
      <c r="AL106" s="8" t="str">
        <v>10～19</v>
      </c>
      <c r="AM106" s="8" t="str">
        <v>～99</v>
      </c>
      <c r="AN106" s="8" t="str">
        <v>12～14</v>
      </c>
      <c r="AO106" s="8" t="str">
        <f aca="false">IF(A106="","",IF(COUNTIFS(全馬データ!$A$2:$A$50000,A106,全馬データ!$B$2:$B$50000,B106,全馬データ!$C$2:$C$50000,C106,全馬データ!$D$2:$D$50000,E106,全馬データ!$K$2:$K$50000,"&lt;&gt;")=0,"",SUMIFS(全馬データ!$K$2:$K$50000,全馬データ!$A$2:$A$50000,A106,全馬データ!$B$2:$B$50000,B106,全馬データ!$C$2:$C$50000,C106,全馬データ!$D$2:$D$50000,E106)))</f>
        <v/>
      </c>
      <c r="AP106" s="8" t="str">
        <f aca="false">IF(A106="","",IF(AO106="","欠損",IF(AO106&lt;=1.1,"1.0～1.1",IF(AO106&lt;1.3,"1.2",IF(AO106&lt;1.5,"1.3～1.4",IF(AO106&lt;2,"1.5～1.9","2.0以上"))))))</f>
        <v>欠損</v>
      </c>
      <c r="AQ106" s="8" t="str">
        <f aca="false">IF(A106="","",IF(ISNUMBER(SEARCH("2歳",Z106)),"2歳戦",IF(ISNUMBER(SEARCH("3歳未勝利",Z106)),"3歳未勝利",IF(ISNUMBER(SEARCH("未勝利",Z106)),"その他未勝利",IF(ISNUMBER(SEARCH("G1",Z106)),"G1",IF(ISNUMBER(SEARCH("G2",Z106)),"G2",IF(ISNUMBER(SEARCH("G3",Z106)),"G3",IF(ISNUMBER(SEARCH("古馬条件",Z106)),"古馬条件戦",IF(ISNUMBER(SEARCH("重賞",Z106)),"重賞","分類不能")))))))))</f>
        <v>分類不能</v>
      </c>
      <c r="AR106" s="4" t="s">
        <v>7689</v>
      </c>
      <c r="AS106" s="8" t="s">
        <v>7626</v>
      </c>
      <c r="AT106" s="8" t="s">
        <v>7627</v>
      </c>
      <c r="AU106" s="8" t="s">
        <v>7628</v>
      </c>
      <c r="AV106" s="8" t="s">
        <v>7629</v>
      </c>
      <c r="AW106" s="8" t="s">
        <v>7636</v>
      </c>
      <c r="AX106" s="4" t="s">
        <v>7637</v>
      </c>
      <c r="AY106" s="8" t="s">
        <v>7602</v>
      </c>
      <c r="AZ106" s="4" t="s">
        <v>7603</v>
      </c>
      <c r="BA106" s="8" t="n">
        <v>1800</v>
      </c>
      <c r="BB106" s="8" t="s">
        <v>7598</v>
      </c>
      <c r="BC106" s="4" t="s">
        <v>7604</v>
      </c>
      <c r="BD106" s="8" t="s">
        <v>7690</v>
      </c>
      <c r="BE106" s="4" t="s">
        <v>7606</v>
      </c>
      <c r="BF106" s="8" t="s">
        <v>7607</v>
      </c>
      <c r="BG106" s="8" t="s">
        <v>7631</v>
      </c>
      <c r="BH106" s="4" t="s">
        <v>7632</v>
      </c>
      <c r="BI106" s="8" t="n">
        <v>13</v>
      </c>
      <c r="BJ106" s="8" t="s">
        <v>7602</v>
      </c>
      <c r="BK106" s="4" t="s">
        <v>7653</v>
      </c>
      <c r="BL106" s="8" t="s">
        <v>7602</v>
      </c>
      <c r="BM106" s="4" t="s">
        <v>7620</v>
      </c>
      <c r="BN106" s="8" t="s">
        <v>7631</v>
      </c>
      <c r="BO106" s="8" t="s">
        <v>7680</v>
      </c>
      <c r="BP106" s="8" t="s">
        <v>7608</v>
      </c>
      <c r="BQ106" s="8" t="str">
        <f aca="false">IF(A106="","",AT106)</f>
        <v>3歳以上</v>
      </c>
      <c r="BR106" s="8" t="str">
        <f aca="false">IF(A106="","",IF(BA106&lt;=1200,"～1200",IF(BA106&lt;=1500,"1300～1500",IF(BA106=1600,"1600",IF(BA106&lt;=1800,"1700～1800",IF(BA106&lt;=2000,"1900～2000","2100以上"))))))</f>
        <v>1700～1800</v>
      </c>
      <c r="BS106" s="8" t="str">
        <f aca="false">IF(A106="","",IF(AX106="G1","G1",IF(AX106="G2","G2",IF(AX106="G3","G3",IF(AX106="L","L","その他")))))</f>
        <v>その他</v>
      </c>
      <c r="BT106" s="8" t="str">
        <f aca="false">IF(A106="","",IF(BI106="","未結合",IF(D106=BI106,"一致","不一致")))</f>
        <v>一致</v>
      </c>
      <c r="BU106" s="8" t="str">
        <f aca="false">IF(A106="","",IF(BE106="牝馬限定","牝馬限定","その他"))</f>
        <v>その他</v>
      </c>
    </row>
    <row r="107" customFormat="false" ht="15.75" hidden="false" customHeight="false" outlineLevel="0" collapsed="false">
      <c r="A107" s="6" t="n">
        <v>46221</v>
      </c>
      <c r="B107" s="4" t="s">
        <v>1237</v>
      </c>
      <c r="C107" s="8" t="n">
        <v>10</v>
      </c>
      <c r="D107" s="8" t="n">
        <v>10</v>
      </c>
      <c r="E107" s="8" t="n">
        <v>4</v>
      </c>
      <c r="F107" s="4" t="s">
        <v>1352</v>
      </c>
      <c r="G107" s="8" t="n">
        <v>67</v>
      </c>
      <c r="H107" s="8" t="n">
        <v>5</v>
      </c>
      <c r="I107" s="4" t="s">
        <v>1353</v>
      </c>
      <c r="J107" s="8" t="n">
        <v>47</v>
      </c>
      <c r="K107" s="8" t="n">
        <v>10</v>
      </c>
      <c r="L107" s="4" t="s">
        <v>1358</v>
      </c>
      <c r="M107" s="8" t="n">
        <v>47</v>
      </c>
      <c r="N107" s="8" t="n">
        <f aca="false">IF(A107="","",G107-J107)</f>
        <v>20</v>
      </c>
      <c r="O107" s="8" t="n">
        <f aca="false">IF(A107="","",J107-M107)</f>
        <v>0</v>
      </c>
      <c r="P107" s="8" t="n">
        <f aca="false">IF(A107="","",G107+J107)</f>
        <v>114</v>
      </c>
      <c r="Q107" s="8" t="str">
        <f aca="false">IF(A107="","",IF(AND(Y107&lt;&gt;"参考",G107&gt;=ルール設定!$B$2),"○",""))</f>
        <v/>
      </c>
      <c r="R107" s="8" t="str">
        <f aca="false">IF(A107="","",IF(AND(Y107&lt;&gt;"参考",G107&gt;=ルール設定!$B$3,N107&gt;=ルール設定!$B$4),"○",""))</f>
        <v/>
      </c>
      <c r="S107" s="8" t="str">
        <f aca="false">IF(A107="","",IF(AND(Y107&lt;&gt;"参考",G107&gt;=ルール設定!$B$5,J107&gt;=ルール設定!$B$6,O107&gt;=ルール設定!$B$7),"○",""))</f>
        <v/>
      </c>
      <c r="T107" s="8" t="n">
        <v>2</v>
      </c>
      <c r="U107" s="8" t="n">
        <v>3</v>
      </c>
      <c r="V107" s="8" t="str">
        <f aca="false">IF(A107="","",IF(AND(ISNUMBER(T107),ISNUMBER(U107)),IF(AND(T107&lt;=3,U107&lt;=3),"○","×"),""))</f>
        <v>○</v>
      </c>
      <c r="W107" s="8" t="n">
        <v>110</v>
      </c>
      <c r="X107" s="8" t="n">
        <v>220</v>
      </c>
      <c r="Y107" s="4" t="s">
        <v>7597</v>
      </c>
      <c r="Z107" s="4" t="s">
        <v>7679</v>
      </c>
      <c r="AA107" s="8" t="str">
        <v/>
      </c>
      <c r="AB107" s="8" t="str">
        <v/>
      </c>
      <c r="AC107" s="8" t="str">
        <v/>
      </c>
      <c r="AD107" s="8" t="str">
        <v/>
      </c>
      <c r="AE107" s="8" t="str">
        <v/>
      </c>
      <c r="AF107" s="8" t="str">
        <v/>
      </c>
      <c r="AG107" s="8" t="str">
        <v/>
      </c>
      <c r="AH107" s="8" t="str">
        <v/>
      </c>
      <c r="AI107" s="8" t="n">
        <v>20</v>
      </c>
      <c r="AJ107" s="8" t="str">
        <v>60～69</v>
      </c>
      <c r="AK107" s="8" t="str">
        <v>20～29</v>
      </c>
      <c r="AL107" s="8" t="str">
        <v>20～29</v>
      </c>
      <c r="AM107" s="8" t="str">
        <v>100～119</v>
      </c>
      <c r="AN107" s="8" t="str">
        <v>8～11</v>
      </c>
      <c r="AO107" s="8" t="str">
        <f aca="false">IF(A107="","",IF(COUNTIFS(全馬データ!$A$2:$A$50000,A107,全馬データ!$B$2:$B$50000,B107,全馬データ!$C$2:$C$50000,C107,全馬データ!$D$2:$D$50000,E107,全馬データ!$K$2:$K$50000,"&lt;&gt;")=0,"",SUMIFS(全馬データ!$K$2:$K$50000,全馬データ!$A$2:$A$50000,A107,全馬データ!$B$2:$B$50000,B107,全馬データ!$C$2:$C$50000,C107,全馬データ!$D$2:$D$50000,E107)))</f>
        <v/>
      </c>
      <c r="AP107" s="8" t="str">
        <f aca="false">IF(A107="","",IF(AO107="","欠損",IF(AO107&lt;=1.1,"1.0～1.1",IF(AO107&lt;1.3,"1.2",IF(AO107&lt;1.5,"1.3～1.4",IF(AO107&lt;2,"1.5～1.9","2.0以上"))))))</f>
        <v>欠損</v>
      </c>
      <c r="AQ107" s="8" t="str">
        <f aca="false">IF(A107="","",IF(ISNUMBER(SEARCH("2歳",Z107)),"2歳戦",IF(ISNUMBER(SEARCH("3歳未勝利",Z107)),"3歳未勝利",IF(ISNUMBER(SEARCH("未勝利",Z107)),"その他未勝利",IF(ISNUMBER(SEARCH("G1",Z107)),"G1",IF(ISNUMBER(SEARCH("G2",Z107)),"G2",IF(ISNUMBER(SEARCH("G3",Z107)),"G3",IF(ISNUMBER(SEARCH("古馬条件",Z107)),"古馬条件戦",IF(ISNUMBER(SEARCH("重賞",Z107)),"重賞","分類不能")))))))))</f>
        <v>分類不能</v>
      </c>
      <c r="AR107" s="4" t="s">
        <v>7691</v>
      </c>
      <c r="AS107" s="8" t="s">
        <v>7626</v>
      </c>
      <c r="AT107" s="8" t="s">
        <v>7627</v>
      </c>
      <c r="AU107" s="8" t="s">
        <v>7634</v>
      </c>
      <c r="AV107" s="8" t="s">
        <v>7635</v>
      </c>
      <c r="AW107" s="8" t="s">
        <v>7636</v>
      </c>
      <c r="AX107" s="4" t="s">
        <v>7637</v>
      </c>
      <c r="AY107" s="8" t="s">
        <v>7602</v>
      </c>
      <c r="AZ107" s="4" t="s">
        <v>7603</v>
      </c>
      <c r="BA107" s="8" t="n">
        <v>1200</v>
      </c>
      <c r="BB107" s="8" t="s">
        <v>7598</v>
      </c>
      <c r="BC107" s="4" t="s">
        <v>7604</v>
      </c>
      <c r="BD107" s="8" t="s">
        <v>7605</v>
      </c>
      <c r="BE107" s="4" t="s">
        <v>7606</v>
      </c>
      <c r="BF107" s="8" t="s">
        <v>7607</v>
      </c>
      <c r="BG107" s="8" t="s">
        <v>7631</v>
      </c>
      <c r="BH107" s="4" t="s">
        <v>7632</v>
      </c>
      <c r="BI107" s="8" t="n">
        <v>10</v>
      </c>
      <c r="BJ107" s="8" t="s">
        <v>7602</v>
      </c>
      <c r="BK107" s="4" t="s">
        <v>7653</v>
      </c>
      <c r="BL107" s="8" t="s">
        <v>7602</v>
      </c>
      <c r="BM107" s="4" t="s">
        <v>7620</v>
      </c>
      <c r="BN107" s="8" t="s">
        <v>7631</v>
      </c>
      <c r="BO107" s="8" t="s">
        <v>7680</v>
      </c>
      <c r="BP107" s="8" t="s">
        <v>7608</v>
      </c>
      <c r="BQ107" s="8" t="str">
        <f aca="false">IF(A107="","",AT107)</f>
        <v>3歳以上</v>
      </c>
      <c r="BR107" s="8" t="str">
        <f aca="false">IF(A107="","",IF(BA107&lt;=1200,"～1200",IF(BA107&lt;=1500,"1300～1500",IF(BA107=1600,"1600",IF(BA107&lt;=1800,"1700～1800",IF(BA107&lt;=2000,"1900～2000","2100以上"))))))</f>
        <v>～1200</v>
      </c>
      <c r="BS107" s="8" t="str">
        <f aca="false">IF(A107="","",IF(AX107="G1","G1",IF(AX107="G2","G2",IF(AX107="G3","G3",IF(AX107="L","L","その他")))))</f>
        <v>その他</v>
      </c>
      <c r="BT107" s="8" t="str">
        <f aca="false">IF(A107="","",IF(BI107="","未結合",IF(D107=BI107,"一致","不一致")))</f>
        <v>一致</v>
      </c>
      <c r="BU107" s="8" t="str">
        <f aca="false">IF(A107="","",IF(BE107="牝馬限定","牝馬限定","その他"))</f>
        <v>その他</v>
      </c>
    </row>
    <row r="108" customFormat="false" ht="15.75" hidden="false" customHeight="false" outlineLevel="0" collapsed="false">
      <c r="A108" s="6" t="n">
        <v>46221</v>
      </c>
      <c r="B108" s="4" t="s">
        <v>1237</v>
      </c>
      <c r="C108" s="8" t="n">
        <v>11</v>
      </c>
      <c r="D108" s="8" t="n">
        <v>13</v>
      </c>
      <c r="E108" s="8" t="n">
        <v>10</v>
      </c>
      <c r="F108" s="4" t="s">
        <v>1368</v>
      </c>
      <c r="G108" s="8" t="n">
        <v>47</v>
      </c>
      <c r="H108" s="8" t="n">
        <v>12</v>
      </c>
      <c r="I108" s="4" t="s">
        <v>1370</v>
      </c>
      <c r="J108" s="8" t="n">
        <v>44</v>
      </c>
      <c r="K108" s="8" t="n">
        <v>7</v>
      </c>
      <c r="L108" s="4" t="s">
        <v>1365</v>
      </c>
      <c r="M108" s="8" t="n">
        <v>41</v>
      </c>
      <c r="N108" s="8" t="n">
        <f aca="false">IF(A108="","",G108-J108)</f>
        <v>3</v>
      </c>
      <c r="O108" s="8" t="n">
        <f aca="false">IF(A108="","",J108-M108)</f>
        <v>3</v>
      </c>
      <c r="P108" s="8" t="n">
        <f aca="false">IF(A108="","",G108+J108)</f>
        <v>91</v>
      </c>
      <c r="Q108" s="8" t="str">
        <f aca="false">IF(A108="","",IF(AND(Y108&lt;&gt;"参考",G108&gt;=ルール設定!$B$2),"○",""))</f>
        <v/>
      </c>
      <c r="R108" s="8" t="str">
        <f aca="false">IF(A108="","",IF(AND(Y108&lt;&gt;"参考",G108&gt;=ルール設定!$B$3,N108&gt;=ルール設定!$B$4),"○",""))</f>
        <v/>
      </c>
      <c r="S108" s="8" t="str">
        <f aca="false">IF(A108="","",IF(AND(Y108&lt;&gt;"参考",G108&gt;=ルール設定!$B$5,J108&gt;=ルール設定!$B$6,O108&gt;=ルール設定!$B$7),"○",""))</f>
        <v/>
      </c>
      <c r="T108" s="8" t="n">
        <v>1</v>
      </c>
      <c r="U108" s="8" t="n">
        <v>2</v>
      </c>
      <c r="V108" s="8" t="str">
        <f aca="false">IF(A108="","",IF(AND(ISNUMBER(T108),ISNUMBER(U108)),IF(AND(T108&lt;=3,U108&lt;=3),"○","×"),""))</f>
        <v>○</v>
      </c>
      <c r="W108" s="8" t="n">
        <v>150</v>
      </c>
      <c r="X108" s="8" t="n">
        <v>580</v>
      </c>
      <c r="Y108" s="4" t="s">
        <v>7597</v>
      </c>
      <c r="Z108" s="4" t="s">
        <v>7679</v>
      </c>
      <c r="AA108" s="8" t="str">
        <v/>
      </c>
      <c r="AB108" s="8" t="str">
        <v/>
      </c>
      <c r="AC108" s="8" t="str">
        <v/>
      </c>
      <c r="AD108" s="8" t="str">
        <v/>
      </c>
      <c r="AE108" s="8" t="str">
        <v/>
      </c>
      <c r="AF108" s="8" t="str">
        <v/>
      </c>
      <c r="AG108" s="8" t="str">
        <v/>
      </c>
      <c r="AH108" s="8" t="str">
        <v/>
      </c>
      <c r="AI108" s="8" t="n">
        <v>6</v>
      </c>
      <c r="AJ108" s="8" t="str">
        <v>～59</v>
      </c>
      <c r="AK108" s="8" t="str">
        <v>0～4</v>
      </c>
      <c r="AL108" s="8" t="str">
        <v>0～9</v>
      </c>
      <c r="AM108" s="8" t="str">
        <v>～99</v>
      </c>
      <c r="AN108" s="8" t="str">
        <v>12～14</v>
      </c>
      <c r="AO108" s="8" t="str">
        <f aca="false">IF(A108="","",IF(COUNTIFS(全馬データ!$A$2:$A$50000,A108,全馬データ!$B$2:$B$50000,B108,全馬データ!$C$2:$C$50000,C108,全馬データ!$D$2:$D$50000,E108,全馬データ!$K$2:$K$50000,"&lt;&gt;")=0,"",SUMIFS(全馬データ!$K$2:$K$50000,全馬データ!$A$2:$A$50000,A108,全馬データ!$B$2:$B$50000,B108,全馬データ!$C$2:$C$50000,C108,全馬データ!$D$2:$D$50000,E108)))</f>
        <v/>
      </c>
      <c r="AP108" s="8" t="str">
        <f aca="false">IF(A108="","",IF(AO108="","欠損",IF(AO108&lt;=1.1,"1.0～1.1",IF(AO108&lt;1.3,"1.2",IF(AO108&lt;1.5,"1.3～1.4",IF(AO108&lt;2,"1.5～1.9","2.0以上"))))))</f>
        <v>欠損</v>
      </c>
      <c r="AQ108" s="8" t="str">
        <f aca="false">IF(A108="","",IF(ISNUMBER(SEARCH("2歳",Z108)),"2歳戦",IF(ISNUMBER(SEARCH("3歳未勝利",Z108)),"3歳未勝利",IF(ISNUMBER(SEARCH("未勝利",Z108)),"その他未勝利",IF(ISNUMBER(SEARCH("G1",Z108)),"G1",IF(ISNUMBER(SEARCH("G2",Z108)),"G2",IF(ISNUMBER(SEARCH("G3",Z108)),"G3",IF(ISNUMBER(SEARCH("古馬条件",Z108)),"古馬条件戦",IF(ISNUMBER(SEARCH("重賞",Z108)),"重賞","分類不能")))))))))</f>
        <v>分類不能</v>
      </c>
      <c r="AR108" s="4" t="s">
        <v>7692</v>
      </c>
      <c r="AS108" s="8" t="s">
        <v>7626</v>
      </c>
      <c r="AT108" s="8" t="s">
        <v>7627</v>
      </c>
      <c r="AU108" s="8" t="s">
        <v>7643</v>
      </c>
      <c r="AV108" s="4" t="s">
        <v>7644</v>
      </c>
      <c r="AW108" s="8" t="s">
        <v>7636</v>
      </c>
      <c r="AX108" s="4" t="s">
        <v>7637</v>
      </c>
      <c r="AY108" s="8" t="s">
        <v>7610</v>
      </c>
      <c r="AZ108" s="4" t="s">
        <v>7617</v>
      </c>
      <c r="BA108" s="8" t="n">
        <v>1700</v>
      </c>
      <c r="BB108" s="8" t="s">
        <v>7598</v>
      </c>
      <c r="BC108" s="4" t="s">
        <v>7604</v>
      </c>
      <c r="BD108" s="8" t="s">
        <v>7666</v>
      </c>
      <c r="BE108" s="4" t="s">
        <v>7606</v>
      </c>
      <c r="BF108" s="8" t="s">
        <v>7607</v>
      </c>
      <c r="BG108" s="8" t="s">
        <v>7602</v>
      </c>
      <c r="BH108" s="4" t="s">
        <v>7667</v>
      </c>
      <c r="BI108" s="8" t="n">
        <v>13</v>
      </c>
      <c r="BJ108" s="8" t="s">
        <v>7602</v>
      </c>
      <c r="BK108" s="4" t="s">
        <v>7653</v>
      </c>
      <c r="BL108" s="8" t="s">
        <v>7602</v>
      </c>
      <c r="BM108" s="4" t="s">
        <v>7620</v>
      </c>
      <c r="BN108" s="8"/>
      <c r="BO108" s="8"/>
      <c r="BP108" s="8" t="s">
        <v>7608</v>
      </c>
      <c r="BQ108" s="8" t="str">
        <f aca="false">IF(A108="","",AT108)</f>
        <v>3歳以上</v>
      </c>
      <c r="BR108" s="8" t="str">
        <f aca="false">IF(A108="","",IF(BA108&lt;=1200,"～1200",IF(BA108&lt;=1500,"1300～1500",IF(BA108=1600,"1600",IF(BA108&lt;=1800,"1700～1800",IF(BA108&lt;=2000,"1900～2000","2100以上"))))))</f>
        <v>1700～1800</v>
      </c>
      <c r="BS108" s="8" t="str">
        <f aca="false">IF(A108="","",IF(AX108="G1","G1",IF(AX108="G2","G2",IF(AX108="G3","G3",IF(AX108="L","L","その他")))))</f>
        <v>その他</v>
      </c>
      <c r="BT108" s="8" t="str">
        <f aca="false">IF(A108="","",IF(BI108="","未結合",IF(D108=BI108,"一致","不一致")))</f>
        <v>一致</v>
      </c>
      <c r="BU108" s="8" t="str">
        <f aca="false">IF(A108="","",IF(BE108="牝馬限定","牝馬限定","その他"))</f>
        <v>その他</v>
      </c>
    </row>
    <row r="109" customFormat="false" ht="15.75" hidden="false" customHeight="false" outlineLevel="0" collapsed="false">
      <c r="A109" s="6" t="n">
        <v>46221</v>
      </c>
      <c r="B109" s="4" t="s">
        <v>1237</v>
      </c>
      <c r="C109" s="8" t="n">
        <v>12</v>
      </c>
      <c r="D109" s="8" t="n">
        <v>12</v>
      </c>
      <c r="E109" s="8" t="n">
        <v>1</v>
      </c>
      <c r="F109" s="4" t="s">
        <v>1372</v>
      </c>
      <c r="G109" s="8" t="n">
        <v>47</v>
      </c>
      <c r="H109" s="8" t="n">
        <v>3</v>
      </c>
      <c r="I109" s="4" t="s">
        <v>1374</v>
      </c>
      <c r="J109" s="8" t="n">
        <v>44</v>
      </c>
      <c r="K109" s="8" t="n">
        <v>7</v>
      </c>
      <c r="L109" s="4" t="s">
        <v>1377</v>
      </c>
      <c r="M109" s="8" t="n">
        <v>44</v>
      </c>
      <c r="N109" s="8" t="n">
        <f aca="false">IF(A109="","",G109-J109)</f>
        <v>3</v>
      </c>
      <c r="O109" s="8" t="n">
        <f aca="false">IF(A109="","",J109-M109)</f>
        <v>0</v>
      </c>
      <c r="P109" s="8" t="n">
        <f aca="false">IF(A109="","",G109+J109)</f>
        <v>91</v>
      </c>
      <c r="Q109" s="8" t="str">
        <f aca="false">IF(A109="","",IF(AND(Y109&lt;&gt;"参考",G109&gt;=ルール設定!$B$2),"○",""))</f>
        <v/>
      </c>
      <c r="R109" s="8" t="str">
        <f aca="false">IF(A109="","",IF(AND(Y109&lt;&gt;"参考",G109&gt;=ルール設定!$B$3,N109&gt;=ルール設定!$B$4),"○",""))</f>
        <v/>
      </c>
      <c r="S109" s="8" t="str">
        <f aca="false">IF(A109="","",IF(AND(Y109&lt;&gt;"参考",G109&gt;=ルール設定!$B$5,J109&gt;=ルール設定!$B$6,O109&gt;=ルール設定!$B$7),"○",""))</f>
        <v/>
      </c>
      <c r="T109" s="8" t="n">
        <v>1</v>
      </c>
      <c r="U109" s="8" t="n">
        <v>2</v>
      </c>
      <c r="V109" s="8" t="str">
        <f aca="false">IF(A109="","",IF(AND(ISNUMBER(T109),ISNUMBER(U109)),IF(AND(T109&lt;=3,U109&lt;=3),"○","×"),""))</f>
        <v>○</v>
      </c>
      <c r="W109" s="8" t="n">
        <v>250</v>
      </c>
      <c r="X109" s="8" t="n">
        <v>800</v>
      </c>
      <c r="Y109" s="4" t="s">
        <v>7597</v>
      </c>
      <c r="Z109" s="4" t="s">
        <v>7679</v>
      </c>
      <c r="AA109" s="8" t="str">
        <v/>
      </c>
      <c r="AB109" s="8" t="str">
        <v/>
      </c>
      <c r="AC109" s="8" t="str">
        <v/>
      </c>
      <c r="AD109" s="8" t="str">
        <v/>
      </c>
      <c r="AE109" s="8" t="str">
        <v/>
      </c>
      <c r="AF109" s="8" t="str">
        <v/>
      </c>
      <c r="AG109" s="8" t="str">
        <v/>
      </c>
      <c r="AH109" s="8" t="str">
        <v/>
      </c>
      <c r="AI109" s="8" t="n">
        <v>3</v>
      </c>
      <c r="AJ109" s="8" t="str">
        <v>～59</v>
      </c>
      <c r="AK109" s="8" t="str">
        <v>0～4</v>
      </c>
      <c r="AL109" s="8" t="str">
        <v>0～9</v>
      </c>
      <c r="AM109" s="8" t="str">
        <v>～99</v>
      </c>
      <c r="AN109" s="8" t="str">
        <v>12～14</v>
      </c>
      <c r="AO109" s="8" t="str">
        <f aca="false">IF(A109="","",IF(COUNTIFS(全馬データ!$A$2:$A$50000,A109,全馬データ!$B$2:$B$50000,B109,全馬データ!$C$2:$C$50000,C109,全馬データ!$D$2:$D$50000,E109,全馬データ!$K$2:$K$50000,"&lt;&gt;")=0,"",SUMIFS(全馬データ!$K$2:$K$50000,全馬データ!$A$2:$A$50000,A109,全馬データ!$B$2:$B$50000,B109,全馬データ!$C$2:$C$50000,C109,全馬データ!$D$2:$D$50000,E109)))</f>
        <v/>
      </c>
      <c r="AP109" s="8" t="str">
        <f aca="false">IF(A109="","",IF(AO109="","欠損",IF(AO109&lt;=1.1,"1.0～1.1",IF(AO109&lt;1.3,"1.2",IF(AO109&lt;1.5,"1.3～1.4",IF(AO109&lt;2,"1.5～1.9","2.0以上"))))))</f>
        <v>欠損</v>
      </c>
      <c r="AQ109" s="8" t="str">
        <f aca="false">IF(A109="","",IF(ISNUMBER(SEARCH("2歳",Z109)),"2歳戦",IF(ISNUMBER(SEARCH("3歳未勝利",Z109)),"3歳未勝利",IF(ISNUMBER(SEARCH("未勝利",Z109)),"その他未勝利",IF(ISNUMBER(SEARCH("G1",Z109)),"G1",IF(ISNUMBER(SEARCH("G2",Z109)),"G2",IF(ISNUMBER(SEARCH("G3",Z109)),"G3",IF(ISNUMBER(SEARCH("古馬条件",Z109)),"古馬条件戦",IF(ISNUMBER(SEARCH("重賞",Z109)),"重賞","分類不能")))))))))</f>
        <v>分類不能</v>
      </c>
      <c r="AR109" s="8"/>
      <c r="AS109" s="8" t="s">
        <v>7626</v>
      </c>
      <c r="AT109" s="8" t="s">
        <v>7627</v>
      </c>
      <c r="AU109" s="8" t="s">
        <v>7628</v>
      </c>
      <c r="AV109" s="8" t="s">
        <v>7629</v>
      </c>
      <c r="AW109" s="8"/>
      <c r="AX109" s="8"/>
      <c r="AY109" s="8" t="s">
        <v>7602</v>
      </c>
      <c r="AZ109" s="4" t="s">
        <v>7603</v>
      </c>
      <c r="BA109" s="8" t="n">
        <v>1200</v>
      </c>
      <c r="BB109" s="8" t="s">
        <v>7598</v>
      </c>
      <c r="BC109" s="4" t="s">
        <v>7604</v>
      </c>
      <c r="BD109" s="8" t="s">
        <v>7621</v>
      </c>
      <c r="BE109" s="4" t="s">
        <v>7622</v>
      </c>
      <c r="BF109" s="8" t="s">
        <v>7602</v>
      </c>
      <c r="BG109" s="8" t="s">
        <v>7631</v>
      </c>
      <c r="BH109" s="4" t="s">
        <v>7632</v>
      </c>
      <c r="BI109" s="8" t="n">
        <v>12</v>
      </c>
      <c r="BJ109" s="8" t="s">
        <v>7602</v>
      </c>
      <c r="BK109" s="4" t="s">
        <v>7653</v>
      </c>
      <c r="BL109" s="8" t="s">
        <v>7602</v>
      </c>
      <c r="BM109" s="4" t="s">
        <v>7620</v>
      </c>
      <c r="BN109" s="8" t="s">
        <v>7631</v>
      </c>
      <c r="BO109" s="8" t="s">
        <v>7680</v>
      </c>
      <c r="BP109" s="8" t="s">
        <v>7608</v>
      </c>
      <c r="BQ109" s="8" t="str">
        <f aca="false">IF(A109="","",AT109)</f>
        <v>3歳以上</v>
      </c>
      <c r="BR109" s="8" t="str">
        <f aca="false">IF(A109="","",IF(BA109&lt;=1200,"～1200",IF(BA109&lt;=1500,"1300～1500",IF(BA109=1600,"1600",IF(BA109&lt;=1800,"1700～1800",IF(BA109&lt;=2000,"1900～2000","2100以上"))))))</f>
        <v>～1200</v>
      </c>
      <c r="BS109" s="8" t="str">
        <f aca="false">IF(A109="","",IF(AX109="G1","G1",IF(AX109="G2","G2",IF(AX109="G3","G3",IF(AX109="L","L","その他")))))</f>
        <v>その他</v>
      </c>
      <c r="BT109" s="8" t="str">
        <f aca="false">IF(A109="","",IF(BI109="","未結合",IF(D109=BI109,"一致","不一致")))</f>
        <v>一致</v>
      </c>
      <c r="BU109" s="8" t="str">
        <f aca="false">IF(A109="","",IF(BE109="牝馬限定","牝馬限定","その他"))</f>
        <v>牝馬限定</v>
      </c>
    </row>
    <row r="110" customFormat="false" ht="15.75" hidden="false" customHeight="false" outlineLevel="0" collapsed="false">
      <c r="A110" s="6" t="n">
        <v>46222</v>
      </c>
      <c r="B110" s="4" t="s">
        <v>915</v>
      </c>
      <c r="C110" s="8" t="n">
        <v>1</v>
      </c>
      <c r="D110" s="8" t="n">
        <v>10</v>
      </c>
      <c r="E110" s="8" t="n">
        <v>1</v>
      </c>
      <c r="F110" s="4" t="s">
        <v>1382</v>
      </c>
      <c r="G110" s="8" t="n">
        <v>81</v>
      </c>
      <c r="H110" s="8" t="n">
        <v>10</v>
      </c>
      <c r="I110" s="4" t="s">
        <v>1391</v>
      </c>
      <c r="J110" s="8" t="n">
        <v>75</v>
      </c>
      <c r="K110" s="8" t="n">
        <v>6</v>
      </c>
      <c r="L110" s="4" t="s">
        <v>1387</v>
      </c>
      <c r="M110" s="8" t="n">
        <v>25</v>
      </c>
      <c r="N110" s="8" t="n">
        <f aca="false">IF(A110="","",G110-J110)</f>
        <v>6</v>
      </c>
      <c r="O110" s="8" t="n">
        <f aca="false">IF(A110="","",J110-M110)</f>
        <v>50</v>
      </c>
      <c r="P110" s="8" t="n">
        <f aca="false">IF(A110="","",G110+J110)</f>
        <v>156</v>
      </c>
      <c r="Q110" s="8" t="str">
        <f aca="false">IF(A110="","",IF(AND(Y110&lt;&gt;"参考",G110&gt;=ルール設定!$B$2),"○",""))</f>
        <v>○</v>
      </c>
      <c r="R110" s="8" t="str">
        <f aca="false">IF(A110="","",IF(AND(Y110&lt;&gt;"参考",G110&gt;=ルール設定!$B$3,N110&gt;=ルール設定!$B$4),"○",""))</f>
        <v/>
      </c>
      <c r="S110" s="8" t="str">
        <f aca="false">IF(A110="","",IF(AND(Y110&lt;&gt;"参考",G110&gt;=ルール設定!$B$5,J110&gt;=ルール設定!$B$6,O110&gt;=ルール設定!$B$7),"○",""))</f>
        <v>○</v>
      </c>
      <c r="T110" s="8" t="n">
        <v>1</v>
      </c>
      <c r="U110" s="8" t="n">
        <v>3</v>
      </c>
      <c r="V110" s="8" t="str">
        <f aca="false">IF(A110="","",IF(AND(ISNUMBER(T110),ISNUMBER(U110)),IF(AND(T110&lt;=3,U110&lt;=3),"○","×"),""))</f>
        <v>○</v>
      </c>
      <c r="W110" s="8" t="n">
        <v>110</v>
      </c>
      <c r="X110" s="8" t="n">
        <v>150</v>
      </c>
      <c r="Y110" s="4" t="s">
        <v>7597</v>
      </c>
      <c r="Z110" s="4" t="s">
        <v>7679</v>
      </c>
      <c r="AA110" s="8" t="str">
        <v/>
      </c>
      <c r="AB110" s="8" t="str">
        <v>○</v>
      </c>
      <c r="AC110" s="8" t="str">
        <v/>
      </c>
      <c r="AD110" s="8" t="str">
        <v/>
      </c>
      <c r="AE110" s="8" t="str">
        <v/>
      </c>
      <c r="AF110" s="8" t="str">
        <v>○</v>
      </c>
      <c r="AG110" s="8" t="str">
        <v>○</v>
      </c>
      <c r="AH110" s="8" t="str">
        <v/>
      </c>
      <c r="AI110" s="8" t="n">
        <v>56</v>
      </c>
      <c r="AJ110" s="8" t="str">
        <v>80～84</v>
      </c>
      <c r="AK110" s="8" t="str">
        <v>5～9</v>
      </c>
      <c r="AL110" s="8" t="str">
        <v>40以上</v>
      </c>
      <c r="AM110" s="8" t="str">
        <v>140～159</v>
      </c>
      <c r="AN110" s="8" t="str">
        <v>8～11</v>
      </c>
      <c r="AO110" s="8" t="n">
        <f aca="false">IF(A110="","",IF(COUNTIFS(全馬データ!$A$2:$A$50000,A110,全馬データ!$B$2:$B$50000,B110,全馬データ!$C$2:$C$50000,C110,全馬データ!$D$2:$D$50000,E110,全馬データ!$K$2:$K$50000,"&lt;&gt;")=0,"",SUMIFS(全馬データ!$K$2:$K$50000,全馬データ!$A$2:$A$50000,A110,全馬データ!$B$2:$B$50000,B110,全馬データ!$C$2:$C$50000,C110,全馬データ!$D$2:$D$50000,E110)))</f>
        <v>1</v>
      </c>
      <c r="AP110" s="8" t="str">
        <f aca="false">IF(A110="","",IF(AO110="","欠損",IF(AO110&lt;=1.1,"1.0～1.1",IF(AO110&lt;1.3,"1.2",IF(AO110&lt;1.5,"1.3～1.4",IF(AO110&lt;2,"1.5～1.9","2.0以上"))))))</f>
        <v>1.0～1.1</v>
      </c>
      <c r="AQ110" s="8" t="str">
        <f aca="false">IF(A110="","",IF(ISNUMBER(SEARCH("2歳",Z110)),"2歳戦",IF(ISNUMBER(SEARCH("3歳未勝利",Z110)),"3歳未勝利",IF(ISNUMBER(SEARCH("未勝利",Z110)),"その他未勝利",IF(ISNUMBER(SEARCH("G1",Z110)),"G1",IF(ISNUMBER(SEARCH("G2",Z110)),"G2",IF(ISNUMBER(SEARCH("G3",Z110)),"G3",IF(ISNUMBER(SEARCH("古馬条件",Z110)),"古馬条件戦",IF(ISNUMBER(SEARCH("重賞",Z110)),"重賞","分類不能")))))))))</f>
        <v>分類不能</v>
      </c>
      <c r="AR110" s="8"/>
      <c r="AS110" s="8" t="s">
        <v>7598</v>
      </c>
      <c r="AT110" s="8" t="s">
        <v>7599</v>
      </c>
      <c r="AU110" s="8" t="s">
        <v>7600</v>
      </c>
      <c r="AV110" s="4" t="s">
        <v>7601</v>
      </c>
      <c r="AW110" s="8"/>
      <c r="AX110" s="8"/>
      <c r="AY110" s="8" t="s">
        <v>7610</v>
      </c>
      <c r="AZ110" s="4" t="s">
        <v>7617</v>
      </c>
      <c r="BA110" s="8" t="n">
        <v>1150</v>
      </c>
      <c r="BB110" s="8" t="s">
        <v>7598</v>
      </c>
      <c r="BC110" s="4" t="s">
        <v>7604</v>
      </c>
      <c r="BD110" s="8" t="s">
        <v>7605</v>
      </c>
      <c r="BE110" s="4" t="s">
        <v>7606</v>
      </c>
      <c r="BF110" s="8" t="s">
        <v>7607</v>
      </c>
      <c r="BG110" s="8" t="s">
        <v>7608</v>
      </c>
      <c r="BH110" s="4" t="s">
        <v>7609</v>
      </c>
      <c r="BI110" s="8" t="n">
        <v>10</v>
      </c>
      <c r="BJ110" s="8" t="s">
        <v>7602</v>
      </c>
      <c r="BK110" s="4" t="s">
        <v>7653</v>
      </c>
      <c r="BL110" s="8" t="s">
        <v>7602</v>
      </c>
      <c r="BM110" s="4" t="s">
        <v>7620</v>
      </c>
      <c r="BN110" s="8"/>
      <c r="BO110" s="8"/>
      <c r="BP110" s="8" t="s">
        <v>7602</v>
      </c>
      <c r="BQ110" s="8" t="str">
        <f aca="false">IF(A110="","",AT110)</f>
        <v>2歳</v>
      </c>
      <c r="BR110" s="8" t="str">
        <f aca="false">IF(A110="","",IF(BA110&lt;=1200,"～1200",IF(BA110&lt;=1500,"1300～1500",IF(BA110=1600,"1600",IF(BA110&lt;=1800,"1700～1800",IF(BA110&lt;=2000,"1900～2000","2100以上"))))))</f>
        <v>～1200</v>
      </c>
      <c r="BS110" s="8" t="str">
        <f aca="false">IF(A110="","",IF(AX110="G1","G1",IF(AX110="G2","G2",IF(AX110="G3","G3",IF(AX110="L","L","その他")))))</f>
        <v>その他</v>
      </c>
      <c r="BT110" s="8" t="str">
        <f aca="false">IF(A110="","",IF(BI110="","未結合",IF(D110=BI110,"一致","不一致")))</f>
        <v>一致</v>
      </c>
      <c r="BU110" s="8" t="str">
        <f aca="false">IF(A110="","",IF(BE110="牝馬限定","牝馬限定","その他"))</f>
        <v>その他</v>
      </c>
    </row>
    <row r="111" customFormat="false" ht="15.75" hidden="false" customHeight="false" outlineLevel="0" collapsed="false">
      <c r="A111" s="6" t="n">
        <v>46222</v>
      </c>
      <c r="B111" s="4" t="s">
        <v>915</v>
      </c>
      <c r="C111" s="8" t="n">
        <v>2</v>
      </c>
      <c r="D111" s="8" t="n">
        <v>16</v>
      </c>
      <c r="E111" s="8" t="n">
        <v>16</v>
      </c>
      <c r="F111" s="4" t="s">
        <v>1407</v>
      </c>
      <c r="G111" s="8" t="n">
        <v>60</v>
      </c>
      <c r="H111" s="8" t="n">
        <v>2</v>
      </c>
      <c r="I111" s="4" t="s">
        <v>1393</v>
      </c>
      <c r="J111" s="8" t="n">
        <v>44</v>
      </c>
      <c r="K111" s="8" t="n">
        <v>14</v>
      </c>
      <c r="L111" s="4" t="s">
        <v>1405</v>
      </c>
      <c r="M111" s="8" t="n">
        <v>39</v>
      </c>
      <c r="N111" s="8" t="n">
        <f aca="false">IF(A111="","",G111-J111)</f>
        <v>16</v>
      </c>
      <c r="O111" s="8" t="n">
        <f aca="false">IF(A111="","",J111-M111)</f>
        <v>5</v>
      </c>
      <c r="P111" s="8" t="n">
        <f aca="false">IF(A111="","",G111+J111)</f>
        <v>104</v>
      </c>
      <c r="Q111" s="8" t="str">
        <f aca="false">IF(A111="","",IF(AND(Y111&lt;&gt;"参考",G111&gt;=ルール設定!$B$2),"○",""))</f>
        <v/>
      </c>
      <c r="R111" s="8" t="str">
        <f aca="false">IF(A111="","",IF(AND(Y111&lt;&gt;"参考",G111&gt;=ルール設定!$B$3,N111&gt;=ルール設定!$B$4),"○",""))</f>
        <v/>
      </c>
      <c r="S111" s="8" t="str">
        <f aca="false">IF(A111="","",IF(AND(Y111&lt;&gt;"参考",G111&gt;=ルール設定!$B$5,J111&gt;=ルール設定!$B$6,O111&gt;=ルール設定!$B$7),"○",""))</f>
        <v/>
      </c>
      <c r="T111" s="8" t="n">
        <v>1</v>
      </c>
      <c r="U111" s="8" t="n">
        <v>4</v>
      </c>
      <c r="V111" s="8" t="str">
        <f aca="false">IF(A111="","",IF(AND(ISNUMBER(T111),ISNUMBER(U111)),IF(AND(T111&lt;=3,U111&lt;=3),"○","×"),""))</f>
        <v>×</v>
      </c>
      <c r="W111" s="8" t="n">
        <v>170</v>
      </c>
      <c r="X111" s="8"/>
      <c r="Y111" s="4" t="s">
        <v>7597</v>
      </c>
      <c r="Z111" s="4" t="s">
        <v>7679</v>
      </c>
      <c r="AA111" s="8" t="str">
        <v/>
      </c>
      <c r="AB111" s="8" t="str">
        <v/>
      </c>
      <c r="AC111" s="8" t="str">
        <v/>
      </c>
      <c r="AD111" s="8" t="str">
        <v/>
      </c>
      <c r="AE111" s="8" t="str">
        <v/>
      </c>
      <c r="AF111" s="8" t="str">
        <v/>
      </c>
      <c r="AG111" s="8" t="str">
        <v/>
      </c>
      <c r="AH111" s="8" t="str">
        <v/>
      </c>
      <c r="AI111" s="8" t="n">
        <v>21</v>
      </c>
      <c r="AJ111" s="8" t="str">
        <v>60～69</v>
      </c>
      <c r="AK111" s="8" t="str">
        <v>10～19</v>
      </c>
      <c r="AL111" s="8" t="str">
        <v>20～29</v>
      </c>
      <c r="AM111" s="8" t="str">
        <v>100～119</v>
      </c>
      <c r="AN111" s="8" t="str">
        <v>15以上</v>
      </c>
      <c r="AO111" s="8" t="str">
        <f aca="false">IF(A111="","",IF(COUNTIFS(全馬データ!$A$2:$A$50000,A111,全馬データ!$B$2:$B$50000,B111,全馬データ!$C$2:$C$50000,C111,全馬データ!$D$2:$D$50000,E111,全馬データ!$K$2:$K$50000,"&lt;&gt;")=0,"",SUMIFS(全馬データ!$K$2:$K$50000,全馬データ!$A$2:$A$50000,A111,全馬データ!$B$2:$B$50000,B111,全馬データ!$C$2:$C$50000,C111,全馬データ!$D$2:$D$50000,E111)))</f>
        <v/>
      </c>
      <c r="AP111" s="8" t="str">
        <f aca="false">IF(A111="","",IF(AO111="","欠損",IF(AO111&lt;=1.1,"1.0～1.1",IF(AO111&lt;1.3,"1.2",IF(AO111&lt;1.5,"1.3～1.4",IF(AO111&lt;2,"1.5～1.9","2.0以上"))))))</f>
        <v>欠損</v>
      </c>
      <c r="AQ111" s="8" t="str">
        <f aca="false">IF(A111="","",IF(ISNUMBER(SEARCH("2歳",Z111)),"2歳戦",IF(ISNUMBER(SEARCH("3歳未勝利",Z111)),"3歳未勝利",IF(ISNUMBER(SEARCH("未勝利",Z111)),"その他未勝利",IF(ISNUMBER(SEARCH("G1",Z111)),"G1",IF(ISNUMBER(SEARCH("G2",Z111)),"G2",IF(ISNUMBER(SEARCH("G3",Z111)),"G3",IF(ISNUMBER(SEARCH("古馬条件",Z111)),"古馬条件戦",IF(ISNUMBER(SEARCH("重賞",Z111)),"重賞","分類不能")))))))))</f>
        <v>分類不能</v>
      </c>
      <c r="AR111" s="8"/>
      <c r="AS111" s="8" t="s">
        <v>7623</v>
      </c>
      <c r="AT111" s="8" t="s">
        <v>7624</v>
      </c>
      <c r="AU111" s="8" t="s">
        <v>7600</v>
      </c>
      <c r="AV111" s="4" t="s">
        <v>7601</v>
      </c>
      <c r="AW111" s="8"/>
      <c r="AX111" s="8"/>
      <c r="AY111" s="8" t="s">
        <v>7602</v>
      </c>
      <c r="AZ111" s="4" t="s">
        <v>7603</v>
      </c>
      <c r="BA111" s="8" t="n">
        <v>2000</v>
      </c>
      <c r="BB111" s="8" t="s">
        <v>7598</v>
      </c>
      <c r="BC111" s="4" t="s">
        <v>7604</v>
      </c>
      <c r="BD111" s="8" t="s">
        <v>7621</v>
      </c>
      <c r="BE111" s="4" t="s">
        <v>7622</v>
      </c>
      <c r="BF111" s="8" t="s">
        <v>7602</v>
      </c>
      <c r="BG111" s="8" t="s">
        <v>7608</v>
      </c>
      <c r="BH111" s="4" t="s">
        <v>7609</v>
      </c>
      <c r="BI111" s="8" t="n">
        <v>16</v>
      </c>
      <c r="BJ111" s="8" t="s">
        <v>7602</v>
      </c>
      <c r="BK111" s="4" t="s">
        <v>7653</v>
      </c>
      <c r="BL111" s="8" t="s">
        <v>7602</v>
      </c>
      <c r="BM111" s="4" t="s">
        <v>7620</v>
      </c>
      <c r="BN111" s="8" t="s">
        <v>7631</v>
      </c>
      <c r="BO111" s="8" t="s">
        <v>7680</v>
      </c>
      <c r="BP111" s="8" t="s">
        <v>7602</v>
      </c>
      <c r="BQ111" s="8" t="str">
        <f aca="false">IF(A111="","",AT111)</f>
        <v>3歳</v>
      </c>
      <c r="BR111" s="8" t="str">
        <f aca="false">IF(A111="","",IF(BA111&lt;=1200,"～1200",IF(BA111&lt;=1500,"1300～1500",IF(BA111=1600,"1600",IF(BA111&lt;=1800,"1700～1800",IF(BA111&lt;=2000,"1900～2000","2100以上"))))))</f>
        <v>1900～2000</v>
      </c>
      <c r="BS111" s="8" t="str">
        <f aca="false">IF(A111="","",IF(AX111="G1","G1",IF(AX111="G2","G2",IF(AX111="G3","G3",IF(AX111="L","L","その他")))))</f>
        <v>その他</v>
      </c>
      <c r="BT111" s="8" t="str">
        <f aca="false">IF(A111="","",IF(BI111="","未結合",IF(D111=BI111,"一致","不一致")))</f>
        <v>一致</v>
      </c>
      <c r="BU111" s="8" t="str">
        <f aca="false">IF(A111="","",IF(BE111="牝馬限定","牝馬限定","その他"))</f>
        <v>牝馬限定</v>
      </c>
    </row>
    <row r="112" customFormat="false" ht="15.75" hidden="false" customHeight="false" outlineLevel="0" collapsed="false">
      <c r="A112" s="6" t="n">
        <v>46222</v>
      </c>
      <c r="B112" s="4" t="s">
        <v>915</v>
      </c>
      <c r="C112" s="8" t="n">
        <v>3</v>
      </c>
      <c r="D112" s="8" t="n">
        <v>16</v>
      </c>
      <c r="E112" s="8" t="n">
        <v>8</v>
      </c>
      <c r="F112" s="4" t="s">
        <v>1413</v>
      </c>
      <c r="G112" s="8" t="n">
        <v>67</v>
      </c>
      <c r="H112" s="8" t="n">
        <v>6</v>
      </c>
      <c r="I112" s="4" t="s">
        <v>1412</v>
      </c>
      <c r="J112" s="8" t="n">
        <v>41</v>
      </c>
      <c r="K112" s="8" t="n">
        <v>14</v>
      </c>
      <c r="L112" s="4" t="s">
        <v>1419</v>
      </c>
      <c r="M112" s="8" t="n">
        <v>39</v>
      </c>
      <c r="N112" s="8" t="n">
        <f aca="false">IF(A112="","",G112-J112)</f>
        <v>26</v>
      </c>
      <c r="O112" s="8" t="n">
        <f aca="false">IF(A112="","",J112-M112)</f>
        <v>2</v>
      </c>
      <c r="P112" s="8" t="n">
        <f aca="false">IF(A112="","",G112+J112)</f>
        <v>108</v>
      </c>
      <c r="Q112" s="8" t="str">
        <f aca="false">IF(A112="","",IF(AND(Y112&lt;&gt;"参考",G112&gt;=ルール設定!$B$2),"○",""))</f>
        <v/>
      </c>
      <c r="R112" s="8" t="str">
        <f aca="false">IF(A112="","",IF(AND(Y112&lt;&gt;"参考",G112&gt;=ルール設定!$B$3,N112&gt;=ルール設定!$B$4),"○",""))</f>
        <v/>
      </c>
      <c r="S112" s="8" t="str">
        <f aca="false">IF(A112="","",IF(AND(Y112&lt;&gt;"参考",G112&gt;=ルール設定!$B$5,J112&gt;=ルール設定!$B$6,O112&gt;=ルール設定!$B$7),"○",""))</f>
        <v/>
      </c>
      <c r="T112" s="8" t="n">
        <v>1</v>
      </c>
      <c r="U112" s="8" t="n">
        <v>4</v>
      </c>
      <c r="V112" s="8" t="str">
        <f aca="false">IF(A112="","",IF(AND(ISNUMBER(T112),ISNUMBER(U112)),IF(AND(T112&lt;=3,U112&lt;=3),"○","×"),""))</f>
        <v>×</v>
      </c>
      <c r="W112" s="8" t="n">
        <v>130</v>
      </c>
      <c r="X112" s="8"/>
      <c r="Y112" s="4" t="s">
        <v>7597</v>
      </c>
      <c r="Z112" s="4" t="s">
        <v>7679</v>
      </c>
      <c r="AA112" s="8" t="str">
        <v/>
      </c>
      <c r="AB112" s="8" t="str">
        <v/>
      </c>
      <c r="AC112" s="8" t="str">
        <v/>
      </c>
      <c r="AD112" s="8" t="str">
        <v/>
      </c>
      <c r="AE112" s="8" t="str">
        <v/>
      </c>
      <c r="AF112" s="8" t="str">
        <v/>
      </c>
      <c r="AG112" s="8" t="str">
        <v/>
      </c>
      <c r="AH112" s="8" t="str">
        <v/>
      </c>
      <c r="AI112" s="8" t="n">
        <v>28</v>
      </c>
      <c r="AJ112" s="8" t="str">
        <v>60～69</v>
      </c>
      <c r="AK112" s="8" t="str">
        <v>20～29</v>
      </c>
      <c r="AL112" s="8" t="str">
        <v>20～29</v>
      </c>
      <c r="AM112" s="8" t="str">
        <v>100～119</v>
      </c>
      <c r="AN112" s="8" t="str">
        <v>15以上</v>
      </c>
      <c r="AO112" s="8" t="str">
        <f aca="false">IF(A112="","",IF(COUNTIFS(全馬データ!$A$2:$A$50000,A112,全馬データ!$B$2:$B$50000,B112,全馬データ!$C$2:$C$50000,C112,全馬データ!$D$2:$D$50000,E112,全馬データ!$K$2:$K$50000,"&lt;&gt;")=0,"",SUMIFS(全馬データ!$K$2:$K$50000,全馬データ!$A$2:$A$50000,A112,全馬データ!$B$2:$B$50000,B112,全馬データ!$C$2:$C$50000,C112,全馬データ!$D$2:$D$50000,E112)))</f>
        <v/>
      </c>
      <c r="AP112" s="8" t="str">
        <f aca="false">IF(A112="","",IF(AO112="","欠損",IF(AO112&lt;=1.1,"1.0～1.1",IF(AO112&lt;1.3,"1.2",IF(AO112&lt;1.5,"1.3～1.4",IF(AO112&lt;2,"1.5～1.9","2.0以上"))))))</f>
        <v>欠損</v>
      </c>
      <c r="AQ112" s="8" t="str">
        <f aca="false">IF(A112="","",IF(ISNUMBER(SEARCH("2歳",Z112)),"2歳戦",IF(ISNUMBER(SEARCH("3歳未勝利",Z112)),"3歳未勝利",IF(ISNUMBER(SEARCH("未勝利",Z112)),"その他未勝利",IF(ISNUMBER(SEARCH("G1",Z112)),"G1",IF(ISNUMBER(SEARCH("G2",Z112)),"G2",IF(ISNUMBER(SEARCH("G3",Z112)),"G3",IF(ISNUMBER(SEARCH("古馬条件",Z112)),"古馬条件戦",IF(ISNUMBER(SEARCH("重賞",Z112)),"重賞","分類不能")))))))))</f>
        <v>分類不能</v>
      </c>
      <c r="AR112" s="8"/>
      <c r="AS112" s="8" t="s">
        <v>7623</v>
      </c>
      <c r="AT112" s="8" t="s">
        <v>7624</v>
      </c>
      <c r="AU112" s="8" t="s">
        <v>7600</v>
      </c>
      <c r="AV112" s="4" t="s">
        <v>7601</v>
      </c>
      <c r="AW112" s="8"/>
      <c r="AX112" s="8"/>
      <c r="AY112" s="8" t="s">
        <v>7602</v>
      </c>
      <c r="AZ112" s="4" t="s">
        <v>7603</v>
      </c>
      <c r="BA112" s="8" t="n">
        <v>1800</v>
      </c>
      <c r="BB112" s="8" t="s">
        <v>7598</v>
      </c>
      <c r="BC112" s="4" t="s">
        <v>7604</v>
      </c>
      <c r="BD112" s="8" t="s">
        <v>7625</v>
      </c>
      <c r="BE112" s="4" t="s">
        <v>7606</v>
      </c>
      <c r="BF112" s="8" t="s">
        <v>7607</v>
      </c>
      <c r="BG112" s="8" t="s">
        <v>7608</v>
      </c>
      <c r="BH112" s="4" t="s">
        <v>7609</v>
      </c>
      <c r="BI112" s="8" t="n">
        <v>16</v>
      </c>
      <c r="BJ112" s="8" t="s">
        <v>7602</v>
      </c>
      <c r="BK112" s="4" t="s">
        <v>7653</v>
      </c>
      <c r="BL112" s="8" t="s">
        <v>7602</v>
      </c>
      <c r="BM112" s="4" t="s">
        <v>7620</v>
      </c>
      <c r="BN112" s="8" t="s">
        <v>7631</v>
      </c>
      <c r="BO112" s="8" t="s">
        <v>7680</v>
      </c>
      <c r="BP112" s="8" t="s">
        <v>7602</v>
      </c>
      <c r="BQ112" s="8" t="str">
        <f aca="false">IF(A112="","",AT112)</f>
        <v>3歳</v>
      </c>
      <c r="BR112" s="8" t="str">
        <f aca="false">IF(A112="","",IF(BA112&lt;=1200,"～1200",IF(BA112&lt;=1500,"1300～1500",IF(BA112=1600,"1600",IF(BA112&lt;=1800,"1700～1800",IF(BA112&lt;=2000,"1900～2000","2100以上"))))))</f>
        <v>1700～1800</v>
      </c>
      <c r="BS112" s="8" t="str">
        <f aca="false">IF(A112="","",IF(AX112="G1","G1",IF(AX112="G2","G2",IF(AX112="G3","G3",IF(AX112="L","L","その他")))))</f>
        <v>その他</v>
      </c>
      <c r="BT112" s="8" t="str">
        <f aca="false">IF(A112="","",IF(BI112="","未結合",IF(D112=BI112,"一致","不一致")))</f>
        <v>一致</v>
      </c>
      <c r="BU112" s="8" t="str">
        <f aca="false">IF(A112="","",IF(BE112="牝馬限定","牝馬限定","その他"))</f>
        <v>その他</v>
      </c>
    </row>
    <row r="113" customFormat="false" ht="15.75" hidden="false" customHeight="false" outlineLevel="0" collapsed="false">
      <c r="A113" s="6" t="n">
        <v>46222</v>
      </c>
      <c r="B113" s="4" t="s">
        <v>915</v>
      </c>
      <c r="C113" s="8" t="n">
        <v>4</v>
      </c>
      <c r="D113" s="8" t="n">
        <v>15</v>
      </c>
      <c r="E113" s="8" t="n">
        <v>3</v>
      </c>
      <c r="F113" s="4" t="s">
        <v>1424</v>
      </c>
      <c r="G113" s="8" t="n">
        <v>65</v>
      </c>
      <c r="H113" s="8" t="n">
        <v>9</v>
      </c>
      <c r="I113" s="4" t="s">
        <v>1430</v>
      </c>
      <c r="J113" s="8" t="n">
        <v>58</v>
      </c>
      <c r="K113" s="8" t="n">
        <v>5</v>
      </c>
      <c r="L113" s="4" t="s">
        <v>1426</v>
      </c>
      <c r="M113" s="8" t="n">
        <v>47</v>
      </c>
      <c r="N113" s="8" t="n">
        <f aca="false">IF(A113="","",G113-J113)</f>
        <v>7</v>
      </c>
      <c r="O113" s="8" t="n">
        <f aca="false">IF(A113="","",J113-M113)</f>
        <v>11</v>
      </c>
      <c r="P113" s="8" t="n">
        <f aca="false">IF(A113="","",G113+J113)</f>
        <v>123</v>
      </c>
      <c r="Q113" s="8" t="str">
        <f aca="false">IF(A113="","",IF(AND(Y113&lt;&gt;"参考",G113&gt;=ルール設定!$B$2),"○",""))</f>
        <v/>
      </c>
      <c r="R113" s="8" t="str">
        <f aca="false">IF(A113="","",IF(AND(Y113&lt;&gt;"参考",G113&gt;=ルール設定!$B$3,N113&gt;=ルール設定!$B$4),"○",""))</f>
        <v/>
      </c>
      <c r="S113" s="8" t="str">
        <f aca="false">IF(A113="","",IF(AND(Y113&lt;&gt;"参考",G113&gt;=ルール設定!$B$5,J113&gt;=ルール設定!$B$6,O113&gt;=ルール設定!$B$7),"○",""))</f>
        <v/>
      </c>
      <c r="T113" s="8" t="n">
        <v>4</v>
      </c>
      <c r="U113" s="8" t="n">
        <v>3</v>
      </c>
      <c r="V113" s="8" t="str">
        <f aca="false">IF(A113="","",IF(AND(ISNUMBER(T113),ISNUMBER(U113)),IF(AND(T113&lt;=3,U113&lt;=3),"○","×"),""))</f>
        <v>×</v>
      </c>
      <c r="W113" s="8"/>
      <c r="X113" s="8"/>
      <c r="Y113" s="4" t="s">
        <v>7597</v>
      </c>
      <c r="Z113" s="4" t="s">
        <v>7679</v>
      </c>
      <c r="AA113" s="8" t="str">
        <v/>
      </c>
      <c r="AB113" s="8" t="str">
        <v/>
      </c>
      <c r="AC113" s="8" t="str">
        <v/>
      </c>
      <c r="AD113" s="8" t="str">
        <v/>
      </c>
      <c r="AE113" s="8" t="str">
        <v/>
      </c>
      <c r="AF113" s="8" t="str">
        <v/>
      </c>
      <c r="AG113" s="8" t="str">
        <v/>
      </c>
      <c r="AH113" s="8" t="str">
        <v/>
      </c>
      <c r="AI113" s="8" t="n">
        <v>18</v>
      </c>
      <c r="AJ113" s="8" t="str">
        <v>60～69</v>
      </c>
      <c r="AK113" s="8" t="str">
        <v>5～9</v>
      </c>
      <c r="AL113" s="8" t="str">
        <v>10～19</v>
      </c>
      <c r="AM113" s="8" t="str">
        <v>120～139</v>
      </c>
      <c r="AN113" s="8" t="str">
        <v>15以上</v>
      </c>
      <c r="AO113" s="8" t="str">
        <f aca="false">IF(A113="","",IF(COUNTIFS(全馬データ!$A$2:$A$50000,A113,全馬データ!$B$2:$B$50000,B113,全馬データ!$C$2:$C$50000,C113,全馬データ!$D$2:$D$50000,E113,全馬データ!$K$2:$K$50000,"&lt;&gt;")=0,"",SUMIFS(全馬データ!$K$2:$K$50000,全馬データ!$A$2:$A$50000,A113,全馬データ!$B$2:$B$50000,B113,全馬データ!$C$2:$C$50000,C113,全馬データ!$D$2:$D$50000,E113)))</f>
        <v/>
      </c>
      <c r="AP113" s="8" t="str">
        <f aca="false">IF(A113="","",IF(AO113="","欠損",IF(AO113&lt;=1.1,"1.0～1.1",IF(AO113&lt;1.3,"1.2",IF(AO113&lt;1.5,"1.3～1.4",IF(AO113&lt;2,"1.5～1.9","2.0以上"))))))</f>
        <v>欠損</v>
      </c>
      <c r="AQ113" s="8" t="str">
        <f aca="false">IF(A113="","",IF(ISNUMBER(SEARCH("2歳",Z113)),"2歳戦",IF(ISNUMBER(SEARCH("3歳未勝利",Z113)),"3歳未勝利",IF(ISNUMBER(SEARCH("未勝利",Z113)),"その他未勝利",IF(ISNUMBER(SEARCH("G1",Z113)),"G1",IF(ISNUMBER(SEARCH("G2",Z113)),"G2",IF(ISNUMBER(SEARCH("G3",Z113)),"G3",IF(ISNUMBER(SEARCH("古馬条件",Z113)),"古馬条件戦",IF(ISNUMBER(SEARCH("重賞",Z113)),"重賞","分類不能")))))))))</f>
        <v>分類不能</v>
      </c>
      <c r="AR113" s="8"/>
      <c r="AS113" s="8" t="s">
        <v>7623</v>
      </c>
      <c r="AT113" s="8" t="s">
        <v>7624</v>
      </c>
      <c r="AU113" s="8" t="s">
        <v>7600</v>
      </c>
      <c r="AV113" s="4" t="s">
        <v>7601</v>
      </c>
      <c r="AW113" s="8"/>
      <c r="AX113" s="8"/>
      <c r="AY113" s="8" t="s">
        <v>7610</v>
      </c>
      <c r="AZ113" s="4" t="s">
        <v>7617</v>
      </c>
      <c r="BA113" s="8" t="n">
        <v>1700</v>
      </c>
      <c r="BB113" s="8" t="s">
        <v>7598</v>
      </c>
      <c r="BC113" s="4" t="s">
        <v>7604</v>
      </c>
      <c r="BD113" s="8" t="s">
        <v>7621</v>
      </c>
      <c r="BE113" s="4" t="s">
        <v>7622</v>
      </c>
      <c r="BF113" s="8" t="s">
        <v>7602</v>
      </c>
      <c r="BG113" s="8" t="s">
        <v>7608</v>
      </c>
      <c r="BH113" s="4" t="s">
        <v>7609</v>
      </c>
      <c r="BI113" s="8" t="n">
        <v>15</v>
      </c>
      <c r="BJ113" s="8" t="s">
        <v>7602</v>
      </c>
      <c r="BK113" s="4" t="s">
        <v>7653</v>
      </c>
      <c r="BL113" s="8" t="s">
        <v>7602</v>
      </c>
      <c r="BM113" s="4" t="s">
        <v>7620</v>
      </c>
      <c r="BN113" s="8"/>
      <c r="BO113" s="8"/>
      <c r="BP113" s="8" t="s">
        <v>7602</v>
      </c>
      <c r="BQ113" s="8" t="str">
        <f aca="false">IF(A113="","",AT113)</f>
        <v>3歳</v>
      </c>
      <c r="BR113" s="8" t="str">
        <f aca="false">IF(A113="","",IF(BA113&lt;=1200,"～1200",IF(BA113&lt;=1500,"1300～1500",IF(BA113=1600,"1600",IF(BA113&lt;=1800,"1700～1800",IF(BA113&lt;=2000,"1900～2000","2100以上"))))))</f>
        <v>1700～1800</v>
      </c>
      <c r="BS113" s="8" t="str">
        <f aca="false">IF(A113="","",IF(AX113="G1","G1",IF(AX113="G2","G2",IF(AX113="G3","G3",IF(AX113="L","L","その他")))))</f>
        <v>その他</v>
      </c>
      <c r="BT113" s="8" t="str">
        <f aca="false">IF(A113="","",IF(BI113="","未結合",IF(D113=BI113,"一致","不一致")))</f>
        <v>一致</v>
      </c>
      <c r="BU113" s="8" t="str">
        <f aca="false">IF(A113="","",IF(BE113="牝馬限定","牝馬限定","その他"))</f>
        <v>牝馬限定</v>
      </c>
    </row>
    <row r="114" customFormat="false" ht="15.75" hidden="false" customHeight="false" outlineLevel="0" collapsed="false">
      <c r="A114" s="6" t="n">
        <v>46222</v>
      </c>
      <c r="B114" s="4" t="s">
        <v>915</v>
      </c>
      <c r="C114" s="8" t="n">
        <v>5</v>
      </c>
      <c r="D114" s="8" t="n">
        <v>13</v>
      </c>
      <c r="E114" s="8" t="n">
        <v>2</v>
      </c>
      <c r="F114" s="4" t="s">
        <v>1438</v>
      </c>
      <c r="G114" s="8" t="n">
        <v>31</v>
      </c>
      <c r="H114" s="8" t="n">
        <v>4</v>
      </c>
      <c r="I114" s="4" t="s">
        <v>1440</v>
      </c>
      <c r="J114" s="8" t="n">
        <v>31</v>
      </c>
      <c r="K114" s="8" t="n">
        <v>6</v>
      </c>
      <c r="L114" s="4" t="s">
        <v>1442</v>
      </c>
      <c r="M114" s="8" t="n">
        <v>24</v>
      </c>
      <c r="N114" s="8" t="n">
        <f aca="false">IF(A114="","",G114-J114)</f>
        <v>0</v>
      </c>
      <c r="O114" s="8" t="n">
        <f aca="false">IF(A114="","",J114-M114)</f>
        <v>7</v>
      </c>
      <c r="P114" s="8" t="n">
        <f aca="false">IF(A114="","",G114+J114)</f>
        <v>62</v>
      </c>
      <c r="Q114" s="8" t="str">
        <f aca="false">IF(A114="","",IF(AND(Y114&lt;&gt;"参考",G114&gt;=ルール設定!$B$2),"○",""))</f>
        <v/>
      </c>
      <c r="R114" s="8" t="str">
        <f aca="false">IF(A114="","",IF(AND(Y114&lt;&gt;"参考",G114&gt;=ルール設定!$B$3,N114&gt;=ルール設定!$B$4),"○",""))</f>
        <v/>
      </c>
      <c r="S114" s="8" t="str">
        <f aca="false">IF(A114="","",IF(AND(Y114&lt;&gt;"参考",G114&gt;=ルール設定!$B$5,J114&gt;=ルール設定!$B$6,O114&gt;=ルール設定!$B$7),"○",""))</f>
        <v/>
      </c>
      <c r="T114" s="8" t="n">
        <v>4</v>
      </c>
      <c r="U114" s="8" t="n">
        <v>1</v>
      </c>
      <c r="V114" s="8" t="str">
        <f aca="false">IF(A114="","",IF(AND(ISNUMBER(T114),ISNUMBER(U114)),IF(AND(T114&lt;=3,U114&lt;=3),"○","×"),""))</f>
        <v>×</v>
      </c>
      <c r="W114" s="8"/>
      <c r="X114" s="8"/>
      <c r="Y114" s="4" t="s">
        <v>7597</v>
      </c>
      <c r="Z114" s="4" t="s">
        <v>7679</v>
      </c>
      <c r="AA114" s="8" t="str">
        <v/>
      </c>
      <c r="AB114" s="8" t="str">
        <v/>
      </c>
      <c r="AC114" s="8" t="str">
        <v/>
      </c>
      <c r="AD114" s="8" t="str">
        <v/>
      </c>
      <c r="AE114" s="8" t="str">
        <v/>
      </c>
      <c r="AF114" s="8" t="str">
        <v/>
      </c>
      <c r="AG114" s="8" t="str">
        <v/>
      </c>
      <c r="AH114" s="8" t="str">
        <v/>
      </c>
      <c r="AI114" s="8" t="n">
        <v>7</v>
      </c>
      <c r="AJ114" s="8" t="str">
        <v>～59</v>
      </c>
      <c r="AK114" s="8" t="str">
        <v>0～4</v>
      </c>
      <c r="AL114" s="8" t="str">
        <v>0～9</v>
      </c>
      <c r="AM114" s="8" t="str">
        <v>～99</v>
      </c>
      <c r="AN114" s="8" t="str">
        <v>12～14</v>
      </c>
      <c r="AO114" s="8" t="str">
        <f aca="false">IF(A114="","",IF(COUNTIFS(全馬データ!$A$2:$A$50000,A114,全馬データ!$B$2:$B$50000,B114,全馬データ!$C$2:$C$50000,C114,全馬データ!$D$2:$D$50000,E114,全馬データ!$K$2:$K$50000,"&lt;&gt;")=0,"",SUMIFS(全馬データ!$K$2:$K$50000,全馬データ!$A$2:$A$50000,A114,全馬データ!$B$2:$B$50000,B114,全馬データ!$C$2:$C$50000,C114,全馬データ!$D$2:$D$50000,E114)))</f>
        <v/>
      </c>
      <c r="AP114" s="8" t="str">
        <f aca="false">IF(A114="","",IF(AO114="","欠損",IF(AO114&lt;=1.1,"1.0～1.1",IF(AO114&lt;1.3,"1.2",IF(AO114&lt;1.5,"1.3～1.4",IF(AO114&lt;2,"1.5～1.9","2.0以上"))))))</f>
        <v>欠損</v>
      </c>
      <c r="AQ114" s="8" t="str">
        <f aca="false">IF(A114="","",IF(ISNUMBER(SEARCH("2歳",Z114)),"2歳戦",IF(ISNUMBER(SEARCH("3歳未勝利",Z114)),"3歳未勝利",IF(ISNUMBER(SEARCH("未勝利",Z114)),"その他未勝利",IF(ISNUMBER(SEARCH("G1",Z114)),"G1",IF(ISNUMBER(SEARCH("G2",Z114)),"G2",IF(ISNUMBER(SEARCH("G3",Z114)),"G3",IF(ISNUMBER(SEARCH("古馬条件",Z114)),"古馬条件戦",IF(ISNUMBER(SEARCH("重賞",Z114)),"重賞","分類不能")))))))))</f>
        <v>分類不能</v>
      </c>
      <c r="AR114" s="8"/>
      <c r="AS114" s="8" t="s">
        <v>7598</v>
      </c>
      <c r="AT114" s="8" t="s">
        <v>7599</v>
      </c>
      <c r="AU114" s="8" t="s">
        <v>7615</v>
      </c>
      <c r="AV114" s="4" t="s">
        <v>7616</v>
      </c>
      <c r="AW114" s="8"/>
      <c r="AX114" s="8"/>
      <c r="AY114" s="8" t="s">
        <v>7602</v>
      </c>
      <c r="AZ114" s="4" t="s">
        <v>7603</v>
      </c>
      <c r="BA114" s="8" t="n">
        <v>2000</v>
      </c>
      <c r="BB114" s="8" t="s">
        <v>7598</v>
      </c>
      <c r="BC114" s="4" t="s">
        <v>7604</v>
      </c>
      <c r="BD114" s="8" t="s">
        <v>7605</v>
      </c>
      <c r="BE114" s="4" t="s">
        <v>7606</v>
      </c>
      <c r="BF114" s="8" t="s">
        <v>7607</v>
      </c>
      <c r="BG114" s="8" t="s">
        <v>7608</v>
      </c>
      <c r="BH114" s="4" t="s">
        <v>7609</v>
      </c>
      <c r="BI114" s="8" t="n">
        <v>13</v>
      </c>
      <c r="BJ114" s="8" t="s">
        <v>7602</v>
      </c>
      <c r="BK114" s="4" t="s">
        <v>7653</v>
      </c>
      <c r="BL114" s="8" t="s">
        <v>7602</v>
      </c>
      <c r="BM114" s="4" t="s">
        <v>7620</v>
      </c>
      <c r="BN114" s="8" t="s">
        <v>7631</v>
      </c>
      <c r="BO114" s="8" t="s">
        <v>7680</v>
      </c>
      <c r="BP114" s="8" t="s">
        <v>7602</v>
      </c>
      <c r="BQ114" s="8" t="str">
        <f aca="false">IF(A114="","",AT114)</f>
        <v>2歳</v>
      </c>
      <c r="BR114" s="8" t="str">
        <f aca="false">IF(A114="","",IF(BA114&lt;=1200,"～1200",IF(BA114&lt;=1500,"1300～1500",IF(BA114=1600,"1600",IF(BA114&lt;=1800,"1700～1800",IF(BA114&lt;=2000,"1900～2000","2100以上"))))))</f>
        <v>1900～2000</v>
      </c>
      <c r="BS114" s="8" t="str">
        <f aca="false">IF(A114="","",IF(AX114="G1","G1",IF(AX114="G2","G2",IF(AX114="G3","G3",IF(AX114="L","L","その他")))))</f>
        <v>その他</v>
      </c>
      <c r="BT114" s="8" t="str">
        <f aca="false">IF(A114="","",IF(BI114="","未結合",IF(D114=BI114,"一致","不一致")))</f>
        <v>一致</v>
      </c>
      <c r="BU114" s="8" t="str">
        <f aca="false">IF(A114="","",IF(BE114="牝馬限定","牝馬限定","その他"))</f>
        <v>その他</v>
      </c>
    </row>
    <row r="115" customFormat="false" ht="15.75" hidden="false" customHeight="false" outlineLevel="0" collapsed="false">
      <c r="A115" s="6" t="n">
        <v>46222</v>
      </c>
      <c r="B115" s="4" t="s">
        <v>915</v>
      </c>
      <c r="C115" s="8" t="n">
        <v>6</v>
      </c>
      <c r="D115" s="8" t="n">
        <v>16</v>
      </c>
      <c r="E115" s="8" t="n">
        <v>14</v>
      </c>
      <c r="F115" s="4" t="s">
        <v>1463</v>
      </c>
      <c r="G115" s="8" t="n">
        <v>37</v>
      </c>
      <c r="H115" s="8" t="n">
        <v>13</v>
      </c>
      <c r="I115" s="4" t="s">
        <v>1462</v>
      </c>
      <c r="J115" s="8" t="n">
        <v>24</v>
      </c>
      <c r="K115" s="8" t="n">
        <v>16</v>
      </c>
      <c r="L115" s="4" t="s">
        <v>1465</v>
      </c>
      <c r="M115" s="8" t="n">
        <v>24</v>
      </c>
      <c r="N115" s="8" t="n">
        <f aca="false">IF(A115="","",G115-J115)</f>
        <v>13</v>
      </c>
      <c r="O115" s="8" t="n">
        <f aca="false">IF(A115="","",J115-M115)</f>
        <v>0</v>
      </c>
      <c r="P115" s="8" t="n">
        <f aca="false">IF(A115="","",G115+J115)</f>
        <v>61</v>
      </c>
      <c r="Q115" s="8" t="str">
        <f aca="false">IF(A115="","",IF(AND(Y115&lt;&gt;"参考",G115&gt;=ルール設定!$B$2),"○",""))</f>
        <v/>
      </c>
      <c r="R115" s="8" t="str">
        <f aca="false">IF(A115="","",IF(AND(Y115&lt;&gt;"参考",G115&gt;=ルール設定!$B$3,N115&gt;=ルール設定!$B$4),"○",""))</f>
        <v/>
      </c>
      <c r="S115" s="8" t="str">
        <f aca="false">IF(A115="","",IF(AND(Y115&lt;&gt;"参考",G115&gt;=ルール設定!$B$5,J115&gt;=ルール設定!$B$6,O115&gt;=ルール設定!$B$7),"○",""))</f>
        <v/>
      </c>
      <c r="T115" s="8" t="n">
        <v>1</v>
      </c>
      <c r="U115" s="8" t="n">
        <v>4</v>
      </c>
      <c r="V115" s="8" t="str">
        <f aca="false">IF(A115="","",IF(AND(ISNUMBER(T115),ISNUMBER(U115)),IF(AND(T115&lt;=3,U115&lt;=3),"○","×"),""))</f>
        <v>×</v>
      </c>
      <c r="W115" s="8" t="n">
        <v>150</v>
      </c>
      <c r="X115" s="8"/>
      <c r="Y115" s="4" t="s">
        <v>7597</v>
      </c>
      <c r="Z115" s="4" t="s">
        <v>7679</v>
      </c>
      <c r="AA115" s="8" t="str">
        <v/>
      </c>
      <c r="AB115" s="8" t="str">
        <v/>
      </c>
      <c r="AC115" s="8" t="str">
        <v/>
      </c>
      <c r="AD115" s="8" t="str">
        <v/>
      </c>
      <c r="AE115" s="8" t="str">
        <v/>
      </c>
      <c r="AF115" s="8" t="str">
        <v/>
      </c>
      <c r="AG115" s="8" t="str">
        <v/>
      </c>
      <c r="AH115" s="8" t="str">
        <v/>
      </c>
      <c r="AI115" s="8" t="n">
        <v>13</v>
      </c>
      <c r="AJ115" s="8" t="str">
        <v>～59</v>
      </c>
      <c r="AK115" s="8" t="str">
        <v>10～19</v>
      </c>
      <c r="AL115" s="8" t="str">
        <v>10～19</v>
      </c>
      <c r="AM115" s="8" t="str">
        <v>～99</v>
      </c>
      <c r="AN115" s="8" t="str">
        <v>15以上</v>
      </c>
      <c r="AO115" s="8" t="str">
        <f aca="false">IF(A115="","",IF(COUNTIFS(全馬データ!$A$2:$A$50000,A115,全馬データ!$B$2:$B$50000,B115,全馬データ!$C$2:$C$50000,C115,全馬データ!$D$2:$D$50000,E115,全馬データ!$K$2:$K$50000,"&lt;&gt;")=0,"",SUMIFS(全馬データ!$K$2:$K$50000,全馬データ!$A$2:$A$50000,A115,全馬データ!$B$2:$B$50000,B115,全馬データ!$C$2:$C$50000,C115,全馬データ!$D$2:$D$50000,E115)))</f>
        <v/>
      </c>
      <c r="AP115" s="8" t="str">
        <f aca="false">IF(A115="","",IF(AO115="","欠損",IF(AO115&lt;=1.1,"1.0～1.1",IF(AO115&lt;1.3,"1.2",IF(AO115&lt;1.5,"1.3～1.4",IF(AO115&lt;2,"1.5～1.9","2.0以上"))))))</f>
        <v>欠損</v>
      </c>
      <c r="AQ115" s="8" t="str">
        <f aca="false">IF(A115="","",IF(ISNUMBER(SEARCH("2歳",Z115)),"2歳戦",IF(ISNUMBER(SEARCH("3歳未勝利",Z115)),"3歳未勝利",IF(ISNUMBER(SEARCH("未勝利",Z115)),"その他未勝利",IF(ISNUMBER(SEARCH("G1",Z115)),"G1",IF(ISNUMBER(SEARCH("G2",Z115)),"G2",IF(ISNUMBER(SEARCH("G3",Z115)),"G3",IF(ISNUMBER(SEARCH("古馬条件",Z115)),"古馬条件戦",IF(ISNUMBER(SEARCH("重賞",Z115)),"重賞","分類不能")))))))))</f>
        <v>分類不能</v>
      </c>
      <c r="AR115" s="8"/>
      <c r="AS115" s="8" t="s">
        <v>7598</v>
      </c>
      <c r="AT115" s="8" t="s">
        <v>7599</v>
      </c>
      <c r="AU115" s="8" t="s">
        <v>7615</v>
      </c>
      <c r="AV115" s="4" t="s">
        <v>7616</v>
      </c>
      <c r="AW115" s="8"/>
      <c r="AX115" s="8"/>
      <c r="AY115" s="8" t="s">
        <v>7602</v>
      </c>
      <c r="AZ115" s="4" t="s">
        <v>7603</v>
      </c>
      <c r="BA115" s="8" t="n">
        <v>1200</v>
      </c>
      <c r="BB115" s="8" t="s">
        <v>7598</v>
      </c>
      <c r="BC115" s="4" t="s">
        <v>7604</v>
      </c>
      <c r="BD115" s="8" t="s">
        <v>7625</v>
      </c>
      <c r="BE115" s="4" t="s">
        <v>7606</v>
      </c>
      <c r="BF115" s="8" t="s">
        <v>7607</v>
      </c>
      <c r="BG115" s="8" t="s">
        <v>7608</v>
      </c>
      <c r="BH115" s="4" t="s">
        <v>7609</v>
      </c>
      <c r="BI115" s="8" t="n">
        <v>16</v>
      </c>
      <c r="BJ115" s="8" t="s">
        <v>7602</v>
      </c>
      <c r="BK115" s="4" t="s">
        <v>7653</v>
      </c>
      <c r="BL115" s="8" t="s">
        <v>7602</v>
      </c>
      <c r="BM115" s="4" t="s">
        <v>7620</v>
      </c>
      <c r="BN115" s="8" t="s">
        <v>7631</v>
      </c>
      <c r="BO115" s="8" t="s">
        <v>7680</v>
      </c>
      <c r="BP115" s="8" t="s">
        <v>7602</v>
      </c>
      <c r="BQ115" s="8" t="str">
        <f aca="false">IF(A115="","",AT115)</f>
        <v>2歳</v>
      </c>
      <c r="BR115" s="8" t="str">
        <f aca="false">IF(A115="","",IF(BA115&lt;=1200,"～1200",IF(BA115&lt;=1500,"1300～1500",IF(BA115=1600,"1600",IF(BA115&lt;=1800,"1700～1800",IF(BA115&lt;=2000,"1900～2000","2100以上"))))))</f>
        <v>～1200</v>
      </c>
      <c r="BS115" s="8" t="str">
        <f aca="false">IF(A115="","",IF(AX115="G1","G1",IF(AX115="G2","G2",IF(AX115="G3","G3",IF(AX115="L","L","その他")))))</f>
        <v>その他</v>
      </c>
      <c r="BT115" s="8" t="str">
        <f aca="false">IF(A115="","",IF(BI115="","未結合",IF(D115=BI115,"一致","不一致")))</f>
        <v>一致</v>
      </c>
      <c r="BU115" s="8" t="str">
        <f aca="false">IF(A115="","",IF(BE115="牝馬限定","牝馬限定","その他"))</f>
        <v>その他</v>
      </c>
    </row>
    <row r="116" customFormat="false" ht="15.75" hidden="false" customHeight="false" outlineLevel="0" collapsed="false">
      <c r="A116" s="6" t="n">
        <v>46222</v>
      </c>
      <c r="B116" s="4" t="s">
        <v>915</v>
      </c>
      <c r="C116" s="8" t="n">
        <v>7</v>
      </c>
      <c r="D116" s="8" t="n">
        <v>15</v>
      </c>
      <c r="E116" s="8" t="n">
        <v>4</v>
      </c>
      <c r="F116" s="4" t="s">
        <v>1469</v>
      </c>
      <c r="G116" s="8" t="n">
        <v>60</v>
      </c>
      <c r="H116" s="8" t="n">
        <v>3</v>
      </c>
      <c r="I116" s="4" t="s">
        <v>1468</v>
      </c>
      <c r="J116" s="8" t="n">
        <v>50</v>
      </c>
      <c r="K116" s="8" t="n">
        <v>13</v>
      </c>
      <c r="L116" s="4" t="s">
        <v>1478</v>
      </c>
      <c r="M116" s="8" t="n">
        <v>39</v>
      </c>
      <c r="N116" s="8" t="n">
        <f aca="false">IF(A116="","",G116-J116)</f>
        <v>10</v>
      </c>
      <c r="O116" s="8" t="n">
        <f aca="false">IF(A116="","",J116-M116)</f>
        <v>11</v>
      </c>
      <c r="P116" s="8" t="n">
        <f aca="false">IF(A116="","",G116+J116)</f>
        <v>110</v>
      </c>
      <c r="Q116" s="8" t="str">
        <f aca="false">IF(A116="","",IF(AND(Y116&lt;&gt;"参考",G116&gt;=ルール設定!$B$2),"○",""))</f>
        <v/>
      </c>
      <c r="R116" s="8" t="str">
        <f aca="false">IF(A116="","",IF(AND(Y116&lt;&gt;"参考",G116&gt;=ルール設定!$B$3,N116&gt;=ルール設定!$B$4),"○",""))</f>
        <v/>
      </c>
      <c r="S116" s="8" t="str">
        <f aca="false">IF(A116="","",IF(AND(Y116&lt;&gt;"参考",G116&gt;=ルール設定!$B$5,J116&gt;=ルール設定!$B$6,O116&gt;=ルール設定!$B$7),"○",""))</f>
        <v/>
      </c>
      <c r="T116" s="8" t="n">
        <v>4</v>
      </c>
      <c r="U116" s="8" t="n">
        <v>1</v>
      </c>
      <c r="V116" s="8" t="str">
        <f aca="false">IF(A116="","",IF(AND(ISNUMBER(T116),ISNUMBER(U116)),IF(AND(T116&lt;=3,U116&lt;=3),"○","×"),""))</f>
        <v>×</v>
      </c>
      <c r="W116" s="8"/>
      <c r="X116" s="8"/>
      <c r="Y116" s="4" t="s">
        <v>7597</v>
      </c>
      <c r="Z116" s="4" t="s">
        <v>7679</v>
      </c>
      <c r="AA116" s="8" t="str">
        <v/>
      </c>
      <c r="AB116" s="8" t="str">
        <v/>
      </c>
      <c r="AC116" s="8" t="str">
        <v/>
      </c>
      <c r="AD116" s="8" t="str">
        <v/>
      </c>
      <c r="AE116" s="8" t="str">
        <v/>
      </c>
      <c r="AF116" s="8" t="str">
        <v/>
      </c>
      <c r="AG116" s="8" t="str">
        <v/>
      </c>
      <c r="AH116" s="8" t="str">
        <v/>
      </c>
      <c r="AI116" s="8" t="n">
        <v>21</v>
      </c>
      <c r="AJ116" s="8" t="str">
        <v>60～69</v>
      </c>
      <c r="AK116" s="8" t="str">
        <v>10～19</v>
      </c>
      <c r="AL116" s="8" t="str">
        <v>20～29</v>
      </c>
      <c r="AM116" s="8" t="str">
        <v>100～119</v>
      </c>
      <c r="AN116" s="8" t="str">
        <v>15以上</v>
      </c>
      <c r="AO116" s="8" t="str">
        <f aca="false">IF(A116="","",IF(COUNTIFS(全馬データ!$A$2:$A$50000,A116,全馬データ!$B$2:$B$50000,B116,全馬データ!$C$2:$C$50000,C116,全馬データ!$D$2:$D$50000,E116,全馬データ!$K$2:$K$50000,"&lt;&gt;")=0,"",SUMIFS(全馬データ!$K$2:$K$50000,全馬データ!$A$2:$A$50000,A116,全馬データ!$B$2:$B$50000,B116,全馬データ!$C$2:$C$50000,C116,全馬データ!$D$2:$D$50000,E116)))</f>
        <v/>
      </c>
      <c r="AP116" s="8" t="str">
        <f aca="false">IF(A116="","",IF(AO116="","欠損",IF(AO116&lt;=1.1,"1.0～1.1",IF(AO116&lt;1.3,"1.2",IF(AO116&lt;1.5,"1.3～1.4",IF(AO116&lt;2,"1.5～1.9","2.0以上"))))))</f>
        <v>欠損</v>
      </c>
      <c r="AQ116" s="8" t="str">
        <f aca="false">IF(A116="","",IF(ISNUMBER(SEARCH("2歳",Z116)),"2歳戦",IF(ISNUMBER(SEARCH("3歳未勝利",Z116)),"3歳未勝利",IF(ISNUMBER(SEARCH("未勝利",Z116)),"その他未勝利",IF(ISNUMBER(SEARCH("G1",Z116)),"G1",IF(ISNUMBER(SEARCH("G2",Z116)),"G2",IF(ISNUMBER(SEARCH("G3",Z116)),"G3",IF(ISNUMBER(SEARCH("古馬条件",Z116)),"古馬条件戦",IF(ISNUMBER(SEARCH("重賞",Z116)),"重賞","分類不能")))))))))</f>
        <v>分類不能</v>
      </c>
      <c r="AR116" s="8"/>
      <c r="AS116" s="8" t="s">
        <v>7623</v>
      </c>
      <c r="AT116" s="8" t="s">
        <v>7624</v>
      </c>
      <c r="AU116" s="8" t="s">
        <v>7600</v>
      </c>
      <c r="AV116" s="4" t="s">
        <v>7601</v>
      </c>
      <c r="AW116" s="8"/>
      <c r="AX116" s="8"/>
      <c r="AY116" s="8" t="s">
        <v>7610</v>
      </c>
      <c r="AZ116" s="4" t="s">
        <v>7617</v>
      </c>
      <c r="BA116" s="8" t="n">
        <v>1700</v>
      </c>
      <c r="BB116" s="8" t="s">
        <v>7598</v>
      </c>
      <c r="BC116" s="4" t="s">
        <v>7604</v>
      </c>
      <c r="BD116" s="8" t="s">
        <v>7605</v>
      </c>
      <c r="BE116" s="4" t="s">
        <v>7606</v>
      </c>
      <c r="BF116" s="8" t="s">
        <v>7607</v>
      </c>
      <c r="BG116" s="8" t="s">
        <v>7608</v>
      </c>
      <c r="BH116" s="4" t="s">
        <v>7609</v>
      </c>
      <c r="BI116" s="8" t="n">
        <v>15</v>
      </c>
      <c r="BJ116" s="8" t="s">
        <v>7602</v>
      </c>
      <c r="BK116" s="4" t="s">
        <v>7653</v>
      </c>
      <c r="BL116" s="8" t="s">
        <v>7602</v>
      </c>
      <c r="BM116" s="4" t="s">
        <v>7620</v>
      </c>
      <c r="BN116" s="8"/>
      <c r="BO116" s="8"/>
      <c r="BP116" s="8" t="s">
        <v>7602</v>
      </c>
      <c r="BQ116" s="8" t="str">
        <f aca="false">IF(A116="","",AT116)</f>
        <v>3歳</v>
      </c>
      <c r="BR116" s="8" t="str">
        <f aca="false">IF(A116="","",IF(BA116&lt;=1200,"～1200",IF(BA116&lt;=1500,"1300～1500",IF(BA116=1600,"1600",IF(BA116&lt;=1800,"1700～1800",IF(BA116&lt;=2000,"1900～2000","2100以上"))))))</f>
        <v>1700～1800</v>
      </c>
      <c r="BS116" s="8" t="str">
        <f aca="false">IF(A116="","",IF(AX116="G1","G1",IF(AX116="G2","G2",IF(AX116="G3","G3",IF(AX116="L","L","その他")))))</f>
        <v>その他</v>
      </c>
      <c r="BT116" s="8" t="str">
        <f aca="false">IF(A116="","",IF(BI116="","未結合",IF(D116=BI116,"一致","不一致")))</f>
        <v>一致</v>
      </c>
      <c r="BU116" s="8" t="str">
        <f aca="false">IF(A116="","",IF(BE116="牝馬限定","牝馬限定","その他"))</f>
        <v>その他</v>
      </c>
    </row>
    <row r="117" customFormat="false" ht="15.75" hidden="false" customHeight="false" outlineLevel="0" collapsed="false">
      <c r="A117" s="6" t="n">
        <v>46222</v>
      </c>
      <c r="B117" s="4" t="s">
        <v>915</v>
      </c>
      <c r="C117" s="8" t="n">
        <v>8</v>
      </c>
      <c r="D117" s="8" t="n">
        <v>16</v>
      </c>
      <c r="E117" s="8" t="n">
        <v>8</v>
      </c>
      <c r="F117" s="4" t="s">
        <v>1488</v>
      </c>
      <c r="G117" s="8" t="n">
        <v>62</v>
      </c>
      <c r="H117" s="8" t="n">
        <v>2</v>
      </c>
      <c r="I117" s="4" t="s">
        <v>1482</v>
      </c>
      <c r="J117" s="8" t="n">
        <v>44</v>
      </c>
      <c r="K117" s="8" t="n">
        <v>7</v>
      </c>
      <c r="L117" s="4" t="s">
        <v>1487</v>
      </c>
      <c r="M117" s="8" t="n">
        <v>39</v>
      </c>
      <c r="N117" s="8" t="n">
        <f aca="false">IF(A117="","",G117-J117)</f>
        <v>18</v>
      </c>
      <c r="O117" s="8" t="n">
        <f aca="false">IF(A117="","",J117-M117)</f>
        <v>5</v>
      </c>
      <c r="P117" s="8" t="n">
        <f aca="false">IF(A117="","",G117+J117)</f>
        <v>106</v>
      </c>
      <c r="Q117" s="8" t="str">
        <f aca="false">IF(A117="","",IF(AND(Y117&lt;&gt;"参考",G117&gt;=ルール設定!$B$2),"○",""))</f>
        <v/>
      </c>
      <c r="R117" s="8" t="str">
        <f aca="false">IF(A117="","",IF(AND(Y117&lt;&gt;"参考",G117&gt;=ルール設定!$B$3,N117&gt;=ルール設定!$B$4),"○",""))</f>
        <v/>
      </c>
      <c r="S117" s="8" t="str">
        <f aca="false">IF(A117="","",IF(AND(Y117&lt;&gt;"参考",G117&gt;=ルール設定!$B$5,J117&gt;=ルール設定!$B$6,O117&gt;=ルール設定!$B$7),"○",""))</f>
        <v/>
      </c>
      <c r="T117" s="8" t="n">
        <v>4</v>
      </c>
      <c r="U117" s="8" t="n">
        <v>4</v>
      </c>
      <c r="V117" s="8" t="str">
        <f aca="false">IF(A117="","",IF(AND(ISNUMBER(T117),ISNUMBER(U117)),IF(AND(T117&lt;=3,U117&lt;=3),"○","×"),""))</f>
        <v>×</v>
      </c>
      <c r="W117" s="8"/>
      <c r="X117" s="8"/>
      <c r="Y117" s="4" t="s">
        <v>7597</v>
      </c>
      <c r="Z117" s="4" t="s">
        <v>7679</v>
      </c>
      <c r="AA117" s="8" t="str">
        <v/>
      </c>
      <c r="AB117" s="8" t="str">
        <v/>
      </c>
      <c r="AC117" s="8" t="str">
        <v/>
      </c>
      <c r="AD117" s="8" t="str">
        <v/>
      </c>
      <c r="AE117" s="8" t="str">
        <v/>
      </c>
      <c r="AF117" s="8" t="str">
        <v/>
      </c>
      <c r="AG117" s="8" t="str">
        <v/>
      </c>
      <c r="AH117" s="8" t="str">
        <v/>
      </c>
      <c r="AI117" s="8" t="n">
        <v>23</v>
      </c>
      <c r="AJ117" s="8" t="str">
        <v>60～69</v>
      </c>
      <c r="AK117" s="8" t="str">
        <v>10～19</v>
      </c>
      <c r="AL117" s="8" t="str">
        <v>20～29</v>
      </c>
      <c r="AM117" s="8" t="str">
        <v>100～119</v>
      </c>
      <c r="AN117" s="8" t="str">
        <v>15以上</v>
      </c>
      <c r="AO117" s="8" t="str">
        <f aca="false">IF(A117="","",IF(COUNTIFS(全馬データ!$A$2:$A$50000,A117,全馬データ!$B$2:$B$50000,B117,全馬データ!$C$2:$C$50000,C117,全馬データ!$D$2:$D$50000,E117,全馬データ!$K$2:$K$50000,"&lt;&gt;")=0,"",SUMIFS(全馬データ!$K$2:$K$50000,全馬データ!$A$2:$A$50000,A117,全馬データ!$B$2:$B$50000,B117,全馬データ!$C$2:$C$50000,C117,全馬データ!$D$2:$D$50000,E117)))</f>
        <v/>
      </c>
      <c r="AP117" s="8" t="str">
        <f aca="false">IF(A117="","",IF(AO117="","欠損",IF(AO117&lt;=1.1,"1.0～1.1",IF(AO117&lt;1.3,"1.2",IF(AO117&lt;1.5,"1.3～1.4",IF(AO117&lt;2,"1.5～1.9","2.0以上"))))))</f>
        <v>欠損</v>
      </c>
      <c r="AQ117" s="8" t="str">
        <f aca="false">IF(A117="","",IF(ISNUMBER(SEARCH("2歳",Z117)),"2歳戦",IF(ISNUMBER(SEARCH("3歳未勝利",Z117)),"3歳未勝利",IF(ISNUMBER(SEARCH("未勝利",Z117)),"その他未勝利",IF(ISNUMBER(SEARCH("G1",Z117)),"G1",IF(ISNUMBER(SEARCH("G2",Z117)),"G2",IF(ISNUMBER(SEARCH("G3",Z117)),"G3",IF(ISNUMBER(SEARCH("古馬条件",Z117)),"古馬条件戦",IF(ISNUMBER(SEARCH("重賞",Z117)),"重賞","分類不能")))))))))</f>
        <v>分類不能</v>
      </c>
      <c r="AR117" s="8"/>
      <c r="AS117" s="8" t="s">
        <v>7626</v>
      </c>
      <c r="AT117" s="8" t="s">
        <v>7627</v>
      </c>
      <c r="AU117" s="8" t="s">
        <v>7628</v>
      </c>
      <c r="AV117" s="8" t="s">
        <v>7629</v>
      </c>
      <c r="AW117" s="8"/>
      <c r="AX117" s="8"/>
      <c r="AY117" s="8" t="s">
        <v>7602</v>
      </c>
      <c r="AZ117" s="4" t="s">
        <v>7603</v>
      </c>
      <c r="BA117" s="8" t="n">
        <v>1800</v>
      </c>
      <c r="BB117" s="8" t="s">
        <v>7598</v>
      </c>
      <c r="BC117" s="4" t="s">
        <v>7604</v>
      </c>
      <c r="BD117" s="8" t="s">
        <v>7625</v>
      </c>
      <c r="BE117" s="4" t="s">
        <v>7606</v>
      </c>
      <c r="BF117" s="8" t="s">
        <v>7607</v>
      </c>
      <c r="BG117" s="8" t="s">
        <v>7631</v>
      </c>
      <c r="BH117" s="4" t="s">
        <v>7632</v>
      </c>
      <c r="BI117" s="8" t="n">
        <v>16</v>
      </c>
      <c r="BJ117" s="8" t="s">
        <v>7602</v>
      </c>
      <c r="BK117" s="4" t="s">
        <v>7653</v>
      </c>
      <c r="BL117" s="8" t="s">
        <v>7602</v>
      </c>
      <c r="BM117" s="4" t="s">
        <v>7620</v>
      </c>
      <c r="BN117" s="8" t="s">
        <v>7631</v>
      </c>
      <c r="BO117" s="8" t="s">
        <v>7680</v>
      </c>
      <c r="BP117" s="8" t="s">
        <v>7602</v>
      </c>
      <c r="BQ117" s="8" t="str">
        <f aca="false">IF(A117="","",AT117)</f>
        <v>3歳以上</v>
      </c>
      <c r="BR117" s="8" t="str">
        <f aca="false">IF(A117="","",IF(BA117&lt;=1200,"～1200",IF(BA117&lt;=1500,"1300～1500",IF(BA117=1600,"1600",IF(BA117&lt;=1800,"1700～1800",IF(BA117&lt;=2000,"1900～2000","2100以上"))))))</f>
        <v>1700～1800</v>
      </c>
      <c r="BS117" s="8" t="str">
        <f aca="false">IF(A117="","",IF(AX117="G1","G1",IF(AX117="G2","G2",IF(AX117="G3","G3",IF(AX117="L","L","その他")))))</f>
        <v>その他</v>
      </c>
      <c r="BT117" s="8" t="str">
        <f aca="false">IF(A117="","",IF(BI117="","未結合",IF(D117=BI117,"一致","不一致")))</f>
        <v>一致</v>
      </c>
      <c r="BU117" s="8" t="str">
        <f aca="false">IF(A117="","",IF(BE117="牝馬限定","牝馬限定","その他"))</f>
        <v>その他</v>
      </c>
    </row>
    <row r="118" customFormat="false" ht="15.75" hidden="false" customHeight="false" outlineLevel="0" collapsed="false">
      <c r="A118" s="6" t="n">
        <v>46222</v>
      </c>
      <c r="B118" s="4" t="s">
        <v>915</v>
      </c>
      <c r="C118" s="8" t="n">
        <v>9</v>
      </c>
      <c r="D118" s="8" t="n">
        <v>16</v>
      </c>
      <c r="E118" s="8" t="n">
        <v>3</v>
      </c>
      <c r="F118" s="4" t="s">
        <v>1499</v>
      </c>
      <c r="G118" s="8" t="n">
        <v>58</v>
      </c>
      <c r="H118" s="8" t="n">
        <v>6</v>
      </c>
      <c r="I118" s="4" t="s">
        <v>1501</v>
      </c>
      <c r="J118" s="8" t="n">
        <v>41</v>
      </c>
      <c r="K118" s="8" t="n">
        <v>15</v>
      </c>
      <c r="L118" s="4" t="s">
        <v>1510</v>
      </c>
      <c r="M118" s="8" t="n">
        <v>41</v>
      </c>
      <c r="N118" s="8" t="n">
        <f aca="false">IF(A118="","",G118-J118)</f>
        <v>17</v>
      </c>
      <c r="O118" s="8" t="n">
        <f aca="false">IF(A118="","",J118-M118)</f>
        <v>0</v>
      </c>
      <c r="P118" s="8" t="n">
        <f aca="false">IF(A118="","",G118+J118)</f>
        <v>99</v>
      </c>
      <c r="Q118" s="8" t="str">
        <f aca="false">IF(A118="","",IF(AND(Y118&lt;&gt;"参考",G118&gt;=ルール設定!$B$2),"○",""))</f>
        <v/>
      </c>
      <c r="R118" s="8" t="str">
        <f aca="false">IF(A118="","",IF(AND(Y118&lt;&gt;"参考",G118&gt;=ルール設定!$B$3,N118&gt;=ルール設定!$B$4),"○",""))</f>
        <v/>
      </c>
      <c r="S118" s="8" t="str">
        <f aca="false">IF(A118="","",IF(AND(Y118&lt;&gt;"参考",G118&gt;=ルール設定!$B$5,J118&gt;=ルール設定!$B$6,O118&gt;=ルール設定!$B$7),"○",""))</f>
        <v/>
      </c>
      <c r="T118" s="8" t="n">
        <v>4</v>
      </c>
      <c r="U118" s="8" t="n">
        <v>4</v>
      </c>
      <c r="V118" s="8" t="str">
        <f aca="false">IF(A118="","",IF(AND(ISNUMBER(T118),ISNUMBER(U118)),IF(AND(T118&lt;=3,U118&lt;=3),"○","×"),""))</f>
        <v>×</v>
      </c>
      <c r="W118" s="8"/>
      <c r="X118" s="8"/>
      <c r="Y118" s="4" t="s">
        <v>7597</v>
      </c>
      <c r="Z118" s="4" t="s">
        <v>7679</v>
      </c>
      <c r="AA118" s="8" t="str">
        <v/>
      </c>
      <c r="AB118" s="8" t="str">
        <v/>
      </c>
      <c r="AC118" s="8" t="str">
        <v/>
      </c>
      <c r="AD118" s="8" t="str">
        <v/>
      </c>
      <c r="AE118" s="8" t="str">
        <v/>
      </c>
      <c r="AF118" s="8" t="str">
        <v/>
      </c>
      <c r="AG118" s="8" t="str">
        <v/>
      </c>
      <c r="AH118" s="8" t="str">
        <v/>
      </c>
      <c r="AI118" s="8" t="n">
        <v>17</v>
      </c>
      <c r="AJ118" s="8" t="str">
        <v>～59</v>
      </c>
      <c r="AK118" s="8" t="str">
        <v>10～19</v>
      </c>
      <c r="AL118" s="8" t="str">
        <v>10～19</v>
      </c>
      <c r="AM118" s="8" t="str">
        <v>～99</v>
      </c>
      <c r="AN118" s="8" t="str">
        <v>15以上</v>
      </c>
      <c r="AO118" s="8" t="str">
        <f aca="false">IF(A118="","",IF(COUNTIFS(全馬データ!$A$2:$A$50000,A118,全馬データ!$B$2:$B$50000,B118,全馬データ!$C$2:$C$50000,C118,全馬データ!$D$2:$D$50000,E118,全馬データ!$K$2:$K$50000,"&lt;&gt;")=0,"",SUMIFS(全馬データ!$K$2:$K$50000,全馬データ!$A$2:$A$50000,A118,全馬データ!$B$2:$B$50000,B118,全馬データ!$C$2:$C$50000,C118,全馬データ!$D$2:$D$50000,E118)))</f>
        <v/>
      </c>
      <c r="AP118" s="8" t="str">
        <f aca="false">IF(A118="","",IF(AO118="","欠損",IF(AO118&lt;=1.1,"1.0～1.1",IF(AO118&lt;1.3,"1.2",IF(AO118&lt;1.5,"1.3～1.4",IF(AO118&lt;2,"1.5～1.9","2.0以上"))))))</f>
        <v>欠損</v>
      </c>
      <c r="AQ118" s="8" t="str">
        <f aca="false">IF(A118="","",IF(ISNUMBER(SEARCH("2歳",Z118)),"2歳戦",IF(ISNUMBER(SEARCH("3歳未勝利",Z118)),"3歳未勝利",IF(ISNUMBER(SEARCH("未勝利",Z118)),"その他未勝利",IF(ISNUMBER(SEARCH("G1",Z118)),"G1",IF(ISNUMBER(SEARCH("G2",Z118)),"G2",IF(ISNUMBER(SEARCH("G3",Z118)),"G3",IF(ISNUMBER(SEARCH("古馬条件",Z118)),"古馬条件戦",IF(ISNUMBER(SEARCH("重賞",Z118)),"重賞","分類不能")))))))))</f>
        <v>分類不能</v>
      </c>
      <c r="AR118" s="4" t="s">
        <v>7693</v>
      </c>
      <c r="AS118" s="8" t="s">
        <v>7626</v>
      </c>
      <c r="AT118" s="8" t="s">
        <v>7627</v>
      </c>
      <c r="AU118" s="8" t="s">
        <v>7634</v>
      </c>
      <c r="AV118" s="8" t="s">
        <v>7635</v>
      </c>
      <c r="AW118" s="8" t="s">
        <v>7636</v>
      </c>
      <c r="AX118" s="4" t="s">
        <v>7637</v>
      </c>
      <c r="AY118" s="8" t="s">
        <v>7602</v>
      </c>
      <c r="AZ118" s="4" t="s">
        <v>7603</v>
      </c>
      <c r="BA118" s="8" t="n">
        <v>1200</v>
      </c>
      <c r="BB118" s="8" t="s">
        <v>7598</v>
      </c>
      <c r="BC118" s="4" t="s">
        <v>7604</v>
      </c>
      <c r="BD118" s="8" t="s">
        <v>7630</v>
      </c>
      <c r="BE118" s="4" t="s">
        <v>7606</v>
      </c>
      <c r="BF118" s="8" t="s">
        <v>7607</v>
      </c>
      <c r="BG118" s="8" t="s">
        <v>7631</v>
      </c>
      <c r="BH118" s="4" t="s">
        <v>7632</v>
      </c>
      <c r="BI118" s="8" t="n">
        <v>16</v>
      </c>
      <c r="BJ118" s="8" t="s">
        <v>7602</v>
      </c>
      <c r="BK118" s="4" t="s">
        <v>7653</v>
      </c>
      <c r="BL118" s="8" t="s">
        <v>7602</v>
      </c>
      <c r="BM118" s="4" t="s">
        <v>7620</v>
      </c>
      <c r="BN118" s="8" t="s">
        <v>7631</v>
      </c>
      <c r="BO118" s="8" t="s">
        <v>7680</v>
      </c>
      <c r="BP118" s="8" t="s">
        <v>7602</v>
      </c>
      <c r="BQ118" s="8" t="str">
        <f aca="false">IF(A118="","",AT118)</f>
        <v>3歳以上</v>
      </c>
      <c r="BR118" s="8" t="str">
        <f aca="false">IF(A118="","",IF(BA118&lt;=1200,"～1200",IF(BA118&lt;=1500,"1300～1500",IF(BA118=1600,"1600",IF(BA118&lt;=1800,"1700～1800",IF(BA118&lt;=2000,"1900～2000","2100以上"))))))</f>
        <v>～1200</v>
      </c>
      <c r="BS118" s="8" t="str">
        <f aca="false">IF(A118="","",IF(AX118="G1","G1",IF(AX118="G2","G2",IF(AX118="G3","G3",IF(AX118="L","L","その他")))))</f>
        <v>その他</v>
      </c>
      <c r="BT118" s="8" t="str">
        <f aca="false">IF(A118="","",IF(BI118="","未結合",IF(D118=BI118,"一致","不一致")))</f>
        <v>一致</v>
      </c>
      <c r="BU118" s="8" t="str">
        <f aca="false">IF(A118="","",IF(BE118="牝馬限定","牝馬限定","その他"))</f>
        <v>その他</v>
      </c>
    </row>
    <row r="119" customFormat="false" ht="15.75" hidden="false" customHeight="false" outlineLevel="0" collapsed="false">
      <c r="A119" s="6" t="n">
        <v>46222</v>
      </c>
      <c r="B119" s="4" t="s">
        <v>915</v>
      </c>
      <c r="C119" s="8" t="n">
        <v>10</v>
      </c>
      <c r="D119" s="8" t="n">
        <v>12</v>
      </c>
      <c r="E119" s="8" t="n">
        <v>4</v>
      </c>
      <c r="F119" s="4" t="s">
        <v>1515</v>
      </c>
      <c r="G119" s="8" t="n">
        <v>74</v>
      </c>
      <c r="H119" s="8" t="n">
        <v>6</v>
      </c>
      <c r="I119" s="4" t="s">
        <v>1517</v>
      </c>
      <c r="J119" s="8" t="n">
        <v>44</v>
      </c>
      <c r="K119" s="8" t="n">
        <v>7</v>
      </c>
      <c r="L119" s="4" t="s">
        <v>1518</v>
      </c>
      <c r="M119" s="8" t="n">
        <v>39</v>
      </c>
      <c r="N119" s="8" t="n">
        <f aca="false">IF(A119="","",G119-J119)</f>
        <v>30</v>
      </c>
      <c r="O119" s="8" t="n">
        <f aca="false">IF(A119="","",J119-M119)</f>
        <v>5</v>
      </c>
      <c r="P119" s="8" t="n">
        <f aca="false">IF(A119="","",G119+J119)</f>
        <v>118</v>
      </c>
      <c r="Q119" s="8" t="str">
        <f aca="false">IF(A119="","",IF(AND(Y119&lt;&gt;"参考",G119&gt;=ルール設定!$B$2),"○",""))</f>
        <v/>
      </c>
      <c r="R119" s="8" t="str">
        <f aca="false">IF(A119="","",IF(AND(Y119&lt;&gt;"参考",G119&gt;=ルール設定!$B$3,N119&gt;=ルール設定!$B$4),"○",""))</f>
        <v>○</v>
      </c>
      <c r="S119" s="8" t="str">
        <f aca="false">IF(A119="","",IF(AND(Y119&lt;&gt;"参考",G119&gt;=ルール設定!$B$5,J119&gt;=ルール設定!$B$6,O119&gt;=ルール設定!$B$7),"○",""))</f>
        <v/>
      </c>
      <c r="T119" s="8" t="n">
        <v>2</v>
      </c>
      <c r="U119" s="8" t="n">
        <v>3</v>
      </c>
      <c r="V119" s="8" t="str">
        <f aca="false">IF(A119="","",IF(AND(ISNUMBER(T119),ISNUMBER(U119)),IF(AND(T119&lt;=3,U119&lt;=3),"○","×"),""))</f>
        <v>○</v>
      </c>
      <c r="W119" s="8" t="n">
        <v>120</v>
      </c>
      <c r="X119" s="8" t="n">
        <v>240</v>
      </c>
      <c r="Y119" s="4" t="s">
        <v>7597</v>
      </c>
      <c r="Z119" s="4" t="s">
        <v>7679</v>
      </c>
      <c r="AA119" s="8" t="str">
        <v/>
      </c>
      <c r="AB119" s="8" t="str">
        <v/>
      </c>
      <c r="AC119" s="8" t="str">
        <v/>
      </c>
      <c r="AD119" s="8" t="str">
        <v/>
      </c>
      <c r="AE119" s="8" t="str">
        <v>○</v>
      </c>
      <c r="AF119" s="8" t="str">
        <v/>
      </c>
      <c r="AG119" s="8" t="str">
        <v/>
      </c>
      <c r="AH119" s="8" t="str">
        <v/>
      </c>
      <c r="AI119" s="8" t="n">
        <v>35</v>
      </c>
      <c r="AJ119" s="8" t="str">
        <v>70～74</v>
      </c>
      <c r="AK119" s="8" t="str">
        <v>30以上</v>
      </c>
      <c r="AL119" s="8" t="str">
        <v>30～39</v>
      </c>
      <c r="AM119" s="8" t="str">
        <v>100～119</v>
      </c>
      <c r="AN119" s="8" t="str">
        <v>12～14</v>
      </c>
      <c r="AO119" s="8" t="str">
        <f aca="false">IF(A119="","",IF(COUNTIFS(全馬データ!$A$2:$A$50000,A119,全馬データ!$B$2:$B$50000,B119,全馬データ!$C$2:$C$50000,C119,全馬データ!$D$2:$D$50000,E119,全馬データ!$K$2:$K$50000,"&lt;&gt;")=0,"",SUMIFS(全馬データ!$K$2:$K$50000,全馬データ!$A$2:$A$50000,A119,全馬データ!$B$2:$B$50000,B119,全馬データ!$C$2:$C$50000,C119,全馬データ!$D$2:$D$50000,E119)))</f>
        <v/>
      </c>
      <c r="AP119" s="8" t="str">
        <f aca="false">IF(A119="","",IF(AO119="","欠損",IF(AO119&lt;=1.1,"1.0～1.1",IF(AO119&lt;1.3,"1.2",IF(AO119&lt;1.5,"1.3～1.4",IF(AO119&lt;2,"1.5～1.9","2.0以上"))))))</f>
        <v>欠損</v>
      </c>
      <c r="AQ119" s="8" t="str">
        <f aca="false">IF(A119="","",IF(ISNUMBER(SEARCH("2歳",Z119)),"2歳戦",IF(ISNUMBER(SEARCH("3歳未勝利",Z119)),"3歳未勝利",IF(ISNUMBER(SEARCH("未勝利",Z119)),"その他未勝利",IF(ISNUMBER(SEARCH("G1",Z119)),"G1",IF(ISNUMBER(SEARCH("G2",Z119)),"G2",IF(ISNUMBER(SEARCH("G3",Z119)),"G3",IF(ISNUMBER(SEARCH("古馬条件",Z119)),"古馬条件戦",IF(ISNUMBER(SEARCH("重賞",Z119)),"重賞","分類不能")))))))))</f>
        <v>分類不能</v>
      </c>
      <c r="AR119" s="4" t="s">
        <v>7694</v>
      </c>
      <c r="AS119" s="8" t="s">
        <v>7626</v>
      </c>
      <c r="AT119" s="8" t="s">
        <v>7627</v>
      </c>
      <c r="AU119" s="8" t="s">
        <v>7634</v>
      </c>
      <c r="AV119" s="8" t="s">
        <v>7635</v>
      </c>
      <c r="AW119" s="8" t="s">
        <v>7636</v>
      </c>
      <c r="AX119" s="4" t="s">
        <v>7637</v>
      </c>
      <c r="AY119" s="8" t="s">
        <v>7602</v>
      </c>
      <c r="AZ119" s="4" t="s">
        <v>7603</v>
      </c>
      <c r="BA119" s="8" t="n">
        <v>2000</v>
      </c>
      <c r="BB119" s="8" t="s">
        <v>7598</v>
      </c>
      <c r="BC119" s="4" t="s">
        <v>7604</v>
      </c>
      <c r="BD119" s="8" t="s">
        <v>7630</v>
      </c>
      <c r="BE119" s="4" t="s">
        <v>7606</v>
      </c>
      <c r="BF119" s="8" t="s">
        <v>7607</v>
      </c>
      <c r="BG119" s="8" t="s">
        <v>7631</v>
      </c>
      <c r="BH119" s="4" t="s">
        <v>7632</v>
      </c>
      <c r="BI119" s="8" t="n">
        <v>12</v>
      </c>
      <c r="BJ119" s="8" t="s">
        <v>7602</v>
      </c>
      <c r="BK119" s="4" t="s">
        <v>7653</v>
      </c>
      <c r="BL119" s="8" t="s">
        <v>7602</v>
      </c>
      <c r="BM119" s="4" t="s">
        <v>7620</v>
      </c>
      <c r="BN119" s="8" t="s">
        <v>7631</v>
      </c>
      <c r="BO119" s="8" t="s">
        <v>7680</v>
      </c>
      <c r="BP119" s="8" t="s">
        <v>7602</v>
      </c>
      <c r="BQ119" s="8" t="str">
        <f aca="false">IF(A119="","",AT119)</f>
        <v>3歳以上</v>
      </c>
      <c r="BR119" s="8" t="str">
        <f aca="false">IF(A119="","",IF(BA119&lt;=1200,"～1200",IF(BA119&lt;=1500,"1300～1500",IF(BA119=1600,"1600",IF(BA119&lt;=1800,"1700～1800",IF(BA119&lt;=2000,"1900～2000","2100以上"))))))</f>
        <v>1900～2000</v>
      </c>
      <c r="BS119" s="8" t="str">
        <f aca="false">IF(A119="","",IF(AX119="G1","G1",IF(AX119="G2","G2",IF(AX119="G3","G3",IF(AX119="L","L","その他")))))</f>
        <v>その他</v>
      </c>
      <c r="BT119" s="8" t="str">
        <f aca="false">IF(A119="","",IF(BI119="","未結合",IF(D119=BI119,"一致","不一致")))</f>
        <v>一致</v>
      </c>
      <c r="BU119" s="8" t="str">
        <f aca="false">IF(A119="","",IF(BE119="牝馬限定","牝馬限定","その他"))</f>
        <v>その他</v>
      </c>
    </row>
    <row r="120" customFormat="false" ht="15.75" hidden="false" customHeight="false" outlineLevel="0" collapsed="false">
      <c r="A120" s="6" t="n">
        <v>46222</v>
      </c>
      <c r="B120" s="4" t="s">
        <v>915</v>
      </c>
      <c r="C120" s="8" t="n">
        <v>11</v>
      </c>
      <c r="D120" s="8" t="n">
        <v>16</v>
      </c>
      <c r="E120" s="8" t="n">
        <v>5</v>
      </c>
      <c r="F120" s="4" t="s">
        <v>1528</v>
      </c>
      <c r="G120" s="8" t="n">
        <v>65</v>
      </c>
      <c r="H120" s="8" t="n">
        <v>15</v>
      </c>
      <c r="I120" s="4" t="s">
        <v>1538</v>
      </c>
      <c r="J120" s="8" t="n">
        <v>37</v>
      </c>
      <c r="K120" s="8" t="n">
        <v>3</v>
      </c>
      <c r="L120" s="4" t="s">
        <v>1526</v>
      </c>
      <c r="M120" s="8" t="n">
        <v>34</v>
      </c>
      <c r="N120" s="8" t="n">
        <f aca="false">IF(A120="","",G120-J120)</f>
        <v>28</v>
      </c>
      <c r="O120" s="8" t="n">
        <f aca="false">IF(A120="","",J120-M120)</f>
        <v>3</v>
      </c>
      <c r="P120" s="8" t="n">
        <f aca="false">IF(A120="","",G120+J120)</f>
        <v>102</v>
      </c>
      <c r="Q120" s="8" t="str">
        <f aca="false">IF(A120="","",IF(AND(Y120&lt;&gt;"参考",G120&gt;=ルール設定!$B$2),"○",""))</f>
        <v/>
      </c>
      <c r="R120" s="8" t="str">
        <f aca="false">IF(A120="","",IF(AND(Y120&lt;&gt;"参考",G120&gt;=ルール設定!$B$3,N120&gt;=ルール設定!$B$4),"○",""))</f>
        <v/>
      </c>
      <c r="S120" s="8" t="str">
        <f aca="false">IF(A120="","",IF(AND(Y120&lt;&gt;"参考",G120&gt;=ルール設定!$B$5,J120&gt;=ルール設定!$B$6,O120&gt;=ルール設定!$B$7),"○",""))</f>
        <v/>
      </c>
      <c r="T120" s="8" t="n">
        <v>4</v>
      </c>
      <c r="U120" s="8" t="n">
        <v>4</v>
      </c>
      <c r="V120" s="8" t="str">
        <f aca="false">IF(A120="","",IF(AND(ISNUMBER(T120),ISNUMBER(U120)),IF(AND(T120&lt;=3,U120&lt;=3),"○","×"),""))</f>
        <v>×</v>
      </c>
      <c r="W120" s="8"/>
      <c r="X120" s="8"/>
      <c r="Y120" s="4" t="s">
        <v>7597</v>
      </c>
      <c r="Z120" s="4" t="s">
        <v>7679</v>
      </c>
      <c r="AA120" s="8" t="str">
        <v/>
      </c>
      <c r="AB120" s="8" t="str">
        <v/>
      </c>
      <c r="AC120" s="8" t="str">
        <v/>
      </c>
      <c r="AD120" s="8" t="str">
        <v/>
      </c>
      <c r="AE120" s="8" t="str">
        <v/>
      </c>
      <c r="AF120" s="8" t="str">
        <v/>
      </c>
      <c r="AG120" s="8" t="str">
        <v/>
      </c>
      <c r="AH120" s="8" t="str">
        <v/>
      </c>
      <c r="AI120" s="8" t="n">
        <v>31</v>
      </c>
      <c r="AJ120" s="8" t="str">
        <v>60～69</v>
      </c>
      <c r="AK120" s="8" t="str">
        <v>20～29</v>
      </c>
      <c r="AL120" s="8" t="str">
        <v>30～39</v>
      </c>
      <c r="AM120" s="8" t="str">
        <v>100～119</v>
      </c>
      <c r="AN120" s="8" t="str">
        <v>15以上</v>
      </c>
      <c r="AO120" s="8" t="str">
        <f aca="false">IF(A120="","",IF(COUNTIFS(全馬データ!$A$2:$A$50000,A120,全馬データ!$B$2:$B$50000,B120,全馬データ!$C$2:$C$50000,C120,全馬データ!$D$2:$D$50000,E120,全馬データ!$K$2:$K$50000,"&lt;&gt;")=0,"",SUMIFS(全馬データ!$K$2:$K$50000,全馬データ!$A$2:$A$50000,A120,全馬データ!$B$2:$B$50000,B120,全馬データ!$C$2:$C$50000,C120,全馬データ!$D$2:$D$50000,E120)))</f>
        <v/>
      </c>
      <c r="AP120" s="8" t="str">
        <f aca="false">IF(A120="","",IF(AO120="","欠損",IF(AO120&lt;=1.1,"1.0～1.1",IF(AO120&lt;1.3,"1.2",IF(AO120&lt;1.5,"1.3～1.4",IF(AO120&lt;2,"1.5～1.9","2.0以上"))))))</f>
        <v>欠損</v>
      </c>
      <c r="AQ120" s="8" t="str">
        <f aca="false">IF(A120="","",IF(ISNUMBER(SEARCH("2歳",Z120)),"2歳戦",IF(ISNUMBER(SEARCH("3歳未勝利",Z120)),"3歳未勝利",IF(ISNUMBER(SEARCH("未勝利",Z120)),"その他未勝利",IF(ISNUMBER(SEARCH("G1",Z120)),"G1",IF(ISNUMBER(SEARCH("G2",Z120)),"G2",IF(ISNUMBER(SEARCH("G3",Z120)),"G3",IF(ISNUMBER(SEARCH("古馬条件",Z120)),"古馬条件戦",IF(ISNUMBER(SEARCH("重賞",Z120)),"重賞","分類不能")))))))))</f>
        <v>分類不能</v>
      </c>
      <c r="AR120" s="4" t="s">
        <v>7695</v>
      </c>
      <c r="AS120" s="8" t="s">
        <v>7626</v>
      </c>
      <c r="AT120" s="8" t="s">
        <v>7627</v>
      </c>
      <c r="AU120" s="8" t="s">
        <v>7643</v>
      </c>
      <c r="AV120" s="4" t="s">
        <v>7644</v>
      </c>
      <c r="AW120" s="8" t="s">
        <v>7636</v>
      </c>
      <c r="AX120" s="4" t="s">
        <v>7637</v>
      </c>
      <c r="AY120" s="8" t="s">
        <v>7610</v>
      </c>
      <c r="AZ120" s="4" t="s">
        <v>7617</v>
      </c>
      <c r="BA120" s="8" t="n">
        <v>1150</v>
      </c>
      <c r="BB120" s="8" t="s">
        <v>7598</v>
      </c>
      <c r="BC120" s="4" t="s">
        <v>7604</v>
      </c>
      <c r="BD120" s="8" t="s">
        <v>7666</v>
      </c>
      <c r="BE120" s="4" t="s">
        <v>7606</v>
      </c>
      <c r="BF120" s="8" t="s">
        <v>7607</v>
      </c>
      <c r="BG120" s="8" t="s">
        <v>7610</v>
      </c>
      <c r="BH120" s="4" t="s">
        <v>7646</v>
      </c>
      <c r="BI120" s="8" t="n">
        <v>16</v>
      </c>
      <c r="BJ120" s="8" t="s">
        <v>7602</v>
      </c>
      <c r="BK120" s="4" t="s">
        <v>7653</v>
      </c>
      <c r="BL120" s="8" t="s">
        <v>7602</v>
      </c>
      <c r="BM120" s="4" t="s">
        <v>7620</v>
      </c>
      <c r="BN120" s="8"/>
      <c r="BO120" s="8"/>
      <c r="BP120" s="8" t="s">
        <v>7602</v>
      </c>
      <c r="BQ120" s="8" t="str">
        <f aca="false">IF(A120="","",AT120)</f>
        <v>3歳以上</v>
      </c>
      <c r="BR120" s="8" t="str">
        <f aca="false">IF(A120="","",IF(BA120&lt;=1200,"～1200",IF(BA120&lt;=1500,"1300～1500",IF(BA120=1600,"1600",IF(BA120&lt;=1800,"1700～1800",IF(BA120&lt;=2000,"1900～2000","2100以上"))))))</f>
        <v>～1200</v>
      </c>
      <c r="BS120" s="8" t="str">
        <f aca="false">IF(A120="","",IF(AX120="G1","G1",IF(AX120="G2","G2",IF(AX120="G3","G3",IF(AX120="L","L","その他")))))</f>
        <v>その他</v>
      </c>
      <c r="BT120" s="8" t="str">
        <f aca="false">IF(A120="","",IF(BI120="","未結合",IF(D120=BI120,"一致","不一致")))</f>
        <v>一致</v>
      </c>
      <c r="BU120" s="8" t="str">
        <f aca="false">IF(A120="","",IF(BE120="牝馬限定","牝馬限定","その他"))</f>
        <v>その他</v>
      </c>
    </row>
    <row r="121" customFormat="false" ht="15.75" hidden="false" customHeight="false" outlineLevel="0" collapsed="false">
      <c r="A121" s="6" t="n">
        <v>46222</v>
      </c>
      <c r="B121" s="4" t="s">
        <v>915</v>
      </c>
      <c r="C121" s="8" t="n">
        <v>12</v>
      </c>
      <c r="D121" s="8" t="n">
        <v>15</v>
      </c>
      <c r="E121" s="8" t="n">
        <v>14</v>
      </c>
      <c r="F121" s="4" t="s">
        <v>1553</v>
      </c>
      <c r="G121" s="8" t="n">
        <v>62</v>
      </c>
      <c r="H121" s="8" t="n">
        <v>11</v>
      </c>
      <c r="I121" s="4" t="s">
        <v>1550</v>
      </c>
      <c r="J121" s="8" t="n">
        <v>52</v>
      </c>
      <c r="K121" s="8" t="n">
        <v>15</v>
      </c>
      <c r="L121" s="4" t="s">
        <v>1554</v>
      </c>
      <c r="M121" s="8" t="n">
        <v>44</v>
      </c>
      <c r="N121" s="8" t="n">
        <f aca="false">IF(A121="","",G121-J121)</f>
        <v>10</v>
      </c>
      <c r="O121" s="8" t="n">
        <f aca="false">IF(A121="","",J121-M121)</f>
        <v>8</v>
      </c>
      <c r="P121" s="8" t="n">
        <f aca="false">IF(A121="","",G121+J121)</f>
        <v>114</v>
      </c>
      <c r="Q121" s="8" t="str">
        <f aca="false">IF(A121="","",IF(AND(Y121&lt;&gt;"参考",G121&gt;=ルール設定!$B$2),"○",""))</f>
        <v/>
      </c>
      <c r="R121" s="8" t="str">
        <f aca="false">IF(A121="","",IF(AND(Y121&lt;&gt;"参考",G121&gt;=ルール設定!$B$3,N121&gt;=ルール設定!$B$4),"○",""))</f>
        <v/>
      </c>
      <c r="S121" s="8" t="str">
        <f aca="false">IF(A121="","",IF(AND(Y121&lt;&gt;"参考",G121&gt;=ルール設定!$B$5,J121&gt;=ルール設定!$B$6,O121&gt;=ルール設定!$B$7),"○",""))</f>
        <v/>
      </c>
      <c r="T121" s="8" t="n">
        <v>4</v>
      </c>
      <c r="U121" s="8" t="n">
        <v>1</v>
      </c>
      <c r="V121" s="8" t="str">
        <f aca="false">IF(A121="","",IF(AND(ISNUMBER(T121),ISNUMBER(U121)),IF(AND(T121&lt;=3,U121&lt;=3),"○","×"),""))</f>
        <v>×</v>
      </c>
      <c r="W121" s="8"/>
      <c r="X121" s="8"/>
      <c r="Y121" s="4" t="s">
        <v>7597</v>
      </c>
      <c r="Z121" s="4" t="s">
        <v>7679</v>
      </c>
      <c r="AA121" s="8" t="str">
        <v/>
      </c>
      <c r="AB121" s="8" t="str">
        <v/>
      </c>
      <c r="AC121" s="8" t="str">
        <v/>
      </c>
      <c r="AD121" s="8" t="str">
        <v/>
      </c>
      <c r="AE121" s="8" t="str">
        <v/>
      </c>
      <c r="AF121" s="8" t="str">
        <v/>
      </c>
      <c r="AG121" s="8" t="str">
        <v/>
      </c>
      <c r="AH121" s="8" t="str">
        <v/>
      </c>
      <c r="AI121" s="8" t="n">
        <v>18</v>
      </c>
      <c r="AJ121" s="8" t="str">
        <v>60～69</v>
      </c>
      <c r="AK121" s="8" t="str">
        <v>10～19</v>
      </c>
      <c r="AL121" s="8" t="str">
        <v>10～19</v>
      </c>
      <c r="AM121" s="8" t="str">
        <v>100～119</v>
      </c>
      <c r="AN121" s="8" t="str">
        <v>15以上</v>
      </c>
      <c r="AO121" s="8" t="str">
        <f aca="false">IF(A121="","",IF(COUNTIFS(全馬データ!$A$2:$A$50000,A121,全馬データ!$B$2:$B$50000,B121,全馬データ!$C$2:$C$50000,C121,全馬データ!$D$2:$D$50000,E121,全馬データ!$K$2:$K$50000,"&lt;&gt;")=0,"",SUMIFS(全馬データ!$K$2:$K$50000,全馬データ!$A$2:$A$50000,A121,全馬データ!$B$2:$B$50000,B121,全馬データ!$C$2:$C$50000,C121,全馬データ!$D$2:$D$50000,E121)))</f>
        <v/>
      </c>
      <c r="AP121" s="8" t="str">
        <f aca="false">IF(A121="","",IF(AO121="","欠損",IF(AO121&lt;=1.1,"1.0～1.1",IF(AO121&lt;1.3,"1.2",IF(AO121&lt;1.5,"1.3～1.4",IF(AO121&lt;2,"1.5～1.9","2.0以上"))))))</f>
        <v>欠損</v>
      </c>
      <c r="AQ121" s="8" t="str">
        <f aca="false">IF(A121="","",IF(ISNUMBER(SEARCH("2歳",Z121)),"2歳戦",IF(ISNUMBER(SEARCH("3歳未勝利",Z121)),"3歳未勝利",IF(ISNUMBER(SEARCH("未勝利",Z121)),"その他未勝利",IF(ISNUMBER(SEARCH("G1",Z121)),"G1",IF(ISNUMBER(SEARCH("G2",Z121)),"G2",IF(ISNUMBER(SEARCH("G3",Z121)),"G3",IF(ISNUMBER(SEARCH("古馬条件",Z121)),"古馬条件戦",IF(ISNUMBER(SEARCH("重賞",Z121)),"重賞","分類不能")))))))))</f>
        <v>分類不能</v>
      </c>
      <c r="AR121" s="8"/>
      <c r="AS121" s="8" t="s">
        <v>7626</v>
      </c>
      <c r="AT121" s="8" t="s">
        <v>7627</v>
      </c>
      <c r="AU121" s="8" t="s">
        <v>7628</v>
      </c>
      <c r="AV121" s="8" t="s">
        <v>7629</v>
      </c>
      <c r="AW121" s="8"/>
      <c r="AX121" s="8"/>
      <c r="AY121" s="8" t="s">
        <v>7610</v>
      </c>
      <c r="AZ121" s="4" t="s">
        <v>7617</v>
      </c>
      <c r="BA121" s="8" t="n">
        <v>1700</v>
      </c>
      <c r="BB121" s="8" t="s">
        <v>7598</v>
      </c>
      <c r="BC121" s="4" t="s">
        <v>7604</v>
      </c>
      <c r="BD121" s="8" t="s">
        <v>7625</v>
      </c>
      <c r="BE121" s="4" t="s">
        <v>7606</v>
      </c>
      <c r="BF121" s="8" t="s">
        <v>7607</v>
      </c>
      <c r="BG121" s="8" t="s">
        <v>7631</v>
      </c>
      <c r="BH121" s="4" t="s">
        <v>7632</v>
      </c>
      <c r="BI121" s="8" t="n">
        <v>15</v>
      </c>
      <c r="BJ121" s="8" t="s">
        <v>7602</v>
      </c>
      <c r="BK121" s="4" t="s">
        <v>7653</v>
      </c>
      <c r="BL121" s="8" t="s">
        <v>7602</v>
      </c>
      <c r="BM121" s="4" t="s">
        <v>7620</v>
      </c>
      <c r="BN121" s="8"/>
      <c r="BO121" s="8"/>
      <c r="BP121" s="8" t="s">
        <v>7602</v>
      </c>
      <c r="BQ121" s="8" t="str">
        <f aca="false">IF(A121="","",AT121)</f>
        <v>3歳以上</v>
      </c>
      <c r="BR121" s="8" t="str">
        <f aca="false">IF(A121="","",IF(BA121&lt;=1200,"～1200",IF(BA121&lt;=1500,"1300～1500",IF(BA121=1600,"1600",IF(BA121&lt;=1800,"1700～1800",IF(BA121&lt;=2000,"1900～2000","2100以上"))))))</f>
        <v>1700～1800</v>
      </c>
      <c r="BS121" s="8" t="str">
        <f aca="false">IF(A121="","",IF(AX121="G1","G1",IF(AX121="G2","G2",IF(AX121="G3","G3",IF(AX121="L","L","その他")))))</f>
        <v>その他</v>
      </c>
      <c r="BT121" s="8" t="str">
        <f aca="false">IF(A121="","",IF(BI121="","未結合",IF(D121=BI121,"一致","不一致")))</f>
        <v>一致</v>
      </c>
      <c r="BU121" s="8" t="str">
        <f aca="false">IF(A121="","",IF(BE121="牝馬限定","牝馬限定","その他"))</f>
        <v>その他</v>
      </c>
    </row>
    <row r="122" customFormat="false" ht="15.75" hidden="false" customHeight="false" outlineLevel="0" collapsed="false">
      <c r="A122" s="6" t="n">
        <v>46222</v>
      </c>
      <c r="B122" s="4" t="s">
        <v>1091</v>
      </c>
      <c r="C122" s="8" t="n">
        <v>1</v>
      </c>
      <c r="D122" s="8" t="n">
        <v>11</v>
      </c>
      <c r="E122" s="8" t="n">
        <v>8</v>
      </c>
      <c r="F122" s="4" t="s">
        <v>1562</v>
      </c>
      <c r="G122" s="8" t="n">
        <v>55</v>
      </c>
      <c r="H122" s="8" t="n">
        <v>9</v>
      </c>
      <c r="I122" s="4" t="s">
        <v>1563</v>
      </c>
      <c r="J122" s="8" t="n">
        <v>55</v>
      </c>
      <c r="K122" s="8" t="n">
        <v>6</v>
      </c>
      <c r="L122" s="4" t="s">
        <v>1560</v>
      </c>
      <c r="M122" s="8" t="n">
        <v>44</v>
      </c>
      <c r="N122" s="8" t="n">
        <f aca="false">IF(A122="","",G122-J122)</f>
        <v>0</v>
      </c>
      <c r="O122" s="8" t="n">
        <f aca="false">IF(A122="","",J122-M122)</f>
        <v>11</v>
      </c>
      <c r="P122" s="8" t="n">
        <f aca="false">IF(A122="","",G122+J122)</f>
        <v>110</v>
      </c>
      <c r="Q122" s="8" t="str">
        <f aca="false">IF(A122="","",IF(AND(Y122&lt;&gt;"参考",G122&gt;=ルール設定!$B$2),"○",""))</f>
        <v/>
      </c>
      <c r="R122" s="8" t="str">
        <f aca="false">IF(A122="","",IF(AND(Y122&lt;&gt;"参考",G122&gt;=ルール設定!$B$3,N122&gt;=ルール設定!$B$4),"○",""))</f>
        <v/>
      </c>
      <c r="S122" s="8" t="str">
        <f aca="false">IF(A122="","",IF(AND(Y122&lt;&gt;"参考",G122&gt;=ルール設定!$B$5,J122&gt;=ルール設定!$B$6,O122&gt;=ルール設定!$B$7),"○",""))</f>
        <v/>
      </c>
      <c r="T122" s="8" t="n">
        <v>3</v>
      </c>
      <c r="U122" s="8" t="n">
        <v>4</v>
      </c>
      <c r="V122" s="8" t="str">
        <f aca="false">IF(A122="","",IF(AND(ISNUMBER(T122),ISNUMBER(U122)),IF(AND(T122&lt;=3,U122&lt;=3),"○","×"),""))</f>
        <v>×</v>
      </c>
      <c r="W122" s="8" t="n">
        <v>190</v>
      </c>
      <c r="X122" s="8"/>
      <c r="Y122" s="4" t="s">
        <v>7597</v>
      </c>
      <c r="Z122" s="4" t="s">
        <v>7679</v>
      </c>
      <c r="AA122" s="8" t="str">
        <v/>
      </c>
      <c r="AB122" s="8" t="str">
        <v/>
      </c>
      <c r="AC122" s="8" t="str">
        <v/>
      </c>
      <c r="AD122" s="8" t="str">
        <v/>
      </c>
      <c r="AE122" s="8" t="str">
        <v/>
      </c>
      <c r="AF122" s="8" t="str">
        <v/>
      </c>
      <c r="AG122" s="8" t="str">
        <v/>
      </c>
      <c r="AH122" s="8" t="str">
        <v/>
      </c>
      <c r="AI122" s="8" t="n">
        <v>11</v>
      </c>
      <c r="AJ122" s="8" t="str">
        <v>～59</v>
      </c>
      <c r="AK122" s="8" t="str">
        <v>0～4</v>
      </c>
      <c r="AL122" s="8" t="str">
        <v>10～19</v>
      </c>
      <c r="AM122" s="8" t="str">
        <v>100～119</v>
      </c>
      <c r="AN122" s="8" t="str">
        <v>8～11</v>
      </c>
      <c r="AO122" s="8" t="str">
        <f aca="false">IF(A122="","",IF(COUNTIFS(全馬データ!$A$2:$A$50000,A122,全馬データ!$B$2:$B$50000,B122,全馬データ!$C$2:$C$50000,C122,全馬データ!$D$2:$D$50000,E122,全馬データ!$K$2:$K$50000,"&lt;&gt;")=0,"",SUMIFS(全馬データ!$K$2:$K$50000,全馬データ!$A$2:$A$50000,A122,全馬データ!$B$2:$B$50000,B122,全馬データ!$C$2:$C$50000,C122,全馬データ!$D$2:$D$50000,E122)))</f>
        <v/>
      </c>
      <c r="AP122" s="8" t="str">
        <f aca="false">IF(A122="","",IF(AO122="","欠損",IF(AO122&lt;=1.1,"1.0～1.1",IF(AO122&lt;1.3,"1.2",IF(AO122&lt;1.5,"1.3～1.4",IF(AO122&lt;2,"1.5～1.9","2.0以上"))))))</f>
        <v>欠損</v>
      </c>
      <c r="AQ122" s="8" t="str">
        <f aca="false">IF(A122="","",IF(ISNUMBER(SEARCH("2歳",Z122)),"2歳戦",IF(ISNUMBER(SEARCH("3歳未勝利",Z122)),"3歳未勝利",IF(ISNUMBER(SEARCH("未勝利",Z122)),"その他未勝利",IF(ISNUMBER(SEARCH("G1",Z122)),"G1",IF(ISNUMBER(SEARCH("G2",Z122)),"G2",IF(ISNUMBER(SEARCH("G3",Z122)),"G3",IF(ISNUMBER(SEARCH("古馬条件",Z122)),"古馬条件戦",IF(ISNUMBER(SEARCH("重賞",Z122)),"重賞","分類不能")))))))))</f>
        <v>分類不能</v>
      </c>
      <c r="AR122" s="8"/>
      <c r="AS122" s="8" t="s">
        <v>7618</v>
      </c>
      <c r="AT122" s="4" t="s">
        <v>7642</v>
      </c>
      <c r="AU122" s="8" t="s">
        <v>7600</v>
      </c>
      <c r="AV122" s="4" t="s">
        <v>7601</v>
      </c>
      <c r="AW122" s="8"/>
      <c r="AX122" s="8"/>
      <c r="AY122" s="8" t="s">
        <v>7608</v>
      </c>
      <c r="AZ122" s="4" t="s">
        <v>7642</v>
      </c>
      <c r="BA122" s="8" t="n">
        <v>2860</v>
      </c>
      <c r="BB122" s="8" t="s">
        <v>7634</v>
      </c>
      <c r="BC122" s="4" t="s">
        <v>7604</v>
      </c>
      <c r="BD122" s="8" t="s">
        <v>7696</v>
      </c>
      <c r="BE122" s="4" t="s">
        <v>7606</v>
      </c>
      <c r="BF122" s="8" t="s">
        <v>7607</v>
      </c>
      <c r="BG122" s="8" t="s">
        <v>7631</v>
      </c>
      <c r="BH122" s="4" t="s">
        <v>7632</v>
      </c>
      <c r="BI122" s="8" t="n">
        <v>11</v>
      </c>
      <c r="BJ122" s="8" t="s">
        <v>7647</v>
      </c>
      <c r="BK122" s="4" t="s">
        <v>7648</v>
      </c>
      <c r="BL122" s="8" t="s">
        <v>7647</v>
      </c>
      <c r="BM122" s="4" t="s">
        <v>7648</v>
      </c>
      <c r="BN122" s="8"/>
      <c r="BO122" s="8"/>
      <c r="BP122" s="8" t="s">
        <v>7610</v>
      </c>
      <c r="BQ122" s="8" t="str">
        <f aca="false">IF(A122="","",AT122)</f>
        <v>障害</v>
      </c>
      <c r="BR122" s="8" t="str">
        <f aca="false">IF(A122="","",IF(BA122&lt;=1200,"～1200",IF(BA122&lt;=1500,"1300～1500",IF(BA122=1600,"1600",IF(BA122&lt;=1800,"1700～1800",IF(BA122&lt;=2000,"1900～2000","2100以上"))))))</f>
        <v>2100以上</v>
      </c>
      <c r="BS122" s="8" t="str">
        <f aca="false">IF(A122="","",IF(AX122="G1","G1",IF(AX122="G2","G2",IF(AX122="G3","G3",IF(AX122="L","L","その他")))))</f>
        <v>その他</v>
      </c>
      <c r="BT122" s="8" t="str">
        <f aca="false">IF(A122="","",IF(BI122="","未結合",IF(D122=BI122,"一致","不一致")))</f>
        <v>一致</v>
      </c>
      <c r="BU122" s="8" t="str">
        <f aca="false">IF(A122="","",IF(BE122="牝馬限定","牝馬限定","その他"))</f>
        <v>その他</v>
      </c>
    </row>
    <row r="123" customFormat="false" ht="15.75" hidden="false" customHeight="false" outlineLevel="0" collapsed="false">
      <c r="A123" s="6" t="n">
        <v>46222</v>
      </c>
      <c r="B123" s="4" t="s">
        <v>1091</v>
      </c>
      <c r="C123" s="8" t="n">
        <v>2</v>
      </c>
      <c r="D123" s="8" t="n">
        <v>18</v>
      </c>
      <c r="E123" s="8" t="n">
        <v>6</v>
      </c>
      <c r="F123" s="4" t="s">
        <v>1571</v>
      </c>
      <c r="G123" s="8" t="n">
        <v>62</v>
      </c>
      <c r="H123" s="8" t="n">
        <v>3</v>
      </c>
      <c r="I123" s="4" t="s">
        <v>1568</v>
      </c>
      <c r="J123" s="8" t="n">
        <v>37</v>
      </c>
      <c r="K123" s="8" t="n">
        <v>5</v>
      </c>
      <c r="L123" s="4" t="s">
        <v>1570</v>
      </c>
      <c r="M123" s="8" t="n">
        <v>37</v>
      </c>
      <c r="N123" s="8" t="n">
        <f aca="false">IF(A123="","",G123-J123)</f>
        <v>25</v>
      </c>
      <c r="O123" s="8" t="n">
        <f aca="false">IF(A123="","",J123-M123)</f>
        <v>0</v>
      </c>
      <c r="P123" s="8" t="n">
        <f aca="false">IF(A123="","",G123+J123)</f>
        <v>99</v>
      </c>
      <c r="Q123" s="8" t="str">
        <f aca="false">IF(A123="","",IF(AND(Y123&lt;&gt;"参考",G123&gt;=ルール設定!$B$2),"○",""))</f>
        <v/>
      </c>
      <c r="R123" s="8" t="str">
        <f aca="false">IF(A123="","",IF(AND(Y123&lt;&gt;"参考",G123&gt;=ルール設定!$B$3,N123&gt;=ルール設定!$B$4),"○",""))</f>
        <v/>
      </c>
      <c r="S123" s="8" t="str">
        <f aca="false">IF(A123="","",IF(AND(Y123&lt;&gt;"参考",G123&gt;=ルール設定!$B$5,J123&gt;=ルール設定!$B$6,O123&gt;=ルール設定!$B$7),"○",""))</f>
        <v/>
      </c>
      <c r="T123" s="8" t="n">
        <v>4</v>
      </c>
      <c r="U123" s="8" t="n">
        <v>2</v>
      </c>
      <c r="V123" s="8" t="str">
        <f aca="false">IF(A123="","",IF(AND(ISNUMBER(T123),ISNUMBER(U123)),IF(AND(T123&lt;=3,U123&lt;=3),"○","×"),""))</f>
        <v>×</v>
      </c>
      <c r="W123" s="8"/>
      <c r="X123" s="8"/>
      <c r="Y123" s="4" t="s">
        <v>7597</v>
      </c>
      <c r="Z123" s="4" t="s">
        <v>7679</v>
      </c>
      <c r="AA123" s="8" t="str">
        <v/>
      </c>
      <c r="AB123" s="8" t="str">
        <v/>
      </c>
      <c r="AC123" s="8" t="str">
        <v/>
      </c>
      <c r="AD123" s="8" t="str">
        <v/>
      </c>
      <c r="AE123" s="8" t="str">
        <v/>
      </c>
      <c r="AF123" s="8" t="str">
        <v/>
      </c>
      <c r="AG123" s="8" t="str">
        <v/>
      </c>
      <c r="AH123" s="8" t="str">
        <v/>
      </c>
      <c r="AI123" s="8" t="n">
        <v>25</v>
      </c>
      <c r="AJ123" s="8" t="str">
        <v>60～69</v>
      </c>
      <c r="AK123" s="8" t="str">
        <v>20～29</v>
      </c>
      <c r="AL123" s="8" t="str">
        <v>20～29</v>
      </c>
      <c r="AM123" s="8" t="str">
        <v>～99</v>
      </c>
      <c r="AN123" s="8" t="str">
        <v>15以上</v>
      </c>
      <c r="AO123" s="8" t="str">
        <f aca="false">IF(A123="","",IF(COUNTIFS(全馬データ!$A$2:$A$50000,A123,全馬データ!$B$2:$B$50000,B123,全馬データ!$C$2:$C$50000,C123,全馬データ!$D$2:$D$50000,E123,全馬データ!$K$2:$K$50000,"&lt;&gt;")=0,"",SUMIFS(全馬データ!$K$2:$K$50000,全馬データ!$A$2:$A$50000,A123,全馬データ!$B$2:$B$50000,B123,全馬データ!$C$2:$C$50000,C123,全馬データ!$D$2:$D$50000,E123)))</f>
        <v/>
      </c>
      <c r="AP123" s="8" t="str">
        <f aca="false">IF(A123="","",IF(AO123="","欠損",IF(AO123&lt;=1.1,"1.0～1.1",IF(AO123&lt;1.3,"1.2",IF(AO123&lt;1.5,"1.3～1.4",IF(AO123&lt;2,"1.5～1.9","2.0以上"))))))</f>
        <v>欠損</v>
      </c>
      <c r="AQ123" s="8" t="str">
        <f aca="false">IF(A123="","",IF(ISNUMBER(SEARCH("2歳",Z123)),"2歳戦",IF(ISNUMBER(SEARCH("3歳未勝利",Z123)),"3歳未勝利",IF(ISNUMBER(SEARCH("未勝利",Z123)),"その他未勝利",IF(ISNUMBER(SEARCH("G1",Z123)),"G1",IF(ISNUMBER(SEARCH("G2",Z123)),"G2",IF(ISNUMBER(SEARCH("G3",Z123)),"G3",IF(ISNUMBER(SEARCH("古馬条件",Z123)),"古馬条件戦",IF(ISNUMBER(SEARCH("重賞",Z123)),"重賞","分類不能")))))))))</f>
        <v>分類不能</v>
      </c>
      <c r="AR123" s="8"/>
      <c r="AS123" s="8" t="s">
        <v>7623</v>
      </c>
      <c r="AT123" s="8" t="s">
        <v>7624</v>
      </c>
      <c r="AU123" s="8" t="s">
        <v>7600</v>
      </c>
      <c r="AV123" s="4" t="s">
        <v>7601</v>
      </c>
      <c r="AW123" s="8"/>
      <c r="AX123" s="8"/>
      <c r="AY123" s="8" t="s">
        <v>7602</v>
      </c>
      <c r="AZ123" s="4" t="s">
        <v>7603</v>
      </c>
      <c r="BA123" s="8" t="n">
        <v>1200</v>
      </c>
      <c r="BB123" s="8" t="s">
        <v>7598</v>
      </c>
      <c r="BC123" s="4" t="s">
        <v>7604</v>
      </c>
      <c r="BD123" s="8" t="s">
        <v>7625</v>
      </c>
      <c r="BE123" s="4" t="s">
        <v>7606</v>
      </c>
      <c r="BF123" s="8" t="s">
        <v>7607</v>
      </c>
      <c r="BG123" s="8" t="s">
        <v>7608</v>
      </c>
      <c r="BH123" s="4" t="s">
        <v>7609</v>
      </c>
      <c r="BI123" s="8" t="n">
        <v>18</v>
      </c>
      <c r="BJ123" s="8" t="s">
        <v>7602</v>
      </c>
      <c r="BK123" s="4" t="s">
        <v>7653</v>
      </c>
      <c r="BL123" s="8" t="s">
        <v>7602</v>
      </c>
      <c r="BM123" s="4" t="s">
        <v>7620</v>
      </c>
      <c r="BN123" s="8" t="s">
        <v>7602</v>
      </c>
      <c r="BO123" s="8" t="s">
        <v>7613</v>
      </c>
      <c r="BP123" s="8" t="s">
        <v>7610</v>
      </c>
      <c r="BQ123" s="8" t="str">
        <f aca="false">IF(A123="","",AT123)</f>
        <v>3歳</v>
      </c>
      <c r="BR123" s="8" t="str">
        <f aca="false">IF(A123="","",IF(BA123&lt;=1200,"～1200",IF(BA123&lt;=1500,"1300～1500",IF(BA123=1600,"1600",IF(BA123&lt;=1800,"1700～1800",IF(BA123&lt;=2000,"1900～2000","2100以上"))))))</f>
        <v>～1200</v>
      </c>
      <c r="BS123" s="8" t="str">
        <f aca="false">IF(A123="","",IF(AX123="G1","G1",IF(AX123="G2","G2",IF(AX123="G3","G3",IF(AX123="L","L","その他")))))</f>
        <v>その他</v>
      </c>
      <c r="BT123" s="8" t="str">
        <f aca="false">IF(A123="","",IF(BI123="","未結合",IF(D123=BI123,"一致","不一致")))</f>
        <v>一致</v>
      </c>
      <c r="BU123" s="8" t="str">
        <f aca="false">IF(A123="","",IF(BE123="牝馬限定","牝馬限定","その他"))</f>
        <v>その他</v>
      </c>
    </row>
    <row r="124" customFormat="false" ht="15.75" hidden="false" customHeight="false" outlineLevel="0" collapsed="false">
      <c r="A124" s="6" t="n">
        <v>46222</v>
      </c>
      <c r="B124" s="4" t="s">
        <v>1091</v>
      </c>
      <c r="C124" s="8" t="n">
        <v>3</v>
      </c>
      <c r="D124" s="8" t="n">
        <v>16</v>
      </c>
      <c r="E124" s="8" t="n">
        <v>7</v>
      </c>
      <c r="F124" s="4" t="s">
        <v>1590</v>
      </c>
      <c r="G124" s="8" t="n">
        <v>65</v>
      </c>
      <c r="H124" s="8" t="n">
        <v>6</v>
      </c>
      <c r="I124" s="4" t="s">
        <v>1589</v>
      </c>
      <c r="J124" s="8" t="n">
        <v>41</v>
      </c>
      <c r="K124" s="8" t="n">
        <v>14</v>
      </c>
      <c r="L124" s="4" t="s">
        <v>1597</v>
      </c>
      <c r="M124" s="8" t="n">
        <v>34</v>
      </c>
      <c r="N124" s="8" t="n">
        <f aca="false">IF(A124="","",G124-J124)</f>
        <v>24</v>
      </c>
      <c r="O124" s="8" t="n">
        <f aca="false">IF(A124="","",J124-M124)</f>
        <v>7</v>
      </c>
      <c r="P124" s="8" t="n">
        <f aca="false">IF(A124="","",G124+J124)</f>
        <v>106</v>
      </c>
      <c r="Q124" s="8" t="str">
        <f aca="false">IF(A124="","",IF(AND(Y124&lt;&gt;"参考",G124&gt;=ルール設定!$B$2),"○",""))</f>
        <v/>
      </c>
      <c r="R124" s="8" t="str">
        <f aca="false">IF(A124="","",IF(AND(Y124&lt;&gt;"参考",G124&gt;=ルール設定!$B$3,N124&gt;=ルール設定!$B$4),"○",""))</f>
        <v/>
      </c>
      <c r="S124" s="8" t="str">
        <f aca="false">IF(A124="","",IF(AND(Y124&lt;&gt;"参考",G124&gt;=ルール設定!$B$5,J124&gt;=ルール設定!$B$6,O124&gt;=ルール設定!$B$7),"○",""))</f>
        <v/>
      </c>
      <c r="T124" s="8" t="n">
        <v>4</v>
      </c>
      <c r="U124" s="8" t="n">
        <v>3</v>
      </c>
      <c r="V124" s="8" t="str">
        <f aca="false">IF(A124="","",IF(AND(ISNUMBER(T124),ISNUMBER(U124)),IF(AND(T124&lt;=3,U124&lt;=3),"○","×"),""))</f>
        <v>×</v>
      </c>
      <c r="W124" s="8"/>
      <c r="X124" s="8"/>
      <c r="Y124" s="4" t="s">
        <v>7597</v>
      </c>
      <c r="Z124" s="4" t="s">
        <v>7679</v>
      </c>
      <c r="AA124" s="8" t="str">
        <v/>
      </c>
      <c r="AB124" s="8" t="str">
        <v/>
      </c>
      <c r="AC124" s="8" t="str">
        <v/>
      </c>
      <c r="AD124" s="8" t="str">
        <v/>
      </c>
      <c r="AE124" s="8" t="str">
        <v/>
      </c>
      <c r="AF124" s="8" t="str">
        <v/>
      </c>
      <c r="AG124" s="8" t="str">
        <v/>
      </c>
      <c r="AH124" s="8" t="str">
        <v/>
      </c>
      <c r="AI124" s="8" t="n">
        <v>31</v>
      </c>
      <c r="AJ124" s="8" t="str">
        <v>60～69</v>
      </c>
      <c r="AK124" s="8" t="str">
        <v>20～29</v>
      </c>
      <c r="AL124" s="8" t="str">
        <v>30～39</v>
      </c>
      <c r="AM124" s="8" t="str">
        <v>100～119</v>
      </c>
      <c r="AN124" s="8" t="str">
        <v>15以上</v>
      </c>
      <c r="AO124" s="8" t="str">
        <f aca="false">IF(A124="","",IF(COUNTIFS(全馬データ!$A$2:$A$50000,A124,全馬データ!$B$2:$B$50000,B124,全馬データ!$C$2:$C$50000,C124,全馬データ!$D$2:$D$50000,E124,全馬データ!$K$2:$K$50000,"&lt;&gt;")=0,"",SUMIFS(全馬データ!$K$2:$K$50000,全馬データ!$A$2:$A$50000,A124,全馬データ!$B$2:$B$50000,B124,全馬データ!$C$2:$C$50000,C124,全馬データ!$D$2:$D$50000,E124)))</f>
        <v/>
      </c>
      <c r="AP124" s="8" t="str">
        <f aca="false">IF(A124="","",IF(AO124="","欠損",IF(AO124&lt;=1.1,"1.0～1.1",IF(AO124&lt;1.3,"1.2",IF(AO124&lt;1.5,"1.3～1.4",IF(AO124&lt;2,"1.5～1.9","2.0以上"))))))</f>
        <v>欠損</v>
      </c>
      <c r="AQ124" s="8" t="str">
        <f aca="false">IF(A124="","",IF(ISNUMBER(SEARCH("2歳",Z124)),"2歳戦",IF(ISNUMBER(SEARCH("3歳未勝利",Z124)),"3歳未勝利",IF(ISNUMBER(SEARCH("未勝利",Z124)),"その他未勝利",IF(ISNUMBER(SEARCH("G1",Z124)),"G1",IF(ISNUMBER(SEARCH("G2",Z124)),"G2",IF(ISNUMBER(SEARCH("G3",Z124)),"G3",IF(ISNUMBER(SEARCH("古馬条件",Z124)),"古馬条件戦",IF(ISNUMBER(SEARCH("重賞",Z124)),"重賞","分類不能")))))))))</f>
        <v>分類不能</v>
      </c>
      <c r="AR124" s="8"/>
      <c r="AS124" s="8" t="s">
        <v>7623</v>
      </c>
      <c r="AT124" s="8" t="s">
        <v>7624</v>
      </c>
      <c r="AU124" s="8" t="s">
        <v>7600</v>
      </c>
      <c r="AV124" s="4" t="s">
        <v>7601</v>
      </c>
      <c r="AW124" s="8"/>
      <c r="AX124" s="8"/>
      <c r="AY124" s="8" t="s">
        <v>7610</v>
      </c>
      <c r="AZ124" s="4" t="s">
        <v>7617</v>
      </c>
      <c r="BA124" s="8" t="n">
        <v>1700</v>
      </c>
      <c r="BB124" s="8" t="s">
        <v>7598</v>
      </c>
      <c r="BC124" s="4" t="s">
        <v>7604</v>
      </c>
      <c r="BD124" s="8" t="s">
        <v>7621</v>
      </c>
      <c r="BE124" s="4" t="s">
        <v>7622</v>
      </c>
      <c r="BF124" s="8" t="s">
        <v>7602</v>
      </c>
      <c r="BG124" s="8" t="s">
        <v>7608</v>
      </c>
      <c r="BH124" s="4" t="s">
        <v>7609</v>
      </c>
      <c r="BI124" s="8" t="n">
        <v>16</v>
      </c>
      <c r="BJ124" s="8" t="s">
        <v>7602</v>
      </c>
      <c r="BK124" s="4" t="s">
        <v>7653</v>
      </c>
      <c r="BL124" s="8" t="s">
        <v>7602</v>
      </c>
      <c r="BM124" s="4" t="s">
        <v>7620</v>
      </c>
      <c r="BN124" s="8"/>
      <c r="BO124" s="8"/>
      <c r="BP124" s="8" t="s">
        <v>7610</v>
      </c>
      <c r="BQ124" s="8" t="str">
        <f aca="false">IF(A124="","",AT124)</f>
        <v>3歳</v>
      </c>
      <c r="BR124" s="8" t="str">
        <f aca="false">IF(A124="","",IF(BA124&lt;=1200,"～1200",IF(BA124&lt;=1500,"1300～1500",IF(BA124=1600,"1600",IF(BA124&lt;=1800,"1700～1800",IF(BA124&lt;=2000,"1900～2000","2100以上"))))))</f>
        <v>1700～1800</v>
      </c>
      <c r="BS124" s="8" t="str">
        <f aca="false">IF(A124="","",IF(AX124="G1","G1",IF(AX124="G2","G2",IF(AX124="G3","G3",IF(AX124="L","L","その他")))))</f>
        <v>その他</v>
      </c>
      <c r="BT124" s="8" t="str">
        <f aca="false">IF(A124="","",IF(BI124="","未結合",IF(D124=BI124,"一致","不一致")))</f>
        <v>一致</v>
      </c>
      <c r="BU124" s="8" t="str">
        <f aca="false">IF(A124="","",IF(BE124="牝馬限定","牝馬限定","その他"))</f>
        <v>牝馬限定</v>
      </c>
    </row>
    <row r="125" customFormat="false" ht="15.75" hidden="false" customHeight="false" outlineLevel="0" collapsed="false">
      <c r="A125" s="6" t="n">
        <v>46222</v>
      </c>
      <c r="B125" s="4" t="s">
        <v>1091</v>
      </c>
      <c r="C125" s="8" t="n">
        <v>4</v>
      </c>
      <c r="D125" s="8" t="n">
        <v>14</v>
      </c>
      <c r="E125" s="8" t="n">
        <v>11</v>
      </c>
      <c r="F125" s="4" t="s">
        <v>1610</v>
      </c>
      <c r="G125" s="8" t="n">
        <v>66</v>
      </c>
      <c r="H125" s="8" t="n">
        <v>8</v>
      </c>
      <c r="I125" s="4" t="s">
        <v>1607</v>
      </c>
      <c r="J125" s="8" t="n">
        <v>47</v>
      </c>
      <c r="K125" s="8" t="n">
        <v>3</v>
      </c>
      <c r="L125" s="4" t="s">
        <v>1602</v>
      </c>
      <c r="M125" s="8" t="n">
        <v>44</v>
      </c>
      <c r="N125" s="8" t="n">
        <f aca="false">IF(A125="","",G125-J125)</f>
        <v>19</v>
      </c>
      <c r="O125" s="8" t="n">
        <f aca="false">IF(A125="","",J125-M125)</f>
        <v>3</v>
      </c>
      <c r="P125" s="8" t="n">
        <f aca="false">IF(A125="","",G125+J125)</f>
        <v>113</v>
      </c>
      <c r="Q125" s="8" t="str">
        <f aca="false">IF(A125="","",IF(AND(Y125&lt;&gt;"参考",G125&gt;=ルール設定!$B$2),"○",""))</f>
        <v/>
      </c>
      <c r="R125" s="8" t="str">
        <f aca="false">IF(A125="","",IF(AND(Y125&lt;&gt;"参考",G125&gt;=ルール設定!$B$3,N125&gt;=ルール設定!$B$4),"○",""))</f>
        <v/>
      </c>
      <c r="S125" s="8" t="str">
        <f aca="false">IF(A125="","",IF(AND(Y125&lt;&gt;"参考",G125&gt;=ルール設定!$B$5,J125&gt;=ルール設定!$B$6,O125&gt;=ルール設定!$B$7),"○",""))</f>
        <v/>
      </c>
      <c r="T125" s="8" t="n">
        <v>3</v>
      </c>
      <c r="U125" s="8" t="n">
        <v>1</v>
      </c>
      <c r="V125" s="8" t="str">
        <f aca="false">IF(A125="","",IF(AND(ISNUMBER(T125),ISNUMBER(U125)),IF(AND(T125&lt;=3,U125&lt;=3),"○","×"),""))</f>
        <v>○</v>
      </c>
      <c r="W125" s="8" t="n">
        <v>110</v>
      </c>
      <c r="X125" s="8" t="n">
        <v>170</v>
      </c>
      <c r="Y125" s="4" t="s">
        <v>7597</v>
      </c>
      <c r="Z125" s="4" t="s">
        <v>7679</v>
      </c>
      <c r="AA125" s="8" t="str">
        <v/>
      </c>
      <c r="AB125" s="8" t="str">
        <v/>
      </c>
      <c r="AC125" s="8" t="str">
        <v/>
      </c>
      <c r="AD125" s="8" t="str">
        <v/>
      </c>
      <c r="AE125" s="8" t="str">
        <v/>
      </c>
      <c r="AF125" s="8" t="str">
        <v/>
      </c>
      <c r="AG125" s="8" t="str">
        <v/>
      </c>
      <c r="AH125" s="8" t="str">
        <v/>
      </c>
      <c r="AI125" s="8" t="n">
        <v>22</v>
      </c>
      <c r="AJ125" s="8" t="str">
        <v>60～69</v>
      </c>
      <c r="AK125" s="8" t="str">
        <v>10～19</v>
      </c>
      <c r="AL125" s="8" t="str">
        <v>20～29</v>
      </c>
      <c r="AM125" s="8" t="str">
        <v>100～119</v>
      </c>
      <c r="AN125" s="8" t="str">
        <v>12～14</v>
      </c>
      <c r="AO125" s="8" t="str">
        <f aca="false">IF(A125="","",IF(COUNTIFS(全馬データ!$A$2:$A$50000,A125,全馬データ!$B$2:$B$50000,B125,全馬データ!$C$2:$C$50000,C125,全馬データ!$D$2:$D$50000,E125,全馬データ!$K$2:$K$50000,"&lt;&gt;")=0,"",SUMIFS(全馬データ!$K$2:$K$50000,全馬データ!$A$2:$A$50000,A125,全馬データ!$B$2:$B$50000,B125,全馬データ!$C$2:$C$50000,C125,全馬データ!$D$2:$D$50000,E125)))</f>
        <v/>
      </c>
      <c r="AP125" s="8" t="str">
        <f aca="false">IF(A125="","",IF(AO125="","欠損",IF(AO125&lt;=1.1,"1.0～1.1",IF(AO125&lt;1.3,"1.2",IF(AO125&lt;1.5,"1.3～1.4",IF(AO125&lt;2,"1.5～1.9","2.0以上"))))))</f>
        <v>欠損</v>
      </c>
      <c r="AQ125" s="8" t="str">
        <f aca="false">IF(A125="","",IF(ISNUMBER(SEARCH("2歳",Z125)),"2歳戦",IF(ISNUMBER(SEARCH("3歳未勝利",Z125)),"3歳未勝利",IF(ISNUMBER(SEARCH("未勝利",Z125)),"その他未勝利",IF(ISNUMBER(SEARCH("G1",Z125)),"G1",IF(ISNUMBER(SEARCH("G2",Z125)),"G2",IF(ISNUMBER(SEARCH("G3",Z125)),"G3",IF(ISNUMBER(SEARCH("古馬条件",Z125)),"古馬条件戦",IF(ISNUMBER(SEARCH("重賞",Z125)),"重賞","分類不能")))))))))</f>
        <v>分類不能</v>
      </c>
      <c r="AR125" s="8"/>
      <c r="AS125" s="8" t="s">
        <v>7623</v>
      </c>
      <c r="AT125" s="8" t="s">
        <v>7624</v>
      </c>
      <c r="AU125" s="8" t="s">
        <v>7600</v>
      </c>
      <c r="AV125" s="4" t="s">
        <v>7601</v>
      </c>
      <c r="AW125" s="8"/>
      <c r="AX125" s="8"/>
      <c r="AY125" s="8" t="s">
        <v>7602</v>
      </c>
      <c r="AZ125" s="4" t="s">
        <v>7603</v>
      </c>
      <c r="BA125" s="8" t="n">
        <v>2000</v>
      </c>
      <c r="BB125" s="8" t="s">
        <v>7598</v>
      </c>
      <c r="BC125" s="4" t="s">
        <v>7604</v>
      </c>
      <c r="BD125" s="8" t="s">
        <v>7625</v>
      </c>
      <c r="BE125" s="4" t="s">
        <v>7606</v>
      </c>
      <c r="BF125" s="8" t="s">
        <v>7607</v>
      </c>
      <c r="BG125" s="8" t="s">
        <v>7608</v>
      </c>
      <c r="BH125" s="4" t="s">
        <v>7609</v>
      </c>
      <c r="BI125" s="8" t="n">
        <v>14</v>
      </c>
      <c r="BJ125" s="8" t="s">
        <v>7602</v>
      </c>
      <c r="BK125" s="4" t="s">
        <v>7653</v>
      </c>
      <c r="BL125" s="8" t="s">
        <v>7602</v>
      </c>
      <c r="BM125" s="4" t="s">
        <v>7620</v>
      </c>
      <c r="BN125" s="8" t="s">
        <v>7602</v>
      </c>
      <c r="BO125" s="8" t="s">
        <v>7613</v>
      </c>
      <c r="BP125" s="8" t="s">
        <v>7610</v>
      </c>
      <c r="BQ125" s="8" t="str">
        <f aca="false">IF(A125="","",AT125)</f>
        <v>3歳</v>
      </c>
      <c r="BR125" s="8" t="str">
        <f aca="false">IF(A125="","",IF(BA125&lt;=1200,"～1200",IF(BA125&lt;=1500,"1300～1500",IF(BA125=1600,"1600",IF(BA125&lt;=1800,"1700～1800",IF(BA125&lt;=2000,"1900～2000","2100以上"))))))</f>
        <v>1900～2000</v>
      </c>
      <c r="BS125" s="8" t="str">
        <f aca="false">IF(A125="","",IF(AX125="G1","G1",IF(AX125="G2","G2",IF(AX125="G3","G3",IF(AX125="L","L","その他")))))</f>
        <v>その他</v>
      </c>
      <c r="BT125" s="8" t="str">
        <f aca="false">IF(A125="","",IF(BI125="","未結合",IF(D125=BI125,"一致","不一致")))</f>
        <v>一致</v>
      </c>
      <c r="BU125" s="8" t="str">
        <f aca="false">IF(A125="","",IF(BE125="牝馬限定","牝馬限定","その他"))</f>
        <v>その他</v>
      </c>
    </row>
    <row r="126" customFormat="false" ht="15.75" hidden="false" customHeight="false" outlineLevel="0" collapsed="false">
      <c r="A126" s="6" t="n">
        <v>46222</v>
      </c>
      <c r="B126" s="4" t="s">
        <v>1091</v>
      </c>
      <c r="C126" s="8" t="n">
        <v>5</v>
      </c>
      <c r="D126" s="8" t="n">
        <v>8</v>
      </c>
      <c r="E126" s="8" t="n">
        <v>7</v>
      </c>
      <c r="F126" s="4" t="s">
        <v>1620</v>
      </c>
      <c r="G126" s="8" t="n">
        <v>37</v>
      </c>
      <c r="H126" s="8" t="n">
        <v>8</v>
      </c>
      <c r="I126" s="4" t="s">
        <v>1621</v>
      </c>
      <c r="J126" s="8" t="n">
        <v>31</v>
      </c>
      <c r="K126" s="8" t="n">
        <v>2</v>
      </c>
      <c r="L126" s="4" t="s">
        <v>1615</v>
      </c>
      <c r="M126" s="8" t="n">
        <v>27</v>
      </c>
      <c r="N126" s="8" t="n">
        <f aca="false">IF(A126="","",G126-J126)</f>
        <v>6</v>
      </c>
      <c r="O126" s="8" t="n">
        <f aca="false">IF(A126="","",J126-M126)</f>
        <v>4</v>
      </c>
      <c r="P126" s="8" t="n">
        <f aca="false">IF(A126="","",G126+J126)</f>
        <v>68</v>
      </c>
      <c r="Q126" s="8" t="str">
        <f aca="false">IF(A126="","",IF(AND(Y126&lt;&gt;"参考",G126&gt;=ルール設定!$B$2),"○",""))</f>
        <v/>
      </c>
      <c r="R126" s="8" t="str">
        <f aca="false">IF(A126="","",IF(AND(Y126&lt;&gt;"参考",G126&gt;=ルール設定!$B$3,N126&gt;=ルール設定!$B$4),"○",""))</f>
        <v/>
      </c>
      <c r="S126" s="8" t="str">
        <f aca="false">IF(A126="","",IF(AND(Y126&lt;&gt;"参考",G126&gt;=ルール設定!$B$5,J126&gt;=ルール設定!$B$6,O126&gt;=ルール設定!$B$7),"○",""))</f>
        <v/>
      </c>
      <c r="T126" s="8" t="n">
        <v>1</v>
      </c>
      <c r="U126" s="8" t="n">
        <v>4</v>
      </c>
      <c r="V126" s="8" t="str">
        <f aca="false">IF(A126="","",IF(AND(ISNUMBER(T126),ISNUMBER(U126)),IF(AND(T126&lt;=3,U126&lt;=3),"○","×"),""))</f>
        <v>×</v>
      </c>
      <c r="W126" s="8" t="n">
        <v>140</v>
      </c>
      <c r="X126" s="8"/>
      <c r="Y126" s="4" t="s">
        <v>7597</v>
      </c>
      <c r="Z126" s="4" t="s">
        <v>7679</v>
      </c>
      <c r="AA126" s="8" t="str">
        <v/>
      </c>
      <c r="AB126" s="8" t="str">
        <v/>
      </c>
      <c r="AC126" s="8" t="str">
        <v/>
      </c>
      <c r="AD126" s="8" t="str">
        <v/>
      </c>
      <c r="AE126" s="8" t="str">
        <v/>
      </c>
      <c r="AF126" s="8" t="str">
        <v/>
      </c>
      <c r="AG126" s="8" t="str">
        <v/>
      </c>
      <c r="AH126" s="8" t="str">
        <v/>
      </c>
      <c r="AI126" s="8" t="n">
        <v>10</v>
      </c>
      <c r="AJ126" s="8" t="str">
        <v>～59</v>
      </c>
      <c r="AK126" s="8" t="str">
        <v>5～9</v>
      </c>
      <c r="AL126" s="8" t="str">
        <v>10～19</v>
      </c>
      <c r="AM126" s="8" t="str">
        <v>～99</v>
      </c>
      <c r="AN126" s="8" t="str">
        <v>8～11</v>
      </c>
      <c r="AO126" s="8" t="str">
        <f aca="false">IF(A126="","",IF(COUNTIFS(全馬データ!$A$2:$A$50000,A126,全馬データ!$B$2:$B$50000,B126,全馬データ!$C$2:$C$50000,C126,全馬データ!$D$2:$D$50000,E126,全馬データ!$K$2:$K$50000,"&lt;&gt;")=0,"",SUMIFS(全馬データ!$K$2:$K$50000,全馬データ!$A$2:$A$50000,A126,全馬データ!$B$2:$B$50000,B126,全馬データ!$C$2:$C$50000,C126,全馬データ!$D$2:$D$50000,E126)))</f>
        <v/>
      </c>
      <c r="AP126" s="8" t="str">
        <f aca="false">IF(A126="","",IF(AO126="","欠損",IF(AO126&lt;=1.1,"1.0～1.1",IF(AO126&lt;1.3,"1.2",IF(AO126&lt;1.5,"1.3～1.4",IF(AO126&lt;2,"1.5～1.9","2.0以上"))))))</f>
        <v>欠損</v>
      </c>
      <c r="AQ126" s="8" t="str">
        <f aca="false">IF(A126="","",IF(ISNUMBER(SEARCH("2歳",Z126)),"2歳戦",IF(ISNUMBER(SEARCH("3歳未勝利",Z126)),"3歳未勝利",IF(ISNUMBER(SEARCH("未勝利",Z126)),"その他未勝利",IF(ISNUMBER(SEARCH("G1",Z126)),"G1",IF(ISNUMBER(SEARCH("G2",Z126)),"G2",IF(ISNUMBER(SEARCH("G3",Z126)),"G3",IF(ISNUMBER(SEARCH("古馬条件",Z126)),"古馬条件戦",IF(ISNUMBER(SEARCH("重賞",Z126)),"重賞","分類不能")))))))))</f>
        <v>分類不能</v>
      </c>
      <c r="AR126" s="8"/>
      <c r="AS126" s="8" t="s">
        <v>7598</v>
      </c>
      <c r="AT126" s="8" t="s">
        <v>7599</v>
      </c>
      <c r="AU126" s="8" t="s">
        <v>7615</v>
      </c>
      <c r="AV126" s="4" t="s">
        <v>7616</v>
      </c>
      <c r="AW126" s="8"/>
      <c r="AX126" s="8"/>
      <c r="AY126" s="8" t="s">
        <v>7602</v>
      </c>
      <c r="AZ126" s="4" t="s">
        <v>7603</v>
      </c>
      <c r="BA126" s="8" t="n">
        <v>1800</v>
      </c>
      <c r="BB126" s="8" t="s">
        <v>7598</v>
      </c>
      <c r="BC126" s="4" t="s">
        <v>7604</v>
      </c>
      <c r="BD126" s="8" t="s">
        <v>7625</v>
      </c>
      <c r="BE126" s="4" t="s">
        <v>7606</v>
      </c>
      <c r="BF126" s="8" t="s">
        <v>7607</v>
      </c>
      <c r="BG126" s="8" t="s">
        <v>7608</v>
      </c>
      <c r="BH126" s="4" t="s">
        <v>7609</v>
      </c>
      <c r="BI126" s="8" t="n">
        <v>8</v>
      </c>
      <c r="BJ126" s="8" t="s">
        <v>7602</v>
      </c>
      <c r="BK126" s="4" t="s">
        <v>7653</v>
      </c>
      <c r="BL126" s="8" t="s">
        <v>7602</v>
      </c>
      <c r="BM126" s="4" t="s">
        <v>7620</v>
      </c>
      <c r="BN126" s="8" t="s">
        <v>7602</v>
      </c>
      <c r="BO126" s="8" t="s">
        <v>7613</v>
      </c>
      <c r="BP126" s="8" t="s">
        <v>7610</v>
      </c>
      <c r="BQ126" s="8" t="str">
        <f aca="false">IF(A126="","",AT126)</f>
        <v>2歳</v>
      </c>
      <c r="BR126" s="8" t="str">
        <f aca="false">IF(A126="","",IF(BA126&lt;=1200,"～1200",IF(BA126&lt;=1500,"1300～1500",IF(BA126=1600,"1600",IF(BA126&lt;=1800,"1700～1800",IF(BA126&lt;=2000,"1900～2000","2100以上"))))))</f>
        <v>1700～1800</v>
      </c>
      <c r="BS126" s="8" t="str">
        <f aca="false">IF(A126="","",IF(AX126="G1","G1",IF(AX126="G2","G2",IF(AX126="G3","G3",IF(AX126="L","L","その他")))))</f>
        <v>その他</v>
      </c>
      <c r="BT126" s="8" t="str">
        <f aca="false">IF(A126="","",IF(BI126="","未結合",IF(D126=BI126,"一致","不一致")))</f>
        <v>一致</v>
      </c>
      <c r="BU126" s="8" t="str">
        <f aca="false">IF(A126="","",IF(BE126="牝馬限定","牝馬限定","その他"))</f>
        <v>その他</v>
      </c>
    </row>
    <row r="127" customFormat="false" ht="15.75" hidden="false" customHeight="false" outlineLevel="0" collapsed="false">
      <c r="A127" s="6" t="n">
        <v>46222</v>
      </c>
      <c r="B127" s="4" t="s">
        <v>1091</v>
      </c>
      <c r="C127" s="8" t="n">
        <v>6</v>
      </c>
      <c r="D127" s="8" t="n">
        <v>14</v>
      </c>
      <c r="E127" s="8" t="n">
        <v>4</v>
      </c>
      <c r="F127" s="4" t="s">
        <v>1625</v>
      </c>
      <c r="G127" s="8" t="n">
        <v>74</v>
      </c>
      <c r="H127" s="8" t="n">
        <v>8</v>
      </c>
      <c r="I127" s="4" t="s">
        <v>1629</v>
      </c>
      <c r="J127" s="8" t="n">
        <v>67</v>
      </c>
      <c r="K127" s="8" t="n">
        <v>13</v>
      </c>
      <c r="L127" s="4" t="s">
        <v>1634</v>
      </c>
      <c r="M127" s="8" t="n">
        <v>31</v>
      </c>
      <c r="N127" s="8" t="n">
        <f aca="false">IF(A127="","",G127-J127)</f>
        <v>7</v>
      </c>
      <c r="O127" s="8" t="n">
        <f aca="false">IF(A127="","",J127-M127)</f>
        <v>36</v>
      </c>
      <c r="P127" s="8" t="n">
        <f aca="false">IF(A127="","",G127+J127)</f>
        <v>141</v>
      </c>
      <c r="Q127" s="8" t="str">
        <f aca="false">IF(A127="","",IF(AND(Y127&lt;&gt;"参考",G127&gt;=ルール設定!$B$2),"○",""))</f>
        <v/>
      </c>
      <c r="R127" s="8" t="str">
        <f aca="false">IF(A127="","",IF(AND(Y127&lt;&gt;"参考",G127&gt;=ルール設定!$B$3,N127&gt;=ルール設定!$B$4),"○",""))</f>
        <v/>
      </c>
      <c r="S127" s="8" t="str">
        <f aca="false">IF(A127="","",IF(AND(Y127&lt;&gt;"参考",G127&gt;=ルール設定!$B$5,J127&gt;=ルール設定!$B$6,O127&gt;=ルール設定!$B$7),"○",""))</f>
        <v>○</v>
      </c>
      <c r="T127" s="8" t="n">
        <v>4</v>
      </c>
      <c r="U127" s="8" t="n">
        <v>4</v>
      </c>
      <c r="V127" s="8" t="str">
        <f aca="false">IF(A127="","",IF(AND(ISNUMBER(T127),ISNUMBER(U127)),IF(AND(T127&lt;=3,U127&lt;=3),"○","×"),""))</f>
        <v>×</v>
      </c>
      <c r="W127" s="8"/>
      <c r="X127" s="8"/>
      <c r="Y127" s="4" t="s">
        <v>7597</v>
      </c>
      <c r="Z127" s="4" t="s">
        <v>7679</v>
      </c>
      <c r="AA127" s="8" t="str">
        <v/>
      </c>
      <c r="AB127" s="8" t="str">
        <v/>
      </c>
      <c r="AC127" s="8" t="str">
        <v/>
      </c>
      <c r="AD127" s="8" t="str">
        <v/>
      </c>
      <c r="AE127" s="8" t="str">
        <v/>
      </c>
      <c r="AF127" s="8" t="str">
        <v/>
      </c>
      <c r="AG127" s="8" t="str">
        <v/>
      </c>
      <c r="AH127" s="8" t="str">
        <v/>
      </c>
      <c r="AI127" s="8" t="n">
        <v>43</v>
      </c>
      <c r="AJ127" s="8" t="str">
        <v>70～74</v>
      </c>
      <c r="AK127" s="8" t="str">
        <v>5～9</v>
      </c>
      <c r="AL127" s="8" t="str">
        <v>40以上</v>
      </c>
      <c r="AM127" s="8" t="str">
        <v>140～159</v>
      </c>
      <c r="AN127" s="8" t="str">
        <v>12～14</v>
      </c>
      <c r="AO127" s="8" t="str">
        <f aca="false">IF(A127="","",IF(COUNTIFS(全馬データ!$A$2:$A$50000,A127,全馬データ!$B$2:$B$50000,B127,全馬データ!$C$2:$C$50000,C127,全馬データ!$D$2:$D$50000,E127,全馬データ!$K$2:$K$50000,"&lt;&gt;")=0,"",SUMIFS(全馬データ!$K$2:$K$50000,全馬データ!$A$2:$A$50000,A127,全馬データ!$B$2:$B$50000,B127,全馬データ!$C$2:$C$50000,C127,全馬データ!$D$2:$D$50000,E127)))</f>
        <v/>
      </c>
      <c r="AP127" s="8" t="str">
        <f aca="false">IF(A127="","",IF(AO127="","欠損",IF(AO127&lt;=1.1,"1.0～1.1",IF(AO127&lt;1.3,"1.2",IF(AO127&lt;1.5,"1.3～1.4",IF(AO127&lt;2,"1.5～1.9","2.0以上"))))))</f>
        <v>欠損</v>
      </c>
      <c r="AQ127" s="8" t="str">
        <f aca="false">IF(A127="","",IF(ISNUMBER(SEARCH("2歳",Z127)),"2歳戦",IF(ISNUMBER(SEARCH("3歳未勝利",Z127)),"3歳未勝利",IF(ISNUMBER(SEARCH("未勝利",Z127)),"その他未勝利",IF(ISNUMBER(SEARCH("G1",Z127)),"G1",IF(ISNUMBER(SEARCH("G2",Z127)),"G2",IF(ISNUMBER(SEARCH("G3",Z127)),"G3",IF(ISNUMBER(SEARCH("古馬条件",Z127)),"古馬条件戦",IF(ISNUMBER(SEARCH("重賞",Z127)),"重賞","分類不能")))))))))</f>
        <v>分類不能</v>
      </c>
      <c r="AR127" s="8"/>
      <c r="AS127" s="8" t="s">
        <v>7623</v>
      </c>
      <c r="AT127" s="8" t="s">
        <v>7624</v>
      </c>
      <c r="AU127" s="8" t="s">
        <v>7600</v>
      </c>
      <c r="AV127" s="4" t="s">
        <v>7601</v>
      </c>
      <c r="AW127" s="8"/>
      <c r="AX127" s="8"/>
      <c r="AY127" s="8" t="s">
        <v>7610</v>
      </c>
      <c r="AZ127" s="4" t="s">
        <v>7617</v>
      </c>
      <c r="BA127" s="8" t="n">
        <v>1700</v>
      </c>
      <c r="BB127" s="8" t="s">
        <v>7598</v>
      </c>
      <c r="BC127" s="4" t="s">
        <v>7604</v>
      </c>
      <c r="BD127" s="8" t="s">
        <v>7605</v>
      </c>
      <c r="BE127" s="4" t="s">
        <v>7606</v>
      </c>
      <c r="BF127" s="8" t="s">
        <v>7607</v>
      </c>
      <c r="BG127" s="8" t="s">
        <v>7608</v>
      </c>
      <c r="BH127" s="4" t="s">
        <v>7609</v>
      </c>
      <c r="BI127" s="8" t="n">
        <v>14</v>
      </c>
      <c r="BJ127" s="8" t="s">
        <v>7602</v>
      </c>
      <c r="BK127" s="4" t="s">
        <v>7653</v>
      </c>
      <c r="BL127" s="8" t="s">
        <v>7602</v>
      </c>
      <c r="BM127" s="4" t="s">
        <v>7620</v>
      </c>
      <c r="BN127" s="8"/>
      <c r="BO127" s="8"/>
      <c r="BP127" s="8" t="s">
        <v>7610</v>
      </c>
      <c r="BQ127" s="8" t="str">
        <f aca="false">IF(A127="","",AT127)</f>
        <v>3歳</v>
      </c>
      <c r="BR127" s="8" t="str">
        <f aca="false">IF(A127="","",IF(BA127&lt;=1200,"～1200",IF(BA127&lt;=1500,"1300～1500",IF(BA127=1600,"1600",IF(BA127&lt;=1800,"1700～1800",IF(BA127&lt;=2000,"1900～2000","2100以上"))))))</f>
        <v>1700～1800</v>
      </c>
      <c r="BS127" s="8" t="str">
        <f aca="false">IF(A127="","",IF(AX127="G1","G1",IF(AX127="G2","G2",IF(AX127="G3","G3",IF(AX127="L","L","その他")))))</f>
        <v>その他</v>
      </c>
      <c r="BT127" s="8" t="str">
        <f aca="false">IF(A127="","",IF(BI127="","未結合",IF(D127=BI127,"一致","不一致")))</f>
        <v>一致</v>
      </c>
      <c r="BU127" s="8" t="str">
        <f aca="false">IF(A127="","",IF(BE127="牝馬限定","牝馬限定","その他"))</f>
        <v>その他</v>
      </c>
    </row>
    <row r="128" customFormat="false" ht="15.75" hidden="false" customHeight="false" outlineLevel="0" collapsed="false">
      <c r="A128" s="6" t="n">
        <v>46222</v>
      </c>
      <c r="B128" s="4" t="s">
        <v>1091</v>
      </c>
      <c r="C128" s="8" t="n">
        <v>7</v>
      </c>
      <c r="D128" s="8" t="n">
        <v>17</v>
      </c>
      <c r="E128" s="8" t="n">
        <v>1</v>
      </c>
      <c r="F128" s="4" t="s">
        <v>1636</v>
      </c>
      <c r="G128" s="8" t="n">
        <v>47</v>
      </c>
      <c r="H128" s="8" t="n">
        <v>10</v>
      </c>
      <c r="I128" s="4" t="s">
        <v>1645</v>
      </c>
      <c r="J128" s="8" t="n">
        <v>39</v>
      </c>
      <c r="K128" s="8" t="n">
        <v>5</v>
      </c>
      <c r="L128" s="4" t="s">
        <v>1640</v>
      </c>
      <c r="M128" s="8" t="n">
        <v>37</v>
      </c>
      <c r="N128" s="8" t="n">
        <f aca="false">IF(A128="","",G128-J128)</f>
        <v>8</v>
      </c>
      <c r="O128" s="8" t="n">
        <f aca="false">IF(A128="","",J128-M128)</f>
        <v>2</v>
      </c>
      <c r="P128" s="8" t="n">
        <f aca="false">IF(A128="","",G128+J128)</f>
        <v>86</v>
      </c>
      <c r="Q128" s="8" t="str">
        <f aca="false">IF(A128="","",IF(AND(Y128&lt;&gt;"参考",G128&gt;=ルール設定!$B$2),"○",""))</f>
        <v/>
      </c>
      <c r="R128" s="8" t="str">
        <f aca="false">IF(A128="","",IF(AND(Y128&lt;&gt;"参考",G128&gt;=ルール設定!$B$3,N128&gt;=ルール設定!$B$4),"○",""))</f>
        <v/>
      </c>
      <c r="S128" s="8" t="str">
        <f aca="false">IF(A128="","",IF(AND(Y128&lt;&gt;"参考",G128&gt;=ルール設定!$B$5,J128&gt;=ルール設定!$B$6,O128&gt;=ルール設定!$B$7),"○",""))</f>
        <v/>
      </c>
      <c r="T128" s="8" t="n">
        <v>1</v>
      </c>
      <c r="U128" s="8" t="n">
        <v>2</v>
      </c>
      <c r="V128" s="8" t="str">
        <f aca="false">IF(A128="","",IF(AND(ISNUMBER(T128),ISNUMBER(U128)),IF(AND(T128&lt;=3,U128&lt;=3),"○","×"),""))</f>
        <v>○</v>
      </c>
      <c r="W128" s="8" t="n">
        <v>180</v>
      </c>
      <c r="X128" s="8" t="n">
        <v>420</v>
      </c>
      <c r="Y128" s="4" t="s">
        <v>7597</v>
      </c>
      <c r="Z128" s="4" t="s">
        <v>7679</v>
      </c>
      <c r="AA128" s="8" t="str">
        <v/>
      </c>
      <c r="AB128" s="8" t="str">
        <v/>
      </c>
      <c r="AC128" s="8" t="str">
        <v/>
      </c>
      <c r="AD128" s="8" t="str">
        <v/>
      </c>
      <c r="AE128" s="8" t="str">
        <v/>
      </c>
      <c r="AF128" s="8" t="str">
        <v/>
      </c>
      <c r="AG128" s="8" t="str">
        <v/>
      </c>
      <c r="AH128" s="8" t="str">
        <v/>
      </c>
      <c r="AI128" s="8" t="n">
        <v>10</v>
      </c>
      <c r="AJ128" s="8" t="str">
        <v>～59</v>
      </c>
      <c r="AK128" s="8" t="str">
        <v>5～9</v>
      </c>
      <c r="AL128" s="8" t="str">
        <v>10～19</v>
      </c>
      <c r="AM128" s="8" t="str">
        <v>～99</v>
      </c>
      <c r="AN128" s="8" t="str">
        <v>15以上</v>
      </c>
      <c r="AO128" s="8" t="str">
        <f aca="false">IF(A128="","",IF(COUNTIFS(全馬データ!$A$2:$A$50000,A128,全馬データ!$B$2:$B$50000,B128,全馬データ!$C$2:$C$50000,C128,全馬データ!$D$2:$D$50000,E128,全馬データ!$K$2:$K$50000,"&lt;&gt;")=0,"",SUMIFS(全馬データ!$K$2:$K$50000,全馬データ!$A$2:$A$50000,A128,全馬データ!$B$2:$B$50000,B128,全馬データ!$C$2:$C$50000,C128,全馬データ!$D$2:$D$50000,E128)))</f>
        <v/>
      </c>
      <c r="AP128" s="8" t="str">
        <f aca="false">IF(A128="","",IF(AO128="","欠損",IF(AO128&lt;=1.1,"1.0～1.1",IF(AO128&lt;1.3,"1.2",IF(AO128&lt;1.5,"1.3～1.4",IF(AO128&lt;2,"1.5～1.9","2.0以上"))))))</f>
        <v>欠損</v>
      </c>
      <c r="AQ128" s="8" t="str">
        <f aca="false">IF(A128="","",IF(ISNUMBER(SEARCH("2歳",Z128)),"2歳戦",IF(ISNUMBER(SEARCH("3歳未勝利",Z128)),"3歳未勝利",IF(ISNUMBER(SEARCH("未勝利",Z128)),"その他未勝利",IF(ISNUMBER(SEARCH("G1",Z128)),"G1",IF(ISNUMBER(SEARCH("G2",Z128)),"G2",IF(ISNUMBER(SEARCH("G3",Z128)),"G3",IF(ISNUMBER(SEARCH("古馬条件",Z128)),"古馬条件戦",IF(ISNUMBER(SEARCH("重賞",Z128)),"重賞","分類不能")))))))))</f>
        <v>分類不能</v>
      </c>
      <c r="AR128" s="8"/>
      <c r="AS128" s="8" t="s">
        <v>7626</v>
      </c>
      <c r="AT128" s="8" t="s">
        <v>7627</v>
      </c>
      <c r="AU128" s="8" t="s">
        <v>7628</v>
      </c>
      <c r="AV128" s="8" t="s">
        <v>7629</v>
      </c>
      <c r="AW128" s="8"/>
      <c r="AX128" s="8"/>
      <c r="AY128" s="8" t="s">
        <v>7602</v>
      </c>
      <c r="AZ128" s="4" t="s">
        <v>7603</v>
      </c>
      <c r="BA128" s="8" t="n">
        <v>1200</v>
      </c>
      <c r="BB128" s="8" t="s">
        <v>7598</v>
      </c>
      <c r="BC128" s="4" t="s">
        <v>7604</v>
      </c>
      <c r="BD128" s="8" t="s">
        <v>7605</v>
      </c>
      <c r="BE128" s="4" t="s">
        <v>7606</v>
      </c>
      <c r="BF128" s="8" t="s">
        <v>7607</v>
      </c>
      <c r="BG128" s="8" t="s">
        <v>7631</v>
      </c>
      <c r="BH128" s="4" t="s">
        <v>7632</v>
      </c>
      <c r="BI128" s="8" t="n">
        <v>17</v>
      </c>
      <c r="BJ128" s="8" t="s">
        <v>7602</v>
      </c>
      <c r="BK128" s="4" t="s">
        <v>7653</v>
      </c>
      <c r="BL128" s="8" t="s">
        <v>7602</v>
      </c>
      <c r="BM128" s="4" t="s">
        <v>7620</v>
      </c>
      <c r="BN128" s="8" t="s">
        <v>7602</v>
      </c>
      <c r="BO128" s="8" t="s">
        <v>7613</v>
      </c>
      <c r="BP128" s="8" t="s">
        <v>7610</v>
      </c>
      <c r="BQ128" s="8" t="str">
        <f aca="false">IF(A128="","",AT128)</f>
        <v>3歳以上</v>
      </c>
      <c r="BR128" s="8" t="str">
        <f aca="false">IF(A128="","",IF(BA128&lt;=1200,"～1200",IF(BA128&lt;=1500,"1300～1500",IF(BA128=1600,"1600",IF(BA128&lt;=1800,"1700～1800",IF(BA128&lt;=2000,"1900～2000","2100以上"))))))</f>
        <v>～1200</v>
      </c>
      <c r="BS128" s="8" t="str">
        <f aca="false">IF(A128="","",IF(AX128="G1","G1",IF(AX128="G2","G2",IF(AX128="G3","G3",IF(AX128="L","L","その他")))))</f>
        <v>その他</v>
      </c>
      <c r="BT128" s="8" t="str">
        <f aca="false">IF(A128="","",IF(BI128="","未結合",IF(D128=BI128,"一致","不一致")))</f>
        <v>一致</v>
      </c>
      <c r="BU128" s="8" t="str">
        <f aca="false">IF(A128="","",IF(BE128="牝馬限定","牝馬限定","その他"))</f>
        <v>その他</v>
      </c>
    </row>
    <row r="129" customFormat="false" ht="15.75" hidden="false" customHeight="false" outlineLevel="0" collapsed="false">
      <c r="A129" s="6" t="n">
        <v>46222</v>
      </c>
      <c r="B129" s="4" t="s">
        <v>1091</v>
      </c>
      <c r="C129" s="8" t="n">
        <v>8</v>
      </c>
      <c r="D129" s="8" t="n">
        <v>14</v>
      </c>
      <c r="E129" s="8" t="n">
        <v>1</v>
      </c>
      <c r="F129" s="4" t="s">
        <v>1653</v>
      </c>
      <c r="G129" s="8" t="n">
        <v>50</v>
      </c>
      <c r="H129" s="8" t="n">
        <v>6</v>
      </c>
      <c r="I129" s="4" t="s">
        <v>1658</v>
      </c>
      <c r="J129" s="8" t="n">
        <v>44</v>
      </c>
      <c r="K129" s="8" t="n">
        <v>10</v>
      </c>
      <c r="L129" s="4" t="s">
        <v>1662</v>
      </c>
      <c r="M129" s="8" t="n">
        <v>41</v>
      </c>
      <c r="N129" s="8" t="n">
        <f aca="false">IF(A129="","",G129-J129)</f>
        <v>6</v>
      </c>
      <c r="O129" s="8" t="n">
        <f aca="false">IF(A129="","",J129-M129)</f>
        <v>3</v>
      </c>
      <c r="P129" s="8" t="n">
        <f aca="false">IF(A129="","",G129+J129)</f>
        <v>94</v>
      </c>
      <c r="Q129" s="8" t="str">
        <f aca="false">IF(A129="","",IF(AND(Y129&lt;&gt;"参考",G129&gt;=ルール設定!$B$2),"○",""))</f>
        <v/>
      </c>
      <c r="R129" s="8" t="str">
        <f aca="false">IF(A129="","",IF(AND(Y129&lt;&gt;"参考",G129&gt;=ルール設定!$B$3,N129&gt;=ルール設定!$B$4),"○",""))</f>
        <v/>
      </c>
      <c r="S129" s="8" t="str">
        <f aca="false">IF(A129="","",IF(AND(Y129&lt;&gt;"参考",G129&gt;=ルール設定!$B$5,J129&gt;=ルール設定!$B$6,O129&gt;=ルール設定!$B$7),"○",""))</f>
        <v/>
      </c>
      <c r="T129" s="8" t="n">
        <v>4</v>
      </c>
      <c r="U129" s="8" t="n">
        <v>4</v>
      </c>
      <c r="V129" s="8" t="str">
        <f aca="false">IF(A129="","",IF(AND(ISNUMBER(T129),ISNUMBER(U129)),IF(AND(T129&lt;=3,U129&lt;=3),"○","×"),""))</f>
        <v>×</v>
      </c>
      <c r="W129" s="8"/>
      <c r="X129" s="8"/>
      <c r="Y129" s="4" t="s">
        <v>7597</v>
      </c>
      <c r="Z129" s="4" t="s">
        <v>7679</v>
      </c>
      <c r="AA129" s="8" t="str">
        <v/>
      </c>
      <c r="AB129" s="8" t="str">
        <v/>
      </c>
      <c r="AC129" s="8" t="str">
        <v/>
      </c>
      <c r="AD129" s="8" t="str">
        <v/>
      </c>
      <c r="AE129" s="8" t="str">
        <v/>
      </c>
      <c r="AF129" s="8" t="str">
        <v/>
      </c>
      <c r="AG129" s="8" t="str">
        <v/>
      </c>
      <c r="AH129" s="8" t="str">
        <v/>
      </c>
      <c r="AI129" s="8" t="n">
        <v>9</v>
      </c>
      <c r="AJ129" s="8" t="str">
        <v>～59</v>
      </c>
      <c r="AK129" s="8" t="str">
        <v>5～9</v>
      </c>
      <c r="AL129" s="8" t="str">
        <v>0～9</v>
      </c>
      <c r="AM129" s="8" t="str">
        <v>～99</v>
      </c>
      <c r="AN129" s="8" t="str">
        <v>12～14</v>
      </c>
      <c r="AO129" s="8" t="str">
        <f aca="false">IF(A129="","",IF(COUNTIFS(全馬データ!$A$2:$A$50000,A129,全馬データ!$B$2:$B$50000,B129,全馬データ!$C$2:$C$50000,C129,全馬データ!$D$2:$D$50000,E129,全馬データ!$K$2:$K$50000,"&lt;&gt;")=0,"",SUMIFS(全馬データ!$K$2:$K$50000,全馬データ!$A$2:$A$50000,A129,全馬データ!$B$2:$B$50000,B129,全馬データ!$C$2:$C$50000,C129,全馬データ!$D$2:$D$50000,E129)))</f>
        <v/>
      </c>
      <c r="AP129" s="8" t="str">
        <f aca="false">IF(A129="","",IF(AO129="","欠損",IF(AO129&lt;=1.1,"1.0～1.1",IF(AO129&lt;1.3,"1.2",IF(AO129&lt;1.5,"1.3～1.4",IF(AO129&lt;2,"1.5～1.9","2.0以上"))))))</f>
        <v>欠損</v>
      </c>
      <c r="AQ129" s="8" t="str">
        <f aca="false">IF(A129="","",IF(ISNUMBER(SEARCH("2歳",Z129)),"2歳戦",IF(ISNUMBER(SEARCH("3歳未勝利",Z129)),"3歳未勝利",IF(ISNUMBER(SEARCH("未勝利",Z129)),"その他未勝利",IF(ISNUMBER(SEARCH("G1",Z129)),"G1",IF(ISNUMBER(SEARCH("G2",Z129)),"G2",IF(ISNUMBER(SEARCH("G3",Z129)),"G3",IF(ISNUMBER(SEARCH("古馬条件",Z129)),"古馬条件戦",IF(ISNUMBER(SEARCH("重賞",Z129)),"重賞","分類不能")))))))))</f>
        <v>分類不能</v>
      </c>
      <c r="AR129" s="8"/>
      <c r="AS129" s="8" t="s">
        <v>7626</v>
      </c>
      <c r="AT129" s="8" t="s">
        <v>7627</v>
      </c>
      <c r="AU129" s="8" t="s">
        <v>7628</v>
      </c>
      <c r="AV129" s="8" t="s">
        <v>7629</v>
      </c>
      <c r="AW129" s="8"/>
      <c r="AX129" s="8"/>
      <c r="AY129" s="8" t="s">
        <v>7610</v>
      </c>
      <c r="AZ129" s="4" t="s">
        <v>7617</v>
      </c>
      <c r="BA129" s="8" t="n">
        <v>1000</v>
      </c>
      <c r="BB129" s="8" t="s">
        <v>7598</v>
      </c>
      <c r="BC129" s="4" t="s">
        <v>7604</v>
      </c>
      <c r="BD129" s="8" t="s">
        <v>7605</v>
      </c>
      <c r="BE129" s="4" t="s">
        <v>7606</v>
      </c>
      <c r="BF129" s="8" t="s">
        <v>7607</v>
      </c>
      <c r="BG129" s="8" t="s">
        <v>7631</v>
      </c>
      <c r="BH129" s="4" t="s">
        <v>7632</v>
      </c>
      <c r="BI129" s="8" t="n">
        <v>14</v>
      </c>
      <c r="BJ129" s="8" t="s">
        <v>7602</v>
      </c>
      <c r="BK129" s="4" t="s">
        <v>7653</v>
      </c>
      <c r="BL129" s="8" t="s">
        <v>7602</v>
      </c>
      <c r="BM129" s="4" t="s">
        <v>7620</v>
      </c>
      <c r="BN129" s="8"/>
      <c r="BO129" s="8"/>
      <c r="BP129" s="8" t="s">
        <v>7610</v>
      </c>
      <c r="BQ129" s="8" t="str">
        <f aca="false">IF(A129="","",AT129)</f>
        <v>3歳以上</v>
      </c>
      <c r="BR129" s="8" t="str">
        <f aca="false">IF(A129="","",IF(BA129&lt;=1200,"～1200",IF(BA129&lt;=1500,"1300～1500",IF(BA129=1600,"1600",IF(BA129&lt;=1800,"1700～1800",IF(BA129&lt;=2000,"1900～2000","2100以上"))))))</f>
        <v>～1200</v>
      </c>
      <c r="BS129" s="8" t="str">
        <f aca="false">IF(A129="","",IF(AX129="G1","G1",IF(AX129="G2","G2",IF(AX129="G3","G3",IF(AX129="L","L","その他")))))</f>
        <v>その他</v>
      </c>
      <c r="BT129" s="8" t="str">
        <f aca="false">IF(A129="","",IF(BI129="","未結合",IF(D129=BI129,"一致","不一致")))</f>
        <v>一致</v>
      </c>
      <c r="BU129" s="8" t="str">
        <f aca="false">IF(A129="","",IF(BE129="牝馬限定","牝馬限定","その他"))</f>
        <v>その他</v>
      </c>
    </row>
    <row r="130" customFormat="false" ht="15.75" hidden="false" customHeight="false" outlineLevel="0" collapsed="false">
      <c r="A130" s="6" t="n">
        <v>46222</v>
      </c>
      <c r="B130" s="4" t="s">
        <v>1091</v>
      </c>
      <c r="C130" s="8" t="n">
        <v>9</v>
      </c>
      <c r="D130" s="8" t="n">
        <v>8</v>
      </c>
      <c r="E130" s="8" t="n">
        <v>3</v>
      </c>
      <c r="F130" s="4" t="s">
        <v>1669</v>
      </c>
      <c r="G130" s="8" t="n">
        <v>66</v>
      </c>
      <c r="H130" s="8" t="n">
        <v>6</v>
      </c>
      <c r="I130" s="4" t="s">
        <v>1672</v>
      </c>
      <c r="J130" s="8" t="n">
        <v>44</v>
      </c>
      <c r="K130" s="8" t="n">
        <v>8</v>
      </c>
      <c r="L130" s="4" t="s">
        <v>1674</v>
      </c>
      <c r="M130" s="8" t="n">
        <v>29</v>
      </c>
      <c r="N130" s="8" t="n">
        <f aca="false">IF(A130="","",G130-J130)</f>
        <v>22</v>
      </c>
      <c r="O130" s="8" t="n">
        <f aca="false">IF(A130="","",J130-M130)</f>
        <v>15</v>
      </c>
      <c r="P130" s="8" t="n">
        <f aca="false">IF(A130="","",G130+J130)</f>
        <v>110</v>
      </c>
      <c r="Q130" s="8" t="str">
        <f aca="false">IF(A130="","",IF(AND(Y130&lt;&gt;"参考",G130&gt;=ルール設定!$B$2),"○",""))</f>
        <v/>
      </c>
      <c r="R130" s="8" t="str">
        <f aca="false">IF(A130="","",IF(AND(Y130&lt;&gt;"参考",G130&gt;=ルール設定!$B$3,N130&gt;=ルール設定!$B$4),"○",""))</f>
        <v/>
      </c>
      <c r="S130" s="8" t="str">
        <f aca="false">IF(A130="","",IF(AND(Y130&lt;&gt;"参考",G130&gt;=ルール設定!$B$5,J130&gt;=ルール設定!$B$6,O130&gt;=ルール設定!$B$7),"○",""))</f>
        <v/>
      </c>
      <c r="T130" s="8" t="n">
        <v>2</v>
      </c>
      <c r="U130" s="8" t="n">
        <v>3</v>
      </c>
      <c r="V130" s="8" t="str">
        <f aca="false">IF(A130="","",IF(AND(ISNUMBER(T130),ISNUMBER(U130)),IF(AND(T130&lt;=3,U130&lt;=3),"○","×"),""))</f>
        <v>○</v>
      </c>
      <c r="W130" s="8" t="n">
        <v>110</v>
      </c>
      <c r="X130" s="8" t="n">
        <v>180</v>
      </c>
      <c r="Y130" s="4" t="s">
        <v>7597</v>
      </c>
      <c r="Z130" s="4" t="s">
        <v>7679</v>
      </c>
      <c r="AA130" s="8" t="str">
        <v/>
      </c>
      <c r="AB130" s="8" t="str">
        <v/>
      </c>
      <c r="AC130" s="8" t="str">
        <v/>
      </c>
      <c r="AD130" s="8" t="str">
        <v/>
      </c>
      <c r="AE130" s="8" t="str">
        <v/>
      </c>
      <c r="AF130" s="8" t="str">
        <v/>
      </c>
      <c r="AG130" s="8" t="str">
        <v/>
      </c>
      <c r="AH130" s="8" t="str">
        <v/>
      </c>
      <c r="AI130" s="8" t="n">
        <v>37</v>
      </c>
      <c r="AJ130" s="8" t="str">
        <v>60～69</v>
      </c>
      <c r="AK130" s="8" t="str">
        <v>20～29</v>
      </c>
      <c r="AL130" s="8" t="str">
        <v>30～39</v>
      </c>
      <c r="AM130" s="8" t="str">
        <v>100～119</v>
      </c>
      <c r="AN130" s="8" t="str">
        <v>8～11</v>
      </c>
      <c r="AO130" s="8" t="str">
        <f aca="false">IF(A130="","",IF(COUNTIFS(全馬データ!$A$2:$A$50000,A130,全馬データ!$B$2:$B$50000,B130,全馬データ!$C$2:$C$50000,C130,全馬データ!$D$2:$D$50000,E130,全馬データ!$K$2:$K$50000,"&lt;&gt;")=0,"",SUMIFS(全馬データ!$K$2:$K$50000,全馬データ!$A$2:$A$50000,A130,全馬データ!$B$2:$B$50000,B130,全馬データ!$C$2:$C$50000,C130,全馬データ!$D$2:$D$50000,E130)))</f>
        <v/>
      </c>
      <c r="AP130" s="8" t="str">
        <f aca="false">IF(A130="","",IF(AO130="","欠損",IF(AO130&lt;=1.1,"1.0～1.1",IF(AO130&lt;1.3,"1.2",IF(AO130&lt;1.5,"1.3～1.4",IF(AO130&lt;2,"1.5～1.9","2.0以上"))))))</f>
        <v>欠損</v>
      </c>
      <c r="AQ130" s="8" t="str">
        <f aca="false">IF(A130="","",IF(ISNUMBER(SEARCH("2歳",Z130)),"2歳戦",IF(ISNUMBER(SEARCH("3歳未勝利",Z130)),"3歳未勝利",IF(ISNUMBER(SEARCH("未勝利",Z130)),"その他未勝利",IF(ISNUMBER(SEARCH("G1",Z130)),"G1",IF(ISNUMBER(SEARCH("G2",Z130)),"G2",IF(ISNUMBER(SEARCH("G3",Z130)),"G3",IF(ISNUMBER(SEARCH("古馬条件",Z130)),"古馬条件戦",IF(ISNUMBER(SEARCH("重賞",Z130)),"重賞","分類不能")))))))))</f>
        <v>分類不能</v>
      </c>
      <c r="AR130" s="4" t="s">
        <v>7697</v>
      </c>
      <c r="AS130" s="8" t="s">
        <v>7626</v>
      </c>
      <c r="AT130" s="8" t="s">
        <v>7627</v>
      </c>
      <c r="AU130" s="8" t="s">
        <v>7634</v>
      </c>
      <c r="AV130" s="8" t="s">
        <v>7635</v>
      </c>
      <c r="AW130" s="8" t="s">
        <v>7636</v>
      </c>
      <c r="AX130" s="4" t="s">
        <v>7637</v>
      </c>
      <c r="AY130" s="8" t="s">
        <v>7602</v>
      </c>
      <c r="AZ130" s="4" t="s">
        <v>7603</v>
      </c>
      <c r="BA130" s="8" t="n">
        <v>1800</v>
      </c>
      <c r="BB130" s="8" t="s">
        <v>7598</v>
      </c>
      <c r="BC130" s="4" t="s">
        <v>7604</v>
      </c>
      <c r="BD130" s="8" t="s">
        <v>7630</v>
      </c>
      <c r="BE130" s="4" t="s">
        <v>7606</v>
      </c>
      <c r="BF130" s="8" t="s">
        <v>7607</v>
      </c>
      <c r="BG130" s="8" t="s">
        <v>7631</v>
      </c>
      <c r="BH130" s="4" t="s">
        <v>7632</v>
      </c>
      <c r="BI130" s="8" t="n">
        <v>8</v>
      </c>
      <c r="BJ130" s="8" t="s">
        <v>7602</v>
      </c>
      <c r="BK130" s="4" t="s">
        <v>7653</v>
      </c>
      <c r="BL130" s="8" t="s">
        <v>7602</v>
      </c>
      <c r="BM130" s="4" t="s">
        <v>7620</v>
      </c>
      <c r="BN130" s="8" t="s">
        <v>7602</v>
      </c>
      <c r="BO130" s="8" t="s">
        <v>7613</v>
      </c>
      <c r="BP130" s="8" t="s">
        <v>7610</v>
      </c>
      <c r="BQ130" s="8" t="str">
        <f aca="false">IF(A130="","",AT130)</f>
        <v>3歳以上</v>
      </c>
      <c r="BR130" s="8" t="str">
        <f aca="false">IF(A130="","",IF(BA130&lt;=1200,"～1200",IF(BA130&lt;=1500,"1300～1500",IF(BA130=1600,"1600",IF(BA130&lt;=1800,"1700～1800",IF(BA130&lt;=2000,"1900～2000","2100以上"))))))</f>
        <v>1700～1800</v>
      </c>
      <c r="BS130" s="8" t="str">
        <f aca="false">IF(A130="","",IF(AX130="G1","G1",IF(AX130="G2","G2",IF(AX130="G3","G3",IF(AX130="L","L","その他")))))</f>
        <v>その他</v>
      </c>
      <c r="BT130" s="8" t="str">
        <f aca="false">IF(A130="","",IF(BI130="","未結合",IF(D130=BI130,"一致","不一致")))</f>
        <v>一致</v>
      </c>
      <c r="BU130" s="8" t="str">
        <f aca="false">IF(A130="","",IF(BE130="牝馬限定","牝馬限定","その他"))</f>
        <v>その他</v>
      </c>
    </row>
    <row r="131" customFormat="false" ht="15.75" hidden="false" customHeight="false" outlineLevel="0" collapsed="false">
      <c r="A131" s="6" t="n">
        <v>46222</v>
      </c>
      <c r="B131" s="4" t="s">
        <v>1091</v>
      </c>
      <c r="C131" s="8" t="n">
        <v>10</v>
      </c>
      <c r="D131" s="8" t="n">
        <v>16</v>
      </c>
      <c r="E131" s="8" t="n">
        <v>13</v>
      </c>
      <c r="F131" s="4" t="s">
        <v>1687</v>
      </c>
      <c r="G131" s="8" t="n">
        <v>44</v>
      </c>
      <c r="H131" s="8" t="n">
        <v>1</v>
      </c>
      <c r="I131" s="4" t="s">
        <v>1675</v>
      </c>
      <c r="J131" s="8" t="n">
        <v>41</v>
      </c>
      <c r="K131" s="8" t="n">
        <v>16</v>
      </c>
      <c r="L131" s="4" t="s">
        <v>1690</v>
      </c>
      <c r="M131" s="8" t="n">
        <v>37</v>
      </c>
      <c r="N131" s="8" t="n">
        <f aca="false">IF(A131="","",G131-J131)</f>
        <v>3</v>
      </c>
      <c r="O131" s="8" t="n">
        <f aca="false">IF(A131="","",J131-M131)</f>
        <v>4</v>
      </c>
      <c r="P131" s="8" t="n">
        <f aca="false">IF(A131="","",G131+J131)</f>
        <v>85</v>
      </c>
      <c r="Q131" s="8" t="str">
        <f aca="false">IF(A131="","",IF(AND(Y131&lt;&gt;"参考",G131&gt;=ルール設定!$B$2),"○",""))</f>
        <v/>
      </c>
      <c r="R131" s="8" t="str">
        <f aca="false">IF(A131="","",IF(AND(Y131&lt;&gt;"参考",G131&gt;=ルール設定!$B$3,N131&gt;=ルール設定!$B$4),"○",""))</f>
        <v/>
      </c>
      <c r="S131" s="8" t="str">
        <f aca="false">IF(A131="","",IF(AND(Y131&lt;&gt;"参考",G131&gt;=ルール設定!$B$5,J131&gt;=ルール設定!$B$6,O131&gt;=ルール設定!$B$7),"○",""))</f>
        <v/>
      </c>
      <c r="T131" s="8" t="n">
        <v>4</v>
      </c>
      <c r="U131" s="8" t="n">
        <v>2</v>
      </c>
      <c r="V131" s="8" t="str">
        <f aca="false">IF(A131="","",IF(AND(ISNUMBER(T131),ISNUMBER(U131)),IF(AND(T131&lt;=3,U131&lt;=3),"○","×"),""))</f>
        <v>×</v>
      </c>
      <c r="W131" s="8"/>
      <c r="X131" s="8"/>
      <c r="Y131" s="4" t="s">
        <v>7597</v>
      </c>
      <c r="Z131" s="4" t="s">
        <v>7679</v>
      </c>
      <c r="AA131" s="8" t="str">
        <v/>
      </c>
      <c r="AB131" s="8" t="str">
        <v/>
      </c>
      <c r="AC131" s="8" t="str">
        <v/>
      </c>
      <c r="AD131" s="8" t="str">
        <v/>
      </c>
      <c r="AE131" s="8" t="str">
        <v/>
      </c>
      <c r="AF131" s="8" t="str">
        <v/>
      </c>
      <c r="AG131" s="8" t="str">
        <v/>
      </c>
      <c r="AH131" s="8" t="str">
        <v/>
      </c>
      <c r="AI131" s="8" t="n">
        <v>7</v>
      </c>
      <c r="AJ131" s="8" t="str">
        <v>～59</v>
      </c>
      <c r="AK131" s="8" t="str">
        <v>0～4</v>
      </c>
      <c r="AL131" s="8" t="str">
        <v>0～9</v>
      </c>
      <c r="AM131" s="8" t="str">
        <v>～99</v>
      </c>
      <c r="AN131" s="8" t="str">
        <v>15以上</v>
      </c>
      <c r="AO131" s="8" t="str">
        <f aca="false">IF(A131="","",IF(COUNTIFS(全馬データ!$A$2:$A$50000,A131,全馬データ!$B$2:$B$50000,B131,全馬データ!$C$2:$C$50000,C131,全馬データ!$D$2:$D$50000,E131,全馬データ!$K$2:$K$50000,"&lt;&gt;")=0,"",SUMIFS(全馬データ!$K$2:$K$50000,全馬データ!$A$2:$A$50000,A131,全馬データ!$B$2:$B$50000,B131,全馬データ!$C$2:$C$50000,C131,全馬データ!$D$2:$D$50000,E131)))</f>
        <v/>
      </c>
      <c r="AP131" s="8" t="str">
        <f aca="false">IF(A131="","",IF(AO131="","欠損",IF(AO131&lt;=1.1,"1.0～1.1",IF(AO131&lt;1.3,"1.2",IF(AO131&lt;1.5,"1.3～1.4",IF(AO131&lt;2,"1.5～1.9","2.0以上"))))))</f>
        <v>欠損</v>
      </c>
      <c r="AQ131" s="8" t="str">
        <f aca="false">IF(A131="","",IF(ISNUMBER(SEARCH("2歳",Z131)),"2歳戦",IF(ISNUMBER(SEARCH("3歳未勝利",Z131)),"3歳未勝利",IF(ISNUMBER(SEARCH("未勝利",Z131)),"その他未勝利",IF(ISNUMBER(SEARCH("G1",Z131)),"G1",IF(ISNUMBER(SEARCH("G2",Z131)),"G2",IF(ISNUMBER(SEARCH("G3",Z131)),"G3",IF(ISNUMBER(SEARCH("古馬条件",Z131)),"古馬条件戦",IF(ISNUMBER(SEARCH("重賞",Z131)),"重賞","分類不能")))))))))</f>
        <v>分類不能</v>
      </c>
      <c r="AR131" s="4" t="s">
        <v>7698</v>
      </c>
      <c r="AS131" s="8" t="s">
        <v>7626</v>
      </c>
      <c r="AT131" s="8" t="s">
        <v>7627</v>
      </c>
      <c r="AU131" s="8" t="s">
        <v>7639</v>
      </c>
      <c r="AV131" s="8" t="s">
        <v>7640</v>
      </c>
      <c r="AW131" s="8" t="s">
        <v>7636</v>
      </c>
      <c r="AX131" s="4" t="s">
        <v>7637</v>
      </c>
      <c r="AY131" s="8" t="s">
        <v>7610</v>
      </c>
      <c r="AZ131" s="4" t="s">
        <v>7617</v>
      </c>
      <c r="BA131" s="8" t="n">
        <v>1700</v>
      </c>
      <c r="BB131" s="8" t="s">
        <v>7598</v>
      </c>
      <c r="BC131" s="4" t="s">
        <v>7604</v>
      </c>
      <c r="BD131" s="8" t="s">
        <v>7605</v>
      </c>
      <c r="BE131" s="4" t="s">
        <v>7606</v>
      </c>
      <c r="BF131" s="8" t="s">
        <v>7607</v>
      </c>
      <c r="BG131" s="8" t="s">
        <v>7602</v>
      </c>
      <c r="BH131" s="4" t="s">
        <v>7667</v>
      </c>
      <c r="BI131" s="8" t="n">
        <v>16</v>
      </c>
      <c r="BJ131" s="8" t="s">
        <v>7602</v>
      </c>
      <c r="BK131" s="4" t="s">
        <v>7653</v>
      </c>
      <c r="BL131" s="8" t="s">
        <v>7602</v>
      </c>
      <c r="BM131" s="4" t="s">
        <v>7620</v>
      </c>
      <c r="BN131" s="8"/>
      <c r="BO131" s="8"/>
      <c r="BP131" s="8" t="s">
        <v>7610</v>
      </c>
      <c r="BQ131" s="8" t="str">
        <f aca="false">IF(A131="","",AT131)</f>
        <v>3歳以上</v>
      </c>
      <c r="BR131" s="8" t="str">
        <f aca="false">IF(A131="","",IF(BA131&lt;=1200,"～1200",IF(BA131&lt;=1500,"1300～1500",IF(BA131=1600,"1600",IF(BA131&lt;=1800,"1700～1800",IF(BA131&lt;=2000,"1900～2000","2100以上"))))))</f>
        <v>1700～1800</v>
      </c>
      <c r="BS131" s="8" t="str">
        <f aca="false">IF(A131="","",IF(AX131="G1","G1",IF(AX131="G2","G2",IF(AX131="G3","G3",IF(AX131="L","L","その他")))))</f>
        <v>その他</v>
      </c>
      <c r="BT131" s="8" t="str">
        <f aca="false">IF(A131="","",IF(BI131="","未結合",IF(D131=BI131,"一致","不一致")))</f>
        <v>一致</v>
      </c>
      <c r="BU131" s="8" t="str">
        <f aca="false">IF(A131="","",IF(BE131="牝馬限定","牝馬限定","その他"))</f>
        <v>その他</v>
      </c>
    </row>
    <row r="132" customFormat="false" ht="15.75" hidden="false" customHeight="false" outlineLevel="0" collapsed="false">
      <c r="A132" s="6" t="n">
        <v>46222</v>
      </c>
      <c r="B132" s="4" t="s">
        <v>1091</v>
      </c>
      <c r="C132" s="8" t="n">
        <v>11</v>
      </c>
      <c r="D132" s="8" t="n">
        <v>18</v>
      </c>
      <c r="E132" s="8" t="n">
        <v>17</v>
      </c>
      <c r="F132" s="4" t="s">
        <v>1707</v>
      </c>
      <c r="G132" s="8" t="n">
        <v>50</v>
      </c>
      <c r="H132" s="8" t="n">
        <v>14</v>
      </c>
      <c r="I132" s="4" t="s">
        <v>1704</v>
      </c>
      <c r="J132" s="8" t="n">
        <v>47</v>
      </c>
      <c r="K132" s="8" t="n">
        <v>9</v>
      </c>
      <c r="L132" s="4" t="s">
        <v>1699</v>
      </c>
      <c r="M132" s="8" t="n">
        <v>44</v>
      </c>
      <c r="N132" s="8" t="n">
        <f aca="false">IF(A132="","",G132-J132)</f>
        <v>3</v>
      </c>
      <c r="O132" s="8" t="n">
        <f aca="false">IF(A132="","",J132-M132)</f>
        <v>3</v>
      </c>
      <c r="P132" s="8" t="n">
        <f aca="false">IF(A132="","",G132+J132)</f>
        <v>97</v>
      </c>
      <c r="Q132" s="8" t="str">
        <f aca="false">IF(A132="","",IF(AND(Y132&lt;&gt;"参考",G132&gt;=ルール設定!$B$2),"○",""))</f>
        <v/>
      </c>
      <c r="R132" s="8" t="str">
        <f aca="false">IF(A132="","",IF(AND(Y132&lt;&gt;"参考",G132&gt;=ルール設定!$B$3,N132&gt;=ルール設定!$B$4),"○",""))</f>
        <v/>
      </c>
      <c r="S132" s="8" t="str">
        <f aca="false">IF(A132="","",IF(AND(Y132&lt;&gt;"参考",G132&gt;=ルール設定!$B$5,J132&gt;=ルール設定!$B$6,O132&gt;=ルール設定!$B$7),"○",""))</f>
        <v/>
      </c>
      <c r="T132" s="8" t="n">
        <v>2</v>
      </c>
      <c r="U132" s="8" t="n">
        <v>4</v>
      </c>
      <c r="V132" s="8" t="str">
        <f aca="false">IF(A132="","",IF(AND(ISNUMBER(T132),ISNUMBER(U132)),IF(AND(T132&lt;=3,U132&lt;=3),"○","×"),""))</f>
        <v>×</v>
      </c>
      <c r="W132" s="8" t="n">
        <v>150</v>
      </c>
      <c r="X132" s="8"/>
      <c r="Y132" s="4" t="s">
        <v>7597</v>
      </c>
      <c r="Z132" s="4" t="s">
        <v>7679</v>
      </c>
      <c r="AA132" s="8" t="str">
        <v/>
      </c>
      <c r="AB132" s="8" t="str">
        <v/>
      </c>
      <c r="AC132" s="8" t="str">
        <v/>
      </c>
      <c r="AD132" s="8" t="str">
        <v/>
      </c>
      <c r="AE132" s="8" t="str">
        <v/>
      </c>
      <c r="AF132" s="8" t="str">
        <v/>
      </c>
      <c r="AG132" s="8" t="str">
        <v/>
      </c>
      <c r="AH132" s="8" t="str">
        <v/>
      </c>
      <c r="AI132" s="8" t="n">
        <v>6</v>
      </c>
      <c r="AJ132" s="8" t="str">
        <v>～59</v>
      </c>
      <c r="AK132" s="8" t="str">
        <v>0～4</v>
      </c>
      <c r="AL132" s="8" t="str">
        <v>0～9</v>
      </c>
      <c r="AM132" s="8" t="str">
        <v>～99</v>
      </c>
      <c r="AN132" s="8" t="str">
        <v>15以上</v>
      </c>
      <c r="AO132" s="8" t="str">
        <f aca="false">IF(A132="","",IF(COUNTIFS(全馬データ!$A$2:$A$50000,A132,全馬データ!$B$2:$B$50000,B132,全馬データ!$C$2:$C$50000,C132,全馬データ!$D$2:$D$50000,E132,全馬データ!$K$2:$K$50000,"&lt;&gt;")=0,"",SUMIFS(全馬データ!$K$2:$K$50000,全馬データ!$A$2:$A$50000,A132,全馬データ!$B$2:$B$50000,B132,全馬データ!$C$2:$C$50000,C132,全馬データ!$D$2:$D$50000,E132)))</f>
        <v/>
      </c>
      <c r="AP132" s="8" t="str">
        <f aca="false">IF(A132="","",IF(AO132="","欠損",IF(AO132&lt;=1.1,"1.0～1.1",IF(AO132&lt;1.3,"1.2",IF(AO132&lt;1.5,"1.3～1.4",IF(AO132&lt;2,"1.5～1.9","2.0以上"))))))</f>
        <v>欠損</v>
      </c>
      <c r="AQ132" s="8" t="str">
        <f aca="false">IF(A132="","",IF(ISNUMBER(SEARCH("2歳",Z132)),"2歳戦",IF(ISNUMBER(SEARCH("3歳未勝利",Z132)),"3歳未勝利",IF(ISNUMBER(SEARCH("未勝利",Z132)),"その他未勝利",IF(ISNUMBER(SEARCH("G1",Z132)),"G1",IF(ISNUMBER(SEARCH("G2",Z132)),"G2",IF(ISNUMBER(SEARCH("G3",Z132)),"G3",IF(ISNUMBER(SEARCH("古馬条件",Z132)),"古馬条件戦",IF(ISNUMBER(SEARCH("重賞",Z132)),"重賞","分類不能")))))))))</f>
        <v>分類不能</v>
      </c>
      <c r="AR132" s="4" t="s">
        <v>7699</v>
      </c>
      <c r="AS132" s="8" t="s">
        <v>7626</v>
      </c>
      <c r="AT132" s="8" t="s">
        <v>7627</v>
      </c>
      <c r="AU132" s="8" t="s">
        <v>7643</v>
      </c>
      <c r="AV132" s="4" t="s">
        <v>7644</v>
      </c>
      <c r="AW132" s="8" t="s">
        <v>7608</v>
      </c>
      <c r="AX132" s="8" t="s">
        <v>7664</v>
      </c>
      <c r="AY132" s="8" t="s">
        <v>7602</v>
      </c>
      <c r="AZ132" s="4" t="s">
        <v>7603</v>
      </c>
      <c r="BA132" s="8" t="n">
        <v>2000</v>
      </c>
      <c r="BB132" s="8" t="s">
        <v>7598</v>
      </c>
      <c r="BC132" s="4" t="s">
        <v>7604</v>
      </c>
      <c r="BD132" s="8" t="s">
        <v>7666</v>
      </c>
      <c r="BE132" s="4" t="s">
        <v>7606</v>
      </c>
      <c r="BF132" s="8" t="s">
        <v>7607</v>
      </c>
      <c r="BG132" s="8" t="s">
        <v>7602</v>
      </c>
      <c r="BH132" s="4" t="s">
        <v>7667</v>
      </c>
      <c r="BI132" s="8" t="n">
        <v>18</v>
      </c>
      <c r="BJ132" s="8" t="s">
        <v>7602</v>
      </c>
      <c r="BK132" s="4" t="s">
        <v>7653</v>
      </c>
      <c r="BL132" s="8" t="s">
        <v>7602</v>
      </c>
      <c r="BM132" s="4" t="s">
        <v>7620</v>
      </c>
      <c r="BN132" s="8" t="s">
        <v>7602</v>
      </c>
      <c r="BO132" s="8" t="s">
        <v>7613</v>
      </c>
      <c r="BP132" s="8" t="s">
        <v>7610</v>
      </c>
      <c r="BQ132" s="8" t="str">
        <f aca="false">IF(A132="","",AT132)</f>
        <v>3歳以上</v>
      </c>
      <c r="BR132" s="8" t="str">
        <f aca="false">IF(A132="","",IF(BA132&lt;=1200,"～1200",IF(BA132&lt;=1500,"1300～1500",IF(BA132=1600,"1600",IF(BA132&lt;=1800,"1700～1800",IF(BA132&lt;=2000,"1900～2000","2100以上"))))))</f>
        <v>1900～2000</v>
      </c>
      <c r="BS132" s="8" t="str">
        <f aca="false">IF(A132="","",IF(AX132="G1","G1",IF(AX132="G2","G2",IF(AX132="G3","G3",IF(AX132="L","L","その他")))))</f>
        <v>G3</v>
      </c>
      <c r="BT132" s="8" t="str">
        <f aca="false">IF(A132="","",IF(BI132="","未結合",IF(D132=BI132,"一致","不一致")))</f>
        <v>一致</v>
      </c>
      <c r="BU132" s="8" t="str">
        <f aca="false">IF(A132="","",IF(BE132="牝馬限定","牝馬限定","その他"))</f>
        <v>その他</v>
      </c>
    </row>
    <row r="133" customFormat="false" ht="15.75" hidden="false" customHeight="false" outlineLevel="0" collapsed="false">
      <c r="A133" s="6" t="n">
        <v>46222</v>
      </c>
      <c r="B133" s="4" t="s">
        <v>1091</v>
      </c>
      <c r="C133" s="8" t="n">
        <v>12</v>
      </c>
      <c r="D133" s="8" t="n">
        <v>9</v>
      </c>
      <c r="E133" s="8" t="n">
        <v>7</v>
      </c>
      <c r="F133" s="4" t="s">
        <v>1715</v>
      </c>
      <c r="G133" s="8" t="n">
        <v>65</v>
      </c>
      <c r="H133" s="8" t="n">
        <v>4</v>
      </c>
      <c r="I133" s="4" t="s">
        <v>1712</v>
      </c>
      <c r="J133" s="8" t="n">
        <v>60</v>
      </c>
      <c r="K133" s="8" t="n">
        <v>5</v>
      </c>
      <c r="L133" s="4" t="s">
        <v>1713</v>
      </c>
      <c r="M133" s="8" t="n">
        <v>34</v>
      </c>
      <c r="N133" s="8" t="n">
        <f aca="false">IF(A133="","",G133-J133)</f>
        <v>5</v>
      </c>
      <c r="O133" s="8" t="n">
        <f aca="false">IF(A133="","",J133-M133)</f>
        <v>26</v>
      </c>
      <c r="P133" s="8" t="n">
        <f aca="false">IF(A133="","",G133+J133)</f>
        <v>125</v>
      </c>
      <c r="Q133" s="8" t="str">
        <f aca="false">IF(A133="","",IF(AND(Y133&lt;&gt;"参考",G133&gt;=ルール設定!$B$2),"○",""))</f>
        <v/>
      </c>
      <c r="R133" s="8" t="str">
        <f aca="false">IF(A133="","",IF(AND(Y133&lt;&gt;"参考",G133&gt;=ルール設定!$B$3,N133&gt;=ルール設定!$B$4),"○",""))</f>
        <v/>
      </c>
      <c r="S133" s="8" t="str">
        <f aca="false">IF(A133="","",IF(AND(Y133&lt;&gt;"参考",G133&gt;=ルール設定!$B$5,J133&gt;=ルール設定!$B$6,O133&gt;=ルール設定!$B$7),"○",""))</f>
        <v>○</v>
      </c>
      <c r="T133" s="8" t="n">
        <v>1</v>
      </c>
      <c r="U133" s="8" t="n">
        <v>3</v>
      </c>
      <c r="V133" s="8" t="str">
        <f aca="false">IF(A133="","",IF(AND(ISNUMBER(T133),ISNUMBER(U133)),IF(AND(T133&lt;=3,U133&lt;=3),"○","×"),""))</f>
        <v>○</v>
      </c>
      <c r="W133" s="8" t="n">
        <v>110</v>
      </c>
      <c r="X133" s="8" t="n">
        <v>170</v>
      </c>
      <c r="Y133" s="4" t="s">
        <v>7597</v>
      </c>
      <c r="Z133" s="4" t="s">
        <v>7679</v>
      </c>
      <c r="AA133" s="8" t="str">
        <v/>
      </c>
      <c r="AB133" s="8" t="str">
        <v/>
      </c>
      <c r="AC133" s="8" t="str">
        <v/>
      </c>
      <c r="AD133" s="8" t="str">
        <v/>
      </c>
      <c r="AE133" s="8" t="str">
        <v/>
      </c>
      <c r="AF133" s="8" t="str">
        <v/>
      </c>
      <c r="AG133" s="8" t="str">
        <v/>
      </c>
      <c r="AH133" s="8" t="str">
        <v/>
      </c>
      <c r="AI133" s="8" t="n">
        <v>31</v>
      </c>
      <c r="AJ133" s="8" t="str">
        <v>60～69</v>
      </c>
      <c r="AK133" s="8" t="str">
        <v>5～9</v>
      </c>
      <c r="AL133" s="8" t="str">
        <v>30～39</v>
      </c>
      <c r="AM133" s="8" t="str">
        <v>120～139</v>
      </c>
      <c r="AN133" s="8" t="str">
        <v>8～11</v>
      </c>
      <c r="AO133" s="8" t="str">
        <f aca="false">IF(A133="","",IF(COUNTIFS(全馬データ!$A$2:$A$50000,A133,全馬データ!$B$2:$B$50000,B133,全馬データ!$C$2:$C$50000,C133,全馬データ!$D$2:$D$50000,E133,全馬データ!$K$2:$K$50000,"&lt;&gt;")=0,"",SUMIFS(全馬データ!$K$2:$K$50000,全馬データ!$A$2:$A$50000,A133,全馬データ!$B$2:$B$50000,B133,全馬データ!$C$2:$C$50000,C133,全馬データ!$D$2:$D$50000,E133)))</f>
        <v/>
      </c>
      <c r="AP133" s="8" t="str">
        <f aca="false">IF(A133="","",IF(AO133="","欠損",IF(AO133&lt;=1.1,"1.0～1.1",IF(AO133&lt;1.3,"1.2",IF(AO133&lt;1.5,"1.3～1.4",IF(AO133&lt;2,"1.5～1.9","2.0以上"))))))</f>
        <v>欠損</v>
      </c>
      <c r="AQ133" s="8" t="str">
        <f aca="false">IF(A133="","",IF(ISNUMBER(SEARCH("2歳",Z133)),"2歳戦",IF(ISNUMBER(SEARCH("3歳未勝利",Z133)),"3歳未勝利",IF(ISNUMBER(SEARCH("未勝利",Z133)),"その他未勝利",IF(ISNUMBER(SEARCH("G1",Z133)),"G1",IF(ISNUMBER(SEARCH("G2",Z133)),"G2",IF(ISNUMBER(SEARCH("G3",Z133)),"G3",IF(ISNUMBER(SEARCH("古馬条件",Z133)),"古馬条件戦",IF(ISNUMBER(SEARCH("重賞",Z133)),"重賞","分類不能")))))))))</f>
        <v>分類不能</v>
      </c>
      <c r="AR133" s="4" t="s">
        <v>7700</v>
      </c>
      <c r="AS133" s="8" t="s">
        <v>7626</v>
      </c>
      <c r="AT133" s="8" t="s">
        <v>7627</v>
      </c>
      <c r="AU133" s="8" t="s">
        <v>7628</v>
      </c>
      <c r="AV133" s="8" t="s">
        <v>7629</v>
      </c>
      <c r="AW133" s="8" t="s">
        <v>7636</v>
      </c>
      <c r="AX133" s="4" t="s">
        <v>7637</v>
      </c>
      <c r="AY133" s="8" t="s">
        <v>7602</v>
      </c>
      <c r="AZ133" s="4" t="s">
        <v>7603</v>
      </c>
      <c r="BA133" s="8" t="n">
        <v>1800</v>
      </c>
      <c r="BB133" s="8" t="s">
        <v>7598</v>
      </c>
      <c r="BC133" s="4" t="s">
        <v>7604</v>
      </c>
      <c r="BD133" s="8" t="s">
        <v>7630</v>
      </c>
      <c r="BE133" s="4" t="s">
        <v>7606</v>
      </c>
      <c r="BF133" s="8" t="s">
        <v>7607</v>
      </c>
      <c r="BG133" s="8" t="s">
        <v>7631</v>
      </c>
      <c r="BH133" s="4" t="s">
        <v>7632</v>
      </c>
      <c r="BI133" s="8" t="n">
        <v>9</v>
      </c>
      <c r="BJ133" s="8" t="s">
        <v>7602</v>
      </c>
      <c r="BK133" s="4" t="s">
        <v>7653</v>
      </c>
      <c r="BL133" s="8" t="s">
        <v>7602</v>
      </c>
      <c r="BM133" s="4" t="s">
        <v>7620</v>
      </c>
      <c r="BN133" s="8" t="s">
        <v>7602</v>
      </c>
      <c r="BO133" s="8" t="s">
        <v>7613</v>
      </c>
      <c r="BP133" s="8" t="s">
        <v>7610</v>
      </c>
      <c r="BQ133" s="8" t="str">
        <f aca="false">IF(A133="","",AT133)</f>
        <v>3歳以上</v>
      </c>
      <c r="BR133" s="8" t="str">
        <f aca="false">IF(A133="","",IF(BA133&lt;=1200,"～1200",IF(BA133&lt;=1500,"1300～1500",IF(BA133=1600,"1600",IF(BA133&lt;=1800,"1700～1800",IF(BA133&lt;=2000,"1900～2000","2100以上"))))))</f>
        <v>1700～1800</v>
      </c>
      <c r="BS133" s="8" t="str">
        <f aca="false">IF(A133="","",IF(AX133="G1","G1",IF(AX133="G2","G2",IF(AX133="G3","G3",IF(AX133="L","L","その他")))))</f>
        <v>その他</v>
      </c>
      <c r="BT133" s="8" t="str">
        <f aca="false">IF(A133="","",IF(BI133="","未結合",IF(D133=BI133,"一致","不一致")))</f>
        <v>一致</v>
      </c>
      <c r="BU133" s="8" t="str">
        <f aca="false">IF(A133="","",IF(BE133="牝馬限定","牝馬限定","その他"))</f>
        <v>その他</v>
      </c>
    </row>
    <row r="134" customFormat="false" ht="15.75" hidden="false" customHeight="false" outlineLevel="0" collapsed="false">
      <c r="A134" s="6" t="n">
        <v>46222</v>
      </c>
      <c r="B134" s="4" t="s">
        <v>1237</v>
      </c>
      <c r="C134" s="8" t="n">
        <v>1</v>
      </c>
      <c r="D134" s="8" t="n">
        <v>8</v>
      </c>
      <c r="E134" s="8" t="n">
        <v>1</v>
      </c>
      <c r="F134" s="4" t="s">
        <v>1718</v>
      </c>
      <c r="G134" s="8" t="n">
        <v>62</v>
      </c>
      <c r="H134" s="8" t="n">
        <v>4</v>
      </c>
      <c r="I134" s="4" t="s">
        <v>1721</v>
      </c>
      <c r="J134" s="8" t="n">
        <v>52</v>
      </c>
      <c r="K134" s="8" t="n">
        <v>5</v>
      </c>
      <c r="L134" s="4" t="s">
        <v>1722</v>
      </c>
      <c r="M134" s="8" t="n">
        <v>50</v>
      </c>
      <c r="N134" s="8" t="n">
        <f aca="false">IF(A134="","",G134-J134)</f>
        <v>10</v>
      </c>
      <c r="O134" s="8" t="n">
        <f aca="false">IF(A134="","",J134-M134)</f>
        <v>2</v>
      </c>
      <c r="P134" s="8" t="n">
        <f aca="false">IF(A134="","",G134+J134)</f>
        <v>114</v>
      </c>
      <c r="Q134" s="8" t="str">
        <f aca="false">IF(A134="","",IF(AND(Y134&lt;&gt;"参考",G134&gt;=ルール設定!$B$2),"○",""))</f>
        <v/>
      </c>
      <c r="R134" s="8" t="str">
        <f aca="false">IF(A134="","",IF(AND(Y134&lt;&gt;"参考",G134&gt;=ルール設定!$B$3,N134&gt;=ルール設定!$B$4),"○",""))</f>
        <v/>
      </c>
      <c r="S134" s="8" t="str">
        <f aca="false">IF(A134="","",IF(AND(Y134&lt;&gt;"参考",G134&gt;=ルール設定!$B$5,J134&gt;=ルール設定!$B$6,O134&gt;=ルール設定!$B$7),"○",""))</f>
        <v/>
      </c>
      <c r="T134" s="8" t="n">
        <v>1</v>
      </c>
      <c r="U134" s="8" t="n">
        <v>4</v>
      </c>
      <c r="V134" s="8" t="str">
        <f aca="false">IF(A134="","",IF(AND(ISNUMBER(T134),ISNUMBER(U134)),IF(AND(T134&lt;=3,U134&lt;=3),"○","×"),""))</f>
        <v>×</v>
      </c>
      <c r="W134" s="8" t="n">
        <v>110</v>
      </c>
      <c r="X134" s="8"/>
      <c r="Y134" s="4" t="s">
        <v>7597</v>
      </c>
      <c r="Z134" s="4" t="s">
        <v>7679</v>
      </c>
      <c r="AA134" s="8" t="str">
        <v/>
      </c>
      <c r="AB134" s="8" t="str">
        <v/>
      </c>
      <c r="AC134" s="8" t="str">
        <v/>
      </c>
      <c r="AD134" s="8" t="str">
        <v/>
      </c>
      <c r="AE134" s="8" t="str">
        <v/>
      </c>
      <c r="AF134" s="8" t="str">
        <v/>
      </c>
      <c r="AG134" s="8" t="str">
        <v/>
      </c>
      <c r="AH134" s="8" t="str">
        <v/>
      </c>
      <c r="AI134" s="8" t="n">
        <v>12</v>
      </c>
      <c r="AJ134" s="8" t="str">
        <v>60～69</v>
      </c>
      <c r="AK134" s="8" t="str">
        <v>10～19</v>
      </c>
      <c r="AL134" s="8" t="str">
        <v>10～19</v>
      </c>
      <c r="AM134" s="8" t="str">
        <v>100～119</v>
      </c>
      <c r="AN134" s="8" t="str">
        <v>8～11</v>
      </c>
      <c r="AO134" s="8" t="str">
        <f aca="false">IF(A134="","",IF(COUNTIFS(全馬データ!$A$2:$A$50000,A134,全馬データ!$B$2:$B$50000,B134,全馬データ!$C$2:$C$50000,C134,全馬データ!$D$2:$D$50000,E134,全馬データ!$K$2:$K$50000,"&lt;&gt;")=0,"",SUMIFS(全馬データ!$K$2:$K$50000,全馬データ!$A$2:$A$50000,A134,全馬データ!$B$2:$B$50000,B134,全馬データ!$C$2:$C$50000,C134,全馬データ!$D$2:$D$50000,E134)))</f>
        <v/>
      </c>
      <c r="AP134" s="8" t="str">
        <f aca="false">IF(A134="","",IF(AO134="","欠損",IF(AO134&lt;=1.1,"1.0～1.1",IF(AO134&lt;1.3,"1.2",IF(AO134&lt;1.5,"1.3～1.4",IF(AO134&lt;2,"1.5～1.9","2.0以上"))))))</f>
        <v>欠損</v>
      </c>
      <c r="AQ134" s="8" t="str">
        <f aca="false">IF(A134="","",IF(ISNUMBER(SEARCH("2歳",Z134)),"2歳戦",IF(ISNUMBER(SEARCH("3歳未勝利",Z134)),"3歳未勝利",IF(ISNUMBER(SEARCH("未勝利",Z134)),"その他未勝利",IF(ISNUMBER(SEARCH("G1",Z134)),"G1",IF(ISNUMBER(SEARCH("G2",Z134)),"G2",IF(ISNUMBER(SEARCH("G3",Z134)),"G3",IF(ISNUMBER(SEARCH("古馬条件",Z134)),"古馬条件戦",IF(ISNUMBER(SEARCH("重賞",Z134)),"重賞","分類不能")))))))))</f>
        <v>分類不能</v>
      </c>
      <c r="AR134" s="8"/>
      <c r="AS134" s="8" t="s">
        <v>7598</v>
      </c>
      <c r="AT134" s="8" t="s">
        <v>7599</v>
      </c>
      <c r="AU134" s="8" t="s">
        <v>7600</v>
      </c>
      <c r="AV134" s="4" t="s">
        <v>7601</v>
      </c>
      <c r="AW134" s="8"/>
      <c r="AX134" s="8"/>
      <c r="AY134" s="8" t="s">
        <v>7602</v>
      </c>
      <c r="AZ134" s="4" t="s">
        <v>7603</v>
      </c>
      <c r="BA134" s="8" t="n">
        <v>1200</v>
      </c>
      <c r="BB134" s="8" t="s">
        <v>7701</v>
      </c>
      <c r="BC134" s="4" t="s">
        <v>7658</v>
      </c>
      <c r="BD134" s="8" t="s">
        <v>7605</v>
      </c>
      <c r="BE134" s="4" t="s">
        <v>7606</v>
      </c>
      <c r="BF134" s="8" t="s">
        <v>7607</v>
      </c>
      <c r="BG134" s="8" t="s">
        <v>7608</v>
      </c>
      <c r="BH134" s="4" t="s">
        <v>7609</v>
      </c>
      <c r="BI134" s="8" t="n">
        <v>8</v>
      </c>
      <c r="BJ134" s="8" t="s">
        <v>7602</v>
      </c>
      <c r="BK134" s="4" t="s">
        <v>7653</v>
      </c>
      <c r="BL134" s="8" t="s">
        <v>7602</v>
      </c>
      <c r="BM134" s="4" t="s">
        <v>7620</v>
      </c>
      <c r="BN134" s="8" t="s">
        <v>7631</v>
      </c>
      <c r="BO134" s="8" t="s">
        <v>7680</v>
      </c>
      <c r="BP134" s="8" t="s">
        <v>7608</v>
      </c>
      <c r="BQ134" s="8" t="str">
        <f aca="false">IF(A134="","",AT134)</f>
        <v>2歳</v>
      </c>
      <c r="BR134" s="8" t="str">
        <f aca="false">IF(A134="","",IF(BA134&lt;=1200,"～1200",IF(BA134&lt;=1500,"1300～1500",IF(BA134=1600,"1600",IF(BA134&lt;=1800,"1700～1800",IF(BA134&lt;=2000,"1900～2000","2100以上"))))))</f>
        <v>～1200</v>
      </c>
      <c r="BS134" s="8" t="str">
        <f aca="false">IF(A134="","",IF(AX134="G1","G1",IF(AX134="G2","G2",IF(AX134="G3","G3",IF(AX134="L","L","その他")))))</f>
        <v>その他</v>
      </c>
      <c r="BT134" s="8" t="str">
        <f aca="false">IF(A134="","",IF(BI134="","未結合",IF(D134=BI134,"一致","不一致")))</f>
        <v>一致</v>
      </c>
      <c r="BU134" s="8" t="str">
        <f aca="false">IF(A134="","",IF(BE134="牝馬限定","牝馬限定","その他"))</f>
        <v>その他</v>
      </c>
    </row>
    <row r="135" customFormat="false" ht="15.75" hidden="false" customHeight="false" outlineLevel="0" collapsed="false">
      <c r="A135" s="6" t="n">
        <v>46222</v>
      </c>
      <c r="B135" s="4" t="s">
        <v>1237</v>
      </c>
      <c r="C135" s="8" t="n">
        <v>2</v>
      </c>
      <c r="D135" s="8" t="n">
        <v>10</v>
      </c>
      <c r="E135" s="8" t="n">
        <v>4</v>
      </c>
      <c r="F135" s="4" t="s">
        <v>1729</v>
      </c>
      <c r="G135" s="8" t="n">
        <v>62</v>
      </c>
      <c r="H135" s="8" t="n">
        <v>8</v>
      </c>
      <c r="I135" s="4" t="s">
        <v>1733</v>
      </c>
      <c r="J135" s="8" t="n">
        <v>58</v>
      </c>
      <c r="K135" s="8" t="n">
        <v>10</v>
      </c>
      <c r="L135" s="4" t="s">
        <v>1735</v>
      </c>
      <c r="M135" s="8" t="n">
        <v>37</v>
      </c>
      <c r="N135" s="8" t="n">
        <f aca="false">IF(A135="","",G135-J135)</f>
        <v>4</v>
      </c>
      <c r="O135" s="8" t="n">
        <f aca="false">IF(A135="","",J135-M135)</f>
        <v>21</v>
      </c>
      <c r="P135" s="8" t="n">
        <f aca="false">IF(A135="","",G135+J135)</f>
        <v>120</v>
      </c>
      <c r="Q135" s="8" t="str">
        <f aca="false">IF(A135="","",IF(AND(Y135&lt;&gt;"参考",G135&gt;=ルール設定!$B$2),"○",""))</f>
        <v/>
      </c>
      <c r="R135" s="8" t="str">
        <f aca="false">IF(A135="","",IF(AND(Y135&lt;&gt;"参考",G135&gt;=ルール設定!$B$3,N135&gt;=ルール設定!$B$4),"○",""))</f>
        <v/>
      </c>
      <c r="S135" s="8" t="str">
        <f aca="false">IF(A135="","",IF(AND(Y135&lt;&gt;"参考",G135&gt;=ルール設定!$B$5,J135&gt;=ルール設定!$B$6,O135&gt;=ルール設定!$B$7),"○",""))</f>
        <v>○</v>
      </c>
      <c r="T135" s="8" t="n">
        <v>2</v>
      </c>
      <c r="U135" s="8" t="n">
        <v>4</v>
      </c>
      <c r="V135" s="8" t="str">
        <f aca="false">IF(A135="","",IF(AND(ISNUMBER(T135),ISNUMBER(U135)),IF(AND(T135&lt;=3,U135&lt;=3),"○","×"),""))</f>
        <v>×</v>
      </c>
      <c r="W135" s="8" t="n">
        <v>130</v>
      </c>
      <c r="X135" s="8"/>
      <c r="Y135" s="4" t="s">
        <v>7597</v>
      </c>
      <c r="Z135" s="4" t="s">
        <v>7679</v>
      </c>
      <c r="AA135" s="8" t="str">
        <v/>
      </c>
      <c r="AB135" s="8" t="str">
        <v/>
      </c>
      <c r="AC135" s="8" t="str">
        <v/>
      </c>
      <c r="AD135" s="8" t="str">
        <v/>
      </c>
      <c r="AE135" s="8" t="str">
        <v/>
      </c>
      <c r="AF135" s="8" t="str">
        <v/>
      </c>
      <c r="AG135" s="8" t="str">
        <v/>
      </c>
      <c r="AH135" s="8" t="str">
        <v/>
      </c>
      <c r="AI135" s="8" t="n">
        <v>25</v>
      </c>
      <c r="AJ135" s="8" t="str">
        <v>60～69</v>
      </c>
      <c r="AK135" s="8" t="str">
        <v>0～4</v>
      </c>
      <c r="AL135" s="8" t="str">
        <v>20～29</v>
      </c>
      <c r="AM135" s="8" t="str">
        <v>120～139</v>
      </c>
      <c r="AN135" s="8" t="str">
        <v>8～11</v>
      </c>
      <c r="AO135" s="8" t="str">
        <f aca="false">IF(A135="","",IF(COUNTIFS(全馬データ!$A$2:$A$50000,A135,全馬データ!$B$2:$B$50000,B135,全馬データ!$C$2:$C$50000,C135,全馬データ!$D$2:$D$50000,E135,全馬データ!$K$2:$K$50000,"&lt;&gt;")=0,"",SUMIFS(全馬データ!$K$2:$K$50000,全馬データ!$A$2:$A$50000,A135,全馬データ!$B$2:$B$50000,B135,全馬データ!$C$2:$C$50000,C135,全馬データ!$D$2:$D$50000,E135)))</f>
        <v/>
      </c>
      <c r="AP135" s="8" t="str">
        <f aca="false">IF(A135="","",IF(AO135="","欠損",IF(AO135&lt;=1.1,"1.0～1.1",IF(AO135&lt;1.3,"1.2",IF(AO135&lt;1.5,"1.3～1.4",IF(AO135&lt;2,"1.5～1.9","2.0以上"))))))</f>
        <v>欠損</v>
      </c>
      <c r="AQ135" s="8" t="str">
        <f aca="false">IF(A135="","",IF(ISNUMBER(SEARCH("2歳",Z135)),"2歳戦",IF(ISNUMBER(SEARCH("3歳未勝利",Z135)),"3歳未勝利",IF(ISNUMBER(SEARCH("未勝利",Z135)),"その他未勝利",IF(ISNUMBER(SEARCH("G1",Z135)),"G1",IF(ISNUMBER(SEARCH("G2",Z135)),"G2",IF(ISNUMBER(SEARCH("G3",Z135)),"G3",IF(ISNUMBER(SEARCH("古馬条件",Z135)),"古馬条件戦",IF(ISNUMBER(SEARCH("重賞",Z135)),"重賞","分類不能")))))))))</f>
        <v>分類不能</v>
      </c>
      <c r="AR135" s="8"/>
      <c r="AS135" s="8" t="s">
        <v>7623</v>
      </c>
      <c r="AT135" s="8" t="s">
        <v>7624</v>
      </c>
      <c r="AU135" s="8" t="s">
        <v>7600</v>
      </c>
      <c r="AV135" s="4" t="s">
        <v>7601</v>
      </c>
      <c r="AW135" s="8"/>
      <c r="AX135" s="8"/>
      <c r="AY135" s="8" t="s">
        <v>7610</v>
      </c>
      <c r="AZ135" s="4" t="s">
        <v>7617</v>
      </c>
      <c r="BA135" s="8" t="n">
        <v>1000</v>
      </c>
      <c r="BB135" s="8" t="s">
        <v>7669</v>
      </c>
      <c r="BC135" s="4" t="s">
        <v>7662</v>
      </c>
      <c r="BD135" s="8" t="s">
        <v>7625</v>
      </c>
      <c r="BE135" s="4" t="s">
        <v>7606</v>
      </c>
      <c r="BF135" s="8" t="s">
        <v>7607</v>
      </c>
      <c r="BG135" s="8" t="s">
        <v>7608</v>
      </c>
      <c r="BH135" s="4" t="s">
        <v>7609</v>
      </c>
      <c r="BI135" s="8" t="n">
        <v>10</v>
      </c>
      <c r="BJ135" s="8" t="s">
        <v>7602</v>
      </c>
      <c r="BK135" s="4" t="s">
        <v>7653</v>
      </c>
      <c r="BL135" s="8" t="s">
        <v>7602</v>
      </c>
      <c r="BM135" s="4" t="s">
        <v>7620</v>
      </c>
      <c r="BN135" s="8"/>
      <c r="BO135" s="8"/>
      <c r="BP135" s="8" t="s">
        <v>7608</v>
      </c>
      <c r="BQ135" s="8" t="str">
        <f aca="false">IF(A135="","",AT135)</f>
        <v>3歳</v>
      </c>
      <c r="BR135" s="8" t="str">
        <f aca="false">IF(A135="","",IF(BA135&lt;=1200,"～1200",IF(BA135&lt;=1500,"1300～1500",IF(BA135=1600,"1600",IF(BA135&lt;=1800,"1700～1800",IF(BA135&lt;=2000,"1900～2000","2100以上"))))))</f>
        <v>～1200</v>
      </c>
      <c r="BS135" s="8" t="str">
        <f aca="false">IF(A135="","",IF(AX135="G1","G1",IF(AX135="G2","G2",IF(AX135="G3","G3",IF(AX135="L","L","その他")))))</f>
        <v>その他</v>
      </c>
      <c r="BT135" s="8" t="str">
        <f aca="false">IF(A135="","",IF(BI135="","未結合",IF(D135=BI135,"一致","不一致")))</f>
        <v>一致</v>
      </c>
      <c r="BU135" s="8" t="str">
        <f aca="false">IF(A135="","",IF(BE135="牝馬限定","牝馬限定","その他"))</f>
        <v>その他</v>
      </c>
    </row>
    <row r="136" customFormat="false" ht="15.75" hidden="false" customHeight="false" outlineLevel="0" collapsed="false">
      <c r="A136" s="6" t="n">
        <v>46222</v>
      </c>
      <c r="B136" s="4" t="s">
        <v>1237</v>
      </c>
      <c r="C136" s="8" t="n">
        <v>3</v>
      </c>
      <c r="D136" s="8" t="n">
        <v>14</v>
      </c>
      <c r="E136" s="8" t="n">
        <v>9</v>
      </c>
      <c r="F136" s="4" t="s">
        <v>1744</v>
      </c>
      <c r="G136" s="8" t="n">
        <v>62</v>
      </c>
      <c r="H136" s="8" t="n">
        <v>3</v>
      </c>
      <c r="I136" s="4" t="s">
        <v>1738</v>
      </c>
      <c r="J136" s="8" t="n">
        <v>60</v>
      </c>
      <c r="K136" s="8" t="n">
        <v>13</v>
      </c>
      <c r="L136" s="4" t="s">
        <v>1748</v>
      </c>
      <c r="M136" s="8" t="n">
        <v>58</v>
      </c>
      <c r="N136" s="8" t="n">
        <f aca="false">IF(A136="","",G136-J136)</f>
        <v>2</v>
      </c>
      <c r="O136" s="8" t="n">
        <f aca="false">IF(A136="","",J136-M136)</f>
        <v>2</v>
      </c>
      <c r="P136" s="8" t="n">
        <f aca="false">IF(A136="","",G136+J136)</f>
        <v>122</v>
      </c>
      <c r="Q136" s="8" t="str">
        <f aca="false">IF(A136="","",IF(AND(Y136&lt;&gt;"参考",G136&gt;=ルール設定!$B$2),"○",""))</f>
        <v/>
      </c>
      <c r="R136" s="8" t="str">
        <f aca="false">IF(A136="","",IF(AND(Y136&lt;&gt;"参考",G136&gt;=ルール設定!$B$3,N136&gt;=ルール設定!$B$4),"○",""))</f>
        <v/>
      </c>
      <c r="S136" s="8" t="str">
        <f aca="false">IF(A136="","",IF(AND(Y136&lt;&gt;"参考",G136&gt;=ルール設定!$B$5,J136&gt;=ルール設定!$B$6,O136&gt;=ルール設定!$B$7),"○",""))</f>
        <v/>
      </c>
      <c r="T136" s="8" t="n">
        <v>1</v>
      </c>
      <c r="U136" s="8" t="n">
        <v>2</v>
      </c>
      <c r="V136" s="8" t="str">
        <f aca="false">IF(A136="","",IF(AND(ISNUMBER(T136),ISNUMBER(U136)),IF(AND(T136&lt;=3,U136&lt;=3),"○","×"),""))</f>
        <v>○</v>
      </c>
      <c r="W136" s="8" t="n">
        <v>140</v>
      </c>
      <c r="X136" s="8" t="n">
        <v>410</v>
      </c>
      <c r="Y136" s="4" t="s">
        <v>7597</v>
      </c>
      <c r="Z136" s="4" t="s">
        <v>7679</v>
      </c>
      <c r="AA136" s="8" t="str">
        <v/>
      </c>
      <c r="AB136" s="8" t="str">
        <v/>
      </c>
      <c r="AC136" s="8" t="str">
        <v/>
      </c>
      <c r="AD136" s="8" t="str">
        <v/>
      </c>
      <c r="AE136" s="8" t="str">
        <v/>
      </c>
      <c r="AF136" s="8" t="str">
        <v/>
      </c>
      <c r="AG136" s="8" t="str">
        <v/>
      </c>
      <c r="AH136" s="8" t="str">
        <v/>
      </c>
      <c r="AI136" s="8" t="n">
        <v>4</v>
      </c>
      <c r="AJ136" s="8" t="str">
        <v>60～69</v>
      </c>
      <c r="AK136" s="8" t="str">
        <v>0～4</v>
      </c>
      <c r="AL136" s="8" t="str">
        <v>0～9</v>
      </c>
      <c r="AM136" s="8" t="str">
        <v>120～139</v>
      </c>
      <c r="AN136" s="8" t="str">
        <v>12～14</v>
      </c>
      <c r="AO136" s="8" t="str">
        <f aca="false">IF(A136="","",IF(COUNTIFS(全馬データ!$A$2:$A$50000,A136,全馬データ!$B$2:$B$50000,B136,全馬データ!$C$2:$C$50000,C136,全馬データ!$D$2:$D$50000,E136,全馬データ!$K$2:$K$50000,"&lt;&gt;")=0,"",SUMIFS(全馬データ!$K$2:$K$50000,全馬データ!$A$2:$A$50000,A136,全馬データ!$B$2:$B$50000,B136,全馬データ!$C$2:$C$50000,C136,全馬データ!$D$2:$D$50000,E136)))</f>
        <v/>
      </c>
      <c r="AP136" s="8" t="str">
        <f aca="false">IF(A136="","",IF(AO136="","欠損",IF(AO136&lt;=1.1,"1.0～1.1",IF(AO136&lt;1.3,"1.2",IF(AO136&lt;1.5,"1.3～1.4",IF(AO136&lt;2,"1.5～1.9","2.0以上"))))))</f>
        <v>欠損</v>
      </c>
      <c r="AQ136" s="8" t="str">
        <f aca="false">IF(A136="","",IF(ISNUMBER(SEARCH("2歳",Z136)),"2歳戦",IF(ISNUMBER(SEARCH("3歳未勝利",Z136)),"3歳未勝利",IF(ISNUMBER(SEARCH("未勝利",Z136)),"その他未勝利",IF(ISNUMBER(SEARCH("G1",Z136)),"G1",IF(ISNUMBER(SEARCH("G2",Z136)),"G2",IF(ISNUMBER(SEARCH("G3",Z136)),"G3",IF(ISNUMBER(SEARCH("古馬条件",Z136)),"古馬条件戦",IF(ISNUMBER(SEARCH("重賞",Z136)),"重賞","分類不能")))))))))</f>
        <v>分類不能</v>
      </c>
      <c r="AR136" s="8"/>
      <c r="AS136" s="8" t="s">
        <v>7623</v>
      </c>
      <c r="AT136" s="8" t="s">
        <v>7624</v>
      </c>
      <c r="AU136" s="8" t="s">
        <v>7600</v>
      </c>
      <c r="AV136" s="4" t="s">
        <v>7601</v>
      </c>
      <c r="AW136" s="8"/>
      <c r="AX136" s="8"/>
      <c r="AY136" s="8" t="s">
        <v>7610</v>
      </c>
      <c r="AZ136" s="4" t="s">
        <v>7617</v>
      </c>
      <c r="BA136" s="8" t="n">
        <v>1700</v>
      </c>
      <c r="BB136" s="8" t="s">
        <v>7669</v>
      </c>
      <c r="BC136" s="4" t="s">
        <v>7662</v>
      </c>
      <c r="BD136" s="8" t="s">
        <v>7625</v>
      </c>
      <c r="BE136" s="4" t="s">
        <v>7606</v>
      </c>
      <c r="BF136" s="8" t="s">
        <v>7607</v>
      </c>
      <c r="BG136" s="8" t="s">
        <v>7608</v>
      </c>
      <c r="BH136" s="4" t="s">
        <v>7609</v>
      </c>
      <c r="BI136" s="8" t="n">
        <v>14</v>
      </c>
      <c r="BJ136" s="8" t="s">
        <v>7602</v>
      </c>
      <c r="BK136" s="4" t="s">
        <v>7653</v>
      </c>
      <c r="BL136" s="8" t="s">
        <v>7602</v>
      </c>
      <c r="BM136" s="4" t="s">
        <v>7620</v>
      </c>
      <c r="BN136" s="8"/>
      <c r="BO136" s="8"/>
      <c r="BP136" s="8" t="s">
        <v>7608</v>
      </c>
      <c r="BQ136" s="8" t="str">
        <f aca="false">IF(A136="","",AT136)</f>
        <v>3歳</v>
      </c>
      <c r="BR136" s="8" t="str">
        <f aca="false">IF(A136="","",IF(BA136&lt;=1200,"～1200",IF(BA136&lt;=1500,"1300～1500",IF(BA136=1600,"1600",IF(BA136&lt;=1800,"1700～1800",IF(BA136&lt;=2000,"1900～2000","2100以上"))))))</f>
        <v>1700～1800</v>
      </c>
      <c r="BS136" s="8" t="str">
        <f aca="false">IF(A136="","",IF(AX136="G1","G1",IF(AX136="G2","G2",IF(AX136="G3","G3",IF(AX136="L","L","その他")))))</f>
        <v>その他</v>
      </c>
      <c r="BT136" s="8" t="str">
        <f aca="false">IF(A136="","",IF(BI136="","未結合",IF(D136=BI136,"一致","不一致")))</f>
        <v>一致</v>
      </c>
      <c r="BU136" s="8" t="str">
        <f aca="false">IF(A136="","",IF(BE136="牝馬限定","牝馬限定","その他"))</f>
        <v>その他</v>
      </c>
    </row>
    <row r="137" customFormat="false" ht="15.75" hidden="false" customHeight="false" outlineLevel="0" collapsed="false">
      <c r="A137" s="6" t="n">
        <v>46222</v>
      </c>
      <c r="B137" s="4" t="s">
        <v>1237</v>
      </c>
      <c r="C137" s="8" t="n">
        <v>4</v>
      </c>
      <c r="D137" s="8" t="n">
        <v>13</v>
      </c>
      <c r="E137" s="8" t="n">
        <v>7</v>
      </c>
      <c r="F137" s="4" t="s">
        <v>1756</v>
      </c>
      <c r="G137" s="8" t="n">
        <v>60</v>
      </c>
      <c r="H137" s="8" t="n">
        <v>12</v>
      </c>
      <c r="I137" s="4" t="s">
        <v>1761</v>
      </c>
      <c r="J137" s="8" t="n">
        <v>44</v>
      </c>
      <c r="K137" s="8" t="n">
        <v>11</v>
      </c>
      <c r="L137" s="4" t="s">
        <v>1760</v>
      </c>
      <c r="M137" s="8" t="n">
        <v>39</v>
      </c>
      <c r="N137" s="8" t="n">
        <f aca="false">IF(A137="","",G137-J137)</f>
        <v>16</v>
      </c>
      <c r="O137" s="8" t="n">
        <f aca="false">IF(A137="","",J137-M137)</f>
        <v>5</v>
      </c>
      <c r="P137" s="8" t="n">
        <f aca="false">IF(A137="","",G137+J137)</f>
        <v>104</v>
      </c>
      <c r="Q137" s="8" t="str">
        <f aca="false">IF(A137="","",IF(AND(Y137&lt;&gt;"参考",G137&gt;=ルール設定!$B$2),"○",""))</f>
        <v/>
      </c>
      <c r="R137" s="8" t="str">
        <f aca="false">IF(A137="","",IF(AND(Y137&lt;&gt;"参考",G137&gt;=ルール設定!$B$3,N137&gt;=ルール設定!$B$4),"○",""))</f>
        <v/>
      </c>
      <c r="S137" s="8" t="str">
        <f aca="false">IF(A137="","",IF(AND(Y137&lt;&gt;"参考",G137&gt;=ルール設定!$B$5,J137&gt;=ルール設定!$B$6,O137&gt;=ルール設定!$B$7),"○",""))</f>
        <v/>
      </c>
      <c r="T137" s="8" t="n">
        <v>4</v>
      </c>
      <c r="U137" s="8" t="n">
        <v>4</v>
      </c>
      <c r="V137" s="8" t="str">
        <f aca="false">IF(A137="","",IF(AND(ISNUMBER(T137),ISNUMBER(U137)),IF(AND(T137&lt;=3,U137&lt;=3),"○","×"),""))</f>
        <v>×</v>
      </c>
      <c r="W137" s="8"/>
      <c r="X137" s="8"/>
      <c r="Y137" s="4" t="s">
        <v>7597</v>
      </c>
      <c r="Z137" s="4" t="s">
        <v>7679</v>
      </c>
      <c r="AA137" s="8" t="str">
        <v/>
      </c>
      <c r="AB137" s="8" t="str">
        <v/>
      </c>
      <c r="AC137" s="8" t="str">
        <v/>
      </c>
      <c r="AD137" s="8" t="str">
        <v/>
      </c>
      <c r="AE137" s="8" t="str">
        <v/>
      </c>
      <c r="AF137" s="8" t="str">
        <v/>
      </c>
      <c r="AG137" s="8" t="str">
        <v/>
      </c>
      <c r="AH137" s="8" t="str">
        <v/>
      </c>
      <c r="AI137" s="8" t="n">
        <v>21</v>
      </c>
      <c r="AJ137" s="8" t="str">
        <v>60～69</v>
      </c>
      <c r="AK137" s="8" t="str">
        <v>10～19</v>
      </c>
      <c r="AL137" s="8" t="str">
        <v>20～29</v>
      </c>
      <c r="AM137" s="8" t="str">
        <v>100～119</v>
      </c>
      <c r="AN137" s="8" t="str">
        <v>12～14</v>
      </c>
      <c r="AO137" s="8" t="str">
        <f aca="false">IF(A137="","",IF(COUNTIFS(全馬データ!$A$2:$A$50000,A137,全馬データ!$B$2:$B$50000,B137,全馬データ!$C$2:$C$50000,C137,全馬データ!$D$2:$D$50000,E137,全馬データ!$K$2:$K$50000,"&lt;&gt;")=0,"",SUMIFS(全馬データ!$K$2:$K$50000,全馬データ!$A$2:$A$50000,A137,全馬データ!$B$2:$B$50000,B137,全馬データ!$C$2:$C$50000,C137,全馬データ!$D$2:$D$50000,E137)))</f>
        <v/>
      </c>
      <c r="AP137" s="8" t="str">
        <f aca="false">IF(A137="","",IF(AO137="","欠損",IF(AO137&lt;=1.1,"1.0～1.1",IF(AO137&lt;1.3,"1.2",IF(AO137&lt;1.5,"1.3～1.4",IF(AO137&lt;2,"1.5～1.9","2.0以上"))))))</f>
        <v>欠損</v>
      </c>
      <c r="AQ137" s="8" t="str">
        <f aca="false">IF(A137="","",IF(ISNUMBER(SEARCH("2歳",Z137)),"2歳戦",IF(ISNUMBER(SEARCH("3歳未勝利",Z137)),"3歳未勝利",IF(ISNUMBER(SEARCH("未勝利",Z137)),"その他未勝利",IF(ISNUMBER(SEARCH("G1",Z137)),"G1",IF(ISNUMBER(SEARCH("G2",Z137)),"G2",IF(ISNUMBER(SEARCH("G3",Z137)),"G3",IF(ISNUMBER(SEARCH("古馬条件",Z137)),"古馬条件戦",IF(ISNUMBER(SEARCH("重賞",Z137)),"重賞","分類不能")))))))))</f>
        <v>分類不能</v>
      </c>
      <c r="AR137" s="8"/>
      <c r="AS137" s="8" t="s">
        <v>7623</v>
      </c>
      <c r="AT137" s="8" t="s">
        <v>7624</v>
      </c>
      <c r="AU137" s="8" t="s">
        <v>7600</v>
      </c>
      <c r="AV137" s="4" t="s">
        <v>7601</v>
      </c>
      <c r="AW137" s="8"/>
      <c r="AX137" s="8"/>
      <c r="AY137" s="8" t="s">
        <v>7602</v>
      </c>
      <c r="AZ137" s="4" t="s">
        <v>7603</v>
      </c>
      <c r="BA137" s="8" t="n">
        <v>2000</v>
      </c>
      <c r="BB137" s="8" t="s">
        <v>7701</v>
      </c>
      <c r="BC137" s="4" t="s">
        <v>7658</v>
      </c>
      <c r="BD137" s="8" t="s">
        <v>7605</v>
      </c>
      <c r="BE137" s="4" t="s">
        <v>7606</v>
      </c>
      <c r="BF137" s="8" t="s">
        <v>7607</v>
      </c>
      <c r="BG137" s="8" t="s">
        <v>7608</v>
      </c>
      <c r="BH137" s="4" t="s">
        <v>7609</v>
      </c>
      <c r="BI137" s="8" t="n">
        <v>13</v>
      </c>
      <c r="BJ137" s="8" t="s">
        <v>7602</v>
      </c>
      <c r="BK137" s="4" t="s">
        <v>7653</v>
      </c>
      <c r="BL137" s="8" t="s">
        <v>7602</v>
      </c>
      <c r="BM137" s="4" t="s">
        <v>7620</v>
      </c>
      <c r="BN137" s="8" t="s">
        <v>7631</v>
      </c>
      <c r="BO137" s="8" t="s">
        <v>7680</v>
      </c>
      <c r="BP137" s="8" t="s">
        <v>7608</v>
      </c>
      <c r="BQ137" s="8" t="str">
        <f aca="false">IF(A137="","",AT137)</f>
        <v>3歳</v>
      </c>
      <c r="BR137" s="8" t="str">
        <f aca="false">IF(A137="","",IF(BA137&lt;=1200,"～1200",IF(BA137&lt;=1500,"1300～1500",IF(BA137=1600,"1600",IF(BA137&lt;=1800,"1700～1800",IF(BA137&lt;=2000,"1900～2000","2100以上"))))))</f>
        <v>1900～2000</v>
      </c>
      <c r="BS137" s="8" t="str">
        <f aca="false">IF(A137="","",IF(AX137="G1","G1",IF(AX137="G2","G2",IF(AX137="G3","G3",IF(AX137="L","L","その他")))))</f>
        <v>その他</v>
      </c>
      <c r="BT137" s="8" t="str">
        <f aca="false">IF(A137="","",IF(BI137="","未結合",IF(D137=BI137,"一致","不一致")))</f>
        <v>一致</v>
      </c>
      <c r="BU137" s="8" t="str">
        <f aca="false">IF(A137="","",IF(BE137="牝馬限定","牝馬限定","その他"))</f>
        <v>その他</v>
      </c>
    </row>
    <row r="138" customFormat="false" ht="15.75" hidden="false" customHeight="false" outlineLevel="0" collapsed="false">
      <c r="A138" s="6" t="n">
        <v>46222</v>
      </c>
      <c r="B138" s="4" t="s">
        <v>1237</v>
      </c>
      <c r="C138" s="8" t="n">
        <v>5</v>
      </c>
      <c r="D138" s="8" t="n">
        <v>14</v>
      </c>
      <c r="E138" s="8" t="n">
        <v>3</v>
      </c>
      <c r="F138" s="4" t="s">
        <v>1765</v>
      </c>
      <c r="G138" s="8" t="n">
        <v>31</v>
      </c>
      <c r="H138" s="8" t="n">
        <v>8</v>
      </c>
      <c r="I138" s="4" t="s">
        <v>1770</v>
      </c>
      <c r="J138" s="8" t="n">
        <v>27</v>
      </c>
      <c r="K138" s="8" t="n">
        <v>14</v>
      </c>
      <c r="L138" s="4" t="s">
        <v>1776</v>
      </c>
      <c r="M138" s="8" t="n">
        <v>24</v>
      </c>
      <c r="N138" s="8" t="n">
        <f aca="false">IF(A138="","",G138-J138)</f>
        <v>4</v>
      </c>
      <c r="O138" s="8" t="n">
        <f aca="false">IF(A138="","",J138-M138)</f>
        <v>3</v>
      </c>
      <c r="P138" s="8" t="n">
        <f aca="false">IF(A138="","",G138+J138)</f>
        <v>58</v>
      </c>
      <c r="Q138" s="8" t="str">
        <f aca="false">IF(A138="","",IF(AND(Y138&lt;&gt;"参考",G138&gt;=ルール設定!$B$2),"○",""))</f>
        <v/>
      </c>
      <c r="R138" s="8" t="str">
        <f aca="false">IF(A138="","",IF(AND(Y138&lt;&gt;"参考",G138&gt;=ルール設定!$B$3,N138&gt;=ルール設定!$B$4),"○",""))</f>
        <v/>
      </c>
      <c r="S138" s="8" t="str">
        <f aca="false">IF(A138="","",IF(AND(Y138&lt;&gt;"参考",G138&gt;=ルール設定!$B$5,J138&gt;=ルール設定!$B$6,O138&gt;=ルール設定!$B$7),"○",""))</f>
        <v/>
      </c>
      <c r="T138" s="8" t="n">
        <v>4</v>
      </c>
      <c r="U138" s="8" t="n">
        <v>4</v>
      </c>
      <c r="V138" s="8" t="str">
        <f aca="false">IF(A138="","",IF(AND(ISNUMBER(T138),ISNUMBER(U138)),IF(AND(T138&lt;=3,U138&lt;=3),"○","×"),""))</f>
        <v>×</v>
      </c>
      <c r="W138" s="8"/>
      <c r="X138" s="8"/>
      <c r="Y138" s="4" t="s">
        <v>7597</v>
      </c>
      <c r="Z138" s="4" t="s">
        <v>7679</v>
      </c>
      <c r="AA138" s="8" t="str">
        <v/>
      </c>
      <c r="AB138" s="8" t="str">
        <v/>
      </c>
      <c r="AC138" s="8" t="str">
        <v/>
      </c>
      <c r="AD138" s="8" t="str">
        <v/>
      </c>
      <c r="AE138" s="8" t="str">
        <v/>
      </c>
      <c r="AF138" s="8" t="str">
        <v/>
      </c>
      <c r="AG138" s="8" t="str">
        <v/>
      </c>
      <c r="AH138" s="8" t="str">
        <v/>
      </c>
      <c r="AI138" s="8" t="n">
        <v>7</v>
      </c>
      <c r="AJ138" s="8" t="str">
        <v>～59</v>
      </c>
      <c r="AK138" s="8" t="str">
        <v>0～4</v>
      </c>
      <c r="AL138" s="8" t="str">
        <v>0～9</v>
      </c>
      <c r="AM138" s="8" t="str">
        <v>～99</v>
      </c>
      <c r="AN138" s="8" t="str">
        <v>12～14</v>
      </c>
      <c r="AO138" s="8" t="str">
        <f aca="false">IF(A138="","",IF(COUNTIFS(全馬データ!$A$2:$A$50000,A138,全馬データ!$B$2:$B$50000,B138,全馬データ!$C$2:$C$50000,C138,全馬データ!$D$2:$D$50000,E138,全馬データ!$K$2:$K$50000,"&lt;&gt;")=0,"",SUMIFS(全馬データ!$K$2:$K$50000,全馬データ!$A$2:$A$50000,A138,全馬データ!$B$2:$B$50000,B138,全馬データ!$C$2:$C$50000,C138,全馬データ!$D$2:$D$50000,E138)))</f>
        <v/>
      </c>
      <c r="AP138" s="8" t="str">
        <f aca="false">IF(A138="","",IF(AO138="","欠損",IF(AO138&lt;=1.1,"1.0～1.1",IF(AO138&lt;1.3,"1.2",IF(AO138&lt;1.5,"1.3～1.4",IF(AO138&lt;2,"1.5～1.9","2.0以上"))))))</f>
        <v>欠損</v>
      </c>
      <c r="AQ138" s="8" t="str">
        <f aca="false">IF(A138="","",IF(ISNUMBER(SEARCH("2歳",Z138)),"2歳戦",IF(ISNUMBER(SEARCH("3歳未勝利",Z138)),"3歳未勝利",IF(ISNUMBER(SEARCH("未勝利",Z138)),"その他未勝利",IF(ISNUMBER(SEARCH("G1",Z138)),"G1",IF(ISNUMBER(SEARCH("G2",Z138)),"G2",IF(ISNUMBER(SEARCH("G3",Z138)),"G3",IF(ISNUMBER(SEARCH("古馬条件",Z138)),"古馬条件戦",IF(ISNUMBER(SEARCH("重賞",Z138)),"重賞","分類不能")))))))))</f>
        <v>分類不能</v>
      </c>
      <c r="AR138" s="8"/>
      <c r="AS138" s="8" t="s">
        <v>7598</v>
      </c>
      <c r="AT138" s="8" t="s">
        <v>7599</v>
      </c>
      <c r="AU138" s="8" t="s">
        <v>7615</v>
      </c>
      <c r="AV138" s="4" t="s">
        <v>7616</v>
      </c>
      <c r="AW138" s="8"/>
      <c r="AX138" s="8"/>
      <c r="AY138" s="8" t="s">
        <v>7602</v>
      </c>
      <c r="AZ138" s="4" t="s">
        <v>7603</v>
      </c>
      <c r="BA138" s="8" t="n">
        <v>1800</v>
      </c>
      <c r="BB138" s="8" t="s">
        <v>7701</v>
      </c>
      <c r="BC138" s="4" t="s">
        <v>7658</v>
      </c>
      <c r="BD138" s="8" t="s">
        <v>7605</v>
      </c>
      <c r="BE138" s="4" t="s">
        <v>7606</v>
      </c>
      <c r="BF138" s="8" t="s">
        <v>7607</v>
      </c>
      <c r="BG138" s="8" t="s">
        <v>7608</v>
      </c>
      <c r="BH138" s="4" t="s">
        <v>7609</v>
      </c>
      <c r="BI138" s="8" t="n">
        <v>14</v>
      </c>
      <c r="BJ138" s="8" t="s">
        <v>7602</v>
      </c>
      <c r="BK138" s="4" t="s">
        <v>7653</v>
      </c>
      <c r="BL138" s="8" t="s">
        <v>7602</v>
      </c>
      <c r="BM138" s="4" t="s">
        <v>7620</v>
      </c>
      <c r="BN138" s="8" t="s">
        <v>7631</v>
      </c>
      <c r="BO138" s="8" t="s">
        <v>7680</v>
      </c>
      <c r="BP138" s="8" t="s">
        <v>7608</v>
      </c>
      <c r="BQ138" s="8" t="str">
        <f aca="false">IF(A138="","",AT138)</f>
        <v>2歳</v>
      </c>
      <c r="BR138" s="8" t="str">
        <f aca="false">IF(A138="","",IF(BA138&lt;=1200,"～1200",IF(BA138&lt;=1500,"1300～1500",IF(BA138=1600,"1600",IF(BA138&lt;=1800,"1700～1800",IF(BA138&lt;=2000,"1900～2000","2100以上"))))))</f>
        <v>1700～1800</v>
      </c>
      <c r="BS138" s="8" t="str">
        <f aca="false">IF(A138="","",IF(AX138="G1","G1",IF(AX138="G2","G2",IF(AX138="G3","G3",IF(AX138="L","L","その他")))))</f>
        <v>その他</v>
      </c>
      <c r="BT138" s="8" t="str">
        <f aca="false">IF(A138="","",IF(BI138="","未結合",IF(D138=BI138,"一致","不一致")))</f>
        <v>一致</v>
      </c>
      <c r="BU138" s="8" t="str">
        <f aca="false">IF(A138="","",IF(BE138="牝馬限定","牝馬限定","その他"))</f>
        <v>その他</v>
      </c>
    </row>
    <row r="139" customFormat="false" ht="15.75" hidden="false" customHeight="false" outlineLevel="0" collapsed="false">
      <c r="A139" s="6" t="n">
        <v>46222</v>
      </c>
      <c r="B139" s="4" t="s">
        <v>1237</v>
      </c>
      <c r="C139" s="8" t="n">
        <v>6</v>
      </c>
      <c r="D139" s="8" t="n">
        <v>16</v>
      </c>
      <c r="E139" s="8" t="n">
        <v>1</v>
      </c>
      <c r="F139" s="4" t="s">
        <v>1777</v>
      </c>
      <c r="G139" s="8" t="n">
        <v>52</v>
      </c>
      <c r="H139" s="8" t="n">
        <v>10</v>
      </c>
      <c r="I139" s="4" t="s">
        <v>1786</v>
      </c>
      <c r="J139" s="8" t="n">
        <v>37</v>
      </c>
      <c r="K139" s="8" t="n">
        <v>9</v>
      </c>
      <c r="L139" s="4" t="s">
        <v>1785</v>
      </c>
      <c r="M139" s="8" t="n">
        <v>29</v>
      </c>
      <c r="N139" s="8" t="n">
        <f aca="false">IF(A139="","",G139-J139)</f>
        <v>15</v>
      </c>
      <c r="O139" s="8" t="n">
        <f aca="false">IF(A139="","",J139-M139)</f>
        <v>8</v>
      </c>
      <c r="P139" s="8" t="n">
        <f aca="false">IF(A139="","",G139+J139)</f>
        <v>89</v>
      </c>
      <c r="Q139" s="8" t="str">
        <f aca="false">IF(A139="","",IF(AND(Y139&lt;&gt;"参考",G139&gt;=ルール設定!$B$2),"○",""))</f>
        <v/>
      </c>
      <c r="R139" s="8" t="str">
        <f aca="false">IF(A139="","",IF(AND(Y139&lt;&gt;"参考",G139&gt;=ルール設定!$B$3,N139&gt;=ルール設定!$B$4),"○",""))</f>
        <v/>
      </c>
      <c r="S139" s="8" t="str">
        <f aca="false">IF(A139="","",IF(AND(Y139&lt;&gt;"参考",G139&gt;=ルール設定!$B$5,J139&gt;=ルール設定!$B$6,O139&gt;=ルール設定!$B$7),"○",""))</f>
        <v/>
      </c>
      <c r="T139" s="8" t="n">
        <v>1</v>
      </c>
      <c r="U139" s="8" t="n">
        <v>3</v>
      </c>
      <c r="V139" s="8" t="str">
        <f aca="false">IF(A139="","",IF(AND(ISNUMBER(T139),ISNUMBER(U139)),IF(AND(T139&lt;=3,U139&lt;=3),"○","×"),""))</f>
        <v>○</v>
      </c>
      <c r="W139" s="8" t="n">
        <v>150</v>
      </c>
      <c r="X139" s="8" t="n">
        <v>270</v>
      </c>
      <c r="Y139" s="4" t="s">
        <v>7597</v>
      </c>
      <c r="Z139" s="4" t="s">
        <v>7679</v>
      </c>
      <c r="AA139" s="8" t="str">
        <v/>
      </c>
      <c r="AB139" s="8" t="str">
        <v/>
      </c>
      <c r="AC139" s="8" t="str">
        <v/>
      </c>
      <c r="AD139" s="8" t="str">
        <v/>
      </c>
      <c r="AE139" s="8" t="str">
        <v/>
      </c>
      <c r="AF139" s="8" t="str">
        <v/>
      </c>
      <c r="AG139" s="8" t="str">
        <v/>
      </c>
      <c r="AH139" s="8" t="str">
        <v/>
      </c>
      <c r="AI139" s="8" t="n">
        <v>23</v>
      </c>
      <c r="AJ139" s="8" t="str">
        <v>～59</v>
      </c>
      <c r="AK139" s="8" t="str">
        <v>10～19</v>
      </c>
      <c r="AL139" s="8" t="str">
        <v>20～29</v>
      </c>
      <c r="AM139" s="8" t="str">
        <v>～99</v>
      </c>
      <c r="AN139" s="8" t="str">
        <v>15以上</v>
      </c>
      <c r="AO139" s="8" t="str">
        <f aca="false">IF(A139="","",IF(COUNTIFS(全馬データ!$A$2:$A$50000,A139,全馬データ!$B$2:$B$50000,B139,全馬データ!$C$2:$C$50000,C139,全馬データ!$D$2:$D$50000,E139,全馬データ!$K$2:$K$50000,"&lt;&gt;")=0,"",SUMIFS(全馬データ!$K$2:$K$50000,全馬データ!$A$2:$A$50000,A139,全馬データ!$B$2:$B$50000,B139,全馬データ!$C$2:$C$50000,C139,全馬データ!$D$2:$D$50000,E139)))</f>
        <v/>
      </c>
      <c r="AP139" s="8" t="str">
        <f aca="false">IF(A139="","",IF(AO139="","欠損",IF(AO139&lt;=1.1,"1.0～1.1",IF(AO139&lt;1.3,"1.2",IF(AO139&lt;1.5,"1.3～1.4",IF(AO139&lt;2,"1.5～1.9","2.0以上"))))))</f>
        <v>欠損</v>
      </c>
      <c r="AQ139" s="8" t="str">
        <f aca="false">IF(A139="","",IF(ISNUMBER(SEARCH("2歳",Z139)),"2歳戦",IF(ISNUMBER(SEARCH("3歳未勝利",Z139)),"3歳未勝利",IF(ISNUMBER(SEARCH("未勝利",Z139)),"その他未勝利",IF(ISNUMBER(SEARCH("G1",Z139)),"G1",IF(ISNUMBER(SEARCH("G2",Z139)),"G2",IF(ISNUMBER(SEARCH("G3",Z139)),"G3",IF(ISNUMBER(SEARCH("古馬条件",Z139)),"古馬条件戦",IF(ISNUMBER(SEARCH("重賞",Z139)),"重賞","分類不能")))))))))</f>
        <v>分類不能</v>
      </c>
      <c r="AR139" s="8"/>
      <c r="AS139" s="8" t="s">
        <v>7623</v>
      </c>
      <c r="AT139" s="8" t="s">
        <v>7624</v>
      </c>
      <c r="AU139" s="8" t="s">
        <v>7600</v>
      </c>
      <c r="AV139" s="4" t="s">
        <v>7601</v>
      </c>
      <c r="AW139" s="8"/>
      <c r="AX139" s="8"/>
      <c r="AY139" s="8" t="s">
        <v>7602</v>
      </c>
      <c r="AZ139" s="4" t="s">
        <v>7603</v>
      </c>
      <c r="BA139" s="8" t="n">
        <v>1200</v>
      </c>
      <c r="BB139" s="8" t="s">
        <v>7701</v>
      </c>
      <c r="BC139" s="4" t="s">
        <v>7658</v>
      </c>
      <c r="BD139" s="8" t="s">
        <v>7605</v>
      </c>
      <c r="BE139" s="4" t="s">
        <v>7606</v>
      </c>
      <c r="BF139" s="8" t="s">
        <v>7607</v>
      </c>
      <c r="BG139" s="8" t="s">
        <v>7608</v>
      </c>
      <c r="BH139" s="4" t="s">
        <v>7609</v>
      </c>
      <c r="BI139" s="8" t="n">
        <v>16</v>
      </c>
      <c r="BJ139" s="8" t="s">
        <v>7602</v>
      </c>
      <c r="BK139" s="4" t="s">
        <v>7653</v>
      </c>
      <c r="BL139" s="8" t="s">
        <v>7602</v>
      </c>
      <c r="BM139" s="4" t="s">
        <v>7620</v>
      </c>
      <c r="BN139" s="8" t="s">
        <v>7631</v>
      </c>
      <c r="BO139" s="8" t="s">
        <v>7680</v>
      </c>
      <c r="BP139" s="8" t="s">
        <v>7608</v>
      </c>
      <c r="BQ139" s="8" t="str">
        <f aca="false">IF(A139="","",AT139)</f>
        <v>3歳</v>
      </c>
      <c r="BR139" s="8" t="str">
        <f aca="false">IF(A139="","",IF(BA139&lt;=1200,"～1200",IF(BA139&lt;=1500,"1300～1500",IF(BA139=1600,"1600",IF(BA139&lt;=1800,"1700～1800",IF(BA139&lt;=2000,"1900～2000","2100以上"))))))</f>
        <v>～1200</v>
      </c>
      <c r="BS139" s="8" t="str">
        <f aca="false">IF(A139="","",IF(AX139="G1","G1",IF(AX139="G2","G2",IF(AX139="G3","G3",IF(AX139="L","L","その他")))))</f>
        <v>その他</v>
      </c>
      <c r="BT139" s="8" t="str">
        <f aca="false">IF(A139="","",IF(BI139="","未結合",IF(D139=BI139,"一致","不一致")))</f>
        <v>一致</v>
      </c>
      <c r="BU139" s="8" t="str">
        <f aca="false">IF(A139="","",IF(BE139="牝馬限定","牝馬限定","その他"))</f>
        <v>その他</v>
      </c>
    </row>
    <row r="140" customFormat="false" ht="15.75" hidden="false" customHeight="false" outlineLevel="0" collapsed="false">
      <c r="A140" s="6" t="n">
        <v>46222</v>
      </c>
      <c r="B140" s="4" t="s">
        <v>1237</v>
      </c>
      <c r="C140" s="8" t="n">
        <v>7</v>
      </c>
      <c r="D140" s="8" t="n">
        <v>14</v>
      </c>
      <c r="E140" s="8" t="n">
        <v>6</v>
      </c>
      <c r="F140" s="4" t="s">
        <v>1798</v>
      </c>
      <c r="G140" s="8" t="n">
        <v>50</v>
      </c>
      <c r="H140" s="8" t="n">
        <v>14</v>
      </c>
      <c r="I140" s="4" t="s">
        <v>1806</v>
      </c>
      <c r="J140" s="8" t="n">
        <v>50</v>
      </c>
      <c r="K140" s="8" t="n">
        <v>4</v>
      </c>
      <c r="L140" s="4" t="s">
        <v>1796</v>
      </c>
      <c r="M140" s="8" t="n">
        <v>44</v>
      </c>
      <c r="N140" s="8" t="n">
        <f aca="false">IF(A140="","",G140-J140)</f>
        <v>0</v>
      </c>
      <c r="O140" s="8" t="n">
        <f aca="false">IF(A140="","",J140-M140)</f>
        <v>6</v>
      </c>
      <c r="P140" s="8" t="n">
        <f aca="false">IF(A140="","",G140+J140)</f>
        <v>100</v>
      </c>
      <c r="Q140" s="8" t="str">
        <f aca="false">IF(A140="","",IF(AND(Y140&lt;&gt;"参考",G140&gt;=ルール設定!$B$2),"○",""))</f>
        <v/>
      </c>
      <c r="R140" s="8" t="str">
        <f aca="false">IF(A140="","",IF(AND(Y140&lt;&gt;"参考",G140&gt;=ルール設定!$B$3,N140&gt;=ルール設定!$B$4),"○",""))</f>
        <v/>
      </c>
      <c r="S140" s="8" t="str">
        <f aca="false">IF(A140="","",IF(AND(Y140&lt;&gt;"参考",G140&gt;=ルール設定!$B$5,J140&gt;=ルール設定!$B$6,O140&gt;=ルール設定!$B$7),"○",""))</f>
        <v/>
      </c>
      <c r="T140" s="8" t="n">
        <v>2</v>
      </c>
      <c r="U140" s="8" t="n">
        <v>4</v>
      </c>
      <c r="V140" s="8" t="str">
        <f aca="false">IF(A140="","",IF(AND(ISNUMBER(T140),ISNUMBER(U140)),IF(AND(T140&lt;=3,U140&lt;=3),"○","×"),""))</f>
        <v>×</v>
      </c>
      <c r="W140" s="8" t="n">
        <v>140</v>
      </c>
      <c r="X140" s="8"/>
      <c r="Y140" s="4" t="s">
        <v>7597</v>
      </c>
      <c r="Z140" s="4" t="s">
        <v>7679</v>
      </c>
      <c r="AA140" s="8" t="str">
        <v/>
      </c>
      <c r="AB140" s="8" t="str">
        <v/>
      </c>
      <c r="AC140" s="8" t="str">
        <v/>
      </c>
      <c r="AD140" s="8" t="str">
        <v/>
      </c>
      <c r="AE140" s="8" t="str">
        <v/>
      </c>
      <c r="AF140" s="8" t="str">
        <v/>
      </c>
      <c r="AG140" s="8" t="str">
        <v/>
      </c>
      <c r="AH140" s="8" t="str">
        <v/>
      </c>
      <c r="AI140" s="8" t="n">
        <v>6</v>
      </c>
      <c r="AJ140" s="8" t="str">
        <v>～59</v>
      </c>
      <c r="AK140" s="8" t="str">
        <v>0～4</v>
      </c>
      <c r="AL140" s="8" t="str">
        <v>0～9</v>
      </c>
      <c r="AM140" s="8" t="str">
        <v>100～119</v>
      </c>
      <c r="AN140" s="8" t="str">
        <v>12～14</v>
      </c>
      <c r="AO140" s="8" t="str">
        <f aca="false">IF(A140="","",IF(COUNTIFS(全馬データ!$A$2:$A$50000,A140,全馬データ!$B$2:$B$50000,B140,全馬データ!$C$2:$C$50000,C140,全馬データ!$D$2:$D$50000,E140,全馬データ!$K$2:$K$50000,"&lt;&gt;")=0,"",SUMIFS(全馬データ!$K$2:$K$50000,全馬データ!$A$2:$A$50000,A140,全馬データ!$B$2:$B$50000,B140,全馬データ!$C$2:$C$50000,C140,全馬データ!$D$2:$D$50000,E140)))</f>
        <v/>
      </c>
      <c r="AP140" s="8" t="str">
        <f aca="false">IF(A140="","",IF(AO140="","欠損",IF(AO140&lt;=1.1,"1.0～1.1",IF(AO140&lt;1.3,"1.2",IF(AO140&lt;1.5,"1.3～1.4",IF(AO140&lt;2,"1.5～1.9","2.0以上"))))))</f>
        <v>欠損</v>
      </c>
      <c r="AQ140" s="8" t="str">
        <f aca="false">IF(A140="","",IF(ISNUMBER(SEARCH("2歳",Z140)),"2歳戦",IF(ISNUMBER(SEARCH("3歳未勝利",Z140)),"3歳未勝利",IF(ISNUMBER(SEARCH("未勝利",Z140)),"その他未勝利",IF(ISNUMBER(SEARCH("G1",Z140)),"G1",IF(ISNUMBER(SEARCH("G2",Z140)),"G2",IF(ISNUMBER(SEARCH("G3",Z140)),"G3",IF(ISNUMBER(SEARCH("古馬条件",Z140)),"古馬条件戦",IF(ISNUMBER(SEARCH("重賞",Z140)),"重賞","分類不能")))))))))</f>
        <v>分類不能</v>
      </c>
      <c r="AR140" s="8"/>
      <c r="AS140" s="8" t="s">
        <v>7626</v>
      </c>
      <c r="AT140" s="8" t="s">
        <v>7627</v>
      </c>
      <c r="AU140" s="8" t="s">
        <v>7628</v>
      </c>
      <c r="AV140" s="8" t="s">
        <v>7629</v>
      </c>
      <c r="AW140" s="8"/>
      <c r="AX140" s="8"/>
      <c r="AY140" s="8" t="s">
        <v>7610</v>
      </c>
      <c r="AZ140" s="4" t="s">
        <v>7617</v>
      </c>
      <c r="BA140" s="8" t="n">
        <v>1700</v>
      </c>
      <c r="BB140" s="8" t="s">
        <v>7669</v>
      </c>
      <c r="BC140" s="4" t="s">
        <v>7662</v>
      </c>
      <c r="BD140" s="8" t="s">
        <v>7621</v>
      </c>
      <c r="BE140" s="4" t="s">
        <v>7622</v>
      </c>
      <c r="BF140" s="8" t="s">
        <v>7602</v>
      </c>
      <c r="BG140" s="8" t="s">
        <v>7631</v>
      </c>
      <c r="BH140" s="4" t="s">
        <v>7632</v>
      </c>
      <c r="BI140" s="8" t="n">
        <v>14</v>
      </c>
      <c r="BJ140" s="8" t="s">
        <v>7602</v>
      </c>
      <c r="BK140" s="4" t="s">
        <v>7653</v>
      </c>
      <c r="BL140" s="8" t="s">
        <v>7602</v>
      </c>
      <c r="BM140" s="4" t="s">
        <v>7620</v>
      </c>
      <c r="BN140" s="8"/>
      <c r="BO140" s="8"/>
      <c r="BP140" s="8" t="s">
        <v>7608</v>
      </c>
      <c r="BQ140" s="8" t="str">
        <f aca="false">IF(A140="","",AT140)</f>
        <v>3歳以上</v>
      </c>
      <c r="BR140" s="8" t="str">
        <f aca="false">IF(A140="","",IF(BA140&lt;=1200,"～1200",IF(BA140&lt;=1500,"1300～1500",IF(BA140=1600,"1600",IF(BA140&lt;=1800,"1700～1800",IF(BA140&lt;=2000,"1900～2000","2100以上"))))))</f>
        <v>1700～1800</v>
      </c>
      <c r="BS140" s="8" t="str">
        <f aca="false">IF(A140="","",IF(AX140="G1","G1",IF(AX140="G2","G2",IF(AX140="G3","G3",IF(AX140="L","L","その他")))))</f>
        <v>その他</v>
      </c>
      <c r="BT140" s="8" t="str">
        <f aca="false">IF(A140="","",IF(BI140="","未結合",IF(D140=BI140,"一致","不一致")))</f>
        <v>一致</v>
      </c>
      <c r="BU140" s="8" t="str">
        <f aca="false">IF(A140="","",IF(BE140="牝馬限定","牝馬限定","その他"))</f>
        <v>牝馬限定</v>
      </c>
    </row>
    <row r="141" customFormat="false" ht="15.75" hidden="false" customHeight="false" outlineLevel="0" collapsed="false">
      <c r="A141" s="6" t="n">
        <v>46222</v>
      </c>
      <c r="B141" s="4" t="s">
        <v>1237</v>
      </c>
      <c r="C141" s="8" t="n">
        <v>8</v>
      </c>
      <c r="D141" s="8" t="n">
        <v>10</v>
      </c>
      <c r="E141" s="8" t="n">
        <v>4</v>
      </c>
      <c r="F141" s="4" t="s">
        <v>1810</v>
      </c>
      <c r="G141" s="8" t="n">
        <v>65</v>
      </c>
      <c r="H141" s="8" t="n">
        <v>6</v>
      </c>
      <c r="I141" s="4" t="s">
        <v>1812</v>
      </c>
      <c r="J141" s="8" t="n">
        <v>47</v>
      </c>
      <c r="K141" s="8" t="n">
        <v>8</v>
      </c>
      <c r="L141" s="4" t="s">
        <v>1814</v>
      </c>
      <c r="M141" s="8" t="n">
        <v>41</v>
      </c>
      <c r="N141" s="8" t="n">
        <f aca="false">IF(A141="","",G141-J141)</f>
        <v>18</v>
      </c>
      <c r="O141" s="8" t="n">
        <f aca="false">IF(A141="","",J141-M141)</f>
        <v>6</v>
      </c>
      <c r="P141" s="8" t="n">
        <f aca="false">IF(A141="","",G141+J141)</f>
        <v>112</v>
      </c>
      <c r="Q141" s="8" t="str">
        <f aca="false">IF(A141="","",IF(AND(Y141&lt;&gt;"参考",G141&gt;=ルール設定!$B$2),"○",""))</f>
        <v/>
      </c>
      <c r="R141" s="8" t="str">
        <f aca="false">IF(A141="","",IF(AND(Y141&lt;&gt;"参考",G141&gt;=ルール設定!$B$3,N141&gt;=ルール設定!$B$4),"○",""))</f>
        <v/>
      </c>
      <c r="S141" s="8" t="str">
        <f aca="false">IF(A141="","",IF(AND(Y141&lt;&gt;"参考",G141&gt;=ルール設定!$B$5,J141&gt;=ルール設定!$B$6,O141&gt;=ルール設定!$B$7),"○",""))</f>
        <v/>
      </c>
      <c r="T141" s="8" t="n">
        <v>2</v>
      </c>
      <c r="U141" s="8" t="n">
        <v>4</v>
      </c>
      <c r="V141" s="8" t="str">
        <f aca="false">IF(A141="","",IF(AND(ISNUMBER(T141),ISNUMBER(U141)),IF(AND(T141&lt;=3,U141&lt;=3),"○","×"),""))</f>
        <v>×</v>
      </c>
      <c r="W141" s="8" t="n">
        <v>190</v>
      </c>
      <c r="X141" s="8"/>
      <c r="Y141" s="4" t="s">
        <v>7597</v>
      </c>
      <c r="Z141" s="4" t="s">
        <v>7679</v>
      </c>
      <c r="AA141" s="8" t="str">
        <v/>
      </c>
      <c r="AB141" s="8" t="str">
        <v/>
      </c>
      <c r="AC141" s="8" t="str">
        <v/>
      </c>
      <c r="AD141" s="8" t="str">
        <v/>
      </c>
      <c r="AE141" s="8" t="str">
        <v/>
      </c>
      <c r="AF141" s="8" t="str">
        <v/>
      </c>
      <c r="AG141" s="8" t="str">
        <v/>
      </c>
      <c r="AH141" s="8" t="str">
        <v/>
      </c>
      <c r="AI141" s="8" t="n">
        <v>24</v>
      </c>
      <c r="AJ141" s="8" t="str">
        <v>60～69</v>
      </c>
      <c r="AK141" s="8" t="str">
        <v>10～19</v>
      </c>
      <c r="AL141" s="8" t="str">
        <v>20～29</v>
      </c>
      <c r="AM141" s="8" t="str">
        <v>100～119</v>
      </c>
      <c r="AN141" s="8" t="str">
        <v>8～11</v>
      </c>
      <c r="AO141" s="8" t="str">
        <f aca="false">IF(A141="","",IF(COUNTIFS(全馬データ!$A$2:$A$50000,A141,全馬データ!$B$2:$B$50000,B141,全馬データ!$C$2:$C$50000,C141,全馬データ!$D$2:$D$50000,E141,全馬データ!$K$2:$K$50000,"&lt;&gt;")=0,"",SUMIFS(全馬データ!$K$2:$K$50000,全馬データ!$A$2:$A$50000,A141,全馬データ!$B$2:$B$50000,B141,全馬データ!$C$2:$C$50000,C141,全馬データ!$D$2:$D$50000,E141)))</f>
        <v/>
      </c>
      <c r="AP141" s="8" t="str">
        <f aca="false">IF(A141="","",IF(AO141="","欠損",IF(AO141&lt;=1.1,"1.0～1.1",IF(AO141&lt;1.3,"1.2",IF(AO141&lt;1.5,"1.3～1.4",IF(AO141&lt;2,"1.5～1.9","2.0以上"))))))</f>
        <v>欠損</v>
      </c>
      <c r="AQ141" s="8" t="str">
        <f aca="false">IF(A141="","",IF(ISNUMBER(SEARCH("2歳",Z141)),"2歳戦",IF(ISNUMBER(SEARCH("3歳未勝利",Z141)),"3歳未勝利",IF(ISNUMBER(SEARCH("未勝利",Z141)),"その他未勝利",IF(ISNUMBER(SEARCH("G1",Z141)),"G1",IF(ISNUMBER(SEARCH("G2",Z141)),"G2",IF(ISNUMBER(SEARCH("G3",Z141)),"G3",IF(ISNUMBER(SEARCH("古馬条件",Z141)),"古馬条件戦",IF(ISNUMBER(SEARCH("重賞",Z141)),"重賞","分類不能")))))))))</f>
        <v>分類不能</v>
      </c>
      <c r="AR141" s="8"/>
      <c r="AS141" s="8" t="s">
        <v>7626</v>
      </c>
      <c r="AT141" s="8" t="s">
        <v>7627</v>
      </c>
      <c r="AU141" s="8" t="s">
        <v>7628</v>
      </c>
      <c r="AV141" s="8" t="s">
        <v>7629</v>
      </c>
      <c r="AW141" s="8"/>
      <c r="AX141" s="8"/>
      <c r="AY141" s="8" t="s">
        <v>7610</v>
      </c>
      <c r="AZ141" s="4" t="s">
        <v>7617</v>
      </c>
      <c r="BA141" s="8" t="n">
        <v>1000</v>
      </c>
      <c r="BB141" s="8" t="s">
        <v>7669</v>
      </c>
      <c r="BC141" s="4" t="s">
        <v>7662</v>
      </c>
      <c r="BD141" s="8" t="s">
        <v>7625</v>
      </c>
      <c r="BE141" s="4" t="s">
        <v>7606</v>
      </c>
      <c r="BF141" s="8" t="s">
        <v>7607</v>
      </c>
      <c r="BG141" s="8" t="s">
        <v>7631</v>
      </c>
      <c r="BH141" s="4" t="s">
        <v>7632</v>
      </c>
      <c r="BI141" s="8" t="n">
        <v>10</v>
      </c>
      <c r="BJ141" s="8" t="s">
        <v>7602</v>
      </c>
      <c r="BK141" s="4" t="s">
        <v>7653</v>
      </c>
      <c r="BL141" s="8" t="s">
        <v>7602</v>
      </c>
      <c r="BM141" s="4" t="s">
        <v>7620</v>
      </c>
      <c r="BN141" s="8"/>
      <c r="BO141" s="8"/>
      <c r="BP141" s="8" t="s">
        <v>7608</v>
      </c>
      <c r="BQ141" s="8" t="str">
        <f aca="false">IF(A141="","",AT141)</f>
        <v>3歳以上</v>
      </c>
      <c r="BR141" s="8" t="str">
        <f aca="false">IF(A141="","",IF(BA141&lt;=1200,"～1200",IF(BA141&lt;=1500,"1300～1500",IF(BA141=1600,"1600",IF(BA141&lt;=1800,"1700～1800",IF(BA141&lt;=2000,"1900～2000","2100以上"))))))</f>
        <v>～1200</v>
      </c>
      <c r="BS141" s="8" t="str">
        <f aca="false">IF(A141="","",IF(AX141="G1","G1",IF(AX141="G2","G2",IF(AX141="G3","G3",IF(AX141="L","L","その他")))))</f>
        <v>その他</v>
      </c>
      <c r="BT141" s="8" t="str">
        <f aca="false">IF(A141="","",IF(BI141="","未結合",IF(D141=BI141,"一致","不一致")))</f>
        <v>一致</v>
      </c>
      <c r="BU141" s="8" t="str">
        <f aca="false">IF(A141="","",IF(BE141="牝馬限定","牝馬限定","その他"))</f>
        <v>その他</v>
      </c>
    </row>
    <row r="142" customFormat="false" ht="15.75" hidden="false" customHeight="false" outlineLevel="0" collapsed="false">
      <c r="A142" s="6" t="n">
        <v>46222</v>
      </c>
      <c r="B142" s="4" t="s">
        <v>1237</v>
      </c>
      <c r="C142" s="8" t="n">
        <v>9</v>
      </c>
      <c r="D142" s="8" t="n">
        <v>13</v>
      </c>
      <c r="E142" s="8" t="n">
        <v>2</v>
      </c>
      <c r="F142" s="4" t="s">
        <v>1818</v>
      </c>
      <c r="G142" s="8" t="n">
        <v>62</v>
      </c>
      <c r="H142" s="8" t="n">
        <v>1</v>
      </c>
      <c r="I142" s="4" t="s">
        <v>1817</v>
      </c>
      <c r="J142" s="8" t="n">
        <v>50</v>
      </c>
      <c r="K142" s="8" t="n">
        <v>9</v>
      </c>
      <c r="L142" s="4" t="s">
        <v>1825</v>
      </c>
      <c r="M142" s="8" t="n">
        <v>50</v>
      </c>
      <c r="N142" s="8" t="n">
        <f aca="false">IF(A142="","",G142-J142)</f>
        <v>12</v>
      </c>
      <c r="O142" s="8" t="n">
        <f aca="false">IF(A142="","",J142-M142)</f>
        <v>0</v>
      </c>
      <c r="P142" s="8" t="n">
        <f aca="false">IF(A142="","",G142+J142)</f>
        <v>112</v>
      </c>
      <c r="Q142" s="8" t="str">
        <f aca="false">IF(A142="","",IF(AND(Y142&lt;&gt;"参考",G142&gt;=ルール設定!$B$2),"○",""))</f>
        <v/>
      </c>
      <c r="R142" s="8" t="str">
        <f aca="false">IF(A142="","",IF(AND(Y142&lt;&gt;"参考",G142&gt;=ルール設定!$B$3,N142&gt;=ルール設定!$B$4),"○",""))</f>
        <v/>
      </c>
      <c r="S142" s="8" t="str">
        <f aca="false">IF(A142="","",IF(AND(Y142&lt;&gt;"参考",G142&gt;=ルール設定!$B$5,J142&gt;=ルール設定!$B$6,O142&gt;=ルール設定!$B$7),"○",""))</f>
        <v/>
      </c>
      <c r="T142" s="8" t="n">
        <v>4</v>
      </c>
      <c r="U142" s="8" t="n">
        <v>4</v>
      </c>
      <c r="V142" s="8" t="str">
        <f aca="false">IF(A142="","",IF(AND(ISNUMBER(T142),ISNUMBER(U142)),IF(AND(T142&lt;=3,U142&lt;=3),"○","×"),""))</f>
        <v>×</v>
      </c>
      <c r="W142" s="8"/>
      <c r="X142" s="8"/>
      <c r="Y142" s="4" t="s">
        <v>7597</v>
      </c>
      <c r="Z142" s="4" t="s">
        <v>7679</v>
      </c>
      <c r="AA142" s="8" t="str">
        <v/>
      </c>
      <c r="AB142" s="8" t="str">
        <v/>
      </c>
      <c r="AC142" s="8" t="str">
        <v/>
      </c>
      <c r="AD142" s="8" t="str">
        <v/>
      </c>
      <c r="AE142" s="8" t="str">
        <v/>
      </c>
      <c r="AF142" s="8" t="str">
        <v/>
      </c>
      <c r="AG142" s="8" t="str">
        <v/>
      </c>
      <c r="AH142" s="8" t="str">
        <v/>
      </c>
      <c r="AI142" s="8" t="n">
        <v>12</v>
      </c>
      <c r="AJ142" s="8" t="str">
        <v>60～69</v>
      </c>
      <c r="AK142" s="8" t="str">
        <v>10～19</v>
      </c>
      <c r="AL142" s="8" t="str">
        <v>10～19</v>
      </c>
      <c r="AM142" s="8" t="str">
        <v>100～119</v>
      </c>
      <c r="AN142" s="8" t="str">
        <v>12～14</v>
      </c>
      <c r="AO142" s="8" t="str">
        <f aca="false">IF(A142="","",IF(COUNTIFS(全馬データ!$A$2:$A$50000,A142,全馬データ!$B$2:$B$50000,B142,全馬データ!$C$2:$C$50000,C142,全馬データ!$D$2:$D$50000,E142,全馬データ!$K$2:$K$50000,"&lt;&gt;")=0,"",SUMIFS(全馬データ!$K$2:$K$50000,全馬データ!$A$2:$A$50000,A142,全馬データ!$B$2:$B$50000,B142,全馬データ!$C$2:$C$50000,C142,全馬データ!$D$2:$D$50000,E142)))</f>
        <v/>
      </c>
      <c r="AP142" s="8" t="str">
        <f aca="false">IF(A142="","",IF(AO142="","欠損",IF(AO142&lt;=1.1,"1.0～1.1",IF(AO142&lt;1.3,"1.2",IF(AO142&lt;1.5,"1.3～1.4",IF(AO142&lt;2,"1.5～1.9","2.0以上"))))))</f>
        <v>欠損</v>
      </c>
      <c r="AQ142" s="8" t="str">
        <f aca="false">IF(A142="","",IF(ISNUMBER(SEARCH("2歳",Z142)),"2歳戦",IF(ISNUMBER(SEARCH("3歳未勝利",Z142)),"3歳未勝利",IF(ISNUMBER(SEARCH("未勝利",Z142)),"その他未勝利",IF(ISNUMBER(SEARCH("G1",Z142)),"G1",IF(ISNUMBER(SEARCH("G2",Z142)),"G2",IF(ISNUMBER(SEARCH("G3",Z142)),"G3",IF(ISNUMBER(SEARCH("古馬条件",Z142)),"古馬条件戦",IF(ISNUMBER(SEARCH("重賞",Z142)),"重賞","分類不能")))))))))</f>
        <v>分類不能</v>
      </c>
      <c r="AR142" s="4" t="s">
        <v>7702</v>
      </c>
      <c r="AS142" s="8" t="s">
        <v>7626</v>
      </c>
      <c r="AT142" s="8" t="s">
        <v>7627</v>
      </c>
      <c r="AU142" s="8" t="s">
        <v>7634</v>
      </c>
      <c r="AV142" s="8" t="s">
        <v>7635</v>
      </c>
      <c r="AW142" s="8" t="s">
        <v>7636</v>
      </c>
      <c r="AX142" s="4" t="s">
        <v>7637</v>
      </c>
      <c r="AY142" s="8" t="s">
        <v>7602</v>
      </c>
      <c r="AZ142" s="4" t="s">
        <v>7603</v>
      </c>
      <c r="BA142" s="8" t="n">
        <v>1800</v>
      </c>
      <c r="BB142" s="8" t="s">
        <v>7701</v>
      </c>
      <c r="BC142" s="4" t="s">
        <v>7658</v>
      </c>
      <c r="BD142" s="8" t="s">
        <v>7703</v>
      </c>
      <c r="BE142" s="4" t="s">
        <v>7622</v>
      </c>
      <c r="BF142" s="8" t="s">
        <v>7602</v>
      </c>
      <c r="BG142" s="8" t="s">
        <v>7631</v>
      </c>
      <c r="BH142" s="4" t="s">
        <v>7632</v>
      </c>
      <c r="BI142" s="8" t="n">
        <v>13</v>
      </c>
      <c r="BJ142" s="8" t="s">
        <v>7602</v>
      </c>
      <c r="BK142" s="4" t="s">
        <v>7653</v>
      </c>
      <c r="BL142" s="8" t="s">
        <v>7602</v>
      </c>
      <c r="BM142" s="4" t="s">
        <v>7620</v>
      </c>
      <c r="BN142" s="8" t="s">
        <v>7631</v>
      </c>
      <c r="BO142" s="8" t="s">
        <v>7680</v>
      </c>
      <c r="BP142" s="8" t="s">
        <v>7608</v>
      </c>
      <c r="BQ142" s="8" t="str">
        <f aca="false">IF(A142="","",AT142)</f>
        <v>3歳以上</v>
      </c>
      <c r="BR142" s="8" t="str">
        <f aca="false">IF(A142="","",IF(BA142&lt;=1200,"～1200",IF(BA142&lt;=1500,"1300～1500",IF(BA142=1600,"1600",IF(BA142&lt;=1800,"1700～1800",IF(BA142&lt;=2000,"1900～2000","2100以上"))))))</f>
        <v>1700～1800</v>
      </c>
      <c r="BS142" s="8" t="str">
        <f aca="false">IF(A142="","",IF(AX142="G1","G1",IF(AX142="G2","G2",IF(AX142="G3","G3",IF(AX142="L","L","その他")))))</f>
        <v>その他</v>
      </c>
      <c r="BT142" s="8" t="str">
        <f aca="false">IF(A142="","",IF(BI142="","未結合",IF(D142=BI142,"一致","不一致")))</f>
        <v>一致</v>
      </c>
      <c r="BU142" s="8" t="str">
        <f aca="false">IF(A142="","",IF(BE142="牝馬限定","牝馬限定","その他"))</f>
        <v>牝馬限定</v>
      </c>
    </row>
    <row r="143" customFormat="false" ht="15.75" hidden="false" customHeight="false" outlineLevel="0" collapsed="false">
      <c r="A143" s="6" t="n">
        <v>46222</v>
      </c>
      <c r="B143" s="4" t="s">
        <v>1237</v>
      </c>
      <c r="C143" s="8" t="n">
        <v>10</v>
      </c>
      <c r="D143" s="8" t="n">
        <v>14</v>
      </c>
      <c r="E143" s="8" t="n">
        <v>12</v>
      </c>
      <c r="F143" s="4" t="s">
        <v>1840</v>
      </c>
      <c r="G143" s="8" t="n">
        <v>56</v>
      </c>
      <c r="H143" s="8" t="n">
        <v>14</v>
      </c>
      <c r="I143" s="4" t="s">
        <v>1842</v>
      </c>
      <c r="J143" s="8" t="n">
        <v>52</v>
      </c>
      <c r="K143" s="8" t="n">
        <v>1</v>
      </c>
      <c r="L143" s="4" t="s">
        <v>1830</v>
      </c>
      <c r="M143" s="8" t="n">
        <v>41</v>
      </c>
      <c r="N143" s="8" t="n">
        <f aca="false">IF(A143="","",G143-J143)</f>
        <v>4</v>
      </c>
      <c r="O143" s="8" t="n">
        <f aca="false">IF(A143="","",J143-M143)</f>
        <v>11</v>
      </c>
      <c r="P143" s="8" t="n">
        <f aca="false">IF(A143="","",G143+J143)</f>
        <v>108</v>
      </c>
      <c r="Q143" s="8" t="str">
        <f aca="false">IF(A143="","",IF(AND(Y143&lt;&gt;"参考",G143&gt;=ルール設定!$B$2),"○",""))</f>
        <v/>
      </c>
      <c r="R143" s="8" t="str">
        <f aca="false">IF(A143="","",IF(AND(Y143&lt;&gt;"参考",G143&gt;=ルール設定!$B$3,N143&gt;=ルール設定!$B$4),"○",""))</f>
        <v/>
      </c>
      <c r="S143" s="8" t="str">
        <f aca="false">IF(A143="","",IF(AND(Y143&lt;&gt;"参考",G143&gt;=ルール設定!$B$5,J143&gt;=ルール設定!$B$6,O143&gt;=ルール設定!$B$7),"○",""))</f>
        <v/>
      </c>
      <c r="T143" s="8" t="n">
        <v>2</v>
      </c>
      <c r="U143" s="8" t="n">
        <v>3</v>
      </c>
      <c r="V143" s="8" t="str">
        <f aca="false">IF(A143="","",IF(AND(ISNUMBER(T143),ISNUMBER(U143)),IF(AND(T143&lt;=3,U143&lt;=3),"○","×"),""))</f>
        <v>○</v>
      </c>
      <c r="W143" s="8" t="n">
        <v>120</v>
      </c>
      <c r="X143" s="8" t="n">
        <v>380</v>
      </c>
      <c r="Y143" s="4" t="s">
        <v>7597</v>
      </c>
      <c r="Z143" s="4" t="s">
        <v>7679</v>
      </c>
      <c r="AA143" s="8" t="str">
        <v/>
      </c>
      <c r="AB143" s="8" t="str">
        <v/>
      </c>
      <c r="AC143" s="8" t="str">
        <v/>
      </c>
      <c r="AD143" s="8" t="str">
        <v/>
      </c>
      <c r="AE143" s="8" t="str">
        <v/>
      </c>
      <c r="AF143" s="8" t="str">
        <v/>
      </c>
      <c r="AG143" s="8" t="str">
        <v/>
      </c>
      <c r="AH143" s="8" t="str">
        <v/>
      </c>
      <c r="AI143" s="8" t="n">
        <v>15</v>
      </c>
      <c r="AJ143" s="8" t="str">
        <v>～59</v>
      </c>
      <c r="AK143" s="8" t="str">
        <v>0～4</v>
      </c>
      <c r="AL143" s="8" t="str">
        <v>10～19</v>
      </c>
      <c r="AM143" s="8" t="str">
        <v>100～119</v>
      </c>
      <c r="AN143" s="8" t="str">
        <v>12～14</v>
      </c>
      <c r="AO143" s="8" t="str">
        <f aca="false">IF(A143="","",IF(COUNTIFS(全馬データ!$A$2:$A$50000,A143,全馬データ!$B$2:$B$50000,B143,全馬データ!$C$2:$C$50000,C143,全馬データ!$D$2:$D$50000,E143,全馬データ!$K$2:$K$50000,"&lt;&gt;")=0,"",SUMIFS(全馬データ!$K$2:$K$50000,全馬データ!$A$2:$A$50000,A143,全馬データ!$B$2:$B$50000,B143,全馬データ!$C$2:$C$50000,C143,全馬データ!$D$2:$D$50000,E143)))</f>
        <v/>
      </c>
      <c r="AP143" s="8" t="str">
        <f aca="false">IF(A143="","",IF(AO143="","欠損",IF(AO143&lt;=1.1,"1.0～1.1",IF(AO143&lt;1.3,"1.2",IF(AO143&lt;1.5,"1.3～1.4",IF(AO143&lt;2,"1.5～1.9","2.0以上"))))))</f>
        <v>欠損</v>
      </c>
      <c r="AQ143" s="8" t="str">
        <f aca="false">IF(A143="","",IF(ISNUMBER(SEARCH("2歳",Z143)),"2歳戦",IF(ISNUMBER(SEARCH("3歳未勝利",Z143)),"3歳未勝利",IF(ISNUMBER(SEARCH("未勝利",Z143)),"その他未勝利",IF(ISNUMBER(SEARCH("G1",Z143)),"G1",IF(ISNUMBER(SEARCH("G2",Z143)),"G2",IF(ISNUMBER(SEARCH("G3",Z143)),"G3",IF(ISNUMBER(SEARCH("古馬条件",Z143)),"古馬条件戦",IF(ISNUMBER(SEARCH("重賞",Z143)),"重賞","分類不能")))))))))</f>
        <v>分類不能</v>
      </c>
      <c r="AR143" s="4" t="s">
        <v>7704</v>
      </c>
      <c r="AS143" s="8" t="s">
        <v>7626</v>
      </c>
      <c r="AT143" s="8" t="s">
        <v>7627</v>
      </c>
      <c r="AU143" s="8" t="s">
        <v>7634</v>
      </c>
      <c r="AV143" s="8" t="s">
        <v>7635</v>
      </c>
      <c r="AW143" s="8" t="s">
        <v>7636</v>
      </c>
      <c r="AX143" s="4" t="s">
        <v>7637</v>
      </c>
      <c r="AY143" s="8" t="s">
        <v>7610</v>
      </c>
      <c r="AZ143" s="4" t="s">
        <v>7617</v>
      </c>
      <c r="BA143" s="8" t="n">
        <v>1700</v>
      </c>
      <c r="BB143" s="8" t="s">
        <v>7669</v>
      </c>
      <c r="BC143" s="4" t="s">
        <v>7662</v>
      </c>
      <c r="BD143" s="8" t="s">
        <v>7605</v>
      </c>
      <c r="BE143" s="4" t="s">
        <v>7606</v>
      </c>
      <c r="BF143" s="8" t="s">
        <v>7607</v>
      </c>
      <c r="BG143" s="8" t="s">
        <v>7631</v>
      </c>
      <c r="BH143" s="4" t="s">
        <v>7632</v>
      </c>
      <c r="BI143" s="8" t="n">
        <v>14</v>
      </c>
      <c r="BJ143" s="8" t="s">
        <v>7602</v>
      </c>
      <c r="BK143" s="4" t="s">
        <v>7653</v>
      </c>
      <c r="BL143" s="8" t="s">
        <v>7602</v>
      </c>
      <c r="BM143" s="4" t="s">
        <v>7620</v>
      </c>
      <c r="BN143" s="8"/>
      <c r="BO143" s="8"/>
      <c r="BP143" s="8" t="s">
        <v>7608</v>
      </c>
      <c r="BQ143" s="8" t="str">
        <f aca="false">IF(A143="","",AT143)</f>
        <v>3歳以上</v>
      </c>
      <c r="BR143" s="8" t="str">
        <f aca="false">IF(A143="","",IF(BA143&lt;=1200,"～1200",IF(BA143&lt;=1500,"1300～1500",IF(BA143=1600,"1600",IF(BA143&lt;=1800,"1700～1800",IF(BA143&lt;=2000,"1900～2000","2100以上"))))))</f>
        <v>1700～1800</v>
      </c>
      <c r="BS143" s="8" t="str">
        <f aca="false">IF(A143="","",IF(AX143="G1","G1",IF(AX143="G2","G2",IF(AX143="G3","G3",IF(AX143="L","L","その他")))))</f>
        <v>その他</v>
      </c>
      <c r="BT143" s="8" t="str">
        <f aca="false">IF(A143="","",IF(BI143="","未結合",IF(D143=BI143,"一致","不一致")))</f>
        <v>一致</v>
      </c>
      <c r="BU143" s="8" t="str">
        <f aca="false">IF(A143="","",IF(BE143="牝馬限定","牝馬限定","その他"))</f>
        <v>その他</v>
      </c>
    </row>
    <row r="144" customFormat="false" ht="15.75" hidden="false" customHeight="false" outlineLevel="0" collapsed="false">
      <c r="A144" s="6" t="n">
        <v>46222</v>
      </c>
      <c r="B144" s="4" t="s">
        <v>1237</v>
      </c>
      <c r="C144" s="8" t="n">
        <v>11</v>
      </c>
      <c r="D144" s="8" t="n">
        <v>13</v>
      </c>
      <c r="E144" s="8" t="n">
        <v>13</v>
      </c>
      <c r="F144" s="4" t="s">
        <v>1855</v>
      </c>
      <c r="G144" s="8" t="n">
        <v>58</v>
      </c>
      <c r="H144" s="8" t="n">
        <v>10</v>
      </c>
      <c r="I144" s="4" t="s">
        <v>1852</v>
      </c>
      <c r="J144" s="8" t="n">
        <v>41</v>
      </c>
      <c r="K144" s="8" t="n">
        <v>11</v>
      </c>
      <c r="L144" s="4" t="s">
        <v>1853</v>
      </c>
      <c r="M144" s="8" t="n">
        <v>37</v>
      </c>
      <c r="N144" s="8" t="n">
        <f aca="false">IF(A144="","",G144-J144)</f>
        <v>17</v>
      </c>
      <c r="O144" s="8" t="n">
        <f aca="false">IF(A144="","",J144-M144)</f>
        <v>4</v>
      </c>
      <c r="P144" s="8" t="n">
        <f aca="false">IF(A144="","",G144+J144)</f>
        <v>99</v>
      </c>
      <c r="Q144" s="8" t="str">
        <f aca="false">IF(A144="","",IF(AND(Y144&lt;&gt;"参考",G144&gt;=ルール設定!$B$2),"○",""))</f>
        <v/>
      </c>
      <c r="R144" s="8" t="str">
        <f aca="false">IF(A144="","",IF(AND(Y144&lt;&gt;"参考",G144&gt;=ルール設定!$B$3,N144&gt;=ルール設定!$B$4),"○",""))</f>
        <v/>
      </c>
      <c r="S144" s="8" t="str">
        <f aca="false">IF(A144="","",IF(AND(Y144&lt;&gt;"参考",G144&gt;=ルール設定!$B$5,J144&gt;=ルール設定!$B$6,O144&gt;=ルール設定!$B$7),"○",""))</f>
        <v/>
      </c>
      <c r="T144" s="8" t="n">
        <v>4</v>
      </c>
      <c r="U144" s="8" t="n">
        <v>4</v>
      </c>
      <c r="V144" s="8" t="str">
        <f aca="false">IF(A144="","",IF(AND(ISNUMBER(T144),ISNUMBER(U144)),IF(AND(T144&lt;=3,U144&lt;=3),"○","×"),""))</f>
        <v>×</v>
      </c>
      <c r="W144" s="8"/>
      <c r="X144" s="8"/>
      <c r="Y144" s="4" t="s">
        <v>7597</v>
      </c>
      <c r="Z144" s="4" t="s">
        <v>7679</v>
      </c>
      <c r="AA144" s="8" t="str">
        <v/>
      </c>
      <c r="AB144" s="8" t="str">
        <v/>
      </c>
      <c r="AC144" s="8" t="str">
        <v/>
      </c>
      <c r="AD144" s="8" t="str">
        <v/>
      </c>
      <c r="AE144" s="8" t="str">
        <v/>
      </c>
      <c r="AF144" s="8" t="str">
        <v/>
      </c>
      <c r="AG144" s="8" t="str">
        <v/>
      </c>
      <c r="AH144" s="8" t="str">
        <v/>
      </c>
      <c r="AI144" s="8" t="n">
        <v>21</v>
      </c>
      <c r="AJ144" s="8" t="str">
        <v>～59</v>
      </c>
      <c r="AK144" s="8" t="str">
        <v>10～19</v>
      </c>
      <c r="AL144" s="8" t="str">
        <v>20～29</v>
      </c>
      <c r="AM144" s="8" t="str">
        <v>～99</v>
      </c>
      <c r="AN144" s="8" t="str">
        <v>12～14</v>
      </c>
      <c r="AO144" s="8" t="str">
        <f aca="false">IF(A144="","",IF(COUNTIFS(全馬データ!$A$2:$A$50000,A144,全馬データ!$B$2:$B$50000,B144,全馬データ!$C$2:$C$50000,C144,全馬データ!$D$2:$D$50000,E144,全馬データ!$K$2:$K$50000,"&lt;&gt;")=0,"",SUMIFS(全馬データ!$K$2:$K$50000,全馬データ!$A$2:$A$50000,A144,全馬データ!$B$2:$B$50000,B144,全馬データ!$C$2:$C$50000,C144,全馬データ!$D$2:$D$50000,E144)))</f>
        <v/>
      </c>
      <c r="AP144" s="8" t="str">
        <f aca="false">IF(A144="","",IF(AO144="","欠損",IF(AO144&lt;=1.1,"1.0～1.1",IF(AO144&lt;1.3,"1.2",IF(AO144&lt;1.5,"1.3～1.4",IF(AO144&lt;2,"1.5～1.9","2.0以上"))))))</f>
        <v>欠損</v>
      </c>
      <c r="AQ144" s="8" t="str">
        <f aca="false">IF(A144="","",IF(ISNUMBER(SEARCH("2歳",Z144)),"2歳戦",IF(ISNUMBER(SEARCH("3歳未勝利",Z144)),"3歳未勝利",IF(ISNUMBER(SEARCH("未勝利",Z144)),"その他未勝利",IF(ISNUMBER(SEARCH("G1",Z144)),"G1",IF(ISNUMBER(SEARCH("G2",Z144)),"G2",IF(ISNUMBER(SEARCH("G3",Z144)),"G3",IF(ISNUMBER(SEARCH("古馬条件",Z144)),"古馬条件戦",IF(ISNUMBER(SEARCH("重賞",Z144)),"重賞","分類不能")))))))))</f>
        <v>分類不能</v>
      </c>
      <c r="AR144" s="4" t="s">
        <v>7705</v>
      </c>
      <c r="AS144" s="8" t="s">
        <v>7598</v>
      </c>
      <c r="AT144" s="8" t="s">
        <v>7599</v>
      </c>
      <c r="AU144" s="8" t="s">
        <v>7643</v>
      </c>
      <c r="AV144" s="4" t="s">
        <v>7644</v>
      </c>
      <c r="AW144" s="8" t="s">
        <v>7608</v>
      </c>
      <c r="AX144" s="8" t="s">
        <v>7664</v>
      </c>
      <c r="AY144" s="8" t="s">
        <v>7602</v>
      </c>
      <c r="AZ144" s="4" t="s">
        <v>7603</v>
      </c>
      <c r="BA144" s="8" t="n">
        <v>1200</v>
      </c>
      <c r="BB144" s="8" t="s">
        <v>7701</v>
      </c>
      <c r="BC144" s="4" t="s">
        <v>7658</v>
      </c>
      <c r="BD144" s="8" t="s">
        <v>7666</v>
      </c>
      <c r="BE144" s="4" t="s">
        <v>7606</v>
      </c>
      <c r="BF144" s="8" t="s">
        <v>7607</v>
      </c>
      <c r="BG144" s="8" t="s">
        <v>7608</v>
      </c>
      <c r="BH144" s="4" t="s">
        <v>7609</v>
      </c>
      <c r="BI144" s="8" t="n">
        <v>13</v>
      </c>
      <c r="BJ144" s="8" t="s">
        <v>7602</v>
      </c>
      <c r="BK144" s="4" t="s">
        <v>7653</v>
      </c>
      <c r="BL144" s="8" t="s">
        <v>7602</v>
      </c>
      <c r="BM144" s="4" t="s">
        <v>7620</v>
      </c>
      <c r="BN144" s="8" t="s">
        <v>7631</v>
      </c>
      <c r="BO144" s="8" t="s">
        <v>7680</v>
      </c>
      <c r="BP144" s="8" t="s">
        <v>7608</v>
      </c>
      <c r="BQ144" s="8" t="str">
        <f aca="false">IF(A144="","",AT144)</f>
        <v>2歳</v>
      </c>
      <c r="BR144" s="8" t="str">
        <f aca="false">IF(A144="","",IF(BA144&lt;=1200,"～1200",IF(BA144&lt;=1500,"1300～1500",IF(BA144=1600,"1600",IF(BA144&lt;=1800,"1700～1800",IF(BA144&lt;=2000,"1900～2000","2100以上"))))))</f>
        <v>～1200</v>
      </c>
      <c r="BS144" s="8" t="str">
        <f aca="false">IF(A144="","",IF(AX144="G1","G1",IF(AX144="G2","G2",IF(AX144="G3","G3",IF(AX144="L","L","その他")))))</f>
        <v>G3</v>
      </c>
      <c r="BT144" s="8" t="str">
        <f aca="false">IF(A144="","",IF(BI144="","未結合",IF(D144=BI144,"一致","不一致")))</f>
        <v>一致</v>
      </c>
      <c r="BU144" s="8" t="str">
        <f aca="false">IF(A144="","",IF(BE144="牝馬限定","牝馬限定","その他"))</f>
        <v>その他</v>
      </c>
    </row>
    <row r="145" customFormat="false" ht="15.75" hidden="false" customHeight="false" outlineLevel="0" collapsed="false">
      <c r="A145" s="6" t="n">
        <v>46222</v>
      </c>
      <c r="B145" s="4" t="s">
        <v>1237</v>
      </c>
      <c r="C145" s="8" t="n">
        <v>12</v>
      </c>
      <c r="D145" s="8" t="n">
        <v>14</v>
      </c>
      <c r="E145" s="8" t="n">
        <v>3</v>
      </c>
      <c r="F145" s="4" t="s">
        <v>1858</v>
      </c>
      <c r="G145" s="8" t="n">
        <v>50</v>
      </c>
      <c r="H145" s="8" t="n">
        <v>1</v>
      </c>
      <c r="I145" s="4" t="s">
        <v>1856</v>
      </c>
      <c r="J145" s="8" t="n">
        <v>44</v>
      </c>
      <c r="K145" s="8" t="n">
        <v>4</v>
      </c>
      <c r="L145" s="4" t="s">
        <v>1859</v>
      </c>
      <c r="M145" s="8" t="n">
        <v>39</v>
      </c>
      <c r="N145" s="8" t="n">
        <f aca="false">IF(A145="","",G145-J145)</f>
        <v>6</v>
      </c>
      <c r="O145" s="8" t="n">
        <f aca="false">IF(A145="","",J145-M145)</f>
        <v>5</v>
      </c>
      <c r="P145" s="8" t="n">
        <f aca="false">IF(A145="","",G145+J145)</f>
        <v>94</v>
      </c>
      <c r="Q145" s="8" t="str">
        <f aca="false">IF(A145="","",IF(AND(Y145&lt;&gt;"参考",G145&gt;=ルール設定!$B$2),"○",""))</f>
        <v/>
      </c>
      <c r="R145" s="8" t="str">
        <f aca="false">IF(A145="","",IF(AND(Y145&lt;&gt;"参考",G145&gt;=ルール設定!$B$3,N145&gt;=ルール設定!$B$4),"○",""))</f>
        <v/>
      </c>
      <c r="S145" s="8" t="str">
        <f aca="false">IF(A145="","",IF(AND(Y145&lt;&gt;"参考",G145&gt;=ルール設定!$B$5,J145&gt;=ルール設定!$B$6,O145&gt;=ルール設定!$B$7),"○",""))</f>
        <v/>
      </c>
      <c r="T145" s="8" t="n">
        <v>3</v>
      </c>
      <c r="U145" s="8" t="n">
        <v>2</v>
      </c>
      <c r="V145" s="8" t="str">
        <f aca="false">IF(A145="","",IF(AND(ISNUMBER(T145),ISNUMBER(U145)),IF(AND(T145&lt;=3,U145&lt;=3),"○","×"),""))</f>
        <v>○</v>
      </c>
      <c r="W145" s="8" t="n">
        <v>180</v>
      </c>
      <c r="X145" s="8" t="n">
        <v>670</v>
      </c>
      <c r="Y145" s="4" t="s">
        <v>7597</v>
      </c>
      <c r="Z145" s="4" t="s">
        <v>7679</v>
      </c>
      <c r="AA145" s="8" t="str">
        <v/>
      </c>
      <c r="AB145" s="8" t="str">
        <v/>
      </c>
      <c r="AC145" s="8" t="str">
        <v/>
      </c>
      <c r="AD145" s="8" t="str">
        <v/>
      </c>
      <c r="AE145" s="8" t="str">
        <v/>
      </c>
      <c r="AF145" s="8" t="str">
        <v/>
      </c>
      <c r="AG145" s="8" t="str">
        <v/>
      </c>
      <c r="AH145" s="8" t="str">
        <v/>
      </c>
      <c r="AI145" s="8" t="n">
        <v>11</v>
      </c>
      <c r="AJ145" s="8" t="str">
        <v>～59</v>
      </c>
      <c r="AK145" s="8" t="str">
        <v>5～9</v>
      </c>
      <c r="AL145" s="8" t="str">
        <v>10～19</v>
      </c>
      <c r="AM145" s="8" t="str">
        <v>～99</v>
      </c>
      <c r="AN145" s="8" t="str">
        <v>12～14</v>
      </c>
      <c r="AO145" s="8" t="str">
        <f aca="false">IF(A145="","",IF(COUNTIFS(全馬データ!$A$2:$A$50000,A145,全馬データ!$B$2:$B$50000,B145,全馬データ!$C$2:$C$50000,C145,全馬データ!$D$2:$D$50000,E145,全馬データ!$K$2:$K$50000,"&lt;&gt;")=0,"",SUMIFS(全馬データ!$K$2:$K$50000,全馬データ!$A$2:$A$50000,A145,全馬データ!$B$2:$B$50000,B145,全馬データ!$C$2:$C$50000,C145,全馬データ!$D$2:$D$50000,E145)))</f>
        <v/>
      </c>
      <c r="AP145" s="8" t="str">
        <f aca="false">IF(A145="","",IF(AO145="","欠損",IF(AO145&lt;=1.1,"1.0～1.1",IF(AO145&lt;1.3,"1.2",IF(AO145&lt;1.5,"1.3～1.4",IF(AO145&lt;2,"1.5～1.9","2.0以上"))))))</f>
        <v>欠損</v>
      </c>
      <c r="AQ145" s="8" t="str">
        <f aca="false">IF(A145="","",IF(ISNUMBER(SEARCH("2歳",Z145)),"2歳戦",IF(ISNUMBER(SEARCH("3歳未勝利",Z145)),"3歳未勝利",IF(ISNUMBER(SEARCH("未勝利",Z145)),"その他未勝利",IF(ISNUMBER(SEARCH("G1",Z145)),"G1",IF(ISNUMBER(SEARCH("G2",Z145)),"G2",IF(ISNUMBER(SEARCH("G3",Z145)),"G3",IF(ISNUMBER(SEARCH("古馬条件",Z145)),"古馬条件戦",IF(ISNUMBER(SEARCH("重賞",Z145)),"重賞","分類不能")))))))))</f>
        <v>分類不能</v>
      </c>
      <c r="AR145" s="8"/>
      <c r="AS145" s="8" t="s">
        <v>7626</v>
      </c>
      <c r="AT145" s="8" t="s">
        <v>7627</v>
      </c>
      <c r="AU145" s="8" t="s">
        <v>7628</v>
      </c>
      <c r="AV145" s="8" t="s">
        <v>7629</v>
      </c>
      <c r="AW145" s="8"/>
      <c r="AX145" s="8"/>
      <c r="AY145" s="8" t="s">
        <v>7602</v>
      </c>
      <c r="AZ145" s="4" t="s">
        <v>7603</v>
      </c>
      <c r="BA145" s="8" t="n">
        <v>1200</v>
      </c>
      <c r="BB145" s="8" t="s">
        <v>7701</v>
      </c>
      <c r="BC145" s="4" t="s">
        <v>7658</v>
      </c>
      <c r="BD145" s="8" t="s">
        <v>7630</v>
      </c>
      <c r="BE145" s="4" t="s">
        <v>7606</v>
      </c>
      <c r="BF145" s="8" t="s">
        <v>7607</v>
      </c>
      <c r="BG145" s="8" t="s">
        <v>7631</v>
      </c>
      <c r="BH145" s="4" t="s">
        <v>7632</v>
      </c>
      <c r="BI145" s="8" t="n">
        <v>14</v>
      </c>
      <c r="BJ145" s="8" t="s">
        <v>7602</v>
      </c>
      <c r="BK145" s="4" t="s">
        <v>7653</v>
      </c>
      <c r="BL145" s="8" t="s">
        <v>7602</v>
      </c>
      <c r="BM145" s="4" t="s">
        <v>7620</v>
      </c>
      <c r="BN145" s="8" t="s">
        <v>7631</v>
      </c>
      <c r="BO145" s="8" t="s">
        <v>7680</v>
      </c>
      <c r="BP145" s="8" t="s">
        <v>7608</v>
      </c>
      <c r="BQ145" s="8" t="str">
        <f aca="false">IF(A145="","",AT145)</f>
        <v>3歳以上</v>
      </c>
      <c r="BR145" s="8" t="str">
        <f aca="false">IF(A145="","",IF(BA145&lt;=1200,"～1200",IF(BA145&lt;=1500,"1300～1500",IF(BA145=1600,"1600",IF(BA145&lt;=1800,"1700～1800",IF(BA145&lt;=2000,"1900～2000","2100以上"))))))</f>
        <v>～1200</v>
      </c>
      <c r="BS145" s="8" t="str">
        <f aca="false">IF(A145="","",IF(AX145="G1","G1",IF(AX145="G2","G2",IF(AX145="G3","G3",IF(AX145="L","L","その他")))))</f>
        <v>その他</v>
      </c>
      <c r="BT145" s="8" t="str">
        <f aca="false">IF(A145="","",IF(BI145="","未結合",IF(D145=BI145,"一致","不一致")))</f>
        <v>一致</v>
      </c>
      <c r="BU145" s="8" t="str">
        <f aca="false">IF(A145="","",IF(BE145="牝馬限定","牝馬限定","その他"))</f>
        <v>その他</v>
      </c>
    </row>
    <row r="146" customFormat="false" ht="15.75" hidden="false" customHeight="false" outlineLevel="0" collapsed="false">
      <c r="A146" s="6" t="n">
        <v>46214</v>
      </c>
      <c r="B146" s="4" t="s">
        <v>915</v>
      </c>
      <c r="C146" s="8" t="n">
        <v>1</v>
      </c>
      <c r="D146" s="8" t="n">
        <v>11</v>
      </c>
      <c r="E146" s="8" t="n">
        <v>3</v>
      </c>
      <c r="F146" s="4" t="s">
        <v>1873</v>
      </c>
      <c r="G146" s="8" t="n">
        <v>55</v>
      </c>
      <c r="H146" s="8" t="n">
        <v>7</v>
      </c>
      <c r="I146" s="4" t="s">
        <v>1877</v>
      </c>
      <c r="J146" s="8" t="n">
        <v>44</v>
      </c>
      <c r="K146" s="8" t="n">
        <v>8</v>
      </c>
      <c r="L146" s="4" t="s">
        <v>1878</v>
      </c>
      <c r="M146" s="8" t="n">
        <v>31</v>
      </c>
      <c r="N146" s="8" t="n">
        <v>11</v>
      </c>
      <c r="O146" s="8" t="n">
        <v>13</v>
      </c>
      <c r="P146" s="8" t="n">
        <v>99</v>
      </c>
      <c r="Q146" s="8" t="str">
        <f aca="false">IF(A146="","",IF(AND(Y146&lt;&gt;"参考",G146&gt;=ルール設定!$B$2),"○",""))</f>
        <v/>
      </c>
      <c r="R146" s="8" t="str">
        <f aca="false">IF(A146="","",IF(AND(Y146&lt;&gt;"参考",G146&gt;=ルール設定!$B$3,N146&gt;=ルール設定!$B$4),"○",""))</f>
        <v/>
      </c>
      <c r="S146" s="8" t="str">
        <f aca="false">IF(A146="","",IF(AND(Y146&lt;&gt;"参考",G146&gt;=ルール設定!$B$5,J146&gt;=ルール設定!$B$6,O146&gt;=ルール設定!$B$7),"○",""))</f>
        <v/>
      </c>
      <c r="T146" s="8" t="n">
        <v>2</v>
      </c>
      <c r="U146" s="8" t="n">
        <v>4</v>
      </c>
      <c r="V146" s="8" t="str">
        <f aca="false">IF(A146="","",IF(AND(ISNUMBER(T146),ISNUMBER(U146)),IF(AND(T146&lt;=3,U146&lt;=3),"○","×"),""))</f>
        <v>×</v>
      </c>
      <c r="W146" s="8" t="n">
        <v>120</v>
      </c>
      <c r="X146" s="8"/>
      <c r="Y146" s="4" t="s">
        <v>7597</v>
      </c>
      <c r="Z146" s="4" t="s">
        <v>7706</v>
      </c>
      <c r="AA146" s="8" t="str">
        <v/>
      </c>
      <c r="AB146" s="8" t="str">
        <v/>
      </c>
      <c r="AC146" s="8" t="str">
        <v/>
      </c>
      <c r="AD146" s="8" t="str">
        <v/>
      </c>
      <c r="AE146" s="8" t="str">
        <v/>
      </c>
      <c r="AF146" s="8" t="str">
        <v/>
      </c>
      <c r="AG146" s="8" t="str">
        <v/>
      </c>
      <c r="AH146" s="8" t="str">
        <v/>
      </c>
      <c r="AI146" s="8" t="n">
        <v>24</v>
      </c>
      <c r="AJ146" s="8" t="str">
        <v>～59</v>
      </c>
      <c r="AK146" s="8" t="str">
        <v>10～19</v>
      </c>
      <c r="AL146" s="8" t="str">
        <v>20～29</v>
      </c>
      <c r="AM146" s="8" t="str">
        <v>～99</v>
      </c>
      <c r="AN146" s="8" t="str">
        <v>8～11</v>
      </c>
      <c r="AO146" s="8" t="str">
        <f aca="false">IF(A146="","",IF(COUNTIFS(全馬データ!$A$2:$A$50000,A146,全馬データ!$B$2:$B$50000,B146,全馬データ!$C$2:$C$50000,C146,全馬データ!$D$2:$D$50000,E146,全馬データ!$K$2:$K$50000,"&lt;&gt;")=0,"",SUMIFS(全馬データ!$K$2:$K$50000,全馬データ!$A$2:$A$50000,A146,全馬データ!$B$2:$B$50000,B146,全馬データ!$C$2:$C$50000,C146,全馬データ!$D$2:$D$50000,E146)))</f>
        <v/>
      </c>
      <c r="AP146" s="8" t="str">
        <f aca="false">IF(A146="","",IF(AO146="","欠損",IF(AO146&lt;=1.1,"1.0～1.1",IF(AO146&lt;1.3,"1.2",IF(AO146&lt;1.5,"1.3～1.4",IF(AO146&lt;2,"1.5～1.9","2.0以上"))))))</f>
        <v>欠損</v>
      </c>
      <c r="AQ146" s="8" t="str">
        <f aca="false">IF(A146="","",IF(ISNUMBER(SEARCH("2歳",Z146)),"2歳戦",IF(ISNUMBER(SEARCH("3歳未勝利",Z146)),"3歳未勝利",IF(ISNUMBER(SEARCH("未勝利",Z146)),"その他未勝利",IF(ISNUMBER(SEARCH("G1",Z146)),"G1",IF(ISNUMBER(SEARCH("G2",Z146)),"G2",IF(ISNUMBER(SEARCH("G3",Z146)),"G3",IF(ISNUMBER(SEARCH("古馬条件",Z146)),"古馬条件戦",IF(ISNUMBER(SEARCH("重賞",Z146)),"重賞","分類不能")))))))))</f>
        <v>分類不能</v>
      </c>
      <c r="AR146" s="8"/>
      <c r="AS146" s="8" t="s">
        <v>7618</v>
      </c>
      <c r="AT146" s="4" t="s">
        <v>7642</v>
      </c>
      <c r="AU146" s="8" t="s">
        <v>7643</v>
      </c>
      <c r="AV146" s="4" t="s">
        <v>7644</v>
      </c>
      <c r="AW146" s="8"/>
      <c r="AX146" s="8"/>
      <c r="AY146" s="8" t="s">
        <v>7608</v>
      </c>
      <c r="AZ146" s="4" t="s">
        <v>7642</v>
      </c>
      <c r="BA146" s="8" t="n">
        <v>3380</v>
      </c>
      <c r="BB146" s="8" t="s">
        <v>7634</v>
      </c>
      <c r="BC146" s="4" t="s">
        <v>7604</v>
      </c>
      <c r="BD146" s="8" t="s">
        <v>7645</v>
      </c>
      <c r="BE146" s="4" t="s">
        <v>7606</v>
      </c>
      <c r="BF146" s="8" t="s">
        <v>7607</v>
      </c>
      <c r="BG146" s="8" t="s">
        <v>7610</v>
      </c>
      <c r="BH146" s="4" t="s">
        <v>7646</v>
      </c>
      <c r="BI146" s="8" t="n">
        <v>11</v>
      </c>
      <c r="BJ146" s="8" t="s">
        <v>7647</v>
      </c>
      <c r="BK146" s="4" t="s">
        <v>7648</v>
      </c>
      <c r="BL146" s="8" t="s">
        <v>7647</v>
      </c>
      <c r="BM146" s="4" t="s">
        <v>7648</v>
      </c>
      <c r="BN146" s="8"/>
      <c r="BO146" s="8"/>
      <c r="BP146" s="8" t="s">
        <v>7602</v>
      </c>
      <c r="BQ146" s="8" t="str">
        <f aca="false">IF(A146="","",AT146)</f>
        <v>障害</v>
      </c>
      <c r="BR146" s="8" t="str">
        <f aca="false">IF(A146="","",IF(BA146&lt;=1200,"～1200",IF(BA146&lt;=1500,"1300～1500",IF(BA146=1600,"1600",IF(BA146&lt;=1800,"1700～1800",IF(BA146&lt;=2000,"1900～2000","2100以上"))))))</f>
        <v>2100以上</v>
      </c>
      <c r="BS146" s="8" t="str">
        <f aca="false">IF(A146="","",IF(AX146="G1","G1",IF(AX146="G2","G2",IF(AX146="G3","G3",IF(AX146="L","L","その他")))))</f>
        <v>その他</v>
      </c>
      <c r="BT146" s="8" t="str">
        <f aca="false">IF(A146="","",IF(BI146="","未結合",IF(D146=BI146,"一致","不一致")))</f>
        <v>一致</v>
      </c>
      <c r="BU146" s="8" t="str">
        <f aca="false">IF(A146="","",IF(BE146="牝馬限定","牝馬限定","その他"))</f>
        <v>その他</v>
      </c>
    </row>
    <row r="147" customFormat="false" ht="15.75" hidden="false" customHeight="false" outlineLevel="0" collapsed="false">
      <c r="A147" s="6" t="n">
        <v>46214</v>
      </c>
      <c r="B147" s="4" t="s">
        <v>915</v>
      </c>
      <c r="C147" s="8" t="n">
        <v>2</v>
      </c>
      <c r="D147" s="8" t="n">
        <v>15</v>
      </c>
      <c r="E147" s="8" t="n">
        <v>5</v>
      </c>
      <c r="F147" s="4" t="s">
        <v>1884</v>
      </c>
      <c r="G147" s="8" t="n">
        <v>66</v>
      </c>
      <c r="H147" s="8" t="n">
        <v>1</v>
      </c>
      <c r="I147" s="4" t="s">
        <v>1881</v>
      </c>
      <c r="J147" s="8" t="n">
        <v>47</v>
      </c>
      <c r="K147" s="8" t="n">
        <v>6</v>
      </c>
      <c r="L147" s="4" t="s">
        <v>1885</v>
      </c>
      <c r="M147" s="8" t="n">
        <v>44</v>
      </c>
      <c r="N147" s="8" t="n">
        <v>19</v>
      </c>
      <c r="O147" s="8" t="n">
        <v>3</v>
      </c>
      <c r="P147" s="8" t="n">
        <v>113</v>
      </c>
      <c r="Q147" s="8" t="str">
        <f aca="false">IF(A147="","",IF(AND(Y147&lt;&gt;"参考",G147&gt;=ルール設定!$B$2),"○",""))</f>
        <v/>
      </c>
      <c r="R147" s="8" t="str">
        <f aca="false">IF(A147="","",IF(AND(Y147&lt;&gt;"参考",G147&gt;=ルール設定!$B$3,N147&gt;=ルール設定!$B$4),"○",""))</f>
        <v/>
      </c>
      <c r="S147" s="8" t="str">
        <f aca="false">IF(A147="","",IF(AND(Y147&lt;&gt;"参考",G147&gt;=ルール設定!$B$5,J147&gt;=ルール設定!$B$6,O147&gt;=ルール設定!$B$7),"○",""))</f>
        <v/>
      </c>
      <c r="T147" s="8" t="n">
        <v>3</v>
      </c>
      <c r="U147" s="8" t="n">
        <v>4</v>
      </c>
      <c r="V147" s="8" t="str">
        <f aca="false">IF(A147="","",IF(AND(ISNUMBER(T147),ISNUMBER(U147)),IF(AND(T147&lt;=3,U147&lt;=3),"○","×"),""))</f>
        <v>×</v>
      </c>
      <c r="W147" s="8" t="n">
        <v>140</v>
      </c>
      <c r="X147" s="8"/>
      <c r="Y147" s="4" t="s">
        <v>7597</v>
      </c>
      <c r="Z147" s="4" t="s">
        <v>7706</v>
      </c>
      <c r="AA147" s="8" t="str">
        <v/>
      </c>
      <c r="AB147" s="8" t="str">
        <v/>
      </c>
      <c r="AC147" s="8" t="str">
        <v/>
      </c>
      <c r="AD147" s="8" t="str">
        <v/>
      </c>
      <c r="AE147" s="8" t="str">
        <v/>
      </c>
      <c r="AF147" s="8" t="str">
        <v/>
      </c>
      <c r="AG147" s="8" t="str">
        <v/>
      </c>
      <c r="AH147" s="8" t="str">
        <v/>
      </c>
      <c r="AI147" s="8" t="n">
        <v>22</v>
      </c>
      <c r="AJ147" s="8" t="str">
        <v>60～69</v>
      </c>
      <c r="AK147" s="8" t="str">
        <v>10～19</v>
      </c>
      <c r="AL147" s="8" t="str">
        <v>20～29</v>
      </c>
      <c r="AM147" s="8" t="str">
        <v>100～119</v>
      </c>
      <c r="AN147" s="8" t="str">
        <v>15以上</v>
      </c>
      <c r="AO147" s="8" t="str">
        <f aca="false">IF(A147="","",IF(COUNTIFS(全馬データ!$A$2:$A$50000,A147,全馬データ!$B$2:$B$50000,B147,全馬データ!$C$2:$C$50000,C147,全馬データ!$D$2:$D$50000,E147,全馬データ!$K$2:$K$50000,"&lt;&gt;")=0,"",SUMIFS(全馬データ!$K$2:$K$50000,全馬データ!$A$2:$A$50000,A147,全馬データ!$B$2:$B$50000,B147,全馬データ!$C$2:$C$50000,C147,全馬データ!$D$2:$D$50000,E147)))</f>
        <v/>
      </c>
      <c r="AP147" s="8" t="str">
        <f aca="false">IF(A147="","",IF(AO147="","欠損",IF(AO147&lt;=1.1,"1.0～1.1",IF(AO147&lt;1.3,"1.2",IF(AO147&lt;1.5,"1.3～1.4",IF(AO147&lt;2,"1.5～1.9","2.0以上"))))))</f>
        <v>欠損</v>
      </c>
      <c r="AQ147" s="8" t="str">
        <f aca="false">IF(A147="","",IF(ISNUMBER(SEARCH("2歳",Z147)),"2歳戦",IF(ISNUMBER(SEARCH("3歳未勝利",Z147)),"3歳未勝利",IF(ISNUMBER(SEARCH("未勝利",Z147)),"その他未勝利",IF(ISNUMBER(SEARCH("G1",Z147)),"G1",IF(ISNUMBER(SEARCH("G2",Z147)),"G2",IF(ISNUMBER(SEARCH("G3",Z147)),"G3",IF(ISNUMBER(SEARCH("古馬条件",Z147)),"古馬条件戦",IF(ISNUMBER(SEARCH("重賞",Z147)),"重賞","分類不能")))))))))</f>
        <v>分類不能</v>
      </c>
      <c r="AR147" s="8"/>
      <c r="AS147" s="8" t="s">
        <v>7623</v>
      </c>
      <c r="AT147" s="8" t="s">
        <v>7624</v>
      </c>
      <c r="AU147" s="8" t="s">
        <v>7600</v>
      </c>
      <c r="AV147" s="4" t="s">
        <v>7601</v>
      </c>
      <c r="AW147" s="8"/>
      <c r="AX147" s="8"/>
      <c r="AY147" s="8" t="s">
        <v>7610</v>
      </c>
      <c r="AZ147" s="4" t="s">
        <v>7617</v>
      </c>
      <c r="BA147" s="8" t="n">
        <v>1700</v>
      </c>
      <c r="BB147" s="8" t="s">
        <v>7598</v>
      </c>
      <c r="BC147" s="4" t="s">
        <v>7604</v>
      </c>
      <c r="BD147" s="8" t="s">
        <v>7621</v>
      </c>
      <c r="BE147" s="4" t="s">
        <v>7622</v>
      </c>
      <c r="BF147" s="8" t="s">
        <v>7602</v>
      </c>
      <c r="BG147" s="8" t="s">
        <v>7608</v>
      </c>
      <c r="BH147" s="4" t="s">
        <v>7609</v>
      </c>
      <c r="BI147" s="8" t="n">
        <v>15</v>
      </c>
      <c r="BJ147" s="8" t="s">
        <v>7602</v>
      </c>
      <c r="BK147" s="4" t="s">
        <v>7653</v>
      </c>
      <c r="BL147" s="8" t="s">
        <v>7602</v>
      </c>
      <c r="BM147" s="4" t="s">
        <v>7620</v>
      </c>
      <c r="BN147" s="8"/>
      <c r="BO147" s="8"/>
      <c r="BP147" s="8" t="s">
        <v>7602</v>
      </c>
      <c r="BQ147" s="8" t="str">
        <f aca="false">IF(A147="","",AT147)</f>
        <v>3歳</v>
      </c>
      <c r="BR147" s="8" t="str">
        <f aca="false">IF(A147="","",IF(BA147&lt;=1200,"～1200",IF(BA147&lt;=1500,"1300～1500",IF(BA147=1600,"1600",IF(BA147&lt;=1800,"1700～1800",IF(BA147&lt;=2000,"1900～2000","2100以上"))))))</f>
        <v>1700～1800</v>
      </c>
      <c r="BS147" s="8" t="str">
        <f aca="false">IF(A147="","",IF(AX147="G1","G1",IF(AX147="G2","G2",IF(AX147="G3","G3",IF(AX147="L","L","その他")))))</f>
        <v>その他</v>
      </c>
      <c r="BT147" s="8" t="str">
        <f aca="false">IF(A147="","",IF(BI147="","未結合",IF(D147=BI147,"一致","不一致")))</f>
        <v>一致</v>
      </c>
      <c r="BU147" s="8" t="str">
        <f aca="false">IF(A147="","",IF(BE147="牝馬限定","牝馬限定","その他"))</f>
        <v>牝馬限定</v>
      </c>
    </row>
    <row r="148" customFormat="false" ht="15.75" hidden="false" customHeight="false" outlineLevel="0" collapsed="false">
      <c r="A148" s="6" t="n">
        <v>46214</v>
      </c>
      <c r="B148" s="4" t="s">
        <v>915</v>
      </c>
      <c r="C148" s="8" t="n">
        <v>3</v>
      </c>
      <c r="D148" s="8" t="n">
        <v>14</v>
      </c>
      <c r="E148" s="8" t="n">
        <v>2</v>
      </c>
      <c r="F148" s="4" t="s">
        <v>1895</v>
      </c>
      <c r="G148" s="8" t="n">
        <v>50</v>
      </c>
      <c r="H148" s="8" t="n">
        <v>1</v>
      </c>
      <c r="I148" s="4" t="s">
        <v>1894</v>
      </c>
      <c r="J148" s="8" t="n">
        <v>47</v>
      </c>
      <c r="K148" s="8" t="n">
        <v>9</v>
      </c>
      <c r="L148" s="4" t="s">
        <v>1902</v>
      </c>
      <c r="M148" s="8" t="n">
        <v>41</v>
      </c>
      <c r="N148" s="8" t="n">
        <v>3</v>
      </c>
      <c r="O148" s="8" t="n">
        <v>6</v>
      </c>
      <c r="P148" s="8" t="n">
        <v>97</v>
      </c>
      <c r="Q148" s="8" t="str">
        <f aca="false">IF(A148="","",IF(AND(Y148&lt;&gt;"参考",G148&gt;=ルール設定!$B$2),"○",""))</f>
        <v/>
      </c>
      <c r="R148" s="8" t="str">
        <f aca="false">IF(A148="","",IF(AND(Y148&lt;&gt;"参考",G148&gt;=ルール設定!$B$3,N148&gt;=ルール設定!$B$4),"○",""))</f>
        <v/>
      </c>
      <c r="S148" s="8" t="str">
        <f aca="false">IF(A148="","",IF(AND(Y148&lt;&gt;"参考",G148&gt;=ルール設定!$B$5,J148&gt;=ルール設定!$B$6,O148&gt;=ルール設定!$B$7),"○",""))</f>
        <v/>
      </c>
      <c r="T148" s="8" t="n">
        <v>4</v>
      </c>
      <c r="U148" s="8" t="n">
        <v>1</v>
      </c>
      <c r="V148" s="8" t="str">
        <f aca="false">IF(A148="","",IF(AND(ISNUMBER(T148),ISNUMBER(U148)),IF(AND(T148&lt;=3,U148&lt;=3),"○","×"),""))</f>
        <v>×</v>
      </c>
      <c r="W148" s="8"/>
      <c r="X148" s="8"/>
      <c r="Y148" s="4" t="s">
        <v>7597</v>
      </c>
      <c r="Z148" s="4" t="s">
        <v>7706</v>
      </c>
      <c r="AA148" s="8" t="str">
        <v/>
      </c>
      <c r="AB148" s="8" t="str">
        <v/>
      </c>
      <c r="AC148" s="8" t="str">
        <v/>
      </c>
      <c r="AD148" s="8" t="str">
        <v/>
      </c>
      <c r="AE148" s="8" t="str">
        <v/>
      </c>
      <c r="AF148" s="8" t="str">
        <v/>
      </c>
      <c r="AG148" s="8" t="str">
        <v/>
      </c>
      <c r="AH148" s="8" t="str">
        <v/>
      </c>
      <c r="AI148" s="8" t="n">
        <v>9</v>
      </c>
      <c r="AJ148" s="8" t="str">
        <v>～59</v>
      </c>
      <c r="AK148" s="8" t="str">
        <v>0～4</v>
      </c>
      <c r="AL148" s="8" t="str">
        <v>0～9</v>
      </c>
      <c r="AM148" s="8" t="str">
        <v>～99</v>
      </c>
      <c r="AN148" s="8" t="str">
        <v>12～14</v>
      </c>
      <c r="AO148" s="8" t="str">
        <f aca="false">IF(A148="","",IF(COUNTIFS(全馬データ!$A$2:$A$50000,A148,全馬データ!$B$2:$B$50000,B148,全馬データ!$C$2:$C$50000,C148,全馬データ!$D$2:$D$50000,E148,全馬データ!$K$2:$K$50000,"&lt;&gt;")=0,"",SUMIFS(全馬データ!$K$2:$K$50000,全馬データ!$A$2:$A$50000,A148,全馬データ!$B$2:$B$50000,B148,全馬データ!$C$2:$C$50000,C148,全馬データ!$D$2:$D$50000,E148)))</f>
        <v/>
      </c>
      <c r="AP148" s="8" t="str">
        <f aca="false">IF(A148="","",IF(AO148="","欠損",IF(AO148&lt;=1.1,"1.0～1.1",IF(AO148&lt;1.3,"1.2",IF(AO148&lt;1.5,"1.3～1.4",IF(AO148&lt;2,"1.5～1.9","2.0以上"))))))</f>
        <v>欠損</v>
      </c>
      <c r="AQ148" s="8" t="str">
        <f aca="false">IF(A148="","",IF(ISNUMBER(SEARCH("2歳",Z148)),"2歳戦",IF(ISNUMBER(SEARCH("3歳未勝利",Z148)),"3歳未勝利",IF(ISNUMBER(SEARCH("未勝利",Z148)),"その他未勝利",IF(ISNUMBER(SEARCH("G1",Z148)),"G1",IF(ISNUMBER(SEARCH("G2",Z148)),"G2",IF(ISNUMBER(SEARCH("G3",Z148)),"G3",IF(ISNUMBER(SEARCH("古馬条件",Z148)),"古馬条件戦",IF(ISNUMBER(SEARCH("重賞",Z148)),"重賞","分類不能")))))))))</f>
        <v>分類不能</v>
      </c>
      <c r="AR148" s="8"/>
      <c r="AS148" s="8" t="s">
        <v>7598</v>
      </c>
      <c r="AT148" s="8" t="s">
        <v>7599</v>
      </c>
      <c r="AU148" s="8" t="s">
        <v>7600</v>
      </c>
      <c r="AV148" s="4" t="s">
        <v>7601</v>
      </c>
      <c r="AW148" s="8"/>
      <c r="AX148" s="8"/>
      <c r="AY148" s="8" t="s">
        <v>7602</v>
      </c>
      <c r="AZ148" s="4" t="s">
        <v>7603</v>
      </c>
      <c r="BA148" s="8" t="n">
        <v>1800</v>
      </c>
      <c r="BB148" s="8" t="s">
        <v>7598</v>
      </c>
      <c r="BC148" s="4" t="s">
        <v>7604</v>
      </c>
      <c r="BD148" s="8" t="s">
        <v>7605</v>
      </c>
      <c r="BE148" s="4" t="s">
        <v>7606</v>
      </c>
      <c r="BF148" s="8" t="s">
        <v>7607</v>
      </c>
      <c r="BG148" s="8" t="s">
        <v>7608</v>
      </c>
      <c r="BH148" s="4" t="s">
        <v>7609</v>
      </c>
      <c r="BI148" s="8" t="n">
        <v>14</v>
      </c>
      <c r="BJ148" s="8" t="s">
        <v>7602</v>
      </c>
      <c r="BK148" s="4" t="s">
        <v>7653</v>
      </c>
      <c r="BL148" s="8" t="s">
        <v>7602</v>
      </c>
      <c r="BM148" s="4" t="s">
        <v>7620</v>
      </c>
      <c r="BN148" s="8" t="s">
        <v>7631</v>
      </c>
      <c r="BO148" s="8" t="s">
        <v>7680</v>
      </c>
      <c r="BP148" s="8" t="s">
        <v>7602</v>
      </c>
      <c r="BQ148" s="8" t="str">
        <f aca="false">IF(A148="","",AT148)</f>
        <v>2歳</v>
      </c>
      <c r="BR148" s="8" t="str">
        <f aca="false">IF(A148="","",IF(BA148&lt;=1200,"～1200",IF(BA148&lt;=1500,"1300～1500",IF(BA148=1600,"1600",IF(BA148&lt;=1800,"1700～1800",IF(BA148&lt;=2000,"1900～2000","2100以上"))))))</f>
        <v>1700～1800</v>
      </c>
      <c r="BS148" s="8" t="str">
        <f aca="false">IF(A148="","",IF(AX148="G1","G1",IF(AX148="G2","G2",IF(AX148="G3","G3",IF(AX148="L","L","その他")))))</f>
        <v>その他</v>
      </c>
      <c r="BT148" s="8" t="str">
        <f aca="false">IF(A148="","",IF(BI148="","未結合",IF(D148=BI148,"一致","不一致")))</f>
        <v>一致</v>
      </c>
      <c r="BU148" s="8" t="str">
        <f aca="false">IF(A148="","",IF(BE148="牝馬限定","牝馬限定","その他"))</f>
        <v>その他</v>
      </c>
    </row>
    <row r="149" customFormat="false" ht="15.75" hidden="false" customHeight="false" outlineLevel="0" collapsed="false">
      <c r="A149" s="6" t="n">
        <v>46214</v>
      </c>
      <c r="B149" s="4" t="s">
        <v>915</v>
      </c>
      <c r="C149" s="8" t="n">
        <v>4</v>
      </c>
      <c r="D149" s="8" t="n">
        <v>15</v>
      </c>
      <c r="E149" s="8" t="n">
        <v>13</v>
      </c>
      <c r="F149" s="4" t="s">
        <v>1919</v>
      </c>
      <c r="G149" s="8" t="n">
        <v>58</v>
      </c>
      <c r="H149" s="8" t="n">
        <v>14</v>
      </c>
      <c r="I149" s="4" t="s">
        <v>1920</v>
      </c>
      <c r="J149" s="8" t="n">
        <v>47</v>
      </c>
      <c r="K149" s="8" t="n">
        <v>5</v>
      </c>
      <c r="L149" s="4" t="s">
        <v>1911</v>
      </c>
      <c r="M149" s="8" t="n">
        <v>44</v>
      </c>
      <c r="N149" s="8" t="n">
        <v>11</v>
      </c>
      <c r="O149" s="8" t="n">
        <v>3</v>
      </c>
      <c r="P149" s="8" t="n">
        <v>105</v>
      </c>
      <c r="Q149" s="8" t="str">
        <f aca="false">IF(A149="","",IF(AND(Y149&lt;&gt;"参考",G149&gt;=ルール設定!$B$2),"○",""))</f>
        <v/>
      </c>
      <c r="R149" s="8" t="str">
        <f aca="false">IF(A149="","",IF(AND(Y149&lt;&gt;"参考",G149&gt;=ルール設定!$B$3,N149&gt;=ルール設定!$B$4),"○",""))</f>
        <v/>
      </c>
      <c r="S149" s="8" t="str">
        <f aca="false">IF(A149="","",IF(AND(Y149&lt;&gt;"参考",G149&gt;=ルール設定!$B$5,J149&gt;=ルール設定!$B$6,O149&gt;=ルール設定!$B$7),"○",""))</f>
        <v/>
      </c>
      <c r="T149" s="8" t="n">
        <v>1</v>
      </c>
      <c r="U149" s="8" t="n">
        <v>4</v>
      </c>
      <c r="V149" s="8" t="str">
        <f aca="false">IF(A149="","",IF(AND(ISNUMBER(T149),ISNUMBER(U149)),IF(AND(T149&lt;=3,U149&lt;=3),"○","×"),""))</f>
        <v>×</v>
      </c>
      <c r="W149" s="8" t="n">
        <v>150</v>
      </c>
      <c r="X149" s="8"/>
      <c r="Y149" s="4" t="s">
        <v>7597</v>
      </c>
      <c r="Z149" s="4" t="s">
        <v>7706</v>
      </c>
      <c r="AA149" s="8" t="str">
        <v/>
      </c>
      <c r="AB149" s="8" t="str">
        <v/>
      </c>
      <c r="AC149" s="8" t="str">
        <v/>
      </c>
      <c r="AD149" s="8" t="str">
        <v/>
      </c>
      <c r="AE149" s="8" t="str">
        <v/>
      </c>
      <c r="AF149" s="8" t="str">
        <v/>
      </c>
      <c r="AG149" s="8" t="str">
        <v/>
      </c>
      <c r="AH149" s="8" t="str">
        <v/>
      </c>
      <c r="AI149" s="8" t="n">
        <v>14</v>
      </c>
      <c r="AJ149" s="8" t="str">
        <v>～59</v>
      </c>
      <c r="AK149" s="8" t="str">
        <v>10～19</v>
      </c>
      <c r="AL149" s="8" t="str">
        <v>10～19</v>
      </c>
      <c r="AM149" s="8" t="str">
        <v>100～119</v>
      </c>
      <c r="AN149" s="8" t="str">
        <v>15以上</v>
      </c>
      <c r="AO149" s="8" t="str">
        <f aca="false">IF(A149="","",IF(COUNTIFS(全馬データ!$A$2:$A$50000,A149,全馬データ!$B$2:$B$50000,B149,全馬データ!$C$2:$C$50000,C149,全馬データ!$D$2:$D$50000,E149,全馬データ!$K$2:$K$50000,"&lt;&gt;")=0,"",SUMIFS(全馬データ!$K$2:$K$50000,全馬データ!$A$2:$A$50000,A149,全馬データ!$B$2:$B$50000,B149,全馬データ!$C$2:$C$50000,C149,全馬データ!$D$2:$D$50000,E149)))</f>
        <v/>
      </c>
      <c r="AP149" s="8" t="str">
        <f aca="false">IF(A149="","",IF(AO149="","欠損",IF(AO149&lt;=1.1,"1.0～1.1",IF(AO149&lt;1.3,"1.2",IF(AO149&lt;1.5,"1.3～1.4",IF(AO149&lt;2,"1.5～1.9","2.0以上"))))))</f>
        <v>欠損</v>
      </c>
      <c r="AQ149" s="8" t="str">
        <f aca="false">IF(A149="","",IF(ISNUMBER(SEARCH("2歳",Z149)),"2歳戦",IF(ISNUMBER(SEARCH("3歳未勝利",Z149)),"3歳未勝利",IF(ISNUMBER(SEARCH("未勝利",Z149)),"その他未勝利",IF(ISNUMBER(SEARCH("G1",Z149)),"G1",IF(ISNUMBER(SEARCH("G2",Z149)),"G2",IF(ISNUMBER(SEARCH("G3",Z149)),"G3",IF(ISNUMBER(SEARCH("古馬条件",Z149)),"古馬条件戦",IF(ISNUMBER(SEARCH("重賞",Z149)),"重賞","分類不能")))))))))</f>
        <v>分類不能</v>
      </c>
      <c r="AR149" s="8"/>
      <c r="AS149" s="8" t="s">
        <v>7623</v>
      </c>
      <c r="AT149" s="8" t="s">
        <v>7624</v>
      </c>
      <c r="AU149" s="8" t="s">
        <v>7600</v>
      </c>
      <c r="AV149" s="4" t="s">
        <v>7601</v>
      </c>
      <c r="AW149" s="8"/>
      <c r="AX149" s="8"/>
      <c r="AY149" s="8" t="s">
        <v>7610</v>
      </c>
      <c r="AZ149" s="4" t="s">
        <v>7617</v>
      </c>
      <c r="BA149" s="8" t="n">
        <v>1700</v>
      </c>
      <c r="BB149" s="8" t="s">
        <v>7598</v>
      </c>
      <c r="BC149" s="4" t="s">
        <v>7604</v>
      </c>
      <c r="BD149" s="8" t="s">
        <v>7625</v>
      </c>
      <c r="BE149" s="4" t="s">
        <v>7606</v>
      </c>
      <c r="BF149" s="8" t="s">
        <v>7607</v>
      </c>
      <c r="BG149" s="8" t="s">
        <v>7608</v>
      </c>
      <c r="BH149" s="4" t="s">
        <v>7609</v>
      </c>
      <c r="BI149" s="8" t="n">
        <v>15</v>
      </c>
      <c r="BJ149" s="8" t="s">
        <v>7602</v>
      </c>
      <c r="BK149" s="4" t="s">
        <v>7653</v>
      </c>
      <c r="BL149" s="8" t="s">
        <v>7602</v>
      </c>
      <c r="BM149" s="4" t="s">
        <v>7620</v>
      </c>
      <c r="BN149" s="8"/>
      <c r="BO149" s="8"/>
      <c r="BP149" s="8" t="s">
        <v>7602</v>
      </c>
      <c r="BQ149" s="8" t="str">
        <f aca="false">IF(A149="","",AT149)</f>
        <v>3歳</v>
      </c>
      <c r="BR149" s="8" t="str">
        <f aca="false">IF(A149="","",IF(BA149&lt;=1200,"～1200",IF(BA149&lt;=1500,"1300～1500",IF(BA149=1600,"1600",IF(BA149&lt;=1800,"1700～1800",IF(BA149&lt;=2000,"1900～2000","2100以上"))))))</f>
        <v>1700～1800</v>
      </c>
      <c r="BS149" s="8" t="str">
        <f aca="false">IF(A149="","",IF(AX149="G1","G1",IF(AX149="G2","G2",IF(AX149="G3","G3",IF(AX149="L","L","その他")))))</f>
        <v>その他</v>
      </c>
      <c r="BT149" s="8" t="str">
        <f aca="false">IF(A149="","",IF(BI149="","未結合",IF(D149=BI149,"一致","不一致")))</f>
        <v>一致</v>
      </c>
      <c r="BU149" s="8" t="str">
        <f aca="false">IF(A149="","",IF(BE149="牝馬限定","牝馬限定","その他"))</f>
        <v>その他</v>
      </c>
    </row>
    <row r="150" customFormat="false" ht="15.75" hidden="false" customHeight="false" outlineLevel="0" collapsed="false">
      <c r="A150" s="6" t="n">
        <v>46214</v>
      </c>
      <c r="B150" s="4" t="s">
        <v>915</v>
      </c>
      <c r="C150" s="8" t="n">
        <v>5</v>
      </c>
      <c r="D150" s="8" t="n">
        <v>11</v>
      </c>
      <c r="E150" s="8" t="n">
        <v>1</v>
      </c>
      <c r="F150" s="4" t="s">
        <v>1922</v>
      </c>
      <c r="G150" s="8" t="n">
        <v>37</v>
      </c>
      <c r="H150" s="8" t="n">
        <v>10</v>
      </c>
      <c r="I150" s="4" t="s">
        <v>1930</v>
      </c>
      <c r="J150" s="8" t="n">
        <v>31</v>
      </c>
      <c r="K150" s="8" t="n">
        <v>2</v>
      </c>
      <c r="L150" s="4" t="s">
        <v>1923</v>
      </c>
      <c r="M150" s="8" t="n">
        <v>24</v>
      </c>
      <c r="N150" s="8" t="n">
        <v>6</v>
      </c>
      <c r="O150" s="8" t="n">
        <v>7</v>
      </c>
      <c r="P150" s="8" t="n">
        <v>68</v>
      </c>
      <c r="Q150" s="8" t="str">
        <f aca="false">IF(A150="","",IF(AND(Y150&lt;&gt;"参考",G150&gt;=ルール設定!$B$2),"○",""))</f>
        <v/>
      </c>
      <c r="R150" s="8" t="str">
        <f aca="false">IF(A150="","",IF(AND(Y150&lt;&gt;"参考",G150&gt;=ルール設定!$B$3,N150&gt;=ルール設定!$B$4),"○",""))</f>
        <v/>
      </c>
      <c r="S150" s="8" t="str">
        <f aca="false">IF(A150="","",IF(AND(Y150&lt;&gt;"参考",G150&gt;=ルール設定!$B$5,J150&gt;=ルール設定!$B$6,O150&gt;=ルール設定!$B$7),"○",""))</f>
        <v/>
      </c>
      <c r="T150" s="8" t="n">
        <v>1</v>
      </c>
      <c r="U150" s="8" t="n">
        <v>2</v>
      </c>
      <c r="V150" s="8" t="str">
        <f aca="false">IF(A150="","",IF(AND(ISNUMBER(T150),ISNUMBER(U150)),IF(AND(T150&lt;=3,U150&lt;=3),"○","×"),""))</f>
        <v>○</v>
      </c>
      <c r="W150" s="8" t="n">
        <v>110</v>
      </c>
      <c r="X150" s="8" t="n">
        <v>210</v>
      </c>
      <c r="Y150" s="4" t="s">
        <v>7597</v>
      </c>
      <c r="Z150" s="4" t="s">
        <v>7706</v>
      </c>
      <c r="AA150" s="8" t="str">
        <v/>
      </c>
      <c r="AB150" s="8" t="str">
        <v/>
      </c>
      <c r="AC150" s="8" t="str">
        <v/>
      </c>
      <c r="AD150" s="8" t="str">
        <v/>
      </c>
      <c r="AE150" s="8" t="str">
        <v/>
      </c>
      <c r="AF150" s="8" t="str">
        <v/>
      </c>
      <c r="AG150" s="8" t="str">
        <v/>
      </c>
      <c r="AH150" s="8" t="str">
        <v/>
      </c>
      <c r="AI150" s="8" t="n">
        <v>13</v>
      </c>
      <c r="AJ150" s="8" t="str">
        <v>～59</v>
      </c>
      <c r="AK150" s="8" t="str">
        <v>5～9</v>
      </c>
      <c r="AL150" s="8" t="str">
        <v>10～19</v>
      </c>
      <c r="AM150" s="8" t="str">
        <v>～99</v>
      </c>
      <c r="AN150" s="8" t="str">
        <v>8～11</v>
      </c>
      <c r="AO150" s="8" t="str">
        <f aca="false">IF(A150="","",IF(COUNTIFS(全馬データ!$A$2:$A$50000,A150,全馬データ!$B$2:$B$50000,B150,全馬データ!$C$2:$C$50000,C150,全馬データ!$D$2:$D$50000,E150,全馬データ!$K$2:$K$50000,"&lt;&gt;")=0,"",SUMIFS(全馬データ!$K$2:$K$50000,全馬データ!$A$2:$A$50000,A150,全馬データ!$B$2:$B$50000,B150,全馬データ!$C$2:$C$50000,C150,全馬データ!$D$2:$D$50000,E150)))</f>
        <v/>
      </c>
      <c r="AP150" s="8" t="str">
        <f aca="false">IF(A150="","",IF(AO150="","欠損",IF(AO150&lt;=1.1,"1.0～1.1",IF(AO150&lt;1.3,"1.2",IF(AO150&lt;1.5,"1.3～1.4",IF(AO150&lt;2,"1.5～1.9","2.0以上"))))))</f>
        <v>欠損</v>
      </c>
      <c r="AQ150" s="8" t="str">
        <f aca="false">IF(A150="","",IF(ISNUMBER(SEARCH("2歳",Z150)),"2歳戦",IF(ISNUMBER(SEARCH("3歳未勝利",Z150)),"3歳未勝利",IF(ISNUMBER(SEARCH("未勝利",Z150)),"その他未勝利",IF(ISNUMBER(SEARCH("G1",Z150)),"G1",IF(ISNUMBER(SEARCH("G2",Z150)),"G2",IF(ISNUMBER(SEARCH("G3",Z150)),"G3",IF(ISNUMBER(SEARCH("古馬条件",Z150)),"古馬条件戦",IF(ISNUMBER(SEARCH("重賞",Z150)),"重賞","分類不能")))))))))</f>
        <v>分類不能</v>
      </c>
      <c r="AR150" s="8"/>
      <c r="AS150" s="8" t="s">
        <v>7598</v>
      </c>
      <c r="AT150" s="8" t="s">
        <v>7599</v>
      </c>
      <c r="AU150" s="8" t="s">
        <v>7615</v>
      </c>
      <c r="AV150" s="4" t="s">
        <v>7616</v>
      </c>
      <c r="AW150" s="8"/>
      <c r="AX150" s="8"/>
      <c r="AY150" s="8" t="s">
        <v>7602</v>
      </c>
      <c r="AZ150" s="4" t="s">
        <v>7603</v>
      </c>
      <c r="BA150" s="8" t="n">
        <v>1200</v>
      </c>
      <c r="BB150" s="8" t="s">
        <v>7598</v>
      </c>
      <c r="BC150" s="4" t="s">
        <v>7604</v>
      </c>
      <c r="BD150" s="8" t="s">
        <v>7625</v>
      </c>
      <c r="BE150" s="4" t="s">
        <v>7606</v>
      </c>
      <c r="BF150" s="8" t="s">
        <v>7607</v>
      </c>
      <c r="BG150" s="8" t="s">
        <v>7608</v>
      </c>
      <c r="BH150" s="4" t="s">
        <v>7609</v>
      </c>
      <c r="BI150" s="8" t="n">
        <v>11</v>
      </c>
      <c r="BJ150" s="8" t="s">
        <v>7602</v>
      </c>
      <c r="BK150" s="4" t="s">
        <v>7653</v>
      </c>
      <c r="BL150" s="8" t="s">
        <v>7602</v>
      </c>
      <c r="BM150" s="4" t="s">
        <v>7620</v>
      </c>
      <c r="BN150" s="8" t="s">
        <v>7631</v>
      </c>
      <c r="BO150" s="8" t="s">
        <v>7680</v>
      </c>
      <c r="BP150" s="8" t="s">
        <v>7602</v>
      </c>
      <c r="BQ150" s="8" t="str">
        <f aca="false">IF(A150="","",AT150)</f>
        <v>2歳</v>
      </c>
      <c r="BR150" s="8" t="str">
        <f aca="false">IF(A150="","",IF(BA150&lt;=1200,"～1200",IF(BA150&lt;=1500,"1300～1500",IF(BA150=1600,"1600",IF(BA150&lt;=1800,"1700～1800",IF(BA150&lt;=2000,"1900～2000","2100以上"))))))</f>
        <v>～1200</v>
      </c>
      <c r="BS150" s="8" t="str">
        <f aca="false">IF(A150="","",IF(AX150="G1","G1",IF(AX150="G2","G2",IF(AX150="G3","G3",IF(AX150="L","L","その他")))))</f>
        <v>その他</v>
      </c>
      <c r="BT150" s="8" t="str">
        <f aca="false">IF(A150="","",IF(BI150="","未結合",IF(D150=BI150,"一致","不一致")))</f>
        <v>一致</v>
      </c>
      <c r="BU150" s="8" t="str">
        <f aca="false">IF(A150="","",IF(BE150="牝馬限定","牝馬限定","その他"))</f>
        <v>その他</v>
      </c>
    </row>
    <row r="151" customFormat="false" ht="15.75" hidden="false" customHeight="false" outlineLevel="0" collapsed="false">
      <c r="A151" s="6" t="n">
        <v>46214</v>
      </c>
      <c r="B151" s="4" t="s">
        <v>915</v>
      </c>
      <c r="C151" s="8" t="n">
        <v>6</v>
      </c>
      <c r="D151" s="8" t="n">
        <v>16</v>
      </c>
      <c r="E151" s="8" t="n">
        <v>8</v>
      </c>
      <c r="F151" s="4" t="s">
        <v>1939</v>
      </c>
      <c r="G151" s="8" t="n">
        <v>81</v>
      </c>
      <c r="H151" s="8" t="n">
        <v>15</v>
      </c>
      <c r="I151" s="4" t="s">
        <v>1944</v>
      </c>
      <c r="J151" s="8" t="n">
        <v>60</v>
      </c>
      <c r="K151" s="8" t="n">
        <v>3</v>
      </c>
      <c r="L151" s="4" t="s">
        <v>1934</v>
      </c>
      <c r="M151" s="8" t="n">
        <v>47</v>
      </c>
      <c r="N151" s="8" t="n">
        <v>21</v>
      </c>
      <c r="O151" s="8" t="n">
        <v>13</v>
      </c>
      <c r="P151" s="8" t="n">
        <v>141</v>
      </c>
      <c r="Q151" s="8" t="str">
        <f aca="false">IF(A151="","",IF(AND(Y151&lt;&gt;"参考",G151&gt;=ルール設定!$B$2),"○",""))</f>
        <v>○</v>
      </c>
      <c r="R151" s="8" t="str">
        <f aca="false">IF(A151="","",IF(AND(Y151&lt;&gt;"参考",G151&gt;=ルール設定!$B$3,N151&gt;=ルール設定!$B$4),"○",""))</f>
        <v/>
      </c>
      <c r="S151" s="8" t="str">
        <f aca="false">IF(A151="","",IF(AND(Y151&lt;&gt;"参考",G151&gt;=ルール設定!$B$5,J151&gt;=ルール設定!$B$6,O151&gt;=ルール設定!$B$7),"○",""))</f>
        <v/>
      </c>
      <c r="T151" s="8" t="n">
        <v>4</v>
      </c>
      <c r="U151" s="8" t="n">
        <v>4</v>
      </c>
      <c r="V151" s="8" t="str">
        <f aca="false">IF(A151="","",IF(AND(ISNUMBER(T151),ISNUMBER(U151)),IF(AND(T151&lt;=3,U151&lt;=3),"○","×"),""))</f>
        <v>×</v>
      </c>
      <c r="W151" s="8"/>
      <c r="X151" s="8"/>
      <c r="Y151" s="4" t="s">
        <v>7597</v>
      </c>
      <c r="Z151" s="4" t="s">
        <v>7706</v>
      </c>
      <c r="AA151" s="8" t="str">
        <v/>
      </c>
      <c r="AB151" s="8" t="str">
        <v>○</v>
      </c>
      <c r="AC151" s="8" t="str">
        <v>○</v>
      </c>
      <c r="AD151" s="8" t="str">
        <v/>
      </c>
      <c r="AE151" s="8" t="str">
        <v/>
      </c>
      <c r="AF151" s="8" t="str">
        <v>○</v>
      </c>
      <c r="AG151" s="8" t="str">
        <v>○</v>
      </c>
      <c r="AH151" s="8" t="str">
        <v/>
      </c>
      <c r="AI151" s="8" t="n">
        <v>34</v>
      </c>
      <c r="AJ151" s="8" t="str">
        <v>80～84</v>
      </c>
      <c r="AK151" s="8" t="str">
        <v>20～29</v>
      </c>
      <c r="AL151" s="8" t="str">
        <v>30～39</v>
      </c>
      <c r="AM151" s="8" t="str">
        <v>140～159</v>
      </c>
      <c r="AN151" s="8" t="str">
        <v>15以上</v>
      </c>
      <c r="AO151" s="8" t="n">
        <f aca="false">IF(A151="","",IF(COUNTIFS(全馬データ!$A$2:$A$50000,A151,全馬データ!$B$2:$B$50000,B151,全馬データ!$C$2:$C$50000,C151,全馬データ!$D$2:$D$50000,E151,全馬データ!$K$2:$K$50000,"&lt;&gt;")=0,"",SUMIFS(全馬データ!$K$2:$K$50000,全馬データ!$A$2:$A$50000,A151,全馬データ!$B$2:$B$50000,B151,全馬データ!$C$2:$C$50000,C151,全馬データ!$D$2:$D$50000,E151)))</f>
        <v>1.1</v>
      </c>
      <c r="AP151" s="8" t="str">
        <f aca="false">IF(A151="","",IF(AO151="","欠損",IF(AO151&lt;=1.1,"1.0～1.1",IF(AO151&lt;1.3,"1.2",IF(AO151&lt;1.5,"1.3～1.4",IF(AO151&lt;2,"1.5～1.9","2.0以上"))))))</f>
        <v>1.0～1.1</v>
      </c>
      <c r="AQ151" s="8" t="str">
        <f aca="false">IF(A151="","",IF(ISNUMBER(SEARCH("2歳",Z151)),"2歳戦",IF(ISNUMBER(SEARCH("3歳未勝利",Z151)),"3歳未勝利",IF(ISNUMBER(SEARCH("未勝利",Z151)),"その他未勝利",IF(ISNUMBER(SEARCH("G1",Z151)),"G1",IF(ISNUMBER(SEARCH("G2",Z151)),"G2",IF(ISNUMBER(SEARCH("G3",Z151)),"G3",IF(ISNUMBER(SEARCH("古馬条件",Z151)),"古馬条件戦",IF(ISNUMBER(SEARCH("重賞",Z151)),"重賞","分類不能")))))))))</f>
        <v>分類不能</v>
      </c>
      <c r="AR151" s="8"/>
      <c r="AS151" s="8" t="s">
        <v>7623</v>
      </c>
      <c r="AT151" s="8" t="s">
        <v>7624</v>
      </c>
      <c r="AU151" s="8" t="s">
        <v>7600</v>
      </c>
      <c r="AV151" s="4" t="s">
        <v>7601</v>
      </c>
      <c r="AW151" s="8"/>
      <c r="AX151" s="8"/>
      <c r="AY151" s="8" t="s">
        <v>7602</v>
      </c>
      <c r="AZ151" s="4" t="s">
        <v>7603</v>
      </c>
      <c r="BA151" s="8" t="n">
        <v>1800</v>
      </c>
      <c r="BB151" s="8" t="s">
        <v>7598</v>
      </c>
      <c r="BC151" s="4" t="s">
        <v>7604</v>
      </c>
      <c r="BD151" s="8" t="s">
        <v>7605</v>
      </c>
      <c r="BE151" s="4" t="s">
        <v>7606</v>
      </c>
      <c r="BF151" s="8" t="s">
        <v>7607</v>
      </c>
      <c r="BG151" s="8" t="s">
        <v>7608</v>
      </c>
      <c r="BH151" s="4" t="s">
        <v>7609</v>
      </c>
      <c r="BI151" s="8" t="n">
        <v>16</v>
      </c>
      <c r="BJ151" s="8" t="s">
        <v>7602</v>
      </c>
      <c r="BK151" s="4" t="s">
        <v>7653</v>
      </c>
      <c r="BL151" s="8" t="s">
        <v>7602</v>
      </c>
      <c r="BM151" s="4" t="s">
        <v>7620</v>
      </c>
      <c r="BN151" s="8" t="s">
        <v>7631</v>
      </c>
      <c r="BO151" s="8" t="s">
        <v>7680</v>
      </c>
      <c r="BP151" s="8" t="s">
        <v>7602</v>
      </c>
      <c r="BQ151" s="8" t="str">
        <f aca="false">IF(A151="","",AT151)</f>
        <v>3歳</v>
      </c>
      <c r="BR151" s="8" t="str">
        <f aca="false">IF(A151="","",IF(BA151&lt;=1200,"～1200",IF(BA151&lt;=1500,"1300～1500",IF(BA151=1600,"1600",IF(BA151&lt;=1800,"1700～1800",IF(BA151&lt;=2000,"1900～2000","2100以上"))))))</f>
        <v>1700～1800</v>
      </c>
      <c r="BS151" s="8" t="str">
        <f aca="false">IF(A151="","",IF(AX151="G1","G1",IF(AX151="G2","G2",IF(AX151="G3","G3",IF(AX151="L","L","その他")))))</f>
        <v>その他</v>
      </c>
      <c r="BT151" s="8" t="str">
        <f aca="false">IF(A151="","",IF(BI151="","未結合",IF(D151=BI151,"一致","不一致")))</f>
        <v>一致</v>
      </c>
      <c r="BU151" s="8" t="str">
        <f aca="false">IF(A151="","",IF(BE151="牝馬限定","牝馬限定","その他"))</f>
        <v>その他</v>
      </c>
    </row>
    <row r="152" customFormat="false" ht="15.75" hidden="false" customHeight="false" outlineLevel="0" collapsed="false">
      <c r="A152" s="6" t="n">
        <v>46214</v>
      </c>
      <c r="B152" s="4" t="s">
        <v>915</v>
      </c>
      <c r="C152" s="8" t="n">
        <v>7</v>
      </c>
      <c r="D152" s="8" t="n">
        <v>11</v>
      </c>
      <c r="E152" s="8" t="n">
        <v>6</v>
      </c>
      <c r="F152" s="4" t="s">
        <v>1951</v>
      </c>
      <c r="G152" s="8" t="n">
        <v>62</v>
      </c>
      <c r="H152" s="8" t="n">
        <v>4</v>
      </c>
      <c r="I152" s="4" t="s">
        <v>1949</v>
      </c>
      <c r="J152" s="8" t="n">
        <v>58</v>
      </c>
      <c r="K152" s="8" t="n">
        <v>5</v>
      </c>
      <c r="L152" s="4" t="s">
        <v>1950</v>
      </c>
      <c r="M152" s="8" t="n">
        <v>47</v>
      </c>
      <c r="N152" s="8" t="n">
        <v>4</v>
      </c>
      <c r="O152" s="8" t="n">
        <v>11</v>
      </c>
      <c r="P152" s="8" t="n">
        <v>120</v>
      </c>
      <c r="Q152" s="8" t="str">
        <f aca="false">IF(A152="","",IF(AND(Y152&lt;&gt;"参考",G152&gt;=ルール設定!$B$2),"○",""))</f>
        <v/>
      </c>
      <c r="R152" s="8" t="str">
        <f aca="false">IF(A152="","",IF(AND(Y152&lt;&gt;"参考",G152&gt;=ルール設定!$B$3,N152&gt;=ルール設定!$B$4),"○",""))</f>
        <v/>
      </c>
      <c r="S152" s="8" t="str">
        <f aca="false">IF(A152="","",IF(AND(Y152&lt;&gt;"参考",G152&gt;=ルール設定!$B$5,J152&gt;=ルール設定!$B$6,O152&gt;=ルール設定!$B$7),"○",""))</f>
        <v/>
      </c>
      <c r="T152" s="8" t="n">
        <v>1</v>
      </c>
      <c r="U152" s="8" t="n">
        <v>3</v>
      </c>
      <c r="V152" s="8" t="str">
        <f aca="false">IF(A152="","",IF(AND(ISNUMBER(T152),ISNUMBER(U152)),IF(AND(T152&lt;=3,U152&lt;=3),"○","×"),""))</f>
        <v>○</v>
      </c>
      <c r="W152" s="8" t="n">
        <v>120</v>
      </c>
      <c r="X152" s="8" t="n">
        <v>210</v>
      </c>
      <c r="Y152" s="4" t="s">
        <v>7597</v>
      </c>
      <c r="Z152" s="4" t="s">
        <v>7706</v>
      </c>
      <c r="AA152" s="8" t="str">
        <v/>
      </c>
      <c r="AB152" s="8" t="str">
        <v/>
      </c>
      <c r="AC152" s="8" t="str">
        <v/>
      </c>
      <c r="AD152" s="8" t="str">
        <v/>
      </c>
      <c r="AE152" s="8" t="str">
        <v/>
      </c>
      <c r="AF152" s="8" t="str">
        <v/>
      </c>
      <c r="AG152" s="8" t="str">
        <v/>
      </c>
      <c r="AH152" s="8" t="str">
        <v/>
      </c>
      <c r="AI152" s="8" t="n">
        <v>15</v>
      </c>
      <c r="AJ152" s="8" t="str">
        <v>60～69</v>
      </c>
      <c r="AK152" s="8" t="str">
        <v>0～4</v>
      </c>
      <c r="AL152" s="8" t="str">
        <v>10～19</v>
      </c>
      <c r="AM152" s="8" t="str">
        <v>120～139</v>
      </c>
      <c r="AN152" s="8" t="str">
        <v>8～11</v>
      </c>
      <c r="AO152" s="8" t="str">
        <f aca="false">IF(A152="","",IF(COUNTIFS(全馬データ!$A$2:$A$50000,A152,全馬データ!$B$2:$B$50000,B152,全馬データ!$C$2:$C$50000,C152,全馬データ!$D$2:$D$50000,E152,全馬データ!$K$2:$K$50000,"&lt;&gt;")=0,"",SUMIFS(全馬データ!$K$2:$K$50000,全馬データ!$A$2:$A$50000,A152,全馬データ!$B$2:$B$50000,B152,全馬データ!$C$2:$C$50000,C152,全馬データ!$D$2:$D$50000,E152)))</f>
        <v/>
      </c>
      <c r="AP152" s="8" t="str">
        <f aca="false">IF(A152="","",IF(AO152="","欠損",IF(AO152&lt;=1.1,"1.0～1.1",IF(AO152&lt;1.3,"1.2",IF(AO152&lt;1.5,"1.3～1.4",IF(AO152&lt;2,"1.5～1.9","2.0以上"))))))</f>
        <v>欠損</v>
      </c>
      <c r="AQ152" s="8" t="str">
        <f aca="false">IF(A152="","",IF(ISNUMBER(SEARCH("2歳",Z152)),"2歳戦",IF(ISNUMBER(SEARCH("3歳未勝利",Z152)),"3歳未勝利",IF(ISNUMBER(SEARCH("未勝利",Z152)),"その他未勝利",IF(ISNUMBER(SEARCH("G1",Z152)),"G1",IF(ISNUMBER(SEARCH("G2",Z152)),"G2",IF(ISNUMBER(SEARCH("G3",Z152)),"G3",IF(ISNUMBER(SEARCH("古馬条件",Z152)),"古馬条件戦",IF(ISNUMBER(SEARCH("重賞",Z152)),"重賞","分類不能")))))))))</f>
        <v>分類不能</v>
      </c>
      <c r="AR152" s="8"/>
      <c r="AS152" s="8" t="s">
        <v>7626</v>
      </c>
      <c r="AT152" s="8" t="s">
        <v>7627</v>
      </c>
      <c r="AU152" s="8" t="s">
        <v>7628</v>
      </c>
      <c r="AV152" s="8" t="s">
        <v>7629</v>
      </c>
      <c r="AW152" s="8"/>
      <c r="AX152" s="8"/>
      <c r="AY152" s="8" t="s">
        <v>7602</v>
      </c>
      <c r="AZ152" s="4" t="s">
        <v>7603</v>
      </c>
      <c r="BA152" s="8" t="n">
        <v>2000</v>
      </c>
      <c r="BB152" s="8" t="s">
        <v>7598</v>
      </c>
      <c r="BC152" s="4" t="s">
        <v>7604</v>
      </c>
      <c r="BD152" s="8" t="s">
        <v>7630</v>
      </c>
      <c r="BE152" s="4" t="s">
        <v>7606</v>
      </c>
      <c r="BF152" s="8" t="s">
        <v>7607</v>
      </c>
      <c r="BG152" s="8" t="s">
        <v>7631</v>
      </c>
      <c r="BH152" s="4" t="s">
        <v>7632</v>
      </c>
      <c r="BI152" s="8" t="n">
        <v>11</v>
      </c>
      <c r="BJ152" s="8" t="s">
        <v>7602</v>
      </c>
      <c r="BK152" s="4" t="s">
        <v>7653</v>
      </c>
      <c r="BL152" s="8" t="s">
        <v>7602</v>
      </c>
      <c r="BM152" s="4" t="s">
        <v>7620</v>
      </c>
      <c r="BN152" s="8" t="s">
        <v>7631</v>
      </c>
      <c r="BO152" s="8" t="s">
        <v>7680</v>
      </c>
      <c r="BP152" s="8" t="s">
        <v>7602</v>
      </c>
      <c r="BQ152" s="8" t="str">
        <f aca="false">IF(A152="","",AT152)</f>
        <v>3歳以上</v>
      </c>
      <c r="BR152" s="8" t="str">
        <f aca="false">IF(A152="","",IF(BA152&lt;=1200,"～1200",IF(BA152&lt;=1500,"1300～1500",IF(BA152=1600,"1600",IF(BA152&lt;=1800,"1700～1800",IF(BA152&lt;=2000,"1900～2000","2100以上"))))))</f>
        <v>1900～2000</v>
      </c>
      <c r="BS152" s="8" t="str">
        <f aca="false">IF(A152="","",IF(AX152="G1","G1",IF(AX152="G2","G2",IF(AX152="G3","G3",IF(AX152="L","L","その他")))))</f>
        <v>その他</v>
      </c>
      <c r="BT152" s="8" t="str">
        <f aca="false">IF(A152="","",IF(BI152="","未結合",IF(D152=BI152,"一致","不一致")))</f>
        <v>一致</v>
      </c>
      <c r="BU152" s="8" t="str">
        <f aca="false">IF(A152="","",IF(BE152="牝馬限定","牝馬限定","その他"))</f>
        <v>その他</v>
      </c>
    </row>
    <row r="153" customFormat="false" ht="15.75" hidden="false" customHeight="false" outlineLevel="0" collapsed="false">
      <c r="A153" s="6" t="n">
        <v>46214</v>
      </c>
      <c r="B153" s="4" t="s">
        <v>915</v>
      </c>
      <c r="C153" s="8" t="n">
        <v>8</v>
      </c>
      <c r="D153" s="8" t="n">
        <v>16</v>
      </c>
      <c r="E153" s="8" t="n">
        <v>14</v>
      </c>
      <c r="F153" s="4" t="s">
        <v>1968</v>
      </c>
      <c r="G153" s="8" t="n">
        <v>58</v>
      </c>
      <c r="H153" s="8" t="n">
        <v>12</v>
      </c>
      <c r="I153" s="4" t="s">
        <v>1966</v>
      </c>
      <c r="J153" s="8" t="n">
        <v>47</v>
      </c>
      <c r="K153" s="8" t="n">
        <v>9</v>
      </c>
      <c r="L153" s="4" t="s">
        <v>1963</v>
      </c>
      <c r="M153" s="8" t="n">
        <v>39</v>
      </c>
      <c r="N153" s="8" t="n">
        <v>11</v>
      </c>
      <c r="O153" s="8" t="n">
        <v>8</v>
      </c>
      <c r="P153" s="8" t="n">
        <v>105</v>
      </c>
      <c r="Q153" s="8" t="str">
        <f aca="false">IF(A153="","",IF(AND(Y153&lt;&gt;"参考",G153&gt;=ルール設定!$B$2),"○",""))</f>
        <v/>
      </c>
      <c r="R153" s="8" t="str">
        <f aca="false">IF(A153="","",IF(AND(Y153&lt;&gt;"参考",G153&gt;=ルール設定!$B$3,N153&gt;=ルール設定!$B$4),"○",""))</f>
        <v/>
      </c>
      <c r="S153" s="8" t="str">
        <f aca="false">IF(A153="","",IF(AND(Y153&lt;&gt;"参考",G153&gt;=ルール設定!$B$5,J153&gt;=ルール設定!$B$6,O153&gt;=ルール設定!$B$7),"○",""))</f>
        <v/>
      </c>
      <c r="T153" s="8" t="n">
        <v>4</v>
      </c>
      <c r="U153" s="8" t="n">
        <v>1</v>
      </c>
      <c r="V153" s="8" t="str">
        <f aca="false">IF(A153="","",IF(AND(ISNUMBER(T153),ISNUMBER(U153)),IF(AND(T153&lt;=3,U153&lt;=3),"○","×"),""))</f>
        <v>×</v>
      </c>
      <c r="W153" s="8"/>
      <c r="X153" s="8"/>
      <c r="Y153" s="4" t="s">
        <v>7597</v>
      </c>
      <c r="Z153" s="4" t="s">
        <v>7706</v>
      </c>
      <c r="AA153" s="8" t="str">
        <v/>
      </c>
      <c r="AB153" s="8" t="str">
        <v/>
      </c>
      <c r="AC153" s="8" t="str">
        <v/>
      </c>
      <c r="AD153" s="8" t="str">
        <v/>
      </c>
      <c r="AE153" s="8" t="str">
        <v/>
      </c>
      <c r="AF153" s="8" t="str">
        <v/>
      </c>
      <c r="AG153" s="8" t="str">
        <v/>
      </c>
      <c r="AH153" s="8" t="str">
        <v/>
      </c>
      <c r="AI153" s="8" t="n">
        <v>19</v>
      </c>
      <c r="AJ153" s="8" t="str">
        <v>～59</v>
      </c>
      <c r="AK153" s="8" t="str">
        <v>10～19</v>
      </c>
      <c r="AL153" s="8" t="str">
        <v>10～19</v>
      </c>
      <c r="AM153" s="8" t="str">
        <v>100～119</v>
      </c>
      <c r="AN153" s="8" t="str">
        <v>15以上</v>
      </c>
      <c r="AO153" s="8" t="str">
        <f aca="false">IF(A153="","",IF(COUNTIFS(全馬データ!$A$2:$A$50000,A153,全馬データ!$B$2:$B$50000,B153,全馬データ!$C$2:$C$50000,C153,全馬データ!$D$2:$D$50000,E153,全馬データ!$K$2:$K$50000,"&lt;&gt;")=0,"",SUMIFS(全馬データ!$K$2:$K$50000,全馬データ!$A$2:$A$50000,A153,全馬データ!$B$2:$B$50000,B153,全馬データ!$C$2:$C$50000,C153,全馬データ!$D$2:$D$50000,E153)))</f>
        <v/>
      </c>
      <c r="AP153" s="8" t="str">
        <f aca="false">IF(A153="","",IF(AO153="","欠損",IF(AO153&lt;=1.1,"1.0～1.1",IF(AO153&lt;1.3,"1.2",IF(AO153&lt;1.5,"1.3～1.4",IF(AO153&lt;2,"1.5～1.9","2.0以上"))))))</f>
        <v>欠損</v>
      </c>
      <c r="AQ153" s="8" t="str">
        <f aca="false">IF(A153="","",IF(ISNUMBER(SEARCH("2歳",Z153)),"2歳戦",IF(ISNUMBER(SEARCH("3歳未勝利",Z153)),"3歳未勝利",IF(ISNUMBER(SEARCH("未勝利",Z153)),"その他未勝利",IF(ISNUMBER(SEARCH("G1",Z153)),"G1",IF(ISNUMBER(SEARCH("G2",Z153)),"G2",IF(ISNUMBER(SEARCH("G3",Z153)),"G3",IF(ISNUMBER(SEARCH("古馬条件",Z153)),"古馬条件戦",IF(ISNUMBER(SEARCH("重賞",Z153)),"重賞","分類不能")))))))))</f>
        <v>分類不能</v>
      </c>
      <c r="AR153" s="8"/>
      <c r="AS153" s="8" t="s">
        <v>7626</v>
      </c>
      <c r="AT153" s="8" t="s">
        <v>7627</v>
      </c>
      <c r="AU153" s="8" t="s">
        <v>7628</v>
      </c>
      <c r="AV153" s="8" t="s">
        <v>7629</v>
      </c>
      <c r="AW153" s="8"/>
      <c r="AX153" s="8"/>
      <c r="AY153" s="8" t="s">
        <v>7610</v>
      </c>
      <c r="AZ153" s="4" t="s">
        <v>7617</v>
      </c>
      <c r="BA153" s="8" t="n">
        <v>1150</v>
      </c>
      <c r="BB153" s="8" t="s">
        <v>7598</v>
      </c>
      <c r="BC153" s="4" t="s">
        <v>7604</v>
      </c>
      <c r="BD153" s="8" t="s">
        <v>7625</v>
      </c>
      <c r="BE153" s="4" t="s">
        <v>7606</v>
      </c>
      <c r="BF153" s="8" t="s">
        <v>7607</v>
      </c>
      <c r="BG153" s="8" t="s">
        <v>7631</v>
      </c>
      <c r="BH153" s="4" t="s">
        <v>7632</v>
      </c>
      <c r="BI153" s="8" t="n">
        <v>16</v>
      </c>
      <c r="BJ153" s="8" t="s">
        <v>7602</v>
      </c>
      <c r="BK153" s="4" t="s">
        <v>7653</v>
      </c>
      <c r="BL153" s="8" t="s">
        <v>7602</v>
      </c>
      <c r="BM153" s="4" t="s">
        <v>7620</v>
      </c>
      <c r="BN153" s="8"/>
      <c r="BO153" s="8"/>
      <c r="BP153" s="8" t="s">
        <v>7602</v>
      </c>
      <c r="BQ153" s="8" t="str">
        <f aca="false">IF(A153="","",AT153)</f>
        <v>3歳以上</v>
      </c>
      <c r="BR153" s="8" t="str">
        <f aca="false">IF(A153="","",IF(BA153&lt;=1200,"～1200",IF(BA153&lt;=1500,"1300～1500",IF(BA153=1600,"1600",IF(BA153&lt;=1800,"1700～1800",IF(BA153&lt;=2000,"1900～2000","2100以上"))))))</f>
        <v>～1200</v>
      </c>
      <c r="BS153" s="8" t="str">
        <f aca="false">IF(A153="","",IF(AX153="G1","G1",IF(AX153="G2","G2",IF(AX153="G3","G3",IF(AX153="L","L","その他")))))</f>
        <v>その他</v>
      </c>
      <c r="BT153" s="8" t="str">
        <f aca="false">IF(A153="","",IF(BI153="","未結合",IF(D153=BI153,"一致","不一致")))</f>
        <v>一致</v>
      </c>
      <c r="BU153" s="8" t="str">
        <f aca="false">IF(A153="","",IF(BE153="牝馬限定","牝馬限定","その他"))</f>
        <v>その他</v>
      </c>
    </row>
    <row r="154" customFormat="false" ht="15.75" hidden="false" customHeight="false" outlineLevel="0" collapsed="false">
      <c r="A154" s="6" t="n">
        <v>46214</v>
      </c>
      <c r="B154" s="4" t="s">
        <v>915</v>
      </c>
      <c r="C154" s="8" t="n">
        <v>9</v>
      </c>
      <c r="D154" s="8" t="n">
        <v>15</v>
      </c>
      <c r="E154" s="8" t="n">
        <v>13</v>
      </c>
      <c r="F154" s="4" t="s">
        <v>1982</v>
      </c>
      <c r="G154" s="8" t="n">
        <v>52</v>
      </c>
      <c r="H154" s="8" t="n">
        <v>10</v>
      </c>
      <c r="I154" s="4" t="s">
        <v>1979</v>
      </c>
      <c r="J154" s="8" t="n">
        <v>47</v>
      </c>
      <c r="K154" s="8" t="n">
        <v>1</v>
      </c>
      <c r="L154" s="4" t="s">
        <v>1971</v>
      </c>
      <c r="M154" s="8" t="n">
        <v>34</v>
      </c>
      <c r="N154" s="8" t="n">
        <v>5</v>
      </c>
      <c r="O154" s="8" t="n">
        <v>13</v>
      </c>
      <c r="P154" s="8" t="n">
        <v>99</v>
      </c>
      <c r="Q154" s="8" t="str">
        <f aca="false">IF(A154="","",IF(AND(Y154&lt;&gt;"参考",G154&gt;=ルール設定!$B$2),"○",""))</f>
        <v/>
      </c>
      <c r="R154" s="8" t="str">
        <f aca="false">IF(A154="","",IF(AND(Y154&lt;&gt;"参考",G154&gt;=ルール設定!$B$3,N154&gt;=ルール設定!$B$4),"○",""))</f>
        <v/>
      </c>
      <c r="S154" s="8" t="str">
        <f aca="false">IF(A154="","",IF(AND(Y154&lt;&gt;"参考",G154&gt;=ルール設定!$B$5,J154&gt;=ルール設定!$B$6,O154&gt;=ルール設定!$B$7),"○",""))</f>
        <v/>
      </c>
      <c r="T154" s="8" t="n">
        <v>1</v>
      </c>
      <c r="U154" s="8" t="n">
        <v>4</v>
      </c>
      <c r="V154" s="8" t="str">
        <f aca="false">IF(A154="","",IF(AND(ISNUMBER(T154),ISNUMBER(U154)),IF(AND(T154&lt;=3,U154&lt;=3),"○","×"),""))</f>
        <v>×</v>
      </c>
      <c r="W154" s="8" t="n">
        <v>190</v>
      </c>
      <c r="X154" s="8"/>
      <c r="Y154" s="4" t="s">
        <v>7597</v>
      </c>
      <c r="Z154" s="4" t="s">
        <v>7706</v>
      </c>
      <c r="AA154" s="8" t="str">
        <v/>
      </c>
      <c r="AB154" s="8" t="str">
        <v/>
      </c>
      <c r="AC154" s="8" t="str">
        <v/>
      </c>
      <c r="AD154" s="8" t="str">
        <v/>
      </c>
      <c r="AE154" s="8" t="str">
        <v/>
      </c>
      <c r="AF154" s="8" t="str">
        <v/>
      </c>
      <c r="AG154" s="8" t="str">
        <v/>
      </c>
      <c r="AH154" s="8" t="str">
        <v/>
      </c>
      <c r="AI154" s="8" t="n">
        <v>18</v>
      </c>
      <c r="AJ154" s="8" t="str">
        <v>～59</v>
      </c>
      <c r="AK154" s="8" t="str">
        <v>5～9</v>
      </c>
      <c r="AL154" s="8" t="str">
        <v>10～19</v>
      </c>
      <c r="AM154" s="8" t="str">
        <v>～99</v>
      </c>
      <c r="AN154" s="8" t="str">
        <v>15以上</v>
      </c>
      <c r="AO154" s="8" t="str">
        <f aca="false">IF(A154="","",IF(COUNTIFS(全馬データ!$A$2:$A$50000,A154,全馬データ!$B$2:$B$50000,B154,全馬データ!$C$2:$C$50000,C154,全馬データ!$D$2:$D$50000,E154,全馬データ!$K$2:$K$50000,"&lt;&gt;")=0,"",SUMIFS(全馬データ!$K$2:$K$50000,全馬データ!$A$2:$A$50000,A154,全馬データ!$B$2:$B$50000,B154,全馬データ!$C$2:$C$50000,C154,全馬データ!$D$2:$D$50000,E154)))</f>
        <v/>
      </c>
      <c r="AP154" s="8" t="str">
        <f aca="false">IF(A154="","",IF(AO154="","欠損",IF(AO154&lt;=1.1,"1.0～1.1",IF(AO154&lt;1.3,"1.2",IF(AO154&lt;1.5,"1.3～1.4",IF(AO154&lt;2,"1.5～1.9","2.0以上"))))))</f>
        <v>欠損</v>
      </c>
      <c r="AQ154" s="8" t="str">
        <f aca="false">IF(A154="","",IF(ISNUMBER(SEARCH("2歳",Z154)),"2歳戦",IF(ISNUMBER(SEARCH("3歳未勝利",Z154)),"3歳未勝利",IF(ISNUMBER(SEARCH("未勝利",Z154)),"その他未勝利",IF(ISNUMBER(SEARCH("G1",Z154)),"G1",IF(ISNUMBER(SEARCH("G2",Z154)),"G2",IF(ISNUMBER(SEARCH("G3",Z154)),"G3",IF(ISNUMBER(SEARCH("古馬条件",Z154)),"古馬条件戦",IF(ISNUMBER(SEARCH("重賞",Z154)),"重賞","分類不能")))))))))</f>
        <v>分類不能</v>
      </c>
      <c r="AR154" s="4" t="s">
        <v>7707</v>
      </c>
      <c r="AS154" s="8" t="s">
        <v>7626</v>
      </c>
      <c r="AT154" s="8" t="s">
        <v>7627</v>
      </c>
      <c r="AU154" s="8" t="s">
        <v>7634</v>
      </c>
      <c r="AV154" s="8" t="s">
        <v>7635</v>
      </c>
      <c r="AW154" s="8" t="s">
        <v>7636</v>
      </c>
      <c r="AX154" s="4" t="s">
        <v>7637</v>
      </c>
      <c r="AY154" s="8" t="s">
        <v>7602</v>
      </c>
      <c r="AZ154" s="4" t="s">
        <v>7603</v>
      </c>
      <c r="BA154" s="8" t="n">
        <v>2600</v>
      </c>
      <c r="BB154" s="8" t="s">
        <v>7598</v>
      </c>
      <c r="BC154" s="4" t="s">
        <v>7604</v>
      </c>
      <c r="BD154" s="8" t="s">
        <v>7630</v>
      </c>
      <c r="BE154" s="4" t="s">
        <v>7606</v>
      </c>
      <c r="BF154" s="8" t="s">
        <v>7607</v>
      </c>
      <c r="BG154" s="8" t="s">
        <v>7631</v>
      </c>
      <c r="BH154" s="4" t="s">
        <v>7632</v>
      </c>
      <c r="BI154" s="8" t="n">
        <v>15</v>
      </c>
      <c r="BJ154" s="8" t="s">
        <v>7602</v>
      </c>
      <c r="BK154" s="4" t="s">
        <v>7653</v>
      </c>
      <c r="BL154" s="8" t="s">
        <v>7602</v>
      </c>
      <c r="BM154" s="4" t="s">
        <v>7620</v>
      </c>
      <c r="BN154" s="8" t="s">
        <v>7631</v>
      </c>
      <c r="BO154" s="8" t="s">
        <v>7680</v>
      </c>
      <c r="BP154" s="8" t="s">
        <v>7602</v>
      </c>
      <c r="BQ154" s="8" t="str">
        <f aca="false">IF(A154="","",AT154)</f>
        <v>3歳以上</v>
      </c>
      <c r="BR154" s="8" t="str">
        <f aca="false">IF(A154="","",IF(BA154&lt;=1200,"～1200",IF(BA154&lt;=1500,"1300～1500",IF(BA154=1600,"1600",IF(BA154&lt;=1800,"1700～1800",IF(BA154&lt;=2000,"1900～2000","2100以上"))))))</f>
        <v>2100以上</v>
      </c>
      <c r="BS154" s="8" t="str">
        <f aca="false">IF(A154="","",IF(AX154="G1","G1",IF(AX154="G2","G2",IF(AX154="G3","G3",IF(AX154="L","L","その他")))))</f>
        <v>その他</v>
      </c>
      <c r="BT154" s="8" t="str">
        <f aca="false">IF(A154="","",IF(BI154="","未結合",IF(D154=BI154,"一致","不一致")))</f>
        <v>一致</v>
      </c>
      <c r="BU154" s="8" t="str">
        <f aca="false">IF(A154="","",IF(BE154="牝馬限定","牝馬限定","その他"))</f>
        <v>その他</v>
      </c>
    </row>
    <row r="155" customFormat="false" ht="15.75" hidden="false" customHeight="false" outlineLevel="0" collapsed="false">
      <c r="A155" s="6" t="n">
        <v>46214</v>
      </c>
      <c r="B155" s="4" t="s">
        <v>915</v>
      </c>
      <c r="C155" s="8" t="n">
        <v>10</v>
      </c>
      <c r="D155" s="8" t="n">
        <v>9</v>
      </c>
      <c r="E155" s="8" t="n">
        <v>5</v>
      </c>
      <c r="F155" s="4" t="s">
        <v>91</v>
      </c>
      <c r="G155" s="8" t="n">
        <v>52</v>
      </c>
      <c r="H155" s="8" t="n">
        <v>1</v>
      </c>
      <c r="I155" s="4" t="s">
        <v>1985</v>
      </c>
      <c r="J155" s="8" t="n">
        <v>37</v>
      </c>
      <c r="K155" s="8" t="n">
        <v>2</v>
      </c>
      <c r="L155" s="4" t="s">
        <v>1986</v>
      </c>
      <c r="M155" s="8" t="n">
        <v>34</v>
      </c>
      <c r="N155" s="8" t="n">
        <v>15</v>
      </c>
      <c r="O155" s="8" t="n">
        <v>3</v>
      </c>
      <c r="P155" s="8" t="n">
        <v>89</v>
      </c>
      <c r="Q155" s="8" t="str">
        <f aca="false">IF(A155="","",IF(AND(Y155&lt;&gt;"参考",G155&gt;=ルール設定!$B$2),"○",""))</f>
        <v/>
      </c>
      <c r="R155" s="8" t="str">
        <f aca="false">IF(A155="","",IF(AND(Y155&lt;&gt;"参考",G155&gt;=ルール設定!$B$3,N155&gt;=ルール設定!$B$4),"○",""))</f>
        <v/>
      </c>
      <c r="S155" s="8" t="str">
        <f aca="false">IF(A155="","",IF(AND(Y155&lt;&gt;"参考",G155&gt;=ルール設定!$B$5,J155&gt;=ルール設定!$B$6,O155&gt;=ルール設定!$B$7),"○",""))</f>
        <v/>
      </c>
      <c r="T155" s="8" t="n">
        <v>3</v>
      </c>
      <c r="U155" s="8" t="n">
        <v>4</v>
      </c>
      <c r="V155" s="8" t="str">
        <f aca="false">IF(A155="","",IF(AND(ISNUMBER(T155),ISNUMBER(U155)),IF(AND(T155&lt;=3,U155&lt;=3),"○","×"),""))</f>
        <v>×</v>
      </c>
      <c r="W155" s="8" t="n">
        <v>260</v>
      </c>
      <c r="X155" s="8"/>
      <c r="Y155" s="4" t="s">
        <v>7597</v>
      </c>
      <c r="Z155" s="4" t="s">
        <v>7706</v>
      </c>
      <c r="AA155" s="8" t="str">
        <v/>
      </c>
      <c r="AB155" s="8" t="str">
        <v/>
      </c>
      <c r="AC155" s="8" t="str">
        <v/>
      </c>
      <c r="AD155" s="8" t="str">
        <v/>
      </c>
      <c r="AE155" s="8" t="str">
        <v/>
      </c>
      <c r="AF155" s="8" t="str">
        <v/>
      </c>
      <c r="AG155" s="8" t="str">
        <v/>
      </c>
      <c r="AH155" s="8" t="str">
        <v/>
      </c>
      <c r="AI155" s="8" t="n">
        <v>18</v>
      </c>
      <c r="AJ155" s="8" t="str">
        <v>～59</v>
      </c>
      <c r="AK155" s="8" t="str">
        <v>10～19</v>
      </c>
      <c r="AL155" s="8" t="str">
        <v>10～19</v>
      </c>
      <c r="AM155" s="8" t="str">
        <v>～99</v>
      </c>
      <c r="AN155" s="8" t="str">
        <v>8～11</v>
      </c>
      <c r="AO155" s="8" t="str">
        <f aca="false">IF(A155="","",IF(COUNTIFS(全馬データ!$A$2:$A$50000,A155,全馬データ!$B$2:$B$50000,B155,全馬データ!$C$2:$C$50000,C155,全馬データ!$D$2:$D$50000,E155,全馬データ!$K$2:$K$50000,"&lt;&gt;")=0,"",SUMIFS(全馬データ!$K$2:$K$50000,全馬データ!$A$2:$A$50000,A155,全馬データ!$B$2:$B$50000,B155,全馬データ!$C$2:$C$50000,C155,全馬データ!$D$2:$D$50000,E155)))</f>
        <v/>
      </c>
      <c r="AP155" s="8" t="str">
        <f aca="false">IF(A155="","",IF(AO155="","欠損",IF(AO155&lt;=1.1,"1.0～1.1",IF(AO155&lt;1.3,"1.2",IF(AO155&lt;1.5,"1.3～1.4",IF(AO155&lt;2,"1.5～1.9","2.0以上"))))))</f>
        <v>欠損</v>
      </c>
      <c r="AQ155" s="8" t="str">
        <f aca="false">IF(A155="","",IF(ISNUMBER(SEARCH("2歳",Z155)),"2歳戦",IF(ISNUMBER(SEARCH("3歳未勝利",Z155)),"3歳未勝利",IF(ISNUMBER(SEARCH("未勝利",Z155)),"その他未勝利",IF(ISNUMBER(SEARCH("G1",Z155)),"G1",IF(ISNUMBER(SEARCH("G2",Z155)),"G2",IF(ISNUMBER(SEARCH("G3",Z155)),"G3",IF(ISNUMBER(SEARCH("古馬条件",Z155)),"古馬条件戦",IF(ISNUMBER(SEARCH("重賞",Z155)),"重賞","分類不能")))))))))</f>
        <v>分類不能</v>
      </c>
      <c r="AR155" s="4" t="s">
        <v>7708</v>
      </c>
      <c r="AS155" s="8" t="s">
        <v>7626</v>
      </c>
      <c r="AT155" s="8" t="s">
        <v>7627</v>
      </c>
      <c r="AU155" s="8" t="s">
        <v>7639</v>
      </c>
      <c r="AV155" s="8" t="s">
        <v>7640</v>
      </c>
      <c r="AW155" s="8" t="s">
        <v>7636</v>
      </c>
      <c r="AX155" s="4" t="s">
        <v>7637</v>
      </c>
      <c r="AY155" s="8" t="s">
        <v>7602</v>
      </c>
      <c r="AZ155" s="4" t="s">
        <v>7603</v>
      </c>
      <c r="BA155" s="8" t="n">
        <v>1200</v>
      </c>
      <c r="BB155" s="8" t="s">
        <v>7598</v>
      </c>
      <c r="BC155" s="4" t="s">
        <v>7604</v>
      </c>
      <c r="BD155" s="8" t="s">
        <v>7605</v>
      </c>
      <c r="BE155" s="4" t="s">
        <v>7606</v>
      </c>
      <c r="BF155" s="8" t="s">
        <v>7607</v>
      </c>
      <c r="BG155" s="8" t="s">
        <v>7602</v>
      </c>
      <c r="BH155" s="4" t="s">
        <v>7667</v>
      </c>
      <c r="BI155" s="8" t="n">
        <v>9</v>
      </c>
      <c r="BJ155" s="8" t="s">
        <v>7602</v>
      </c>
      <c r="BK155" s="4" t="s">
        <v>7653</v>
      </c>
      <c r="BL155" s="8" t="s">
        <v>7602</v>
      </c>
      <c r="BM155" s="4" t="s">
        <v>7620</v>
      </c>
      <c r="BN155" s="8" t="s">
        <v>7631</v>
      </c>
      <c r="BO155" s="8" t="s">
        <v>7680</v>
      </c>
      <c r="BP155" s="8" t="s">
        <v>7602</v>
      </c>
      <c r="BQ155" s="8" t="str">
        <f aca="false">IF(A155="","",AT155)</f>
        <v>3歳以上</v>
      </c>
      <c r="BR155" s="8" t="str">
        <f aca="false">IF(A155="","",IF(BA155&lt;=1200,"～1200",IF(BA155&lt;=1500,"1300～1500",IF(BA155=1600,"1600",IF(BA155&lt;=1800,"1700～1800",IF(BA155&lt;=2000,"1900～2000","2100以上"))))))</f>
        <v>～1200</v>
      </c>
      <c r="BS155" s="8" t="str">
        <f aca="false">IF(A155="","",IF(AX155="G1","G1",IF(AX155="G2","G2",IF(AX155="G3","G3",IF(AX155="L","L","その他")))))</f>
        <v>その他</v>
      </c>
      <c r="BT155" s="8" t="str">
        <f aca="false">IF(A155="","",IF(BI155="","未結合",IF(D155=BI155,"一致","不一致")))</f>
        <v>一致</v>
      </c>
      <c r="BU155" s="8" t="str">
        <f aca="false">IF(A155="","",IF(BE155="牝馬限定","牝馬限定","その他"))</f>
        <v>その他</v>
      </c>
    </row>
    <row r="156" customFormat="false" ht="15.75" hidden="false" customHeight="false" outlineLevel="0" collapsed="false">
      <c r="A156" s="6" t="n">
        <v>46214</v>
      </c>
      <c r="B156" s="4" t="s">
        <v>915</v>
      </c>
      <c r="C156" s="8" t="n">
        <v>11</v>
      </c>
      <c r="D156" s="8" t="n">
        <v>9</v>
      </c>
      <c r="E156" s="8" t="n">
        <v>4</v>
      </c>
      <c r="F156" s="4" t="s">
        <v>1995</v>
      </c>
      <c r="G156" s="8" t="n">
        <v>52</v>
      </c>
      <c r="H156" s="8" t="n">
        <v>3</v>
      </c>
      <c r="I156" s="4" t="s">
        <v>1994</v>
      </c>
      <c r="J156" s="8" t="n">
        <v>44</v>
      </c>
      <c r="K156" s="8" t="n">
        <v>5</v>
      </c>
      <c r="L156" s="4" t="s">
        <v>1996</v>
      </c>
      <c r="M156" s="8" t="n">
        <v>34</v>
      </c>
      <c r="N156" s="8" t="n">
        <v>8</v>
      </c>
      <c r="O156" s="8" t="n">
        <v>10</v>
      </c>
      <c r="P156" s="8" t="n">
        <v>96</v>
      </c>
      <c r="Q156" s="8" t="str">
        <f aca="false">IF(A156="","",IF(AND(Y156&lt;&gt;"参考",G156&gt;=ルール設定!$B$2),"○",""))</f>
        <v/>
      </c>
      <c r="R156" s="8" t="str">
        <f aca="false">IF(A156="","",IF(AND(Y156&lt;&gt;"参考",G156&gt;=ルール設定!$B$3,N156&gt;=ルール設定!$B$4),"○",""))</f>
        <v/>
      </c>
      <c r="S156" s="8" t="str">
        <f aca="false">IF(A156="","",IF(AND(Y156&lt;&gt;"参考",G156&gt;=ルール設定!$B$5,J156&gt;=ルール設定!$B$6,O156&gt;=ルール設定!$B$7),"○",""))</f>
        <v/>
      </c>
      <c r="T156" s="8" t="n">
        <v>4</v>
      </c>
      <c r="U156" s="8" t="n">
        <v>4</v>
      </c>
      <c r="V156" s="8" t="str">
        <f aca="false">IF(A156="","",IF(AND(ISNUMBER(T156),ISNUMBER(U156)),IF(AND(T156&lt;=3,U156&lt;=3),"○","×"),""))</f>
        <v>×</v>
      </c>
      <c r="W156" s="8"/>
      <c r="X156" s="8"/>
      <c r="Y156" s="4" t="s">
        <v>7597</v>
      </c>
      <c r="Z156" s="4" t="s">
        <v>7706</v>
      </c>
      <c r="AA156" s="8" t="str">
        <v/>
      </c>
      <c r="AB156" s="8" t="str">
        <v/>
      </c>
      <c r="AC156" s="8" t="str">
        <v/>
      </c>
      <c r="AD156" s="8" t="str">
        <v/>
      </c>
      <c r="AE156" s="8" t="str">
        <v/>
      </c>
      <c r="AF156" s="8" t="str">
        <v/>
      </c>
      <c r="AG156" s="8" t="str">
        <v/>
      </c>
      <c r="AH156" s="8" t="str">
        <v/>
      </c>
      <c r="AI156" s="8" t="n">
        <v>18</v>
      </c>
      <c r="AJ156" s="8" t="str">
        <v>～59</v>
      </c>
      <c r="AK156" s="8" t="str">
        <v>5～9</v>
      </c>
      <c r="AL156" s="8" t="str">
        <v>10～19</v>
      </c>
      <c r="AM156" s="8" t="str">
        <v>～99</v>
      </c>
      <c r="AN156" s="8" t="str">
        <v>8～11</v>
      </c>
      <c r="AO156" s="8" t="str">
        <f aca="false">IF(A156="","",IF(COUNTIFS(全馬データ!$A$2:$A$50000,A156,全馬データ!$B$2:$B$50000,B156,全馬データ!$C$2:$C$50000,C156,全馬データ!$D$2:$D$50000,E156,全馬データ!$K$2:$K$50000,"&lt;&gt;")=0,"",SUMIFS(全馬データ!$K$2:$K$50000,全馬データ!$A$2:$A$50000,A156,全馬データ!$B$2:$B$50000,B156,全馬データ!$C$2:$C$50000,C156,全馬データ!$D$2:$D$50000,E156)))</f>
        <v/>
      </c>
      <c r="AP156" s="8" t="str">
        <f aca="false">IF(A156="","",IF(AO156="","欠損",IF(AO156&lt;=1.1,"1.0～1.1",IF(AO156&lt;1.3,"1.2",IF(AO156&lt;1.5,"1.3～1.4",IF(AO156&lt;2,"1.5～1.9","2.0以上"))))))</f>
        <v>欠損</v>
      </c>
      <c r="AQ156" s="8" t="str">
        <f aca="false">IF(A156="","",IF(ISNUMBER(SEARCH("2歳",Z156)),"2歳戦",IF(ISNUMBER(SEARCH("3歳未勝利",Z156)),"3歳未勝利",IF(ISNUMBER(SEARCH("未勝利",Z156)),"その他未勝利",IF(ISNUMBER(SEARCH("G1",Z156)),"G1",IF(ISNUMBER(SEARCH("G2",Z156)),"G2",IF(ISNUMBER(SEARCH("G3",Z156)),"G3",IF(ISNUMBER(SEARCH("古馬条件",Z156)),"古馬条件戦",IF(ISNUMBER(SEARCH("重賞",Z156)),"重賞","分類不能")))))))))</f>
        <v>分類不能</v>
      </c>
      <c r="AR156" s="4" t="s">
        <v>7709</v>
      </c>
      <c r="AS156" s="8" t="s">
        <v>7626</v>
      </c>
      <c r="AT156" s="8" t="s">
        <v>7627</v>
      </c>
      <c r="AU156" s="8" t="s">
        <v>7643</v>
      </c>
      <c r="AV156" s="4" t="s">
        <v>7644</v>
      </c>
      <c r="AW156" s="8" t="s">
        <v>7636</v>
      </c>
      <c r="AX156" s="4" t="s">
        <v>7637</v>
      </c>
      <c r="AY156" s="8" t="s">
        <v>7602</v>
      </c>
      <c r="AZ156" s="4" t="s">
        <v>7603</v>
      </c>
      <c r="BA156" s="8" t="n">
        <v>1200</v>
      </c>
      <c r="BB156" s="8" t="s">
        <v>7598</v>
      </c>
      <c r="BC156" s="4" t="s">
        <v>7604</v>
      </c>
      <c r="BD156" s="8" t="s">
        <v>7666</v>
      </c>
      <c r="BE156" s="4" t="s">
        <v>7606</v>
      </c>
      <c r="BF156" s="8" t="s">
        <v>7607</v>
      </c>
      <c r="BG156" s="8" t="s">
        <v>7610</v>
      </c>
      <c r="BH156" s="4" t="s">
        <v>7646</v>
      </c>
      <c r="BI156" s="8" t="n">
        <v>9</v>
      </c>
      <c r="BJ156" s="8" t="s">
        <v>7602</v>
      </c>
      <c r="BK156" s="4" t="s">
        <v>7653</v>
      </c>
      <c r="BL156" s="8" t="s">
        <v>7602</v>
      </c>
      <c r="BM156" s="4" t="s">
        <v>7620</v>
      </c>
      <c r="BN156" s="8" t="s">
        <v>7631</v>
      </c>
      <c r="BO156" s="8" t="s">
        <v>7680</v>
      </c>
      <c r="BP156" s="8" t="s">
        <v>7602</v>
      </c>
      <c r="BQ156" s="8" t="str">
        <f aca="false">IF(A156="","",AT156)</f>
        <v>3歳以上</v>
      </c>
      <c r="BR156" s="8" t="str">
        <f aca="false">IF(A156="","",IF(BA156&lt;=1200,"～1200",IF(BA156&lt;=1500,"1300～1500",IF(BA156=1600,"1600",IF(BA156&lt;=1800,"1700～1800",IF(BA156&lt;=2000,"1900～2000","2100以上"))))))</f>
        <v>～1200</v>
      </c>
      <c r="BS156" s="8" t="str">
        <f aca="false">IF(A156="","",IF(AX156="G1","G1",IF(AX156="G2","G2",IF(AX156="G3","G3",IF(AX156="L","L","その他")))))</f>
        <v>その他</v>
      </c>
      <c r="BT156" s="8" t="str">
        <f aca="false">IF(A156="","",IF(BI156="","未結合",IF(D156=BI156,"一致","不一致")))</f>
        <v>一致</v>
      </c>
      <c r="BU156" s="8" t="str">
        <f aca="false">IF(A156="","",IF(BE156="牝馬限定","牝馬限定","その他"))</f>
        <v>その他</v>
      </c>
    </row>
    <row r="157" customFormat="false" ht="15.75" hidden="false" customHeight="false" outlineLevel="0" collapsed="false">
      <c r="A157" s="6" t="n">
        <v>46214</v>
      </c>
      <c r="B157" s="4" t="s">
        <v>915</v>
      </c>
      <c r="C157" s="8" t="n">
        <v>12</v>
      </c>
      <c r="D157" s="8" t="n">
        <v>15</v>
      </c>
      <c r="E157" s="8" t="n">
        <v>15</v>
      </c>
      <c r="F157" s="4" t="s">
        <v>2015</v>
      </c>
      <c r="G157" s="8" t="n">
        <v>62</v>
      </c>
      <c r="H157" s="8" t="n">
        <v>6</v>
      </c>
      <c r="I157" s="4" t="s">
        <v>2006</v>
      </c>
      <c r="J157" s="8" t="n">
        <v>47</v>
      </c>
      <c r="K157" s="8" t="n">
        <v>10</v>
      </c>
      <c r="L157" s="4" t="s">
        <v>2010</v>
      </c>
      <c r="M157" s="8" t="n">
        <v>29</v>
      </c>
      <c r="N157" s="8" t="n">
        <v>15</v>
      </c>
      <c r="O157" s="8" t="n">
        <v>18</v>
      </c>
      <c r="P157" s="8" t="n">
        <v>109</v>
      </c>
      <c r="Q157" s="8" t="str">
        <f aca="false">IF(A157="","",IF(AND(Y157&lt;&gt;"参考",G157&gt;=ルール設定!$B$2),"○",""))</f>
        <v/>
      </c>
      <c r="R157" s="8" t="str">
        <f aca="false">IF(A157="","",IF(AND(Y157&lt;&gt;"参考",G157&gt;=ルール設定!$B$3,N157&gt;=ルール設定!$B$4),"○",""))</f>
        <v/>
      </c>
      <c r="S157" s="8" t="str">
        <f aca="false">IF(A157="","",IF(AND(Y157&lt;&gt;"参考",G157&gt;=ルール設定!$B$5,J157&gt;=ルール設定!$B$6,O157&gt;=ルール設定!$B$7),"○",""))</f>
        <v/>
      </c>
      <c r="T157" s="8" t="n">
        <v>3</v>
      </c>
      <c r="U157" s="8" t="n">
        <v>1</v>
      </c>
      <c r="V157" s="8" t="str">
        <f aca="false">IF(A157="","",IF(AND(ISNUMBER(T157),ISNUMBER(U157)),IF(AND(T157&lt;=3,U157&lt;=3),"○","×"),""))</f>
        <v>○</v>
      </c>
      <c r="W157" s="8" t="n">
        <v>170</v>
      </c>
      <c r="X157" s="8" t="n">
        <v>790</v>
      </c>
      <c r="Y157" s="4" t="s">
        <v>7597</v>
      </c>
      <c r="Z157" s="4" t="s">
        <v>7706</v>
      </c>
      <c r="AA157" s="8" t="str">
        <v/>
      </c>
      <c r="AB157" s="8" t="str">
        <v/>
      </c>
      <c r="AC157" s="8" t="str">
        <v/>
      </c>
      <c r="AD157" s="8" t="str">
        <v/>
      </c>
      <c r="AE157" s="8" t="str">
        <v/>
      </c>
      <c r="AF157" s="8" t="str">
        <v/>
      </c>
      <c r="AG157" s="8" t="str">
        <v/>
      </c>
      <c r="AH157" s="8" t="str">
        <v/>
      </c>
      <c r="AI157" s="8" t="n">
        <v>33</v>
      </c>
      <c r="AJ157" s="8" t="str">
        <v>60～69</v>
      </c>
      <c r="AK157" s="8" t="str">
        <v>10～19</v>
      </c>
      <c r="AL157" s="8" t="str">
        <v>30～39</v>
      </c>
      <c r="AM157" s="8" t="str">
        <v>100～119</v>
      </c>
      <c r="AN157" s="8" t="str">
        <v>15以上</v>
      </c>
      <c r="AO157" s="8" t="str">
        <f aca="false">IF(A157="","",IF(COUNTIFS(全馬データ!$A$2:$A$50000,A157,全馬データ!$B$2:$B$50000,B157,全馬データ!$C$2:$C$50000,C157,全馬データ!$D$2:$D$50000,E157,全馬データ!$K$2:$K$50000,"&lt;&gt;")=0,"",SUMIFS(全馬データ!$K$2:$K$50000,全馬データ!$A$2:$A$50000,A157,全馬データ!$B$2:$B$50000,B157,全馬データ!$C$2:$C$50000,C157,全馬データ!$D$2:$D$50000,E157)))</f>
        <v/>
      </c>
      <c r="AP157" s="8" t="str">
        <f aca="false">IF(A157="","",IF(AO157="","欠損",IF(AO157&lt;=1.1,"1.0～1.1",IF(AO157&lt;1.3,"1.2",IF(AO157&lt;1.5,"1.3～1.4",IF(AO157&lt;2,"1.5～1.9","2.0以上"))))))</f>
        <v>欠損</v>
      </c>
      <c r="AQ157" s="8" t="str">
        <f aca="false">IF(A157="","",IF(ISNUMBER(SEARCH("2歳",Z157)),"2歳戦",IF(ISNUMBER(SEARCH("3歳未勝利",Z157)),"3歳未勝利",IF(ISNUMBER(SEARCH("未勝利",Z157)),"その他未勝利",IF(ISNUMBER(SEARCH("G1",Z157)),"G1",IF(ISNUMBER(SEARCH("G2",Z157)),"G2",IF(ISNUMBER(SEARCH("G3",Z157)),"G3",IF(ISNUMBER(SEARCH("古馬条件",Z157)),"古馬条件戦",IF(ISNUMBER(SEARCH("重賞",Z157)),"重賞","分類不能")))))))))</f>
        <v>分類不能</v>
      </c>
      <c r="AR157" s="8"/>
      <c r="AS157" s="8" t="s">
        <v>7626</v>
      </c>
      <c r="AT157" s="8" t="s">
        <v>7627</v>
      </c>
      <c r="AU157" s="8" t="s">
        <v>7628</v>
      </c>
      <c r="AV157" s="8" t="s">
        <v>7629</v>
      </c>
      <c r="AW157" s="8"/>
      <c r="AX157" s="8"/>
      <c r="AY157" s="8" t="s">
        <v>7610</v>
      </c>
      <c r="AZ157" s="4" t="s">
        <v>7617</v>
      </c>
      <c r="BA157" s="8" t="n">
        <v>1700</v>
      </c>
      <c r="BB157" s="8" t="s">
        <v>7598</v>
      </c>
      <c r="BC157" s="4" t="s">
        <v>7604</v>
      </c>
      <c r="BD157" s="8" t="s">
        <v>7605</v>
      </c>
      <c r="BE157" s="4" t="s">
        <v>7606</v>
      </c>
      <c r="BF157" s="8" t="s">
        <v>7607</v>
      </c>
      <c r="BG157" s="8" t="s">
        <v>7631</v>
      </c>
      <c r="BH157" s="4" t="s">
        <v>7632</v>
      </c>
      <c r="BI157" s="8" t="n">
        <v>15</v>
      </c>
      <c r="BJ157" s="8" t="s">
        <v>7602</v>
      </c>
      <c r="BK157" s="4" t="s">
        <v>7653</v>
      </c>
      <c r="BL157" s="8" t="s">
        <v>7602</v>
      </c>
      <c r="BM157" s="4" t="s">
        <v>7620</v>
      </c>
      <c r="BN157" s="8"/>
      <c r="BO157" s="8"/>
      <c r="BP157" s="8" t="s">
        <v>7602</v>
      </c>
      <c r="BQ157" s="8" t="str">
        <f aca="false">IF(A157="","",AT157)</f>
        <v>3歳以上</v>
      </c>
      <c r="BR157" s="8" t="str">
        <f aca="false">IF(A157="","",IF(BA157&lt;=1200,"～1200",IF(BA157&lt;=1500,"1300～1500",IF(BA157=1600,"1600",IF(BA157&lt;=1800,"1700～1800",IF(BA157&lt;=2000,"1900～2000","2100以上"))))))</f>
        <v>1700～1800</v>
      </c>
      <c r="BS157" s="8" t="str">
        <f aca="false">IF(A157="","",IF(AX157="G1","G1",IF(AX157="G2","G2",IF(AX157="G3","G3",IF(AX157="L","L","その他")))))</f>
        <v>その他</v>
      </c>
      <c r="BT157" s="8" t="str">
        <f aca="false">IF(A157="","",IF(BI157="","未結合",IF(D157=BI157,"一致","不一致")))</f>
        <v>一致</v>
      </c>
      <c r="BU157" s="8" t="str">
        <f aca="false">IF(A157="","",IF(BE157="牝馬限定","牝馬限定","その他"))</f>
        <v>その他</v>
      </c>
    </row>
    <row r="158" customFormat="false" ht="15.75" hidden="false" customHeight="false" outlineLevel="0" collapsed="false">
      <c r="A158" s="6" t="n">
        <v>46214</v>
      </c>
      <c r="B158" s="4" t="s">
        <v>1091</v>
      </c>
      <c r="C158" s="8" t="n">
        <v>1</v>
      </c>
      <c r="D158" s="8" t="n">
        <v>12</v>
      </c>
      <c r="E158" s="8" t="n">
        <v>10</v>
      </c>
      <c r="F158" s="4" t="s">
        <v>2025</v>
      </c>
      <c r="G158" s="8" t="n">
        <v>71</v>
      </c>
      <c r="H158" s="8" t="n">
        <v>11</v>
      </c>
      <c r="I158" s="4" t="s">
        <v>2026</v>
      </c>
      <c r="J158" s="8" t="n">
        <v>62</v>
      </c>
      <c r="K158" s="8" t="n">
        <v>1</v>
      </c>
      <c r="L158" s="4" t="s">
        <v>2016</v>
      </c>
      <c r="M158" s="8" t="n">
        <v>41</v>
      </c>
      <c r="N158" s="8" t="n">
        <v>9</v>
      </c>
      <c r="O158" s="8" t="n">
        <v>21</v>
      </c>
      <c r="P158" s="8" t="n">
        <v>133</v>
      </c>
      <c r="Q158" s="8" t="str">
        <f aca="false">IF(A158="","",IF(AND(Y158&lt;&gt;"参考",G158&gt;=ルール設定!$B$2),"○",""))</f>
        <v/>
      </c>
      <c r="R158" s="8" t="str">
        <f aca="false">IF(A158="","",IF(AND(Y158&lt;&gt;"参考",G158&gt;=ルール設定!$B$3,N158&gt;=ルール設定!$B$4),"○",""))</f>
        <v/>
      </c>
      <c r="S158" s="8" t="str">
        <f aca="false">IF(A158="","",IF(AND(Y158&lt;&gt;"参考",G158&gt;=ルール設定!$B$5,J158&gt;=ルール設定!$B$6,O158&gt;=ルール設定!$B$7),"○",""))</f>
        <v>○</v>
      </c>
      <c r="T158" s="8" t="n">
        <v>1</v>
      </c>
      <c r="U158" s="8" t="n">
        <v>4</v>
      </c>
      <c r="V158" s="8" t="str">
        <f aca="false">IF(A158="","",IF(AND(ISNUMBER(T158),ISNUMBER(U158)),IF(AND(T158&lt;=3,U158&lt;=3),"○","×"),""))</f>
        <v>×</v>
      </c>
      <c r="W158" s="8" t="n">
        <v>110</v>
      </c>
      <c r="X158" s="8"/>
      <c r="Y158" s="4" t="s">
        <v>7597</v>
      </c>
      <c r="Z158" s="4" t="s">
        <v>7706</v>
      </c>
      <c r="AA158" s="8" t="str">
        <v/>
      </c>
      <c r="AB158" s="8" t="str">
        <v/>
      </c>
      <c r="AC158" s="8" t="str">
        <v/>
      </c>
      <c r="AD158" s="8" t="str">
        <v/>
      </c>
      <c r="AE158" s="8" t="str">
        <v/>
      </c>
      <c r="AF158" s="8" t="str">
        <v/>
      </c>
      <c r="AG158" s="8" t="str">
        <v/>
      </c>
      <c r="AH158" s="8" t="str">
        <v/>
      </c>
      <c r="AI158" s="8" t="n">
        <v>30</v>
      </c>
      <c r="AJ158" s="8" t="str">
        <v>70～74</v>
      </c>
      <c r="AK158" s="8" t="str">
        <v>5～9</v>
      </c>
      <c r="AL158" s="8" t="str">
        <v>30～39</v>
      </c>
      <c r="AM158" s="8" t="str">
        <v>120～139</v>
      </c>
      <c r="AN158" s="8" t="str">
        <v>12～14</v>
      </c>
      <c r="AO158" s="8" t="str">
        <f aca="false">IF(A158="","",IF(COUNTIFS(全馬データ!$A$2:$A$50000,A158,全馬データ!$B$2:$B$50000,B158,全馬データ!$C$2:$C$50000,C158,全馬データ!$D$2:$D$50000,E158,全馬データ!$K$2:$K$50000,"&lt;&gt;")=0,"",SUMIFS(全馬データ!$K$2:$K$50000,全馬データ!$A$2:$A$50000,A158,全馬データ!$B$2:$B$50000,B158,全馬データ!$C$2:$C$50000,C158,全馬データ!$D$2:$D$50000,E158)))</f>
        <v/>
      </c>
      <c r="AP158" s="8" t="str">
        <f aca="false">IF(A158="","",IF(AO158="","欠損",IF(AO158&lt;=1.1,"1.0～1.1",IF(AO158&lt;1.3,"1.2",IF(AO158&lt;1.5,"1.3～1.4",IF(AO158&lt;2,"1.5～1.9","2.0以上"))))))</f>
        <v>欠損</v>
      </c>
      <c r="AQ158" s="8" t="str">
        <f aca="false">IF(A158="","",IF(ISNUMBER(SEARCH("2歳",Z158)),"2歳戦",IF(ISNUMBER(SEARCH("3歳未勝利",Z158)),"3歳未勝利",IF(ISNUMBER(SEARCH("未勝利",Z158)),"その他未勝利",IF(ISNUMBER(SEARCH("G1",Z158)),"G1",IF(ISNUMBER(SEARCH("G2",Z158)),"G2",IF(ISNUMBER(SEARCH("G3",Z158)),"G3",IF(ISNUMBER(SEARCH("古馬条件",Z158)),"古馬条件戦",IF(ISNUMBER(SEARCH("重賞",Z158)),"重賞","分類不能")))))))))</f>
        <v>分類不能</v>
      </c>
      <c r="AR158" s="8"/>
      <c r="AS158" s="8" t="s">
        <v>7598</v>
      </c>
      <c r="AT158" s="8" t="s">
        <v>7599</v>
      </c>
      <c r="AU158" s="8" t="s">
        <v>7600</v>
      </c>
      <c r="AV158" s="4" t="s">
        <v>7601</v>
      </c>
      <c r="AW158" s="8"/>
      <c r="AX158" s="8"/>
      <c r="AY158" s="8" t="s">
        <v>7602</v>
      </c>
      <c r="AZ158" s="4" t="s">
        <v>7603</v>
      </c>
      <c r="BA158" s="8" t="n">
        <v>1200</v>
      </c>
      <c r="BB158" s="8" t="s">
        <v>7598</v>
      </c>
      <c r="BC158" s="4" t="s">
        <v>7604</v>
      </c>
      <c r="BD158" s="8" t="s">
        <v>7605</v>
      </c>
      <c r="BE158" s="4" t="s">
        <v>7606</v>
      </c>
      <c r="BF158" s="8" t="s">
        <v>7607</v>
      </c>
      <c r="BG158" s="8" t="s">
        <v>7608</v>
      </c>
      <c r="BH158" s="4" t="s">
        <v>7609</v>
      </c>
      <c r="BI158" s="8" t="n">
        <v>12</v>
      </c>
      <c r="BJ158" s="8" t="s">
        <v>7602</v>
      </c>
      <c r="BK158" s="4" t="s">
        <v>7653</v>
      </c>
      <c r="BL158" s="8" t="s">
        <v>7602</v>
      </c>
      <c r="BM158" s="4" t="s">
        <v>7620</v>
      </c>
      <c r="BN158" s="8" t="s">
        <v>7602</v>
      </c>
      <c r="BO158" s="8" t="s">
        <v>7613</v>
      </c>
      <c r="BP158" s="8" t="s">
        <v>7610</v>
      </c>
      <c r="BQ158" s="8" t="str">
        <f aca="false">IF(A158="","",AT158)</f>
        <v>2歳</v>
      </c>
      <c r="BR158" s="8" t="str">
        <f aca="false">IF(A158="","",IF(BA158&lt;=1200,"～1200",IF(BA158&lt;=1500,"1300～1500",IF(BA158=1600,"1600",IF(BA158&lt;=1800,"1700～1800",IF(BA158&lt;=2000,"1900～2000","2100以上"))))))</f>
        <v>～1200</v>
      </c>
      <c r="BS158" s="8" t="str">
        <f aca="false">IF(A158="","",IF(AX158="G1","G1",IF(AX158="G2","G2",IF(AX158="G3","G3",IF(AX158="L","L","その他")))))</f>
        <v>その他</v>
      </c>
      <c r="BT158" s="8" t="str">
        <f aca="false">IF(A158="","",IF(BI158="","未結合",IF(D158=BI158,"一致","不一致")))</f>
        <v>一致</v>
      </c>
      <c r="BU158" s="8" t="str">
        <f aca="false">IF(A158="","",IF(BE158="牝馬限定","牝馬限定","その他"))</f>
        <v>その他</v>
      </c>
    </row>
    <row r="159" customFormat="false" ht="15.75" hidden="false" customHeight="false" outlineLevel="0" collapsed="false">
      <c r="A159" s="6" t="n">
        <v>46214</v>
      </c>
      <c r="B159" s="4" t="s">
        <v>1091</v>
      </c>
      <c r="C159" s="8" t="n">
        <v>2</v>
      </c>
      <c r="D159" s="8" t="n">
        <v>16</v>
      </c>
      <c r="E159" s="8" t="n">
        <v>8</v>
      </c>
      <c r="F159" s="4" t="s">
        <v>2035</v>
      </c>
      <c r="G159" s="8" t="n">
        <v>52</v>
      </c>
      <c r="H159" s="8" t="n">
        <v>15</v>
      </c>
      <c r="I159" s="4" t="s">
        <v>2040</v>
      </c>
      <c r="J159" s="8" t="n">
        <v>47</v>
      </c>
      <c r="K159" s="8" t="n">
        <v>2</v>
      </c>
      <c r="L159" s="4" t="s">
        <v>2029</v>
      </c>
      <c r="M159" s="8" t="n">
        <v>41</v>
      </c>
      <c r="N159" s="8" t="n">
        <v>5</v>
      </c>
      <c r="O159" s="8" t="n">
        <v>6</v>
      </c>
      <c r="P159" s="8" t="n">
        <v>99</v>
      </c>
      <c r="Q159" s="8" t="str">
        <f aca="false">IF(A159="","",IF(AND(Y159&lt;&gt;"参考",G159&gt;=ルール設定!$B$2),"○",""))</f>
        <v/>
      </c>
      <c r="R159" s="8" t="str">
        <f aca="false">IF(A159="","",IF(AND(Y159&lt;&gt;"参考",G159&gt;=ルール設定!$B$3,N159&gt;=ルール設定!$B$4),"○",""))</f>
        <v/>
      </c>
      <c r="S159" s="8" t="str">
        <f aca="false">IF(A159="","",IF(AND(Y159&lt;&gt;"参考",G159&gt;=ルール設定!$B$5,J159&gt;=ルール設定!$B$6,O159&gt;=ルール設定!$B$7),"○",""))</f>
        <v/>
      </c>
      <c r="T159" s="8" t="n">
        <v>1</v>
      </c>
      <c r="U159" s="8" t="n">
        <v>4</v>
      </c>
      <c r="V159" s="8" t="str">
        <f aca="false">IF(A159="","",IF(AND(ISNUMBER(T159),ISNUMBER(U159)),IF(AND(T159&lt;=3,U159&lt;=3),"○","×"),""))</f>
        <v>×</v>
      </c>
      <c r="W159" s="8" t="n">
        <v>130</v>
      </c>
      <c r="X159" s="8"/>
      <c r="Y159" s="4" t="s">
        <v>7597</v>
      </c>
      <c r="Z159" s="4" t="s">
        <v>7706</v>
      </c>
      <c r="AA159" s="8" t="str">
        <v/>
      </c>
      <c r="AB159" s="8" t="str">
        <v/>
      </c>
      <c r="AC159" s="8" t="str">
        <v/>
      </c>
      <c r="AD159" s="8" t="str">
        <v/>
      </c>
      <c r="AE159" s="8" t="str">
        <v/>
      </c>
      <c r="AF159" s="8" t="str">
        <v/>
      </c>
      <c r="AG159" s="8" t="str">
        <v/>
      </c>
      <c r="AH159" s="8" t="str">
        <v/>
      </c>
      <c r="AI159" s="8" t="n">
        <v>11</v>
      </c>
      <c r="AJ159" s="8" t="str">
        <v>～59</v>
      </c>
      <c r="AK159" s="8" t="str">
        <v>5～9</v>
      </c>
      <c r="AL159" s="8" t="str">
        <v>10～19</v>
      </c>
      <c r="AM159" s="8" t="str">
        <v>～99</v>
      </c>
      <c r="AN159" s="8" t="str">
        <v>15以上</v>
      </c>
      <c r="AO159" s="8" t="str">
        <f aca="false">IF(A159="","",IF(COUNTIFS(全馬データ!$A$2:$A$50000,A159,全馬データ!$B$2:$B$50000,B159,全馬データ!$C$2:$C$50000,C159,全馬データ!$D$2:$D$50000,E159,全馬データ!$K$2:$K$50000,"&lt;&gt;")=0,"",SUMIFS(全馬データ!$K$2:$K$50000,全馬データ!$A$2:$A$50000,A159,全馬データ!$B$2:$B$50000,B159,全馬データ!$C$2:$C$50000,C159,全馬データ!$D$2:$D$50000,E159)))</f>
        <v/>
      </c>
      <c r="AP159" s="8" t="str">
        <f aca="false">IF(A159="","",IF(AO159="","欠損",IF(AO159&lt;=1.1,"1.0～1.1",IF(AO159&lt;1.3,"1.2",IF(AO159&lt;1.5,"1.3～1.4",IF(AO159&lt;2,"1.5～1.9","2.0以上"))))))</f>
        <v>欠損</v>
      </c>
      <c r="AQ159" s="8" t="str">
        <f aca="false">IF(A159="","",IF(ISNUMBER(SEARCH("2歳",Z159)),"2歳戦",IF(ISNUMBER(SEARCH("3歳未勝利",Z159)),"3歳未勝利",IF(ISNUMBER(SEARCH("未勝利",Z159)),"その他未勝利",IF(ISNUMBER(SEARCH("G1",Z159)),"G1",IF(ISNUMBER(SEARCH("G2",Z159)),"G2",IF(ISNUMBER(SEARCH("G3",Z159)),"G3",IF(ISNUMBER(SEARCH("古馬条件",Z159)),"古馬条件戦",IF(ISNUMBER(SEARCH("重賞",Z159)),"重賞","分類不能")))))))))</f>
        <v>分類不能</v>
      </c>
      <c r="AR159" s="8"/>
      <c r="AS159" s="8" t="s">
        <v>7623</v>
      </c>
      <c r="AT159" s="8" t="s">
        <v>7624</v>
      </c>
      <c r="AU159" s="8" t="s">
        <v>7600</v>
      </c>
      <c r="AV159" s="4" t="s">
        <v>7601</v>
      </c>
      <c r="AW159" s="8"/>
      <c r="AX159" s="8"/>
      <c r="AY159" s="8" t="s">
        <v>7610</v>
      </c>
      <c r="AZ159" s="4" t="s">
        <v>7617</v>
      </c>
      <c r="BA159" s="8" t="n">
        <v>1700</v>
      </c>
      <c r="BB159" s="8" t="s">
        <v>7598</v>
      </c>
      <c r="BC159" s="4" t="s">
        <v>7604</v>
      </c>
      <c r="BD159" s="8" t="s">
        <v>7625</v>
      </c>
      <c r="BE159" s="4" t="s">
        <v>7606</v>
      </c>
      <c r="BF159" s="8" t="s">
        <v>7607</v>
      </c>
      <c r="BG159" s="8" t="s">
        <v>7608</v>
      </c>
      <c r="BH159" s="4" t="s">
        <v>7609</v>
      </c>
      <c r="BI159" s="8" t="n">
        <v>16</v>
      </c>
      <c r="BJ159" s="8" t="s">
        <v>7602</v>
      </c>
      <c r="BK159" s="4" t="s">
        <v>7653</v>
      </c>
      <c r="BL159" s="8" t="s">
        <v>7602</v>
      </c>
      <c r="BM159" s="4" t="s">
        <v>7620</v>
      </c>
      <c r="BN159" s="8"/>
      <c r="BO159" s="8"/>
      <c r="BP159" s="8" t="s">
        <v>7610</v>
      </c>
      <c r="BQ159" s="8" t="str">
        <f aca="false">IF(A159="","",AT159)</f>
        <v>3歳</v>
      </c>
      <c r="BR159" s="8" t="str">
        <f aca="false">IF(A159="","",IF(BA159&lt;=1200,"～1200",IF(BA159&lt;=1500,"1300～1500",IF(BA159=1600,"1600",IF(BA159&lt;=1800,"1700～1800",IF(BA159&lt;=2000,"1900～2000","2100以上"))))))</f>
        <v>1700～1800</v>
      </c>
      <c r="BS159" s="8" t="str">
        <f aca="false">IF(A159="","",IF(AX159="G1","G1",IF(AX159="G2","G2",IF(AX159="G3","G3",IF(AX159="L","L","その他")))))</f>
        <v>その他</v>
      </c>
      <c r="BT159" s="8" t="str">
        <f aca="false">IF(A159="","",IF(BI159="","未結合",IF(D159=BI159,"一致","不一致")))</f>
        <v>一致</v>
      </c>
      <c r="BU159" s="8" t="str">
        <f aca="false">IF(A159="","",IF(BE159="牝馬限定","牝馬限定","その他"))</f>
        <v>その他</v>
      </c>
    </row>
    <row r="160" customFormat="false" ht="15.75" hidden="false" customHeight="false" outlineLevel="0" collapsed="false">
      <c r="A160" s="6" t="n">
        <v>46214</v>
      </c>
      <c r="B160" s="4" t="s">
        <v>1091</v>
      </c>
      <c r="C160" s="8" t="n">
        <v>3</v>
      </c>
      <c r="D160" s="8" t="n">
        <v>18</v>
      </c>
      <c r="E160" s="8" t="n">
        <v>6</v>
      </c>
      <c r="F160" s="4" t="s">
        <v>2047</v>
      </c>
      <c r="G160" s="8" t="n">
        <v>41</v>
      </c>
      <c r="H160" s="8" t="n">
        <v>14</v>
      </c>
      <c r="I160" s="4" t="s">
        <v>2053</v>
      </c>
      <c r="J160" s="8" t="n">
        <v>41</v>
      </c>
      <c r="K160" s="8" t="n">
        <v>9</v>
      </c>
      <c r="L160" s="4" t="s">
        <v>2048</v>
      </c>
      <c r="M160" s="8" t="n">
        <v>37</v>
      </c>
      <c r="N160" s="8" t="n">
        <v>0</v>
      </c>
      <c r="O160" s="8" t="n">
        <v>4</v>
      </c>
      <c r="P160" s="8" t="n">
        <v>82</v>
      </c>
      <c r="Q160" s="8" t="str">
        <f aca="false">IF(A160="","",IF(AND(Y160&lt;&gt;"参考",G160&gt;=ルール設定!$B$2),"○",""))</f>
        <v/>
      </c>
      <c r="R160" s="8" t="str">
        <f aca="false">IF(A160="","",IF(AND(Y160&lt;&gt;"参考",G160&gt;=ルール設定!$B$3,N160&gt;=ルール設定!$B$4),"○",""))</f>
        <v/>
      </c>
      <c r="S160" s="8" t="str">
        <f aca="false">IF(A160="","",IF(AND(Y160&lt;&gt;"参考",G160&gt;=ルール設定!$B$5,J160&gt;=ルール設定!$B$6,O160&gt;=ルール設定!$B$7),"○",""))</f>
        <v/>
      </c>
      <c r="T160" s="8" t="n">
        <v>4</v>
      </c>
      <c r="U160" s="8" t="n">
        <v>2</v>
      </c>
      <c r="V160" s="8" t="str">
        <f aca="false">IF(A160="","",IF(AND(ISNUMBER(T160),ISNUMBER(U160)),IF(AND(T160&lt;=3,U160&lt;=3),"○","×"),""))</f>
        <v>×</v>
      </c>
      <c r="W160" s="8"/>
      <c r="X160" s="8"/>
      <c r="Y160" s="4" t="s">
        <v>7597</v>
      </c>
      <c r="Z160" s="4" t="s">
        <v>7706</v>
      </c>
      <c r="AA160" s="8" t="str">
        <v/>
      </c>
      <c r="AB160" s="8" t="str">
        <v/>
      </c>
      <c r="AC160" s="8" t="str">
        <v/>
      </c>
      <c r="AD160" s="8" t="str">
        <v/>
      </c>
      <c r="AE160" s="8" t="str">
        <v/>
      </c>
      <c r="AF160" s="8" t="str">
        <v/>
      </c>
      <c r="AG160" s="8" t="str">
        <v/>
      </c>
      <c r="AH160" s="8" t="str">
        <v/>
      </c>
      <c r="AI160" s="8" t="n">
        <v>4</v>
      </c>
      <c r="AJ160" s="8" t="str">
        <v>～59</v>
      </c>
      <c r="AK160" s="8" t="str">
        <v>0～4</v>
      </c>
      <c r="AL160" s="8" t="str">
        <v>0～9</v>
      </c>
      <c r="AM160" s="8" t="str">
        <v>～99</v>
      </c>
      <c r="AN160" s="8" t="str">
        <v>15以上</v>
      </c>
      <c r="AO160" s="8" t="str">
        <f aca="false">IF(A160="","",IF(COUNTIFS(全馬データ!$A$2:$A$50000,A160,全馬データ!$B$2:$B$50000,B160,全馬データ!$C$2:$C$50000,C160,全馬データ!$D$2:$D$50000,E160,全馬データ!$K$2:$K$50000,"&lt;&gt;")=0,"",SUMIFS(全馬データ!$K$2:$K$50000,全馬データ!$A$2:$A$50000,A160,全馬データ!$B$2:$B$50000,B160,全馬データ!$C$2:$C$50000,C160,全馬データ!$D$2:$D$50000,E160)))</f>
        <v/>
      </c>
      <c r="AP160" s="8" t="str">
        <f aca="false">IF(A160="","",IF(AO160="","欠損",IF(AO160&lt;=1.1,"1.0～1.1",IF(AO160&lt;1.3,"1.2",IF(AO160&lt;1.5,"1.3～1.4",IF(AO160&lt;2,"1.5～1.9","2.0以上"))))))</f>
        <v>欠損</v>
      </c>
      <c r="AQ160" s="8" t="str">
        <f aca="false">IF(A160="","",IF(ISNUMBER(SEARCH("2歳",Z160)),"2歳戦",IF(ISNUMBER(SEARCH("3歳未勝利",Z160)),"3歳未勝利",IF(ISNUMBER(SEARCH("未勝利",Z160)),"その他未勝利",IF(ISNUMBER(SEARCH("G1",Z160)),"G1",IF(ISNUMBER(SEARCH("G2",Z160)),"G2",IF(ISNUMBER(SEARCH("G3",Z160)),"G3",IF(ISNUMBER(SEARCH("古馬条件",Z160)),"古馬条件戦",IF(ISNUMBER(SEARCH("重賞",Z160)),"重賞","分類不能")))))))))</f>
        <v>分類不能</v>
      </c>
      <c r="AR160" s="8"/>
      <c r="AS160" s="8" t="s">
        <v>7623</v>
      </c>
      <c r="AT160" s="8" t="s">
        <v>7624</v>
      </c>
      <c r="AU160" s="8" t="s">
        <v>7600</v>
      </c>
      <c r="AV160" s="4" t="s">
        <v>7601</v>
      </c>
      <c r="AW160" s="8"/>
      <c r="AX160" s="8"/>
      <c r="AY160" s="8" t="s">
        <v>7602</v>
      </c>
      <c r="AZ160" s="4" t="s">
        <v>7603</v>
      </c>
      <c r="BA160" s="8" t="n">
        <v>2000</v>
      </c>
      <c r="BB160" s="8" t="s">
        <v>7598</v>
      </c>
      <c r="BC160" s="4" t="s">
        <v>7604</v>
      </c>
      <c r="BD160" s="8" t="s">
        <v>7621</v>
      </c>
      <c r="BE160" s="4" t="s">
        <v>7622</v>
      </c>
      <c r="BF160" s="8" t="s">
        <v>7602</v>
      </c>
      <c r="BG160" s="8" t="s">
        <v>7608</v>
      </c>
      <c r="BH160" s="4" t="s">
        <v>7609</v>
      </c>
      <c r="BI160" s="8" t="n">
        <v>18</v>
      </c>
      <c r="BJ160" s="8" t="s">
        <v>7602</v>
      </c>
      <c r="BK160" s="4" t="s">
        <v>7653</v>
      </c>
      <c r="BL160" s="8" t="s">
        <v>7602</v>
      </c>
      <c r="BM160" s="4" t="s">
        <v>7620</v>
      </c>
      <c r="BN160" s="8" t="s">
        <v>7602</v>
      </c>
      <c r="BO160" s="8" t="s">
        <v>7613</v>
      </c>
      <c r="BP160" s="8" t="s">
        <v>7610</v>
      </c>
      <c r="BQ160" s="8" t="str">
        <f aca="false">IF(A160="","",AT160)</f>
        <v>3歳</v>
      </c>
      <c r="BR160" s="8" t="str">
        <f aca="false">IF(A160="","",IF(BA160&lt;=1200,"～1200",IF(BA160&lt;=1500,"1300～1500",IF(BA160=1600,"1600",IF(BA160&lt;=1800,"1700～1800",IF(BA160&lt;=2000,"1900～2000","2100以上"))))))</f>
        <v>1900～2000</v>
      </c>
      <c r="BS160" s="8" t="str">
        <f aca="false">IF(A160="","",IF(AX160="G1","G1",IF(AX160="G2","G2",IF(AX160="G3","G3",IF(AX160="L","L","その他")))))</f>
        <v>その他</v>
      </c>
      <c r="BT160" s="8" t="str">
        <f aca="false">IF(A160="","",IF(BI160="","未結合",IF(D160=BI160,"一致","不一致")))</f>
        <v>一致</v>
      </c>
      <c r="BU160" s="8" t="str">
        <f aca="false">IF(A160="","",IF(BE160="牝馬限定","牝馬限定","その他"))</f>
        <v>牝馬限定</v>
      </c>
    </row>
    <row r="161" customFormat="false" ht="15.75" hidden="false" customHeight="false" outlineLevel="0" collapsed="false">
      <c r="A161" s="6" t="n">
        <v>46214</v>
      </c>
      <c r="B161" s="4" t="s">
        <v>1091</v>
      </c>
      <c r="C161" s="8" t="n">
        <v>4</v>
      </c>
      <c r="D161" s="8" t="n">
        <v>16</v>
      </c>
      <c r="E161" s="8" t="n">
        <v>2</v>
      </c>
      <c r="F161" s="4" t="s">
        <v>672</v>
      </c>
      <c r="G161" s="8" t="n">
        <v>71</v>
      </c>
      <c r="H161" s="8" t="n">
        <v>7</v>
      </c>
      <c r="I161" s="4" t="s">
        <v>2062</v>
      </c>
      <c r="J161" s="8" t="n">
        <v>56</v>
      </c>
      <c r="K161" s="8" t="n">
        <v>14</v>
      </c>
      <c r="L161" s="4" t="s">
        <v>775</v>
      </c>
      <c r="M161" s="8" t="n">
        <v>34</v>
      </c>
      <c r="N161" s="8" t="n">
        <v>15</v>
      </c>
      <c r="O161" s="8" t="n">
        <v>22</v>
      </c>
      <c r="P161" s="8" t="n">
        <v>127</v>
      </c>
      <c r="Q161" s="8" t="str">
        <f aca="false">IF(A161="","",IF(AND(Y161&lt;&gt;"参考",G161&gt;=ルール設定!$B$2),"○",""))</f>
        <v/>
      </c>
      <c r="R161" s="8" t="str">
        <f aca="false">IF(A161="","",IF(AND(Y161&lt;&gt;"参考",G161&gt;=ルール設定!$B$3,N161&gt;=ルール設定!$B$4),"○",""))</f>
        <v/>
      </c>
      <c r="S161" s="8" t="str">
        <f aca="false">IF(A161="","",IF(AND(Y161&lt;&gt;"参考",G161&gt;=ルール設定!$B$5,J161&gt;=ルール設定!$B$6,O161&gt;=ルール設定!$B$7),"○",""))</f>
        <v>○</v>
      </c>
      <c r="T161" s="8" t="n">
        <v>3</v>
      </c>
      <c r="U161" s="8" t="n">
        <v>4</v>
      </c>
      <c r="V161" s="8" t="str">
        <f aca="false">IF(A161="","",IF(AND(ISNUMBER(T161),ISNUMBER(U161)),IF(AND(T161&lt;=3,U161&lt;=3),"○","×"),""))</f>
        <v>×</v>
      </c>
      <c r="W161" s="8" t="n">
        <v>110</v>
      </c>
      <c r="X161" s="8"/>
      <c r="Y161" s="4" t="s">
        <v>7597</v>
      </c>
      <c r="Z161" s="4" t="s">
        <v>7706</v>
      </c>
      <c r="AA161" s="8" t="str">
        <v/>
      </c>
      <c r="AB161" s="8" t="str">
        <v/>
      </c>
      <c r="AC161" s="8" t="str">
        <v/>
      </c>
      <c r="AD161" s="8" t="str">
        <v/>
      </c>
      <c r="AE161" s="8" t="str">
        <v/>
      </c>
      <c r="AF161" s="8" t="str">
        <v/>
      </c>
      <c r="AG161" s="8" t="str">
        <v/>
      </c>
      <c r="AH161" s="8" t="str">
        <v/>
      </c>
      <c r="AI161" s="8" t="n">
        <v>37</v>
      </c>
      <c r="AJ161" s="8" t="str">
        <v>70～74</v>
      </c>
      <c r="AK161" s="8" t="str">
        <v>10～19</v>
      </c>
      <c r="AL161" s="8" t="str">
        <v>30～39</v>
      </c>
      <c r="AM161" s="8" t="str">
        <v>120～139</v>
      </c>
      <c r="AN161" s="8" t="str">
        <v>15以上</v>
      </c>
      <c r="AO161" s="8" t="str">
        <f aca="false">IF(A161="","",IF(COUNTIFS(全馬データ!$A$2:$A$50000,A161,全馬データ!$B$2:$B$50000,B161,全馬データ!$C$2:$C$50000,C161,全馬データ!$D$2:$D$50000,E161,全馬データ!$K$2:$K$50000,"&lt;&gt;")=0,"",SUMIFS(全馬データ!$K$2:$K$50000,全馬データ!$A$2:$A$50000,A161,全馬データ!$B$2:$B$50000,B161,全馬データ!$C$2:$C$50000,C161,全馬データ!$D$2:$D$50000,E161)))</f>
        <v/>
      </c>
      <c r="AP161" s="8" t="str">
        <f aca="false">IF(A161="","",IF(AO161="","欠損",IF(AO161&lt;=1.1,"1.0～1.1",IF(AO161&lt;1.3,"1.2",IF(AO161&lt;1.5,"1.3～1.4",IF(AO161&lt;2,"1.5～1.9","2.0以上"))))))</f>
        <v>欠損</v>
      </c>
      <c r="AQ161" s="8" t="str">
        <f aca="false">IF(A161="","",IF(ISNUMBER(SEARCH("2歳",Z161)),"2歳戦",IF(ISNUMBER(SEARCH("3歳未勝利",Z161)),"3歳未勝利",IF(ISNUMBER(SEARCH("未勝利",Z161)),"その他未勝利",IF(ISNUMBER(SEARCH("G1",Z161)),"G1",IF(ISNUMBER(SEARCH("G2",Z161)),"G2",IF(ISNUMBER(SEARCH("G3",Z161)),"G3",IF(ISNUMBER(SEARCH("古馬条件",Z161)),"古馬条件戦",IF(ISNUMBER(SEARCH("重賞",Z161)),"重賞","分類不能")))))))))</f>
        <v>分類不能</v>
      </c>
      <c r="AR161" s="8"/>
      <c r="AS161" s="8" t="s">
        <v>7623</v>
      </c>
      <c r="AT161" s="8" t="s">
        <v>7624</v>
      </c>
      <c r="AU161" s="8" t="s">
        <v>7600</v>
      </c>
      <c r="AV161" s="4" t="s">
        <v>7601</v>
      </c>
      <c r="AW161" s="8"/>
      <c r="AX161" s="8"/>
      <c r="AY161" s="8" t="s">
        <v>7610</v>
      </c>
      <c r="AZ161" s="4" t="s">
        <v>7617</v>
      </c>
      <c r="BA161" s="8" t="n">
        <v>1700</v>
      </c>
      <c r="BB161" s="8" t="s">
        <v>7598</v>
      </c>
      <c r="BC161" s="4" t="s">
        <v>7604</v>
      </c>
      <c r="BD161" s="8" t="s">
        <v>7605</v>
      </c>
      <c r="BE161" s="4" t="s">
        <v>7606</v>
      </c>
      <c r="BF161" s="8" t="s">
        <v>7607</v>
      </c>
      <c r="BG161" s="8" t="s">
        <v>7608</v>
      </c>
      <c r="BH161" s="4" t="s">
        <v>7609</v>
      </c>
      <c r="BI161" s="8" t="n">
        <v>16</v>
      </c>
      <c r="BJ161" s="8" t="s">
        <v>7602</v>
      </c>
      <c r="BK161" s="4" t="s">
        <v>7653</v>
      </c>
      <c r="BL161" s="8" t="s">
        <v>7602</v>
      </c>
      <c r="BM161" s="4" t="s">
        <v>7620</v>
      </c>
      <c r="BN161" s="8"/>
      <c r="BO161" s="8"/>
      <c r="BP161" s="8" t="s">
        <v>7610</v>
      </c>
      <c r="BQ161" s="8" t="str">
        <f aca="false">IF(A161="","",AT161)</f>
        <v>3歳</v>
      </c>
      <c r="BR161" s="8" t="str">
        <f aca="false">IF(A161="","",IF(BA161&lt;=1200,"～1200",IF(BA161&lt;=1500,"1300～1500",IF(BA161=1600,"1600",IF(BA161&lt;=1800,"1700～1800",IF(BA161&lt;=2000,"1900～2000","2100以上"))))))</f>
        <v>1700～1800</v>
      </c>
      <c r="BS161" s="8" t="str">
        <f aca="false">IF(A161="","",IF(AX161="G1","G1",IF(AX161="G2","G2",IF(AX161="G3","G3",IF(AX161="L","L","その他")))))</f>
        <v>その他</v>
      </c>
      <c r="BT161" s="8" t="str">
        <f aca="false">IF(A161="","",IF(BI161="","未結合",IF(D161=BI161,"一致","不一致")))</f>
        <v>一致</v>
      </c>
      <c r="BU161" s="8" t="str">
        <f aca="false">IF(A161="","",IF(BE161="牝馬限定","牝馬限定","その他"))</f>
        <v>その他</v>
      </c>
    </row>
    <row r="162" customFormat="false" ht="15.75" hidden="false" customHeight="false" outlineLevel="0" collapsed="false">
      <c r="A162" s="6" t="n">
        <v>46214</v>
      </c>
      <c r="B162" s="4" t="s">
        <v>1091</v>
      </c>
      <c r="C162" s="8" t="n">
        <v>5</v>
      </c>
      <c r="D162" s="8" t="n">
        <v>12</v>
      </c>
      <c r="E162" s="8" t="n">
        <v>1</v>
      </c>
      <c r="F162" s="4" t="s">
        <v>2071</v>
      </c>
      <c r="G162" s="8" t="n">
        <v>31</v>
      </c>
      <c r="H162" s="8" t="n">
        <v>3</v>
      </c>
      <c r="I162" s="4" t="s">
        <v>2073</v>
      </c>
      <c r="J162" s="8" t="n">
        <v>31</v>
      </c>
      <c r="K162" s="8" t="n">
        <v>12</v>
      </c>
      <c r="L162" s="4" t="s">
        <v>2082</v>
      </c>
      <c r="M162" s="8" t="n">
        <v>27</v>
      </c>
      <c r="N162" s="8" t="n">
        <v>0</v>
      </c>
      <c r="O162" s="8" t="n">
        <v>4</v>
      </c>
      <c r="P162" s="8" t="n">
        <v>62</v>
      </c>
      <c r="Q162" s="8" t="str">
        <f aca="false">IF(A162="","",IF(AND(Y162&lt;&gt;"参考",G162&gt;=ルール設定!$B$2),"○",""))</f>
        <v/>
      </c>
      <c r="R162" s="8" t="str">
        <f aca="false">IF(A162="","",IF(AND(Y162&lt;&gt;"参考",G162&gt;=ルール設定!$B$3,N162&gt;=ルール設定!$B$4),"○",""))</f>
        <v/>
      </c>
      <c r="S162" s="8" t="str">
        <f aca="false">IF(A162="","",IF(AND(Y162&lt;&gt;"参考",G162&gt;=ルール設定!$B$5,J162&gt;=ルール設定!$B$6,O162&gt;=ルール設定!$B$7),"○",""))</f>
        <v/>
      </c>
      <c r="T162" s="8" t="n">
        <v>1</v>
      </c>
      <c r="U162" s="8" t="n">
        <v>4</v>
      </c>
      <c r="V162" s="8" t="str">
        <f aca="false">IF(A162="","",IF(AND(ISNUMBER(T162),ISNUMBER(U162)),IF(AND(T162&lt;=3,U162&lt;=3),"○","×"),""))</f>
        <v>×</v>
      </c>
      <c r="W162" s="8" t="n">
        <v>140</v>
      </c>
      <c r="X162" s="8"/>
      <c r="Y162" s="4" t="s">
        <v>7597</v>
      </c>
      <c r="Z162" s="4" t="s">
        <v>7706</v>
      </c>
      <c r="AA162" s="8" t="str">
        <v/>
      </c>
      <c r="AB162" s="8" t="str">
        <v/>
      </c>
      <c r="AC162" s="8" t="str">
        <v/>
      </c>
      <c r="AD162" s="8" t="str">
        <v/>
      </c>
      <c r="AE162" s="8" t="str">
        <v/>
      </c>
      <c r="AF162" s="8" t="str">
        <v/>
      </c>
      <c r="AG162" s="8" t="str">
        <v/>
      </c>
      <c r="AH162" s="8" t="str">
        <v/>
      </c>
      <c r="AI162" s="8" t="n">
        <v>4</v>
      </c>
      <c r="AJ162" s="8" t="str">
        <v>～59</v>
      </c>
      <c r="AK162" s="8" t="str">
        <v>0～4</v>
      </c>
      <c r="AL162" s="8" t="str">
        <v>0～9</v>
      </c>
      <c r="AM162" s="8" t="str">
        <v>～99</v>
      </c>
      <c r="AN162" s="8" t="str">
        <v>12～14</v>
      </c>
      <c r="AO162" s="8" t="str">
        <f aca="false">IF(A162="","",IF(COUNTIFS(全馬データ!$A$2:$A$50000,A162,全馬データ!$B$2:$B$50000,B162,全馬データ!$C$2:$C$50000,C162,全馬データ!$D$2:$D$50000,E162,全馬データ!$K$2:$K$50000,"&lt;&gt;")=0,"",SUMIFS(全馬データ!$K$2:$K$50000,全馬データ!$A$2:$A$50000,A162,全馬データ!$B$2:$B$50000,B162,全馬データ!$C$2:$C$50000,C162,全馬データ!$D$2:$D$50000,E162)))</f>
        <v/>
      </c>
      <c r="AP162" s="8" t="str">
        <f aca="false">IF(A162="","",IF(AO162="","欠損",IF(AO162&lt;=1.1,"1.0～1.1",IF(AO162&lt;1.3,"1.2",IF(AO162&lt;1.5,"1.3～1.4",IF(AO162&lt;2,"1.5～1.9","2.0以上"))))))</f>
        <v>欠損</v>
      </c>
      <c r="AQ162" s="8" t="str">
        <f aca="false">IF(A162="","",IF(ISNUMBER(SEARCH("2歳",Z162)),"2歳戦",IF(ISNUMBER(SEARCH("3歳未勝利",Z162)),"3歳未勝利",IF(ISNUMBER(SEARCH("未勝利",Z162)),"その他未勝利",IF(ISNUMBER(SEARCH("G1",Z162)),"G1",IF(ISNUMBER(SEARCH("G2",Z162)),"G2",IF(ISNUMBER(SEARCH("G3",Z162)),"G3",IF(ISNUMBER(SEARCH("古馬条件",Z162)),"古馬条件戦",IF(ISNUMBER(SEARCH("重賞",Z162)),"重賞","分類不能")))))))))</f>
        <v>分類不能</v>
      </c>
      <c r="AR162" s="8"/>
      <c r="AS162" s="8" t="s">
        <v>7598</v>
      </c>
      <c r="AT162" s="8" t="s">
        <v>7599</v>
      </c>
      <c r="AU162" s="8" t="s">
        <v>7615</v>
      </c>
      <c r="AV162" s="4" t="s">
        <v>7616</v>
      </c>
      <c r="AW162" s="8"/>
      <c r="AX162" s="8"/>
      <c r="AY162" s="8" t="s">
        <v>7602</v>
      </c>
      <c r="AZ162" s="4" t="s">
        <v>7603</v>
      </c>
      <c r="BA162" s="8" t="n">
        <v>1800</v>
      </c>
      <c r="BB162" s="8" t="s">
        <v>7598</v>
      </c>
      <c r="BC162" s="4" t="s">
        <v>7604</v>
      </c>
      <c r="BD162" s="8" t="s">
        <v>7621</v>
      </c>
      <c r="BE162" s="4" t="s">
        <v>7622</v>
      </c>
      <c r="BF162" s="8" t="s">
        <v>7602</v>
      </c>
      <c r="BG162" s="8" t="s">
        <v>7608</v>
      </c>
      <c r="BH162" s="4" t="s">
        <v>7609</v>
      </c>
      <c r="BI162" s="8" t="n">
        <v>12</v>
      </c>
      <c r="BJ162" s="8" t="s">
        <v>7602</v>
      </c>
      <c r="BK162" s="4" t="s">
        <v>7653</v>
      </c>
      <c r="BL162" s="8" t="s">
        <v>7602</v>
      </c>
      <c r="BM162" s="4" t="s">
        <v>7620</v>
      </c>
      <c r="BN162" s="8" t="s">
        <v>7602</v>
      </c>
      <c r="BO162" s="8" t="s">
        <v>7613</v>
      </c>
      <c r="BP162" s="8" t="s">
        <v>7610</v>
      </c>
      <c r="BQ162" s="8" t="str">
        <f aca="false">IF(A162="","",AT162)</f>
        <v>2歳</v>
      </c>
      <c r="BR162" s="8" t="str">
        <f aca="false">IF(A162="","",IF(BA162&lt;=1200,"～1200",IF(BA162&lt;=1500,"1300～1500",IF(BA162=1600,"1600",IF(BA162&lt;=1800,"1700～1800",IF(BA162&lt;=2000,"1900～2000","2100以上"))))))</f>
        <v>1700～1800</v>
      </c>
      <c r="BS162" s="8" t="str">
        <f aca="false">IF(A162="","",IF(AX162="G1","G1",IF(AX162="G2","G2",IF(AX162="G3","G3",IF(AX162="L","L","その他")))))</f>
        <v>その他</v>
      </c>
      <c r="BT162" s="8" t="str">
        <f aca="false">IF(A162="","",IF(BI162="","未結合",IF(D162=BI162,"一致","不一致")))</f>
        <v>一致</v>
      </c>
      <c r="BU162" s="8" t="str">
        <f aca="false">IF(A162="","",IF(BE162="牝馬限定","牝馬限定","その他"))</f>
        <v>牝馬限定</v>
      </c>
    </row>
    <row r="163" customFormat="false" ht="15.75" hidden="false" customHeight="false" outlineLevel="0" collapsed="false">
      <c r="A163" s="6" t="n">
        <v>46214</v>
      </c>
      <c r="B163" s="4" t="s">
        <v>1091</v>
      </c>
      <c r="C163" s="8" t="n">
        <v>6</v>
      </c>
      <c r="D163" s="8" t="n">
        <v>18</v>
      </c>
      <c r="E163" s="8" t="n">
        <v>17</v>
      </c>
      <c r="F163" s="4" t="s">
        <v>776</v>
      </c>
      <c r="G163" s="8" t="n">
        <v>66</v>
      </c>
      <c r="H163" s="8" t="n">
        <v>16</v>
      </c>
      <c r="I163" s="4" t="s">
        <v>2097</v>
      </c>
      <c r="J163" s="8" t="n">
        <v>39</v>
      </c>
      <c r="K163" s="8" t="n">
        <v>1</v>
      </c>
      <c r="L163" s="4" t="s">
        <v>1578</v>
      </c>
      <c r="M163" s="8" t="n">
        <v>34</v>
      </c>
      <c r="N163" s="8" t="n">
        <v>27</v>
      </c>
      <c r="O163" s="8" t="n">
        <v>5</v>
      </c>
      <c r="P163" s="8" t="n">
        <v>105</v>
      </c>
      <c r="Q163" s="8" t="str">
        <f aca="false">IF(A163="","",IF(AND(Y163&lt;&gt;"参考",G163&gt;=ルール設定!$B$2),"○",""))</f>
        <v/>
      </c>
      <c r="R163" s="8" t="str">
        <f aca="false">IF(A163="","",IF(AND(Y163&lt;&gt;"参考",G163&gt;=ルール設定!$B$3,N163&gt;=ルール設定!$B$4),"○",""))</f>
        <v/>
      </c>
      <c r="S163" s="8" t="str">
        <f aca="false">IF(A163="","",IF(AND(Y163&lt;&gt;"参考",G163&gt;=ルール設定!$B$5,J163&gt;=ルール設定!$B$6,O163&gt;=ルール設定!$B$7),"○",""))</f>
        <v/>
      </c>
      <c r="T163" s="8" t="n">
        <v>2</v>
      </c>
      <c r="U163" s="8" t="n">
        <v>1</v>
      </c>
      <c r="V163" s="8" t="str">
        <f aca="false">IF(A163="","",IF(AND(ISNUMBER(T163),ISNUMBER(U163)),IF(AND(T163&lt;=3,U163&lt;=3),"○","×"),""))</f>
        <v>○</v>
      </c>
      <c r="W163" s="8" t="n">
        <v>110</v>
      </c>
      <c r="X163" s="8" t="n">
        <v>190</v>
      </c>
      <c r="Y163" s="4" t="s">
        <v>7597</v>
      </c>
      <c r="Z163" s="4" t="s">
        <v>7706</v>
      </c>
      <c r="AA163" s="8" t="str">
        <v/>
      </c>
      <c r="AB163" s="8" t="str">
        <v/>
      </c>
      <c r="AC163" s="8" t="str">
        <v/>
      </c>
      <c r="AD163" s="8" t="str">
        <v/>
      </c>
      <c r="AE163" s="8" t="str">
        <v/>
      </c>
      <c r="AF163" s="8" t="str">
        <v/>
      </c>
      <c r="AG163" s="8" t="str">
        <v/>
      </c>
      <c r="AH163" s="8" t="str">
        <v/>
      </c>
      <c r="AI163" s="8" t="n">
        <v>32</v>
      </c>
      <c r="AJ163" s="8" t="str">
        <v>60～69</v>
      </c>
      <c r="AK163" s="8" t="str">
        <v>20～29</v>
      </c>
      <c r="AL163" s="8" t="str">
        <v>30～39</v>
      </c>
      <c r="AM163" s="8" t="str">
        <v>100～119</v>
      </c>
      <c r="AN163" s="8" t="str">
        <v>15以上</v>
      </c>
      <c r="AO163" s="8" t="str">
        <f aca="false">IF(A163="","",IF(COUNTIFS(全馬データ!$A$2:$A$50000,A163,全馬データ!$B$2:$B$50000,B163,全馬データ!$C$2:$C$50000,C163,全馬データ!$D$2:$D$50000,E163,全馬データ!$K$2:$K$50000,"&lt;&gt;")=0,"",SUMIFS(全馬データ!$K$2:$K$50000,全馬データ!$A$2:$A$50000,A163,全馬データ!$B$2:$B$50000,B163,全馬データ!$C$2:$C$50000,C163,全馬データ!$D$2:$D$50000,E163)))</f>
        <v/>
      </c>
      <c r="AP163" s="8" t="str">
        <f aca="false">IF(A163="","",IF(AO163="","欠損",IF(AO163&lt;=1.1,"1.0～1.1",IF(AO163&lt;1.3,"1.2",IF(AO163&lt;1.5,"1.3～1.4",IF(AO163&lt;2,"1.5～1.9","2.0以上"))))))</f>
        <v>欠損</v>
      </c>
      <c r="AQ163" s="8" t="str">
        <f aca="false">IF(A163="","",IF(ISNUMBER(SEARCH("2歳",Z163)),"2歳戦",IF(ISNUMBER(SEARCH("3歳未勝利",Z163)),"3歳未勝利",IF(ISNUMBER(SEARCH("未勝利",Z163)),"その他未勝利",IF(ISNUMBER(SEARCH("G1",Z163)),"G1",IF(ISNUMBER(SEARCH("G2",Z163)),"G2",IF(ISNUMBER(SEARCH("G3",Z163)),"G3",IF(ISNUMBER(SEARCH("古馬条件",Z163)),"古馬条件戦",IF(ISNUMBER(SEARCH("重賞",Z163)),"重賞","分類不能")))))))))</f>
        <v>分類不能</v>
      </c>
      <c r="AR163" s="8"/>
      <c r="AS163" s="8" t="s">
        <v>7623</v>
      </c>
      <c r="AT163" s="8" t="s">
        <v>7624</v>
      </c>
      <c r="AU163" s="8" t="s">
        <v>7600</v>
      </c>
      <c r="AV163" s="4" t="s">
        <v>7601</v>
      </c>
      <c r="AW163" s="8"/>
      <c r="AX163" s="8"/>
      <c r="AY163" s="8" t="s">
        <v>7602</v>
      </c>
      <c r="AZ163" s="4" t="s">
        <v>7603</v>
      </c>
      <c r="BA163" s="8" t="n">
        <v>1200</v>
      </c>
      <c r="BB163" s="8" t="s">
        <v>7598</v>
      </c>
      <c r="BC163" s="4" t="s">
        <v>7604</v>
      </c>
      <c r="BD163" s="8" t="s">
        <v>7605</v>
      </c>
      <c r="BE163" s="4" t="s">
        <v>7606</v>
      </c>
      <c r="BF163" s="8" t="s">
        <v>7607</v>
      </c>
      <c r="BG163" s="8" t="s">
        <v>7608</v>
      </c>
      <c r="BH163" s="4" t="s">
        <v>7609</v>
      </c>
      <c r="BI163" s="8" t="n">
        <v>18</v>
      </c>
      <c r="BJ163" s="8" t="s">
        <v>7602</v>
      </c>
      <c r="BK163" s="4" t="s">
        <v>7653</v>
      </c>
      <c r="BL163" s="8" t="s">
        <v>7602</v>
      </c>
      <c r="BM163" s="4" t="s">
        <v>7620</v>
      </c>
      <c r="BN163" s="8" t="s">
        <v>7602</v>
      </c>
      <c r="BO163" s="8" t="s">
        <v>7613</v>
      </c>
      <c r="BP163" s="8" t="s">
        <v>7610</v>
      </c>
      <c r="BQ163" s="8" t="str">
        <f aca="false">IF(A163="","",AT163)</f>
        <v>3歳</v>
      </c>
      <c r="BR163" s="8" t="str">
        <f aca="false">IF(A163="","",IF(BA163&lt;=1200,"～1200",IF(BA163&lt;=1500,"1300～1500",IF(BA163=1600,"1600",IF(BA163&lt;=1800,"1700～1800",IF(BA163&lt;=2000,"1900～2000","2100以上"))))))</f>
        <v>～1200</v>
      </c>
      <c r="BS163" s="8" t="str">
        <f aca="false">IF(A163="","",IF(AX163="G1","G1",IF(AX163="G2","G2",IF(AX163="G3","G3",IF(AX163="L","L","その他")))))</f>
        <v>その他</v>
      </c>
      <c r="BT163" s="8" t="str">
        <f aca="false">IF(A163="","",IF(BI163="","未結合",IF(D163=BI163,"一致","不一致")))</f>
        <v>一致</v>
      </c>
      <c r="BU163" s="8" t="str">
        <f aca="false">IF(A163="","",IF(BE163="牝馬限定","牝馬限定","その他"))</f>
        <v>その他</v>
      </c>
    </row>
    <row r="164" customFormat="false" ht="15.75" hidden="false" customHeight="false" outlineLevel="0" collapsed="false">
      <c r="A164" s="6" t="n">
        <v>46214</v>
      </c>
      <c r="B164" s="4" t="s">
        <v>1091</v>
      </c>
      <c r="C164" s="8" t="n">
        <v>7</v>
      </c>
      <c r="D164" s="8" t="n">
        <v>12</v>
      </c>
      <c r="E164" s="8" t="n">
        <v>4</v>
      </c>
      <c r="F164" s="4" t="s">
        <v>2102</v>
      </c>
      <c r="G164" s="8" t="n">
        <v>67</v>
      </c>
      <c r="H164" s="8" t="n">
        <v>10</v>
      </c>
      <c r="I164" s="4" t="s">
        <v>2108</v>
      </c>
      <c r="J164" s="8" t="n">
        <v>47</v>
      </c>
      <c r="K164" s="8" t="n">
        <v>6</v>
      </c>
      <c r="L164" s="4" t="s">
        <v>2104</v>
      </c>
      <c r="M164" s="8" t="n">
        <v>41</v>
      </c>
      <c r="N164" s="8" t="n">
        <v>20</v>
      </c>
      <c r="O164" s="8" t="n">
        <v>6</v>
      </c>
      <c r="P164" s="8" t="n">
        <v>114</v>
      </c>
      <c r="Q164" s="8" t="str">
        <f aca="false">IF(A164="","",IF(AND(Y164&lt;&gt;"参考",G164&gt;=ルール設定!$B$2),"○",""))</f>
        <v/>
      </c>
      <c r="R164" s="8" t="str">
        <f aca="false">IF(A164="","",IF(AND(Y164&lt;&gt;"参考",G164&gt;=ルール設定!$B$3,N164&gt;=ルール設定!$B$4),"○",""))</f>
        <v/>
      </c>
      <c r="S164" s="8" t="str">
        <f aca="false">IF(A164="","",IF(AND(Y164&lt;&gt;"参考",G164&gt;=ルール設定!$B$5,J164&gt;=ルール設定!$B$6,O164&gt;=ルール設定!$B$7),"○",""))</f>
        <v/>
      </c>
      <c r="T164" s="8" t="n">
        <v>4</v>
      </c>
      <c r="U164" s="8" t="n">
        <v>4</v>
      </c>
      <c r="V164" s="8" t="str">
        <f aca="false">IF(A164="","",IF(AND(ISNUMBER(T164),ISNUMBER(U164)),IF(AND(T164&lt;=3,U164&lt;=3),"○","×"),""))</f>
        <v>×</v>
      </c>
      <c r="W164" s="8"/>
      <c r="X164" s="8"/>
      <c r="Y164" s="4" t="s">
        <v>7597</v>
      </c>
      <c r="Z164" s="4" t="s">
        <v>7706</v>
      </c>
      <c r="AA164" s="8" t="str">
        <v/>
      </c>
      <c r="AB164" s="8" t="str">
        <v/>
      </c>
      <c r="AC164" s="8" t="str">
        <v/>
      </c>
      <c r="AD164" s="8" t="str">
        <v/>
      </c>
      <c r="AE164" s="8" t="str">
        <v/>
      </c>
      <c r="AF164" s="8" t="str">
        <v/>
      </c>
      <c r="AG164" s="8" t="str">
        <v/>
      </c>
      <c r="AH164" s="8" t="str">
        <v/>
      </c>
      <c r="AI164" s="8" t="n">
        <v>26</v>
      </c>
      <c r="AJ164" s="8" t="str">
        <v>60～69</v>
      </c>
      <c r="AK164" s="8" t="str">
        <v>20～29</v>
      </c>
      <c r="AL164" s="8" t="str">
        <v>20～29</v>
      </c>
      <c r="AM164" s="8" t="str">
        <v>100～119</v>
      </c>
      <c r="AN164" s="8" t="str">
        <v>12～14</v>
      </c>
      <c r="AO164" s="8" t="str">
        <f aca="false">IF(A164="","",IF(COUNTIFS(全馬データ!$A$2:$A$50000,A164,全馬データ!$B$2:$B$50000,B164,全馬データ!$C$2:$C$50000,C164,全馬データ!$D$2:$D$50000,E164,全馬データ!$K$2:$K$50000,"&lt;&gt;")=0,"",SUMIFS(全馬データ!$K$2:$K$50000,全馬データ!$A$2:$A$50000,A164,全馬データ!$B$2:$B$50000,B164,全馬データ!$C$2:$C$50000,C164,全馬データ!$D$2:$D$50000,E164)))</f>
        <v/>
      </c>
      <c r="AP164" s="8" t="str">
        <f aca="false">IF(A164="","",IF(AO164="","欠損",IF(AO164&lt;=1.1,"1.0～1.1",IF(AO164&lt;1.3,"1.2",IF(AO164&lt;1.5,"1.3～1.4",IF(AO164&lt;2,"1.5～1.9","2.0以上"))))))</f>
        <v>欠損</v>
      </c>
      <c r="AQ164" s="8" t="str">
        <f aca="false">IF(A164="","",IF(ISNUMBER(SEARCH("2歳",Z164)),"2歳戦",IF(ISNUMBER(SEARCH("3歳未勝利",Z164)),"3歳未勝利",IF(ISNUMBER(SEARCH("未勝利",Z164)),"その他未勝利",IF(ISNUMBER(SEARCH("G1",Z164)),"G1",IF(ISNUMBER(SEARCH("G2",Z164)),"G2",IF(ISNUMBER(SEARCH("G3",Z164)),"G3",IF(ISNUMBER(SEARCH("古馬条件",Z164)),"古馬条件戦",IF(ISNUMBER(SEARCH("重賞",Z164)),"重賞","分類不能")))))))))</f>
        <v>分類不能</v>
      </c>
      <c r="AR164" s="8"/>
      <c r="AS164" s="8" t="s">
        <v>7626</v>
      </c>
      <c r="AT164" s="8" t="s">
        <v>7627</v>
      </c>
      <c r="AU164" s="8" t="s">
        <v>7628</v>
      </c>
      <c r="AV164" s="8" t="s">
        <v>7629</v>
      </c>
      <c r="AW164" s="8"/>
      <c r="AX164" s="8"/>
      <c r="AY164" s="8" t="s">
        <v>7602</v>
      </c>
      <c r="AZ164" s="4" t="s">
        <v>7603</v>
      </c>
      <c r="BA164" s="8" t="n">
        <v>1800</v>
      </c>
      <c r="BB164" s="8" t="s">
        <v>7598</v>
      </c>
      <c r="BC164" s="4" t="s">
        <v>7604</v>
      </c>
      <c r="BD164" s="8" t="s">
        <v>7625</v>
      </c>
      <c r="BE164" s="4" t="s">
        <v>7606</v>
      </c>
      <c r="BF164" s="8" t="s">
        <v>7607</v>
      </c>
      <c r="BG164" s="8" t="s">
        <v>7631</v>
      </c>
      <c r="BH164" s="4" t="s">
        <v>7632</v>
      </c>
      <c r="BI164" s="8" t="n">
        <v>12</v>
      </c>
      <c r="BJ164" s="8" t="s">
        <v>7602</v>
      </c>
      <c r="BK164" s="4" t="s">
        <v>7653</v>
      </c>
      <c r="BL164" s="8" t="s">
        <v>7602</v>
      </c>
      <c r="BM164" s="4" t="s">
        <v>7620</v>
      </c>
      <c r="BN164" s="8" t="s">
        <v>7602</v>
      </c>
      <c r="BO164" s="8" t="s">
        <v>7613</v>
      </c>
      <c r="BP164" s="8" t="s">
        <v>7610</v>
      </c>
      <c r="BQ164" s="8" t="str">
        <f aca="false">IF(A164="","",AT164)</f>
        <v>3歳以上</v>
      </c>
      <c r="BR164" s="8" t="str">
        <f aca="false">IF(A164="","",IF(BA164&lt;=1200,"～1200",IF(BA164&lt;=1500,"1300～1500",IF(BA164=1600,"1600",IF(BA164&lt;=1800,"1700～1800",IF(BA164&lt;=2000,"1900～2000","2100以上"))))))</f>
        <v>1700～1800</v>
      </c>
      <c r="BS164" s="8" t="str">
        <f aca="false">IF(A164="","",IF(AX164="G1","G1",IF(AX164="G2","G2",IF(AX164="G3","G3",IF(AX164="L","L","その他")))))</f>
        <v>その他</v>
      </c>
      <c r="BT164" s="8" t="str">
        <f aca="false">IF(A164="","",IF(BI164="","未結合",IF(D164=BI164,"一致","不一致")))</f>
        <v>一致</v>
      </c>
      <c r="BU164" s="8" t="str">
        <f aca="false">IF(A164="","",IF(BE164="牝馬限定","牝馬限定","その他"))</f>
        <v>その他</v>
      </c>
    </row>
    <row r="165" customFormat="false" ht="15.75" hidden="false" customHeight="false" outlineLevel="0" collapsed="false">
      <c r="A165" s="6" t="n">
        <v>46214</v>
      </c>
      <c r="B165" s="4" t="s">
        <v>1091</v>
      </c>
      <c r="C165" s="8" t="n">
        <v>8</v>
      </c>
      <c r="D165" s="8" t="n">
        <v>11</v>
      </c>
      <c r="E165" s="8" t="n">
        <v>3</v>
      </c>
      <c r="F165" s="4" t="s">
        <v>2112</v>
      </c>
      <c r="G165" s="8" t="n">
        <v>71</v>
      </c>
      <c r="H165" s="8" t="n">
        <v>9</v>
      </c>
      <c r="I165" s="4" t="s">
        <v>2118</v>
      </c>
      <c r="J165" s="8" t="n">
        <v>44</v>
      </c>
      <c r="K165" s="8" t="n">
        <v>8</v>
      </c>
      <c r="L165" s="4" t="s">
        <v>2117</v>
      </c>
      <c r="M165" s="8" t="n">
        <v>41</v>
      </c>
      <c r="N165" s="8" t="n">
        <v>27</v>
      </c>
      <c r="O165" s="8" t="n">
        <v>3</v>
      </c>
      <c r="P165" s="8" t="n">
        <v>115</v>
      </c>
      <c r="Q165" s="8" t="str">
        <f aca="false">IF(A165="","",IF(AND(Y165&lt;&gt;"参考",G165&gt;=ルール設定!$B$2),"○",""))</f>
        <v/>
      </c>
      <c r="R165" s="8" t="str">
        <f aca="false">IF(A165="","",IF(AND(Y165&lt;&gt;"参考",G165&gt;=ルール設定!$B$3,N165&gt;=ルール設定!$B$4),"○",""))</f>
        <v/>
      </c>
      <c r="S165" s="8" t="str">
        <f aca="false">IF(A165="","",IF(AND(Y165&lt;&gt;"参考",G165&gt;=ルール設定!$B$5,J165&gt;=ルール設定!$B$6,O165&gt;=ルール設定!$B$7),"○",""))</f>
        <v/>
      </c>
      <c r="T165" s="8" t="n">
        <v>4</v>
      </c>
      <c r="U165" s="8" t="n">
        <v>4</v>
      </c>
      <c r="V165" s="8" t="str">
        <f aca="false">IF(A165="","",IF(AND(ISNUMBER(T165),ISNUMBER(U165)),IF(AND(T165&lt;=3,U165&lt;=3),"○","×"),""))</f>
        <v>×</v>
      </c>
      <c r="W165" s="8"/>
      <c r="X165" s="8"/>
      <c r="Y165" s="4" t="s">
        <v>7597</v>
      </c>
      <c r="Z165" s="4" t="s">
        <v>7706</v>
      </c>
      <c r="AA165" s="8" t="str">
        <v/>
      </c>
      <c r="AB165" s="8" t="str">
        <v/>
      </c>
      <c r="AC165" s="8" t="str">
        <v/>
      </c>
      <c r="AD165" s="8" t="str">
        <v/>
      </c>
      <c r="AE165" s="8" t="str">
        <v/>
      </c>
      <c r="AF165" s="8" t="str">
        <v/>
      </c>
      <c r="AG165" s="8" t="str">
        <v/>
      </c>
      <c r="AH165" s="8" t="str">
        <v/>
      </c>
      <c r="AI165" s="8" t="n">
        <v>30</v>
      </c>
      <c r="AJ165" s="8" t="str">
        <v>70～74</v>
      </c>
      <c r="AK165" s="8" t="str">
        <v>20～29</v>
      </c>
      <c r="AL165" s="8" t="str">
        <v>30～39</v>
      </c>
      <c r="AM165" s="8" t="str">
        <v>100～119</v>
      </c>
      <c r="AN165" s="8" t="str">
        <v>8～11</v>
      </c>
      <c r="AO165" s="8" t="str">
        <f aca="false">IF(A165="","",IF(COUNTIFS(全馬データ!$A$2:$A$50000,A165,全馬データ!$B$2:$B$50000,B165,全馬データ!$C$2:$C$50000,C165,全馬データ!$D$2:$D$50000,E165,全馬データ!$K$2:$K$50000,"&lt;&gt;")=0,"",SUMIFS(全馬データ!$K$2:$K$50000,全馬データ!$A$2:$A$50000,A165,全馬データ!$B$2:$B$50000,B165,全馬データ!$C$2:$C$50000,C165,全馬データ!$D$2:$D$50000,E165)))</f>
        <v/>
      </c>
      <c r="AP165" s="8" t="str">
        <f aca="false">IF(A165="","",IF(AO165="","欠損",IF(AO165&lt;=1.1,"1.0～1.1",IF(AO165&lt;1.3,"1.2",IF(AO165&lt;1.5,"1.3～1.4",IF(AO165&lt;2,"1.5～1.9","2.0以上"))))))</f>
        <v>欠損</v>
      </c>
      <c r="AQ165" s="8" t="str">
        <f aca="false">IF(A165="","",IF(ISNUMBER(SEARCH("2歳",Z165)),"2歳戦",IF(ISNUMBER(SEARCH("3歳未勝利",Z165)),"3歳未勝利",IF(ISNUMBER(SEARCH("未勝利",Z165)),"その他未勝利",IF(ISNUMBER(SEARCH("G1",Z165)),"G1",IF(ISNUMBER(SEARCH("G2",Z165)),"G2",IF(ISNUMBER(SEARCH("G3",Z165)),"G3",IF(ISNUMBER(SEARCH("古馬条件",Z165)),"古馬条件戦",IF(ISNUMBER(SEARCH("重賞",Z165)),"重賞","分類不能")))))))))</f>
        <v>分類不能</v>
      </c>
      <c r="AR165" s="8"/>
      <c r="AS165" s="8" t="s">
        <v>7626</v>
      </c>
      <c r="AT165" s="8" t="s">
        <v>7627</v>
      </c>
      <c r="AU165" s="8" t="s">
        <v>7628</v>
      </c>
      <c r="AV165" s="8" t="s">
        <v>7629</v>
      </c>
      <c r="AW165" s="8"/>
      <c r="AX165" s="8"/>
      <c r="AY165" s="8" t="s">
        <v>7610</v>
      </c>
      <c r="AZ165" s="4" t="s">
        <v>7617</v>
      </c>
      <c r="BA165" s="8" t="n">
        <v>1700</v>
      </c>
      <c r="BB165" s="8" t="s">
        <v>7598</v>
      </c>
      <c r="BC165" s="4" t="s">
        <v>7604</v>
      </c>
      <c r="BD165" s="8" t="s">
        <v>7621</v>
      </c>
      <c r="BE165" s="4" t="s">
        <v>7622</v>
      </c>
      <c r="BF165" s="8" t="s">
        <v>7602</v>
      </c>
      <c r="BG165" s="8" t="s">
        <v>7631</v>
      </c>
      <c r="BH165" s="4" t="s">
        <v>7632</v>
      </c>
      <c r="BI165" s="8" t="n">
        <v>11</v>
      </c>
      <c r="BJ165" s="8" t="s">
        <v>7602</v>
      </c>
      <c r="BK165" s="4" t="s">
        <v>7653</v>
      </c>
      <c r="BL165" s="8" t="s">
        <v>7602</v>
      </c>
      <c r="BM165" s="4" t="s">
        <v>7620</v>
      </c>
      <c r="BN165" s="8"/>
      <c r="BO165" s="8"/>
      <c r="BP165" s="8" t="s">
        <v>7610</v>
      </c>
      <c r="BQ165" s="8" t="str">
        <f aca="false">IF(A165="","",AT165)</f>
        <v>3歳以上</v>
      </c>
      <c r="BR165" s="8" t="str">
        <f aca="false">IF(A165="","",IF(BA165&lt;=1200,"～1200",IF(BA165&lt;=1500,"1300～1500",IF(BA165=1600,"1600",IF(BA165&lt;=1800,"1700～1800",IF(BA165&lt;=2000,"1900～2000","2100以上"))))))</f>
        <v>1700～1800</v>
      </c>
      <c r="BS165" s="8" t="str">
        <f aca="false">IF(A165="","",IF(AX165="G1","G1",IF(AX165="G2","G2",IF(AX165="G3","G3",IF(AX165="L","L","その他")))))</f>
        <v>その他</v>
      </c>
      <c r="BT165" s="8" t="str">
        <f aca="false">IF(A165="","",IF(BI165="","未結合",IF(D165=BI165,"一致","不一致")))</f>
        <v>一致</v>
      </c>
      <c r="BU165" s="8" t="str">
        <f aca="false">IF(A165="","",IF(BE165="牝馬限定","牝馬限定","その他"))</f>
        <v>牝馬限定</v>
      </c>
    </row>
    <row r="166" customFormat="false" ht="15.75" hidden="false" customHeight="false" outlineLevel="0" collapsed="false">
      <c r="A166" s="6" t="n">
        <v>46214</v>
      </c>
      <c r="B166" s="4" t="s">
        <v>1091</v>
      </c>
      <c r="C166" s="8" t="n">
        <v>9</v>
      </c>
      <c r="D166" s="8" t="n">
        <v>11</v>
      </c>
      <c r="E166" s="8" t="n">
        <v>3</v>
      </c>
      <c r="F166" s="4" t="s">
        <v>2123</v>
      </c>
      <c r="G166" s="8" t="n">
        <v>65</v>
      </c>
      <c r="H166" s="8" t="n">
        <v>11</v>
      </c>
      <c r="I166" s="4" t="s">
        <v>2131</v>
      </c>
      <c r="J166" s="8" t="n">
        <v>60</v>
      </c>
      <c r="K166" s="8" t="n">
        <v>9</v>
      </c>
      <c r="L166" s="4" t="s">
        <v>2129</v>
      </c>
      <c r="M166" s="8" t="n">
        <v>39</v>
      </c>
      <c r="N166" s="8" t="n">
        <v>5</v>
      </c>
      <c r="O166" s="8" t="n">
        <v>21</v>
      </c>
      <c r="P166" s="8" t="n">
        <v>125</v>
      </c>
      <c r="Q166" s="8" t="str">
        <f aca="false">IF(A166="","",IF(AND(Y166&lt;&gt;"参考",G166&gt;=ルール設定!$B$2),"○",""))</f>
        <v/>
      </c>
      <c r="R166" s="8" t="str">
        <f aca="false">IF(A166="","",IF(AND(Y166&lt;&gt;"参考",G166&gt;=ルール設定!$B$3,N166&gt;=ルール設定!$B$4),"○",""))</f>
        <v/>
      </c>
      <c r="S166" s="8" t="str">
        <f aca="false">IF(A166="","",IF(AND(Y166&lt;&gt;"参考",G166&gt;=ルール設定!$B$5,J166&gt;=ルール設定!$B$6,O166&gt;=ルール設定!$B$7),"○",""))</f>
        <v>○</v>
      </c>
      <c r="T166" s="8" t="n">
        <v>2</v>
      </c>
      <c r="U166" s="8" t="n">
        <v>4</v>
      </c>
      <c r="V166" s="8" t="str">
        <f aca="false">IF(A166="","",IF(AND(ISNUMBER(T166),ISNUMBER(U166)),IF(AND(T166&lt;=3,U166&lt;=3),"○","×"),""))</f>
        <v>×</v>
      </c>
      <c r="W166" s="8" t="n">
        <v>180</v>
      </c>
      <c r="X166" s="8"/>
      <c r="Y166" s="4" t="s">
        <v>7597</v>
      </c>
      <c r="Z166" s="4" t="s">
        <v>7706</v>
      </c>
      <c r="AA166" s="8" t="str">
        <v/>
      </c>
      <c r="AB166" s="8" t="str">
        <v/>
      </c>
      <c r="AC166" s="8" t="str">
        <v/>
      </c>
      <c r="AD166" s="8" t="str">
        <v/>
      </c>
      <c r="AE166" s="8" t="str">
        <v/>
      </c>
      <c r="AF166" s="8" t="str">
        <v/>
      </c>
      <c r="AG166" s="8" t="str">
        <v/>
      </c>
      <c r="AH166" s="8" t="str">
        <v/>
      </c>
      <c r="AI166" s="8" t="n">
        <v>26</v>
      </c>
      <c r="AJ166" s="8" t="str">
        <v>60～69</v>
      </c>
      <c r="AK166" s="8" t="str">
        <v>5～9</v>
      </c>
      <c r="AL166" s="8" t="str">
        <v>20～29</v>
      </c>
      <c r="AM166" s="8" t="str">
        <v>120～139</v>
      </c>
      <c r="AN166" s="8" t="str">
        <v>8～11</v>
      </c>
      <c r="AO166" s="8" t="str">
        <f aca="false">IF(A166="","",IF(COUNTIFS(全馬データ!$A$2:$A$50000,A166,全馬データ!$B$2:$B$50000,B166,全馬データ!$C$2:$C$50000,C166,全馬データ!$D$2:$D$50000,E166,全馬データ!$K$2:$K$50000,"&lt;&gt;")=0,"",SUMIFS(全馬データ!$K$2:$K$50000,全馬データ!$A$2:$A$50000,A166,全馬データ!$B$2:$B$50000,B166,全馬データ!$C$2:$C$50000,C166,全馬データ!$D$2:$D$50000,E166)))</f>
        <v/>
      </c>
      <c r="AP166" s="8" t="str">
        <f aca="false">IF(A166="","",IF(AO166="","欠損",IF(AO166&lt;=1.1,"1.0～1.1",IF(AO166&lt;1.3,"1.2",IF(AO166&lt;1.5,"1.3～1.4",IF(AO166&lt;2,"1.5～1.9","2.0以上"))))))</f>
        <v>欠損</v>
      </c>
      <c r="AQ166" s="8" t="str">
        <f aca="false">IF(A166="","",IF(ISNUMBER(SEARCH("2歳",Z166)),"2歳戦",IF(ISNUMBER(SEARCH("3歳未勝利",Z166)),"3歳未勝利",IF(ISNUMBER(SEARCH("未勝利",Z166)),"その他未勝利",IF(ISNUMBER(SEARCH("G1",Z166)),"G1",IF(ISNUMBER(SEARCH("G2",Z166)),"G2",IF(ISNUMBER(SEARCH("G3",Z166)),"G3",IF(ISNUMBER(SEARCH("古馬条件",Z166)),"古馬条件戦",IF(ISNUMBER(SEARCH("重賞",Z166)),"重賞","分類不能")))))))))</f>
        <v>分類不能</v>
      </c>
      <c r="AR166" s="4" t="s">
        <v>7710</v>
      </c>
      <c r="AS166" s="8" t="s">
        <v>7626</v>
      </c>
      <c r="AT166" s="8" t="s">
        <v>7627</v>
      </c>
      <c r="AU166" s="8" t="s">
        <v>7628</v>
      </c>
      <c r="AV166" s="8" t="s">
        <v>7629</v>
      </c>
      <c r="AW166" s="8" t="s">
        <v>7636</v>
      </c>
      <c r="AX166" s="4" t="s">
        <v>7637</v>
      </c>
      <c r="AY166" s="8" t="s">
        <v>7602</v>
      </c>
      <c r="AZ166" s="4" t="s">
        <v>7603</v>
      </c>
      <c r="BA166" s="8" t="n">
        <v>2600</v>
      </c>
      <c r="BB166" s="8" t="s">
        <v>7598</v>
      </c>
      <c r="BC166" s="4" t="s">
        <v>7604</v>
      </c>
      <c r="BD166" s="8" t="s">
        <v>7630</v>
      </c>
      <c r="BE166" s="4" t="s">
        <v>7606</v>
      </c>
      <c r="BF166" s="8" t="s">
        <v>7607</v>
      </c>
      <c r="BG166" s="8" t="s">
        <v>7631</v>
      </c>
      <c r="BH166" s="4" t="s">
        <v>7632</v>
      </c>
      <c r="BI166" s="8" t="n">
        <v>11</v>
      </c>
      <c r="BJ166" s="8" t="s">
        <v>7602</v>
      </c>
      <c r="BK166" s="4" t="s">
        <v>7653</v>
      </c>
      <c r="BL166" s="8" t="s">
        <v>7602</v>
      </c>
      <c r="BM166" s="4" t="s">
        <v>7620</v>
      </c>
      <c r="BN166" s="8" t="s">
        <v>7602</v>
      </c>
      <c r="BO166" s="8" t="s">
        <v>7613</v>
      </c>
      <c r="BP166" s="8" t="s">
        <v>7610</v>
      </c>
      <c r="BQ166" s="8" t="str">
        <f aca="false">IF(A166="","",AT166)</f>
        <v>3歳以上</v>
      </c>
      <c r="BR166" s="8" t="str">
        <f aca="false">IF(A166="","",IF(BA166&lt;=1200,"～1200",IF(BA166&lt;=1500,"1300～1500",IF(BA166=1600,"1600",IF(BA166&lt;=1800,"1700～1800",IF(BA166&lt;=2000,"1900～2000","2100以上"))))))</f>
        <v>2100以上</v>
      </c>
      <c r="BS166" s="8" t="str">
        <f aca="false">IF(A166="","",IF(AX166="G1","G1",IF(AX166="G2","G2",IF(AX166="G3","G3",IF(AX166="L","L","その他")))))</f>
        <v>その他</v>
      </c>
      <c r="BT166" s="8" t="str">
        <f aca="false">IF(A166="","",IF(BI166="","未結合",IF(D166=BI166,"一致","不一致")))</f>
        <v>一致</v>
      </c>
      <c r="BU166" s="8" t="str">
        <f aca="false">IF(A166="","",IF(BE166="牝馬限定","牝馬限定","その他"))</f>
        <v>その他</v>
      </c>
    </row>
    <row r="167" customFormat="false" ht="15.75" hidden="false" customHeight="false" outlineLevel="0" collapsed="false">
      <c r="A167" s="6" t="n">
        <v>46214</v>
      </c>
      <c r="B167" s="4" t="s">
        <v>1091</v>
      </c>
      <c r="C167" s="8" t="n">
        <v>10</v>
      </c>
      <c r="D167" s="8" t="n">
        <v>18</v>
      </c>
      <c r="E167" s="8" t="n">
        <v>14</v>
      </c>
      <c r="F167" s="4" t="s">
        <v>2145</v>
      </c>
      <c r="G167" s="8" t="n">
        <v>44</v>
      </c>
      <c r="H167" s="8" t="n">
        <v>6</v>
      </c>
      <c r="I167" s="4" t="s">
        <v>2137</v>
      </c>
      <c r="J167" s="8" t="n">
        <v>41</v>
      </c>
      <c r="K167" s="8" t="n">
        <v>16</v>
      </c>
      <c r="L167" s="4" t="s">
        <v>2147</v>
      </c>
      <c r="M167" s="8" t="n">
        <v>41</v>
      </c>
      <c r="N167" s="8" t="n">
        <v>3</v>
      </c>
      <c r="O167" s="8" t="n">
        <v>0</v>
      </c>
      <c r="P167" s="8" t="n">
        <v>85</v>
      </c>
      <c r="Q167" s="8" t="str">
        <f aca="false">IF(A167="","",IF(AND(Y167&lt;&gt;"参考",G167&gt;=ルール設定!$B$2),"○",""))</f>
        <v/>
      </c>
      <c r="R167" s="8" t="str">
        <f aca="false">IF(A167="","",IF(AND(Y167&lt;&gt;"参考",G167&gt;=ルール設定!$B$3,N167&gt;=ルール設定!$B$4),"○",""))</f>
        <v/>
      </c>
      <c r="S167" s="8" t="str">
        <f aca="false">IF(A167="","",IF(AND(Y167&lt;&gt;"参考",G167&gt;=ルール設定!$B$5,J167&gt;=ルール設定!$B$6,O167&gt;=ルール設定!$B$7),"○",""))</f>
        <v/>
      </c>
      <c r="T167" s="8" t="n">
        <v>1</v>
      </c>
      <c r="U167" s="8" t="n">
        <v>4</v>
      </c>
      <c r="V167" s="8" t="str">
        <f aca="false">IF(A167="","",IF(AND(ISNUMBER(T167),ISNUMBER(U167)),IF(AND(T167&lt;=3,U167&lt;=3),"○","×"),""))</f>
        <v>×</v>
      </c>
      <c r="W167" s="8" t="n">
        <v>250</v>
      </c>
      <c r="X167" s="8"/>
      <c r="Y167" s="4" t="s">
        <v>7597</v>
      </c>
      <c r="Z167" s="4" t="s">
        <v>7706</v>
      </c>
      <c r="AA167" s="8" t="str">
        <v/>
      </c>
      <c r="AB167" s="8" t="str">
        <v/>
      </c>
      <c r="AC167" s="8" t="str">
        <v/>
      </c>
      <c r="AD167" s="8" t="str">
        <v/>
      </c>
      <c r="AE167" s="8" t="str">
        <v/>
      </c>
      <c r="AF167" s="8" t="str">
        <v/>
      </c>
      <c r="AG167" s="8" t="str">
        <v/>
      </c>
      <c r="AH167" s="8" t="str">
        <v/>
      </c>
      <c r="AI167" s="8" t="n">
        <v>3</v>
      </c>
      <c r="AJ167" s="8" t="str">
        <v>～59</v>
      </c>
      <c r="AK167" s="8" t="str">
        <v>0～4</v>
      </c>
      <c r="AL167" s="8" t="str">
        <v>0～9</v>
      </c>
      <c r="AM167" s="8" t="str">
        <v>～99</v>
      </c>
      <c r="AN167" s="8" t="str">
        <v>15以上</v>
      </c>
      <c r="AO167" s="8" t="str">
        <f aca="false">IF(A167="","",IF(COUNTIFS(全馬データ!$A$2:$A$50000,A167,全馬データ!$B$2:$B$50000,B167,全馬データ!$C$2:$C$50000,C167,全馬データ!$D$2:$D$50000,E167,全馬データ!$K$2:$K$50000,"&lt;&gt;")=0,"",SUMIFS(全馬データ!$K$2:$K$50000,全馬データ!$A$2:$A$50000,A167,全馬データ!$B$2:$B$50000,B167,全馬データ!$C$2:$C$50000,C167,全馬データ!$D$2:$D$50000,E167)))</f>
        <v/>
      </c>
      <c r="AP167" s="8" t="str">
        <f aca="false">IF(A167="","",IF(AO167="","欠損",IF(AO167&lt;=1.1,"1.0～1.1",IF(AO167&lt;1.3,"1.2",IF(AO167&lt;1.5,"1.3～1.4",IF(AO167&lt;2,"1.5～1.9","2.0以上"))))))</f>
        <v>欠損</v>
      </c>
      <c r="AQ167" s="8" t="str">
        <f aca="false">IF(A167="","",IF(ISNUMBER(SEARCH("2歳",Z167)),"2歳戦",IF(ISNUMBER(SEARCH("3歳未勝利",Z167)),"3歳未勝利",IF(ISNUMBER(SEARCH("未勝利",Z167)),"その他未勝利",IF(ISNUMBER(SEARCH("G1",Z167)),"G1",IF(ISNUMBER(SEARCH("G2",Z167)),"G2",IF(ISNUMBER(SEARCH("G3",Z167)),"G3",IF(ISNUMBER(SEARCH("古馬条件",Z167)),"古馬条件戦",IF(ISNUMBER(SEARCH("重賞",Z167)),"重賞","分類不能")))))))))</f>
        <v>分類不能</v>
      </c>
      <c r="AR167" s="4" t="s">
        <v>7711</v>
      </c>
      <c r="AS167" s="8" t="s">
        <v>7626</v>
      </c>
      <c r="AT167" s="8" t="s">
        <v>7627</v>
      </c>
      <c r="AU167" s="8" t="s">
        <v>7634</v>
      </c>
      <c r="AV167" s="8" t="s">
        <v>7635</v>
      </c>
      <c r="AW167" s="8" t="s">
        <v>7636</v>
      </c>
      <c r="AX167" s="4" t="s">
        <v>7637</v>
      </c>
      <c r="AY167" s="8" t="s">
        <v>7602</v>
      </c>
      <c r="AZ167" s="4" t="s">
        <v>7603</v>
      </c>
      <c r="BA167" s="8" t="n">
        <v>1200</v>
      </c>
      <c r="BB167" s="8" t="s">
        <v>7598</v>
      </c>
      <c r="BC167" s="4" t="s">
        <v>7604</v>
      </c>
      <c r="BD167" s="8" t="s">
        <v>7630</v>
      </c>
      <c r="BE167" s="4" t="s">
        <v>7606</v>
      </c>
      <c r="BF167" s="8" t="s">
        <v>7607</v>
      </c>
      <c r="BG167" s="8" t="s">
        <v>7631</v>
      </c>
      <c r="BH167" s="4" t="s">
        <v>7632</v>
      </c>
      <c r="BI167" s="8" t="n">
        <v>18</v>
      </c>
      <c r="BJ167" s="8" t="s">
        <v>7602</v>
      </c>
      <c r="BK167" s="4" t="s">
        <v>7653</v>
      </c>
      <c r="BL167" s="8" t="s">
        <v>7602</v>
      </c>
      <c r="BM167" s="4" t="s">
        <v>7620</v>
      </c>
      <c r="BN167" s="8" t="s">
        <v>7602</v>
      </c>
      <c r="BO167" s="8" t="s">
        <v>7613</v>
      </c>
      <c r="BP167" s="8" t="s">
        <v>7610</v>
      </c>
      <c r="BQ167" s="8" t="str">
        <f aca="false">IF(A167="","",AT167)</f>
        <v>3歳以上</v>
      </c>
      <c r="BR167" s="8" t="str">
        <f aca="false">IF(A167="","",IF(BA167&lt;=1200,"～1200",IF(BA167&lt;=1500,"1300～1500",IF(BA167=1600,"1600",IF(BA167&lt;=1800,"1700～1800",IF(BA167&lt;=2000,"1900～2000","2100以上"))))))</f>
        <v>～1200</v>
      </c>
      <c r="BS167" s="8" t="str">
        <f aca="false">IF(A167="","",IF(AX167="G1","G1",IF(AX167="G2","G2",IF(AX167="G3","G3",IF(AX167="L","L","その他")))))</f>
        <v>その他</v>
      </c>
      <c r="BT167" s="8" t="str">
        <f aca="false">IF(A167="","",IF(BI167="","未結合",IF(D167=BI167,"一致","不一致")))</f>
        <v>一致</v>
      </c>
      <c r="BU167" s="8" t="str">
        <f aca="false">IF(A167="","",IF(BE167="牝馬限定","牝馬限定","その他"))</f>
        <v>その他</v>
      </c>
    </row>
    <row r="168" customFormat="false" ht="15.75" hidden="false" customHeight="false" outlineLevel="0" collapsed="false">
      <c r="A168" s="6" t="n">
        <v>46214</v>
      </c>
      <c r="B168" s="4" t="s">
        <v>1091</v>
      </c>
      <c r="C168" s="8" t="n">
        <v>11</v>
      </c>
      <c r="D168" s="8" t="n">
        <v>11</v>
      </c>
      <c r="E168" s="8" t="n">
        <v>5</v>
      </c>
      <c r="F168" s="4" t="s">
        <v>2154</v>
      </c>
      <c r="G168" s="8" t="n">
        <v>47</v>
      </c>
      <c r="H168" s="8" t="n">
        <v>7</v>
      </c>
      <c r="I168" s="4" t="s">
        <v>2156</v>
      </c>
      <c r="J168" s="8" t="n">
        <v>47</v>
      </c>
      <c r="K168" s="8" t="n">
        <v>11</v>
      </c>
      <c r="L168" s="4" t="s">
        <v>2160</v>
      </c>
      <c r="M168" s="8" t="n">
        <v>29</v>
      </c>
      <c r="N168" s="8" t="n">
        <v>0</v>
      </c>
      <c r="O168" s="8" t="n">
        <v>18</v>
      </c>
      <c r="P168" s="8" t="n">
        <v>94</v>
      </c>
      <c r="Q168" s="8" t="str">
        <f aca="false">IF(A168="","",IF(AND(Y168&lt;&gt;"参考",G168&gt;=ルール設定!$B$2),"○",""))</f>
        <v/>
      </c>
      <c r="R168" s="8" t="str">
        <f aca="false">IF(A168="","",IF(AND(Y168&lt;&gt;"参考",G168&gt;=ルール設定!$B$3,N168&gt;=ルール設定!$B$4),"○",""))</f>
        <v/>
      </c>
      <c r="S168" s="8" t="str">
        <f aca="false">IF(A168="","",IF(AND(Y168&lt;&gt;"参考",G168&gt;=ルール設定!$B$5,J168&gt;=ルール設定!$B$6,O168&gt;=ルール設定!$B$7),"○",""))</f>
        <v/>
      </c>
      <c r="T168" s="8" t="n">
        <v>1</v>
      </c>
      <c r="U168" s="8" t="n">
        <v>3</v>
      </c>
      <c r="V168" s="8" t="str">
        <f aca="false">IF(A168="","",IF(AND(ISNUMBER(T168),ISNUMBER(U168)),IF(AND(T168&lt;=3,U168&lt;=3),"○","×"),""))</f>
        <v>○</v>
      </c>
      <c r="W168" s="8" t="n">
        <v>210</v>
      </c>
      <c r="X168" s="8" t="n">
        <v>540</v>
      </c>
      <c r="Y168" s="4" t="s">
        <v>7597</v>
      </c>
      <c r="Z168" s="4" t="s">
        <v>7706</v>
      </c>
      <c r="AA168" s="8" t="str">
        <v/>
      </c>
      <c r="AB168" s="8" t="str">
        <v/>
      </c>
      <c r="AC168" s="8" t="str">
        <v/>
      </c>
      <c r="AD168" s="8" t="str">
        <v/>
      </c>
      <c r="AE168" s="8" t="str">
        <v/>
      </c>
      <c r="AF168" s="8" t="str">
        <v/>
      </c>
      <c r="AG168" s="8" t="str">
        <v/>
      </c>
      <c r="AH168" s="8" t="str">
        <v/>
      </c>
      <c r="AI168" s="8" t="n">
        <v>18</v>
      </c>
      <c r="AJ168" s="8" t="str">
        <v>～59</v>
      </c>
      <c r="AK168" s="8" t="str">
        <v>0～4</v>
      </c>
      <c r="AL168" s="8" t="str">
        <v>10～19</v>
      </c>
      <c r="AM168" s="8" t="str">
        <v>～99</v>
      </c>
      <c r="AN168" s="8" t="str">
        <v>8～11</v>
      </c>
      <c r="AO168" s="8" t="str">
        <f aca="false">IF(A168="","",IF(COUNTIFS(全馬データ!$A$2:$A$50000,A168,全馬データ!$B$2:$B$50000,B168,全馬データ!$C$2:$C$50000,C168,全馬データ!$D$2:$D$50000,E168,全馬データ!$K$2:$K$50000,"&lt;&gt;")=0,"",SUMIFS(全馬データ!$K$2:$K$50000,全馬データ!$A$2:$A$50000,A168,全馬データ!$B$2:$B$50000,B168,全馬データ!$C$2:$C$50000,C168,全馬データ!$D$2:$D$50000,E168)))</f>
        <v/>
      </c>
      <c r="AP168" s="8" t="str">
        <f aca="false">IF(A168="","",IF(AO168="","欠損",IF(AO168&lt;=1.1,"1.0～1.1",IF(AO168&lt;1.3,"1.2",IF(AO168&lt;1.5,"1.3～1.4",IF(AO168&lt;2,"1.5～1.9","2.0以上"))))))</f>
        <v>欠損</v>
      </c>
      <c r="AQ168" s="8" t="str">
        <f aca="false">IF(A168="","",IF(ISNUMBER(SEARCH("2歳",Z168)),"2歳戦",IF(ISNUMBER(SEARCH("3歳未勝利",Z168)),"3歳未勝利",IF(ISNUMBER(SEARCH("未勝利",Z168)),"その他未勝利",IF(ISNUMBER(SEARCH("G1",Z168)),"G1",IF(ISNUMBER(SEARCH("G2",Z168)),"G2",IF(ISNUMBER(SEARCH("G3",Z168)),"G3",IF(ISNUMBER(SEARCH("古馬条件",Z168)),"古馬条件戦",IF(ISNUMBER(SEARCH("重賞",Z168)),"重賞","分類不能")))))))))</f>
        <v>分類不能</v>
      </c>
      <c r="AR168" s="4" t="s">
        <v>7712</v>
      </c>
      <c r="AS168" s="8" t="s">
        <v>7626</v>
      </c>
      <c r="AT168" s="8" t="s">
        <v>7627</v>
      </c>
      <c r="AU168" s="8" t="s">
        <v>7639</v>
      </c>
      <c r="AV168" s="8" t="s">
        <v>7640</v>
      </c>
      <c r="AW168" s="8" t="s">
        <v>7636</v>
      </c>
      <c r="AX168" s="4" t="s">
        <v>7637</v>
      </c>
      <c r="AY168" s="8" t="s">
        <v>7610</v>
      </c>
      <c r="AZ168" s="4" t="s">
        <v>7617</v>
      </c>
      <c r="BA168" s="8" t="n">
        <v>1000</v>
      </c>
      <c r="BB168" s="8" t="s">
        <v>7598</v>
      </c>
      <c r="BC168" s="4" t="s">
        <v>7604</v>
      </c>
      <c r="BD168" s="8" t="s">
        <v>7630</v>
      </c>
      <c r="BE168" s="4" t="s">
        <v>7606</v>
      </c>
      <c r="BF168" s="8" t="s">
        <v>7607</v>
      </c>
      <c r="BG168" s="8" t="s">
        <v>7631</v>
      </c>
      <c r="BH168" s="4" t="s">
        <v>7632</v>
      </c>
      <c r="BI168" s="8" t="n">
        <v>11</v>
      </c>
      <c r="BJ168" s="8" t="s">
        <v>7602</v>
      </c>
      <c r="BK168" s="4" t="s">
        <v>7653</v>
      </c>
      <c r="BL168" s="8" t="s">
        <v>7602</v>
      </c>
      <c r="BM168" s="4" t="s">
        <v>7620</v>
      </c>
      <c r="BN168" s="8"/>
      <c r="BO168" s="8"/>
      <c r="BP168" s="8" t="s">
        <v>7610</v>
      </c>
      <c r="BQ168" s="8" t="str">
        <f aca="false">IF(A168="","",AT168)</f>
        <v>3歳以上</v>
      </c>
      <c r="BR168" s="8" t="str">
        <f aca="false">IF(A168="","",IF(BA168&lt;=1200,"～1200",IF(BA168&lt;=1500,"1300～1500",IF(BA168=1600,"1600",IF(BA168&lt;=1800,"1700～1800",IF(BA168&lt;=2000,"1900～2000","2100以上"))))))</f>
        <v>～1200</v>
      </c>
      <c r="BS168" s="8" t="str">
        <f aca="false">IF(A168="","",IF(AX168="G1","G1",IF(AX168="G2","G2",IF(AX168="G3","G3",IF(AX168="L","L","その他")))))</f>
        <v>その他</v>
      </c>
      <c r="BT168" s="8" t="str">
        <f aca="false">IF(A168="","",IF(BI168="","未結合",IF(D168=BI168,"一致","不一致")))</f>
        <v>一致</v>
      </c>
      <c r="BU168" s="8" t="str">
        <f aca="false">IF(A168="","",IF(BE168="牝馬限定","牝馬限定","その他"))</f>
        <v>その他</v>
      </c>
    </row>
    <row r="169" customFormat="false" ht="15.75" hidden="false" customHeight="false" outlineLevel="0" collapsed="false">
      <c r="A169" s="6" t="n">
        <v>46214</v>
      </c>
      <c r="B169" s="4" t="s">
        <v>1091</v>
      </c>
      <c r="C169" s="8" t="n">
        <v>12</v>
      </c>
      <c r="D169" s="8" t="n">
        <v>16</v>
      </c>
      <c r="E169" s="8" t="n">
        <v>6</v>
      </c>
      <c r="F169" s="4" t="s">
        <v>2164</v>
      </c>
      <c r="G169" s="8" t="n">
        <v>67</v>
      </c>
      <c r="H169" s="8" t="n">
        <v>11</v>
      </c>
      <c r="I169" s="4" t="s">
        <v>2169</v>
      </c>
      <c r="J169" s="8" t="n">
        <v>39</v>
      </c>
      <c r="K169" s="8" t="n">
        <v>4</v>
      </c>
      <c r="L169" s="4" t="s">
        <v>2162</v>
      </c>
      <c r="M169" s="8" t="n">
        <v>34</v>
      </c>
      <c r="N169" s="8" t="n">
        <v>28</v>
      </c>
      <c r="O169" s="8" t="n">
        <v>5</v>
      </c>
      <c r="P169" s="8" t="n">
        <v>106</v>
      </c>
      <c r="Q169" s="8" t="str">
        <f aca="false">IF(A169="","",IF(AND(Y169&lt;&gt;"参考",G169&gt;=ルール設定!$B$2),"○",""))</f>
        <v/>
      </c>
      <c r="R169" s="8" t="str">
        <f aca="false">IF(A169="","",IF(AND(Y169&lt;&gt;"参考",G169&gt;=ルール設定!$B$3,N169&gt;=ルール設定!$B$4),"○",""))</f>
        <v/>
      </c>
      <c r="S169" s="8" t="str">
        <f aca="false">IF(A169="","",IF(AND(Y169&lt;&gt;"参考",G169&gt;=ルール設定!$B$5,J169&gt;=ルール設定!$B$6,O169&gt;=ルール設定!$B$7),"○",""))</f>
        <v/>
      </c>
      <c r="T169" s="8" t="n">
        <v>4</v>
      </c>
      <c r="U169" s="8" t="n">
        <v>1</v>
      </c>
      <c r="V169" s="8" t="str">
        <f aca="false">IF(A169="","",IF(AND(ISNUMBER(T169),ISNUMBER(U169)),IF(AND(T169&lt;=3,U169&lt;=3),"○","×"),""))</f>
        <v>×</v>
      </c>
      <c r="W169" s="8"/>
      <c r="X169" s="8"/>
      <c r="Y169" s="4" t="s">
        <v>7597</v>
      </c>
      <c r="Z169" s="4" t="s">
        <v>7706</v>
      </c>
      <c r="AA169" s="8" t="str">
        <v/>
      </c>
      <c r="AB169" s="8" t="str">
        <v/>
      </c>
      <c r="AC169" s="8" t="str">
        <v/>
      </c>
      <c r="AD169" s="8" t="str">
        <v/>
      </c>
      <c r="AE169" s="8" t="str">
        <v/>
      </c>
      <c r="AF169" s="8" t="str">
        <v/>
      </c>
      <c r="AG169" s="8" t="str">
        <v/>
      </c>
      <c r="AH169" s="8" t="str">
        <v/>
      </c>
      <c r="AI169" s="8" t="n">
        <v>33</v>
      </c>
      <c r="AJ169" s="8" t="str">
        <v>60～69</v>
      </c>
      <c r="AK169" s="8" t="str">
        <v>20～29</v>
      </c>
      <c r="AL169" s="8" t="str">
        <v>30～39</v>
      </c>
      <c r="AM169" s="8" t="str">
        <v>100～119</v>
      </c>
      <c r="AN169" s="8" t="str">
        <v>15以上</v>
      </c>
      <c r="AO169" s="8" t="str">
        <f aca="false">IF(A169="","",IF(COUNTIFS(全馬データ!$A$2:$A$50000,A169,全馬データ!$B$2:$B$50000,B169,全馬データ!$C$2:$C$50000,C169,全馬データ!$D$2:$D$50000,E169,全馬データ!$K$2:$K$50000,"&lt;&gt;")=0,"",SUMIFS(全馬データ!$K$2:$K$50000,全馬データ!$A$2:$A$50000,A169,全馬データ!$B$2:$B$50000,B169,全馬データ!$C$2:$C$50000,C169,全馬データ!$D$2:$D$50000,E169)))</f>
        <v/>
      </c>
      <c r="AP169" s="8" t="str">
        <f aca="false">IF(A169="","",IF(AO169="","欠損",IF(AO169&lt;=1.1,"1.0～1.1",IF(AO169&lt;1.3,"1.2",IF(AO169&lt;1.5,"1.3～1.4",IF(AO169&lt;2,"1.5～1.9","2.0以上"))))))</f>
        <v>欠損</v>
      </c>
      <c r="AQ169" s="8" t="str">
        <f aca="false">IF(A169="","",IF(ISNUMBER(SEARCH("2歳",Z169)),"2歳戦",IF(ISNUMBER(SEARCH("3歳未勝利",Z169)),"3歳未勝利",IF(ISNUMBER(SEARCH("未勝利",Z169)),"その他未勝利",IF(ISNUMBER(SEARCH("G1",Z169)),"G1",IF(ISNUMBER(SEARCH("G2",Z169)),"G2",IF(ISNUMBER(SEARCH("G3",Z169)),"G3",IF(ISNUMBER(SEARCH("古馬条件",Z169)),"古馬条件戦",IF(ISNUMBER(SEARCH("重賞",Z169)),"重賞","分類不能")))))))))</f>
        <v>分類不能</v>
      </c>
      <c r="AR169" s="8"/>
      <c r="AS169" s="8" t="s">
        <v>7626</v>
      </c>
      <c r="AT169" s="8" t="s">
        <v>7627</v>
      </c>
      <c r="AU169" s="8" t="s">
        <v>7628</v>
      </c>
      <c r="AV169" s="8" t="s">
        <v>7629</v>
      </c>
      <c r="AW169" s="8"/>
      <c r="AX169" s="8"/>
      <c r="AY169" s="8" t="s">
        <v>7602</v>
      </c>
      <c r="AZ169" s="4" t="s">
        <v>7603</v>
      </c>
      <c r="BA169" s="8" t="n">
        <v>1200</v>
      </c>
      <c r="BB169" s="8" t="s">
        <v>7598</v>
      </c>
      <c r="BC169" s="4" t="s">
        <v>7604</v>
      </c>
      <c r="BD169" s="8" t="s">
        <v>7625</v>
      </c>
      <c r="BE169" s="4" t="s">
        <v>7606</v>
      </c>
      <c r="BF169" s="8" t="s">
        <v>7607</v>
      </c>
      <c r="BG169" s="8" t="s">
        <v>7631</v>
      </c>
      <c r="BH169" s="4" t="s">
        <v>7632</v>
      </c>
      <c r="BI169" s="8" t="n">
        <v>16</v>
      </c>
      <c r="BJ169" s="8" t="s">
        <v>7602</v>
      </c>
      <c r="BK169" s="4" t="s">
        <v>7653</v>
      </c>
      <c r="BL169" s="8" t="s">
        <v>7602</v>
      </c>
      <c r="BM169" s="4" t="s">
        <v>7620</v>
      </c>
      <c r="BN169" s="8" t="s">
        <v>7602</v>
      </c>
      <c r="BO169" s="8" t="s">
        <v>7613</v>
      </c>
      <c r="BP169" s="8" t="s">
        <v>7610</v>
      </c>
      <c r="BQ169" s="8" t="str">
        <f aca="false">IF(A169="","",AT169)</f>
        <v>3歳以上</v>
      </c>
      <c r="BR169" s="8" t="str">
        <f aca="false">IF(A169="","",IF(BA169&lt;=1200,"～1200",IF(BA169&lt;=1500,"1300～1500",IF(BA169=1600,"1600",IF(BA169&lt;=1800,"1700～1800",IF(BA169&lt;=2000,"1900～2000","2100以上"))))))</f>
        <v>～1200</v>
      </c>
      <c r="BS169" s="8" t="str">
        <f aca="false">IF(A169="","",IF(AX169="G1","G1",IF(AX169="G2","G2",IF(AX169="G3","G3",IF(AX169="L","L","その他")))))</f>
        <v>その他</v>
      </c>
      <c r="BT169" s="8" t="str">
        <f aca="false">IF(A169="","",IF(BI169="","未結合",IF(D169=BI169,"一致","不一致")))</f>
        <v>一致</v>
      </c>
      <c r="BU169" s="8" t="str">
        <f aca="false">IF(A169="","",IF(BE169="牝馬限定","牝馬限定","その他"))</f>
        <v>その他</v>
      </c>
    </row>
    <row r="170" customFormat="false" ht="15.75" hidden="false" customHeight="false" outlineLevel="0" collapsed="false">
      <c r="A170" s="6" t="n">
        <v>46214</v>
      </c>
      <c r="B170" s="4" t="s">
        <v>1237</v>
      </c>
      <c r="C170" s="8" t="n">
        <v>1</v>
      </c>
      <c r="D170" s="8" t="n">
        <v>11</v>
      </c>
      <c r="E170" s="8" t="n">
        <v>5</v>
      </c>
      <c r="F170" s="4" t="s">
        <v>794</v>
      </c>
      <c r="G170" s="8" t="n">
        <v>81</v>
      </c>
      <c r="H170" s="8" t="n">
        <v>1</v>
      </c>
      <c r="I170" s="4" t="s">
        <v>2174</v>
      </c>
      <c r="J170" s="8" t="n">
        <v>67</v>
      </c>
      <c r="K170" s="8" t="n">
        <v>10</v>
      </c>
      <c r="L170" s="4" t="s">
        <v>790</v>
      </c>
      <c r="M170" s="8" t="n">
        <v>56</v>
      </c>
      <c r="N170" s="8" t="n">
        <v>14</v>
      </c>
      <c r="O170" s="8" t="n">
        <v>11</v>
      </c>
      <c r="P170" s="8" t="n">
        <v>148</v>
      </c>
      <c r="Q170" s="8" t="str">
        <f aca="false">IF(A170="","",IF(AND(Y170&lt;&gt;"参考",G170&gt;=ルール設定!$B$2),"○",""))</f>
        <v>○</v>
      </c>
      <c r="R170" s="8" t="str">
        <f aca="false">IF(A170="","",IF(AND(Y170&lt;&gt;"参考",G170&gt;=ルール設定!$B$3,N170&gt;=ルール設定!$B$4),"○",""))</f>
        <v/>
      </c>
      <c r="S170" s="8" t="str">
        <f aca="false">IF(A170="","",IF(AND(Y170&lt;&gt;"参考",G170&gt;=ルール設定!$B$5,J170&gt;=ルール設定!$B$6,O170&gt;=ルール設定!$B$7),"○",""))</f>
        <v/>
      </c>
      <c r="T170" s="8" t="n">
        <v>2</v>
      </c>
      <c r="U170" s="8" t="n">
        <v>1</v>
      </c>
      <c r="V170" s="8" t="str">
        <f aca="false">IF(A170="","",IF(AND(ISNUMBER(T170),ISNUMBER(U170)),IF(AND(T170&lt;=3,U170&lt;=3),"○","×"),""))</f>
        <v>○</v>
      </c>
      <c r="W170" s="8" t="n">
        <v>110</v>
      </c>
      <c r="X170" s="8" t="n">
        <v>130</v>
      </c>
      <c r="Y170" s="4" t="s">
        <v>7597</v>
      </c>
      <c r="Z170" s="4" t="s">
        <v>7706</v>
      </c>
      <c r="AA170" s="8" t="str">
        <v/>
      </c>
      <c r="AB170" s="8" t="str">
        <v>○</v>
      </c>
      <c r="AC170" s="8" t="str">
        <v>○</v>
      </c>
      <c r="AD170" s="8" t="str">
        <v/>
      </c>
      <c r="AE170" s="8" t="str">
        <v/>
      </c>
      <c r="AF170" s="8" t="str">
        <v>○</v>
      </c>
      <c r="AG170" s="8" t="str">
        <v/>
      </c>
      <c r="AH170" s="8" t="str">
        <v/>
      </c>
      <c r="AI170" s="8" t="n">
        <v>25</v>
      </c>
      <c r="AJ170" s="8" t="str">
        <v>80～84</v>
      </c>
      <c r="AK170" s="8" t="str">
        <v>10～19</v>
      </c>
      <c r="AL170" s="8" t="str">
        <v>20～29</v>
      </c>
      <c r="AM170" s="8" t="str">
        <v>140～159</v>
      </c>
      <c r="AN170" s="8" t="str">
        <v>8～11</v>
      </c>
      <c r="AO170" s="8" t="n">
        <f aca="false">IF(A170="","",IF(COUNTIFS(全馬データ!$A$2:$A$50000,A170,全馬データ!$B$2:$B$50000,B170,全馬データ!$C$2:$C$50000,C170,全馬データ!$D$2:$D$50000,E170,全馬データ!$K$2:$K$50000,"&lt;&gt;")=0,"",SUMIFS(全馬データ!$K$2:$K$50000,全馬データ!$A$2:$A$50000,A170,全馬データ!$B$2:$B$50000,B170,全馬データ!$C$2:$C$50000,C170,全馬データ!$D$2:$D$50000,E170)))</f>
        <v>1.1</v>
      </c>
      <c r="AP170" s="8" t="str">
        <f aca="false">IF(A170="","",IF(AO170="","欠損",IF(AO170&lt;=1.1,"1.0～1.1",IF(AO170&lt;1.3,"1.2",IF(AO170&lt;1.5,"1.3～1.4",IF(AO170&lt;2,"1.5～1.9","2.0以上"))))))</f>
        <v>1.0～1.1</v>
      </c>
      <c r="AQ170" s="8" t="str">
        <f aca="false">IF(A170="","",IF(ISNUMBER(SEARCH("2歳",Z170)),"2歳戦",IF(ISNUMBER(SEARCH("3歳未勝利",Z170)),"3歳未勝利",IF(ISNUMBER(SEARCH("未勝利",Z170)),"その他未勝利",IF(ISNUMBER(SEARCH("G1",Z170)),"G1",IF(ISNUMBER(SEARCH("G2",Z170)),"G2",IF(ISNUMBER(SEARCH("G3",Z170)),"G3",IF(ISNUMBER(SEARCH("古馬条件",Z170)),"古馬条件戦",IF(ISNUMBER(SEARCH("重賞",Z170)),"重賞","分類不能")))))))))</f>
        <v>分類不能</v>
      </c>
      <c r="AR170" s="8"/>
      <c r="AS170" s="8" t="s">
        <v>7598</v>
      </c>
      <c r="AT170" s="8" t="s">
        <v>7599</v>
      </c>
      <c r="AU170" s="8" t="s">
        <v>7600</v>
      </c>
      <c r="AV170" s="4" t="s">
        <v>7601</v>
      </c>
      <c r="AW170" s="8"/>
      <c r="AX170" s="8"/>
      <c r="AY170" s="8" t="s">
        <v>7610</v>
      </c>
      <c r="AZ170" s="4" t="s">
        <v>7617</v>
      </c>
      <c r="BA170" s="8" t="n">
        <v>1000</v>
      </c>
      <c r="BB170" s="8" t="s">
        <v>7659</v>
      </c>
      <c r="BC170" s="4" t="s">
        <v>7619</v>
      </c>
      <c r="BD170" s="8" t="s">
        <v>7605</v>
      </c>
      <c r="BE170" s="4" t="s">
        <v>7606</v>
      </c>
      <c r="BF170" s="8" t="s">
        <v>7607</v>
      </c>
      <c r="BG170" s="8" t="s">
        <v>7608</v>
      </c>
      <c r="BH170" s="4" t="s">
        <v>7609</v>
      </c>
      <c r="BI170" s="8" t="n">
        <v>11</v>
      </c>
      <c r="BJ170" s="8" t="s">
        <v>7602</v>
      </c>
      <c r="BK170" s="4" t="s">
        <v>7653</v>
      </c>
      <c r="BL170" s="8" t="s">
        <v>7602</v>
      </c>
      <c r="BM170" s="4" t="s">
        <v>7620</v>
      </c>
      <c r="BN170" s="8"/>
      <c r="BO170" s="8"/>
      <c r="BP170" s="8" t="s">
        <v>7608</v>
      </c>
      <c r="BQ170" s="8" t="str">
        <f aca="false">IF(A170="","",AT170)</f>
        <v>2歳</v>
      </c>
      <c r="BR170" s="8" t="str">
        <f aca="false">IF(A170="","",IF(BA170&lt;=1200,"～1200",IF(BA170&lt;=1500,"1300～1500",IF(BA170=1600,"1600",IF(BA170&lt;=1800,"1700～1800",IF(BA170&lt;=2000,"1900～2000","2100以上"))))))</f>
        <v>～1200</v>
      </c>
      <c r="BS170" s="8" t="str">
        <f aca="false">IF(A170="","",IF(AX170="G1","G1",IF(AX170="G2","G2",IF(AX170="G3","G3",IF(AX170="L","L","その他")))))</f>
        <v>その他</v>
      </c>
      <c r="BT170" s="8" t="str">
        <f aca="false">IF(A170="","",IF(BI170="","未結合",IF(D170=BI170,"一致","不一致")))</f>
        <v>一致</v>
      </c>
      <c r="BU170" s="8" t="str">
        <f aca="false">IF(A170="","",IF(BE170="牝馬限定","牝馬限定","その他"))</f>
        <v>その他</v>
      </c>
    </row>
    <row r="171" customFormat="false" ht="15.75" hidden="false" customHeight="false" outlineLevel="0" collapsed="false">
      <c r="A171" s="6" t="n">
        <v>46214</v>
      </c>
      <c r="B171" s="4" t="s">
        <v>1237</v>
      </c>
      <c r="C171" s="8" t="n">
        <v>2</v>
      </c>
      <c r="D171" s="8" t="n">
        <v>14</v>
      </c>
      <c r="E171" s="8" t="n">
        <v>10</v>
      </c>
      <c r="F171" s="4" t="s">
        <v>2189</v>
      </c>
      <c r="G171" s="8" t="n">
        <v>58</v>
      </c>
      <c r="H171" s="8" t="n">
        <v>11</v>
      </c>
      <c r="I171" s="4" t="s">
        <v>2190</v>
      </c>
      <c r="J171" s="8" t="n">
        <v>44</v>
      </c>
      <c r="K171" s="8" t="n">
        <v>7</v>
      </c>
      <c r="L171" s="4" t="s">
        <v>2187</v>
      </c>
      <c r="M171" s="8" t="n">
        <v>39</v>
      </c>
      <c r="N171" s="8" t="n">
        <v>14</v>
      </c>
      <c r="O171" s="8" t="n">
        <v>5</v>
      </c>
      <c r="P171" s="8" t="n">
        <v>102</v>
      </c>
      <c r="Q171" s="8" t="str">
        <f aca="false">IF(A171="","",IF(AND(Y171&lt;&gt;"参考",G171&gt;=ルール設定!$B$2),"○",""))</f>
        <v/>
      </c>
      <c r="R171" s="8" t="str">
        <f aca="false">IF(A171="","",IF(AND(Y171&lt;&gt;"参考",G171&gt;=ルール設定!$B$3,N171&gt;=ルール設定!$B$4),"○",""))</f>
        <v/>
      </c>
      <c r="S171" s="8" t="str">
        <f aca="false">IF(A171="","",IF(AND(Y171&lt;&gt;"参考",G171&gt;=ルール設定!$B$5,J171&gt;=ルール設定!$B$6,O171&gt;=ルール設定!$B$7),"○",""))</f>
        <v/>
      </c>
      <c r="T171" s="8" t="n">
        <v>4</v>
      </c>
      <c r="U171" s="8" t="n">
        <v>4</v>
      </c>
      <c r="V171" s="8" t="str">
        <f aca="false">IF(A171="","",IF(AND(ISNUMBER(T171),ISNUMBER(U171)),IF(AND(T171&lt;=3,U171&lt;=3),"○","×"),""))</f>
        <v>×</v>
      </c>
      <c r="W171" s="8"/>
      <c r="X171" s="8"/>
      <c r="Y171" s="4" t="s">
        <v>7597</v>
      </c>
      <c r="Z171" s="4" t="s">
        <v>7706</v>
      </c>
      <c r="AA171" s="8" t="str">
        <v/>
      </c>
      <c r="AB171" s="8" t="str">
        <v/>
      </c>
      <c r="AC171" s="8" t="str">
        <v/>
      </c>
      <c r="AD171" s="8" t="str">
        <v/>
      </c>
      <c r="AE171" s="8" t="str">
        <v/>
      </c>
      <c r="AF171" s="8" t="str">
        <v/>
      </c>
      <c r="AG171" s="8" t="str">
        <v/>
      </c>
      <c r="AH171" s="8" t="str">
        <v/>
      </c>
      <c r="AI171" s="8" t="n">
        <v>19</v>
      </c>
      <c r="AJ171" s="8" t="str">
        <v>～59</v>
      </c>
      <c r="AK171" s="8" t="str">
        <v>10～19</v>
      </c>
      <c r="AL171" s="8" t="str">
        <v>10～19</v>
      </c>
      <c r="AM171" s="8" t="str">
        <v>100～119</v>
      </c>
      <c r="AN171" s="8" t="str">
        <v>12～14</v>
      </c>
      <c r="AO171" s="8" t="str">
        <f aca="false">IF(A171="","",IF(COUNTIFS(全馬データ!$A$2:$A$50000,A171,全馬データ!$B$2:$B$50000,B171,全馬データ!$C$2:$C$50000,C171,全馬データ!$D$2:$D$50000,E171,全馬データ!$K$2:$K$50000,"&lt;&gt;")=0,"",SUMIFS(全馬データ!$K$2:$K$50000,全馬データ!$A$2:$A$50000,A171,全馬データ!$B$2:$B$50000,B171,全馬データ!$C$2:$C$50000,C171,全馬データ!$D$2:$D$50000,E171)))</f>
        <v/>
      </c>
      <c r="AP171" s="8" t="str">
        <f aca="false">IF(A171="","",IF(AO171="","欠損",IF(AO171&lt;=1.1,"1.0～1.1",IF(AO171&lt;1.3,"1.2",IF(AO171&lt;1.5,"1.3～1.4",IF(AO171&lt;2,"1.5～1.9","2.0以上"))))))</f>
        <v>欠損</v>
      </c>
      <c r="AQ171" s="8" t="str">
        <f aca="false">IF(A171="","",IF(ISNUMBER(SEARCH("2歳",Z171)),"2歳戦",IF(ISNUMBER(SEARCH("3歳未勝利",Z171)),"3歳未勝利",IF(ISNUMBER(SEARCH("未勝利",Z171)),"その他未勝利",IF(ISNUMBER(SEARCH("G1",Z171)),"G1",IF(ISNUMBER(SEARCH("G2",Z171)),"G2",IF(ISNUMBER(SEARCH("G3",Z171)),"G3",IF(ISNUMBER(SEARCH("古馬条件",Z171)),"古馬条件戦",IF(ISNUMBER(SEARCH("重賞",Z171)),"重賞","分類不能")))))))))</f>
        <v>分類不能</v>
      </c>
      <c r="AR171" s="8"/>
      <c r="AS171" s="8" t="s">
        <v>7623</v>
      </c>
      <c r="AT171" s="8" t="s">
        <v>7624</v>
      </c>
      <c r="AU171" s="8" t="s">
        <v>7600</v>
      </c>
      <c r="AV171" s="4" t="s">
        <v>7601</v>
      </c>
      <c r="AW171" s="8"/>
      <c r="AX171" s="8"/>
      <c r="AY171" s="8" t="s">
        <v>7610</v>
      </c>
      <c r="AZ171" s="4" t="s">
        <v>7617</v>
      </c>
      <c r="BA171" s="8" t="n">
        <v>1700</v>
      </c>
      <c r="BB171" s="8" t="s">
        <v>7701</v>
      </c>
      <c r="BC171" s="4" t="s">
        <v>7658</v>
      </c>
      <c r="BD171" s="8" t="s">
        <v>7621</v>
      </c>
      <c r="BE171" s="4" t="s">
        <v>7622</v>
      </c>
      <c r="BF171" s="8" t="s">
        <v>7602</v>
      </c>
      <c r="BG171" s="8" t="s">
        <v>7608</v>
      </c>
      <c r="BH171" s="4" t="s">
        <v>7609</v>
      </c>
      <c r="BI171" s="8" t="n">
        <v>14</v>
      </c>
      <c r="BJ171" s="8" t="s">
        <v>7602</v>
      </c>
      <c r="BK171" s="4" t="s">
        <v>7653</v>
      </c>
      <c r="BL171" s="8" t="s">
        <v>7602</v>
      </c>
      <c r="BM171" s="4" t="s">
        <v>7620</v>
      </c>
      <c r="BN171" s="8"/>
      <c r="BO171" s="8"/>
      <c r="BP171" s="8" t="s">
        <v>7608</v>
      </c>
      <c r="BQ171" s="8" t="str">
        <f aca="false">IF(A171="","",AT171)</f>
        <v>3歳</v>
      </c>
      <c r="BR171" s="8" t="str">
        <f aca="false">IF(A171="","",IF(BA171&lt;=1200,"～1200",IF(BA171&lt;=1500,"1300～1500",IF(BA171=1600,"1600",IF(BA171&lt;=1800,"1700～1800",IF(BA171&lt;=2000,"1900～2000","2100以上"))))))</f>
        <v>1700～1800</v>
      </c>
      <c r="BS171" s="8" t="str">
        <f aca="false">IF(A171="","",IF(AX171="G1","G1",IF(AX171="G2","G2",IF(AX171="G3","G3",IF(AX171="L","L","その他")))))</f>
        <v>その他</v>
      </c>
      <c r="BT171" s="8" t="str">
        <f aca="false">IF(A171="","",IF(BI171="","未結合",IF(D171=BI171,"一致","不一致")))</f>
        <v>一致</v>
      </c>
      <c r="BU171" s="8" t="str">
        <f aca="false">IF(A171="","",IF(BE171="牝馬限定","牝馬限定","その他"))</f>
        <v>牝馬限定</v>
      </c>
    </row>
    <row r="172" customFormat="false" ht="15.75" hidden="false" customHeight="false" outlineLevel="0" collapsed="false">
      <c r="A172" s="6" t="n">
        <v>46214</v>
      </c>
      <c r="B172" s="4" t="s">
        <v>1237</v>
      </c>
      <c r="C172" s="8" t="n">
        <v>3</v>
      </c>
      <c r="D172" s="8" t="n">
        <v>16</v>
      </c>
      <c r="E172" s="8" t="n">
        <v>6</v>
      </c>
      <c r="F172" s="4" t="s">
        <v>2195</v>
      </c>
      <c r="G172" s="8" t="n">
        <v>58</v>
      </c>
      <c r="H172" s="8" t="n">
        <v>2</v>
      </c>
      <c r="I172" s="4" t="s">
        <v>2193</v>
      </c>
      <c r="J172" s="8" t="n">
        <v>41</v>
      </c>
      <c r="K172" s="8" t="n">
        <v>10</v>
      </c>
      <c r="L172" s="4" t="s">
        <v>2198</v>
      </c>
      <c r="M172" s="8" t="n">
        <v>41</v>
      </c>
      <c r="N172" s="8" t="n">
        <v>17</v>
      </c>
      <c r="O172" s="8" t="n">
        <v>0</v>
      </c>
      <c r="P172" s="8" t="n">
        <v>99</v>
      </c>
      <c r="Q172" s="8" t="str">
        <f aca="false">IF(A172="","",IF(AND(Y172&lt;&gt;"参考",G172&gt;=ルール設定!$B$2),"○",""))</f>
        <v/>
      </c>
      <c r="R172" s="8" t="str">
        <f aca="false">IF(A172="","",IF(AND(Y172&lt;&gt;"参考",G172&gt;=ルール設定!$B$3,N172&gt;=ルール設定!$B$4),"○",""))</f>
        <v/>
      </c>
      <c r="S172" s="8" t="str">
        <f aca="false">IF(A172="","",IF(AND(Y172&lt;&gt;"参考",G172&gt;=ルール設定!$B$5,J172&gt;=ルール設定!$B$6,O172&gt;=ルール設定!$B$7),"○",""))</f>
        <v/>
      </c>
      <c r="T172" s="8" t="n">
        <v>1</v>
      </c>
      <c r="U172" s="8" t="n">
        <v>4</v>
      </c>
      <c r="V172" s="8" t="str">
        <f aca="false">IF(A172="","",IF(AND(ISNUMBER(T172),ISNUMBER(U172)),IF(AND(T172&lt;=3,U172&lt;=3),"○","×"),""))</f>
        <v>×</v>
      </c>
      <c r="W172" s="8" t="n">
        <v>150</v>
      </c>
      <c r="X172" s="8"/>
      <c r="Y172" s="4" t="s">
        <v>7597</v>
      </c>
      <c r="Z172" s="4" t="s">
        <v>7706</v>
      </c>
      <c r="AA172" s="8" t="str">
        <v/>
      </c>
      <c r="AB172" s="8" t="str">
        <v/>
      </c>
      <c r="AC172" s="8" t="str">
        <v/>
      </c>
      <c r="AD172" s="8" t="str">
        <v/>
      </c>
      <c r="AE172" s="8" t="str">
        <v/>
      </c>
      <c r="AF172" s="8" t="str">
        <v/>
      </c>
      <c r="AG172" s="8" t="str">
        <v/>
      </c>
      <c r="AH172" s="8" t="str">
        <v/>
      </c>
      <c r="AI172" s="8" t="n">
        <v>17</v>
      </c>
      <c r="AJ172" s="8" t="str">
        <v>～59</v>
      </c>
      <c r="AK172" s="8" t="str">
        <v>10～19</v>
      </c>
      <c r="AL172" s="8" t="str">
        <v>10～19</v>
      </c>
      <c r="AM172" s="8" t="str">
        <v>～99</v>
      </c>
      <c r="AN172" s="8" t="str">
        <v>15以上</v>
      </c>
      <c r="AO172" s="8" t="str">
        <f aca="false">IF(A172="","",IF(COUNTIFS(全馬データ!$A$2:$A$50000,A172,全馬データ!$B$2:$B$50000,B172,全馬データ!$C$2:$C$50000,C172,全馬データ!$D$2:$D$50000,E172,全馬データ!$K$2:$K$50000,"&lt;&gt;")=0,"",SUMIFS(全馬データ!$K$2:$K$50000,全馬データ!$A$2:$A$50000,A172,全馬データ!$B$2:$B$50000,B172,全馬データ!$C$2:$C$50000,C172,全馬データ!$D$2:$D$50000,E172)))</f>
        <v/>
      </c>
      <c r="AP172" s="8" t="str">
        <f aca="false">IF(A172="","",IF(AO172="","欠損",IF(AO172&lt;=1.1,"1.0～1.1",IF(AO172&lt;1.3,"1.2",IF(AO172&lt;1.5,"1.3～1.4",IF(AO172&lt;2,"1.5～1.9","2.0以上"))))))</f>
        <v>欠損</v>
      </c>
      <c r="AQ172" s="8" t="str">
        <f aca="false">IF(A172="","",IF(ISNUMBER(SEARCH("2歳",Z172)),"2歳戦",IF(ISNUMBER(SEARCH("3歳未勝利",Z172)),"3歳未勝利",IF(ISNUMBER(SEARCH("未勝利",Z172)),"その他未勝利",IF(ISNUMBER(SEARCH("G1",Z172)),"G1",IF(ISNUMBER(SEARCH("G2",Z172)),"G2",IF(ISNUMBER(SEARCH("G3",Z172)),"G3",IF(ISNUMBER(SEARCH("古馬条件",Z172)),"古馬条件戦",IF(ISNUMBER(SEARCH("重賞",Z172)),"重賞","分類不能")))))))))</f>
        <v>分類不能</v>
      </c>
      <c r="AR172" s="8"/>
      <c r="AS172" s="8" t="s">
        <v>7623</v>
      </c>
      <c r="AT172" s="8" t="s">
        <v>7624</v>
      </c>
      <c r="AU172" s="8" t="s">
        <v>7600</v>
      </c>
      <c r="AV172" s="4" t="s">
        <v>7601</v>
      </c>
      <c r="AW172" s="8"/>
      <c r="AX172" s="8"/>
      <c r="AY172" s="8" t="s">
        <v>7602</v>
      </c>
      <c r="AZ172" s="4" t="s">
        <v>7603</v>
      </c>
      <c r="BA172" s="8" t="n">
        <v>1200</v>
      </c>
      <c r="BB172" s="8" t="s">
        <v>7659</v>
      </c>
      <c r="BC172" s="4" t="s">
        <v>7619</v>
      </c>
      <c r="BD172" s="8" t="s">
        <v>7625</v>
      </c>
      <c r="BE172" s="4" t="s">
        <v>7606</v>
      </c>
      <c r="BF172" s="8" t="s">
        <v>7607</v>
      </c>
      <c r="BG172" s="8" t="s">
        <v>7608</v>
      </c>
      <c r="BH172" s="4" t="s">
        <v>7609</v>
      </c>
      <c r="BI172" s="8" t="n">
        <v>16</v>
      </c>
      <c r="BJ172" s="8" t="s">
        <v>7602</v>
      </c>
      <c r="BK172" s="4" t="s">
        <v>7653</v>
      </c>
      <c r="BL172" s="8" t="s">
        <v>7602</v>
      </c>
      <c r="BM172" s="4" t="s">
        <v>7620</v>
      </c>
      <c r="BN172" s="8" t="s">
        <v>7631</v>
      </c>
      <c r="BO172" s="8" t="s">
        <v>7680</v>
      </c>
      <c r="BP172" s="8" t="s">
        <v>7608</v>
      </c>
      <c r="BQ172" s="8" t="str">
        <f aca="false">IF(A172="","",AT172)</f>
        <v>3歳</v>
      </c>
      <c r="BR172" s="8" t="str">
        <f aca="false">IF(A172="","",IF(BA172&lt;=1200,"～1200",IF(BA172&lt;=1500,"1300～1500",IF(BA172=1600,"1600",IF(BA172&lt;=1800,"1700～1800",IF(BA172&lt;=2000,"1900～2000","2100以上"))))))</f>
        <v>～1200</v>
      </c>
      <c r="BS172" s="8" t="str">
        <f aca="false">IF(A172="","",IF(AX172="G1","G1",IF(AX172="G2","G2",IF(AX172="G3","G3",IF(AX172="L","L","その他")))))</f>
        <v>その他</v>
      </c>
      <c r="BT172" s="8" t="str">
        <f aca="false">IF(A172="","",IF(BI172="","未結合",IF(D172=BI172,"一致","不一致")))</f>
        <v>一致</v>
      </c>
      <c r="BU172" s="8" t="str">
        <f aca="false">IF(A172="","",IF(BE172="牝馬限定","牝馬限定","その他"))</f>
        <v>その他</v>
      </c>
    </row>
    <row r="173" customFormat="false" ht="15.75" hidden="false" customHeight="false" outlineLevel="0" collapsed="false">
      <c r="A173" s="6" t="n">
        <v>46214</v>
      </c>
      <c r="B173" s="4" t="s">
        <v>1237</v>
      </c>
      <c r="C173" s="8" t="n">
        <v>4</v>
      </c>
      <c r="D173" s="8" t="n">
        <v>14</v>
      </c>
      <c r="E173" s="8" t="n">
        <v>14</v>
      </c>
      <c r="F173" s="4" t="s">
        <v>2211</v>
      </c>
      <c r="G173" s="8" t="n">
        <v>50</v>
      </c>
      <c r="H173" s="8" t="n">
        <v>12</v>
      </c>
      <c r="I173" s="4" t="s">
        <v>2210</v>
      </c>
      <c r="J173" s="8" t="n">
        <v>41</v>
      </c>
      <c r="K173" s="8" t="n">
        <v>2</v>
      </c>
      <c r="L173" s="4" t="s">
        <v>381</v>
      </c>
      <c r="M173" s="8" t="n">
        <v>34</v>
      </c>
      <c r="N173" s="8" t="n">
        <v>9</v>
      </c>
      <c r="O173" s="8" t="n">
        <v>7</v>
      </c>
      <c r="P173" s="8" t="n">
        <v>91</v>
      </c>
      <c r="Q173" s="8" t="str">
        <f aca="false">IF(A173="","",IF(AND(Y173&lt;&gt;"参考",G173&gt;=ルール設定!$B$2),"○",""))</f>
        <v/>
      </c>
      <c r="R173" s="8" t="str">
        <f aca="false">IF(A173="","",IF(AND(Y173&lt;&gt;"参考",G173&gt;=ルール設定!$B$3,N173&gt;=ルール設定!$B$4),"○",""))</f>
        <v/>
      </c>
      <c r="S173" s="8" t="str">
        <f aca="false">IF(A173="","",IF(AND(Y173&lt;&gt;"参考",G173&gt;=ルール設定!$B$5,J173&gt;=ルール設定!$B$6,O173&gt;=ルール設定!$B$7),"○",""))</f>
        <v/>
      </c>
      <c r="T173" s="8" t="n">
        <v>1</v>
      </c>
      <c r="U173" s="8" t="n">
        <v>4</v>
      </c>
      <c r="V173" s="8" t="str">
        <f aca="false">IF(A173="","",IF(AND(ISNUMBER(T173),ISNUMBER(U173)),IF(AND(T173&lt;=3,U173&lt;=3),"○","×"),""))</f>
        <v>×</v>
      </c>
      <c r="W173" s="8" t="n">
        <v>140</v>
      </c>
      <c r="X173" s="8"/>
      <c r="Y173" s="4" t="s">
        <v>7597</v>
      </c>
      <c r="Z173" s="4" t="s">
        <v>7706</v>
      </c>
      <c r="AA173" s="8" t="str">
        <v/>
      </c>
      <c r="AB173" s="8" t="str">
        <v/>
      </c>
      <c r="AC173" s="8" t="str">
        <v/>
      </c>
      <c r="AD173" s="8" t="str">
        <v/>
      </c>
      <c r="AE173" s="8" t="str">
        <v/>
      </c>
      <c r="AF173" s="8" t="str">
        <v/>
      </c>
      <c r="AG173" s="8" t="str">
        <v/>
      </c>
      <c r="AH173" s="8" t="str">
        <v/>
      </c>
      <c r="AI173" s="8" t="n">
        <v>16</v>
      </c>
      <c r="AJ173" s="8" t="str">
        <v>～59</v>
      </c>
      <c r="AK173" s="8" t="str">
        <v>5～9</v>
      </c>
      <c r="AL173" s="8" t="str">
        <v>10～19</v>
      </c>
      <c r="AM173" s="8" t="str">
        <v>～99</v>
      </c>
      <c r="AN173" s="8" t="str">
        <v>12～14</v>
      </c>
      <c r="AO173" s="8" t="str">
        <f aca="false">IF(A173="","",IF(COUNTIFS(全馬データ!$A$2:$A$50000,A173,全馬データ!$B$2:$B$50000,B173,全馬データ!$C$2:$C$50000,C173,全馬データ!$D$2:$D$50000,E173,全馬データ!$K$2:$K$50000,"&lt;&gt;")=0,"",SUMIFS(全馬データ!$K$2:$K$50000,全馬データ!$A$2:$A$50000,A173,全馬データ!$B$2:$B$50000,B173,全馬データ!$C$2:$C$50000,C173,全馬データ!$D$2:$D$50000,E173)))</f>
        <v/>
      </c>
      <c r="AP173" s="8" t="str">
        <f aca="false">IF(A173="","",IF(AO173="","欠損",IF(AO173&lt;=1.1,"1.0～1.1",IF(AO173&lt;1.3,"1.2",IF(AO173&lt;1.5,"1.3～1.4",IF(AO173&lt;2,"1.5～1.9","2.0以上"))))))</f>
        <v>欠損</v>
      </c>
      <c r="AQ173" s="8" t="str">
        <f aca="false">IF(A173="","",IF(ISNUMBER(SEARCH("2歳",Z173)),"2歳戦",IF(ISNUMBER(SEARCH("3歳未勝利",Z173)),"3歳未勝利",IF(ISNUMBER(SEARCH("未勝利",Z173)),"その他未勝利",IF(ISNUMBER(SEARCH("G1",Z173)),"G1",IF(ISNUMBER(SEARCH("G2",Z173)),"G2",IF(ISNUMBER(SEARCH("G3",Z173)),"G3",IF(ISNUMBER(SEARCH("古馬条件",Z173)),"古馬条件戦",IF(ISNUMBER(SEARCH("重賞",Z173)),"重賞","分類不能")))))))))</f>
        <v>分類不能</v>
      </c>
      <c r="AR173" s="8"/>
      <c r="AS173" s="8" t="s">
        <v>7623</v>
      </c>
      <c r="AT173" s="8" t="s">
        <v>7624</v>
      </c>
      <c r="AU173" s="8" t="s">
        <v>7600</v>
      </c>
      <c r="AV173" s="4" t="s">
        <v>7601</v>
      </c>
      <c r="AW173" s="8"/>
      <c r="AX173" s="8"/>
      <c r="AY173" s="8" t="s">
        <v>7602</v>
      </c>
      <c r="AZ173" s="4" t="s">
        <v>7603</v>
      </c>
      <c r="BA173" s="8" t="n">
        <v>1800</v>
      </c>
      <c r="BB173" s="8" t="s">
        <v>7659</v>
      </c>
      <c r="BC173" s="4" t="s">
        <v>7619</v>
      </c>
      <c r="BD173" s="8" t="s">
        <v>7625</v>
      </c>
      <c r="BE173" s="4" t="s">
        <v>7606</v>
      </c>
      <c r="BF173" s="8" t="s">
        <v>7607</v>
      </c>
      <c r="BG173" s="8" t="s">
        <v>7608</v>
      </c>
      <c r="BH173" s="4" t="s">
        <v>7609</v>
      </c>
      <c r="BI173" s="8" t="n">
        <v>14</v>
      </c>
      <c r="BJ173" s="8" t="s">
        <v>7602</v>
      </c>
      <c r="BK173" s="4" t="s">
        <v>7653</v>
      </c>
      <c r="BL173" s="8" t="s">
        <v>7602</v>
      </c>
      <c r="BM173" s="4" t="s">
        <v>7620</v>
      </c>
      <c r="BN173" s="8" t="s">
        <v>7631</v>
      </c>
      <c r="BO173" s="8" t="s">
        <v>7680</v>
      </c>
      <c r="BP173" s="8" t="s">
        <v>7608</v>
      </c>
      <c r="BQ173" s="8" t="str">
        <f aca="false">IF(A173="","",AT173)</f>
        <v>3歳</v>
      </c>
      <c r="BR173" s="8" t="str">
        <f aca="false">IF(A173="","",IF(BA173&lt;=1200,"～1200",IF(BA173&lt;=1500,"1300～1500",IF(BA173=1600,"1600",IF(BA173&lt;=1800,"1700～1800",IF(BA173&lt;=2000,"1900～2000","2100以上"))))))</f>
        <v>1700～1800</v>
      </c>
      <c r="BS173" s="8" t="str">
        <f aca="false">IF(A173="","",IF(AX173="G1","G1",IF(AX173="G2","G2",IF(AX173="G3","G3",IF(AX173="L","L","その他")))))</f>
        <v>その他</v>
      </c>
      <c r="BT173" s="8" t="str">
        <f aca="false">IF(A173="","",IF(BI173="","未結合",IF(D173=BI173,"一致","不一致")))</f>
        <v>一致</v>
      </c>
      <c r="BU173" s="8" t="str">
        <f aca="false">IF(A173="","",IF(BE173="牝馬限定","牝馬限定","その他"))</f>
        <v>その他</v>
      </c>
    </row>
    <row r="174" customFormat="false" ht="15.75" hidden="false" customHeight="false" outlineLevel="0" collapsed="false">
      <c r="A174" s="6" t="n">
        <v>46214</v>
      </c>
      <c r="B174" s="4" t="s">
        <v>1237</v>
      </c>
      <c r="C174" s="8" t="n">
        <v>5</v>
      </c>
      <c r="D174" s="8" t="n">
        <v>11</v>
      </c>
      <c r="E174" s="8" t="n">
        <v>8</v>
      </c>
      <c r="F174" s="4" t="s">
        <v>2215</v>
      </c>
      <c r="G174" s="8" t="n">
        <v>37</v>
      </c>
      <c r="H174" s="8" t="n">
        <v>3</v>
      </c>
      <c r="I174" s="4" t="s">
        <v>1719</v>
      </c>
      <c r="J174" s="8" t="n">
        <v>24</v>
      </c>
      <c r="K174" s="8" t="n">
        <v>6</v>
      </c>
      <c r="L174" s="4" t="s">
        <v>343</v>
      </c>
      <c r="M174" s="8" t="n">
        <v>24</v>
      </c>
      <c r="N174" s="8" t="n">
        <v>13</v>
      </c>
      <c r="O174" s="8" t="n">
        <v>0</v>
      </c>
      <c r="P174" s="8" t="n">
        <v>61</v>
      </c>
      <c r="Q174" s="8" t="str">
        <f aca="false">IF(A174="","",IF(AND(Y174&lt;&gt;"参考",G174&gt;=ルール設定!$B$2),"○",""))</f>
        <v/>
      </c>
      <c r="R174" s="8" t="str">
        <f aca="false">IF(A174="","",IF(AND(Y174&lt;&gt;"参考",G174&gt;=ルール設定!$B$3,N174&gt;=ルール設定!$B$4),"○",""))</f>
        <v/>
      </c>
      <c r="S174" s="8" t="str">
        <f aca="false">IF(A174="","",IF(AND(Y174&lt;&gt;"参考",G174&gt;=ルール設定!$B$5,J174&gt;=ルール設定!$B$6,O174&gt;=ルール設定!$B$7),"○",""))</f>
        <v/>
      </c>
      <c r="T174" s="8" t="n">
        <v>1</v>
      </c>
      <c r="U174" s="8" t="n">
        <v>4</v>
      </c>
      <c r="V174" s="8" t="str">
        <f aca="false">IF(A174="","",IF(AND(ISNUMBER(T174),ISNUMBER(U174)),IF(AND(T174&lt;=3,U174&lt;=3),"○","×"),""))</f>
        <v>×</v>
      </c>
      <c r="W174" s="8" t="n">
        <v>110</v>
      </c>
      <c r="X174" s="8"/>
      <c r="Y174" s="4" t="s">
        <v>7597</v>
      </c>
      <c r="Z174" s="4" t="s">
        <v>7706</v>
      </c>
      <c r="AA174" s="8" t="str">
        <v/>
      </c>
      <c r="AB174" s="8" t="str">
        <v/>
      </c>
      <c r="AC174" s="8" t="str">
        <v/>
      </c>
      <c r="AD174" s="8" t="str">
        <v/>
      </c>
      <c r="AE174" s="8" t="str">
        <v/>
      </c>
      <c r="AF174" s="8" t="str">
        <v/>
      </c>
      <c r="AG174" s="8" t="str">
        <v/>
      </c>
      <c r="AH174" s="8" t="str">
        <v/>
      </c>
      <c r="AI174" s="8" t="n">
        <v>13</v>
      </c>
      <c r="AJ174" s="8" t="str">
        <v>～59</v>
      </c>
      <c r="AK174" s="8" t="str">
        <v>10～19</v>
      </c>
      <c r="AL174" s="8" t="str">
        <v>10～19</v>
      </c>
      <c r="AM174" s="8" t="str">
        <v>～99</v>
      </c>
      <c r="AN174" s="8" t="str">
        <v>8～11</v>
      </c>
      <c r="AO174" s="8" t="str">
        <f aca="false">IF(A174="","",IF(COUNTIFS(全馬データ!$A$2:$A$50000,A174,全馬データ!$B$2:$B$50000,B174,全馬データ!$C$2:$C$50000,C174,全馬データ!$D$2:$D$50000,E174,全馬データ!$K$2:$K$50000,"&lt;&gt;")=0,"",SUMIFS(全馬データ!$K$2:$K$50000,全馬データ!$A$2:$A$50000,A174,全馬データ!$B$2:$B$50000,B174,全馬データ!$C$2:$C$50000,C174,全馬データ!$D$2:$D$50000,E174)))</f>
        <v/>
      </c>
      <c r="AP174" s="8" t="str">
        <f aca="false">IF(A174="","",IF(AO174="","欠損",IF(AO174&lt;=1.1,"1.0～1.1",IF(AO174&lt;1.3,"1.2",IF(AO174&lt;1.5,"1.3～1.4",IF(AO174&lt;2,"1.5～1.9","2.0以上"))))))</f>
        <v>欠損</v>
      </c>
      <c r="AQ174" s="8" t="str">
        <f aca="false">IF(A174="","",IF(ISNUMBER(SEARCH("2歳",Z174)),"2歳戦",IF(ISNUMBER(SEARCH("3歳未勝利",Z174)),"3歳未勝利",IF(ISNUMBER(SEARCH("未勝利",Z174)),"その他未勝利",IF(ISNUMBER(SEARCH("G1",Z174)),"G1",IF(ISNUMBER(SEARCH("G2",Z174)),"G2",IF(ISNUMBER(SEARCH("G3",Z174)),"G3",IF(ISNUMBER(SEARCH("古馬条件",Z174)),"古馬条件戦",IF(ISNUMBER(SEARCH("重賞",Z174)),"重賞","分類不能")))))))))</f>
        <v>分類不能</v>
      </c>
      <c r="AR174" s="8"/>
      <c r="AS174" s="8" t="s">
        <v>7598</v>
      </c>
      <c r="AT174" s="8" t="s">
        <v>7599</v>
      </c>
      <c r="AU174" s="8" t="s">
        <v>7615</v>
      </c>
      <c r="AV174" s="4" t="s">
        <v>7616</v>
      </c>
      <c r="AW174" s="8"/>
      <c r="AX174" s="8"/>
      <c r="AY174" s="8" t="s">
        <v>7602</v>
      </c>
      <c r="AZ174" s="4" t="s">
        <v>7603</v>
      </c>
      <c r="BA174" s="8" t="n">
        <v>1200</v>
      </c>
      <c r="BB174" s="8" t="s">
        <v>7659</v>
      </c>
      <c r="BC174" s="4" t="s">
        <v>7619</v>
      </c>
      <c r="BD174" s="8" t="s">
        <v>7605</v>
      </c>
      <c r="BE174" s="4" t="s">
        <v>7606</v>
      </c>
      <c r="BF174" s="8" t="s">
        <v>7607</v>
      </c>
      <c r="BG174" s="8" t="s">
        <v>7608</v>
      </c>
      <c r="BH174" s="4" t="s">
        <v>7609</v>
      </c>
      <c r="BI174" s="8" t="n">
        <v>11</v>
      </c>
      <c r="BJ174" s="8" t="s">
        <v>7602</v>
      </c>
      <c r="BK174" s="4" t="s">
        <v>7653</v>
      </c>
      <c r="BL174" s="8" t="s">
        <v>7602</v>
      </c>
      <c r="BM174" s="4" t="s">
        <v>7620</v>
      </c>
      <c r="BN174" s="8" t="s">
        <v>7631</v>
      </c>
      <c r="BO174" s="8" t="s">
        <v>7680</v>
      </c>
      <c r="BP174" s="8" t="s">
        <v>7608</v>
      </c>
      <c r="BQ174" s="8" t="str">
        <f aca="false">IF(A174="","",AT174)</f>
        <v>2歳</v>
      </c>
      <c r="BR174" s="8" t="str">
        <f aca="false">IF(A174="","",IF(BA174&lt;=1200,"～1200",IF(BA174&lt;=1500,"1300～1500",IF(BA174=1600,"1600",IF(BA174&lt;=1800,"1700～1800",IF(BA174&lt;=2000,"1900～2000","2100以上"))))))</f>
        <v>～1200</v>
      </c>
      <c r="BS174" s="8" t="str">
        <f aca="false">IF(A174="","",IF(AX174="G1","G1",IF(AX174="G2","G2",IF(AX174="G3","G3",IF(AX174="L","L","その他")))))</f>
        <v>その他</v>
      </c>
      <c r="BT174" s="8" t="str">
        <f aca="false">IF(A174="","",IF(BI174="","未結合",IF(D174=BI174,"一致","不一致")))</f>
        <v>一致</v>
      </c>
      <c r="BU174" s="8" t="str">
        <f aca="false">IF(A174="","",IF(BE174="牝馬限定","牝馬限定","その他"))</f>
        <v>その他</v>
      </c>
    </row>
    <row r="175" customFormat="false" ht="15.75" hidden="false" customHeight="false" outlineLevel="0" collapsed="false">
      <c r="A175" s="6" t="n">
        <v>46214</v>
      </c>
      <c r="B175" s="4" t="s">
        <v>1237</v>
      </c>
      <c r="C175" s="8" t="n">
        <v>6</v>
      </c>
      <c r="D175" s="8" t="n">
        <v>11</v>
      </c>
      <c r="E175" s="8" t="n">
        <v>5</v>
      </c>
      <c r="F175" s="4" t="s">
        <v>2217</v>
      </c>
      <c r="G175" s="8" t="n">
        <v>58</v>
      </c>
      <c r="H175" s="8" t="n">
        <v>9</v>
      </c>
      <c r="I175" s="4" t="s">
        <v>2221</v>
      </c>
      <c r="J175" s="8" t="n">
        <v>52</v>
      </c>
      <c r="K175" s="8" t="n">
        <v>7</v>
      </c>
      <c r="L175" s="4" t="s">
        <v>2219</v>
      </c>
      <c r="M175" s="8" t="n">
        <v>44</v>
      </c>
      <c r="N175" s="8" t="n">
        <v>6</v>
      </c>
      <c r="O175" s="8" t="n">
        <v>8</v>
      </c>
      <c r="P175" s="8" t="n">
        <v>110</v>
      </c>
      <c r="Q175" s="8" t="str">
        <f aca="false">IF(A175="","",IF(AND(Y175&lt;&gt;"参考",G175&gt;=ルール設定!$B$2),"○",""))</f>
        <v/>
      </c>
      <c r="R175" s="8" t="str">
        <f aca="false">IF(A175="","",IF(AND(Y175&lt;&gt;"参考",G175&gt;=ルール設定!$B$3,N175&gt;=ルール設定!$B$4),"○",""))</f>
        <v/>
      </c>
      <c r="S175" s="8" t="str">
        <f aca="false">IF(A175="","",IF(AND(Y175&lt;&gt;"参考",G175&gt;=ルール設定!$B$5,J175&gt;=ルール設定!$B$6,O175&gt;=ルール設定!$B$7),"○",""))</f>
        <v/>
      </c>
      <c r="T175" s="8" t="n">
        <v>4</v>
      </c>
      <c r="U175" s="8" t="n">
        <v>1</v>
      </c>
      <c r="V175" s="8" t="str">
        <f aca="false">IF(A175="","",IF(AND(ISNUMBER(T175),ISNUMBER(U175)),IF(AND(T175&lt;=3,U175&lt;=3),"○","×"),""))</f>
        <v>×</v>
      </c>
      <c r="W175" s="8"/>
      <c r="X175" s="8"/>
      <c r="Y175" s="4" t="s">
        <v>7597</v>
      </c>
      <c r="Z175" s="4" t="s">
        <v>7706</v>
      </c>
      <c r="AA175" s="8" t="str">
        <v/>
      </c>
      <c r="AB175" s="8" t="str">
        <v/>
      </c>
      <c r="AC175" s="8" t="str">
        <v/>
      </c>
      <c r="AD175" s="8" t="str">
        <v/>
      </c>
      <c r="AE175" s="8" t="str">
        <v/>
      </c>
      <c r="AF175" s="8" t="str">
        <v/>
      </c>
      <c r="AG175" s="8" t="str">
        <v/>
      </c>
      <c r="AH175" s="8" t="str">
        <v/>
      </c>
      <c r="AI175" s="8" t="n">
        <v>14</v>
      </c>
      <c r="AJ175" s="8" t="str">
        <v>～59</v>
      </c>
      <c r="AK175" s="8" t="str">
        <v>5～9</v>
      </c>
      <c r="AL175" s="8" t="str">
        <v>10～19</v>
      </c>
      <c r="AM175" s="8" t="str">
        <v>100～119</v>
      </c>
      <c r="AN175" s="8" t="str">
        <v>8～11</v>
      </c>
      <c r="AO175" s="8" t="str">
        <f aca="false">IF(A175="","",IF(COUNTIFS(全馬データ!$A$2:$A$50000,A175,全馬データ!$B$2:$B$50000,B175,全馬データ!$C$2:$C$50000,C175,全馬データ!$D$2:$D$50000,E175,全馬データ!$K$2:$K$50000,"&lt;&gt;")=0,"",SUMIFS(全馬データ!$K$2:$K$50000,全馬データ!$A$2:$A$50000,A175,全馬データ!$B$2:$B$50000,B175,全馬データ!$C$2:$C$50000,C175,全馬データ!$D$2:$D$50000,E175)))</f>
        <v/>
      </c>
      <c r="AP175" s="8" t="str">
        <f aca="false">IF(A175="","",IF(AO175="","欠損",IF(AO175&lt;=1.1,"1.0～1.1",IF(AO175&lt;1.3,"1.2",IF(AO175&lt;1.5,"1.3～1.4",IF(AO175&lt;2,"1.5～1.9","2.0以上"))))))</f>
        <v>欠損</v>
      </c>
      <c r="AQ175" s="8" t="str">
        <f aca="false">IF(A175="","",IF(ISNUMBER(SEARCH("2歳",Z175)),"2歳戦",IF(ISNUMBER(SEARCH("3歳未勝利",Z175)),"3歳未勝利",IF(ISNUMBER(SEARCH("未勝利",Z175)),"その他未勝利",IF(ISNUMBER(SEARCH("G1",Z175)),"G1",IF(ISNUMBER(SEARCH("G2",Z175)),"G2",IF(ISNUMBER(SEARCH("G3",Z175)),"G3",IF(ISNUMBER(SEARCH("古馬条件",Z175)),"古馬条件戦",IF(ISNUMBER(SEARCH("重賞",Z175)),"重賞","分類不能")))))))))</f>
        <v>分類不能</v>
      </c>
      <c r="AR175" s="8"/>
      <c r="AS175" s="8" t="s">
        <v>7623</v>
      </c>
      <c r="AT175" s="8" t="s">
        <v>7624</v>
      </c>
      <c r="AU175" s="8" t="s">
        <v>7600</v>
      </c>
      <c r="AV175" s="4" t="s">
        <v>7601</v>
      </c>
      <c r="AW175" s="8"/>
      <c r="AX175" s="8"/>
      <c r="AY175" s="8" t="s">
        <v>7610</v>
      </c>
      <c r="AZ175" s="4" t="s">
        <v>7617</v>
      </c>
      <c r="BA175" s="8" t="n">
        <v>1700</v>
      </c>
      <c r="BB175" s="8" t="s">
        <v>7701</v>
      </c>
      <c r="BC175" s="4" t="s">
        <v>7658</v>
      </c>
      <c r="BD175" s="8" t="s">
        <v>7625</v>
      </c>
      <c r="BE175" s="4" t="s">
        <v>7606</v>
      </c>
      <c r="BF175" s="8" t="s">
        <v>7607</v>
      </c>
      <c r="BG175" s="8" t="s">
        <v>7608</v>
      </c>
      <c r="BH175" s="4" t="s">
        <v>7609</v>
      </c>
      <c r="BI175" s="8" t="n">
        <v>11</v>
      </c>
      <c r="BJ175" s="8" t="s">
        <v>7602</v>
      </c>
      <c r="BK175" s="4" t="s">
        <v>7653</v>
      </c>
      <c r="BL175" s="8" t="s">
        <v>7602</v>
      </c>
      <c r="BM175" s="4" t="s">
        <v>7620</v>
      </c>
      <c r="BN175" s="8"/>
      <c r="BO175" s="8"/>
      <c r="BP175" s="8" t="s">
        <v>7608</v>
      </c>
      <c r="BQ175" s="8" t="str">
        <f aca="false">IF(A175="","",AT175)</f>
        <v>3歳</v>
      </c>
      <c r="BR175" s="8" t="str">
        <f aca="false">IF(A175="","",IF(BA175&lt;=1200,"～1200",IF(BA175&lt;=1500,"1300～1500",IF(BA175=1600,"1600",IF(BA175&lt;=1800,"1700～1800",IF(BA175&lt;=2000,"1900～2000","2100以上"))))))</f>
        <v>1700～1800</v>
      </c>
      <c r="BS175" s="8" t="str">
        <f aca="false">IF(A175="","",IF(AX175="G1","G1",IF(AX175="G2","G2",IF(AX175="G3","G3",IF(AX175="L","L","その他")))))</f>
        <v>その他</v>
      </c>
      <c r="BT175" s="8" t="str">
        <f aca="false">IF(A175="","",IF(BI175="","未結合",IF(D175=BI175,"一致","不一致")))</f>
        <v>一致</v>
      </c>
      <c r="BU175" s="8" t="str">
        <f aca="false">IF(A175="","",IF(BE175="牝馬限定","牝馬限定","その他"))</f>
        <v>その他</v>
      </c>
    </row>
    <row r="176" customFormat="false" ht="15.75" hidden="false" customHeight="false" outlineLevel="0" collapsed="false">
      <c r="A176" s="6" t="n">
        <v>46214</v>
      </c>
      <c r="B176" s="4" t="s">
        <v>1237</v>
      </c>
      <c r="C176" s="8" t="n">
        <v>7</v>
      </c>
      <c r="D176" s="8" t="n">
        <v>14</v>
      </c>
      <c r="E176" s="8" t="n">
        <v>12</v>
      </c>
      <c r="F176" s="4" t="s">
        <v>2231</v>
      </c>
      <c r="G176" s="8" t="n">
        <v>65</v>
      </c>
      <c r="H176" s="8" t="n">
        <v>6</v>
      </c>
      <c r="I176" s="4" t="s">
        <v>2227</v>
      </c>
      <c r="J176" s="8" t="n">
        <v>50</v>
      </c>
      <c r="K176" s="8" t="n">
        <v>7</v>
      </c>
      <c r="L176" s="4" t="s">
        <v>2228</v>
      </c>
      <c r="M176" s="8" t="n">
        <v>44</v>
      </c>
      <c r="N176" s="8" t="n">
        <v>15</v>
      </c>
      <c r="O176" s="8" t="n">
        <v>6</v>
      </c>
      <c r="P176" s="8" t="n">
        <v>115</v>
      </c>
      <c r="Q176" s="8" t="str">
        <f aca="false">IF(A176="","",IF(AND(Y176&lt;&gt;"参考",G176&gt;=ルール設定!$B$2),"○",""))</f>
        <v/>
      </c>
      <c r="R176" s="8" t="str">
        <f aca="false">IF(A176="","",IF(AND(Y176&lt;&gt;"参考",G176&gt;=ルール設定!$B$3,N176&gt;=ルール設定!$B$4),"○",""))</f>
        <v/>
      </c>
      <c r="S176" s="8" t="str">
        <f aca="false">IF(A176="","",IF(AND(Y176&lt;&gt;"参考",G176&gt;=ルール設定!$B$5,J176&gt;=ルール設定!$B$6,O176&gt;=ルール設定!$B$7),"○",""))</f>
        <v/>
      </c>
      <c r="T176" s="8" t="n">
        <v>4</v>
      </c>
      <c r="U176" s="8" t="n">
        <v>2</v>
      </c>
      <c r="V176" s="8" t="str">
        <f aca="false">IF(A176="","",IF(AND(ISNUMBER(T176),ISNUMBER(U176)),IF(AND(T176&lt;=3,U176&lt;=3),"○","×"),""))</f>
        <v>×</v>
      </c>
      <c r="W176" s="8"/>
      <c r="X176" s="8"/>
      <c r="Y176" s="4" t="s">
        <v>7597</v>
      </c>
      <c r="Z176" s="4" t="s">
        <v>7706</v>
      </c>
      <c r="AA176" s="8" t="str">
        <v/>
      </c>
      <c r="AB176" s="8" t="str">
        <v/>
      </c>
      <c r="AC176" s="8" t="str">
        <v/>
      </c>
      <c r="AD176" s="8" t="str">
        <v/>
      </c>
      <c r="AE176" s="8" t="str">
        <v/>
      </c>
      <c r="AF176" s="8" t="str">
        <v/>
      </c>
      <c r="AG176" s="8" t="str">
        <v/>
      </c>
      <c r="AH176" s="8" t="str">
        <v/>
      </c>
      <c r="AI176" s="8" t="n">
        <v>21</v>
      </c>
      <c r="AJ176" s="8" t="str">
        <v>60～69</v>
      </c>
      <c r="AK176" s="8" t="str">
        <v>10～19</v>
      </c>
      <c r="AL176" s="8" t="str">
        <v>20～29</v>
      </c>
      <c r="AM176" s="8" t="str">
        <v>100～119</v>
      </c>
      <c r="AN176" s="8" t="str">
        <v>12～14</v>
      </c>
      <c r="AO176" s="8" t="str">
        <f aca="false">IF(A176="","",IF(COUNTIFS(全馬データ!$A$2:$A$50000,A176,全馬データ!$B$2:$B$50000,B176,全馬データ!$C$2:$C$50000,C176,全馬データ!$D$2:$D$50000,E176,全馬データ!$K$2:$K$50000,"&lt;&gt;")=0,"",SUMIFS(全馬データ!$K$2:$K$50000,全馬データ!$A$2:$A$50000,A176,全馬データ!$B$2:$B$50000,B176,全馬データ!$C$2:$C$50000,C176,全馬データ!$D$2:$D$50000,E176)))</f>
        <v/>
      </c>
      <c r="AP176" s="8" t="str">
        <f aca="false">IF(A176="","",IF(AO176="","欠損",IF(AO176&lt;=1.1,"1.0～1.1",IF(AO176&lt;1.3,"1.2",IF(AO176&lt;1.5,"1.3～1.4",IF(AO176&lt;2,"1.5～1.9","2.0以上"))))))</f>
        <v>欠損</v>
      </c>
      <c r="AQ176" s="8" t="str">
        <f aca="false">IF(A176="","",IF(ISNUMBER(SEARCH("2歳",Z176)),"2歳戦",IF(ISNUMBER(SEARCH("3歳未勝利",Z176)),"3歳未勝利",IF(ISNUMBER(SEARCH("未勝利",Z176)),"その他未勝利",IF(ISNUMBER(SEARCH("G1",Z176)),"G1",IF(ISNUMBER(SEARCH("G2",Z176)),"G2",IF(ISNUMBER(SEARCH("G3",Z176)),"G3",IF(ISNUMBER(SEARCH("古馬条件",Z176)),"古馬条件戦",IF(ISNUMBER(SEARCH("重賞",Z176)),"重賞","分類不能")))))))))</f>
        <v>分類不能</v>
      </c>
      <c r="AR176" s="8"/>
      <c r="AS176" s="8" t="s">
        <v>7626</v>
      </c>
      <c r="AT176" s="8" t="s">
        <v>7627</v>
      </c>
      <c r="AU176" s="8" t="s">
        <v>7628</v>
      </c>
      <c r="AV176" s="8" t="s">
        <v>7629</v>
      </c>
      <c r="AW176" s="8"/>
      <c r="AX176" s="8"/>
      <c r="AY176" s="8" t="s">
        <v>7602</v>
      </c>
      <c r="AZ176" s="4" t="s">
        <v>7603</v>
      </c>
      <c r="BA176" s="8" t="n">
        <v>1800</v>
      </c>
      <c r="BB176" s="8" t="s">
        <v>7659</v>
      </c>
      <c r="BC176" s="4" t="s">
        <v>7619</v>
      </c>
      <c r="BD176" s="8" t="s">
        <v>7621</v>
      </c>
      <c r="BE176" s="4" t="s">
        <v>7622</v>
      </c>
      <c r="BF176" s="8" t="s">
        <v>7602</v>
      </c>
      <c r="BG176" s="8" t="s">
        <v>7631</v>
      </c>
      <c r="BH176" s="4" t="s">
        <v>7632</v>
      </c>
      <c r="BI176" s="8" t="n">
        <v>14</v>
      </c>
      <c r="BJ176" s="8" t="s">
        <v>7602</v>
      </c>
      <c r="BK176" s="4" t="s">
        <v>7653</v>
      </c>
      <c r="BL176" s="8" t="s">
        <v>7602</v>
      </c>
      <c r="BM176" s="4" t="s">
        <v>7620</v>
      </c>
      <c r="BN176" s="8" t="s">
        <v>7631</v>
      </c>
      <c r="BO176" s="8" t="s">
        <v>7680</v>
      </c>
      <c r="BP176" s="8" t="s">
        <v>7608</v>
      </c>
      <c r="BQ176" s="8" t="str">
        <f aca="false">IF(A176="","",AT176)</f>
        <v>3歳以上</v>
      </c>
      <c r="BR176" s="8" t="str">
        <f aca="false">IF(A176="","",IF(BA176&lt;=1200,"～1200",IF(BA176&lt;=1500,"1300～1500",IF(BA176=1600,"1600",IF(BA176&lt;=1800,"1700～1800",IF(BA176&lt;=2000,"1900～2000","2100以上"))))))</f>
        <v>1700～1800</v>
      </c>
      <c r="BS176" s="8" t="str">
        <f aca="false">IF(A176="","",IF(AX176="G1","G1",IF(AX176="G2","G2",IF(AX176="G3","G3",IF(AX176="L","L","その他")))))</f>
        <v>その他</v>
      </c>
      <c r="BT176" s="8" t="str">
        <f aca="false">IF(A176="","",IF(BI176="","未結合",IF(D176=BI176,"一致","不一致")))</f>
        <v>一致</v>
      </c>
      <c r="BU176" s="8" t="str">
        <f aca="false">IF(A176="","",IF(BE176="牝馬限定","牝馬限定","その他"))</f>
        <v>牝馬限定</v>
      </c>
    </row>
    <row r="177" customFormat="false" ht="15.75" hidden="false" customHeight="false" outlineLevel="0" collapsed="false">
      <c r="A177" s="6" t="n">
        <v>46214</v>
      </c>
      <c r="B177" s="4" t="s">
        <v>1237</v>
      </c>
      <c r="C177" s="8" t="n">
        <v>8</v>
      </c>
      <c r="D177" s="8" t="n">
        <v>12</v>
      </c>
      <c r="E177" s="8" t="n">
        <v>3</v>
      </c>
      <c r="F177" s="4" t="s">
        <v>1311</v>
      </c>
      <c r="G177" s="8" t="n">
        <v>52</v>
      </c>
      <c r="H177" s="8" t="n">
        <v>9</v>
      </c>
      <c r="I177" s="4" t="s">
        <v>2238</v>
      </c>
      <c r="J177" s="8" t="n">
        <v>44</v>
      </c>
      <c r="K177" s="8" t="n">
        <v>1</v>
      </c>
      <c r="L177" s="4" t="s">
        <v>2234</v>
      </c>
      <c r="M177" s="8" t="n">
        <v>39</v>
      </c>
      <c r="N177" s="8" t="n">
        <v>8</v>
      </c>
      <c r="O177" s="8" t="n">
        <v>5</v>
      </c>
      <c r="P177" s="8" t="n">
        <v>96</v>
      </c>
      <c r="Q177" s="8" t="str">
        <f aca="false">IF(A177="","",IF(AND(Y177&lt;&gt;"参考",G177&gt;=ルール設定!$B$2),"○",""))</f>
        <v/>
      </c>
      <c r="R177" s="8" t="str">
        <f aca="false">IF(A177="","",IF(AND(Y177&lt;&gt;"参考",G177&gt;=ルール設定!$B$3,N177&gt;=ルール設定!$B$4),"○",""))</f>
        <v/>
      </c>
      <c r="S177" s="8" t="str">
        <f aca="false">IF(A177="","",IF(AND(Y177&lt;&gt;"参考",G177&gt;=ルール設定!$B$5,J177&gt;=ルール設定!$B$6,O177&gt;=ルール設定!$B$7),"○",""))</f>
        <v/>
      </c>
      <c r="T177" s="8" t="n">
        <v>4</v>
      </c>
      <c r="U177" s="8" t="n">
        <v>4</v>
      </c>
      <c r="V177" s="8" t="str">
        <f aca="false">IF(A177="","",IF(AND(ISNUMBER(T177),ISNUMBER(U177)),IF(AND(T177&lt;=3,U177&lt;=3),"○","×"),""))</f>
        <v>×</v>
      </c>
      <c r="W177" s="8"/>
      <c r="X177" s="8"/>
      <c r="Y177" s="4" t="s">
        <v>7597</v>
      </c>
      <c r="Z177" s="4" t="s">
        <v>7706</v>
      </c>
      <c r="AA177" s="8" t="str">
        <v/>
      </c>
      <c r="AB177" s="8" t="str">
        <v/>
      </c>
      <c r="AC177" s="8" t="str">
        <v/>
      </c>
      <c r="AD177" s="8" t="str">
        <v/>
      </c>
      <c r="AE177" s="8" t="str">
        <v/>
      </c>
      <c r="AF177" s="8" t="str">
        <v/>
      </c>
      <c r="AG177" s="8" t="str">
        <v/>
      </c>
      <c r="AH177" s="8" t="str">
        <v/>
      </c>
      <c r="AI177" s="8" t="n">
        <v>13</v>
      </c>
      <c r="AJ177" s="8" t="str">
        <v>～59</v>
      </c>
      <c r="AK177" s="8" t="str">
        <v>5～9</v>
      </c>
      <c r="AL177" s="8" t="str">
        <v>10～19</v>
      </c>
      <c r="AM177" s="8" t="str">
        <v>～99</v>
      </c>
      <c r="AN177" s="8" t="str">
        <v>12～14</v>
      </c>
      <c r="AO177" s="8" t="str">
        <f aca="false">IF(A177="","",IF(COUNTIFS(全馬データ!$A$2:$A$50000,A177,全馬データ!$B$2:$B$50000,B177,全馬データ!$C$2:$C$50000,C177,全馬データ!$D$2:$D$50000,E177,全馬データ!$K$2:$K$50000,"&lt;&gt;")=0,"",SUMIFS(全馬データ!$K$2:$K$50000,全馬データ!$A$2:$A$50000,A177,全馬データ!$B$2:$B$50000,B177,全馬データ!$C$2:$C$50000,C177,全馬データ!$D$2:$D$50000,E177)))</f>
        <v/>
      </c>
      <c r="AP177" s="8" t="str">
        <f aca="false">IF(A177="","",IF(AO177="","欠損",IF(AO177&lt;=1.1,"1.0～1.1",IF(AO177&lt;1.3,"1.2",IF(AO177&lt;1.5,"1.3～1.4",IF(AO177&lt;2,"1.5～1.9","2.0以上"))))))</f>
        <v>欠損</v>
      </c>
      <c r="AQ177" s="8" t="str">
        <f aca="false">IF(A177="","",IF(ISNUMBER(SEARCH("2歳",Z177)),"2歳戦",IF(ISNUMBER(SEARCH("3歳未勝利",Z177)),"3歳未勝利",IF(ISNUMBER(SEARCH("未勝利",Z177)),"その他未勝利",IF(ISNUMBER(SEARCH("G1",Z177)),"G1",IF(ISNUMBER(SEARCH("G2",Z177)),"G2",IF(ISNUMBER(SEARCH("G3",Z177)),"G3",IF(ISNUMBER(SEARCH("古馬条件",Z177)),"古馬条件戦",IF(ISNUMBER(SEARCH("重賞",Z177)),"重賞","分類不能")))))))))</f>
        <v>分類不能</v>
      </c>
      <c r="AR177" s="8"/>
      <c r="AS177" s="8" t="s">
        <v>7626</v>
      </c>
      <c r="AT177" s="8" t="s">
        <v>7627</v>
      </c>
      <c r="AU177" s="8" t="s">
        <v>7628</v>
      </c>
      <c r="AV177" s="8" t="s">
        <v>7629</v>
      </c>
      <c r="AW177" s="8"/>
      <c r="AX177" s="8"/>
      <c r="AY177" s="8" t="s">
        <v>7610</v>
      </c>
      <c r="AZ177" s="4" t="s">
        <v>7617</v>
      </c>
      <c r="BA177" s="8" t="n">
        <v>1700</v>
      </c>
      <c r="BB177" s="8" t="s">
        <v>7701</v>
      </c>
      <c r="BC177" s="4" t="s">
        <v>7658</v>
      </c>
      <c r="BD177" s="8" t="s">
        <v>7625</v>
      </c>
      <c r="BE177" s="4" t="s">
        <v>7606</v>
      </c>
      <c r="BF177" s="8" t="s">
        <v>7607</v>
      </c>
      <c r="BG177" s="8" t="s">
        <v>7631</v>
      </c>
      <c r="BH177" s="4" t="s">
        <v>7632</v>
      </c>
      <c r="BI177" s="8" t="n">
        <v>12</v>
      </c>
      <c r="BJ177" s="8" t="s">
        <v>7602</v>
      </c>
      <c r="BK177" s="4" t="s">
        <v>7653</v>
      </c>
      <c r="BL177" s="8" t="s">
        <v>7602</v>
      </c>
      <c r="BM177" s="4" t="s">
        <v>7620</v>
      </c>
      <c r="BN177" s="8"/>
      <c r="BO177" s="8"/>
      <c r="BP177" s="8" t="s">
        <v>7608</v>
      </c>
      <c r="BQ177" s="8" t="str">
        <f aca="false">IF(A177="","",AT177)</f>
        <v>3歳以上</v>
      </c>
      <c r="BR177" s="8" t="str">
        <f aca="false">IF(A177="","",IF(BA177&lt;=1200,"～1200",IF(BA177&lt;=1500,"1300～1500",IF(BA177=1600,"1600",IF(BA177&lt;=1800,"1700～1800",IF(BA177&lt;=2000,"1900～2000","2100以上"))))))</f>
        <v>1700～1800</v>
      </c>
      <c r="BS177" s="8" t="str">
        <f aca="false">IF(A177="","",IF(AX177="G1","G1",IF(AX177="G2","G2",IF(AX177="G3","G3",IF(AX177="L","L","その他")))))</f>
        <v>その他</v>
      </c>
      <c r="BT177" s="8" t="str">
        <f aca="false">IF(A177="","",IF(BI177="","未結合",IF(D177=BI177,"一致","不一致")))</f>
        <v>一致</v>
      </c>
      <c r="BU177" s="8" t="str">
        <f aca="false">IF(A177="","",IF(BE177="牝馬限定","牝馬限定","その他"))</f>
        <v>その他</v>
      </c>
    </row>
    <row r="178" customFormat="false" ht="15.75" hidden="false" customHeight="false" outlineLevel="0" collapsed="false">
      <c r="A178" s="6" t="n">
        <v>46214</v>
      </c>
      <c r="B178" s="4" t="s">
        <v>1237</v>
      </c>
      <c r="C178" s="8" t="n">
        <v>9</v>
      </c>
      <c r="D178" s="8" t="n">
        <v>10</v>
      </c>
      <c r="E178" s="8" t="n">
        <v>1</v>
      </c>
      <c r="F178" s="4" t="s">
        <v>906</v>
      </c>
      <c r="G178" s="8" t="n">
        <v>67</v>
      </c>
      <c r="H178" s="8" t="n">
        <v>6</v>
      </c>
      <c r="I178" s="4" t="s">
        <v>2245</v>
      </c>
      <c r="J178" s="8" t="n">
        <v>58</v>
      </c>
      <c r="K178" s="8" t="n">
        <v>10</v>
      </c>
      <c r="L178" s="4" t="s">
        <v>914</v>
      </c>
      <c r="M178" s="8" t="n">
        <v>39</v>
      </c>
      <c r="N178" s="8" t="n">
        <v>9</v>
      </c>
      <c r="O178" s="8" t="n">
        <v>19</v>
      </c>
      <c r="P178" s="8" t="n">
        <v>125</v>
      </c>
      <c r="Q178" s="8" t="str">
        <f aca="false">IF(A178="","",IF(AND(Y178&lt;&gt;"参考",G178&gt;=ルール設定!$B$2),"○",""))</f>
        <v/>
      </c>
      <c r="R178" s="8" t="str">
        <f aca="false">IF(A178="","",IF(AND(Y178&lt;&gt;"参考",G178&gt;=ルール設定!$B$3,N178&gt;=ルール設定!$B$4),"○",""))</f>
        <v/>
      </c>
      <c r="S178" s="8" t="str">
        <f aca="false">IF(A178="","",IF(AND(Y178&lt;&gt;"参考",G178&gt;=ルール設定!$B$5,J178&gt;=ルール設定!$B$6,O178&gt;=ルール設定!$B$7),"○",""))</f>
        <v/>
      </c>
      <c r="T178" s="8" t="n">
        <v>4</v>
      </c>
      <c r="U178" s="8" t="n">
        <v>4</v>
      </c>
      <c r="V178" s="8" t="str">
        <f aca="false">IF(A178="","",IF(AND(ISNUMBER(T178),ISNUMBER(U178)),IF(AND(T178&lt;=3,U178&lt;=3),"○","×"),""))</f>
        <v>×</v>
      </c>
      <c r="W178" s="8"/>
      <c r="X178" s="8"/>
      <c r="Y178" s="4" t="s">
        <v>7597</v>
      </c>
      <c r="Z178" s="4" t="s">
        <v>7706</v>
      </c>
      <c r="AA178" s="8" t="str">
        <v/>
      </c>
      <c r="AB178" s="8" t="str">
        <v/>
      </c>
      <c r="AC178" s="8" t="str">
        <v/>
      </c>
      <c r="AD178" s="8" t="str">
        <v/>
      </c>
      <c r="AE178" s="8" t="str">
        <v/>
      </c>
      <c r="AF178" s="8" t="str">
        <v/>
      </c>
      <c r="AG178" s="8" t="str">
        <v/>
      </c>
      <c r="AH178" s="8" t="str">
        <v/>
      </c>
      <c r="AI178" s="8" t="n">
        <v>28</v>
      </c>
      <c r="AJ178" s="8" t="str">
        <v>60～69</v>
      </c>
      <c r="AK178" s="8" t="str">
        <v>5～9</v>
      </c>
      <c r="AL178" s="8" t="str">
        <v>20～29</v>
      </c>
      <c r="AM178" s="8" t="str">
        <v>120～139</v>
      </c>
      <c r="AN178" s="8" t="str">
        <v>8～11</v>
      </c>
      <c r="AO178" s="8" t="str">
        <f aca="false">IF(A178="","",IF(COUNTIFS(全馬データ!$A$2:$A$50000,A178,全馬データ!$B$2:$B$50000,B178,全馬データ!$C$2:$C$50000,C178,全馬データ!$D$2:$D$50000,E178,全馬データ!$K$2:$K$50000,"&lt;&gt;")=0,"",SUMIFS(全馬データ!$K$2:$K$50000,全馬データ!$A$2:$A$50000,A178,全馬データ!$B$2:$B$50000,B178,全馬データ!$C$2:$C$50000,C178,全馬データ!$D$2:$D$50000,E178)))</f>
        <v/>
      </c>
      <c r="AP178" s="8" t="str">
        <f aca="false">IF(A178="","",IF(AO178="","欠損",IF(AO178&lt;=1.1,"1.0～1.1",IF(AO178&lt;1.3,"1.2",IF(AO178&lt;1.5,"1.3～1.4",IF(AO178&lt;2,"1.5～1.9","2.0以上"))))))</f>
        <v>欠損</v>
      </c>
      <c r="AQ178" s="8" t="str">
        <f aca="false">IF(A178="","",IF(ISNUMBER(SEARCH("2歳",Z178)),"2歳戦",IF(ISNUMBER(SEARCH("3歳未勝利",Z178)),"3歳未勝利",IF(ISNUMBER(SEARCH("未勝利",Z178)),"その他未勝利",IF(ISNUMBER(SEARCH("G1",Z178)),"G1",IF(ISNUMBER(SEARCH("G2",Z178)),"G2",IF(ISNUMBER(SEARCH("G3",Z178)),"G3",IF(ISNUMBER(SEARCH("古馬条件",Z178)),"古馬条件戦",IF(ISNUMBER(SEARCH("重賞",Z178)),"重賞","分類不能")))))))))</f>
        <v>分類不能</v>
      </c>
      <c r="AR178" s="4" t="s">
        <v>7713</v>
      </c>
      <c r="AS178" s="8" t="s">
        <v>7626</v>
      </c>
      <c r="AT178" s="8" t="s">
        <v>7627</v>
      </c>
      <c r="AU178" s="8" t="s">
        <v>7628</v>
      </c>
      <c r="AV178" s="8" t="s">
        <v>7629</v>
      </c>
      <c r="AW178" s="8" t="s">
        <v>7636</v>
      </c>
      <c r="AX178" s="4" t="s">
        <v>7637</v>
      </c>
      <c r="AY178" s="8" t="s">
        <v>7602</v>
      </c>
      <c r="AZ178" s="4" t="s">
        <v>7603</v>
      </c>
      <c r="BA178" s="8" t="n">
        <v>2000</v>
      </c>
      <c r="BB178" s="8" t="s">
        <v>7659</v>
      </c>
      <c r="BC178" s="4" t="s">
        <v>7619</v>
      </c>
      <c r="BD178" s="8" t="s">
        <v>7630</v>
      </c>
      <c r="BE178" s="4" t="s">
        <v>7606</v>
      </c>
      <c r="BF178" s="8" t="s">
        <v>7607</v>
      </c>
      <c r="BG178" s="8" t="s">
        <v>7631</v>
      </c>
      <c r="BH178" s="4" t="s">
        <v>7632</v>
      </c>
      <c r="BI178" s="8" t="n">
        <v>10</v>
      </c>
      <c r="BJ178" s="8" t="s">
        <v>7602</v>
      </c>
      <c r="BK178" s="4" t="s">
        <v>7653</v>
      </c>
      <c r="BL178" s="8" t="s">
        <v>7602</v>
      </c>
      <c r="BM178" s="4" t="s">
        <v>7620</v>
      </c>
      <c r="BN178" s="8" t="s">
        <v>7631</v>
      </c>
      <c r="BO178" s="8" t="s">
        <v>7680</v>
      </c>
      <c r="BP178" s="8" t="s">
        <v>7608</v>
      </c>
      <c r="BQ178" s="8" t="str">
        <f aca="false">IF(A178="","",AT178)</f>
        <v>3歳以上</v>
      </c>
      <c r="BR178" s="8" t="str">
        <f aca="false">IF(A178="","",IF(BA178&lt;=1200,"～1200",IF(BA178&lt;=1500,"1300～1500",IF(BA178=1600,"1600",IF(BA178&lt;=1800,"1700～1800",IF(BA178&lt;=2000,"1900～2000","2100以上"))))))</f>
        <v>1900～2000</v>
      </c>
      <c r="BS178" s="8" t="str">
        <f aca="false">IF(A178="","",IF(AX178="G1","G1",IF(AX178="G2","G2",IF(AX178="G3","G3",IF(AX178="L","L","その他")))))</f>
        <v>その他</v>
      </c>
      <c r="BT178" s="8" t="str">
        <f aca="false">IF(A178="","",IF(BI178="","未結合",IF(D178=BI178,"一致","不一致")))</f>
        <v>一致</v>
      </c>
      <c r="BU178" s="8" t="str">
        <f aca="false">IF(A178="","",IF(BE178="牝馬限定","牝馬限定","その他"))</f>
        <v>その他</v>
      </c>
    </row>
    <row r="179" customFormat="false" ht="15.75" hidden="false" customHeight="false" outlineLevel="0" collapsed="false">
      <c r="A179" s="6" t="n">
        <v>46214</v>
      </c>
      <c r="B179" s="4" t="s">
        <v>1237</v>
      </c>
      <c r="C179" s="8" t="n">
        <v>10</v>
      </c>
      <c r="D179" s="8" t="n">
        <v>14</v>
      </c>
      <c r="E179" s="8" t="n">
        <v>2</v>
      </c>
      <c r="F179" s="4" t="s">
        <v>2249</v>
      </c>
      <c r="G179" s="8" t="n">
        <v>62</v>
      </c>
      <c r="H179" s="8" t="n">
        <v>7</v>
      </c>
      <c r="I179" s="4" t="s">
        <v>452</v>
      </c>
      <c r="J179" s="8" t="n">
        <v>37</v>
      </c>
      <c r="K179" s="8" t="n">
        <v>4</v>
      </c>
      <c r="L179" s="4" t="s">
        <v>2251</v>
      </c>
      <c r="M179" s="8" t="n">
        <v>31</v>
      </c>
      <c r="N179" s="8" t="n">
        <v>25</v>
      </c>
      <c r="O179" s="8" t="n">
        <v>6</v>
      </c>
      <c r="P179" s="8" t="n">
        <v>99</v>
      </c>
      <c r="Q179" s="8" t="str">
        <f aca="false">IF(A179="","",IF(AND(Y179&lt;&gt;"参考",G179&gt;=ルール設定!$B$2),"○",""))</f>
        <v/>
      </c>
      <c r="R179" s="8" t="str">
        <f aca="false">IF(A179="","",IF(AND(Y179&lt;&gt;"参考",G179&gt;=ルール設定!$B$3,N179&gt;=ルール設定!$B$4),"○",""))</f>
        <v/>
      </c>
      <c r="S179" s="8" t="str">
        <f aca="false">IF(A179="","",IF(AND(Y179&lt;&gt;"参考",G179&gt;=ルール設定!$B$5,J179&gt;=ルール設定!$B$6,O179&gt;=ルール設定!$B$7),"○",""))</f>
        <v/>
      </c>
      <c r="T179" s="8" t="n">
        <v>2</v>
      </c>
      <c r="U179" s="8" t="n">
        <v>1</v>
      </c>
      <c r="V179" s="8" t="str">
        <f aca="false">IF(A179="","",IF(AND(ISNUMBER(T179),ISNUMBER(U179)),IF(AND(T179&lt;=3,U179&lt;=3),"○","×"),""))</f>
        <v>○</v>
      </c>
      <c r="W179" s="8" t="n">
        <v>150</v>
      </c>
      <c r="X179" s="8" t="n">
        <v>390</v>
      </c>
      <c r="Y179" s="4" t="s">
        <v>7597</v>
      </c>
      <c r="Z179" s="4" t="s">
        <v>7706</v>
      </c>
      <c r="AA179" s="8" t="str">
        <v/>
      </c>
      <c r="AB179" s="8" t="str">
        <v/>
      </c>
      <c r="AC179" s="8" t="str">
        <v/>
      </c>
      <c r="AD179" s="8" t="str">
        <v/>
      </c>
      <c r="AE179" s="8" t="str">
        <v/>
      </c>
      <c r="AF179" s="8" t="str">
        <v/>
      </c>
      <c r="AG179" s="8" t="str">
        <v/>
      </c>
      <c r="AH179" s="8" t="str">
        <v/>
      </c>
      <c r="AI179" s="8" t="n">
        <v>31</v>
      </c>
      <c r="AJ179" s="8" t="str">
        <v>60～69</v>
      </c>
      <c r="AK179" s="8" t="str">
        <v>20～29</v>
      </c>
      <c r="AL179" s="8" t="str">
        <v>30～39</v>
      </c>
      <c r="AM179" s="8" t="str">
        <v>～99</v>
      </c>
      <c r="AN179" s="8" t="str">
        <v>12～14</v>
      </c>
      <c r="AO179" s="8" t="str">
        <f aca="false">IF(A179="","",IF(COUNTIFS(全馬データ!$A$2:$A$50000,A179,全馬データ!$B$2:$B$50000,B179,全馬データ!$C$2:$C$50000,C179,全馬データ!$D$2:$D$50000,E179,全馬データ!$K$2:$K$50000,"&lt;&gt;")=0,"",SUMIFS(全馬データ!$K$2:$K$50000,全馬データ!$A$2:$A$50000,A179,全馬データ!$B$2:$B$50000,B179,全馬データ!$C$2:$C$50000,C179,全馬データ!$D$2:$D$50000,E179)))</f>
        <v/>
      </c>
      <c r="AP179" s="8" t="str">
        <f aca="false">IF(A179="","",IF(AO179="","欠損",IF(AO179&lt;=1.1,"1.0～1.1",IF(AO179&lt;1.3,"1.2",IF(AO179&lt;1.5,"1.3～1.4",IF(AO179&lt;2,"1.5～1.9","2.0以上"))))))</f>
        <v>欠損</v>
      </c>
      <c r="AQ179" s="8" t="str">
        <f aca="false">IF(A179="","",IF(ISNUMBER(SEARCH("2歳",Z179)),"2歳戦",IF(ISNUMBER(SEARCH("3歳未勝利",Z179)),"3歳未勝利",IF(ISNUMBER(SEARCH("未勝利",Z179)),"その他未勝利",IF(ISNUMBER(SEARCH("G1",Z179)),"G1",IF(ISNUMBER(SEARCH("G2",Z179)),"G2",IF(ISNUMBER(SEARCH("G3",Z179)),"G3",IF(ISNUMBER(SEARCH("古馬条件",Z179)),"古馬条件戦",IF(ISNUMBER(SEARCH("重賞",Z179)),"重賞","分類不能")))))))))</f>
        <v>分類不能</v>
      </c>
      <c r="AR179" s="4" t="s">
        <v>7714</v>
      </c>
      <c r="AS179" s="8" t="s">
        <v>7626</v>
      </c>
      <c r="AT179" s="8" t="s">
        <v>7627</v>
      </c>
      <c r="AU179" s="8" t="s">
        <v>7634</v>
      </c>
      <c r="AV179" s="8" t="s">
        <v>7635</v>
      </c>
      <c r="AW179" s="8" t="s">
        <v>7636</v>
      </c>
      <c r="AX179" s="4" t="s">
        <v>7637</v>
      </c>
      <c r="AY179" s="8" t="s">
        <v>7602</v>
      </c>
      <c r="AZ179" s="4" t="s">
        <v>7603</v>
      </c>
      <c r="BA179" s="8" t="n">
        <v>1200</v>
      </c>
      <c r="BB179" s="8" t="s">
        <v>7659</v>
      </c>
      <c r="BC179" s="4" t="s">
        <v>7619</v>
      </c>
      <c r="BD179" s="8" t="s">
        <v>7630</v>
      </c>
      <c r="BE179" s="4" t="s">
        <v>7606</v>
      </c>
      <c r="BF179" s="8" t="s">
        <v>7607</v>
      </c>
      <c r="BG179" s="8" t="s">
        <v>7631</v>
      </c>
      <c r="BH179" s="4" t="s">
        <v>7632</v>
      </c>
      <c r="BI179" s="8" t="n">
        <v>14</v>
      </c>
      <c r="BJ179" s="8" t="s">
        <v>7602</v>
      </c>
      <c r="BK179" s="4" t="s">
        <v>7653</v>
      </c>
      <c r="BL179" s="8" t="s">
        <v>7602</v>
      </c>
      <c r="BM179" s="4" t="s">
        <v>7620</v>
      </c>
      <c r="BN179" s="8" t="s">
        <v>7631</v>
      </c>
      <c r="BO179" s="8" t="s">
        <v>7680</v>
      </c>
      <c r="BP179" s="8" t="s">
        <v>7608</v>
      </c>
      <c r="BQ179" s="8" t="str">
        <f aca="false">IF(A179="","",AT179)</f>
        <v>3歳以上</v>
      </c>
      <c r="BR179" s="8" t="str">
        <f aca="false">IF(A179="","",IF(BA179&lt;=1200,"～1200",IF(BA179&lt;=1500,"1300～1500",IF(BA179=1600,"1600",IF(BA179&lt;=1800,"1700～1800",IF(BA179&lt;=2000,"1900～2000","2100以上"))))))</f>
        <v>～1200</v>
      </c>
      <c r="BS179" s="8" t="str">
        <f aca="false">IF(A179="","",IF(AX179="G1","G1",IF(AX179="G2","G2",IF(AX179="G3","G3",IF(AX179="L","L","その他")))))</f>
        <v>その他</v>
      </c>
      <c r="BT179" s="8" t="str">
        <f aca="false">IF(A179="","",IF(BI179="","未結合",IF(D179=BI179,"一致","不一致")))</f>
        <v>一致</v>
      </c>
      <c r="BU179" s="8" t="str">
        <f aca="false">IF(A179="","",IF(BE179="牝馬限定","牝馬限定","その他"))</f>
        <v>その他</v>
      </c>
    </row>
    <row r="180" customFormat="false" ht="15.75" hidden="false" customHeight="false" outlineLevel="0" collapsed="false">
      <c r="A180" s="6" t="n">
        <v>46214</v>
      </c>
      <c r="B180" s="4" t="s">
        <v>1237</v>
      </c>
      <c r="C180" s="8" t="n">
        <v>11</v>
      </c>
      <c r="D180" s="8" t="n">
        <v>13</v>
      </c>
      <c r="E180" s="8" t="n">
        <v>3</v>
      </c>
      <c r="F180" s="4" t="s">
        <v>2261</v>
      </c>
      <c r="G180" s="8" t="n">
        <v>44</v>
      </c>
      <c r="H180" s="8" t="n">
        <v>8</v>
      </c>
      <c r="I180" s="4" t="s">
        <v>2266</v>
      </c>
      <c r="J180" s="8" t="n">
        <v>41</v>
      </c>
      <c r="K180" s="8" t="n">
        <v>1</v>
      </c>
      <c r="L180" s="4" t="s">
        <v>2259</v>
      </c>
      <c r="M180" s="8" t="n">
        <v>37</v>
      </c>
      <c r="N180" s="8" t="n">
        <v>3</v>
      </c>
      <c r="O180" s="8" t="n">
        <v>4</v>
      </c>
      <c r="P180" s="8" t="n">
        <v>85</v>
      </c>
      <c r="Q180" s="8" t="str">
        <f aca="false">IF(A180="","",IF(AND(Y180&lt;&gt;"参考",G180&gt;=ルール設定!$B$2),"○",""))</f>
        <v/>
      </c>
      <c r="R180" s="8" t="str">
        <f aca="false">IF(A180="","",IF(AND(Y180&lt;&gt;"参考",G180&gt;=ルール設定!$B$3,N180&gt;=ルール設定!$B$4),"○",""))</f>
        <v/>
      </c>
      <c r="S180" s="8" t="str">
        <f aca="false">IF(A180="","",IF(AND(Y180&lt;&gt;"参考",G180&gt;=ルール設定!$B$5,J180&gt;=ルール設定!$B$6,O180&gt;=ルール設定!$B$7),"○",""))</f>
        <v/>
      </c>
      <c r="T180" s="8" t="n">
        <v>2</v>
      </c>
      <c r="U180" s="8" t="n">
        <v>4</v>
      </c>
      <c r="V180" s="8" t="str">
        <f aca="false">IF(A180="","",IF(AND(ISNUMBER(T180),ISNUMBER(U180)),IF(AND(T180&lt;=3,U180&lt;=3),"○","×"),""))</f>
        <v>×</v>
      </c>
      <c r="W180" s="8" t="n">
        <v>190</v>
      </c>
      <c r="X180" s="8"/>
      <c r="Y180" s="4" t="s">
        <v>7597</v>
      </c>
      <c r="Z180" s="4" t="s">
        <v>7706</v>
      </c>
      <c r="AA180" s="8" t="str">
        <v/>
      </c>
      <c r="AB180" s="8" t="str">
        <v/>
      </c>
      <c r="AC180" s="8" t="str">
        <v/>
      </c>
      <c r="AD180" s="8" t="str">
        <v/>
      </c>
      <c r="AE180" s="8" t="str">
        <v/>
      </c>
      <c r="AF180" s="8" t="str">
        <v/>
      </c>
      <c r="AG180" s="8" t="str">
        <v/>
      </c>
      <c r="AH180" s="8" t="str">
        <v/>
      </c>
      <c r="AI180" s="8" t="n">
        <v>7</v>
      </c>
      <c r="AJ180" s="8" t="str">
        <v>～59</v>
      </c>
      <c r="AK180" s="8" t="str">
        <v>0～4</v>
      </c>
      <c r="AL180" s="8" t="str">
        <v>0～9</v>
      </c>
      <c r="AM180" s="8" t="str">
        <v>～99</v>
      </c>
      <c r="AN180" s="8" t="str">
        <v>12～14</v>
      </c>
      <c r="AO180" s="8" t="str">
        <f aca="false">IF(A180="","",IF(COUNTIFS(全馬データ!$A$2:$A$50000,A180,全馬データ!$B$2:$B$50000,B180,全馬データ!$C$2:$C$50000,C180,全馬データ!$D$2:$D$50000,E180,全馬データ!$K$2:$K$50000,"&lt;&gt;")=0,"",SUMIFS(全馬データ!$K$2:$K$50000,全馬データ!$A$2:$A$50000,A180,全馬データ!$B$2:$B$50000,B180,全馬データ!$C$2:$C$50000,C180,全馬データ!$D$2:$D$50000,E180)))</f>
        <v/>
      </c>
      <c r="AP180" s="8" t="str">
        <f aca="false">IF(A180="","",IF(AO180="","欠損",IF(AO180&lt;=1.1,"1.0～1.1",IF(AO180&lt;1.3,"1.2",IF(AO180&lt;1.5,"1.3～1.4",IF(AO180&lt;2,"1.5～1.9","2.0以上"))))))</f>
        <v>欠損</v>
      </c>
      <c r="AQ180" s="8" t="str">
        <f aca="false">IF(A180="","",IF(ISNUMBER(SEARCH("2歳",Z180)),"2歳戦",IF(ISNUMBER(SEARCH("3歳未勝利",Z180)),"3歳未勝利",IF(ISNUMBER(SEARCH("未勝利",Z180)),"その他未勝利",IF(ISNUMBER(SEARCH("G1",Z180)),"G1",IF(ISNUMBER(SEARCH("G2",Z180)),"G2",IF(ISNUMBER(SEARCH("G3",Z180)),"G3",IF(ISNUMBER(SEARCH("古馬条件",Z180)),"古馬条件戦",IF(ISNUMBER(SEARCH("重賞",Z180)),"重賞","分類不能")))))))))</f>
        <v>分類不能</v>
      </c>
      <c r="AR180" s="4" t="s">
        <v>7715</v>
      </c>
      <c r="AS180" s="8" t="s">
        <v>7626</v>
      </c>
      <c r="AT180" s="8" t="s">
        <v>7627</v>
      </c>
      <c r="AU180" s="8" t="s">
        <v>7639</v>
      </c>
      <c r="AV180" s="8" t="s">
        <v>7640</v>
      </c>
      <c r="AW180" s="8" t="s">
        <v>7636</v>
      </c>
      <c r="AX180" s="4" t="s">
        <v>7637</v>
      </c>
      <c r="AY180" s="8" t="s">
        <v>7602</v>
      </c>
      <c r="AZ180" s="4" t="s">
        <v>7603</v>
      </c>
      <c r="BA180" s="8" t="n">
        <v>1800</v>
      </c>
      <c r="BB180" s="8" t="s">
        <v>7659</v>
      </c>
      <c r="BC180" s="4" t="s">
        <v>7619</v>
      </c>
      <c r="BD180" s="8" t="s">
        <v>7630</v>
      </c>
      <c r="BE180" s="4" t="s">
        <v>7606</v>
      </c>
      <c r="BF180" s="8" t="s">
        <v>7607</v>
      </c>
      <c r="BG180" s="8" t="s">
        <v>7631</v>
      </c>
      <c r="BH180" s="4" t="s">
        <v>7632</v>
      </c>
      <c r="BI180" s="8" t="n">
        <v>13</v>
      </c>
      <c r="BJ180" s="8" t="s">
        <v>7602</v>
      </c>
      <c r="BK180" s="4" t="s">
        <v>7653</v>
      </c>
      <c r="BL180" s="8" t="s">
        <v>7602</v>
      </c>
      <c r="BM180" s="4" t="s">
        <v>7620</v>
      </c>
      <c r="BN180" s="8" t="s">
        <v>7631</v>
      </c>
      <c r="BO180" s="8" t="s">
        <v>7680</v>
      </c>
      <c r="BP180" s="8" t="s">
        <v>7608</v>
      </c>
      <c r="BQ180" s="8" t="str">
        <f aca="false">IF(A180="","",AT180)</f>
        <v>3歳以上</v>
      </c>
      <c r="BR180" s="8" t="str">
        <f aca="false">IF(A180="","",IF(BA180&lt;=1200,"～1200",IF(BA180&lt;=1500,"1300～1500",IF(BA180=1600,"1600",IF(BA180&lt;=1800,"1700～1800",IF(BA180&lt;=2000,"1900～2000","2100以上"))))))</f>
        <v>1700～1800</v>
      </c>
      <c r="BS180" s="8" t="str">
        <f aca="false">IF(A180="","",IF(AX180="G1","G1",IF(AX180="G2","G2",IF(AX180="G3","G3",IF(AX180="L","L","その他")))))</f>
        <v>その他</v>
      </c>
      <c r="BT180" s="8" t="str">
        <f aca="false">IF(A180="","",IF(BI180="","未結合",IF(D180=BI180,"一致","不一致")))</f>
        <v>一致</v>
      </c>
      <c r="BU180" s="8" t="str">
        <f aca="false">IF(A180="","",IF(BE180="牝馬限定","牝馬限定","その他"))</f>
        <v>その他</v>
      </c>
    </row>
    <row r="181" customFormat="false" ht="15.75" hidden="false" customHeight="false" outlineLevel="0" collapsed="false">
      <c r="A181" s="6" t="n">
        <v>46214</v>
      </c>
      <c r="B181" s="4" t="s">
        <v>1237</v>
      </c>
      <c r="C181" s="8" t="n">
        <v>12</v>
      </c>
      <c r="D181" s="8" t="n">
        <v>8</v>
      </c>
      <c r="E181" s="8" t="n">
        <v>1</v>
      </c>
      <c r="F181" s="4" t="s">
        <v>2272</v>
      </c>
      <c r="G181" s="8" t="n">
        <v>81</v>
      </c>
      <c r="H181" s="8" t="n">
        <v>4</v>
      </c>
      <c r="I181" s="4" t="s">
        <v>1810</v>
      </c>
      <c r="J181" s="8" t="n">
        <v>52</v>
      </c>
      <c r="K181" s="8" t="n">
        <v>3</v>
      </c>
      <c r="L181" s="4" t="s">
        <v>2274</v>
      </c>
      <c r="M181" s="8" t="n">
        <v>34</v>
      </c>
      <c r="N181" s="8" t="n">
        <v>29</v>
      </c>
      <c r="O181" s="8" t="n">
        <v>18</v>
      </c>
      <c r="P181" s="8" t="n">
        <v>133</v>
      </c>
      <c r="Q181" s="8" t="str">
        <f aca="false">IF(A181="","",IF(AND(Y181&lt;&gt;"参考",G181&gt;=ルール設定!$B$2),"○",""))</f>
        <v>○</v>
      </c>
      <c r="R181" s="8" t="str">
        <f aca="false">IF(A181="","",IF(AND(Y181&lt;&gt;"参考",G181&gt;=ルール設定!$B$3,N181&gt;=ルール設定!$B$4),"○",""))</f>
        <v/>
      </c>
      <c r="S181" s="8" t="str">
        <f aca="false">IF(A181="","",IF(AND(Y181&lt;&gt;"参考",G181&gt;=ルール設定!$B$5,J181&gt;=ルール設定!$B$6,O181&gt;=ルール設定!$B$7),"○",""))</f>
        <v/>
      </c>
      <c r="T181" s="8" t="n">
        <v>1</v>
      </c>
      <c r="U181" s="8" t="n">
        <v>2</v>
      </c>
      <c r="V181" s="8" t="str">
        <f aca="false">IF(A181="","",IF(AND(ISNUMBER(T181),ISNUMBER(U181)),IF(AND(T181&lt;=3,U181&lt;=3),"○","×"),""))</f>
        <v>○</v>
      </c>
      <c r="W181" s="8" t="n">
        <v>110</v>
      </c>
      <c r="X181" s="8" t="n">
        <v>190</v>
      </c>
      <c r="Y181" s="4" t="s">
        <v>7597</v>
      </c>
      <c r="Z181" s="4" t="s">
        <v>7706</v>
      </c>
      <c r="AA181" s="8" t="str">
        <v/>
      </c>
      <c r="AB181" s="8" t="str">
        <v>○</v>
      </c>
      <c r="AC181" s="8" t="str">
        <v>○</v>
      </c>
      <c r="AD181" s="8" t="str">
        <v/>
      </c>
      <c r="AE181" s="8" t="str">
        <v/>
      </c>
      <c r="AF181" s="8" t="str">
        <v/>
      </c>
      <c r="AG181" s="8" t="str">
        <v>○</v>
      </c>
      <c r="AH181" s="8" t="str">
        <v/>
      </c>
      <c r="AI181" s="8" t="n">
        <v>47</v>
      </c>
      <c r="AJ181" s="8" t="str">
        <v>80～84</v>
      </c>
      <c r="AK181" s="8" t="str">
        <v>20～29</v>
      </c>
      <c r="AL181" s="8" t="str">
        <v>40以上</v>
      </c>
      <c r="AM181" s="8" t="str">
        <v>120～139</v>
      </c>
      <c r="AN181" s="8" t="str">
        <v>8～11</v>
      </c>
      <c r="AO181" s="8" t="n">
        <f aca="false">IF(A181="","",IF(COUNTIFS(全馬データ!$A$2:$A$50000,A181,全馬データ!$B$2:$B$50000,B181,全馬データ!$C$2:$C$50000,C181,全馬データ!$D$2:$D$50000,E181,全馬データ!$K$2:$K$50000,"&lt;&gt;")=0,"",SUMIFS(全馬データ!$K$2:$K$50000,全馬データ!$A$2:$A$50000,A181,全馬データ!$B$2:$B$50000,B181,全馬データ!$C$2:$C$50000,C181,全馬データ!$D$2:$D$50000,E181)))</f>
        <v>1.1</v>
      </c>
      <c r="AP181" s="8" t="str">
        <f aca="false">IF(A181="","",IF(AO181="","欠損",IF(AO181&lt;=1.1,"1.0～1.1",IF(AO181&lt;1.3,"1.2",IF(AO181&lt;1.5,"1.3～1.4",IF(AO181&lt;2,"1.5～1.9","2.0以上"))))))</f>
        <v>1.0～1.1</v>
      </c>
      <c r="AQ181" s="8" t="str">
        <f aca="false">IF(A181="","",IF(ISNUMBER(SEARCH("2歳",Z181)),"2歳戦",IF(ISNUMBER(SEARCH("3歳未勝利",Z181)),"3歳未勝利",IF(ISNUMBER(SEARCH("未勝利",Z181)),"その他未勝利",IF(ISNUMBER(SEARCH("G1",Z181)),"G1",IF(ISNUMBER(SEARCH("G2",Z181)),"G2",IF(ISNUMBER(SEARCH("G3",Z181)),"G3",IF(ISNUMBER(SEARCH("古馬条件",Z181)),"古馬条件戦",IF(ISNUMBER(SEARCH("重賞",Z181)),"重賞","分類不能")))))))))</f>
        <v>分類不能</v>
      </c>
      <c r="AR181" s="8"/>
      <c r="AS181" s="8" t="s">
        <v>7626</v>
      </c>
      <c r="AT181" s="8" t="s">
        <v>7627</v>
      </c>
      <c r="AU181" s="8" t="s">
        <v>7628</v>
      </c>
      <c r="AV181" s="8" t="s">
        <v>7629</v>
      </c>
      <c r="AW181" s="8"/>
      <c r="AX181" s="8"/>
      <c r="AY181" s="8" t="s">
        <v>7610</v>
      </c>
      <c r="AZ181" s="4" t="s">
        <v>7617</v>
      </c>
      <c r="BA181" s="8" t="n">
        <v>1000</v>
      </c>
      <c r="BB181" s="8" t="s">
        <v>7701</v>
      </c>
      <c r="BC181" s="4" t="s">
        <v>7658</v>
      </c>
      <c r="BD181" s="8" t="s">
        <v>7605</v>
      </c>
      <c r="BE181" s="4" t="s">
        <v>7606</v>
      </c>
      <c r="BF181" s="8" t="s">
        <v>7607</v>
      </c>
      <c r="BG181" s="8" t="s">
        <v>7631</v>
      </c>
      <c r="BH181" s="4" t="s">
        <v>7632</v>
      </c>
      <c r="BI181" s="8" t="n">
        <v>8</v>
      </c>
      <c r="BJ181" s="8" t="s">
        <v>7602</v>
      </c>
      <c r="BK181" s="4" t="s">
        <v>7653</v>
      </c>
      <c r="BL181" s="8" t="s">
        <v>7602</v>
      </c>
      <c r="BM181" s="4" t="s">
        <v>7620</v>
      </c>
      <c r="BN181" s="8"/>
      <c r="BO181" s="8"/>
      <c r="BP181" s="8" t="s">
        <v>7608</v>
      </c>
      <c r="BQ181" s="8" t="str">
        <f aca="false">IF(A181="","",AT181)</f>
        <v>3歳以上</v>
      </c>
      <c r="BR181" s="8" t="str">
        <f aca="false">IF(A181="","",IF(BA181&lt;=1200,"～1200",IF(BA181&lt;=1500,"1300～1500",IF(BA181=1600,"1600",IF(BA181&lt;=1800,"1700～1800",IF(BA181&lt;=2000,"1900～2000","2100以上"))))))</f>
        <v>～1200</v>
      </c>
      <c r="BS181" s="8" t="str">
        <f aca="false">IF(A181="","",IF(AX181="G1","G1",IF(AX181="G2","G2",IF(AX181="G3","G3",IF(AX181="L","L","その他")))))</f>
        <v>その他</v>
      </c>
      <c r="BT181" s="8" t="str">
        <f aca="false">IF(A181="","",IF(BI181="","未結合",IF(D181=BI181,"一致","不一致")))</f>
        <v>一致</v>
      </c>
      <c r="BU181" s="8" t="str">
        <f aca="false">IF(A181="","",IF(BE181="牝馬限定","牝馬限定","その他"))</f>
        <v>その他</v>
      </c>
    </row>
    <row r="182" customFormat="false" ht="15.75" hidden="false" customHeight="false" outlineLevel="0" collapsed="false">
      <c r="A182" s="6" t="n">
        <v>46215</v>
      </c>
      <c r="B182" s="4" t="s">
        <v>915</v>
      </c>
      <c r="C182" s="8" t="n">
        <v>1</v>
      </c>
      <c r="D182" s="8" t="n">
        <v>14</v>
      </c>
      <c r="E182" s="8" t="n">
        <v>1</v>
      </c>
      <c r="F182" s="4" t="s">
        <v>2277</v>
      </c>
      <c r="G182" s="8" t="n">
        <v>55</v>
      </c>
      <c r="H182" s="8" t="n">
        <v>6</v>
      </c>
      <c r="I182" s="4" t="s">
        <v>2282</v>
      </c>
      <c r="J182" s="8" t="n">
        <v>44</v>
      </c>
      <c r="K182" s="8" t="n">
        <v>2</v>
      </c>
      <c r="L182" s="4" t="s">
        <v>2278</v>
      </c>
      <c r="M182" s="8" t="n">
        <v>37</v>
      </c>
      <c r="N182" s="8" t="n">
        <v>11</v>
      </c>
      <c r="O182" s="8" t="n">
        <v>7</v>
      </c>
      <c r="P182" s="8" t="n">
        <v>99</v>
      </c>
      <c r="Q182" s="8" t="str">
        <f aca="false">IF(A182="","",IF(AND(Y182&lt;&gt;"参考",G182&gt;=ルール設定!$B$2),"○",""))</f>
        <v/>
      </c>
      <c r="R182" s="8" t="str">
        <f aca="false">IF(A182="","",IF(AND(Y182&lt;&gt;"参考",G182&gt;=ルール設定!$B$3,N182&gt;=ルール設定!$B$4),"○",""))</f>
        <v/>
      </c>
      <c r="S182" s="8" t="str">
        <f aca="false">IF(A182="","",IF(AND(Y182&lt;&gt;"参考",G182&gt;=ルール設定!$B$5,J182&gt;=ルール設定!$B$6,O182&gt;=ルール設定!$B$7),"○",""))</f>
        <v/>
      </c>
      <c r="T182" s="8" t="n">
        <v>4</v>
      </c>
      <c r="U182" s="8" t="n">
        <v>3</v>
      </c>
      <c r="V182" s="8" t="str">
        <f aca="false">IF(A182="","",IF(AND(ISNUMBER(T182),ISNUMBER(U182)),IF(AND(T182&lt;=3,U182&lt;=3),"○","×"),""))</f>
        <v>×</v>
      </c>
      <c r="W182" s="8"/>
      <c r="X182" s="8"/>
      <c r="Y182" s="4" t="s">
        <v>7597</v>
      </c>
      <c r="Z182" s="4" t="s">
        <v>7706</v>
      </c>
      <c r="AA182" s="8" t="str">
        <v/>
      </c>
      <c r="AB182" s="8" t="str">
        <v/>
      </c>
      <c r="AC182" s="8" t="str">
        <v/>
      </c>
      <c r="AD182" s="8" t="str">
        <v/>
      </c>
      <c r="AE182" s="8" t="str">
        <v/>
      </c>
      <c r="AF182" s="8" t="str">
        <v/>
      </c>
      <c r="AG182" s="8" t="str">
        <v/>
      </c>
      <c r="AH182" s="8" t="str">
        <v/>
      </c>
      <c r="AI182" s="8" t="n">
        <v>18</v>
      </c>
      <c r="AJ182" s="8" t="str">
        <v>～59</v>
      </c>
      <c r="AK182" s="8" t="str">
        <v>10～19</v>
      </c>
      <c r="AL182" s="8" t="str">
        <v>10～19</v>
      </c>
      <c r="AM182" s="8" t="str">
        <v>～99</v>
      </c>
      <c r="AN182" s="8" t="str">
        <v>12～14</v>
      </c>
      <c r="AO182" s="8" t="str">
        <f aca="false">IF(A182="","",IF(COUNTIFS(全馬データ!$A$2:$A$50000,A182,全馬データ!$B$2:$B$50000,B182,全馬データ!$C$2:$C$50000,C182,全馬データ!$D$2:$D$50000,E182,全馬データ!$K$2:$K$50000,"&lt;&gt;")=0,"",SUMIFS(全馬データ!$K$2:$K$50000,全馬データ!$A$2:$A$50000,A182,全馬データ!$B$2:$B$50000,B182,全馬データ!$C$2:$C$50000,C182,全馬データ!$D$2:$D$50000,E182)))</f>
        <v/>
      </c>
      <c r="AP182" s="8" t="str">
        <f aca="false">IF(A182="","",IF(AO182="","欠損",IF(AO182&lt;=1.1,"1.0～1.1",IF(AO182&lt;1.3,"1.2",IF(AO182&lt;1.5,"1.3～1.4",IF(AO182&lt;2,"1.5～1.9","2.0以上"))))))</f>
        <v>欠損</v>
      </c>
      <c r="AQ182" s="8" t="str">
        <f aca="false">IF(A182="","",IF(ISNUMBER(SEARCH("2歳",Z182)),"2歳戦",IF(ISNUMBER(SEARCH("3歳未勝利",Z182)),"3歳未勝利",IF(ISNUMBER(SEARCH("未勝利",Z182)),"その他未勝利",IF(ISNUMBER(SEARCH("G1",Z182)),"G1",IF(ISNUMBER(SEARCH("G2",Z182)),"G2",IF(ISNUMBER(SEARCH("G3",Z182)),"G3",IF(ISNUMBER(SEARCH("古馬条件",Z182)),"古馬条件戦",IF(ISNUMBER(SEARCH("重賞",Z182)),"重賞","分類不能")))))))))</f>
        <v>分類不能</v>
      </c>
      <c r="AR182" s="8"/>
      <c r="AS182" s="8" t="s">
        <v>7618</v>
      </c>
      <c r="AT182" s="4" t="s">
        <v>7642</v>
      </c>
      <c r="AU182" s="8" t="s">
        <v>7600</v>
      </c>
      <c r="AV182" s="4" t="s">
        <v>7601</v>
      </c>
      <c r="AW182" s="8"/>
      <c r="AX182" s="8"/>
      <c r="AY182" s="8" t="s">
        <v>7608</v>
      </c>
      <c r="AZ182" s="4" t="s">
        <v>7642</v>
      </c>
      <c r="BA182" s="8" t="n">
        <v>2770</v>
      </c>
      <c r="BB182" s="8" t="s">
        <v>7618</v>
      </c>
      <c r="BC182" s="4" t="s">
        <v>7619</v>
      </c>
      <c r="BD182" s="8" t="s">
        <v>7645</v>
      </c>
      <c r="BE182" s="4" t="s">
        <v>7606</v>
      </c>
      <c r="BF182" s="8" t="s">
        <v>7607</v>
      </c>
      <c r="BG182" s="8" t="s">
        <v>7631</v>
      </c>
      <c r="BH182" s="4" t="s">
        <v>7632</v>
      </c>
      <c r="BI182" s="8" t="n">
        <v>14</v>
      </c>
      <c r="BJ182" s="8" t="s">
        <v>7647</v>
      </c>
      <c r="BK182" s="4" t="s">
        <v>7648</v>
      </c>
      <c r="BL182" s="8" t="s">
        <v>7647</v>
      </c>
      <c r="BM182" s="4" t="s">
        <v>7648</v>
      </c>
      <c r="BN182" s="8"/>
      <c r="BO182" s="8"/>
      <c r="BP182" s="8" t="s">
        <v>7602</v>
      </c>
      <c r="BQ182" s="8" t="str">
        <f aca="false">IF(A182="","",AT182)</f>
        <v>障害</v>
      </c>
      <c r="BR182" s="8" t="str">
        <f aca="false">IF(A182="","",IF(BA182&lt;=1200,"～1200",IF(BA182&lt;=1500,"1300～1500",IF(BA182=1600,"1600",IF(BA182&lt;=1800,"1700～1800",IF(BA182&lt;=2000,"1900～2000","2100以上"))))))</f>
        <v>2100以上</v>
      </c>
      <c r="BS182" s="8" t="str">
        <f aca="false">IF(A182="","",IF(AX182="G1","G1",IF(AX182="G2","G2",IF(AX182="G3","G3",IF(AX182="L","L","その他")))))</f>
        <v>その他</v>
      </c>
      <c r="BT182" s="8" t="str">
        <f aca="false">IF(A182="","",IF(BI182="","未結合",IF(D182=BI182,"一致","不一致")))</f>
        <v>一致</v>
      </c>
      <c r="BU182" s="8" t="str">
        <f aca="false">IF(A182="","",IF(BE182="牝馬限定","牝馬限定","その他"))</f>
        <v>その他</v>
      </c>
    </row>
    <row r="183" customFormat="false" ht="15.75" hidden="false" customHeight="false" outlineLevel="0" collapsed="false">
      <c r="A183" s="6" t="n">
        <v>46215</v>
      </c>
      <c r="B183" s="4" t="s">
        <v>915</v>
      </c>
      <c r="C183" s="8" t="n">
        <v>2</v>
      </c>
      <c r="D183" s="8" t="n">
        <v>15</v>
      </c>
      <c r="E183" s="8" t="n">
        <v>15</v>
      </c>
      <c r="F183" s="4" t="s">
        <v>2303</v>
      </c>
      <c r="G183" s="8" t="n">
        <v>71</v>
      </c>
      <c r="H183" s="8" t="n">
        <v>14</v>
      </c>
      <c r="I183" s="4" t="s">
        <v>2302</v>
      </c>
      <c r="J183" s="8" t="n">
        <v>50</v>
      </c>
      <c r="K183" s="8" t="n">
        <v>2</v>
      </c>
      <c r="L183" s="4" t="s">
        <v>2291</v>
      </c>
      <c r="M183" s="8" t="n">
        <v>41</v>
      </c>
      <c r="N183" s="8" t="n">
        <v>21</v>
      </c>
      <c r="O183" s="8" t="n">
        <v>9</v>
      </c>
      <c r="P183" s="8" t="n">
        <v>121</v>
      </c>
      <c r="Q183" s="8" t="str">
        <f aca="false">IF(A183="","",IF(AND(Y183&lt;&gt;"参考",G183&gt;=ルール設定!$B$2),"○",""))</f>
        <v/>
      </c>
      <c r="R183" s="8" t="str">
        <f aca="false">IF(A183="","",IF(AND(Y183&lt;&gt;"参考",G183&gt;=ルール設定!$B$3,N183&gt;=ルール設定!$B$4),"○",""))</f>
        <v/>
      </c>
      <c r="S183" s="8" t="str">
        <f aca="false">IF(A183="","",IF(AND(Y183&lt;&gt;"参考",G183&gt;=ルール設定!$B$5,J183&gt;=ルール設定!$B$6,O183&gt;=ルール設定!$B$7),"○",""))</f>
        <v/>
      </c>
      <c r="T183" s="8" t="n">
        <v>2</v>
      </c>
      <c r="U183" s="8" t="n">
        <v>4</v>
      </c>
      <c r="V183" s="8" t="str">
        <f aca="false">IF(A183="","",IF(AND(ISNUMBER(T183),ISNUMBER(U183)),IF(AND(T183&lt;=3,U183&lt;=3),"○","×"),""))</f>
        <v>×</v>
      </c>
      <c r="W183" s="8" t="n">
        <v>110</v>
      </c>
      <c r="X183" s="8"/>
      <c r="Y183" s="4" t="s">
        <v>7597</v>
      </c>
      <c r="Z183" s="4" t="s">
        <v>7706</v>
      </c>
      <c r="AA183" s="8" t="str">
        <v/>
      </c>
      <c r="AB183" s="8" t="str">
        <v/>
      </c>
      <c r="AC183" s="8" t="str">
        <v/>
      </c>
      <c r="AD183" s="8" t="str">
        <v/>
      </c>
      <c r="AE183" s="8" t="str">
        <v/>
      </c>
      <c r="AF183" s="8" t="str">
        <v/>
      </c>
      <c r="AG183" s="8" t="str">
        <v/>
      </c>
      <c r="AH183" s="8" t="str">
        <v/>
      </c>
      <c r="AI183" s="8" t="n">
        <v>30</v>
      </c>
      <c r="AJ183" s="8" t="str">
        <v>70～74</v>
      </c>
      <c r="AK183" s="8" t="str">
        <v>20～29</v>
      </c>
      <c r="AL183" s="8" t="str">
        <v>30～39</v>
      </c>
      <c r="AM183" s="8" t="str">
        <v>120～139</v>
      </c>
      <c r="AN183" s="8" t="str">
        <v>15以上</v>
      </c>
      <c r="AO183" s="8" t="str">
        <f aca="false">IF(A183="","",IF(COUNTIFS(全馬データ!$A$2:$A$50000,A183,全馬データ!$B$2:$B$50000,B183,全馬データ!$C$2:$C$50000,C183,全馬データ!$D$2:$D$50000,E183,全馬データ!$K$2:$K$50000,"&lt;&gt;")=0,"",SUMIFS(全馬データ!$K$2:$K$50000,全馬データ!$A$2:$A$50000,A183,全馬データ!$B$2:$B$50000,B183,全馬データ!$C$2:$C$50000,C183,全馬データ!$D$2:$D$50000,E183)))</f>
        <v/>
      </c>
      <c r="AP183" s="8" t="str">
        <f aca="false">IF(A183="","",IF(AO183="","欠損",IF(AO183&lt;=1.1,"1.0～1.1",IF(AO183&lt;1.3,"1.2",IF(AO183&lt;1.5,"1.3～1.4",IF(AO183&lt;2,"1.5～1.9","2.0以上"))))))</f>
        <v>欠損</v>
      </c>
      <c r="AQ183" s="8" t="str">
        <f aca="false">IF(A183="","",IF(ISNUMBER(SEARCH("2歳",Z183)),"2歳戦",IF(ISNUMBER(SEARCH("3歳未勝利",Z183)),"3歳未勝利",IF(ISNUMBER(SEARCH("未勝利",Z183)),"その他未勝利",IF(ISNUMBER(SEARCH("G1",Z183)),"G1",IF(ISNUMBER(SEARCH("G2",Z183)),"G2",IF(ISNUMBER(SEARCH("G3",Z183)),"G3",IF(ISNUMBER(SEARCH("古馬条件",Z183)),"古馬条件戦",IF(ISNUMBER(SEARCH("重賞",Z183)),"重賞","分類不能")))))))))</f>
        <v>分類不能</v>
      </c>
      <c r="AR183" s="8"/>
      <c r="AS183" s="8" t="s">
        <v>7623</v>
      </c>
      <c r="AT183" s="8" t="s">
        <v>7624</v>
      </c>
      <c r="AU183" s="8" t="s">
        <v>7600</v>
      </c>
      <c r="AV183" s="4" t="s">
        <v>7601</v>
      </c>
      <c r="AW183" s="8"/>
      <c r="AX183" s="8"/>
      <c r="AY183" s="8" t="s">
        <v>7610</v>
      </c>
      <c r="AZ183" s="4" t="s">
        <v>7617</v>
      </c>
      <c r="BA183" s="8" t="n">
        <v>1700</v>
      </c>
      <c r="BB183" s="8" t="s">
        <v>7659</v>
      </c>
      <c r="BC183" s="4" t="s">
        <v>7619</v>
      </c>
      <c r="BD183" s="8" t="s">
        <v>7605</v>
      </c>
      <c r="BE183" s="4" t="s">
        <v>7606</v>
      </c>
      <c r="BF183" s="8" t="s">
        <v>7607</v>
      </c>
      <c r="BG183" s="8" t="s">
        <v>7608</v>
      </c>
      <c r="BH183" s="4" t="s">
        <v>7609</v>
      </c>
      <c r="BI183" s="8" t="n">
        <v>15</v>
      </c>
      <c r="BJ183" s="8" t="s">
        <v>7602</v>
      </c>
      <c r="BK183" s="4" t="s">
        <v>7653</v>
      </c>
      <c r="BL183" s="8" t="s">
        <v>7602</v>
      </c>
      <c r="BM183" s="4" t="s">
        <v>7620</v>
      </c>
      <c r="BN183" s="8"/>
      <c r="BO183" s="8"/>
      <c r="BP183" s="8" t="s">
        <v>7602</v>
      </c>
      <c r="BQ183" s="8" t="str">
        <f aca="false">IF(A183="","",AT183)</f>
        <v>3歳</v>
      </c>
      <c r="BR183" s="8" t="str">
        <f aca="false">IF(A183="","",IF(BA183&lt;=1200,"～1200",IF(BA183&lt;=1500,"1300～1500",IF(BA183=1600,"1600",IF(BA183&lt;=1800,"1700～1800",IF(BA183&lt;=2000,"1900～2000","2100以上"))))))</f>
        <v>1700～1800</v>
      </c>
      <c r="BS183" s="8" t="str">
        <f aca="false">IF(A183="","",IF(AX183="G1","G1",IF(AX183="G2","G2",IF(AX183="G3","G3",IF(AX183="L","L","その他")))))</f>
        <v>その他</v>
      </c>
      <c r="BT183" s="8" t="str">
        <f aca="false">IF(A183="","",IF(BI183="","未結合",IF(D183=BI183,"一致","不一致")))</f>
        <v>一致</v>
      </c>
      <c r="BU183" s="8" t="str">
        <f aca="false">IF(A183="","",IF(BE183="牝馬限定","牝馬限定","その他"))</f>
        <v>その他</v>
      </c>
    </row>
    <row r="184" customFormat="false" ht="15.75" hidden="false" customHeight="false" outlineLevel="0" collapsed="false">
      <c r="A184" s="6" t="n">
        <v>46215</v>
      </c>
      <c r="B184" s="4" t="s">
        <v>915</v>
      </c>
      <c r="C184" s="8" t="n">
        <v>3</v>
      </c>
      <c r="D184" s="8" t="n">
        <v>16</v>
      </c>
      <c r="E184" s="8" t="n">
        <v>9</v>
      </c>
      <c r="F184" s="4" t="s">
        <v>2310</v>
      </c>
      <c r="G184" s="8" t="n">
        <v>86</v>
      </c>
      <c r="H184" s="8" t="n">
        <v>2</v>
      </c>
      <c r="I184" s="4" t="s">
        <v>1016</v>
      </c>
      <c r="J184" s="8" t="n">
        <v>29</v>
      </c>
      <c r="K184" s="8" t="n">
        <v>6</v>
      </c>
      <c r="L184" s="4" t="s">
        <v>618</v>
      </c>
      <c r="M184" s="8" t="n">
        <v>20</v>
      </c>
      <c r="N184" s="8" t="n">
        <v>57</v>
      </c>
      <c r="O184" s="8" t="n">
        <v>9</v>
      </c>
      <c r="P184" s="8" t="n">
        <v>115</v>
      </c>
      <c r="Q184" s="8" t="str">
        <f aca="false">IF(A184="","",IF(AND(Y184&lt;&gt;"参考",G184&gt;=ルール設定!$B$2),"○",""))</f>
        <v>○</v>
      </c>
      <c r="R184" s="8" t="str">
        <f aca="false">IF(A184="","",IF(AND(Y184&lt;&gt;"参考",G184&gt;=ルール設定!$B$3,N184&gt;=ルール設定!$B$4),"○",""))</f>
        <v>○</v>
      </c>
      <c r="S184" s="8" t="str">
        <f aca="false">IF(A184="","",IF(AND(Y184&lt;&gt;"参考",G184&gt;=ルール設定!$B$5,J184&gt;=ルール設定!$B$6,O184&gt;=ルール設定!$B$7),"○",""))</f>
        <v/>
      </c>
      <c r="T184" s="8" t="n">
        <v>1</v>
      </c>
      <c r="U184" s="8" t="n">
        <v>4</v>
      </c>
      <c r="V184" s="8" t="str">
        <f aca="false">IF(A184="","",IF(AND(ISNUMBER(T184),ISNUMBER(U184)),IF(AND(T184&lt;=3,U184&lt;=3),"○","×"),""))</f>
        <v>×</v>
      </c>
      <c r="W184" s="8" t="n">
        <v>110</v>
      </c>
      <c r="X184" s="8"/>
      <c r="Y184" s="4" t="s">
        <v>7597</v>
      </c>
      <c r="Z184" s="4" t="s">
        <v>7706</v>
      </c>
      <c r="AA184" s="8" t="str">
        <v>○</v>
      </c>
      <c r="AB184" s="8" t="str">
        <v>○</v>
      </c>
      <c r="AC184" s="8" t="str">
        <v/>
      </c>
      <c r="AD184" s="8" t="str">
        <v>○</v>
      </c>
      <c r="AE184" s="8" t="str">
        <v/>
      </c>
      <c r="AF184" s="8" t="str">
        <v/>
      </c>
      <c r="AG184" s="8" t="str">
        <v>○</v>
      </c>
      <c r="AH184" s="8" t="str">
        <v/>
      </c>
      <c r="AI184" s="8" t="n">
        <v>66</v>
      </c>
      <c r="AJ184" s="8" t="str">
        <v>85以上</v>
      </c>
      <c r="AK184" s="8" t="str">
        <v>30以上</v>
      </c>
      <c r="AL184" s="8" t="str">
        <v>40以上</v>
      </c>
      <c r="AM184" s="8" t="str">
        <v>100～119</v>
      </c>
      <c r="AN184" s="8" t="str">
        <v>15以上</v>
      </c>
      <c r="AO184" s="8" t="n">
        <f aca="false">IF(A184="","",IF(COUNTIFS(全馬データ!$A$2:$A$50000,A184,全馬データ!$B$2:$B$50000,B184,全馬データ!$C$2:$C$50000,C184,全馬データ!$D$2:$D$50000,E184,全馬データ!$K$2:$K$50000,"&lt;&gt;")=0,"",SUMIFS(全馬データ!$K$2:$K$50000,全馬データ!$A$2:$A$50000,A184,全馬データ!$B$2:$B$50000,B184,全馬データ!$C$2:$C$50000,C184,全馬データ!$D$2:$D$50000,E184)))</f>
        <v>1.1</v>
      </c>
      <c r="AP184" s="8" t="str">
        <f aca="false">IF(A184="","",IF(AO184="","欠損",IF(AO184&lt;=1.1,"1.0～1.1",IF(AO184&lt;1.3,"1.2",IF(AO184&lt;1.5,"1.3～1.4",IF(AO184&lt;2,"1.5～1.9","2.0以上"))))))</f>
        <v>1.0～1.1</v>
      </c>
      <c r="AQ184" s="8" t="str">
        <f aca="false">IF(A184="","",IF(ISNUMBER(SEARCH("2歳",Z184)),"2歳戦",IF(ISNUMBER(SEARCH("3歳未勝利",Z184)),"3歳未勝利",IF(ISNUMBER(SEARCH("未勝利",Z184)),"その他未勝利",IF(ISNUMBER(SEARCH("G1",Z184)),"G1",IF(ISNUMBER(SEARCH("G2",Z184)),"G2",IF(ISNUMBER(SEARCH("G3",Z184)),"G3",IF(ISNUMBER(SEARCH("古馬条件",Z184)),"古馬条件戦",IF(ISNUMBER(SEARCH("重賞",Z184)),"重賞","分類不能")))))))))</f>
        <v>分類不能</v>
      </c>
      <c r="AR184" s="8"/>
      <c r="AS184" s="8" t="s">
        <v>7623</v>
      </c>
      <c r="AT184" s="8" t="s">
        <v>7624</v>
      </c>
      <c r="AU184" s="8" t="s">
        <v>7600</v>
      </c>
      <c r="AV184" s="4" t="s">
        <v>7601</v>
      </c>
      <c r="AW184" s="8"/>
      <c r="AX184" s="8"/>
      <c r="AY184" s="8" t="s">
        <v>7602</v>
      </c>
      <c r="AZ184" s="4" t="s">
        <v>7603</v>
      </c>
      <c r="BA184" s="8" t="n">
        <v>2000</v>
      </c>
      <c r="BB184" s="8" t="s">
        <v>7659</v>
      </c>
      <c r="BC184" s="4" t="s">
        <v>7619</v>
      </c>
      <c r="BD184" s="8" t="s">
        <v>7625</v>
      </c>
      <c r="BE184" s="4" t="s">
        <v>7606</v>
      </c>
      <c r="BF184" s="8" t="s">
        <v>7607</v>
      </c>
      <c r="BG184" s="8" t="s">
        <v>7608</v>
      </c>
      <c r="BH184" s="4" t="s">
        <v>7609</v>
      </c>
      <c r="BI184" s="8" t="n">
        <v>16</v>
      </c>
      <c r="BJ184" s="8" t="s">
        <v>7602</v>
      </c>
      <c r="BK184" s="4" t="s">
        <v>7653</v>
      </c>
      <c r="BL184" s="8" t="s">
        <v>7602</v>
      </c>
      <c r="BM184" s="4" t="s">
        <v>7620</v>
      </c>
      <c r="BN184" s="8" t="s">
        <v>7631</v>
      </c>
      <c r="BO184" s="8" t="s">
        <v>7680</v>
      </c>
      <c r="BP184" s="8" t="s">
        <v>7602</v>
      </c>
      <c r="BQ184" s="8" t="str">
        <f aca="false">IF(A184="","",AT184)</f>
        <v>3歳</v>
      </c>
      <c r="BR184" s="8" t="str">
        <f aca="false">IF(A184="","",IF(BA184&lt;=1200,"～1200",IF(BA184&lt;=1500,"1300～1500",IF(BA184=1600,"1600",IF(BA184&lt;=1800,"1700～1800",IF(BA184&lt;=2000,"1900～2000","2100以上"))))))</f>
        <v>1900～2000</v>
      </c>
      <c r="BS184" s="8" t="str">
        <f aca="false">IF(A184="","",IF(AX184="G1","G1",IF(AX184="G2","G2",IF(AX184="G3","G3",IF(AX184="L","L","その他")))))</f>
        <v>その他</v>
      </c>
      <c r="BT184" s="8" t="str">
        <f aca="false">IF(A184="","",IF(BI184="","未結合",IF(D184=BI184,"一致","不一致")))</f>
        <v>一致</v>
      </c>
      <c r="BU184" s="8" t="str">
        <f aca="false">IF(A184="","",IF(BE184="牝馬限定","牝馬限定","その他"))</f>
        <v>その他</v>
      </c>
    </row>
    <row r="185" customFormat="false" ht="15.75" hidden="false" customHeight="false" outlineLevel="0" collapsed="false">
      <c r="A185" s="6" t="n">
        <v>46215</v>
      </c>
      <c r="B185" s="4" t="s">
        <v>915</v>
      </c>
      <c r="C185" s="8" t="n">
        <v>4</v>
      </c>
      <c r="D185" s="8" t="n">
        <v>10</v>
      </c>
      <c r="E185" s="8" t="n">
        <v>5</v>
      </c>
      <c r="F185" s="4" t="s">
        <v>471</v>
      </c>
      <c r="G185" s="8" t="n">
        <v>37</v>
      </c>
      <c r="H185" s="8" t="n">
        <v>4</v>
      </c>
      <c r="I185" s="4" t="s">
        <v>474</v>
      </c>
      <c r="J185" s="8" t="n">
        <v>27</v>
      </c>
      <c r="K185" s="8" t="n">
        <v>7</v>
      </c>
      <c r="L185" s="4" t="s">
        <v>2319</v>
      </c>
      <c r="M185" s="8" t="n">
        <v>27</v>
      </c>
      <c r="N185" s="8" t="n">
        <v>10</v>
      </c>
      <c r="O185" s="8" t="n">
        <v>0</v>
      </c>
      <c r="P185" s="8" t="n">
        <v>64</v>
      </c>
      <c r="Q185" s="8" t="str">
        <f aca="false">IF(A185="","",IF(AND(Y185&lt;&gt;"参考",G185&gt;=ルール設定!$B$2),"○",""))</f>
        <v/>
      </c>
      <c r="R185" s="8" t="str">
        <f aca="false">IF(A185="","",IF(AND(Y185&lt;&gt;"参考",G185&gt;=ルール設定!$B$3,N185&gt;=ルール設定!$B$4),"○",""))</f>
        <v/>
      </c>
      <c r="S185" s="8" t="str">
        <f aca="false">IF(A185="","",IF(AND(Y185&lt;&gt;"参考",G185&gt;=ルール設定!$B$5,J185&gt;=ルール設定!$B$6,O185&gt;=ルール設定!$B$7),"○",""))</f>
        <v/>
      </c>
      <c r="T185" s="8" t="n">
        <v>3</v>
      </c>
      <c r="U185" s="8" t="n">
        <v>4</v>
      </c>
      <c r="V185" s="8" t="str">
        <f aca="false">IF(A185="","",IF(AND(ISNUMBER(T185),ISNUMBER(U185)),IF(AND(T185&lt;=3,U185&lt;=3),"○","×"),""))</f>
        <v>×</v>
      </c>
      <c r="W185" s="8" t="n">
        <v>150</v>
      </c>
      <c r="X185" s="8"/>
      <c r="Y185" s="4" t="s">
        <v>7597</v>
      </c>
      <c r="Z185" s="4" t="s">
        <v>7706</v>
      </c>
      <c r="AA185" s="8" t="str">
        <v/>
      </c>
      <c r="AB185" s="8" t="str">
        <v/>
      </c>
      <c r="AC185" s="8" t="str">
        <v/>
      </c>
      <c r="AD185" s="8" t="str">
        <v/>
      </c>
      <c r="AE185" s="8" t="str">
        <v/>
      </c>
      <c r="AF185" s="8" t="str">
        <v/>
      </c>
      <c r="AG185" s="8" t="str">
        <v/>
      </c>
      <c r="AH185" s="8" t="str">
        <v/>
      </c>
      <c r="AI185" s="8" t="n">
        <v>10</v>
      </c>
      <c r="AJ185" s="8" t="str">
        <v>～59</v>
      </c>
      <c r="AK185" s="8" t="str">
        <v>10～19</v>
      </c>
      <c r="AL185" s="8" t="str">
        <v>10～19</v>
      </c>
      <c r="AM185" s="8" t="str">
        <v>～99</v>
      </c>
      <c r="AN185" s="8" t="str">
        <v>8～11</v>
      </c>
      <c r="AO185" s="8" t="str">
        <f aca="false">IF(A185="","",IF(COUNTIFS(全馬データ!$A$2:$A$50000,A185,全馬データ!$B$2:$B$50000,B185,全馬データ!$C$2:$C$50000,C185,全馬データ!$D$2:$D$50000,E185,全馬データ!$K$2:$K$50000,"&lt;&gt;")=0,"",SUMIFS(全馬データ!$K$2:$K$50000,全馬データ!$A$2:$A$50000,A185,全馬データ!$B$2:$B$50000,B185,全馬データ!$C$2:$C$50000,C185,全馬データ!$D$2:$D$50000,E185)))</f>
        <v/>
      </c>
      <c r="AP185" s="8" t="str">
        <f aca="false">IF(A185="","",IF(AO185="","欠損",IF(AO185&lt;=1.1,"1.0～1.1",IF(AO185&lt;1.3,"1.2",IF(AO185&lt;1.5,"1.3～1.4",IF(AO185&lt;2,"1.5～1.9","2.0以上"))))))</f>
        <v>欠損</v>
      </c>
      <c r="AQ185" s="8" t="str">
        <f aca="false">IF(A185="","",IF(ISNUMBER(SEARCH("2歳",Z185)),"2歳戦",IF(ISNUMBER(SEARCH("3歳未勝利",Z185)),"3歳未勝利",IF(ISNUMBER(SEARCH("未勝利",Z185)),"その他未勝利",IF(ISNUMBER(SEARCH("G1",Z185)),"G1",IF(ISNUMBER(SEARCH("G2",Z185)),"G2",IF(ISNUMBER(SEARCH("G3",Z185)),"G3",IF(ISNUMBER(SEARCH("古馬条件",Z185)),"古馬条件戦",IF(ISNUMBER(SEARCH("重賞",Z185)),"重賞","分類不能")))))))))</f>
        <v>分類不能</v>
      </c>
      <c r="AR185" s="8"/>
      <c r="AS185" s="8" t="s">
        <v>7598</v>
      </c>
      <c r="AT185" s="8" t="s">
        <v>7599</v>
      </c>
      <c r="AU185" s="8" t="s">
        <v>7615</v>
      </c>
      <c r="AV185" s="4" t="s">
        <v>7616</v>
      </c>
      <c r="AW185" s="8"/>
      <c r="AX185" s="8"/>
      <c r="AY185" s="8" t="s">
        <v>7602</v>
      </c>
      <c r="AZ185" s="4" t="s">
        <v>7603</v>
      </c>
      <c r="BA185" s="8" t="n">
        <v>1200</v>
      </c>
      <c r="BB185" s="8" t="s">
        <v>7659</v>
      </c>
      <c r="BC185" s="4" t="s">
        <v>7619</v>
      </c>
      <c r="BD185" s="8" t="s">
        <v>7605</v>
      </c>
      <c r="BE185" s="4" t="s">
        <v>7606</v>
      </c>
      <c r="BF185" s="8" t="s">
        <v>7607</v>
      </c>
      <c r="BG185" s="8" t="s">
        <v>7608</v>
      </c>
      <c r="BH185" s="4" t="s">
        <v>7609</v>
      </c>
      <c r="BI185" s="8" t="n">
        <v>10</v>
      </c>
      <c r="BJ185" s="8" t="s">
        <v>7602</v>
      </c>
      <c r="BK185" s="4" t="s">
        <v>7653</v>
      </c>
      <c r="BL185" s="8" t="s">
        <v>7602</v>
      </c>
      <c r="BM185" s="4" t="s">
        <v>7620</v>
      </c>
      <c r="BN185" s="8" t="s">
        <v>7631</v>
      </c>
      <c r="BO185" s="8" t="s">
        <v>7680</v>
      </c>
      <c r="BP185" s="8" t="s">
        <v>7602</v>
      </c>
      <c r="BQ185" s="8" t="str">
        <f aca="false">IF(A185="","",AT185)</f>
        <v>2歳</v>
      </c>
      <c r="BR185" s="8" t="str">
        <f aca="false">IF(A185="","",IF(BA185&lt;=1200,"～1200",IF(BA185&lt;=1500,"1300～1500",IF(BA185=1600,"1600",IF(BA185&lt;=1800,"1700～1800",IF(BA185&lt;=2000,"1900～2000","2100以上"))))))</f>
        <v>～1200</v>
      </c>
      <c r="BS185" s="8" t="str">
        <f aca="false">IF(A185="","",IF(AX185="G1","G1",IF(AX185="G2","G2",IF(AX185="G3","G3",IF(AX185="L","L","その他")))))</f>
        <v>その他</v>
      </c>
      <c r="BT185" s="8" t="str">
        <f aca="false">IF(A185="","",IF(BI185="","未結合",IF(D185=BI185,"一致","不一致")))</f>
        <v>一致</v>
      </c>
      <c r="BU185" s="8" t="str">
        <f aca="false">IF(A185="","",IF(BE185="牝馬限定","牝馬限定","その他"))</f>
        <v>その他</v>
      </c>
    </row>
    <row r="186" customFormat="false" ht="15.75" hidden="false" customHeight="false" outlineLevel="0" collapsed="false">
      <c r="A186" s="6" t="n">
        <v>46215</v>
      </c>
      <c r="B186" s="4" t="s">
        <v>915</v>
      </c>
      <c r="C186" s="8" t="n">
        <v>5</v>
      </c>
      <c r="D186" s="8" t="n">
        <v>16</v>
      </c>
      <c r="E186" s="8" t="n">
        <v>11</v>
      </c>
      <c r="F186" s="4" t="s">
        <v>2328</v>
      </c>
      <c r="G186" s="8" t="n">
        <v>37</v>
      </c>
      <c r="H186" s="8" t="n">
        <v>4</v>
      </c>
      <c r="I186" s="4" t="s">
        <v>2324</v>
      </c>
      <c r="J186" s="8" t="n">
        <v>27</v>
      </c>
      <c r="K186" s="8" t="n">
        <v>5</v>
      </c>
      <c r="L186" s="4" t="s">
        <v>20</v>
      </c>
      <c r="M186" s="8" t="n">
        <v>27</v>
      </c>
      <c r="N186" s="8" t="n">
        <v>10</v>
      </c>
      <c r="O186" s="8" t="n">
        <v>0</v>
      </c>
      <c r="P186" s="8" t="n">
        <v>64</v>
      </c>
      <c r="Q186" s="8" t="str">
        <f aca="false">IF(A186="","",IF(AND(Y186&lt;&gt;"参考",G186&gt;=ルール設定!$B$2),"○",""))</f>
        <v/>
      </c>
      <c r="R186" s="8" t="str">
        <f aca="false">IF(A186="","",IF(AND(Y186&lt;&gt;"参考",G186&gt;=ルール設定!$B$3,N186&gt;=ルール設定!$B$4),"○",""))</f>
        <v/>
      </c>
      <c r="S186" s="8" t="str">
        <f aca="false">IF(A186="","",IF(AND(Y186&lt;&gt;"参考",G186&gt;=ルール設定!$B$5,J186&gt;=ルール設定!$B$6,O186&gt;=ルール設定!$B$7),"○",""))</f>
        <v/>
      </c>
      <c r="T186" s="8" t="n">
        <v>4</v>
      </c>
      <c r="U186" s="8" t="n">
        <v>2</v>
      </c>
      <c r="V186" s="8" t="str">
        <f aca="false">IF(A186="","",IF(AND(ISNUMBER(T186),ISNUMBER(U186)),IF(AND(T186&lt;=3,U186&lt;=3),"○","×"),""))</f>
        <v>×</v>
      </c>
      <c r="W186" s="8"/>
      <c r="X186" s="8"/>
      <c r="Y186" s="4" t="s">
        <v>7597</v>
      </c>
      <c r="Z186" s="4" t="s">
        <v>7706</v>
      </c>
      <c r="AA186" s="8" t="str">
        <v/>
      </c>
      <c r="AB186" s="8" t="str">
        <v/>
      </c>
      <c r="AC186" s="8" t="str">
        <v/>
      </c>
      <c r="AD186" s="8" t="str">
        <v/>
      </c>
      <c r="AE186" s="8" t="str">
        <v/>
      </c>
      <c r="AF186" s="8" t="str">
        <v/>
      </c>
      <c r="AG186" s="8" t="str">
        <v/>
      </c>
      <c r="AH186" s="8" t="str">
        <v/>
      </c>
      <c r="AI186" s="8" t="n">
        <v>10</v>
      </c>
      <c r="AJ186" s="8" t="str">
        <v>～59</v>
      </c>
      <c r="AK186" s="8" t="str">
        <v>10～19</v>
      </c>
      <c r="AL186" s="8" t="str">
        <v>10～19</v>
      </c>
      <c r="AM186" s="8" t="str">
        <v>～99</v>
      </c>
      <c r="AN186" s="8" t="str">
        <v>15以上</v>
      </c>
      <c r="AO186" s="8" t="str">
        <f aca="false">IF(A186="","",IF(COUNTIFS(全馬データ!$A$2:$A$50000,A186,全馬データ!$B$2:$B$50000,B186,全馬データ!$C$2:$C$50000,C186,全馬データ!$D$2:$D$50000,E186,全馬データ!$K$2:$K$50000,"&lt;&gt;")=0,"",SUMIFS(全馬データ!$K$2:$K$50000,全馬データ!$A$2:$A$50000,A186,全馬データ!$B$2:$B$50000,B186,全馬データ!$C$2:$C$50000,C186,全馬データ!$D$2:$D$50000,E186)))</f>
        <v/>
      </c>
      <c r="AP186" s="8" t="str">
        <f aca="false">IF(A186="","",IF(AO186="","欠損",IF(AO186&lt;=1.1,"1.0～1.1",IF(AO186&lt;1.3,"1.2",IF(AO186&lt;1.5,"1.3～1.4",IF(AO186&lt;2,"1.5～1.9","2.0以上"))))))</f>
        <v>欠損</v>
      </c>
      <c r="AQ186" s="8" t="str">
        <f aca="false">IF(A186="","",IF(ISNUMBER(SEARCH("2歳",Z186)),"2歳戦",IF(ISNUMBER(SEARCH("3歳未勝利",Z186)),"3歳未勝利",IF(ISNUMBER(SEARCH("未勝利",Z186)),"その他未勝利",IF(ISNUMBER(SEARCH("G1",Z186)),"G1",IF(ISNUMBER(SEARCH("G2",Z186)),"G2",IF(ISNUMBER(SEARCH("G3",Z186)),"G3",IF(ISNUMBER(SEARCH("古馬条件",Z186)),"古馬条件戦",IF(ISNUMBER(SEARCH("重賞",Z186)),"重賞","分類不能")))))))))</f>
        <v>分類不能</v>
      </c>
      <c r="AR186" s="8"/>
      <c r="AS186" s="8" t="s">
        <v>7598</v>
      </c>
      <c r="AT186" s="8" t="s">
        <v>7599</v>
      </c>
      <c r="AU186" s="8" t="s">
        <v>7615</v>
      </c>
      <c r="AV186" s="4" t="s">
        <v>7616</v>
      </c>
      <c r="AW186" s="8"/>
      <c r="AX186" s="8"/>
      <c r="AY186" s="8" t="s">
        <v>7602</v>
      </c>
      <c r="AZ186" s="4" t="s">
        <v>7603</v>
      </c>
      <c r="BA186" s="8" t="n">
        <v>1800</v>
      </c>
      <c r="BB186" s="8" t="s">
        <v>7659</v>
      </c>
      <c r="BC186" s="4" t="s">
        <v>7619</v>
      </c>
      <c r="BD186" s="8" t="s">
        <v>7625</v>
      </c>
      <c r="BE186" s="4" t="s">
        <v>7606</v>
      </c>
      <c r="BF186" s="8" t="s">
        <v>7607</v>
      </c>
      <c r="BG186" s="8" t="s">
        <v>7608</v>
      </c>
      <c r="BH186" s="4" t="s">
        <v>7609</v>
      </c>
      <c r="BI186" s="8" t="n">
        <v>16</v>
      </c>
      <c r="BJ186" s="8" t="s">
        <v>7602</v>
      </c>
      <c r="BK186" s="4" t="s">
        <v>7653</v>
      </c>
      <c r="BL186" s="8" t="s">
        <v>7602</v>
      </c>
      <c r="BM186" s="4" t="s">
        <v>7620</v>
      </c>
      <c r="BN186" s="8" t="s">
        <v>7631</v>
      </c>
      <c r="BO186" s="8" t="s">
        <v>7680</v>
      </c>
      <c r="BP186" s="8" t="s">
        <v>7602</v>
      </c>
      <c r="BQ186" s="8" t="str">
        <f aca="false">IF(A186="","",AT186)</f>
        <v>2歳</v>
      </c>
      <c r="BR186" s="8" t="str">
        <f aca="false">IF(A186="","",IF(BA186&lt;=1200,"～1200",IF(BA186&lt;=1500,"1300～1500",IF(BA186=1600,"1600",IF(BA186&lt;=1800,"1700～1800",IF(BA186&lt;=2000,"1900～2000","2100以上"))))))</f>
        <v>1700～1800</v>
      </c>
      <c r="BS186" s="8" t="str">
        <f aca="false">IF(A186="","",IF(AX186="G1","G1",IF(AX186="G2","G2",IF(AX186="G3","G3",IF(AX186="L","L","その他")))))</f>
        <v>その他</v>
      </c>
      <c r="BT186" s="8" t="str">
        <f aca="false">IF(A186="","",IF(BI186="","未結合",IF(D186=BI186,"一致","不一致")))</f>
        <v>一致</v>
      </c>
      <c r="BU186" s="8" t="str">
        <f aca="false">IF(A186="","",IF(BE186="牝馬限定","牝馬限定","その他"))</f>
        <v>その他</v>
      </c>
    </row>
    <row r="187" customFormat="false" ht="15.75" hidden="false" customHeight="false" outlineLevel="0" collapsed="false">
      <c r="A187" s="6" t="n">
        <v>46215</v>
      </c>
      <c r="B187" s="4" t="s">
        <v>915</v>
      </c>
      <c r="C187" s="8" t="n">
        <v>6</v>
      </c>
      <c r="D187" s="8" t="n">
        <v>16</v>
      </c>
      <c r="E187" s="8" t="n">
        <v>11</v>
      </c>
      <c r="F187" s="4" t="s">
        <v>2342</v>
      </c>
      <c r="G187" s="8" t="n">
        <v>66</v>
      </c>
      <c r="H187" s="8" t="n">
        <v>6</v>
      </c>
      <c r="I187" s="4" t="s">
        <v>493</v>
      </c>
      <c r="J187" s="8" t="n">
        <v>56</v>
      </c>
      <c r="K187" s="8" t="n">
        <v>5</v>
      </c>
      <c r="L187" s="4" t="s">
        <v>944</v>
      </c>
      <c r="M187" s="8" t="n">
        <v>37</v>
      </c>
      <c r="N187" s="8" t="n">
        <v>10</v>
      </c>
      <c r="O187" s="8" t="n">
        <v>19</v>
      </c>
      <c r="P187" s="8" t="n">
        <v>122</v>
      </c>
      <c r="Q187" s="8" t="str">
        <f aca="false">IF(A187="","",IF(AND(Y187&lt;&gt;"参考",G187&gt;=ルール設定!$B$2),"○",""))</f>
        <v/>
      </c>
      <c r="R187" s="8" t="str">
        <f aca="false">IF(A187="","",IF(AND(Y187&lt;&gt;"参考",G187&gt;=ルール設定!$B$3,N187&gt;=ルール設定!$B$4),"○",""))</f>
        <v/>
      </c>
      <c r="S187" s="8" t="str">
        <f aca="false">IF(A187="","",IF(AND(Y187&lt;&gt;"参考",G187&gt;=ルール設定!$B$5,J187&gt;=ルール設定!$B$6,O187&gt;=ルール設定!$B$7),"○",""))</f>
        <v/>
      </c>
      <c r="T187" s="8" t="n">
        <v>4</v>
      </c>
      <c r="U187" s="8" t="n">
        <v>2</v>
      </c>
      <c r="V187" s="8" t="str">
        <f aca="false">IF(A187="","",IF(AND(ISNUMBER(T187),ISNUMBER(U187)),IF(AND(T187&lt;=3,U187&lt;=3),"○","×"),""))</f>
        <v>×</v>
      </c>
      <c r="W187" s="8"/>
      <c r="X187" s="8"/>
      <c r="Y187" s="4" t="s">
        <v>7597</v>
      </c>
      <c r="Z187" s="4" t="s">
        <v>7706</v>
      </c>
      <c r="AA187" s="8" t="str">
        <v/>
      </c>
      <c r="AB187" s="8" t="str">
        <v/>
      </c>
      <c r="AC187" s="8" t="str">
        <v/>
      </c>
      <c r="AD187" s="8" t="str">
        <v/>
      </c>
      <c r="AE187" s="8" t="str">
        <v/>
      </c>
      <c r="AF187" s="8" t="str">
        <v/>
      </c>
      <c r="AG187" s="8" t="str">
        <v/>
      </c>
      <c r="AH187" s="8" t="str">
        <v/>
      </c>
      <c r="AI187" s="8" t="n">
        <v>29</v>
      </c>
      <c r="AJ187" s="8" t="str">
        <v>60～69</v>
      </c>
      <c r="AK187" s="8" t="str">
        <v>10～19</v>
      </c>
      <c r="AL187" s="8" t="str">
        <v>20～29</v>
      </c>
      <c r="AM187" s="8" t="str">
        <v>120～139</v>
      </c>
      <c r="AN187" s="8" t="str">
        <v>15以上</v>
      </c>
      <c r="AO187" s="8" t="str">
        <f aca="false">IF(A187="","",IF(COUNTIFS(全馬データ!$A$2:$A$50000,A187,全馬データ!$B$2:$B$50000,B187,全馬データ!$C$2:$C$50000,C187,全馬データ!$D$2:$D$50000,E187,全馬データ!$K$2:$K$50000,"&lt;&gt;")=0,"",SUMIFS(全馬データ!$K$2:$K$50000,全馬データ!$A$2:$A$50000,A187,全馬データ!$B$2:$B$50000,B187,全馬データ!$C$2:$C$50000,C187,全馬データ!$D$2:$D$50000,E187)))</f>
        <v/>
      </c>
      <c r="AP187" s="8" t="str">
        <f aca="false">IF(A187="","",IF(AO187="","欠損",IF(AO187&lt;=1.1,"1.0～1.1",IF(AO187&lt;1.3,"1.2",IF(AO187&lt;1.5,"1.3～1.4",IF(AO187&lt;2,"1.5～1.9","2.0以上"))))))</f>
        <v>欠損</v>
      </c>
      <c r="AQ187" s="8" t="str">
        <f aca="false">IF(A187="","",IF(ISNUMBER(SEARCH("2歳",Z187)),"2歳戦",IF(ISNUMBER(SEARCH("3歳未勝利",Z187)),"3歳未勝利",IF(ISNUMBER(SEARCH("未勝利",Z187)),"その他未勝利",IF(ISNUMBER(SEARCH("G1",Z187)),"G1",IF(ISNUMBER(SEARCH("G2",Z187)),"G2",IF(ISNUMBER(SEARCH("G3",Z187)),"G3",IF(ISNUMBER(SEARCH("古馬条件",Z187)),"古馬条件戦",IF(ISNUMBER(SEARCH("重賞",Z187)),"重賞","分類不能")))))))))</f>
        <v>分類不能</v>
      </c>
      <c r="AR187" s="8"/>
      <c r="AS187" s="8" t="s">
        <v>7623</v>
      </c>
      <c r="AT187" s="8" t="s">
        <v>7624</v>
      </c>
      <c r="AU187" s="8" t="s">
        <v>7600</v>
      </c>
      <c r="AV187" s="4" t="s">
        <v>7601</v>
      </c>
      <c r="AW187" s="8"/>
      <c r="AX187" s="8"/>
      <c r="AY187" s="8" t="s">
        <v>7610</v>
      </c>
      <c r="AZ187" s="4" t="s">
        <v>7617</v>
      </c>
      <c r="BA187" s="8" t="n">
        <v>1150</v>
      </c>
      <c r="BB187" s="8" t="s">
        <v>7659</v>
      </c>
      <c r="BC187" s="4" t="s">
        <v>7619</v>
      </c>
      <c r="BD187" s="8" t="s">
        <v>7605</v>
      </c>
      <c r="BE187" s="4" t="s">
        <v>7606</v>
      </c>
      <c r="BF187" s="8" t="s">
        <v>7607</v>
      </c>
      <c r="BG187" s="8" t="s">
        <v>7608</v>
      </c>
      <c r="BH187" s="4" t="s">
        <v>7609</v>
      </c>
      <c r="BI187" s="8" t="n">
        <v>16</v>
      </c>
      <c r="BJ187" s="8" t="s">
        <v>7602</v>
      </c>
      <c r="BK187" s="4" t="s">
        <v>7653</v>
      </c>
      <c r="BL187" s="8" t="s">
        <v>7602</v>
      </c>
      <c r="BM187" s="4" t="s">
        <v>7620</v>
      </c>
      <c r="BN187" s="8"/>
      <c r="BO187" s="8"/>
      <c r="BP187" s="8" t="s">
        <v>7602</v>
      </c>
      <c r="BQ187" s="8" t="str">
        <f aca="false">IF(A187="","",AT187)</f>
        <v>3歳</v>
      </c>
      <c r="BR187" s="8" t="str">
        <f aca="false">IF(A187="","",IF(BA187&lt;=1200,"～1200",IF(BA187&lt;=1500,"1300～1500",IF(BA187=1600,"1600",IF(BA187&lt;=1800,"1700～1800",IF(BA187&lt;=2000,"1900～2000","2100以上"))))))</f>
        <v>～1200</v>
      </c>
      <c r="BS187" s="8" t="str">
        <f aca="false">IF(A187="","",IF(AX187="G1","G1",IF(AX187="G2","G2",IF(AX187="G3","G3",IF(AX187="L","L","その他")))))</f>
        <v>その他</v>
      </c>
      <c r="BT187" s="8" t="str">
        <f aca="false">IF(A187="","",IF(BI187="","未結合",IF(D187=BI187,"一致","不一致")))</f>
        <v>一致</v>
      </c>
      <c r="BU187" s="8" t="str">
        <f aca="false">IF(A187="","",IF(BE187="牝馬限定","牝馬限定","その他"))</f>
        <v>その他</v>
      </c>
    </row>
    <row r="188" customFormat="false" ht="15.75" hidden="false" customHeight="false" outlineLevel="0" collapsed="false">
      <c r="A188" s="6" t="n">
        <v>46215</v>
      </c>
      <c r="B188" s="4" t="s">
        <v>915</v>
      </c>
      <c r="C188" s="8" t="n">
        <v>7</v>
      </c>
      <c r="D188" s="8" t="n">
        <v>16</v>
      </c>
      <c r="E188" s="8" t="n">
        <v>11</v>
      </c>
      <c r="F188" s="4" t="s">
        <v>2358</v>
      </c>
      <c r="G188" s="8" t="n">
        <v>44</v>
      </c>
      <c r="H188" s="8" t="n">
        <v>4</v>
      </c>
      <c r="I188" s="4" t="s">
        <v>2351</v>
      </c>
      <c r="J188" s="8" t="n">
        <v>39</v>
      </c>
      <c r="K188" s="8" t="n">
        <v>7</v>
      </c>
      <c r="L188" s="4" t="s">
        <v>2354</v>
      </c>
      <c r="M188" s="8" t="n">
        <v>31</v>
      </c>
      <c r="N188" s="8" t="n">
        <v>5</v>
      </c>
      <c r="O188" s="8" t="n">
        <v>8</v>
      </c>
      <c r="P188" s="8" t="n">
        <v>83</v>
      </c>
      <c r="Q188" s="8" t="str">
        <f aca="false">IF(A188="","",IF(AND(Y188&lt;&gt;"参考",G188&gt;=ルール設定!$B$2),"○",""))</f>
        <v/>
      </c>
      <c r="R188" s="8" t="str">
        <f aca="false">IF(A188="","",IF(AND(Y188&lt;&gt;"参考",G188&gt;=ルール設定!$B$3,N188&gt;=ルール設定!$B$4),"○",""))</f>
        <v/>
      </c>
      <c r="S188" s="8" t="str">
        <f aca="false">IF(A188="","",IF(AND(Y188&lt;&gt;"参考",G188&gt;=ルール設定!$B$5,J188&gt;=ルール設定!$B$6,O188&gt;=ルール設定!$B$7),"○",""))</f>
        <v/>
      </c>
      <c r="T188" s="8" t="n">
        <v>4</v>
      </c>
      <c r="U188" s="8" t="n">
        <v>1</v>
      </c>
      <c r="V188" s="8" t="str">
        <f aca="false">IF(A188="","",IF(AND(ISNUMBER(T188),ISNUMBER(U188)),IF(AND(T188&lt;=3,U188&lt;=3),"○","×"),""))</f>
        <v>×</v>
      </c>
      <c r="W188" s="8"/>
      <c r="X188" s="8"/>
      <c r="Y188" s="4" t="s">
        <v>7597</v>
      </c>
      <c r="Z188" s="4" t="s">
        <v>7706</v>
      </c>
      <c r="AA188" s="8" t="str">
        <v/>
      </c>
      <c r="AB188" s="8" t="str">
        <v/>
      </c>
      <c r="AC188" s="8" t="str">
        <v/>
      </c>
      <c r="AD188" s="8" t="str">
        <v/>
      </c>
      <c r="AE188" s="8" t="str">
        <v/>
      </c>
      <c r="AF188" s="8" t="str">
        <v/>
      </c>
      <c r="AG188" s="8" t="str">
        <v/>
      </c>
      <c r="AH188" s="8" t="str">
        <v/>
      </c>
      <c r="AI188" s="8" t="n">
        <v>13</v>
      </c>
      <c r="AJ188" s="8" t="str">
        <v>～59</v>
      </c>
      <c r="AK188" s="8" t="str">
        <v>5～9</v>
      </c>
      <c r="AL188" s="8" t="str">
        <v>10～19</v>
      </c>
      <c r="AM188" s="8" t="str">
        <v>～99</v>
      </c>
      <c r="AN188" s="8" t="str">
        <v>15以上</v>
      </c>
      <c r="AO188" s="8" t="str">
        <f aca="false">IF(A188="","",IF(COUNTIFS(全馬データ!$A$2:$A$50000,A188,全馬データ!$B$2:$B$50000,B188,全馬データ!$C$2:$C$50000,C188,全馬データ!$D$2:$D$50000,E188,全馬データ!$K$2:$K$50000,"&lt;&gt;")=0,"",SUMIFS(全馬データ!$K$2:$K$50000,全馬データ!$A$2:$A$50000,A188,全馬データ!$B$2:$B$50000,B188,全馬データ!$C$2:$C$50000,C188,全馬データ!$D$2:$D$50000,E188)))</f>
        <v/>
      </c>
      <c r="AP188" s="8" t="str">
        <f aca="false">IF(A188="","",IF(AO188="","欠損",IF(AO188&lt;=1.1,"1.0～1.1",IF(AO188&lt;1.3,"1.2",IF(AO188&lt;1.5,"1.3～1.4",IF(AO188&lt;2,"1.5～1.9","2.0以上"))))))</f>
        <v>欠損</v>
      </c>
      <c r="AQ188" s="8" t="str">
        <f aca="false">IF(A188="","",IF(ISNUMBER(SEARCH("2歳",Z188)),"2歳戦",IF(ISNUMBER(SEARCH("3歳未勝利",Z188)),"3歳未勝利",IF(ISNUMBER(SEARCH("未勝利",Z188)),"その他未勝利",IF(ISNUMBER(SEARCH("G1",Z188)),"G1",IF(ISNUMBER(SEARCH("G2",Z188)),"G2",IF(ISNUMBER(SEARCH("G3",Z188)),"G3",IF(ISNUMBER(SEARCH("古馬条件",Z188)),"古馬条件戦",IF(ISNUMBER(SEARCH("重賞",Z188)),"重賞","分類不能")))))))))</f>
        <v>分類不能</v>
      </c>
      <c r="AR188" s="8"/>
      <c r="AS188" s="8" t="s">
        <v>7623</v>
      </c>
      <c r="AT188" s="8" t="s">
        <v>7624</v>
      </c>
      <c r="AU188" s="8" t="s">
        <v>7600</v>
      </c>
      <c r="AV188" s="4" t="s">
        <v>7601</v>
      </c>
      <c r="AW188" s="8"/>
      <c r="AX188" s="8"/>
      <c r="AY188" s="8" t="s">
        <v>7602</v>
      </c>
      <c r="AZ188" s="4" t="s">
        <v>7603</v>
      </c>
      <c r="BA188" s="8" t="n">
        <v>1200</v>
      </c>
      <c r="BB188" s="8" t="s">
        <v>7659</v>
      </c>
      <c r="BC188" s="4" t="s">
        <v>7619</v>
      </c>
      <c r="BD188" s="8" t="s">
        <v>7625</v>
      </c>
      <c r="BE188" s="4" t="s">
        <v>7606</v>
      </c>
      <c r="BF188" s="8" t="s">
        <v>7607</v>
      </c>
      <c r="BG188" s="8" t="s">
        <v>7608</v>
      </c>
      <c r="BH188" s="4" t="s">
        <v>7609</v>
      </c>
      <c r="BI188" s="8" t="n">
        <v>16</v>
      </c>
      <c r="BJ188" s="8" t="s">
        <v>7602</v>
      </c>
      <c r="BK188" s="4" t="s">
        <v>7653</v>
      </c>
      <c r="BL188" s="8" t="s">
        <v>7602</v>
      </c>
      <c r="BM188" s="4" t="s">
        <v>7620</v>
      </c>
      <c r="BN188" s="8" t="s">
        <v>7631</v>
      </c>
      <c r="BO188" s="8" t="s">
        <v>7680</v>
      </c>
      <c r="BP188" s="8" t="s">
        <v>7602</v>
      </c>
      <c r="BQ188" s="8" t="str">
        <f aca="false">IF(A188="","",AT188)</f>
        <v>3歳</v>
      </c>
      <c r="BR188" s="8" t="str">
        <f aca="false">IF(A188="","",IF(BA188&lt;=1200,"～1200",IF(BA188&lt;=1500,"1300～1500",IF(BA188=1600,"1600",IF(BA188&lt;=1800,"1700～1800",IF(BA188&lt;=2000,"1900～2000","2100以上"))))))</f>
        <v>～1200</v>
      </c>
      <c r="BS188" s="8" t="str">
        <f aca="false">IF(A188="","",IF(AX188="G1","G1",IF(AX188="G2","G2",IF(AX188="G3","G3",IF(AX188="L","L","その他")))))</f>
        <v>その他</v>
      </c>
      <c r="BT188" s="8" t="str">
        <f aca="false">IF(A188="","",IF(BI188="","未結合",IF(D188=BI188,"一致","不一致")))</f>
        <v>一致</v>
      </c>
      <c r="BU188" s="8" t="str">
        <f aca="false">IF(A188="","",IF(BE188="牝馬限定","牝馬限定","その他"))</f>
        <v>その他</v>
      </c>
    </row>
    <row r="189" customFormat="false" ht="15.75" hidden="false" customHeight="false" outlineLevel="0" collapsed="false">
      <c r="A189" s="6" t="n">
        <v>46215</v>
      </c>
      <c r="B189" s="4" t="s">
        <v>915</v>
      </c>
      <c r="C189" s="8" t="n">
        <v>8</v>
      </c>
      <c r="D189" s="8" t="n">
        <v>12</v>
      </c>
      <c r="E189" s="8" t="n">
        <v>10</v>
      </c>
      <c r="F189" s="4" t="s">
        <v>2373</v>
      </c>
      <c r="G189" s="8" t="n">
        <v>47</v>
      </c>
      <c r="H189" s="8" t="n">
        <v>12</v>
      </c>
      <c r="I189" s="4" t="s">
        <v>2375</v>
      </c>
      <c r="J189" s="8" t="n">
        <v>47</v>
      </c>
      <c r="K189" s="8" t="n">
        <v>1</v>
      </c>
      <c r="L189" s="4" t="s">
        <v>2364</v>
      </c>
      <c r="M189" s="8" t="n">
        <v>44</v>
      </c>
      <c r="N189" s="8" t="n">
        <v>0</v>
      </c>
      <c r="O189" s="8" t="n">
        <v>3</v>
      </c>
      <c r="P189" s="8" t="n">
        <v>94</v>
      </c>
      <c r="Q189" s="8" t="str">
        <f aca="false">IF(A189="","",IF(AND(Y189&lt;&gt;"参考",G189&gt;=ルール設定!$B$2),"○",""))</f>
        <v/>
      </c>
      <c r="R189" s="8" t="str">
        <f aca="false">IF(A189="","",IF(AND(Y189&lt;&gt;"参考",G189&gt;=ルール設定!$B$3,N189&gt;=ルール設定!$B$4),"○",""))</f>
        <v/>
      </c>
      <c r="S189" s="8" t="str">
        <f aca="false">IF(A189="","",IF(AND(Y189&lt;&gt;"参考",G189&gt;=ルール設定!$B$5,J189&gt;=ルール設定!$B$6,O189&gt;=ルール設定!$B$7),"○",""))</f>
        <v/>
      </c>
      <c r="T189" s="8" t="n">
        <v>4</v>
      </c>
      <c r="U189" s="8" t="n">
        <v>1</v>
      </c>
      <c r="V189" s="8" t="str">
        <f aca="false">IF(A189="","",IF(AND(ISNUMBER(T189),ISNUMBER(U189)),IF(AND(T189&lt;=3,U189&lt;=3),"○","×"),""))</f>
        <v>×</v>
      </c>
      <c r="W189" s="8"/>
      <c r="X189" s="8"/>
      <c r="Y189" s="4" t="s">
        <v>7597</v>
      </c>
      <c r="Z189" s="4" t="s">
        <v>7706</v>
      </c>
      <c r="AA189" s="8" t="str">
        <v/>
      </c>
      <c r="AB189" s="8" t="str">
        <v/>
      </c>
      <c r="AC189" s="8" t="str">
        <v/>
      </c>
      <c r="AD189" s="8" t="str">
        <v/>
      </c>
      <c r="AE189" s="8" t="str">
        <v/>
      </c>
      <c r="AF189" s="8" t="str">
        <v/>
      </c>
      <c r="AG189" s="8" t="str">
        <v/>
      </c>
      <c r="AH189" s="8" t="str">
        <v/>
      </c>
      <c r="AI189" s="8" t="n">
        <v>3</v>
      </c>
      <c r="AJ189" s="8" t="str">
        <v>～59</v>
      </c>
      <c r="AK189" s="8" t="str">
        <v>0～4</v>
      </c>
      <c r="AL189" s="8" t="str">
        <v>0～9</v>
      </c>
      <c r="AM189" s="8" t="str">
        <v>～99</v>
      </c>
      <c r="AN189" s="8" t="str">
        <v>12～14</v>
      </c>
      <c r="AO189" s="8" t="str">
        <f aca="false">IF(A189="","",IF(COUNTIFS(全馬データ!$A$2:$A$50000,A189,全馬データ!$B$2:$B$50000,B189,全馬データ!$C$2:$C$50000,C189,全馬データ!$D$2:$D$50000,E189,全馬データ!$K$2:$K$50000,"&lt;&gt;")=0,"",SUMIFS(全馬データ!$K$2:$K$50000,全馬データ!$A$2:$A$50000,A189,全馬データ!$B$2:$B$50000,B189,全馬データ!$C$2:$C$50000,C189,全馬データ!$D$2:$D$50000,E189)))</f>
        <v/>
      </c>
      <c r="AP189" s="8" t="str">
        <f aca="false">IF(A189="","",IF(AO189="","欠損",IF(AO189&lt;=1.1,"1.0～1.1",IF(AO189&lt;1.3,"1.2",IF(AO189&lt;1.5,"1.3～1.4",IF(AO189&lt;2,"1.5～1.9","2.0以上"))))))</f>
        <v>欠損</v>
      </c>
      <c r="AQ189" s="8" t="str">
        <f aca="false">IF(A189="","",IF(ISNUMBER(SEARCH("2歳",Z189)),"2歳戦",IF(ISNUMBER(SEARCH("3歳未勝利",Z189)),"3歳未勝利",IF(ISNUMBER(SEARCH("未勝利",Z189)),"その他未勝利",IF(ISNUMBER(SEARCH("G1",Z189)),"G1",IF(ISNUMBER(SEARCH("G2",Z189)),"G2",IF(ISNUMBER(SEARCH("G3",Z189)),"G3",IF(ISNUMBER(SEARCH("古馬条件",Z189)),"古馬条件戦",IF(ISNUMBER(SEARCH("重賞",Z189)),"重賞","分類不能")))))))))</f>
        <v>分類不能</v>
      </c>
      <c r="AR189" s="8"/>
      <c r="AS189" s="8" t="s">
        <v>7626</v>
      </c>
      <c r="AT189" s="8" t="s">
        <v>7627</v>
      </c>
      <c r="AU189" s="8" t="s">
        <v>7628</v>
      </c>
      <c r="AV189" s="8" t="s">
        <v>7629</v>
      </c>
      <c r="AW189" s="8"/>
      <c r="AX189" s="8"/>
      <c r="AY189" s="8" t="s">
        <v>7602</v>
      </c>
      <c r="AZ189" s="4" t="s">
        <v>7603</v>
      </c>
      <c r="BA189" s="8" t="n">
        <v>1200</v>
      </c>
      <c r="BB189" s="8" t="s">
        <v>7659</v>
      </c>
      <c r="BC189" s="4" t="s">
        <v>7619</v>
      </c>
      <c r="BD189" s="8" t="s">
        <v>7625</v>
      </c>
      <c r="BE189" s="4" t="s">
        <v>7606</v>
      </c>
      <c r="BF189" s="8" t="s">
        <v>7607</v>
      </c>
      <c r="BG189" s="8" t="s">
        <v>7631</v>
      </c>
      <c r="BH189" s="4" t="s">
        <v>7632</v>
      </c>
      <c r="BI189" s="8" t="n">
        <v>12</v>
      </c>
      <c r="BJ189" s="8" t="s">
        <v>7602</v>
      </c>
      <c r="BK189" s="4" t="s">
        <v>7653</v>
      </c>
      <c r="BL189" s="8" t="s">
        <v>7602</v>
      </c>
      <c r="BM189" s="4" t="s">
        <v>7620</v>
      </c>
      <c r="BN189" s="8" t="s">
        <v>7631</v>
      </c>
      <c r="BO189" s="8" t="s">
        <v>7680</v>
      </c>
      <c r="BP189" s="8" t="s">
        <v>7602</v>
      </c>
      <c r="BQ189" s="8" t="str">
        <f aca="false">IF(A189="","",AT189)</f>
        <v>3歳以上</v>
      </c>
      <c r="BR189" s="8" t="str">
        <f aca="false">IF(A189="","",IF(BA189&lt;=1200,"～1200",IF(BA189&lt;=1500,"1300～1500",IF(BA189=1600,"1600",IF(BA189&lt;=1800,"1700～1800",IF(BA189&lt;=2000,"1900～2000","2100以上"))))))</f>
        <v>～1200</v>
      </c>
      <c r="BS189" s="8" t="str">
        <f aca="false">IF(A189="","",IF(AX189="G1","G1",IF(AX189="G2","G2",IF(AX189="G3","G3",IF(AX189="L","L","その他")))))</f>
        <v>その他</v>
      </c>
      <c r="BT189" s="8" t="str">
        <f aca="false">IF(A189="","",IF(BI189="","未結合",IF(D189=BI189,"一致","不一致")))</f>
        <v>一致</v>
      </c>
      <c r="BU189" s="8" t="str">
        <f aca="false">IF(A189="","",IF(BE189="牝馬限定","牝馬限定","その他"))</f>
        <v>その他</v>
      </c>
    </row>
    <row r="190" customFormat="false" ht="15.75" hidden="false" customHeight="false" outlineLevel="0" collapsed="false">
      <c r="A190" s="6" t="n">
        <v>46215</v>
      </c>
      <c r="B190" s="4" t="s">
        <v>915</v>
      </c>
      <c r="C190" s="8" t="n">
        <v>9</v>
      </c>
      <c r="D190" s="8" t="n">
        <v>14</v>
      </c>
      <c r="E190" s="8" t="n">
        <v>7</v>
      </c>
      <c r="F190" s="4" t="s">
        <v>2381</v>
      </c>
      <c r="G190" s="8" t="n">
        <v>52</v>
      </c>
      <c r="H190" s="8" t="n">
        <v>4</v>
      </c>
      <c r="I190" s="4" t="s">
        <v>2378</v>
      </c>
      <c r="J190" s="8" t="n">
        <v>44</v>
      </c>
      <c r="K190" s="8" t="n">
        <v>12</v>
      </c>
      <c r="L190" s="4" t="s">
        <v>2386</v>
      </c>
      <c r="M190" s="8" t="n">
        <v>41</v>
      </c>
      <c r="N190" s="8" t="n">
        <v>8</v>
      </c>
      <c r="O190" s="8" t="n">
        <v>3</v>
      </c>
      <c r="P190" s="8" t="n">
        <v>96</v>
      </c>
      <c r="Q190" s="8" t="str">
        <f aca="false">IF(A190="","",IF(AND(Y190&lt;&gt;"参考",G190&gt;=ルール設定!$B$2),"○",""))</f>
        <v/>
      </c>
      <c r="R190" s="8" t="str">
        <f aca="false">IF(A190="","",IF(AND(Y190&lt;&gt;"参考",G190&gt;=ルール設定!$B$3,N190&gt;=ルール設定!$B$4),"○",""))</f>
        <v/>
      </c>
      <c r="S190" s="8" t="str">
        <f aca="false">IF(A190="","",IF(AND(Y190&lt;&gt;"参考",G190&gt;=ルール設定!$B$5,J190&gt;=ルール設定!$B$6,O190&gt;=ルール設定!$B$7),"○",""))</f>
        <v/>
      </c>
      <c r="T190" s="8" t="n">
        <v>1</v>
      </c>
      <c r="U190" s="8" t="n">
        <v>2</v>
      </c>
      <c r="V190" s="8" t="str">
        <f aca="false">IF(A190="","",IF(AND(ISNUMBER(T190),ISNUMBER(U190)),IF(AND(T190&lt;=3,U190&lt;=3),"○","×"),""))</f>
        <v>○</v>
      </c>
      <c r="W190" s="8" t="n">
        <v>200</v>
      </c>
      <c r="X190" s="8" t="n">
        <v>670</v>
      </c>
      <c r="Y190" s="4" t="s">
        <v>7597</v>
      </c>
      <c r="Z190" s="4" t="s">
        <v>7706</v>
      </c>
      <c r="AA190" s="8" t="str">
        <v/>
      </c>
      <c r="AB190" s="8" t="str">
        <v/>
      </c>
      <c r="AC190" s="8" t="str">
        <v/>
      </c>
      <c r="AD190" s="8" t="str">
        <v/>
      </c>
      <c r="AE190" s="8" t="str">
        <v/>
      </c>
      <c r="AF190" s="8" t="str">
        <v/>
      </c>
      <c r="AG190" s="8" t="str">
        <v/>
      </c>
      <c r="AH190" s="8" t="str">
        <v/>
      </c>
      <c r="AI190" s="8" t="n">
        <v>11</v>
      </c>
      <c r="AJ190" s="8" t="str">
        <v>～59</v>
      </c>
      <c r="AK190" s="8" t="str">
        <v>5～9</v>
      </c>
      <c r="AL190" s="8" t="str">
        <v>10～19</v>
      </c>
      <c r="AM190" s="8" t="str">
        <v>～99</v>
      </c>
      <c r="AN190" s="8" t="str">
        <v>12～14</v>
      </c>
      <c r="AO190" s="8" t="str">
        <f aca="false">IF(A190="","",IF(COUNTIFS(全馬データ!$A$2:$A$50000,A190,全馬データ!$B$2:$B$50000,B190,全馬データ!$C$2:$C$50000,C190,全馬データ!$D$2:$D$50000,E190,全馬データ!$K$2:$K$50000,"&lt;&gt;")=0,"",SUMIFS(全馬データ!$K$2:$K$50000,全馬データ!$A$2:$A$50000,A190,全馬データ!$B$2:$B$50000,B190,全馬データ!$C$2:$C$50000,C190,全馬データ!$D$2:$D$50000,E190)))</f>
        <v/>
      </c>
      <c r="AP190" s="8" t="str">
        <f aca="false">IF(A190="","",IF(AO190="","欠損",IF(AO190&lt;=1.1,"1.0～1.1",IF(AO190&lt;1.3,"1.2",IF(AO190&lt;1.5,"1.3～1.4",IF(AO190&lt;2,"1.5～1.9","2.0以上"))))))</f>
        <v>欠損</v>
      </c>
      <c r="AQ190" s="8" t="str">
        <f aca="false">IF(A190="","",IF(ISNUMBER(SEARCH("2歳",Z190)),"2歳戦",IF(ISNUMBER(SEARCH("3歳未勝利",Z190)),"3歳未勝利",IF(ISNUMBER(SEARCH("未勝利",Z190)),"その他未勝利",IF(ISNUMBER(SEARCH("G1",Z190)),"G1",IF(ISNUMBER(SEARCH("G2",Z190)),"G2",IF(ISNUMBER(SEARCH("G3",Z190)),"G3",IF(ISNUMBER(SEARCH("古馬条件",Z190)),"古馬条件戦",IF(ISNUMBER(SEARCH("重賞",Z190)),"重賞","分類不能")))))))))</f>
        <v>分類不能</v>
      </c>
      <c r="AR190" s="4" t="s">
        <v>7716</v>
      </c>
      <c r="AS190" s="8" t="s">
        <v>7626</v>
      </c>
      <c r="AT190" s="8" t="s">
        <v>7627</v>
      </c>
      <c r="AU190" s="8" t="s">
        <v>7628</v>
      </c>
      <c r="AV190" s="8" t="s">
        <v>7629</v>
      </c>
      <c r="AW190" s="8" t="s">
        <v>7636</v>
      </c>
      <c r="AX190" s="4" t="s">
        <v>7637</v>
      </c>
      <c r="AY190" s="8" t="s">
        <v>7602</v>
      </c>
      <c r="AZ190" s="4" t="s">
        <v>7603</v>
      </c>
      <c r="BA190" s="8" t="n">
        <v>1800</v>
      </c>
      <c r="BB190" s="8" t="s">
        <v>7659</v>
      </c>
      <c r="BC190" s="4" t="s">
        <v>7619</v>
      </c>
      <c r="BD190" s="8" t="s">
        <v>7621</v>
      </c>
      <c r="BE190" s="4" t="s">
        <v>7622</v>
      </c>
      <c r="BF190" s="8" t="s">
        <v>7602</v>
      </c>
      <c r="BG190" s="8" t="s">
        <v>7631</v>
      </c>
      <c r="BH190" s="4" t="s">
        <v>7632</v>
      </c>
      <c r="BI190" s="8" t="n">
        <v>14</v>
      </c>
      <c r="BJ190" s="8" t="s">
        <v>7602</v>
      </c>
      <c r="BK190" s="4" t="s">
        <v>7653</v>
      </c>
      <c r="BL190" s="8" t="s">
        <v>7602</v>
      </c>
      <c r="BM190" s="4" t="s">
        <v>7620</v>
      </c>
      <c r="BN190" s="8" t="s">
        <v>7631</v>
      </c>
      <c r="BO190" s="8" t="s">
        <v>7680</v>
      </c>
      <c r="BP190" s="8" t="s">
        <v>7602</v>
      </c>
      <c r="BQ190" s="8" t="str">
        <f aca="false">IF(A190="","",AT190)</f>
        <v>3歳以上</v>
      </c>
      <c r="BR190" s="8" t="str">
        <f aca="false">IF(A190="","",IF(BA190&lt;=1200,"～1200",IF(BA190&lt;=1500,"1300～1500",IF(BA190=1600,"1600",IF(BA190&lt;=1800,"1700～1800",IF(BA190&lt;=2000,"1900～2000","2100以上"))))))</f>
        <v>1700～1800</v>
      </c>
      <c r="BS190" s="8" t="str">
        <f aca="false">IF(A190="","",IF(AX190="G1","G1",IF(AX190="G2","G2",IF(AX190="G3","G3",IF(AX190="L","L","その他")))))</f>
        <v>その他</v>
      </c>
      <c r="BT190" s="8" t="str">
        <f aca="false">IF(A190="","",IF(BI190="","未結合",IF(D190=BI190,"一致","不一致")))</f>
        <v>一致</v>
      </c>
      <c r="BU190" s="8" t="str">
        <f aca="false">IF(A190="","",IF(BE190="牝馬限定","牝馬限定","その他"))</f>
        <v>牝馬限定</v>
      </c>
    </row>
    <row r="191" customFormat="false" ht="15.75" hidden="false" customHeight="false" outlineLevel="0" collapsed="false">
      <c r="A191" s="6" t="n">
        <v>46215</v>
      </c>
      <c r="B191" s="4" t="s">
        <v>915</v>
      </c>
      <c r="C191" s="8" t="n">
        <v>10</v>
      </c>
      <c r="D191" s="8" t="n">
        <v>11</v>
      </c>
      <c r="E191" s="8" t="n">
        <v>11</v>
      </c>
      <c r="F191" s="4" t="s">
        <v>2399</v>
      </c>
      <c r="G191" s="8" t="n">
        <v>66</v>
      </c>
      <c r="H191" s="8" t="n">
        <v>2</v>
      </c>
      <c r="I191" s="4" t="s">
        <v>2390</v>
      </c>
      <c r="J191" s="8" t="n">
        <v>47</v>
      </c>
      <c r="K191" s="8" t="n">
        <v>9</v>
      </c>
      <c r="L191" s="4" t="s">
        <v>2397</v>
      </c>
      <c r="M191" s="8" t="n">
        <v>37</v>
      </c>
      <c r="N191" s="8" t="n">
        <v>19</v>
      </c>
      <c r="O191" s="8" t="n">
        <v>10</v>
      </c>
      <c r="P191" s="8" t="n">
        <v>113</v>
      </c>
      <c r="Q191" s="8" t="str">
        <f aca="false">IF(A191="","",IF(AND(Y191&lt;&gt;"参考",G191&gt;=ルール設定!$B$2),"○",""))</f>
        <v/>
      </c>
      <c r="R191" s="8" t="str">
        <f aca="false">IF(A191="","",IF(AND(Y191&lt;&gt;"参考",G191&gt;=ルール設定!$B$3,N191&gt;=ルール設定!$B$4),"○",""))</f>
        <v/>
      </c>
      <c r="S191" s="8" t="str">
        <f aca="false">IF(A191="","",IF(AND(Y191&lt;&gt;"参考",G191&gt;=ルール設定!$B$5,J191&gt;=ルール設定!$B$6,O191&gt;=ルール設定!$B$7),"○",""))</f>
        <v/>
      </c>
      <c r="T191" s="8" t="n">
        <v>1</v>
      </c>
      <c r="U191" s="8" t="n">
        <v>4</v>
      </c>
      <c r="V191" s="8" t="str">
        <f aca="false">IF(A191="","",IF(AND(ISNUMBER(T191),ISNUMBER(U191)),IF(AND(T191&lt;=3,U191&lt;=3),"○","×"),""))</f>
        <v>×</v>
      </c>
      <c r="W191" s="8" t="n">
        <v>140</v>
      </c>
      <c r="X191" s="8"/>
      <c r="Y191" s="4" t="s">
        <v>7597</v>
      </c>
      <c r="Z191" s="4" t="s">
        <v>7706</v>
      </c>
      <c r="AA191" s="8" t="str">
        <v/>
      </c>
      <c r="AB191" s="8" t="str">
        <v/>
      </c>
      <c r="AC191" s="8" t="str">
        <v/>
      </c>
      <c r="AD191" s="8" t="str">
        <v/>
      </c>
      <c r="AE191" s="8" t="str">
        <v/>
      </c>
      <c r="AF191" s="8" t="str">
        <v/>
      </c>
      <c r="AG191" s="8" t="str">
        <v/>
      </c>
      <c r="AH191" s="8" t="str">
        <v/>
      </c>
      <c r="AI191" s="8" t="n">
        <v>29</v>
      </c>
      <c r="AJ191" s="8" t="str">
        <v>60～69</v>
      </c>
      <c r="AK191" s="8" t="str">
        <v>10～19</v>
      </c>
      <c r="AL191" s="8" t="str">
        <v>20～29</v>
      </c>
      <c r="AM191" s="8" t="str">
        <v>100～119</v>
      </c>
      <c r="AN191" s="8" t="str">
        <v>8～11</v>
      </c>
      <c r="AO191" s="8" t="str">
        <f aca="false">IF(A191="","",IF(COUNTIFS(全馬データ!$A$2:$A$50000,A191,全馬データ!$B$2:$B$50000,B191,全馬データ!$C$2:$C$50000,C191,全馬データ!$D$2:$D$50000,E191,全馬データ!$K$2:$K$50000,"&lt;&gt;")=0,"",SUMIFS(全馬データ!$K$2:$K$50000,全馬データ!$A$2:$A$50000,A191,全馬データ!$B$2:$B$50000,B191,全馬データ!$C$2:$C$50000,C191,全馬データ!$D$2:$D$50000,E191)))</f>
        <v/>
      </c>
      <c r="AP191" s="8" t="str">
        <f aca="false">IF(A191="","",IF(AO191="","欠損",IF(AO191&lt;=1.1,"1.0～1.1",IF(AO191&lt;1.3,"1.2",IF(AO191&lt;1.5,"1.3～1.4",IF(AO191&lt;2,"1.5～1.9","2.0以上"))))))</f>
        <v>欠損</v>
      </c>
      <c r="AQ191" s="8" t="str">
        <f aca="false">IF(A191="","",IF(ISNUMBER(SEARCH("2歳",Z191)),"2歳戦",IF(ISNUMBER(SEARCH("3歳未勝利",Z191)),"3歳未勝利",IF(ISNUMBER(SEARCH("未勝利",Z191)),"その他未勝利",IF(ISNUMBER(SEARCH("G1",Z191)),"G1",IF(ISNUMBER(SEARCH("G2",Z191)),"G2",IF(ISNUMBER(SEARCH("G3",Z191)),"G3",IF(ISNUMBER(SEARCH("古馬条件",Z191)),"古馬条件戦",IF(ISNUMBER(SEARCH("重賞",Z191)),"重賞","分類不能")))))))))</f>
        <v>分類不能</v>
      </c>
      <c r="AR191" s="4" t="s">
        <v>7717</v>
      </c>
      <c r="AS191" s="8" t="s">
        <v>7626</v>
      </c>
      <c r="AT191" s="8" t="s">
        <v>7627</v>
      </c>
      <c r="AU191" s="8" t="s">
        <v>7639</v>
      </c>
      <c r="AV191" s="8" t="s">
        <v>7640</v>
      </c>
      <c r="AW191" s="8" t="s">
        <v>7636</v>
      </c>
      <c r="AX191" s="4" t="s">
        <v>7637</v>
      </c>
      <c r="AY191" s="8" t="s">
        <v>7610</v>
      </c>
      <c r="AZ191" s="4" t="s">
        <v>7617</v>
      </c>
      <c r="BA191" s="8" t="n">
        <v>1700</v>
      </c>
      <c r="BB191" s="8" t="s">
        <v>7659</v>
      </c>
      <c r="BC191" s="4" t="s">
        <v>7619</v>
      </c>
      <c r="BD191" s="8" t="s">
        <v>7630</v>
      </c>
      <c r="BE191" s="4" t="s">
        <v>7606</v>
      </c>
      <c r="BF191" s="8" t="s">
        <v>7607</v>
      </c>
      <c r="BG191" s="8" t="s">
        <v>7631</v>
      </c>
      <c r="BH191" s="4" t="s">
        <v>7632</v>
      </c>
      <c r="BI191" s="8" t="n">
        <v>11</v>
      </c>
      <c r="BJ191" s="8" t="s">
        <v>7602</v>
      </c>
      <c r="BK191" s="4" t="s">
        <v>7653</v>
      </c>
      <c r="BL191" s="8" t="s">
        <v>7602</v>
      </c>
      <c r="BM191" s="4" t="s">
        <v>7620</v>
      </c>
      <c r="BN191" s="8"/>
      <c r="BO191" s="8"/>
      <c r="BP191" s="8" t="s">
        <v>7602</v>
      </c>
      <c r="BQ191" s="8" t="str">
        <f aca="false">IF(A191="","",AT191)</f>
        <v>3歳以上</v>
      </c>
      <c r="BR191" s="8" t="str">
        <f aca="false">IF(A191="","",IF(BA191&lt;=1200,"～1200",IF(BA191&lt;=1500,"1300～1500",IF(BA191=1600,"1600",IF(BA191&lt;=1800,"1700～1800",IF(BA191&lt;=2000,"1900～2000","2100以上"))))))</f>
        <v>1700～1800</v>
      </c>
      <c r="BS191" s="8" t="str">
        <f aca="false">IF(A191="","",IF(AX191="G1","G1",IF(AX191="G2","G2",IF(AX191="G3","G3",IF(AX191="L","L","その他")))))</f>
        <v>その他</v>
      </c>
      <c r="BT191" s="8" t="str">
        <f aca="false">IF(A191="","",IF(BI191="","未結合",IF(D191=BI191,"一致","不一致")))</f>
        <v>一致</v>
      </c>
      <c r="BU191" s="8" t="str">
        <f aca="false">IF(A191="","",IF(BE191="牝馬限定","牝馬限定","その他"))</f>
        <v>その他</v>
      </c>
    </row>
    <row r="192" customFormat="false" ht="15.75" hidden="false" customHeight="false" outlineLevel="0" collapsed="false">
      <c r="A192" s="6" t="n">
        <v>46215</v>
      </c>
      <c r="B192" s="4" t="s">
        <v>915</v>
      </c>
      <c r="C192" s="8" t="n">
        <v>11</v>
      </c>
      <c r="D192" s="8" t="n">
        <v>16</v>
      </c>
      <c r="E192" s="8" t="n">
        <v>13</v>
      </c>
      <c r="F192" s="4" t="s">
        <v>2412</v>
      </c>
      <c r="G192" s="8" t="n">
        <v>62</v>
      </c>
      <c r="H192" s="8" t="n">
        <v>16</v>
      </c>
      <c r="I192" s="4" t="s">
        <v>2415</v>
      </c>
      <c r="J192" s="8" t="n">
        <v>29</v>
      </c>
      <c r="K192" s="8" t="n">
        <v>11</v>
      </c>
      <c r="L192" s="4" t="s">
        <v>2410</v>
      </c>
      <c r="M192" s="8" t="n">
        <v>25</v>
      </c>
      <c r="N192" s="8" t="n">
        <v>33</v>
      </c>
      <c r="O192" s="8" t="n">
        <v>4</v>
      </c>
      <c r="P192" s="8" t="n">
        <v>91</v>
      </c>
      <c r="Q192" s="8" t="str">
        <f aca="false">IF(A192="","",IF(AND(Y192&lt;&gt;"参考",G192&gt;=ルール設定!$B$2),"○",""))</f>
        <v/>
      </c>
      <c r="R192" s="8" t="str">
        <f aca="false">IF(A192="","",IF(AND(Y192&lt;&gt;"参考",G192&gt;=ルール設定!$B$3,N192&gt;=ルール設定!$B$4),"○",""))</f>
        <v/>
      </c>
      <c r="S192" s="8" t="str">
        <f aca="false">IF(A192="","",IF(AND(Y192&lt;&gt;"参考",G192&gt;=ルール設定!$B$5,J192&gt;=ルール設定!$B$6,O192&gt;=ルール設定!$B$7),"○",""))</f>
        <v/>
      </c>
      <c r="T192" s="8" t="n">
        <v>4</v>
      </c>
      <c r="U192" s="8" t="n">
        <v>4</v>
      </c>
      <c r="V192" s="8" t="str">
        <f aca="false">IF(A192="","",IF(AND(ISNUMBER(T192),ISNUMBER(U192)),IF(AND(T192&lt;=3,U192&lt;=3),"○","×"),""))</f>
        <v>×</v>
      </c>
      <c r="W192" s="8"/>
      <c r="X192" s="8"/>
      <c r="Y192" s="4" t="s">
        <v>7597</v>
      </c>
      <c r="Z192" s="4" t="s">
        <v>7706</v>
      </c>
      <c r="AA192" s="8" t="str">
        <v/>
      </c>
      <c r="AB192" s="8" t="str">
        <v/>
      </c>
      <c r="AC192" s="8" t="str">
        <v/>
      </c>
      <c r="AD192" s="8" t="str">
        <v/>
      </c>
      <c r="AE192" s="8" t="str">
        <v/>
      </c>
      <c r="AF192" s="8" t="str">
        <v/>
      </c>
      <c r="AG192" s="8" t="str">
        <v/>
      </c>
      <c r="AH192" s="8" t="str">
        <v/>
      </c>
      <c r="AI192" s="8" t="n">
        <v>37</v>
      </c>
      <c r="AJ192" s="8" t="str">
        <v>60～69</v>
      </c>
      <c r="AK192" s="8" t="str">
        <v>30以上</v>
      </c>
      <c r="AL192" s="8" t="str">
        <v>30～39</v>
      </c>
      <c r="AM192" s="8" t="str">
        <v>～99</v>
      </c>
      <c r="AN192" s="8" t="str">
        <v>15以上</v>
      </c>
      <c r="AO192" s="8" t="str">
        <f aca="false">IF(A192="","",IF(COUNTIFS(全馬データ!$A$2:$A$50000,A192,全馬データ!$B$2:$B$50000,B192,全馬データ!$C$2:$C$50000,C192,全馬データ!$D$2:$D$50000,E192,全馬データ!$K$2:$K$50000,"&lt;&gt;")=0,"",SUMIFS(全馬データ!$K$2:$K$50000,全馬データ!$A$2:$A$50000,A192,全馬データ!$B$2:$B$50000,B192,全馬データ!$C$2:$C$50000,C192,全馬データ!$D$2:$D$50000,E192)))</f>
        <v/>
      </c>
      <c r="AP192" s="8" t="str">
        <f aca="false">IF(A192="","",IF(AO192="","欠損",IF(AO192&lt;=1.1,"1.0～1.1",IF(AO192&lt;1.3,"1.2",IF(AO192&lt;1.5,"1.3～1.4",IF(AO192&lt;2,"1.5～1.9","2.0以上"))))))</f>
        <v>欠損</v>
      </c>
      <c r="AQ192" s="8" t="str">
        <f aca="false">IF(A192="","",IF(ISNUMBER(SEARCH("2歳",Z192)),"2歳戦",IF(ISNUMBER(SEARCH("3歳未勝利",Z192)),"3歳未勝利",IF(ISNUMBER(SEARCH("未勝利",Z192)),"その他未勝利",IF(ISNUMBER(SEARCH("G1",Z192)),"G1",IF(ISNUMBER(SEARCH("G2",Z192)),"G2",IF(ISNUMBER(SEARCH("G3",Z192)),"G3",IF(ISNUMBER(SEARCH("古馬条件",Z192)),"古馬条件戦",IF(ISNUMBER(SEARCH("重賞",Z192)),"重賞","分類不能")))))))))</f>
        <v>分類不能</v>
      </c>
      <c r="AR192" s="4" t="s">
        <v>7718</v>
      </c>
      <c r="AS192" s="8" t="s">
        <v>7626</v>
      </c>
      <c r="AT192" s="8" t="s">
        <v>7627</v>
      </c>
      <c r="AU192" s="8" t="s">
        <v>7643</v>
      </c>
      <c r="AV192" s="4" t="s">
        <v>7644</v>
      </c>
      <c r="AW192" s="8" t="s">
        <v>7608</v>
      </c>
      <c r="AX192" s="8" t="s">
        <v>7664</v>
      </c>
      <c r="AY192" s="8" t="s">
        <v>7602</v>
      </c>
      <c r="AZ192" s="4" t="s">
        <v>7603</v>
      </c>
      <c r="BA192" s="8" t="n">
        <v>2000</v>
      </c>
      <c r="BB192" s="8" t="s">
        <v>7659</v>
      </c>
      <c r="BC192" s="4" t="s">
        <v>7619</v>
      </c>
      <c r="BD192" s="8" t="s">
        <v>7666</v>
      </c>
      <c r="BE192" s="4" t="s">
        <v>7606</v>
      </c>
      <c r="BF192" s="8" t="s">
        <v>7607</v>
      </c>
      <c r="BG192" s="8" t="s">
        <v>7602</v>
      </c>
      <c r="BH192" s="4" t="s">
        <v>7667</v>
      </c>
      <c r="BI192" s="8" t="n">
        <v>16</v>
      </c>
      <c r="BJ192" s="8" t="s">
        <v>7602</v>
      </c>
      <c r="BK192" s="4" t="s">
        <v>7653</v>
      </c>
      <c r="BL192" s="8" t="s">
        <v>7602</v>
      </c>
      <c r="BM192" s="4" t="s">
        <v>7620</v>
      </c>
      <c r="BN192" s="8" t="s">
        <v>7631</v>
      </c>
      <c r="BO192" s="8" t="s">
        <v>7680</v>
      </c>
      <c r="BP192" s="8" t="s">
        <v>7602</v>
      </c>
      <c r="BQ192" s="8" t="str">
        <f aca="false">IF(A192="","",AT192)</f>
        <v>3歳以上</v>
      </c>
      <c r="BR192" s="8" t="str">
        <f aca="false">IF(A192="","",IF(BA192&lt;=1200,"～1200",IF(BA192&lt;=1500,"1300～1500",IF(BA192=1600,"1600",IF(BA192&lt;=1800,"1700～1800",IF(BA192&lt;=2000,"1900～2000","2100以上"))))))</f>
        <v>1900～2000</v>
      </c>
      <c r="BS192" s="8" t="str">
        <f aca="false">IF(A192="","",IF(AX192="G1","G1",IF(AX192="G2","G2",IF(AX192="G3","G3",IF(AX192="L","L","その他")))))</f>
        <v>G3</v>
      </c>
      <c r="BT192" s="8" t="str">
        <f aca="false">IF(A192="","",IF(BI192="","未結合",IF(D192=BI192,"一致","不一致")))</f>
        <v>一致</v>
      </c>
      <c r="BU192" s="8" t="str">
        <f aca="false">IF(A192="","",IF(BE192="牝馬限定","牝馬限定","その他"))</f>
        <v>その他</v>
      </c>
    </row>
    <row r="193" customFormat="false" ht="15.75" hidden="false" customHeight="false" outlineLevel="0" collapsed="false">
      <c r="A193" s="6" t="n">
        <v>46215</v>
      </c>
      <c r="B193" s="4" t="s">
        <v>915</v>
      </c>
      <c r="C193" s="8" t="n">
        <v>12</v>
      </c>
      <c r="D193" s="8" t="n">
        <v>16</v>
      </c>
      <c r="E193" s="8" t="n">
        <v>8</v>
      </c>
      <c r="F193" s="4" t="s">
        <v>2423</v>
      </c>
      <c r="G193" s="8" t="n">
        <v>60</v>
      </c>
      <c r="H193" s="8" t="n">
        <v>1</v>
      </c>
      <c r="I193" s="4" t="s">
        <v>2416</v>
      </c>
      <c r="J193" s="8" t="n">
        <v>47</v>
      </c>
      <c r="K193" s="8" t="n">
        <v>13</v>
      </c>
      <c r="L193" s="4" t="s">
        <v>2428</v>
      </c>
      <c r="M193" s="8" t="n">
        <v>34</v>
      </c>
      <c r="N193" s="8" t="n">
        <v>13</v>
      </c>
      <c r="O193" s="8" t="n">
        <v>13</v>
      </c>
      <c r="P193" s="8" t="n">
        <v>107</v>
      </c>
      <c r="Q193" s="8" t="str">
        <f aca="false">IF(A193="","",IF(AND(Y193&lt;&gt;"参考",G193&gt;=ルール設定!$B$2),"○",""))</f>
        <v/>
      </c>
      <c r="R193" s="8" t="str">
        <f aca="false">IF(A193="","",IF(AND(Y193&lt;&gt;"参考",G193&gt;=ルール設定!$B$3,N193&gt;=ルール設定!$B$4),"○",""))</f>
        <v/>
      </c>
      <c r="S193" s="8" t="str">
        <f aca="false">IF(A193="","",IF(AND(Y193&lt;&gt;"参考",G193&gt;=ルール設定!$B$5,J193&gt;=ルール設定!$B$6,O193&gt;=ルール設定!$B$7),"○",""))</f>
        <v/>
      </c>
      <c r="T193" s="8" t="n">
        <v>4</v>
      </c>
      <c r="U193" s="8" t="n">
        <v>2</v>
      </c>
      <c r="V193" s="8" t="str">
        <f aca="false">IF(A193="","",IF(AND(ISNUMBER(T193),ISNUMBER(U193)),IF(AND(T193&lt;=3,U193&lt;=3),"○","×"),""))</f>
        <v>×</v>
      </c>
      <c r="W193" s="8"/>
      <c r="X193" s="8"/>
      <c r="Y193" s="4" t="s">
        <v>7597</v>
      </c>
      <c r="Z193" s="4" t="s">
        <v>7706</v>
      </c>
      <c r="AA193" s="8" t="str">
        <v/>
      </c>
      <c r="AB193" s="8" t="str">
        <v/>
      </c>
      <c r="AC193" s="8" t="str">
        <v/>
      </c>
      <c r="AD193" s="8" t="str">
        <v/>
      </c>
      <c r="AE193" s="8" t="str">
        <v/>
      </c>
      <c r="AF193" s="8" t="str">
        <v/>
      </c>
      <c r="AG193" s="8" t="str">
        <v/>
      </c>
      <c r="AH193" s="8" t="str">
        <v/>
      </c>
      <c r="AI193" s="8" t="n">
        <v>26</v>
      </c>
      <c r="AJ193" s="8" t="str">
        <v>60～69</v>
      </c>
      <c r="AK193" s="8" t="str">
        <v>10～19</v>
      </c>
      <c r="AL193" s="8" t="str">
        <v>20～29</v>
      </c>
      <c r="AM193" s="8" t="str">
        <v>100～119</v>
      </c>
      <c r="AN193" s="8" t="str">
        <v>15以上</v>
      </c>
      <c r="AO193" s="8" t="str">
        <f aca="false">IF(A193="","",IF(COUNTIFS(全馬データ!$A$2:$A$50000,A193,全馬データ!$B$2:$B$50000,B193,全馬データ!$C$2:$C$50000,C193,全馬データ!$D$2:$D$50000,E193,全馬データ!$K$2:$K$50000,"&lt;&gt;")=0,"",SUMIFS(全馬データ!$K$2:$K$50000,全馬データ!$A$2:$A$50000,A193,全馬データ!$B$2:$B$50000,B193,全馬データ!$C$2:$C$50000,C193,全馬データ!$D$2:$D$50000,E193)))</f>
        <v/>
      </c>
      <c r="AP193" s="8" t="str">
        <f aca="false">IF(A193="","",IF(AO193="","欠損",IF(AO193&lt;=1.1,"1.0～1.1",IF(AO193&lt;1.3,"1.2",IF(AO193&lt;1.5,"1.3～1.4",IF(AO193&lt;2,"1.5～1.9","2.0以上"))))))</f>
        <v>欠損</v>
      </c>
      <c r="AQ193" s="8" t="str">
        <f aca="false">IF(A193="","",IF(ISNUMBER(SEARCH("2歳",Z193)),"2歳戦",IF(ISNUMBER(SEARCH("3歳未勝利",Z193)),"3歳未勝利",IF(ISNUMBER(SEARCH("未勝利",Z193)),"その他未勝利",IF(ISNUMBER(SEARCH("G1",Z193)),"G1",IF(ISNUMBER(SEARCH("G2",Z193)),"G2",IF(ISNUMBER(SEARCH("G3",Z193)),"G3",IF(ISNUMBER(SEARCH("古馬条件",Z193)),"古馬条件戦",IF(ISNUMBER(SEARCH("重賞",Z193)),"重賞","分類不能")))))))))</f>
        <v>分類不能</v>
      </c>
      <c r="AR193" s="4" t="s">
        <v>7719</v>
      </c>
      <c r="AS193" s="8" t="s">
        <v>7626</v>
      </c>
      <c r="AT193" s="8" t="s">
        <v>7627</v>
      </c>
      <c r="AU193" s="8" t="s">
        <v>7634</v>
      </c>
      <c r="AV193" s="8" t="s">
        <v>7635</v>
      </c>
      <c r="AW193" s="8" t="s">
        <v>7636</v>
      </c>
      <c r="AX193" s="4" t="s">
        <v>7637</v>
      </c>
      <c r="AY193" s="8" t="s">
        <v>7610</v>
      </c>
      <c r="AZ193" s="4" t="s">
        <v>7617</v>
      </c>
      <c r="BA193" s="8" t="n">
        <v>1150</v>
      </c>
      <c r="BB193" s="8" t="s">
        <v>7659</v>
      </c>
      <c r="BC193" s="4" t="s">
        <v>7619</v>
      </c>
      <c r="BD193" s="8" t="s">
        <v>7605</v>
      </c>
      <c r="BE193" s="4" t="s">
        <v>7606</v>
      </c>
      <c r="BF193" s="8" t="s">
        <v>7607</v>
      </c>
      <c r="BG193" s="8" t="s">
        <v>7631</v>
      </c>
      <c r="BH193" s="4" t="s">
        <v>7632</v>
      </c>
      <c r="BI193" s="8" t="n">
        <v>16</v>
      </c>
      <c r="BJ193" s="8" t="s">
        <v>7602</v>
      </c>
      <c r="BK193" s="4" t="s">
        <v>7653</v>
      </c>
      <c r="BL193" s="8" t="s">
        <v>7602</v>
      </c>
      <c r="BM193" s="4" t="s">
        <v>7620</v>
      </c>
      <c r="BN193" s="8"/>
      <c r="BO193" s="8"/>
      <c r="BP193" s="8" t="s">
        <v>7602</v>
      </c>
      <c r="BQ193" s="8" t="str">
        <f aca="false">IF(A193="","",AT193)</f>
        <v>3歳以上</v>
      </c>
      <c r="BR193" s="8" t="str">
        <f aca="false">IF(A193="","",IF(BA193&lt;=1200,"～1200",IF(BA193&lt;=1500,"1300～1500",IF(BA193=1600,"1600",IF(BA193&lt;=1800,"1700～1800",IF(BA193&lt;=2000,"1900～2000","2100以上"))))))</f>
        <v>～1200</v>
      </c>
      <c r="BS193" s="8" t="str">
        <f aca="false">IF(A193="","",IF(AX193="G1","G1",IF(AX193="G2","G2",IF(AX193="G3","G3",IF(AX193="L","L","その他")))))</f>
        <v>その他</v>
      </c>
      <c r="BT193" s="8" t="str">
        <f aca="false">IF(A193="","",IF(BI193="","未結合",IF(D193=BI193,"一致","不一致")))</f>
        <v>一致</v>
      </c>
      <c r="BU193" s="8" t="str">
        <f aca="false">IF(A193="","",IF(BE193="牝馬限定","牝馬限定","その他"))</f>
        <v>その他</v>
      </c>
    </row>
    <row r="194" customFormat="false" ht="15.75" hidden="false" customHeight="false" outlineLevel="0" collapsed="false">
      <c r="A194" s="6" t="n">
        <v>46215</v>
      </c>
      <c r="B194" s="4" t="s">
        <v>1091</v>
      </c>
      <c r="C194" s="8" t="n">
        <v>1</v>
      </c>
      <c r="D194" s="8" t="n">
        <v>17</v>
      </c>
      <c r="E194" s="8" t="n">
        <v>10</v>
      </c>
      <c r="F194" s="4" t="s">
        <v>2437</v>
      </c>
      <c r="G194" s="8" t="n">
        <v>67</v>
      </c>
      <c r="H194" s="8" t="n">
        <v>15</v>
      </c>
      <c r="I194" s="4" t="s">
        <v>771</v>
      </c>
      <c r="J194" s="8" t="n">
        <v>47</v>
      </c>
      <c r="K194" s="8" t="n">
        <v>16</v>
      </c>
      <c r="L194" s="4" t="s">
        <v>2441</v>
      </c>
      <c r="M194" s="8" t="n">
        <v>37</v>
      </c>
      <c r="N194" s="8" t="n">
        <v>20</v>
      </c>
      <c r="O194" s="8" t="n">
        <v>10</v>
      </c>
      <c r="P194" s="8" t="n">
        <v>114</v>
      </c>
      <c r="Q194" s="8" t="str">
        <f aca="false">IF(A194="","",IF(AND(Y194&lt;&gt;"参考",G194&gt;=ルール設定!$B$2),"○",""))</f>
        <v/>
      </c>
      <c r="R194" s="8" t="str">
        <f aca="false">IF(A194="","",IF(AND(Y194&lt;&gt;"参考",G194&gt;=ルール設定!$B$3,N194&gt;=ルール設定!$B$4),"○",""))</f>
        <v/>
      </c>
      <c r="S194" s="8" t="str">
        <f aca="false">IF(A194="","",IF(AND(Y194&lt;&gt;"参考",G194&gt;=ルール設定!$B$5,J194&gt;=ルール設定!$B$6,O194&gt;=ルール設定!$B$7),"○",""))</f>
        <v/>
      </c>
      <c r="T194" s="8" t="n">
        <v>1</v>
      </c>
      <c r="U194" s="8" t="n">
        <v>4</v>
      </c>
      <c r="V194" s="8" t="str">
        <f aca="false">IF(A194="","",IF(AND(ISNUMBER(T194),ISNUMBER(U194)),IF(AND(T194&lt;=3,U194&lt;=3),"○","×"),""))</f>
        <v>×</v>
      </c>
      <c r="W194" s="8" t="n">
        <v>180</v>
      </c>
      <c r="X194" s="8"/>
      <c r="Y194" s="4" t="s">
        <v>7597</v>
      </c>
      <c r="Z194" s="4" t="s">
        <v>7706</v>
      </c>
      <c r="AA194" s="8" t="str">
        <v/>
      </c>
      <c r="AB194" s="8" t="str">
        <v/>
      </c>
      <c r="AC194" s="8" t="str">
        <v/>
      </c>
      <c r="AD194" s="8" t="str">
        <v/>
      </c>
      <c r="AE194" s="8" t="str">
        <v/>
      </c>
      <c r="AF194" s="8" t="str">
        <v/>
      </c>
      <c r="AG194" s="8" t="str">
        <v/>
      </c>
      <c r="AH194" s="8" t="str">
        <v/>
      </c>
      <c r="AI194" s="8" t="n">
        <v>30</v>
      </c>
      <c r="AJ194" s="8" t="str">
        <v>60～69</v>
      </c>
      <c r="AK194" s="8" t="str">
        <v>20～29</v>
      </c>
      <c r="AL194" s="8" t="str">
        <v>30～39</v>
      </c>
      <c r="AM194" s="8" t="str">
        <v>100～119</v>
      </c>
      <c r="AN194" s="8" t="str">
        <v>15以上</v>
      </c>
      <c r="AO194" s="8" t="str">
        <f aca="false">IF(A194="","",IF(COUNTIFS(全馬データ!$A$2:$A$50000,A194,全馬データ!$B$2:$B$50000,B194,全馬データ!$C$2:$C$50000,C194,全馬データ!$D$2:$D$50000,E194,全馬データ!$K$2:$K$50000,"&lt;&gt;")=0,"",SUMIFS(全馬データ!$K$2:$K$50000,全馬データ!$A$2:$A$50000,A194,全馬データ!$B$2:$B$50000,B194,全馬データ!$C$2:$C$50000,C194,全馬データ!$D$2:$D$50000,E194)))</f>
        <v/>
      </c>
      <c r="AP194" s="8" t="str">
        <f aca="false">IF(A194="","",IF(AO194="","欠損",IF(AO194&lt;=1.1,"1.0～1.1",IF(AO194&lt;1.3,"1.2",IF(AO194&lt;1.5,"1.3～1.4",IF(AO194&lt;2,"1.5～1.9","2.0以上"))))))</f>
        <v>欠損</v>
      </c>
      <c r="AQ194" s="8" t="str">
        <f aca="false">IF(A194="","",IF(ISNUMBER(SEARCH("2歳",Z194)),"2歳戦",IF(ISNUMBER(SEARCH("3歳未勝利",Z194)),"3歳未勝利",IF(ISNUMBER(SEARCH("未勝利",Z194)),"その他未勝利",IF(ISNUMBER(SEARCH("G1",Z194)),"G1",IF(ISNUMBER(SEARCH("G2",Z194)),"G2",IF(ISNUMBER(SEARCH("G3",Z194)),"G3",IF(ISNUMBER(SEARCH("古馬条件",Z194)),"古馬条件戦",IF(ISNUMBER(SEARCH("重賞",Z194)),"重賞","分類不能")))))))))</f>
        <v>分類不能</v>
      </c>
      <c r="AR194" s="8"/>
      <c r="AS194" s="8" t="s">
        <v>7623</v>
      </c>
      <c r="AT194" s="8" t="s">
        <v>7624</v>
      </c>
      <c r="AU194" s="8" t="s">
        <v>7600</v>
      </c>
      <c r="AV194" s="4" t="s">
        <v>7601</v>
      </c>
      <c r="AW194" s="8"/>
      <c r="AX194" s="8"/>
      <c r="AY194" s="8" t="s">
        <v>7602</v>
      </c>
      <c r="AZ194" s="4" t="s">
        <v>7603</v>
      </c>
      <c r="BA194" s="8" t="n">
        <v>1200</v>
      </c>
      <c r="BB194" s="8" t="s">
        <v>7598</v>
      </c>
      <c r="BC194" s="4" t="s">
        <v>7604</v>
      </c>
      <c r="BD194" s="8" t="s">
        <v>7621</v>
      </c>
      <c r="BE194" s="4" t="s">
        <v>7622</v>
      </c>
      <c r="BF194" s="8" t="s">
        <v>7602</v>
      </c>
      <c r="BG194" s="8" t="s">
        <v>7608</v>
      </c>
      <c r="BH194" s="4" t="s">
        <v>7609</v>
      </c>
      <c r="BI194" s="8" t="n">
        <v>17</v>
      </c>
      <c r="BJ194" s="8" t="s">
        <v>7602</v>
      </c>
      <c r="BK194" s="4" t="s">
        <v>7653</v>
      </c>
      <c r="BL194" s="8" t="s">
        <v>7602</v>
      </c>
      <c r="BM194" s="4" t="s">
        <v>7620</v>
      </c>
      <c r="BN194" s="8" t="s">
        <v>7602</v>
      </c>
      <c r="BO194" s="8" t="s">
        <v>7613</v>
      </c>
      <c r="BP194" s="8" t="s">
        <v>7610</v>
      </c>
      <c r="BQ194" s="8" t="str">
        <f aca="false">IF(A194="","",AT194)</f>
        <v>3歳</v>
      </c>
      <c r="BR194" s="8" t="str">
        <f aca="false">IF(A194="","",IF(BA194&lt;=1200,"～1200",IF(BA194&lt;=1500,"1300～1500",IF(BA194=1600,"1600",IF(BA194&lt;=1800,"1700～1800",IF(BA194&lt;=2000,"1900～2000","2100以上"))))))</f>
        <v>～1200</v>
      </c>
      <c r="BS194" s="8" t="str">
        <f aca="false">IF(A194="","",IF(AX194="G1","G1",IF(AX194="G2","G2",IF(AX194="G3","G3",IF(AX194="L","L","その他")))))</f>
        <v>その他</v>
      </c>
      <c r="BT194" s="8" t="str">
        <f aca="false">IF(A194="","",IF(BI194="","未結合",IF(D194=BI194,"一致","不一致")))</f>
        <v>一致</v>
      </c>
      <c r="BU194" s="8" t="str">
        <f aca="false">IF(A194="","",IF(BE194="牝馬限定","牝馬限定","その他"))</f>
        <v>牝馬限定</v>
      </c>
    </row>
    <row r="195" customFormat="false" ht="15.75" hidden="false" customHeight="false" outlineLevel="0" collapsed="false">
      <c r="A195" s="6" t="n">
        <v>46215</v>
      </c>
      <c r="B195" s="4" t="s">
        <v>1091</v>
      </c>
      <c r="C195" s="8" t="n">
        <v>2</v>
      </c>
      <c r="D195" s="8" t="n">
        <v>14</v>
      </c>
      <c r="E195" s="8" t="n">
        <v>3</v>
      </c>
      <c r="F195" s="4" t="s">
        <v>2445</v>
      </c>
      <c r="G195" s="8" t="n">
        <v>58</v>
      </c>
      <c r="H195" s="8" t="n">
        <v>9</v>
      </c>
      <c r="I195" s="4" t="s">
        <v>2450</v>
      </c>
      <c r="J195" s="8" t="n">
        <v>56</v>
      </c>
      <c r="K195" s="8" t="n">
        <v>6</v>
      </c>
      <c r="L195" s="4" t="s">
        <v>2447</v>
      </c>
      <c r="M195" s="8" t="n">
        <v>41</v>
      </c>
      <c r="N195" s="8" t="n">
        <v>2</v>
      </c>
      <c r="O195" s="8" t="n">
        <v>15</v>
      </c>
      <c r="P195" s="8" t="n">
        <v>114</v>
      </c>
      <c r="Q195" s="8" t="str">
        <f aca="false">IF(A195="","",IF(AND(Y195&lt;&gt;"参考",G195&gt;=ルール設定!$B$2),"○",""))</f>
        <v/>
      </c>
      <c r="R195" s="8" t="str">
        <f aca="false">IF(A195="","",IF(AND(Y195&lt;&gt;"参考",G195&gt;=ルール設定!$B$3,N195&gt;=ルール設定!$B$4),"○",""))</f>
        <v/>
      </c>
      <c r="S195" s="8" t="str">
        <f aca="false">IF(A195="","",IF(AND(Y195&lt;&gt;"参考",G195&gt;=ルール設定!$B$5,J195&gt;=ルール設定!$B$6,O195&gt;=ルール設定!$B$7),"○",""))</f>
        <v/>
      </c>
      <c r="T195" s="8" t="n">
        <v>4</v>
      </c>
      <c r="U195" s="8" t="n">
        <v>1</v>
      </c>
      <c r="V195" s="8" t="str">
        <f aca="false">IF(A195="","",IF(AND(ISNUMBER(T195),ISNUMBER(U195)),IF(AND(T195&lt;=3,U195&lt;=3),"○","×"),""))</f>
        <v>×</v>
      </c>
      <c r="W195" s="8"/>
      <c r="X195" s="8"/>
      <c r="Y195" s="4" t="s">
        <v>7597</v>
      </c>
      <c r="Z195" s="4" t="s">
        <v>7706</v>
      </c>
      <c r="AA195" s="8" t="str">
        <v/>
      </c>
      <c r="AB195" s="8" t="str">
        <v/>
      </c>
      <c r="AC195" s="8" t="str">
        <v/>
      </c>
      <c r="AD195" s="8" t="str">
        <v/>
      </c>
      <c r="AE195" s="8" t="str">
        <v/>
      </c>
      <c r="AF195" s="8" t="str">
        <v/>
      </c>
      <c r="AG195" s="8" t="str">
        <v/>
      </c>
      <c r="AH195" s="8" t="str">
        <v/>
      </c>
      <c r="AI195" s="8" t="n">
        <v>17</v>
      </c>
      <c r="AJ195" s="8" t="str">
        <v>～59</v>
      </c>
      <c r="AK195" s="8" t="str">
        <v>0～4</v>
      </c>
      <c r="AL195" s="8" t="str">
        <v>10～19</v>
      </c>
      <c r="AM195" s="8" t="str">
        <v>100～119</v>
      </c>
      <c r="AN195" s="8" t="str">
        <v>12～14</v>
      </c>
      <c r="AO195" s="8" t="str">
        <f aca="false">IF(A195="","",IF(COUNTIFS(全馬データ!$A$2:$A$50000,A195,全馬データ!$B$2:$B$50000,B195,全馬データ!$C$2:$C$50000,C195,全馬データ!$D$2:$D$50000,E195,全馬データ!$K$2:$K$50000,"&lt;&gt;")=0,"",SUMIFS(全馬データ!$K$2:$K$50000,全馬データ!$A$2:$A$50000,A195,全馬データ!$B$2:$B$50000,B195,全馬データ!$C$2:$C$50000,C195,全馬データ!$D$2:$D$50000,E195)))</f>
        <v/>
      </c>
      <c r="AP195" s="8" t="str">
        <f aca="false">IF(A195="","",IF(AO195="","欠損",IF(AO195&lt;=1.1,"1.0～1.1",IF(AO195&lt;1.3,"1.2",IF(AO195&lt;1.5,"1.3～1.4",IF(AO195&lt;2,"1.5～1.9","2.0以上"))))))</f>
        <v>欠損</v>
      </c>
      <c r="AQ195" s="8" t="str">
        <f aca="false">IF(A195="","",IF(ISNUMBER(SEARCH("2歳",Z195)),"2歳戦",IF(ISNUMBER(SEARCH("3歳未勝利",Z195)),"3歳未勝利",IF(ISNUMBER(SEARCH("未勝利",Z195)),"その他未勝利",IF(ISNUMBER(SEARCH("G1",Z195)),"G1",IF(ISNUMBER(SEARCH("G2",Z195)),"G2",IF(ISNUMBER(SEARCH("G3",Z195)),"G3",IF(ISNUMBER(SEARCH("古馬条件",Z195)),"古馬条件戦",IF(ISNUMBER(SEARCH("重賞",Z195)),"重賞","分類不能")))))))))</f>
        <v>分類不能</v>
      </c>
      <c r="AR195" s="8"/>
      <c r="AS195" s="8" t="s">
        <v>7623</v>
      </c>
      <c r="AT195" s="8" t="s">
        <v>7624</v>
      </c>
      <c r="AU195" s="8" t="s">
        <v>7600</v>
      </c>
      <c r="AV195" s="4" t="s">
        <v>7601</v>
      </c>
      <c r="AW195" s="8"/>
      <c r="AX195" s="8"/>
      <c r="AY195" s="8" t="s">
        <v>7610</v>
      </c>
      <c r="AZ195" s="4" t="s">
        <v>7617</v>
      </c>
      <c r="BA195" s="8" t="n">
        <v>1000</v>
      </c>
      <c r="BB195" s="8" t="s">
        <v>7634</v>
      </c>
      <c r="BC195" s="4" t="s">
        <v>7604</v>
      </c>
      <c r="BD195" s="8" t="s">
        <v>7625</v>
      </c>
      <c r="BE195" s="4" t="s">
        <v>7606</v>
      </c>
      <c r="BF195" s="8" t="s">
        <v>7607</v>
      </c>
      <c r="BG195" s="8" t="s">
        <v>7608</v>
      </c>
      <c r="BH195" s="4" t="s">
        <v>7609</v>
      </c>
      <c r="BI195" s="8" t="n">
        <v>14</v>
      </c>
      <c r="BJ195" s="8" t="s">
        <v>7602</v>
      </c>
      <c r="BK195" s="4" t="s">
        <v>7653</v>
      </c>
      <c r="BL195" s="8" t="s">
        <v>7602</v>
      </c>
      <c r="BM195" s="4" t="s">
        <v>7620</v>
      </c>
      <c r="BN195" s="8"/>
      <c r="BO195" s="8"/>
      <c r="BP195" s="8" t="s">
        <v>7610</v>
      </c>
      <c r="BQ195" s="8" t="str">
        <f aca="false">IF(A195="","",AT195)</f>
        <v>3歳</v>
      </c>
      <c r="BR195" s="8" t="str">
        <f aca="false">IF(A195="","",IF(BA195&lt;=1200,"～1200",IF(BA195&lt;=1500,"1300～1500",IF(BA195=1600,"1600",IF(BA195&lt;=1800,"1700～1800",IF(BA195&lt;=2000,"1900～2000","2100以上"))))))</f>
        <v>～1200</v>
      </c>
      <c r="BS195" s="8" t="str">
        <f aca="false">IF(A195="","",IF(AX195="G1","G1",IF(AX195="G2","G2",IF(AX195="G3","G3",IF(AX195="L","L","その他")))))</f>
        <v>その他</v>
      </c>
      <c r="BT195" s="8" t="str">
        <f aca="false">IF(A195="","",IF(BI195="","未結合",IF(D195=BI195,"一致","不一致")))</f>
        <v>一致</v>
      </c>
      <c r="BU195" s="8" t="str">
        <f aca="false">IF(A195="","",IF(BE195="牝馬限定","牝馬限定","その他"))</f>
        <v>その他</v>
      </c>
    </row>
    <row r="196" customFormat="false" ht="15.75" hidden="false" customHeight="false" outlineLevel="0" collapsed="false">
      <c r="A196" s="6" t="n">
        <v>46215</v>
      </c>
      <c r="B196" s="4" t="s">
        <v>1091</v>
      </c>
      <c r="C196" s="8" t="n">
        <v>3</v>
      </c>
      <c r="D196" s="8" t="n">
        <v>15</v>
      </c>
      <c r="E196" s="8" t="n">
        <v>5</v>
      </c>
      <c r="F196" s="4" t="s">
        <v>2460</v>
      </c>
      <c r="G196" s="8" t="n">
        <v>71</v>
      </c>
      <c r="H196" s="8" t="n">
        <v>2</v>
      </c>
      <c r="I196" s="4" t="s">
        <v>2457</v>
      </c>
      <c r="J196" s="8" t="n">
        <v>67</v>
      </c>
      <c r="K196" s="8" t="n">
        <v>7</v>
      </c>
      <c r="L196" s="4" t="s">
        <v>1611</v>
      </c>
      <c r="M196" s="8" t="n">
        <v>34</v>
      </c>
      <c r="N196" s="8" t="n">
        <v>4</v>
      </c>
      <c r="O196" s="8" t="n">
        <v>33</v>
      </c>
      <c r="P196" s="8" t="n">
        <v>138</v>
      </c>
      <c r="Q196" s="8" t="str">
        <f aca="false">IF(A196="","",IF(AND(Y196&lt;&gt;"参考",G196&gt;=ルール設定!$B$2),"○",""))</f>
        <v/>
      </c>
      <c r="R196" s="8" t="str">
        <f aca="false">IF(A196="","",IF(AND(Y196&lt;&gt;"参考",G196&gt;=ルール設定!$B$3,N196&gt;=ルール設定!$B$4),"○",""))</f>
        <v/>
      </c>
      <c r="S196" s="8" t="str">
        <f aca="false">IF(A196="","",IF(AND(Y196&lt;&gt;"参考",G196&gt;=ルール設定!$B$5,J196&gt;=ルール設定!$B$6,O196&gt;=ルール設定!$B$7),"○",""))</f>
        <v>○</v>
      </c>
      <c r="T196" s="8" t="n">
        <v>2</v>
      </c>
      <c r="U196" s="8" t="n">
        <v>1</v>
      </c>
      <c r="V196" s="8" t="str">
        <f aca="false">IF(A196="","",IF(AND(ISNUMBER(T196),ISNUMBER(U196)),IF(AND(T196&lt;=3,U196&lt;=3),"○","×"),""))</f>
        <v>○</v>
      </c>
      <c r="W196" s="8" t="n">
        <v>120</v>
      </c>
      <c r="X196" s="8" t="n">
        <v>180</v>
      </c>
      <c r="Y196" s="4" t="s">
        <v>7597</v>
      </c>
      <c r="Z196" s="4" t="s">
        <v>7706</v>
      </c>
      <c r="AA196" s="8" t="str">
        <v/>
      </c>
      <c r="AB196" s="8" t="str">
        <v/>
      </c>
      <c r="AC196" s="8" t="str">
        <v/>
      </c>
      <c r="AD196" s="8" t="str">
        <v/>
      </c>
      <c r="AE196" s="8" t="str">
        <v/>
      </c>
      <c r="AF196" s="8" t="str">
        <v/>
      </c>
      <c r="AG196" s="8" t="str">
        <v/>
      </c>
      <c r="AH196" s="8" t="str">
        <v/>
      </c>
      <c r="AI196" s="8" t="n">
        <v>37</v>
      </c>
      <c r="AJ196" s="8" t="str">
        <v>70～74</v>
      </c>
      <c r="AK196" s="8" t="str">
        <v>0～4</v>
      </c>
      <c r="AL196" s="8" t="str">
        <v>30～39</v>
      </c>
      <c r="AM196" s="8" t="str">
        <v>120～139</v>
      </c>
      <c r="AN196" s="8" t="str">
        <v>15以上</v>
      </c>
      <c r="AO196" s="8" t="str">
        <f aca="false">IF(A196="","",IF(COUNTIFS(全馬データ!$A$2:$A$50000,A196,全馬データ!$B$2:$B$50000,B196,全馬データ!$C$2:$C$50000,C196,全馬データ!$D$2:$D$50000,E196,全馬データ!$K$2:$K$50000,"&lt;&gt;")=0,"",SUMIFS(全馬データ!$K$2:$K$50000,全馬データ!$A$2:$A$50000,A196,全馬データ!$B$2:$B$50000,B196,全馬データ!$C$2:$C$50000,C196,全馬データ!$D$2:$D$50000,E196)))</f>
        <v/>
      </c>
      <c r="AP196" s="8" t="str">
        <f aca="false">IF(A196="","",IF(AO196="","欠損",IF(AO196&lt;=1.1,"1.0～1.1",IF(AO196&lt;1.3,"1.2",IF(AO196&lt;1.5,"1.3～1.4",IF(AO196&lt;2,"1.5～1.9","2.0以上"))))))</f>
        <v>欠損</v>
      </c>
      <c r="AQ196" s="8" t="str">
        <f aca="false">IF(A196="","",IF(ISNUMBER(SEARCH("2歳",Z196)),"2歳戦",IF(ISNUMBER(SEARCH("3歳未勝利",Z196)),"3歳未勝利",IF(ISNUMBER(SEARCH("未勝利",Z196)),"その他未勝利",IF(ISNUMBER(SEARCH("G1",Z196)),"G1",IF(ISNUMBER(SEARCH("G2",Z196)),"G2",IF(ISNUMBER(SEARCH("G3",Z196)),"G3",IF(ISNUMBER(SEARCH("古馬条件",Z196)),"古馬条件戦",IF(ISNUMBER(SEARCH("重賞",Z196)),"重賞","分類不能")))))))))</f>
        <v>分類不能</v>
      </c>
      <c r="AR196" s="8"/>
      <c r="AS196" s="8" t="s">
        <v>7623</v>
      </c>
      <c r="AT196" s="8" t="s">
        <v>7624</v>
      </c>
      <c r="AU196" s="8" t="s">
        <v>7600</v>
      </c>
      <c r="AV196" s="4" t="s">
        <v>7601</v>
      </c>
      <c r="AW196" s="8"/>
      <c r="AX196" s="8"/>
      <c r="AY196" s="8" t="s">
        <v>7602</v>
      </c>
      <c r="AZ196" s="4" t="s">
        <v>7603</v>
      </c>
      <c r="BA196" s="8" t="n">
        <v>2000</v>
      </c>
      <c r="BB196" s="8" t="s">
        <v>7598</v>
      </c>
      <c r="BC196" s="4" t="s">
        <v>7604</v>
      </c>
      <c r="BD196" s="8" t="s">
        <v>7605</v>
      </c>
      <c r="BE196" s="4" t="s">
        <v>7606</v>
      </c>
      <c r="BF196" s="8" t="s">
        <v>7607</v>
      </c>
      <c r="BG196" s="8" t="s">
        <v>7608</v>
      </c>
      <c r="BH196" s="4" t="s">
        <v>7609</v>
      </c>
      <c r="BI196" s="8" t="n">
        <v>15</v>
      </c>
      <c r="BJ196" s="8" t="s">
        <v>7602</v>
      </c>
      <c r="BK196" s="4" t="s">
        <v>7653</v>
      </c>
      <c r="BL196" s="8" t="s">
        <v>7602</v>
      </c>
      <c r="BM196" s="4" t="s">
        <v>7620</v>
      </c>
      <c r="BN196" s="8" t="s">
        <v>7602</v>
      </c>
      <c r="BO196" s="8" t="s">
        <v>7613</v>
      </c>
      <c r="BP196" s="8" t="s">
        <v>7610</v>
      </c>
      <c r="BQ196" s="8" t="str">
        <f aca="false">IF(A196="","",AT196)</f>
        <v>3歳</v>
      </c>
      <c r="BR196" s="8" t="str">
        <f aca="false">IF(A196="","",IF(BA196&lt;=1200,"～1200",IF(BA196&lt;=1500,"1300～1500",IF(BA196=1600,"1600",IF(BA196&lt;=1800,"1700～1800",IF(BA196&lt;=2000,"1900～2000","2100以上"))))))</f>
        <v>1900～2000</v>
      </c>
      <c r="BS196" s="8" t="str">
        <f aca="false">IF(A196="","",IF(AX196="G1","G1",IF(AX196="G2","G2",IF(AX196="G3","G3",IF(AX196="L","L","その他")))))</f>
        <v>その他</v>
      </c>
      <c r="BT196" s="8" t="str">
        <f aca="false">IF(A196="","",IF(BI196="","未結合",IF(D196=BI196,"一致","不一致")))</f>
        <v>一致</v>
      </c>
      <c r="BU196" s="8" t="str">
        <f aca="false">IF(A196="","",IF(BE196="牝馬限定","牝馬限定","その他"))</f>
        <v>その他</v>
      </c>
    </row>
    <row r="197" customFormat="false" ht="15.75" hidden="false" customHeight="false" outlineLevel="0" collapsed="false">
      <c r="A197" s="6" t="n">
        <v>46215</v>
      </c>
      <c r="B197" s="4" t="s">
        <v>1091</v>
      </c>
      <c r="C197" s="8" t="n">
        <v>4</v>
      </c>
      <c r="D197" s="8" t="n">
        <v>13</v>
      </c>
      <c r="E197" s="8" t="n">
        <v>7</v>
      </c>
      <c r="F197" s="4" t="s">
        <v>2475</v>
      </c>
      <c r="G197" s="8" t="n">
        <v>56</v>
      </c>
      <c r="H197" s="8" t="n">
        <v>11</v>
      </c>
      <c r="I197" s="4" t="s">
        <v>2477</v>
      </c>
      <c r="J197" s="8" t="n">
        <v>44</v>
      </c>
      <c r="K197" s="8" t="n">
        <v>12</v>
      </c>
      <c r="L197" s="4" t="s">
        <v>2478</v>
      </c>
      <c r="M197" s="8" t="n">
        <v>41</v>
      </c>
      <c r="N197" s="8" t="n">
        <v>12</v>
      </c>
      <c r="O197" s="8" t="n">
        <v>3</v>
      </c>
      <c r="P197" s="8" t="n">
        <v>100</v>
      </c>
      <c r="Q197" s="8" t="str">
        <f aca="false">IF(A197="","",IF(AND(Y197&lt;&gt;"参考",G197&gt;=ルール設定!$B$2),"○",""))</f>
        <v/>
      </c>
      <c r="R197" s="8" t="str">
        <f aca="false">IF(A197="","",IF(AND(Y197&lt;&gt;"参考",G197&gt;=ルール設定!$B$3,N197&gt;=ルール設定!$B$4),"○",""))</f>
        <v/>
      </c>
      <c r="S197" s="8" t="str">
        <f aca="false">IF(A197="","",IF(AND(Y197&lt;&gt;"参考",G197&gt;=ルール設定!$B$5,J197&gt;=ルール設定!$B$6,O197&gt;=ルール設定!$B$7),"○",""))</f>
        <v/>
      </c>
      <c r="T197" s="8" t="n">
        <v>1</v>
      </c>
      <c r="U197" s="8" t="n">
        <v>4</v>
      </c>
      <c r="V197" s="8" t="str">
        <f aca="false">IF(A197="","",IF(AND(ISNUMBER(T197),ISNUMBER(U197)),IF(AND(T197&lt;=3,U197&lt;=3),"○","×"),""))</f>
        <v>×</v>
      </c>
      <c r="W197" s="8" t="n">
        <v>150</v>
      </c>
      <c r="X197" s="8"/>
      <c r="Y197" s="4" t="s">
        <v>7597</v>
      </c>
      <c r="Z197" s="4" t="s">
        <v>7706</v>
      </c>
      <c r="AA197" s="8" t="str">
        <v/>
      </c>
      <c r="AB197" s="8" t="str">
        <v/>
      </c>
      <c r="AC197" s="8" t="str">
        <v/>
      </c>
      <c r="AD197" s="8" t="str">
        <v/>
      </c>
      <c r="AE197" s="8" t="str">
        <v/>
      </c>
      <c r="AF197" s="8" t="str">
        <v/>
      </c>
      <c r="AG197" s="8" t="str">
        <v/>
      </c>
      <c r="AH197" s="8" t="str">
        <v/>
      </c>
      <c r="AI197" s="8" t="n">
        <v>15</v>
      </c>
      <c r="AJ197" s="8" t="str">
        <v>～59</v>
      </c>
      <c r="AK197" s="8" t="str">
        <v>10～19</v>
      </c>
      <c r="AL197" s="8" t="str">
        <v>10～19</v>
      </c>
      <c r="AM197" s="8" t="str">
        <v>100～119</v>
      </c>
      <c r="AN197" s="8" t="str">
        <v>12～14</v>
      </c>
      <c r="AO197" s="8" t="str">
        <f aca="false">IF(A197="","",IF(COUNTIFS(全馬データ!$A$2:$A$50000,A197,全馬データ!$B$2:$B$50000,B197,全馬データ!$C$2:$C$50000,C197,全馬データ!$D$2:$D$50000,E197,全馬データ!$K$2:$K$50000,"&lt;&gt;")=0,"",SUMIFS(全馬データ!$K$2:$K$50000,全馬データ!$A$2:$A$50000,A197,全馬データ!$B$2:$B$50000,B197,全馬データ!$C$2:$C$50000,C197,全馬データ!$D$2:$D$50000,E197)))</f>
        <v/>
      </c>
      <c r="AP197" s="8" t="str">
        <f aca="false">IF(A197="","",IF(AO197="","欠損",IF(AO197&lt;=1.1,"1.0～1.1",IF(AO197&lt;1.3,"1.2",IF(AO197&lt;1.5,"1.3～1.4",IF(AO197&lt;2,"1.5～1.9","2.0以上"))))))</f>
        <v>欠損</v>
      </c>
      <c r="AQ197" s="8" t="str">
        <f aca="false">IF(A197="","",IF(ISNUMBER(SEARCH("2歳",Z197)),"2歳戦",IF(ISNUMBER(SEARCH("3歳未勝利",Z197)),"3歳未勝利",IF(ISNUMBER(SEARCH("未勝利",Z197)),"その他未勝利",IF(ISNUMBER(SEARCH("G1",Z197)),"G1",IF(ISNUMBER(SEARCH("G2",Z197)),"G2",IF(ISNUMBER(SEARCH("G3",Z197)),"G3",IF(ISNUMBER(SEARCH("古馬条件",Z197)),"古馬条件戦",IF(ISNUMBER(SEARCH("重賞",Z197)),"重賞","分類不能")))))))))</f>
        <v>分類不能</v>
      </c>
      <c r="AR197" s="8"/>
      <c r="AS197" s="8" t="s">
        <v>7623</v>
      </c>
      <c r="AT197" s="8" t="s">
        <v>7624</v>
      </c>
      <c r="AU197" s="8" t="s">
        <v>7600</v>
      </c>
      <c r="AV197" s="4" t="s">
        <v>7601</v>
      </c>
      <c r="AW197" s="8"/>
      <c r="AX197" s="8"/>
      <c r="AY197" s="8" t="s">
        <v>7602</v>
      </c>
      <c r="AZ197" s="4" t="s">
        <v>7603</v>
      </c>
      <c r="BA197" s="8" t="n">
        <v>1800</v>
      </c>
      <c r="BB197" s="8" t="s">
        <v>7598</v>
      </c>
      <c r="BC197" s="4" t="s">
        <v>7604</v>
      </c>
      <c r="BD197" s="8" t="s">
        <v>7625</v>
      </c>
      <c r="BE197" s="4" t="s">
        <v>7606</v>
      </c>
      <c r="BF197" s="8" t="s">
        <v>7607</v>
      </c>
      <c r="BG197" s="8" t="s">
        <v>7608</v>
      </c>
      <c r="BH197" s="4" t="s">
        <v>7609</v>
      </c>
      <c r="BI197" s="8" t="n">
        <v>13</v>
      </c>
      <c r="BJ197" s="8" t="s">
        <v>7602</v>
      </c>
      <c r="BK197" s="4" t="s">
        <v>7653</v>
      </c>
      <c r="BL197" s="8" t="s">
        <v>7602</v>
      </c>
      <c r="BM197" s="4" t="s">
        <v>7620</v>
      </c>
      <c r="BN197" s="8" t="s">
        <v>7602</v>
      </c>
      <c r="BO197" s="8" t="s">
        <v>7613</v>
      </c>
      <c r="BP197" s="8" t="s">
        <v>7610</v>
      </c>
      <c r="BQ197" s="8" t="str">
        <f aca="false">IF(A197="","",AT197)</f>
        <v>3歳</v>
      </c>
      <c r="BR197" s="8" t="str">
        <f aca="false">IF(A197="","",IF(BA197&lt;=1200,"～1200",IF(BA197&lt;=1500,"1300～1500",IF(BA197=1600,"1600",IF(BA197&lt;=1800,"1700～1800",IF(BA197&lt;=2000,"1900～2000","2100以上"))))))</f>
        <v>1700～1800</v>
      </c>
      <c r="BS197" s="8" t="str">
        <f aca="false">IF(A197="","",IF(AX197="G1","G1",IF(AX197="G2","G2",IF(AX197="G3","G3",IF(AX197="L","L","その他")))))</f>
        <v>その他</v>
      </c>
      <c r="BT197" s="8" t="str">
        <f aca="false">IF(A197="","",IF(BI197="","未結合",IF(D197=BI197,"一致","不一致")))</f>
        <v>一致</v>
      </c>
      <c r="BU197" s="8" t="str">
        <f aca="false">IF(A197="","",IF(BE197="牝馬限定","牝馬限定","その他"))</f>
        <v>その他</v>
      </c>
    </row>
    <row r="198" customFormat="false" ht="15.75" hidden="false" customHeight="false" outlineLevel="0" collapsed="false">
      <c r="A198" s="6" t="n">
        <v>46215</v>
      </c>
      <c r="B198" s="4" t="s">
        <v>1091</v>
      </c>
      <c r="C198" s="8" t="n">
        <v>5</v>
      </c>
      <c r="D198" s="8" t="n">
        <v>8</v>
      </c>
      <c r="E198" s="8" t="n">
        <v>6</v>
      </c>
      <c r="F198" s="4" t="s">
        <v>2485</v>
      </c>
      <c r="G198" s="8" t="n">
        <v>37</v>
      </c>
      <c r="H198" s="8" t="n">
        <v>7</v>
      </c>
      <c r="I198" s="4" t="s">
        <v>2486</v>
      </c>
      <c r="J198" s="8" t="n">
        <v>27</v>
      </c>
      <c r="K198" s="8" t="n">
        <v>1</v>
      </c>
      <c r="L198" s="4" t="s">
        <v>2480</v>
      </c>
      <c r="M198" s="8" t="n">
        <v>24</v>
      </c>
      <c r="N198" s="8" t="n">
        <v>10</v>
      </c>
      <c r="O198" s="8" t="n">
        <v>3</v>
      </c>
      <c r="P198" s="8" t="n">
        <v>64</v>
      </c>
      <c r="Q198" s="8" t="str">
        <f aca="false">IF(A198="","",IF(AND(Y198&lt;&gt;"参考",G198&gt;=ルール設定!$B$2),"○",""))</f>
        <v/>
      </c>
      <c r="R198" s="8" t="str">
        <f aca="false">IF(A198="","",IF(AND(Y198&lt;&gt;"参考",G198&gt;=ルール設定!$B$3,N198&gt;=ルール設定!$B$4),"○",""))</f>
        <v/>
      </c>
      <c r="S198" s="8" t="str">
        <f aca="false">IF(A198="","",IF(AND(Y198&lt;&gt;"参考",G198&gt;=ルール設定!$B$5,J198&gt;=ルール設定!$B$6,O198&gt;=ルール設定!$B$7),"○",""))</f>
        <v/>
      </c>
      <c r="T198" s="8" t="n">
        <v>2</v>
      </c>
      <c r="U198" s="8" t="n">
        <v>1</v>
      </c>
      <c r="V198" s="8" t="str">
        <f aca="false">IF(A198="","",IF(AND(ISNUMBER(T198),ISNUMBER(U198)),IF(AND(T198&lt;=3,U198&lt;=3),"○","×"),""))</f>
        <v>○</v>
      </c>
      <c r="W198" s="8" t="n">
        <v>360</v>
      </c>
      <c r="X198" s="8" t="n">
        <v>150</v>
      </c>
      <c r="Y198" s="4" t="s">
        <v>7597</v>
      </c>
      <c r="Z198" s="4" t="s">
        <v>7706</v>
      </c>
      <c r="AA198" s="8" t="str">
        <v/>
      </c>
      <c r="AB198" s="8" t="str">
        <v/>
      </c>
      <c r="AC198" s="8" t="str">
        <v/>
      </c>
      <c r="AD198" s="8" t="str">
        <v/>
      </c>
      <c r="AE198" s="8" t="str">
        <v/>
      </c>
      <c r="AF198" s="8" t="str">
        <v/>
      </c>
      <c r="AG198" s="8" t="str">
        <v/>
      </c>
      <c r="AH198" s="8" t="str">
        <v/>
      </c>
      <c r="AI198" s="8" t="n">
        <v>13</v>
      </c>
      <c r="AJ198" s="8" t="str">
        <v>～59</v>
      </c>
      <c r="AK198" s="8" t="str">
        <v>10～19</v>
      </c>
      <c r="AL198" s="8" t="str">
        <v>10～19</v>
      </c>
      <c r="AM198" s="8" t="str">
        <v>～99</v>
      </c>
      <c r="AN198" s="8" t="str">
        <v>8～11</v>
      </c>
      <c r="AO198" s="8" t="str">
        <f aca="false">IF(A198="","",IF(COUNTIFS(全馬データ!$A$2:$A$50000,A198,全馬データ!$B$2:$B$50000,B198,全馬データ!$C$2:$C$50000,C198,全馬データ!$D$2:$D$50000,E198,全馬データ!$K$2:$K$50000,"&lt;&gt;")=0,"",SUMIFS(全馬データ!$K$2:$K$50000,全馬データ!$A$2:$A$50000,A198,全馬データ!$B$2:$B$50000,B198,全馬データ!$C$2:$C$50000,C198,全馬データ!$D$2:$D$50000,E198)))</f>
        <v/>
      </c>
      <c r="AP198" s="8" t="str">
        <f aca="false">IF(A198="","",IF(AO198="","欠損",IF(AO198&lt;=1.1,"1.0～1.1",IF(AO198&lt;1.3,"1.2",IF(AO198&lt;1.5,"1.3～1.4",IF(AO198&lt;2,"1.5～1.9","2.0以上"))))))</f>
        <v>欠損</v>
      </c>
      <c r="AQ198" s="8" t="str">
        <f aca="false">IF(A198="","",IF(ISNUMBER(SEARCH("2歳",Z198)),"2歳戦",IF(ISNUMBER(SEARCH("3歳未勝利",Z198)),"3歳未勝利",IF(ISNUMBER(SEARCH("未勝利",Z198)),"その他未勝利",IF(ISNUMBER(SEARCH("G1",Z198)),"G1",IF(ISNUMBER(SEARCH("G2",Z198)),"G2",IF(ISNUMBER(SEARCH("G3",Z198)),"G3",IF(ISNUMBER(SEARCH("古馬条件",Z198)),"古馬条件戦",IF(ISNUMBER(SEARCH("重賞",Z198)),"重賞","分類不能")))))))))</f>
        <v>分類不能</v>
      </c>
      <c r="AR198" s="8"/>
      <c r="AS198" s="8" t="s">
        <v>7598</v>
      </c>
      <c r="AT198" s="8" t="s">
        <v>7599</v>
      </c>
      <c r="AU198" s="8" t="s">
        <v>7615</v>
      </c>
      <c r="AV198" s="4" t="s">
        <v>7616</v>
      </c>
      <c r="AW198" s="8"/>
      <c r="AX198" s="8"/>
      <c r="AY198" s="8" t="s">
        <v>7602</v>
      </c>
      <c r="AZ198" s="4" t="s">
        <v>7603</v>
      </c>
      <c r="BA198" s="8" t="n">
        <v>2000</v>
      </c>
      <c r="BB198" s="8" t="s">
        <v>7598</v>
      </c>
      <c r="BC198" s="4" t="s">
        <v>7604</v>
      </c>
      <c r="BD198" s="8" t="s">
        <v>7605</v>
      </c>
      <c r="BE198" s="4" t="s">
        <v>7606</v>
      </c>
      <c r="BF198" s="8" t="s">
        <v>7607</v>
      </c>
      <c r="BG198" s="8" t="s">
        <v>7608</v>
      </c>
      <c r="BH198" s="4" t="s">
        <v>7609</v>
      </c>
      <c r="BI198" s="8" t="n">
        <v>8</v>
      </c>
      <c r="BJ198" s="8" t="s">
        <v>7602</v>
      </c>
      <c r="BK198" s="4" t="s">
        <v>7653</v>
      </c>
      <c r="BL198" s="8" t="s">
        <v>7602</v>
      </c>
      <c r="BM198" s="4" t="s">
        <v>7620</v>
      </c>
      <c r="BN198" s="8" t="s">
        <v>7602</v>
      </c>
      <c r="BO198" s="8" t="s">
        <v>7613</v>
      </c>
      <c r="BP198" s="8" t="s">
        <v>7610</v>
      </c>
      <c r="BQ198" s="8" t="str">
        <f aca="false">IF(A198="","",AT198)</f>
        <v>2歳</v>
      </c>
      <c r="BR198" s="8" t="str">
        <f aca="false">IF(A198="","",IF(BA198&lt;=1200,"～1200",IF(BA198&lt;=1500,"1300～1500",IF(BA198=1600,"1600",IF(BA198&lt;=1800,"1700～1800",IF(BA198&lt;=2000,"1900～2000","2100以上"))))))</f>
        <v>1900～2000</v>
      </c>
      <c r="BS198" s="8" t="str">
        <f aca="false">IF(A198="","",IF(AX198="G1","G1",IF(AX198="G2","G2",IF(AX198="G3","G3",IF(AX198="L","L","その他")))))</f>
        <v>その他</v>
      </c>
      <c r="BT198" s="8" t="str">
        <f aca="false">IF(A198="","",IF(BI198="","未結合",IF(D198=BI198,"一致","不一致")))</f>
        <v>一致</v>
      </c>
      <c r="BU198" s="8" t="str">
        <f aca="false">IF(A198="","",IF(BE198="牝馬限定","牝馬限定","その他"))</f>
        <v>その他</v>
      </c>
    </row>
    <row r="199" customFormat="false" ht="15.75" hidden="false" customHeight="false" outlineLevel="0" collapsed="false">
      <c r="A199" s="6" t="n">
        <v>46215</v>
      </c>
      <c r="B199" s="4" t="s">
        <v>1091</v>
      </c>
      <c r="C199" s="8" t="n">
        <v>6</v>
      </c>
      <c r="D199" s="8" t="n">
        <v>9</v>
      </c>
      <c r="E199" s="8" t="n">
        <v>2</v>
      </c>
      <c r="F199" s="4" t="s">
        <v>2488</v>
      </c>
      <c r="G199" s="8" t="n">
        <v>37</v>
      </c>
      <c r="H199" s="8" t="n">
        <v>6</v>
      </c>
      <c r="I199" s="4" t="s">
        <v>2492</v>
      </c>
      <c r="J199" s="8" t="n">
        <v>37</v>
      </c>
      <c r="K199" s="8" t="n">
        <v>3</v>
      </c>
      <c r="L199" s="4" t="s">
        <v>2489</v>
      </c>
      <c r="M199" s="8" t="n">
        <v>27</v>
      </c>
      <c r="N199" s="8" t="n">
        <v>0</v>
      </c>
      <c r="O199" s="8" t="n">
        <v>10</v>
      </c>
      <c r="P199" s="8" t="n">
        <v>74</v>
      </c>
      <c r="Q199" s="8" t="str">
        <f aca="false">IF(A199="","",IF(AND(Y199&lt;&gt;"参考",G199&gt;=ルール設定!$B$2),"○",""))</f>
        <v/>
      </c>
      <c r="R199" s="8" t="str">
        <f aca="false">IF(A199="","",IF(AND(Y199&lt;&gt;"参考",G199&gt;=ルール設定!$B$3,N199&gt;=ルール設定!$B$4),"○",""))</f>
        <v/>
      </c>
      <c r="S199" s="8" t="str">
        <f aca="false">IF(A199="","",IF(AND(Y199&lt;&gt;"参考",G199&gt;=ルール設定!$B$5,J199&gt;=ルール設定!$B$6,O199&gt;=ルール設定!$B$7),"○",""))</f>
        <v/>
      </c>
      <c r="T199" s="8" t="n">
        <v>4</v>
      </c>
      <c r="U199" s="8" t="n">
        <v>2</v>
      </c>
      <c r="V199" s="8" t="str">
        <f aca="false">IF(A199="","",IF(AND(ISNUMBER(T199),ISNUMBER(U199)),IF(AND(T199&lt;=3,U199&lt;=3),"○","×"),""))</f>
        <v>×</v>
      </c>
      <c r="W199" s="8"/>
      <c r="X199" s="8"/>
      <c r="Y199" s="4" t="s">
        <v>7597</v>
      </c>
      <c r="Z199" s="4" t="s">
        <v>7706</v>
      </c>
      <c r="AA199" s="8" t="str">
        <v/>
      </c>
      <c r="AB199" s="8" t="str">
        <v/>
      </c>
      <c r="AC199" s="8" t="str">
        <v/>
      </c>
      <c r="AD199" s="8" t="str">
        <v/>
      </c>
      <c r="AE199" s="8" t="str">
        <v/>
      </c>
      <c r="AF199" s="8" t="str">
        <v/>
      </c>
      <c r="AG199" s="8" t="str">
        <v/>
      </c>
      <c r="AH199" s="8" t="str">
        <v/>
      </c>
      <c r="AI199" s="8" t="n">
        <v>10</v>
      </c>
      <c r="AJ199" s="8" t="str">
        <v>～59</v>
      </c>
      <c r="AK199" s="8" t="str">
        <v>0～4</v>
      </c>
      <c r="AL199" s="8" t="str">
        <v>10～19</v>
      </c>
      <c r="AM199" s="8" t="str">
        <v>～99</v>
      </c>
      <c r="AN199" s="8" t="str">
        <v>8～11</v>
      </c>
      <c r="AO199" s="8" t="str">
        <f aca="false">IF(A199="","",IF(COUNTIFS(全馬データ!$A$2:$A$50000,A199,全馬データ!$B$2:$B$50000,B199,全馬データ!$C$2:$C$50000,C199,全馬データ!$D$2:$D$50000,E199,全馬データ!$K$2:$K$50000,"&lt;&gt;")=0,"",SUMIFS(全馬データ!$K$2:$K$50000,全馬データ!$A$2:$A$50000,A199,全馬データ!$B$2:$B$50000,B199,全馬データ!$C$2:$C$50000,C199,全馬データ!$D$2:$D$50000,E199)))</f>
        <v/>
      </c>
      <c r="AP199" s="8" t="str">
        <f aca="false">IF(A199="","",IF(AO199="","欠損",IF(AO199&lt;=1.1,"1.0～1.1",IF(AO199&lt;1.3,"1.2",IF(AO199&lt;1.5,"1.3～1.4",IF(AO199&lt;2,"1.5～1.9","2.0以上"))))))</f>
        <v>欠損</v>
      </c>
      <c r="AQ199" s="8" t="str">
        <f aca="false">IF(A199="","",IF(ISNUMBER(SEARCH("2歳",Z199)),"2歳戦",IF(ISNUMBER(SEARCH("3歳未勝利",Z199)),"3歳未勝利",IF(ISNUMBER(SEARCH("未勝利",Z199)),"その他未勝利",IF(ISNUMBER(SEARCH("G1",Z199)),"G1",IF(ISNUMBER(SEARCH("G2",Z199)),"G2",IF(ISNUMBER(SEARCH("G3",Z199)),"G3",IF(ISNUMBER(SEARCH("古馬条件",Z199)),"古馬条件戦",IF(ISNUMBER(SEARCH("重賞",Z199)),"重賞","分類不能")))))))))</f>
        <v>分類不能</v>
      </c>
      <c r="AR199" s="8"/>
      <c r="AS199" s="8" t="s">
        <v>7598</v>
      </c>
      <c r="AT199" s="8" t="s">
        <v>7599</v>
      </c>
      <c r="AU199" s="8" t="s">
        <v>7615</v>
      </c>
      <c r="AV199" s="4" t="s">
        <v>7616</v>
      </c>
      <c r="AW199" s="8"/>
      <c r="AX199" s="8"/>
      <c r="AY199" s="8" t="s">
        <v>7602</v>
      </c>
      <c r="AZ199" s="4" t="s">
        <v>7603</v>
      </c>
      <c r="BA199" s="8" t="n">
        <v>1200</v>
      </c>
      <c r="BB199" s="8" t="s">
        <v>7598</v>
      </c>
      <c r="BC199" s="4" t="s">
        <v>7604</v>
      </c>
      <c r="BD199" s="8" t="s">
        <v>7625</v>
      </c>
      <c r="BE199" s="4" t="s">
        <v>7606</v>
      </c>
      <c r="BF199" s="8" t="s">
        <v>7607</v>
      </c>
      <c r="BG199" s="8" t="s">
        <v>7608</v>
      </c>
      <c r="BH199" s="4" t="s">
        <v>7609</v>
      </c>
      <c r="BI199" s="8" t="n">
        <v>9</v>
      </c>
      <c r="BJ199" s="8" t="s">
        <v>7602</v>
      </c>
      <c r="BK199" s="4" t="s">
        <v>7653</v>
      </c>
      <c r="BL199" s="8" t="s">
        <v>7602</v>
      </c>
      <c r="BM199" s="4" t="s">
        <v>7620</v>
      </c>
      <c r="BN199" s="8" t="s">
        <v>7602</v>
      </c>
      <c r="BO199" s="8" t="s">
        <v>7613</v>
      </c>
      <c r="BP199" s="8" t="s">
        <v>7610</v>
      </c>
      <c r="BQ199" s="8" t="str">
        <f aca="false">IF(A199="","",AT199)</f>
        <v>2歳</v>
      </c>
      <c r="BR199" s="8" t="str">
        <f aca="false">IF(A199="","",IF(BA199&lt;=1200,"～1200",IF(BA199&lt;=1500,"1300～1500",IF(BA199=1600,"1600",IF(BA199&lt;=1800,"1700～1800",IF(BA199&lt;=2000,"1900～2000","2100以上"))))))</f>
        <v>～1200</v>
      </c>
      <c r="BS199" s="8" t="str">
        <f aca="false">IF(A199="","",IF(AX199="G1","G1",IF(AX199="G2","G2",IF(AX199="G3","G3",IF(AX199="L","L","その他")))))</f>
        <v>その他</v>
      </c>
      <c r="BT199" s="8" t="str">
        <f aca="false">IF(A199="","",IF(BI199="","未結合",IF(D199=BI199,"一致","不一致")))</f>
        <v>一致</v>
      </c>
      <c r="BU199" s="8" t="str">
        <f aca="false">IF(A199="","",IF(BE199="牝馬限定","牝馬限定","その他"))</f>
        <v>その他</v>
      </c>
    </row>
    <row r="200" customFormat="false" ht="15.75" hidden="false" customHeight="false" outlineLevel="0" collapsed="false">
      <c r="A200" s="6" t="n">
        <v>46215</v>
      </c>
      <c r="B200" s="4" t="s">
        <v>1091</v>
      </c>
      <c r="C200" s="8" t="n">
        <v>7</v>
      </c>
      <c r="D200" s="8" t="n">
        <v>15</v>
      </c>
      <c r="E200" s="8" t="n">
        <v>4</v>
      </c>
      <c r="F200" s="4" t="s">
        <v>2497</v>
      </c>
      <c r="G200" s="8" t="n">
        <v>39</v>
      </c>
      <c r="H200" s="8" t="n">
        <v>12</v>
      </c>
      <c r="I200" s="4" t="s">
        <v>303</v>
      </c>
      <c r="J200" s="8" t="n">
        <v>39</v>
      </c>
      <c r="K200" s="8" t="n">
        <v>5</v>
      </c>
      <c r="L200" s="4" t="s">
        <v>739</v>
      </c>
      <c r="M200" s="8" t="n">
        <v>37</v>
      </c>
      <c r="N200" s="8" t="n">
        <v>0</v>
      </c>
      <c r="O200" s="8" t="n">
        <v>2</v>
      </c>
      <c r="P200" s="8" t="n">
        <v>78</v>
      </c>
      <c r="Q200" s="8" t="str">
        <f aca="false">IF(A200="","",IF(AND(Y200&lt;&gt;"参考",G200&gt;=ルール設定!$B$2),"○",""))</f>
        <v/>
      </c>
      <c r="R200" s="8" t="str">
        <f aca="false">IF(A200="","",IF(AND(Y200&lt;&gt;"参考",G200&gt;=ルール設定!$B$3,N200&gt;=ルール設定!$B$4),"○",""))</f>
        <v/>
      </c>
      <c r="S200" s="8" t="str">
        <f aca="false">IF(A200="","",IF(AND(Y200&lt;&gt;"参考",G200&gt;=ルール設定!$B$5,J200&gt;=ルール設定!$B$6,O200&gt;=ルール設定!$B$7),"○",""))</f>
        <v/>
      </c>
      <c r="T200" s="8" t="n">
        <v>1</v>
      </c>
      <c r="U200" s="8" t="n">
        <v>3</v>
      </c>
      <c r="V200" s="8" t="str">
        <f aca="false">IF(A200="","",IF(AND(ISNUMBER(T200),ISNUMBER(U200)),IF(AND(T200&lt;=3,U200&lt;=3),"○","×"),""))</f>
        <v>○</v>
      </c>
      <c r="W200" s="8" t="n">
        <v>160</v>
      </c>
      <c r="X200" s="8" t="n">
        <v>560</v>
      </c>
      <c r="Y200" s="4" t="s">
        <v>7597</v>
      </c>
      <c r="Z200" s="4" t="s">
        <v>7706</v>
      </c>
      <c r="AA200" s="8" t="str">
        <v/>
      </c>
      <c r="AB200" s="8" t="str">
        <v/>
      </c>
      <c r="AC200" s="8" t="str">
        <v/>
      </c>
      <c r="AD200" s="8" t="str">
        <v/>
      </c>
      <c r="AE200" s="8" t="str">
        <v/>
      </c>
      <c r="AF200" s="8" t="str">
        <v/>
      </c>
      <c r="AG200" s="8" t="str">
        <v/>
      </c>
      <c r="AH200" s="8" t="str">
        <v/>
      </c>
      <c r="AI200" s="8" t="n">
        <v>2</v>
      </c>
      <c r="AJ200" s="8" t="str">
        <v>～59</v>
      </c>
      <c r="AK200" s="8" t="str">
        <v>0～4</v>
      </c>
      <c r="AL200" s="8" t="str">
        <v>0～9</v>
      </c>
      <c r="AM200" s="8" t="str">
        <v>～99</v>
      </c>
      <c r="AN200" s="8" t="str">
        <v>15以上</v>
      </c>
      <c r="AO200" s="8" t="str">
        <f aca="false">IF(A200="","",IF(COUNTIFS(全馬データ!$A$2:$A$50000,A200,全馬データ!$B$2:$B$50000,B200,全馬データ!$C$2:$C$50000,C200,全馬データ!$D$2:$D$50000,E200,全馬データ!$K$2:$K$50000,"&lt;&gt;")=0,"",SUMIFS(全馬データ!$K$2:$K$50000,全馬データ!$A$2:$A$50000,A200,全馬データ!$B$2:$B$50000,B200,全馬データ!$C$2:$C$50000,C200,全馬データ!$D$2:$D$50000,E200)))</f>
        <v/>
      </c>
      <c r="AP200" s="8" t="str">
        <f aca="false">IF(A200="","",IF(AO200="","欠損",IF(AO200&lt;=1.1,"1.0～1.1",IF(AO200&lt;1.3,"1.2",IF(AO200&lt;1.5,"1.3～1.4",IF(AO200&lt;2,"1.5～1.9","2.0以上"))))))</f>
        <v>欠損</v>
      </c>
      <c r="AQ200" s="8" t="str">
        <f aca="false">IF(A200="","",IF(ISNUMBER(SEARCH("2歳",Z200)),"2歳戦",IF(ISNUMBER(SEARCH("3歳未勝利",Z200)),"3歳未勝利",IF(ISNUMBER(SEARCH("未勝利",Z200)),"その他未勝利",IF(ISNUMBER(SEARCH("G1",Z200)),"G1",IF(ISNUMBER(SEARCH("G2",Z200)),"G2",IF(ISNUMBER(SEARCH("G3",Z200)),"G3",IF(ISNUMBER(SEARCH("古馬条件",Z200)),"古馬条件戦",IF(ISNUMBER(SEARCH("重賞",Z200)),"重賞","分類不能")))))))))</f>
        <v>分類不能</v>
      </c>
      <c r="AR200" s="8"/>
      <c r="AS200" s="8" t="s">
        <v>7626</v>
      </c>
      <c r="AT200" s="8" t="s">
        <v>7627</v>
      </c>
      <c r="AU200" s="8" t="s">
        <v>7628</v>
      </c>
      <c r="AV200" s="8" t="s">
        <v>7629</v>
      </c>
      <c r="AW200" s="8"/>
      <c r="AX200" s="8"/>
      <c r="AY200" s="8" t="s">
        <v>7610</v>
      </c>
      <c r="AZ200" s="4" t="s">
        <v>7617</v>
      </c>
      <c r="BA200" s="8" t="n">
        <v>1700</v>
      </c>
      <c r="BB200" s="8" t="s">
        <v>7634</v>
      </c>
      <c r="BC200" s="4" t="s">
        <v>7604</v>
      </c>
      <c r="BD200" s="8" t="s">
        <v>7630</v>
      </c>
      <c r="BE200" s="4" t="s">
        <v>7606</v>
      </c>
      <c r="BF200" s="8" t="s">
        <v>7607</v>
      </c>
      <c r="BG200" s="8" t="s">
        <v>7631</v>
      </c>
      <c r="BH200" s="4" t="s">
        <v>7632</v>
      </c>
      <c r="BI200" s="8" t="n">
        <v>15</v>
      </c>
      <c r="BJ200" s="8" t="s">
        <v>7602</v>
      </c>
      <c r="BK200" s="4" t="s">
        <v>7653</v>
      </c>
      <c r="BL200" s="8" t="s">
        <v>7602</v>
      </c>
      <c r="BM200" s="4" t="s">
        <v>7620</v>
      </c>
      <c r="BN200" s="8"/>
      <c r="BO200" s="8"/>
      <c r="BP200" s="8" t="s">
        <v>7610</v>
      </c>
      <c r="BQ200" s="8" t="str">
        <f aca="false">IF(A200="","",AT200)</f>
        <v>3歳以上</v>
      </c>
      <c r="BR200" s="8" t="str">
        <f aca="false">IF(A200="","",IF(BA200&lt;=1200,"～1200",IF(BA200&lt;=1500,"1300～1500",IF(BA200=1600,"1600",IF(BA200&lt;=1800,"1700～1800",IF(BA200&lt;=2000,"1900～2000","2100以上"))))))</f>
        <v>1700～1800</v>
      </c>
      <c r="BS200" s="8" t="str">
        <f aca="false">IF(A200="","",IF(AX200="G1","G1",IF(AX200="G2","G2",IF(AX200="G3","G3",IF(AX200="L","L","その他")))))</f>
        <v>その他</v>
      </c>
      <c r="BT200" s="8" t="str">
        <f aca="false">IF(A200="","",IF(BI200="","未結合",IF(D200=BI200,"一致","不一致")))</f>
        <v>一致</v>
      </c>
      <c r="BU200" s="8" t="str">
        <f aca="false">IF(A200="","",IF(BE200="牝馬限定","牝馬限定","その他"))</f>
        <v>その他</v>
      </c>
    </row>
    <row r="201" customFormat="false" ht="15.75" hidden="false" customHeight="false" outlineLevel="0" collapsed="false">
      <c r="A201" s="6" t="n">
        <v>46215</v>
      </c>
      <c r="B201" s="4" t="s">
        <v>1091</v>
      </c>
      <c r="C201" s="8" t="n">
        <v>8</v>
      </c>
      <c r="D201" s="8" t="n">
        <v>9</v>
      </c>
      <c r="E201" s="8" t="n">
        <v>1</v>
      </c>
      <c r="F201" s="4" t="s">
        <v>2506</v>
      </c>
      <c r="G201" s="8" t="n">
        <v>56</v>
      </c>
      <c r="H201" s="8" t="n">
        <v>5</v>
      </c>
      <c r="I201" s="4" t="s">
        <v>2509</v>
      </c>
      <c r="J201" s="8" t="n">
        <v>44</v>
      </c>
      <c r="K201" s="8" t="n">
        <v>2</v>
      </c>
      <c r="L201" s="4" t="s">
        <v>754</v>
      </c>
      <c r="M201" s="8" t="n">
        <v>39</v>
      </c>
      <c r="N201" s="8" t="n">
        <v>12</v>
      </c>
      <c r="O201" s="8" t="n">
        <v>5</v>
      </c>
      <c r="P201" s="8" t="n">
        <v>100</v>
      </c>
      <c r="Q201" s="8" t="str">
        <f aca="false">IF(A201="","",IF(AND(Y201&lt;&gt;"参考",G201&gt;=ルール設定!$B$2),"○",""))</f>
        <v/>
      </c>
      <c r="R201" s="8" t="str">
        <f aca="false">IF(A201="","",IF(AND(Y201&lt;&gt;"参考",G201&gt;=ルール設定!$B$3,N201&gt;=ルール設定!$B$4),"○",""))</f>
        <v/>
      </c>
      <c r="S201" s="8" t="str">
        <f aca="false">IF(A201="","",IF(AND(Y201&lt;&gt;"参考",G201&gt;=ルール設定!$B$5,J201&gt;=ルール設定!$B$6,O201&gt;=ルール設定!$B$7),"○",""))</f>
        <v/>
      </c>
      <c r="T201" s="8" t="n">
        <v>1</v>
      </c>
      <c r="U201" s="8" t="n">
        <v>4</v>
      </c>
      <c r="V201" s="8" t="str">
        <f aca="false">IF(A201="","",IF(AND(ISNUMBER(T201),ISNUMBER(U201)),IF(AND(T201&lt;=3,U201&lt;=3),"○","×"),""))</f>
        <v>×</v>
      </c>
      <c r="W201" s="8" t="n">
        <v>130</v>
      </c>
      <c r="X201" s="8"/>
      <c r="Y201" s="4" t="s">
        <v>7597</v>
      </c>
      <c r="Z201" s="4" t="s">
        <v>7706</v>
      </c>
      <c r="AA201" s="8" t="str">
        <v/>
      </c>
      <c r="AB201" s="8" t="str">
        <v/>
      </c>
      <c r="AC201" s="8" t="str">
        <v/>
      </c>
      <c r="AD201" s="8" t="str">
        <v/>
      </c>
      <c r="AE201" s="8" t="str">
        <v/>
      </c>
      <c r="AF201" s="8" t="str">
        <v/>
      </c>
      <c r="AG201" s="8" t="str">
        <v/>
      </c>
      <c r="AH201" s="8" t="str">
        <v/>
      </c>
      <c r="AI201" s="8" t="n">
        <v>17</v>
      </c>
      <c r="AJ201" s="8" t="str">
        <v>～59</v>
      </c>
      <c r="AK201" s="8" t="str">
        <v>10～19</v>
      </c>
      <c r="AL201" s="8" t="str">
        <v>10～19</v>
      </c>
      <c r="AM201" s="8" t="str">
        <v>100～119</v>
      </c>
      <c r="AN201" s="8" t="str">
        <v>8～11</v>
      </c>
      <c r="AO201" s="8" t="str">
        <f aca="false">IF(A201="","",IF(COUNTIFS(全馬データ!$A$2:$A$50000,A201,全馬データ!$B$2:$B$50000,B201,全馬データ!$C$2:$C$50000,C201,全馬データ!$D$2:$D$50000,E201,全馬データ!$K$2:$K$50000,"&lt;&gt;")=0,"",SUMIFS(全馬データ!$K$2:$K$50000,全馬データ!$A$2:$A$50000,A201,全馬データ!$B$2:$B$50000,B201,全馬データ!$C$2:$C$50000,C201,全馬データ!$D$2:$D$50000,E201)))</f>
        <v/>
      </c>
      <c r="AP201" s="8" t="str">
        <f aca="false">IF(A201="","",IF(AO201="","欠損",IF(AO201&lt;=1.1,"1.0～1.1",IF(AO201&lt;1.3,"1.2",IF(AO201&lt;1.5,"1.3～1.4",IF(AO201&lt;2,"1.5～1.9","2.0以上"))))))</f>
        <v>欠損</v>
      </c>
      <c r="AQ201" s="8" t="str">
        <f aca="false">IF(A201="","",IF(ISNUMBER(SEARCH("2歳",Z201)),"2歳戦",IF(ISNUMBER(SEARCH("3歳未勝利",Z201)),"3歳未勝利",IF(ISNUMBER(SEARCH("未勝利",Z201)),"その他未勝利",IF(ISNUMBER(SEARCH("G1",Z201)),"G1",IF(ISNUMBER(SEARCH("G2",Z201)),"G2",IF(ISNUMBER(SEARCH("G3",Z201)),"G3",IF(ISNUMBER(SEARCH("古馬条件",Z201)),"古馬条件戦",IF(ISNUMBER(SEARCH("重賞",Z201)),"重賞","分類不能")))))))))</f>
        <v>分類不能</v>
      </c>
      <c r="AR201" s="8"/>
      <c r="AS201" s="8" t="s">
        <v>7626</v>
      </c>
      <c r="AT201" s="8" t="s">
        <v>7627</v>
      </c>
      <c r="AU201" s="8" t="s">
        <v>7628</v>
      </c>
      <c r="AV201" s="8" t="s">
        <v>7629</v>
      </c>
      <c r="AW201" s="8"/>
      <c r="AX201" s="8"/>
      <c r="AY201" s="8" t="s">
        <v>7602</v>
      </c>
      <c r="AZ201" s="4" t="s">
        <v>7603</v>
      </c>
      <c r="BA201" s="8" t="n">
        <v>1800</v>
      </c>
      <c r="BB201" s="8" t="s">
        <v>7598</v>
      </c>
      <c r="BC201" s="4" t="s">
        <v>7604</v>
      </c>
      <c r="BD201" s="8" t="s">
        <v>7621</v>
      </c>
      <c r="BE201" s="4" t="s">
        <v>7622</v>
      </c>
      <c r="BF201" s="8" t="s">
        <v>7602</v>
      </c>
      <c r="BG201" s="8" t="s">
        <v>7631</v>
      </c>
      <c r="BH201" s="4" t="s">
        <v>7632</v>
      </c>
      <c r="BI201" s="8" t="n">
        <v>9</v>
      </c>
      <c r="BJ201" s="8" t="s">
        <v>7602</v>
      </c>
      <c r="BK201" s="4" t="s">
        <v>7653</v>
      </c>
      <c r="BL201" s="8" t="s">
        <v>7602</v>
      </c>
      <c r="BM201" s="4" t="s">
        <v>7620</v>
      </c>
      <c r="BN201" s="8" t="s">
        <v>7602</v>
      </c>
      <c r="BO201" s="8" t="s">
        <v>7613</v>
      </c>
      <c r="BP201" s="8" t="s">
        <v>7610</v>
      </c>
      <c r="BQ201" s="8" t="str">
        <f aca="false">IF(A201="","",AT201)</f>
        <v>3歳以上</v>
      </c>
      <c r="BR201" s="8" t="str">
        <f aca="false">IF(A201="","",IF(BA201&lt;=1200,"～1200",IF(BA201&lt;=1500,"1300～1500",IF(BA201=1600,"1600",IF(BA201&lt;=1800,"1700～1800",IF(BA201&lt;=2000,"1900～2000","2100以上"))))))</f>
        <v>1700～1800</v>
      </c>
      <c r="BS201" s="8" t="str">
        <f aca="false">IF(A201="","",IF(AX201="G1","G1",IF(AX201="G2","G2",IF(AX201="G3","G3",IF(AX201="L","L","その他")))))</f>
        <v>その他</v>
      </c>
      <c r="BT201" s="8" t="str">
        <f aca="false">IF(A201="","",IF(BI201="","未結合",IF(D201=BI201,"一致","不一致")))</f>
        <v>一致</v>
      </c>
      <c r="BU201" s="8" t="str">
        <f aca="false">IF(A201="","",IF(BE201="牝馬限定","牝馬限定","その他"))</f>
        <v>牝馬限定</v>
      </c>
    </row>
    <row r="202" customFormat="false" ht="15.75" hidden="false" customHeight="false" outlineLevel="0" collapsed="false">
      <c r="A202" s="6" t="n">
        <v>46215</v>
      </c>
      <c r="B202" s="4" t="s">
        <v>1091</v>
      </c>
      <c r="C202" s="8" t="n">
        <v>9</v>
      </c>
      <c r="D202" s="8" t="n">
        <v>10</v>
      </c>
      <c r="E202" s="8" t="n">
        <v>8</v>
      </c>
      <c r="F202" s="4" t="s">
        <v>2519</v>
      </c>
      <c r="G202" s="8" t="n">
        <v>75</v>
      </c>
      <c r="H202" s="8" t="n">
        <v>6</v>
      </c>
      <c r="I202" s="4" t="s">
        <v>2517</v>
      </c>
      <c r="J202" s="8" t="n">
        <v>47</v>
      </c>
      <c r="K202" s="8" t="n">
        <v>3</v>
      </c>
      <c r="L202" s="4" t="s">
        <v>2514</v>
      </c>
      <c r="M202" s="8" t="n">
        <v>37</v>
      </c>
      <c r="N202" s="8" t="n">
        <v>28</v>
      </c>
      <c r="O202" s="8" t="n">
        <v>10</v>
      </c>
      <c r="P202" s="8" t="n">
        <v>122</v>
      </c>
      <c r="Q202" s="8" t="str">
        <f aca="false">IF(A202="","",IF(AND(Y202&lt;&gt;"参考",G202&gt;=ルール設定!$B$2),"○",""))</f>
        <v/>
      </c>
      <c r="R202" s="8" t="str">
        <f aca="false">IF(A202="","",IF(AND(Y202&lt;&gt;"参考",G202&gt;=ルール設定!$B$3,N202&gt;=ルール設定!$B$4),"○",""))</f>
        <v/>
      </c>
      <c r="S202" s="8" t="str">
        <f aca="false">IF(A202="","",IF(AND(Y202&lt;&gt;"参考",G202&gt;=ルール設定!$B$5,J202&gt;=ルール設定!$B$6,O202&gt;=ルール設定!$B$7),"○",""))</f>
        <v/>
      </c>
      <c r="T202" s="8" t="n">
        <v>1</v>
      </c>
      <c r="U202" s="8" t="n">
        <v>3</v>
      </c>
      <c r="V202" s="8" t="str">
        <f aca="false">IF(A202="","",IF(AND(ISNUMBER(T202),ISNUMBER(U202)),IF(AND(T202&lt;=3,U202&lt;=3),"○","×"),""))</f>
        <v>○</v>
      </c>
      <c r="W202" s="8" t="n">
        <v>110</v>
      </c>
      <c r="X202" s="8" t="n">
        <v>260</v>
      </c>
      <c r="Y202" s="4" t="s">
        <v>7597</v>
      </c>
      <c r="Z202" s="4" t="s">
        <v>7706</v>
      </c>
      <c r="AA202" s="8" t="str">
        <v/>
      </c>
      <c r="AB202" s="8" t="str">
        <v/>
      </c>
      <c r="AC202" s="8" t="str">
        <v/>
      </c>
      <c r="AD202" s="8" t="str">
        <v/>
      </c>
      <c r="AE202" s="8" t="str">
        <v/>
      </c>
      <c r="AF202" s="8" t="str">
        <v/>
      </c>
      <c r="AG202" s="8" t="str">
        <v/>
      </c>
      <c r="AH202" s="8" t="str">
        <v/>
      </c>
      <c r="AI202" s="8" t="n">
        <v>38</v>
      </c>
      <c r="AJ202" s="8" t="str">
        <v>75～79</v>
      </c>
      <c r="AK202" s="8" t="str">
        <v>20～29</v>
      </c>
      <c r="AL202" s="8" t="str">
        <v>30～39</v>
      </c>
      <c r="AM202" s="8" t="str">
        <v>120～139</v>
      </c>
      <c r="AN202" s="8" t="str">
        <v>8～11</v>
      </c>
      <c r="AO202" s="8" t="str">
        <f aca="false">IF(A202="","",IF(COUNTIFS(全馬データ!$A$2:$A$50000,A202,全馬データ!$B$2:$B$50000,B202,全馬データ!$C$2:$C$50000,C202,全馬データ!$D$2:$D$50000,E202,全馬データ!$K$2:$K$50000,"&lt;&gt;")=0,"",SUMIFS(全馬データ!$K$2:$K$50000,全馬データ!$A$2:$A$50000,A202,全馬データ!$B$2:$B$50000,B202,全馬データ!$C$2:$C$50000,C202,全馬データ!$D$2:$D$50000,E202)))</f>
        <v/>
      </c>
      <c r="AP202" s="8" t="str">
        <f aca="false">IF(A202="","",IF(AO202="","欠損",IF(AO202&lt;=1.1,"1.0～1.1",IF(AO202&lt;1.3,"1.2",IF(AO202&lt;1.5,"1.3～1.4",IF(AO202&lt;2,"1.5～1.9","2.0以上"))))))</f>
        <v>欠損</v>
      </c>
      <c r="AQ202" s="8" t="str">
        <f aca="false">IF(A202="","",IF(ISNUMBER(SEARCH("2歳",Z202)),"2歳戦",IF(ISNUMBER(SEARCH("3歳未勝利",Z202)),"3歳未勝利",IF(ISNUMBER(SEARCH("未勝利",Z202)),"その他未勝利",IF(ISNUMBER(SEARCH("G1",Z202)),"G1",IF(ISNUMBER(SEARCH("G2",Z202)),"G2",IF(ISNUMBER(SEARCH("G3",Z202)),"G3",IF(ISNUMBER(SEARCH("古馬条件",Z202)),"古馬条件戦",IF(ISNUMBER(SEARCH("重賞",Z202)),"重賞","分類不能")))))))))</f>
        <v>分類不能</v>
      </c>
      <c r="AR202" s="4" t="s">
        <v>7720</v>
      </c>
      <c r="AS202" s="8" t="s">
        <v>7626</v>
      </c>
      <c r="AT202" s="8" t="s">
        <v>7627</v>
      </c>
      <c r="AU202" s="8" t="s">
        <v>7634</v>
      </c>
      <c r="AV202" s="8" t="s">
        <v>7635</v>
      </c>
      <c r="AW202" s="8" t="s">
        <v>7636</v>
      </c>
      <c r="AX202" s="4" t="s">
        <v>7637</v>
      </c>
      <c r="AY202" s="8" t="s">
        <v>7610</v>
      </c>
      <c r="AZ202" s="4" t="s">
        <v>7617</v>
      </c>
      <c r="BA202" s="8" t="n">
        <v>1700</v>
      </c>
      <c r="BB202" s="8" t="s">
        <v>7634</v>
      </c>
      <c r="BC202" s="4" t="s">
        <v>7604</v>
      </c>
      <c r="BD202" s="8" t="s">
        <v>7630</v>
      </c>
      <c r="BE202" s="4" t="s">
        <v>7606</v>
      </c>
      <c r="BF202" s="8" t="s">
        <v>7607</v>
      </c>
      <c r="BG202" s="8" t="s">
        <v>7631</v>
      </c>
      <c r="BH202" s="4" t="s">
        <v>7632</v>
      </c>
      <c r="BI202" s="8" t="n">
        <v>10</v>
      </c>
      <c r="BJ202" s="8" t="s">
        <v>7602</v>
      </c>
      <c r="BK202" s="4" t="s">
        <v>7653</v>
      </c>
      <c r="BL202" s="8" t="s">
        <v>7602</v>
      </c>
      <c r="BM202" s="4" t="s">
        <v>7620</v>
      </c>
      <c r="BN202" s="8"/>
      <c r="BO202" s="8"/>
      <c r="BP202" s="8" t="s">
        <v>7610</v>
      </c>
      <c r="BQ202" s="8" t="str">
        <f aca="false">IF(A202="","",AT202)</f>
        <v>3歳以上</v>
      </c>
      <c r="BR202" s="8" t="str">
        <f aca="false">IF(A202="","",IF(BA202&lt;=1200,"～1200",IF(BA202&lt;=1500,"1300～1500",IF(BA202=1600,"1600",IF(BA202&lt;=1800,"1700～1800",IF(BA202&lt;=2000,"1900～2000","2100以上"))))))</f>
        <v>1700～1800</v>
      </c>
      <c r="BS202" s="8" t="str">
        <f aca="false">IF(A202="","",IF(AX202="G1","G1",IF(AX202="G2","G2",IF(AX202="G3","G3",IF(AX202="L","L","その他")))))</f>
        <v>その他</v>
      </c>
      <c r="BT202" s="8" t="str">
        <f aca="false">IF(A202="","",IF(BI202="","未結合",IF(D202=BI202,"一致","不一致")))</f>
        <v>一致</v>
      </c>
      <c r="BU202" s="8" t="str">
        <f aca="false">IF(A202="","",IF(BE202="牝馬限定","牝馬限定","その他"))</f>
        <v>その他</v>
      </c>
    </row>
    <row r="203" customFormat="false" ht="15.75" hidden="false" customHeight="false" outlineLevel="0" collapsed="false">
      <c r="A203" s="6" t="n">
        <v>46215</v>
      </c>
      <c r="B203" s="4" t="s">
        <v>1091</v>
      </c>
      <c r="C203" s="8" t="n">
        <v>10</v>
      </c>
      <c r="D203" s="8" t="n">
        <v>11</v>
      </c>
      <c r="E203" s="8" t="n">
        <v>3</v>
      </c>
      <c r="F203" s="4" t="s">
        <v>2524</v>
      </c>
      <c r="G203" s="8" t="n">
        <v>39</v>
      </c>
      <c r="H203" s="8" t="n">
        <v>7</v>
      </c>
      <c r="I203" s="4" t="s">
        <v>2527</v>
      </c>
      <c r="J203" s="8" t="n">
        <v>37</v>
      </c>
      <c r="K203" s="8" t="n">
        <v>1</v>
      </c>
      <c r="L203" s="4" t="s">
        <v>2522</v>
      </c>
      <c r="M203" s="8" t="n">
        <v>34</v>
      </c>
      <c r="N203" s="8" t="n">
        <v>2</v>
      </c>
      <c r="O203" s="8" t="n">
        <v>3</v>
      </c>
      <c r="P203" s="8" t="n">
        <v>76</v>
      </c>
      <c r="Q203" s="8" t="str">
        <f aca="false">IF(A203="","",IF(AND(Y203&lt;&gt;"参考",G203&gt;=ルール設定!$B$2),"○",""))</f>
        <v/>
      </c>
      <c r="R203" s="8" t="str">
        <f aca="false">IF(A203="","",IF(AND(Y203&lt;&gt;"参考",G203&gt;=ルール設定!$B$3,N203&gt;=ルール設定!$B$4),"○",""))</f>
        <v/>
      </c>
      <c r="S203" s="8" t="str">
        <f aca="false">IF(A203="","",IF(AND(Y203&lt;&gt;"参考",G203&gt;=ルール設定!$B$5,J203&gt;=ルール設定!$B$6,O203&gt;=ルール設定!$B$7),"○",""))</f>
        <v/>
      </c>
      <c r="T203" s="8" t="n">
        <v>4</v>
      </c>
      <c r="U203" s="8" t="n">
        <v>4</v>
      </c>
      <c r="V203" s="8" t="str">
        <f aca="false">IF(A203="","",IF(AND(ISNUMBER(T203),ISNUMBER(U203)),IF(AND(T203&lt;=3,U203&lt;=3),"○","×"),""))</f>
        <v>×</v>
      </c>
      <c r="W203" s="8"/>
      <c r="X203" s="8"/>
      <c r="Y203" s="4" t="s">
        <v>7597</v>
      </c>
      <c r="Z203" s="4" t="s">
        <v>7706</v>
      </c>
      <c r="AA203" s="8" t="str">
        <v/>
      </c>
      <c r="AB203" s="8" t="str">
        <v/>
      </c>
      <c r="AC203" s="8" t="str">
        <v/>
      </c>
      <c r="AD203" s="8" t="str">
        <v/>
      </c>
      <c r="AE203" s="8" t="str">
        <v/>
      </c>
      <c r="AF203" s="8" t="str">
        <v/>
      </c>
      <c r="AG203" s="8" t="str">
        <v/>
      </c>
      <c r="AH203" s="8" t="str">
        <v/>
      </c>
      <c r="AI203" s="8" t="n">
        <v>5</v>
      </c>
      <c r="AJ203" s="8" t="str">
        <v>～59</v>
      </c>
      <c r="AK203" s="8" t="str">
        <v>0～4</v>
      </c>
      <c r="AL203" s="8" t="str">
        <v>0～9</v>
      </c>
      <c r="AM203" s="8" t="str">
        <v>～99</v>
      </c>
      <c r="AN203" s="8" t="str">
        <v>8～11</v>
      </c>
      <c r="AO203" s="8" t="str">
        <f aca="false">IF(A203="","",IF(COUNTIFS(全馬データ!$A$2:$A$50000,A203,全馬データ!$B$2:$B$50000,B203,全馬データ!$C$2:$C$50000,C203,全馬データ!$D$2:$D$50000,E203,全馬データ!$K$2:$K$50000,"&lt;&gt;")=0,"",SUMIFS(全馬データ!$K$2:$K$50000,全馬データ!$A$2:$A$50000,A203,全馬データ!$B$2:$B$50000,B203,全馬データ!$C$2:$C$50000,C203,全馬データ!$D$2:$D$50000,E203)))</f>
        <v/>
      </c>
      <c r="AP203" s="8" t="str">
        <f aca="false">IF(A203="","",IF(AO203="","欠損",IF(AO203&lt;=1.1,"1.0～1.1",IF(AO203&lt;1.3,"1.2",IF(AO203&lt;1.5,"1.3～1.4",IF(AO203&lt;2,"1.5～1.9","2.0以上"))))))</f>
        <v>欠損</v>
      </c>
      <c r="AQ203" s="8" t="str">
        <f aca="false">IF(A203="","",IF(ISNUMBER(SEARCH("2歳",Z203)),"2歳戦",IF(ISNUMBER(SEARCH("3歳未勝利",Z203)),"3歳未勝利",IF(ISNUMBER(SEARCH("未勝利",Z203)),"その他未勝利",IF(ISNUMBER(SEARCH("G1",Z203)),"G1",IF(ISNUMBER(SEARCH("G2",Z203)),"G2",IF(ISNUMBER(SEARCH("G3",Z203)),"G3",IF(ISNUMBER(SEARCH("古馬条件",Z203)),"古馬条件戦",IF(ISNUMBER(SEARCH("重賞",Z203)),"重賞","分類不能")))))))))</f>
        <v>分類不能</v>
      </c>
      <c r="AR203" s="4" t="s">
        <v>7721</v>
      </c>
      <c r="AS203" s="8" t="s">
        <v>7626</v>
      </c>
      <c r="AT203" s="8" t="s">
        <v>7627</v>
      </c>
      <c r="AU203" s="8" t="s">
        <v>7634</v>
      </c>
      <c r="AV203" s="8" t="s">
        <v>7635</v>
      </c>
      <c r="AW203" s="8" t="s">
        <v>7636</v>
      </c>
      <c r="AX203" s="4" t="s">
        <v>7637</v>
      </c>
      <c r="AY203" s="8" t="s">
        <v>7602</v>
      </c>
      <c r="AZ203" s="4" t="s">
        <v>7603</v>
      </c>
      <c r="BA203" s="8" t="n">
        <v>2000</v>
      </c>
      <c r="BB203" s="8" t="s">
        <v>7598</v>
      </c>
      <c r="BC203" s="4" t="s">
        <v>7604</v>
      </c>
      <c r="BD203" s="8" t="s">
        <v>7605</v>
      </c>
      <c r="BE203" s="4" t="s">
        <v>7606</v>
      </c>
      <c r="BF203" s="8" t="s">
        <v>7607</v>
      </c>
      <c r="BG203" s="8" t="s">
        <v>7602</v>
      </c>
      <c r="BH203" s="4" t="s">
        <v>7667</v>
      </c>
      <c r="BI203" s="8" t="n">
        <v>11</v>
      </c>
      <c r="BJ203" s="8" t="s">
        <v>7602</v>
      </c>
      <c r="BK203" s="4" t="s">
        <v>7653</v>
      </c>
      <c r="BL203" s="8" t="s">
        <v>7602</v>
      </c>
      <c r="BM203" s="4" t="s">
        <v>7620</v>
      </c>
      <c r="BN203" s="8" t="s">
        <v>7602</v>
      </c>
      <c r="BO203" s="8" t="s">
        <v>7613</v>
      </c>
      <c r="BP203" s="8" t="s">
        <v>7610</v>
      </c>
      <c r="BQ203" s="8" t="str">
        <f aca="false">IF(A203="","",AT203)</f>
        <v>3歳以上</v>
      </c>
      <c r="BR203" s="8" t="str">
        <f aca="false">IF(A203="","",IF(BA203&lt;=1200,"～1200",IF(BA203&lt;=1500,"1300～1500",IF(BA203=1600,"1600",IF(BA203&lt;=1800,"1700～1800",IF(BA203&lt;=2000,"1900～2000","2100以上"))))))</f>
        <v>1900～2000</v>
      </c>
      <c r="BS203" s="8" t="str">
        <f aca="false">IF(A203="","",IF(AX203="G1","G1",IF(AX203="G2","G2",IF(AX203="G3","G3",IF(AX203="L","L","その他")))))</f>
        <v>その他</v>
      </c>
      <c r="BT203" s="8" t="str">
        <f aca="false">IF(A203="","",IF(BI203="","未結合",IF(D203=BI203,"一致","不一致")))</f>
        <v>一致</v>
      </c>
      <c r="BU203" s="8" t="str">
        <f aca="false">IF(A203="","",IF(BE203="牝馬限定","牝馬限定","その他"))</f>
        <v>その他</v>
      </c>
    </row>
    <row r="204" customFormat="false" ht="15.75" hidden="false" customHeight="false" outlineLevel="0" collapsed="false">
      <c r="A204" s="6" t="n">
        <v>46215</v>
      </c>
      <c r="B204" s="4" t="s">
        <v>1091</v>
      </c>
      <c r="C204" s="8" t="n">
        <v>11</v>
      </c>
      <c r="D204" s="8" t="n">
        <v>11</v>
      </c>
      <c r="E204" s="8" t="n">
        <v>11</v>
      </c>
      <c r="F204" s="4" t="s">
        <v>2541</v>
      </c>
      <c r="G204" s="8" t="n">
        <v>65</v>
      </c>
      <c r="H204" s="8" t="n">
        <v>3</v>
      </c>
      <c r="I204" s="4" t="s">
        <v>2533</v>
      </c>
      <c r="J204" s="8" t="n">
        <v>56</v>
      </c>
      <c r="K204" s="8" t="n">
        <v>7</v>
      </c>
      <c r="L204" s="4" t="s">
        <v>2537</v>
      </c>
      <c r="M204" s="8" t="n">
        <v>41</v>
      </c>
      <c r="N204" s="8" t="n">
        <v>9</v>
      </c>
      <c r="O204" s="8" t="n">
        <v>15</v>
      </c>
      <c r="P204" s="8" t="n">
        <v>121</v>
      </c>
      <c r="Q204" s="8" t="str">
        <f aca="false">IF(A204="","",IF(AND(Y204&lt;&gt;"参考",G204&gt;=ルール設定!$B$2),"○",""))</f>
        <v/>
      </c>
      <c r="R204" s="8" t="str">
        <f aca="false">IF(A204="","",IF(AND(Y204&lt;&gt;"参考",G204&gt;=ルール設定!$B$3,N204&gt;=ルール設定!$B$4),"○",""))</f>
        <v/>
      </c>
      <c r="S204" s="8" t="str">
        <f aca="false">IF(A204="","",IF(AND(Y204&lt;&gt;"参考",G204&gt;=ルール設定!$B$5,J204&gt;=ルール設定!$B$6,O204&gt;=ルール設定!$B$7),"○",""))</f>
        <v/>
      </c>
      <c r="T204" s="8" t="n">
        <v>4</v>
      </c>
      <c r="U204" s="8" t="n">
        <v>4</v>
      </c>
      <c r="V204" s="8" t="str">
        <f aca="false">IF(A204="","",IF(AND(ISNUMBER(T204),ISNUMBER(U204)),IF(AND(T204&lt;=3,U204&lt;=3),"○","×"),""))</f>
        <v>×</v>
      </c>
      <c r="W204" s="8"/>
      <c r="X204" s="8"/>
      <c r="Y204" s="4" t="s">
        <v>7597</v>
      </c>
      <c r="Z204" s="4" t="s">
        <v>7706</v>
      </c>
      <c r="AA204" s="8" t="str">
        <v/>
      </c>
      <c r="AB204" s="8" t="str">
        <v/>
      </c>
      <c r="AC204" s="8" t="str">
        <v/>
      </c>
      <c r="AD204" s="8" t="str">
        <v/>
      </c>
      <c r="AE204" s="8" t="str">
        <v/>
      </c>
      <c r="AF204" s="8" t="str">
        <v/>
      </c>
      <c r="AG204" s="8" t="str">
        <v/>
      </c>
      <c r="AH204" s="8" t="str">
        <v/>
      </c>
      <c r="AI204" s="8" t="n">
        <v>24</v>
      </c>
      <c r="AJ204" s="8" t="str">
        <v>60～69</v>
      </c>
      <c r="AK204" s="8" t="str">
        <v>5～9</v>
      </c>
      <c r="AL204" s="8" t="str">
        <v>20～29</v>
      </c>
      <c r="AM204" s="8" t="str">
        <v>120～139</v>
      </c>
      <c r="AN204" s="8" t="str">
        <v>8～11</v>
      </c>
      <c r="AO204" s="8" t="str">
        <f aca="false">IF(A204="","",IF(COUNTIFS(全馬データ!$A$2:$A$50000,A204,全馬データ!$B$2:$B$50000,B204,全馬データ!$C$2:$C$50000,C204,全馬データ!$D$2:$D$50000,E204,全馬データ!$K$2:$K$50000,"&lt;&gt;")=0,"",SUMIFS(全馬データ!$K$2:$K$50000,全馬データ!$A$2:$A$50000,A204,全馬データ!$B$2:$B$50000,B204,全馬データ!$C$2:$C$50000,C204,全馬データ!$D$2:$D$50000,E204)))</f>
        <v/>
      </c>
      <c r="AP204" s="8" t="str">
        <f aca="false">IF(A204="","",IF(AO204="","欠損",IF(AO204&lt;=1.1,"1.0～1.1",IF(AO204&lt;1.3,"1.2",IF(AO204&lt;1.5,"1.3～1.4",IF(AO204&lt;2,"1.5～1.9","2.0以上"))))))</f>
        <v>欠損</v>
      </c>
      <c r="AQ204" s="8" t="str">
        <f aca="false">IF(A204="","",IF(ISNUMBER(SEARCH("2歳",Z204)),"2歳戦",IF(ISNUMBER(SEARCH("3歳未勝利",Z204)),"3歳未勝利",IF(ISNUMBER(SEARCH("未勝利",Z204)),"その他未勝利",IF(ISNUMBER(SEARCH("G1",Z204)),"G1",IF(ISNUMBER(SEARCH("G2",Z204)),"G2",IF(ISNUMBER(SEARCH("G3",Z204)),"G3",IF(ISNUMBER(SEARCH("古馬条件",Z204)),"古馬条件戦",IF(ISNUMBER(SEARCH("重賞",Z204)),"重賞","分類不能")))))))))</f>
        <v>分類不能</v>
      </c>
      <c r="AR204" s="4" t="s">
        <v>7722</v>
      </c>
      <c r="AS204" s="8" t="s">
        <v>7626</v>
      </c>
      <c r="AT204" s="8" t="s">
        <v>7627</v>
      </c>
      <c r="AU204" s="8" t="s">
        <v>7643</v>
      </c>
      <c r="AV204" s="4" t="s">
        <v>7644</v>
      </c>
      <c r="AW204" s="8" t="s">
        <v>7636</v>
      </c>
      <c r="AX204" s="4" t="s">
        <v>7637</v>
      </c>
      <c r="AY204" s="8" t="s">
        <v>7610</v>
      </c>
      <c r="AZ204" s="4" t="s">
        <v>7617</v>
      </c>
      <c r="BA204" s="8" t="n">
        <v>1700</v>
      </c>
      <c r="BB204" s="8" t="s">
        <v>7634</v>
      </c>
      <c r="BC204" s="4" t="s">
        <v>7604</v>
      </c>
      <c r="BD204" s="8" t="s">
        <v>7666</v>
      </c>
      <c r="BE204" s="4" t="s">
        <v>7606</v>
      </c>
      <c r="BF204" s="8" t="s">
        <v>7607</v>
      </c>
      <c r="BG204" s="8" t="s">
        <v>7610</v>
      </c>
      <c r="BH204" s="4" t="s">
        <v>7646</v>
      </c>
      <c r="BI204" s="8" t="n">
        <v>11</v>
      </c>
      <c r="BJ204" s="8" t="s">
        <v>7602</v>
      </c>
      <c r="BK204" s="4" t="s">
        <v>7653</v>
      </c>
      <c r="BL204" s="8" t="s">
        <v>7602</v>
      </c>
      <c r="BM204" s="4" t="s">
        <v>7620</v>
      </c>
      <c r="BN204" s="8"/>
      <c r="BO204" s="8"/>
      <c r="BP204" s="8" t="s">
        <v>7610</v>
      </c>
      <c r="BQ204" s="8" t="str">
        <f aca="false">IF(A204="","",AT204)</f>
        <v>3歳以上</v>
      </c>
      <c r="BR204" s="8" t="str">
        <f aca="false">IF(A204="","",IF(BA204&lt;=1200,"～1200",IF(BA204&lt;=1500,"1300～1500",IF(BA204=1600,"1600",IF(BA204&lt;=1800,"1700～1800",IF(BA204&lt;=2000,"1900～2000","2100以上"))))))</f>
        <v>1700～1800</v>
      </c>
      <c r="BS204" s="8" t="str">
        <f aca="false">IF(A204="","",IF(AX204="G1","G1",IF(AX204="G2","G2",IF(AX204="G3","G3",IF(AX204="L","L","その他")))))</f>
        <v>その他</v>
      </c>
      <c r="BT204" s="8" t="str">
        <f aca="false">IF(A204="","",IF(BI204="","未結合",IF(D204=BI204,"一致","不一致")))</f>
        <v>一致</v>
      </c>
      <c r="BU204" s="8" t="str">
        <f aca="false">IF(A204="","",IF(BE204="牝馬限定","牝馬限定","その他"))</f>
        <v>その他</v>
      </c>
    </row>
    <row r="205" customFormat="false" ht="15.75" hidden="false" customHeight="false" outlineLevel="0" collapsed="false">
      <c r="A205" s="6" t="n">
        <v>46215</v>
      </c>
      <c r="B205" s="4" t="s">
        <v>1091</v>
      </c>
      <c r="C205" s="8" t="n">
        <v>12</v>
      </c>
      <c r="D205" s="8" t="n">
        <v>17</v>
      </c>
      <c r="E205" s="8" t="n">
        <v>15</v>
      </c>
      <c r="F205" s="4" t="s">
        <v>2554</v>
      </c>
      <c r="G205" s="8" t="n">
        <v>52</v>
      </c>
      <c r="H205" s="8" t="n">
        <v>8</v>
      </c>
      <c r="I205" s="4" t="s">
        <v>2548</v>
      </c>
      <c r="J205" s="8" t="n">
        <v>50</v>
      </c>
      <c r="K205" s="8" t="n">
        <v>1</v>
      </c>
      <c r="L205" s="4" t="s">
        <v>2542</v>
      </c>
      <c r="M205" s="8" t="n">
        <v>37</v>
      </c>
      <c r="N205" s="8" t="n">
        <v>2</v>
      </c>
      <c r="O205" s="8" t="n">
        <v>13</v>
      </c>
      <c r="P205" s="8" t="n">
        <v>102</v>
      </c>
      <c r="Q205" s="8" t="str">
        <f aca="false">IF(A205="","",IF(AND(Y205&lt;&gt;"参考",G205&gt;=ルール設定!$B$2),"○",""))</f>
        <v/>
      </c>
      <c r="R205" s="8" t="str">
        <f aca="false">IF(A205="","",IF(AND(Y205&lt;&gt;"参考",G205&gt;=ルール設定!$B$3,N205&gt;=ルール設定!$B$4),"○",""))</f>
        <v/>
      </c>
      <c r="S205" s="8" t="str">
        <f aca="false">IF(A205="","",IF(AND(Y205&lt;&gt;"参考",G205&gt;=ルール設定!$B$5,J205&gt;=ルール設定!$B$6,O205&gt;=ルール設定!$B$7),"○",""))</f>
        <v/>
      </c>
      <c r="T205" s="8" t="n">
        <v>2</v>
      </c>
      <c r="U205" s="8" t="n">
        <v>1</v>
      </c>
      <c r="V205" s="8" t="str">
        <f aca="false">IF(A205="","",IF(AND(ISNUMBER(T205),ISNUMBER(U205)),IF(AND(T205&lt;=3,U205&lt;=3),"○","×"),""))</f>
        <v>○</v>
      </c>
      <c r="W205" s="8" t="n">
        <v>240</v>
      </c>
      <c r="X205" s="8" t="n">
        <v>610</v>
      </c>
      <c r="Y205" s="4" t="s">
        <v>7597</v>
      </c>
      <c r="Z205" s="4" t="s">
        <v>7706</v>
      </c>
      <c r="AA205" s="8" t="str">
        <v/>
      </c>
      <c r="AB205" s="8" t="str">
        <v/>
      </c>
      <c r="AC205" s="8" t="str">
        <v/>
      </c>
      <c r="AD205" s="8" t="str">
        <v/>
      </c>
      <c r="AE205" s="8" t="str">
        <v/>
      </c>
      <c r="AF205" s="8" t="str">
        <v/>
      </c>
      <c r="AG205" s="8" t="str">
        <v/>
      </c>
      <c r="AH205" s="8" t="str">
        <v/>
      </c>
      <c r="AI205" s="8" t="n">
        <v>15</v>
      </c>
      <c r="AJ205" s="8" t="str">
        <v>～59</v>
      </c>
      <c r="AK205" s="8" t="str">
        <v>0～4</v>
      </c>
      <c r="AL205" s="8" t="str">
        <v>10～19</v>
      </c>
      <c r="AM205" s="8" t="str">
        <v>100～119</v>
      </c>
      <c r="AN205" s="8" t="str">
        <v>15以上</v>
      </c>
      <c r="AO205" s="8" t="str">
        <f aca="false">IF(A205="","",IF(COUNTIFS(全馬データ!$A$2:$A$50000,A205,全馬データ!$B$2:$B$50000,B205,全馬データ!$C$2:$C$50000,C205,全馬データ!$D$2:$D$50000,E205,全馬データ!$K$2:$K$50000,"&lt;&gt;")=0,"",SUMIFS(全馬データ!$K$2:$K$50000,全馬データ!$A$2:$A$50000,A205,全馬データ!$B$2:$B$50000,B205,全馬データ!$C$2:$C$50000,C205,全馬データ!$D$2:$D$50000,E205)))</f>
        <v/>
      </c>
      <c r="AP205" s="8" t="str">
        <f aca="false">IF(A205="","",IF(AO205="","欠損",IF(AO205&lt;=1.1,"1.0～1.1",IF(AO205&lt;1.3,"1.2",IF(AO205&lt;1.5,"1.3～1.4",IF(AO205&lt;2,"1.5～1.9","2.0以上"))))))</f>
        <v>欠損</v>
      </c>
      <c r="AQ205" s="8" t="str">
        <f aca="false">IF(A205="","",IF(ISNUMBER(SEARCH("2歳",Z205)),"2歳戦",IF(ISNUMBER(SEARCH("3歳未勝利",Z205)),"3歳未勝利",IF(ISNUMBER(SEARCH("未勝利",Z205)),"その他未勝利",IF(ISNUMBER(SEARCH("G1",Z205)),"G1",IF(ISNUMBER(SEARCH("G2",Z205)),"G2",IF(ISNUMBER(SEARCH("G3",Z205)),"G3",IF(ISNUMBER(SEARCH("古馬条件",Z205)),"古馬条件戦",IF(ISNUMBER(SEARCH("重賞",Z205)),"重賞","分類不能")))))))))</f>
        <v>分類不能</v>
      </c>
      <c r="AR205" s="8"/>
      <c r="AS205" s="8" t="s">
        <v>7626</v>
      </c>
      <c r="AT205" s="8" t="s">
        <v>7627</v>
      </c>
      <c r="AU205" s="8" t="s">
        <v>7628</v>
      </c>
      <c r="AV205" s="8" t="s">
        <v>7629</v>
      </c>
      <c r="AW205" s="8"/>
      <c r="AX205" s="8"/>
      <c r="AY205" s="8" t="s">
        <v>7602</v>
      </c>
      <c r="AZ205" s="4" t="s">
        <v>7603</v>
      </c>
      <c r="BA205" s="8" t="n">
        <v>1200</v>
      </c>
      <c r="BB205" s="8" t="s">
        <v>7598</v>
      </c>
      <c r="BC205" s="4" t="s">
        <v>7604</v>
      </c>
      <c r="BD205" s="8" t="s">
        <v>7625</v>
      </c>
      <c r="BE205" s="4" t="s">
        <v>7606</v>
      </c>
      <c r="BF205" s="8" t="s">
        <v>7607</v>
      </c>
      <c r="BG205" s="8" t="s">
        <v>7631</v>
      </c>
      <c r="BH205" s="4" t="s">
        <v>7632</v>
      </c>
      <c r="BI205" s="8" t="n">
        <v>17</v>
      </c>
      <c r="BJ205" s="8" t="s">
        <v>7602</v>
      </c>
      <c r="BK205" s="4" t="s">
        <v>7653</v>
      </c>
      <c r="BL205" s="8" t="s">
        <v>7602</v>
      </c>
      <c r="BM205" s="4" t="s">
        <v>7620</v>
      </c>
      <c r="BN205" s="8" t="s">
        <v>7602</v>
      </c>
      <c r="BO205" s="8" t="s">
        <v>7613</v>
      </c>
      <c r="BP205" s="8" t="s">
        <v>7610</v>
      </c>
      <c r="BQ205" s="8" t="str">
        <f aca="false">IF(A205="","",AT205)</f>
        <v>3歳以上</v>
      </c>
      <c r="BR205" s="8" t="str">
        <f aca="false">IF(A205="","",IF(BA205&lt;=1200,"～1200",IF(BA205&lt;=1500,"1300～1500",IF(BA205=1600,"1600",IF(BA205&lt;=1800,"1700～1800",IF(BA205&lt;=2000,"1900～2000","2100以上"))))))</f>
        <v>～1200</v>
      </c>
      <c r="BS205" s="8" t="str">
        <f aca="false">IF(A205="","",IF(AX205="G1","G1",IF(AX205="G2","G2",IF(AX205="G3","G3",IF(AX205="L","L","その他")))))</f>
        <v>その他</v>
      </c>
      <c r="BT205" s="8" t="str">
        <f aca="false">IF(A205="","",IF(BI205="","未結合",IF(D205=BI205,"一致","不一致")))</f>
        <v>一致</v>
      </c>
      <c r="BU205" s="8" t="str">
        <f aca="false">IF(A205="","",IF(BE205="牝馬限定","牝馬限定","その他"))</f>
        <v>その他</v>
      </c>
    </row>
    <row r="206" customFormat="false" ht="15.75" hidden="false" customHeight="false" outlineLevel="0" collapsed="false">
      <c r="A206" s="6" t="n">
        <v>46215</v>
      </c>
      <c r="B206" s="4" t="s">
        <v>1237</v>
      </c>
      <c r="C206" s="8" t="n">
        <v>1</v>
      </c>
      <c r="D206" s="8" t="n">
        <v>12</v>
      </c>
      <c r="E206" s="8" t="n">
        <v>4</v>
      </c>
      <c r="F206" s="4" t="s">
        <v>860</v>
      </c>
      <c r="G206" s="8" t="n">
        <v>65</v>
      </c>
      <c r="H206" s="8" t="n">
        <v>6</v>
      </c>
      <c r="I206" s="4" t="s">
        <v>2560</v>
      </c>
      <c r="J206" s="8" t="n">
        <v>60</v>
      </c>
      <c r="K206" s="8" t="n">
        <v>12</v>
      </c>
      <c r="L206" s="4" t="s">
        <v>2565</v>
      </c>
      <c r="M206" s="8" t="n">
        <v>58</v>
      </c>
      <c r="N206" s="8" t="n">
        <v>5</v>
      </c>
      <c r="O206" s="8" t="n">
        <v>2</v>
      </c>
      <c r="P206" s="8" t="n">
        <v>125</v>
      </c>
      <c r="Q206" s="8" t="str">
        <f aca="false">IF(A206="","",IF(AND(Y206&lt;&gt;"参考",G206&gt;=ルール設定!$B$2),"○",""))</f>
        <v/>
      </c>
      <c r="R206" s="8" t="str">
        <f aca="false">IF(A206="","",IF(AND(Y206&lt;&gt;"参考",G206&gt;=ルール設定!$B$3,N206&gt;=ルール設定!$B$4),"○",""))</f>
        <v/>
      </c>
      <c r="S206" s="8" t="str">
        <f aca="false">IF(A206="","",IF(AND(Y206&lt;&gt;"参考",G206&gt;=ルール設定!$B$5,J206&gt;=ルール設定!$B$6,O206&gt;=ルール設定!$B$7),"○",""))</f>
        <v/>
      </c>
      <c r="T206" s="8" t="n">
        <v>1</v>
      </c>
      <c r="U206" s="8" t="n">
        <v>2</v>
      </c>
      <c r="V206" s="8" t="str">
        <f aca="false">IF(A206="","",IF(AND(ISNUMBER(T206),ISNUMBER(U206)),IF(AND(T206&lt;=3,U206&lt;=3),"○","×"),""))</f>
        <v>○</v>
      </c>
      <c r="W206" s="8" t="n">
        <v>120</v>
      </c>
      <c r="X206" s="8" t="n">
        <v>180</v>
      </c>
      <c r="Y206" s="4" t="s">
        <v>7597</v>
      </c>
      <c r="Z206" s="4" t="s">
        <v>7706</v>
      </c>
      <c r="AA206" s="8" t="str">
        <v/>
      </c>
      <c r="AB206" s="8" t="str">
        <v/>
      </c>
      <c r="AC206" s="8" t="str">
        <v/>
      </c>
      <c r="AD206" s="8" t="str">
        <v/>
      </c>
      <c r="AE206" s="8" t="str">
        <v/>
      </c>
      <c r="AF206" s="8" t="str">
        <v/>
      </c>
      <c r="AG206" s="8" t="str">
        <v/>
      </c>
      <c r="AH206" s="8" t="str">
        <v/>
      </c>
      <c r="AI206" s="8" t="n">
        <v>7</v>
      </c>
      <c r="AJ206" s="8" t="str">
        <v>60～69</v>
      </c>
      <c r="AK206" s="8" t="str">
        <v>5～9</v>
      </c>
      <c r="AL206" s="8" t="str">
        <v>0～9</v>
      </c>
      <c r="AM206" s="8" t="str">
        <v>120～139</v>
      </c>
      <c r="AN206" s="8" t="str">
        <v>12～14</v>
      </c>
      <c r="AO206" s="8" t="str">
        <f aca="false">IF(A206="","",IF(COUNTIFS(全馬データ!$A$2:$A$50000,A206,全馬データ!$B$2:$B$50000,B206,全馬データ!$C$2:$C$50000,C206,全馬データ!$D$2:$D$50000,E206,全馬データ!$K$2:$K$50000,"&lt;&gt;")=0,"",SUMIFS(全馬データ!$K$2:$K$50000,全馬データ!$A$2:$A$50000,A206,全馬データ!$B$2:$B$50000,B206,全馬データ!$C$2:$C$50000,C206,全馬データ!$D$2:$D$50000,E206)))</f>
        <v/>
      </c>
      <c r="AP206" s="8" t="str">
        <f aca="false">IF(A206="","",IF(AO206="","欠損",IF(AO206&lt;=1.1,"1.0～1.1",IF(AO206&lt;1.3,"1.2",IF(AO206&lt;1.5,"1.3～1.4",IF(AO206&lt;2,"1.5～1.9","2.0以上"))))))</f>
        <v>欠損</v>
      </c>
      <c r="AQ206" s="8" t="str">
        <f aca="false">IF(A206="","",IF(ISNUMBER(SEARCH("2歳",Z206)),"2歳戦",IF(ISNUMBER(SEARCH("3歳未勝利",Z206)),"3歳未勝利",IF(ISNUMBER(SEARCH("未勝利",Z206)),"その他未勝利",IF(ISNUMBER(SEARCH("G1",Z206)),"G1",IF(ISNUMBER(SEARCH("G2",Z206)),"G2",IF(ISNUMBER(SEARCH("G3",Z206)),"G3",IF(ISNUMBER(SEARCH("古馬条件",Z206)),"古馬条件戦",IF(ISNUMBER(SEARCH("重賞",Z206)),"重賞","分類不能")))))))))</f>
        <v>分類不能</v>
      </c>
      <c r="AR206" s="8"/>
      <c r="AS206" s="8" t="s">
        <v>7623</v>
      </c>
      <c r="AT206" s="8" t="s">
        <v>7624</v>
      </c>
      <c r="AU206" s="8" t="s">
        <v>7600</v>
      </c>
      <c r="AV206" s="4" t="s">
        <v>7601</v>
      </c>
      <c r="AW206" s="8"/>
      <c r="AX206" s="8"/>
      <c r="AY206" s="8" t="s">
        <v>7610</v>
      </c>
      <c r="AZ206" s="4" t="s">
        <v>7617</v>
      </c>
      <c r="BA206" s="8" t="n">
        <v>1000</v>
      </c>
      <c r="BB206" s="8" t="s">
        <v>7669</v>
      </c>
      <c r="BC206" s="4" t="s">
        <v>7662</v>
      </c>
      <c r="BD206" s="8" t="s">
        <v>7605</v>
      </c>
      <c r="BE206" s="4" t="s">
        <v>7606</v>
      </c>
      <c r="BF206" s="8" t="s">
        <v>7607</v>
      </c>
      <c r="BG206" s="8" t="s">
        <v>7608</v>
      </c>
      <c r="BH206" s="4" t="s">
        <v>7609</v>
      </c>
      <c r="BI206" s="8" t="n">
        <v>12</v>
      </c>
      <c r="BJ206" s="8" t="s">
        <v>7602</v>
      </c>
      <c r="BK206" s="4" t="s">
        <v>7653</v>
      </c>
      <c r="BL206" s="8" t="s">
        <v>7602</v>
      </c>
      <c r="BM206" s="4" t="s">
        <v>7620</v>
      </c>
      <c r="BN206" s="8"/>
      <c r="BO206" s="8"/>
      <c r="BP206" s="8" t="s">
        <v>7608</v>
      </c>
      <c r="BQ206" s="8" t="str">
        <f aca="false">IF(A206="","",AT206)</f>
        <v>3歳</v>
      </c>
      <c r="BR206" s="8" t="str">
        <f aca="false">IF(A206="","",IF(BA206&lt;=1200,"～1200",IF(BA206&lt;=1500,"1300～1500",IF(BA206=1600,"1600",IF(BA206&lt;=1800,"1700～1800",IF(BA206&lt;=2000,"1900～2000","2100以上"))))))</f>
        <v>～1200</v>
      </c>
      <c r="BS206" s="8" t="str">
        <f aca="false">IF(A206="","",IF(AX206="G1","G1",IF(AX206="G2","G2",IF(AX206="G3","G3",IF(AX206="L","L","その他")))))</f>
        <v>その他</v>
      </c>
      <c r="BT206" s="8" t="str">
        <f aca="false">IF(A206="","",IF(BI206="","未結合",IF(D206=BI206,"一致","不一致")))</f>
        <v>一致</v>
      </c>
      <c r="BU206" s="8" t="str">
        <f aca="false">IF(A206="","",IF(BE206="牝馬限定","牝馬限定","その他"))</f>
        <v>その他</v>
      </c>
    </row>
    <row r="207" customFormat="false" ht="15.75" hidden="false" customHeight="false" outlineLevel="0" collapsed="false">
      <c r="A207" s="6" t="n">
        <v>46215</v>
      </c>
      <c r="B207" s="4" t="s">
        <v>1237</v>
      </c>
      <c r="C207" s="8" t="n">
        <v>2</v>
      </c>
      <c r="D207" s="8" t="n">
        <v>13</v>
      </c>
      <c r="E207" s="8" t="n">
        <v>7</v>
      </c>
      <c r="F207" s="4" t="s">
        <v>2569</v>
      </c>
      <c r="G207" s="8" t="n">
        <v>56</v>
      </c>
      <c r="H207" s="8" t="n">
        <v>9</v>
      </c>
      <c r="I207" s="4" t="s">
        <v>364</v>
      </c>
      <c r="J207" s="8" t="n">
        <v>52</v>
      </c>
      <c r="K207" s="8" t="n">
        <v>2</v>
      </c>
      <c r="L207" s="4" t="s">
        <v>2566</v>
      </c>
      <c r="M207" s="8" t="n">
        <v>34</v>
      </c>
      <c r="N207" s="8" t="n">
        <v>4</v>
      </c>
      <c r="O207" s="8" t="n">
        <v>18</v>
      </c>
      <c r="P207" s="8" t="n">
        <v>108</v>
      </c>
      <c r="Q207" s="8" t="str">
        <f aca="false">IF(A207="","",IF(AND(Y207&lt;&gt;"参考",G207&gt;=ルール設定!$B$2),"○",""))</f>
        <v/>
      </c>
      <c r="R207" s="8" t="str">
        <f aca="false">IF(A207="","",IF(AND(Y207&lt;&gt;"参考",G207&gt;=ルール設定!$B$3,N207&gt;=ルール設定!$B$4),"○",""))</f>
        <v/>
      </c>
      <c r="S207" s="8" t="str">
        <f aca="false">IF(A207="","",IF(AND(Y207&lt;&gt;"参考",G207&gt;=ルール設定!$B$5,J207&gt;=ルール設定!$B$6,O207&gt;=ルール設定!$B$7),"○",""))</f>
        <v/>
      </c>
      <c r="T207" s="8" t="n">
        <v>1</v>
      </c>
      <c r="U207" s="8" t="n">
        <v>4</v>
      </c>
      <c r="V207" s="8" t="str">
        <f aca="false">IF(A207="","",IF(AND(ISNUMBER(T207),ISNUMBER(U207)),IF(AND(T207&lt;=3,U207&lt;=3),"○","×"),""))</f>
        <v>×</v>
      </c>
      <c r="W207" s="8" t="n">
        <v>200</v>
      </c>
      <c r="X207" s="8"/>
      <c r="Y207" s="4" t="s">
        <v>7597</v>
      </c>
      <c r="Z207" s="4" t="s">
        <v>7706</v>
      </c>
      <c r="AA207" s="8" t="str">
        <v/>
      </c>
      <c r="AB207" s="8" t="str">
        <v/>
      </c>
      <c r="AC207" s="8" t="str">
        <v/>
      </c>
      <c r="AD207" s="8" t="str">
        <v/>
      </c>
      <c r="AE207" s="8" t="str">
        <v/>
      </c>
      <c r="AF207" s="8" t="str">
        <v/>
      </c>
      <c r="AG207" s="8" t="str">
        <v/>
      </c>
      <c r="AH207" s="8" t="str">
        <v/>
      </c>
      <c r="AI207" s="8" t="n">
        <v>22</v>
      </c>
      <c r="AJ207" s="8" t="str">
        <v>～59</v>
      </c>
      <c r="AK207" s="8" t="str">
        <v>0～4</v>
      </c>
      <c r="AL207" s="8" t="str">
        <v>20～29</v>
      </c>
      <c r="AM207" s="8" t="str">
        <v>100～119</v>
      </c>
      <c r="AN207" s="8" t="str">
        <v>12～14</v>
      </c>
      <c r="AO207" s="8" t="str">
        <f aca="false">IF(A207="","",IF(COUNTIFS(全馬データ!$A$2:$A$50000,A207,全馬データ!$B$2:$B$50000,B207,全馬データ!$C$2:$C$50000,C207,全馬データ!$D$2:$D$50000,E207,全馬データ!$K$2:$K$50000,"&lt;&gt;")=0,"",SUMIFS(全馬データ!$K$2:$K$50000,全馬データ!$A$2:$A$50000,A207,全馬データ!$B$2:$B$50000,B207,全馬データ!$C$2:$C$50000,C207,全馬データ!$D$2:$D$50000,E207)))</f>
        <v/>
      </c>
      <c r="AP207" s="8" t="str">
        <f aca="false">IF(A207="","",IF(AO207="","欠損",IF(AO207&lt;=1.1,"1.0～1.1",IF(AO207&lt;1.3,"1.2",IF(AO207&lt;1.5,"1.3～1.4",IF(AO207&lt;2,"1.5～1.9","2.0以上"))))))</f>
        <v>欠損</v>
      </c>
      <c r="AQ207" s="8" t="str">
        <f aca="false">IF(A207="","",IF(ISNUMBER(SEARCH("2歳",Z207)),"2歳戦",IF(ISNUMBER(SEARCH("3歳未勝利",Z207)),"3歳未勝利",IF(ISNUMBER(SEARCH("未勝利",Z207)),"その他未勝利",IF(ISNUMBER(SEARCH("G1",Z207)),"G1",IF(ISNUMBER(SEARCH("G2",Z207)),"G2",IF(ISNUMBER(SEARCH("G3",Z207)),"G3",IF(ISNUMBER(SEARCH("古馬条件",Z207)),"古馬条件戦",IF(ISNUMBER(SEARCH("重賞",Z207)),"重賞","分類不能")))))))))</f>
        <v>分類不能</v>
      </c>
      <c r="AR207" s="8"/>
      <c r="AS207" s="8" t="s">
        <v>7623</v>
      </c>
      <c r="AT207" s="8" t="s">
        <v>7624</v>
      </c>
      <c r="AU207" s="8" t="s">
        <v>7600</v>
      </c>
      <c r="AV207" s="4" t="s">
        <v>7601</v>
      </c>
      <c r="AW207" s="8"/>
      <c r="AX207" s="8"/>
      <c r="AY207" s="8" t="s">
        <v>7602</v>
      </c>
      <c r="AZ207" s="4" t="s">
        <v>7603</v>
      </c>
      <c r="BA207" s="8" t="n">
        <v>2000</v>
      </c>
      <c r="BB207" s="8" t="s">
        <v>7701</v>
      </c>
      <c r="BC207" s="4" t="s">
        <v>7658</v>
      </c>
      <c r="BD207" s="8" t="s">
        <v>7621</v>
      </c>
      <c r="BE207" s="4" t="s">
        <v>7622</v>
      </c>
      <c r="BF207" s="8" t="s">
        <v>7602</v>
      </c>
      <c r="BG207" s="8" t="s">
        <v>7608</v>
      </c>
      <c r="BH207" s="4" t="s">
        <v>7609</v>
      </c>
      <c r="BI207" s="8" t="n">
        <v>13</v>
      </c>
      <c r="BJ207" s="8" t="s">
        <v>7602</v>
      </c>
      <c r="BK207" s="4" t="s">
        <v>7653</v>
      </c>
      <c r="BL207" s="8" t="s">
        <v>7602</v>
      </c>
      <c r="BM207" s="4" t="s">
        <v>7620</v>
      </c>
      <c r="BN207" s="8" t="s">
        <v>7631</v>
      </c>
      <c r="BO207" s="8" t="s">
        <v>7680</v>
      </c>
      <c r="BP207" s="8" t="s">
        <v>7608</v>
      </c>
      <c r="BQ207" s="8" t="str">
        <f aca="false">IF(A207="","",AT207)</f>
        <v>3歳</v>
      </c>
      <c r="BR207" s="8" t="str">
        <f aca="false">IF(A207="","",IF(BA207&lt;=1200,"～1200",IF(BA207&lt;=1500,"1300～1500",IF(BA207=1600,"1600",IF(BA207&lt;=1800,"1700～1800",IF(BA207&lt;=2000,"1900～2000","2100以上"))))))</f>
        <v>1900～2000</v>
      </c>
      <c r="BS207" s="8" t="str">
        <f aca="false">IF(A207="","",IF(AX207="G1","G1",IF(AX207="G2","G2",IF(AX207="G3","G3",IF(AX207="L","L","その他")))))</f>
        <v>その他</v>
      </c>
      <c r="BT207" s="8" t="str">
        <f aca="false">IF(A207="","",IF(BI207="","未結合",IF(D207=BI207,"一致","不一致")))</f>
        <v>一致</v>
      </c>
      <c r="BU207" s="8" t="str">
        <f aca="false">IF(A207="","",IF(BE207="牝馬限定","牝馬限定","その他"))</f>
        <v>牝馬限定</v>
      </c>
    </row>
    <row r="208" customFormat="false" ht="15.75" hidden="false" customHeight="false" outlineLevel="0" collapsed="false">
      <c r="A208" s="6" t="n">
        <v>46215</v>
      </c>
      <c r="B208" s="4" t="s">
        <v>1237</v>
      </c>
      <c r="C208" s="8" t="n">
        <v>3</v>
      </c>
      <c r="D208" s="8" t="n">
        <v>14</v>
      </c>
      <c r="E208" s="8" t="n">
        <v>12</v>
      </c>
      <c r="F208" s="4" t="s">
        <v>2583</v>
      </c>
      <c r="G208" s="8" t="n">
        <v>74</v>
      </c>
      <c r="H208" s="8" t="n">
        <v>4</v>
      </c>
      <c r="I208" s="4" t="s">
        <v>2577</v>
      </c>
      <c r="J208" s="8" t="n">
        <v>39</v>
      </c>
      <c r="K208" s="8" t="n">
        <v>8</v>
      </c>
      <c r="L208" s="4" t="s">
        <v>2579</v>
      </c>
      <c r="M208" s="8" t="n">
        <v>39</v>
      </c>
      <c r="N208" s="8" t="n">
        <v>35</v>
      </c>
      <c r="O208" s="8" t="n">
        <v>0</v>
      </c>
      <c r="P208" s="8" t="n">
        <v>113</v>
      </c>
      <c r="Q208" s="8" t="str">
        <f aca="false">IF(A208="","",IF(AND(Y208&lt;&gt;"参考",G208&gt;=ルール設定!$B$2),"○",""))</f>
        <v/>
      </c>
      <c r="R208" s="8" t="str">
        <f aca="false">IF(A208="","",IF(AND(Y208&lt;&gt;"参考",G208&gt;=ルール設定!$B$3,N208&gt;=ルール設定!$B$4),"○",""))</f>
        <v>○</v>
      </c>
      <c r="S208" s="8" t="str">
        <f aca="false">IF(A208="","",IF(AND(Y208&lt;&gt;"参考",G208&gt;=ルール設定!$B$5,J208&gt;=ルール設定!$B$6,O208&gt;=ルール設定!$B$7),"○",""))</f>
        <v/>
      </c>
      <c r="T208" s="8" t="n">
        <v>1</v>
      </c>
      <c r="U208" s="8" t="n">
        <v>4</v>
      </c>
      <c r="V208" s="8" t="str">
        <f aca="false">IF(A208="","",IF(AND(ISNUMBER(T208),ISNUMBER(U208)),IF(AND(T208&lt;=3,U208&lt;=3),"○","×"),""))</f>
        <v>×</v>
      </c>
      <c r="W208" s="8" t="n">
        <v>110</v>
      </c>
      <c r="X208" s="8"/>
      <c r="Y208" s="4" t="s">
        <v>7597</v>
      </c>
      <c r="Z208" s="4" t="s">
        <v>7706</v>
      </c>
      <c r="AA208" s="8" t="str">
        <v/>
      </c>
      <c r="AB208" s="8" t="str">
        <v/>
      </c>
      <c r="AC208" s="8" t="str">
        <v/>
      </c>
      <c r="AD208" s="8" t="str">
        <v/>
      </c>
      <c r="AE208" s="8" t="str">
        <v>○</v>
      </c>
      <c r="AF208" s="8" t="str">
        <v/>
      </c>
      <c r="AG208" s="8" t="str">
        <v/>
      </c>
      <c r="AH208" s="8" t="str">
        <v/>
      </c>
      <c r="AI208" s="8" t="n">
        <v>35</v>
      </c>
      <c r="AJ208" s="8" t="str">
        <v>70～74</v>
      </c>
      <c r="AK208" s="8" t="str">
        <v>30以上</v>
      </c>
      <c r="AL208" s="8" t="str">
        <v>30～39</v>
      </c>
      <c r="AM208" s="8" t="str">
        <v>100～119</v>
      </c>
      <c r="AN208" s="8" t="str">
        <v>12～14</v>
      </c>
      <c r="AO208" s="8" t="str">
        <f aca="false">IF(A208="","",IF(COUNTIFS(全馬データ!$A$2:$A$50000,A208,全馬データ!$B$2:$B$50000,B208,全馬データ!$C$2:$C$50000,C208,全馬データ!$D$2:$D$50000,E208,全馬データ!$K$2:$K$50000,"&lt;&gt;")=0,"",SUMIFS(全馬データ!$K$2:$K$50000,全馬データ!$A$2:$A$50000,A208,全馬データ!$B$2:$B$50000,B208,全馬データ!$C$2:$C$50000,C208,全馬データ!$D$2:$D$50000,E208)))</f>
        <v/>
      </c>
      <c r="AP208" s="8" t="str">
        <f aca="false">IF(A208="","",IF(AO208="","欠損",IF(AO208&lt;=1.1,"1.0～1.1",IF(AO208&lt;1.3,"1.2",IF(AO208&lt;1.5,"1.3～1.4",IF(AO208&lt;2,"1.5～1.9","2.0以上"))))))</f>
        <v>欠損</v>
      </c>
      <c r="AQ208" s="8" t="str">
        <f aca="false">IF(A208="","",IF(ISNUMBER(SEARCH("2歳",Z208)),"2歳戦",IF(ISNUMBER(SEARCH("3歳未勝利",Z208)),"3歳未勝利",IF(ISNUMBER(SEARCH("未勝利",Z208)),"その他未勝利",IF(ISNUMBER(SEARCH("G1",Z208)),"G1",IF(ISNUMBER(SEARCH("G2",Z208)),"G2",IF(ISNUMBER(SEARCH("G3",Z208)),"G3",IF(ISNUMBER(SEARCH("古馬条件",Z208)),"古馬条件戦",IF(ISNUMBER(SEARCH("重賞",Z208)),"重賞","分類不能")))))))))</f>
        <v>分類不能</v>
      </c>
      <c r="AR208" s="8"/>
      <c r="AS208" s="8" t="s">
        <v>7623</v>
      </c>
      <c r="AT208" s="8" t="s">
        <v>7624</v>
      </c>
      <c r="AU208" s="8" t="s">
        <v>7600</v>
      </c>
      <c r="AV208" s="4" t="s">
        <v>7601</v>
      </c>
      <c r="AW208" s="8"/>
      <c r="AX208" s="8"/>
      <c r="AY208" s="8" t="s">
        <v>7610</v>
      </c>
      <c r="AZ208" s="4" t="s">
        <v>7617</v>
      </c>
      <c r="BA208" s="8" t="n">
        <v>1700</v>
      </c>
      <c r="BB208" s="8" t="s">
        <v>7669</v>
      </c>
      <c r="BC208" s="4" t="s">
        <v>7662</v>
      </c>
      <c r="BD208" s="8" t="s">
        <v>7625</v>
      </c>
      <c r="BE208" s="4" t="s">
        <v>7606</v>
      </c>
      <c r="BF208" s="8" t="s">
        <v>7607</v>
      </c>
      <c r="BG208" s="8" t="s">
        <v>7608</v>
      </c>
      <c r="BH208" s="4" t="s">
        <v>7609</v>
      </c>
      <c r="BI208" s="8" t="n">
        <v>14</v>
      </c>
      <c r="BJ208" s="8" t="s">
        <v>7602</v>
      </c>
      <c r="BK208" s="4" t="s">
        <v>7653</v>
      </c>
      <c r="BL208" s="8" t="s">
        <v>7602</v>
      </c>
      <c r="BM208" s="4" t="s">
        <v>7620</v>
      </c>
      <c r="BN208" s="8"/>
      <c r="BO208" s="8"/>
      <c r="BP208" s="8" t="s">
        <v>7608</v>
      </c>
      <c r="BQ208" s="8" t="str">
        <f aca="false">IF(A208="","",AT208)</f>
        <v>3歳</v>
      </c>
      <c r="BR208" s="8" t="str">
        <f aca="false">IF(A208="","",IF(BA208&lt;=1200,"～1200",IF(BA208&lt;=1500,"1300～1500",IF(BA208=1600,"1600",IF(BA208&lt;=1800,"1700～1800",IF(BA208&lt;=2000,"1900～2000","2100以上"))))))</f>
        <v>1700～1800</v>
      </c>
      <c r="BS208" s="8" t="str">
        <f aca="false">IF(A208="","",IF(AX208="G1","G1",IF(AX208="G2","G2",IF(AX208="G3","G3",IF(AX208="L","L","その他")))))</f>
        <v>その他</v>
      </c>
      <c r="BT208" s="8" t="str">
        <f aca="false">IF(A208="","",IF(BI208="","未結合",IF(D208=BI208,"一致","不一致")))</f>
        <v>一致</v>
      </c>
      <c r="BU208" s="8" t="str">
        <f aca="false">IF(A208="","",IF(BE208="牝馬限定","牝馬限定","その他"))</f>
        <v>その他</v>
      </c>
    </row>
    <row r="209" customFormat="false" ht="15.75" hidden="false" customHeight="false" outlineLevel="0" collapsed="false">
      <c r="A209" s="6" t="n">
        <v>46215</v>
      </c>
      <c r="B209" s="4" t="s">
        <v>1237</v>
      </c>
      <c r="C209" s="8" t="n">
        <v>4</v>
      </c>
      <c r="D209" s="8" t="n">
        <v>16</v>
      </c>
      <c r="E209" s="8" t="n">
        <v>13</v>
      </c>
      <c r="F209" s="4" t="s">
        <v>2596</v>
      </c>
      <c r="G209" s="8" t="n">
        <v>65</v>
      </c>
      <c r="H209" s="8" t="n">
        <v>15</v>
      </c>
      <c r="I209" s="4" t="s">
        <v>2597</v>
      </c>
      <c r="J209" s="8" t="n">
        <v>34</v>
      </c>
      <c r="K209" s="8" t="n">
        <v>4</v>
      </c>
      <c r="L209" s="4" t="s">
        <v>2587</v>
      </c>
      <c r="M209" s="8" t="n">
        <v>25</v>
      </c>
      <c r="N209" s="8" t="n">
        <v>31</v>
      </c>
      <c r="O209" s="8" t="n">
        <v>9</v>
      </c>
      <c r="P209" s="8" t="n">
        <v>99</v>
      </c>
      <c r="Q209" s="8" t="str">
        <f aca="false">IF(A209="","",IF(AND(Y209&lt;&gt;"参考",G209&gt;=ルール設定!$B$2),"○",""))</f>
        <v/>
      </c>
      <c r="R209" s="8" t="str">
        <f aca="false">IF(A209="","",IF(AND(Y209&lt;&gt;"参考",G209&gt;=ルール設定!$B$3,N209&gt;=ルール設定!$B$4),"○",""))</f>
        <v/>
      </c>
      <c r="S209" s="8" t="str">
        <f aca="false">IF(A209="","",IF(AND(Y209&lt;&gt;"参考",G209&gt;=ルール設定!$B$5,J209&gt;=ルール設定!$B$6,O209&gt;=ルール設定!$B$7),"○",""))</f>
        <v/>
      </c>
      <c r="T209" s="8" t="n">
        <v>4</v>
      </c>
      <c r="U209" s="8" t="n">
        <v>4</v>
      </c>
      <c r="V209" s="8" t="str">
        <f aca="false">IF(A209="","",IF(AND(ISNUMBER(T209),ISNUMBER(U209)),IF(AND(T209&lt;=3,U209&lt;=3),"○","×"),""))</f>
        <v>×</v>
      </c>
      <c r="W209" s="8"/>
      <c r="X209" s="8"/>
      <c r="Y209" s="4" t="s">
        <v>7597</v>
      </c>
      <c r="Z209" s="4" t="s">
        <v>7706</v>
      </c>
      <c r="AA209" s="8" t="str">
        <v/>
      </c>
      <c r="AB209" s="8" t="str">
        <v/>
      </c>
      <c r="AC209" s="8" t="str">
        <v/>
      </c>
      <c r="AD209" s="8" t="str">
        <v/>
      </c>
      <c r="AE209" s="8" t="str">
        <v/>
      </c>
      <c r="AF209" s="8" t="str">
        <v/>
      </c>
      <c r="AG209" s="8" t="str">
        <v/>
      </c>
      <c r="AH209" s="8" t="str">
        <v/>
      </c>
      <c r="AI209" s="8" t="n">
        <v>40</v>
      </c>
      <c r="AJ209" s="8" t="str">
        <v>60～69</v>
      </c>
      <c r="AK209" s="8" t="str">
        <v>30以上</v>
      </c>
      <c r="AL209" s="8" t="str">
        <v>40以上</v>
      </c>
      <c r="AM209" s="8" t="str">
        <v>～99</v>
      </c>
      <c r="AN209" s="8" t="str">
        <v>15以上</v>
      </c>
      <c r="AO209" s="8" t="str">
        <f aca="false">IF(A209="","",IF(COUNTIFS(全馬データ!$A$2:$A$50000,A209,全馬データ!$B$2:$B$50000,B209,全馬データ!$C$2:$C$50000,C209,全馬データ!$D$2:$D$50000,E209,全馬データ!$K$2:$K$50000,"&lt;&gt;")=0,"",SUMIFS(全馬データ!$K$2:$K$50000,全馬データ!$A$2:$A$50000,A209,全馬データ!$B$2:$B$50000,B209,全馬データ!$C$2:$C$50000,C209,全馬データ!$D$2:$D$50000,E209)))</f>
        <v/>
      </c>
      <c r="AP209" s="8" t="str">
        <f aca="false">IF(A209="","",IF(AO209="","欠損",IF(AO209&lt;=1.1,"1.0～1.1",IF(AO209&lt;1.3,"1.2",IF(AO209&lt;1.5,"1.3～1.4",IF(AO209&lt;2,"1.5～1.9","2.0以上"))))))</f>
        <v>欠損</v>
      </c>
      <c r="AQ209" s="8" t="str">
        <f aca="false">IF(A209="","",IF(ISNUMBER(SEARCH("2歳",Z209)),"2歳戦",IF(ISNUMBER(SEARCH("3歳未勝利",Z209)),"3歳未勝利",IF(ISNUMBER(SEARCH("未勝利",Z209)),"その他未勝利",IF(ISNUMBER(SEARCH("G1",Z209)),"G1",IF(ISNUMBER(SEARCH("G2",Z209)),"G2",IF(ISNUMBER(SEARCH("G3",Z209)),"G3",IF(ISNUMBER(SEARCH("古馬条件",Z209)),"古馬条件戦",IF(ISNUMBER(SEARCH("重賞",Z209)),"重賞","分類不能")))))))))</f>
        <v>分類不能</v>
      </c>
      <c r="AR209" s="8"/>
      <c r="AS209" s="8" t="s">
        <v>7623</v>
      </c>
      <c r="AT209" s="8" t="s">
        <v>7624</v>
      </c>
      <c r="AU209" s="8" t="s">
        <v>7600</v>
      </c>
      <c r="AV209" s="4" t="s">
        <v>7601</v>
      </c>
      <c r="AW209" s="8"/>
      <c r="AX209" s="8"/>
      <c r="AY209" s="8" t="s">
        <v>7602</v>
      </c>
      <c r="AZ209" s="4" t="s">
        <v>7603</v>
      </c>
      <c r="BA209" s="8" t="n">
        <v>2600</v>
      </c>
      <c r="BB209" s="8" t="s">
        <v>7701</v>
      </c>
      <c r="BC209" s="4" t="s">
        <v>7658</v>
      </c>
      <c r="BD209" s="8" t="s">
        <v>7605</v>
      </c>
      <c r="BE209" s="4" t="s">
        <v>7606</v>
      </c>
      <c r="BF209" s="8" t="s">
        <v>7607</v>
      </c>
      <c r="BG209" s="8" t="s">
        <v>7608</v>
      </c>
      <c r="BH209" s="4" t="s">
        <v>7609</v>
      </c>
      <c r="BI209" s="8" t="n">
        <v>16</v>
      </c>
      <c r="BJ209" s="8" t="s">
        <v>7602</v>
      </c>
      <c r="BK209" s="4" t="s">
        <v>7653</v>
      </c>
      <c r="BL209" s="8" t="s">
        <v>7602</v>
      </c>
      <c r="BM209" s="4" t="s">
        <v>7620</v>
      </c>
      <c r="BN209" s="8" t="s">
        <v>7631</v>
      </c>
      <c r="BO209" s="8" t="s">
        <v>7680</v>
      </c>
      <c r="BP209" s="8" t="s">
        <v>7608</v>
      </c>
      <c r="BQ209" s="8" t="str">
        <f aca="false">IF(A209="","",AT209)</f>
        <v>3歳</v>
      </c>
      <c r="BR209" s="8" t="str">
        <f aca="false">IF(A209="","",IF(BA209&lt;=1200,"～1200",IF(BA209&lt;=1500,"1300～1500",IF(BA209=1600,"1600",IF(BA209&lt;=1800,"1700～1800",IF(BA209&lt;=2000,"1900～2000","2100以上"))))))</f>
        <v>2100以上</v>
      </c>
      <c r="BS209" s="8" t="str">
        <f aca="false">IF(A209="","",IF(AX209="G1","G1",IF(AX209="G2","G2",IF(AX209="G3","G3",IF(AX209="L","L","その他")))))</f>
        <v>その他</v>
      </c>
      <c r="BT209" s="8" t="str">
        <f aca="false">IF(A209="","",IF(BI209="","未結合",IF(D209=BI209,"一致","不一致")))</f>
        <v>一致</v>
      </c>
      <c r="BU209" s="8" t="str">
        <f aca="false">IF(A209="","",IF(BE209="牝馬限定","牝馬限定","その他"))</f>
        <v>その他</v>
      </c>
    </row>
    <row r="210" customFormat="false" ht="15.75" hidden="false" customHeight="false" outlineLevel="0" collapsed="false">
      <c r="A210" s="6" t="n">
        <v>46215</v>
      </c>
      <c r="B210" s="4" t="s">
        <v>1237</v>
      </c>
      <c r="C210" s="8" t="n">
        <v>5</v>
      </c>
      <c r="D210" s="8" t="n">
        <v>10</v>
      </c>
      <c r="E210" s="8" t="n">
        <v>9</v>
      </c>
      <c r="F210" s="4" t="s">
        <v>2606</v>
      </c>
      <c r="G210" s="8" t="n">
        <v>37</v>
      </c>
      <c r="H210" s="8" t="n">
        <v>1</v>
      </c>
      <c r="I210" s="4" t="s">
        <v>2599</v>
      </c>
      <c r="J210" s="8" t="n">
        <v>31</v>
      </c>
      <c r="K210" s="8" t="n">
        <v>4</v>
      </c>
      <c r="L210" s="4" t="s">
        <v>2602</v>
      </c>
      <c r="M210" s="8" t="n">
        <v>27</v>
      </c>
      <c r="N210" s="8" t="n">
        <v>6</v>
      </c>
      <c r="O210" s="8" t="n">
        <v>4</v>
      </c>
      <c r="P210" s="8" t="n">
        <v>68</v>
      </c>
      <c r="Q210" s="8" t="str">
        <f aca="false">IF(A210="","",IF(AND(Y210&lt;&gt;"参考",G210&gt;=ルール設定!$B$2),"○",""))</f>
        <v/>
      </c>
      <c r="R210" s="8" t="str">
        <f aca="false">IF(A210="","",IF(AND(Y210&lt;&gt;"参考",G210&gt;=ルール設定!$B$3,N210&gt;=ルール設定!$B$4),"○",""))</f>
        <v/>
      </c>
      <c r="S210" s="8" t="str">
        <f aca="false">IF(A210="","",IF(AND(Y210&lt;&gt;"参考",G210&gt;=ルール設定!$B$5,J210&gt;=ルール設定!$B$6,O210&gt;=ルール設定!$B$7),"○",""))</f>
        <v/>
      </c>
      <c r="T210" s="8" t="n">
        <v>4</v>
      </c>
      <c r="U210" s="8" t="n">
        <v>4</v>
      </c>
      <c r="V210" s="8" t="str">
        <f aca="false">IF(A210="","",IF(AND(ISNUMBER(T210),ISNUMBER(U210)),IF(AND(T210&lt;=3,U210&lt;=3),"○","×"),""))</f>
        <v>×</v>
      </c>
      <c r="W210" s="8"/>
      <c r="X210" s="8"/>
      <c r="Y210" s="4" t="s">
        <v>7597</v>
      </c>
      <c r="Z210" s="4" t="s">
        <v>7706</v>
      </c>
      <c r="AA210" s="8" t="str">
        <v/>
      </c>
      <c r="AB210" s="8" t="str">
        <v/>
      </c>
      <c r="AC210" s="8" t="str">
        <v/>
      </c>
      <c r="AD210" s="8" t="str">
        <v/>
      </c>
      <c r="AE210" s="8" t="str">
        <v/>
      </c>
      <c r="AF210" s="8" t="str">
        <v/>
      </c>
      <c r="AG210" s="8" t="str">
        <v/>
      </c>
      <c r="AH210" s="8" t="str">
        <v/>
      </c>
      <c r="AI210" s="8" t="n">
        <v>10</v>
      </c>
      <c r="AJ210" s="8" t="str">
        <v>～59</v>
      </c>
      <c r="AK210" s="8" t="str">
        <v>5～9</v>
      </c>
      <c r="AL210" s="8" t="str">
        <v>10～19</v>
      </c>
      <c r="AM210" s="8" t="str">
        <v>～99</v>
      </c>
      <c r="AN210" s="8" t="str">
        <v>8～11</v>
      </c>
      <c r="AO210" s="8" t="str">
        <f aca="false">IF(A210="","",IF(COUNTIFS(全馬データ!$A$2:$A$50000,A210,全馬データ!$B$2:$B$50000,B210,全馬データ!$C$2:$C$50000,C210,全馬データ!$D$2:$D$50000,E210,全馬データ!$K$2:$K$50000,"&lt;&gt;")=0,"",SUMIFS(全馬データ!$K$2:$K$50000,全馬データ!$A$2:$A$50000,A210,全馬データ!$B$2:$B$50000,B210,全馬データ!$C$2:$C$50000,C210,全馬データ!$D$2:$D$50000,E210)))</f>
        <v/>
      </c>
      <c r="AP210" s="8" t="str">
        <f aca="false">IF(A210="","",IF(AO210="","欠損",IF(AO210&lt;=1.1,"1.0～1.1",IF(AO210&lt;1.3,"1.2",IF(AO210&lt;1.5,"1.3～1.4",IF(AO210&lt;2,"1.5～1.9","2.0以上"))))))</f>
        <v>欠損</v>
      </c>
      <c r="AQ210" s="8" t="str">
        <f aca="false">IF(A210="","",IF(ISNUMBER(SEARCH("2歳",Z210)),"2歳戦",IF(ISNUMBER(SEARCH("3歳未勝利",Z210)),"3歳未勝利",IF(ISNUMBER(SEARCH("未勝利",Z210)),"その他未勝利",IF(ISNUMBER(SEARCH("G1",Z210)),"G1",IF(ISNUMBER(SEARCH("G2",Z210)),"G2",IF(ISNUMBER(SEARCH("G3",Z210)),"G3",IF(ISNUMBER(SEARCH("古馬条件",Z210)),"古馬条件戦",IF(ISNUMBER(SEARCH("重賞",Z210)),"重賞","分類不能")))))))))</f>
        <v>分類不能</v>
      </c>
      <c r="AR210" s="8"/>
      <c r="AS210" s="8" t="s">
        <v>7598</v>
      </c>
      <c r="AT210" s="8" t="s">
        <v>7599</v>
      </c>
      <c r="AU210" s="8" t="s">
        <v>7615</v>
      </c>
      <c r="AV210" s="4" t="s">
        <v>7616</v>
      </c>
      <c r="AW210" s="8"/>
      <c r="AX210" s="8"/>
      <c r="AY210" s="8" t="s">
        <v>7602</v>
      </c>
      <c r="AZ210" s="4" t="s">
        <v>7603</v>
      </c>
      <c r="BA210" s="8" t="n">
        <v>1800</v>
      </c>
      <c r="BB210" s="8" t="s">
        <v>7701</v>
      </c>
      <c r="BC210" s="4" t="s">
        <v>7658</v>
      </c>
      <c r="BD210" s="8" t="s">
        <v>7625</v>
      </c>
      <c r="BE210" s="4" t="s">
        <v>7606</v>
      </c>
      <c r="BF210" s="8" t="s">
        <v>7607</v>
      </c>
      <c r="BG210" s="8" t="s">
        <v>7608</v>
      </c>
      <c r="BH210" s="4" t="s">
        <v>7609</v>
      </c>
      <c r="BI210" s="8" t="n">
        <v>10</v>
      </c>
      <c r="BJ210" s="8" t="s">
        <v>7602</v>
      </c>
      <c r="BK210" s="4" t="s">
        <v>7653</v>
      </c>
      <c r="BL210" s="8" t="s">
        <v>7602</v>
      </c>
      <c r="BM210" s="4" t="s">
        <v>7620</v>
      </c>
      <c r="BN210" s="8" t="s">
        <v>7631</v>
      </c>
      <c r="BO210" s="8" t="s">
        <v>7680</v>
      </c>
      <c r="BP210" s="8" t="s">
        <v>7608</v>
      </c>
      <c r="BQ210" s="8" t="str">
        <f aca="false">IF(A210="","",AT210)</f>
        <v>2歳</v>
      </c>
      <c r="BR210" s="8" t="str">
        <f aca="false">IF(A210="","",IF(BA210&lt;=1200,"～1200",IF(BA210&lt;=1500,"1300～1500",IF(BA210=1600,"1600",IF(BA210&lt;=1800,"1700～1800",IF(BA210&lt;=2000,"1900～2000","2100以上"))))))</f>
        <v>1700～1800</v>
      </c>
      <c r="BS210" s="8" t="str">
        <f aca="false">IF(A210="","",IF(AX210="G1","G1",IF(AX210="G2","G2",IF(AX210="G3","G3",IF(AX210="L","L","その他")))))</f>
        <v>その他</v>
      </c>
      <c r="BT210" s="8" t="str">
        <f aca="false">IF(A210="","",IF(BI210="","未結合",IF(D210=BI210,"一致","不一致")))</f>
        <v>一致</v>
      </c>
      <c r="BU210" s="8" t="str">
        <f aca="false">IF(A210="","",IF(BE210="牝馬限定","牝馬限定","その他"))</f>
        <v>その他</v>
      </c>
    </row>
    <row r="211" customFormat="false" ht="15.75" hidden="false" customHeight="false" outlineLevel="0" collapsed="false">
      <c r="A211" s="6" t="n">
        <v>46215</v>
      </c>
      <c r="B211" s="4" t="s">
        <v>1237</v>
      </c>
      <c r="C211" s="8" t="n">
        <v>6</v>
      </c>
      <c r="D211" s="8" t="n">
        <v>16</v>
      </c>
      <c r="E211" s="8" t="n">
        <v>14</v>
      </c>
      <c r="F211" s="4" t="s">
        <v>2617</v>
      </c>
      <c r="G211" s="8" t="n">
        <v>66</v>
      </c>
      <c r="H211" s="8" t="n">
        <v>2</v>
      </c>
      <c r="I211" s="4" t="s">
        <v>2609</v>
      </c>
      <c r="J211" s="8" t="n">
        <v>44</v>
      </c>
      <c r="K211" s="8" t="n">
        <v>1</v>
      </c>
      <c r="L211" s="4" t="s">
        <v>2608</v>
      </c>
      <c r="M211" s="8" t="n">
        <v>29</v>
      </c>
      <c r="N211" s="8" t="n">
        <v>22</v>
      </c>
      <c r="O211" s="8" t="n">
        <v>15</v>
      </c>
      <c r="P211" s="8" t="n">
        <v>110</v>
      </c>
      <c r="Q211" s="8" t="str">
        <f aca="false">IF(A211="","",IF(AND(Y211&lt;&gt;"参考",G211&gt;=ルール設定!$B$2),"○",""))</f>
        <v/>
      </c>
      <c r="R211" s="8" t="str">
        <f aca="false">IF(A211="","",IF(AND(Y211&lt;&gt;"参考",G211&gt;=ルール設定!$B$3,N211&gt;=ルール設定!$B$4),"○",""))</f>
        <v/>
      </c>
      <c r="S211" s="8" t="str">
        <f aca="false">IF(A211="","",IF(AND(Y211&lt;&gt;"参考",G211&gt;=ルール設定!$B$5,J211&gt;=ルール設定!$B$6,O211&gt;=ルール設定!$B$7),"○",""))</f>
        <v/>
      </c>
      <c r="T211" s="8" t="n">
        <v>4</v>
      </c>
      <c r="U211" s="8" t="n">
        <v>2</v>
      </c>
      <c r="V211" s="8" t="str">
        <f aca="false">IF(A211="","",IF(AND(ISNUMBER(T211),ISNUMBER(U211)),IF(AND(T211&lt;=3,U211&lt;=3),"○","×"),""))</f>
        <v>×</v>
      </c>
      <c r="W211" s="8"/>
      <c r="X211" s="8"/>
      <c r="Y211" s="4" t="s">
        <v>7597</v>
      </c>
      <c r="Z211" s="4" t="s">
        <v>7706</v>
      </c>
      <c r="AA211" s="8" t="str">
        <v/>
      </c>
      <c r="AB211" s="8" t="str">
        <v/>
      </c>
      <c r="AC211" s="8" t="str">
        <v/>
      </c>
      <c r="AD211" s="8" t="str">
        <v/>
      </c>
      <c r="AE211" s="8" t="str">
        <v/>
      </c>
      <c r="AF211" s="8" t="str">
        <v/>
      </c>
      <c r="AG211" s="8" t="str">
        <v/>
      </c>
      <c r="AH211" s="8" t="str">
        <v/>
      </c>
      <c r="AI211" s="8" t="n">
        <v>37</v>
      </c>
      <c r="AJ211" s="8" t="str">
        <v>60～69</v>
      </c>
      <c r="AK211" s="8" t="str">
        <v>20～29</v>
      </c>
      <c r="AL211" s="8" t="str">
        <v>30～39</v>
      </c>
      <c r="AM211" s="8" t="str">
        <v>100～119</v>
      </c>
      <c r="AN211" s="8" t="str">
        <v>15以上</v>
      </c>
      <c r="AO211" s="8" t="str">
        <f aca="false">IF(A211="","",IF(COUNTIFS(全馬データ!$A$2:$A$50000,A211,全馬データ!$B$2:$B$50000,B211,全馬データ!$C$2:$C$50000,C211,全馬データ!$D$2:$D$50000,E211,全馬データ!$K$2:$K$50000,"&lt;&gt;")=0,"",SUMIFS(全馬データ!$K$2:$K$50000,全馬データ!$A$2:$A$50000,A211,全馬データ!$B$2:$B$50000,B211,全馬データ!$C$2:$C$50000,C211,全馬データ!$D$2:$D$50000,E211)))</f>
        <v/>
      </c>
      <c r="AP211" s="8" t="str">
        <f aca="false">IF(A211="","",IF(AO211="","欠損",IF(AO211&lt;=1.1,"1.0～1.1",IF(AO211&lt;1.3,"1.2",IF(AO211&lt;1.5,"1.3～1.4",IF(AO211&lt;2,"1.5～1.9","2.0以上"))))))</f>
        <v>欠損</v>
      </c>
      <c r="AQ211" s="8" t="str">
        <f aca="false">IF(A211="","",IF(ISNUMBER(SEARCH("2歳",Z211)),"2歳戦",IF(ISNUMBER(SEARCH("3歳未勝利",Z211)),"3歳未勝利",IF(ISNUMBER(SEARCH("未勝利",Z211)),"その他未勝利",IF(ISNUMBER(SEARCH("G1",Z211)),"G1",IF(ISNUMBER(SEARCH("G2",Z211)),"G2",IF(ISNUMBER(SEARCH("G3",Z211)),"G3",IF(ISNUMBER(SEARCH("古馬条件",Z211)),"古馬条件戦",IF(ISNUMBER(SEARCH("重賞",Z211)),"重賞","分類不能")))))))))</f>
        <v>分類不能</v>
      </c>
      <c r="AR211" s="8"/>
      <c r="AS211" s="8" t="s">
        <v>7623</v>
      </c>
      <c r="AT211" s="8" t="s">
        <v>7624</v>
      </c>
      <c r="AU211" s="8" t="s">
        <v>7600</v>
      </c>
      <c r="AV211" s="4" t="s">
        <v>7601</v>
      </c>
      <c r="AW211" s="8"/>
      <c r="AX211" s="8"/>
      <c r="AY211" s="8" t="s">
        <v>7602</v>
      </c>
      <c r="AZ211" s="4" t="s">
        <v>7603</v>
      </c>
      <c r="BA211" s="8" t="n">
        <v>1200</v>
      </c>
      <c r="BB211" s="8" t="s">
        <v>7701</v>
      </c>
      <c r="BC211" s="4" t="s">
        <v>7658</v>
      </c>
      <c r="BD211" s="8" t="s">
        <v>7625</v>
      </c>
      <c r="BE211" s="4" t="s">
        <v>7606</v>
      </c>
      <c r="BF211" s="8" t="s">
        <v>7607</v>
      </c>
      <c r="BG211" s="8" t="s">
        <v>7608</v>
      </c>
      <c r="BH211" s="4" t="s">
        <v>7609</v>
      </c>
      <c r="BI211" s="8" t="n">
        <v>16</v>
      </c>
      <c r="BJ211" s="8" t="s">
        <v>7602</v>
      </c>
      <c r="BK211" s="4" t="s">
        <v>7653</v>
      </c>
      <c r="BL211" s="8" t="s">
        <v>7602</v>
      </c>
      <c r="BM211" s="4" t="s">
        <v>7620</v>
      </c>
      <c r="BN211" s="8" t="s">
        <v>7631</v>
      </c>
      <c r="BO211" s="8" t="s">
        <v>7680</v>
      </c>
      <c r="BP211" s="8" t="s">
        <v>7608</v>
      </c>
      <c r="BQ211" s="8" t="str">
        <f aca="false">IF(A211="","",AT211)</f>
        <v>3歳</v>
      </c>
      <c r="BR211" s="8" t="str">
        <f aca="false">IF(A211="","",IF(BA211&lt;=1200,"～1200",IF(BA211&lt;=1500,"1300～1500",IF(BA211=1600,"1600",IF(BA211&lt;=1800,"1700～1800",IF(BA211&lt;=2000,"1900～2000","2100以上"))))))</f>
        <v>～1200</v>
      </c>
      <c r="BS211" s="8" t="str">
        <f aca="false">IF(A211="","",IF(AX211="G1","G1",IF(AX211="G2","G2",IF(AX211="G3","G3",IF(AX211="L","L","その他")))))</f>
        <v>その他</v>
      </c>
      <c r="BT211" s="8" t="str">
        <f aca="false">IF(A211="","",IF(BI211="","未結合",IF(D211=BI211,"一致","不一致")))</f>
        <v>一致</v>
      </c>
      <c r="BU211" s="8" t="str">
        <f aca="false">IF(A211="","",IF(BE211="牝馬限定","牝馬限定","その他"))</f>
        <v>その他</v>
      </c>
    </row>
    <row r="212" customFormat="false" ht="15.75" hidden="false" customHeight="false" outlineLevel="0" collapsed="false">
      <c r="A212" s="6" t="n">
        <v>46215</v>
      </c>
      <c r="B212" s="4" t="s">
        <v>1237</v>
      </c>
      <c r="C212" s="8" t="n">
        <v>7</v>
      </c>
      <c r="D212" s="8" t="n">
        <v>9</v>
      </c>
      <c r="E212" s="8" t="n">
        <v>9</v>
      </c>
      <c r="F212" s="4" t="s">
        <v>2626</v>
      </c>
      <c r="G212" s="8" t="n">
        <v>65</v>
      </c>
      <c r="H212" s="8" t="n">
        <v>2</v>
      </c>
      <c r="I212" s="4" t="s">
        <v>2621</v>
      </c>
      <c r="J212" s="8" t="n">
        <v>52</v>
      </c>
      <c r="K212" s="8" t="n">
        <v>7</v>
      </c>
      <c r="L212" s="4" t="s">
        <v>2624</v>
      </c>
      <c r="M212" s="8" t="n">
        <v>41</v>
      </c>
      <c r="N212" s="8" t="n">
        <v>13</v>
      </c>
      <c r="O212" s="8" t="n">
        <v>11</v>
      </c>
      <c r="P212" s="8" t="n">
        <v>117</v>
      </c>
      <c r="Q212" s="8" t="str">
        <f aca="false">IF(A212="","",IF(AND(Y212&lt;&gt;"参考",G212&gt;=ルール設定!$B$2),"○",""))</f>
        <v/>
      </c>
      <c r="R212" s="8" t="str">
        <f aca="false">IF(A212="","",IF(AND(Y212&lt;&gt;"参考",G212&gt;=ルール設定!$B$3,N212&gt;=ルール設定!$B$4),"○",""))</f>
        <v/>
      </c>
      <c r="S212" s="8" t="str">
        <f aca="false">IF(A212="","",IF(AND(Y212&lt;&gt;"参考",G212&gt;=ルール設定!$B$5,J212&gt;=ルール設定!$B$6,O212&gt;=ルール設定!$B$7),"○",""))</f>
        <v/>
      </c>
      <c r="T212" s="8" t="n">
        <v>1</v>
      </c>
      <c r="U212" s="8" t="n">
        <v>2</v>
      </c>
      <c r="V212" s="8" t="str">
        <f aca="false">IF(A212="","",IF(AND(ISNUMBER(T212),ISNUMBER(U212)),IF(AND(T212&lt;=3,U212&lt;=3),"○","×"),""))</f>
        <v>○</v>
      </c>
      <c r="W212" s="8" t="n">
        <v>160</v>
      </c>
      <c r="X212" s="8" t="n">
        <v>250</v>
      </c>
      <c r="Y212" s="4" t="s">
        <v>7597</v>
      </c>
      <c r="Z212" s="4" t="s">
        <v>7706</v>
      </c>
      <c r="AA212" s="8" t="str">
        <v/>
      </c>
      <c r="AB212" s="8" t="str">
        <v/>
      </c>
      <c r="AC212" s="8" t="str">
        <v/>
      </c>
      <c r="AD212" s="8" t="str">
        <v/>
      </c>
      <c r="AE212" s="8" t="str">
        <v/>
      </c>
      <c r="AF212" s="8" t="str">
        <v/>
      </c>
      <c r="AG212" s="8" t="str">
        <v/>
      </c>
      <c r="AH212" s="8" t="str">
        <v/>
      </c>
      <c r="AI212" s="8" t="n">
        <v>24</v>
      </c>
      <c r="AJ212" s="8" t="str">
        <v>60～69</v>
      </c>
      <c r="AK212" s="8" t="str">
        <v>10～19</v>
      </c>
      <c r="AL212" s="8" t="str">
        <v>20～29</v>
      </c>
      <c r="AM212" s="8" t="str">
        <v>100～119</v>
      </c>
      <c r="AN212" s="8" t="str">
        <v>8～11</v>
      </c>
      <c r="AO212" s="8" t="str">
        <f aca="false">IF(A212="","",IF(COUNTIFS(全馬データ!$A$2:$A$50000,A212,全馬データ!$B$2:$B$50000,B212,全馬データ!$C$2:$C$50000,C212,全馬データ!$D$2:$D$50000,E212,全馬データ!$K$2:$K$50000,"&lt;&gt;")=0,"",SUMIFS(全馬データ!$K$2:$K$50000,全馬データ!$A$2:$A$50000,A212,全馬データ!$B$2:$B$50000,B212,全馬データ!$C$2:$C$50000,C212,全馬データ!$D$2:$D$50000,E212)))</f>
        <v/>
      </c>
      <c r="AP212" s="8" t="str">
        <f aca="false">IF(A212="","",IF(AO212="","欠損",IF(AO212&lt;=1.1,"1.0～1.1",IF(AO212&lt;1.3,"1.2",IF(AO212&lt;1.5,"1.3～1.4",IF(AO212&lt;2,"1.5～1.9","2.0以上"))))))</f>
        <v>欠損</v>
      </c>
      <c r="AQ212" s="8" t="str">
        <f aca="false">IF(A212="","",IF(ISNUMBER(SEARCH("2歳",Z212)),"2歳戦",IF(ISNUMBER(SEARCH("3歳未勝利",Z212)),"3歳未勝利",IF(ISNUMBER(SEARCH("未勝利",Z212)),"その他未勝利",IF(ISNUMBER(SEARCH("G1",Z212)),"G1",IF(ISNUMBER(SEARCH("G2",Z212)),"G2",IF(ISNUMBER(SEARCH("G3",Z212)),"G3",IF(ISNUMBER(SEARCH("古馬条件",Z212)),"古馬条件戦",IF(ISNUMBER(SEARCH("重賞",Z212)),"重賞","分類不能")))))))))</f>
        <v>分類不能</v>
      </c>
      <c r="AR212" s="8"/>
      <c r="AS212" s="8" t="s">
        <v>7626</v>
      </c>
      <c r="AT212" s="8" t="s">
        <v>7627</v>
      </c>
      <c r="AU212" s="8" t="s">
        <v>7628</v>
      </c>
      <c r="AV212" s="8" t="s">
        <v>7629</v>
      </c>
      <c r="AW212" s="8"/>
      <c r="AX212" s="8"/>
      <c r="AY212" s="8" t="s">
        <v>7610</v>
      </c>
      <c r="AZ212" s="4" t="s">
        <v>7617</v>
      </c>
      <c r="BA212" s="8" t="n">
        <v>1700</v>
      </c>
      <c r="BB212" s="8" t="s">
        <v>7669</v>
      </c>
      <c r="BC212" s="4" t="s">
        <v>7662</v>
      </c>
      <c r="BD212" s="8" t="s">
        <v>7621</v>
      </c>
      <c r="BE212" s="4" t="s">
        <v>7622</v>
      </c>
      <c r="BF212" s="8" t="s">
        <v>7602</v>
      </c>
      <c r="BG212" s="8" t="s">
        <v>7631</v>
      </c>
      <c r="BH212" s="4" t="s">
        <v>7632</v>
      </c>
      <c r="BI212" s="8" t="n">
        <v>9</v>
      </c>
      <c r="BJ212" s="8" t="s">
        <v>7602</v>
      </c>
      <c r="BK212" s="4" t="s">
        <v>7653</v>
      </c>
      <c r="BL212" s="8" t="s">
        <v>7602</v>
      </c>
      <c r="BM212" s="4" t="s">
        <v>7620</v>
      </c>
      <c r="BN212" s="8"/>
      <c r="BO212" s="8"/>
      <c r="BP212" s="8" t="s">
        <v>7608</v>
      </c>
      <c r="BQ212" s="8" t="str">
        <f aca="false">IF(A212="","",AT212)</f>
        <v>3歳以上</v>
      </c>
      <c r="BR212" s="8" t="str">
        <f aca="false">IF(A212="","",IF(BA212&lt;=1200,"～1200",IF(BA212&lt;=1500,"1300～1500",IF(BA212=1600,"1600",IF(BA212&lt;=1800,"1700～1800",IF(BA212&lt;=2000,"1900～2000","2100以上"))))))</f>
        <v>1700～1800</v>
      </c>
      <c r="BS212" s="8" t="str">
        <f aca="false">IF(A212="","",IF(AX212="G1","G1",IF(AX212="G2","G2",IF(AX212="G3","G3",IF(AX212="L","L","その他")))))</f>
        <v>その他</v>
      </c>
      <c r="BT212" s="8" t="str">
        <f aca="false">IF(A212="","",IF(BI212="","未結合",IF(D212=BI212,"一致","不一致")))</f>
        <v>一致</v>
      </c>
      <c r="BU212" s="8" t="str">
        <f aca="false">IF(A212="","",IF(BE212="牝馬限定","牝馬限定","その他"))</f>
        <v>牝馬限定</v>
      </c>
    </row>
    <row r="213" customFormat="false" ht="15.75" hidden="false" customHeight="false" outlineLevel="0" collapsed="false">
      <c r="A213" s="6" t="n">
        <v>46215</v>
      </c>
      <c r="B213" s="4" t="s">
        <v>1237</v>
      </c>
      <c r="C213" s="8" t="n">
        <v>8</v>
      </c>
      <c r="D213" s="8" t="n">
        <v>11</v>
      </c>
      <c r="E213" s="8" t="n">
        <v>9</v>
      </c>
      <c r="F213" s="4" t="s">
        <v>2634</v>
      </c>
      <c r="G213" s="8" t="n">
        <v>66</v>
      </c>
      <c r="H213" s="8" t="n">
        <v>2</v>
      </c>
      <c r="I213" s="4" t="s">
        <v>2628</v>
      </c>
      <c r="J213" s="8" t="n">
        <v>39</v>
      </c>
      <c r="K213" s="8" t="n">
        <v>7</v>
      </c>
      <c r="L213" s="4" t="s">
        <v>2632</v>
      </c>
      <c r="M213" s="8" t="n">
        <v>31</v>
      </c>
      <c r="N213" s="8" t="n">
        <v>27</v>
      </c>
      <c r="O213" s="8" t="n">
        <v>8</v>
      </c>
      <c r="P213" s="8" t="n">
        <v>105</v>
      </c>
      <c r="Q213" s="8" t="str">
        <f aca="false">IF(A213="","",IF(AND(Y213&lt;&gt;"参考",G213&gt;=ルール設定!$B$2),"○",""))</f>
        <v/>
      </c>
      <c r="R213" s="8" t="str">
        <f aca="false">IF(A213="","",IF(AND(Y213&lt;&gt;"参考",G213&gt;=ルール設定!$B$3,N213&gt;=ルール設定!$B$4),"○",""))</f>
        <v/>
      </c>
      <c r="S213" s="8" t="str">
        <f aca="false">IF(A213="","",IF(AND(Y213&lt;&gt;"参考",G213&gt;=ルール設定!$B$5,J213&gt;=ルール設定!$B$6,O213&gt;=ルール設定!$B$7),"○",""))</f>
        <v/>
      </c>
      <c r="T213" s="8" t="n">
        <v>2</v>
      </c>
      <c r="U213" s="8" t="n">
        <v>1</v>
      </c>
      <c r="V213" s="8" t="str">
        <f aca="false">IF(A213="","",IF(AND(ISNUMBER(T213),ISNUMBER(U213)),IF(AND(T213&lt;=3,U213&lt;=3),"○","×"),""))</f>
        <v>○</v>
      </c>
      <c r="W213" s="8" t="n">
        <v>140</v>
      </c>
      <c r="X213" s="8" t="n">
        <v>260</v>
      </c>
      <c r="Y213" s="4" t="s">
        <v>7597</v>
      </c>
      <c r="Z213" s="4" t="s">
        <v>7706</v>
      </c>
      <c r="AA213" s="8" t="str">
        <v/>
      </c>
      <c r="AB213" s="8" t="str">
        <v/>
      </c>
      <c r="AC213" s="8" t="str">
        <v/>
      </c>
      <c r="AD213" s="8" t="str">
        <v/>
      </c>
      <c r="AE213" s="8" t="str">
        <v/>
      </c>
      <c r="AF213" s="8" t="str">
        <v/>
      </c>
      <c r="AG213" s="8" t="str">
        <v/>
      </c>
      <c r="AH213" s="8" t="str">
        <v/>
      </c>
      <c r="AI213" s="8" t="n">
        <v>35</v>
      </c>
      <c r="AJ213" s="8" t="str">
        <v>60～69</v>
      </c>
      <c r="AK213" s="8" t="str">
        <v>20～29</v>
      </c>
      <c r="AL213" s="8" t="str">
        <v>30～39</v>
      </c>
      <c r="AM213" s="8" t="str">
        <v>100～119</v>
      </c>
      <c r="AN213" s="8" t="str">
        <v>8～11</v>
      </c>
      <c r="AO213" s="8" t="str">
        <f aca="false">IF(A213="","",IF(COUNTIFS(全馬データ!$A$2:$A$50000,A213,全馬データ!$B$2:$B$50000,B213,全馬データ!$C$2:$C$50000,C213,全馬データ!$D$2:$D$50000,E213,全馬データ!$K$2:$K$50000,"&lt;&gt;")=0,"",SUMIFS(全馬データ!$K$2:$K$50000,全馬データ!$A$2:$A$50000,A213,全馬データ!$B$2:$B$50000,B213,全馬データ!$C$2:$C$50000,C213,全馬データ!$D$2:$D$50000,E213)))</f>
        <v/>
      </c>
      <c r="AP213" s="8" t="str">
        <f aca="false">IF(A213="","",IF(AO213="","欠損",IF(AO213&lt;=1.1,"1.0～1.1",IF(AO213&lt;1.3,"1.2",IF(AO213&lt;1.5,"1.3～1.4",IF(AO213&lt;2,"1.5～1.9","2.0以上"))))))</f>
        <v>欠損</v>
      </c>
      <c r="AQ213" s="8" t="str">
        <f aca="false">IF(A213="","",IF(ISNUMBER(SEARCH("2歳",Z213)),"2歳戦",IF(ISNUMBER(SEARCH("3歳未勝利",Z213)),"3歳未勝利",IF(ISNUMBER(SEARCH("未勝利",Z213)),"その他未勝利",IF(ISNUMBER(SEARCH("G1",Z213)),"G1",IF(ISNUMBER(SEARCH("G2",Z213)),"G2",IF(ISNUMBER(SEARCH("G3",Z213)),"G3",IF(ISNUMBER(SEARCH("古馬条件",Z213)),"古馬条件戦",IF(ISNUMBER(SEARCH("重賞",Z213)),"重賞","分類不能")))))))))</f>
        <v>分類不能</v>
      </c>
      <c r="AR213" s="8"/>
      <c r="AS213" s="8" t="s">
        <v>7626</v>
      </c>
      <c r="AT213" s="8" t="s">
        <v>7627</v>
      </c>
      <c r="AU213" s="8" t="s">
        <v>7628</v>
      </c>
      <c r="AV213" s="8" t="s">
        <v>7629</v>
      </c>
      <c r="AW213" s="8"/>
      <c r="AX213" s="8"/>
      <c r="AY213" s="8" t="s">
        <v>7610</v>
      </c>
      <c r="AZ213" s="4" t="s">
        <v>7617</v>
      </c>
      <c r="BA213" s="8" t="n">
        <v>2400</v>
      </c>
      <c r="BB213" s="8" t="s">
        <v>7669</v>
      </c>
      <c r="BC213" s="4" t="s">
        <v>7662</v>
      </c>
      <c r="BD213" s="8" t="s">
        <v>7630</v>
      </c>
      <c r="BE213" s="4" t="s">
        <v>7606</v>
      </c>
      <c r="BF213" s="8" t="s">
        <v>7607</v>
      </c>
      <c r="BG213" s="8" t="s">
        <v>7631</v>
      </c>
      <c r="BH213" s="4" t="s">
        <v>7632</v>
      </c>
      <c r="BI213" s="8" t="n">
        <v>11</v>
      </c>
      <c r="BJ213" s="8" t="s">
        <v>7602</v>
      </c>
      <c r="BK213" s="4" t="s">
        <v>7653</v>
      </c>
      <c r="BL213" s="8" t="s">
        <v>7602</v>
      </c>
      <c r="BM213" s="4" t="s">
        <v>7620</v>
      </c>
      <c r="BN213" s="8"/>
      <c r="BO213" s="8"/>
      <c r="BP213" s="8" t="s">
        <v>7608</v>
      </c>
      <c r="BQ213" s="8" t="str">
        <f aca="false">IF(A213="","",AT213)</f>
        <v>3歳以上</v>
      </c>
      <c r="BR213" s="8" t="str">
        <f aca="false">IF(A213="","",IF(BA213&lt;=1200,"～1200",IF(BA213&lt;=1500,"1300～1500",IF(BA213=1600,"1600",IF(BA213&lt;=1800,"1700～1800",IF(BA213&lt;=2000,"1900～2000","2100以上"))))))</f>
        <v>2100以上</v>
      </c>
      <c r="BS213" s="8" t="str">
        <f aca="false">IF(A213="","",IF(AX213="G1","G1",IF(AX213="G2","G2",IF(AX213="G3","G3",IF(AX213="L","L","その他")))))</f>
        <v>その他</v>
      </c>
      <c r="BT213" s="8" t="str">
        <f aca="false">IF(A213="","",IF(BI213="","未結合",IF(D213=BI213,"一致","不一致")))</f>
        <v>一致</v>
      </c>
      <c r="BU213" s="8" t="str">
        <f aca="false">IF(A213="","",IF(BE213="牝馬限定","牝馬限定","その他"))</f>
        <v>その他</v>
      </c>
    </row>
    <row r="214" customFormat="false" ht="15.75" hidden="false" customHeight="false" outlineLevel="0" collapsed="false">
      <c r="A214" s="6" t="n">
        <v>46215</v>
      </c>
      <c r="B214" s="4" t="s">
        <v>1237</v>
      </c>
      <c r="C214" s="8" t="n">
        <v>9</v>
      </c>
      <c r="D214" s="8" t="n">
        <v>14</v>
      </c>
      <c r="E214" s="8" t="n">
        <v>4</v>
      </c>
      <c r="F214" s="4" t="s">
        <v>2639</v>
      </c>
      <c r="G214" s="8" t="n">
        <v>52</v>
      </c>
      <c r="H214" s="8" t="n">
        <v>8</v>
      </c>
      <c r="I214" s="4" t="s">
        <v>2642</v>
      </c>
      <c r="J214" s="8" t="n">
        <v>41</v>
      </c>
      <c r="K214" s="8" t="n">
        <v>10</v>
      </c>
      <c r="L214" s="4" t="s">
        <v>2643</v>
      </c>
      <c r="M214" s="8" t="n">
        <v>34</v>
      </c>
      <c r="N214" s="8" t="n">
        <v>11</v>
      </c>
      <c r="O214" s="8" t="n">
        <v>7</v>
      </c>
      <c r="P214" s="8" t="n">
        <v>93</v>
      </c>
      <c r="Q214" s="8" t="str">
        <f aca="false">IF(A214="","",IF(AND(Y214&lt;&gt;"参考",G214&gt;=ルール設定!$B$2),"○",""))</f>
        <v/>
      </c>
      <c r="R214" s="8" t="str">
        <f aca="false">IF(A214="","",IF(AND(Y214&lt;&gt;"参考",G214&gt;=ルール設定!$B$3,N214&gt;=ルール設定!$B$4),"○",""))</f>
        <v/>
      </c>
      <c r="S214" s="8" t="str">
        <f aca="false">IF(A214="","",IF(AND(Y214&lt;&gt;"参考",G214&gt;=ルール設定!$B$5,J214&gt;=ルール設定!$B$6,O214&gt;=ルール設定!$B$7),"○",""))</f>
        <v/>
      </c>
      <c r="T214" s="8" t="n">
        <v>4</v>
      </c>
      <c r="U214" s="8" t="n">
        <v>4</v>
      </c>
      <c r="V214" s="8" t="str">
        <f aca="false">IF(A214="","",IF(AND(ISNUMBER(T214),ISNUMBER(U214)),IF(AND(T214&lt;=3,U214&lt;=3),"○","×"),""))</f>
        <v>×</v>
      </c>
      <c r="W214" s="8"/>
      <c r="X214" s="8"/>
      <c r="Y214" s="4" t="s">
        <v>7597</v>
      </c>
      <c r="Z214" s="4" t="s">
        <v>7706</v>
      </c>
      <c r="AA214" s="8" t="str">
        <v/>
      </c>
      <c r="AB214" s="8" t="str">
        <v/>
      </c>
      <c r="AC214" s="8" t="str">
        <v/>
      </c>
      <c r="AD214" s="8" t="str">
        <v/>
      </c>
      <c r="AE214" s="8" t="str">
        <v/>
      </c>
      <c r="AF214" s="8" t="str">
        <v/>
      </c>
      <c r="AG214" s="8" t="str">
        <v/>
      </c>
      <c r="AH214" s="8" t="str">
        <v/>
      </c>
      <c r="AI214" s="8" t="n">
        <v>18</v>
      </c>
      <c r="AJ214" s="8" t="str">
        <v>～59</v>
      </c>
      <c r="AK214" s="8" t="str">
        <v>10～19</v>
      </c>
      <c r="AL214" s="8" t="str">
        <v>10～19</v>
      </c>
      <c r="AM214" s="8" t="str">
        <v>～99</v>
      </c>
      <c r="AN214" s="8" t="str">
        <v>12～14</v>
      </c>
      <c r="AO214" s="8" t="str">
        <f aca="false">IF(A214="","",IF(COUNTIFS(全馬データ!$A$2:$A$50000,A214,全馬データ!$B$2:$B$50000,B214,全馬データ!$C$2:$C$50000,C214,全馬データ!$D$2:$D$50000,E214,全馬データ!$K$2:$K$50000,"&lt;&gt;")=0,"",SUMIFS(全馬データ!$K$2:$K$50000,全馬データ!$A$2:$A$50000,A214,全馬データ!$B$2:$B$50000,B214,全馬データ!$C$2:$C$50000,C214,全馬データ!$D$2:$D$50000,E214)))</f>
        <v/>
      </c>
      <c r="AP214" s="8" t="str">
        <f aca="false">IF(A214="","",IF(AO214="","欠損",IF(AO214&lt;=1.1,"1.0～1.1",IF(AO214&lt;1.3,"1.2",IF(AO214&lt;1.5,"1.3～1.4",IF(AO214&lt;2,"1.5～1.9","2.0以上"))))))</f>
        <v>欠損</v>
      </c>
      <c r="AQ214" s="8" t="str">
        <f aca="false">IF(A214="","",IF(ISNUMBER(SEARCH("2歳",Z214)),"2歳戦",IF(ISNUMBER(SEARCH("3歳未勝利",Z214)),"3歳未勝利",IF(ISNUMBER(SEARCH("未勝利",Z214)),"その他未勝利",IF(ISNUMBER(SEARCH("G1",Z214)),"G1",IF(ISNUMBER(SEARCH("G2",Z214)),"G2",IF(ISNUMBER(SEARCH("G3",Z214)),"G3",IF(ISNUMBER(SEARCH("古馬条件",Z214)),"古馬条件戦",IF(ISNUMBER(SEARCH("重賞",Z214)),"重賞","分類不能")))))))))</f>
        <v>分類不能</v>
      </c>
      <c r="AR214" s="4" t="s">
        <v>7723</v>
      </c>
      <c r="AS214" s="8" t="s">
        <v>7626</v>
      </c>
      <c r="AT214" s="8" t="s">
        <v>7627</v>
      </c>
      <c r="AU214" s="8" t="s">
        <v>7634</v>
      </c>
      <c r="AV214" s="8" t="s">
        <v>7635</v>
      </c>
      <c r="AW214" s="8" t="s">
        <v>7636</v>
      </c>
      <c r="AX214" s="4" t="s">
        <v>7637</v>
      </c>
      <c r="AY214" s="8" t="s">
        <v>7602</v>
      </c>
      <c r="AZ214" s="4" t="s">
        <v>7603</v>
      </c>
      <c r="BA214" s="8" t="n">
        <v>1800</v>
      </c>
      <c r="BB214" s="8" t="s">
        <v>7701</v>
      </c>
      <c r="BC214" s="4" t="s">
        <v>7658</v>
      </c>
      <c r="BD214" s="8" t="s">
        <v>7605</v>
      </c>
      <c r="BE214" s="4" t="s">
        <v>7606</v>
      </c>
      <c r="BF214" s="8" t="s">
        <v>7607</v>
      </c>
      <c r="BG214" s="8" t="s">
        <v>7602</v>
      </c>
      <c r="BH214" s="4" t="s">
        <v>7667</v>
      </c>
      <c r="BI214" s="8" t="n">
        <v>14</v>
      </c>
      <c r="BJ214" s="8" t="s">
        <v>7602</v>
      </c>
      <c r="BK214" s="4" t="s">
        <v>7653</v>
      </c>
      <c r="BL214" s="8" t="s">
        <v>7602</v>
      </c>
      <c r="BM214" s="4" t="s">
        <v>7620</v>
      </c>
      <c r="BN214" s="8" t="s">
        <v>7631</v>
      </c>
      <c r="BO214" s="8" t="s">
        <v>7680</v>
      </c>
      <c r="BP214" s="8" t="s">
        <v>7608</v>
      </c>
      <c r="BQ214" s="8" t="str">
        <f aca="false">IF(A214="","",AT214)</f>
        <v>3歳以上</v>
      </c>
      <c r="BR214" s="8" t="str">
        <f aca="false">IF(A214="","",IF(BA214&lt;=1200,"～1200",IF(BA214&lt;=1500,"1300～1500",IF(BA214=1600,"1600",IF(BA214&lt;=1800,"1700～1800",IF(BA214&lt;=2000,"1900～2000","2100以上"))))))</f>
        <v>1700～1800</v>
      </c>
      <c r="BS214" s="8" t="str">
        <f aca="false">IF(A214="","",IF(AX214="G1","G1",IF(AX214="G2","G2",IF(AX214="G3","G3",IF(AX214="L","L","その他")))))</f>
        <v>その他</v>
      </c>
      <c r="BT214" s="8" t="str">
        <f aca="false">IF(A214="","",IF(BI214="","未結合",IF(D214=BI214,"一致","不一致")))</f>
        <v>一致</v>
      </c>
      <c r="BU214" s="8" t="str">
        <f aca="false">IF(A214="","",IF(BE214="牝馬限定","牝馬限定","その他"))</f>
        <v>その他</v>
      </c>
    </row>
    <row r="215" customFormat="false" ht="15.75" hidden="false" customHeight="false" outlineLevel="0" collapsed="false">
      <c r="A215" s="6" t="n">
        <v>46215</v>
      </c>
      <c r="B215" s="4" t="s">
        <v>1237</v>
      </c>
      <c r="C215" s="8" t="n">
        <v>10</v>
      </c>
      <c r="D215" s="8" t="n">
        <v>12</v>
      </c>
      <c r="E215" s="8" t="n">
        <v>11</v>
      </c>
      <c r="F215" s="4" t="s">
        <v>2656</v>
      </c>
      <c r="G215" s="8" t="n">
        <v>60</v>
      </c>
      <c r="H215" s="8" t="n">
        <v>3</v>
      </c>
      <c r="I215" s="4" t="s">
        <v>2649</v>
      </c>
      <c r="J215" s="8" t="n">
        <v>44</v>
      </c>
      <c r="K215" s="8" t="n">
        <v>9</v>
      </c>
      <c r="L215" s="4" t="s">
        <v>2655</v>
      </c>
      <c r="M215" s="8" t="n">
        <v>44</v>
      </c>
      <c r="N215" s="8" t="n">
        <v>16</v>
      </c>
      <c r="O215" s="8" t="n">
        <v>0</v>
      </c>
      <c r="P215" s="8" t="n">
        <v>104</v>
      </c>
      <c r="Q215" s="8" t="str">
        <f aca="false">IF(A215="","",IF(AND(Y215&lt;&gt;"参考",G215&gt;=ルール設定!$B$2),"○",""))</f>
        <v/>
      </c>
      <c r="R215" s="8" t="str">
        <f aca="false">IF(A215="","",IF(AND(Y215&lt;&gt;"参考",G215&gt;=ルール設定!$B$3,N215&gt;=ルール設定!$B$4),"○",""))</f>
        <v/>
      </c>
      <c r="S215" s="8" t="str">
        <f aca="false">IF(A215="","",IF(AND(Y215&lt;&gt;"参考",G215&gt;=ルール設定!$B$5,J215&gt;=ルール設定!$B$6,O215&gt;=ルール設定!$B$7),"○",""))</f>
        <v/>
      </c>
      <c r="T215" s="8" t="n">
        <v>4</v>
      </c>
      <c r="U215" s="8" t="n">
        <v>4</v>
      </c>
      <c r="V215" s="8" t="str">
        <f aca="false">IF(A215="","",IF(AND(ISNUMBER(T215),ISNUMBER(U215)),IF(AND(T215&lt;=3,U215&lt;=3),"○","×"),""))</f>
        <v>×</v>
      </c>
      <c r="W215" s="8"/>
      <c r="X215" s="8"/>
      <c r="Y215" s="4" t="s">
        <v>7597</v>
      </c>
      <c r="Z215" s="4" t="s">
        <v>7706</v>
      </c>
      <c r="AA215" s="8" t="str">
        <v/>
      </c>
      <c r="AB215" s="8" t="str">
        <v/>
      </c>
      <c r="AC215" s="8" t="str">
        <v/>
      </c>
      <c r="AD215" s="8" t="str">
        <v/>
      </c>
      <c r="AE215" s="8" t="str">
        <v/>
      </c>
      <c r="AF215" s="8" t="str">
        <v/>
      </c>
      <c r="AG215" s="8" t="str">
        <v/>
      </c>
      <c r="AH215" s="8" t="str">
        <v/>
      </c>
      <c r="AI215" s="8" t="n">
        <v>16</v>
      </c>
      <c r="AJ215" s="8" t="str">
        <v>60～69</v>
      </c>
      <c r="AK215" s="8" t="str">
        <v>10～19</v>
      </c>
      <c r="AL215" s="8" t="str">
        <v>10～19</v>
      </c>
      <c r="AM215" s="8" t="str">
        <v>100～119</v>
      </c>
      <c r="AN215" s="8" t="str">
        <v>12～14</v>
      </c>
      <c r="AO215" s="8" t="str">
        <f aca="false">IF(A215="","",IF(COUNTIFS(全馬データ!$A$2:$A$50000,A215,全馬データ!$B$2:$B$50000,B215,全馬データ!$C$2:$C$50000,C215,全馬データ!$D$2:$D$50000,E215,全馬データ!$K$2:$K$50000,"&lt;&gt;")=0,"",SUMIFS(全馬データ!$K$2:$K$50000,全馬データ!$A$2:$A$50000,A215,全馬データ!$B$2:$B$50000,B215,全馬データ!$C$2:$C$50000,C215,全馬データ!$D$2:$D$50000,E215)))</f>
        <v/>
      </c>
      <c r="AP215" s="8" t="str">
        <f aca="false">IF(A215="","",IF(AO215="","欠損",IF(AO215&lt;=1.1,"1.0～1.1",IF(AO215&lt;1.3,"1.2",IF(AO215&lt;1.5,"1.3～1.4",IF(AO215&lt;2,"1.5～1.9","2.0以上"))))))</f>
        <v>欠損</v>
      </c>
      <c r="AQ215" s="8" t="str">
        <f aca="false">IF(A215="","",IF(ISNUMBER(SEARCH("2歳",Z215)),"2歳戦",IF(ISNUMBER(SEARCH("3歳未勝利",Z215)),"3歳未勝利",IF(ISNUMBER(SEARCH("未勝利",Z215)),"その他未勝利",IF(ISNUMBER(SEARCH("G1",Z215)),"G1",IF(ISNUMBER(SEARCH("G2",Z215)),"G2",IF(ISNUMBER(SEARCH("G3",Z215)),"G3",IF(ISNUMBER(SEARCH("古馬条件",Z215)),"古馬条件戦",IF(ISNUMBER(SEARCH("重賞",Z215)),"重賞","分類不能")))))))))</f>
        <v>分類不能</v>
      </c>
      <c r="AR215" s="4" t="s">
        <v>7724</v>
      </c>
      <c r="AS215" s="8" t="s">
        <v>7626</v>
      </c>
      <c r="AT215" s="8" t="s">
        <v>7627</v>
      </c>
      <c r="AU215" s="8" t="s">
        <v>7634</v>
      </c>
      <c r="AV215" s="8" t="s">
        <v>7635</v>
      </c>
      <c r="AW215" s="8" t="s">
        <v>7636</v>
      </c>
      <c r="AX215" s="4" t="s">
        <v>7637</v>
      </c>
      <c r="AY215" s="8" t="s">
        <v>7610</v>
      </c>
      <c r="AZ215" s="4" t="s">
        <v>7617</v>
      </c>
      <c r="BA215" s="8" t="n">
        <v>1000</v>
      </c>
      <c r="BB215" s="8" t="s">
        <v>7669</v>
      </c>
      <c r="BC215" s="4" t="s">
        <v>7662</v>
      </c>
      <c r="BD215" s="8" t="s">
        <v>7605</v>
      </c>
      <c r="BE215" s="4" t="s">
        <v>7606</v>
      </c>
      <c r="BF215" s="8" t="s">
        <v>7607</v>
      </c>
      <c r="BG215" s="8" t="s">
        <v>7631</v>
      </c>
      <c r="BH215" s="4" t="s">
        <v>7632</v>
      </c>
      <c r="BI215" s="8" t="n">
        <v>12</v>
      </c>
      <c r="BJ215" s="8" t="s">
        <v>7602</v>
      </c>
      <c r="BK215" s="4" t="s">
        <v>7653</v>
      </c>
      <c r="BL215" s="8" t="s">
        <v>7602</v>
      </c>
      <c r="BM215" s="4" t="s">
        <v>7620</v>
      </c>
      <c r="BN215" s="8"/>
      <c r="BO215" s="8"/>
      <c r="BP215" s="8" t="s">
        <v>7608</v>
      </c>
      <c r="BQ215" s="8" t="str">
        <f aca="false">IF(A215="","",AT215)</f>
        <v>3歳以上</v>
      </c>
      <c r="BR215" s="8" t="str">
        <f aca="false">IF(A215="","",IF(BA215&lt;=1200,"～1200",IF(BA215&lt;=1500,"1300～1500",IF(BA215=1600,"1600",IF(BA215&lt;=1800,"1700～1800",IF(BA215&lt;=2000,"1900～2000","2100以上"))))))</f>
        <v>～1200</v>
      </c>
      <c r="BS215" s="8" t="str">
        <f aca="false">IF(A215="","",IF(AX215="G1","G1",IF(AX215="G2","G2",IF(AX215="G3","G3",IF(AX215="L","L","その他")))))</f>
        <v>その他</v>
      </c>
      <c r="BT215" s="8" t="str">
        <f aca="false">IF(A215="","",IF(BI215="","未結合",IF(D215=BI215,"一致","不一致")))</f>
        <v>一致</v>
      </c>
      <c r="BU215" s="8" t="str">
        <f aca="false">IF(A215="","",IF(BE215="牝馬限定","牝馬限定","その他"))</f>
        <v>その他</v>
      </c>
    </row>
    <row r="216" customFormat="false" ht="15.75" hidden="false" customHeight="false" outlineLevel="0" collapsed="false">
      <c r="A216" s="6" t="n">
        <v>46215</v>
      </c>
      <c r="B216" s="4" t="s">
        <v>1237</v>
      </c>
      <c r="C216" s="8" t="n">
        <v>11</v>
      </c>
      <c r="D216" s="8" t="n">
        <v>14</v>
      </c>
      <c r="E216" s="8" t="n">
        <v>3</v>
      </c>
      <c r="F216" s="4" t="s">
        <v>2660</v>
      </c>
      <c r="G216" s="8" t="n">
        <v>47</v>
      </c>
      <c r="H216" s="8" t="n">
        <v>4</v>
      </c>
      <c r="I216" s="4" t="s">
        <v>2661</v>
      </c>
      <c r="J216" s="8" t="n">
        <v>34</v>
      </c>
      <c r="K216" s="8" t="n">
        <v>2</v>
      </c>
      <c r="L216" s="4" t="s">
        <v>2659</v>
      </c>
      <c r="M216" s="8" t="n">
        <v>31</v>
      </c>
      <c r="N216" s="8" t="n">
        <v>13</v>
      </c>
      <c r="O216" s="8" t="n">
        <v>3</v>
      </c>
      <c r="P216" s="8" t="n">
        <v>81</v>
      </c>
      <c r="Q216" s="8" t="str">
        <f aca="false">IF(A216="","",IF(AND(Y216&lt;&gt;"参考",G216&gt;=ルール設定!$B$2),"○",""))</f>
        <v/>
      </c>
      <c r="R216" s="8" t="str">
        <f aca="false">IF(A216="","",IF(AND(Y216&lt;&gt;"参考",G216&gt;=ルール設定!$B$3,N216&gt;=ルール設定!$B$4),"○",""))</f>
        <v/>
      </c>
      <c r="S216" s="8" t="str">
        <f aca="false">IF(A216="","",IF(AND(Y216&lt;&gt;"参考",G216&gt;=ルール設定!$B$5,J216&gt;=ルール設定!$B$6,O216&gt;=ルール設定!$B$7),"○",""))</f>
        <v/>
      </c>
      <c r="T216" s="8" t="n">
        <v>4</v>
      </c>
      <c r="U216" s="8" t="n">
        <v>3</v>
      </c>
      <c r="V216" s="8" t="str">
        <f aca="false">IF(A216="","",IF(AND(ISNUMBER(T216),ISNUMBER(U216)),IF(AND(T216&lt;=3,U216&lt;=3),"○","×"),""))</f>
        <v>×</v>
      </c>
      <c r="W216" s="8"/>
      <c r="X216" s="8"/>
      <c r="Y216" s="4" t="s">
        <v>7597</v>
      </c>
      <c r="Z216" s="4" t="s">
        <v>7706</v>
      </c>
      <c r="AA216" s="8" t="str">
        <v/>
      </c>
      <c r="AB216" s="8" t="str">
        <v/>
      </c>
      <c r="AC216" s="8" t="str">
        <v/>
      </c>
      <c r="AD216" s="8" t="str">
        <v/>
      </c>
      <c r="AE216" s="8" t="str">
        <v/>
      </c>
      <c r="AF216" s="8" t="str">
        <v/>
      </c>
      <c r="AG216" s="8" t="str">
        <v/>
      </c>
      <c r="AH216" s="8" t="str">
        <v/>
      </c>
      <c r="AI216" s="8" t="n">
        <v>16</v>
      </c>
      <c r="AJ216" s="8" t="str">
        <v>～59</v>
      </c>
      <c r="AK216" s="8" t="str">
        <v>10～19</v>
      </c>
      <c r="AL216" s="8" t="str">
        <v>10～19</v>
      </c>
      <c r="AM216" s="8" t="str">
        <v>～99</v>
      </c>
      <c r="AN216" s="8" t="str">
        <v>12～14</v>
      </c>
      <c r="AO216" s="8" t="str">
        <f aca="false">IF(A216="","",IF(COUNTIFS(全馬データ!$A$2:$A$50000,A216,全馬データ!$B$2:$B$50000,B216,全馬データ!$C$2:$C$50000,C216,全馬データ!$D$2:$D$50000,E216,全馬データ!$K$2:$K$50000,"&lt;&gt;")=0,"",SUMIFS(全馬データ!$K$2:$K$50000,全馬データ!$A$2:$A$50000,A216,全馬データ!$B$2:$B$50000,B216,全馬データ!$C$2:$C$50000,C216,全馬データ!$D$2:$D$50000,E216)))</f>
        <v/>
      </c>
      <c r="AP216" s="8" t="str">
        <f aca="false">IF(A216="","",IF(AO216="","欠損",IF(AO216&lt;=1.1,"1.0～1.1",IF(AO216&lt;1.3,"1.2",IF(AO216&lt;1.5,"1.3～1.4",IF(AO216&lt;2,"1.5～1.9","2.0以上"))))))</f>
        <v>欠損</v>
      </c>
      <c r="AQ216" s="8" t="str">
        <f aca="false">IF(A216="","",IF(ISNUMBER(SEARCH("2歳",Z216)),"2歳戦",IF(ISNUMBER(SEARCH("3歳未勝利",Z216)),"3歳未勝利",IF(ISNUMBER(SEARCH("未勝利",Z216)),"その他未勝利",IF(ISNUMBER(SEARCH("G1",Z216)),"G1",IF(ISNUMBER(SEARCH("G2",Z216)),"G2",IF(ISNUMBER(SEARCH("G3",Z216)),"G3",IF(ISNUMBER(SEARCH("古馬条件",Z216)),"古馬条件戦",IF(ISNUMBER(SEARCH("重賞",Z216)),"重賞","分類不能")))))))))</f>
        <v>分類不能</v>
      </c>
      <c r="AR216" s="4" t="s">
        <v>7725</v>
      </c>
      <c r="AS216" s="8" t="s">
        <v>7626</v>
      </c>
      <c r="AT216" s="8" t="s">
        <v>7627</v>
      </c>
      <c r="AU216" s="8" t="s">
        <v>7643</v>
      </c>
      <c r="AV216" s="4" t="s">
        <v>7644</v>
      </c>
      <c r="AW216" s="8" t="s">
        <v>7636</v>
      </c>
      <c r="AX216" s="4" t="s">
        <v>7637</v>
      </c>
      <c r="AY216" s="8" t="s">
        <v>7602</v>
      </c>
      <c r="AZ216" s="4" t="s">
        <v>7603</v>
      </c>
      <c r="BA216" s="8" t="n">
        <v>1800</v>
      </c>
      <c r="BB216" s="8" t="s">
        <v>7701</v>
      </c>
      <c r="BC216" s="4" t="s">
        <v>7658</v>
      </c>
      <c r="BD216" s="8" t="s">
        <v>7666</v>
      </c>
      <c r="BE216" s="4" t="s">
        <v>7606</v>
      </c>
      <c r="BF216" s="8" t="s">
        <v>7607</v>
      </c>
      <c r="BG216" s="8" t="s">
        <v>7610</v>
      </c>
      <c r="BH216" s="4" t="s">
        <v>7646</v>
      </c>
      <c r="BI216" s="8" t="n">
        <v>14</v>
      </c>
      <c r="BJ216" s="8" t="s">
        <v>7602</v>
      </c>
      <c r="BK216" s="4" t="s">
        <v>7653</v>
      </c>
      <c r="BL216" s="8" t="s">
        <v>7602</v>
      </c>
      <c r="BM216" s="4" t="s">
        <v>7620</v>
      </c>
      <c r="BN216" s="8" t="s">
        <v>7631</v>
      </c>
      <c r="BO216" s="8" t="s">
        <v>7680</v>
      </c>
      <c r="BP216" s="8" t="s">
        <v>7608</v>
      </c>
      <c r="BQ216" s="8" t="str">
        <f aca="false">IF(A216="","",AT216)</f>
        <v>3歳以上</v>
      </c>
      <c r="BR216" s="8" t="str">
        <f aca="false">IF(A216="","",IF(BA216&lt;=1200,"～1200",IF(BA216&lt;=1500,"1300～1500",IF(BA216=1600,"1600",IF(BA216&lt;=1800,"1700～1800",IF(BA216&lt;=2000,"1900～2000","2100以上"))))))</f>
        <v>1700～1800</v>
      </c>
      <c r="BS216" s="8" t="str">
        <f aca="false">IF(A216="","",IF(AX216="G1","G1",IF(AX216="G2","G2",IF(AX216="G3","G3",IF(AX216="L","L","その他")))))</f>
        <v>その他</v>
      </c>
      <c r="BT216" s="8" t="str">
        <f aca="false">IF(A216="","",IF(BI216="","未結合",IF(D216=BI216,"一致","不一致")))</f>
        <v>一致</v>
      </c>
      <c r="BU216" s="8" t="str">
        <f aca="false">IF(A216="","",IF(BE216="牝馬限定","牝馬限定","その他"))</f>
        <v>その他</v>
      </c>
    </row>
    <row r="217" customFormat="false" ht="15.75" hidden="false" customHeight="false" outlineLevel="0" collapsed="false">
      <c r="A217" s="6" t="n">
        <v>46215</v>
      </c>
      <c r="B217" s="4" t="s">
        <v>1237</v>
      </c>
      <c r="C217" s="8" t="n">
        <v>12</v>
      </c>
      <c r="D217" s="8" t="n">
        <v>8</v>
      </c>
      <c r="E217" s="8" t="n">
        <v>7</v>
      </c>
      <c r="F217" s="4" t="s">
        <v>396</v>
      </c>
      <c r="G217" s="8" t="n">
        <v>75</v>
      </c>
      <c r="H217" s="8" t="n">
        <v>3</v>
      </c>
      <c r="I217" s="4" t="s">
        <v>2673</v>
      </c>
      <c r="J217" s="8" t="n">
        <v>66</v>
      </c>
      <c r="K217" s="8" t="n">
        <v>2</v>
      </c>
      <c r="L217" s="4" t="s">
        <v>2672</v>
      </c>
      <c r="M217" s="8" t="n">
        <v>29</v>
      </c>
      <c r="N217" s="8" t="n">
        <v>9</v>
      </c>
      <c r="O217" s="8" t="n">
        <v>37</v>
      </c>
      <c r="P217" s="8" t="n">
        <v>141</v>
      </c>
      <c r="Q217" s="8" t="str">
        <f aca="false">IF(A217="","",IF(AND(Y217&lt;&gt;"参考",G217&gt;=ルール設定!$B$2),"○",""))</f>
        <v/>
      </c>
      <c r="R217" s="8" t="str">
        <f aca="false">IF(A217="","",IF(AND(Y217&lt;&gt;"参考",G217&gt;=ルール設定!$B$3,N217&gt;=ルール設定!$B$4),"○",""))</f>
        <v/>
      </c>
      <c r="S217" s="8" t="str">
        <f aca="false">IF(A217="","",IF(AND(Y217&lt;&gt;"参考",G217&gt;=ルール設定!$B$5,J217&gt;=ルール設定!$B$6,O217&gt;=ルール設定!$B$7),"○",""))</f>
        <v>○</v>
      </c>
      <c r="T217" s="8" t="n">
        <v>4</v>
      </c>
      <c r="U217" s="8" t="n">
        <v>4</v>
      </c>
      <c r="V217" s="8" t="str">
        <f aca="false">IF(A217="","",IF(AND(ISNUMBER(T217),ISNUMBER(U217)),IF(AND(T217&lt;=3,U217&lt;=3),"○","×"),""))</f>
        <v>×</v>
      </c>
      <c r="W217" s="8"/>
      <c r="X217" s="8"/>
      <c r="Y217" s="4" t="s">
        <v>7597</v>
      </c>
      <c r="Z217" s="4" t="s">
        <v>7706</v>
      </c>
      <c r="AA217" s="8" t="str">
        <v/>
      </c>
      <c r="AB217" s="8" t="str">
        <v/>
      </c>
      <c r="AC217" s="8" t="str">
        <v/>
      </c>
      <c r="AD217" s="8" t="str">
        <v/>
      </c>
      <c r="AE217" s="8" t="str">
        <v/>
      </c>
      <c r="AF217" s="8" t="str">
        <v/>
      </c>
      <c r="AG217" s="8" t="str">
        <v/>
      </c>
      <c r="AH217" s="8" t="str">
        <v/>
      </c>
      <c r="AI217" s="8" t="n">
        <v>46</v>
      </c>
      <c r="AJ217" s="8" t="str">
        <v>75～79</v>
      </c>
      <c r="AK217" s="8" t="str">
        <v>5～9</v>
      </c>
      <c r="AL217" s="8" t="str">
        <v>40以上</v>
      </c>
      <c r="AM217" s="8" t="str">
        <v>140～159</v>
      </c>
      <c r="AN217" s="8" t="str">
        <v>8～11</v>
      </c>
      <c r="AO217" s="8" t="str">
        <f aca="false">IF(A217="","",IF(COUNTIFS(全馬データ!$A$2:$A$50000,A217,全馬データ!$B$2:$B$50000,B217,全馬データ!$C$2:$C$50000,C217,全馬データ!$D$2:$D$50000,E217,全馬データ!$K$2:$K$50000,"&lt;&gt;")=0,"",SUMIFS(全馬データ!$K$2:$K$50000,全馬データ!$A$2:$A$50000,A217,全馬データ!$B$2:$B$50000,B217,全馬データ!$C$2:$C$50000,C217,全馬データ!$D$2:$D$50000,E217)))</f>
        <v/>
      </c>
      <c r="AP217" s="8" t="str">
        <f aca="false">IF(A217="","",IF(AO217="","欠損",IF(AO217&lt;=1.1,"1.0～1.1",IF(AO217&lt;1.3,"1.2",IF(AO217&lt;1.5,"1.3～1.4",IF(AO217&lt;2,"1.5～1.9","2.0以上"))))))</f>
        <v>欠損</v>
      </c>
      <c r="AQ217" s="8" t="str">
        <f aca="false">IF(A217="","",IF(ISNUMBER(SEARCH("2歳",Z217)),"2歳戦",IF(ISNUMBER(SEARCH("3歳未勝利",Z217)),"3歳未勝利",IF(ISNUMBER(SEARCH("未勝利",Z217)),"その他未勝利",IF(ISNUMBER(SEARCH("G1",Z217)),"G1",IF(ISNUMBER(SEARCH("G2",Z217)),"G2",IF(ISNUMBER(SEARCH("G3",Z217)),"G3",IF(ISNUMBER(SEARCH("古馬条件",Z217)),"古馬条件戦",IF(ISNUMBER(SEARCH("重賞",Z217)),"重賞","分類不能")))))))))</f>
        <v>分類不能</v>
      </c>
      <c r="AR217" s="8"/>
      <c r="AS217" s="8" t="s">
        <v>7626</v>
      </c>
      <c r="AT217" s="8" t="s">
        <v>7627</v>
      </c>
      <c r="AU217" s="8" t="s">
        <v>7628</v>
      </c>
      <c r="AV217" s="8" t="s">
        <v>7629</v>
      </c>
      <c r="AW217" s="8"/>
      <c r="AX217" s="8"/>
      <c r="AY217" s="8" t="s">
        <v>7602</v>
      </c>
      <c r="AZ217" s="4" t="s">
        <v>7603</v>
      </c>
      <c r="BA217" s="8" t="n">
        <v>1200</v>
      </c>
      <c r="BB217" s="8" t="s">
        <v>7701</v>
      </c>
      <c r="BC217" s="4" t="s">
        <v>7658</v>
      </c>
      <c r="BD217" s="8" t="s">
        <v>7690</v>
      </c>
      <c r="BE217" s="4" t="s">
        <v>7606</v>
      </c>
      <c r="BF217" s="8" t="s">
        <v>7607</v>
      </c>
      <c r="BG217" s="8" t="s">
        <v>7631</v>
      </c>
      <c r="BH217" s="4" t="s">
        <v>7632</v>
      </c>
      <c r="BI217" s="8" t="n">
        <v>8</v>
      </c>
      <c r="BJ217" s="8" t="s">
        <v>7602</v>
      </c>
      <c r="BK217" s="4" t="s">
        <v>7653</v>
      </c>
      <c r="BL217" s="8" t="s">
        <v>7602</v>
      </c>
      <c r="BM217" s="4" t="s">
        <v>7620</v>
      </c>
      <c r="BN217" s="8" t="s">
        <v>7631</v>
      </c>
      <c r="BO217" s="8" t="s">
        <v>7680</v>
      </c>
      <c r="BP217" s="8" t="s">
        <v>7608</v>
      </c>
      <c r="BQ217" s="8" t="str">
        <f aca="false">IF(A217="","",AT217)</f>
        <v>3歳以上</v>
      </c>
      <c r="BR217" s="8" t="str">
        <f aca="false">IF(A217="","",IF(BA217&lt;=1200,"～1200",IF(BA217&lt;=1500,"1300～1500",IF(BA217=1600,"1600",IF(BA217&lt;=1800,"1700～1800",IF(BA217&lt;=2000,"1900～2000","2100以上"))))))</f>
        <v>～1200</v>
      </c>
      <c r="BS217" s="8" t="str">
        <f aca="false">IF(A217="","",IF(AX217="G1","G1",IF(AX217="G2","G2",IF(AX217="G3","G3",IF(AX217="L","L","その他")))))</f>
        <v>その他</v>
      </c>
      <c r="BT217" s="8" t="str">
        <f aca="false">IF(A217="","",IF(BI217="","未結合",IF(D217=BI217,"一致","不一致")))</f>
        <v>一致</v>
      </c>
      <c r="BU217" s="8" t="str">
        <f aca="false">IF(A217="","",IF(BE217="牝馬限定","牝馬限定","その他"))</f>
        <v>その他</v>
      </c>
    </row>
    <row r="218" customFormat="false" ht="15.75" hidden="false" customHeight="false" outlineLevel="0" collapsed="false">
      <c r="A218" s="3" t="n">
        <v>46207</v>
      </c>
      <c r="B218" s="4" t="s">
        <v>915</v>
      </c>
      <c r="C218" s="8" t="n">
        <v>1</v>
      </c>
      <c r="D218" s="8" t="n">
        <v>8</v>
      </c>
      <c r="E218" s="8" t="n">
        <v>3</v>
      </c>
      <c r="F218" s="4" t="s">
        <v>2679</v>
      </c>
      <c r="G218" s="8" t="n">
        <v>81</v>
      </c>
      <c r="H218" s="8" t="n">
        <v>5</v>
      </c>
      <c r="I218" s="4" t="s">
        <v>24</v>
      </c>
      <c r="J218" s="8" t="n">
        <v>74</v>
      </c>
      <c r="K218" s="8" t="n">
        <v>1</v>
      </c>
      <c r="L218" s="4" t="s">
        <v>2676</v>
      </c>
      <c r="M218" s="8" t="n">
        <v>29</v>
      </c>
      <c r="N218" s="8" t="n">
        <f aca="false">IF(A218="","",G218-J218)</f>
        <v>7</v>
      </c>
      <c r="O218" s="8" t="n">
        <f aca="false">IF(A218="","",J218-M218)</f>
        <v>45</v>
      </c>
      <c r="P218" s="8" t="n">
        <f aca="false">IF(A218="","",G218+J218)</f>
        <v>155</v>
      </c>
      <c r="Q218" s="8" t="str">
        <f aca="false">IF(A218="","",IF(AND(Y218&lt;&gt;"参考",G218&gt;=ルール設定!$B$2),"○",""))</f>
        <v>○</v>
      </c>
      <c r="R218" s="8" t="str">
        <f aca="false">IF(A218="","",IF(AND(Y218&lt;&gt;"参考",G218&gt;=ルール設定!$B$3,N218&gt;=ルール設定!$B$4),"○",""))</f>
        <v/>
      </c>
      <c r="S218" s="8" t="str">
        <f aca="false">IF(A218="","",IF(AND(Y218&lt;&gt;"参考",G218&gt;=ルール設定!$B$5,J218&gt;=ルール設定!$B$6,O218&gt;=ルール設定!$B$7),"○",""))</f>
        <v>○</v>
      </c>
      <c r="T218" s="8" t="n">
        <v>2</v>
      </c>
      <c r="U218" s="8" t="n">
        <v>3</v>
      </c>
      <c r="V218" s="8" t="str">
        <f aca="false">IF(A218="","",IF(AND(ISNUMBER(T218),ISNUMBER(U218)),IF(AND(T218&lt;=3,U218&lt;=3),"○","×"),""))</f>
        <v>○</v>
      </c>
      <c r="W218" s="8" t="n">
        <v>100</v>
      </c>
      <c r="X218" s="8" t="n">
        <v>120</v>
      </c>
      <c r="Y218" s="4" t="s">
        <v>7597</v>
      </c>
      <c r="Z218" s="4" t="s">
        <v>7726</v>
      </c>
      <c r="AA218" s="8" t="str">
        <v/>
      </c>
      <c r="AB218" s="8" t="str">
        <v>○</v>
      </c>
      <c r="AC218" s="8" t="str">
        <v/>
      </c>
      <c r="AD218" s="8" t="str">
        <v/>
      </c>
      <c r="AE218" s="8" t="str">
        <v/>
      </c>
      <c r="AF218" s="8" t="str">
        <v>○</v>
      </c>
      <c r="AG218" s="8" t="str">
        <v>○</v>
      </c>
      <c r="AH218" s="8" t="str">
        <v/>
      </c>
      <c r="AI218" s="8" t="n">
        <v>52</v>
      </c>
      <c r="AJ218" s="8" t="str">
        <v>80～84</v>
      </c>
      <c r="AK218" s="8" t="str">
        <v>5～9</v>
      </c>
      <c r="AL218" s="8" t="str">
        <v>40以上</v>
      </c>
      <c r="AM218" s="8" t="str">
        <v>140～159</v>
      </c>
      <c r="AN218" s="8" t="str">
        <v>8～11</v>
      </c>
      <c r="AO218" s="8" t="n">
        <f aca="false">IF(A218="","",IF(COUNTIFS(全馬データ!$A$2:$A$50000,A218,全馬データ!$B$2:$B$50000,B218,全馬データ!$C$2:$C$50000,C218,全馬データ!$D$2:$D$50000,E218,全馬データ!$K$2:$K$50000,"&lt;&gt;")=0,"",SUMIFS(全馬データ!$K$2:$K$50000,全馬データ!$A$2:$A$50000,A218,全馬データ!$B$2:$B$50000,B218,全馬データ!$C$2:$C$50000,C218,全馬データ!$D$2:$D$50000,E218)))</f>
        <v>1</v>
      </c>
      <c r="AP218" s="8" t="str">
        <f aca="false">IF(A218="","",IF(AO218="","欠損",IF(AO218&lt;=1.1,"1.0～1.1",IF(AO218&lt;1.3,"1.2",IF(AO218&lt;1.5,"1.3～1.4",IF(AO218&lt;2,"1.5～1.9","2.0以上"))))))</f>
        <v>1.0～1.1</v>
      </c>
      <c r="AQ218" s="8" t="str">
        <f aca="false">IF(A218="","",IF(ISNUMBER(SEARCH("2歳",Z218)),"2歳戦",IF(ISNUMBER(SEARCH("3歳未勝利",Z218)),"3歳未勝利",IF(ISNUMBER(SEARCH("未勝利",Z218)),"その他未勝利",IF(ISNUMBER(SEARCH("G1",Z218)),"G1",IF(ISNUMBER(SEARCH("G2",Z218)),"G2",IF(ISNUMBER(SEARCH("G3",Z218)),"G3",IF(ISNUMBER(SEARCH("古馬条件",Z218)),"古馬条件戦",IF(ISNUMBER(SEARCH("重賞",Z218)),"重賞","分類不能")))))))))</f>
        <v>分類不能</v>
      </c>
      <c r="AR218" s="8"/>
      <c r="AS218" s="8" t="s">
        <v>7598</v>
      </c>
      <c r="AT218" s="8" t="s">
        <v>7599</v>
      </c>
      <c r="AU218" s="8" t="s">
        <v>7600</v>
      </c>
      <c r="AV218" s="4" t="s">
        <v>7601</v>
      </c>
      <c r="AW218" s="8"/>
      <c r="AX218" s="8"/>
      <c r="AY218" s="8" t="s">
        <v>7602</v>
      </c>
      <c r="AZ218" s="4" t="s">
        <v>7603</v>
      </c>
      <c r="BA218" s="8" t="n">
        <v>1800</v>
      </c>
      <c r="BB218" s="8" t="s">
        <v>7659</v>
      </c>
      <c r="BC218" s="4" t="s">
        <v>7619</v>
      </c>
      <c r="BD218" s="8" t="s">
        <v>7605</v>
      </c>
      <c r="BE218" s="4" t="s">
        <v>7606</v>
      </c>
      <c r="BF218" s="8" t="s">
        <v>7607</v>
      </c>
      <c r="BG218" s="8" t="s">
        <v>7608</v>
      </c>
      <c r="BH218" s="4" t="s">
        <v>7609</v>
      </c>
      <c r="BI218" s="8" t="n">
        <v>8</v>
      </c>
      <c r="BJ218" s="8" t="s">
        <v>7602</v>
      </c>
      <c r="BK218" s="4" t="s">
        <v>7653</v>
      </c>
      <c r="BL218" s="8" t="s">
        <v>7602</v>
      </c>
      <c r="BM218" s="4" t="s">
        <v>7620</v>
      </c>
      <c r="BN218" s="8" t="s">
        <v>7602</v>
      </c>
      <c r="BO218" s="8" t="s">
        <v>7613</v>
      </c>
      <c r="BP218" s="8" t="s">
        <v>7602</v>
      </c>
      <c r="BQ218" s="8" t="str">
        <f aca="false">IF(A218="","",AT218)</f>
        <v>2歳</v>
      </c>
      <c r="BR218" s="8" t="str">
        <f aca="false">IF(A218="","",IF(BA218&lt;=1200,"～1200",IF(BA218&lt;=1500,"1300～1500",IF(BA218=1600,"1600",IF(BA218&lt;=1800,"1700～1800",IF(BA218&lt;=2000,"1900～2000","2100以上"))))))</f>
        <v>1700～1800</v>
      </c>
      <c r="BS218" s="8" t="str">
        <f aca="false">IF(A218="","",IF(AX218="G1","G1",IF(AX218="G2","G2",IF(AX218="G3","G3",IF(AX218="L","L","その他")))))</f>
        <v>その他</v>
      </c>
      <c r="BT218" s="8" t="str">
        <f aca="false">IF(A218="","",IF(BI218="","未結合",IF(D218=BI218,"一致","不一致")))</f>
        <v>一致</v>
      </c>
      <c r="BU218" s="8" t="str">
        <f aca="false">IF(A218="","",IF(BE218="牝馬限定","牝馬限定","その他"))</f>
        <v>その他</v>
      </c>
    </row>
    <row r="219" customFormat="false" ht="15.75" hidden="false" customHeight="false" outlineLevel="0" collapsed="false">
      <c r="A219" s="3" t="n">
        <v>46207</v>
      </c>
      <c r="B219" s="4" t="s">
        <v>915</v>
      </c>
      <c r="C219" s="8" t="n">
        <v>2</v>
      </c>
      <c r="D219" s="8" t="n">
        <v>16</v>
      </c>
      <c r="E219" s="8" t="n">
        <v>1</v>
      </c>
      <c r="F219" s="4" t="s">
        <v>629</v>
      </c>
      <c r="G219" s="8" t="n">
        <v>56</v>
      </c>
      <c r="H219" s="8" t="n">
        <v>3</v>
      </c>
      <c r="I219" s="4" t="s">
        <v>1012</v>
      </c>
      <c r="J219" s="8" t="n">
        <v>50</v>
      </c>
      <c r="K219" s="8" t="n">
        <v>7</v>
      </c>
      <c r="L219" s="4" t="s">
        <v>2687</v>
      </c>
      <c r="M219" s="8" t="n">
        <v>39</v>
      </c>
      <c r="N219" s="8" t="n">
        <f aca="false">IF(A219="","",G219-J219)</f>
        <v>6</v>
      </c>
      <c r="O219" s="8" t="n">
        <f aca="false">IF(A219="","",J219-M219)</f>
        <v>11</v>
      </c>
      <c r="P219" s="8" t="n">
        <f aca="false">IF(A219="","",G219+J219)</f>
        <v>106</v>
      </c>
      <c r="Q219" s="8" t="str">
        <f aca="false">IF(A219="","",IF(AND(Y219&lt;&gt;"参考",G219&gt;=ルール設定!$B$2),"○",""))</f>
        <v/>
      </c>
      <c r="R219" s="8" t="str">
        <f aca="false">IF(A219="","",IF(AND(Y219&lt;&gt;"参考",G219&gt;=ルール設定!$B$3,N219&gt;=ルール設定!$B$4),"○",""))</f>
        <v/>
      </c>
      <c r="S219" s="8" t="str">
        <f aca="false">IF(A219="","",IF(AND(Y219&lt;&gt;"参考",G219&gt;=ルール設定!$B$5,J219&gt;=ルール設定!$B$6,O219&gt;=ルール設定!$B$7),"○",""))</f>
        <v/>
      </c>
      <c r="T219" s="8" t="n">
        <v>3</v>
      </c>
      <c r="U219" s="8" t="n">
        <v>4</v>
      </c>
      <c r="V219" s="8" t="str">
        <f aca="false">IF(A219="","",IF(AND(ISNUMBER(T219),ISNUMBER(U219)),IF(AND(T219&lt;=3,U219&lt;=3),"○","×"),""))</f>
        <v>×</v>
      </c>
      <c r="W219" s="8" t="n">
        <v>190</v>
      </c>
      <c r="X219" s="8"/>
      <c r="Y219" s="4" t="s">
        <v>7597</v>
      </c>
      <c r="Z219" s="4" t="s">
        <v>7726</v>
      </c>
      <c r="AA219" s="8" t="str">
        <v/>
      </c>
      <c r="AB219" s="8" t="str">
        <v/>
      </c>
      <c r="AC219" s="8" t="str">
        <v/>
      </c>
      <c r="AD219" s="8" t="str">
        <v/>
      </c>
      <c r="AE219" s="8" t="str">
        <v/>
      </c>
      <c r="AF219" s="8" t="str">
        <v/>
      </c>
      <c r="AG219" s="8" t="str">
        <v/>
      </c>
      <c r="AH219" s="8" t="str">
        <v/>
      </c>
      <c r="AI219" s="8" t="n">
        <v>17</v>
      </c>
      <c r="AJ219" s="8" t="str">
        <v>～59</v>
      </c>
      <c r="AK219" s="8" t="str">
        <v>5～9</v>
      </c>
      <c r="AL219" s="8" t="str">
        <v>10～19</v>
      </c>
      <c r="AM219" s="8" t="str">
        <v>100～119</v>
      </c>
      <c r="AN219" s="8" t="str">
        <v>15以上</v>
      </c>
      <c r="AO219" s="8" t="str">
        <f aca="false">IF(A219="","",IF(COUNTIFS(全馬データ!$A$2:$A$50000,A219,全馬データ!$B$2:$B$50000,B219,全馬データ!$C$2:$C$50000,C219,全馬データ!$D$2:$D$50000,E219,全馬データ!$K$2:$K$50000,"&lt;&gt;")=0,"",SUMIFS(全馬データ!$K$2:$K$50000,全馬データ!$A$2:$A$50000,A219,全馬データ!$B$2:$B$50000,B219,全馬データ!$C$2:$C$50000,C219,全馬データ!$D$2:$D$50000,E219)))</f>
        <v/>
      </c>
      <c r="AP219" s="8" t="str">
        <f aca="false">IF(A219="","",IF(AO219="","欠損",IF(AO219&lt;=1.1,"1.0～1.1",IF(AO219&lt;1.3,"1.2",IF(AO219&lt;1.5,"1.3～1.4",IF(AO219&lt;2,"1.5～1.9","2.0以上"))))))</f>
        <v>欠損</v>
      </c>
      <c r="AQ219" s="8" t="str">
        <f aca="false">IF(A219="","",IF(ISNUMBER(SEARCH("2歳",Z219)),"2歳戦",IF(ISNUMBER(SEARCH("3歳未勝利",Z219)),"3歳未勝利",IF(ISNUMBER(SEARCH("未勝利",Z219)),"その他未勝利",IF(ISNUMBER(SEARCH("G1",Z219)),"G1",IF(ISNUMBER(SEARCH("G2",Z219)),"G2",IF(ISNUMBER(SEARCH("G3",Z219)),"G3",IF(ISNUMBER(SEARCH("古馬条件",Z219)),"古馬条件戦",IF(ISNUMBER(SEARCH("重賞",Z219)),"重賞","分類不能")))))))))</f>
        <v>分類不能</v>
      </c>
      <c r="AR219" s="8"/>
      <c r="AS219" s="8" t="s">
        <v>7623</v>
      </c>
      <c r="AT219" s="8" t="s">
        <v>7624</v>
      </c>
      <c r="AU219" s="8" t="s">
        <v>7600</v>
      </c>
      <c r="AV219" s="4" t="s">
        <v>7601</v>
      </c>
      <c r="AW219" s="8"/>
      <c r="AX219" s="8"/>
      <c r="AY219" s="8" t="s">
        <v>7602</v>
      </c>
      <c r="AZ219" s="4" t="s">
        <v>7603</v>
      </c>
      <c r="BA219" s="8" t="n">
        <v>2600</v>
      </c>
      <c r="BB219" s="8" t="s">
        <v>7659</v>
      </c>
      <c r="BC219" s="4" t="s">
        <v>7619</v>
      </c>
      <c r="BD219" s="8" t="s">
        <v>7605</v>
      </c>
      <c r="BE219" s="4" t="s">
        <v>7606</v>
      </c>
      <c r="BF219" s="8" t="s">
        <v>7607</v>
      </c>
      <c r="BG219" s="8" t="s">
        <v>7608</v>
      </c>
      <c r="BH219" s="4" t="s">
        <v>7609</v>
      </c>
      <c r="BI219" s="8" t="n">
        <v>16</v>
      </c>
      <c r="BJ219" s="8" t="s">
        <v>7602</v>
      </c>
      <c r="BK219" s="4" t="s">
        <v>7653</v>
      </c>
      <c r="BL219" s="8" t="s">
        <v>7602</v>
      </c>
      <c r="BM219" s="4" t="s">
        <v>7620</v>
      </c>
      <c r="BN219" s="8" t="s">
        <v>7602</v>
      </c>
      <c r="BO219" s="8" t="s">
        <v>7613</v>
      </c>
      <c r="BP219" s="8" t="s">
        <v>7602</v>
      </c>
      <c r="BQ219" s="8" t="str">
        <f aca="false">IF(A219="","",AT219)</f>
        <v>3歳</v>
      </c>
      <c r="BR219" s="8" t="str">
        <f aca="false">IF(A219="","",IF(BA219&lt;=1200,"～1200",IF(BA219&lt;=1500,"1300～1500",IF(BA219=1600,"1600",IF(BA219&lt;=1800,"1700～1800",IF(BA219&lt;=2000,"1900～2000","2100以上"))))))</f>
        <v>2100以上</v>
      </c>
      <c r="BS219" s="8" t="str">
        <f aca="false">IF(A219="","",IF(AX219="G1","G1",IF(AX219="G2","G2",IF(AX219="G3","G3",IF(AX219="L","L","その他")))))</f>
        <v>その他</v>
      </c>
      <c r="BT219" s="8" t="str">
        <f aca="false">IF(A219="","",IF(BI219="","未結合",IF(D219=BI219,"一致","不一致")))</f>
        <v>一致</v>
      </c>
      <c r="BU219" s="8" t="str">
        <f aca="false">IF(A219="","",IF(BE219="牝馬限定","牝馬限定","その他"))</f>
        <v>その他</v>
      </c>
    </row>
    <row r="220" customFormat="false" ht="15.75" hidden="false" customHeight="false" outlineLevel="0" collapsed="false">
      <c r="A220" s="3" t="n">
        <v>46207</v>
      </c>
      <c r="B220" s="4" t="s">
        <v>915</v>
      </c>
      <c r="C220" s="8" t="n">
        <v>3</v>
      </c>
      <c r="D220" s="8" t="n">
        <v>15</v>
      </c>
      <c r="E220" s="8" t="n">
        <v>8</v>
      </c>
      <c r="F220" s="4" t="s">
        <v>2701</v>
      </c>
      <c r="G220" s="8" t="n">
        <v>86</v>
      </c>
      <c r="H220" s="8" t="n">
        <v>12</v>
      </c>
      <c r="I220" s="4" t="s">
        <v>1469</v>
      </c>
      <c r="J220" s="8" t="n">
        <v>75</v>
      </c>
      <c r="K220" s="8" t="n">
        <v>15</v>
      </c>
      <c r="L220" s="4" t="s">
        <v>1470</v>
      </c>
      <c r="M220" s="8" t="n">
        <v>39</v>
      </c>
      <c r="N220" s="8" t="n">
        <f aca="false">IF(A220="","",G220-J220)</f>
        <v>11</v>
      </c>
      <c r="O220" s="8" t="n">
        <f aca="false">IF(A220="","",J220-M220)</f>
        <v>36</v>
      </c>
      <c r="P220" s="8" t="n">
        <f aca="false">IF(A220="","",G220+J220)</f>
        <v>161</v>
      </c>
      <c r="Q220" s="8" t="str">
        <f aca="false">IF(A220="","",IF(AND(Y220&lt;&gt;"参考",G220&gt;=ルール設定!$B$2),"○",""))</f>
        <v>○</v>
      </c>
      <c r="R220" s="8" t="str">
        <f aca="false">IF(A220="","",IF(AND(Y220&lt;&gt;"参考",G220&gt;=ルール設定!$B$3,N220&gt;=ルール設定!$B$4),"○",""))</f>
        <v/>
      </c>
      <c r="S220" s="8" t="str">
        <f aca="false">IF(A220="","",IF(AND(Y220&lt;&gt;"参考",G220&gt;=ルール設定!$B$5,J220&gt;=ルール設定!$B$6,O220&gt;=ルール設定!$B$7),"○",""))</f>
        <v>○</v>
      </c>
      <c r="T220" s="8" t="n">
        <v>2</v>
      </c>
      <c r="U220" s="8" t="n">
        <v>3</v>
      </c>
      <c r="V220" s="8" t="str">
        <f aca="false">IF(A220="","",IF(AND(ISNUMBER(T220),ISNUMBER(U220)),IF(AND(T220&lt;=3,U220&lt;=3),"○","×"),""))</f>
        <v>○</v>
      </c>
      <c r="W220" s="8" t="n">
        <v>110</v>
      </c>
      <c r="X220" s="8" t="n">
        <v>150</v>
      </c>
      <c r="Y220" s="4" t="s">
        <v>7597</v>
      </c>
      <c r="Z220" s="4" t="s">
        <v>7726</v>
      </c>
      <c r="AA220" s="8" t="str">
        <v>○</v>
      </c>
      <c r="AB220" s="8" t="str">
        <v>○</v>
      </c>
      <c r="AC220" s="8" t="str">
        <v>○</v>
      </c>
      <c r="AD220" s="8" t="str">
        <v/>
      </c>
      <c r="AE220" s="8" t="str">
        <v/>
      </c>
      <c r="AF220" s="8" t="str">
        <v>○</v>
      </c>
      <c r="AG220" s="8" t="str">
        <v>○</v>
      </c>
      <c r="AH220" s="8" t="str">
        <v/>
      </c>
      <c r="AI220" s="8" t="n">
        <v>47</v>
      </c>
      <c r="AJ220" s="8" t="str">
        <v>85以上</v>
      </c>
      <c r="AK220" s="8" t="str">
        <v>10～19</v>
      </c>
      <c r="AL220" s="8" t="str">
        <v>40以上</v>
      </c>
      <c r="AM220" s="8" t="str">
        <v>160以上</v>
      </c>
      <c r="AN220" s="8" t="str">
        <v>15以上</v>
      </c>
      <c r="AO220" s="8" t="n">
        <f aca="false">IF(A220="","",IF(COUNTIFS(全馬データ!$A$2:$A$50000,A220,全馬データ!$B$2:$B$50000,B220,全馬データ!$C$2:$C$50000,C220,全馬データ!$D$2:$D$50000,E220,全馬データ!$K$2:$K$50000,"&lt;&gt;")=0,"",SUMIFS(全馬データ!$K$2:$K$50000,全馬データ!$A$2:$A$50000,A220,全馬データ!$B$2:$B$50000,B220,全馬データ!$C$2:$C$50000,C220,全馬データ!$D$2:$D$50000,E220)))</f>
        <v>1.1</v>
      </c>
      <c r="AP220" s="8" t="str">
        <f aca="false">IF(A220="","",IF(AO220="","欠損",IF(AO220&lt;=1.1,"1.0～1.1",IF(AO220&lt;1.3,"1.2",IF(AO220&lt;1.5,"1.3～1.4",IF(AO220&lt;2,"1.5～1.9","2.0以上"))))))</f>
        <v>1.0～1.1</v>
      </c>
      <c r="AQ220" s="8" t="str">
        <f aca="false">IF(A220="","",IF(ISNUMBER(SEARCH("2歳",Z220)),"2歳戦",IF(ISNUMBER(SEARCH("3歳未勝利",Z220)),"3歳未勝利",IF(ISNUMBER(SEARCH("未勝利",Z220)),"その他未勝利",IF(ISNUMBER(SEARCH("G1",Z220)),"G1",IF(ISNUMBER(SEARCH("G2",Z220)),"G2",IF(ISNUMBER(SEARCH("G3",Z220)),"G3",IF(ISNUMBER(SEARCH("古馬条件",Z220)),"古馬条件戦",IF(ISNUMBER(SEARCH("重賞",Z220)),"重賞","分類不能")))))))))</f>
        <v>分類不能</v>
      </c>
      <c r="AR220" s="8"/>
      <c r="AS220" s="8" t="s">
        <v>7623</v>
      </c>
      <c r="AT220" s="8" t="s">
        <v>7624</v>
      </c>
      <c r="AU220" s="8" t="s">
        <v>7600</v>
      </c>
      <c r="AV220" s="4" t="s">
        <v>7601</v>
      </c>
      <c r="AW220" s="8"/>
      <c r="AX220" s="8"/>
      <c r="AY220" s="8" t="s">
        <v>7610</v>
      </c>
      <c r="AZ220" s="4" t="s">
        <v>7617</v>
      </c>
      <c r="BA220" s="8" t="n">
        <v>1700</v>
      </c>
      <c r="BB220" s="8" t="s">
        <v>7657</v>
      </c>
      <c r="BC220" s="4" t="s">
        <v>7658</v>
      </c>
      <c r="BD220" s="8" t="s">
        <v>7605</v>
      </c>
      <c r="BE220" s="4" t="s">
        <v>7606</v>
      </c>
      <c r="BF220" s="8" t="s">
        <v>7607</v>
      </c>
      <c r="BG220" s="8" t="s">
        <v>7608</v>
      </c>
      <c r="BH220" s="4" t="s">
        <v>7609</v>
      </c>
      <c r="BI220" s="8" t="n">
        <v>15</v>
      </c>
      <c r="BJ220" s="8" t="s">
        <v>7602</v>
      </c>
      <c r="BK220" s="4" t="s">
        <v>7653</v>
      </c>
      <c r="BL220" s="8" t="s">
        <v>7602</v>
      </c>
      <c r="BM220" s="4" t="s">
        <v>7620</v>
      </c>
      <c r="BN220" s="8"/>
      <c r="BO220" s="8"/>
      <c r="BP220" s="8" t="s">
        <v>7602</v>
      </c>
      <c r="BQ220" s="8" t="str">
        <f aca="false">IF(A220="","",AT220)</f>
        <v>3歳</v>
      </c>
      <c r="BR220" s="8" t="str">
        <f aca="false">IF(A220="","",IF(BA220&lt;=1200,"～1200",IF(BA220&lt;=1500,"1300～1500",IF(BA220=1600,"1600",IF(BA220&lt;=1800,"1700～1800",IF(BA220&lt;=2000,"1900～2000","2100以上"))))))</f>
        <v>1700～1800</v>
      </c>
      <c r="BS220" s="8" t="str">
        <f aca="false">IF(A220="","",IF(AX220="G1","G1",IF(AX220="G2","G2",IF(AX220="G3","G3",IF(AX220="L","L","その他")))))</f>
        <v>その他</v>
      </c>
      <c r="BT220" s="8" t="str">
        <f aca="false">IF(A220="","",IF(BI220="","未結合",IF(D220=BI220,"一致","不一致")))</f>
        <v>一致</v>
      </c>
      <c r="BU220" s="8" t="str">
        <f aca="false">IF(A220="","",IF(BE220="牝馬限定","牝馬限定","その他"))</f>
        <v>その他</v>
      </c>
    </row>
    <row r="221" customFormat="false" ht="15.75" hidden="false" customHeight="false" outlineLevel="0" collapsed="false">
      <c r="A221" s="3" t="n">
        <v>46207</v>
      </c>
      <c r="B221" s="4" t="s">
        <v>915</v>
      </c>
      <c r="C221" s="8" t="n">
        <v>4</v>
      </c>
      <c r="D221" s="8" t="n">
        <v>16</v>
      </c>
      <c r="E221" s="8" t="n">
        <v>9</v>
      </c>
      <c r="F221" s="4" t="s">
        <v>2713</v>
      </c>
      <c r="G221" s="8" t="n">
        <v>75</v>
      </c>
      <c r="H221" s="8" t="n">
        <v>16</v>
      </c>
      <c r="I221" s="4" t="s">
        <v>966</v>
      </c>
      <c r="J221" s="8" t="n">
        <v>31</v>
      </c>
      <c r="K221" s="8" t="n">
        <v>8</v>
      </c>
      <c r="L221" s="4" t="s">
        <v>2712</v>
      </c>
      <c r="M221" s="8" t="n">
        <v>25</v>
      </c>
      <c r="N221" s="8" t="n">
        <f aca="false">IF(A221="","",G221-J221)</f>
        <v>44</v>
      </c>
      <c r="O221" s="8" t="n">
        <f aca="false">IF(A221="","",J221-M221)</f>
        <v>6</v>
      </c>
      <c r="P221" s="8" t="n">
        <f aca="false">IF(A221="","",G221+J221)</f>
        <v>106</v>
      </c>
      <c r="Q221" s="8" t="str">
        <f aca="false">IF(A221="","",IF(AND(Y221&lt;&gt;"参考",G221&gt;=ルール設定!$B$2),"○",""))</f>
        <v/>
      </c>
      <c r="R221" s="8" t="str">
        <f aca="false">IF(A221="","",IF(AND(Y221&lt;&gt;"参考",G221&gt;=ルール設定!$B$3,N221&gt;=ルール設定!$B$4),"○",""))</f>
        <v>○</v>
      </c>
      <c r="S221" s="8" t="str">
        <f aca="false">IF(A221="","",IF(AND(Y221&lt;&gt;"参考",G221&gt;=ルール設定!$B$5,J221&gt;=ルール設定!$B$6,O221&gt;=ルール設定!$B$7),"○",""))</f>
        <v/>
      </c>
      <c r="T221" s="8" t="n">
        <v>1</v>
      </c>
      <c r="U221" s="8" t="n">
        <v>2</v>
      </c>
      <c r="V221" s="8" t="str">
        <f aca="false">IF(A221="","",IF(AND(ISNUMBER(T221),ISNUMBER(U221)),IF(AND(T221&lt;=3,U221&lt;=3),"○","×"),""))</f>
        <v>○</v>
      </c>
      <c r="W221" s="8" t="n">
        <v>110</v>
      </c>
      <c r="X221" s="8" t="n">
        <v>270</v>
      </c>
      <c r="Y221" s="4" t="s">
        <v>7597</v>
      </c>
      <c r="Z221" s="4" t="s">
        <v>7726</v>
      </c>
      <c r="AA221" s="8" t="str">
        <v/>
      </c>
      <c r="AB221" s="8" t="str">
        <v/>
      </c>
      <c r="AC221" s="8" t="str">
        <v/>
      </c>
      <c r="AD221" s="8" t="str">
        <v/>
      </c>
      <c r="AE221" s="8" t="str">
        <v>○</v>
      </c>
      <c r="AF221" s="8" t="str">
        <v/>
      </c>
      <c r="AG221" s="8" t="str">
        <v/>
      </c>
      <c r="AH221" s="8" t="str">
        <v/>
      </c>
      <c r="AI221" s="8" t="n">
        <v>50</v>
      </c>
      <c r="AJ221" s="8" t="str">
        <v>75～79</v>
      </c>
      <c r="AK221" s="8" t="str">
        <v>30以上</v>
      </c>
      <c r="AL221" s="8" t="str">
        <v>40以上</v>
      </c>
      <c r="AM221" s="8" t="str">
        <v>100～119</v>
      </c>
      <c r="AN221" s="8" t="str">
        <v>15以上</v>
      </c>
      <c r="AO221" s="8" t="str">
        <f aca="false">IF(A221="","",IF(COUNTIFS(全馬データ!$A$2:$A$50000,A221,全馬データ!$B$2:$B$50000,B221,全馬データ!$C$2:$C$50000,C221,全馬データ!$D$2:$D$50000,E221,全馬データ!$K$2:$K$50000,"&lt;&gt;")=0,"",SUMIFS(全馬データ!$K$2:$K$50000,全馬データ!$A$2:$A$50000,A221,全馬データ!$B$2:$B$50000,B221,全馬データ!$C$2:$C$50000,C221,全馬データ!$D$2:$D$50000,E221)))</f>
        <v/>
      </c>
      <c r="AP221" s="8" t="str">
        <f aca="false">IF(A221="","",IF(AO221="","欠損",IF(AO221&lt;=1.1,"1.0～1.1",IF(AO221&lt;1.3,"1.2",IF(AO221&lt;1.5,"1.3～1.4",IF(AO221&lt;2,"1.5～1.9","2.0以上"))))))</f>
        <v>欠損</v>
      </c>
      <c r="AQ221" s="8" t="str">
        <f aca="false">IF(A221="","",IF(ISNUMBER(SEARCH("2歳",Z221)),"2歳戦",IF(ISNUMBER(SEARCH("3歳未勝利",Z221)),"3歳未勝利",IF(ISNUMBER(SEARCH("未勝利",Z221)),"その他未勝利",IF(ISNUMBER(SEARCH("G1",Z221)),"G1",IF(ISNUMBER(SEARCH("G2",Z221)),"G2",IF(ISNUMBER(SEARCH("G3",Z221)),"G3",IF(ISNUMBER(SEARCH("古馬条件",Z221)),"古馬条件戦",IF(ISNUMBER(SEARCH("重賞",Z221)),"重賞","分類不能")))))))))</f>
        <v>分類不能</v>
      </c>
      <c r="AR221" s="8"/>
      <c r="AS221" s="8" t="s">
        <v>7623</v>
      </c>
      <c r="AT221" s="8" t="s">
        <v>7624</v>
      </c>
      <c r="AU221" s="8" t="s">
        <v>7600</v>
      </c>
      <c r="AV221" s="4" t="s">
        <v>7601</v>
      </c>
      <c r="AW221" s="8"/>
      <c r="AX221" s="8"/>
      <c r="AY221" s="8" t="s">
        <v>7602</v>
      </c>
      <c r="AZ221" s="4" t="s">
        <v>7603</v>
      </c>
      <c r="BA221" s="8" t="n">
        <v>1200</v>
      </c>
      <c r="BB221" s="8" t="s">
        <v>7659</v>
      </c>
      <c r="BC221" s="4" t="s">
        <v>7619</v>
      </c>
      <c r="BD221" s="8" t="s">
        <v>7621</v>
      </c>
      <c r="BE221" s="4" t="s">
        <v>7622</v>
      </c>
      <c r="BF221" s="8" t="s">
        <v>7602</v>
      </c>
      <c r="BG221" s="8" t="s">
        <v>7608</v>
      </c>
      <c r="BH221" s="4" t="s">
        <v>7609</v>
      </c>
      <c r="BI221" s="8" t="n">
        <v>16</v>
      </c>
      <c r="BJ221" s="8" t="s">
        <v>7602</v>
      </c>
      <c r="BK221" s="4" t="s">
        <v>7653</v>
      </c>
      <c r="BL221" s="8" t="s">
        <v>7602</v>
      </c>
      <c r="BM221" s="4" t="s">
        <v>7620</v>
      </c>
      <c r="BN221" s="8" t="s">
        <v>7602</v>
      </c>
      <c r="BO221" s="8" t="s">
        <v>7613</v>
      </c>
      <c r="BP221" s="8" t="s">
        <v>7602</v>
      </c>
      <c r="BQ221" s="8" t="str">
        <f aca="false">IF(A221="","",AT221)</f>
        <v>3歳</v>
      </c>
      <c r="BR221" s="8" t="str">
        <f aca="false">IF(A221="","",IF(BA221&lt;=1200,"～1200",IF(BA221&lt;=1500,"1300～1500",IF(BA221=1600,"1600",IF(BA221&lt;=1800,"1700～1800",IF(BA221&lt;=2000,"1900～2000","2100以上"))))))</f>
        <v>～1200</v>
      </c>
      <c r="BS221" s="8" t="str">
        <f aca="false">IF(A221="","",IF(AX221="G1","G1",IF(AX221="G2","G2",IF(AX221="G3","G3",IF(AX221="L","L","その他")))))</f>
        <v>その他</v>
      </c>
      <c r="BT221" s="8" t="str">
        <f aca="false">IF(A221="","",IF(BI221="","未結合",IF(D221=BI221,"一致","不一致")))</f>
        <v>一致</v>
      </c>
      <c r="BU221" s="8" t="str">
        <f aca="false">IF(A221="","",IF(BE221="牝馬限定","牝馬限定","その他"))</f>
        <v>牝馬限定</v>
      </c>
    </row>
    <row r="222" customFormat="false" ht="15.75" hidden="false" customHeight="false" outlineLevel="0" collapsed="false">
      <c r="A222" s="3" t="n">
        <v>46207</v>
      </c>
      <c r="B222" s="4" t="s">
        <v>915</v>
      </c>
      <c r="C222" s="8" t="n">
        <v>5</v>
      </c>
      <c r="D222" s="8" t="n">
        <v>14</v>
      </c>
      <c r="E222" s="8" t="n">
        <v>1</v>
      </c>
      <c r="F222" s="4" t="s">
        <v>2718</v>
      </c>
      <c r="G222" s="8" t="n">
        <v>37</v>
      </c>
      <c r="H222" s="8" t="n">
        <v>14</v>
      </c>
      <c r="I222" s="4" t="s">
        <v>2728</v>
      </c>
      <c r="J222" s="8" t="n">
        <v>31</v>
      </c>
      <c r="K222" s="8" t="n">
        <v>9</v>
      </c>
      <c r="L222" s="4" t="s">
        <v>2724</v>
      </c>
      <c r="M222" s="8" t="n">
        <v>27</v>
      </c>
      <c r="N222" s="8" t="n">
        <f aca="false">IF(A222="","",G222-J222)</f>
        <v>6</v>
      </c>
      <c r="O222" s="8" t="n">
        <f aca="false">IF(A222="","",J222-M222)</f>
        <v>4</v>
      </c>
      <c r="P222" s="8" t="n">
        <f aca="false">IF(A222="","",G222+J222)</f>
        <v>68</v>
      </c>
      <c r="Q222" s="8" t="str">
        <f aca="false">IF(A222="","",IF(AND(Y222&lt;&gt;"参考",G222&gt;=ルール設定!$B$2),"○",""))</f>
        <v/>
      </c>
      <c r="R222" s="8" t="str">
        <f aca="false">IF(A222="","",IF(AND(Y222&lt;&gt;"参考",G222&gt;=ルール設定!$B$3,N222&gt;=ルール設定!$B$4),"○",""))</f>
        <v/>
      </c>
      <c r="S222" s="8" t="str">
        <f aca="false">IF(A222="","",IF(AND(Y222&lt;&gt;"参考",G222&gt;=ルール設定!$B$5,J222&gt;=ルール設定!$B$6,O222&gt;=ルール設定!$B$7),"○",""))</f>
        <v/>
      </c>
      <c r="T222" s="8" t="n">
        <v>1</v>
      </c>
      <c r="U222" s="8" t="n">
        <v>4</v>
      </c>
      <c r="V222" s="8" t="str">
        <f aca="false">IF(A222="","",IF(AND(ISNUMBER(T222),ISNUMBER(U222)),IF(AND(T222&lt;=3,U222&lt;=3),"○","×"),""))</f>
        <v>×</v>
      </c>
      <c r="W222" s="8" t="n">
        <v>170</v>
      </c>
      <c r="X222" s="8"/>
      <c r="Y222" s="4" t="s">
        <v>7597</v>
      </c>
      <c r="Z222" s="4" t="s">
        <v>7726</v>
      </c>
      <c r="AA222" s="8" t="str">
        <v/>
      </c>
      <c r="AB222" s="8" t="str">
        <v/>
      </c>
      <c r="AC222" s="8" t="str">
        <v/>
      </c>
      <c r="AD222" s="8" t="str">
        <v/>
      </c>
      <c r="AE222" s="8" t="str">
        <v/>
      </c>
      <c r="AF222" s="8" t="str">
        <v/>
      </c>
      <c r="AG222" s="8" t="str">
        <v/>
      </c>
      <c r="AH222" s="8" t="str">
        <v/>
      </c>
      <c r="AI222" s="8" t="n">
        <v>10</v>
      </c>
      <c r="AJ222" s="8" t="str">
        <v>～59</v>
      </c>
      <c r="AK222" s="8" t="str">
        <v>5～9</v>
      </c>
      <c r="AL222" s="8" t="str">
        <v>10～19</v>
      </c>
      <c r="AM222" s="8" t="str">
        <v>～99</v>
      </c>
      <c r="AN222" s="8" t="str">
        <v>12～14</v>
      </c>
      <c r="AO222" s="8" t="str">
        <f aca="false">IF(A222="","",IF(COUNTIFS(全馬データ!$A$2:$A$50000,A222,全馬データ!$B$2:$B$50000,B222,全馬データ!$C$2:$C$50000,C222,全馬データ!$D$2:$D$50000,E222,全馬データ!$K$2:$K$50000,"&lt;&gt;")=0,"",SUMIFS(全馬データ!$K$2:$K$50000,全馬データ!$A$2:$A$50000,A222,全馬データ!$B$2:$B$50000,B222,全馬データ!$C$2:$C$50000,C222,全馬データ!$D$2:$D$50000,E222)))</f>
        <v/>
      </c>
      <c r="AP222" s="8" t="str">
        <f aca="false">IF(A222="","",IF(AO222="","欠損",IF(AO222&lt;=1.1,"1.0～1.1",IF(AO222&lt;1.3,"1.2",IF(AO222&lt;1.5,"1.3～1.4",IF(AO222&lt;2,"1.5～1.9","2.0以上"))))))</f>
        <v>欠損</v>
      </c>
      <c r="AQ222" s="8" t="str">
        <f aca="false">IF(A222="","",IF(ISNUMBER(SEARCH("2歳",Z222)),"2歳戦",IF(ISNUMBER(SEARCH("3歳未勝利",Z222)),"3歳未勝利",IF(ISNUMBER(SEARCH("未勝利",Z222)),"その他未勝利",IF(ISNUMBER(SEARCH("G1",Z222)),"G1",IF(ISNUMBER(SEARCH("G2",Z222)),"G2",IF(ISNUMBER(SEARCH("G3",Z222)),"G3",IF(ISNUMBER(SEARCH("古馬条件",Z222)),"古馬条件戦",IF(ISNUMBER(SEARCH("重賞",Z222)),"重賞","分類不能")))))))))</f>
        <v>分類不能</v>
      </c>
      <c r="AR222" s="8"/>
      <c r="AS222" s="8" t="s">
        <v>7598</v>
      </c>
      <c r="AT222" s="8" t="s">
        <v>7599</v>
      </c>
      <c r="AU222" s="8" t="s">
        <v>7615</v>
      </c>
      <c r="AV222" s="4" t="s">
        <v>7616</v>
      </c>
      <c r="AW222" s="8"/>
      <c r="AX222" s="8"/>
      <c r="AY222" s="8" t="s">
        <v>7602</v>
      </c>
      <c r="AZ222" s="4" t="s">
        <v>7603</v>
      </c>
      <c r="BA222" s="8" t="n">
        <v>1800</v>
      </c>
      <c r="BB222" s="8" t="s">
        <v>7598</v>
      </c>
      <c r="BC222" s="4" t="s">
        <v>7604</v>
      </c>
      <c r="BD222" s="8" t="s">
        <v>7605</v>
      </c>
      <c r="BE222" s="4" t="s">
        <v>7606</v>
      </c>
      <c r="BF222" s="8" t="s">
        <v>7607</v>
      </c>
      <c r="BG222" s="8" t="s">
        <v>7608</v>
      </c>
      <c r="BH222" s="4" t="s">
        <v>7609</v>
      </c>
      <c r="BI222" s="8" t="n">
        <v>14</v>
      </c>
      <c r="BJ222" s="8" t="s">
        <v>7602</v>
      </c>
      <c r="BK222" s="4" t="s">
        <v>7653</v>
      </c>
      <c r="BL222" s="8" t="s">
        <v>7602</v>
      </c>
      <c r="BM222" s="4" t="s">
        <v>7620</v>
      </c>
      <c r="BN222" s="8" t="s">
        <v>7602</v>
      </c>
      <c r="BO222" s="8" t="s">
        <v>7613</v>
      </c>
      <c r="BP222" s="8" t="s">
        <v>7602</v>
      </c>
      <c r="BQ222" s="8" t="str">
        <f aca="false">IF(A222="","",AT222)</f>
        <v>2歳</v>
      </c>
      <c r="BR222" s="8" t="str">
        <f aca="false">IF(A222="","",IF(BA222&lt;=1200,"～1200",IF(BA222&lt;=1500,"1300～1500",IF(BA222=1600,"1600",IF(BA222&lt;=1800,"1700～1800",IF(BA222&lt;=2000,"1900～2000","2100以上"))))))</f>
        <v>1700～1800</v>
      </c>
      <c r="BS222" s="8" t="str">
        <f aca="false">IF(A222="","",IF(AX222="G1","G1",IF(AX222="G2","G2",IF(AX222="G3","G3",IF(AX222="L","L","その他")))))</f>
        <v>その他</v>
      </c>
      <c r="BT222" s="8" t="str">
        <f aca="false">IF(A222="","",IF(BI222="","未結合",IF(D222=BI222,"一致","不一致")))</f>
        <v>一致</v>
      </c>
      <c r="BU222" s="8" t="str">
        <f aca="false">IF(A222="","",IF(BE222="牝馬限定","牝馬限定","その他"))</f>
        <v>その他</v>
      </c>
    </row>
    <row r="223" customFormat="false" ht="15.75" hidden="false" customHeight="false" outlineLevel="0" collapsed="false">
      <c r="A223" s="3" t="n">
        <v>46207</v>
      </c>
      <c r="B223" s="4" t="s">
        <v>915</v>
      </c>
      <c r="C223" s="8" t="n">
        <v>6</v>
      </c>
      <c r="D223" s="8" t="n">
        <v>15</v>
      </c>
      <c r="E223" s="8" t="n">
        <v>4</v>
      </c>
      <c r="F223" s="4" t="s">
        <v>2732</v>
      </c>
      <c r="G223" s="8" t="n">
        <v>31</v>
      </c>
      <c r="H223" s="8" t="n">
        <v>8</v>
      </c>
      <c r="I223" s="4" t="s">
        <v>2736</v>
      </c>
      <c r="J223" s="8" t="n">
        <v>31</v>
      </c>
      <c r="K223" s="8" t="n">
        <v>11</v>
      </c>
      <c r="L223" s="4" t="s">
        <v>2739</v>
      </c>
      <c r="M223" s="8" t="n">
        <v>31</v>
      </c>
      <c r="N223" s="8" t="n">
        <f aca="false">IF(A223="","",G223-J223)</f>
        <v>0</v>
      </c>
      <c r="O223" s="8" t="n">
        <f aca="false">IF(A223="","",J223-M223)</f>
        <v>0</v>
      </c>
      <c r="P223" s="8" t="n">
        <f aca="false">IF(A223="","",G223+J223)</f>
        <v>62</v>
      </c>
      <c r="Q223" s="8" t="str">
        <f aca="false">IF(A223="","",IF(AND(Y223&lt;&gt;"参考",G223&gt;=ルール設定!$B$2),"○",""))</f>
        <v/>
      </c>
      <c r="R223" s="8" t="str">
        <f aca="false">IF(A223="","",IF(AND(Y223&lt;&gt;"参考",G223&gt;=ルール設定!$B$3,N223&gt;=ルール設定!$B$4),"○",""))</f>
        <v/>
      </c>
      <c r="S223" s="8" t="str">
        <f aca="false">IF(A223="","",IF(AND(Y223&lt;&gt;"参考",G223&gt;=ルール設定!$B$5,J223&gt;=ルール設定!$B$6,O223&gt;=ルール設定!$B$7),"○",""))</f>
        <v/>
      </c>
      <c r="T223" s="8" t="n">
        <v>1</v>
      </c>
      <c r="U223" s="8" t="n">
        <v>4</v>
      </c>
      <c r="V223" s="8" t="str">
        <f aca="false">IF(A223="","",IF(AND(ISNUMBER(T223),ISNUMBER(U223)),IF(AND(T223&lt;=3,U223&lt;=3),"○","×"),""))</f>
        <v>×</v>
      </c>
      <c r="W223" s="8" t="n">
        <v>210</v>
      </c>
      <c r="X223" s="8"/>
      <c r="Y223" s="4" t="s">
        <v>7597</v>
      </c>
      <c r="Z223" s="4" t="s">
        <v>7726</v>
      </c>
      <c r="AA223" s="8" t="str">
        <v/>
      </c>
      <c r="AB223" s="8" t="str">
        <v/>
      </c>
      <c r="AC223" s="8" t="str">
        <v/>
      </c>
      <c r="AD223" s="8" t="str">
        <v/>
      </c>
      <c r="AE223" s="8" t="str">
        <v/>
      </c>
      <c r="AF223" s="8" t="str">
        <v/>
      </c>
      <c r="AG223" s="8" t="str">
        <v/>
      </c>
      <c r="AH223" s="8" t="str">
        <v/>
      </c>
      <c r="AI223" s="8" t="n">
        <v>0</v>
      </c>
      <c r="AJ223" s="8" t="str">
        <v>～59</v>
      </c>
      <c r="AK223" s="8" t="str">
        <v>0～4</v>
      </c>
      <c r="AL223" s="8" t="str">
        <v>0～9</v>
      </c>
      <c r="AM223" s="8" t="str">
        <v>～99</v>
      </c>
      <c r="AN223" s="8" t="str">
        <v>15以上</v>
      </c>
      <c r="AO223" s="8" t="str">
        <f aca="false">IF(A223="","",IF(COUNTIFS(全馬データ!$A$2:$A$50000,A223,全馬データ!$B$2:$B$50000,B223,全馬データ!$C$2:$C$50000,C223,全馬データ!$D$2:$D$50000,E223,全馬データ!$K$2:$K$50000,"&lt;&gt;")=0,"",SUMIFS(全馬データ!$K$2:$K$50000,全馬データ!$A$2:$A$50000,A223,全馬データ!$B$2:$B$50000,B223,全馬データ!$C$2:$C$50000,C223,全馬データ!$D$2:$D$50000,E223)))</f>
        <v/>
      </c>
      <c r="AP223" s="8" t="str">
        <f aca="false">IF(A223="","",IF(AO223="","欠損",IF(AO223&lt;=1.1,"1.0～1.1",IF(AO223&lt;1.3,"1.2",IF(AO223&lt;1.5,"1.3～1.4",IF(AO223&lt;2,"1.5～1.9","2.0以上"))))))</f>
        <v>欠損</v>
      </c>
      <c r="AQ223" s="8" t="str">
        <f aca="false">IF(A223="","",IF(ISNUMBER(SEARCH("2歳",Z223)),"2歳戦",IF(ISNUMBER(SEARCH("3歳未勝利",Z223)),"3歳未勝利",IF(ISNUMBER(SEARCH("未勝利",Z223)),"その他未勝利",IF(ISNUMBER(SEARCH("G1",Z223)),"G1",IF(ISNUMBER(SEARCH("G2",Z223)),"G2",IF(ISNUMBER(SEARCH("G3",Z223)),"G3",IF(ISNUMBER(SEARCH("古馬条件",Z223)),"古馬条件戦",IF(ISNUMBER(SEARCH("重賞",Z223)),"重賞","分類不能")))))))))</f>
        <v>分類不能</v>
      </c>
      <c r="AR223" s="8"/>
      <c r="AS223" s="8" t="s">
        <v>7598</v>
      </c>
      <c r="AT223" s="8" t="s">
        <v>7599</v>
      </c>
      <c r="AU223" s="8" t="s">
        <v>7615</v>
      </c>
      <c r="AV223" s="4" t="s">
        <v>7616</v>
      </c>
      <c r="AW223" s="8"/>
      <c r="AX223" s="8"/>
      <c r="AY223" s="8" t="s">
        <v>7610</v>
      </c>
      <c r="AZ223" s="4" t="s">
        <v>7617</v>
      </c>
      <c r="BA223" s="8" t="n">
        <v>1700</v>
      </c>
      <c r="BB223" s="8" t="s">
        <v>7657</v>
      </c>
      <c r="BC223" s="4" t="s">
        <v>7658</v>
      </c>
      <c r="BD223" s="8" t="s">
        <v>7605</v>
      </c>
      <c r="BE223" s="4" t="s">
        <v>7606</v>
      </c>
      <c r="BF223" s="8" t="s">
        <v>7607</v>
      </c>
      <c r="BG223" s="8" t="s">
        <v>7608</v>
      </c>
      <c r="BH223" s="4" t="s">
        <v>7609</v>
      </c>
      <c r="BI223" s="8" t="n">
        <v>15</v>
      </c>
      <c r="BJ223" s="8" t="s">
        <v>7602</v>
      </c>
      <c r="BK223" s="4" t="s">
        <v>7653</v>
      </c>
      <c r="BL223" s="8" t="s">
        <v>7602</v>
      </c>
      <c r="BM223" s="4" t="s">
        <v>7620</v>
      </c>
      <c r="BN223" s="8"/>
      <c r="BO223" s="8"/>
      <c r="BP223" s="8" t="s">
        <v>7602</v>
      </c>
      <c r="BQ223" s="8" t="str">
        <f aca="false">IF(A223="","",AT223)</f>
        <v>2歳</v>
      </c>
      <c r="BR223" s="8" t="str">
        <f aca="false">IF(A223="","",IF(BA223&lt;=1200,"～1200",IF(BA223&lt;=1500,"1300～1500",IF(BA223=1600,"1600",IF(BA223&lt;=1800,"1700～1800",IF(BA223&lt;=2000,"1900～2000","2100以上"))))))</f>
        <v>1700～1800</v>
      </c>
      <c r="BS223" s="8" t="str">
        <f aca="false">IF(A223="","",IF(AX223="G1","G1",IF(AX223="G2","G2",IF(AX223="G3","G3",IF(AX223="L","L","その他")))))</f>
        <v>その他</v>
      </c>
      <c r="BT223" s="8" t="str">
        <f aca="false">IF(A223="","",IF(BI223="","未結合",IF(D223=BI223,"一致","不一致")))</f>
        <v>一致</v>
      </c>
      <c r="BU223" s="8" t="str">
        <f aca="false">IF(A223="","",IF(BE223="牝馬限定","牝馬限定","その他"))</f>
        <v>その他</v>
      </c>
    </row>
    <row r="224" customFormat="false" ht="15.75" hidden="false" customHeight="false" outlineLevel="0" collapsed="false">
      <c r="A224" s="3" t="n">
        <v>46207</v>
      </c>
      <c r="B224" s="4" t="s">
        <v>915</v>
      </c>
      <c r="C224" s="8" t="n">
        <v>7</v>
      </c>
      <c r="D224" s="8" t="n">
        <v>16</v>
      </c>
      <c r="E224" s="8" t="n">
        <v>7</v>
      </c>
      <c r="F224" s="4" t="s">
        <v>2750</v>
      </c>
      <c r="G224" s="8" t="n">
        <v>65</v>
      </c>
      <c r="H224" s="8" t="n">
        <v>6</v>
      </c>
      <c r="I224" s="4" t="s">
        <v>2749</v>
      </c>
      <c r="J224" s="8" t="n">
        <v>44</v>
      </c>
      <c r="K224" s="8" t="n">
        <v>2</v>
      </c>
      <c r="L224" s="4" t="s">
        <v>2745</v>
      </c>
      <c r="M224" s="8" t="n">
        <v>31</v>
      </c>
      <c r="N224" s="8" t="n">
        <f aca="false">IF(A224="","",G224-J224)</f>
        <v>21</v>
      </c>
      <c r="O224" s="8" t="n">
        <f aca="false">IF(A224="","",J224-M224)</f>
        <v>13</v>
      </c>
      <c r="P224" s="8" t="n">
        <f aca="false">IF(A224="","",G224+J224)</f>
        <v>109</v>
      </c>
      <c r="Q224" s="8" t="str">
        <f aca="false">IF(A224="","",IF(AND(Y224&lt;&gt;"参考",G224&gt;=ルール設定!$B$2),"○",""))</f>
        <v/>
      </c>
      <c r="R224" s="8" t="str">
        <f aca="false">IF(A224="","",IF(AND(Y224&lt;&gt;"参考",G224&gt;=ルール設定!$B$3,N224&gt;=ルール設定!$B$4),"○",""))</f>
        <v/>
      </c>
      <c r="S224" s="8" t="str">
        <f aca="false">IF(A224="","",IF(AND(Y224&lt;&gt;"参考",G224&gt;=ルール設定!$B$5,J224&gt;=ルール設定!$B$6,O224&gt;=ルール設定!$B$7),"○",""))</f>
        <v/>
      </c>
      <c r="T224" s="8" t="n">
        <v>1</v>
      </c>
      <c r="U224" s="8" t="n">
        <v>4</v>
      </c>
      <c r="V224" s="8" t="str">
        <f aca="false">IF(A224="","",IF(AND(ISNUMBER(T224),ISNUMBER(U224)),IF(AND(T224&lt;=3,U224&lt;=3),"○","×"),""))</f>
        <v>×</v>
      </c>
      <c r="W224" s="8" t="n">
        <v>180</v>
      </c>
      <c r="X224" s="8"/>
      <c r="Y224" s="4" t="s">
        <v>7597</v>
      </c>
      <c r="Z224" s="4" t="s">
        <v>7726</v>
      </c>
      <c r="AA224" s="8" t="str">
        <v/>
      </c>
      <c r="AB224" s="8" t="str">
        <v/>
      </c>
      <c r="AC224" s="8" t="str">
        <v/>
      </c>
      <c r="AD224" s="8" t="str">
        <v/>
      </c>
      <c r="AE224" s="8" t="str">
        <v/>
      </c>
      <c r="AF224" s="8" t="str">
        <v/>
      </c>
      <c r="AG224" s="8" t="str">
        <v/>
      </c>
      <c r="AH224" s="8" t="str">
        <v/>
      </c>
      <c r="AI224" s="8" t="n">
        <v>34</v>
      </c>
      <c r="AJ224" s="8" t="str">
        <v>60～69</v>
      </c>
      <c r="AK224" s="8" t="str">
        <v>20～29</v>
      </c>
      <c r="AL224" s="8" t="str">
        <v>30～39</v>
      </c>
      <c r="AM224" s="8" t="str">
        <v>100～119</v>
      </c>
      <c r="AN224" s="8" t="str">
        <v>15以上</v>
      </c>
      <c r="AO224" s="8" t="str">
        <f aca="false">IF(A224="","",IF(COUNTIFS(全馬データ!$A$2:$A$50000,A224,全馬データ!$B$2:$B$50000,B224,全馬データ!$C$2:$C$50000,C224,全馬データ!$D$2:$D$50000,E224,全馬データ!$K$2:$K$50000,"&lt;&gt;")=0,"",SUMIFS(全馬データ!$K$2:$K$50000,全馬データ!$A$2:$A$50000,A224,全馬データ!$B$2:$B$50000,B224,全馬データ!$C$2:$C$50000,C224,全馬データ!$D$2:$D$50000,E224)))</f>
        <v/>
      </c>
      <c r="AP224" s="8" t="str">
        <f aca="false">IF(A224="","",IF(AO224="","欠損",IF(AO224&lt;=1.1,"1.0～1.1",IF(AO224&lt;1.3,"1.2",IF(AO224&lt;1.5,"1.3～1.4",IF(AO224&lt;2,"1.5～1.9","2.0以上"))))))</f>
        <v>欠損</v>
      </c>
      <c r="AQ224" s="8" t="str">
        <f aca="false">IF(A224="","",IF(ISNUMBER(SEARCH("2歳",Z224)),"2歳戦",IF(ISNUMBER(SEARCH("3歳未勝利",Z224)),"3歳未勝利",IF(ISNUMBER(SEARCH("未勝利",Z224)),"その他未勝利",IF(ISNUMBER(SEARCH("G1",Z224)),"G1",IF(ISNUMBER(SEARCH("G2",Z224)),"G2",IF(ISNUMBER(SEARCH("G3",Z224)),"G3",IF(ISNUMBER(SEARCH("古馬条件",Z224)),"古馬条件戦",IF(ISNUMBER(SEARCH("重賞",Z224)),"重賞","分類不能")))))))))</f>
        <v>分類不能</v>
      </c>
      <c r="AR224" s="8"/>
      <c r="AS224" s="8" t="s">
        <v>7623</v>
      </c>
      <c r="AT224" s="8" t="s">
        <v>7624</v>
      </c>
      <c r="AU224" s="8" t="s">
        <v>7600</v>
      </c>
      <c r="AV224" s="4" t="s">
        <v>7601</v>
      </c>
      <c r="AW224" s="8"/>
      <c r="AX224" s="8"/>
      <c r="AY224" s="8" t="s">
        <v>7602</v>
      </c>
      <c r="AZ224" s="4" t="s">
        <v>7603</v>
      </c>
      <c r="BA224" s="8" t="n">
        <v>2000</v>
      </c>
      <c r="BB224" s="8" t="s">
        <v>7598</v>
      </c>
      <c r="BC224" s="4" t="s">
        <v>7604</v>
      </c>
      <c r="BD224" s="8" t="s">
        <v>7621</v>
      </c>
      <c r="BE224" s="4" t="s">
        <v>7622</v>
      </c>
      <c r="BF224" s="8" t="s">
        <v>7602</v>
      </c>
      <c r="BG224" s="8" t="s">
        <v>7608</v>
      </c>
      <c r="BH224" s="4" t="s">
        <v>7609</v>
      </c>
      <c r="BI224" s="8" t="n">
        <v>16</v>
      </c>
      <c r="BJ224" s="8" t="s">
        <v>7602</v>
      </c>
      <c r="BK224" s="4" t="s">
        <v>7653</v>
      </c>
      <c r="BL224" s="8" t="s">
        <v>7602</v>
      </c>
      <c r="BM224" s="4" t="s">
        <v>7620</v>
      </c>
      <c r="BN224" s="8" t="s">
        <v>7602</v>
      </c>
      <c r="BO224" s="8" t="s">
        <v>7613</v>
      </c>
      <c r="BP224" s="8" t="s">
        <v>7602</v>
      </c>
      <c r="BQ224" s="8" t="str">
        <f aca="false">IF(A224="","",AT224)</f>
        <v>3歳</v>
      </c>
      <c r="BR224" s="8" t="str">
        <f aca="false">IF(A224="","",IF(BA224&lt;=1200,"～1200",IF(BA224&lt;=1500,"1300～1500",IF(BA224=1600,"1600",IF(BA224&lt;=1800,"1700～1800",IF(BA224&lt;=2000,"1900～2000","2100以上"))))))</f>
        <v>1900～2000</v>
      </c>
      <c r="BS224" s="8" t="str">
        <f aca="false">IF(A224="","",IF(AX224="G1","G1",IF(AX224="G2","G2",IF(AX224="G3","G3",IF(AX224="L","L","その他")))))</f>
        <v>その他</v>
      </c>
      <c r="BT224" s="8" t="str">
        <f aca="false">IF(A224="","",IF(BI224="","未結合",IF(D224=BI224,"一致","不一致")))</f>
        <v>一致</v>
      </c>
      <c r="BU224" s="8" t="str">
        <f aca="false">IF(A224="","",IF(BE224="牝馬限定","牝馬限定","その他"))</f>
        <v>牝馬限定</v>
      </c>
    </row>
    <row r="225" customFormat="false" ht="15.75" hidden="false" customHeight="false" outlineLevel="0" collapsed="false">
      <c r="A225" s="3" t="n">
        <v>46207</v>
      </c>
      <c r="B225" s="4" t="s">
        <v>915</v>
      </c>
      <c r="C225" s="8" t="n">
        <v>8</v>
      </c>
      <c r="D225" s="8" t="n">
        <v>15</v>
      </c>
      <c r="E225" s="8" t="n">
        <v>6</v>
      </c>
      <c r="F225" s="4" t="s">
        <v>2763</v>
      </c>
      <c r="G225" s="8" t="n">
        <v>52</v>
      </c>
      <c r="H225" s="8" t="n">
        <v>14</v>
      </c>
      <c r="I225" s="4" t="s">
        <v>2771</v>
      </c>
      <c r="J225" s="8" t="n">
        <v>44</v>
      </c>
      <c r="K225" s="8" t="n">
        <v>1</v>
      </c>
      <c r="L225" s="4" t="s">
        <v>2759</v>
      </c>
      <c r="M225" s="8" t="n">
        <v>39</v>
      </c>
      <c r="N225" s="8" t="n">
        <f aca="false">IF(A225="","",G225-J225)</f>
        <v>8</v>
      </c>
      <c r="O225" s="8" t="n">
        <f aca="false">IF(A225="","",J225-M225)</f>
        <v>5</v>
      </c>
      <c r="P225" s="8" t="n">
        <f aca="false">IF(A225="","",G225+J225)</f>
        <v>96</v>
      </c>
      <c r="Q225" s="8" t="str">
        <f aca="false">IF(A225="","",IF(AND(Y225&lt;&gt;"参考",G225&gt;=ルール設定!$B$2),"○",""))</f>
        <v/>
      </c>
      <c r="R225" s="8" t="str">
        <f aca="false">IF(A225="","",IF(AND(Y225&lt;&gt;"参考",G225&gt;=ルール設定!$B$3,N225&gt;=ルール設定!$B$4),"○",""))</f>
        <v/>
      </c>
      <c r="S225" s="8" t="str">
        <f aca="false">IF(A225="","",IF(AND(Y225&lt;&gt;"参考",G225&gt;=ルール設定!$B$5,J225&gt;=ルール設定!$B$6,O225&gt;=ルール設定!$B$7),"○",""))</f>
        <v/>
      </c>
      <c r="T225" s="8" t="n">
        <v>4</v>
      </c>
      <c r="U225" s="8" t="n">
        <v>4</v>
      </c>
      <c r="V225" s="8" t="str">
        <f aca="false">IF(A225="","",IF(AND(ISNUMBER(T225),ISNUMBER(U225)),IF(AND(T225&lt;=3,U225&lt;=3),"○","×"),""))</f>
        <v>×</v>
      </c>
      <c r="W225" s="8"/>
      <c r="X225" s="8"/>
      <c r="Y225" s="4" t="s">
        <v>7597</v>
      </c>
      <c r="Z225" s="4" t="s">
        <v>7726</v>
      </c>
      <c r="AA225" s="8" t="str">
        <v/>
      </c>
      <c r="AB225" s="8" t="str">
        <v/>
      </c>
      <c r="AC225" s="8" t="str">
        <v/>
      </c>
      <c r="AD225" s="8" t="str">
        <v/>
      </c>
      <c r="AE225" s="8" t="str">
        <v/>
      </c>
      <c r="AF225" s="8" t="str">
        <v/>
      </c>
      <c r="AG225" s="8" t="str">
        <v/>
      </c>
      <c r="AH225" s="8" t="str">
        <v/>
      </c>
      <c r="AI225" s="8" t="n">
        <v>13</v>
      </c>
      <c r="AJ225" s="8" t="str">
        <v>～59</v>
      </c>
      <c r="AK225" s="8" t="str">
        <v>5～9</v>
      </c>
      <c r="AL225" s="8" t="str">
        <v>10～19</v>
      </c>
      <c r="AM225" s="8" t="str">
        <v>～99</v>
      </c>
      <c r="AN225" s="8" t="str">
        <v>15以上</v>
      </c>
      <c r="AO225" s="8" t="str">
        <f aca="false">IF(A225="","",IF(COUNTIFS(全馬データ!$A$2:$A$50000,A225,全馬データ!$B$2:$B$50000,B225,全馬データ!$C$2:$C$50000,C225,全馬データ!$D$2:$D$50000,E225,全馬データ!$K$2:$K$50000,"&lt;&gt;")=0,"",SUMIFS(全馬データ!$K$2:$K$50000,全馬データ!$A$2:$A$50000,A225,全馬データ!$B$2:$B$50000,B225,全馬データ!$C$2:$C$50000,C225,全馬データ!$D$2:$D$50000,E225)))</f>
        <v/>
      </c>
      <c r="AP225" s="8" t="str">
        <f aca="false">IF(A225="","",IF(AO225="","欠損",IF(AO225&lt;=1.1,"1.0～1.1",IF(AO225&lt;1.3,"1.2",IF(AO225&lt;1.5,"1.3～1.4",IF(AO225&lt;2,"1.5～1.9","2.0以上"))))))</f>
        <v>欠損</v>
      </c>
      <c r="AQ225" s="8" t="str">
        <f aca="false">IF(A225="","",IF(ISNUMBER(SEARCH("2歳",Z225)),"2歳戦",IF(ISNUMBER(SEARCH("3歳未勝利",Z225)),"3歳未勝利",IF(ISNUMBER(SEARCH("未勝利",Z225)),"その他未勝利",IF(ISNUMBER(SEARCH("G1",Z225)),"G1",IF(ISNUMBER(SEARCH("G2",Z225)),"G2",IF(ISNUMBER(SEARCH("G3",Z225)),"G3",IF(ISNUMBER(SEARCH("古馬条件",Z225)),"古馬条件戦",IF(ISNUMBER(SEARCH("重賞",Z225)),"重賞","分類不能")))))))))</f>
        <v>分類不能</v>
      </c>
      <c r="AR225" s="8"/>
      <c r="AS225" s="8" t="s">
        <v>7626</v>
      </c>
      <c r="AT225" s="8" t="s">
        <v>7627</v>
      </c>
      <c r="AU225" s="8" t="s">
        <v>7628</v>
      </c>
      <c r="AV225" s="8" t="s">
        <v>7629</v>
      </c>
      <c r="AW225" s="8"/>
      <c r="AX225" s="8"/>
      <c r="AY225" s="8" t="s">
        <v>7610</v>
      </c>
      <c r="AZ225" s="4" t="s">
        <v>7617</v>
      </c>
      <c r="BA225" s="8" t="n">
        <v>1700</v>
      </c>
      <c r="BB225" s="8" t="s">
        <v>7659</v>
      </c>
      <c r="BC225" s="4" t="s">
        <v>7619</v>
      </c>
      <c r="BD225" s="8" t="s">
        <v>7690</v>
      </c>
      <c r="BE225" s="4" t="s">
        <v>7606</v>
      </c>
      <c r="BF225" s="8" t="s">
        <v>7607</v>
      </c>
      <c r="BG225" s="8" t="s">
        <v>7631</v>
      </c>
      <c r="BH225" s="4" t="s">
        <v>7632</v>
      </c>
      <c r="BI225" s="8" t="n">
        <v>15</v>
      </c>
      <c r="BJ225" s="8" t="s">
        <v>7602</v>
      </c>
      <c r="BK225" s="4" t="s">
        <v>7653</v>
      </c>
      <c r="BL225" s="8" t="s">
        <v>7602</v>
      </c>
      <c r="BM225" s="4" t="s">
        <v>7620</v>
      </c>
      <c r="BN225" s="8"/>
      <c r="BO225" s="8"/>
      <c r="BP225" s="8" t="s">
        <v>7602</v>
      </c>
      <c r="BQ225" s="8" t="str">
        <f aca="false">IF(A225="","",AT225)</f>
        <v>3歳以上</v>
      </c>
      <c r="BR225" s="8" t="str">
        <f aca="false">IF(A225="","",IF(BA225&lt;=1200,"～1200",IF(BA225&lt;=1500,"1300～1500",IF(BA225=1600,"1600",IF(BA225&lt;=1800,"1700～1800",IF(BA225&lt;=2000,"1900～2000","2100以上"))))))</f>
        <v>1700～1800</v>
      </c>
      <c r="BS225" s="8" t="str">
        <f aca="false">IF(A225="","",IF(AX225="G1","G1",IF(AX225="G2","G2",IF(AX225="G3","G3",IF(AX225="L","L","その他")))))</f>
        <v>その他</v>
      </c>
      <c r="BT225" s="8" t="str">
        <f aca="false">IF(A225="","",IF(BI225="","未結合",IF(D225=BI225,"一致","不一致")))</f>
        <v>一致</v>
      </c>
      <c r="BU225" s="8" t="str">
        <f aca="false">IF(A225="","",IF(BE225="牝馬限定","牝馬限定","その他"))</f>
        <v>その他</v>
      </c>
    </row>
    <row r="226" customFormat="false" ht="15.75" hidden="false" customHeight="false" outlineLevel="0" collapsed="false">
      <c r="A226" s="3" t="n">
        <v>46207</v>
      </c>
      <c r="B226" s="4" t="s">
        <v>915</v>
      </c>
      <c r="C226" s="8" t="n">
        <v>9</v>
      </c>
      <c r="D226" s="8" t="n">
        <v>10</v>
      </c>
      <c r="E226" s="8" t="n">
        <v>4</v>
      </c>
      <c r="F226" s="4" t="s">
        <v>1496</v>
      </c>
      <c r="G226" s="8" t="n">
        <v>44</v>
      </c>
      <c r="H226" s="8" t="n">
        <v>9</v>
      </c>
      <c r="I226" s="4" t="s">
        <v>2777</v>
      </c>
      <c r="J226" s="8" t="n">
        <v>44</v>
      </c>
      <c r="K226" s="8" t="n">
        <v>6</v>
      </c>
      <c r="L226" s="4" t="s">
        <v>2776</v>
      </c>
      <c r="M226" s="8" t="n">
        <v>41</v>
      </c>
      <c r="N226" s="8" t="n">
        <f aca="false">IF(A226="","",G226-J226)</f>
        <v>0</v>
      </c>
      <c r="O226" s="8" t="n">
        <f aca="false">IF(A226="","",J226-M226)</f>
        <v>3</v>
      </c>
      <c r="P226" s="8" t="n">
        <f aca="false">IF(A226="","",G226+J226)</f>
        <v>88</v>
      </c>
      <c r="Q226" s="8" t="str">
        <f aca="false">IF(A226="","",IF(AND(Y226&lt;&gt;"参考",G226&gt;=ルール設定!$B$2),"○",""))</f>
        <v/>
      </c>
      <c r="R226" s="8" t="str">
        <f aca="false">IF(A226="","",IF(AND(Y226&lt;&gt;"参考",G226&gt;=ルール設定!$B$3,N226&gt;=ルール設定!$B$4),"○",""))</f>
        <v/>
      </c>
      <c r="S226" s="8" t="str">
        <f aca="false">IF(A226="","",IF(AND(Y226&lt;&gt;"参考",G226&gt;=ルール設定!$B$5,J226&gt;=ルール設定!$B$6,O226&gt;=ルール設定!$B$7),"○",""))</f>
        <v/>
      </c>
      <c r="T226" s="8" t="n">
        <v>4</v>
      </c>
      <c r="U226" s="8" t="n">
        <v>4</v>
      </c>
      <c r="V226" s="8" t="str">
        <f aca="false">IF(A226="","",IF(AND(ISNUMBER(T226),ISNUMBER(U226)),IF(AND(T226&lt;=3,U226&lt;=3),"○","×"),""))</f>
        <v>×</v>
      </c>
      <c r="W226" s="8"/>
      <c r="X226" s="8"/>
      <c r="Y226" s="4" t="s">
        <v>7597</v>
      </c>
      <c r="Z226" s="4" t="s">
        <v>7726</v>
      </c>
      <c r="AA226" s="8" t="str">
        <v/>
      </c>
      <c r="AB226" s="8" t="str">
        <v/>
      </c>
      <c r="AC226" s="8" t="str">
        <v/>
      </c>
      <c r="AD226" s="8" t="str">
        <v/>
      </c>
      <c r="AE226" s="8" t="str">
        <v/>
      </c>
      <c r="AF226" s="8" t="str">
        <v/>
      </c>
      <c r="AG226" s="8" t="str">
        <v/>
      </c>
      <c r="AH226" s="8" t="str">
        <v/>
      </c>
      <c r="AI226" s="8" t="n">
        <v>3</v>
      </c>
      <c r="AJ226" s="8" t="str">
        <v>～59</v>
      </c>
      <c r="AK226" s="8" t="str">
        <v>0～4</v>
      </c>
      <c r="AL226" s="8" t="str">
        <v>0～9</v>
      </c>
      <c r="AM226" s="8" t="str">
        <v>～99</v>
      </c>
      <c r="AN226" s="8" t="str">
        <v>8～11</v>
      </c>
      <c r="AO226" s="8" t="str">
        <f aca="false">IF(A226="","",IF(COUNTIFS(全馬データ!$A$2:$A$50000,A226,全馬データ!$B$2:$B$50000,B226,全馬データ!$C$2:$C$50000,C226,全馬データ!$D$2:$D$50000,E226,全馬データ!$K$2:$K$50000,"&lt;&gt;")=0,"",SUMIFS(全馬データ!$K$2:$K$50000,全馬データ!$A$2:$A$50000,A226,全馬データ!$B$2:$B$50000,B226,全馬データ!$C$2:$C$50000,C226,全馬データ!$D$2:$D$50000,E226)))</f>
        <v/>
      </c>
      <c r="AP226" s="8" t="str">
        <f aca="false">IF(A226="","",IF(AO226="","欠損",IF(AO226&lt;=1.1,"1.0～1.1",IF(AO226&lt;1.3,"1.2",IF(AO226&lt;1.5,"1.3～1.4",IF(AO226&lt;2,"1.5～1.9","2.0以上"))))))</f>
        <v>欠損</v>
      </c>
      <c r="AQ226" s="8" t="str">
        <f aca="false">IF(A226="","",IF(ISNUMBER(SEARCH("2歳",Z226)),"2歳戦",IF(ISNUMBER(SEARCH("3歳未勝利",Z226)),"3歳未勝利",IF(ISNUMBER(SEARCH("未勝利",Z226)),"その他未勝利",IF(ISNUMBER(SEARCH("G1",Z226)),"G1",IF(ISNUMBER(SEARCH("G2",Z226)),"G2",IF(ISNUMBER(SEARCH("G3",Z226)),"G3",IF(ISNUMBER(SEARCH("古馬条件",Z226)),"古馬条件戦",IF(ISNUMBER(SEARCH("重賞",Z226)),"重賞","分類不能")))))))))</f>
        <v>分類不能</v>
      </c>
      <c r="AR226" s="4" t="s">
        <v>7727</v>
      </c>
      <c r="AS226" s="8" t="s">
        <v>7626</v>
      </c>
      <c r="AT226" s="8" t="s">
        <v>7627</v>
      </c>
      <c r="AU226" s="8" t="s">
        <v>7628</v>
      </c>
      <c r="AV226" s="8" t="s">
        <v>7629</v>
      </c>
      <c r="AW226" s="8" t="s">
        <v>7636</v>
      </c>
      <c r="AX226" s="4" t="s">
        <v>7637</v>
      </c>
      <c r="AY226" s="8" t="s">
        <v>7602</v>
      </c>
      <c r="AZ226" s="4" t="s">
        <v>7603</v>
      </c>
      <c r="BA226" s="8" t="n">
        <v>2000</v>
      </c>
      <c r="BB226" s="8" t="s">
        <v>7598</v>
      </c>
      <c r="BC226" s="4" t="s">
        <v>7604</v>
      </c>
      <c r="BD226" s="8" t="s">
        <v>7625</v>
      </c>
      <c r="BE226" s="4" t="s">
        <v>7606</v>
      </c>
      <c r="BF226" s="8" t="s">
        <v>7607</v>
      </c>
      <c r="BG226" s="8" t="s">
        <v>7631</v>
      </c>
      <c r="BH226" s="4" t="s">
        <v>7632</v>
      </c>
      <c r="BI226" s="8" t="n">
        <v>10</v>
      </c>
      <c r="BJ226" s="8" t="s">
        <v>7602</v>
      </c>
      <c r="BK226" s="4" t="s">
        <v>7653</v>
      </c>
      <c r="BL226" s="8" t="s">
        <v>7602</v>
      </c>
      <c r="BM226" s="4" t="s">
        <v>7620</v>
      </c>
      <c r="BN226" s="8" t="s">
        <v>7602</v>
      </c>
      <c r="BO226" s="8" t="s">
        <v>7613</v>
      </c>
      <c r="BP226" s="8" t="s">
        <v>7602</v>
      </c>
      <c r="BQ226" s="8" t="str">
        <f aca="false">IF(A226="","",AT226)</f>
        <v>3歳以上</v>
      </c>
      <c r="BR226" s="8" t="str">
        <f aca="false">IF(A226="","",IF(BA226&lt;=1200,"～1200",IF(BA226&lt;=1500,"1300～1500",IF(BA226=1600,"1600",IF(BA226&lt;=1800,"1700～1800",IF(BA226&lt;=2000,"1900～2000","2100以上"))))))</f>
        <v>1900～2000</v>
      </c>
      <c r="BS226" s="8" t="str">
        <f aca="false">IF(A226="","",IF(AX226="G1","G1",IF(AX226="G2","G2",IF(AX226="G3","G3",IF(AX226="L","L","その他")))))</f>
        <v>その他</v>
      </c>
      <c r="BT226" s="8" t="str">
        <f aca="false">IF(A226="","",IF(BI226="","未結合",IF(D226=BI226,"一致","不一致")))</f>
        <v>一致</v>
      </c>
      <c r="BU226" s="8" t="str">
        <f aca="false">IF(A226="","",IF(BE226="牝馬限定","牝馬限定","その他"))</f>
        <v>その他</v>
      </c>
    </row>
    <row r="227" customFormat="false" ht="15.75" hidden="false" customHeight="false" outlineLevel="0" collapsed="false">
      <c r="A227" s="3" t="n">
        <v>46207</v>
      </c>
      <c r="B227" s="4" t="s">
        <v>915</v>
      </c>
      <c r="C227" s="8" t="n">
        <v>10</v>
      </c>
      <c r="D227" s="8" t="n">
        <v>10</v>
      </c>
      <c r="E227" s="8" t="n">
        <v>4</v>
      </c>
      <c r="F227" s="4" t="s">
        <v>2780</v>
      </c>
      <c r="G227" s="8" t="n">
        <v>67</v>
      </c>
      <c r="H227" s="8" t="n">
        <v>6</v>
      </c>
      <c r="I227" s="4" t="s">
        <v>2782</v>
      </c>
      <c r="J227" s="8" t="n">
        <v>44</v>
      </c>
      <c r="K227" s="8" t="n">
        <v>8</v>
      </c>
      <c r="L227" s="4" t="s">
        <v>2784</v>
      </c>
      <c r="M227" s="8" t="n">
        <v>31</v>
      </c>
      <c r="N227" s="8" t="n">
        <f aca="false">IF(A227="","",G227-J227)</f>
        <v>23</v>
      </c>
      <c r="O227" s="8" t="n">
        <f aca="false">IF(A227="","",J227-M227)</f>
        <v>13</v>
      </c>
      <c r="P227" s="8" t="n">
        <f aca="false">IF(A227="","",G227+J227)</f>
        <v>111</v>
      </c>
      <c r="Q227" s="8" t="str">
        <f aca="false">IF(A227="","",IF(AND(Y227&lt;&gt;"参考",G227&gt;=ルール設定!$B$2),"○",""))</f>
        <v/>
      </c>
      <c r="R227" s="8" t="str">
        <f aca="false">IF(A227="","",IF(AND(Y227&lt;&gt;"参考",G227&gt;=ルール設定!$B$3,N227&gt;=ルール設定!$B$4),"○",""))</f>
        <v/>
      </c>
      <c r="S227" s="8" t="str">
        <f aca="false">IF(A227="","",IF(AND(Y227&lt;&gt;"参考",G227&gt;=ルール設定!$B$5,J227&gt;=ルール設定!$B$6,O227&gt;=ルール設定!$B$7),"○",""))</f>
        <v/>
      </c>
      <c r="T227" s="8" t="n">
        <v>1</v>
      </c>
      <c r="U227" s="8" t="n">
        <v>4</v>
      </c>
      <c r="V227" s="8" t="str">
        <f aca="false">IF(A227="","",IF(AND(ISNUMBER(T227),ISNUMBER(U227)),IF(AND(T227&lt;=3,U227&lt;=3),"○","×"),""))</f>
        <v>×</v>
      </c>
      <c r="W227" s="8" t="n">
        <v>130</v>
      </c>
      <c r="X227" s="8"/>
      <c r="Y227" s="4" t="s">
        <v>7597</v>
      </c>
      <c r="Z227" s="4" t="s">
        <v>7726</v>
      </c>
      <c r="AA227" s="8" t="str">
        <v/>
      </c>
      <c r="AB227" s="8" t="str">
        <v/>
      </c>
      <c r="AC227" s="8" t="str">
        <v/>
      </c>
      <c r="AD227" s="8" t="str">
        <v/>
      </c>
      <c r="AE227" s="8" t="str">
        <v/>
      </c>
      <c r="AF227" s="8" t="str">
        <v/>
      </c>
      <c r="AG227" s="8" t="str">
        <v/>
      </c>
      <c r="AH227" s="8" t="str">
        <v/>
      </c>
      <c r="AI227" s="8" t="n">
        <v>36</v>
      </c>
      <c r="AJ227" s="8" t="str">
        <v>60～69</v>
      </c>
      <c r="AK227" s="8" t="str">
        <v>20～29</v>
      </c>
      <c r="AL227" s="8" t="str">
        <v>30～39</v>
      </c>
      <c r="AM227" s="8" t="str">
        <v>100～119</v>
      </c>
      <c r="AN227" s="8" t="str">
        <v>8～11</v>
      </c>
      <c r="AO227" s="8" t="str">
        <f aca="false">IF(A227="","",IF(COUNTIFS(全馬データ!$A$2:$A$50000,A227,全馬データ!$B$2:$B$50000,B227,全馬データ!$C$2:$C$50000,C227,全馬データ!$D$2:$D$50000,E227,全馬データ!$K$2:$K$50000,"&lt;&gt;")=0,"",SUMIFS(全馬データ!$K$2:$K$50000,全馬データ!$A$2:$A$50000,A227,全馬データ!$B$2:$B$50000,B227,全馬データ!$C$2:$C$50000,C227,全馬データ!$D$2:$D$50000,E227)))</f>
        <v/>
      </c>
      <c r="AP227" s="8" t="str">
        <f aca="false">IF(A227="","",IF(AO227="","欠損",IF(AO227&lt;=1.1,"1.0～1.1",IF(AO227&lt;1.3,"1.2",IF(AO227&lt;1.5,"1.3～1.4",IF(AO227&lt;2,"1.5～1.9","2.0以上"))))))</f>
        <v>欠損</v>
      </c>
      <c r="AQ227" s="8" t="str">
        <f aca="false">IF(A227="","",IF(ISNUMBER(SEARCH("2歳",Z227)),"2歳戦",IF(ISNUMBER(SEARCH("3歳未勝利",Z227)),"3歳未勝利",IF(ISNUMBER(SEARCH("未勝利",Z227)),"その他未勝利",IF(ISNUMBER(SEARCH("G1",Z227)),"G1",IF(ISNUMBER(SEARCH("G2",Z227)),"G2",IF(ISNUMBER(SEARCH("G3",Z227)),"G3",IF(ISNUMBER(SEARCH("古馬条件",Z227)),"古馬条件戦",IF(ISNUMBER(SEARCH("重賞",Z227)),"重賞","分類不能")))))))))</f>
        <v>分類不能</v>
      </c>
      <c r="AR227" s="4" t="s">
        <v>7728</v>
      </c>
      <c r="AS227" s="8" t="s">
        <v>7626</v>
      </c>
      <c r="AT227" s="8" t="s">
        <v>7627</v>
      </c>
      <c r="AU227" s="8" t="s">
        <v>7634</v>
      </c>
      <c r="AV227" s="8" t="s">
        <v>7635</v>
      </c>
      <c r="AW227" s="8" t="s">
        <v>7636</v>
      </c>
      <c r="AX227" s="4" t="s">
        <v>7637</v>
      </c>
      <c r="AY227" s="8" t="s">
        <v>7610</v>
      </c>
      <c r="AZ227" s="4" t="s">
        <v>7617</v>
      </c>
      <c r="BA227" s="8" t="n">
        <v>1700</v>
      </c>
      <c r="BB227" s="8" t="s">
        <v>7659</v>
      </c>
      <c r="BC227" s="4" t="s">
        <v>7619</v>
      </c>
      <c r="BD227" s="8" t="s">
        <v>7605</v>
      </c>
      <c r="BE227" s="4" t="s">
        <v>7606</v>
      </c>
      <c r="BF227" s="8" t="s">
        <v>7607</v>
      </c>
      <c r="BG227" s="8" t="s">
        <v>7631</v>
      </c>
      <c r="BH227" s="4" t="s">
        <v>7632</v>
      </c>
      <c r="BI227" s="8" t="n">
        <v>10</v>
      </c>
      <c r="BJ227" s="8" t="s">
        <v>7602</v>
      </c>
      <c r="BK227" s="4" t="s">
        <v>7653</v>
      </c>
      <c r="BL227" s="8" t="s">
        <v>7602</v>
      </c>
      <c r="BM227" s="4" t="s">
        <v>7620</v>
      </c>
      <c r="BN227" s="8"/>
      <c r="BO227" s="8"/>
      <c r="BP227" s="8" t="s">
        <v>7602</v>
      </c>
      <c r="BQ227" s="8" t="str">
        <f aca="false">IF(A227="","",AT227)</f>
        <v>3歳以上</v>
      </c>
      <c r="BR227" s="8" t="str">
        <f aca="false">IF(A227="","",IF(BA227&lt;=1200,"～1200",IF(BA227&lt;=1500,"1300～1500",IF(BA227=1600,"1600",IF(BA227&lt;=1800,"1700～1800",IF(BA227&lt;=2000,"1900～2000","2100以上"))))))</f>
        <v>1700～1800</v>
      </c>
      <c r="BS227" s="8" t="str">
        <f aca="false">IF(A227="","",IF(AX227="G1","G1",IF(AX227="G2","G2",IF(AX227="G3","G3",IF(AX227="L","L","その他")))))</f>
        <v>その他</v>
      </c>
      <c r="BT227" s="8" t="str">
        <f aca="false">IF(A227="","",IF(BI227="","未結合",IF(D227=BI227,"一致","不一致")))</f>
        <v>一致</v>
      </c>
      <c r="BU227" s="8" t="str">
        <f aca="false">IF(A227="","",IF(BE227="牝馬限定","牝馬限定","その他"))</f>
        <v>その他</v>
      </c>
    </row>
    <row r="228" customFormat="false" ht="15.75" hidden="false" customHeight="false" outlineLevel="0" collapsed="false">
      <c r="A228" s="3" t="n">
        <v>46207</v>
      </c>
      <c r="B228" s="4" t="s">
        <v>915</v>
      </c>
      <c r="C228" s="8" t="n">
        <v>11</v>
      </c>
      <c r="D228" s="8" t="n">
        <v>10</v>
      </c>
      <c r="E228" s="8" t="n">
        <v>9</v>
      </c>
      <c r="F228" s="4" t="s">
        <v>2794</v>
      </c>
      <c r="G228" s="8" t="n">
        <v>81</v>
      </c>
      <c r="H228" s="8" t="n">
        <v>8</v>
      </c>
      <c r="I228" s="4" t="s">
        <v>2793</v>
      </c>
      <c r="J228" s="8" t="n">
        <v>50</v>
      </c>
      <c r="K228" s="8" t="n">
        <v>10</v>
      </c>
      <c r="L228" s="4" t="s">
        <v>2795</v>
      </c>
      <c r="M228" s="8" t="n">
        <v>39</v>
      </c>
      <c r="N228" s="8" t="n">
        <f aca="false">IF(A228="","",G228-J228)</f>
        <v>31</v>
      </c>
      <c r="O228" s="8" t="n">
        <f aca="false">IF(A228="","",J228-M228)</f>
        <v>11</v>
      </c>
      <c r="P228" s="8" t="n">
        <f aca="false">IF(A228="","",G228+J228)</f>
        <v>131</v>
      </c>
      <c r="Q228" s="8" t="str">
        <f aca="false">IF(A228="","",IF(AND(Y228&lt;&gt;"参考",G228&gt;=ルール設定!$B$2),"○",""))</f>
        <v>○</v>
      </c>
      <c r="R228" s="8" t="str">
        <f aca="false">IF(A228="","",IF(AND(Y228&lt;&gt;"参考",G228&gt;=ルール設定!$B$3,N228&gt;=ルール設定!$B$4),"○",""))</f>
        <v>○</v>
      </c>
      <c r="S228" s="8" t="str">
        <f aca="false">IF(A228="","",IF(AND(Y228&lt;&gt;"参考",G228&gt;=ルール設定!$B$5,J228&gt;=ルール設定!$B$6,O228&gt;=ルール設定!$B$7),"○",""))</f>
        <v/>
      </c>
      <c r="T228" s="8" t="n">
        <v>1</v>
      </c>
      <c r="U228" s="8" t="n">
        <v>2</v>
      </c>
      <c r="V228" s="8" t="str">
        <f aca="false">IF(A228="","",IF(AND(ISNUMBER(T228),ISNUMBER(U228)),IF(AND(T228&lt;=3,U228&lt;=3),"○","×"),""))</f>
        <v>○</v>
      </c>
      <c r="W228" s="8" t="n">
        <v>110</v>
      </c>
      <c r="X228" s="8" t="n">
        <v>210</v>
      </c>
      <c r="Y228" s="4" t="s">
        <v>7597</v>
      </c>
      <c r="Z228" s="4" t="s">
        <v>7726</v>
      </c>
      <c r="AA228" s="8" t="str">
        <v/>
      </c>
      <c r="AB228" s="8" t="str">
        <v>○</v>
      </c>
      <c r="AC228" s="8" t="str">
        <v/>
      </c>
      <c r="AD228" s="8" t="str">
        <v>○</v>
      </c>
      <c r="AE228" s="8" t="str">
        <v/>
      </c>
      <c r="AF228" s="8" t="str">
        <v/>
      </c>
      <c r="AG228" s="8" t="str">
        <v>○</v>
      </c>
      <c r="AH228" s="8" t="str">
        <v/>
      </c>
      <c r="AI228" s="8" t="n">
        <v>42</v>
      </c>
      <c r="AJ228" s="8" t="str">
        <v>80～84</v>
      </c>
      <c r="AK228" s="8" t="str">
        <v>30以上</v>
      </c>
      <c r="AL228" s="8" t="str">
        <v>40以上</v>
      </c>
      <c r="AM228" s="8" t="str">
        <v>120～139</v>
      </c>
      <c r="AN228" s="8" t="str">
        <v>8～11</v>
      </c>
      <c r="AO228" s="8" t="n">
        <f aca="false">IF(A228="","",IF(COUNTIFS(全馬データ!$A$2:$A$50000,A228,全馬データ!$B$2:$B$50000,B228,全馬データ!$C$2:$C$50000,C228,全馬データ!$D$2:$D$50000,E228,全馬データ!$K$2:$K$50000,"&lt;&gt;")=0,"",SUMIFS(全馬データ!$K$2:$K$50000,全馬データ!$A$2:$A$50000,A228,全馬データ!$B$2:$B$50000,B228,全馬データ!$C$2:$C$50000,C228,全馬データ!$D$2:$D$50000,E228)))</f>
        <v>1.1</v>
      </c>
      <c r="AP228" s="8" t="str">
        <f aca="false">IF(A228="","",IF(AO228="","欠損",IF(AO228&lt;=1.1,"1.0～1.1",IF(AO228&lt;1.3,"1.2",IF(AO228&lt;1.5,"1.3～1.4",IF(AO228&lt;2,"1.5～1.9","2.0以上"))))))</f>
        <v>1.0～1.1</v>
      </c>
      <c r="AQ228" s="8" t="str">
        <f aca="false">IF(A228="","",IF(ISNUMBER(SEARCH("2歳",Z228)),"2歳戦",IF(ISNUMBER(SEARCH("3歳未勝利",Z228)),"3歳未勝利",IF(ISNUMBER(SEARCH("未勝利",Z228)),"その他未勝利",IF(ISNUMBER(SEARCH("G1",Z228)),"G1",IF(ISNUMBER(SEARCH("G2",Z228)),"G2",IF(ISNUMBER(SEARCH("G3",Z228)),"G3",IF(ISNUMBER(SEARCH("古馬条件",Z228)),"古馬条件戦",IF(ISNUMBER(SEARCH("重賞",Z228)),"重賞","分類不能")))))))))</f>
        <v>分類不能</v>
      </c>
      <c r="AR228" s="4" t="s">
        <v>7729</v>
      </c>
      <c r="AS228" s="8" t="s">
        <v>7626</v>
      </c>
      <c r="AT228" s="8" t="s">
        <v>7627</v>
      </c>
      <c r="AU228" s="8" t="s">
        <v>7639</v>
      </c>
      <c r="AV228" s="8" t="s">
        <v>7640</v>
      </c>
      <c r="AW228" s="8" t="s">
        <v>7636</v>
      </c>
      <c r="AX228" s="4" t="s">
        <v>7637</v>
      </c>
      <c r="AY228" s="8" t="s">
        <v>7610</v>
      </c>
      <c r="AZ228" s="4" t="s">
        <v>7617</v>
      </c>
      <c r="BA228" s="8" t="n">
        <v>1150</v>
      </c>
      <c r="BB228" s="8" t="s">
        <v>7659</v>
      </c>
      <c r="BC228" s="4" t="s">
        <v>7619</v>
      </c>
      <c r="BD228" s="8" t="s">
        <v>7630</v>
      </c>
      <c r="BE228" s="4" t="s">
        <v>7606</v>
      </c>
      <c r="BF228" s="8" t="s">
        <v>7607</v>
      </c>
      <c r="BG228" s="8" t="s">
        <v>7631</v>
      </c>
      <c r="BH228" s="4" t="s">
        <v>7632</v>
      </c>
      <c r="BI228" s="8" t="n">
        <v>10</v>
      </c>
      <c r="BJ228" s="8" t="s">
        <v>7602</v>
      </c>
      <c r="BK228" s="4" t="s">
        <v>7653</v>
      </c>
      <c r="BL228" s="8" t="s">
        <v>7602</v>
      </c>
      <c r="BM228" s="4" t="s">
        <v>7620</v>
      </c>
      <c r="BN228" s="8"/>
      <c r="BO228" s="8"/>
      <c r="BP228" s="8" t="s">
        <v>7602</v>
      </c>
      <c r="BQ228" s="8" t="str">
        <f aca="false">IF(A228="","",AT228)</f>
        <v>3歳以上</v>
      </c>
      <c r="BR228" s="8" t="str">
        <f aca="false">IF(A228="","",IF(BA228&lt;=1200,"～1200",IF(BA228&lt;=1500,"1300～1500",IF(BA228=1600,"1600",IF(BA228&lt;=1800,"1700～1800",IF(BA228&lt;=2000,"1900～2000","2100以上"))))))</f>
        <v>～1200</v>
      </c>
      <c r="BS228" s="8" t="str">
        <f aca="false">IF(A228="","",IF(AX228="G1","G1",IF(AX228="G2","G2",IF(AX228="G3","G3",IF(AX228="L","L","その他")))))</f>
        <v>その他</v>
      </c>
      <c r="BT228" s="8" t="str">
        <f aca="false">IF(A228="","",IF(BI228="","未結合",IF(D228=BI228,"一致","不一致")))</f>
        <v>一致</v>
      </c>
      <c r="BU228" s="8" t="str">
        <f aca="false">IF(A228="","",IF(BE228="牝馬限定","牝馬限定","その他"))</f>
        <v>その他</v>
      </c>
    </row>
    <row r="229" customFormat="false" ht="15.75" hidden="false" customHeight="false" outlineLevel="0" collapsed="false">
      <c r="A229" s="3" t="n">
        <v>46207</v>
      </c>
      <c r="B229" s="4" t="s">
        <v>915</v>
      </c>
      <c r="C229" s="8" t="n">
        <v>12</v>
      </c>
      <c r="D229" s="8" t="n">
        <v>16</v>
      </c>
      <c r="E229" s="8" t="n">
        <v>14</v>
      </c>
      <c r="F229" s="4" t="s">
        <v>2804</v>
      </c>
      <c r="G229" s="8" t="n">
        <v>62</v>
      </c>
      <c r="H229" s="8" t="n">
        <v>6</v>
      </c>
      <c r="I229" s="4" t="s">
        <v>2799</v>
      </c>
      <c r="J229" s="8" t="n">
        <v>39</v>
      </c>
      <c r="K229" s="8" t="n">
        <v>5</v>
      </c>
      <c r="L229" s="4" t="s">
        <v>2798</v>
      </c>
      <c r="M229" s="8" t="n">
        <v>34</v>
      </c>
      <c r="N229" s="8" t="n">
        <f aca="false">IF(A229="","",G229-J229)</f>
        <v>23</v>
      </c>
      <c r="O229" s="8" t="n">
        <f aca="false">IF(A229="","",J229-M229)</f>
        <v>5</v>
      </c>
      <c r="P229" s="8" t="n">
        <f aca="false">IF(A229="","",G229+J229)</f>
        <v>101</v>
      </c>
      <c r="Q229" s="8" t="str">
        <f aca="false">IF(A229="","",IF(AND(Y229&lt;&gt;"参考",G229&gt;=ルール設定!$B$2),"○",""))</f>
        <v/>
      </c>
      <c r="R229" s="8" t="str">
        <f aca="false">IF(A229="","",IF(AND(Y229&lt;&gt;"参考",G229&gt;=ルール設定!$B$3,N229&gt;=ルール設定!$B$4),"○",""))</f>
        <v/>
      </c>
      <c r="S229" s="8" t="str">
        <f aca="false">IF(A229="","",IF(AND(Y229&lt;&gt;"参考",G229&gt;=ルール設定!$B$5,J229&gt;=ルール設定!$B$6,O229&gt;=ルール設定!$B$7),"○",""))</f>
        <v/>
      </c>
      <c r="T229" s="8" t="n">
        <v>4</v>
      </c>
      <c r="U229" s="8" t="n">
        <v>4</v>
      </c>
      <c r="V229" s="8" t="str">
        <f aca="false">IF(A229="","",IF(AND(ISNUMBER(T229),ISNUMBER(U229)),IF(AND(T229&lt;=3,U229&lt;=3),"○","×"),""))</f>
        <v>×</v>
      </c>
      <c r="W229" s="8"/>
      <c r="X229" s="8"/>
      <c r="Y229" s="4" t="s">
        <v>7597</v>
      </c>
      <c r="Z229" s="4" t="s">
        <v>7726</v>
      </c>
      <c r="AA229" s="8" t="str">
        <v/>
      </c>
      <c r="AB229" s="8" t="str">
        <v/>
      </c>
      <c r="AC229" s="8" t="str">
        <v/>
      </c>
      <c r="AD229" s="8" t="str">
        <v/>
      </c>
      <c r="AE229" s="8" t="str">
        <v/>
      </c>
      <c r="AF229" s="8" t="str">
        <v/>
      </c>
      <c r="AG229" s="8" t="str">
        <v/>
      </c>
      <c r="AH229" s="8" t="str">
        <v/>
      </c>
      <c r="AI229" s="8" t="n">
        <v>28</v>
      </c>
      <c r="AJ229" s="8" t="str">
        <v>60～69</v>
      </c>
      <c r="AK229" s="8" t="str">
        <v>20～29</v>
      </c>
      <c r="AL229" s="8" t="str">
        <v>20～29</v>
      </c>
      <c r="AM229" s="8" t="str">
        <v>100～119</v>
      </c>
      <c r="AN229" s="8" t="str">
        <v>15以上</v>
      </c>
      <c r="AO229" s="8" t="str">
        <f aca="false">IF(A229="","",IF(COUNTIFS(全馬データ!$A$2:$A$50000,A229,全馬データ!$B$2:$B$50000,B229,全馬データ!$C$2:$C$50000,C229,全馬データ!$D$2:$D$50000,E229,全馬データ!$K$2:$K$50000,"&lt;&gt;")=0,"",SUMIFS(全馬データ!$K$2:$K$50000,全馬データ!$A$2:$A$50000,A229,全馬データ!$B$2:$B$50000,B229,全馬データ!$C$2:$C$50000,C229,全馬データ!$D$2:$D$50000,E229)))</f>
        <v/>
      </c>
      <c r="AP229" s="8" t="str">
        <f aca="false">IF(A229="","",IF(AO229="","欠損",IF(AO229&lt;=1.1,"1.0～1.1",IF(AO229&lt;1.3,"1.2",IF(AO229&lt;1.5,"1.3～1.4",IF(AO229&lt;2,"1.5～1.9","2.0以上"))))))</f>
        <v>欠損</v>
      </c>
      <c r="AQ229" s="8" t="str">
        <f aca="false">IF(A229="","",IF(ISNUMBER(SEARCH("2歳",Z229)),"2歳戦",IF(ISNUMBER(SEARCH("3歳未勝利",Z229)),"3歳未勝利",IF(ISNUMBER(SEARCH("未勝利",Z229)),"その他未勝利",IF(ISNUMBER(SEARCH("G1",Z229)),"G1",IF(ISNUMBER(SEARCH("G2",Z229)),"G2",IF(ISNUMBER(SEARCH("G3",Z229)),"G3",IF(ISNUMBER(SEARCH("古馬条件",Z229)),"古馬条件戦",IF(ISNUMBER(SEARCH("重賞",Z229)),"重賞","分類不能")))))))))</f>
        <v>分類不能</v>
      </c>
      <c r="AR229" s="8"/>
      <c r="AS229" s="8" t="s">
        <v>7626</v>
      </c>
      <c r="AT229" s="8" t="s">
        <v>7627</v>
      </c>
      <c r="AU229" s="8" t="s">
        <v>7628</v>
      </c>
      <c r="AV229" s="8" t="s">
        <v>7629</v>
      </c>
      <c r="AW229" s="8"/>
      <c r="AX229" s="8"/>
      <c r="AY229" s="8" t="s">
        <v>7602</v>
      </c>
      <c r="AZ229" s="4" t="s">
        <v>7603</v>
      </c>
      <c r="BA229" s="8" t="n">
        <v>1200</v>
      </c>
      <c r="BB229" s="8" t="s">
        <v>7598</v>
      </c>
      <c r="BC229" s="4" t="s">
        <v>7604</v>
      </c>
      <c r="BD229" s="8" t="s">
        <v>7621</v>
      </c>
      <c r="BE229" s="4" t="s">
        <v>7622</v>
      </c>
      <c r="BF229" s="8" t="s">
        <v>7602</v>
      </c>
      <c r="BG229" s="8" t="s">
        <v>7631</v>
      </c>
      <c r="BH229" s="4" t="s">
        <v>7632</v>
      </c>
      <c r="BI229" s="8" t="n">
        <v>16</v>
      </c>
      <c r="BJ229" s="8" t="s">
        <v>7602</v>
      </c>
      <c r="BK229" s="4" t="s">
        <v>7653</v>
      </c>
      <c r="BL229" s="8" t="s">
        <v>7602</v>
      </c>
      <c r="BM229" s="4" t="s">
        <v>7620</v>
      </c>
      <c r="BN229" s="8" t="s">
        <v>7602</v>
      </c>
      <c r="BO229" s="8" t="s">
        <v>7613</v>
      </c>
      <c r="BP229" s="8" t="s">
        <v>7602</v>
      </c>
      <c r="BQ229" s="8" t="str">
        <f aca="false">IF(A229="","",AT229)</f>
        <v>3歳以上</v>
      </c>
      <c r="BR229" s="8" t="str">
        <f aca="false">IF(A229="","",IF(BA229&lt;=1200,"～1200",IF(BA229&lt;=1500,"1300～1500",IF(BA229=1600,"1600",IF(BA229&lt;=1800,"1700～1800",IF(BA229&lt;=2000,"1900～2000","2100以上"))))))</f>
        <v>～1200</v>
      </c>
      <c r="BS229" s="8" t="str">
        <f aca="false">IF(A229="","",IF(AX229="G1","G1",IF(AX229="G2","G2",IF(AX229="G3","G3",IF(AX229="L","L","その他")))))</f>
        <v>その他</v>
      </c>
      <c r="BT229" s="8" t="str">
        <f aca="false">IF(A229="","",IF(BI229="","未結合",IF(D229=BI229,"一致","不一致")))</f>
        <v>一致</v>
      </c>
      <c r="BU229" s="8" t="str">
        <f aca="false">IF(A229="","",IF(BE229="牝馬限定","牝馬限定","その他"))</f>
        <v>牝馬限定</v>
      </c>
    </row>
    <row r="230" customFormat="false" ht="15.75" hidden="false" customHeight="false" outlineLevel="0" collapsed="false">
      <c r="A230" s="3" t="n">
        <v>46207</v>
      </c>
      <c r="B230" s="4" t="s">
        <v>1091</v>
      </c>
      <c r="C230" s="8" t="n">
        <v>1</v>
      </c>
      <c r="D230" s="8" t="n">
        <v>12</v>
      </c>
      <c r="E230" s="8" t="n">
        <v>4</v>
      </c>
      <c r="F230" s="4" t="s">
        <v>2808</v>
      </c>
      <c r="G230" s="8" t="n">
        <v>55</v>
      </c>
      <c r="H230" s="8" t="n">
        <v>12</v>
      </c>
      <c r="I230" s="4" t="s">
        <v>2814</v>
      </c>
      <c r="J230" s="8" t="n">
        <v>55</v>
      </c>
      <c r="K230" s="8" t="n">
        <v>6</v>
      </c>
      <c r="L230" s="4" t="s">
        <v>1562</v>
      </c>
      <c r="M230" s="8" t="n">
        <v>37</v>
      </c>
      <c r="N230" s="8" t="n">
        <f aca="false">IF(A230="","",G230-J230)</f>
        <v>0</v>
      </c>
      <c r="O230" s="8" t="n">
        <f aca="false">IF(A230="","",J230-M230)</f>
        <v>18</v>
      </c>
      <c r="P230" s="8" t="n">
        <f aca="false">IF(A230="","",G230+J230)</f>
        <v>110</v>
      </c>
      <c r="Q230" s="8" t="str">
        <f aca="false">IF(A230="","",IF(AND(Y230&lt;&gt;"参考",G230&gt;=ルール設定!$B$2),"○",""))</f>
        <v/>
      </c>
      <c r="R230" s="8" t="str">
        <f aca="false">IF(A230="","",IF(AND(Y230&lt;&gt;"参考",G230&gt;=ルール設定!$B$3,N230&gt;=ルール設定!$B$4),"○",""))</f>
        <v/>
      </c>
      <c r="S230" s="8" t="str">
        <f aca="false">IF(A230="","",IF(AND(Y230&lt;&gt;"参考",G230&gt;=ルール設定!$B$5,J230&gt;=ルール設定!$B$6,O230&gt;=ルール設定!$B$7),"○",""))</f>
        <v/>
      </c>
      <c r="T230" s="8" t="n">
        <v>4</v>
      </c>
      <c r="U230" s="8" t="n">
        <v>4</v>
      </c>
      <c r="V230" s="8" t="str">
        <f aca="false">IF(A230="","",IF(AND(ISNUMBER(T230),ISNUMBER(U230)),IF(AND(T230&lt;=3,U230&lt;=3),"○","×"),""))</f>
        <v>×</v>
      </c>
      <c r="W230" s="8"/>
      <c r="X230" s="8"/>
      <c r="Y230" s="4" t="s">
        <v>7597</v>
      </c>
      <c r="Z230" s="4" t="s">
        <v>7726</v>
      </c>
      <c r="AA230" s="8" t="str">
        <v/>
      </c>
      <c r="AB230" s="8" t="str">
        <v/>
      </c>
      <c r="AC230" s="8" t="str">
        <v/>
      </c>
      <c r="AD230" s="8" t="str">
        <v/>
      </c>
      <c r="AE230" s="8" t="str">
        <v/>
      </c>
      <c r="AF230" s="8" t="str">
        <v/>
      </c>
      <c r="AG230" s="8" t="str">
        <v/>
      </c>
      <c r="AH230" s="8" t="str">
        <v/>
      </c>
      <c r="AI230" s="8" t="n">
        <v>18</v>
      </c>
      <c r="AJ230" s="8" t="str">
        <v>～59</v>
      </c>
      <c r="AK230" s="8" t="str">
        <v>0～4</v>
      </c>
      <c r="AL230" s="8" t="str">
        <v>10～19</v>
      </c>
      <c r="AM230" s="8" t="str">
        <v>100～119</v>
      </c>
      <c r="AN230" s="8" t="str">
        <v>12～14</v>
      </c>
      <c r="AO230" s="8" t="str">
        <f aca="false">IF(A230="","",IF(COUNTIFS(全馬データ!$A$2:$A$50000,A230,全馬データ!$B$2:$B$50000,B230,全馬データ!$C$2:$C$50000,C230,全馬データ!$D$2:$D$50000,E230,全馬データ!$K$2:$K$50000,"&lt;&gt;")=0,"",SUMIFS(全馬データ!$K$2:$K$50000,全馬データ!$A$2:$A$50000,A230,全馬データ!$B$2:$B$50000,B230,全馬データ!$C$2:$C$50000,C230,全馬データ!$D$2:$D$50000,E230)))</f>
        <v/>
      </c>
      <c r="AP230" s="8" t="str">
        <f aca="false">IF(A230="","",IF(AO230="","欠損",IF(AO230&lt;=1.1,"1.0～1.1",IF(AO230&lt;1.3,"1.2",IF(AO230&lt;1.5,"1.3～1.4",IF(AO230&lt;2,"1.5～1.9","2.0以上"))))))</f>
        <v>欠損</v>
      </c>
      <c r="AQ230" s="8" t="str">
        <f aca="false">IF(A230="","",IF(ISNUMBER(SEARCH("2歳",Z230)),"2歳戦",IF(ISNUMBER(SEARCH("3歳未勝利",Z230)),"3歳未勝利",IF(ISNUMBER(SEARCH("未勝利",Z230)),"その他未勝利",IF(ISNUMBER(SEARCH("G1",Z230)),"G1",IF(ISNUMBER(SEARCH("G2",Z230)),"G2",IF(ISNUMBER(SEARCH("G3",Z230)),"G3",IF(ISNUMBER(SEARCH("古馬条件",Z230)),"古馬条件戦",IF(ISNUMBER(SEARCH("重賞",Z230)),"重賞","分類不能")))))))))</f>
        <v>分類不能</v>
      </c>
      <c r="AR230" s="8"/>
      <c r="AS230" s="8" t="s">
        <v>7618</v>
      </c>
      <c r="AT230" s="4" t="s">
        <v>7642</v>
      </c>
      <c r="AU230" s="8" t="s">
        <v>7600</v>
      </c>
      <c r="AV230" s="4" t="s">
        <v>7601</v>
      </c>
      <c r="AW230" s="8"/>
      <c r="AX230" s="8"/>
      <c r="AY230" s="8" t="s">
        <v>7608</v>
      </c>
      <c r="AZ230" s="4" t="s">
        <v>7642</v>
      </c>
      <c r="BA230" s="8" t="n">
        <v>2860</v>
      </c>
      <c r="BB230" s="8" t="s">
        <v>7657</v>
      </c>
      <c r="BC230" s="4" t="s">
        <v>7658</v>
      </c>
      <c r="BD230" s="8" t="s">
        <v>7645</v>
      </c>
      <c r="BE230" s="4" t="s">
        <v>7606</v>
      </c>
      <c r="BF230" s="8" t="s">
        <v>7607</v>
      </c>
      <c r="BG230" s="8" t="s">
        <v>7631</v>
      </c>
      <c r="BH230" s="4" t="s">
        <v>7632</v>
      </c>
      <c r="BI230" s="8" t="n">
        <v>12</v>
      </c>
      <c r="BJ230" s="8" t="s">
        <v>7647</v>
      </c>
      <c r="BK230" s="4" t="s">
        <v>7648</v>
      </c>
      <c r="BL230" s="8" t="s">
        <v>7647</v>
      </c>
      <c r="BM230" s="4" t="s">
        <v>7648</v>
      </c>
      <c r="BN230" s="8"/>
      <c r="BO230" s="8"/>
      <c r="BP230" s="8" t="s">
        <v>7610</v>
      </c>
      <c r="BQ230" s="8" t="str">
        <f aca="false">IF(A230="","",AT230)</f>
        <v>障害</v>
      </c>
      <c r="BR230" s="8" t="str">
        <f aca="false">IF(A230="","",IF(BA230&lt;=1200,"～1200",IF(BA230&lt;=1500,"1300～1500",IF(BA230=1600,"1600",IF(BA230&lt;=1800,"1700～1800",IF(BA230&lt;=2000,"1900～2000","2100以上"))))))</f>
        <v>2100以上</v>
      </c>
      <c r="BS230" s="8" t="str">
        <f aca="false">IF(A230="","",IF(AX230="G1","G1",IF(AX230="G2","G2",IF(AX230="G3","G3",IF(AX230="L","L","その他")))))</f>
        <v>その他</v>
      </c>
      <c r="BT230" s="8" t="str">
        <f aca="false">IF(A230="","",IF(BI230="","未結合",IF(D230=BI230,"一致","不一致")))</f>
        <v>一致</v>
      </c>
      <c r="BU230" s="8" t="str">
        <f aca="false">IF(A230="","",IF(BE230="牝馬限定","牝馬限定","その他"))</f>
        <v>その他</v>
      </c>
    </row>
    <row r="231" customFormat="false" ht="15.75" hidden="false" customHeight="false" outlineLevel="0" collapsed="false">
      <c r="A231" s="3" t="n">
        <v>46207</v>
      </c>
      <c r="B231" s="4" t="s">
        <v>1091</v>
      </c>
      <c r="C231" s="8" t="n">
        <v>2</v>
      </c>
      <c r="D231" s="8" t="n">
        <v>18</v>
      </c>
      <c r="E231" s="8" t="n">
        <v>6</v>
      </c>
      <c r="F231" s="4" t="s">
        <v>2818</v>
      </c>
      <c r="G231" s="8" t="n">
        <v>56</v>
      </c>
      <c r="H231" s="8" t="n">
        <v>15</v>
      </c>
      <c r="I231" s="4" t="s">
        <v>808</v>
      </c>
      <c r="J231" s="8" t="n">
        <v>39</v>
      </c>
      <c r="K231" s="8" t="n">
        <v>9</v>
      </c>
      <c r="L231" s="4" t="s">
        <v>2820</v>
      </c>
      <c r="M231" s="8" t="n">
        <v>29</v>
      </c>
      <c r="N231" s="8" t="n">
        <f aca="false">IF(A231="","",G231-J231)</f>
        <v>17</v>
      </c>
      <c r="O231" s="8" t="n">
        <f aca="false">IF(A231="","",J231-M231)</f>
        <v>10</v>
      </c>
      <c r="P231" s="8" t="n">
        <f aca="false">IF(A231="","",G231+J231)</f>
        <v>95</v>
      </c>
      <c r="Q231" s="8" t="str">
        <f aca="false">IF(A231="","",IF(AND(Y231&lt;&gt;"参考",G231&gt;=ルール設定!$B$2),"○",""))</f>
        <v/>
      </c>
      <c r="R231" s="8" t="str">
        <f aca="false">IF(A231="","",IF(AND(Y231&lt;&gt;"参考",G231&gt;=ルール設定!$B$3,N231&gt;=ルール設定!$B$4),"○",""))</f>
        <v/>
      </c>
      <c r="S231" s="8" t="str">
        <f aca="false">IF(A231="","",IF(AND(Y231&lt;&gt;"参考",G231&gt;=ルール設定!$B$5,J231&gt;=ルール設定!$B$6,O231&gt;=ルール設定!$B$7),"○",""))</f>
        <v/>
      </c>
      <c r="T231" s="8" t="n">
        <v>4</v>
      </c>
      <c r="U231" s="8" t="n">
        <v>4</v>
      </c>
      <c r="V231" s="8" t="str">
        <f aca="false">IF(A231="","",IF(AND(ISNUMBER(T231),ISNUMBER(U231)),IF(AND(T231&lt;=3,U231&lt;=3),"○","×"),""))</f>
        <v>×</v>
      </c>
      <c r="W231" s="8"/>
      <c r="X231" s="8"/>
      <c r="Y231" s="4" t="s">
        <v>7597</v>
      </c>
      <c r="Z231" s="4" t="s">
        <v>7726</v>
      </c>
      <c r="AA231" s="8" t="str">
        <v/>
      </c>
      <c r="AB231" s="8" t="str">
        <v/>
      </c>
      <c r="AC231" s="8" t="str">
        <v/>
      </c>
      <c r="AD231" s="8" t="str">
        <v/>
      </c>
      <c r="AE231" s="8" t="str">
        <v/>
      </c>
      <c r="AF231" s="8" t="str">
        <v/>
      </c>
      <c r="AG231" s="8" t="str">
        <v/>
      </c>
      <c r="AH231" s="8" t="str">
        <v/>
      </c>
      <c r="AI231" s="8" t="n">
        <v>27</v>
      </c>
      <c r="AJ231" s="8" t="str">
        <v>～59</v>
      </c>
      <c r="AK231" s="8" t="str">
        <v>10～19</v>
      </c>
      <c r="AL231" s="8" t="str">
        <v>20～29</v>
      </c>
      <c r="AM231" s="8" t="str">
        <v>～99</v>
      </c>
      <c r="AN231" s="8" t="str">
        <v>15以上</v>
      </c>
      <c r="AO231" s="8" t="str">
        <f aca="false">IF(A231="","",IF(COUNTIFS(全馬データ!$A$2:$A$50000,A231,全馬データ!$B$2:$B$50000,B231,全馬データ!$C$2:$C$50000,C231,全馬データ!$D$2:$D$50000,E231,全馬データ!$K$2:$K$50000,"&lt;&gt;")=0,"",SUMIFS(全馬データ!$K$2:$K$50000,全馬データ!$A$2:$A$50000,A231,全馬データ!$B$2:$B$50000,B231,全馬データ!$C$2:$C$50000,C231,全馬データ!$D$2:$D$50000,E231)))</f>
        <v/>
      </c>
      <c r="AP231" s="8" t="str">
        <f aca="false">IF(A231="","",IF(AO231="","欠損",IF(AO231&lt;=1.1,"1.0～1.1",IF(AO231&lt;1.3,"1.2",IF(AO231&lt;1.5,"1.3～1.4",IF(AO231&lt;2,"1.5～1.9","2.0以上"))))))</f>
        <v>欠損</v>
      </c>
      <c r="AQ231" s="8" t="str">
        <f aca="false">IF(A231="","",IF(ISNUMBER(SEARCH("2歳",Z231)),"2歳戦",IF(ISNUMBER(SEARCH("3歳未勝利",Z231)),"3歳未勝利",IF(ISNUMBER(SEARCH("未勝利",Z231)),"その他未勝利",IF(ISNUMBER(SEARCH("G1",Z231)),"G1",IF(ISNUMBER(SEARCH("G2",Z231)),"G2",IF(ISNUMBER(SEARCH("G3",Z231)),"G3",IF(ISNUMBER(SEARCH("古馬条件",Z231)),"古馬条件戦",IF(ISNUMBER(SEARCH("重賞",Z231)),"重賞","分類不能")))))))))</f>
        <v>分類不能</v>
      </c>
      <c r="AR231" s="8"/>
      <c r="AS231" s="8" t="s">
        <v>7623</v>
      </c>
      <c r="AT231" s="8" t="s">
        <v>7624</v>
      </c>
      <c r="AU231" s="8" t="s">
        <v>7600</v>
      </c>
      <c r="AV231" s="4" t="s">
        <v>7601</v>
      </c>
      <c r="AW231" s="8"/>
      <c r="AX231" s="8"/>
      <c r="AY231" s="8" t="s">
        <v>7602</v>
      </c>
      <c r="AZ231" s="4" t="s">
        <v>7603</v>
      </c>
      <c r="BA231" s="8" t="n">
        <v>1200</v>
      </c>
      <c r="BB231" s="8" t="s">
        <v>7701</v>
      </c>
      <c r="BC231" s="4" t="s">
        <v>7658</v>
      </c>
      <c r="BD231" s="8" t="s">
        <v>7625</v>
      </c>
      <c r="BE231" s="4" t="s">
        <v>7606</v>
      </c>
      <c r="BF231" s="8" t="s">
        <v>7607</v>
      </c>
      <c r="BG231" s="8" t="s">
        <v>7608</v>
      </c>
      <c r="BH231" s="4" t="s">
        <v>7609</v>
      </c>
      <c r="BI231" s="8" t="n">
        <v>18</v>
      </c>
      <c r="BJ231" s="8" t="s">
        <v>7602</v>
      </c>
      <c r="BK231" s="4" t="s">
        <v>7653</v>
      </c>
      <c r="BL231" s="8" t="s">
        <v>7602</v>
      </c>
      <c r="BM231" s="4" t="s">
        <v>7620</v>
      </c>
      <c r="BN231" s="8" t="s">
        <v>7602</v>
      </c>
      <c r="BO231" s="8" t="s">
        <v>7613</v>
      </c>
      <c r="BP231" s="8" t="s">
        <v>7610</v>
      </c>
      <c r="BQ231" s="8" t="str">
        <f aca="false">IF(A231="","",AT231)</f>
        <v>3歳</v>
      </c>
      <c r="BR231" s="8" t="str">
        <f aca="false">IF(A231="","",IF(BA231&lt;=1200,"～1200",IF(BA231&lt;=1500,"1300～1500",IF(BA231=1600,"1600",IF(BA231&lt;=1800,"1700～1800",IF(BA231&lt;=2000,"1900～2000","2100以上"))))))</f>
        <v>～1200</v>
      </c>
      <c r="BS231" s="8" t="str">
        <f aca="false">IF(A231="","",IF(AX231="G1","G1",IF(AX231="G2","G2",IF(AX231="G3","G3",IF(AX231="L","L","その他")))))</f>
        <v>その他</v>
      </c>
      <c r="BT231" s="8" t="str">
        <f aca="false">IF(A231="","",IF(BI231="","未結合",IF(D231=BI231,"一致","不一致")))</f>
        <v>一致</v>
      </c>
      <c r="BU231" s="8" t="str">
        <f aca="false">IF(A231="","",IF(BE231="牝馬限定","牝馬限定","その他"))</f>
        <v>その他</v>
      </c>
    </row>
    <row r="232" customFormat="false" ht="15.75" hidden="false" customHeight="false" outlineLevel="0" collapsed="false">
      <c r="A232" s="3" t="n">
        <v>46207</v>
      </c>
      <c r="B232" s="4" t="s">
        <v>1091</v>
      </c>
      <c r="C232" s="8" t="n">
        <v>3</v>
      </c>
      <c r="D232" s="8" t="n">
        <v>16</v>
      </c>
      <c r="E232" s="8" t="n">
        <v>8</v>
      </c>
      <c r="F232" s="4" t="s">
        <v>1036</v>
      </c>
      <c r="G232" s="8" t="n">
        <v>81</v>
      </c>
      <c r="H232" s="8" t="n">
        <v>11</v>
      </c>
      <c r="I232" s="4" t="s">
        <v>2834</v>
      </c>
      <c r="J232" s="8" t="n">
        <v>71</v>
      </c>
      <c r="K232" s="8" t="n">
        <v>14</v>
      </c>
      <c r="L232" s="4" t="s">
        <v>2837</v>
      </c>
      <c r="M232" s="8" t="n">
        <v>38</v>
      </c>
      <c r="N232" s="8" t="n">
        <f aca="false">IF(A232="","",G232-J232)</f>
        <v>10</v>
      </c>
      <c r="O232" s="8" t="n">
        <f aca="false">IF(A232="","",J232-M232)</f>
        <v>33</v>
      </c>
      <c r="P232" s="8" t="n">
        <f aca="false">IF(A232="","",G232+J232)</f>
        <v>152</v>
      </c>
      <c r="Q232" s="8" t="str">
        <f aca="false">IF(A232="","",IF(AND(Y232&lt;&gt;"参考",G232&gt;=ルール設定!$B$2),"○",""))</f>
        <v>○</v>
      </c>
      <c r="R232" s="8" t="str">
        <f aca="false">IF(A232="","",IF(AND(Y232&lt;&gt;"参考",G232&gt;=ルール設定!$B$3,N232&gt;=ルール設定!$B$4),"○",""))</f>
        <v/>
      </c>
      <c r="S232" s="8" t="str">
        <f aca="false">IF(A232="","",IF(AND(Y232&lt;&gt;"参考",G232&gt;=ルール設定!$B$5,J232&gt;=ルール設定!$B$6,O232&gt;=ルール設定!$B$7),"○",""))</f>
        <v>○</v>
      </c>
      <c r="T232" s="8" t="n">
        <v>1</v>
      </c>
      <c r="U232" s="8" t="n">
        <v>2</v>
      </c>
      <c r="V232" s="8" t="str">
        <f aca="false">IF(A232="","",IF(AND(ISNUMBER(T232),ISNUMBER(U232)),IF(AND(T232&lt;=3,U232&lt;=3),"○","×"),""))</f>
        <v>○</v>
      </c>
      <c r="W232" s="8" t="n">
        <v>110</v>
      </c>
      <c r="X232" s="8" t="n">
        <v>170</v>
      </c>
      <c r="Y232" s="4" t="s">
        <v>7597</v>
      </c>
      <c r="Z232" s="4" t="s">
        <v>7726</v>
      </c>
      <c r="AA232" s="8" t="str">
        <v/>
      </c>
      <c r="AB232" s="8" t="str">
        <v>○</v>
      </c>
      <c r="AC232" s="8" t="str">
        <v>○</v>
      </c>
      <c r="AD232" s="8" t="str">
        <v/>
      </c>
      <c r="AE232" s="8" t="str">
        <v/>
      </c>
      <c r="AF232" s="8" t="str">
        <v>○</v>
      </c>
      <c r="AG232" s="8" t="str">
        <v>○</v>
      </c>
      <c r="AH232" s="8" t="str">
        <v/>
      </c>
      <c r="AI232" s="8" t="n">
        <v>43</v>
      </c>
      <c r="AJ232" s="8" t="str">
        <v>80～84</v>
      </c>
      <c r="AK232" s="8" t="str">
        <v>10～19</v>
      </c>
      <c r="AL232" s="8" t="str">
        <v>40以上</v>
      </c>
      <c r="AM232" s="8" t="str">
        <v>140～159</v>
      </c>
      <c r="AN232" s="8" t="str">
        <v>15以上</v>
      </c>
      <c r="AO232" s="8" t="n">
        <f aca="false">IF(A232="","",IF(COUNTIFS(全馬データ!$A$2:$A$50000,A232,全馬データ!$B$2:$B$50000,B232,全馬データ!$C$2:$C$50000,C232,全馬データ!$D$2:$D$50000,E232,全馬データ!$K$2:$K$50000,"&lt;&gt;")=0,"",SUMIFS(全馬データ!$K$2:$K$50000,全馬データ!$A$2:$A$50000,A232,全馬データ!$B$2:$B$50000,B232,全馬データ!$C$2:$C$50000,C232,全馬データ!$D$2:$D$50000,E232)))</f>
        <v>1.1</v>
      </c>
      <c r="AP232" s="8" t="str">
        <f aca="false">IF(A232="","",IF(AO232="","欠損",IF(AO232&lt;=1.1,"1.0～1.1",IF(AO232&lt;1.3,"1.2",IF(AO232&lt;1.5,"1.3～1.4",IF(AO232&lt;2,"1.5～1.9","2.0以上"))))))</f>
        <v>1.0～1.1</v>
      </c>
      <c r="AQ232" s="8" t="str">
        <f aca="false">IF(A232="","",IF(ISNUMBER(SEARCH("2歳",Z232)),"2歳戦",IF(ISNUMBER(SEARCH("3歳未勝利",Z232)),"3歳未勝利",IF(ISNUMBER(SEARCH("未勝利",Z232)),"その他未勝利",IF(ISNUMBER(SEARCH("G1",Z232)),"G1",IF(ISNUMBER(SEARCH("G2",Z232)),"G2",IF(ISNUMBER(SEARCH("G3",Z232)),"G3",IF(ISNUMBER(SEARCH("古馬条件",Z232)),"古馬条件戦",IF(ISNUMBER(SEARCH("重賞",Z232)),"重賞","分類不能")))))))))</f>
        <v>分類不能</v>
      </c>
      <c r="AR232" s="8"/>
      <c r="AS232" s="8" t="s">
        <v>7623</v>
      </c>
      <c r="AT232" s="8" t="s">
        <v>7624</v>
      </c>
      <c r="AU232" s="8" t="s">
        <v>7600</v>
      </c>
      <c r="AV232" s="4" t="s">
        <v>7601</v>
      </c>
      <c r="AW232" s="8"/>
      <c r="AX232" s="8"/>
      <c r="AY232" s="8" t="s">
        <v>7602</v>
      </c>
      <c r="AZ232" s="4" t="s">
        <v>7603</v>
      </c>
      <c r="BA232" s="8" t="n">
        <v>2600</v>
      </c>
      <c r="BB232" s="8" t="s">
        <v>7701</v>
      </c>
      <c r="BC232" s="4" t="s">
        <v>7658</v>
      </c>
      <c r="BD232" s="8" t="s">
        <v>7605</v>
      </c>
      <c r="BE232" s="4" t="s">
        <v>7606</v>
      </c>
      <c r="BF232" s="8" t="s">
        <v>7607</v>
      </c>
      <c r="BG232" s="8" t="s">
        <v>7608</v>
      </c>
      <c r="BH232" s="4" t="s">
        <v>7609</v>
      </c>
      <c r="BI232" s="8" t="n">
        <v>16</v>
      </c>
      <c r="BJ232" s="8" t="s">
        <v>7602</v>
      </c>
      <c r="BK232" s="4" t="s">
        <v>7653</v>
      </c>
      <c r="BL232" s="8" t="s">
        <v>7602</v>
      </c>
      <c r="BM232" s="4" t="s">
        <v>7620</v>
      </c>
      <c r="BN232" s="8" t="s">
        <v>7602</v>
      </c>
      <c r="BO232" s="8" t="s">
        <v>7613</v>
      </c>
      <c r="BP232" s="8" t="s">
        <v>7610</v>
      </c>
      <c r="BQ232" s="8" t="str">
        <f aca="false">IF(A232="","",AT232)</f>
        <v>3歳</v>
      </c>
      <c r="BR232" s="8" t="str">
        <f aca="false">IF(A232="","",IF(BA232&lt;=1200,"～1200",IF(BA232&lt;=1500,"1300～1500",IF(BA232=1600,"1600",IF(BA232&lt;=1800,"1700～1800",IF(BA232&lt;=2000,"1900～2000","2100以上"))))))</f>
        <v>2100以上</v>
      </c>
      <c r="BS232" s="8" t="str">
        <f aca="false">IF(A232="","",IF(AX232="G1","G1",IF(AX232="G2","G2",IF(AX232="G3","G3",IF(AX232="L","L","その他")))))</f>
        <v>その他</v>
      </c>
      <c r="BT232" s="8" t="str">
        <f aca="false">IF(A232="","",IF(BI232="","未結合",IF(D232=BI232,"一致","不一致")))</f>
        <v>一致</v>
      </c>
      <c r="BU232" s="8" t="str">
        <f aca="false">IF(A232="","",IF(BE232="牝馬限定","牝馬限定","その他"))</f>
        <v>その他</v>
      </c>
    </row>
    <row r="233" customFormat="false" ht="15.75" hidden="false" customHeight="false" outlineLevel="0" collapsed="false">
      <c r="A233" s="3" t="n">
        <v>46207</v>
      </c>
      <c r="B233" s="4" t="s">
        <v>1091</v>
      </c>
      <c r="C233" s="8" t="n">
        <v>4</v>
      </c>
      <c r="D233" s="8" t="n">
        <v>16</v>
      </c>
      <c r="E233" s="8" t="n">
        <v>1</v>
      </c>
      <c r="F233" s="4" t="s">
        <v>2840</v>
      </c>
      <c r="G233" s="8" t="n">
        <v>62</v>
      </c>
      <c r="H233" s="8" t="n">
        <v>6</v>
      </c>
      <c r="I233" s="4" t="s">
        <v>2843</v>
      </c>
      <c r="J233" s="8" t="n">
        <v>52</v>
      </c>
      <c r="K233" s="8" t="n">
        <v>3</v>
      </c>
      <c r="L233" s="4" t="s">
        <v>2841</v>
      </c>
      <c r="M233" s="8" t="n">
        <v>44</v>
      </c>
      <c r="N233" s="8" t="n">
        <f aca="false">IF(A233="","",G233-J233)</f>
        <v>10</v>
      </c>
      <c r="O233" s="8" t="n">
        <f aca="false">IF(A233="","",J233-M233)</f>
        <v>8</v>
      </c>
      <c r="P233" s="8" t="n">
        <f aca="false">IF(A233="","",G233+J233)</f>
        <v>114</v>
      </c>
      <c r="Q233" s="8" t="str">
        <f aca="false">IF(A233="","",IF(AND(Y233&lt;&gt;"参考",G233&gt;=ルール設定!$B$2),"○",""))</f>
        <v/>
      </c>
      <c r="R233" s="8" t="str">
        <f aca="false">IF(A233="","",IF(AND(Y233&lt;&gt;"参考",G233&gt;=ルール設定!$B$3,N233&gt;=ルール設定!$B$4),"○",""))</f>
        <v/>
      </c>
      <c r="S233" s="8" t="str">
        <f aca="false">IF(A233="","",IF(AND(Y233&lt;&gt;"参考",G233&gt;=ルール設定!$B$5,J233&gt;=ルール設定!$B$6,O233&gt;=ルール設定!$B$7),"○",""))</f>
        <v/>
      </c>
      <c r="T233" s="8" t="n">
        <v>2</v>
      </c>
      <c r="U233" s="8" t="n">
        <v>1</v>
      </c>
      <c r="V233" s="8" t="str">
        <f aca="false">IF(A233="","",IF(AND(ISNUMBER(T233),ISNUMBER(U233)),IF(AND(T233&lt;=3,U233&lt;=3),"○","×"),""))</f>
        <v>○</v>
      </c>
      <c r="W233" s="8" t="n">
        <v>120</v>
      </c>
      <c r="X233" s="8" t="n">
        <v>260</v>
      </c>
      <c r="Y233" s="4" t="s">
        <v>7597</v>
      </c>
      <c r="Z233" s="4" t="s">
        <v>7726</v>
      </c>
      <c r="AA233" s="8" t="str">
        <v/>
      </c>
      <c r="AB233" s="8" t="str">
        <v/>
      </c>
      <c r="AC233" s="8" t="str">
        <v/>
      </c>
      <c r="AD233" s="8" t="str">
        <v/>
      </c>
      <c r="AE233" s="8" t="str">
        <v/>
      </c>
      <c r="AF233" s="8" t="str">
        <v/>
      </c>
      <c r="AG233" s="8" t="str">
        <v/>
      </c>
      <c r="AH233" s="8" t="str">
        <v/>
      </c>
      <c r="AI233" s="8" t="n">
        <v>18</v>
      </c>
      <c r="AJ233" s="8" t="str">
        <v>60～69</v>
      </c>
      <c r="AK233" s="8" t="str">
        <v>10～19</v>
      </c>
      <c r="AL233" s="8" t="str">
        <v>10～19</v>
      </c>
      <c r="AM233" s="8" t="str">
        <v>100～119</v>
      </c>
      <c r="AN233" s="8" t="str">
        <v>15以上</v>
      </c>
      <c r="AO233" s="8" t="str">
        <f aca="false">IF(A233="","",IF(COUNTIFS(全馬データ!$A$2:$A$50000,A233,全馬データ!$B$2:$B$50000,B233,全馬データ!$C$2:$C$50000,C233,全馬データ!$D$2:$D$50000,E233,全馬データ!$K$2:$K$50000,"&lt;&gt;")=0,"",SUMIFS(全馬データ!$K$2:$K$50000,全馬データ!$A$2:$A$50000,A233,全馬データ!$B$2:$B$50000,B233,全馬データ!$C$2:$C$50000,C233,全馬データ!$D$2:$D$50000,E233)))</f>
        <v/>
      </c>
      <c r="AP233" s="8" t="str">
        <f aca="false">IF(A233="","",IF(AO233="","欠損",IF(AO233&lt;=1.1,"1.0～1.1",IF(AO233&lt;1.3,"1.2",IF(AO233&lt;1.5,"1.3～1.4",IF(AO233&lt;2,"1.5～1.9","2.0以上"))))))</f>
        <v>欠損</v>
      </c>
      <c r="AQ233" s="8" t="str">
        <f aca="false">IF(A233="","",IF(ISNUMBER(SEARCH("2歳",Z233)),"2歳戦",IF(ISNUMBER(SEARCH("3歳未勝利",Z233)),"3歳未勝利",IF(ISNUMBER(SEARCH("未勝利",Z233)),"その他未勝利",IF(ISNUMBER(SEARCH("G1",Z233)),"G1",IF(ISNUMBER(SEARCH("G2",Z233)),"G2",IF(ISNUMBER(SEARCH("G3",Z233)),"G3",IF(ISNUMBER(SEARCH("古馬条件",Z233)),"古馬条件戦",IF(ISNUMBER(SEARCH("重賞",Z233)),"重賞","分類不能")))))))))</f>
        <v>分類不能</v>
      </c>
      <c r="AR233" s="8"/>
      <c r="AS233" s="8" t="s">
        <v>7623</v>
      </c>
      <c r="AT233" s="8" t="s">
        <v>7624</v>
      </c>
      <c r="AU233" s="8" t="s">
        <v>7600</v>
      </c>
      <c r="AV233" s="4" t="s">
        <v>7601</v>
      </c>
      <c r="AW233" s="8"/>
      <c r="AX233" s="8"/>
      <c r="AY233" s="8" t="s">
        <v>7610</v>
      </c>
      <c r="AZ233" s="4" t="s">
        <v>7617</v>
      </c>
      <c r="BA233" s="8" t="n">
        <v>1700</v>
      </c>
      <c r="BB233" s="8" t="s">
        <v>7669</v>
      </c>
      <c r="BC233" s="4" t="s">
        <v>7662</v>
      </c>
      <c r="BD233" s="8" t="s">
        <v>7621</v>
      </c>
      <c r="BE233" s="4" t="s">
        <v>7622</v>
      </c>
      <c r="BF233" s="8" t="s">
        <v>7602</v>
      </c>
      <c r="BG233" s="8" t="s">
        <v>7608</v>
      </c>
      <c r="BH233" s="4" t="s">
        <v>7609</v>
      </c>
      <c r="BI233" s="8" t="n">
        <v>16</v>
      </c>
      <c r="BJ233" s="8" t="s">
        <v>7602</v>
      </c>
      <c r="BK233" s="4" t="s">
        <v>7653</v>
      </c>
      <c r="BL233" s="8" t="s">
        <v>7602</v>
      </c>
      <c r="BM233" s="4" t="s">
        <v>7620</v>
      </c>
      <c r="BN233" s="8"/>
      <c r="BO233" s="8"/>
      <c r="BP233" s="8" t="s">
        <v>7610</v>
      </c>
      <c r="BQ233" s="8" t="str">
        <f aca="false">IF(A233="","",AT233)</f>
        <v>3歳</v>
      </c>
      <c r="BR233" s="8" t="str">
        <f aca="false">IF(A233="","",IF(BA233&lt;=1200,"～1200",IF(BA233&lt;=1500,"1300～1500",IF(BA233=1600,"1600",IF(BA233&lt;=1800,"1700～1800",IF(BA233&lt;=2000,"1900～2000","2100以上"))))))</f>
        <v>1700～1800</v>
      </c>
      <c r="BS233" s="8" t="str">
        <f aca="false">IF(A233="","",IF(AX233="G1","G1",IF(AX233="G2","G2",IF(AX233="G3","G3",IF(AX233="L","L","その他")))))</f>
        <v>その他</v>
      </c>
      <c r="BT233" s="8" t="str">
        <f aca="false">IF(A233="","",IF(BI233="","未結合",IF(D233=BI233,"一致","不一致")))</f>
        <v>一致</v>
      </c>
      <c r="BU233" s="8" t="str">
        <f aca="false">IF(A233="","",IF(BE233="牝馬限定","牝馬限定","その他"))</f>
        <v>牝馬限定</v>
      </c>
    </row>
    <row r="234" customFormat="false" ht="15.75" hidden="false" customHeight="false" outlineLevel="0" collapsed="false">
      <c r="A234" s="3" t="n">
        <v>46207</v>
      </c>
      <c r="B234" s="4" t="s">
        <v>1091</v>
      </c>
      <c r="C234" s="8" t="n">
        <v>5</v>
      </c>
      <c r="D234" s="8" t="n">
        <v>13</v>
      </c>
      <c r="E234" s="8" t="n">
        <v>2</v>
      </c>
      <c r="F234" s="4" t="s">
        <v>2852</v>
      </c>
      <c r="G234" s="8" t="n">
        <v>31</v>
      </c>
      <c r="H234" s="8" t="n">
        <v>10</v>
      </c>
      <c r="I234" s="4" t="s">
        <v>636</v>
      </c>
      <c r="J234" s="8" t="n">
        <v>31</v>
      </c>
      <c r="K234" s="8" t="n">
        <v>3</v>
      </c>
      <c r="L234" s="4" t="s">
        <v>2853</v>
      </c>
      <c r="M234" s="8" t="n">
        <v>27</v>
      </c>
      <c r="N234" s="8" t="n">
        <f aca="false">IF(A234="","",G234-J234)</f>
        <v>0</v>
      </c>
      <c r="O234" s="8" t="n">
        <f aca="false">IF(A234="","",J234-M234)</f>
        <v>4</v>
      </c>
      <c r="P234" s="8" t="n">
        <f aca="false">IF(A234="","",G234+J234)</f>
        <v>62</v>
      </c>
      <c r="Q234" s="8" t="str">
        <f aca="false">IF(A234="","",IF(AND(Y234&lt;&gt;"参考",G234&gt;=ルール設定!$B$2),"○",""))</f>
        <v/>
      </c>
      <c r="R234" s="8" t="str">
        <f aca="false">IF(A234="","",IF(AND(Y234&lt;&gt;"参考",G234&gt;=ルール設定!$B$3,N234&gt;=ルール設定!$B$4),"○",""))</f>
        <v/>
      </c>
      <c r="S234" s="8" t="str">
        <f aca="false">IF(A234="","",IF(AND(Y234&lt;&gt;"参考",G234&gt;=ルール設定!$B$5,J234&gt;=ルール設定!$B$6,O234&gt;=ルール設定!$B$7),"○",""))</f>
        <v/>
      </c>
      <c r="T234" s="8" t="n">
        <v>2</v>
      </c>
      <c r="U234" s="8" t="n">
        <v>4</v>
      </c>
      <c r="V234" s="8" t="str">
        <f aca="false">IF(A234="","",IF(AND(ISNUMBER(T234),ISNUMBER(U234)),IF(AND(T234&lt;=3,U234&lt;=3),"○","×"),""))</f>
        <v>×</v>
      </c>
      <c r="W234" s="8" t="n">
        <v>260</v>
      </c>
      <c r="X234" s="8"/>
      <c r="Y234" s="4" t="s">
        <v>7597</v>
      </c>
      <c r="Z234" s="4" t="s">
        <v>7726</v>
      </c>
      <c r="AA234" s="8" t="str">
        <v/>
      </c>
      <c r="AB234" s="8" t="str">
        <v/>
      </c>
      <c r="AC234" s="8" t="str">
        <v/>
      </c>
      <c r="AD234" s="8" t="str">
        <v/>
      </c>
      <c r="AE234" s="8" t="str">
        <v/>
      </c>
      <c r="AF234" s="8" t="str">
        <v/>
      </c>
      <c r="AG234" s="8" t="str">
        <v/>
      </c>
      <c r="AH234" s="8" t="str">
        <v/>
      </c>
      <c r="AI234" s="8" t="n">
        <v>4</v>
      </c>
      <c r="AJ234" s="8" t="str">
        <v>～59</v>
      </c>
      <c r="AK234" s="8" t="str">
        <v>0～4</v>
      </c>
      <c r="AL234" s="8" t="str">
        <v>0～9</v>
      </c>
      <c r="AM234" s="8" t="str">
        <v>～99</v>
      </c>
      <c r="AN234" s="8" t="str">
        <v>12～14</v>
      </c>
      <c r="AO234" s="8" t="str">
        <f aca="false">IF(A234="","",IF(COUNTIFS(全馬データ!$A$2:$A$50000,A234,全馬データ!$B$2:$B$50000,B234,全馬データ!$C$2:$C$50000,C234,全馬データ!$D$2:$D$50000,E234,全馬データ!$K$2:$K$50000,"&lt;&gt;")=0,"",SUMIFS(全馬データ!$K$2:$K$50000,全馬データ!$A$2:$A$50000,A234,全馬データ!$B$2:$B$50000,B234,全馬データ!$C$2:$C$50000,C234,全馬データ!$D$2:$D$50000,E234)))</f>
        <v/>
      </c>
      <c r="AP234" s="8" t="str">
        <f aca="false">IF(A234="","",IF(AO234="","欠損",IF(AO234&lt;=1.1,"1.0～1.1",IF(AO234&lt;1.3,"1.2",IF(AO234&lt;1.5,"1.3～1.4",IF(AO234&lt;2,"1.5～1.9","2.0以上"))))))</f>
        <v>欠損</v>
      </c>
      <c r="AQ234" s="8" t="str">
        <f aca="false">IF(A234="","",IF(ISNUMBER(SEARCH("2歳",Z234)),"2歳戦",IF(ISNUMBER(SEARCH("3歳未勝利",Z234)),"3歳未勝利",IF(ISNUMBER(SEARCH("未勝利",Z234)),"その他未勝利",IF(ISNUMBER(SEARCH("G1",Z234)),"G1",IF(ISNUMBER(SEARCH("G2",Z234)),"G2",IF(ISNUMBER(SEARCH("G3",Z234)),"G3",IF(ISNUMBER(SEARCH("古馬条件",Z234)),"古馬条件戦",IF(ISNUMBER(SEARCH("重賞",Z234)),"重賞","分類不能")))))))))</f>
        <v>分類不能</v>
      </c>
      <c r="AR234" s="8"/>
      <c r="AS234" s="8" t="s">
        <v>7598</v>
      </c>
      <c r="AT234" s="8" t="s">
        <v>7599</v>
      </c>
      <c r="AU234" s="8" t="s">
        <v>7615</v>
      </c>
      <c r="AV234" s="4" t="s">
        <v>7616</v>
      </c>
      <c r="AW234" s="8"/>
      <c r="AX234" s="8"/>
      <c r="AY234" s="8" t="s">
        <v>7602</v>
      </c>
      <c r="AZ234" s="4" t="s">
        <v>7603</v>
      </c>
      <c r="BA234" s="8" t="n">
        <v>1200</v>
      </c>
      <c r="BB234" s="8" t="s">
        <v>7701</v>
      </c>
      <c r="BC234" s="4" t="s">
        <v>7658</v>
      </c>
      <c r="BD234" s="8" t="s">
        <v>7625</v>
      </c>
      <c r="BE234" s="4" t="s">
        <v>7606</v>
      </c>
      <c r="BF234" s="8" t="s">
        <v>7607</v>
      </c>
      <c r="BG234" s="8" t="s">
        <v>7608</v>
      </c>
      <c r="BH234" s="4" t="s">
        <v>7609</v>
      </c>
      <c r="BI234" s="8" t="n">
        <v>13</v>
      </c>
      <c r="BJ234" s="8" t="s">
        <v>7602</v>
      </c>
      <c r="BK234" s="4" t="s">
        <v>7653</v>
      </c>
      <c r="BL234" s="8" t="s">
        <v>7602</v>
      </c>
      <c r="BM234" s="4" t="s">
        <v>7620</v>
      </c>
      <c r="BN234" s="8" t="s">
        <v>7602</v>
      </c>
      <c r="BO234" s="8" t="s">
        <v>7613</v>
      </c>
      <c r="BP234" s="8" t="s">
        <v>7610</v>
      </c>
      <c r="BQ234" s="8" t="str">
        <f aca="false">IF(A234="","",AT234)</f>
        <v>2歳</v>
      </c>
      <c r="BR234" s="8" t="str">
        <f aca="false">IF(A234="","",IF(BA234&lt;=1200,"～1200",IF(BA234&lt;=1500,"1300～1500",IF(BA234=1600,"1600",IF(BA234&lt;=1800,"1700～1800",IF(BA234&lt;=2000,"1900～2000","2100以上"))))))</f>
        <v>～1200</v>
      </c>
      <c r="BS234" s="8" t="str">
        <f aca="false">IF(A234="","",IF(AX234="G1","G1",IF(AX234="G2","G2",IF(AX234="G3","G3",IF(AX234="L","L","その他")))))</f>
        <v>その他</v>
      </c>
      <c r="BT234" s="8" t="str">
        <f aca="false">IF(A234="","",IF(BI234="","未結合",IF(D234=BI234,"一致","不一致")))</f>
        <v>一致</v>
      </c>
      <c r="BU234" s="8" t="str">
        <f aca="false">IF(A234="","",IF(BE234="牝馬限定","牝馬限定","その他"))</f>
        <v>その他</v>
      </c>
    </row>
    <row r="235" customFormat="false" ht="15.75" hidden="false" customHeight="false" outlineLevel="0" collapsed="false">
      <c r="A235" s="3" t="n">
        <v>46207</v>
      </c>
      <c r="B235" s="4" t="s">
        <v>1091</v>
      </c>
      <c r="C235" s="8" t="n">
        <v>6</v>
      </c>
      <c r="D235" s="8" t="n">
        <v>16</v>
      </c>
      <c r="E235" s="8" t="n">
        <v>9</v>
      </c>
      <c r="F235" s="4" t="s">
        <v>421</v>
      </c>
      <c r="G235" s="8" t="n">
        <v>65</v>
      </c>
      <c r="H235" s="8" t="n">
        <v>5</v>
      </c>
      <c r="I235" s="4" t="s">
        <v>2863</v>
      </c>
      <c r="J235" s="8" t="n">
        <v>47</v>
      </c>
      <c r="K235" s="8" t="n">
        <v>14</v>
      </c>
      <c r="L235" s="4" t="s">
        <v>1149</v>
      </c>
      <c r="M235" s="8" t="n">
        <v>41</v>
      </c>
      <c r="N235" s="8" t="n">
        <f aca="false">IF(A235="","",G235-J235)</f>
        <v>18</v>
      </c>
      <c r="O235" s="8" t="n">
        <f aca="false">IF(A235="","",J235-M235)</f>
        <v>6</v>
      </c>
      <c r="P235" s="8" t="n">
        <f aca="false">IF(A235="","",G235+J235)</f>
        <v>112</v>
      </c>
      <c r="Q235" s="8" t="str">
        <f aca="false">IF(A235="","",IF(AND(Y235&lt;&gt;"参考",G235&gt;=ルール設定!$B$2),"○",""))</f>
        <v/>
      </c>
      <c r="R235" s="8" t="str">
        <f aca="false">IF(A235="","",IF(AND(Y235&lt;&gt;"参考",G235&gt;=ルール設定!$B$3,N235&gt;=ルール設定!$B$4),"○",""))</f>
        <v/>
      </c>
      <c r="S235" s="8" t="str">
        <f aca="false">IF(A235="","",IF(AND(Y235&lt;&gt;"参考",G235&gt;=ルール設定!$B$5,J235&gt;=ルール設定!$B$6,O235&gt;=ルール設定!$B$7),"○",""))</f>
        <v/>
      </c>
      <c r="T235" s="8" t="n">
        <v>1</v>
      </c>
      <c r="U235" s="8" t="n">
        <v>4</v>
      </c>
      <c r="V235" s="8" t="str">
        <f aca="false">IF(A235="","",IF(AND(ISNUMBER(T235),ISNUMBER(U235)),IF(AND(T235&lt;=3,U235&lt;=3),"○","×"),""))</f>
        <v>×</v>
      </c>
      <c r="W235" s="8" t="n">
        <v>170</v>
      </c>
      <c r="X235" s="8"/>
      <c r="Y235" s="4" t="s">
        <v>7597</v>
      </c>
      <c r="Z235" s="4" t="s">
        <v>7726</v>
      </c>
      <c r="AA235" s="8" t="str">
        <v/>
      </c>
      <c r="AB235" s="8" t="str">
        <v/>
      </c>
      <c r="AC235" s="8" t="str">
        <v/>
      </c>
      <c r="AD235" s="8" t="str">
        <v/>
      </c>
      <c r="AE235" s="8" t="str">
        <v/>
      </c>
      <c r="AF235" s="8" t="str">
        <v/>
      </c>
      <c r="AG235" s="8" t="str">
        <v/>
      </c>
      <c r="AH235" s="8" t="str">
        <v/>
      </c>
      <c r="AI235" s="8" t="n">
        <v>24</v>
      </c>
      <c r="AJ235" s="8" t="str">
        <v>60～69</v>
      </c>
      <c r="AK235" s="8" t="str">
        <v>10～19</v>
      </c>
      <c r="AL235" s="8" t="str">
        <v>20～29</v>
      </c>
      <c r="AM235" s="8" t="str">
        <v>100～119</v>
      </c>
      <c r="AN235" s="8" t="str">
        <v>15以上</v>
      </c>
      <c r="AO235" s="8" t="str">
        <f aca="false">IF(A235="","",IF(COUNTIFS(全馬データ!$A$2:$A$50000,A235,全馬データ!$B$2:$B$50000,B235,全馬データ!$C$2:$C$50000,C235,全馬データ!$D$2:$D$50000,E235,全馬データ!$K$2:$K$50000,"&lt;&gt;")=0,"",SUMIFS(全馬データ!$K$2:$K$50000,全馬データ!$A$2:$A$50000,A235,全馬データ!$B$2:$B$50000,B235,全馬データ!$C$2:$C$50000,C235,全馬データ!$D$2:$D$50000,E235)))</f>
        <v/>
      </c>
      <c r="AP235" s="8" t="str">
        <f aca="false">IF(A235="","",IF(AO235="","欠損",IF(AO235&lt;=1.1,"1.0～1.1",IF(AO235&lt;1.3,"1.2",IF(AO235&lt;1.5,"1.3～1.4",IF(AO235&lt;2,"1.5～1.9","2.0以上"))))))</f>
        <v>欠損</v>
      </c>
      <c r="AQ235" s="8" t="str">
        <f aca="false">IF(A235="","",IF(ISNUMBER(SEARCH("2歳",Z235)),"2歳戦",IF(ISNUMBER(SEARCH("3歳未勝利",Z235)),"3歳未勝利",IF(ISNUMBER(SEARCH("未勝利",Z235)),"その他未勝利",IF(ISNUMBER(SEARCH("G1",Z235)),"G1",IF(ISNUMBER(SEARCH("G2",Z235)),"G2",IF(ISNUMBER(SEARCH("G3",Z235)),"G3",IF(ISNUMBER(SEARCH("古馬条件",Z235)),"古馬条件戦",IF(ISNUMBER(SEARCH("重賞",Z235)),"重賞","分類不能")))))))))</f>
        <v>分類不能</v>
      </c>
      <c r="AR235" s="8"/>
      <c r="AS235" s="8" t="s">
        <v>7623</v>
      </c>
      <c r="AT235" s="8" t="s">
        <v>7624</v>
      </c>
      <c r="AU235" s="8" t="s">
        <v>7600</v>
      </c>
      <c r="AV235" s="4" t="s">
        <v>7601</v>
      </c>
      <c r="AW235" s="8"/>
      <c r="AX235" s="8"/>
      <c r="AY235" s="8" t="s">
        <v>7610</v>
      </c>
      <c r="AZ235" s="4" t="s">
        <v>7617</v>
      </c>
      <c r="BA235" s="8" t="n">
        <v>1700</v>
      </c>
      <c r="BB235" s="8" t="s">
        <v>7669</v>
      </c>
      <c r="BC235" s="4" t="s">
        <v>7662</v>
      </c>
      <c r="BD235" s="8" t="s">
        <v>7605</v>
      </c>
      <c r="BE235" s="4" t="s">
        <v>7606</v>
      </c>
      <c r="BF235" s="8" t="s">
        <v>7607</v>
      </c>
      <c r="BG235" s="8" t="s">
        <v>7608</v>
      </c>
      <c r="BH235" s="4" t="s">
        <v>7609</v>
      </c>
      <c r="BI235" s="8" t="n">
        <v>16</v>
      </c>
      <c r="BJ235" s="8" t="s">
        <v>7602</v>
      </c>
      <c r="BK235" s="4" t="s">
        <v>7653</v>
      </c>
      <c r="BL235" s="8" t="s">
        <v>7602</v>
      </c>
      <c r="BM235" s="4" t="s">
        <v>7620</v>
      </c>
      <c r="BN235" s="8"/>
      <c r="BO235" s="8"/>
      <c r="BP235" s="8" t="s">
        <v>7610</v>
      </c>
      <c r="BQ235" s="8" t="str">
        <f aca="false">IF(A235="","",AT235)</f>
        <v>3歳</v>
      </c>
      <c r="BR235" s="8" t="str">
        <f aca="false">IF(A235="","",IF(BA235&lt;=1200,"～1200",IF(BA235&lt;=1500,"1300～1500",IF(BA235=1600,"1600",IF(BA235&lt;=1800,"1700～1800",IF(BA235&lt;=2000,"1900～2000","2100以上"))))))</f>
        <v>1700～1800</v>
      </c>
      <c r="BS235" s="8" t="str">
        <f aca="false">IF(A235="","",IF(AX235="G1","G1",IF(AX235="G2","G2",IF(AX235="G3","G3",IF(AX235="L","L","その他")))))</f>
        <v>その他</v>
      </c>
      <c r="BT235" s="8" t="str">
        <f aca="false">IF(A235="","",IF(BI235="","未結合",IF(D235=BI235,"一致","不一致")))</f>
        <v>一致</v>
      </c>
      <c r="BU235" s="8" t="str">
        <f aca="false">IF(A235="","",IF(BE235="牝馬限定","牝馬限定","その他"))</f>
        <v>その他</v>
      </c>
    </row>
    <row r="236" customFormat="false" ht="15.75" hidden="false" customHeight="false" outlineLevel="0" collapsed="false">
      <c r="A236" s="3" t="n">
        <v>46207</v>
      </c>
      <c r="B236" s="4" t="s">
        <v>1091</v>
      </c>
      <c r="C236" s="8" t="n">
        <v>7</v>
      </c>
      <c r="D236" s="8" t="n">
        <v>16</v>
      </c>
      <c r="E236" s="8" t="n">
        <v>4</v>
      </c>
      <c r="F236" s="4" t="s">
        <v>1602</v>
      </c>
      <c r="G236" s="8" t="n">
        <v>67</v>
      </c>
      <c r="H236" s="8" t="n">
        <v>16</v>
      </c>
      <c r="I236" s="4" t="s">
        <v>2879</v>
      </c>
      <c r="J236" s="8" t="n">
        <v>50</v>
      </c>
      <c r="K236" s="8" t="n">
        <v>10</v>
      </c>
      <c r="L236" s="4" t="s">
        <v>2875</v>
      </c>
      <c r="M236" s="8" t="n">
        <v>41</v>
      </c>
      <c r="N236" s="8" t="n">
        <f aca="false">IF(A236="","",G236-J236)</f>
        <v>17</v>
      </c>
      <c r="O236" s="8" t="n">
        <f aca="false">IF(A236="","",J236-M236)</f>
        <v>9</v>
      </c>
      <c r="P236" s="8" t="n">
        <f aca="false">IF(A236="","",G236+J236)</f>
        <v>117</v>
      </c>
      <c r="Q236" s="8" t="str">
        <f aca="false">IF(A236="","",IF(AND(Y236&lt;&gt;"参考",G236&gt;=ルール設定!$B$2),"○",""))</f>
        <v/>
      </c>
      <c r="R236" s="8" t="str">
        <f aca="false">IF(A236="","",IF(AND(Y236&lt;&gt;"参考",G236&gt;=ルール設定!$B$3,N236&gt;=ルール設定!$B$4),"○",""))</f>
        <v/>
      </c>
      <c r="S236" s="8" t="str">
        <f aca="false">IF(A236="","",IF(AND(Y236&lt;&gt;"参考",G236&gt;=ルール設定!$B$5,J236&gt;=ルール設定!$B$6,O236&gt;=ルール設定!$B$7),"○",""))</f>
        <v/>
      </c>
      <c r="T236" s="8" t="n">
        <v>4</v>
      </c>
      <c r="U236" s="8" t="n">
        <v>4</v>
      </c>
      <c r="V236" s="8" t="str">
        <f aca="false">IF(A236="","",IF(AND(ISNUMBER(T236),ISNUMBER(U236)),IF(AND(T236&lt;=3,U236&lt;=3),"○","×"),""))</f>
        <v>×</v>
      </c>
      <c r="W236" s="8"/>
      <c r="X236" s="8"/>
      <c r="Y236" s="4" t="s">
        <v>7597</v>
      </c>
      <c r="Z236" s="4" t="s">
        <v>7726</v>
      </c>
      <c r="AA236" s="8" t="str">
        <v/>
      </c>
      <c r="AB236" s="8" t="str">
        <v/>
      </c>
      <c r="AC236" s="8" t="str">
        <v/>
      </c>
      <c r="AD236" s="8" t="str">
        <v/>
      </c>
      <c r="AE236" s="8" t="str">
        <v/>
      </c>
      <c r="AF236" s="8" t="str">
        <v/>
      </c>
      <c r="AG236" s="8" t="str">
        <v/>
      </c>
      <c r="AH236" s="8" t="str">
        <v/>
      </c>
      <c r="AI236" s="8" t="n">
        <v>26</v>
      </c>
      <c r="AJ236" s="8" t="str">
        <v>60～69</v>
      </c>
      <c r="AK236" s="8" t="str">
        <v>10～19</v>
      </c>
      <c r="AL236" s="8" t="str">
        <v>20～29</v>
      </c>
      <c r="AM236" s="8" t="str">
        <v>100～119</v>
      </c>
      <c r="AN236" s="8" t="str">
        <v>15以上</v>
      </c>
      <c r="AO236" s="8" t="str">
        <f aca="false">IF(A236="","",IF(COUNTIFS(全馬データ!$A$2:$A$50000,A236,全馬データ!$B$2:$B$50000,B236,全馬データ!$C$2:$C$50000,C236,全馬データ!$D$2:$D$50000,E236,全馬データ!$K$2:$K$50000,"&lt;&gt;")=0,"",SUMIFS(全馬データ!$K$2:$K$50000,全馬データ!$A$2:$A$50000,A236,全馬データ!$B$2:$B$50000,B236,全馬データ!$C$2:$C$50000,C236,全馬データ!$D$2:$D$50000,E236)))</f>
        <v/>
      </c>
      <c r="AP236" s="8" t="str">
        <f aca="false">IF(A236="","",IF(AO236="","欠損",IF(AO236&lt;=1.1,"1.0～1.1",IF(AO236&lt;1.3,"1.2",IF(AO236&lt;1.5,"1.3～1.4",IF(AO236&lt;2,"1.5～1.9","2.0以上"))))))</f>
        <v>欠損</v>
      </c>
      <c r="AQ236" s="8" t="str">
        <f aca="false">IF(A236="","",IF(ISNUMBER(SEARCH("2歳",Z236)),"2歳戦",IF(ISNUMBER(SEARCH("3歳未勝利",Z236)),"3歳未勝利",IF(ISNUMBER(SEARCH("未勝利",Z236)),"その他未勝利",IF(ISNUMBER(SEARCH("G1",Z236)),"G1",IF(ISNUMBER(SEARCH("G2",Z236)),"G2",IF(ISNUMBER(SEARCH("G3",Z236)),"G3",IF(ISNUMBER(SEARCH("古馬条件",Z236)),"古馬条件戦",IF(ISNUMBER(SEARCH("重賞",Z236)),"重賞","分類不能")))))))))</f>
        <v>分類不能</v>
      </c>
      <c r="AR236" s="8"/>
      <c r="AS236" s="8" t="s">
        <v>7623</v>
      </c>
      <c r="AT236" s="8" t="s">
        <v>7624</v>
      </c>
      <c r="AU236" s="8" t="s">
        <v>7600</v>
      </c>
      <c r="AV236" s="4" t="s">
        <v>7601</v>
      </c>
      <c r="AW236" s="8"/>
      <c r="AX236" s="8"/>
      <c r="AY236" s="8" t="s">
        <v>7602</v>
      </c>
      <c r="AZ236" s="4" t="s">
        <v>7603</v>
      </c>
      <c r="BA236" s="8" t="n">
        <v>1800</v>
      </c>
      <c r="BB236" s="8" t="s">
        <v>7701</v>
      </c>
      <c r="BC236" s="4" t="s">
        <v>7658</v>
      </c>
      <c r="BD236" s="8" t="s">
        <v>7625</v>
      </c>
      <c r="BE236" s="4" t="s">
        <v>7606</v>
      </c>
      <c r="BF236" s="8" t="s">
        <v>7607</v>
      </c>
      <c r="BG236" s="8" t="s">
        <v>7608</v>
      </c>
      <c r="BH236" s="4" t="s">
        <v>7609</v>
      </c>
      <c r="BI236" s="8" t="n">
        <v>16</v>
      </c>
      <c r="BJ236" s="8" t="s">
        <v>7602</v>
      </c>
      <c r="BK236" s="4" t="s">
        <v>7653</v>
      </c>
      <c r="BL236" s="8" t="s">
        <v>7602</v>
      </c>
      <c r="BM236" s="4" t="s">
        <v>7620</v>
      </c>
      <c r="BN236" s="8" t="s">
        <v>7602</v>
      </c>
      <c r="BO236" s="8" t="s">
        <v>7613</v>
      </c>
      <c r="BP236" s="8" t="s">
        <v>7610</v>
      </c>
      <c r="BQ236" s="8" t="str">
        <f aca="false">IF(A236="","",AT236)</f>
        <v>3歳</v>
      </c>
      <c r="BR236" s="8" t="str">
        <f aca="false">IF(A236="","",IF(BA236&lt;=1200,"～1200",IF(BA236&lt;=1500,"1300～1500",IF(BA236=1600,"1600",IF(BA236&lt;=1800,"1700～1800",IF(BA236&lt;=2000,"1900～2000","2100以上"))))))</f>
        <v>1700～1800</v>
      </c>
      <c r="BS236" s="8" t="str">
        <f aca="false">IF(A236="","",IF(AX236="G1","G1",IF(AX236="G2","G2",IF(AX236="G3","G3",IF(AX236="L","L","その他")))))</f>
        <v>その他</v>
      </c>
      <c r="BT236" s="8" t="str">
        <f aca="false">IF(A236="","",IF(BI236="","未結合",IF(D236=BI236,"一致","不一致")))</f>
        <v>一致</v>
      </c>
      <c r="BU236" s="8" t="str">
        <f aca="false">IF(A236="","",IF(BE236="牝馬限定","牝馬限定","その他"))</f>
        <v>その他</v>
      </c>
    </row>
    <row r="237" customFormat="false" ht="15.75" hidden="false" customHeight="false" outlineLevel="0" collapsed="false">
      <c r="A237" s="3" t="n">
        <v>46207</v>
      </c>
      <c r="B237" s="4" t="s">
        <v>1091</v>
      </c>
      <c r="C237" s="8" t="n">
        <v>8</v>
      </c>
      <c r="D237" s="8" t="n">
        <v>13</v>
      </c>
      <c r="E237" s="8" t="n">
        <v>8</v>
      </c>
      <c r="F237" s="4" t="s">
        <v>2885</v>
      </c>
      <c r="G237" s="8" t="n">
        <v>66</v>
      </c>
      <c r="H237" s="8" t="n">
        <v>2</v>
      </c>
      <c r="I237" s="4" t="s">
        <v>2880</v>
      </c>
      <c r="J237" s="8" t="n">
        <v>52</v>
      </c>
      <c r="K237" s="8" t="n">
        <v>4</v>
      </c>
      <c r="L237" s="4" t="s">
        <v>2882</v>
      </c>
      <c r="M237" s="8" t="n">
        <v>39</v>
      </c>
      <c r="N237" s="8" t="n">
        <f aca="false">IF(A237="","",G237-J237)</f>
        <v>14</v>
      </c>
      <c r="O237" s="8" t="n">
        <f aca="false">IF(A237="","",J237-M237)</f>
        <v>13</v>
      </c>
      <c r="P237" s="8" t="n">
        <f aca="false">IF(A237="","",G237+J237)</f>
        <v>118</v>
      </c>
      <c r="Q237" s="8" t="str">
        <f aca="false">IF(A237="","",IF(AND(Y237&lt;&gt;"参考",G237&gt;=ルール設定!$B$2),"○",""))</f>
        <v/>
      </c>
      <c r="R237" s="8" t="str">
        <f aca="false">IF(A237="","",IF(AND(Y237&lt;&gt;"参考",G237&gt;=ルール設定!$B$3,N237&gt;=ルール設定!$B$4),"○",""))</f>
        <v/>
      </c>
      <c r="S237" s="8" t="str">
        <f aca="false">IF(A237="","",IF(AND(Y237&lt;&gt;"参考",G237&gt;=ルール設定!$B$5,J237&gt;=ルール設定!$B$6,O237&gt;=ルール設定!$B$7),"○",""))</f>
        <v/>
      </c>
      <c r="T237" s="8" t="n">
        <v>1</v>
      </c>
      <c r="U237" s="8" t="n">
        <v>2</v>
      </c>
      <c r="V237" s="8" t="str">
        <f aca="false">IF(A237="","",IF(AND(ISNUMBER(T237),ISNUMBER(U237)),IF(AND(T237&lt;=3,U237&lt;=3),"○","×"),""))</f>
        <v>○</v>
      </c>
      <c r="W237" s="8" t="n">
        <v>110</v>
      </c>
      <c r="X237" s="8" t="n">
        <v>270</v>
      </c>
      <c r="Y237" s="4" t="s">
        <v>7597</v>
      </c>
      <c r="Z237" s="4" t="s">
        <v>7726</v>
      </c>
      <c r="AA237" s="8" t="str">
        <v/>
      </c>
      <c r="AB237" s="8" t="str">
        <v/>
      </c>
      <c r="AC237" s="8" t="str">
        <v/>
      </c>
      <c r="AD237" s="8" t="str">
        <v/>
      </c>
      <c r="AE237" s="8" t="str">
        <v/>
      </c>
      <c r="AF237" s="8" t="str">
        <v/>
      </c>
      <c r="AG237" s="8" t="str">
        <v/>
      </c>
      <c r="AH237" s="8" t="str">
        <v/>
      </c>
      <c r="AI237" s="8" t="n">
        <v>27</v>
      </c>
      <c r="AJ237" s="8" t="str">
        <v>60～69</v>
      </c>
      <c r="AK237" s="8" t="str">
        <v>10～19</v>
      </c>
      <c r="AL237" s="8" t="str">
        <v>20～29</v>
      </c>
      <c r="AM237" s="8" t="str">
        <v>100～119</v>
      </c>
      <c r="AN237" s="8" t="str">
        <v>12～14</v>
      </c>
      <c r="AO237" s="8" t="str">
        <f aca="false">IF(A237="","",IF(COUNTIFS(全馬データ!$A$2:$A$50000,A237,全馬データ!$B$2:$B$50000,B237,全馬データ!$C$2:$C$50000,C237,全馬データ!$D$2:$D$50000,E237,全馬データ!$K$2:$K$50000,"&lt;&gt;")=0,"",SUMIFS(全馬データ!$K$2:$K$50000,全馬データ!$A$2:$A$50000,A237,全馬データ!$B$2:$B$50000,B237,全馬データ!$C$2:$C$50000,C237,全馬データ!$D$2:$D$50000,E237)))</f>
        <v/>
      </c>
      <c r="AP237" s="8" t="str">
        <f aca="false">IF(A237="","",IF(AO237="","欠損",IF(AO237&lt;=1.1,"1.0～1.1",IF(AO237&lt;1.3,"1.2",IF(AO237&lt;1.5,"1.3～1.4",IF(AO237&lt;2,"1.5～1.9","2.0以上"))))))</f>
        <v>欠損</v>
      </c>
      <c r="AQ237" s="8" t="str">
        <f aca="false">IF(A237="","",IF(ISNUMBER(SEARCH("2歳",Z237)),"2歳戦",IF(ISNUMBER(SEARCH("3歳未勝利",Z237)),"3歳未勝利",IF(ISNUMBER(SEARCH("未勝利",Z237)),"その他未勝利",IF(ISNUMBER(SEARCH("G1",Z237)),"G1",IF(ISNUMBER(SEARCH("G2",Z237)),"G2",IF(ISNUMBER(SEARCH("G3",Z237)),"G3",IF(ISNUMBER(SEARCH("古馬条件",Z237)),"古馬条件戦",IF(ISNUMBER(SEARCH("重賞",Z237)),"重賞","分類不能")))))))))</f>
        <v>分類不能</v>
      </c>
      <c r="AR237" s="8"/>
      <c r="AS237" s="8" t="s">
        <v>7626</v>
      </c>
      <c r="AT237" s="8" t="s">
        <v>7627</v>
      </c>
      <c r="AU237" s="8" t="s">
        <v>7628</v>
      </c>
      <c r="AV237" s="8" t="s">
        <v>7629</v>
      </c>
      <c r="AW237" s="8"/>
      <c r="AX237" s="8"/>
      <c r="AY237" s="8" t="s">
        <v>7610</v>
      </c>
      <c r="AZ237" s="4" t="s">
        <v>7617</v>
      </c>
      <c r="BA237" s="8" t="n">
        <v>1000</v>
      </c>
      <c r="BB237" s="8" t="s">
        <v>7669</v>
      </c>
      <c r="BC237" s="4" t="s">
        <v>7662</v>
      </c>
      <c r="BD237" s="8" t="s">
        <v>7605</v>
      </c>
      <c r="BE237" s="4" t="s">
        <v>7606</v>
      </c>
      <c r="BF237" s="8" t="s">
        <v>7607</v>
      </c>
      <c r="BG237" s="8" t="s">
        <v>7631</v>
      </c>
      <c r="BH237" s="4" t="s">
        <v>7632</v>
      </c>
      <c r="BI237" s="8" t="n">
        <v>13</v>
      </c>
      <c r="BJ237" s="8" t="s">
        <v>7602</v>
      </c>
      <c r="BK237" s="4" t="s">
        <v>7653</v>
      </c>
      <c r="BL237" s="8" t="s">
        <v>7602</v>
      </c>
      <c r="BM237" s="4" t="s">
        <v>7620</v>
      </c>
      <c r="BN237" s="8"/>
      <c r="BO237" s="8"/>
      <c r="BP237" s="8" t="s">
        <v>7610</v>
      </c>
      <c r="BQ237" s="8" t="str">
        <f aca="false">IF(A237="","",AT237)</f>
        <v>3歳以上</v>
      </c>
      <c r="BR237" s="8" t="str">
        <f aca="false">IF(A237="","",IF(BA237&lt;=1200,"～1200",IF(BA237&lt;=1500,"1300～1500",IF(BA237=1600,"1600",IF(BA237&lt;=1800,"1700～1800",IF(BA237&lt;=2000,"1900～2000","2100以上"))))))</f>
        <v>～1200</v>
      </c>
      <c r="BS237" s="8" t="str">
        <f aca="false">IF(A237="","",IF(AX237="G1","G1",IF(AX237="G2","G2",IF(AX237="G3","G3",IF(AX237="L","L","その他")))))</f>
        <v>その他</v>
      </c>
      <c r="BT237" s="8" t="str">
        <f aca="false">IF(A237="","",IF(BI237="","未結合",IF(D237=BI237,"一致","不一致")))</f>
        <v>一致</v>
      </c>
      <c r="BU237" s="8" t="str">
        <f aca="false">IF(A237="","",IF(BE237="牝馬限定","牝馬限定","その他"))</f>
        <v>その他</v>
      </c>
    </row>
    <row r="238" customFormat="false" ht="15.75" hidden="false" customHeight="false" outlineLevel="0" collapsed="false">
      <c r="A238" s="3" t="n">
        <v>46207</v>
      </c>
      <c r="B238" s="4" t="s">
        <v>1091</v>
      </c>
      <c r="C238" s="8" t="n">
        <v>9</v>
      </c>
      <c r="D238" s="8" t="n">
        <v>12</v>
      </c>
      <c r="E238" s="8" t="n">
        <v>7</v>
      </c>
      <c r="F238" s="4" t="s">
        <v>2893</v>
      </c>
      <c r="G238" s="8" t="n">
        <v>56</v>
      </c>
      <c r="H238" s="8" t="n">
        <v>1</v>
      </c>
      <c r="I238" s="4" t="s">
        <v>2889</v>
      </c>
      <c r="J238" s="8" t="n">
        <v>41</v>
      </c>
      <c r="K238" s="8" t="n">
        <v>4</v>
      </c>
      <c r="L238" s="4" t="s">
        <v>1644</v>
      </c>
      <c r="M238" s="8" t="n">
        <v>37</v>
      </c>
      <c r="N238" s="8" t="n">
        <f aca="false">IF(A238="","",G238-J238)</f>
        <v>15</v>
      </c>
      <c r="O238" s="8" t="n">
        <f aca="false">IF(A238="","",J238-M238)</f>
        <v>4</v>
      </c>
      <c r="P238" s="8" t="n">
        <f aca="false">IF(A238="","",G238+J238)</f>
        <v>97</v>
      </c>
      <c r="Q238" s="8" t="str">
        <f aca="false">IF(A238="","",IF(AND(Y238&lt;&gt;"参考",G238&gt;=ルール設定!$B$2),"○",""))</f>
        <v/>
      </c>
      <c r="R238" s="8" t="str">
        <f aca="false">IF(A238="","",IF(AND(Y238&lt;&gt;"参考",G238&gt;=ルール設定!$B$3,N238&gt;=ルール設定!$B$4),"○",""))</f>
        <v/>
      </c>
      <c r="S238" s="8" t="str">
        <f aca="false">IF(A238="","",IF(AND(Y238&lt;&gt;"参考",G238&gt;=ルール設定!$B$5,J238&gt;=ルール設定!$B$6,O238&gt;=ルール設定!$B$7),"○",""))</f>
        <v/>
      </c>
      <c r="T238" s="8" t="n">
        <v>1</v>
      </c>
      <c r="U238" s="8" t="n">
        <v>4</v>
      </c>
      <c r="V238" s="8" t="str">
        <f aca="false">IF(A238="","",IF(AND(ISNUMBER(T238),ISNUMBER(U238)),IF(AND(T238&lt;=3,U238&lt;=3),"○","×"),""))</f>
        <v>×</v>
      </c>
      <c r="W238" s="8" t="n">
        <v>130</v>
      </c>
      <c r="X238" s="8"/>
      <c r="Y238" s="4" t="s">
        <v>7597</v>
      </c>
      <c r="Z238" s="4" t="s">
        <v>7726</v>
      </c>
      <c r="AA238" s="8" t="str">
        <v/>
      </c>
      <c r="AB238" s="8" t="str">
        <v/>
      </c>
      <c r="AC238" s="8" t="str">
        <v/>
      </c>
      <c r="AD238" s="8" t="str">
        <v/>
      </c>
      <c r="AE238" s="8" t="str">
        <v/>
      </c>
      <c r="AF238" s="8" t="str">
        <v/>
      </c>
      <c r="AG238" s="8" t="str">
        <v/>
      </c>
      <c r="AH238" s="8" t="str">
        <v/>
      </c>
      <c r="AI238" s="8" t="n">
        <v>19</v>
      </c>
      <c r="AJ238" s="8" t="str">
        <v>～59</v>
      </c>
      <c r="AK238" s="8" t="str">
        <v>10～19</v>
      </c>
      <c r="AL238" s="8" t="str">
        <v>10～19</v>
      </c>
      <c r="AM238" s="8" t="str">
        <v>～99</v>
      </c>
      <c r="AN238" s="8" t="str">
        <v>12～14</v>
      </c>
      <c r="AO238" s="8" t="str">
        <f aca="false">IF(A238="","",IF(COUNTIFS(全馬データ!$A$2:$A$50000,A238,全馬データ!$B$2:$B$50000,B238,全馬データ!$C$2:$C$50000,C238,全馬データ!$D$2:$D$50000,E238,全馬データ!$K$2:$K$50000,"&lt;&gt;")=0,"",SUMIFS(全馬データ!$K$2:$K$50000,全馬データ!$A$2:$A$50000,A238,全馬データ!$B$2:$B$50000,B238,全馬データ!$C$2:$C$50000,C238,全馬データ!$D$2:$D$50000,E238)))</f>
        <v/>
      </c>
      <c r="AP238" s="8" t="str">
        <f aca="false">IF(A238="","",IF(AO238="","欠損",IF(AO238&lt;=1.1,"1.0～1.1",IF(AO238&lt;1.3,"1.2",IF(AO238&lt;1.5,"1.3～1.4",IF(AO238&lt;2,"1.5～1.9","2.0以上"))))))</f>
        <v>欠損</v>
      </c>
      <c r="AQ238" s="8" t="str">
        <f aca="false">IF(A238="","",IF(ISNUMBER(SEARCH("2歳",Z238)),"2歳戦",IF(ISNUMBER(SEARCH("3歳未勝利",Z238)),"3歳未勝利",IF(ISNUMBER(SEARCH("未勝利",Z238)),"その他未勝利",IF(ISNUMBER(SEARCH("G1",Z238)),"G1",IF(ISNUMBER(SEARCH("G2",Z238)),"G2",IF(ISNUMBER(SEARCH("G3",Z238)),"G3",IF(ISNUMBER(SEARCH("古馬条件",Z238)),"古馬条件戦",IF(ISNUMBER(SEARCH("重賞",Z238)),"重賞","分類不能")))))))))</f>
        <v>分類不能</v>
      </c>
      <c r="AR238" s="4" t="s">
        <v>7730</v>
      </c>
      <c r="AS238" s="8" t="s">
        <v>7626</v>
      </c>
      <c r="AT238" s="8" t="s">
        <v>7627</v>
      </c>
      <c r="AU238" s="8" t="s">
        <v>7628</v>
      </c>
      <c r="AV238" s="8" t="s">
        <v>7629</v>
      </c>
      <c r="AW238" s="8" t="s">
        <v>7636</v>
      </c>
      <c r="AX238" s="4" t="s">
        <v>7637</v>
      </c>
      <c r="AY238" s="8" t="s">
        <v>7602</v>
      </c>
      <c r="AZ238" s="4" t="s">
        <v>7603</v>
      </c>
      <c r="BA238" s="8" t="n">
        <v>1200</v>
      </c>
      <c r="BB238" s="8" t="s">
        <v>7659</v>
      </c>
      <c r="BC238" s="4" t="s">
        <v>7619</v>
      </c>
      <c r="BD238" s="8" t="s">
        <v>7630</v>
      </c>
      <c r="BE238" s="4" t="s">
        <v>7606</v>
      </c>
      <c r="BF238" s="8" t="s">
        <v>7607</v>
      </c>
      <c r="BG238" s="8" t="s">
        <v>7631</v>
      </c>
      <c r="BH238" s="4" t="s">
        <v>7632</v>
      </c>
      <c r="BI238" s="8" t="n">
        <v>12</v>
      </c>
      <c r="BJ238" s="8" t="s">
        <v>7602</v>
      </c>
      <c r="BK238" s="4" t="s">
        <v>7653</v>
      </c>
      <c r="BL238" s="8" t="s">
        <v>7602</v>
      </c>
      <c r="BM238" s="4" t="s">
        <v>7620</v>
      </c>
      <c r="BN238" s="8" t="s">
        <v>7602</v>
      </c>
      <c r="BO238" s="8" t="s">
        <v>7613</v>
      </c>
      <c r="BP238" s="8" t="s">
        <v>7610</v>
      </c>
      <c r="BQ238" s="8" t="str">
        <f aca="false">IF(A238="","",AT238)</f>
        <v>3歳以上</v>
      </c>
      <c r="BR238" s="8" t="str">
        <f aca="false">IF(A238="","",IF(BA238&lt;=1200,"～1200",IF(BA238&lt;=1500,"1300～1500",IF(BA238=1600,"1600",IF(BA238&lt;=1800,"1700～1800",IF(BA238&lt;=2000,"1900～2000","2100以上"))))))</f>
        <v>～1200</v>
      </c>
      <c r="BS238" s="8" t="str">
        <f aca="false">IF(A238="","",IF(AX238="G1","G1",IF(AX238="G2","G2",IF(AX238="G3","G3",IF(AX238="L","L","その他")))))</f>
        <v>その他</v>
      </c>
      <c r="BT238" s="8" t="str">
        <f aca="false">IF(A238="","",IF(BI238="","未結合",IF(D238=BI238,"一致","不一致")))</f>
        <v>一致</v>
      </c>
      <c r="BU238" s="8" t="str">
        <f aca="false">IF(A238="","",IF(BE238="牝馬限定","牝馬限定","その他"))</f>
        <v>その他</v>
      </c>
    </row>
    <row r="239" customFormat="false" ht="15.75" hidden="false" customHeight="false" outlineLevel="0" collapsed="false">
      <c r="A239" s="3" t="n">
        <v>46207</v>
      </c>
      <c r="B239" s="4" t="s">
        <v>1091</v>
      </c>
      <c r="C239" s="8" t="n">
        <v>10</v>
      </c>
      <c r="D239" s="8" t="n">
        <v>12</v>
      </c>
      <c r="E239" s="8" t="n">
        <v>7</v>
      </c>
      <c r="F239" s="4" t="s">
        <v>2899</v>
      </c>
      <c r="G239" s="8" t="n">
        <v>44</v>
      </c>
      <c r="H239" s="8" t="n">
        <v>8</v>
      </c>
      <c r="I239" s="4" t="s">
        <v>2900</v>
      </c>
      <c r="J239" s="8" t="n">
        <v>44</v>
      </c>
      <c r="K239" s="8" t="n">
        <v>10</v>
      </c>
      <c r="L239" s="4" t="s">
        <v>2902</v>
      </c>
      <c r="M239" s="8" t="n">
        <v>44</v>
      </c>
      <c r="N239" s="8" t="n">
        <f aca="false">IF(A239="","",G239-J239)</f>
        <v>0</v>
      </c>
      <c r="O239" s="8" t="n">
        <f aca="false">IF(A239="","",J239-M239)</f>
        <v>0</v>
      </c>
      <c r="P239" s="8" t="n">
        <f aca="false">IF(A239="","",G239+J239)</f>
        <v>88</v>
      </c>
      <c r="Q239" s="8" t="str">
        <f aca="false">IF(A239="","",IF(AND(Y239&lt;&gt;"参考",G239&gt;=ルール設定!$B$2),"○",""))</f>
        <v/>
      </c>
      <c r="R239" s="8" t="str">
        <f aca="false">IF(A239="","",IF(AND(Y239&lt;&gt;"参考",G239&gt;=ルール設定!$B$3,N239&gt;=ルール設定!$B$4),"○",""))</f>
        <v/>
      </c>
      <c r="S239" s="8" t="str">
        <f aca="false">IF(A239="","",IF(AND(Y239&lt;&gt;"参考",G239&gt;=ルール設定!$B$5,J239&gt;=ルール設定!$B$6,O239&gt;=ルール設定!$B$7),"○",""))</f>
        <v/>
      </c>
      <c r="T239" s="8" t="n">
        <v>4</v>
      </c>
      <c r="U239" s="8" t="n">
        <v>2</v>
      </c>
      <c r="V239" s="8" t="str">
        <f aca="false">IF(A239="","",IF(AND(ISNUMBER(T239),ISNUMBER(U239)),IF(AND(T239&lt;=3,U239&lt;=3),"○","×"),""))</f>
        <v>×</v>
      </c>
      <c r="W239" s="8"/>
      <c r="X239" s="8"/>
      <c r="Y239" s="4" t="s">
        <v>7597</v>
      </c>
      <c r="Z239" s="4" t="s">
        <v>7726</v>
      </c>
      <c r="AA239" s="8" t="str">
        <v/>
      </c>
      <c r="AB239" s="8" t="str">
        <v/>
      </c>
      <c r="AC239" s="8" t="str">
        <v/>
      </c>
      <c r="AD239" s="8" t="str">
        <v/>
      </c>
      <c r="AE239" s="8" t="str">
        <v/>
      </c>
      <c r="AF239" s="8" t="str">
        <v/>
      </c>
      <c r="AG239" s="8" t="str">
        <v/>
      </c>
      <c r="AH239" s="8" t="str">
        <v/>
      </c>
      <c r="AI239" s="8" t="n">
        <v>0</v>
      </c>
      <c r="AJ239" s="8" t="str">
        <v>～59</v>
      </c>
      <c r="AK239" s="8" t="str">
        <v>0～4</v>
      </c>
      <c r="AL239" s="8" t="str">
        <v>0～9</v>
      </c>
      <c r="AM239" s="8" t="str">
        <v>～99</v>
      </c>
      <c r="AN239" s="8" t="str">
        <v>12～14</v>
      </c>
      <c r="AO239" s="8" t="str">
        <f aca="false">IF(A239="","",IF(COUNTIFS(全馬データ!$A$2:$A$50000,A239,全馬データ!$B$2:$B$50000,B239,全馬データ!$C$2:$C$50000,C239,全馬データ!$D$2:$D$50000,E239,全馬データ!$K$2:$K$50000,"&lt;&gt;")=0,"",SUMIFS(全馬データ!$K$2:$K$50000,全馬データ!$A$2:$A$50000,A239,全馬データ!$B$2:$B$50000,B239,全馬データ!$C$2:$C$50000,C239,全馬データ!$D$2:$D$50000,E239)))</f>
        <v/>
      </c>
      <c r="AP239" s="8" t="str">
        <f aca="false">IF(A239="","",IF(AO239="","欠損",IF(AO239&lt;=1.1,"1.0～1.1",IF(AO239&lt;1.3,"1.2",IF(AO239&lt;1.5,"1.3～1.4",IF(AO239&lt;2,"1.5～1.9","2.0以上"))))))</f>
        <v>欠損</v>
      </c>
      <c r="AQ239" s="8" t="str">
        <f aca="false">IF(A239="","",IF(ISNUMBER(SEARCH("2歳",Z239)),"2歳戦",IF(ISNUMBER(SEARCH("3歳未勝利",Z239)),"3歳未勝利",IF(ISNUMBER(SEARCH("未勝利",Z239)),"その他未勝利",IF(ISNUMBER(SEARCH("G1",Z239)),"G1",IF(ISNUMBER(SEARCH("G2",Z239)),"G2",IF(ISNUMBER(SEARCH("G3",Z239)),"G3",IF(ISNUMBER(SEARCH("古馬条件",Z239)),"古馬条件戦",IF(ISNUMBER(SEARCH("重賞",Z239)),"重賞","分類不能")))))))))</f>
        <v>分類不能</v>
      </c>
      <c r="AR239" s="4" t="s">
        <v>7731</v>
      </c>
      <c r="AS239" s="8" t="s">
        <v>7626</v>
      </c>
      <c r="AT239" s="8" t="s">
        <v>7627</v>
      </c>
      <c r="AU239" s="8" t="s">
        <v>7634</v>
      </c>
      <c r="AV239" s="8" t="s">
        <v>7635</v>
      </c>
      <c r="AW239" s="8" t="s">
        <v>7636</v>
      </c>
      <c r="AX239" s="4" t="s">
        <v>7637</v>
      </c>
      <c r="AY239" s="8" t="s">
        <v>7610</v>
      </c>
      <c r="AZ239" s="4" t="s">
        <v>7617</v>
      </c>
      <c r="BA239" s="8" t="n">
        <v>1000</v>
      </c>
      <c r="BB239" s="8" t="s">
        <v>7669</v>
      </c>
      <c r="BC239" s="4" t="s">
        <v>7662</v>
      </c>
      <c r="BD239" s="8" t="s">
        <v>7605</v>
      </c>
      <c r="BE239" s="4" t="s">
        <v>7606</v>
      </c>
      <c r="BF239" s="8" t="s">
        <v>7607</v>
      </c>
      <c r="BG239" s="8" t="s">
        <v>7631</v>
      </c>
      <c r="BH239" s="4" t="s">
        <v>7632</v>
      </c>
      <c r="BI239" s="8" t="n">
        <v>12</v>
      </c>
      <c r="BJ239" s="8" t="s">
        <v>7602</v>
      </c>
      <c r="BK239" s="4" t="s">
        <v>7653</v>
      </c>
      <c r="BL239" s="8" t="s">
        <v>7602</v>
      </c>
      <c r="BM239" s="4" t="s">
        <v>7620</v>
      </c>
      <c r="BN239" s="8"/>
      <c r="BO239" s="8"/>
      <c r="BP239" s="8" t="s">
        <v>7610</v>
      </c>
      <c r="BQ239" s="8" t="str">
        <f aca="false">IF(A239="","",AT239)</f>
        <v>3歳以上</v>
      </c>
      <c r="BR239" s="8" t="str">
        <f aca="false">IF(A239="","",IF(BA239&lt;=1200,"～1200",IF(BA239&lt;=1500,"1300～1500",IF(BA239=1600,"1600",IF(BA239&lt;=1800,"1700～1800",IF(BA239&lt;=2000,"1900～2000","2100以上"))))))</f>
        <v>～1200</v>
      </c>
      <c r="BS239" s="8" t="str">
        <f aca="false">IF(A239="","",IF(AX239="G1","G1",IF(AX239="G2","G2",IF(AX239="G3","G3",IF(AX239="L","L","その他")))))</f>
        <v>その他</v>
      </c>
      <c r="BT239" s="8" t="str">
        <f aca="false">IF(A239="","",IF(BI239="","未結合",IF(D239=BI239,"一致","不一致")))</f>
        <v>一致</v>
      </c>
      <c r="BU239" s="8" t="str">
        <f aca="false">IF(A239="","",IF(BE239="牝馬限定","牝馬限定","その他"))</f>
        <v>その他</v>
      </c>
    </row>
    <row r="240" customFormat="false" ht="15.75" hidden="false" customHeight="false" outlineLevel="0" collapsed="false">
      <c r="A240" s="3" t="n">
        <v>46207</v>
      </c>
      <c r="B240" s="4" t="s">
        <v>1091</v>
      </c>
      <c r="C240" s="8" t="n">
        <v>11</v>
      </c>
      <c r="D240" s="8" t="n">
        <v>14</v>
      </c>
      <c r="E240" s="8" t="n">
        <v>3</v>
      </c>
      <c r="F240" s="4" t="s">
        <v>2907</v>
      </c>
      <c r="G240" s="8" t="n">
        <v>86</v>
      </c>
      <c r="H240" s="8" t="n">
        <v>4</v>
      </c>
      <c r="I240" s="4" t="s">
        <v>2908</v>
      </c>
      <c r="J240" s="8" t="n">
        <v>34</v>
      </c>
      <c r="K240" s="8" t="n">
        <v>11</v>
      </c>
      <c r="L240" s="4" t="s">
        <v>2914</v>
      </c>
      <c r="M240" s="8" t="n">
        <v>34</v>
      </c>
      <c r="N240" s="8" t="n">
        <f aca="false">IF(A240="","",G240-J240)</f>
        <v>52</v>
      </c>
      <c r="O240" s="8" t="n">
        <f aca="false">IF(A240="","",J240-M240)</f>
        <v>0</v>
      </c>
      <c r="P240" s="8" t="n">
        <f aca="false">IF(A240="","",G240+J240)</f>
        <v>120</v>
      </c>
      <c r="Q240" s="8" t="str">
        <f aca="false">IF(A240="","",IF(AND(Y240&lt;&gt;"参考",G240&gt;=ルール設定!$B$2),"○",""))</f>
        <v>○</v>
      </c>
      <c r="R240" s="8" t="str">
        <f aca="false">IF(A240="","",IF(AND(Y240&lt;&gt;"参考",G240&gt;=ルール設定!$B$3,N240&gt;=ルール設定!$B$4),"○",""))</f>
        <v>○</v>
      </c>
      <c r="S240" s="8" t="str">
        <f aca="false">IF(A240="","",IF(AND(Y240&lt;&gt;"参考",G240&gt;=ルール設定!$B$5,J240&gt;=ルール設定!$B$6,O240&gt;=ルール設定!$B$7),"○",""))</f>
        <v/>
      </c>
      <c r="T240" s="8" t="n">
        <v>1</v>
      </c>
      <c r="U240" s="8" t="n">
        <v>2</v>
      </c>
      <c r="V240" s="8" t="str">
        <f aca="false">IF(A240="","",IF(AND(ISNUMBER(T240),ISNUMBER(U240)),IF(AND(T240&lt;=3,U240&lt;=3),"○","×"),""))</f>
        <v>○</v>
      </c>
      <c r="W240" s="8" t="n">
        <v>120</v>
      </c>
      <c r="X240" s="8" t="n">
        <v>170</v>
      </c>
      <c r="Y240" s="4" t="s">
        <v>7597</v>
      </c>
      <c r="Z240" s="4" t="s">
        <v>7726</v>
      </c>
      <c r="AA240" s="8" t="str">
        <v>○</v>
      </c>
      <c r="AB240" s="8" t="str">
        <v>○</v>
      </c>
      <c r="AC240" s="8" t="str">
        <v/>
      </c>
      <c r="AD240" s="8" t="str">
        <v>○</v>
      </c>
      <c r="AE240" s="8" t="str">
        <v/>
      </c>
      <c r="AF240" s="8" t="str">
        <v/>
      </c>
      <c r="AG240" s="8" t="str">
        <v>○</v>
      </c>
      <c r="AH240" s="8" t="str">
        <v/>
      </c>
      <c r="AI240" s="8" t="n">
        <v>52</v>
      </c>
      <c r="AJ240" s="8" t="str">
        <v>85以上</v>
      </c>
      <c r="AK240" s="8" t="str">
        <v>30以上</v>
      </c>
      <c r="AL240" s="8" t="str">
        <v>40以上</v>
      </c>
      <c r="AM240" s="8" t="str">
        <v>120～139</v>
      </c>
      <c r="AN240" s="8" t="str">
        <v>12～14</v>
      </c>
      <c r="AO240" s="8" t="n">
        <f aca="false">IF(A240="","",IF(COUNTIFS(全馬データ!$A$2:$A$50000,A240,全馬データ!$B$2:$B$50000,B240,全馬データ!$C$2:$C$50000,C240,全馬データ!$D$2:$D$50000,E240,全馬データ!$K$2:$K$50000,"&lt;&gt;")=0,"",SUMIFS(全馬データ!$K$2:$K$50000,全馬データ!$A$2:$A$50000,A240,全馬データ!$B$2:$B$50000,B240,全馬データ!$C$2:$C$50000,C240,全馬データ!$D$2:$D$50000,E240)))</f>
        <v>1.1</v>
      </c>
      <c r="AP240" s="8" t="str">
        <f aca="false">IF(A240="","",IF(AO240="","欠損",IF(AO240&lt;=1.1,"1.0～1.1",IF(AO240&lt;1.3,"1.2",IF(AO240&lt;1.5,"1.3～1.4",IF(AO240&lt;2,"1.5～1.9","2.0以上"))))))</f>
        <v>1.0～1.1</v>
      </c>
      <c r="AQ240" s="8" t="str">
        <f aca="false">IF(A240="","",IF(ISNUMBER(SEARCH("2歳",Z240)),"2歳戦",IF(ISNUMBER(SEARCH("3歳未勝利",Z240)),"3歳未勝利",IF(ISNUMBER(SEARCH("未勝利",Z240)),"その他未勝利",IF(ISNUMBER(SEARCH("G1",Z240)),"G1",IF(ISNUMBER(SEARCH("G2",Z240)),"G2",IF(ISNUMBER(SEARCH("G3",Z240)),"G3",IF(ISNUMBER(SEARCH("古馬条件",Z240)),"古馬条件戦",IF(ISNUMBER(SEARCH("重賞",Z240)),"重賞","分類不能")))))))))</f>
        <v>分類不能</v>
      </c>
      <c r="AR240" s="4" t="s">
        <v>7732</v>
      </c>
      <c r="AS240" s="8" t="s">
        <v>7626</v>
      </c>
      <c r="AT240" s="8" t="s">
        <v>7627</v>
      </c>
      <c r="AU240" s="8" t="s">
        <v>7639</v>
      </c>
      <c r="AV240" s="8" t="s">
        <v>7640</v>
      </c>
      <c r="AW240" s="8" t="s">
        <v>7636</v>
      </c>
      <c r="AX240" s="4" t="s">
        <v>7637</v>
      </c>
      <c r="AY240" s="8" t="s">
        <v>7602</v>
      </c>
      <c r="AZ240" s="4" t="s">
        <v>7603</v>
      </c>
      <c r="BA240" s="8" t="n">
        <v>1800</v>
      </c>
      <c r="BB240" s="8" t="s">
        <v>7659</v>
      </c>
      <c r="BC240" s="4" t="s">
        <v>7619</v>
      </c>
      <c r="BD240" s="8" t="s">
        <v>7630</v>
      </c>
      <c r="BE240" s="4" t="s">
        <v>7606</v>
      </c>
      <c r="BF240" s="8" t="s">
        <v>7607</v>
      </c>
      <c r="BG240" s="8" t="s">
        <v>7631</v>
      </c>
      <c r="BH240" s="4" t="s">
        <v>7632</v>
      </c>
      <c r="BI240" s="8" t="n">
        <v>14</v>
      </c>
      <c r="BJ240" s="8" t="s">
        <v>7602</v>
      </c>
      <c r="BK240" s="4" t="s">
        <v>7653</v>
      </c>
      <c r="BL240" s="8" t="s">
        <v>7602</v>
      </c>
      <c r="BM240" s="4" t="s">
        <v>7620</v>
      </c>
      <c r="BN240" s="8" t="s">
        <v>7602</v>
      </c>
      <c r="BO240" s="8" t="s">
        <v>7613</v>
      </c>
      <c r="BP240" s="8" t="s">
        <v>7610</v>
      </c>
      <c r="BQ240" s="8" t="str">
        <f aca="false">IF(A240="","",AT240)</f>
        <v>3歳以上</v>
      </c>
      <c r="BR240" s="8" t="str">
        <f aca="false">IF(A240="","",IF(BA240&lt;=1200,"～1200",IF(BA240&lt;=1500,"1300～1500",IF(BA240=1600,"1600",IF(BA240&lt;=1800,"1700～1800",IF(BA240&lt;=2000,"1900～2000","2100以上"))))))</f>
        <v>1700～1800</v>
      </c>
      <c r="BS240" s="8" t="str">
        <f aca="false">IF(A240="","",IF(AX240="G1","G1",IF(AX240="G2","G2",IF(AX240="G3","G3",IF(AX240="L","L","その他")))))</f>
        <v>その他</v>
      </c>
      <c r="BT240" s="8" t="str">
        <f aca="false">IF(A240="","",IF(BI240="","未結合",IF(D240=BI240,"一致","不一致")))</f>
        <v>一致</v>
      </c>
      <c r="BU240" s="8" t="str">
        <f aca="false">IF(A240="","",IF(BE240="牝馬限定","牝馬限定","その他"))</f>
        <v>その他</v>
      </c>
    </row>
    <row r="241" customFormat="false" ht="15.75" hidden="false" customHeight="false" outlineLevel="0" collapsed="false">
      <c r="A241" s="3" t="n">
        <v>46207</v>
      </c>
      <c r="B241" s="4" t="s">
        <v>1091</v>
      </c>
      <c r="C241" s="8" t="n">
        <v>12</v>
      </c>
      <c r="D241" s="8" t="n">
        <v>12</v>
      </c>
      <c r="E241" s="8" t="n">
        <v>1</v>
      </c>
      <c r="F241" s="4" t="s">
        <v>2164</v>
      </c>
      <c r="G241" s="8" t="n">
        <v>58</v>
      </c>
      <c r="H241" s="8" t="n">
        <v>3</v>
      </c>
      <c r="I241" s="4" t="s">
        <v>2919</v>
      </c>
      <c r="J241" s="8" t="n">
        <v>39</v>
      </c>
      <c r="K241" s="8" t="n">
        <v>6</v>
      </c>
      <c r="L241" s="4" t="s">
        <v>2133</v>
      </c>
      <c r="M241" s="8" t="n">
        <v>37</v>
      </c>
      <c r="N241" s="8" t="n">
        <f aca="false">IF(A241="","",G241-J241)</f>
        <v>19</v>
      </c>
      <c r="O241" s="8" t="n">
        <f aca="false">IF(A241="","",J241-M241)</f>
        <v>2</v>
      </c>
      <c r="P241" s="8" t="n">
        <f aca="false">IF(A241="","",G241+J241)</f>
        <v>97</v>
      </c>
      <c r="Q241" s="8" t="str">
        <f aca="false">IF(A241="","",IF(AND(Y241&lt;&gt;"参考",G241&gt;=ルール設定!$B$2),"○",""))</f>
        <v/>
      </c>
      <c r="R241" s="8" t="str">
        <f aca="false">IF(A241="","",IF(AND(Y241&lt;&gt;"参考",G241&gt;=ルール設定!$B$3,N241&gt;=ルール設定!$B$4),"○",""))</f>
        <v/>
      </c>
      <c r="S241" s="8" t="str">
        <f aca="false">IF(A241="","",IF(AND(Y241&lt;&gt;"参考",G241&gt;=ルール設定!$B$5,J241&gt;=ルール設定!$B$6,O241&gt;=ルール設定!$B$7),"○",""))</f>
        <v/>
      </c>
      <c r="T241" s="8" t="n">
        <v>2</v>
      </c>
      <c r="U241" s="8" t="n">
        <v>4</v>
      </c>
      <c r="V241" s="8" t="str">
        <f aca="false">IF(A241="","",IF(AND(ISNUMBER(T241),ISNUMBER(U241)),IF(AND(T241&lt;=3,U241&lt;=3),"○","×"),""))</f>
        <v>×</v>
      </c>
      <c r="W241" s="8" t="n">
        <v>140</v>
      </c>
      <c r="X241" s="8"/>
      <c r="Y241" s="4" t="s">
        <v>7597</v>
      </c>
      <c r="Z241" s="4" t="s">
        <v>7726</v>
      </c>
      <c r="AA241" s="8" t="str">
        <v/>
      </c>
      <c r="AB241" s="8" t="str">
        <v/>
      </c>
      <c r="AC241" s="8" t="str">
        <v/>
      </c>
      <c r="AD241" s="8" t="str">
        <v/>
      </c>
      <c r="AE241" s="8" t="str">
        <v/>
      </c>
      <c r="AF241" s="8" t="str">
        <v/>
      </c>
      <c r="AG241" s="8" t="str">
        <v/>
      </c>
      <c r="AH241" s="8" t="str">
        <v/>
      </c>
      <c r="AI241" s="8" t="n">
        <v>21</v>
      </c>
      <c r="AJ241" s="8" t="str">
        <v>～59</v>
      </c>
      <c r="AK241" s="8" t="str">
        <v>10～19</v>
      </c>
      <c r="AL241" s="8" t="str">
        <v>20～29</v>
      </c>
      <c r="AM241" s="8" t="str">
        <v>～99</v>
      </c>
      <c r="AN241" s="8" t="str">
        <v>12～14</v>
      </c>
      <c r="AO241" s="8" t="str">
        <f aca="false">IF(A241="","",IF(COUNTIFS(全馬データ!$A$2:$A$50000,A241,全馬データ!$B$2:$B$50000,B241,全馬データ!$C$2:$C$50000,C241,全馬データ!$D$2:$D$50000,E241,全馬データ!$K$2:$K$50000,"&lt;&gt;")=0,"",SUMIFS(全馬データ!$K$2:$K$50000,全馬データ!$A$2:$A$50000,A241,全馬データ!$B$2:$B$50000,B241,全馬データ!$C$2:$C$50000,C241,全馬データ!$D$2:$D$50000,E241)))</f>
        <v/>
      </c>
      <c r="AP241" s="8" t="str">
        <f aca="false">IF(A241="","",IF(AO241="","欠損",IF(AO241&lt;=1.1,"1.0～1.1",IF(AO241&lt;1.3,"1.2",IF(AO241&lt;1.5,"1.3～1.4",IF(AO241&lt;2,"1.5～1.9","2.0以上"))))))</f>
        <v>欠損</v>
      </c>
      <c r="AQ241" s="8" t="str">
        <f aca="false">IF(A241="","",IF(ISNUMBER(SEARCH("2歳",Z241)),"2歳戦",IF(ISNUMBER(SEARCH("3歳未勝利",Z241)),"3歳未勝利",IF(ISNUMBER(SEARCH("未勝利",Z241)),"その他未勝利",IF(ISNUMBER(SEARCH("G1",Z241)),"G1",IF(ISNUMBER(SEARCH("G2",Z241)),"G2",IF(ISNUMBER(SEARCH("G3",Z241)),"G3",IF(ISNUMBER(SEARCH("古馬条件",Z241)),"古馬条件戦",IF(ISNUMBER(SEARCH("重賞",Z241)),"重賞","分類不能")))))))))</f>
        <v>分類不能</v>
      </c>
      <c r="AR241" s="8"/>
      <c r="AS241" s="8" t="s">
        <v>7626</v>
      </c>
      <c r="AT241" s="8" t="s">
        <v>7627</v>
      </c>
      <c r="AU241" s="8" t="s">
        <v>7628</v>
      </c>
      <c r="AV241" s="8" t="s">
        <v>7629</v>
      </c>
      <c r="AW241" s="8"/>
      <c r="AX241" s="8"/>
      <c r="AY241" s="8" t="s">
        <v>7602</v>
      </c>
      <c r="AZ241" s="4" t="s">
        <v>7603</v>
      </c>
      <c r="BA241" s="8" t="n">
        <v>1200</v>
      </c>
      <c r="BB241" s="8" t="s">
        <v>7659</v>
      </c>
      <c r="BC241" s="4" t="s">
        <v>7619</v>
      </c>
      <c r="BD241" s="8" t="s">
        <v>7621</v>
      </c>
      <c r="BE241" s="4" t="s">
        <v>7622</v>
      </c>
      <c r="BF241" s="8" t="s">
        <v>7602</v>
      </c>
      <c r="BG241" s="8" t="s">
        <v>7631</v>
      </c>
      <c r="BH241" s="4" t="s">
        <v>7632</v>
      </c>
      <c r="BI241" s="8" t="n">
        <v>12</v>
      </c>
      <c r="BJ241" s="8" t="s">
        <v>7602</v>
      </c>
      <c r="BK241" s="4" t="s">
        <v>7653</v>
      </c>
      <c r="BL241" s="8" t="s">
        <v>7602</v>
      </c>
      <c r="BM241" s="4" t="s">
        <v>7620</v>
      </c>
      <c r="BN241" s="8" t="s">
        <v>7602</v>
      </c>
      <c r="BO241" s="8" t="s">
        <v>7613</v>
      </c>
      <c r="BP241" s="8" t="s">
        <v>7610</v>
      </c>
      <c r="BQ241" s="8" t="str">
        <f aca="false">IF(A241="","",AT241)</f>
        <v>3歳以上</v>
      </c>
      <c r="BR241" s="8" t="str">
        <f aca="false">IF(A241="","",IF(BA241&lt;=1200,"～1200",IF(BA241&lt;=1500,"1300～1500",IF(BA241=1600,"1600",IF(BA241&lt;=1800,"1700～1800",IF(BA241&lt;=2000,"1900～2000","2100以上"))))))</f>
        <v>～1200</v>
      </c>
      <c r="BS241" s="8" t="str">
        <f aca="false">IF(A241="","",IF(AX241="G1","G1",IF(AX241="G2","G2",IF(AX241="G3","G3",IF(AX241="L","L","その他")))))</f>
        <v>その他</v>
      </c>
      <c r="BT241" s="8" t="str">
        <f aca="false">IF(A241="","",IF(BI241="","未結合",IF(D241=BI241,"一致","不一致")))</f>
        <v>一致</v>
      </c>
      <c r="BU241" s="8" t="str">
        <f aca="false">IF(A241="","",IF(BE241="牝馬限定","牝馬限定","その他"))</f>
        <v>牝馬限定</v>
      </c>
    </row>
    <row r="242" customFormat="false" ht="15.75" hidden="false" customHeight="false" outlineLevel="0" collapsed="false">
      <c r="A242" s="3" t="n">
        <v>46207</v>
      </c>
      <c r="B242" s="4" t="s">
        <v>1237</v>
      </c>
      <c r="C242" s="8" t="n">
        <v>1</v>
      </c>
      <c r="D242" s="8" t="n">
        <v>9</v>
      </c>
      <c r="E242" s="8" t="n">
        <v>2</v>
      </c>
      <c r="F242" s="4" t="s">
        <v>1846</v>
      </c>
      <c r="G242" s="8" t="n">
        <v>67</v>
      </c>
      <c r="H242" s="8" t="n">
        <v>3</v>
      </c>
      <c r="I242" s="4" t="s">
        <v>347</v>
      </c>
      <c r="J242" s="8" t="n">
        <v>58</v>
      </c>
      <c r="K242" s="8" t="n">
        <v>7</v>
      </c>
      <c r="L242" s="4" t="s">
        <v>1849</v>
      </c>
      <c r="M242" s="8" t="n">
        <v>41</v>
      </c>
      <c r="N242" s="8" t="n">
        <f aca="false">IF(A242="","",G242-J242)</f>
        <v>9</v>
      </c>
      <c r="O242" s="8" t="n">
        <f aca="false">IF(A242="","",J242-M242)</f>
        <v>17</v>
      </c>
      <c r="P242" s="8" t="n">
        <f aca="false">IF(A242="","",G242+J242)</f>
        <v>125</v>
      </c>
      <c r="Q242" s="8" t="str">
        <f aca="false">IF(A242="","",IF(AND(Y242&lt;&gt;"参考",G242&gt;=ルール設定!$B$2),"○",""))</f>
        <v/>
      </c>
      <c r="R242" s="8" t="str">
        <f aca="false">IF(A242="","",IF(AND(Y242&lt;&gt;"参考",G242&gt;=ルール設定!$B$3,N242&gt;=ルール設定!$B$4),"○",""))</f>
        <v/>
      </c>
      <c r="S242" s="8" t="str">
        <f aca="false">IF(A242="","",IF(AND(Y242&lt;&gt;"参考",G242&gt;=ルール設定!$B$5,J242&gt;=ルール設定!$B$6,O242&gt;=ルール設定!$B$7),"○",""))</f>
        <v/>
      </c>
      <c r="T242" s="8" t="n">
        <v>2</v>
      </c>
      <c r="U242" s="8" t="n">
        <v>4</v>
      </c>
      <c r="V242" s="8" t="str">
        <f aca="false">IF(A242="","",IF(AND(ISNUMBER(T242),ISNUMBER(U242)),IF(AND(T242&lt;=3,U242&lt;=3),"○","×"),""))</f>
        <v>×</v>
      </c>
      <c r="W242" s="8" t="n">
        <v>110</v>
      </c>
      <c r="X242" s="8"/>
      <c r="Y242" s="4" t="s">
        <v>7597</v>
      </c>
      <c r="Z242" s="4" t="s">
        <v>7726</v>
      </c>
      <c r="AA242" s="8" t="str">
        <v/>
      </c>
      <c r="AB242" s="8" t="str">
        <v/>
      </c>
      <c r="AC242" s="8" t="str">
        <v/>
      </c>
      <c r="AD242" s="8" t="str">
        <v/>
      </c>
      <c r="AE242" s="8" t="str">
        <v/>
      </c>
      <c r="AF242" s="8" t="str">
        <v/>
      </c>
      <c r="AG242" s="8" t="str">
        <v/>
      </c>
      <c r="AH242" s="8" t="str">
        <v/>
      </c>
      <c r="AI242" s="8" t="n">
        <v>26</v>
      </c>
      <c r="AJ242" s="8" t="str">
        <v>60～69</v>
      </c>
      <c r="AK242" s="8" t="str">
        <v>5～9</v>
      </c>
      <c r="AL242" s="8" t="str">
        <v>20～29</v>
      </c>
      <c r="AM242" s="8" t="str">
        <v>120～139</v>
      </c>
      <c r="AN242" s="8" t="str">
        <v>8～11</v>
      </c>
      <c r="AO242" s="8" t="str">
        <f aca="false">IF(A242="","",IF(COUNTIFS(全馬データ!$A$2:$A$50000,A242,全馬データ!$B$2:$B$50000,B242,全馬データ!$C$2:$C$50000,C242,全馬データ!$D$2:$D$50000,E242,全馬データ!$K$2:$K$50000,"&lt;&gt;")=0,"",SUMIFS(全馬データ!$K$2:$K$50000,全馬データ!$A$2:$A$50000,A242,全馬データ!$B$2:$B$50000,B242,全馬データ!$C$2:$C$50000,C242,全馬データ!$D$2:$D$50000,E242)))</f>
        <v/>
      </c>
      <c r="AP242" s="8" t="str">
        <f aca="false">IF(A242="","",IF(AO242="","欠損",IF(AO242&lt;=1.1,"1.0～1.1",IF(AO242&lt;1.3,"1.2",IF(AO242&lt;1.5,"1.3～1.4",IF(AO242&lt;2,"1.5～1.9","2.0以上"))))))</f>
        <v>欠損</v>
      </c>
      <c r="AQ242" s="8" t="str">
        <f aca="false">IF(A242="","",IF(ISNUMBER(SEARCH("2歳",Z242)),"2歳戦",IF(ISNUMBER(SEARCH("3歳未勝利",Z242)),"3歳未勝利",IF(ISNUMBER(SEARCH("未勝利",Z242)),"その他未勝利",IF(ISNUMBER(SEARCH("G1",Z242)),"G1",IF(ISNUMBER(SEARCH("G2",Z242)),"G2",IF(ISNUMBER(SEARCH("G3",Z242)),"G3",IF(ISNUMBER(SEARCH("古馬条件",Z242)),"古馬条件戦",IF(ISNUMBER(SEARCH("重賞",Z242)),"重賞","分類不能")))))))))</f>
        <v>分類不能</v>
      </c>
      <c r="AR242" s="8"/>
      <c r="AS242" s="8" t="s">
        <v>7598</v>
      </c>
      <c r="AT242" s="8" t="s">
        <v>7599</v>
      </c>
      <c r="AU242" s="8" t="s">
        <v>7600</v>
      </c>
      <c r="AV242" s="4" t="s">
        <v>7601</v>
      </c>
      <c r="AW242" s="8"/>
      <c r="AX242" s="8"/>
      <c r="AY242" s="8" t="s">
        <v>7602</v>
      </c>
      <c r="AZ242" s="4" t="s">
        <v>7603</v>
      </c>
      <c r="BA242" s="8" t="n">
        <v>1200</v>
      </c>
      <c r="BB242" s="8" t="s">
        <v>7598</v>
      </c>
      <c r="BC242" s="4" t="s">
        <v>7604</v>
      </c>
      <c r="BD242" s="8" t="s">
        <v>7621</v>
      </c>
      <c r="BE242" s="4" t="s">
        <v>7622</v>
      </c>
      <c r="BF242" s="8" t="s">
        <v>7602</v>
      </c>
      <c r="BG242" s="8" t="s">
        <v>7608</v>
      </c>
      <c r="BH242" s="4" t="s">
        <v>7609</v>
      </c>
      <c r="BI242" s="8" t="n">
        <v>9</v>
      </c>
      <c r="BJ242" s="8" t="s">
        <v>7602</v>
      </c>
      <c r="BK242" s="4" t="s">
        <v>7653</v>
      </c>
      <c r="BL242" s="8" t="s">
        <v>7602</v>
      </c>
      <c r="BM242" s="4" t="s">
        <v>7620</v>
      </c>
      <c r="BN242" s="8" t="s">
        <v>7602</v>
      </c>
      <c r="BO242" s="8" t="s">
        <v>7613</v>
      </c>
      <c r="BP242" s="8" t="s">
        <v>7608</v>
      </c>
      <c r="BQ242" s="8" t="str">
        <f aca="false">IF(A242="","",AT242)</f>
        <v>2歳</v>
      </c>
      <c r="BR242" s="8" t="str">
        <f aca="false">IF(A242="","",IF(BA242&lt;=1200,"～1200",IF(BA242&lt;=1500,"1300～1500",IF(BA242=1600,"1600",IF(BA242&lt;=1800,"1700～1800",IF(BA242&lt;=2000,"1900～2000","2100以上"))))))</f>
        <v>～1200</v>
      </c>
      <c r="BS242" s="8" t="str">
        <f aca="false">IF(A242="","",IF(AX242="G1","G1",IF(AX242="G2","G2",IF(AX242="G3","G3",IF(AX242="L","L","その他")))))</f>
        <v>その他</v>
      </c>
      <c r="BT242" s="8" t="str">
        <f aca="false">IF(A242="","",IF(BI242="","未結合",IF(D242=BI242,"一致","不一致")))</f>
        <v>一致</v>
      </c>
      <c r="BU242" s="8" t="str">
        <f aca="false">IF(A242="","",IF(BE242="牝馬限定","牝馬限定","その他"))</f>
        <v>牝馬限定</v>
      </c>
    </row>
    <row r="243" customFormat="false" ht="15.75" hidden="false" customHeight="false" outlineLevel="0" collapsed="false">
      <c r="A243" s="3" t="n">
        <v>46207</v>
      </c>
      <c r="B243" s="4" t="s">
        <v>1237</v>
      </c>
      <c r="C243" s="8" t="n">
        <v>2</v>
      </c>
      <c r="D243" s="8" t="n">
        <v>16</v>
      </c>
      <c r="E243" s="8" t="n">
        <v>3</v>
      </c>
      <c r="F243" s="4" t="s">
        <v>1300</v>
      </c>
      <c r="G243" s="8" t="n">
        <v>52</v>
      </c>
      <c r="H243" s="8" t="n">
        <v>1</v>
      </c>
      <c r="I243" s="4" t="s">
        <v>2926</v>
      </c>
      <c r="J243" s="8" t="n">
        <v>50</v>
      </c>
      <c r="K243" s="8" t="n">
        <v>12</v>
      </c>
      <c r="L243" s="4" t="s">
        <v>2930</v>
      </c>
      <c r="M243" s="8" t="n">
        <v>34</v>
      </c>
      <c r="N243" s="8" t="n">
        <f aca="false">IF(A243="","",G243-J243)</f>
        <v>2</v>
      </c>
      <c r="O243" s="8" t="n">
        <f aca="false">IF(A243="","",J243-M243)</f>
        <v>16</v>
      </c>
      <c r="P243" s="8" t="n">
        <f aca="false">IF(A243="","",G243+J243)</f>
        <v>102</v>
      </c>
      <c r="Q243" s="8" t="str">
        <f aca="false">IF(A243="","",IF(AND(Y243&lt;&gt;"参考",G243&gt;=ルール設定!$B$2),"○",""))</f>
        <v/>
      </c>
      <c r="R243" s="8" t="str">
        <f aca="false">IF(A243="","",IF(AND(Y243&lt;&gt;"参考",G243&gt;=ルール設定!$B$3,N243&gt;=ルール設定!$B$4),"○",""))</f>
        <v/>
      </c>
      <c r="S243" s="8" t="str">
        <f aca="false">IF(A243="","",IF(AND(Y243&lt;&gt;"参考",G243&gt;=ルール設定!$B$5,J243&gt;=ルール設定!$B$6,O243&gt;=ルール設定!$B$7),"○",""))</f>
        <v/>
      </c>
      <c r="T243" s="8" t="n">
        <v>2</v>
      </c>
      <c r="U243" s="8" t="n">
        <v>4</v>
      </c>
      <c r="V243" s="8" t="str">
        <f aca="false">IF(A243="","",IF(AND(ISNUMBER(T243),ISNUMBER(U243)),IF(AND(T243&lt;=3,U243&lt;=3),"○","×"),""))</f>
        <v>×</v>
      </c>
      <c r="W243" s="8" t="n">
        <v>110</v>
      </c>
      <c r="X243" s="8"/>
      <c r="Y243" s="4" t="s">
        <v>7597</v>
      </c>
      <c r="Z243" s="4" t="s">
        <v>7726</v>
      </c>
      <c r="AA243" s="8" t="str">
        <v/>
      </c>
      <c r="AB243" s="8" t="str">
        <v/>
      </c>
      <c r="AC243" s="8" t="str">
        <v/>
      </c>
      <c r="AD243" s="8" t="str">
        <v/>
      </c>
      <c r="AE243" s="8" t="str">
        <v/>
      </c>
      <c r="AF243" s="8" t="str">
        <v/>
      </c>
      <c r="AG243" s="8" t="str">
        <v/>
      </c>
      <c r="AH243" s="8" t="str">
        <v/>
      </c>
      <c r="AI243" s="8" t="n">
        <v>18</v>
      </c>
      <c r="AJ243" s="8" t="str">
        <v>～59</v>
      </c>
      <c r="AK243" s="8" t="str">
        <v>0～4</v>
      </c>
      <c r="AL243" s="8" t="str">
        <v>10～19</v>
      </c>
      <c r="AM243" s="8" t="str">
        <v>100～119</v>
      </c>
      <c r="AN243" s="8" t="str">
        <v>15以上</v>
      </c>
      <c r="AO243" s="8" t="str">
        <f aca="false">IF(A243="","",IF(COUNTIFS(全馬データ!$A$2:$A$50000,A243,全馬データ!$B$2:$B$50000,B243,全馬データ!$C$2:$C$50000,C243,全馬データ!$D$2:$D$50000,E243,全馬データ!$K$2:$K$50000,"&lt;&gt;")=0,"",SUMIFS(全馬データ!$K$2:$K$50000,全馬データ!$A$2:$A$50000,A243,全馬データ!$B$2:$B$50000,B243,全馬データ!$C$2:$C$50000,C243,全馬データ!$D$2:$D$50000,E243)))</f>
        <v/>
      </c>
      <c r="AP243" s="8" t="str">
        <f aca="false">IF(A243="","",IF(AO243="","欠損",IF(AO243&lt;=1.1,"1.0～1.1",IF(AO243&lt;1.3,"1.2",IF(AO243&lt;1.5,"1.3～1.4",IF(AO243&lt;2,"1.5～1.9","2.0以上"))))))</f>
        <v>欠損</v>
      </c>
      <c r="AQ243" s="8" t="str">
        <f aca="false">IF(A243="","",IF(ISNUMBER(SEARCH("2歳",Z243)),"2歳戦",IF(ISNUMBER(SEARCH("3歳未勝利",Z243)),"3歳未勝利",IF(ISNUMBER(SEARCH("未勝利",Z243)),"その他未勝利",IF(ISNUMBER(SEARCH("G1",Z243)),"G1",IF(ISNUMBER(SEARCH("G2",Z243)),"G2",IF(ISNUMBER(SEARCH("G3",Z243)),"G3",IF(ISNUMBER(SEARCH("古馬条件",Z243)),"古馬条件戦",IF(ISNUMBER(SEARCH("重賞",Z243)),"重賞","分類不能")))))))))</f>
        <v>分類不能</v>
      </c>
      <c r="AR243" s="8"/>
      <c r="AS243" s="8" t="s">
        <v>7623</v>
      </c>
      <c r="AT243" s="8" t="s">
        <v>7624</v>
      </c>
      <c r="AU243" s="8" t="s">
        <v>7600</v>
      </c>
      <c r="AV243" s="4" t="s">
        <v>7601</v>
      </c>
      <c r="AW243" s="8"/>
      <c r="AX243" s="8"/>
      <c r="AY243" s="8" t="s">
        <v>7602</v>
      </c>
      <c r="AZ243" s="4" t="s">
        <v>7603</v>
      </c>
      <c r="BA243" s="8" t="n">
        <v>1800</v>
      </c>
      <c r="BB243" s="8" t="s">
        <v>7598</v>
      </c>
      <c r="BC243" s="4" t="s">
        <v>7604</v>
      </c>
      <c r="BD243" s="8" t="s">
        <v>7605</v>
      </c>
      <c r="BE243" s="4" t="s">
        <v>7606</v>
      </c>
      <c r="BF243" s="8" t="s">
        <v>7607</v>
      </c>
      <c r="BG243" s="8" t="s">
        <v>7608</v>
      </c>
      <c r="BH243" s="4" t="s">
        <v>7609</v>
      </c>
      <c r="BI243" s="8" t="n">
        <v>16</v>
      </c>
      <c r="BJ243" s="8" t="s">
        <v>7602</v>
      </c>
      <c r="BK243" s="4" t="s">
        <v>7653</v>
      </c>
      <c r="BL243" s="8" t="s">
        <v>7602</v>
      </c>
      <c r="BM243" s="4" t="s">
        <v>7620</v>
      </c>
      <c r="BN243" s="8" t="s">
        <v>7602</v>
      </c>
      <c r="BO243" s="8" t="s">
        <v>7613</v>
      </c>
      <c r="BP243" s="8" t="s">
        <v>7608</v>
      </c>
      <c r="BQ243" s="8" t="str">
        <f aca="false">IF(A243="","",AT243)</f>
        <v>3歳</v>
      </c>
      <c r="BR243" s="8" t="str">
        <f aca="false">IF(A243="","",IF(BA243&lt;=1200,"～1200",IF(BA243&lt;=1500,"1300～1500",IF(BA243=1600,"1600",IF(BA243&lt;=1800,"1700～1800",IF(BA243&lt;=2000,"1900～2000","2100以上"))))))</f>
        <v>1700～1800</v>
      </c>
      <c r="BS243" s="8" t="str">
        <f aca="false">IF(A243="","",IF(AX243="G1","G1",IF(AX243="G2","G2",IF(AX243="G3","G3",IF(AX243="L","L","その他")))))</f>
        <v>その他</v>
      </c>
      <c r="BT243" s="8" t="str">
        <f aca="false">IF(A243="","",IF(BI243="","未結合",IF(D243=BI243,"一致","不一致")))</f>
        <v>一致</v>
      </c>
      <c r="BU243" s="8" t="str">
        <f aca="false">IF(A243="","",IF(BE243="牝馬限定","牝馬限定","その他"))</f>
        <v>その他</v>
      </c>
    </row>
    <row r="244" customFormat="false" ht="15.75" hidden="false" customHeight="false" outlineLevel="0" collapsed="false">
      <c r="A244" s="3" t="n">
        <v>46207</v>
      </c>
      <c r="B244" s="4" t="s">
        <v>1237</v>
      </c>
      <c r="C244" s="8" t="n">
        <v>3</v>
      </c>
      <c r="D244" s="8" t="n">
        <v>12</v>
      </c>
      <c r="E244" s="8" t="n">
        <v>5</v>
      </c>
      <c r="F244" s="4" t="s">
        <v>2934</v>
      </c>
      <c r="G244" s="8" t="n">
        <v>86</v>
      </c>
      <c r="H244" s="8" t="n">
        <v>4</v>
      </c>
      <c r="I244" s="4" t="s">
        <v>1293</v>
      </c>
      <c r="J244" s="8" t="n">
        <v>58</v>
      </c>
      <c r="K244" s="8" t="n">
        <v>9</v>
      </c>
      <c r="L244" s="4" t="s">
        <v>2936</v>
      </c>
      <c r="M244" s="8" t="n">
        <v>44</v>
      </c>
      <c r="N244" s="8" t="n">
        <f aca="false">IF(A244="","",G244-J244)</f>
        <v>28</v>
      </c>
      <c r="O244" s="8" t="n">
        <f aca="false">IF(A244="","",J244-M244)</f>
        <v>14</v>
      </c>
      <c r="P244" s="8" t="n">
        <f aca="false">IF(A244="","",G244+J244)</f>
        <v>144</v>
      </c>
      <c r="Q244" s="8" t="str">
        <f aca="false">IF(A244="","",IF(AND(Y244&lt;&gt;"参考",G244&gt;=ルール設定!$B$2),"○",""))</f>
        <v>○</v>
      </c>
      <c r="R244" s="8" t="str">
        <f aca="false">IF(A244="","",IF(AND(Y244&lt;&gt;"参考",G244&gt;=ルール設定!$B$3,N244&gt;=ルール設定!$B$4),"○",""))</f>
        <v/>
      </c>
      <c r="S244" s="8" t="str">
        <f aca="false">IF(A244="","",IF(AND(Y244&lt;&gt;"参考",G244&gt;=ルール設定!$B$5,J244&gt;=ルール設定!$B$6,O244&gt;=ルール設定!$B$7),"○",""))</f>
        <v/>
      </c>
      <c r="T244" s="8" t="n">
        <v>4</v>
      </c>
      <c r="U244" s="8" t="n">
        <v>4</v>
      </c>
      <c r="V244" s="8" t="str">
        <f aca="false">IF(A244="","",IF(AND(ISNUMBER(T244),ISNUMBER(U244)),IF(AND(T244&lt;=3,U244&lt;=3),"○","×"),""))</f>
        <v>×</v>
      </c>
      <c r="W244" s="8"/>
      <c r="X244" s="8"/>
      <c r="Y244" s="4" t="s">
        <v>7597</v>
      </c>
      <c r="Z244" s="4" t="s">
        <v>7726</v>
      </c>
      <c r="AA244" s="8" t="str">
        <v>○</v>
      </c>
      <c r="AB244" s="8" t="str">
        <v>○</v>
      </c>
      <c r="AC244" s="8" t="str">
        <v>○</v>
      </c>
      <c r="AD244" s="8" t="str">
        <v/>
      </c>
      <c r="AE244" s="8" t="str">
        <v/>
      </c>
      <c r="AF244" s="8" t="str">
        <v>○</v>
      </c>
      <c r="AG244" s="8" t="str">
        <v>○</v>
      </c>
      <c r="AH244" s="8" t="str">
        <v/>
      </c>
      <c r="AI244" s="8" t="n">
        <v>42</v>
      </c>
      <c r="AJ244" s="8" t="str">
        <v>85以上</v>
      </c>
      <c r="AK244" s="8" t="str">
        <v>20～29</v>
      </c>
      <c r="AL244" s="8" t="str">
        <v>40以上</v>
      </c>
      <c r="AM244" s="8" t="str">
        <v>140～159</v>
      </c>
      <c r="AN244" s="8" t="str">
        <v>12～14</v>
      </c>
      <c r="AO244" s="8" t="n">
        <f aca="false">IF(A244="","",IF(COUNTIFS(全馬データ!$A$2:$A$50000,A244,全馬データ!$B$2:$B$50000,B244,全馬データ!$C$2:$C$50000,C244,全馬データ!$D$2:$D$50000,E244,全馬データ!$K$2:$K$50000,"&lt;&gt;")=0,"",SUMIFS(全馬データ!$K$2:$K$50000,全馬データ!$A$2:$A$50000,A244,全馬データ!$B$2:$B$50000,B244,全馬データ!$C$2:$C$50000,C244,全馬データ!$D$2:$D$50000,E244)))</f>
        <v>1.1</v>
      </c>
      <c r="AP244" s="8" t="str">
        <f aca="false">IF(A244="","",IF(AO244="","欠損",IF(AO244&lt;=1.1,"1.0～1.1",IF(AO244&lt;1.3,"1.2",IF(AO244&lt;1.5,"1.3～1.4",IF(AO244&lt;2,"1.5～1.9","2.0以上"))))))</f>
        <v>1.0～1.1</v>
      </c>
      <c r="AQ244" s="8" t="str">
        <f aca="false">IF(A244="","",IF(ISNUMBER(SEARCH("2歳",Z244)),"2歳戦",IF(ISNUMBER(SEARCH("3歳未勝利",Z244)),"3歳未勝利",IF(ISNUMBER(SEARCH("未勝利",Z244)),"その他未勝利",IF(ISNUMBER(SEARCH("G1",Z244)),"G1",IF(ISNUMBER(SEARCH("G2",Z244)),"G2",IF(ISNUMBER(SEARCH("G3",Z244)),"G3",IF(ISNUMBER(SEARCH("古馬条件",Z244)),"古馬条件戦",IF(ISNUMBER(SEARCH("重賞",Z244)),"重賞","分類不能")))))))))</f>
        <v>分類不能</v>
      </c>
      <c r="AR244" s="8"/>
      <c r="AS244" s="8" t="s">
        <v>7623</v>
      </c>
      <c r="AT244" s="8" t="s">
        <v>7624</v>
      </c>
      <c r="AU244" s="8" t="s">
        <v>7600</v>
      </c>
      <c r="AV244" s="4" t="s">
        <v>7601</v>
      </c>
      <c r="AW244" s="8"/>
      <c r="AX244" s="8"/>
      <c r="AY244" s="8" t="s">
        <v>7610</v>
      </c>
      <c r="AZ244" s="4" t="s">
        <v>7617</v>
      </c>
      <c r="BA244" s="8" t="n">
        <v>1700</v>
      </c>
      <c r="BB244" s="8" t="s">
        <v>7598</v>
      </c>
      <c r="BC244" s="4" t="s">
        <v>7604</v>
      </c>
      <c r="BD244" s="8" t="s">
        <v>7621</v>
      </c>
      <c r="BE244" s="4" t="s">
        <v>7622</v>
      </c>
      <c r="BF244" s="8" t="s">
        <v>7602</v>
      </c>
      <c r="BG244" s="8" t="s">
        <v>7608</v>
      </c>
      <c r="BH244" s="4" t="s">
        <v>7609</v>
      </c>
      <c r="BI244" s="8" t="n">
        <v>12</v>
      </c>
      <c r="BJ244" s="8" t="s">
        <v>7602</v>
      </c>
      <c r="BK244" s="4" t="s">
        <v>7653</v>
      </c>
      <c r="BL244" s="8" t="s">
        <v>7602</v>
      </c>
      <c r="BM244" s="4" t="s">
        <v>7620</v>
      </c>
      <c r="BN244" s="8"/>
      <c r="BO244" s="8"/>
      <c r="BP244" s="8" t="s">
        <v>7608</v>
      </c>
      <c r="BQ244" s="8" t="str">
        <f aca="false">IF(A244="","",AT244)</f>
        <v>3歳</v>
      </c>
      <c r="BR244" s="8" t="str">
        <f aca="false">IF(A244="","",IF(BA244&lt;=1200,"～1200",IF(BA244&lt;=1500,"1300～1500",IF(BA244=1600,"1600",IF(BA244&lt;=1800,"1700～1800",IF(BA244&lt;=2000,"1900～2000","2100以上"))))))</f>
        <v>1700～1800</v>
      </c>
      <c r="BS244" s="8" t="str">
        <f aca="false">IF(A244="","",IF(AX244="G1","G1",IF(AX244="G2","G2",IF(AX244="G3","G3",IF(AX244="L","L","その他")))))</f>
        <v>その他</v>
      </c>
      <c r="BT244" s="8" t="str">
        <f aca="false">IF(A244="","",IF(BI244="","未結合",IF(D244=BI244,"一致","不一致")))</f>
        <v>一致</v>
      </c>
      <c r="BU244" s="8" t="str">
        <f aca="false">IF(A244="","",IF(BE244="牝馬限定","牝馬限定","その他"))</f>
        <v>牝馬限定</v>
      </c>
    </row>
    <row r="245" customFormat="false" ht="15.75" hidden="false" customHeight="false" outlineLevel="0" collapsed="false">
      <c r="A245" s="3" t="n">
        <v>46207</v>
      </c>
      <c r="B245" s="4" t="s">
        <v>1237</v>
      </c>
      <c r="C245" s="8" t="n">
        <v>4</v>
      </c>
      <c r="D245" s="8" t="n">
        <v>16</v>
      </c>
      <c r="E245" s="8" t="n">
        <v>11</v>
      </c>
      <c r="F245" s="4" t="s">
        <v>2945</v>
      </c>
      <c r="G245" s="8" t="n">
        <v>52</v>
      </c>
      <c r="H245" s="8" t="n">
        <v>4</v>
      </c>
      <c r="I245" s="4" t="s">
        <v>2940</v>
      </c>
      <c r="J245" s="8" t="n">
        <v>50</v>
      </c>
      <c r="K245" s="8" t="n">
        <v>15</v>
      </c>
      <c r="L245" s="4" t="s">
        <v>1272</v>
      </c>
      <c r="M245" s="8" t="n">
        <v>44</v>
      </c>
      <c r="N245" s="8" t="n">
        <f aca="false">IF(A245="","",G245-J245)</f>
        <v>2</v>
      </c>
      <c r="O245" s="8" t="n">
        <f aca="false">IF(A245="","",J245-M245)</f>
        <v>6</v>
      </c>
      <c r="P245" s="8" t="n">
        <f aca="false">IF(A245="","",G245+J245)</f>
        <v>102</v>
      </c>
      <c r="Q245" s="8" t="str">
        <f aca="false">IF(A245="","",IF(AND(Y245&lt;&gt;"参考",G245&gt;=ルール設定!$B$2),"○",""))</f>
        <v/>
      </c>
      <c r="R245" s="8" t="str">
        <f aca="false">IF(A245="","",IF(AND(Y245&lt;&gt;"参考",G245&gt;=ルール設定!$B$3,N245&gt;=ルール設定!$B$4),"○",""))</f>
        <v/>
      </c>
      <c r="S245" s="8" t="str">
        <f aca="false">IF(A245="","",IF(AND(Y245&lt;&gt;"参考",G245&gt;=ルール設定!$B$5,J245&gt;=ルール設定!$B$6,O245&gt;=ルール設定!$B$7),"○",""))</f>
        <v/>
      </c>
      <c r="T245" s="8" t="n">
        <v>4</v>
      </c>
      <c r="U245" s="8" t="n">
        <v>4</v>
      </c>
      <c r="V245" s="8" t="str">
        <f aca="false">IF(A245="","",IF(AND(ISNUMBER(T245),ISNUMBER(U245)),IF(AND(T245&lt;=3,U245&lt;=3),"○","×"),""))</f>
        <v>×</v>
      </c>
      <c r="W245" s="8"/>
      <c r="X245" s="8"/>
      <c r="Y245" s="4" t="s">
        <v>7597</v>
      </c>
      <c r="Z245" s="4" t="s">
        <v>7726</v>
      </c>
      <c r="AA245" s="8" t="str">
        <v/>
      </c>
      <c r="AB245" s="8" t="str">
        <v/>
      </c>
      <c r="AC245" s="8" t="str">
        <v/>
      </c>
      <c r="AD245" s="8" t="str">
        <v/>
      </c>
      <c r="AE245" s="8" t="str">
        <v/>
      </c>
      <c r="AF245" s="8" t="str">
        <v/>
      </c>
      <c r="AG245" s="8" t="str">
        <v/>
      </c>
      <c r="AH245" s="8" t="str">
        <v/>
      </c>
      <c r="AI245" s="8" t="n">
        <v>8</v>
      </c>
      <c r="AJ245" s="8" t="str">
        <v>～59</v>
      </c>
      <c r="AK245" s="8" t="str">
        <v>0～4</v>
      </c>
      <c r="AL245" s="8" t="str">
        <v>0～9</v>
      </c>
      <c r="AM245" s="8" t="str">
        <v>100～119</v>
      </c>
      <c r="AN245" s="8" t="str">
        <v>15以上</v>
      </c>
      <c r="AO245" s="8" t="str">
        <f aca="false">IF(A245="","",IF(COUNTIFS(全馬データ!$A$2:$A$50000,A245,全馬データ!$B$2:$B$50000,B245,全馬データ!$C$2:$C$50000,C245,全馬データ!$D$2:$D$50000,E245,全馬データ!$K$2:$K$50000,"&lt;&gt;")=0,"",SUMIFS(全馬データ!$K$2:$K$50000,全馬データ!$A$2:$A$50000,A245,全馬データ!$B$2:$B$50000,B245,全馬データ!$C$2:$C$50000,C245,全馬データ!$D$2:$D$50000,E245)))</f>
        <v/>
      </c>
      <c r="AP245" s="8" t="str">
        <f aca="false">IF(A245="","",IF(AO245="","欠損",IF(AO245&lt;=1.1,"1.0～1.1",IF(AO245&lt;1.3,"1.2",IF(AO245&lt;1.5,"1.3～1.4",IF(AO245&lt;2,"1.5～1.9","2.0以上"))))))</f>
        <v>欠損</v>
      </c>
      <c r="AQ245" s="8" t="str">
        <f aca="false">IF(A245="","",IF(ISNUMBER(SEARCH("2歳",Z245)),"2歳戦",IF(ISNUMBER(SEARCH("3歳未勝利",Z245)),"3歳未勝利",IF(ISNUMBER(SEARCH("未勝利",Z245)),"その他未勝利",IF(ISNUMBER(SEARCH("G1",Z245)),"G1",IF(ISNUMBER(SEARCH("G2",Z245)),"G2",IF(ISNUMBER(SEARCH("G3",Z245)),"G3",IF(ISNUMBER(SEARCH("古馬条件",Z245)),"古馬条件戦",IF(ISNUMBER(SEARCH("重賞",Z245)),"重賞","分類不能")))))))))</f>
        <v>分類不能</v>
      </c>
      <c r="AR245" s="8"/>
      <c r="AS245" s="8" t="s">
        <v>7623</v>
      </c>
      <c r="AT245" s="8" t="s">
        <v>7624</v>
      </c>
      <c r="AU245" s="8" t="s">
        <v>7600</v>
      </c>
      <c r="AV245" s="4" t="s">
        <v>7601</v>
      </c>
      <c r="AW245" s="8"/>
      <c r="AX245" s="8"/>
      <c r="AY245" s="8" t="s">
        <v>7602</v>
      </c>
      <c r="AZ245" s="4" t="s">
        <v>7603</v>
      </c>
      <c r="BA245" s="8" t="n">
        <v>1200</v>
      </c>
      <c r="BB245" s="8" t="s">
        <v>7598</v>
      </c>
      <c r="BC245" s="4" t="s">
        <v>7604</v>
      </c>
      <c r="BD245" s="8" t="s">
        <v>7605</v>
      </c>
      <c r="BE245" s="4" t="s">
        <v>7606</v>
      </c>
      <c r="BF245" s="8" t="s">
        <v>7607</v>
      </c>
      <c r="BG245" s="8" t="s">
        <v>7608</v>
      </c>
      <c r="BH245" s="4" t="s">
        <v>7609</v>
      </c>
      <c r="BI245" s="8" t="n">
        <v>16</v>
      </c>
      <c r="BJ245" s="8" t="s">
        <v>7602</v>
      </c>
      <c r="BK245" s="4" t="s">
        <v>7653</v>
      </c>
      <c r="BL245" s="8" t="s">
        <v>7602</v>
      </c>
      <c r="BM245" s="4" t="s">
        <v>7620</v>
      </c>
      <c r="BN245" s="8" t="s">
        <v>7602</v>
      </c>
      <c r="BO245" s="8" t="s">
        <v>7613</v>
      </c>
      <c r="BP245" s="8" t="s">
        <v>7608</v>
      </c>
      <c r="BQ245" s="8" t="str">
        <f aca="false">IF(A245="","",AT245)</f>
        <v>3歳</v>
      </c>
      <c r="BR245" s="8" t="str">
        <f aca="false">IF(A245="","",IF(BA245&lt;=1200,"～1200",IF(BA245&lt;=1500,"1300～1500",IF(BA245=1600,"1600",IF(BA245&lt;=1800,"1700～1800",IF(BA245&lt;=2000,"1900～2000","2100以上"))))))</f>
        <v>～1200</v>
      </c>
      <c r="BS245" s="8" t="str">
        <f aca="false">IF(A245="","",IF(AX245="G1","G1",IF(AX245="G2","G2",IF(AX245="G3","G3",IF(AX245="L","L","その他")))))</f>
        <v>その他</v>
      </c>
      <c r="BT245" s="8" t="str">
        <f aca="false">IF(A245="","",IF(BI245="","未結合",IF(D245=BI245,"一致","不一致")))</f>
        <v>一致</v>
      </c>
      <c r="BU245" s="8" t="str">
        <f aca="false">IF(A245="","",IF(BE245="牝馬限定","牝馬限定","その他"))</f>
        <v>その他</v>
      </c>
    </row>
    <row r="246" customFormat="false" ht="15.75" hidden="false" customHeight="false" outlineLevel="0" collapsed="false">
      <c r="A246" s="3" t="n">
        <v>46207</v>
      </c>
      <c r="B246" s="4" t="s">
        <v>1237</v>
      </c>
      <c r="C246" s="8" t="n">
        <v>5</v>
      </c>
      <c r="D246" s="8" t="n">
        <v>5</v>
      </c>
      <c r="E246" s="8" t="n">
        <v>5</v>
      </c>
      <c r="F246" s="4" t="s">
        <v>2948</v>
      </c>
      <c r="G246" s="8" t="n">
        <v>44</v>
      </c>
      <c r="H246" s="8" t="n">
        <v>1</v>
      </c>
      <c r="I246" s="4" t="s">
        <v>2947</v>
      </c>
      <c r="J246" s="8" t="n">
        <v>37</v>
      </c>
      <c r="K246" s="8" t="n">
        <v>2</v>
      </c>
      <c r="L246" s="4" t="s">
        <v>791</v>
      </c>
      <c r="M246" s="8" t="n">
        <v>37</v>
      </c>
      <c r="N246" s="8" t="n">
        <f aca="false">IF(A246="","",G246-J246)</f>
        <v>7</v>
      </c>
      <c r="O246" s="8" t="n">
        <f aca="false">IF(A246="","",J246-M246)</f>
        <v>0</v>
      </c>
      <c r="P246" s="8" t="n">
        <f aca="false">IF(A246="","",G246+J246)</f>
        <v>81</v>
      </c>
      <c r="Q246" s="8" t="str">
        <f aca="false">IF(A246="","",IF(AND(Y246&lt;&gt;"参考",G246&gt;=ルール設定!$B$2),"○",""))</f>
        <v/>
      </c>
      <c r="R246" s="8" t="str">
        <f aca="false">IF(A246="","",IF(AND(Y246&lt;&gt;"参考",G246&gt;=ルール設定!$B$3,N246&gt;=ルール設定!$B$4),"○",""))</f>
        <v/>
      </c>
      <c r="S246" s="8" t="str">
        <f aca="false">IF(A246="","",IF(AND(Y246&lt;&gt;"参考",G246&gt;=ルール設定!$B$5,J246&gt;=ルール設定!$B$6,O246&gt;=ルール設定!$B$7),"○",""))</f>
        <v/>
      </c>
      <c r="T246" s="8" t="n">
        <v>3</v>
      </c>
      <c r="U246" s="8" t="n">
        <v>4</v>
      </c>
      <c r="V246" s="8" t="str">
        <f aca="false">IF(A246="","",IF(AND(ISNUMBER(T246),ISNUMBER(U246)),IF(AND(T246&lt;=3,U246&lt;=3),"○","×"),""))</f>
        <v>×</v>
      </c>
      <c r="W246" s="8"/>
      <c r="X246" s="8"/>
      <c r="Y246" s="4" t="s">
        <v>7597</v>
      </c>
      <c r="Z246" s="4" t="s">
        <v>7726</v>
      </c>
      <c r="AA246" s="8" t="str">
        <v/>
      </c>
      <c r="AB246" s="8" t="str">
        <v/>
      </c>
      <c r="AC246" s="8" t="str">
        <v/>
      </c>
      <c r="AD246" s="8" t="str">
        <v/>
      </c>
      <c r="AE246" s="8" t="str">
        <v/>
      </c>
      <c r="AF246" s="8" t="str">
        <v/>
      </c>
      <c r="AG246" s="8" t="str">
        <v/>
      </c>
      <c r="AH246" s="8" t="str">
        <v/>
      </c>
      <c r="AI246" s="8" t="n">
        <v>7</v>
      </c>
      <c r="AJ246" s="8" t="str">
        <v>～59</v>
      </c>
      <c r="AK246" s="8" t="str">
        <v>5～9</v>
      </c>
      <c r="AL246" s="8" t="str">
        <v>0～9</v>
      </c>
      <c r="AM246" s="8" t="str">
        <v>～99</v>
      </c>
      <c r="AN246" s="8" t="str">
        <v>7以下</v>
      </c>
      <c r="AO246" s="8" t="str">
        <f aca="false">IF(A246="","",IF(COUNTIFS(全馬データ!$A$2:$A$50000,A246,全馬データ!$B$2:$B$50000,B246,全馬データ!$C$2:$C$50000,C246,全馬データ!$D$2:$D$50000,E246,全馬データ!$K$2:$K$50000,"&lt;&gt;")=0,"",SUMIFS(全馬データ!$K$2:$K$50000,全馬データ!$A$2:$A$50000,A246,全馬データ!$B$2:$B$50000,B246,全馬データ!$C$2:$C$50000,C246,全馬データ!$D$2:$D$50000,E246)))</f>
        <v/>
      </c>
      <c r="AP246" s="8" t="str">
        <f aca="false">IF(A246="","",IF(AO246="","欠損",IF(AO246&lt;=1.1,"1.0～1.1",IF(AO246&lt;1.3,"1.2",IF(AO246&lt;1.5,"1.3～1.4",IF(AO246&lt;2,"1.5～1.9","2.0以上"))))))</f>
        <v>欠損</v>
      </c>
      <c r="AQ246" s="8" t="str">
        <f aca="false">IF(A246="","",IF(ISNUMBER(SEARCH("2歳",Z246)),"2歳戦",IF(ISNUMBER(SEARCH("3歳未勝利",Z246)),"3歳未勝利",IF(ISNUMBER(SEARCH("未勝利",Z246)),"その他未勝利",IF(ISNUMBER(SEARCH("G1",Z246)),"G1",IF(ISNUMBER(SEARCH("G2",Z246)),"G2",IF(ISNUMBER(SEARCH("G3",Z246)),"G3",IF(ISNUMBER(SEARCH("古馬条件",Z246)),"古馬条件戦",IF(ISNUMBER(SEARCH("重賞",Z246)),"重賞","分類不能")))))))))</f>
        <v>分類不能</v>
      </c>
      <c r="AR246" s="8"/>
      <c r="AS246" s="8" t="s">
        <v>7598</v>
      </c>
      <c r="AT246" s="8" t="s">
        <v>7599</v>
      </c>
      <c r="AU246" s="8" t="s">
        <v>7615</v>
      </c>
      <c r="AV246" s="4" t="s">
        <v>7616</v>
      </c>
      <c r="AW246" s="8"/>
      <c r="AX246" s="8"/>
      <c r="AY246" s="8" t="s">
        <v>7610</v>
      </c>
      <c r="AZ246" s="4" t="s">
        <v>7617</v>
      </c>
      <c r="BA246" s="8" t="n">
        <v>1000</v>
      </c>
      <c r="BB246" s="8" t="s">
        <v>7598</v>
      </c>
      <c r="BC246" s="4" t="s">
        <v>7604</v>
      </c>
      <c r="BD246" s="8" t="s">
        <v>7605</v>
      </c>
      <c r="BE246" s="4" t="s">
        <v>7606</v>
      </c>
      <c r="BF246" s="8" t="s">
        <v>7607</v>
      </c>
      <c r="BG246" s="8" t="s">
        <v>7608</v>
      </c>
      <c r="BH246" s="4" t="s">
        <v>7609</v>
      </c>
      <c r="BI246" s="8" t="n">
        <v>5</v>
      </c>
      <c r="BJ246" s="8" t="s">
        <v>7602</v>
      </c>
      <c r="BK246" s="4" t="s">
        <v>7653</v>
      </c>
      <c r="BL246" s="8" t="s">
        <v>7602</v>
      </c>
      <c r="BM246" s="4" t="s">
        <v>7620</v>
      </c>
      <c r="BN246" s="8"/>
      <c r="BO246" s="8"/>
      <c r="BP246" s="8" t="s">
        <v>7608</v>
      </c>
      <c r="BQ246" s="8" t="str">
        <f aca="false">IF(A246="","",AT246)</f>
        <v>2歳</v>
      </c>
      <c r="BR246" s="8" t="str">
        <f aca="false">IF(A246="","",IF(BA246&lt;=1200,"～1200",IF(BA246&lt;=1500,"1300～1500",IF(BA246=1600,"1600",IF(BA246&lt;=1800,"1700～1800",IF(BA246&lt;=2000,"1900～2000","2100以上"))))))</f>
        <v>～1200</v>
      </c>
      <c r="BS246" s="8" t="str">
        <f aca="false">IF(A246="","",IF(AX246="G1","G1",IF(AX246="G2","G2",IF(AX246="G3","G3",IF(AX246="L","L","その他")))))</f>
        <v>その他</v>
      </c>
      <c r="BT246" s="8" t="str">
        <f aca="false">IF(A246="","",IF(BI246="","未結合",IF(D246=BI246,"一致","不一致")))</f>
        <v>一致</v>
      </c>
      <c r="BU246" s="8" t="str">
        <f aca="false">IF(A246="","",IF(BE246="牝馬限定","牝馬限定","その他"))</f>
        <v>その他</v>
      </c>
    </row>
    <row r="247" customFormat="false" ht="15.75" hidden="false" customHeight="false" outlineLevel="0" collapsed="false">
      <c r="A247" s="3" t="n">
        <v>46207</v>
      </c>
      <c r="B247" s="4" t="s">
        <v>1237</v>
      </c>
      <c r="C247" s="8" t="n">
        <v>6</v>
      </c>
      <c r="D247" s="8" t="n">
        <v>14</v>
      </c>
      <c r="E247" s="8" t="n">
        <v>5</v>
      </c>
      <c r="F247" s="4" t="s">
        <v>2950</v>
      </c>
      <c r="G247" s="8" t="n">
        <v>65</v>
      </c>
      <c r="H247" s="8" t="n">
        <v>12</v>
      </c>
      <c r="I247" s="4" t="s">
        <v>2955</v>
      </c>
      <c r="J247" s="8" t="n">
        <v>47</v>
      </c>
      <c r="K247" s="8" t="n">
        <v>2</v>
      </c>
      <c r="L247" s="4" t="s">
        <v>1744</v>
      </c>
      <c r="M247" s="8" t="n">
        <v>37</v>
      </c>
      <c r="N247" s="8" t="n">
        <f aca="false">IF(A247="","",G247-J247)</f>
        <v>18</v>
      </c>
      <c r="O247" s="8" t="n">
        <f aca="false">IF(A247="","",J247-M247)</f>
        <v>10</v>
      </c>
      <c r="P247" s="8" t="n">
        <f aca="false">IF(A247="","",G247+J247)</f>
        <v>112</v>
      </c>
      <c r="Q247" s="8" t="str">
        <f aca="false">IF(A247="","",IF(AND(Y247&lt;&gt;"参考",G247&gt;=ルール設定!$B$2),"○",""))</f>
        <v/>
      </c>
      <c r="R247" s="8" t="str">
        <f aca="false">IF(A247="","",IF(AND(Y247&lt;&gt;"参考",G247&gt;=ルール設定!$B$3,N247&gt;=ルール設定!$B$4),"○",""))</f>
        <v/>
      </c>
      <c r="S247" s="8" t="str">
        <f aca="false">IF(A247="","",IF(AND(Y247&lt;&gt;"参考",G247&gt;=ルール設定!$B$5,J247&gt;=ルール設定!$B$6,O247&gt;=ルール設定!$B$7),"○",""))</f>
        <v/>
      </c>
      <c r="T247" s="8" t="n">
        <v>1</v>
      </c>
      <c r="U247" s="8" t="n">
        <v>4</v>
      </c>
      <c r="V247" s="8" t="str">
        <f aca="false">IF(A247="","",IF(AND(ISNUMBER(T247),ISNUMBER(U247)),IF(AND(T247&lt;=3,U247&lt;=3),"○","×"),""))</f>
        <v>×</v>
      </c>
      <c r="W247" s="8" t="n">
        <v>110</v>
      </c>
      <c r="X247" s="8"/>
      <c r="Y247" s="4" t="s">
        <v>7597</v>
      </c>
      <c r="Z247" s="4" t="s">
        <v>7726</v>
      </c>
      <c r="AA247" s="8" t="str">
        <v/>
      </c>
      <c r="AB247" s="8" t="str">
        <v/>
      </c>
      <c r="AC247" s="8" t="str">
        <v/>
      </c>
      <c r="AD247" s="8" t="str">
        <v/>
      </c>
      <c r="AE247" s="8" t="str">
        <v/>
      </c>
      <c r="AF247" s="8" t="str">
        <v/>
      </c>
      <c r="AG247" s="8" t="str">
        <v/>
      </c>
      <c r="AH247" s="8" t="str">
        <v/>
      </c>
      <c r="AI247" s="8" t="n">
        <v>28</v>
      </c>
      <c r="AJ247" s="8" t="str">
        <v>60～69</v>
      </c>
      <c r="AK247" s="8" t="str">
        <v>10～19</v>
      </c>
      <c r="AL247" s="8" t="str">
        <v>20～29</v>
      </c>
      <c r="AM247" s="8" t="str">
        <v>100～119</v>
      </c>
      <c r="AN247" s="8" t="str">
        <v>12～14</v>
      </c>
      <c r="AO247" s="8" t="str">
        <f aca="false">IF(A247="","",IF(COUNTIFS(全馬データ!$A$2:$A$50000,A247,全馬データ!$B$2:$B$50000,B247,全馬データ!$C$2:$C$50000,C247,全馬データ!$D$2:$D$50000,E247,全馬データ!$K$2:$K$50000,"&lt;&gt;")=0,"",SUMIFS(全馬データ!$K$2:$K$50000,全馬データ!$A$2:$A$50000,A247,全馬データ!$B$2:$B$50000,B247,全馬データ!$C$2:$C$50000,C247,全馬データ!$D$2:$D$50000,E247)))</f>
        <v/>
      </c>
      <c r="AP247" s="8" t="str">
        <f aca="false">IF(A247="","",IF(AO247="","欠損",IF(AO247&lt;=1.1,"1.0～1.1",IF(AO247&lt;1.3,"1.2",IF(AO247&lt;1.5,"1.3～1.4",IF(AO247&lt;2,"1.5～1.9","2.0以上"))))))</f>
        <v>欠損</v>
      </c>
      <c r="AQ247" s="8" t="str">
        <f aca="false">IF(A247="","",IF(ISNUMBER(SEARCH("2歳",Z247)),"2歳戦",IF(ISNUMBER(SEARCH("3歳未勝利",Z247)),"3歳未勝利",IF(ISNUMBER(SEARCH("未勝利",Z247)),"その他未勝利",IF(ISNUMBER(SEARCH("G1",Z247)),"G1",IF(ISNUMBER(SEARCH("G2",Z247)),"G2",IF(ISNUMBER(SEARCH("G3",Z247)),"G3",IF(ISNUMBER(SEARCH("古馬条件",Z247)),"古馬条件戦",IF(ISNUMBER(SEARCH("重賞",Z247)),"重賞","分類不能")))))))))</f>
        <v>分類不能</v>
      </c>
      <c r="AR247" s="8"/>
      <c r="AS247" s="8" t="s">
        <v>7623</v>
      </c>
      <c r="AT247" s="8" t="s">
        <v>7624</v>
      </c>
      <c r="AU247" s="8" t="s">
        <v>7600</v>
      </c>
      <c r="AV247" s="4" t="s">
        <v>7601</v>
      </c>
      <c r="AW247" s="8"/>
      <c r="AX247" s="8"/>
      <c r="AY247" s="8" t="s">
        <v>7610</v>
      </c>
      <c r="AZ247" s="4" t="s">
        <v>7617</v>
      </c>
      <c r="BA247" s="8" t="n">
        <v>1700</v>
      </c>
      <c r="BB247" s="8" t="s">
        <v>7598</v>
      </c>
      <c r="BC247" s="4" t="s">
        <v>7604</v>
      </c>
      <c r="BD247" s="8" t="s">
        <v>7625</v>
      </c>
      <c r="BE247" s="4" t="s">
        <v>7606</v>
      </c>
      <c r="BF247" s="8" t="s">
        <v>7607</v>
      </c>
      <c r="BG247" s="8" t="s">
        <v>7608</v>
      </c>
      <c r="BH247" s="4" t="s">
        <v>7609</v>
      </c>
      <c r="BI247" s="8" t="n">
        <v>14</v>
      </c>
      <c r="BJ247" s="8" t="s">
        <v>7602</v>
      </c>
      <c r="BK247" s="4" t="s">
        <v>7653</v>
      </c>
      <c r="BL247" s="8" t="s">
        <v>7602</v>
      </c>
      <c r="BM247" s="4" t="s">
        <v>7620</v>
      </c>
      <c r="BN247" s="8"/>
      <c r="BO247" s="8"/>
      <c r="BP247" s="8" t="s">
        <v>7608</v>
      </c>
      <c r="BQ247" s="8" t="str">
        <f aca="false">IF(A247="","",AT247)</f>
        <v>3歳</v>
      </c>
      <c r="BR247" s="8" t="str">
        <f aca="false">IF(A247="","",IF(BA247&lt;=1200,"～1200",IF(BA247&lt;=1500,"1300～1500",IF(BA247=1600,"1600",IF(BA247&lt;=1800,"1700～1800",IF(BA247&lt;=2000,"1900～2000","2100以上"))))))</f>
        <v>1700～1800</v>
      </c>
      <c r="BS247" s="8" t="str">
        <f aca="false">IF(A247="","",IF(AX247="G1","G1",IF(AX247="G2","G2",IF(AX247="G3","G3",IF(AX247="L","L","その他")))))</f>
        <v>その他</v>
      </c>
      <c r="BT247" s="8" t="str">
        <f aca="false">IF(A247="","",IF(BI247="","未結合",IF(D247=BI247,"一致","不一致")))</f>
        <v>一致</v>
      </c>
      <c r="BU247" s="8" t="str">
        <f aca="false">IF(A247="","",IF(BE247="牝馬限定","牝馬限定","その他"))</f>
        <v>その他</v>
      </c>
    </row>
    <row r="248" customFormat="false" ht="15.75" hidden="false" customHeight="false" outlineLevel="0" collapsed="false">
      <c r="A248" s="3" t="n">
        <v>46207</v>
      </c>
      <c r="B248" s="4" t="s">
        <v>1237</v>
      </c>
      <c r="C248" s="8" t="n">
        <v>7</v>
      </c>
      <c r="D248" s="8" t="n">
        <v>10</v>
      </c>
      <c r="E248" s="8" t="n">
        <v>3</v>
      </c>
      <c r="F248" s="4" t="s">
        <v>2958</v>
      </c>
      <c r="G248" s="8" t="n">
        <v>81</v>
      </c>
      <c r="H248" s="8" t="n">
        <v>7</v>
      </c>
      <c r="I248" s="4" t="s">
        <v>865</v>
      </c>
      <c r="J248" s="8" t="n">
        <v>50</v>
      </c>
      <c r="K248" s="8" t="n">
        <v>1</v>
      </c>
      <c r="L248" s="4" t="s">
        <v>2956</v>
      </c>
      <c r="M248" s="8" t="n">
        <v>41</v>
      </c>
      <c r="N248" s="8" t="n">
        <f aca="false">IF(A248="","",G248-J248)</f>
        <v>31</v>
      </c>
      <c r="O248" s="8" t="n">
        <f aca="false">IF(A248="","",J248-M248)</f>
        <v>9</v>
      </c>
      <c r="P248" s="8" t="n">
        <f aca="false">IF(A248="","",G248+J248)</f>
        <v>131</v>
      </c>
      <c r="Q248" s="8" t="str">
        <f aca="false">IF(A248="","",IF(AND(Y248&lt;&gt;"参考",G248&gt;=ルール設定!$B$2),"○",""))</f>
        <v>○</v>
      </c>
      <c r="R248" s="8" t="str">
        <f aca="false">IF(A248="","",IF(AND(Y248&lt;&gt;"参考",G248&gt;=ルール設定!$B$3,N248&gt;=ルール設定!$B$4),"○",""))</f>
        <v>○</v>
      </c>
      <c r="S248" s="8" t="str">
        <f aca="false">IF(A248="","",IF(AND(Y248&lt;&gt;"参考",G248&gt;=ルール設定!$B$5,J248&gt;=ルール設定!$B$6,O248&gt;=ルール設定!$B$7),"○",""))</f>
        <v/>
      </c>
      <c r="T248" s="8" t="n">
        <v>2</v>
      </c>
      <c r="U248" s="8" t="n">
        <v>4</v>
      </c>
      <c r="V248" s="8" t="str">
        <f aca="false">IF(A248="","",IF(AND(ISNUMBER(T248),ISNUMBER(U248)),IF(AND(T248&lt;=3,U248&lt;=3),"○","×"),""))</f>
        <v>×</v>
      </c>
      <c r="W248" s="8" t="n">
        <v>110</v>
      </c>
      <c r="X248" s="8"/>
      <c r="Y248" s="4" t="s">
        <v>7597</v>
      </c>
      <c r="Z248" s="4" t="s">
        <v>7726</v>
      </c>
      <c r="AA248" s="8" t="str">
        <v/>
      </c>
      <c r="AB248" s="8" t="str">
        <v>○</v>
      </c>
      <c r="AC248" s="8" t="str">
        <v/>
      </c>
      <c r="AD248" s="8" t="str">
        <v>○</v>
      </c>
      <c r="AE248" s="8" t="str">
        <v/>
      </c>
      <c r="AF248" s="8" t="str">
        <v/>
      </c>
      <c r="AG248" s="8" t="str">
        <v>○</v>
      </c>
      <c r="AH248" s="8" t="str">
        <v/>
      </c>
      <c r="AI248" s="8" t="n">
        <v>40</v>
      </c>
      <c r="AJ248" s="8" t="str">
        <v>80～84</v>
      </c>
      <c r="AK248" s="8" t="str">
        <v>30以上</v>
      </c>
      <c r="AL248" s="8" t="str">
        <v>40以上</v>
      </c>
      <c r="AM248" s="8" t="str">
        <v>120～139</v>
      </c>
      <c r="AN248" s="8" t="str">
        <v>8～11</v>
      </c>
      <c r="AO248" s="8" t="n">
        <f aca="false">IF(A248="","",IF(COUNTIFS(全馬データ!$A$2:$A$50000,A248,全馬データ!$B$2:$B$50000,B248,全馬データ!$C$2:$C$50000,C248,全馬データ!$D$2:$D$50000,E248,全馬データ!$K$2:$K$50000,"&lt;&gt;")=0,"",SUMIFS(全馬データ!$K$2:$K$50000,全馬データ!$A$2:$A$50000,A248,全馬データ!$B$2:$B$50000,B248,全馬データ!$C$2:$C$50000,C248,全馬データ!$D$2:$D$50000,E248)))</f>
        <v>1.1</v>
      </c>
      <c r="AP248" s="8" t="str">
        <f aca="false">IF(A248="","",IF(AO248="","欠損",IF(AO248&lt;=1.1,"1.0～1.1",IF(AO248&lt;1.3,"1.2",IF(AO248&lt;1.5,"1.3～1.4",IF(AO248&lt;2,"1.5～1.9","2.0以上"))))))</f>
        <v>1.0～1.1</v>
      </c>
      <c r="AQ248" s="8" t="str">
        <f aca="false">IF(A248="","",IF(ISNUMBER(SEARCH("2歳",Z248)),"2歳戦",IF(ISNUMBER(SEARCH("3歳未勝利",Z248)),"3歳未勝利",IF(ISNUMBER(SEARCH("未勝利",Z248)),"その他未勝利",IF(ISNUMBER(SEARCH("G1",Z248)),"G1",IF(ISNUMBER(SEARCH("G2",Z248)),"G2",IF(ISNUMBER(SEARCH("G3",Z248)),"G3",IF(ISNUMBER(SEARCH("古馬条件",Z248)),"古馬条件戦",IF(ISNUMBER(SEARCH("重賞",Z248)),"重賞","分類不能")))))))))</f>
        <v>分類不能</v>
      </c>
      <c r="AR248" s="8"/>
      <c r="AS248" s="8" t="s">
        <v>7626</v>
      </c>
      <c r="AT248" s="8" t="s">
        <v>7627</v>
      </c>
      <c r="AU248" s="8" t="s">
        <v>7628</v>
      </c>
      <c r="AV248" s="8" t="s">
        <v>7629</v>
      </c>
      <c r="AW248" s="8"/>
      <c r="AX248" s="8"/>
      <c r="AY248" s="8" t="s">
        <v>7602</v>
      </c>
      <c r="AZ248" s="4" t="s">
        <v>7603</v>
      </c>
      <c r="BA248" s="8" t="n">
        <v>1200</v>
      </c>
      <c r="BB248" s="8" t="s">
        <v>7598</v>
      </c>
      <c r="BC248" s="4" t="s">
        <v>7604</v>
      </c>
      <c r="BD248" s="8" t="s">
        <v>7621</v>
      </c>
      <c r="BE248" s="4" t="s">
        <v>7622</v>
      </c>
      <c r="BF248" s="8" t="s">
        <v>7602</v>
      </c>
      <c r="BG248" s="8" t="s">
        <v>7631</v>
      </c>
      <c r="BH248" s="4" t="s">
        <v>7632</v>
      </c>
      <c r="BI248" s="8" t="n">
        <v>10</v>
      </c>
      <c r="BJ248" s="8" t="s">
        <v>7602</v>
      </c>
      <c r="BK248" s="4" t="s">
        <v>7653</v>
      </c>
      <c r="BL248" s="8" t="s">
        <v>7602</v>
      </c>
      <c r="BM248" s="4" t="s">
        <v>7620</v>
      </c>
      <c r="BN248" s="8" t="s">
        <v>7602</v>
      </c>
      <c r="BO248" s="8" t="s">
        <v>7613</v>
      </c>
      <c r="BP248" s="8" t="s">
        <v>7608</v>
      </c>
      <c r="BQ248" s="8" t="str">
        <f aca="false">IF(A248="","",AT248)</f>
        <v>3歳以上</v>
      </c>
      <c r="BR248" s="8" t="str">
        <f aca="false">IF(A248="","",IF(BA248&lt;=1200,"～1200",IF(BA248&lt;=1500,"1300～1500",IF(BA248=1600,"1600",IF(BA248&lt;=1800,"1700～1800",IF(BA248&lt;=2000,"1900～2000","2100以上"))))))</f>
        <v>～1200</v>
      </c>
      <c r="BS248" s="8" t="str">
        <f aca="false">IF(A248="","",IF(AX248="G1","G1",IF(AX248="G2","G2",IF(AX248="G3","G3",IF(AX248="L","L","その他")))))</f>
        <v>その他</v>
      </c>
      <c r="BT248" s="8" t="str">
        <f aca="false">IF(A248="","",IF(BI248="","未結合",IF(D248=BI248,"一致","不一致")))</f>
        <v>一致</v>
      </c>
      <c r="BU248" s="8" t="str">
        <f aca="false">IF(A248="","",IF(BE248="牝馬限定","牝馬限定","その他"))</f>
        <v>牝馬限定</v>
      </c>
    </row>
    <row r="249" customFormat="false" ht="15.75" hidden="false" customHeight="false" outlineLevel="0" collapsed="false">
      <c r="A249" s="3" t="n">
        <v>46207</v>
      </c>
      <c r="B249" s="4" t="s">
        <v>1237</v>
      </c>
      <c r="C249" s="8" t="n">
        <v>8</v>
      </c>
      <c r="D249" s="8" t="n">
        <v>7</v>
      </c>
      <c r="E249" s="8" t="n">
        <v>3</v>
      </c>
      <c r="F249" s="4" t="s">
        <v>2964</v>
      </c>
      <c r="G249" s="8" t="n">
        <v>86</v>
      </c>
      <c r="H249" s="8" t="n">
        <v>6</v>
      </c>
      <c r="I249" s="4" t="s">
        <v>2966</v>
      </c>
      <c r="J249" s="8" t="n">
        <v>67</v>
      </c>
      <c r="K249" s="8" t="n">
        <v>1</v>
      </c>
      <c r="L249" s="4" t="s">
        <v>2962</v>
      </c>
      <c r="M249" s="8" t="n">
        <v>31</v>
      </c>
      <c r="N249" s="8" t="n">
        <f aca="false">IF(A249="","",G249-J249)</f>
        <v>19</v>
      </c>
      <c r="O249" s="8" t="n">
        <f aca="false">IF(A249="","",J249-M249)</f>
        <v>36</v>
      </c>
      <c r="P249" s="8" t="n">
        <f aca="false">IF(A249="","",G249+J249)</f>
        <v>153</v>
      </c>
      <c r="Q249" s="8" t="str">
        <f aca="false">IF(A249="","",IF(AND(Y249&lt;&gt;"参考",G249&gt;=ルール設定!$B$2),"○",""))</f>
        <v>○</v>
      </c>
      <c r="R249" s="8" t="str">
        <f aca="false">IF(A249="","",IF(AND(Y249&lt;&gt;"参考",G249&gt;=ルール設定!$B$3,N249&gt;=ルール設定!$B$4),"○",""))</f>
        <v/>
      </c>
      <c r="S249" s="8" t="str">
        <f aca="false">IF(A249="","",IF(AND(Y249&lt;&gt;"参考",G249&gt;=ルール設定!$B$5,J249&gt;=ルール設定!$B$6,O249&gt;=ルール設定!$B$7),"○",""))</f>
        <v>○</v>
      </c>
      <c r="T249" s="8" t="n">
        <v>1</v>
      </c>
      <c r="U249" s="8" t="n">
        <v>4</v>
      </c>
      <c r="V249" s="8" t="str">
        <f aca="false">IF(A249="","",IF(AND(ISNUMBER(T249),ISNUMBER(U249)),IF(AND(T249&lt;=3,U249&lt;=3),"○","×"),""))</f>
        <v>×</v>
      </c>
      <c r="W249" s="8" t="n">
        <v>150</v>
      </c>
      <c r="X249" s="8"/>
      <c r="Y249" s="4" t="s">
        <v>7597</v>
      </c>
      <c r="Z249" s="4" t="s">
        <v>7726</v>
      </c>
      <c r="AA249" s="8" t="str">
        <v>○</v>
      </c>
      <c r="AB249" s="8" t="str">
        <v/>
      </c>
      <c r="AC249" s="8" t="str">
        <v>○</v>
      </c>
      <c r="AD249" s="8" t="str">
        <v/>
      </c>
      <c r="AE249" s="8" t="str">
        <v/>
      </c>
      <c r="AF249" s="8" t="str">
        <v>○</v>
      </c>
      <c r="AG249" s="8" t="str">
        <v>○</v>
      </c>
      <c r="AH249" s="8" t="str">
        <v>○</v>
      </c>
      <c r="AI249" s="8" t="n">
        <v>55</v>
      </c>
      <c r="AJ249" s="8" t="str">
        <v>85以上</v>
      </c>
      <c r="AK249" s="8" t="str">
        <v>10～19</v>
      </c>
      <c r="AL249" s="8" t="str">
        <v>40以上</v>
      </c>
      <c r="AM249" s="8" t="str">
        <v>140～159</v>
      </c>
      <c r="AN249" s="8" t="str">
        <v>7以下</v>
      </c>
      <c r="AO249" s="8" t="n">
        <f aca="false">IF(A249="","",IF(COUNTIFS(全馬データ!$A$2:$A$50000,A249,全馬データ!$B$2:$B$50000,B249,全馬データ!$C$2:$C$50000,C249,全馬データ!$D$2:$D$50000,E249,全馬データ!$K$2:$K$50000,"&lt;&gt;")=0,"",SUMIFS(全馬データ!$K$2:$K$50000,全馬データ!$A$2:$A$50000,A249,全馬データ!$B$2:$B$50000,B249,全馬データ!$C$2:$C$50000,C249,全馬データ!$D$2:$D$50000,E249)))</f>
        <v>1.1</v>
      </c>
      <c r="AP249" s="8" t="str">
        <f aca="false">IF(A249="","",IF(AO249="","欠損",IF(AO249&lt;=1.1,"1.0～1.1",IF(AO249&lt;1.3,"1.2",IF(AO249&lt;1.5,"1.3～1.4",IF(AO249&lt;2,"1.5～1.9","2.0以上"))))))</f>
        <v>1.0～1.1</v>
      </c>
      <c r="AQ249" s="8" t="str">
        <f aca="false">IF(A249="","",IF(ISNUMBER(SEARCH("2歳",Z249)),"2歳戦",IF(ISNUMBER(SEARCH("3歳未勝利",Z249)),"3歳未勝利",IF(ISNUMBER(SEARCH("未勝利",Z249)),"その他未勝利",IF(ISNUMBER(SEARCH("G1",Z249)),"G1",IF(ISNUMBER(SEARCH("G2",Z249)),"G2",IF(ISNUMBER(SEARCH("G3",Z249)),"G3",IF(ISNUMBER(SEARCH("古馬条件",Z249)),"古馬条件戦",IF(ISNUMBER(SEARCH("重賞",Z249)),"重賞","分類不能")))))))))</f>
        <v>分類不能</v>
      </c>
      <c r="AR249" s="8"/>
      <c r="AS249" s="8" t="s">
        <v>7626</v>
      </c>
      <c r="AT249" s="8" t="s">
        <v>7627</v>
      </c>
      <c r="AU249" s="8" t="s">
        <v>7628</v>
      </c>
      <c r="AV249" s="8" t="s">
        <v>7629</v>
      </c>
      <c r="AW249" s="8"/>
      <c r="AX249" s="8"/>
      <c r="AY249" s="8" t="s">
        <v>7602</v>
      </c>
      <c r="AZ249" s="4" t="s">
        <v>7603</v>
      </c>
      <c r="BA249" s="8" t="n">
        <v>2600</v>
      </c>
      <c r="BB249" s="8" t="s">
        <v>7598</v>
      </c>
      <c r="BC249" s="4" t="s">
        <v>7604</v>
      </c>
      <c r="BD249" s="8" t="s">
        <v>7690</v>
      </c>
      <c r="BE249" s="4" t="s">
        <v>7606</v>
      </c>
      <c r="BF249" s="8" t="s">
        <v>7607</v>
      </c>
      <c r="BG249" s="8" t="s">
        <v>7631</v>
      </c>
      <c r="BH249" s="4" t="s">
        <v>7632</v>
      </c>
      <c r="BI249" s="8" t="n">
        <v>7</v>
      </c>
      <c r="BJ249" s="8" t="s">
        <v>7602</v>
      </c>
      <c r="BK249" s="4" t="s">
        <v>7653</v>
      </c>
      <c r="BL249" s="8" t="s">
        <v>7602</v>
      </c>
      <c r="BM249" s="4" t="s">
        <v>7620</v>
      </c>
      <c r="BN249" s="8" t="s">
        <v>7602</v>
      </c>
      <c r="BO249" s="8" t="s">
        <v>7613</v>
      </c>
      <c r="BP249" s="8" t="s">
        <v>7608</v>
      </c>
      <c r="BQ249" s="8" t="str">
        <f aca="false">IF(A249="","",AT249)</f>
        <v>3歳以上</v>
      </c>
      <c r="BR249" s="8" t="str">
        <f aca="false">IF(A249="","",IF(BA249&lt;=1200,"～1200",IF(BA249&lt;=1500,"1300～1500",IF(BA249=1600,"1600",IF(BA249&lt;=1800,"1700～1800",IF(BA249&lt;=2000,"1900～2000","2100以上"))))))</f>
        <v>2100以上</v>
      </c>
      <c r="BS249" s="8" t="str">
        <f aca="false">IF(A249="","",IF(AX249="G1","G1",IF(AX249="G2","G2",IF(AX249="G3","G3",IF(AX249="L","L","その他")))))</f>
        <v>その他</v>
      </c>
      <c r="BT249" s="8" t="str">
        <f aca="false">IF(A249="","",IF(BI249="","未結合",IF(D249=BI249,"一致","不一致")))</f>
        <v>一致</v>
      </c>
      <c r="BU249" s="8" t="str">
        <f aca="false">IF(A249="","",IF(BE249="牝馬限定","牝馬限定","その他"))</f>
        <v>その他</v>
      </c>
    </row>
    <row r="250" customFormat="false" ht="15.75" hidden="false" customHeight="false" outlineLevel="0" collapsed="false">
      <c r="A250" s="3" t="n">
        <v>46207</v>
      </c>
      <c r="B250" s="4" t="s">
        <v>1237</v>
      </c>
      <c r="C250" s="8" t="n">
        <v>9</v>
      </c>
      <c r="D250" s="8" t="n">
        <v>9</v>
      </c>
      <c r="E250" s="8" t="n">
        <v>1</v>
      </c>
      <c r="F250" s="4" t="s">
        <v>1340</v>
      </c>
      <c r="G250" s="8" t="n">
        <v>65</v>
      </c>
      <c r="H250" s="8" t="n">
        <v>3</v>
      </c>
      <c r="I250" s="4" t="s">
        <v>1348</v>
      </c>
      <c r="J250" s="8" t="n">
        <v>47</v>
      </c>
      <c r="K250" s="8" t="n">
        <v>5</v>
      </c>
      <c r="L250" s="4" t="s">
        <v>2967</v>
      </c>
      <c r="M250" s="8" t="n">
        <v>44</v>
      </c>
      <c r="N250" s="8" t="n">
        <f aca="false">IF(A250="","",G250-J250)</f>
        <v>18</v>
      </c>
      <c r="O250" s="8" t="n">
        <f aca="false">IF(A250="","",J250-M250)</f>
        <v>3</v>
      </c>
      <c r="P250" s="8" t="n">
        <f aca="false">IF(A250="","",G250+J250)</f>
        <v>112</v>
      </c>
      <c r="Q250" s="8" t="str">
        <f aca="false">IF(A250="","",IF(AND(Y250&lt;&gt;"参考",G250&gt;=ルール設定!$B$2),"○",""))</f>
        <v/>
      </c>
      <c r="R250" s="8" t="str">
        <f aca="false">IF(A250="","",IF(AND(Y250&lt;&gt;"参考",G250&gt;=ルール設定!$B$3,N250&gt;=ルール設定!$B$4),"○",""))</f>
        <v/>
      </c>
      <c r="S250" s="8" t="str">
        <f aca="false">IF(A250="","",IF(AND(Y250&lt;&gt;"参考",G250&gt;=ルール設定!$B$5,J250&gt;=ルール設定!$B$6,O250&gt;=ルール設定!$B$7),"○",""))</f>
        <v/>
      </c>
      <c r="T250" s="8" t="n">
        <v>3</v>
      </c>
      <c r="U250" s="8" t="n">
        <v>4</v>
      </c>
      <c r="V250" s="8" t="str">
        <f aca="false">IF(A250="","",IF(AND(ISNUMBER(T250),ISNUMBER(U250)),IF(AND(T250&lt;=3,U250&lt;=3),"○","×"),""))</f>
        <v>×</v>
      </c>
      <c r="W250" s="8" t="n">
        <v>150</v>
      </c>
      <c r="X250" s="8"/>
      <c r="Y250" s="4" t="s">
        <v>7597</v>
      </c>
      <c r="Z250" s="4" t="s">
        <v>7726</v>
      </c>
      <c r="AA250" s="8" t="str">
        <v/>
      </c>
      <c r="AB250" s="8" t="str">
        <v/>
      </c>
      <c r="AC250" s="8" t="str">
        <v/>
      </c>
      <c r="AD250" s="8" t="str">
        <v/>
      </c>
      <c r="AE250" s="8" t="str">
        <v/>
      </c>
      <c r="AF250" s="8" t="str">
        <v/>
      </c>
      <c r="AG250" s="8" t="str">
        <v/>
      </c>
      <c r="AH250" s="8" t="str">
        <v/>
      </c>
      <c r="AI250" s="8" t="n">
        <v>21</v>
      </c>
      <c r="AJ250" s="8" t="str">
        <v>60～69</v>
      </c>
      <c r="AK250" s="8" t="str">
        <v>10～19</v>
      </c>
      <c r="AL250" s="8" t="str">
        <v>20～29</v>
      </c>
      <c r="AM250" s="8" t="str">
        <v>100～119</v>
      </c>
      <c r="AN250" s="8" t="str">
        <v>8～11</v>
      </c>
      <c r="AO250" s="8" t="str">
        <f aca="false">IF(A250="","",IF(COUNTIFS(全馬データ!$A$2:$A$50000,A250,全馬データ!$B$2:$B$50000,B250,全馬データ!$C$2:$C$50000,C250,全馬データ!$D$2:$D$50000,E250,全馬データ!$K$2:$K$50000,"&lt;&gt;")=0,"",SUMIFS(全馬データ!$K$2:$K$50000,全馬データ!$A$2:$A$50000,A250,全馬データ!$B$2:$B$50000,B250,全馬データ!$C$2:$C$50000,C250,全馬データ!$D$2:$D$50000,E250)))</f>
        <v/>
      </c>
      <c r="AP250" s="8" t="str">
        <f aca="false">IF(A250="","",IF(AO250="","欠損",IF(AO250&lt;=1.1,"1.0～1.1",IF(AO250&lt;1.3,"1.2",IF(AO250&lt;1.5,"1.3～1.4",IF(AO250&lt;2,"1.5～1.9","2.0以上"))))))</f>
        <v>欠損</v>
      </c>
      <c r="AQ250" s="8" t="str">
        <f aca="false">IF(A250="","",IF(ISNUMBER(SEARCH("2歳",Z250)),"2歳戦",IF(ISNUMBER(SEARCH("3歳未勝利",Z250)),"3歳未勝利",IF(ISNUMBER(SEARCH("未勝利",Z250)),"その他未勝利",IF(ISNUMBER(SEARCH("G1",Z250)),"G1",IF(ISNUMBER(SEARCH("G2",Z250)),"G2",IF(ISNUMBER(SEARCH("G3",Z250)),"G3",IF(ISNUMBER(SEARCH("古馬条件",Z250)),"古馬条件戦",IF(ISNUMBER(SEARCH("重賞",Z250)),"重賞","分類不能")))))))))</f>
        <v>分類不能</v>
      </c>
      <c r="AR250" s="4" t="s">
        <v>7733</v>
      </c>
      <c r="AS250" s="8" t="s">
        <v>7626</v>
      </c>
      <c r="AT250" s="8" t="s">
        <v>7627</v>
      </c>
      <c r="AU250" s="8" t="s">
        <v>7628</v>
      </c>
      <c r="AV250" s="8" t="s">
        <v>7629</v>
      </c>
      <c r="AW250" s="8" t="s">
        <v>7636</v>
      </c>
      <c r="AX250" s="4" t="s">
        <v>7637</v>
      </c>
      <c r="AY250" s="8" t="s">
        <v>7602</v>
      </c>
      <c r="AZ250" s="4" t="s">
        <v>7603</v>
      </c>
      <c r="BA250" s="8" t="n">
        <v>1800</v>
      </c>
      <c r="BB250" s="8" t="s">
        <v>7598</v>
      </c>
      <c r="BC250" s="4" t="s">
        <v>7604</v>
      </c>
      <c r="BD250" s="8" t="s">
        <v>7630</v>
      </c>
      <c r="BE250" s="4" t="s">
        <v>7606</v>
      </c>
      <c r="BF250" s="8" t="s">
        <v>7607</v>
      </c>
      <c r="BG250" s="8" t="s">
        <v>7631</v>
      </c>
      <c r="BH250" s="4" t="s">
        <v>7632</v>
      </c>
      <c r="BI250" s="8" t="n">
        <v>9</v>
      </c>
      <c r="BJ250" s="8" t="s">
        <v>7602</v>
      </c>
      <c r="BK250" s="4" t="s">
        <v>7653</v>
      </c>
      <c r="BL250" s="8" t="s">
        <v>7602</v>
      </c>
      <c r="BM250" s="4" t="s">
        <v>7620</v>
      </c>
      <c r="BN250" s="8" t="s">
        <v>7602</v>
      </c>
      <c r="BO250" s="8" t="s">
        <v>7613</v>
      </c>
      <c r="BP250" s="8" t="s">
        <v>7608</v>
      </c>
      <c r="BQ250" s="8" t="str">
        <f aca="false">IF(A250="","",AT250)</f>
        <v>3歳以上</v>
      </c>
      <c r="BR250" s="8" t="str">
        <f aca="false">IF(A250="","",IF(BA250&lt;=1200,"～1200",IF(BA250&lt;=1500,"1300～1500",IF(BA250=1600,"1600",IF(BA250&lt;=1800,"1700～1800",IF(BA250&lt;=2000,"1900～2000","2100以上"))))))</f>
        <v>1700～1800</v>
      </c>
      <c r="BS250" s="8" t="str">
        <f aca="false">IF(A250="","",IF(AX250="G1","G1",IF(AX250="G2","G2",IF(AX250="G3","G3",IF(AX250="L","L","その他")))))</f>
        <v>その他</v>
      </c>
      <c r="BT250" s="8" t="str">
        <f aca="false">IF(A250="","",IF(BI250="","未結合",IF(D250=BI250,"一致","不一致")))</f>
        <v>一致</v>
      </c>
      <c r="BU250" s="8" t="str">
        <f aca="false">IF(A250="","",IF(BE250="牝馬限定","牝馬限定","その他"))</f>
        <v>その他</v>
      </c>
    </row>
    <row r="251" customFormat="false" ht="15.75" hidden="false" customHeight="false" outlineLevel="0" collapsed="false">
      <c r="A251" s="3" t="n">
        <v>46207</v>
      </c>
      <c r="B251" s="4" t="s">
        <v>1237</v>
      </c>
      <c r="C251" s="8" t="n">
        <v>10</v>
      </c>
      <c r="D251" s="8" t="n">
        <v>14</v>
      </c>
      <c r="E251" s="8" t="n">
        <v>5</v>
      </c>
      <c r="F251" s="4" t="s">
        <v>463</v>
      </c>
      <c r="G251" s="8" t="n">
        <v>60</v>
      </c>
      <c r="H251" s="8" t="n">
        <v>14</v>
      </c>
      <c r="I251" s="4" t="s">
        <v>2978</v>
      </c>
      <c r="J251" s="8" t="n">
        <v>58</v>
      </c>
      <c r="K251" s="8" t="n">
        <v>2</v>
      </c>
      <c r="L251" s="4" t="s">
        <v>2971</v>
      </c>
      <c r="M251" s="8" t="n">
        <v>34</v>
      </c>
      <c r="N251" s="8" t="n">
        <f aca="false">IF(A251="","",G251-J251)</f>
        <v>2</v>
      </c>
      <c r="O251" s="8" t="n">
        <f aca="false">IF(A251="","",J251-M251)</f>
        <v>24</v>
      </c>
      <c r="P251" s="8" t="n">
        <f aca="false">IF(A251="","",G251+J251)</f>
        <v>118</v>
      </c>
      <c r="Q251" s="8" t="str">
        <f aca="false">IF(A251="","",IF(AND(Y251&lt;&gt;"参考",G251&gt;=ルール設定!$B$2),"○",""))</f>
        <v/>
      </c>
      <c r="R251" s="8" t="str">
        <f aca="false">IF(A251="","",IF(AND(Y251&lt;&gt;"参考",G251&gt;=ルール設定!$B$3,N251&gt;=ルール設定!$B$4),"○",""))</f>
        <v/>
      </c>
      <c r="S251" s="8" t="str">
        <f aca="false">IF(A251="","",IF(AND(Y251&lt;&gt;"参考",G251&gt;=ルール設定!$B$5,J251&gt;=ルール設定!$B$6,O251&gt;=ルール設定!$B$7),"○",""))</f>
        <v>○</v>
      </c>
      <c r="T251" s="8" t="n">
        <v>4</v>
      </c>
      <c r="U251" s="8" t="n">
        <v>4</v>
      </c>
      <c r="V251" s="8" t="str">
        <f aca="false">IF(A251="","",IF(AND(ISNUMBER(T251),ISNUMBER(U251)),IF(AND(T251&lt;=3,U251&lt;=3),"○","×"),""))</f>
        <v>×</v>
      </c>
      <c r="W251" s="8"/>
      <c r="X251" s="8"/>
      <c r="Y251" s="4" t="s">
        <v>7597</v>
      </c>
      <c r="Z251" s="4" t="s">
        <v>7726</v>
      </c>
      <c r="AA251" s="8" t="str">
        <v/>
      </c>
      <c r="AB251" s="8" t="str">
        <v/>
      </c>
      <c r="AC251" s="8" t="str">
        <v/>
      </c>
      <c r="AD251" s="8" t="str">
        <v/>
      </c>
      <c r="AE251" s="8" t="str">
        <v/>
      </c>
      <c r="AF251" s="8" t="str">
        <v/>
      </c>
      <c r="AG251" s="8" t="str">
        <v/>
      </c>
      <c r="AH251" s="8" t="str">
        <v/>
      </c>
      <c r="AI251" s="8" t="n">
        <v>26</v>
      </c>
      <c r="AJ251" s="8" t="str">
        <v>60～69</v>
      </c>
      <c r="AK251" s="8" t="str">
        <v>0～4</v>
      </c>
      <c r="AL251" s="8" t="str">
        <v>20～29</v>
      </c>
      <c r="AM251" s="8" t="str">
        <v>100～119</v>
      </c>
      <c r="AN251" s="8" t="str">
        <v>12～14</v>
      </c>
      <c r="AO251" s="8" t="str">
        <f aca="false">IF(A251="","",IF(COUNTIFS(全馬データ!$A$2:$A$50000,A251,全馬データ!$B$2:$B$50000,B251,全馬データ!$C$2:$C$50000,C251,全馬データ!$D$2:$D$50000,E251,全馬データ!$K$2:$K$50000,"&lt;&gt;")=0,"",SUMIFS(全馬データ!$K$2:$K$50000,全馬データ!$A$2:$A$50000,A251,全馬データ!$B$2:$B$50000,B251,全馬データ!$C$2:$C$50000,C251,全馬データ!$D$2:$D$50000,E251)))</f>
        <v/>
      </c>
      <c r="AP251" s="8" t="str">
        <f aca="false">IF(A251="","",IF(AO251="","欠損",IF(AO251&lt;=1.1,"1.0～1.1",IF(AO251&lt;1.3,"1.2",IF(AO251&lt;1.5,"1.3～1.4",IF(AO251&lt;2,"1.5～1.9","2.0以上"))))))</f>
        <v>欠損</v>
      </c>
      <c r="AQ251" s="8" t="str">
        <f aca="false">IF(A251="","",IF(ISNUMBER(SEARCH("2歳",Z251)),"2歳戦",IF(ISNUMBER(SEARCH("3歳未勝利",Z251)),"3歳未勝利",IF(ISNUMBER(SEARCH("未勝利",Z251)),"その他未勝利",IF(ISNUMBER(SEARCH("G1",Z251)),"G1",IF(ISNUMBER(SEARCH("G2",Z251)),"G2",IF(ISNUMBER(SEARCH("G3",Z251)),"G3",IF(ISNUMBER(SEARCH("古馬条件",Z251)),"古馬条件戦",IF(ISNUMBER(SEARCH("重賞",Z251)),"重賞","分類不能")))))))))</f>
        <v>分類不能</v>
      </c>
      <c r="AR251" s="4" t="s">
        <v>7734</v>
      </c>
      <c r="AS251" s="8" t="s">
        <v>7626</v>
      </c>
      <c r="AT251" s="8" t="s">
        <v>7627</v>
      </c>
      <c r="AU251" s="8" t="s">
        <v>7634</v>
      </c>
      <c r="AV251" s="8" t="s">
        <v>7635</v>
      </c>
      <c r="AW251" s="8" t="s">
        <v>7636</v>
      </c>
      <c r="AX251" s="4" t="s">
        <v>7637</v>
      </c>
      <c r="AY251" s="8" t="s">
        <v>7610</v>
      </c>
      <c r="AZ251" s="4" t="s">
        <v>7617</v>
      </c>
      <c r="BA251" s="8" t="n">
        <v>1700</v>
      </c>
      <c r="BB251" s="8" t="s">
        <v>7598</v>
      </c>
      <c r="BC251" s="4" t="s">
        <v>7604</v>
      </c>
      <c r="BD251" s="8" t="s">
        <v>7605</v>
      </c>
      <c r="BE251" s="4" t="s">
        <v>7606</v>
      </c>
      <c r="BF251" s="8" t="s">
        <v>7607</v>
      </c>
      <c r="BG251" s="8" t="s">
        <v>7631</v>
      </c>
      <c r="BH251" s="4" t="s">
        <v>7632</v>
      </c>
      <c r="BI251" s="8" t="n">
        <v>14</v>
      </c>
      <c r="BJ251" s="8" t="s">
        <v>7602</v>
      </c>
      <c r="BK251" s="4" t="s">
        <v>7653</v>
      </c>
      <c r="BL251" s="8" t="s">
        <v>7602</v>
      </c>
      <c r="BM251" s="4" t="s">
        <v>7620</v>
      </c>
      <c r="BN251" s="8"/>
      <c r="BO251" s="8"/>
      <c r="BP251" s="8" t="s">
        <v>7608</v>
      </c>
      <c r="BQ251" s="8" t="str">
        <f aca="false">IF(A251="","",AT251)</f>
        <v>3歳以上</v>
      </c>
      <c r="BR251" s="8" t="str">
        <f aca="false">IF(A251="","",IF(BA251&lt;=1200,"～1200",IF(BA251&lt;=1500,"1300～1500",IF(BA251=1600,"1600",IF(BA251&lt;=1800,"1700～1800",IF(BA251&lt;=2000,"1900～2000","2100以上"))))))</f>
        <v>1700～1800</v>
      </c>
      <c r="BS251" s="8" t="str">
        <f aca="false">IF(A251="","",IF(AX251="G1","G1",IF(AX251="G2","G2",IF(AX251="G3","G3",IF(AX251="L","L","その他")))))</f>
        <v>その他</v>
      </c>
      <c r="BT251" s="8" t="str">
        <f aca="false">IF(A251="","",IF(BI251="","未結合",IF(D251=BI251,"一致","不一致")))</f>
        <v>一致</v>
      </c>
      <c r="BU251" s="8" t="str">
        <f aca="false">IF(A251="","",IF(BE251="牝馬限定","牝馬限定","その他"))</f>
        <v>その他</v>
      </c>
    </row>
    <row r="252" customFormat="false" ht="15.75" hidden="false" customHeight="false" outlineLevel="0" collapsed="false">
      <c r="A252" s="3" t="n">
        <v>46207</v>
      </c>
      <c r="B252" s="4" t="s">
        <v>1237</v>
      </c>
      <c r="C252" s="8" t="n">
        <v>11</v>
      </c>
      <c r="D252" s="8" t="n">
        <v>16</v>
      </c>
      <c r="E252" s="8" t="n">
        <v>5</v>
      </c>
      <c r="F252" s="4" t="s">
        <v>445</v>
      </c>
      <c r="G252" s="8" t="n">
        <v>67</v>
      </c>
      <c r="H252" s="8" t="n">
        <v>14</v>
      </c>
      <c r="I252" s="4" t="s">
        <v>446</v>
      </c>
      <c r="J252" s="8" t="n">
        <v>35</v>
      </c>
      <c r="K252" s="8" t="n">
        <v>6</v>
      </c>
      <c r="L252" s="4" t="s">
        <v>444</v>
      </c>
      <c r="M252" s="8" t="n">
        <v>34</v>
      </c>
      <c r="N252" s="8" t="n">
        <f aca="false">IF(A252="","",G252-J252)</f>
        <v>32</v>
      </c>
      <c r="O252" s="8" t="n">
        <f aca="false">IF(A252="","",J252-M252)</f>
        <v>1</v>
      </c>
      <c r="P252" s="8" t="n">
        <f aca="false">IF(A252="","",G252+J252)</f>
        <v>102</v>
      </c>
      <c r="Q252" s="8" t="str">
        <f aca="false">IF(A252="","",IF(AND(Y252&lt;&gt;"参考",G252&gt;=ルール設定!$B$2),"○",""))</f>
        <v/>
      </c>
      <c r="R252" s="8" t="str">
        <f aca="false">IF(A252="","",IF(AND(Y252&lt;&gt;"参考",G252&gt;=ルール設定!$B$3,N252&gt;=ルール設定!$B$4),"○",""))</f>
        <v/>
      </c>
      <c r="S252" s="8" t="str">
        <f aca="false">IF(A252="","",IF(AND(Y252&lt;&gt;"参考",G252&gt;=ルール設定!$B$5,J252&gt;=ルール設定!$B$6,O252&gt;=ルール設定!$B$7),"○",""))</f>
        <v/>
      </c>
      <c r="T252" s="8" t="n">
        <v>4</v>
      </c>
      <c r="U252" s="8" t="n">
        <v>3</v>
      </c>
      <c r="V252" s="8" t="str">
        <f aca="false">IF(A252="","",IF(AND(ISNUMBER(T252),ISNUMBER(U252)),IF(AND(T252&lt;=3,U252&lt;=3),"○","×"),""))</f>
        <v>×</v>
      </c>
      <c r="W252" s="8"/>
      <c r="X252" s="8"/>
      <c r="Y252" s="4" t="s">
        <v>7597</v>
      </c>
      <c r="Z252" s="4" t="s">
        <v>7726</v>
      </c>
      <c r="AA252" s="8" t="str">
        <v/>
      </c>
      <c r="AB252" s="8" t="str">
        <v/>
      </c>
      <c r="AC252" s="8" t="str">
        <v/>
      </c>
      <c r="AD252" s="8" t="str">
        <v/>
      </c>
      <c r="AE252" s="8" t="str">
        <v/>
      </c>
      <c r="AF252" s="8" t="str">
        <v/>
      </c>
      <c r="AG252" s="8" t="str">
        <v/>
      </c>
      <c r="AH252" s="8" t="str">
        <v/>
      </c>
      <c r="AI252" s="8" t="n">
        <v>33</v>
      </c>
      <c r="AJ252" s="8" t="str">
        <v>60～69</v>
      </c>
      <c r="AK252" s="8" t="str">
        <v>30以上</v>
      </c>
      <c r="AL252" s="8" t="str">
        <v>30～39</v>
      </c>
      <c r="AM252" s="8" t="str">
        <v>100～119</v>
      </c>
      <c r="AN252" s="8" t="str">
        <v>15以上</v>
      </c>
      <c r="AO252" s="8" t="str">
        <f aca="false">IF(A252="","",IF(COUNTIFS(全馬データ!$A$2:$A$50000,A252,全馬データ!$B$2:$B$50000,B252,全馬データ!$C$2:$C$50000,C252,全馬データ!$D$2:$D$50000,E252,全馬データ!$K$2:$K$50000,"&lt;&gt;")=0,"",SUMIFS(全馬データ!$K$2:$K$50000,全馬データ!$A$2:$A$50000,A252,全馬データ!$B$2:$B$50000,B252,全馬データ!$C$2:$C$50000,C252,全馬データ!$D$2:$D$50000,E252)))</f>
        <v/>
      </c>
      <c r="AP252" s="8" t="str">
        <f aca="false">IF(A252="","",IF(AO252="","欠損",IF(AO252&lt;=1.1,"1.0～1.1",IF(AO252&lt;1.3,"1.2",IF(AO252&lt;1.5,"1.3～1.4",IF(AO252&lt;2,"1.5～1.9","2.0以上"))))))</f>
        <v>欠損</v>
      </c>
      <c r="AQ252" s="8" t="str">
        <f aca="false">IF(A252="","",IF(ISNUMBER(SEARCH("2歳",Z252)),"2歳戦",IF(ISNUMBER(SEARCH("3歳未勝利",Z252)),"3歳未勝利",IF(ISNUMBER(SEARCH("未勝利",Z252)),"その他未勝利",IF(ISNUMBER(SEARCH("G1",Z252)),"G1",IF(ISNUMBER(SEARCH("G2",Z252)),"G2",IF(ISNUMBER(SEARCH("G3",Z252)),"G3",IF(ISNUMBER(SEARCH("古馬条件",Z252)),"古馬条件戦",IF(ISNUMBER(SEARCH("重賞",Z252)),"重賞","分類不能")))))))))</f>
        <v>分類不能</v>
      </c>
      <c r="AR252" s="4" t="s">
        <v>7735</v>
      </c>
      <c r="AS252" s="8" t="s">
        <v>7626</v>
      </c>
      <c r="AT252" s="8" t="s">
        <v>7627</v>
      </c>
      <c r="AU252" s="8" t="s">
        <v>7639</v>
      </c>
      <c r="AV252" s="8" t="s">
        <v>7640</v>
      </c>
      <c r="AW252" s="8" t="s">
        <v>7636</v>
      </c>
      <c r="AX252" s="4" t="s">
        <v>7637</v>
      </c>
      <c r="AY252" s="8" t="s">
        <v>7602</v>
      </c>
      <c r="AZ252" s="4" t="s">
        <v>7603</v>
      </c>
      <c r="BA252" s="8" t="n">
        <v>1200</v>
      </c>
      <c r="BB252" s="8" t="s">
        <v>7598</v>
      </c>
      <c r="BC252" s="4" t="s">
        <v>7604</v>
      </c>
      <c r="BD252" s="8" t="s">
        <v>7630</v>
      </c>
      <c r="BE252" s="4" t="s">
        <v>7606</v>
      </c>
      <c r="BF252" s="8" t="s">
        <v>7607</v>
      </c>
      <c r="BG252" s="8" t="s">
        <v>7631</v>
      </c>
      <c r="BH252" s="4" t="s">
        <v>7632</v>
      </c>
      <c r="BI252" s="8" t="n">
        <v>16</v>
      </c>
      <c r="BJ252" s="8" t="s">
        <v>7602</v>
      </c>
      <c r="BK252" s="4" t="s">
        <v>7653</v>
      </c>
      <c r="BL252" s="8" t="s">
        <v>7602</v>
      </c>
      <c r="BM252" s="4" t="s">
        <v>7620</v>
      </c>
      <c r="BN252" s="8" t="s">
        <v>7602</v>
      </c>
      <c r="BO252" s="8" t="s">
        <v>7613</v>
      </c>
      <c r="BP252" s="8" t="s">
        <v>7608</v>
      </c>
      <c r="BQ252" s="8" t="str">
        <f aca="false">IF(A252="","",AT252)</f>
        <v>3歳以上</v>
      </c>
      <c r="BR252" s="8" t="str">
        <f aca="false">IF(A252="","",IF(BA252&lt;=1200,"～1200",IF(BA252&lt;=1500,"1300～1500",IF(BA252=1600,"1600",IF(BA252&lt;=1800,"1700～1800",IF(BA252&lt;=2000,"1900～2000","2100以上"))))))</f>
        <v>～1200</v>
      </c>
      <c r="BS252" s="8" t="str">
        <f aca="false">IF(A252="","",IF(AX252="G1","G1",IF(AX252="G2","G2",IF(AX252="G3","G3",IF(AX252="L","L","その他")))))</f>
        <v>その他</v>
      </c>
      <c r="BT252" s="8" t="str">
        <f aca="false">IF(A252="","",IF(BI252="","未結合",IF(D252=BI252,"一致","不一致")))</f>
        <v>一致</v>
      </c>
      <c r="BU252" s="8" t="str">
        <f aca="false">IF(A252="","",IF(BE252="牝馬限定","牝馬限定","その他"))</f>
        <v>その他</v>
      </c>
    </row>
    <row r="253" customFormat="false" ht="15.75" hidden="false" customHeight="false" outlineLevel="0" collapsed="false">
      <c r="A253" s="3" t="n">
        <v>46207</v>
      </c>
      <c r="B253" s="4" t="s">
        <v>1237</v>
      </c>
      <c r="C253" s="8" t="n">
        <v>12</v>
      </c>
      <c r="D253" s="8" t="n">
        <v>7</v>
      </c>
      <c r="E253" s="8" t="n">
        <v>3</v>
      </c>
      <c r="F253" s="4" t="s">
        <v>2987</v>
      </c>
      <c r="G253" s="8" t="n">
        <v>75</v>
      </c>
      <c r="H253" s="8" t="n">
        <v>6</v>
      </c>
      <c r="I253" s="4" t="s">
        <v>1837</v>
      </c>
      <c r="J253" s="8" t="n">
        <v>67</v>
      </c>
      <c r="K253" s="8" t="n">
        <v>5</v>
      </c>
      <c r="L253" s="4" t="s">
        <v>2989</v>
      </c>
      <c r="M253" s="8" t="n">
        <v>34</v>
      </c>
      <c r="N253" s="8" t="n">
        <f aca="false">IF(A253="","",G253-J253)</f>
        <v>8</v>
      </c>
      <c r="O253" s="8" t="n">
        <f aca="false">IF(A253="","",J253-M253)</f>
        <v>33</v>
      </c>
      <c r="P253" s="8" t="n">
        <f aca="false">IF(A253="","",G253+J253)</f>
        <v>142</v>
      </c>
      <c r="Q253" s="8" t="str">
        <f aca="false">IF(A253="","",IF(AND(Y253&lt;&gt;"参考",G253&gt;=ルール設定!$B$2),"○",""))</f>
        <v/>
      </c>
      <c r="R253" s="8" t="str">
        <f aca="false">IF(A253="","",IF(AND(Y253&lt;&gt;"参考",G253&gt;=ルール設定!$B$3,N253&gt;=ルール設定!$B$4),"○",""))</f>
        <v/>
      </c>
      <c r="S253" s="8" t="str">
        <f aca="false">IF(A253="","",IF(AND(Y253&lt;&gt;"参考",G253&gt;=ルール設定!$B$5,J253&gt;=ルール設定!$B$6,O253&gt;=ルール設定!$B$7),"○",""))</f>
        <v>○</v>
      </c>
      <c r="T253" s="8" t="n">
        <v>3</v>
      </c>
      <c r="U253" s="8" t="n">
        <v>1</v>
      </c>
      <c r="V253" s="8" t="str">
        <f aca="false">IF(A253="","",IF(AND(ISNUMBER(T253),ISNUMBER(U253)),IF(AND(T253&lt;=3,U253&lt;=3),"○","×"),""))</f>
        <v>○</v>
      </c>
      <c r="W253" s="8"/>
      <c r="X253" s="8" t="n">
        <v>120</v>
      </c>
      <c r="Y253" s="4" t="s">
        <v>7597</v>
      </c>
      <c r="Z253" s="4" t="s">
        <v>7726</v>
      </c>
      <c r="AA253" s="8" t="str">
        <v/>
      </c>
      <c r="AB253" s="8" t="str">
        <v/>
      </c>
      <c r="AC253" s="8" t="str">
        <v/>
      </c>
      <c r="AD253" s="8" t="str">
        <v/>
      </c>
      <c r="AE253" s="8" t="str">
        <v/>
      </c>
      <c r="AF253" s="8" t="str">
        <v/>
      </c>
      <c r="AG253" s="8" t="str">
        <v/>
      </c>
      <c r="AH253" s="8" t="str">
        <v/>
      </c>
      <c r="AI253" s="8" t="n">
        <v>41</v>
      </c>
      <c r="AJ253" s="8" t="str">
        <v>75～79</v>
      </c>
      <c r="AK253" s="8" t="str">
        <v>5～9</v>
      </c>
      <c r="AL253" s="8" t="str">
        <v>40以上</v>
      </c>
      <c r="AM253" s="8" t="str">
        <v>140～159</v>
      </c>
      <c r="AN253" s="8" t="str">
        <v>7以下</v>
      </c>
      <c r="AO253" s="8" t="str">
        <f aca="false">IF(A253="","",IF(COUNTIFS(全馬データ!$A$2:$A$50000,A253,全馬データ!$B$2:$B$50000,B253,全馬データ!$C$2:$C$50000,C253,全馬データ!$D$2:$D$50000,E253,全馬データ!$K$2:$K$50000,"&lt;&gt;")=0,"",SUMIFS(全馬データ!$K$2:$K$50000,全馬データ!$A$2:$A$50000,A253,全馬データ!$B$2:$B$50000,B253,全馬データ!$C$2:$C$50000,C253,全馬データ!$D$2:$D$50000,E253)))</f>
        <v/>
      </c>
      <c r="AP253" s="8" t="str">
        <f aca="false">IF(A253="","",IF(AO253="","欠損",IF(AO253&lt;=1.1,"1.0～1.1",IF(AO253&lt;1.3,"1.2",IF(AO253&lt;1.5,"1.3～1.4",IF(AO253&lt;2,"1.5～1.9","2.0以上"))))))</f>
        <v>欠損</v>
      </c>
      <c r="AQ253" s="8" t="str">
        <f aca="false">IF(A253="","",IF(ISNUMBER(SEARCH("2歳",Z253)),"2歳戦",IF(ISNUMBER(SEARCH("3歳未勝利",Z253)),"3歳未勝利",IF(ISNUMBER(SEARCH("未勝利",Z253)),"その他未勝利",IF(ISNUMBER(SEARCH("G1",Z253)),"G1",IF(ISNUMBER(SEARCH("G2",Z253)),"G2",IF(ISNUMBER(SEARCH("G3",Z253)),"G3",IF(ISNUMBER(SEARCH("古馬条件",Z253)),"古馬条件戦",IF(ISNUMBER(SEARCH("重賞",Z253)),"重賞","分類不能")))))))))</f>
        <v>分類不能</v>
      </c>
      <c r="AR253" s="8"/>
      <c r="AS253" s="8" t="s">
        <v>7626</v>
      </c>
      <c r="AT253" s="8" t="s">
        <v>7627</v>
      </c>
      <c r="AU253" s="8" t="s">
        <v>7628</v>
      </c>
      <c r="AV253" s="8" t="s">
        <v>7629</v>
      </c>
      <c r="AW253" s="8"/>
      <c r="AX253" s="8"/>
      <c r="AY253" s="8" t="s">
        <v>7610</v>
      </c>
      <c r="AZ253" s="4" t="s">
        <v>7617</v>
      </c>
      <c r="BA253" s="8" t="n">
        <v>1700</v>
      </c>
      <c r="BB253" s="8" t="s">
        <v>7598</v>
      </c>
      <c r="BC253" s="4" t="s">
        <v>7604</v>
      </c>
      <c r="BD253" s="8" t="s">
        <v>7625</v>
      </c>
      <c r="BE253" s="4" t="s">
        <v>7606</v>
      </c>
      <c r="BF253" s="8" t="s">
        <v>7607</v>
      </c>
      <c r="BG253" s="8" t="s">
        <v>7631</v>
      </c>
      <c r="BH253" s="4" t="s">
        <v>7632</v>
      </c>
      <c r="BI253" s="8" t="n">
        <v>7</v>
      </c>
      <c r="BJ253" s="8" t="s">
        <v>7602</v>
      </c>
      <c r="BK253" s="4" t="s">
        <v>7653</v>
      </c>
      <c r="BL253" s="8" t="s">
        <v>7602</v>
      </c>
      <c r="BM253" s="4" t="s">
        <v>7620</v>
      </c>
      <c r="BN253" s="8"/>
      <c r="BO253" s="8"/>
      <c r="BP253" s="8" t="s">
        <v>7608</v>
      </c>
      <c r="BQ253" s="8" t="str">
        <f aca="false">IF(A253="","",AT253)</f>
        <v>3歳以上</v>
      </c>
      <c r="BR253" s="8" t="str">
        <f aca="false">IF(A253="","",IF(BA253&lt;=1200,"～1200",IF(BA253&lt;=1500,"1300～1500",IF(BA253=1600,"1600",IF(BA253&lt;=1800,"1700～1800",IF(BA253&lt;=2000,"1900～2000","2100以上"))))))</f>
        <v>1700～1800</v>
      </c>
      <c r="BS253" s="8" t="str">
        <f aca="false">IF(A253="","",IF(AX253="G1","G1",IF(AX253="G2","G2",IF(AX253="G3","G3",IF(AX253="L","L","その他")))))</f>
        <v>その他</v>
      </c>
      <c r="BT253" s="8" t="str">
        <f aca="false">IF(A253="","",IF(BI253="","未結合",IF(D253=BI253,"一致","不一致")))</f>
        <v>一致</v>
      </c>
      <c r="BU253" s="8" t="str">
        <f aca="false">IF(A253="","",IF(BE253="牝馬限定","牝馬限定","その他"))</f>
        <v>その他</v>
      </c>
    </row>
    <row r="254" customFormat="false" ht="15.75" hidden="false" customHeight="false" outlineLevel="0" collapsed="false">
      <c r="A254" s="3" t="n">
        <v>46208</v>
      </c>
      <c r="B254" s="4" t="s">
        <v>915</v>
      </c>
      <c r="C254" s="8" t="n">
        <v>1</v>
      </c>
      <c r="D254" s="8" t="n">
        <v>15</v>
      </c>
      <c r="E254" s="8" t="n">
        <v>15</v>
      </c>
      <c r="F254" s="4" t="s">
        <v>2999</v>
      </c>
      <c r="G254" s="8" t="n">
        <v>44</v>
      </c>
      <c r="H254" s="8" t="n">
        <v>5</v>
      </c>
      <c r="I254" s="4" t="s">
        <v>2994</v>
      </c>
      <c r="J254" s="8" t="n">
        <v>39</v>
      </c>
      <c r="K254" s="8" t="n">
        <v>10</v>
      </c>
      <c r="L254" s="4" t="s">
        <v>2998</v>
      </c>
      <c r="M254" s="8" t="n">
        <v>39</v>
      </c>
      <c r="N254" s="8" t="n">
        <f aca="false">IF(A254="","",G254-J254)</f>
        <v>5</v>
      </c>
      <c r="O254" s="8" t="n">
        <f aca="false">IF(A254="","",J254-M254)</f>
        <v>0</v>
      </c>
      <c r="P254" s="8" t="n">
        <f aca="false">IF(A254="","",G254+J254)</f>
        <v>83</v>
      </c>
      <c r="Q254" s="8" t="str">
        <f aca="false">IF(A254="","",IF(AND(Y254&lt;&gt;"参考",G254&gt;=ルール設定!$B$2),"○",""))</f>
        <v/>
      </c>
      <c r="R254" s="8" t="str">
        <f aca="false">IF(A254="","",IF(AND(Y254&lt;&gt;"参考",G254&gt;=ルール設定!$B$3,N254&gt;=ルール設定!$B$4),"○",""))</f>
        <v/>
      </c>
      <c r="S254" s="8" t="str">
        <f aca="false">IF(A254="","",IF(AND(Y254&lt;&gt;"参考",G254&gt;=ルール設定!$B$5,J254&gt;=ルール設定!$B$6,O254&gt;=ルール設定!$B$7),"○",""))</f>
        <v/>
      </c>
      <c r="T254" s="8" t="n">
        <v>4</v>
      </c>
      <c r="U254" s="8" t="n">
        <v>3</v>
      </c>
      <c r="V254" s="8" t="str">
        <f aca="false">IF(A254="","",IF(AND(ISNUMBER(T254),ISNUMBER(U254)),IF(AND(T254&lt;=3,U254&lt;=3),"○","×"),""))</f>
        <v>×</v>
      </c>
      <c r="W254" s="8"/>
      <c r="X254" s="8"/>
      <c r="Y254" s="4" t="s">
        <v>7597</v>
      </c>
      <c r="Z254" s="4" t="s">
        <v>7726</v>
      </c>
      <c r="AA254" s="8" t="str">
        <v/>
      </c>
      <c r="AB254" s="8" t="str">
        <v/>
      </c>
      <c r="AC254" s="8" t="str">
        <v/>
      </c>
      <c r="AD254" s="8" t="str">
        <v/>
      </c>
      <c r="AE254" s="8" t="str">
        <v/>
      </c>
      <c r="AF254" s="8" t="str">
        <v/>
      </c>
      <c r="AG254" s="8" t="str">
        <v/>
      </c>
      <c r="AH254" s="8" t="str">
        <v/>
      </c>
      <c r="AI254" s="8" t="n">
        <v>5</v>
      </c>
      <c r="AJ254" s="8" t="str">
        <v>～59</v>
      </c>
      <c r="AK254" s="8" t="str">
        <v>5～9</v>
      </c>
      <c r="AL254" s="8" t="str">
        <v>0～9</v>
      </c>
      <c r="AM254" s="8" t="str">
        <v>～99</v>
      </c>
      <c r="AN254" s="8" t="str">
        <v>15以上</v>
      </c>
      <c r="AO254" s="8" t="str">
        <f aca="false">IF(A254="","",IF(COUNTIFS(全馬データ!$A$2:$A$50000,A254,全馬データ!$B$2:$B$50000,B254,全馬データ!$C$2:$C$50000,C254,全馬データ!$D$2:$D$50000,E254,全馬データ!$K$2:$K$50000,"&lt;&gt;")=0,"",SUMIFS(全馬データ!$K$2:$K$50000,全馬データ!$A$2:$A$50000,A254,全馬データ!$B$2:$B$50000,B254,全馬データ!$C$2:$C$50000,C254,全馬データ!$D$2:$D$50000,E254)))</f>
        <v/>
      </c>
      <c r="AP254" s="8" t="str">
        <f aca="false">IF(A254="","",IF(AO254="","欠損",IF(AO254&lt;=1.1,"1.0～1.1",IF(AO254&lt;1.3,"1.2",IF(AO254&lt;1.5,"1.3～1.4",IF(AO254&lt;2,"1.5～1.9","2.0以上"))))))</f>
        <v>欠損</v>
      </c>
      <c r="AQ254" s="8" t="str">
        <f aca="false">IF(A254="","",IF(ISNUMBER(SEARCH("2歳",Z254)),"2歳戦",IF(ISNUMBER(SEARCH("3歳未勝利",Z254)),"3歳未勝利",IF(ISNUMBER(SEARCH("未勝利",Z254)),"その他未勝利",IF(ISNUMBER(SEARCH("G1",Z254)),"G1",IF(ISNUMBER(SEARCH("G2",Z254)),"G2",IF(ISNUMBER(SEARCH("G3",Z254)),"G3",IF(ISNUMBER(SEARCH("古馬条件",Z254)),"古馬条件戦",IF(ISNUMBER(SEARCH("重賞",Z254)),"重賞","分類不能")))))))))</f>
        <v>分類不能</v>
      </c>
      <c r="AR254" s="8"/>
      <c r="AS254" s="8" t="s">
        <v>7623</v>
      </c>
      <c r="AT254" s="8" t="s">
        <v>7624</v>
      </c>
      <c r="AU254" s="8" t="s">
        <v>7600</v>
      </c>
      <c r="AV254" s="4" t="s">
        <v>7601</v>
      </c>
      <c r="AW254" s="8"/>
      <c r="AX254" s="8"/>
      <c r="AY254" s="8" t="s">
        <v>7610</v>
      </c>
      <c r="AZ254" s="4" t="s">
        <v>7617</v>
      </c>
      <c r="BA254" s="8" t="n">
        <v>1700</v>
      </c>
      <c r="BB254" s="8" t="s">
        <v>7598</v>
      </c>
      <c r="BC254" s="4" t="s">
        <v>7604</v>
      </c>
      <c r="BD254" s="8" t="s">
        <v>7621</v>
      </c>
      <c r="BE254" s="4" t="s">
        <v>7622</v>
      </c>
      <c r="BF254" s="8" t="s">
        <v>7602</v>
      </c>
      <c r="BG254" s="8" t="s">
        <v>7608</v>
      </c>
      <c r="BH254" s="4" t="s">
        <v>7609</v>
      </c>
      <c r="BI254" s="8" t="n">
        <v>15</v>
      </c>
      <c r="BJ254" s="8" t="s">
        <v>7602</v>
      </c>
      <c r="BK254" s="4" t="s">
        <v>7653</v>
      </c>
      <c r="BL254" s="8" t="s">
        <v>7602</v>
      </c>
      <c r="BM254" s="4" t="s">
        <v>7620</v>
      </c>
      <c r="BN254" s="8"/>
      <c r="BO254" s="8"/>
      <c r="BP254" s="8" t="s">
        <v>7602</v>
      </c>
      <c r="BQ254" s="8" t="str">
        <f aca="false">IF(A254="","",AT254)</f>
        <v>3歳</v>
      </c>
      <c r="BR254" s="8" t="str">
        <f aca="false">IF(A254="","",IF(BA254&lt;=1200,"～1200",IF(BA254&lt;=1500,"1300～1500",IF(BA254=1600,"1600",IF(BA254&lt;=1800,"1700～1800",IF(BA254&lt;=2000,"1900～2000","2100以上"))))))</f>
        <v>1700～1800</v>
      </c>
      <c r="BS254" s="8" t="str">
        <f aca="false">IF(A254="","",IF(AX254="G1","G1",IF(AX254="G2","G2",IF(AX254="G3","G3",IF(AX254="L","L","その他")))))</f>
        <v>その他</v>
      </c>
      <c r="BT254" s="8" t="str">
        <f aca="false">IF(A254="","",IF(BI254="","未結合",IF(D254=BI254,"一致","不一致")))</f>
        <v>一致</v>
      </c>
      <c r="BU254" s="8" t="str">
        <f aca="false">IF(A254="","",IF(BE254="牝馬限定","牝馬限定","その他"))</f>
        <v>牝馬限定</v>
      </c>
    </row>
    <row r="255" customFormat="false" ht="15.75" hidden="false" customHeight="false" outlineLevel="0" collapsed="false">
      <c r="A255" s="3" t="n">
        <v>46208</v>
      </c>
      <c r="B255" s="4" t="s">
        <v>915</v>
      </c>
      <c r="C255" s="8" t="n">
        <v>2</v>
      </c>
      <c r="D255" s="8" t="n">
        <v>16</v>
      </c>
      <c r="E255" s="8" t="n">
        <v>11</v>
      </c>
      <c r="F255" s="4" t="s">
        <v>159</v>
      </c>
      <c r="G255" s="8" t="n">
        <v>47</v>
      </c>
      <c r="H255" s="8" t="n">
        <v>8</v>
      </c>
      <c r="I255" s="4" t="s">
        <v>3006</v>
      </c>
      <c r="J255" s="8" t="n">
        <v>39</v>
      </c>
      <c r="K255" s="8" t="n">
        <v>9</v>
      </c>
      <c r="L255" s="4" t="s">
        <v>3007</v>
      </c>
      <c r="M255" s="8" t="n">
        <v>39</v>
      </c>
      <c r="N255" s="8" t="n">
        <f aca="false">IF(A255="","",G255-J255)</f>
        <v>8</v>
      </c>
      <c r="O255" s="8" t="n">
        <f aca="false">IF(A255="","",J255-M255)</f>
        <v>0</v>
      </c>
      <c r="P255" s="8" t="n">
        <f aca="false">IF(A255="","",G255+J255)</f>
        <v>86</v>
      </c>
      <c r="Q255" s="8" t="str">
        <f aca="false">IF(A255="","",IF(AND(Y255&lt;&gt;"参考",G255&gt;=ルール設定!$B$2),"○",""))</f>
        <v/>
      </c>
      <c r="R255" s="8" t="str">
        <f aca="false">IF(A255="","",IF(AND(Y255&lt;&gt;"参考",G255&gt;=ルール設定!$B$3,N255&gt;=ルール設定!$B$4),"○",""))</f>
        <v/>
      </c>
      <c r="S255" s="8" t="str">
        <f aca="false">IF(A255="","",IF(AND(Y255&lt;&gt;"参考",G255&gt;=ルール設定!$B$5,J255&gt;=ルール設定!$B$6,O255&gt;=ルール設定!$B$7),"○",""))</f>
        <v/>
      </c>
      <c r="T255" s="8" t="n">
        <v>3</v>
      </c>
      <c r="U255" s="8" t="n">
        <v>1</v>
      </c>
      <c r="V255" s="8" t="str">
        <f aca="false">IF(A255="","",IF(AND(ISNUMBER(T255),ISNUMBER(U255)),IF(AND(T255&lt;=3,U255&lt;=3),"○","×"),""))</f>
        <v>○</v>
      </c>
      <c r="W255" s="8" t="n">
        <v>150</v>
      </c>
      <c r="X255" s="8" t="n">
        <v>570</v>
      </c>
      <c r="Y255" s="4" t="s">
        <v>7597</v>
      </c>
      <c r="Z255" s="4" t="s">
        <v>7726</v>
      </c>
      <c r="AA255" s="8" t="str">
        <v/>
      </c>
      <c r="AB255" s="8" t="str">
        <v/>
      </c>
      <c r="AC255" s="8" t="str">
        <v/>
      </c>
      <c r="AD255" s="8" t="str">
        <v/>
      </c>
      <c r="AE255" s="8" t="str">
        <v/>
      </c>
      <c r="AF255" s="8" t="str">
        <v/>
      </c>
      <c r="AG255" s="8" t="str">
        <v/>
      </c>
      <c r="AH255" s="8" t="str">
        <v/>
      </c>
      <c r="AI255" s="8" t="n">
        <v>8</v>
      </c>
      <c r="AJ255" s="8" t="str">
        <v>～59</v>
      </c>
      <c r="AK255" s="8" t="str">
        <v>5～9</v>
      </c>
      <c r="AL255" s="8" t="str">
        <v>0～9</v>
      </c>
      <c r="AM255" s="8" t="str">
        <v>～99</v>
      </c>
      <c r="AN255" s="8" t="str">
        <v>15以上</v>
      </c>
      <c r="AO255" s="8" t="str">
        <f aca="false">IF(A255="","",IF(COUNTIFS(全馬データ!$A$2:$A$50000,A255,全馬データ!$B$2:$B$50000,B255,全馬データ!$C$2:$C$50000,C255,全馬データ!$D$2:$D$50000,E255,全馬データ!$K$2:$K$50000,"&lt;&gt;")=0,"",SUMIFS(全馬データ!$K$2:$K$50000,全馬データ!$A$2:$A$50000,A255,全馬データ!$B$2:$B$50000,B255,全馬データ!$C$2:$C$50000,C255,全馬データ!$D$2:$D$50000,E255)))</f>
        <v/>
      </c>
      <c r="AP255" s="8" t="str">
        <f aca="false">IF(A255="","",IF(AO255="","欠損",IF(AO255&lt;=1.1,"1.0～1.1",IF(AO255&lt;1.3,"1.2",IF(AO255&lt;1.5,"1.3～1.4",IF(AO255&lt;2,"1.5～1.9","2.0以上"))))))</f>
        <v>欠損</v>
      </c>
      <c r="AQ255" s="8" t="str">
        <f aca="false">IF(A255="","",IF(ISNUMBER(SEARCH("2歳",Z255)),"2歳戦",IF(ISNUMBER(SEARCH("3歳未勝利",Z255)),"3歳未勝利",IF(ISNUMBER(SEARCH("未勝利",Z255)),"その他未勝利",IF(ISNUMBER(SEARCH("G1",Z255)),"G1",IF(ISNUMBER(SEARCH("G2",Z255)),"G2",IF(ISNUMBER(SEARCH("G3",Z255)),"G3",IF(ISNUMBER(SEARCH("古馬条件",Z255)),"古馬条件戦",IF(ISNUMBER(SEARCH("重賞",Z255)),"重賞","分類不能")))))))))</f>
        <v>分類不能</v>
      </c>
      <c r="AR255" s="8"/>
      <c r="AS255" s="8" t="s">
        <v>7623</v>
      </c>
      <c r="AT255" s="8" t="s">
        <v>7624</v>
      </c>
      <c r="AU255" s="8" t="s">
        <v>7600</v>
      </c>
      <c r="AV255" s="4" t="s">
        <v>7601</v>
      </c>
      <c r="AW255" s="8"/>
      <c r="AX255" s="8"/>
      <c r="AY255" s="8" t="s">
        <v>7602</v>
      </c>
      <c r="AZ255" s="4" t="s">
        <v>7603</v>
      </c>
      <c r="BA255" s="8" t="n">
        <v>1200</v>
      </c>
      <c r="BB255" s="8" t="s">
        <v>7598</v>
      </c>
      <c r="BC255" s="4" t="s">
        <v>7604</v>
      </c>
      <c r="BD255" s="8" t="s">
        <v>7605</v>
      </c>
      <c r="BE255" s="4" t="s">
        <v>7606</v>
      </c>
      <c r="BF255" s="8" t="s">
        <v>7607</v>
      </c>
      <c r="BG255" s="8" t="s">
        <v>7608</v>
      </c>
      <c r="BH255" s="4" t="s">
        <v>7609</v>
      </c>
      <c r="BI255" s="8" t="n">
        <v>16</v>
      </c>
      <c r="BJ255" s="8" t="s">
        <v>7602</v>
      </c>
      <c r="BK255" s="4" t="s">
        <v>7653</v>
      </c>
      <c r="BL255" s="8" t="s">
        <v>7602</v>
      </c>
      <c r="BM255" s="4" t="s">
        <v>7620</v>
      </c>
      <c r="BN255" s="8" t="s">
        <v>7602</v>
      </c>
      <c r="BO255" s="8" t="s">
        <v>7613</v>
      </c>
      <c r="BP255" s="8" t="s">
        <v>7602</v>
      </c>
      <c r="BQ255" s="8" t="str">
        <f aca="false">IF(A255="","",AT255)</f>
        <v>3歳</v>
      </c>
      <c r="BR255" s="8" t="str">
        <f aca="false">IF(A255="","",IF(BA255&lt;=1200,"～1200",IF(BA255&lt;=1500,"1300～1500",IF(BA255=1600,"1600",IF(BA255&lt;=1800,"1700～1800",IF(BA255&lt;=2000,"1900～2000","2100以上"))))))</f>
        <v>～1200</v>
      </c>
      <c r="BS255" s="8" t="str">
        <f aca="false">IF(A255="","",IF(AX255="G1","G1",IF(AX255="G2","G2",IF(AX255="G3","G3",IF(AX255="L","L","その他")))))</f>
        <v>その他</v>
      </c>
      <c r="BT255" s="8" t="str">
        <f aca="false">IF(A255="","",IF(BI255="","未結合",IF(D255=BI255,"一致","不一致")))</f>
        <v>一致</v>
      </c>
      <c r="BU255" s="8" t="str">
        <f aca="false">IF(A255="","",IF(BE255="牝馬限定","牝馬限定","その他"))</f>
        <v>その他</v>
      </c>
    </row>
    <row r="256" customFormat="false" ht="15.75" hidden="false" customHeight="false" outlineLevel="0" collapsed="false">
      <c r="A256" s="3" t="n">
        <v>46208</v>
      </c>
      <c r="B256" s="4" t="s">
        <v>915</v>
      </c>
      <c r="C256" s="8" t="n">
        <v>3</v>
      </c>
      <c r="D256" s="8" t="n">
        <v>16</v>
      </c>
      <c r="E256" s="8" t="n">
        <v>5</v>
      </c>
      <c r="F256" s="4" t="s">
        <v>3016</v>
      </c>
      <c r="G256" s="8" t="n">
        <v>58</v>
      </c>
      <c r="H256" s="8" t="n">
        <v>14</v>
      </c>
      <c r="I256" s="4" t="s">
        <v>3025</v>
      </c>
      <c r="J256" s="8" t="n">
        <v>44</v>
      </c>
      <c r="K256" s="8" t="n">
        <v>11</v>
      </c>
      <c r="L256" s="4" t="s">
        <v>3022</v>
      </c>
      <c r="M256" s="8" t="n">
        <v>41</v>
      </c>
      <c r="N256" s="8" t="n">
        <f aca="false">IF(A256="","",G256-J256)</f>
        <v>14</v>
      </c>
      <c r="O256" s="8" t="n">
        <f aca="false">IF(A256="","",J256-M256)</f>
        <v>3</v>
      </c>
      <c r="P256" s="8" t="n">
        <f aca="false">IF(A256="","",G256+J256)</f>
        <v>102</v>
      </c>
      <c r="Q256" s="8" t="str">
        <f aca="false">IF(A256="","",IF(AND(Y256&lt;&gt;"参考",G256&gt;=ルール設定!$B$2),"○",""))</f>
        <v/>
      </c>
      <c r="R256" s="8" t="str">
        <f aca="false">IF(A256="","",IF(AND(Y256&lt;&gt;"参考",G256&gt;=ルール設定!$B$3,N256&gt;=ルール設定!$B$4),"○",""))</f>
        <v/>
      </c>
      <c r="S256" s="8" t="str">
        <f aca="false">IF(A256="","",IF(AND(Y256&lt;&gt;"参考",G256&gt;=ルール設定!$B$5,J256&gt;=ルール設定!$B$6,O256&gt;=ルール設定!$B$7),"○",""))</f>
        <v/>
      </c>
      <c r="T256" s="8" t="n">
        <v>1</v>
      </c>
      <c r="U256" s="8" t="n">
        <v>2</v>
      </c>
      <c r="V256" s="8" t="str">
        <f aca="false">IF(A256="","",IF(AND(ISNUMBER(T256),ISNUMBER(U256)),IF(AND(T256&lt;=3,U256&lt;=3),"○","×"),""))</f>
        <v>○</v>
      </c>
      <c r="W256" s="8" t="n">
        <v>150</v>
      </c>
      <c r="X256" s="8" t="n">
        <v>310</v>
      </c>
      <c r="Y256" s="4" t="s">
        <v>7597</v>
      </c>
      <c r="Z256" s="4" t="s">
        <v>7726</v>
      </c>
      <c r="AA256" s="8" t="str">
        <v/>
      </c>
      <c r="AB256" s="8" t="str">
        <v/>
      </c>
      <c r="AC256" s="8" t="str">
        <v/>
      </c>
      <c r="AD256" s="8" t="str">
        <v/>
      </c>
      <c r="AE256" s="8" t="str">
        <v/>
      </c>
      <c r="AF256" s="8" t="str">
        <v/>
      </c>
      <c r="AG256" s="8" t="str">
        <v/>
      </c>
      <c r="AH256" s="8" t="str">
        <v/>
      </c>
      <c r="AI256" s="8" t="n">
        <v>17</v>
      </c>
      <c r="AJ256" s="8" t="str">
        <v>～59</v>
      </c>
      <c r="AK256" s="8" t="str">
        <v>10～19</v>
      </c>
      <c r="AL256" s="8" t="str">
        <v>10～19</v>
      </c>
      <c r="AM256" s="8" t="str">
        <v>100～119</v>
      </c>
      <c r="AN256" s="8" t="str">
        <v>15以上</v>
      </c>
      <c r="AO256" s="8" t="str">
        <f aca="false">IF(A256="","",IF(COUNTIFS(全馬データ!$A$2:$A$50000,A256,全馬データ!$B$2:$B$50000,B256,全馬データ!$C$2:$C$50000,C256,全馬データ!$D$2:$D$50000,E256,全馬データ!$K$2:$K$50000,"&lt;&gt;")=0,"",SUMIFS(全馬データ!$K$2:$K$50000,全馬データ!$A$2:$A$50000,A256,全馬データ!$B$2:$B$50000,B256,全馬データ!$C$2:$C$50000,C256,全馬データ!$D$2:$D$50000,E256)))</f>
        <v/>
      </c>
      <c r="AP256" s="8" t="str">
        <f aca="false">IF(A256="","",IF(AO256="","欠損",IF(AO256&lt;=1.1,"1.0～1.1",IF(AO256&lt;1.3,"1.2",IF(AO256&lt;1.5,"1.3～1.4",IF(AO256&lt;2,"1.5～1.9","2.0以上"))))))</f>
        <v>欠損</v>
      </c>
      <c r="AQ256" s="8" t="str">
        <f aca="false">IF(A256="","",IF(ISNUMBER(SEARCH("2歳",Z256)),"2歳戦",IF(ISNUMBER(SEARCH("3歳未勝利",Z256)),"3歳未勝利",IF(ISNUMBER(SEARCH("未勝利",Z256)),"その他未勝利",IF(ISNUMBER(SEARCH("G1",Z256)),"G1",IF(ISNUMBER(SEARCH("G2",Z256)),"G2",IF(ISNUMBER(SEARCH("G3",Z256)),"G3",IF(ISNUMBER(SEARCH("古馬条件",Z256)),"古馬条件戦",IF(ISNUMBER(SEARCH("重賞",Z256)),"重賞","分類不能")))))))))</f>
        <v>分類不能</v>
      </c>
      <c r="AR256" s="8"/>
      <c r="AS256" s="8" t="s">
        <v>7623</v>
      </c>
      <c r="AT256" s="8" t="s">
        <v>7624</v>
      </c>
      <c r="AU256" s="8" t="s">
        <v>7600</v>
      </c>
      <c r="AV256" s="4" t="s">
        <v>7601</v>
      </c>
      <c r="AW256" s="8"/>
      <c r="AX256" s="8"/>
      <c r="AY256" s="8" t="s">
        <v>7602</v>
      </c>
      <c r="AZ256" s="4" t="s">
        <v>7603</v>
      </c>
      <c r="BA256" s="8" t="n">
        <v>1800</v>
      </c>
      <c r="BB256" s="8" t="s">
        <v>7598</v>
      </c>
      <c r="BC256" s="4" t="s">
        <v>7604</v>
      </c>
      <c r="BD256" s="8" t="s">
        <v>7625</v>
      </c>
      <c r="BE256" s="4" t="s">
        <v>7606</v>
      </c>
      <c r="BF256" s="8" t="s">
        <v>7607</v>
      </c>
      <c r="BG256" s="8" t="s">
        <v>7608</v>
      </c>
      <c r="BH256" s="4" t="s">
        <v>7609</v>
      </c>
      <c r="BI256" s="8" t="n">
        <v>16</v>
      </c>
      <c r="BJ256" s="8" t="s">
        <v>7602</v>
      </c>
      <c r="BK256" s="4" t="s">
        <v>7653</v>
      </c>
      <c r="BL256" s="8" t="s">
        <v>7602</v>
      </c>
      <c r="BM256" s="4" t="s">
        <v>7620</v>
      </c>
      <c r="BN256" s="8" t="s">
        <v>7602</v>
      </c>
      <c r="BO256" s="8" t="s">
        <v>7613</v>
      </c>
      <c r="BP256" s="8" t="s">
        <v>7602</v>
      </c>
      <c r="BQ256" s="8" t="str">
        <f aca="false">IF(A256="","",AT256)</f>
        <v>3歳</v>
      </c>
      <c r="BR256" s="8" t="str">
        <f aca="false">IF(A256="","",IF(BA256&lt;=1200,"～1200",IF(BA256&lt;=1500,"1300～1500",IF(BA256=1600,"1600",IF(BA256&lt;=1800,"1700～1800",IF(BA256&lt;=2000,"1900～2000","2100以上"))))))</f>
        <v>1700～1800</v>
      </c>
      <c r="BS256" s="8" t="str">
        <f aca="false">IF(A256="","",IF(AX256="G1","G1",IF(AX256="G2","G2",IF(AX256="G3","G3",IF(AX256="L","L","その他")))))</f>
        <v>その他</v>
      </c>
      <c r="BT256" s="8" t="str">
        <f aca="false">IF(A256="","",IF(BI256="","未結合",IF(D256=BI256,"一致","不一致")))</f>
        <v>一致</v>
      </c>
      <c r="BU256" s="8" t="str">
        <f aca="false">IF(A256="","",IF(BE256="牝馬限定","牝馬限定","その他"))</f>
        <v>その他</v>
      </c>
    </row>
    <row r="257" customFormat="false" ht="15.75" hidden="false" customHeight="false" outlineLevel="0" collapsed="false">
      <c r="A257" s="3" t="n">
        <v>46208</v>
      </c>
      <c r="B257" s="4" t="s">
        <v>915</v>
      </c>
      <c r="C257" s="8" t="n">
        <v>4</v>
      </c>
      <c r="D257" s="8" t="n">
        <v>16</v>
      </c>
      <c r="E257" s="8" t="n">
        <v>7</v>
      </c>
      <c r="F257" s="4" t="s">
        <v>3034</v>
      </c>
      <c r="G257" s="8" t="n">
        <v>74</v>
      </c>
      <c r="H257" s="8" t="n">
        <v>10</v>
      </c>
      <c r="I257" s="4" t="s">
        <v>3036</v>
      </c>
      <c r="J257" s="8" t="n">
        <v>66</v>
      </c>
      <c r="K257" s="8" t="n">
        <v>4</v>
      </c>
      <c r="L257" s="4" t="s">
        <v>3031</v>
      </c>
      <c r="M257" s="8" t="n">
        <v>34</v>
      </c>
      <c r="N257" s="8" t="n">
        <f aca="false">IF(A257="","",G257-J257)</f>
        <v>8</v>
      </c>
      <c r="O257" s="8" t="n">
        <f aca="false">IF(A257="","",J257-M257)</f>
        <v>32</v>
      </c>
      <c r="P257" s="8" t="n">
        <f aca="false">IF(A257="","",G257+J257)</f>
        <v>140</v>
      </c>
      <c r="Q257" s="8" t="str">
        <f aca="false">IF(A257="","",IF(AND(Y257&lt;&gt;"参考",G257&gt;=ルール設定!$B$2),"○",""))</f>
        <v/>
      </c>
      <c r="R257" s="8" t="str">
        <f aca="false">IF(A257="","",IF(AND(Y257&lt;&gt;"参考",G257&gt;=ルール設定!$B$3,N257&gt;=ルール設定!$B$4),"○",""))</f>
        <v/>
      </c>
      <c r="S257" s="8" t="str">
        <f aca="false">IF(A257="","",IF(AND(Y257&lt;&gt;"参考",G257&gt;=ルール設定!$B$5,J257&gt;=ルール設定!$B$6,O257&gt;=ルール設定!$B$7),"○",""))</f>
        <v>○</v>
      </c>
      <c r="T257" s="8" t="n">
        <v>4</v>
      </c>
      <c r="U257" s="8" t="n">
        <v>1</v>
      </c>
      <c r="V257" s="8" t="str">
        <f aca="false">IF(A257="","",IF(AND(ISNUMBER(T257),ISNUMBER(U257)),IF(AND(T257&lt;=3,U257&lt;=3),"○","×"),""))</f>
        <v>×</v>
      </c>
      <c r="W257" s="8"/>
      <c r="X257" s="8"/>
      <c r="Y257" s="4" t="s">
        <v>7597</v>
      </c>
      <c r="Z257" s="4" t="s">
        <v>7726</v>
      </c>
      <c r="AA257" s="8" t="str">
        <v/>
      </c>
      <c r="AB257" s="8" t="str">
        <v/>
      </c>
      <c r="AC257" s="8" t="str">
        <v/>
      </c>
      <c r="AD257" s="8" t="str">
        <v/>
      </c>
      <c r="AE257" s="8" t="str">
        <v/>
      </c>
      <c r="AF257" s="8" t="str">
        <v/>
      </c>
      <c r="AG257" s="8" t="str">
        <v/>
      </c>
      <c r="AH257" s="8" t="str">
        <v/>
      </c>
      <c r="AI257" s="8" t="n">
        <v>40</v>
      </c>
      <c r="AJ257" s="8" t="str">
        <v>70～74</v>
      </c>
      <c r="AK257" s="8" t="str">
        <v>5～9</v>
      </c>
      <c r="AL257" s="8" t="str">
        <v>40以上</v>
      </c>
      <c r="AM257" s="8" t="str">
        <v>140～159</v>
      </c>
      <c r="AN257" s="8" t="str">
        <v>15以上</v>
      </c>
      <c r="AO257" s="8" t="str">
        <f aca="false">IF(A257="","",IF(COUNTIFS(全馬データ!$A$2:$A$50000,A257,全馬データ!$B$2:$B$50000,B257,全馬データ!$C$2:$C$50000,C257,全馬データ!$D$2:$D$50000,E257,全馬データ!$K$2:$K$50000,"&lt;&gt;")=0,"",SUMIFS(全馬データ!$K$2:$K$50000,全馬データ!$A$2:$A$50000,A257,全馬データ!$B$2:$B$50000,B257,全馬データ!$C$2:$C$50000,C257,全馬データ!$D$2:$D$50000,E257)))</f>
        <v/>
      </c>
      <c r="AP257" s="8" t="str">
        <f aca="false">IF(A257="","",IF(AO257="","欠損",IF(AO257&lt;=1.1,"1.0～1.1",IF(AO257&lt;1.3,"1.2",IF(AO257&lt;1.5,"1.3～1.4",IF(AO257&lt;2,"1.5～1.9","2.0以上"))))))</f>
        <v>欠損</v>
      </c>
      <c r="AQ257" s="8" t="str">
        <f aca="false">IF(A257="","",IF(ISNUMBER(SEARCH("2歳",Z257)),"2歳戦",IF(ISNUMBER(SEARCH("3歳未勝利",Z257)),"3歳未勝利",IF(ISNUMBER(SEARCH("未勝利",Z257)),"その他未勝利",IF(ISNUMBER(SEARCH("G1",Z257)),"G1",IF(ISNUMBER(SEARCH("G2",Z257)),"G2",IF(ISNUMBER(SEARCH("G3",Z257)),"G3",IF(ISNUMBER(SEARCH("古馬条件",Z257)),"古馬条件戦",IF(ISNUMBER(SEARCH("重賞",Z257)),"重賞","分類不能")))))))))</f>
        <v>分類不能</v>
      </c>
      <c r="AR257" s="8"/>
      <c r="AS257" s="8" t="s">
        <v>7623</v>
      </c>
      <c r="AT257" s="8" t="s">
        <v>7624</v>
      </c>
      <c r="AU257" s="8" t="s">
        <v>7600</v>
      </c>
      <c r="AV257" s="4" t="s">
        <v>7601</v>
      </c>
      <c r="AW257" s="8"/>
      <c r="AX257" s="8"/>
      <c r="AY257" s="8" t="s">
        <v>7610</v>
      </c>
      <c r="AZ257" s="4" t="s">
        <v>7617</v>
      </c>
      <c r="BA257" s="8" t="n">
        <v>1150</v>
      </c>
      <c r="BB257" s="8" t="s">
        <v>7598</v>
      </c>
      <c r="BC257" s="4" t="s">
        <v>7604</v>
      </c>
      <c r="BD257" s="8" t="s">
        <v>7625</v>
      </c>
      <c r="BE257" s="4" t="s">
        <v>7606</v>
      </c>
      <c r="BF257" s="8" t="s">
        <v>7607</v>
      </c>
      <c r="BG257" s="8" t="s">
        <v>7608</v>
      </c>
      <c r="BH257" s="4" t="s">
        <v>7609</v>
      </c>
      <c r="BI257" s="8" t="n">
        <v>16</v>
      </c>
      <c r="BJ257" s="8" t="s">
        <v>7602</v>
      </c>
      <c r="BK257" s="4" t="s">
        <v>7653</v>
      </c>
      <c r="BL257" s="8" t="s">
        <v>7602</v>
      </c>
      <c r="BM257" s="4" t="s">
        <v>7620</v>
      </c>
      <c r="BN257" s="8"/>
      <c r="BO257" s="8"/>
      <c r="BP257" s="8" t="s">
        <v>7602</v>
      </c>
      <c r="BQ257" s="8" t="str">
        <f aca="false">IF(A257="","",AT257)</f>
        <v>3歳</v>
      </c>
      <c r="BR257" s="8" t="str">
        <f aca="false">IF(A257="","",IF(BA257&lt;=1200,"～1200",IF(BA257&lt;=1500,"1300～1500",IF(BA257=1600,"1600",IF(BA257&lt;=1800,"1700～1800",IF(BA257&lt;=2000,"1900～2000","2100以上"))))))</f>
        <v>～1200</v>
      </c>
      <c r="BS257" s="8" t="str">
        <f aca="false">IF(A257="","",IF(AX257="G1","G1",IF(AX257="G2","G2",IF(AX257="G3","G3",IF(AX257="L","L","その他")))))</f>
        <v>その他</v>
      </c>
      <c r="BT257" s="8" t="str">
        <f aca="false">IF(A257="","",IF(BI257="","未結合",IF(D257=BI257,"一致","不一致")))</f>
        <v>一致</v>
      </c>
      <c r="BU257" s="8" t="str">
        <f aca="false">IF(A257="","",IF(BE257="牝馬限定","牝馬限定","その他"))</f>
        <v>その他</v>
      </c>
    </row>
    <row r="258" customFormat="false" ht="15.75" hidden="false" customHeight="false" outlineLevel="0" collapsed="false">
      <c r="A258" s="3" t="n">
        <v>46208</v>
      </c>
      <c r="B258" s="4" t="s">
        <v>915</v>
      </c>
      <c r="C258" s="8" t="n">
        <v>5</v>
      </c>
      <c r="D258" s="8" t="n">
        <v>16</v>
      </c>
      <c r="E258" s="8" t="n">
        <v>5</v>
      </c>
      <c r="F258" s="4" t="s">
        <v>3042</v>
      </c>
      <c r="G258" s="8" t="n">
        <v>31</v>
      </c>
      <c r="H258" s="8" t="n">
        <v>6</v>
      </c>
      <c r="I258" s="4" t="s">
        <v>3043</v>
      </c>
      <c r="J258" s="8" t="n">
        <v>24</v>
      </c>
      <c r="K258" s="8" t="n">
        <v>14</v>
      </c>
      <c r="L258" s="4" t="s">
        <v>3049</v>
      </c>
      <c r="M258" s="8" t="n">
        <v>24</v>
      </c>
      <c r="N258" s="8" t="n">
        <f aca="false">IF(A258="","",G258-J258)</f>
        <v>7</v>
      </c>
      <c r="O258" s="8" t="n">
        <f aca="false">IF(A258="","",J258-M258)</f>
        <v>0</v>
      </c>
      <c r="P258" s="8" t="n">
        <f aca="false">IF(A258="","",G258+J258)</f>
        <v>55</v>
      </c>
      <c r="Q258" s="8" t="str">
        <f aca="false">IF(A258="","",IF(AND(Y258&lt;&gt;"参考",G258&gt;=ルール設定!$B$2),"○",""))</f>
        <v/>
      </c>
      <c r="R258" s="8" t="str">
        <f aca="false">IF(A258="","",IF(AND(Y258&lt;&gt;"参考",G258&gt;=ルール設定!$B$3,N258&gt;=ルール設定!$B$4),"○",""))</f>
        <v/>
      </c>
      <c r="S258" s="8" t="str">
        <f aca="false">IF(A258="","",IF(AND(Y258&lt;&gt;"参考",G258&gt;=ルール設定!$B$5,J258&gt;=ルール設定!$B$6,O258&gt;=ルール設定!$B$7),"○",""))</f>
        <v/>
      </c>
      <c r="T258" s="8" t="n">
        <v>1</v>
      </c>
      <c r="U258" s="8" t="n">
        <v>4</v>
      </c>
      <c r="V258" s="8" t="str">
        <f aca="false">IF(A258="","",IF(AND(ISNUMBER(T258),ISNUMBER(U258)),IF(AND(T258&lt;=3,U258&lt;=3),"○","×"),""))</f>
        <v>×</v>
      </c>
      <c r="W258" s="8" t="n">
        <v>170</v>
      </c>
      <c r="X258" s="8"/>
      <c r="Y258" s="4" t="s">
        <v>7597</v>
      </c>
      <c r="Z258" s="4" t="s">
        <v>7726</v>
      </c>
      <c r="AA258" s="8" t="str">
        <v/>
      </c>
      <c r="AB258" s="8" t="str">
        <v/>
      </c>
      <c r="AC258" s="8" t="str">
        <v/>
      </c>
      <c r="AD258" s="8" t="str">
        <v/>
      </c>
      <c r="AE258" s="8" t="str">
        <v/>
      </c>
      <c r="AF258" s="8" t="str">
        <v/>
      </c>
      <c r="AG258" s="8" t="str">
        <v/>
      </c>
      <c r="AH258" s="8" t="str">
        <v/>
      </c>
      <c r="AI258" s="8" t="n">
        <v>7</v>
      </c>
      <c r="AJ258" s="8" t="str">
        <v>～59</v>
      </c>
      <c r="AK258" s="8" t="str">
        <v>5～9</v>
      </c>
      <c r="AL258" s="8" t="str">
        <v>0～9</v>
      </c>
      <c r="AM258" s="8" t="str">
        <v>～99</v>
      </c>
      <c r="AN258" s="8" t="str">
        <v>15以上</v>
      </c>
      <c r="AO258" s="8" t="str">
        <f aca="false">IF(A258="","",IF(COUNTIFS(全馬データ!$A$2:$A$50000,A258,全馬データ!$B$2:$B$50000,B258,全馬データ!$C$2:$C$50000,C258,全馬データ!$D$2:$D$50000,E258,全馬データ!$K$2:$K$50000,"&lt;&gt;")=0,"",SUMIFS(全馬データ!$K$2:$K$50000,全馬データ!$A$2:$A$50000,A258,全馬データ!$B$2:$B$50000,B258,全馬データ!$C$2:$C$50000,C258,全馬データ!$D$2:$D$50000,E258)))</f>
        <v/>
      </c>
      <c r="AP258" s="8" t="str">
        <f aca="false">IF(A258="","",IF(AO258="","欠損",IF(AO258&lt;=1.1,"1.0～1.1",IF(AO258&lt;1.3,"1.2",IF(AO258&lt;1.5,"1.3～1.4",IF(AO258&lt;2,"1.5～1.9","2.0以上"))))))</f>
        <v>欠損</v>
      </c>
      <c r="AQ258" s="8" t="str">
        <f aca="false">IF(A258="","",IF(ISNUMBER(SEARCH("2歳",Z258)),"2歳戦",IF(ISNUMBER(SEARCH("3歳未勝利",Z258)),"3歳未勝利",IF(ISNUMBER(SEARCH("未勝利",Z258)),"その他未勝利",IF(ISNUMBER(SEARCH("G1",Z258)),"G1",IF(ISNUMBER(SEARCH("G2",Z258)),"G2",IF(ISNUMBER(SEARCH("G3",Z258)),"G3",IF(ISNUMBER(SEARCH("古馬条件",Z258)),"古馬条件戦",IF(ISNUMBER(SEARCH("重賞",Z258)),"重賞","分類不能")))))))))</f>
        <v>分類不能</v>
      </c>
      <c r="AR258" s="8"/>
      <c r="AS258" s="8" t="s">
        <v>7598</v>
      </c>
      <c r="AT258" s="8" t="s">
        <v>7599</v>
      </c>
      <c r="AU258" s="8" t="s">
        <v>7615</v>
      </c>
      <c r="AV258" s="4" t="s">
        <v>7616</v>
      </c>
      <c r="AW258" s="8"/>
      <c r="AX258" s="8"/>
      <c r="AY258" s="8" t="s">
        <v>7602</v>
      </c>
      <c r="AZ258" s="4" t="s">
        <v>7603</v>
      </c>
      <c r="BA258" s="8" t="n">
        <v>2000</v>
      </c>
      <c r="BB258" s="8" t="s">
        <v>7598</v>
      </c>
      <c r="BC258" s="4" t="s">
        <v>7604</v>
      </c>
      <c r="BD258" s="8" t="s">
        <v>7625</v>
      </c>
      <c r="BE258" s="4" t="s">
        <v>7606</v>
      </c>
      <c r="BF258" s="8" t="s">
        <v>7607</v>
      </c>
      <c r="BG258" s="8" t="s">
        <v>7608</v>
      </c>
      <c r="BH258" s="4" t="s">
        <v>7609</v>
      </c>
      <c r="BI258" s="8" t="n">
        <v>16</v>
      </c>
      <c r="BJ258" s="8" t="s">
        <v>7602</v>
      </c>
      <c r="BK258" s="4" t="s">
        <v>7653</v>
      </c>
      <c r="BL258" s="8" t="s">
        <v>7602</v>
      </c>
      <c r="BM258" s="4" t="s">
        <v>7620</v>
      </c>
      <c r="BN258" s="8" t="s">
        <v>7602</v>
      </c>
      <c r="BO258" s="8" t="s">
        <v>7613</v>
      </c>
      <c r="BP258" s="8" t="s">
        <v>7602</v>
      </c>
      <c r="BQ258" s="8" t="str">
        <f aca="false">IF(A258="","",AT258)</f>
        <v>2歳</v>
      </c>
      <c r="BR258" s="8" t="str">
        <f aca="false">IF(A258="","",IF(BA258&lt;=1200,"～1200",IF(BA258&lt;=1500,"1300～1500",IF(BA258=1600,"1600",IF(BA258&lt;=1800,"1700～1800",IF(BA258&lt;=2000,"1900～2000","2100以上"))))))</f>
        <v>1900～2000</v>
      </c>
      <c r="BS258" s="8" t="str">
        <f aca="false">IF(A258="","",IF(AX258="G1","G1",IF(AX258="G2","G2",IF(AX258="G3","G3",IF(AX258="L","L","その他")))))</f>
        <v>その他</v>
      </c>
      <c r="BT258" s="8" t="str">
        <f aca="false">IF(A258="","",IF(BI258="","未結合",IF(D258=BI258,"一致","不一致")))</f>
        <v>一致</v>
      </c>
      <c r="BU258" s="8" t="str">
        <f aca="false">IF(A258="","",IF(BE258="牝馬限定","牝馬限定","その他"))</f>
        <v>その他</v>
      </c>
    </row>
    <row r="259" customFormat="false" ht="15.75" hidden="false" customHeight="false" outlineLevel="0" collapsed="false">
      <c r="A259" s="3" t="n">
        <v>46208</v>
      </c>
      <c r="B259" s="4" t="s">
        <v>915</v>
      </c>
      <c r="C259" s="8" t="n">
        <v>6</v>
      </c>
      <c r="D259" s="8" t="n">
        <v>13</v>
      </c>
      <c r="E259" s="8" t="n">
        <v>5</v>
      </c>
      <c r="F259" s="4" t="s">
        <v>918</v>
      </c>
      <c r="G259" s="8" t="n">
        <v>37</v>
      </c>
      <c r="H259" s="8" t="n">
        <v>1</v>
      </c>
      <c r="I259" s="4" t="s">
        <v>3051</v>
      </c>
      <c r="J259" s="8" t="n">
        <v>31</v>
      </c>
      <c r="K259" s="8" t="n">
        <v>6</v>
      </c>
      <c r="L259" s="4" t="s">
        <v>3054</v>
      </c>
      <c r="M259" s="8" t="n">
        <v>21</v>
      </c>
      <c r="N259" s="8" t="n">
        <f aca="false">IF(A259="","",G259-J259)</f>
        <v>6</v>
      </c>
      <c r="O259" s="8" t="n">
        <f aca="false">IF(A259="","",J259-M259)</f>
        <v>10</v>
      </c>
      <c r="P259" s="8" t="n">
        <f aca="false">IF(A259="","",G259+J259)</f>
        <v>68</v>
      </c>
      <c r="Q259" s="8" t="str">
        <f aca="false">IF(A259="","",IF(AND(Y259&lt;&gt;"参考",G259&gt;=ルール設定!$B$2),"○",""))</f>
        <v/>
      </c>
      <c r="R259" s="8" t="str">
        <f aca="false">IF(A259="","",IF(AND(Y259&lt;&gt;"参考",G259&gt;=ルール設定!$B$3,N259&gt;=ルール設定!$B$4),"○",""))</f>
        <v/>
      </c>
      <c r="S259" s="8" t="str">
        <f aca="false">IF(A259="","",IF(AND(Y259&lt;&gt;"参考",G259&gt;=ルール設定!$B$5,J259&gt;=ルール設定!$B$6,O259&gt;=ルール設定!$B$7),"○",""))</f>
        <v/>
      </c>
      <c r="T259" s="8" t="n">
        <v>4</v>
      </c>
      <c r="U259" s="8" t="n">
        <v>4</v>
      </c>
      <c r="V259" s="8" t="str">
        <f aca="false">IF(A259="","",IF(AND(ISNUMBER(T259),ISNUMBER(U259)),IF(AND(T259&lt;=3,U259&lt;=3),"○","×"),""))</f>
        <v>×</v>
      </c>
      <c r="W259" s="8"/>
      <c r="X259" s="8"/>
      <c r="Y259" s="4" t="s">
        <v>7597</v>
      </c>
      <c r="Z259" s="4" t="s">
        <v>7726</v>
      </c>
      <c r="AA259" s="8" t="str">
        <v/>
      </c>
      <c r="AB259" s="8" t="str">
        <v/>
      </c>
      <c r="AC259" s="8" t="str">
        <v/>
      </c>
      <c r="AD259" s="8" t="str">
        <v/>
      </c>
      <c r="AE259" s="8" t="str">
        <v/>
      </c>
      <c r="AF259" s="8" t="str">
        <v/>
      </c>
      <c r="AG259" s="8" t="str">
        <v/>
      </c>
      <c r="AH259" s="8" t="str">
        <v/>
      </c>
      <c r="AI259" s="8" t="n">
        <v>16</v>
      </c>
      <c r="AJ259" s="8" t="str">
        <v>～59</v>
      </c>
      <c r="AK259" s="8" t="str">
        <v>5～9</v>
      </c>
      <c r="AL259" s="8" t="str">
        <v>10～19</v>
      </c>
      <c r="AM259" s="8" t="str">
        <v>～99</v>
      </c>
      <c r="AN259" s="8" t="str">
        <v>12～14</v>
      </c>
      <c r="AO259" s="8" t="str">
        <f aca="false">IF(A259="","",IF(COUNTIFS(全馬データ!$A$2:$A$50000,A259,全馬データ!$B$2:$B$50000,B259,全馬データ!$C$2:$C$50000,C259,全馬データ!$D$2:$D$50000,E259,全馬データ!$K$2:$K$50000,"&lt;&gt;")=0,"",SUMIFS(全馬データ!$K$2:$K$50000,全馬データ!$A$2:$A$50000,A259,全馬データ!$B$2:$B$50000,B259,全馬データ!$C$2:$C$50000,C259,全馬データ!$D$2:$D$50000,E259)))</f>
        <v/>
      </c>
      <c r="AP259" s="8" t="str">
        <f aca="false">IF(A259="","",IF(AO259="","欠損",IF(AO259&lt;=1.1,"1.0～1.1",IF(AO259&lt;1.3,"1.2",IF(AO259&lt;1.5,"1.3～1.4",IF(AO259&lt;2,"1.5～1.9","2.0以上"))))))</f>
        <v>欠損</v>
      </c>
      <c r="AQ259" s="8" t="str">
        <f aca="false">IF(A259="","",IF(ISNUMBER(SEARCH("2歳",Z259)),"2歳戦",IF(ISNUMBER(SEARCH("3歳未勝利",Z259)),"3歳未勝利",IF(ISNUMBER(SEARCH("未勝利",Z259)),"その他未勝利",IF(ISNUMBER(SEARCH("G1",Z259)),"G1",IF(ISNUMBER(SEARCH("G2",Z259)),"G2",IF(ISNUMBER(SEARCH("G3",Z259)),"G3",IF(ISNUMBER(SEARCH("古馬条件",Z259)),"古馬条件戦",IF(ISNUMBER(SEARCH("重賞",Z259)),"重賞","分類不能")))))))))</f>
        <v>分類不能</v>
      </c>
      <c r="AR259" s="8"/>
      <c r="AS259" s="8" t="s">
        <v>7598</v>
      </c>
      <c r="AT259" s="8" t="s">
        <v>7599</v>
      </c>
      <c r="AU259" s="8" t="s">
        <v>7615</v>
      </c>
      <c r="AV259" s="4" t="s">
        <v>7616</v>
      </c>
      <c r="AW259" s="8"/>
      <c r="AX259" s="8"/>
      <c r="AY259" s="8" t="s">
        <v>7602</v>
      </c>
      <c r="AZ259" s="4" t="s">
        <v>7603</v>
      </c>
      <c r="BA259" s="8" t="n">
        <v>1200</v>
      </c>
      <c r="BB259" s="8" t="s">
        <v>7598</v>
      </c>
      <c r="BC259" s="4" t="s">
        <v>7604</v>
      </c>
      <c r="BD259" s="8" t="s">
        <v>7625</v>
      </c>
      <c r="BE259" s="4" t="s">
        <v>7606</v>
      </c>
      <c r="BF259" s="8" t="s">
        <v>7607</v>
      </c>
      <c r="BG259" s="8" t="s">
        <v>7608</v>
      </c>
      <c r="BH259" s="4" t="s">
        <v>7609</v>
      </c>
      <c r="BI259" s="8" t="n">
        <v>13</v>
      </c>
      <c r="BJ259" s="8" t="s">
        <v>7602</v>
      </c>
      <c r="BK259" s="4" t="s">
        <v>7653</v>
      </c>
      <c r="BL259" s="8" t="s">
        <v>7602</v>
      </c>
      <c r="BM259" s="4" t="s">
        <v>7620</v>
      </c>
      <c r="BN259" s="8" t="s">
        <v>7602</v>
      </c>
      <c r="BO259" s="8" t="s">
        <v>7613</v>
      </c>
      <c r="BP259" s="8" t="s">
        <v>7602</v>
      </c>
      <c r="BQ259" s="8" t="str">
        <f aca="false">IF(A259="","",AT259)</f>
        <v>2歳</v>
      </c>
      <c r="BR259" s="8" t="str">
        <f aca="false">IF(A259="","",IF(BA259&lt;=1200,"～1200",IF(BA259&lt;=1500,"1300～1500",IF(BA259=1600,"1600",IF(BA259&lt;=1800,"1700～1800",IF(BA259&lt;=2000,"1900～2000","2100以上"))))))</f>
        <v>～1200</v>
      </c>
      <c r="BS259" s="8" t="str">
        <f aca="false">IF(A259="","",IF(AX259="G1","G1",IF(AX259="G2","G2",IF(AX259="G3","G3",IF(AX259="L","L","その他")))))</f>
        <v>その他</v>
      </c>
      <c r="BT259" s="8" t="str">
        <f aca="false">IF(A259="","",IF(BI259="","未結合",IF(D259=BI259,"一致","不一致")))</f>
        <v>一致</v>
      </c>
      <c r="BU259" s="8" t="str">
        <f aca="false">IF(A259="","",IF(BE259="牝馬限定","牝馬限定","その他"))</f>
        <v>その他</v>
      </c>
    </row>
    <row r="260" customFormat="false" ht="15.75" hidden="false" customHeight="false" outlineLevel="0" collapsed="false">
      <c r="A260" s="3" t="n">
        <v>46208</v>
      </c>
      <c r="B260" s="4" t="s">
        <v>915</v>
      </c>
      <c r="C260" s="8" t="n">
        <v>7</v>
      </c>
      <c r="D260" s="8" t="n">
        <v>15</v>
      </c>
      <c r="E260" s="8" t="n">
        <v>6</v>
      </c>
      <c r="F260" s="4" t="s">
        <v>3065</v>
      </c>
      <c r="G260" s="8" t="n">
        <v>81</v>
      </c>
      <c r="H260" s="8" t="n">
        <v>11</v>
      </c>
      <c r="I260" s="4" t="s">
        <v>3070</v>
      </c>
      <c r="J260" s="8" t="n">
        <v>56</v>
      </c>
      <c r="K260" s="8" t="n">
        <v>3</v>
      </c>
      <c r="L260" s="4" t="s">
        <v>3062</v>
      </c>
      <c r="M260" s="8" t="n">
        <v>52</v>
      </c>
      <c r="N260" s="8" t="n">
        <f aca="false">IF(A260="","",G260-J260)</f>
        <v>25</v>
      </c>
      <c r="O260" s="8" t="n">
        <f aca="false">IF(A260="","",J260-M260)</f>
        <v>4</v>
      </c>
      <c r="P260" s="8" t="n">
        <f aca="false">IF(A260="","",G260+J260)</f>
        <v>137</v>
      </c>
      <c r="Q260" s="8" t="str">
        <f aca="false">IF(A260="","",IF(AND(Y260&lt;&gt;"参考",G260&gt;=ルール設定!$B$2),"○",""))</f>
        <v>○</v>
      </c>
      <c r="R260" s="8" t="str">
        <f aca="false">IF(A260="","",IF(AND(Y260&lt;&gt;"参考",G260&gt;=ルール設定!$B$3,N260&gt;=ルール設定!$B$4),"○",""))</f>
        <v/>
      </c>
      <c r="S260" s="8" t="str">
        <f aca="false">IF(A260="","",IF(AND(Y260&lt;&gt;"参考",G260&gt;=ルール設定!$B$5,J260&gt;=ルール設定!$B$6,O260&gt;=ルール設定!$B$7),"○",""))</f>
        <v/>
      </c>
      <c r="T260" s="8" t="n">
        <v>1</v>
      </c>
      <c r="U260" s="8" t="n">
        <v>4</v>
      </c>
      <c r="V260" s="8" t="str">
        <f aca="false">IF(A260="","",IF(AND(ISNUMBER(T260),ISNUMBER(U260)),IF(AND(T260&lt;=3,U260&lt;=3),"○","×"),""))</f>
        <v>×</v>
      </c>
      <c r="W260" s="8" t="n">
        <v>150</v>
      </c>
      <c r="X260" s="8"/>
      <c r="Y260" s="4" t="s">
        <v>7597</v>
      </c>
      <c r="Z260" s="4" t="s">
        <v>7726</v>
      </c>
      <c r="AA260" s="8" t="str">
        <v/>
      </c>
      <c r="AB260" s="8" t="str">
        <v>○</v>
      </c>
      <c r="AC260" s="8" t="str">
        <v>○</v>
      </c>
      <c r="AD260" s="8" t="str">
        <v/>
      </c>
      <c r="AE260" s="8" t="str">
        <v/>
      </c>
      <c r="AF260" s="8" t="str">
        <v/>
      </c>
      <c r="AG260" s="8" t="str">
        <v/>
      </c>
      <c r="AH260" s="8" t="str">
        <v/>
      </c>
      <c r="AI260" s="8" t="n">
        <v>29</v>
      </c>
      <c r="AJ260" s="8" t="str">
        <v>80～84</v>
      </c>
      <c r="AK260" s="8" t="str">
        <v>20～29</v>
      </c>
      <c r="AL260" s="8" t="str">
        <v>20～29</v>
      </c>
      <c r="AM260" s="8" t="str">
        <v>120～139</v>
      </c>
      <c r="AN260" s="8" t="str">
        <v>15以上</v>
      </c>
      <c r="AO260" s="8" t="n">
        <f aca="false">IF(A260="","",IF(COUNTIFS(全馬データ!$A$2:$A$50000,A260,全馬データ!$B$2:$B$50000,B260,全馬データ!$C$2:$C$50000,C260,全馬データ!$D$2:$D$50000,E260,全馬データ!$K$2:$K$50000,"&lt;&gt;")=0,"",SUMIFS(全馬データ!$K$2:$K$50000,全馬データ!$A$2:$A$50000,A260,全馬データ!$B$2:$B$50000,B260,全馬データ!$C$2:$C$50000,C260,全馬データ!$D$2:$D$50000,E260)))</f>
        <v>1.3</v>
      </c>
      <c r="AP260" s="8" t="str">
        <f aca="false">IF(A260="","",IF(AO260="","欠損",IF(AO260&lt;=1.1,"1.0～1.1",IF(AO260&lt;1.3,"1.2",IF(AO260&lt;1.5,"1.3～1.4",IF(AO260&lt;2,"1.5～1.9","2.0以上"))))))</f>
        <v>1.3～1.4</v>
      </c>
      <c r="AQ260" s="8" t="str">
        <f aca="false">IF(A260="","",IF(ISNUMBER(SEARCH("2歳",Z260)),"2歳戦",IF(ISNUMBER(SEARCH("3歳未勝利",Z260)),"3歳未勝利",IF(ISNUMBER(SEARCH("未勝利",Z260)),"その他未勝利",IF(ISNUMBER(SEARCH("G1",Z260)),"G1",IF(ISNUMBER(SEARCH("G2",Z260)),"G2",IF(ISNUMBER(SEARCH("G3",Z260)),"G3",IF(ISNUMBER(SEARCH("古馬条件",Z260)),"古馬条件戦",IF(ISNUMBER(SEARCH("重賞",Z260)),"重賞","分類不能")))))))))</f>
        <v>分類不能</v>
      </c>
      <c r="AR260" s="8"/>
      <c r="AS260" s="8" t="s">
        <v>7626</v>
      </c>
      <c r="AT260" s="8" t="s">
        <v>7627</v>
      </c>
      <c r="AU260" s="8" t="s">
        <v>7628</v>
      </c>
      <c r="AV260" s="8" t="s">
        <v>7629</v>
      </c>
      <c r="AW260" s="8"/>
      <c r="AX260" s="8"/>
      <c r="AY260" s="8" t="s">
        <v>7610</v>
      </c>
      <c r="AZ260" s="4" t="s">
        <v>7617</v>
      </c>
      <c r="BA260" s="8" t="n">
        <v>1700</v>
      </c>
      <c r="BB260" s="8" t="s">
        <v>7598</v>
      </c>
      <c r="BC260" s="4" t="s">
        <v>7604</v>
      </c>
      <c r="BD260" s="8" t="s">
        <v>7621</v>
      </c>
      <c r="BE260" s="4" t="s">
        <v>7622</v>
      </c>
      <c r="BF260" s="8" t="s">
        <v>7602</v>
      </c>
      <c r="BG260" s="8" t="s">
        <v>7631</v>
      </c>
      <c r="BH260" s="4" t="s">
        <v>7632</v>
      </c>
      <c r="BI260" s="8" t="n">
        <v>15</v>
      </c>
      <c r="BJ260" s="8" t="s">
        <v>7602</v>
      </c>
      <c r="BK260" s="4" t="s">
        <v>7653</v>
      </c>
      <c r="BL260" s="8" t="s">
        <v>7602</v>
      </c>
      <c r="BM260" s="4" t="s">
        <v>7620</v>
      </c>
      <c r="BN260" s="8"/>
      <c r="BO260" s="8"/>
      <c r="BP260" s="8" t="s">
        <v>7602</v>
      </c>
      <c r="BQ260" s="8" t="str">
        <f aca="false">IF(A260="","",AT260)</f>
        <v>3歳以上</v>
      </c>
      <c r="BR260" s="8" t="str">
        <f aca="false">IF(A260="","",IF(BA260&lt;=1200,"～1200",IF(BA260&lt;=1500,"1300～1500",IF(BA260=1600,"1600",IF(BA260&lt;=1800,"1700～1800",IF(BA260&lt;=2000,"1900～2000","2100以上"))))))</f>
        <v>1700～1800</v>
      </c>
      <c r="BS260" s="8" t="str">
        <f aca="false">IF(A260="","",IF(AX260="G1","G1",IF(AX260="G2","G2",IF(AX260="G3","G3",IF(AX260="L","L","その他")))))</f>
        <v>その他</v>
      </c>
      <c r="BT260" s="8" t="str">
        <f aca="false">IF(A260="","",IF(BI260="","未結合",IF(D260=BI260,"一致","不一致")))</f>
        <v>一致</v>
      </c>
      <c r="BU260" s="8" t="str">
        <f aca="false">IF(A260="","",IF(BE260="牝馬限定","牝馬限定","その他"))</f>
        <v>牝馬限定</v>
      </c>
    </row>
    <row r="261" customFormat="false" ht="15.75" hidden="false" customHeight="false" outlineLevel="0" collapsed="false">
      <c r="A261" s="3" t="n">
        <v>46208</v>
      </c>
      <c r="B261" s="4" t="s">
        <v>915</v>
      </c>
      <c r="C261" s="8" t="n">
        <v>8</v>
      </c>
      <c r="D261" s="8" t="n">
        <v>12</v>
      </c>
      <c r="E261" s="8" t="n">
        <v>1</v>
      </c>
      <c r="F261" s="4" t="s">
        <v>1492</v>
      </c>
      <c r="G261" s="8" t="n">
        <v>60</v>
      </c>
      <c r="H261" s="8" t="n">
        <v>2</v>
      </c>
      <c r="I261" s="4" t="s">
        <v>67</v>
      </c>
      <c r="J261" s="8" t="n">
        <v>39</v>
      </c>
      <c r="K261" s="8" t="n">
        <v>4</v>
      </c>
      <c r="L261" s="4" t="s">
        <v>1484</v>
      </c>
      <c r="M261" s="8" t="n">
        <v>37</v>
      </c>
      <c r="N261" s="8" t="n">
        <f aca="false">IF(A261="","",G261-J261)</f>
        <v>21</v>
      </c>
      <c r="O261" s="8" t="n">
        <f aca="false">IF(A261="","",J261-M261)</f>
        <v>2</v>
      </c>
      <c r="P261" s="8" t="n">
        <f aca="false">IF(A261="","",G261+J261)</f>
        <v>99</v>
      </c>
      <c r="Q261" s="8" t="str">
        <f aca="false">IF(A261="","",IF(AND(Y261&lt;&gt;"参考",G261&gt;=ルール設定!$B$2),"○",""))</f>
        <v/>
      </c>
      <c r="R261" s="8" t="str">
        <f aca="false">IF(A261="","",IF(AND(Y261&lt;&gt;"参考",G261&gt;=ルール設定!$B$3,N261&gt;=ルール設定!$B$4),"○",""))</f>
        <v/>
      </c>
      <c r="S261" s="8" t="str">
        <f aca="false">IF(A261="","",IF(AND(Y261&lt;&gt;"参考",G261&gt;=ルール設定!$B$5,J261&gt;=ルール設定!$B$6,O261&gt;=ルール設定!$B$7),"○",""))</f>
        <v/>
      </c>
      <c r="T261" s="8" t="n">
        <v>3</v>
      </c>
      <c r="U261" s="8" t="n">
        <v>4</v>
      </c>
      <c r="V261" s="8" t="str">
        <f aca="false">IF(A261="","",IF(AND(ISNUMBER(T261),ISNUMBER(U261)),IF(AND(T261&lt;=3,U261&lt;=3),"○","×"),""))</f>
        <v>×</v>
      </c>
      <c r="W261" s="8" t="n">
        <v>110</v>
      </c>
      <c r="X261" s="8"/>
      <c r="Y261" s="4" t="s">
        <v>7597</v>
      </c>
      <c r="Z261" s="4" t="s">
        <v>7726</v>
      </c>
      <c r="AA261" s="8" t="str">
        <v/>
      </c>
      <c r="AB261" s="8" t="str">
        <v/>
      </c>
      <c r="AC261" s="8" t="str">
        <v/>
      </c>
      <c r="AD261" s="8" t="str">
        <v/>
      </c>
      <c r="AE261" s="8" t="str">
        <v/>
      </c>
      <c r="AF261" s="8" t="str">
        <v/>
      </c>
      <c r="AG261" s="8" t="str">
        <v/>
      </c>
      <c r="AH261" s="8" t="str">
        <v/>
      </c>
      <c r="AI261" s="8" t="n">
        <v>23</v>
      </c>
      <c r="AJ261" s="8" t="str">
        <v>60～69</v>
      </c>
      <c r="AK261" s="8" t="str">
        <v>20～29</v>
      </c>
      <c r="AL261" s="8" t="str">
        <v>20～29</v>
      </c>
      <c r="AM261" s="8" t="str">
        <v>～99</v>
      </c>
      <c r="AN261" s="8" t="str">
        <v>12～14</v>
      </c>
      <c r="AO261" s="8" t="str">
        <f aca="false">IF(A261="","",IF(COUNTIFS(全馬データ!$A$2:$A$50000,A261,全馬データ!$B$2:$B$50000,B261,全馬データ!$C$2:$C$50000,C261,全馬データ!$D$2:$D$50000,E261,全馬データ!$K$2:$K$50000,"&lt;&gt;")=0,"",SUMIFS(全馬データ!$K$2:$K$50000,全馬データ!$A$2:$A$50000,A261,全馬データ!$B$2:$B$50000,B261,全馬データ!$C$2:$C$50000,C261,全馬データ!$D$2:$D$50000,E261)))</f>
        <v/>
      </c>
      <c r="AP261" s="8" t="str">
        <f aca="false">IF(A261="","",IF(AO261="","欠損",IF(AO261&lt;=1.1,"1.0～1.1",IF(AO261&lt;1.3,"1.2",IF(AO261&lt;1.5,"1.3～1.4",IF(AO261&lt;2,"1.5～1.9","2.0以上"))))))</f>
        <v>欠損</v>
      </c>
      <c r="AQ261" s="8" t="str">
        <f aca="false">IF(A261="","",IF(ISNUMBER(SEARCH("2歳",Z261)),"2歳戦",IF(ISNUMBER(SEARCH("3歳未勝利",Z261)),"3歳未勝利",IF(ISNUMBER(SEARCH("未勝利",Z261)),"その他未勝利",IF(ISNUMBER(SEARCH("G1",Z261)),"G1",IF(ISNUMBER(SEARCH("G2",Z261)),"G2",IF(ISNUMBER(SEARCH("G3",Z261)),"G3",IF(ISNUMBER(SEARCH("古馬条件",Z261)),"古馬条件戦",IF(ISNUMBER(SEARCH("重賞",Z261)),"重賞","分類不能")))))))))</f>
        <v>分類不能</v>
      </c>
      <c r="AR261" s="8"/>
      <c r="AS261" s="8" t="s">
        <v>7626</v>
      </c>
      <c r="AT261" s="8" t="s">
        <v>7627</v>
      </c>
      <c r="AU261" s="8" t="s">
        <v>7628</v>
      </c>
      <c r="AV261" s="8" t="s">
        <v>7629</v>
      </c>
      <c r="AW261" s="8"/>
      <c r="AX261" s="8"/>
      <c r="AY261" s="8" t="s">
        <v>7602</v>
      </c>
      <c r="AZ261" s="4" t="s">
        <v>7603</v>
      </c>
      <c r="BA261" s="8" t="n">
        <v>1800</v>
      </c>
      <c r="BB261" s="8" t="s">
        <v>7598</v>
      </c>
      <c r="BC261" s="4" t="s">
        <v>7604</v>
      </c>
      <c r="BD261" s="8" t="s">
        <v>7605</v>
      </c>
      <c r="BE261" s="4" t="s">
        <v>7606</v>
      </c>
      <c r="BF261" s="8" t="s">
        <v>7607</v>
      </c>
      <c r="BG261" s="8" t="s">
        <v>7631</v>
      </c>
      <c r="BH261" s="4" t="s">
        <v>7632</v>
      </c>
      <c r="BI261" s="8" t="n">
        <v>12</v>
      </c>
      <c r="BJ261" s="8" t="s">
        <v>7602</v>
      </c>
      <c r="BK261" s="4" t="s">
        <v>7653</v>
      </c>
      <c r="BL261" s="8" t="s">
        <v>7602</v>
      </c>
      <c r="BM261" s="4" t="s">
        <v>7620</v>
      </c>
      <c r="BN261" s="8" t="s">
        <v>7602</v>
      </c>
      <c r="BO261" s="8" t="s">
        <v>7613</v>
      </c>
      <c r="BP261" s="8" t="s">
        <v>7602</v>
      </c>
      <c r="BQ261" s="8" t="str">
        <f aca="false">IF(A261="","",AT261)</f>
        <v>3歳以上</v>
      </c>
      <c r="BR261" s="8" t="str">
        <f aca="false">IF(A261="","",IF(BA261&lt;=1200,"～1200",IF(BA261&lt;=1500,"1300～1500",IF(BA261=1600,"1600",IF(BA261&lt;=1800,"1700～1800",IF(BA261&lt;=2000,"1900～2000","2100以上"))))))</f>
        <v>1700～1800</v>
      </c>
      <c r="BS261" s="8" t="str">
        <f aca="false">IF(A261="","",IF(AX261="G1","G1",IF(AX261="G2","G2",IF(AX261="G3","G3",IF(AX261="L","L","その他")))))</f>
        <v>その他</v>
      </c>
      <c r="BT261" s="8" t="str">
        <f aca="false">IF(A261="","",IF(BI261="","未結合",IF(D261=BI261,"一致","不一致")))</f>
        <v>一致</v>
      </c>
      <c r="BU261" s="8" t="str">
        <f aca="false">IF(A261="","",IF(BE261="牝馬限定","牝馬限定","その他"))</f>
        <v>その他</v>
      </c>
    </row>
    <row r="262" customFormat="false" ht="15.75" hidden="false" customHeight="false" outlineLevel="0" collapsed="false">
      <c r="A262" s="3" t="n">
        <v>46208</v>
      </c>
      <c r="B262" s="4" t="s">
        <v>915</v>
      </c>
      <c r="C262" s="8" t="n">
        <v>9</v>
      </c>
      <c r="D262" s="8" t="n">
        <v>16</v>
      </c>
      <c r="E262" s="8" t="n">
        <v>3</v>
      </c>
      <c r="F262" s="4" t="s">
        <v>3082</v>
      </c>
      <c r="G262" s="8" t="n">
        <v>50</v>
      </c>
      <c r="H262" s="8" t="n">
        <v>9</v>
      </c>
      <c r="I262" s="4" t="s">
        <v>3087</v>
      </c>
      <c r="J262" s="8" t="n">
        <v>47</v>
      </c>
      <c r="K262" s="8" t="n">
        <v>14</v>
      </c>
      <c r="L262" s="4" t="s">
        <v>3090</v>
      </c>
      <c r="M262" s="8" t="n">
        <v>47</v>
      </c>
      <c r="N262" s="8" t="n">
        <f aca="false">IF(A262="","",G262-J262)</f>
        <v>3</v>
      </c>
      <c r="O262" s="8" t="n">
        <f aca="false">IF(A262="","",J262-M262)</f>
        <v>0</v>
      </c>
      <c r="P262" s="8" t="n">
        <f aca="false">IF(A262="","",G262+J262)</f>
        <v>97</v>
      </c>
      <c r="Q262" s="8" t="str">
        <f aca="false">IF(A262="","",IF(AND(Y262&lt;&gt;"参考",G262&gt;=ルール設定!$B$2),"○",""))</f>
        <v/>
      </c>
      <c r="R262" s="8" t="str">
        <f aca="false">IF(A262="","",IF(AND(Y262&lt;&gt;"参考",G262&gt;=ルール設定!$B$3,N262&gt;=ルール設定!$B$4),"○",""))</f>
        <v/>
      </c>
      <c r="S262" s="8" t="str">
        <f aca="false">IF(A262="","",IF(AND(Y262&lt;&gt;"参考",G262&gt;=ルール設定!$B$5,J262&gt;=ルール設定!$B$6,O262&gt;=ルール設定!$B$7),"○",""))</f>
        <v/>
      </c>
      <c r="T262" s="8" t="n">
        <v>4</v>
      </c>
      <c r="U262" s="8" t="n">
        <v>3</v>
      </c>
      <c r="V262" s="8" t="str">
        <f aca="false">IF(A262="","",IF(AND(ISNUMBER(T262),ISNUMBER(U262)),IF(AND(T262&lt;=3,U262&lt;=3),"○","×"),""))</f>
        <v>×</v>
      </c>
      <c r="W262" s="8"/>
      <c r="X262" s="8"/>
      <c r="Y262" s="4" t="s">
        <v>7597</v>
      </c>
      <c r="Z262" s="4" t="s">
        <v>7726</v>
      </c>
      <c r="AA262" s="8" t="str">
        <v/>
      </c>
      <c r="AB262" s="8" t="str">
        <v/>
      </c>
      <c r="AC262" s="8" t="str">
        <v/>
      </c>
      <c r="AD262" s="8" t="str">
        <v/>
      </c>
      <c r="AE262" s="8" t="str">
        <v/>
      </c>
      <c r="AF262" s="8" t="str">
        <v/>
      </c>
      <c r="AG262" s="8" t="str">
        <v/>
      </c>
      <c r="AH262" s="8" t="str">
        <v/>
      </c>
      <c r="AI262" s="8" t="n">
        <v>3</v>
      </c>
      <c r="AJ262" s="8" t="str">
        <v>～59</v>
      </c>
      <c r="AK262" s="8" t="str">
        <v>0～4</v>
      </c>
      <c r="AL262" s="8" t="str">
        <v>0～9</v>
      </c>
      <c r="AM262" s="8" t="str">
        <v>～99</v>
      </c>
      <c r="AN262" s="8" t="str">
        <v>15以上</v>
      </c>
      <c r="AO262" s="8" t="str">
        <f aca="false">IF(A262="","",IF(COUNTIFS(全馬データ!$A$2:$A$50000,A262,全馬データ!$B$2:$B$50000,B262,全馬データ!$C$2:$C$50000,C262,全馬データ!$D$2:$D$50000,E262,全馬データ!$K$2:$K$50000,"&lt;&gt;")=0,"",SUMIFS(全馬データ!$K$2:$K$50000,全馬データ!$A$2:$A$50000,A262,全馬データ!$B$2:$B$50000,B262,全馬データ!$C$2:$C$50000,C262,全馬データ!$D$2:$D$50000,E262)))</f>
        <v/>
      </c>
      <c r="AP262" s="8" t="str">
        <f aca="false">IF(A262="","",IF(AO262="","欠損",IF(AO262&lt;=1.1,"1.0～1.1",IF(AO262&lt;1.3,"1.2",IF(AO262&lt;1.5,"1.3～1.4",IF(AO262&lt;2,"1.5～1.9","2.0以上"))))))</f>
        <v>欠損</v>
      </c>
      <c r="AQ262" s="8" t="str">
        <f aca="false">IF(A262="","",IF(ISNUMBER(SEARCH("2歳",Z262)),"2歳戦",IF(ISNUMBER(SEARCH("3歳未勝利",Z262)),"3歳未勝利",IF(ISNUMBER(SEARCH("未勝利",Z262)),"その他未勝利",IF(ISNUMBER(SEARCH("G1",Z262)),"G1",IF(ISNUMBER(SEARCH("G2",Z262)),"G2",IF(ISNUMBER(SEARCH("G3",Z262)),"G3",IF(ISNUMBER(SEARCH("古馬条件",Z262)),"古馬条件戦",IF(ISNUMBER(SEARCH("重賞",Z262)),"重賞","分類不能")))))))))</f>
        <v>分類不能</v>
      </c>
      <c r="AR262" s="4" t="s">
        <v>7736</v>
      </c>
      <c r="AS262" s="8" t="s">
        <v>7626</v>
      </c>
      <c r="AT262" s="8" t="s">
        <v>7627</v>
      </c>
      <c r="AU262" s="8" t="s">
        <v>7634</v>
      </c>
      <c r="AV262" s="8" t="s">
        <v>7635</v>
      </c>
      <c r="AW262" s="8" t="s">
        <v>7636</v>
      </c>
      <c r="AX262" s="4" t="s">
        <v>7637</v>
      </c>
      <c r="AY262" s="8" t="s">
        <v>7602</v>
      </c>
      <c r="AZ262" s="4" t="s">
        <v>7603</v>
      </c>
      <c r="BA262" s="8" t="n">
        <v>1200</v>
      </c>
      <c r="BB262" s="8" t="s">
        <v>7598</v>
      </c>
      <c r="BC262" s="4" t="s">
        <v>7604</v>
      </c>
      <c r="BD262" s="8" t="s">
        <v>7605</v>
      </c>
      <c r="BE262" s="4" t="s">
        <v>7606</v>
      </c>
      <c r="BF262" s="8" t="s">
        <v>7607</v>
      </c>
      <c r="BG262" s="8" t="s">
        <v>7602</v>
      </c>
      <c r="BH262" s="4" t="s">
        <v>7667</v>
      </c>
      <c r="BI262" s="8" t="n">
        <v>16</v>
      </c>
      <c r="BJ262" s="8" t="s">
        <v>7602</v>
      </c>
      <c r="BK262" s="4" t="s">
        <v>7653</v>
      </c>
      <c r="BL262" s="8" t="s">
        <v>7602</v>
      </c>
      <c r="BM262" s="4" t="s">
        <v>7620</v>
      </c>
      <c r="BN262" s="8" t="s">
        <v>7602</v>
      </c>
      <c r="BO262" s="8" t="s">
        <v>7613</v>
      </c>
      <c r="BP262" s="8" t="s">
        <v>7602</v>
      </c>
      <c r="BQ262" s="8" t="str">
        <f aca="false">IF(A262="","",AT262)</f>
        <v>3歳以上</v>
      </c>
      <c r="BR262" s="8" t="str">
        <f aca="false">IF(A262="","",IF(BA262&lt;=1200,"～1200",IF(BA262&lt;=1500,"1300～1500",IF(BA262=1600,"1600",IF(BA262&lt;=1800,"1700～1800",IF(BA262&lt;=2000,"1900～2000","2100以上"))))))</f>
        <v>～1200</v>
      </c>
      <c r="BS262" s="8" t="str">
        <f aca="false">IF(A262="","",IF(AX262="G1","G1",IF(AX262="G2","G2",IF(AX262="G3","G3",IF(AX262="L","L","その他")))))</f>
        <v>その他</v>
      </c>
      <c r="BT262" s="8" t="str">
        <f aca="false">IF(A262="","",IF(BI262="","未結合",IF(D262=BI262,"一致","不一致")))</f>
        <v>一致</v>
      </c>
      <c r="BU262" s="8" t="str">
        <f aca="false">IF(A262="","",IF(BE262="牝馬限定","牝馬限定","その他"))</f>
        <v>その他</v>
      </c>
    </row>
    <row r="263" customFormat="false" ht="15.75" hidden="false" customHeight="false" outlineLevel="0" collapsed="false">
      <c r="A263" s="3" t="n">
        <v>46208</v>
      </c>
      <c r="B263" s="4" t="s">
        <v>915</v>
      </c>
      <c r="C263" s="8" t="n">
        <v>10</v>
      </c>
      <c r="D263" s="8" t="n">
        <v>12</v>
      </c>
      <c r="E263" s="8" t="n">
        <v>5</v>
      </c>
      <c r="F263" s="4" t="s">
        <v>3097</v>
      </c>
      <c r="G263" s="8" t="n">
        <v>86</v>
      </c>
      <c r="H263" s="8" t="n">
        <v>1</v>
      </c>
      <c r="I263" s="4" t="s">
        <v>3093</v>
      </c>
      <c r="J263" s="8" t="n">
        <v>33</v>
      </c>
      <c r="K263" s="8" t="n">
        <v>7</v>
      </c>
      <c r="L263" s="4" t="s">
        <v>3098</v>
      </c>
      <c r="M263" s="8" t="n">
        <v>25</v>
      </c>
      <c r="N263" s="8" t="n">
        <f aca="false">IF(A263="","",G263-J263)</f>
        <v>53</v>
      </c>
      <c r="O263" s="8" t="n">
        <f aca="false">IF(A263="","",J263-M263)</f>
        <v>8</v>
      </c>
      <c r="P263" s="8" t="n">
        <f aca="false">IF(A263="","",G263+J263)</f>
        <v>119</v>
      </c>
      <c r="Q263" s="8" t="str">
        <f aca="false">IF(A263="","",IF(AND(Y263&lt;&gt;"参考",G263&gt;=ルール設定!$B$2),"○",""))</f>
        <v>○</v>
      </c>
      <c r="R263" s="8" t="str">
        <f aca="false">IF(A263="","",IF(AND(Y263&lt;&gt;"参考",G263&gt;=ルール設定!$B$3,N263&gt;=ルール設定!$B$4),"○",""))</f>
        <v>○</v>
      </c>
      <c r="S263" s="8" t="str">
        <f aca="false">IF(A263="","",IF(AND(Y263&lt;&gt;"参考",G263&gt;=ルール設定!$B$5,J263&gt;=ルール設定!$B$6,O263&gt;=ルール設定!$B$7),"○",""))</f>
        <v/>
      </c>
      <c r="T263" s="8" t="n">
        <v>1</v>
      </c>
      <c r="U263" s="8" t="n">
        <v>2</v>
      </c>
      <c r="V263" s="8" t="str">
        <f aca="false">IF(A263="","",IF(AND(ISNUMBER(T263),ISNUMBER(U263)),IF(AND(T263&lt;=3,U263&lt;=3),"○","×"),""))</f>
        <v>○</v>
      </c>
      <c r="W263" s="8" t="n">
        <v>110</v>
      </c>
      <c r="X263" s="8" t="n">
        <v>310</v>
      </c>
      <c r="Y263" s="4" t="s">
        <v>7597</v>
      </c>
      <c r="Z263" s="4" t="s">
        <v>7726</v>
      </c>
      <c r="AA263" s="8" t="str">
        <v>○</v>
      </c>
      <c r="AB263" s="8" t="str">
        <v>○</v>
      </c>
      <c r="AC263" s="8" t="str">
        <v/>
      </c>
      <c r="AD263" s="8" t="str">
        <v>○</v>
      </c>
      <c r="AE263" s="8" t="str">
        <v/>
      </c>
      <c r="AF263" s="8" t="str">
        <v/>
      </c>
      <c r="AG263" s="8" t="str">
        <v>○</v>
      </c>
      <c r="AH263" s="8" t="str">
        <v/>
      </c>
      <c r="AI263" s="8" t="n">
        <v>61</v>
      </c>
      <c r="AJ263" s="8" t="str">
        <v>85以上</v>
      </c>
      <c r="AK263" s="8" t="str">
        <v>30以上</v>
      </c>
      <c r="AL263" s="8" t="str">
        <v>40以上</v>
      </c>
      <c r="AM263" s="8" t="str">
        <v>100～119</v>
      </c>
      <c r="AN263" s="8" t="str">
        <v>12～14</v>
      </c>
      <c r="AO263" s="8" t="n">
        <f aca="false">IF(A263="","",IF(COUNTIFS(全馬データ!$A$2:$A$50000,A263,全馬データ!$B$2:$B$50000,B263,全馬データ!$C$2:$C$50000,C263,全馬データ!$D$2:$D$50000,E263,全馬データ!$K$2:$K$50000,"&lt;&gt;")=0,"",SUMIFS(全馬データ!$K$2:$K$50000,全馬データ!$A$2:$A$50000,A263,全馬データ!$B$2:$B$50000,B263,全馬データ!$C$2:$C$50000,C263,全馬データ!$D$2:$D$50000,E263)))</f>
        <v>1.1</v>
      </c>
      <c r="AP263" s="8" t="str">
        <f aca="false">IF(A263="","",IF(AO263="","欠損",IF(AO263&lt;=1.1,"1.0～1.1",IF(AO263&lt;1.3,"1.2",IF(AO263&lt;1.5,"1.3～1.4",IF(AO263&lt;2,"1.5～1.9","2.0以上"))))))</f>
        <v>1.0～1.1</v>
      </c>
      <c r="AQ263" s="8" t="str">
        <f aca="false">IF(A263="","",IF(ISNUMBER(SEARCH("2歳",Z263)),"2歳戦",IF(ISNUMBER(SEARCH("3歳未勝利",Z263)),"3歳未勝利",IF(ISNUMBER(SEARCH("未勝利",Z263)),"その他未勝利",IF(ISNUMBER(SEARCH("G1",Z263)),"G1",IF(ISNUMBER(SEARCH("G2",Z263)),"G2",IF(ISNUMBER(SEARCH("G3",Z263)),"G3",IF(ISNUMBER(SEARCH("古馬条件",Z263)),"古馬条件戦",IF(ISNUMBER(SEARCH("重賞",Z263)),"重賞","分類不能")))))))))</f>
        <v>分類不能</v>
      </c>
      <c r="AR263" s="4" t="s">
        <v>7737</v>
      </c>
      <c r="AS263" s="8" t="s">
        <v>7626</v>
      </c>
      <c r="AT263" s="8" t="s">
        <v>7627</v>
      </c>
      <c r="AU263" s="8" t="s">
        <v>7634</v>
      </c>
      <c r="AV263" s="8" t="s">
        <v>7635</v>
      </c>
      <c r="AW263" s="8" t="s">
        <v>7636</v>
      </c>
      <c r="AX263" s="4" t="s">
        <v>7637</v>
      </c>
      <c r="AY263" s="8" t="s">
        <v>7602</v>
      </c>
      <c r="AZ263" s="4" t="s">
        <v>7603</v>
      </c>
      <c r="BA263" s="8" t="n">
        <v>1800</v>
      </c>
      <c r="BB263" s="8" t="s">
        <v>7598</v>
      </c>
      <c r="BC263" s="4" t="s">
        <v>7604</v>
      </c>
      <c r="BD263" s="8" t="s">
        <v>7630</v>
      </c>
      <c r="BE263" s="4" t="s">
        <v>7606</v>
      </c>
      <c r="BF263" s="8" t="s">
        <v>7607</v>
      </c>
      <c r="BG263" s="8" t="s">
        <v>7631</v>
      </c>
      <c r="BH263" s="4" t="s">
        <v>7632</v>
      </c>
      <c r="BI263" s="8" t="n">
        <v>12</v>
      </c>
      <c r="BJ263" s="8" t="s">
        <v>7602</v>
      </c>
      <c r="BK263" s="4" t="s">
        <v>7653</v>
      </c>
      <c r="BL263" s="8" t="s">
        <v>7602</v>
      </c>
      <c r="BM263" s="4" t="s">
        <v>7620</v>
      </c>
      <c r="BN263" s="8" t="s">
        <v>7602</v>
      </c>
      <c r="BO263" s="8" t="s">
        <v>7613</v>
      </c>
      <c r="BP263" s="8" t="s">
        <v>7602</v>
      </c>
      <c r="BQ263" s="8" t="str">
        <f aca="false">IF(A263="","",AT263)</f>
        <v>3歳以上</v>
      </c>
      <c r="BR263" s="8" t="str">
        <f aca="false">IF(A263="","",IF(BA263&lt;=1200,"～1200",IF(BA263&lt;=1500,"1300～1500",IF(BA263=1600,"1600",IF(BA263&lt;=1800,"1700～1800",IF(BA263&lt;=2000,"1900～2000","2100以上"))))))</f>
        <v>1700～1800</v>
      </c>
      <c r="BS263" s="8" t="str">
        <f aca="false">IF(A263="","",IF(AX263="G1","G1",IF(AX263="G2","G2",IF(AX263="G3","G3",IF(AX263="L","L","その他")))))</f>
        <v>その他</v>
      </c>
      <c r="BT263" s="8" t="str">
        <f aca="false">IF(A263="","",IF(BI263="","未結合",IF(D263=BI263,"一致","不一致")))</f>
        <v>一致</v>
      </c>
      <c r="BU263" s="8" t="str">
        <f aca="false">IF(A263="","",IF(BE263="牝馬限定","牝馬限定","その他"))</f>
        <v>その他</v>
      </c>
    </row>
    <row r="264" customFormat="false" ht="15.75" hidden="false" customHeight="false" outlineLevel="0" collapsed="false">
      <c r="A264" s="3" t="n">
        <v>46208</v>
      </c>
      <c r="B264" s="4" t="s">
        <v>915</v>
      </c>
      <c r="C264" s="8" t="n">
        <v>11</v>
      </c>
      <c r="D264" s="8" t="n">
        <v>15</v>
      </c>
      <c r="E264" s="8" t="n">
        <v>9</v>
      </c>
      <c r="F264" s="4" t="s">
        <v>3109</v>
      </c>
      <c r="G264" s="8" t="n">
        <v>56</v>
      </c>
      <c r="H264" s="8" t="n">
        <v>1</v>
      </c>
      <c r="I264" s="4" t="s">
        <v>3101</v>
      </c>
      <c r="J264" s="8" t="n">
        <v>39</v>
      </c>
      <c r="K264" s="8" t="n">
        <v>8</v>
      </c>
      <c r="L264" s="4" t="s">
        <v>3108</v>
      </c>
      <c r="M264" s="8" t="n">
        <v>37</v>
      </c>
      <c r="N264" s="8" t="n">
        <f aca="false">IF(A264="","",G264-J264)</f>
        <v>17</v>
      </c>
      <c r="O264" s="8" t="n">
        <f aca="false">IF(A264="","",J264-M264)</f>
        <v>2</v>
      </c>
      <c r="P264" s="8" t="n">
        <f aca="false">IF(A264="","",G264+J264)</f>
        <v>95</v>
      </c>
      <c r="Q264" s="8" t="str">
        <f aca="false">IF(A264="","",IF(AND(Y264&lt;&gt;"参考",G264&gt;=ルール設定!$B$2),"○",""))</f>
        <v/>
      </c>
      <c r="R264" s="8" t="str">
        <f aca="false">IF(A264="","",IF(AND(Y264&lt;&gt;"参考",G264&gt;=ルール設定!$B$3,N264&gt;=ルール設定!$B$4),"○",""))</f>
        <v/>
      </c>
      <c r="S264" s="8" t="str">
        <f aca="false">IF(A264="","",IF(AND(Y264&lt;&gt;"参考",G264&gt;=ルール設定!$B$5,J264&gt;=ルール設定!$B$6,O264&gt;=ルール設定!$B$7),"○",""))</f>
        <v/>
      </c>
      <c r="T264" s="8" t="n">
        <v>4</v>
      </c>
      <c r="U264" s="8" t="n">
        <v>3</v>
      </c>
      <c r="V264" s="8" t="str">
        <f aca="false">IF(A264="","",IF(AND(ISNUMBER(T264),ISNUMBER(U264)),IF(AND(T264&lt;=3,U264&lt;=3),"○","×"),""))</f>
        <v>×</v>
      </c>
      <c r="W264" s="8"/>
      <c r="X264" s="8"/>
      <c r="Y264" s="4" t="s">
        <v>7597</v>
      </c>
      <c r="Z264" s="4" t="s">
        <v>7726</v>
      </c>
      <c r="AA264" s="8" t="str">
        <v/>
      </c>
      <c r="AB264" s="8" t="str">
        <v/>
      </c>
      <c r="AC264" s="8" t="str">
        <v/>
      </c>
      <c r="AD264" s="8" t="str">
        <v/>
      </c>
      <c r="AE264" s="8" t="str">
        <v/>
      </c>
      <c r="AF264" s="8" t="str">
        <v/>
      </c>
      <c r="AG264" s="8" t="str">
        <v/>
      </c>
      <c r="AH264" s="8" t="str">
        <v/>
      </c>
      <c r="AI264" s="8" t="n">
        <v>19</v>
      </c>
      <c r="AJ264" s="8" t="str">
        <v>～59</v>
      </c>
      <c r="AK264" s="8" t="str">
        <v>10～19</v>
      </c>
      <c r="AL264" s="8" t="str">
        <v>10～19</v>
      </c>
      <c r="AM264" s="8" t="str">
        <v>～99</v>
      </c>
      <c r="AN264" s="8" t="str">
        <v>15以上</v>
      </c>
      <c r="AO264" s="8" t="str">
        <f aca="false">IF(A264="","",IF(COUNTIFS(全馬データ!$A$2:$A$50000,A264,全馬データ!$B$2:$B$50000,B264,全馬データ!$C$2:$C$50000,C264,全馬データ!$D$2:$D$50000,E264,全馬データ!$K$2:$K$50000,"&lt;&gt;")=0,"",SUMIFS(全馬データ!$K$2:$K$50000,全馬データ!$A$2:$A$50000,A264,全馬データ!$B$2:$B$50000,B264,全馬データ!$C$2:$C$50000,C264,全馬データ!$D$2:$D$50000,E264)))</f>
        <v/>
      </c>
      <c r="AP264" s="8" t="str">
        <f aca="false">IF(A264="","",IF(AO264="","欠損",IF(AO264&lt;=1.1,"1.0～1.1",IF(AO264&lt;1.3,"1.2",IF(AO264&lt;1.5,"1.3～1.4",IF(AO264&lt;2,"1.5～1.9","2.0以上"))))))</f>
        <v>欠損</v>
      </c>
      <c r="AQ264" s="8" t="str">
        <f aca="false">IF(A264="","",IF(ISNUMBER(SEARCH("2歳",Z264)),"2歳戦",IF(ISNUMBER(SEARCH("3歳未勝利",Z264)),"3歳未勝利",IF(ISNUMBER(SEARCH("未勝利",Z264)),"その他未勝利",IF(ISNUMBER(SEARCH("G1",Z264)),"G1",IF(ISNUMBER(SEARCH("G2",Z264)),"G2",IF(ISNUMBER(SEARCH("G3",Z264)),"G3",IF(ISNUMBER(SEARCH("古馬条件",Z264)),"古馬条件戦",IF(ISNUMBER(SEARCH("重賞",Z264)),"重賞","分類不能")))))))))</f>
        <v>分類不能</v>
      </c>
      <c r="AR264" s="4" t="s">
        <v>7738</v>
      </c>
      <c r="AS264" s="8" t="s">
        <v>7626</v>
      </c>
      <c r="AT264" s="8" t="s">
        <v>7627</v>
      </c>
      <c r="AU264" s="8" t="s">
        <v>7643</v>
      </c>
      <c r="AV264" s="4" t="s">
        <v>7644</v>
      </c>
      <c r="AW264" s="8" t="s">
        <v>7636</v>
      </c>
      <c r="AX264" s="4" t="s">
        <v>7637</v>
      </c>
      <c r="AY264" s="8" t="s">
        <v>7610</v>
      </c>
      <c r="AZ264" s="4" t="s">
        <v>7617</v>
      </c>
      <c r="BA264" s="8" t="n">
        <v>1700</v>
      </c>
      <c r="BB264" s="8" t="s">
        <v>7598</v>
      </c>
      <c r="BC264" s="4" t="s">
        <v>7604</v>
      </c>
      <c r="BD264" s="8" t="s">
        <v>7666</v>
      </c>
      <c r="BE264" s="4" t="s">
        <v>7606</v>
      </c>
      <c r="BF264" s="8" t="s">
        <v>7607</v>
      </c>
      <c r="BG264" s="8" t="s">
        <v>7602</v>
      </c>
      <c r="BH264" s="4" t="s">
        <v>7667</v>
      </c>
      <c r="BI264" s="8" t="n">
        <v>15</v>
      </c>
      <c r="BJ264" s="8" t="s">
        <v>7602</v>
      </c>
      <c r="BK264" s="4" t="s">
        <v>7653</v>
      </c>
      <c r="BL264" s="8" t="s">
        <v>7602</v>
      </c>
      <c r="BM264" s="4" t="s">
        <v>7620</v>
      </c>
      <c r="BN264" s="8"/>
      <c r="BO264" s="8"/>
      <c r="BP264" s="8" t="s">
        <v>7602</v>
      </c>
      <c r="BQ264" s="8" t="str">
        <f aca="false">IF(A264="","",AT264)</f>
        <v>3歳以上</v>
      </c>
      <c r="BR264" s="8" t="str">
        <f aca="false">IF(A264="","",IF(BA264&lt;=1200,"～1200",IF(BA264&lt;=1500,"1300～1500",IF(BA264=1600,"1600",IF(BA264&lt;=1800,"1700～1800",IF(BA264&lt;=2000,"1900～2000","2100以上"))))))</f>
        <v>1700～1800</v>
      </c>
      <c r="BS264" s="8" t="str">
        <f aca="false">IF(A264="","",IF(AX264="G1","G1",IF(AX264="G2","G2",IF(AX264="G3","G3",IF(AX264="L","L","その他")))))</f>
        <v>その他</v>
      </c>
      <c r="BT264" s="8" t="str">
        <f aca="false">IF(A264="","",IF(BI264="","未結合",IF(D264=BI264,"一致","不一致")))</f>
        <v>一致</v>
      </c>
      <c r="BU264" s="8" t="str">
        <f aca="false">IF(A264="","",IF(BE264="牝馬限定","牝馬限定","その他"))</f>
        <v>その他</v>
      </c>
    </row>
    <row r="265" customFormat="false" ht="15.75" hidden="false" customHeight="false" outlineLevel="0" collapsed="false">
      <c r="A265" s="3" t="n">
        <v>46208</v>
      </c>
      <c r="B265" s="4" t="s">
        <v>915</v>
      </c>
      <c r="C265" s="8" t="n">
        <v>12</v>
      </c>
      <c r="D265" s="8" t="n">
        <v>15</v>
      </c>
      <c r="E265" s="8" t="n">
        <v>1</v>
      </c>
      <c r="F265" s="4" t="s">
        <v>3116</v>
      </c>
      <c r="G265" s="8" t="n">
        <v>75</v>
      </c>
      <c r="H265" s="8" t="n">
        <v>4</v>
      </c>
      <c r="I265" s="4" t="s">
        <v>3118</v>
      </c>
      <c r="J265" s="8" t="n">
        <v>31</v>
      </c>
      <c r="K265" s="8" t="n">
        <v>14</v>
      </c>
      <c r="L265" s="4" t="s">
        <v>531</v>
      </c>
      <c r="M265" s="8" t="n">
        <v>29</v>
      </c>
      <c r="N265" s="8" t="n">
        <f aca="false">IF(A265="","",G265-J265)</f>
        <v>44</v>
      </c>
      <c r="O265" s="8" t="n">
        <f aca="false">IF(A265="","",J265-M265)</f>
        <v>2</v>
      </c>
      <c r="P265" s="8" t="n">
        <f aca="false">IF(A265="","",G265+J265)</f>
        <v>106</v>
      </c>
      <c r="Q265" s="8" t="str">
        <f aca="false">IF(A265="","",IF(AND(Y265&lt;&gt;"参考",G265&gt;=ルール設定!$B$2),"○",""))</f>
        <v/>
      </c>
      <c r="R265" s="8" t="str">
        <f aca="false">IF(A265="","",IF(AND(Y265&lt;&gt;"参考",G265&gt;=ルール設定!$B$3,N265&gt;=ルール設定!$B$4),"○",""))</f>
        <v>○</v>
      </c>
      <c r="S265" s="8" t="str">
        <f aca="false">IF(A265="","",IF(AND(Y265&lt;&gt;"参考",G265&gt;=ルール設定!$B$5,J265&gt;=ルール設定!$B$6,O265&gt;=ルール設定!$B$7),"○",""))</f>
        <v/>
      </c>
      <c r="T265" s="8" t="n">
        <v>4</v>
      </c>
      <c r="U265" s="8" t="n">
        <v>4</v>
      </c>
      <c r="V265" s="8" t="str">
        <f aca="false">IF(A265="","",IF(AND(ISNUMBER(T265),ISNUMBER(U265)),IF(AND(T265&lt;=3,U265&lt;=3),"○","×"),""))</f>
        <v>×</v>
      </c>
      <c r="W265" s="8"/>
      <c r="X265" s="8"/>
      <c r="Y265" s="4" t="s">
        <v>7597</v>
      </c>
      <c r="Z265" s="4" t="s">
        <v>7726</v>
      </c>
      <c r="AA265" s="8" t="str">
        <v/>
      </c>
      <c r="AB265" s="8" t="str">
        <v/>
      </c>
      <c r="AC265" s="8" t="str">
        <v/>
      </c>
      <c r="AD265" s="8" t="str">
        <v/>
      </c>
      <c r="AE265" s="8" t="str">
        <v>○</v>
      </c>
      <c r="AF265" s="8" t="str">
        <v/>
      </c>
      <c r="AG265" s="8" t="str">
        <v/>
      </c>
      <c r="AH265" s="8" t="str">
        <v/>
      </c>
      <c r="AI265" s="8" t="n">
        <v>46</v>
      </c>
      <c r="AJ265" s="8" t="str">
        <v>75～79</v>
      </c>
      <c r="AK265" s="8" t="str">
        <v>30以上</v>
      </c>
      <c r="AL265" s="8" t="str">
        <v>40以上</v>
      </c>
      <c r="AM265" s="8" t="str">
        <v>100～119</v>
      </c>
      <c r="AN265" s="8" t="str">
        <v>15以上</v>
      </c>
      <c r="AO265" s="8" t="str">
        <f aca="false">IF(A265="","",IF(COUNTIFS(全馬データ!$A$2:$A$50000,A265,全馬データ!$B$2:$B$50000,B265,全馬データ!$C$2:$C$50000,C265,全馬データ!$D$2:$D$50000,E265,全馬データ!$K$2:$K$50000,"&lt;&gt;")=0,"",SUMIFS(全馬データ!$K$2:$K$50000,全馬データ!$A$2:$A$50000,A265,全馬データ!$B$2:$B$50000,B265,全馬データ!$C$2:$C$50000,C265,全馬データ!$D$2:$D$50000,E265)))</f>
        <v/>
      </c>
      <c r="AP265" s="8" t="str">
        <f aca="false">IF(A265="","",IF(AO265="","欠損",IF(AO265&lt;=1.1,"1.0～1.1",IF(AO265&lt;1.3,"1.2",IF(AO265&lt;1.5,"1.3～1.4",IF(AO265&lt;2,"1.5～1.9","2.0以上"))))))</f>
        <v>欠損</v>
      </c>
      <c r="AQ265" s="8" t="str">
        <f aca="false">IF(A265="","",IF(ISNUMBER(SEARCH("2歳",Z265)),"2歳戦",IF(ISNUMBER(SEARCH("3歳未勝利",Z265)),"3歳未勝利",IF(ISNUMBER(SEARCH("未勝利",Z265)),"その他未勝利",IF(ISNUMBER(SEARCH("G1",Z265)),"G1",IF(ISNUMBER(SEARCH("G2",Z265)),"G2",IF(ISNUMBER(SEARCH("G3",Z265)),"G3",IF(ISNUMBER(SEARCH("古馬条件",Z265)),"古馬条件戦",IF(ISNUMBER(SEARCH("重賞",Z265)),"重賞","分類不能")))))))))</f>
        <v>分類不能</v>
      </c>
      <c r="AR265" s="8"/>
      <c r="AS265" s="8" t="s">
        <v>7626</v>
      </c>
      <c r="AT265" s="8" t="s">
        <v>7627</v>
      </c>
      <c r="AU265" s="8" t="s">
        <v>7628</v>
      </c>
      <c r="AV265" s="8" t="s">
        <v>7629</v>
      </c>
      <c r="AW265" s="8"/>
      <c r="AX265" s="8"/>
      <c r="AY265" s="8" t="s">
        <v>7610</v>
      </c>
      <c r="AZ265" s="4" t="s">
        <v>7617</v>
      </c>
      <c r="BA265" s="8" t="n">
        <v>1150</v>
      </c>
      <c r="BB265" s="8" t="s">
        <v>7598</v>
      </c>
      <c r="BC265" s="4" t="s">
        <v>7604</v>
      </c>
      <c r="BD265" s="8" t="s">
        <v>7605</v>
      </c>
      <c r="BE265" s="4" t="s">
        <v>7606</v>
      </c>
      <c r="BF265" s="8" t="s">
        <v>7607</v>
      </c>
      <c r="BG265" s="8" t="s">
        <v>7631</v>
      </c>
      <c r="BH265" s="4" t="s">
        <v>7632</v>
      </c>
      <c r="BI265" s="8" t="n">
        <v>15</v>
      </c>
      <c r="BJ265" s="8" t="s">
        <v>7602</v>
      </c>
      <c r="BK265" s="4" t="s">
        <v>7653</v>
      </c>
      <c r="BL265" s="8" t="s">
        <v>7602</v>
      </c>
      <c r="BM265" s="4" t="s">
        <v>7620</v>
      </c>
      <c r="BN265" s="8"/>
      <c r="BO265" s="8"/>
      <c r="BP265" s="8" t="s">
        <v>7602</v>
      </c>
      <c r="BQ265" s="8" t="str">
        <f aca="false">IF(A265="","",AT265)</f>
        <v>3歳以上</v>
      </c>
      <c r="BR265" s="8" t="str">
        <f aca="false">IF(A265="","",IF(BA265&lt;=1200,"～1200",IF(BA265&lt;=1500,"1300～1500",IF(BA265=1600,"1600",IF(BA265&lt;=1800,"1700～1800",IF(BA265&lt;=2000,"1900～2000","2100以上"))))))</f>
        <v>～1200</v>
      </c>
      <c r="BS265" s="8" t="str">
        <f aca="false">IF(A265="","",IF(AX265="G1","G1",IF(AX265="G2","G2",IF(AX265="G3","G3",IF(AX265="L","L","その他")))))</f>
        <v>その他</v>
      </c>
      <c r="BT265" s="8" t="str">
        <f aca="false">IF(A265="","",IF(BI265="","未結合",IF(D265=BI265,"一致","不一致")))</f>
        <v>一致</v>
      </c>
      <c r="BU265" s="8" t="str">
        <f aca="false">IF(A265="","",IF(BE265="牝馬限定","牝馬限定","その他"))</f>
        <v>その他</v>
      </c>
    </row>
    <row r="266" customFormat="false" ht="15.75" hidden="false" customHeight="false" outlineLevel="0" collapsed="false">
      <c r="A266" s="3" t="n">
        <v>46208</v>
      </c>
      <c r="B266" s="4" t="s">
        <v>1091</v>
      </c>
      <c r="C266" s="8" t="n">
        <v>1</v>
      </c>
      <c r="D266" s="8" t="n">
        <v>12</v>
      </c>
      <c r="E266" s="8" t="n">
        <v>2</v>
      </c>
      <c r="F266" s="4" t="s">
        <v>3127</v>
      </c>
      <c r="G266" s="8" t="n">
        <v>44</v>
      </c>
      <c r="H266" s="8" t="n">
        <v>4</v>
      </c>
      <c r="I266" s="4" t="s">
        <v>3129</v>
      </c>
      <c r="J266" s="8" t="n">
        <v>44</v>
      </c>
      <c r="K266" s="8" t="n">
        <v>8</v>
      </c>
      <c r="L266" s="4" t="s">
        <v>3132</v>
      </c>
      <c r="M266" s="8" t="n">
        <v>44</v>
      </c>
      <c r="N266" s="8" t="n">
        <f aca="false">IF(A266="","",G266-J266)</f>
        <v>0</v>
      </c>
      <c r="O266" s="8" t="n">
        <f aca="false">IF(A266="","",J266-M266)</f>
        <v>0</v>
      </c>
      <c r="P266" s="8" t="n">
        <f aca="false">IF(A266="","",G266+J266)</f>
        <v>88</v>
      </c>
      <c r="Q266" s="8" t="str">
        <f aca="false">IF(A266="","",IF(AND(Y266&lt;&gt;"参考",G266&gt;=ルール設定!$B$2),"○",""))</f>
        <v/>
      </c>
      <c r="R266" s="8" t="str">
        <f aca="false">IF(A266="","",IF(AND(Y266&lt;&gt;"参考",G266&gt;=ルール設定!$B$3,N266&gt;=ルール設定!$B$4),"○",""))</f>
        <v/>
      </c>
      <c r="S266" s="8" t="str">
        <f aca="false">IF(A266="","",IF(AND(Y266&lt;&gt;"参考",G266&gt;=ルール設定!$B$5,J266&gt;=ルール設定!$B$6,O266&gt;=ルール設定!$B$7),"○",""))</f>
        <v/>
      </c>
      <c r="T266" s="8" t="n">
        <v>3</v>
      </c>
      <c r="U266" s="8" t="n">
        <v>4</v>
      </c>
      <c r="V266" s="8" t="str">
        <f aca="false">IF(A266="","",IF(AND(ISNUMBER(T266),ISNUMBER(U266)),IF(AND(T266&lt;=3,U266&lt;=3),"○","×"),""))</f>
        <v>×</v>
      </c>
      <c r="W266" s="8" t="n">
        <v>250</v>
      </c>
      <c r="X266" s="8"/>
      <c r="Y266" s="4" t="s">
        <v>7597</v>
      </c>
      <c r="Z266" s="4" t="s">
        <v>7726</v>
      </c>
      <c r="AA266" s="8" t="str">
        <v/>
      </c>
      <c r="AB266" s="8" t="str">
        <v/>
      </c>
      <c r="AC266" s="8" t="str">
        <v/>
      </c>
      <c r="AD266" s="8" t="str">
        <v/>
      </c>
      <c r="AE266" s="8" t="str">
        <v/>
      </c>
      <c r="AF266" s="8" t="str">
        <v/>
      </c>
      <c r="AG266" s="8" t="str">
        <v/>
      </c>
      <c r="AH266" s="8" t="str">
        <v/>
      </c>
      <c r="AI266" s="8" t="n">
        <v>0</v>
      </c>
      <c r="AJ266" s="8" t="str">
        <v>～59</v>
      </c>
      <c r="AK266" s="8" t="str">
        <v>0～4</v>
      </c>
      <c r="AL266" s="8" t="str">
        <v>0～9</v>
      </c>
      <c r="AM266" s="8" t="str">
        <v>～99</v>
      </c>
      <c r="AN266" s="8" t="str">
        <v>12～14</v>
      </c>
      <c r="AO266" s="8" t="str">
        <f aca="false">IF(A266="","",IF(COUNTIFS(全馬データ!$A$2:$A$50000,A266,全馬データ!$B$2:$B$50000,B266,全馬データ!$C$2:$C$50000,C266,全馬データ!$D$2:$D$50000,E266,全馬データ!$K$2:$K$50000,"&lt;&gt;")=0,"",SUMIFS(全馬データ!$K$2:$K$50000,全馬データ!$A$2:$A$50000,A266,全馬データ!$B$2:$B$50000,B266,全馬データ!$C$2:$C$50000,C266,全馬データ!$D$2:$D$50000,E266)))</f>
        <v/>
      </c>
      <c r="AP266" s="8" t="str">
        <f aca="false">IF(A266="","",IF(AO266="","欠損",IF(AO266&lt;=1.1,"1.0～1.1",IF(AO266&lt;1.3,"1.2",IF(AO266&lt;1.5,"1.3～1.4",IF(AO266&lt;2,"1.5～1.9","2.0以上"))))))</f>
        <v>欠損</v>
      </c>
      <c r="AQ266" s="8" t="str">
        <f aca="false">IF(A266="","",IF(ISNUMBER(SEARCH("2歳",Z266)),"2歳戦",IF(ISNUMBER(SEARCH("3歳未勝利",Z266)),"3歳未勝利",IF(ISNUMBER(SEARCH("未勝利",Z266)),"その他未勝利",IF(ISNUMBER(SEARCH("G1",Z266)),"G1",IF(ISNUMBER(SEARCH("G2",Z266)),"G2",IF(ISNUMBER(SEARCH("G3",Z266)),"G3",IF(ISNUMBER(SEARCH("古馬条件",Z266)),"古馬条件戦",IF(ISNUMBER(SEARCH("重賞",Z266)),"重賞","分類不能")))))))))</f>
        <v>分類不能</v>
      </c>
      <c r="AR266" s="8"/>
      <c r="AS266" s="8" t="s">
        <v>7618</v>
      </c>
      <c r="AT266" s="4" t="s">
        <v>7642</v>
      </c>
      <c r="AU266" s="8" t="s">
        <v>7600</v>
      </c>
      <c r="AV266" s="4" t="s">
        <v>7601</v>
      </c>
      <c r="AW266" s="8"/>
      <c r="AX266" s="8"/>
      <c r="AY266" s="8" t="s">
        <v>7608</v>
      </c>
      <c r="AZ266" s="4" t="s">
        <v>7642</v>
      </c>
      <c r="BA266" s="8" t="n">
        <v>2860</v>
      </c>
      <c r="BB266" s="8" t="s">
        <v>7657</v>
      </c>
      <c r="BC266" s="4" t="s">
        <v>7658</v>
      </c>
      <c r="BD266" s="8" t="s">
        <v>7696</v>
      </c>
      <c r="BE266" s="4" t="s">
        <v>7606</v>
      </c>
      <c r="BF266" s="8" t="s">
        <v>7607</v>
      </c>
      <c r="BG266" s="8" t="s">
        <v>7631</v>
      </c>
      <c r="BH266" s="4" t="s">
        <v>7632</v>
      </c>
      <c r="BI266" s="8" t="n">
        <v>12</v>
      </c>
      <c r="BJ266" s="8" t="s">
        <v>7647</v>
      </c>
      <c r="BK266" s="4" t="s">
        <v>7648</v>
      </c>
      <c r="BL266" s="8" t="s">
        <v>7647</v>
      </c>
      <c r="BM266" s="4" t="s">
        <v>7648</v>
      </c>
      <c r="BN266" s="8"/>
      <c r="BO266" s="8"/>
      <c r="BP266" s="8" t="s">
        <v>7610</v>
      </c>
      <c r="BQ266" s="8" t="str">
        <f aca="false">IF(A266="","",AT266)</f>
        <v>障害</v>
      </c>
      <c r="BR266" s="8" t="str">
        <f aca="false">IF(A266="","",IF(BA266&lt;=1200,"～1200",IF(BA266&lt;=1500,"1300～1500",IF(BA266=1600,"1600",IF(BA266&lt;=1800,"1700～1800",IF(BA266&lt;=2000,"1900～2000","2100以上"))))))</f>
        <v>2100以上</v>
      </c>
      <c r="BS266" s="8" t="str">
        <f aca="false">IF(A266="","",IF(AX266="G1","G1",IF(AX266="G2","G2",IF(AX266="G3","G3",IF(AX266="L","L","その他")))))</f>
        <v>その他</v>
      </c>
      <c r="BT266" s="8" t="str">
        <f aca="false">IF(A266="","",IF(BI266="","未結合",IF(D266=BI266,"一致","不一致")))</f>
        <v>一致</v>
      </c>
      <c r="BU266" s="8" t="str">
        <f aca="false">IF(A266="","",IF(BE266="牝馬限定","牝馬限定","その他"))</f>
        <v>その他</v>
      </c>
    </row>
    <row r="267" customFormat="false" ht="15.75" hidden="false" customHeight="false" outlineLevel="0" collapsed="false">
      <c r="A267" s="3" t="n">
        <v>46208</v>
      </c>
      <c r="B267" s="4" t="s">
        <v>1091</v>
      </c>
      <c r="C267" s="8" t="n">
        <v>2</v>
      </c>
      <c r="D267" s="8" t="n">
        <v>16</v>
      </c>
      <c r="E267" s="8" t="n">
        <v>10</v>
      </c>
      <c r="F267" s="4" t="s">
        <v>1183</v>
      </c>
      <c r="G267" s="8" t="n">
        <v>67</v>
      </c>
      <c r="H267" s="8" t="n">
        <v>1</v>
      </c>
      <c r="I267" s="4" t="s">
        <v>1189</v>
      </c>
      <c r="J267" s="8" t="n">
        <v>47</v>
      </c>
      <c r="K267" s="8" t="n">
        <v>5</v>
      </c>
      <c r="L267" s="4" t="s">
        <v>1192</v>
      </c>
      <c r="M267" s="8" t="n">
        <v>34</v>
      </c>
      <c r="N267" s="8" t="n">
        <f aca="false">IF(A267="","",G267-J267)</f>
        <v>20</v>
      </c>
      <c r="O267" s="8" t="n">
        <f aca="false">IF(A267="","",J267-M267)</f>
        <v>13</v>
      </c>
      <c r="P267" s="8" t="n">
        <f aca="false">IF(A267="","",G267+J267)</f>
        <v>114</v>
      </c>
      <c r="Q267" s="8" t="str">
        <f aca="false">IF(A267="","",IF(AND(Y267&lt;&gt;"参考",G267&gt;=ルール設定!$B$2),"○",""))</f>
        <v/>
      </c>
      <c r="R267" s="8" t="str">
        <f aca="false">IF(A267="","",IF(AND(Y267&lt;&gt;"参考",G267&gt;=ルール設定!$B$3,N267&gt;=ルール設定!$B$4),"○",""))</f>
        <v/>
      </c>
      <c r="S267" s="8" t="str">
        <f aca="false">IF(A267="","",IF(AND(Y267&lt;&gt;"参考",G267&gt;=ルール設定!$B$5,J267&gt;=ルール設定!$B$6,O267&gt;=ルール設定!$B$7),"○",""))</f>
        <v/>
      </c>
      <c r="T267" s="8" t="n">
        <v>1</v>
      </c>
      <c r="U267" s="8" t="n">
        <v>4</v>
      </c>
      <c r="V267" s="8" t="str">
        <f aca="false">IF(A267="","",IF(AND(ISNUMBER(T267),ISNUMBER(U267)),IF(AND(T267&lt;=3,U267&lt;=3),"○","×"),""))</f>
        <v>×</v>
      </c>
      <c r="W267" s="8" t="n">
        <v>110</v>
      </c>
      <c r="X267" s="8"/>
      <c r="Y267" s="4" t="s">
        <v>7597</v>
      </c>
      <c r="Z267" s="4" t="s">
        <v>7726</v>
      </c>
      <c r="AA267" s="8" t="str">
        <v/>
      </c>
      <c r="AB267" s="8" t="str">
        <v/>
      </c>
      <c r="AC267" s="8" t="str">
        <v/>
      </c>
      <c r="AD267" s="8" t="str">
        <v/>
      </c>
      <c r="AE267" s="8" t="str">
        <v/>
      </c>
      <c r="AF267" s="8" t="str">
        <v/>
      </c>
      <c r="AG267" s="8" t="str">
        <v/>
      </c>
      <c r="AH267" s="8" t="str">
        <v/>
      </c>
      <c r="AI267" s="8" t="n">
        <v>33</v>
      </c>
      <c r="AJ267" s="8" t="str">
        <v>60～69</v>
      </c>
      <c r="AK267" s="8" t="str">
        <v>20～29</v>
      </c>
      <c r="AL267" s="8" t="str">
        <v>30～39</v>
      </c>
      <c r="AM267" s="8" t="str">
        <v>100～119</v>
      </c>
      <c r="AN267" s="8" t="str">
        <v>15以上</v>
      </c>
      <c r="AO267" s="8" t="str">
        <f aca="false">IF(A267="","",IF(COUNTIFS(全馬データ!$A$2:$A$50000,A267,全馬データ!$B$2:$B$50000,B267,全馬データ!$C$2:$C$50000,C267,全馬データ!$D$2:$D$50000,E267,全馬データ!$K$2:$K$50000,"&lt;&gt;")=0,"",SUMIFS(全馬データ!$K$2:$K$50000,全馬データ!$A$2:$A$50000,A267,全馬データ!$B$2:$B$50000,B267,全馬データ!$C$2:$C$50000,C267,全馬データ!$D$2:$D$50000,E267)))</f>
        <v/>
      </c>
      <c r="AP267" s="8" t="str">
        <f aca="false">IF(A267="","",IF(AO267="","欠損",IF(AO267&lt;=1.1,"1.0～1.1",IF(AO267&lt;1.3,"1.2",IF(AO267&lt;1.5,"1.3～1.4",IF(AO267&lt;2,"1.5～1.9","2.0以上"))))))</f>
        <v>欠損</v>
      </c>
      <c r="AQ267" s="8" t="str">
        <f aca="false">IF(A267="","",IF(ISNUMBER(SEARCH("2歳",Z267)),"2歳戦",IF(ISNUMBER(SEARCH("3歳未勝利",Z267)),"3歳未勝利",IF(ISNUMBER(SEARCH("未勝利",Z267)),"その他未勝利",IF(ISNUMBER(SEARCH("G1",Z267)),"G1",IF(ISNUMBER(SEARCH("G2",Z267)),"G2",IF(ISNUMBER(SEARCH("G3",Z267)),"G3",IF(ISNUMBER(SEARCH("古馬条件",Z267)),"古馬条件戦",IF(ISNUMBER(SEARCH("重賞",Z267)),"重賞","分類不能")))))))))</f>
        <v>分類不能</v>
      </c>
      <c r="AR267" s="8"/>
      <c r="AS267" s="8" t="s">
        <v>7598</v>
      </c>
      <c r="AT267" s="8" t="s">
        <v>7599</v>
      </c>
      <c r="AU267" s="8" t="s">
        <v>7600</v>
      </c>
      <c r="AV267" s="4" t="s">
        <v>7601</v>
      </c>
      <c r="AW267" s="8"/>
      <c r="AX267" s="8"/>
      <c r="AY267" s="8" t="s">
        <v>7602</v>
      </c>
      <c r="AZ267" s="4" t="s">
        <v>7603</v>
      </c>
      <c r="BA267" s="8" t="n">
        <v>1200</v>
      </c>
      <c r="BB267" s="8" t="s">
        <v>7701</v>
      </c>
      <c r="BC267" s="4" t="s">
        <v>7658</v>
      </c>
      <c r="BD267" s="8" t="s">
        <v>7739</v>
      </c>
      <c r="BE267" s="4" t="s">
        <v>7606</v>
      </c>
      <c r="BF267" s="8" t="s">
        <v>7607</v>
      </c>
      <c r="BG267" s="8" t="s">
        <v>7608</v>
      </c>
      <c r="BH267" s="4" t="s">
        <v>7609</v>
      </c>
      <c r="BI267" s="8" t="n">
        <v>16</v>
      </c>
      <c r="BJ267" s="8" t="s">
        <v>7602</v>
      </c>
      <c r="BK267" s="4" t="s">
        <v>7653</v>
      </c>
      <c r="BL267" s="8" t="s">
        <v>7602</v>
      </c>
      <c r="BM267" s="4" t="s">
        <v>7620</v>
      </c>
      <c r="BN267" s="8" t="s">
        <v>7602</v>
      </c>
      <c r="BO267" s="8" t="s">
        <v>7613</v>
      </c>
      <c r="BP267" s="8" t="s">
        <v>7610</v>
      </c>
      <c r="BQ267" s="8" t="str">
        <f aca="false">IF(A267="","",AT267)</f>
        <v>2歳</v>
      </c>
      <c r="BR267" s="8" t="str">
        <f aca="false">IF(A267="","",IF(BA267&lt;=1200,"～1200",IF(BA267&lt;=1500,"1300～1500",IF(BA267=1600,"1600",IF(BA267&lt;=1800,"1700～1800",IF(BA267&lt;=2000,"1900～2000","2100以上"))))))</f>
        <v>～1200</v>
      </c>
      <c r="BS267" s="8" t="str">
        <f aca="false">IF(A267="","",IF(AX267="G1","G1",IF(AX267="G2","G2",IF(AX267="G3","G3",IF(AX267="L","L","その他")))))</f>
        <v>その他</v>
      </c>
      <c r="BT267" s="8" t="str">
        <f aca="false">IF(A267="","",IF(BI267="","未結合",IF(D267=BI267,"一致","不一致")))</f>
        <v>一致</v>
      </c>
      <c r="BU267" s="8" t="str">
        <f aca="false">IF(A267="","",IF(BE267="牝馬限定","牝馬限定","その他"))</f>
        <v>その他</v>
      </c>
    </row>
    <row r="268" customFormat="false" ht="15.75" hidden="false" customHeight="false" outlineLevel="0" collapsed="false">
      <c r="A268" s="3" t="n">
        <v>46208</v>
      </c>
      <c r="B268" s="4" t="s">
        <v>1091</v>
      </c>
      <c r="C268" s="8" t="n">
        <v>3</v>
      </c>
      <c r="D268" s="8" t="n">
        <v>18</v>
      </c>
      <c r="E268" s="8" t="n">
        <v>17</v>
      </c>
      <c r="F268" s="4" t="s">
        <v>3150</v>
      </c>
      <c r="G268" s="8" t="n">
        <v>62</v>
      </c>
      <c r="H268" s="8" t="n">
        <v>16</v>
      </c>
      <c r="I268" s="4" t="s">
        <v>3149</v>
      </c>
      <c r="J268" s="8" t="n">
        <v>50</v>
      </c>
      <c r="K268" s="8" t="n">
        <v>4</v>
      </c>
      <c r="L268" s="4" t="s">
        <v>3140</v>
      </c>
      <c r="M268" s="8" t="n">
        <v>39</v>
      </c>
      <c r="N268" s="8" t="n">
        <f aca="false">IF(A268="","",G268-J268)</f>
        <v>12</v>
      </c>
      <c r="O268" s="8" t="n">
        <f aca="false">IF(A268="","",J268-M268)</f>
        <v>11</v>
      </c>
      <c r="P268" s="8" t="n">
        <f aca="false">IF(A268="","",G268+J268)</f>
        <v>112</v>
      </c>
      <c r="Q268" s="8" t="str">
        <f aca="false">IF(A268="","",IF(AND(Y268&lt;&gt;"参考",G268&gt;=ルール設定!$B$2),"○",""))</f>
        <v/>
      </c>
      <c r="R268" s="8" t="str">
        <f aca="false">IF(A268="","",IF(AND(Y268&lt;&gt;"参考",G268&gt;=ルール設定!$B$3,N268&gt;=ルール設定!$B$4),"○",""))</f>
        <v/>
      </c>
      <c r="S268" s="8" t="str">
        <f aca="false">IF(A268="","",IF(AND(Y268&lt;&gt;"参考",G268&gt;=ルール設定!$B$5,J268&gt;=ルール設定!$B$6,O268&gt;=ルール設定!$B$7),"○",""))</f>
        <v/>
      </c>
      <c r="T268" s="8" t="n">
        <v>4</v>
      </c>
      <c r="U268" s="8" t="n">
        <v>4</v>
      </c>
      <c r="V268" s="8" t="str">
        <f aca="false">IF(A268="","",IF(AND(ISNUMBER(T268),ISNUMBER(U268)),IF(AND(T268&lt;=3,U268&lt;=3),"○","×"),""))</f>
        <v>×</v>
      </c>
      <c r="W268" s="8"/>
      <c r="X268" s="8"/>
      <c r="Y268" s="4" t="s">
        <v>7597</v>
      </c>
      <c r="Z268" s="4" t="s">
        <v>7726</v>
      </c>
      <c r="AA268" s="8" t="str">
        <v/>
      </c>
      <c r="AB268" s="8" t="str">
        <v/>
      </c>
      <c r="AC268" s="8" t="str">
        <v/>
      </c>
      <c r="AD268" s="8" t="str">
        <v/>
      </c>
      <c r="AE268" s="8" t="str">
        <v/>
      </c>
      <c r="AF268" s="8" t="str">
        <v/>
      </c>
      <c r="AG268" s="8" t="str">
        <v/>
      </c>
      <c r="AH268" s="8" t="str">
        <v/>
      </c>
      <c r="AI268" s="8" t="n">
        <v>23</v>
      </c>
      <c r="AJ268" s="8" t="str">
        <v>60～69</v>
      </c>
      <c r="AK268" s="8" t="str">
        <v>10～19</v>
      </c>
      <c r="AL268" s="8" t="str">
        <v>20～29</v>
      </c>
      <c r="AM268" s="8" t="str">
        <v>100～119</v>
      </c>
      <c r="AN268" s="8" t="str">
        <v>15以上</v>
      </c>
      <c r="AO268" s="8" t="str">
        <f aca="false">IF(A268="","",IF(COUNTIFS(全馬データ!$A$2:$A$50000,A268,全馬データ!$B$2:$B$50000,B268,全馬データ!$C$2:$C$50000,C268,全馬データ!$D$2:$D$50000,E268,全馬データ!$K$2:$K$50000,"&lt;&gt;")=0,"",SUMIFS(全馬データ!$K$2:$K$50000,全馬データ!$A$2:$A$50000,A268,全馬データ!$B$2:$B$50000,B268,全馬データ!$C$2:$C$50000,C268,全馬データ!$D$2:$D$50000,E268)))</f>
        <v/>
      </c>
      <c r="AP268" s="8" t="str">
        <f aca="false">IF(A268="","",IF(AO268="","欠損",IF(AO268&lt;=1.1,"1.0～1.1",IF(AO268&lt;1.3,"1.2",IF(AO268&lt;1.5,"1.3～1.4",IF(AO268&lt;2,"1.5～1.9","2.0以上"))))))</f>
        <v>欠損</v>
      </c>
      <c r="AQ268" s="8" t="str">
        <f aca="false">IF(A268="","",IF(ISNUMBER(SEARCH("2歳",Z268)),"2歳戦",IF(ISNUMBER(SEARCH("3歳未勝利",Z268)),"3歳未勝利",IF(ISNUMBER(SEARCH("未勝利",Z268)),"その他未勝利",IF(ISNUMBER(SEARCH("G1",Z268)),"G1",IF(ISNUMBER(SEARCH("G2",Z268)),"G2",IF(ISNUMBER(SEARCH("G3",Z268)),"G3",IF(ISNUMBER(SEARCH("古馬条件",Z268)),"古馬条件戦",IF(ISNUMBER(SEARCH("重賞",Z268)),"重賞","分類不能")))))))))</f>
        <v>分類不能</v>
      </c>
      <c r="AR268" s="8"/>
      <c r="AS268" s="8" t="s">
        <v>7623</v>
      </c>
      <c r="AT268" s="8" t="s">
        <v>7624</v>
      </c>
      <c r="AU268" s="8" t="s">
        <v>7600</v>
      </c>
      <c r="AV268" s="4" t="s">
        <v>7601</v>
      </c>
      <c r="AW268" s="8"/>
      <c r="AX268" s="8"/>
      <c r="AY268" s="8" t="s">
        <v>7602</v>
      </c>
      <c r="AZ268" s="4" t="s">
        <v>7603</v>
      </c>
      <c r="BA268" s="8" t="n">
        <v>2000</v>
      </c>
      <c r="BB268" s="8" t="s">
        <v>7701</v>
      </c>
      <c r="BC268" s="4" t="s">
        <v>7658</v>
      </c>
      <c r="BD268" s="8" t="s">
        <v>7621</v>
      </c>
      <c r="BE268" s="4" t="s">
        <v>7622</v>
      </c>
      <c r="BF268" s="8" t="s">
        <v>7602</v>
      </c>
      <c r="BG268" s="8" t="s">
        <v>7608</v>
      </c>
      <c r="BH268" s="4" t="s">
        <v>7609</v>
      </c>
      <c r="BI268" s="8" t="n">
        <v>18</v>
      </c>
      <c r="BJ268" s="8" t="s">
        <v>7602</v>
      </c>
      <c r="BK268" s="4" t="s">
        <v>7653</v>
      </c>
      <c r="BL268" s="8" t="s">
        <v>7602</v>
      </c>
      <c r="BM268" s="4" t="s">
        <v>7620</v>
      </c>
      <c r="BN268" s="8" t="s">
        <v>7602</v>
      </c>
      <c r="BO268" s="8" t="s">
        <v>7613</v>
      </c>
      <c r="BP268" s="8" t="s">
        <v>7610</v>
      </c>
      <c r="BQ268" s="8" t="str">
        <f aca="false">IF(A268="","",AT268)</f>
        <v>3歳</v>
      </c>
      <c r="BR268" s="8" t="str">
        <f aca="false">IF(A268="","",IF(BA268&lt;=1200,"～1200",IF(BA268&lt;=1500,"1300～1500",IF(BA268=1600,"1600",IF(BA268&lt;=1800,"1700～1800",IF(BA268&lt;=2000,"1900～2000","2100以上"))))))</f>
        <v>1900～2000</v>
      </c>
      <c r="BS268" s="8" t="str">
        <f aca="false">IF(A268="","",IF(AX268="G1","G1",IF(AX268="G2","G2",IF(AX268="G3","G3",IF(AX268="L","L","その他")))))</f>
        <v>その他</v>
      </c>
      <c r="BT268" s="8" t="str">
        <f aca="false">IF(A268="","",IF(BI268="","未結合",IF(D268=BI268,"一致","不一致")))</f>
        <v>一致</v>
      </c>
      <c r="BU268" s="8" t="str">
        <f aca="false">IF(A268="","",IF(BE268="牝馬限定","牝馬限定","その他"))</f>
        <v>牝馬限定</v>
      </c>
    </row>
    <row r="269" customFormat="false" ht="15.75" hidden="false" customHeight="false" outlineLevel="0" collapsed="false">
      <c r="A269" s="3" t="n">
        <v>46208</v>
      </c>
      <c r="B269" s="4" t="s">
        <v>1091</v>
      </c>
      <c r="C269" s="8" t="n">
        <v>4</v>
      </c>
      <c r="D269" s="8" t="n">
        <v>14</v>
      </c>
      <c r="E269" s="8" t="n">
        <v>8</v>
      </c>
      <c r="F269" s="4" t="s">
        <v>1116</v>
      </c>
      <c r="G269" s="8" t="n">
        <v>62</v>
      </c>
      <c r="H269" s="8" t="n">
        <v>14</v>
      </c>
      <c r="I269" s="4" t="s">
        <v>3162</v>
      </c>
      <c r="J269" s="8" t="n">
        <v>56</v>
      </c>
      <c r="K269" s="8" t="n">
        <v>2</v>
      </c>
      <c r="L269" s="4" t="s">
        <v>680</v>
      </c>
      <c r="M269" s="8" t="n">
        <v>34</v>
      </c>
      <c r="N269" s="8" t="n">
        <f aca="false">IF(A269="","",G269-J269)</f>
        <v>6</v>
      </c>
      <c r="O269" s="8" t="n">
        <f aca="false">IF(A269="","",J269-M269)</f>
        <v>22</v>
      </c>
      <c r="P269" s="8" t="n">
        <f aca="false">IF(A269="","",G269+J269)</f>
        <v>118</v>
      </c>
      <c r="Q269" s="8" t="str">
        <f aca="false">IF(A269="","",IF(AND(Y269&lt;&gt;"参考",G269&gt;=ルール設定!$B$2),"○",""))</f>
        <v/>
      </c>
      <c r="R269" s="8" t="str">
        <f aca="false">IF(A269="","",IF(AND(Y269&lt;&gt;"参考",G269&gt;=ルール設定!$B$3,N269&gt;=ルール設定!$B$4),"○",""))</f>
        <v/>
      </c>
      <c r="S269" s="8" t="str">
        <f aca="false">IF(A269="","",IF(AND(Y269&lt;&gt;"参考",G269&gt;=ルール設定!$B$5,J269&gt;=ルール設定!$B$6,O269&gt;=ルール設定!$B$7),"○",""))</f>
        <v>○</v>
      </c>
      <c r="T269" s="8" t="n">
        <v>4</v>
      </c>
      <c r="U269" s="8" t="n">
        <v>4</v>
      </c>
      <c r="V269" s="8" t="str">
        <f aca="false">IF(A269="","",IF(AND(ISNUMBER(T269),ISNUMBER(U269)),IF(AND(T269&lt;=3,U269&lt;=3),"○","×"),""))</f>
        <v>×</v>
      </c>
      <c r="W269" s="8"/>
      <c r="X269" s="8"/>
      <c r="Y269" s="4" t="s">
        <v>7597</v>
      </c>
      <c r="Z269" s="4" t="s">
        <v>7726</v>
      </c>
      <c r="AA269" s="8" t="str">
        <v/>
      </c>
      <c r="AB269" s="8" t="str">
        <v/>
      </c>
      <c r="AC269" s="8" t="str">
        <v/>
      </c>
      <c r="AD269" s="8" t="str">
        <v/>
      </c>
      <c r="AE269" s="8" t="str">
        <v/>
      </c>
      <c r="AF269" s="8" t="str">
        <v/>
      </c>
      <c r="AG269" s="8" t="str">
        <v/>
      </c>
      <c r="AH269" s="8" t="str">
        <v/>
      </c>
      <c r="AI269" s="8" t="n">
        <v>28</v>
      </c>
      <c r="AJ269" s="8" t="str">
        <v>60～69</v>
      </c>
      <c r="AK269" s="8" t="str">
        <v>5～9</v>
      </c>
      <c r="AL269" s="8" t="str">
        <v>20～29</v>
      </c>
      <c r="AM269" s="8" t="str">
        <v>100～119</v>
      </c>
      <c r="AN269" s="8" t="str">
        <v>12～14</v>
      </c>
      <c r="AO269" s="8" t="str">
        <f aca="false">IF(A269="","",IF(COUNTIFS(全馬データ!$A$2:$A$50000,A269,全馬データ!$B$2:$B$50000,B269,全馬データ!$C$2:$C$50000,C269,全馬データ!$D$2:$D$50000,E269,全馬データ!$K$2:$K$50000,"&lt;&gt;")=0,"",SUMIFS(全馬データ!$K$2:$K$50000,全馬データ!$A$2:$A$50000,A269,全馬データ!$B$2:$B$50000,B269,全馬データ!$C$2:$C$50000,C269,全馬データ!$D$2:$D$50000,E269)))</f>
        <v/>
      </c>
      <c r="AP269" s="8" t="str">
        <f aca="false">IF(A269="","",IF(AO269="","欠損",IF(AO269&lt;=1.1,"1.0～1.1",IF(AO269&lt;1.3,"1.2",IF(AO269&lt;1.5,"1.3～1.4",IF(AO269&lt;2,"1.5～1.9","2.0以上"))))))</f>
        <v>欠損</v>
      </c>
      <c r="AQ269" s="8" t="str">
        <f aca="false">IF(A269="","",IF(ISNUMBER(SEARCH("2歳",Z269)),"2歳戦",IF(ISNUMBER(SEARCH("3歳未勝利",Z269)),"3歳未勝利",IF(ISNUMBER(SEARCH("未勝利",Z269)),"その他未勝利",IF(ISNUMBER(SEARCH("G1",Z269)),"G1",IF(ISNUMBER(SEARCH("G2",Z269)),"G2",IF(ISNUMBER(SEARCH("G3",Z269)),"G3",IF(ISNUMBER(SEARCH("古馬条件",Z269)),"古馬条件戦",IF(ISNUMBER(SEARCH("重賞",Z269)),"重賞","分類不能")))))))))</f>
        <v>分類不能</v>
      </c>
      <c r="AR269" s="8"/>
      <c r="AS269" s="8" t="s">
        <v>7623</v>
      </c>
      <c r="AT269" s="8" t="s">
        <v>7624</v>
      </c>
      <c r="AU269" s="8" t="s">
        <v>7600</v>
      </c>
      <c r="AV269" s="4" t="s">
        <v>7601</v>
      </c>
      <c r="AW269" s="8"/>
      <c r="AX269" s="8"/>
      <c r="AY269" s="8" t="s">
        <v>7610</v>
      </c>
      <c r="AZ269" s="4" t="s">
        <v>7617</v>
      </c>
      <c r="BA269" s="8" t="n">
        <v>1000</v>
      </c>
      <c r="BB269" s="8" t="s">
        <v>7669</v>
      </c>
      <c r="BC269" s="4" t="s">
        <v>7662</v>
      </c>
      <c r="BD269" s="8" t="s">
        <v>7605</v>
      </c>
      <c r="BE269" s="4" t="s">
        <v>7606</v>
      </c>
      <c r="BF269" s="8" t="s">
        <v>7607</v>
      </c>
      <c r="BG269" s="8" t="s">
        <v>7608</v>
      </c>
      <c r="BH269" s="4" t="s">
        <v>7609</v>
      </c>
      <c r="BI269" s="8" t="n">
        <v>14</v>
      </c>
      <c r="BJ269" s="8" t="s">
        <v>7602</v>
      </c>
      <c r="BK269" s="4" t="s">
        <v>7653</v>
      </c>
      <c r="BL269" s="8" t="s">
        <v>7602</v>
      </c>
      <c r="BM269" s="4" t="s">
        <v>7620</v>
      </c>
      <c r="BN269" s="8"/>
      <c r="BO269" s="8"/>
      <c r="BP269" s="8" t="s">
        <v>7610</v>
      </c>
      <c r="BQ269" s="8" t="str">
        <f aca="false">IF(A269="","",AT269)</f>
        <v>3歳</v>
      </c>
      <c r="BR269" s="8" t="str">
        <f aca="false">IF(A269="","",IF(BA269&lt;=1200,"～1200",IF(BA269&lt;=1500,"1300～1500",IF(BA269=1600,"1600",IF(BA269&lt;=1800,"1700～1800",IF(BA269&lt;=2000,"1900～2000","2100以上"))))))</f>
        <v>～1200</v>
      </c>
      <c r="BS269" s="8" t="str">
        <f aca="false">IF(A269="","",IF(AX269="G1","G1",IF(AX269="G2","G2",IF(AX269="G3","G3",IF(AX269="L","L","その他")))))</f>
        <v>その他</v>
      </c>
      <c r="BT269" s="8" t="str">
        <f aca="false">IF(A269="","",IF(BI269="","未結合",IF(D269=BI269,"一致","不一致")))</f>
        <v>一致</v>
      </c>
      <c r="BU269" s="8" t="str">
        <f aca="false">IF(A269="","",IF(BE269="牝馬限定","牝馬限定","その他"))</f>
        <v>その他</v>
      </c>
    </row>
    <row r="270" customFormat="false" ht="15.75" hidden="false" customHeight="false" outlineLevel="0" collapsed="false">
      <c r="A270" s="3" t="n">
        <v>46208</v>
      </c>
      <c r="B270" s="4" t="s">
        <v>1091</v>
      </c>
      <c r="C270" s="8" t="n">
        <v>5</v>
      </c>
      <c r="D270" s="8" t="n">
        <v>12</v>
      </c>
      <c r="E270" s="8" t="n">
        <v>10</v>
      </c>
      <c r="F270" s="4" t="s">
        <v>3171</v>
      </c>
      <c r="G270" s="8" t="n">
        <v>37</v>
      </c>
      <c r="H270" s="8" t="n">
        <v>1</v>
      </c>
      <c r="I270" s="4" t="s">
        <v>3163</v>
      </c>
      <c r="J270" s="8" t="n">
        <v>24</v>
      </c>
      <c r="K270" s="8" t="n">
        <v>4</v>
      </c>
      <c r="L270" s="4" t="s">
        <v>3165</v>
      </c>
      <c r="M270" s="8" t="n">
        <v>24</v>
      </c>
      <c r="N270" s="8" t="n">
        <f aca="false">IF(A270="","",G270-J270)</f>
        <v>13</v>
      </c>
      <c r="O270" s="8" t="n">
        <f aca="false">IF(A270="","",J270-M270)</f>
        <v>0</v>
      </c>
      <c r="P270" s="8" t="n">
        <f aca="false">IF(A270="","",G270+J270)</f>
        <v>61</v>
      </c>
      <c r="Q270" s="8" t="str">
        <f aca="false">IF(A270="","",IF(AND(Y270&lt;&gt;"参考",G270&gt;=ルール設定!$B$2),"○",""))</f>
        <v/>
      </c>
      <c r="R270" s="8" t="str">
        <f aca="false">IF(A270="","",IF(AND(Y270&lt;&gt;"参考",G270&gt;=ルール設定!$B$3,N270&gt;=ルール設定!$B$4),"○",""))</f>
        <v/>
      </c>
      <c r="S270" s="8" t="str">
        <f aca="false">IF(A270="","",IF(AND(Y270&lt;&gt;"参考",G270&gt;=ルール設定!$B$5,J270&gt;=ルール設定!$B$6,O270&gt;=ルール設定!$B$7),"○",""))</f>
        <v/>
      </c>
      <c r="T270" s="8" t="n">
        <v>4</v>
      </c>
      <c r="U270" s="8" t="n">
        <v>1</v>
      </c>
      <c r="V270" s="8" t="str">
        <f aca="false">IF(A270="","",IF(AND(ISNUMBER(T270),ISNUMBER(U270)),IF(AND(T270&lt;=3,U270&lt;=3),"○","×"),""))</f>
        <v>×</v>
      </c>
      <c r="W270" s="8"/>
      <c r="X270" s="8"/>
      <c r="Y270" s="4" t="s">
        <v>7597</v>
      </c>
      <c r="Z270" s="4" t="s">
        <v>7726</v>
      </c>
      <c r="AA270" s="8" t="str">
        <v/>
      </c>
      <c r="AB270" s="8" t="str">
        <v/>
      </c>
      <c r="AC270" s="8" t="str">
        <v/>
      </c>
      <c r="AD270" s="8" t="str">
        <v/>
      </c>
      <c r="AE270" s="8" t="str">
        <v/>
      </c>
      <c r="AF270" s="8" t="str">
        <v/>
      </c>
      <c r="AG270" s="8" t="str">
        <v/>
      </c>
      <c r="AH270" s="8" t="str">
        <v/>
      </c>
      <c r="AI270" s="8" t="n">
        <v>13</v>
      </c>
      <c r="AJ270" s="8" t="str">
        <v>～59</v>
      </c>
      <c r="AK270" s="8" t="str">
        <v>10～19</v>
      </c>
      <c r="AL270" s="8" t="str">
        <v>10～19</v>
      </c>
      <c r="AM270" s="8" t="str">
        <v>～99</v>
      </c>
      <c r="AN270" s="8" t="str">
        <v>12～14</v>
      </c>
      <c r="AO270" s="8" t="str">
        <f aca="false">IF(A270="","",IF(COUNTIFS(全馬データ!$A$2:$A$50000,A270,全馬データ!$B$2:$B$50000,B270,全馬データ!$C$2:$C$50000,C270,全馬データ!$D$2:$D$50000,E270,全馬データ!$K$2:$K$50000,"&lt;&gt;")=0,"",SUMIFS(全馬データ!$K$2:$K$50000,全馬データ!$A$2:$A$50000,A270,全馬データ!$B$2:$B$50000,B270,全馬データ!$C$2:$C$50000,C270,全馬データ!$D$2:$D$50000,E270)))</f>
        <v/>
      </c>
      <c r="AP270" s="8" t="str">
        <f aca="false">IF(A270="","",IF(AO270="","欠損",IF(AO270&lt;=1.1,"1.0～1.1",IF(AO270&lt;1.3,"1.2",IF(AO270&lt;1.5,"1.3～1.4",IF(AO270&lt;2,"1.5～1.9","2.0以上"))))))</f>
        <v>欠損</v>
      </c>
      <c r="AQ270" s="8" t="str">
        <f aca="false">IF(A270="","",IF(ISNUMBER(SEARCH("2歳",Z270)),"2歳戦",IF(ISNUMBER(SEARCH("3歳未勝利",Z270)),"3歳未勝利",IF(ISNUMBER(SEARCH("未勝利",Z270)),"その他未勝利",IF(ISNUMBER(SEARCH("G1",Z270)),"G1",IF(ISNUMBER(SEARCH("G2",Z270)),"G2",IF(ISNUMBER(SEARCH("G3",Z270)),"G3",IF(ISNUMBER(SEARCH("古馬条件",Z270)),"古馬条件戦",IF(ISNUMBER(SEARCH("重賞",Z270)),"重賞","分類不能")))))))))</f>
        <v>分類不能</v>
      </c>
      <c r="AR270" s="8"/>
      <c r="AS270" s="8" t="s">
        <v>7598</v>
      </c>
      <c r="AT270" s="8" t="s">
        <v>7599</v>
      </c>
      <c r="AU270" s="8" t="s">
        <v>7615</v>
      </c>
      <c r="AV270" s="4" t="s">
        <v>7616</v>
      </c>
      <c r="AW270" s="8"/>
      <c r="AX270" s="8"/>
      <c r="AY270" s="8" t="s">
        <v>7602</v>
      </c>
      <c r="AZ270" s="4" t="s">
        <v>7603</v>
      </c>
      <c r="BA270" s="8" t="n">
        <v>1800</v>
      </c>
      <c r="BB270" s="8" t="s">
        <v>7701</v>
      </c>
      <c r="BC270" s="4" t="s">
        <v>7658</v>
      </c>
      <c r="BD270" s="8" t="s">
        <v>7605</v>
      </c>
      <c r="BE270" s="4" t="s">
        <v>7606</v>
      </c>
      <c r="BF270" s="8" t="s">
        <v>7607</v>
      </c>
      <c r="BG270" s="8" t="s">
        <v>7608</v>
      </c>
      <c r="BH270" s="4" t="s">
        <v>7609</v>
      </c>
      <c r="BI270" s="8" t="n">
        <v>12</v>
      </c>
      <c r="BJ270" s="8" t="s">
        <v>7602</v>
      </c>
      <c r="BK270" s="4" t="s">
        <v>7653</v>
      </c>
      <c r="BL270" s="8" t="s">
        <v>7602</v>
      </c>
      <c r="BM270" s="4" t="s">
        <v>7620</v>
      </c>
      <c r="BN270" s="8" t="s">
        <v>7602</v>
      </c>
      <c r="BO270" s="8" t="s">
        <v>7613</v>
      </c>
      <c r="BP270" s="8" t="s">
        <v>7610</v>
      </c>
      <c r="BQ270" s="8" t="str">
        <f aca="false">IF(A270="","",AT270)</f>
        <v>2歳</v>
      </c>
      <c r="BR270" s="8" t="str">
        <f aca="false">IF(A270="","",IF(BA270&lt;=1200,"～1200",IF(BA270&lt;=1500,"1300～1500",IF(BA270=1600,"1600",IF(BA270&lt;=1800,"1700～1800",IF(BA270&lt;=2000,"1900～2000","2100以上"))))))</f>
        <v>1700～1800</v>
      </c>
      <c r="BS270" s="8" t="str">
        <f aca="false">IF(A270="","",IF(AX270="G1","G1",IF(AX270="G2","G2",IF(AX270="G3","G3",IF(AX270="L","L","その他")))))</f>
        <v>その他</v>
      </c>
      <c r="BT270" s="8" t="str">
        <f aca="false">IF(A270="","",IF(BI270="","未結合",IF(D270=BI270,"一致","不一致")))</f>
        <v>一致</v>
      </c>
      <c r="BU270" s="8" t="str">
        <f aca="false">IF(A270="","",IF(BE270="牝馬限定","牝馬限定","その他"))</f>
        <v>その他</v>
      </c>
    </row>
    <row r="271" customFormat="false" ht="15.75" hidden="false" customHeight="false" outlineLevel="0" collapsed="false">
      <c r="A271" s="3" t="n">
        <v>46208</v>
      </c>
      <c r="B271" s="4" t="s">
        <v>1091</v>
      </c>
      <c r="C271" s="8" t="n">
        <v>6</v>
      </c>
      <c r="D271" s="8" t="n">
        <v>11</v>
      </c>
      <c r="E271" s="8" t="n">
        <v>1</v>
      </c>
      <c r="F271" s="4" t="s">
        <v>3174</v>
      </c>
      <c r="G271" s="8" t="n">
        <v>37</v>
      </c>
      <c r="H271" s="8" t="n">
        <v>6</v>
      </c>
      <c r="I271" s="4" t="s">
        <v>3178</v>
      </c>
      <c r="J271" s="8" t="n">
        <v>37</v>
      </c>
      <c r="K271" s="8" t="n">
        <v>7</v>
      </c>
      <c r="L271" s="4" t="s">
        <v>3179</v>
      </c>
      <c r="M271" s="8" t="n">
        <v>37</v>
      </c>
      <c r="N271" s="8" t="n">
        <f aca="false">IF(A271="","",G271-J271)</f>
        <v>0</v>
      </c>
      <c r="O271" s="8" t="n">
        <f aca="false">IF(A271="","",J271-M271)</f>
        <v>0</v>
      </c>
      <c r="P271" s="8" t="n">
        <f aca="false">IF(A271="","",G271+J271)</f>
        <v>74</v>
      </c>
      <c r="Q271" s="8" t="str">
        <f aca="false">IF(A271="","",IF(AND(Y271&lt;&gt;"参考",G271&gt;=ルール設定!$B$2),"○",""))</f>
        <v/>
      </c>
      <c r="R271" s="8" t="str">
        <f aca="false">IF(A271="","",IF(AND(Y271&lt;&gt;"参考",G271&gt;=ルール設定!$B$3,N271&gt;=ルール設定!$B$4),"○",""))</f>
        <v/>
      </c>
      <c r="S271" s="8" t="str">
        <f aca="false">IF(A271="","",IF(AND(Y271&lt;&gt;"参考",G271&gt;=ルール設定!$B$5,J271&gt;=ルール設定!$B$6,O271&gt;=ルール設定!$B$7),"○",""))</f>
        <v/>
      </c>
      <c r="T271" s="8" t="n">
        <v>1</v>
      </c>
      <c r="U271" s="8" t="n">
        <v>4</v>
      </c>
      <c r="V271" s="8" t="str">
        <f aca="false">IF(A271="","",IF(AND(ISNUMBER(T271),ISNUMBER(U271)),IF(AND(T271&lt;=3,U271&lt;=3),"○","×"),""))</f>
        <v>×</v>
      </c>
      <c r="W271" s="8" t="n">
        <v>130</v>
      </c>
      <c r="X271" s="8"/>
      <c r="Y271" s="4" t="s">
        <v>7597</v>
      </c>
      <c r="Z271" s="4" t="s">
        <v>7726</v>
      </c>
      <c r="AA271" s="8" t="str">
        <v/>
      </c>
      <c r="AB271" s="8" t="str">
        <v/>
      </c>
      <c r="AC271" s="8" t="str">
        <v/>
      </c>
      <c r="AD271" s="8" t="str">
        <v/>
      </c>
      <c r="AE271" s="8" t="str">
        <v/>
      </c>
      <c r="AF271" s="8" t="str">
        <v/>
      </c>
      <c r="AG271" s="8" t="str">
        <v/>
      </c>
      <c r="AH271" s="8" t="str">
        <v/>
      </c>
      <c r="AI271" s="8" t="n">
        <v>0</v>
      </c>
      <c r="AJ271" s="8" t="str">
        <v>～59</v>
      </c>
      <c r="AK271" s="8" t="str">
        <v>0～4</v>
      </c>
      <c r="AL271" s="8" t="str">
        <v>0～9</v>
      </c>
      <c r="AM271" s="8" t="str">
        <v>～99</v>
      </c>
      <c r="AN271" s="8" t="str">
        <v>8～11</v>
      </c>
      <c r="AO271" s="8" t="str">
        <f aca="false">IF(A271="","",IF(COUNTIFS(全馬データ!$A$2:$A$50000,A271,全馬データ!$B$2:$B$50000,B271,全馬データ!$C$2:$C$50000,C271,全馬データ!$D$2:$D$50000,E271,全馬データ!$K$2:$K$50000,"&lt;&gt;")=0,"",SUMIFS(全馬データ!$K$2:$K$50000,全馬データ!$A$2:$A$50000,A271,全馬データ!$B$2:$B$50000,B271,全馬データ!$C$2:$C$50000,C271,全馬データ!$D$2:$D$50000,E271)))</f>
        <v/>
      </c>
      <c r="AP271" s="8" t="str">
        <f aca="false">IF(A271="","",IF(AO271="","欠損",IF(AO271&lt;=1.1,"1.0～1.1",IF(AO271&lt;1.3,"1.2",IF(AO271&lt;1.5,"1.3～1.4",IF(AO271&lt;2,"1.5～1.9","2.0以上"))))))</f>
        <v>欠損</v>
      </c>
      <c r="AQ271" s="8" t="str">
        <f aca="false">IF(A271="","",IF(ISNUMBER(SEARCH("2歳",Z271)),"2歳戦",IF(ISNUMBER(SEARCH("3歳未勝利",Z271)),"3歳未勝利",IF(ISNUMBER(SEARCH("未勝利",Z271)),"その他未勝利",IF(ISNUMBER(SEARCH("G1",Z271)),"G1",IF(ISNUMBER(SEARCH("G2",Z271)),"G2",IF(ISNUMBER(SEARCH("G3",Z271)),"G3",IF(ISNUMBER(SEARCH("古馬条件",Z271)),"古馬条件戦",IF(ISNUMBER(SEARCH("重賞",Z271)),"重賞","分類不能")))))))))</f>
        <v>分類不能</v>
      </c>
      <c r="AR271" s="8"/>
      <c r="AS271" s="8" t="s">
        <v>7598</v>
      </c>
      <c r="AT271" s="8" t="s">
        <v>7599</v>
      </c>
      <c r="AU271" s="8" t="s">
        <v>7615</v>
      </c>
      <c r="AV271" s="4" t="s">
        <v>7616</v>
      </c>
      <c r="AW271" s="8"/>
      <c r="AX271" s="8"/>
      <c r="AY271" s="8" t="s">
        <v>7610</v>
      </c>
      <c r="AZ271" s="4" t="s">
        <v>7617</v>
      </c>
      <c r="BA271" s="8" t="n">
        <v>1700</v>
      </c>
      <c r="BB271" s="8" t="s">
        <v>7669</v>
      </c>
      <c r="BC271" s="4" t="s">
        <v>7662</v>
      </c>
      <c r="BD271" s="8" t="s">
        <v>7605</v>
      </c>
      <c r="BE271" s="4" t="s">
        <v>7606</v>
      </c>
      <c r="BF271" s="8" t="s">
        <v>7607</v>
      </c>
      <c r="BG271" s="8" t="s">
        <v>7608</v>
      </c>
      <c r="BH271" s="4" t="s">
        <v>7609</v>
      </c>
      <c r="BI271" s="8" t="n">
        <v>11</v>
      </c>
      <c r="BJ271" s="8" t="s">
        <v>7602</v>
      </c>
      <c r="BK271" s="4" t="s">
        <v>7653</v>
      </c>
      <c r="BL271" s="8" t="s">
        <v>7602</v>
      </c>
      <c r="BM271" s="4" t="s">
        <v>7620</v>
      </c>
      <c r="BN271" s="8"/>
      <c r="BO271" s="8"/>
      <c r="BP271" s="8" t="s">
        <v>7610</v>
      </c>
      <c r="BQ271" s="8" t="str">
        <f aca="false">IF(A271="","",AT271)</f>
        <v>2歳</v>
      </c>
      <c r="BR271" s="8" t="str">
        <f aca="false">IF(A271="","",IF(BA271&lt;=1200,"～1200",IF(BA271&lt;=1500,"1300～1500",IF(BA271=1600,"1600",IF(BA271&lt;=1800,"1700～1800",IF(BA271&lt;=2000,"1900～2000","2100以上"))))))</f>
        <v>1700～1800</v>
      </c>
      <c r="BS271" s="8" t="str">
        <f aca="false">IF(A271="","",IF(AX271="G1","G1",IF(AX271="G2","G2",IF(AX271="G3","G3",IF(AX271="L","L","その他")))))</f>
        <v>その他</v>
      </c>
      <c r="BT271" s="8" t="str">
        <f aca="false">IF(A271="","",IF(BI271="","未結合",IF(D271=BI271,"一致","不一致")))</f>
        <v>一致</v>
      </c>
      <c r="BU271" s="8" t="str">
        <f aca="false">IF(A271="","",IF(BE271="牝馬限定","牝馬限定","その他"))</f>
        <v>その他</v>
      </c>
    </row>
    <row r="272" customFormat="false" ht="15.75" hidden="false" customHeight="false" outlineLevel="0" collapsed="false">
      <c r="A272" s="3" t="n">
        <v>46208</v>
      </c>
      <c r="B272" s="4" t="s">
        <v>1091</v>
      </c>
      <c r="C272" s="8" t="n">
        <v>7</v>
      </c>
      <c r="D272" s="8" t="n">
        <v>16</v>
      </c>
      <c r="E272" s="8" t="n">
        <v>14</v>
      </c>
      <c r="F272" s="4" t="s">
        <v>3191</v>
      </c>
      <c r="G272" s="8" t="n">
        <v>62</v>
      </c>
      <c r="H272" s="8" t="n">
        <v>1</v>
      </c>
      <c r="I272" s="4" t="s">
        <v>1661</v>
      </c>
      <c r="J272" s="8" t="n">
        <v>47</v>
      </c>
      <c r="K272" s="8" t="n">
        <v>7</v>
      </c>
      <c r="L272" s="4" t="s">
        <v>1566</v>
      </c>
      <c r="M272" s="8" t="n">
        <v>37</v>
      </c>
      <c r="N272" s="8" t="n">
        <f aca="false">IF(A272="","",G272-J272)</f>
        <v>15</v>
      </c>
      <c r="O272" s="8" t="n">
        <f aca="false">IF(A272="","",J272-M272)</f>
        <v>10</v>
      </c>
      <c r="P272" s="8" t="n">
        <f aca="false">IF(A272="","",G272+J272)</f>
        <v>109</v>
      </c>
      <c r="Q272" s="8" t="str">
        <f aca="false">IF(A272="","",IF(AND(Y272&lt;&gt;"参考",G272&gt;=ルール設定!$B$2),"○",""))</f>
        <v/>
      </c>
      <c r="R272" s="8" t="str">
        <f aca="false">IF(A272="","",IF(AND(Y272&lt;&gt;"参考",G272&gt;=ルール設定!$B$3,N272&gt;=ルール設定!$B$4),"○",""))</f>
        <v/>
      </c>
      <c r="S272" s="8" t="str">
        <f aca="false">IF(A272="","",IF(AND(Y272&lt;&gt;"参考",G272&gt;=ルール設定!$B$5,J272&gt;=ルール設定!$B$6,O272&gt;=ルール設定!$B$7),"○",""))</f>
        <v/>
      </c>
      <c r="T272" s="8" t="n">
        <v>4</v>
      </c>
      <c r="U272" s="8" t="n">
        <v>1</v>
      </c>
      <c r="V272" s="8" t="str">
        <f aca="false">IF(A272="","",IF(AND(ISNUMBER(T272),ISNUMBER(U272)),IF(AND(T272&lt;=3,U272&lt;=3),"○","×"),""))</f>
        <v>×</v>
      </c>
      <c r="W272" s="8"/>
      <c r="X272" s="8"/>
      <c r="Y272" s="4" t="s">
        <v>7597</v>
      </c>
      <c r="Z272" s="4" t="s">
        <v>7726</v>
      </c>
      <c r="AA272" s="8" t="str">
        <v/>
      </c>
      <c r="AB272" s="8" t="str">
        <v/>
      </c>
      <c r="AC272" s="8" t="str">
        <v/>
      </c>
      <c r="AD272" s="8" t="str">
        <v/>
      </c>
      <c r="AE272" s="8" t="str">
        <v/>
      </c>
      <c r="AF272" s="8" t="str">
        <v/>
      </c>
      <c r="AG272" s="8" t="str">
        <v/>
      </c>
      <c r="AH272" s="8" t="str">
        <v/>
      </c>
      <c r="AI272" s="8" t="n">
        <v>25</v>
      </c>
      <c r="AJ272" s="8" t="str">
        <v>60～69</v>
      </c>
      <c r="AK272" s="8" t="str">
        <v>10～19</v>
      </c>
      <c r="AL272" s="8" t="str">
        <v>20～29</v>
      </c>
      <c r="AM272" s="8" t="str">
        <v>100～119</v>
      </c>
      <c r="AN272" s="8" t="str">
        <v>15以上</v>
      </c>
      <c r="AO272" s="8" t="str">
        <f aca="false">IF(A272="","",IF(COUNTIFS(全馬データ!$A$2:$A$50000,A272,全馬データ!$B$2:$B$50000,B272,全馬データ!$C$2:$C$50000,C272,全馬データ!$D$2:$D$50000,E272,全馬データ!$K$2:$K$50000,"&lt;&gt;")=0,"",SUMIFS(全馬データ!$K$2:$K$50000,全馬データ!$A$2:$A$50000,A272,全馬データ!$B$2:$B$50000,B272,全馬データ!$C$2:$C$50000,C272,全馬データ!$D$2:$D$50000,E272)))</f>
        <v/>
      </c>
      <c r="AP272" s="8" t="str">
        <f aca="false">IF(A272="","",IF(AO272="","欠損",IF(AO272&lt;=1.1,"1.0～1.1",IF(AO272&lt;1.3,"1.2",IF(AO272&lt;1.5,"1.3～1.4",IF(AO272&lt;2,"1.5～1.9","2.0以上"))))))</f>
        <v>欠損</v>
      </c>
      <c r="AQ272" s="8" t="str">
        <f aca="false">IF(A272="","",IF(ISNUMBER(SEARCH("2歳",Z272)),"2歳戦",IF(ISNUMBER(SEARCH("3歳未勝利",Z272)),"3歳未勝利",IF(ISNUMBER(SEARCH("未勝利",Z272)),"その他未勝利",IF(ISNUMBER(SEARCH("G1",Z272)),"G1",IF(ISNUMBER(SEARCH("G2",Z272)),"G2",IF(ISNUMBER(SEARCH("G3",Z272)),"G3",IF(ISNUMBER(SEARCH("古馬条件",Z272)),"古馬条件戦",IF(ISNUMBER(SEARCH("重賞",Z272)),"重賞","分類不能")))))))))</f>
        <v>分類不能</v>
      </c>
      <c r="AR272" s="8"/>
      <c r="AS272" s="8" t="s">
        <v>7623</v>
      </c>
      <c r="AT272" s="8" t="s">
        <v>7624</v>
      </c>
      <c r="AU272" s="8" t="s">
        <v>7600</v>
      </c>
      <c r="AV272" s="4" t="s">
        <v>7601</v>
      </c>
      <c r="AW272" s="8"/>
      <c r="AX272" s="8"/>
      <c r="AY272" s="8" t="s">
        <v>7602</v>
      </c>
      <c r="AZ272" s="4" t="s">
        <v>7603</v>
      </c>
      <c r="BA272" s="8" t="n">
        <v>1200</v>
      </c>
      <c r="BB272" s="8" t="s">
        <v>7701</v>
      </c>
      <c r="BC272" s="4" t="s">
        <v>7658</v>
      </c>
      <c r="BD272" s="8" t="s">
        <v>7625</v>
      </c>
      <c r="BE272" s="4" t="s">
        <v>7606</v>
      </c>
      <c r="BF272" s="8" t="s">
        <v>7607</v>
      </c>
      <c r="BG272" s="8" t="s">
        <v>7608</v>
      </c>
      <c r="BH272" s="4" t="s">
        <v>7609</v>
      </c>
      <c r="BI272" s="8" t="n">
        <v>16</v>
      </c>
      <c r="BJ272" s="8" t="s">
        <v>7602</v>
      </c>
      <c r="BK272" s="4" t="s">
        <v>7653</v>
      </c>
      <c r="BL272" s="8" t="s">
        <v>7602</v>
      </c>
      <c r="BM272" s="4" t="s">
        <v>7620</v>
      </c>
      <c r="BN272" s="8" t="s">
        <v>7602</v>
      </c>
      <c r="BO272" s="8" t="s">
        <v>7613</v>
      </c>
      <c r="BP272" s="8" t="s">
        <v>7610</v>
      </c>
      <c r="BQ272" s="8" t="str">
        <f aca="false">IF(A272="","",AT272)</f>
        <v>3歳</v>
      </c>
      <c r="BR272" s="8" t="str">
        <f aca="false">IF(A272="","",IF(BA272&lt;=1200,"～1200",IF(BA272&lt;=1500,"1300～1500",IF(BA272=1600,"1600",IF(BA272&lt;=1800,"1700～1800",IF(BA272&lt;=2000,"1900～2000","2100以上"))))))</f>
        <v>～1200</v>
      </c>
      <c r="BS272" s="8" t="str">
        <f aca="false">IF(A272="","",IF(AX272="G1","G1",IF(AX272="G2","G2",IF(AX272="G3","G3",IF(AX272="L","L","その他")))))</f>
        <v>その他</v>
      </c>
      <c r="BT272" s="8" t="str">
        <f aca="false">IF(A272="","",IF(BI272="","未結合",IF(D272=BI272,"一致","不一致")))</f>
        <v>一致</v>
      </c>
      <c r="BU272" s="8" t="str">
        <f aca="false">IF(A272="","",IF(BE272="牝馬限定","牝馬限定","その他"))</f>
        <v>その他</v>
      </c>
    </row>
    <row r="273" customFormat="false" ht="15.75" hidden="false" customHeight="false" outlineLevel="0" collapsed="false">
      <c r="A273" s="3" t="n">
        <v>46208</v>
      </c>
      <c r="B273" s="4" t="s">
        <v>1091</v>
      </c>
      <c r="C273" s="8" t="n">
        <v>8</v>
      </c>
      <c r="D273" s="8" t="n">
        <v>10</v>
      </c>
      <c r="E273" s="8" t="n">
        <v>1</v>
      </c>
      <c r="F273" s="4" t="s">
        <v>3194</v>
      </c>
      <c r="G273" s="8" t="n">
        <v>65</v>
      </c>
      <c r="H273" s="8" t="n">
        <v>6</v>
      </c>
      <c r="I273" s="4" t="s">
        <v>3198</v>
      </c>
      <c r="J273" s="8" t="n">
        <v>47</v>
      </c>
      <c r="K273" s="8" t="n">
        <v>5</v>
      </c>
      <c r="L273" s="4" t="s">
        <v>1174</v>
      </c>
      <c r="M273" s="8" t="n">
        <v>44</v>
      </c>
      <c r="N273" s="8" t="n">
        <f aca="false">IF(A273="","",G273-J273)</f>
        <v>18</v>
      </c>
      <c r="O273" s="8" t="n">
        <f aca="false">IF(A273="","",J273-M273)</f>
        <v>3</v>
      </c>
      <c r="P273" s="8" t="n">
        <f aca="false">IF(A273="","",G273+J273)</f>
        <v>112</v>
      </c>
      <c r="Q273" s="8" t="str">
        <f aca="false">IF(A273="","",IF(AND(Y273&lt;&gt;"参考",G273&gt;=ルール設定!$B$2),"○",""))</f>
        <v/>
      </c>
      <c r="R273" s="8" t="str">
        <f aca="false">IF(A273="","",IF(AND(Y273&lt;&gt;"参考",G273&gt;=ルール設定!$B$3,N273&gt;=ルール設定!$B$4),"○",""))</f>
        <v/>
      </c>
      <c r="S273" s="8" t="str">
        <f aca="false">IF(A273="","",IF(AND(Y273&lt;&gt;"参考",G273&gt;=ルール設定!$B$5,J273&gt;=ルール設定!$B$6,O273&gt;=ルール設定!$B$7),"○",""))</f>
        <v/>
      </c>
      <c r="T273" s="8" t="n">
        <v>4</v>
      </c>
      <c r="U273" s="8" t="n">
        <v>4</v>
      </c>
      <c r="V273" s="8" t="str">
        <f aca="false">IF(A273="","",IF(AND(ISNUMBER(T273),ISNUMBER(U273)),IF(AND(T273&lt;=3,U273&lt;=3),"○","×"),""))</f>
        <v>×</v>
      </c>
      <c r="W273" s="8"/>
      <c r="X273" s="8"/>
      <c r="Y273" s="4" t="s">
        <v>7597</v>
      </c>
      <c r="Z273" s="4" t="s">
        <v>7726</v>
      </c>
      <c r="AA273" s="8" t="str">
        <v/>
      </c>
      <c r="AB273" s="8" t="str">
        <v/>
      </c>
      <c r="AC273" s="8" t="str">
        <v/>
      </c>
      <c r="AD273" s="8" t="str">
        <v/>
      </c>
      <c r="AE273" s="8" t="str">
        <v/>
      </c>
      <c r="AF273" s="8" t="str">
        <v/>
      </c>
      <c r="AG273" s="8" t="str">
        <v/>
      </c>
      <c r="AH273" s="8" t="str">
        <v/>
      </c>
      <c r="AI273" s="8" t="n">
        <v>21</v>
      </c>
      <c r="AJ273" s="8" t="str">
        <v>60～69</v>
      </c>
      <c r="AK273" s="8" t="str">
        <v>10～19</v>
      </c>
      <c r="AL273" s="8" t="str">
        <v>20～29</v>
      </c>
      <c r="AM273" s="8" t="str">
        <v>100～119</v>
      </c>
      <c r="AN273" s="8" t="str">
        <v>8～11</v>
      </c>
      <c r="AO273" s="8" t="str">
        <f aca="false">IF(A273="","",IF(COUNTIFS(全馬データ!$A$2:$A$50000,A273,全馬データ!$B$2:$B$50000,B273,全馬データ!$C$2:$C$50000,C273,全馬データ!$D$2:$D$50000,E273,全馬データ!$K$2:$K$50000,"&lt;&gt;")=0,"",SUMIFS(全馬データ!$K$2:$K$50000,全馬データ!$A$2:$A$50000,A273,全馬データ!$B$2:$B$50000,B273,全馬データ!$C$2:$C$50000,C273,全馬データ!$D$2:$D$50000,E273)))</f>
        <v/>
      </c>
      <c r="AP273" s="8" t="str">
        <f aca="false">IF(A273="","",IF(AO273="","欠損",IF(AO273&lt;=1.1,"1.0～1.1",IF(AO273&lt;1.3,"1.2",IF(AO273&lt;1.5,"1.3～1.4",IF(AO273&lt;2,"1.5～1.9","2.0以上"))))))</f>
        <v>欠損</v>
      </c>
      <c r="AQ273" s="8" t="str">
        <f aca="false">IF(A273="","",IF(ISNUMBER(SEARCH("2歳",Z273)),"2歳戦",IF(ISNUMBER(SEARCH("3歳未勝利",Z273)),"3歳未勝利",IF(ISNUMBER(SEARCH("未勝利",Z273)),"その他未勝利",IF(ISNUMBER(SEARCH("G1",Z273)),"G1",IF(ISNUMBER(SEARCH("G2",Z273)),"G2",IF(ISNUMBER(SEARCH("G3",Z273)),"G3",IF(ISNUMBER(SEARCH("古馬条件",Z273)),"古馬条件戦",IF(ISNUMBER(SEARCH("重賞",Z273)),"重賞","分類不能")))))))))</f>
        <v>分類不能</v>
      </c>
      <c r="AR273" s="8"/>
      <c r="AS273" s="8" t="s">
        <v>7626</v>
      </c>
      <c r="AT273" s="8" t="s">
        <v>7627</v>
      </c>
      <c r="AU273" s="8" t="s">
        <v>7628</v>
      </c>
      <c r="AV273" s="8" t="s">
        <v>7629</v>
      </c>
      <c r="AW273" s="8"/>
      <c r="AX273" s="8"/>
      <c r="AY273" s="8" t="s">
        <v>7602</v>
      </c>
      <c r="AZ273" s="4" t="s">
        <v>7603</v>
      </c>
      <c r="BA273" s="8" t="n">
        <v>2000</v>
      </c>
      <c r="BB273" s="8" t="s">
        <v>7701</v>
      </c>
      <c r="BC273" s="4" t="s">
        <v>7658</v>
      </c>
      <c r="BD273" s="8" t="s">
        <v>7625</v>
      </c>
      <c r="BE273" s="4" t="s">
        <v>7606</v>
      </c>
      <c r="BF273" s="8" t="s">
        <v>7607</v>
      </c>
      <c r="BG273" s="8" t="s">
        <v>7631</v>
      </c>
      <c r="BH273" s="4" t="s">
        <v>7632</v>
      </c>
      <c r="BI273" s="8" t="n">
        <v>10</v>
      </c>
      <c r="BJ273" s="8" t="s">
        <v>7602</v>
      </c>
      <c r="BK273" s="4" t="s">
        <v>7653</v>
      </c>
      <c r="BL273" s="8" t="s">
        <v>7602</v>
      </c>
      <c r="BM273" s="4" t="s">
        <v>7620</v>
      </c>
      <c r="BN273" s="8" t="s">
        <v>7602</v>
      </c>
      <c r="BO273" s="8" t="s">
        <v>7613</v>
      </c>
      <c r="BP273" s="8" t="s">
        <v>7610</v>
      </c>
      <c r="BQ273" s="8" t="str">
        <f aca="false">IF(A273="","",AT273)</f>
        <v>3歳以上</v>
      </c>
      <c r="BR273" s="8" t="str">
        <f aca="false">IF(A273="","",IF(BA273&lt;=1200,"～1200",IF(BA273&lt;=1500,"1300～1500",IF(BA273=1600,"1600",IF(BA273&lt;=1800,"1700～1800",IF(BA273&lt;=2000,"1900～2000","2100以上"))))))</f>
        <v>1900～2000</v>
      </c>
      <c r="BS273" s="8" t="str">
        <f aca="false">IF(A273="","",IF(AX273="G1","G1",IF(AX273="G2","G2",IF(AX273="G3","G3",IF(AX273="L","L","その他")))))</f>
        <v>その他</v>
      </c>
      <c r="BT273" s="8" t="str">
        <f aca="false">IF(A273="","",IF(BI273="","未結合",IF(D273=BI273,"一致","不一致")))</f>
        <v>一致</v>
      </c>
      <c r="BU273" s="8" t="str">
        <f aca="false">IF(A273="","",IF(BE273="牝馬限定","牝馬限定","その他"))</f>
        <v>その他</v>
      </c>
    </row>
    <row r="274" customFormat="false" ht="15.75" hidden="false" customHeight="false" outlineLevel="0" collapsed="false">
      <c r="A274" s="3" t="n">
        <v>46208</v>
      </c>
      <c r="B274" s="4" t="s">
        <v>1091</v>
      </c>
      <c r="C274" s="8" t="n">
        <v>9</v>
      </c>
      <c r="D274" s="8" t="n">
        <v>8</v>
      </c>
      <c r="E274" s="8" t="n">
        <v>5</v>
      </c>
      <c r="F274" s="4" t="s">
        <v>3205</v>
      </c>
      <c r="G274" s="8" t="n">
        <v>74</v>
      </c>
      <c r="H274" s="8" t="n">
        <v>2</v>
      </c>
      <c r="I274" s="4" t="s">
        <v>3202</v>
      </c>
      <c r="J274" s="8" t="n">
        <v>50</v>
      </c>
      <c r="K274" s="8" t="n">
        <v>4</v>
      </c>
      <c r="L274" s="4" t="s">
        <v>3204</v>
      </c>
      <c r="M274" s="8" t="n">
        <v>44</v>
      </c>
      <c r="N274" s="8" t="n">
        <f aca="false">IF(A274="","",G274-J274)</f>
        <v>24</v>
      </c>
      <c r="O274" s="8" t="n">
        <f aca="false">IF(A274="","",J274-M274)</f>
        <v>6</v>
      </c>
      <c r="P274" s="8" t="n">
        <f aca="false">IF(A274="","",G274+J274)</f>
        <v>124</v>
      </c>
      <c r="Q274" s="8" t="str">
        <f aca="false">IF(A274="","",IF(AND(Y274&lt;&gt;"参考",G274&gt;=ルール設定!$B$2),"○",""))</f>
        <v/>
      </c>
      <c r="R274" s="8" t="str">
        <f aca="false">IF(A274="","",IF(AND(Y274&lt;&gt;"参考",G274&gt;=ルール設定!$B$3,N274&gt;=ルール設定!$B$4),"○",""))</f>
        <v/>
      </c>
      <c r="S274" s="8" t="str">
        <f aca="false">IF(A274="","",IF(AND(Y274&lt;&gt;"参考",G274&gt;=ルール設定!$B$5,J274&gt;=ルール設定!$B$6,O274&gt;=ルール設定!$B$7),"○",""))</f>
        <v/>
      </c>
      <c r="T274" s="8" t="n">
        <v>1</v>
      </c>
      <c r="U274" s="8" t="n">
        <v>2</v>
      </c>
      <c r="V274" s="8" t="str">
        <f aca="false">IF(A274="","",IF(AND(ISNUMBER(T274),ISNUMBER(U274)),IF(AND(T274&lt;=3,U274&lt;=3),"○","×"),""))</f>
        <v>○</v>
      </c>
      <c r="W274" s="8" t="n">
        <v>110</v>
      </c>
      <c r="X274" s="8" t="n">
        <v>120</v>
      </c>
      <c r="Y274" s="4" t="s">
        <v>7597</v>
      </c>
      <c r="Z274" s="4" t="s">
        <v>7726</v>
      </c>
      <c r="AA274" s="8" t="str">
        <v/>
      </c>
      <c r="AB274" s="8" t="str">
        <v/>
      </c>
      <c r="AC274" s="8" t="str">
        <v/>
      </c>
      <c r="AD274" s="8" t="str">
        <v/>
      </c>
      <c r="AE274" s="8" t="str">
        <v/>
      </c>
      <c r="AF274" s="8" t="str">
        <v/>
      </c>
      <c r="AG274" s="8" t="str">
        <v/>
      </c>
      <c r="AH274" s="8" t="str">
        <v/>
      </c>
      <c r="AI274" s="8" t="n">
        <v>30</v>
      </c>
      <c r="AJ274" s="8" t="str">
        <v>70～74</v>
      </c>
      <c r="AK274" s="8" t="str">
        <v>20～29</v>
      </c>
      <c r="AL274" s="8" t="str">
        <v>30～39</v>
      </c>
      <c r="AM274" s="8" t="str">
        <v>120～139</v>
      </c>
      <c r="AN274" s="8" t="str">
        <v>8～11</v>
      </c>
      <c r="AO274" s="8" t="str">
        <f aca="false">IF(A274="","",IF(COUNTIFS(全馬データ!$A$2:$A$50000,A274,全馬データ!$B$2:$B$50000,B274,全馬データ!$C$2:$C$50000,C274,全馬データ!$D$2:$D$50000,E274,全馬データ!$K$2:$K$50000,"&lt;&gt;")=0,"",SUMIFS(全馬データ!$K$2:$K$50000,全馬データ!$A$2:$A$50000,A274,全馬データ!$B$2:$B$50000,B274,全馬データ!$C$2:$C$50000,C274,全馬データ!$D$2:$D$50000,E274)))</f>
        <v/>
      </c>
      <c r="AP274" s="8" t="str">
        <f aca="false">IF(A274="","",IF(AO274="","欠損",IF(AO274&lt;=1.1,"1.0～1.1",IF(AO274&lt;1.3,"1.2",IF(AO274&lt;1.5,"1.3～1.4",IF(AO274&lt;2,"1.5～1.9","2.0以上"))))))</f>
        <v>欠損</v>
      </c>
      <c r="AQ274" s="8" t="str">
        <f aca="false">IF(A274="","",IF(ISNUMBER(SEARCH("2歳",Z274)),"2歳戦",IF(ISNUMBER(SEARCH("3歳未勝利",Z274)),"3歳未勝利",IF(ISNUMBER(SEARCH("未勝利",Z274)),"その他未勝利",IF(ISNUMBER(SEARCH("G1",Z274)),"G1",IF(ISNUMBER(SEARCH("G2",Z274)),"G2",IF(ISNUMBER(SEARCH("G3",Z274)),"G3",IF(ISNUMBER(SEARCH("古馬条件",Z274)),"古馬条件戦",IF(ISNUMBER(SEARCH("重賞",Z274)),"重賞","分類不能")))))))))</f>
        <v>分類不能</v>
      </c>
      <c r="AR274" s="4" t="s">
        <v>7740</v>
      </c>
      <c r="AS274" s="8" t="s">
        <v>7626</v>
      </c>
      <c r="AT274" s="8" t="s">
        <v>7627</v>
      </c>
      <c r="AU274" s="8" t="s">
        <v>7628</v>
      </c>
      <c r="AV274" s="8" t="s">
        <v>7629</v>
      </c>
      <c r="AW274" s="8" t="s">
        <v>7636</v>
      </c>
      <c r="AX274" s="4" t="s">
        <v>7637</v>
      </c>
      <c r="AY274" s="8" t="s">
        <v>7602</v>
      </c>
      <c r="AZ274" s="4" t="s">
        <v>7603</v>
      </c>
      <c r="BA274" s="8" t="n">
        <v>1800</v>
      </c>
      <c r="BB274" s="8" t="s">
        <v>7701</v>
      </c>
      <c r="BC274" s="4" t="s">
        <v>7658</v>
      </c>
      <c r="BD274" s="8" t="s">
        <v>7605</v>
      </c>
      <c r="BE274" s="4" t="s">
        <v>7606</v>
      </c>
      <c r="BF274" s="8" t="s">
        <v>7607</v>
      </c>
      <c r="BG274" s="8" t="s">
        <v>7631</v>
      </c>
      <c r="BH274" s="4" t="s">
        <v>7632</v>
      </c>
      <c r="BI274" s="8" t="n">
        <v>8</v>
      </c>
      <c r="BJ274" s="8" t="s">
        <v>7602</v>
      </c>
      <c r="BK274" s="4" t="s">
        <v>7653</v>
      </c>
      <c r="BL274" s="8" t="s">
        <v>7602</v>
      </c>
      <c r="BM274" s="4" t="s">
        <v>7620</v>
      </c>
      <c r="BN274" s="8" t="s">
        <v>7602</v>
      </c>
      <c r="BO274" s="8" t="s">
        <v>7613</v>
      </c>
      <c r="BP274" s="8" t="s">
        <v>7610</v>
      </c>
      <c r="BQ274" s="8" t="str">
        <f aca="false">IF(A274="","",AT274)</f>
        <v>3歳以上</v>
      </c>
      <c r="BR274" s="8" t="str">
        <f aca="false">IF(A274="","",IF(BA274&lt;=1200,"～1200",IF(BA274&lt;=1500,"1300～1500",IF(BA274=1600,"1600",IF(BA274&lt;=1800,"1700～1800",IF(BA274&lt;=2000,"1900～2000","2100以上"))))))</f>
        <v>1700～1800</v>
      </c>
      <c r="BS274" s="8" t="str">
        <f aca="false">IF(A274="","",IF(AX274="G1","G1",IF(AX274="G2","G2",IF(AX274="G3","G3",IF(AX274="L","L","その他")))))</f>
        <v>その他</v>
      </c>
      <c r="BT274" s="8" t="str">
        <f aca="false">IF(A274="","",IF(BI274="","未結合",IF(D274=BI274,"一致","不一致")))</f>
        <v>一致</v>
      </c>
      <c r="BU274" s="8" t="str">
        <f aca="false">IF(A274="","",IF(BE274="牝馬限定","牝馬限定","その他"))</f>
        <v>その他</v>
      </c>
    </row>
    <row r="275" customFormat="false" ht="15.75" hidden="false" customHeight="false" outlineLevel="0" collapsed="false">
      <c r="A275" s="3" t="n">
        <v>46208</v>
      </c>
      <c r="B275" s="4" t="s">
        <v>1091</v>
      </c>
      <c r="C275" s="8" t="n">
        <v>10</v>
      </c>
      <c r="D275" s="8" t="n">
        <v>16</v>
      </c>
      <c r="E275" s="8" t="n">
        <v>7</v>
      </c>
      <c r="F275" s="4" t="s">
        <v>3210</v>
      </c>
      <c r="G275" s="8" t="n">
        <v>60</v>
      </c>
      <c r="H275" s="8" t="n">
        <v>9</v>
      </c>
      <c r="I275" s="4" t="s">
        <v>3212</v>
      </c>
      <c r="J275" s="8" t="n">
        <v>47</v>
      </c>
      <c r="K275" s="8" t="n">
        <v>2</v>
      </c>
      <c r="L275" s="4" t="s">
        <v>1206</v>
      </c>
      <c r="M275" s="8" t="n">
        <v>44</v>
      </c>
      <c r="N275" s="8" t="n">
        <f aca="false">IF(A275="","",G275-J275)</f>
        <v>13</v>
      </c>
      <c r="O275" s="8" t="n">
        <f aca="false">IF(A275="","",J275-M275)</f>
        <v>3</v>
      </c>
      <c r="P275" s="8" t="n">
        <f aca="false">IF(A275="","",G275+J275)</f>
        <v>107</v>
      </c>
      <c r="Q275" s="8" t="str">
        <f aca="false">IF(A275="","",IF(AND(Y275&lt;&gt;"参考",G275&gt;=ルール設定!$B$2),"○",""))</f>
        <v/>
      </c>
      <c r="R275" s="8" t="str">
        <f aca="false">IF(A275="","",IF(AND(Y275&lt;&gt;"参考",G275&gt;=ルール設定!$B$3,N275&gt;=ルール設定!$B$4),"○",""))</f>
        <v/>
      </c>
      <c r="S275" s="8" t="str">
        <f aca="false">IF(A275="","",IF(AND(Y275&lt;&gt;"参考",G275&gt;=ルール設定!$B$5,J275&gt;=ルール設定!$B$6,O275&gt;=ルール設定!$B$7),"○",""))</f>
        <v/>
      </c>
      <c r="T275" s="8" t="n">
        <v>4</v>
      </c>
      <c r="U275" s="8" t="n">
        <v>1</v>
      </c>
      <c r="V275" s="8" t="str">
        <f aca="false">IF(A275="","",IF(AND(ISNUMBER(T275),ISNUMBER(U275)),IF(AND(T275&lt;=3,U275&lt;=3),"○","×"),""))</f>
        <v>×</v>
      </c>
      <c r="W275" s="8"/>
      <c r="X275" s="8"/>
      <c r="Y275" s="4" t="s">
        <v>7597</v>
      </c>
      <c r="Z275" s="4" t="s">
        <v>7726</v>
      </c>
      <c r="AA275" s="8" t="str">
        <v/>
      </c>
      <c r="AB275" s="8" t="str">
        <v/>
      </c>
      <c r="AC275" s="8" t="str">
        <v/>
      </c>
      <c r="AD275" s="8" t="str">
        <v/>
      </c>
      <c r="AE275" s="8" t="str">
        <v/>
      </c>
      <c r="AF275" s="8" t="str">
        <v/>
      </c>
      <c r="AG275" s="8" t="str">
        <v/>
      </c>
      <c r="AH275" s="8" t="str">
        <v/>
      </c>
      <c r="AI275" s="8" t="n">
        <v>16</v>
      </c>
      <c r="AJ275" s="8" t="str">
        <v>60～69</v>
      </c>
      <c r="AK275" s="8" t="str">
        <v>10～19</v>
      </c>
      <c r="AL275" s="8" t="str">
        <v>10～19</v>
      </c>
      <c r="AM275" s="8" t="str">
        <v>100～119</v>
      </c>
      <c r="AN275" s="8" t="str">
        <v>15以上</v>
      </c>
      <c r="AO275" s="8" t="str">
        <f aca="false">IF(A275="","",IF(COUNTIFS(全馬データ!$A$2:$A$50000,A275,全馬データ!$B$2:$B$50000,B275,全馬データ!$C$2:$C$50000,C275,全馬データ!$D$2:$D$50000,E275,全馬データ!$K$2:$K$50000,"&lt;&gt;")=0,"",SUMIFS(全馬データ!$K$2:$K$50000,全馬データ!$A$2:$A$50000,A275,全馬データ!$B$2:$B$50000,B275,全馬データ!$C$2:$C$50000,C275,全馬データ!$D$2:$D$50000,E275)))</f>
        <v/>
      </c>
      <c r="AP275" s="8" t="str">
        <f aca="false">IF(A275="","",IF(AO275="","欠損",IF(AO275&lt;=1.1,"1.0～1.1",IF(AO275&lt;1.3,"1.2",IF(AO275&lt;1.5,"1.3～1.4",IF(AO275&lt;2,"1.5～1.9","2.0以上"))))))</f>
        <v>欠損</v>
      </c>
      <c r="AQ275" s="8" t="str">
        <f aca="false">IF(A275="","",IF(ISNUMBER(SEARCH("2歳",Z275)),"2歳戦",IF(ISNUMBER(SEARCH("3歳未勝利",Z275)),"3歳未勝利",IF(ISNUMBER(SEARCH("未勝利",Z275)),"その他未勝利",IF(ISNUMBER(SEARCH("G1",Z275)),"G1",IF(ISNUMBER(SEARCH("G2",Z275)),"G2",IF(ISNUMBER(SEARCH("G3",Z275)),"G3",IF(ISNUMBER(SEARCH("古馬条件",Z275)),"古馬条件戦",IF(ISNUMBER(SEARCH("重賞",Z275)),"重賞","分類不能")))))))))</f>
        <v>分類不能</v>
      </c>
      <c r="AR275" s="4" t="s">
        <v>7741</v>
      </c>
      <c r="AS275" s="8" t="s">
        <v>7626</v>
      </c>
      <c r="AT275" s="8" t="s">
        <v>7627</v>
      </c>
      <c r="AU275" s="8" t="s">
        <v>7634</v>
      </c>
      <c r="AV275" s="8" t="s">
        <v>7635</v>
      </c>
      <c r="AW275" s="8" t="s">
        <v>7636</v>
      </c>
      <c r="AX275" s="4" t="s">
        <v>7637</v>
      </c>
      <c r="AY275" s="8" t="s">
        <v>7610</v>
      </c>
      <c r="AZ275" s="4" t="s">
        <v>7617</v>
      </c>
      <c r="BA275" s="8" t="n">
        <v>1700</v>
      </c>
      <c r="BB275" s="8" t="s">
        <v>7669</v>
      </c>
      <c r="BC275" s="4" t="s">
        <v>7662</v>
      </c>
      <c r="BD275" s="8" t="s">
        <v>7621</v>
      </c>
      <c r="BE275" s="4" t="s">
        <v>7622</v>
      </c>
      <c r="BF275" s="8" t="s">
        <v>7602</v>
      </c>
      <c r="BG275" s="8" t="s">
        <v>7631</v>
      </c>
      <c r="BH275" s="4" t="s">
        <v>7632</v>
      </c>
      <c r="BI275" s="8" t="n">
        <v>16</v>
      </c>
      <c r="BJ275" s="8" t="s">
        <v>7602</v>
      </c>
      <c r="BK275" s="4" t="s">
        <v>7653</v>
      </c>
      <c r="BL275" s="8" t="s">
        <v>7602</v>
      </c>
      <c r="BM275" s="4" t="s">
        <v>7620</v>
      </c>
      <c r="BN275" s="8"/>
      <c r="BO275" s="8"/>
      <c r="BP275" s="8" t="s">
        <v>7610</v>
      </c>
      <c r="BQ275" s="8" t="str">
        <f aca="false">IF(A275="","",AT275)</f>
        <v>3歳以上</v>
      </c>
      <c r="BR275" s="8" t="str">
        <f aca="false">IF(A275="","",IF(BA275&lt;=1200,"～1200",IF(BA275&lt;=1500,"1300～1500",IF(BA275=1600,"1600",IF(BA275&lt;=1800,"1700～1800",IF(BA275&lt;=2000,"1900～2000","2100以上"))))))</f>
        <v>1700～1800</v>
      </c>
      <c r="BS275" s="8" t="str">
        <f aca="false">IF(A275="","",IF(AX275="G1","G1",IF(AX275="G2","G2",IF(AX275="G3","G3",IF(AX275="L","L","その他")))))</f>
        <v>その他</v>
      </c>
      <c r="BT275" s="8" t="str">
        <f aca="false">IF(A275="","",IF(BI275="","未結合",IF(D275=BI275,"一致","不一致")))</f>
        <v>一致</v>
      </c>
      <c r="BU275" s="8" t="str">
        <f aca="false">IF(A275="","",IF(BE275="牝馬限定","牝馬限定","その他"))</f>
        <v>牝馬限定</v>
      </c>
    </row>
    <row r="276" customFormat="false" ht="15.75" hidden="false" customHeight="false" outlineLevel="0" collapsed="false">
      <c r="A276" s="3" t="n">
        <v>46208</v>
      </c>
      <c r="B276" s="4" t="s">
        <v>1091</v>
      </c>
      <c r="C276" s="8" t="n">
        <v>11</v>
      </c>
      <c r="D276" s="8" t="n">
        <v>13</v>
      </c>
      <c r="E276" s="8" t="n">
        <v>12</v>
      </c>
      <c r="F276" s="4" t="s">
        <v>3228</v>
      </c>
      <c r="G276" s="8" t="n">
        <v>65</v>
      </c>
      <c r="H276" s="8" t="n">
        <v>4</v>
      </c>
      <c r="I276" s="4" t="s">
        <v>3221</v>
      </c>
      <c r="J276" s="8" t="n">
        <v>39</v>
      </c>
      <c r="K276" s="8" t="n">
        <v>8</v>
      </c>
      <c r="L276" s="4" t="s">
        <v>2157</v>
      </c>
      <c r="M276" s="8" t="n">
        <v>39</v>
      </c>
      <c r="N276" s="8" t="n">
        <f aca="false">IF(A276="","",G276-J276)</f>
        <v>26</v>
      </c>
      <c r="O276" s="8" t="n">
        <f aca="false">IF(A276="","",J276-M276)</f>
        <v>0</v>
      </c>
      <c r="P276" s="8" t="n">
        <f aca="false">IF(A276="","",G276+J276)</f>
        <v>104</v>
      </c>
      <c r="Q276" s="8" t="str">
        <f aca="false">IF(A276="","",IF(AND(Y276&lt;&gt;"参考",G276&gt;=ルール設定!$B$2),"○",""))</f>
        <v/>
      </c>
      <c r="R276" s="8" t="str">
        <f aca="false">IF(A276="","",IF(AND(Y276&lt;&gt;"参考",G276&gt;=ルール設定!$B$3,N276&gt;=ルール設定!$B$4),"○",""))</f>
        <v/>
      </c>
      <c r="S276" s="8" t="str">
        <f aca="false">IF(A276="","",IF(AND(Y276&lt;&gt;"参考",G276&gt;=ルール設定!$B$5,J276&gt;=ルール設定!$B$6,O276&gt;=ルール設定!$B$7),"○",""))</f>
        <v/>
      </c>
      <c r="T276" s="8" t="n">
        <v>1</v>
      </c>
      <c r="U276" s="8" t="n">
        <v>4</v>
      </c>
      <c r="V276" s="8" t="str">
        <f aca="false">IF(A276="","",IF(AND(ISNUMBER(T276),ISNUMBER(U276)),IF(AND(T276&lt;=3,U276&lt;=3),"○","×"),""))</f>
        <v>×</v>
      </c>
      <c r="W276" s="8" t="n">
        <v>160</v>
      </c>
      <c r="X276" s="8"/>
      <c r="Y276" s="4" t="s">
        <v>7597</v>
      </c>
      <c r="Z276" s="4" t="s">
        <v>7726</v>
      </c>
      <c r="AA276" s="8" t="str">
        <v/>
      </c>
      <c r="AB276" s="8" t="str">
        <v/>
      </c>
      <c r="AC276" s="8" t="str">
        <v/>
      </c>
      <c r="AD276" s="8" t="str">
        <v/>
      </c>
      <c r="AE276" s="8" t="str">
        <v/>
      </c>
      <c r="AF276" s="8" t="str">
        <v/>
      </c>
      <c r="AG276" s="8" t="str">
        <v/>
      </c>
      <c r="AH276" s="8" t="str">
        <v/>
      </c>
      <c r="AI276" s="8" t="n">
        <v>26</v>
      </c>
      <c r="AJ276" s="8" t="str">
        <v>60～69</v>
      </c>
      <c r="AK276" s="8" t="str">
        <v>20～29</v>
      </c>
      <c r="AL276" s="8" t="str">
        <v>20～29</v>
      </c>
      <c r="AM276" s="8" t="str">
        <v>100～119</v>
      </c>
      <c r="AN276" s="8" t="str">
        <v>12～14</v>
      </c>
      <c r="AO276" s="8" t="str">
        <f aca="false">IF(A276="","",IF(COUNTIFS(全馬データ!$A$2:$A$50000,A276,全馬データ!$B$2:$B$50000,B276,全馬データ!$C$2:$C$50000,C276,全馬データ!$D$2:$D$50000,E276,全馬データ!$K$2:$K$50000,"&lt;&gt;")=0,"",SUMIFS(全馬データ!$K$2:$K$50000,全馬データ!$A$2:$A$50000,A276,全馬データ!$B$2:$B$50000,B276,全馬データ!$C$2:$C$50000,C276,全馬データ!$D$2:$D$50000,E276)))</f>
        <v/>
      </c>
      <c r="AP276" s="8" t="str">
        <f aca="false">IF(A276="","",IF(AO276="","欠損",IF(AO276&lt;=1.1,"1.0～1.1",IF(AO276&lt;1.3,"1.2",IF(AO276&lt;1.5,"1.3～1.4",IF(AO276&lt;2,"1.5～1.9","2.0以上"))))))</f>
        <v>欠損</v>
      </c>
      <c r="AQ276" s="8" t="str">
        <f aca="false">IF(A276="","",IF(ISNUMBER(SEARCH("2歳",Z276)),"2歳戦",IF(ISNUMBER(SEARCH("3歳未勝利",Z276)),"3歳未勝利",IF(ISNUMBER(SEARCH("未勝利",Z276)),"その他未勝利",IF(ISNUMBER(SEARCH("G1",Z276)),"G1",IF(ISNUMBER(SEARCH("G2",Z276)),"G2",IF(ISNUMBER(SEARCH("G3",Z276)),"G3",IF(ISNUMBER(SEARCH("古馬条件",Z276)),"古馬条件戦",IF(ISNUMBER(SEARCH("重賞",Z276)),"重賞","分類不能")))))))))</f>
        <v>分類不能</v>
      </c>
      <c r="AR276" s="4" t="s">
        <v>7742</v>
      </c>
      <c r="AS276" s="8" t="s">
        <v>7626</v>
      </c>
      <c r="AT276" s="8" t="s">
        <v>7627</v>
      </c>
      <c r="AU276" s="8" t="s">
        <v>7643</v>
      </c>
      <c r="AV276" s="4" t="s">
        <v>7644</v>
      </c>
      <c r="AW276" s="8" t="s">
        <v>7608</v>
      </c>
      <c r="AX276" s="8" t="s">
        <v>7664</v>
      </c>
      <c r="AY276" s="8" t="s">
        <v>7602</v>
      </c>
      <c r="AZ276" s="4" t="s">
        <v>7603</v>
      </c>
      <c r="BA276" s="8" t="n">
        <v>1200</v>
      </c>
      <c r="BB276" s="8" t="s">
        <v>7701</v>
      </c>
      <c r="BC276" s="4" t="s">
        <v>7658</v>
      </c>
      <c r="BD276" s="8" t="s">
        <v>7666</v>
      </c>
      <c r="BE276" s="4" t="s">
        <v>7606</v>
      </c>
      <c r="BF276" s="8" t="s">
        <v>7607</v>
      </c>
      <c r="BG276" s="8" t="s">
        <v>7602</v>
      </c>
      <c r="BH276" s="4" t="s">
        <v>7667</v>
      </c>
      <c r="BI276" s="8" t="n">
        <v>13</v>
      </c>
      <c r="BJ276" s="8" t="s">
        <v>7602</v>
      </c>
      <c r="BK276" s="4" t="s">
        <v>7653</v>
      </c>
      <c r="BL276" s="8" t="s">
        <v>7602</v>
      </c>
      <c r="BM276" s="4" t="s">
        <v>7620</v>
      </c>
      <c r="BN276" s="8" t="s">
        <v>7602</v>
      </c>
      <c r="BO276" s="8" t="s">
        <v>7613</v>
      </c>
      <c r="BP276" s="8" t="s">
        <v>7610</v>
      </c>
      <c r="BQ276" s="8" t="str">
        <f aca="false">IF(A276="","",AT276)</f>
        <v>3歳以上</v>
      </c>
      <c r="BR276" s="8" t="str">
        <f aca="false">IF(A276="","",IF(BA276&lt;=1200,"～1200",IF(BA276&lt;=1500,"1300～1500",IF(BA276=1600,"1600",IF(BA276&lt;=1800,"1700～1800",IF(BA276&lt;=2000,"1900～2000","2100以上"))))))</f>
        <v>～1200</v>
      </c>
      <c r="BS276" s="8" t="str">
        <f aca="false">IF(A276="","",IF(AX276="G1","G1",IF(AX276="G2","G2",IF(AX276="G3","G3",IF(AX276="L","L","その他")))))</f>
        <v>G3</v>
      </c>
      <c r="BT276" s="8" t="str">
        <f aca="false">IF(A276="","",IF(BI276="","未結合",IF(D276=BI276,"一致","不一致")))</f>
        <v>一致</v>
      </c>
      <c r="BU276" s="8" t="str">
        <f aca="false">IF(A276="","",IF(BE276="牝馬限定","牝馬限定","その他"))</f>
        <v>その他</v>
      </c>
    </row>
    <row r="277" customFormat="false" ht="15.75" hidden="false" customHeight="false" outlineLevel="0" collapsed="false">
      <c r="A277" s="3" t="n">
        <v>46208</v>
      </c>
      <c r="B277" s="4" t="s">
        <v>1091</v>
      </c>
      <c r="C277" s="8" t="n">
        <v>12</v>
      </c>
      <c r="D277" s="8" t="n">
        <v>16</v>
      </c>
      <c r="E277" s="8" t="n">
        <v>10</v>
      </c>
      <c r="F277" s="4" t="s">
        <v>3235</v>
      </c>
      <c r="G277" s="8" t="n">
        <v>86</v>
      </c>
      <c r="H277" s="8" t="n">
        <v>4</v>
      </c>
      <c r="I277" s="4" t="s">
        <v>308</v>
      </c>
      <c r="J277" s="8" t="n">
        <v>52</v>
      </c>
      <c r="K277" s="8" t="n">
        <v>8</v>
      </c>
      <c r="L277" s="4" t="s">
        <v>3233</v>
      </c>
      <c r="M277" s="8" t="n">
        <v>31</v>
      </c>
      <c r="N277" s="8" t="n">
        <f aca="false">IF(A277="","",G277-J277)</f>
        <v>34</v>
      </c>
      <c r="O277" s="8" t="n">
        <f aca="false">IF(A277="","",J277-M277)</f>
        <v>21</v>
      </c>
      <c r="P277" s="8" t="n">
        <f aca="false">IF(A277="","",G277+J277)</f>
        <v>138</v>
      </c>
      <c r="Q277" s="8" t="str">
        <f aca="false">IF(A277="","",IF(AND(Y277&lt;&gt;"参考",G277&gt;=ルール設定!$B$2),"○",""))</f>
        <v>○</v>
      </c>
      <c r="R277" s="8" t="str">
        <f aca="false">IF(A277="","",IF(AND(Y277&lt;&gt;"参考",G277&gt;=ルール設定!$B$3,N277&gt;=ルール設定!$B$4),"○",""))</f>
        <v>○</v>
      </c>
      <c r="S277" s="8" t="str">
        <f aca="false">IF(A277="","",IF(AND(Y277&lt;&gt;"参考",G277&gt;=ルール設定!$B$5,J277&gt;=ルール設定!$B$6,O277&gt;=ルール設定!$B$7),"○",""))</f>
        <v>○</v>
      </c>
      <c r="T277" s="8" t="n">
        <v>1</v>
      </c>
      <c r="U277" s="8" t="n">
        <v>4</v>
      </c>
      <c r="V277" s="8" t="str">
        <f aca="false">IF(A277="","",IF(AND(ISNUMBER(T277),ISNUMBER(U277)),IF(AND(T277&lt;=3,U277&lt;=3),"○","×"),""))</f>
        <v>×</v>
      </c>
      <c r="W277" s="8" t="n">
        <v>110</v>
      </c>
      <c r="X277" s="8"/>
      <c r="Y277" s="4" t="s">
        <v>7597</v>
      </c>
      <c r="Z277" s="4" t="s">
        <v>7726</v>
      </c>
      <c r="AA277" s="8" t="str">
        <v>○</v>
      </c>
      <c r="AB277" s="8" t="str">
        <v>○</v>
      </c>
      <c r="AC277" s="8" t="str">
        <v/>
      </c>
      <c r="AD277" s="8" t="str">
        <v>○</v>
      </c>
      <c r="AE277" s="8" t="str">
        <v/>
      </c>
      <c r="AF277" s="8" t="str">
        <v/>
      </c>
      <c r="AG277" s="8" t="str">
        <v>○</v>
      </c>
      <c r="AH277" s="8" t="str">
        <v/>
      </c>
      <c r="AI277" s="8" t="n">
        <v>55</v>
      </c>
      <c r="AJ277" s="8" t="str">
        <v>85以上</v>
      </c>
      <c r="AK277" s="8" t="str">
        <v>30以上</v>
      </c>
      <c r="AL277" s="8" t="str">
        <v>40以上</v>
      </c>
      <c r="AM277" s="8" t="str">
        <v>120～139</v>
      </c>
      <c r="AN277" s="8" t="str">
        <v>15以上</v>
      </c>
      <c r="AO277" s="8" t="n">
        <f aca="false">IF(A277="","",IF(COUNTIFS(全馬データ!$A$2:$A$50000,A277,全馬データ!$B$2:$B$50000,B277,全馬データ!$C$2:$C$50000,C277,全馬データ!$D$2:$D$50000,E277,全馬データ!$K$2:$K$50000,"&lt;&gt;")=0,"",SUMIFS(全馬データ!$K$2:$K$50000,全馬データ!$A$2:$A$50000,A277,全馬データ!$B$2:$B$50000,B277,全馬データ!$C$2:$C$50000,C277,全馬データ!$D$2:$D$50000,E277)))</f>
        <v>1.1</v>
      </c>
      <c r="AP277" s="8" t="str">
        <f aca="false">IF(A277="","",IF(AO277="","欠損",IF(AO277&lt;=1.1,"1.0～1.1",IF(AO277&lt;1.3,"1.2",IF(AO277&lt;1.5,"1.3～1.4",IF(AO277&lt;2,"1.5～1.9","2.0以上"))))))</f>
        <v>1.0～1.1</v>
      </c>
      <c r="AQ277" s="8" t="str">
        <f aca="false">IF(A277="","",IF(ISNUMBER(SEARCH("2歳",Z277)),"2歳戦",IF(ISNUMBER(SEARCH("3歳未勝利",Z277)),"3歳未勝利",IF(ISNUMBER(SEARCH("未勝利",Z277)),"その他未勝利",IF(ISNUMBER(SEARCH("G1",Z277)),"G1",IF(ISNUMBER(SEARCH("G2",Z277)),"G2",IF(ISNUMBER(SEARCH("G3",Z277)),"G3",IF(ISNUMBER(SEARCH("古馬条件",Z277)),"古馬条件戦",IF(ISNUMBER(SEARCH("重賞",Z277)),"重賞","分類不能")))))))))</f>
        <v>分類不能</v>
      </c>
      <c r="AR277" s="8"/>
      <c r="AS277" s="8" t="s">
        <v>7626</v>
      </c>
      <c r="AT277" s="8" t="s">
        <v>7627</v>
      </c>
      <c r="AU277" s="8" t="s">
        <v>7628</v>
      </c>
      <c r="AV277" s="8" t="s">
        <v>7629</v>
      </c>
      <c r="AW277" s="8"/>
      <c r="AX277" s="8"/>
      <c r="AY277" s="8" t="s">
        <v>7610</v>
      </c>
      <c r="AZ277" s="4" t="s">
        <v>7617</v>
      </c>
      <c r="BA277" s="8" t="n">
        <v>1700</v>
      </c>
      <c r="BB277" s="8" t="s">
        <v>7669</v>
      </c>
      <c r="BC277" s="4" t="s">
        <v>7662</v>
      </c>
      <c r="BD277" s="8" t="s">
        <v>7625</v>
      </c>
      <c r="BE277" s="4" t="s">
        <v>7606</v>
      </c>
      <c r="BF277" s="8" t="s">
        <v>7607</v>
      </c>
      <c r="BG277" s="8" t="s">
        <v>7631</v>
      </c>
      <c r="BH277" s="4" t="s">
        <v>7632</v>
      </c>
      <c r="BI277" s="8" t="n">
        <v>16</v>
      </c>
      <c r="BJ277" s="8" t="s">
        <v>7602</v>
      </c>
      <c r="BK277" s="4" t="s">
        <v>7653</v>
      </c>
      <c r="BL277" s="8" t="s">
        <v>7602</v>
      </c>
      <c r="BM277" s="4" t="s">
        <v>7620</v>
      </c>
      <c r="BN277" s="8"/>
      <c r="BO277" s="8"/>
      <c r="BP277" s="8" t="s">
        <v>7610</v>
      </c>
      <c r="BQ277" s="8" t="str">
        <f aca="false">IF(A277="","",AT277)</f>
        <v>3歳以上</v>
      </c>
      <c r="BR277" s="8" t="str">
        <f aca="false">IF(A277="","",IF(BA277&lt;=1200,"～1200",IF(BA277&lt;=1500,"1300～1500",IF(BA277=1600,"1600",IF(BA277&lt;=1800,"1700～1800",IF(BA277&lt;=2000,"1900～2000","2100以上"))))))</f>
        <v>1700～1800</v>
      </c>
      <c r="BS277" s="8" t="str">
        <f aca="false">IF(A277="","",IF(AX277="G1","G1",IF(AX277="G2","G2",IF(AX277="G3","G3",IF(AX277="L","L","その他")))))</f>
        <v>その他</v>
      </c>
      <c r="BT277" s="8" t="str">
        <f aca="false">IF(A277="","",IF(BI277="","未結合",IF(D277=BI277,"一致","不一致")))</f>
        <v>一致</v>
      </c>
      <c r="BU277" s="8" t="str">
        <f aca="false">IF(A277="","",IF(BE277="牝馬限定","牝馬限定","その他"))</f>
        <v>その他</v>
      </c>
    </row>
    <row r="278" customFormat="false" ht="15.75" hidden="false" customHeight="false" outlineLevel="0" collapsed="false">
      <c r="A278" s="3" t="n">
        <v>46208</v>
      </c>
      <c r="B278" s="4" t="s">
        <v>1237</v>
      </c>
      <c r="C278" s="8" t="n">
        <v>1</v>
      </c>
      <c r="D278" s="8" t="n">
        <v>9</v>
      </c>
      <c r="E278" s="8" t="n">
        <v>6</v>
      </c>
      <c r="F278" s="4" t="s">
        <v>3245</v>
      </c>
      <c r="G278" s="8" t="n">
        <v>81</v>
      </c>
      <c r="H278" s="8" t="n">
        <v>5</v>
      </c>
      <c r="I278" s="4" t="s">
        <v>3244</v>
      </c>
      <c r="J278" s="8" t="n">
        <v>41</v>
      </c>
      <c r="K278" s="8" t="n">
        <v>7</v>
      </c>
      <c r="L278" s="4" t="s">
        <v>3246</v>
      </c>
      <c r="M278" s="8" t="n">
        <v>39</v>
      </c>
      <c r="N278" s="8" t="n">
        <f aca="false">IF(A278="","",G278-J278)</f>
        <v>40</v>
      </c>
      <c r="O278" s="8" t="n">
        <f aca="false">IF(A278="","",J278-M278)</f>
        <v>2</v>
      </c>
      <c r="P278" s="8" t="n">
        <f aca="false">IF(A278="","",G278+J278)</f>
        <v>122</v>
      </c>
      <c r="Q278" s="8" t="str">
        <f aca="false">IF(A278="","",IF(AND(Y278&lt;&gt;"参考",G278&gt;=ルール設定!$B$2),"○",""))</f>
        <v>○</v>
      </c>
      <c r="R278" s="8" t="str">
        <f aca="false">IF(A278="","",IF(AND(Y278&lt;&gt;"参考",G278&gt;=ルール設定!$B$3,N278&gt;=ルール設定!$B$4),"○",""))</f>
        <v>○</v>
      </c>
      <c r="S278" s="8" t="str">
        <f aca="false">IF(A278="","",IF(AND(Y278&lt;&gt;"参考",G278&gt;=ルール設定!$B$5,J278&gt;=ルール設定!$B$6,O278&gt;=ルール設定!$B$7),"○",""))</f>
        <v/>
      </c>
      <c r="T278" s="8" t="n">
        <v>4</v>
      </c>
      <c r="U278" s="8" t="n">
        <v>4</v>
      </c>
      <c r="V278" s="8" t="str">
        <f aca="false">IF(A278="","",IF(AND(ISNUMBER(T278),ISNUMBER(U278)),IF(AND(T278&lt;=3,U278&lt;=3),"○","×"),""))</f>
        <v>×</v>
      </c>
      <c r="W278" s="8"/>
      <c r="X278" s="8"/>
      <c r="Y278" s="4" t="s">
        <v>7597</v>
      </c>
      <c r="Z278" s="4" t="s">
        <v>7726</v>
      </c>
      <c r="AA278" s="8" t="str">
        <v/>
      </c>
      <c r="AB278" s="8" t="str">
        <v>○</v>
      </c>
      <c r="AC278" s="8" t="str">
        <v/>
      </c>
      <c r="AD278" s="8" t="str">
        <v>○</v>
      </c>
      <c r="AE278" s="8" t="str">
        <v/>
      </c>
      <c r="AF278" s="8" t="str">
        <v/>
      </c>
      <c r="AG278" s="8" t="str">
        <v>○</v>
      </c>
      <c r="AH278" s="8" t="str">
        <v/>
      </c>
      <c r="AI278" s="8" t="n">
        <v>42</v>
      </c>
      <c r="AJ278" s="8" t="str">
        <v>80～84</v>
      </c>
      <c r="AK278" s="8" t="str">
        <v>30以上</v>
      </c>
      <c r="AL278" s="8" t="str">
        <v>40以上</v>
      </c>
      <c r="AM278" s="8" t="str">
        <v>120～139</v>
      </c>
      <c r="AN278" s="8" t="str">
        <v>8～11</v>
      </c>
      <c r="AO278" s="8" t="n">
        <f aca="false">IF(A278="","",IF(COUNTIFS(全馬データ!$A$2:$A$50000,A278,全馬データ!$B$2:$B$50000,B278,全馬データ!$C$2:$C$50000,C278,全馬データ!$D$2:$D$50000,E278,全馬データ!$K$2:$K$50000,"&lt;&gt;")=0,"",SUMIFS(全馬データ!$K$2:$K$50000,全馬データ!$A$2:$A$50000,A278,全馬データ!$B$2:$B$50000,B278,全馬データ!$C$2:$C$50000,C278,全馬データ!$D$2:$D$50000,E278)))</f>
        <v>1.1</v>
      </c>
      <c r="AP278" s="8" t="str">
        <f aca="false">IF(A278="","",IF(AO278="","欠損",IF(AO278&lt;=1.1,"1.0～1.1",IF(AO278&lt;1.3,"1.2",IF(AO278&lt;1.5,"1.3～1.4",IF(AO278&lt;2,"1.5～1.9","2.0以上"))))))</f>
        <v>1.0～1.1</v>
      </c>
      <c r="AQ278" s="8" t="str">
        <f aca="false">IF(A278="","",IF(ISNUMBER(SEARCH("2歳",Z278)),"2歳戦",IF(ISNUMBER(SEARCH("3歳未勝利",Z278)),"3歳未勝利",IF(ISNUMBER(SEARCH("未勝利",Z278)),"その他未勝利",IF(ISNUMBER(SEARCH("G1",Z278)),"G1",IF(ISNUMBER(SEARCH("G2",Z278)),"G2",IF(ISNUMBER(SEARCH("G3",Z278)),"G3",IF(ISNUMBER(SEARCH("古馬条件",Z278)),"古馬条件戦",IF(ISNUMBER(SEARCH("重賞",Z278)),"重賞","分類不能")))))))))</f>
        <v>分類不能</v>
      </c>
      <c r="AR278" s="8"/>
      <c r="AS278" s="8" t="s">
        <v>7598</v>
      </c>
      <c r="AT278" s="8" t="s">
        <v>7599</v>
      </c>
      <c r="AU278" s="8" t="s">
        <v>7600</v>
      </c>
      <c r="AV278" s="4" t="s">
        <v>7601</v>
      </c>
      <c r="AW278" s="8"/>
      <c r="AX278" s="8"/>
      <c r="AY278" s="8" t="s">
        <v>7602</v>
      </c>
      <c r="AZ278" s="4" t="s">
        <v>7603</v>
      </c>
      <c r="BA278" s="8" t="n">
        <v>1200</v>
      </c>
      <c r="BB278" s="8" t="s">
        <v>7598</v>
      </c>
      <c r="BC278" s="4" t="s">
        <v>7604</v>
      </c>
      <c r="BD278" s="8" t="s">
        <v>7605</v>
      </c>
      <c r="BE278" s="4" t="s">
        <v>7606</v>
      </c>
      <c r="BF278" s="8" t="s">
        <v>7607</v>
      </c>
      <c r="BG278" s="8" t="s">
        <v>7608</v>
      </c>
      <c r="BH278" s="4" t="s">
        <v>7609</v>
      </c>
      <c r="BI278" s="8" t="n">
        <v>9</v>
      </c>
      <c r="BJ278" s="8" t="s">
        <v>7602</v>
      </c>
      <c r="BK278" s="4" t="s">
        <v>7653</v>
      </c>
      <c r="BL278" s="8" t="s">
        <v>7602</v>
      </c>
      <c r="BM278" s="4" t="s">
        <v>7620</v>
      </c>
      <c r="BN278" s="8" t="s">
        <v>7602</v>
      </c>
      <c r="BO278" s="8" t="s">
        <v>7613</v>
      </c>
      <c r="BP278" s="8" t="s">
        <v>7608</v>
      </c>
      <c r="BQ278" s="8" t="str">
        <f aca="false">IF(A278="","",AT278)</f>
        <v>2歳</v>
      </c>
      <c r="BR278" s="8" t="str">
        <f aca="false">IF(A278="","",IF(BA278&lt;=1200,"～1200",IF(BA278&lt;=1500,"1300～1500",IF(BA278=1600,"1600",IF(BA278&lt;=1800,"1700～1800",IF(BA278&lt;=2000,"1900～2000","2100以上"))))))</f>
        <v>～1200</v>
      </c>
      <c r="BS278" s="8" t="str">
        <f aca="false">IF(A278="","",IF(AX278="G1","G1",IF(AX278="G2","G2",IF(AX278="G3","G3",IF(AX278="L","L","その他")))))</f>
        <v>その他</v>
      </c>
      <c r="BT278" s="8" t="str">
        <f aca="false">IF(A278="","",IF(BI278="","未結合",IF(D278=BI278,"一致","不一致")))</f>
        <v>一致</v>
      </c>
      <c r="BU278" s="8" t="str">
        <f aca="false">IF(A278="","",IF(BE278="牝馬限定","牝馬限定","その他"))</f>
        <v>その他</v>
      </c>
    </row>
    <row r="279" customFormat="false" ht="15.75" hidden="false" customHeight="false" outlineLevel="0" collapsed="false">
      <c r="A279" s="3" t="n">
        <v>46208</v>
      </c>
      <c r="B279" s="4" t="s">
        <v>1237</v>
      </c>
      <c r="C279" s="8" t="n">
        <v>2</v>
      </c>
      <c r="D279" s="8" t="n">
        <v>12</v>
      </c>
      <c r="E279" s="8" t="n">
        <v>10</v>
      </c>
      <c r="F279" s="4" t="s">
        <v>1811</v>
      </c>
      <c r="G279" s="8" t="n">
        <v>67</v>
      </c>
      <c r="H279" s="8" t="n">
        <v>9</v>
      </c>
      <c r="I279" s="4" t="s">
        <v>1254</v>
      </c>
      <c r="J279" s="8" t="n">
        <v>47</v>
      </c>
      <c r="K279" s="8" t="n">
        <v>7</v>
      </c>
      <c r="L279" s="4" t="s">
        <v>1256</v>
      </c>
      <c r="M279" s="8" t="n">
        <v>44</v>
      </c>
      <c r="N279" s="8" t="n">
        <f aca="false">IF(A279="","",G279-J279)</f>
        <v>20</v>
      </c>
      <c r="O279" s="8" t="n">
        <f aca="false">IF(A279="","",J279-M279)</f>
        <v>3</v>
      </c>
      <c r="P279" s="8" t="n">
        <f aca="false">IF(A279="","",G279+J279)</f>
        <v>114</v>
      </c>
      <c r="Q279" s="8" t="str">
        <f aca="false">IF(A279="","",IF(AND(Y279&lt;&gt;"参考",G279&gt;=ルール設定!$B$2),"○",""))</f>
        <v/>
      </c>
      <c r="R279" s="8" t="str">
        <f aca="false">IF(A279="","",IF(AND(Y279&lt;&gt;"参考",G279&gt;=ルール設定!$B$3,N279&gt;=ルール設定!$B$4),"○",""))</f>
        <v/>
      </c>
      <c r="S279" s="8" t="str">
        <f aca="false">IF(A279="","",IF(AND(Y279&lt;&gt;"参考",G279&gt;=ルール設定!$B$5,J279&gt;=ルール設定!$B$6,O279&gt;=ルール設定!$B$7),"○",""))</f>
        <v/>
      </c>
      <c r="T279" s="8" t="n">
        <v>1</v>
      </c>
      <c r="U279" s="8" t="n">
        <v>4</v>
      </c>
      <c r="V279" s="8" t="str">
        <f aca="false">IF(A279="","",IF(AND(ISNUMBER(T279),ISNUMBER(U279)),IF(AND(T279&lt;=3,U279&lt;=3),"○","×"),""))</f>
        <v>×</v>
      </c>
      <c r="W279" s="8" t="n">
        <v>110</v>
      </c>
      <c r="X279" s="8"/>
      <c r="Y279" s="4" t="s">
        <v>7597</v>
      </c>
      <c r="Z279" s="4" t="s">
        <v>7726</v>
      </c>
      <c r="AA279" s="8" t="str">
        <v/>
      </c>
      <c r="AB279" s="8" t="str">
        <v/>
      </c>
      <c r="AC279" s="8" t="str">
        <v/>
      </c>
      <c r="AD279" s="8" t="str">
        <v/>
      </c>
      <c r="AE279" s="8" t="str">
        <v/>
      </c>
      <c r="AF279" s="8" t="str">
        <v/>
      </c>
      <c r="AG279" s="8" t="str">
        <v/>
      </c>
      <c r="AH279" s="8" t="str">
        <v/>
      </c>
      <c r="AI279" s="8" t="n">
        <v>23</v>
      </c>
      <c r="AJ279" s="8" t="str">
        <v>60～69</v>
      </c>
      <c r="AK279" s="8" t="str">
        <v>20～29</v>
      </c>
      <c r="AL279" s="8" t="str">
        <v>20～29</v>
      </c>
      <c r="AM279" s="8" t="str">
        <v>100～119</v>
      </c>
      <c r="AN279" s="8" t="str">
        <v>12～14</v>
      </c>
      <c r="AO279" s="8" t="str">
        <f aca="false">IF(A279="","",IF(COUNTIFS(全馬データ!$A$2:$A$50000,A279,全馬データ!$B$2:$B$50000,B279,全馬データ!$C$2:$C$50000,C279,全馬データ!$D$2:$D$50000,E279,全馬データ!$K$2:$K$50000,"&lt;&gt;")=0,"",SUMIFS(全馬データ!$K$2:$K$50000,全馬データ!$A$2:$A$50000,A279,全馬データ!$B$2:$B$50000,B279,全馬データ!$C$2:$C$50000,C279,全馬データ!$D$2:$D$50000,E279)))</f>
        <v/>
      </c>
      <c r="AP279" s="8" t="str">
        <f aca="false">IF(A279="","",IF(AO279="","欠損",IF(AO279&lt;=1.1,"1.0～1.1",IF(AO279&lt;1.3,"1.2",IF(AO279&lt;1.5,"1.3～1.4",IF(AO279&lt;2,"1.5～1.9","2.0以上"))))))</f>
        <v>欠損</v>
      </c>
      <c r="AQ279" s="8" t="str">
        <f aca="false">IF(A279="","",IF(ISNUMBER(SEARCH("2歳",Z279)),"2歳戦",IF(ISNUMBER(SEARCH("3歳未勝利",Z279)),"3歳未勝利",IF(ISNUMBER(SEARCH("未勝利",Z279)),"その他未勝利",IF(ISNUMBER(SEARCH("G1",Z279)),"G1",IF(ISNUMBER(SEARCH("G2",Z279)),"G2",IF(ISNUMBER(SEARCH("G3",Z279)),"G3",IF(ISNUMBER(SEARCH("古馬条件",Z279)),"古馬条件戦",IF(ISNUMBER(SEARCH("重賞",Z279)),"重賞","分類不能")))))))))</f>
        <v>分類不能</v>
      </c>
      <c r="AR279" s="8"/>
      <c r="AS279" s="8" t="s">
        <v>7623</v>
      </c>
      <c r="AT279" s="8" t="s">
        <v>7624</v>
      </c>
      <c r="AU279" s="8" t="s">
        <v>7600</v>
      </c>
      <c r="AV279" s="4" t="s">
        <v>7601</v>
      </c>
      <c r="AW279" s="8"/>
      <c r="AX279" s="8"/>
      <c r="AY279" s="8" t="s">
        <v>7610</v>
      </c>
      <c r="AZ279" s="4" t="s">
        <v>7617</v>
      </c>
      <c r="BA279" s="8" t="n">
        <v>1000</v>
      </c>
      <c r="BB279" s="8" t="s">
        <v>7598</v>
      </c>
      <c r="BC279" s="4" t="s">
        <v>7604</v>
      </c>
      <c r="BD279" s="8" t="s">
        <v>7625</v>
      </c>
      <c r="BE279" s="4" t="s">
        <v>7606</v>
      </c>
      <c r="BF279" s="8" t="s">
        <v>7607</v>
      </c>
      <c r="BG279" s="8" t="s">
        <v>7608</v>
      </c>
      <c r="BH279" s="4" t="s">
        <v>7609</v>
      </c>
      <c r="BI279" s="8" t="n">
        <v>12</v>
      </c>
      <c r="BJ279" s="8" t="s">
        <v>7602</v>
      </c>
      <c r="BK279" s="4" t="s">
        <v>7653</v>
      </c>
      <c r="BL279" s="8" t="s">
        <v>7602</v>
      </c>
      <c r="BM279" s="4" t="s">
        <v>7620</v>
      </c>
      <c r="BN279" s="8"/>
      <c r="BO279" s="8"/>
      <c r="BP279" s="8" t="s">
        <v>7608</v>
      </c>
      <c r="BQ279" s="8" t="str">
        <f aca="false">IF(A279="","",AT279)</f>
        <v>3歳</v>
      </c>
      <c r="BR279" s="8" t="str">
        <f aca="false">IF(A279="","",IF(BA279&lt;=1200,"～1200",IF(BA279&lt;=1500,"1300～1500",IF(BA279=1600,"1600",IF(BA279&lt;=1800,"1700～1800",IF(BA279&lt;=2000,"1900～2000","2100以上"))))))</f>
        <v>～1200</v>
      </c>
      <c r="BS279" s="8" t="str">
        <f aca="false">IF(A279="","",IF(AX279="G1","G1",IF(AX279="G2","G2",IF(AX279="G3","G3",IF(AX279="L","L","その他")))))</f>
        <v>その他</v>
      </c>
      <c r="BT279" s="8" t="str">
        <f aca="false">IF(A279="","",IF(BI279="","未結合",IF(D279=BI279,"一致","不一致")))</f>
        <v>一致</v>
      </c>
      <c r="BU279" s="8" t="str">
        <f aca="false">IF(A279="","",IF(BE279="牝馬限定","牝馬限定","その他"))</f>
        <v>その他</v>
      </c>
    </row>
    <row r="280" customFormat="false" ht="15.75" hidden="false" customHeight="false" outlineLevel="0" collapsed="false">
      <c r="A280" s="3" t="n">
        <v>46208</v>
      </c>
      <c r="B280" s="4" t="s">
        <v>1237</v>
      </c>
      <c r="C280" s="8" t="n">
        <v>3</v>
      </c>
      <c r="D280" s="8" t="n">
        <v>14</v>
      </c>
      <c r="E280" s="8" t="n">
        <v>13</v>
      </c>
      <c r="F280" s="4" t="s">
        <v>3258</v>
      </c>
      <c r="G280" s="8" t="n">
        <v>71</v>
      </c>
      <c r="H280" s="8" t="n">
        <v>1</v>
      </c>
      <c r="I280" s="4" t="s">
        <v>1748</v>
      </c>
      <c r="J280" s="8" t="n">
        <v>60</v>
      </c>
      <c r="K280" s="8" t="n">
        <v>12</v>
      </c>
      <c r="L280" s="4" t="s">
        <v>3257</v>
      </c>
      <c r="M280" s="8" t="n">
        <v>39</v>
      </c>
      <c r="N280" s="8" t="n">
        <f aca="false">IF(A280="","",G280-J280)</f>
        <v>11</v>
      </c>
      <c r="O280" s="8" t="n">
        <f aca="false">IF(A280="","",J280-M280)</f>
        <v>21</v>
      </c>
      <c r="P280" s="8" t="n">
        <f aca="false">IF(A280="","",G280+J280)</f>
        <v>131</v>
      </c>
      <c r="Q280" s="8" t="str">
        <f aca="false">IF(A280="","",IF(AND(Y280&lt;&gt;"参考",G280&gt;=ルール設定!$B$2),"○",""))</f>
        <v/>
      </c>
      <c r="R280" s="8" t="str">
        <f aca="false">IF(A280="","",IF(AND(Y280&lt;&gt;"参考",G280&gt;=ルール設定!$B$3,N280&gt;=ルール設定!$B$4),"○",""))</f>
        <v/>
      </c>
      <c r="S280" s="8" t="str">
        <f aca="false">IF(A280="","",IF(AND(Y280&lt;&gt;"参考",G280&gt;=ルール設定!$B$5,J280&gt;=ルール設定!$B$6,O280&gt;=ルール設定!$B$7),"○",""))</f>
        <v>○</v>
      </c>
      <c r="T280" s="8" t="n">
        <v>3</v>
      </c>
      <c r="U280" s="8" t="n">
        <v>2</v>
      </c>
      <c r="V280" s="8" t="str">
        <f aca="false">IF(A280="","",IF(AND(ISNUMBER(T280),ISNUMBER(U280)),IF(AND(T280&lt;=3,U280&lt;=3),"○","×"),""))</f>
        <v>○</v>
      </c>
      <c r="W280" s="8" t="n">
        <v>110</v>
      </c>
      <c r="X280" s="8" t="n">
        <v>190</v>
      </c>
      <c r="Y280" s="4" t="s">
        <v>7597</v>
      </c>
      <c r="Z280" s="4" t="s">
        <v>7726</v>
      </c>
      <c r="AA280" s="8" t="str">
        <v/>
      </c>
      <c r="AB280" s="8" t="str">
        <v/>
      </c>
      <c r="AC280" s="8" t="str">
        <v/>
      </c>
      <c r="AD280" s="8" t="str">
        <v/>
      </c>
      <c r="AE280" s="8" t="str">
        <v/>
      </c>
      <c r="AF280" s="8" t="str">
        <v/>
      </c>
      <c r="AG280" s="8" t="str">
        <v/>
      </c>
      <c r="AH280" s="8" t="str">
        <v/>
      </c>
      <c r="AI280" s="8" t="n">
        <v>32</v>
      </c>
      <c r="AJ280" s="8" t="str">
        <v>70～74</v>
      </c>
      <c r="AK280" s="8" t="str">
        <v>10～19</v>
      </c>
      <c r="AL280" s="8" t="str">
        <v>30～39</v>
      </c>
      <c r="AM280" s="8" t="str">
        <v>120～139</v>
      </c>
      <c r="AN280" s="8" t="str">
        <v>12～14</v>
      </c>
      <c r="AO280" s="8" t="str">
        <f aca="false">IF(A280="","",IF(COUNTIFS(全馬データ!$A$2:$A$50000,A280,全馬データ!$B$2:$B$50000,B280,全馬データ!$C$2:$C$50000,C280,全馬データ!$D$2:$D$50000,E280,全馬データ!$K$2:$K$50000,"&lt;&gt;")=0,"",SUMIFS(全馬データ!$K$2:$K$50000,全馬データ!$A$2:$A$50000,A280,全馬データ!$B$2:$B$50000,B280,全馬データ!$C$2:$C$50000,C280,全馬データ!$D$2:$D$50000,E280)))</f>
        <v/>
      </c>
      <c r="AP280" s="8" t="str">
        <f aca="false">IF(A280="","",IF(AO280="","欠損",IF(AO280&lt;=1.1,"1.0～1.1",IF(AO280&lt;1.3,"1.2",IF(AO280&lt;1.5,"1.3～1.4",IF(AO280&lt;2,"1.5～1.9","2.0以上"))))))</f>
        <v>欠損</v>
      </c>
      <c r="AQ280" s="8" t="str">
        <f aca="false">IF(A280="","",IF(ISNUMBER(SEARCH("2歳",Z280)),"2歳戦",IF(ISNUMBER(SEARCH("3歳未勝利",Z280)),"3歳未勝利",IF(ISNUMBER(SEARCH("未勝利",Z280)),"その他未勝利",IF(ISNUMBER(SEARCH("G1",Z280)),"G1",IF(ISNUMBER(SEARCH("G2",Z280)),"G2",IF(ISNUMBER(SEARCH("G3",Z280)),"G3",IF(ISNUMBER(SEARCH("古馬条件",Z280)),"古馬条件戦",IF(ISNUMBER(SEARCH("重賞",Z280)),"重賞","分類不能")))))))))</f>
        <v>分類不能</v>
      </c>
      <c r="AR280" s="8"/>
      <c r="AS280" s="8" t="s">
        <v>7623</v>
      </c>
      <c r="AT280" s="8" t="s">
        <v>7624</v>
      </c>
      <c r="AU280" s="8" t="s">
        <v>7600</v>
      </c>
      <c r="AV280" s="4" t="s">
        <v>7601</v>
      </c>
      <c r="AW280" s="8"/>
      <c r="AX280" s="8"/>
      <c r="AY280" s="8" t="s">
        <v>7610</v>
      </c>
      <c r="AZ280" s="4" t="s">
        <v>7617</v>
      </c>
      <c r="BA280" s="8" t="n">
        <v>1700</v>
      </c>
      <c r="BB280" s="8" t="s">
        <v>7598</v>
      </c>
      <c r="BC280" s="4" t="s">
        <v>7604</v>
      </c>
      <c r="BD280" s="8" t="s">
        <v>7605</v>
      </c>
      <c r="BE280" s="4" t="s">
        <v>7606</v>
      </c>
      <c r="BF280" s="8" t="s">
        <v>7607</v>
      </c>
      <c r="BG280" s="8" t="s">
        <v>7608</v>
      </c>
      <c r="BH280" s="4" t="s">
        <v>7609</v>
      </c>
      <c r="BI280" s="8" t="n">
        <v>14</v>
      </c>
      <c r="BJ280" s="8" t="s">
        <v>7602</v>
      </c>
      <c r="BK280" s="4" t="s">
        <v>7653</v>
      </c>
      <c r="BL280" s="8" t="s">
        <v>7602</v>
      </c>
      <c r="BM280" s="4" t="s">
        <v>7620</v>
      </c>
      <c r="BN280" s="8"/>
      <c r="BO280" s="8"/>
      <c r="BP280" s="8" t="s">
        <v>7608</v>
      </c>
      <c r="BQ280" s="8" t="str">
        <f aca="false">IF(A280="","",AT280)</f>
        <v>3歳</v>
      </c>
      <c r="BR280" s="8" t="str">
        <f aca="false">IF(A280="","",IF(BA280&lt;=1200,"～1200",IF(BA280&lt;=1500,"1300～1500",IF(BA280=1600,"1600",IF(BA280&lt;=1800,"1700～1800",IF(BA280&lt;=2000,"1900～2000","2100以上"))))))</f>
        <v>1700～1800</v>
      </c>
      <c r="BS280" s="8" t="str">
        <f aca="false">IF(A280="","",IF(AX280="G1","G1",IF(AX280="G2","G2",IF(AX280="G3","G3",IF(AX280="L","L","その他")))))</f>
        <v>その他</v>
      </c>
      <c r="BT280" s="8" t="str">
        <f aca="false">IF(A280="","",IF(BI280="","未結合",IF(D280=BI280,"一致","不一致")))</f>
        <v>一致</v>
      </c>
      <c r="BU280" s="8" t="str">
        <f aca="false">IF(A280="","",IF(BE280="牝馬限定","牝馬限定","その他"))</f>
        <v>その他</v>
      </c>
    </row>
    <row r="281" customFormat="false" ht="15.75" hidden="false" customHeight="false" outlineLevel="0" collapsed="false">
      <c r="A281" s="3" t="n">
        <v>46208</v>
      </c>
      <c r="B281" s="4" t="s">
        <v>1237</v>
      </c>
      <c r="C281" s="8" t="n">
        <v>4</v>
      </c>
      <c r="D281" s="8" t="n">
        <v>16</v>
      </c>
      <c r="E281" s="8" t="n">
        <v>12</v>
      </c>
      <c r="F281" s="4" t="s">
        <v>1777</v>
      </c>
      <c r="G281" s="8" t="n">
        <v>41</v>
      </c>
      <c r="H281" s="8" t="n">
        <v>16</v>
      </c>
      <c r="I281" s="4" t="s">
        <v>1376</v>
      </c>
      <c r="J281" s="8" t="n">
        <v>41</v>
      </c>
      <c r="K281" s="8" t="n">
        <v>10</v>
      </c>
      <c r="L281" s="4" t="s">
        <v>3266</v>
      </c>
      <c r="M281" s="8" t="n">
        <v>37</v>
      </c>
      <c r="N281" s="8" t="n">
        <f aca="false">IF(A281="","",G281-J281)</f>
        <v>0</v>
      </c>
      <c r="O281" s="8" t="n">
        <f aca="false">IF(A281="","",J281-M281)</f>
        <v>4</v>
      </c>
      <c r="P281" s="8" t="n">
        <f aca="false">IF(A281="","",G281+J281)</f>
        <v>82</v>
      </c>
      <c r="Q281" s="8" t="str">
        <f aca="false">IF(A281="","",IF(AND(Y281&lt;&gt;"参考",G281&gt;=ルール設定!$B$2),"○",""))</f>
        <v/>
      </c>
      <c r="R281" s="8" t="str">
        <f aca="false">IF(A281="","",IF(AND(Y281&lt;&gt;"参考",G281&gt;=ルール設定!$B$3,N281&gt;=ルール設定!$B$4),"○",""))</f>
        <v/>
      </c>
      <c r="S281" s="8" t="str">
        <f aca="false">IF(A281="","",IF(AND(Y281&lt;&gt;"参考",G281&gt;=ルール設定!$B$5,J281&gt;=ルール設定!$B$6,O281&gt;=ルール設定!$B$7),"○",""))</f>
        <v/>
      </c>
      <c r="T281" s="8" t="n">
        <v>4</v>
      </c>
      <c r="U281" s="8" t="n">
        <v>1</v>
      </c>
      <c r="V281" s="8" t="str">
        <f aca="false">IF(A281="","",IF(AND(ISNUMBER(T281),ISNUMBER(U281)),IF(AND(T281&lt;=3,U281&lt;=3),"○","×"),""))</f>
        <v>×</v>
      </c>
      <c r="W281" s="8"/>
      <c r="X281" s="8"/>
      <c r="Y281" s="4" t="s">
        <v>7597</v>
      </c>
      <c r="Z281" s="4" t="s">
        <v>7726</v>
      </c>
      <c r="AA281" s="8" t="str">
        <v/>
      </c>
      <c r="AB281" s="8" t="str">
        <v/>
      </c>
      <c r="AC281" s="8" t="str">
        <v/>
      </c>
      <c r="AD281" s="8" t="str">
        <v/>
      </c>
      <c r="AE281" s="8" t="str">
        <v/>
      </c>
      <c r="AF281" s="8" t="str">
        <v/>
      </c>
      <c r="AG281" s="8" t="str">
        <v/>
      </c>
      <c r="AH281" s="8" t="str">
        <v/>
      </c>
      <c r="AI281" s="8" t="n">
        <v>4</v>
      </c>
      <c r="AJ281" s="8" t="str">
        <v>～59</v>
      </c>
      <c r="AK281" s="8" t="str">
        <v>0～4</v>
      </c>
      <c r="AL281" s="8" t="str">
        <v>0～9</v>
      </c>
      <c r="AM281" s="8" t="str">
        <v>～99</v>
      </c>
      <c r="AN281" s="8" t="str">
        <v>15以上</v>
      </c>
      <c r="AO281" s="8" t="str">
        <f aca="false">IF(A281="","",IF(COUNTIFS(全馬データ!$A$2:$A$50000,A281,全馬データ!$B$2:$B$50000,B281,全馬データ!$C$2:$C$50000,C281,全馬データ!$D$2:$D$50000,E281,全馬データ!$K$2:$K$50000,"&lt;&gt;")=0,"",SUMIFS(全馬データ!$K$2:$K$50000,全馬データ!$A$2:$A$50000,A281,全馬データ!$B$2:$B$50000,B281,全馬データ!$C$2:$C$50000,C281,全馬データ!$D$2:$D$50000,E281)))</f>
        <v/>
      </c>
      <c r="AP281" s="8" t="str">
        <f aca="false">IF(A281="","",IF(AO281="","欠損",IF(AO281&lt;=1.1,"1.0～1.1",IF(AO281&lt;1.3,"1.2",IF(AO281&lt;1.5,"1.3～1.4",IF(AO281&lt;2,"1.5～1.9","2.0以上"))))))</f>
        <v>欠損</v>
      </c>
      <c r="AQ281" s="8" t="str">
        <f aca="false">IF(A281="","",IF(ISNUMBER(SEARCH("2歳",Z281)),"2歳戦",IF(ISNUMBER(SEARCH("3歳未勝利",Z281)),"3歳未勝利",IF(ISNUMBER(SEARCH("未勝利",Z281)),"その他未勝利",IF(ISNUMBER(SEARCH("G1",Z281)),"G1",IF(ISNUMBER(SEARCH("G2",Z281)),"G2",IF(ISNUMBER(SEARCH("G3",Z281)),"G3",IF(ISNUMBER(SEARCH("古馬条件",Z281)),"古馬条件戦",IF(ISNUMBER(SEARCH("重賞",Z281)),"重賞","分類不能")))))))))</f>
        <v>分類不能</v>
      </c>
      <c r="AR281" s="8"/>
      <c r="AS281" s="8" t="s">
        <v>7623</v>
      </c>
      <c r="AT281" s="8" t="s">
        <v>7624</v>
      </c>
      <c r="AU281" s="8" t="s">
        <v>7600</v>
      </c>
      <c r="AV281" s="4" t="s">
        <v>7601</v>
      </c>
      <c r="AW281" s="8"/>
      <c r="AX281" s="8"/>
      <c r="AY281" s="8" t="s">
        <v>7602</v>
      </c>
      <c r="AZ281" s="4" t="s">
        <v>7603</v>
      </c>
      <c r="BA281" s="8" t="n">
        <v>1200</v>
      </c>
      <c r="BB281" s="8" t="s">
        <v>7598</v>
      </c>
      <c r="BC281" s="4" t="s">
        <v>7604</v>
      </c>
      <c r="BD281" s="8" t="s">
        <v>7621</v>
      </c>
      <c r="BE281" s="4" t="s">
        <v>7622</v>
      </c>
      <c r="BF281" s="8" t="s">
        <v>7602</v>
      </c>
      <c r="BG281" s="8" t="s">
        <v>7608</v>
      </c>
      <c r="BH281" s="4" t="s">
        <v>7609</v>
      </c>
      <c r="BI281" s="8" t="n">
        <v>16</v>
      </c>
      <c r="BJ281" s="8" t="s">
        <v>7602</v>
      </c>
      <c r="BK281" s="4" t="s">
        <v>7653</v>
      </c>
      <c r="BL281" s="8" t="s">
        <v>7602</v>
      </c>
      <c r="BM281" s="4" t="s">
        <v>7620</v>
      </c>
      <c r="BN281" s="8" t="s">
        <v>7602</v>
      </c>
      <c r="BO281" s="8" t="s">
        <v>7613</v>
      </c>
      <c r="BP281" s="8" t="s">
        <v>7608</v>
      </c>
      <c r="BQ281" s="8" t="str">
        <f aca="false">IF(A281="","",AT281)</f>
        <v>3歳</v>
      </c>
      <c r="BR281" s="8" t="str">
        <f aca="false">IF(A281="","",IF(BA281&lt;=1200,"～1200",IF(BA281&lt;=1500,"1300～1500",IF(BA281=1600,"1600",IF(BA281&lt;=1800,"1700～1800",IF(BA281&lt;=2000,"1900～2000","2100以上"))))))</f>
        <v>～1200</v>
      </c>
      <c r="BS281" s="8" t="str">
        <f aca="false">IF(A281="","",IF(AX281="G1","G1",IF(AX281="G2","G2",IF(AX281="G3","G3",IF(AX281="L","L","その他")))))</f>
        <v>その他</v>
      </c>
      <c r="BT281" s="8" t="str">
        <f aca="false">IF(A281="","",IF(BI281="","未結合",IF(D281=BI281,"一致","不一致")))</f>
        <v>一致</v>
      </c>
      <c r="BU281" s="8" t="str">
        <f aca="false">IF(A281="","",IF(BE281="牝馬限定","牝馬限定","その他"))</f>
        <v>牝馬限定</v>
      </c>
    </row>
    <row r="282" customFormat="false" ht="15.75" hidden="false" customHeight="false" outlineLevel="0" collapsed="false">
      <c r="A282" s="3" t="n">
        <v>46208</v>
      </c>
      <c r="B282" s="4" t="s">
        <v>1237</v>
      </c>
      <c r="C282" s="8" t="n">
        <v>5</v>
      </c>
      <c r="D282" s="8" t="n">
        <v>5</v>
      </c>
      <c r="E282" s="8" t="n">
        <v>3</v>
      </c>
      <c r="F282" s="4" t="s">
        <v>3271</v>
      </c>
      <c r="G282" s="8" t="n">
        <v>44</v>
      </c>
      <c r="H282" s="8" t="n">
        <v>2</v>
      </c>
      <c r="I282" s="4" t="s">
        <v>3270</v>
      </c>
      <c r="J282" s="8" t="n">
        <v>37</v>
      </c>
      <c r="K282" s="8" t="n">
        <v>5</v>
      </c>
      <c r="L282" s="4" t="s">
        <v>1240</v>
      </c>
      <c r="M282" s="8" t="n">
        <v>37</v>
      </c>
      <c r="N282" s="8" t="n">
        <f aca="false">IF(A282="","",G282-J282)</f>
        <v>7</v>
      </c>
      <c r="O282" s="8" t="n">
        <f aca="false">IF(A282="","",J282-M282)</f>
        <v>0</v>
      </c>
      <c r="P282" s="8" t="n">
        <f aca="false">IF(A282="","",G282+J282)</f>
        <v>81</v>
      </c>
      <c r="Q282" s="8" t="str">
        <f aca="false">IF(A282="","",IF(AND(Y282&lt;&gt;"参考",G282&gt;=ルール設定!$B$2),"○",""))</f>
        <v/>
      </c>
      <c r="R282" s="8" t="str">
        <f aca="false">IF(A282="","",IF(AND(Y282&lt;&gt;"参考",G282&gt;=ルール設定!$B$3,N282&gt;=ルール設定!$B$4),"○",""))</f>
        <v/>
      </c>
      <c r="S282" s="8" t="str">
        <f aca="false">IF(A282="","",IF(AND(Y282&lt;&gt;"参考",G282&gt;=ルール設定!$B$5,J282&gt;=ルール設定!$B$6,O282&gt;=ルール設定!$B$7),"○",""))</f>
        <v/>
      </c>
      <c r="T282" s="8" t="n">
        <v>3</v>
      </c>
      <c r="U282" s="8" t="n">
        <v>2</v>
      </c>
      <c r="V282" s="8" t="str">
        <f aca="false">IF(A282="","",IF(AND(ISNUMBER(T282),ISNUMBER(U282)),IF(AND(T282&lt;=3,U282&lt;=3),"○","×"),""))</f>
        <v>○</v>
      </c>
      <c r="W282" s="8"/>
      <c r="X282" s="8" t="n">
        <v>210</v>
      </c>
      <c r="Y282" s="4" t="s">
        <v>7597</v>
      </c>
      <c r="Z282" s="4" t="s">
        <v>7726</v>
      </c>
      <c r="AA282" s="8" t="str">
        <v/>
      </c>
      <c r="AB282" s="8" t="str">
        <v/>
      </c>
      <c r="AC282" s="8" t="str">
        <v/>
      </c>
      <c r="AD282" s="8" t="str">
        <v/>
      </c>
      <c r="AE282" s="8" t="str">
        <v/>
      </c>
      <c r="AF282" s="8" t="str">
        <v/>
      </c>
      <c r="AG282" s="8" t="str">
        <v/>
      </c>
      <c r="AH282" s="8" t="str">
        <v/>
      </c>
      <c r="AI282" s="8" t="n">
        <v>7</v>
      </c>
      <c r="AJ282" s="8" t="str">
        <v>～59</v>
      </c>
      <c r="AK282" s="8" t="str">
        <v>5～9</v>
      </c>
      <c r="AL282" s="8" t="str">
        <v>0～9</v>
      </c>
      <c r="AM282" s="8" t="str">
        <v>～99</v>
      </c>
      <c r="AN282" s="8" t="str">
        <v>7以下</v>
      </c>
      <c r="AO282" s="8" t="str">
        <f aca="false">IF(A282="","",IF(COUNTIFS(全馬データ!$A$2:$A$50000,A282,全馬データ!$B$2:$B$50000,B282,全馬データ!$C$2:$C$50000,C282,全馬データ!$D$2:$D$50000,E282,全馬データ!$K$2:$K$50000,"&lt;&gt;")=0,"",SUMIFS(全馬データ!$K$2:$K$50000,全馬データ!$A$2:$A$50000,A282,全馬データ!$B$2:$B$50000,B282,全馬データ!$C$2:$C$50000,C282,全馬データ!$D$2:$D$50000,E282)))</f>
        <v/>
      </c>
      <c r="AP282" s="8" t="str">
        <f aca="false">IF(A282="","",IF(AO282="","欠損",IF(AO282&lt;=1.1,"1.0～1.1",IF(AO282&lt;1.3,"1.2",IF(AO282&lt;1.5,"1.3～1.4",IF(AO282&lt;2,"1.5～1.9","2.0以上"))))))</f>
        <v>欠損</v>
      </c>
      <c r="AQ282" s="8" t="str">
        <f aca="false">IF(A282="","",IF(ISNUMBER(SEARCH("2歳",Z282)),"2歳戦",IF(ISNUMBER(SEARCH("3歳未勝利",Z282)),"3歳未勝利",IF(ISNUMBER(SEARCH("未勝利",Z282)),"その他未勝利",IF(ISNUMBER(SEARCH("G1",Z282)),"G1",IF(ISNUMBER(SEARCH("G2",Z282)),"G2",IF(ISNUMBER(SEARCH("G3",Z282)),"G3",IF(ISNUMBER(SEARCH("古馬条件",Z282)),"古馬条件戦",IF(ISNUMBER(SEARCH("重賞",Z282)),"重賞","分類不能")))))))))</f>
        <v>分類不能</v>
      </c>
      <c r="AR282" s="8"/>
      <c r="AS282" s="8" t="s">
        <v>7598</v>
      </c>
      <c r="AT282" s="8" t="s">
        <v>7599</v>
      </c>
      <c r="AU282" s="8" t="s">
        <v>7615</v>
      </c>
      <c r="AV282" s="4" t="s">
        <v>7616</v>
      </c>
      <c r="AW282" s="8"/>
      <c r="AX282" s="8"/>
      <c r="AY282" s="8" t="s">
        <v>7602</v>
      </c>
      <c r="AZ282" s="4" t="s">
        <v>7603</v>
      </c>
      <c r="BA282" s="8" t="n">
        <v>1800</v>
      </c>
      <c r="BB282" s="8" t="s">
        <v>7598</v>
      </c>
      <c r="BC282" s="4" t="s">
        <v>7604</v>
      </c>
      <c r="BD282" s="8" t="s">
        <v>7605</v>
      </c>
      <c r="BE282" s="4" t="s">
        <v>7606</v>
      </c>
      <c r="BF282" s="8" t="s">
        <v>7607</v>
      </c>
      <c r="BG282" s="8" t="s">
        <v>7608</v>
      </c>
      <c r="BH282" s="4" t="s">
        <v>7609</v>
      </c>
      <c r="BI282" s="8" t="n">
        <v>5</v>
      </c>
      <c r="BJ282" s="8" t="s">
        <v>7602</v>
      </c>
      <c r="BK282" s="4" t="s">
        <v>7653</v>
      </c>
      <c r="BL282" s="8" t="s">
        <v>7602</v>
      </c>
      <c r="BM282" s="4" t="s">
        <v>7620</v>
      </c>
      <c r="BN282" s="8" t="s">
        <v>7602</v>
      </c>
      <c r="BO282" s="8" t="s">
        <v>7613</v>
      </c>
      <c r="BP282" s="8" t="s">
        <v>7608</v>
      </c>
      <c r="BQ282" s="8" t="str">
        <f aca="false">IF(A282="","",AT282)</f>
        <v>2歳</v>
      </c>
      <c r="BR282" s="8" t="str">
        <f aca="false">IF(A282="","",IF(BA282&lt;=1200,"～1200",IF(BA282&lt;=1500,"1300～1500",IF(BA282=1600,"1600",IF(BA282&lt;=1800,"1700～1800",IF(BA282&lt;=2000,"1900～2000","2100以上"))))))</f>
        <v>1700～1800</v>
      </c>
      <c r="BS282" s="8" t="str">
        <f aca="false">IF(A282="","",IF(AX282="G1","G1",IF(AX282="G2","G2",IF(AX282="G3","G3",IF(AX282="L","L","その他")))))</f>
        <v>その他</v>
      </c>
      <c r="BT282" s="8" t="str">
        <f aca="false">IF(A282="","",IF(BI282="","未結合",IF(D282=BI282,"一致","不一致")))</f>
        <v>一致</v>
      </c>
      <c r="BU282" s="8" t="str">
        <f aca="false">IF(A282="","",IF(BE282="牝馬限定","牝馬限定","その他"))</f>
        <v>その他</v>
      </c>
    </row>
    <row r="283" customFormat="false" ht="15.75" hidden="false" customHeight="false" outlineLevel="0" collapsed="false">
      <c r="A283" s="3" t="n">
        <v>46208</v>
      </c>
      <c r="B283" s="4" t="s">
        <v>1237</v>
      </c>
      <c r="C283" s="8" t="n">
        <v>6</v>
      </c>
      <c r="D283" s="8" t="n">
        <v>16</v>
      </c>
      <c r="E283" s="8" t="n">
        <v>16</v>
      </c>
      <c r="F283" s="4" t="s">
        <v>1756</v>
      </c>
      <c r="G283" s="8" t="n">
        <v>62</v>
      </c>
      <c r="H283" s="8" t="n">
        <v>12</v>
      </c>
      <c r="I283" s="4" t="s">
        <v>1310</v>
      </c>
      <c r="J283" s="8" t="n">
        <v>44</v>
      </c>
      <c r="K283" s="8" t="n">
        <v>3</v>
      </c>
      <c r="L283" s="4" t="s">
        <v>1760</v>
      </c>
      <c r="M283" s="8" t="n">
        <v>39</v>
      </c>
      <c r="N283" s="8" t="n">
        <f aca="false">IF(A283="","",G283-J283)</f>
        <v>18</v>
      </c>
      <c r="O283" s="8" t="n">
        <f aca="false">IF(A283="","",J283-M283)</f>
        <v>5</v>
      </c>
      <c r="P283" s="8" t="n">
        <f aca="false">IF(A283="","",G283+J283)</f>
        <v>106</v>
      </c>
      <c r="Q283" s="8" t="str">
        <f aca="false">IF(A283="","",IF(AND(Y283&lt;&gt;"参考",G283&gt;=ルール設定!$B$2),"○",""))</f>
        <v/>
      </c>
      <c r="R283" s="8" t="str">
        <f aca="false">IF(A283="","",IF(AND(Y283&lt;&gt;"参考",G283&gt;=ルール設定!$B$3,N283&gt;=ルール設定!$B$4),"○",""))</f>
        <v/>
      </c>
      <c r="S283" s="8" t="str">
        <f aca="false">IF(A283="","",IF(AND(Y283&lt;&gt;"参考",G283&gt;=ルール設定!$B$5,J283&gt;=ルール設定!$B$6,O283&gt;=ルール設定!$B$7),"○",""))</f>
        <v/>
      </c>
      <c r="T283" s="8" t="n">
        <v>2</v>
      </c>
      <c r="U283" s="8" t="n">
        <v>3</v>
      </c>
      <c r="V283" s="8" t="str">
        <f aca="false">IF(A283="","",IF(AND(ISNUMBER(T283),ISNUMBER(U283)),IF(AND(T283&lt;=3,U283&lt;=3),"○","×"),""))</f>
        <v>○</v>
      </c>
      <c r="W283" s="8" t="n">
        <v>140</v>
      </c>
      <c r="X283" s="8" t="n">
        <v>220</v>
      </c>
      <c r="Y283" s="4" t="s">
        <v>7597</v>
      </c>
      <c r="Z283" s="4" t="s">
        <v>7726</v>
      </c>
      <c r="AA283" s="8" t="str">
        <v/>
      </c>
      <c r="AB283" s="8" t="str">
        <v/>
      </c>
      <c r="AC283" s="8" t="str">
        <v/>
      </c>
      <c r="AD283" s="8" t="str">
        <v/>
      </c>
      <c r="AE283" s="8" t="str">
        <v/>
      </c>
      <c r="AF283" s="8" t="str">
        <v/>
      </c>
      <c r="AG283" s="8" t="str">
        <v/>
      </c>
      <c r="AH283" s="8" t="str">
        <v/>
      </c>
      <c r="AI283" s="8" t="n">
        <v>23</v>
      </c>
      <c r="AJ283" s="8" t="str">
        <v>60～69</v>
      </c>
      <c r="AK283" s="8" t="str">
        <v>10～19</v>
      </c>
      <c r="AL283" s="8" t="str">
        <v>20～29</v>
      </c>
      <c r="AM283" s="8" t="str">
        <v>100～119</v>
      </c>
      <c r="AN283" s="8" t="str">
        <v>15以上</v>
      </c>
      <c r="AO283" s="8" t="str">
        <f aca="false">IF(A283="","",IF(COUNTIFS(全馬データ!$A$2:$A$50000,A283,全馬データ!$B$2:$B$50000,B283,全馬データ!$C$2:$C$50000,C283,全馬データ!$D$2:$D$50000,E283,全馬データ!$K$2:$K$50000,"&lt;&gt;")=0,"",SUMIFS(全馬データ!$K$2:$K$50000,全馬データ!$A$2:$A$50000,A283,全馬データ!$B$2:$B$50000,B283,全馬データ!$C$2:$C$50000,C283,全馬データ!$D$2:$D$50000,E283)))</f>
        <v/>
      </c>
      <c r="AP283" s="8" t="str">
        <f aca="false">IF(A283="","",IF(AO283="","欠損",IF(AO283&lt;=1.1,"1.0～1.1",IF(AO283&lt;1.3,"1.2",IF(AO283&lt;1.5,"1.3～1.4",IF(AO283&lt;2,"1.5～1.9","2.0以上"))))))</f>
        <v>欠損</v>
      </c>
      <c r="AQ283" s="8" t="str">
        <f aca="false">IF(A283="","",IF(ISNUMBER(SEARCH("2歳",Z283)),"2歳戦",IF(ISNUMBER(SEARCH("3歳未勝利",Z283)),"3歳未勝利",IF(ISNUMBER(SEARCH("未勝利",Z283)),"その他未勝利",IF(ISNUMBER(SEARCH("G1",Z283)),"G1",IF(ISNUMBER(SEARCH("G2",Z283)),"G2",IF(ISNUMBER(SEARCH("G3",Z283)),"G3",IF(ISNUMBER(SEARCH("古馬条件",Z283)),"古馬条件戦",IF(ISNUMBER(SEARCH("重賞",Z283)),"重賞","分類不能")))))))))</f>
        <v>分類不能</v>
      </c>
      <c r="AR283" s="8"/>
      <c r="AS283" s="8" t="s">
        <v>7623</v>
      </c>
      <c r="AT283" s="8" t="s">
        <v>7624</v>
      </c>
      <c r="AU283" s="8" t="s">
        <v>7600</v>
      </c>
      <c r="AV283" s="4" t="s">
        <v>7601</v>
      </c>
      <c r="AW283" s="8"/>
      <c r="AX283" s="8"/>
      <c r="AY283" s="8" t="s">
        <v>7602</v>
      </c>
      <c r="AZ283" s="4" t="s">
        <v>7603</v>
      </c>
      <c r="BA283" s="8" t="n">
        <v>2000</v>
      </c>
      <c r="BB283" s="8" t="s">
        <v>7598</v>
      </c>
      <c r="BC283" s="4" t="s">
        <v>7604</v>
      </c>
      <c r="BD283" s="8" t="s">
        <v>7625</v>
      </c>
      <c r="BE283" s="4" t="s">
        <v>7606</v>
      </c>
      <c r="BF283" s="8" t="s">
        <v>7607</v>
      </c>
      <c r="BG283" s="8" t="s">
        <v>7608</v>
      </c>
      <c r="BH283" s="4" t="s">
        <v>7609</v>
      </c>
      <c r="BI283" s="8" t="n">
        <v>16</v>
      </c>
      <c r="BJ283" s="8" t="s">
        <v>7602</v>
      </c>
      <c r="BK283" s="4" t="s">
        <v>7653</v>
      </c>
      <c r="BL283" s="8" t="s">
        <v>7602</v>
      </c>
      <c r="BM283" s="4" t="s">
        <v>7620</v>
      </c>
      <c r="BN283" s="8" t="s">
        <v>7602</v>
      </c>
      <c r="BO283" s="8" t="s">
        <v>7613</v>
      </c>
      <c r="BP283" s="8" t="s">
        <v>7608</v>
      </c>
      <c r="BQ283" s="8" t="str">
        <f aca="false">IF(A283="","",AT283)</f>
        <v>3歳</v>
      </c>
      <c r="BR283" s="8" t="str">
        <f aca="false">IF(A283="","",IF(BA283&lt;=1200,"～1200",IF(BA283&lt;=1500,"1300～1500",IF(BA283=1600,"1600",IF(BA283&lt;=1800,"1700～1800",IF(BA283&lt;=2000,"1900～2000","2100以上"))))))</f>
        <v>1900～2000</v>
      </c>
      <c r="BS283" s="8" t="str">
        <f aca="false">IF(A283="","",IF(AX283="G1","G1",IF(AX283="G2","G2",IF(AX283="G3","G3",IF(AX283="L","L","その他")))))</f>
        <v>その他</v>
      </c>
      <c r="BT283" s="8" t="str">
        <f aca="false">IF(A283="","",IF(BI283="","未結合",IF(D283=BI283,"一致","不一致")))</f>
        <v>一致</v>
      </c>
      <c r="BU283" s="8" t="str">
        <f aca="false">IF(A283="","",IF(BE283="牝馬限定","牝馬限定","その他"))</f>
        <v>その他</v>
      </c>
    </row>
    <row r="284" customFormat="false" ht="15.75" hidden="false" customHeight="false" outlineLevel="0" collapsed="false">
      <c r="A284" s="3" t="n">
        <v>46208</v>
      </c>
      <c r="B284" s="4" t="s">
        <v>1237</v>
      </c>
      <c r="C284" s="8" t="n">
        <v>7</v>
      </c>
      <c r="D284" s="8" t="n">
        <v>9</v>
      </c>
      <c r="E284" s="8" t="n">
        <v>3</v>
      </c>
      <c r="F284" s="4" t="s">
        <v>3284</v>
      </c>
      <c r="G284" s="8" t="n">
        <v>60</v>
      </c>
      <c r="H284" s="8" t="n">
        <v>8</v>
      </c>
      <c r="I284" s="4" t="s">
        <v>1812</v>
      </c>
      <c r="J284" s="8" t="n">
        <v>47</v>
      </c>
      <c r="K284" s="8" t="n">
        <v>2</v>
      </c>
      <c r="L284" s="4" t="s">
        <v>3283</v>
      </c>
      <c r="M284" s="8" t="n">
        <v>37</v>
      </c>
      <c r="N284" s="8" t="n">
        <f aca="false">IF(A284="","",G284-J284)</f>
        <v>13</v>
      </c>
      <c r="O284" s="8" t="n">
        <f aca="false">IF(A284="","",J284-M284)</f>
        <v>10</v>
      </c>
      <c r="P284" s="8" t="n">
        <f aca="false">IF(A284="","",G284+J284)</f>
        <v>107</v>
      </c>
      <c r="Q284" s="8" t="str">
        <f aca="false">IF(A284="","",IF(AND(Y284&lt;&gt;"参考",G284&gt;=ルール設定!$B$2),"○",""))</f>
        <v/>
      </c>
      <c r="R284" s="8" t="str">
        <f aca="false">IF(A284="","",IF(AND(Y284&lt;&gt;"参考",G284&gt;=ルール設定!$B$3,N284&gt;=ルール設定!$B$4),"○",""))</f>
        <v/>
      </c>
      <c r="S284" s="8" t="str">
        <f aca="false">IF(A284="","",IF(AND(Y284&lt;&gt;"参考",G284&gt;=ルール設定!$B$5,J284&gt;=ルール設定!$B$6,O284&gt;=ルール設定!$B$7),"○",""))</f>
        <v/>
      </c>
      <c r="T284" s="8" t="n">
        <v>4</v>
      </c>
      <c r="U284" s="8" t="n">
        <v>2</v>
      </c>
      <c r="V284" s="8" t="str">
        <f aca="false">IF(A284="","",IF(AND(ISNUMBER(T284),ISNUMBER(U284)),IF(AND(T284&lt;=3,U284&lt;=3),"○","×"),""))</f>
        <v>×</v>
      </c>
      <c r="W284" s="8"/>
      <c r="X284" s="8"/>
      <c r="Y284" s="4" t="s">
        <v>7597</v>
      </c>
      <c r="Z284" s="4" t="s">
        <v>7726</v>
      </c>
      <c r="AA284" s="8" t="str">
        <v/>
      </c>
      <c r="AB284" s="8" t="str">
        <v/>
      </c>
      <c r="AC284" s="8" t="str">
        <v/>
      </c>
      <c r="AD284" s="8" t="str">
        <v/>
      </c>
      <c r="AE284" s="8" t="str">
        <v/>
      </c>
      <c r="AF284" s="8" t="str">
        <v/>
      </c>
      <c r="AG284" s="8" t="str">
        <v/>
      </c>
      <c r="AH284" s="8" t="str">
        <v/>
      </c>
      <c r="AI284" s="8" t="n">
        <v>23</v>
      </c>
      <c r="AJ284" s="8" t="str">
        <v>60～69</v>
      </c>
      <c r="AK284" s="8" t="str">
        <v>10～19</v>
      </c>
      <c r="AL284" s="8" t="str">
        <v>20～29</v>
      </c>
      <c r="AM284" s="8" t="str">
        <v>100～119</v>
      </c>
      <c r="AN284" s="8" t="str">
        <v>8～11</v>
      </c>
      <c r="AO284" s="8" t="str">
        <f aca="false">IF(A284="","",IF(COUNTIFS(全馬データ!$A$2:$A$50000,A284,全馬データ!$B$2:$B$50000,B284,全馬データ!$C$2:$C$50000,C284,全馬データ!$D$2:$D$50000,E284,全馬データ!$K$2:$K$50000,"&lt;&gt;")=0,"",SUMIFS(全馬データ!$K$2:$K$50000,全馬データ!$A$2:$A$50000,A284,全馬データ!$B$2:$B$50000,B284,全馬データ!$C$2:$C$50000,C284,全馬データ!$D$2:$D$50000,E284)))</f>
        <v/>
      </c>
      <c r="AP284" s="8" t="str">
        <f aca="false">IF(A284="","",IF(AO284="","欠損",IF(AO284&lt;=1.1,"1.0～1.1",IF(AO284&lt;1.3,"1.2",IF(AO284&lt;1.5,"1.3～1.4",IF(AO284&lt;2,"1.5～1.9","2.0以上"))))))</f>
        <v>欠損</v>
      </c>
      <c r="AQ284" s="8" t="str">
        <f aca="false">IF(A284="","",IF(ISNUMBER(SEARCH("2歳",Z284)),"2歳戦",IF(ISNUMBER(SEARCH("3歳未勝利",Z284)),"3歳未勝利",IF(ISNUMBER(SEARCH("未勝利",Z284)),"その他未勝利",IF(ISNUMBER(SEARCH("G1",Z284)),"G1",IF(ISNUMBER(SEARCH("G2",Z284)),"G2",IF(ISNUMBER(SEARCH("G3",Z284)),"G3",IF(ISNUMBER(SEARCH("古馬条件",Z284)),"古馬条件戦",IF(ISNUMBER(SEARCH("重賞",Z284)),"重賞","分類不能")))))))))</f>
        <v>分類不能</v>
      </c>
      <c r="AR284" s="8"/>
      <c r="AS284" s="8" t="s">
        <v>7626</v>
      </c>
      <c r="AT284" s="8" t="s">
        <v>7627</v>
      </c>
      <c r="AU284" s="8" t="s">
        <v>7628</v>
      </c>
      <c r="AV284" s="8" t="s">
        <v>7629</v>
      </c>
      <c r="AW284" s="8"/>
      <c r="AX284" s="8"/>
      <c r="AY284" s="8" t="s">
        <v>7610</v>
      </c>
      <c r="AZ284" s="4" t="s">
        <v>7617</v>
      </c>
      <c r="BA284" s="8" t="n">
        <v>1000</v>
      </c>
      <c r="BB284" s="8" t="s">
        <v>7598</v>
      </c>
      <c r="BC284" s="4" t="s">
        <v>7604</v>
      </c>
      <c r="BD284" s="8" t="s">
        <v>7625</v>
      </c>
      <c r="BE284" s="4" t="s">
        <v>7606</v>
      </c>
      <c r="BF284" s="8" t="s">
        <v>7607</v>
      </c>
      <c r="BG284" s="8" t="s">
        <v>7631</v>
      </c>
      <c r="BH284" s="4" t="s">
        <v>7632</v>
      </c>
      <c r="BI284" s="8" t="n">
        <v>9</v>
      </c>
      <c r="BJ284" s="8" t="s">
        <v>7602</v>
      </c>
      <c r="BK284" s="4" t="s">
        <v>7653</v>
      </c>
      <c r="BL284" s="8" t="s">
        <v>7602</v>
      </c>
      <c r="BM284" s="4" t="s">
        <v>7620</v>
      </c>
      <c r="BN284" s="8"/>
      <c r="BO284" s="8"/>
      <c r="BP284" s="8" t="s">
        <v>7608</v>
      </c>
      <c r="BQ284" s="8" t="str">
        <f aca="false">IF(A284="","",AT284)</f>
        <v>3歳以上</v>
      </c>
      <c r="BR284" s="8" t="str">
        <f aca="false">IF(A284="","",IF(BA284&lt;=1200,"～1200",IF(BA284&lt;=1500,"1300～1500",IF(BA284=1600,"1600",IF(BA284&lt;=1800,"1700～1800",IF(BA284&lt;=2000,"1900～2000","2100以上"))))))</f>
        <v>～1200</v>
      </c>
      <c r="BS284" s="8" t="str">
        <f aca="false">IF(A284="","",IF(AX284="G1","G1",IF(AX284="G2","G2",IF(AX284="G3","G3",IF(AX284="L","L","その他")))))</f>
        <v>その他</v>
      </c>
      <c r="BT284" s="8" t="str">
        <f aca="false">IF(A284="","",IF(BI284="","未結合",IF(D284=BI284,"一致","不一致")))</f>
        <v>一致</v>
      </c>
      <c r="BU284" s="8" t="str">
        <f aca="false">IF(A284="","",IF(BE284="牝馬限定","牝馬限定","その他"))</f>
        <v>その他</v>
      </c>
    </row>
    <row r="285" customFormat="false" ht="15.75" hidden="false" customHeight="false" outlineLevel="0" collapsed="false">
      <c r="A285" s="3" t="n">
        <v>46208</v>
      </c>
      <c r="B285" s="4" t="s">
        <v>1237</v>
      </c>
      <c r="C285" s="8" t="n">
        <v>8</v>
      </c>
      <c r="D285" s="8" t="n">
        <v>8</v>
      </c>
      <c r="E285" s="8" t="n">
        <v>2</v>
      </c>
      <c r="F285" s="4" t="s">
        <v>3289</v>
      </c>
      <c r="G285" s="8" t="n">
        <v>65</v>
      </c>
      <c r="H285" s="8" t="n">
        <v>8</v>
      </c>
      <c r="I285" s="4" t="s">
        <v>3291</v>
      </c>
      <c r="J285" s="8" t="n">
        <v>60</v>
      </c>
      <c r="K285" s="8" t="n">
        <v>1</v>
      </c>
      <c r="L285" s="4" t="s">
        <v>419</v>
      </c>
      <c r="M285" s="8" t="n">
        <v>58</v>
      </c>
      <c r="N285" s="8" t="n">
        <f aca="false">IF(A285="","",G285-J285)</f>
        <v>5</v>
      </c>
      <c r="O285" s="8" t="n">
        <f aca="false">IF(A285="","",J285-M285)</f>
        <v>2</v>
      </c>
      <c r="P285" s="8" t="n">
        <f aca="false">IF(A285="","",G285+J285)</f>
        <v>125</v>
      </c>
      <c r="Q285" s="8" t="str">
        <f aca="false">IF(A285="","",IF(AND(Y285&lt;&gt;"参考",G285&gt;=ルール設定!$B$2),"○",""))</f>
        <v/>
      </c>
      <c r="R285" s="8" t="str">
        <f aca="false">IF(A285="","",IF(AND(Y285&lt;&gt;"参考",G285&gt;=ルール設定!$B$3,N285&gt;=ルール設定!$B$4),"○",""))</f>
        <v/>
      </c>
      <c r="S285" s="8" t="str">
        <f aca="false">IF(A285="","",IF(AND(Y285&lt;&gt;"参考",G285&gt;=ルール設定!$B$5,J285&gt;=ルール設定!$B$6,O285&gt;=ルール設定!$B$7),"○",""))</f>
        <v/>
      </c>
      <c r="T285" s="8" t="n">
        <v>2</v>
      </c>
      <c r="U285" s="8" t="n">
        <v>4</v>
      </c>
      <c r="V285" s="8" t="str">
        <f aca="false">IF(A285="","",IF(AND(ISNUMBER(T285),ISNUMBER(U285)),IF(AND(T285&lt;=3,U285&lt;=3),"○","×"),""))</f>
        <v>×</v>
      </c>
      <c r="W285" s="8" t="n">
        <v>140</v>
      </c>
      <c r="X285" s="8"/>
      <c r="Y285" s="4" t="s">
        <v>7597</v>
      </c>
      <c r="Z285" s="4" t="s">
        <v>7726</v>
      </c>
      <c r="AA285" s="8" t="str">
        <v/>
      </c>
      <c r="AB285" s="8" t="str">
        <v/>
      </c>
      <c r="AC285" s="8" t="str">
        <v/>
      </c>
      <c r="AD285" s="8" t="str">
        <v/>
      </c>
      <c r="AE285" s="8" t="str">
        <v/>
      </c>
      <c r="AF285" s="8" t="str">
        <v/>
      </c>
      <c r="AG285" s="8" t="str">
        <v/>
      </c>
      <c r="AH285" s="8" t="str">
        <v/>
      </c>
      <c r="AI285" s="8" t="n">
        <v>7</v>
      </c>
      <c r="AJ285" s="8" t="str">
        <v>60～69</v>
      </c>
      <c r="AK285" s="8" t="str">
        <v>5～9</v>
      </c>
      <c r="AL285" s="8" t="str">
        <v>0～9</v>
      </c>
      <c r="AM285" s="8" t="str">
        <v>120～139</v>
      </c>
      <c r="AN285" s="8" t="str">
        <v>8～11</v>
      </c>
      <c r="AO285" s="8" t="str">
        <f aca="false">IF(A285="","",IF(COUNTIFS(全馬データ!$A$2:$A$50000,A285,全馬データ!$B$2:$B$50000,B285,全馬データ!$C$2:$C$50000,C285,全馬データ!$D$2:$D$50000,E285,全馬データ!$K$2:$K$50000,"&lt;&gt;")=0,"",SUMIFS(全馬データ!$K$2:$K$50000,全馬データ!$A$2:$A$50000,A285,全馬データ!$B$2:$B$50000,B285,全馬データ!$C$2:$C$50000,C285,全馬データ!$D$2:$D$50000,E285)))</f>
        <v/>
      </c>
      <c r="AP285" s="8" t="str">
        <f aca="false">IF(A285="","",IF(AO285="","欠損",IF(AO285&lt;=1.1,"1.0～1.1",IF(AO285&lt;1.3,"1.2",IF(AO285&lt;1.5,"1.3～1.4",IF(AO285&lt;2,"1.5～1.9","2.0以上"))))))</f>
        <v>欠損</v>
      </c>
      <c r="AQ285" s="8" t="str">
        <f aca="false">IF(A285="","",IF(ISNUMBER(SEARCH("2歳",Z285)),"2歳戦",IF(ISNUMBER(SEARCH("3歳未勝利",Z285)),"3歳未勝利",IF(ISNUMBER(SEARCH("未勝利",Z285)),"その他未勝利",IF(ISNUMBER(SEARCH("G1",Z285)),"G1",IF(ISNUMBER(SEARCH("G2",Z285)),"G2",IF(ISNUMBER(SEARCH("G3",Z285)),"G3",IF(ISNUMBER(SEARCH("古馬条件",Z285)),"古馬条件戦",IF(ISNUMBER(SEARCH("重賞",Z285)),"重賞","分類不能")))))))))</f>
        <v>分類不能</v>
      </c>
      <c r="AR285" s="8"/>
      <c r="AS285" s="8" t="s">
        <v>7626</v>
      </c>
      <c r="AT285" s="8" t="s">
        <v>7627</v>
      </c>
      <c r="AU285" s="8" t="s">
        <v>7628</v>
      </c>
      <c r="AV285" s="8" t="s">
        <v>7629</v>
      </c>
      <c r="AW285" s="8"/>
      <c r="AX285" s="8"/>
      <c r="AY285" s="8" t="s">
        <v>7610</v>
      </c>
      <c r="AZ285" s="4" t="s">
        <v>7617</v>
      </c>
      <c r="BA285" s="8" t="n">
        <v>1700</v>
      </c>
      <c r="BB285" s="8" t="s">
        <v>7598</v>
      </c>
      <c r="BC285" s="4" t="s">
        <v>7604</v>
      </c>
      <c r="BD285" s="8" t="s">
        <v>7605</v>
      </c>
      <c r="BE285" s="4" t="s">
        <v>7606</v>
      </c>
      <c r="BF285" s="8" t="s">
        <v>7607</v>
      </c>
      <c r="BG285" s="8" t="s">
        <v>7631</v>
      </c>
      <c r="BH285" s="4" t="s">
        <v>7632</v>
      </c>
      <c r="BI285" s="8" t="n">
        <v>8</v>
      </c>
      <c r="BJ285" s="8" t="s">
        <v>7602</v>
      </c>
      <c r="BK285" s="4" t="s">
        <v>7653</v>
      </c>
      <c r="BL285" s="8" t="s">
        <v>7602</v>
      </c>
      <c r="BM285" s="4" t="s">
        <v>7620</v>
      </c>
      <c r="BN285" s="8"/>
      <c r="BO285" s="8"/>
      <c r="BP285" s="8" t="s">
        <v>7608</v>
      </c>
      <c r="BQ285" s="8" t="str">
        <f aca="false">IF(A285="","",AT285)</f>
        <v>3歳以上</v>
      </c>
      <c r="BR285" s="8" t="str">
        <f aca="false">IF(A285="","",IF(BA285&lt;=1200,"～1200",IF(BA285&lt;=1500,"1300～1500",IF(BA285=1600,"1600",IF(BA285&lt;=1800,"1700～1800",IF(BA285&lt;=2000,"1900～2000","2100以上"))))))</f>
        <v>1700～1800</v>
      </c>
      <c r="BS285" s="8" t="str">
        <f aca="false">IF(A285="","",IF(AX285="G1","G1",IF(AX285="G2","G2",IF(AX285="G3","G3",IF(AX285="L","L","その他")))))</f>
        <v>その他</v>
      </c>
      <c r="BT285" s="8" t="str">
        <f aca="false">IF(A285="","",IF(BI285="","未結合",IF(D285=BI285,"一致","不一致")))</f>
        <v>一致</v>
      </c>
      <c r="BU285" s="8" t="str">
        <f aca="false">IF(A285="","",IF(BE285="牝馬限定","牝馬限定","その他"))</f>
        <v>その他</v>
      </c>
    </row>
    <row r="286" customFormat="false" ht="15.75" hidden="false" customHeight="false" outlineLevel="0" collapsed="false">
      <c r="A286" s="3" t="n">
        <v>46208</v>
      </c>
      <c r="B286" s="4" t="s">
        <v>1237</v>
      </c>
      <c r="C286" s="8" t="n">
        <v>9</v>
      </c>
      <c r="D286" s="8" t="n">
        <v>16</v>
      </c>
      <c r="E286" s="8" t="n">
        <v>6</v>
      </c>
      <c r="F286" s="4" t="s">
        <v>1352</v>
      </c>
      <c r="G286" s="8" t="n">
        <v>60</v>
      </c>
      <c r="H286" s="8" t="n">
        <v>2</v>
      </c>
      <c r="I286" s="4" t="s">
        <v>3293</v>
      </c>
      <c r="J286" s="8" t="n">
        <v>39</v>
      </c>
      <c r="K286" s="8" t="n">
        <v>16</v>
      </c>
      <c r="L286" s="4" t="s">
        <v>3303</v>
      </c>
      <c r="M286" s="8" t="n">
        <v>37</v>
      </c>
      <c r="N286" s="8" t="n">
        <f aca="false">IF(A286="","",G286-J286)</f>
        <v>21</v>
      </c>
      <c r="O286" s="8" t="n">
        <f aca="false">IF(A286="","",J286-M286)</f>
        <v>2</v>
      </c>
      <c r="P286" s="8" t="n">
        <f aca="false">IF(A286="","",G286+J286)</f>
        <v>99</v>
      </c>
      <c r="Q286" s="8" t="str">
        <f aca="false">IF(A286="","",IF(AND(Y286&lt;&gt;"参考",G286&gt;=ルール設定!$B$2),"○",""))</f>
        <v/>
      </c>
      <c r="R286" s="8" t="str">
        <f aca="false">IF(A286="","",IF(AND(Y286&lt;&gt;"参考",G286&gt;=ルール設定!$B$3,N286&gt;=ルール設定!$B$4),"○",""))</f>
        <v/>
      </c>
      <c r="S286" s="8" t="str">
        <f aca="false">IF(A286="","",IF(AND(Y286&lt;&gt;"参考",G286&gt;=ルール設定!$B$5,J286&gt;=ルール設定!$B$6,O286&gt;=ルール設定!$B$7),"○",""))</f>
        <v/>
      </c>
      <c r="T286" s="8" t="n">
        <v>3</v>
      </c>
      <c r="U286" s="8" t="n">
        <v>4</v>
      </c>
      <c r="V286" s="8" t="str">
        <f aca="false">IF(A286="","",IF(AND(ISNUMBER(T286),ISNUMBER(U286)),IF(AND(T286&lt;=3,U286&lt;=3),"○","×"),""))</f>
        <v>×</v>
      </c>
      <c r="W286" s="8" t="n">
        <v>170</v>
      </c>
      <c r="X286" s="8"/>
      <c r="Y286" s="4" t="s">
        <v>7597</v>
      </c>
      <c r="Z286" s="4" t="s">
        <v>7726</v>
      </c>
      <c r="AA286" s="8" t="str">
        <v/>
      </c>
      <c r="AB286" s="8" t="str">
        <v/>
      </c>
      <c r="AC286" s="8" t="str">
        <v/>
      </c>
      <c r="AD286" s="8" t="str">
        <v/>
      </c>
      <c r="AE286" s="8" t="str">
        <v/>
      </c>
      <c r="AF286" s="8" t="str">
        <v/>
      </c>
      <c r="AG286" s="8" t="str">
        <v/>
      </c>
      <c r="AH286" s="8" t="str">
        <v/>
      </c>
      <c r="AI286" s="8" t="n">
        <v>23</v>
      </c>
      <c r="AJ286" s="8" t="str">
        <v>60～69</v>
      </c>
      <c r="AK286" s="8" t="str">
        <v>20～29</v>
      </c>
      <c r="AL286" s="8" t="str">
        <v>20～29</v>
      </c>
      <c r="AM286" s="8" t="str">
        <v>～99</v>
      </c>
      <c r="AN286" s="8" t="str">
        <v>15以上</v>
      </c>
      <c r="AO286" s="8" t="str">
        <f aca="false">IF(A286="","",IF(COUNTIFS(全馬データ!$A$2:$A$50000,A286,全馬データ!$B$2:$B$50000,B286,全馬データ!$C$2:$C$50000,C286,全馬データ!$D$2:$D$50000,E286,全馬データ!$K$2:$K$50000,"&lt;&gt;")=0,"",SUMIFS(全馬データ!$K$2:$K$50000,全馬データ!$A$2:$A$50000,A286,全馬データ!$B$2:$B$50000,B286,全馬データ!$C$2:$C$50000,C286,全馬データ!$D$2:$D$50000,E286)))</f>
        <v/>
      </c>
      <c r="AP286" s="8" t="str">
        <f aca="false">IF(A286="","",IF(AO286="","欠損",IF(AO286&lt;=1.1,"1.0～1.1",IF(AO286&lt;1.3,"1.2",IF(AO286&lt;1.5,"1.3～1.4",IF(AO286&lt;2,"1.5～1.9","2.0以上"))))))</f>
        <v>欠損</v>
      </c>
      <c r="AQ286" s="8" t="str">
        <f aca="false">IF(A286="","",IF(ISNUMBER(SEARCH("2歳",Z286)),"2歳戦",IF(ISNUMBER(SEARCH("3歳未勝利",Z286)),"3歳未勝利",IF(ISNUMBER(SEARCH("未勝利",Z286)),"その他未勝利",IF(ISNUMBER(SEARCH("G1",Z286)),"G1",IF(ISNUMBER(SEARCH("G2",Z286)),"G2",IF(ISNUMBER(SEARCH("G3",Z286)),"G3",IF(ISNUMBER(SEARCH("古馬条件",Z286)),"古馬条件戦",IF(ISNUMBER(SEARCH("重賞",Z286)),"重賞","分類不能")))))))))</f>
        <v>分類不能</v>
      </c>
      <c r="AR286" s="4" t="s">
        <v>7743</v>
      </c>
      <c r="AS286" s="8" t="s">
        <v>7626</v>
      </c>
      <c r="AT286" s="8" t="s">
        <v>7627</v>
      </c>
      <c r="AU286" s="8" t="s">
        <v>7634</v>
      </c>
      <c r="AV286" s="8" t="s">
        <v>7635</v>
      </c>
      <c r="AW286" s="8" t="s">
        <v>7636</v>
      </c>
      <c r="AX286" s="4" t="s">
        <v>7637</v>
      </c>
      <c r="AY286" s="8" t="s">
        <v>7602</v>
      </c>
      <c r="AZ286" s="4" t="s">
        <v>7603</v>
      </c>
      <c r="BA286" s="8" t="n">
        <v>1200</v>
      </c>
      <c r="BB286" s="8" t="s">
        <v>7598</v>
      </c>
      <c r="BC286" s="4" t="s">
        <v>7604</v>
      </c>
      <c r="BD286" s="8" t="s">
        <v>7621</v>
      </c>
      <c r="BE286" s="4" t="s">
        <v>7622</v>
      </c>
      <c r="BF286" s="8" t="s">
        <v>7602</v>
      </c>
      <c r="BG286" s="8" t="s">
        <v>7631</v>
      </c>
      <c r="BH286" s="4" t="s">
        <v>7632</v>
      </c>
      <c r="BI286" s="8" t="n">
        <v>16</v>
      </c>
      <c r="BJ286" s="8" t="s">
        <v>7602</v>
      </c>
      <c r="BK286" s="4" t="s">
        <v>7653</v>
      </c>
      <c r="BL286" s="8" t="s">
        <v>7602</v>
      </c>
      <c r="BM286" s="4" t="s">
        <v>7620</v>
      </c>
      <c r="BN286" s="8" t="s">
        <v>7602</v>
      </c>
      <c r="BO286" s="8" t="s">
        <v>7613</v>
      </c>
      <c r="BP286" s="8" t="s">
        <v>7608</v>
      </c>
      <c r="BQ286" s="8" t="str">
        <f aca="false">IF(A286="","",AT286)</f>
        <v>3歳以上</v>
      </c>
      <c r="BR286" s="8" t="str">
        <f aca="false">IF(A286="","",IF(BA286&lt;=1200,"～1200",IF(BA286&lt;=1500,"1300～1500",IF(BA286=1600,"1600",IF(BA286&lt;=1800,"1700～1800",IF(BA286&lt;=2000,"1900～2000","2100以上"))))))</f>
        <v>～1200</v>
      </c>
      <c r="BS286" s="8" t="str">
        <f aca="false">IF(A286="","",IF(AX286="G1","G1",IF(AX286="G2","G2",IF(AX286="G3","G3",IF(AX286="L","L","その他")))))</f>
        <v>その他</v>
      </c>
      <c r="BT286" s="8" t="str">
        <f aca="false">IF(A286="","",IF(BI286="","未結合",IF(D286=BI286,"一致","不一致")))</f>
        <v>一致</v>
      </c>
      <c r="BU286" s="8" t="str">
        <f aca="false">IF(A286="","",IF(BE286="牝馬限定","牝馬限定","その他"))</f>
        <v>牝馬限定</v>
      </c>
    </row>
    <row r="287" customFormat="false" ht="15.75" hidden="false" customHeight="false" outlineLevel="0" collapsed="false">
      <c r="A287" s="3" t="n">
        <v>46208</v>
      </c>
      <c r="B287" s="4" t="s">
        <v>1237</v>
      </c>
      <c r="C287" s="8" t="n">
        <v>10</v>
      </c>
      <c r="D287" s="8" t="n">
        <v>11</v>
      </c>
      <c r="E287" s="8" t="n">
        <v>1</v>
      </c>
      <c r="F287" s="4" t="s">
        <v>3304</v>
      </c>
      <c r="G287" s="8" t="n">
        <v>47</v>
      </c>
      <c r="H287" s="8" t="n">
        <v>8</v>
      </c>
      <c r="I287" s="4" t="s">
        <v>3308</v>
      </c>
      <c r="J287" s="8" t="n">
        <v>44</v>
      </c>
      <c r="K287" s="8" t="n">
        <v>7</v>
      </c>
      <c r="L287" s="4" t="s">
        <v>437</v>
      </c>
      <c r="M287" s="8" t="n">
        <v>39</v>
      </c>
      <c r="N287" s="8" t="n">
        <f aca="false">IF(A287="","",G287-J287)</f>
        <v>3</v>
      </c>
      <c r="O287" s="8" t="n">
        <f aca="false">IF(A287="","",J287-M287)</f>
        <v>5</v>
      </c>
      <c r="P287" s="8" t="n">
        <f aca="false">IF(A287="","",G287+J287)</f>
        <v>91</v>
      </c>
      <c r="Q287" s="8" t="str">
        <f aca="false">IF(A287="","",IF(AND(Y287&lt;&gt;"参考",G287&gt;=ルール設定!$B$2),"○",""))</f>
        <v/>
      </c>
      <c r="R287" s="8" t="str">
        <f aca="false">IF(A287="","",IF(AND(Y287&lt;&gt;"参考",G287&gt;=ルール設定!$B$3,N287&gt;=ルール設定!$B$4),"○",""))</f>
        <v/>
      </c>
      <c r="S287" s="8" t="str">
        <f aca="false">IF(A287="","",IF(AND(Y287&lt;&gt;"参考",G287&gt;=ルール設定!$B$5,J287&gt;=ルール設定!$B$6,O287&gt;=ルール設定!$B$7),"○",""))</f>
        <v/>
      </c>
      <c r="T287" s="8" t="n">
        <v>1</v>
      </c>
      <c r="U287" s="8" t="n">
        <v>4</v>
      </c>
      <c r="V287" s="8" t="str">
        <f aca="false">IF(A287="","",IF(AND(ISNUMBER(T287),ISNUMBER(U287)),IF(AND(T287&lt;=3,U287&lt;=3),"○","×"),""))</f>
        <v>×</v>
      </c>
      <c r="W287" s="8" t="n">
        <v>110</v>
      </c>
      <c r="X287" s="8"/>
      <c r="Y287" s="4" t="s">
        <v>7597</v>
      </c>
      <c r="Z287" s="4" t="s">
        <v>7726</v>
      </c>
      <c r="AA287" s="8" t="str">
        <v/>
      </c>
      <c r="AB287" s="8" t="str">
        <v/>
      </c>
      <c r="AC287" s="8" t="str">
        <v/>
      </c>
      <c r="AD287" s="8" t="str">
        <v/>
      </c>
      <c r="AE287" s="8" t="str">
        <v/>
      </c>
      <c r="AF287" s="8" t="str">
        <v/>
      </c>
      <c r="AG287" s="8" t="str">
        <v/>
      </c>
      <c r="AH287" s="8" t="str">
        <v/>
      </c>
      <c r="AI287" s="8" t="n">
        <v>8</v>
      </c>
      <c r="AJ287" s="8" t="str">
        <v>～59</v>
      </c>
      <c r="AK287" s="8" t="str">
        <v>0～4</v>
      </c>
      <c r="AL287" s="8" t="str">
        <v>0～9</v>
      </c>
      <c r="AM287" s="8" t="str">
        <v>～99</v>
      </c>
      <c r="AN287" s="8" t="str">
        <v>8～11</v>
      </c>
      <c r="AO287" s="8" t="str">
        <f aca="false">IF(A287="","",IF(COUNTIFS(全馬データ!$A$2:$A$50000,A287,全馬データ!$B$2:$B$50000,B287,全馬データ!$C$2:$C$50000,C287,全馬データ!$D$2:$D$50000,E287,全馬データ!$K$2:$K$50000,"&lt;&gt;")=0,"",SUMIFS(全馬データ!$K$2:$K$50000,全馬データ!$A$2:$A$50000,A287,全馬データ!$B$2:$B$50000,B287,全馬データ!$C$2:$C$50000,C287,全馬データ!$D$2:$D$50000,E287)))</f>
        <v/>
      </c>
      <c r="AP287" s="8" t="str">
        <f aca="false">IF(A287="","",IF(AO287="","欠損",IF(AO287&lt;=1.1,"1.0～1.1",IF(AO287&lt;1.3,"1.2",IF(AO287&lt;1.5,"1.3～1.4",IF(AO287&lt;2,"1.5～1.9","2.0以上"))))))</f>
        <v>欠損</v>
      </c>
      <c r="AQ287" s="8" t="str">
        <f aca="false">IF(A287="","",IF(ISNUMBER(SEARCH("2歳",Z287)),"2歳戦",IF(ISNUMBER(SEARCH("3歳未勝利",Z287)),"3歳未勝利",IF(ISNUMBER(SEARCH("未勝利",Z287)),"その他未勝利",IF(ISNUMBER(SEARCH("G1",Z287)),"G1",IF(ISNUMBER(SEARCH("G2",Z287)),"G2",IF(ISNUMBER(SEARCH("G3",Z287)),"G3",IF(ISNUMBER(SEARCH("古馬条件",Z287)),"古馬条件戦",IF(ISNUMBER(SEARCH("重賞",Z287)),"重賞","分類不能")))))))))</f>
        <v>分類不能</v>
      </c>
      <c r="AR287" s="4" t="s">
        <v>7744</v>
      </c>
      <c r="AS287" s="8" t="s">
        <v>7626</v>
      </c>
      <c r="AT287" s="8" t="s">
        <v>7627</v>
      </c>
      <c r="AU287" s="8" t="s">
        <v>7634</v>
      </c>
      <c r="AV287" s="8" t="s">
        <v>7635</v>
      </c>
      <c r="AW287" s="8" t="s">
        <v>7636</v>
      </c>
      <c r="AX287" s="4" t="s">
        <v>7637</v>
      </c>
      <c r="AY287" s="8" t="s">
        <v>7602</v>
      </c>
      <c r="AZ287" s="4" t="s">
        <v>7603</v>
      </c>
      <c r="BA287" s="8" t="n">
        <v>2600</v>
      </c>
      <c r="BB287" s="8" t="s">
        <v>7598</v>
      </c>
      <c r="BC287" s="4" t="s">
        <v>7604</v>
      </c>
      <c r="BD287" s="8" t="s">
        <v>7605</v>
      </c>
      <c r="BE287" s="4" t="s">
        <v>7606</v>
      </c>
      <c r="BF287" s="8" t="s">
        <v>7607</v>
      </c>
      <c r="BG287" s="8" t="s">
        <v>7602</v>
      </c>
      <c r="BH287" s="4" t="s">
        <v>7667</v>
      </c>
      <c r="BI287" s="8" t="n">
        <v>11</v>
      </c>
      <c r="BJ287" s="8" t="s">
        <v>7602</v>
      </c>
      <c r="BK287" s="4" t="s">
        <v>7653</v>
      </c>
      <c r="BL287" s="8" t="s">
        <v>7602</v>
      </c>
      <c r="BM287" s="4" t="s">
        <v>7620</v>
      </c>
      <c r="BN287" s="8" t="s">
        <v>7602</v>
      </c>
      <c r="BO287" s="8" t="s">
        <v>7613</v>
      </c>
      <c r="BP287" s="8" t="s">
        <v>7608</v>
      </c>
      <c r="BQ287" s="8" t="str">
        <f aca="false">IF(A287="","",AT287)</f>
        <v>3歳以上</v>
      </c>
      <c r="BR287" s="8" t="str">
        <f aca="false">IF(A287="","",IF(BA287&lt;=1200,"～1200",IF(BA287&lt;=1500,"1300～1500",IF(BA287=1600,"1600",IF(BA287&lt;=1800,"1700～1800",IF(BA287&lt;=2000,"1900～2000","2100以上"))))))</f>
        <v>2100以上</v>
      </c>
      <c r="BS287" s="8" t="str">
        <f aca="false">IF(A287="","",IF(AX287="G1","G1",IF(AX287="G2","G2",IF(AX287="G3","G3",IF(AX287="L","L","その他")))))</f>
        <v>その他</v>
      </c>
      <c r="BT287" s="8" t="str">
        <f aca="false">IF(A287="","",IF(BI287="","未結合",IF(D287=BI287,"一致","不一致")))</f>
        <v>一致</v>
      </c>
      <c r="BU287" s="8" t="str">
        <f aca="false">IF(A287="","",IF(BE287="牝馬限定","牝馬限定","その他"))</f>
        <v>その他</v>
      </c>
    </row>
    <row r="288" customFormat="false" ht="15.75" hidden="false" customHeight="false" outlineLevel="0" collapsed="false">
      <c r="A288" s="3" t="n">
        <v>46208</v>
      </c>
      <c r="B288" s="4" t="s">
        <v>1237</v>
      </c>
      <c r="C288" s="8" t="n">
        <v>11</v>
      </c>
      <c r="D288" s="8" t="n">
        <v>11</v>
      </c>
      <c r="E288" s="8" t="n">
        <v>2</v>
      </c>
      <c r="F288" s="4" t="s">
        <v>1365</v>
      </c>
      <c r="G288" s="8" t="n">
        <v>56</v>
      </c>
      <c r="H288" s="8" t="n">
        <v>4</v>
      </c>
      <c r="I288" s="4" t="s">
        <v>3310</v>
      </c>
      <c r="J288" s="8" t="n">
        <v>47</v>
      </c>
      <c r="K288" s="8" t="n">
        <v>9</v>
      </c>
      <c r="L288" s="4" t="s">
        <v>3311</v>
      </c>
      <c r="M288" s="8" t="n">
        <v>47</v>
      </c>
      <c r="N288" s="8" t="n">
        <f aca="false">IF(A288="","",G288-J288)</f>
        <v>9</v>
      </c>
      <c r="O288" s="8" t="n">
        <f aca="false">IF(A288="","",J288-M288)</f>
        <v>0</v>
      </c>
      <c r="P288" s="8" t="n">
        <f aca="false">IF(A288="","",G288+J288)</f>
        <v>103</v>
      </c>
      <c r="Q288" s="8" t="str">
        <f aca="false">IF(A288="","",IF(AND(Y288&lt;&gt;"参考",G288&gt;=ルール設定!$B$2),"○",""))</f>
        <v/>
      </c>
      <c r="R288" s="8" t="str">
        <f aca="false">IF(A288="","",IF(AND(Y288&lt;&gt;"参考",G288&gt;=ルール設定!$B$3,N288&gt;=ルール設定!$B$4),"○",""))</f>
        <v/>
      </c>
      <c r="S288" s="8" t="str">
        <f aca="false">IF(A288="","",IF(AND(Y288&lt;&gt;"参考",G288&gt;=ルール設定!$B$5,J288&gt;=ルール設定!$B$6,O288&gt;=ルール設定!$B$7),"○",""))</f>
        <v/>
      </c>
      <c r="T288" s="8" t="n">
        <v>4</v>
      </c>
      <c r="U288" s="8" t="n">
        <v>4</v>
      </c>
      <c r="V288" s="8" t="str">
        <f aca="false">IF(A288="","",IF(AND(ISNUMBER(T288),ISNUMBER(U288)),IF(AND(T288&lt;=3,U288&lt;=3),"○","×"),""))</f>
        <v>×</v>
      </c>
      <c r="W288" s="8"/>
      <c r="X288" s="8"/>
      <c r="Y288" s="4" t="s">
        <v>7597</v>
      </c>
      <c r="Z288" s="4" t="s">
        <v>7726</v>
      </c>
      <c r="AA288" s="8" t="str">
        <v/>
      </c>
      <c r="AB288" s="8" t="str">
        <v/>
      </c>
      <c r="AC288" s="8" t="str">
        <v/>
      </c>
      <c r="AD288" s="8" t="str">
        <v/>
      </c>
      <c r="AE288" s="8" t="str">
        <v/>
      </c>
      <c r="AF288" s="8" t="str">
        <v/>
      </c>
      <c r="AG288" s="8" t="str">
        <v/>
      </c>
      <c r="AH288" s="8" t="str">
        <v/>
      </c>
      <c r="AI288" s="8" t="n">
        <v>9</v>
      </c>
      <c r="AJ288" s="8" t="str">
        <v>～59</v>
      </c>
      <c r="AK288" s="8" t="str">
        <v>5～9</v>
      </c>
      <c r="AL288" s="8" t="str">
        <v>0～9</v>
      </c>
      <c r="AM288" s="8" t="str">
        <v>100～119</v>
      </c>
      <c r="AN288" s="8" t="str">
        <v>8～11</v>
      </c>
      <c r="AO288" s="8" t="str">
        <f aca="false">IF(A288="","",IF(COUNTIFS(全馬データ!$A$2:$A$50000,A288,全馬データ!$B$2:$B$50000,B288,全馬データ!$C$2:$C$50000,C288,全馬データ!$D$2:$D$50000,E288,全馬データ!$K$2:$K$50000,"&lt;&gt;")=0,"",SUMIFS(全馬データ!$K$2:$K$50000,全馬データ!$A$2:$A$50000,A288,全馬データ!$B$2:$B$50000,B288,全馬データ!$C$2:$C$50000,C288,全馬データ!$D$2:$D$50000,E288)))</f>
        <v/>
      </c>
      <c r="AP288" s="8" t="str">
        <f aca="false">IF(A288="","",IF(AO288="","欠損",IF(AO288&lt;=1.1,"1.0～1.1",IF(AO288&lt;1.3,"1.2",IF(AO288&lt;1.5,"1.3～1.4",IF(AO288&lt;2,"1.5～1.9","2.0以上"))))))</f>
        <v>欠損</v>
      </c>
      <c r="AQ288" s="8" t="str">
        <f aca="false">IF(A288="","",IF(ISNUMBER(SEARCH("2歳",Z288)),"2歳戦",IF(ISNUMBER(SEARCH("3歳未勝利",Z288)),"3歳未勝利",IF(ISNUMBER(SEARCH("未勝利",Z288)),"その他未勝利",IF(ISNUMBER(SEARCH("G1",Z288)),"G1",IF(ISNUMBER(SEARCH("G2",Z288)),"G2",IF(ISNUMBER(SEARCH("G3",Z288)),"G3",IF(ISNUMBER(SEARCH("古馬条件",Z288)),"古馬条件戦",IF(ISNUMBER(SEARCH("重賞",Z288)),"重賞","分類不能")))))))))</f>
        <v>分類不能</v>
      </c>
      <c r="AR288" s="4" t="s">
        <v>7745</v>
      </c>
      <c r="AS288" s="8" t="s">
        <v>7626</v>
      </c>
      <c r="AT288" s="8" t="s">
        <v>7627</v>
      </c>
      <c r="AU288" s="8" t="s">
        <v>7643</v>
      </c>
      <c r="AV288" s="4" t="s">
        <v>7644</v>
      </c>
      <c r="AW288" s="8" t="s">
        <v>7676</v>
      </c>
      <c r="AX288" s="8" t="s">
        <v>7677</v>
      </c>
      <c r="AY288" s="8" t="s">
        <v>7610</v>
      </c>
      <c r="AZ288" s="4" t="s">
        <v>7617</v>
      </c>
      <c r="BA288" s="8" t="n">
        <v>1700</v>
      </c>
      <c r="BB288" s="8" t="s">
        <v>7598</v>
      </c>
      <c r="BC288" s="4" t="s">
        <v>7604</v>
      </c>
      <c r="BD288" s="8" t="s">
        <v>7666</v>
      </c>
      <c r="BE288" s="4" t="s">
        <v>7606</v>
      </c>
      <c r="BF288" s="8" t="s">
        <v>7607</v>
      </c>
      <c r="BG288" s="8" t="s">
        <v>7610</v>
      </c>
      <c r="BH288" s="4" t="s">
        <v>7646</v>
      </c>
      <c r="BI288" s="8" t="n">
        <v>11</v>
      </c>
      <c r="BJ288" s="8" t="s">
        <v>7602</v>
      </c>
      <c r="BK288" s="4" t="s">
        <v>7653</v>
      </c>
      <c r="BL288" s="8" t="s">
        <v>7602</v>
      </c>
      <c r="BM288" s="4" t="s">
        <v>7620</v>
      </c>
      <c r="BN288" s="8"/>
      <c r="BO288" s="8"/>
      <c r="BP288" s="8" t="s">
        <v>7608</v>
      </c>
      <c r="BQ288" s="8" t="str">
        <f aca="false">IF(A288="","",AT288)</f>
        <v>3歳以上</v>
      </c>
      <c r="BR288" s="8" t="str">
        <f aca="false">IF(A288="","",IF(BA288&lt;=1200,"～1200",IF(BA288&lt;=1500,"1300～1500",IF(BA288=1600,"1600",IF(BA288&lt;=1800,"1700～1800",IF(BA288&lt;=2000,"1900～2000","2100以上"))))))</f>
        <v>1700～1800</v>
      </c>
      <c r="BS288" s="8" t="str">
        <f aca="false">IF(A288="","",IF(AX288="G1","G1",IF(AX288="G2","G2",IF(AX288="G3","G3",IF(AX288="L","L","その他")))))</f>
        <v>L</v>
      </c>
      <c r="BT288" s="8" t="str">
        <f aca="false">IF(A288="","",IF(BI288="","未結合",IF(D288=BI288,"一致","不一致")))</f>
        <v>一致</v>
      </c>
      <c r="BU288" s="8" t="str">
        <f aca="false">IF(A288="","",IF(BE288="牝馬限定","牝馬限定","その他"))</f>
        <v>その他</v>
      </c>
    </row>
    <row r="289" customFormat="false" ht="15.75" hidden="false" customHeight="false" outlineLevel="0" collapsed="false">
      <c r="A289" s="3" t="n">
        <v>46208</v>
      </c>
      <c r="B289" s="4" t="s">
        <v>1237</v>
      </c>
      <c r="C289" s="8" t="n">
        <v>12</v>
      </c>
      <c r="D289" s="8" t="n">
        <v>10</v>
      </c>
      <c r="E289" s="8" t="n">
        <v>4</v>
      </c>
      <c r="F289" s="4" t="s">
        <v>3314</v>
      </c>
      <c r="G289" s="8" t="n">
        <v>60</v>
      </c>
      <c r="H289" s="8" t="n">
        <v>6</v>
      </c>
      <c r="I289" s="4" t="s">
        <v>3315</v>
      </c>
      <c r="J289" s="8" t="n">
        <v>41</v>
      </c>
      <c r="K289" s="8" t="n">
        <v>7</v>
      </c>
      <c r="L289" s="4" t="s">
        <v>1374</v>
      </c>
      <c r="M289" s="8" t="n">
        <v>39</v>
      </c>
      <c r="N289" s="8" t="n">
        <f aca="false">IF(A289="","",G289-J289)</f>
        <v>19</v>
      </c>
      <c r="O289" s="8" t="n">
        <f aca="false">IF(A289="","",J289-M289)</f>
        <v>2</v>
      </c>
      <c r="P289" s="8" t="n">
        <f aca="false">IF(A289="","",G289+J289)</f>
        <v>101</v>
      </c>
      <c r="Q289" s="8" t="str">
        <f aca="false">IF(A289="","",IF(AND(Y289&lt;&gt;"参考",G289&gt;=ルール設定!$B$2),"○",""))</f>
        <v/>
      </c>
      <c r="R289" s="8" t="str">
        <f aca="false">IF(A289="","",IF(AND(Y289&lt;&gt;"参考",G289&gt;=ルール設定!$B$3,N289&gt;=ルール設定!$B$4),"○",""))</f>
        <v/>
      </c>
      <c r="S289" s="8" t="str">
        <f aca="false">IF(A289="","",IF(AND(Y289&lt;&gt;"参考",G289&gt;=ルール設定!$B$5,J289&gt;=ルール設定!$B$6,O289&gt;=ルール設定!$B$7),"○",""))</f>
        <v/>
      </c>
      <c r="T289" s="8" t="n">
        <v>1</v>
      </c>
      <c r="U289" s="8" t="n">
        <v>4</v>
      </c>
      <c r="V289" s="8" t="str">
        <f aca="false">IF(A289="","",IF(AND(ISNUMBER(T289),ISNUMBER(U289)),IF(AND(T289&lt;=3,U289&lt;=3),"○","×"),""))</f>
        <v>×</v>
      </c>
      <c r="W289" s="8" t="n">
        <v>110</v>
      </c>
      <c r="X289" s="8"/>
      <c r="Y289" s="4" t="s">
        <v>7597</v>
      </c>
      <c r="Z289" s="4" t="s">
        <v>7726</v>
      </c>
      <c r="AA289" s="8" t="str">
        <v/>
      </c>
      <c r="AB289" s="8" t="str">
        <v/>
      </c>
      <c r="AC289" s="8" t="str">
        <v/>
      </c>
      <c r="AD289" s="8" t="str">
        <v/>
      </c>
      <c r="AE289" s="8" t="str">
        <v/>
      </c>
      <c r="AF289" s="8" t="str">
        <v/>
      </c>
      <c r="AG289" s="8" t="str">
        <v/>
      </c>
      <c r="AH289" s="8" t="str">
        <v/>
      </c>
      <c r="AI289" s="8" t="n">
        <v>21</v>
      </c>
      <c r="AJ289" s="8" t="str">
        <v>60～69</v>
      </c>
      <c r="AK289" s="8" t="str">
        <v>10～19</v>
      </c>
      <c r="AL289" s="8" t="str">
        <v>20～29</v>
      </c>
      <c r="AM289" s="8" t="str">
        <v>100～119</v>
      </c>
      <c r="AN289" s="8" t="str">
        <v>8～11</v>
      </c>
      <c r="AO289" s="8" t="str">
        <f aca="false">IF(A289="","",IF(COUNTIFS(全馬データ!$A$2:$A$50000,A289,全馬データ!$B$2:$B$50000,B289,全馬データ!$C$2:$C$50000,C289,全馬データ!$D$2:$D$50000,E289,全馬データ!$K$2:$K$50000,"&lt;&gt;")=0,"",SUMIFS(全馬データ!$K$2:$K$50000,全馬データ!$A$2:$A$50000,A289,全馬データ!$B$2:$B$50000,B289,全馬データ!$C$2:$C$50000,C289,全馬データ!$D$2:$D$50000,E289)))</f>
        <v/>
      </c>
      <c r="AP289" s="8" t="str">
        <f aca="false">IF(A289="","",IF(AO289="","欠損",IF(AO289&lt;=1.1,"1.0～1.1",IF(AO289&lt;1.3,"1.2",IF(AO289&lt;1.5,"1.3～1.4",IF(AO289&lt;2,"1.5～1.9","2.0以上"))))))</f>
        <v>欠損</v>
      </c>
      <c r="AQ289" s="8" t="str">
        <f aca="false">IF(A289="","",IF(ISNUMBER(SEARCH("2歳",Z289)),"2歳戦",IF(ISNUMBER(SEARCH("3歳未勝利",Z289)),"3歳未勝利",IF(ISNUMBER(SEARCH("未勝利",Z289)),"その他未勝利",IF(ISNUMBER(SEARCH("G1",Z289)),"G1",IF(ISNUMBER(SEARCH("G2",Z289)),"G2",IF(ISNUMBER(SEARCH("G3",Z289)),"G3",IF(ISNUMBER(SEARCH("古馬条件",Z289)),"古馬条件戦",IF(ISNUMBER(SEARCH("重賞",Z289)),"重賞","分類不能")))))))))</f>
        <v>分類不能</v>
      </c>
      <c r="AR289" s="8"/>
      <c r="AS289" s="8" t="s">
        <v>7626</v>
      </c>
      <c r="AT289" s="8" t="s">
        <v>7627</v>
      </c>
      <c r="AU289" s="8" t="s">
        <v>7628</v>
      </c>
      <c r="AV289" s="8" t="s">
        <v>7629</v>
      </c>
      <c r="AW289" s="8"/>
      <c r="AX289" s="8"/>
      <c r="AY289" s="8" t="s">
        <v>7602</v>
      </c>
      <c r="AZ289" s="4" t="s">
        <v>7603</v>
      </c>
      <c r="BA289" s="8" t="n">
        <v>1200</v>
      </c>
      <c r="BB289" s="8" t="s">
        <v>7598</v>
      </c>
      <c r="BC289" s="4" t="s">
        <v>7604</v>
      </c>
      <c r="BD289" s="8" t="s">
        <v>7605</v>
      </c>
      <c r="BE289" s="4" t="s">
        <v>7606</v>
      </c>
      <c r="BF289" s="8" t="s">
        <v>7607</v>
      </c>
      <c r="BG289" s="8" t="s">
        <v>7631</v>
      </c>
      <c r="BH289" s="4" t="s">
        <v>7632</v>
      </c>
      <c r="BI289" s="8" t="n">
        <v>10</v>
      </c>
      <c r="BJ289" s="8" t="s">
        <v>7602</v>
      </c>
      <c r="BK289" s="4" t="s">
        <v>7653</v>
      </c>
      <c r="BL289" s="8" t="s">
        <v>7602</v>
      </c>
      <c r="BM289" s="4" t="s">
        <v>7620</v>
      </c>
      <c r="BN289" s="8" t="s">
        <v>7602</v>
      </c>
      <c r="BO289" s="8" t="s">
        <v>7613</v>
      </c>
      <c r="BP289" s="8" t="s">
        <v>7608</v>
      </c>
      <c r="BQ289" s="8" t="str">
        <f aca="false">IF(A289="","",AT289)</f>
        <v>3歳以上</v>
      </c>
      <c r="BR289" s="8" t="str">
        <f aca="false">IF(A289="","",IF(BA289&lt;=1200,"～1200",IF(BA289&lt;=1500,"1300～1500",IF(BA289=1600,"1600",IF(BA289&lt;=1800,"1700～1800",IF(BA289&lt;=2000,"1900～2000","2100以上"))))))</f>
        <v>～1200</v>
      </c>
      <c r="BS289" s="8" t="str">
        <f aca="false">IF(A289="","",IF(AX289="G1","G1",IF(AX289="G2","G2",IF(AX289="G3","G3",IF(AX289="L","L","その他")))))</f>
        <v>その他</v>
      </c>
      <c r="BT289" s="8" t="str">
        <f aca="false">IF(A289="","",IF(BI289="","未結合",IF(D289=BI289,"一致","不一致")))</f>
        <v>一致</v>
      </c>
      <c r="BU289" s="8" t="str">
        <f aca="false">IF(A289="","",IF(BE289="牝馬限定","牝馬限定","その他"))</f>
        <v>その他</v>
      </c>
    </row>
    <row r="290" customFormat="false" ht="15.75" hidden="false" customHeight="false" outlineLevel="0" collapsed="false">
      <c r="A290" s="6" t="n">
        <v>46200</v>
      </c>
      <c r="B290" s="4" t="s">
        <v>915</v>
      </c>
      <c r="C290" s="8" t="n">
        <v>1</v>
      </c>
      <c r="D290" s="8" t="n">
        <v>14</v>
      </c>
      <c r="E290" s="8" t="n">
        <v>13</v>
      </c>
      <c r="F290" s="4" t="s">
        <v>4271</v>
      </c>
      <c r="G290" s="8" t="n">
        <v>55</v>
      </c>
      <c r="H290" s="8" t="n">
        <v>5</v>
      </c>
      <c r="I290" s="4" t="s">
        <v>4267</v>
      </c>
      <c r="J290" s="8" t="n">
        <v>44</v>
      </c>
      <c r="K290" s="8" t="n">
        <v>4</v>
      </c>
      <c r="L290" s="4" t="s">
        <v>585</v>
      </c>
      <c r="M290" s="8" t="n">
        <v>37</v>
      </c>
      <c r="N290" s="8" t="n">
        <v>11</v>
      </c>
      <c r="O290" s="8" t="n">
        <v>7</v>
      </c>
      <c r="P290" s="8" t="n">
        <v>99</v>
      </c>
      <c r="Q290" s="8" t="str">
        <f aca="false">IF(A290="","",IF(AND(Y290&lt;&gt;"参考",G290&gt;=ルール設定!$B$2),"○",""))</f>
        <v/>
      </c>
      <c r="R290" s="8" t="str">
        <f aca="false">IF(A290="","",IF(AND(Y290&lt;&gt;"参考",G290&gt;=ルール設定!$B$3,N290&gt;=ルール設定!$B$4),"○",""))</f>
        <v/>
      </c>
      <c r="S290" s="8" t="str">
        <f aca="false">IF(A290="","",IF(AND(Y290&lt;&gt;"参考",G290&gt;=ルール設定!$B$5,J290&gt;=ルール設定!$B$6,O290&gt;=ルール設定!$B$7),"○",""))</f>
        <v/>
      </c>
      <c r="T290" s="8"/>
      <c r="U290" s="8" t="n">
        <v>1</v>
      </c>
      <c r="V290" s="8" t="str">
        <f aca="false">IF(A290="","",IF(AND(ISNUMBER(T290),ISNUMBER(U290)),IF(AND(T290&lt;=3,U290&lt;=3),"○","×"),""))</f>
        <v/>
      </c>
      <c r="W290" s="8"/>
      <c r="X290" s="8"/>
      <c r="Y290" s="4" t="s">
        <v>7597</v>
      </c>
      <c r="Z290" s="4" t="s">
        <v>7726</v>
      </c>
      <c r="AA290" s="8" t="str">
        <v/>
      </c>
      <c r="AB290" s="8" t="str">
        <v/>
      </c>
      <c r="AC290" s="8" t="str">
        <v/>
      </c>
      <c r="AD290" s="8" t="str">
        <v/>
      </c>
      <c r="AE290" s="8" t="str">
        <v/>
      </c>
      <c r="AF290" s="8" t="str">
        <v/>
      </c>
      <c r="AG290" s="8" t="str">
        <v/>
      </c>
      <c r="AH290" s="8" t="str">
        <v/>
      </c>
      <c r="AI290" s="8" t="n">
        <v>18</v>
      </c>
      <c r="AJ290" s="8" t="str">
        <v>～59</v>
      </c>
      <c r="AK290" s="8" t="str">
        <v>10～19</v>
      </c>
      <c r="AL290" s="8" t="str">
        <v>10～19</v>
      </c>
      <c r="AM290" s="8" t="str">
        <v>～99</v>
      </c>
      <c r="AN290" s="8" t="str">
        <v>12～14</v>
      </c>
      <c r="AO290" s="8" t="str">
        <f aca="false">IF(A290="","",IF(COUNTIFS(全馬データ!$A$2:$A$50000,A290,全馬データ!$B$2:$B$50000,B290,全馬データ!$C$2:$C$50000,C290,全馬データ!$D$2:$D$50000,E290,全馬データ!$K$2:$K$50000,"&lt;&gt;")=0,"",SUMIFS(全馬データ!$K$2:$K$50000,全馬データ!$A$2:$A$50000,A290,全馬データ!$B$2:$B$50000,B290,全馬データ!$C$2:$C$50000,C290,全馬データ!$D$2:$D$50000,E290)))</f>
        <v/>
      </c>
      <c r="AP290" s="8" t="str">
        <f aca="false">IF(A290="","",IF(AO290="","欠損",IF(AO290&lt;=1.1,"1.0～1.1",IF(AO290&lt;1.3,"1.2",IF(AO290&lt;1.5,"1.3～1.4",IF(AO290&lt;2,"1.5～1.9","2.0以上"))))))</f>
        <v>欠損</v>
      </c>
      <c r="AQ290" s="8" t="str">
        <f aca="false">IF(A290="","",IF(ISNUMBER(SEARCH("2歳",Z290)),"2歳戦",IF(ISNUMBER(SEARCH("3歳未勝利",Z290)),"3歳未勝利",IF(ISNUMBER(SEARCH("未勝利",Z290)),"その他未勝利",IF(ISNUMBER(SEARCH("G1",Z290)),"G1",IF(ISNUMBER(SEARCH("G2",Z290)),"G2",IF(ISNUMBER(SEARCH("G3",Z290)),"G3",IF(ISNUMBER(SEARCH("古馬条件",Z290)),"古馬条件戦",IF(ISNUMBER(SEARCH("重賞",Z290)),"重賞","分類不能")))))))))</f>
        <v>分類不能</v>
      </c>
      <c r="AR290" s="8"/>
      <c r="AS290" s="8" t="s">
        <v>7618</v>
      </c>
      <c r="AT290" s="4" t="s">
        <v>7642</v>
      </c>
      <c r="AU290" s="8" t="s">
        <v>7600</v>
      </c>
      <c r="AV290" s="4" t="s">
        <v>7601</v>
      </c>
      <c r="AW290" s="8"/>
      <c r="AX290" s="8"/>
      <c r="AY290" s="8" t="s">
        <v>7608</v>
      </c>
      <c r="AZ290" s="4" t="s">
        <v>7642</v>
      </c>
      <c r="BA290" s="8" t="n">
        <v>2750</v>
      </c>
      <c r="BB290" s="8" t="s">
        <v>7618</v>
      </c>
      <c r="BC290" s="4" t="s">
        <v>7619</v>
      </c>
      <c r="BD290" s="8" t="s">
        <v>7645</v>
      </c>
      <c r="BE290" s="4" t="s">
        <v>7606</v>
      </c>
      <c r="BF290" s="8" t="s">
        <v>7607</v>
      </c>
      <c r="BG290" s="8" t="s">
        <v>7631</v>
      </c>
      <c r="BH290" s="4" t="s">
        <v>7632</v>
      </c>
      <c r="BI290" s="8" t="n">
        <v>14</v>
      </c>
      <c r="BJ290" s="8" t="s">
        <v>7647</v>
      </c>
      <c r="BK290" s="4" t="s">
        <v>7648</v>
      </c>
      <c r="BL290" s="8" t="s">
        <v>7647</v>
      </c>
      <c r="BM290" s="4" t="s">
        <v>7648</v>
      </c>
      <c r="BN290" s="8"/>
      <c r="BO290" s="8"/>
      <c r="BP290" s="8" t="s">
        <v>7602</v>
      </c>
      <c r="BQ290" s="8" t="str">
        <f aca="false">IF(A290="","",AT290)</f>
        <v>障害</v>
      </c>
      <c r="BR290" s="8" t="str">
        <f aca="false">IF(A290="","",IF(BA290&lt;=1200,"～1200",IF(BA290&lt;=1500,"1300～1500",IF(BA290=1600,"1600",IF(BA290&lt;=1800,"1700～1800",IF(BA290&lt;=2000,"1900～2000","2100以上"))))))</f>
        <v>2100以上</v>
      </c>
      <c r="BS290" s="8" t="str">
        <f aca="false">IF(A290="","",IF(AX290="G1","G1",IF(AX290="G2","G2",IF(AX290="G3","G3",IF(AX290="L","L","その他")))))</f>
        <v>その他</v>
      </c>
      <c r="BT290" s="8" t="str">
        <f aca="false">IF(A290="","",IF(BI290="","未結合",IF(D290=BI290,"一致","不一致")))</f>
        <v>一致</v>
      </c>
      <c r="BU290" s="8" t="str">
        <f aca="false">IF(A290="","",IF(BE290="牝馬限定","牝馬限定","その他"))</f>
        <v>その他</v>
      </c>
    </row>
    <row r="291" customFormat="false" ht="15.75" hidden="false" customHeight="false" outlineLevel="0" collapsed="false">
      <c r="A291" s="6" t="n">
        <v>46200</v>
      </c>
      <c r="B291" s="4" t="s">
        <v>915</v>
      </c>
      <c r="C291" s="8" t="n">
        <v>2</v>
      </c>
      <c r="D291" s="8" t="n">
        <v>15</v>
      </c>
      <c r="E291" s="8" t="n">
        <v>14</v>
      </c>
      <c r="F291" s="4" t="s">
        <v>986</v>
      </c>
      <c r="G291" s="8" t="n">
        <v>65</v>
      </c>
      <c r="H291" s="8" t="n">
        <v>3</v>
      </c>
      <c r="I291" s="4" t="s">
        <v>356</v>
      </c>
      <c r="J291" s="8" t="n">
        <v>50</v>
      </c>
      <c r="K291" s="8" t="n">
        <v>15</v>
      </c>
      <c r="L291" s="4" t="s">
        <v>4280</v>
      </c>
      <c r="M291" s="8" t="n">
        <v>44</v>
      </c>
      <c r="N291" s="8" t="n">
        <v>15</v>
      </c>
      <c r="O291" s="8" t="n">
        <v>6</v>
      </c>
      <c r="P291" s="8" t="n">
        <v>115</v>
      </c>
      <c r="Q291" s="8" t="str">
        <f aca="false">IF(A291="","",IF(AND(Y291&lt;&gt;"参考",G291&gt;=ルール設定!$B$2),"○",""))</f>
        <v/>
      </c>
      <c r="R291" s="8" t="str">
        <f aca="false">IF(A291="","",IF(AND(Y291&lt;&gt;"参考",G291&gt;=ルール設定!$B$3,N291&gt;=ルール設定!$B$4),"○",""))</f>
        <v/>
      </c>
      <c r="S291" s="8" t="str">
        <f aca="false">IF(A291="","",IF(AND(Y291&lt;&gt;"参考",G291&gt;=ルール設定!$B$5,J291&gt;=ルール設定!$B$6,O291&gt;=ルール設定!$B$7),"○",""))</f>
        <v/>
      </c>
      <c r="T291" s="8" t="n">
        <v>2</v>
      </c>
      <c r="U291" s="8" t="n">
        <v>4</v>
      </c>
      <c r="V291" s="8" t="str">
        <f aca="false">IF(A291="","",IF(AND(ISNUMBER(T291),ISNUMBER(U291)),IF(AND(T291&lt;=3,U291&lt;=3),"○","×"),""))</f>
        <v>×</v>
      </c>
      <c r="W291" s="8" t="n">
        <v>130</v>
      </c>
      <c r="X291" s="8"/>
      <c r="Y291" s="4" t="s">
        <v>7597</v>
      </c>
      <c r="Z291" s="4" t="s">
        <v>7726</v>
      </c>
      <c r="AA291" s="8" t="str">
        <v/>
      </c>
      <c r="AB291" s="8" t="str">
        <v/>
      </c>
      <c r="AC291" s="8" t="str">
        <v/>
      </c>
      <c r="AD291" s="8" t="str">
        <v/>
      </c>
      <c r="AE291" s="8" t="str">
        <v/>
      </c>
      <c r="AF291" s="8" t="str">
        <v/>
      </c>
      <c r="AG291" s="8" t="str">
        <v/>
      </c>
      <c r="AH291" s="8" t="str">
        <v/>
      </c>
      <c r="AI291" s="8" t="n">
        <v>21</v>
      </c>
      <c r="AJ291" s="8" t="str">
        <v>60～69</v>
      </c>
      <c r="AK291" s="8" t="str">
        <v>10～19</v>
      </c>
      <c r="AL291" s="8" t="str">
        <v>20～29</v>
      </c>
      <c r="AM291" s="8" t="str">
        <v>100～119</v>
      </c>
      <c r="AN291" s="8" t="str">
        <v>15以上</v>
      </c>
      <c r="AO291" s="8" t="str">
        <f aca="false">IF(A291="","",IF(COUNTIFS(全馬データ!$A$2:$A$50000,A291,全馬データ!$B$2:$B$50000,B291,全馬データ!$C$2:$C$50000,C291,全馬データ!$D$2:$D$50000,E291,全馬データ!$K$2:$K$50000,"&lt;&gt;")=0,"",SUMIFS(全馬データ!$K$2:$K$50000,全馬データ!$A$2:$A$50000,A291,全馬データ!$B$2:$B$50000,B291,全馬データ!$C$2:$C$50000,C291,全馬データ!$D$2:$D$50000,E291)))</f>
        <v/>
      </c>
      <c r="AP291" s="8" t="str">
        <f aca="false">IF(A291="","",IF(AO291="","欠損",IF(AO291&lt;=1.1,"1.0～1.1",IF(AO291&lt;1.3,"1.2",IF(AO291&lt;1.5,"1.3～1.4",IF(AO291&lt;2,"1.5～1.9","2.0以上"))))))</f>
        <v>欠損</v>
      </c>
      <c r="AQ291" s="8" t="str">
        <f aca="false">IF(A291="","",IF(ISNUMBER(SEARCH("2歳",Z291)),"2歳戦",IF(ISNUMBER(SEARCH("3歳未勝利",Z291)),"3歳未勝利",IF(ISNUMBER(SEARCH("未勝利",Z291)),"その他未勝利",IF(ISNUMBER(SEARCH("G1",Z291)),"G1",IF(ISNUMBER(SEARCH("G2",Z291)),"G2",IF(ISNUMBER(SEARCH("G3",Z291)),"G3",IF(ISNUMBER(SEARCH("古馬条件",Z291)),"古馬条件戦",IF(ISNUMBER(SEARCH("重賞",Z291)),"重賞","分類不能")))))))))</f>
        <v>分類不能</v>
      </c>
      <c r="AR291" s="8"/>
      <c r="AS291" s="8" t="s">
        <v>7623</v>
      </c>
      <c r="AT291" s="8" t="s">
        <v>7624</v>
      </c>
      <c r="AU291" s="8" t="s">
        <v>7600</v>
      </c>
      <c r="AV291" s="4" t="s">
        <v>7601</v>
      </c>
      <c r="AW291" s="8"/>
      <c r="AX291" s="8"/>
      <c r="AY291" s="8" t="s">
        <v>7610</v>
      </c>
      <c r="AZ291" s="4" t="s">
        <v>7617</v>
      </c>
      <c r="BA291" s="8" t="n">
        <v>1700</v>
      </c>
      <c r="BB291" s="8" t="s">
        <v>7659</v>
      </c>
      <c r="BC291" s="4" t="s">
        <v>7619</v>
      </c>
      <c r="BD291" s="8" t="s">
        <v>7625</v>
      </c>
      <c r="BE291" s="4" t="s">
        <v>7606</v>
      </c>
      <c r="BF291" s="8" t="s">
        <v>7607</v>
      </c>
      <c r="BG291" s="8" t="s">
        <v>7608</v>
      </c>
      <c r="BH291" s="4" t="s">
        <v>7609</v>
      </c>
      <c r="BI291" s="8" t="n">
        <v>15</v>
      </c>
      <c r="BJ291" s="8" t="s">
        <v>7602</v>
      </c>
      <c r="BK291" s="4" t="s">
        <v>7653</v>
      </c>
      <c r="BL291" s="8" t="s">
        <v>7602</v>
      </c>
      <c r="BM291" s="4" t="s">
        <v>7620</v>
      </c>
      <c r="BN291" s="8"/>
      <c r="BO291" s="8"/>
      <c r="BP291" s="8" t="s">
        <v>7602</v>
      </c>
      <c r="BQ291" s="8" t="str">
        <f aca="false">IF(A291="","",AT291)</f>
        <v>3歳</v>
      </c>
      <c r="BR291" s="8" t="str">
        <f aca="false">IF(A291="","",IF(BA291&lt;=1200,"～1200",IF(BA291&lt;=1500,"1300～1500",IF(BA291=1600,"1600",IF(BA291&lt;=1800,"1700～1800",IF(BA291&lt;=2000,"1900～2000","2100以上"))))))</f>
        <v>1700～1800</v>
      </c>
      <c r="BS291" s="8" t="str">
        <f aca="false">IF(A291="","",IF(AX291="G1","G1",IF(AX291="G2","G2",IF(AX291="G3","G3",IF(AX291="L","L","その他")))))</f>
        <v>その他</v>
      </c>
      <c r="BT291" s="8" t="str">
        <f aca="false">IF(A291="","",IF(BI291="","未結合",IF(D291=BI291,"一致","不一致")))</f>
        <v>一致</v>
      </c>
      <c r="BU291" s="8" t="str">
        <f aca="false">IF(A291="","",IF(BE291="牝馬限定","牝馬限定","その他"))</f>
        <v>その他</v>
      </c>
    </row>
    <row r="292" customFormat="false" ht="15.75" hidden="false" customHeight="false" outlineLevel="0" collapsed="false">
      <c r="A292" s="6" t="n">
        <v>46200</v>
      </c>
      <c r="B292" s="4" t="s">
        <v>915</v>
      </c>
      <c r="C292" s="8" t="n">
        <v>3</v>
      </c>
      <c r="D292" s="8" t="n">
        <v>15</v>
      </c>
      <c r="E292" s="8" t="n">
        <v>9</v>
      </c>
      <c r="F292" s="4" t="s">
        <v>4286</v>
      </c>
      <c r="G292" s="8" t="n">
        <v>60</v>
      </c>
      <c r="H292" s="8" t="n">
        <v>12</v>
      </c>
      <c r="I292" s="4" t="s">
        <v>4289</v>
      </c>
      <c r="J292" s="8" t="n">
        <v>52</v>
      </c>
      <c r="K292" s="8" t="n">
        <v>10</v>
      </c>
      <c r="L292" s="4" t="s">
        <v>4287</v>
      </c>
      <c r="M292" s="8" t="n">
        <v>44</v>
      </c>
      <c r="N292" s="8" t="n">
        <v>8</v>
      </c>
      <c r="O292" s="8" t="n">
        <v>8</v>
      </c>
      <c r="P292" s="8" t="n">
        <v>112</v>
      </c>
      <c r="Q292" s="8" t="str">
        <f aca="false">IF(A292="","",IF(AND(Y292&lt;&gt;"参考",G292&gt;=ルール設定!$B$2),"○",""))</f>
        <v/>
      </c>
      <c r="R292" s="8" t="str">
        <f aca="false">IF(A292="","",IF(AND(Y292&lt;&gt;"参考",G292&gt;=ルール設定!$B$3,N292&gt;=ルール設定!$B$4),"○",""))</f>
        <v/>
      </c>
      <c r="S292" s="8" t="str">
        <f aca="false">IF(A292="","",IF(AND(Y292&lt;&gt;"参考",G292&gt;=ルール設定!$B$5,J292&gt;=ルール設定!$B$6,O292&gt;=ルール設定!$B$7),"○",""))</f>
        <v/>
      </c>
      <c r="T292" s="8" t="n">
        <v>4</v>
      </c>
      <c r="U292" s="8" t="n">
        <v>4</v>
      </c>
      <c r="V292" s="8" t="str">
        <f aca="false">IF(A292="","",IF(AND(ISNUMBER(T292),ISNUMBER(U292)),IF(AND(T292&lt;=3,U292&lt;=3),"○","×"),""))</f>
        <v>×</v>
      </c>
      <c r="W292" s="8"/>
      <c r="X292" s="8"/>
      <c r="Y292" s="4" t="s">
        <v>7597</v>
      </c>
      <c r="Z292" s="4" t="s">
        <v>7726</v>
      </c>
      <c r="AA292" s="8" t="str">
        <v/>
      </c>
      <c r="AB292" s="8" t="str">
        <v/>
      </c>
      <c r="AC292" s="8" t="str">
        <v/>
      </c>
      <c r="AD292" s="8" t="str">
        <v/>
      </c>
      <c r="AE292" s="8" t="str">
        <v/>
      </c>
      <c r="AF292" s="8" t="str">
        <v/>
      </c>
      <c r="AG292" s="8" t="str">
        <v/>
      </c>
      <c r="AH292" s="8" t="str">
        <v/>
      </c>
      <c r="AI292" s="8" t="n">
        <v>16</v>
      </c>
      <c r="AJ292" s="8" t="str">
        <v>60～69</v>
      </c>
      <c r="AK292" s="8" t="str">
        <v>5～9</v>
      </c>
      <c r="AL292" s="8" t="str">
        <v>10～19</v>
      </c>
      <c r="AM292" s="8" t="str">
        <v>100～119</v>
      </c>
      <c r="AN292" s="8" t="str">
        <v>15以上</v>
      </c>
      <c r="AO292" s="8" t="str">
        <f aca="false">IF(A292="","",IF(COUNTIFS(全馬データ!$A$2:$A$50000,A292,全馬データ!$B$2:$B$50000,B292,全馬データ!$C$2:$C$50000,C292,全馬データ!$D$2:$D$50000,E292,全馬データ!$K$2:$K$50000,"&lt;&gt;")=0,"",SUMIFS(全馬データ!$K$2:$K$50000,全馬データ!$A$2:$A$50000,A292,全馬データ!$B$2:$B$50000,B292,全馬データ!$C$2:$C$50000,C292,全馬データ!$D$2:$D$50000,E292)))</f>
        <v/>
      </c>
      <c r="AP292" s="8" t="str">
        <f aca="false">IF(A292="","",IF(AO292="","欠損",IF(AO292&lt;=1.1,"1.0～1.1",IF(AO292&lt;1.3,"1.2",IF(AO292&lt;1.5,"1.3～1.4",IF(AO292&lt;2,"1.5～1.9","2.0以上"))))))</f>
        <v>欠損</v>
      </c>
      <c r="AQ292" s="8" t="str">
        <f aca="false">IF(A292="","",IF(ISNUMBER(SEARCH("2歳",Z292)),"2歳戦",IF(ISNUMBER(SEARCH("3歳未勝利",Z292)),"3歳未勝利",IF(ISNUMBER(SEARCH("未勝利",Z292)),"その他未勝利",IF(ISNUMBER(SEARCH("G1",Z292)),"G1",IF(ISNUMBER(SEARCH("G2",Z292)),"G2",IF(ISNUMBER(SEARCH("G3",Z292)),"G3",IF(ISNUMBER(SEARCH("古馬条件",Z292)),"古馬条件戦",IF(ISNUMBER(SEARCH("重賞",Z292)),"重賞","分類不能")))))))))</f>
        <v>分類不能</v>
      </c>
      <c r="AR292" s="8"/>
      <c r="AS292" s="8" t="s">
        <v>7626</v>
      </c>
      <c r="AT292" s="8" t="s">
        <v>7627</v>
      </c>
      <c r="AU292" s="8" t="s">
        <v>7628</v>
      </c>
      <c r="AV292" s="8" t="s">
        <v>7629</v>
      </c>
      <c r="AW292" s="8"/>
      <c r="AX292" s="8"/>
      <c r="AY292" s="8" t="s">
        <v>7610</v>
      </c>
      <c r="AZ292" s="4" t="s">
        <v>7617</v>
      </c>
      <c r="BA292" s="8" t="n">
        <v>1700</v>
      </c>
      <c r="BB292" s="8" t="s">
        <v>7659</v>
      </c>
      <c r="BC292" s="4" t="s">
        <v>7619</v>
      </c>
      <c r="BD292" s="8" t="s">
        <v>7605</v>
      </c>
      <c r="BE292" s="4" t="s">
        <v>7606</v>
      </c>
      <c r="BF292" s="8" t="s">
        <v>7607</v>
      </c>
      <c r="BG292" s="8" t="s">
        <v>7631</v>
      </c>
      <c r="BH292" s="4" t="s">
        <v>7632</v>
      </c>
      <c r="BI292" s="8" t="n">
        <v>15</v>
      </c>
      <c r="BJ292" s="8" t="s">
        <v>7602</v>
      </c>
      <c r="BK292" s="4" t="s">
        <v>7653</v>
      </c>
      <c r="BL292" s="8" t="s">
        <v>7602</v>
      </c>
      <c r="BM292" s="4" t="s">
        <v>7620</v>
      </c>
      <c r="BN292" s="8"/>
      <c r="BO292" s="8"/>
      <c r="BP292" s="8" t="s">
        <v>7602</v>
      </c>
      <c r="BQ292" s="8" t="str">
        <f aca="false">IF(A292="","",AT292)</f>
        <v>3歳以上</v>
      </c>
      <c r="BR292" s="8" t="str">
        <f aca="false">IF(A292="","",IF(BA292&lt;=1200,"～1200",IF(BA292&lt;=1500,"1300～1500",IF(BA292=1600,"1600",IF(BA292&lt;=1800,"1700～1800",IF(BA292&lt;=2000,"1900～2000","2100以上"))))))</f>
        <v>1700～1800</v>
      </c>
      <c r="BS292" s="8" t="str">
        <f aca="false">IF(A292="","",IF(AX292="G1","G1",IF(AX292="G2","G2",IF(AX292="G3","G3",IF(AX292="L","L","その他")))))</f>
        <v>その他</v>
      </c>
      <c r="BT292" s="8" t="str">
        <f aca="false">IF(A292="","",IF(BI292="","未結合",IF(D292=BI292,"一致","不一致")))</f>
        <v>一致</v>
      </c>
      <c r="BU292" s="8" t="str">
        <f aca="false">IF(A292="","",IF(BE292="牝馬限定","牝馬限定","その他"))</f>
        <v>その他</v>
      </c>
    </row>
    <row r="293" customFormat="false" ht="15.75" hidden="false" customHeight="false" outlineLevel="0" collapsed="false">
      <c r="A293" s="6" t="n">
        <v>46200</v>
      </c>
      <c r="B293" s="4" t="s">
        <v>915</v>
      </c>
      <c r="C293" s="8" t="n">
        <v>4</v>
      </c>
      <c r="D293" s="8" t="n">
        <v>10</v>
      </c>
      <c r="E293" s="8" t="n">
        <v>2</v>
      </c>
      <c r="F293" s="4" t="s">
        <v>4293</v>
      </c>
      <c r="G293" s="8" t="n">
        <v>55</v>
      </c>
      <c r="H293" s="8" t="n">
        <v>1</v>
      </c>
      <c r="I293" s="4" t="s">
        <v>4292</v>
      </c>
      <c r="J293" s="8" t="n">
        <v>44</v>
      </c>
      <c r="K293" s="8" t="n">
        <v>3</v>
      </c>
      <c r="L293" s="4" t="s">
        <v>4294</v>
      </c>
      <c r="M293" s="8" t="n">
        <v>37</v>
      </c>
      <c r="N293" s="8" t="n">
        <v>11</v>
      </c>
      <c r="O293" s="8" t="n">
        <v>7</v>
      </c>
      <c r="P293" s="8" t="n">
        <v>99</v>
      </c>
      <c r="Q293" s="8" t="str">
        <f aca="false">IF(A293="","",IF(AND(Y293&lt;&gt;"参考",G293&gt;=ルール設定!$B$2),"○",""))</f>
        <v/>
      </c>
      <c r="R293" s="8" t="str">
        <f aca="false">IF(A293="","",IF(AND(Y293&lt;&gt;"参考",G293&gt;=ルール設定!$B$3,N293&gt;=ルール設定!$B$4),"○",""))</f>
        <v/>
      </c>
      <c r="S293" s="8" t="str">
        <f aca="false">IF(A293="","",IF(AND(Y293&lt;&gt;"参考",G293&gt;=ルール設定!$B$5,J293&gt;=ルール設定!$B$6,O293&gt;=ルール設定!$B$7),"○",""))</f>
        <v/>
      </c>
      <c r="T293" s="8" t="n">
        <v>3</v>
      </c>
      <c r="U293" s="8" t="n">
        <v>4</v>
      </c>
      <c r="V293" s="8" t="str">
        <f aca="false">IF(A293="","",IF(AND(ISNUMBER(T293),ISNUMBER(U293)),IF(AND(T293&lt;=3,U293&lt;=3),"○","×"),""))</f>
        <v>×</v>
      </c>
      <c r="W293" s="8" t="n">
        <v>140</v>
      </c>
      <c r="X293" s="8"/>
      <c r="Y293" s="4" t="s">
        <v>7597</v>
      </c>
      <c r="Z293" s="4" t="s">
        <v>7726</v>
      </c>
      <c r="AA293" s="8" t="str">
        <v/>
      </c>
      <c r="AB293" s="8" t="str">
        <v/>
      </c>
      <c r="AC293" s="8" t="str">
        <v/>
      </c>
      <c r="AD293" s="8" t="str">
        <v/>
      </c>
      <c r="AE293" s="8" t="str">
        <v/>
      </c>
      <c r="AF293" s="8" t="str">
        <v/>
      </c>
      <c r="AG293" s="8" t="str">
        <v/>
      </c>
      <c r="AH293" s="8" t="str">
        <v/>
      </c>
      <c r="AI293" s="8" t="n">
        <v>18</v>
      </c>
      <c r="AJ293" s="8" t="str">
        <v>～59</v>
      </c>
      <c r="AK293" s="8" t="str">
        <v>10～19</v>
      </c>
      <c r="AL293" s="8" t="str">
        <v>10～19</v>
      </c>
      <c r="AM293" s="8" t="str">
        <v>～99</v>
      </c>
      <c r="AN293" s="8" t="str">
        <v>8～11</v>
      </c>
      <c r="AO293" s="8" t="str">
        <f aca="false">IF(A293="","",IF(COUNTIFS(全馬データ!$A$2:$A$50000,A293,全馬データ!$B$2:$B$50000,B293,全馬データ!$C$2:$C$50000,C293,全馬データ!$D$2:$D$50000,E293,全馬データ!$K$2:$K$50000,"&lt;&gt;")=0,"",SUMIFS(全馬データ!$K$2:$K$50000,全馬データ!$A$2:$A$50000,A293,全馬データ!$B$2:$B$50000,B293,全馬データ!$C$2:$C$50000,C293,全馬データ!$D$2:$D$50000,E293)))</f>
        <v/>
      </c>
      <c r="AP293" s="8" t="str">
        <f aca="false">IF(A293="","",IF(AO293="","欠損",IF(AO293&lt;=1.1,"1.0～1.1",IF(AO293&lt;1.3,"1.2",IF(AO293&lt;1.5,"1.3～1.4",IF(AO293&lt;2,"1.5～1.9","2.0以上"))))))</f>
        <v>欠損</v>
      </c>
      <c r="AQ293" s="8" t="str">
        <f aca="false">IF(A293="","",IF(ISNUMBER(SEARCH("2歳",Z293)),"2歳戦",IF(ISNUMBER(SEARCH("3歳未勝利",Z293)),"3歳未勝利",IF(ISNUMBER(SEARCH("未勝利",Z293)),"その他未勝利",IF(ISNUMBER(SEARCH("G1",Z293)),"G1",IF(ISNUMBER(SEARCH("G2",Z293)),"G2",IF(ISNUMBER(SEARCH("G3",Z293)),"G3",IF(ISNUMBER(SEARCH("古馬条件",Z293)),"古馬条件戦",IF(ISNUMBER(SEARCH("重賞",Z293)),"重賞","分類不能")))))))))</f>
        <v>分類不能</v>
      </c>
      <c r="AR293" s="8"/>
      <c r="AS293" s="8" t="s">
        <v>7618</v>
      </c>
      <c r="AT293" s="4" t="s">
        <v>7642</v>
      </c>
      <c r="AU293" s="8" t="s">
        <v>7643</v>
      </c>
      <c r="AV293" s="4" t="s">
        <v>7644</v>
      </c>
      <c r="AW293" s="8"/>
      <c r="AX293" s="8"/>
      <c r="AY293" s="8" t="s">
        <v>7608</v>
      </c>
      <c r="AZ293" s="4" t="s">
        <v>7642</v>
      </c>
      <c r="BA293" s="8" t="n">
        <v>2750</v>
      </c>
      <c r="BB293" s="8" t="s">
        <v>7618</v>
      </c>
      <c r="BC293" s="4" t="s">
        <v>7619</v>
      </c>
      <c r="BD293" s="8" t="s">
        <v>7645</v>
      </c>
      <c r="BE293" s="4" t="s">
        <v>7606</v>
      </c>
      <c r="BF293" s="8" t="s">
        <v>7607</v>
      </c>
      <c r="BG293" s="8" t="s">
        <v>7610</v>
      </c>
      <c r="BH293" s="4" t="s">
        <v>7646</v>
      </c>
      <c r="BI293" s="8" t="n">
        <v>10</v>
      </c>
      <c r="BJ293" s="8" t="s">
        <v>7647</v>
      </c>
      <c r="BK293" s="4" t="s">
        <v>7648</v>
      </c>
      <c r="BL293" s="8" t="s">
        <v>7647</v>
      </c>
      <c r="BM293" s="4" t="s">
        <v>7648</v>
      </c>
      <c r="BN293" s="8"/>
      <c r="BO293" s="8"/>
      <c r="BP293" s="8" t="s">
        <v>7602</v>
      </c>
      <c r="BQ293" s="8" t="str">
        <f aca="false">IF(A293="","",AT293)</f>
        <v>障害</v>
      </c>
      <c r="BR293" s="8" t="str">
        <f aca="false">IF(A293="","",IF(BA293&lt;=1200,"～1200",IF(BA293&lt;=1500,"1300～1500",IF(BA293=1600,"1600",IF(BA293&lt;=1800,"1700～1800",IF(BA293&lt;=2000,"1900～2000","2100以上"))))))</f>
        <v>2100以上</v>
      </c>
      <c r="BS293" s="8" t="str">
        <f aca="false">IF(A293="","",IF(AX293="G1","G1",IF(AX293="G2","G2",IF(AX293="G3","G3",IF(AX293="L","L","その他")))))</f>
        <v>その他</v>
      </c>
      <c r="BT293" s="8" t="str">
        <f aca="false">IF(A293="","",IF(BI293="","未結合",IF(D293=BI293,"一致","不一致")))</f>
        <v>一致</v>
      </c>
      <c r="BU293" s="8" t="str">
        <f aca="false">IF(A293="","",IF(BE293="牝馬限定","牝馬限定","その他"))</f>
        <v>その他</v>
      </c>
    </row>
    <row r="294" customFormat="false" ht="15.75" hidden="false" customHeight="false" outlineLevel="0" collapsed="false">
      <c r="A294" s="6" t="n">
        <v>46200</v>
      </c>
      <c r="B294" s="4" t="s">
        <v>915</v>
      </c>
      <c r="C294" s="8" t="n">
        <v>5</v>
      </c>
      <c r="D294" s="8" t="n">
        <v>11</v>
      </c>
      <c r="E294" s="8" t="n">
        <v>3</v>
      </c>
      <c r="F294" s="4" t="s">
        <v>4301</v>
      </c>
      <c r="G294" s="8" t="n">
        <v>37</v>
      </c>
      <c r="H294" s="8" t="n">
        <v>1</v>
      </c>
      <c r="I294" s="4" t="s">
        <v>3698</v>
      </c>
      <c r="J294" s="8" t="n">
        <v>27</v>
      </c>
      <c r="K294" s="8" t="n">
        <v>6</v>
      </c>
      <c r="L294" s="4" t="s">
        <v>921</v>
      </c>
      <c r="M294" s="8" t="n">
        <v>24</v>
      </c>
      <c r="N294" s="8" t="n">
        <v>10</v>
      </c>
      <c r="O294" s="8" t="n">
        <v>3</v>
      </c>
      <c r="P294" s="8" t="n">
        <v>64</v>
      </c>
      <c r="Q294" s="8" t="str">
        <f aca="false">IF(A294="","",IF(AND(Y294&lt;&gt;"参考",G294&gt;=ルール設定!$B$2),"○",""))</f>
        <v/>
      </c>
      <c r="R294" s="8" t="str">
        <f aca="false">IF(A294="","",IF(AND(Y294&lt;&gt;"参考",G294&gt;=ルール設定!$B$3,N294&gt;=ルール設定!$B$4),"○",""))</f>
        <v/>
      </c>
      <c r="S294" s="8" t="str">
        <f aca="false">IF(A294="","",IF(AND(Y294&lt;&gt;"参考",G294&gt;=ルール設定!$B$5,J294&gt;=ルール設定!$B$6,O294&gt;=ルール設定!$B$7),"○",""))</f>
        <v/>
      </c>
      <c r="T294" s="8" t="n">
        <v>1</v>
      </c>
      <c r="U294" s="8" t="n">
        <v>4</v>
      </c>
      <c r="V294" s="8" t="str">
        <f aca="false">IF(A294="","",IF(AND(ISNUMBER(T294),ISNUMBER(U294)),IF(AND(T294&lt;=3,U294&lt;=3),"○","×"),""))</f>
        <v>×</v>
      </c>
      <c r="W294" s="8" t="n">
        <v>110</v>
      </c>
      <c r="X294" s="8"/>
      <c r="Y294" s="4" t="s">
        <v>7597</v>
      </c>
      <c r="Z294" s="4" t="s">
        <v>7726</v>
      </c>
      <c r="AA294" s="8" t="str">
        <v/>
      </c>
      <c r="AB294" s="8" t="str">
        <v/>
      </c>
      <c r="AC294" s="8" t="str">
        <v/>
      </c>
      <c r="AD294" s="8" t="str">
        <v/>
      </c>
      <c r="AE294" s="8" t="str">
        <v/>
      </c>
      <c r="AF294" s="8" t="str">
        <v/>
      </c>
      <c r="AG294" s="8" t="str">
        <v/>
      </c>
      <c r="AH294" s="8" t="str">
        <v/>
      </c>
      <c r="AI294" s="8" t="n">
        <v>13</v>
      </c>
      <c r="AJ294" s="8" t="str">
        <v>～59</v>
      </c>
      <c r="AK294" s="8" t="str">
        <v>10～19</v>
      </c>
      <c r="AL294" s="8" t="str">
        <v>10～19</v>
      </c>
      <c r="AM294" s="8" t="str">
        <v>～99</v>
      </c>
      <c r="AN294" s="8" t="str">
        <v>8～11</v>
      </c>
      <c r="AO294" s="8" t="str">
        <f aca="false">IF(A294="","",IF(COUNTIFS(全馬データ!$A$2:$A$50000,A294,全馬データ!$B$2:$B$50000,B294,全馬データ!$C$2:$C$50000,C294,全馬データ!$D$2:$D$50000,E294,全馬データ!$K$2:$K$50000,"&lt;&gt;")=0,"",SUMIFS(全馬データ!$K$2:$K$50000,全馬データ!$A$2:$A$50000,A294,全馬データ!$B$2:$B$50000,B294,全馬データ!$C$2:$C$50000,C294,全馬データ!$D$2:$D$50000,E294)))</f>
        <v/>
      </c>
      <c r="AP294" s="8" t="str">
        <f aca="false">IF(A294="","",IF(AO294="","欠損",IF(AO294&lt;=1.1,"1.0～1.1",IF(AO294&lt;1.3,"1.2",IF(AO294&lt;1.5,"1.3～1.4",IF(AO294&lt;2,"1.5～1.9","2.0以上"))))))</f>
        <v>欠損</v>
      </c>
      <c r="AQ294" s="8" t="str">
        <f aca="false">IF(A294="","",IF(ISNUMBER(SEARCH("2歳",Z294)),"2歳戦",IF(ISNUMBER(SEARCH("3歳未勝利",Z294)),"3歳未勝利",IF(ISNUMBER(SEARCH("未勝利",Z294)),"その他未勝利",IF(ISNUMBER(SEARCH("G1",Z294)),"G1",IF(ISNUMBER(SEARCH("G2",Z294)),"G2",IF(ISNUMBER(SEARCH("G3",Z294)),"G3",IF(ISNUMBER(SEARCH("古馬条件",Z294)),"古馬条件戦",IF(ISNUMBER(SEARCH("重賞",Z294)),"重賞","分類不能")))))))))</f>
        <v>分類不能</v>
      </c>
      <c r="AR294" s="8"/>
      <c r="AS294" s="8" t="s">
        <v>7598</v>
      </c>
      <c r="AT294" s="8" t="s">
        <v>7599</v>
      </c>
      <c r="AU294" s="8" t="s">
        <v>7615</v>
      </c>
      <c r="AV294" s="4" t="s">
        <v>7616</v>
      </c>
      <c r="AW294" s="8"/>
      <c r="AX294" s="8"/>
      <c r="AY294" s="8" t="s">
        <v>7602</v>
      </c>
      <c r="AZ294" s="4" t="s">
        <v>7603</v>
      </c>
      <c r="BA294" s="8" t="n">
        <v>1200</v>
      </c>
      <c r="BB294" s="8" t="s">
        <v>7598</v>
      </c>
      <c r="BC294" s="4" t="s">
        <v>7604</v>
      </c>
      <c r="BD294" s="8" t="s">
        <v>7605</v>
      </c>
      <c r="BE294" s="4" t="s">
        <v>7606</v>
      </c>
      <c r="BF294" s="8" t="s">
        <v>7607</v>
      </c>
      <c r="BG294" s="8" t="s">
        <v>7608</v>
      </c>
      <c r="BH294" s="4" t="s">
        <v>7609</v>
      </c>
      <c r="BI294" s="8" t="n">
        <v>11</v>
      </c>
      <c r="BJ294" s="8" t="s">
        <v>7602</v>
      </c>
      <c r="BK294" s="4" t="s">
        <v>7653</v>
      </c>
      <c r="BL294" s="8" t="s">
        <v>7602</v>
      </c>
      <c r="BM294" s="4" t="s">
        <v>7620</v>
      </c>
      <c r="BN294" s="8" t="s">
        <v>7602</v>
      </c>
      <c r="BO294" s="8" t="s">
        <v>7613</v>
      </c>
      <c r="BP294" s="8" t="s">
        <v>7602</v>
      </c>
      <c r="BQ294" s="8" t="str">
        <f aca="false">IF(A294="","",AT294)</f>
        <v>2歳</v>
      </c>
      <c r="BR294" s="8" t="str">
        <f aca="false">IF(A294="","",IF(BA294&lt;=1200,"～1200",IF(BA294&lt;=1500,"1300～1500",IF(BA294=1600,"1600",IF(BA294&lt;=1800,"1700～1800",IF(BA294&lt;=2000,"1900～2000","2100以上"))))))</f>
        <v>～1200</v>
      </c>
      <c r="BS294" s="8" t="str">
        <f aca="false">IF(A294="","",IF(AX294="G1","G1",IF(AX294="G2","G2",IF(AX294="G3","G3",IF(AX294="L","L","その他")))))</f>
        <v>その他</v>
      </c>
      <c r="BT294" s="8" t="str">
        <f aca="false">IF(A294="","",IF(BI294="","未結合",IF(D294=BI294,"一致","不一致")))</f>
        <v>一致</v>
      </c>
      <c r="BU294" s="8" t="str">
        <f aca="false">IF(A294="","",IF(BE294="牝馬限定","牝馬限定","その他"))</f>
        <v>その他</v>
      </c>
    </row>
    <row r="295" customFormat="false" ht="15.75" hidden="false" customHeight="false" outlineLevel="0" collapsed="false">
      <c r="A295" s="6" t="n">
        <v>46200</v>
      </c>
      <c r="B295" s="4" t="s">
        <v>915</v>
      </c>
      <c r="C295" s="8" t="n">
        <v>6</v>
      </c>
      <c r="D295" s="8" t="n">
        <v>10</v>
      </c>
      <c r="E295" s="8" t="n">
        <v>2</v>
      </c>
      <c r="F295" s="4" t="s">
        <v>4305</v>
      </c>
      <c r="G295" s="8" t="n">
        <v>37</v>
      </c>
      <c r="H295" s="8" t="n">
        <v>5</v>
      </c>
      <c r="I295" s="4" t="s">
        <v>185</v>
      </c>
      <c r="J295" s="8" t="n">
        <v>37</v>
      </c>
      <c r="K295" s="8" t="n">
        <v>4</v>
      </c>
      <c r="L295" s="4" t="s">
        <v>4307</v>
      </c>
      <c r="M295" s="8" t="n">
        <v>31</v>
      </c>
      <c r="N295" s="8" t="n">
        <v>0</v>
      </c>
      <c r="O295" s="8" t="n">
        <v>6</v>
      </c>
      <c r="P295" s="8" t="n">
        <v>74</v>
      </c>
      <c r="Q295" s="8" t="str">
        <f aca="false">IF(A295="","",IF(AND(Y295&lt;&gt;"参考",G295&gt;=ルール設定!$B$2),"○",""))</f>
        <v/>
      </c>
      <c r="R295" s="8" t="str">
        <f aca="false">IF(A295="","",IF(AND(Y295&lt;&gt;"参考",G295&gt;=ルール設定!$B$3,N295&gt;=ルール設定!$B$4),"○",""))</f>
        <v/>
      </c>
      <c r="S295" s="8" t="str">
        <f aca="false">IF(A295="","",IF(AND(Y295&lt;&gt;"参考",G295&gt;=ルール設定!$B$5,J295&gt;=ルール設定!$B$6,O295&gt;=ルール設定!$B$7),"○",""))</f>
        <v/>
      </c>
      <c r="T295" s="8" t="n">
        <v>1</v>
      </c>
      <c r="U295" s="8" t="n">
        <v>3</v>
      </c>
      <c r="V295" s="8" t="str">
        <f aca="false">IF(A295="","",IF(AND(ISNUMBER(T295),ISNUMBER(U295)),IF(AND(T295&lt;=3,U295&lt;=3),"○","×"),""))</f>
        <v>○</v>
      </c>
      <c r="W295" s="8" t="n">
        <v>120</v>
      </c>
      <c r="X295" s="8" t="n">
        <v>330</v>
      </c>
      <c r="Y295" s="4" t="s">
        <v>7597</v>
      </c>
      <c r="Z295" s="4" t="s">
        <v>7726</v>
      </c>
      <c r="AA295" s="8" t="str">
        <v/>
      </c>
      <c r="AB295" s="8" t="str">
        <v/>
      </c>
      <c r="AC295" s="8" t="str">
        <v/>
      </c>
      <c r="AD295" s="8" t="str">
        <v/>
      </c>
      <c r="AE295" s="8" t="str">
        <v/>
      </c>
      <c r="AF295" s="8" t="str">
        <v/>
      </c>
      <c r="AG295" s="8" t="str">
        <v/>
      </c>
      <c r="AH295" s="8" t="str">
        <v/>
      </c>
      <c r="AI295" s="8" t="n">
        <v>6</v>
      </c>
      <c r="AJ295" s="8" t="str">
        <v>～59</v>
      </c>
      <c r="AK295" s="8" t="str">
        <v>0～4</v>
      </c>
      <c r="AL295" s="8" t="str">
        <v>0～9</v>
      </c>
      <c r="AM295" s="8" t="str">
        <v>～99</v>
      </c>
      <c r="AN295" s="8" t="str">
        <v>8～11</v>
      </c>
      <c r="AO295" s="8" t="str">
        <f aca="false">IF(A295="","",IF(COUNTIFS(全馬データ!$A$2:$A$50000,A295,全馬データ!$B$2:$B$50000,B295,全馬データ!$C$2:$C$50000,C295,全馬データ!$D$2:$D$50000,E295,全馬データ!$K$2:$K$50000,"&lt;&gt;")=0,"",SUMIFS(全馬データ!$K$2:$K$50000,全馬データ!$A$2:$A$50000,A295,全馬データ!$B$2:$B$50000,B295,全馬データ!$C$2:$C$50000,C295,全馬データ!$D$2:$D$50000,E295)))</f>
        <v/>
      </c>
      <c r="AP295" s="8" t="str">
        <f aca="false">IF(A295="","",IF(AO295="","欠損",IF(AO295&lt;=1.1,"1.0～1.1",IF(AO295&lt;1.3,"1.2",IF(AO295&lt;1.5,"1.3～1.4",IF(AO295&lt;2,"1.5～1.9","2.0以上"))))))</f>
        <v>欠損</v>
      </c>
      <c r="AQ295" s="8" t="str">
        <f aca="false">IF(A295="","",IF(ISNUMBER(SEARCH("2歳",Z295)),"2歳戦",IF(ISNUMBER(SEARCH("3歳未勝利",Z295)),"3歳未勝利",IF(ISNUMBER(SEARCH("未勝利",Z295)),"その他未勝利",IF(ISNUMBER(SEARCH("G1",Z295)),"G1",IF(ISNUMBER(SEARCH("G2",Z295)),"G2",IF(ISNUMBER(SEARCH("G3",Z295)),"G3",IF(ISNUMBER(SEARCH("古馬条件",Z295)),"古馬条件戦",IF(ISNUMBER(SEARCH("重賞",Z295)),"重賞","分類不能")))))))))</f>
        <v>分類不能</v>
      </c>
      <c r="AR295" s="8"/>
      <c r="AS295" s="8" t="s">
        <v>7598</v>
      </c>
      <c r="AT295" s="8" t="s">
        <v>7599</v>
      </c>
      <c r="AU295" s="8" t="s">
        <v>7615</v>
      </c>
      <c r="AV295" s="4" t="s">
        <v>7616</v>
      </c>
      <c r="AW295" s="8"/>
      <c r="AX295" s="8"/>
      <c r="AY295" s="8" t="s">
        <v>7610</v>
      </c>
      <c r="AZ295" s="4" t="s">
        <v>7617</v>
      </c>
      <c r="BA295" s="8" t="n">
        <v>1150</v>
      </c>
      <c r="BB295" s="8" t="s">
        <v>7659</v>
      </c>
      <c r="BC295" s="4" t="s">
        <v>7619</v>
      </c>
      <c r="BD295" s="8" t="s">
        <v>7605</v>
      </c>
      <c r="BE295" s="4" t="s">
        <v>7606</v>
      </c>
      <c r="BF295" s="8" t="s">
        <v>7607</v>
      </c>
      <c r="BG295" s="8" t="s">
        <v>7608</v>
      </c>
      <c r="BH295" s="4" t="s">
        <v>7609</v>
      </c>
      <c r="BI295" s="8" t="n">
        <v>10</v>
      </c>
      <c r="BJ295" s="8" t="s">
        <v>7602</v>
      </c>
      <c r="BK295" s="4" t="s">
        <v>7653</v>
      </c>
      <c r="BL295" s="8" t="s">
        <v>7602</v>
      </c>
      <c r="BM295" s="4" t="s">
        <v>7620</v>
      </c>
      <c r="BN295" s="8"/>
      <c r="BO295" s="8"/>
      <c r="BP295" s="8" t="s">
        <v>7602</v>
      </c>
      <c r="BQ295" s="8" t="str">
        <f aca="false">IF(A295="","",AT295)</f>
        <v>2歳</v>
      </c>
      <c r="BR295" s="8" t="str">
        <f aca="false">IF(A295="","",IF(BA295&lt;=1200,"～1200",IF(BA295&lt;=1500,"1300～1500",IF(BA295=1600,"1600",IF(BA295&lt;=1800,"1700～1800",IF(BA295&lt;=2000,"1900～2000","2100以上"))))))</f>
        <v>～1200</v>
      </c>
      <c r="BS295" s="8" t="str">
        <f aca="false">IF(A295="","",IF(AX295="G1","G1",IF(AX295="G2","G2",IF(AX295="G3","G3",IF(AX295="L","L","その他")))))</f>
        <v>その他</v>
      </c>
      <c r="BT295" s="8" t="str">
        <f aca="false">IF(A295="","",IF(BI295="","未結合",IF(D295=BI295,"一致","不一致")))</f>
        <v>一致</v>
      </c>
      <c r="BU295" s="8" t="str">
        <f aca="false">IF(A295="","",IF(BE295="牝馬限定","牝馬限定","その他"))</f>
        <v>その他</v>
      </c>
    </row>
    <row r="296" customFormat="false" ht="15.75" hidden="false" customHeight="false" outlineLevel="0" collapsed="false">
      <c r="A296" s="6" t="n">
        <v>46200</v>
      </c>
      <c r="B296" s="4" t="s">
        <v>915</v>
      </c>
      <c r="C296" s="8" t="n">
        <v>7</v>
      </c>
      <c r="D296" s="8" t="n">
        <v>16</v>
      </c>
      <c r="E296" s="8" t="n">
        <v>5</v>
      </c>
      <c r="F296" s="4" t="s">
        <v>4313</v>
      </c>
      <c r="G296" s="8" t="n">
        <v>71</v>
      </c>
      <c r="H296" s="8" t="n">
        <v>3</v>
      </c>
      <c r="I296" s="4" t="s">
        <v>4312</v>
      </c>
      <c r="J296" s="8" t="n">
        <v>52</v>
      </c>
      <c r="K296" s="8" t="n">
        <v>7</v>
      </c>
      <c r="L296" s="4" t="s">
        <v>4021</v>
      </c>
      <c r="M296" s="8" t="n">
        <v>37</v>
      </c>
      <c r="N296" s="8" t="n">
        <v>19</v>
      </c>
      <c r="O296" s="8" t="n">
        <v>15</v>
      </c>
      <c r="P296" s="8" t="n">
        <v>123</v>
      </c>
      <c r="Q296" s="8" t="str">
        <f aca="false">IF(A296="","",IF(AND(Y296&lt;&gt;"参考",G296&gt;=ルール設定!$B$2),"○",""))</f>
        <v/>
      </c>
      <c r="R296" s="8" t="str">
        <f aca="false">IF(A296="","",IF(AND(Y296&lt;&gt;"参考",G296&gt;=ルール設定!$B$3,N296&gt;=ルール設定!$B$4),"○",""))</f>
        <v/>
      </c>
      <c r="S296" s="8" t="str">
        <f aca="false">IF(A296="","",IF(AND(Y296&lt;&gt;"参考",G296&gt;=ルール設定!$B$5,J296&gt;=ルール設定!$B$6,O296&gt;=ルール設定!$B$7),"○",""))</f>
        <v/>
      </c>
      <c r="T296" s="8" t="n">
        <v>4</v>
      </c>
      <c r="U296" s="8" t="n">
        <v>1</v>
      </c>
      <c r="V296" s="8" t="str">
        <f aca="false">IF(A296="","",IF(AND(ISNUMBER(T296),ISNUMBER(U296)),IF(AND(T296&lt;=3,U296&lt;=3),"○","×"),""))</f>
        <v>×</v>
      </c>
      <c r="W296" s="8"/>
      <c r="X296" s="8"/>
      <c r="Y296" s="4" t="s">
        <v>7597</v>
      </c>
      <c r="Z296" s="4" t="s">
        <v>7726</v>
      </c>
      <c r="AA296" s="8" t="str">
        <v/>
      </c>
      <c r="AB296" s="8" t="str">
        <v/>
      </c>
      <c r="AC296" s="8" t="str">
        <v/>
      </c>
      <c r="AD296" s="8" t="str">
        <v/>
      </c>
      <c r="AE296" s="8" t="str">
        <v/>
      </c>
      <c r="AF296" s="8" t="str">
        <v/>
      </c>
      <c r="AG296" s="8" t="str">
        <v/>
      </c>
      <c r="AH296" s="8" t="str">
        <v/>
      </c>
      <c r="AI296" s="8" t="n">
        <v>34</v>
      </c>
      <c r="AJ296" s="8" t="str">
        <v>70～74</v>
      </c>
      <c r="AK296" s="8" t="str">
        <v>10～19</v>
      </c>
      <c r="AL296" s="8" t="str">
        <v>30～39</v>
      </c>
      <c r="AM296" s="8" t="str">
        <v>120～139</v>
      </c>
      <c r="AN296" s="8" t="str">
        <v>15以上</v>
      </c>
      <c r="AO296" s="8" t="str">
        <f aca="false">IF(A296="","",IF(COUNTIFS(全馬データ!$A$2:$A$50000,A296,全馬データ!$B$2:$B$50000,B296,全馬データ!$C$2:$C$50000,C296,全馬データ!$D$2:$D$50000,E296,全馬データ!$K$2:$K$50000,"&lt;&gt;")=0,"",SUMIFS(全馬データ!$K$2:$K$50000,全馬データ!$A$2:$A$50000,A296,全馬データ!$B$2:$B$50000,B296,全馬データ!$C$2:$C$50000,C296,全馬データ!$D$2:$D$50000,E296)))</f>
        <v/>
      </c>
      <c r="AP296" s="8" t="str">
        <f aca="false">IF(A296="","",IF(AO296="","欠損",IF(AO296&lt;=1.1,"1.0～1.1",IF(AO296&lt;1.3,"1.2",IF(AO296&lt;1.5,"1.3～1.4",IF(AO296&lt;2,"1.5～1.9","2.0以上"))))))</f>
        <v>欠損</v>
      </c>
      <c r="AQ296" s="8" t="str">
        <f aca="false">IF(A296="","",IF(ISNUMBER(SEARCH("2歳",Z296)),"2歳戦",IF(ISNUMBER(SEARCH("3歳未勝利",Z296)),"3歳未勝利",IF(ISNUMBER(SEARCH("未勝利",Z296)),"その他未勝利",IF(ISNUMBER(SEARCH("G1",Z296)),"G1",IF(ISNUMBER(SEARCH("G2",Z296)),"G2",IF(ISNUMBER(SEARCH("G3",Z296)),"G3",IF(ISNUMBER(SEARCH("古馬条件",Z296)),"古馬条件戦",IF(ISNUMBER(SEARCH("重賞",Z296)),"重賞","分類不能")))))))))</f>
        <v>分類不能</v>
      </c>
      <c r="AR296" s="8"/>
      <c r="AS296" s="8" t="s">
        <v>7623</v>
      </c>
      <c r="AT296" s="8" t="s">
        <v>7624</v>
      </c>
      <c r="AU296" s="8" t="s">
        <v>7600</v>
      </c>
      <c r="AV296" s="4" t="s">
        <v>7601</v>
      </c>
      <c r="AW296" s="8"/>
      <c r="AX296" s="8"/>
      <c r="AY296" s="8" t="s">
        <v>7602</v>
      </c>
      <c r="AZ296" s="4" t="s">
        <v>7603</v>
      </c>
      <c r="BA296" s="8" t="n">
        <v>1800</v>
      </c>
      <c r="BB296" s="8" t="s">
        <v>7598</v>
      </c>
      <c r="BC296" s="4" t="s">
        <v>7604</v>
      </c>
      <c r="BD296" s="8" t="s">
        <v>7621</v>
      </c>
      <c r="BE296" s="4" t="s">
        <v>7622</v>
      </c>
      <c r="BF296" s="8" t="s">
        <v>7602</v>
      </c>
      <c r="BG296" s="8" t="s">
        <v>7608</v>
      </c>
      <c r="BH296" s="4" t="s">
        <v>7609</v>
      </c>
      <c r="BI296" s="8" t="n">
        <v>16</v>
      </c>
      <c r="BJ296" s="8" t="s">
        <v>7602</v>
      </c>
      <c r="BK296" s="4" t="s">
        <v>7653</v>
      </c>
      <c r="BL296" s="8" t="s">
        <v>7602</v>
      </c>
      <c r="BM296" s="4" t="s">
        <v>7620</v>
      </c>
      <c r="BN296" s="8" t="s">
        <v>7602</v>
      </c>
      <c r="BO296" s="8" t="s">
        <v>7613</v>
      </c>
      <c r="BP296" s="8" t="s">
        <v>7602</v>
      </c>
      <c r="BQ296" s="8" t="str">
        <f aca="false">IF(A296="","",AT296)</f>
        <v>3歳</v>
      </c>
      <c r="BR296" s="8" t="str">
        <f aca="false">IF(A296="","",IF(BA296&lt;=1200,"～1200",IF(BA296&lt;=1500,"1300～1500",IF(BA296=1600,"1600",IF(BA296&lt;=1800,"1700～1800",IF(BA296&lt;=2000,"1900～2000","2100以上"))))))</f>
        <v>1700～1800</v>
      </c>
      <c r="BS296" s="8" t="str">
        <f aca="false">IF(A296="","",IF(AX296="G1","G1",IF(AX296="G2","G2",IF(AX296="G3","G3",IF(AX296="L","L","その他")))))</f>
        <v>その他</v>
      </c>
      <c r="BT296" s="8" t="str">
        <f aca="false">IF(A296="","",IF(BI296="","未結合",IF(D296=BI296,"一致","不一致")))</f>
        <v>一致</v>
      </c>
      <c r="BU296" s="8" t="str">
        <f aca="false">IF(A296="","",IF(BE296="牝馬限定","牝馬限定","その他"))</f>
        <v>牝馬限定</v>
      </c>
    </row>
    <row r="297" customFormat="false" ht="15.75" hidden="false" customHeight="false" outlineLevel="0" collapsed="false">
      <c r="A297" s="6" t="n">
        <v>46200</v>
      </c>
      <c r="B297" s="4" t="s">
        <v>915</v>
      </c>
      <c r="C297" s="8" t="n">
        <v>8</v>
      </c>
      <c r="D297" s="8" t="n">
        <v>16</v>
      </c>
      <c r="E297" s="8" t="n">
        <v>2</v>
      </c>
      <c r="F297" s="4" t="s">
        <v>4321</v>
      </c>
      <c r="G297" s="8" t="n">
        <v>58</v>
      </c>
      <c r="H297" s="8" t="n">
        <v>13</v>
      </c>
      <c r="I297" s="4" t="s">
        <v>1004</v>
      </c>
      <c r="J297" s="8" t="n">
        <v>50</v>
      </c>
      <c r="K297" s="8" t="n">
        <v>9</v>
      </c>
      <c r="L297" s="4" t="s">
        <v>1406</v>
      </c>
      <c r="M297" s="8" t="n">
        <v>41</v>
      </c>
      <c r="N297" s="8" t="n">
        <v>8</v>
      </c>
      <c r="O297" s="8" t="n">
        <v>9</v>
      </c>
      <c r="P297" s="8" t="n">
        <v>108</v>
      </c>
      <c r="Q297" s="8" t="str">
        <f aca="false">IF(A297="","",IF(AND(Y297&lt;&gt;"参考",G297&gt;=ルール設定!$B$2),"○",""))</f>
        <v/>
      </c>
      <c r="R297" s="8" t="str">
        <f aca="false">IF(A297="","",IF(AND(Y297&lt;&gt;"参考",G297&gt;=ルール設定!$B$3,N297&gt;=ルール設定!$B$4),"○",""))</f>
        <v/>
      </c>
      <c r="S297" s="8" t="str">
        <f aca="false">IF(A297="","",IF(AND(Y297&lt;&gt;"参考",G297&gt;=ルール設定!$B$5,J297&gt;=ルール設定!$B$6,O297&gt;=ルール設定!$B$7),"○",""))</f>
        <v/>
      </c>
      <c r="T297" s="8" t="n">
        <v>1</v>
      </c>
      <c r="U297" s="8" t="n">
        <v>3</v>
      </c>
      <c r="V297" s="8" t="str">
        <f aca="false">IF(A297="","",IF(AND(ISNUMBER(T297),ISNUMBER(U297)),IF(AND(T297&lt;=3,U297&lt;=3),"○","×"),""))</f>
        <v>○</v>
      </c>
      <c r="W297" s="8" t="n">
        <v>150</v>
      </c>
      <c r="X297" s="8" t="n">
        <v>240</v>
      </c>
      <c r="Y297" s="4" t="s">
        <v>7597</v>
      </c>
      <c r="Z297" s="4" t="s">
        <v>7726</v>
      </c>
      <c r="AA297" s="8" t="str">
        <v/>
      </c>
      <c r="AB297" s="8" t="str">
        <v/>
      </c>
      <c r="AC297" s="8" t="str">
        <v/>
      </c>
      <c r="AD297" s="8" t="str">
        <v/>
      </c>
      <c r="AE297" s="8" t="str">
        <v/>
      </c>
      <c r="AF297" s="8" t="str">
        <v/>
      </c>
      <c r="AG297" s="8" t="str">
        <v/>
      </c>
      <c r="AH297" s="8" t="str">
        <v/>
      </c>
      <c r="AI297" s="8" t="n">
        <v>17</v>
      </c>
      <c r="AJ297" s="8" t="str">
        <v>～59</v>
      </c>
      <c r="AK297" s="8" t="str">
        <v>5～9</v>
      </c>
      <c r="AL297" s="8" t="str">
        <v>10～19</v>
      </c>
      <c r="AM297" s="8" t="str">
        <v>100～119</v>
      </c>
      <c r="AN297" s="8" t="str">
        <v>15以上</v>
      </c>
      <c r="AO297" s="8" t="str">
        <f aca="false">IF(A297="","",IF(COUNTIFS(全馬データ!$A$2:$A$50000,A297,全馬データ!$B$2:$B$50000,B297,全馬データ!$C$2:$C$50000,C297,全馬データ!$D$2:$D$50000,E297,全馬データ!$K$2:$K$50000,"&lt;&gt;")=0,"",SUMIFS(全馬データ!$K$2:$K$50000,全馬データ!$A$2:$A$50000,A297,全馬データ!$B$2:$B$50000,B297,全馬データ!$C$2:$C$50000,C297,全馬データ!$D$2:$D$50000,E297)))</f>
        <v/>
      </c>
      <c r="AP297" s="8" t="str">
        <f aca="false">IF(A297="","",IF(AO297="","欠損",IF(AO297&lt;=1.1,"1.0～1.1",IF(AO297&lt;1.3,"1.2",IF(AO297&lt;1.5,"1.3～1.4",IF(AO297&lt;2,"1.5～1.9","2.0以上"))))))</f>
        <v>欠損</v>
      </c>
      <c r="AQ297" s="8" t="str">
        <f aca="false">IF(A297="","",IF(ISNUMBER(SEARCH("2歳",Z297)),"2歳戦",IF(ISNUMBER(SEARCH("3歳未勝利",Z297)),"3歳未勝利",IF(ISNUMBER(SEARCH("未勝利",Z297)),"その他未勝利",IF(ISNUMBER(SEARCH("G1",Z297)),"G1",IF(ISNUMBER(SEARCH("G2",Z297)),"G2",IF(ISNUMBER(SEARCH("G3",Z297)),"G3",IF(ISNUMBER(SEARCH("古馬条件",Z297)),"古馬条件戦",IF(ISNUMBER(SEARCH("重賞",Z297)),"重賞","分類不能")))))))))</f>
        <v>分類不能</v>
      </c>
      <c r="AR297" s="8"/>
      <c r="AS297" s="8" t="s">
        <v>7623</v>
      </c>
      <c r="AT297" s="8" t="s">
        <v>7624</v>
      </c>
      <c r="AU297" s="8" t="s">
        <v>7600</v>
      </c>
      <c r="AV297" s="4" t="s">
        <v>7601</v>
      </c>
      <c r="AW297" s="8"/>
      <c r="AX297" s="8"/>
      <c r="AY297" s="8" t="s">
        <v>7602</v>
      </c>
      <c r="AZ297" s="4" t="s">
        <v>7603</v>
      </c>
      <c r="BA297" s="8" t="n">
        <v>2000</v>
      </c>
      <c r="BB297" s="8" t="s">
        <v>7598</v>
      </c>
      <c r="BC297" s="4" t="s">
        <v>7604</v>
      </c>
      <c r="BD297" s="8" t="s">
        <v>7605</v>
      </c>
      <c r="BE297" s="4" t="s">
        <v>7606</v>
      </c>
      <c r="BF297" s="8" t="s">
        <v>7607</v>
      </c>
      <c r="BG297" s="8" t="s">
        <v>7608</v>
      </c>
      <c r="BH297" s="4" t="s">
        <v>7609</v>
      </c>
      <c r="BI297" s="8" t="n">
        <v>16</v>
      </c>
      <c r="BJ297" s="8" t="s">
        <v>7602</v>
      </c>
      <c r="BK297" s="4" t="s">
        <v>7653</v>
      </c>
      <c r="BL297" s="8" t="s">
        <v>7602</v>
      </c>
      <c r="BM297" s="4" t="s">
        <v>7620</v>
      </c>
      <c r="BN297" s="8" t="s">
        <v>7602</v>
      </c>
      <c r="BO297" s="8" t="s">
        <v>7613</v>
      </c>
      <c r="BP297" s="8" t="s">
        <v>7602</v>
      </c>
      <c r="BQ297" s="8" t="str">
        <f aca="false">IF(A297="","",AT297)</f>
        <v>3歳</v>
      </c>
      <c r="BR297" s="8" t="str">
        <f aca="false">IF(A297="","",IF(BA297&lt;=1200,"～1200",IF(BA297&lt;=1500,"1300～1500",IF(BA297=1600,"1600",IF(BA297&lt;=1800,"1700～1800",IF(BA297&lt;=2000,"1900～2000","2100以上"))))))</f>
        <v>1900～2000</v>
      </c>
      <c r="BS297" s="8" t="str">
        <f aca="false">IF(A297="","",IF(AX297="G1","G1",IF(AX297="G2","G2",IF(AX297="G3","G3",IF(AX297="L","L","その他")))))</f>
        <v>その他</v>
      </c>
      <c r="BT297" s="8" t="str">
        <f aca="false">IF(A297="","",IF(BI297="","未結合",IF(D297=BI297,"一致","不一致")))</f>
        <v>一致</v>
      </c>
      <c r="BU297" s="8" t="str">
        <f aca="false">IF(A297="","",IF(BE297="牝馬限定","牝馬限定","その他"))</f>
        <v>その他</v>
      </c>
    </row>
    <row r="298" customFormat="false" ht="15.75" hidden="false" customHeight="false" outlineLevel="0" collapsed="false">
      <c r="A298" s="6" t="n">
        <v>46200</v>
      </c>
      <c r="B298" s="4" t="s">
        <v>915</v>
      </c>
      <c r="C298" s="8" t="n">
        <v>9</v>
      </c>
      <c r="D298" s="8" t="n">
        <v>16</v>
      </c>
      <c r="E298" s="8" t="n">
        <v>6</v>
      </c>
      <c r="F298" s="4" t="s">
        <v>4328</v>
      </c>
      <c r="G298" s="8" t="n">
        <v>71</v>
      </c>
      <c r="H298" s="8" t="n">
        <v>7</v>
      </c>
      <c r="I298" s="4" t="s">
        <v>4329</v>
      </c>
      <c r="J298" s="8" t="n">
        <v>44</v>
      </c>
      <c r="K298" s="8" t="n">
        <v>12</v>
      </c>
      <c r="L298" s="4" t="s">
        <v>4333</v>
      </c>
      <c r="M298" s="8" t="n">
        <v>25</v>
      </c>
      <c r="N298" s="8" t="n">
        <v>27</v>
      </c>
      <c r="O298" s="8" t="n">
        <v>19</v>
      </c>
      <c r="P298" s="8" t="n">
        <v>115</v>
      </c>
      <c r="Q298" s="8" t="str">
        <f aca="false">IF(A298="","",IF(AND(Y298&lt;&gt;"参考",G298&gt;=ルール設定!$B$2),"○",""))</f>
        <v/>
      </c>
      <c r="R298" s="8" t="str">
        <f aca="false">IF(A298="","",IF(AND(Y298&lt;&gt;"参考",G298&gt;=ルール設定!$B$3,N298&gt;=ルール設定!$B$4),"○",""))</f>
        <v/>
      </c>
      <c r="S298" s="8" t="str">
        <f aca="false">IF(A298="","",IF(AND(Y298&lt;&gt;"参考",G298&gt;=ルール設定!$B$5,J298&gt;=ルール設定!$B$6,O298&gt;=ルール設定!$B$7),"○",""))</f>
        <v/>
      </c>
      <c r="T298" s="8" t="n">
        <v>2</v>
      </c>
      <c r="U298" s="8" t="n">
        <v>4</v>
      </c>
      <c r="V298" s="8" t="str">
        <f aca="false">IF(A298="","",IF(AND(ISNUMBER(T298),ISNUMBER(U298)),IF(AND(T298&lt;=3,U298&lt;=3),"○","×"),""))</f>
        <v>×</v>
      </c>
      <c r="W298" s="8" t="n">
        <v>130</v>
      </c>
      <c r="X298" s="8"/>
      <c r="Y298" s="4" t="s">
        <v>7597</v>
      </c>
      <c r="Z298" s="4" t="s">
        <v>7726</v>
      </c>
      <c r="AA298" s="8" t="str">
        <v/>
      </c>
      <c r="AB298" s="8" t="str">
        <v/>
      </c>
      <c r="AC298" s="8" t="str">
        <v/>
      </c>
      <c r="AD298" s="8" t="str">
        <v/>
      </c>
      <c r="AE298" s="8" t="str">
        <v/>
      </c>
      <c r="AF298" s="8" t="str">
        <v/>
      </c>
      <c r="AG298" s="8" t="str">
        <v/>
      </c>
      <c r="AH298" s="8" t="str">
        <v/>
      </c>
      <c r="AI298" s="8" t="n">
        <v>46</v>
      </c>
      <c r="AJ298" s="8" t="str">
        <v>70～74</v>
      </c>
      <c r="AK298" s="8" t="str">
        <v>20～29</v>
      </c>
      <c r="AL298" s="8" t="str">
        <v>40以上</v>
      </c>
      <c r="AM298" s="8" t="str">
        <v>100～119</v>
      </c>
      <c r="AN298" s="8" t="str">
        <v>15以上</v>
      </c>
      <c r="AO298" s="8" t="str">
        <f aca="false">IF(A298="","",IF(COUNTIFS(全馬データ!$A$2:$A$50000,A298,全馬データ!$B$2:$B$50000,B298,全馬データ!$C$2:$C$50000,C298,全馬データ!$D$2:$D$50000,E298,全馬データ!$K$2:$K$50000,"&lt;&gt;")=0,"",SUMIFS(全馬データ!$K$2:$K$50000,全馬データ!$A$2:$A$50000,A298,全馬データ!$B$2:$B$50000,B298,全馬データ!$C$2:$C$50000,C298,全馬データ!$D$2:$D$50000,E298)))</f>
        <v/>
      </c>
      <c r="AP298" s="8" t="str">
        <f aca="false">IF(A298="","",IF(AO298="","欠損",IF(AO298&lt;=1.1,"1.0～1.1",IF(AO298&lt;1.3,"1.2",IF(AO298&lt;1.5,"1.3～1.4",IF(AO298&lt;2,"1.5～1.9","2.0以上"))))))</f>
        <v>欠損</v>
      </c>
      <c r="AQ298" s="8" t="str">
        <f aca="false">IF(A298="","",IF(ISNUMBER(SEARCH("2歳",Z298)),"2歳戦",IF(ISNUMBER(SEARCH("3歳未勝利",Z298)),"3歳未勝利",IF(ISNUMBER(SEARCH("未勝利",Z298)),"その他未勝利",IF(ISNUMBER(SEARCH("G1",Z298)),"G1",IF(ISNUMBER(SEARCH("G2",Z298)),"G2",IF(ISNUMBER(SEARCH("G3",Z298)),"G3",IF(ISNUMBER(SEARCH("古馬条件",Z298)),"古馬条件戦",IF(ISNUMBER(SEARCH("重賞",Z298)),"重賞","分類不能")))))))))</f>
        <v>分類不能</v>
      </c>
      <c r="AR298" s="4" t="s">
        <v>7746</v>
      </c>
      <c r="AS298" s="8" t="s">
        <v>7626</v>
      </c>
      <c r="AT298" s="8" t="s">
        <v>7627</v>
      </c>
      <c r="AU298" s="8" t="s">
        <v>7634</v>
      </c>
      <c r="AV298" s="8" t="s">
        <v>7635</v>
      </c>
      <c r="AW298" s="8" t="s">
        <v>7636</v>
      </c>
      <c r="AX298" s="4" t="s">
        <v>7637</v>
      </c>
      <c r="AY298" s="8" t="s">
        <v>7610</v>
      </c>
      <c r="AZ298" s="4" t="s">
        <v>7617</v>
      </c>
      <c r="BA298" s="8" t="n">
        <v>1150</v>
      </c>
      <c r="BB298" s="8" t="s">
        <v>7659</v>
      </c>
      <c r="BC298" s="4" t="s">
        <v>7619</v>
      </c>
      <c r="BD298" s="8" t="s">
        <v>7605</v>
      </c>
      <c r="BE298" s="4" t="s">
        <v>7606</v>
      </c>
      <c r="BF298" s="8" t="s">
        <v>7607</v>
      </c>
      <c r="BG298" s="8" t="s">
        <v>7631</v>
      </c>
      <c r="BH298" s="4" t="s">
        <v>7632</v>
      </c>
      <c r="BI298" s="8" t="n">
        <v>16</v>
      </c>
      <c r="BJ298" s="8" t="s">
        <v>7602</v>
      </c>
      <c r="BK298" s="4" t="s">
        <v>7653</v>
      </c>
      <c r="BL298" s="8" t="s">
        <v>7602</v>
      </c>
      <c r="BM298" s="4" t="s">
        <v>7620</v>
      </c>
      <c r="BN298" s="8"/>
      <c r="BO298" s="8"/>
      <c r="BP298" s="8" t="s">
        <v>7602</v>
      </c>
      <c r="BQ298" s="8" t="str">
        <f aca="false">IF(A298="","",AT298)</f>
        <v>3歳以上</v>
      </c>
      <c r="BR298" s="8" t="str">
        <f aca="false">IF(A298="","",IF(BA298&lt;=1200,"～1200",IF(BA298&lt;=1500,"1300～1500",IF(BA298=1600,"1600",IF(BA298&lt;=1800,"1700～1800",IF(BA298&lt;=2000,"1900～2000","2100以上"))))))</f>
        <v>～1200</v>
      </c>
      <c r="BS298" s="8" t="str">
        <f aca="false">IF(A298="","",IF(AX298="G1","G1",IF(AX298="G2","G2",IF(AX298="G3","G3",IF(AX298="L","L","その他")))))</f>
        <v>その他</v>
      </c>
      <c r="BT298" s="8" t="str">
        <f aca="false">IF(A298="","",IF(BI298="","未結合",IF(D298=BI298,"一致","不一致")))</f>
        <v>一致</v>
      </c>
      <c r="BU298" s="8" t="str">
        <f aca="false">IF(A298="","",IF(BE298="牝馬限定","牝馬限定","その他"))</f>
        <v>その他</v>
      </c>
    </row>
    <row r="299" customFormat="false" ht="15.75" hidden="false" customHeight="false" outlineLevel="0" collapsed="false">
      <c r="A299" s="6" t="n">
        <v>46200</v>
      </c>
      <c r="B299" s="4" t="s">
        <v>915</v>
      </c>
      <c r="C299" s="8" t="n">
        <v>10</v>
      </c>
      <c r="D299" s="8" t="n">
        <v>11</v>
      </c>
      <c r="E299" s="8" t="n">
        <v>9</v>
      </c>
      <c r="F299" s="4" t="s">
        <v>4342</v>
      </c>
      <c r="G299" s="8" t="n">
        <v>58</v>
      </c>
      <c r="H299" s="8" t="n">
        <v>1</v>
      </c>
      <c r="I299" s="4" t="s">
        <v>461</v>
      </c>
      <c r="J299" s="8" t="n">
        <v>50</v>
      </c>
      <c r="K299" s="8" t="n">
        <v>2</v>
      </c>
      <c r="L299" s="4" t="s">
        <v>4336</v>
      </c>
      <c r="M299" s="8" t="n">
        <v>41</v>
      </c>
      <c r="N299" s="8" t="n">
        <v>8</v>
      </c>
      <c r="O299" s="8" t="n">
        <v>9</v>
      </c>
      <c r="P299" s="8" t="n">
        <v>108</v>
      </c>
      <c r="Q299" s="8" t="str">
        <f aca="false">IF(A299="","",IF(AND(Y299&lt;&gt;"参考",G299&gt;=ルール設定!$B$2),"○",""))</f>
        <v/>
      </c>
      <c r="R299" s="8" t="str">
        <f aca="false">IF(A299="","",IF(AND(Y299&lt;&gt;"参考",G299&gt;=ルール設定!$B$3,N299&gt;=ルール設定!$B$4),"○",""))</f>
        <v/>
      </c>
      <c r="S299" s="8" t="str">
        <f aca="false">IF(A299="","",IF(AND(Y299&lt;&gt;"参考",G299&gt;=ルール設定!$B$5,J299&gt;=ルール設定!$B$6,O299&gt;=ルール設定!$B$7),"○",""))</f>
        <v/>
      </c>
      <c r="T299" s="8" t="n">
        <v>3</v>
      </c>
      <c r="U299" s="8" t="n">
        <v>2</v>
      </c>
      <c r="V299" s="8" t="str">
        <f aca="false">IF(A299="","",IF(AND(ISNUMBER(T299),ISNUMBER(U299)),IF(AND(T299&lt;=3,U299&lt;=3),"○","×"),""))</f>
        <v>○</v>
      </c>
      <c r="W299" s="8" t="n">
        <v>110</v>
      </c>
      <c r="X299" s="8" t="n">
        <v>200</v>
      </c>
      <c r="Y299" s="4" t="s">
        <v>7597</v>
      </c>
      <c r="Z299" s="4" t="s">
        <v>7726</v>
      </c>
      <c r="AA299" s="8" t="str">
        <v/>
      </c>
      <c r="AB299" s="8" t="str">
        <v/>
      </c>
      <c r="AC299" s="8" t="str">
        <v/>
      </c>
      <c r="AD299" s="8" t="str">
        <v/>
      </c>
      <c r="AE299" s="8" t="str">
        <v/>
      </c>
      <c r="AF299" s="8" t="str">
        <v/>
      </c>
      <c r="AG299" s="8" t="str">
        <v/>
      </c>
      <c r="AH299" s="8" t="str">
        <v/>
      </c>
      <c r="AI299" s="8" t="n">
        <v>17</v>
      </c>
      <c r="AJ299" s="8" t="str">
        <v>～59</v>
      </c>
      <c r="AK299" s="8" t="str">
        <v>5～9</v>
      </c>
      <c r="AL299" s="8" t="str">
        <v>10～19</v>
      </c>
      <c r="AM299" s="8" t="str">
        <v>100～119</v>
      </c>
      <c r="AN299" s="8" t="str">
        <v>8～11</v>
      </c>
      <c r="AO299" s="8" t="str">
        <f aca="false">IF(A299="","",IF(COUNTIFS(全馬データ!$A$2:$A$50000,A299,全馬データ!$B$2:$B$50000,B299,全馬データ!$C$2:$C$50000,C299,全馬データ!$D$2:$D$50000,E299,全馬データ!$K$2:$K$50000,"&lt;&gt;")=0,"",SUMIFS(全馬データ!$K$2:$K$50000,全馬データ!$A$2:$A$50000,A299,全馬データ!$B$2:$B$50000,B299,全馬データ!$C$2:$C$50000,C299,全馬データ!$D$2:$D$50000,E299)))</f>
        <v/>
      </c>
      <c r="AP299" s="8" t="str">
        <f aca="false">IF(A299="","",IF(AO299="","欠損",IF(AO299&lt;=1.1,"1.0～1.1",IF(AO299&lt;1.3,"1.2",IF(AO299&lt;1.5,"1.3～1.4",IF(AO299&lt;2,"1.5～1.9","2.0以上"))))))</f>
        <v>欠損</v>
      </c>
      <c r="AQ299" s="8" t="str">
        <f aca="false">IF(A299="","",IF(ISNUMBER(SEARCH("2歳",Z299)),"2歳戦",IF(ISNUMBER(SEARCH("3歳未勝利",Z299)),"3歳未勝利",IF(ISNUMBER(SEARCH("未勝利",Z299)),"その他未勝利",IF(ISNUMBER(SEARCH("G1",Z299)),"G1",IF(ISNUMBER(SEARCH("G2",Z299)),"G2",IF(ISNUMBER(SEARCH("G3",Z299)),"G3",IF(ISNUMBER(SEARCH("古馬条件",Z299)),"古馬条件戦",IF(ISNUMBER(SEARCH("重賞",Z299)),"重賞","分類不能")))))))))</f>
        <v>分類不能</v>
      </c>
      <c r="AR299" s="4" t="s">
        <v>7747</v>
      </c>
      <c r="AS299" s="8" t="s">
        <v>7626</v>
      </c>
      <c r="AT299" s="8" t="s">
        <v>7627</v>
      </c>
      <c r="AU299" s="8" t="s">
        <v>7634</v>
      </c>
      <c r="AV299" s="8" t="s">
        <v>7635</v>
      </c>
      <c r="AW299" s="8" t="s">
        <v>7636</v>
      </c>
      <c r="AX299" s="4" t="s">
        <v>7637</v>
      </c>
      <c r="AY299" s="8" t="s">
        <v>7610</v>
      </c>
      <c r="AZ299" s="4" t="s">
        <v>7617</v>
      </c>
      <c r="BA299" s="8" t="n">
        <v>1700</v>
      </c>
      <c r="BB299" s="8" t="s">
        <v>7659</v>
      </c>
      <c r="BC299" s="4" t="s">
        <v>7619</v>
      </c>
      <c r="BD299" s="8" t="s">
        <v>7630</v>
      </c>
      <c r="BE299" s="4" t="s">
        <v>7606</v>
      </c>
      <c r="BF299" s="8" t="s">
        <v>7607</v>
      </c>
      <c r="BG299" s="8" t="s">
        <v>7631</v>
      </c>
      <c r="BH299" s="4" t="s">
        <v>7632</v>
      </c>
      <c r="BI299" s="8" t="n">
        <v>11</v>
      </c>
      <c r="BJ299" s="8" t="s">
        <v>7602</v>
      </c>
      <c r="BK299" s="4" t="s">
        <v>7653</v>
      </c>
      <c r="BL299" s="8" t="s">
        <v>7602</v>
      </c>
      <c r="BM299" s="4" t="s">
        <v>7620</v>
      </c>
      <c r="BN299" s="8"/>
      <c r="BO299" s="8"/>
      <c r="BP299" s="8" t="s">
        <v>7602</v>
      </c>
      <c r="BQ299" s="8" t="str">
        <f aca="false">IF(A299="","",AT299)</f>
        <v>3歳以上</v>
      </c>
      <c r="BR299" s="8" t="str">
        <f aca="false">IF(A299="","",IF(BA299&lt;=1200,"～1200",IF(BA299&lt;=1500,"1300～1500",IF(BA299=1600,"1600",IF(BA299&lt;=1800,"1700～1800",IF(BA299&lt;=2000,"1900～2000","2100以上"))))))</f>
        <v>1700～1800</v>
      </c>
      <c r="BS299" s="8" t="str">
        <f aca="false">IF(A299="","",IF(AX299="G1","G1",IF(AX299="G2","G2",IF(AX299="G3","G3",IF(AX299="L","L","その他")))))</f>
        <v>その他</v>
      </c>
      <c r="BT299" s="8" t="str">
        <f aca="false">IF(A299="","",IF(BI299="","未結合",IF(D299=BI299,"一致","不一致")))</f>
        <v>一致</v>
      </c>
      <c r="BU299" s="8" t="str">
        <f aca="false">IF(A299="","",IF(BE299="牝馬限定","牝馬限定","その他"))</f>
        <v>その他</v>
      </c>
    </row>
    <row r="300" customFormat="false" ht="15.75" hidden="false" customHeight="false" outlineLevel="0" collapsed="false">
      <c r="A300" s="6" t="n">
        <v>46200</v>
      </c>
      <c r="B300" s="4" t="s">
        <v>915</v>
      </c>
      <c r="C300" s="8" t="n">
        <v>11</v>
      </c>
      <c r="D300" s="8" t="n">
        <v>9</v>
      </c>
      <c r="E300" s="8" t="n">
        <v>4</v>
      </c>
      <c r="F300" s="4" t="s">
        <v>4345</v>
      </c>
      <c r="G300" s="8" t="n">
        <v>66</v>
      </c>
      <c r="H300" s="8" t="n">
        <v>3</v>
      </c>
      <c r="I300" s="4" t="s">
        <v>3870</v>
      </c>
      <c r="J300" s="8" t="n">
        <v>44</v>
      </c>
      <c r="K300" s="8" t="n">
        <v>7</v>
      </c>
      <c r="L300" s="4" t="s">
        <v>4347</v>
      </c>
      <c r="M300" s="8" t="n">
        <v>39</v>
      </c>
      <c r="N300" s="8" t="n">
        <v>22</v>
      </c>
      <c r="O300" s="8" t="n">
        <v>5</v>
      </c>
      <c r="P300" s="8" t="n">
        <v>110</v>
      </c>
      <c r="Q300" s="8" t="str">
        <f aca="false">IF(A300="","",IF(AND(Y300&lt;&gt;"参考",G300&gt;=ルール設定!$B$2),"○",""))</f>
        <v/>
      </c>
      <c r="R300" s="8" t="str">
        <f aca="false">IF(A300="","",IF(AND(Y300&lt;&gt;"参考",G300&gt;=ルール設定!$B$3,N300&gt;=ルール設定!$B$4),"○",""))</f>
        <v/>
      </c>
      <c r="S300" s="8" t="str">
        <f aca="false">IF(A300="","",IF(AND(Y300&lt;&gt;"参考",G300&gt;=ルール設定!$B$5,J300&gt;=ルール設定!$B$6,O300&gt;=ルール設定!$B$7),"○",""))</f>
        <v/>
      </c>
      <c r="T300" s="8" t="n">
        <v>1</v>
      </c>
      <c r="U300" s="8" t="n">
        <v>3</v>
      </c>
      <c r="V300" s="8" t="str">
        <f aca="false">IF(A300="","",IF(AND(ISNUMBER(T300),ISNUMBER(U300)),IF(AND(T300&lt;=3,U300&lt;=3),"○","×"),""))</f>
        <v>○</v>
      </c>
      <c r="W300" s="8" t="n">
        <v>110</v>
      </c>
      <c r="X300" s="8" t="n">
        <v>240</v>
      </c>
      <c r="Y300" s="4" t="s">
        <v>7597</v>
      </c>
      <c r="Z300" s="4" t="s">
        <v>7726</v>
      </c>
      <c r="AA300" s="8" t="str">
        <v/>
      </c>
      <c r="AB300" s="8" t="str">
        <v/>
      </c>
      <c r="AC300" s="8" t="str">
        <v/>
      </c>
      <c r="AD300" s="8" t="str">
        <v/>
      </c>
      <c r="AE300" s="8" t="str">
        <v/>
      </c>
      <c r="AF300" s="8" t="str">
        <v/>
      </c>
      <c r="AG300" s="8" t="str">
        <v/>
      </c>
      <c r="AH300" s="8" t="str">
        <v/>
      </c>
      <c r="AI300" s="8" t="n">
        <v>27</v>
      </c>
      <c r="AJ300" s="8" t="str">
        <v>60～69</v>
      </c>
      <c r="AK300" s="8" t="str">
        <v>20～29</v>
      </c>
      <c r="AL300" s="8" t="str">
        <v>20～29</v>
      </c>
      <c r="AM300" s="8" t="str">
        <v>100～119</v>
      </c>
      <c r="AN300" s="8" t="str">
        <v>8～11</v>
      </c>
      <c r="AO300" s="8" t="str">
        <f aca="false">IF(A300="","",IF(COUNTIFS(全馬データ!$A$2:$A$50000,A300,全馬データ!$B$2:$B$50000,B300,全馬データ!$C$2:$C$50000,C300,全馬データ!$D$2:$D$50000,E300,全馬データ!$K$2:$K$50000,"&lt;&gt;")=0,"",SUMIFS(全馬データ!$K$2:$K$50000,全馬データ!$A$2:$A$50000,A300,全馬データ!$B$2:$B$50000,B300,全馬データ!$C$2:$C$50000,C300,全馬データ!$D$2:$D$50000,E300)))</f>
        <v/>
      </c>
      <c r="AP300" s="8" t="str">
        <f aca="false">IF(A300="","",IF(AO300="","欠損",IF(AO300&lt;=1.1,"1.0～1.1",IF(AO300&lt;1.3,"1.2",IF(AO300&lt;1.5,"1.3～1.4",IF(AO300&lt;2,"1.5～1.9","2.0以上"))))))</f>
        <v>欠損</v>
      </c>
      <c r="AQ300" s="8" t="str">
        <f aca="false">IF(A300="","",IF(ISNUMBER(SEARCH("2歳",Z300)),"2歳戦",IF(ISNUMBER(SEARCH("3歳未勝利",Z300)),"3歳未勝利",IF(ISNUMBER(SEARCH("未勝利",Z300)),"その他未勝利",IF(ISNUMBER(SEARCH("G1",Z300)),"G1",IF(ISNUMBER(SEARCH("G2",Z300)),"G2",IF(ISNUMBER(SEARCH("G3",Z300)),"G3",IF(ISNUMBER(SEARCH("古馬条件",Z300)),"古馬条件戦",IF(ISNUMBER(SEARCH("重賞",Z300)),"重賞","分類不能")))))))))</f>
        <v>分類不能</v>
      </c>
      <c r="AR300" s="4" t="s">
        <v>7748</v>
      </c>
      <c r="AS300" s="8" t="s">
        <v>7626</v>
      </c>
      <c r="AT300" s="8" t="s">
        <v>7627</v>
      </c>
      <c r="AU300" s="8" t="s">
        <v>7639</v>
      </c>
      <c r="AV300" s="8" t="s">
        <v>7640</v>
      </c>
      <c r="AW300" s="8" t="s">
        <v>7636</v>
      </c>
      <c r="AX300" s="4" t="s">
        <v>7637</v>
      </c>
      <c r="AY300" s="8" t="s">
        <v>7602</v>
      </c>
      <c r="AZ300" s="4" t="s">
        <v>7603</v>
      </c>
      <c r="BA300" s="8" t="n">
        <v>2000</v>
      </c>
      <c r="BB300" s="8" t="s">
        <v>7598</v>
      </c>
      <c r="BC300" s="4" t="s">
        <v>7604</v>
      </c>
      <c r="BD300" s="8" t="s">
        <v>7630</v>
      </c>
      <c r="BE300" s="4" t="s">
        <v>7606</v>
      </c>
      <c r="BF300" s="8" t="s">
        <v>7607</v>
      </c>
      <c r="BG300" s="8" t="s">
        <v>7631</v>
      </c>
      <c r="BH300" s="4" t="s">
        <v>7632</v>
      </c>
      <c r="BI300" s="8" t="n">
        <v>9</v>
      </c>
      <c r="BJ300" s="8" t="s">
        <v>7602</v>
      </c>
      <c r="BK300" s="4" t="s">
        <v>7653</v>
      </c>
      <c r="BL300" s="8" t="s">
        <v>7602</v>
      </c>
      <c r="BM300" s="4" t="s">
        <v>7620</v>
      </c>
      <c r="BN300" s="8" t="s">
        <v>7602</v>
      </c>
      <c r="BO300" s="8" t="s">
        <v>7613</v>
      </c>
      <c r="BP300" s="8" t="s">
        <v>7602</v>
      </c>
      <c r="BQ300" s="8" t="str">
        <f aca="false">IF(A300="","",AT300)</f>
        <v>3歳以上</v>
      </c>
      <c r="BR300" s="8" t="str">
        <f aca="false">IF(A300="","",IF(BA300&lt;=1200,"～1200",IF(BA300&lt;=1500,"1300～1500",IF(BA300=1600,"1600",IF(BA300&lt;=1800,"1700～1800",IF(BA300&lt;=2000,"1900～2000","2100以上"))))))</f>
        <v>1900～2000</v>
      </c>
      <c r="BS300" s="8" t="str">
        <f aca="false">IF(A300="","",IF(AX300="G1","G1",IF(AX300="G2","G2",IF(AX300="G3","G3",IF(AX300="L","L","その他")))))</f>
        <v>その他</v>
      </c>
      <c r="BT300" s="8" t="str">
        <f aca="false">IF(A300="","",IF(BI300="","未結合",IF(D300=BI300,"一致","不一致")))</f>
        <v>一致</v>
      </c>
      <c r="BU300" s="8" t="str">
        <f aca="false">IF(A300="","",IF(BE300="牝馬限定","牝馬限定","その他"))</f>
        <v>その他</v>
      </c>
    </row>
    <row r="301" customFormat="false" ht="15.75" hidden="false" customHeight="false" outlineLevel="0" collapsed="false">
      <c r="A301" s="6" t="n">
        <v>46200</v>
      </c>
      <c r="B301" s="4" t="s">
        <v>915</v>
      </c>
      <c r="C301" s="8" t="n">
        <v>12</v>
      </c>
      <c r="D301" s="8" t="n">
        <v>16</v>
      </c>
      <c r="E301" s="8" t="n">
        <v>15</v>
      </c>
      <c r="F301" s="4" t="s">
        <v>4354</v>
      </c>
      <c r="G301" s="8" t="n">
        <v>66</v>
      </c>
      <c r="H301" s="8" t="n">
        <v>12</v>
      </c>
      <c r="I301" s="4" t="s">
        <v>2370</v>
      </c>
      <c r="J301" s="8" t="n">
        <v>41</v>
      </c>
      <c r="K301" s="8" t="n">
        <v>11</v>
      </c>
      <c r="L301" s="4" t="s">
        <v>4351</v>
      </c>
      <c r="M301" s="8" t="n">
        <v>31</v>
      </c>
      <c r="N301" s="8" t="n">
        <v>25</v>
      </c>
      <c r="O301" s="8" t="n">
        <v>10</v>
      </c>
      <c r="P301" s="8" t="n">
        <v>107</v>
      </c>
      <c r="Q301" s="8" t="str">
        <f aca="false">IF(A301="","",IF(AND(Y301&lt;&gt;"参考",G301&gt;=ルール設定!$B$2),"○",""))</f>
        <v/>
      </c>
      <c r="R301" s="8" t="str">
        <f aca="false">IF(A301="","",IF(AND(Y301&lt;&gt;"参考",G301&gt;=ルール設定!$B$3,N301&gt;=ルール設定!$B$4),"○",""))</f>
        <v/>
      </c>
      <c r="S301" s="8" t="str">
        <f aca="false">IF(A301="","",IF(AND(Y301&lt;&gt;"参考",G301&gt;=ルール設定!$B$5,J301&gt;=ルール設定!$B$6,O301&gt;=ルール設定!$B$7),"○",""))</f>
        <v/>
      </c>
      <c r="T301" s="8" t="n">
        <v>4</v>
      </c>
      <c r="U301" s="8" t="n">
        <v>4</v>
      </c>
      <c r="V301" s="8" t="str">
        <f aca="false">IF(A301="","",IF(AND(ISNUMBER(T301),ISNUMBER(U301)),IF(AND(T301&lt;=3,U301&lt;=3),"○","×"),""))</f>
        <v>×</v>
      </c>
      <c r="W301" s="8"/>
      <c r="X301" s="8"/>
      <c r="Y301" s="4" t="s">
        <v>7597</v>
      </c>
      <c r="Z301" s="4" t="s">
        <v>7726</v>
      </c>
      <c r="AA301" s="8" t="str">
        <v/>
      </c>
      <c r="AB301" s="8" t="str">
        <v/>
      </c>
      <c r="AC301" s="8" t="str">
        <v/>
      </c>
      <c r="AD301" s="8" t="str">
        <v/>
      </c>
      <c r="AE301" s="8" t="str">
        <v/>
      </c>
      <c r="AF301" s="8" t="str">
        <v/>
      </c>
      <c r="AG301" s="8" t="str">
        <v/>
      </c>
      <c r="AH301" s="8" t="str">
        <v/>
      </c>
      <c r="AI301" s="8" t="n">
        <v>35</v>
      </c>
      <c r="AJ301" s="8" t="str">
        <v>60～69</v>
      </c>
      <c r="AK301" s="8" t="str">
        <v>20～29</v>
      </c>
      <c r="AL301" s="8" t="str">
        <v>30～39</v>
      </c>
      <c r="AM301" s="8" t="str">
        <v>100～119</v>
      </c>
      <c r="AN301" s="8" t="str">
        <v>15以上</v>
      </c>
      <c r="AO301" s="8" t="str">
        <f aca="false">IF(A301="","",IF(COUNTIFS(全馬データ!$A$2:$A$50000,A301,全馬データ!$B$2:$B$50000,B301,全馬データ!$C$2:$C$50000,C301,全馬データ!$D$2:$D$50000,E301,全馬データ!$K$2:$K$50000,"&lt;&gt;")=0,"",SUMIFS(全馬データ!$K$2:$K$50000,全馬データ!$A$2:$A$50000,A301,全馬データ!$B$2:$B$50000,B301,全馬データ!$C$2:$C$50000,C301,全馬データ!$D$2:$D$50000,E301)))</f>
        <v/>
      </c>
      <c r="AP301" s="8" t="str">
        <f aca="false">IF(A301="","",IF(AO301="","欠損",IF(AO301&lt;=1.1,"1.0～1.1",IF(AO301&lt;1.3,"1.2",IF(AO301&lt;1.5,"1.3～1.4",IF(AO301&lt;2,"1.5～1.9","2.0以上"))))))</f>
        <v>欠損</v>
      </c>
      <c r="AQ301" s="8" t="str">
        <f aca="false">IF(A301="","",IF(ISNUMBER(SEARCH("2歳",Z301)),"2歳戦",IF(ISNUMBER(SEARCH("3歳未勝利",Z301)),"3歳未勝利",IF(ISNUMBER(SEARCH("未勝利",Z301)),"その他未勝利",IF(ISNUMBER(SEARCH("G1",Z301)),"G1",IF(ISNUMBER(SEARCH("G2",Z301)),"G2",IF(ISNUMBER(SEARCH("G3",Z301)),"G3",IF(ISNUMBER(SEARCH("古馬条件",Z301)),"古馬条件戦",IF(ISNUMBER(SEARCH("重賞",Z301)),"重賞","分類不能")))))))))</f>
        <v>分類不能</v>
      </c>
      <c r="AR301" s="8"/>
      <c r="AS301" s="8" t="s">
        <v>7626</v>
      </c>
      <c r="AT301" s="8" t="s">
        <v>7627</v>
      </c>
      <c r="AU301" s="8" t="s">
        <v>7628</v>
      </c>
      <c r="AV301" s="8" t="s">
        <v>7629</v>
      </c>
      <c r="AW301" s="8"/>
      <c r="AX301" s="8"/>
      <c r="AY301" s="8" t="s">
        <v>7602</v>
      </c>
      <c r="AZ301" s="4" t="s">
        <v>7603</v>
      </c>
      <c r="BA301" s="8" t="n">
        <v>1200</v>
      </c>
      <c r="BB301" s="8" t="s">
        <v>7598</v>
      </c>
      <c r="BC301" s="4" t="s">
        <v>7604</v>
      </c>
      <c r="BD301" s="8" t="s">
        <v>7630</v>
      </c>
      <c r="BE301" s="4" t="s">
        <v>7606</v>
      </c>
      <c r="BF301" s="8" t="s">
        <v>7607</v>
      </c>
      <c r="BG301" s="8" t="s">
        <v>7631</v>
      </c>
      <c r="BH301" s="4" t="s">
        <v>7632</v>
      </c>
      <c r="BI301" s="8" t="n">
        <v>16</v>
      </c>
      <c r="BJ301" s="8" t="s">
        <v>7602</v>
      </c>
      <c r="BK301" s="4" t="s">
        <v>7653</v>
      </c>
      <c r="BL301" s="8" t="s">
        <v>7602</v>
      </c>
      <c r="BM301" s="4" t="s">
        <v>7620</v>
      </c>
      <c r="BN301" s="8" t="s">
        <v>7602</v>
      </c>
      <c r="BO301" s="8" t="s">
        <v>7613</v>
      </c>
      <c r="BP301" s="8" t="s">
        <v>7602</v>
      </c>
      <c r="BQ301" s="8" t="str">
        <f aca="false">IF(A301="","",AT301)</f>
        <v>3歳以上</v>
      </c>
      <c r="BR301" s="8" t="str">
        <f aca="false">IF(A301="","",IF(BA301&lt;=1200,"～1200",IF(BA301&lt;=1500,"1300～1500",IF(BA301=1600,"1600",IF(BA301&lt;=1800,"1700～1800",IF(BA301&lt;=2000,"1900～2000","2100以上"))))))</f>
        <v>～1200</v>
      </c>
      <c r="BS301" s="8" t="str">
        <f aca="false">IF(A301="","",IF(AX301="G1","G1",IF(AX301="G2","G2",IF(AX301="G3","G3",IF(AX301="L","L","その他")))))</f>
        <v>その他</v>
      </c>
      <c r="BT301" s="8" t="str">
        <f aca="false">IF(A301="","",IF(BI301="","未結合",IF(D301=BI301,"一致","不一致")))</f>
        <v>一致</v>
      </c>
      <c r="BU301" s="8" t="str">
        <f aca="false">IF(A301="","",IF(BE301="牝馬限定","牝馬限定","その他"))</f>
        <v>その他</v>
      </c>
    </row>
    <row r="302" customFormat="false" ht="15.75" hidden="false" customHeight="false" outlineLevel="0" collapsed="false">
      <c r="A302" s="6" t="n">
        <v>46200</v>
      </c>
      <c r="B302" s="4" t="s">
        <v>1091</v>
      </c>
      <c r="C302" s="8" t="n">
        <v>1</v>
      </c>
      <c r="D302" s="8" t="n">
        <v>6</v>
      </c>
      <c r="E302" s="8" t="n">
        <v>1</v>
      </c>
      <c r="F302" s="4" t="s">
        <v>4355</v>
      </c>
      <c r="G302" s="8" t="n">
        <v>86</v>
      </c>
      <c r="H302" s="8" t="n">
        <v>2</v>
      </c>
      <c r="I302" s="4" t="s">
        <v>4356</v>
      </c>
      <c r="J302" s="8" t="n">
        <v>34</v>
      </c>
      <c r="K302" s="8" t="n">
        <v>3</v>
      </c>
      <c r="L302" s="4" t="s">
        <v>4357</v>
      </c>
      <c r="M302" s="8" t="n">
        <v>29</v>
      </c>
      <c r="N302" s="8" t="n">
        <v>52</v>
      </c>
      <c r="O302" s="8" t="n">
        <v>5</v>
      </c>
      <c r="P302" s="8" t="n">
        <v>120</v>
      </c>
      <c r="Q302" s="8" t="str">
        <f aca="false">IF(A302="","",IF(AND(Y302&lt;&gt;"参考",G302&gt;=ルール設定!$B$2),"○",""))</f>
        <v>○</v>
      </c>
      <c r="R302" s="8" t="str">
        <f aca="false">IF(A302="","",IF(AND(Y302&lt;&gt;"参考",G302&gt;=ルール設定!$B$3,N302&gt;=ルール設定!$B$4),"○",""))</f>
        <v>○</v>
      </c>
      <c r="S302" s="8" t="str">
        <f aca="false">IF(A302="","",IF(AND(Y302&lt;&gt;"参考",G302&gt;=ルール設定!$B$5,J302&gt;=ルール設定!$B$6,O302&gt;=ルール設定!$B$7),"○",""))</f>
        <v/>
      </c>
      <c r="T302" s="8" t="n">
        <v>1</v>
      </c>
      <c r="U302" s="8" t="n">
        <v>2</v>
      </c>
      <c r="V302" s="8" t="str">
        <f aca="false">IF(A302="","",IF(AND(ISNUMBER(T302),ISNUMBER(U302)),IF(AND(T302&lt;=3,U302&lt;=3),"○","×"),""))</f>
        <v>○</v>
      </c>
      <c r="W302" s="8" t="n">
        <v>110</v>
      </c>
      <c r="X302" s="8" t="n">
        <v>130</v>
      </c>
      <c r="Y302" s="4" t="s">
        <v>7597</v>
      </c>
      <c r="Z302" s="4" t="s">
        <v>7726</v>
      </c>
      <c r="AA302" s="8" t="str">
        <v>○</v>
      </c>
      <c r="AB302" s="8" t="str">
        <v/>
      </c>
      <c r="AC302" s="8" t="str">
        <v/>
      </c>
      <c r="AD302" s="8" t="str">
        <v>○</v>
      </c>
      <c r="AE302" s="8" t="str">
        <v/>
      </c>
      <c r="AF302" s="8" t="str">
        <v/>
      </c>
      <c r="AG302" s="8" t="str">
        <v>○</v>
      </c>
      <c r="AH302" s="8" t="str">
        <v>○</v>
      </c>
      <c r="AI302" s="8" t="n">
        <v>57</v>
      </c>
      <c r="AJ302" s="8" t="str">
        <v>85以上</v>
      </c>
      <c r="AK302" s="8" t="str">
        <v>30以上</v>
      </c>
      <c r="AL302" s="8" t="str">
        <v>40以上</v>
      </c>
      <c r="AM302" s="8" t="str">
        <v>120～139</v>
      </c>
      <c r="AN302" s="8" t="str">
        <v>7以下</v>
      </c>
      <c r="AO302" s="8" t="str">
        <f aca="false">IF(A302="","",IF(COUNTIFS(全馬データ!$A$2:$A$50000,A302,全馬データ!$B$2:$B$50000,B302,全馬データ!$C$2:$C$50000,C302,全馬データ!$D$2:$D$50000,E302,全馬データ!$K$2:$K$50000,"&lt;&gt;")=0,"",SUMIFS(全馬データ!$K$2:$K$50000,全馬データ!$A$2:$A$50000,A302,全馬データ!$B$2:$B$50000,B302,全馬データ!$C$2:$C$50000,C302,全馬データ!$D$2:$D$50000,E302)))</f>
        <v/>
      </c>
      <c r="AP302" s="8" t="str">
        <f aca="false">IF(A302="","",IF(AO302="","欠損",IF(AO302&lt;=1.1,"1.0～1.1",IF(AO302&lt;1.3,"1.2",IF(AO302&lt;1.5,"1.3～1.4",IF(AO302&lt;2,"1.5～1.9","2.0以上"))))))</f>
        <v>欠損</v>
      </c>
      <c r="AQ302" s="8" t="str">
        <f aca="false">IF(A302="","",IF(ISNUMBER(SEARCH("2歳",Z302)),"2歳戦",IF(ISNUMBER(SEARCH("3歳未勝利",Z302)),"3歳未勝利",IF(ISNUMBER(SEARCH("未勝利",Z302)),"その他未勝利",IF(ISNUMBER(SEARCH("G1",Z302)),"G1",IF(ISNUMBER(SEARCH("G2",Z302)),"G2",IF(ISNUMBER(SEARCH("G3",Z302)),"G3",IF(ISNUMBER(SEARCH("古馬条件",Z302)),"古馬条件戦",IF(ISNUMBER(SEARCH("重賞",Z302)),"重賞","分類不能")))))))))</f>
        <v>分類不能</v>
      </c>
      <c r="AR302" s="8"/>
      <c r="AS302" s="8" t="s">
        <v>7598</v>
      </c>
      <c r="AT302" s="8" t="s">
        <v>7599</v>
      </c>
      <c r="AU302" s="8" t="s">
        <v>7600</v>
      </c>
      <c r="AV302" s="4" t="s">
        <v>7601</v>
      </c>
      <c r="AW302" s="8"/>
      <c r="AX302" s="8"/>
      <c r="AY302" s="8" t="s">
        <v>7602</v>
      </c>
      <c r="AZ302" s="4" t="s">
        <v>7603</v>
      </c>
      <c r="BA302" s="8" t="n">
        <v>1200</v>
      </c>
      <c r="BB302" s="8" t="s">
        <v>7701</v>
      </c>
      <c r="BC302" s="4" t="s">
        <v>7658</v>
      </c>
      <c r="BD302" s="8" t="s">
        <v>7605</v>
      </c>
      <c r="BE302" s="4" t="s">
        <v>7606</v>
      </c>
      <c r="BF302" s="8" t="s">
        <v>7607</v>
      </c>
      <c r="BG302" s="8" t="s">
        <v>7608</v>
      </c>
      <c r="BH302" s="4" t="s">
        <v>7609</v>
      </c>
      <c r="BI302" s="8" t="n">
        <v>6</v>
      </c>
      <c r="BJ302" s="8" t="s">
        <v>7602</v>
      </c>
      <c r="BK302" s="4" t="s">
        <v>7653</v>
      </c>
      <c r="BL302" s="8" t="s">
        <v>7602</v>
      </c>
      <c r="BM302" s="4" t="s">
        <v>7620</v>
      </c>
      <c r="BN302" s="8" t="s">
        <v>7602</v>
      </c>
      <c r="BO302" s="8" t="s">
        <v>7613</v>
      </c>
      <c r="BP302" s="8" t="s">
        <v>7610</v>
      </c>
      <c r="BQ302" s="8" t="str">
        <f aca="false">IF(A302="","",AT302)</f>
        <v>2歳</v>
      </c>
      <c r="BR302" s="8" t="str">
        <f aca="false">IF(A302="","",IF(BA302&lt;=1200,"～1200",IF(BA302&lt;=1500,"1300～1500",IF(BA302=1600,"1600",IF(BA302&lt;=1800,"1700～1800",IF(BA302&lt;=2000,"1900～2000","2100以上"))))))</f>
        <v>～1200</v>
      </c>
      <c r="BS302" s="8" t="str">
        <f aca="false">IF(A302="","",IF(AX302="G1","G1",IF(AX302="G2","G2",IF(AX302="G3","G3",IF(AX302="L","L","その他")))))</f>
        <v>その他</v>
      </c>
      <c r="BT302" s="8" t="str">
        <f aca="false">IF(A302="","",IF(BI302="","未結合",IF(D302=BI302,"一致","不一致")))</f>
        <v>一致</v>
      </c>
      <c r="BU302" s="8" t="str">
        <f aca="false">IF(A302="","",IF(BE302="牝馬限定","牝馬限定","その他"))</f>
        <v>その他</v>
      </c>
    </row>
    <row r="303" customFormat="false" ht="15.75" hidden="false" customHeight="false" outlineLevel="0" collapsed="false">
      <c r="A303" s="6" t="n">
        <v>46200</v>
      </c>
      <c r="B303" s="4" t="s">
        <v>1091</v>
      </c>
      <c r="C303" s="8" t="n">
        <v>2</v>
      </c>
      <c r="D303" s="8" t="n">
        <v>14</v>
      </c>
      <c r="E303" s="8" t="n">
        <v>10</v>
      </c>
      <c r="F303" s="4" t="s">
        <v>4363</v>
      </c>
      <c r="G303" s="8" t="n">
        <v>71</v>
      </c>
      <c r="H303" s="8" t="n">
        <v>7</v>
      </c>
      <c r="I303" s="4" t="s">
        <v>1125</v>
      </c>
      <c r="J303" s="8" t="n">
        <v>56</v>
      </c>
      <c r="K303" s="8" t="n">
        <v>14</v>
      </c>
      <c r="L303" s="4" t="s">
        <v>1655</v>
      </c>
      <c r="M303" s="8" t="n">
        <v>56</v>
      </c>
      <c r="N303" s="8" t="n">
        <v>15</v>
      </c>
      <c r="O303" s="8" t="n">
        <v>0</v>
      </c>
      <c r="P303" s="8" t="n">
        <v>127</v>
      </c>
      <c r="Q303" s="8" t="str">
        <f aca="false">IF(A303="","",IF(AND(Y303&lt;&gt;"参考",G303&gt;=ルール設定!$B$2),"○",""))</f>
        <v/>
      </c>
      <c r="R303" s="8" t="str">
        <f aca="false">IF(A303="","",IF(AND(Y303&lt;&gt;"参考",G303&gt;=ルール設定!$B$3,N303&gt;=ルール設定!$B$4),"○",""))</f>
        <v/>
      </c>
      <c r="S303" s="8" t="str">
        <f aca="false">IF(A303="","",IF(AND(Y303&lt;&gt;"参考",G303&gt;=ルール設定!$B$5,J303&gt;=ルール設定!$B$6,O303&gt;=ルール設定!$B$7),"○",""))</f>
        <v/>
      </c>
      <c r="T303" s="8" t="n">
        <v>4</v>
      </c>
      <c r="U303" s="8" t="n">
        <v>4</v>
      </c>
      <c r="V303" s="8" t="str">
        <f aca="false">IF(A303="","",IF(AND(ISNUMBER(T303),ISNUMBER(U303)),IF(AND(T303&lt;=3,U303&lt;=3),"○","×"),""))</f>
        <v>×</v>
      </c>
      <c r="W303" s="8"/>
      <c r="X303" s="8"/>
      <c r="Y303" s="4" t="s">
        <v>7597</v>
      </c>
      <c r="Z303" s="4" t="s">
        <v>7726</v>
      </c>
      <c r="AA303" s="8" t="str">
        <v/>
      </c>
      <c r="AB303" s="8" t="str">
        <v/>
      </c>
      <c r="AC303" s="8" t="str">
        <v/>
      </c>
      <c r="AD303" s="8" t="str">
        <v/>
      </c>
      <c r="AE303" s="8" t="str">
        <v/>
      </c>
      <c r="AF303" s="8" t="str">
        <v/>
      </c>
      <c r="AG303" s="8" t="str">
        <v/>
      </c>
      <c r="AH303" s="8" t="str">
        <v/>
      </c>
      <c r="AI303" s="8" t="n">
        <v>15</v>
      </c>
      <c r="AJ303" s="8" t="str">
        <v>70～74</v>
      </c>
      <c r="AK303" s="8" t="str">
        <v>10～19</v>
      </c>
      <c r="AL303" s="8" t="str">
        <v>10～19</v>
      </c>
      <c r="AM303" s="8" t="str">
        <v>120～139</v>
      </c>
      <c r="AN303" s="8" t="str">
        <v>12～14</v>
      </c>
      <c r="AO303" s="8" t="str">
        <f aca="false">IF(A303="","",IF(COUNTIFS(全馬データ!$A$2:$A$50000,A303,全馬データ!$B$2:$B$50000,B303,全馬データ!$C$2:$C$50000,C303,全馬データ!$D$2:$D$50000,E303,全馬データ!$K$2:$K$50000,"&lt;&gt;")=0,"",SUMIFS(全馬データ!$K$2:$K$50000,全馬データ!$A$2:$A$50000,A303,全馬データ!$B$2:$B$50000,B303,全馬データ!$C$2:$C$50000,C303,全馬データ!$D$2:$D$50000,E303)))</f>
        <v/>
      </c>
      <c r="AP303" s="8" t="str">
        <f aca="false">IF(A303="","",IF(AO303="","欠損",IF(AO303&lt;=1.1,"1.0～1.1",IF(AO303&lt;1.3,"1.2",IF(AO303&lt;1.5,"1.3～1.4",IF(AO303&lt;2,"1.5～1.9","2.0以上"))))))</f>
        <v>欠損</v>
      </c>
      <c r="AQ303" s="8" t="str">
        <f aca="false">IF(A303="","",IF(ISNUMBER(SEARCH("2歳",Z303)),"2歳戦",IF(ISNUMBER(SEARCH("3歳未勝利",Z303)),"3歳未勝利",IF(ISNUMBER(SEARCH("未勝利",Z303)),"その他未勝利",IF(ISNUMBER(SEARCH("G1",Z303)),"G1",IF(ISNUMBER(SEARCH("G2",Z303)),"G2",IF(ISNUMBER(SEARCH("G3",Z303)),"G3",IF(ISNUMBER(SEARCH("古馬条件",Z303)),"古馬条件戦",IF(ISNUMBER(SEARCH("重賞",Z303)),"重賞","分類不能")))))))))</f>
        <v>分類不能</v>
      </c>
      <c r="AR303" s="8"/>
      <c r="AS303" s="8" t="s">
        <v>7623</v>
      </c>
      <c r="AT303" s="8" t="s">
        <v>7624</v>
      </c>
      <c r="AU303" s="8" t="s">
        <v>7600</v>
      </c>
      <c r="AV303" s="4" t="s">
        <v>7601</v>
      </c>
      <c r="AW303" s="8"/>
      <c r="AX303" s="8"/>
      <c r="AY303" s="8" t="s">
        <v>7610</v>
      </c>
      <c r="AZ303" s="4" t="s">
        <v>7617</v>
      </c>
      <c r="BA303" s="8" t="n">
        <v>1000</v>
      </c>
      <c r="BB303" s="8" t="s">
        <v>7669</v>
      </c>
      <c r="BC303" s="4" t="s">
        <v>7662</v>
      </c>
      <c r="BD303" s="8" t="s">
        <v>7605</v>
      </c>
      <c r="BE303" s="4" t="s">
        <v>7606</v>
      </c>
      <c r="BF303" s="8" t="s">
        <v>7607</v>
      </c>
      <c r="BG303" s="8" t="s">
        <v>7608</v>
      </c>
      <c r="BH303" s="4" t="s">
        <v>7609</v>
      </c>
      <c r="BI303" s="8" t="n">
        <v>14</v>
      </c>
      <c r="BJ303" s="8" t="s">
        <v>7602</v>
      </c>
      <c r="BK303" s="4" t="s">
        <v>7653</v>
      </c>
      <c r="BL303" s="8" t="s">
        <v>7602</v>
      </c>
      <c r="BM303" s="4" t="s">
        <v>7620</v>
      </c>
      <c r="BN303" s="8"/>
      <c r="BO303" s="8"/>
      <c r="BP303" s="8" t="s">
        <v>7610</v>
      </c>
      <c r="BQ303" s="8" t="str">
        <f aca="false">IF(A303="","",AT303)</f>
        <v>3歳</v>
      </c>
      <c r="BR303" s="8" t="str">
        <f aca="false">IF(A303="","",IF(BA303&lt;=1200,"～1200",IF(BA303&lt;=1500,"1300～1500",IF(BA303=1600,"1600",IF(BA303&lt;=1800,"1700～1800",IF(BA303&lt;=2000,"1900～2000","2100以上"))))))</f>
        <v>～1200</v>
      </c>
      <c r="BS303" s="8" t="str">
        <f aca="false">IF(A303="","",IF(AX303="G1","G1",IF(AX303="G2","G2",IF(AX303="G3","G3",IF(AX303="L","L","その他")))))</f>
        <v>その他</v>
      </c>
      <c r="BT303" s="8" t="str">
        <f aca="false">IF(A303="","",IF(BI303="","未結合",IF(D303=BI303,"一致","不一致")))</f>
        <v>一致</v>
      </c>
      <c r="BU303" s="8" t="str">
        <f aca="false">IF(A303="","",IF(BE303="牝馬限定","牝馬限定","その他"))</f>
        <v>その他</v>
      </c>
    </row>
    <row r="304" customFormat="false" ht="15.75" hidden="false" customHeight="false" outlineLevel="0" collapsed="false">
      <c r="A304" s="6" t="n">
        <v>46200</v>
      </c>
      <c r="B304" s="4" t="s">
        <v>1091</v>
      </c>
      <c r="C304" s="8" t="n">
        <v>3</v>
      </c>
      <c r="D304" s="8" t="n">
        <v>16</v>
      </c>
      <c r="E304" s="8" t="n">
        <v>16</v>
      </c>
      <c r="F304" s="4" t="s">
        <v>4373</v>
      </c>
      <c r="G304" s="8" t="n">
        <v>60</v>
      </c>
      <c r="H304" s="8" t="n">
        <v>7</v>
      </c>
      <c r="I304" s="4" t="s">
        <v>363</v>
      </c>
      <c r="J304" s="8" t="n">
        <v>50</v>
      </c>
      <c r="K304" s="8" t="n">
        <v>10</v>
      </c>
      <c r="L304" s="4" t="s">
        <v>4369</v>
      </c>
      <c r="M304" s="8" t="n">
        <v>29</v>
      </c>
      <c r="N304" s="8" t="n">
        <v>10</v>
      </c>
      <c r="O304" s="8" t="n">
        <v>21</v>
      </c>
      <c r="P304" s="8" t="n">
        <v>110</v>
      </c>
      <c r="Q304" s="8" t="str">
        <f aca="false">IF(A304="","",IF(AND(Y304&lt;&gt;"参考",G304&gt;=ルール設定!$B$2),"○",""))</f>
        <v/>
      </c>
      <c r="R304" s="8" t="str">
        <f aca="false">IF(A304="","",IF(AND(Y304&lt;&gt;"参考",G304&gt;=ルール設定!$B$3,N304&gt;=ルール設定!$B$4),"○",""))</f>
        <v/>
      </c>
      <c r="S304" s="8" t="str">
        <f aca="false">IF(A304="","",IF(AND(Y304&lt;&gt;"参考",G304&gt;=ルール設定!$B$5,J304&gt;=ルール設定!$B$6,O304&gt;=ルール設定!$B$7),"○",""))</f>
        <v>○</v>
      </c>
      <c r="T304" s="8" t="n">
        <v>4</v>
      </c>
      <c r="U304" s="8" t="n">
        <v>4</v>
      </c>
      <c r="V304" s="8" t="str">
        <f aca="false">IF(A304="","",IF(AND(ISNUMBER(T304),ISNUMBER(U304)),IF(AND(T304&lt;=3,U304&lt;=3),"○","×"),""))</f>
        <v>×</v>
      </c>
      <c r="W304" s="8"/>
      <c r="X304" s="8"/>
      <c r="Y304" s="4" t="s">
        <v>7597</v>
      </c>
      <c r="Z304" s="4" t="s">
        <v>7726</v>
      </c>
      <c r="AA304" s="8" t="str">
        <v/>
      </c>
      <c r="AB304" s="8" t="str">
        <v/>
      </c>
      <c r="AC304" s="8" t="str">
        <v/>
      </c>
      <c r="AD304" s="8" t="str">
        <v/>
      </c>
      <c r="AE304" s="8" t="str">
        <v/>
      </c>
      <c r="AF304" s="8" t="str">
        <v/>
      </c>
      <c r="AG304" s="8" t="str">
        <v/>
      </c>
      <c r="AH304" s="8" t="str">
        <v/>
      </c>
      <c r="AI304" s="8" t="n">
        <v>31</v>
      </c>
      <c r="AJ304" s="8" t="str">
        <v>60～69</v>
      </c>
      <c r="AK304" s="8" t="str">
        <v>10～19</v>
      </c>
      <c r="AL304" s="8" t="str">
        <v>30～39</v>
      </c>
      <c r="AM304" s="8" t="str">
        <v>100～119</v>
      </c>
      <c r="AN304" s="8" t="str">
        <v>15以上</v>
      </c>
      <c r="AO304" s="8" t="str">
        <f aca="false">IF(A304="","",IF(COUNTIFS(全馬データ!$A$2:$A$50000,A304,全馬データ!$B$2:$B$50000,B304,全馬データ!$C$2:$C$50000,C304,全馬データ!$D$2:$D$50000,E304,全馬データ!$K$2:$K$50000,"&lt;&gt;")=0,"",SUMIFS(全馬データ!$K$2:$K$50000,全馬データ!$A$2:$A$50000,A304,全馬データ!$B$2:$B$50000,B304,全馬データ!$C$2:$C$50000,C304,全馬データ!$D$2:$D$50000,E304)))</f>
        <v/>
      </c>
      <c r="AP304" s="8" t="str">
        <f aca="false">IF(A304="","",IF(AO304="","欠損",IF(AO304&lt;=1.1,"1.0～1.1",IF(AO304&lt;1.3,"1.2",IF(AO304&lt;1.5,"1.3～1.4",IF(AO304&lt;2,"1.5～1.9","2.0以上"))))))</f>
        <v>欠損</v>
      </c>
      <c r="AQ304" s="8" t="str">
        <f aca="false">IF(A304="","",IF(ISNUMBER(SEARCH("2歳",Z304)),"2歳戦",IF(ISNUMBER(SEARCH("3歳未勝利",Z304)),"3歳未勝利",IF(ISNUMBER(SEARCH("未勝利",Z304)),"その他未勝利",IF(ISNUMBER(SEARCH("G1",Z304)),"G1",IF(ISNUMBER(SEARCH("G2",Z304)),"G2",IF(ISNUMBER(SEARCH("G3",Z304)),"G3",IF(ISNUMBER(SEARCH("古馬条件",Z304)),"古馬条件戦",IF(ISNUMBER(SEARCH("重賞",Z304)),"重賞","分類不能")))))))))</f>
        <v>分類不能</v>
      </c>
      <c r="AR304" s="8"/>
      <c r="AS304" s="8" t="s">
        <v>7623</v>
      </c>
      <c r="AT304" s="8" t="s">
        <v>7624</v>
      </c>
      <c r="AU304" s="8" t="s">
        <v>7600</v>
      </c>
      <c r="AV304" s="4" t="s">
        <v>7601</v>
      </c>
      <c r="AW304" s="8"/>
      <c r="AX304" s="8"/>
      <c r="AY304" s="8" t="s">
        <v>7602</v>
      </c>
      <c r="AZ304" s="4" t="s">
        <v>7603</v>
      </c>
      <c r="BA304" s="8" t="n">
        <v>1800</v>
      </c>
      <c r="BB304" s="8" t="s">
        <v>7701</v>
      </c>
      <c r="BC304" s="4" t="s">
        <v>7658</v>
      </c>
      <c r="BD304" s="8" t="s">
        <v>7621</v>
      </c>
      <c r="BE304" s="4" t="s">
        <v>7622</v>
      </c>
      <c r="BF304" s="8" t="s">
        <v>7602</v>
      </c>
      <c r="BG304" s="8" t="s">
        <v>7608</v>
      </c>
      <c r="BH304" s="4" t="s">
        <v>7609</v>
      </c>
      <c r="BI304" s="8" t="n">
        <v>16</v>
      </c>
      <c r="BJ304" s="8" t="s">
        <v>7602</v>
      </c>
      <c r="BK304" s="4" t="s">
        <v>7653</v>
      </c>
      <c r="BL304" s="8" t="s">
        <v>7602</v>
      </c>
      <c r="BM304" s="4" t="s">
        <v>7620</v>
      </c>
      <c r="BN304" s="8" t="s">
        <v>7602</v>
      </c>
      <c r="BO304" s="8" t="s">
        <v>7613</v>
      </c>
      <c r="BP304" s="8" t="s">
        <v>7610</v>
      </c>
      <c r="BQ304" s="8" t="str">
        <f aca="false">IF(A304="","",AT304)</f>
        <v>3歳</v>
      </c>
      <c r="BR304" s="8" t="str">
        <f aca="false">IF(A304="","",IF(BA304&lt;=1200,"～1200",IF(BA304&lt;=1500,"1300～1500",IF(BA304=1600,"1600",IF(BA304&lt;=1800,"1700～1800",IF(BA304&lt;=2000,"1900～2000","2100以上"))))))</f>
        <v>1700～1800</v>
      </c>
      <c r="BS304" s="8" t="str">
        <f aca="false">IF(A304="","",IF(AX304="G1","G1",IF(AX304="G2","G2",IF(AX304="G3","G3",IF(AX304="L","L","その他")))))</f>
        <v>その他</v>
      </c>
      <c r="BT304" s="8" t="str">
        <f aca="false">IF(A304="","",IF(BI304="","未結合",IF(D304=BI304,"一致","不一致")))</f>
        <v>一致</v>
      </c>
      <c r="BU304" s="8" t="str">
        <f aca="false">IF(A304="","",IF(BE304="牝馬限定","牝馬限定","その他"))</f>
        <v>牝馬限定</v>
      </c>
    </row>
    <row r="305" customFormat="false" ht="15.75" hidden="false" customHeight="false" outlineLevel="0" collapsed="false">
      <c r="A305" s="6" t="n">
        <v>46200</v>
      </c>
      <c r="B305" s="4" t="s">
        <v>1091</v>
      </c>
      <c r="C305" s="8" t="n">
        <v>4</v>
      </c>
      <c r="D305" s="8" t="n">
        <v>16</v>
      </c>
      <c r="E305" s="8" t="n">
        <v>8</v>
      </c>
      <c r="F305" s="4" t="s">
        <v>657</v>
      </c>
      <c r="G305" s="8" t="n">
        <v>56</v>
      </c>
      <c r="H305" s="8" t="n">
        <v>16</v>
      </c>
      <c r="I305" s="4" t="s">
        <v>3976</v>
      </c>
      <c r="J305" s="8" t="n">
        <v>47</v>
      </c>
      <c r="K305" s="8" t="n">
        <v>6</v>
      </c>
      <c r="L305" s="4" t="s">
        <v>3923</v>
      </c>
      <c r="M305" s="8" t="n">
        <v>44</v>
      </c>
      <c r="N305" s="8" t="n">
        <v>9</v>
      </c>
      <c r="O305" s="8" t="n">
        <v>3</v>
      </c>
      <c r="P305" s="8" t="n">
        <v>103</v>
      </c>
      <c r="Q305" s="8" t="str">
        <f aca="false">IF(A305="","",IF(AND(Y305&lt;&gt;"参考",G305&gt;=ルール設定!$B$2),"○",""))</f>
        <v/>
      </c>
      <c r="R305" s="8" t="str">
        <f aca="false">IF(A305="","",IF(AND(Y305&lt;&gt;"参考",G305&gt;=ルール設定!$B$3,N305&gt;=ルール設定!$B$4),"○",""))</f>
        <v/>
      </c>
      <c r="S305" s="8" t="str">
        <f aca="false">IF(A305="","",IF(AND(Y305&lt;&gt;"参考",G305&gt;=ルール設定!$B$5,J305&gt;=ルール設定!$B$6,O305&gt;=ルール設定!$B$7),"○",""))</f>
        <v/>
      </c>
      <c r="T305" s="8" t="n">
        <v>2</v>
      </c>
      <c r="U305" s="8" t="n">
        <v>4</v>
      </c>
      <c r="V305" s="8" t="str">
        <f aca="false">IF(A305="","",IF(AND(ISNUMBER(T305),ISNUMBER(U305)),IF(AND(T305&lt;=3,U305&lt;=3),"○","×"),""))</f>
        <v>×</v>
      </c>
      <c r="W305" s="8" t="n">
        <v>150</v>
      </c>
      <c r="X305" s="8"/>
      <c r="Y305" s="4" t="s">
        <v>7597</v>
      </c>
      <c r="Z305" s="4" t="s">
        <v>7726</v>
      </c>
      <c r="AA305" s="8" t="str">
        <v/>
      </c>
      <c r="AB305" s="8" t="str">
        <v/>
      </c>
      <c r="AC305" s="8" t="str">
        <v/>
      </c>
      <c r="AD305" s="8" t="str">
        <v/>
      </c>
      <c r="AE305" s="8" t="str">
        <v/>
      </c>
      <c r="AF305" s="8" t="str">
        <v/>
      </c>
      <c r="AG305" s="8" t="str">
        <v/>
      </c>
      <c r="AH305" s="8" t="str">
        <v/>
      </c>
      <c r="AI305" s="8" t="n">
        <v>12</v>
      </c>
      <c r="AJ305" s="8" t="str">
        <v>～59</v>
      </c>
      <c r="AK305" s="8" t="str">
        <v>5～9</v>
      </c>
      <c r="AL305" s="8" t="str">
        <v>10～19</v>
      </c>
      <c r="AM305" s="8" t="str">
        <v>100～119</v>
      </c>
      <c r="AN305" s="8" t="str">
        <v>15以上</v>
      </c>
      <c r="AO305" s="8" t="str">
        <f aca="false">IF(A305="","",IF(COUNTIFS(全馬データ!$A$2:$A$50000,A305,全馬データ!$B$2:$B$50000,B305,全馬データ!$C$2:$C$50000,C305,全馬データ!$D$2:$D$50000,E305,全馬データ!$K$2:$K$50000,"&lt;&gt;")=0,"",SUMIFS(全馬データ!$K$2:$K$50000,全馬データ!$A$2:$A$50000,A305,全馬データ!$B$2:$B$50000,B305,全馬データ!$C$2:$C$50000,C305,全馬データ!$D$2:$D$50000,E305)))</f>
        <v/>
      </c>
      <c r="AP305" s="8" t="str">
        <f aca="false">IF(A305="","",IF(AO305="","欠損",IF(AO305&lt;=1.1,"1.0～1.1",IF(AO305&lt;1.3,"1.2",IF(AO305&lt;1.5,"1.3～1.4",IF(AO305&lt;2,"1.5～1.9","2.0以上"))))))</f>
        <v>欠損</v>
      </c>
      <c r="AQ305" s="8" t="str">
        <f aca="false">IF(A305="","",IF(ISNUMBER(SEARCH("2歳",Z305)),"2歳戦",IF(ISNUMBER(SEARCH("3歳未勝利",Z305)),"3歳未勝利",IF(ISNUMBER(SEARCH("未勝利",Z305)),"その他未勝利",IF(ISNUMBER(SEARCH("G1",Z305)),"G1",IF(ISNUMBER(SEARCH("G2",Z305)),"G2",IF(ISNUMBER(SEARCH("G3",Z305)),"G3",IF(ISNUMBER(SEARCH("古馬条件",Z305)),"古馬条件戦",IF(ISNUMBER(SEARCH("重賞",Z305)),"重賞","分類不能")))))))))</f>
        <v>分類不能</v>
      </c>
      <c r="AR305" s="8"/>
      <c r="AS305" s="8" t="s">
        <v>7623</v>
      </c>
      <c r="AT305" s="8" t="s">
        <v>7624</v>
      </c>
      <c r="AU305" s="8" t="s">
        <v>7600</v>
      </c>
      <c r="AV305" s="4" t="s">
        <v>7601</v>
      </c>
      <c r="AW305" s="8"/>
      <c r="AX305" s="8"/>
      <c r="AY305" s="8" t="s">
        <v>7610</v>
      </c>
      <c r="AZ305" s="4" t="s">
        <v>7617</v>
      </c>
      <c r="BA305" s="8" t="n">
        <v>1700</v>
      </c>
      <c r="BB305" s="8" t="s">
        <v>7669</v>
      </c>
      <c r="BC305" s="4" t="s">
        <v>7662</v>
      </c>
      <c r="BD305" s="8" t="s">
        <v>7625</v>
      </c>
      <c r="BE305" s="4" t="s">
        <v>7606</v>
      </c>
      <c r="BF305" s="8" t="s">
        <v>7607</v>
      </c>
      <c r="BG305" s="8" t="s">
        <v>7608</v>
      </c>
      <c r="BH305" s="4" t="s">
        <v>7609</v>
      </c>
      <c r="BI305" s="8" t="n">
        <v>16</v>
      </c>
      <c r="BJ305" s="8" t="s">
        <v>7602</v>
      </c>
      <c r="BK305" s="4" t="s">
        <v>7653</v>
      </c>
      <c r="BL305" s="8" t="s">
        <v>7602</v>
      </c>
      <c r="BM305" s="4" t="s">
        <v>7620</v>
      </c>
      <c r="BN305" s="8"/>
      <c r="BO305" s="8"/>
      <c r="BP305" s="8" t="s">
        <v>7610</v>
      </c>
      <c r="BQ305" s="8" t="str">
        <f aca="false">IF(A305="","",AT305)</f>
        <v>3歳</v>
      </c>
      <c r="BR305" s="8" t="str">
        <f aca="false">IF(A305="","",IF(BA305&lt;=1200,"～1200",IF(BA305&lt;=1500,"1300～1500",IF(BA305=1600,"1600",IF(BA305&lt;=1800,"1700～1800",IF(BA305&lt;=2000,"1900～2000","2100以上"))))))</f>
        <v>1700～1800</v>
      </c>
      <c r="BS305" s="8" t="str">
        <f aca="false">IF(A305="","",IF(AX305="G1","G1",IF(AX305="G2","G2",IF(AX305="G3","G3",IF(AX305="L","L","その他")))))</f>
        <v>その他</v>
      </c>
      <c r="BT305" s="8" t="str">
        <f aca="false">IF(A305="","",IF(BI305="","未結合",IF(D305=BI305,"一致","不一致")))</f>
        <v>一致</v>
      </c>
      <c r="BU305" s="8" t="str">
        <f aca="false">IF(A305="","",IF(BE305="牝馬限定","牝馬限定","その他"))</f>
        <v>その他</v>
      </c>
    </row>
    <row r="306" customFormat="false" ht="15.75" hidden="false" customHeight="false" outlineLevel="0" collapsed="false">
      <c r="A306" s="6" t="n">
        <v>46200</v>
      </c>
      <c r="B306" s="4" t="s">
        <v>1091</v>
      </c>
      <c r="C306" s="8" t="n">
        <v>5</v>
      </c>
      <c r="D306" s="8" t="n">
        <v>10</v>
      </c>
      <c r="E306" s="8" t="n">
        <v>6</v>
      </c>
      <c r="F306" s="4" t="s">
        <v>1196</v>
      </c>
      <c r="G306" s="8" t="n">
        <v>37</v>
      </c>
      <c r="H306" s="8" t="n">
        <v>2</v>
      </c>
      <c r="I306" s="4" t="s">
        <v>1183</v>
      </c>
      <c r="J306" s="8" t="n">
        <v>27</v>
      </c>
      <c r="K306" s="8" t="n">
        <v>1</v>
      </c>
      <c r="L306" s="4" t="s">
        <v>1184</v>
      </c>
      <c r="M306" s="8" t="n">
        <v>24</v>
      </c>
      <c r="N306" s="8" t="n">
        <v>10</v>
      </c>
      <c r="O306" s="8" t="n">
        <v>3</v>
      </c>
      <c r="P306" s="8" t="n">
        <v>64</v>
      </c>
      <c r="Q306" s="8" t="str">
        <f aca="false">IF(A306="","",IF(AND(Y306&lt;&gt;"参考",G306&gt;=ルール設定!$B$2),"○",""))</f>
        <v/>
      </c>
      <c r="R306" s="8" t="str">
        <f aca="false">IF(A306="","",IF(AND(Y306&lt;&gt;"参考",G306&gt;=ルール設定!$B$3,N306&gt;=ルール設定!$B$4),"○",""))</f>
        <v/>
      </c>
      <c r="S306" s="8" t="str">
        <f aca="false">IF(A306="","",IF(AND(Y306&lt;&gt;"参考",G306&gt;=ルール設定!$B$5,J306&gt;=ルール設定!$B$6,O306&gt;=ルール設定!$B$7),"○",""))</f>
        <v/>
      </c>
      <c r="T306" s="8" t="n">
        <v>1</v>
      </c>
      <c r="U306" s="8" t="n">
        <v>2</v>
      </c>
      <c r="V306" s="8" t="str">
        <f aca="false">IF(A306="","",IF(AND(ISNUMBER(T306),ISNUMBER(U306)),IF(AND(T306&lt;=3,U306&lt;=3),"○","×"),""))</f>
        <v>○</v>
      </c>
      <c r="W306" s="8" t="n">
        <v>130</v>
      </c>
      <c r="X306" s="8" t="n">
        <v>290</v>
      </c>
      <c r="Y306" s="4" t="s">
        <v>7597</v>
      </c>
      <c r="Z306" s="4" t="s">
        <v>7726</v>
      </c>
      <c r="AA306" s="8" t="str">
        <v/>
      </c>
      <c r="AB306" s="8" t="str">
        <v/>
      </c>
      <c r="AC306" s="8" t="str">
        <v/>
      </c>
      <c r="AD306" s="8" t="str">
        <v/>
      </c>
      <c r="AE306" s="8" t="str">
        <v/>
      </c>
      <c r="AF306" s="8" t="str">
        <v/>
      </c>
      <c r="AG306" s="8" t="str">
        <v/>
      </c>
      <c r="AH306" s="8" t="str">
        <v/>
      </c>
      <c r="AI306" s="8" t="n">
        <v>13</v>
      </c>
      <c r="AJ306" s="8" t="str">
        <v>～59</v>
      </c>
      <c r="AK306" s="8" t="str">
        <v>10～19</v>
      </c>
      <c r="AL306" s="8" t="str">
        <v>10～19</v>
      </c>
      <c r="AM306" s="8" t="str">
        <v>～99</v>
      </c>
      <c r="AN306" s="8" t="str">
        <v>8～11</v>
      </c>
      <c r="AO306" s="8" t="str">
        <f aca="false">IF(A306="","",IF(COUNTIFS(全馬データ!$A$2:$A$50000,A306,全馬データ!$B$2:$B$50000,B306,全馬データ!$C$2:$C$50000,C306,全馬データ!$D$2:$D$50000,E306,全馬データ!$K$2:$K$50000,"&lt;&gt;")=0,"",SUMIFS(全馬データ!$K$2:$K$50000,全馬データ!$A$2:$A$50000,A306,全馬データ!$B$2:$B$50000,B306,全馬データ!$C$2:$C$50000,C306,全馬データ!$D$2:$D$50000,E306)))</f>
        <v/>
      </c>
      <c r="AP306" s="8" t="str">
        <f aca="false">IF(A306="","",IF(AO306="","欠損",IF(AO306&lt;=1.1,"1.0～1.1",IF(AO306&lt;1.3,"1.2",IF(AO306&lt;1.5,"1.3～1.4",IF(AO306&lt;2,"1.5～1.9","2.0以上"))))))</f>
        <v>欠損</v>
      </c>
      <c r="AQ306" s="8" t="str">
        <f aca="false">IF(A306="","",IF(ISNUMBER(SEARCH("2歳",Z306)),"2歳戦",IF(ISNUMBER(SEARCH("3歳未勝利",Z306)),"3歳未勝利",IF(ISNUMBER(SEARCH("未勝利",Z306)),"その他未勝利",IF(ISNUMBER(SEARCH("G1",Z306)),"G1",IF(ISNUMBER(SEARCH("G2",Z306)),"G2",IF(ISNUMBER(SEARCH("G3",Z306)),"G3",IF(ISNUMBER(SEARCH("古馬条件",Z306)),"古馬条件戦",IF(ISNUMBER(SEARCH("重賞",Z306)),"重賞","分類不能")))))))))</f>
        <v>分類不能</v>
      </c>
      <c r="AR306" s="8"/>
      <c r="AS306" s="8" t="s">
        <v>7598</v>
      </c>
      <c r="AT306" s="8" t="s">
        <v>7599</v>
      </c>
      <c r="AU306" s="8" t="s">
        <v>7615</v>
      </c>
      <c r="AV306" s="4" t="s">
        <v>7616</v>
      </c>
      <c r="AW306" s="8"/>
      <c r="AX306" s="8"/>
      <c r="AY306" s="8" t="s">
        <v>7602</v>
      </c>
      <c r="AZ306" s="4" t="s">
        <v>7603</v>
      </c>
      <c r="BA306" s="8" t="n">
        <v>1200</v>
      </c>
      <c r="BB306" s="8" t="s">
        <v>7659</v>
      </c>
      <c r="BC306" s="4" t="s">
        <v>7619</v>
      </c>
      <c r="BD306" s="8" t="s">
        <v>7739</v>
      </c>
      <c r="BE306" s="4" t="s">
        <v>7606</v>
      </c>
      <c r="BF306" s="8" t="s">
        <v>7607</v>
      </c>
      <c r="BG306" s="8" t="s">
        <v>7608</v>
      </c>
      <c r="BH306" s="4" t="s">
        <v>7609</v>
      </c>
      <c r="BI306" s="8" t="n">
        <v>10</v>
      </c>
      <c r="BJ306" s="8" t="s">
        <v>7602</v>
      </c>
      <c r="BK306" s="4" t="s">
        <v>7653</v>
      </c>
      <c r="BL306" s="8" t="s">
        <v>7602</v>
      </c>
      <c r="BM306" s="4" t="s">
        <v>7620</v>
      </c>
      <c r="BN306" s="8" t="s">
        <v>7602</v>
      </c>
      <c r="BO306" s="8" t="s">
        <v>7613</v>
      </c>
      <c r="BP306" s="8" t="s">
        <v>7610</v>
      </c>
      <c r="BQ306" s="8" t="str">
        <f aca="false">IF(A306="","",AT306)</f>
        <v>2歳</v>
      </c>
      <c r="BR306" s="8" t="str">
        <f aca="false">IF(A306="","",IF(BA306&lt;=1200,"～1200",IF(BA306&lt;=1500,"1300～1500",IF(BA306=1600,"1600",IF(BA306&lt;=1800,"1700～1800",IF(BA306&lt;=2000,"1900～2000","2100以上"))))))</f>
        <v>～1200</v>
      </c>
      <c r="BS306" s="8" t="str">
        <f aca="false">IF(A306="","",IF(AX306="G1","G1",IF(AX306="G2","G2",IF(AX306="G3","G3",IF(AX306="L","L","その他")))))</f>
        <v>その他</v>
      </c>
      <c r="BT306" s="8" t="str">
        <f aca="false">IF(A306="","",IF(BI306="","未結合",IF(D306=BI306,"一致","不一致")))</f>
        <v>一致</v>
      </c>
      <c r="BU306" s="8" t="str">
        <f aca="false">IF(A306="","",IF(BE306="牝馬限定","牝馬限定","その他"))</f>
        <v>その他</v>
      </c>
    </row>
    <row r="307" customFormat="false" ht="15.75" hidden="false" customHeight="false" outlineLevel="0" collapsed="false">
      <c r="A307" s="6" t="n">
        <v>46200</v>
      </c>
      <c r="B307" s="4" t="s">
        <v>1091</v>
      </c>
      <c r="C307" s="8" t="n">
        <v>6</v>
      </c>
      <c r="D307" s="8" t="n">
        <v>17</v>
      </c>
      <c r="E307" s="8" t="n">
        <v>1</v>
      </c>
      <c r="F307" s="4" t="s">
        <v>1625</v>
      </c>
      <c r="G307" s="8" t="n">
        <v>50</v>
      </c>
      <c r="H307" s="8" t="n">
        <v>8</v>
      </c>
      <c r="I307" s="4" t="s">
        <v>4387</v>
      </c>
      <c r="J307" s="8" t="n">
        <v>47</v>
      </c>
      <c r="K307" s="8" t="n">
        <v>2</v>
      </c>
      <c r="L307" s="4" t="s">
        <v>4382</v>
      </c>
      <c r="M307" s="8" t="n">
        <v>44</v>
      </c>
      <c r="N307" s="8" t="n">
        <v>3</v>
      </c>
      <c r="O307" s="8" t="n">
        <v>3</v>
      </c>
      <c r="P307" s="8" t="n">
        <v>97</v>
      </c>
      <c r="Q307" s="8" t="str">
        <f aca="false">IF(A307="","",IF(AND(Y307&lt;&gt;"参考",G307&gt;=ルール設定!$B$2),"○",""))</f>
        <v/>
      </c>
      <c r="R307" s="8" t="str">
        <f aca="false">IF(A307="","",IF(AND(Y307&lt;&gt;"参考",G307&gt;=ルール設定!$B$3,N307&gt;=ルール設定!$B$4),"○",""))</f>
        <v/>
      </c>
      <c r="S307" s="8" t="str">
        <f aca="false">IF(A307="","",IF(AND(Y307&lt;&gt;"参考",G307&gt;=ルール設定!$B$5,J307&gt;=ルール設定!$B$6,O307&gt;=ルール設定!$B$7),"○",""))</f>
        <v/>
      </c>
      <c r="T307" s="8" t="n">
        <v>4</v>
      </c>
      <c r="U307" s="8" t="n">
        <v>3</v>
      </c>
      <c r="V307" s="8" t="str">
        <f aca="false">IF(A307="","",IF(AND(ISNUMBER(T307),ISNUMBER(U307)),IF(AND(T307&lt;=3,U307&lt;=3),"○","×"),""))</f>
        <v>×</v>
      </c>
      <c r="W307" s="8"/>
      <c r="X307" s="8"/>
      <c r="Y307" s="4" t="s">
        <v>7597</v>
      </c>
      <c r="Z307" s="4" t="s">
        <v>7726</v>
      </c>
      <c r="AA307" s="8" t="str">
        <v/>
      </c>
      <c r="AB307" s="8" t="str">
        <v/>
      </c>
      <c r="AC307" s="8" t="str">
        <v/>
      </c>
      <c r="AD307" s="8" t="str">
        <v/>
      </c>
      <c r="AE307" s="8" t="str">
        <v/>
      </c>
      <c r="AF307" s="8" t="str">
        <v/>
      </c>
      <c r="AG307" s="8" t="str">
        <v/>
      </c>
      <c r="AH307" s="8" t="str">
        <v/>
      </c>
      <c r="AI307" s="8" t="n">
        <v>6</v>
      </c>
      <c r="AJ307" s="8" t="str">
        <v>～59</v>
      </c>
      <c r="AK307" s="8" t="str">
        <v>0～4</v>
      </c>
      <c r="AL307" s="8" t="str">
        <v>0～9</v>
      </c>
      <c r="AM307" s="8" t="str">
        <v>～99</v>
      </c>
      <c r="AN307" s="8" t="str">
        <v>15以上</v>
      </c>
      <c r="AO307" s="8" t="str">
        <f aca="false">IF(A307="","",IF(COUNTIFS(全馬データ!$A$2:$A$50000,A307,全馬データ!$B$2:$B$50000,B307,全馬データ!$C$2:$C$50000,C307,全馬データ!$D$2:$D$50000,E307,全馬データ!$K$2:$K$50000,"&lt;&gt;")=0,"",SUMIFS(全馬データ!$K$2:$K$50000,全馬データ!$A$2:$A$50000,A307,全馬データ!$B$2:$B$50000,B307,全馬データ!$C$2:$C$50000,C307,全馬データ!$D$2:$D$50000,E307)))</f>
        <v/>
      </c>
      <c r="AP307" s="8" t="str">
        <f aca="false">IF(A307="","",IF(AO307="","欠損",IF(AO307&lt;=1.1,"1.0～1.1",IF(AO307&lt;1.3,"1.2",IF(AO307&lt;1.5,"1.3～1.4",IF(AO307&lt;2,"1.5～1.9","2.0以上"))))))</f>
        <v>欠損</v>
      </c>
      <c r="AQ307" s="8" t="str">
        <f aca="false">IF(A307="","",IF(ISNUMBER(SEARCH("2歳",Z307)),"2歳戦",IF(ISNUMBER(SEARCH("3歳未勝利",Z307)),"3歳未勝利",IF(ISNUMBER(SEARCH("未勝利",Z307)),"その他未勝利",IF(ISNUMBER(SEARCH("G1",Z307)),"G1",IF(ISNUMBER(SEARCH("G2",Z307)),"G2",IF(ISNUMBER(SEARCH("G3",Z307)),"G3",IF(ISNUMBER(SEARCH("古馬条件",Z307)),"古馬条件戦",IF(ISNUMBER(SEARCH("重賞",Z307)),"重賞","分類不能")))))))))</f>
        <v>分類不能</v>
      </c>
      <c r="AR307" s="8"/>
      <c r="AS307" s="8" t="s">
        <v>7623</v>
      </c>
      <c r="AT307" s="8" t="s">
        <v>7624</v>
      </c>
      <c r="AU307" s="8" t="s">
        <v>7600</v>
      </c>
      <c r="AV307" s="4" t="s">
        <v>7601</v>
      </c>
      <c r="AW307" s="8"/>
      <c r="AX307" s="8"/>
      <c r="AY307" s="8" t="s">
        <v>7602</v>
      </c>
      <c r="AZ307" s="4" t="s">
        <v>7603</v>
      </c>
      <c r="BA307" s="8" t="n">
        <v>2000</v>
      </c>
      <c r="BB307" s="8" t="s">
        <v>7659</v>
      </c>
      <c r="BC307" s="4" t="s">
        <v>7619</v>
      </c>
      <c r="BD307" s="8" t="s">
        <v>7625</v>
      </c>
      <c r="BE307" s="4" t="s">
        <v>7606</v>
      </c>
      <c r="BF307" s="8" t="s">
        <v>7607</v>
      </c>
      <c r="BG307" s="8" t="s">
        <v>7608</v>
      </c>
      <c r="BH307" s="4" t="s">
        <v>7609</v>
      </c>
      <c r="BI307" s="8" t="n">
        <v>17</v>
      </c>
      <c r="BJ307" s="8" t="s">
        <v>7602</v>
      </c>
      <c r="BK307" s="4" t="s">
        <v>7653</v>
      </c>
      <c r="BL307" s="8" t="s">
        <v>7602</v>
      </c>
      <c r="BM307" s="4" t="s">
        <v>7620</v>
      </c>
      <c r="BN307" s="8" t="s">
        <v>7602</v>
      </c>
      <c r="BO307" s="8" t="s">
        <v>7613</v>
      </c>
      <c r="BP307" s="8" t="s">
        <v>7610</v>
      </c>
      <c r="BQ307" s="8" t="str">
        <f aca="false">IF(A307="","",AT307)</f>
        <v>3歳</v>
      </c>
      <c r="BR307" s="8" t="str">
        <f aca="false">IF(A307="","",IF(BA307&lt;=1200,"～1200",IF(BA307&lt;=1500,"1300～1500",IF(BA307=1600,"1600",IF(BA307&lt;=1800,"1700～1800",IF(BA307&lt;=2000,"1900～2000","2100以上"))))))</f>
        <v>1900～2000</v>
      </c>
      <c r="BS307" s="8" t="str">
        <f aca="false">IF(A307="","",IF(AX307="G1","G1",IF(AX307="G2","G2",IF(AX307="G3","G3",IF(AX307="L","L","その他")))))</f>
        <v>その他</v>
      </c>
      <c r="BT307" s="8" t="str">
        <f aca="false">IF(A307="","",IF(BI307="","未結合",IF(D307=BI307,"一致","不一致")))</f>
        <v>一致</v>
      </c>
      <c r="BU307" s="8" t="str">
        <f aca="false">IF(A307="","",IF(BE307="牝馬限定","牝馬限定","その他"))</f>
        <v>その他</v>
      </c>
    </row>
    <row r="308" customFormat="false" ht="15.75" hidden="false" customHeight="false" outlineLevel="0" collapsed="false">
      <c r="A308" s="6" t="n">
        <v>46200</v>
      </c>
      <c r="B308" s="4" t="s">
        <v>1091</v>
      </c>
      <c r="C308" s="8" t="n">
        <v>7</v>
      </c>
      <c r="D308" s="8" t="n">
        <v>16</v>
      </c>
      <c r="E308" s="8" t="n">
        <v>12</v>
      </c>
      <c r="F308" s="4" t="s">
        <v>4398</v>
      </c>
      <c r="G308" s="8" t="n">
        <v>65</v>
      </c>
      <c r="H308" s="8" t="n">
        <v>11</v>
      </c>
      <c r="I308" s="4" t="s">
        <v>4397</v>
      </c>
      <c r="J308" s="8" t="n">
        <v>37</v>
      </c>
      <c r="K308" s="8" t="n">
        <v>13</v>
      </c>
      <c r="L308" s="4" t="s">
        <v>2517</v>
      </c>
      <c r="M308" s="8" t="n">
        <v>31</v>
      </c>
      <c r="N308" s="8" t="n">
        <v>28</v>
      </c>
      <c r="O308" s="8" t="n">
        <v>6</v>
      </c>
      <c r="P308" s="8" t="n">
        <v>102</v>
      </c>
      <c r="Q308" s="8" t="str">
        <f aca="false">IF(A308="","",IF(AND(Y308&lt;&gt;"参考",G308&gt;=ルール設定!$B$2),"○",""))</f>
        <v/>
      </c>
      <c r="R308" s="8" t="str">
        <f aca="false">IF(A308="","",IF(AND(Y308&lt;&gt;"参考",G308&gt;=ルール設定!$B$3,N308&gt;=ルール設定!$B$4),"○",""))</f>
        <v/>
      </c>
      <c r="S308" s="8" t="str">
        <f aca="false">IF(A308="","",IF(AND(Y308&lt;&gt;"参考",G308&gt;=ルール設定!$B$5,J308&gt;=ルール設定!$B$6,O308&gt;=ルール設定!$B$7),"○",""))</f>
        <v/>
      </c>
      <c r="T308" s="8" t="n">
        <v>3</v>
      </c>
      <c r="U308" s="8" t="n">
        <v>4</v>
      </c>
      <c r="V308" s="8" t="str">
        <f aca="false">IF(A308="","",IF(AND(ISNUMBER(T308),ISNUMBER(U308)),IF(AND(T308&lt;=3,U308&lt;=3),"○","×"),""))</f>
        <v>×</v>
      </c>
      <c r="W308" s="8" t="n">
        <v>110</v>
      </c>
      <c r="X308" s="8"/>
      <c r="Y308" s="4" t="s">
        <v>7597</v>
      </c>
      <c r="Z308" s="4" t="s">
        <v>7726</v>
      </c>
      <c r="AA308" s="8" t="str">
        <v/>
      </c>
      <c r="AB308" s="8" t="str">
        <v/>
      </c>
      <c r="AC308" s="8" t="str">
        <v/>
      </c>
      <c r="AD308" s="8" t="str">
        <v/>
      </c>
      <c r="AE308" s="8" t="str">
        <v/>
      </c>
      <c r="AF308" s="8" t="str">
        <v/>
      </c>
      <c r="AG308" s="8" t="str">
        <v/>
      </c>
      <c r="AH308" s="8" t="str">
        <v/>
      </c>
      <c r="AI308" s="8" t="n">
        <v>34</v>
      </c>
      <c r="AJ308" s="8" t="str">
        <v>60～69</v>
      </c>
      <c r="AK308" s="8" t="str">
        <v>20～29</v>
      </c>
      <c r="AL308" s="8" t="str">
        <v>30～39</v>
      </c>
      <c r="AM308" s="8" t="str">
        <v>100～119</v>
      </c>
      <c r="AN308" s="8" t="str">
        <v>15以上</v>
      </c>
      <c r="AO308" s="8" t="str">
        <f aca="false">IF(A308="","",IF(COUNTIFS(全馬データ!$A$2:$A$50000,A308,全馬データ!$B$2:$B$50000,B308,全馬データ!$C$2:$C$50000,C308,全馬データ!$D$2:$D$50000,E308,全馬データ!$K$2:$K$50000,"&lt;&gt;")=0,"",SUMIFS(全馬データ!$K$2:$K$50000,全馬データ!$A$2:$A$50000,A308,全馬データ!$B$2:$B$50000,B308,全馬データ!$C$2:$C$50000,C308,全馬データ!$D$2:$D$50000,E308)))</f>
        <v/>
      </c>
      <c r="AP308" s="8" t="str">
        <f aca="false">IF(A308="","",IF(AO308="","欠損",IF(AO308&lt;=1.1,"1.0～1.1",IF(AO308&lt;1.3,"1.2",IF(AO308&lt;1.5,"1.3～1.4",IF(AO308&lt;2,"1.5～1.9","2.0以上"))))))</f>
        <v>欠損</v>
      </c>
      <c r="AQ308" s="8" t="str">
        <f aca="false">IF(A308="","",IF(ISNUMBER(SEARCH("2歳",Z308)),"2歳戦",IF(ISNUMBER(SEARCH("3歳未勝利",Z308)),"3歳未勝利",IF(ISNUMBER(SEARCH("未勝利",Z308)),"その他未勝利",IF(ISNUMBER(SEARCH("G1",Z308)),"G1",IF(ISNUMBER(SEARCH("G2",Z308)),"G2",IF(ISNUMBER(SEARCH("G3",Z308)),"G3",IF(ISNUMBER(SEARCH("古馬条件",Z308)),"古馬条件戦",IF(ISNUMBER(SEARCH("重賞",Z308)),"重賞","分類不能")))))))))</f>
        <v>分類不能</v>
      </c>
      <c r="AR308" s="8"/>
      <c r="AS308" s="8" t="s">
        <v>7626</v>
      </c>
      <c r="AT308" s="8" t="s">
        <v>7627</v>
      </c>
      <c r="AU308" s="8" t="s">
        <v>7628</v>
      </c>
      <c r="AV308" s="8" t="s">
        <v>7629</v>
      </c>
      <c r="AW308" s="8"/>
      <c r="AX308" s="8"/>
      <c r="AY308" s="8" t="s">
        <v>7610</v>
      </c>
      <c r="AZ308" s="4" t="s">
        <v>7617</v>
      </c>
      <c r="BA308" s="8" t="n">
        <v>1700</v>
      </c>
      <c r="BB308" s="8" t="s">
        <v>7701</v>
      </c>
      <c r="BC308" s="4" t="s">
        <v>7658</v>
      </c>
      <c r="BD308" s="8" t="s">
        <v>7621</v>
      </c>
      <c r="BE308" s="4" t="s">
        <v>7622</v>
      </c>
      <c r="BF308" s="8" t="s">
        <v>7602</v>
      </c>
      <c r="BG308" s="8" t="s">
        <v>7631</v>
      </c>
      <c r="BH308" s="4" t="s">
        <v>7632</v>
      </c>
      <c r="BI308" s="8" t="n">
        <v>16</v>
      </c>
      <c r="BJ308" s="8" t="s">
        <v>7602</v>
      </c>
      <c r="BK308" s="4" t="s">
        <v>7653</v>
      </c>
      <c r="BL308" s="8" t="s">
        <v>7602</v>
      </c>
      <c r="BM308" s="4" t="s">
        <v>7620</v>
      </c>
      <c r="BN308" s="8"/>
      <c r="BO308" s="8"/>
      <c r="BP308" s="8" t="s">
        <v>7610</v>
      </c>
      <c r="BQ308" s="8" t="str">
        <f aca="false">IF(A308="","",AT308)</f>
        <v>3歳以上</v>
      </c>
      <c r="BR308" s="8" t="str">
        <f aca="false">IF(A308="","",IF(BA308&lt;=1200,"～1200",IF(BA308&lt;=1500,"1300～1500",IF(BA308=1600,"1600",IF(BA308&lt;=1800,"1700～1800",IF(BA308&lt;=2000,"1900～2000","2100以上"))))))</f>
        <v>1700～1800</v>
      </c>
      <c r="BS308" s="8" t="str">
        <f aca="false">IF(A308="","",IF(AX308="G1","G1",IF(AX308="G2","G2",IF(AX308="G3","G3",IF(AX308="L","L","その他")))))</f>
        <v>その他</v>
      </c>
      <c r="BT308" s="8" t="str">
        <f aca="false">IF(A308="","",IF(BI308="","未結合",IF(D308=BI308,"一致","不一致")))</f>
        <v>一致</v>
      </c>
      <c r="BU308" s="8" t="str">
        <f aca="false">IF(A308="","",IF(BE308="牝馬限定","牝馬限定","その他"))</f>
        <v>牝馬限定</v>
      </c>
    </row>
    <row r="309" customFormat="false" ht="15.75" hidden="false" customHeight="false" outlineLevel="0" collapsed="false">
      <c r="A309" s="6" t="n">
        <v>46200</v>
      </c>
      <c r="B309" s="4" t="s">
        <v>1091</v>
      </c>
      <c r="C309" s="8" t="n">
        <v>8</v>
      </c>
      <c r="D309" s="8" t="n">
        <v>9</v>
      </c>
      <c r="E309" s="8" t="n">
        <v>3</v>
      </c>
      <c r="F309" s="4" t="s">
        <v>2136</v>
      </c>
      <c r="G309" s="8" t="n">
        <v>58</v>
      </c>
      <c r="H309" s="8" t="n">
        <v>8</v>
      </c>
      <c r="I309" s="4" t="s">
        <v>1649</v>
      </c>
      <c r="J309" s="8" t="n">
        <v>41</v>
      </c>
      <c r="K309" s="8" t="n">
        <v>2</v>
      </c>
      <c r="L309" s="4" t="s">
        <v>1018</v>
      </c>
      <c r="M309" s="8" t="n">
        <v>37</v>
      </c>
      <c r="N309" s="8" t="n">
        <v>17</v>
      </c>
      <c r="O309" s="8" t="n">
        <v>4</v>
      </c>
      <c r="P309" s="8" t="n">
        <v>99</v>
      </c>
      <c r="Q309" s="8" t="str">
        <f aca="false">IF(A309="","",IF(AND(Y309&lt;&gt;"参考",G309&gt;=ルール設定!$B$2),"○",""))</f>
        <v/>
      </c>
      <c r="R309" s="8" t="str">
        <f aca="false">IF(A309="","",IF(AND(Y309&lt;&gt;"参考",G309&gt;=ルール設定!$B$3,N309&gt;=ルール設定!$B$4),"○",""))</f>
        <v/>
      </c>
      <c r="S309" s="8" t="str">
        <f aca="false">IF(A309="","",IF(AND(Y309&lt;&gt;"参考",G309&gt;=ルール設定!$B$5,J309&gt;=ルール設定!$B$6,O309&gt;=ルール設定!$B$7),"○",""))</f>
        <v/>
      </c>
      <c r="T309" s="8" t="n">
        <v>1</v>
      </c>
      <c r="U309" s="8" t="n">
        <v>4</v>
      </c>
      <c r="V309" s="8" t="str">
        <f aca="false">IF(A309="","",IF(AND(ISNUMBER(T309),ISNUMBER(U309)),IF(AND(T309&lt;=3,U309&lt;=3),"○","×"),""))</f>
        <v>×</v>
      </c>
      <c r="W309" s="8" t="n">
        <v>130</v>
      </c>
      <c r="X309" s="8"/>
      <c r="Y309" s="4" t="s">
        <v>7597</v>
      </c>
      <c r="Z309" s="4" t="s">
        <v>7726</v>
      </c>
      <c r="AA309" s="8" t="str">
        <v/>
      </c>
      <c r="AB309" s="8" t="str">
        <v/>
      </c>
      <c r="AC309" s="8" t="str">
        <v/>
      </c>
      <c r="AD309" s="8" t="str">
        <v/>
      </c>
      <c r="AE309" s="8" t="str">
        <v/>
      </c>
      <c r="AF309" s="8" t="str">
        <v/>
      </c>
      <c r="AG309" s="8" t="str">
        <v/>
      </c>
      <c r="AH309" s="8" t="str">
        <v/>
      </c>
      <c r="AI309" s="8" t="n">
        <v>21</v>
      </c>
      <c r="AJ309" s="8" t="str">
        <v>～59</v>
      </c>
      <c r="AK309" s="8" t="str">
        <v>10～19</v>
      </c>
      <c r="AL309" s="8" t="str">
        <v>20～29</v>
      </c>
      <c r="AM309" s="8" t="str">
        <v>～99</v>
      </c>
      <c r="AN309" s="8" t="str">
        <v>8～11</v>
      </c>
      <c r="AO309" s="8" t="str">
        <f aca="false">IF(A309="","",IF(COUNTIFS(全馬データ!$A$2:$A$50000,A309,全馬データ!$B$2:$B$50000,B309,全馬データ!$C$2:$C$50000,C309,全馬データ!$D$2:$D$50000,E309,全馬データ!$K$2:$K$50000,"&lt;&gt;")=0,"",SUMIFS(全馬データ!$K$2:$K$50000,全馬データ!$A$2:$A$50000,A309,全馬データ!$B$2:$B$50000,B309,全馬データ!$C$2:$C$50000,C309,全馬データ!$D$2:$D$50000,E309)))</f>
        <v/>
      </c>
      <c r="AP309" s="8" t="str">
        <f aca="false">IF(A309="","",IF(AO309="","欠損",IF(AO309&lt;=1.1,"1.0～1.1",IF(AO309&lt;1.3,"1.2",IF(AO309&lt;1.5,"1.3～1.4",IF(AO309&lt;2,"1.5～1.9","2.0以上"))))))</f>
        <v>欠損</v>
      </c>
      <c r="AQ309" s="8" t="str">
        <f aca="false">IF(A309="","",IF(ISNUMBER(SEARCH("2歳",Z309)),"2歳戦",IF(ISNUMBER(SEARCH("3歳未勝利",Z309)),"3歳未勝利",IF(ISNUMBER(SEARCH("未勝利",Z309)),"その他未勝利",IF(ISNUMBER(SEARCH("G1",Z309)),"G1",IF(ISNUMBER(SEARCH("G2",Z309)),"G2",IF(ISNUMBER(SEARCH("G3",Z309)),"G3",IF(ISNUMBER(SEARCH("古馬条件",Z309)),"古馬条件戦",IF(ISNUMBER(SEARCH("重賞",Z309)),"重賞","分類不能")))))))))</f>
        <v>分類不能</v>
      </c>
      <c r="AR309" s="8"/>
      <c r="AS309" s="8" t="s">
        <v>7626</v>
      </c>
      <c r="AT309" s="8" t="s">
        <v>7627</v>
      </c>
      <c r="AU309" s="8" t="s">
        <v>7628</v>
      </c>
      <c r="AV309" s="8" t="s">
        <v>7629</v>
      </c>
      <c r="AW309" s="8"/>
      <c r="AX309" s="8"/>
      <c r="AY309" s="8" t="s">
        <v>7602</v>
      </c>
      <c r="AZ309" s="4" t="s">
        <v>7603</v>
      </c>
      <c r="BA309" s="8" t="n">
        <v>1200</v>
      </c>
      <c r="BB309" s="8" t="s">
        <v>7659</v>
      </c>
      <c r="BC309" s="4" t="s">
        <v>7619</v>
      </c>
      <c r="BD309" s="8" t="s">
        <v>7625</v>
      </c>
      <c r="BE309" s="4" t="s">
        <v>7606</v>
      </c>
      <c r="BF309" s="8" t="s">
        <v>7607</v>
      </c>
      <c r="BG309" s="8" t="s">
        <v>7631</v>
      </c>
      <c r="BH309" s="4" t="s">
        <v>7632</v>
      </c>
      <c r="BI309" s="8" t="n">
        <v>9</v>
      </c>
      <c r="BJ309" s="8" t="s">
        <v>7602</v>
      </c>
      <c r="BK309" s="4" t="s">
        <v>7653</v>
      </c>
      <c r="BL309" s="8" t="s">
        <v>7602</v>
      </c>
      <c r="BM309" s="4" t="s">
        <v>7620</v>
      </c>
      <c r="BN309" s="8" t="s">
        <v>7602</v>
      </c>
      <c r="BO309" s="8" t="s">
        <v>7613</v>
      </c>
      <c r="BP309" s="8" t="s">
        <v>7610</v>
      </c>
      <c r="BQ309" s="8" t="str">
        <f aca="false">IF(A309="","",AT309)</f>
        <v>3歳以上</v>
      </c>
      <c r="BR309" s="8" t="str">
        <f aca="false">IF(A309="","",IF(BA309&lt;=1200,"～1200",IF(BA309&lt;=1500,"1300～1500",IF(BA309=1600,"1600",IF(BA309&lt;=1800,"1700～1800",IF(BA309&lt;=2000,"1900～2000","2100以上"))))))</f>
        <v>～1200</v>
      </c>
      <c r="BS309" s="8" t="str">
        <f aca="false">IF(A309="","",IF(AX309="G1","G1",IF(AX309="G2","G2",IF(AX309="G3","G3",IF(AX309="L","L","その他")))))</f>
        <v>その他</v>
      </c>
      <c r="BT309" s="8" t="str">
        <f aca="false">IF(A309="","",IF(BI309="","未結合",IF(D309=BI309,"一致","不一致")))</f>
        <v>一致</v>
      </c>
      <c r="BU309" s="8" t="str">
        <f aca="false">IF(A309="","",IF(BE309="牝馬限定","牝馬限定","その他"))</f>
        <v>その他</v>
      </c>
    </row>
    <row r="310" customFormat="false" ht="15.75" hidden="false" customHeight="false" outlineLevel="0" collapsed="false">
      <c r="A310" s="6" t="n">
        <v>46200</v>
      </c>
      <c r="B310" s="4" t="s">
        <v>1091</v>
      </c>
      <c r="C310" s="8" t="n">
        <v>9</v>
      </c>
      <c r="D310" s="8" t="n">
        <v>8</v>
      </c>
      <c r="E310" s="8" t="n">
        <v>4</v>
      </c>
      <c r="F310" s="4" t="s">
        <v>688</v>
      </c>
      <c r="G310" s="8" t="n">
        <v>86</v>
      </c>
      <c r="H310" s="8" t="n">
        <v>7</v>
      </c>
      <c r="I310" s="4" t="s">
        <v>1672</v>
      </c>
      <c r="J310" s="8" t="n">
        <v>39</v>
      </c>
      <c r="K310" s="8" t="n">
        <v>2</v>
      </c>
      <c r="L310" s="4" t="s">
        <v>1175</v>
      </c>
      <c r="M310" s="8" t="n">
        <v>34</v>
      </c>
      <c r="N310" s="8" t="n">
        <v>47</v>
      </c>
      <c r="O310" s="8" t="n">
        <v>5</v>
      </c>
      <c r="P310" s="8" t="n">
        <v>125</v>
      </c>
      <c r="Q310" s="8" t="str">
        <f aca="false">IF(A310="","",IF(AND(Y310&lt;&gt;"参考",G310&gt;=ルール設定!$B$2),"○",""))</f>
        <v>○</v>
      </c>
      <c r="R310" s="8" t="str">
        <f aca="false">IF(A310="","",IF(AND(Y310&lt;&gt;"参考",G310&gt;=ルール設定!$B$3,N310&gt;=ルール設定!$B$4),"○",""))</f>
        <v>○</v>
      </c>
      <c r="S310" s="8" t="str">
        <f aca="false">IF(A310="","",IF(AND(Y310&lt;&gt;"参考",G310&gt;=ルール設定!$B$5,J310&gt;=ルール設定!$B$6,O310&gt;=ルール設定!$B$7),"○",""))</f>
        <v/>
      </c>
      <c r="T310" s="8" t="n">
        <v>1</v>
      </c>
      <c r="U310" s="8" t="n">
        <v>4</v>
      </c>
      <c r="V310" s="8" t="str">
        <f aca="false">IF(A310="","",IF(AND(ISNUMBER(T310),ISNUMBER(U310)),IF(AND(T310&lt;=3,U310&lt;=3),"○","×"),""))</f>
        <v>×</v>
      </c>
      <c r="W310" s="8" t="n">
        <v>110</v>
      </c>
      <c r="X310" s="8"/>
      <c r="Y310" s="4" t="s">
        <v>7597</v>
      </c>
      <c r="Z310" s="4" t="s">
        <v>7726</v>
      </c>
      <c r="AA310" s="8" t="str">
        <v>○</v>
      </c>
      <c r="AB310" s="8" t="str">
        <v>○</v>
      </c>
      <c r="AC310" s="8" t="str">
        <v/>
      </c>
      <c r="AD310" s="8" t="str">
        <v>○</v>
      </c>
      <c r="AE310" s="8" t="str">
        <v/>
      </c>
      <c r="AF310" s="8" t="str">
        <v/>
      </c>
      <c r="AG310" s="8" t="str">
        <v>○</v>
      </c>
      <c r="AH310" s="8" t="str">
        <v/>
      </c>
      <c r="AI310" s="8" t="n">
        <v>52</v>
      </c>
      <c r="AJ310" s="8" t="str">
        <v>85以上</v>
      </c>
      <c r="AK310" s="8" t="str">
        <v>30以上</v>
      </c>
      <c r="AL310" s="8" t="str">
        <v>40以上</v>
      </c>
      <c r="AM310" s="8" t="str">
        <v>120～139</v>
      </c>
      <c r="AN310" s="8" t="str">
        <v>8～11</v>
      </c>
      <c r="AO310" s="8" t="str">
        <f aca="false">IF(A310="","",IF(COUNTIFS(全馬データ!$A$2:$A$50000,A310,全馬データ!$B$2:$B$50000,B310,全馬データ!$C$2:$C$50000,C310,全馬データ!$D$2:$D$50000,E310,全馬データ!$K$2:$K$50000,"&lt;&gt;")=0,"",SUMIFS(全馬データ!$K$2:$K$50000,全馬データ!$A$2:$A$50000,A310,全馬データ!$B$2:$B$50000,B310,全馬データ!$C$2:$C$50000,C310,全馬データ!$D$2:$D$50000,E310)))</f>
        <v/>
      </c>
      <c r="AP310" s="8" t="str">
        <f aca="false">IF(A310="","",IF(AO310="","欠損",IF(AO310&lt;=1.1,"1.0～1.1",IF(AO310&lt;1.3,"1.2",IF(AO310&lt;1.5,"1.3～1.4",IF(AO310&lt;2,"1.5～1.9","2.0以上"))))))</f>
        <v>欠損</v>
      </c>
      <c r="AQ310" s="8" t="str">
        <f aca="false">IF(A310="","",IF(ISNUMBER(SEARCH("2歳",Z310)),"2歳戦",IF(ISNUMBER(SEARCH("3歳未勝利",Z310)),"3歳未勝利",IF(ISNUMBER(SEARCH("未勝利",Z310)),"その他未勝利",IF(ISNUMBER(SEARCH("G1",Z310)),"G1",IF(ISNUMBER(SEARCH("G2",Z310)),"G2",IF(ISNUMBER(SEARCH("G3",Z310)),"G3",IF(ISNUMBER(SEARCH("古馬条件",Z310)),"古馬条件戦",IF(ISNUMBER(SEARCH("重賞",Z310)),"重賞","分類不能")))))))))</f>
        <v>分類不能</v>
      </c>
      <c r="AR310" s="4" t="s">
        <v>7749</v>
      </c>
      <c r="AS310" s="8" t="s">
        <v>7626</v>
      </c>
      <c r="AT310" s="8" t="s">
        <v>7627</v>
      </c>
      <c r="AU310" s="8" t="s">
        <v>7628</v>
      </c>
      <c r="AV310" s="8" t="s">
        <v>7629</v>
      </c>
      <c r="AW310" s="8" t="s">
        <v>7636</v>
      </c>
      <c r="AX310" s="4" t="s">
        <v>7637</v>
      </c>
      <c r="AY310" s="8" t="s">
        <v>7602</v>
      </c>
      <c r="AZ310" s="4" t="s">
        <v>7603</v>
      </c>
      <c r="BA310" s="8" t="n">
        <v>2000</v>
      </c>
      <c r="BB310" s="8" t="s">
        <v>7659</v>
      </c>
      <c r="BC310" s="4" t="s">
        <v>7619</v>
      </c>
      <c r="BD310" s="8" t="s">
        <v>7630</v>
      </c>
      <c r="BE310" s="4" t="s">
        <v>7606</v>
      </c>
      <c r="BF310" s="8" t="s">
        <v>7607</v>
      </c>
      <c r="BG310" s="8" t="s">
        <v>7631</v>
      </c>
      <c r="BH310" s="4" t="s">
        <v>7632</v>
      </c>
      <c r="BI310" s="8" t="n">
        <v>8</v>
      </c>
      <c r="BJ310" s="8" t="s">
        <v>7602</v>
      </c>
      <c r="BK310" s="4" t="s">
        <v>7653</v>
      </c>
      <c r="BL310" s="8" t="s">
        <v>7602</v>
      </c>
      <c r="BM310" s="4" t="s">
        <v>7620</v>
      </c>
      <c r="BN310" s="8" t="s">
        <v>7602</v>
      </c>
      <c r="BO310" s="8" t="s">
        <v>7613</v>
      </c>
      <c r="BP310" s="8" t="s">
        <v>7610</v>
      </c>
      <c r="BQ310" s="8" t="str">
        <f aca="false">IF(A310="","",AT310)</f>
        <v>3歳以上</v>
      </c>
      <c r="BR310" s="8" t="str">
        <f aca="false">IF(A310="","",IF(BA310&lt;=1200,"～1200",IF(BA310&lt;=1500,"1300～1500",IF(BA310=1600,"1600",IF(BA310&lt;=1800,"1700～1800",IF(BA310&lt;=2000,"1900～2000","2100以上"))))))</f>
        <v>1900～2000</v>
      </c>
      <c r="BS310" s="8" t="str">
        <f aca="false">IF(A310="","",IF(AX310="G1","G1",IF(AX310="G2","G2",IF(AX310="G3","G3",IF(AX310="L","L","その他")))))</f>
        <v>その他</v>
      </c>
      <c r="BT310" s="8" t="str">
        <f aca="false">IF(A310="","",IF(BI310="","未結合",IF(D310=BI310,"一致","不一致")))</f>
        <v>一致</v>
      </c>
      <c r="BU310" s="8" t="str">
        <f aca="false">IF(A310="","",IF(BE310="牝馬限定","牝馬限定","その他"))</f>
        <v>その他</v>
      </c>
    </row>
    <row r="311" customFormat="false" ht="15.75" hidden="false" customHeight="false" outlineLevel="0" collapsed="false">
      <c r="A311" s="6" t="n">
        <v>46200</v>
      </c>
      <c r="B311" s="4" t="s">
        <v>1091</v>
      </c>
      <c r="C311" s="8" t="n">
        <v>10</v>
      </c>
      <c r="D311" s="8" t="n">
        <v>13</v>
      </c>
      <c r="E311" s="8" t="n">
        <v>2</v>
      </c>
      <c r="F311" s="4" t="s">
        <v>2137</v>
      </c>
      <c r="G311" s="8" t="n">
        <v>50</v>
      </c>
      <c r="H311" s="8" t="n">
        <v>11</v>
      </c>
      <c r="I311" s="4" t="s">
        <v>2147</v>
      </c>
      <c r="J311" s="8" t="n">
        <v>50</v>
      </c>
      <c r="K311" s="8" t="n">
        <v>4</v>
      </c>
      <c r="L311" s="4" t="s">
        <v>3219</v>
      </c>
      <c r="M311" s="8" t="n">
        <v>34</v>
      </c>
      <c r="N311" s="8" t="n">
        <v>0</v>
      </c>
      <c r="O311" s="8" t="n">
        <v>16</v>
      </c>
      <c r="P311" s="8" t="n">
        <v>100</v>
      </c>
      <c r="Q311" s="8" t="str">
        <f aca="false">IF(A311="","",IF(AND(Y311&lt;&gt;"参考",G311&gt;=ルール設定!$B$2),"○",""))</f>
        <v/>
      </c>
      <c r="R311" s="8" t="str">
        <f aca="false">IF(A311="","",IF(AND(Y311&lt;&gt;"参考",G311&gt;=ルール設定!$B$3,N311&gt;=ルール設定!$B$4),"○",""))</f>
        <v/>
      </c>
      <c r="S311" s="8" t="str">
        <f aca="false">IF(A311="","",IF(AND(Y311&lt;&gt;"参考",G311&gt;=ルール設定!$B$5,J311&gt;=ルール設定!$B$6,O311&gt;=ルール設定!$B$7),"○",""))</f>
        <v/>
      </c>
      <c r="T311" s="8" t="n">
        <v>4</v>
      </c>
      <c r="U311" s="8" t="n">
        <v>4</v>
      </c>
      <c r="V311" s="8" t="str">
        <f aca="false">IF(A311="","",IF(AND(ISNUMBER(T311),ISNUMBER(U311)),IF(AND(T311&lt;=3,U311&lt;=3),"○","×"),""))</f>
        <v>×</v>
      </c>
      <c r="W311" s="8"/>
      <c r="X311" s="8"/>
      <c r="Y311" s="4" t="s">
        <v>7597</v>
      </c>
      <c r="Z311" s="4" t="s">
        <v>7726</v>
      </c>
      <c r="AA311" s="8" t="str">
        <v/>
      </c>
      <c r="AB311" s="8" t="str">
        <v/>
      </c>
      <c r="AC311" s="8" t="str">
        <v/>
      </c>
      <c r="AD311" s="8" t="str">
        <v/>
      </c>
      <c r="AE311" s="8" t="str">
        <v/>
      </c>
      <c r="AF311" s="8" t="str">
        <v/>
      </c>
      <c r="AG311" s="8" t="str">
        <v/>
      </c>
      <c r="AH311" s="8" t="str">
        <v/>
      </c>
      <c r="AI311" s="8" t="n">
        <v>16</v>
      </c>
      <c r="AJ311" s="8" t="str">
        <v>～59</v>
      </c>
      <c r="AK311" s="8" t="str">
        <v>0～4</v>
      </c>
      <c r="AL311" s="8" t="str">
        <v>10～19</v>
      </c>
      <c r="AM311" s="8" t="str">
        <v>100～119</v>
      </c>
      <c r="AN311" s="8" t="str">
        <v>12～14</v>
      </c>
      <c r="AO311" s="8" t="str">
        <f aca="false">IF(A311="","",IF(COUNTIFS(全馬データ!$A$2:$A$50000,A311,全馬データ!$B$2:$B$50000,B311,全馬データ!$C$2:$C$50000,C311,全馬データ!$D$2:$D$50000,E311,全馬データ!$K$2:$K$50000,"&lt;&gt;")=0,"",SUMIFS(全馬データ!$K$2:$K$50000,全馬データ!$A$2:$A$50000,A311,全馬データ!$B$2:$B$50000,B311,全馬データ!$C$2:$C$50000,C311,全馬データ!$D$2:$D$50000,E311)))</f>
        <v/>
      </c>
      <c r="AP311" s="8" t="str">
        <f aca="false">IF(A311="","",IF(AO311="","欠損",IF(AO311&lt;=1.1,"1.0～1.1",IF(AO311&lt;1.3,"1.2",IF(AO311&lt;1.5,"1.3～1.4",IF(AO311&lt;2,"1.5～1.9","2.0以上"))))))</f>
        <v>欠損</v>
      </c>
      <c r="AQ311" s="8" t="str">
        <f aca="false">IF(A311="","",IF(ISNUMBER(SEARCH("2歳",Z311)),"2歳戦",IF(ISNUMBER(SEARCH("3歳未勝利",Z311)),"3歳未勝利",IF(ISNUMBER(SEARCH("未勝利",Z311)),"その他未勝利",IF(ISNUMBER(SEARCH("G1",Z311)),"G1",IF(ISNUMBER(SEARCH("G2",Z311)),"G2",IF(ISNUMBER(SEARCH("G3",Z311)),"G3",IF(ISNUMBER(SEARCH("古馬条件",Z311)),"古馬条件戦",IF(ISNUMBER(SEARCH("重賞",Z311)),"重賞","分類不能")))))))))</f>
        <v>分類不能</v>
      </c>
      <c r="AR311" s="4" t="s">
        <v>7750</v>
      </c>
      <c r="AS311" s="8" t="s">
        <v>7626</v>
      </c>
      <c r="AT311" s="8" t="s">
        <v>7627</v>
      </c>
      <c r="AU311" s="8" t="s">
        <v>7634</v>
      </c>
      <c r="AV311" s="8" t="s">
        <v>7635</v>
      </c>
      <c r="AW311" s="8" t="s">
        <v>7636</v>
      </c>
      <c r="AX311" s="4" t="s">
        <v>7637</v>
      </c>
      <c r="AY311" s="8" t="s">
        <v>7602</v>
      </c>
      <c r="AZ311" s="4" t="s">
        <v>7603</v>
      </c>
      <c r="BA311" s="8" t="n">
        <v>1200</v>
      </c>
      <c r="BB311" s="8" t="s">
        <v>7659</v>
      </c>
      <c r="BC311" s="4" t="s">
        <v>7619</v>
      </c>
      <c r="BD311" s="8" t="s">
        <v>7605</v>
      </c>
      <c r="BE311" s="4" t="s">
        <v>7606</v>
      </c>
      <c r="BF311" s="8" t="s">
        <v>7607</v>
      </c>
      <c r="BG311" s="8" t="s">
        <v>7631</v>
      </c>
      <c r="BH311" s="4" t="s">
        <v>7632</v>
      </c>
      <c r="BI311" s="8" t="n">
        <v>13</v>
      </c>
      <c r="BJ311" s="8" t="s">
        <v>7602</v>
      </c>
      <c r="BK311" s="4" t="s">
        <v>7653</v>
      </c>
      <c r="BL311" s="8" t="s">
        <v>7602</v>
      </c>
      <c r="BM311" s="4" t="s">
        <v>7620</v>
      </c>
      <c r="BN311" s="8" t="s">
        <v>7602</v>
      </c>
      <c r="BO311" s="8" t="s">
        <v>7613</v>
      </c>
      <c r="BP311" s="8" t="s">
        <v>7610</v>
      </c>
      <c r="BQ311" s="8" t="str">
        <f aca="false">IF(A311="","",AT311)</f>
        <v>3歳以上</v>
      </c>
      <c r="BR311" s="8" t="str">
        <f aca="false">IF(A311="","",IF(BA311&lt;=1200,"～1200",IF(BA311&lt;=1500,"1300～1500",IF(BA311=1600,"1600",IF(BA311&lt;=1800,"1700～1800",IF(BA311&lt;=2000,"1900～2000","2100以上"))))))</f>
        <v>～1200</v>
      </c>
      <c r="BS311" s="8" t="str">
        <f aca="false">IF(A311="","",IF(AX311="G1","G1",IF(AX311="G2","G2",IF(AX311="G3","G3",IF(AX311="L","L","その他")))))</f>
        <v>その他</v>
      </c>
      <c r="BT311" s="8" t="str">
        <f aca="false">IF(A311="","",IF(BI311="","未結合",IF(D311=BI311,"一致","不一致")))</f>
        <v>一致</v>
      </c>
      <c r="BU311" s="8" t="str">
        <f aca="false">IF(A311="","",IF(BE311="牝馬限定","牝馬限定","その他"))</f>
        <v>その他</v>
      </c>
    </row>
    <row r="312" customFormat="false" ht="15.75" hidden="false" customHeight="false" outlineLevel="0" collapsed="false">
      <c r="A312" s="6" t="n">
        <v>46200</v>
      </c>
      <c r="B312" s="4" t="s">
        <v>1091</v>
      </c>
      <c r="C312" s="8" t="n">
        <v>11</v>
      </c>
      <c r="D312" s="8" t="n">
        <v>15</v>
      </c>
      <c r="E312" s="8" t="n">
        <v>13</v>
      </c>
      <c r="F312" s="4" t="s">
        <v>4411</v>
      </c>
      <c r="G312" s="8" t="n">
        <v>56</v>
      </c>
      <c r="H312" s="8" t="n">
        <v>11</v>
      </c>
      <c r="I312" s="4" t="s">
        <v>4410</v>
      </c>
      <c r="J312" s="8" t="n">
        <v>52</v>
      </c>
      <c r="K312" s="8" t="n">
        <v>4</v>
      </c>
      <c r="L312" s="4" t="s">
        <v>4407</v>
      </c>
      <c r="M312" s="8" t="n">
        <v>31</v>
      </c>
      <c r="N312" s="8" t="n">
        <v>4</v>
      </c>
      <c r="O312" s="8" t="n">
        <v>21</v>
      </c>
      <c r="P312" s="8" t="n">
        <v>108</v>
      </c>
      <c r="Q312" s="8" t="str">
        <f aca="false">IF(A312="","",IF(AND(Y312&lt;&gt;"参考",G312&gt;=ルール設定!$B$2),"○",""))</f>
        <v/>
      </c>
      <c r="R312" s="8" t="str">
        <f aca="false">IF(A312="","",IF(AND(Y312&lt;&gt;"参考",G312&gt;=ルール設定!$B$3,N312&gt;=ルール設定!$B$4),"○",""))</f>
        <v/>
      </c>
      <c r="S312" s="8" t="str">
        <f aca="false">IF(A312="","",IF(AND(Y312&lt;&gt;"参考",G312&gt;=ルール設定!$B$5,J312&gt;=ルール設定!$B$6,O312&gt;=ルール設定!$B$7),"○",""))</f>
        <v/>
      </c>
      <c r="T312" s="8" t="n">
        <v>2</v>
      </c>
      <c r="U312" s="8" t="n">
        <v>4</v>
      </c>
      <c r="V312" s="8" t="str">
        <f aca="false">IF(A312="","",IF(AND(ISNUMBER(T312),ISNUMBER(U312)),IF(AND(T312&lt;=3,U312&lt;=3),"○","×"),""))</f>
        <v>×</v>
      </c>
      <c r="W312" s="8" t="n">
        <v>200</v>
      </c>
      <c r="X312" s="8"/>
      <c r="Y312" s="4" t="s">
        <v>7597</v>
      </c>
      <c r="Z312" s="4" t="s">
        <v>7726</v>
      </c>
      <c r="AA312" s="8" t="str">
        <v/>
      </c>
      <c r="AB312" s="8" t="str">
        <v/>
      </c>
      <c r="AC312" s="8" t="str">
        <v/>
      </c>
      <c r="AD312" s="8" t="str">
        <v/>
      </c>
      <c r="AE312" s="8" t="str">
        <v/>
      </c>
      <c r="AF312" s="8" t="str">
        <v/>
      </c>
      <c r="AG312" s="8" t="str">
        <v/>
      </c>
      <c r="AH312" s="8" t="str">
        <v/>
      </c>
      <c r="AI312" s="8" t="n">
        <v>25</v>
      </c>
      <c r="AJ312" s="8" t="str">
        <v>～59</v>
      </c>
      <c r="AK312" s="8" t="str">
        <v>0～4</v>
      </c>
      <c r="AL312" s="8" t="str">
        <v>20～29</v>
      </c>
      <c r="AM312" s="8" t="str">
        <v>100～119</v>
      </c>
      <c r="AN312" s="8" t="str">
        <v>15以上</v>
      </c>
      <c r="AO312" s="8" t="str">
        <f aca="false">IF(A312="","",IF(COUNTIFS(全馬データ!$A$2:$A$50000,A312,全馬データ!$B$2:$B$50000,B312,全馬データ!$C$2:$C$50000,C312,全馬データ!$D$2:$D$50000,E312,全馬データ!$K$2:$K$50000,"&lt;&gt;")=0,"",SUMIFS(全馬データ!$K$2:$K$50000,全馬データ!$A$2:$A$50000,A312,全馬データ!$B$2:$B$50000,B312,全馬データ!$C$2:$C$50000,C312,全馬データ!$D$2:$D$50000,E312)))</f>
        <v/>
      </c>
      <c r="AP312" s="8" t="str">
        <f aca="false">IF(A312="","",IF(AO312="","欠損",IF(AO312&lt;=1.1,"1.0～1.1",IF(AO312&lt;1.3,"1.2",IF(AO312&lt;1.5,"1.3～1.4",IF(AO312&lt;2,"1.5～1.9","2.0以上"))))))</f>
        <v>欠損</v>
      </c>
      <c r="AQ312" s="8" t="str">
        <f aca="false">IF(A312="","",IF(ISNUMBER(SEARCH("2歳",Z312)),"2歳戦",IF(ISNUMBER(SEARCH("3歳未勝利",Z312)),"3歳未勝利",IF(ISNUMBER(SEARCH("未勝利",Z312)),"その他未勝利",IF(ISNUMBER(SEARCH("G1",Z312)),"G1",IF(ISNUMBER(SEARCH("G2",Z312)),"G2",IF(ISNUMBER(SEARCH("G3",Z312)),"G3",IF(ISNUMBER(SEARCH("古馬条件",Z312)),"古馬条件戦",IF(ISNUMBER(SEARCH("重賞",Z312)),"重賞","分類不能")))))))))</f>
        <v>分類不能</v>
      </c>
      <c r="AR312" s="4" t="s">
        <v>7751</v>
      </c>
      <c r="AS312" s="8" t="s">
        <v>7626</v>
      </c>
      <c r="AT312" s="8" t="s">
        <v>7627</v>
      </c>
      <c r="AU312" s="8" t="s">
        <v>7639</v>
      </c>
      <c r="AV312" s="8" t="s">
        <v>7640</v>
      </c>
      <c r="AW312" s="8" t="s">
        <v>7636</v>
      </c>
      <c r="AX312" s="4" t="s">
        <v>7637</v>
      </c>
      <c r="AY312" s="8" t="s">
        <v>7610</v>
      </c>
      <c r="AZ312" s="4" t="s">
        <v>7617</v>
      </c>
      <c r="BA312" s="8" t="n">
        <v>1700</v>
      </c>
      <c r="BB312" s="8" t="s">
        <v>7701</v>
      </c>
      <c r="BC312" s="4" t="s">
        <v>7658</v>
      </c>
      <c r="BD312" s="8" t="s">
        <v>7630</v>
      </c>
      <c r="BE312" s="4" t="s">
        <v>7606</v>
      </c>
      <c r="BF312" s="8" t="s">
        <v>7607</v>
      </c>
      <c r="BG312" s="8" t="s">
        <v>7631</v>
      </c>
      <c r="BH312" s="4" t="s">
        <v>7632</v>
      </c>
      <c r="BI312" s="8" t="n">
        <v>15</v>
      </c>
      <c r="BJ312" s="8" t="s">
        <v>7602</v>
      </c>
      <c r="BK312" s="4" t="s">
        <v>7653</v>
      </c>
      <c r="BL312" s="8" t="s">
        <v>7602</v>
      </c>
      <c r="BM312" s="4" t="s">
        <v>7620</v>
      </c>
      <c r="BN312" s="8"/>
      <c r="BO312" s="8"/>
      <c r="BP312" s="8" t="s">
        <v>7610</v>
      </c>
      <c r="BQ312" s="8" t="str">
        <f aca="false">IF(A312="","",AT312)</f>
        <v>3歳以上</v>
      </c>
      <c r="BR312" s="8" t="str">
        <f aca="false">IF(A312="","",IF(BA312&lt;=1200,"～1200",IF(BA312&lt;=1500,"1300～1500",IF(BA312=1600,"1600",IF(BA312&lt;=1800,"1700～1800",IF(BA312&lt;=2000,"1900～2000","2100以上"))))))</f>
        <v>1700～1800</v>
      </c>
      <c r="BS312" s="8" t="str">
        <f aca="false">IF(A312="","",IF(AX312="G1","G1",IF(AX312="G2","G2",IF(AX312="G3","G3",IF(AX312="L","L","その他")))))</f>
        <v>その他</v>
      </c>
      <c r="BT312" s="8" t="str">
        <f aca="false">IF(A312="","",IF(BI312="","未結合",IF(D312=BI312,"一致","不一致")))</f>
        <v>一致</v>
      </c>
      <c r="BU312" s="8" t="str">
        <f aca="false">IF(A312="","",IF(BE312="牝馬限定","牝馬限定","その他"))</f>
        <v>その他</v>
      </c>
    </row>
    <row r="313" customFormat="false" ht="15.75" hidden="false" customHeight="false" outlineLevel="0" collapsed="false">
      <c r="A313" s="6" t="n">
        <v>46200</v>
      </c>
      <c r="B313" s="4" t="s">
        <v>1091</v>
      </c>
      <c r="C313" s="8" t="n">
        <v>12</v>
      </c>
      <c r="D313" s="8" t="n">
        <v>8</v>
      </c>
      <c r="E313" s="8" t="n">
        <v>2</v>
      </c>
      <c r="F313" s="4" t="s">
        <v>1636</v>
      </c>
      <c r="G313" s="8" t="n">
        <v>66</v>
      </c>
      <c r="H313" s="8" t="n">
        <v>6</v>
      </c>
      <c r="I313" s="4" t="s">
        <v>4415</v>
      </c>
      <c r="J313" s="8" t="n">
        <v>56</v>
      </c>
      <c r="K313" s="8" t="n">
        <v>5</v>
      </c>
      <c r="L313" s="4" t="s">
        <v>1663</v>
      </c>
      <c r="M313" s="8" t="n">
        <v>37</v>
      </c>
      <c r="N313" s="8" t="n">
        <v>10</v>
      </c>
      <c r="O313" s="8" t="n">
        <v>19</v>
      </c>
      <c r="P313" s="8" t="n">
        <v>122</v>
      </c>
      <c r="Q313" s="8" t="str">
        <f aca="false">IF(A313="","",IF(AND(Y313&lt;&gt;"参考",G313&gt;=ルール設定!$B$2),"○",""))</f>
        <v/>
      </c>
      <c r="R313" s="8" t="str">
        <f aca="false">IF(A313="","",IF(AND(Y313&lt;&gt;"参考",G313&gt;=ルール設定!$B$3,N313&gt;=ルール設定!$B$4),"○",""))</f>
        <v/>
      </c>
      <c r="S313" s="8" t="str">
        <f aca="false">IF(A313="","",IF(AND(Y313&lt;&gt;"参考",G313&gt;=ルール設定!$B$5,J313&gt;=ルール設定!$B$6,O313&gt;=ルール設定!$B$7),"○",""))</f>
        <v/>
      </c>
      <c r="T313" s="8" t="n">
        <v>2</v>
      </c>
      <c r="U313" s="8" t="n">
        <v>3</v>
      </c>
      <c r="V313" s="8" t="str">
        <f aca="false">IF(A313="","",IF(AND(ISNUMBER(T313),ISNUMBER(U313)),IF(AND(T313&lt;=3,U313&lt;=3),"○","×"),""))</f>
        <v>○</v>
      </c>
      <c r="W313" s="8" t="n">
        <v>110</v>
      </c>
      <c r="X313" s="8" t="n">
        <v>200</v>
      </c>
      <c r="Y313" s="4" t="s">
        <v>7597</v>
      </c>
      <c r="Z313" s="4" t="s">
        <v>7726</v>
      </c>
      <c r="AA313" s="8" t="str">
        <v/>
      </c>
      <c r="AB313" s="8" t="str">
        <v/>
      </c>
      <c r="AC313" s="8" t="str">
        <v/>
      </c>
      <c r="AD313" s="8" t="str">
        <v/>
      </c>
      <c r="AE313" s="8" t="str">
        <v/>
      </c>
      <c r="AF313" s="8" t="str">
        <v/>
      </c>
      <c r="AG313" s="8" t="str">
        <v/>
      </c>
      <c r="AH313" s="8" t="str">
        <v/>
      </c>
      <c r="AI313" s="8" t="n">
        <v>29</v>
      </c>
      <c r="AJ313" s="8" t="str">
        <v>60～69</v>
      </c>
      <c r="AK313" s="8" t="str">
        <v>10～19</v>
      </c>
      <c r="AL313" s="8" t="str">
        <v>20～29</v>
      </c>
      <c r="AM313" s="8" t="str">
        <v>120～139</v>
      </c>
      <c r="AN313" s="8" t="str">
        <v>8～11</v>
      </c>
      <c r="AO313" s="8" t="str">
        <f aca="false">IF(A313="","",IF(COUNTIFS(全馬データ!$A$2:$A$50000,A313,全馬データ!$B$2:$B$50000,B313,全馬データ!$C$2:$C$50000,C313,全馬データ!$D$2:$D$50000,E313,全馬データ!$K$2:$K$50000,"&lt;&gt;")=0,"",SUMIFS(全馬データ!$K$2:$K$50000,全馬データ!$A$2:$A$50000,A313,全馬データ!$B$2:$B$50000,B313,全馬データ!$C$2:$C$50000,C313,全馬データ!$D$2:$D$50000,E313)))</f>
        <v/>
      </c>
      <c r="AP313" s="8" t="str">
        <f aca="false">IF(A313="","",IF(AO313="","欠損",IF(AO313&lt;=1.1,"1.0～1.1",IF(AO313&lt;1.3,"1.2",IF(AO313&lt;1.5,"1.3～1.4",IF(AO313&lt;2,"1.5～1.9","2.0以上"))))))</f>
        <v>欠損</v>
      </c>
      <c r="AQ313" s="8" t="str">
        <f aca="false">IF(A313="","",IF(ISNUMBER(SEARCH("2歳",Z313)),"2歳戦",IF(ISNUMBER(SEARCH("3歳未勝利",Z313)),"3歳未勝利",IF(ISNUMBER(SEARCH("未勝利",Z313)),"その他未勝利",IF(ISNUMBER(SEARCH("G1",Z313)),"G1",IF(ISNUMBER(SEARCH("G2",Z313)),"G2",IF(ISNUMBER(SEARCH("G3",Z313)),"G3",IF(ISNUMBER(SEARCH("古馬条件",Z313)),"古馬条件戦",IF(ISNUMBER(SEARCH("重賞",Z313)),"重賞","分類不能")))))))))</f>
        <v>分類不能</v>
      </c>
      <c r="AR313" s="8"/>
      <c r="AS313" s="8" t="s">
        <v>7626</v>
      </c>
      <c r="AT313" s="8" t="s">
        <v>7627</v>
      </c>
      <c r="AU313" s="8" t="s">
        <v>7628</v>
      </c>
      <c r="AV313" s="8" t="s">
        <v>7629</v>
      </c>
      <c r="AW313" s="8"/>
      <c r="AX313" s="8"/>
      <c r="AY313" s="8" t="s">
        <v>7602</v>
      </c>
      <c r="AZ313" s="4" t="s">
        <v>7603</v>
      </c>
      <c r="BA313" s="8" t="n">
        <v>1200</v>
      </c>
      <c r="BB313" s="8" t="s">
        <v>7659</v>
      </c>
      <c r="BC313" s="4" t="s">
        <v>7619</v>
      </c>
      <c r="BD313" s="8" t="s">
        <v>7605</v>
      </c>
      <c r="BE313" s="4" t="s">
        <v>7606</v>
      </c>
      <c r="BF313" s="8" t="s">
        <v>7607</v>
      </c>
      <c r="BG313" s="8" t="s">
        <v>7631</v>
      </c>
      <c r="BH313" s="4" t="s">
        <v>7632</v>
      </c>
      <c r="BI313" s="8" t="n">
        <v>8</v>
      </c>
      <c r="BJ313" s="8" t="s">
        <v>7602</v>
      </c>
      <c r="BK313" s="4" t="s">
        <v>7653</v>
      </c>
      <c r="BL313" s="8" t="s">
        <v>7602</v>
      </c>
      <c r="BM313" s="4" t="s">
        <v>7620</v>
      </c>
      <c r="BN313" s="8" t="s">
        <v>7602</v>
      </c>
      <c r="BO313" s="8" t="s">
        <v>7613</v>
      </c>
      <c r="BP313" s="8" t="s">
        <v>7610</v>
      </c>
      <c r="BQ313" s="8" t="str">
        <f aca="false">IF(A313="","",AT313)</f>
        <v>3歳以上</v>
      </c>
      <c r="BR313" s="8" t="str">
        <f aca="false">IF(A313="","",IF(BA313&lt;=1200,"～1200",IF(BA313&lt;=1500,"1300～1500",IF(BA313=1600,"1600",IF(BA313&lt;=1800,"1700～1800",IF(BA313&lt;=2000,"1900～2000","2100以上"))))))</f>
        <v>～1200</v>
      </c>
      <c r="BS313" s="8" t="str">
        <f aca="false">IF(A313="","",IF(AX313="G1","G1",IF(AX313="G2","G2",IF(AX313="G3","G3",IF(AX313="L","L","その他")))))</f>
        <v>その他</v>
      </c>
      <c r="BT313" s="8" t="str">
        <f aca="false">IF(A313="","",IF(BI313="","未結合",IF(D313=BI313,"一致","不一致")))</f>
        <v>一致</v>
      </c>
      <c r="BU313" s="8" t="str">
        <f aca="false">IF(A313="","",IF(BE313="牝馬限定","牝馬限定","その他"))</f>
        <v>その他</v>
      </c>
    </row>
    <row r="314" customFormat="false" ht="15.75" hidden="false" customHeight="false" outlineLevel="0" collapsed="false">
      <c r="A314" s="6" t="n">
        <v>46200</v>
      </c>
      <c r="B314" s="4" t="s">
        <v>1237</v>
      </c>
      <c r="C314" s="8" t="n">
        <v>1</v>
      </c>
      <c r="D314" s="8" t="n">
        <v>16</v>
      </c>
      <c r="E314" s="8" t="n">
        <v>2</v>
      </c>
      <c r="F314" s="4" t="s">
        <v>2195</v>
      </c>
      <c r="G314" s="8" t="n">
        <v>71</v>
      </c>
      <c r="H314" s="8" t="n">
        <v>10</v>
      </c>
      <c r="I314" s="4" t="s">
        <v>1270</v>
      </c>
      <c r="J314" s="8" t="n">
        <v>39</v>
      </c>
      <c r="K314" s="8" t="n">
        <v>16</v>
      </c>
      <c r="L314" s="4" t="s">
        <v>4423</v>
      </c>
      <c r="M314" s="8" t="n">
        <v>39</v>
      </c>
      <c r="N314" s="8" t="n">
        <v>32</v>
      </c>
      <c r="O314" s="8" t="n">
        <v>0</v>
      </c>
      <c r="P314" s="8" t="n">
        <v>110</v>
      </c>
      <c r="Q314" s="8" t="str">
        <f aca="false">IF(A314="","",IF(AND(Y314&lt;&gt;"参考",G314&gt;=ルール設定!$B$2),"○",""))</f>
        <v/>
      </c>
      <c r="R314" s="8" t="str">
        <f aca="false">IF(A314="","",IF(AND(Y314&lt;&gt;"参考",G314&gt;=ルール設定!$B$3,N314&gt;=ルール設定!$B$4),"○",""))</f>
        <v>○</v>
      </c>
      <c r="S314" s="8" t="str">
        <f aca="false">IF(A314="","",IF(AND(Y314&lt;&gt;"参考",G314&gt;=ルール設定!$B$5,J314&gt;=ルール設定!$B$6,O314&gt;=ルール設定!$B$7),"○",""))</f>
        <v/>
      </c>
      <c r="T314" s="8" t="n">
        <v>3</v>
      </c>
      <c r="U314" s="8" t="n">
        <v>2</v>
      </c>
      <c r="V314" s="8" t="str">
        <f aca="false">IF(A314="","",IF(AND(ISNUMBER(T314),ISNUMBER(U314)),IF(AND(T314&lt;=3,U314&lt;=3),"○","×"),""))</f>
        <v>○</v>
      </c>
      <c r="W314" s="8" t="n">
        <v>120</v>
      </c>
      <c r="X314" s="8" t="n">
        <v>410</v>
      </c>
      <c r="Y314" s="4" t="s">
        <v>7597</v>
      </c>
      <c r="Z314" s="4" t="s">
        <v>7726</v>
      </c>
      <c r="AA314" s="8" t="str">
        <v/>
      </c>
      <c r="AB314" s="8" t="str">
        <v/>
      </c>
      <c r="AC314" s="8" t="str">
        <v/>
      </c>
      <c r="AD314" s="8" t="str">
        <v/>
      </c>
      <c r="AE314" s="8" t="str">
        <v>○</v>
      </c>
      <c r="AF314" s="8" t="str">
        <v/>
      </c>
      <c r="AG314" s="8" t="str">
        <v/>
      </c>
      <c r="AH314" s="8" t="str">
        <v/>
      </c>
      <c r="AI314" s="8" t="n">
        <v>32</v>
      </c>
      <c r="AJ314" s="8" t="str">
        <v>70～74</v>
      </c>
      <c r="AK314" s="8" t="str">
        <v>30以上</v>
      </c>
      <c r="AL314" s="8" t="str">
        <v>30～39</v>
      </c>
      <c r="AM314" s="8" t="str">
        <v>100～119</v>
      </c>
      <c r="AN314" s="8" t="str">
        <v>15以上</v>
      </c>
      <c r="AO314" s="8" t="str">
        <f aca="false">IF(A314="","",IF(COUNTIFS(全馬データ!$A$2:$A$50000,A314,全馬データ!$B$2:$B$50000,B314,全馬データ!$C$2:$C$50000,C314,全馬データ!$D$2:$D$50000,E314,全馬データ!$K$2:$K$50000,"&lt;&gt;")=0,"",SUMIFS(全馬データ!$K$2:$K$50000,全馬データ!$A$2:$A$50000,A314,全馬データ!$B$2:$B$50000,B314,全馬データ!$C$2:$C$50000,C314,全馬データ!$D$2:$D$50000,E314)))</f>
        <v/>
      </c>
      <c r="AP314" s="8" t="str">
        <f aca="false">IF(A314="","",IF(AO314="","欠損",IF(AO314&lt;=1.1,"1.0～1.1",IF(AO314&lt;1.3,"1.2",IF(AO314&lt;1.5,"1.3～1.4",IF(AO314&lt;2,"1.5～1.9","2.0以上"))))))</f>
        <v>欠損</v>
      </c>
      <c r="AQ314" s="8" t="str">
        <f aca="false">IF(A314="","",IF(ISNUMBER(SEARCH("2歳",Z314)),"2歳戦",IF(ISNUMBER(SEARCH("3歳未勝利",Z314)),"3歳未勝利",IF(ISNUMBER(SEARCH("未勝利",Z314)),"その他未勝利",IF(ISNUMBER(SEARCH("G1",Z314)),"G1",IF(ISNUMBER(SEARCH("G2",Z314)),"G2",IF(ISNUMBER(SEARCH("G3",Z314)),"G3",IF(ISNUMBER(SEARCH("古馬条件",Z314)),"古馬条件戦",IF(ISNUMBER(SEARCH("重賞",Z314)),"重賞","分類不能")))))))))</f>
        <v>分類不能</v>
      </c>
      <c r="AR314" s="8"/>
      <c r="AS314" s="8" t="s">
        <v>7623</v>
      </c>
      <c r="AT314" s="8" t="s">
        <v>7624</v>
      </c>
      <c r="AU314" s="8" t="s">
        <v>7600</v>
      </c>
      <c r="AV314" s="4" t="s">
        <v>7601</v>
      </c>
      <c r="AW314" s="8"/>
      <c r="AX314" s="8"/>
      <c r="AY314" s="8" t="s">
        <v>7602</v>
      </c>
      <c r="AZ314" s="4" t="s">
        <v>7603</v>
      </c>
      <c r="BA314" s="8" t="n">
        <v>1200</v>
      </c>
      <c r="BB314" s="8" t="s">
        <v>7701</v>
      </c>
      <c r="BC314" s="4" t="s">
        <v>7658</v>
      </c>
      <c r="BD314" s="8" t="s">
        <v>7625</v>
      </c>
      <c r="BE314" s="4" t="s">
        <v>7606</v>
      </c>
      <c r="BF314" s="8" t="s">
        <v>7607</v>
      </c>
      <c r="BG314" s="8" t="s">
        <v>7608</v>
      </c>
      <c r="BH314" s="4" t="s">
        <v>7609</v>
      </c>
      <c r="BI314" s="8" t="n">
        <v>16</v>
      </c>
      <c r="BJ314" s="8" t="s">
        <v>7602</v>
      </c>
      <c r="BK314" s="4" t="s">
        <v>7653</v>
      </c>
      <c r="BL314" s="8" t="s">
        <v>7602</v>
      </c>
      <c r="BM314" s="4" t="s">
        <v>7620</v>
      </c>
      <c r="BN314" s="8" t="s">
        <v>7602</v>
      </c>
      <c r="BO314" s="8" t="s">
        <v>7613</v>
      </c>
      <c r="BP314" s="8" t="s">
        <v>7608</v>
      </c>
      <c r="BQ314" s="8" t="str">
        <f aca="false">IF(A314="","",AT314)</f>
        <v>3歳</v>
      </c>
      <c r="BR314" s="8" t="str">
        <f aca="false">IF(A314="","",IF(BA314&lt;=1200,"～1200",IF(BA314&lt;=1500,"1300～1500",IF(BA314=1600,"1600",IF(BA314&lt;=1800,"1700～1800",IF(BA314&lt;=2000,"1900～2000","2100以上"))))))</f>
        <v>～1200</v>
      </c>
      <c r="BS314" s="8" t="str">
        <f aca="false">IF(A314="","",IF(AX314="G1","G1",IF(AX314="G2","G2",IF(AX314="G3","G3",IF(AX314="L","L","その他")))))</f>
        <v>その他</v>
      </c>
      <c r="BT314" s="8" t="str">
        <f aca="false">IF(A314="","",IF(BI314="","未結合",IF(D314=BI314,"一致","不一致")))</f>
        <v>一致</v>
      </c>
      <c r="BU314" s="8" t="str">
        <f aca="false">IF(A314="","",IF(BE314="牝馬限定","牝馬限定","その他"))</f>
        <v>その他</v>
      </c>
    </row>
    <row r="315" customFormat="false" ht="15.75" hidden="false" customHeight="false" outlineLevel="0" collapsed="false">
      <c r="A315" s="6" t="n">
        <v>46200</v>
      </c>
      <c r="B315" s="4" t="s">
        <v>1237</v>
      </c>
      <c r="C315" s="8" t="n">
        <v>2</v>
      </c>
      <c r="D315" s="8" t="n">
        <v>12</v>
      </c>
      <c r="E315" s="8" t="n">
        <v>10</v>
      </c>
      <c r="F315" s="4" t="s">
        <v>2623</v>
      </c>
      <c r="G315" s="8" t="n">
        <v>66</v>
      </c>
      <c r="H315" s="8" t="n">
        <v>5</v>
      </c>
      <c r="I315" s="4" t="s">
        <v>339</v>
      </c>
      <c r="J315" s="8" t="n">
        <v>50</v>
      </c>
      <c r="K315" s="8" t="n">
        <v>7</v>
      </c>
      <c r="L315" s="4" t="s">
        <v>1252</v>
      </c>
      <c r="M315" s="8" t="n">
        <v>39</v>
      </c>
      <c r="N315" s="8" t="n">
        <v>16</v>
      </c>
      <c r="O315" s="8" t="n">
        <v>11</v>
      </c>
      <c r="P315" s="8" t="n">
        <v>116</v>
      </c>
      <c r="Q315" s="8" t="str">
        <f aca="false">IF(A315="","",IF(AND(Y315&lt;&gt;"参考",G315&gt;=ルール設定!$B$2),"○",""))</f>
        <v/>
      </c>
      <c r="R315" s="8" t="str">
        <f aca="false">IF(A315="","",IF(AND(Y315&lt;&gt;"参考",G315&gt;=ルール設定!$B$3,N315&gt;=ルール設定!$B$4),"○",""))</f>
        <v/>
      </c>
      <c r="S315" s="8" t="str">
        <f aca="false">IF(A315="","",IF(AND(Y315&lt;&gt;"参考",G315&gt;=ルール設定!$B$5,J315&gt;=ルール設定!$B$6,O315&gt;=ルール設定!$B$7),"○",""))</f>
        <v/>
      </c>
      <c r="T315" s="8" t="n">
        <v>1</v>
      </c>
      <c r="U315" s="8" t="n">
        <v>4</v>
      </c>
      <c r="V315" s="8" t="str">
        <f aca="false">IF(A315="","",IF(AND(ISNUMBER(T315),ISNUMBER(U315)),IF(AND(T315&lt;=3,U315&lt;=3),"○","×"),""))</f>
        <v>×</v>
      </c>
      <c r="W315" s="8" t="n">
        <v>130</v>
      </c>
      <c r="X315" s="8"/>
      <c r="Y315" s="4" t="s">
        <v>7597</v>
      </c>
      <c r="Z315" s="4" t="s">
        <v>7726</v>
      </c>
      <c r="AA315" s="8" t="str">
        <v/>
      </c>
      <c r="AB315" s="8" t="str">
        <v/>
      </c>
      <c r="AC315" s="8" t="str">
        <v/>
      </c>
      <c r="AD315" s="8" t="str">
        <v/>
      </c>
      <c r="AE315" s="8" t="str">
        <v/>
      </c>
      <c r="AF315" s="8" t="str">
        <v/>
      </c>
      <c r="AG315" s="8" t="str">
        <v/>
      </c>
      <c r="AH315" s="8" t="str">
        <v/>
      </c>
      <c r="AI315" s="8" t="n">
        <v>27</v>
      </c>
      <c r="AJ315" s="8" t="str">
        <v>60～69</v>
      </c>
      <c r="AK315" s="8" t="str">
        <v>10～19</v>
      </c>
      <c r="AL315" s="8" t="str">
        <v>20～29</v>
      </c>
      <c r="AM315" s="8" t="str">
        <v>100～119</v>
      </c>
      <c r="AN315" s="8" t="str">
        <v>12～14</v>
      </c>
      <c r="AO315" s="8" t="str">
        <f aca="false">IF(A315="","",IF(COUNTIFS(全馬データ!$A$2:$A$50000,A315,全馬データ!$B$2:$B$50000,B315,全馬データ!$C$2:$C$50000,C315,全馬データ!$D$2:$D$50000,E315,全馬データ!$K$2:$K$50000,"&lt;&gt;")=0,"",SUMIFS(全馬データ!$K$2:$K$50000,全馬データ!$A$2:$A$50000,A315,全馬データ!$B$2:$B$50000,B315,全馬データ!$C$2:$C$50000,C315,全馬データ!$D$2:$D$50000,E315)))</f>
        <v/>
      </c>
      <c r="AP315" s="8" t="str">
        <f aca="false">IF(A315="","",IF(AO315="","欠損",IF(AO315&lt;=1.1,"1.0～1.1",IF(AO315&lt;1.3,"1.2",IF(AO315&lt;1.5,"1.3～1.4",IF(AO315&lt;2,"1.5～1.9","2.0以上"))))))</f>
        <v>欠損</v>
      </c>
      <c r="AQ315" s="8" t="str">
        <f aca="false">IF(A315="","",IF(ISNUMBER(SEARCH("2歳",Z315)),"2歳戦",IF(ISNUMBER(SEARCH("3歳未勝利",Z315)),"3歳未勝利",IF(ISNUMBER(SEARCH("未勝利",Z315)),"その他未勝利",IF(ISNUMBER(SEARCH("G1",Z315)),"G1",IF(ISNUMBER(SEARCH("G2",Z315)),"G2",IF(ISNUMBER(SEARCH("G3",Z315)),"G3",IF(ISNUMBER(SEARCH("古馬条件",Z315)),"古馬条件戦",IF(ISNUMBER(SEARCH("重賞",Z315)),"重賞","分類不能")))))))))</f>
        <v>分類不能</v>
      </c>
      <c r="AR315" s="8"/>
      <c r="AS315" s="8" t="s">
        <v>7623</v>
      </c>
      <c r="AT315" s="8" t="s">
        <v>7624</v>
      </c>
      <c r="AU315" s="8" t="s">
        <v>7600</v>
      </c>
      <c r="AV315" s="4" t="s">
        <v>7601</v>
      </c>
      <c r="AW315" s="8"/>
      <c r="AX315" s="8"/>
      <c r="AY315" s="8" t="s">
        <v>7610</v>
      </c>
      <c r="AZ315" s="4" t="s">
        <v>7617</v>
      </c>
      <c r="BA315" s="8" t="n">
        <v>1000</v>
      </c>
      <c r="BB315" s="8" t="s">
        <v>7669</v>
      </c>
      <c r="BC315" s="4" t="s">
        <v>7662</v>
      </c>
      <c r="BD315" s="8" t="s">
        <v>7621</v>
      </c>
      <c r="BE315" s="4" t="s">
        <v>7622</v>
      </c>
      <c r="BF315" s="8" t="s">
        <v>7602</v>
      </c>
      <c r="BG315" s="8" t="s">
        <v>7608</v>
      </c>
      <c r="BH315" s="4" t="s">
        <v>7609</v>
      </c>
      <c r="BI315" s="8" t="n">
        <v>12</v>
      </c>
      <c r="BJ315" s="8" t="s">
        <v>7602</v>
      </c>
      <c r="BK315" s="4" t="s">
        <v>7653</v>
      </c>
      <c r="BL315" s="8" t="s">
        <v>7602</v>
      </c>
      <c r="BM315" s="4" t="s">
        <v>7620</v>
      </c>
      <c r="BN315" s="8"/>
      <c r="BO315" s="8"/>
      <c r="BP315" s="8" t="s">
        <v>7608</v>
      </c>
      <c r="BQ315" s="8" t="str">
        <f aca="false">IF(A315="","",AT315)</f>
        <v>3歳</v>
      </c>
      <c r="BR315" s="8" t="str">
        <f aca="false">IF(A315="","",IF(BA315&lt;=1200,"～1200",IF(BA315&lt;=1500,"1300～1500",IF(BA315=1600,"1600",IF(BA315&lt;=1800,"1700～1800",IF(BA315&lt;=2000,"1900～2000","2100以上"))))))</f>
        <v>～1200</v>
      </c>
      <c r="BS315" s="8" t="str">
        <f aca="false">IF(A315="","",IF(AX315="G1","G1",IF(AX315="G2","G2",IF(AX315="G3","G3",IF(AX315="L","L","その他")))))</f>
        <v>その他</v>
      </c>
      <c r="BT315" s="8" t="str">
        <f aca="false">IF(A315="","",IF(BI315="","未結合",IF(D315=BI315,"一致","不一致")))</f>
        <v>一致</v>
      </c>
      <c r="BU315" s="8" t="str">
        <f aca="false">IF(A315="","",IF(BE315="牝馬限定","牝馬限定","その他"))</f>
        <v>牝馬限定</v>
      </c>
    </row>
    <row r="316" customFormat="false" ht="15.75" hidden="false" customHeight="false" outlineLevel="0" collapsed="false">
      <c r="A316" s="6" t="n">
        <v>46200</v>
      </c>
      <c r="B316" s="4" t="s">
        <v>1237</v>
      </c>
      <c r="C316" s="8" t="n">
        <v>3</v>
      </c>
      <c r="D316" s="8" t="n">
        <v>12</v>
      </c>
      <c r="E316" s="8" t="n">
        <v>9</v>
      </c>
      <c r="F316" s="4" t="s">
        <v>4425</v>
      </c>
      <c r="G316" s="8" t="n">
        <v>86</v>
      </c>
      <c r="H316" s="8" t="n">
        <v>12</v>
      </c>
      <c r="I316" s="4" t="s">
        <v>831</v>
      </c>
      <c r="J316" s="8" t="n">
        <v>41</v>
      </c>
      <c r="K316" s="8" t="n">
        <v>1</v>
      </c>
      <c r="L316" s="4" t="s">
        <v>1742</v>
      </c>
      <c r="M316" s="8" t="n">
        <v>23</v>
      </c>
      <c r="N316" s="8" t="n">
        <v>45</v>
      </c>
      <c r="O316" s="8" t="n">
        <v>18</v>
      </c>
      <c r="P316" s="8" t="n">
        <v>127</v>
      </c>
      <c r="Q316" s="8" t="str">
        <f aca="false">IF(A316="","",IF(AND(Y316&lt;&gt;"参考",G316&gt;=ルール設定!$B$2),"○",""))</f>
        <v>○</v>
      </c>
      <c r="R316" s="8" t="str">
        <f aca="false">IF(A316="","",IF(AND(Y316&lt;&gt;"参考",G316&gt;=ルール設定!$B$3,N316&gt;=ルール設定!$B$4),"○",""))</f>
        <v>○</v>
      </c>
      <c r="S316" s="8" t="str">
        <f aca="false">IF(A316="","",IF(AND(Y316&lt;&gt;"参考",G316&gt;=ルール設定!$B$5,J316&gt;=ルール設定!$B$6,O316&gt;=ルール設定!$B$7),"○",""))</f>
        <v/>
      </c>
      <c r="T316" s="8" t="n">
        <v>1</v>
      </c>
      <c r="U316" s="8" t="n">
        <v>4</v>
      </c>
      <c r="V316" s="8" t="str">
        <f aca="false">IF(A316="","",IF(AND(ISNUMBER(T316),ISNUMBER(U316)),IF(AND(T316&lt;=3,U316&lt;=3),"○","×"),""))</f>
        <v>×</v>
      </c>
      <c r="W316" s="8" t="n">
        <v>110</v>
      </c>
      <c r="X316" s="8"/>
      <c r="Y316" s="4" t="s">
        <v>7597</v>
      </c>
      <c r="Z316" s="4" t="s">
        <v>7726</v>
      </c>
      <c r="AA316" s="8" t="str">
        <v>○</v>
      </c>
      <c r="AB316" s="8" t="str">
        <v>○</v>
      </c>
      <c r="AC316" s="8" t="str">
        <v/>
      </c>
      <c r="AD316" s="8" t="str">
        <v>○</v>
      </c>
      <c r="AE316" s="8" t="str">
        <v/>
      </c>
      <c r="AF316" s="8" t="str">
        <v/>
      </c>
      <c r="AG316" s="8" t="str">
        <v>○</v>
      </c>
      <c r="AH316" s="8" t="str">
        <v/>
      </c>
      <c r="AI316" s="8" t="n">
        <v>63</v>
      </c>
      <c r="AJ316" s="8" t="str">
        <v>85以上</v>
      </c>
      <c r="AK316" s="8" t="str">
        <v>30以上</v>
      </c>
      <c r="AL316" s="8" t="str">
        <v>40以上</v>
      </c>
      <c r="AM316" s="8" t="str">
        <v>120～139</v>
      </c>
      <c r="AN316" s="8" t="str">
        <v>12～14</v>
      </c>
      <c r="AO316" s="8" t="str">
        <f aca="false">IF(A316="","",IF(COUNTIFS(全馬データ!$A$2:$A$50000,A316,全馬データ!$B$2:$B$50000,B316,全馬データ!$C$2:$C$50000,C316,全馬データ!$D$2:$D$50000,E316,全馬データ!$K$2:$K$50000,"&lt;&gt;")=0,"",SUMIFS(全馬データ!$K$2:$K$50000,全馬データ!$A$2:$A$50000,A316,全馬データ!$B$2:$B$50000,B316,全馬データ!$C$2:$C$50000,C316,全馬データ!$D$2:$D$50000,E316)))</f>
        <v/>
      </c>
      <c r="AP316" s="8" t="str">
        <f aca="false">IF(A316="","",IF(AO316="","欠損",IF(AO316&lt;=1.1,"1.0～1.1",IF(AO316&lt;1.3,"1.2",IF(AO316&lt;1.5,"1.3～1.4",IF(AO316&lt;2,"1.5～1.9","2.0以上"))))))</f>
        <v>欠損</v>
      </c>
      <c r="AQ316" s="8" t="str">
        <f aca="false">IF(A316="","",IF(ISNUMBER(SEARCH("2歳",Z316)),"2歳戦",IF(ISNUMBER(SEARCH("3歳未勝利",Z316)),"3歳未勝利",IF(ISNUMBER(SEARCH("未勝利",Z316)),"その他未勝利",IF(ISNUMBER(SEARCH("G1",Z316)),"G1",IF(ISNUMBER(SEARCH("G2",Z316)),"G2",IF(ISNUMBER(SEARCH("G3",Z316)),"G3",IF(ISNUMBER(SEARCH("古馬条件",Z316)),"古馬条件戦",IF(ISNUMBER(SEARCH("重賞",Z316)),"重賞","分類不能")))))))))</f>
        <v>分類不能</v>
      </c>
      <c r="AR316" s="8"/>
      <c r="AS316" s="8" t="s">
        <v>7623</v>
      </c>
      <c r="AT316" s="8" t="s">
        <v>7624</v>
      </c>
      <c r="AU316" s="8" t="s">
        <v>7600</v>
      </c>
      <c r="AV316" s="4" t="s">
        <v>7601</v>
      </c>
      <c r="AW316" s="8"/>
      <c r="AX316" s="8"/>
      <c r="AY316" s="8" t="s">
        <v>7610</v>
      </c>
      <c r="AZ316" s="4" t="s">
        <v>7617</v>
      </c>
      <c r="BA316" s="8" t="n">
        <v>1700</v>
      </c>
      <c r="BB316" s="8" t="s">
        <v>7669</v>
      </c>
      <c r="BC316" s="4" t="s">
        <v>7662</v>
      </c>
      <c r="BD316" s="8" t="s">
        <v>7625</v>
      </c>
      <c r="BE316" s="4" t="s">
        <v>7606</v>
      </c>
      <c r="BF316" s="8" t="s">
        <v>7607</v>
      </c>
      <c r="BG316" s="8" t="s">
        <v>7608</v>
      </c>
      <c r="BH316" s="4" t="s">
        <v>7609</v>
      </c>
      <c r="BI316" s="8" t="n">
        <v>12</v>
      </c>
      <c r="BJ316" s="8" t="s">
        <v>7602</v>
      </c>
      <c r="BK316" s="4" t="s">
        <v>7653</v>
      </c>
      <c r="BL316" s="8" t="s">
        <v>7602</v>
      </c>
      <c r="BM316" s="4" t="s">
        <v>7620</v>
      </c>
      <c r="BN316" s="8"/>
      <c r="BO316" s="8"/>
      <c r="BP316" s="8" t="s">
        <v>7608</v>
      </c>
      <c r="BQ316" s="8" t="str">
        <f aca="false">IF(A316="","",AT316)</f>
        <v>3歳</v>
      </c>
      <c r="BR316" s="8" t="str">
        <f aca="false">IF(A316="","",IF(BA316&lt;=1200,"～1200",IF(BA316&lt;=1500,"1300～1500",IF(BA316=1600,"1600",IF(BA316&lt;=1800,"1700～1800",IF(BA316&lt;=2000,"1900～2000","2100以上"))))))</f>
        <v>1700～1800</v>
      </c>
      <c r="BS316" s="8" t="str">
        <f aca="false">IF(A316="","",IF(AX316="G1","G1",IF(AX316="G2","G2",IF(AX316="G3","G3",IF(AX316="L","L","その他")))))</f>
        <v>その他</v>
      </c>
      <c r="BT316" s="8" t="str">
        <f aca="false">IF(A316="","",IF(BI316="","未結合",IF(D316=BI316,"一致","不一致")))</f>
        <v>一致</v>
      </c>
      <c r="BU316" s="8" t="str">
        <f aca="false">IF(A316="","",IF(BE316="牝馬限定","牝馬限定","その他"))</f>
        <v>その他</v>
      </c>
    </row>
    <row r="317" customFormat="false" ht="15.75" hidden="false" customHeight="false" outlineLevel="0" collapsed="false">
      <c r="A317" s="6" t="n">
        <v>46200</v>
      </c>
      <c r="B317" s="4" t="s">
        <v>1237</v>
      </c>
      <c r="C317" s="8" t="n">
        <v>4</v>
      </c>
      <c r="D317" s="8" t="n">
        <v>16</v>
      </c>
      <c r="E317" s="8" t="n">
        <v>11</v>
      </c>
      <c r="F317" s="4" t="s">
        <v>364</v>
      </c>
      <c r="G317" s="8" t="n">
        <v>52</v>
      </c>
      <c r="H317" s="8" t="n">
        <v>14</v>
      </c>
      <c r="I317" s="4" t="s">
        <v>4432</v>
      </c>
      <c r="J317" s="8" t="n">
        <v>47</v>
      </c>
      <c r="K317" s="8" t="n">
        <v>2</v>
      </c>
      <c r="L317" s="4" t="s">
        <v>2955</v>
      </c>
      <c r="M317" s="8" t="n">
        <v>44</v>
      </c>
      <c r="N317" s="8" t="n">
        <v>5</v>
      </c>
      <c r="O317" s="8" t="n">
        <v>3</v>
      </c>
      <c r="P317" s="8" t="n">
        <v>99</v>
      </c>
      <c r="Q317" s="8" t="str">
        <f aca="false">IF(A317="","",IF(AND(Y317&lt;&gt;"参考",G317&gt;=ルール設定!$B$2),"○",""))</f>
        <v/>
      </c>
      <c r="R317" s="8" t="str">
        <f aca="false">IF(A317="","",IF(AND(Y317&lt;&gt;"参考",G317&gt;=ルール設定!$B$3,N317&gt;=ルール設定!$B$4),"○",""))</f>
        <v/>
      </c>
      <c r="S317" s="8" t="str">
        <f aca="false">IF(A317="","",IF(AND(Y317&lt;&gt;"参考",G317&gt;=ルール設定!$B$5,J317&gt;=ルール設定!$B$6,O317&gt;=ルール設定!$B$7),"○",""))</f>
        <v/>
      </c>
      <c r="T317" s="8" t="n">
        <v>4</v>
      </c>
      <c r="U317" s="8" t="n">
        <v>1</v>
      </c>
      <c r="V317" s="8" t="str">
        <f aca="false">IF(A317="","",IF(AND(ISNUMBER(T317),ISNUMBER(U317)),IF(AND(T317&lt;=3,U317&lt;=3),"○","×"),""))</f>
        <v>×</v>
      </c>
      <c r="W317" s="8"/>
      <c r="X317" s="8"/>
      <c r="Y317" s="4" t="s">
        <v>7597</v>
      </c>
      <c r="Z317" s="4" t="s">
        <v>7726</v>
      </c>
      <c r="AA317" s="8" t="str">
        <v/>
      </c>
      <c r="AB317" s="8" t="str">
        <v/>
      </c>
      <c r="AC317" s="8" t="str">
        <v/>
      </c>
      <c r="AD317" s="8" t="str">
        <v/>
      </c>
      <c r="AE317" s="8" t="str">
        <v/>
      </c>
      <c r="AF317" s="8" t="str">
        <v/>
      </c>
      <c r="AG317" s="8" t="str">
        <v/>
      </c>
      <c r="AH317" s="8" t="str">
        <v/>
      </c>
      <c r="AI317" s="8" t="n">
        <v>8</v>
      </c>
      <c r="AJ317" s="8" t="str">
        <v>～59</v>
      </c>
      <c r="AK317" s="8" t="str">
        <v>5～9</v>
      </c>
      <c r="AL317" s="8" t="str">
        <v>0～9</v>
      </c>
      <c r="AM317" s="8" t="str">
        <v>～99</v>
      </c>
      <c r="AN317" s="8" t="str">
        <v>15以上</v>
      </c>
      <c r="AO317" s="8" t="str">
        <f aca="false">IF(A317="","",IF(COUNTIFS(全馬データ!$A$2:$A$50000,A317,全馬データ!$B$2:$B$50000,B317,全馬データ!$C$2:$C$50000,C317,全馬データ!$D$2:$D$50000,E317,全馬データ!$K$2:$K$50000,"&lt;&gt;")=0,"",SUMIFS(全馬データ!$K$2:$K$50000,全馬データ!$A$2:$A$50000,A317,全馬データ!$B$2:$B$50000,B317,全馬データ!$C$2:$C$50000,C317,全馬データ!$D$2:$D$50000,E317)))</f>
        <v/>
      </c>
      <c r="AP317" s="8" t="str">
        <f aca="false">IF(A317="","",IF(AO317="","欠損",IF(AO317&lt;=1.1,"1.0～1.1",IF(AO317&lt;1.3,"1.2",IF(AO317&lt;1.5,"1.3～1.4",IF(AO317&lt;2,"1.5～1.9","2.0以上"))))))</f>
        <v>欠損</v>
      </c>
      <c r="AQ317" s="8" t="str">
        <f aca="false">IF(A317="","",IF(ISNUMBER(SEARCH("2歳",Z317)),"2歳戦",IF(ISNUMBER(SEARCH("3歳未勝利",Z317)),"3歳未勝利",IF(ISNUMBER(SEARCH("未勝利",Z317)),"その他未勝利",IF(ISNUMBER(SEARCH("G1",Z317)),"G1",IF(ISNUMBER(SEARCH("G2",Z317)),"G2",IF(ISNUMBER(SEARCH("G3",Z317)),"G3",IF(ISNUMBER(SEARCH("古馬条件",Z317)),"古馬条件戦",IF(ISNUMBER(SEARCH("重賞",Z317)),"重賞","分類不能")))))))))</f>
        <v>分類不能</v>
      </c>
      <c r="AR317" s="8"/>
      <c r="AS317" s="8" t="s">
        <v>7623</v>
      </c>
      <c r="AT317" s="8" t="s">
        <v>7624</v>
      </c>
      <c r="AU317" s="8" t="s">
        <v>7600</v>
      </c>
      <c r="AV317" s="4" t="s">
        <v>7601</v>
      </c>
      <c r="AW317" s="8"/>
      <c r="AX317" s="8"/>
      <c r="AY317" s="8" t="s">
        <v>7602</v>
      </c>
      <c r="AZ317" s="4" t="s">
        <v>7603</v>
      </c>
      <c r="BA317" s="8" t="n">
        <v>1800</v>
      </c>
      <c r="BB317" s="8" t="s">
        <v>7659</v>
      </c>
      <c r="BC317" s="4" t="s">
        <v>7619</v>
      </c>
      <c r="BD317" s="8" t="s">
        <v>7625</v>
      </c>
      <c r="BE317" s="4" t="s">
        <v>7606</v>
      </c>
      <c r="BF317" s="8" t="s">
        <v>7607</v>
      </c>
      <c r="BG317" s="8" t="s">
        <v>7608</v>
      </c>
      <c r="BH317" s="4" t="s">
        <v>7609</v>
      </c>
      <c r="BI317" s="8" t="n">
        <v>16</v>
      </c>
      <c r="BJ317" s="8" t="s">
        <v>7602</v>
      </c>
      <c r="BK317" s="4" t="s">
        <v>7653</v>
      </c>
      <c r="BL317" s="8" t="s">
        <v>7602</v>
      </c>
      <c r="BM317" s="4" t="s">
        <v>7620</v>
      </c>
      <c r="BN317" s="8" t="s">
        <v>7602</v>
      </c>
      <c r="BO317" s="8" t="s">
        <v>7613</v>
      </c>
      <c r="BP317" s="8" t="s">
        <v>7608</v>
      </c>
      <c r="BQ317" s="8" t="str">
        <f aca="false">IF(A317="","",AT317)</f>
        <v>3歳</v>
      </c>
      <c r="BR317" s="8" t="str">
        <f aca="false">IF(A317="","",IF(BA317&lt;=1200,"～1200",IF(BA317&lt;=1500,"1300～1500",IF(BA317=1600,"1600",IF(BA317&lt;=1800,"1700～1800",IF(BA317&lt;=2000,"1900～2000","2100以上"))))))</f>
        <v>1700～1800</v>
      </c>
      <c r="BS317" s="8" t="str">
        <f aca="false">IF(A317="","",IF(AX317="G1","G1",IF(AX317="G2","G2",IF(AX317="G3","G3",IF(AX317="L","L","その他")))))</f>
        <v>その他</v>
      </c>
      <c r="BT317" s="8" t="str">
        <f aca="false">IF(A317="","",IF(BI317="","未結合",IF(D317=BI317,"一致","不一致")))</f>
        <v>一致</v>
      </c>
      <c r="BU317" s="8" t="str">
        <f aca="false">IF(A317="","",IF(BE317="牝馬限定","牝馬限定","その他"))</f>
        <v>その他</v>
      </c>
    </row>
    <row r="318" customFormat="false" ht="15.75" hidden="false" customHeight="false" outlineLevel="0" collapsed="false">
      <c r="A318" s="6" t="n">
        <v>46200</v>
      </c>
      <c r="B318" s="4" t="s">
        <v>1237</v>
      </c>
      <c r="C318" s="8" t="n">
        <v>5</v>
      </c>
      <c r="D318" s="8" t="n">
        <v>8</v>
      </c>
      <c r="E318" s="8" t="n">
        <v>7</v>
      </c>
      <c r="F318" s="4" t="s">
        <v>347</v>
      </c>
      <c r="G318" s="8" t="n">
        <v>37</v>
      </c>
      <c r="H318" s="8" t="n">
        <v>6</v>
      </c>
      <c r="I318" s="4" t="s">
        <v>4436</v>
      </c>
      <c r="J318" s="8" t="n">
        <v>31</v>
      </c>
      <c r="K318" s="8" t="n">
        <v>1</v>
      </c>
      <c r="L318" s="4" t="s">
        <v>1718</v>
      </c>
      <c r="M318" s="8" t="n">
        <v>27</v>
      </c>
      <c r="N318" s="8" t="n">
        <v>6</v>
      </c>
      <c r="O318" s="8" t="n">
        <v>4</v>
      </c>
      <c r="P318" s="8" t="n">
        <v>68</v>
      </c>
      <c r="Q318" s="8" t="str">
        <f aca="false">IF(A318="","",IF(AND(Y318&lt;&gt;"参考",G318&gt;=ルール設定!$B$2),"○",""))</f>
        <v/>
      </c>
      <c r="R318" s="8" t="str">
        <f aca="false">IF(A318="","",IF(AND(Y318&lt;&gt;"参考",G318&gt;=ルール設定!$B$3,N318&gt;=ルール設定!$B$4),"○",""))</f>
        <v/>
      </c>
      <c r="S318" s="8" t="str">
        <f aca="false">IF(A318="","",IF(AND(Y318&lt;&gt;"参考",G318&gt;=ルール設定!$B$5,J318&gt;=ルール設定!$B$6,O318&gt;=ルール設定!$B$7),"○",""))</f>
        <v/>
      </c>
      <c r="T318" s="8" t="n">
        <v>3</v>
      </c>
      <c r="U318" s="8" t="n">
        <v>4</v>
      </c>
      <c r="V318" s="8" t="str">
        <f aca="false">IF(A318="","",IF(AND(ISNUMBER(T318),ISNUMBER(U318)),IF(AND(T318&lt;=3,U318&lt;=3),"○","×"),""))</f>
        <v>×</v>
      </c>
      <c r="W318" s="8" t="n">
        <v>110</v>
      </c>
      <c r="X318" s="8"/>
      <c r="Y318" s="4" t="s">
        <v>7597</v>
      </c>
      <c r="Z318" s="4" t="s">
        <v>7726</v>
      </c>
      <c r="AA318" s="8" t="str">
        <v/>
      </c>
      <c r="AB318" s="8" t="str">
        <v/>
      </c>
      <c r="AC318" s="8" t="str">
        <v/>
      </c>
      <c r="AD318" s="8" t="str">
        <v/>
      </c>
      <c r="AE318" s="8" t="str">
        <v/>
      </c>
      <c r="AF318" s="8" t="str">
        <v/>
      </c>
      <c r="AG318" s="8" t="str">
        <v/>
      </c>
      <c r="AH318" s="8" t="str">
        <v/>
      </c>
      <c r="AI318" s="8" t="n">
        <v>10</v>
      </c>
      <c r="AJ318" s="8" t="str">
        <v>～59</v>
      </c>
      <c r="AK318" s="8" t="str">
        <v>5～9</v>
      </c>
      <c r="AL318" s="8" t="str">
        <v>10～19</v>
      </c>
      <c r="AM318" s="8" t="str">
        <v>～99</v>
      </c>
      <c r="AN318" s="8" t="str">
        <v>8～11</v>
      </c>
      <c r="AO318" s="8" t="str">
        <f aca="false">IF(A318="","",IF(COUNTIFS(全馬データ!$A$2:$A$50000,A318,全馬データ!$B$2:$B$50000,B318,全馬データ!$C$2:$C$50000,C318,全馬データ!$D$2:$D$50000,E318,全馬データ!$K$2:$K$50000,"&lt;&gt;")=0,"",SUMIFS(全馬データ!$K$2:$K$50000,全馬データ!$A$2:$A$50000,A318,全馬データ!$B$2:$B$50000,B318,全馬データ!$C$2:$C$50000,C318,全馬データ!$D$2:$D$50000,E318)))</f>
        <v/>
      </c>
      <c r="AP318" s="8" t="str">
        <f aca="false">IF(A318="","",IF(AO318="","欠損",IF(AO318&lt;=1.1,"1.0～1.1",IF(AO318&lt;1.3,"1.2",IF(AO318&lt;1.5,"1.3～1.4",IF(AO318&lt;2,"1.5～1.9","2.0以上"))))))</f>
        <v>欠損</v>
      </c>
      <c r="AQ318" s="8" t="str">
        <f aca="false">IF(A318="","",IF(ISNUMBER(SEARCH("2歳",Z318)),"2歳戦",IF(ISNUMBER(SEARCH("3歳未勝利",Z318)),"3歳未勝利",IF(ISNUMBER(SEARCH("未勝利",Z318)),"その他未勝利",IF(ISNUMBER(SEARCH("G1",Z318)),"G1",IF(ISNUMBER(SEARCH("G2",Z318)),"G2",IF(ISNUMBER(SEARCH("G3",Z318)),"G3",IF(ISNUMBER(SEARCH("古馬条件",Z318)),"古馬条件戦",IF(ISNUMBER(SEARCH("重賞",Z318)),"重賞","分類不能")))))))))</f>
        <v>分類不能</v>
      </c>
      <c r="AR318" s="8"/>
      <c r="AS318" s="8" t="s">
        <v>7598</v>
      </c>
      <c r="AT318" s="8" t="s">
        <v>7599</v>
      </c>
      <c r="AU318" s="8" t="s">
        <v>7615</v>
      </c>
      <c r="AV318" s="4" t="s">
        <v>7616</v>
      </c>
      <c r="AW318" s="8"/>
      <c r="AX318" s="8"/>
      <c r="AY318" s="8" t="s">
        <v>7602</v>
      </c>
      <c r="AZ318" s="4" t="s">
        <v>7603</v>
      </c>
      <c r="BA318" s="8" t="n">
        <v>1200</v>
      </c>
      <c r="BB318" s="8" t="s">
        <v>7659</v>
      </c>
      <c r="BC318" s="4" t="s">
        <v>7619</v>
      </c>
      <c r="BD318" s="8" t="s">
        <v>7625</v>
      </c>
      <c r="BE318" s="4" t="s">
        <v>7606</v>
      </c>
      <c r="BF318" s="8" t="s">
        <v>7607</v>
      </c>
      <c r="BG318" s="8" t="s">
        <v>7608</v>
      </c>
      <c r="BH318" s="4" t="s">
        <v>7609</v>
      </c>
      <c r="BI318" s="8" t="n">
        <v>8</v>
      </c>
      <c r="BJ318" s="8" t="s">
        <v>7602</v>
      </c>
      <c r="BK318" s="4" t="s">
        <v>7653</v>
      </c>
      <c r="BL318" s="8" t="s">
        <v>7602</v>
      </c>
      <c r="BM318" s="4" t="s">
        <v>7620</v>
      </c>
      <c r="BN318" s="8" t="s">
        <v>7602</v>
      </c>
      <c r="BO318" s="8" t="s">
        <v>7613</v>
      </c>
      <c r="BP318" s="8" t="s">
        <v>7608</v>
      </c>
      <c r="BQ318" s="8" t="str">
        <f aca="false">IF(A318="","",AT318)</f>
        <v>2歳</v>
      </c>
      <c r="BR318" s="8" t="str">
        <f aca="false">IF(A318="","",IF(BA318&lt;=1200,"～1200",IF(BA318&lt;=1500,"1300～1500",IF(BA318=1600,"1600",IF(BA318&lt;=1800,"1700～1800",IF(BA318&lt;=2000,"1900～2000","2100以上"))))))</f>
        <v>～1200</v>
      </c>
      <c r="BS318" s="8" t="str">
        <f aca="false">IF(A318="","",IF(AX318="G1","G1",IF(AX318="G2","G2",IF(AX318="G3","G3",IF(AX318="L","L","その他")))))</f>
        <v>その他</v>
      </c>
      <c r="BT318" s="8" t="str">
        <f aca="false">IF(A318="","",IF(BI318="","未結合",IF(D318=BI318,"一致","不一致")))</f>
        <v>一致</v>
      </c>
      <c r="BU318" s="8" t="str">
        <f aca="false">IF(A318="","",IF(BE318="牝馬限定","牝馬限定","その他"))</f>
        <v>その他</v>
      </c>
    </row>
    <row r="319" customFormat="false" ht="15.75" hidden="false" customHeight="false" outlineLevel="0" collapsed="false">
      <c r="A319" s="6" t="n">
        <v>46200</v>
      </c>
      <c r="B319" s="4" t="s">
        <v>1237</v>
      </c>
      <c r="C319" s="8" t="n">
        <v>6</v>
      </c>
      <c r="D319" s="8" t="n">
        <v>11</v>
      </c>
      <c r="E319" s="8" t="n">
        <v>5</v>
      </c>
      <c r="F319" s="4" t="s">
        <v>1796</v>
      </c>
      <c r="G319" s="8" t="n">
        <v>71</v>
      </c>
      <c r="H319" s="8" t="n">
        <v>3</v>
      </c>
      <c r="I319" s="4" t="s">
        <v>4438</v>
      </c>
      <c r="J319" s="8" t="n">
        <v>58</v>
      </c>
      <c r="K319" s="8" t="n">
        <v>9</v>
      </c>
      <c r="L319" s="4" t="s">
        <v>802</v>
      </c>
      <c r="M319" s="8" t="n">
        <v>47</v>
      </c>
      <c r="N319" s="8" t="n">
        <v>13</v>
      </c>
      <c r="O319" s="8" t="n">
        <v>11</v>
      </c>
      <c r="P319" s="8" t="n">
        <v>129</v>
      </c>
      <c r="Q319" s="8" t="str">
        <f aca="false">IF(A319="","",IF(AND(Y319&lt;&gt;"参考",G319&gt;=ルール設定!$B$2),"○",""))</f>
        <v/>
      </c>
      <c r="R319" s="8" t="str">
        <f aca="false">IF(A319="","",IF(AND(Y319&lt;&gt;"参考",G319&gt;=ルール設定!$B$3,N319&gt;=ルール設定!$B$4),"○",""))</f>
        <v/>
      </c>
      <c r="S319" s="8" t="str">
        <f aca="false">IF(A319="","",IF(AND(Y319&lt;&gt;"参考",G319&gt;=ルール設定!$B$5,J319&gt;=ルール設定!$B$6,O319&gt;=ルール設定!$B$7),"○",""))</f>
        <v/>
      </c>
      <c r="T319" s="8" t="n">
        <v>1</v>
      </c>
      <c r="U319" s="8" t="n">
        <v>4</v>
      </c>
      <c r="V319" s="8" t="str">
        <f aca="false">IF(A319="","",IF(AND(ISNUMBER(T319),ISNUMBER(U319)),IF(AND(T319&lt;=3,U319&lt;=3),"○","×"),""))</f>
        <v>×</v>
      </c>
      <c r="W319" s="8" t="n">
        <v>170</v>
      </c>
      <c r="X319" s="8"/>
      <c r="Y319" s="4" t="s">
        <v>7597</v>
      </c>
      <c r="Z319" s="4" t="s">
        <v>7726</v>
      </c>
      <c r="AA319" s="8" t="str">
        <v/>
      </c>
      <c r="AB319" s="8" t="str">
        <v/>
      </c>
      <c r="AC319" s="8" t="str">
        <v/>
      </c>
      <c r="AD319" s="8" t="str">
        <v/>
      </c>
      <c r="AE319" s="8" t="str">
        <v/>
      </c>
      <c r="AF319" s="8" t="str">
        <v/>
      </c>
      <c r="AG319" s="8" t="str">
        <v/>
      </c>
      <c r="AH319" s="8" t="str">
        <v/>
      </c>
      <c r="AI319" s="8" t="n">
        <v>24</v>
      </c>
      <c r="AJ319" s="8" t="str">
        <v>70～74</v>
      </c>
      <c r="AK319" s="8" t="str">
        <v>10～19</v>
      </c>
      <c r="AL319" s="8" t="str">
        <v>20～29</v>
      </c>
      <c r="AM319" s="8" t="str">
        <v>120～139</v>
      </c>
      <c r="AN319" s="8" t="str">
        <v>8～11</v>
      </c>
      <c r="AO319" s="8" t="str">
        <f aca="false">IF(A319="","",IF(COUNTIFS(全馬データ!$A$2:$A$50000,A319,全馬データ!$B$2:$B$50000,B319,全馬データ!$C$2:$C$50000,C319,全馬データ!$D$2:$D$50000,E319,全馬データ!$K$2:$K$50000,"&lt;&gt;")=0,"",SUMIFS(全馬データ!$K$2:$K$50000,全馬データ!$A$2:$A$50000,A319,全馬データ!$B$2:$B$50000,B319,全馬データ!$C$2:$C$50000,C319,全馬データ!$D$2:$D$50000,E319)))</f>
        <v/>
      </c>
      <c r="AP319" s="8" t="str">
        <f aca="false">IF(A319="","",IF(AO319="","欠損",IF(AO319&lt;=1.1,"1.0～1.1",IF(AO319&lt;1.3,"1.2",IF(AO319&lt;1.5,"1.3～1.4",IF(AO319&lt;2,"1.5～1.9","2.0以上"))))))</f>
        <v>欠損</v>
      </c>
      <c r="AQ319" s="8" t="str">
        <f aca="false">IF(A319="","",IF(ISNUMBER(SEARCH("2歳",Z319)),"2歳戦",IF(ISNUMBER(SEARCH("3歳未勝利",Z319)),"3歳未勝利",IF(ISNUMBER(SEARCH("未勝利",Z319)),"その他未勝利",IF(ISNUMBER(SEARCH("G1",Z319)),"G1",IF(ISNUMBER(SEARCH("G2",Z319)),"G2",IF(ISNUMBER(SEARCH("G3",Z319)),"G3",IF(ISNUMBER(SEARCH("古馬条件",Z319)),"古馬条件戦",IF(ISNUMBER(SEARCH("重賞",Z319)),"重賞","分類不能")))))))))</f>
        <v>分類不能</v>
      </c>
      <c r="AR319" s="8"/>
      <c r="AS319" s="8" t="s">
        <v>7623</v>
      </c>
      <c r="AT319" s="8" t="s">
        <v>7624</v>
      </c>
      <c r="AU319" s="8" t="s">
        <v>7600</v>
      </c>
      <c r="AV319" s="4" t="s">
        <v>7601</v>
      </c>
      <c r="AW319" s="8"/>
      <c r="AX319" s="8"/>
      <c r="AY319" s="8" t="s">
        <v>7610</v>
      </c>
      <c r="AZ319" s="4" t="s">
        <v>7617</v>
      </c>
      <c r="BA319" s="8" t="n">
        <v>1700</v>
      </c>
      <c r="BB319" s="8" t="s">
        <v>7701</v>
      </c>
      <c r="BC319" s="4" t="s">
        <v>7658</v>
      </c>
      <c r="BD319" s="8" t="s">
        <v>7621</v>
      </c>
      <c r="BE319" s="4" t="s">
        <v>7622</v>
      </c>
      <c r="BF319" s="8" t="s">
        <v>7602</v>
      </c>
      <c r="BG319" s="8" t="s">
        <v>7608</v>
      </c>
      <c r="BH319" s="4" t="s">
        <v>7609</v>
      </c>
      <c r="BI319" s="8" t="n">
        <v>11</v>
      </c>
      <c r="BJ319" s="8" t="s">
        <v>7602</v>
      </c>
      <c r="BK319" s="4" t="s">
        <v>7653</v>
      </c>
      <c r="BL319" s="8" t="s">
        <v>7602</v>
      </c>
      <c r="BM319" s="4" t="s">
        <v>7620</v>
      </c>
      <c r="BN319" s="8"/>
      <c r="BO319" s="8"/>
      <c r="BP319" s="8" t="s">
        <v>7608</v>
      </c>
      <c r="BQ319" s="8" t="str">
        <f aca="false">IF(A319="","",AT319)</f>
        <v>3歳</v>
      </c>
      <c r="BR319" s="8" t="str">
        <f aca="false">IF(A319="","",IF(BA319&lt;=1200,"～1200",IF(BA319&lt;=1500,"1300～1500",IF(BA319=1600,"1600",IF(BA319&lt;=1800,"1700～1800",IF(BA319&lt;=2000,"1900～2000","2100以上"))))))</f>
        <v>1700～1800</v>
      </c>
      <c r="BS319" s="8" t="str">
        <f aca="false">IF(A319="","",IF(AX319="G1","G1",IF(AX319="G2","G2",IF(AX319="G3","G3",IF(AX319="L","L","その他")))))</f>
        <v>その他</v>
      </c>
      <c r="BT319" s="8" t="str">
        <f aca="false">IF(A319="","",IF(BI319="","未結合",IF(D319=BI319,"一致","不一致")))</f>
        <v>一致</v>
      </c>
      <c r="BU319" s="8" t="str">
        <f aca="false">IF(A319="","",IF(BE319="牝馬限定","牝馬限定","その他"))</f>
        <v>牝馬限定</v>
      </c>
    </row>
    <row r="320" customFormat="false" ht="15.75" hidden="false" customHeight="false" outlineLevel="0" collapsed="false">
      <c r="A320" s="6" t="n">
        <v>46200</v>
      </c>
      <c r="B320" s="4" t="s">
        <v>1237</v>
      </c>
      <c r="C320" s="8" t="n">
        <v>7</v>
      </c>
      <c r="D320" s="8" t="n">
        <v>11</v>
      </c>
      <c r="E320" s="8" t="n">
        <v>11</v>
      </c>
      <c r="F320" s="4" t="s">
        <v>4443</v>
      </c>
      <c r="G320" s="8" t="n">
        <v>67</v>
      </c>
      <c r="H320" s="8" t="n">
        <v>4</v>
      </c>
      <c r="I320" s="4" t="s">
        <v>1334</v>
      </c>
      <c r="J320" s="8" t="n">
        <v>58</v>
      </c>
      <c r="K320" s="8" t="n">
        <v>6</v>
      </c>
      <c r="L320" s="4" t="s">
        <v>1337</v>
      </c>
      <c r="M320" s="8" t="n">
        <v>41</v>
      </c>
      <c r="N320" s="8" t="n">
        <v>9</v>
      </c>
      <c r="O320" s="8" t="n">
        <v>17</v>
      </c>
      <c r="P320" s="8" t="n">
        <v>125</v>
      </c>
      <c r="Q320" s="8" t="str">
        <f aca="false">IF(A320="","",IF(AND(Y320&lt;&gt;"参考",G320&gt;=ルール設定!$B$2),"○",""))</f>
        <v/>
      </c>
      <c r="R320" s="8" t="str">
        <f aca="false">IF(A320="","",IF(AND(Y320&lt;&gt;"参考",G320&gt;=ルール設定!$B$3,N320&gt;=ルール設定!$B$4),"○",""))</f>
        <v/>
      </c>
      <c r="S320" s="8" t="str">
        <f aca="false">IF(A320="","",IF(AND(Y320&lt;&gt;"参考",G320&gt;=ルール設定!$B$5,J320&gt;=ルール設定!$B$6,O320&gt;=ルール設定!$B$7),"○",""))</f>
        <v/>
      </c>
      <c r="T320" s="8" t="n">
        <v>1</v>
      </c>
      <c r="U320" s="8" t="n">
        <v>4</v>
      </c>
      <c r="V320" s="8" t="str">
        <f aca="false">IF(A320="","",IF(AND(ISNUMBER(T320),ISNUMBER(U320)),IF(AND(T320&lt;=3,U320&lt;=3),"○","×"),""))</f>
        <v>×</v>
      </c>
      <c r="W320" s="8" t="n">
        <v>130</v>
      </c>
      <c r="X320" s="8"/>
      <c r="Y320" s="4" t="s">
        <v>7597</v>
      </c>
      <c r="Z320" s="4" t="s">
        <v>7726</v>
      </c>
      <c r="AA320" s="8" t="str">
        <v/>
      </c>
      <c r="AB320" s="8" t="str">
        <v/>
      </c>
      <c r="AC320" s="8" t="str">
        <v/>
      </c>
      <c r="AD320" s="8" t="str">
        <v/>
      </c>
      <c r="AE320" s="8" t="str">
        <v/>
      </c>
      <c r="AF320" s="8" t="str">
        <v/>
      </c>
      <c r="AG320" s="8" t="str">
        <v/>
      </c>
      <c r="AH320" s="8" t="str">
        <v/>
      </c>
      <c r="AI320" s="8" t="n">
        <v>26</v>
      </c>
      <c r="AJ320" s="8" t="str">
        <v>60～69</v>
      </c>
      <c r="AK320" s="8" t="str">
        <v>5～9</v>
      </c>
      <c r="AL320" s="8" t="str">
        <v>20～29</v>
      </c>
      <c r="AM320" s="8" t="str">
        <v>120～139</v>
      </c>
      <c r="AN320" s="8" t="str">
        <v>8～11</v>
      </c>
      <c r="AO320" s="8" t="str">
        <f aca="false">IF(A320="","",IF(COUNTIFS(全馬データ!$A$2:$A$50000,A320,全馬データ!$B$2:$B$50000,B320,全馬データ!$C$2:$C$50000,C320,全馬データ!$D$2:$D$50000,E320,全馬データ!$K$2:$K$50000,"&lt;&gt;")=0,"",SUMIFS(全馬データ!$K$2:$K$50000,全馬データ!$A$2:$A$50000,A320,全馬データ!$B$2:$B$50000,B320,全馬データ!$C$2:$C$50000,C320,全馬データ!$D$2:$D$50000,E320)))</f>
        <v/>
      </c>
      <c r="AP320" s="8" t="str">
        <f aca="false">IF(A320="","",IF(AO320="","欠損",IF(AO320&lt;=1.1,"1.0～1.1",IF(AO320&lt;1.3,"1.2",IF(AO320&lt;1.5,"1.3～1.4",IF(AO320&lt;2,"1.5～1.9","2.0以上"))))))</f>
        <v>欠損</v>
      </c>
      <c r="AQ320" s="8" t="str">
        <f aca="false">IF(A320="","",IF(ISNUMBER(SEARCH("2歳",Z320)),"2歳戦",IF(ISNUMBER(SEARCH("3歳未勝利",Z320)),"3歳未勝利",IF(ISNUMBER(SEARCH("未勝利",Z320)),"その他未勝利",IF(ISNUMBER(SEARCH("G1",Z320)),"G1",IF(ISNUMBER(SEARCH("G2",Z320)),"G2",IF(ISNUMBER(SEARCH("G3",Z320)),"G3",IF(ISNUMBER(SEARCH("古馬条件",Z320)),"古馬条件戦",IF(ISNUMBER(SEARCH("重賞",Z320)),"重賞","分類不能")))))))))</f>
        <v>分類不能</v>
      </c>
      <c r="AR320" s="8"/>
      <c r="AS320" s="8" t="s">
        <v>7626</v>
      </c>
      <c r="AT320" s="8" t="s">
        <v>7627</v>
      </c>
      <c r="AU320" s="8" t="s">
        <v>7628</v>
      </c>
      <c r="AV320" s="8" t="s">
        <v>7629</v>
      </c>
      <c r="AW320" s="8"/>
      <c r="AX320" s="8"/>
      <c r="AY320" s="8" t="s">
        <v>7602</v>
      </c>
      <c r="AZ320" s="4" t="s">
        <v>7603</v>
      </c>
      <c r="BA320" s="8" t="n">
        <v>2000</v>
      </c>
      <c r="BB320" s="8" t="s">
        <v>7659</v>
      </c>
      <c r="BC320" s="4" t="s">
        <v>7619</v>
      </c>
      <c r="BD320" s="8" t="s">
        <v>7625</v>
      </c>
      <c r="BE320" s="4" t="s">
        <v>7606</v>
      </c>
      <c r="BF320" s="8" t="s">
        <v>7607</v>
      </c>
      <c r="BG320" s="8" t="s">
        <v>7631</v>
      </c>
      <c r="BH320" s="4" t="s">
        <v>7632</v>
      </c>
      <c r="BI320" s="8" t="n">
        <v>11</v>
      </c>
      <c r="BJ320" s="8" t="s">
        <v>7602</v>
      </c>
      <c r="BK320" s="4" t="s">
        <v>7653</v>
      </c>
      <c r="BL320" s="8" t="s">
        <v>7602</v>
      </c>
      <c r="BM320" s="4" t="s">
        <v>7620</v>
      </c>
      <c r="BN320" s="8" t="s">
        <v>7602</v>
      </c>
      <c r="BO320" s="8" t="s">
        <v>7613</v>
      </c>
      <c r="BP320" s="8" t="s">
        <v>7608</v>
      </c>
      <c r="BQ320" s="8" t="str">
        <f aca="false">IF(A320="","",AT320)</f>
        <v>3歳以上</v>
      </c>
      <c r="BR320" s="8" t="str">
        <f aca="false">IF(A320="","",IF(BA320&lt;=1200,"～1200",IF(BA320&lt;=1500,"1300～1500",IF(BA320=1600,"1600",IF(BA320&lt;=1800,"1700～1800",IF(BA320&lt;=2000,"1900～2000","2100以上"))))))</f>
        <v>1900～2000</v>
      </c>
      <c r="BS320" s="8" t="str">
        <f aca="false">IF(A320="","",IF(AX320="G1","G1",IF(AX320="G2","G2",IF(AX320="G3","G3",IF(AX320="L","L","その他")))))</f>
        <v>その他</v>
      </c>
      <c r="BT320" s="8" t="str">
        <f aca="false">IF(A320="","",IF(BI320="","未結合",IF(D320=BI320,"一致","不一致")))</f>
        <v>一致</v>
      </c>
      <c r="BU320" s="8" t="str">
        <f aca="false">IF(A320="","",IF(BE320="牝馬限定","牝馬限定","その他"))</f>
        <v>その他</v>
      </c>
    </row>
    <row r="321" customFormat="false" ht="15.75" hidden="false" customHeight="false" outlineLevel="0" collapsed="false">
      <c r="A321" s="6" t="n">
        <v>46200</v>
      </c>
      <c r="B321" s="4" t="s">
        <v>1237</v>
      </c>
      <c r="C321" s="8" t="n">
        <v>8</v>
      </c>
      <c r="D321" s="8" t="n">
        <v>11</v>
      </c>
      <c r="E321" s="8" t="n">
        <v>1</v>
      </c>
      <c r="F321" s="4" t="s">
        <v>2655</v>
      </c>
      <c r="G321" s="8" t="n">
        <v>86</v>
      </c>
      <c r="H321" s="8" t="n">
        <v>7</v>
      </c>
      <c r="I321" s="4" t="s">
        <v>4447</v>
      </c>
      <c r="J321" s="8" t="n">
        <v>50</v>
      </c>
      <c r="K321" s="8" t="n">
        <v>11</v>
      </c>
      <c r="L321" s="4" t="s">
        <v>2276</v>
      </c>
      <c r="M321" s="8" t="n">
        <v>37</v>
      </c>
      <c r="N321" s="8" t="n">
        <v>36</v>
      </c>
      <c r="O321" s="8" t="n">
        <v>13</v>
      </c>
      <c r="P321" s="8" t="n">
        <v>136</v>
      </c>
      <c r="Q321" s="8" t="str">
        <f aca="false">IF(A321="","",IF(AND(Y321&lt;&gt;"参考",G321&gt;=ルール設定!$B$2),"○",""))</f>
        <v>○</v>
      </c>
      <c r="R321" s="8" t="str">
        <f aca="false">IF(A321="","",IF(AND(Y321&lt;&gt;"参考",G321&gt;=ルール設定!$B$3,N321&gt;=ルール設定!$B$4),"○",""))</f>
        <v>○</v>
      </c>
      <c r="S321" s="8" t="str">
        <f aca="false">IF(A321="","",IF(AND(Y321&lt;&gt;"参考",G321&gt;=ルール設定!$B$5,J321&gt;=ルール設定!$B$6,O321&gt;=ルール設定!$B$7),"○",""))</f>
        <v/>
      </c>
      <c r="T321" s="8" t="n">
        <v>1</v>
      </c>
      <c r="U321" s="8" t="n">
        <v>4</v>
      </c>
      <c r="V321" s="8" t="str">
        <f aca="false">IF(A321="","",IF(AND(ISNUMBER(T321),ISNUMBER(U321)),IF(AND(T321&lt;=3,U321&lt;=3),"○","×"),""))</f>
        <v>×</v>
      </c>
      <c r="W321" s="8" t="n">
        <v>140</v>
      </c>
      <c r="X321" s="8"/>
      <c r="Y321" s="4" t="s">
        <v>7597</v>
      </c>
      <c r="Z321" s="4" t="s">
        <v>7726</v>
      </c>
      <c r="AA321" s="8" t="str">
        <v>○</v>
      </c>
      <c r="AB321" s="8" t="str">
        <v>○</v>
      </c>
      <c r="AC321" s="8" t="str">
        <v/>
      </c>
      <c r="AD321" s="8" t="str">
        <v>○</v>
      </c>
      <c r="AE321" s="8" t="str">
        <v/>
      </c>
      <c r="AF321" s="8" t="str">
        <v/>
      </c>
      <c r="AG321" s="8" t="str">
        <v>○</v>
      </c>
      <c r="AH321" s="8" t="str">
        <v/>
      </c>
      <c r="AI321" s="8" t="n">
        <v>49</v>
      </c>
      <c r="AJ321" s="8" t="str">
        <v>85以上</v>
      </c>
      <c r="AK321" s="8" t="str">
        <v>30以上</v>
      </c>
      <c r="AL321" s="8" t="str">
        <v>40以上</v>
      </c>
      <c r="AM321" s="8" t="str">
        <v>120～139</v>
      </c>
      <c r="AN321" s="8" t="str">
        <v>8～11</v>
      </c>
      <c r="AO321" s="8" t="str">
        <f aca="false">IF(A321="","",IF(COUNTIFS(全馬データ!$A$2:$A$50000,A321,全馬データ!$B$2:$B$50000,B321,全馬データ!$C$2:$C$50000,C321,全馬データ!$D$2:$D$50000,E321,全馬データ!$K$2:$K$50000,"&lt;&gt;")=0,"",SUMIFS(全馬データ!$K$2:$K$50000,全馬データ!$A$2:$A$50000,A321,全馬データ!$B$2:$B$50000,B321,全馬データ!$C$2:$C$50000,C321,全馬データ!$D$2:$D$50000,E321)))</f>
        <v/>
      </c>
      <c r="AP321" s="8" t="str">
        <f aca="false">IF(A321="","",IF(AO321="","欠損",IF(AO321&lt;=1.1,"1.0～1.1",IF(AO321&lt;1.3,"1.2",IF(AO321&lt;1.5,"1.3～1.4",IF(AO321&lt;2,"1.5～1.9","2.0以上"))))))</f>
        <v>欠損</v>
      </c>
      <c r="AQ321" s="8" t="str">
        <f aca="false">IF(A321="","",IF(ISNUMBER(SEARCH("2歳",Z321)),"2歳戦",IF(ISNUMBER(SEARCH("3歳未勝利",Z321)),"3歳未勝利",IF(ISNUMBER(SEARCH("未勝利",Z321)),"その他未勝利",IF(ISNUMBER(SEARCH("G1",Z321)),"G1",IF(ISNUMBER(SEARCH("G2",Z321)),"G2",IF(ISNUMBER(SEARCH("G3",Z321)),"G3",IF(ISNUMBER(SEARCH("古馬条件",Z321)),"古馬条件戦",IF(ISNUMBER(SEARCH("重賞",Z321)),"重賞","分類不能")))))))))</f>
        <v>分類不能</v>
      </c>
      <c r="AR321" s="8"/>
      <c r="AS321" s="8" t="s">
        <v>7626</v>
      </c>
      <c r="AT321" s="8" t="s">
        <v>7627</v>
      </c>
      <c r="AU321" s="8" t="s">
        <v>7628</v>
      </c>
      <c r="AV321" s="8" t="s">
        <v>7629</v>
      </c>
      <c r="AW321" s="8"/>
      <c r="AX321" s="8"/>
      <c r="AY321" s="8" t="s">
        <v>7610</v>
      </c>
      <c r="AZ321" s="4" t="s">
        <v>7617</v>
      </c>
      <c r="BA321" s="8" t="n">
        <v>1000</v>
      </c>
      <c r="BB321" s="8" t="s">
        <v>7701</v>
      </c>
      <c r="BC321" s="4" t="s">
        <v>7658</v>
      </c>
      <c r="BD321" s="8" t="s">
        <v>7605</v>
      </c>
      <c r="BE321" s="4" t="s">
        <v>7606</v>
      </c>
      <c r="BF321" s="8" t="s">
        <v>7607</v>
      </c>
      <c r="BG321" s="8" t="s">
        <v>7631</v>
      </c>
      <c r="BH321" s="4" t="s">
        <v>7632</v>
      </c>
      <c r="BI321" s="8" t="n">
        <v>11</v>
      </c>
      <c r="BJ321" s="8" t="s">
        <v>7602</v>
      </c>
      <c r="BK321" s="4" t="s">
        <v>7653</v>
      </c>
      <c r="BL321" s="8" t="s">
        <v>7602</v>
      </c>
      <c r="BM321" s="4" t="s">
        <v>7620</v>
      </c>
      <c r="BN321" s="8"/>
      <c r="BO321" s="8"/>
      <c r="BP321" s="8" t="s">
        <v>7608</v>
      </c>
      <c r="BQ321" s="8" t="str">
        <f aca="false">IF(A321="","",AT321)</f>
        <v>3歳以上</v>
      </c>
      <c r="BR321" s="8" t="str">
        <f aca="false">IF(A321="","",IF(BA321&lt;=1200,"～1200",IF(BA321&lt;=1500,"1300～1500",IF(BA321=1600,"1600",IF(BA321&lt;=1800,"1700～1800",IF(BA321&lt;=2000,"1900～2000","2100以上"))))))</f>
        <v>～1200</v>
      </c>
      <c r="BS321" s="8" t="str">
        <f aca="false">IF(A321="","",IF(AX321="G1","G1",IF(AX321="G2","G2",IF(AX321="G3","G3",IF(AX321="L","L","その他")))))</f>
        <v>その他</v>
      </c>
      <c r="BT321" s="8" t="str">
        <f aca="false">IF(A321="","",IF(BI321="","未結合",IF(D321=BI321,"一致","不一致")))</f>
        <v>一致</v>
      </c>
      <c r="BU321" s="8" t="str">
        <f aca="false">IF(A321="","",IF(BE321="牝馬限定","牝馬限定","その他"))</f>
        <v>その他</v>
      </c>
    </row>
    <row r="322" customFormat="false" ht="15.75" hidden="false" customHeight="false" outlineLevel="0" collapsed="false">
      <c r="A322" s="6" t="n">
        <v>46200</v>
      </c>
      <c r="B322" s="4" t="s">
        <v>1237</v>
      </c>
      <c r="C322" s="8" t="n">
        <v>9</v>
      </c>
      <c r="D322" s="8" t="n">
        <v>9</v>
      </c>
      <c r="E322" s="8" t="n">
        <v>4</v>
      </c>
      <c r="F322" s="4" t="s">
        <v>3314</v>
      </c>
      <c r="G322" s="8" t="n">
        <v>58</v>
      </c>
      <c r="H322" s="8" t="n">
        <v>7</v>
      </c>
      <c r="I322" s="4" t="s">
        <v>4452</v>
      </c>
      <c r="J322" s="8" t="n">
        <v>50</v>
      </c>
      <c r="K322" s="8" t="n">
        <v>6</v>
      </c>
      <c r="L322" s="4" t="s">
        <v>4247</v>
      </c>
      <c r="M322" s="8" t="n">
        <v>44</v>
      </c>
      <c r="N322" s="8" t="n">
        <v>8</v>
      </c>
      <c r="O322" s="8" t="n">
        <v>6</v>
      </c>
      <c r="P322" s="8" t="n">
        <v>108</v>
      </c>
      <c r="Q322" s="8" t="str">
        <f aca="false">IF(A322="","",IF(AND(Y322&lt;&gt;"参考",G322&gt;=ルール設定!$B$2),"○",""))</f>
        <v/>
      </c>
      <c r="R322" s="8" t="str">
        <f aca="false">IF(A322="","",IF(AND(Y322&lt;&gt;"参考",G322&gt;=ルール設定!$B$3,N322&gt;=ルール設定!$B$4),"○",""))</f>
        <v/>
      </c>
      <c r="S322" s="8" t="str">
        <f aca="false">IF(A322="","",IF(AND(Y322&lt;&gt;"参考",G322&gt;=ルール設定!$B$5,J322&gt;=ルール設定!$B$6,O322&gt;=ルール設定!$B$7),"○",""))</f>
        <v/>
      </c>
      <c r="T322" s="8" t="n">
        <v>2</v>
      </c>
      <c r="U322" s="8" t="n">
        <v>1</v>
      </c>
      <c r="V322" s="8" t="str">
        <f aca="false">IF(A322="","",IF(AND(ISNUMBER(T322),ISNUMBER(U322)),IF(AND(T322&lt;=3,U322&lt;=3),"○","×"),""))</f>
        <v>○</v>
      </c>
      <c r="W322" s="8" t="n">
        <v>120</v>
      </c>
      <c r="X322" s="8" t="n">
        <v>200</v>
      </c>
      <c r="Y322" s="4" t="s">
        <v>7597</v>
      </c>
      <c r="Z322" s="4" t="s">
        <v>7726</v>
      </c>
      <c r="AA322" s="8" t="str">
        <v/>
      </c>
      <c r="AB322" s="8" t="str">
        <v/>
      </c>
      <c r="AC322" s="8" t="str">
        <v/>
      </c>
      <c r="AD322" s="8" t="str">
        <v/>
      </c>
      <c r="AE322" s="8" t="str">
        <v/>
      </c>
      <c r="AF322" s="8" t="str">
        <v/>
      </c>
      <c r="AG322" s="8" t="str">
        <v/>
      </c>
      <c r="AH322" s="8" t="str">
        <v/>
      </c>
      <c r="AI322" s="8" t="n">
        <v>14</v>
      </c>
      <c r="AJ322" s="8" t="str">
        <v>～59</v>
      </c>
      <c r="AK322" s="8" t="str">
        <v>5～9</v>
      </c>
      <c r="AL322" s="8" t="str">
        <v>10～19</v>
      </c>
      <c r="AM322" s="8" t="str">
        <v>100～119</v>
      </c>
      <c r="AN322" s="8" t="str">
        <v>8～11</v>
      </c>
      <c r="AO322" s="8" t="str">
        <f aca="false">IF(A322="","",IF(COUNTIFS(全馬データ!$A$2:$A$50000,A322,全馬データ!$B$2:$B$50000,B322,全馬データ!$C$2:$C$50000,C322,全馬データ!$D$2:$D$50000,E322,全馬データ!$K$2:$K$50000,"&lt;&gt;")=0,"",SUMIFS(全馬データ!$K$2:$K$50000,全馬データ!$A$2:$A$50000,A322,全馬データ!$B$2:$B$50000,B322,全馬データ!$C$2:$C$50000,C322,全馬データ!$D$2:$D$50000,E322)))</f>
        <v/>
      </c>
      <c r="AP322" s="8" t="str">
        <f aca="false">IF(A322="","",IF(AO322="","欠損",IF(AO322&lt;=1.1,"1.0～1.1",IF(AO322&lt;1.3,"1.2",IF(AO322&lt;1.5,"1.3～1.4",IF(AO322&lt;2,"1.5～1.9","2.0以上"))))))</f>
        <v>欠損</v>
      </c>
      <c r="AQ322" s="8" t="str">
        <f aca="false">IF(A322="","",IF(ISNUMBER(SEARCH("2歳",Z322)),"2歳戦",IF(ISNUMBER(SEARCH("3歳未勝利",Z322)),"3歳未勝利",IF(ISNUMBER(SEARCH("未勝利",Z322)),"その他未勝利",IF(ISNUMBER(SEARCH("G1",Z322)),"G1",IF(ISNUMBER(SEARCH("G2",Z322)),"G2",IF(ISNUMBER(SEARCH("G3",Z322)),"G3",IF(ISNUMBER(SEARCH("古馬条件",Z322)),"古馬条件戦",IF(ISNUMBER(SEARCH("重賞",Z322)),"重賞","分類不能")))))))))</f>
        <v>分類不能</v>
      </c>
      <c r="AR322" s="4" t="s">
        <v>7752</v>
      </c>
      <c r="AS322" s="8" t="s">
        <v>7626</v>
      </c>
      <c r="AT322" s="8" t="s">
        <v>7627</v>
      </c>
      <c r="AU322" s="8" t="s">
        <v>7628</v>
      </c>
      <c r="AV322" s="8" t="s">
        <v>7629</v>
      </c>
      <c r="AW322" s="8" t="s">
        <v>7636</v>
      </c>
      <c r="AX322" s="4" t="s">
        <v>7637</v>
      </c>
      <c r="AY322" s="8" t="s">
        <v>7602</v>
      </c>
      <c r="AZ322" s="4" t="s">
        <v>7603</v>
      </c>
      <c r="BA322" s="8" t="n">
        <v>1200</v>
      </c>
      <c r="BB322" s="8" t="s">
        <v>7659</v>
      </c>
      <c r="BC322" s="4" t="s">
        <v>7619</v>
      </c>
      <c r="BD322" s="8" t="s">
        <v>7630</v>
      </c>
      <c r="BE322" s="4" t="s">
        <v>7606</v>
      </c>
      <c r="BF322" s="8" t="s">
        <v>7607</v>
      </c>
      <c r="BG322" s="8" t="s">
        <v>7631</v>
      </c>
      <c r="BH322" s="4" t="s">
        <v>7632</v>
      </c>
      <c r="BI322" s="8" t="n">
        <v>9</v>
      </c>
      <c r="BJ322" s="8" t="s">
        <v>7602</v>
      </c>
      <c r="BK322" s="4" t="s">
        <v>7653</v>
      </c>
      <c r="BL322" s="8" t="s">
        <v>7602</v>
      </c>
      <c r="BM322" s="4" t="s">
        <v>7620</v>
      </c>
      <c r="BN322" s="8" t="s">
        <v>7602</v>
      </c>
      <c r="BO322" s="8" t="s">
        <v>7613</v>
      </c>
      <c r="BP322" s="8" t="s">
        <v>7608</v>
      </c>
      <c r="BQ322" s="8" t="str">
        <f aca="false">IF(A322="","",AT322)</f>
        <v>3歳以上</v>
      </c>
      <c r="BR322" s="8" t="str">
        <f aca="false">IF(A322="","",IF(BA322&lt;=1200,"～1200",IF(BA322&lt;=1500,"1300～1500",IF(BA322=1600,"1600",IF(BA322&lt;=1800,"1700～1800",IF(BA322&lt;=2000,"1900～2000","2100以上"))))))</f>
        <v>～1200</v>
      </c>
      <c r="BS322" s="8" t="str">
        <f aca="false">IF(A322="","",IF(AX322="G1","G1",IF(AX322="G2","G2",IF(AX322="G3","G3",IF(AX322="L","L","その他")))))</f>
        <v>その他</v>
      </c>
      <c r="BT322" s="8" t="str">
        <f aca="false">IF(A322="","",IF(BI322="","未結合",IF(D322=BI322,"一致","不一致")))</f>
        <v>一致</v>
      </c>
      <c r="BU322" s="8" t="str">
        <f aca="false">IF(A322="","",IF(BE322="牝馬限定","牝馬限定","その他"))</f>
        <v>その他</v>
      </c>
    </row>
    <row r="323" customFormat="false" ht="15.75" hidden="false" customHeight="false" outlineLevel="0" collapsed="false">
      <c r="A323" s="6" t="n">
        <v>46200</v>
      </c>
      <c r="B323" s="4" t="s">
        <v>1237</v>
      </c>
      <c r="C323" s="8" t="n">
        <v>10</v>
      </c>
      <c r="D323" s="8" t="n">
        <v>11</v>
      </c>
      <c r="E323" s="8" t="n">
        <v>1</v>
      </c>
      <c r="F323" s="4" t="s">
        <v>1824</v>
      </c>
      <c r="G323" s="8" t="n">
        <v>58</v>
      </c>
      <c r="H323" s="8" t="n">
        <v>4</v>
      </c>
      <c r="I323" s="4" t="s">
        <v>2639</v>
      </c>
      <c r="J323" s="8" t="n">
        <v>50</v>
      </c>
      <c r="K323" s="8" t="n">
        <v>6</v>
      </c>
      <c r="L323" s="4" t="s">
        <v>2641</v>
      </c>
      <c r="M323" s="8" t="n">
        <v>31</v>
      </c>
      <c r="N323" s="8" t="n">
        <v>8</v>
      </c>
      <c r="O323" s="8" t="n">
        <v>19</v>
      </c>
      <c r="P323" s="8" t="n">
        <v>108</v>
      </c>
      <c r="Q323" s="8" t="str">
        <f aca="false">IF(A323="","",IF(AND(Y323&lt;&gt;"参考",G323&gt;=ルール設定!$B$2),"○",""))</f>
        <v/>
      </c>
      <c r="R323" s="8" t="str">
        <f aca="false">IF(A323="","",IF(AND(Y323&lt;&gt;"参考",G323&gt;=ルール設定!$B$3,N323&gt;=ルール設定!$B$4),"○",""))</f>
        <v/>
      </c>
      <c r="S323" s="8" t="str">
        <f aca="false">IF(A323="","",IF(AND(Y323&lt;&gt;"参考",G323&gt;=ルール設定!$B$5,J323&gt;=ルール設定!$B$6,O323&gt;=ルール設定!$B$7),"○",""))</f>
        <v/>
      </c>
      <c r="T323" s="8" t="n">
        <v>4</v>
      </c>
      <c r="U323" s="8" t="n">
        <v>4</v>
      </c>
      <c r="V323" s="8" t="str">
        <f aca="false">IF(A323="","",IF(AND(ISNUMBER(T323),ISNUMBER(U323)),IF(AND(T323&lt;=3,U323&lt;=3),"○","×"),""))</f>
        <v>×</v>
      </c>
      <c r="W323" s="8"/>
      <c r="X323" s="8"/>
      <c r="Y323" s="4" t="s">
        <v>7597</v>
      </c>
      <c r="Z323" s="4" t="s">
        <v>7726</v>
      </c>
      <c r="AA323" s="8" t="str">
        <v/>
      </c>
      <c r="AB323" s="8" t="str">
        <v/>
      </c>
      <c r="AC323" s="8" t="str">
        <v/>
      </c>
      <c r="AD323" s="8" t="str">
        <v/>
      </c>
      <c r="AE323" s="8" t="str">
        <v/>
      </c>
      <c r="AF323" s="8" t="str">
        <v/>
      </c>
      <c r="AG323" s="8" t="str">
        <v/>
      </c>
      <c r="AH323" s="8" t="str">
        <v/>
      </c>
      <c r="AI323" s="8" t="n">
        <v>27</v>
      </c>
      <c r="AJ323" s="8" t="str">
        <v>～59</v>
      </c>
      <c r="AK323" s="8" t="str">
        <v>5～9</v>
      </c>
      <c r="AL323" s="8" t="str">
        <v>20～29</v>
      </c>
      <c r="AM323" s="8" t="str">
        <v>100～119</v>
      </c>
      <c r="AN323" s="8" t="str">
        <v>8～11</v>
      </c>
      <c r="AO323" s="8" t="str">
        <f aca="false">IF(A323="","",IF(COUNTIFS(全馬データ!$A$2:$A$50000,A323,全馬データ!$B$2:$B$50000,B323,全馬データ!$C$2:$C$50000,C323,全馬データ!$D$2:$D$50000,E323,全馬データ!$K$2:$K$50000,"&lt;&gt;")=0,"",SUMIFS(全馬データ!$K$2:$K$50000,全馬データ!$A$2:$A$50000,A323,全馬データ!$B$2:$B$50000,B323,全馬データ!$C$2:$C$50000,C323,全馬データ!$D$2:$D$50000,E323)))</f>
        <v/>
      </c>
      <c r="AP323" s="8" t="str">
        <f aca="false">IF(A323="","",IF(AO323="","欠損",IF(AO323&lt;=1.1,"1.0～1.1",IF(AO323&lt;1.3,"1.2",IF(AO323&lt;1.5,"1.3～1.4",IF(AO323&lt;2,"1.5～1.9","2.0以上"))))))</f>
        <v>欠損</v>
      </c>
      <c r="AQ323" s="8" t="str">
        <f aca="false">IF(A323="","",IF(ISNUMBER(SEARCH("2歳",Z323)),"2歳戦",IF(ISNUMBER(SEARCH("3歳未勝利",Z323)),"3歳未勝利",IF(ISNUMBER(SEARCH("未勝利",Z323)),"その他未勝利",IF(ISNUMBER(SEARCH("G1",Z323)),"G1",IF(ISNUMBER(SEARCH("G2",Z323)),"G2",IF(ISNUMBER(SEARCH("G3",Z323)),"G3",IF(ISNUMBER(SEARCH("古馬条件",Z323)),"古馬条件戦",IF(ISNUMBER(SEARCH("重賞",Z323)),"重賞","分類不能")))))))))</f>
        <v>分類不能</v>
      </c>
      <c r="AR323" s="4" t="s">
        <v>7753</v>
      </c>
      <c r="AS323" s="8" t="s">
        <v>7626</v>
      </c>
      <c r="AT323" s="8" t="s">
        <v>7627</v>
      </c>
      <c r="AU323" s="8" t="s">
        <v>7634</v>
      </c>
      <c r="AV323" s="8" t="s">
        <v>7635</v>
      </c>
      <c r="AW323" s="8" t="s">
        <v>7636</v>
      </c>
      <c r="AX323" s="4" t="s">
        <v>7637</v>
      </c>
      <c r="AY323" s="8" t="s">
        <v>7602</v>
      </c>
      <c r="AZ323" s="4" t="s">
        <v>7603</v>
      </c>
      <c r="BA323" s="8" t="n">
        <v>2000</v>
      </c>
      <c r="BB323" s="8" t="s">
        <v>7659</v>
      </c>
      <c r="BC323" s="4" t="s">
        <v>7619</v>
      </c>
      <c r="BD323" s="8" t="s">
        <v>7630</v>
      </c>
      <c r="BE323" s="4" t="s">
        <v>7606</v>
      </c>
      <c r="BF323" s="8" t="s">
        <v>7607</v>
      </c>
      <c r="BG323" s="8" t="s">
        <v>7631</v>
      </c>
      <c r="BH323" s="4" t="s">
        <v>7632</v>
      </c>
      <c r="BI323" s="8" t="n">
        <v>11</v>
      </c>
      <c r="BJ323" s="8" t="s">
        <v>7602</v>
      </c>
      <c r="BK323" s="4" t="s">
        <v>7653</v>
      </c>
      <c r="BL323" s="8" t="s">
        <v>7602</v>
      </c>
      <c r="BM323" s="4" t="s">
        <v>7620</v>
      </c>
      <c r="BN323" s="8" t="s">
        <v>7602</v>
      </c>
      <c r="BO323" s="8" t="s">
        <v>7613</v>
      </c>
      <c r="BP323" s="8" t="s">
        <v>7608</v>
      </c>
      <c r="BQ323" s="8" t="str">
        <f aca="false">IF(A323="","",AT323)</f>
        <v>3歳以上</v>
      </c>
      <c r="BR323" s="8" t="str">
        <f aca="false">IF(A323="","",IF(BA323&lt;=1200,"～1200",IF(BA323&lt;=1500,"1300～1500",IF(BA323=1600,"1600",IF(BA323&lt;=1800,"1700～1800",IF(BA323&lt;=2000,"1900～2000","2100以上"))))))</f>
        <v>1900～2000</v>
      </c>
      <c r="BS323" s="8" t="str">
        <f aca="false">IF(A323="","",IF(AX323="G1","G1",IF(AX323="G2","G2",IF(AX323="G3","G3",IF(AX323="L","L","その他")))))</f>
        <v>その他</v>
      </c>
      <c r="BT323" s="8" t="str">
        <f aca="false">IF(A323="","",IF(BI323="","未結合",IF(D323=BI323,"一致","不一致")))</f>
        <v>一致</v>
      </c>
      <c r="BU323" s="8" t="str">
        <f aca="false">IF(A323="","",IF(BE323="牝馬限定","牝馬限定","その他"))</f>
        <v>その他</v>
      </c>
    </row>
    <row r="324" customFormat="false" ht="15.75" hidden="false" customHeight="false" outlineLevel="0" collapsed="false">
      <c r="A324" s="6" t="n">
        <v>46200</v>
      </c>
      <c r="B324" s="4" t="s">
        <v>1237</v>
      </c>
      <c r="C324" s="8" t="n">
        <v>11</v>
      </c>
      <c r="D324" s="8" t="n">
        <v>14</v>
      </c>
      <c r="E324" s="8" t="n">
        <v>12</v>
      </c>
      <c r="F324" s="4" t="s">
        <v>4055</v>
      </c>
      <c r="G324" s="8" t="n">
        <v>65</v>
      </c>
      <c r="H324" s="8" t="n">
        <v>11</v>
      </c>
      <c r="I324" s="4" t="s">
        <v>4465</v>
      </c>
      <c r="J324" s="8" t="n">
        <v>39</v>
      </c>
      <c r="K324" s="8" t="n">
        <v>14</v>
      </c>
      <c r="L324" s="4" t="s">
        <v>4467</v>
      </c>
      <c r="M324" s="8" t="n">
        <v>39</v>
      </c>
      <c r="N324" s="8" t="n">
        <v>26</v>
      </c>
      <c r="O324" s="8" t="n">
        <v>0</v>
      </c>
      <c r="P324" s="8" t="n">
        <v>104</v>
      </c>
      <c r="Q324" s="8" t="str">
        <f aca="false">IF(A324="","",IF(AND(Y324&lt;&gt;"参考",G324&gt;=ルール設定!$B$2),"○",""))</f>
        <v/>
      </c>
      <c r="R324" s="8" t="str">
        <f aca="false">IF(A324="","",IF(AND(Y324&lt;&gt;"参考",G324&gt;=ルール設定!$B$3,N324&gt;=ルール設定!$B$4),"○",""))</f>
        <v/>
      </c>
      <c r="S324" s="8" t="str">
        <f aca="false">IF(A324="","",IF(AND(Y324&lt;&gt;"参考",G324&gt;=ルール設定!$B$5,J324&gt;=ルール設定!$B$6,O324&gt;=ルール設定!$B$7),"○",""))</f>
        <v/>
      </c>
      <c r="T324" s="8" t="n">
        <v>3</v>
      </c>
      <c r="U324" s="8" t="n">
        <v>2</v>
      </c>
      <c r="V324" s="8" t="str">
        <f aca="false">IF(A324="","",IF(AND(ISNUMBER(T324),ISNUMBER(U324)),IF(AND(T324&lt;=3,U324&lt;=3),"○","×"),""))</f>
        <v>○</v>
      </c>
      <c r="W324" s="8" t="n">
        <v>190</v>
      </c>
      <c r="X324" s="8" t="n">
        <v>740</v>
      </c>
      <c r="Y324" s="4" t="s">
        <v>7597</v>
      </c>
      <c r="Z324" s="4" t="s">
        <v>7726</v>
      </c>
      <c r="AA324" s="8" t="str">
        <v/>
      </c>
      <c r="AB324" s="8" t="str">
        <v/>
      </c>
      <c r="AC324" s="8" t="str">
        <v/>
      </c>
      <c r="AD324" s="8" t="str">
        <v/>
      </c>
      <c r="AE324" s="8" t="str">
        <v/>
      </c>
      <c r="AF324" s="8" t="str">
        <v/>
      </c>
      <c r="AG324" s="8" t="str">
        <v/>
      </c>
      <c r="AH324" s="8" t="str">
        <v/>
      </c>
      <c r="AI324" s="8" t="n">
        <v>26</v>
      </c>
      <c r="AJ324" s="8" t="str">
        <v>60～69</v>
      </c>
      <c r="AK324" s="8" t="str">
        <v>20～29</v>
      </c>
      <c r="AL324" s="8" t="str">
        <v>20～29</v>
      </c>
      <c r="AM324" s="8" t="str">
        <v>100～119</v>
      </c>
      <c r="AN324" s="8" t="str">
        <v>12～14</v>
      </c>
      <c r="AO324" s="8" t="str">
        <f aca="false">IF(A324="","",IF(COUNTIFS(全馬データ!$A$2:$A$50000,A324,全馬データ!$B$2:$B$50000,B324,全馬データ!$C$2:$C$50000,C324,全馬データ!$D$2:$D$50000,E324,全馬データ!$K$2:$K$50000,"&lt;&gt;")=0,"",SUMIFS(全馬データ!$K$2:$K$50000,全馬データ!$A$2:$A$50000,A324,全馬データ!$B$2:$B$50000,B324,全馬データ!$C$2:$C$50000,C324,全馬データ!$D$2:$D$50000,E324)))</f>
        <v/>
      </c>
      <c r="AP324" s="8" t="str">
        <f aca="false">IF(A324="","",IF(AO324="","欠損",IF(AO324&lt;=1.1,"1.0～1.1",IF(AO324&lt;1.3,"1.2",IF(AO324&lt;1.5,"1.3～1.4",IF(AO324&lt;2,"1.5～1.9","2.0以上"))))))</f>
        <v>欠損</v>
      </c>
      <c r="AQ324" s="8" t="str">
        <f aca="false">IF(A324="","",IF(ISNUMBER(SEARCH("2歳",Z324)),"2歳戦",IF(ISNUMBER(SEARCH("3歳未勝利",Z324)),"3歳未勝利",IF(ISNUMBER(SEARCH("未勝利",Z324)),"その他未勝利",IF(ISNUMBER(SEARCH("G1",Z324)),"G1",IF(ISNUMBER(SEARCH("G2",Z324)),"G2",IF(ISNUMBER(SEARCH("G3",Z324)),"G3",IF(ISNUMBER(SEARCH("古馬条件",Z324)),"古馬条件戦",IF(ISNUMBER(SEARCH("重賞",Z324)),"重賞","分類不能")))))))))</f>
        <v>分類不能</v>
      </c>
      <c r="AR324" s="4" t="s">
        <v>7754</v>
      </c>
      <c r="AS324" s="8" t="s">
        <v>7626</v>
      </c>
      <c r="AT324" s="8" t="s">
        <v>7627</v>
      </c>
      <c r="AU324" s="8" t="s">
        <v>7643</v>
      </c>
      <c r="AV324" s="4" t="s">
        <v>7644</v>
      </c>
      <c r="AW324" s="8" t="s">
        <v>7636</v>
      </c>
      <c r="AX324" s="4" t="s">
        <v>7637</v>
      </c>
      <c r="AY324" s="8" t="s">
        <v>7602</v>
      </c>
      <c r="AZ324" s="4" t="s">
        <v>7603</v>
      </c>
      <c r="BA324" s="8" t="n">
        <v>1200</v>
      </c>
      <c r="BB324" s="8" t="s">
        <v>7659</v>
      </c>
      <c r="BC324" s="4" t="s">
        <v>7619</v>
      </c>
      <c r="BD324" s="8" t="s">
        <v>7666</v>
      </c>
      <c r="BE324" s="4" t="s">
        <v>7606</v>
      </c>
      <c r="BF324" s="8" t="s">
        <v>7607</v>
      </c>
      <c r="BG324" s="8" t="s">
        <v>7602</v>
      </c>
      <c r="BH324" s="4" t="s">
        <v>7667</v>
      </c>
      <c r="BI324" s="8" t="n">
        <v>14</v>
      </c>
      <c r="BJ324" s="8" t="s">
        <v>7602</v>
      </c>
      <c r="BK324" s="4" t="s">
        <v>7653</v>
      </c>
      <c r="BL324" s="8" t="s">
        <v>7602</v>
      </c>
      <c r="BM324" s="4" t="s">
        <v>7620</v>
      </c>
      <c r="BN324" s="8" t="s">
        <v>7602</v>
      </c>
      <c r="BO324" s="8" t="s">
        <v>7613</v>
      </c>
      <c r="BP324" s="8" t="s">
        <v>7608</v>
      </c>
      <c r="BQ324" s="8" t="str">
        <f aca="false">IF(A324="","",AT324)</f>
        <v>3歳以上</v>
      </c>
      <c r="BR324" s="8" t="str">
        <f aca="false">IF(A324="","",IF(BA324&lt;=1200,"～1200",IF(BA324&lt;=1500,"1300～1500",IF(BA324=1600,"1600",IF(BA324&lt;=1800,"1700～1800",IF(BA324&lt;=2000,"1900～2000","2100以上"))))))</f>
        <v>～1200</v>
      </c>
      <c r="BS324" s="8" t="str">
        <f aca="false">IF(A324="","",IF(AX324="G1","G1",IF(AX324="G2","G2",IF(AX324="G3","G3",IF(AX324="L","L","その他")))))</f>
        <v>その他</v>
      </c>
      <c r="BT324" s="8" t="str">
        <f aca="false">IF(A324="","",IF(BI324="","未結合",IF(D324=BI324,"一致","不一致")))</f>
        <v>一致</v>
      </c>
      <c r="BU324" s="8" t="str">
        <f aca="false">IF(A324="","",IF(BE324="牝馬限定","牝馬限定","その他"))</f>
        <v>その他</v>
      </c>
    </row>
    <row r="325" customFormat="false" ht="15.75" hidden="false" customHeight="false" outlineLevel="0" collapsed="false">
      <c r="A325" s="6" t="n">
        <v>46200</v>
      </c>
      <c r="B325" s="4" t="s">
        <v>1237</v>
      </c>
      <c r="C325" s="8" t="n">
        <v>12</v>
      </c>
      <c r="D325" s="8" t="n">
        <v>10</v>
      </c>
      <c r="E325" s="8" t="n">
        <v>2</v>
      </c>
      <c r="F325" s="4" t="s">
        <v>4469</v>
      </c>
      <c r="G325" s="8" t="n">
        <v>62</v>
      </c>
      <c r="H325" s="8" t="n">
        <v>9</v>
      </c>
      <c r="I325" s="4" t="s">
        <v>4472</v>
      </c>
      <c r="J325" s="8" t="n">
        <v>47</v>
      </c>
      <c r="K325" s="8" t="n">
        <v>10</v>
      </c>
      <c r="L325" s="4" t="s">
        <v>2244</v>
      </c>
      <c r="M325" s="8" t="n">
        <v>41</v>
      </c>
      <c r="N325" s="8" t="n">
        <v>15</v>
      </c>
      <c r="O325" s="8" t="n">
        <v>6</v>
      </c>
      <c r="P325" s="8" t="n">
        <v>109</v>
      </c>
      <c r="Q325" s="8" t="str">
        <f aca="false">IF(A325="","",IF(AND(Y325&lt;&gt;"参考",G325&gt;=ルール設定!$B$2),"○",""))</f>
        <v/>
      </c>
      <c r="R325" s="8" t="str">
        <f aca="false">IF(A325="","",IF(AND(Y325&lt;&gt;"参考",G325&gt;=ルール設定!$B$3,N325&gt;=ルール設定!$B$4),"○",""))</f>
        <v/>
      </c>
      <c r="S325" s="8" t="str">
        <f aca="false">IF(A325="","",IF(AND(Y325&lt;&gt;"参考",G325&gt;=ルール設定!$B$5,J325&gt;=ルール設定!$B$6,O325&gt;=ルール設定!$B$7),"○",""))</f>
        <v/>
      </c>
      <c r="T325" s="8" t="n">
        <v>1</v>
      </c>
      <c r="U325" s="8" t="n">
        <v>4</v>
      </c>
      <c r="V325" s="8" t="str">
        <f aca="false">IF(A325="","",IF(AND(ISNUMBER(T325),ISNUMBER(U325)),IF(AND(T325&lt;=3,U325&lt;=3),"○","×"),""))</f>
        <v>×</v>
      </c>
      <c r="W325" s="8" t="n">
        <v>130</v>
      </c>
      <c r="X325" s="8"/>
      <c r="Y325" s="4" t="s">
        <v>7597</v>
      </c>
      <c r="Z325" s="4" t="s">
        <v>7726</v>
      </c>
      <c r="AA325" s="8" t="str">
        <v/>
      </c>
      <c r="AB325" s="8" t="str">
        <v/>
      </c>
      <c r="AC325" s="8" t="str">
        <v/>
      </c>
      <c r="AD325" s="8" t="str">
        <v/>
      </c>
      <c r="AE325" s="8" t="str">
        <v/>
      </c>
      <c r="AF325" s="8" t="str">
        <v/>
      </c>
      <c r="AG325" s="8" t="str">
        <v/>
      </c>
      <c r="AH325" s="8" t="str">
        <v/>
      </c>
      <c r="AI325" s="8" t="n">
        <v>21</v>
      </c>
      <c r="AJ325" s="8" t="str">
        <v>60～69</v>
      </c>
      <c r="AK325" s="8" t="str">
        <v>10～19</v>
      </c>
      <c r="AL325" s="8" t="str">
        <v>20～29</v>
      </c>
      <c r="AM325" s="8" t="str">
        <v>100～119</v>
      </c>
      <c r="AN325" s="8" t="str">
        <v>8～11</v>
      </c>
      <c r="AO325" s="8" t="str">
        <f aca="false">IF(A325="","",IF(COUNTIFS(全馬データ!$A$2:$A$50000,A325,全馬データ!$B$2:$B$50000,B325,全馬データ!$C$2:$C$50000,C325,全馬データ!$D$2:$D$50000,E325,全馬データ!$K$2:$K$50000,"&lt;&gt;")=0,"",SUMIFS(全馬データ!$K$2:$K$50000,全馬データ!$A$2:$A$50000,A325,全馬データ!$B$2:$B$50000,B325,全馬データ!$C$2:$C$50000,C325,全馬データ!$D$2:$D$50000,E325)))</f>
        <v/>
      </c>
      <c r="AP325" s="8" t="str">
        <f aca="false">IF(A325="","",IF(AO325="","欠損",IF(AO325&lt;=1.1,"1.0～1.1",IF(AO325&lt;1.3,"1.2",IF(AO325&lt;1.5,"1.3～1.4",IF(AO325&lt;2,"1.5～1.9","2.0以上"))))))</f>
        <v>欠損</v>
      </c>
      <c r="AQ325" s="8" t="str">
        <f aca="false">IF(A325="","",IF(ISNUMBER(SEARCH("2歳",Z325)),"2歳戦",IF(ISNUMBER(SEARCH("3歳未勝利",Z325)),"3歳未勝利",IF(ISNUMBER(SEARCH("未勝利",Z325)),"その他未勝利",IF(ISNUMBER(SEARCH("G1",Z325)),"G1",IF(ISNUMBER(SEARCH("G2",Z325)),"G2",IF(ISNUMBER(SEARCH("G3",Z325)),"G3",IF(ISNUMBER(SEARCH("古馬条件",Z325)),"古馬条件戦",IF(ISNUMBER(SEARCH("重賞",Z325)),"重賞","分類不能")))))))))</f>
        <v>分類不能</v>
      </c>
      <c r="AR325" s="8"/>
      <c r="AS325" s="8" t="s">
        <v>7626</v>
      </c>
      <c r="AT325" s="8" t="s">
        <v>7627</v>
      </c>
      <c r="AU325" s="8" t="s">
        <v>7628</v>
      </c>
      <c r="AV325" s="8" t="s">
        <v>7629</v>
      </c>
      <c r="AW325" s="8"/>
      <c r="AX325" s="8"/>
      <c r="AY325" s="8" t="s">
        <v>7610</v>
      </c>
      <c r="AZ325" s="4" t="s">
        <v>7617</v>
      </c>
      <c r="BA325" s="8" t="n">
        <v>1700</v>
      </c>
      <c r="BB325" s="8" t="s">
        <v>7701</v>
      </c>
      <c r="BC325" s="4" t="s">
        <v>7658</v>
      </c>
      <c r="BD325" s="8" t="s">
        <v>7690</v>
      </c>
      <c r="BE325" s="4" t="s">
        <v>7606</v>
      </c>
      <c r="BF325" s="8" t="s">
        <v>7607</v>
      </c>
      <c r="BG325" s="8" t="s">
        <v>7631</v>
      </c>
      <c r="BH325" s="4" t="s">
        <v>7632</v>
      </c>
      <c r="BI325" s="8" t="n">
        <v>10</v>
      </c>
      <c r="BJ325" s="8" t="s">
        <v>7602</v>
      </c>
      <c r="BK325" s="4" t="s">
        <v>7653</v>
      </c>
      <c r="BL325" s="8" t="s">
        <v>7602</v>
      </c>
      <c r="BM325" s="4" t="s">
        <v>7620</v>
      </c>
      <c r="BN325" s="8"/>
      <c r="BO325" s="8"/>
      <c r="BP325" s="8" t="s">
        <v>7608</v>
      </c>
      <c r="BQ325" s="8" t="str">
        <f aca="false">IF(A325="","",AT325)</f>
        <v>3歳以上</v>
      </c>
      <c r="BR325" s="8" t="str">
        <f aca="false">IF(A325="","",IF(BA325&lt;=1200,"～1200",IF(BA325&lt;=1500,"1300～1500",IF(BA325=1600,"1600",IF(BA325&lt;=1800,"1700～1800",IF(BA325&lt;=2000,"1900～2000","2100以上"))))))</f>
        <v>1700～1800</v>
      </c>
      <c r="BS325" s="8" t="str">
        <f aca="false">IF(A325="","",IF(AX325="G1","G1",IF(AX325="G2","G2",IF(AX325="G3","G3",IF(AX325="L","L","その他")))))</f>
        <v>その他</v>
      </c>
      <c r="BT325" s="8" t="str">
        <f aca="false">IF(A325="","",IF(BI325="","未結合",IF(D325=BI325,"一致","不一致")))</f>
        <v>一致</v>
      </c>
      <c r="BU325" s="8" t="str">
        <f aca="false">IF(A325="","",IF(BE325="牝馬限定","牝馬限定","その他"))</f>
        <v>その他</v>
      </c>
    </row>
    <row r="326" customFormat="false" ht="15.75" hidden="false" customHeight="false" outlineLevel="0" collapsed="false">
      <c r="A326" s="6" t="n">
        <v>46201</v>
      </c>
      <c r="B326" s="4" t="s">
        <v>915</v>
      </c>
      <c r="C326" s="8" t="n">
        <v>1</v>
      </c>
      <c r="D326" s="8" t="n">
        <v>14</v>
      </c>
      <c r="E326" s="8" t="n">
        <v>2</v>
      </c>
      <c r="F326" s="4" t="s">
        <v>1563</v>
      </c>
      <c r="G326" s="8" t="n">
        <v>55</v>
      </c>
      <c r="H326" s="8" t="n">
        <v>6</v>
      </c>
      <c r="I326" s="4" t="s">
        <v>579</v>
      </c>
      <c r="J326" s="8" t="n">
        <v>44</v>
      </c>
      <c r="K326" s="8" t="n">
        <v>7</v>
      </c>
      <c r="L326" s="4" t="s">
        <v>3320</v>
      </c>
      <c r="M326" s="8" t="n">
        <v>37</v>
      </c>
      <c r="N326" s="8" t="n">
        <v>11</v>
      </c>
      <c r="O326" s="8" t="n">
        <v>7</v>
      </c>
      <c r="P326" s="8" t="n">
        <v>99</v>
      </c>
      <c r="Q326" s="8" t="str">
        <f aca="false">IF(A326="","",IF(AND(Y326&lt;&gt;"参考",G326&gt;=ルール設定!$B$2),"○",""))</f>
        <v/>
      </c>
      <c r="R326" s="8" t="str">
        <f aca="false">IF(A326="","",IF(AND(Y326&lt;&gt;"参考",G326&gt;=ルール設定!$B$3,N326&gt;=ルール設定!$B$4),"○",""))</f>
        <v/>
      </c>
      <c r="S326" s="8" t="str">
        <f aca="false">IF(A326="","",IF(AND(Y326&lt;&gt;"参考",G326&gt;=ルール設定!$B$5,J326&gt;=ルール設定!$B$6,O326&gt;=ルール設定!$B$7),"○",""))</f>
        <v/>
      </c>
      <c r="T326" s="8" t="n">
        <v>2</v>
      </c>
      <c r="U326" s="8" t="n">
        <v>4</v>
      </c>
      <c r="V326" s="8" t="str">
        <f aca="false">IF(A326="","",IF(AND(ISNUMBER(T326),ISNUMBER(U326)),IF(AND(T326&lt;=3,U326&lt;=3),"○","×"),""))</f>
        <v>×</v>
      </c>
      <c r="W326" s="8" t="n">
        <v>130</v>
      </c>
      <c r="X326" s="8"/>
      <c r="Y326" s="4" t="s">
        <v>7597</v>
      </c>
      <c r="Z326" s="4" t="s">
        <v>7726</v>
      </c>
      <c r="AA326" s="8" t="str">
        <v/>
      </c>
      <c r="AB326" s="8" t="str">
        <v/>
      </c>
      <c r="AC326" s="8" t="str">
        <v/>
      </c>
      <c r="AD326" s="8" t="str">
        <v/>
      </c>
      <c r="AE326" s="8" t="str">
        <v/>
      </c>
      <c r="AF326" s="8" t="str">
        <v/>
      </c>
      <c r="AG326" s="8" t="str">
        <v/>
      </c>
      <c r="AH326" s="8" t="str">
        <v/>
      </c>
      <c r="AI326" s="8" t="n">
        <v>18</v>
      </c>
      <c r="AJ326" s="8" t="str">
        <v>～59</v>
      </c>
      <c r="AK326" s="8" t="str">
        <v>10～19</v>
      </c>
      <c r="AL326" s="8" t="str">
        <v>10～19</v>
      </c>
      <c r="AM326" s="8" t="str">
        <v>～99</v>
      </c>
      <c r="AN326" s="8" t="str">
        <v>12～14</v>
      </c>
      <c r="AO326" s="8" t="str">
        <f aca="false">IF(A326="","",IF(COUNTIFS(全馬データ!$A$2:$A$50000,A326,全馬データ!$B$2:$B$50000,B326,全馬データ!$C$2:$C$50000,C326,全馬データ!$D$2:$D$50000,E326,全馬データ!$K$2:$K$50000,"&lt;&gt;")=0,"",SUMIFS(全馬データ!$K$2:$K$50000,全馬データ!$A$2:$A$50000,A326,全馬データ!$B$2:$B$50000,B326,全馬データ!$C$2:$C$50000,C326,全馬データ!$D$2:$D$50000,E326)))</f>
        <v/>
      </c>
      <c r="AP326" s="8" t="str">
        <f aca="false">IF(A326="","",IF(AO326="","欠損",IF(AO326&lt;=1.1,"1.0～1.1",IF(AO326&lt;1.3,"1.2",IF(AO326&lt;1.5,"1.3～1.4",IF(AO326&lt;2,"1.5～1.9","2.0以上"))))))</f>
        <v>欠損</v>
      </c>
      <c r="AQ326" s="8" t="str">
        <f aca="false">IF(A326="","",IF(ISNUMBER(SEARCH("2歳",Z326)),"2歳戦",IF(ISNUMBER(SEARCH("3歳未勝利",Z326)),"3歳未勝利",IF(ISNUMBER(SEARCH("未勝利",Z326)),"その他未勝利",IF(ISNUMBER(SEARCH("G1",Z326)),"G1",IF(ISNUMBER(SEARCH("G2",Z326)),"G2",IF(ISNUMBER(SEARCH("G3",Z326)),"G3",IF(ISNUMBER(SEARCH("古馬条件",Z326)),"古馬条件戦",IF(ISNUMBER(SEARCH("重賞",Z326)),"重賞","分類不能")))))))))</f>
        <v>分類不能</v>
      </c>
      <c r="AR326" s="8"/>
      <c r="AS326" s="8" t="s">
        <v>7618</v>
      </c>
      <c r="AT326" s="4" t="s">
        <v>7642</v>
      </c>
      <c r="AU326" s="8" t="s">
        <v>7600</v>
      </c>
      <c r="AV326" s="4" t="s">
        <v>7601</v>
      </c>
      <c r="AW326" s="8"/>
      <c r="AX326" s="8"/>
      <c r="AY326" s="8" t="s">
        <v>7608</v>
      </c>
      <c r="AZ326" s="4" t="s">
        <v>7642</v>
      </c>
      <c r="BA326" s="8" t="n">
        <v>2750</v>
      </c>
      <c r="BB326" s="8" t="s">
        <v>7634</v>
      </c>
      <c r="BC326" s="4" t="s">
        <v>7604</v>
      </c>
      <c r="BD326" s="8" t="s">
        <v>7696</v>
      </c>
      <c r="BE326" s="4" t="s">
        <v>7606</v>
      </c>
      <c r="BF326" s="8" t="s">
        <v>7607</v>
      </c>
      <c r="BG326" s="8" t="s">
        <v>7631</v>
      </c>
      <c r="BH326" s="4" t="s">
        <v>7632</v>
      </c>
      <c r="BI326" s="8" t="n">
        <v>14</v>
      </c>
      <c r="BJ326" s="8" t="s">
        <v>7647</v>
      </c>
      <c r="BK326" s="4" t="s">
        <v>7648</v>
      </c>
      <c r="BL326" s="8" t="s">
        <v>7647</v>
      </c>
      <c r="BM326" s="4" t="s">
        <v>7648</v>
      </c>
      <c r="BN326" s="8"/>
      <c r="BO326" s="8"/>
      <c r="BP326" s="8" t="s">
        <v>7602</v>
      </c>
      <c r="BQ326" s="8" t="str">
        <f aca="false">IF(A326="","",AT326)</f>
        <v>障害</v>
      </c>
      <c r="BR326" s="8" t="str">
        <f aca="false">IF(A326="","",IF(BA326&lt;=1200,"～1200",IF(BA326&lt;=1500,"1300～1500",IF(BA326=1600,"1600",IF(BA326&lt;=1800,"1700～1800",IF(BA326&lt;=2000,"1900～2000","2100以上"))))))</f>
        <v>2100以上</v>
      </c>
      <c r="BS326" s="8" t="str">
        <f aca="false">IF(A326="","",IF(AX326="G1","G1",IF(AX326="G2","G2",IF(AX326="G3","G3",IF(AX326="L","L","その他")))))</f>
        <v>その他</v>
      </c>
      <c r="BT326" s="8" t="str">
        <f aca="false">IF(A326="","",IF(BI326="","未結合",IF(D326=BI326,"一致","不一致")))</f>
        <v>一致</v>
      </c>
      <c r="BU326" s="8" t="str">
        <f aca="false">IF(A326="","",IF(BE326="牝馬限定","牝馬限定","その他"))</f>
        <v>その他</v>
      </c>
    </row>
    <row r="327" customFormat="false" ht="15.75" hidden="false" customHeight="false" outlineLevel="0" collapsed="false">
      <c r="A327" s="6" t="n">
        <v>46201</v>
      </c>
      <c r="B327" s="4" t="s">
        <v>915</v>
      </c>
      <c r="C327" s="8" t="n">
        <v>2</v>
      </c>
      <c r="D327" s="8" t="n">
        <v>15</v>
      </c>
      <c r="E327" s="8" t="n">
        <v>12</v>
      </c>
      <c r="F327" s="4" t="s">
        <v>3332</v>
      </c>
      <c r="G327" s="8" t="n">
        <v>86</v>
      </c>
      <c r="H327" s="8" t="n">
        <v>5</v>
      </c>
      <c r="I327" s="4" t="s">
        <v>1290</v>
      </c>
      <c r="J327" s="8" t="n">
        <v>56</v>
      </c>
      <c r="K327" s="8" t="n">
        <v>13</v>
      </c>
      <c r="L327" s="4" t="s">
        <v>990</v>
      </c>
      <c r="M327" s="8" t="n">
        <v>47</v>
      </c>
      <c r="N327" s="8" t="n">
        <v>30</v>
      </c>
      <c r="O327" s="8" t="n">
        <v>9</v>
      </c>
      <c r="P327" s="8" t="n">
        <v>142</v>
      </c>
      <c r="Q327" s="8" t="str">
        <f aca="false">IF(A327="","",IF(AND(Y327&lt;&gt;"参考",G327&gt;=ルール設定!$B$2),"○",""))</f>
        <v>○</v>
      </c>
      <c r="R327" s="8" t="str">
        <f aca="false">IF(A327="","",IF(AND(Y327&lt;&gt;"参考",G327&gt;=ルール設定!$B$3,N327&gt;=ルール設定!$B$4),"○",""))</f>
        <v>○</v>
      </c>
      <c r="S327" s="8" t="str">
        <f aca="false">IF(A327="","",IF(AND(Y327&lt;&gt;"参考",G327&gt;=ルール設定!$B$5,J327&gt;=ルール設定!$B$6,O327&gt;=ルール設定!$B$7),"○",""))</f>
        <v/>
      </c>
      <c r="T327" s="8" t="n">
        <v>1</v>
      </c>
      <c r="U327" s="8" t="n">
        <v>4</v>
      </c>
      <c r="V327" s="8" t="str">
        <f aca="false">IF(A327="","",IF(AND(ISNUMBER(T327),ISNUMBER(U327)),IF(AND(T327&lt;=3,U327&lt;=3),"○","×"),""))</f>
        <v>×</v>
      </c>
      <c r="W327" s="8" t="n">
        <v>110</v>
      </c>
      <c r="X327" s="8"/>
      <c r="Y327" s="4" t="s">
        <v>7597</v>
      </c>
      <c r="Z327" s="4" t="s">
        <v>7726</v>
      </c>
      <c r="AA327" s="8" t="str">
        <v>○</v>
      </c>
      <c r="AB327" s="8" t="str">
        <v>○</v>
      </c>
      <c r="AC327" s="8" t="str">
        <v/>
      </c>
      <c r="AD327" s="8" t="str">
        <v>○</v>
      </c>
      <c r="AE327" s="8" t="str">
        <v/>
      </c>
      <c r="AF327" s="8" t="str">
        <v>○</v>
      </c>
      <c r="AG327" s="8" t="str">
        <v>○</v>
      </c>
      <c r="AH327" s="8" t="str">
        <v/>
      </c>
      <c r="AI327" s="8" t="n">
        <v>39</v>
      </c>
      <c r="AJ327" s="8" t="str">
        <v>85以上</v>
      </c>
      <c r="AK327" s="8" t="str">
        <v>30以上</v>
      </c>
      <c r="AL327" s="8" t="str">
        <v>30～39</v>
      </c>
      <c r="AM327" s="8" t="str">
        <v>140～159</v>
      </c>
      <c r="AN327" s="8" t="str">
        <v>15以上</v>
      </c>
      <c r="AO327" s="8" t="str">
        <f aca="false">IF(A327="","",IF(COUNTIFS(全馬データ!$A$2:$A$50000,A327,全馬データ!$B$2:$B$50000,B327,全馬データ!$C$2:$C$50000,C327,全馬データ!$D$2:$D$50000,E327,全馬データ!$K$2:$K$50000,"&lt;&gt;")=0,"",SUMIFS(全馬データ!$K$2:$K$50000,全馬データ!$A$2:$A$50000,A327,全馬データ!$B$2:$B$50000,B327,全馬データ!$C$2:$C$50000,C327,全馬データ!$D$2:$D$50000,E327)))</f>
        <v/>
      </c>
      <c r="AP327" s="8" t="str">
        <f aca="false">IF(A327="","",IF(AO327="","欠損",IF(AO327&lt;=1.1,"1.0～1.1",IF(AO327&lt;1.3,"1.2",IF(AO327&lt;1.5,"1.3～1.4",IF(AO327&lt;2,"1.5～1.9","2.0以上"))))))</f>
        <v>欠損</v>
      </c>
      <c r="AQ327" s="8" t="str">
        <f aca="false">IF(A327="","",IF(ISNUMBER(SEARCH("2歳",Z327)),"2歳戦",IF(ISNUMBER(SEARCH("3歳未勝利",Z327)),"3歳未勝利",IF(ISNUMBER(SEARCH("未勝利",Z327)),"その他未勝利",IF(ISNUMBER(SEARCH("G1",Z327)),"G1",IF(ISNUMBER(SEARCH("G2",Z327)),"G2",IF(ISNUMBER(SEARCH("G3",Z327)),"G3",IF(ISNUMBER(SEARCH("古馬条件",Z327)),"古馬条件戦",IF(ISNUMBER(SEARCH("重賞",Z327)),"重賞","分類不能")))))))))</f>
        <v>分類不能</v>
      </c>
      <c r="AR327" s="8"/>
      <c r="AS327" s="8" t="s">
        <v>7623</v>
      </c>
      <c r="AT327" s="8" t="s">
        <v>7624</v>
      </c>
      <c r="AU327" s="8" t="s">
        <v>7600</v>
      </c>
      <c r="AV327" s="4" t="s">
        <v>7601</v>
      </c>
      <c r="AW327" s="8"/>
      <c r="AX327" s="8"/>
      <c r="AY327" s="8" t="s">
        <v>7610</v>
      </c>
      <c r="AZ327" s="4" t="s">
        <v>7617</v>
      </c>
      <c r="BA327" s="8" t="n">
        <v>1700</v>
      </c>
      <c r="BB327" s="8" t="s">
        <v>7598</v>
      </c>
      <c r="BC327" s="4" t="s">
        <v>7604</v>
      </c>
      <c r="BD327" s="8" t="s">
        <v>7625</v>
      </c>
      <c r="BE327" s="4" t="s">
        <v>7606</v>
      </c>
      <c r="BF327" s="8" t="s">
        <v>7607</v>
      </c>
      <c r="BG327" s="8" t="s">
        <v>7608</v>
      </c>
      <c r="BH327" s="4" t="s">
        <v>7609</v>
      </c>
      <c r="BI327" s="8" t="n">
        <v>15</v>
      </c>
      <c r="BJ327" s="8" t="s">
        <v>7602</v>
      </c>
      <c r="BK327" s="4" t="s">
        <v>7653</v>
      </c>
      <c r="BL327" s="8" t="s">
        <v>7602</v>
      </c>
      <c r="BM327" s="4" t="s">
        <v>7620</v>
      </c>
      <c r="BN327" s="8"/>
      <c r="BO327" s="8"/>
      <c r="BP327" s="8" t="s">
        <v>7602</v>
      </c>
      <c r="BQ327" s="8" t="str">
        <f aca="false">IF(A327="","",AT327)</f>
        <v>3歳</v>
      </c>
      <c r="BR327" s="8" t="str">
        <f aca="false">IF(A327="","",IF(BA327&lt;=1200,"～1200",IF(BA327&lt;=1500,"1300～1500",IF(BA327=1600,"1600",IF(BA327&lt;=1800,"1700～1800",IF(BA327&lt;=2000,"1900～2000","2100以上"))))))</f>
        <v>1700～1800</v>
      </c>
      <c r="BS327" s="8" t="str">
        <f aca="false">IF(A327="","",IF(AX327="G1","G1",IF(AX327="G2","G2",IF(AX327="G3","G3",IF(AX327="L","L","その他")))))</f>
        <v>その他</v>
      </c>
      <c r="BT327" s="8" t="str">
        <f aca="false">IF(A327="","",IF(BI327="","未結合",IF(D327=BI327,"一致","不一致")))</f>
        <v>一致</v>
      </c>
      <c r="BU327" s="8" t="str">
        <f aca="false">IF(A327="","",IF(BE327="牝馬限定","牝馬限定","その他"))</f>
        <v>その他</v>
      </c>
    </row>
    <row r="328" customFormat="false" ht="15.75" hidden="false" customHeight="false" outlineLevel="0" collapsed="false">
      <c r="A328" s="6" t="n">
        <v>46201</v>
      </c>
      <c r="B328" s="4" t="s">
        <v>915</v>
      </c>
      <c r="C328" s="8" t="n">
        <v>3</v>
      </c>
      <c r="D328" s="8" t="n">
        <v>5</v>
      </c>
      <c r="E328" s="8" t="n">
        <v>5</v>
      </c>
      <c r="F328" s="4" t="s">
        <v>3337</v>
      </c>
      <c r="G328" s="8" t="n">
        <v>81</v>
      </c>
      <c r="H328" s="8" t="n">
        <v>2</v>
      </c>
      <c r="I328" s="4" t="s">
        <v>3335</v>
      </c>
      <c r="J328" s="8" t="n">
        <v>31</v>
      </c>
      <c r="K328" s="8" t="n">
        <v>3</v>
      </c>
      <c r="L328" s="4" t="s">
        <v>3336</v>
      </c>
      <c r="M328" s="8" t="n">
        <v>29</v>
      </c>
      <c r="N328" s="8" t="n">
        <v>50</v>
      </c>
      <c r="O328" s="8" t="n">
        <v>2</v>
      </c>
      <c r="P328" s="8" t="n">
        <v>112</v>
      </c>
      <c r="Q328" s="8" t="str">
        <f aca="false">IF(A328="","",IF(AND(Y328&lt;&gt;"参考",G328&gt;=ルール設定!$B$2),"○",""))</f>
        <v>○</v>
      </c>
      <c r="R328" s="8" t="str">
        <f aca="false">IF(A328="","",IF(AND(Y328&lt;&gt;"参考",G328&gt;=ルール設定!$B$3,N328&gt;=ルール設定!$B$4),"○",""))</f>
        <v>○</v>
      </c>
      <c r="S328" s="8" t="str">
        <f aca="false">IF(A328="","",IF(AND(Y328&lt;&gt;"参考",G328&gt;=ルール設定!$B$5,J328&gt;=ルール設定!$B$6,O328&gt;=ルール設定!$B$7),"○",""))</f>
        <v/>
      </c>
      <c r="T328" s="8" t="n">
        <v>1</v>
      </c>
      <c r="U328" s="8" t="n">
        <v>3</v>
      </c>
      <c r="V328" s="8" t="str">
        <f aca="false">IF(A328="","",IF(AND(ISNUMBER(T328),ISNUMBER(U328)),IF(AND(T328&lt;=3,U328&lt;=3),"○","×"),""))</f>
        <v>○</v>
      </c>
      <c r="W328" s="8" t="n">
        <v>100</v>
      </c>
      <c r="X328" s="8" t="n">
        <v>130</v>
      </c>
      <c r="Y328" s="4" t="s">
        <v>7597</v>
      </c>
      <c r="Z328" s="4" t="s">
        <v>7726</v>
      </c>
      <c r="AA328" s="8" t="str">
        <v/>
      </c>
      <c r="AB328" s="8" t="str">
        <v/>
      </c>
      <c r="AC328" s="8" t="str">
        <v/>
      </c>
      <c r="AD328" s="8" t="str">
        <v>○</v>
      </c>
      <c r="AE328" s="8" t="str">
        <v/>
      </c>
      <c r="AF328" s="8" t="str">
        <v/>
      </c>
      <c r="AG328" s="8" t="str">
        <v>○</v>
      </c>
      <c r="AH328" s="8" t="str">
        <v>○</v>
      </c>
      <c r="AI328" s="8" t="n">
        <v>52</v>
      </c>
      <c r="AJ328" s="8" t="str">
        <v>80～84</v>
      </c>
      <c r="AK328" s="8" t="str">
        <v>30以上</v>
      </c>
      <c r="AL328" s="8" t="str">
        <v>40以上</v>
      </c>
      <c r="AM328" s="8" t="str">
        <v>100～119</v>
      </c>
      <c r="AN328" s="8" t="str">
        <v>7以下</v>
      </c>
      <c r="AO328" s="8" t="str">
        <f aca="false">IF(A328="","",IF(COUNTIFS(全馬データ!$A$2:$A$50000,A328,全馬データ!$B$2:$B$50000,B328,全馬データ!$C$2:$C$50000,C328,全馬データ!$D$2:$D$50000,E328,全馬データ!$K$2:$K$50000,"&lt;&gt;")=0,"",SUMIFS(全馬データ!$K$2:$K$50000,全馬データ!$A$2:$A$50000,A328,全馬データ!$B$2:$B$50000,B328,全馬データ!$C$2:$C$50000,C328,全馬データ!$D$2:$D$50000,E328)))</f>
        <v/>
      </c>
      <c r="AP328" s="8" t="str">
        <f aca="false">IF(A328="","",IF(AO328="","欠損",IF(AO328&lt;=1.1,"1.0～1.1",IF(AO328&lt;1.3,"1.2",IF(AO328&lt;1.5,"1.3～1.4",IF(AO328&lt;2,"1.5～1.9","2.0以上"))))))</f>
        <v>欠損</v>
      </c>
      <c r="AQ328" s="8" t="str">
        <f aca="false">IF(A328="","",IF(ISNUMBER(SEARCH("2歳",Z328)),"2歳戦",IF(ISNUMBER(SEARCH("3歳未勝利",Z328)),"3歳未勝利",IF(ISNUMBER(SEARCH("未勝利",Z328)),"その他未勝利",IF(ISNUMBER(SEARCH("G1",Z328)),"G1",IF(ISNUMBER(SEARCH("G2",Z328)),"G2",IF(ISNUMBER(SEARCH("G3",Z328)),"G3",IF(ISNUMBER(SEARCH("古馬条件",Z328)),"古馬条件戦",IF(ISNUMBER(SEARCH("重賞",Z328)),"重賞","分類不能")))))))))</f>
        <v>分類不能</v>
      </c>
      <c r="AR328" s="8"/>
      <c r="AS328" s="8" t="s">
        <v>7598</v>
      </c>
      <c r="AT328" s="8" t="s">
        <v>7599</v>
      </c>
      <c r="AU328" s="8" t="s">
        <v>7600</v>
      </c>
      <c r="AV328" s="4" t="s">
        <v>7601</v>
      </c>
      <c r="AW328" s="8"/>
      <c r="AX328" s="8"/>
      <c r="AY328" s="8" t="s">
        <v>7602</v>
      </c>
      <c r="AZ328" s="4" t="s">
        <v>7603</v>
      </c>
      <c r="BA328" s="8" t="n">
        <v>1200</v>
      </c>
      <c r="BB328" s="8" t="s">
        <v>7598</v>
      </c>
      <c r="BC328" s="4" t="s">
        <v>7604</v>
      </c>
      <c r="BD328" s="8" t="s">
        <v>7605</v>
      </c>
      <c r="BE328" s="4" t="s">
        <v>7606</v>
      </c>
      <c r="BF328" s="8" t="s">
        <v>7607</v>
      </c>
      <c r="BG328" s="8" t="s">
        <v>7608</v>
      </c>
      <c r="BH328" s="4" t="s">
        <v>7609</v>
      </c>
      <c r="BI328" s="8" t="n">
        <v>5</v>
      </c>
      <c r="BJ328" s="8" t="s">
        <v>7602</v>
      </c>
      <c r="BK328" s="4" t="s">
        <v>7653</v>
      </c>
      <c r="BL328" s="8" t="s">
        <v>7602</v>
      </c>
      <c r="BM328" s="4" t="s">
        <v>7620</v>
      </c>
      <c r="BN328" s="8" t="s">
        <v>7602</v>
      </c>
      <c r="BO328" s="8" t="s">
        <v>7613</v>
      </c>
      <c r="BP328" s="8" t="s">
        <v>7602</v>
      </c>
      <c r="BQ328" s="8" t="str">
        <f aca="false">IF(A328="","",AT328)</f>
        <v>2歳</v>
      </c>
      <c r="BR328" s="8" t="str">
        <f aca="false">IF(A328="","",IF(BA328&lt;=1200,"～1200",IF(BA328&lt;=1500,"1300～1500",IF(BA328=1600,"1600",IF(BA328&lt;=1800,"1700～1800",IF(BA328&lt;=2000,"1900～2000","2100以上"))))))</f>
        <v>～1200</v>
      </c>
      <c r="BS328" s="8" t="str">
        <f aca="false">IF(A328="","",IF(AX328="G1","G1",IF(AX328="G2","G2",IF(AX328="G3","G3",IF(AX328="L","L","その他")))))</f>
        <v>その他</v>
      </c>
      <c r="BT328" s="8" t="str">
        <f aca="false">IF(A328="","",IF(BI328="","未結合",IF(D328=BI328,"一致","不一致")))</f>
        <v>一致</v>
      </c>
      <c r="BU328" s="8" t="str">
        <f aca="false">IF(A328="","",IF(BE328="牝馬限定","牝馬限定","その他"))</f>
        <v>その他</v>
      </c>
    </row>
    <row r="329" customFormat="false" ht="15.75" hidden="false" customHeight="false" outlineLevel="0" collapsed="false">
      <c r="A329" s="6" t="n">
        <v>46201</v>
      </c>
      <c r="B329" s="4" t="s">
        <v>915</v>
      </c>
      <c r="C329" s="8" t="n">
        <v>4</v>
      </c>
      <c r="D329" s="8" t="n">
        <v>14</v>
      </c>
      <c r="E329" s="8" t="n">
        <v>6</v>
      </c>
      <c r="F329" s="4" t="s">
        <v>927</v>
      </c>
      <c r="G329" s="8" t="n">
        <v>31</v>
      </c>
      <c r="H329" s="8" t="n">
        <v>8</v>
      </c>
      <c r="I329" s="4" t="s">
        <v>3340</v>
      </c>
      <c r="J329" s="8" t="n">
        <v>31</v>
      </c>
      <c r="K329" s="8" t="n">
        <v>4</v>
      </c>
      <c r="L329" s="4" t="s">
        <v>1387</v>
      </c>
      <c r="M329" s="8" t="n">
        <v>24</v>
      </c>
      <c r="N329" s="8" t="n">
        <v>0</v>
      </c>
      <c r="O329" s="8" t="n">
        <v>7</v>
      </c>
      <c r="P329" s="8" t="n">
        <v>62</v>
      </c>
      <c r="Q329" s="8" t="str">
        <f aca="false">IF(A329="","",IF(AND(Y329&lt;&gt;"参考",G329&gt;=ルール設定!$B$2),"○",""))</f>
        <v/>
      </c>
      <c r="R329" s="8" t="str">
        <f aca="false">IF(A329="","",IF(AND(Y329&lt;&gt;"参考",G329&gt;=ルール設定!$B$3,N329&gt;=ルール設定!$B$4),"○",""))</f>
        <v/>
      </c>
      <c r="S329" s="8" t="str">
        <f aca="false">IF(A329="","",IF(AND(Y329&lt;&gt;"参考",G329&gt;=ルール設定!$B$5,J329&gt;=ルール設定!$B$6,O329&gt;=ルール設定!$B$7),"○",""))</f>
        <v/>
      </c>
      <c r="T329" s="8" t="n">
        <v>4</v>
      </c>
      <c r="U329" s="8" t="n">
        <v>1</v>
      </c>
      <c r="V329" s="8" t="str">
        <f aca="false">IF(A329="","",IF(AND(ISNUMBER(T329),ISNUMBER(U329)),IF(AND(T329&lt;=3,U329&lt;=3),"○","×"),""))</f>
        <v>×</v>
      </c>
      <c r="W329" s="8"/>
      <c r="X329" s="8"/>
      <c r="Y329" s="4" t="s">
        <v>7597</v>
      </c>
      <c r="Z329" s="4" t="s">
        <v>7726</v>
      </c>
      <c r="AA329" s="8" t="str">
        <v/>
      </c>
      <c r="AB329" s="8" t="str">
        <v/>
      </c>
      <c r="AC329" s="8" t="str">
        <v/>
      </c>
      <c r="AD329" s="8" t="str">
        <v/>
      </c>
      <c r="AE329" s="8" t="str">
        <v/>
      </c>
      <c r="AF329" s="8" t="str">
        <v/>
      </c>
      <c r="AG329" s="8" t="str">
        <v/>
      </c>
      <c r="AH329" s="8" t="str">
        <v/>
      </c>
      <c r="AI329" s="8" t="n">
        <v>7</v>
      </c>
      <c r="AJ329" s="8" t="str">
        <v>～59</v>
      </c>
      <c r="AK329" s="8" t="str">
        <v>0～4</v>
      </c>
      <c r="AL329" s="8" t="str">
        <v>0～9</v>
      </c>
      <c r="AM329" s="8" t="str">
        <v>～99</v>
      </c>
      <c r="AN329" s="8" t="str">
        <v>12～14</v>
      </c>
      <c r="AO329" s="8" t="str">
        <f aca="false">IF(A329="","",IF(COUNTIFS(全馬データ!$A$2:$A$50000,A329,全馬データ!$B$2:$B$50000,B329,全馬データ!$C$2:$C$50000,C329,全馬データ!$D$2:$D$50000,E329,全馬データ!$K$2:$K$50000,"&lt;&gt;")=0,"",SUMIFS(全馬データ!$K$2:$K$50000,全馬データ!$A$2:$A$50000,A329,全馬データ!$B$2:$B$50000,B329,全馬データ!$C$2:$C$50000,C329,全馬データ!$D$2:$D$50000,E329)))</f>
        <v/>
      </c>
      <c r="AP329" s="8" t="str">
        <f aca="false">IF(A329="","",IF(AO329="","欠損",IF(AO329&lt;=1.1,"1.0～1.1",IF(AO329&lt;1.3,"1.2",IF(AO329&lt;1.5,"1.3～1.4",IF(AO329&lt;2,"1.5～1.9","2.0以上"))))))</f>
        <v>欠損</v>
      </c>
      <c r="AQ329" s="8" t="str">
        <f aca="false">IF(A329="","",IF(ISNUMBER(SEARCH("2歳",Z329)),"2歳戦",IF(ISNUMBER(SEARCH("3歳未勝利",Z329)),"3歳未勝利",IF(ISNUMBER(SEARCH("未勝利",Z329)),"その他未勝利",IF(ISNUMBER(SEARCH("G1",Z329)),"G1",IF(ISNUMBER(SEARCH("G2",Z329)),"G2",IF(ISNUMBER(SEARCH("G3",Z329)),"G3",IF(ISNUMBER(SEARCH("古馬条件",Z329)),"古馬条件戦",IF(ISNUMBER(SEARCH("重賞",Z329)),"重賞","分類不能")))))))))</f>
        <v>分類不能</v>
      </c>
      <c r="AR329" s="8"/>
      <c r="AS329" s="8" t="s">
        <v>7598</v>
      </c>
      <c r="AT329" s="8" t="s">
        <v>7599</v>
      </c>
      <c r="AU329" s="8" t="s">
        <v>7615</v>
      </c>
      <c r="AV329" s="4" t="s">
        <v>7616</v>
      </c>
      <c r="AW329" s="8"/>
      <c r="AX329" s="8"/>
      <c r="AY329" s="8" t="s">
        <v>7602</v>
      </c>
      <c r="AZ329" s="4" t="s">
        <v>7603</v>
      </c>
      <c r="BA329" s="8" t="n">
        <v>1200</v>
      </c>
      <c r="BB329" s="8" t="s">
        <v>7598</v>
      </c>
      <c r="BC329" s="4" t="s">
        <v>7604</v>
      </c>
      <c r="BD329" s="8" t="s">
        <v>7621</v>
      </c>
      <c r="BE329" s="4" t="s">
        <v>7622</v>
      </c>
      <c r="BF329" s="8" t="s">
        <v>7602</v>
      </c>
      <c r="BG329" s="8" t="s">
        <v>7608</v>
      </c>
      <c r="BH329" s="4" t="s">
        <v>7609</v>
      </c>
      <c r="BI329" s="8" t="n">
        <v>14</v>
      </c>
      <c r="BJ329" s="8" t="s">
        <v>7602</v>
      </c>
      <c r="BK329" s="4" t="s">
        <v>7653</v>
      </c>
      <c r="BL329" s="8" t="s">
        <v>7602</v>
      </c>
      <c r="BM329" s="4" t="s">
        <v>7620</v>
      </c>
      <c r="BN329" s="8" t="s">
        <v>7602</v>
      </c>
      <c r="BO329" s="8" t="s">
        <v>7613</v>
      </c>
      <c r="BP329" s="8" t="s">
        <v>7602</v>
      </c>
      <c r="BQ329" s="8" t="str">
        <f aca="false">IF(A329="","",AT329)</f>
        <v>2歳</v>
      </c>
      <c r="BR329" s="8" t="str">
        <f aca="false">IF(A329="","",IF(BA329&lt;=1200,"～1200",IF(BA329&lt;=1500,"1300～1500",IF(BA329=1600,"1600",IF(BA329&lt;=1800,"1700～1800",IF(BA329&lt;=2000,"1900～2000","2100以上"))))))</f>
        <v>～1200</v>
      </c>
      <c r="BS329" s="8" t="str">
        <f aca="false">IF(A329="","",IF(AX329="G1","G1",IF(AX329="G2","G2",IF(AX329="G3","G3",IF(AX329="L","L","その他")))))</f>
        <v>その他</v>
      </c>
      <c r="BT329" s="8" t="str">
        <f aca="false">IF(A329="","",IF(BI329="","未結合",IF(D329=BI329,"一致","不一致")))</f>
        <v>一致</v>
      </c>
      <c r="BU329" s="8" t="str">
        <f aca="false">IF(A329="","",IF(BE329="牝馬限定","牝馬限定","その他"))</f>
        <v>牝馬限定</v>
      </c>
    </row>
    <row r="330" customFormat="false" ht="15.75" hidden="false" customHeight="false" outlineLevel="0" collapsed="false">
      <c r="A330" s="6" t="n">
        <v>46201</v>
      </c>
      <c r="B330" s="4" t="s">
        <v>915</v>
      </c>
      <c r="C330" s="8" t="n">
        <v>5</v>
      </c>
      <c r="D330" s="8" t="n">
        <v>14</v>
      </c>
      <c r="E330" s="8" t="n">
        <v>3</v>
      </c>
      <c r="F330" s="4" t="s">
        <v>3344</v>
      </c>
      <c r="G330" s="8" t="n">
        <v>31</v>
      </c>
      <c r="H330" s="8" t="n">
        <v>10</v>
      </c>
      <c r="I330" s="4" t="s">
        <v>3349</v>
      </c>
      <c r="J330" s="8" t="n">
        <v>31</v>
      </c>
      <c r="K330" s="8" t="n">
        <v>7</v>
      </c>
      <c r="L330" s="4" t="s">
        <v>3346</v>
      </c>
      <c r="M330" s="8" t="n">
        <v>27</v>
      </c>
      <c r="N330" s="8" t="n">
        <v>0</v>
      </c>
      <c r="O330" s="8" t="n">
        <v>4</v>
      </c>
      <c r="P330" s="8" t="n">
        <v>62</v>
      </c>
      <c r="Q330" s="8" t="str">
        <f aca="false">IF(A330="","",IF(AND(Y330&lt;&gt;"参考",G330&gt;=ルール設定!$B$2),"○",""))</f>
        <v/>
      </c>
      <c r="R330" s="8" t="str">
        <f aca="false">IF(A330="","",IF(AND(Y330&lt;&gt;"参考",G330&gt;=ルール設定!$B$3,N330&gt;=ルール設定!$B$4),"○",""))</f>
        <v/>
      </c>
      <c r="S330" s="8" t="str">
        <f aca="false">IF(A330="","",IF(AND(Y330&lt;&gt;"参考",G330&gt;=ルール設定!$B$5,J330&gt;=ルール設定!$B$6,O330&gt;=ルール設定!$B$7),"○",""))</f>
        <v/>
      </c>
      <c r="T330" s="8" t="n">
        <v>3</v>
      </c>
      <c r="U330" s="8" t="n">
        <v>4</v>
      </c>
      <c r="V330" s="8" t="str">
        <f aca="false">IF(A330="","",IF(AND(ISNUMBER(T330),ISNUMBER(U330)),IF(AND(T330&lt;=3,U330&lt;=3),"○","×"),""))</f>
        <v>×</v>
      </c>
      <c r="W330" s="8" t="n">
        <v>170</v>
      </c>
      <c r="X330" s="8"/>
      <c r="Y330" s="4" t="s">
        <v>7597</v>
      </c>
      <c r="Z330" s="4" t="s">
        <v>7726</v>
      </c>
      <c r="AA330" s="8" t="str">
        <v/>
      </c>
      <c r="AB330" s="8" t="str">
        <v/>
      </c>
      <c r="AC330" s="8" t="str">
        <v/>
      </c>
      <c r="AD330" s="8" t="str">
        <v/>
      </c>
      <c r="AE330" s="8" t="str">
        <v/>
      </c>
      <c r="AF330" s="8" t="str">
        <v/>
      </c>
      <c r="AG330" s="8" t="str">
        <v/>
      </c>
      <c r="AH330" s="8" t="str">
        <v/>
      </c>
      <c r="AI330" s="8" t="n">
        <v>4</v>
      </c>
      <c r="AJ330" s="8" t="str">
        <v>～59</v>
      </c>
      <c r="AK330" s="8" t="str">
        <v>0～4</v>
      </c>
      <c r="AL330" s="8" t="str">
        <v>0～9</v>
      </c>
      <c r="AM330" s="8" t="str">
        <v>～99</v>
      </c>
      <c r="AN330" s="8" t="str">
        <v>12～14</v>
      </c>
      <c r="AO330" s="8" t="str">
        <f aca="false">IF(A330="","",IF(COUNTIFS(全馬データ!$A$2:$A$50000,A330,全馬データ!$B$2:$B$50000,B330,全馬データ!$C$2:$C$50000,C330,全馬データ!$D$2:$D$50000,E330,全馬データ!$K$2:$K$50000,"&lt;&gt;")=0,"",SUMIFS(全馬データ!$K$2:$K$50000,全馬データ!$A$2:$A$50000,A330,全馬データ!$B$2:$B$50000,B330,全馬データ!$C$2:$C$50000,C330,全馬データ!$D$2:$D$50000,E330)))</f>
        <v/>
      </c>
      <c r="AP330" s="8" t="str">
        <f aca="false">IF(A330="","",IF(AO330="","欠損",IF(AO330&lt;=1.1,"1.0～1.1",IF(AO330&lt;1.3,"1.2",IF(AO330&lt;1.5,"1.3～1.4",IF(AO330&lt;2,"1.5～1.9","2.0以上"))))))</f>
        <v>欠損</v>
      </c>
      <c r="AQ330" s="8" t="str">
        <f aca="false">IF(A330="","",IF(ISNUMBER(SEARCH("2歳",Z330)),"2歳戦",IF(ISNUMBER(SEARCH("3歳未勝利",Z330)),"3歳未勝利",IF(ISNUMBER(SEARCH("未勝利",Z330)),"その他未勝利",IF(ISNUMBER(SEARCH("G1",Z330)),"G1",IF(ISNUMBER(SEARCH("G2",Z330)),"G2",IF(ISNUMBER(SEARCH("G3",Z330)),"G3",IF(ISNUMBER(SEARCH("古馬条件",Z330)),"古馬条件戦",IF(ISNUMBER(SEARCH("重賞",Z330)),"重賞","分類不能")))))))))</f>
        <v>分類不能</v>
      </c>
      <c r="AR330" s="8"/>
      <c r="AS330" s="8" t="s">
        <v>7598</v>
      </c>
      <c r="AT330" s="8" t="s">
        <v>7599</v>
      </c>
      <c r="AU330" s="8" t="s">
        <v>7615</v>
      </c>
      <c r="AV330" s="4" t="s">
        <v>7616</v>
      </c>
      <c r="AW330" s="8"/>
      <c r="AX330" s="8"/>
      <c r="AY330" s="8" t="s">
        <v>7602</v>
      </c>
      <c r="AZ330" s="4" t="s">
        <v>7603</v>
      </c>
      <c r="BA330" s="8" t="n">
        <v>1800</v>
      </c>
      <c r="BB330" s="8" t="s">
        <v>7598</v>
      </c>
      <c r="BC330" s="4" t="s">
        <v>7604</v>
      </c>
      <c r="BD330" s="8" t="s">
        <v>7625</v>
      </c>
      <c r="BE330" s="4" t="s">
        <v>7606</v>
      </c>
      <c r="BF330" s="8" t="s">
        <v>7607</v>
      </c>
      <c r="BG330" s="8" t="s">
        <v>7608</v>
      </c>
      <c r="BH330" s="4" t="s">
        <v>7609</v>
      </c>
      <c r="BI330" s="8" t="n">
        <v>14</v>
      </c>
      <c r="BJ330" s="8" t="s">
        <v>7602</v>
      </c>
      <c r="BK330" s="4" t="s">
        <v>7653</v>
      </c>
      <c r="BL330" s="8" t="s">
        <v>7602</v>
      </c>
      <c r="BM330" s="4" t="s">
        <v>7620</v>
      </c>
      <c r="BN330" s="8" t="s">
        <v>7602</v>
      </c>
      <c r="BO330" s="8" t="s">
        <v>7613</v>
      </c>
      <c r="BP330" s="8" t="s">
        <v>7602</v>
      </c>
      <c r="BQ330" s="8" t="str">
        <f aca="false">IF(A330="","",AT330)</f>
        <v>2歳</v>
      </c>
      <c r="BR330" s="8" t="str">
        <f aca="false">IF(A330="","",IF(BA330&lt;=1200,"～1200",IF(BA330&lt;=1500,"1300～1500",IF(BA330=1600,"1600",IF(BA330&lt;=1800,"1700～1800",IF(BA330&lt;=2000,"1900～2000","2100以上"))))))</f>
        <v>1700～1800</v>
      </c>
      <c r="BS330" s="8" t="str">
        <f aca="false">IF(A330="","",IF(AX330="G1","G1",IF(AX330="G2","G2",IF(AX330="G3","G3",IF(AX330="L","L","その他")))))</f>
        <v>その他</v>
      </c>
      <c r="BT330" s="8" t="str">
        <f aca="false">IF(A330="","",IF(BI330="","未結合",IF(D330=BI330,"一致","不一致")))</f>
        <v>一致</v>
      </c>
      <c r="BU330" s="8" t="str">
        <f aca="false">IF(A330="","",IF(BE330="牝馬限定","牝馬限定","その他"))</f>
        <v>その他</v>
      </c>
    </row>
    <row r="331" customFormat="false" ht="15.75" hidden="false" customHeight="false" outlineLevel="0" collapsed="false">
      <c r="A331" s="6" t="n">
        <v>46201</v>
      </c>
      <c r="B331" s="4" t="s">
        <v>915</v>
      </c>
      <c r="C331" s="8" t="n">
        <v>6</v>
      </c>
      <c r="D331" s="8" t="n">
        <v>16</v>
      </c>
      <c r="E331" s="8" t="n">
        <v>7</v>
      </c>
      <c r="F331" s="4" t="s">
        <v>2338</v>
      </c>
      <c r="G331" s="8" t="n">
        <v>56</v>
      </c>
      <c r="H331" s="8" t="n">
        <v>6</v>
      </c>
      <c r="I331" s="4" t="s">
        <v>3354</v>
      </c>
      <c r="J331" s="8" t="n">
        <v>52</v>
      </c>
      <c r="K331" s="8" t="n">
        <v>2</v>
      </c>
      <c r="L331" s="4" t="s">
        <v>604</v>
      </c>
      <c r="M331" s="8" t="n">
        <v>47</v>
      </c>
      <c r="N331" s="8" t="n">
        <v>4</v>
      </c>
      <c r="O331" s="8" t="n">
        <v>5</v>
      </c>
      <c r="P331" s="8" t="n">
        <v>108</v>
      </c>
      <c r="Q331" s="8" t="str">
        <f aca="false">IF(A331="","",IF(AND(Y331&lt;&gt;"参考",G331&gt;=ルール設定!$B$2),"○",""))</f>
        <v/>
      </c>
      <c r="R331" s="8" t="str">
        <f aca="false">IF(A331="","",IF(AND(Y331&lt;&gt;"参考",G331&gt;=ルール設定!$B$3,N331&gt;=ルール設定!$B$4),"○",""))</f>
        <v/>
      </c>
      <c r="S331" s="8" t="str">
        <f aca="false">IF(A331="","",IF(AND(Y331&lt;&gt;"参考",G331&gt;=ルール設定!$B$5,J331&gt;=ルール設定!$B$6,O331&gt;=ルール設定!$B$7),"○",""))</f>
        <v/>
      </c>
      <c r="T331" s="8" t="n">
        <v>4</v>
      </c>
      <c r="U331" s="8" t="n">
        <v>1</v>
      </c>
      <c r="V331" s="8" t="str">
        <f aca="false">IF(A331="","",IF(AND(ISNUMBER(T331),ISNUMBER(U331)),IF(AND(T331&lt;=3,U331&lt;=3),"○","×"),""))</f>
        <v>×</v>
      </c>
      <c r="W331" s="8"/>
      <c r="X331" s="8"/>
      <c r="Y331" s="4" t="s">
        <v>7597</v>
      </c>
      <c r="Z331" s="4" t="s">
        <v>7726</v>
      </c>
      <c r="AA331" s="8" t="str">
        <v/>
      </c>
      <c r="AB331" s="8" t="str">
        <v/>
      </c>
      <c r="AC331" s="8" t="str">
        <v/>
      </c>
      <c r="AD331" s="8" t="str">
        <v/>
      </c>
      <c r="AE331" s="8" t="str">
        <v/>
      </c>
      <c r="AF331" s="8" t="str">
        <v/>
      </c>
      <c r="AG331" s="8" t="str">
        <v/>
      </c>
      <c r="AH331" s="8" t="str">
        <v/>
      </c>
      <c r="AI331" s="8" t="n">
        <v>9</v>
      </c>
      <c r="AJ331" s="8" t="str">
        <v>～59</v>
      </c>
      <c r="AK331" s="8" t="str">
        <v>0～4</v>
      </c>
      <c r="AL331" s="8" t="str">
        <v>0～9</v>
      </c>
      <c r="AM331" s="8" t="str">
        <v>100～119</v>
      </c>
      <c r="AN331" s="8" t="str">
        <v>15以上</v>
      </c>
      <c r="AO331" s="8" t="str">
        <f aca="false">IF(A331="","",IF(COUNTIFS(全馬データ!$A$2:$A$50000,A331,全馬データ!$B$2:$B$50000,B331,全馬データ!$C$2:$C$50000,C331,全馬データ!$D$2:$D$50000,E331,全馬データ!$K$2:$K$50000,"&lt;&gt;")=0,"",SUMIFS(全馬データ!$K$2:$K$50000,全馬データ!$A$2:$A$50000,A331,全馬データ!$B$2:$B$50000,B331,全馬データ!$C$2:$C$50000,C331,全馬データ!$D$2:$D$50000,E331)))</f>
        <v/>
      </c>
      <c r="AP331" s="8" t="str">
        <f aca="false">IF(A331="","",IF(AO331="","欠損",IF(AO331&lt;=1.1,"1.0～1.1",IF(AO331&lt;1.3,"1.2",IF(AO331&lt;1.5,"1.3～1.4",IF(AO331&lt;2,"1.5～1.9","2.0以上"))))))</f>
        <v>欠損</v>
      </c>
      <c r="AQ331" s="8" t="str">
        <f aca="false">IF(A331="","",IF(ISNUMBER(SEARCH("2歳",Z331)),"2歳戦",IF(ISNUMBER(SEARCH("3歳未勝利",Z331)),"3歳未勝利",IF(ISNUMBER(SEARCH("未勝利",Z331)),"その他未勝利",IF(ISNUMBER(SEARCH("G1",Z331)),"G1",IF(ISNUMBER(SEARCH("G2",Z331)),"G2",IF(ISNUMBER(SEARCH("G3",Z331)),"G3",IF(ISNUMBER(SEARCH("古馬条件",Z331)),"古馬条件戦",IF(ISNUMBER(SEARCH("重賞",Z331)),"重賞","分類不能")))))))))</f>
        <v>分類不能</v>
      </c>
      <c r="AR331" s="8"/>
      <c r="AS331" s="8" t="s">
        <v>7623</v>
      </c>
      <c r="AT331" s="8" t="s">
        <v>7624</v>
      </c>
      <c r="AU331" s="8" t="s">
        <v>7600</v>
      </c>
      <c r="AV331" s="4" t="s">
        <v>7601</v>
      </c>
      <c r="AW331" s="8"/>
      <c r="AX331" s="8"/>
      <c r="AY331" s="8" t="s">
        <v>7610</v>
      </c>
      <c r="AZ331" s="4" t="s">
        <v>7617</v>
      </c>
      <c r="BA331" s="8" t="n">
        <v>1150</v>
      </c>
      <c r="BB331" s="8" t="s">
        <v>7598</v>
      </c>
      <c r="BC331" s="4" t="s">
        <v>7604</v>
      </c>
      <c r="BD331" s="8" t="s">
        <v>7605</v>
      </c>
      <c r="BE331" s="4" t="s">
        <v>7606</v>
      </c>
      <c r="BF331" s="8" t="s">
        <v>7607</v>
      </c>
      <c r="BG331" s="8" t="s">
        <v>7608</v>
      </c>
      <c r="BH331" s="4" t="s">
        <v>7609</v>
      </c>
      <c r="BI331" s="8" t="n">
        <v>16</v>
      </c>
      <c r="BJ331" s="8" t="s">
        <v>7602</v>
      </c>
      <c r="BK331" s="4" t="s">
        <v>7653</v>
      </c>
      <c r="BL331" s="8" t="s">
        <v>7602</v>
      </c>
      <c r="BM331" s="4" t="s">
        <v>7620</v>
      </c>
      <c r="BN331" s="8"/>
      <c r="BO331" s="8"/>
      <c r="BP331" s="8" t="s">
        <v>7602</v>
      </c>
      <c r="BQ331" s="8" t="str">
        <f aca="false">IF(A331="","",AT331)</f>
        <v>3歳</v>
      </c>
      <c r="BR331" s="8" t="str">
        <f aca="false">IF(A331="","",IF(BA331&lt;=1200,"～1200",IF(BA331&lt;=1500,"1300～1500",IF(BA331=1600,"1600",IF(BA331&lt;=1800,"1700～1800",IF(BA331&lt;=2000,"1900～2000","2100以上"))))))</f>
        <v>～1200</v>
      </c>
      <c r="BS331" s="8" t="str">
        <f aca="false">IF(A331="","",IF(AX331="G1","G1",IF(AX331="G2","G2",IF(AX331="G3","G3",IF(AX331="L","L","その他")))))</f>
        <v>その他</v>
      </c>
      <c r="BT331" s="8" t="str">
        <f aca="false">IF(A331="","",IF(BI331="","未結合",IF(D331=BI331,"一致","不一致")))</f>
        <v>一致</v>
      </c>
      <c r="BU331" s="8" t="str">
        <f aca="false">IF(A331="","",IF(BE331="牝馬限定","牝馬限定","その他"))</f>
        <v>その他</v>
      </c>
    </row>
    <row r="332" customFormat="false" ht="15.75" hidden="false" customHeight="false" outlineLevel="0" collapsed="false">
      <c r="A332" s="6" t="n">
        <v>46201</v>
      </c>
      <c r="B332" s="4" t="s">
        <v>915</v>
      </c>
      <c r="C332" s="8" t="n">
        <v>7</v>
      </c>
      <c r="D332" s="8" t="n">
        <v>16</v>
      </c>
      <c r="E332" s="8" t="n">
        <v>14</v>
      </c>
      <c r="F332" s="4" t="s">
        <v>2369</v>
      </c>
      <c r="G332" s="8" t="n">
        <v>71</v>
      </c>
      <c r="H332" s="8" t="n">
        <v>7</v>
      </c>
      <c r="I332" s="4" t="s">
        <v>2358</v>
      </c>
      <c r="J332" s="8" t="n">
        <v>47</v>
      </c>
      <c r="K332" s="8" t="n">
        <v>15</v>
      </c>
      <c r="L332" s="4" t="s">
        <v>961</v>
      </c>
      <c r="M332" s="8" t="n">
        <v>41</v>
      </c>
      <c r="N332" s="8" t="n">
        <v>24</v>
      </c>
      <c r="O332" s="8" t="n">
        <v>6</v>
      </c>
      <c r="P332" s="8" t="n">
        <v>118</v>
      </c>
      <c r="Q332" s="8" t="str">
        <f aca="false">IF(A332="","",IF(AND(Y332&lt;&gt;"参考",G332&gt;=ルール設定!$B$2),"○",""))</f>
        <v/>
      </c>
      <c r="R332" s="8" t="str">
        <f aca="false">IF(A332="","",IF(AND(Y332&lt;&gt;"参考",G332&gt;=ルール設定!$B$3,N332&gt;=ルール設定!$B$4),"○",""))</f>
        <v/>
      </c>
      <c r="S332" s="8" t="str">
        <f aca="false">IF(A332="","",IF(AND(Y332&lt;&gt;"参考",G332&gt;=ルール設定!$B$5,J332&gt;=ルール設定!$B$6,O332&gt;=ルール設定!$B$7),"○",""))</f>
        <v/>
      </c>
      <c r="T332" s="8" t="n">
        <v>1</v>
      </c>
      <c r="U332" s="8" t="n">
        <v>2</v>
      </c>
      <c r="V332" s="8" t="str">
        <f aca="false">IF(A332="","",IF(AND(ISNUMBER(T332),ISNUMBER(U332)),IF(AND(T332&lt;=3,U332&lt;=3),"○","×"),""))</f>
        <v>○</v>
      </c>
      <c r="W332" s="8" t="n">
        <v>120</v>
      </c>
      <c r="X332" s="8" t="n">
        <v>160</v>
      </c>
      <c r="Y332" s="4" t="s">
        <v>7597</v>
      </c>
      <c r="Z332" s="4" t="s">
        <v>7726</v>
      </c>
      <c r="AA332" s="8" t="str">
        <v/>
      </c>
      <c r="AB332" s="8" t="str">
        <v/>
      </c>
      <c r="AC332" s="8" t="str">
        <v/>
      </c>
      <c r="AD332" s="8" t="str">
        <v/>
      </c>
      <c r="AE332" s="8" t="str">
        <v/>
      </c>
      <c r="AF332" s="8" t="str">
        <v/>
      </c>
      <c r="AG332" s="8" t="str">
        <v/>
      </c>
      <c r="AH332" s="8" t="str">
        <v/>
      </c>
      <c r="AI332" s="8" t="n">
        <v>30</v>
      </c>
      <c r="AJ332" s="8" t="str">
        <v>70～74</v>
      </c>
      <c r="AK332" s="8" t="str">
        <v>20～29</v>
      </c>
      <c r="AL332" s="8" t="str">
        <v>30～39</v>
      </c>
      <c r="AM332" s="8" t="str">
        <v>100～119</v>
      </c>
      <c r="AN332" s="8" t="str">
        <v>15以上</v>
      </c>
      <c r="AO332" s="8" t="str">
        <f aca="false">IF(A332="","",IF(COUNTIFS(全馬データ!$A$2:$A$50000,A332,全馬データ!$B$2:$B$50000,B332,全馬データ!$C$2:$C$50000,C332,全馬データ!$D$2:$D$50000,E332,全馬データ!$K$2:$K$50000,"&lt;&gt;")=0,"",SUMIFS(全馬データ!$K$2:$K$50000,全馬データ!$A$2:$A$50000,A332,全馬データ!$B$2:$B$50000,B332,全馬データ!$C$2:$C$50000,C332,全馬データ!$D$2:$D$50000,E332)))</f>
        <v/>
      </c>
      <c r="AP332" s="8" t="str">
        <f aca="false">IF(A332="","",IF(AO332="","欠損",IF(AO332&lt;=1.1,"1.0～1.1",IF(AO332&lt;1.3,"1.2",IF(AO332&lt;1.5,"1.3～1.4",IF(AO332&lt;2,"1.5～1.9","2.0以上"))))))</f>
        <v>欠損</v>
      </c>
      <c r="AQ332" s="8" t="str">
        <f aca="false">IF(A332="","",IF(ISNUMBER(SEARCH("2歳",Z332)),"2歳戦",IF(ISNUMBER(SEARCH("3歳未勝利",Z332)),"3歳未勝利",IF(ISNUMBER(SEARCH("未勝利",Z332)),"その他未勝利",IF(ISNUMBER(SEARCH("G1",Z332)),"G1",IF(ISNUMBER(SEARCH("G2",Z332)),"G2",IF(ISNUMBER(SEARCH("G3",Z332)),"G3",IF(ISNUMBER(SEARCH("古馬条件",Z332)),"古馬条件戦",IF(ISNUMBER(SEARCH("重賞",Z332)),"重賞","分類不能")))))))))</f>
        <v>分類不能</v>
      </c>
      <c r="AR332" s="8"/>
      <c r="AS332" s="8" t="s">
        <v>7623</v>
      </c>
      <c r="AT332" s="8" t="s">
        <v>7624</v>
      </c>
      <c r="AU332" s="8" t="s">
        <v>7600</v>
      </c>
      <c r="AV332" s="4" t="s">
        <v>7601</v>
      </c>
      <c r="AW332" s="8"/>
      <c r="AX332" s="8"/>
      <c r="AY332" s="8" t="s">
        <v>7602</v>
      </c>
      <c r="AZ332" s="4" t="s">
        <v>7603</v>
      </c>
      <c r="BA332" s="8" t="n">
        <v>1200</v>
      </c>
      <c r="BB332" s="8" t="s">
        <v>7598</v>
      </c>
      <c r="BC332" s="4" t="s">
        <v>7604</v>
      </c>
      <c r="BD332" s="8" t="s">
        <v>7625</v>
      </c>
      <c r="BE332" s="4" t="s">
        <v>7606</v>
      </c>
      <c r="BF332" s="8" t="s">
        <v>7607</v>
      </c>
      <c r="BG332" s="8" t="s">
        <v>7608</v>
      </c>
      <c r="BH332" s="4" t="s">
        <v>7609</v>
      </c>
      <c r="BI332" s="8" t="n">
        <v>16</v>
      </c>
      <c r="BJ332" s="8" t="s">
        <v>7602</v>
      </c>
      <c r="BK332" s="4" t="s">
        <v>7653</v>
      </c>
      <c r="BL332" s="8" t="s">
        <v>7602</v>
      </c>
      <c r="BM332" s="4" t="s">
        <v>7620</v>
      </c>
      <c r="BN332" s="8" t="s">
        <v>7602</v>
      </c>
      <c r="BO332" s="8" t="s">
        <v>7613</v>
      </c>
      <c r="BP332" s="8" t="s">
        <v>7602</v>
      </c>
      <c r="BQ332" s="8" t="str">
        <f aca="false">IF(A332="","",AT332)</f>
        <v>3歳</v>
      </c>
      <c r="BR332" s="8" t="str">
        <f aca="false">IF(A332="","",IF(BA332&lt;=1200,"～1200",IF(BA332&lt;=1500,"1300～1500",IF(BA332=1600,"1600",IF(BA332&lt;=1800,"1700～1800",IF(BA332&lt;=2000,"1900～2000","2100以上"))))))</f>
        <v>～1200</v>
      </c>
      <c r="BS332" s="8" t="str">
        <f aca="false">IF(A332="","",IF(AX332="G1","G1",IF(AX332="G2","G2",IF(AX332="G3","G3",IF(AX332="L","L","その他")))))</f>
        <v>その他</v>
      </c>
      <c r="BT332" s="8" t="str">
        <f aca="false">IF(A332="","",IF(BI332="","未結合",IF(D332=BI332,"一致","不一致")))</f>
        <v>一致</v>
      </c>
      <c r="BU332" s="8" t="str">
        <f aca="false">IF(A332="","",IF(BE332="牝馬限定","牝馬限定","その他"))</f>
        <v>その他</v>
      </c>
    </row>
    <row r="333" customFormat="false" ht="15.75" hidden="false" customHeight="false" outlineLevel="0" collapsed="false">
      <c r="A333" s="6" t="n">
        <v>46201</v>
      </c>
      <c r="B333" s="4" t="s">
        <v>915</v>
      </c>
      <c r="C333" s="8" t="n">
        <v>8</v>
      </c>
      <c r="D333" s="8" t="n">
        <v>13</v>
      </c>
      <c r="E333" s="8" t="n">
        <v>10</v>
      </c>
      <c r="F333" s="4" t="s">
        <v>3379</v>
      </c>
      <c r="G333" s="8" t="n">
        <v>50</v>
      </c>
      <c r="H333" s="8" t="n">
        <v>5</v>
      </c>
      <c r="I333" s="4" t="s">
        <v>3376</v>
      </c>
      <c r="J333" s="8" t="n">
        <v>44</v>
      </c>
      <c r="K333" s="8" t="n">
        <v>1</v>
      </c>
      <c r="L333" s="4" t="s">
        <v>3373</v>
      </c>
      <c r="M333" s="8" t="n">
        <v>37</v>
      </c>
      <c r="N333" s="8" t="n">
        <v>6</v>
      </c>
      <c r="O333" s="8" t="n">
        <v>7</v>
      </c>
      <c r="P333" s="8" t="n">
        <v>94</v>
      </c>
      <c r="Q333" s="8" t="str">
        <f aca="false">IF(A333="","",IF(AND(Y333&lt;&gt;"参考",G333&gt;=ルール設定!$B$2),"○",""))</f>
        <v/>
      </c>
      <c r="R333" s="8" t="str">
        <f aca="false">IF(A333="","",IF(AND(Y333&lt;&gt;"参考",G333&gt;=ルール設定!$B$3,N333&gt;=ルール設定!$B$4),"○",""))</f>
        <v/>
      </c>
      <c r="S333" s="8" t="str">
        <f aca="false">IF(A333="","",IF(AND(Y333&lt;&gt;"参考",G333&gt;=ルール設定!$B$5,J333&gt;=ルール設定!$B$6,O333&gt;=ルール設定!$B$7),"○",""))</f>
        <v/>
      </c>
      <c r="T333" s="8" t="n">
        <v>3</v>
      </c>
      <c r="U333" s="8" t="n">
        <v>4</v>
      </c>
      <c r="V333" s="8" t="str">
        <f aca="false">IF(A333="","",IF(AND(ISNUMBER(T333),ISNUMBER(U333)),IF(AND(T333&lt;=3,U333&lt;=3),"○","×"),""))</f>
        <v>×</v>
      </c>
      <c r="W333" s="8" t="n">
        <v>140</v>
      </c>
      <c r="X333" s="8"/>
      <c r="Y333" s="4" t="s">
        <v>7597</v>
      </c>
      <c r="Z333" s="4" t="s">
        <v>7726</v>
      </c>
      <c r="AA333" s="8" t="str">
        <v/>
      </c>
      <c r="AB333" s="8" t="str">
        <v/>
      </c>
      <c r="AC333" s="8" t="str">
        <v/>
      </c>
      <c r="AD333" s="8" t="str">
        <v/>
      </c>
      <c r="AE333" s="8" t="str">
        <v/>
      </c>
      <c r="AF333" s="8" t="str">
        <v/>
      </c>
      <c r="AG333" s="8" t="str">
        <v/>
      </c>
      <c r="AH333" s="8" t="str">
        <v/>
      </c>
      <c r="AI333" s="8" t="n">
        <v>13</v>
      </c>
      <c r="AJ333" s="8" t="str">
        <v>～59</v>
      </c>
      <c r="AK333" s="8" t="str">
        <v>5～9</v>
      </c>
      <c r="AL333" s="8" t="str">
        <v>10～19</v>
      </c>
      <c r="AM333" s="8" t="str">
        <v>～99</v>
      </c>
      <c r="AN333" s="8" t="str">
        <v>12～14</v>
      </c>
      <c r="AO333" s="8" t="str">
        <f aca="false">IF(A333="","",IF(COUNTIFS(全馬データ!$A$2:$A$50000,A333,全馬データ!$B$2:$B$50000,B333,全馬データ!$C$2:$C$50000,C333,全馬データ!$D$2:$D$50000,E333,全馬データ!$K$2:$K$50000,"&lt;&gt;")=0,"",SUMIFS(全馬データ!$K$2:$K$50000,全馬データ!$A$2:$A$50000,A333,全馬データ!$B$2:$B$50000,B333,全馬データ!$C$2:$C$50000,C333,全馬データ!$D$2:$D$50000,E333)))</f>
        <v/>
      </c>
      <c r="AP333" s="8" t="str">
        <f aca="false">IF(A333="","",IF(AO333="","欠損",IF(AO333&lt;=1.1,"1.0～1.1",IF(AO333&lt;1.3,"1.2",IF(AO333&lt;1.5,"1.3～1.4",IF(AO333&lt;2,"1.5～1.9","2.0以上"))))))</f>
        <v>欠損</v>
      </c>
      <c r="AQ333" s="8" t="str">
        <f aca="false">IF(A333="","",IF(ISNUMBER(SEARCH("2歳",Z333)),"2歳戦",IF(ISNUMBER(SEARCH("3歳未勝利",Z333)),"3歳未勝利",IF(ISNUMBER(SEARCH("未勝利",Z333)),"その他未勝利",IF(ISNUMBER(SEARCH("G1",Z333)),"G1",IF(ISNUMBER(SEARCH("G2",Z333)),"G2",IF(ISNUMBER(SEARCH("G3",Z333)),"G3",IF(ISNUMBER(SEARCH("古馬条件",Z333)),"古馬条件戦",IF(ISNUMBER(SEARCH("重賞",Z333)),"重賞","分類不能")))))))))</f>
        <v>分類不能</v>
      </c>
      <c r="AR333" s="8"/>
      <c r="AS333" s="8" t="s">
        <v>7626</v>
      </c>
      <c r="AT333" s="8" t="s">
        <v>7627</v>
      </c>
      <c r="AU333" s="8" t="s">
        <v>7628</v>
      </c>
      <c r="AV333" s="8" t="s">
        <v>7629</v>
      </c>
      <c r="AW333" s="8"/>
      <c r="AX333" s="8"/>
      <c r="AY333" s="8" t="s">
        <v>7602</v>
      </c>
      <c r="AZ333" s="4" t="s">
        <v>7603</v>
      </c>
      <c r="BA333" s="8" t="n">
        <v>2600</v>
      </c>
      <c r="BB333" s="8" t="s">
        <v>7598</v>
      </c>
      <c r="BC333" s="4" t="s">
        <v>7604</v>
      </c>
      <c r="BD333" s="8" t="s">
        <v>7625</v>
      </c>
      <c r="BE333" s="4" t="s">
        <v>7606</v>
      </c>
      <c r="BF333" s="8" t="s">
        <v>7607</v>
      </c>
      <c r="BG333" s="8" t="s">
        <v>7631</v>
      </c>
      <c r="BH333" s="4" t="s">
        <v>7632</v>
      </c>
      <c r="BI333" s="8" t="n">
        <v>13</v>
      </c>
      <c r="BJ333" s="8" t="s">
        <v>7602</v>
      </c>
      <c r="BK333" s="4" t="s">
        <v>7653</v>
      </c>
      <c r="BL333" s="8" t="s">
        <v>7602</v>
      </c>
      <c r="BM333" s="4" t="s">
        <v>7620</v>
      </c>
      <c r="BN333" s="8" t="s">
        <v>7602</v>
      </c>
      <c r="BO333" s="8" t="s">
        <v>7613</v>
      </c>
      <c r="BP333" s="8" t="s">
        <v>7602</v>
      </c>
      <c r="BQ333" s="8" t="str">
        <f aca="false">IF(A333="","",AT333)</f>
        <v>3歳以上</v>
      </c>
      <c r="BR333" s="8" t="str">
        <f aca="false">IF(A333="","",IF(BA333&lt;=1200,"～1200",IF(BA333&lt;=1500,"1300～1500",IF(BA333=1600,"1600",IF(BA333&lt;=1800,"1700～1800",IF(BA333&lt;=2000,"1900～2000","2100以上"))))))</f>
        <v>2100以上</v>
      </c>
      <c r="BS333" s="8" t="str">
        <f aca="false">IF(A333="","",IF(AX333="G1","G1",IF(AX333="G2","G2",IF(AX333="G3","G3",IF(AX333="L","L","その他")))))</f>
        <v>その他</v>
      </c>
      <c r="BT333" s="8" t="str">
        <f aca="false">IF(A333="","",IF(BI333="","未結合",IF(D333=BI333,"一致","不一致")))</f>
        <v>一致</v>
      </c>
      <c r="BU333" s="8" t="str">
        <f aca="false">IF(A333="","",IF(BE333="牝馬限定","牝馬限定","その他"))</f>
        <v>その他</v>
      </c>
    </row>
    <row r="334" customFormat="false" ht="15.75" hidden="false" customHeight="false" outlineLevel="0" collapsed="false">
      <c r="A334" s="6" t="n">
        <v>46201</v>
      </c>
      <c r="B334" s="4" t="s">
        <v>915</v>
      </c>
      <c r="C334" s="8" t="n">
        <v>9</v>
      </c>
      <c r="D334" s="8" t="n">
        <v>14</v>
      </c>
      <c r="E334" s="8" t="n">
        <v>6</v>
      </c>
      <c r="F334" s="4" t="s">
        <v>3384</v>
      </c>
      <c r="G334" s="8" t="n">
        <v>81</v>
      </c>
      <c r="H334" s="8" t="n">
        <v>1</v>
      </c>
      <c r="I334" s="4" t="s">
        <v>3382</v>
      </c>
      <c r="J334" s="8" t="n">
        <v>34</v>
      </c>
      <c r="K334" s="8" t="n">
        <v>12</v>
      </c>
      <c r="L334" s="4" t="s">
        <v>3388</v>
      </c>
      <c r="M334" s="8" t="n">
        <v>34</v>
      </c>
      <c r="N334" s="8" t="n">
        <v>47</v>
      </c>
      <c r="O334" s="8" t="n">
        <v>0</v>
      </c>
      <c r="P334" s="8" t="n">
        <v>115</v>
      </c>
      <c r="Q334" s="8" t="str">
        <f aca="false">IF(A334="","",IF(AND(Y334&lt;&gt;"参考",G334&gt;=ルール設定!$B$2),"○",""))</f>
        <v>○</v>
      </c>
      <c r="R334" s="8" t="str">
        <f aca="false">IF(A334="","",IF(AND(Y334&lt;&gt;"参考",G334&gt;=ルール設定!$B$3,N334&gt;=ルール設定!$B$4),"○",""))</f>
        <v>○</v>
      </c>
      <c r="S334" s="8" t="str">
        <f aca="false">IF(A334="","",IF(AND(Y334&lt;&gt;"参考",G334&gt;=ルール設定!$B$5,J334&gt;=ルール設定!$B$6,O334&gt;=ルール設定!$B$7),"○",""))</f>
        <v/>
      </c>
      <c r="T334" s="8" t="n">
        <v>4</v>
      </c>
      <c r="U334" s="8" t="n">
        <v>2</v>
      </c>
      <c r="V334" s="8" t="str">
        <f aca="false">IF(A334="","",IF(AND(ISNUMBER(T334),ISNUMBER(U334)),IF(AND(T334&lt;=3,U334&lt;=3),"○","×"),""))</f>
        <v>×</v>
      </c>
      <c r="W334" s="8"/>
      <c r="X334" s="8"/>
      <c r="Y334" s="4" t="s">
        <v>7597</v>
      </c>
      <c r="Z334" s="4" t="s">
        <v>7726</v>
      </c>
      <c r="AA334" s="8" t="str">
        <v/>
      </c>
      <c r="AB334" s="8" t="str">
        <v>○</v>
      </c>
      <c r="AC334" s="8" t="str">
        <v/>
      </c>
      <c r="AD334" s="8" t="str">
        <v>○</v>
      </c>
      <c r="AE334" s="8" t="str">
        <v/>
      </c>
      <c r="AF334" s="8" t="str">
        <v/>
      </c>
      <c r="AG334" s="8" t="str">
        <v>○</v>
      </c>
      <c r="AH334" s="8" t="str">
        <v/>
      </c>
      <c r="AI334" s="8" t="n">
        <v>47</v>
      </c>
      <c r="AJ334" s="8" t="str">
        <v>80～84</v>
      </c>
      <c r="AK334" s="8" t="str">
        <v>30以上</v>
      </c>
      <c r="AL334" s="8" t="str">
        <v>40以上</v>
      </c>
      <c r="AM334" s="8" t="str">
        <v>100～119</v>
      </c>
      <c r="AN334" s="8" t="str">
        <v>12～14</v>
      </c>
      <c r="AO334" s="8" t="str">
        <f aca="false">IF(A334="","",IF(COUNTIFS(全馬データ!$A$2:$A$50000,A334,全馬データ!$B$2:$B$50000,B334,全馬データ!$C$2:$C$50000,C334,全馬データ!$D$2:$D$50000,E334,全馬データ!$K$2:$K$50000,"&lt;&gt;")=0,"",SUMIFS(全馬データ!$K$2:$K$50000,全馬データ!$A$2:$A$50000,A334,全馬データ!$B$2:$B$50000,B334,全馬データ!$C$2:$C$50000,C334,全馬データ!$D$2:$D$50000,E334)))</f>
        <v/>
      </c>
      <c r="AP334" s="8" t="str">
        <f aca="false">IF(A334="","",IF(AO334="","欠損",IF(AO334&lt;=1.1,"1.0～1.1",IF(AO334&lt;1.3,"1.2",IF(AO334&lt;1.5,"1.3～1.4",IF(AO334&lt;2,"1.5～1.9","2.0以上"))))))</f>
        <v>欠損</v>
      </c>
      <c r="AQ334" s="8" t="str">
        <f aca="false">IF(A334="","",IF(ISNUMBER(SEARCH("2歳",Z334)),"2歳戦",IF(ISNUMBER(SEARCH("3歳未勝利",Z334)),"3歳未勝利",IF(ISNUMBER(SEARCH("未勝利",Z334)),"その他未勝利",IF(ISNUMBER(SEARCH("G1",Z334)),"G1",IF(ISNUMBER(SEARCH("G2",Z334)),"G2",IF(ISNUMBER(SEARCH("G3",Z334)),"G3",IF(ISNUMBER(SEARCH("古馬条件",Z334)),"古馬条件戦",IF(ISNUMBER(SEARCH("重賞",Z334)),"重賞","分類不能")))))))))</f>
        <v>分類不能</v>
      </c>
      <c r="AR334" s="4" t="s">
        <v>7755</v>
      </c>
      <c r="AS334" s="8" t="s">
        <v>7626</v>
      </c>
      <c r="AT334" s="8" t="s">
        <v>7627</v>
      </c>
      <c r="AU334" s="8" t="s">
        <v>7634</v>
      </c>
      <c r="AV334" s="8" t="s">
        <v>7635</v>
      </c>
      <c r="AW334" s="8" t="s">
        <v>7636</v>
      </c>
      <c r="AX334" s="4" t="s">
        <v>7637</v>
      </c>
      <c r="AY334" s="8" t="s">
        <v>7602</v>
      </c>
      <c r="AZ334" s="4" t="s">
        <v>7603</v>
      </c>
      <c r="BA334" s="8" t="n">
        <v>2000</v>
      </c>
      <c r="BB334" s="8" t="s">
        <v>7598</v>
      </c>
      <c r="BC334" s="4" t="s">
        <v>7604</v>
      </c>
      <c r="BD334" s="8" t="s">
        <v>7621</v>
      </c>
      <c r="BE334" s="4" t="s">
        <v>7622</v>
      </c>
      <c r="BF334" s="8" t="s">
        <v>7602</v>
      </c>
      <c r="BG334" s="8" t="s">
        <v>7631</v>
      </c>
      <c r="BH334" s="4" t="s">
        <v>7632</v>
      </c>
      <c r="BI334" s="8" t="n">
        <v>14</v>
      </c>
      <c r="BJ334" s="8" t="s">
        <v>7602</v>
      </c>
      <c r="BK334" s="4" t="s">
        <v>7653</v>
      </c>
      <c r="BL334" s="8" t="s">
        <v>7602</v>
      </c>
      <c r="BM334" s="4" t="s">
        <v>7620</v>
      </c>
      <c r="BN334" s="8" t="s">
        <v>7602</v>
      </c>
      <c r="BO334" s="8" t="s">
        <v>7613</v>
      </c>
      <c r="BP334" s="8" t="s">
        <v>7602</v>
      </c>
      <c r="BQ334" s="8" t="str">
        <f aca="false">IF(A334="","",AT334)</f>
        <v>3歳以上</v>
      </c>
      <c r="BR334" s="8" t="str">
        <f aca="false">IF(A334="","",IF(BA334&lt;=1200,"～1200",IF(BA334&lt;=1500,"1300～1500",IF(BA334=1600,"1600",IF(BA334&lt;=1800,"1700～1800",IF(BA334&lt;=2000,"1900～2000","2100以上"))))))</f>
        <v>1900～2000</v>
      </c>
      <c r="BS334" s="8" t="str">
        <f aca="false">IF(A334="","",IF(AX334="G1","G1",IF(AX334="G2","G2",IF(AX334="G3","G3",IF(AX334="L","L","その他")))))</f>
        <v>その他</v>
      </c>
      <c r="BT334" s="8" t="str">
        <f aca="false">IF(A334="","",IF(BI334="","未結合",IF(D334=BI334,"一致","不一致")))</f>
        <v>一致</v>
      </c>
      <c r="BU334" s="8" t="str">
        <f aca="false">IF(A334="","",IF(BE334="牝馬限定","牝馬限定","その他"))</f>
        <v>牝馬限定</v>
      </c>
    </row>
    <row r="335" customFormat="false" ht="15.75" hidden="false" customHeight="false" outlineLevel="0" collapsed="false">
      <c r="A335" s="6" t="n">
        <v>46201</v>
      </c>
      <c r="B335" s="4" t="s">
        <v>915</v>
      </c>
      <c r="C335" s="8" t="n">
        <v>10</v>
      </c>
      <c r="D335" s="8" t="n">
        <v>11</v>
      </c>
      <c r="E335" s="8" t="n">
        <v>4</v>
      </c>
      <c r="F335" s="4" t="s">
        <v>3393</v>
      </c>
      <c r="G335" s="8" t="n">
        <v>74</v>
      </c>
      <c r="H335" s="8" t="n">
        <v>9</v>
      </c>
      <c r="I335" s="4" t="s">
        <v>2399</v>
      </c>
      <c r="J335" s="8" t="n">
        <v>50</v>
      </c>
      <c r="K335" s="8" t="n">
        <v>10</v>
      </c>
      <c r="L335" s="4" t="s">
        <v>3398</v>
      </c>
      <c r="M335" s="8" t="n">
        <v>34</v>
      </c>
      <c r="N335" s="8" t="n">
        <v>24</v>
      </c>
      <c r="O335" s="8" t="n">
        <v>16</v>
      </c>
      <c r="P335" s="8" t="n">
        <v>124</v>
      </c>
      <c r="Q335" s="8" t="str">
        <f aca="false">IF(A335="","",IF(AND(Y335&lt;&gt;"参考",G335&gt;=ルール設定!$B$2),"○",""))</f>
        <v/>
      </c>
      <c r="R335" s="8" t="str">
        <f aca="false">IF(A335="","",IF(AND(Y335&lt;&gt;"参考",G335&gt;=ルール設定!$B$3,N335&gt;=ルール設定!$B$4),"○",""))</f>
        <v/>
      </c>
      <c r="S335" s="8" t="str">
        <f aca="false">IF(A335="","",IF(AND(Y335&lt;&gt;"参考",G335&gt;=ルール設定!$B$5,J335&gt;=ルール設定!$B$6,O335&gt;=ルール設定!$B$7),"○",""))</f>
        <v/>
      </c>
      <c r="T335" s="8" t="n">
        <v>1</v>
      </c>
      <c r="U335" s="8" t="n">
        <v>3</v>
      </c>
      <c r="V335" s="8" t="str">
        <f aca="false">IF(A335="","",IF(AND(ISNUMBER(T335),ISNUMBER(U335)),IF(AND(T335&lt;=3,U335&lt;=3),"○","×"),""))</f>
        <v>○</v>
      </c>
      <c r="W335" s="8" t="n">
        <v>110</v>
      </c>
      <c r="X335" s="8" t="n">
        <v>210</v>
      </c>
      <c r="Y335" s="4" t="s">
        <v>7597</v>
      </c>
      <c r="Z335" s="4" t="s">
        <v>7726</v>
      </c>
      <c r="AA335" s="8" t="str">
        <v/>
      </c>
      <c r="AB335" s="8" t="str">
        <v/>
      </c>
      <c r="AC335" s="8" t="str">
        <v/>
      </c>
      <c r="AD335" s="8" t="str">
        <v/>
      </c>
      <c r="AE335" s="8" t="str">
        <v/>
      </c>
      <c r="AF335" s="8" t="str">
        <v/>
      </c>
      <c r="AG335" s="8" t="str">
        <v/>
      </c>
      <c r="AH335" s="8" t="str">
        <v/>
      </c>
      <c r="AI335" s="8" t="n">
        <v>40</v>
      </c>
      <c r="AJ335" s="8" t="str">
        <v>70～74</v>
      </c>
      <c r="AK335" s="8" t="str">
        <v>20～29</v>
      </c>
      <c r="AL335" s="8" t="str">
        <v>40以上</v>
      </c>
      <c r="AM335" s="8" t="str">
        <v>120～139</v>
      </c>
      <c r="AN335" s="8" t="str">
        <v>8～11</v>
      </c>
      <c r="AO335" s="8" t="str">
        <f aca="false">IF(A335="","",IF(COUNTIFS(全馬データ!$A$2:$A$50000,A335,全馬データ!$B$2:$B$50000,B335,全馬データ!$C$2:$C$50000,C335,全馬データ!$D$2:$D$50000,E335,全馬データ!$K$2:$K$50000,"&lt;&gt;")=0,"",SUMIFS(全馬データ!$K$2:$K$50000,全馬データ!$A$2:$A$50000,A335,全馬データ!$B$2:$B$50000,B335,全馬データ!$C$2:$C$50000,C335,全馬データ!$D$2:$D$50000,E335)))</f>
        <v/>
      </c>
      <c r="AP335" s="8" t="str">
        <f aca="false">IF(A335="","",IF(AO335="","欠損",IF(AO335&lt;=1.1,"1.0～1.1",IF(AO335&lt;1.3,"1.2",IF(AO335&lt;1.5,"1.3～1.4",IF(AO335&lt;2,"1.5～1.9","2.0以上"))))))</f>
        <v>欠損</v>
      </c>
      <c r="AQ335" s="8" t="str">
        <f aca="false">IF(A335="","",IF(ISNUMBER(SEARCH("2歳",Z335)),"2歳戦",IF(ISNUMBER(SEARCH("3歳未勝利",Z335)),"3歳未勝利",IF(ISNUMBER(SEARCH("未勝利",Z335)),"その他未勝利",IF(ISNUMBER(SEARCH("G1",Z335)),"G1",IF(ISNUMBER(SEARCH("G2",Z335)),"G2",IF(ISNUMBER(SEARCH("G3",Z335)),"G3",IF(ISNUMBER(SEARCH("古馬条件",Z335)),"古馬条件戦",IF(ISNUMBER(SEARCH("重賞",Z335)),"重賞","分類不能")))))))))</f>
        <v>分類不能</v>
      </c>
      <c r="AR335" s="4" t="s">
        <v>7756</v>
      </c>
      <c r="AS335" s="8" t="s">
        <v>7626</v>
      </c>
      <c r="AT335" s="8" t="s">
        <v>7627</v>
      </c>
      <c r="AU335" s="8" t="s">
        <v>7639</v>
      </c>
      <c r="AV335" s="8" t="s">
        <v>7640</v>
      </c>
      <c r="AW335" s="8" t="s">
        <v>7636</v>
      </c>
      <c r="AX335" s="4" t="s">
        <v>7637</v>
      </c>
      <c r="AY335" s="8" t="s">
        <v>7610</v>
      </c>
      <c r="AZ335" s="4" t="s">
        <v>7617</v>
      </c>
      <c r="BA335" s="8" t="n">
        <v>1700</v>
      </c>
      <c r="BB335" s="8" t="s">
        <v>7598</v>
      </c>
      <c r="BC335" s="4" t="s">
        <v>7604</v>
      </c>
      <c r="BD335" s="8" t="s">
        <v>7630</v>
      </c>
      <c r="BE335" s="4" t="s">
        <v>7606</v>
      </c>
      <c r="BF335" s="8" t="s">
        <v>7607</v>
      </c>
      <c r="BG335" s="8" t="s">
        <v>7631</v>
      </c>
      <c r="BH335" s="4" t="s">
        <v>7632</v>
      </c>
      <c r="BI335" s="8" t="n">
        <v>11</v>
      </c>
      <c r="BJ335" s="8" t="s">
        <v>7602</v>
      </c>
      <c r="BK335" s="4" t="s">
        <v>7653</v>
      </c>
      <c r="BL335" s="8" t="s">
        <v>7602</v>
      </c>
      <c r="BM335" s="4" t="s">
        <v>7620</v>
      </c>
      <c r="BN335" s="8"/>
      <c r="BO335" s="8"/>
      <c r="BP335" s="8" t="s">
        <v>7602</v>
      </c>
      <c r="BQ335" s="8" t="str">
        <f aca="false">IF(A335="","",AT335)</f>
        <v>3歳以上</v>
      </c>
      <c r="BR335" s="8" t="str">
        <f aca="false">IF(A335="","",IF(BA335&lt;=1200,"～1200",IF(BA335&lt;=1500,"1300～1500",IF(BA335=1600,"1600",IF(BA335&lt;=1800,"1700～1800",IF(BA335&lt;=2000,"1900～2000","2100以上"))))))</f>
        <v>1700～1800</v>
      </c>
      <c r="BS335" s="8" t="str">
        <f aca="false">IF(A335="","",IF(AX335="G1","G1",IF(AX335="G2","G2",IF(AX335="G3","G3",IF(AX335="L","L","その他")))))</f>
        <v>その他</v>
      </c>
      <c r="BT335" s="8" t="str">
        <f aca="false">IF(A335="","",IF(BI335="","未結合",IF(D335=BI335,"一致","不一致")))</f>
        <v>一致</v>
      </c>
      <c r="BU335" s="8" t="str">
        <f aca="false">IF(A335="","",IF(BE335="牝馬限定","牝馬限定","その他"))</f>
        <v>その他</v>
      </c>
    </row>
    <row r="336" customFormat="false" ht="15.75" hidden="false" customHeight="false" outlineLevel="0" collapsed="false">
      <c r="A336" s="6" t="n">
        <v>46201</v>
      </c>
      <c r="B336" s="4" t="s">
        <v>915</v>
      </c>
      <c r="C336" s="8" t="n">
        <v>11</v>
      </c>
      <c r="D336" s="8" t="n">
        <v>16</v>
      </c>
      <c r="E336" s="8" t="n">
        <v>5</v>
      </c>
      <c r="F336" s="4" t="s">
        <v>3402</v>
      </c>
      <c r="G336" s="8" t="n">
        <v>56</v>
      </c>
      <c r="H336" s="8" t="n">
        <v>12</v>
      </c>
      <c r="I336" s="4" t="s">
        <v>3407</v>
      </c>
      <c r="J336" s="8" t="n">
        <v>50</v>
      </c>
      <c r="K336" s="8" t="n">
        <v>8</v>
      </c>
      <c r="L336" s="4" t="s">
        <v>3405</v>
      </c>
      <c r="M336" s="8" t="n">
        <v>44</v>
      </c>
      <c r="N336" s="8" t="n">
        <v>6</v>
      </c>
      <c r="O336" s="8" t="n">
        <v>6</v>
      </c>
      <c r="P336" s="8" t="n">
        <v>106</v>
      </c>
      <c r="Q336" s="8" t="str">
        <f aca="false">IF(A336="","",IF(AND(Y336&lt;&gt;"参考",G336&gt;=ルール設定!$B$2),"○",""))</f>
        <v/>
      </c>
      <c r="R336" s="8" t="str">
        <f aca="false">IF(A336="","",IF(AND(Y336&lt;&gt;"参考",G336&gt;=ルール設定!$B$3,N336&gt;=ルール設定!$B$4),"○",""))</f>
        <v/>
      </c>
      <c r="S336" s="8" t="str">
        <f aca="false">IF(A336="","",IF(AND(Y336&lt;&gt;"参考",G336&gt;=ルール設定!$B$5,J336&gt;=ルール設定!$B$6,O336&gt;=ルール設定!$B$7),"○",""))</f>
        <v/>
      </c>
      <c r="T336" s="8" t="n">
        <v>3</v>
      </c>
      <c r="U336" s="8" t="n">
        <v>4</v>
      </c>
      <c r="V336" s="8" t="str">
        <f aca="false">IF(A336="","",IF(AND(ISNUMBER(T336),ISNUMBER(U336)),IF(AND(T336&lt;=3,U336&lt;=3),"○","×"),""))</f>
        <v>×</v>
      </c>
      <c r="W336" s="8" t="n">
        <v>200</v>
      </c>
      <c r="X336" s="8"/>
      <c r="Y336" s="4" t="s">
        <v>7597</v>
      </c>
      <c r="Z336" s="4" t="s">
        <v>7726</v>
      </c>
      <c r="AA336" s="8" t="str">
        <v/>
      </c>
      <c r="AB336" s="8" t="str">
        <v/>
      </c>
      <c r="AC336" s="8" t="str">
        <v/>
      </c>
      <c r="AD336" s="8" t="str">
        <v/>
      </c>
      <c r="AE336" s="8" t="str">
        <v/>
      </c>
      <c r="AF336" s="8" t="str">
        <v/>
      </c>
      <c r="AG336" s="8" t="str">
        <v/>
      </c>
      <c r="AH336" s="8" t="str">
        <v/>
      </c>
      <c r="AI336" s="8" t="n">
        <v>12</v>
      </c>
      <c r="AJ336" s="8" t="str">
        <v>～59</v>
      </c>
      <c r="AK336" s="8" t="str">
        <v>5～9</v>
      </c>
      <c r="AL336" s="8" t="str">
        <v>10～19</v>
      </c>
      <c r="AM336" s="8" t="str">
        <v>100～119</v>
      </c>
      <c r="AN336" s="8" t="str">
        <v>15以上</v>
      </c>
      <c r="AO336" s="8" t="str">
        <f aca="false">IF(A336="","",IF(COUNTIFS(全馬データ!$A$2:$A$50000,A336,全馬データ!$B$2:$B$50000,B336,全馬データ!$C$2:$C$50000,C336,全馬データ!$D$2:$D$50000,E336,全馬データ!$K$2:$K$50000,"&lt;&gt;")=0,"",SUMIFS(全馬データ!$K$2:$K$50000,全馬データ!$A$2:$A$50000,A336,全馬データ!$B$2:$B$50000,B336,全馬データ!$C$2:$C$50000,C336,全馬データ!$D$2:$D$50000,E336)))</f>
        <v/>
      </c>
      <c r="AP336" s="8" t="str">
        <f aca="false">IF(A336="","",IF(AO336="","欠損",IF(AO336&lt;=1.1,"1.0～1.1",IF(AO336&lt;1.3,"1.2",IF(AO336&lt;1.5,"1.3～1.4",IF(AO336&lt;2,"1.5～1.9","2.0以上"))))))</f>
        <v>欠損</v>
      </c>
      <c r="AQ336" s="8" t="str">
        <f aca="false">IF(A336="","",IF(ISNUMBER(SEARCH("2歳",Z336)),"2歳戦",IF(ISNUMBER(SEARCH("3歳未勝利",Z336)),"3歳未勝利",IF(ISNUMBER(SEARCH("未勝利",Z336)),"その他未勝利",IF(ISNUMBER(SEARCH("G1",Z336)),"G1",IF(ISNUMBER(SEARCH("G2",Z336)),"G2",IF(ISNUMBER(SEARCH("G3",Z336)),"G3",IF(ISNUMBER(SEARCH("古馬条件",Z336)),"古馬条件戦",IF(ISNUMBER(SEARCH("重賞",Z336)),"重賞","分類不能")))))))))</f>
        <v>分類不能</v>
      </c>
      <c r="AR336" s="4" t="s">
        <v>7757</v>
      </c>
      <c r="AS336" s="8" t="s">
        <v>7623</v>
      </c>
      <c r="AT336" s="8" t="s">
        <v>7624</v>
      </c>
      <c r="AU336" s="8" t="s">
        <v>7643</v>
      </c>
      <c r="AV336" s="4" t="s">
        <v>7644</v>
      </c>
      <c r="AW336" s="8" t="s">
        <v>7608</v>
      </c>
      <c r="AX336" s="8" t="s">
        <v>7664</v>
      </c>
      <c r="AY336" s="8" t="s">
        <v>7602</v>
      </c>
      <c r="AZ336" s="4" t="s">
        <v>7603</v>
      </c>
      <c r="BA336" s="8" t="n">
        <v>1800</v>
      </c>
      <c r="BB336" s="8" t="s">
        <v>7598</v>
      </c>
      <c r="BC336" s="4" t="s">
        <v>7604</v>
      </c>
      <c r="BD336" s="8" t="s">
        <v>7666</v>
      </c>
      <c r="BE336" s="4" t="s">
        <v>7606</v>
      </c>
      <c r="BF336" s="8" t="s">
        <v>7607</v>
      </c>
      <c r="BG336" s="8" t="s">
        <v>7602</v>
      </c>
      <c r="BH336" s="4" t="s">
        <v>7667</v>
      </c>
      <c r="BI336" s="8" t="n">
        <v>16</v>
      </c>
      <c r="BJ336" s="8" t="s">
        <v>7602</v>
      </c>
      <c r="BK336" s="4" t="s">
        <v>7653</v>
      </c>
      <c r="BL336" s="8" t="s">
        <v>7602</v>
      </c>
      <c r="BM336" s="4" t="s">
        <v>7620</v>
      </c>
      <c r="BN336" s="8" t="s">
        <v>7602</v>
      </c>
      <c r="BO336" s="8" t="s">
        <v>7613</v>
      </c>
      <c r="BP336" s="8" t="s">
        <v>7602</v>
      </c>
      <c r="BQ336" s="8" t="str">
        <f aca="false">IF(A336="","",AT336)</f>
        <v>3歳</v>
      </c>
      <c r="BR336" s="8" t="str">
        <f aca="false">IF(A336="","",IF(BA336&lt;=1200,"～1200",IF(BA336&lt;=1500,"1300～1500",IF(BA336=1600,"1600",IF(BA336&lt;=1800,"1700～1800",IF(BA336&lt;=2000,"1900～2000","2100以上"))))))</f>
        <v>1700～1800</v>
      </c>
      <c r="BS336" s="8" t="str">
        <f aca="false">IF(A336="","",IF(AX336="G1","G1",IF(AX336="G2","G2",IF(AX336="G3","G3",IF(AX336="L","L","その他")))))</f>
        <v>G3</v>
      </c>
      <c r="BT336" s="8" t="str">
        <f aca="false">IF(A336="","",IF(BI336="","未結合",IF(D336=BI336,"一致","不一致")))</f>
        <v>一致</v>
      </c>
      <c r="BU336" s="8" t="str">
        <f aca="false">IF(A336="","",IF(BE336="牝馬限定","牝馬限定","その他"))</f>
        <v>その他</v>
      </c>
    </row>
    <row r="337" customFormat="false" ht="15.75" hidden="false" customHeight="false" outlineLevel="0" collapsed="false">
      <c r="A337" s="6" t="n">
        <v>46201</v>
      </c>
      <c r="B337" s="4" t="s">
        <v>915</v>
      </c>
      <c r="C337" s="8" t="n">
        <v>12</v>
      </c>
      <c r="D337" s="8" t="n">
        <v>14</v>
      </c>
      <c r="E337" s="8" t="n">
        <v>2</v>
      </c>
      <c r="F337" s="4" t="s">
        <v>3412</v>
      </c>
      <c r="G337" s="8" t="n">
        <v>44</v>
      </c>
      <c r="H337" s="8" t="n">
        <v>5</v>
      </c>
      <c r="I337" s="4" t="s">
        <v>3414</v>
      </c>
      <c r="J337" s="8" t="n">
        <v>41</v>
      </c>
      <c r="K337" s="8" t="n">
        <v>7</v>
      </c>
      <c r="L337" s="4" t="s">
        <v>1076</v>
      </c>
      <c r="M337" s="8" t="n">
        <v>41</v>
      </c>
      <c r="N337" s="8" t="n">
        <v>3</v>
      </c>
      <c r="O337" s="8" t="n">
        <v>0</v>
      </c>
      <c r="P337" s="8" t="n">
        <v>85</v>
      </c>
      <c r="Q337" s="8" t="str">
        <f aca="false">IF(A337="","",IF(AND(Y337&lt;&gt;"参考",G337&gt;=ルール設定!$B$2),"○",""))</f>
        <v/>
      </c>
      <c r="R337" s="8" t="str">
        <f aca="false">IF(A337="","",IF(AND(Y337&lt;&gt;"参考",G337&gt;=ルール設定!$B$3,N337&gt;=ルール設定!$B$4),"○",""))</f>
        <v/>
      </c>
      <c r="S337" s="8" t="str">
        <f aca="false">IF(A337="","",IF(AND(Y337&lt;&gt;"参考",G337&gt;=ルール設定!$B$5,J337&gt;=ルール設定!$B$6,O337&gt;=ルール設定!$B$7),"○",""))</f>
        <v/>
      </c>
      <c r="T337" s="8" t="n">
        <v>4</v>
      </c>
      <c r="U337" s="8" t="n">
        <v>4</v>
      </c>
      <c r="V337" s="8" t="str">
        <f aca="false">IF(A337="","",IF(AND(ISNUMBER(T337),ISNUMBER(U337)),IF(AND(T337&lt;=3,U337&lt;=3),"○","×"),""))</f>
        <v>×</v>
      </c>
      <c r="W337" s="8"/>
      <c r="X337" s="8"/>
      <c r="Y337" s="4" t="s">
        <v>7597</v>
      </c>
      <c r="Z337" s="4" t="s">
        <v>7726</v>
      </c>
      <c r="AA337" s="8" t="str">
        <v/>
      </c>
      <c r="AB337" s="8" t="str">
        <v/>
      </c>
      <c r="AC337" s="8" t="str">
        <v/>
      </c>
      <c r="AD337" s="8" t="str">
        <v/>
      </c>
      <c r="AE337" s="8" t="str">
        <v/>
      </c>
      <c r="AF337" s="8" t="str">
        <v/>
      </c>
      <c r="AG337" s="8" t="str">
        <v/>
      </c>
      <c r="AH337" s="8" t="str">
        <v/>
      </c>
      <c r="AI337" s="8" t="n">
        <v>3</v>
      </c>
      <c r="AJ337" s="8" t="str">
        <v>～59</v>
      </c>
      <c r="AK337" s="8" t="str">
        <v>0～4</v>
      </c>
      <c r="AL337" s="8" t="str">
        <v>0～9</v>
      </c>
      <c r="AM337" s="8" t="str">
        <v>～99</v>
      </c>
      <c r="AN337" s="8" t="str">
        <v>12～14</v>
      </c>
      <c r="AO337" s="8" t="str">
        <f aca="false">IF(A337="","",IF(COUNTIFS(全馬データ!$A$2:$A$50000,A337,全馬データ!$B$2:$B$50000,B337,全馬データ!$C$2:$C$50000,C337,全馬データ!$D$2:$D$50000,E337,全馬データ!$K$2:$K$50000,"&lt;&gt;")=0,"",SUMIFS(全馬データ!$K$2:$K$50000,全馬データ!$A$2:$A$50000,A337,全馬データ!$B$2:$B$50000,B337,全馬データ!$C$2:$C$50000,C337,全馬データ!$D$2:$D$50000,E337)))</f>
        <v/>
      </c>
      <c r="AP337" s="8" t="str">
        <f aca="false">IF(A337="","",IF(AO337="","欠損",IF(AO337&lt;=1.1,"1.0～1.1",IF(AO337&lt;1.3,"1.2",IF(AO337&lt;1.5,"1.3～1.4",IF(AO337&lt;2,"1.5～1.9","2.0以上"))))))</f>
        <v>欠損</v>
      </c>
      <c r="AQ337" s="8" t="str">
        <f aca="false">IF(A337="","",IF(ISNUMBER(SEARCH("2歳",Z337)),"2歳戦",IF(ISNUMBER(SEARCH("3歳未勝利",Z337)),"3歳未勝利",IF(ISNUMBER(SEARCH("未勝利",Z337)),"その他未勝利",IF(ISNUMBER(SEARCH("G1",Z337)),"G1",IF(ISNUMBER(SEARCH("G2",Z337)),"G2",IF(ISNUMBER(SEARCH("G3",Z337)),"G3",IF(ISNUMBER(SEARCH("古馬条件",Z337)),"古馬条件戦",IF(ISNUMBER(SEARCH("重賞",Z337)),"重賞","分類不能")))))))))</f>
        <v>分類不能</v>
      </c>
      <c r="AR337" s="8"/>
      <c r="AS337" s="8" t="s">
        <v>7626</v>
      </c>
      <c r="AT337" s="8" t="s">
        <v>7627</v>
      </c>
      <c r="AU337" s="8" t="s">
        <v>7628</v>
      </c>
      <c r="AV337" s="8" t="s">
        <v>7629</v>
      </c>
      <c r="AW337" s="8"/>
      <c r="AX337" s="8"/>
      <c r="AY337" s="8" t="s">
        <v>7610</v>
      </c>
      <c r="AZ337" s="4" t="s">
        <v>7617</v>
      </c>
      <c r="BA337" s="8" t="n">
        <v>1150</v>
      </c>
      <c r="BB337" s="8" t="s">
        <v>7598</v>
      </c>
      <c r="BC337" s="4" t="s">
        <v>7604</v>
      </c>
      <c r="BD337" s="8" t="s">
        <v>7625</v>
      </c>
      <c r="BE337" s="4" t="s">
        <v>7606</v>
      </c>
      <c r="BF337" s="8" t="s">
        <v>7607</v>
      </c>
      <c r="BG337" s="8" t="s">
        <v>7631</v>
      </c>
      <c r="BH337" s="4" t="s">
        <v>7632</v>
      </c>
      <c r="BI337" s="8" t="n">
        <v>14</v>
      </c>
      <c r="BJ337" s="8" t="s">
        <v>7602</v>
      </c>
      <c r="BK337" s="4" t="s">
        <v>7653</v>
      </c>
      <c r="BL337" s="8" t="s">
        <v>7602</v>
      </c>
      <c r="BM337" s="4" t="s">
        <v>7620</v>
      </c>
      <c r="BN337" s="8"/>
      <c r="BO337" s="8"/>
      <c r="BP337" s="8" t="s">
        <v>7602</v>
      </c>
      <c r="BQ337" s="8" t="str">
        <f aca="false">IF(A337="","",AT337)</f>
        <v>3歳以上</v>
      </c>
      <c r="BR337" s="8" t="str">
        <f aca="false">IF(A337="","",IF(BA337&lt;=1200,"～1200",IF(BA337&lt;=1500,"1300～1500",IF(BA337=1600,"1600",IF(BA337&lt;=1800,"1700～1800",IF(BA337&lt;=2000,"1900～2000","2100以上"))))))</f>
        <v>～1200</v>
      </c>
      <c r="BS337" s="8" t="str">
        <f aca="false">IF(A337="","",IF(AX337="G1","G1",IF(AX337="G2","G2",IF(AX337="G3","G3",IF(AX337="L","L","その他")))))</f>
        <v>その他</v>
      </c>
      <c r="BT337" s="8" t="str">
        <f aca="false">IF(A337="","",IF(BI337="","未結合",IF(D337=BI337,"一致","不一致")))</f>
        <v>一致</v>
      </c>
      <c r="BU337" s="8" t="str">
        <f aca="false">IF(A337="","",IF(BE337="牝馬限定","牝馬限定","その他"))</f>
        <v>その他</v>
      </c>
    </row>
    <row r="338" customFormat="false" ht="15.75" hidden="false" customHeight="false" outlineLevel="0" collapsed="false">
      <c r="A338" s="6" t="n">
        <v>46201</v>
      </c>
      <c r="B338" s="4" t="s">
        <v>1091</v>
      </c>
      <c r="C338" s="8" t="n">
        <v>1</v>
      </c>
      <c r="D338" s="8" t="n">
        <v>18</v>
      </c>
      <c r="E338" s="8" t="n">
        <v>5</v>
      </c>
      <c r="F338" s="4" t="s">
        <v>3420</v>
      </c>
      <c r="G338" s="8" t="n">
        <v>65</v>
      </c>
      <c r="H338" s="8" t="n">
        <v>9</v>
      </c>
      <c r="I338" s="4" t="s">
        <v>3422</v>
      </c>
      <c r="J338" s="8" t="n">
        <v>65</v>
      </c>
      <c r="K338" s="8" t="n">
        <v>1</v>
      </c>
      <c r="L338" s="4" t="s">
        <v>2437</v>
      </c>
      <c r="M338" s="8" t="n">
        <v>25</v>
      </c>
      <c r="N338" s="8" t="n">
        <v>0</v>
      </c>
      <c r="O338" s="8" t="n">
        <v>40</v>
      </c>
      <c r="P338" s="8" t="n">
        <v>130</v>
      </c>
      <c r="Q338" s="8" t="str">
        <f aca="false">IF(A338="","",IF(AND(Y338&lt;&gt;"参考",G338&gt;=ルール設定!$B$2),"○",""))</f>
        <v/>
      </c>
      <c r="R338" s="8" t="str">
        <f aca="false">IF(A338="","",IF(AND(Y338&lt;&gt;"参考",G338&gt;=ルール設定!$B$3,N338&gt;=ルール設定!$B$4),"○",""))</f>
        <v/>
      </c>
      <c r="S338" s="8" t="str">
        <f aca="false">IF(A338="","",IF(AND(Y338&lt;&gt;"参考",G338&gt;=ルール設定!$B$5,J338&gt;=ルール設定!$B$6,O338&gt;=ルール設定!$B$7),"○",""))</f>
        <v>○</v>
      </c>
      <c r="T338" s="8" t="n">
        <v>4</v>
      </c>
      <c r="U338" s="8" t="n">
        <v>4</v>
      </c>
      <c r="V338" s="8" t="str">
        <f aca="false">IF(A338="","",IF(AND(ISNUMBER(T338),ISNUMBER(U338)),IF(AND(T338&lt;=3,U338&lt;=3),"○","×"),""))</f>
        <v>×</v>
      </c>
      <c r="W338" s="8"/>
      <c r="X338" s="8"/>
      <c r="Y338" s="4" t="s">
        <v>7597</v>
      </c>
      <c r="Z338" s="4" t="s">
        <v>7726</v>
      </c>
      <c r="AA338" s="8" t="str">
        <v/>
      </c>
      <c r="AB338" s="8" t="str">
        <v/>
      </c>
      <c r="AC338" s="8" t="str">
        <v/>
      </c>
      <c r="AD338" s="8" t="str">
        <v/>
      </c>
      <c r="AE338" s="8" t="str">
        <v/>
      </c>
      <c r="AF338" s="8" t="str">
        <v/>
      </c>
      <c r="AG338" s="8" t="str">
        <v/>
      </c>
      <c r="AH338" s="8" t="str">
        <v/>
      </c>
      <c r="AI338" s="8" t="n">
        <v>40</v>
      </c>
      <c r="AJ338" s="8" t="str">
        <v>60～69</v>
      </c>
      <c r="AK338" s="8" t="str">
        <v>0～4</v>
      </c>
      <c r="AL338" s="8" t="str">
        <v>40以上</v>
      </c>
      <c r="AM338" s="8" t="str">
        <v>120～139</v>
      </c>
      <c r="AN338" s="8" t="str">
        <v>15以上</v>
      </c>
      <c r="AO338" s="8" t="str">
        <f aca="false">IF(A338="","",IF(COUNTIFS(全馬データ!$A$2:$A$50000,A338,全馬データ!$B$2:$B$50000,B338,全馬データ!$C$2:$C$50000,C338,全馬データ!$D$2:$D$50000,E338,全馬データ!$K$2:$K$50000,"&lt;&gt;")=0,"",SUMIFS(全馬データ!$K$2:$K$50000,全馬データ!$A$2:$A$50000,A338,全馬データ!$B$2:$B$50000,B338,全馬データ!$C$2:$C$50000,C338,全馬データ!$D$2:$D$50000,E338)))</f>
        <v/>
      </c>
      <c r="AP338" s="8" t="str">
        <f aca="false">IF(A338="","",IF(AO338="","欠損",IF(AO338&lt;=1.1,"1.0～1.1",IF(AO338&lt;1.3,"1.2",IF(AO338&lt;1.5,"1.3～1.4",IF(AO338&lt;2,"1.5～1.9","2.0以上"))))))</f>
        <v>欠損</v>
      </c>
      <c r="AQ338" s="8" t="str">
        <f aca="false">IF(A338="","",IF(ISNUMBER(SEARCH("2歳",Z338)),"2歳戦",IF(ISNUMBER(SEARCH("3歳未勝利",Z338)),"3歳未勝利",IF(ISNUMBER(SEARCH("未勝利",Z338)),"その他未勝利",IF(ISNUMBER(SEARCH("G1",Z338)),"G1",IF(ISNUMBER(SEARCH("G2",Z338)),"G2",IF(ISNUMBER(SEARCH("G3",Z338)),"G3",IF(ISNUMBER(SEARCH("古馬条件",Z338)),"古馬条件戦",IF(ISNUMBER(SEARCH("重賞",Z338)),"重賞","分類不能")))))))))</f>
        <v>分類不能</v>
      </c>
      <c r="AR338" s="8"/>
      <c r="AS338" s="8" t="s">
        <v>7623</v>
      </c>
      <c r="AT338" s="8" t="s">
        <v>7624</v>
      </c>
      <c r="AU338" s="8" t="s">
        <v>7600</v>
      </c>
      <c r="AV338" s="4" t="s">
        <v>7601</v>
      </c>
      <c r="AW338" s="8"/>
      <c r="AX338" s="8"/>
      <c r="AY338" s="8" t="s">
        <v>7602</v>
      </c>
      <c r="AZ338" s="4" t="s">
        <v>7603</v>
      </c>
      <c r="BA338" s="8" t="n">
        <v>1200</v>
      </c>
      <c r="BB338" s="8" t="s">
        <v>7598</v>
      </c>
      <c r="BC338" s="4" t="s">
        <v>7604</v>
      </c>
      <c r="BD338" s="8" t="s">
        <v>7621</v>
      </c>
      <c r="BE338" s="4" t="s">
        <v>7622</v>
      </c>
      <c r="BF338" s="8" t="s">
        <v>7602</v>
      </c>
      <c r="BG338" s="8" t="s">
        <v>7608</v>
      </c>
      <c r="BH338" s="4" t="s">
        <v>7609</v>
      </c>
      <c r="BI338" s="8" t="n">
        <v>18</v>
      </c>
      <c r="BJ338" s="8" t="s">
        <v>7602</v>
      </c>
      <c r="BK338" s="4" t="s">
        <v>7653</v>
      </c>
      <c r="BL338" s="8" t="s">
        <v>7602</v>
      </c>
      <c r="BM338" s="4" t="s">
        <v>7620</v>
      </c>
      <c r="BN338" s="8" t="s">
        <v>7602</v>
      </c>
      <c r="BO338" s="8" t="s">
        <v>7613</v>
      </c>
      <c r="BP338" s="8" t="s">
        <v>7610</v>
      </c>
      <c r="BQ338" s="8" t="str">
        <f aca="false">IF(A338="","",AT338)</f>
        <v>3歳</v>
      </c>
      <c r="BR338" s="8" t="str">
        <f aca="false">IF(A338="","",IF(BA338&lt;=1200,"～1200",IF(BA338&lt;=1500,"1300～1500",IF(BA338=1600,"1600",IF(BA338&lt;=1800,"1700～1800",IF(BA338&lt;=2000,"1900～2000","2100以上"))))))</f>
        <v>～1200</v>
      </c>
      <c r="BS338" s="8" t="str">
        <f aca="false">IF(A338="","",IF(AX338="G1","G1",IF(AX338="G2","G2",IF(AX338="G3","G3",IF(AX338="L","L","その他")))))</f>
        <v>その他</v>
      </c>
      <c r="BT338" s="8" t="str">
        <f aca="false">IF(A338="","",IF(BI338="","未結合",IF(D338=BI338,"一致","不一致")))</f>
        <v>一致</v>
      </c>
      <c r="BU338" s="8" t="str">
        <f aca="false">IF(A338="","",IF(BE338="牝馬限定","牝馬限定","その他"))</f>
        <v>牝馬限定</v>
      </c>
    </row>
    <row r="339" customFormat="false" ht="15.75" hidden="false" customHeight="false" outlineLevel="0" collapsed="false">
      <c r="A339" s="6" t="n">
        <v>46201</v>
      </c>
      <c r="B339" s="4" t="s">
        <v>1091</v>
      </c>
      <c r="C339" s="8" t="n">
        <v>2</v>
      </c>
      <c r="D339" s="8" t="n">
        <v>16</v>
      </c>
      <c r="E339" s="8" t="n">
        <v>1</v>
      </c>
      <c r="F339" s="4" t="s">
        <v>2474</v>
      </c>
      <c r="G339" s="8" t="n">
        <v>47</v>
      </c>
      <c r="H339" s="8" t="n">
        <v>5</v>
      </c>
      <c r="I339" s="4" t="s">
        <v>1296</v>
      </c>
      <c r="J339" s="8" t="n">
        <v>44</v>
      </c>
      <c r="K339" s="8" t="n">
        <v>9</v>
      </c>
      <c r="L339" s="4" t="s">
        <v>275</v>
      </c>
      <c r="M339" s="8" t="n">
        <v>31</v>
      </c>
      <c r="N339" s="8" t="n">
        <v>3</v>
      </c>
      <c r="O339" s="8" t="n">
        <v>13</v>
      </c>
      <c r="P339" s="8" t="n">
        <v>91</v>
      </c>
      <c r="Q339" s="8" t="str">
        <f aca="false">IF(A339="","",IF(AND(Y339&lt;&gt;"参考",G339&gt;=ルール設定!$B$2),"○",""))</f>
        <v/>
      </c>
      <c r="R339" s="8" t="str">
        <f aca="false">IF(A339="","",IF(AND(Y339&lt;&gt;"参考",G339&gt;=ルール設定!$B$3,N339&gt;=ルール設定!$B$4),"○",""))</f>
        <v/>
      </c>
      <c r="S339" s="8" t="str">
        <f aca="false">IF(A339="","",IF(AND(Y339&lt;&gt;"参考",G339&gt;=ルール設定!$B$5,J339&gt;=ルール設定!$B$6,O339&gt;=ルール設定!$B$7),"○",""))</f>
        <v/>
      </c>
      <c r="T339" s="8" t="n">
        <v>2</v>
      </c>
      <c r="U339" s="8" t="n">
        <v>3</v>
      </c>
      <c r="V339" s="8" t="str">
        <f aca="false">IF(A339="","",IF(AND(ISNUMBER(T339),ISNUMBER(U339)),IF(AND(T339&lt;=3,U339&lt;=3),"○","×"),""))</f>
        <v>○</v>
      </c>
      <c r="W339" s="8" t="n">
        <v>140</v>
      </c>
      <c r="X339" s="8" t="n">
        <v>240</v>
      </c>
      <c r="Y339" s="4" t="s">
        <v>7597</v>
      </c>
      <c r="Z339" s="4" t="s">
        <v>7726</v>
      </c>
      <c r="AA339" s="8" t="str">
        <v/>
      </c>
      <c r="AB339" s="8" t="str">
        <v/>
      </c>
      <c r="AC339" s="8" t="str">
        <v/>
      </c>
      <c r="AD339" s="8" t="str">
        <v/>
      </c>
      <c r="AE339" s="8" t="str">
        <v/>
      </c>
      <c r="AF339" s="8" t="str">
        <v/>
      </c>
      <c r="AG339" s="8" t="str">
        <v/>
      </c>
      <c r="AH339" s="8" t="str">
        <v/>
      </c>
      <c r="AI339" s="8" t="n">
        <v>16</v>
      </c>
      <c r="AJ339" s="8" t="str">
        <v>～59</v>
      </c>
      <c r="AK339" s="8" t="str">
        <v>0～4</v>
      </c>
      <c r="AL339" s="8" t="str">
        <v>10～19</v>
      </c>
      <c r="AM339" s="8" t="str">
        <v>～99</v>
      </c>
      <c r="AN339" s="8" t="str">
        <v>15以上</v>
      </c>
      <c r="AO339" s="8" t="str">
        <f aca="false">IF(A339="","",IF(COUNTIFS(全馬データ!$A$2:$A$50000,A339,全馬データ!$B$2:$B$50000,B339,全馬データ!$C$2:$C$50000,C339,全馬データ!$D$2:$D$50000,E339,全馬データ!$K$2:$K$50000,"&lt;&gt;")=0,"",SUMIFS(全馬データ!$K$2:$K$50000,全馬データ!$A$2:$A$50000,A339,全馬データ!$B$2:$B$50000,B339,全馬データ!$C$2:$C$50000,C339,全馬データ!$D$2:$D$50000,E339)))</f>
        <v/>
      </c>
      <c r="AP339" s="8" t="str">
        <f aca="false">IF(A339="","",IF(AO339="","欠損",IF(AO339&lt;=1.1,"1.0～1.1",IF(AO339&lt;1.3,"1.2",IF(AO339&lt;1.5,"1.3～1.4",IF(AO339&lt;2,"1.5～1.9","2.0以上"))))))</f>
        <v>欠損</v>
      </c>
      <c r="AQ339" s="8" t="str">
        <f aca="false">IF(A339="","",IF(ISNUMBER(SEARCH("2歳",Z339)),"2歳戦",IF(ISNUMBER(SEARCH("3歳未勝利",Z339)),"3歳未勝利",IF(ISNUMBER(SEARCH("未勝利",Z339)),"その他未勝利",IF(ISNUMBER(SEARCH("G1",Z339)),"G1",IF(ISNUMBER(SEARCH("G2",Z339)),"G2",IF(ISNUMBER(SEARCH("G3",Z339)),"G3",IF(ISNUMBER(SEARCH("古馬条件",Z339)),"古馬条件戦",IF(ISNUMBER(SEARCH("重賞",Z339)),"重賞","分類不能")))))))))</f>
        <v>分類不能</v>
      </c>
      <c r="AR339" s="8"/>
      <c r="AS339" s="8" t="s">
        <v>7623</v>
      </c>
      <c r="AT339" s="8" t="s">
        <v>7624</v>
      </c>
      <c r="AU339" s="8" t="s">
        <v>7600</v>
      </c>
      <c r="AV339" s="4" t="s">
        <v>7601</v>
      </c>
      <c r="AW339" s="8"/>
      <c r="AX339" s="8"/>
      <c r="AY339" s="8" t="s">
        <v>7602</v>
      </c>
      <c r="AZ339" s="4" t="s">
        <v>7603</v>
      </c>
      <c r="BA339" s="8" t="n">
        <v>1800</v>
      </c>
      <c r="BB339" s="8" t="s">
        <v>7598</v>
      </c>
      <c r="BC339" s="4" t="s">
        <v>7604</v>
      </c>
      <c r="BD339" s="8" t="s">
        <v>7605</v>
      </c>
      <c r="BE339" s="4" t="s">
        <v>7606</v>
      </c>
      <c r="BF339" s="8" t="s">
        <v>7607</v>
      </c>
      <c r="BG339" s="8" t="s">
        <v>7608</v>
      </c>
      <c r="BH339" s="4" t="s">
        <v>7609</v>
      </c>
      <c r="BI339" s="8" t="n">
        <v>16</v>
      </c>
      <c r="BJ339" s="8" t="s">
        <v>7602</v>
      </c>
      <c r="BK339" s="4" t="s">
        <v>7653</v>
      </c>
      <c r="BL339" s="8" t="s">
        <v>7602</v>
      </c>
      <c r="BM339" s="4" t="s">
        <v>7620</v>
      </c>
      <c r="BN339" s="8" t="s">
        <v>7602</v>
      </c>
      <c r="BO339" s="8" t="s">
        <v>7613</v>
      </c>
      <c r="BP339" s="8" t="s">
        <v>7610</v>
      </c>
      <c r="BQ339" s="8" t="str">
        <f aca="false">IF(A339="","",AT339)</f>
        <v>3歳</v>
      </c>
      <c r="BR339" s="8" t="str">
        <f aca="false">IF(A339="","",IF(BA339&lt;=1200,"～1200",IF(BA339&lt;=1500,"1300～1500",IF(BA339=1600,"1600",IF(BA339&lt;=1800,"1700～1800",IF(BA339&lt;=2000,"1900～2000","2100以上"))))))</f>
        <v>1700～1800</v>
      </c>
      <c r="BS339" s="8" t="str">
        <f aca="false">IF(A339="","",IF(AX339="G1","G1",IF(AX339="G2","G2",IF(AX339="G3","G3",IF(AX339="L","L","その他")))))</f>
        <v>その他</v>
      </c>
      <c r="BT339" s="8" t="str">
        <f aca="false">IF(A339="","",IF(BI339="","未結合",IF(D339=BI339,"一致","不一致")))</f>
        <v>一致</v>
      </c>
      <c r="BU339" s="8" t="str">
        <f aca="false">IF(A339="","",IF(BE339="牝馬限定","牝馬限定","その他"))</f>
        <v>その他</v>
      </c>
    </row>
    <row r="340" customFormat="false" ht="15.75" hidden="false" customHeight="false" outlineLevel="0" collapsed="false">
      <c r="A340" s="6" t="n">
        <v>46201</v>
      </c>
      <c r="B340" s="4" t="s">
        <v>1091</v>
      </c>
      <c r="C340" s="8" t="n">
        <v>3</v>
      </c>
      <c r="D340" s="8" t="n">
        <v>18</v>
      </c>
      <c r="E340" s="8" t="n">
        <v>4</v>
      </c>
      <c r="F340" s="4" t="s">
        <v>776</v>
      </c>
      <c r="G340" s="8" t="n">
        <v>74</v>
      </c>
      <c r="H340" s="8" t="n">
        <v>15</v>
      </c>
      <c r="I340" s="4" t="s">
        <v>2088</v>
      </c>
      <c r="J340" s="8" t="n">
        <v>37</v>
      </c>
      <c r="K340" s="8" t="n">
        <v>13</v>
      </c>
      <c r="L340" s="4" t="s">
        <v>820</v>
      </c>
      <c r="M340" s="8" t="n">
        <v>31</v>
      </c>
      <c r="N340" s="8" t="n">
        <v>37</v>
      </c>
      <c r="O340" s="8" t="n">
        <v>6</v>
      </c>
      <c r="P340" s="8" t="n">
        <v>111</v>
      </c>
      <c r="Q340" s="8" t="str">
        <f aca="false">IF(A340="","",IF(AND(Y340&lt;&gt;"参考",G340&gt;=ルール設定!$B$2),"○",""))</f>
        <v/>
      </c>
      <c r="R340" s="8" t="str">
        <f aca="false">IF(A340="","",IF(AND(Y340&lt;&gt;"参考",G340&gt;=ルール設定!$B$3,N340&gt;=ルール設定!$B$4),"○",""))</f>
        <v>○</v>
      </c>
      <c r="S340" s="8" t="str">
        <f aca="false">IF(A340="","",IF(AND(Y340&lt;&gt;"参考",G340&gt;=ルール設定!$B$5,J340&gt;=ルール設定!$B$6,O340&gt;=ルール設定!$B$7),"○",""))</f>
        <v/>
      </c>
      <c r="T340" s="8" t="n">
        <v>2</v>
      </c>
      <c r="U340" s="8" t="n">
        <v>4</v>
      </c>
      <c r="V340" s="8" t="str">
        <f aca="false">IF(A340="","",IF(AND(ISNUMBER(T340),ISNUMBER(U340)),IF(AND(T340&lt;=3,U340&lt;=3),"○","×"),""))</f>
        <v>×</v>
      </c>
      <c r="W340" s="8" t="n">
        <v>120</v>
      </c>
      <c r="X340" s="8"/>
      <c r="Y340" s="4" t="s">
        <v>7597</v>
      </c>
      <c r="Z340" s="4" t="s">
        <v>7726</v>
      </c>
      <c r="AA340" s="8" t="str">
        <v/>
      </c>
      <c r="AB340" s="8" t="str">
        <v/>
      </c>
      <c r="AC340" s="8" t="str">
        <v/>
      </c>
      <c r="AD340" s="8" t="str">
        <v/>
      </c>
      <c r="AE340" s="8" t="str">
        <v>○</v>
      </c>
      <c r="AF340" s="8" t="str">
        <v/>
      </c>
      <c r="AG340" s="8" t="str">
        <v/>
      </c>
      <c r="AH340" s="8" t="str">
        <v/>
      </c>
      <c r="AI340" s="8" t="n">
        <v>43</v>
      </c>
      <c r="AJ340" s="8" t="str">
        <v>70～74</v>
      </c>
      <c r="AK340" s="8" t="str">
        <v>30以上</v>
      </c>
      <c r="AL340" s="8" t="str">
        <v>40以上</v>
      </c>
      <c r="AM340" s="8" t="str">
        <v>100～119</v>
      </c>
      <c r="AN340" s="8" t="str">
        <v>15以上</v>
      </c>
      <c r="AO340" s="8" t="str">
        <f aca="false">IF(A340="","",IF(COUNTIFS(全馬データ!$A$2:$A$50000,A340,全馬データ!$B$2:$B$50000,B340,全馬データ!$C$2:$C$50000,C340,全馬データ!$D$2:$D$50000,E340,全馬データ!$K$2:$K$50000,"&lt;&gt;")=0,"",SUMIFS(全馬データ!$K$2:$K$50000,全馬データ!$A$2:$A$50000,A340,全馬データ!$B$2:$B$50000,B340,全馬データ!$C$2:$C$50000,C340,全馬データ!$D$2:$D$50000,E340)))</f>
        <v/>
      </c>
      <c r="AP340" s="8" t="str">
        <f aca="false">IF(A340="","",IF(AO340="","欠損",IF(AO340&lt;=1.1,"1.0～1.1",IF(AO340&lt;1.3,"1.2",IF(AO340&lt;1.5,"1.3～1.4",IF(AO340&lt;2,"1.5～1.9","2.0以上"))))))</f>
        <v>欠損</v>
      </c>
      <c r="AQ340" s="8" t="str">
        <f aca="false">IF(A340="","",IF(ISNUMBER(SEARCH("2歳",Z340)),"2歳戦",IF(ISNUMBER(SEARCH("3歳未勝利",Z340)),"3歳未勝利",IF(ISNUMBER(SEARCH("未勝利",Z340)),"その他未勝利",IF(ISNUMBER(SEARCH("G1",Z340)),"G1",IF(ISNUMBER(SEARCH("G2",Z340)),"G2",IF(ISNUMBER(SEARCH("G3",Z340)),"G3",IF(ISNUMBER(SEARCH("古馬条件",Z340)),"古馬条件戦",IF(ISNUMBER(SEARCH("重賞",Z340)),"重賞","分類不能")))))))))</f>
        <v>分類不能</v>
      </c>
      <c r="AR340" s="8"/>
      <c r="AS340" s="8" t="s">
        <v>7623</v>
      </c>
      <c r="AT340" s="8" t="s">
        <v>7624</v>
      </c>
      <c r="AU340" s="8" t="s">
        <v>7600</v>
      </c>
      <c r="AV340" s="4" t="s">
        <v>7601</v>
      </c>
      <c r="AW340" s="8"/>
      <c r="AX340" s="8"/>
      <c r="AY340" s="8" t="s">
        <v>7602</v>
      </c>
      <c r="AZ340" s="4" t="s">
        <v>7603</v>
      </c>
      <c r="BA340" s="8" t="n">
        <v>1200</v>
      </c>
      <c r="BB340" s="8" t="s">
        <v>7598</v>
      </c>
      <c r="BC340" s="4" t="s">
        <v>7604</v>
      </c>
      <c r="BD340" s="8" t="s">
        <v>7605</v>
      </c>
      <c r="BE340" s="4" t="s">
        <v>7606</v>
      </c>
      <c r="BF340" s="8" t="s">
        <v>7607</v>
      </c>
      <c r="BG340" s="8" t="s">
        <v>7608</v>
      </c>
      <c r="BH340" s="4" t="s">
        <v>7609</v>
      </c>
      <c r="BI340" s="8" t="n">
        <v>18</v>
      </c>
      <c r="BJ340" s="8" t="s">
        <v>7602</v>
      </c>
      <c r="BK340" s="4" t="s">
        <v>7653</v>
      </c>
      <c r="BL340" s="8" t="s">
        <v>7602</v>
      </c>
      <c r="BM340" s="4" t="s">
        <v>7620</v>
      </c>
      <c r="BN340" s="8" t="s">
        <v>7602</v>
      </c>
      <c r="BO340" s="8" t="s">
        <v>7613</v>
      </c>
      <c r="BP340" s="8" t="s">
        <v>7610</v>
      </c>
      <c r="BQ340" s="8" t="str">
        <f aca="false">IF(A340="","",AT340)</f>
        <v>3歳</v>
      </c>
      <c r="BR340" s="8" t="str">
        <f aca="false">IF(A340="","",IF(BA340&lt;=1200,"～1200",IF(BA340&lt;=1500,"1300～1500",IF(BA340=1600,"1600",IF(BA340&lt;=1800,"1700～1800",IF(BA340&lt;=2000,"1900～2000","2100以上"))))))</f>
        <v>～1200</v>
      </c>
      <c r="BS340" s="8" t="str">
        <f aca="false">IF(A340="","",IF(AX340="G1","G1",IF(AX340="G2","G2",IF(AX340="G3","G3",IF(AX340="L","L","その他")))))</f>
        <v>その他</v>
      </c>
      <c r="BT340" s="8" t="str">
        <f aca="false">IF(A340="","",IF(BI340="","未結合",IF(D340=BI340,"一致","不一致")))</f>
        <v>一致</v>
      </c>
      <c r="BU340" s="8" t="str">
        <f aca="false">IF(A340="","",IF(BE340="牝馬限定","牝馬限定","その他"))</f>
        <v>その他</v>
      </c>
    </row>
    <row r="341" customFormat="false" ht="15.75" hidden="false" customHeight="false" outlineLevel="0" collapsed="false">
      <c r="A341" s="6" t="n">
        <v>46201</v>
      </c>
      <c r="B341" s="4" t="s">
        <v>1091</v>
      </c>
      <c r="C341" s="8" t="n">
        <v>4</v>
      </c>
      <c r="D341" s="8" t="n">
        <v>16</v>
      </c>
      <c r="E341" s="8" t="n">
        <v>6</v>
      </c>
      <c r="F341" s="4" t="s">
        <v>3451</v>
      </c>
      <c r="G341" s="8" t="n">
        <v>75</v>
      </c>
      <c r="H341" s="8" t="n">
        <v>10</v>
      </c>
      <c r="I341" s="4" t="s">
        <v>3454</v>
      </c>
      <c r="J341" s="8" t="n">
        <v>50</v>
      </c>
      <c r="K341" s="8" t="n">
        <v>2</v>
      </c>
      <c r="L341" s="4" t="s">
        <v>328</v>
      </c>
      <c r="M341" s="8" t="n">
        <v>29</v>
      </c>
      <c r="N341" s="8" t="n">
        <v>25</v>
      </c>
      <c r="O341" s="8" t="n">
        <v>21</v>
      </c>
      <c r="P341" s="8" t="n">
        <v>125</v>
      </c>
      <c r="Q341" s="8" t="str">
        <f aca="false">IF(A341="","",IF(AND(Y341&lt;&gt;"参考",G341&gt;=ルール設定!$B$2),"○",""))</f>
        <v/>
      </c>
      <c r="R341" s="8" t="str">
        <f aca="false">IF(A341="","",IF(AND(Y341&lt;&gt;"参考",G341&gt;=ルール設定!$B$3,N341&gt;=ルール設定!$B$4),"○",""))</f>
        <v/>
      </c>
      <c r="S341" s="8" t="str">
        <f aca="false">IF(A341="","",IF(AND(Y341&lt;&gt;"参考",G341&gt;=ルール設定!$B$5,J341&gt;=ルール設定!$B$6,O341&gt;=ルール設定!$B$7),"○",""))</f>
        <v>○</v>
      </c>
      <c r="T341" s="8" t="n">
        <v>3</v>
      </c>
      <c r="U341" s="8" t="n">
        <v>1</v>
      </c>
      <c r="V341" s="8" t="str">
        <f aca="false">IF(A341="","",IF(AND(ISNUMBER(T341),ISNUMBER(U341)),IF(AND(T341&lt;=3,U341&lt;=3),"○","×"),""))</f>
        <v>○</v>
      </c>
      <c r="W341" s="8" t="n">
        <v>110</v>
      </c>
      <c r="X341" s="8" t="n">
        <v>200</v>
      </c>
      <c r="Y341" s="4" t="s">
        <v>7597</v>
      </c>
      <c r="Z341" s="4" t="s">
        <v>7726</v>
      </c>
      <c r="AA341" s="8" t="str">
        <v/>
      </c>
      <c r="AB341" s="8" t="str">
        <v/>
      </c>
      <c r="AC341" s="8" t="str">
        <v/>
      </c>
      <c r="AD341" s="8" t="str">
        <v/>
      </c>
      <c r="AE341" s="8" t="str">
        <v/>
      </c>
      <c r="AF341" s="8" t="str">
        <v/>
      </c>
      <c r="AG341" s="8" t="str">
        <v/>
      </c>
      <c r="AH341" s="8" t="str">
        <v/>
      </c>
      <c r="AI341" s="8" t="n">
        <v>46</v>
      </c>
      <c r="AJ341" s="8" t="str">
        <v>75～79</v>
      </c>
      <c r="AK341" s="8" t="str">
        <v>20～29</v>
      </c>
      <c r="AL341" s="8" t="str">
        <v>40以上</v>
      </c>
      <c r="AM341" s="8" t="str">
        <v>120～139</v>
      </c>
      <c r="AN341" s="8" t="str">
        <v>15以上</v>
      </c>
      <c r="AO341" s="8" t="str">
        <f aca="false">IF(A341="","",IF(COUNTIFS(全馬データ!$A$2:$A$50000,A341,全馬データ!$B$2:$B$50000,B341,全馬データ!$C$2:$C$50000,C341,全馬データ!$D$2:$D$50000,E341,全馬データ!$K$2:$K$50000,"&lt;&gt;")=0,"",SUMIFS(全馬データ!$K$2:$K$50000,全馬データ!$A$2:$A$50000,A341,全馬データ!$B$2:$B$50000,B341,全馬データ!$C$2:$C$50000,C341,全馬データ!$D$2:$D$50000,E341)))</f>
        <v/>
      </c>
      <c r="AP341" s="8" t="str">
        <f aca="false">IF(A341="","",IF(AO341="","欠損",IF(AO341&lt;=1.1,"1.0～1.1",IF(AO341&lt;1.3,"1.2",IF(AO341&lt;1.5,"1.3～1.4",IF(AO341&lt;2,"1.5～1.9","2.0以上"))))))</f>
        <v>欠損</v>
      </c>
      <c r="AQ341" s="8" t="str">
        <f aca="false">IF(A341="","",IF(ISNUMBER(SEARCH("2歳",Z341)),"2歳戦",IF(ISNUMBER(SEARCH("3歳未勝利",Z341)),"3歳未勝利",IF(ISNUMBER(SEARCH("未勝利",Z341)),"その他未勝利",IF(ISNUMBER(SEARCH("G1",Z341)),"G1",IF(ISNUMBER(SEARCH("G2",Z341)),"G2",IF(ISNUMBER(SEARCH("G3",Z341)),"G3",IF(ISNUMBER(SEARCH("古馬条件",Z341)),"古馬条件戦",IF(ISNUMBER(SEARCH("重賞",Z341)),"重賞","分類不能")))))))))</f>
        <v>分類不能</v>
      </c>
      <c r="AR341" s="8"/>
      <c r="AS341" s="8" t="s">
        <v>7623</v>
      </c>
      <c r="AT341" s="8" t="s">
        <v>7624</v>
      </c>
      <c r="AU341" s="8" t="s">
        <v>7600</v>
      </c>
      <c r="AV341" s="4" t="s">
        <v>7601</v>
      </c>
      <c r="AW341" s="8"/>
      <c r="AX341" s="8"/>
      <c r="AY341" s="8" t="s">
        <v>7610</v>
      </c>
      <c r="AZ341" s="4" t="s">
        <v>7617</v>
      </c>
      <c r="BA341" s="8" t="n">
        <v>1700</v>
      </c>
      <c r="BB341" s="8" t="s">
        <v>7659</v>
      </c>
      <c r="BC341" s="4" t="s">
        <v>7619</v>
      </c>
      <c r="BD341" s="8" t="s">
        <v>7625</v>
      </c>
      <c r="BE341" s="4" t="s">
        <v>7606</v>
      </c>
      <c r="BF341" s="8" t="s">
        <v>7607</v>
      </c>
      <c r="BG341" s="8" t="s">
        <v>7608</v>
      </c>
      <c r="BH341" s="4" t="s">
        <v>7609</v>
      </c>
      <c r="BI341" s="8" t="n">
        <v>16</v>
      </c>
      <c r="BJ341" s="8" t="s">
        <v>7602</v>
      </c>
      <c r="BK341" s="4" t="s">
        <v>7653</v>
      </c>
      <c r="BL341" s="8" t="s">
        <v>7602</v>
      </c>
      <c r="BM341" s="4" t="s">
        <v>7620</v>
      </c>
      <c r="BN341" s="8"/>
      <c r="BO341" s="8"/>
      <c r="BP341" s="8" t="s">
        <v>7610</v>
      </c>
      <c r="BQ341" s="8" t="str">
        <f aca="false">IF(A341="","",AT341)</f>
        <v>3歳</v>
      </c>
      <c r="BR341" s="8" t="str">
        <f aca="false">IF(A341="","",IF(BA341&lt;=1200,"～1200",IF(BA341&lt;=1500,"1300～1500",IF(BA341=1600,"1600",IF(BA341&lt;=1800,"1700～1800",IF(BA341&lt;=2000,"1900～2000","2100以上"))))))</f>
        <v>1700～1800</v>
      </c>
      <c r="BS341" s="8" t="str">
        <f aca="false">IF(A341="","",IF(AX341="G1","G1",IF(AX341="G2","G2",IF(AX341="G3","G3",IF(AX341="L","L","その他")))))</f>
        <v>その他</v>
      </c>
      <c r="BT341" s="8" t="str">
        <f aca="false">IF(A341="","",IF(BI341="","未結合",IF(D341=BI341,"一致","不一致")))</f>
        <v>一致</v>
      </c>
      <c r="BU341" s="8" t="str">
        <f aca="false">IF(A341="","",IF(BE341="牝馬限定","牝馬限定","その他"))</f>
        <v>その他</v>
      </c>
    </row>
    <row r="342" customFormat="false" ht="15.75" hidden="false" customHeight="false" outlineLevel="0" collapsed="false">
      <c r="A342" s="6" t="n">
        <v>46201</v>
      </c>
      <c r="B342" s="4" t="s">
        <v>1091</v>
      </c>
      <c r="C342" s="8" t="n">
        <v>5</v>
      </c>
      <c r="D342" s="8" t="n">
        <v>10</v>
      </c>
      <c r="E342" s="8" t="n">
        <v>1</v>
      </c>
      <c r="F342" s="4" t="s">
        <v>3457</v>
      </c>
      <c r="G342" s="8" t="n">
        <v>31</v>
      </c>
      <c r="H342" s="8" t="n">
        <v>10</v>
      </c>
      <c r="I342" s="4" t="s">
        <v>3462</v>
      </c>
      <c r="J342" s="8" t="n">
        <v>31</v>
      </c>
      <c r="K342" s="8" t="n">
        <v>4</v>
      </c>
      <c r="L342" s="4" t="s">
        <v>183</v>
      </c>
      <c r="M342" s="8" t="n">
        <v>24</v>
      </c>
      <c r="N342" s="8" t="n">
        <v>0</v>
      </c>
      <c r="O342" s="8" t="n">
        <v>7</v>
      </c>
      <c r="P342" s="8" t="n">
        <v>62</v>
      </c>
      <c r="Q342" s="8" t="str">
        <f aca="false">IF(A342="","",IF(AND(Y342&lt;&gt;"参考",G342&gt;=ルール設定!$B$2),"○",""))</f>
        <v/>
      </c>
      <c r="R342" s="8" t="str">
        <f aca="false">IF(A342="","",IF(AND(Y342&lt;&gt;"参考",G342&gt;=ルール設定!$B$3,N342&gt;=ルール設定!$B$4),"○",""))</f>
        <v/>
      </c>
      <c r="S342" s="8" t="str">
        <f aca="false">IF(A342="","",IF(AND(Y342&lt;&gt;"参考",G342&gt;=ルール設定!$B$5,J342&gt;=ルール設定!$B$6,O342&gt;=ルール設定!$B$7),"○",""))</f>
        <v/>
      </c>
      <c r="T342" s="8" t="n">
        <v>1</v>
      </c>
      <c r="U342" s="8" t="n">
        <v>4</v>
      </c>
      <c r="V342" s="8" t="str">
        <f aca="false">IF(A342="","",IF(AND(ISNUMBER(T342),ISNUMBER(U342)),IF(AND(T342&lt;=3,U342&lt;=3),"○","×"),""))</f>
        <v>×</v>
      </c>
      <c r="W342" s="8" t="n">
        <v>190</v>
      </c>
      <c r="X342" s="8"/>
      <c r="Y342" s="4" t="s">
        <v>7597</v>
      </c>
      <c r="Z342" s="4" t="s">
        <v>7726</v>
      </c>
      <c r="AA342" s="8" t="str">
        <v/>
      </c>
      <c r="AB342" s="8" t="str">
        <v/>
      </c>
      <c r="AC342" s="8" t="str">
        <v/>
      </c>
      <c r="AD342" s="8" t="str">
        <v/>
      </c>
      <c r="AE342" s="8" t="str">
        <v/>
      </c>
      <c r="AF342" s="8" t="str">
        <v/>
      </c>
      <c r="AG342" s="8" t="str">
        <v/>
      </c>
      <c r="AH342" s="8" t="str">
        <v/>
      </c>
      <c r="AI342" s="8" t="n">
        <v>7</v>
      </c>
      <c r="AJ342" s="8" t="str">
        <v>～59</v>
      </c>
      <c r="AK342" s="8" t="str">
        <v>0～4</v>
      </c>
      <c r="AL342" s="8" t="str">
        <v>0～9</v>
      </c>
      <c r="AM342" s="8" t="str">
        <v>～99</v>
      </c>
      <c r="AN342" s="8" t="str">
        <v>8～11</v>
      </c>
      <c r="AO342" s="8" t="str">
        <f aca="false">IF(A342="","",IF(COUNTIFS(全馬データ!$A$2:$A$50000,A342,全馬データ!$B$2:$B$50000,B342,全馬データ!$C$2:$C$50000,C342,全馬データ!$D$2:$D$50000,E342,全馬データ!$K$2:$K$50000,"&lt;&gt;")=0,"",SUMIFS(全馬データ!$K$2:$K$50000,全馬データ!$A$2:$A$50000,A342,全馬データ!$B$2:$B$50000,B342,全馬データ!$C$2:$C$50000,C342,全馬データ!$D$2:$D$50000,E342)))</f>
        <v/>
      </c>
      <c r="AP342" s="8" t="str">
        <f aca="false">IF(A342="","",IF(AO342="","欠損",IF(AO342&lt;=1.1,"1.0～1.1",IF(AO342&lt;1.3,"1.2",IF(AO342&lt;1.5,"1.3～1.4",IF(AO342&lt;2,"1.5～1.9","2.0以上"))))))</f>
        <v>欠損</v>
      </c>
      <c r="AQ342" s="8" t="str">
        <f aca="false">IF(A342="","",IF(ISNUMBER(SEARCH("2歳",Z342)),"2歳戦",IF(ISNUMBER(SEARCH("3歳未勝利",Z342)),"3歳未勝利",IF(ISNUMBER(SEARCH("未勝利",Z342)),"その他未勝利",IF(ISNUMBER(SEARCH("G1",Z342)),"G1",IF(ISNUMBER(SEARCH("G2",Z342)),"G2",IF(ISNUMBER(SEARCH("G3",Z342)),"G3",IF(ISNUMBER(SEARCH("古馬条件",Z342)),"古馬条件戦",IF(ISNUMBER(SEARCH("重賞",Z342)),"重賞","分類不能")))))))))</f>
        <v>分類不能</v>
      </c>
      <c r="AR342" s="8"/>
      <c r="AS342" s="8" t="s">
        <v>7598</v>
      </c>
      <c r="AT342" s="8" t="s">
        <v>7599</v>
      </c>
      <c r="AU342" s="8" t="s">
        <v>7615</v>
      </c>
      <c r="AV342" s="4" t="s">
        <v>7616</v>
      </c>
      <c r="AW342" s="8"/>
      <c r="AX342" s="8"/>
      <c r="AY342" s="8" t="s">
        <v>7602</v>
      </c>
      <c r="AZ342" s="4" t="s">
        <v>7603</v>
      </c>
      <c r="BA342" s="8" t="n">
        <v>1200</v>
      </c>
      <c r="BB342" s="8" t="s">
        <v>7598</v>
      </c>
      <c r="BC342" s="4" t="s">
        <v>7604</v>
      </c>
      <c r="BD342" s="8" t="s">
        <v>7605</v>
      </c>
      <c r="BE342" s="4" t="s">
        <v>7606</v>
      </c>
      <c r="BF342" s="8" t="s">
        <v>7607</v>
      </c>
      <c r="BG342" s="8" t="s">
        <v>7608</v>
      </c>
      <c r="BH342" s="4" t="s">
        <v>7609</v>
      </c>
      <c r="BI342" s="8" t="n">
        <v>10</v>
      </c>
      <c r="BJ342" s="8" t="s">
        <v>7602</v>
      </c>
      <c r="BK342" s="4" t="s">
        <v>7653</v>
      </c>
      <c r="BL342" s="8" t="s">
        <v>7602</v>
      </c>
      <c r="BM342" s="4" t="s">
        <v>7620</v>
      </c>
      <c r="BN342" s="8" t="s">
        <v>7602</v>
      </c>
      <c r="BO342" s="8" t="s">
        <v>7613</v>
      </c>
      <c r="BP342" s="8" t="s">
        <v>7610</v>
      </c>
      <c r="BQ342" s="8" t="str">
        <f aca="false">IF(A342="","",AT342)</f>
        <v>2歳</v>
      </c>
      <c r="BR342" s="8" t="str">
        <f aca="false">IF(A342="","",IF(BA342&lt;=1200,"～1200",IF(BA342&lt;=1500,"1300～1500",IF(BA342=1600,"1600",IF(BA342&lt;=1800,"1700～1800",IF(BA342&lt;=2000,"1900～2000","2100以上"))))))</f>
        <v>～1200</v>
      </c>
      <c r="BS342" s="8" t="str">
        <f aca="false">IF(A342="","",IF(AX342="G1","G1",IF(AX342="G2","G2",IF(AX342="G3","G3",IF(AX342="L","L","その他")))))</f>
        <v>その他</v>
      </c>
      <c r="BT342" s="8" t="str">
        <f aca="false">IF(A342="","",IF(BI342="","未結合",IF(D342=BI342,"一致","不一致")))</f>
        <v>一致</v>
      </c>
      <c r="BU342" s="8" t="str">
        <f aca="false">IF(A342="","",IF(BE342="牝馬限定","牝馬限定","その他"))</f>
        <v>その他</v>
      </c>
    </row>
    <row r="343" customFormat="false" ht="15.75" hidden="false" customHeight="false" outlineLevel="0" collapsed="false">
      <c r="A343" s="6" t="n">
        <v>46201</v>
      </c>
      <c r="B343" s="4" t="s">
        <v>1091</v>
      </c>
      <c r="C343" s="8" t="n">
        <v>6</v>
      </c>
      <c r="D343" s="8" t="n">
        <v>11</v>
      </c>
      <c r="E343" s="8" t="n">
        <v>4</v>
      </c>
      <c r="F343" s="4" t="s">
        <v>1189</v>
      </c>
      <c r="G343" s="8" t="n">
        <v>37</v>
      </c>
      <c r="H343" s="8" t="n">
        <v>9</v>
      </c>
      <c r="I343" s="4" t="s">
        <v>3464</v>
      </c>
      <c r="J343" s="8" t="n">
        <v>37</v>
      </c>
      <c r="K343" s="8" t="n">
        <v>6</v>
      </c>
      <c r="L343" s="4" t="s">
        <v>1185</v>
      </c>
      <c r="M343" s="8" t="n">
        <v>21</v>
      </c>
      <c r="N343" s="8" t="n">
        <v>0</v>
      </c>
      <c r="O343" s="8" t="n">
        <v>16</v>
      </c>
      <c r="P343" s="8" t="n">
        <v>74</v>
      </c>
      <c r="Q343" s="8" t="str">
        <f aca="false">IF(A343="","",IF(AND(Y343&lt;&gt;"参考",G343&gt;=ルール設定!$B$2),"○",""))</f>
        <v/>
      </c>
      <c r="R343" s="8" t="str">
        <f aca="false">IF(A343="","",IF(AND(Y343&lt;&gt;"参考",G343&gt;=ルール設定!$B$3,N343&gt;=ルール設定!$B$4),"○",""))</f>
        <v/>
      </c>
      <c r="S343" s="8" t="str">
        <f aca="false">IF(A343="","",IF(AND(Y343&lt;&gt;"参考",G343&gt;=ルール設定!$B$5,J343&gt;=ルール設定!$B$6,O343&gt;=ルール設定!$B$7),"○",""))</f>
        <v/>
      </c>
      <c r="T343" s="8" t="n">
        <v>2</v>
      </c>
      <c r="U343" s="8" t="n">
        <v>4</v>
      </c>
      <c r="V343" s="8" t="str">
        <f aca="false">IF(A343="","",IF(AND(ISNUMBER(T343),ISNUMBER(U343)),IF(AND(T343&lt;=3,U343&lt;=3),"○","×"),""))</f>
        <v>×</v>
      </c>
      <c r="W343" s="8" t="n">
        <v>260</v>
      </c>
      <c r="X343" s="8"/>
      <c r="Y343" s="4" t="s">
        <v>7597</v>
      </c>
      <c r="Z343" s="4" t="s">
        <v>7726</v>
      </c>
      <c r="AA343" s="8" t="str">
        <v/>
      </c>
      <c r="AB343" s="8" t="str">
        <v/>
      </c>
      <c r="AC343" s="8" t="str">
        <v/>
      </c>
      <c r="AD343" s="8" t="str">
        <v/>
      </c>
      <c r="AE343" s="8" t="str">
        <v/>
      </c>
      <c r="AF343" s="8" t="str">
        <v/>
      </c>
      <c r="AG343" s="8" t="str">
        <v/>
      </c>
      <c r="AH343" s="8" t="str">
        <v/>
      </c>
      <c r="AI343" s="8" t="n">
        <v>16</v>
      </c>
      <c r="AJ343" s="8" t="str">
        <v>～59</v>
      </c>
      <c r="AK343" s="8" t="str">
        <v>0～4</v>
      </c>
      <c r="AL343" s="8" t="str">
        <v>10～19</v>
      </c>
      <c r="AM343" s="8" t="str">
        <v>～99</v>
      </c>
      <c r="AN343" s="8" t="str">
        <v>8～11</v>
      </c>
      <c r="AO343" s="8" t="str">
        <f aca="false">IF(A343="","",IF(COUNTIFS(全馬データ!$A$2:$A$50000,A343,全馬データ!$B$2:$B$50000,B343,全馬データ!$C$2:$C$50000,C343,全馬データ!$D$2:$D$50000,E343,全馬データ!$K$2:$K$50000,"&lt;&gt;")=0,"",SUMIFS(全馬データ!$K$2:$K$50000,全馬データ!$A$2:$A$50000,A343,全馬データ!$B$2:$B$50000,B343,全馬データ!$C$2:$C$50000,C343,全馬データ!$D$2:$D$50000,E343)))</f>
        <v/>
      </c>
      <c r="AP343" s="8" t="str">
        <f aca="false">IF(A343="","",IF(AO343="","欠損",IF(AO343&lt;=1.1,"1.0～1.1",IF(AO343&lt;1.3,"1.2",IF(AO343&lt;1.5,"1.3～1.4",IF(AO343&lt;2,"1.5～1.9","2.0以上"))))))</f>
        <v>欠損</v>
      </c>
      <c r="AQ343" s="8" t="str">
        <f aca="false">IF(A343="","",IF(ISNUMBER(SEARCH("2歳",Z343)),"2歳戦",IF(ISNUMBER(SEARCH("3歳未勝利",Z343)),"3歳未勝利",IF(ISNUMBER(SEARCH("未勝利",Z343)),"その他未勝利",IF(ISNUMBER(SEARCH("G1",Z343)),"G1",IF(ISNUMBER(SEARCH("G2",Z343)),"G2",IF(ISNUMBER(SEARCH("G3",Z343)),"G3",IF(ISNUMBER(SEARCH("古馬条件",Z343)),"古馬条件戦",IF(ISNUMBER(SEARCH("重賞",Z343)),"重賞","分類不能")))))))))</f>
        <v>分類不能</v>
      </c>
      <c r="AR343" s="8"/>
      <c r="AS343" s="8" t="s">
        <v>7598</v>
      </c>
      <c r="AT343" s="8" t="s">
        <v>7599</v>
      </c>
      <c r="AU343" s="8" t="s">
        <v>7615</v>
      </c>
      <c r="AV343" s="4" t="s">
        <v>7616</v>
      </c>
      <c r="AW343" s="8"/>
      <c r="AX343" s="8"/>
      <c r="AY343" s="8" t="s">
        <v>7602</v>
      </c>
      <c r="AZ343" s="4" t="s">
        <v>7603</v>
      </c>
      <c r="BA343" s="8" t="n">
        <v>1200</v>
      </c>
      <c r="BB343" s="8" t="s">
        <v>7598</v>
      </c>
      <c r="BC343" s="4" t="s">
        <v>7604</v>
      </c>
      <c r="BD343" s="8" t="s">
        <v>7739</v>
      </c>
      <c r="BE343" s="4" t="s">
        <v>7606</v>
      </c>
      <c r="BF343" s="8" t="s">
        <v>7607</v>
      </c>
      <c r="BG343" s="8" t="s">
        <v>7608</v>
      </c>
      <c r="BH343" s="4" t="s">
        <v>7609</v>
      </c>
      <c r="BI343" s="8" t="n">
        <v>11</v>
      </c>
      <c r="BJ343" s="8" t="s">
        <v>7602</v>
      </c>
      <c r="BK343" s="4" t="s">
        <v>7653</v>
      </c>
      <c r="BL343" s="8" t="s">
        <v>7602</v>
      </c>
      <c r="BM343" s="4" t="s">
        <v>7620</v>
      </c>
      <c r="BN343" s="8" t="s">
        <v>7602</v>
      </c>
      <c r="BO343" s="8" t="s">
        <v>7613</v>
      </c>
      <c r="BP343" s="8" t="s">
        <v>7610</v>
      </c>
      <c r="BQ343" s="8" t="str">
        <f aca="false">IF(A343="","",AT343)</f>
        <v>2歳</v>
      </c>
      <c r="BR343" s="8" t="str">
        <f aca="false">IF(A343="","",IF(BA343&lt;=1200,"～1200",IF(BA343&lt;=1500,"1300～1500",IF(BA343=1600,"1600",IF(BA343&lt;=1800,"1700～1800",IF(BA343&lt;=2000,"1900～2000","2100以上"))))))</f>
        <v>～1200</v>
      </c>
      <c r="BS343" s="8" t="str">
        <f aca="false">IF(A343="","",IF(AX343="G1","G1",IF(AX343="G2","G2",IF(AX343="G3","G3",IF(AX343="L","L","その他")))))</f>
        <v>その他</v>
      </c>
      <c r="BT343" s="8" t="str">
        <f aca="false">IF(A343="","",IF(BI343="","未結合",IF(D343=BI343,"一致","不一致")))</f>
        <v>一致</v>
      </c>
      <c r="BU343" s="8" t="str">
        <f aca="false">IF(A343="","",IF(BE343="牝馬限定","牝馬限定","その他"))</f>
        <v>その他</v>
      </c>
    </row>
    <row r="344" customFormat="false" ht="15.75" hidden="false" customHeight="false" outlineLevel="0" collapsed="false">
      <c r="A344" s="6" t="n">
        <v>46201</v>
      </c>
      <c r="B344" s="4" t="s">
        <v>1091</v>
      </c>
      <c r="C344" s="8" t="n">
        <v>7</v>
      </c>
      <c r="D344" s="8" t="n">
        <v>10</v>
      </c>
      <c r="E344" s="8" t="n">
        <v>9</v>
      </c>
      <c r="F344" s="4" t="s">
        <v>1646</v>
      </c>
      <c r="G344" s="8" t="n">
        <v>62</v>
      </c>
      <c r="H344" s="8" t="n">
        <v>2</v>
      </c>
      <c r="I344" s="4" t="s">
        <v>2904</v>
      </c>
      <c r="J344" s="8" t="n">
        <v>58</v>
      </c>
      <c r="K344" s="8" t="n">
        <v>4</v>
      </c>
      <c r="L344" s="4" t="s">
        <v>1653</v>
      </c>
      <c r="M344" s="8" t="n">
        <v>37</v>
      </c>
      <c r="N344" s="8" t="n">
        <v>4</v>
      </c>
      <c r="O344" s="8" t="n">
        <v>21</v>
      </c>
      <c r="P344" s="8" t="n">
        <v>120</v>
      </c>
      <c r="Q344" s="8" t="str">
        <f aca="false">IF(A344="","",IF(AND(Y344&lt;&gt;"参考",G344&gt;=ルール設定!$B$2),"○",""))</f>
        <v/>
      </c>
      <c r="R344" s="8" t="str">
        <f aca="false">IF(A344="","",IF(AND(Y344&lt;&gt;"参考",G344&gt;=ルール設定!$B$3,N344&gt;=ルール設定!$B$4),"○",""))</f>
        <v/>
      </c>
      <c r="S344" s="8" t="str">
        <f aca="false">IF(A344="","",IF(AND(Y344&lt;&gt;"参考",G344&gt;=ルール設定!$B$5,J344&gt;=ルール設定!$B$6,O344&gt;=ルール設定!$B$7),"○",""))</f>
        <v>○</v>
      </c>
      <c r="T344" s="8" t="n">
        <v>4</v>
      </c>
      <c r="U344" s="8" t="n">
        <v>1</v>
      </c>
      <c r="V344" s="8" t="str">
        <f aca="false">IF(A344="","",IF(AND(ISNUMBER(T344),ISNUMBER(U344)),IF(AND(T344&lt;=3,U344&lt;=3),"○","×"),""))</f>
        <v>×</v>
      </c>
      <c r="W344" s="8"/>
      <c r="X344" s="8"/>
      <c r="Y344" s="4" t="s">
        <v>7597</v>
      </c>
      <c r="Z344" s="4" t="s">
        <v>7726</v>
      </c>
      <c r="AA344" s="8" t="str">
        <v/>
      </c>
      <c r="AB344" s="8" t="str">
        <v/>
      </c>
      <c r="AC344" s="8" t="str">
        <v/>
      </c>
      <c r="AD344" s="8" t="str">
        <v/>
      </c>
      <c r="AE344" s="8" t="str">
        <v/>
      </c>
      <c r="AF344" s="8" t="str">
        <v/>
      </c>
      <c r="AG344" s="8" t="str">
        <v/>
      </c>
      <c r="AH344" s="8" t="str">
        <v/>
      </c>
      <c r="AI344" s="8" t="n">
        <v>25</v>
      </c>
      <c r="AJ344" s="8" t="str">
        <v>60～69</v>
      </c>
      <c r="AK344" s="8" t="str">
        <v>0～4</v>
      </c>
      <c r="AL344" s="8" t="str">
        <v>20～29</v>
      </c>
      <c r="AM344" s="8" t="str">
        <v>120～139</v>
      </c>
      <c r="AN344" s="8" t="str">
        <v>8～11</v>
      </c>
      <c r="AO344" s="8" t="str">
        <f aca="false">IF(A344="","",IF(COUNTIFS(全馬データ!$A$2:$A$50000,A344,全馬データ!$B$2:$B$50000,B344,全馬データ!$C$2:$C$50000,C344,全馬データ!$D$2:$D$50000,E344,全馬データ!$K$2:$K$50000,"&lt;&gt;")=0,"",SUMIFS(全馬データ!$K$2:$K$50000,全馬データ!$A$2:$A$50000,A344,全馬データ!$B$2:$B$50000,B344,全馬データ!$C$2:$C$50000,C344,全馬データ!$D$2:$D$50000,E344)))</f>
        <v/>
      </c>
      <c r="AP344" s="8" t="str">
        <f aca="false">IF(A344="","",IF(AO344="","欠損",IF(AO344&lt;=1.1,"1.0～1.1",IF(AO344&lt;1.3,"1.2",IF(AO344&lt;1.5,"1.3～1.4",IF(AO344&lt;2,"1.5～1.9","2.0以上"))))))</f>
        <v>欠損</v>
      </c>
      <c r="AQ344" s="8" t="str">
        <f aca="false">IF(A344="","",IF(ISNUMBER(SEARCH("2歳",Z344)),"2歳戦",IF(ISNUMBER(SEARCH("3歳未勝利",Z344)),"3歳未勝利",IF(ISNUMBER(SEARCH("未勝利",Z344)),"その他未勝利",IF(ISNUMBER(SEARCH("G1",Z344)),"G1",IF(ISNUMBER(SEARCH("G2",Z344)),"G2",IF(ISNUMBER(SEARCH("G3",Z344)),"G3",IF(ISNUMBER(SEARCH("古馬条件",Z344)),"古馬条件戦",IF(ISNUMBER(SEARCH("重賞",Z344)),"重賞","分類不能")))))))))</f>
        <v>分類不能</v>
      </c>
      <c r="AR344" s="8"/>
      <c r="AS344" s="8" t="s">
        <v>7626</v>
      </c>
      <c r="AT344" s="8" t="s">
        <v>7627</v>
      </c>
      <c r="AU344" s="8" t="s">
        <v>7628</v>
      </c>
      <c r="AV344" s="8" t="s">
        <v>7629</v>
      </c>
      <c r="AW344" s="8"/>
      <c r="AX344" s="8"/>
      <c r="AY344" s="8" t="s">
        <v>7610</v>
      </c>
      <c r="AZ344" s="4" t="s">
        <v>7617</v>
      </c>
      <c r="BA344" s="8" t="n">
        <v>1000</v>
      </c>
      <c r="BB344" s="8" t="s">
        <v>7618</v>
      </c>
      <c r="BC344" s="4" t="s">
        <v>7619</v>
      </c>
      <c r="BD344" s="8" t="s">
        <v>7625</v>
      </c>
      <c r="BE344" s="4" t="s">
        <v>7606</v>
      </c>
      <c r="BF344" s="8" t="s">
        <v>7607</v>
      </c>
      <c r="BG344" s="8" t="s">
        <v>7631</v>
      </c>
      <c r="BH344" s="4" t="s">
        <v>7632</v>
      </c>
      <c r="BI344" s="8" t="n">
        <v>10</v>
      </c>
      <c r="BJ344" s="8" t="s">
        <v>7602</v>
      </c>
      <c r="BK344" s="4" t="s">
        <v>7653</v>
      </c>
      <c r="BL344" s="8" t="s">
        <v>7602</v>
      </c>
      <c r="BM344" s="4" t="s">
        <v>7620</v>
      </c>
      <c r="BN344" s="8"/>
      <c r="BO344" s="8"/>
      <c r="BP344" s="8" t="s">
        <v>7610</v>
      </c>
      <c r="BQ344" s="8" t="str">
        <f aca="false">IF(A344="","",AT344)</f>
        <v>3歳以上</v>
      </c>
      <c r="BR344" s="8" t="str">
        <f aca="false">IF(A344="","",IF(BA344&lt;=1200,"～1200",IF(BA344&lt;=1500,"1300～1500",IF(BA344=1600,"1600",IF(BA344&lt;=1800,"1700～1800",IF(BA344&lt;=2000,"1900～2000","2100以上"))))))</f>
        <v>～1200</v>
      </c>
      <c r="BS344" s="8" t="str">
        <f aca="false">IF(A344="","",IF(AX344="G1","G1",IF(AX344="G2","G2",IF(AX344="G3","G3",IF(AX344="L","L","その他")))))</f>
        <v>その他</v>
      </c>
      <c r="BT344" s="8" t="str">
        <f aca="false">IF(A344="","",IF(BI344="","未結合",IF(D344=BI344,"一致","不一致")))</f>
        <v>一致</v>
      </c>
      <c r="BU344" s="8" t="str">
        <f aca="false">IF(A344="","",IF(BE344="牝馬限定","牝馬限定","その他"))</f>
        <v>その他</v>
      </c>
    </row>
    <row r="345" customFormat="false" ht="15.75" hidden="false" customHeight="false" outlineLevel="0" collapsed="false">
      <c r="A345" s="6" t="n">
        <v>46201</v>
      </c>
      <c r="B345" s="4" t="s">
        <v>1091</v>
      </c>
      <c r="C345" s="8" t="n">
        <v>8</v>
      </c>
      <c r="D345" s="8" t="n">
        <v>9</v>
      </c>
      <c r="E345" s="8" t="n">
        <v>1</v>
      </c>
      <c r="F345" s="4" t="s">
        <v>3467</v>
      </c>
      <c r="G345" s="8" t="n">
        <v>65</v>
      </c>
      <c r="H345" s="8" t="n">
        <v>9</v>
      </c>
      <c r="I345" s="4" t="s">
        <v>3470</v>
      </c>
      <c r="J345" s="8" t="n">
        <v>52</v>
      </c>
      <c r="K345" s="8" t="n">
        <v>3</v>
      </c>
      <c r="L345" s="4" t="s">
        <v>2509</v>
      </c>
      <c r="M345" s="8" t="n">
        <v>34</v>
      </c>
      <c r="N345" s="8" t="n">
        <v>13</v>
      </c>
      <c r="O345" s="8" t="n">
        <v>18</v>
      </c>
      <c r="P345" s="8" t="n">
        <v>117</v>
      </c>
      <c r="Q345" s="8" t="str">
        <f aca="false">IF(A345="","",IF(AND(Y345&lt;&gt;"参考",G345&gt;=ルール設定!$B$2),"○",""))</f>
        <v/>
      </c>
      <c r="R345" s="8" t="str">
        <f aca="false">IF(A345="","",IF(AND(Y345&lt;&gt;"参考",G345&gt;=ルール設定!$B$3,N345&gt;=ルール設定!$B$4),"○",""))</f>
        <v/>
      </c>
      <c r="S345" s="8" t="str">
        <f aca="false">IF(A345="","",IF(AND(Y345&lt;&gt;"参考",G345&gt;=ルール設定!$B$5,J345&gt;=ルール設定!$B$6,O345&gt;=ルール設定!$B$7),"○",""))</f>
        <v/>
      </c>
      <c r="T345" s="8" t="n">
        <v>4</v>
      </c>
      <c r="U345" s="8" t="n">
        <v>1</v>
      </c>
      <c r="V345" s="8" t="str">
        <f aca="false">IF(A345="","",IF(AND(ISNUMBER(T345),ISNUMBER(U345)),IF(AND(T345&lt;=3,U345&lt;=3),"○","×"),""))</f>
        <v>×</v>
      </c>
      <c r="W345" s="8"/>
      <c r="X345" s="8"/>
      <c r="Y345" s="4" t="s">
        <v>7597</v>
      </c>
      <c r="Z345" s="4" t="s">
        <v>7726</v>
      </c>
      <c r="AA345" s="8" t="str">
        <v/>
      </c>
      <c r="AB345" s="8" t="str">
        <v/>
      </c>
      <c r="AC345" s="8" t="str">
        <v/>
      </c>
      <c r="AD345" s="8" t="str">
        <v/>
      </c>
      <c r="AE345" s="8" t="str">
        <v/>
      </c>
      <c r="AF345" s="8" t="str">
        <v/>
      </c>
      <c r="AG345" s="8" t="str">
        <v/>
      </c>
      <c r="AH345" s="8" t="str">
        <v/>
      </c>
      <c r="AI345" s="8" t="n">
        <v>31</v>
      </c>
      <c r="AJ345" s="8" t="str">
        <v>60～69</v>
      </c>
      <c r="AK345" s="8" t="str">
        <v>10～19</v>
      </c>
      <c r="AL345" s="8" t="str">
        <v>30～39</v>
      </c>
      <c r="AM345" s="8" t="str">
        <v>100～119</v>
      </c>
      <c r="AN345" s="8" t="str">
        <v>8～11</v>
      </c>
      <c r="AO345" s="8" t="str">
        <f aca="false">IF(A345="","",IF(COUNTIFS(全馬データ!$A$2:$A$50000,A345,全馬データ!$B$2:$B$50000,B345,全馬データ!$C$2:$C$50000,C345,全馬データ!$D$2:$D$50000,E345,全馬データ!$K$2:$K$50000,"&lt;&gt;")=0,"",SUMIFS(全馬データ!$K$2:$K$50000,全馬データ!$A$2:$A$50000,A345,全馬データ!$B$2:$B$50000,B345,全馬データ!$C$2:$C$50000,C345,全馬データ!$D$2:$D$50000,E345)))</f>
        <v/>
      </c>
      <c r="AP345" s="8" t="str">
        <f aca="false">IF(A345="","",IF(AO345="","欠損",IF(AO345&lt;=1.1,"1.0～1.1",IF(AO345&lt;1.3,"1.2",IF(AO345&lt;1.5,"1.3～1.4",IF(AO345&lt;2,"1.5～1.9","2.0以上"))))))</f>
        <v>欠損</v>
      </c>
      <c r="AQ345" s="8" t="str">
        <f aca="false">IF(A345="","",IF(ISNUMBER(SEARCH("2歳",Z345)),"2歳戦",IF(ISNUMBER(SEARCH("3歳未勝利",Z345)),"3歳未勝利",IF(ISNUMBER(SEARCH("未勝利",Z345)),"その他未勝利",IF(ISNUMBER(SEARCH("G1",Z345)),"G1",IF(ISNUMBER(SEARCH("G2",Z345)),"G2",IF(ISNUMBER(SEARCH("G3",Z345)),"G3",IF(ISNUMBER(SEARCH("古馬条件",Z345)),"古馬条件戦",IF(ISNUMBER(SEARCH("重賞",Z345)),"重賞","分類不能")))))))))</f>
        <v>分類不能</v>
      </c>
      <c r="AR345" s="8"/>
      <c r="AS345" s="8" t="s">
        <v>7626</v>
      </c>
      <c r="AT345" s="8" t="s">
        <v>7627</v>
      </c>
      <c r="AU345" s="8" t="s">
        <v>7628</v>
      </c>
      <c r="AV345" s="8" t="s">
        <v>7629</v>
      </c>
      <c r="AW345" s="8"/>
      <c r="AX345" s="8"/>
      <c r="AY345" s="8" t="s">
        <v>7602</v>
      </c>
      <c r="AZ345" s="4" t="s">
        <v>7603</v>
      </c>
      <c r="BA345" s="8" t="n">
        <v>1800</v>
      </c>
      <c r="BB345" s="8" t="s">
        <v>7598</v>
      </c>
      <c r="BC345" s="4" t="s">
        <v>7604</v>
      </c>
      <c r="BD345" s="8" t="s">
        <v>7621</v>
      </c>
      <c r="BE345" s="4" t="s">
        <v>7622</v>
      </c>
      <c r="BF345" s="8" t="s">
        <v>7602</v>
      </c>
      <c r="BG345" s="8" t="s">
        <v>7631</v>
      </c>
      <c r="BH345" s="4" t="s">
        <v>7632</v>
      </c>
      <c r="BI345" s="8" t="n">
        <v>9</v>
      </c>
      <c r="BJ345" s="8" t="s">
        <v>7602</v>
      </c>
      <c r="BK345" s="4" t="s">
        <v>7653</v>
      </c>
      <c r="BL345" s="8" t="s">
        <v>7602</v>
      </c>
      <c r="BM345" s="4" t="s">
        <v>7620</v>
      </c>
      <c r="BN345" s="8" t="s">
        <v>7602</v>
      </c>
      <c r="BO345" s="8" t="s">
        <v>7613</v>
      </c>
      <c r="BP345" s="8" t="s">
        <v>7610</v>
      </c>
      <c r="BQ345" s="8" t="str">
        <f aca="false">IF(A345="","",AT345)</f>
        <v>3歳以上</v>
      </c>
      <c r="BR345" s="8" t="str">
        <f aca="false">IF(A345="","",IF(BA345&lt;=1200,"～1200",IF(BA345&lt;=1500,"1300～1500",IF(BA345=1600,"1600",IF(BA345&lt;=1800,"1700～1800",IF(BA345&lt;=2000,"1900～2000","2100以上"))))))</f>
        <v>1700～1800</v>
      </c>
      <c r="BS345" s="8" t="str">
        <f aca="false">IF(A345="","",IF(AX345="G1","G1",IF(AX345="G2","G2",IF(AX345="G3","G3",IF(AX345="L","L","その他")))))</f>
        <v>その他</v>
      </c>
      <c r="BT345" s="8" t="str">
        <f aca="false">IF(A345="","",IF(BI345="","未結合",IF(D345=BI345,"一致","不一致")))</f>
        <v>一致</v>
      </c>
      <c r="BU345" s="8" t="str">
        <f aca="false">IF(A345="","",IF(BE345="牝馬限定","牝馬限定","その他"))</f>
        <v>牝馬限定</v>
      </c>
    </row>
    <row r="346" customFormat="false" ht="15.75" hidden="false" customHeight="false" outlineLevel="0" collapsed="false">
      <c r="A346" s="6" t="n">
        <v>46201</v>
      </c>
      <c r="B346" s="4" t="s">
        <v>1091</v>
      </c>
      <c r="C346" s="8" t="n">
        <v>9</v>
      </c>
      <c r="D346" s="8" t="n">
        <v>8</v>
      </c>
      <c r="E346" s="8" t="n">
        <v>5</v>
      </c>
      <c r="F346" s="4" t="s">
        <v>3473</v>
      </c>
      <c r="G346" s="8" t="n">
        <v>52</v>
      </c>
      <c r="H346" s="8" t="n">
        <v>7</v>
      </c>
      <c r="I346" s="4" t="s">
        <v>3475</v>
      </c>
      <c r="J346" s="8" t="n">
        <v>44</v>
      </c>
      <c r="K346" s="8" t="n">
        <v>3</v>
      </c>
      <c r="L346" s="4" t="s">
        <v>3472</v>
      </c>
      <c r="M346" s="8" t="n">
        <v>37</v>
      </c>
      <c r="N346" s="8" t="n">
        <v>8</v>
      </c>
      <c r="O346" s="8" t="n">
        <v>7</v>
      </c>
      <c r="P346" s="8" t="n">
        <v>96</v>
      </c>
      <c r="Q346" s="8" t="str">
        <f aca="false">IF(A346="","",IF(AND(Y346&lt;&gt;"参考",G346&gt;=ルール設定!$B$2),"○",""))</f>
        <v/>
      </c>
      <c r="R346" s="8" t="str">
        <f aca="false">IF(A346="","",IF(AND(Y346&lt;&gt;"参考",G346&gt;=ルール設定!$B$3,N346&gt;=ルール設定!$B$4),"○",""))</f>
        <v/>
      </c>
      <c r="S346" s="8" t="str">
        <f aca="false">IF(A346="","",IF(AND(Y346&lt;&gt;"参考",G346&gt;=ルール設定!$B$5,J346&gt;=ルール設定!$B$6,O346&gt;=ルール設定!$B$7),"○",""))</f>
        <v/>
      </c>
      <c r="T346" s="8" t="n">
        <v>2</v>
      </c>
      <c r="U346" s="8" t="n">
        <v>1</v>
      </c>
      <c r="V346" s="8" t="str">
        <f aca="false">IF(A346="","",IF(AND(ISNUMBER(T346),ISNUMBER(U346)),IF(AND(T346&lt;=3,U346&lt;=3),"○","×"),""))</f>
        <v>○</v>
      </c>
      <c r="W346" s="8" t="n">
        <v>130</v>
      </c>
      <c r="X346" s="8" t="n">
        <v>190</v>
      </c>
      <c r="Y346" s="4" t="s">
        <v>7597</v>
      </c>
      <c r="Z346" s="4" t="s">
        <v>7726</v>
      </c>
      <c r="AA346" s="8" t="str">
        <v/>
      </c>
      <c r="AB346" s="8" t="str">
        <v/>
      </c>
      <c r="AC346" s="8" t="str">
        <v/>
      </c>
      <c r="AD346" s="8" t="str">
        <v/>
      </c>
      <c r="AE346" s="8" t="str">
        <v/>
      </c>
      <c r="AF346" s="8" t="str">
        <v/>
      </c>
      <c r="AG346" s="8" t="str">
        <v/>
      </c>
      <c r="AH346" s="8" t="str">
        <v/>
      </c>
      <c r="AI346" s="8" t="n">
        <v>15</v>
      </c>
      <c r="AJ346" s="8" t="str">
        <v>～59</v>
      </c>
      <c r="AK346" s="8" t="str">
        <v>5～9</v>
      </c>
      <c r="AL346" s="8" t="str">
        <v>10～19</v>
      </c>
      <c r="AM346" s="8" t="str">
        <v>～99</v>
      </c>
      <c r="AN346" s="8" t="str">
        <v>8～11</v>
      </c>
      <c r="AO346" s="8" t="str">
        <f aca="false">IF(A346="","",IF(COUNTIFS(全馬データ!$A$2:$A$50000,A346,全馬データ!$B$2:$B$50000,B346,全馬データ!$C$2:$C$50000,C346,全馬データ!$D$2:$D$50000,E346,全馬データ!$K$2:$K$50000,"&lt;&gt;")=0,"",SUMIFS(全馬データ!$K$2:$K$50000,全馬データ!$A$2:$A$50000,A346,全馬データ!$B$2:$B$50000,B346,全馬データ!$C$2:$C$50000,C346,全馬データ!$D$2:$D$50000,E346)))</f>
        <v/>
      </c>
      <c r="AP346" s="8" t="str">
        <f aca="false">IF(A346="","",IF(AO346="","欠損",IF(AO346&lt;=1.1,"1.0～1.1",IF(AO346&lt;1.3,"1.2",IF(AO346&lt;1.5,"1.3～1.4",IF(AO346&lt;2,"1.5～1.9","2.0以上"))))))</f>
        <v>欠損</v>
      </c>
      <c r="AQ346" s="8" t="str">
        <f aca="false">IF(A346="","",IF(ISNUMBER(SEARCH("2歳",Z346)),"2歳戦",IF(ISNUMBER(SEARCH("3歳未勝利",Z346)),"3歳未勝利",IF(ISNUMBER(SEARCH("未勝利",Z346)),"その他未勝利",IF(ISNUMBER(SEARCH("G1",Z346)),"G1",IF(ISNUMBER(SEARCH("G2",Z346)),"G2",IF(ISNUMBER(SEARCH("G3",Z346)),"G3",IF(ISNUMBER(SEARCH("古馬条件",Z346)),"古馬条件戦",IF(ISNUMBER(SEARCH("重賞",Z346)),"重賞","分類不能")))))))))</f>
        <v>分類不能</v>
      </c>
      <c r="AR346" s="4" t="s">
        <v>7758</v>
      </c>
      <c r="AS346" s="8" t="s">
        <v>7626</v>
      </c>
      <c r="AT346" s="8" t="s">
        <v>7627</v>
      </c>
      <c r="AU346" s="8" t="s">
        <v>7634</v>
      </c>
      <c r="AV346" s="8" t="s">
        <v>7635</v>
      </c>
      <c r="AW346" s="8" t="s">
        <v>7636</v>
      </c>
      <c r="AX346" s="4" t="s">
        <v>7637</v>
      </c>
      <c r="AY346" s="8" t="s">
        <v>7602</v>
      </c>
      <c r="AZ346" s="4" t="s">
        <v>7603</v>
      </c>
      <c r="BA346" s="8" t="n">
        <v>2600</v>
      </c>
      <c r="BB346" s="8" t="s">
        <v>7598</v>
      </c>
      <c r="BC346" s="4" t="s">
        <v>7604</v>
      </c>
      <c r="BD346" s="8" t="s">
        <v>7630</v>
      </c>
      <c r="BE346" s="4" t="s">
        <v>7606</v>
      </c>
      <c r="BF346" s="8" t="s">
        <v>7607</v>
      </c>
      <c r="BG346" s="8" t="s">
        <v>7631</v>
      </c>
      <c r="BH346" s="4" t="s">
        <v>7632</v>
      </c>
      <c r="BI346" s="8" t="n">
        <v>8</v>
      </c>
      <c r="BJ346" s="8" t="s">
        <v>7602</v>
      </c>
      <c r="BK346" s="4" t="s">
        <v>7653</v>
      </c>
      <c r="BL346" s="8" t="s">
        <v>7602</v>
      </c>
      <c r="BM346" s="4" t="s">
        <v>7620</v>
      </c>
      <c r="BN346" s="8" t="s">
        <v>7602</v>
      </c>
      <c r="BO346" s="8" t="s">
        <v>7613</v>
      </c>
      <c r="BP346" s="8" t="s">
        <v>7610</v>
      </c>
      <c r="BQ346" s="8" t="str">
        <f aca="false">IF(A346="","",AT346)</f>
        <v>3歳以上</v>
      </c>
      <c r="BR346" s="8" t="str">
        <f aca="false">IF(A346="","",IF(BA346&lt;=1200,"～1200",IF(BA346&lt;=1500,"1300～1500",IF(BA346=1600,"1600",IF(BA346&lt;=1800,"1700～1800",IF(BA346&lt;=2000,"1900～2000","2100以上"))))))</f>
        <v>2100以上</v>
      </c>
      <c r="BS346" s="8" t="str">
        <f aca="false">IF(A346="","",IF(AX346="G1","G1",IF(AX346="G2","G2",IF(AX346="G3","G3",IF(AX346="L","L","その他")))))</f>
        <v>その他</v>
      </c>
      <c r="BT346" s="8" t="str">
        <f aca="false">IF(A346="","",IF(BI346="","未結合",IF(D346=BI346,"一致","不一致")))</f>
        <v>一致</v>
      </c>
      <c r="BU346" s="8" t="str">
        <f aca="false">IF(A346="","",IF(BE346="牝馬限定","牝馬限定","その他"))</f>
        <v>その他</v>
      </c>
    </row>
    <row r="347" customFormat="false" ht="15.75" hidden="false" customHeight="false" outlineLevel="0" collapsed="false">
      <c r="A347" s="6" t="n">
        <v>46201</v>
      </c>
      <c r="B347" s="4" t="s">
        <v>1091</v>
      </c>
      <c r="C347" s="8" t="n">
        <v>10</v>
      </c>
      <c r="D347" s="8" t="n">
        <v>16</v>
      </c>
      <c r="E347" s="8" t="n">
        <v>3</v>
      </c>
      <c r="F347" s="4" t="s">
        <v>3478</v>
      </c>
      <c r="G347" s="8" t="n">
        <v>58</v>
      </c>
      <c r="H347" s="8" t="n">
        <v>11</v>
      </c>
      <c r="I347" s="4" t="s">
        <v>3483</v>
      </c>
      <c r="J347" s="8" t="n">
        <v>34</v>
      </c>
      <c r="K347" s="8" t="n">
        <v>13</v>
      </c>
      <c r="L347" s="4" t="s">
        <v>1199</v>
      </c>
      <c r="M347" s="8" t="n">
        <v>31</v>
      </c>
      <c r="N347" s="8" t="n">
        <v>24</v>
      </c>
      <c r="O347" s="8" t="n">
        <v>3</v>
      </c>
      <c r="P347" s="8" t="n">
        <v>92</v>
      </c>
      <c r="Q347" s="8" t="str">
        <f aca="false">IF(A347="","",IF(AND(Y347&lt;&gt;"参考",G347&gt;=ルール設定!$B$2),"○",""))</f>
        <v/>
      </c>
      <c r="R347" s="8" t="str">
        <f aca="false">IF(A347="","",IF(AND(Y347&lt;&gt;"参考",G347&gt;=ルール設定!$B$3,N347&gt;=ルール設定!$B$4),"○",""))</f>
        <v/>
      </c>
      <c r="S347" s="8" t="str">
        <f aca="false">IF(A347="","",IF(AND(Y347&lt;&gt;"参考",G347&gt;=ルール設定!$B$5,J347&gt;=ルール設定!$B$6,O347&gt;=ルール設定!$B$7),"○",""))</f>
        <v/>
      </c>
      <c r="T347" s="8" t="n">
        <v>4</v>
      </c>
      <c r="U347" s="8" t="n">
        <v>2</v>
      </c>
      <c r="V347" s="8" t="str">
        <f aca="false">IF(A347="","",IF(AND(ISNUMBER(T347),ISNUMBER(U347)),IF(AND(T347&lt;=3,U347&lt;=3),"○","×"),""))</f>
        <v>×</v>
      </c>
      <c r="W347" s="8"/>
      <c r="X347" s="8"/>
      <c r="Y347" s="4" t="s">
        <v>7597</v>
      </c>
      <c r="Z347" s="4" t="s">
        <v>7726</v>
      </c>
      <c r="AA347" s="8" t="str">
        <v/>
      </c>
      <c r="AB347" s="8" t="str">
        <v/>
      </c>
      <c r="AC347" s="8" t="str">
        <v/>
      </c>
      <c r="AD347" s="8" t="str">
        <v/>
      </c>
      <c r="AE347" s="8" t="str">
        <v/>
      </c>
      <c r="AF347" s="8" t="str">
        <v/>
      </c>
      <c r="AG347" s="8" t="str">
        <v/>
      </c>
      <c r="AH347" s="8" t="str">
        <v/>
      </c>
      <c r="AI347" s="8" t="n">
        <v>27</v>
      </c>
      <c r="AJ347" s="8" t="str">
        <v>～59</v>
      </c>
      <c r="AK347" s="8" t="str">
        <v>20～29</v>
      </c>
      <c r="AL347" s="8" t="str">
        <v>20～29</v>
      </c>
      <c r="AM347" s="8" t="str">
        <v>～99</v>
      </c>
      <c r="AN347" s="8" t="str">
        <v>15以上</v>
      </c>
      <c r="AO347" s="8" t="str">
        <f aca="false">IF(A347="","",IF(COUNTIFS(全馬データ!$A$2:$A$50000,A347,全馬データ!$B$2:$B$50000,B347,全馬データ!$C$2:$C$50000,C347,全馬データ!$D$2:$D$50000,E347,全馬データ!$K$2:$K$50000,"&lt;&gt;")=0,"",SUMIFS(全馬データ!$K$2:$K$50000,全馬データ!$A$2:$A$50000,A347,全馬データ!$B$2:$B$50000,B347,全馬データ!$C$2:$C$50000,C347,全馬データ!$D$2:$D$50000,E347)))</f>
        <v/>
      </c>
      <c r="AP347" s="8" t="str">
        <f aca="false">IF(A347="","",IF(AO347="","欠損",IF(AO347&lt;=1.1,"1.0～1.1",IF(AO347&lt;1.3,"1.2",IF(AO347&lt;1.5,"1.3～1.4",IF(AO347&lt;2,"1.5～1.9","2.0以上"))))))</f>
        <v>欠損</v>
      </c>
      <c r="AQ347" s="8" t="str">
        <f aca="false">IF(A347="","",IF(ISNUMBER(SEARCH("2歳",Z347)),"2歳戦",IF(ISNUMBER(SEARCH("3歳未勝利",Z347)),"3歳未勝利",IF(ISNUMBER(SEARCH("未勝利",Z347)),"その他未勝利",IF(ISNUMBER(SEARCH("G1",Z347)),"G1",IF(ISNUMBER(SEARCH("G2",Z347)),"G2",IF(ISNUMBER(SEARCH("G3",Z347)),"G3",IF(ISNUMBER(SEARCH("古馬条件",Z347)),"古馬条件戦",IF(ISNUMBER(SEARCH("重賞",Z347)),"重賞","分類不能")))))))))</f>
        <v>分類不能</v>
      </c>
      <c r="AR347" s="4" t="s">
        <v>7759</v>
      </c>
      <c r="AS347" s="8" t="s">
        <v>7626</v>
      </c>
      <c r="AT347" s="8" t="s">
        <v>7627</v>
      </c>
      <c r="AU347" s="8" t="s">
        <v>7634</v>
      </c>
      <c r="AV347" s="8" t="s">
        <v>7635</v>
      </c>
      <c r="AW347" s="8" t="s">
        <v>7636</v>
      </c>
      <c r="AX347" s="4" t="s">
        <v>7637</v>
      </c>
      <c r="AY347" s="8" t="s">
        <v>7610</v>
      </c>
      <c r="AZ347" s="4" t="s">
        <v>7617</v>
      </c>
      <c r="BA347" s="8" t="n">
        <v>1700</v>
      </c>
      <c r="BB347" s="8" t="s">
        <v>7618</v>
      </c>
      <c r="BC347" s="4" t="s">
        <v>7619</v>
      </c>
      <c r="BD347" s="8" t="s">
        <v>7605</v>
      </c>
      <c r="BE347" s="4" t="s">
        <v>7606</v>
      </c>
      <c r="BF347" s="8" t="s">
        <v>7607</v>
      </c>
      <c r="BG347" s="8" t="s">
        <v>7602</v>
      </c>
      <c r="BH347" s="4" t="s">
        <v>7667</v>
      </c>
      <c r="BI347" s="8" t="n">
        <v>16</v>
      </c>
      <c r="BJ347" s="8" t="s">
        <v>7602</v>
      </c>
      <c r="BK347" s="4" t="s">
        <v>7653</v>
      </c>
      <c r="BL347" s="8" t="s">
        <v>7602</v>
      </c>
      <c r="BM347" s="4" t="s">
        <v>7620</v>
      </c>
      <c r="BN347" s="8"/>
      <c r="BO347" s="8"/>
      <c r="BP347" s="8" t="s">
        <v>7610</v>
      </c>
      <c r="BQ347" s="8" t="str">
        <f aca="false">IF(A347="","",AT347)</f>
        <v>3歳以上</v>
      </c>
      <c r="BR347" s="8" t="str">
        <f aca="false">IF(A347="","",IF(BA347&lt;=1200,"～1200",IF(BA347&lt;=1500,"1300～1500",IF(BA347=1600,"1600",IF(BA347&lt;=1800,"1700～1800",IF(BA347&lt;=2000,"1900～2000","2100以上"))))))</f>
        <v>1700～1800</v>
      </c>
      <c r="BS347" s="8" t="str">
        <f aca="false">IF(A347="","",IF(AX347="G1","G1",IF(AX347="G2","G2",IF(AX347="G3","G3",IF(AX347="L","L","その他")))))</f>
        <v>その他</v>
      </c>
      <c r="BT347" s="8" t="str">
        <f aca="false">IF(A347="","",IF(BI347="","未結合",IF(D347=BI347,"一致","不一致")))</f>
        <v>一致</v>
      </c>
      <c r="BU347" s="8" t="str">
        <f aca="false">IF(A347="","",IF(BE347="牝馬限定","牝馬限定","その他"))</f>
        <v>その他</v>
      </c>
    </row>
    <row r="348" customFormat="false" ht="15.75" hidden="false" customHeight="false" outlineLevel="0" collapsed="false">
      <c r="A348" s="6" t="n">
        <v>46201</v>
      </c>
      <c r="B348" s="4" t="s">
        <v>1091</v>
      </c>
      <c r="C348" s="8" t="n">
        <v>11</v>
      </c>
      <c r="D348" s="8" t="n">
        <v>8</v>
      </c>
      <c r="E348" s="8" t="n">
        <v>8</v>
      </c>
      <c r="F348" s="4" t="s">
        <v>3489</v>
      </c>
      <c r="G348" s="8" t="n">
        <v>67</v>
      </c>
      <c r="H348" s="8" t="n">
        <v>6</v>
      </c>
      <c r="I348" s="4" t="s">
        <v>3488</v>
      </c>
      <c r="J348" s="8" t="n">
        <v>41</v>
      </c>
      <c r="K348" s="8" t="n">
        <v>4</v>
      </c>
      <c r="L348" s="4" t="s">
        <v>1211</v>
      </c>
      <c r="M348" s="8" t="n">
        <v>39</v>
      </c>
      <c r="N348" s="8" t="n">
        <v>26</v>
      </c>
      <c r="O348" s="8" t="n">
        <v>2</v>
      </c>
      <c r="P348" s="8" t="n">
        <v>108</v>
      </c>
      <c r="Q348" s="8" t="str">
        <f aca="false">IF(A348="","",IF(AND(Y348&lt;&gt;"参考",G348&gt;=ルール設定!$B$2),"○",""))</f>
        <v/>
      </c>
      <c r="R348" s="8" t="str">
        <f aca="false">IF(A348="","",IF(AND(Y348&lt;&gt;"参考",G348&gt;=ルール設定!$B$3,N348&gt;=ルール設定!$B$4),"○",""))</f>
        <v/>
      </c>
      <c r="S348" s="8" t="str">
        <f aca="false">IF(A348="","",IF(AND(Y348&lt;&gt;"参考",G348&gt;=ルール設定!$B$5,J348&gt;=ルール設定!$B$6,O348&gt;=ルール設定!$B$7),"○",""))</f>
        <v/>
      </c>
      <c r="T348" s="8" t="n">
        <v>3</v>
      </c>
      <c r="U348" s="8" t="n">
        <v>4</v>
      </c>
      <c r="V348" s="8" t="str">
        <f aca="false">IF(A348="","",IF(AND(ISNUMBER(T348),ISNUMBER(U348)),IF(AND(T348&lt;=3,U348&lt;=3),"○","×"),""))</f>
        <v>×</v>
      </c>
      <c r="W348" s="8" t="n">
        <v>260</v>
      </c>
      <c r="X348" s="8"/>
      <c r="Y348" s="4" t="s">
        <v>7597</v>
      </c>
      <c r="Z348" s="4" t="s">
        <v>7726</v>
      </c>
      <c r="AA348" s="8" t="str">
        <v/>
      </c>
      <c r="AB348" s="8" t="str">
        <v/>
      </c>
      <c r="AC348" s="8" t="str">
        <v/>
      </c>
      <c r="AD348" s="8" t="str">
        <v/>
      </c>
      <c r="AE348" s="8" t="str">
        <v/>
      </c>
      <c r="AF348" s="8" t="str">
        <v/>
      </c>
      <c r="AG348" s="8" t="str">
        <v/>
      </c>
      <c r="AH348" s="8" t="str">
        <v/>
      </c>
      <c r="AI348" s="8" t="n">
        <v>28</v>
      </c>
      <c r="AJ348" s="8" t="str">
        <v>60～69</v>
      </c>
      <c r="AK348" s="8" t="str">
        <v>20～29</v>
      </c>
      <c r="AL348" s="8" t="str">
        <v>20～29</v>
      </c>
      <c r="AM348" s="8" t="str">
        <v>100～119</v>
      </c>
      <c r="AN348" s="8" t="str">
        <v>8～11</v>
      </c>
      <c r="AO348" s="8" t="str">
        <f aca="false">IF(A348="","",IF(COUNTIFS(全馬データ!$A$2:$A$50000,A348,全馬データ!$B$2:$B$50000,B348,全馬データ!$C$2:$C$50000,C348,全馬データ!$D$2:$D$50000,E348,全馬データ!$K$2:$K$50000,"&lt;&gt;")=0,"",SUMIFS(全馬データ!$K$2:$K$50000,全馬データ!$A$2:$A$50000,A348,全馬データ!$B$2:$B$50000,B348,全馬データ!$C$2:$C$50000,C348,全馬データ!$D$2:$D$50000,E348)))</f>
        <v/>
      </c>
      <c r="AP348" s="8" t="str">
        <f aca="false">IF(A348="","",IF(AO348="","欠損",IF(AO348&lt;=1.1,"1.0～1.1",IF(AO348&lt;1.3,"1.2",IF(AO348&lt;1.5,"1.3～1.4",IF(AO348&lt;2,"1.5～1.9","2.0以上"))))))</f>
        <v>欠損</v>
      </c>
      <c r="AQ348" s="8" t="str">
        <f aca="false">IF(A348="","",IF(ISNUMBER(SEARCH("2歳",Z348)),"2歳戦",IF(ISNUMBER(SEARCH("3歳未勝利",Z348)),"3歳未勝利",IF(ISNUMBER(SEARCH("未勝利",Z348)),"その他未勝利",IF(ISNUMBER(SEARCH("G1",Z348)),"G1",IF(ISNUMBER(SEARCH("G2",Z348)),"G2",IF(ISNUMBER(SEARCH("G3",Z348)),"G3",IF(ISNUMBER(SEARCH("古馬条件",Z348)),"古馬条件戦",IF(ISNUMBER(SEARCH("重賞",Z348)),"重賞","分類不能")))))))))</f>
        <v>分類不能</v>
      </c>
      <c r="AR348" s="4" t="s">
        <v>7760</v>
      </c>
      <c r="AS348" s="8" t="s">
        <v>7626</v>
      </c>
      <c r="AT348" s="8" t="s">
        <v>7627</v>
      </c>
      <c r="AU348" s="8" t="s">
        <v>7639</v>
      </c>
      <c r="AV348" s="8" t="s">
        <v>7640</v>
      </c>
      <c r="AW348" s="8" t="s">
        <v>7636</v>
      </c>
      <c r="AX348" s="4" t="s">
        <v>7637</v>
      </c>
      <c r="AY348" s="8" t="s">
        <v>7602</v>
      </c>
      <c r="AZ348" s="4" t="s">
        <v>7603</v>
      </c>
      <c r="BA348" s="8" t="n">
        <v>1200</v>
      </c>
      <c r="BB348" s="8" t="s">
        <v>7598</v>
      </c>
      <c r="BC348" s="4" t="s">
        <v>7604</v>
      </c>
      <c r="BD348" s="8" t="s">
        <v>7605</v>
      </c>
      <c r="BE348" s="4" t="s">
        <v>7606</v>
      </c>
      <c r="BF348" s="8" t="s">
        <v>7607</v>
      </c>
      <c r="BG348" s="8" t="s">
        <v>7602</v>
      </c>
      <c r="BH348" s="4" t="s">
        <v>7667</v>
      </c>
      <c r="BI348" s="8" t="n">
        <v>8</v>
      </c>
      <c r="BJ348" s="8" t="s">
        <v>7602</v>
      </c>
      <c r="BK348" s="4" t="s">
        <v>7653</v>
      </c>
      <c r="BL348" s="8" t="s">
        <v>7602</v>
      </c>
      <c r="BM348" s="4" t="s">
        <v>7620</v>
      </c>
      <c r="BN348" s="8" t="s">
        <v>7602</v>
      </c>
      <c r="BO348" s="8" t="s">
        <v>7613</v>
      </c>
      <c r="BP348" s="8" t="s">
        <v>7610</v>
      </c>
      <c r="BQ348" s="8" t="str">
        <f aca="false">IF(A348="","",AT348)</f>
        <v>3歳以上</v>
      </c>
      <c r="BR348" s="8" t="str">
        <f aca="false">IF(A348="","",IF(BA348&lt;=1200,"～1200",IF(BA348&lt;=1500,"1300～1500",IF(BA348=1600,"1600",IF(BA348&lt;=1800,"1700～1800",IF(BA348&lt;=2000,"1900～2000","2100以上"))))))</f>
        <v>～1200</v>
      </c>
      <c r="BS348" s="8" t="str">
        <f aca="false">IF(A348="","",IF(AX348="G1","G1",IF(AX348="G2","G2",IF(AX348="G3","G3",IF(AX348="L","L","その他")))))</f>
        <v>その他</v>
      </c>
      <c r="BT348" s="8" t="str">
        <f aca="false">IF(A348="","",IF(BI348="","未結合",IF(D348=BI348,"一致","不一致")))</f>
        <v>一致</v>
      </c>
      <c r="BU348" s="8" t="str">
        <f aca="false">IF(A348="","",IF(BE348="牝馬限定","牝馬限定","その他"))</f>
        <v>その他</v>
      </c>
    </row>
    <row r="349" customFormat="false" ht="15.75" hidden="false" customHeight="false" outlineLevel="0" collapsed="false">
      <c r="A349" s="6" t="n">
        <v>46201</v>
      </c>
      <c r="B349" s="4" t="s">
        <v>1091</v>
      </c>
      <c r="C349" s="8" t="n">
        <v>12</v>
      </c>
      <c r="D349" s="8" t="n">
        <v>16</v>
      </c>
      <c r="E349" s="8" t="n">
        <v>7</v>
      </c>
      <c r="F349" s="4" t="s">
        <v>3494</v>
      </c>
      <c r="G349" s="8" t="n">
        <v>58</v>
      </c>
      <c r="H349" s="8" t="n">
        <v>3</v>
      </c>
      <c r="I349" s="4" t="s">
        <v>3491</v>
      </c>
      <c r="J349" s="8" t="n">
        <v>29</v>
      </c>
      <c r="K349" s="8" t="n">
        <v>6</v>
      </c>
      <c r="L349" s="4" t="s">
        <v>1226</v>
      </c>
      <c r="M349" s="8" t="n">
        <v>29</v>
      </c>
      <c r="N349" s="8" t="n">
        <v>29</v>
      </c>
      <c r="O349" s="8" t="n">
        <v>0</v>
      </c>
      <c r="P349" s="8" t="n">
        <v>87</v>
      </c>
      <c r="Q349" s="8" t="str">
        <f aca="false">IF(A349="","",IF(AND(Y349&lt;&gt;"参考",G349&gt;=ルール設定!$B$2),"○",""))</f>
        <v/>
      </c>
      <c r="R349" s="8" t="str">
        <f aca="false">IF(A349="","",IF(AND(Y349&lt;&gt;"参考",G349&gt;=ルール設定!$B$3,N349&gt;=ルール設定!$B$4),"○",""))</f>
        <v/>
      </c>
      <c r="S349" s="8" t="str">
        <f aca="false">IF(A349="","",IF(AND(Y349&lt;&gt;"参考",G349&gt;=ルール設定!$B$5,J349&gt;=ルール設定!$B$6,O349&gt;=ルール設定!$B$7),"○",""))</f>
        <v/>
      </c>
      <c r="T349" s="8" t="n">
        <v>1</v>
      </c>
      <c r="U349" s="8" t="n">
        <v>4</v>
      </c>
      <c r="V349" s="8" t="str">
        <f aca="false">IF(A349="","",IF(AND(ISNUMBER(T349),ISNUMBER(U349)),IF(AND(T349&lt;=3,U349&lt;=3),"○","×"),""))</f>
        <v>×</v>
      </c>
      <c r="W349" s="8" t="n">
        <v>200</v>
      </c>
      <c r="X349" s="8"/>
      <c r="Y349" s="4" t="s">
        <v>7597</v>
      </c>
      <c r="Z349" s="4" t="s">
        <v>7726</v>
      </c>
      <c r="AA349" s="8" t="str">
        <v/>
      </c>
      <c r="AB349" s="8" t="str">
        <v/>
      </c>
      <c r="AC349" s="8" t="str">
        <v/>
      </c>
      <c r="AD349" s="8" t="str">
        <v/>
      </c>
      <c r="AE349" s="8" t="str">
        <v/>
      </c>
      <c r="AF349" s="8" t="str">
        <v/>
      </c>
      <c r="AG349" s="8" t="str">
        <v/>
      </c>
      <c r="AH349" s="8" t="str">
        <v/>
      </c>
      <c r="AI349" s="8" t="n">
        <v>29</v>
      </c>
      <c r="AJ349" s="8" t="str">
        <v>～59</v>
      </c>
      <c r="AK349" s="8" t="str">
        <v>20～29</v>
      </c>
      <c r="AL349" s="8" t="str">
        <v>20～29</v>
      </c>
      <c r="AM349" s="8" t="str">
        <v>～99</v>
      </c>
      <c r="AN349" s="8" t="str">
        <v>15以上</v>
      </c>
      <c r="AO349" s="8" t="str">
        <f aca="false">IF(A349="","",IF(COUNTIFS(全馬データ!$A$2:$A$50000,A349,全馬データ!$B$2:$B$50000,B349,全馬データ!$C$2:$C$50000,C349,全馬データ!$D$2:$D$50000,E349,全馬データ!$K$2:$K$50000,"&lt;&gt;")=0,"",SUMIFS(全馬データ!$K$2:$K$50000,全馬データ!$A$2:$A$50000,A349,全馬データ!$B$2:$B$50000,B349,全馬データ!$C$2:$C$50000,C349,全馬データ!$D$2:$D$50000,E349)))</f>
        <v/>
      </c>
      <c r="AP349" s="8" t="str">
        <f aca="false">IF(A349="","",IF(AO349="","欠損",IF(AO349&lt;=1.1,"1.0～1.1",IF(AO349&lt;1.3,"1.2",IF(AO349&lt;1.5,"1.3～1.4",IF(AO349&lt;2,"1.5～1.9","2.0以上"))))))</f>
        <v>欠損</v>
      </c>
      <c r="AQ349" s="8" t="str">
        <f aca="false">IF(A349="","",IF(ISNUMBER(SEARCH("2歳",Z349)),"2歳戦",IF(ISNUMBER(SEARCH("3歳未勝利",Z349)),"3歳未勝利",IF(ISNUMBER(SEARCH("未勝利",Z349)),"その他未勝利",IF(ISNUMBER(SEARCH("G1",Z349)),"G1",IF(ISNUMBER(SEARCH("G2",Z349)),"G2",IF(ISNUMBER(SEARCH("G3",Z349)),"G3",IF(ISNUMBER(SEARCH("古馬条件",Z349)),"古馬条件戦",IF(ISNUMBER(SEARCH("重賞",Z349)),"重賞","分類不能")))))))))</f>
        <v>分類不能</v>
      </c>
      <c r="AR349" s="8"/>
      <c r="AS349" s="8" t="s">
        <v>7626</v>
      </c>
      <c r="AT349" s="8" t="s">
        <v>7627</v>
      </c>
      <c r="AU349" s="8" t="s">
        <v>7628</v>
      </c>
      <c r="AV349" s="8" t="s">
        <v>7629</v>
      </c>
      <c r="AW349" s="8"/>
      <c r="AX349" s="8"/>
      <c r="AY349" s="8" t="s">
        <v>7610</v>
      </c>
      <c r="AZ349" s="4" t="s">
        <v>7617</v>
      </c>
      <c r="BA349" s="8" t="n">
        <v>1700</v>
      </c>
      <c r="BB349" s="8" t="s">
        <v>7618</v>
      </c>
      <c r="BC349" s="4" t="s">
        <v>7619</v>
      </c>
      <c r="BD349" s="8" t="s">
        <v>7605</v>
      </c>
      <c r="BE349" s="4" t="s">
        <v>7606</v>
      </c>
      <c r="BF349" s="8" t="s">
        <v>7607</v>
      </c>
      <c r="BG349" s="8" t="s">
        <v>7631</v>
      </c>
      <c r="BH349" s="4" t="s">
        <v>7632</v>
      </c>
      <c r="BI349" s="8" t="n">
        <v>16</v>
      </c>
      <c r="BJ349" s="8" t="s">
        <v>7602</v>
      </c>
      <c r="BK349" s="4" t="s">
        <v>7653</v>
      </c>
      <c r="BL349" s="8" t="s">
        <v>7602</v>
      </c>
      <c r="BM349" s="4" t="s">
        <v>7620</v>
      </c>
      <c r="BN349" s="8"/>
      <c r="BO349" s="8"/>
      <c r="BP349" s="8" t="s">
        <v>7610</v>
      </c>
      <c r="BQ349" s="8" t="str">
        <f aca="false">IF(A349="","",AT349)</f>
        <v>3歳以上</v>
      </c>
      <c r="BR349" s="8" t="str">
        <f aca="false">IF(A349="","",IF(BA349&lt;=1200,"～1200",IF(BA349&lt;=1500,"1300～1500",IF(BA349=1600,"1600",IF(BA349&lt;=1800,"1700～1800",IF(BA349&lt;=2000,"1900～2000","2100以上"))))))</f>
        <v>1700～1800</v>
      </c>
      <c r="BS349" s="8" t="str">
        <f aca="false">IF(A349="","",IF(AX349="G1","G1",IF(AX349="G2","G2",IF(AX349="G3","G3",IF(AX349="L","L","その他")))))</f>
        <v>その他</v>
      </c>
      <c r="BT349" s="8" t="str">
        <f aca="false">IF(A349="","",IF(BI349="","未結合",IF(D349=BI349,"一致","不一致")))</f>
        <v>一致</v>
      </c>
      <c r="BU349" s="8" t="str">
        <f aca="false">IF(A349="","",IF(BE349="牝馬限定","牝馬限定","その他"))</f>
        <v>その他</v>
      </c>
    </row>
    <row r="350" customFormat="false" ht="15.75" hidden="false" customHeight="false" outlineLevel="0" collapsed="false">
      <c r="A350" s="6" t="n">
        <v>46201</v>
      </c>
      <c r="B350" s="4" t="s">
        <v>1237</v>
      </c>
      <c r="C350" s="8" t="n">
        <v>1</v>
      </c>
      <c r="D350" s="8" t="n">
        <v>8</v>
      </c>
      <c r="E350" s="8" t="n">
        <v>4</v>
      </c>
      <c r="F350" s="4" t="s">
        <v>3502</v>
      </c>
      <c r="G350" s="8" t="n">
        <v>71</v>
      </c>
      <c r="H350" s="8" t="n">
        <v>7</v>
      </c>
      <c r="I350" s="4" t="s">
        <v>1844</v>
      </c>
      <c r="J350" s="8" t="n">
        <v>67</v>
      </c>
      <c r="K350" s="8" t="n">
        <v>1</v>
      </c>
      <c r="L350" s="4" t="s">
        <v>3246</v>
      </c>
      <c r="M350" s="8" t="n">
        <v>37</v>
      </c>
      <c r="N350" s="8" t="n">
        <v>4</v>
      </c>
      <c r="O350" s="8" t="n">
        <v>30</v>
      </c>
      <c r="P350" s="8" t="n">
        <v>138</v>
      </c>
      <c r="Q350" s="8" t="str">
        <f aca="false">IF(A350="","",IF(AND(Y350&lt;&gt;"参考",G350&gt;=ルール設定!$B$2),"○",""))</f>
        <v/>
      </c>
      <c r="R350" s="8" t="str">
        <f aca="false">IF(A350="","",IF(AND(Y350&lt;&gt;"参考",G350&gt;=ルール設定!$B$3,N350&gt;=ルール設定!$B$4),"○",""))</f>
        <v/>
      </c>
      <c r="S350" s="8" t="str">
        <f aca="false">IF(A350="","",IF(AND(Y350&lt;&gt;"参考",G350&gt;=ルール設定!$B$5,J350&gt;=ルール設定!$B$6,O350&gt;=ルール設定!$B$7),"○",""))</f>
        <v>○</v>
      </c>
      <c r="T350" s="8" t="n">
        <v>4</v>
      </c>
      <c r="U350" s="8" t="n">
        <v>1</v>
      </c>
      <c r="V350" s="8" t="str">
        <f aca="false">IF(A350="","",IF(AND(ISNUMBER(T350),ISNUMBER(U350)),IF(AND(T350&lt;=3,U350&lt;=3),"○","×"),""))</f>
        <v>×</v>
      </c>
      <c r="W350" s="8"/>
      <c r="X350" s="8"/>
      <c r="Y350" s="4" t="s">
        <v>7597</v>
      </c>
      <c r="Z350" s="4" t="s">
        <v>7726</v>
      </c>
      <c r="AA350" s="8" t="str">
        <v/>
      </c>
      <c r="AB350" s="8" t="str">
        <v/>
      </c>
      <c r="AC350" s="8" t="str">
        <v/>
      </c>
      <c r="AD350" s="8" t="str">
        <v/>
      </c>
      <c r="AE350" s="8" t="str">
        <v/>
      </c>
      <c r="AF350" s="8" t="str">
        <v/>
      </c>
      <c r="AG350" s="8" t="str">
        <v/>
      </c>
      <c r="AH350" s="8" t="str">
        <v/>
      </c>
      <c r="AI350" s="8" t="n">
        <v>34</v>
      </c>
      <c r="AJ350" s="8" t="str">
        <v>70～74</v>
      </c>
      <c r="AK350" s="8" t="str">
        <v>0～4</v>
      </c>
      <c r="AL350" s="8" t="str">
        <v>30～39</v>
      </c>
      <c r="AM350" s="8" t="str">
        <v>120～139</v>
      </c>
      <c r="AN350" s="8" t="str">
        <v>8～11</v>
      </c>
      <c r="AO350" s="8" t="str">
        <f aca="false">IF(A350="","",IF(COUNTIFS(全馬データ!$A$2:$A$50000,A350,全馬データ!$B$2:$B$50000,B350,全馬データ!$C$2:$C$50000,C350,全馬データ!$D$2:$D$50000,E350,全馬データ!$K$2:$K$50000,"&lt;&gt;")=0,"",SUMIFS(全馬データ!$K$2:$K$50000,全馬データ!$A$2:$A$50000,A350,全馬データ!$B$2:$B$50000,B350,全馬データ!$C$2:$C$50000,C350,全馬データ!$D$2:$D$50000,E350)))</f>
        <v/>
      </c>
      <c r="AP350" s="8" t="str">
        <f aca="false">IF(A350="","",IF(AO350="","欠損",IF(AO350&lt;=1.1,"1.0～1.1",IF(AO350&lt;1.3,"1.2",IF(AO350&lt;1.5,"1.3～1.4",IF(AO350&lt;2,"1.5～1.9","2.0以上"))))))</f>
        <v>欠損</v>
      </c>
      <c r="AQ350" s="8" t="str">
        <f aca="false">IF(A350="","",IF(ISNUMBER(SEARCH("2歳",Z350)),"2歳戦",IF(ISNUMBER(SEARCH("3歳未勝利",Z350)),"3歳未勝利",IF(ISNUMBER(SEARCH("未勝利",Z350)),"その他未勝利",IF(ISNUMBER(SEARCH("G1",Z350)),"G1",IF(ISNUMBER(SEARCH("G2",Z350)),"G2",IF(ISNUMBER(SEARCH("G3",Z350)),"G3",IF(ISNUMBER(SEARCH("古馬条件",Z350)),"古馬条件戦",IF(ISNUMBER(SEARCH("重賞",Z350)),"重賞","分類不能")))))))))</f>
        <v>分類不能</v>
      </c>
      <c r="AR350" s="8"/>
      <c r="AS350" s="8" t="s">
        <v>7598</v>
      </c>
      <c r="AT350" s="8" t="s">
        <v>7599</v>
      </c>
      <c r="AU350" s="8" t="s">
        <v>7600</v>
      </c>
      <c r="AV350" s="4" t="s">
        <v>7601</v>
      </c>
      <c r="AW350" s="8"/>
      <c r="AX350" s="8"/>
      <c r="AY350" s="8" t="s">
        <v>7602</v>
      </c>
      <c r="AZ350" s="4" t="s">
        <v>7603</v>
      </c>
      <c r="BA350" s="8" t="n">
        <v>1200</v>
      </c>
      <c r="BB350" s="8" t="s">
        <v>7598</v>
      </c>
      <c r="BC350" s="4" t="s">
        <v>7604</v>
      </c>
      <c r="BD350" s="8" t="s">
        <v>7605</v>
      </c>
      <c r="BE350" s="4" t="s">
        <v>7606</v>
      </c>
      <c r="BF350" s="8" t="s">
        <v>7607</v>
      </c>
      <c r="BG350" s="8" t="s">
        <v>7608</v>
      </c>
      <c r="BH350" s="4" t="s">
        <v>7609</v>
      </c>
      <c r="BI350" s="8" t="n">
        <v>8</v>
      </c>
      <c r="BJ350" s="8" t="s">
        <v>7602</v>
      </c>
      <c r="BK350" s="4" t="s">
        <v>7653</v>
      </c>
      <c r="BL350" s="8" t="s">
        <v>7602</v>
      </c>
      <c r="BM350" s="4" t="s">
        <v>7620</v>
      </c>
      <c r="BN350" s="8" t="s">
        <v>7602</v>
      </c>
      <c r="BO350" s="8" t="s">
        <v>7613</v>
      </c>
      <c r="BP350" s="8" t="s">
        <v>7608</v>
      </c>
      <c r="BQ350" s="8" t="str">
        <f aca="false">IF(A350="","",AT350)</f>
        <v>2歳</v>
      </c>
      <c r="BR350" s="8" t="str">
        <f aca="false">IF(A350="","",IF(BA350&lt;=1200,"～1200",IF(BA350&lt;=1500,"1300～1500",IF(BA350=1600,"1600",IF(BA350&lt;=1800,"1700～1800",IF(BA350&lt;=2000,"1900～2000","2100以上"))))))</f>
        <v>～1200</v>
      </c>
      <c r="BS350" s="8" t="str">
        <f aca="false">IF(A350="","",IF(AX350="G1","G1",IF(AX350="G2","G2",IF(AX350="G3","G3",IF(AX350="L","L","その他")))))</f>
        <v>その他</v>
      </c>
      <c r="BT350" s="8" t="str">
        <f aca="false">IF(A350="","",IF(BI350="","未結合",IF(D350=BI350,"一致","不一致")))</f>
        <v>一致</v>
      </c>
      <c r="BU350" s="8" t="str">
        <f aca="false">IF(A350="","",IF(BE350="牝馬限定","牝馬限定","その他"))</f>
        <v>その他</v>
      </c>
    </row>
    <row r="351" customFormat="false" ht="15.75" hidden="false" customHeight="false" outlineLevel="0" collapsed="false">
      <c r="A351" s="6" t="n">
        <v>46201</v>
      </c>
      <c r="B351" s="4" t="s">
        <v>1237</v>
      </c>
      <c r="C351" s="8" t="n">
        <v>2</v>
      </c>
      <c r="D351" s="8" t="n">
        <v>14</v>
      </c>
      <c r="E351" s="8" t="n">
        <v>5</v>
      </c>
      <c r="F351" s="4" t="s">
        <v>3505</v>
      </c>
      <c r="G351" s="8" t="n">
        <v>65</v>
      </c>
      <c r="H351" s="8" t="n">
        <v>3</v>
      </c>
      <c r="I351" s="4" t="s">
        <v>3504</v>
      </c>
      <c r="J351" s="8" t="n">
        <v>41</v>
      </c>
      <c r="K351" s="8" t="n">
        <v>1</v>
      </c>
      <c r="L351" s="4" t="s">
        <v>827</v>
      </c>
      <c r="M351" s="8" t="n">
        <v>34</v>
      </c>
      <c r="N351" s="8" t="n">
        <v>24</v>
      </c>
      <c r="O351" s="8" t="n">
        <v>7</v>
      </c>
      <c r="P351" s="8" t="n">
        <v>106</v>
      </c>
      <c r="Q351" s="8" t="str">
        <f aca="false">IF(A351="","",IF(AND(Y351&lt;&gt;"参考",G351&gt;=ルール設定!$B$2),"○",""))</f>
        <v/>
      </c>
      <c r="R351" s="8" t="str">
        <f aca="false">IF(A351="","",IF(AND(Y351&lt;&gt;"参考",G351&gt;=ルール設定!$B$3,N351&gt;=ルール設定!$B$4),"○",""))</f>
        <v/>
      </c>
      <c r="S351" s="8" t="str">
        <f aca="false">IF(A351="","",IF(AND(Y351&lt;&gt;"参考",G351&gt;=ルール設定!$B$5,J351&gt;=ルール設定!$B$6,O351&gt;=ルール設定!$B$7),"○",""))</f>
        <v/>
      </c>
      <c r="T351" s="8" t="n">
        <v>3</v>
      </c>
      <c r="U351" s="8" t="n">
        <v>1</v>
      </c>
      <c r="V351" s="8" t="str">
        <f aca="false">IF(A351="","",IF(AND(ISNUMBER(T351),ISNUMBER(U351)),IF(AND(T351&lt;=3,U351&lt;=3),"○","×"),""))</f>
        <v>○</v>
      </c>
      <c r="W351" s="8" t="n">
        <v>120</v>
      </c>
      <c r="X351" s="8" t="n">
        <v>250</v>
      </c>
      <c r="Y351" s="4" t="s">
        <v>7597</v>
      </c>
      <c r="Z351" s="4" t="s">
        <v>7726</v>
      </c>
      <c r="AA351" s="8" t="str">
        <v/>
      </c>
      <c r="AB351" s="8" t="str">
        <v/>
      </c>
      <c r="AC351" s="8" t="str">
        <v/>
      </c>
      <c r="AD351" s="8" t="str">
        <v/>
      </c>
      <c r="AE351" s="8" t="str">
        <v/>
      </c>
      <c r="AF351" s="8" t="str">
        <v/>
      </c>
      <c r="AG351" s="8" t="str">
        <v/>
      </c>
      <c r="AH351" s="8" t="str">
        <v/>
      </c>
      <c r="AI351" s="8" t="n">
        <v>31</v>
      </c>
      <c r="AJ351" s="8" t="str">
        <v>60～69</v>
      </c>
      <c r="AK351" s="8" t="str">
        <v>20～29</v>
      </c>
      <c r="AL351" s="8" t="str">
        <v>30～39</v>
      </c>
      <c r="AM351" s="8" t="str">
        <v>100～119</v>
      </c>
      <c r="AN351" s="8" t="str">
        <v>12～14</v>
      </c>
      <c r="AO351" s="8" t="str">
        <f aca="false">IF(A351="","",IF(COUNTIFS(全馬データ!$A$2:$A$50000,A351,全馬データ!$B$2:$B$50000,B351,全馬データ!$C$2:$C$50000,C351,全馬データ!$D$2:$D$50000,E351,全馬データ!$K$2:$K$50000,"&lt;&gt;")=0,"",SUMIFS(全馬データ!$K$2:$K$50000,全馬データ!$A$2:$A$50000,A351,全馬データ!$B$2:$B$50000,B351,全馬データ!$C$2:$C$50000,C351,全馬データ!$D$2:$D$50000,E351)))</f>
        <v/>
      </c>
      <c r="AP351" s="8" t="str">
        <f aca="false">IF(A351="","",IF(AO351="","欠損",IF(AO351&lt;=1.1,"1.0～1.1",IF(AO351&lt;1.3,"1.2",IF(AO351&lt;1.5,"1.3～1.4",IF(AO351&lt;2,"1.5～1.9","2.0以上"))))))</f>
        <v>欠損</v>
      </c>
      <c r="AQ351" s="8" t="str">
        <f aca="false">IF(A351="","",IF(ISNUMBER(SEARCH("2歳",Z351)),"2歳戦",IF(ISNUMBER(SEARCH("3歳未勝利",Z351)),"3歳未勝利",IF(ISNUMBER(SEARCH("未勝利",Z351)),"その他未勝利",IF(ISNUMBER(SEARCH("G1",Z351)),"G1",IF(ISNUMBER(SEARCH("G2",Z351)),"G2",IF(ISNUMBER(SEARCH("G3",Z351)),"G3",IF(ISNUMBER(SEARCH("古馬条件",Z351)),"古馬条件戦",IF(ISNUMBER(SEARCH("重賞",Z351)),"重賞","分類不能")))))))))</f>
        <v>分類不能</v>
      </c>
      <c r="AR351" s="8"/>
      <c r="AS351" s="8" t="s">
        <v>7623</v>
      </c>
      <c r="AT351" s="8" t="s">
        <v>7624</v>
      </c>
      <c r="AU351" s="8" t="s">
        <v>7600</v>
      </c>
      <c r="AV351" s="4" t="s">
        <v>7601</v>
      </c>
      <c r="AW351" s="8"/>
      <c r="AX351" s="8"/>
      <c r="AY351" s="8" t="s">
        <v>7610</v>
      </c>
      <c r="AZ351" s="4" t="s">
        <v>7617</v>
      </c>
      <c r="BA351" s="8" t="n">
        <v>1700</v>
      </c>
      <c r="BB351" s="8" t="s">
        <v>7659</v>
      </c>
      <c r="BC351" s="4" t="s">
        <v>7619</v>
      </c>
      <c r="BD351" s="8" t="s">
        <v>7625</v>
      </c>
      <c r="BE351" s="4" t="s">
        <v>7606</v>
      </c>
      <c r="BF351" s="8" t="s">
        <v>7607</v>
      </c>
      <c r="BG351" s="8" t="s">
        <v>7608</v>
      </c>
      <c r="BH351" s="4" t="s">
        <v>7609</v>
      </c>
      <c r="BI351" s="8" t="n">
        <v>14</v>
      </c>
      <c r="BJ351" s="8" t="s">
        <v>7602</v>
      </c>
      <c r="BK351" s="4" t="s">
        <v>7653</v>
      </c>
      <c r="BL351" s="8" t="s">
        <v>7602</v>
      </c>
      <c r="BM351" s="4" t="s">
        <v>7620</v>
      </c>
      <c r="BN351" s="8"/>
      <c r="BO351" s="8"/>
      <c r="BP351" s="8" t="s">
        <v>7608</v>
      </c>
      <c r="BQ351" s="8" t="str">
        <f aca="false">IF(A351="","",AT351)</f>
        <v>3歳</v>
      </c>
      <c r="BR351" s="8" t="str">
        <f aca="false">IF(A351="","",IF(BA351&lt;=1200,"～1200",IF(BA351&lt;=1500,"1300～1500",IF(BA351=1600,"1600",IF(BA351&lt;=1800,"1700～1800",IF(BA351&lt;=2000,"1900～2000","2100以上"))))))</f>
        <v>1700～1800</v>
      </c>
      <c r="BS351" s="8" t="str">
        <f aca="false">IF(A351="","",IF(AX351="G1","G1",IF(AX351="G2","G2",IF(AX351="G3","G3",IF(AX351="L","L","その他")))))</f>
        <v>その他</v>
      </c>
      <c r="BT351" s="8" t="str">
        <f aca="false">IF(A351="","",IF(BI351="","未結合",IF(D351=BI351,"一致","不一致")))</f>
        <v>一致</v>
      </c>
      <c r="BU351" s="8" t="str">
        <f aca="false">IF(A351="","",IF(BE351="牝馬限定","牝馬限定","その他"))</f>
        <v>その他</v>
      </c>
    </row>
    <row r="352" customFormat="false" ht="15.75" hidden="false" customHeight="false" outlineLevel="0" collapsed="false">
      <c r="A352" s="6" t="n">
        <v>46201</v>
      </c>
      <c r="B352" s="4" t="s">
        <v>1237</v>
      </c>
      <c r="C352" s="8" t="n">
        <v>3</v>
      </c>
      <c r="D352" s="8" t="n">
        <v>12</v>
      </c>
      <c r="E352" s="8" t="n">
        <v>7</v>
      </c>
      <c r="F352" s="4" t="s">
        <v>1809</v>
      </c>
      <c r="G352" s="8" t="n">
        <v>65</v>
      </c>
      <c r="H352" s="8" t="n">
        <v>9</v>
      </c>
      <c r="I352" s="4" t="s">
        <v>1729</v>
      </c>
      <c r="J352" s="8" t="n">
        <v>60</v>
      </c>
      <c r="K352" s="8" t="n">
        <v>8</v>
      </c>
      <c r="L352" s="4" t="s">
        <v>860</v>
      </c>
      <c r="M352" s="8" t="n">
        <v>56</v>
      </c>
      <c r="N352" s="8" t="n">
        <v>5</v>
      </c>
      <c r="O352" s="8" t="n">
        <v>4</v>
      </c>
      <c r="P352" s="8" t="n">
        <v>125</v>
      </c>
      <c r="Q352" s="8" t="str">
        <f aca="false">IF(A352="","",IF(AND(Y352&lt;&gt;"参考",G352&gt;=ルール設定!$B$2),"○",""))</f>
        <v/>
      </c>
      <c r="R352" s="8" t="str">
        <f aca="false">IF(A352="","",IF(AND(Y352&lt;&gt;"参考",G352&gt;=ルール設定!$B$3,N352&gt;=ルール設定!$B$4),"○",""))</f>
        <v/>
      </c>
      <c r="S352" s="8" t="str">
        <f aca="false">IF(A352="","",IF(AND(Y352&lt;&gt;"参考",G352&gt;=ルール設定!$B$5,J352&gt;=ルール設定!$B$6,O352&gt;=ルール設定!$B$7),"○",""))</f>
        <v/>
      </c>
      <c r="T352" s="8" t="n">
        <v>1</v>
      </c>
      <c r="U352" s="8"/>
      <c r="V352" s="8" t="str">
        <f aca="false">IF(A352="","",IF(AND(ISNUMBER(T352),ISNUMBER(U352)),IF(AND(T352&lt;=3,U352&lt;=3),"○","×"),""))</f>
        <v/>
      </c>
      <c r="W352" s="8" t="n">
        <v>110</v>
      </c>
      <c r="X352" s="8"/>
      <c r="Y352" s="4" t="s">
        <v>7597</v>
      </c>
      <c r="Z352" s="4" t="s">
        <v>7726</v>
      </c>
      <c r="AA352" s="8" t="str">
        <v/>
      </c>
      <c r="AB352" s="8" t="str">
        <v/>
      </c>
      <c r="AC352" s="8" t="str">
        <v/>
      </c>
      <c r="AD352" s="8" t="str">
        <v/>
      </c>
      <c r="AE352" s="8" t="str">
        <v/>
      </c>
      <c r="AF352" s="8" t="str">
        <v/>
      </c>
      <c r="AG352" s="8" t="str">
        <v/>
      </c>
      <c r="AH352" s="8" t="str">
        <v/>
      </c>
      <c r="AI352" s="8" t="n">
        <v>9</v>
      </c>
      <c r="AJ352" s="8" t="str">
        <v>60～69</v>
      </c>
      <c r="AK352" s="8" t="str">
        <v>5～9</v>
      </c>
      <c r="AL352" s="8" t="str">
        <v>0～9</v>
      </c>
      <c r="AM352" s="8" t="str">
        <v>120～139</v>
      </c>
      <c r="AN352" s="8" t="str">
        <v>12～14</v>
      </c>
      <c r="AO352" s="8" t="str">
        <f aca="false">IF(A352="","",IF(COUNTIFS(全馬データ!$A$2:$A$50000,A352,全馬データ!$B$2:$B$50000,B352,全馬データ!$C$2:$C$50000,C352,全馬データ!$D$2:$D$50000,E352,全馬データ!$K$2:$K$50000,"&lt;&gt;")=0,"",SUMIFS(全馬データ!$K$2:$K$50000,全馬データ!$A$2:$A$50000,A352,全馬データ!$B$2:$B$50000,B352,全馬データ!$C$2:$C$50000,C352,全馬データ!$D$2:$D$50000,E352)))</f>
        <v/>
      </c>
      <c r="AP352" s="8" t="str">
        <f aca="false">IF(A352="","",IF(AO352="","欠損",IF(AO352&lt;=1.1,"1.0～1.1",IF(AO352&lt;1.3,"1.2",IF(AO352&lt;1.5,"1.3～1.4",IF(AO352&lt;2,"1.5～1.9","2.0以上"))))))</f>
        <v>欠損</v>
      </c>
      <c r="AQ352" s="8" t="str">
        <f aca="false">IF(A352="","",IF(ISNUMBER(SEARCH("2歳",Z352)),"2歳戦",IF(ISNUMBER(SEARCH("3歳未勝利",Z352)),"3歳未勝利",IF(ISNUMBER(SEARCH("未勝利",Z352)),"その他未勝利",IF(ISNUMBER(SEARCH("G1",Z352)),"G1",IF(ISNUMBER(SEARCH("G2",Z352)),"G2",IF(ISNUMBER(SEARCH("G3",Z352)),"G3",IF(ISNUMBER(SEARCH("古馬条件",Z352)),"古馬条件戦",IF(ISNUMBER(SEARCH("重賞",Z352)),"重賞","分類不能")))))))))</f>
        <v>分類不能</v>
      </c>
      <c r="AR352" s="8"/>
      <c r="AS352" s="8" t="s">
        <v>7623</v>
      </c>
      <c r="AT352" s="8" t="s">
        <v>7624</v>
      </c>
      <c r="AU352" s="8" t="s">
        <v>7600</v>
      </c>
      <c r="AV352" s="4" t="s">
        <v>7601</v>
      </c>
      <c r="AW352" s="8"/>
      <c r="AX352" s="8"/>
      <c r="AY352" s="8" t="s">
        <v>7610</v>
      </c>
      <c r="AZ352" s="4" t="s">
        <v>7617</v>
      </c>
      <c r="BA352" s="8" t="n">
        <v>1000</v>
      </c>
      <c r="BB352" s="8" t="s">
        <v>7659</v>
      </c>
      <c r="BC352" s="4" t="s">
        <v>7619</v>
      </c>
      <c r="BD352" s="8" t="s">
        <v>7605</v>
      </c>
      <c r="BE352" s="4" t="s">
        <v>7606</v>
      </c>
      <c r="BF352" s="8" t="s">
        <v>7607</v>
      </c>
      <c r="BG352" s="8" t="s">
        <v>7608</v>
      </c>
      <c r="BH352" s="4" t="s">
        <v>7609</v>
      </c>
      <c r="BI352" s="8" t="n">
        <v>12</v>
      </c>
      <c r="BJ352" s="8" t="s">
        <v>7602</v>
      </c>
      <c r="BK352" s="4" t="s">
        <v>7653</v>
      </c>
      <c r="BL352" s="8" t="s">
        <v>7602</v>
      </c>
      <c r="BM352" s="4" t="s">
        <v>7620</v>
      </c>
      <c r="BN352" s="8"/>
      <c r="BO352" s="8"/>
      <c r="BP352" s="8" t="s">
        <v>7608</v>
      </c>
      <c r="BQ352" s="8" t="str">
        <f aca="false">IF(A352="","",AT352)</f>
        <v>3歳</v>
      </c>
      <c r="BR352" s="8" t="str">
        <f aca="false">IF(A352="","",IF(BA352&lt;=1200,"～1200",IF(BA352&lt;=1500,"1300～1500",IF(BA352=1600,"1600",IF(BA352&lt;=1800,"1700～1800",IF(BA352&lt;=2000,"1900～2000","2100以上"))))))</f>
        <v>～1200</v>
      </c>
      <c r="BS352" s="8" t="str">
        <f aca="false">IF(A352="","",IF(AX352="G1","G1",IF(AX352="G2","G2",IF(AX352="G3","G3",IF(AX352="L","L","その他")))))</f>
        <v>その他</v>
      </c>
      <c r="BT352" s="8" t="str">
        <f aca="false">IF(A352="","",IF(BI352="","未結合",IF(D352=BI352,"一致","不一致")))</f>
        <v>一致</v>
      </c>
      <c r="BU352" s="8" t="str">
        <f aca="false">IF(A352="","",IF(BE352="牝馬限定","牝馬限定","その他"))</f>
        <v>その他</v>
      </c>
    </row>
    <row r="353" customFormat="false" ht="15.75" hidden="false" customHeight="false" outlineLevel="0" collapsed="false">
      <c r="A353" s="6" t="n">
        <v>46201</v>
      </c>
      <c r="B353" s="4" t="s">
        <v>1237</v>
      </c>
      <c r="C353" s="8" t="n">
        <v>4</v>
      </c>
      <c r="D353" s="8" t="n">
        <v>16</v>
      </c>
      <c r="E353" s="8" t="n">
        <v>3</v>
      </c>
      <c r="F353" s="4" t="s">
        <v>3514</v>
      </c>
      <c r="G353" s="8" t="n">
        <v>47</v>
      </c>
      <c r="H353" s="8" t="n">
        <v>10</v>
      </c>
      <c r="I353" s="4" t="s">
        <v>3519</v>
      </c>
      <c r="J353" s="8" t="n">
        <v>44</v>
      </c>
      <c r="K353" s="8" t="n">
        <v>14</v>
      </c>
      <c r="L353" s="4" t="s">
        <v>1042</v>
      </c>
      <c r="M353" s="8" t="n">
        <v>39</v>
      </c>
      <c r="N353" s="8" t="n">
        <v>3</v>
      </c>
      <c r="O353" s="8" t="n">
        <v>5</v>
      </c>
      <c r="P353" s="8" t="n">
        <v>91</v>
      </c>
      <c r="Q353" s="8" t="str">
        <f aca="false">IF(A353="","",IF(AND(Y353&lt;&gt;"参考",G353&gt;=ルール設定!$B$2),"○",""))</f>
        <v/>
      </c>
      <c r="R353" s="8" t="str">
        <f aca="false">IF(A353="","",IF(AND(Y353&lt;&gt;"参考",G353&gt;=ルール設定!$B$3,N353&gt;=ルール設定!$B$4),"○",""))</f>
        <v/>
      </c>
      <c r="S353" s="8" t="str">
        <f aca="false">IF(A353="","",IF(AND(Y353&lt;&gt;"参考",G353&gt;=ルール設定!$B$5,J353&gt;=ルール設定!$B$6,O353&gt;=ルール設定!$B$7),"○",""))</f>
        <v/>
      </c>
      <c r="T353" s="8" t="n">
        <v>4</v>
      </c>
      <c r="U353" s="8" t="n">
        <v>4</v>
      </c>
      <c r="V353" s="8" t="str">
        <f aca="false">IF(A353="","",IF(AND(ISNUMBER(T353),ISNUMBER(U353)),IF(AND(T353&lt;=3,U353&lt;=3),"○","×"),""))</f>
        <v>×</v>
      </c>
      <c r="W353" s="8"/>
      <c r="X353" s="8"/>
      <c r="Y353" s="4" t="s">
        <v>7597</v>
      </c>
      <c r="Z353" s="4" t="s">
        <v>7726</v>
      </c>
      <c r="AA353" s="8" t="str">
        <v/>
      </c>
      <c r="AB353" s="8" t="str">
        <v/>
      </c>
      <c r="AC353" s="8" t="str">
        <v/>
      </c>
      <c r="AD353" s="8" t="str">
        <v/>
      </c>
      <c r="AE353" s="8" t="str">
        <v/>
      </c>
      <c r="AF353" s="8" t="str">
        <v/>
      </c>
      <c r="AG353" s="8" t="str">
        <v/>
      </c>
      <c r="AH353" s="8" t="str">
        <v/>
      </c>
      <c r="AI353" s="8" t="n">
        <v>8</v>
      </c>
      <c r="AJ353" s="8" t="str">
        <v>～59</v>
      </c>
      <c r="AK353" s="8" t="str">
        <v>0～4</v>
      </c>
      <c r="AL353" s="8" t="str">
        <v>0～9</v>
      </c>
      <c r="AM353" s="8" t="str">
        <v>～99</v>
      </c>
      <c r="AN353" s="8" t="str">
        <v>15以上</v>
      </c>
      <c r="AO353" s="8" t="str">
        <f aca="false">IF(A353="","",IF(COUNTIFS(全馬データ!$A$2:$A$50000,A353,全馬データ!$B$2:$B$50000,B353,全馬データ!$C$2:$C$50000,C353,全馬データ!$D$2:$D$50000,E353,全馬データ!$K$2:$K$50000,"&lt;&gt;")=0,"",SUMIFS(全馬データ!$K$2:$K$50000,全馬データ!$A$2:$A$50000,A353,全馬データ!$B$2:$B$50000,B353,全馬データ!$C$2:$C$50000,C353,全馬データ!$D$2:$D$50000,E353)))</f>
        <v/>
      </c>
      <c r="AP353" s="8" t="str">
        <f aca="false">IF(A353="","",IF(AO353="","欠損",IF(AO353&lt;=1.1,"1.0～1.1",IF(AO353&lt;1.3,"1.2",IF(AO353&lt;1.5,"1.3～1.4",IF(AO353&lt;2,"1.5～1.9","2.0以上"))))))</f>
        <v>欠損</v>
      </c>
      <c r="AQ353" s="8" t="str">
        <f aca="false">IF(A353="","",IF(ISNUMBER(SEARCH("2歳",Z353)),"2歳戦",IF(ISNUMBER(SEARCH("3歳未勝利",Z353)),"3歳未勝利",IF(ISNUMBER(SEARCH("未勝利",Z353)),"その他未勝利",IF(ISNUMBER(SEARCH("G1",Z353)),"G1",IF(ISNUMBER(SEARCH("G2",Z353)),"G2",IF(ISNUMBER(SEARCH("G3",Z353)),"G3",IF(ISNUMBER(SEARCH("古馬条件",Z353)),"古馬条件戦",IF(ISNUMBER(SEARCH("重賞",Z353)),"重賞","分類不能")))))))))</f>
        <v>分類不能</v>
      </c>
      <c r="AR353" s="8"/>
      <c r="AS353" s="8" t="s">
        <v>7623</v>
      </c>
      <c r="AT353" s="8" t="s">
        <v>7624</v>
      </c>
      <c r="AU353" s="8" t="s">
        <v>7600</v>
      </c>
      <c r="AV353" s="4" t="s">
        <v>7601</v>
      </c>
      <c r="AW353" s="8"/>
      <c r="AX353" s="8"/>
      <c r="AY353" s="8" t="s">
        <v>7602</v>
      </c>
      <c r="AZ353" s="4" t="s">
        <v>7603</v>
      </c>
      <c r="BA353" s="8" t="n">
        <v>2600</v>
      </c>
      <c r="BB353" s="8" t="s">
        <v>7598</v>
      </c>
      <c r="BC353" s="4" t="s">
        <v>7604</v>
      </c>
      <c r="BD353" s="8" t="s">
        <v>7625</v>
      </c>
      <c r="BE353" s="4" t="s">
        <v>7606</v>
      </c>
      <c r="BF353" s="8" t="s">
        <v>7607</v>
      </c>
      <c r="BG353" s="8" t="s">
        <v>7608</v>
      </c>
      <c r="BH353" s="4" t="s">
        <v>7609</v>
      </c>
      <c r="BI353" s="8" t="n">
        <v>16</v>
      </c>
      <c r="BJ353" s="8" t="s">
        <v>7602</v>
      </c>
      <c r="BK353" s="4" t="s">
        <v>7653</v>
      </c>
      <c r="BL353" s="8" t="s">
        <v>7602</v>
      </c>
      <c r="BM353" s="4" t="s">
        <v>7620</v>
      </c>
      <c r="BN353" s="8" t="s">
        <v>7602</v>
      </c>
      <c r="BO353" s="8" t="s">
        <v>7613</v>
      </c>
      <c r="BP353" s="8" t="s">
        <v>7608</v>
      </c>
      <c r="BQ353" s="8" t="str">
        <f aca="false">IF(A353="","",AT353)</f>
        <v>3歳</v>
      </c>
      <c r="BR353" s="8" t="str">
        <f aca="false">IF(A353="","",IF(BA353&lt;=1200,"～1200",IF(BA353&lt;=1500,"1300～1500",IF(BA353=1600,"1600",IF(BA353&lt;=1800,"1700～1800",IF(BA353&lt;=2000,"1900～2000","2100以上"))))))</f>
        <v>2100以上</v>
      </c>
      <c r="BS353" s="8" t="str">
        <f aca="false">IF(A353="","",IF(AX353="G1","G1",IF(AX353="G2","G2",IF(AX353="G3","G3",IF(AX353="L","L","その他")))))</f>
        <v>その他</v>
      </c>
      <c r="BT353" s="8" t="str">
        <f aca="false">IF(A353="","",IF(BI353="","未結合",IF(D353=BI353,"一致","不一致")))</f>
        <v>一致</v>
      </c>
      <c r="BU353" s="8" t="str">
        <f aca="false">IF(A353="","",IF(BE353="牝馬限定","牝馬限定","その他"))</f>
        <v>その他</v>
      </c>
    </row>
    <row r="354" customFormat="false" ht="15.75" hidden="false" customHeight="false" outlineLevel="0" collapsed="false">
      <c r="A354" s="6" t="n">
        <v>46201</v>
      </c>
      <c r="B354" s="4" t="s">
        <v>1237</v>
      </c>
      <c r="C354" s="8" t="n">
        <v>5</v>
      </c>
      <c r="D354" s="8" t="n">
        <v>6</v>
      </c>
      <c r="E354" s="8" t="n">
        <v>1</v>
      </c>
      <c r="F354" s="4" t="s">
        <v>1721</v>
      </c>
      <c r="G354" s="8" t="n">
        <v>37</v>
      </c>
      <c r="H354" s="8" t="n">
        <v>2</v>
      </c>
      <c r="I354" s="4" t="s">
        <v>1853</v>
      </c>
      <c r="J354" s="8" t="n">
        <v>37</v>
      </c>
      <c r="K354" s="8" t="n">
        <v>4</v>
      </c>
      <c r="L354" s="4" t="s">
        <v>3521</v>
      </c>
      <c r="M354" s="8" t="n">
        <v>27</v>
      </c>
      <c r="N354" s="8" t="n">
        <v>0</v>
      </c>
      <c r="O354" s="8" t="n">
        <v>10</v>
      </c>
      <c r="P354" s="8" t="n">
        <v>74</v>
      </c>
      <c r="Q354" s="8" t="str">
        <f aca="false">IF(A354="","",IF(AND(Y354&lt;&gt;"参考",G354&gt;=ルール設定!$B$2),"○",""))</f>
        <v/>
      </c>
      <c r="R354" s="8" t="str">
        <f aca="false">IF(A354="","",IF(AND(Y354&lt;&gt;"参考",G354&gt;=ルール設定!$B$3,N354&gt;=ルール設定!$B$4),"○",""))</f>
        <v/>
      </c>
      <c r="S354" s="8" t="str">
        <f aca="false">IF(A354="","",IF(AND(Y354&lt;&gt;"参考",G354&gt;=ルール設定!$B$5,J354&gt;=ルール設定!$B$6,O354&gt;=ルール設定!$B$7),"○",""))</f>
        <v/>
      </c>
      <c r="T354" s="8" t="n">
        <v>2</v>
      </c>
      <c r="U354" s="8" t="n">
        <v>1</v>
      </c>
      <c r="V354" s="8" t="str">
        <f aca="false">IF(A354="","",IF(AND(ISNUMBER(T354),ISNUMBER(U354)),IF(AND(T354&lt;=3,U354&lt;=3),"○","×"),""))</f>
        <v>○</v>
      </c>
      <c r="W354" s="8" t="n">
        <v>120</v>
      </c>
      <c r="X354" s="8" t="n">
        <v>110</v>
      </c>
      <c r="Y354" s="4" t="s">
        <v>7597</v>
      </c>
      <c r="Z354" s="4" t="s">
        <v>7726</v>
      </c>
      <c r="AA354" s="8" t="str">
        <v/>
      </c>
      <c r="AB354" s="8" t="str">
        <v/>
      </c>
      <c r="AC354" s="8" t="str">
        <v/>
      </c>
      <c r="AD354" s="8" t="str">
        <v/>
      </c>
      <c r="AE354" s="8" t="str">
        <v/>
      </c>
      <c r="AF354" s="8" t="str">
        <v/>
      </c>
      <c r="AG354" s="8" t="str">
        <v/>
      </c>
      <c r="AH354" s="8" t="str">
        <v/>
      </c>
      <c r="AI354" s="8" t="n">
        <v>10</v>
      </c>
      <c r="AJ354" s="8" t="str">
        <v>～59</v>
      </c>
      <c r="AK354" s="8" t="str">
        <v>0～4</v>
      </c>
      <c r="AL354" s="8" t="str">
        <v>10～19</v>
      </c>
      <c r="AM354" s="8" t="str">
        <v>～99</v>
      </c>
      <c r="AN354" s="8" t="str">
        <v>7以下</v>
      </c>
      <c r="AO354" s="8" t="str">
        <f aca="false">IF(A354="","",IF(COUNTIFS(全馬データ!$A$2:$A$50000,A354,全馬データ!$B$2:$B$50000,B354,全馬データ!$C$2:$C$50000,C354,全馬データ!$D$2:$D$50000,E354,全馬データ!$K$2:$K$50000,"&lt;&gt;")=0,"",SUMIFS(全馬データ!$K$2:$K$50000,全馬データ!$A$2:$A$50000,A354,全馬データ!$B$2:$B$50000,B354,全馬データ!$C$2:$C$50000,C354,全馬データ!$D$2:$D$50000,E354)))</f>
        <v/>
      </c>
      <c r="AP354" s="8" t="str">
        <f aca="false">IF(A354="","",IF(AO354="","欠損",IF(AO354&lt;=1.1,"1.0～1.1",IF(AO354&lt;1.3,"1.2",IF(AO354&lt;1.5,"1.3～1.4",IF(AO354&lt;2,"1.5～1.9","2.0以上"))))))</f>
        <v>欠損</v>
      </c>
      <c r="AQ354" s="8" t="str">
        <f aca="false">IF(A354="","",IF(ISNUMBER(SEARCH("2歳",Z354)),"2歳戦",IF(ISNUMBER(SEARCH("3歳未勝利",Z354)),"3歳未勝利",IF(ISNUMBER(SEARCH("未勝利",Z354)),"その他未勝利",IF(ISNUMBER(SEARCH("G1",Z354)),"G1",IF(ISNUMBER(SEARCH("G2",Z354)),"G2",IF(ISNUMBER(SEARCH("G3",Z354)),"G3",IF(ISNUMBER(SEARCH("古馬条件",Z354)),"古馬条件戦",IF(ISNUMBER(SEARCH("重賞",Z354)),"重賞","分類不能")))))))))</f>
        <v>分類不能</v>
      </c>
      <c r="AR354" s="8"/>
      <c r="AS354" s="8" t="s">
        <v>7598</v>
      </c>
      <c r="AT354" s="8" t="s">
        <v>7599</v>
      </c>
      <c r="AU354" s="8" t="s">
        <v>7615</v>
      </c>
      <c r="AV354" s="4" t="s">
        <v>7616</v>
      </c>
      <c r="AW354" s="8"/>
      <c r="AX354" s="8"/>
      <c r="AY354" s="8" t="s">
        <v>7602</v>
      </c>
      <c r="AZ354" s="4" t="s">
        <v>7603</v>
      </c>
      <c r="BA354" s="8" t="n">
        <v>1200</v>
      </c>
      <c r="BB354" s="8" t="s">
        <v>7598</v>
      </c>
      <c r="BC354" s="4" t="s">
        <v>7604</v>
      </c>
      <c r="BD354" s="8" t="s">
        <v>7605</v>
      </c>
      <c r="BE354" s="4" t="s">
        <v>7606</v>
      </c>
      <c r="BF354" s="8" t="s">
        <v>7607</v>
      </c>
      <c r="BG354" s="8" t="s">
        <v>7608</v>
      </c>
      <c r="BH354" s="4" t="s">
        <v>7609</v>
      </c>
      <c r="BI354" s="8" t="n">
        <v>6</v>
      </c>
      <c r="BJ354" s="8" t="s">
        <v>7602</v>
      </c>
      <c r="BK354" s="4" t="s">
        <v>7653</v>
      </c>
      <c r="BL354" s="8" t="s">
        <v>7602</v>
      </c>
      <c r="BM354" s="4" t="s">
        <v>7620</v>
      </c>
      <c r="BN354" s="8" t="s">
        <v>7602</v>
      </c>
      <c r="BO354" s="8" t="s">
        <v>7613</v>
      </c>
      <c r="BP354" s="8" t="s">
        <v>7608</v>
      </c>
      <c r="BQ354" s="8" t="str">
        <f aca="false">IF(A354="","",AT354)</f>
        <v>2歳</v>
      </c>
      <c r="BR354" s="8" t="str">
        <f aca="false">IF(A354="","",IF(BA354&lt;=1200,"～1200",IF(BA354&lt;=1500,"1300～1500",IF(BA354=1600,"1600",IF(BA354&lt;=1800,"1700～1800",IF(BA354&lt;=2000,"1900～2000","2100以上"))))))</f>
        <v>～1200</v>
      </c>
      <c r="BS354" s="8" t="str">
        <f aca="false">IF(A354="","",IF(AX354="G1","G1",IF(AX354="G2","G2",IF(AX354="G3","G3",IF(AX354="L","L","その他")))))</f>
        <v>その他</v>
      </c>
      <c r="BT354" s="8" t="str">
        <f aca="false">IF(A354="","",IF(BI354="","未結合",IF(D354=BI354,"一致","不一致")))</f>
        <v>一致</v>
      </c>
      <c r="BU354" s="8" t="str">
        <f aca="false">IF(A354="","",IF(BE354="牝馬限定","牝馬限定","その他"))</f>
        <v>その他</v>
      </c>
    </row>
    <row r="355" customFormat="false" ht="15.75" hidden="false" customHeight="false" outlineLevel="0" collapsed="false">
      <c r="A355" s="6" t="n">
        <v>46201</v>
      </c>
      <c r="B355" s="4" t="s">
        <v>1237</v>
      </c>
      <c r="C355" s="8" t="n">
        <v>6</v>
      </c>
      <c r="D355" s="8" t="n">
        <v>16</v>
      </c>
      <c r="E355" s="8" t="n">
        <v>14</v>
      </c>
      <c r="F355" s="4" t="s">
        <v>1336</v>
      </c>
      <c r="G355" s="8" t="n">
        <v>74</v>
      </c>
      <c r="H355" s="8" t="n">
        <v>15</v>
      </c>
      <c r="I355" s="4" t="s">
        <v>2597</v>
      </c>
      <c r="J355" s="8" t="n">
        <v>44</v>
      </c>
      <c r="K355" s="8" t="n">
        <v>11</v>
      </c>
      <c r="L355" s="4" t="s">
        <v>3525</v>
      </c>
      <c r="M355" s="8" t="n">
        <v>23</v>
      </c>
      <c r="N355" s="8" t="n">
        <v>30</v>
      </c>
      <c r="O355" s="8" t="n">
        <v>21</v>
      </c>
      <c r="P355" s="8" t="n">
        <v>118</v>
      </c>
      <c r="Q355" s="8" t="str">
        <f aca="false">IF(A355="","",IF(AND(Y355&lt;&gt;"参考",G355&gt;=ルール設定!$B$2),"○",""))</f>
        <v/>
      </c>
      <c r="R355" s="8" t="str">
        <f aca="false">IF(A355="","",IF(AND(Y355&lt;&gt;"参考",G355&gt;=ルール設定!$B$3,N355&gt;=ルール設定!$B$4),"○",""))</f>
        <v>○</v>
      </c>
      <c r="S355" s="8" t="str">
        <f aca="false">IF(A355="","",IF(AND(Y355&lt;&gt;"参考",G355&gt;=ルール設定!$B$5,J355&gt;=ルール設定!$B$6,O355&gt;=ルール設定!$B$7),"○",""))</f>
        <v/>
      </c>
      <c r="T355" s="8" t="n">
        <v>1</v>
      </c>
      <c r="U355" s="8" t="n">
        <v>4</v>
      </c>
      <c r="V355" s="8" t="str">
        <f aca="false">IF(A355="","",IF(AND(ISNUMBER(T355),ISNUMBER(U355)),IF(AND(T355&lt;=3,U355&lt;=3),"○","×"),""))</f>
        <v>×</v>
      </c>
      <c r="W355" s="8" t="n">
        <v>110</v>
      </c>
      <c r="X355" s="8"/>
      <c r="Y355" s="4" t="s">
        <v>7597</v>
      </c>
      <c r="Z355" s="4" t="s">
        <v>7726</v>
      </c>
      <c r="AA355" s="8" t="str">
        <v/>
      </c>
      <c r="AB355" s="8" t="str">
        <v/>
      </c>
      <c r="AC355" s="8" t="str">
        <v/>
      </c>
      <c r="AD355" s="8" t="str">
        <v/>
      </c>
      <c r="AE355" s="8" t="str">
        <v>○</v>
      </c>
      <c r="AF355" s="8" t="str">
        <v/>
      </c>
      <c r="AG355" s="8" t="str">
        <v/>
      </c>
      <c r="AH355" s="8" t="str">
        <v/>
      </c>
      <c r="AI355" s="8" t="n">
        <v>51</v>
      </c>
      <c r="AJ355" s="8" t="str">
        <v>70～74</v>
      </c>
      <c r="AK355" s="8" t="str">
        <v>30以上</v>
      </c>
      <c r="AL355" s="8" t="str">
        <v>40以上</v>
      </c>
      <c r="AM355" s="8" t="str">
        <v>100～119</v>
      </c>
      <c r="AN355" s="8" t="str">
        <v>15以上</v>
      </c>
      <c r="AO355" s="8" t="str">
        <f aca="false">IF(A355="","",IF(COUNTIFS(全馬データ!$A$2:$A$50000,A355,全馬データ!$B$2:$B$50000,B355,全馬データ!$C$2:$C$50000,C355,全馬データ!$D$2:$D$50000,E355,全馬データ!$K$2:$K$50000,"&lt;&gt;")=0,"",SUMIFS(全馬データ!$K$2:$K$50000,全馬データ!$A$2:$A$50000,A355,全馬データ!$B$2:$B$50000,B355,全馬データ!$C$2:$C$50000,C355,全馬データ!$D$2:$D$50000,E355)))</f>
        <v/>
      </c>
      <c r="AP355" s="8" t="str">
        <f aca="false">IF(A355="","",IF(AO355="","欠損",IF(AO355&lt;=1.1,"1.0～1.1",IF(AO355&lt;1.3,"1.2",IF(AO355&lt;1.5,"1.3～1.4",IF(AO355&lt;2,"1.5～1.9","2.0以上"))))))</f>
        <v>欠損</v>
      </c>
      <c r="AQ355" s="8" t="str">
        <f aca="false">IF(A355="","",IF(ISNUMBER(SEARCH("2歳",Z355)),"2歳戦",IF(ISNUMBER(SEARCH("3歳未勝利",Z355)),"3歳未勝利",IF(ISNUMBER(SEARCH("未勝利",Z355)),"その他未勝利",IF(ISNUMBER(SEARCH("G1",Z355)),"G1",IF(ISNUMBER(SEARCH("G2",Z355)),"G2",IF(ISNUMBER(SEARCH("G3",Z355)),"G3",IF(ISNUMBER(SEARCH("古馬条件",Z355)),"古馬条件戦",IF(ISNUMBER(SEARCH("重賞",Z355)),"重賞","分類不能")))))))))</f>
        <v>分類不能</v>
      </c>
      <c r="AR355" s="8"/>
      <c r="AS355" s="8" t="s">
        <v>7623</v>
      </c>
      <c r="AT355" s="8" t="s">
        <v>7624</v>
      </c>
      <c r="AU355" s="8" t="s">
        <v>7600</v>
      </c>
      <c r="AV355" s="4" t="s">
        <v>7601</v>
      </c>
      <c r="AW355" s="8"/>
      <c r="AX355" s="8"/>
      <c r="AY355" s="8" t="s">
        <v>7602</v>
      </c>
      <c r="AZ355" s="4" t="s">
        <v>7603</v>
      </c>
      <c r="BA355" s="8" t="n">
        <v>2000</v>
      </c>
      <c r="BB355" s="8" t="s">
        <v>7598</v>
      </c>
      <c r="BC355" s="4" t="s">
        <v>7604</v>
      </c>
      <c r="BD355" s="8" t="s">
        <v>7605</v>
      </c>
      <c r="BE355" s="4" t="s">
        <v>7606</v>
      </c>
      <c r="BF355" s="8" t="s">
        <v>7607</v>
      </c>
      <c r="BG355" s="8" t="s">
        <v>7608</v>
      </c>
      <c r="BH355" s="4" t="s">
        <v>7609</v>
      </c>
      <c r="BI355" s="8" t="n">
        <v>16</v>
      </c>
      <c r="BJ355" s="8" t="s">
        <v>7602</v>
      </c>
      <c r="BK355" s="4" t="s">
        <v>7653</v>
      </c>
      <c r="BL355" s="8" t="s">
        <v>7602</v>
      </c>
      <c r="BM355" s="4" t="s">
        <v>7620</v>
      </c>
      <c r="BN355" s="8" t="s">
        <v>7602</v>
      </c>
      <c r="BO355" s="8" t="s">
        <v>7613</v>
      </c>
      <c r="BP355" s="8" t="s">
        <v>7608</v>
      </c>
      <c r="BQ355" s="8" t="str">
        <f aca="false">IF(A355="","",AT355)</f>
        <v>3歳</v>
      </c>
      <c r="BR355" s="8" t="str">
        <f aca="false">IF(A355="","",IF(BA355&lt;=1200,"～1200",IF(BA355&lt;=1500,"1300～1500",IF(BA355=1600,"1600",IF(BA355&lt;=1800,"1700～1800",IF(BA355&lt;=2000,"1900～2000","2100以上"))))))</f>
        <v>1900～2000</v>
      </c>
      <c r="BS355" s="8" t="str">
        <f aca="false">IF(A355="","",IF(AX355="G1","G1",IF(AX355="G2","G2",IF(AX355="G3","G3",IF(AX355="L","L","その他")))))</f>
        <v>その他</v>
      </c>
      <c r="BT355" s="8" t="str">
        <f aca="false">IF(A355="","",IF(BI355="","未結合",IF(D355=BI355,"一致","不一致")))</f>
        <v>一致</v>
      </c>
      <c r="BU355" s="8" t="str">
        <f aca="false">IF(A355="","",IF(BE355="牝馬限定","牝馬限定","その他"))</f>
        <v>その他</v>
      </c>
    </row>
    <row r="356" customFormat="false" ht="15.75" hidden="false" customHeight="false" outlineLevel="0" collapsed="false">
      <c r="A356" s="6" t="n">
        <v>46201</v>
      </c>
      <c r="B356" s="4" t="s">
        <v>1237</v>
      </c>
      <c r="C356" s="8" t="n">
        <v>7</v>
      </c>
      <c r="D356" s="8" t="n">
        <v>10</v>
      </c>
      <c r="E356" s="8" t="n">
        <v>7</v>
      </c>
      <c r="F356" s="4" t="s">
        <v>2626</v>
      </c>
      <c r="G356" s="8" t="n">
        <v>56</v>
      </c>
      <c r="H356" s="8" t="n">
        <v>4</v>
      </c>
      <c r="I356" s="4" t="s">
        <v>3527</v>
      </c>
      <c r="J356" s="8" t="n">
        <v>44</v>
      </c>
      <c r="K356" s="8" t="n">
        <v>5</v>
      </c>
      <c r="L356" s="4" t="s">
        <v>2624</v>
      </c>
      <c r="M356" s="8" t="n">
        <v>41</v>
      </c>
      <c r="N356" s="8" t="n">
        <v>12</v>
      </c>
      <c r="O356" s="8" t="n">
        <v>3</v>
      </c>
      <c r="P356" s="8" t="n">
        <v>100</v>
      </c>
      <c r="Q356" s="8" t="str">
        <f aca="false">IF(A356="","",IF(AND(Y356&lt;&gt;"参考",G356&gt;=ルール設定!$B$2),"○",""))</f>
        <v/>
      </c>
      <c r="R356" s="8" t="str">
        <f aca="false">IF(A356="","",IF(AND(Y356&lt;&gt;"参考",G356&gt;=ルール設定!$B$3,N356&gt;=ルール設定!$B$4),"○",""))</f>
        <v/>
      </c>
      <c r="S356" s="8" t="str">
        <f aca="false">IF(A356="","",IF(AND(Y356&lt;&gt;"参考",G356&gt;=ルール設定!$B$5,J356&gt;=ルール設定!$B$6,O356&gt;=ルール設定!$B$7),"○",""))</f>
        <v/>
      </c>
      <c r="T356" s="8" t="n">
        <v>4</v>
      </c>
      <c r="U356" s="8" t="n">
        <v>1</v>
      </c>
      <c r="V356" s="8" t="str">
        <f aca="false">IF(A356="","",IF(AND(ISNUMBER(T356),ISNUMBER(U356)),IF(AND(T356&lt;=3,U356&lt;=3),"○","×"),""))</f>
        <v>×</v>
      </c>
      <c r="W356" s="8"/>
      <c r="X356" s="8"/>
      <c r="Y356" s="4" t="s">
        <v>7597</v>
      </c>
      <c r="Z356" s="4" t="s">
        <v>7726</v>
      </c>
      <c r="AA356" s="8" t="str">
        <v/>
      </c>
      <c r="AB356" s="8" t="str">
        <v/>
      </c>
      <c r="AC356" s="8" t="str">
        <v/>
      </c>
      <c r="AD356" s="8" t="str">
        <v/>
      </c>
      <c r="AE356" s="8" t="str">
        <v/>
      </c>
      <c r="AF356" s="8" t="str">
        <v/>
      </c>
      <c r="AG356" s="8" t="str">
        <v/>
      </c>
      <c r="AH356" s="8" t="str">
        <v/>
      </c>
      <c r="AI356" s="8" t="n">
        <v>15</v>
      </c>
      <c r="AJ356" s="8" t="str">
        <v>～59</v>
      </c>
      <c r="AK356" s="8" t="str">
        <v>10～19</v>
      </c>
      <c r="AL356" s="8" t="str">
        <v>10～19</v>
      </c>
      <c r="AM356" s="8" t="str">
        <v>100～119</v>
      </c>
      <c r="AN356" s="8" t="str">
        <v>8～11</v>
      </c>
      <c r="AO356" s="8" t="str">
        <f aca="false">IF(A356="","",IF(COUNTIFS(全馬データ!$A$2:$A$50000,A356,全馬データ!$B$2:$B$50000,B356,全馬データ!$C$2:$C$50000,C356,全馬データ!$D$2:$D$50000,E356,全馬データ!$K$2:$K$50000,"&lt;&gt;")=0,"",SUMIFS(全馬データ!$K$2:$K$50000,全馬データ!$A$2:$A$50000,A356,全馬データ!$B$2:$B$50000,B356,全馬データ!$C$2:$C$50000,C356,全馬データ!$D$2:$D$50000,E356)))</f>
        <v/>
      </c>
      <c r="AP356" s="8" t="str">
        <f aca="false">IF(A356="","",IF(AO356="","欠損",IF(AO356&lt;=1.1,"1.0～1.1",IF(AO356&lt;1.3,"1.2",IF(AO356&lt;1.5,"1.3～1.4",IF(AO356&lt;2,"1.5～1.9","2.0以上"))))))</f>
        <v>欠損</v>
      </c>
      <c r="AQ356" s="8" t="str">
        <f aca="false">IF(A356="","",IF(ISNUMBER(SEARCH("2歳",Z356)),"2歳戦",IF(ISNUMBER(SEARCH("3歳未勝利",Z356)),"3歳未勝利",IF(ISNUMBER(SEARCH("未勝利",Z356)),"その他未勝利",IF(ISNUMBER(SEARCH("G1",Z356)),"G1",IF(ISNUMBER(SEARCH("G2",Z356)),"G2",IF(ISNUMBER(SEARCH("G3",Z356)),"G3",IF(ISNUMBER(SEARCH("古馬条件",Z356)),"古馬条件戦",IF(ISNUMBER(SEARCH("重賞",Z356)),"重賞","分類不能")))))))))</f>
        <v>分類不能</v>
      </c>
      <c r="AR356" s="8"/>
      <c r="AS356" s="8" t="s">
        <v>7626</v>
      </c>
      <c r="AT356" s="8" t="s">
        <v>7627</v>
      </c>
      <c r="AU356" s="8" t="s">
        <v>7628</v>
      </c>
      <c r="AV356" s="8" t="s">
        <v>7629</v>
      </c>
      <c r="AW356" s="8"/>
      <c r="AX356" s="8"/>
      <c r="AY356" s="8" t="s">
        <v>7610</v>
      </c>
      <c r="AZ356" s="4" t="s">
        <v>7617</v>
      </c>
      <c r="BA356" s="8" t="n">
        <v>1700</v>
      </c>
      <c r="BB356" s="8" t="s">
        <v>7659</v>
      </c>
      <c r="BC356" s="4" t="s">
        <v>7619</v>
      </c>
      <c r="BD356" s="8" t="s">
        <v>7621</v>
      </c>
      <c r="BE356" s="4" t="s">
        <v>7622</v>
      </c>
      <c r="BF356" s="8" t="s">
        <v>7602</v>
      </c>
      <c r="BG356" s="8" t="s">
        <v>7631</v>
      </c>
      <c r="BH356" s="4" t="s">
        <v>7632</v>
      </c>
      <c r="BI356" s="8" t="n">
        <v>10</v>
      </c>
      <c r="BJ356" s="8" t="s">
        <v>7602</v>
      </c>
      <c r="BK356" s="4" t="s">
        <v>7653</v>
      </c>
      <c r="BL356" s="8" t="s">
        <v>7602</v>
      </c>
      <c r="BM356" s="4" t="s">
        <v>7620</v>
      </c>
      <c r="BN356" s="8"/>
      <c r="BO356" s="8"/>
      <c r="BP356" s="8" t="s">
        <v>7608</v>
      </c>
      <c r="BQ356" s="8" t="str">
        <f aca="false">IF(A356="","",AT356)</f>
        <v>3歳以上</v>
      </c>
      <c r="BR356" s="8" t="str">
        <f aca="false">IF(A356="","",IF(BA356&lt;=1200,"～1200",IF(BA356&lt;=1500,"1300～1500",IF(BA356=1600,"1600",IF(BA356&lt;=1800,"1700～1800",IF(BA356&lt;=2000,"1900～2000","2100以上"))))))</f>
        <v>1700～1800</v>
      </c>
      <c r="BS356" s="8" t="str">
        <f aca="false">IF(A356="","",IF(AX356="G1","G1",IF(AX356="G2","G2",IF(AX356="G3","G3",IF(AX356="L","L","その他")))))</f>
        <v>その他</v>
      </c>
      <c r="BT356" s="8" t="str">
        <f aca="false">IF(A356="","",IF(BI356="","未結合",IF(D356=BI356,"一致","不一致")))</f>
        <v>一致</v>
      </c>
      <c r="BU356" s="8" t="str">
        <f aca="false">IF(A356="","",IF(BE356="牝馬限定","牝馬限定","その他"))</f>
        <v>牝馬限定</v>
      </c>
    </row>
    <row r="357" customFormat="false" ht="15.75" hidden="false" customHeight="false" outlineLevel="0" collapsed="false">
      <c r="A357" s="6" t="n">
        <v>46201</v>
      </c>
      <c r="B357" s="4" t="s">
        <v>1237</v>
      </c>
      <c r="C357" s="8" t="n">
        <v>8</v>
      </c>
      <c r="D357" s="8" t="n">
        <v>13</v>
      </c>
      <c r="E357" s="8" t="n">
        <v>12</v>
      </c>
      <c r="F357" s="4" t="s">
        <v>3537</v>
      </c>
      <c r="G357" s="8" t="n">
        <v>58</v>
      </c>
      <c r="H357" s="8" t="n">
        <v>8</v>
      </c>
      <c r="I357" s="4" t="s">
        <v>3534</v>
      </c>
      <c r="J357" s="8" t="n">
        <v>56</v>
      </c>
      <c r="K357" s="8" t="n">
        <v>6</v>
      </c>
      <c r="L357" s="4" t="s">
        <v>3532</v>
      </c>
      <c r="M357" s="8" t="n">
        <v>34</v>
      </c>
      <c r="N357" s="8" t="n">
        <v>2</v>
      </c>
      <c r="O357" s="8" t="n">
        <v>22</v>
      </c>
      <c r="P357" s="8" t="n">
        <v>114</v>
      </c>
      <c r="Q357" s="8" t="str">
        <f aca="false">IF(A357="","",IF(AND(Y357&lt;&gt;"参考",G357&gt;=ルール設定!$B$2),"○",""))</f>
        <v/>
      </c>
      <c r="R357" s="8" t="str">
        <f aca="false">IF(A357="","",IF(AND(Y357&lt;&gt;"参考",G357&gt;=ルール設定!$B$3,N357&gt;=ルール設定!$B$4),"○",""))</f>
        <v/>
      </c>
      <c r="S357" s="8" t="str">
        <f aca="false">IF(A357="","",IF(AND(Y357&lt;&gt;"参考",G357&gt;=ルール設定!$B$5,J357&gt;=ルール設定!$B$6,O357&gt;=ルール設定!$B$7),"○",""))</f>
        <v/>
      </c>
      <c r="T357" s="8" t="n">
        <v>4</v>
      </c>
      <c r="U357" s="8" t="n">
        <v>4</v>
      </c>
      <c r="V357" s="8" t="str">
        <f aca="false">IF(A357="","",IF(AND(ISNUMBER(T357),ISNUMBER(U357)),IF(AND(T357&lt;=3,U357&lt;=3),"○","×"),""))</f>
        <v>×</v>
      </c>
      <c r="W357" s="8"/>
      <c r="X357" s="8"/>
      <c r="Y357" s="4" t="s">
        <v>7597</v>
      </c>
      <c r="Z357" s="4" t="s">
        <v>7726</v>
      </c>
      <c r="AA357" s="8" t="str">
        <v/>
      </c>
      <c r="AB357" s="8" t="str">
        <v/>
      </c>
      <c r="AC357" s="8" t="str">
        <v/>
      </c>
      <c r="AD357" s="8" t="str">
        <v/>
      </c>
      <c r="AE357" s="8" t="str">
        <v/>
      </c>
      <c r="AF357" s="8" t="str">
        <v/>
      </c>
      <c r="AG357" s="8" t="str">
        <v/>
      </c>
      <c r="AH357" s="8" t="str">
        <v/>
      </c>
      <c r="AI357" s="8" t="n">
        <v>24</v>
      </c>
      <c r="AJ357" s="8" t="str">
        <v>～59</v>
      </c>
      <c r="AK357" s="8" t="str">
        <v>0～4</v>
      </c>
      <c r="AL357" s="8" t="str">
        <v>20～29</v>
      </c>
      <c r="AM357" s="8" t="str">
        <v>100～119</v>
      </c>
      <c r="AN357" s="8" t="str">
        <v>12～14</v>
      </c>
      <c r="AO357" s="8" t="str">
        <f aca="false">IF(A357="","",IF(COUNTIFS(全馬データ!$A$2:$A$50000,A357,全馬データ!$B$2:$B$50000,B357,全馬データ!$C$2:$C$50000,C357,全馬データ!$D$2:$D$50000,E357,全馬データ!$K$2:$K$50000,"&lt;&gt;")=0,"",SUMIFS(全馬データ!$K$2:$K$50000,全馬データ!$A$2:$A$50000,A357,全馬データ!$B$2:$B$50000,B357,全馬データ!$C$2:$C$50000,C357,全馬データ!$D$2:$D$50000,E357)))</f>
        <v/>
      </c>
      <c r="AP357" s="8" t="str">
        <f aca="false">IF(A357="","",IF(AO357="","欠損",IF(AO357&lt;=1.1,"1.0～1.1",IF(AO357&lt;1.3,"1.2",IF(AO357&lt;1.5,"1.3～1.4",IF(AO357&lt;2,"1.5～1.9","2.0以上"))))))</f>
        <v>欠損</v>
      </c>
      <c r="AQ357" s="8" t="str">
        <f aca="false">IF(A357="","",IF(ISNUMBER(SEARCH("2歳",Z357)),"2歳戦",IF(ISNUMBER(SEARCH("3歳未勝利",Z357)),"3歳未勝利",IF(ISNUMBER(SEARCH("未勝利",Z357)),"その他未勝利",IF(ISNUMBER(SEARCH("G1",Z357)),"G1",IF(ISNUMBER(SEARCH("G2",Z357)),"G2",IF(ISNUMBER(SEARCH("G3",Z357)),"G3",IF(ISNUMBER(SEARCH("古馬条件",Z357)),"古馬条件戦",IF(ISNUMBER(SEARCH("重賞",Z357)),"重賞","分類不能")))))))))</f>
        <v>分類不能</v>
      </c>
      <c r="AR357" s="8"/>
      <c r="AS357" s="8" t="s">
        <v>7626</v>
      </c>
      <c r="AT357" s="8" t="s">
        <v>7627</v>
      </c>
      <c r="AU357" s="8" t="s">
        <v>7628</v>
      </c>
      <c r="AV357" s="8" t="s">
        <v>7629</v>
      </c>
      <c r="AW357" s="8"/>
      <c r="AX357" s="8"/>
      <c r="AY357" s="8" t="s">
        <v>7602</v>
      </c>
      <c r="AZ357" s="4" t="s">
        <v>7603</v>
      </c>
      <c r="BA357" s="8" t="n">
        <v>1200</v>
      </c>
      <c r="BB357" s="8" t="s">
        <v>7598</v>
      </c>
      <c r="BC357" s="4" t="s">
        <v>7604</v>
      </c>
      <c r="BD357" s="8" t="s">
        <v>7625</v>
      </c>
      <c r="BE357" s="4" t="s">
        <v>7606</v>
      </c>
      <c r="BF357" s="8" t="s">
        <v>7607</v>
      </c>
      <c r="BG357" s="8" t="s">
        <v>7631</v>
      </c>
      <c r="BH357" s="4" t="s">
        <v>7632</v>
      </c>
      <c r="BI357" s="8" t="n">
        <v>13</v>
      </c>
      <c r="BJ357" s="8" t="s">
        <v>7602</v>
      </c>
      <c r="BK357" s="4" t="s">
        <v>7653</v>
      </c>
      <c r="BL357" s="8" t="s">
        <v>7602</v>
      </c>
      <c r="BM357" s="4" t="s">
        <v>7620</v>
      </c>
      <c r="BN357" s="8" t="s">
        <v>7602</v>
      </c>
      <c r="BO357" s="8" t="s">
        <v>7613</v>
      </c>
      <c r="BP357" s="8" t="s">
        <v>7608</v>
      </c>
      <c r="BQ357" s="8" t="str">
        <f aca="false">IF(A357="","",AT357)</f>
        <v>3歳以上</v>
      </c>
      <c r="BR357" s="8" t="str">
        <f aca="false">IF(A357="","",IF(BA357&lt;=1200,"～1200",IF(BA357&lt;=1500,"1300～1500",IF(BA357=1600,"1600",IF(BA357&lt;=1800,"1700～1800",IF(BA357&lt;=2000,"1900～2000","2100以上"))))))</f>
        <v>～1200</v>
      </c>
      <c r="BS357" s="8" t="str">
        <f aca="false">IF(A357="","",IF(AX357="G1","G1",IF(AX357="G2","G2",IF(AX357="G3","G3",IF(AX357="L","L","その他")))))</f>
        <v>その他</v>
      </c>
      <c r="BT357" s="8" t="str">
        <f aca="false">IF(A357="","",IF(BI357="","未結合",IF(D357=BI357,"一致","不一致")))</f>
        <v>一致</v>
      </c>
      <c r="BU357" s="8" t="str">
        <f aca="false">IF(A357="","",IF(BE357="牝馬限定","牝馬限定","その他"))</f>
        <v>その他</v>
      </c>
    </row>
    <row r="358" customFormat="false" ht="15.75" hidden="false" customHeight="false" outlineLevel="0" collapsed="false">
      <c r="A358" s="6" t="n">
        <v>46201</v>
      </c>
      <c r="B358" s="4" t="s">
        <v>1237</v>
      </c>
      <c r="C358" s="8" t="n">
        <v>9</v>
      </c>
      <c r="D358" s="8" t="n">
        <v>10</v>
      </c>
      <c r="E358" s="8" t="n">
        <v>1</v>
      </c>
      <c r="F358" s="4" t="s">
        <v>3538</v>
      </c>
      <c r="G358" s="8" t="n">
        <v>65</v>
      </c>
      <c r="H358" s="8" t="n">
        <v>3</v>
      </c>
      <c r="I358" s="4" t="s">
        <v>1348</v>
      </c>
      <c r="J358" s="8" t="n">
        <v>58</v>
      </c>
      <c r="K358" s="8" t="n">
        <v>4</v>
      </c>
      <c r="L358" s="4" t="s">
        <v>1341</v>
      </c>
      <c r="M358" s="8" t="n">
        <v>41</v>
      </c>
      <c r="N358" s="8" t="n">
        <v>7</v>
      </c>
      <c r="O358" s="8" t="n">
        <v>17</v>
      </c>
      <c r="P358" s="8" t="n">
        <v>123</v>
      </c>
      <c r="Q358" s="8" t="str">
        <f aca="false">IF(A358="","",IF(AND(Y358&lt;&gt;"参考",G358&gt;=ルール設定!$B$2),"○",""))</f>
        <v/>
      </c>
      <c r="R358" s="8" t="str">
        <f aca="false">IF(A358="","",IF(AND(Y358&lt;&gt;"参考",G358&gt;=ルール設定!$B$3,N358&gt;=ルール設定!$B$4),"○",""))</f>
        <v/>
      </c>
      <c r="S358" s="8" t="str">
        <f aca="false">IF(A358="","",IF(AND(Y358&lt;&gt;"参考",G358&gt;=ルール設定!$B$5,J358&gt;=ルール設定!$B$6,O358&gt;=ルール設定!$B$7),"○",""))</f>
        <v/>
      </c>
      <c r="T358" s="8" t="n">
        <v>1</v>
      </c>
      <c r="U358" s="8" t="n">
        <v>3</v>
      </c>
      <c r="V358" s="8" t="str">
        <f aca="false">IF(A358="","",IF(AND(ISNUMBER(T358),ISNUMBER(U358)),IF(AND(T358&lt;=3,U358&lt;=3),"○","×"),""))</f>
        <v>○</v>
      </c>
      <c r="W358" s="8" t="n">
        <v>110</v>
      </c>
      <c r="X358" s="8" t="n">
        <v>280</v>
      </c>
      <c r="Y358" s="4" t="s">
        <v>7597</v>
      </c>
      <c r="Z358" s="4" t="s">
        <v>7726</v>
      </c>
      <c r="AA358" s="8" t="str">
        <v/>
      </c>
      <c r="AB358" s="8" t="str">
        <v/>
      </c>
      <c r="AC358" s="8" t="str">
        <v/>
      </c>
      <c r="AD358" s="8" t="str">
        <v/>
      </c>
      <c r="AE358" s="8" t="str">
        <v/>
      </c>
      <c r="AF358" s="8" t="str">
        <v/>
      </c>
      <c r="AG358" s="8" t="str">
        <v/>
      </c>
      <c r="AH358" s="8" t="str">
        <v/>
      </c>
      <c r="AI358" s="8" t="n">
        <v>24</v>
      </c>
      <c r="AJ358" s="8" t="str">
        <v>60～69</v>
      </c>
      <c r="AK358" s="8" t="str">
        <v>5～9</v>
      </c>
      <c r="AL358" s="8" t="str">
        <v>20～29</v>
      </c>
      <c r="AM358" s="8" t="str">
        <v>120～139</v>
      </c>
      <c r="AN358" s="8" t="str">
        <v>8～11</v>
      </c>
      <c r="AO358" s="8" t="str">
        <f aca="false">IF(A358="","",IF(COUNTIFS(全馬データ!$A$2:$A$50000,A358,全馬データ!$B$2:$B$50000,B358,全馬データ!$C$2:$C$50000,C358,全馬データ!$D$2:$D$50000,E358,全馬データ!$K$2:$K$50000,"&lt;&gt;")=0,"",SUMIFS(全馬データ!$K$2:$K$50000,全馬データ!$A$2:$A$50000,A358,全馬データ!$B$2:$B$50000,B358,全馬データ!$C$2:$C$50000,C358,全馬データ!$D$2:$D$50000,E358)))</f>
        <v/>
      </c>
      <c r="AP358" s="8" t="str">
        <f aca="false">IF(A358="","",IF(AO358="","欠損",IF(AO358&lt;=1.1,"1.0～1.1",IF(AO358&lt;1.3,"1.2",IF(AO358&lt;1.5,"1.3～1.4",IF(AO358&lt;2,"1.5～1.9","2.0以上"))))))</f>
        <v>欠損</v>
      </c>
      <c r="AQ358" s="8" t="str">
        <f aca="false">IF(A358="","",IF(ISNUMBER(SEARCH("2歳",Z358)),"2歳戦",IF(ISNUMBER(SEARCH("3歳未勝利",Z358)),"3歳未勝利",IF(ISNUMBER(SEARCH("未勝利",Z358)),"その他未勝利",IF(ISNUMBER(SEARCH("G1",Z358)),"G1",IF(ISNUMBER(SEARCH("G2",Z358)),"G2",IF(ISNUMBER(SEARCH("G3",Z358)),"G3",IF(ISNUMBER(SEARCH("古馬条件",Z358)),"古馬条件戦",IF(ISNUMBER(SEARCH("重賞",Z358)),"重賞","分類不能")))))))))</f>
        <v>分類不能</v>
      </c>
      <c r="AR358" s="4" t="s">
        <v>7761</v>
      </c>
      <c r="AS358" s="8" t="s">
        <v>7626</v>
      </c>
      <c r="AT358" s="8" t="s">
        <v>7627</v>
      </c>
      <c r="AU358" s="8" t="s">
        <v>7628</v>
      </c>
      <c r="AV358" s="8" t="s">
        <v>7629</v>
      </c>
      <c r="AW358" s="8" t="s">
        <v>7636</v>
      </c>
      <c r="AX358" s="4" t="s">
        <v>7637</v>
      </c>
      <c r="AY358" s="8" t="s">
        <v>7602</v>
      </c>
      <c r="AZ358" s="4" t="s">
        <v>7603</v>
      </c>
      <c r="BA358" s="8" t="n">
        <v>1800</v>
      </c>
      <c r="BB358" s="8" t="s">
        <v>7598</v>
      </c>
      <c r="BC358" s="4" t="s">
        <v>7604</v>
      </c>
      <c r="BD358" s="8" t="s">
        <v>7630</v>
      </c>
      <c r="BE358" s="4" t="s">
        <v>7606</v>
      </c>
      <c r="BF358" s="8" t="s">
        <v>7607</v>
      </c>
      <c r="BG358" s="8" t="s">
        <v>7631</v>
      </c>
      <c r="BH358" s="4" t="s">
        <v>7632</v>
      </c>
      <c r="BI358" s="8" t="n">
        <v>10</v>
      </c>
      <c r="BJ358" s="8" t="s">
        <v>7602</v>
      </c>
      <c r="BK358" s="4" t="s">
        <v>7653</v>
      </c>
      <c r="BL358" s="8" t="s">
        <v>7602</v>
      </c>
      <c r="BM358" s="4" t="s">
        <v>7620</v>
      </c>
      <c r="BN358" s="8" t="s">
        <v>7602</v>
      </c>
      <c r="BO358" s="8" t="s">
        <v>7613</v>
      </c>
      <c r="BP358" s="8" t="s">
        <v>7608</v>
      </c>
      <c r="BQ358" s="8" t="str">
        <f aca="false">IF(A358="","",AT358)</f>
        <v>3歳以上</v>
      </c>
      <c r="BR358" s="8" t="str">
        <f aca="false">IF(A358="","",IF(BA358&lt;=1200,"～1200",IF(BA358&lt;=1500,"1300～1500",IF(BA358=1600,"1600",IF(BA358&lt;=1800,"1700～1800",IF(BA358&lt;=2000,"1900～2000","2100以上"))))))</f>
        <v>1700～1800</v>
      </c>
      <c r="BS358" s="8" t="str">
        <f aca="false">IF(A358="","",IF(AX358="G1","G1",IF(AX358="G2","G2",IF(AX358="G3","G3",IF(AX358="L","L","その他")))))</f>
        <v>その他</v>
      </c>
      <c r="BT358" s="8" t="str">
        <f aca="false">IF(A358="","",IF(BI358="","未結合",IF(D358=BI358,"一致","不一致")))</f>
        <v>一致</v>
      </c>
      <c r="BU358" s="8" t="str">
        <f aca="false">IF(A358="","",IF(BE358="牝馬限定","牝馬限定","その他"))</f>
        <v>その他</v>
      </c>
    </row>
    <row r="359" customFormat="false" ht="15.75" hidden="false" customHeight="false" outlineLevel="0" collapsed="false">
      <c r="A359" s="6" t="n">
        <v>46201</v>
      </c>
      <c r="B359" s="4" t="s">
        <v>1237</v>
      </c>
      <c r="C359" s="8" t="n">
        <v>10</v>
      </c>
      <c r="D359" s="8" t="n">
        <v>11</v>
      </c>
      <c r="E359" s="8" t="n">
        <v>10</v>
      </c>
      <c r="F359" s="4" t="s">
        <v>1830</v>
      </c>
      <c r="G359" s="8" t="n">
        <v>71</v>
      </c>
      <c r="H359" s="8" t="n">
        <v>1</v>
      </c>
      <c r="I359" s="4" t="s">
        <v>3541</v>
      </c>
      <c r="J359" s="8" t="n">
        <v>56</v>
      </c>
      <c r="K359" s="8" t="n">
        <v>6</v>
      </c>
      <c r="L359" s="4" t="s">
        <v>3546</v>
      </c>
      <c r="M359" s="8" t="n">
        <v>37</v>
      </c>
      <c r="N359" s="8" t="n">
        <v>15</v>
      </c>
      <c r="O359" s="8" t="n">
        <v>19</v>
      </c>
      <c r="P359" s="8" t="n">
        <v>127</v>
      </c>
      <c r="Q359" s="8" t="str">
        <f aca="false">IF(A359="","",IF(AND(Y359&lt;&gt;"参考",G359&gt;=ルール設定!$B$2),"○",""))</f>
        <v/>
      </c>
      <c r="R359" s="8" t="str">
        <f aca="false">IF(A359="","",IF(AND(Y359&lt;&gt;"参考",G359&gt;=ルール設定!$B$3,N359&gt;=ルール設定!$B$4),"○",""))</f>
        <v/>
      </c>
      <c r="S359" s="8" t="str">
        <f aca="false">IF(A359="","",IF(AND(Y359&lt;&gt;"参考",G359&gt;=ルール設定!$B$5,J359&gt;=ルール設定!$B$6,O359&gt;=ルール設定!$B$7),"○",""))</f>
        <v/>
      </c>
      <c r="T359" s="8" t="n">
        <v>2</v>
      </c>
      <c r="U359" s="8" t="n">
        <v>1</v>
      </c>
      <c r="V359" s="8" t="str">
        <f aca="false">IF(A359="","",IF(AND(ISNUMBER(T359),ISNUMBER(U359)),IF(AND(T359&lt;=3,U359&lt;=3),"○","×"),""))</f>
        <v>○</v>
      </c>
      <c r="W359" s="8" t="n">
        <v>130</v>
      </c>
      <c r="X359" s="8" t="n">
        <v>420</v>
      </c>
      <c r="Y359" s="4" t="s">
        <v>7597</v>
      </c>
      <c r="Z359" s="4" t="s">
        <v>7726</v>
      </c>
      <c r="AA359" s="8" t="str">
        <v/>
      </c>
      <c r="AB359" s="8" t="str">
        <v/>
      </c>
      <c r="AC359" s="8" t="str">
        <v/>
      </c>
      <c r="AD359" s="8" t="str">
        <v/>
      </c>
      <c r="AE359" s="8" t="str">
        <v/>
      </c>
      <c r="AF359" s="8" t="str">
        <v/>
      </c>
      <c r="AG359" s="8" t="str">
        <v/>
      </c>
      <c r="AH359" s="8" t="str">
        <v/>
      </c>
      <c r="AI359" s="8" t="n">
        <v>34</v>
      </c>
      <c r="AJ359" s="8" t="str">
        <v>70～74</v>
      </c>
      <c r="AK359" s="8" t="str">
        <v>10～19</v>
      </c>
      <c r="AL359" s="8" t="str">
        <v>30～39</v>
      </c>
      <c r="AM359" s="8" t="str">
        <v>120～139</v>
      </c>
      <c r="AN359" s="8" t="str">
        <v>8～11</v>
      </c>
      <c r="AO359" s="8" t="str">
        <f aca="false">IF(A359="","",IF(COUNTIFS(全馬データ!$A$2:$A$50000,A359,全馬データ!$B$2:$B$50000,B359,全馬データ!$C$2:$C$50000,C359,全馬データ!$D$2:$D$50000,E359,全馬データ!$K$2:$K$50000,"&lt;&gt;")=0,"",SUMIFS(全馬データ!$K$2:$K$50000,全馬データ!$A$2:$A$50000,A359,全馬データ!$B$2:$B$50000,B359,全馬データ!$C$2:$C$50000,C359,全馬データ!$D$2:$D$50000,E359)))</f>
        <v/>
      </c>
      <c r="AP359" s="8" t="str">
        <f aca="false">IF(A359="","",IF(AO359="","欠損",IF(AO359&lt;=1.1,"1.0～1.1",IF(AO359&lt;1.3,"1.2",IF(AO359&lt;1.5,"1.3～1.4",IF(AO359&lt;2,"1.5～1.9","2.0以上"))))))</f>
        <v>欠損</v>
      </c>
      <c r="AQ359" s="8" t="str">
        <f aca="false">IF(A359="","",IF(ISNUMBER(SEARCH("2歳",Z359)),"2歳戦",IF(ISNUMBER(SEARCH("3歳未勝利",Z359)),"3歳未勝利",IF(ISNUMBER(SEARCH("未勝利",Z359)),"その他未勝利",IF(ISNUMBER(SEARCH("G1",Z359)),"G1",IF(ISNUMBER(SEARCH("G2",Z359)),"G2",IF(ISNUMBER(SEARCH("G3",Z359)),"G3",IF(ISNUMBER(SEARCH("古馬条件",Z359)),"古馬条件戦",IF(ISNUMBER(SEARCH("重賞",Z359)),"重賞","分類不能")))))))))</f>
        <v>分類不能</v>
      </c>
      <c r="AR359" s="4" t="s">
        <v>7762</v>
      </c>
      <c r="AS359" s="8" t="s">
        <v>7626</v>
      </c>
      <c r="AT359" s="8" t="s">
        <v>7627</v>
      </c>
      <c r="AU359" s="8" t="s">
        <v>7634</v>
      </c>
      <c r="AV359" s="8" t="s">
        <v>7635</v>
      </c>
      <c r="AW359" s="8" t="s">
        <v>7636</v>
      </c>
      <c r="AX359" s="4" t="s">
        <v>7637</v>
      </c>
      <c r="AY359" s="8" t="s">
        <v>7610</v>
      </c>
      <c r="AZ359" s="4" t="s">
        <v>7617</v>
      </c>
      <c r="BA359" s="8" t="n">
        <v>1700</v>
      </c>
      <c r="BB359" s="8" t="s">
        <v>7659</v>
      </c>
      <c r="BC359" s="4" t="s">
        <v>7619</v>
      </c>
      <c r="BD359" s="8" t="s">
        <v>7621</v>
      </c>
      <c r="BE359" s="4" t="s">
        <v>7622</v>
      </c>
      <c r="BF359" s="8" t="s">
        <v>7602</v>
      </c>
      <c r="BG359" s="8" t="s">
        <v>7631</v>
      </c>
      <c r="BH359" s="4" t="s">
        <v>7632</v>
      </c>
      <c r="BI359" s="8" t="n">
        <v>11</v>
      </c>
      <c r="BJ359" s="8" t="s">
        <v>7602</v>
      </c>
      <c r="BK359" s="4" t="s">
        <v>7653</v>
      </c>
      <c r="BL359" s="8" t="s">
        <v>7602</v>
      </c>
      <c r="BM359" s="4" t="s">
        <v>7620</v>
      </c>
      <c r="BN359" s="8"/>
      <c r="BO359" s="8"/>
      <c r="BP359" s="8" t="s">
        <v>7608</v>
      </c>
      <c r="BQ359" s="8" t="str">
        <f aca="false">IF(A359="","",AT359)</f>
        <v>3歳以上</v>
      </c>
      <c r="BR359" s="8" t="str">
        <f aca="false">IF(A359="","",IF(BA359&lt;=1200,"～1200",IF(BA359&lt;=1500,"1300～1500",IF(BA359=1600,"1600",IF(BA359&lt;=1800,"1700～1800",IF(BA359&lt;=2000,"1900～2000","2100以上"))))))</f>
        <v>1700～1800</v>
      </c>
      <c r="BS359" s="8" t="str">
        <f aca="false">IF(A359="","",IF(AX359="G1","G1",IF(AX359="G2","G2",IF(AX359="G3","G3",IF(AX359="L","L","その他")))))</f>
        <v>その他</v>
      </c>
      <c r="BT359" s="8" t="str">
        <f aca="false">IF(A359="","",IF(BI359="","未結合",IF(D359=BI359,"一致","不一致")))</f>
        <v>一致</v>
      </c>
      <c r="BU359" s="8" t="str">
        <f aca="false">IF(A359="","",IF(BE359="牝馬限定","牝馬限定","その他"))</f>
        <v>牝馬限定</v>
      </c>
    </row>
    <row r="360" customFormat="false" ht="15.75" hidden="false" customHeight="false" outlineLevel="0" collapsed="false">
      <c r="A360" s="6" t="n">
        <v>46201</v>
      </c>
      <c r="B360" s="4" t="s">
        <v>1237</v>
      </c>
      <c r="C360" s="8" t="n">
        <v>11</v>
      </c>
      <c r="D360" s="8" t="n">
        <v>15</v>
      </c>
      <c r="E360" s="8" t="n">
        <v>15</v>
      </c>
      <c r="F360" s="4" t="s">
        <v>3561</v>
      </c>
      <c r="G360" s="8" t="n">
        <v>47</v>
      </c>
      <c r="H360" s="8" t="n">
        <v>4</v>
      </c>
      <c r="I360" s="4" t="s">
        <v>3552</v>
      </c>
      <c r="J360" s="8" t="n">
        <v>37</v>
      </c>
      <c r="K360" s="8" t="n">
        <v>3</v>
      </c>
      <c r="L360" s="4" t="s">
        <v>3551</v>
      </c>
      <c r="M360" s="8" t="n">
        <v>29</v>
      </c>
      <c r="N360" s="8" t="n">
        <v>10</v>
      </c>
      <c r="O360" s="8" t="n">
        <v>8</v>
      </c>
      <c r="P360" s="8" t="n">
        <v>84</v>
      </c>
      <c r="Q360" s="8" t="str">
        <f aca="false">IF(A360="","",IF(AND(Y360&lt;&gt;"参考",G360&gt;=ルール設定!$B$2),"○",""))</f>
        <v/>
      </c>
      <c r="R360" s="8" t="str">
        <f aca="false">IF(A360="","",IF(AND(Y360&lt;&gt;"参考",G360&gt;=ルール設定!$B$3,N360&gt;=ルール設定!$B$4),"○",""))</f>
        <v/>
      </c>
      <c r="S360" s="8" t="str">
        <f aca="false">IF(A360="","",IF(AND(Y360&lt;&gt;"参考",G360&gt;=ルール設定!$B$5,J360&gt;=ルール設定!$B$6,O360&gt;=ルール設定!$B$7),"○",""))</f>
        <v/>
      </c>
      <c r="T360" s="8" t="n">
        <v>4</v>
      </c>
      <c r="U360" s="8" t="n">
        <v>4</v>
      </c>
      <c r="V360" s="8" t="str">
        <f aca="false">IF(A360="","",IF(AND(ISNUMBER(T360),ISNUMBER(U360)),IF(AND(T360&lt;=3,U360&lt;=3),"○","×"),""))</f>
        <v>×</v>
      </c>
      <c r="W360" s="8"/>
      <c r="X360" s="8"/>
      <c r="Y360" s="4" t="s">
        <v>7597</v>
      </c>
      <c r="Z360" s="4" t="s">
        <v>7726</v>
      </c>
      <c r="AA360" s="8" t="str">
        <v/>
      </c>
      <c r="AB360" s="8" t="str">
        <v/>
      </c>
      <c r="AC360" s="8" t="str">
        <v/>
      </c>
      <c r="AD360" s="8" t="str">
        <v/>
      </c>
      <c r="AE360" s="8" t="str">
        <v/>
      </c>
      <c r="AF360" s="8" t="str">
        <v/>
      </c>
      <c r="AG360" s="8" t="str">
        <v/>
      </c>
      <c r="AH360" s="8" t="str">
        <v/>
      </c>
      <c r="AI360" s="8" t="n">
        <v>18</v>
      </c>
      <c r="AJ360" s="8" t="str">
        <v>～59</v>
      </c>
      <c r="AK360" s="8" t="str">
        <v>10～19</v>
      </c>
      <c r="AL360" s="8" t="str">
        <v>10～19</v>
      </c>
      <c r="AM360" s="8" t="str">
        <v>～99</v>
      </c>
      <c r="AN360" s="8" t="str">
        <v>15以上</v>
      </c>
      <c r="AO360" s="8" t="str">
        <f aca="false">IF(A360="","",IF(COUNTIFS(全馬データ!$A$2:$A$50000,A360,全馬データ!$B$2:$B$50000,B360,全馬データ!$C$2:$C$50000,C360,全馬データ!$D$2:$D$50000,E360,全馬データ!$K$2:$K$50000,"&lt;&gt;")=0,"",SUMIFS(全馬データ!$K$2:$K$50000,全馬データ!$A$2:$A$50000,A360,全馬データ!$B$2:$B$50000,B360,全馬データ!$C$2:$C$50000,C360,全馬データ!$D$2:$D$50000,E360)))</f>
        <v/>
      </c>
      <c r="AP360" s="8" t="str">
        <f aca="false">IF(A360="","",IF(AO360="","欠損",IF(AO360&lt;=1.1,"1.0～1.1",IF(AO360&lt;1.3,"1.2",IF(AO360&lt;1.5,"1.3～1.4",IF(AO360&lt;2,"1.5～1.9","2.0以上"))))))</f>
        <v>欠損</v>
      </c>
      <c r="AQ360" s="8" t="str">
        <f aca="false">IF(A360="","",IF(ISNUMBER(SEARCH("2歳",Z360)),"2歳戦",IF(ISNUMBER(SEARCH("3歳未勝利",Z360)),"3歳未勝利",IF(ISNUMBER(SEARCH("未勝利",Z360)),"その他未勝利",IF(ISNUMBER(SEARCH("G1",Z360)),"G1",IF(ISNUMBER(SEARCH("G2",Z360)),"G2",IF(ISNUMBER(SEARCH("G3",Z360)),"G3",IF(ISNUMBER(SEARCH("古馬条件",Z360)),"古馬条件戦",IF(ISNUMBER(SEARCH("重賞",Z360)),"重賞","分類不能")))))))))</f>
        <v>分類不能</v>
      </c>
      <c r="AR360" s="4" t="s">
        <v>7763</v>
      </c>
      <c r="AS360" s="8" t="s">
        <v>7626</v>
      </c>
      <c r="AT360" s="8" t="s">
        <v>7627</v>
      </c>
      <c r="AU360" s="8" t="s">
        <v>7643</v>
      </c>
      <c r="AV360" s="4" t="s">
        <v>7644</v>
      </c>
      <c r="AW360" s="8" t="s">
        <v>7608</v>
      </c>
      <c r="AX360" s="8" t="s">
        <v>7664</v>
      </c>
      <c r="AY360" s="8" t="s">
        <v>7602</v>
      </c>
      <c r="AZ360" s="4" t="s">
        <v>7603</v>
      </c>
      <c r="BA360" s="8" t="n">
        <v>2000</v>
      </c>
      <c r="BB360" s="8" t="s">
        <v>7598</v>
      </c>
      <c r="BC360" s="4" t="s">
        <v>7604</v>
      </c>
      <c r="BD360" s="8" t="s">
        <v>7666</v>
      </c>
      <c r="BE360" s="4" t="s">
        <v>7606</v>
      </c>
      <c r="BF360" s="8" t="s">
        <v>7607</v>
      </c>
      <c r="BG360" s="8" t="s">
        <v>7602</v>
      </c>
      <c r="BH360" s="4" t="s">
        <v>7667</v>
      </c>
      <c r="BI360" s="8" t="n">
        <v>15</v>
      </c>
      <c r="BJ360" s="8" t="s">
        <v>7602</v>
      </c>
      <c r="BK360" s="4" t="s">
        <v>7653</v>
      </c>
      <c r="BL360" s="8" t="s">
        <v>7602</v>
      </c>
      <c r="BM360" s="4" t="s">
        <v>7620</v>
      </c>
      <c r="BN360" s="8" t="s">
        <v>7602</v>
      </c>
      <c r="BO360" s="8" t="s">
        <v>7613</v>
      </c>
      <c r="BP360" s="8" t="s">
        <v>7608</v>
      </c>
      <c r="BQ360" s="8" t="str">
        <f aca="false">IF(A360="","",AT360)</f>
        <v>3歳以上</v>
      </c>
      <c r="BR360" s="8" t="str">
        <f aca="false">IF(A360="","",IF(BA360&lt;=1200,"～1200",IF(BA360&lt;=1500,"1300～1500",IF(BA360=1600,"1600",IF(BA360&lt;=1800,"1700～1800",IF(BA360&lt;=2000,"1900～2000","2100以上"))))))</f>
        <v>1900～2000</v>
      </c>
      <c r="BS360" s="8" t="str">
        <f aca="false">IF(A360="","",IF(AX360="G1","G1",IF(AX360="G2","G2",IF(AX360="G3","G3",IF(AX360="L","L","その他")))))</f>
        <v>G3</v>
      </c>
      <c r="BT360" s="8" t="str">
        <f aca="false">IF(A360="","",IF(BI360="","未結合",IF(D360=BI360,"一致","不一致")))</f>
        <v>一致</v>
      </c>
      <c r="BU360" s="8" t="str">
        <f aca="false">IF(A360="","",IF(BE360="牝馬限定","牝馬限定","その他"))</f>
        <v>その他</v>
      </c>
    </row>
    <row r="361" customFormat="false" ht="15.75" hidden="false" customHeight="false" outlineLevel="0" collapsed="false">
      <c r="A361" s="6" t="n">
        <v>46201</v>
      </c>
      <c r="B361" s="4" t="s">
        <v>1237</v>
      </c>
      <c r="C361" s="8" t="n">
        <v>12</v>
      </c>
      <c r="D361" s="8" t="n">
        <v>14</v>
      </c>
      <c r="E361" s="8" t="n">
        <v>5</v>
      </c>
      <c r="F361" s="4" t="s">
        <v>2253</v>
      </c>
      <c r="G361" s="8" t="n">
        <v>41</v>
      </c>
      <c r="H361" s="8" t="n">
        <v>4</v>
      </c>
      <c r="I361" s="4" t="s">
        <v>3563</v>
      </c>
      <c r="J361" s="8" t="n">
        <v>37</v>
      </c>
      <c r="K361" s="8" t="n">
        <v>14</v>
      </c>
      <c r="L361" s="4" t="s">
        <v>3567</v>
      </c>
      <c r="M361" s="8" t="n">
        <v>37</v>
      </c>
      <c r="N361" s="8" t="n">
        <v>4</v>
      </c>
      <c r="O361" s="8" t="n">
        <v>0</v>
      </c>
      <c r="P361" s="8" t="n">
        <v>78</v>
      </c>
      <c r="Q361" s="8" t="str">
        <f aca="false">IF(A361="","",IF(AND(Y361&lt;&gt;"参考",G361&gt;=ルール設定!$B$2),"○",""))</f>
        <v/>
      </c>
      <c r="R361" s="8" t="str">
        <f aca="false">IF(A361="","",IF(AND(Y361&lt;&gt;"参考",G361&gt;=ルール設定!$B$3,N361&gt;=ルール設定!$B$4),"○",""))</f>
        <v/>
      </c>
      <c r="S361" s="8" t="str">
        <f aca="false">IF(A361="","",IF(AND(Y361&lt;&gt;"参考",G361&gt;=ルール設定!$B$5,J361&gt;=ルール設定!$B$6,O361&gt;=ルール設定!$B$7),"○",""))</f>
        <v/>
      </c>
      <c r="T361" s="8" t="n">
        <v>4</v>
      </c>
      <c r="U361" s="8" t="n">
        <v>4</v>
      </c>
      <c r="V361" s="8" t="str">
        <f aca="false">IF(A361="","",IF(AND(ISNUMBER(T361),ISNUMBER(U361)),IF(AND(T361&lt;=3,U361&lt;=3),"○","×"),""))</f>
        <v>×</v>
      </c>
      <c r="W361" s="8"/>
      <c r="X361" s="8"/>
      <c r="Y361" s="4" t="s">
        <v>7597</v>
      </c>
      <c r="Z361" s="4" t="s">
        <v>7726</v>
      </c>
      <c r="AA361" s="8" t="str">
        <v/>
      </c>
      <c r="AB361" s="8" t="str">
        <v/>
      </c>
      <c r="AC361" s="8" t="str">
        <v/>
      </c>
      <c r="AD361" s="8" t="str">
        <v/>
      </c>
      <c r="AE361" s="8" t="str">
        <v/>
      </c>
      <c r="AF361" s="8" t="str">
        <v/>
      </c>
      <c r="AG361" s="8" t="str">
        <v/>
      </c>
      <c r="AH361" s="8" t="str">
        <v/>
      </c>
      <c r="AI361" s="8" t="n">
        <v>4</v>
      </c>
      <c r="AJ361" s="8" t="str">
        <v>～59</v>
      </c>
      <c r="AK361" s="8" t="str">
        <v>0～4</v>
      </c>
      <c r="AL361" s="8" t="str">
        <v>0～9</v>
      </c>
      <c r="AM361" s="8" t="str">
        <v>～99</v>
      </c>
      <c r="AN361" s="8" t="str">
        <v>12～14</v>
      </c>
      <c r="AO361" s="8" t="str">
        <f aca="false">IF(A361="","",IF(COUNTIFS(全馬データ!$A$2:$A$50000,A361,全馬データ!$B$2:$B$50000,B361,全馬データ!$C$2:$C$50000,C361,全馬データ!$D$2:$D$50000,E361,全馬データ!$K$2:$K$50000,"&lt;&gt;")=0,"",SUMIFS(全馬データ!$K$2:$K$50000,全馬データ!$A$2:$A$50000,A361,全馬データ!$B$2:$B$50000,B361,全馬データ!$C$2:$C$50000,C361,全馬データ!$D$2:$D$50000,E361)))</f>
        <v/>
      </c>
      <c r="AP361" s="8" t="str">
        <f aca="false">IF(A361="","",IF(AO361="","欠損",IF(AO361&lt;=1.1,"1.0～1.1",IF(AO361&lt;1.3,"1.2",IF(AO361&lt;1.5,"1.3～1.4",IF(AO361&lt;2,"1.5～1.9","2.0以上"))))))</f>
        <v>欠損</v>
      </c>
      <c r="AQ361" s="8" t="str">
        <f aca="false">IF(A361="","",IF(ISNUMBER(SEARCH("2歳",Z361)),"2歳戦",IF(ISNUMBER(SEARCH("3歳未勝利",Z361)),"3歳未勝利",IF(ISNUMBER(SEARCH("未勝利",Z361)),"その他未勝利",IF(ISNUMBER(SEARCH("G1",Z361)),"G1",IF(ISNUMBER(SEARCH("G2",Z361)),"G2",IF(ISNUMBER(SEARCH("G3",Z361)),"G3",IF(ISNUMBER(SEARCH("古馬条件",Z361)),"古馬条件戦",IF(ISNUMBER(SEARCH("重賞",Z361)),"重賞","分類不能")))))))))</f>
        <v>分類不能</v>
      </c>
      <c r="AR361" s="4" t="s">
        <v>7764</v>
      </c>
      <c r="AS361" s="8" t="s">
        <v>7626</v>
      </c>
      <c r="AT361" s="8" t="s">
        <v>7627</v>
      </c>
      <c r="AU361" s="8" t="s">
        <v>7634</v>
      </c>
      <c r="AV361" s="8" t="s">
        <v>7635</v>
      </c>
      <c r="AW361" s="8" t="s">
        <v>7636</v>
      </c>
      <c r="AX361" s="4" t="s">
        <v>7637</v>
      </c>
      <c r="AY361" s="8" t="s">
        <v>7602</v>
      </c>
      <c r="AZ361" s="4" t="s">
        <v>7603</v>
      </c>
      <c r="BA361" s="8" t="n">
        <v>1200</v>
      </c>
      <c r="BB361" s="8" t="s">
        <v>7598</v>
      </c>
      <c r="BC361" s="4" t="s">
        <v>7604</v>
      </c>
      <c r="BD361" s="8" t="s">
        <v>7605</v>
      </c>
      <c r="BE361" s="4" t="s">
        <v>7606</v>
      </c>
      <c r="BF361" s="8" t="s">
        <v>7607</v>
      </c>
      <c r="BG361" s="8" t="s">
        <v>7631</v>
      </c>
      <c r="BH361" s="4" t="s">
        <v>7632</v>
      </c>
      <c r="BI361" s="8" t="n">
        <v>14</v>
      </c>
      <c r="BJ361" s="8" t="s">
        <v>7602</v>
      </c>
      <c r="BK361" s="4" t="s">
        <v>7653</v>
      </c>
      <c r="BL361" s="8" t="s">
        <v>7602</v>
      </c>
      <c r="BM361" s="4" t="s">
        <v>7620</v>
      </c>
      <c r="BN361" s="8" t="s">
        <v>7602</v>
      </c>
      <c r="BO361" s="8" t="s">
        <v>7613</v>
      </c>
      <c r="BP361" s="8" t="s">
        <v>7608</v>
      </c>
      <c r="BQ361" s="8" t="str">
        <f aca="false">IF(A361="","",AT361)</f>
        <v>3歳以上</v>
      </c>
      <c r="BR361" s="8" t="str">
        <f aca="false">IF(A361="","",IF(BA361&lt;=1200,"～1200",IF(BA361&lt;=1500,"1300～1500",IF(BA361=1600,"1600",IF(BA361&lt;=1800,"1700～1800",IF(BA361&lt;=2000,"1900～2000","2100以上"))))))</f>
        <v>～1200</v>
      </c>
      <c r="BS361" s="8" t="str">
        <f aca="false">IF(A361="","",IF(AX361="G1","G1",IF(AX361="G2","G2",IF(AX361="G3","G3",IF(AX361="L","L","その他")))))</f>
        <v>その他</v>
      </c>
      <c r="BT361" s="8" t="str">
        <f aca="false">IF(A361="","",IF(BI361="","未結合",IF(D361=BI361,"一致","不一致")))</f>
        <v>一致</v>
      </c>
      <c r="BU361" s="8" t="str">
        <f aca="false">IF(A361="","",IF(BE361="牝馬限定","牝馬限定","その他"))</f>
        <v>その他</v>
      </c>
    </row>
    <row r="362" customFormat="false" ht="15.75" hidden="false" customHeight="false" outlineLevel="0" collapsed="false">
      <c r="A362" s="6" t="n">
        <f aca="false">DATE(2026,8,2)</f>
        <v>46236</v>
      </c>
      <c r="B362" s="4" t="s">
        <v>334</v>
      </c>
      <c r="C362" s="8" t="n">
        <v>10</v>
      </c>
      <c r="D362" s="8" t="n">
        <v>10</v>
      </c>
      <c r="E362" s="8" t="n">
        <v>8</v>
      </c>
      <c r="F362" s="4" t="s">
        <v>3568</v>
      </c>
      <c r="G362" s="8" t="n">
        <v>75</v>
      </c>
      <c r="H362" s="8" t="n">
        <v>1</v>
      </c>
      <c r="I362" s="4" t="s">
        <v>4156</v>
      </c>
      <c r="J362" s="8" t="n">
        <v>67</v>
      </c>
      <c r="K362" s="8" t="n">
        <v>6</v>
      </c>
      <c r="L362" s="4" t="s">
        <v>4158</v>
      </c>
      <c r="M362" s="8" t="n">
        <v>56</v>
      </c>
      <c r="N362" s="8" t="n">
        <f aca="false">IF(A362="","",G362-J362)</f>
        <v>8</v>
      </c>
      <c r="O362" s="8" t="n">
        <f aca="false">IF(A362="","",J362-M362)</f>
        <v>11</v>
      </c>
      <c r="P362" s="8" t="n">
        <f aca="false">IF(A362="","",G362+J362)</f>
        <v>142</v>
      </c>
      <c r="Q362" s="8" t="str">
        <f aca="false">IF(A362="","",IF(AND(Y362&lt;&gt;"参考",G362&gt;=ルール設定!$B$2),"○",""))</f>
        <v/>
      </c>
      <c r="R362" s="8" t="str">
        <f aca="false">IF(A362="","",IF(AND(Y362&lt;&gt;"参考",G362&gt;=ルール設定!$B$3,N362&gt;=ルール設定!$B$4),"○",""))</f>
        <v/>
      </c>
      <c r="S362" s="8" t="str">
        <f aca="false">IF(A362="","",IF(AND(Y362&lt;&gt;"参考",G362&gt;=ルール設定!$B$5,J362&gt;=ルール設定!$B$6,O362&gt;=ルール設定!$B$7),"○",""))</f>
        <v/>
      </c>
      <c r="T362" s="8"/>
      <c r="U362" s="8"/>
      <c r="V362" s="8" t="str">
        <f aca="false">IF(A362="","",IF(AND(ISNUMBER(T362),ISNUMBER(U362)),IF(AND(T362&lt;=3,U362&lt;=3),"○","×"),""))</f>
        <v/>
      </c>
      <c r="W362" s="8"/>
      <c r="X362" s="8"/>
      <c r="Y362" s="4" t="s">
        <v>7765</v>
      </c>
      <c r="Z362" s="4" t="s">
        <v>7766</v>
      </c>
      <c r="AA362" s="8" t="str">
        <v/>
      </c>
      <c r="AB362" s="8" t="str">
        <v/>
      </c>
      <c r="AC362" s="8" t="str">
        <v/>
      </c>
      <c r="AD362" s="8" t="str">
        <v/>
      </c>
      <c r="AE362" s="8" t="str">
        <v/>
      </c>
      <c r="AF362" s="8" t="str">
        <v/>
      </c>
      <c r="AG362" s="8" t="str">
        <v/>
      </c>
      <c r="AH362" s="8" t="str">
        <v/>
      </c>
      <c r="AI362" s="8" t="n">
        <v>19</v>
      </c>
      <c r="AJ362" s="8" t="str">
        <v>75～79</v>
      </c>
      <c r="AK362" s="8" t="str">
        <v>5～9</v>
      </c>
      <c r="AL362" s="8" t="str">
        <v>10～19</v>
      </c>
      <c r="AM362" s="8" t="str">
        <v>140～159</v>
      </c>
      <c r="AN362" s="8" t="str">
        <v>8～11</v>
      </c>
      <c r="AO362" s="8" t="n">
        <f aca="false">IF(A362="","",IF(COUNTIFS(全馬データ!$A$2:$A$50000,A362,全馬データ!$B$2:$B$50000,B362,全馬データ!$C$2:$C$50000,C362,全馬データ!$D$2:$D$50000,E362,全馬データ!$K$2:$K$50000,"&lt;&gt;")=0,"",SUMIFS(全馬データ!$K$2:$K$50000,全馬データ!$A$2:$A$50000,A362,全馬データ!$B$2:$B$50000,B362,全馬データ!$C$2:$C$50000,C362,全馬データ!$D$2:$D$50000,E362)))</f>
        <v>1.1</v>
      </c>
      <c r="AP362" s="8" t="str">
        <f aca="false">IF(A362="","",IF(AO362="","欠損",IF(AO362&lt;=1.1,"1.0～1.1",IF(AO362&lt;1.3,"1.2",IF(AO362&lt;1.5,"1.3～1.4",IF(AO362&lt;2,"1.5～1.9","2.0以上"))))))</f>
        <v>1.0～1.1</v>
      </c>
      <c r="AQ362" s="8" t="str">
        <f aca="false">IF(A362="","",IF(ISNUMBER(SEARCH("2歳",Z362)),"2歳戦",IF(ISNUMBER(SEARCH("3歳未勝利",Z362)),"3歳未勝利",IF(ISNUMBER(SEARCH("未勝利",Z362)),"その他未勝利",IF(ISNUMBER(SEARCH("G1",Z362)),"G1",IF(ISNUMBER(SEARCH("G2",Z362)),"G2",IF(ISNUMBER(SEARCH("G3",Z362)),"G3",IF(ISNUMBER(SEARCH("古馬条件",Z362)),"古馬条件戦",IF(ISNUMBER(SEARCH("重賞",Z362)),"重賞","分類不能")))))))))</f>
        <v>分類不能</v>
      </c>
      <c r="AR362" s="4" t="s">
        <v>7767</v>
      </c>
      <c r="AS362" s="8" t="s">
        <v>7626</v>
      </c>
      <c r="AT362" s="8" t="s">
        <v>7627</v>
      </c>
      <c r="AU362" s="8" t="s">
        <v>7639</v>
      </c>
      <c r="AV362" s="8" t="s">
        <v>7640</v>
      </c>
      <c r="AW362" s="8" t="s">
        <v>7636</v>
      </c>
      <c r="AX362" s="4" t="s">
        <v>7637</v>
      </c>
      <c r="AY362" s="8" t="s">
        <v>7610</v>
      </c>
      <c r="AZ362" s="4" t="s">
        <v>7617</v>
      </c>
      <c r="BA362" s="8" t="n">
        <v>1700</v>
      </c>
      <c r="BB362" s="8" t="s">
        <v>7598</v>
      </c>
      <c r="BC362" s="4" t="s">
        <v>7604</v>
      </c>
      <c r="BD362" s="8" t="s">
        <v>7630</v>
      </c>
      <c r="BE362" s="4" t="s">
        <v>7606</v>
      </c>
      <c r="BF362" s="8" t="s">
        <v>7607</v>
      </c>
      <c r="BG362" s="8" t="s">
        <v>7631</v>
      </c>
      <c r="BH362" s="4" t="s">
        <v>7632</v>
      </c>
      <c r="BI362" s="8" t="n">
        <v>10</v>
      </c>
      <c r="BJ362" s="8" t="s">
        <v>7602</v>
      </c>
      <c r="BK362" s="4" t="s">
        <v>7653</v>
      </c>
      <c r="BL362" s="8" t="s">
        <v>7602</v>
      </c>
      <c r="BM362" s="4" t="s">
        <v>7620</v>
      </c>
      <c r="BN362" s="8"/>
      <c r="BO362" s="8"/>
      <c r="BP362" s="8" t="s">
        <v>7608</v>
      </c>
      <c r="BQ362" s="8" t="str">
        <f aca="false">IF(A362="","",AT362)</f>
        <v>3歳以上</v>
      </c>
      <c r="BR362" s="8" t="str">
        <f aca="false">IF(A362="","",IF(BA362&lt;=1200,"～1200",IF(BA362&lt;=1500,"1300～1500",IF(BA362=1600,"1600",IF(BA362&lt;=1800,"1700～1800",IF(BA362&lt;=2000,"1900～2000","2100以上"))))))</f>
        <v>1700～1800</v>
      </c>
      <c r="BS362" s="8" t="str">
        <f aca="false">IF(A362="","",IF(AX362="G1","G1",IF(AX362="G2","G2",IF(AX362="G3","G3",IF(AX362="L","L","その他")))))</f>
        <v>その他</v>
      </c>
      <c r="BT362" s="8" t="str">
        <f aca="false">IF(A362="","",IF(BI362="","未結合",IF(D362=BI362,"一致","不一致")))</f>
        <v>一致</v>
      </c>
      <c r="BU362" s="8" t="str">
        <f aca="false">IF(A362="","",IF(BE362="牝馬限定","牝馬限定","その他"))</f>
        <v>その他</v>
      </c>
    </row>
    <row r="363" customFormat="false" ht="15.75" hidden="false" customHeight="false" outlineLevel="0" collapsed="false">
      <c r="A363" s="6" t="n">
        <f aca="false">DATE(2026,8,2)</f>
        <v>46236</v>
      </c>
      <c r="B363" s="4" t="s">
        <v>13</v>
      </c>
      <c r="C363" s="8" t="n">
        <v>5</v>
      </c>
      <c r="D363" s="8" t="n">
        <v>18</v>
      </c>
      <c r="E363" s="8" t="n">
        <v>7</v>
      </c>
      <c r="F363" s="4" t="s">
        <v>3570</v>
      </c>
      <c r="G363" s="8" t="n">
        <v>75</v>
      </c>
      <c r="H363" s="8" t="n">
        <v>5</v>
      </c>
      <c r="I363" s="4" t="s">
        <v>4022</v>
      </c>
      <c r="J363" s="8" t="n">
        <v>39</v>
      </c>
      <c r="K363" s="8" t="n">
        <v>12</v>
      </c>
      <c r="L363" s="4" t="s">
        <v>4027</v>
      </c>
      <c r="M363" s="8" t="n">
        <v>34</v>
      </c>
      <c r="N363" s="8" t="n">
        <f aca="false">IF(A363="","",G363-J363)</f>
        <v>36</v>
      </c>
      <c r="O363" s="8" t="n">
        <f aca="false">IF(A363="","",J363-M363)</f>
        <v>5</v>
      </c>
      <c r="P363" s="8" t="n">
        <f aca="false">IF(A363="","",G363+J363)</f>
        <v>114</v>
      </c>
      <c r="Q363" s="8" t="str">
        <f aca="false">IF(A363="","",IF(AND(Y363&lt;&gt;"参考",G363&gt;=ルール設定!$B$2),"○",""))</f>
        <v/>
      </c>
      <c r="R363" s="8" t="str">
        <f aca="false">IF(A363="","",IF(AND(Y363&lt;&gt;"参考",G363&gt;=ルール設定!$B$3,N363&gt;=ルール設定!$B$4),"○",""))</f>
        <v/>
      </c>
      <c r="S363" s="8" t="str">
        <f aca="false">IF(A363="","",IF(AND(Y363&lt;&gt;"参考",G363&gt;=ルール設定!$B$5,J363&gt;=ルール設定!$B$6,O363&gt;=ルール設定!$B$7),"○",""))</f>
        <v/>
      </c>
      <c r="T363" s="8"/>
      <c r="U363" s="8"/>
      <c r="V363" s="8" t="str">
        <f aca="false">IF(A363="","",IF(AND(ISNUMBER(T363),ISNUMBER(U363)),IF(AND(T363&lt;=3,U363&lt;=3),"○","×"),""))</f>
        <v/>
      </c>
      <c r="W363" s="8"/>
      <c r="X363" s="8"/>
      <c r="Y363" s="4" t="s">
        <v>7765</v>
      </c>
      <c r="Z363" s="4" t="s">
        <v>7768</v>
      </c>
      <c r="AA363" s="8" t="str">
        <v/>
      </c>
      <c r="AB363" s="8" t="str">
        <v/>
      </c>
      <c r="AC363" s="8" t="str">
        <v/>
      </c>
      <c r="AD363" s="8" t="str">
        <v/>
      </c>
      <c r="AE363" s="8" t="str">
        <v/>
      </c>
      <c r="AF363" s="8" t="str">
        <v/>
      </c>
      <c r="AG363" s="8" t="str">
        <v/>
      </c>
      <c r="AH363" s="8" t="str">
        <v/>
      </c>
      <c r="AI363" s="8" t="n">
        <v>41</v>
      </c>
      <c r="AJ363" s="8" t="str">
        <v>75～79</v>
      </c>
      <c r="AK363" s="8" t="str">
        <v>30以上</v>
      </c>
      <c r="AL363" s="8" t="str">
        <v>40以上</v>
      </c>
      <c r="AM363" s="8" t="str">
        <v>100～119</v>
      </c>
      <c r="AN363" s="8" t="str">
        <v>15以上</v>
      </c>
      <c r="AO363" s="8" t="n">
        <f aca="false">IF(A363="","",IF(COUNTIFS(全馬データ!$A$2:$A$50000,A363,全馬データ!$B$2:$B$50000,B363,全馬データ!$C$2:$C$50000,C363,全馬データ!$D$2:$D$50000,E363,全馬データ!$K$2:$K$50000,"&lt;&gt;")=0,"",SUMIFS(全馬データ!$K$2:$K$50000,全馬データ!$A$2:$A$50000,A363,全馬データ!$B$2:$B$50000,B363,全馬データ!$C$2:$C$50000,C363,全馬データ!$D$2:$D$50000,E363)))</f>
        <v>1.4</v>
      </c>
      <c r="AP363" s="8" t="str">
        <f aca="false">IF(A363="","",IF(AO363="","欠損",IF(AO363&lt;=1.1,"1.0～1.1",IF(AO363&lt;1.3,"1.2",IF(AO363&lt;1.5,"1.3～1.4",IF(AO363&lt;2,"1.5～1.9","2.0以上"))))))</f>
        <v>1.3～1.4</v>
      </c>
      <c r="AQ363" s="8" t="str">
        <f aca="false">IF(A363="","",IF(ISNUMBER(SEARCH("2歳",Z363)),"2歳戦",IF(ISNUMBER(SEARCH("3歳未勝利",Z363)),"3歳未勝利",IF(ISNUMBER(SEARCH("未勝利",Z363)),"その他未勝利",IF(ISNUMBER(SEARCH("G1",Z363)),"G1",IF(ISNUMBER(SEARCH("G2",Z363)),"G2",IF(ISNUMBER(SEARCH("G3",Z363)),"G3",IF(ISNUMBER(SEARCH("古馬条件",Z363)),"古馬条件戦",IF(ISNUMBER(SEARCH("重賞",Z363)),"重賞","分類不能")))))))))</f>
        <v>分類不能</v>
      </c>
      <c r="AR363" s="8"/>
      <c r="AS363" s="8" t="s">
        <v>7623</v>
      </c>
      <c r="AT363" s="8" t="s">
        <v>7624</v>
      </c>
      <c r="AU363" s="8" t="s">
        <v>7600</v>
      </c>
      <c r="AV363" s="4" t="s">
        <v>7601</v>
      </c>
      <c r="AW363" s="8"/>
      <c r="AX363" s="8"/>
      <c r="AY363" s="8" t="s">
        <v>7602</v>
      </c>
      <c r="AZ363" s="4" t="s">
        <v>7603</v>
      </c>
      <c r="BA363" s="8" t="n">
        <v>1800</v>
      </c>
      <c r="BB363" s="8" t="s">
        <v>7598</v>
      </c>
      <c r="BC363" s="4" t="s">
        <v>7604</v>
      </c>
      <c r="BD363" s="8" t="s">
        <v>7625</v>
      </c>
      <c r="BE363" s="4" t="s">
        <v>7606</v>
      </c>
      <c r="BF363" s="8" t="s">
        <v>7607</v>
      </c>
      <c r="BG363" s="8" t="s">
        <v>7608</v>
      </c>
      <c r="BH363" s="4" t="s">
        <v>7609</v>
      </c>
      <c r="BI363" s="8" t="n">
        <v>18</v>
      </c>
      <c r="BJ363" s="8" t="s">
        <v>7610</v>
      </c>
      <c r="BK363" s="4" t="s">
        <v>7611</v>
      </c>
      <c r="BL363" s="8" t="s">
        <v>7610</v>
      </c>
      <c r="BM363" s="4" t="s">
        <v>7612</v>
      </c>
      <c r="BN363" s="8" t="s">
        <v>7602</v>
      </c>
      <c r="BO363" s="8" t="s">
        <v>7613</v>
      </c>
      <c r="BP363" s="8" t="s">
        <v>7602</v>
      </c>
      <c r="BQ363" s="8" t="str">
        <f aca="false">IF(A363="","",AT363)</f>
        <v>3歳</v>
      </c>
      <c r="BR363" s="8" t="str">
        <f aca="false">IF(A363="","",IF(BA363&lt;=1200,"～1200",IF(BA363&lt;=1500,"1300～1500",IF(BA363=1600,"1600",IF(BA363&lt;=1800,"1700～1800",IF(BA363&lt;=2000,"1900～2000","2100以上"))))))</f>
        <v>1700～1800</v>
      </c>
      <c r="BS363" s="8" t="str">
        <f aca="false">IF(A363="","",IF(AX363="G1","G1",IF(AX363="G2","G2",IF(AX363="G3","G3",IF(AX363="L","L","その他")))))</f>
        <v>その他</v>
      </c>
      <c r="BT363" s="8" t="str">
        <f aca="false">IF(A363="","",IF(BI363="","未結合",IF(D363=BI363,"一致","不一致")))</f>
        <v>一致</v>
      </c>
      <c r="BU363" s="8" t="str">
        <f aca="false">IF(A363="","",IF(BE363="牝馬限定","牝馬限定","その他"))</f>
        <v>その他</v>
      </c>
    </row>
    <row r="364" customFormat="false" ht="15.75" hidden="false" customHeight="false" outlineLevel="0" collapsed="false">
      <c r="A364" s="6" t="n">
        <f aca="false">DATE(2026,8,2)</f>
        <v>46236</v>
      </c>
      <c r="B364" s="4" t="s">
        <v>179</v>
      </c>
      <c r="C364" s="8" t="n">
        <v>11</v>
      </c>
      <c r="D364" s="8" t="n">
        <v>6</v>
      </c>
      <c r="E364" s="8" t="n">
        <v>4</v>
      </c>
      <c r="F364" s="4" t="s">
        <v>2130</v>
      </c>
      <c r="G364" s="8" t="n">
        <v>74</v>
      </c>
      <c r="H364" s="8" t="n">
        <v>5</v>
      </c>
      <c r="I364" s="4" t="s">
        <v>3968</v>
      </c>
      <c r="J364" s="8" t="n">
        <v>44</v>
      </c>
      <c r="K364" s="8" t="n">
        <v>1</v>
      </c>
      <c r="L364" s="4" t="s">
        <v>2125</v>
      </c>
      <c r="M364" s="8" t="n">
        <v>39</v>
      </c>
      <c r="N364" s="8" t="n">
        <f aca="false">IF(A364="","",G364-J364)</f>
        <v>30</v>
      </c>
      <c r="O364" s="8" t="n">
        <f aca="false">IF(A364="","",J364-M364)</f>
        <v>5</v>
      </c>
      <c r="P364" s="8" t="n">
        <f aca="false">IF(A364="","",G364+J364)</f>
        <v>118</v>
      </c>
      <c r="Q364" s="8" t="str">
        <f aca="false">IF(A364="","",IF(AND(Y364&lt;&gt;"参考",G364&gt;=ルール設定!$B$2),"○",""))</f>
        <v/>
      </c>
      <c r="R364" s="8" t="str">
        <f aca="false">IF(A364="","",IF(AND(Y364&lt;&gt;"参考",G364&gt;=ルール設定!$B$3,N364&gt;=ルール設定!$B$4),"○",""))</f>
        <v/>
      </c>
      <c r="S364" s="8" t="str">
        <f aca="false">IF(A364="","",IF(AND(Y364&lt;&gt;"参考",G364&gt;=ルール設定!$B$5,J364&gt;=ルール設定!$B$6,O364&gt;=ルール設定!$B$7),"○",""))</f>
        <v/>
      </c>
      <c r="T364" s="8"/>
      <c r="U364" s="8"/>
      <c r="V364" s="8" t="str">
        <f aca="false">IF(A364="","",IF(AND(ISNUMBER(T364),ISNUMBER(U364)),IF(AND(T364&lt;=3,U364&lt;=3),"○","×"),""))</f>
        <v/>
      </c>
      <c r="W364" s="8"/>
      <c r="X364" s="8"/>
      <c r="Y364" s="4" t="s">
        <v>7765</v>
      </c>
      <c r="Z364" s="8" t="s">
        <v>7769</v>
      </c>
      <c r="AA364" s="8" t="str">
        <v/>
      </c>
      <c r="AB364" s="8" t="str">
        <v/>
      </c>
      <c r="AC364" s="8" t="str">
        <v/>
      </c>
      <c r="AD364" s="8" t="str">
        <v/>
      </c>
      <c r="AE364" s="8" t="str">
        <v/>
      </c>
      <c r="AF364" s="8" t="str">
        <v/>
      </c>
      <c r="AG364" s="8" t="str">
        <v/>
      </c>
      <c r="AH364" s="8" t="str">
        <v/>
      </c>
      <c r="AI364" s="8" t="n">
        <v>35</v>
      </c>
      <c r="AJ364" s="8" t="str">
        <v>70～74</v>
      </c>
      <c r="AK364" s="8" t="str">
        <v>30以上</v>
      </c>
      <c r="AL364" s="8" t="str">
        <v>30～39</v>
      </c>
      <c r="AM364" s="8" t="str">
        <v>100～119</v>
      </c>
      <c r="AN364" s="8" t="str">
        <v>7以下</v>
      </c>
      <c r="AO364" s="8" t="str">
        <f aca="false">IF(A364="","",IF(COUNTIFS(全馬データ!$A$2:$A$50000,A364,全馬データ!$B$2:$B$50000,B364,全馬データ!$C$2:$C$50000,C364,全馬データ!$D$2:$D$50000,E364,全馬データ!$K$2:$K$50000,"&lt;&gt;")=0,"",SUMIFS(全馬データ!$K$2:$K$50000,全馬データ!$A$2:$A$50000,A364,全馬データ!$B$2:$B$50000,B364,全馬データ!$C$2:$C$50000,C364,全馬データ!$D$2:$D$50000,E364)))</f>
        <v/>
      </c>
      <c r="AP364" s="8" t="str">
        <f aca="false">IF(A364="","",IF(AO364="","欠損",IF(AO364&lt;=1.1,"1.0～1.1",IF(AO364&lt;1.3,"1.2",IF(AO364&lt;1.5,"1.3～1.4",IF(AO364&lt;2,"1.5～1.9","2.0以上"))))))</f>
        <v>欠損</v>
      </c>
      <c r="AQ364" s="8" t="str">
        <f aca="false">IF(A364="","",IF(ISNUMBER(SEARCH("2歳",Z364)),"2歳戦",IF(ISNUMBER(SEARCH("3歳未勝利",Z364)),"3歳未勝利",IF(ISNUMBER(SEARCH("未勝利",Z364)),"その他未勝利",IF(ISNUMBER(SEARCH("G1",Z364)),"G1",IF(ISNUMBER(SEARCH("G2",Z364)),"G2",IF(ISNUMBER(SEARCH("G3",Z364)),"G3",IF(ISNUMBER(SEARCH("古馬条件",Z364)),"古馬条件戦",IF(ISNUMBER(SEARCH("重賞",Z364)),"重賞","分類不能")))))))))</f>
        <v>分類不能</v>
      </c>
      <c r="AR364" s="8"/>
      <c r="AS364" s="8" t="s">
        <v>7626</v>
      </c>
      <c r="AT364" s="8" t="s">
        <v>7627</v>
      </c>
      <c r="AU364" s="8" t="s">
        <v>7628</v>
      </c>
      <c r="AV364" s="8" t="s">
        <v>7629</v>
      </c>
      <c r="AW364" s="8"/>
      <c r="AX364" s="8"/>
      <c r="AY364" s="8" t="s">
        <v>7602</v>
      </c>
      <c r="AZ364" s="4" t="s">
        <v>7603</v>
      </c>
      <c r="BA364" s="8" t="n">
        <v>2200</v>
      </c>
      <c r="BB364" s="8" t="s">
        <v>7598</v>
      </c>
      <c r="BC364" s="4" t="s">
        <v>7604</v>
      </c>
      <c r="BD364" s="8" t="s">
        <v>7630</v>
      </c>
      <c r="BE364" s="4" t="s">
        <v>7606</v>
      </c>
      <c r="BF364" s="8" t="s">
        <v>7607</v>
      </c>
      <c r="BG364" s="8" t="s">
        <v>7631</v>
      </c>
      <c r="BH364" s="4" t="s">
        <v>7632</v>
      </c>
      <c r="BI364" s="8" t="n">
        <v>6</v>
      </c>
      <c r="BJ364" s="8" t="s">
        <v>7610</v>
      </c>
      <c r="BK364" s="4" t="s">
        <v>7611</v>
      </c>
      <c r="BL364" s="8" t="s">
        <v>7602</v>
      </c>
      <c r="BM364" s="4" t="s">
        <v>7620</v>
      </c>
      <c r="BN364" s="8" t="s">
        <v>7602</v>
      </c>
      <c r="BO364" s="8" t="s">
        <v>7613</v>
      </c>
      <c r="BP364" s="8" t="s">
        <v>7610</v>
      </c>
      <c r="BQ364" s="8" t="str">
        <f aca="false">IF(A364="","",AT364)</f>
        <v>3歳以上</v>
      </c>
      <c r="BR364" s="8" t="str">
        <f aca="false">IF(A364="","",IF(BA364&lt;=1200,"～1200",IF(BA364&lt;=1500,"1300～1500",IF(BA364=1600,"1600",IF(BA364&lt;=1800,"1700～1800",IF(BA364&lt;=2000,"1900～2000","2100以上"))))))</f>
        <v>2100以上</v>
      </c>
      <c r="BS364" s="8" t="str">
        <f aca="false">IF(A364="","",IF(AX364="G1","G1",IF(AX364="G2","G2",IF(AX364="G3","G3",IF(AX364="L","L","その他")))))</f>
        <v>その他</v>
      </c>
      <c r="BT364" s="8" t="str">
        <f aca="false">IF(A364="","",IF(BI364="","未結合",IF(D364=BI364,"一致","不一致")))</f>
        <v>一致</v>
      </c>
      <c r="BU364" s="8" t="str">
        <f aca="false">IF(A364="","",IF(BE364="牝馬限定","牝馬限定","その他"))</f>
        <v>その他</v>
      </c>
    </row>
    <row r="365" customFormat="false" ht="15.75" hidden="false" customHeight="false" outlineLevel="0" collapsed="false">
      <c r="A365" s="6" t="n">
        <f aca="false">DATE(2026,8,2)</f>
        <v>46236</v>
      </c>
      <c r="B365" s="4" t="s">
        <v>13</v>
      </c>
      <c r="C365" s="8" t="n">
        <v>1</v>
      </c>
      <c r="D365" s="8" t="n">
        <v>12</v>
      </c>
      <c r="E365" s="8" t="n">
        <v>4</v>
      </c>
      <c r="F365" s="4" t="s">
        <v>930</v>
      </c>
      <c r="G365" s="8" t="n">
        <v>74</v>
      </c>
      <c r="H365" s="8" t="n">
        <v>6</v>
      </c>
      <c r="I365" s="4" t="s">
        <v>924</v>
      </c>
      <c r="J365" s="8" t="n">
        <v>50</v>
      </c>
      <c r="K365" s="8" t="n">
        <v>9</v>
      </c>
      <c r="L365" s="4" t="s">
        <v>3983</v>
      </c>
      <c r="M365" s="8" t="n">
        <v>44</v>
      </c>
      <c r="N365" s="8" t="n">
        <f aca="false">IF(A365="","",G365-J365)</f>
        <v>24</v>
      </c>
      <c r="O365" s="8" t="n">
        <f aca="false">IF(A365="","",J365-M365)</f>
        <v>6</v>
      </c>
      <c r="P365" s="8" t="n">
        <f aca="false">IF(A365="","",G365+J365)</f>
        <v>124</v>
      </c>
      <c r="Q365" s="8" t="str">
        <f aca="false">IF(A365="","",IF(AND(Y365&lt;&gt;"参考",G365&gt;=ルール設定!$B$2),"○",""))</f>
        <v/>
      </c>
      <c r="R365" s="8" t="str">
        <f aca="false">IF(A365="","",IF(AND(Y365&lt;&gt;"参考",G365&gt;=ルール設定!$B$3,N365&gt;=ルール設定!$B$4),"○",""))</f>
        <v/>
      </c>
      <c r="S365" s="8" t="str">
        <f aca="false">IF(A365="","",IF(AND(Y365&lt;&gt;"参考",G365&gt;=ルール設定!$B$5,J365&gt;=ルール設定!$B$6,O365&gt;=ルール設定!$B$7),"○",""))</f>
        <v/>
      </c>
      <c r="T365" s="8"/>
      <c r="U365" s="8"/>
      <c r="V365" s="8" t="str">
        <f aca="false">IF(A365="","",IF(AND(ISNUMBER(T365),ISNUMBER(U365)),IF(AND(T365&lt;=3,U365&lt;=3),"○","×"),""))</f>
        <v/>
      </c>
      <c r="W365" s="8"/>
      <c r="X365" s="8"/>
      <c r="Y365" s="4" t="s">
        <v>7765</v>
      </c>
      <c r="Z365" s="4" t="s">
        <v>7770</v>
      </c>
      <c r="AA365" s="8" t="str">
        <v/>
      </c>
      <c r="AB365" s="8" t="str">
        <v/>
      </c>
      <c r="AC365" s="8" t="str">
        <v/>
      </c>
      <c r="AD365" s="8" t="str">
        <v/>
      </c>
      <c r="AE365" s="8" t="str">
        <v/>
      </c>
      <c r="AF365" s="8" t="str">
        <v/>
      </c>
      <c r="AG365" s="8" t="str">
        <v/>
      </c>
      <c r="AH365" s="8" t="str">
        <v/>
      </c>
      <c r="AI365" s="8" t="n">
        <v>30</v>
      </c>
      <c r="AJ365" s="8" t="str">
        <v>70～74</v>
      </c>
      <c r="AK365" s="8" t="str">
        <v>20～29</v>
      </c>
      <c r="AL365" s="8" t="str">
        <v>30～39</v>
      </c>
      <c r="AM365" s="8" t="str">
        <v>120～139</v>
      </c>
      <c r="AN365" s="8" t="str">
        <v>12～14</v>
      </c>
      <c r="AO365" s="8" t="n">
        <f aca="false">IF(A365="","",IF(COUNTIFS(全馬データ!$A$2:$A$50000,A365,全馬データ!$B$2:$B$50000,B365,全馬データ!$C$2:$C$50000,C365,全馬データ!$D$2:$D$50000,E365,全馬データ!$K$2:$K$50000,"&lt;&gt;")=0,"",SUMIFS(全馬データ!$K$2:$K$50000,全馬データ!$A$2:$A$50000,A365,全馬データ!$B$2:$B$50000,B365,全馬データ!$C$2:$C$50000,C365,全馬データ!$D$2:$D$50000,E365)))</f>
        <v>1.2</v>
      </c>
      <c r="AP365" s="8" t="str">
        <f aca="false">IF(A365="","",IF(AO365="","欠損",IF(AO365&lt;=1.1,"1.0～1.1",IF(AO365&lt;1.3,"1.2",IF(AO365&lt;1.5,"1.3～1.4",IF(AO365&lt;2,"1.5～1.9","2.0以上"))))))</f>
        <v>1.2</v>
      </c>
      <c r="AQ365" s="8" t="str">
        <f aca="false">IF(A365="","",IF(ISNUMBER(SEARCH("2歳",Z365)),"2歳戦",IF(ISNUMBER(SEARCH("3歳未勝利",Z365)),"3歳未勝利",IF(ISNUMBER(SEARCH("未勝利",Z365)),"その他未勝利",IF(ISNUMBER(SEARCH("G1",Z365)),"G1",IF(ISNUMBER(SEARCH("G2",Z365)),"G2",IF(ISNUMBER(SEARCH("G3",Z365)),"G3",IF(ISNUMBER(SEARCH("古馬条件",Z365)),"古馬条件戦",IF(ISNUMBER(SEARCH("重賞",Z365)),"重賞","分類不能")))))))))</f>
        <v>2歳戦</v>
      </c>
      <c r="AR365" s="8"/>
      <c r="AS365" s="8" t="s">
        <v>7598</v>
      </c>
      <c r="AT365" s="8" t="s">
        <v>7599</v>
      </c>
      <c r="AU365" s="8" t="s">
        <v>7600</v>
      </c>
      <c r="AV365" s="4" t="s">
        <v>7601</v>
      </c>
      <c r="AW365" s="8"/>
      <c r="AX365" s="8"/>
      <c r="AY365" s="8" t="s">
        <v>7602</v>
      </c>
      <c r="AZ365" s="4" t="s">
        <v>7603</v>
      </c>
      <c r="BA365" s="8" t="n">
        <v>1600</v>
      </c>
      <c r="BB365" s="8" t="s">
        <v>7598</v>
      </c>
      <c r="BC365" s="4" t="s">
        <v>7604</v>
      </c>
      <c r="BD365" s="8" t="s">
        <v>7605</v>
      </c>
      <c r="BE365" s="4" t="s">
        <v>7606</v>
      </c>
      <c r="BF365" s="8" t="s">
        <v>7607</v>
      </c>
      <c r="BG365" s="8" t="s">
        <v>7608</v>
      </c>
      <c r="BH365" s="4" t="s">
        <v>7609</v>
      </c>
      <c r="BI365" s="8" t="n">
        <v>12</v>
      </c>
      <c r="BJ365" s="8" t="s">
        <v>7610</v>
      </c>
      <c r="BK365" s="4" t="s">
        <v>7611</v>
      </c>
      <c r="BL365" s="8" t="s">
        <v>7610</v>
      </c>
      <c r="BM365" s="4" t="s">
        <v>7612</v>
      </c>
      <c r="BN365" s="8" t="s">
        <v>7602</v>
      </c>
      <c r="BO365" s="8" t="s">
        <v>7613</v>
      </c>
      <c r="BP365" s="8" t="s">
        <v>7602</v>
      </c>
      <c r="BQ365" s="8" t="str">
        <f aca="false">IF(A365="","",AT365)</f>
        <v>2歳</v>
      </c>
      <c r="BR365" s="8" t="str">
        <f aca="false">IF(A365="","",IF(BA365&lt;=1200,"～1200",IF(BA365&lt;=1500,"1300～1500",IF(BA365=1600,"1600",IF(BA365&lt;=1800,"1700～1800",IF(BA365&lt;=2000,"1900～2000","2100以上"))))))</f>
        <v>1600</v>
      </c>
      <c r="BS365" s="8" t="str">
        <f aca="false">IF(A365="","",IF(AX365="G1","G1",IF(AX365="G2","G2",IF(AX365="G3","G3",IF(AX365="L","L","その他")))))</f>
        <v>その他</v>
      </c>
      <c r="BT365" s="8" t="str">
        <f aca="false">IF(A365="","",IF(BI365="","未結合",IF(D365=BI365,"一致","不一致")))</f>
        <v>一致</v>
      </c>
      <c r="BU365" s="8" t="str">
        <f aca="false">IF(A365="","",IF(BE365="牝馬限定","牝馬限定","その他"))</f>
        <v>その他</v>
      </c>
    </row>
    <row r="366" customFormat="false" ht="15.75" hidden="false" customHeight="false" outlineLevel="0" collapsed="false">
      <c r="A366" s="6" t="n">
        <f aca="false">DATE(2026,8,2)</f>
        <v>46236</v>
      </c>
      <c r="B366" s="4" t="s">
        <v>13</v>
      </c>
      <c r="C366" s="8" t="n">
        <v>10</v>
      </c>
      <c r="D366" s="8" t="n">
        <v>14</v>
      </c>
      <c r="E366" s="8" t="n">
        <v>10</v>
      </c>
      <c r="F366" s="4" t="s">
        <v>3119</v>
      </c>
      <c r="G366" s="8" t="n">
        <v>67</v>
      </c>
      <c r="H366" s="8" t="n">
        <v>1</v>
      </c>
      <c r="I366" s="4" t="s">
        <v>4077</v>
      </c>
      <c r="J366" s="8" t="n">
        <v>60</v>
      </c>
      <c r="K366" s="8" t="n">
        <v>9</v>
      </c>
      <c r="L366" s="4" t="s">
        <v>4085</v>
      </c>
      <c r="M366" s="8" t="n">
        <v>34</v>
      </c>
      <c r="N366" s="8" t="n">
        <f aca="false">IF(A366="","",G366-J366)</f>
        <v>7</v>
      </c>
      <c r="O366" s="8" t="n">
        <f aca="false">IF(A366="","",J366-M366)</f>
        <v>26</v>
      </c>
      <c r="P366" s="8" t="n">
        <f aca="false">IF(A366="","",G366+J366)</f>
        <v>127</v>
      </c>
      <c r="Q366" s="8" t="str">
        <f aca="false">IF(A366="","",IF(AND(Y366&lt;&gt;"参考",G366&gt;=ルール設定!$B$2),"○",""))</f>
        <v/>
      </c>
      <c r="R366" s="8" t="str">
        <f aca="false">IF(A366="","",IF(AND(Y366&lt;&gt;"参考",G366&gt;=ルール設定!$B$3,N366&gt;=ルール設定!$B$4),"○",""))</f>
        <v/>
      </c>
      <c r="S366" s="8" t="str">
        <f aca="false">IF(A366="","",IF(AND(Y366&lt;&gt;"参考",G366&gt;=ルール設定!$B$5,J366&gt;=ルール設定!$B$6,O366&gt;=ルール設定!$B$7),"○",""))</f>
        <v/>
      </c>
      <c r="T366" s="8"/>
      <c r="U366" s="8"/>
      <c r="V366" s="8" t="str">
        <f aca="false">IF(A366="","",IF(AND(ISNUMBER(T366),ISNUMBER(U366)),IF(AND(T366&lt;=3,U366&lt;=3),"○","×"),""))</f>
        <v/>
      </c>
      <c r="W366" s="8"/>
      <c r="X366" s="8"/>
      <c r="Y366" s="4" t="s">
        <v>7765</v>
      </c>
      <c r="Z366" s="4" t="s">
        <v>7771</v>
      </c>
      <c r="AA366" s="8" t="str">
        <v/>
      </c>
      <c r="AB366" s="8" t="str">
        <v/>
      </c>
      <c r="AC366" s="8" t="str">
        <v/>
      </c>
      <c r="AD366" s="8" t="str">
        <v/>
      </c>
      <c r="AE366" s="8" t="str">
        <v/>
      </c>
      <c r="AF366" s="8" t="str">
        <v/>
      </c>
      <c r="AG366" s="8" t="str">
        <v/>
      </c>
      <c r="AH366" s="8" t="str">
        <v/>
      </c>
      <c r="AI366" s="8" t="n">
        <v>33</v>
      </c>
      <c r="AJ366" s="8" t="str">
        <v>60～69</v>
      </c>
      <c r="AK366" s="8" t="str">
        <v>5～9</v>
      </c>
      <c r="AL366" s="8" t="str">
        <v>30～39</v>
      </c>
      <c r="AM366" s="8" t="str">
        <v>120～139</v>
      </c>
      <c r="AN366" s="8" t="str">
        <v>12～14</v>
      </c>
      <c r="AO366" s="8" t="str">
        <f aca="false">IF(A366="","",IF(COUNTIFS(全馬データ!$A$2:$A$50000,A366,全馬データ!$B$2:$B$50000,B366,全馬データ!$C$2:$C$50000,C366,全馬データ!$D$2:$D$50000,E366,全馬データ!$K$2:$K$50000,"&lt;&gt;")=0,"",SUMIFS(全馬データ!$K$2:$K$50000,全馬データ!$A$2:$A$50000,A366,全馬データ!$B$2:$B$50000,B366,全馬データ!$C$2:$C$50000,C366,全馬データ!$D$2:$D$50000,E366)))</f>
        <v/>
      </c>
      <c r="AP366" s="8" t="str">
        <f aca="false">IF(A366="","",IF(AO366="","欠損",IF(AO366&lt;=1.1,"1.0～1.1",IF(AO366&lt;1.3,"1.2",IF(AO366&lt;1.5,"1.3～1.4",IF(AO366&lt;2,"1.5～1.9","2.0以上"))))))</f>
        <v>欠損</v>
      </c>
      <c r="AQ366" s="8" t="str">
        <f aca="false">IF(A366="","",IF(ISNUMBER(SEARCH("2歳",Z366)),"2歳戦",IF(ISNUMBER(SEARCH("3歳未勝利",Z366)),"3歳未勝利",IF(ISNUMBER(SEARCH("未勝利",Z366)),"その他未勝利",IF(ISNUMBER(SEARCH("G1",Z366)),"G1",IF(ISNUMBER(SEARCH("G2",Z366)),"G2",IF(ISNUMBER(SEARCH("G3",Z366)),"G3",IF(ISNUMBER(SEARCH("古馬条件",Z366)),"古馬条件戦",IF(ISNUMBER(SEARCH("重賞",Z366)),"重賞","分類不能")))))))))</f>
        <v>分類不能</v>
      </c>
      <c r="AR366" s="8"/>
      <c r="AS366" s="8" t="s">
        <v>7626</v>
      </c>
      <c r="AT366" s="8" t="s">
        <v>7627</v>
      </c>
      <c r="AU366" s="8" t="s">
        <v>7628</v>
      </c>
      <c r="AV366" s="8" t="s">
        <v>7629</v>
      </c>
      <c r="AW366" s="8"/>
      <c r="AX366" s="8"/>
      <c r="AY366" s="8" t="s">
        <v>7610</v>
      </c>
      <c r="AZ366" s="4" t="s">
        <v>7617</v>
      </c>
      <c r="BA366" s="8" t="n">
        <v>1200</v>
      </c>
      <c r="BB366" s="8" t="s">
        <v>7634</v>
      </c>
      <c r="BC366" s="4" t="s">
        <v>7604</v>
      </c>
      <c r="BD366" s="8" t="s">
        <v>7621</v>
      </c>
      <c r="BE366" s="4" t="s">
        <v>7622</v>
      </c>
      <c r="BF366" s="8" t="s">
        <v>7602</v>
      </c>
      <c r="BG366" s="8" t="s">
        <v>7631</v>
      </c>
      <c r="BH366" s="4" t="s">
        <v>7632</v>
      </c>
      <c r="BI366" s="8" t="n">
        <v>14</v>
      </c>
      <c r="BJ366" s="8" t="s">
        <v>7610</v>
      </c>
      <c r="BK366" s="4" t="s">
        <v>7611</v>
      </c>
      <c r="BL366" s="8" t="s">
        <v>7602</v>
      </c>
      <c r="BM366" s="4" t="s">
        <v>7620</v>
      </c>
      <c r="BN366" s="8"/>
      <c r="BO366" s="8"/>
      <c r="BP366" s="8" t="s">
        <v>7602</v>
      </c>
      <c r="BQ366" s="8" t="str">
        <f aca="false">IF(A366="","",AT366)</f>
        <v>3歳以上</v>
      </c>
      <c r="BR366" s="8" t="str">
        <f aca="false">IF(A366="","",IF(BA366&lt;=1200,"～1200",IF(BA366&lt;=1500,"1300～1500",IF(BA366=1600,"1600",IF(BA366&lt;=1800,"1700～1800",IF(BA366&lt;=2000,"1900～2000","2100以上"))))))</f>
        <v>～1200</v>
      </c>
      <c r="BS366" s="8" t="str">
        <f aca="false">IF(A366="","",IF(AX366="G1","G1",IF(AX366="G2","G2",IF(AX366="G3","G3",IF(AX366="L","L","その他")))))</f>
        <v>その他</v>
      </c>
      <c r="BT366" s="8" t="str">
        <f aca="false">IF(A366="","",IF(BI366="","未結合",IF(D366=BI366,"一致","不一致")))</f>
        <v>一致</v>
      </c>
      <c r="BU366" s="8" t="str">
        <f aca="false">IF(A366="","",IF(BE366="牝馬限定","牝馬限定","その他"))</f>
        <v>牝馬限定</v>
      </c>
    </row>
    <row r="367" customFormat="false" ht="15.75" hidden="false" customHeight="false" outlineLevel="0" collapsed="false">
      <c r="A367" s="6" t="n">
        <f aca="false">DATE(2026,8,2)</f>
        <v>46236</v>
      </c>
      <c r="B367" s="4" t="s">
        <v>334</v>
      </c>
      <c r="C367" s="8" t="n">
        <v>3</v>
      </c>
      <c r="D367" s="8" t="n">
        <v>11</v>
      </c>
      <c r="E367" s="8" t="n">
        <v>3</v>
      </c>
      <c r="F367" s="4" t="s">
        <v>2701</v>
      </c>
      <c r="G367" s="8" t="n">
        <v>71</v>
      </c>
      <c r="H367" s="8" t="n">
        <v>8</v>
      </c>
      <c r="I367" s="4" t="s">
        <v>3258</v>
      </c>
      <c r="J367" s="8" t="n">
        <v>71</v>
      </c>
      <c r="K367" s="8" t="n">
        <v>9</v>
      </c>
      <c r="L367" s="4" t="s">
        <v>1262</v>
      </c>
      <c r="M367" s="8" t="n">
        <v>41</v>
      </c>
      <c r="N367" s="8" t="n">
        <f aca="false">IF(A367="","",G367-J367)</f>
        <v>0</v>
      </c>
      <c r="O367" s="8" t="n">
        <f aca="false">IF(A367="","",J367-M367)</f>
        <v>30</v>
      </c>
      <c r="P367" s="8" t="n">
        <f aca="false">IF(A367="","",G367+J367)</f>
        <v>142</v>
      </c>
      <c r="Q367" s="8" t="str">
        <f aca="false">IF(A367="","",IF(AND(Y367&lt;&gt;"参考",G367&gt;=ルール設定!$B$2),"○",""))</f>
        <v/>
      </c>
      <c r="R367" s="8" t="str">
        <f aca="false">IF(A367="","",IF(AND(Y367&lt;&gt;"参考",G367&gt;=ルール設定!$B$3,N367&gt;=ルール設定!$B$4),"○",""))</f>
        <v/>
      </c>
      <c r="S367" s="8" t="str">
        <f aca="false">IF(A367="","",IF(AND(Y367&lt;&gt;"参考",G367&gt;=ルール設定!$B$5,J367&gt;=ルール設定!$B$6,O367&gt;=ルール設定!$B$7),"○",""))</f>
        <v/>
      </c>
      <c r="T367" s="8"/>
      <c r="U367" s="8"/>
      <c r="V367" s="8" t="str">
        <f aca="false">IF(A367="","",IF(AND(ISNUMBER(T367),ISNUMBER(U367)),IF(AND(T367&lt;=3,U367&lt;=3),"○","×"),""))</f>
        <v/>
      </c>
      <c r="W367" s="8"/>
      <c r="X367" s="8"/>
      <c r="Y367" s="4" t="s">
        <v>7765</v>
      </c>
      <c r="Z367" s="4" t="s">
        <v>7772</v>
      </c>
      <c r="AA367" s="8" t="str">
        <v/>
      </c>
      <c r="AB367" s="8" t="str">
        <v/>
      </c>
      <c r="AC367" s="8" t="str">
        <v/>
      </c>
      <c r="AD367" s="8" t="str">
        <v/>
      </c>
      <c r="AE367" s="8" t="str">
        <v/>
      </c>
      <c r="AF367" s="8" t="str">
        <v/>
      </c>
      <c r="AG367" s="8" t="str">
        <v/>
      </c>
      <c r="AH367" s="8" t="str">
        <v/>
      </c>
      <c r="AI367" s="8" t="n">
        <v>30</v>
      </c>
      <c r="AJ367" s="8" t="str">
        <v>70～74</v>
      </c>
      <c r="AK367" s="8" t="str">
        <v>0～4</v>
      </c>
      <c r="AL367" s="8" t="str">
        <v>30～39</v>
      </c>
      <c r="AM367" s="8" t="str">
        <v>140～159</v>
      </c>
      <c r="AN367" s="8" t="str">
        <v>8～11</v>
      </c>
      <c r="AO367" s="8" t="n">
        <f aca="false">IF(A367="","",IF(COUNTIFS(全馬データ!$A$2:$A$50000,A367,全馬データ!$B$2:$B$50000,B367,全馬データ!$C$2:$C$50000,C367,全馬データ!$D$2:$D$50000,E367,全馬データ!$K$2:$K$50000,"&lt;&gt;")=0,"",SUMIFS(全馬データ!$K$2:$K$50000,全馬データ!$A$2:$A$50000,A367,全馬データ!$B$2:$B$50000,B367,全馬データ!$C$2:$C$50000,C367,全馬データ!$D$2:$D$50000,E367)))</f>
        <v>1.1</v>
      </c>
      <c r="AP367" s="8" t="str">
        <f aca="false">IF(A367="","",IF(AO367="","欠損",IF(AO367&lt;=1.1,"1.0～1.1",IF(AO367&lt;1.3,"1.2",IF(AO367&lt;1.5,"1.3～1.4",IF(AO367&lt;2,"1.5～1.9","2.0以上"))))))</f>
        <v>1.0～1.1</v>
      </c>
      <c r="AQ367" s="8" t="str">
        <f aca="false">IF(A367="","",IF(ISNUMBER(SEARCH("2歳",Z367)),"2歳戦",IF(ISNUMBER(SEARCH("3歳未勝利",Z367)),"3歳未勝利",IF(ISNUMBER(SEARCH("未勝利",Z367)),"その他未勝利",IF(ISNUMBER(SEARCH("G1",Z367)),"G1",IF(ISNUMBER(SEARCH("G2",Z367)),"G2",IF(ISNUMBER(SEARCH("G3",Z367)),"G3",IF(ISNUMBER(SEARCH("古馬条件",Z367)),"古馬条件戦",IF(ISNUMBER(SEARCH("重賞",Z367)),"重賞","分類不能")))))))))</f>
        <v>分類不能</v>
      </c>
      <c r="AR367" s="8"/>
      <c r="AS367" s="8" t="s">
        <v>7623</v>
      </c>
      <c r="AT367" s="8" t="s">
        <v>7624</v>
      </c>
      <c r="AU367" s="8" t="s">
        <v>7600</v>
      </c>
      <c r="AV367" s="4" t="s">
        <v>7601</v>
      </c>
      <c r="AW367" s="8"/>
      <c r="AX367" s="8"/>
      <c r="AY367" s="8" t="s">
        <v>7610</v>
      </c>
      <c r="AZ367" s="4" t="s">
        <v>7617</v>
      </c>
      <c r="BA367" s="8" t="n">
        <v>1700</v>
      </c>
      <c r="BB367" s="8" t="s">
        <v>7598</v>
      </c>
      <c r="BC367" s="4" t="s">
        <v>7604</v>
      </c>
      <c r="BD367" s="8" t="s">
        <v>7605</v>
      </c>
      <c r="BE367" s="4" t="s">
        <v>7606</v>
      </c>
      <c r="BF367" s="8" t="s">
        <v>7607</v>
      </c>
      <c r="BG367" s="8" t="s">
        <v>7608</v>
      </c>
      <c r="BH367" s="4" t="s">
        <v>7609</v>
      </c>
      <c r="BI367" s="8" t="n">
        <v>11</v>
      </c>
      <c r="BJ367" s="8" t="s">
        <v>7602</v>
      </c>
      <c r="BK367" s="4" t="s">
        <v>7653</v>
      </c>
      <c r="BL367" s="8" t="s">
        <v>7602</v>
      </c>
      <c r="BM367" s="4" t="s">
        <v>7620</v>
      </c>
      <c r="BN367" s="8"/>
      <c r="BO367" s="8"/>
      <c r="BP367" s="8" t="s">
        <v>7608</v>
      </c>
      <c r="BQ367" s="8" t="str">
        <f aca="false">IF(A367="","",AT367)</f>
        <v>3歳</v>
      </c>
      <c r="BR367" s="8" t="str">
        <f aca="false">IF(A367="","",IF(BA367&lt;=1200,"～1200",IF(BA367&lt;=1500,"1300～1500",IF(BA367=1600,"1600",IF(BA367&lt;=1800,"1700～1800",IF(BA367&lt;=2000,"1900～2000","2100以上"))))))</f>
        <v>1700～1800</v>
      </c>
      <c r="BS367" s="8" t="str">
        <f aca="false">IF(A367="","",IF(AX367="G1","G1",IF(AX367="G2","G2",IF(AX367="G3","G3",IF(AX367="L","L","その他")))))</f>
        <v>その他</v>
      </c>
      <c r="BT367" s="8" t="str">
        <f aca="false">IF(A367="","",IF(BI367="","未結合",IF(D367=BI367,"一致","不一致")))</f>
        <v>一致</v>
      </c>
      <c r="BU367" s="8" t="str">
        <f aca="false">IF(A367="","",IF(BE367="牝馬限定","牝馬限定","その他"))</f>
        <v>その他</v>
      </c>
    </row>
    <row r="368" customFormat="false" ht="15.75" hidden="false" customHeight="false" outlineLevel="0" collapsed="false">
      <c r="A368" s="6" t="n">
        <f aca="false">DATE(2026,8,8)</f>
        <v>46242</v>
      </c>
      <c r="B368" s="4" t="s">
        <v>179</v>
      </c>
      <c r="C368" s="8" t="n">
        <v>5</v>
      </c>
      <c r="D368" s="8" t="n">
        <v>8</v>
      </c>
      <c r="E368" s="8" t="n">
        <v>3</v>
      </c>
      <c r="F368" s="4" t="s">
        <v>5635</v>
      </c>
      <c r="G368" s="8" t="n">
        <v>81</v>
      </c>
      <c r="H368" s="8" t="n">
        <v>5</v>
      </c>
      <c r="I368" s="4" t="s">
        <v>1672</v>
      </c>
      <c r="J368" s="8" t="n">
        <v>58</v>
      </c>
      <c r="K368" s="8" t="n">
        <v>2</v>
      </c>
      <c r="L368" s="8"/>
      <c r="M368" s="8" t="n">
        <v>67</v>
      </c>
      <c r="N368" s="8" t="n">
        <f aca="false">IF(A368="","",G368-J368)</f>
        <v>23</v>
      </c>
      <c r="O368" s="8" t="n">
        <f aca="false">IF(A368="","",J368-M368)</f>
        <v>-9</v>
      </c>
      <c r="P368" s="8" t="n">
        <f aca="false">IF(A368="","",G368+J368)</f>
        <v>139</v>
      </c>
      <c r="Q368" s="8" t="str">
        <f aca="false">IF(A368="","",IF(AND(Y368&lt;&gt;"参考",G368&gt;=ルール設定!$B$2),"○",""))</f>
        <v>○</v>
      </c>
      <c r="R368" s="8" t="str">
        <f aca="false">IF(A368="","",IF(AND(Y368&lt;&gt;"参考",G368&gt;=ルール設定!$B$3,N368&gt;=ルール設定!$B$4),"○",""))</f>
        <v/>
      </c>
      <c r="S368" s="8" t="str">
        <f aca="false">IF(A368="","",IF(AND(Y368&lt;&gt;"参考",G368&gt;=ルール設定!$B$5,J368&gt;=ルール設定!$B$6,O368&gt;=ルール設定!$B$7),"○",""))</f>
        <v/>
      </c>
      <c r="T368" s="8" t="n">
        <v>1</v>
      </c>
      <c r="U368" s="8" t="n">
        <v>3</v>
      </c>
      <c r="V368" s="8" t="str">
        <f aca="false">IF(A368="","",IF(AND(ISNUMBER(T368),ISNUMBER(U368)),IF(AND(T368&lt;=3,U368&lt;=3),"○","×"),""))</f>
        <v>○</v>
      </c>
      <c r="W368" s="8" t="n">
        <v>100</v>
      </c>
      <c r="X368" s="8" t="n">
        <v>200</v>
      </c>
      <c r="Y368" s="4" t="s">
        <v>7597</v>
      </c>
      <c r="Z368" s="4" t="s">
        <v>7773</v>
      </c>
      <c r="AA368" s="8" t="str">
        <v/>
      </c>
      <c r="AB368" s="8" t="str">
        <v>○</v>
      </c>
      <c r="AC368" s="8" t="str">
        <v>○</v>
      </c>
      <c r="AD368" s="8" t="str">
        <v/>
      </c>
      <c r="AE368" s="8" t="str">
        <v/>
      </c>
      <c r="AF368" s="8" t="str">
        <v/>
      </c>
      <c r="AG368" s="8" t="str">
        <v/>
      </c>
      <c r="AH368" s="8" t="str">
        <v/>
      </c>
      <c r="AI368" s="8" t="n">
        <v>14</v>
      </c>
      <c r="AJ368" s="8" t="str">
        <v>80～84</v>
      </c>
      <c r="AK368" s="8" t="str">
        <v>20～29</v>
      </c>
      <c r="AL368" s="8" t="str">
        <v>10～19</v>
      </c>
      <c r="AM368" s="8" t="str">
        <v>120～139</v>
      </c>
      <c r="AN368" s="8" t="str">
        <v>8～11</v>
      </c>
      <c r="AO368" s="8" t="str">
        <f aca="false">IF(A368="","",IF(COUNTIFS(全馬データ!$A$2:$A$50000,A368,全馬データ!$B$2:$B$50000,B368,全馬データ!$C$2:$C$50000,C368,全馬データ!$D$2:$D$50000,E368,全馬データ!$K$2:$K$50000,"&lt;&gt;")=0,"",SUMIFS(全馬データ!$K$2:$K$50000,全馬データ!$A$2:$A$50000,A368,全馬データ!$B$2:$B$50000,B368,全馬データ!$C$2:$C$50000,C368,全馬データ!$D$2:$D$50000,E368)))</f>
        <v/>
      </c>
      <c r="AP368" s="8" t="str">
        <f aca="false">IF(A368="","",IF(AO368="","欠損",IF(AO368&lt;=1.1,"1.0～1.1",IF(AO368&lt;1.3,"1.2",IF(AO368&lt;1.5,"1.3～1.4",IF(AO368&lt;2,"1.5～1.9","2.0以上"))))))</f>
        <v>欠損</v>
      </c>
      <c r="AQ368" s="8" t="str">
        <f aca="false">IF(A368="","",IF(ISNUMBER(SEARCH("2歳",Z368)),"2歳戦",IF(ISNUMBER(SEARCH("3歳未勝利",Z368)),"3歳未勝利",IF(ISNUMBER(SEARCH("未勝利",Z368)),"その他未勝利",IF(ISNUMBER(SEARCH("G1",Z368)),"G1",IF(ISNUMBER(SEARCH("G2",Z368)),"G2",IF(ISNUMBER(SEARCH("G3",Z368)),"G3",IF(ISNUMBER(SEARCH("古馬条件",Z368)),"古馬条件戦",IF(ISNUMBER(SEARCH("重賞",Z368)),"重賞","分類不能")))))))))</f>
        <v>分類不能</v>
      </c>
      <c r="AR368" s="8"/>
      <c r="AS368" s="8" t="s">
        <v>7626</v>
      </c>
      <c r="AT368" s="8" t="s">
        <v>7627</v>
      </c>
      <c r="AU368" s="8" t="s">
        <v>7628</v>
      </c>
      <c r="AV368" s="8" t="s">
        <v>7629</v>
      </c>
      <c r="AW368" s="8"/>
      <c r="AX368" s="8"/>
      <c r="AY368" s="8" t="s">
        <v>7602</v>
      </c>
      <c r="AZ368" s="4" t="s">
        <v>7603</v>
      </c>
      <c r="BA368" s="8" t="n">
        <v>2000</v>
      </c>
      <c r="BB368" s="8" t="s">
        <v>7598</v>
      </c>
      <c r="BC368" s="4" t="s">
        <v>7604</v>
      </c>
      <c r="BD368" s="8" t="s">
        <v>7630</v>
      </c>
      <c r="BE368" s="4" t="s">
        <v>7606</v>
      </c>
      <c r="BF368" s="8" t="s">
        <v>7607</v>
      </c>
      <c r="BG368" s="8" t="s">
        <v>7631</v>
      </c>
      <c r="BH368" s="4" t="s">
        <v>7632</v>
      </c>
      <c r="BI368" s="8" t="n">
        <v>8</v>
      </c>
      <c r="BJ368" s="8" t="s">
        <v>7610</v>
      </c>
      <c r="BK368" s="4" t="s">
        <v>7611</v>
      </c>
      <c r="BL368" s="8" t="s">
        <v>7602</v>
      </c>
      <c r="BM368" s="4" t="s">
        <v>7620</v>
      </c>
      <c r="BN368" s="8" t="s">
        <v>7602</v>
      </c>
      <c r="BO368" s="8" t="s">
        <v>7613</v>
      </c>
      <c r="BP368" s="8" t="s">
        <v>7610</v>
      </c>
      <c r="BQ368" s="8" t="str">
        <f aca="false">IF(A368="","",AT368)</f>
        <v>3歳以上</v>
      </c>
      <c r="BR368" s="8" t="str">
        <f aca="false">IF(A368="","",IF(BA368&lt;=1200,"～1200",IF(BA368&lt;=1500,"1300～1500",IF(BA368=1600,"1600",IF(BA368&lt;=1800,"1700～1800",IF(BA368&lt;=2000,"1900～2000","2100以上"))))))</f>
        <v>1900～2000</v>
      </c>
      <c r="BS368" s="8" t="str">
        <f aca="false">IF(A368="","",IF(AX368="G1","G1",IF(AX368="G2","G2",IF(AX368="G3","G3",IF(AX368="L","L","その他")))))</f>
        <v>その他</v>
      </c>
      <c r="BT368" s="8" t="str">
        <f aca="false">IF(A368="","",IF(BI368="","未結合",IF(D368=BI368,"一致","不一致")))</f>
        <v>一致</v>
      </c>
      <c r="BU368" s="8" t="str">
        <f aca="false">IF(A368="","",IF(BE368="牝馬限定","牝馬限定","その他"))</f>
        <v>その他</v>
      </c>
    </row>
    <row r="369" customFormat="false" ht="15.75" hidden="false" customHeight="false" outlineLevel="0" collapsed="false">
      <c r="A369" s="6" t="n">
        <f aca="false">DATE(2026,8,8)</f>
        <v>46242</v>
      </c>
      <c r="B369" s="4" t="s">
        <v>334</v>
      </c>
      <c r="C369" s="8" t="n">
        <v>11</v>
      </c>
      <c r="D369" s="8" t="n">
        <v>11</v>
      </c>
      <c r="E369" s="8" t="n">
        <v>4</v>
      </c>
      <c r="F369" s="8"/>
      <c r="G369" s="8" t="n">
        <v>81</v>
      </c>
      <c r="H369" s="8" t="n">
        <v>5</v>
      </c>
      <c r="I369" s="4" t="s">
        <v>5881</v>
      </c>
      <c r="J369" s="8" t="n">
        <v>52</v>
      </c>
      <c r="K369" s="8" t="n">
        <v>8</v>
      </c>
      <c r="L369" s="8"/>
      <c r="M369" s="8" t="n">
        <v>65</v>
      </c>
      <c r="N369" s="8" t="n">
        <f aca="false">IF(A369="","",G369-J369)</f>
        <v>29</v>
      </c>
      <c r="O369" s="8" t="n">
        <f aca="false">IF(A369="","",J369-M369)</f>
        <v>-13</v>
      </c>
      <c r="P369" s="8" t="n">
        <f aca="false">IF(A369="","",G369+J369)</f>
        <v>133</v>
      </c>
      <c r="Q369" s="8" t="str">
        <f aca="false">IF(A369="","",IF(AND(Y369&lt;&gt;"参考",G369&gt;=ルール設定!$B$2),"○",""))</f>
        <v>○</v>
      </c>
      <c r="R369" s="8" t="str">
        <f aca="false">IF(A369="","",IF(AND(Y369&lt;&gt;"参考",G369&gt;=ルール設定!$B$3,N369&gt;=ルール設定!$B$4),"○",""))</f>
        <v/>
      </c>
      <c r="S369" s="8" t="str">
        <f aca="false">IF(A369="","",IF(AND(Y369&lt;&gt;"参考",G369&gt;=ルール設定!$B$5,J369&gt;=ルール設定!$B$6,O369&gt;=ルール設定!$B$7),"○",""))</f>
        <v/>
      </c>
      <c r="T369" s="8" t="n">
        <v>4</v>
      </c>
      <c r="U369" s="8" t="n">
        <v>3</v>
      </c>
      <c r="V369" s="8" t="str">
        <f aca="false">IF(A369="","",IF(AND(ISNUMBER(T369),ISNUMBER(U369)),IF(AND(T369&lt;=3,U369&lt;=3),"○","×"),""))</f>
        <v>×</v>
      </c>
      <c r="W369" s="8"/>
      <c r="X369" s="8"/>
      <c r="Y369" s="4" t="s">
        <v>7597</v>
      </c>
      <c r="Z369" s="4" t="s">
        <v>7773</v>
      </c>
      <c r="AA369" s="8" t="str">
        <v/>
      </c>
      <c r="AB369" s="8" t="str">
        <v>○</v>
      </c>
      <c r="AC369" s="8" t="str">
        <v>○</v>
      </c>
      <c r="AD369" s="8" t="str">
        <v/>
      </c>
      <c r="AE369" s="8" t="str">
        <v/>
      </c>
      <c r="AF369" s="8" t="str">
        <v/>
      </c>
      <c r="AG369" s="8" t="str">
        <v/>
      </c>
      <c r="AH369" s="8" t="str">
        <v/>
      </c>
      <c r="AI369" s="8" t="n">
        <v>16</v>
      </c>
      <c r="AJ369" s="8" t="str">
        <v>80～84</v>
      </c>
      <c r="AK369" s="8" t="str">
        <v>20～29</v>
      </c>
      <c r="AL369" s="8" t="str">
        <v>10～19</v>
      </c>
      <c r="AM369" s="8" t="str">
        <v>120～139</v>
      </c>
      <c r="AN369" s="8" t="str">
        <v>8～11</v>
      </c>
      <c r="AO369" s="8" t="str">
        <f aca="false">IF(A369="","",IF(COUNTIFS(全馬データ!$A$2:$A$50000,A369,全馬データ!$B$2:$B$50000,B369,全馬データ!$C$2:$C$50000,C369,全馬データ!$D$2:$D$50000,E369,全馬データ!$K$2:$K$50000,"&lt;&gt;")=0,"",SUMIFS(全馬データ!$K$2:$K$50000,全馬データ!$A$2:$A$50000,A369,全馬データ!$B$2:$B$50000,B369,全馬データ!$C$2:$C$50000,C369,全馬データ!$D$2:$D$50000,E369)))</f>
        <v/>
      </c>
      <c r="AP369" s="8" t="str">
        <f aca="false">IF(A369="","",IF(AO369="","欠損",IF(AO369&lt;=1.1,"1.0～1.1",IF(AO369&lt;1.3,"1.2",IF(AO369&lt;1.5,"1.3～1.4",IF(AO369&lt;2,"1.5～1.9","2.0以上"))))))</f>
        <v>欠損</v>
      </c>
      <c r="AQ369" s="8" t="str">
        <f aca="false">IF(A369="","",IF(ISNUMBER(SEARCH("2歳",Z369)),"2歳戦",IF(ISNUMBER(SEARCH("3歳未勝利",Z369)),"3歳未勝利",IF(ISNUMBER(SEARCH("未勝利",Z369)),"その他未勝利",IF(ISNUMBER(SEARCH("G1",Z369)),"G1",IF(ISNUMBER(SEARCH("G2",Z369)),"G2",IF(ISNUMBER(SEARCH("G3",Z369)),"G3",IF(ISNUMBER(SEARCH("古馬条件",Z369)),"古馬条件戦",IF(ISNUMBER(SEARCH("重賞",Z369)),"重賞","分類不能")))))))))</f>
        <v>分類不能</v>
      </c>
      <c r="AR369" s="4" t="s">
        <v>7774</v>
      </c>
      <c r="AS369" s="8" t="s">
        <v>7626</v>
      </c>
      <c r="AT369" s="8" t="s">
        <v>7627</v>
      </c>
      <c r="AU369" s="8" t="s">
        <v>7643</v>
      </c>
      <c r="AV369" s="4" t="s">
        <v>7644</v>
      </c>
      <c r="AW369" s="8" t="s">
        <v>7608</v>
      </c>
      <c r="AX369" s="8" t="s">
        <v>7664</v>
      </c>
      <c r="AY369" s="8" t="s">
        <v>7610</v>
      </c>
      <c r="AZ369" s="4" t="s">
        <v>7617</v>
      </c>
      <c r="BA369" s="8" t="n">
        <v>1700</v>
      </c>
      <c r="BB369" s="8" t="s">
        <v>7618</v>
      </c>
      <c r="BC369" s="4" t="s">
        <v>7619</v>
      </c>
      <c r="BD369" s="8" t="s">
        <v>7672</v>
      </c>
      <c r="BE369" s="4" t="s">
        <v>7606</v>
      </c>
      <c r="BF369" s="8" t="s">
        <v>7607</v>
      </c>
      <c r="BG369" s="8" t="s">
        <v>7610</v>
      </c>
      <c r="BH369" s="4" t="s">
        <v>7646</v>
      </c>
      <c r="BI369" s="8" t="n">
        <v>11</v>
      </c>
      <c r="BJ369" s="8" t="s">
        <v>7602</v>
      </c>
      <c r="BK369" s="4" t="s">
        <v>7653</v>
      </c>
      <c r="BL369" s="8" t="s">
        <v>7602</v>
      </c>
      <c r="BM369" s="4" t="s">
        <v>7620</v>
      </c>
      <c r="BN369" s="8"/>
      <c r="BO369" s="8"/>
      <c r="BP369" s="8" t="s">
        <v>7608</v>
      </c>
      <c r="BQ369" s="8" t="str">
        <f aca="false">IF(A369="","",AT369)</f>
        <v>3歳以上</v>
      </c>
      <c r="BR369" s="8" t="str">
        <f aca="false">IF(A369="","",IF(BA369&lt;=1200,"～1200",IF(BA369&lt;=1500,"1300～1500",IF(BA369=1600,"1600",IF(BA369&lt;=1800,"1700～1800",IF(BA369&lt;=2000,"1900～2000","2100以上"))))))</f>
        <v>1700～1800</v>
      </c>
      <c r="BS369" s="8" t="str">
        <f aca="false">IF(A369="","",IF(AX369="G1","G1",IF(AX369="G2","G2",IF(AX369="G3","G3",IF(AX369="L","L","その他")))))</f>
        <v>G3</v>
      </c>
      <c r="BT369" s="8" t="str">
        <f aca="false">IF(A369="","",IF(BI369="","未結合",IF(D369=BI369,"一致","不一致")))</f>
        <v>一致</v>
      </c>
      <c r="BU369" s="8" t="str">
        <f aca="false">IF(A369="","",IF(BE369="牝馬限定","牝馬限定","その他"))</f>
        <v>その他</v>
      </c>
    </row>
    <row r="370" customFormat="false" ht="15.75" hidden="false" customHeight="false" outlineLevel="0" collapsed="false">
      <c r="A370" s="6" t="n">
        <f aca="false">DATE(2026,8,8)</f>
        <v>46242</v>
      </c>
      <c r="B370" s="4" t="s">
        <v>13</v>
      </c>
      <c r="C370" s="8" t="n">
        <v>8</v>
      </c>
      <c r="D370" s="8" t="n">
        <v>9</v>
      </c>
      <c r="E370" s="8" t="n">
        <v>5</v>
      </c>
      <c r="F370" s="4" t="s">
        <v>6889</v>
      </c>
      <c r="G370" s="8" t="n">
        <v>81</v>
      </c>
      <c r="H370" s="8" t="n">
        <v>7</v>
      </c>
      <c r="I370" s="4" t="s">
        <v>4301</v>
      </c>
      <c r="J370" s="8" t="n">
        <v>52</v>
      </c>
      <c r="K370" s="8" t="n">
        <v>2</v>
      </c>
      <c r="L370" s="4" t="s">
        <v>2025</v>
      </c>
      <c r="M370" s="8" t="n">
        <v>67</v>
      </c>
      <c r="N370" s="8" t="n">
        <f aca="false">IF(A370="","",G370-J370)</f>
        <v>29</v>
      </c>
      <c r="O370" s="8" t="n">
        <f aca="false">IF(A370="","",J370-M370)</f>
        <v>-15</v>
      </c>
      <c r="P370" s="8" t="n">
        <f aca="false">IF(A370="","",G370+J370)</f>
        <v>133</v>
      </c>
      <c r="Q370" s="8" t="str">
        <f aca="false">IF(A370="","",IF(AND(Y370&lt;&gt;"参考",G370&gt;=ルール設定!$B$2),"○",""))</f>
        <v>○</v>
      </c>
      <c r="R370" s="8" t="str">
        <f aca="false">IF(A370="","",IF(AND(Y370&lt;&gt;"参考",G370&gt;=ルール設定!$B$3,N370&gt;=ルール設定!$B$4),"○",""))</f>
        <v/>
      </c>
      <c r="S370" s="8" t="str">
        <f aca="false">IF(A370="","",IF(AND(Y370&lt;&gt;"参考",G370&gt;=ルール設定!$B$5,J370&gt;=ルール設定!$B$6,O370&gt;=ルール設定!$B$7),"○",""))</f>
        <v/>
      </c>
      <c r="T370" s="8" t="n">
        <v>1</v>
      </c>
      <c r="U370" s="8" t="n">
        <v>2</v>
      </c>
      <c r="V370" s="8" t="str">
        <f aca="false">IF(A370="","",IF(AND(ISNUMBER(T370),ISNUMBER(U370)),IF(AND(T370&lt;=3,U370&lt;=3),"○","×"),""))</f>
        <v>○</v>
      </c>
      <c r="W370" s="8" t="n">
        <v>110</v>
      </c>
      <c r="X370" s="8" t="n">
        <v>140</v>
      </c>
      <c r="Y370" s="4" t="s">
        <v>7597</v>
      </c>
      <c r="Z370" s="4" t="s">
        <v>7773</v>
      </c>
      <c r="AA370" s="8" t="str">
        <v/>
      </c>
      <c r="AB370" s="8" t="str">
        <v>○</v>
      </c>
      <c r="AC370" s="8" t="str">
        <v>○</v>
      </c>
      <c r="AD370" s="8" t="str">
        <v/>
      </c>
      <c r="AE370" s="8" t="str">
        <v/>
      </c>
      <c r="AF370" s="8" t="str">
        <v/>
      </c>
      <c r="AG370" s="8" t="str">
        <v/>
      </c>
      <c r="AH370" s="8" t="str">
        <v/>
      </c>
      <c r="AI370" s="8" t="n">
        <v>14</v>
      </c>
      <c r="AJ370" s="8" t="str">
        <v>80～84</v>
      </c>
      <c r="AK370" s="8" t="str">
        <v>20～29</v>
      </c>
      <c r="AL370" s="8" t="str">
        <v>10～19</v>
      </c>
      <c r="AM370" s="8" t="str">
        <v>120～139</v>
      </c>
      <c r="AN370" s="8" t="str">
        <v>8～11</v>
      </c>
      <c r="AO370" s="8" t="str">
        <f aca="false">IF(A370="","",IF(COUNTIFS(全馬データ!$A$2:$A$50000,A370,全馬データ!$B$2:$B$50000,B370,全馬データ!$C$2:$C$50000,C370,全馬データ!$D$2:$D$50000,E370,全馬データ!$K$2:$K$50000,"&lt;&gt;")=0,"",SUMIFS(全馬データ!$K$2:$K$50000,全馬データ!$A$2:$A$50000,A370,全馬データ!$B$2:$B$50000,B370,全馬データ!$C$2:$C$50000,C370,全馬データ!$D$2:$D$50000,E370)))</f>
        <v/>
      </c>
      <c r="AP370" s="8" t="str">
        <f aca="false">IF(A370="","",IF(AO370="","欠損",IF(AO370&lt;=1.1,"1.0～1.1",IF(AO370&lt;1.3,"1.2",IF(AO370&lt;1.5,"1.3～1.4",IF(AO370&lt;2,"1.5～1.9","2.0以上"))))))</f>
        <v>欠損</v>
      </c>
      <c r="AQ370" s="8" t="str">
        <f aca="false">IF(A370="","",IF(ISNUMBER(SEARCH("2歳",Z370)),"2歳戦",IF(ISNUMBER(SEARCH("3歳未勝利",Z370)),"3歳未勝利",IF(ISNUMBER(SEARCH("未勝利",Z370)),"その他未勝利",IF(ISNUMBER(SEARCH("G1",Z370)),"G1",IF(ISNUMBER(SEARCH("G2",Z370)),"G2",IF(ISNUMBER(SEARCH("G3",Z370)),"G3",IF(ISNUMBER(SEARCH("古馬条件",Z370)),"古馬条件戦",IF(ISNUMBER(SEARCH("重賞",Z370)),"重賞","分類不能")))))))))</f>
        <v>分類不能</v>
      </c>
      <c r="AR370" s="4" t="s">
        <v>7775</v>
      </c>
      <c r="AS370" s="8" t="s">
        <v>7598</v>
      </c>
      <c r="AT370" s="8" t="s">
        <v>7599</v>
      </c>
      <c r="AU370" s="8" t="s">
        <v>7643</v>
      </c>
      <c r="AV370" s="4" t="s">
        <v>7644</v>
      </c>
      <c r="AW370" s="8" t="s">
        <v>7636</v>
      </c>
      <c r="AX370" s="4" t="s">
        <v>7637</v>
      </c>
      <c r="AY370" s="8" t="s">
        <v>7602</v>
      </c>
      <c r="AZ370" s="4" t="s">
        <v>7603</v>
      </c>
      <c r="BA370" s="8" t="n">
        <v>1400</v>
      </c>
      <c r="BB370" s="8" t="s">
        <v>7598</v>
      </c>
      <c r="BC370" s="4" t="s">
        <v>7604</v>
      </c>
      <c r="BD370" s="8" t="s">
        <v>7666</v>
      </c>
      <c r="BE370" s="4" t="s">
        <v>7606</v>
      </c>
      <c r="BF370" s="8" t="s">
        <v>7607</v>
      </c>
      <c r="BG370" s="8" t="s">
        <v>7610</v>
      </c>
      <c r="BH370" s="4" t="s">
        <v>7646</v>
      </c>
      <c r="BI370" s="8" t="n">
        <v>9</v>
      </c>
      <c r="BJ370" s="8" t="s">
        <v>7610</v>
      </c>
      <c r="BK370" s="4" t="s">
        <v>7611</v>
      </c>
      <c r="BL370" s="8" t="s">
        <v>7602</v>
      </c>
      <c r="BM370" s="4" t="s">
        <v>7620</v>
      </c>
      <c r="BN370" s="8" t="s">
        <v>7602</v>
      </c>
      <c r="BO370" s="8" t="s">
        <v>7613</v>
      </c>
      <c r="BP370" s="8" t="s">
        <v>7602</v>
      </c>
      <c r="BQ370" s="8" t="str">
        <f aca="false">IF(A370="","",AT370)</f>
        <v>2歳</v>
      </c>
      <c r="BR370" s="8" t="str">
        <f aca="false">IF(A370="","",IF(BA370&lt;=1200,"～1200",IF(BA370&lt;=1500,"1300～1500",IF(BA370=1600,"1600",IF(BA370&lt;=1800,"1700～1800",IF(BA370&lt;=2000,"1900～2000","2100以上"))))))</f>
        <v>1300～1500</v>
      </c>
      <c r="BS370" s="8" t="str">
        <f aca="false">IF(A370="","",IF(AX370="G1","G1",IF(AX370="G2","G2",IF(AX370="G3","G3",IF(AX370="L","L","その他")))))</f>
        <v>その他</v>
      </c>
      <c r="BT370" s="8" t="str">
        <f aca="false">IF(A370="","",IF(BI370="","未結合",IF(D370=BI370,"一致","不一致")))</f>
        <v>一致</v>
      </c>
      <c r="BU370" s="8" t="str">
        <f aca="false">IF(A370="","",IF(BE370="牝馬限定","牝馬限定","その他"))</f>
        <v>その他</v>
      </c>
    </row>
    <row r="371" customFormat="false" ht="15.75" hidden="false" customHeight="false" outlineLevel="0" collapsed="false">
      <c r="A371" s="6" t="n">
        <f aca="false">DATE(2026,8,8)</f>
        <v>46242</v>
      </c>
      <c r="B371" s="4" t="s">
        <v>13</v>
      </c>
      <c r="C371" s="8" t="n">
        <v>6</v>
      </c>
      <c r="D371" s="8" t="n">
        <v>10</v>
      </c>
      <c r="E371" s="8" t="n">
        <v>2</v>
      </c>
      <c r="F371" s="4" t="s">
        <v>5865</v>
      </c>
      <c r="G371" s="8" t="n">
        <v>81</v>
      </c>
      <c r="H371" s="8" t="n">
        <v>5</v>
      </c>
      <c r="I371" s="8"/>
      <c r="J371" s="8" t="n">
        <v>44</v>
      </c>
      <c r="K371" s="8" t="n">
        <v>8</v>
      </c>
      <c r="L371" s="4" t="s">
        <v>6887</v>
      </c>
      <c r="M371" s="8" t="n">
        <v>74</v>
      </c>
      <c r="N371" s="8" t="n">
        <f aca="false">IF(A371="","",G371-J371)</f>
        <v>37</v>
      </c>
      <c r="O371" s="8" t="n">
        <f aca="false">IF(A371="","",J371-M371)</f>
        <v>-30</v>
      </c>
      <c r="P371" s="8" t="n">
        <f aca="false">IF(A371="","",G371+J371)</f>
        <v>125</v>
      </c>
      <c r="Q371" s="8" t="str">
        <f aca="false">IF(A371="","",IF(AND(Y371&lt;&gt;"参考",G371&gt;=ルール設定!$B$2),"○",""))</f>
        <v>○</v>
      </c>
      <c r="R371" s="8" t="str">
        <f aca="false">IF(A371="","",IF(AND(Y371&lt;&gt;"参考",G371&gt;=ルール設定!$B$3,N371&gt;=ルール設定!$B$4),"○",""))</f>
        <v>○</v>
      </c>
      <c r="S371" s="8" t="str">
        <f aca="false">IF(A371="","",IF(AND(Y371&lt;&gt;"参考",G371&gt;=ルール設定!$B$5,J371&gt;=ルール設定!$B$6,O371&gt;=ルール設定!$B$7),"○",""))</f>
        <v/>
      </c>
      <c r="T371" s="8" t="n">
        <v>2</v>
      </c>
      <c r="U371" s="8" t="n">
        <v>4</v>
      </c>
      <c r="V371" s="8" t="str">
        <f aca="false">IF(A371="","",IF(AND(ISNUMBER(T371),ISNUMBER(U371)),IF(AND(T371&lt;=3,U371&lt;=3),"○","×"),""))</f>
        <v>×</v>
      </c>
      <c r="W371" s="8" t="n">
        <v>110</v>
      </c>
      <c r="X371" s="8"/>
      <c r="Y371" s="4" t="s">
        <v>7597</v>
      </c>
      <c r="Z371" s="4" t="s">
        <v>7773</v>
      </c>
      <c r="AA371" s="8" t="str">
        <v/>
      </c>
      <c r="AB371" s="8" t="str">
        <v>○</v>
      </c>
      <c r="AC371" s="8" t="str">
        <v/>
      </c>
      <c r="AD371" s="8" t="str">
        <v>○</v>
      </c>
      <c r="AE371" s="8" t="str">
        <v/>
      </c>
      <c r="AF371" s="8" t="str">
        <v/>
      </c>
      <c r="AG371" s="8" t="str">
        <v/>
      </c>
      <c r="AH371" s="8" t="str">
        <v/>
      </c>
      <c r="AI371" s="8" t="n">
        <v>7</v>
      </c>
      <c r="AJ371" s="8" t="str">
        <v>80～84</v>
      </c>
      <c r="AK371" s="8" t="str">
        <v>30以上</v>
      </c>
      <c r="AL371" s="8" t="str">
        <v>0～9</v>
      </c>
      <c r="AM371" s="8" t="str">
        <v>120～139</v>
      </c>
      <c r="AN371" s="8" t="str">
        <v>8～11</v>
      </c>
      <c r="AO371" s="8" t="str">
        <f aca="false">IF(A371="","",IF(COUNTIFS(全馬データ!$A$2:$A$50000,A371,全馬データ!$B$2:$B$50000,B371,全馬データ!$C$2:$C$50000,C371,全馬データ!$D$2:$D$50000,E371,全馬データ!$K$2:$K$50000,"&lt;&gt;")=0,"",SUMIFS(全馬データ!$K$2:$K$50000,全馬データ!$A$2:$A$50000,A371,全馬データ!$B$2:$B$50000,B371,全馬データ!$C$2:$C$50000,C371,全馬データ!$D$2:$D$50000,E371)))</f>
        <v/>
      </c>
      <c r="AP371" s="8" t="str">
        <f aca="false">IF(A371="","",IF(AO371="","欠損",IF(AO371&lt;=1.1,"1.0～1.1",IF(AO371&lt;1.3,"1.2",IF(AO371&lt;1.5,"1.3～1.4",IF(AO371&lt;2,"1.5～1.9","2.0以上"))))))</f>
        <v>欠損</v>
      </c>
      <c r="AQ371" s="8" t="str">
        <f aca="false">IF(A371="","",IF(ISNUMBER(SEARCH("2歳",Z371)),"2歳戦",IF(ISNUMBER(SEARCH("3歳未勝利",Z371)),"3歳未勝利",IF(ISNUMBER(SEARCH("未勝利",Z371)),"その他未勝利",IF(ISNUMBER(SEARCH("G1",Z371)),"G1",IF(ISNUMBER(SEARCH("G2",Z371)),"G2",IF(ISNUMBER(SEARCH("G3",Z371)),"G3",IF(ISNUMBER(SEARCH("古馬条件",Z371)),"古馬条件戦",IF(ISNUMBER(SEARCH("重賞",Z371)),"重賞","分類不能")))))))))</f>
        <v>分類不能</v>
      </c>
      <c r="AR371" s="4" t="s">
        <v>7776</v>
      </c>
      <c r="AS371" s="8" t="s">
        <v>7626</v>
      </c>
      <c r="AT371" s="8" t="s">
        <v>7627</v>
      </c>
      <c r="AU371" s="8" t="s">
        <v>7634</v>
      </c>
      <c r="AV371" s="8" t="s">
        <v>7635</v>
      </c>
      <c r="AW371" s="8" t="s">
        <v>7636</v>
      </c>
      <c r="AX371" s="4" t="s">
        <v>7637</v>
      </c>
      <c r="AY371" s="8" t="s">
        <v>7602</v>
      </c>
      <c r="AZ371" s="4" t="s">
        <v>7603</v>
      </c>
      <c r="BA371" s="8" t="n">
        <v>1800</v>
      </c>
      <c r="BB371" s="8" t="s">
        <v>7598</v>
      </c>
      <c r="BC371" s="4" t="s">
        <v>7604</v>
      </c>
      <c r="BD371" s="8" t="s">
        <v>7703</v>
      </c>
      <c r="BE371" s="4" t="s">
        <v>7622</v>
      </c>
      <c r="BF371" s="8" t="s">
        <v>7602</v>
      </c>
      <c r="BG371" s="8" t="s">
        <v>7631</v>
      </c>
      <c r="BH371" s="4" t="s">
        <v>7632</v>
      </c>
      <c r="BI371" s="8" t="n">
        <v>10</v>
      </c>
      <c r="BJ371" s="8" t="s">
        <v>7610</v>
      </c>
      <c r="BK371" s="4" t="s">
        <v>7611</v>
      </c>
      <c r="BL371" s="8" t="s">
        <v>7610</v>
      </c>
      <c r="BM371" s="4" t="s">
        <v>7612</v>
      </c>
      <c r="BN371" s="8" t="s">
        <v>7602</v>
      </c>
      <c r="BO371" s="8" t="s">
        <v>7613</v>
      </c>
      <c r="BP371" s="8" t="s">
        <v>7602</v>
      </c>
      <c r="BQ371" s="8" t="str">
        <f aca="false">IF(A371="","",AT371)</f>
        <v>3歳以上</v>
      </c>
      <c r="BR371" s="8" t="str">
        <f aca="false">IF(A371="","",IF(BA371&lt;=1200,"～1200",IF(BA371&lt;=1500,"1300～1500",IF(BA371=1600,"1600",IF(BA371&lt;=1800,"1700～1800",IF(BA371&lt;=2000,"1900～2000","2100以上"))))))</f>
        <v>1700～1800</v>
      </c>
      <c r="BS371" s="8" t="str">
        <f aca="false">IF(A371="","",IF(AX371="G1","G1",IF(AX371="G2","G2",IF(AX371="G3","G3",IF(AX371="L","L","その他")))))</f>
        <v>その他</v>
      </c>
      <c r="BT371" s="8" t="str">
        <f aca="false">IF(A371="","",IF(BI371="","未結合",IF(D371=BI371,"一致","不一致")))</f>
        <v>一致</v>
      </c>
      <c r="BU371" s="8" t="str">
        <f aca="false">IF(A371="","",IF(BE371="牝馬限定","牝馬限定","その他"))</f>
        <v>牝馬限定</v>
      </c>
    </row>
    <row r="372" customFormat="false" ht="15.75" hidden="false" customHeight="false" outlineLevel="0" collapsed="false">
      <c r="A372" s="6" t="n">
        <v>46193</v>
      </c>
      <c r="B372" s="4" t="s">
        <v>4473</v>
      </c>
      <c r="C372" s="8" t="n">
        <v>1</v>
      </c>
      <c r="D372" s="8" t="n">
        <v>16</v>
      </c>
      <c r="E372" s="8" t="n">
        <v>14</v>
      </c>
      <c r="F372" s="4" t="s">
        <v>3858</v>
      </c>
      <c r="G372" s="8" t="n">
        <v>86</v>
      </c>
      <c r="H372" s="8" t="n">
        <v>3</v>
      </c>
      <c r="I372" s="4" t="s">
        <v>2581</v>
      </c>
      <c r="J372" s="8" t="n">
        <v>60</v>
      </c>
      <c r="K372" s="8" t="n">
        <v>4</v>
      </c>
      <c r="L372" s="4" t="s">
        <v>4880</v>
      </c>
      <c r="M372" s="8" t="n">
        <v>23</v>
      </c>
      <c r="N372" s="8" t="n">
        <f aca="false">IF(A372="","",G372-J372)</f>
        <v>26</v>
      </c>
      <c r="O372" s="8" t="n">
        <f aca="false">IF(A372="","",J372-M372)</f>
        <v>37</v>
      </c>
      <c r="P372" s="8" t="n">
        <f aca="false">IF(A372="","",G372+J372)</f>
        <v>146</v>
      </c>
      <c r="Q372" s="8" t="str">
        <f aca="false">IF(A372="","",IF(AND(Y372&lt;&gt;"参考",G372&gt;=ルール設定!$B$2),"○",""))</f>
        <v>○</v>
      </c>
      <c r="R372" s="8" t="str">
        <f aca="false">IF(A372="","",IF(AND(Y372&lt;&gt;"参考",G372&gt;=ルール設定!$B$3,N372&gt;=ルール設定!$B$4),"○",""))</f>
        <v/>
      </c>
      <c r="S372" s="8" t="str">
        <f aca="false">IF(A372="","",IF(AND(Y372&lt;&gt;"参考",G372&gt;=ルール設定!$B$5,J372&gt;=ルール設定!$B$6,O372&gt;=ルール設定!$B$7),"○",""))</f>
        <v>○</v>
      </c>
      <c r="T372" s="8" t="n">
        <v>1</v>
      </c>
      <c r="U372" s="8" t="n">
        <v>4</v>
      </c>
      <c r="V372" s="8" t="str">
        <f aca="false">IF(A372="","",IF(AND(ISNUMBER(T372),ISNUMBER(U372)),IF(AND(T372&lt;=3,U372&lt;=3),"○","×"),""))</f>
        <v>×</v>
      </c>
      <c r="W372" s="8" t="n">
        <v>110</v>
      </c>
      <c r="X372" s="8"/>
      <c r="Y372" s="4" t="s">
        <v>7597</v>
      </c>
      <c r="Z372" s="4" t="s">
        <v>7777</v>
      </c>
      <c r="AA372" s="8" t="str">
        <v>○</v>
      </c>
      <c r="AB372" s="8" t="str">
        <v>○</v>
      </c>
      <c r="AC372" s="8" t="str">
        <v>○</v>
      </c>
      <c r="AD372" s="8" t="str">
        <v/>
      </c>
      <c r="AE372" s="8" t="str">
        <v/>
      </c>
      <c r="AF372" s="8" t="str">
        <v>○</v>
      </c>
      <c r="AG372" s="8" t="str">
        <v>○</v>
      </c>
      <c r="AH372" s="8" t="str">
        <v/>
      </c>
      <c r="AI372" s="8" t="n">
        <v>63</v>
      </c>
      <c r="AJ372" s="8" t="str">
        <v>85以上</v>
      </c>
      <c r="AK372" s="8" t="str">
        <v>20～29</v>
      </c>
      <c r="AL372" s="8" t="str">
        <v>40以上</v>
      </c>
      <c r="AM372" s="8" t="str">
        <v>140～159</v>
      </c>
      <c r="AN372" s="8" t="str">
        <v>15以上</v>
      </c>
      <c r="AO372" s="8" t="str">
        <f aca="false">IF(A372="","",IF(COUNTIFS(全馬データ!$A$2:$A$50000,A372,全馬データ!$B$2:$B$50000,B372,全馬データ!$C$2:$C$50000,C372,全馬データ!$D$2:$D$50000,E372,全馬データ!$K$2:$K$50000,"&lt;&gt;")=0,"",SUMIFS(全馬データ!$K$2:$K$50000,全馬データ!$A$2:$A$50000,A372,全馬データ!$B$2:$B$50000,B372,全馬データ!$C$2:$C$50000,C372,全馬データ!$D$2:$D$50000,E372)))</f>
        <v/>
      </c>
      <c r="AP372" s="8" t="str">
        <f aca="false">IF(A372="","",IF(AO372="","欠損",IF(AO372&lt;=1.1,"1.0～1.1",IF(AO372&lt;1.3,"1.2",IF(AO372&lt;1.5,"1.3～1.4",IF(AO372&lt;2,"1.5～1.9","2.0以上"))))))</f>
        <v>欠損</v>
      </c>
      <c r="AQ372" s="8" t="str">
        <f aca="false">IF(A372="","",IF(ISNUMBER(SEARCH("2歳",Z372)),"2歳戦",IF(ISNUMBER(SEARCH("3歳未勝利",Z372)),"3歳未勝利",IF(ISNUMBER(SEARCH("未勝利",Z372)),"その他未勝利",IF(ISNUMBER(SEARCH("G1",Z372)),"G1",IF(ISNUMBER(SEARCH("G2",Z372)),"G2",IF(ISNUMBER(SEARCH("G3",Z372)),"G3",IF(ISNUMBER(SEARCH("古馬条件",Z372)),"古馬条件戦",IF(ISNUMBER(SEARCH("重賞",Z372)),"重賞","分類不能")))))))))</f>
        <v>分類不能</v>
      </c>
      <c r="AR372" s="8"/>
      <c r="AS372" s="8" t="s">
        <v>7623</v>
      </c>
      <c r="AT372" s="8" t="s">
        <v>7624</v>
      </c>
      <c r="AU372" s="8" t="s">
        <v>7600</v>
      </c>
      <c r="AV372" s="4" t="s">
        <v>7601</v>
      </c>
      <c r="AW372" s="8"/>
      <c r="AX372" s="8"/>
      <c r="AY372" s="8" t="s">
        <v>7610</v>
      </c>
      <c r="AZ372" s="4" t="s">
        <v>7617</v>
      </c>
      <c r="BA372" s="8" t="n">
        <v>1600</v>
      </c>
      <c r="BB372" s="8" t="s">
        <v>7669</v>
      </c>
      <c r="BC372" s="4" t="s">
        <v>7662</v>
      </c>
      <c r="BD372" s="8" t="s">
        <v>7621</v>
      </c>
      <c r="BE372" s="4" t="s">
        <v>7622</v>
      </c>
      <c r="BF372" s="8" t="s">
        <v>7602</v>
      </c>
      <c r="BG372" s="8" t="s">
        <v>7608</v>
      </c>
      <c r="BH372" s="4" t="s">
        <v>7609</v>
      </c>
      <c r="BI372" s="8" t="n">
        <v>16</v>
      </c>
      <c r="BJ372" s="8" t="s">
        <v>7610</v>
      </c>
      <c r="BK372" s="4" t="s">
        <v>7611</v>
      </c>
      <c r="BL372" s="8" t="s">
        <v>7602</v>
      </c>
      <c r="BM372" s="4" t="s">
        <v>7620</v>
      </c>
      <c r="BN372" s="8"/>
      <c r="BO372" s="8"/>
      <c r="BP372" s="8" t="s">
        <v>7602</v>
      </c>
      <c r="BQ372" s="8" t="str">
        <f aca="false">IF(A372="","",AT372)</f>
        <v>3歳</v>
      </c>
      <c r="BR372" s="8" t="str">
        <f aca="false">IF(A372="","",IF(BA372&lt;=1200,"～1200",IF(BA372&lt;=1500,"1300～1500",IF(BA372=1600,"1600",IF(BA372&lt;=1800,"1700～1800",IF(BA372&lt;=2000,"1900～2000","2100以上"))))))</f>
        <v>1600</v>
      </c>
      <c r="BS372" s="8" t="str">
        <f aca="false">IF(A372="","",IF(AX372="G1","G1",IF(AX372="G2","G2",IF(AX372="G3","G3",IF(AX372="L","L","その他")))))</f>
        <v>その他</v>
      </c>
      <c r="BT372" s="8" t="str">
        <f aca="false">IF(A372="","",IF(BI372="","未結合",IF(D372=BI372,"一致","不一致")))</f>
        <v>一致</v>
      </c>
      <c r="BU372" s="8" t="str">
        <f aca="false">IF(A372="","",IF(BE372="牝馬限定","牝馬限定","その他"))</f>
        <v>牝馬限定</v>
      </c>
    </row>
    <row r="373" customFormat="false" ht="15.75" hidden="false" customHeight="false" outlineLevel="0" collapsed="false">
      <c r="A373" s="6" t="n">
        <v>46193</v>
      </c>
      <c r="B373" s="4" t="s">
        <v>4473</v>
      </c>
      <c r="C373" s="8" t="n">
        <v>2</v>
      </c>
      <c r="D373" s="8" t="n">
        <v>16</v>
      </c>
      <c r="E373" s="8" t="n">
        <v>1</v>
      </c>
      <c r="F373" s="4" t="s">
        <v>3743</v>
      </c>
      <c r="G373" s="8" t="n">
        <v>66</v>
      </c>
      <c r="H373" s="8" t="n">
        <v>14</v>
      </c>
      <c r="I373" s="4" t="s">
        <v>3735</v>
      </c>
      <c r="J373" s="8" t="n">
        <v>66</v>
      </c>
      <c r="K373" s="8" t="n">
        <v>7</v>
      </c>
      <c r="L373" s="4" t="s">
        <v>5799</v>
      </c>
      <c r="M373" s="8" t="n">
        <v>41</v>
      </c>
      <c r="N373" s="8" t="n">
        <f aca="false">IF(A373="","",G373-J373)</f>
        <v>0</v>
      </c>
      <c r="O373" s="8" t="n">
        <f aca="false">IF(A373="","",J373-M373)</f>
        <v>25</v>
      </c>
      <c r="P373" s="8" t="n">
        <f aca="false">IF(A373="","",G373+J373)</f>
        <v>132</v>
      </c>
      <c r="Q373" s="8" t="str">
        <f aca="false">IF(A373="","",IF(AND(Y373&lt;&gt;"参考",G373&gt;=ルール設定!$B$2),"○",""))</f>
        <v/>
      </c>
      <c r="R373" s="8" t="str">
        <f aca="false">IF(A373="","",IF(AND(Y373&lt;&gt;"参考",G373&gt;=ルール設定!$B$3,N373&gt;=ルール設定!$B$4),"○",""))</f>
        <v/>
      </c>
      <c r="S373" s="8" t="str">
        <f aca="false">IF(A373="","",IF(AND(Y373&lt;&gt;"参考",G373&gt;=ルール設定!$B$5,J373&gt;=ルール設定!$B$6,O373&gt;=ルール設定!$B$7),"○",""))</f>
        <v>○</v>
      </c>
      <c r="T373" s="8" t="n">
        <v>2</v>
      </c>
      <c r="U373" s="8" t="n">
        <v>3</v>
      </c>
      <c r="V373" s="8" t="str">
        <f aca="false">IF(A373="","",IF(AND(ISNUMBER(T373),ISNUMBER(U373)),IF(AND(T373&lt;=3,U373&lt;=3),"○","×"),""))</f>
        <v>○</v>
      </c>
      <c r="W373" s="8" t="n">
        <v>110</v>
      </c>
      <c r="X373" s="8" t="n">
        <v>190</v>
      </c>
      <c r="Y373" s="4" t="s">
        <v>7597</v>
      </c>
      <c r="Z373" s="4" t="s">
        <v>7777</v>
      </c>
      <c r="AA373" s="8" t="str">
        <v/>
      </c>
      <c r="AB373" s="8" t="str">
        <v/>
      </c>
      <c r="AC373" s="8" t="str">
        <v/>
      </c>
      <c r="AD373" s="8" t="str">
        <v/>
      </c>
      <c r="AE373" s="8" t="str">
        <v/>
      </c>
      <c r="AF373" s="8" t="str">
        <v/>
      </c>
      <c r="AG373" s="8" t="str">
        <v/>
      </c>
      <c r="AH373" s="8" t="str">
        <v/>
      </c>
      <c r="AI373" s="8" t="n">
        <v>25</v>
      </c>
      <c r="AJ373" s="8" t="str">
        <v>60～69</v>
      </c>
      <c r="AK373" s="8" t="str">
        <v>0～4</v>
      </c>
      <c r="AL373" s="8" t="str">
        <v>20～29</v>
      </c>
      <c r="AM373" s="8" t="str">
        <v>120～139</v>
      </c>
      <c r="AN373" s="8" t="str">
        <v>15以上</v>
      </c>
      <c r="AO373" s="8" t="str">
        <f aca="false">IF(A373="","",IF(COUNTIFS(全馬データ!$A$2:$A$50000,A373,全馬データ!$B$2:$B$50000,B373,全馬データ!$C$2:$C$50000,C373,全馬データ!$D$2:$D$50000,E373,全馬データ!$K$2:$K$50000,"&lt;&gt;")=0,"",SUMIFS(全馬データ!$K$2:$K$50000,全馬データ!$A$2:$A$50000,A373,全馬データ!$B$2:$B$50000,B373,全馬データ!$C$2:$C$50000,C373,全馬データ!$D$2:$D$50000,E373)))</f>
        <v/>
      </c>
      <c r="AP373" s="8" t="str">
        <f aca="false">IF(A373="","",IF(AO373="","欠損",IF(AO373&lt;=1.1,"1.0～1.1",IF(AO373&lt;1.3,"1.2",IF(AO373&lt;1.5,"1.3～1.4",IF(AO373&lt;2,"1.5～1.9","2.0以上"))))))</f>
        <v>欠損</v>
      </c>
      <c r="AQ373" s="8" t="str">
        <f aca="false">IF(A373="","",IF(ISNUMBER(SEARCH("2歳",Z373)),"2歳戦",IF(ISNUMBER(SEARCH("3歳未勝利",Z373)),"3歳未勝利",IF(ISNUMBER(SEARCH("未勝利",Z373)),"その他未勝利",IF(ISNUMBER(SEARCH("G1",Z373)),"G1",IF(ISNUMBER(SEARCH("G2",Z373)),"G2",IF(ISNUMBER(SEARCH("G3",Z373)),"G3",IF(ISNUMBER(SEARCH("古馬条件",Z373)),"古馬条件戦",IF(ISNUMBER(SEARCH("重賞",Z373)),"重賞","分類不能")))))))))</f>
        <v>分類不能</v>
      </c>
      <c r="AR373" s="8"/>
      <c r="AS373" s="8" t="s">
        <v>7623</v>
      </c>
      <c r="AT373" s="8" t="s">
        <v>7624</v>
      </c>
      <c r="AU373" s="8" t="s">
        <v>7600</v>
      </c>
      <c r="AV373" s="4" t="s">
        <v>7601</v>
      </c>
      <c r="AW373" s="8"/>
      <c r="AX373" s="8"/>
      <c r="AY373" s="8" t="s">
        <v>7610</v>
      </c>
      <c r="AZ373" s="4" t="s">
        <v>7617</v>
      </c>
      <c r="BA373" s="8" t="n">
        <v>1400</v>
      </c>
      <c r="BB373" s="8" t="s">
        <v>7669</v>
      </c>
      <c r="BC373" s="4" t="s">
        <v>7662</v>
      </c>
      <c r="BD373" s="8" t="s">
        <v>7625</v>
      </c>
      <c r="BE373" s="4" t="s">
        <v>7606</v>
      </c>
      <c r="BF373" s="8" t="s">
        <v>7607</v>
      </c>
      <c r="BG373" s="8" t="s">
        <v>7608</v>
      </c>
      <c r="BH373" s="4" t="s">
        <v>7609</v>
      </c>
      <c r="BI373" s="8" t="n">
        <v>16</v>
      </c>
      <c r="BJ373" s="8" t="s">
        <v>7610</v>
      </c>
      <c r="BK373" s="4" t="s">
        <v>7611</v>
      </c>
      <c r="BL373" s="8" t="s">
        <v>7602</v>
      </c>
      <c r="BM373" s="4" t="s">
        <v>7620</v>
      </c>
      <c r="BN373" s="8"/>
      <c r="BO373" s="8"/>
      <c r="BP373" s="8" t="s">
        <v>7602</v>
      </c>
      <c r="BQ373" s="8" t="str">
        <f aca="false">IF(A373="","",AT373)</f>
        <v>3歳</v>
      </c>
      <c r="BR373" s="8" t="str">
        <f aca="false">IF(A373="","",IF(BA373&lt;=1200,"～1200",IF(BA373&lt;=1500,"1300～1500",IF(BA373=1600,"1600",IF(BA373&lt;=1800,"1700～1800",IF(BA373&lt;=2000,"1900～2000","2100以上"))))))</f>
        <v>1300～1500</v>
      </c>
      <c r="BS373" s="8" t="str">
        <f aca="false">IF(A373="","",IF(AX373="G1","G1",IF(AX373="G2","G2",IF(AX373="G3","G3",IF(AX373="L","L","その他")))))</f>
        <v>その他</v>
      </c>
      <c r="BT373" s="8" t="str">
        <f aca="false">IF(A373="","",IF(BI373="","未結合",IF(D373=BI373,"一致","不一致")))</f>
        <v>一致</v>
      </c>
      <c r="BU373" s="8" t="str">
        <f aca="false">IF(A373="","",IF(BE373="牝馬限定","牝馬限定","その他"))</f>
        <v>その他</v>
      </c>
    </row>
    <row r="374" customFormat="false" ht="15.75" hidden="false" customHeight="false" outlineLevel="0" collapsed="false">
      <c r="A374" s="6" t="n">
        <v>46193</v>
      </c>
      <c r="B374" s="4" t="s">
        <v>4473</v>
      </c>
      <c r="C374" s="8" t="n">
        <v>5</v>
      </c>
      <c r="D374" s="8" t="n">
        <v>10</v>
      </c>
      <c r="E374" s="8" t="n">
        <v>9</v>
      </c>
      <c r="F374" s="4" t="s">
        <v>6613</v>
      </c>
      <c r="G374" s="8" t="n">
        <v>37</v>
      </c>
      <c r="H374" s="8" t="n">
        <v>6</v>
      </c>
      <c r="I374" s="4" t="s">
        <v>1895</v>
      </c>
      <c r="J374" s="8" t="n">
        <v>31</v>
      </c>
      <c r="K374" s="8" t="n">
        <v>4</v>
      </c>
      <c r="L374" s="4" t="s">
        <v>6521</v>
      </c>
      <c r="M374" s="8" t="n">
        <v>27</v>
      </c>
      <c r="N374" s="8" t="n">
        <f aca="false">IF(A374="","",G374-J374)</f>
        <v>6</v>
      </c>
      <c r="O374" s="8" t="n">
        <f aca="false">IF(A374="","",J374-M374)</f>
        <v>4</v>
      </c>
      <c r="P374" s="8" t="n">
        <f aca="false">IF(A374="","",G374+J374)</f>
        <v>68</v>
      </c>
      <c r="Q374" s="8" t="str">
        <f aca="false">IF(A374="","",IF(AND(Y374&lt;&gt;"参考",G374&gt;=ルール設定!$B$2),"○",""))</f>
        <v/>
      </c>
      <c r="R374" s="8" t="str">
        <f aca="false">IF(A374="","",IF(AND(Y374&lt;&gt;"参考",G374&gt;=ルール設定!$B$3,N374&gt;=ルール設定!$B$4),"○",""))</f>
        <v/>
      </c>
      <c r="S374" s="8" t="str">
        <f aca="false">IF(A374="","",IF(AND(Y374&lt;&gt;"参考",G374&gt;=ルール設定!$B$5,J374&gt;=ルール設定!$B$6,O374&gt;=ルール設定!$B$7),"○",""))</f>
        <v/>
      </c>
      <c r="T374" s="8" t="n">
        <v>3</v>
      </c>
      <c r="U374" s="8" t="n">
        <v>2</v>
      </c>
      <c r="V374" s="8" t="str">
        <f aca="false">IF(A374="","",IF(AND(ISNUMBER(T374),ISNUMBER(U374)),IF(AND(T374&lt;=3,U374&lt;=3),"○","×"),""))</f>
        <v>○</v>
      </c>
      <c r="W374" s="8" t="n">
        <v>110</v>
      </c>
      <c r="X374" s="8" t="n">
        <v>290</v>
      </c>
      <c r="Y374" s="4" t="s">
        <v>7597</v>
      </c>
      <c r="Z374" s="4" t="s">
        <v>7777</v>
      </c>
      <c r="AA374" s="8" t="str">
        <v/>
      </c>
      <c r="AB374" s="8" t="str">
        <v/>
      </c>
      <c r="AC374" s="8" t="str">
        <v/>
      </c>
      <c r="AD374" s="8" t="str">
        <v/>
      </c>
      <c r="AE374" s="8" t="str">
        <v/>
      </c>
      <c r="AF374" s="8" t="str">
        <v/>
      </c>
      <c r="AG374" s="8" t="str">
        <v/>
      </c>
      <c r="AH374" s="8" t="str">
        <v/>
      </c>
      <c r="AI374" s="8" t="n">
        <v>10</v>
      </c>
      <c r="AJ374" s="8" t="str">
        <v>～59</v>
      </c>
      <c r="AK374" s="8" t="str">
        <v>5～9</v>
      </c>
      <c r="AL374" s="8" t="str">
        <v>10～19</v>
      </c>
      <c r="AM374" s="8" t="str">
        <v>～99</v>
      </c>
      <c r="AN374" s="8" t="str">
        <v>8～11</v>
      </c>
      <c r="AO374" s="8" t="str">
        <f aca="false">IF(A374="","",IF(COUNTIFS(全馬データ!$A$2:$A$50000,A374,全馬データ!$B$2:$B$50000,B374,全馬データ!$C$2:$C$50000,C374,全馬データ!$D$2:$D$50000,E374,全馬データ!$K$2:$K$50000,"&lt;&gt;")=0,"",SUMIFS(全馬データ!$K$2:$K$50000,全馬データ!$A$2:$A$50000,A374,全馬データ!$B$2:$B$50000,B374,全馬データ!$C$2:$C$50000,C374,全馬データ!$D$2:$D$50000,E374)))</f>
        <v/>
      </c>
      <c r="AP374" s="8" t="str">
        <f aca="false">IF(A374="","",IF(AO374="","欠損",IF(AO374&lt;=1.1,"1.0～1.1",IF(AO374&lt;1.3,"1.2",IF(AO374&lt;1.5,"1.3～1.4",IF(AO374&lt;2,"1.5～1.9","2.0以上"))))))</f>
        <v>欠損</v>
      </c>
      <c r="AQ374" s="8" t="str">
        <f aca="false">IF(A374="","",IF(ISNUMBER(SEARCH("2歳",Z374)),"2歳戦",IF(ISNUMBER(SEARCH("3歳未勝利",Z374)),"3歳未勝利",IF(ISNUMBER(SEARCH("未勝利",Z374)),"その他未勝利",IF(ISNUMBER(SEARCH("G1",Z374)),"G1",IF(ISNUMBER(SEARCH("G2",Z374)),"G2",IF(ISNUMBER(SEARCH("G3",Z374)),"G3",IF(ISNUMBER(SEARCH("古馬条件",Z374)),"古馬条件戦",IF(ISNUMBER(SEARCH("重賞",Z374)),"重賞","分類不能")))))))))</f>
        <v>分類不能</v>
      </c>
      <c r="AR374" s="8"/>
      <c r="AS374" s="8" t="s">
        <v>7598</v>
      </c>
      <c r="AT374" s="8" t="s">
        <v>7599</v>
      </c>
      <c r="AU374" s="8" t="s">
        <v>7615</v>
      </c>
      <c r="AV374" s="4" t="s">
        <v>7616</v>
      </c>
      <c r="AW374" s="8"/>
      <c r="AX374" s="8"/>
      <c r="AY374" s="8" t="s">
        <v>7602</v>
      </c>
      <c r="AZ374" s="4" t="s">
        <v>7603</v>
      </c>
      <c r="BA374" s="8" t="n">
        <v>1600</v>
      </c>
      <c r="BB374" s="8" t="s">
        <v>7659</v>
      </c>
      <c r="BC374" s="4" t="s">
        <v>7619</v>
      </c>
      <c r="BD374" s="8" t="s">
        <v>7605</v>
      </c>
      <c r="BE374" s="4" t="s">
        <v>7606</v>
      </c>
      <c r="BF374" s="8" t="s">
        <v>7607</v>
      </c>
      <c r="BG374" s="8" t="s">
        <v>7608</v>
      </c>
      <c r="BH374" s="4" t="s">
        <v>7609</v>
      </c>
      <c r="BI374" s="8" t="n">
        <v>10</v>
      </c>
      <c r="BJ374" s="8" t="s">
        <v>7610</v>
      </c>
      <c r="BK374" s="4" t="s">
        <v>7611</v>
      </c>
      <c r="BL374" s="8" t="s">
        <v>7602</v>
      </c>
      <c r="BM374" s="4" t="s">
        <v>7620</v>
      </c>
      <c r="BN374" s="8" t="s">
        <v>7676</v>
      </c>
      <c r="BO374" s="8" t="s">
        <v>7778</v>
      </c>
      <c r="BP374" s="8" t="s">
        <v>7602</v>
      </c>
      <c r="BQ374" s="8" t="str">
        <f aca="false">IF(A374="","",AT374)</f>
        <v>2歳</v>
      </c>
      <c r="BR374" s="8" t="str">
        <f aca="false">IF(A374="","",IF(BA374&lt;=1200,"～1200",IF(BA374&lt;=1500,"1300～1500",IF(BA374=1600,"1600",IF(BA374&lt;=1800,"1700～1800",IF(BA374&lt;=2000,"1900～2000","2100以上"))))))</f>
        <v>1600</v>
      </c>
      <c r="BS374" s="8" t="str">
        <f aca="false">IF(A374="","",IF(AX374="G1","G1",IF(AX374="G2","G2",IF(AX374="G3","G3",IF(AX374="L","L","その他")))))</f>
        <v>その他</v>
      </c>
      <c r="BT374" s="8" t="str">
        <f aca="false">IF(A374="","",IF(BI374="","未結合",IF(D374=BI374,"一致","不一致")))</f>
        <v>一致</v>
      </c>
      <c r="BU374" s="8" t="str">
        <f aca="false">IF(A374="","",IF(BE374="牝馬限定","牝馬限定","その他"))</f>
        <v>その他</v>
      </c>
    </row>
    <row r="375" customFormat="false" ht="15.75" hidden="false" customHeight="false" outlineLevel="0" collapsed="false">
      <c r="A375" s="6" t="n">
        <v>46193</v>
      </c>
      <c r="B375" s="4" t="s">
        <v>4172</v>
      </c>
      <c r="C375" s="8" t="n">
        <v>1</v>
      </c>
      <c r="D375" s="8" t="n">
        <v>9</v>
      </c>
      <c r="E375" s="8" t="n">
        <v>8</v>
      </c>
      <c r="F375" s="4" t="s">
        <v>6990</v>
      </c>
      <c r="G375" s="8" t="n">
        <v>55</v>
      </c>
      <c r="H375" s="8" t="n">
        <v>2</v>
      </c>
      <c r="I375" s="4" t="s">
        <v>1878</v>
      </c>
      <c r="J375" s="8" t="n">
        <v>37</v>
      </c>
      <c r="K375" s="8" t="n">
        <v>4</v>
      </c>
      <c r="L375" s="4" t="s">
        <v>7779</v>
      </c>
      <c r="M375" s="8" t="n">
        <v>37</v>
      </c>
      <c r="N375" s="8" t="n">
        <f aca="false">IF(A375="","",G375-J375)</f>
        <v>18</v>
      </c>
      <c r="O375" s="8" t="n">
        <f aca="false">IF(A375="","",J375-M375)</f>
        <v>0</v>
      </c>
      <c r="P375" s="8" t="n">
        <f aca="false">IF(A375="","",G375+J375)</f>
        <v>92</v>
      </c>
      <c r="Q375" s="8" t="str">
        <f aca="false">IF(A375="","",IF(AND(Y375&lt;&gt;"参考",G375&gt;=ルール設定!$B$2),"○",""))</f>
        <v/>
      </c>
      <c r="R375" s="8" t="str">
        <f aca="false">IF(A375="","",IF(AND(Y375&lt;&gt;"参考",G375&gt;=ルール設定!$B$3,N375&gt;=ルール設定!$B$4),"○",""))</f>
        <v/>
      </c>
      <c r="S375" s="8" t="str">
        <f aca="false">IF(A375="","",IF(AND(Y375&lt;&gt;"参考",G375&gt;=ルール設定!$B$5,J375&gt;=ルール設定!$B$6,O375&gt;=ルール設定!$B$7),"○",""))</f>
        <v/>
      </c>
      <c r="T375" s="8" t="n">
        <v>1</v>
      </c>
      <c r="U375" s="8" t="n">
        <v>4</v>
      </c>
      <c r="V375" s="8" t="str">
        <f aca="false">IF(A375="","",IF(AND(ISNUMBER(T375),ISNUMBER(U375)),IF(AND(T375&lt;=3,U375&lt;=3),"○","×"),""))</f>
        <v>×</v>
      </c>
      <c r="W375" s="8" t="n">
        <v>140</v>
      </c>
      <c r="X375" s="8"/>
      <c r="Y375" s="4" t="s">
        <v>7597</v>
      </c>
      <c r="Z375" s="4" t="s">
        <v>7777</v>
      </c>
      <c r="AA375" s="8" t="str">
        <v/>
      </c>
      <c r="AB375" s="8" t="str">
        <v/>
      </c>
      <c r="AC375" s="8" t="str">
        <v/>
      </c>
      <c r="AD375" s="8" t="str">
        <v/>
      </c>
      <c r="AE375" s="8" t="str">
        <v/>
      </c>
      <c r="AF375" s="8" t="str">
        <v/>
      </c>
      <c r="AG375" s="8" t="str">
        <v/>
      </c>
      <c r="AH375" s="8" t="str">
        <v/>
      </c>
      <c r="AI375" s="8" t="n">
        <v>18</v>
      </c>
      <c r="AJ375" s="8" t="str">
        <v>～59</v>
      </c>
      <c r="AK375" s="8" t="str">
        <v>10～19</v>
      </c>
      <c r="AL375" s="8" t="str">
        <v>10～19</v>
      </c>
      <c r="AM375" s="8" t="str">
        <v>～99</v>
      </c>
      <c r="AN375" s="8" t="str">
        <v>8～11</v>
      </c>
      <c r="AO375" s="8" t="str">
        <f aca="false">IF(A375="","",IF(COUNTIFS(全馬データ!$A$2:$A$50000,A375,全馬データ!$B$2:$B$50000,B375,全馬データ!$C$2:$C$50000,C375,全馬データ!$D$2:$D$50000,E375,全馬データ!$K$2:$K$50000,"&lt;&gt;")=0,"",SUMIFS(全馬データ!$K$2:$K$50000,全馬データ!$A$2:$A$50000,A375,全馬データ!$B$2:$B$50000,B375,全馬データ!$C$2:$C$50000,C375,全馬データ!$D$2:$D$50000,E375)))</f>
        <v/>
      </c>
      <c r="AP375" s="8" t="str">
        <f aca="false">IF(A375="","",IF(AO375="","欠損",IF(AO375&lt;=1.1,"1.0～1.1",IF(AO375&lt;1.3,"1.2",IF(AO375&lt;1.5,"1.3～1.4",IF(AO375&lt;2,"1.5～1.9","2.0以上"))))))</f>
        <v>欠損</v>
      </c>
      <c r="AQ375" s="8" t="str">
        <f aca="false">IF(A375="","",IF(ISNUMBER(SEARCH("2歳",Z375)),"2歳戦",IF(ISNUMBER(SEARCH("3歳未勝利",Z375)),"3歳未勝利",IF(ISNUMBER(SEARCH("未勝利",Z375)),"その他未勝利",IF(ISNUMBER(SEARCH("G1",Z375)),"G1",IF(ISNUMBER(SEARCH("G2",Z375)),"G2",IF(ISNUMBER(SEARCH("G3",Z375)),"G3",IF(ISNUMBER(SEARCH("古馬条件",Z375)),"古馬条件戦",IF(ISNUMBER(SEARCH("重賞",Z375)),"重賞","分類不能")))))))))</f>
        <v>分類不能</v>
      </c>
      <c r="AR375" s="8"/>
      <c r="AS375" s="8" t="s">
        <v>7618</v>
      </c>
      <c r="AT375" s="4" t="s">
        <v>7642</v>
      </c>
      <c r="AU375" s="8" t="s">
        <v>7643</v>
      </c>
      <c r="AV375" s="4" t="s">
        <v>7644</v>
      </c>
      <c r="AW375" s="8"/>
      <c r="AX375" s="8"/>
      <c r="AY375" s="8" t="s">
        <v>7608</v>
      </c>
      <c r="AZ375" s="4" t="s">
        <v>7642</v>
      </c>
      <c r="BA375" s="8" t="n">
        <v>3110</v>
      </c>
      <c r="BB375" s="8" t="s">
        <v>7618</v>
      </c>
      <c r="BC375" s="4" t="s">
        <v>7619</v>
      </c>
      <c r="BD375" s="8" t="s">
        <v>7645</v>
      </c>
      <c r="BE375" s="4" t="s">
        <v>7606</v>
      </c>
      <c r="BF375" s="8" t="s">
        <v>7607</v>
      </c>
      <c r="BG375" s="8" t="s">
        <v>7610</v>
      </c>
      <c r="BH375" s="4" t="s">
        <v>7646</v>
      </c>
      <c r="BI375" s="8" t="n">
        <v>9</v>
      </c>
      <c r="BJ375" s="8" t="s">
        <v>7647</v>
      </c>
      <c r="BK375" s="4" t="s">
        <v>7648</v>
      </c>
      <c r="BL375" s="8" t="s">
        <v>7608</v>
      </c>
      <c r="BM375" s="4" t="s">
        <v>7780</v>
      </c>
      <c r="BN375" s="8"/>
      <c r="BO375" s="8"/>
      <c r="BP375" s="8" t="s">
        <v>7610</v>
      </c>
      <c r="BQ375" s="8" t="str">
        <f aca="false">IF(A375="","",AT375)</f>
        <v>障害</v>
      </c>
      <c r="BR375" s="8" t="str">
        <f aca="false">IF(A375="","",IF(BA375&lt;=1200,"～1200",IF(BA375&lt;=1500,"1300～1500",IF(BA375=1600,"1600",IF(BA375&lt;=1800,"1700～1800",IF(BA375&lt;=2000,"1900～2000","2100以上"))))))</f>
        <v>2100以上</v>
      </c>
      <c r="BS375" s="8" t="str">
        <f aca="false">IF(A375="","",IF(AX375="G1","G1",IF(AX375="G2","G2",IF(AX375="G3","G3",IF(AX375="L","L","その他")))))</f>
        <v>その他</v>
      </c>
      <c r="BT375" s="8" t="str">
        <f aca="false">IF(A375="","",IF(BI375="","未結合",IF(D375=BI375,"一致","不一致")))</f>
        <v>一致</v>
      </c>
      <c r="BU375" s="8" t="str">
        <f aca="false">IF(A375="","",IF(BE375="牝馬限定","牝馬限定","その他"))</f>
        <v>その他</v>
      </c>
    </row>
    <row r="376" customFormat="false" ht="15.75" hidden="false" customHeight="false" outlineLevel="0" collapsed="false">
      <c r="A376" s="6" t="n">
        <v>46193</v>
      </c>
      <c r="B376" s="4" t="s">
        <v>4172</v>
      </c>
      <c r="C376" s="8" t="n">
        <v>6</v>
      </c>
      <c r="D376" s="8" t="n">
        <v>18</v>
      </c>
      <c r="E376" s="8" t="n">
        <v>7</v>
      </c>
      <c r="F376" s="4" t="s">
        <v>5928</v>
      </c>
      <c r="G376" s="8" t="n">
        <v>66</v>
      </c>
      <c r="H376" s="8" t="n">
        <v>3</v>
      </c>
      <c r="I376" s="4" t="s">
        <v>1607</v>
      </c>
      <c r="J376" s="8" t="n">
        <v>39</v>
      </c>
      <c r="K376" s="8" t="n">
        <v>16</v>
      </c>
      <c r="L376" s="4" t="s">
        <v>2475</v>
      </c>
      <c r="M376" s="8" t="n">
        <v>34</v>
      </c>
      <c r="N376" s="8" t="n">
        <f aca="false">IF(A376="","",G376-J376)</f>
        <v>27</v>
      </c>
      <c r="O376" s="8" t="n">
        <f aca="false">IF(A376="","",J376-M376)</f>
        <v>5</v>
      </c>
      <c r="P376" s="8" t="n">
        <f aca="false">IF(A376="","",G376+J376)</f>
        <v>105</v>
      </c>
      <c r="Q376" s="8" t="str">
        <f aca="false">IF(A376="","",IF(AND(Y376&lt;&gt;"参考",G376&gt;=ルール設定!$B$2),"○",""))</f>
        <v/>
      </c>
      <c r="R376" s="8" t="str">
        <f aca="false">IF(A376="","",IF(AND(Y376&lt;&gt;"参考",G376&gt;=ルール設定!$B$3,N376&gt;=ルール設定!$B$4),"○",""))</f>
        <v/>
      </c>
      <c r="S376" s="8" t="str">
        <f aca="false">IF(A376="","",IF(AND(Y376&lt;&gt;"参考",G376&gt;=ルール設定!$B$5,J376&gt;=ルール設定!$B$6,O376&gt;=ルール設定!$B$7),"○",""))</f>
        <v/>
      </c>
      <c r="T376" s="8" t="n">
        <v>1</v>
      </c>
      <c r="U376" s="8" t="n">
        <v>4</v>
      </c>
      <c r="V376" s="8" t="str">
        <f aca="false">IF(A376="","",IF(AND(ISNUMBER(T376),ISNUMBER(U376)),IF(AND(T376&lt;=3,U376&lt;=3),"○","×"),""))</f>
        <v>×</v>
      </c>
      <c r="W376" s="8" t="n">
        <v>130</v>
      </c>
      <c r="X376" s="8"/>
      <c r="Y376" s="4" t="s">
        <v>7597</v>
      </c>
      <c r="Z376" s="4" t="s">
        <v>7777</v>
      </c>
      <c r="AA376" s="8" t="str">
        <v/>
      </c>
      <c r="AB376" s="8" t="str">
        <v/>
      </c>
      <c r="AC376" s="8" t="str">
        <v/>
      </c>
      <c r="AD376" s="8" t="str">
        <v/>
      </c>
      <c r="AE376" s="8" t="str">
        <v/>
      </c>
      <c r="AF376" s="8" t="str">
        <v/>
      </c>
      <c r="AG376" s="8" t="str">
        <v/>
      </c>
      <c r="AH376" s="8" t="str">
        <v/>
      </c>
      <c r="AI376" s="8" t="n">
        <v>32</v>
      </c>
      <c r="AJ376" s="8" t="str">
        <v>60～69</v>
      </c>
      <c r="AK376" s="8" t="str">
        <v>20～29</v>
      </c>
      <c r="AL376" s="8" t="str">
        <v>30～39</v>
      </c>
      <c r="AM376" s="8" t="str">
        <v>100～119</v>
      </c>
      <c r="AN376" s="8" t="str">
        <v>15以上</v>
      </c>
      <c r="AO376" s="8" t="str">
        <f aca="false">IF(A376="","",IF(COUNTIFS(全馬データ!$A$2:$A$50000,A376,全馬データ!$B$2:$B$50000,B376,全馬データ!$C$2:$C$50000,C376,全馬データ!$D$2:$D$50000,E376,全馬データ!$K$2:$K$50000,"&lt;&gt;")=0,"",SUMIFS(全馬データ!$K$2:$K$50000,全馬データ!$A$2:$A$50000,A376,全馬データ!$B$2:$B$50000,B376,全馬データ!$C$2:$C$50000,C376,全馬データ!$D$2:$D$50000,E376)))</f>
        <v/>
      </c>
      <c r="AP376" s="8" t="str">
        <f aca="false">IF(A376="","",IF(AO376="","欠損",IF(AO376&lt;=1.1,"1.0～1.1",IF(AO376&lt;1.3,"1.2",IF(AO376&lt;1.5,"1.3～1.4",IF(AO376&lt;2,"1.5～1.9","2.0以上"))))))</f>
        <v>欠損</v>
      </c>
      <c r="AQ376" s="8" t="str">
        <f aca="false">IF(A376="","",IF(ISNUMBER(SEARCH("2歳",Z376)),"2歳戦",IF(ISNUMBER(SEARCH("3歳未勝利",Z376)),"3歳未勝利",IF(ISNUMBER(SEARCH("未勝利",Z376)),"その他未勝利",IF(ISNUMBER(SEARCH("G1",Z376)),"G1",IF(ISNUMBER(SEARCH("G2",Z376)),"G2",IF(ISNUMBER(SEARCH("G3",Z376)),"G3",IF(ISNUMBER(SEARCH("古馬条件",Z376)),"古馬条件戦",IF(ISNUMBER(SEARCH("重賞",Z376)),"重賞","分類不能")))))))))</f>
        <v>分類不能</v>
      </c>
      <c r="AR376" s="8"/>
      <c r="AS376" s="8" t="s">
        <v>7623</v>
      </c>
      <c r="AT376" s="8" t="s">
        <v>7624</v>
      </c>
      <c r="AU376" s="8" t="s">
        <v>7600</v>
      </c>
      <c r="AV376" s="4" t="s">
        <v>7601</v>
      </c>
      <c r="AW376" s="8"/>
      <c r="AX376" s="8"/>
      <c r="AY376" s="8" t="s">
        <v>7602</v>
      </c>
      <c r="AZ376" s="4" t="s">
        <v>7603</v>
      </c>
      <c r="BA376" s="8" t="n">
        <v>1800</v>
      </c>
      <c r="BB376" s="8" t="s">
        <v>7659</v>
      </c>
      <c r="BC376" s="4" t="s">
        <v>7619</v>
      </c>
      <c r="BD376" s="8" t="s">
        <v>7625</v>
      </c>
      <c r="BE376" s="4" t="s">
        <v>7606</v>
      </c>
      <c r="BF376" s="8" t="s">
        <v>7607</v>
      </c>
      <c r="BG376" s="8" t="s">
        <v>7608</v>
      </c>
      <c r="BH376" s="4" t="s">
        <v>7609</v>
      </c>
      <c r="BI376" s="8" t="n">
        <v>18</v>
      </c>
      <c r="BJ376" s="8" t="s">
        <v>7602</v>
      </c>
      <c r="BK376" s="4" t="s">
        <v>7653</v>
      </c>
      <c r="BL376" s="8" t="s">
        <v>7610</v>
      </c>
      <c r="BM376" s="4" t="s">
        <v>7612</v>
      </c>
      <c r="BN376" s="8" t="s">
        <v>7631</v>
      </c>
      <c r="BO376" s="8" t="s">
        <v>7680</v>
      </c>
      <c r="BP376" s="8" t="s">
        <v>7610</v>
      </c>
      <c r="BQ376" s="8" t="str">
        <f aca="false">IF(A376="","",AT376)</f>
        <v>3歳</v>
      </c>
      <c r="BR376" s="8" t="str">
        <f aca="false">IF(A376="","",IF(BA376&lt;=1200,"～1200",IF(BA376&lt;=1500,"1300～1500",IF(BA376=1600,"1600",IF(BA376&lt;=1800,"1700～1800",IF(BA376&lt;=2000,"1900～2000","2100以上"))))))</f>
        <v>1700～1800</v>
      </c>
      <c r="BS376" s="8" t="str">
        <f aca="false">IF(A376="","",IF(AX376="G1","G1",IF(AX376="G2","G2",IF(AX376="G3","G3",IF(AX376="L","L","その他")))))</f>
        <v>その他</v>
      </c>
      <c r="BT376" s="8" t="str">
        <f aca="false">IF(A376="","",IF(BI376="","未結合",IF(D376=BI376,"一致","不一致")))</f>
        <v>一致</v>
      </c>
      <c r="BU376" s="8" t="str">
        <f aca="false">IF(A376="","",IF(BE376="牝馬限定","牝馬限定","その他"))</f>
        <v>その他</v>
      </c>
    </row>
    <row r="377" customFormat="false" ht="15.75" hidden="false" customHeight="false" outlineLevel="0" collapsed="false">
      <c r="A377" s="6" t="n">
        <v>46193</v>
      </c>
      <c r="B377" s="4" t="s">
        <v>4172</v>
      </c>
      <c r="C377" s="8" t="n">
        <v>8</v>
      </c>
      <c r="D377" s="8" t="n">
        <v>16</v>
      </c>
      <c r="E377" s="8" t="n">
        <v>7</v>
      </c>
      <c r="F377" s="4" t="s">
        <v>5470</v>
      </c>
      <c r="G377" s="8" t="n">
        <v>71</v>
      </c>
      <c r="H377" s="8" t="n">
        <v>1</v>
      </c>
      <c r="I377" s="4" t="s">
        <v>4129</v>
      </c>
      <c r="J377" s="8" t="n">
        <v>62</v>
      </c>
      <c r="K377" s="8" t="n">
        <v>9</v>
      </c>
      <c r="L377" s="4" t="s">
        <v>7781</v>
      </c>
      <c r="M377" s="8" t="n">
        <v>39</v>
      </c>
      <c r="N377" s="8" t="n">
        <f aca="false">IF(A377="","",G377-J377)</f>
        <v>9</v>
      </c>
      <c r="O377" s="8" t="n">
        <f aca="false">IF(A377="","",J377-M377)</f>
        <v>23</v>
      </c>
      <c r="P377" s="8" t="n">
        <f aca="false">IF(A377="","",G377+J377)</f>
        <v>133</v>
      </c>
      <c r="Q377" s="8" t="str">
        <f aca="false">IF(A377="","",IF(AND(Y377&lt;&gt;"参考",G377&gt;=ルール設定!$B$2),"○",""))</f>
        <v/>
      </c>
      <c r="R377" s="8" t="str">
        <f aca="false">IF(A377="","",IF(AND(Y377&lt;&gt;"参考",G377&gt;=ルール設定!$B$3,N377&gt;=ルール設定!$B$4),"○",""))</f>
        <v/>
      </c>
      <c r="S377" s="8" t="str">
        <f aca="false">IF(A377="","",IF(AND(Y377&lt;&gt;"参考",G377&gt;=ルール設定!$B$5,J377&gt;=ルール設定!$B$6,O377&gt;=ルール設定!$B$7),"○",""))</f>
        <v>○</v>
      </c>
      <c r="T377" s="8" t="n">
        <v>4</v>
      </c>
      <c r="U377" s="8" t="n">
        <v>4</v>
      </c>
      <c r="V377" s="8" t="str">
        <f aca="false">IF(A377="","",IF(AND(ISNUMBER(T377),ISNUMBER(U377)),IF(AND(T377&lt;=3,U377&lt;=3),"○","×"),""))</f>
        <v>×</v>
      </c>
      <c r="W377" s="8"/>
      <c r="X377" s="8"/>
      <c r="Y377" s="4" t="s">
        <v>7597</v>
      </c>
      <c r="Z377" s="4" t="s">
        <v>7777</v>
      </c>
      <c r="AA377" s="8" t="str">
        <v/>
      </c>
      <c r="AB377" s="8" t="str">
        <v/>
      </c>
      <c r="AC377" s="8" t="str">
        <v/>
      </c>
      <c r="AD377" s="8" t="str">
        <v/>
      </c>
      <c r="AE377" s="8" t="str">
        <v/>
      </c>
      <c r="AF377" s="8" t="str">
        <v/>
      </c>
      <c r="AG377" s="8" t="str">
        <v/>
      </c>
      <c r="AH377" s="8" t="str">
        <v/>
      </c>
      <c r="AI377" s="8" t="n">
        <v>32</v>
      </c>
      <c r="AJ377" s="8" t="str">
        <v>70～74</v>
      </c>
      <c r="AK377" s="8" t="str">
        <v>5～9</v>
      </c>
      <c r="AL377" s="8" t="str">
        <v>30～39</v>
      </c>
      <c r="AM377" s="8" t="str">
        <v>120～139</v>
      </c>
      <c r="AN377" s="8" t="str">
        <v>15以上</v>
      </c>
      <c r="AO377" s="8" t="str">
        <f aca="false">IF(A377="","",IF(COUNTIFS(全馬データ!$A$2:$A$50000,A377,全馬データ!$B$2:$B$50000,B377,全馬データ!$C$2:$C$50000,C377,全馬データ!$D$2:$D$50000,E377,全馬データ!$K$2:$K$50000,"&lt;&gt;")=0,"",SUMIFS(全馬データ!$K$2:$K$50000,全馬データ!$A$2:$A$50000,A377,全馬データ!$B$2:$B$50000,B377,全馬データ!$C$2:$C$50000,C377,全馬データ!$D$2:$D$50000,E377)))</f>
        <v/>
      </c>
      <c r="AP377" s="8" t="str">
        <f aca="false">IF(A377="","",IF(AO377="","欠損",IF(AO377&lt;=1.1,"1.0～1.1",IF(AO377&lt;1.3,"1.2",IF(AO377&lt;1.5,"1.3～1.4",IF(AO377&lt;2,"1.5～1.9","2.0以上"))))))</f>
        <v>欠損</v>
      </c>
      <c r="AQ377" s="8" t="str">
        <f aca="false">IF(A377="","",IF(ISNUMBER(SEARCH("2歳",Z377)),"2歳戦",IF(ISNUMBER(SEARCH("3歳未勝利",Z377)),"3歳未勝利",IF(ISNUMBER(SEARCH("未勝利",Z377)),"その他未勝利",IF(ISNUMBER(SEARCH("G1",Z377)),"G1",IF(ISNUMBER(SEARCH("G2",Z377)),"G2",IF(ISNUMBER(SEARCH("G3",Z377)),"G3",IF(ISNUMBER(SEARCH("古馬条件",Z377)),"古馬条件戦",IF(ISNUMBER(SEARCH("重賞",Z377)),"重賞","分類不能")))))))))</f>
        <v>分類不能</v>
      </c>
      <c r="AR377" s="8"/>
      <c r="AS377" s="8" t="s">
        <v>7626</v>
      </c>
      <c r="AT377" s="8" t="s">
        <v>7627</v>
      </c>
      <c r="AU377" s="8" t="s">
        <v>7628</v>
      </c>
      <c r="AV377" s="8" t="s">
        <v>7629</v>
      </c>
      <c r="AW377" s="8"/>
      <c r="AX377" s="8"/>
      <c r="AY377" s="8" t="s">
        <v>7610</v>
      </c>
      <c r="AZ377" s="4" t="s">
        <v>7617</v>
      </c>
      <c r="BA377" s="8" t="n">
        <v>1800</v>
      </c>
      <c r="BB377" s="8" t="s">
        <v>7618</v>
      </c>
      <c r="BC377" s="4" t="s">
        <v>7619</v>
      </c>
      <c r="BD377" s="8" t="s">
        <v>7630</v>
      </c>
      <c r="BE377" s="4" t="s">
        <v>7606</v>
      </c>
      <c r="BF377" s="8" t="s">
        <v>7607</v>
      </c>
      <c r="BG377" s="8" t="s">
        <v>7631</v>
      </c>
      <c r="BH377" s="4" t="s">
        <v>7632</v>
      </c>
      <c r="BI377" s="8" t="n">
        <v>16</v>
      </c>
      <c r="BJ377" s="8" t="s">
        <v>7602</v>
      </c>
      <c r="BK377" s="4" t="s">
        <v>7653</v>
      </c>
      <c r="BL377" s="8" t="s">
        <v>7602</v>
      </c>
      <c r="BM377" s="4" t="s">
        <v>7620</v>
      </c>
      <c r="BN377" s="8"/>
      <c r="BO377" s="8"/>
      <c r="BP377" s="8" t="s">
        <v>7610</v>
      </c>
      <c r="BQ377" s="8" t="str">
        <f aca="false">IF(A377="","",AT377)</f>
        <v>3歳以上</v>
      </c>
      <c r="BR377" s="8" t="str">
        <f aca="false">IF(A377="","",IF(BA377&lt;=1200,"～1200",IF(BA377&lt;=1500,"1300～1500",IF(BA377=1600,"1600",IF(BA377&lt;=1800,"1700～1800",IF(BA377&lt;=2000,"1900～2000","2100以上"))))))</f>
        <v>1700～1800</v>
      </c>
      <c r="BS377" s="8" t="str">
        <f aca="false">IF(A377="","",IF(AX377="G1","G1",IF(AX377="G2","G2",IF(AX377="G3","G3",IF(AX377="L","L","その他")))))</f>
        <v>その他</v>
      </c>
      <c r="BT377" s="8" t="str">
        <f aca="false">IF(A377="","",IF(BI377="","未結合",IF(D377=BI377,"一致","不一致")))</f>
        <v>一致</v>
      </c>
      <c r="BU377" s="8" t="str">
        <f aca="false">IF(A377="","",IF(BE377="牝馬限定","牝馬限定","その他"))</f>
        <v>その他</v>
      </c>
    </row>
    <row r="378" customFormat="false" ht="15.75" hidden="false" customHeight="false" outlineLevel="0" collapsed="false">
      <c r="A378" s="6" t="n">
        <v>46193</v>
      </c>
      <c r="B378" s="4" t="s">
        <v>4172</v>
      </c>
      <c r="C378" s="8" t="n">
        <v>9</v>
      </c>
      <c r="D378" s="8" t="n">
        <v>10</v>
      </c>
      <c r="E378" s="8" t="n">
        <v>7</v>
      </c>
      <c r="F378" s="4" t="s">
        <v>5704</v>
      </c>
      <c r="G378" s="8" t="n">
        <v>56</v>
      </c>
      <c r="H378" s="8" t="n">
        <v>10</v>
      </c>
      <c r="I378" s="4" t="s">
        <v>4838</v>
      </c>
      <c r="J378" s="8" t="n">
        <v>52</v>
      </c>
      <c r="K378" s="8" t="n">
        <v>5</v>
      </c>
      <c r="L378" s="4" t="s">
        <v>3932</v>
      </c>
      <c r="M378" s="8" t="n">
        <v>39</v>
      </c>
      <c r="N378" s="8" t="n">
        <f aca="false">IF(A378="","",G378-J378)</f>
        <v>4</v>
      </c>
      <c r="O378" s="8" t="n">
        <f aca="false">IF(A378="","",J378-M378)</f>
        <v>13</v>
      </c>
      <c r="P378" s="8" t="n">
        <f aca="false">IF(A378="","",G378+J378)</f>
        <v>108</v>
      </c>
      <c r="Q378" s="8" t="str">
        <f aca="false">IF(A378="","",IF(AND(Y378&lt;&gt;"参考",G378&gt;=ルール設定!$B$2),"○",""))</f>
        <v/>
      </c>
      <c r="R378" s="8" t="str">
        <f aca="false">IF(A378="","",IF(AND(Y378&lt;&gt;"参考",G378&gt;=ルール設定!$B$3,N378&gt;=ルール設定!$B$4),"○",""))</f>
        <v/>
      </c>
      <c r="S378" s="8" t="str">
        <f aca="false">IF(A378="","",IF(AND(Y378&lt;&gt;"参考",G378&gt;=ルール設定!$B$5,J378&gt;=ルール設定!$B$6,O378&gt;=ルール設定!$B$7),"○",""))</f>
        <v/>
      </c>
      <c r="T378" s="8" t="n">
        <v>4</v>
      </c>
      <c r="U378" s="8"/>
      <c r="V378" s="8" t="str">
        <f aca="false">IF(A378="","",IF(AND(ISNUMBER(T378),ISNUMBER(U378)),IF(AND(T378&lt;=3,U378&lt;=3),"○","×"),""))</f>
        <v/>
      </c>
      <c r="W378" s="8"/>
      <c r="X378" s="8"/>
      <c r="Y378" s="4" t="s">
        <v>7597</v>
      </c>
      <c r="Z378" s="4" t="s">
        <v>7777</v>
      </c>
      <c r="AA378" s="8" t="str">
        <v/>
      </c>
      <c r="AB378" s="8" t="str">
        <v/>
      </c>
      <c r="AC378" s="8" t="str">
        <v/>
      </c>
      <c r="AD378" s="8" t="str">
        <v/>
      </c>
      <c r="AE378" s="8" t="str">
        <v/>
      </c>
      <c r="AF378" s="8" t="str">
        <v/>
      </c>
      <c r="AG378" s="8" t="str">
        <v/>
      </c>
      <c r="AH378" s="8" t="str">
        <v/>
      </c>
      <c r="AI378" s="8" t="n">
        <v>17</v>
      </c>
      <c r="AJ378" s="8" t="str">
        <v>～59</v>
      </c>
      <c r="AK378" s="8" t="str">
        <v>0～4</v>
      </c>
      <c r="AL378" s="8" t="str">
        <v>10～19</v>
      </c>
      <c r="AM378" s="8" t="str">
        <v>100～119</v>
      </c>
      <c r="AN378" s="8" t="str">
        <v>8～11</v>
      </c>
      <c r="AO378" s="8" t="str">
        <f aca="false">IF(A378="","",IF(COUNTIFS(全馬データ!$A$2:$A$50000,A378,全馬データ!$B$2:$B$50000,B378,全馬データ!$C$2:$C$50000,C378,全馬データ!$D$2:$D$50000,E378,全馬データ!$K$2:$K$50000,"&lt;&gt;")=0,"",SUMIFS(全馬データ!$K$2:$K$50000,全馬データ!$A$2:$A$50000,A378,全馬データ!$B$2:$B$50000,B378,全馬データ!$C$2:$C$50000,C378,全馬データ!$D$2:$D$50000,E378)))</f>
        <v/>
      </c>
      <c r="AP378" s="8" t="str">
        <f aca="false">IF(A378="","",IF(AO378="","欠損",IF(AO378&lt;=1.1,"1.0～1.1",IF(AO378&lt;1.3,"1.2",IF(AO378&lt;1.5,"1.3～1.4",IF(AO378&lt;2,"1.5～1.9","2.0以上"))))))</f>
        <v>欠損</v>
      </c>
      <c r="AQ378" s="8" t="str">
        <f aca="false">IF(A378="","",IF(ISNUMBER(SEARCH("2歳",Z378)),"2歳戦",IF(ISNUMBER(SEARCH("3歳未勝利",Z378)),"3歳未勝利",IF(ISNUMBER(SEARCH("未勝利",Z378)),"その他未勝利",IF(ISNUMBER(SEARCH("G1",Z378)),"G1",IF(ISNUMBER(SEARCH("G2",Z378)),"G2",IF(ISNUMBER(SEARCH("G3",Z378)),"G3",IF(ISNUMBER(SEARCH("古馬条件",Z378)),"古馬条件戦",IF(ISNUMBER(SEARCH("重賞",Z378)),"重賞","分類不能")))))))))</f>
        <v>分類不能</v>
      </c>
      <c r="AR378" s="4" t="s">
        <v>7782</v>
      </c>
      <c r="AS378" s="8" t="s">
        <v>7626</v>
      </c>
      <c r="AT378" s="8" t="s">
        <v>7627</v>
      </c>
      <c r="AU378" s="8" t="s">
        <v>7634</v>
      </c>
      <c r="AV378" s="8" t="s">
        <v>7635</v>
      </c>
      <c r="AW378" s="8" t="s">
        <v>7636</v>
      </c>
      <c r="AX378" s="4" t="s">
        <v>7637</v>
      </c>
      <c r="AY378" s="8" t="s">
        <v>7602</v>
      </c>
      <c r="AZ378" s="4" t="s">
        <v>7603</v>
      </c>
      <c r="BA378" s="8" t="n">
        <v>1600</v>
      </c>
      <c r="BB378" s="8" t="s">
        <v>7659</v>
      </c>
      <c r="BC378" s="4" t="s">
        <v>7619</v>
      </c>
      <c r="BD378" s="8" t="s">
        <v>7605</v>
      </c>
      <c r="BE378" s="4" t="s">
        <v>7606</v>
      </c>
      <c r="BF378" s="8" t="s">
        <v>7607</v>
      </c>
      <c r="BG378" s="8" t="s">
        <v>7602</v>
      </c>
      <c r="BH378" s="4" t="s">
        <v>7667</v>
      </c>
      <c r="BI378" s="8" t="n">
        <v>10</v>
      </c>
      <c r="BJ378" s="8" t="s">
        <v>7602</v>
      </c>
      <c r="BK378" s="4" t="s">
        <v>7653</v>
      </c>
      <c r="BL378" s="8" t="s">
        <v>7610</v>
      </c>
      <c r="BM378" s="4" t="s">
        <v>7612</v>
      </c>
      <c r="BN378" s="8" t="s">
        <v>7631</v>
      </c>
      <c r="BO378" s="8" t="s">
        <v>7680</v>
      </c>
      <c r="BP378" s="8" t="s">
        <v>7610</v>
      </c>
      <c r="BQ378" s="8" t="str">
        <f aca="false">IF(A378="","",AT378)</f>
        <v>3歳以上</v>
      </c>
      <c r="BR378" s="8" t="str">
        <f aca="false">IF(A378="","",IF(BA378&lt;=1200,"～1200",IF(BA378&lt;=1500,"1300～1500",IF(BA378=1600,"1600",IF(BA378&lt;=1800,"1700～1800",IF(BA378&lt;=2000,"1900～2000","2100以上"))))))</f>
        <v>1600</v>
      </c>
      <c r="BS378" s="8" t="str">
        <f aca="false">IF(A378="","",IF(AX378="G1","G1",IF(AX378="G2","G2",IF(AX378="G3","G3",IF(AX378="L","L","その他")))))</f>
        <v>その他</v>
      </c>
      <c r="BT378" s="8" t="str">
        <f aca="false">IF(A378="","",IF(BI378="","未結合",IF(D378=BI378,"一致","不一致")))</f>
        <v>一致</v>
      </c>
      <c r="BU378" s="8" t="str">
        <f aca="false">IF(A378="","",IF(BE378="牝馬限定","牝馬限定","その他"))</f>
        <v>その他</v>
      </c>
    </row>
    <row r="379" customFormat="false" ht="15.75" hidden="false" customHeight="false" outlineLevel="0" collapsed="false">
      <c r="A379" s="6" t="n">
        <v>46193</v>
      </c>
      <c r="B379" s="4" t="s">
        <v>4172</v>
      </c>
      <c r="C379" s="8" t="n">
        <v>12</v>
      </c>
      <c r="D379" s="8" t="n">
        <v>18</v>
      </c>
      <c r="E379" s="8" t="n">
        <v>10</v>
      </c>
      <c r="F379" s="4" t="s">
        <v>5943</v>
      </c>
      <c r="G379" s="8" t="n">
        <v>44</v>
      </c>
      <c r="H379" s="8" t="n">
        <v>15</v>
      </c>
      <c r="I379" s="4" t="s">
        <v>5948</v>
      </c>
      <c r="J379" s="8" t="n">
        <v>44</v>
      </c>
      <c r="K379" s="8" t="n">
        <v>11</v>
      </c>
      <c r="L379" s="4" t="s">
        <v>3693</v>
      </c>
      <c r="M379" s="8" t="n">
        <v>39</v>
      </c>
      <c r="N379" s="8" t="n">
        <f aca="false">IF(A379="","",G379-J379)</f>
        <v>0</v>
      </c>
      <c r="O379" s="8" t="n">
        <f aca="false">IF(A379="","",J379-M379)</f>
        <v>5</v>
      </c>
      <c r="P379" s="8" t="n">
        <f aca="false">IF(A379="","",G379+J379)</f>
        <v>88</v>
      </c>
      <c r="Q379" s="8" t="str">
        <f aca="false">IF(A379="","",IF(AND(Y379&lt;&gt;"参考",G379&gt;=ルール設定!$B$2),"○",""))</f>
        <v/>
      </c>
      <c r="R379" s="8" t="str">
        <f aca="false">IF(A379="","",IF(AND(Y379&lt;&gt;"参考",G379&gt;=ルール設定!$B$3,N379&gt;=ルール設定!$B$4),"○",""))</f>
        <v/>
      </c>
      <c r="S379" s="8" t="str">
        <f aca="false">IF(A379="","",IF(AND(Y379&lt;&gt;"参考",G379&gt;=ルール設定!$B$5,J379&gt;=ルール設定!$B$6,O379&gt;=ルール設定!$B$7),"○",""))</f>
        <v/>
      </c>
      <c r="T379" s="8" t="n">
        <v>4</v>
      </c>
      <c r="U379" s="8" t="n">
        <v>4</v>
      </c>
      <c r="V379" s="8" t="str">
        <f aca="false">IF(A379="","",IF(AND(ISNUMBER(T379),ISNUMBER(U379)),IF(AND(T379&lt;=3,U379&lt;=3),"○","×"),""))</f>
        <v>×</v>
      </c>
      <c r="W379" s="8"/>
      <c r="X379" s="8"/>
      <c r="Y379" s="4" t="s">
        <v>7597</v>
      </c>
      <c r="Z379" s="4" t="s">
        <v>7777</v>
      </c>
      <c r="AA379" s="8" t="str">
        <v/>
      </c>
      <c r="AB379" s="8" t="str">
        <v/>
      </c>
      <c r="AC379" s="8" t="str">
        <v/>
      </c>
      <c r="AD379" s="8" t="str">
        <v/>
      </c>
      <c r="AE379" s="8" t="str">
        <v/>
      </c>
      <c r="AF379" s="8" t="str">
        <v/>
      </c>
      <c r="AG379" s="8" t="str">
        <v/>
      </c>
      <c r="AH379" s="8" t="str">
        <v/>
      </c>
      <c r="AI379" s="8" t="n">
        <v>5</v>
      </c>
      <c r="AJ379" s="8" t="str">
        <v>～59</v>
      </c>
      <c r="AK379" s="8" t="str">
        <v>0～4</v>
      </c>
      <c r="AL379" s="8" t="str">
        <v>0～9</v>
      </c>
      <c r="AM379" s="8" t="str">
        <v>～99</v>
      </c>
      <c r="AN379" s="8" t="str">
        <v>15以上</v>
      </c>
      <c r="AO379" s="8" t="str">
        <f aca="false">IF(A379="","",IF(COUNTIFS(全馬データ!$A$2:$A$50000,A379,全馬データ!$B$2:$B$50000,B379,全馬データ!$C$2:$C$50000,C379,全馬データ!$D$2:$D$50000,E379,全馬データ!$K$2:$K$50000,"&lt;&gt;")=0,"",SUMIFS(全馬データ!$K$2:$K$50000,全馬データ!$A$2:$A$50000,A379,全馬データ!$B$2:$B$50000,B379,全馬データ!$C$2:$C$50000,C379,全馬データ!$D$2:$D$50000,E379)))</f>
        <v/>
      </c>
      <c r="AP379" s="8" t="str">
        <f aca="false">IF(A379="","",IF(AO379="","欠損",IF(AO379&lt;=1.1,"1.0～1.1",IF(AO379&lt;1.3,"1.2",IF(AO379&lt;1.5,"1.3～1.4",IF(AO379&lt;2,"1.5～1.9","2.0以上"))))))</f>
        <v>欠損</v>
      </c>
      <c r="AQ379" s="8" t="str">
        <f aca="false">IF(A379="","",IF(ISNUMBER(SEARCH("2歳",Z379)),"2歳戦",IF(ISNUMBER(SEARCH("3歳未勝利",Z379)),"3歳未勝利",IF(ISNUMBER(SEARCH("未勝利",Z379)),"その他未勝利",IF(ISNUMBER(SEARCH("G1",Z379)),"G1",IF(ISNUMBER(SEARCH("G2",Z379)),"G2",IF(ISNUMBER(SEARCH("G3",Z379)),"G3",IF(ISNUMBER(SEARCH("古馬条件",Z379)),"古馬条件戦",IF(ISNUMBER(SEARCH("重賞",Z379)),"重賞","分類不能")))))))))</f>
        <v>分類不能</v>
      </c>
      <c r="AR379" s="8"/>
      <c r="AS379" s="8" t="s">
        <v>7626</v>
      </c>
      <c r="AT379" s="8" t="s">
        <v>7627</v>
      </c>
      <c r="AU379" s="8" t="s">
        <v>7628</v>
      </c>
      <c r="AV379" s="8" t="s">
        <v>7629</v>
      </c>
      <c r="AW379" s="8"/>
      <c r="AX379" s="8"/>
      <c r="AY379" s="8" t="s">
        <v>7602</v>
      </c>
      <c r="AZ379" s="4" t="s">
        <v>7603</v>
      </c>
      <c r="BA379" s="8" t="n">
        <v>1600</v>
      </c>
      <c r="BB379" s="8" t="s">
        <v>7701</v>
      </c>
      <c r="BC379" s="4" t="s">
        <v>7658</v>
      </c>
      <c r="BD379" s="8" t="s">
        <v>7605</v>
      </c>
      <c r="BE379" s="4" t="s">
        <v>7606</v>
      </c>
      <c r="BF379" s="8" t="s">
        <v>7607</v>
      </c>
      <c r="BG379" s="8" t="s">
        <v>7631</v>
      </c>
      <c r="BH379" s="4" t="s">
        <v>7632</v>
      </c>
      <c r="BI379" s="8" t="n">
        <v>18</v>
      </c>
      <c r="BJ379" s="8" t="s">
        <v>7602</v>
      </c>
      <c r="BK379" s="4" t="s">
        <v>7653</v>
      </c>
      <c r="BL379" s="8" t="s">
        <v>7610</v>
      </c>
      <c r="BM379" s="4" t="s">
        <v>7612</v>
      </c>
      <c r="BN379" s="8" t="s">
        <v>7631</v>
      </c>
      <c r="BO379" s="8" t="s">
        <v>7680</v>
      </c>
      <c r="BP379" s="8" t="s">
        <v>7610</v>
      </c>
      <c r="BQ379" s="8" t="str">
        <f aca="false">IF(A379="","",AT379)</f>
        <v>3歳以上</v>
      </c>
      <c r="BR379" s="8" t="str">
        <f aca="false">IF(A379="","",IF(BA379&lt;=1200,"～1200",IF(BA379&lt;=1500,"1300～1500",IF(BA379=1600,"1600",IF(BA379&lt;=1800,"1700～1800",IF(BA379&lt;=2000,"1900～2000","2100以上"))))))</f>
        <v>1600</v>
      </c>
      <c r="BS379" s="8" t="str">
        <f aca="false">IF(A379="","",IF(AX379="G1","G1",IF(AX379="G2","G2",IF(AX379="G3","G3",IF(AX379="L","L","その他")))))</f>
        <v>その他</v>
      </c>
      <c r="BT379" s="8" t="str">
        <f aca="false">IF(A379="","",IF(BI379="","未結合",IF(D379=BI379,"一致","不一致")))</f>
        <v>一致</v>
      </c>
      <c r="BU379" s="8" t="str">
        <f aca="false">IF(A379="","",IF(BE379="牝馬限定","牝馬限定","その他"))</f>
        <v>その他</v>
      </c>
    </row>
    <row r="380" customFormat="false" ht="15.75" hidden="false" customHeight="false" outlineLevel="0" collapsed="false">
      <c r="A380" s="6" t="n">
        <v>46193</v>
      </c>
      <c r="B380" s="4" t="s">
        <v>1237</v>
      </c>
      <c r="C380" s="8" t="n">
        <v>4</v>
      </c>
      <c r="D380" s="8" t="n">
        <v>14</v>
      </c>
      <c r="E380" s="8" t="n">
        <v>2</v>
      </c>
      <c r="F380" s="4" t="s">
        <v>1748</v>
      </c>
      <c r="G380" s="8" t="n">
        <v>47</v>
      </c>
      <c r="H380" s="8" t="n">
        <v>9</v>
      </c>
      <c r="I380" s="4" t="s">
        <v>2217</v>
      </c>
      <c r="J380" s="8" t="n">
        <v>41</v>
      </c>
      <c r="K380" s="8" t="n">
        <v>12</v>
      </c>
      <c r="L380" s="4" t="s">
        <v>3257</v>
      </c>
      <c r="M380" s="8" t="n">
        <v>41</v>
      </c>
      <c r="N380" s="8" t="n">
        <f aca="false">IF(A380="","",G380-J380)</f>
        <v>6</v>
      </c>
      <c r="O380" s="8" t="n">
        <f aca="false">IF(A380="","",J380-M380)</f>
        <v>0</v>
      </c>
      <c r="P380" s="8" t="n">
        <f aca="false">IF(A380="","",G380+J380)</f>
        <v>88</v>
      </c>
      <c r="Q380" s="8" t="str">
        <f aca="false">IF(A380="","",IF(AND(Y380&lt;&gt;"参考",G380&gt;=ルール設定!$B$2),"○",""))</f>
        <v/>
      </c>
      <c r="R380" s="8" t="str">
        <f aca="false">IF(A380="","",IF(AND(Y380&lt;&gt;"参考",G380&gt;=ルール設定!$B$3,N380&gt;=ルール設定!$B$4),"○",""))</f>
        <v/>
      </c>
      <c r="S380" s="8" t="str">
        <f aca="false">IF(A380="","",IF(AND(Y380&lt;&gt;"参考",G380&gt;=ルール設定!$B$5,J380&gt;=ルール設定!$B$6,O380&gt;=ルール設定!$B$7),"○",""))</f>
        <v/>
      </c>
      <c r="T380" s="8" t="n">
        <v>4</v>
      </c>
      <c r="U380" s="8" t="n">
        <v>2</v>
      </c>
      <c r="V380" s="8" t="str">
        <f aca="false">IF(A380="","",IF(AND(ISNUMBER(T380),ISNUMBER(U380)),IF(AND(T380&lt;=3,U380&lt;=3),"○","×"),""))</f>
        <v>×</v>
      </c>
      <c r="W380" s="8"/>
      <c r="X380" s="8"/>
      <c r="Y380" s="4" t="s">
        <v>7597</v>
      </c>
      <c r="Z380" s="4" t="s">
        <v>7777</v>
      </c>
      <c r="AA380" s="8" t="str">
        <v/>
      </c>
      <c r="AB380" s="8" t="str">
        <v/>
      </c>
      <c r="AC380" s="8" t="str">
        <v/>
      </c>
      <c r="AD380" s="8" t="str">
        <v/>
      </c>
      <c r="AE380" s="8" t="str">
        <v/>
      </c>
      <c r="AF380" s="8" t="str">
        <v/>
      </c>
      <c r="AG380" s="8" t="str">
        <v/>
      </c>
      <c r="AH380" s="8" t="str">
        <v/>
      </c>
      <c r="AI380" s="8" t="n">
        <v>6</v>
      </c>
      <c r="AJ380" s="8" t="str">
        <v>～59</v>
      </c>
      <c r="AK380" s="8" t="str">
        <v>5～9</v>
      </c>
      <c r="AL380" s="8" t="str">
        <v>0～9</v>
      </c>
      <c r="AM380" s="8" t="str">
        <v>～99</v>
      </c>
      <c r="AN380" s="8" t="str">
        <v>12～14</v>
      </c>
      <c r="AO380" s="8" t="str">
        <f aca="false">IF(A380="","",IF(COUNTIFS(全馬データ!$A$2:$A$50000,A380,全馬データ!$B$2:$B$50000,B380,全馬データ!$C$2:$C$50000,C380,全馬データ!$D$2:$D$50000,E380,全馬データ!$K$2:$K$50000,"&lt;&gt;")=0,"",SUMIFS(全馬データ!$K$2:$K$50000,全馬データ!$A$2:$A$50000,A380,全馬データ!$B$2:$B$50000,B380,全馬データ!$C$2:$C$50000,C380,全馬データ!$D$2:$D$50000,E380)))</f>
        <v/>
      </c>
      <c r="AP380" s="8" t="str">
        <f aca="false">IF(A380="","",IF(AO380="","欠損",IF(AO380&lt;=1.1,"1.0～1.1",IF(AO380&lt;1.3,"1.2",IF(AO380&lt;1.5,"1.3～1.4",IF(AO380&lt;2,"1.5～1.9","2.0以上"))))))</f>
        <v>欠損</v>
      </c>
      <c r="AQ380" s="8" t="str">
        <f aca="false">IF(A380="","",IF(ISNUMBER(SEARCH("2歳",Z380)),"2歳戦",IF(ISNUMBER(SEARCH("3歳未勝利",Z380)),"3歳未勝利",IF(ISNUMBER(SEARCH("未勝利",Z380)),"その他未勝利",IF(ISNUMBER(SEARCH("G1",Z380)),"G1",IF(ISNUMBER(SEARCH("G2",Z380)),"G2",IF(ISNUMBER(SEARCH("G3",Z380)),"G3",IF(ISNUMBER(SEARCH("古馬条件",Z380)),"古馬条件戦",IF(ISNUMBER(SEARCH("重賞",Z380)),"重賞","分類不能")))))))))</f>
        <v>分類不能</v>
      </c>
      <c r="AR380" s="8"/>
      <c r="AS380" s="8" t="s">
        <v>7623</v>
      </c>
      <c r="AT380" s="8" t="s">
        <v>7624</v>
      </c>
      <c r="AU380" s="8" t="s">
        <v>7600</v>
      </c>
      <c r="AV380" s="4" t="s">
        <v>7601</v>
      </c>
      <c r="AW380" s="8"/>
      <c r="AX380" s="8"/>
      <c r="AY380" s="8" t="s">
        <v>7610</v>
      </c>
      <c r="AZ380" s="4" t="s">
        <v>7617</v>
      </c>
      <c r="BA380" s="8" t="n">
        <v>1700</v>
      </c>
      <c r="BB380" s="8" t="s">
        <v>7598</v>
      </c>
      <c r="BC380" s="4" t="s">
        <v>7604</v>
      </c>
      <c r="BD380" s="8" t="s">
        <v>7625</v>
      </c>
      <c r="BE380" s="4" t="s">
        <v>7606</v>
      </c>
      <c r="BF380" s="8" t="s">
        <v>7607</v>
      </c>
      <c r="BG380" s="8" t="s">
        <v>7608</v>
      </c>
      <c r="BH380" s="4" t="s">
        <v>7609</v>
      </c>
      <c r="BI380" s="8" t="n">
        <v>14</v>
      </c>
      <c r="BJ380" s="8" t="s">
        <v>7602</v>
      </c>
      <c r="BK380" s="4" t="s">
        <v>7653</v>
      </c>
      <c r="BL380" s="8" t="s">
        <v>7602</v>
      </c>
      <c r="BM380" s="4" t="s">
        <v>7620</v>
      </c>
      <c r="BN380" s="8"/>
      <c r="BO380" s="8"/>
      <c r="BP380" s="8" t="s">
        <v>7608</v>
      </c>
      <c r="BQ380" s="8" t="str">
        <f aca="false">IF(A380="","",AT380)</f>
        <v>3歳</v>
      </c>
      <c r="BR380" s="8" t="str">
        <f aca="false">IF(A380="","",IF(BA380&lt;=1200,"～1200",IF(BA380&lt;=1500,"1300～1500",IF(BA380=1600,"1600",IF(BA380&lt;=1800,"1700～1800",IF(BA380&lt;=2000,"1900～2000","2100以上"))))))</f>
        <v>1700～1800</v>
      </c>
      <c r="BS380" s="8" t="str">
        <f aca="false">IF(A380="","",IF(AX380="G1","G1",IF(AX380="G2","G2",IF(AX380="G3","G3",IF(AX380="L","L","その他")))))</f>
        <v>その他</v>
      </c>
      <c r="BT380" s="8" t="str">
        <f aca="false">IF(A380="","",IF(BI380="","未結合",IF(D380=BI380,"一致","不一致")))</f>
        <v>一致</v>
      </c>
      <c r="BU380" s="8" t="str">
        <f aca="false">IF(A380="","",IF(BE380="牝馬限定","牝馬限定","その他"))</f>
        <v>その他</v>
      </c>
    </row>
    <row r="381" customFormat="false" ht="15.75" hidden="false" customHeight="false" outlineLevel="0" collapsed="false">
      <c r="A381" s="6" t="n">
        <v>46193</v>
      </c>
      <c r="B381" s="4" t="s">
        <v>1237</v>
      </c>
      <c r="C381" s="8" t="n">
        <v>7</v>
      </c>
      <c r="D381" s="8" t="n">
        <v>16</v>
      </c>
      <c r="E381" s="8" t="n">
        <v>3</v>
      </c>
      <c r="F381" s="4" t="s">
        <v>5452</v>
      </c>
      <c r="G381" s="8" t="n">
        <v>75</v>
      </c>
      <c r="H381" s="8" t="n">
        <v>5</v>
      </c>
      <c r="I381" s="4" t="s">
        <v>1309</v>
      </c>
      <c r="J381" s="8" t="n">
        <v>39</v>
      </c>
      <c r="K381" s="8" t="n">
        <v>15</v>
      </c>
      <c r="L381" s="4" t="s">
        <v>392</v>
      </c>
      <c r="M381" s="8" t="n">
        <v>29</v>
      </c>
      <c r="N381" s="8" t="n">
        <f aca="false">IF(A381="","",G381-J381)</f>
        <v>36</v>
      </c>
      <c r="O381" s="8" t="n">
        <f aca="false">IF(A381="","",J381-M381)</f>
        <v>10</v>
      </c>
      <c r="P381" s="8" t="n">
        <f aca="false">IF(A381="","",G381+J381)</f>
        <v>114</v>
      </c>
      <c r="Q381" s="8" t="str">
        <f aca="false">IF(A381="","",IF(AND(Y381&lt;&gt;"参考",G381&gt;=ルール設定!$B$2),"○",""))</f>
        <v/>
      </c>
      <c r="R381" s="8" t="str">
        <f aca="false">IF(A381="","",IF(AND(Y381&lt;&gt;"参考",G381&gt;=ルール設定!$B$3,N381&gt;=ルール設定!$B$4),"○",""))</f>
        <v>○</v>
      </c>
      <c r="S381" s="8" t="str">
        <f aca="false">IF(A381="","",IF(AND(Y381&lt;&gt;"参考",G381&gt;=ルール設定!$B$5,J381&gt;=ルール設定!$B$6,O381&gt;=ルール設定!$B$7),"○",""))</f>
        <v/>
      </c>
      <c r="T381" s="8" t="n">
        <v>4</v>
      </c>
      <c r="U381" s="8" t="n">
        <v>4</v>
      </c>
      <c r="V381" s="8" t="str">
        <f aca="false">IF(A381="","",IF(AND(ISNUMBER(T381),ISNUMBER(U381)),IF(AND(T381&lt;=3,U381&lt;=3),"○","×"),""))</f>
        <v>×</v>
      </c>
      <c r="W381" s="8"/>
      <c r="X381" s="8"/>
      <c r="Y381" s="4" t="s">
        <v>7597</v>
      </c>
      <c r="Z381" s="4" t="s">
        <v>7777</v>
      </c>
      <c r="AA381" s="8" t="str">
        <v/>
      </c>
      <c r="AB381" s="8" t="str">
        <v/>
      </c>
      <c r="AC381" s="8" t="str">
        <v/>
      </c>
      <c r="AD381" s="8" t="str">
        <v/>
      </c>
      <c r="AE381" s="8" t="str">
        <v>○</v>
      </c>
      <c r="AF381" s="8" t="str">
        <v/>
      </c>
      <c r="AG381" s="8" t="str">
        <v/>
      </c>
      <c r="AH381" s="8" t="str">
        <v/>
      </c>
      <c r="AI381" s="8" t="n">
        <v>46</v>
      </c>
      <c r="AJ381" s="8" t="str">
        <v>75～79</v>
      </c>
      <c r="AK381" s="8" t="str">
        <v>30以上</v>
      </c>
      <c r="AL381" s="8" t="str">
        <v>40以上</v>
      </c>
      <c r="AM381" s="8" t="str">
        <v>100～119</v>
      </c>
      <c r="AN381" s="8" t="str">
        <v>15以上</v>
      </c>
      <c r="AO381" s="8" t="str">
        <f aca="false">IF(A381="","",IF(COUNTIFS(全馬データ!$A$2:$A$50000,A381,全馬データ!$B$2:$B$50000,B381,全馬データ!$C$2:$C$50000,C381,全馬データ!$D$2:$D$50000,E381,全馬データ!$K$2:$K$50000,"&lt;&gt;")=0,"",SUMIFS(全馬データ!$K$2:$K$50000,全馬データ!$A$2:$A$50000,A381,全馬データ!$B$2:$B$50000,B381,全馬データ!$C$2:$C$50000,C381,全馬データ!$D$2:$D$50000,E381)))</f>
        <v/>
      </c>
      <c r="AP381" s="8" t="str">
        <f aca="false">IF(A381="","",IF(AO381="","欠損",IF(AO381&lt;=1.1,"1.0～1.1",IF(AO381&lt;1.3,"1.2",IF(AO381&lt;1.5,"1.3～1.4",IF(AO381&lt;2,"1.5～1.9","2.0以上"))))))</f>
        <v>欠損</v>
      </c>
      <c r="AQ381" s="8" t="str">
        <f aca="false">IF(A381="","",IF(ISNUMBER(SEARCH("2歳",Z381)),"2歳戦",IF(ISNUMBER(SEARCH("3歳未勝利",Z381)),"3歳未勝利",IF(ISNUMBER(SEARCH("未勝利",Z381)),"その他未勝利",IF(ISNUMBER(SEARCH("G1",Z381)),"G1",IF(ISNUMBER(SEARCH("G2",Z381)),"G2",IF(ISNUMBER(SEARCH("G3",Z381)),"G3",IF(ISNUMBER(SEARCH("古馬条件",Z381)),"古馬条件戦",IF(ISNUMBER(SEARCH("重賞",Z381)),"重賞","分類不能")))))))))</f>
        <v>分類不能</v>
      </c>
      <c r="AR381" s="8"/>
      <c r="AS381" s="8" t="s">
        <v>7623</v>
      </c>
      <c r="AT381" s="8" t="s">
        <v>7624</v>
      </c>
      <c r="AU381" s="8" t="s">
        <v>7600</v>
      </c>
      <c r="AV381" s="4" t="s">
        <v>7601</v>
      </c>
      <c r="AW381" s="8"/>
      <c r="AX381" s="8"/>
      <c r="AY381" s="8" t="s">
        <v>7602</v>
      </c>
      <c r="AZ381" s="4" t="s">
        <v>7603</v>
      </c>
      <c r="BA381" s="8" t="n">
        <v>1800</v>
      </c>
      <c r="BB381" s="8" t="s">
        <v>7598</v>
      </c>
      <c r="BC381" s="4" t="s">
        <v>7604</v>
      </c>
      <c r="BD381" s="8" t="s">
        <v>7621</v>
      </c>
      <c r="BE381" s="4" t="s">
        <v>7622</v>
      </c>
      <c r="BF381" s="8" t="s">
        <v>7602</v>
      </c>
      <c r="BG381" s="8" t="s">
        <v>7608</v>
      </c>
      <c r="BH381" s="4" t="s">
        <v>7609</v>
      </c>
      <c r="BI381" s="8" t="n">
        <v>16</v>
      </c>
      <c r="BJ381" s="8" t="s">
        <v>7602</v>
      </c>
      <c r="BK381" s="4" t="s">
        <v>7653</v>
      </c>
      <c r="BL381" s="8" t="s">
        <v>7602</v>
      </c>
      <c r="BM381" s="4" t="s">
        <v>7620</v>
      </c>
      <c r="BN381" s="8" t="s">
        <v>7602</v>
      </c>
      <c r="BO381" s="8" t="s">
        <v>7613</v>
      </c>
      <c r="BP381" s="8" t="s">
        <v>7608</v>
      </c>
      <c r="BQ381" s="8" t="str">
        <f aca="false">IF(A381="","",AT381)</f>
        <v>3歳</v>
      </c>
      <c r="BR381" s="8" t="str">
        <f aca="false">IF(A381="","",IF(BA381&lt;=1200,"～1200",IF(BA381&lt;=1500,"1300～1500",IF(BA381=1600,"1600",IF(BA381&lt;=1800,"1700～1800",IF(BA381&lt;=2000,"1900～2000","2100以上"))))))</f>
        <v>1700～1800</v>
      </c>
      <c r="BS381" s="8" t="str">
        <f aca="false">IF(A381="","",IF(AX381="G1","G1",IF(AX381="G2","G2",IF(AX381="G3","G3",IF(AX381="L","L","その他")))))</f>
        <v>その他</v>
      </c>
      <c r="BT381" s="8" t="str">
        <f aca="false">IF(A381="","",IF(BI381="","未結合",IF(D381=BI381,"一致","不一致")))</f>
        <v>一致</v>
      </c>
      <c r="BU381" s="8" t="str">
        <f aca="false">IF(A381="","",IF(BE381="牝馬限定","牝馬限定","その他"))</f>
        <v>牝馬限定</v>
      </c>
    </row>
    <row r="382" customFormat="false" ht="15.75" hidden="false" customHeight="false" outlineLevel="0" collapsed="false">
      <c r="A382" s="6" t="n">
        <v>46193</v>
      </c>
      <c r="B382" s="4" t="s">
        <v>1237</v>
      </c>
      <c r="C382" s="8" t="n">
        <v>9</v>
      </c>
      <c r="D382" s="8" t="n">
        <v>12</v>
      </c>
      <c r="E382" s="8" t="n">
        <v>6</v>
      </c>
      <c r="F382" s="4" t="s">
        <v>5342</v>
      </c>
      <c r="G382" s="8" t="n">
        <v>66</v>
      </c>
      <c r="H382" s="8" t="n">
        <v>2</v>
      </c>
      <c r="I382" s="4" t="s">
        <v>2958</v>
      </c>
      <c r="J382" s="8" t="n">
        <v>62</v>
      </c>
      <c r="K382" s="8" t="n">
        <v>9</v>
      </c>
      <c r="L382" s="4" t="s">
        <v>7338</v>
      </c>
      <c r="M382" s="8" t="n">
        <v>50</v>
      </c>
      <c r="N382" s="8" t="n">
        <f aca="false">IF(A382="","",G382-J382)</f>
        <v>4</v>
      </c>
      <c r="O382" s="8" t="n">
        <f aca="false">IF(A382="","",J382-M382)</f>
        <v>12</v>
      </c>
      <c r="P382" s="8" t="n">
        <f aca="false">IF(A382="","",G382+J382)</f>
        <v>128</v>
      </c>
      <c r="Q382" s="8" t="str">
        <f aca="false">IF(A382="","",IF(AND(Y382&lt;&gt;"参考",G382&gt;=ルール設定!$B$2),"○",""))</f>
        <v/>
      </c>
      <c r="R382" s="8" t="str">
        <f aca="false">IF(A382="","",IF(AND(Y382&lt;&gt;"参考",G382&gt;=ルール設定!$B$3,N382&gt;=ルール設定!$B$4),"○",""))</f>
        <v/>
      </c>
      <c r="S382" s="8" t="str">
        <f aca="false">IF(A382="","",IF(AND(Y382&lt;&gt;"参考",G382&gt;=ルール設定!$B$5,J382&gt;=ルール設定!$B$6,O382&gt;=ルール設定!$B$7),"○",""))</f>
        <v/>
      </c>
      <c r="T382" s="8" t="n">
        <v>4</v>
      </c>
      <c r="U382" s="8" t="n">
        <v>2</v>
      </c>
      <c r="V382" s="8" t="str">
        <f aca="false">IF(A382="","",IF(AND(ISNUMBER(T382),ISNUMBER(U382)),IF(AND(T382&lt;=3,U382&lt;=3),"○","×"),""))</f>
        <v>×</v>
      </c>
      <c r="W382" s="8"/>
      <c r="X382" s="8"/>
      <c r="Y382" s="4" t="s">
        <v>7597</v>
      </c>
      <c r="Z382" s="4" t="s">
        <v>7777</v>
      </c>
      <c r="AA382" s="8" t="str">
        <v/>
      </c>
      <c r="AB382" s="8" t="str">
        <v/>
      </c>
      <c r="AC382" s="8" t="str">
        <v/>
      </c>
      <c r="AD382" s="8" t="str">
        <v/>
      </c>
      <c r="AE382" s="8" t="str">
        <v/>
      </c>
      <c r="AF382" s="8" t="str">
        <v/>
      </c>
      <c r="AG382" s="8" t="str">
        <v/>
      </c>
      <c r="AH382" s="8" t="str">
        <v/>
      </c>
      <c r="AI382" s="8" t="n">
        <v>16</v>
      </c>
      <c r="AJ382" s="8" t="str">
        <v>60～69</v>
      </c>
      <c r="AK382" s="8" t="str">
        <v>0～4</v>
      </c>
      <c r="AL382" s="8" t="str">
        <v>10～19</v>
      </c>
      <c r="AM382" s="8" t="str">
        <v>120～139</v>
      </c>
      <c r="AN382" s="8" t="str">
        <v>12～14</v>
      </c>
      <c r="AO382" s="8" t="str">
        <f aca="false">IF(A382="","",IF(COUNTIFS(全馬データ!$A$2:$A$50000,A382,全馬データ!$B$2:$B$50000,B382,全馬データ!$C$2:$C$50000,C382,全馬データ!$D$2:$D$50000,E382,全馬データ!$K$2:$K$50000,"&lt;&gt;")=0,"",SUMIFS(全馬データ!$K$2:$K$50000,全馬データ!$A$2:$A$50000,A382,全馬データ!$B$2:$B$50000,B382,全馬データ!$C$2:$C$50000,C382,全馬データ!$D$2:$D$50000,E382)))</f>
        <v/>
      </c>
      <c r="AP382" s="8" t="str">
        <f aca="false">IF(A382="","",IF(AO382="","欠損",IF(AO382&lt;=1.1,"1.0～1.1",IF(AO382&lt;1.3,"1.2",IF(AO382&lt;1.5,"1.3～1.4",IF(AO382&lt;2,"1.5～1.9","2.0以上"))))))</f>
        <v>欠損</v>
      </c>
      <c r="AQ382" s="8" t="str">
        <f aca="false">IF(A382="","",IF(ISNUMBER(SEARCH("2歳",Z382)),"2歳戦",IF(ISNUMBER(SEARCH("3歳未勝利",Z382)),"3歳未勝利",IF(ISNUMBER(SEARCH("未勝利",Z382)),"その他未勝利",IF(ISNUMBER(SEARCH("G1",Z382)),"G1",IF(ISNUMBER(SEARCH("G2",Z382)),"G2",IF(ISNUMBER(SEARCH("G3",Z382)),"G3",IF(ISNUMBER(SEARCH("古馬条件",Z382)),"古馬条件戦",IF(ISNUMBER(SEARCH("重賞",Z382)),"重賞","分類不能")))))))))</f>
        <v>分類不能</v>
      </c>
      <c r="AR382" s="4" t="s">
        <v>7783</v>
      </c>
      <c r="AS382" s="8" t="s">
        <v>7626</v>
      </c>
      <c r="AT382" s="8" t="s">
        <v>7627</v>
      </c>
      <c r="AU382" s="8" t="s">
        <v>7628</v>
      </c>
      <c r="AV382" s="8" t="s">
        <v>7629</v>
      </c>
      <c r="AW382" s="8" t="s">
        <v>7636</v>
      </c>
      <c r="AX382" s="4" t="s">
        <v>7637</v>
      </c>
      <c r="AY382" s="8" t="s">
        <v>7602</v>
      </c>
      <c r="AZ382" s="4" t="s">
        <v>7603</v>
      </c>
      <c r="BA382" s="8" t="n">
        <v>1200</v>
      </c>
      <c r="BB382" s="8" t="s">
        <v>7598</v>
      </c>
      <c r="BC382" s="4" t="s">
        <v>7604</v>
      </c>
      <c r="BD382" s="8" t="s">
        <v>7630</v>
      </c>
      <c r="BE382" s="4" t="s">
        <v>7606</v>
      </c>
      <c r="BF382" s="8" t="s">
        <v>7607</v>
      </c>
      <c r="BG382" s="8" t="s">
        <v>7631</v>
      </c>
      <c r="BH382" s="4" t="s">
        <v>7632</v>
      </c>
      <c r="BI382" s="8" t="n">
        <v>12</v>
      </c>
      <c r="BJ382" s="8" t="s">
        <v>7602</v>
      </c>
      <c r="BK382" s="4" t="s">
        <v>7653</v>
      </c>
      <c r="BL382" s="8" t="s">
        <v>7602</v>
      </c>
      <c r="BM382" s="4" t="s">
        <v>7620</v>
      </c>
      <c r="BN382" s="8" t="s">
        <v>7602</v>
      </c>
      <c r="BO382" s="8" t="s">
        <v>7613</v>
      </c>
      <c r="BP382" s="8" t="s">
        <v>7608</v>
      </c>
      <c r="BQ382" s="8" t="str">
        <f aca="false">IF(A382="","",AT382)</f>
        <v>3歳以上</v>
      </c>
      <c r="BR382" s="8" t="str">
        <f aca="false">IF(A382="","",IF(BA382&lt;=1200,"～1200",IF(BA382&lt;=1500,"1300～1500",IF(BA382=1600,"1600",IF(BA382&lt;=1800,"1700～1800",IF(BA382&lt;=2000,"1900～2000","2100以上"))))))</f>
        <v>～1200</v>
      </c>
      <c r="BS382" s="8" t="str">
        <f aca="false">IF(A382="","",IF(AX382="G1","G1",IF(AX382="G2","G2",IF(AX382="G3","G3",IF(AX382="L","L","その他")))))</f>
        <v>その他</v>
      </c>
      <c r="BT382" s="8" t="str">
        <f aca="false">IF(A382="","",IF(BI382="","未結合",IF(D382=BI382,"一致","不一致")))</f>
        <v>一致</v>
      </c>
      <c r="BU382" s="8" t="str">
        <f aca="false">IF(A382="","",IF(BE382="牝馬限定","牝馬限定","その他"))</f>
        <v>その他</v>
      </c>
    </row>
    <row r="383" customFormat="false" ht="15.75" hidden="false" customHeight="false" outlineLevel="0" collapsed="false">
      <c r="A383" s="6" t="n">
        <v>46194</v>
      </c>
      <c r="B383" s="4" t="s">
        <v>4473</v>
      </c>
      <c r="C383" s="8" t="n">
        <v>1</v>
      </c>
      <c r="D383" s="8" t="n">
        <v>14</v>
      </c>
      <c r="E383" s="8" t="n">
        <v>1</v>
      </c>
      <c r="F383" s="4" t="s">
        <v>7784</v>
      </c>
      <c r="G383" s="8" t="n">
        <v>55</v>
      </c>
      <c r="H383" s="8" t="n">
        <v>9</v>
      </c>
      <c r="I383" s="4" t="s">
        <v>5750</v>
      </c>
      <c r="J383" s="8" t="n">
        <v>44</v>
      </c>
      <c r="K383" s="8" t="n">
        <v>11</v>
      </c>
      <c r="L383" s="4" t="s">
        <v>3952</v>
      </c>
      <c r="M383" s="8" t="n">
        <v>44</v>
      </c>
      <c r="N383" s="8" t="n">
        <f aca="false">IF(A383="","",G383-J383)</f>
        <v>11</v>
      </c>
      <c r="O383" s="8" t="n">
        <f aca="false">IF(A383="","",J383-M383)</f>
        <v>0</v>
      </c>
      <c r="P383" s="8" t="n">
        <f aca="false">IF(A383="","",G383+J383)</f>
        <v>99</v>
      </c>
      <c r="Q383" s="8" t="str">
        <f aca="false">IF(A383="","",IF(AND(Y383&lt;&gt;"参考",G383&gt;=ルール設定!$B$2),"○",""))</f>
        <v/>
      </c>
      <c r="R383" s="8" t="str">
        <f aca="false">IF(A383="","",IF(AND(Y383&lt;&gt;"参考",G383&gt;=ルール設定!$B$3,N383&gt;=ルール設定!$B$4),"○",""))</f>
        <v/>
      </c>
      <c r="S383" s="8" t="str">
        <f aca="false">IF(A383="","",IF(AND(Y383&lt;&gt;"参考",G383&gt;=ルール設定!$B$5,J383&gt;=ルール設定!$B$6,O383&gt;=ルール設定!$B$7),"○",""))</f>
        <v/>
      </c>
      <c r="T383" s="8" t="n">
        <v>4</v>
      </c>
      <c r="U383" s="8" t="n">
        <v>3</v>
      </c>
      <c r="V383" s="8" t="str">
        <f aca="false">IF(A383="","",IF(AND(ISNUMBER(T383),ISNUMBER(U383)),IF(AND(T383&lt;=3,U383&lt;=3),"○","×"),""))</f>
        <v>×</v>
      </c>
      <c r="W383" s="8"/>
      <c r="X383" s="8"/>
      <c r="Y383" s="4" t="s">
        <v>7597</v>
      </c>
      <c r="Z383" s="4" t="s">
        <v>7777</v>
      </c>
      <c r="AA383" s="8" t="str">
        <v/>
      </c>
      <c r="AB383" s="8" t="str">
        <v/>
      </c>
      <c r="AC383" s="8" t="str">
        <v/>
      </c>
      <c r="AD383" s="8" t="str">
        <v/>
      </c>
      <c r="AE383" s="8" t="str">
        <v/>
      </c>
      <c r="AF383" s="8" t="str">
        <v/>
      </c>
      <c r="AG383" s="8" t="str">
        <v/>
      </c>
      <c r="AH383" s="8" t="str">
        <v/>
      </c>
      <c r="AI383" s="8" t="n">
        <v>11</v>
      </c>
      <c r="AJ383" s="8" t="str">
        <v>～59</v>
      </c>
      <c r="AK383" s="8" t="str">
        <v>10～19</v>
      </c>
      <c r="AL383" s="8" t="str">
        <v>10～19</v>
      </c>
      <c r="AM383" s="8" t="str">
        <v>～99</v>
      </c>
      <c r="AN383" s="8" t="str">
        <v>12～14</v>
      </c>
      <c r="AO383" s="8" t="str">
        <f aca="false">IF(A383="","",IF(COUNTIFS(全馬データ!$A$2:$A$50000,A383,全馬データ!$B$2:$B$50000,B383,全馬データ!$C$2:$C$50000,C383,全馬データ!$D$2:$D$50000,E383,全馬データ!$K$2:$K$50000,"&lt;&gt;")=0,"",SUMIFS(全馬データ!$K$2:$K$50000,全馬データ!$A$2:$A$50000,A383,全馬データ!$B$2:$B$50000,B383,全馬データ!$C$2:$C$50000,C383,全馬データ!$D$2:$D$50000,E383)))</f>
        <v/>
      </c>
      <c r="AP383" s="8" t="str">
        <f aca="false">IF(A383="","",IF(AO383="","欠損",IF(AO383&lt;=1.1,"1.0～1.1",IF(AO383&lt;1.3,"1.2",IF(AO383&lt;1.5,"1.3～1.4",IF(AO383&lt;2,"1.5～1.9","2.0以上"))))))</f>
        <v>欠損</v>
      </c>
      <c r="AQ383" s="8" t="str">
        <f aca="false">IF(A383="","",IF(ISNUMBER(SEARCH("2歳",Z383)),"2歳戦",IF(ISNUMBER(SEARCH("3歳未勝利",Z383)),"3歳未勝利",IF(ISNUMBER(SEARCH("未勝利",Z383)),"その他未勝利",IF(ISNUMBER(SEARCH("G1",Z383)),"G1",IF(ISNUMBER(SEARCH("G2",Z383)),"G2",IF(ISNUMBER(SEARCH("G3",Z383)),"G3",IF(ISNUMBER(SEARCH("古馬条件",Z383)),"古馬条件戦",IF(ISNUMBER(SEARCH("重賞",Z383)),"重賞","分類不能")))))))))</f>
        <v>分類不能</v>
      </c>
      <c r="AR383" s="8"/>
      <c r="AS383" s="8" t="s">
        <v>7618</v>
      </c>
      <c r="AT383" s="4" t="s">
        <v>7642</v>
      </c>
      <c r="AU383" s="8" t="s">
        <v>7600</v>
      </c>
      <c r="AV383" s="4" t="s">
        <v>7601</v>
      </c>
      <c r="AW383" s="8"/>
      <c r="AX383" s="8"/>
      <c r="AY383" s="8" t="s">
        <v>7608</v>
      </c>
      <c r="AZ383" s="4" t="s">
        <v>7642</v>
      </c>
      <c r="BA383" s="8" t="n">
        <v>3000</v>
      </c>
      <c r="BB383" s="8" t="s">
        <v>7618</v>
      </c>
      <c r="BC383" s="4" t="s">
        <v>7619</v>
      </c>
      <c r="BD383" s="8" t="s">
        <v>7645</v>
      </c>
      <c r="BE383" s="4" t="s">
        <v>7606</v>
      </c>
      <c r="BF383" s="8" t="s">
        <v>7607</v>
      </c>
      <c r="BG383" s="8" t="s">
        <v>7631</v>
      </c>
      <c r="BH383" s="4" t="s">
        <v>7632</v>
      </c>
      <c r="BI383" s="8" t="n">
        <v>14</v>
      </c>
      <c r="BJ383" s="8" t="s">
        <v>7647</v>
      </c>
      <c r="BK383" s="4" t="s">
        <v>7648</v>
      </c>
      <c r="BL383" s="8" t="s">
        <v>7608</v>
      </c>
      <c r="BM383" s="4" t="s">
        <v>7780</v>
      </c>
      <c r="BN383" s="8"/>
      <c r="BO383" s="8"/>
      <c r="BP383" s="8" t="s">
        <v>7602</v>
      </c>
      <c r="BQ383" s="8" t="str">
        <f aca="false">IF(A383="","",AT383)</f>
        <v>障害</v>
      </c>
      <c r="BR383" s="8" t="str">
        <f aca="false">IF(A383="","",IF(BA383&lt;=1200,"～1200",IF(BA383&lt;=1500,"1300～1500",IF(BA383=1600,"1600",IF(BA383&lt;=1800,"1700～1800",IF(BA383&lt;=2000,"1900～2000","2100以上"))))))</f>
        <v>2100以上</v>
      </c>
      <c r="BS383" s="8" t="str">
        <f aca="false">IF(A383="","",IF(AX383="G1","G1",IF(AX383="G2","G2",IF(AX383="G3","G3",IF(AX383="L","L","その他")))))</f>
        <v>その他</v>
      </c>
      <c r="BT383" s="8" t="str">
        <f aca="false">IF(A383="","",IF(BI383="","未結合",IF(D383=BI383,"一致","不一致")))</f>
        <v>一致</v>
      </c>
      <c r="BU383" s="8" t="str">
        <f aca="false">IF(A383="","",IF(BE383="牝馬限定","牝馬限定","その他"))</f>
        <v>その他</v>
      </c>
    </row>
    <row r="384" customFormat="false" ht="15.75" hidden="false" customHeight="false" outlineLevel="0" collapsed="false">
      <c r="A384" s="6" t="n">
        <v>46194</v>
      </c>
      <c r="B384" s="4" t="s">
        <v>4473</v>
      </c>
      <c r="C384" s="8" t="n">
        <v>2</v>
      </c>
      <c r="D384" s="8" t="n">
        <v>16</v>
      </c>
      <c r="E384" s="8" t="n">
        <v>11</v>
      </c>
      <c r="F384" s="4" t="s">
        <v>6001</v>
      </c>
      <c r="G384" s="8" t="n">
        <v>67</v>
      </c>
      <c r="H384" s="8" t="n">
        <v>2</v>
      </c>
      <c r="I384" s="4" t="s">
        <v>7785</v>
      </c>
      <c r="J384" s="8" t="n">
        <v>56</v>
      </c>
      <c r="K384" s="8" t="n">
        <v>8</v>
      </c>
      <c r="L384" s="4" t="s">
        <v>7786</v>
      </c>
      <c r="M384" s="8" t="n">
        <v>34</v>
      </c>
      <c r="N384" s="8" t="n">
        <f aca="false">IF(A384="","",G384-J384)</f>
        <v>11</v>
      </c>
      <c r="O384" s="8" t="n">
        <f aca="false">IF(A384="","",J384-M384)</f>
        <v>22</v>
      </c>
      <c r="P384" s="8" t="n">
        <f aca="false">IF(A384="","",G384+J384)</f>
        <v>123</v>
      </c>
      <c r="Q384" s="8" t="str">
        <f aca="false">IF(A384="","",IF(AND(Y384&lt;&gt;"参考",G384&gt;=ルール設定!$B$2),"○",""))</f>
        <v/>
      </c>
      <c r="R384" s="8" t="str">
        <f aca="false">IF(A384="","",IF(AND(Y384&lt;&gt;"参考",G384&gt;=ルール設定!$B$3,N384&gt;=ルール設定!$B$4),"○",""))</f>
        <v/>
      </c>
      <c r="S384" s="8" t="str">
        <f aca="false">IF(A384="","",IF(AND(Y384&lt;&gt;"参考",G384&gt;=ルール設定!$B$5,J384&gt;=ルール設定!$B$6,O384&gt;=ルール設定!$B$7),"○",""))</f>
        <v>○</v>
      </c>
      <c r="T384" s="8" t="n">
        <v>3</v>
      </c>
      <c r="U384" s="8" t="n">
        <v>2</v>
      </c>
      <c r="V384" s="8" t="str">
        <f aca="false">IF(A384="","",IF(AND(ISNUMBER(T384),ISNUMBER(U384)),IF(AND(T384&lt;=3,U384&lt;=3),"○","×"),""))</f>
        <v>○</v>
      </c>
      <c r="W384" s="8" t="n">
        <v>130</v>
      </c>
      <c r="X384" s="8" t="n">
        <v>260</v>
      </c>
      <c r="Y384" s="4" t="s">
        <v>7597</v>
      </c>
      <c r="Z384" s="4" t="s">
        <v>7777</v>
      </c>
      <c r="AA384" s="8" t="str">
        <v/>
      </c>
      <c r="AB384" s="8" t="str">
        <v/>
      </c>
      <c r="AC384" s="8" t="str">
        <v/>
      </c>
      <c r="AD384" s="8" t="str">
        <v/>
      </c>
      <c r="AE384" s="8" t="str">
        <v/>
      </c>
      <c r="AF384" s="8" t="str">
        <v/>
      </c>
      <c r="AG384" s="8" t="str">
        <v/>
      </c>
      <c r="AH384" s="8" t="str">
        <v/>
      </c>
      <c r="AI384" s="8" t="n">
        <v>33</v>
      </c>
      <c r="AJ384" s="8" t="str">
        <v>60～69</v>
      </c>
      <c r="AK384" s="8" t="str">
        <v>10～19</v>
      </c>
      <c r="AL384" s="8" t="str">
        <v>30～39</v>
      </c>
      <c r="AM384" s="8" t="str">
        <v>120～139</v>
      </c>
      <c r="AN384" s="8" t="str">
        <v>15以上</v>
      </c>
      <c r="AO384" s="8" t="str">
        <f aca="false">IF(A384="","",IF(COUNTIFS(全馬データ!$A$2:$A$50000,A384,全馬データ!$B$2:$B$50000,B384,全馬データ!$C$2:$C$50000,C384,全馬データ!$D$2:$D$50000,E384,全馬データ!$K$2:$K$50000,"&lt;&gt;")=0,"",SUMIFS(全馬データ!$K$2:$K$50000,全馬データ!$A$2:$A$50000,A384,全馬データ!$B$2:$B$50000,B384,全馬データ!$C$2:$C$50000,C384,全馬データ!$D$2:$D$50000,E384)))</f>
        <v/>
      </c>
      <c r="AP384" s="8" t="str">
        <f aca="false">IF(A384="","",IF(AO384="","欠損",IF(AO384&lt;=1.1,"1.0～1.1",IF(AO384&lt;1.3,"1.2",IF(AO384&lt;1.5,"1.3～1.4",IF(AO384&lt;2,"1.5～1.9","2.0以上"))))))</f>
        <v>欠損</v>
      </c>
      <c r="AQ384" s="8" t="str">
        <f aca="false">IF(A384="","",IF(ISNUMBER(SEARCH("2歳",Z384)),"2歳戦",IF(ISNUMBER(SEARCH("3歳未勝利",Z384)),"3歳未勝利",IF(ISNUMBER(SEARCH("未勝利",Z384)),"その他未勝利",IF(ISNUMBER(SEARCH("G1",Z384)),"G1",IF(ISNUMBER(SEARCH("G2",Z384)),"G2",IF(ISNUMBER(SEARCH("G3",Z384)),"G3",IF(ISNUMBER(SEARCH("古馬条件",Z384)),"古馬条件戦",IF(ISNUMBER(SEARCH("重賞",Z384)),"重賞","分類不能")))))))))</f>
        <v>分類不能</v>
      </c>
      <c r="AR384" s="8"/>
      <c r="AS384" s="8" t="s">
        <v>7623</v>
      </c>
      <c r="AT384" s="8" t="s">
        <v>7624</v>
      </c>
      <c r="AU384" s="8" t="s">
        <v>7600</v>
      </c>
      <c r="AV384" s="4" t="s">
        <v>7601</v>
      </c>
      <c r="AW384" s="8"/>
      <c r="AX384" s="8"/>
      <c r="AY384" s="8" t="s">
        <v>7610</v>
      </c>
      <c r="AZ384" s="4" t="s">
        <v>7617</v>
      </c>
      <c r="BA384" s="8" t="n">
        <v>1600</v>
      </c>
      <c r="BB384" s="8" t="s">
        <v>7669</v>
      </c>
      <c r="BC384" s="4" t="s">
        <v>7662</v>
      </c>
      <c r="BD384" s="8" t="s">
        <v>7605</v>
      </c>
      <c r="BE384" s="4" t="s">
        <v>7606</v>
      </c>
      <c r="BF384" s="8" t="s">
        <v>7607</v>
      </c>
      <c r="BG384" s="8" t="s">
        <v>7608</v>
      </c>
      <c r="BH384" s="4" t="s">
        <v>7609</v>
      </c>
      <c r="BI384" s="8" t="n">
        <v>16</v>
      </c>
      <c r="BJ384" s="8" t="s">
        <v>7610</v>
      </c>
      <c r="BK384" s="4" t="s">
        <v>7611</v>
      </c>
      <c r="BL384" s="8" t="s">
        <v>7602</v>
      </c>
      <c r="BM384" s="4" t="s">
        <v>7620</v>
      </c>
      <c r="BN384" s="8"/>
      <c r="BO384" s="8"/>
      <c r="BP384" s="8" t="s">
        <v>7602</v>
      </c>
      <c r="BQ384" s="8" t="str">
        <f aca="false">IF(A384="","",AT384)</f>
        <v>3歳</v>
      </c>
      <c r="BR384" s="8" t="str">
        <f aca="false">IF(A384="","",IF(BA384&lt;=1200,"～1200",IF(BA384&lt;=1500,"1300～1500",IF(BA384=1600,"1600",IF(BA384&lt;=1800,"1700～1800",IF(BA384&lt;=2000,"1900～2000","2100以上"))))))</f>
        <v>1600</v>
      </c>
      <c r="BS384" s="8" t="str">
        <f aca="false">IF(A384="","",IF(AX384="G1","G1",IF(AX384="G2","G2",IF(AX384="G3","G3",IF(AX384="L","L","その他")))))</f>
        <v>その他</v>
      </c>
      <c r="BT384" s="8" t="str">
        <f aca="false">IF(A384="","",IF(BI384="","未結合",IF(D384=BI384,"一致","不一致")))</f>
        <v>一致</v>
      </c>
      <c r="BU384" s="8" t="str">
        <f aca="false">IF(A384="","",IF(BE384="牝馬限定","牝馬限定","その他"))</f>
        <v>その他</v>
      </c>
    </row>
    <row r="385" customFormat="false" ht="15.75" hidden="false" customHeight="false" outlineLevel="0" collapsed="false">
      <c r="A385" s="6" t="n">
        <v>46194</v>
      </c>
      <c r="B385" s="4" t="s">
        <v>4473</v>
      </c>
      <c r="C385" s="8" t="n">
        <v>4</v>
      </c>
      <c r="D385" s="8" t="n">
        <v>10</v>
      </c>
      <c r="E385" s="8" t="n">
        <v>6</v>
      </c>
      <c r="F385" s="4" t="s">
        <v>7787</v>
      </c>
      <c r="G385" s="8" t="n">
        <v>37</v>
      </c>
      <c r="H385" s="8" t="n">
        <v>1</v>
      </c>
      <c r="I385" s="4" t="s">
        <v>6614</v>
      </c>
      <c r="J385" s="8" t="n">
        <v>27</v>
      </c>
      <c r="K385" s="8" t="n">
        <v>3</v>
      </c>
      <c r="L385" s="4" t="s">
        <v>7788</v>
      </c>
      <c r="M385" s="8" t="n">
        <v>27</v>
      </c>
      <c r="N385" s="8" t="n">
        <f aca="false">IF(A385="","",G385-J385)</f>
        <v>10</v>
      </c>
      <c r="O385" s="8" t="n">
        <f aca="false">IF(A385="","",J385-M385)</f>
        <v>0</v>
      </c>
      <c r="P385" s="8" t="n">
        <f aca="false">IF(A385="","",G385+J385)</f>
        <v>64</v>
      </c>
      <c r="Q385" s="8" t="str">
        <f aca="false">IF(A385="","",IF(AND(Y385&lt;&gt;"参考",G385&gt;=ルール設定!$B$2),"○",""))</f>
        <v/>
      </c>
      <c r="R385" s="8" t="str">
        <f aca="false">IF(A385="","",IF(AND(Y385&lt;&gt;"参考",G385&gt;=ルール設定!$B$3,N385&gt;=ルール設定!$B$4),"○",""))</f>
        <v/>
      </c>
      <c r="S385" s="8" t="str">
        <f aca="false">IF(A385="","",IF(AND(Y385&lt;&gt;"参考",G385&gt;=ルール設定!$B$5,J385&gt;=ルール設定!$B$6,O385&gt;=ルール設定!$B$7),"○",""))</f>
        <v/>
      </c>
      <c r="T385" s="8" t="n">
        <v>1</v>
      </c>
      <c r="U385" s="8" t="n">
        <v>3</v>
      </c>
      <c r="V385" s="8" t="str">
        <f aca="false">IF(A385="","",IF(AND(ISNUMBER(T385),ISNUMBER(U385)),IF(AND(T385&lt;=3,U385&lt;=3),"○","×"),""))</f>
        <v>○</v>
      </c>
      <c r="W385" s="8" t="n">
        <v>110</v>
      </c>
      <c r="X385" s="8" t="n">
        <v>180</v>
      </c>
      <c r="Y385" s="4" t="s">
        <v>7597</v>
      </c>
      <c r="Z385" s="4" t="s">
        <v>7777</v>
      </c>
      <c r="AA385" s="8" t="str">
        <v/>
      </c>
      <c r="AB385" s="8" t="str">
        <v/>
      </c>
      <c r="AC385" s="8" t="str">
        <v/>
      </c>
      <c r="AD385" s="8" t="str">
        <v/>
      </c>
      <c r="AE385" s="8" t="str">
        <v/>
      </c>
      <c r="AF385" s="8" t="str">
        <v/>
      </c>
      <c r="AG385" s="8" t="str">
        <v/>
      </c>
      <c r="AH385" s="8" t="str">
        <v/>
      </c>
      <c r="AI385" s="8" t="n">
        <v>10</v>
      </c>
      <c r="AJ385" s="8" t="str">
        <v>～59</v>
      </c>
      <c r="AK385" s="8" t="str">
        <v>10～19</v>
      </c>
      <c r="AL385" s="8" t="str">
        <v>10～19</v>
      </c>
      <c r="AM385" s="8" t="str">
        <v>～99</v>
      </c>
      <c r="AN385" s="8" t="str">
        <v>8～11</v>
      </c>
      <c r="AO385" s="8" t="str">
        <f aca="false">IF(A385="","",IF(COUNTIFS(全馬データ!$A$2:$A$50000,A385,全馬データ!$B$2:$B$50000,B385,全馬データ!$C$2:$C$50000,C385,全馬データ!$D$2:$D$50000,E385,全馬データ!$K$2:$K$50000,"&lt;&gt;")=0,"",SUMIFS(全馬データ!$K$2:$K$50000,全馬データ!$A$2:$A$50000,A385,全馬データ!$B$2:$B$50000,B385,全馬データ!$C$2:$C$50000,C385,全馬データ!$D$2:$D$50000,E385)))</f>
        <v/>
      </c>
      <c r="AP385" s="8" t="str">
        <f aca="false">IF(A385="","",IF(AO385="","欠損",IF(AO385&lt;=1.1,"1.0～1.1",IF(AO385&lt;1.3,"1.2",IF(AO385&lt;1.5,"1.3～1.4",IF(AO385&lt;2,"1.5～1.9","2.0以上"))))))</f>
        <v>欠損</v>
      </c>
      <c r="AQ385" s="8" t="str">
        <f aca="false">IF(A385="","",IF(ISNUMBER(SEARCH("2歳",Z385)),"2歳戦",IF(ISNUMBER(SEARCH("3歳未勝利",Z385)),"3歳未勝利",IF(ISNUMBER(SEARCH("未勝利",Z385)),"その他未勝利",IF(ISNUMBER(SEARCH("G1",Z385)),"G1",IF(ISNUMBER(SEARCH("G2",Z385)),"G2",IF(ISNUMBER(SEARCH("G3",Z385)),"G3",IF(ISNUMBER(SEARCH("古馬条件",Z385)),"古馬条件戦",IF(ISNUMBER(SEARCH("重賞",Z385)),"重賞","分類不能")))))))))</f>
        <v>分類不能</v>
      </c>
      <c r="AR385" s="8"/>
      <c r="AS385" s="8" t="s">
        <v>7598</v>
      </c>
      <c r="AT385" s="8" t="s">
        <v>7599</v>
      </c>
      <c r="AU385" s="8" t="s">
        <v>7615</v>
      </c>
      <c r="AV385" s="4" t="s">
        <v>7616</v>
      </c>
      <c r="AW385" s="8"/>
      <c r="AX385" s="8"/>
      <c r="AY385" s="8" t="s">
        <v>7602</v>
      </c>
      <c r="AZ385" s="4" t="s">
        <v>7603</v>
      </c>
      <c r="BA385" s="8" t="n">
        <v>1400</v>
      </c>
      <c r="BB385" s="8" t="s">
        <v>7659</v>
      </c>
      <c r="BC385" s="4" t="s">
        <v>7619</v>
      </c>
      <c r="BD385" s="8" t="s">
        <v>7625</v>
      </c>
      <c r="BE385" s="4" t="s">
        <v>7606</v>
      </c>
      <c r="BF385" s="8" t="s">
        <v>7607</v>
      </c>
      <c r="BG385" s="8" t="s">
        <v>7608</v>
      </c>
      <c r="BH385" s="4" t="s">
        <v>7609</v>
      </c>
      <c r="BI385" s="8" t="n">
        <v>10</v>
      </c>
      <c r="BJ385" s="8" t="s">
        <v>7610</v>
      </c>
      <c r="BK385" s="4" t="s">
        <v>7611</v>
      </c>
      <c r="BL385" s="8" t="s">
        <v>7602</v>
      </c>
      <c r="BM385" s="4" t="s">
        <v>7620</v>
      </c>
      <c r="BN385" s="8" t="s">
        <v>7676</v>
      </c>
      <c r="BO385" s="8" t="s">
        <v>7778</v>
      </c>
      <c r="BP385" s="8" t="s">
        <v>7602</v>
      </c>
      <c r="BQ385" s="8" t="str">
        <f aca="false">IF(A385="","",AT385)</f>
        <v>2歳</v>
      </c>
      <c r="BR385" s="8" t="str">
        <f aca="false">IF(A385="","",IF(BA385&lt;=1200,"～1200",IF(BA385&lt;=1500,"1300～1500",IF(BA385=1600,"1600",IF(BA385&lt;=1800,"1700～1800",IF(BA385&lt;=2000,"1900～2000","2100以上"))))))</f>
        <v>1300～1500</v>
      </c>
      <c r="BS385" s="8" t="str">
        <f aca="false">IF(A385="","",IF(AX385="G1","G1",IF(AX385="G2","G2",IF(AX385="G3","G3",IF(AX385="L","L","その他")))))</f>
        <v>その他</v>
      </c>
      <c r="BT385" s="8" t="str">
        <f aca="false">IF(A385="","",IF(BI385="","未結合",IF(D385=BI385,"一致","不一致")))</f>
        <v>一致</v>
      </c>
      <c r="BU385" s="8" t="str">
        <f aca="false">IF(A385="","",IF(BE385="牝馬限定","牝馬限定","その他"))</f>
        <v>その他</v>
      </c>
    </row>
    <row r="386" customFormat="false" ht="15.75" hidden="false" customHeight="false" outlineLevel="0" collapsed="false">
      <c r="A386" s="6" t="n">
        <v>46194</v>
      </c>
      <c r="B386" s="4" t="s">
        <v>4473</v>
      </c>
      <c r="C386" s="8" t="n">
        <v>5</v>
      </c>
      <c r="D386" s="8" t="n">
        <v>13</v>
      </c>
      <c r="E386" s="8" t="n">
        <v>9</v>
      </c>
      <c r="F386" s="4" t="s">
        <v>6915</v>
      </c>
      <c r="G386" s="8" t="n">
        <v>37</v>
      </c>
      <c r="H386" s="8" t="n">
        <v>3</v>
      </c>
      <c r="I386" s="4" t="s">
        <v>7789</v>
      </c>
      <c r="J386" s="8" t="n">
        <v>31</v>
      </c>
      <c r="K386" s="8" t="n">
        <v>4</v>
      </c>
      <c r="L386" s="4" t="s">
        <v>3982</v>
      </c>
      <c r="M386" s="8" t="n">
        <v>27</v>
      </c>
      <c r="N386" s="8" t="n">
        <f aca="false">IF(A386="","",G386-J386)</f>
        <v>6</v>
      </c>
      <c r="O386" s="8" t="n">
        <f aca="false">IF(A386="","",J386-M386)</f>
        <v>4</v>
      </c>
      <c r="P386" s="8" t="n">
        <f aca="false">IF(A386="","",G386+J386)</f>
        <v>68</v>
      </c>
      <c r="Q386" s="8" t="str">
        <f aca="false">IF(A386="","",IF(AND(Y386&lt;&gt;"参考",G386&gt;=ルール設定!$B$2),"○",""))</f>
        <v/>
      </c>
      <c r="R386" s="8" t="str">
        <f aca="false">IF(A386="","",IF(AND(Y386&lt;&gt;"参考",G386&gt;=ルール設定!$B$3,N386&gt;=ルール設定!$B$4),"○",""))</f>
        <v/>
      </c>
      <c r="S386" s="8" t="str">
        <f aca="false">IF(A386="","",IF(AND(Y386&lt;&gt;"参考",G386&gt;=ルール設定!$B$5,J386&gt;=ルール設定!$B$6,O386&gt;=ルール設定!$B$7),"○",""))</f>
        <v/>
      </c>
      <c r="T386" s="8" t="n">
        <v>4</v>
      </c>
      <c r="U386" s="8" t="n">
        <v>4</v>
      </c>
      <c r="V386" s="8" t="str">
        <f aca="false">IF(A386="","",IF(AND(ISNUMBER(T386),ISNUMBER(U386)),IF(AND(T386&lt;=3,U386&lt;=3),"○","×"),""))</f>
        <v>×</v>
      </c>
      <c r="W386" s="8"/>
      <c r="X386" s="8"/>
      <c r="Y386" s="4" t="s">
        <v>7597</v>
      </c>
      <c r="Z386" s="4" t="s">
        <v>7777</v>
      </c>
      <c r="AA386" s="8" t="str">
        <v/>
      </c>
      <c r="AB386" s="8" t="str">
        <v/>
      </c>
      <c r="AC386" s="8" t="str">
        <v/>
      </c>
      <c r="AD386" s="8" t="str">
        <v/>
      </c>
      <c r="AE386" s="8" t="str">
        <v/>
      </c>
      <c r="AF386" s="8" t="str">
        <v/>
      </c>
      <c r="AG386" s="8" t="str">
        <v/>
      </c>
      <c r="AH386" s="8" t="str">
        <v/>
      </c>
      <c r="AI386" s="8" t="n">
        <v>10</v>
      </c>
      <c r="AJ386" s="8" t="str">
        <v>～59</v>
      </c>
      <c r="AK386" s="8" t="str">
        <v>5～9</v>
      </c>
      <c r="AL386" s="8" t="str">
        <v>10～19</v>
      </c>
      <c r="AM386" s="8" t="str">
        <v>～99</v>
      </c>
      <c r="AN386" s="8" t="str">
        <v>12～14</v>
      </c>
      <c r="AO386" s="8" t="str">
        <f aca="false">IF(A386="","",IF(COUNTIFS(全馬データ!$A$2:$A$50000,A386,全馬データ!$B$2:$B$50000,B386,全馬データ!$C$2:$C$50000,C386,全馬データ!$D$2:$D$50000,E386,全馬データ!$K$2:$K$50000,"&lt;&gt;")=0,"",SUMIFS(全馬データ!$K$2:$K$50000,全馬データ!$A$2:$A$50000,A386,全馬データ!$B$2:$B$50000,B386,全馬データ!$C$2:$C$50000,C386,全馬データ!$D$2:$D$50000,E386)))</f>
        <v/>
      </c>
      <c r="AP386" s="8" t="str">
        <f aca="false">IF(A386="","",IF(AO386="","欠損",IF(AO386&lt;=1.1,"1.0～1.1",IF(AO386&lt;1.3,"1.2",IF(AO386&lt;1.5,"1.3～1.4",IF(AO386&lt;2,"1.5～1.9","2.0以上"))))))</f>
        <v>欠損</v>
      </c>
      <c r="AQ386" s="8" t="str">
        <f aca="false">IF(A386="","",IF(ISNUMBER(SEARCH("2歳",Z386)),"2歳戦",IF(ISNUMBER(SEARCH("3歳未勝利",Z386)),"3歳未勝利",IF(ISNUMBER(SEARCH("未勝利",Z386)),"その他未勝利",IF(ISNUMBER(SEARCH("G1",Z386)),"G1",IF(ISNUMBER(SEARCH("G2",Z386)),"G2",IF(ISNUMBER(SEARCH("G3",Z386)),"G3",IF(ISNUMBER(SEARCH("古馬条件",Z386)),"古馬条件戦",IF(ISNUMBER(SEARCH("重賞",Z386)),"重賞","分類不能")))))))))</f>
        <v>分類不能</v>
      </c>
      <c r="AR386" s="8"/>
      <c r="AS386" s="8" t="s">
        <v>7598</v>
      </c>
      <c r="AT386" s="8" t="s">
        <v>7599</v>
      </c>
      <c r="AU386" s="8" t="s">
        <v>7615</v>
      </c>
      <c r="AV386" s="4" t="s">
        <v>7616</v>
      </c>
      <c r="AW386" s="8"/>
      <c r="AX386" s="8"/>
      <c r="AY386" s="8" t="s">
        <v>7602</v>
      </c>
      <c r="AZ386" s="4" t="s">
        <v>7603</v>
      </c>
      <c r="BA386" s="8" t="n">
        <v>1800</v>
      </c>
      <c r="BB386" s="8" t="s">
        <v>7659</v>
      </c>
      <c r="BC386" s="4" t="s">
        <v>7619</v>
      </c>
      <c r="BD386" s="8" t="s">
        <v>7625</v>
      </c>
      <c r="BE386" s="4" t="s">
        <v>7606</v>
      </c>
      <c r="BF386" s="8" t="s">
        <v>7607</v>
      </c>
      <c r="BG386" s="8" t="s">
        <v>7608</v>
      </c>
      <c r="BH386" s="4" t="s">
        <v>7609</v>
      </c>
      <c r="BI386" s="8" t="n">
        <v>13</v>
      </c>
      <c r="BJ386" s="8" t="s">
        <v>7610</v>
      </c>
      <c r="BK386" s="4" t="s">
        <v>7611</v>
      </c>
      <c r="BL386" s="8" t="s">
        <v>7602</v>
      </c>
      <c r="BM386" s="4" t="s">
        <v>7620</v>
      </c>
      <c r="BN386" s="8" t="s">
        <v>7676</v>
      </c>
      <c r="BO386" s="8" t="s">
        <v>7778</v>
      </c>
      <c r="BP386" s="8" t="s">
        <v>7602</v>
      </c>
      <c r="BQ386" s="8" t="str">
        <f aca="false">IF(A386="","",AT386)</f>
        <v>2歳</v>
      </c>
      <c r="BR386" s="8" t="str">
        <f aca="false">IF(A386="","",IF(BA386&lt;=1200,"～1200",IF(BA386&lt;=1500,"1300～1500",IF(BA386=1600,"1600",IF(BA386&lt;=1800,"1700～1800",IF(BA386&lt;=2000,"1900～2000","2100以上"))))))</f>
        <v>1700～1800</v>
      </c>
      <c r="BS386" s="8" t="str">
        <f aca="false">IF(A386="","",IF(AX386="G1","G1",IF(AX386="G2","G2",IF(AX386="G3","G3",IF(AX386="L","L","その他")))))</f>
        <v>その他</v>
      </c>
      <c r="BT386" s="8" t="str">
        <f aca="false">IF(A386="","",IF(BI386="","未結合",IF(D386=BI386,"一致","不一致")))</f>
        <v>一致</v>
      </c>
      <c r="BU386" s="8" t="str">
        <f aca="false">IF(A386="","",IF(BE386="牝馬限定","牝馬限定","その他"))</f>
        <v>その他</v>
      </c>
    </row>
    <row r="387" customFormat="false" ht="15.75" hidden="false" customHeight="false" outlineLevel="0" collapsed="false">
      <c r="A387" s="6" t="n">
        <v>46194</v>
      </c>
      <c r="B387" s="4" t="s">
        <v>4473</v>
      </c>
      <c r="C387" s="8" t="n">
        <v>6</v>
      </c>
      <c r="D387" s="8" t="n">
        <v>16</v>
      </c>
      <c r="E387" s="8" t="n">
        <v>16</v>
      </c>
      <c r="F387" s="4" t="s">
        <v>1419</v>
      </c>
      <c r="G387" s="8" t="n">
        <v>66</v>
      </c>
      <c r="H387" s="8" t="n">
        <v>8</v>
      </c>
      <c r="I387" s="4" t="s">
        <v>5595</v>
      </c>
      <c r="J387" s="8" t="n">
        <v>60</v>
      </c>
      <c r="K387" s="8" t="n">
        <v>11</v>
      </c>
      <c r="L387" s="4" t="s">
        <v>7790</v>
      </c>
      <c r="M387" s="8" t="n">
        <v>41</v>
      </c>
      <c r="N387" s="8" t="n">
        <f aca="false">IF(A387="","",G387-J387)</f>
        <v>6</v>
      </c>
      <c r="O387" s="8" t="n">
        <f aca="false">IF(A387="","",J387-M387)</f>
        <v>19</v>
      </c>
      <c r="P387" s="8" t="n">
        <f aca="false">IF(A387="","",G387+J387)</f>
        <v>126</v>
      </c>
      <c r="Q387" s="8" t="str">
        <f aca="false">IF(A387="","",IF(AND(Y387&lt;&gt;"参考",G387&gt;=ルール設定!$B$2),"○",""))</f>
        <v/>
      </c>
      <c r="R387" s="8" t="str">
        <f aca="false">IF(A387="","",IF(AND(Y387&lt;&gt;"参考",G387&gt;=ルール設定!$B$3,N387&gt;=ルール設定!$B$4),"○",""))</f>
        <v/>
      </c>
      <c r="S387" s="8" t="str">
        <f aca="false">IF(A387="","",IF(AND(Y387&lt;&gt;"参考",G387&gt;=ルール設定!$B$5,J387&gt;=ルール設定!$B$6,O387&gt;=ルール設定!$B$7),"○",""))</f>
        <v/>
      </c>
      <c r="T387" s="8" t="n">
        <v>4</v>
      </c>
      <c r="U387" s="8" t="n">
        <v>1</v>
      </c>
      <c r="V387" s="8" t="str">
        <f aca="false">IF(A387="","",IF(AND(ISNUMBER(T387),ISNUMBER(U387)),IF(AND(T387&lt;=3,U387&lt;=3),"○","×"),""))</f>
        <v>×</v>
      </c>
      <c r="W387" s="8"/>
      <c r="X387" s="8"/>
      <c r="Y387" s="4" t="s">
        <v>7597</v>
      </c>
      <c r="Z387" s="4" t="s">
        <v>7777</v>
      </c>
      <c r="AA387" s="8" t="str">
        <v/>
      </c>
      <c r="AB387" s="8" t="str">
        <v/>
      </c>
      <c r="AC387" s="8" t="str">
        <v/>
      </c>
      <c r="AD387" s="8" t="str">
        <v/>
      </c>
      <c r="AE387" s="8" t="str">
        <v/>
      </c>
      <c r="AF387" s="8" t="str">
        <v/>
      </c>
      <c r="AG387" s="8" t="str">
        <v/>
      </c>
      <c r="AH387" s="8" t="str">
        <v/>
      </c>
      <c r="AI387" s="8" t="n">
        <v>25</v>
      </c>
      <c r="AJ387" s="8" t="str">
        <v>60～69</v>
      </c>
      <c r="AK387" s="8" t="str">
        <v>5～9</v>
      </c>
      <c r="AL387" s="8" t="str">
        <v>20～29</v>
      </c>
      <c r="AM387" s="8" t="str">
        <v>120～139</v>
      </c>
      <c r="AN387" s="8" t="str">
        <v>15以上</v>
      </c>
      <c r="AO387" s="8" t="str">
        <f aca="false">IF(A387="","",IF(COUNTIFS(全馬データ!$A$2:$A$50000,A387,全馬データ!$B$2:$B$50000,B387,全馬データ!$C$2:$C$50000,C387,全馬データ!$D$2:$D$50000,E387,全馬データ!$K$2:$K$50000,"&lt;&gt;")=0,"",SUMIFS(全馬データ!$K$2:$K$50000,全馬データ!$A$2:$A$50000,A387,全馬データ!$B$2:$B$50000,B387,全馬データ!$C$2:$C$50000,C387,全馬データ!$D$2:$D$50000,E387)))</f>
        <v/>
      </c>
      <c r="AP387" s="8" t="str">
        <f aca="false">IF(A387="","",IF(AO387="","欠損",IF(AO387&lt;=1.1,"1.0～1.1",IF(AO387&lt;1.3,"1.2",IF(AO387&lt;1.5,"1.3～1.4",IF(AO387&lt;2,"1.5～1.9","2.0以上"))))))</f>
        <v>欠損</v>
      </c>
      <c r="AQ387" s="8" t="str">
        <f aca="false">IF(A387="","",IF(ISNUMBER(SEARCH("2歳",Z387)),"2歳戦",IF(ISNUMBER(SEARCH("3歳未勝利",Z387)),"3歳未勝利",IF(ISNUMBER(SEARCH("未勝利",Z387)),"その他未勝利",IF(ISNUMBER(SEARCH("G1",Z387)),"G1",IF(ISNUMBER(SEARCH("G2",Z387)),"G2",IF(ISNUMBER(SEARCH("G3",Z387)),"G3",IF(ISNUMBER(SEARCH("古馬条件",Z387)),"古馬条件戦",IF(ISNUMBER(SEARCH("重賞",Z387)),"重賞","分類不能")))))))))</f>
        <v>分類不能</v>
      </c>
      <c r="AR387" s="8"/>
      <c r="AS387" s="8" t="s">
        <v>7623</v>
      </c>
      <c r="AT387" s="8" t="s">
        <v>7624</v>
      </c>
      <c r="AU387" s="8" t="s">
        <v>7600</v>
      </c>
      <c r="AV387" s="4" t="s">
        <v>7601</v>
      </c>
      <c r="AW387" s="8"/>
      <c r="AX387" s="8"/>
      <c r="AY387" s="8" t="s">
        <v>7602</v>
      </c>
      <c r="AZ387" s="4" t="s">
        <v>7603</v>
      </c>
      <c r="BA387" s="8" t="n">
        <v>1600</v>
      </c>
      <c r="BB387" s="8" t="s">
        <v>7659</v>
      </c>
      <c r="BC387" s="4" t="s">
        <v>7619</v>
      </c>
      <c r="BD387" s="8" t="s">
        <v>7605</v>
      </c>
      <c r="BE387" s="4" t="s">
        <v>7606</v>
      </c>
      <c r="BF387" s="8" t="s">
        <v>7607</v>
      </c>
      <c r="BG387" s="8" t="s">
        <v>7608</v>
      </c>
      <c r="BH387" s="4" t="s">
        <v>7609</v>
      </c>
      <c r="BI387" s="8" t="n">
        <v>16</v>
      </c>
      <c r="BJ387" s="8" t="s">
        <v>7610</v>
      </c>
      <c r="BK387" s="4" t="s">
        <v>7611</v>
      </c>
      <c r="BL387" s="8" t="s">
        <v>7602</v>
      </c>
      <c r="BM387" s="4" t="s">
        <v>7620</v>
      </c>
      <c r="BN387" s="8" t="s">
        <v>7676</v>
      </c>
      <c r="BO387" s="8" t="s">
        <v>7778</v>
      </c>
      <c r="BP387" s="8" t="s">
        <v>7602</v>
      </c>
      <c r="BQ387" s="8" t="str">
        <f aca="false">IF(A387="","",AT387)</f>
        <v>3歳</v>
      </c>
      <c r="BR387" s="8" t="str">
        <f aca="false">IF(A387="","",IF(BA387&lt;=1200,"～1200",IF(BA387&lt;=1500,"1300～1500",IF(BA387=1600,"1600",IF(BA387&lt;=1800,"1700～1800",IF(BA387&lt;=2000,"1900～2000","2100以上"))))))</f>
        <v>1600</v>
      </c>
      <c r="BS387" s="8" t="str">
        <f aca="false">IF(A387="","",IF(AX387="G1","G1",IF(AX387="G2","G2",IF(AX387="G3","G3",IF(AX387="L","L","その他")))))</f>
        <v>その他</v>
      </c>
      <c r="BT387" s="8" t="str">
        <f aca="false">IF(A387="","",IF(BI387="","未結合",IF(D387=BI387,"一致","不一致")))</f>
        <v>一致</v>
      </c>
      <c r="BU387" s="8" t="str">
        <f aca="false">IF(A387="","",IF(BE387="牝馬限定","牝馬限定","その他"))</f>
        <v>その他</v>
      </c>
    </row>
    <row r="388" customFormat="false" ht="15.75" hidden="false" customHeight="false" outlineLevel="0" collapsed="false">
      <c r="A388" s="6" t="n">
        <v>46194</v>
      </c>
      <c r="B388" s="4" t="s">
        <v>4473</v>
      </c>
      <c r="C388" s="8" t="n">
        <v>9</v>
      </c>
      <c r="D388" s="8" t="n">
        <v>16</v>
      </c>
      <c r="E388" s="8" t="n">
        <v>8</v>
      </c>
      <c r="F388" s="4" t="s">
        <v>7791</v>
      </c>
      <c r="G388" s="8" t="n">
        <v>60</v>
      </c>
      <c r="H388" s="8" t="n">
        <v>9</v>
      </c>
      <c r="I388" s="4" t="s">
        <v>4752</v>
      </c>
      <c r="J388" s="8" t="n">
        <v>44</v>
      </c>
      <c r="K388" s="8" t="n">
        <v>11</v>
      </c>
      <c r="L388" s="4" t="s">
        <v>3210</v>
      </c>
      <c r="M388" s="8" t="n">
        <v>41</v>
      </c>
      <c r="N388" s="8" t="n">
        <f aca="false">IF(A388="","",G388-J388)</f>
        <v>16</v>
      </c>
      <c r="O388" s="8" t="n">
        <f aca="false">IF(A388="","",J388-M388)</f>
        <v>3</v>
      </c>
      <c r="P388" s="8" t="n">
        <f aca="false">IF(A388="","",G388+J388)</f>
        <v>104</v>
      </c>
      <c r="Q388" s="8" t="str">
        <f aca="false">IF(A388="","",IF(AND(Y388&lt;&gt;"参考",G388&gt;=ルール設定!$B$2),"○",""))</f>
        <v/>
      </c>
      <c r="R388" s="8" t="str">
        <f aca="false">IF(A388="","",IF(AND(Y388&lt;&gt;"参考",G388&gt;=ルール設定!$B$3,N388&gt;=ルール設定!$B$4),"○",""))</f>
        <v/>
      </c>
      <c r="S388" s="8" t="str">
        <f aca="false">IF(A388="","",IF(AND(Y388&lt;&gt;"参考",G388&gt;=ルール設定!$B$5,J388&gt;=ルール設定!$B$6,O388&gt;=ルール設定!$B$7),"○",""))</f>
        <v/>
      </c>
      <c r="T388" s="8" t="n">
        <v>4</v>
      </c>
      <c r="U388" s="8" t="n">
        <v>2</v>
      </c>
      <c r="V388" s="8" t="str">
        <f aca="false">IF(A388="","",IF(AND(ISNUMBER(T388),ISNUMBER(U388)),IF(AND(T388&lt;=3,U388&lt;=3),"○","×"),""))</f>
        <v>×</v>
      </c>
      <c r="W388" s="8"/>
      <c r="X388" s="8"/>
      <c r="Y388" s="4" t="s">
        <v>7597</v>
      </c>
      <c r="Z388" s="4" t="s">
        <v>7777</v>
      </c>
      <c r="AA388" s="8" t="str">
        <v/>
      </c>
      <c r="AB388" s="8" t="str">
        <v/>
      </c>
      <c r="AC388" s="8" t="str">
        <v/>
      </c>
      <c r="AD388" s="8" t="str">
        <v/>
      </c>
      <c r="AE388" s="8" t="str">
        <v/>
      </c>
      <c r="AF388" s="8" t="str">
        <v/>
      </c>
      <c r="AG388" s="8" t="str">
        <v/>
      </c>
      <c r="AH388" s="8" t="str">
        <v/>
      </c>
      <c r="AI388" s="8" t="n">
        <v>19</v>
      </c>
      <c r="AJ388" s="8" t="str">
        <v>60～69</v>
      </c>
      <c r="AK388" s="8" t="str">
        <v>10～19</v>
      </c>
      <c r="AL388" s="8" t="str">
        <v>10～19</v>
      </c>
      <c r="AM388" s="8" t="str">
        <v>100～119</v>
      </c>
      <c r="AN388" s="8" t="str">
        <v>15以上</v>
      </c>
      <c r="AO388" s="8" t="str">
        <f aca="false">IF(A388="","",IF(COUNTIFS(全馬データ!$A$2:$A$50000,A388,全馬データ!$B$2:$B$50000,B388,全馬データ!$C$2:$C$50000,C388,全馬データ!$D$2:$D$50000,E388,全馬データ!$K$2:$K$50000,"&lt;&gt;")=0,"",SUMIFS(全馬データ!$K$2:$K$50000,全馬データ!$A$2:$A$50000,A388,全馬データ!$B$2:$B$50000,B388,全馬データ!$C$2:$C$50000,C388,全馬データ!$D$2:$D$50000,E388)))</f>
        <v/>
      </c>
      <c r="AP388" s="8" t="str">
        <f aca="false">IF(A388="","",IF(AO388="","欠損",IF(AO388&lt;=1.1,"1.0～1.1",IF(AO388&lt;1.3,"1.2",IF(AO388&lt;1.5,"1.3～1.4",IF(AO388&lt;2,"1.5～1.9","2.0以上"))))))</f>
        <v>欠損</v>
      </c>
      <c r="AQ388" s="8" t="str">
        <f aca="false">IF(A388="","",IF(ISNUMBER(SEARCH("2歳",Z388)),"2歳戦",IF(ISNUMBER(SEARCH("3歳未勝利",Z388)),"3歳未勝利",IF(ISNUMBER(SEARCH("未勝利",Z388)),"その他未勝利",IF(ISNUMBER(SEARCH("G1",Z388)),"G1",IF(ISNUMBER(SEARCH("G2",Z388)),"G2",IF(ISNUMBER(SEARCH("G3",Z388)),"G3",IF(ISNUMBER(SEARCH("古馬条件",Z388)),"古馬条件戦",IF(ISNUMBER(SEARCH("重賞",Z388)),"重賞","分類不能")))))))))</f>
        <v>分類不能</v>
      </c>
      <c r="AR388" s="4" t="s">
        <v>7792</v>
      </c>
      <c r="AS388" s="8" t="s">
        <v>7626</v>
      </c>
      <c r="AT388" s="8" t="s">
        <v>7627</v>
      </c>
      <c r="AU388" s="8" t="s">
        <v>7634</v>
      </c>
      <c r="AV388" s="8" t="s">
        <v>7635</v>
      </c>
      <c r="AW388" s="8" t="s">
        <v>7636</v>
      </c>
      <c r="AX388" s="4" t="s">
        <v>7637</v>
      </c>
      <c r="AY388" s="8" t="s">
        <v>7610</v>
      </c>
      <c r="AZ388" s="4" t="s">
        <v>7617</v>
      </c>
      <c r="BA388" s="8" t="n">
        <v>1400</v>
      </c>
      <c r="BB388" s="8" t="s">
        <v>7701</v>
      </c>
      <c r="BC388" s="4" t="s">
        <v>7658</v>
      </c>
      <c r="BD388" s="8" t="s">
        <v>7605</v>
      </c>
      <c r="BE388" s="4" t="s">
        <v>7606</v>
      </c>
      <c r="BF388" s="8" t="s">
        <v>7607</v>
      </c>
      <c r="BG388" s="8" t="s">
        <v>7631</v>
      </c>
      <c r="BH388" s="4" t="s">
        <v>7632</v>
      </c>
      <c r="BI388" s="8" t="n">
        <v>16</v>
      </c>
      <c r="BJ388" s="8" t="s">
        <v>7610</v>
      </c>
      <c r="BK388" s="4" t="s">
        <v>7611</v>
      </c>
      <c r="BL388" s="8" t="s">
        <v>7602</v>
      </c>
      <c r="BM388" s="4" t="s">
        <v>7620</v>
      </c>
      <c r="BN388" s="8"/>
      <c r="BO388" s="8"/>
      <c r="BP388" s="8" t="s">
        <v>7602</v>
      </c>
      <c r="BQ388" s="8" t="str">
        <f aca="false">IF(A388="","",AT388)</f>
        <v>3歳以上</v>
      </c>
      <c r="BR388" s="8" t="str">
        <f aca="false">IF(A388="","",IF(BA388&lt;=1200,"～1200",IF(BA388&lt;=1500,"1300～1500",IF(BA388=1600,"1600",IF(BA388&lt;=1800,"1700～1800",IF(BA388&lt;=2000,"1900～2000","2100以上"))))))</f>
        <v>1300～1500</v>
      </c>
      <c r="BS388" s="8" t="str">
        <f aca="false">IF(A388="","",IF(AX388="G1","G1",IF(AX388="G2","G2",IF(AX388="G3","G3",IF(AX388="L","L","その他")))))</f>
        <v>その他</v>
      </c>
      <c r="BT388" s="8" t="str">
        <f aca="false">IF(A388="","",IF(BI388="","未結合",IF(D388=BI388,"一致","不一致")))</f>
        <v>一致</v>
      </c>
      <c r="BU388" s="8" t="str">
        <f aca="false">IF(A388="","",IF(BE388="牝馬限定","牝馬限定","その他"))</f>
        <v>その他</v>
      </c>
    </row>
    <row r="389" customFormat="false" ht="15.75" hidden="false" customHeight="false" outlineLevel="0" collapsed="false">
      <c r="A389" s="6" t="n">
        <v>46194</v>
      </c>
      <c r="B389" s="4" t="s">
        <v>4473</v>
      </c>
      <c r="C389" s="8" t="n">
        <v>10</v>
      </c>
      <c r="D389" s="8" t="n">
        <v>16</v>
      </c>
      <c r="E389" s="8" t="n">
        <v>2</v>
      </c>
      <c r="F389" s="4" t="s">
        <v>7793</v>
      </c>
      <c r="G389" s="8" t="n">
        <v>52</v>
      </c>
      <c r="H389" s="8" t="n">
        <v>9</v>
      </c>
      <c r="I389" s="4" t="s">
        <v>7216</v>
      </c>
      <c r="J389" s="8" t="n">
        <v>50</v>
      </c>
      <c r="K389" s="8" t="n">
        <v>10</v>
      </c>
      <c r="L389" s="4" t="s">
        <v>7794</v>
      </c>
      <c r="M389" s="8" t="n">
        <v>50</v>
      </c>
      <c r="N389" s="8" t="n">
        <f aca="false">IF(A389="","",G389-J389)</f>
        <v>2</v>
      </c>
      <c r="O389" s="8" t="n">
        <f aca="false">IF(A389="","",J389-M389)</f>
        <v>0</v>
      </c>
      <c r="P389" s="8" t="n">
        <f aca="false">IF(A389="","",G389+J389)</f>
        <v>102</v>
      </c>
      <c r="Q389" s="8" t="str">
        <f aca="false">IF(A389="","",IF(AND(Y389&lt;&gt;"参考",G389&gt;=ルール設定!$B$2),"○",""))</f>
        <v/>
      </c>
      <c r="R389" s="8" t="str">
        <f aca="false">IF(A389="","",IF(AND(Y389&lt;&gt;"参考",G389&gt;=ルール設定!$B$3,N389&gt;=ルール設定!$B$4),"○",""))</f>
        <v/>
      </c>
      <c r="S389" s="8" t="str">
        <f aca="false">IF(A389="","",IF(AND(Y389&lt;&gt;"参考",G389&gt;=ルール設定!$B$5,J389&gt;=ルール設定!$B$6,O389&gt;=ルール設定!$B$7),"○",""))</f>
        <v/>
      </c>
      <c r="T389" s="8" t="n">
        <v>4</v>
      </c>
      <c r="U389" s="8" t="n">
        <v>2</v>
      </c>
      <c r="V389" s="8" t="str">
        <f aca="false">IF(A389="","",IF(AND(ISNUMBER(T389),ISNUMBER(U389)),IF(AND(T389&lt;=3,U389&lt;=3),"○","×"),""))</f>
        <v>×</v>
      </c>
      <c r="W389" s="8"/>
      <c r="X389" s="8"/>
      <c r="Y389" s="4" t="s">
        <v>7597</v>
      </c>
      <c r="Z389" s="4" t="s">
        <v>7777</v>
      </c>
      <c r="AA389" s="8" t="str">
        <v/>
      </c>
      <c r="AB389" s="8" t="str">
        <v/>
      </c>
      <c r="AC389" s="8" t="str">
        <v/>
      </c>
      <c r="AD389" s="8" t="str">
        <v/>
      </c>
      <c r="AE389" s="8" t="str">
        <v/>
      </c>
      <c r="AF389" s="8" t="str">
        <v/>
      </c>
      <c r="AG389" s="8" t="str">
        <v/>
      </c>
      <c r="AH389" s="8" t="str">
        <v/>
      </c>
      <c r="AI389" s="8" t="n">
        <v>2</v>
      </c>
      <c r="AJ389" s="8" t="str">
        <v>～59</v>
      </c>
      <c r="AK389" s="8" t="str">
        <v>0～4</v>
      </c>
      <c r="AL389" s="8" t="str">
        <v>0～9</v>
      </c>
      <c r="AM389" s="8" t="str">
        <v>100～119</v>
      </c>
      <c r="AN389" s="8" t="str">
        <v>15以上</v>
      </c>
      <c r="AO389" s="8" t="str">
        <f aca="false">IF(A389="","",IF(COUNTIFS(全馬データ!$A$2:$A$50000,A389,全馬データ!$B$2:$B$50000,B389,全馬データ!$C$2:$C$50000,C389,全馬データ!$D$2:$D$50000,E389,全馬データ!$K$2:$K$50000,"&lt;&gt;")=0,"",SUMIFS(全馬データ!$K$2:$K$50000,全馬データ!$A$2:$A$50000,A389,全馬データ!$B$2:$B$50000,B389,全馬データ!$C$2:$C$50000,C389,全馬データ!$D$2:$D$50000,E389)))</f>
        <v/>
      </c>
      <c r="AP389" s="8" t="str">
        <f aca="false">IF(A389="","",IF(AO389="","欠損",IF(AO389&lt;=1.1,"1.0～1.1",IF(AO389&lt;1.3,"1.2",IF(AO389&lt;1.5,"1.3～1.4",IF(AO389&lt;2,"1.5～1.9","2.0以上"))))))</f>
        <v>欠損</v>
      </c>
      <c r="AQ389" s="8" t="str">
        <f aca="false">IF(A389="","",IF(ISNUMBER(SEARCH("2歳",Z389)),"2歳戦",IF(ISNUMBER(SEARCH("3歳未勝利",Z389)),"3歳未勝利",IF(ISNUMBER(SEARCH("未勝利",Z389)),"その他未勝利",IF(ISNUMBER(SEARCH("G1",Z389)),"G1",IF(ISNUMBER(SEARCH("G2",Z389)),"G2",IF(ISNUMBER(SEARCH("G3",Z389)),"G3",IF(ISNUMBER(SEARCH("古馬条件",Z389)),"古馬条件戦",IF(ISNUMBER(SEARCH("重賞",Z389)),"重賞","分類不能")))))))))</f>
        <v>分類不能</v>
      </c>
      <c r="AR389" s="4" t="s">
        <v>7795</v>
      </c>
      <c r="AS389" s="8" t="s">
        <v>7626</v>
      </c>
      <c r="AT389" s="8" t="s">
        <v>7627</v>
      </c>
      <c r="AU389" s="8" t="s">
        <v>7639</v>
      </c>
      <c r="AV389" s="8" t="s">
        <v>7640</v>
      </c>
      <c r="AW389" s="8" t="s">
        <v>7636</v>
      </c>
      <c r="AX389" s="4" t="s">
        <v>7637</v>
      </c>
      <c r="AY389" s="8" t="s">
        <v>7602</v>
      </c>
      <c r="AZ389" s="4" t="s">
        <v>7603</v>
      </c>
      <c r="BA389" s="8" t="n">
        <v>1400</v>
      </c>
      <c r="BB389" s="8" t="s">
        <v>7659</v>
      </c>
      <c r="BC389" s="4" t="s">
        <v>7619</v>
      </c>
      <c r="BD389" s="8" t="s">
        <v>7630</v>
      </c>
      <c r="BE389" s="4" t="s">
        <v>7606</v>
      </c>
      <c r="BF389" s="8" t="s">
        <v>7607</v>
      </c>
      <c r="BG389" s="8" t="s">
        <v>7631</v>
      </c>
      <c r="BH389" s="4" t="s">
        <v>7632</v>
      </c>
      <c r="BI389" s="8" t="n">
        <v>16</v>
      </c>
      <c r="BJ389" s="8" t="s">
        <v>7610</v>
      </c>
      <c r="BK389" s="4" t="s">
        <v>7611</v>
      </c>
      <c r="BL389" s="8" t="s">
        <v>7602</v>
      </c>
      <c r="BM389" s="4" t="s">
        <v>7620</v>
      </c>
      <c r="BN389" s="8" t="s">
        <v>7676</v>
      </c>
      <c r="BO389" s="8" t="s">
        <v>7778</v>
      </c>
      <c r="BP389" s="8" t="s">
        <v>7602</v>
      </c>
      <c r="BQ389" s="8" t="str">
        <f aca="false">IF(A389="","",AT389)</f>
        <v>3歳以上</v>
      </c>
      <c r="BR389" s="8" t="str">
        <f aca="false">IF(A389="","",IF(BA389&lt;=1200,"～1200",IF(BA389&lt;=1500,"1300～1500",IF(BA389=1600,"1600",IF(BA389&lt;=1800,"1700～1800",IF(BA389&lt;=2000,"1900～2000","2100以上"))))))</f>
        <v>1300～1500</v>
      </c>
      <c r="BS389" s="8" t="str">
        <f aca="false">IF(A389="","",IF(AX389="G1","G1",IF(AX389="G2","G2",IF(AX389="G3","G3",IF(AX389="L","L","その他")))))</f>
        <v>その他</v>
      </c>
      <c r="BT389" s="8" t="str">
        <f aca="false">IF(A389="","",IF(BI389="","未結合",IF(D389=BI389,"一致","不一致")))</f>
        <v>一致</v>
      </c>
      <c r="BU389" s="8" t="str">
        <f aca="false">IF(A389="","",IF(BE389="牝馬限定","牝馬限定","その他"))</f>
        <v>その他</v>
      </c>
    </row>
    <row r="390" customFormat="false" ht="15.75" hidden="false" customHeight="false" outlineLevel="0" collapsed="false">
      <c r="A390" s="6" t="n">
        <v>46194</v>
      </c>
      <c r="B390" s="4" t="s">
        <v>4473</v>
      </c>
      <c r="C390" s="8" t="n">
        <v>12</v>
      </c>
      <c r="D390" s="8" t="n">
        <v>16</v>
      </c>
      <c r="E390" s="8" t="n">
        <v>10</v>
      </c>
      <c r="F390" s="4" t="s">
        <v>4982</v>
      </c>
      <c r="G390" s="8" t="n">
        <v>62</v>
      </c>
      <c r="H390" s="8" t="n">
        <v>15</v>
      </c>
      <c r="I390" s="4" t="s">
        <v>4720</v>
      </c>
      <c r="J390" s="8" t="n">
        <v>44</v>
      </c>
      <c r="K390" s="8" t="n">
        <v>1</v>
      </c>
      <c r="L390" s="4" t="s">
        <v>2006</v>
      </c>
      <c r="M390" s="8" t="n">
        <v>37</v>
      </c>
      <c r="N390" s="8" t="n">
        <f aca="false">IF(A390="","",G390-J390)</f>
        <v>18</v>
      </c>
      <c r="O390" s="8" t="n">
        <f aca="false">IF(A390="","",J390-M390)</f>
        <v>7</v>
      </c>
      <c r="P390" s="8" t="n">
        <f aca="false">IF(A390="","",G390+J390)</f>
        <v>106</v>
      </c>
      <c r="Q390" s="8" t="str">
        <f aca="false">IF(A390="","",IF(AND(Y390&lt;&gt;"参考",G390&gt;=ルール設定!$B$2),"○",""))</f>
        <v/>
      </c>
      <c r="R390" s="8" t="str">
        <f aca="false">IF(A390="","",IF(AND(Y390&lt;&gt;"参考",G390&gt;=ルール設定!$B$3,N390&gt;=ルール設定!$B$4),"○",""))</f>
        <v/>
      </c>
      <c r="S390" s="8" t="str">
        <f aca="false">IF(A390="","",IF(AND(Y390&lt;&gt;"参考",G390&gt;=ルール設定!$B$5,J390&gt;=ルール設定!$B$6,O390&gt;=ルール設定!$B$7),"○",""))</f>
        <v/>
      </c>
      <c r="T390" s="8" t="n">
        <v>3</v>
      </c>
      <c r="U390" s="8" t="n">
        <v>1</v>
      </c>
      <c r="V390" s="8" t="str">
        <f aca="false">IF(A390="","",IF(AND(ISNUMBER(T390),ISNUMBER(U390)),IF(AND(T390&lt;=3,U390&lt;=3),"○","×"),""))</f>
        <v>○</v>
      </c>
      <c r="W390" s="8" t="n">
        <v>130</v>
      </c>
      <c r="X390" s="8" t="n">
        <v>290</v>
      </c>
      <c r="Y390" s="4" t="s">
        <v>7597</v>
      </c>
      <c r="Z390" s="4" t="s">
        <v>7777</v>
      </c>
      <c r="AA390" s="8" t="str">
        <v/>
      </c>
      <c r="AB390" s="8" t="str">
        <v/>
      </c>
      <c r="AC390" s="8" t="str">
        <v/>
      </c>
      <c r="AD390" s="8" t="str">
        <v/>
      </c>
      <c r="AE390" s="8" t="str">
        <v/>
      </c>
      <c r="AF390" s="8" t="str">
        <v/>
      </c>
      <c r="AG390" s="8" t="str">
        <v/>
      </c>
      <c r="AH390" s="8" t="str">
        <v/>
      </c>
      <c r="AI390" s="8" t="n">
        <v>25</v>
      </c>
      <c r="AJ390" s="8" t="str">
        <v>60～69</v>
      </c>
      <c r="AK390" s="8" t="str">
        <v>10～19</v>
      </c>
      <c r="AL390" s="8" t="str">
        <v>20～29</v>
      </c>
      <c r="AM390" s="8" t="str">
        <v>100～119</v>
      </c>
      <c r="AN390" s="8" t="str">
        <v>15以上</v>
      </c>
      <c r="AO390" s="8" t="str">
        <f aca="false">IF(A390="","",IF(COUNTIFS(全馬データ!$A$2:$A$50000,A390,全馬データ!$B$2:$B$50000,B390,全馬データ!$C$2:$C$50000,C390,全馬データ!$D$2:$D$50000,E390,全馬データ!$K$2:$K$50000,"&lt;&gt;")=0,"",SUMIFS(全馬データ!$K$2:$K$50000,全馬データ!$A$2:$A$50000,A390,全馬データ!$B$2:$B$50000,B390,全馬データ!$C$2:$C$50000,C390,全馬データ!$D$2:$D$50000,E390)))</f>
        <v/>
      </c>
      <c r="AP390" s="8" t="str">
        <f aca="false">IF(A390="","",IF(AO390="","欠損",IF(AO390&lt;=1.1,"1.0～1.1",IF(AO390&lt;1.3,"1.2",IF(AO390&lt;1.5,"1.3～1.4",IF(AO390&lt;2,"1.5～1.9","2.0以上"))))))</f>
        <v>欠損</v>
      </c>
      <c r="AQ390" s="8" t="str">
        <f aca="false">IF(A390="","",IF(ISNUMBER(SEARCH("2歳",Z390)),"2歳戦",IF(ISNUMBER(SEARCH("3歳未勝利",Z390)),"3歳未勝利",IF(ISNUMBER(SEARCH("未勝利",Z390)),"その他未勝利",IF(ISNUMBER(SEARCH("G1",Z390)),"G1",IF(ISNUMBER(SEARCH("G2",Z390)),"G2",IF(ISNUMBER(SEARCH("G3",Z390)),"G3",IF(ISNUMBER(SEARCH("古馬条件",Z390)),"古馬条件戦",IF(ISNUMBER(SEARCH("重賞",Z390)),"重賞","分類不能")))))))))</f>
        <v>分類不能</v>
      </c>
      <c r="AR390" s="8"/>
      <c r="AS390" s="8" t="s">
        <v>7626</v>
      </c>
      <c r="AT390" s="8" t="s">
        <v>7627</v>
      </c>
      <c r="AU390" s="8" t="s">
        <v>7628</v>
      </c>
      <c r="AV390" s="8" t="s">
        <v>7629</v>
      </c>
      <c r="AW390" s="8"/>
      <c r="AX390" s="8"/>
      <c r="AY390" s="8" t="s">
        <v>7610</v>
      </c>
      <c r="AZ390" s="4" t="s">
        <v>7617</v>
      </c>
      <c r="BA390" s="8" t="n">
        <v>1400</v>
      </c>
      <c r="BB390" s="8" t="s">
        <v>7701</v>
      </c>
      <c r="BC390" s="4" t="s">
        <v>7658</v>
      </c>
      <c r="BD390" s="8" t="s">
        <v>7605</v>
      </c>
      <c r="BE390" s="4" t="s">
        <v>7606</v>
      </c>
      <c r="BF390" s="8" t="s">
        <v>7607</v>
      </c>
      <c r="BG390" s="8" t="s">
        <v>7631</v>
      </c>
      <c r="BH390" s="4" t="s">
        <v>7632</v>
      </c>
      <c r="BI390" s="8" t="n">
        <v>16</v>
      </c>
      <c r="BJ390" s="8" t="s">
        <v>7610</v>
      </c>
      <c r="BK390" s="4" t="s">
        <v>7611</v>
      </c>
      <c r="BL390" s="8" t="s">
        <v>7602</v>
      </c>
      <c r="BM390" s="4" t="s">
        <v>7620</v>
      </c>
      <c r="BN390" s="8"/>
      <c r="BO390" s="8"/>
      <c r="BP390" s="8" t="s">
        <v>7602</v>
      </c>
      <c r="BQ390" s="8" t="str">
        <f aca="false">IF(A390="","",AT390)</f>
        <v>3歳以上</v>
      </c>
      <c r="BR390" s="8" t="str">
        <f aca="false">IF(A390="","",IF(BA390&lt;=1200,"～1200",IF(BA390&lt;=1500,"1300～1500",IF(BA390=1600,"1600",IF(BA390&lt;=1800,"1700～1800",IF(BA390&lt;=2000,"1900～2000","2100以上"))))))</f>
        <v>1300～1500</v>
      </c>
      <c r="BS390" s="8" t="str">
        <f aca="false">IF(A390="","",IF(AX390="G1","G1",IF(AX390="G2","G2",IF(AX390="G3","G3",IF(AX390="L","L","その他")))))</f>
        <v>その他</v>
      </c>
      <c r="BT390" s="8" t="str">
        <f aca="false">IF(A390="","",IF(BI390="","未結合",IF(D390=BI390,"一致","不一致")))</f>
        <v>一致</v>
      </c>
      <c r="BU390" s="8" t="str">
        <f aca="false">IF(A390="","",IF(BE390="牝馬限定","牝馬限定","その他"))</f>
        <v>その他</v>
      </c>
    </row>
    <row r="391" customFormat="false" ht="15.75" hidden="false" customHeight="false" outlineLevel="0" collapsed="false">
      <c r="A391" s="6" t="n">
        <v>46194</v>
      </c>
      <c r="B391" s="4" t="s">
        <v>4172</v>
      </c>
      <c r="C391" s="8" t="n">
        <v>2</v>
      </c>
      <c r="D391" s="8" t="n">
        <v>18</v>
      </c>
      <c r="E391" s="8" t="n">
        <v>5</v>
      </c>
      <c r="F391" s="4" t="s">
        <v>4793</v>
      </c>
      <c r="G391" s="8" t="n">
        <v>58</v>
      </c>
      <c r="H391" s="8" t="n">
        <v>7</v>
      </c>
      <c r="I391" s="4" t="s">
        <v>2435</v>
      </c>
      <c r="J391" s="8" t="n">
        <v>39</v>
      </c>
      <c r="K391" s="8" t="n">
        <v>12</v>
      </c>
      <c r="L391" s="4" t="s">
        <v>382</v>
      </c>
      <c r="M391" s="8" t="n">
        <v>39</v>
      </c>
      <c r="N391" s="8" t="n">
        <f aca="false">IF(A391="","",G391-J391)</f>
        <v>19</v>
      </c>
      <c r="O391" s="8" t="n">
        <f aca="false">IF(A391="","",J391-M391)</f>
        <v>0</v>
      </c>
      <c r="P391" s="8" t="n">
        <f aca="false">IF(A391="","",G391+J391)</f>
        <v>97</v>
      </c>
      <c r="Q391" s="8" t="str">
        <f aca="false">IF(A391="","",IF(AND(Y391&lt;&gt;"参考",G391&gt;=ルール設定!$B$2),"○",""))</f>
        <v/>
      </c>
      <c r="R391" s="8" t="str">
        <f aca="false">IF(A391="","",IF(AND(Y391&lt;&gt;"参考",G391&gt;=ルール設定!$B$3,N391&gt;=ルール設定!$B$4),"○",""))</f>
        <v/>
      </c>
      <c r="S391" s="8" t="str">
        <f aca="false">IF(A391="","",IF(AND(Y391&lt;&gt;"参考",G391&gt;=ルール設定!$B$5,J391&gt;=ルール設定!$B$6,O391&gt;=ルール設定!$B$7),"○",""))</f>
        <v/>
      </c>
      <c r="T391" s="8" t="n">
        <v>4</v>
      </c>
      <c r="U391" s="8" t="n">
        <v>4</v>
      </c>
      <c r="V391" s="8" t="str">
        <f aca="false">IF(A391="","",IF(AND(ISNUMBER(T391),ISNUMBER(U391)),IF(AND(T391&lt;=3,U391&lt;=3),"○","×"),""))</f>
        <v>×</v>
      </c>
      <c r="W391" s="8"/>
      <c r="X391" s="8"/>
      <c r="Y391" s="4" t="s">
        <v>7597</v>
      </c>
      <c r="Z391" s="4" t="s">
        <v>7777</v>
      </c>
      <c r="AA391" s="8" t="str">
        <v/>
      </c>
      <c r="AB391" s="8" t="str">
        <v/>
      </c>
      <c r="AC391" s="8" t="str">
        <v/>
      </c>
      <c r="AD391" s="8" t="str">
        <v/>
      </c>
      <c r="AE391" s="8" t="str">
        <v/>
      </c>
      <c r="AF391" s="8" t="str">
        <v/>
      </c>
      <c r="AG391" s="8" t="str">
        <v/>
      </c>
      <c r="AH391" s="8" t="str">
        <v/>
      </c>
      <c r="AI391" s="8" t="n">
        <v>19</v>
      </c>
      <c r="AJ391" s="8" t="str">
        <v>～59</v>
      </c>
      <c r="AK391" s="8" t="str">
        <v>10～19</v>
      </c>
      <c r="AL391" s="8" t="str">
        <v>10～19</v>
      </c>
      <c r="AM391" s="8" t="str">
        <v>～99</v>
      </c>
      <c r="AN391" s="8" t="str">
        <v>15以上</v>
      </c>
      <c r="AO391" s="8" t="str">
        <f aca="false">IF(A391="","",IF(COUNTIFS(全馬データ!$A$2:$A$50000,A391,全馬データ!$B$2:$B$50000,B391,全馬データ!$C$2:$C$50000,C391,全馬データ!$D$2:$D$50000,E391,全馬データ!$K$2:$K$50000,"&lt;&gt;")=0,"",SUMIFS(全馬データ!$K$2:$K$50000,全馬データ!$A$2:$A$50000,A391,全馬データ!$B$2:$B$50000,B391,全馬データ!$C$2:$C$50000,C391,全馬データ!$D$2:$D$50000,E391)))</f>
        <v/>
      </c>
      <c r="AP391" s="8" t="str">
        <f aca="false">IF(A391="","",IF(AO391="","欠損",IF(AO391&lt;=1.1,"1.0～1.1",IF(AO391&lt;1.3,"1.2",IF(AO391&lt;1.5,"1.3～1.4",IF(AO391&lt;2,"1.5～1.9","2.0以上"))))))</f>
        <v>欠損</v>
      </c>
      <c r="AQ391" s="8" t="str">
        <f aca="false">IF(A391="","",IF(ISNUMBER(SEARCH("2歳",Z391)),"2歳戦",IF(ISNUMBER(SEARCH("3歳未勝利",Z391)),"3歳未勝利",IF(ISNUMBER(SEARCH("未勝利",Z391)),"その他未勝利",IF(ISNUMBER(SEARCH("G1",Z391)),"G1",IF(ISNUMBER(SEARCH("G2",Z391)),"G2",IF(ISNUMBER(SEARCH("G3",Z391)),"G3",IF(ISNUMBER(SEARCH("古馬条件",Z391)),"古馬条件戦",IF(ISNUMBER(SEARCH("重賞",Z391)),"重賞","分類不能")))))))))</f>
        <v>分類不能</v>
      </c>
      <c r="AR391" s="8"/>
      <c r="AS391" s="8" t="s">
        <v>7623</v>
      </c>
      <c r="AT391" s="8" t="s">
        <v>7624</v>
      </c>
      <c r="AU391" s="8" t="s">
        <v>7600</v>
      </c>
      <c r="AV391" s="4" t="s">
        <v>7601</v>
      </c>
      <c r="AW391" s="8"/>
      <c r="AX391" s="8"/>
      <c r="AY391" s="8" t="s">
        <v>7602</v>
      </c>
      <c r="AZ391" s="4" t="s">
        <v>7603</v>
      </c>
      <c r="BA391" s="8" t="n">
        <v>1600</v>
      </c>
      <c r="BB391" s="8" t="s">
        <v>7659</v>
      </c>
      <c r="BC391" s="4" t="s">
        <v>7619</v>
      </c>
      <c r="BD391" s="8" t="s">
        <v>7621</v>
      </c>
      <c r="BE391" s="4" t="s">
        <v>7622</v>
      </c>
      <c r="BF391" s="8" t="s">
        <v>7602</v>
      </c>
      <c r="BG391" s="8" t="s">
        <v>7608</v>
      </c>
      <c r="BH391" s="4" t="s">
        <v>7609</v>
      </c>
      <c r="BI391" s="8" t="n">
        <v>18</v>
      </c>
      <c r="BJ391" s="8" t="s">
        <v>7602</v>
      </c>
      <c r="BK391" s="4" t="s">
        <v>7653</v>
      </c>
      <c r="BL391" s="8" t="s">
        <v>7610</v>
      </c>
      <c r="BM391" s="4" t="s">
        <v>7612</v>
      </c>
      <c r="BN391" s="8" t="s">
        <v>7631</v>
      </c>
      <c r="BO391" s="8" t="s">
        <v>7680</v>
      </c>
      <c r="BP391" s="8" t="s">
        <v>7610</v>
      </c>
      <c r="BQ391" s="8" t="str">
        <f aca="false">IF(A391="","",AT391)</f>
        <v>3歳</v>
      </c>
      <c r="BR391" s="8" t="str">
        <f aca="false">IF(A391="","",IF(BA391&lt;=1200,"～1200",IF(BA391&lt;=1500,"1300～1500",IF(BA391=1600,"1600",IF(BA391&lt;=1800,"1700～1800",IF(BA391&lt;=2000,"1900～2000","2100以上"))))))</f>
        <v>1600</v>
      </c>
      <c r="BS391" s="8" t="str">
        <f aca="false">IF(A391="","",IF(AX391="G1","G1",IF(AX391="G2","G2",IF(AX391="G3","G3",IF(AX391="L","L","その他")))))</f>
        <v>その他</v>
      </c>
      <c r="BT391" s="8" t="str">
        <f aca="false">IF(A391="","",IF(BI391="","未結合",IF(D391=BI391,"一致","不一致")))</f>
        <v>一致</v>
      </c>
      <c r="BU391" s="8" t="str">
        <f aca="false">IF(A391="","",IF(BE391="牝馬限定","牝馬限定","その他"))</f>
        <v>牝馬限定</v>
      </c>
    </row>
    <row r="392" customFormat="false" ht="15.75" hidden="false" customHeight="false" outlineLevel="0" collapsed="false">
      <c r="A392" s="6" t="n">
        <v>46194</v>
      </c>
      <c r="B392" s="4" t="s">
        <v>4172</v>
      </c>
      <c r="C392" s="8" t="n">
        <v>3</v>
      </c>
      <c r="D392" s="8" t="n">
        <v>16</v>
      </c>
      <c r="E392" s="8" t="n">
        <v>11</v>
      </c>
      <c r="F392" s="4" t="s">
        <v>1629</v>
      </c>
      <c r="G392" s="8" t="n">
        <v>71</v>
      </c>
      <c r="H392" s="8" t="n">
        <v>5</v>
      </c>
      <c r="I392" s="4" t="s">
        <v>4997</v>
      </c>
      <c r="J392" s="8" t="n">
        <v>58</v>
      </c>
      <c r="K392" s="8" t="n">
        <v>13</v>
      </c>
      <c r="L392" s="4" t="s">
        <v>623</v>
      </c>
      <c r="M392" s="8" t="n">
        <v>39</v>
      </c>
      <c r="N392" s="8" t="n">
        <f aca="false">IF(A392="","",G392-J392)</f>
        <v>13</v>
      </c>
      <c r="O392" s="8" t="n">
        <f aca="false">IF(A392="","",J392-M392)</f>
        <v>19</v>
      </c>
      <c r="P392" s="8" t="n">
        <f aca="false">IF(A392="","",G392+J392)</f>
        <v>129</v>
      </c>
      <c r="Q392" s="8" t="str">
        <f aca="false">IF(A392="","",IF(AND(Y392&lt;&gt;"参考",G392&gt;=ルール設定!$B$2),"○",""))</f>
        <v/>
      </c>
      <c r="R392" s="8" t="str">
        <f aca="false">IF(A392="","",IF(AND(Y392&lt;&gt;"参考",G392&gt;=ルール設定!$B$3,N392&gt;=ルール設定!$B$4),"○",""))</f>
        <v/>
      </c>
      <c r="S392" s="8" t="str">
        <f aca="false">IF(A392="","",IF(AND(Y392&lt;&gt;"参考",G392&gt;=ルール設定!$B$5,J392&gt;=ルール設定!$B$6,O392&gt;=ルール設定!$B$7),"○",""))</f>
        <v/>
      </c>
      <c r="T392" s="8" t="n">
        <v>3</v>
      </c>
      <c r="U392" s="8" t="n">
        <v>4</v>
      </c>
      <c r="V392" s="8" t="str">
        <f aca="false">IF(A392="","",IF(AND(ISNUMBER(T392),ISNUMBER(U392)),IF(AND(T392&lt;=3,U392&lt;=3),"○","×"),""))</f>
        <v>×</v>
      </c>
      <c r="W392" s="8" t="n">
        <v>140</v>
      </c>
      <c r="X392" s="8"/>
      <c r="Y392" s="4" t="s">
        <v>7597</v>
      </c>
      <c r="Z392" s="4" t="s">
        <v>7777</v>
      </c>
      <c r="AA392" s="8" t="str">
        <v/>
      </c>
      <c r="AB392" s="8" t="str">
        <v/>
      </c>
      <c r="AC392" s="8" t="str">
        <v/>
      </c>
      <c r="AD392" s="8" t="str">
        <v/>
      </c>
      <c r="AE392" s="8" t="str">
        <v/>
      </c>
      <c r="AF392" s="8" t="str">
        <v/>
      </c>
      <c r="AG392" s="8" t="str">
        <v/>
      </c>
      <c r="AH392" s="8" t="str">
        <v/>
      </c>
      <c r="AI392" s="8" t="n">
        <v>32</v>
      </c>
      <c r="AJ392" s="8" t="str">
        <v>70～74</v>
      </c>
      <c r="AK392" s="8" t="str">
        <v>10～19</v>
      </c>
      <c r="AL392" s="8" t="str">
        <v>30～39</v>
      </c>
      <c r="AM392" s="8" t="str">
        <v>120～139</v>
      </c>
      <c r="AN392" s="8" t="str">
        <v>15以上</v>
      </c>
      <c r="AO392" s="8" t="str">
        <f aca="false">IF(A392="","",IF(COUNTIFS(全馬データ!$A$2:$A$50000,A392,全馬データ!$B$2:$B$50000,B392,全馬データ!$C$2:$C$50000,C392,全馬データ!$D$2:$D$50000,E392,全馬データ!$K$2:$K$50000,"&lt;&gt;")=0,"",SUMIFS(全馬データ!$K$2:$K$50000,全馬データ!$A$2:$A$50000,A392,全馬データ!$B$2:$B$50000,B392,全馬データ!$C$2:$C$50000,C392,全馬データ!$D$2:$D$50000,E392)))</f>
        <v/>
      </c>
      <c r="AP392" s="8" t="str">
        <f aca="false">IF(A392="","",IF(AO392="","欠損",IF(AO392&lt;=1.1,"1.0～1.1",IF(AO392&lt;1.3,"1.2",IF(AO392&lt;1.5,"1.3～1.4",IF(AO392&lt;2,"1.5～1.9","2.0以上"))))))</f>
        <v>欠損</v>
      </c>
      <c r="AQ392" s="8" t="str">
        <f aca="false">IF(A392="","",IF(ISNUMBER(SEARCH("2歳",Z392)),"2歳戦",IF(ISNUMBER(SEARCH("3歳未勝利",Z392)),"3歳未勝利",IF(ISNUMBER(SEARCH("未勝利",Z392)),"その他未勝利",IF(ISNUMBER(SEARCH("G1",Z392)),"G1",IF(ISNUMBER(SEARCH("G2",Z392)),"G2",IF(ISNUMBER(SEARCH("G3",Z392)),"G3",IF(ISNUMBER(SEARCH("古馬条件",Z392)),"古馬条件戦",IF(ISNUMBER(SEARCH("重賞",Z392)),"重賞","分類不能")))))))))</f>
        <v>分類不能</v>
      </c>
      <c r="AR392" s="8"/>
      <c r="AS392" s="8" t="s">
        <v>7623</v>
      </c>
      <c r="AT392" s="8" t="s">
        <v>7624</v>
      </c>
      <c r="AU392" s="8" t="s">
        <v>7600</v>
      </c>
      <c r="AV392" s="4" t="s">
        <v>7601</v>
      </c>
      <c r="AW392" s="8"/>
      <c r="AX392" s="8"/>
      <c r="AY392" s="8" t="s">
        <v>7610</v>
      </c>
      <c r="AZ392" s="4" t="s">
        <v>7617</v>
      </c>
      <c r="BA392" s="8" t="n">
        <v>1800</v>
      </c>
      <c r="BB392" s="8" t="s">
        <v>7657</v>
      </c>
      <c r="BC392" s="4" t="s">
        <v>7658</v>
      </c>
      <c r="BD392" s="8" t="s">
        <v>7605</v>
      </c>
      <c r="BE392" s="4" t="s">
        <v>7606</v>
      </c>
      <c r="BF392" s="8" t="s">
        <v>7607</v>
      </c>
      <c r="BG392" s="8" t="s">
        <v>7608</v>
      </c>
      <c r="BH392" s="4" t="s">
        <v>7609</v>
      </c>
      <c r="BI392" s="8" t="n">
        <v>16</v>
      </c>
      <c r="BJ392" s="8" t="s">
        <v>7602</v>
      </c>
      <c r="BK392" s="4" t="s">
        <v>7653</v>
      </c>
      <c r="BL392" s="8" t="s">
        <v>7602</v>
      </c>
      <c r="BM392" s="4" t="s">
        <v>7620</v>
      </c>
      <c r="BN392" s="8"/>
      <c r="BO392" s="8"/>
      <c r="BP392" s="8" t="s">
        <v>7610</v>
      </c>
      <c r="BQ392" s="8" t="str">
        <f aca="false">IF(A392="","",AT392)</f>
        <v>3歳</v>
      </c>
      <c r="BR392" s="8" t="str">
        <f aca="false">IF(A392="","",IF(BA392&lt;=1200,"～1200",IF(BA392&lt;=1500,"1300～1500",IF(BA392=1600,"1600",IF(BA392&lt;=1800,"1700～1800",IF(BA392&lt;=2000,"1900～2000","2100以上"))))))</f>
        <v>1700～1800</v>
      </c>
      <c r="BS392" s="8" t="str">
        <f aca="false">IF(A392="","",IF(AX392="G1","G1",IF(AX392="G2","G2",IF(AX392="G3","G3",IF(AX392="L","L","その他")))))</f>
        <v>その他</v>
      </c>
      <c r="BT392" s="8" t="str">
        <f aca="false">IF(A392="","",IF(BI392="","未結合",IF(D392=BI392,"一致","不一致")))</f>
        <v>一致</v>
      </c>
      <c r="BU392" s="8" t="str">
        <f aca="false">IF(A392="","",IF(BE392="牝馬限定","牝馬限定","その他"))</f>
        <v>その他</v>
      </c>
    </row>
    <row r="393" customFormat="false" ht="15.75" hidden="false" customHeight="false" outlineLevel="0" collapsed="false">
      <c r="A393" s="6" t="n">
        <v>46194</v>
      </c>
      <c r="B393" s="4" t="s">
        <v>4172</v>
      </c>
      <c r="C393" s="8" t="n">
        <v>4</v>
      </c>
      <c r="D393" s="8" t="n">
        <v>18</v>
      </c>
      <c r="E393" s="8" t="n">
        <v>5</v>
      </c>
      <c r="F393" s="4" t="s">
        <v>2834</v>
      </c>
      <c r="G393" s="8" t="n">
        <v>56</v>
      </c>
      <c r="H393" s="8" t="n">
        <v>6</v>
      </c>
      <c r="I393" s="4" t="s">
        <v>654</v>
      </c>
      <c r="J393" s="8" t="n">
        <v>39</v>
      </c>
      <c r="K393" s="8" t="n">
        <v>2</v>
      </c>
      <c r="L393" s="4" t="s">
        <v>1612</v>
      </c>
      <c r="M393" s="8" t="n">
        <v>31</v>
      </c>
      <c r="N393" s="8" t="n">
        <f aca="false">IF(A393="","",G393-J393)</f>
        <v>17</v>
      </c>
      <c r="O393" s="8" t="n">
        <f aca="false">IF(A393="","",J393-M393)</f>
        <v>8</v>
      </c>
      <c r="P393" s="8" t="n">
        <f aca="false">IF(A393="","",G393+J393)</f>
        <v>95</v>
      </c>
      <c r="Q393" s="8" t="str">
        <f aca="false">IF(A393="","",IF(AND(Y393&lt;&gt;"参考",G393&gt;=ルール設定!$B$2),"○",""))</f>
        <v/>
      </c>
      <c r="R393" s="8" t="str">
        <f aca="false">IF(A393="","",IF(AND(Y393&lt;&gt;"参考",G393&gt;=ルール設定!$B$3,N393&gt;=ルール設定!$B$4),"○",""))</f>
        <v/>
      </c>
      <c r="S393" s="8" t="str">
        <f aca="false">IF(A393="","",IF(AND(Y393&lt;&gt;"参考",G393&gt;=ルール設定!$B$5,J393&gt;=ルール設定!$B$6,O393&gt;=ルール設定!$B$7),"○",""))</f>
        <v/>
      </c>
      <c r="T393" s="8" t="n">
        <v>2</v>
      </c>
      <c r="U393" s="8" t="n">
        <v>3</v>
      </c>
      <c r="V393" s="8" t="str">
        <f aca="false">IF(A393="","",IF(AND(ISNUMBER(T393),ISNUMBER(U393)),IF(AND(T393&lt;=3,U393&lt;=3),"○","×"),""))</f>
        <v>○</v>
      </c>
      <c r="W393" s="8" t="n">
        <v>130</v>
      </c>
      <c r="X393" s="8" t="n">
        <v>220</v>
      </c>
      <c r="Y393" s="4" t="s">
        <v>7597</v>
      </c>
      <c r="Z393" s="4" t="s">
        <v>7777</v>
      </c>
      <c r="AA393" s="8" t="str">
        <v/>
      </c>
      <c r="AB393" s="8" t="str">
        <v/>
      </c>
      <c r="AC393" s="8" t="str">
        <v/>
      </c>
      <c r="AD393" s="8" t="str">
        <v/>
      </c>
      <c r="AE393" s="8" t="str">
        <v/>
      </c>
      <c r="AF393" s="8" t="str">
        <v/>
      </c>
      <c r="AG393" s="8" t="str">
        <v/>
      </c>
      <c r="AH393" s="8" t="str">
        <v/>
      </c>
      <c r="AI393" s="8" t="n">
        <v>25</v>
      </c>
      <c r="AJ393" s="8" t="str">
        <v>～59</v>
      </c>
      <c r="AK393" s="8" t="str">
        <v>10～19</v>
      </c>
      <c r="AL393" s="8" t="str">
        <v>20～29</v>
      </c>
      <c r="AM393" s="8" t="str">
        <v>～99</v>
      </c>
      <c r="AN393" s="8" t="str">
        <v>15以上</v>
      </c>
      <c r="AO393" s="8" t="str">
        <f aca="false">IF(A393="","",IF(COUNTIFS(全馬データ!$A$2:$A$50000,A393,全馬データ!$B$2:$B$50000,B393,全馬データ!$C$2:$C$50000,C393,全馬データ!$D$2:$D$50000,E393,全馬データ!$K$2:$K$50000,"&lt;&gt;")=0,"",SUMIFS(全馬データ!$K$2:$K$50000,全馬データ!$A$2:$A$50000,A393,全馬データ!$B$2:$B$50000,B393,全馬データ!$C$2:$C$50000,C393,全馬データ!$D$2:$D$50000,E393)))</f>
        <v/>
      </c>
      <c r="AP393" s="8" t="str">
        <f aca="false">IF(A393="","",IF(AO393="","欠損",IF(AO393&lt;=1.1,"1.0～1.1",IF(AO393&lt;1.3,"1.2",IF(AO393&lt;1.5,"1.3～1.4",IF(AO393&lt;2,"1.5～1.9","2.0以上"))))))</f>
        <v>欠損</v>
      </c>
      <c r="AQ393" s="8" t="str">
        <f aca="false">IF(A393="","",IF(ISNUMBER(SEARCH("2歳",Z393)),"2歳戦",IF(ISNUMBER(SEARCH("3歳未勝利",Z393)),"3歳未勝利",IF(ISNUMBER(SEARCH("未勝利",Z393)),"その他未勝利",IF(ISNUMBER(SEARCH("G1",Z393)),"G1",IF(ISNUMBER(SEARCH("G2",Z393)),"G2",IF(ISNUMBER(SEARCH("G3",Z393)),"G3",IF(ISNUMBER(SEARCH("古馬条件",Z393)),"古馬条件戦",IF(ISNUMBER(SEARCH("重賞",Z393)),"重賞","分類不能")))))))))</f>
        <v>分類不能</v>
      </c>
      <c r="AR393" s="8"/>
      <c r="AS393" s="8" t="s">
        <v>7623</v>
      </c>
      <c r="AT393" s="8" t="s">
        <v>7624</v>
      </c>
      <c r="AU393" s="8" t="s">
        <v>7600</v>
      </c>
      <c r="AV393" s="4" t="s">
        <v>7601</v>
      </c>
      <c r="AW393" s="8"/>
      <c r="AX393" s="8"/>
      <c r="AY393" s="8" t="s">
        <v>7602</v>
      </c>
      <c r="AZ393" s="4" t="s">
        <v>7603</v>
      </c>
      <c r="BA393" s="8" t="n">
        <v>2400</v>
      </c>
      <c r="BB393" s="8" t="s">
        <v>7659</v>
      </c>
      <c r="BC393" s="4" t="s">
        <v>7619</v>
      </c>
      <c r="BD393" s="8" t="s">
        <v>7605</v>
      </c>
      <c r="BE393" s="4" t="s">
        <v>7606</v>
      </c>
      <c r="BF393" s="8" t="s">
        <v>7607</v>
      </c>
      <c r="BG393" s="8" t="s">
        <v>7608</v>
      </c>
      <c r="BH393" s="4" t="s">
        <v>7609</v>
      </c>
      <c r="BI393" s="8" t="n">
        <v>18</v>
      </c>
      <c r="BJ393" s="8" t="s">
        <v>7602</v>
      </c>
      <c r="BK393" s="4" t="s">
        <v>7653</v>
      </c>
      <c r="BL393" s="8" t="s">
        <v>7610</v>
      </c>
      <c r="BM393" s="4" t="s">
        <v>7612</v>
      </c>
      <c r="BN393" s="8" t="s">
        <v>7631</v>
      </c>
      <c r="BO393" s="8" t="s">
        <v>7680</v>
      </c>
      <c r="BP393" s="8" t="s">
        <v>7610</v>
      </c>
      <c r="BQ393" s="8" t="str">
        <f aca="false">IF(A393="","",AT393)</f>
        <v>3歳</v>
      </c>
      <c r="BR393" s="8" t="str">
        <f aca="false">IF(A393="","",IF(BA393&lt;=1200,"～1200",IF(BA393&lt;=1500,"1300～1500",IF(BA393=1600,"1600",IF(BA393&lt;=1800,"1700～1800",IF(BA393&lt;=2000,"1900～2000","2100以上"))))))</f>
        <v>2100以上</v>
      </c>
      <c r="BS393" s="8" t="str">
        <f aca="false">IF(A393="","",IF(AX393="G1","G1",IF(AX393="G2","G2",IF(AX393="G3","G3",IF(AX393="L","L","その他")))))</f>
        <v>その他</v>
      </c>
      <c r="BT393" s="8" t="str">
        <f aca="false">IF(A393="","",IF(BI393="","未結合",IF(D393=BI393,"一致","不一致")))</f>
        <v>一致</v>
      </c>
      <c r="BU393" s="8" t="str">
        <f aca="false">IF(A393="","",IF(BE393="牝馬限定","牝馬限定","その他"))</f>
        <v>その他</v>
      </c>
    </row>
    <row r="394" customFormat="false" ht="15.75" hidden="false" customHeight="false" outlineLevel="0" collapsed="false">
      <c r="A394" s="6" t="n">
        <v>46194</v>
      </c>
      <c r="B394" s="4" t="s">
        <v>4172</v>
      </c>
      <c r="C394" s="8" t="n">
        <v>5</v>
      </c>
      <c r="D394" s="8" t="n">
        <v>9</v>
      </c>
      <c r="E394" s="8" t="n">
        <v>2</v>
      </c>
      <c r="F394" s="4" t="s">
        <v>7796</v>
      </c>
      <c r="G394" s="8" t="n">
        <v>37</v>
      </c>
      <c r="H394" s="8" t="n">
        <v>1</v>
      </c>
      <c r="I394" s="4" t="s">
        <v>7797</v>
      </c>
      <c r="J394" s="8" t="n">
        <v>27</v>
      </c>
      <c r="K394" s="8" t="n">
        <v>8</v>
      </c>
      <c r="L394" s="4" t="s">
        <v>2027</v>
      </c>
      <c r="M394" s="8" t="n">
        <v>27</v>
      </c>
      <c r="N394" s="8" t="n">
        <f aca="false">IF(A394="","",G394-J394)</f>
        <v>10</v>
      </c>
      <c r="O394" s="8" t="n">
        <f aca="false">IF(A394="","",J394-M394)</f>
        <v>0</v>
      </c>
      <c r="P394" s="8" t="n">
        <f aca="false">IF(A394="","",G394+J394)</f>
        <v>64</v>
      </c>
      <c r="Q394" s="8" t="str">
        <f aca="false">IF(A394="","",IF(AND(Y394&lt;&gt;"参考",G394&gt;=ルール設定!$B$2),"○",""))</f>
        <v/>
      </c>
      <c r="R394" s="8" t="str">
        <f aca="false">IF(A394="","",IF(AND(Y394&lt;&gt;"参考",G394&gt;=ルール設定!$B$3,N394&gt;=ルール設定!$B$4),"○",""))</f>
        <v/>
      </c>
      <c r="S394" s="8" t="str">
        <f aca="false">IF(A394="","",IF(AND(Y394&lt;&gt;"参考",G394&gt;=ルール設定!$B$5,J394&gt;=ルール設定!$B$6,O394&gt;=ルール設定!$B$7),"○",""))</f>
        <v/>
      </c>
      <c r="T394" s="8" t="n">
        <v>3</v>
      </c>
      <c r="U394" s="8" t="n">
        <v>4</v>
      </c>
      <c r="V394" s="8" t="str">
        <f aca="false">IF(A394="","",IF(AND(ISNUMBER(T394),ISNUMBER(U394)),IF(AND(T394&lt;=3,U394&lt;=3),"○","×"),""))</f>
        <v>×</v>
      </c>
      <c r="W394" s="8" t="n">
        <v>170</v>
      </c>
      <c r="X394" s="8"/>
      <c r="Y394" s="4" t="s">
        <v>7597</v>
      </c>
      <c r="Z394" s="4" t="s">
        <v>7777</v>
      </c>
      <c r="AA394" s="8" t="str">
        <v/>
      </c>
      <c r="AB394" s="8" t="str">
        <v/>
      </c>
      <c r="AC394" s="8" t="str">
        <v/>
      </c>
      <c r="AD394" s="8" t="str">
        <v/>
      </c>
      <c r="AE394" s="8" t="str">
        <v/>
      </c>
      <c r="AF394" s="8" t="str">
        <v/>
      </c>
      <c r="AG394" s="8" t="str">
        <v/>
      </c>
      <c r="AH394" s="8" t="str">
        <v/>
      </c>
      <c r="AI394" s="8" t="n">
        <v>10</v>
      </c>
      <c r="AJ394" s="8" t="str">
        <v>～59</v>
      </c>
      <c r="AK394" s="8" t="str">
        <v>10～19</v>
      </c>
      <c r="AL394" s="8" t="str">
        <v>10～19</v>
      </c>
      <c r="AM394" s="8" t="str">
        <v>～99</v>
      </c>
      <c r="AN394" s="8" t="str">
        <v>8～11</v>
      </c>
      <c r="AO394" s="8" t="str">
        <f aca="false">IF(A394="","",IF(COUNTIFS(全馬データ!$A$2:$A$50000,A394,全馬データ!$B$2:$B$50000,B394,全馬データ!$C$2:$C$50000,C394,全馬データ!$D$2:$D$50000,E394,全馬データ!$K$2:$K$50000,"&lt;&gt;")=0,"",SUMIFS(全馬データ!$K$2:$K$50000,全馬データ!$A$2:$A$50000,A394,全馬データ!$B$2:$B$50000,B394,全馬データ!$C$2:$C$50000,C394,全馬データ!$D$2:$D$50000,E394)))</f>
        <v/>
      </c>
      <c r="AP394" s="8" t="str">
        <f aca="false">IF(A394="","",IF(AO394="","欠損",IF(AO394&lt;=1.1,"1.0～1.1",IF(AO394&lt;1.3,"1.2",IF(AO394&lt;1.5,"1.3～1.4",IF(AO394&lt;2,"1.5～1.9","2.0以上"))))))</f>
        <v>欠損</v>
      </c>
      <c r="AQ394" s="8" t="str">
        <f aca="false">IF(A394="","",IF(ISNUMBER(SEARCH("2歳",Z394)),"2歳戦",IF(ISNUMBER(SEARCH("3歳未勝利",Z394)),"3歳未勝利",IF(ISNUMBER(SEARCH("未勝利",Z394)),"その他未勝利",IF(ISNUMBER(SEARCH("G1",Z394)),"G1",IF(ISNUMBER(SEARCH("G2",Z394)),"G2",IF(ISNUMBER(SEARCH("G3",Z394)),"G3",IF(ISNUMBER(SEARCH("古馬条件",Z394)),"古馬条件戦",IF(ISNUMBER(SEARCH("重賞",Z394)),"重賞","分類不能")))))))))</f>
        <v>分類不能</v>
      </c>
      <c r="AR394" s="8"/>
      <c r="AS394" s="8" t="s">
        <v>7598</v>
      </c>
      <c r="AT394" s="8" t="s">
        <v>7599</v>
      </c>
      <c r="AU394" s="8" t="s">
        <v>7615</v>
      </c>
      <c r="AV394" s="4" t="s">
        <v>7616</v>
      </c>
      <c r="AW394" s="8"/>
      <c r="AX394" s="8"/>
      <c r="AY394" s="8" t="s">
        <v>7602</v>
      </c>
      <c r="AZ394" s="4" t="s">
        <v>7603</v>
      </c>
      <c r="BA394" s="8" t="n">
        <v>1600</v>
      </c>
      <c r="BB394" s="8" t="s">
        <v>7659</v>
      </c>
      <c r="BC394" s="4" t="s">
        <v>7619</v>
      </c>
      <c r="BD394" s="8" t="s">
        <v>7605</v>
      </c>
      <c r="BE394" s="4" t="s">
        <v>7606</v>
      </c>
      <c r="BF394" s="8" t="s">
        <v>7607</v>
      </c>
      <c r="BG394" s="8" t="s">
        <v>7608</v>
      </c>
      <c r="BH394" s="4" t="s">
        <v>7609</v>
      </c>
      <c r="BI394" s="8" t="n">
        <v>9</v>
      </c>
      <c r="BJ394" s="8" t="s">
        <v>7602</v>
      </c>
      <c r="BK394" s="4" t="s">
        <v>7653</v>
      </c>
      <c r="BL394" s="8" t="s">
        <v>7610</v>
      </c>
      <c r="BM394" s="4" t="s">
        <v>7612</v>
      </c>
      <c r="BN394" s="8" t="s">
        <v>7631</v>
      </c>
      <c r="BO394" s="8" t="s">
        <v>7680</v>
      </c>
      <c r="BP394" s="8" t="s">
        <v>7610</v>
      </c>
      <c r="BQ394" s="8" t="str">
        <f aca="false">IF(A394="","",AT394)</f>
        <v>2歳</v>
      </c>
      <c r="BR394" s="8" t="str">
        <f aca="false">IF(A394="","",IF(BA394&lt;=1200,"～1200",IF(BA394&lt;=1500,"1300～1500",IF(BA394=1600,"1600",IF(BA394&lt;=1800,"1700～1800",IF(BA394&lt;=2000,"1900～2000","2100以上"))))))</f>
        <v>1600</v>
      </c>
      <c r="BS394" s="8" t="str">
        <f aca="false">IF(A394="","",IF(AX394="G1","G1",IF(AX394="G2","G2",IF(AX394="G3","G3",IF(AX394="L","L","その他")))))</f>
        <v>その他</v>
      </c>
      <c r="BT394" s="8" t="str">
        <f aca="false">IF(A394="","",IF(BI394="","未結合",IF(D394=BI394,"一致","不一致")))</f>
        <v>一致</v>
      </c>
      <c r="BU394" s="8" t="str">
        <f aca="false">IF(A394="","",IF(BE394="牝馬限定","牝馬限定","その他"))</f>
        <v>その他</v>
      </c>
    </row>
    <row r="395" customFormat="false" ht="15.75" hidden="false" customHeight="false" outlineLevel="0" collapsed="false">
      <c r="A395" s="6" t="n">
        <v>46194</v>
      </c>
      <c r="B395" s="4" t="s">
        <v>4172</v>
      </c>
      <c r="C395" s="8" t="n">
        <v>6</v>
      </c>
      <c r="D395" s="8" t="n">
        <v>18</v>
      </c>
      <c r="E395" s="8" t="n">
        <v>2</v>
      </c>
      <c r="F395" s="4" t="s">
        <v>3977</v>
      </c>
      <c r="G395" s="8" t="n">
        <v>56</v>
      </c>
      <c r="H395" s="8" t="n">
        <v>9</v>
      </c>
      <c r="I395" s="4" t="s">
        <v>312</v>
      </c>
      <c r="J395" s="8" t="n">
        <v>50</v>
      </c>
      <c r="K395" s="8" t="n">
        <v>16</v>
      </c>
      <c r="L395" s="4" t="s">
        <v>1571</v>
      </c>
      <c r="M395" s="8" t="n">
        <v>41</v>
      </c>
      <c r="N395" s="8" t="n">
        <f aca="false">IF(A395="","",G395-J395)</f>
        <v>6</v>
      </c>
      <c r="O395" s="8" t="n">
        <f aca="false">IF(A395="","",J395-M395)</f>
        <v>9</v>
      </c>
      <c r="P395" s="8" t="n">
        <f aca="false">IF(A395="","",G395+J395)</f>
        <v>106</v>
      </c>
      <c r="Q395" s="8" t="str">
        <f aca="false">IF(A395="","",IF(AND(Y395&lt;&gt;"参考",G395&gt;=ルール設定!$B$2),"○",""))</f>
        <v/>
      </c>
      <c r="R395" s="8" t="str">
        <f aca="false">IF(A395="","",IF(AND(Y395&lt;&gt;"参考",G395&gt;=ルール設定!$B$3,N395&gt;=ルール設定!$B$4),"○",""))</f>
        <v/>
      </c>
      <c r="S395" s="8" t="str">
        <f aca="false">IF(A395="","",IF(AND(Y395&lt;&gt;"参考",G395&gt;=ルール設定!$B$5,J395&gt;=ルール設定!$B$6,O395&gt;=ルール設定!$B$7),"○",""))</f>
        <v/>
      </c>
      <c r="T395" s="8" t="n">
        <v>3</v>
      </c>
      <c r="U395" s="8" t="n">
        <v>1</v>
      </c>
      <c r="V395" s="8" t="str">
        <f aca="false">IF(A395="","",IF(AND(ISNUMBER(T395),ISNUMBER(U395)),IF(AND(T395&lt;=3,U395&lt;=3),"○","×"),""))</f>
        <v>○</v>
      </c>
      <c r="W395" s="8" t="n">
        <v>140</v>
      </c>
      <c r="X395" s="8" t="n">
        <v>300</v>
      </c>
      <c r="Y395" s="4" t="s">
        <v>7597</v>
      </c>
      <c r="Z395" s="4" t="s">
        <v>7777</v>
      </c>
      <c r="AA395" s="8" t="str">
        <v/>
      </c>
      <c r="AB395" s="8" t="str">
        <v/>
      </c>
      <c r="AC395" s="8" t="str">
        <v/>
      </c>
      <c r="AD395" s="8" t="str">
        <v/>
      </c>
      <c r="AE395" s="8" t="str">
        <v/>
      </c>
      <c r="AF395" s="8" t="str">
        <v/>
      </c>
      <c r="AG395" s="8" t="str">
        <v/>
      </c>
      <c r="AH395" s="8" t="str">
        <v/>
      </c>
      <c r="AI395" s="8" t="n">
        <v>15</v>
      </c>
      <c r="AJ395" s="8" t="str">
        <v>～59</v>
      </c>
      <c r="AK395" s="8" t="str">
        <v>5～9</v>
      </c>
      <c r="AL395" s="8" t="str">
        <v>10～19</v>
      </c>
      <c r="AM395" s="8" t="str">
        <v>100～119</v>
      </c>
      <c r="AN395" s="8" t="str">
        <v>15以上</v>
      </c>
      <c r="AO395" s="8" t="str">
        <f aca="false">IF(A395="","",IF(COUNTIFS(全馬データ!$A$2:$A$50000,A395,全馬データ!$B$2:$B$50000,B395,全馬データ!$C$2:$C$50000,C395,全馬データ!$D$2:$D$50000,E395,全馬データ!$K$2:$K$50000,"&lt;&gt;")=0,"",SUMIFS(全馬データ!$K$2:$K$50000,全馬データ!$A$2:$A$50000,A395,全馬データ!$B$2:$B$50000,B395,全馬データ!$C$2:$C$50000,C395,全馬データ!$D$2:$D$50000,E395)))</f>
        <v/>
      </c>
      <c r="AP395" s="8" t="str">
        <f aca="false">IF(A395="","",IF(AO395="","欠損",IF(AO395&lt;=1.1,"1.0～1.1",IF(AO395&lt;1.3,"1.2",IF(AO395&lt;1.5,"1.3～1.4",IF(AO395&lt;2,"1.5～1.9","2.0以上"))))))</f>
        <v>欠損</v>
      </c>
      <c r="AQ395" s="8" t="str">
        <f aca="false">IF(A395="","",IF(ISNUMBER(SEARCH("2歳",Z395)),"2歳戦",IF(ISNUMBER(SEARCH("3歳未勝利",Z395)),"3歳未勝利",IF(ISNUMBER(SEARCH("未勝利",Z395)),"その他未勝利",IF(ISNUMBER(SEARCH("G1",Z395)),"G1",IF(ISNUMBER(SEARCH("G2",Z395)),"G2",IF(ISNUMBER(SEARCH("G3",Z395)),"G3",IF(ISNUMBER(SEARCH("古馬条件",Z395)),"古馬条件戦",IF(ISNUMBER(SEARCH("重賞",Z395)),"重賞","分類不能")))))))))</f>
        <v>分類不能</v>
      </c>
      <c r="AR395" s="8"/>
      <c r="AS395" s="8" t="s">
        <v>7623</v>
      </c>
      <c r="AT395" s="8" t="s">
        <v>7624</v>
      </c>
      <c r="AU395" s="8" t="s">
        <v>7600</v>
      </c>
      <c r="AV395" s="4" t="s">
        <v>7601</v>
      </c>
      <c r="AW395" s="8"/>
      <c r="AX395" s="8"/>
      <c r="AY395" s="8" t="s">
        <v>7602</v>
      </c>
      <c r="AZ395" s="4" t="s">
        <v>7603</v>
      </c>
      <c r="BA395" s="8" t="n">
        <v>1400</v>
      </c>
      <c r="BB395" s="8" t="s">
        <v>7659</v>
      </c>
      <c r="BC395" s="4" t="s">
        <v>7619</v>
      </c>
      <c r="BD395" s="8" t="s">
        <v>7605</v>
      </c>
      <c r="BE395" s="4" t="s">
        <v>7606</v>
      </c>
      <c r="BF395" s="8" t="s">
        <v>7607</v>
      </c>
      <c r="BG395" s="8" t="s">
        <v>7608</v>
      </c>
      <c r="BH395" s="4" t="s">
        <v>7609</v>
      </c>
      <c r="BI395" s="8" t="n">
        <v>18</v>
      </c>
      <c r="BJ395" s="8" t="s">
        <v>7602</v>
      </c>
      <c r="BK395" s="4" t="s">
        <v>7653</v>
      </c>
      <c r="BL395" s="8" t="s">
        <v>7602</v>
      </c>
      <c r="BM395" s="4" t="s">
        <v>7620</v>
      </c>
      <c r="BN395" s="8" t="s">
        <v>7631</v>
      </c>
      <c r="BO395" s="8" t="s">
        <v>7680</v>
      </c>
      <c r="BP395" s="8" t="s">
        <v>7610</v>
      </c>
      <c r="BQ395" s="8" t="str">
        <f aca="false">IF(A395="","",AT395)</f>
        <v>3歳</v>
      </c>
      <c r="BR395" s="8" t="str">
        <f aca="false">IF(A395="","",IF(BA395&lt;=1200,"～1200",IF(BA395&lt;=1500,"1300～1500",IF(BA395=1600,"1600",IF(BA395&lt;=1800,"1700～1800",IF(BA395&lt;=2000,"1900～2000","2100以上"))))))</f>
        <v>1300～1500</v>
      </c>
      <c r="BS395" s="8" t="str">
        <f aca="false">IF(A395="","",IF(AX395="G1","G1",IF(AX395="G2","G2",IF(AX395="G3","G3",IF(AX395="L","L","その他")))))</f>
        <v>その他</v>
      </c>
      <c r="BT395" s="8" t="str">
        <f aca="false">IF(A395="","",IF(BI395="","未結合",IF(D395=BI395,"一致","不一致")))</f>
        <v>一致</v>
      </c>
      <c r="BU395" s="8" t="str">
        <f aca="false">IF(A395="","",IF(BE395="牝馬限定","牝馬限定","その他"))</f>
        <v>その他</v>
      </c>
    </row>
    <row r="396" customFormat="false" ht="15.75" hidden="false" customHeight="false" outlineLevel="0" collapsed="false">
      <c r="A396" s="6" t="n">
        <v>46194</v>
      </c>
      <c r="B396" s="4" t="s">
        <v>4172</v>
      </c>
      <c r="C396" s="8" t="n">
        <v>7</v>
      </c>
      <c r="D396" s="8" t="n">
        <v>16</v>
      </c>
      <c r="E396" s="8" t="n">
        <v>3</v>
      </c>
      <c r="F396" s="4" t="s">
        <v>4663</v>
      </c>
      <c r="G396" s="8" t="n">
        <v>58</v>
      </c>
      <c r="H396" s="8" t="n">
        <v>4</v>
      </c>
      <c r="I396" s="4" t="s">
        <v>5724</v>
      </c>
      <c r="J396" s="8" t="n">
        <v>44</v>
      </c>
      <c r="K396" s="8" t="n">
        <v>5</v>
      </c>
      <c r="L396" s="4" t="s">
        <v>4662</v>
      </c>
      <c r="M396" s="8" t="n">
        <v>39</v>
      </c>
      <c r="N396" s="8" t="n">
        <f aca="false">IF(A396="","",G396-J396)</f>
        <v>14</v>
      </c>
      <c r="O396" s="8" t="n">
        <f aca="false">IF(A396="","",J396-M396)</f>
        <v>5</v>
      </c>
      <c r="P396" s="8" t="n">
        <f aca="false">IF(A396="","",G396+J396)</f>
        <v>102</v>
      </c>
      <c r="Q396" s="8" t="str">
        <f aca="false">IF(A396="","",IF(AND(Y396&lt;&gt;"参考",G396&gt;=ルール設定!$B$2),"○",""))</f>
        <v/>
      </c>
      <c r="R396" s="8" t="str">
        <f aca="false">IF(A396="","",IF(AND(Y396&lt;&gt;"参考",G396&gt;=ルール設定!$B$3,N396&gt;=ルール設定!$B$4),"○",""))</f>
        <v/>
      </c>
      <c r="S396" s="8" t="str">
        <f aca="false">IF(A396="","",IF(AND(Y396&lt;&gt;"参考",G396&gt;=ルール設定!$B$5,J396&gt;=ルール設定!$B$6,O396&gt;=ルール設定!$B$7),"○",""))</f>
        <v/>
      </c>
      <c r="T396" s="8" t="n">
        <v>4</v>
      </c>
      <c r="U396" s="8" t="n">
        <v>1</v>
      </c>
      <c r="V396" s="8" t="str">
        <f aca="false">IF(A396="","",IF(AND(ISNUMBER(T396),ISNUMBER(U396)),IF(AND(T396&lt;=3,U396&lt;=3),"○","×"),""))</f>
        <v>×</v>
      </c>
      <c r="W396" s="8"/>
      <c r="X396" s="8"/>
      <c r="Y396" s="4" t="s">
        <v>7597</v>
      </c>
      <c r="Z396" s="4" t="s">
        <v>7777</v>
      </c>
      <c r="AA396" s="8" t="str">
        <v/>
      </c>
      <c r="AB396" s="8" t="str">
        <v/>
      </c>
      <c r="AC396" s="8" t="str">
        <v/>
      </c>
      <c r="AD396" s="8" t="str">
        <v/>
      </c>
      <c r="AE396" s="8" t="str">
        <v/>
      </c>
      <c r="AF396" s="8" t="str">
        <v/>
      </c>
      <c r="AG396" s="8" t="str">
        <v/>
      </c>
      <c r="AH396" s="8" t="str">
        <v/>
      </c>
      <c r="AI396" s="8" t="n">
        <v>19</v>
      </c>
      <c r="AJ396" s="8" t="str">
        <v>～59</v>
      </c>
      <c r="AK396" s="8" t="str">
        <v>10～19</v>
      </c>
      <c r="AL396" s="8" t="str">
        <v>10～19</v>
      </c>
      <c r="AM396" s="8" t="str">
        <v>100～119</v>
      </c>
      <c r="AN396" s="8" t="str">
        <v>15以上</v>
      </c>
      <c r="AO396" s="8" t="str">
        <f aca="false">IF(A396="","",IF(COUNTIFS(全馬データ!$A$2:$A$50000,A396,全馬データ!$B$2:$B$50000,B396,全馬データ!$C$2:$C$50000,C396,全馬データ!$D$2:$D$50000,E396,全馬データ!$K$2:$K$50000,"&lt;&gt;")=0,"",SUMIFS(全馬データ!$K$2:$K$50000,全馬データ!$A$2:$A$50000,A396,全馬データ!$B$2:$B$50000,B396,全馬データ!$C$2:$C$50000,C396,全馬データ!$D$2:$D$50000,E396)))</f>
        <v/>
      </c>
      <c r="AP396" s="8" t="str">
        <f aca="false">IF(A396="","",IF(AO396="","欠損",IF(AO396&lt;=1.1,"1.0～1.1",IF(AO396&lt;1.3,"1.2",IF(AO396&lt;1.5,"1.3～1.4",IF(AO396&lt;2,"1.5～1.9","2.0以上"))))))</f>
        <v>欠損</v>
      </c>
      <c r="AQ396" s="8" t="str">
        <f aca="false">IF(A396="","",IF(ISNUMBER(SEARCH("2歳",Z396)),"2歳戦",IF(ISNUMBER(SEARCH("3歳未勝利",Z396)),"3歳未勝利",IF(ISNUMBER(SEARCH("未勝利",Z396)),"その他未勝利",IF(ISNUMBER(SEARCH("G1",Z396)),"G1",IF(ISNUMBER(SEARCH("G2",Z396)),"G2",IF(ISNUMBER(SEARCH("G3",Z396)),"G3",IF(ISNUMBER(SEARCH("古馬条件",Z396)),"古馬条件戦",IF(ISNUMBER(SEARCH("重賞",Z396)),"重賞","分類不能")))))))))</f>
        <v>分類不能</v>
      </c>
      <c r="AR396" s="8"/>
      <c r="AS396" s="8" t="s">
        <v>7626</v>
      </c>
      <c r="AT396" s="8" t="s">
        <v>7627</v>
      </c>
      <c r="AU396" s="8" t="s">
        <v>7628</v>
      </c>
      <c r="AV396" s="8" t="s">
        <v>7629</v>
      </c>
      <c r="AW396" s="8"/>
      <c r="AX396" s="8"/>
      <c r="AY396" s="8" t="s">
        <v>7610</v>
      </c>
      <c r="AZ396" s="4" t="s">
        <v>7617</v>
      </c>
      <c r="BA396" s="8" t="n">
        <v>1400</v>
      </c>
      <c r="BB396" s="8" t="s">
        <v>7657</v>
      </c>
      <c r="BC396" s="4" t="s">
        <v>7658</v>
      </c>
      <c r="BD396" s="8" t="s">
        <v>7605</v>
      </c>
      <c r="BE396" s="4" t="s">
        <v>7606</v>
      </c>
      <c r="BF396" s="8" t="s">
        <v>7607</v>
      </c>
      <c r="BG396" s="8" t="s">
        <v>7631</v>
      </c>
      <c r="BH396" s="4" t="s">
        <v>7632</v>
      </c>
      <c r="BI396" s="8" t="n">
        <v>16</v>
      </c>
      <c r="BJ396" s="8" t="s">
        <v>7602</v>
      </c>
      <c r="BK396" s="4" t="s">
        <v>7653</v>
      </c>
      <c r="BL396" s="8" t="s">
        <v>7602</v>
      </c>
      <c r="BM396" s="4" t="s">
        <v>7620</v>
      </c>
      <c r="BN396" s="8"/>
      <c r="BO396" s="8"/>
      <c r="BP396" s="8" t="s">
        <v>7610</v>
      </c>
      <c r="BQ396" s="8" t="str">
        <f aca="false">IF(A396="","",AT396)</f>
        <v>3歳以上</v>
      </c>
      <c r="BR396" s="8" t="str">
        <f aca="false">IF(A396="","",IF(BA396&lt;=1200,"～1200",IF(BA396&lt;=1500,"1300～1500",IF(BA396=1600,"1600",IF(BA396&lt;=1800,"1700～1800",IF(BA396&lt;=2000,"1900～2000","2100以上"))))))</f>
        <v>1300～1500</v>
      </c>
      <c r="BS396" s="8" t="str">
        <f aca="false">IF(A396="","",IF(AX396="G1","G1",IF(AX396="G2","G2",IF(AX396="G3","G3",IF(AX396="L","L","その他")))))</f>
        <v>その他</v>
      </c>
      <c r="BT396" s="8" t="str">
        <f aca="false">IF(A396="","",IF(BI396="","未結合",IF(D396=BI396,"一致","不一致")))</f>
        <v>一致</v>
      </c>
      <c r="BU396" s="8" t="str">
        <f aca="false">IF(A396="","",IF(BE396="牝馬限定","牝馬限定","その他"))</f>
        <v>その他</v>
      </c>
    </row>
    <row r="397" customFormat="false" ht="15.75" hidden="false" customHeight="false" outlineLevel="0" collapsed="false">
      <c r="A397" s="6" t="n">
        <v>46194</v>
      </c>
      <c r="B397" s="4" t="s">
        <v>4172</v>
      </c>
      <c r="C397" s="8" t="n">
        <v>8</v>
      </c>
      <c r="D397" s="8" t="n">
        <v>8</v>
      </c>
      <c r="E397" s="8" t="n">
        <v>6</v>
      </c>
      <c r="F397" s="4" t="s">
        <v>4185</v>
      </c>
      <c r="G397" s="8" t="n">
        <v>65</v>
      </c>
      <c r="H397" s="8" t="n">
        <v>3</v>
      </c>
      <c r="I397" s="4" t="s">
        <v>4184</v>
      </c>
      <c r="J397" s="8" t="n">
        <v>47</v>
      </c>
      <c r="K397" s="8" t="n">
        <v>5</v>
      </c>
      <c r="L397" s="4" t="s">
        <v>3685</v>
      </c>
      <c r="M397" s="8" t="n">
        <v>41</v>
      </c>
      <c r="N397" s="8" t="n">
        <f aca="false">IF(A397="","",G397-J397)</f>
        <v>18</v>
      </c>
      <c r="O397" s="8" t="n">
        <f aca="false">IF(A397="","",J397-M397)</f>
        <v>6</v>
      </c>
      <c r="P397" s="8" t="n">
        <f aca="false">IF(A397="","",G397+J397)</f>
        <v>112</v>
      </c>
      <c r="Q397" s="8" t="str">
        <f aca="false">IF(A397="","",IF(AND(Y397&lt;&gt;"参考",G397&gt;=ルール設定!$B$2),"○",""))</f>
        <v/>
      </c>
      <c r="R397" s="8" t="str">
        <f aca="false">IF(A397="","",IF(AND(Y397&lt;&gt;"参考",G397&gt;=ルール設定!$B$3,N397&gt;=ルール設定!$B$4),"○",""))</f>
        <v/>
      </c>
      <c r="S397" s="8" t="str">
        <f aca="false">IF(A397="","",IF(AND(Y397&lt;&gt;"参考",G397&gt;=ルール設定!$B$5,J397&gt;=ルール設定!$B$6,O397&gt;=ルール設定!$B$7),"○",""))</f>
        <v/>
      </c>
      <c r="T397" s="8" t="n">
        <v>3</v>
      </c>
      <c r="U397" s="8" t="n">
        <v>1</v>
      </c>
      <c r="V397" s="8" t="str">
        <f aca="false">IF(A397="","",IF(AND(ISNUMBER(T397),ISNUMBER(U397)),IF(AND(T397&lt;=3,U397&lt;=3),"○","×"),""))</f>
        <v>○</v>
      </c>
      <c r="W397" s="8" t="n">
        <v>160</v>
      </c>
      <c r="X397" s="8" t="n">
        <v>240</v>
      </c>
      <c r="Y397" s="4" t="s">
        <v>7597</v>
      </c>
      <c r="Z397" s="4" t="s">
        <v>7777</v>
      </c>
      <c r="AA397" s="8" t="str">
        <v/>
      </c>
      <c r="AB397" s="8" t="str">
        <v/>
      </c>
      <c r="AC397" s="8" t="str">
        <v/>
      </c>
      <c r="AD397" s="8" t="str">
        <v/>
      </c>
      <c r="AE397" s="8" t="str">
        <v/>
      </c>
      <c r="AF397" s="8" t="str">
        <v/>
      </c>
      <c r="AG397" s="8" t="str">
        <v/>
      </c>
      <c r="AH397" s="8" t="str">
        <v/>
      </c>
      <c r="AI397" s="8" t="n">
        <v>24</v>
      </c>
      <c r="AJ397" s="8" t="str">
        <v>60～69</v>
      </c>
      <c r="AK397" s="8" t="str">
        <v>10～19</v>
      </c>
      <c r="AL397" s="8" t="str">
        <v>20～29</v>
      </c>
      <c r="AM397" s="8" t="str">
        <v>100～119</v>
      </c>
      <c r="AN397" s="8" t="str">
        <v>8～11</v>
      </c>
      <c r="AO397" s="8" t="str">
        <f aca="false">IF(A397="","",IF(COUNTIFS(全馬データ!$A$2:$A$50000,A397,全馬データ!$B$2:$B$50000,B397,全馬データ!$C$2:$C$50000,C397,全馬データ!$D$2:$D$50000,E397,全馬データ!$K$2:$K$50000,"&lt;&gt;")=0,"",SUMIFS(全馬データ!$K$2:$K$50000,全馬データ!$A$2:$A$50000,A397,全馬データ!$B$2:$B$50000,B397,全馬データ!$C$2:$C$50000,C397,全馬データ!$D$2:$D$50000,E397)))</f>
        <v/>
      </c>
      <c r="AP397" s="8" t="str">
        <f aca="false">IF(A397="","",IF(AO397="","欠損",IF(AO397&lt;=1.1,"1.0～1.1",IF(AO397&lt;1.3,"1.2",IF(AO397&lt;1.5,"1.3～1.4",IF(AO397&lt;2,"1.5～1.9","2.0以上"))))))</f>
        <v>欠損</v>
      </c>
      <c r="AQ397" s="8" t="str">
        <f aca="false">IF(A397="","",IF(ISNUMBER(SEARCH("2歳",Z397)),"2歳戦",IF(ISNUMBER(SEARCH("3歳未勝利",Z397)),"3歳未勝利",IF(ISNUMBER(SEARCH("未勝利",Z397)),"その他未勝利",IF(ISNUMBER(SEARCH("G1",Z397)),"G1",IF(ISNUMBER(SEARCH("G2",Z397)),"G2",IF(ISNUMBER(SEARCH("G3",Z397)),"G3",IF(ISNUMBER(SEARCH("古馬条件",Z397)),"古馬条件戦",IF(ISNUMBER(SEARCH("重賞",Z397)),"重賞","分類不能")))))))))</f>
        <v>分類不能</v>
      </c>
      <c r="AR397" s="8"/>
      <c r="AS397" s="8" t="s">
        <v>7626</v>
      </c>
      <c r="AT397" s="8" t="s">
        <v>7627</v>
      </c>
      <c r="AU397" s="8" t="s">
        <v>7628</v>
      </c>
      <c r="AV397" s="8" t="s">
        <v>7629</v>
      </c>
      <c r="AW397" s="8"/>
      <c r="AX397" s="8"/>
      <c r="AY397" s="8" t="s">
        <v>7602</v>
      </c>
      <c r="AZ397" s="4" t="s">
        <v>7603</v>
      </c>
      <c r="BA397" s="8" t="n">
        <v>2000</v>
      </c>
      <c r="BB397" s="8" t="s">
        <v>7659</v>
      </c>
      <c r="BC397" s="4" t="s">
        <v>7619</v>
      </c>
      <c r="BD397" s="8" t="s">
        <v>7621</v>
      </c>
      <c r="BE397" s="4" t="s">
        <v>7622</v>
      </c>
      <c r="BF397" s="8" t="s">
        <v>7602</v>
      </c>
      <c r="BG397" s="8" t="s">
        <v>7631</v>
      </c>
      <c r="BH397" s="4" t="s">
        <v>7632</v>
      </c>
      <c r="BI397" s="8" t="n">
        <v>8</v>
      </c>
      <c r="BJ397" s="8" t="s">
        <v>7602</v>
      </c>
      <c r="BK397" s="4" t="s">
        <v>7653</v>
      </c>
      <c r="BL397" s="8" t="s">
        <v>7602</v>
      </c>
      <c r="BM397" s="4" t="s">
        <v>7620</v>
      </c>
      <c r="BN397" s="8" t="s">
        <v>7631</v>
      </c>
      <c r="BO397" s="8" t="s">
        <v>7680</v>
      </c>
      <c r="BP397" s="8" t="s">
        <v>7610</v>
      </c>
      <c r="BQ397" s="8" t="str">
        <f aca="false">IF(A397="","",AT397)</f>
        <v>3歳以上</v>
      </c>
      <c r="BR397" s="8" t="str">
        <f aca="false">IF(A397="","",IF(BA397&lt;=1200,"～1200",IF(BA397&lt;=1500,"1300～1500",IF(BA397=1600,"1600",IF(BA397&lt;=1800,"1700～1800",IF(BA397&lt;=2000,"1900～2000","2100以上"))))))</f>
        <v>1900～2000</v>
      </c>
      <c r="BS397" s="8" t="str">
        <f aca="false">IF(A397="","",IF(AX397="G1","G1",IF(AX397="G2","G2",IF(AX397="G3","G3",IF(AX397="L","L","その他")))))</f>
        <v>その他</v>
      </c>
      <c r="BT397" s="8" t="str">
        <f aca="false">IF(A397="","",IF(BI397="","未結合",IF(D397=BI397,"一致","不一致")))</f>
        <v>一致</v>
      </c>
      <c r="BU397" s="8" t="str">
        <f aca="false">IF(A397="","",IF(BE397="牝馬限定","牝馬限定","その他"))</f>
        <v>牝馬限定</v>
      </c>
    </row>
    <row r="398" customFormat="false" ht="15.75" hidden="false" customHeight="false" outlineLevel="0" collapsed="false">
      <c r="A398" s="6" t="n">
        <v>46194</v>
      </c>
      <c r="B398" s="4" t="s">
        <v>4172</v>
      </c>
      <c r="C398" s="8" t="n">
        <v>9</v>
      </c>
      <c r="D398" s="8" t="n">
        <v>7</v>
      </c>
      <c r="E398" s="8" t="n">
        <v>2</v>
      </c>
      <c r="F398" s="4" t="s">
        <v>4189</v>
      </c>
      <c r="G398" s="8" t="n">
        <v>66</v>
      </c>
      <c r="H398" s="8" t="n">
        <v>5</v>
      </c>
      <c r="I398" s="4" t="s">
        <v>4191</v>
      </c>
      <c r="J398" s="8" t="n">
        <v>60</v>
      </c>
      <c r="K398" s="8" t="n">
        <v>1</v>
      </c>
      <c r="L398" s="4" t="s">
        <v>4188</v>
      </c>
      <c r="M398" s="8" t="n">
        <v>56</v>
      </c>
      <c r="N398" s="8" t="n">
        <f aca="false">IF(A398="","",G398-J398)</f>
        <v>6</v>
      </c>
      <c r="O398" s="8" t="n">
        <f aca="false">IF(A398="","",J398-M398)</f>
        <v>4</v>
      </c>
      <c r="P398" s="8" t="n">
        <f aca="false">IF(A398="","",G398+J398)</f>
        <v>126</v>
      </c>
      <c r="Q398" s="8" t="str">
        <f aca="false">IF(A398="","",IF(AND(Y398&lt;&gt;"参考",G398&gt;=ルール設定!$B$2),"○",""))</f>
        <v/>
      </c>
      <c r="R398" s="8" t="str">
        <f aca="false">IF(A398="","",IF(AND(Y398&lt;&gt;"参考",G398&gt;=ルール設定!$B$3,N398&gt;=ルール設定!$B$4),"○",""))</f>
        <v/>
      </c>
      <c r="S398" s="8" t="str">
        <f aca="false">IF(A398="","",IF(AND(Y398&lt;&gt;"参考",G398&gt;=ルール設定!$B$5,J398&gt;=ルール設定!$B$6,O398&gt;=ルール設定!$B$7),"○",""))</f>
        <v/>
      </c>
      <c r="T398" s="8" t="n">
        <v>1</v>
      </c>
      <c r="U398" s="8" t="n">
        <v>3</v>
      </c>
      <c r="V398" s="8" t="str">
        <f aca="false">IF(A398="","",IF(AND(ISNUMBER(T398),ISNUMBER(U398)),IF(AND(T398&lt;=3,U398&lt;=3),"○","×"),""))</f>
        <v>○</v>
      </c>
      <c r="W398" s="8" t="n">
        <v>210</v>
      </c>
      <c r="X398" s="8" t="n">
        <v>190</v>
      </c>
      <c r="Y398" s="4" t="s">
        <v>7597</v>
      </c>
      <c r="Z398" s="4" t="s">
        <v>7777</v>
      </c>
      <c r="AA398" s="8" t="str">
        <v/>
      </c>
      <c r="AB398" s="8" t="str">
        <v/>
      </c>
      <c r="AC398" s="8" t="str">
        <v/>
      </c>
      <c r="AD398" s="8" t="str">
        <v/>
      </c>
      <c r="AE398" s="8" t="str">
        <v/>
      </c>
      <c r="AF398" s="8" t="str">
        <v/>
      </c>
      <c r="AG398" s="8" t="str">
        <v/>
      </c>
      <c r="AH398" s="8" t="str">
        <v/>
      </c>
      <c r="AI398" s="8" t="n">
        <v>10</v>
      </c>
      <c r="AJ398" s="8" t="str">
        <v>60～69</v>
      </c>
      <c r="AK398" s="8" t="str">
        <v>5～9</v>
      </c>
      <c r="AL398" s="8" t="str">
        <v>10～19</v>
      </c>
      <c r="AM398" s="8" t="str">
        <v>120～139</v>
      </c>
      <c r="AN398" s="8" t="str">
        <v>7以下</v>
      </c>
      <c r="AO398" s="8" t="str">
        <f aca="false">IF(A398="","",IF(COUNTIFS(全馬データ!$A$2:$A$50000,A398,全馬データ!$B$2:$B$50000,B398,全馬データ!$C$2:$C$50000,C398,全馬データ!$D$2:$D$50000,E398,全馬データ!$K$2:$K$50000,"&lt;&gt;")=0,"",SUMIFS(全馬データ!$K$2:$K$50000,全馬データ!$A$2:$A$50000,A398,全馬データ!$B$2:$B$50000,B398,全馬データ!$C$2:$C$50000,C398,全馬データ!$D$2:$D$50000,E398)))</f>
        <v/>
      </c>
      <c r="AP398" s="8" t="str">
        <f aca="false">IF(A398="","",IF(AO398="","欠損",IF(AO398&lt;=1.1,"1.0～1.1",IF(AO398&lt;1.3,"1.2",IF(AO398&lt;1.5,"1.3～1.4",IF(AO398&lt;2,"1.5～1.9","2.0以上"))))))</f>
        <v>欠損</v>
      </c>
      <c r="AQ398" s="8" t="str">
        <f aca="false">IF(A398="","",IF(ISNUMBER(SEARCH("2歳",Z398)),"2歳戦",IF(ISNUMBER(SEARCH("3歳未勝利",Z398)),"3歳未勝利",IF(ISNUMBER(SEARCH("未勝利",Z398)),"その他未勝利",IF(ISNUMBER(SEARCH("G1",Z398)),"G1",IF(ISNUMBER(SEARCH("G2",Z398)),"G2",IF(ISNUMBER(SEARCH("G3",Z398)),"G3",IF(ISNUMBER(SEARCH("古馬条件",Z398)),"古馬条件戦",IF(ISNUMBER(SEARCH("重賞",Z398)),"重賞","分類不能")))))))))</f>
        <v>分類不能</v>
      </c>
      <c r="AR398" s="4" t="s">
        <v>7798</v>
      </c>
      <c r="AS398" s="8" t="s">
        <v>7626</v>
      </c>
      <c r="AT398" s="8" t="s">
        <v>7627</v>
      </c>
      <c r="AU398" s="8" t="s">
        <v>7634</v>
      </c>
      <c r="AV398" s="8" t="s">
        <v>7635</v>
      </c>
      <c r="AW398" s="8" t="s">
        <v>7636</v>
      </c>
      <c r="AX398" s="4" t="s">
        <v>7637</v>
      </c>
      <c r="AY398" s="8" t="s">
        <v>7602</v>
      </c>
      <c r="AZ398" s="4" t="s">
        <v>7603</v>
      </c>
      <c r="BA398" s="8" t="n">
        <v>2000</v>
      </c>
      <c r="BB398" s="8" t="s">
        <v>7659</v>
      </c>
      <c r="BC398" s="4" t="s">
        <v>7619</v>
      </c>
      <c r="BD398" s="8" t="s">
        <v>7630</v>
      </c>
      <c r="BE398" s="4" t="s">
        <v>7606</v>
      </c>
      <c r="BF398" s="8" t="s">
        <v>7607</v>
      </c>
      <c r="BG398" s="8" t="s">
        <v>7631</v>
      </c>
      <c r="BH398" s="4" t="s">
        <v>7632</v>
      </c>
      <c r="BI398" s="8" t="n">
        <v>7</v>
      </c>
      <c r="BJ398" s="8" t="s">
        <v>7602</v>
      </c>
      <c r="BK398" s="4" t="s">
        <v>7653</v>
      </c>
      <c r="BL398" s="8" t="s">
        <v>7602</v>
      </c>
      <c r="BM398" s="4" t="s">
        <v>7620</v>
      </c>
      <c r="BN398" s="8" t="s">
        <v>7631</v>
      </c>
      <c r="BO398" s="8" t="s">
        <v>7680</v>
      </c>
      <c r="BP398" s="8" t="s">
        <v>7610</v>
      </c>
      <c r="BQ398" s="8" t="str">
        <f aca="false">IF(A398="","",AT398)</f>
        <v>3歳以上</v>
      </c>
      <c r="BR398" s="8" t="str">
        <f aca="false">IF(A398="","",IF(BA398&lt;=1200,"～1200",IF(BA398&lt;=1500,"1300～1500",IF(BA398=1600,"1600",IF(BA398&lt;=1800,"1700～1800",IF(BA398&lt;=2000,"1900～2000","2100以上"))))))</f>
        <v>1900～2000</v>
      </c>
      <c r="BS398" s="8" t="str">
        <f aca="false">IF(A398="","",IF(AX398="G1","G1",IF(AX398="G2","G2",IF(AX398="G3","G3",IF(AX398="L","L","その他")))))</f>
        <v>その他</v>
      </c>
      <c r="BT398" s="8" t="str">
        <f aca="false">IF(A398="","",IF(BI398="","未結合",IF(D398=BI398,"一致","不一致")))</f>
        <v>一致</v>
      </c>
      <c r="BU398" s="8" t="str">
        <f aca="false">IF(A398="","",IF(BE398="牝馬限定","牝馬限定","その他"))</f>
        <v>その他</v>
      </c>
    </row>
    <row r="399" customFormat="false" ht="15.75" hidden="false" customHeight="false" outlineLevel="0" collapsed="false">
      <c r="A399" s="6" t="n">
        <v>46194</v>
      </c>
      <c r="B399" s="4" t="s">
        <v>4172</v>
      </c>
      <c r="C399" s="8" t="n">
        <v>10</v>
      </c>
      <c r="D399" s="8" t="n">
        <v>16</v>
      </c>
      <c r="E399" s="8" t="n">
        <v>9</v>
      </c>
      <c r="F399" s="4" t="s">
        <v>4200</v>
      </c>
      <c r="G399" s="8" t="n">
        <v>74</v>
      </c>
      <c r="H399" s="8" t="n">
        <v>8</v>
      </c>
      <c r="I399" s="4" t="s">
        <v>4199</v>
      </c>
      <c r="J399" s="8" t="n">
        <v>50</v>
      </c>
      <c r="K399" s="8" t="n">
        <v>14</v>
      </c>
      <c r="L399" s="4" t="s">
        <v>1687</v>
      </c>
      <c r="M399" s="8" t="n">
        <v>34</v>
      </c>
      <c r="N399" s="8" t="n">
        <f aca="false">IF(A399="","",G399-J399)</f>
        <v>24</v>
      </c>
      <c r="O399" s="8" t="n">
        <f aca="false">IF(A399="","",J399-M399)</f>
        <v>16</v>
      </c>
      <c r="P399" s="8" t="n">
        <f aca="false">IF(A399="","",G399+J399)</f>
        <v>124</v>
      </c>
      <c r="Q399" s="8" t="str">
        <f aca="false">IF(A399="","",IF(AND(Y399&lt;&gt;"参考",G399&gt;=ルール設定!$B$2),"○",""))</f>
        <v/>
      </c>
      <c r="R399" s="8" t="str">
        <f aca="false">IF(A399="","",IF(AND(Y399&lt;&gt;"参考",G399&gt;=ルール設定!$B$3,N399&gt;=ルール設定!$B$4),"○",""))</f>
        <v/>
      </c>
      <c r="S399" s="8" t="str">
        <f aca="false">IF(A399="","",IF(AND(Y399&lt;&gt;"参考",G399&gt;=ルール設定!$B$5,J399&gt;=ルール設定!$B$6,O399&gt;=ルール設定!$B$7),"○",""))</f>
        <v/>
      </c>
      <c r="T399" s="8" t="n">
        <v>4</v>
      </c>
      <c r="U399" s="8" t="n">
        <v>2</v>
      </c>
      <c r="V399" s="8" t="str">
        <f aca="false">IF(A399="","",IF(AND(ISNUMBER(T399),ISNUMBER(U399)),IF(AND(T399&lt;=3,U399&lt;=3),"○","×"),""))</f>
        <v>×</v>
      </c>
      <c r="W399" s="8"/>
      <c r="X399" s="8"/>
      <c r="Y399" s="4" t="s">
        <v>7597</v>
      </c>
      <c r="Z399" s="4" t="s">
        <v>7777</v>
      </c>
      <c r="AA399" s="8" t="str">
        <v/>
      </c>
      <c r="AB399" s="8" t="str">
        <v/>
      </c>
      <c r="AC399" s="8" t="str">
        <v/>
      </c>
      <c r="AD399" s="8" t="str">
        <v/>
      </c>
      <c r="AE399" s="8" t="str">
        <v/>
      </c>
      <c r="AF399" s="8" t="str">
        <v/>
      </c>
      <c r="AG399" s="8" t="str">
        <v/>
      </c>
      <c r="AH399" s="8" t="str">
        <v/>
      </c>
      <c r="AI399" s="8" t="n">
        <v>40</v>
      </c>
      <c r="AJ399" s="8" t="str">
        <v>70～74</v>
      </c>
      <c r="AK399" s="8" t="str">
        <v>20～29</v>
      </c>
      <c r="AL399" s="8" t="str">
        <v>40以上</v>
      </c>
      <c r="AM399" s="8" t="str">
        <v>120～139</v>
      </c>
      <c r="AN399" s="8" t="str">
        <v>15以上</v>
      </c>
      <c r="AO399" s="8" t="str">
        <f aca="false">IF(A399="","",IF(COUNTIFS(全馬データ!$A$2:$A$50000,A399,全馬データ!$B$2:$B$50000,B399,全馬データ!$C$2:$C$50000,C399,全馬データ!$D$2:$D$50000,E399,全馬データ!$K$2:$K$50000,"&lt;&gt;")=0,"",SUMIFS(全馬データ!$K$2:$K$50000,全馬データ!$A$2:$A$50000,A399,全馬データ!$B$2:$B$50000,B399,全馬データ!$C$2:$C$50000,C399,全馬データ!$D$2:$D$50000,E399)))</f>
        <v/>
      </c>
      <c r="AP399" s="8" t="str">
        <f aca="false">IF(A399="","",IF(AO399="","欠損",IF(AO399&lt;=1.1,"1.0～1.1",IF(AO399&lt;1.3,"1.2",IF(AO399&lt;1.5,"1.3～1.4",IF(AO399&lt;2,"1.5～1.9","2.0以上"))))))</f>
        <v>欠損</v>
      </c>
      <c r="AQ399" s="8" t="str">
        <f aca="false">IF(A399="","",IF(ISNUMBER(SEARCH("2歳",Z399)),"2歳戦",IF(ISNUMBER(SEARCH("3歳未勝利",Z399)),"3歳未勝利",IF(ISNUMBER(SEARCH("未勝利",Z399)),"その他未勝利",IF(ISNUMBER(SEARCH("G1",Z399)),"G1",IF(ISNUMBER(SEARCH("G2",Z399)),"G2",IF(ISNUMBER(SEARCH("G3",Z399)),"G3",IF(ISNUMBER(SEARCH("古馬条件",Z399)),"古馬条件戦",IF(ISNUMBER(SEARCH("重賞",Z399)),"重賞","分類不能")))))))))</f>
        <v>分類不能</v>
      </c>
      <c r="AR399" s="4" t="s">
        <v>7799</v>
      </c>
      <c r="AS399" s="8" t="s">
        <v>7626</v>
      </c>
      <c r="AT399" s="8" t="s">
        <v>7627</v>
      </c>
      <c r="AU399" s="8" t="s">
        <v>7639</v>
      </c>
      <c r="AV399" s="8" t="s">
        <v>7640</v>
      </c>
      <c r="AW399" s="8" t="s">
        <v>7636</v>
      </c>
      <c r="AX399" s="4" t="s">
        <v>7637</v>
      </c>
      <c r="AY399" s="8" t="s">
        <v>7610</v>
      </c>
      <c r="AZ399" s="4" t="s">
        <v>7617</v>
      </c>
      <c r="BA399" s="8" t="n">
        <v>1800</v>
      </c>
      <c r="BB399" s="8" t="s">
        <v>7657</v>
      </c>
      <c r="BC399" s="4" t="s">
        <v>7658</v>
      </c>
      <c r="BD399" s="8" t="s">
        <v>7630</v>
      </c>
      <c r="BE399" s="4" t="s">
        <v>7606</v>
      </c>
      <c r="BF399" s="8" t="s">
        <v>7607</v>
      </c>
      <c r="BG399" s="8" t="s">
        <v>7631</v>
      </c>
      <c r="BH399" s="4" t="s">
        <v>7632</v>
      </c>
      <c r="BI399" s="8" t="n">
        <v>16</v>
      </c>
      <c r="BJ399" s="8" t="s">
        <v>7602</v>
      </c>
      <c r="BK399" s="4" t="s">
        <v>7653</v>
      </c>
      <c r="BL399" s="8" t="s">
        <v>7602</v>
      </c>
      <c r="BM399" s="4" t="s">
        <v>7620</v>
      </c>
      <c r="BN399" s="8"/>
      <c r="BO399" s="8"/>
      <c r="BP399" s="8" t="s">
        <v>7610</v>
      </c>
      <c r="BQ399" s="8" t="str">
        <f aca="false">IF(A399="","",AT399)</f>
        <v>3歳以上</v>
      </c>
      <c r="BR399" s="8" t="str">
        <f aca="false">IF(A399="","",IF(BA399&lt;=1200,"～1200",IF(BA399&lt;=1500,"1300～1500",IF(BA399=1600,"1600",IF(BA399&lt;=1800,"1700～1800",IF(BA399&lt;=2000,"1900～2000","2100以上"))))))</f>
        <v>1700～1800</v>
      </c>
      <c r="BS399" s="8" t="str">
        <f aca="false">IF(A399="","",IF(AX399="G1","G1",IF(AX399="G2","G2",IF(AX399="G3","G3",IF(AX399="L","L","その他")))))</f>
        <v>その他</v>
      </c>
      <c r="BT399" s="8" t="str">
        <f aca="false">IF(A399="","",IF(BI399="","未結合",IF(D399=BI399,"一致","不一致")))</f>
        <v>一致</v>
      </c>
      <c r="BU399" s="8" t="str">
        <f aca="false">IF(A399="","",IF(BE399="牝馬限定","牝馬限定","その他"))</f>
        <v>その他</v>
      </c>
    </row>
    <row r="400" customFormat="false" ht="15.75" hidden="false" customHeight="false" outlineLevel="0" collapsed="false">
      <c r="A400" s="6" t="n">
        <v>46194</v>
      </c>
      <c r="B400" s="4" t="s">
        <v>4172</v>
      </c>
      <c r="C400" s="8" t="n">
        <v>11</v>
      </c>
      <c r="D400" s="8" t="n">
        <v>18</v>
      </c>
      <c r="E400" s="8" t="n">
        <v>14</v>
      </c>
      <c r="F400" s="4" t="s">
        <v>4215</v>
      </c>
      <c r="G400" s="8" t="n">
        <v>47</v>
      </c>
      <c r="H400" s="8" t="n">
        <v>5</v>
      </c>
      <c r="I400" s="4" t="s">
        <v>545</v>
      </c>
      <c r="J400" s="8" t="n">
        <v>39</v>
      </c>
      <c r="K400" s="8" t="n">
        <v>8</v>
      </c>
      <c r="L400" s="4" t="s">
        <v>4211</v>
      </c>
      <c r="M400" s="8" t="n">
        <v>39</v>
      </c>
      <c r="N400" s="8" t="n">
        <f aca="false">IF(A400="","",G400-J400)</f>
        <v>8</v>
      </c>
      <c r="O400" s="8" t="n">
        <f aca="false">IF(A400="","",J400-M400)</f>
        <v>0</v>
      </c>
      <c r="P400" s="8" t="n">
        <f aca="false">IF(A400="","",G400+J400)</f>
        <v>86</v>
      </c>
      <c r="Q400" s="8" t="str">
        <f aca="false">IF(A400="","",IF(AND(Y400&lt;&gt;"参考",G400&gt;=ルール設定!$B$2),"○",""))</f>
        <v/>
      </c>
      <c r="R400" s="8" t="str">
        <f aca="false">IF(A400="","",IF(AND(Y400&lt;&gt;"参考",G400&gt;=ルール設定!$B$3,N400&gt;=ルール設定!$B$4),"○",""))</f>
        <v/>
      </c>
      <c r="S400" s="8" t="str">
        <f aca="false">IF(A400="","",IF(AND(Y400&lt;&gt;"参考",G400&gt;=ルール設定!$B$5,J400&gt;=ルール設定!$B$6,O400&gt;=ルール設定!$B$7),"○",""))</f>
        <v/>
      </c>
      <c r="T400" s="8" t="n">
        <v>4</v>
      </c>
      <c r="U400" s="8" t="n">
        <v>4</v>
      </c>
      <c r="V400" s="8" t="str">
        <f aca="false">IF(A400="","",IF(AND(ISNUMBER(T400),ISNUMBER(U400)),IF(AND(T400&lt;=3,U400&lt;=3),"○","×"),""))</f>
        <v>×</v>
      </c>
      <c r="W400" s="8"/>
      <c r="X400" s="8"/>
      <c r="Y400" s="4" t="s">
        <v>7597</v>
      </c>
      <c r="Z400" s="4" t="s">
        <v>7777</v>
      </c>
      <c r="AA400" s="8" t="str">
        <v/>
      </c>
      <c r="AB400" s="8" t="str">
        <v/>
      </c>
      <c r="AC400" s="8" t="str">
        <v/>
      </c>
      <c r="AD400" s="8" t="str">
        <v/>
      </c>
      <c r="AE400" s="8" t="str">
        <v/>
      </c>
      <c r="AF400" s="8" t="str">
        <v/>
      </c>
      <c r="AG400" s="8" t="str">
        <v/>
      </c>
      <c r="AH400" s="8" t="str">
        <v/>
      </c>
      <c r="AI400" s="8" t="n">
        <v>8</v>
      </c>
      <c r="AJ400" s="8" t="str">
        <v>～59</v>
      </c>
      <c r="AK400" s="8" t="str">
        <v>5～9</v>
      </c>
      <c r="AL400" s="8" t="str">
        <v>0～9</v>
      </c>
      <c r="AM400" s="8" t="str">
        <v>～99</v>
      </c>
      <c r="AN400" s="8" t="str">
        <v>15以上</v>
      </c>
      <c r="AO400" s="8" t="str">
        <f aca="false">IF(A400="","",IF(COUNTIFS(全馬データ!$A$2:$A$50000,A400,全馬データ!$B$2:$B$50000,B400,全馬データ!$C$2:$C$50000,C400,全馬データ!$D$2:$D$50000,E400,全馬データ!$K$2:$K$50000,"&lt;&gt;")=0,"",SUMIFS(全馬データ!$K$2:$K$50000,全馬データ!$A$2:$A$50000,A400,全馬データ!$B$2:$B$50000,B400,全馬データ!$C$2:$C$50000,C400,全馬データ!$D$2:$D$50000,E400)))</f>
        <v/>
      </c>
      <c r="AP400" s="8" t="str">
        <f aca="false">IF(A400="","",IF(AO400="","欠損",IF(AO400&lt;=1.1,"1.0～1.1",IF(AO400&lt;1.3,"1.2",IF(AO400&lt;1.5,"1.3～1.4",IF(AO400&lt;2,"1.5～1.9","2.0以上"))))))</f>
        <v>欠損</v>
      </c>
      <c r="AQ400" s="8" t="str">
        <f aca="false">IF(A400="","",IF(ISNUMBER(SEARCH("2歳",Z400)),"2歳戦",IF(ISNUMBER(SEARCH("3歳未勝利",Z400)),"3歳未勝利",IF(ISNUMBER(SEARCH("未勝利",Z400)),"その他未勝利",IF(ISNUMBER(SEARCH("G1",Z400)),"G1",IF(ISNUMBER(SEARCH("G2",Z400)),"G2",IF(ISNUMBER(SEARCH("G3",Z400)),"G3",IF(ISNUMBER(SEARCH("古馬条件",Z400)),"古馬条件戦",IF(ISNUMBER(SEARCH("重賞",Z400)),"重賞","分類不能")))))))))</f>
        <v>分類不能</v>
      </c>
      <c r="AR400" s="4" t="s">
        <v>7800</v>
      </c>
      <c r="AS400" s="8" t="s">
        <v>7626</v>
      </c>
      <c r="AT400" s="8" t="s">
        <v>7627</v>
      </c>
      <c r="AU400" s="8" t="s">
        <v>7643</v>
      </c>
      <c r="AV400" s="4" t="s">
        <v>7644</v>
      </c>
      <c r="AW400" s="8" t="s">
        <v>7608</v>
      </c>
      <c r="AX400" s="8" t="s">
        <v>7664</v>
      </c>
      <c r="AY400" s="8" t="s">
        <v>7602</v>
      </c>
      <c r="AZ400" s="4" t="s">
        <v>7603</v>
      </c>
      <c r="BA400" s="8" t="n">
        <v>1600</v>
      </c>
      <c r="BB400" s="8" t="s">
        <v>7659</v>
      </c>
      <c r="BC400" s="4" t="s">
        <v>7619</v>
      </c>
      <c r="BD400" s="8" t="s">
        <v>7666</v>
      </c>
      <c r="BE400" s="4" t="s">
        <v>7606</v>
      </c>
      <c r="BF400" s="8" t="s">
        <v>7607</v>
      </c>
      <c r="BG400" s="8" t="s">
        <v>7610</v>
      </c>
      <c r="BH400" s="4" t="s">
        <v>7646</v>
      </c>
      <c r="BI400" s="8" t="n">
        <v>18</v>
      </c>
      <c r="BJ400" s="8" t="s">
        <v>7602</v>
      </c>
      <c r="BK400" s="4" t="s">
        <v>7653</v>
      </c>
      <c r="BL400" s="8" t="s">
        <v>7610</v>
      </c>
      <c r="BM400" s="4" t="s">
        <v>7612</v>
      </c>
      <c r="BN400" s="8" t="s">
        <v>7631</v>
      </c>
      <c r="BO400" s="8" t="s">
        <v>7680</v>
      </c>
      <c r="BP400" s="8" t="s">
        <v>7610</v>
      </c>
      <c r="BQ400" s="8" t="str">
        <f aca="false">IF(A400="","",AT400)</f>
        <v>3歳以上</v>
      </c>
      <c r="BR400" s="8" t="str">
        <f aca="false">IF(A400="","",IF(BA400&lt;=1200,"～1200",IF(BA400&lt;=1500,"1300～1500",IF(BA400=1600,"1600",IF(BA400&lt;=1800,"1700～1800",IF(BA400&lt;=2000,"1900～2000","2100以上"))))))</f>
        <v>1600</v>
      </c>
      <c r="BS400" s="8" t="str">
        <f aca="false">IF(A400="","",IF(AX400="G1","G1",IF(AX400="G2","G2",IF(AX400="G3","G3",IF(AX400="L","L","その他")))))</f>
        <v>G3</v>
      </c>
      <c r="BT400" s="8" t="str">
        <f aca="false">IF(A400="","",IF(BI400="","未結合",IF(D400=BI400,"一致","不一致")))</f>
        <v>一致</v>
      </c>
      <c r="BU400" s="8" t="str">
        <f aca="false">IF(A400="","",IF(BE400="牝馬限定","牝馬限定","その他"))</f>
        <v>その他</v>
      </c>
    </row>
    <row r="401" customFormat="false" ht="15.75" hidden="false" customHeight="false" outlineLevel="0" collapsed="false">
      <c r="A401" s="6" t="n">
        <v>46194</v>
      </c>
      <c r="B401" s="4" t="s">
        <v>4172</v>
      </c>
      <c r="C401" s="8" t="n">
        <v>12</v>
      </c>
      <c r="D401" s="8" t="n">
        <v>13</v>
      </c>
      <c r="E401" s="8" t="n">
        <v>13</v>
      </c>
      <c r="F401" s="4" t="s">
        <v>4227</v>
      </c>
      <c r="G401" s="8" t="n">
        <v>56</v>
      </c>
      <c r="H401" s="8" t="n">
        <v>12</v>
      </c>
      <c r="I401" s="4" t="s">
        <v>4226</v>
      </c>
      <c r="J401" s="8" t="n">
        <v>37</v>
      </c>
      <c r="K401" s="8" t="n">
        <v>2</v>
      </c>
      <c r="L401" s="4" t="s">
        <v>4221</v>
      </c>
      <c r="M401" s="8" t="n">
        <v>34</v>
      </c>
      <c r="N401" s="8" t="n">
        <f aca="false">IF(A401="","",G401-J401)</f>
        <v>19</v>
      </c>
      <c r="O401" s="8" t="n">
        <f aca="false">IF(A401="","",J401-M401)</f>
        <v>3</v>
      </c>
      <c r="P401" s="8" t="n">
        <f aca="false">IF(A401="","",G401+J401)</f>
        <v>93</v>
      </c>
      <c r="Q401" s="8" t="str">
        <f aca="false">IF(A401="","",IF(AND(Y401&lt;&gt;"参考",G401&gt;=ルール設定!$B$2),"○",""))</f>
        <v/>
      </c>
      <c r="R401" s="8" t="str">
        <f aca="false">IF(A401="","",IF(AND(Y401&lt;&gt;"参考",G401&gt;=ルール設定!$B$3,N401&gt;=ルール設定!$B$4),"○",""))</f>
        <v/>
      </c>
      <c r="S401" s="8" t="str">
        <f aca="false">IF(A401="","",IF(AND(Y401&lt;&gt;"参考",G401&gt;=ルール設定!$B$5,J401&gt;=ルール設定!$B$6,O401&gt;=ルール設定!$B$7),"○",""))</f>
        <v/>
      </c>
      <c r="T401" s="8" t="n">
        <v>4</v>
      </c>
      <c r="U401" s="8" t="n">
        <v>1</v>
      </c>
      <c r="V401" s="8" t="str">
        <f aca="false">IF(A401="","",IF(AND(ISNUMBER(T401),ISNUMBER(U401)),IF(AND(T401&lt;=3,U401&lt;=3),"○","×"),""))</f>
        <v>×</v>
      </c>
      <c r="W401" s="8"/>
      <c r="X401" s="8"/>
      <c r="Y401" s="4" t="s">
        <v>7597</v>
      </c>
      <c r="Z401" s="4" t="s">
        <v>7777</v>
      </c>
      <c r="AA401" s="8" t="str">
        <v/>
      </c>
      <c r="AB401" s="8" t="str">
        <v/>
      </c>
      <c r="AC401" s="8" t="str">
        <v/>
      </c>
      <c r="AD401" s="8" t="str">
        <v/>
      </c>
      <c r="AE401" s="8" t="str">
        <v/>
      </c>
      <c r="AF401" s="8" t="str">
        <v/>
      </c>
      <c r="AG401" s="8" t="str">
        <v/>
      </c>
      <c r="AH401" s="8" t="str">
        <v/>
      </c>
      <c r="AI401" s="8" t="n">
        <v>22</v>
      </c>
      <c r="AJ401" s="8" t="str">
        <v>～59</v>
      </c>
      <c r="AK401" s="8" t="str">
        <v>10～19</v>
      </c>
      <c r="AL401" s="8" t="str">
        <v>20～29</v>
      </c>
      <c r="AM401" s="8" t="str">
        <v>～99</v>
      </c>
      <c r="AN401" s="8" t="str">
        <v>12～14</v>
      </c>
      <c r="AO401" s="8" t="str">
        <f aca="false">IF(A401="","",IF(COUNTIFS(全馬データ!$A$2:$A$50000,A401,全馬データ!$B$2:$B$50000,B401,全馬データ!$C$2:$C$50000,C401,全馬データ!$D$2:$D$50000,E401,全馬データ!$K$2:$K$50000,"&lt;&gt;")=0,"",SUMIFS(全馬データ!$K$2:$K$50000,全馬データ!$A$2:$A$50000,A401,全馬データ!$B$2:$B$50000,B401,全馬データ!$C$2:$C$50000,C401,全馬データ!$D$2:$D$50000,E401)))</f>
        <v/>
      </c>
      <c r="AP401" s="8" t="str">
        <f aca="false">IF(A401="","",IF(AO401="","欠損",IF(AO401&lt;=1.1,"1.0～1.1",IF(AO401&lt;1.3,"1.2",IF(AO401&lt;1.5,"1.3～1.4",IF(AO401&lt;2,"1.5～1.9","2.0以上"))))))</f>
        <v>欠損</v>
      </c>
      <c r="AQ401" s="8" t="str">
        <f aca="false">IF(A401="","",IF(ISNUMBER(SEARCH("2歳",Z401)),"2歳戦",IF(ISNUMBER(SEARCH("3歳未勝利",Z401)),"3歳未勝利",IF(ISNUMBER(SEARCH("未勝利",Z401)),"その他未勝利",IF(ISNUMBER(SEARCH("G1",Z401)),"G1",IF(ISNUMBER(SEARCH("G2",Z401)),"G2",IF(ISNUMBER(SEARCH("G3",Z401)),"G3",IF(ISNUMBER(SEARCH("古馬条件",Z401)),"古馬条件戦",IF(ISNUMBER(SEARCH("重賞",Z401)),"重賞","分類不能")))))))))</f>
        <v>分類不能</v>
      </c>
      <c r="AR401" s="8"/>
      <c r="AS401" s="8" t="s">
        <v>7626</v>
      </c>
      <c r="AT401" s="8" t="s">
        <v>7627</v>
      </c>
      <c r="AU401" s="8" t="s">
        <v>7634</v>
      </c>
      <c r="AV401" s="8" t="s">
        <v>7635</v>
      </c>
      <c r="AW401" s="8"/>
      <c r="AX401" s="8"/>
      <c r="AY401" s="8" t="s">
        <v>7610</v>
      </c>
      <c r="AZ401" s="4" t="s">
        <v>7617</v>
      </c>
      <c r="BA401" s="8" t="n">
        <v>1800</v>
      </c>
      <c r="BB401" s="8" t="s">
        <v>7657</v>
      </c>
      <c r="BC401" s="4" t="s">
        <v>7658</v>
      </c>
      <c r="BD401" s="8" t="s">
        <v>7605</v>
      </c>
      <c r="BE401" s="4" t="s">
        <v>7606</v>
      </c>
      <c r="BF401" s="8" t="s">
        <v>7607</v>
      </c>
      <c r="BG401" s="8" t="s">
        <v>7631</v>
      </c>
      <c r="BH401" s="4" t="s">
        <v>7632</v>
      </c>
      <c r="BI401" s="8" t="n">
        <v>13</v>
      </c>
      <c r="BJ401" s="8" t="s">
        <v>7602</v>
      </c>
      <c r="BK401" s="4" t="s">
        <v>7653</v>
      </c>
      <c r="BL401" s="8" t="s">
        <v>7602</v>
      </c>
      <c r="BM401" s="4" t="s">
        <v>7620</v>
      </c>
      <c r="BN401" s="8"/>
      <c r="BO401" s="8"/>
      <c r="BP401" s="8" t="s">
        <v>7610</v>
      </c>
      <c r="BQ401" s="8" t="str">
        <f aca="false">IF(A401="","",AT401)</f>
        <v>3歳以上</v>
      </c>
      <c r="BR401" s="8" t="str">
        <f aca="false">IF(A401="","",IF(BA401&lt;=1200,"～1200",IF(BA401&lt;=1500,"1300～1500",IF(BA401=1600,"1600",IF(BA401&lt;=1800,"1700～1800",IF(BA401&lt;=2000,"1900～2000","2100以上"))))))</f>
        <v>1700～1800</v>
      </c>
      <c r="BS401" s="8" t="str">
        <f aca="false">IF(A401="","",IF(AX401="G1","G1",IF(AX401="G2","G2",IF(AX401="G3","G3",IF(AX401="L","L","その他")))))</f>
        <v>その他</v>
      </c>
      <c r="BT401" s="8" t="str">
        <f aca="false">IF(A401="","",IF(BI401="","未結合",IF(D401=BI401,"一致","不一致")))</f>
        <v>一致</v>
      </c>
      <c r="BU401" s="8" t="str">
        <f aca="false">IF(A401="","",IF(BE401="牝馬限定","牝馬限定","その他"))</f>
        <v>その他</v>
      </c>
    </row>
    <row r="402" customFormat="false" ht="15.75" hidden="false" customHeight="false" outlineLevel="0" collapsed="false">
      <c r="A402" s="6" t="n">
        <v>46194</v>
      </c>
      <c r="B402" s="4" t="s">
        <v>1237</v>
      </c>
      <c r="C402" s="8" t="n">
        <v>1</v>
      </c>
      <c r="D402" s="8" t="n">
        <v>16</v>
      </c>
      <c r="E402" s="8" t="n">
        <v>1</v>
      </c>
      <c r="F402" s="4" t="s">
        <v>4228</v>
      </c>
      <c r="G402" s="8" t="n">
        <v>52</v>
      </c>
      <c r="H402" s="8" t="n">
        <v>3</v>
      </c>
      <c r="I402" s="4" t="s">
        <v>1376</v>
      </c>
      <c r="J402" s="8" t="n">
        <v>50</v>
      </c>
      <c r="K402" s="8" t="n">
        <v>11</v>
      </c>
      <c r="L402" s="4" t="s">
        <v>814</v>
      </c>
      <c r="M402" s="8" t="n">
        <v>39</v>
      </c>
      <c r="N402" s="8" t="n">
        <f aca="false">IF(A402="","",G402-J402)</f>
        <v>2</v>
      </c>
      <c r="O402" s="8" t="n">
        <f aca="false">IF(A402="","",J402-M402)</f>
        <v>11</v>
      </c>
      <c r="P402" s="8" t="n">
        <f aca="false">IF(A402="","",G402+J402)</f>
        <v>102</v>
      </c>
      <c r="Q402" s="8" t="str">
        <f aca="false">IF(A402="","",IF(AND(Y402&lt;&gt;"参考",G402&gt;=ルール設定!$B$2),"○",""))</f>
        <v/>
      </c>
      <c r="R402" s="8" t="str">
        <f aca="false">IF(A402="","",IF(AND(Y402&lt;&gt;"参考",G402&gt;=ルール設定!$B$3,N402&gt;=ルール設定!$B$4),"○",""))</f>
        <v/>
      </c>
      <c r="S402" s="8" t="str">
        <f aca="false">IF(A402="","",IF(AND(Y402&lt;&gt;"参考",G402&gt;=ルール設定!$B$5,J402&gt;=ルール設定!$B$6,O402&gt;=ルール設定!$B$7),"○",""))</f>
        <v/>
      </c>
      <c r="T402" s="8" t="n">
        <v>4</v>
      </c>
      <c r="U402" s="8" t="n">
        <v>3</v>
      </c>
      <c r="V402" s="8" t="str">
        <f aca="false">IF(A402="","",IF(AND(ISNUMBER(T402),ISNUMBER(U402)),IF(AND(T402&lt;=3,U402&lt;=3),"○","×"),""))</f>
        <v>×</v>
      </c>
      <c r="W402" s="8"/>
      <c r="X402" s="8"/>
      <c r="Y402" s="4" t="s">
        <v>7597</v>
      </c>
      <c r="Z402" s="4" t="s">
        <v>7777</v>
      </c>
      <c r="AA402" s="8" t="str">
        <v/>
      </c>
      <c r="AB402" s="8" t="str">
        <v/>
      </c>
      <c r="AC402" s="8" t="str">
        <v/>
      </c>
      <c r="AD402" s="8" t="str">
        <v/>
      </c>
      <c r="AE402" s="8" t="str">
        <v/>
      </c>
      <c r="AF402" s="8" t="str">
        <v/>
      </c>
      <c r="AG402" s="8" t="str">
        <v/>
      </c>
      <c r="AH402" s="8" t="str">
        <v/>
      </c>
      <c r="AI402" s="8" t="n">
        <v>13</v>
      </c>
      <c r="AJ402" s="8" t="str">
        <v>～59</v>
      </c>
      <c r="AK402" s="8" t="str">
        <v>0～4</v>
      </c>
      <c r="AL402" s="8" t="str">
        <v>10～19</v>
      </c>
      <c r="AM402" s="8" t="str">
        <v>100～119</v>
      </c>
      <c r="AN402" s="8" t="str">
        <v>15以上</v>
      </c>
      <c r="AO402" s="8" t="str">
        <f aca="false">IF(A402="","",IF(COUNTIFS(全馬データ!$A$2:$A$50000,A402,全馬データ!$B$2:$B$50000,B402,全馬データ!$C$2:$C$50000,C402,全馬データ!$D$2:$D$50000,E402,全馬データ!$K$2:$K$50000,"&lt;&gt;")=0,"",SUMIFS(全馬データ!$K$2:$K$50000,全馬データ!$A$2:$A$50000,A402,全馬データ!$B$2:$B$50000,B402,全馬データ!$C$2:$C$50000,C402,全馬データ!$D$2:$D$50000,E402)))</f>
        <v/>
      </c>
      <c r="AP402" s="8" t="str">
        <f aca="false">IF(A402="","",IF(AO402="","欠損",IF(AO402&lt;=1.1,"1.0～1.1",IF(AO402&lt;1.3,"1.2",IF(AO402&lt;1.5,"1.3～1.4",IF(AO402&lt;2,"1.5～1.9","2.0以上"))))))</f>
        <v>欠損</v>
      </c>
      <c r="AQ402" s="8" t="str">
        <f aca="false">IF(A402="","",IF(ISNUMBER(SEARCH("2歳",Z402)),"2歳戦",IF(ISNUMBER(SEARCH("3歳未勝利",Z402)),"3歳未勝利",IF(ISNUMBER(SEARCH("未勝利",Z402)),"その他未勝利",IF(ISNUMBER(SEARCH("G1",Z402)),"G1",IF(ISNUMBER(SEARCH("G2",Z402)),"G2",IF(ISNUMBER(SEARCH("G3",Z402)),"G3",IF(ISNUMBER(SEARCH("古馬条件",Z402)),"古馬条件戦",IF(ISNUMBER(SEARCH("重賞",Z402)),"重賞","分類不能")))))))))</f>
        <v>分類不能</v>
      </c>
      <c r="AR402" s="8"/>
      <c r="AS402" s="8" t="s">
        <v>7623</v>
      </c>
      <c r="AT402" s="8" t="s">
        <v>7624</v>
      </c>
      <c r="AU402" s="8" t="s">
        <v>7600</v>
      </c>
      <c r="AV402" s="4" t="s">
        <v>7601</v>
      </c>
      <c r="AW402" s="8"/>
      <c r="AX402" s="8"/>
      <c r="AY402" s="8" t="s">
        <v>7602</v>
      </c>
      <c r="AZ402" s="4" t="s">
        <v>7603</v>
      </c>
      <c r="BA402" s="8" t="n">
        <v>1200</v>
      </c>
      <c r="BB402" s="8" t="s">
        <v>7598</v>
      </c>
      <c r="BC402" s="4" t="s">
        <v>7604</v>
      </c>
      <c r="BD402" s="8" t="s">
        <v>7621</v>
      </c>
      <c r="BE402" s="4" t="s">
        <v>7622</v>
      </c>
      <c r="BF402" s="8" t="s">
        <v>7602</v>
      </c>
      <c r="BG402" s="8" t="s">
        <v>7608</v>
      </c>
      <c r="BH402" s="4" t="s">
        <v>7609</v>
      </c>
      <c r="BI402" s="8" t="n">
        <v>16</v>
      </c>
      <c r="BJ402" s="8" t="s">
        <v>7602</v>
      </c>
      <c r="BK402" s="4" t="s">
        <v>7653</v>
      </c>
      <c r="BL402" s="8" t="s">
        <v>7602</v>
      </c>
      <c r="BM402" s="4" t="s">
        <v>7620</v>
      </c>
      <c r="BN402" s="8" t="s">
        <v>7602</v>
      </c>
      <c r="BO402" s="8" t="s">
        <v>7613</v>
      </c>
      <c r="BP402" s="8" t="s">
        <v>7608</v>
      </c>
      <c r="BQ402" s="8" t="str">
        <f aca="false">IF(A402="","",AT402)</f>
        <v>3歳</v>
      </c>
      <c r="BR402" s="8" t="str">
        <f aca="false">IF(A402="","",IF(BA402&lt;=1200,"～1200",IF(BA402&lt;=1500,"1300～1500",IF(BA402=1600,"1600",IF(BA402&lt;=1800,"1700～1800",IF(BA402&lt;=2000,"1900～2000","2100以上"))))))</f>
        <v>～1200</v>
      </c>
      <c r="BS402" s="8" t="str">
        <f aca="false">IF(A402="","",IF(AX402="G1","G1",IF(AX402="G2","G2",IF(AX402="G3","G3",IF(AX402="L","L","その他")))))</f>
        <v>その他</v>
      </c>
      <c r="BT402" s="8" t="str">
        <f aca="false">IF(A402="","",IF(BI402="","未結合",IF(D402=BI402,"一致","不一致")))</f>
        <v>一致</v>
      </c>
      <c r="BU402" s="8" t="str">
        <f aca="false">IF(A402="","",IF(BE402="牝馬限定","牝馬限定","その他"))</f>
        <v>牝馬限定</v>
      </c>
    </row>
    <row r="403" customFormat="false" ht="15.75" hidden="false" customHeight="false" outlineLevel="0" collapsed="false">
      <c r="A403" s="6" t="n">
        <v>46194</v>
      </c>
      <c r="B403" s="4" t="s">
        <v>1237</v>
      </c>
      <c r="C403" s="8" t="n">
        <v>2</v>
      </c>
      <c r="D403" s="8" t="n">
        <v>11</v>
      </c>
      <c r="E403" s="8" t="n">
        <v>8</v>
      </c>
      <c r="F403" s="4" t="s">
        <v>4234</v>
      </c>
      <c r="G403" s="8" t="n">
        <v>58</v>
      </c>
      <c r="H403" s="8" t="n">
        <v>4</v>
      </c>
      <c r="I403" s="4" t="s">
        <v>1741</v>
      </c>
      <c r="J403" s="8" t="n">
        <v>44</v>
      </c>
      <c r="K403" s="8" t="n">
        <v>2</v>
      </c>
      <c r="L403" s="4" t="s">
        <v>1268</v>
      </c>
      <c r="M403" s="8" t="n">
        <v>39</v>
      </c>
      <c r="N403" s="8" t="n">
        <f aca="false">IF(A403="","",G403-J403)</f>
        <v>14</v>
      </c>
      <c r="O403" s="8" t="n">
        <f aca="false">IF(A403="","",J403-M403)</f>
        <v>5</v>
      </c>
      <c r="P403" s="8" t="n">
        <f aca="false">IF(A403="","",G403+J403)</f>
        <v>102</v>
      </c>
      <c r="Q403" s="8" t="str">
        <f aca="false">IF(A403="","",IF(AND(Y403&lt;&gt;"参考",G403&gt;=ルール設定!$B$2),"○",""))</f>
        <v/>
      </c>
      <c r="R403" s="8" t="str">
        <f aca="false">IF(A403="","",IF(AND(Y403&lt;&gt;"参考",G403&gt;=ルール設定!$B$3,N403&gt;=ルール設定!$B$4),"○",""))</f>
        <v/>
      </c>
      <c r="S403" s="8" t="str">
        <f aca="false">IF(A403="","",IF(AND(Y403&lt;&gt;"参考",G403&gt;=ルール設定!$B$5,J403&gt;=ルール設定!$B$6,O403&gt;=ルール設定!$B$7),"○",""))</f>
        <v/>
      </c>
      <c r="T403" s="8" t="n">
        <v>4</v>
      </c>
      <c r="U403" s="8" t="n">
        <v>4</v>
      </c>
      <c r="V403" s="8" t="str">
        <f aca="false">IF(A403="","",IF(AND(ISNUMBER(T403),ISNUMBER(U403)),IF(AND(T403&lt;=3,U403&lt;=3),"○","×"),""))</f>
        <v>×</v>
      </c>
      <c r="W403" s="8"/>
      <c r="X403" s="8"/>
      <c r="Y403" s="4" t="s">
        <v>7597</v>
      </c>
      <c r="Z403" s="4" t="s">
        <v>7777</v>
      </c>
      <c r="AA403" s="8" t="str">
        <v/>
      </c>
      <c r="AB403" s="8" t="str">
        <v/>
      </c>
      <c r="AC403" s="8" t="str">
        <v/>
      </c>
      <c r="AD403" s="8" t="str">
        <v/>
      </c>
      <c r="AE403" s="8" t="str">
        <v/>
      </c>
      <c r="AF403" s="8" t="str">
        <v/>
      </c>
      <c r="AG403" s="8" t="str">
        <v/>
      </c>
      <c r="AH403" s="8" t="str">
        <v/>
      </c>
      <c r="AI403" s="8" t="n">
        <v>19</v>
      </c>
      <c r="AJ403" s="8" t="str">
        <v>～59</v>
      </c>
      <c r="AK403" s="8" t="str">
        <v>10～19</v>
      </c>
      <c r="AL403" s="8" t="str">
        <v>10～19</v>
      </c>
      <c r="AM403" s="8" t="str">
        <v>100～119</v>
      </c>
      <c r="AN403" s="8" t="str">
        <v>8～11</v>
      </c>
      <c r="AO403" s="8" t="str">
        <f aca="false">IF(A403="","",IF(COUNTIFS(全馬データ!$A$2:$A$50000,A403,全馬データ!$B$2:$B$50000,B403,全馬データ!$C$2:$C$50000,C403,全馬データ!$D$2:$D$50000,E403,全馬データ!$K$2:$K$50000,"&lt;&gt;")=0,"",SUMIFS(全馬データ!$K$2:$K$50000,全馬データ!$A$2:$A$50000,A403,全馬データ!$B$2:$B$50000,B403,全馬データ!$C$2:$C$50000,C403,全馬データ!$D$2:$D$50000,E403)))</f>
        <v/>
      </c>
      <c r="AP403" s="8" t="str">
        <f aca="false">IF(A403="","",IF(AO403="","欠損",IF(AO403&lt;=1.1,"1.0～1.1",IF(AO403&lt;1.3,"1.2",IF(AO403&lt;1.5,"1.3～1.4",IF(AO403&lt;2,"1.5～1.9","2.0以上"))))))</f>
        <v>欠損</v>
      </c>
      <c r="AQ403" s="8" t="str">
        <f aca="false">IF(A403="","",IF(ISNUMBER(SEARCH("2歳",Z403)),"2歳戦",IF(ISNUMBER(SEARCH("3歳未勝利",Z403)),"3歳未勝利",IF(ISNUMBER(SEARCH("未勝利",Z403)),"その他未勝利",IF(ISNUMBER(SEARCH("G1",Z403)),"G1",IF(ISNUMBER(SEARCH("G2",Z403)),"G2",IF(ISNUMBER(SEARCH("G3",Z403)),"G3",IF(ISNUMBER(SEARCH("古馬条件",Z403)),"古馬条件戦",IF(ISNUMBER(SEARCH("重賞",Z403)),"重賞","分類不能")))))))))</f>
        <v>分類不能</v>
      </c>
      <c r="AR403" s="8"/>
      <c r="AS403" s="8" t="s">
        <v>7623</v>
      </c>
      <c r="AT403" s="8" t="s">
        <v>7624</v>
      </c>
      <c r="AU403" s="8" t="s">
        <v>7600</v>
      </c>
      <c r="AV403" s="4" t="s">
        <v>7601</v>
      </c>
      <c r="AW403" s="8"/>
      <c r="AX403" s="8"/>
      <c r="AY403" s="8" t="s">
        <v>7610</v>
      </c>
      <c r="AZ403" s="4" t="s">
        <v>7617</v>
      </c>
      <c r="BA403" s="8" t="n">
        <v>2400</v>
      </c>
      <c r="BB403" s="8" t="s">
        <v>7598</v>
      </c>
      <c r="BC403" s="4" t="s">
        <v>7604</v>
      </c>
      <c r="BD403" s="8" t="s">
        <v>7625</v>
      </c>
      <c r="BE403" s="4" t="s">
        <v>7606</v>
      </c>
      <c r="BF403" s="8" t="s">
        <v>7607</v>
      </c>
      <c r="BG403" s="8" t="s">
        <v>7608</v>
      </c>
      <c r="BH403" s="4" t="s">
        <v>7609</v>
      </c>
      <c r="BI403" s="8" t="n">
        <v>11</v>
      </c>
      <c r="BJ403" s="8" t="s">
        <v>7602</v>
      </c>
      <c r="BK403" s="4" t="s">
        <v>7653</v>
      </c>
      <c r="BL403" s="8" t="s">
        <v>7602</v>
      </c>
      <c r="BM403" s="4" t="s">
        <v>7620</v>
      </c>
      <c r="BN403" s="8"/>
      <c r="BO403" s="8"/>
      <c r="BP403" s="8" t="s">
        <v>7608</v>
      </c>
      <c r="BQ403" s="8" t="str">
        <f aca="false">IF(A403="","",AT403)</f>
        <v>3歳</v>
      </c>
      <c r="BR403" s="8" t="str">
        <f aca="false">IF(A403="","",IF(BA403&lt;=1200,"～1200",IF(BA403&lt;=1500,"1300～1500",IF(BA403=1600,"1600",IF(BA403&lt;=1800,"1700～1800",IF(BA403&lt;=2000,"1900～2000","2100以上"))))))</f>
        <v>2100以上</v>
      </c>
      <c r="BS403" s="8" t="str">
        <f aca="false">IF(A403="","",IF(AX403="G1","G1",IF(AX403="G2","G2",IF(AX403="G3","G3",IF(AX403="L","L","その他")))))</f>
        <v>その他</v>
      </c>
      <c r="BT403" s="8" t="str">
        <f aca="false">IF(A403="","",IF(BI403="","未結合",IF(D403=BI403,"一致","不一致")))</f>
        <v>一致</v>
      </c>
      <c r="BU403" s="8" t="str">
        <f aca="false">IF(A403="","",IF(BE403="牝馬限定","牝馬限定","その他"))</f>
        <v>その他</v>
      </c>
    </row>
    <row r="404" customFormat="false" ht="15.75" hidden="false" customHeight="false" outlineLevel="0" collapsed="false">
      <c r="A404" s="6" t="n">
        <v>46194</v>
      </c>
      <c r="B404" s="4" t="s">
        <v>1237</v>
      </c>
      <c r="C404" s="8" t="n">
        <v>3</v>
      </c>
      <c r="D404" s="8" t="n">
        <v>12</v>
      </c>
      <c r="E404" s="8" t="n">
        <v>12</v>
      </c>
      <c r="F404" s="4" t="s">
        <v>1811</v>
      </c>
      <c r="G404" s="8" t="n">
        <v>86</v>
      </c>
      <c r="H404" s="8" t="n">
        <v>6</v>
      </c>
      <c r="I404" s="4" t="s">
        <v>4237</v>
      </c>
      <c r="J404" s="8" t="n">
        <v>44</v>
      </c>
      <c r="K404" s="8" t="n">
        <v>8</v>
      </c>
      <c r="L404" s="4" t="s">
        <v>4238</v>
      </c>
      <c r="M404" s="8" t="n">
        <v>39</v>
      </c>
      <c r="N404" s="8" t="n">
        <f aca="false">IF(A404="","",G404-J404)</f>
        <v>42</v>
      </c>
      <c r="O404" s="8" t="n">
        <f aca="false">IF(A404="","",J404-M404)</f>
        <v>5</v>
      </c>
      <c r="P404" s="8" t="n">
        <f aca="false">IF(A404="","",G404+J404)</f>
        <v>130</v>
      </c>
      <c r="Q404" s="8" t="str">
        <f aca="false">IF(A404="","",IF(AND(Y404&lt;&gt;"参考",G404&gt;=ルール設定!$B$2),"○",""))</f>
        <v>○</v>
      </c>
      <c r="R404" s="8" t="str">
        <f aca="false">IF(A404="","",IF(AND(Y404&lt;&gt;"参考",G404&gt;=ルール設定!$B$3,N404&gt;=ルール設定!$B$4),"○",""))</f>
        <v>○</v>
      </c>
      <c r="S404" s="8" t="str">
        <f aca="false">IF(A404="","",IF(AND(Y404&lt;&gt;"参考",G404&gt;=ルール設定!$B$5,J404&gt;=ルール設定!$B$6,O404&gt;=ルール設定!$B$7),"○",""))</f>
        <v/>
      </c>
      <c r="T404" s="8" t="n">
        <v>3</v>
      </c>
      <c r="U404" s="8" t="n">
        <v>1</v>
      </c>
      <c r="V404" s="8" t="str">
        <f aca="false">IF(A404="","",IF(AND(ISNUMBER(T404),ISNUMBER(U404)),IF(AND(T404&lt;=3,U404&lt;=3),"○","×"),""))</f>
        <v>○</v>
      </c>
      <c r="W404" s="8" t="n">
        <v>110</v>
      </c>
      <c r="X404" s="8" t="n">
        <v>260</v>
      </c>
      <c r="Y404" s="4" t="s">
        <v>7597</v>
      </c>
      <c r="Z404" s="4" t="s">
        <v>7777</v>
      </c>
      <c r="AA404" s="8" t="str">
        <v>○</v>
      </c>
      <c r="AB404" s="8" t="str">
        <v>○</v>
      </c>
      <c r="AC404" s="8" t="str">
        <v/>
      </c>
      <c r="AD404" s="8" t="str">
        <v>○</v>
      </c>
      <c r="AE404" s="8" t="str">
        <v/>
      </c>
      <c r="AF404" s="8" t="str">
        <v/>
      </c>
      <c r="AG404" s="8" t="str">
        <v>○</v>
      </c>
      <c r="AH404" s="8" t="str">
        <v/>
      </c>
      <c r="AI404" s="8" t="n">
        <v>47</v>
      </c>
      <c r="AJ404" s="8" t="str">
        <v>85以上</v>
      </c>
      <c r="AK404" s="8" t="str">
        <v>30以上</v>
      </c>
      <c r="AL404" s="8" t="str">
        <v>40以上</v>
      </c>
      <c r="AM404" s="8" t="str">
        <v>120～139</v>
      </c>
      <c r="AN404" s="8" t="str">
        <v>12～14</v>
      </c>
      <c r="AO404" s="8" t="str">
        <f aca="false">IF(A404="","",IF(COUNTIFS(全馬データ!$A$2:$A$50000,A404,全馬データ!$B$2:$B$50000,B404,全馬データ!$C$2:$C$50000,C404,全馬データ!$D$2:$D$50000,E404,全馬データ!$K$2:$K$50000,"&lt;&gt;")=0,"",SUMIFS(全馬データ!$K$2:$K$50000,全馬データ!$A$2:$A$50000,A404,全馬データ!$B$2:$B$50000,B404,全馬データ!$C$2:$C$50000,C404,全馬データ!$D$2:$D$50000,E404)))</f>
        <v/>
      </c>
      <c r="AP404" s="8" t="str">
        <f aca="false">IF(A404="","",IF(AO404="","欠損",IF(AO404&lt;=1.1,"1.0～1.1",IF(AO404&lt;1.3,"1.2",IF(AO404&lt;1.5,"1.3～1.4",IF(AO404&lt;2,"1.5～1.9","2.0以上"))))))</f>
        <v>欠損</v>
      </c>
      <c r="AQ404" s="8" t="str">
        <f aca="false">IF(A404="","",IF(ISNUMBER(SEARCH("2歳",Z404)),"2歳戦",IF(ISNUMBER(SEARCH("3歳未勝利",Z404)),"3歳未勝利",IF(ISNUMBER(SEARCH("未勝利",Z404)),"その他未勝利",IF(ISNUMBER(SEARCH("G1",Z404)),"G1",IF(ISNUMBER(SEARCH("G2",Z404)),"G2",IF(ISNUMBER(SEARCH("G3",Z404)),"G3",IF(ISNUMBER(SEARCH("古馬条件",Z404)),"古馬条件戦",IF(ISNUMBER(SEARCH("重賞",Z404)),"重賞","分類不能")))))))))</f>
        <v>分類不能</v>
      </c>
      <c r="AR404" s="8"/>
      <c r="AS404" s="8" t="s">
        <v>7623</v>
      </c>
      <c r="AT404" s="8" t="s">
        <v>7624</v>
      </c>
      <c r="AU404" s="8" t="s">
        <v>7600</v>
      </c>
      <c r="AV404" s="4" t="s">
        <v>7601</v>
      </c>
      <c r="AW404" s="8"/>
      <c r="AX404" s="8"/>
      <c r="AY404" s="8" t="s">
        <v>7610</v>
      </c>
      <c r="AZ404" s="4" t="s">
        <v>7617</v>
      </c>
      <c r="BA404" s="8" t="n">
        <v>1000</v>
      </c>
      <c r="BB404" s="8" t="s">
        <v>7598</v>
      </c>
      <c r="BC404" s="4" t="s">
        <v>7604</v>
      </c>
      <c r="BD404" s="8" t="s">
        <v>7625</v>
      </c>
      <c r="BE404" s="4" t="s">
        <v>7606</v>
      </c>
      <c r="BF404" s="8" t="s">
        <v>7607</v>
      </c>
      <c r="BG404" s="8" t="s">
        <v>7608</v>
      </c>
      <c r="BH404" s="4" t="s">
        <v>7609</v>
      </c>
      <c r="BI404" s="8" t="n">
        <v>12</v>
      </c>
      <c r="BJ404" s="8" t="s">
        <v>7602</v>
      </c>
      <c r="BK404" s="4" t="s">
        <v>7653</v>
      </c>
      <c r="BL404" s="8" t="s">
        <v>7602</v>
      </c>
      <c r="BM404" s="4" t="s">
        <v>7620</v>
      </c>
      <c r="BN404" s="8"/>
      <c r="BO404" s="8"/>
      <c r="BP404" s="8" t="s">
        <v>7608</v>
      </c>
      <c r="BQ404" s="8" t="str">
        <f aca="false">IF(A404="","",AT404)</f>
        <v>3歳</v>
      </c>
      <c r="BR404" s="8" t="str">
        <f aca="false">IF(A404="","",IF(BA404&lt;=1200,"～1200",IF(BA404&lt;=1500,"1300～1500",IF(BA404=1600,"1600",IF(BA404&lt;=1800,"1700～1800",IF(BA404&lt;=2000,"1900～2000","2100以上"))))))</f>
        <v>～1200</v>
      </c>
      <c r="BS404" s="8" t="str">
        <f aca="false">IF(A404="","",IF(AX404="G1","G1",IF(AX404="G2","G2",IF(AX404="G3","G3",IF(AX404="L","L","その他")))))</f>
        <v>その他</v>
      </c>
      <c r="BT404" s="8" t="str">
        <f aca="false">IF(A404="","",IF(BI404="","未結合",IF(D404=BI404,"一致","不一致")))</f>
        <v>一致</v>
      </c>
      <c r="BU404" s="8" t="str">
        <f aca="false">IF(A404="","",IF(BE404="牝馬限定","牝馬限定","その他"))</f>
        <v>その他</v>
      </c>
    </row>
    <row r="405" customFormat="false" ht="15.75" hidden="false" customHeight="false" outlineLevel="0" collapsed="false">
      <c r="A405" s="6" t="n">
        <v>46194</v>
      </c>
      <c r="B405" s="4" t="s">
        <v>1237</v>
      </c>
      <c r="C405" s="8" t="n">
        <v>4</v>
      </c>
      <c r="D405" s="8" t="n">
        <v>16</v>
      </c>
      <c r="E405" s="8" t="n">
        <v>8</v>
      </c>
      <c r="F405" s="4" t="s">
        <v>3273</v>
      </c>
      <c r="G405" s="8" t="n">
        <v>60</v>
      </c>
      <c r="H405" s="8" t="n">
        <v>11</v>
      </c>
      <c r="I405" s="4" t="s">
        <v>4240</v>
      </c>
      <c r="J405" s="8" t="n">
        <v>41</v>
      </c>
      <c r="K405" s="8" t="n">
        <v>1</v>
      </c>
      <c r="L405" s="4" t="s">
        <v>2233</v>
      </c>
      <c r="M405" s="8" t="n">
        <v>39</v>
      </c>
      <c r="N405" s="8" t="n">
        <f aca="false">IF(A405="","",G405-J405)</f>
        <v>19</v>
      </c>
      <c r="O405" s="8" t="n">
        <f aca="false">IF(A405="","",J405-M405)</f>
        <v>2</v>
      </c>
      <c r="P405" s="8" t="n">
        <f aca="false">IF(A405="","",G405+J405)</f>
        <v>101</v>
      </c>
      <c r="Q405" s="8" t="str">
        <f aca="false">IF(A405="","",IF(AND(Y405&lt;&gt;"参考",G405&gt;=ルール設定!$B$2),"○",""))</f>
        <v/>
      </c>
      <c r="R405" s="8" t="str">
        <f aca="false">IF(A405="","",IF(AND(Y405&lt;&gt;"参考",G405&gt;=ルール設定!$B$3,N405&gt;=ルール設定!$B$4),"○",""))</f>
        <v/>
      </c>
      <c r="S405" s="8" t="str">
        <f aca="false">IF(A405="","",IF(AND(Y405&lt;&gt;"参考",G405&gt;=ルール設定!$B$5,J405&gt;=ルール設定!$B$6,O405&gt;=ルール設定!$B$7),"○",""))</f>
        <v/>
      </c>
      <c r="T405" s="8" t="n">
        <v>4</v>
      </c>
      <c r="U405" s="8" t="n">
        <v>4</v>
      </c>
      <c r="V405" s="8" t="str">
        <f aca="false">IF(A405="","",IF(AND(ISNUMBER(T405),ISNUMBER(U405)),IF(AND(T405&lt;=3,U405&lt;=3),"○","×"),""))</f>
        <v>×</v>
      </c>
      <c r="W405" s="8"/>
      <c r="X405" s="8"/>
      <c r="Y405" s="4" t="s">
        <v>7597</v>
      </c>
      <c r="Z405" s="4" t="s">
        <v>7777</v>
      </c>
      <c r="AA405" s="8" t="str">
        <v/>
      </c>
      <c r="AB405" s="8" t="str">
        <v/>
      </c>
      <c r="AC405" s="8" t="str">
        <v/>
      </c>
      <c r="AD405" s="8" t="str">
        <v/>
      </c>
      <c r="AE405" s="8" t="str">
        <v/>
      </c>
      <c r="AF405" s="8" t="str">
        <v/>
      </c>
      <c r="AG405" s="8" t="str">
        <v/>
      </c>
      <c r="AH405" s="8" t="str">
        <v/>
      </c>
      <c r="AI405" s="8" t="n">
        <v>21</v>
      </c>
      <c r="AJ405" s="8" t="str">
        <v>60～69</v>
      </c>
      <c r="AK405" s="8" t="str">
        <v>10～19</v>
      </c>
      <c r="AL405" s="8" t="str">
        <v>20～29</v>
      </c>
      <c r="AM405" s="8" t="str">
        <v>100～119</v>
      </c>
      <c r="AN405" s="8" t="str">
        <v>15以上</v>
      </c>
      <c r="AO405" s="8" t="str">
        <f aca="false">IF(A405="","",IF(COUNTIFS(全馬データ!$A$2:$A$50000,A405,全馬データ!$B$2:$B$50000,B405,全馬データ!$C$2:$C$50000,C405,全馬データ!$D$2:$D$50000,E405,全馬データ!$K$2:$K$50000,"&lt;&gt;")=0,"",SUMIFS(全馬データ!$K$2:$K$50000,全馬データ!$A$2:$A$50000,A405,全馬データ!$B$2:$B$50000,B405,全馬データ!$C$2:$C$50000,C405,全馬データ!$D$2:$D$50000,E405)))</f>
        <v/>
      </c>
      <c r="AP405" s="8" t="str">
        <f aca="false">IF(A405="","",IF(AO405="","欠損",IF(AO405&lt;=1.1,"1.0～1.1",IF(AO405&lt;1.3,"1.2",IF(AO405&lt;1.5,"1.3～1.4",IF(AO405&lt;2,"1.5～1.9","2.0以上"))))))</f>
        <v>欠損</v>
      </c>
      <c r="AQ405" s="8" t="str">
        <f aca="false">IF(A405="","",IF(ISNUMBER(SEARCH("2歳",Z405)),"2歳戦",IF(ISNUMBER(SEARCH("3歳未勝利",Z405)),"3歳未勝利",IF(ISNUMBER(SEARCH("未勝利",Z405)),"その他未勝利",IF(ISNUMBER(SEARCH("G1",Z405)),"G1",IF(ISNUMBER(SEARCH("G2",Z405)),"G2",IF(ISNUMBER(SEARCH("G3",Z405)),"G3",IF(ISNUMBER(SEARCH("古馬条件",Z405)),"古馬条件戦",IF(ISNUMBER(SEARCH("重賞",Z405)),"重賞","分類不能")))))))))</f>
        <v>分類不能</v>
      </c>
      <c r="AR405" s="8"/>
      <c r="AS405" s="8" t="s">
        <v>7623</v>
      </c>
      <c r="AT405" s="8" t="s">
        <v>7624</v>
      </c>
      <c r="AU405" s="8" t="s">
        <v>7600</v>
      </c>
      <c r="AV405" s="4" t="s">
        <v>7601</v>
      </c>
      <c r="AW405" s="8"/>
      <c r="AX405" s="8"/>
      <c r="AY405" s="8" t="s">
        <v>7602</v>
      </c>
      <c r="AZ405" s="4" t="s">
        <v>7603</v>
      </c>
      <c r="BA405" s="8" t="n">
        <v>1800</v>
      </c>
      <c r="BB405" s="8" t="s">
        <v>7598</v>
      </c>
      <c r="BC405" s="4" t="s">
        <v>7604</v>
      </c>
      <c r="BD405" s="8" t="s">
        <v>7605</v>
      </c>
      <c r="BE405" s="4" t="s">
        <v>7606</v>
      </c>
      <c r="BF405" s="8" t="s">
        <v>7607</v>
      </c>
      <c r="BG405" s="8" t="s">
        <v>7608</v>
      </c>
      <c r="BH405" s="4" t="s">
        <v>7609</v>
      </c>
      <c r="BI405" s="8" t="n">
        <v>16</v>
      </c>
      <c r="BJ405" s="8" t="s">
        <v>7602</v>
      </c>
      <c r="BK405" s="4" t="s">
        <v>7653</v>
      </c>
      <c r="BL405" s="8" t="s">
        <v>7602</v>
      </c>
      <c r="BM405" s="4" t="s">
        <v>7620</v>
      </c>
      <c r="BN405" s="8" t="s">
        <v>7602</v>
      </c>
      <c r="BO405" s="8" t="s">
        <v>7613</v>
      </c>
      <c r="BP405" s="8" t="s">
        <v>7608</v>
      </c>
      <c r="BQ405" s="8" t="str">
        <f aca="false">IF(A405="","",AT405)</f>
        <v>3歳</v>
      </c>
      <c r="BR405" s="8" t="str">
        <f aca="false">IF(A405="","",IF(BA405&lt;=1200,"～1200",IF(BA405&lt;=1500,"1300～1500",IF(BA405=1600,"1600",IF(BA405&lt;=1800,"1700～1800",IF(BA405&lt;=2000,"1900～2000","2100以上"))))))</f>
        <v>1700～1800</v>
      </c>
      <c r="BS405" s="8" t="str">
        <f aca="false">IF(A405="","",IF(AX405="G1","G1",IF(AX405="G2","G2",IF(AX405="G3","G3",IF(AX405="L","L","その他")))))</f>
        <v>その他</v>
      </c>
      <c r="BT405" s="8" t="str">
        <f aca="false">IF(A405="","",IF(BI405="","未結合",IF(D405=BI405,"一致","不一致")))</f>
        <v>一致</v>
      </c>
      <c r="BU405" s="8" t="str">
        <f aca="false">IF(A405="","",IF(BE405="牝馬限定","牝馬限定","その他"))</f>
        <v>その他</v>
      </c>
    </row>
    <row r="406" customFormat="false" ht="15.75" hidden="false" customHeight="false" outlineLevel="0" collapsed="false">
      <c r="A406" s="6" t="n">
        <v>46194</v>
      </c>
      <c r="B406" s="4" t="s">
        <v>1237</v>
      </c>
      <c r="C406" s="8" t="n">
        <v>5</v>
      </c>
      <c r="D406" s="8" t="n">
        <v>10</v>
      </c>
      <c r="E406" s="8" t="n">
        <v>3</v>
      </c>
      <c r="F406" s="4" t="s">
        <v>3245</v>
      </c>
      <c r="G406" s="8" t="n">
        <v>31</v>
      </c>
      <c r="H406" s="8" t="n">
        <v>2</v>
      </c>
      <c r="I406" s="4" t="s">
        <v>789</v>
      </c>
      <c r="J406" s="8" t="n">
        <v>27</v>
      </c>
      <c r="K406" s="8" t="n">
        <v>10</v>
      </c>
      <c r="L406" s="4" t="s">
        <v>3696</v>
      </c>
      <c r="M406" s="8" t="n">
        <v>27</v>
      </c>
      <c r="N406" s="8" t="n">
        <f aca="false">IF(A406="","",G406-J406)</f>
        <v>4</v>
      </c>
      <c r="O406" s="8" t="n">
        <f aca="false">IF(A406="","",J406-M406)</f>
        <v>0</v>
      </c>
      <c r="P406" s="8" t="n">
        <f aca="false">IF(A406="","",G406+J406)</f>
        <v>58</v>
      </c>
      <c r="Q406" s="8" t="str">
        <f aca="false">IF(A406="","",IF(AND(Y406&lt;&gt;"参考",G406&gt;=ルール設定!$B$2),"○",""))</f>
        <v/>
      </c>
      <c r="R406" s="8" t="str">
        <f aca="false">IF(A406="","",IF(AND(Y406&lt;&gt;"参考",G406&gt;=ルール設定!$B$3,N406&gt;=ルール設定!$B$4),"○",""))</f>
        <v/>
      </c>
      <c r="S406" s="8" t="str">
        <f aca="false">IF(A406="","",IF(AND(Y406&lt;&gt;"参考",G406&gt;=ルール設定!$B$5,J406&gt;=ルール設定!$B$6,O406&gt;=ルール設定!$B$7),"○",""))</f>
        <v/>
      </c>
      <c r="T406" s="8" t="n">
        <v>2</v>
      </c>
      <c r="U406" s="8" t="n">
        <v>4</v>
      </c>
      <c r="V406" s="8" t="str">
        <f aca="false">IF(A406="","",IF(AND(ISNUMBER(T406),ISNUMBER(U406)),IF(AND(T406&lt;=3,U406&lt;=3),"○","×"),""))</f>
        <v>×</v>
      </c>
      <c r="W406" s="8" t="n">
        <v>110</v>
      </c>
      <c r="X406" s="8"/>
      <c r="Y406" s="4" t="s">
        <v>7597</v>
      </c>
      <c r="Z406" s="4" t="s">
        <v>7777</v>
      </c>
      <c r="AA406" s="8" t="str">
        <v/>
      </c>
      <c r="AB406" s="8" t="str">
        <v/>
      </c>
      <c r="AC406" s="8" t="str">
        <v/>
      </c>
      <c r="AD406" s="8" t="str">
        <v/>
      </c>
      <c r="AE406" s="8" t="str">
        <v/>
      </c>
      <c r="AF406" s="8" t="str">
        <v/>
      </c>
      <c r="AG406" s="8" t="str">
        <v/>
      </c>
      <c r="AH406" s="8" t="str">
        <v/>
      </c>
      <c r="AI406" s="8" t="n">
        <v>4</v>
      </c>
      <c r="AJ406" s="8" t="str">
        <v>～59</v>
      </c>
      <c r="AK406" s="8" t="str">
        <v>0～4</v>
      </c>
      <c r="AL406" s="8" t="str">
        <v>0～9</v>
      </c>
      <c r="AM406" s="8" t="str">
        <v>～99</v>
      </c>
      <c r="AN406" s="8" t="str">
        <v>8～11</v>
      </c>
      <c r="AO406" s="8" t="str">
        <f aca="false">IF(A406="","",IF(COUNTIFS(全馬データ!$A$2:$A$50000,A406,全馬データ!$B$2:$B$50000,B406,全馬データ!$C$2:$C$50000,C406,全馬データ!$D$2:$D$50000,E406,全馬データ!$K$2:$K$50000,"&lt;&gt;")=0,"",SUMIFS(全馬データ!$K$2:$K$50000,全馬データ!$A$2:$A$50000,A406,全馬データ!$B$2:$B$50000,B406,全馬データ!$C$2:$C$50000,C406,全馬データ!$D$2:$D$50000,E406)))</f>
        <v/>
      </c>
      <c r="AP406" s="8" t="str">
        <f aca="false">IF(A406="","",IF(AO406="","欠損",IF(AO406&lt;=1.1,"1.0～1.1",IF(AO406&lt;1.3,"1.2",IF(AO406&lt;1.5,"1.3～1.4",IF(AO406&lt;2,"1.5～1.9","2.0以上"))))))</f>
        <v>欠損</v>
      </c>
      <c r="AQ406" s="8" t="str">
        <f aca="false">IF(A406="","",IF(ISNUMBER(SEARCH("2歳",Z406)),"2歳戦",IF(ISNUMBER(SEARCH("3歳未勝利",Z406)),"3歳未勝利",IF(ISNUMBER(SEARCH("未勝利",Z406)),"その他未勝利",IF(ISNUMBER(SEARCH("G1",Z406)),"G1",IF(ISNUMBER(SEARCH("G2",Z406)),"G2",IF(ISNUMBER(SEARCH("G3",Z406)),"G3",IF(ISNUMBER(SEARCH("古馬条件",Z406)),"古馬条件戦",IF(ISNUMBER(SEARCH("重賞",Z406)),"重賞","分類不能")))))))))</f>
        <v>分類不能</v>
      </c>
      <c r="AR406" s="8"/>
      <c r="AS406" s="8" t="s">
        <v>7598</v>
      </c>
      <c r="AT406" s="8" t="s">
        <v>7599</v>
      </c>
      <c r="AU406" s="8" t="s">
        <v>7615</v>
      </c>
      <c r="AV406" s="4" t="s">
        <v>7616</v>
      </c>
      <c r="AW406" s="8"/>
      <c r="AX406" s="8"/>
      <c r="AY406" s="8" t="s">
        <v>7602</v>
      </c>
      <c r="AZ406" s="4" t="s">
        <v>7603</v>
      </c>
      <c r="BA406" s="8" t="n">
        <v>1200</v>
      </c>
      <c r="BB406" s="8" t="s">
        <v>7598</v>
      </c>
      <c r="BC406" s="4" t="s">
        <v>7604</v>
      </c>
      <c r="BD406" s="8" t="s">
        <v>7605</v>
      </c>
      <c r="BE406" s="4" t="s">
        <v>7606</v>
      </c>
      <c r="BF406" s="8" t="s">
        <v>7607</v>
      </c>
      <c r="BG406" s="8" t="s">
        <v>7608</v>
      </c>
      <c r="BH406" s="4" t="s">
        <v>7609</v>
      </c>
      <c r="BI406" s="8" t="n">
        <v>10</v>
      </c>
      <c r="BJ406" s="8" t="s">
        <v>7602</v>
      </c>
      <c r="BK406" s="4" t="s">
        <v>7653</v>
      </c>
      <c r="BL406" s="8" t="s">
        <v>7602</v>
      </c>
      <c r="BM406" s="4" t="s">
        <v>7620</v>
      </c>
      <c r="BN406" s="8" t="s">
        <v>7602</v>
      </c>
      <c r="BO406" s="8" t="s">
        <v>7613</v>
      </c>
      <c r="BP406" s="8" t="s">
        <v>7608</v>
      </c>
      <c r="BQ406" s="8" t="str">
        <f aca="false">IF(A406="","",AT406)</f>
        <v>2歳</v>
      </c>
      <c r="BR406" s="8" t="str">
        <f aca="false">IF(A406="","",IF(BA406&lt;=1200,"～1200",IF(BA406&lt;=1500,"1300～1500",IF(BA406=1600,"1600",IF(BA406&lt;=1800,"1700～1800",IF(BA406&lt;=2000,"1900～2000","2100以上"))))))</f>
        <v>～1200</v>
      </c>
      <c r="BS406" s="8" t="str">
        <f aca="false">IF(A406="","",IF(AX406="G1","G1",IF(AX406="G2","G2",IF(AX406="G3","G3",IF(AX406="L","L","その他")))))</f>
        <v>その他</v>
      </c>
      <c r="BT406" s="8" t="str">
        <f aca="false">IF(A406="","",IF(BI406="","未結合",IF(D406=BI406,"一致","不一致")))</f>
        <v>一致</v>
      </c>
      <c r="BU406" s="8" t="str">
        <f aca="false">IF(A406="","",IF(BE406="牝馬限定","牝馬限定","その他"))</f>
        <v>その他</v>
      </c>
    </row>
    <row r="407" customFormat="false" ht="15.75" hidden="false" customHeight="false" outlineLevel="0" collapsed="false">
      <c r="A407" s="6" t="n">
        <v>46194</v>
      </c>
      <c r="B407" s="4" t="s">
        <v>1237</v>
      </c>
      <c r="C407" s="8" t="n">
        <v>6</v>
      </c>
      <c r="D407" s="8" t="n">
        <v>13</v>
      </c>
      <c r="E407" s="8" t="n">
        <v>4</v>
      </c>
      <c r="F407" s="4" t="s">
        <v>2219</v>
      </c>
      <c r="G407" s="8" t="n">
        <v>71</v>
      </c>
      <c r="H407" s="8" t="n">
        <v>7</v>
      </c>
      <c r="I407" s="4" t="s">
        <v>1279</v>
      </c>
      <c r="J407" s="8" t="n">
        <v>52</v>
      </c>
      <c r="K407" s="8" t="n">
        <v>5</v>
      </c>
      <c r="L407" s="4" t="s">
        <v>1287</v>
      </c>
      <c r="M407" s="8" t="n">
        <v>31</v>
      </c>
      <c r="N407" s="8" t="n">
        <f aca="false">IF(A407="","",G407-J407)</f>
        <v>19</v>
      </c>
      <c r="O407" s="8" t="n">
        <f aca="false">IF(A407="","",J407-M407)</f>
        <v>21</v>
      </c>
      <c r="P407" s="8" t="n">
        <f aca="false">IF(A407="","",G407+J407)</f>
        <v>123</v>
      </c>
      <c r="Q407" s="8" t="str">
        <f aca="false">IF(A407="","",IF(AND(Y407&lt;&gt;"参考",G407&gt;=ルール設定!$B$2),"○",""))</f>
        <v/>
      </c>
      <c r="R407" s="8" t="str">
        <f aca="false">IF(A407="","",IF(AND(Y407&lt;&gt;"参考",G407&gt;=ルール設定!$B$3,N407&gt;=ルール設定!$B$4),"○",""))</f>
        <v/>
      </c>
      <c r="S407" s="8" t="str">
        <f aca="false">IF(A407="","",IF(AND(Y407&lt;&gt;"参考",G407&gt;=ルール設定!$B$5,J407&gt;=ルール設定!$B$6,O407&gt;=ルール設定!$B$7),"○",""))</f>
        <v>○</v>
      </c>
      <c r="T407" s="8" t="n">
        <v>4</v>
      </c>
      <c r="U407" s="8" t="n">
        <v>4</v>
      </c>
      <c r="V407" s="8" t="str">
        <f aca="false">IF(A407="","",IF(AND(ISNUMBER(T407),ISNUMBER(U407)),IF(AND(T407&lt;=3,U407&lt;=3),"○","×"),""))</f>
        <v>×</v>
      </c>
      <c r="W407" s="8"/>
      <c r="X407" s="8"/>
      <c r="Y407" s="4" t="s">
        <v>7597</v>
      </c>
      <c r="Z407" s="4" t="s">
        <v>7777</v>
      </c>
      <c r="AA407" s="8" t="str">
        <v/>
      </c>
      <c r="AB407" s="8" t="str">
        <v/>
      </c>
      <c r="AC407" s="8" t="str">
        <v/>
      </c>
      <c r="AD407" s="8" t="str">
        <v/>
      </c>
      <c r="AE407" s="8" t="str">
        <v/>
      </c>
      <c r="AF407" s="8" t="str">
        <v/>
      </c>
      <c r="AG407" s="8" t="str">
        <v/>
      </c>
      <c r="AH407" s="8" t="str">
        <v/>
      </c>
      <c r="AI407" s="8" t="n">
        <v>40</v>
      </c>
      <c r="AJ407" s="8" t="str">
        <v>70～74</v>
      </c>
      <c r="AK407" s="8" t="str">
        <v>10～19</v>
      </c>
      <c r="AL407" s="8" t="str">
        <v>40以上</v>
      </c>
      <c r="AM407" s="8" t="str">
        <v>120～139</v>
      </c>
      <c r="AN407" s="8" t="str">
        <v>12～14</v>
      </c>
      <c r="AO407" s="8" t="str">
        <f aca="false">IF(A407="","",IF(COUNTIFS(全馬データ!$A$2:$A$50000,A407,全馬データ!$B$2:$B$50000,B407,全馬データ!$C$2:$C$50000,C407,全馬データ!$D$2:$D$50000,E407,全馬データ!$K$2:$K$50000,"&lt;&gt;")=0,"",SUMIFS(全馬データ!$K$2:$K$50000,全馬データ!$A$2:$A$50000,A407,全馬データ!$B$2:$B$50000,B407,全馬データ!$C$2:$C$50000,C407,全馬データ!$D$2:$D$50000,E407)))</f>
        <v/>
      </c>
      <c r="AP407" s="8" t="str">
        <f aca="false">IF(A407="","",IF(AO407="","欠損",IF(AO407&lt;=1.1,"1.0～1.1",IF(AO407&lt;1.3,"1.2",IF(AO407&lt;1.5,"1.3～1.4",IF(AO407&lt;2,"1.5～1.9","2.0以上"))))))</f>
        <v>欠損</v>
      </c>
      <c r="AQ407" s="8" t="str">
        <f aca="false">IF(A407="","",IF(ISNUMBER(SEARCH("2歳",Z407)),"2歳戦",IF(ISNUMBER(SEARCH("3歳未勝利",Z407)),"3歳未勝利",IF(ISNUMBER(SEARCH("未勝利",Z407)),"その他未勝利",IF(ISNUMBER(SEARCH("G1",Z407)),"G1",IF(ISNUMBER(SEARCH("G2",Z407)),"G2",IF(ISNUMBER(SEARCH("G3",Z407)),"G3",IF(ISNUMBER(SEARCH("古馬条件",Z407)),"古馬条件戦",IF(ISNUMBER(SEARCH("重賞",Z407)),"重賞","分類不能")))))))))</f>
        <v>分類不能</v>
      </c>
      <c r="AR407" s="8"/>
      <c r="AS407" s="8" t="s">
        <v>7623</v>
      </c>
      <c r="AT407" s="8" t="s">
        <v>7624</v>
      </c>
      <c r="AU407" s="8" t="s">
        <v>7600</v>
      </c>
      <c r="AV407" s="4" t="s">
        <v>7601</v>
      </c>
      <c r="AW407" s="8"/>
      <c r="AX407" s="8"/>
      <c r="AY407" s="8" t="s">
        <v>7610</v>
      </c>
      <c r="AZ407" s="4" t="s">
        <v>7617</v>
      </c>
      <c r="BA407" s="8" t="n">
        <v>1700</v>
      </c>
      <c r="BB407" s="8" t="s">
        <v>7598</v>
      </c>
      <c r="BC407" s="4" t="s">
        <v>7604</v>
      </c>
      <c r="BD407" s="8" t="s">
        <v>7605</v>
      </c>
      <c r="BE407" s="4" t="s">
        <v>7606</v>
      </c>
      <c r="BF407" s="8" t="s">
        <v>7607</v>
      </c>
      <c r="BG407" s="8" t="s">
        <v>7608</v>
      </c>
      <c r="BH407" s="4" t="s">
        <v>7609</v>
      </c>
      <c r="BI407" s="8" t="n">
        <v>13</v>
      </c>
      <c r="BJ407" s="8" t="s">
        <v>7602</v>
      </c>
      <c r="BK407" s="4" t="s">
        <v>7653</v>
      </c>
      <c r="BL407" s="8" t="s">
        <v>7602</v>
      </c>
      <c r="BM407" s="4" t="s">
        <v>7620</v>
      </c>
      <c r="BN407" s="8"/>
      <c r="BO407" s="8"/>
      <c r="BP407" s="8" t="s">
        <v>7608</v>
      </c>
      <c r="BQ407" s="8" t="str">
        <f aca="false">IF(A407="","",AT407)</f>
        <v>3歳</v>
      </c>
      <c r="BR407" s="8" t="str">
        <f aca="false">IF(A407="","",IF(BA407&lt;=1200,"～1200",IF(BA407&lt;=1500,"1300～1500",IF(BA407=1600,"1600",IF(BA407&lt;=1800,"1700～1800",IF(BA407&lt;=2000,"1900～2000","2100以上"))))))</f>
        <v>1700～1800</v>
      </c>
      <c r="BS407" s="8" t="str">
        <f aca="false">IF(A407="","",IF(AX407="G1","G1",IF(AX407="G2","G2",IF(AX407="G3","G3",IF(AX407="L","L","その他")))))</f>
        <v>その他</v>
      </c>
      <c r="BT407" s="8" t="str">
        <f aca="false">IF(A407="","",IF(BI407="","未結合",IF(D407=BI407,"一致","不一致")))</f>
        <v>一致</v>
      </c>
      <c r="BU407" s="8" t="str">
        <f aca="false">IF(A407="","",IF(BE407="牝馬限定","牝馬限定","その他"))</f>
        <v>その他</v>
      </c>
    </row>
    <row r="408" customFormat="false" ht="15.75" hidden="false" customHeight="false" outlineLevel="0" collapsed="false">
      <c r="A408" s="6" t="n">
        <v>46194</v>
      </c>
      <c r="B408" s="4" t="s">
        <v>1237</v>
      </c>
      <c r="C408" s="8" t="n">
        <v>7</v>
      </c>
      <c r="D408" s="8" t="n">
        <v>11</v>
      </c>
      <c r="E408" s="8" t="n">
        <v>7</v>
      </c>
      <c r="F408" s="4" t="s">
        <v>1352</v>
      </c>
      <c r="G408" s="8" t="n">
        <v>65</v>
      </c>
      <c r="H408" s="8" t="n">
        <v>9</v>
      </c>
      <c r="I408" s="4" t="s">
        <v>4247</v>
      </c>
      <c r="J408" s="8" t="n">
        <v>58</v>
      </c>
      <c r="K408" s="8" t="n">
        <v>2</v>
      </c>
      <c r="L408" s="4" t="s">
        <v>1970</v>
      </c>
      <c r="M408" s="8" t="n">
        <v>47</v>
      </c>
      <c r="N408" s="8" t="n">
        <f aca="false">IF(A408="","",G408-J408)</f>
        <v>7</v>
      </c>
      <c r="O408" s="8" t="n">
        <f aca="false">IF(A408="","",J408-M408)</f>
        <v>11</v>
      </c>
      <c r="P408" s="8" t="n">
        <f aca="false">IF(A408="","",G408+J408)</f>
        <v>123</v>
      </c>
      <c r="Q408" s="8" t="str">
        <f aca="false">IF(A408="","",IF(AND(Y408&lt;&gt;"参考",G408&gt;=ルール設定!$B$2),"○",""))</f>
        <v/>
      </c>
      <c r="R408" s="8" t="str">
        <f aca="false">IF(A408="","",IF(AND(Y408&lt;&gt;"参考",G408&gt;=ルール設定!$B$3,N408&gt;=ルール設定!$B$4),"○",""))</f>
        <v/>
      </c>
      <c r="S408" s="8" t="str">
        <f aca="false">IF(A408="","",IF(AND(Y408&lt;&gt;"参考",G408&gt;=ルール設定!$B$5,J408&gt;=ルール設定!$B$6,O408&gt;=ルール設定!$B$7),"○",""))</f>
        <v/>
      </c>
      <c r="T408" s="8" t="n">
        <v>1</v>
      </c>
      <c r="U408" s="8" t="n">
        <v>4</v>
      </c>
      <c r="V408" s="8" t="str">
        <f aca="false">IF(A408="","",IF(AND(ISNUMBER(T408),ISNUMBER(U408)),IF(AND(T408&lt;=3,U408&lt;=3),"○","×"),""))</f>
        <v>×</v>
      </c>
      <c r="W408" s="8" t="n">
        <v>150</v>
      </c>
      <c r="X408" s="8"/>
      <c r="Y408" s="4" t="s">
        <v>7597</v>
      </c>
      <c r="Z408" s="4" t="s">
        <v>7777</v>
      </c>
      <c r="AA408" s="8" t="str">
        <v/>
      </c>
      <c r="AB408" s="8" t="str">
        <v/>
      </c>
      <c r="AC408" s="8" t="str">
        <v/>
      </c>
      <c r="AD408" s="8" t="str">
        <v/>
      </c>
      <c r="AE408" s="8" t="str">
        <v/>
      </c>
      <c r="AF408" s="8" t="str">
        <v/>
      </c>
      <c r="AG408" s="8" t="str">
        <v/>
      </c>
      <c r="AH408" s="8" t="str">
        <v/>
      </c>
      <c r="AI408" s="8" t="n">
        <v>18</v>
      </c>
      <c r="AJ408" s="8" t="str">
        <v>60～69</v>
      </c>
      <c r="AK408" s="8" t="str">
        <v>5～9</v>
      </c>
      <c r="AL408" s="8" t="str">
        <v>10～19</v>
      </c>
      <c r="AM408" s="8" t="str">
        <v>120～139</v>
      </c>
      <c r="AN408" s="8" t="str">
        <v>8～11</v>
      </c>
      <c r="AO408" s="8" t="str">
        <f aca="false">IF(A408="","",IF(COUNTIFS(全馬データ!$A$2:$A$50000,A408,全馬データ!$B$2:$B$50000,B408,全馬データ!$C$2:$C$50000,C408,全馬データ!$D$2:$D$50000,E408,全馬データ!$K$2:$K$50000,"&lt;&gt;")=0,"",SUMIFS(全馬データ!$K$2:$K$50000,全馬データ!$A$2:$A$50000,A408,全馬データ!$B$2:$B$50000,B408,全馬データ!$C$2:$C$50000,C408,全馬データ!$D$2:$D$50000,E408)))</f>
        <v/>
      </c>
      <c r="AP408" s="8" t="str">
        <f aca="false">IF(A408="","",IF(AO408="","欠損",IF(AO408&lt;=1.1,"1.0～1.1",IF(AO408&lt;1.3,"1.2",IF(AO408&lt;1.5,"1.3～1.4",IF(AO408&lt;2,"1.5～1.9","2.0以上"))))))</f>
        <v>欠損</v>
      </c>
      <c r="AQ408" s="8" t="str">
        <f aca="false">IF(A408="","",IF(ISNUMBER(SEARCH("2歳",Z408)),"2歳戦",IF(ISNUMBER(SEARCH("3歳未勝利",Z408)),"3歳未勝利",IF(ISNUMBER(SEARCH("未勝利",Z408)),"その他未勝利",IF(ISNUMBER(SEARCH("G1",Z408)),"G1",IF(ISNUMBER(SEARCH("G2",Z408)),"G2",IF(ISNUMBER(SEARCH("G3",Z408)),"G3",IF(ISNUMBER(SEARCH("古馬条件",Z408)),"古馬条件戦",IF(ISNUMBER(SEARCH("重賞",Z408)),"重賞","分類不能")))))))))</f>
        <v>分類不能</v>
      </c>
      <c r="AR408" s="8"/>
      <c r="AS408" s="8" t="s">
        <v>7626</v>
      </c>
      <c r="AT408" s="8" t="s">
        <v>7627</v>
      </c>
      <c r="AU408" s="8" t="s">
        <v>7628</v>
      </c>
      <c r="AV408" s="8" t="s">
        <v>7629</v>
      </c>
      <c r="AW408" s="8"/>
      <c r="AX408" s="8"/>
      <c r="AY408" s="8" t="s">
        <v>7602</v>
      </c>
      <c r="AZ408" s="4" t="s">
        <v>7603</v>
      </c>
      <c r="BA408" s="8" t="n">
        <v>1200</v>
      </c>
      <c r="BB408" s="8" t="s">
        <v>7598</v>
      </c>
      <c r="BC408" s="4" t="s">
        <v>7604</v>
      </c>
      <c r="BD408" s="8" t="s">
        <v>7621</v>
      </c>
      <c r="BE408" s="4" t="s">
        <v>7622</v>
      </c>
      <c r="BF408" s="8" t="s">
        <v>7602</v>
      </c>
      <c r="BG408" s="8" t="s">
        <v>7631</v>
      </c>
      <c r="BH408" s="4" t="s">
        <v>7632</v>
      </c>
      <c r="BI408" s="8" t="n">
        <v>11</v>
      </c>
      <c r="BJ408" s="8" t="s">
        <v>7602</v>
      </c>
      <c r="BK408" s="4" t="s">
        <v>7653</v>
      </c>
      <c r="BL408" s="8" t="s">
        <v>7602</v>
      </c>
      <c r="BM408" s="4" t="s">
        <v>7620</v>
      </c>
      <c r="BN408" s="8" t="s">
        <v>7602</v>
      </c>
      <c r="BO408" s="8" t="s">
        <v>7613</v>
      </c>
      <c r="BP408" s="8" t="s">
        <v>7608</v>
      </c>
      <c r="BQ408" s="8" t="str">
        <f aca="false">IF(A408="","",AT408)</f>
        <v>3歳以上</v>
      </c>
      <c r="BR408" s="8" t="str">
        <f aca="false">IF(A408="","",IF(BA408&lt;=1200,"～1200",IF(BA408&lt;=1500,"1300～1500",IF(BA408=1600,"1600",IF(BA408&lt;=1800,"1700～1800",IF(BA408&lt;=2000,"1900～2000","2100以上"))))))</f>
        <v>～1200</v>
      </c>
      <c r="BS408" s="8" t="str">
        <f aca="false">IF(A408="","",IF(AX408="G1","G1",IF(AX408="G2","G2",IF(AX408="G3","G3",IF(AX408="L","L","その他")))))</f>
        <v>その他</v>
      </c>
      <c r="BT408" s="8" t="str">
        <f aca="false">IF(A408="","",IF(BI408="","未結合",IF(D408=BI408,"一致","不一致")))</f>
        <v>一致</v>
      </c>
      <c r="BU408" s="8" t="str">
        <f aca="false">IF(A408="","",IF(BE408="牝馬限定","牝馬限定","その他"))</f>
        <v>牝馬限定</v>
      </c>
    </row>
    <row r="409" customFormat="false" ht="15.75" hidden="false" customHeight="false" outlineLevel="0" collapsed="false">
      <c r="A409" s="6" t="n">
        <v>46194</v>
      </c>
      <c r="B409" s="4" t="s">
        <v>1237</v>
      </c>
      <c r="C409" s="8" t="n">
        <v>8</v>
      </c>
      <c r="D409" s="8" t="n">
        <v>12</v>
      </c>
      <c r="E409" s="8" t="n">
        <v>5</v>
      </c>
      <c r="F409" s="4" t="s">
        <v>4140</v>
      </c>
      <c r="G409" s="8" t="n">
        <v>41</v>
      </c>
      <c r="H409" s="8" t="n">
        <v>7</v>
      </c>
      <c r="I409" s="4" t="s">
        <v>1837</v>
      </c>
      <c r="J409" s="8" t="n">
        <v>41</v>
      </c>
      <c r="K409" s="8" t="n">
        <v>9</v>
      </c>
      <c r="L409" s="4" t="s">
        <v>3291</v>
      </c>
      <c r="M409" s="8" t="n">
        <v>34</v>
      </c>
      <c r="N409" s="8" t="n">
        <f aca="false">IF(A409="","",G409-J409)</f>
        <v>0</v>
      </c>
      <c r="O409" s="8" t="n">
        <f aca="false">IF(A409="","",J409-M409)</f>
        <v>7</v>
      </c>
      <c r="P409" s="8" t="n">
        <f aca="false">IF(A409="","",G409+J409)</f>
        <v>82</v>
      </c>
      <c r="Q409" s="8" t="str">
        <f aca="false">IF(A409="","",IF(AND(Y409&lt;&gt;"参考",G409&gt;=ルール設定!$B$2),"○",""))</f>
        <v/>
      </c>
      <c r="R409" s="8" t="str">
        <f aca="false">IF(A409="","",IF(AND(Y409&lt;&gt;"参考",G409&gt;=ルール設定!$B$3,N409&gt;=ルール設定!$B$4),"○",""))</f>
        <v/>
      </c>
      <c r="S409" s="8" t="str">
        <f aca="false">IF(A409="","",IF(AND(Y409&lt;&gt;"参考",G409&gt;=ルール設定!$B$5,J409&gt;=ルール設定!$B$6,O409&gt;=ルール設定!$B$7),"○",""))</f>
        <v/>
      </c>
      <c r="T409" s="8" t="n">
        <v>4</v>
      </c>
      <c r="U409" s="8" t="n">
        <v>2</v>
      </c>
      <c r="V409" s="8" t="str">
        <f aca="false">IF(A409="","",IF(AND(ISNUMBER(T409),ISNUMBER(U409)),IF(AND(T409&lt;=3,U409&lt;=3),"○","×"),""))</f>
        <v>×</v>
      </c>
      <c r="W409" s="8"/>
      <c r="X409" s="8"/>
      <c r="Y409" s="4" t="s">
        <v>7597</v>
      </c>
      <c r="Z409" s="4" t="s">
        <v>7777</v>
      </c>
      <c r="AA409" s="8" t="str">
        <v/>
      </c>
      <c r="AB409" s="8" t="str">
        <v/>
      </c>
      <c r="AC409" s="8" t="str">
        <v/>
      </c>
      <c r="AD409" s="8" t="str">
        <v/>
      </c>
      <c r="AE409" s="8" t="str">
        <v/>
      </c>
      <c r="AF409" s="8" t="str">
        <v/>
      </c>
      <c r="AG409" s="8" t="str">
        <v/>
      </c>
      <c r="AH409" s="8" t="str">
        <v/>
      </c>
      <c r="AI409" s="8" t="n">
        <v>7</v>
      </c>
      <c r="AJ409" s="8" t="str">
        <v>～59</v>
      </c>
      <c r="AK409" s="8" t="str">
        <v>0～4</v>
      </c>
      <c r="AL409" s="8" t="str">
        <v>0～9</v>
      </c>
      <c r="AM409" s="8" t="str">
        <v>～99</v>
      </c>
      <c r="AN409" s="8" t="str">
        <v>12～14</v>
      </c>
      <c r="AO409" s="8" t="str">
        <f aca="false">IF(A409="","",IF(COUNTIFS(全馬データ!$A$2:$A$50000,A409,全馬データ!$B$2:$B$50000,B409,全馬データ!$C$2:$C$50000,C409,全馬データ!$D$2:$D$50000,E409,全馬データ!$K$2:$K$50000,"&lt;&gt;")=0,"",SUMIFS(全馬データ!$K$2:$K$50000,全馬データ!$A$2:$A$50000,A409,全馬データ!$B$2:$B$50000,B409,全馬データ!$C$2:$C$50000,C409,全馬データ!$D$2:$D$50000,E409)))</f>
        <v/>
      </c>
      <c r="AP409" s="8" t="str">
        <f aca="false">IF(A409="","",IF(AO409="","欠損",IF(AO409&lt;=1.1,"1.0～1.1",IF(AO409&lt;1.3,"1.2",IF(AO409&lt;1.5,"1.3～1.4",IF(AO409&lt;2,"1.5～1.9","2.0以上"))))))</f>
        <v>欠損</v>
      </c>
      <c r="AQ409" s="8" t="str">
        <f aca="false">IF(A409="","",IF(ISNUMBER(SEARCH("2歳",Z409)),"2歳戦",IF(ISNUMBER(SEARCH("3歳未勝利",Z409)),"3歳未勝利",IF(ISNUMBER(SEARCH("未勝利",Z409)),"その他未勝利",IF(ISNUMBER(SEARCH("G1",Z409)),"G1",IF(ISNUMBER(SEARCH("G2",Z409)),"G2",IF(ISNUMBER(SEARCH("G3",Z409)),"G3",IF(ISNUMBER(SEARCH("古馬条件",Z409)),"古馬条件戦",IF(ISNUMBER(SEARCH("重賞",Z409)),"重賞","分類不能")))))))))</f>
        <v>分類不能</v>
      </c>
      <c r="AR409" s="8"/>
      <c r="AS409" s="8" t="s">
        <v>7626</v>
      </c>
      <c r="AT409" s="8" t="s">
        <v>7627</v>
      </c>
      <c r="AU409" s="8" t="s">
        <v>7628</v>
      </c>
      <c r="AV409" s="8" t="s">
        <v>7629</v>
      </c>
      <c r="AW409" s="8"/>
      <c r="AX409" s="8"/>
      <c r="AY409" s="8" t="s">
        <v>7610</v>
      </c>
      <c r="AZ409" s="4" t="s">
        <v>7617</v>
      </c>
      <c r="BA409" s="8" t="n">
        <v>1700</v>
      </c>
      <c r="BB409" s="8" t="s">
        <v>7598</v>
      </c>
      <c r="BC409" s="4" t="s">
        <v>7604</v>
      </c>
      <c r="BD409" s="8" t="s">
        <v>7605</v>
      </c>
      <c r="BE409" s="4" t="s">
        <v>7606</v>
      </c>
      <c r="BF409" s="8" t="s">
        <v>7607</v>
      </c>
      <c r="BG409" s="8" t="s">
        <v>7631</v>
      </c>
      <c r="BH409" s="4" t="s">
        <v>7632</v>
      </c>
      <c r="BI409" s="8" t="n">
        <v>12</v>
      </c>
      <c r="BJ409" s="8" t="s">
        <v>7602</v>
      </c>
      <c r="BK409" s="4" t="s">
        <v>7653</v>
      </c>
      <c r="BL409" s="8" t="s">
        <v>7602</v>
      </c>
      <c r="BM409" s="4" t="s">
        <v>7620</v>
      </c>
      <c r="BN409" s="8"/>
      <c r="BO409" s="8"/>
      <c r="BP409" s="8" t="s">
        <v>7608</v>
      </c>
      <c r="BQ409" s="8" t="str">
        <f aca="false">IF(A409="","",AT409)</f>
        <v>3歳以上</v>
      </c>
      <c r="BR409" s="8" t="str">
        <f aca="false">IF(A409="","",IF(BA409&lt;=1200,"～1200",IF(BA409&lt;=1500,"1300～1500",IF(BA409=1600,"1600",IF(BA409&lt;=1800,"1700～1800",IF(BA409&lt;=2000,"1900～2000","2100以上"))))))</f>
        <v>1700～1800</v>
      </c>
      <c r="BS409" s="8" t="str">
        <f aca="false">IF(A409="","",IF(AX409="G1","G1",IF(AX409="G2","G2",IF(AX409="G3","G3",IF(AX409="L","L","その他")))))</f>
        <v>その他</v>
      </c>
      <c r="BT409" s="8" t="str">
        <f aca="false">IF(A409="","",IF(BI409="","未結合",IF(D409=BI409,"一致","不一致")))</f>
        <v>一致</v>
      </c>
      <c r="BU409" s="8" t="str">
        <f aca="false">IF(A409="","",IF(BE409="牝馬限定","牝馬限定","その他"))</f>
        <v>その他</v>
      </c>
    </row>
    <row r="410" customFormat="false" ht="15.75" hidden="false" customHeight="false" outlineLevel="0" collapsed="false">
      <c r="A410" s="6" t="n">
        <v>46194</v>
      </c>
      <c r="B410" s="4" t="s">
        <v>1237</v>
      </c>
      <c r="C410" s="8" t="n">
        <v>9</v>
      </c>
      <c r="D410" s="8" t="n">
        <v>12</v>
      </c>
      <c r="E410" s="8" t="n">
        <v>10</v>
      </c>
      <c r="F410" s="4" t="s">
        <v>4254</v>
      </c>
      <c r="G410" s="8" t="n">
        <v>52</v>
      </c>
      <c r="H410" s="8" t="n">
        <v>2</v>
      </c>
      <c r="I410" s="4" t="s">
        <v>2228</v>
      </c>
      <c r="J410" s="8" t="n">
        <v>47</v>
      </c>
      <c r="K410" s="8" t="n">
        <v>4</v>
      </c>
      <c r="L410" s="4" t="s">
        <v>4252</v>
      </c>
      <c r="M410" s="8" t="n">
        <v>44</v>
      </c>
      <c r="N410" s="8" t="n">
        <f aca="false">IF(A410="","",G410-J410)</f>
        <v>5</v>
      </c>
      <c r="O410" s="8" t="n">
        <f aca="false">IF(A410="","",J410-M410)</f>
        <v>3</v>
      </c>
      <c r="P410" s="8" t="n">
        <f aca="false">IF(A410="","",G410+J410)</f>
        <v>99</v>
      </c>
      <c r="Q410" s="8" t="str">
        <f aca="false">IF(A410="","",IF(AND(Y410&lt;&gt;"参考",G410&gt;=ルール設定!$B$2),"○",""))</f>
        <v/>
      </c>
      <c r="R410" s="8" t="str">
        <f aca="false">IF(A410="","",IF(AND(Y410&lt;&gt;"参考",G410&gt;=ルール設定!$B$3,N410&gt;=ルール設定!$B$4),"○",""))</f>
        <v/>
      </c>
      <c r="S410" s="8" t="str">
        <f aca="false">IF(A410="","",IF(AND(Y410&lt;&gt;"参考",G410&gt;=ルール設定!$B$5,J410&gt;=ルール設定!$B$6,O410&gt;=ルール設定!$B$7),"○",""))</f>
        <v/>
      </c>
      <c r="T410" s="8" t="n">
        <v>4</v>
      </c>
      <c r="U410" s="8" t="n">
        <v>4</v>
      </c>
      <c r="V410" s="8" t="str">
        <f aca="false">IF(A410="","",IF(AND(ISNUMBER(T410),ISNUMBER(U410)),IF(AND(T410&lt;=3,U410&lt;=3),"○","×"),""))</f>
        <v>×</v>
      </c>
      <c r="W410" s="8"/>
      <c r="X410" s="8"/>
      <c r="Y410" s="4" t="s">
        <v>7597</v>
      </c>
      <c r="Z410" s="4" t="s">
        <v>7777</v>
      </c>
      <c r="AA410" s="8" t="str">
        <v/>
      </c>
      <c r="AB410" s="8" t="str">
        <v/>
      </c>
      <c r="AC410" s="8" t="str">
        <v/>
      </c>
      <c r="AD410" s="8" t="str">
        <v/>
      </c>
      <c r="AE410" s="8" t="str">
        <v/>
      </c>
      <c r="AF410" s="8" t="str">
        <v/>
      </c>
      <c r="AG410" s="8" t="str">
        <v/>
      </c>
      <c r="AH410" s="8" t="str">
        <v/>
      </c>
      <c r="AI410" s="8" t="n">
        <v>8</v>
      </c>
      <c r="AJ410" s="8" t="str">
        <v>～59</v>
      </c>
      <c r="AK410" s="8" t="str">
        <v>5～9</v>
      </c>
      <c r="AL410" s="8" t="str">
        <v>0～9</v>
      </c>
      <c r="AM410" s="8" t="str">
        <v>～99</v>
      </c>
      <c r="AN410" s="8" t="str">
        <v>12～14</v>
      </c>
      <c r="AO410" s="8" t="str">
        <f aca="false">IF(A410="","",IF(COUNTIFS(全馬データ!$A$2:$A$50000,A410,全馬データ!$B$2:$B$50000,B410,全馬データ!$C$2:$C$50000,C410,全馬データ!$D$2:$D$50000,E410,全馬データ!$K$2:$K$50000,"&lt;&gt;")=0,"",SUMIFS(全馬データ!$K$2:$K$50000,全馬データ!$A$2:$A$50000,A410,全馬データ!$B$2:$B$50000,B410,全馬データ!$C$2:$C$50000,C410,全馬データ!$D$2:$D$50000,E410)))</f>
        <v/>
      </c>
      <c r="AP410" s="8" t="str">
        <f aca="false">IF(A410="","",IF(AO410="","欠損",IF(AO410&lt;=1.1,"1.0～1.1",IF(AO410&lt;1.3,"1.2",IF(AO410&lt;1.5,"1.3～1.4",IF(AO410&lt;2,"1.5～1.9","2.0以上"))))))</f>
        <v>欠損</v>
      </c>
      <c r="AQ410" s="8" t="str">
        <f aca="false">IF(A410="","",IF(ISNUMBER(SEARCH("2歳",Z410)),"2歳戦",IF(ISNUMBER(SEARCH("3歳未勝利",Z410)),"3歳未勝利",IF(ISNUMBER(SEARCH("未勝利",Z410)),"その他未勝利",IF(ISNUMBER(SEARCH("G1",Z410)),"G1",IF(ISNUMBER(SEARCH("G2",Z410)),"G2",IF(ISNUMBER(SEARCH("G3",Z410)),"G3",IF(ISNUMBER(SEARCH("古馬条件",Z410)),"古馬条件戦",IF(ISNUMBER(SEARCH("重賞",Z410)),"重賞","分類不能")))))))))</f>
        <v>分類不能</v>
      </c>
      <c r="AR410" s="4" t="s">
        <v>7801</v>
      </c>
      <c r="AS410" s="8" t="s">
        <v>7626</v>
      </c>
      <c r="AT410" s="8" t="s">
        <v>7627</v>
      </c>
      <c r="AU410" s="8" t="s">
        <v>7628</v>
      </c>
      <c r="AV410" s="8" t="s">
        <v>7629</v>
      </c>
      <c r="AW410" s="8" t="s">
        <v>7636</v>
      </c>
      <c r="AX410" s="4" t="s">
        <v>7637</v>
      </c>
      <c r="AY410" s="8" t="s">
        <v>7602</v>
      </c>
      <c r="AZ410" s="4" t="s">
        <v>7603</v>
      </c>
      <c r="BA410" s="8" t="n">
        <v>2000</v>
      </c>
      <c r="BB410" s="8" t="s">
        <v>7598</v>
      </c>
      <c r="BC410" s="4" t="s">
        <v>7604</v>
      </c>
      <c r="BD410" s="8" t="s">
        <v>7703</v>
      </c>
      <c r="BE410" s="4" t="s">
        <v>7622</v>
      </c>
      <c r="BF410" s="8" t="s">
        <v>7602</v>
      </c>
      <c r="BG410" s="8" t="s">
        <v>7631</v>
      </c>
      <c r="BH410" s="4" t="s">
        <v>7632</v>
      </c>
      <c r="BI410" s="8" t="n">
        <v>12</v>
      </c>
      <c r="BJ410" s="8" t="s">
        <v>7602</v>
      </c>
      <c r="BK410" s="4" t="s">
        <v>7653</v>
      </c>
      <c r="BL410" s="8" t="s">
        <v>7602</v>
      </c>
      <c r="BM410" s="4" t="s">
        <v>7620</v>
      </c>
      <c r="BN410" s="8" t="s">
        <v>7602</v>
      </c>
      <c r="BO410" s="8" t="s">
        <v>7613</v>
      </c>
      <c r="BP410" s="8" t="s">
        <v>7608</v>
      </c>
      <c r="BQ410" s="8" t="str">
        <f aca="false">IF(A410="","",AT410)</f>
        <v>3歳以上</v>
      </c>
      <c r="BR410" s="8" t="str">
        <f aca="false">IF(A410="","",IF(BA410&lt;=1200,"～1200",IF(BA410&lt;=1500,"1300～1500",IF(BA410=1600,"1600",IF(BA410&lt;=1800,"1700～1800",IF(BA410&lt;=2000,"1900～2000","2100以上"))))))</f>
        <v>1900～2000</v>
      </c>
      <c r="BS410" s="8" t="str">
        <f aca="false">IF(A410="","",IF(AX410="G1","G1",IF(AX410="G2","G2",IF(AX410="G3","G3",IF(AX410="L","L","その他")))))</f>
        <v>その他</v>
      </c>
      <c r="BT410" s="8" t="str">
        <f aca="false">IF(A410="","",IF(BI410="","未結合",IF(D410=BI410,"一致","不一致")))</f>
        <v>一致</v>
      </c>
      <c r="BU410" s="8" t="str">
        <f aca="false">IF(A410="","",IF(BE410="牝馬限定","牝馬限定","その他"))</f>
        <v>牝馬限定</v>
      </c>
    </row>
    <row r="411" customFormat="false" ht="15.75" hidden="false" customHeight="false" outlineLevel="0" collapsed="false">
      <c r="A411" s="6" t="n">
        <v>46194</v>
      </c>
      <c r="B411" s="4" t="s">
        <v>1237</v>
      </c>
      <c r="C411" s="8" t="n">
        <v>10</v>
      </c>
      <c r="D411" s="8" t="n">
        <v>9</v>
      </c>
      <c r="E411" s="8" t="n">
        <v>6</v>
      </c>
      <c r="F411" s="4" t="s">
        <v>4158</v>
      </c>
      <c r="G411" s="8" t="n">
        <v>60</v>
      </c>
      <c r="H411" s="8" t="n">
        <v>1</v>
      </c>
      <c r="I411" s="4" t="s">
        <v>2972</v>
      </c>
      <c r="J411" s="8" t="n">
        <v>52</v>
      </c>
      <c r="K411" s="8" t="n">
        <v>9</v>
      </c>
      <c r="L411" s="4" t="s">
        <v>463</v>
      </c>
      <c r="M411" s="8" t="n">
        <v>37</v>
      </c>
      <c r="N411" s="8" t="n">
        <f aca="false">IF(A411="","",G411-J411)</f>
        <v>8</v>
      </c>
      <c r="O411" s="8" t="n">
        <f aca="false">IF(A411="","",J411-M411)</f>
        <v>15</v>
      </c>
      <c r="P411" s="8" t="n">
        <f aca="false">IF(A411="","",G411+J411)</f>
        <v>112</v>
      </c>
      <c r="Q411" s="8" t="str">
        <f aca="false">IF(A411="","",IF(AND(Y411&lt;&gt;"参考",G411&gt;=ルール設定!$B$2),"○",""))</f>
        <v/>
      </c>
      <c r="R411" s="8" t="str">
        <f aca="false">IF(A411="","",IF(AND(Y411&lt;&gt;"参考",G411&gt;=ルール設定!$B$3,N411&gt;=ルール設定!$B$4),"○",""))</f>
        <v/>
      </c>
      <c r="S411" s="8" t="str">
        <f aca="false">IF(A411="","",IF(AND(Y411&lt;&gt;"参考",G411&gt;=ルール設定!$B$5,J411&gt;=ルール設定!$B$6,O411&gt;=ルール設定!$B$7),"○",""))</f>
        <v/>
      </c>
      <c r="T411" s="8" t="n">
        <v>1</v>
      </c>
      <c r="U411" s="8" t="n">
        <v>4</v>
      </c>
      <c r="V411" s="8" t="str">
        <f aca="false">IF(A411="","",IF(AND(ISNUMBER(T411),ISNUMBER(U411)),IF(AND(T411&lt;=3,U411&lt;=3),"○","×"),""))</f>
        <v>×</v>
      </c>
      <c r="W411" s="8" t="n">
        <v>110</v>
      </c>
      <c r="X411" s="8"/>
      <c r="Y411" s="4" t="s">
        <v>7597</v>
      </c>
      <c r="Z411" s="4" t="s">
        <v>7777</v>
      </c>
      <c r="AA411" s="8" t="str">
        <v/>
      </c>
      <c r="AB411" s="8" t="str">
        <v/>
      </c>
      <c r="AC411" s="8" t="str">
        <v/>
      </c>
      <c r="AD411" s="8" t="str">
        <v/>
      </c>
      <c r="AE411" s="8" t="str">
        <v/>
      </c>
      <c r="AF411" s="8" t="str">
        <v/>
      </c>
      <c r="AG411" s="8" t="str">
        <v/>
      </c>
      <c r="AH411" s="8" t="str">
        <v/>
      </c>
      <c r="AI411" s="8" t="n">
        <v>23</v>
      </c>
      <c r="AJ411" s="8" t="str">
        <v>60～69</v>
      </c>
      <c r="AK411" s="8" t="str">
        <v>5～9</v>
      </c>
      <c r="AL411" s="8" t="str">
        <v>20～29</v>
      </c>
      <c r="AM411" s="8" t="str">
        <v>100～119</v>
      </c>
      <c r="AN411" s="8" t="str">
        <v>8～11</v>
      </c>
      <c r="AO411" s="8" t="str">
        <f aca="false">IF(A411="","",IF(COUNTIFS(全馬データ!$A$2:$A$50000,A411,全馬データ!$B$2:$B$50000,B411,全馬データ!$C$2:$C$50000,C411,全馬データ!$D$2:$D$50000,E411,全馬データ!$K$2:$K$50000,"&lt;&gt;")=0,"",SUMIFS(全馬データ!$K$2:$K$50000,全馬データ!$A$2:$A$50000,A411,全馬データ!$B$2:$B$50000,B411,全馬データ!$C$2:$C$50000,C411,全馬データ!$D$2:$D$50000,E411)))</f>
        <v/>
      </c>
      <c r="AP411" s="8" t="str">
        <f aca="false">IF(A411="","",IF(AO411="","欠損",IF(AO411&lt;=1.1,"1.0～1.1",IF(AO411&lt;1.3,"1.2",IF(AO411&lt;1.5,"1.3～1.4",IF(AO411&lt;2,"1.5～1.9","2.0以上"))))))</f>
        <v>欠損</v>
      </c>
      <c r="AQ411" s="8" t="str">
        <f aca="false">IF(A411="","",IF(ISNUMBER(SEARCH("2歳",Z411)),"2歳戦",IF(ISNUMBER(SEARCH("3歳未勝利",Z411)),"3歳未勝利",IF(ISNUMBER(SEARCH("未勝利",Z411)),"その他未勝利",IF(ISNUMBER(SEARCH("G1",Z411)),"G1",IF(ISNUMBER(SEARCH("G2",Z411)),"G2",IF(ISNUMBER(SEARCH("G3",Z411)),"G3",IF(ISNUMBER(SEARCH("古馬条件",Z411)),"古馬条件戦",IF(ISNUMBER(SEARCH("重賞",Z411)),"重賞","分類不能")))))))))</f>
        <v>分類不能</v>
      </c>
      <c r="AR411" s="4" t="s">
        <v>7802</v>
      </c>
      <c r="AS411" s="8" t="s">
        <v>7626</v>
      </c>
      <c r="AT411" s="8" t="s">
        <v>7627</v>
      </c>
      <c r="AU411" s="8" t="s">
        <v>7634</v>
      </c>
      <c r="AV411" s="8" t="s">
        <v>7635</v>
      </c>
      <c r="AW411" s="8" t="s">
        <v>7636</v>
      </c>
      <c r="AX411" s="4" t="s">
        <v>7637</v>
      </c>
      <c r="AY411" s="8" t="s">
        <v>7610</v>
      </c>
      <c r="AZ411" s="4" t="s">
        <v>7617</v>
      </c>
      <c r="BA411" s="8" t="n">
        <v>1700</v>
      </c>
      <c r="BB411" s="8" t="s">
        <v>7598</v>
      </c>
      <c r="BC411" s="4" t="s">
        <v>7604</v>
      </c>
      <c r="BD411" s="8" t="s">
        <v>7630</v>
      </c>
      <c r="BE411" s="4" t="s">
        <v>7606</v>
      </c>
      <c r="BF411" s="8" t="s">
        <v>7607</v>
      </c>
      <c r="BG411" s="8" t="s">
        <v>7631</v>
      </c>
      <c r="BH411" s="4" t="s">
        <v>7632</v>
      </c>
      <c r="BI411" s="8" t="n">
        <v>9</v>
      </c>
      <c r="BJ411" s="8" t="s">
        <v>7602</v>
      </c>
      <c r="BK411" s="4" t="s">
        <v>7653</v>
      </c>
      <c r="BL411" s="8" t="s">
        <v>7602</v>
      </c>
      <c r="BM411" s="4" t="s">
        <v>7620</v>
      </c>
      <c r="BN411" s="8"/>
      <c r="BO411" s="8"/>
      <c r="BP411" s="8" t="s">
        <v>7608</v>
      </c>
      <c r="BQ411" s="8" t="str">
        <f aca="false">IF(A411="","",AT411)</f>
        <v>3歳以上</v>
      </c>
      <c r="BR411" s="8" t="str">
        <f aca="false">IF(A411="","",IF(BA411&lt;=1200,"～1200",IF(BA411&lt;=1500,"1300～1500",IF(BA411=1600,"1600",IF(BA411&lt;=1800,"1700～1800",IF(BA411&lt;=2000,"1900～2000","2100以上"))))))</f>
        <v>1700～1800</v>
      </c>
      <c r="BS411" s="8" t="str">
        <f aca="false">IF(A411="","",IF(AX411="G1","G1",IF(AX411="G2","G2",IF(AX411="G3","G3",IF(AX411="L","L","その他")))))</f>
        <v>その他</v>
      </c>
      <c r="BT411" s="8" t="str">
        <f aca="false">IF(A411="","",IF(BI411="","未結合",IF(D411=BI411,"一致","不一致")))</f>
        <v>一致</v>
      </c>
      <c r="BU411" s="8" t="str">
        <f aca="false">IF(A411="","",IF(BE411="牝馬限定","牝馬限定","その他"))</f>
        <v>その他</v>
      </c>
    </row>
    <row r="412" customFormat="false" ht="15.75" hidden="false" customHeight="false" outlineLevel="0" collapsed="false">
      <c r="A412" s="6" t="n">
        <v>46194</v>
      </c>
      <c r="B412" s="4" t="s">
        <v>1237</v>
      </c>
      <c r="C412" s="8" t="n">
        <v>11</v>
      </c>
      <c r="D412" s="8" t="n">
        <v>15</v>
      </c>
      <c r="E412" s="8" t="n">
        <v>11</v>
      </c>
      <c r="F412" s="4" t="s">
        <v>98</v>
      </c>
      <c r="G412" s="8" t="n">
        <v>41</v>
      </c>
      <c r="H412" s="8" t="n">
        <v>6</v>
      </c>
      <c r="I412" s="4" t="s">
        <v>444</v>
      </c>
      <c r="J412" s="8" t="n">
        <v>34</v>
      </c>
      <c r="K412" s="8" t="n">
        <v>12</v>
      </c>
      <c r="L412" s="4" t="s">
        <v>2979</v>
      </c>
      <c r="M412" s="8" t="n">
        <v>34</v>
      </c>
      <c r="N412" s="8" t="n">
        <f aca="false">IF(A412="","",G412-J412)</f>
        <v>7</v>
      </c>
      <c r="O412" s="8" t="n">
        <f aca="false">IF(A412="","",J412-M412)</f>
        <v>0</v>
      </c>
      <c r="P412" s="8" t="n">
        <f aca="false">IF(A412="","",G412+J412)</f>
        <v>75</v>
      </c>
      <c r="Q412" s="8" t="str">
        <f aca="false">IF(A412="","",IF(AND(Y412&lt;&gt;"参考",G412&gt;=ルール設定!$B$2),"○",""))</f>
        <v/>
      </c>
      <c r="R412" s="8" t="str">
        <f aca="false">IF(A412="","",IF(AND(Y412&lt;&gt;"参考",G412&gt;=ルール設定!$B$3,N412&gt;=ルール設定!$B$4),"○",""))</f>
        <v/>
      </c>
      <c r="S412" s="8" t="str">
        <f aca="false">IF(A412="","",IF(AND(Y412&lt;&gt;"参考",G412&gt;=ルール設定!$B$5,J412&gt;=ルール設定!$B$6,O412&gt;=ルール設定!$B$7),"○",""))</f>
        <v/>
      </c>
      <c r="T412" s="8" t="n">
        <v>4</v>
      </c>
      <c r="U412" s="8" t="n">
        <v>4</v>
      </c>
      <c r="V412" s="8" t="str">
        <f aca="false">IF(A412="","",IF(AND(ISNUMBER(T412),ISNUMBER(U412)),IF(AND(T412&lt;=3,U412&lt;=3),"○","×"),""))</f>
        <v>×</v>
      </c>
      <c r="W412" s="8"/>
      <c r="X412" s="8"/>
      <c r="Y412" s="4" t="s">
        <v>7597</v>
      </c>
      <c r="Z412" s="4" t="s">
        <v>7777</v>
      </c>
      <c r="AA412" s="8" t="str">
        <v/>
      </c>
      <c r="AB412" s="8" t="str">
        <v/>
      </c>
      <c r="AC412" s="8" t="str">
        <v/>
      </c>
      <c r="AD412" s="8" t="str">
        <v/>
      </c>
      <c r="AE412" s="8" t="str">
        <v/>
      </c>
      <c r="AF412" s="8" t="str">
        <v/>
      </c>
      <c r="AG412" s="8" t="str">
        <v/>
      </c>
      <c r="AH412" s="8" t="str">
        <v/>
      </c>
      <c r="AI412" s="8" t="n">
        <v>7</v>
      </c>
      <c r="AJ412" s="8" t="str">
        <v>～59</v>
      </c>
      <c r="AK412" s="8" t="str">
        <v>5～9</v>
      </c>
      <c r="AL412" s="8" t="str">
        <v>0～9</v>
      </c>
      <c r="AM412" s="8" t="str">
        <v>～99</v>
      </c>
      <c r="AN412" s="8" t="str">
        <v>15以上</v>
      </c>
      <c r="AO412" s="8" t="str">
        <f aca="false">IF(A412="","",IF(COUNTIFS(全馬データ!$A$2:$A$50000,A412,全馬データ!$B$2:$B$50000,B412,全馬データ!$C$2:$C$50000,C412,全馬データ!$D$2:$D$50000,E412,全馬データ!$K$2:$K$50000,"&lt;&gt;")=0,"",SUMIFS(全馬データ!$K$2:$K$50000,全馬データ!$A$2:$A$50000,A412,全馬データ!$B$2:$B$50000,B412,全馬データ!$C$2:$C$50000,C412,全馬データ!$D$2:$D$50000,E412)))</f>
        <v/>
      </c>
      <c r="AP412" s="8" t="str">
        <f aca="false">IF(A412="","",IF(AO412="","欠損",IF(AO412&lt;=1.1,"1.0～1.1",IF(AO412&lt;1.3,"1.2",IF(AO412&lt;1.5,"1.3～1.4",IF(AO412&lt;2,"1.5～1.9","2.0以上"))))))</f>
        <v>欠損</v>
      </c>
      <c r="AQ412" s="8" t="str">
        <f aca="false">IF(A412="","",IF(ISNUMBER(SEARCH("2歳",Z412)),"2歳戦",IF(ISNUMBER(SEARCH("3歳未勝利",Z412)),"3歳未勝利",IF(ISNUMBER(SEARCH("未勝利",Z412)),"その他未勝利",IF(ISNUMBER(SEARCH("G1",Z412)),"G1",IF(ISNUMBER(SEARCH("G2",Z412)),"G2",IF(ISNUMBER(SEARCH("G3",Z412)),"G3",IF(ISNUMBER(SEARCH("古馬条件",Z412)),"古馬条件戦",IF(ISNUMBER(SEARCH("重賞",Z412)),"重賞","分類不能")))))))))</f>
        <v>分類不能</v>
      </c>
      <c r="AR412" s="4" t="s">
        <v>7803</v>
      </c>
      <c r="AS412" s="8" t="s">
        <v>7626</v>
      </c>
      <c r="AT412" s="8" t="s">
        <v>7627</v>
      </c>
      <c r="AU412" s="8" t="s">
        <v>7639</v>
      </c>
      <c r="AV412" s="8" t="s">
        <v>7640</v>
      </c>
      <c r="AW412" s="8" t="s">
        <v>7636</v>
      </c>
      <c r="AX412" s="4" t="s">
        <v>7637</v>
      </c>
      <c r="AY412" s="8" t="s">
        <v>7602</v>
      </c>
      <c r="AZ412" s="4" t="s">
        <v>7603</v>
      </c>
      <c r="BA412" s="8" t="n">
        <v>1200</v>
      </c>
      <c r="BB412" s="8" t="s">
        <v>7598</v>
      </c>
      <c r="BC412" s="4" t="s">
        <v>7604</v>
      </c>
      <c r="BD412" s="8" t="s">
        <v>7605</v>
      </c>
      <c r="BE412" s="4" t="s">
        <v>7606</v>
      </c>
      <c r="BF412" s="8" t="s">
        <v>7607</v>
      </c>
      <c r="BG412" s="8" t="s">
        <v>7602</v>
      </c>
      <c r="BH412" s="4" t="s">
        <v>7667</v>
      </c>
      <c r="BI412" s="8" t="n">
        <v>15</v>
      </c>
      <c r="BJ412" s="8" t="s">
        <v>7602</v>
      </c>
      <c r="BK412" s="4" t="s">
        <v>7653</v>
      </c>
      <c r="BL412" s="8" t="s">
        <v>7602</v>
      </c>
      <c r="BM412" s="4" t="s">
        <v>7620</v>
      </c>
      <c r="BN412" s="8" t="s">
        <v>7602</v>
      </c>
      <c r="BO412" s="8" t="s">
        <v>7613</v>
      </c>
      <c r="BP412" s="8" t="s">
        <v>7608</v>
      </c>
      <c r="BQ412" s="8" t="str">
        <f aca="false">IF(A412="","",AT412)</f>
        <v>3歳以上</v>
      </c>
      <c r="BR412" s="8" t="str">
        <f aca="false">IF(A412="","",IF(BA412&lt;=1200,"～1200",IF(BA412&lt;=1500,"1300～1500",IF(BA412=1600,"1600",IF(BA412&lt;=1800,"1700～1800",IF(BA412&lt;=2000,"1900～2000","2100以上"))))))</f>
        <v>～1200</v>
      </c>
      <c r="BS412" s="8" t="str">
        <f aca="false">IF(A412="","",IF(AX412="G1","G1",IF(AX412="G2","G2",IF(AX412="G3","G3",IF(AX412="L","L","その他")))))</f>
        <v>その他</v>
      </c>
      <c r="BT412" s="8" t="str">
        <f aca="false">IF(A412="","",IF(BI412="","未結合",IF(D412=BI412,"一致","不一致")))</f>
        <v>一致</v>
      </c>
      <c r="BU412" s="8" t="str">
        <f aca="false">IF(A412="","",IF(BE412="牝馬限定","牝馬限定","その他"))</f>
        <v>その他</v>
      </c>
    </row>
    <row r="413" customFormat="false" ht="15.75" hidden="false" customHeight="false" outlineLevel="0" collapsed="false">
      <c r="A413" s="6" t="n">
        <v>46194</v>
      </c>
      <c r="B413" s="4" t="s">
        <v>1237</v>
      </c>
      <c r="C413" s="8" t="n">
        <v>12</v>
      </c>
      <c r="D413" s="8" t="n">
        <v>10</v>
      </c>
      <c r="E413" s="8" t="n">
        <v>2</v>
      </c>
      <c r="F413" s="4" t="s">
        <v>2643</v>
      </c>
      <c r="G413" s="8" t="n">
        <v>60</v>
      </c>
      <c r="H413" s="8" t="n">
        <v>5</v>
      </c>
      <c r="I413" s="4" t="s">
        <v>1954</v>
      </c>
      <c r="J413" s="8" t="n">
        <v>50</v>
      </c>
      <c r="K413" s="8" t="n">
        <v>9</v>
      </c>
      <c r="L413" s="4" t="s">
        <v>2225</v>
      </c>
      <c r="M413" s="8" t="n">
        <v>44</v>
      </c>
      <c r="N413" s="8" t="n">
        <f aca="false">IF(A413="","",G413-J413)</f>
        <v>10</v>
      </c>
      <c r="O413" s="8" t="n">
        <f aca="false">IF(A413="","",J413-M413)</f>
        <v>6</v>
      </c>
      <c r="P413" s="8" t="n">
        <f aca="false">IF(A413="","",G413+J413)</f>
        <v>110</v>
      </c>
      <c r="Q413" s="8" t="str">
        <f aca="false">IF(A413="","",IF(AND(Y413&lt;&gt;"参考",G413&gt;=ルール設定!$B$2),"○",""))</f>
        <v/>
      </c>
      <c r="R413" s="8" t="str">
        <f aca="false">IF(A413="","",IF(AND(Y413&lt;&gt;"参考",G413&gt;=ルール設定!$B$3,N413&gt;=ルール設定!$B$4),"○",""))</f>
        <v/>
      </c>
      <c r="S413" s="8" t="str">
        <f aca="false">IF(A413="","",IF(AND(Y413&lt;&gt;"参考",G413&gt;=ルール設定!$B$5,J413&gt;=ルール設定!$B$6,O413&gt;=ルール設定!$B$7),"○",""))</f>
        <v/>
      </c>
      <c r="T413" s="8" t="n">
        <v>4</v>
      </c>
      <c r="U413" s="8" t="n">
        <v>4</v>
      </c>
      <c r="V413" s="8" t="str">
        <f aca="false">IF(A413="","",IF(AND(ISNUMBER(T413),ISNUMBER(U413)),IF(AND(T413&lt;=3,U413&lt;=3),"○","×"),""))</f>
        <v>×</v>
      </c>
      <c r="W413" s="8"/>
      <c r="X413" s="8"/>
      <c r="Y413" s="4" t="s">
        <v>7597</v>
      </c>
      <c r="Z413" s="4" t="s">
        <v>7777</v>
      </c>
      <c r="AA413" s="8" t="str">
        <v/>
      </c>
      <c r="AB413" s="8" t="str">
        <v/>
      </c>
      <c r="AC413" s="8" t="str">
        <v/>
      </c>
      <c r="AD413" s="8" t="str">
        <v/>
      </c>
      <c r="AE413" s="8" t="str">
        <v/>
      </c>
      <c r="AF413" s="8" t="str">
        <v/>
      </c>
      <c r="AG413" s="8" t="str">
        <v/>
      </c>
      <c r="AH413" s="8" t="str">
        <v/>
      </c>
      <c r="AI413" s="8" t="n">
        <v>16</v>
      </c>
      <c r="AJ413" s="8" t="str">
        <v>60～69</v>
      </c>
      <c r="AK413" s="8" t="str">
        <v>10～19</v>
      </c>
      <c r="AL413" s="8" t="str">
        <v>10～19</v>
      </c>
      <c r="AM413" s="8" t="str">
        <v>100～119</v>
      </c>
      <c r="AN413" s="8" t="str">
        <v>8～11</v>
      </c>
      <c r="AO413" s="8" t="str">
        <f aca="false">IF(A413="","",IF(COUNTIFS(全馬データ!$A$2:$A$50000,A413,全馬データ!$B$2:$B$50000,B413,全馬データ!$C$2:$C$50000,C413,全馬データ!$D$2:$D$50000,E413,全馬データ!$K$2:$K$50000,"&lt;&gt;")=0,"",SUMIFS(全馬データ!$K$2:$K$50000,全馬データ!$A$2:$A$50000,A413,全馬データ!$B$2:$B$50000,B413,全馬データ!$C$2:$C$50000,C413,全馬データ!$D$2:$D$50000,E413)))</f>
        <v/>
      </c>
      <c r="AP413" s="8" t="str">
        <f aca="false">IF(A413="","",IF(AO413="","欠損",IF(AO413&lt;=1.1,"1.0～1.1",IF(AO413&lt;1.3,"1.2",IF(AO413&lt;1.5,"1.3～1.4",IF(AO413&lt;2,"1.5～1.9","2.0以上"))))))</f>
        <v>欠損</v>
      </c>
      <c r="AQ413" s="8" t="str">
        <f aca="false">IF(A413="","",IF(ISNUMBER(SEARCH("2歳",Z413)),"2歳戦",IF(ISNUMBER(SEARCH("3歳未勝利",Z413)),"3歳未勝利",IF(ISNUMBER(SEARCH("未勝利",Z413)),"その他未勝利",IF(ISNUMBER(SEARCH("G1",Z413)),"G1",IF(ISNUMBER(SEARCH("G2",Z413)),"G2",IF(ISNUMBER(SEARCH("G3",Z413)),"G3",IF(ISNUMBER(SEARCH("古馬条件",Z413)),"古馬条件戦",IF(ISNUMBER(SEARCH("重賞",Z413)),"重賞","分類不能")))))))))</f>
        <v>分類不能</v>
      </c>
      <c r="AR413" s="8"/>
      <c r="AS413" s="8" t="s">
        <v>7626</v>
      </c>
      <c r="AT413" s="8" t="s">
        <v>7627</v>
      </c>
      <c r="AU413" s="8" t="s">
        <v>7628</v>
      </c>
      <c r="AV413" s="8" t="s">
        <v>7629</v>
      </c>
      <c r="AW413" s="8"/>
      <c r="AX413" s="8"/>
      <c r="AY413" s="8" t="s">
        <v>7602</v>
      </c>
      <c r="AZ413" s="4" t="s">
        <v>7603</v>
      </c>
      <c r="BA413" s="8" t="n">
        <v>1800</v>
      </c>
      <c r="BB413" s="8" t="s">
        <v>7598</v>
      </c>
      <c r="BC413" s="4" t="s">
        <v>7604</v>
      </c>
      <c r="BD413" s="8" t="s">
        <v>7625</v>
      </c>
      <c r="BE413" s="4" t="s">
        <v>7606</v>
      </c>
      <c r="BF413" s="8" t="s">
        <v>7607</v>
      </c>
      <c r="BG413" s="8" t="s">
        <v>7631</v>
      </c>
      <c r="BH413" s="4" t="s">
        <v>7632</v>
      </c>
      <c r="BI413" s="8" t="n">
        <v>10</v>
      </c>
      <c r="BJ413" s="8" t="s">
        <v>7602</v>
      </c>
      <c r="BK413" s="4" t="s">
        <v>7653</v>
      </c>
      <c r="BL413" s="8" t="s">
        <v>7602</v>
      </c>
      <c r="BM413" s="4" t="s">
        <v>7620</v>
      </c>
      <c r="BN413" s="8" t="s">
        <v>7602</v>
      </c>
      <c r="BO413" s="8" t="s">
        <v>7613</v>
      </c>
      <c r="BP413" s="8" t="s">
        <v>7608</v>
      </c>
      <c r="BQ413" s="8" t="str">
        <f aca="false">IF(A413="","",AT413)</f>
        <v>3歳以上</v>
      </c>
      <c r="BR413" s="8" t="str">
        <f aca="false">IF(A413="","",IF(BA413&lt;=1200,"～1200",IF(BA413&lt;=1500,"1300～1500",IF(BA413=1600,"1600",IF(BA413&lt;=1800,"1700～1800",IF(BA413&lt;=2000,"1900～2000","2100以上"))))))</f>
        <v>1700～1800</v>
      </c>
      <c r="BS413" s="8" t="str">
        <f aca="false">IF(A413="","",IF(AX413="G1","G1",IF(AX413="G2","G2",IF(AX413="G3","G3",IF(AX413="L","L","その他")))))</f>
        <v>その他</v>
      </c>
      <c r="BT413" s="8" t="str">
        <f aca="false">IF(A413="","",IF(BI413="","未結合",IF(D413=BI413,"一致","不一致")))</f>
        <v>一致</v>
      </c>
      <c r="BU413" s="8" t="str">
        <f aca="false">IF(A413="","",IF(BE413="牝馬限定","牝馬限定","その他"))</f>
        <v>その他</v>
      </c>
    </row>
    <row r="414" customFormat="false" ht="15.75" hidden="false" customHeight="false" outlineLevel="0" collapsed="false">
      <c r="A414" s="6" t="n">
        <v>46179</v>
      </c>
      <c r="B414" s="4" t="s">
        <v>4473</v>
      </c>
      <c r="C414" s="8" t="n">
        <v>1</v>
      </c>
      <c r="D414" s="8" t="n">
        <v>14</v>
      </c>
      <c r="E414" s="8" t="n">
        <v>10</v>
      </c>
      <c r="F414" s="4" t="s">
        <v>4480</v>
      </c>
      <c r="G414" s="8" t="n">
        <v>55</v>
      </c>
      <c r="H414" s="8" t="n">
        <v>7</v>
      </c>
      <c r="I414" s="4" t="s">
        <v>4479</v>
      </c>
      <c r="J414" s="8" t="n">
        <v>44</v>
      </c>
      <c r="K414" s="8" t="n">
        <v>1</v>
      </c>
      <c r="L414" s="4" t="s">
        <v>4474</v>
      </c>
      <c r="M414" s="8" t="n">
        <v>37</v>
      </c>
      <c r="N414" s="8" t="n">
        <f aca="false">IF(A414="","",G414-J414)</f>
        <v>11</v>
      </c>
      <c r="O414" s="8" t="n">
        <f aca="false">IF(A414="","",J414-M414)</f>
        <v>7</v>
      </c>
      <c r="P414" s="8" t="n">
        <f aca="false">IF(A414="","",G414+J414)</f>
        <v>99</v>
      </c>
      <c r="Q414" s="8" t="str">
        <f aca="false">IF(A414="","",IF(AND(Y414&lt;&gt;"参考",G414&gt;=ルール設定!$B$2),"○",""))</f>
        <v/>
      </c>
      <c r="R414" s="8" t="str">
        <f aca="false">IF(A414="","",IF(AND(Y414&lt;&gt;"参考",G414&gt;=ルール設定!$B$3,N414&gt;=ルール設定!$B$4),"○",""))</f>
        <v/>
      </c>
      <c r="S414" s="8" t="str">
        <f aca="false">IF(A414="","",IF(AND(Y414&lt;&gt;"参考",G414&gt;=ルール設定!$B$5,J414&gt;=ルール設定!$B$6,O414&gt;=ルール設定!$B$7),"○",""))</f>
        <v/>
      </c>
      <c r="T414" s="8" t="n">
        <v>4</v>
      </c>
      <c r="U414" s="8" t="n">
        <v>4</v>
      </c>
      <c r="V414" s="8" t="str">
        <f aca="false">IF(A414="","",IF(AND(ISNUMBER(T414),ISNUMBER(U414)),IF(AND(T414&lt;=3,U414&lt;=3),"○","×"),""))</f>
        <v>×</v>
      </c>
      <c r="W414" s="8"/>
      <c r="X414" s="8"/>
      <c r="Y414" s="4" t="s">
        <v>7597</v>
      </c>
      <c r="Z414" s="4" t="s">
        <v>4475</v>
      </c>
      <c r="AA414" s="8" t="str">
        <v/>
      </c>
      <c r="AB414" s="8" t="str">
        <v/>
      </c>
      <c r="AC414" s="8" t="str">
        <v/>
      </c>
      <c r="AD414" s="8" t="str">
        <v/>
      </c>
      <c r="AE414" s="8" t="str">
        <v/>
      </c>
      <c r="AF414" s="8" t="str">
        <v/>
      </c>
      <c r="AG414" s="8" t="str">
        <v/>
      </c>
      <c r="AH414" s="8" t="str">
        <v/>
      </c>
      <c r="AI414" s="8" t="n">
        <v>18</v>
      </c>
      <c r="AJ414" s="8" t="str">
        <v>～59</v>
      </c>
      <c r="AK414" s="8" t="str">
        <v>10～19</v>
      </c>
      <c r="AL414" s="8" t="str">
        <v>10～19</v>
      </c>
      <c r="AM414" s="8" t="str">
        <v>～99</v>
      </c>
      <c r="AN414" s="8" t="str">
        <v>12～14</v>
      </c>
      <c r="AO414" s="8" t="str">
        <f aca="false">IF(A414="","",IF(COUNTIFS(全馬データ!$A$2:$A$50000,A414,全馬データ!$B$2:$B$50000,B414,全馬データ!$C$2:$C$50000,C414,全馬データ!$D$2:$D$50000,E414,全馬データ!$K$2:$K$50000,"&lt;&gt;")=0,"",SUMIFS(全馬データ!$K$2:$K$50000,全馬データ!$A$2:$A$50000,A414,全馬データ!$B$2:$B$50000,B414,全馬データ!$C$2:$C$50000,C414,全馬データ!$D$2:$D$50000,E414)))</f>
        <v/>
      </c>
      <c r="AP414" s="8" t="str">
        <f aca="false">IF(A414="","",IF(AO414="","欠損",IF(AO414&lt;=1.1,"1.0～1.1",IF(AO414&lt;1.3,"1.2",IF(AO414&lt;1.5,"1.3～1.4",IF(AO414&lt;2,"1.5～1.9","2.0以上"))))))</f>
        <v>欠損</v>
      </c>
      <c r="AQ414" s="8" t="str">
        <f aca="false">IF(A414="","",IF(ISNUMBER(SEARCH("2歳",Z414)),"2歳戦",IF(ISNUMBER(SEARCH("3歳未勝利",Z414)),"3歳未勝利",IF(ISNUMBER(SEARCH("未勝利",Z414)),"その他未勝利",IF(ISNUMBER(SEARCH("G1",Z414)),"G1",IF(ISNUMBER(SEARCH("G2",Z414)),"G2",IF(ISNUMBER(SEARCH("G3",Z414)),"G3",IF(ISNUMBER(SEARCH("古馬条件",Z414)),"古馬条件戦",IF(ISNUMBER(SEARCH("重賞",Z414)),"重賞","分類不能")))))))))</f>
        <v>分類不能</v>
      </c>
      <c r="AR414" s="8"/>
      <c r="AS414" s="8" t="s">
        <v>7618</v>
      </c>
      <c r="AT414" s="4" t="s">
        <v>7642</v>
      </c>
      <c r="AU414" s="8" t="s">
        <v>7600</v>
      </c>
      <c r="AV414" s="4" t="s">
        <v>7601</v>
      </c>
      <c r="AW414" s="8"/>
      <c r="AX414" s="8"/>
      <c r="AY414" s="8" t="s">
        <v>7608</v>
      </c>
      <c r="AZ414" s="4" t="s">
        <v>7642</v>
      </c>
      <c r="BA414" s="8" t="n">
        <v>3000</v>
      </c>
      <c r="BB414" s="8" t="s">
        <v>7634</v>
      </c>
      <c r="BC414" s="4" t="s">
        <v>7604</v>
      </c>
      <c r="BD414" s="8" t="s">
        <v>7645</v>
      </c>
      <c r="BE414" s="4" t="s">
        <v>7606</v>
      </c>
      <c r="BF414" s="8" t="s">
        <v>7607</v>
      </c>
      <c r="BG414" s="8" t="s">
        <v>7631</v>
      </c>
      <c r="BH414" s="4" t="s">
        <v>7632</v>
      </c>
      <c r="BI414" s="8" t="n">
        <v>14</v>
      </c>
      <c r="BJ414" s="8" t="s">
        <v>7647</v>
      </c>
      <c r="BK414" s="4" t="s">
        <v>7648</v>
      </c>
      <c r="BL414" s="8" t="s">
        <v>7608</v>
      </c>
      <c r="BM414" s="4" t="s">
        <v>7780</v>
      </c>
      <c r="BN414" s="8"/>
      <c r="BO414" s="8"/>
      <c r="BP414" s="8" t="s">
        <v>7602</v>
      </c>
      <c r="BQ414" s="8" t="str">
        <f aca="false">IF(A414="","",AT414)</f>
        <v>障害</v>
      </c>
      <c r="BR414" s="8" t="str">
        <f aca="false">IF(A414="","",IF(BA414&lt;=1200,"～1200",IF(BA414&lt;=1500,"1300～1500",IF(BA414=1600,"1600",IF(BA414&lt;=1800,"1700～1800",IF(BA414&lt;=2000,"1900～2000","2100以上"))))))</f>
        <v>2100以上</v>
      </c>
      <c r="BS414" s="8" t="str">
        <f aca="false">IF(A414="","",IF(AX414="G1","G1",IF(AX414="G2","G2",IF(AX414="G3","G3",IF(AX414="L","L","その他")))))</f>
        <v>その他</v>
      </c>
      <c r="BT414" s="8" t="str">
        <f aca="false">IF(A414="","",IF(BI414="","未結合",IF(D414=BI414,"一致","不一致")))</f>
        <v>一致</v>
      </c>
      <c r="BU414" s="8" t="str">
        <f aca="false">IF(A414="","",IF(BE414="牝馬限定","牝馬限定","その他"))</f>
        <v>その他</v>
      </c>
    </row>
    <row r="415" customFormat="false" ht="15.75" hidden="false" customHeight="false" outlineLevel="0" collapsed="false">
      <c r="A415" s="6" t="n">
        <v>46179</v>
      </c>
      <c r="B415" s="4" t="s">
        <v>4473</v>
      </c>
      <c r="C415" s="8" t="n">
        <v>2</v>
      </c>
      <c r="D415" s="8" t="n">
        <v>16</v>
      </c>
      <c r="E415" s="8" t="n">
        <v>1</v>
      </c>
      <c r="F415" s="4" t="s">
        <v>2934</v>
      </c>
      <c r="G415" s="8" t="n">
        <v>81</v>
      </c>
      <c r="H415" s="8" t="n">
        <v>9</v>
      </c>
      <c r="I415" s="4" t="s">
        <v>2369</v>
      </c>
      <c r="J415" s="8" t="n">
        <v>58</v>
      </c>
      <c r="K415" s="8" t="n">
        <v>13</v>
      </c>
      <c r="L415" s="4" t="s">
        <v>823</v>
      </c>
      <c r="M415" s="8" t="n">
        <v>31</v>
      </c>
      <c r="N415" s="8" t="n">
        <f aca="false">IF(A415="","",G415-J415)</f>
        <v>23</v>
      </c>
      <c r="O415" s="8" t="n">
        <f aca="false">IF(A415="","",J415-M415)</f>
        <v>27</v>
      </c>
      <c r="P415" s="8" t="n">
        <f aca="false">IF(A415="","",G415+J415)</f>
        <v>139</v>
      </c>
      <c r="Q415" s="8" t="str">
        <f aca="false">IF(A415="","",IF(AND(Y415&lt;&gt;"参考",G415&gt;=ルール設定!$B$2),"○",""))</f>
        <v>○</v>
      </c>
      <c r="R415" s="8" t="str">
        <f aca="false">IF(A415="","",IF(AND(Y415&lt;&gt;"参考",G415&gt;=ルール設定!$B$3,N415&gt;=ルール設定!$B$4),"○",""))</f>
        <v/>
      </c>
      <c r="S415" s="8" t="str">
        <f aca="false">IF(A415="","",IF(AND(Y415&lt;&gt;"参考",G415&gt;=ルール設定!$B$5,J415&gt;=ルール設定!$B$6,O415&gt;=ルール設定!$B$7),"○",""))</f>
        <v>○</v>
      </c>
      <c r="T415" s="8" t="n">
        <v>3</v>
      </c>
      <c r="U415" s="8" t="n">
        <v>2</v>
      </c>
      <c r="V415" s="8" t="str">
        <f aca="false">IF(A415="","",IF(AND(ISNUMBER(T415),ISNUMBER(U415)),IF(AND(T415&lt;=3,U415&lt;=3),"○","×"),""))</f>
        <v>○</v>
      </c>
      <c r="W415" s="8" t="n">
        <v>110</v>
      </c>
      <c r="X415" s="8" t="n">
        <v>150</v>
      </c>
      <c r="Y415" s="4" t="s">
        <v>7597</v>
      </c>
      <c r="Z415" s="4" t="s">
        <v>4475</v>
      </c>
      <c r="AA415" s="8" t="str">
        <v/>
      </c>
      <c r="AB415" s="8" t="str">
        <v>○</v>
      </c>
      <c r="AC415" s="8" t="str">
        <v>○</v>
      </c>
      <c r="AD415" s="8" t="str">
        <v/>
      </c>
      <c r="AE415" s="8" t="str">
        <v/>
      </c>
      <c r="AF415" s="8" t="str">
        <v/>
      </c>
      <c r="AG415" s="8" t="str">
        <v>○</v>
      </c>
      <c r="AH415" s="8" t="str">
        <v/>
      </c>
      <c r="AI415" s="8" t="n">
        <v>50</v>
      </c>
      <c r="AJ415" s="8" t="str">
        <v>80～84</v>
      </c>
      <c r="AK415" s="8" t="str">
        <v>20～29</v>
      </c>
      <c r="AL415" s="8" t="str">
        <v>40以上</v>
      </c>
      <c r="AM415" s="8" t="str">
        <v>120～139</v>
      </c>
      <c r="AN415" s="8" t="str">
        <v>15以上</v>
      </c>
      <c r="AO415" s="8" t="str">
        <f aca="false">IF(A415="","",IF(COUNTIFS(全馬データ!$A$2:$A$50000,A415,全馬データ!$B$2:$B$50000,B415,全馬データ!$C$2:$C$50000,C415,全馬データ!$D$2:$D$50000,E415,全馬データ!$K$2:$K$50000,"&lt;&gt;")=0,"",SUMIFS(全馬データ!$K$2:$K$50000,全馬データ!$A$2:$A$50000,A415,全馬データ!$B$2:$B$50000,B415,全馬データ!$C$2:$C$50000,C415,全馬データ!$D$2:$D$50000,E415)))</f>
        <v/>
      </c>
      <c r="AP415" s="8" t="str">
        <f aca="false">IF(A415="","",IF(AO415="","欠損",IF(AO415&lt;=1.1,"1.0～1.1",IF(AO415&lt;1.3,"1.2",IF(AO415&lt;1.5,"1.3～1.4",IF(AO415&lt;2,"1.5～1.9","2.0以上"))))))</f>
        <v>欠損</v>
      </c>
      <c r="AQ415" s="8" t="str">
        <f aca="false">IF(A415="","",IF(ISNUMBER(SEARCH("2歳",Z415)),"2歳戦",IF(ISNUMBER(SEARCH("3歳未勝利",Z415)),"3歳未勝利",IF(ISNUMBER(SEARCH("未勝利",Z415)),"その他未勝利",IF(ISNUMBER(SEARCH("G1",Z415)),"G1",IF(ISNUMBER(SEARCH("G2",Z415)),"G2",IF(ISNUMBER(SEARCH("G3",Z415)),"G3",IF(ISNUMBER(SEARCH("古馬条件",Z415)),"古馬条件戦",IF(ISNUMBER(SEARCH("重賞",Z415)),"重賞","分類不能")))))))))</f>
        <v>分類不能</v>
      </c>
      <c r="AR415" s="8"/>
      <c r="AS415" s="8" t="s">
        <v>7623</v>
      </c>
      <c r="AT415" s="8" t="s">
        <v>7624</v>
      </c>
      <c r="AU415" s="8" t="s">
        <v>7600</v>
      </c>
      <c r="AV415" s="4" t="s">
        <v>7601</v>
      </c>
      <c r="AW415" s="8"/>
      <c r="AX415" s="8"/>
      <c r="AY415" s="8" t="s">
        <v>7610</v>
      </c>
      <c r="AZ415" s="4" t="s">
        <v>7617</v>
      </c>
      <c r="BA415" s="8" t="n">
        <v>1600</v>
      </c>
      <c r="BB415" s="8" t="s">
        <v>7618</v>
      </c>
      <c r="BC415" s="4" t="s">
        <v>7619</v>
      </c>
      <c r="BD415" s="8" t="s">
        <v>7621</v>
      </c>
      <c r="BE415" s="4" t="s">
        <v>7622</v>
      </c>
      <c r="BF415" s="8" t="s">
        <v>7602</v>
      </c>
      <c r="BG415" s="8" t="s">
        <v>7608</v>
      </c>
      <c r="BH415" s="4" t="s">
        <v>7609</v>
      </c>
      <c r="BI415" s="8" t="n">
        <v>16</v>
      </c>
      <c r="BJ415" s="8" t="s">
        <v>7610</v>
      </c>
      <c r="BK415" s="4" t="s">
        <v>7611</v>
      </c>
      <c r="BL415" s="8" t="s">
        <v>7602</v>
      </c>
      <c r="BM415" s="4" t="s">
        <v>7620</v>
      </c>
      <c r="BN415" s="8"/>
      <c r="BO415" s="8"/>
      <c r="BP415" s="8" t="s">
        <v>7602</v>
      </c>
      <c r="BQ415" s="8" t="str">
        <f aca="false">IF(A415="","",AT415)</f>
        <v>3歳</v>
      </c>
      <c r="BR415" s="8" t="str">
        <f aca="false">IF(A415="","",IF(BA415&lt;=1200,"～1200",IF(BA415&lt;=1500,"1300～1500",IF(BA415=1600,"1600",IF(BA415&lt;=1800,"1700～1800",IF(BA415&lt;=2000,"1900～2000","2100以上"))))))</f>
        <v>1600</v>
      </c>
      <c r="BS415" s="8" t="str">
        <f aca="false">IF(A415="","",IF(AX415="G1","G1",IF(AX415="G2","G2",IF(AX415="G3","G3",IF(AX415="L","L","その他")))))</f>
        <v>その他</v>
      </c>
      <c r="BT415" s="8" t="str">
        <f aca="false">IF(A415="","",IF(BI415="","未結合",IF(D415=BI415,"一致","不一致")))</f>
        <v>一致</v>
      </c>
      <c r="BU415" s="8" t="str">
        <f aca="false">IF(A415="","",IF(BE415="牝馬限定","牝馬限定","その他"))</f>
        <v>牝馬限定</v>
      </c>
    </row>
    <row r="416" customFormat="false" ht="15.75" hidden="false" customHeight="false" outlineLevel="0" collapsed="false">
      <c r="A416" s="6" t="n">
        <v>46179</v>
      </c>
      <c r="B416" s="4" t="s">
        <v>4473</v>
      </c>
      <c r="C416" s="8" t="n">
        <v>3</v>
      </c>
      <c r="D416" s="8" t="n">
        <v>16</v>
      </c>
      <c r="E416" s="8" t="n">
        <v>12</v>
      </c>
      <c r="F416" s="4" t="s">
        <v>3354</v>
      </c>
      <c r="G416" s="8" t="n">
        <v>58</v>
      </c>
      <c r="H416" s="8" t="n">
        <v>9</v>
      </c>
      <c r="I416" s="4" t="s">
        <v>3735</v>
      </c>
      <c r="J416" s="8" t="n">
        <v>50</v>
      </c>
      <c r="K416" s="8" t="n">
        <v>3</v>
      </c>
      <c r="L416" s="4" t="s">
        <v>4494</v>
      </c>
      <c r="M416" s="8" t="n">
        <v>25</v>
      </c>
      <c r="N416" s="8" t="n">
        <f aca="false">IF(A416="","",G416-J416)</f>
        <v>8</v>
      </c>
      <c r="O416" s="8" t="n">
        <f aca="false">IF(A416="","",J416-M416)</f>
        <v>25</v>
      </c>
      <c r="P416" s="8" t="n">
        <f aca="false">IF(A416="","",G416+J416)</f>
        <v>108</v>
      </c>
      <c r="Q416" s="8" t="str">
        <f aca="false">IF(A416="","",IF(AND(Y416&lt;&gt;"参考",G416&gt;=ルール設定!$B$2),"○",""))</f>
        <v/>
      </c>
      <c r="R416" s="8" t="str">
        <f aca="false">IF(A416="","",IF(AND(Y416&lt;&gt;"参考",G416&gt;=ルール設定!$B$3,N416&gt;=ルール設定!$B$4),"○",""))</f>
        <v/>
      </c>
      <c r="S416" s="8" t="str">
        <f aca="false">IF(A416="","",IF(AND(Y416&lt;&gt;"参考",G416&gt;=ルール設定!$B$5,J416&gt;=ルール設定!$B$6,O416&gt;=ルール設定!$B$7),"○",""))</f>
        <v/>
      </c>
      <c r="T416" s="8" t="n">
        <v>3</v>
      </c>
      <c r="U416" s="8" t="n">
        <v>2</v>
      </c>
      <c r="V416" s="8" t="str">
        <f aca="false">IF(A416="","",IF(AND(ISNUMBER(T416),ISNUMBER(U416)),IF(AND(T416&lt;=3,U416&lt;=3),"○","×"),""))</f>
        <v>○</v>
      </c>
      <c r="W416" s="8" t="n">
        <v>120</v>
      </c>
      <c r="X416" s="8" t="n">
        <v>280</v>
      </c>
      <c r="Y416" s="4" t="s">
        <v>7597</v>
      </c>
      <c r="Z416" s="4" t="s">
        <v>4475</v>
      </c>
      <c r="AA416" s="8" t="str">
        <v/>
      </c>
      <c r="AB416" s="8" t="str">
        <v/>
      </c>
      <c r="AC416" s="8" t="str">
        <v/>
      </c>
      <c r="AD416" s="8" t="str">
        <v/>
      </c>
      <c r="AE416" s="8" t="str">
        <v/>
      </c>
      <c r="AF416" s="8" t="str">
        <v/>
      </c>
      <c r="AG416" s="8" t="str">
        <v/>
      </c>
      <c r="AH416" s="8" t="str">
        <v/>
      </c>
      <c r="AI416" s="8" t="n">
        <v>33</v>
      </c>
      <c r="AJ416" s="8" t="str">
        <v>～59</v>
      </c>
      <c r="AK416" s="8" t="str">
        <v>5～9</v>
      </c>
      <c r="AL416" s="8" t="str">
        <v>30～39</v>
      </c>
      <c r="AM416" s="8" t="str">
        <v>100～119</v>
      </c>
      <c r="AN416" s="8" t="str">
        <v>15以上</v>
      </c>
      <c r="AO416" s="8" t="str">
        <f aca="false">IF(A416="","",IF(COUNTIFS(全馬データ!$A$2:$A$50000,A416,全馬データ!$B$2:$B$50000,B416,全馬データ!$C$2:$C$50000,C416,全馬データ!$D$2:$D$50000,E416,全馬データ!$K$2:$K$50000,"&lt;&gt;")=0,"",SUMIFS(全馬データ!$K$2:$K$50000,全馬データ!$A$2:$A$50000,A416,全馬データ!$B$2:$B$50000,B416,全馬データ!$C$2:$C$50000,C416,全馬データ!$D$2:$D$50000,E416)))</f>
        <v/>
      </c>
      <c r="AP416" s="8" t="str">
        <f aca="false">IF(A416="","",IF(AO416="","欠損",IF(AO416&lt;=1.1,"1.0～1.1",IF(AO416&lt;1.3,"1.2",IF(AO416&lt;1.5,"1.3～1.4",IF(AO416&lt;2,"1.5～1.9","2.0以上"))))))</f>
        <v>欠損</v>
      </c>
      <c r="AQ416" s="8" t="str">
        <f aca="false">IF(A416="","",IF(ISNUMBER(SEARCH("2歳",Z416)),"2歳戦",IF(ISNUMBER(SEARCH("3歳未勝利",Z416)),"3歳未勝利",IF(ISNUMBER(SEARCH("未勝利",Z416)),"その他未勝利",IF(ISNUMBER(SEARCH("G1",Z416)),"G1",IF(ISNUMBER(SEARCH("G2",Z416)),"G2",IF(ISNUMBER(SEARCH("G3",Z416)),"G3",IF(ISNUMBER(SEARCH("古馬条件",Z416)),"古馬条件戦",IF(ISNUMBER(SEARCH("重賞",Z416)),"重賞","分類不能")))))))))</f>
        <v>分類不能</v>
      </c>
      <c r="AR416" s="8"/>
      <c r="AS416" s="8" t="s">
        <v>7623</v>
      </c>
      <c r="AT416" s="8" t="s">
        <v>7624</v>
      </c>
      <c r="AU416" s="8" t="s">
        <v>7600</v>
      </c>
      <c r="AV416" s="4" t="s">
        <v>7601</v>
      </c>
      <c r="AW416" s="8"/>
      <c r="AX416" s="8"/>
      <c r="AY416" s="8" t="s">
        <v>7610</v>
      </c>
      <c r="AZ416" s="4" t="s">
        <v>7617</v>
      </c>
      <c r="BA416" s="8" t="n">
        <v>1400</v>
      </c>
      <c r="BB416" s="8" t="s">
        <v>7618</v>
      </c>
      <c r="BC416" s="4" t="s">
        <v>7619</v>
      </c>
      <c r="BD416" s="8" t="s">
        <v>7625</v>
      </c>
      <c r="BE416" s="4" t="s">
        <v>7606</v>
      </c>
      <c r="BF416" s="8" t="s">
        <v>7607</v>
      </c>
      <c r="BG416" s="8" t="s">
        <v>7608</v>
      </c>
      <c r="BH416" s="4" t="s">
        <v>7609</v>
      </c>
      <c r="BI416" s="8" t="n">
        <v>16</v>
      </c>
      <c r="BJ416" s="8" t="s">
        <v>7610</v>
      </c>
      <c r="BK416" s="4" t="s">
        <v>7611</v>
      </c>
      <c r="BL416" s="8" t="s">
        <v>7602</v>
      </c>
      <c r="BM416" s="4" t="s">
        <v>7620</v>
      </c>
      <c r="BN416" s="8"/>
      <c r="BO416" s="8"/>
      <c r="BP416" s="8" t="s">
        <v>7602</v>
      </c>
      <c r="BQ416" s="8" t="str">
        <f aca="false">IF(A416="","",AT416)</f>
        <v>3歳</v>
      </c>
      <c r="BR416" s="8" t="str">
        <f aca="false">IF(A416="","",IF(BA416&lt;=1200,"～1200",IF(BA416&lt;=1500,"1300～1500",IF(BA416=1600,"1600",IF(BA416&lt;=1800,"1700～1800",IF(BA416&lt;=2000,"1900～2000","2100以上"))))))</f>
        <v>1300～1500</v>
      </c>
      <c r="BS416" s="8" t="str">
        <f aca="false">IF(A416="","",IF(AX416="G1","G1",IF(AX416="G2","G2",IF(AX416="G3","G3",IF(AX416="L","L","その他")))))</f>
        <v>その他</v>
      </c>
      <c r="BT416" s="8" t="str">
        <f aca="false">IF(A416="","",IF(BI416="","未結合",IF(D416=BI416,"一致","不一致")))</f>
        <v>一致</v>
      </c>
      <c r="BU416" s="8" t="str">
        <f aca="false">IF(A416="","",IF(BE416="牝馬限定","牝馬限定","その他"))</f>
        <v>その他</v>
      </c>
    </row>
    <row r="417" customFormat="false" ht="15.75" hidden="false" customHeight="false" outlineLevel="0" collapsed="false">
      <c r="A417" s="6" t="n">
        <v>46179</v>
      </c>
      <c r="B417" s="4" t="s">
        <v>4473</v>
      </c>
      <c r="C417" s="8" t="n">
        <v>4</v>
      </c>
      <c r="D417" s="8" t="n">
        <v>7</v>
      </c>
      <c r="E417" s="8" t="n">
        <v>2</v>
      </c>
      <c r="F417" s="4" t="s">
        <v>4501</v>
      </c>
      <c r="G417" s="8" t="n">
        <v>37</v>
      </c>
      <c r="H417" s="8" t="n">
        <v>5</v>
      </c>
      <c r="I417" s="4" t="s">
        <v>3337</v>
      </c>
      <c r="J417" s="8" t="n">
        <v>31</v>
      </c>
      <c r="K417" s="8" t="n">
        <v>1</v>
      </c>
      <c r="L417" s="4" t="s">
        <v>4500</v>
      </c>
      <c r="M417" s="8" t="n">
        <v>24</v>
      </c>
      <c r="N417" s="8" t="n">
        <f aca="false">IF(A417="","",G417-J417)</f>
        <v>6</v>
      </c>
      <c r="O417" s="8" t="n">
        <f aca="false">IF(A417="","",J417-M417)</f>
        <v>7</v>
      </c>
      <c r="P417" s="8" t="n">
        <f aca="false">IF(A417="","",G417+J417)</f>
        <v>68</v>
      </c>
      <c r="Q417" s="8" t="str">
        <f aca="false">IF(A417="","",IF(AND(Y417&lt;&gt;"参考",G417&gt;=ルール設定!$B$2),"○",""))</f>
        <v/>
      </c>
      <c r="R417" s="8" t="str">
        <f aca="false">IF(A417="","",IF(AND(Y417&lt;&gt;"参考",G417&gt;=ルール設定!$B$3,N417&gt;=ルール設定!$B$4),"○",""))</f>
        <v/>
      </c>
      <c r="S417" s="8" t="str">
        <f aca="false">IF(A417="","",IF(AND(Y417&lt;&gt;"参考",G417&gt;=ルール設定!$B$5,J417&gt;=ルール設定!$B$6,O417&gt;=ルール設定!$B$7),"○",""))</f>
        <v/>
      </c>
      <c r="T417" s="8" t="n">
        <v>1</v>
      </c>
      <c r="U417" s="8" t="n">
        <v>3</v>
      </c>
      <c r="V417" s="8" t="str">
        <f aca="false">IF(A417="","",IF(AND(ISNUMBER(T417),ISNUMBER(U417)),IF(AND(T417&lt;=3,U417&lt;=3),"○","×"),""))</f>
        <v>○</v>
      </c>
      <c r="W417" s="8" t="n">
        <v>170</v>
      </c>
      <c r="X417" s="8" t="n">
        <v>250</v>
      </c>
      <c r="Y417" s="4" t="s">
        <v>7597</v>
      </c>
      <c r="Z417" s="4" t="s">
        <v>4475</v>
      </c>
      <c r="AA417" s="8" t="str">
        <v/>
      </c>
      <c r="AB417" s="8" t="str">
        <v/>
      </c>
      <c r="AC417" s="8" t="str">
        <v/>
      </c>
      <c r="AD417" s="8" t="str">
        <v/>
      </c>
      <c r="AE417" s="8" t="str">
        <v/>
      </c>
      <c r="AF417" s="8" t="str">
        <v/>
      </c>
      <c r="AG417" s="8" t="str">
        <v/>
      </c>
      <c r="AH417" s="8" t="str">
        <v/>
      </c>
      <c r="AI417" s="8" t="n">
        <v>13</v>
      </c>
      <c r="AJ417" s="8" t="str">
        <v>～59</v>
      </c>
      <c r="AK417" s="8" t="str">
        <v>5～9</v>
      </c>
      <c r="AL417" s="8" t="str">
        <v>10～19</v>
      </c>
      <c r="AM417" s="8" t="str">
        <v>～99</v>
      </c>
      <c r="AN417" s="8" t="str">
        <v>7以下</v>
      </c>
      <c r="AO417" s="8" t="str">
        <f aca="false">IF(A417="","",IF(COUNTIFS(全馬データ!$A$2:$A$50000,A417,全馬データ!$B$2:$B$50000,B417,全馬データ!$C$2:$C$50000,C417,全馬データ!$D$2:$D$50000,E417,全馬データ!$K$2:$K$50000,"&lt;&gt;")=0,"",SUMIFS(全馬データ!$K$2:$K$50000,全馬データ!$A$2:$A$50000,A417,全馬データ!$B$2:$B$50000,B417,全馬データ!$C$2:$C$50000,C417,全馬データ!$D$2:$D$50000,E417)))</f>
        <v/>
      </c>
      <c r="AP417" s="8" t="str">
        <f aca="false">IF(A417="","",IF(AO417="","欠損",IF(AO417&lt;=1.1,"1.0～1.1",IF(AO417&lt;1.3,"1.2",IF(AO417&lt;1.5,"1.3～1.4",IF(AO417&lt;2,"1.5～1.9","2.0以上"))))))</f>
        <v>欠損</v>
      </c>
      <c r="AQ417" s="8" t="str">
        <f aca="false">IF(A417="","",IF(ISNUMBER(SEARCH("2歳",Z417)),"2歳戦",IF(ISNUMBER(SEARCH("3歳未勝利",Z417)),"3歳未勝利",IF(ISNUMBER(SEARCH("未勝利",Z417)),"その他未勝利",IF(ISNUMBER(SEARCH("G1",Z417)),"G1",IF(ISNUMBER(SEARCH("G2",Z417)),"G2",IF(ISNUMBER(SEARCH("G3",Z417)),"G3",IF(ISNUMBER(SEARCH("古馬条件",Z417)),"古馬条件戦",IF(ISNUMBER(SEARCH("重賞",Z417)),"重賞","分類不能")))))))))</f>
        <v>分類不能</v>
      </c>
      <c r="AR417" s="8"/>
      <c r="AS417" s="8" t="s">
        <v>7598</v>
      </c>
      <c r="AT417" s="8" t="s">
        <v>7599</v>
      </c>
      <c r="AU417" s="8" t="s">
        <v>7615</v>
      </c>
      <c r="AV417" s="4" t="s">
        <v>7616</v>
      </c>
      <c r="AW417" s="8"/>
      <c r="AX417" s="8"/>
      <c r="AY417" s="8" t="s">
        <v>7602</v>
      </c>
      <c r="AZ417" s="4" t="s">
        <v>7603</v>
      </c>
      <c r="BA417" s="8" t="n">
        <v>1400</v>
      </c>
      <c r="BB417" s="8" t="s">
        <v>7598</v>
      </c>
      <c r="BC417" s="4" t="s">
        <v>7604</v>
      </c>
      <c r="BD417" s="8" t="s">
        <v>7625</v>
      </c>
      <c r="BE417" s="4" t="s">
        <v>7606</v>
      </c>
      <c r="BF417" s="8" t="s">
        <v>7607</v>
      </c>
      <c r="BG417" s="8" t="s">
        <v>7608</v>
      </c>
      <c r="BH417" s="4" t="s">
        <v>7609</v>
      </c>
      <c r="BI417" s="8" t="n">
        <v>7</v>
      </c>
      <c r="BJ417" s="8" t="s">
        <v>7610</v>
      </c>
      <c r="BK417" s="4" t="s">
        <v>7611</v>
      </c>
      <c r="BL417" s="8" t="s">
        <v>7602</v>
      </c>
      <c r="BM417" s="4" t="s">
        <v>7620</v>
      </c>
      <c r="BN417" s="8" t="s">
        <v>7636</v>
      </c>
      <c r="BO417" s="8" t="s">
        <v>7804</v>
      </c>
      <c r="BP417" s="8" t="s">
        <v>7602</v>
      </c>
      <c r="BQ417" s="8" t="str">
        <f aca="false">IF(A417="","",AT417)</f>
        <v>2歳</v>
      </c>
      <c r="BR417" s="8" t="str">
        <f aca="false">IF(A417="","",IF(BA417&lt;=1200,"～1200",IF(BA417&lt;=1500,"1300～1500",IF(BA417=1600,"1600",IF(BA417&lt;=1800,"1700～1800",IF(BA417&lt;=2000,"1900～2000","2100以上"))))))</f>
        <v>1300～1500</v>
      </c>
      <c r="BS417" s="8" t="str">
        <f aca="false">IF(A417="","",IF(AX417="G1","G1",IF(AX417="G2","G2",IF(AX417="G3","G3",IF(AX417="L","L","その他")))))</f>
        <v>その他</v>
      </c>
      <c r="BT417" s="8" t="str">
        <f aca="false">IF(A417="","",IF(BI417="","未結合",IF(D417=BI417,"一致","不一致")))</f>
        <v>一致</v>
      </c>
      <c r="BU417" s="8" t="str">
        <f aca="false">IF(A417="","",IF(BE417="牝馬限定","牝馬限定","その他"))</f>
        <v>その他</v>
      </c>
    </row>
    <row r="418" customFormat="false" ht="15.75" hidden="false" customHeight="false" outlineLevel="0" collapsed="false">
      <c r="A418" s="6" t="n">
        <v>46179</v>
      </c>
      <c r="B418" s="4" t="s">
        <v>4473</v>
      </c>
      <c r="C418" s="8" t="n">
        <v>5</v>
      </c>
      <c r="D418" s="8" t="n">
        <v>9</v>
      </c>
      <c r="E418" s="8" t="n">
        <v>2</v>
      </c>
      <c r="F418" s="4" t="s">
        <v>4502</v>
      </c>
      <c r="G418" s="8" t="n">
        <v>37</v>
      </c>
      <c r="H418" s="8" t="n">
        <v>6</v>
      </c>
      <c r="I418" s="4" t="s">
        <v>4504</v>
      </c>
      <c r="J418" s="8" t="n">
        <v>31</v>
      </c>
      <c r="K418" s="8" t="n">
        <v>4</v>
      </c>
      <c r="L418" s="4" t="s">
        <v>470</v>
      </c>
      <c r="M418" s="8" t="n">
        <v>27</v>
      </c>
      <c r="N418" s="8" t="n">
        <f aca="false">IF(A418="","",G418-J418)</f>
        <v>6</v>
      </c>
      <c r="O418" s="8" t="n">
        <f aca="false">IF(A418="","",J418-M418)</f>
        <v>4</v>
      </c>
      <c r="P418" s="8" t="n">
        <f aca="false">IF(A418="","",G418+J418)</f>
        <v>68</v>
      </c>
      <c r="Q418" s="8" t="str">
        <f aca="false">IF(A418="","",IF(AND(Y418&lt;&gt;"参考",G418&gt;=ルール設定!$B$2),"○",""))</f>
        <v/>
      </c>
      <c r="R418" s="8" t="str">
        <f aca="false">IF(A418="","",IF(AND(Y418&lt;&gt;"参考",G418&gt;=ルール設定!$B$3,N418&gt;=ルール設定!$B$4),"○",""))</f>
        <v/>
      </c>
      <c r="S418" s="8" t="str">
        <f aca="false">IF(A418="","",IF(AND(Y418&lt;&gt;"参考",G418&gt;=ルール設定!$B$5,J418&gt;=ルール設定!$B$6,O418&gt;=ルール設定!$B$7),"○",""))</f>
        <v/>
      </c>
      <c r="T418" s="8" t="n">
        <v>1</v>
      </c>
      <c r="U418" s="8" t="n">
        <v>3</v>
      </c>
      <c r="V418" s="8" t="str">
        <f aca="false">IF(A418="","",IF(AND(ISNUMBER(T418),ISNUMBER(U418)),IF(AND(T418&lt;=3,U418&lt;=3),"○","×"),""))</f>
        <v>○</v>
      </c>
      <c r="W418" s="8" t="n">
        <v>110</v>
      </c>
      <c r="X418" s="8" t="n">
        <v>140</v>
      </c>
      <c r="Y418" s="4" t="s">
        <v>7597</v>
      </c>
      <c r="Z418" s="4" t="s">
        <v>4475</v>
      </c>
      <c r="AA418" s="8" t="str">
        <v/>
      </c>
      <c r="AB418" s="8" t="str">
        <v/>
      </c>
      <c r="AC418" s="8" t="str">
        <v/>
      </c>
      <c r="AD418" s="8" t="str">
        <v/>
      </c>
      <c r="AE418" s="8" t="str">
        <v/>
      </c>
      <c r="AF418" s="8" t="str">
        <v/>
      </c>
      <c r="AG418" s="8" t="str">
        <v/>
      </c>
      <c r="AH418" s="8" t="str">
        <v/>
      </c>
      <c r="AI418" s="8" t="n">
        <v>10</v>
      </c>
      <c r="AJ418" s="8" t="str">
        <v>～59</v>
      </c>
      <c r="AK418" s="8" t="str">
        <v>5～9</v>
      </c>
      <c r="AL418" s="8" t="str">
        <v>10～19</v>
      </c>
      <c r="AM418" s="8" t="str">
        <v>～99</v>
      </c>
      <c r="AN418" s="8" t="str">
        <v>8～11</v>
      </c>
      <c r="AO418" s="8" t="str">
        <f aca="false">IF(A418="","",IF(COUNTIFS(全馬データ!$A$2:$A$50000,A418,全馬データ!$B$2:$B$50000,B418,全馬データ!$C$2:$C$50000,C418,全馬データ!$D$2:$D$50000,E418,全馬データ!$K$2:$K$50000,"&lt;&gt;")=0,"",SUMIFS(全馬データ!$K$2:$K$50000,全馬データ!$A$2:$A$50000,A418,全馬データ!$B$2:$B$50000,B418,全馬データ!$C$2:$C$50000,C418,全馬データ!$D$2:$D$50000,E418)))</f>
        <v/>
      </c>
      <c r="AP418" s="8" t="str">
        <f aca="false">IF(A418="","",IF(AO418="","欠損",IF(AO418&lt;=1.1,"1.0～1.1",IF(AO418&lt;1.3,"1.2",IF(AO418&lt;1.5,"1.3～1.4",IF(AO418&lt;2,"1.5～1.9","2.0以上"))))))</f>
        <v>欠損</v>
      </c>
      <c r="AQ418" s="8" t="str">
        <f aca="false">IF(A418="","",IF(ISNUMBER(SEARCH("2歳",Z418)),"2歳戦",IF(ISNUMBER(SEARCH("3歳未勝利",Z418)),"3歳未勝利",IF(ISNUMBER(SEARCH("未勝利",Z418)),"その他未勝利",IF(ISNUMBER(SEARCH("G1",Z418)),"G1",IF(ISNUMBER(SEARCH("G2",Z418)),"G2",IF(ISNUMBER(SEARCH("G3",Z418)),"G3",IF(ISNUMBER(SEARCH("古馬条件",Z418)),"古馬条件戦",IF(ISNUMBER(SEARCH("重賞",Z418)),"重賞","分類不能")))))))))</f>
        <v>分類不能</v>
      </c>
      <c r="AR418" s="8"/>
      <c r="AS418" s="8" t="s">
        <v>7598</v>
      </c>
      <c r="AT418" s="8" t="s">
        <v>7599</v>
      </c>
      <c r="AU418" s="8" t="s">
        <v>7615</v>
      </c>
      <c r="AV418" s="4" t="s">
        <v>7616</v>
      </c>
      <c r="AW418" s="8"/>
      <c r="AX418" s="8"/>
      <c r="AY418" s="8" t="s">
        <v>7602</v>
      </c>
      <c r="AZ418" s="4" t="s">
        <v>7603</v>
      </c>
      <c r="BA418" s="8" t="n">
        <v>1600</v>
      </c>
      <c r="BB418" s="8" t="s">
        <v>7598</v>
      </c>
      <c r="BC418" s="4" t="s">
        <v>7604</v>
      </c>
      <c r="BD418" s="8" t="s">
        <v>7605</v>
      </c>
      <c r="BE418" s="4" t="s">
        <v>7606</v>
      </c>
      <c r="BF418" s="8" t="s">
        <v>7607</v>
      </c>
      <c r="BG418" s="8" t="s">
        <v>7608</v>
      </c>
      <c r="BH418" s="4" t="s">
        <v>7609</v>
      </c>
      <c r="BI418" s="8" t="n">
        <v>9</v>
      </c>
      <c r="BJ418" s="8" t="s">
        <v>7610</v>
      </c>
      <c r="BK418" s="4" t="s">
        <v>7611</v>
      </c>
      <c r="BL418" s="8" t="s">
        <v>7602</v>
      </c>
      <c r="BM418" s="4" t="s">
        <v>7620</v>
      </c>
      <c r="BN418" s="8" t="s">
        <v>7636</v>
      </c>
      <c r="BO418" s="8" t="s">
        <v>7804</v>
      </c>
      <c r="BP418" s="8" t="s">
        <v>7602</v>
      </c>
      <c r="BQ418" s="8" t="str">
        <f aca="false">IF(A418="","",AT418)</f>
        <v>2歳</v>
      </c>
      <c r="BR418" s="8" t="str">
        <f aca="false">IF(A418="","",IF(BA418&lt;=1200,"～1200",IF(BA418&lt;=1500,"1300～1500",IF(BA418=1600,"1600",IF(BA418&lt;=1800,"1700～1800",IF(BA418&lt;=2000,"1900～2000","2100以上"))))))</f>
        <v>1600</v>
      </c>
      <c r="BS418" s="8" t="str">
        <f aca="false">IF(A418="","",IF(AX418="G1","G1",IF(AX418="G2","G2",IF(AX418="G3","G3",IF(AX418="L","L","その他")))))</f>
        <v>その他</v>
      </c>
      <c r="BT418" s="8" t="str">
        <f aca="false">IF(A418="","",IF(BI418="","未結合",IF(D418=BI418,"一致","不一致")))</f>
        <v>一致</v>
      </c>
      <c r="BU418" s="8" t="str">
        <f aca="false">IF(A418="","",IF(BE418="牝馬限定","牝馬限定","その他"))</f>
        <v>その他</v>
      </c>
    </row>
    <row r="419" customFormat="false" ht="15.75" hidden="false" customHeight="false" outlineLevel="0" collapsed="false">
      <c r="A419" s="6" t="n">
        <v>46179</v>
      </c>
      <c r="B419" s="4" t="s">
        <v>4473</v>
      </c>
      <c r="C419" s="8" t="n">
        <v>6</v>
      </c>
      <c r="D419" s="8" t="n">
        <v>16</v>
      </c>
      <c r="E419" s="8" t="n">
        <v>3</v>
      </c>
      <c r="F419" s="4" t="s">
        <v>3281</v>
      </c>
      <c r="G419" s="8" t="n">
        <v>58</v>
      </c>
      <c r="H419" s="8" t="n">
        <v>11</v>
      </c>
      <c r="I419" s="4" t="s">
        <v>1009</v>
      </c>
      <c r="J419" s="8" t="n">
        <v>58</v>
      </c>
      <c r="K419" s="8" t="n">
        <v>8</v>
      </c>
      <c r="L419" s="4" t="s">
        <v>356</v>
      </c>
      <c r="M419" s="8" t="n">
        <v>56</v>
      </c>
      <c r="N419" s="8" t="n">
        <f aca="false">IF(A419="","",G419-J419)</f>
        <v>0</v>
      </c>
      <c r="O419" s="8" t="n">
        <f aca="false">IF(A419="","",J419-M419)</f>
        <v>2</v>
      </c>
      <c r="P419" s="8" t="n">
        <f aca="false">IF(A419="","",G419+J419)</f>
        <v>116</v>
      </c>
      <c r="Q419" s="8" t="str">
        <f aca="false">IF(A419="","",IF(AND(Y419&lt;&gt;"参考",G419&gt;=ルール設定!$B$2),"○",""))</f>
        <v/>
      </c>
      <c r="R419" s="8" t="str">
        <f aca="false">IF(A419="","",IF(AND(Y419&lt;&gt;"参考",G419&gt;=ルール設定!$B$3,N419&gt;=ルール設定!$B$4),"○",""))</f>
        <v/>
      </c>
      <c r="S419" s="8" t="str">
        <f aca="false">IF(A419="","",IF(AND(Y419&lt;&gt;"参考",G419&gt;=ルール設定!$B$5,J419&gt;=ルール設定!$B$6,O419&gt;=ルール設定!$B$7),"○",""))</f>
        <v/>
      </c>
      <c r="T419" s="8" t="n">
        <v>4</v>
      </c>
      <c r="U419" s="8" t="n">
        <v>4</v>
      </c>
      <c r="V419" s="8" t="str">
        <f aca="false">IF(A419="","",IF(AND(ISNUMBER(T419),ISNUMBER(U419)),IF(AND(T419&lt;=3,U419&lt;=3),"○","×"),""))</f>
        <v>×</v>
      </c>
      <c r="W419" s="8"/>
      <c r="X419" s="8"/>
      <c r="Y419" s="4" t="s">
        <v>7597</v>
      </c>
      <c r="Z419" s="4" t="s">
        <v>4475</v>
      </c>
      <c r="AA419" s="8" t="str">
        <v/>
      </c>
      <c r="AB419" s="8" t="str">
        <v/>
      </c>
      <c r="AC419" s="8" t="str">
        <v/>
      </c>
      <c r="AD419" s="8" t="str">
        <v/>
      </c>
      <c r="AE419" s="8" t="str">
        <v/>
      </c>
      <c r="AF419" s="8" t="str">
        <v/>
      </c>
      <c r="AG419" s="8" t="str">
        <v/>
      </c>
      <c r="AH419" s="8" t="str">
        <v/>
      </c>
      <c r="AI419" s="8" t="n">
        <v>2</v>
      </c>
      <c r="AJ419" s="8" t="str">
        <v>～59</v>
      </c>
      <c r="AK419" s="8" t="str">
        <v>0～4</v>
      </c>
      <c r="AL419" s="8" t="str">
        <v>0～9</v>
      </c>
      <c r="AM419" s="8" t="str">
        <v>100～119</v>
      </c>
      <c r="AN419" s="8" t="str">
        <v>15以上</v>
      </c>
      <c r="AO419" s="8" t="str">
        <f aca="false">IF(A419="","",IF(COUNTIFS(全馬データ!$A$2:$A$50000,A419,全馬データ!$B$2:$B$50000,B419,全馬データ!$C$2:$C$50000,C419,全馬データ!$D$2:$D$50000,E419,全馬データ!$K$2:$K$50000,"&lt;&gt;")=0,"",SUMIFS(全馬データ!$K$2:$K$50000,全馬データ!$A$2:$A$50000,A419,全馬データ!$B$2:$B$50000,B419,全馬データ!$C$2:$C$50000,C419,全馬データ!$D$2:$D$50000,E419)))</f>
        <v/>
      </c>
      <c r="AP419" s="8" t="str">
        <f aca="false">IF(A419="","",IF(AO419="","欠損",IF(AO419&lt;=1.1,"1.0～1.1",IF(AO419&lt;1.3,"1.2",IF(AO419&lt;1.5,"1.3～1.4",IF(AO419&lt;2,"1.5～1.9","2.0以上"))))))</f>
        <v>欠損</v>
      </c>
      <c r="AQ419" s="8" t="str">
        <f aca="false">IF(A419="","",IF(ISNUMBER(SEARCH("2歳",Z419)),"2歳戦",IF(ISNUMBER(SEARCH("3歳未勝利",Z419)),"3歳未勝利",IF(ISNUMBER(SEARCH("未勝利",Z419)),"その他未勝利",IF(ISNUMBER(SEARCH("G1",Z419)),"G1",IF(ISNUMBER(SEARCH("G2",Z419)),"G2",IF(ISNUMBER(SEARCH("G3",Z419)),"G3",IF(ISNUMBER(SEARCH("古馬条件",Z419)),"古馬条件戦",IF(ISNUMBER(SEARCH("重賞",Z419)),"重賞","分類不能")))))))))</f>
        <v>分類不能</v>
      </c>
      <c r="AR419" s="8"/>
      <c r="AS419" s="8" t="s">
        <v>7623</v>
      </c>
      <c r="AT419" s="8" t="s">
        <v>7624</v>
      </c>
      <c r="AU419" s="8" t="s">
        <v>7600</v>
      </c>
      <c r="AV419" s="4" t="s">
        <v>7601</v>
      </c>
      <c r="AW419" s="8"/>
      <c r="AX419" s="8"/>
      <c r="AY419" s="8" t="s">
        <v>7610</v>
      </c>
      <c r="AZ419" s="4" t="s">
        <v>7617</v>
      </c>
      <c r="BA419" s="8" t="n">
        <v>1600</v>
      </c>
      <c r="BB419" s="8" t="s">
        <v>7598</v>
      </c>
      <c r="BC419" s="4" t="s">
        <v>7604</v>
      </c>
      <c r="BD419" s="8" t="s">
        <v>7605</v>
      </c>
      <c r="BE419" s="4" t="s">
        <v>7606</v>
      </c>
      <c r="BF419" s="8" t="s">
        <v>7607</v>
      </c>
      <c r="BG419" s="8" t="s">
        <v>7608</v>
      </c>
      <c r="BH419" s="4" t="s">
        <v>7609</v>
      </c>
      <c r="BI419" s="8" t="n">
        <v>16</v>
      </c>
      <c r="BJ419" s="8" t="s">
        <v>7610</v>
      </c>
      <c r="BK419" s="4" t="s">
        <v>7611</v>
      </c>
      <c r="BL419" s="8" t="s">
        <v>7602</v>
      </c>
      <c r="BM419" s="4" t="s">
        <v>7620</v>
      </c>
      <c r="BN419" s="8"/>
      <c r="BO419" s="8"/>
      <c r="BP419" s="8" t="s">
        <v>7602</v>
      </c>
      <c r="BQ419" s="8" t="str">
        <f aca="false">IF(A419="","",AT419)</f>
        <v>3歳</v>
      </c>
      <c r="BR419" s="8" t="str">
        <f aca="false">IF(A419="","",IF(BA419&lt;=1200,"～1200",IF(BA419&lt;=1500,"1300～1500",IF(BA419=1600,"1600",IF(BA419&lt;=1800,"1700～1800",IF(BA419&lt;=2000,"1900～2000","2100以上"))))))</f>
        <v>1600</v>
      </c>
      <c r="BS419" s="8" t="str">
        <f aca="false">IF(A419="","",IF(AX419="G1","G1",IF(AX419="G2","G2",IF(AX419="G3","G3",IF(AX419="L","L","その他")))))</f>
        <v>その他</v>
      </c>
      <c r="BT419" s="8" t="str">
        <f aca="false">IF(A419="","",IF(BI419="","未結合",IF(D419=BI419,"一致","不一致")))</f>
        <v>一致</v>
      </c>
      <c r="BU419" s="8" t="str">
        <f aca="false">IF(A419="","",IF(BE419="牝馬限定","牝馬限定","その他"))</f>
        <v>その他</v>
      </c>
    </row>
    <row r="420" customFormat="false" ht="15.75" hidden="false" customHeight="false" outlineLevel="0" collapsed="false">
      <c r="A420" s="6" t="n">
        <v>46179</v>
      </c>
      <c r="B420" s="4" t="s">
        <v>4473</v>
      </c>
      <c r="C420" s="8" t="n">
        <v>7</v>
      </c>
      <c r="D420" s="8" t="n">
        <v>16</v>
      </c>
      <c r="E420" s="8" t="n">
        <v>6</v>
      </c>
      <c r="F420" s="4" t="s">
        <v>1310</v>
      </c>
      <c r="G420" s="8" t="n">
        <v>67</v>
      </c>
      <c r="H420" s="8" t="n">
        <v>8</v>
      </c>
      <c r="I420" s="4" t="s">
        <v>3025</v>
      </c>
      <c r="J420" s="8" t="n">
        <v>58</v>
      </c>
      <c r="K420" s="8" t="n">
        <v>10</v>
      </c>
      <c r="L420" s="4" t="s">
        <v>1011</v>
      </c>
      <c r="M420" s="8" t="n">
        <v>50</v>
      </c>
      <c r="N420" s="8" t="n">
        <f aca="false">IF(A420="","",G420-J420)</f>
        <v>9</v>
      </c>
      <c r="O420" s="8" t="n">
        <f aca="false">IF(A420="","",J420-M420)</f>
        <v>8</v>
      </c>
      <c r="P420" s="8" t="n">
        <f aca="false">IF(A420="","",G420+J420)</f>
        <v>125</v>
      </c>
      <c r="Q420" s="8" t="str">
        <f aca="false">IF(A420="","",IF(AND(Y420&lt;&gt;"参考",G420&gt;=ルール設定!$B$2),"○",""))</f>
        <v/>
      </c>
      <c r="R420" s="8" t="str">
        <f aca="false">IF(A420="","",IF(AND(Y420&lt;&gt;"参考",G420&gt;=ルール設定!$B$3,N420&gt;=ルール設定!$B$4),"○",""))</f>
        <v/>
      </c>
      <c r="S420" s="8" t="str">
        <f aca="false">IF(A420="","",IF(AND(Y420&lt;&gt;"参考",G420&gt;=ルール設定!$B$5,J420&gt;=ルール設定!$B$6,O420&gt;=ルール設定!$B$7),"○",""))</f>
        <v/>
      </c>
      <c r="T420" s="8" t="n">
        <v>2</v>
      </c>
      <c r="U420" s="8" t="n">
        <v>4</v>
      </c>
      <c r="V420" s="8" t="str">
        <f aca="false">IF(A420="","",IF(AND(ISNUMBER(T420),ISNUMBER(U420)),IF(AND(T420&lt;=3,U420&lt;=3),"○","×"),""))</f>
        <v>×</v>
      </c>
      <c r="W420" s="8" t="n">
        <v>110</v>
      </c>
      <c r="X420" s="8"/>
      <c r="Y420" s="4" t="s">
        <v>7597</v>
      </c>
      <c r="Z420" s="4" t="s">
        <v>4475</v>
      </c>
      <c r="AA420" s="8" t="str">
        <v/>
      </c>
      <c r="AB420" s="8" t="str">
        <v/>
      </c>
      <c r="AC420" s="8" t="str">
        <v/>
      </c>
      <c r="AD420" s="8" t="str">
        <v/>
      </c>
      <c r="AE420" s="8" t="str">
        <v/>
      </c>
      <c r="AF420" s="8" t="str">
        <v/>
      </c>
      <c r="AG420" s="8" t="str">
        <v/>
      </c>
      <c r="AH420" s="8" t="str">
        <v/>
      </c>
      <c r="AI420" s="8" t="n">
        <v>17</v>
      </c>
      <c r="AJ420" s="8" t="str">
        <v>60～69</v>
      </c>
      <c r="AK420" s="8" t="str">
        <v>5～9</v>
      </c>
      <c r="AL420" s="8" t="str">
        <v>10～19</v>
      </c>
      <c r="AM420" s="8" t="str">
        <v>120～139</v>
      </c>
      <c r="AN420" s="8" t="str">
        <v>15以上</v>
      </c>
      <c r="AO420" s="8" t="str">
        <f aca="false">IF(A420="","",IF(COUNTIFS(全馬データ!$A$2:$A$50000,A420,全馬データ!$B$2:$B$50000,B420,全馬データ!$C$2:$C$50000,C420,全馬データ!$D$2:$D$50000,E420,全馬データ!$K$2:$K$50000,"&lt;&gt;")=0,"",SUMIFS(全馬データ!$K$2:$K$50000,全馬データ!$A$2:$A$50000,A420,全馬データ!$B$2:$B$50000,B420,全馬データ!$C$2:$C$50000,C420,全馬データ!$D$2:$D$50000,E420)))</f>
        <v/>
      </c>
      <c r="AP420" s="8" t="str">
        <f aca="false">IF(A420="","",IF(AO420="","欠損",IF(AO420&lt;=1.1,"1.0～1.1",IF(AO420&lt;1.3,"1.2",IF(AO420&lt;1.5,"1.3～1.4",IF(AO420&lt;2,"1.5～1.9","2.0以上"))))))</f>
        <v>欠損</v>
      </c>
      <c r="AQ420" s="8" t="str">
        <f aca="false">IF(A420="","",IF(ISNUMBER(SEARCH("2歳",Z420)),"2歳戦",IF(ISNUMBER(SEARCH("3歳未勝利",Z420)),"3歳未勝利",IF(ISNUMBER(SEARCH("未勝利",Z420)),"その他未勝利",IF(ISNUMBER(SEARCH("G1",Z420)),"G1",IF(ISNUMBER(SEARCH("G2",Z420)),"G2",IF(ISNUMBER(SEARCH("G3",Z420)),"G3",IF(ISNUMBER(SEARCH("古馬条件",Z420)),"古馬条件戦",IF(ISNUMBER(SEARCH("重賞",Z420)),"重賞","分類不能")))))))))</f>
        <v>分類不能</v>
      </c>
      <c r="AR420" s="8"/>
      <c r="AS420" s="8" t="s">
        <v>7623</v>
      </c>
      <c r="AT420" s="8" t="s">
        <v>7624</v>
      </c>
      <c r="AU420" s="8" t="s">
        <v>7600</v>
      </c>
      <c r="AV420" s="4" t="s">
        <v>7601</v>
      </c>
      <c r="AW420" s="8"/>
      <c r="AX420" s="8"/>
      <c r="AY420" s="8" t="s">
        <v>7602</v>
      </c>
      <c r="AZ420" s="4" t="s">
        <v>7603</v>
      </c>
      <c r="BA420" s="8" t="n">
        <v>2000</v>
      </c>
      <c r="BB420" s="8" t="s">
        <v>7598</v>
      </c>
      <c r="BC420" s="4" t="s">
        <v>7604</v>
      </c>
      <c r="BD420" s="8" t="s">
        <v>7605</v>
      </c>
      <c r="BE420" s="4" t="s">
        <v>7606</v>
      </c>
      <c r="BF420" s="8" t="s">
        <v>7607</v>
      </c>
      <c r="BG420" s="8" t="s">
        <v>7608</v>
      </c>
      <c r="BH420" s="4" t="s">
        <v>7609</v>
      </c>
      <c r="BI420" s="8" t="n">
        <v>16</v>
      </c>
      <c r="BJ420" s="8" t="s">
        <v>7610</v>
      </c>
      <c r="BK420" s="4" t="s">
        <v>7611</v>
      </c>
      <c r="BL420" s="8" t="s">
        <v>7602</v>
      </c>
      <c r="BM420" s="4" t="s">
        <v>7620</v>
      </c>
      <c r="BN420" s="8" t="s">
        <v>7636</v>
      </c>
      <c r="BO420" s="8" t="s">
        <v>7804</v>
      </c>
      <c r="BP420" s="8" t="s">
        <v>7602</v>
      </c>
      <c r="BQ420" s="8" t="str">
        <f aca="false">IF(A420="","",AT420)</f>
        <v>3歳</v>
      </c>
      <c r="BR420" s="8" t="str">
        <f aca="false">IF(A420="","",IF(BA420&lt;=1200,"～1200",IF(BA420&lt;=1500,"1300～1500",IF(BA420=1600,"1600",IF(BA420&lt;=1800,"1700～1800",IF(BA420&lt;=2000,"1900～2000","2100以上"))))))</f>
        <v>1900～2000</v>
      </c>
      <c r="BS420" s="8" t="str">
        <f aca="false">IF(A420="","",IF(AX420="G1","G1",IF(AX420="G2","G2",IF(AX420="G3","G3",IF(AX420="L","L","その他")))))</f>
        <v>その他</v>
      </c>
      <c r="BT420" s="8" t="str">
        <f aca="false">IF(A420="","",IF(BI420="","未結合",IF(D420=BI420,"一致","不一致")))</f>
        <v>一致</v>
      </c>
      <c r="BU420" s="8" t="str">
        <f aca="false">IF(A420="","",IF(BE420="牝馬限定","牝馬限定","その他"))</f>
        <v>その他</v>
      </c>
    </row>
    <row r="421" customFormat="false" ht="15.75" hidden="false" customHeight="false" outlineLevel="0" collapsed="false">
      <c r="A421" s="6" t="n">
        <v>46179</v>
      </c>
      <c r="B421" s="4" t="s">
        <v>4473</v>
      </c>
      <c r="C421" s="8" t="n">
        <v>8</v>
      </c>
      <c r="D421" s="8" t="n">
        <v>16</v>
      </c>
      <c r="E421" s="8" t="n">
        <v>3</v>
      </c>
      <c r="F421" s="4" t="s">
        <v>3065</v>
      </c>
      <c r="G421" s="8" t="n">
        <v>81</v>
      </c>
      <c r="H421" s="8" t="n">
        <v>8</v>
      </c>
      <c r="I421" s="4" t="s">
        <v>4523</v>
      </c>
      <c r="J421" s="8" t="n">
        <v>37</v>
      </c>
      <c r="K421" s="8" t="n">
        <v>11</v>
      </c>
      <c r="L421" s="4" t="s">
        <v>4526</v>
      </c>
      <c r="M421" s="8" t="n">
        <v>29</v>
      </c>
      <c r="N421" s="8" t="n">
        <f aca="false">IF(A421="","",G421-J421)</f>
        <v>44</v>
      </c>
      <c r="O421" s="8" t="n">
        <f aca="false">IF(A421="","",J421-M421)</f>
        <v>8</v>
      </c>
      <c r="P421" s="8" t="n">
        <f aca="false">IF(A421="","",G421+J421)</f>
        <v>118</v>
      </c>
      <c r="Q421" s="8" t="str">
        <f aca="false">IF(A421="","",IF(AND(Y421&lt;&gt;"参考",G421&gt;=ルール設定!$B$2),"○",""))</f>
        <v>○</v>
      </c>
      <c r="R421" s="8" t="str">
        <f aca="false">IF(A421="","",IF(AND(Y421&lt;&gt;"参考",G421&gt;=ルール設定!$B$3,N421&gt;=ルール設定!$B$4),"○",""))</f>
        <v>○</v>
      </c>
      <c r="S421" s="8" t="str">
        <f aca="false">IF(A421="","",IF(AND(Y421&lt;&gt;"参考",G421&gt;=ルール設定!$B$5,J421&gt;=ルール設定!$B$6,O421&gt;=ルール設定!$B$7),"○",""))</f>
        <v/>
      </c>
      <c r="T421" s="8" t="n">
        <v>4</v>
      </c>
      <c r="U421" s="8" t="n">
        <v>4</v>
      </c>
      <c r="V421" s="8" t="str">
        <f aca="false">IF(A421="","",IF(AND(ISNUMBER(T421),ISNUMBER(U421)),IF(AND(T421&lt;=3,U421&lt;=3),"○","×"),""))</f>
        <v>×</v>
      </c>
      <c r="W421" s="8"/>
      <c r="X421" s="8"/>
      <c r="Y421" s="4" t="s">
        <v>7597</v>
      </c>
      <c r="Z421" s="4" t="s">
        <v>4475</v>
      </c>
      <c r="AA421" s="8" t="str">
        <v/>
      </c>
      <c r="AB421" s="8" t="str">
        <v>○</v>
      </c>
      <c r="AC421" s="8" t="str">
        <v/>
      </c>
      <c r="AD421" s="8" t="str">
        <v>○</v>
      </c>
      <c r="AE421" s="8" t="str">
        <v/>
      </c>
      <c r="AF421" s="8" t="str">
        <v/>
      </c>
      <c r="AG421" s="8" t="str">
        <v>○</v>
      </c>
      <c r="AH421" s="8" t="str">
        <v/>
      </c>
      <c r="AI421" s="8" t="n">
        <v>52</v>
      </c>
      <c r="AJ421" s="8" t="str">
        <v>80～84</v>
      </c>
      <c r="AK421" s="8" t="str">
        <v>30以上</v>
      </c>
      <c r="AL421" s="8" t="str">
        <v>40以上</v>
      </c>
      <c r="AM421" s="8" t="str">
        <v>100～119</v>
      </c>
      <c r="AN421" s="8" t="str">
        <v>15以上</v>
      </c>
      <c r="AO421" s="8" t="str">
        <f aca="false">IF(A421="","",IF(COUNTIFS(全馬データ!$A$2:$A$50000,A421,全馬データ!$B$2:$B$50000,B421,全馬データ!$C$2:$C$50000,C421,全馬データ!$D$2:$D$50000,E421,全馬データ!$K$2:$K$50000,"&lt;&gt;")=0,"",SUMIFS(全馬データ!$K$2:$K$50000,全馬データ!$A$2:$A$50000,A421,全馬データ!$B$2:$B$50000,B421,全馬データ!$C$2:$C$50000,C421,全馬データ!$D$2:$D$50000,E421)))</f>
        <v/>
      </c>
      <c r="AP421" s="8" t="str">
        <f aca="false">IF(A421="","",IF(AO421="","欠損",IF(AO421&lt;=1.1,"1.0～1.1",IF(AO421&lt;1.3,"1.2",IF(AO421&lt;1.5,"1.3～1.4",IF(AO421&lt;2,"1.5～1.9","2.0以上"))))))</f>
        <v>欠損</v>
      </c>
      <c r="AQ421" s="8" t="str">
        <f aca="false">IF(A421="","",IF(ISNUMBER(SEARCH("2歳",Z421)),"2歳戦",IF(ISNUMBER(SEARCH("3歳未勝利",Z421)),"3歳未勝利",IF(ISNUMBER(SEARCH("未勝利",Z421)),"その他未勝利",IF(ISNUMBER(SEARCH("G1",Z421)),"G1",IF(ISNUMBER(SEARCH("G2",Z421)),"G2",IF(ISNUMBER(SEARCH("G3",Z421)),"G3",IF(ISNUMBER(SEARCH("古馬条件",Z421)),"古馬条件戦",IF(ISNUMBER(SEARCH("重賞",Z421)),"重賞","分類不能")))))))))</f>
        <v>分類不能</v>
      </c>
      <c r="AR421" s="8"/>
      <c r="AS421" s="8" t="s">
        <v>7626</v>
      </c>
      <c r="AT421" s="8" t="s">
        <v>7627</v>
      </c>
      <c r="AU421" s="8" t="s">
        <v>7628</v>
      </c>
      <c r="AV421" s="8" t="s">
        <v>7629</v>
      </c>
      <c r="AW421" s="8"/>
      <c r="AX421" s="8"/>
      <c r="AY421" s="8" t="s">
        <v>7610</v>
      </c>
      <c r="AZ421" s="4" t="s">
        <v>7617</v>
      </c>
      <c r="BA421" s="8" t="n">
        <v>1600</v>
      </c>
      <c r="BB421" s="8" t="s">
        <v>7598</v>
      </c>
      <c r="BC421" s="4" t="s">
        <v>7604</v>
      </c>
      <c r="BD421" s="8" t="s">
        <v>7621</v>
      </c>
      <c r="BE421" s="4" t="s">
        <v>7622</v>
      </c>
      <c r="BF421" s="8" t="s">
        <v>7602</v>
      </c>
      <c r="BG421" s="8" t="s">
        <v>7631</v>
      </c>
      <c r="BH421" s="4" t="s">
        <v>7632</v>
      </c>
      <c r="BI421" s="8" t="n">
        <v>16</v>
      </c>
      <c r="BJ421" s="8" t="s">
        <v>7610</v>
      </c>
      <c r="BK421" s="4" t="s">
        <v>7611</v>
      </c>
      <c r="BL421" s="8" t="s">
        <v>7602</v>
      </c>
      <c r="BM421" s="4" t="s">
        <v>7620</v>
      </c>
      <c r="BN421" s="8"/>
      <c r="BO421" s="8"/>
      <c r="BP421" s="8" t="s">
        <v>7602</v>
      </c>
      <c r="BQ421" s="8" t="str">
        <f aca="false">IF(A421="","",AT421)</f>
        <v>3歳以上</v>
      </c>
      <c r="BR421" s="8" t="str">
        <f aca="false">IF(A421="","",IF(BA421&lt;=1200,"～1200",IF(BA421&lt;=1500,"1300～1500",IF(BA421=1600,"1600",IF(BA421&lt;=1800,"1700～1800",IF(BA421&lt;=2000,"1900～2000","2100以上"))))))</f>
        <v>1600</v>
      </c>
      <c r="BS421" s="8" t="str">
        <f aca="false">IF(A421="","",IF(AX421="G1","G1",IF(AX421="G2","G2",IF(AX421="G3","G3",IF(AX421="L","L","その他")))))</f>
        <v>その他</v>
      </c>
      <c r="BT421" s="8" t="str">
        <f aca="false">IF(A421="","",IF(BI421="","未結合",IF(D421=BI421,"一致","不一致")))</f>
        <v>一致</v>
      </c>
      <c r="BU421" s="8" t="str">
        <f aca="false">IF(A421="","",IF(BE421="牝馬限定","牝馬限定","その他"))</f>
        <v>牝馬限定</v>
      </c>
    </row>
    <row r="422" customFormat="false" ht="15.75" hidden="false" customHeight="false" outlineLevel="0" collapsed="false">
      <c r="A422" s="6" t="n">
        <v>46179</v>
      </c>
      <c r="B422" s="4" t="s">
        <v>4473</v>
      </c>
      <c r="C422" s="8" t="n">
        <v>9</v>
      </c>
      <c r="D422" s="8" t="n">
        <v>12</v>
      </c>
      <c r="E422" s="8" t="n">
        <v>5</v>
      </c>
      <c r="F422" s="4" t="s">
        <v>3373</v>
      </c>
      <c r="G422" s="8" t="n">
        <v>44</v>
      </c>
      <c r="H422" s="8" t="n">
        <v>7</v>
      </c>
      <c r="I422" s="4" t="s">
        <v>4535</v>
      </c>
      <c r="J422" s="8" t="n">
        <v>39</v>
      </c>
      <c r="K422" s="8" t="n">
        <v>8</v>
      </c>
      <c r="L422" s="4" t="s">
        <v>4536</v>
      </c>
      <c r="M422" s="8" t="n">
        <v>39</v>
      </c>
      <c r="N422" s="8" t="n">
        <f aca="false">IF(A422="","",G422-J422)</f>
        <v>5</v>
      </c>
      <c r="O422" s="8" t="n">
        <f aca="false">IF(A422="","",J422-M422)</f>
        <v>0</v>
      </c>
      <c r="P422" s="8" t="n">
        <f aca="false">IF(A422="","",G422+J422)</f>
        <v>83</v>
      </c>
      <c r="Q422" s="8" t="str">
        <f aca="false">IF(A422="","",IF(AND(Y422&lt;&gt;"参考",G422&gt;=ルール設定!$B$2),"○",""))</f>
        <v/>
      </c>
      <c r="R422" s="8" t="str">
        <f aca="false">IF(A422="","",IF(AND(Y422&lt;&gt;"参考",G422&gt;=ルール設定!$B$3,N422&gt;=ルール設定!$B$4),"○",""))</f>
        <v/>
      </c>
      <c r="S422" s="8" t="str">
        <f aca="false">IF(A422="","",IF(AND(Y422&lt;&gt;"参考",G422&gt;=ルール設定!$B$5,J422&gt;=ルール設定!$B$6,O422&gt;=ルール設定!$B$7),"○",""))</f>
        <v/>
      </c>
      <c r="T422" s="8" t="n">
        <v>4</v>
      </c>
      <c r="U422" s="8" t="n">
        <v>4</v>
      </c>
      <c r="V422" s="8" t="str">
        <f aca="false">IF(A422="","",IF(AND(ISNUMBER(T422),ISNUMBER(U422)),IF(AND(T422&lt;=3,U422&lt;=3),"○","×"),""))</f>
        <v>×</v>
      </c>
      <c r="W422" s="8"/>
      <c r="X422" s="8"/>
      <c r="Y422" s="4" t="s">
        <v>7597</v>
      </c>
      <c r="Z422" s="4" t="s">
        <v>4475</v>
      </c>
      <c r="AA422" s="8" t="str">
        <v/>
      </c>
      <c r="AB422" s="8" t="str">
        <v/>
      </c>
      <c r="AC422" s="8" t="str">
        <v/>
      </c>
      <c r="AD422" s="8" t="str">
        <v/>
      </c>
      <c r="AE422" s="8" t="str">
        <v/>
      </c>
      <c r="AF422" s="8" t="str">
        <v/>
      </c>
      <c r="AG422" s="8" t="str">
        <v/>
      </c>
      <c r="AH422" s="8" t="str">
        <v/>
      </c>
      <c r="AI422" s="8" t="n">
        <v>5</v>
      </c>
      <c r="AJ422" s="8" t="str">
        <v>～59</v>
      </c>
      <c r="AK422" s="8" t="str">
        <v>5～9</v>
      </c>
      <c r="AL422" s="8" t="str">
        <v>0～9</v>
      </c>
      <c r="AM422" s="8" t="str">
        <v>～99</v>
      </c>
      <c r="AN422" s="8" t="str">
        <v>12～14</v>
      </c>
      <c r="AO422" s="8" t="str">
        <f aca="false">IF(A422="","",IF(COUNTIFS(全馬データ!$A$2:$A$50000,A422,全馬データ!$B$2:$B$50000,B422,全馬データ!$C$2:$C$50000,C422,全馬データ!$D$2:$D$50000,E422,全馬データ!$K$2:$K$50000,"&lt;&gt;")=0,"",SUMIFS(全馬データ!$K$2:$K$50000,全馬データ!$A$2:$A$50000,A422,全馬データ!$B$2:$B$50000,B422,全馬データ!$C$2:$C$50000,C422,全馬データ!$D$2:$D$50000,E422)))</f>
        <v/>
      </c>
      <c r="AP422" s="8" t="str">
        <f aca="false">IF(A422="","",IF(AO422="","欠損",IF(AO422&lt;=1.1,"1.0～1.1",IF(AO422&lt;1.3,"1.2",IF(AO422&lt;1.5,"1.3～1.4",IF(AO422&lt;2,"1.5～1.9","2.0以上"))))))</f>
        <v>欠損</v>
      </c>
      <c r="AQ422" s="8" t="str">
        <f aca="false">IF(A422="","",IF(ISNUMBER(SEARCH("2歳",Z422)),"2歳戦",IF(ISNUMBER(SEARCH("3歳未勝利",Z422)),"3歳未勝利",IF(ISNUMBER(SEARCH("未勝利",Z422)),"その他未勝利",IF(ISNUMBER(SEARCH("G1",Z422)),"G1",IF(ISNUMBER(SEARCH("G2",Z422)),"G2",IF(ISNUMBER(SEARCH("G3",Z422)),"G3",IF(ISNUMBER(SEARCH("古馬条件",Z422)),"古馬条件戦",IF(ISNUMBER(SEARCH("重賞",Z422)),"重賞","分類不能")))))))))</f>
        <v>分類不能</v>
      </c>
      <c r="AR422" s="4" t="s">
        <v>7805</v>
      </c>
      <c r="AS422" s="8" t="s">
        <v>7626</v>
      </c>
      <c r="AT422" s="8" t="s">
        <v>7627</v>
      </c>
      <c r="AU422" s="8" t="s">
        <v>7628</v>
      </c>
      <c r="AV422" s="8" t="s">
        <v>7629</v>
      </c>
      <c r="AW422" s="8" t="s">
        <v>7636</v>
      </c>
      <c r="AX422" s="4" t="s">
        <v>7637</v>
      </c>
      <c r="AY422" s="8" t="s">
        <v>7602</v>
      </c>
      <c r="AZ422" s="4" t="s">
        <v>7603</v>
      </c>
      <c r="BA422" s="8" t="n">
        <v>2400</v>
      </c>
      <c r="BB422" s="8" t="s">
        <v>7598</v>
      </c>
      <c r="BC422" s="4" t="s">
        <v>7604</v>
      </c>
      <c r="BD422" s="8" t="s">
        <v>7630</v>
      </c>
      <c r="BE422" s="4" t="s">
        <v>7606</v>
      </c>
      <c r="BF422" s="8" t="s">
        <v>7607</v>
      </c>
      <c r="BG422" s="8" t="s">
        <v>7631</v>
      </c>
      <c r="BH422" s="4" t="s">
        <v>7632</v>
      </c>
      <c r="BI422" s="8" t="n">
        <v>12</v>
      </c>
      <c r="BJ422" s="8" t="s">
        <v>7610</v>
      </c>
      <c r="BK422" s="4" t="s">
        <v>7611</v>
      </c>
      <c r="BL422" s="8" t="s">
        <v>7602</v>
      </c>
      <c r="BM422" s="4" t="s">
        <v>7620</v>
      </c>
      <c r="BN422" s="8" t="s">
        <v>7636</v>
      </c>
      <c r="BO422" s="8" t="s">
        <v>7804</v>
      </c>
      <c r="BP422" s="8" t="s">
        <v>7602</v>
      </c>
      <c r="BQ422" s="8" t="str">
        <f aca="false">IF(A422="","",AT422)</f>
        <v>3歳以上</v>
      </c>
      <c r="BR422" s="8" t="str">
        <f aca="false">IF(A422="","",IF(BA422&lt;=1200,"～1200",IF(BA422&lt;=1500,"1300～1500",IF(BA422=1600,"1600",IF(BA422&lt;=1800,"1700～1800",IF(BA422&lt;=2000,"1900～2000","2100以上"))))))</f>
        <v>2100以上</v>
      </c>
      <c r="BS422" s="8" t="str">
        <f aca="false">IF(A422="","",IF(AX422="G1","G1",IF(AX422="G2","G2",IF(AX422="G3","G3",IF(AX422="L","L","その他")))))</f>
        <v>その他</v>
      </c>
      <c r="BT422" s="8" t="str">
        <f aca="false">IF(A422="","",IF(BI422="","未結合",IF(D422=BI422,"一致","不一致")))</f>
        <v>一致</v>
      </c>
      <c r="BU422" s="8" t="str">
        <f aca="false">IF(A422="","",IF(BE422="牝馬限定","牝馬限定","その他"))</f>
        <v>その他</v>
      </c>
    </row>
    <row r="423" customFormat="false" ht="15.75" hidden="false" customHeight="false" outlineLevel="0" collapsed="false">
      <c r="A423" s="6" t="n">
        <v>46179</v>
      </c>
      <c r="B423" s="4" t="s">
        <v>4473</v>
      </c>
      <c r="C423" s="8" t="n">
        <v>10</v>
      </c>
      <c r="D423" s="8" t="n">
        <v>17</v>
      </c>
      <c r="E423" s="8" t="n">
        <v>4</v>
      </c>
      <c r="F423" s="4" t="s">
        <v>4542</v>
      </c>
      <c r="G423" s="8" t="n">
        <v>66</v>
      </c>
      <c r="H423" s="8" t="n">
        <v>6</v>
      </c>
      <c r="I423" s="4" t="s">
        <v>449</v>
      </c>
      <c r="J423" s="8" t="n">
        <v>41</v>
      </c>
      <c r="K423" s="8" t="n">
        <v>9</v>
      </c>
      <c r="L423" s="4" t="s">
        <v>4543</v>
      </c>
      <c r="M423" s="8" t="n">
        <v>41</v>
      </c>
      <c r="N423" s="8" t="n">
        <f aca="false">IF(A423="","",G423-J423)</f>
        <v>25</v>
      </c>
      <c r="O423" s="8" t="n">
        <f aca="false">IF(A423="","",J423-M423)</f>
        <v>0</v>
      </c>
      <c r="P423" s="8" t="n">
        <f aca="false">IF(A423="","",G423+J423)</f>
        <v>107</v>
      </c>
      <c r="Q423" s="8" t="str">
        <f aca="false">IF(A423="","",IF(AND(Y423&lt;&gt;"参考",G423&gt;=ルール設定!$B$2),"○",""))</f>
        <v/>
      </c>
      <c r="R423" s="8" t="str">
        <f aca="false">IF(A423="","",IF(AND(Y423&lt;&gt;"参考",G423&gt;=ルール設定!$B$3,N423&gt;=ルール設定!$B$4),"○",""))</f>
        <v/>
      </c>
      <c r="S423" s="8" t="str">
        <f aca="false">IF(A423="","",IF(AND(Y423&lt;&gt;"参考",G423&gt;=ルール設定!$B$5,J423&gt;=ルール設定!$B$6,O423&gt;=ルール設定!$B$7),"○",""))</f>
        <v/>
      </c>
      <c r="T423" s="8" t="n">
        <v>2</v>
      </c>
      <c r="U423" s="8" t="n">
        <v>1</v>
      </c>
      <c r="V423" s="8" t="str">
        <f aca="false">IF(A423="","",IF(AND(ISNUMBER(T423),ISNUMBER(U423)),IF(AND(T423&lt;=3,U423&lt;=3),"○","×"),""))</f>
        <v>○</v>
      </c>
      <c r="W423" s="8" t="n">
        <v>130</v>
      </c>
      <c r="X423" s="8" t="n">
        <v>430</v>
      </c>
      <c r="Y423" s="4" t="s">
        <v>7597</v>
      </c>
      <c r="Z423" s="4" t="s">
        <v>4475</v>
      </c>
      <c r="AA423" s="8" t="str">
        <v/>
      </c>
      <c r="AB423" s="8" t="str">
        <v/>
      </c>
      <c r="AC423" s="8" t="str">
        <v/>
      </c>
      <c r="AD423" s="8" t="str">
        <v/>
      </c>
      <c r="AE423" s="8" t="str">
        <v/>
      </c>
      <c r="AF423" s="8" t="str">
        <v/>
      </c>
      <c r="AG423" s="8" t="str">
        <v/>
      </c>
      <c r="AH423" s="8" t="str">
        <v/>
      </c>
      <c r="AI423" s="8" t="n">
        <v>25</v>
      </c>
      <c r="AJ423" s="8" t="str">
        <v>60～69</v>
      </c>
      <c r="AK423" s="8" t="str">
        <v>20～29</v>
      </c>
      <c r="AL423" s="8" t="str">
        <v>20～29</v>
      </c>
      <c r="AM423" s="8" t="str">
        <v>100～119</v>
      </c>
      <c r="AN423" s="8" t="str">
        <v>15以上</v>
      </c>
      <c r="AO423" s="8" t="str">
        <f aca="false">IF(A423="","",IF(COUNTIFS(全馬データ!$A$2:$A$50000,A423,全馬データ!$B$2:$B$50000,B423,全馬データ!$C$2:$C$50000,C423,全馬データ!$D$2:$D$50000,E423,全馬データ!$K$2:$K$50000,"&lt;&gt;")=0,"",SUMIFS(全馬データ!$K$2:$K$50000,全馬データ!$A$2:$A$50000,A423,全馬データ!$B$2:$B$50000,B423,全馬データ!$C$2:$C$50000,C423,全馬データ!$D$2:$D$50000,E423)))</f>
        <v/>
      </c>
      <c r="AP423" s="8" t="str">
        <f aca="false">IF(A423="","",IF(AO423="","欠損",IF(AO423&lt;=1.1,"1.0～1.1",IF(AO423&lt;1.3,"1.2",IF(AO423&lt;1.5,"1.3～1.4",IF(AO423&lt;2,"1.5～1.9","2.0以上"))))))</f>
        <v>欠損</v>
      </c>
      <c r="AQ423" s="8" t="str">
        <f aca="false">IF(A423="","",IF(ISNUMBER(SEARCH("2歳",Z423)),"2歳戦",IF(ISNUMBER(SEARCH("3歳未勝利",Z423)),"3歳未勝利",IF(ISNUMBER(SEARCH("未勝利",Z423)),"その他未勝利",IF(ISNUMBER(SEARCH("G1",Z423)),"G1",IF(ISNUMBER(SEARCH("G2",Z423)),"G2",IF(ISNUMBER(SEARCH("G3",Z423)),"G3",IF(ISNUMBER(SEARCH("古馬条件",Z423)),"古馬条件戦",IF(ISNUMBER(SEARCH("重賞",Z423)),"重賞","分類不能")))))))))</f>
        <v>分類不能</v>
      </c>
      <c r="AR423" s="4" t="s">
        <v>7806</v>
      </c>
      <c r="AS423" s="8" t="s">
        <v>7626</v>
      </c>
      <c r="AT423" s="8" t="s">
        <v>7627</v>
      </c>
      <c r="AU423" s="8" t="s">
        <v>7634</v>
      </c>
      <c r="AV423" s="8" t="s">
        <v>7635</v>
      </c>
      <c r="AW423" s="8" t="s">
        <v>7636</v>
      </c>
      <c r="AX423" s="4" t="s">
        <v>7637</v>
      </c>
      <c r="AY423" s="8" t="s">
        <v>7602</v>
      </c>
      <c r="AZ423" s="4" t="s">
        <v>7603</v>
      </c>
      <c r="BA423" s="8" t="n">
        <v>1400</v>
      </c>
      <c r="BB423" s="8" t="s">
        <v>7598</v>
      </c>
      <c r="BC423" s="4" t="s">
        <v>7604</v>
      </c>
      <c r="BD423" s="8" t="s">
        <v>7605</v>
      </c>
      <c r="BE423" s="4" t="s">
        <v>7606</v>
      </c>
      <c r="BF423" s="8" t="s">
        <v>7607</v>
      </c>
      <c r="BG423" s="8" t="s">
        <v>7602</v>
      </c>
      <c r="BH423" s="4" t="s">
        <v>7667</v>
      </c>
      <c r="BI423" s="8" t="n">
        <v>17</v>
      </c>
      <c r="BJ423" s="8" t="s">
        <v>7610</v>
      </c>
      <c r="BK423" s="4" t="s">
        <v>7611</v>
      </c>
      <c r="BL423" s="8" t="s">
        <v>7602</v>
      </c>
      <c r="BM423" s="4" t="s">
        <v>7620</v>
      </c>
      <c r="BN423" s="8" t="s">
        <v>7636</v>
      </c>
      <c r="BO423" s="8" t="s">
        <v>7804</v>
      </c>
      <c r="BP423" s="8" t="s">
        <v>7602</v>
      </c>
      <c r="BQ423" s="8" t="str">
        <f aca="false">IF(A423="","",AT423)</f>
        <v>3歳以上</v>
      </c>
      <c r="BR423" s="8" t="str">
        <f aca="false">IF(A423="","",IF(BA423&lt;=1200,"～1200",IF(BA423&lt;=1500,"1300～1500",IF(BA423=1600,"1600",IF(BA423&lt;=1800,"1700～1800",IF(BA423&lt;=2000,"1900～2000","2100以上"))))))</f>
        <v>1300～1500</v>
      </c>
      <c r="BS423" s="8" t="str">
        <f aca="false">IF(A423="","",IF(AX423="G1","G1",IF(AX423="G2","G2",IF(AX423="G3","G3",IF(AX423="L","L","その他")))))</f>
        <v>その他</v>
      </c>
      <c r="BT423" s="8" t="str">
        <f aca="false">IF(A423="","",IF(BI423="","未結合",IF(D423=BI423,"一致","不一致")))</f>
        <v>一致</v>
      </c>
      <c r="BU423" s="8" t="str">
        <f aca="false">IF(A423="","",IF(BE423="牝馬限定","牝馬限定","その他"))</f>
        <v>その他</v>
      </c>
    </row>
    <row r="424" customFormat="false" ht="15.75" hidden="false" customHeight="false" outlineLevel="0" collapsed="false">
      <c r="A424" s="6" t="n">
        <v>46179</v>
      </c>
      <c r="B424" s="4" t="s">
        <v>4473</v>
      </c>
      <c r="C424" s="8" t="n">
        <v>11</v>
      </c>
      <c r="D424" s="8" t="n">
        <v>16</v>
      </c>
      <c r="E424" s="8" t="n">
        <v>12</v>
      </c>
      <c r="F424" s="4" t="s">
        <v>3624</v>
      </c>
      <c r="G424" s="8" t="n">
        <v>58</v>
      </c>
      <c r="H424" s="8" t="n">
        <v>9</v>
      </c>
      <c r="I424" s="4" t="s">
        <v>4556</v>
      </c>
      <c r="J424" s="8" t="n">
        <v>41</v>
      </c>
      <c r="K424" s="8" t="n">
        <v>8</v>
      </c>
      <c r="L424" s="4" t="s">
        <v>3634</v>
      </c>
      <c r="M424" s="8" t="n">
        <v>39</v>
      </c>
      <c r="N424" s="8" t="n">
        <f aca="false">IF(A424="","",G424-J424)</f>
        <v>17</v>
      </c>
      <c r="O424" s="8" t="n">
        <f aca="false">IF(A424="","",J424-M424)</f>
        <v>2</v>
      </c>
      <c r="P424" s="8" t="n">
        <f aca="false">IF(A424="","",G424+J424)</f>
        <v>99</v>
      </c>
      <c r="Q424" s="8" t="str">
        <f aca="false">IF(A424="","",IF(AND(Y424&lt;&gt;"参考",G424&gt;=ルール設定!$B$2),"○",""))</f>
        <v/>
      </c>
      <c r="R424" s="8" t="str">
        <f aca="false">IF(A424="","",IF(AND(Y424&lt;&gt;"参考",G424&gt;=ルール設定!$B$3,N424&gt;=ルール設定!$B$4),"○",""))</f>
        <v/>
      </c>
      <c r="S424" s="8" t="str">
        <f aca="false">IF(A424="","",IF(AND(Y424&lt;&gt;"参考",G424&gt;=ルール設定!$B$5,J424&gt;=ルール設定!$B$6,O424&gt;=ルール設定!$B$7),"○",""))</f>
        <v/>
      </c>
      <c r="T424" s="8" t="n">
        <v>2</v>
      </c>
      <c r="U424" s="8" t="n">
        <v>1</v>
      </c>
      <c r="V424" s="8" t="str">
        <f aca="false">IF(A424="","",IF(AND(ISNUMBER(T424),ISNUMBER(U424)),IF(AND(T424&lt;=3,U424&lt;=3),"○","×"),""))</f>
        <v>○</v>
      </c>
      <c r="W424" s="8" t="n">
        <v>110</v>
      </c>
      <c r="X424" s="8" t="n">
        <v>170</v>
      </c>
      <c r="Y424" s="4" t="s">
        <v>7597</v>
      </c>
      <c r="Z424" s="4" t="s">
        <v>4475</v>
      </c>
      <c r="AA424" s="8" t="str">
        <v/>
      </c>
      <c r="AB424" s="8" t="str">
        <v/>
      </c>
      <c r="AC424" s="8" t="str">
        <v/>
      </c>
      <c r="AD424" s="8" t="str">
        <v/>
      </c>
      <c r="AE424" s="8" t="str">
        <v/>
      </c>
      <c r="AF424" s="8" t="str">
        <v/>
      </c>
      <c r="AG424" s="8" t="str">
        <v/>
      </c>
      <c r="AH424" s="8" t="str">
        <v/>
      </c>
      <c r="AI424" s="8" t="n">
        <v>19</v>
      </c>
      <c r="AJ424" s="8" t="str">
        <v>～59</v>
      </c>
      <c r="AK424" s="8" t="str">
        <v>10～19</v>
      </c>
      <c r="AL424" s="8" t="str">
        <v>10～19</v>
      </c>
      <c r="AM424" s="8" t="str">
        <v>～99</v>
      </c>
      <c r="AN424" s="8" t="str">
        <v>15以上</v>
      </c>
      <c r="AO424" s="8" t="str">
        <f aca="false">IF(A424="","",IF(COUNTIFS(全馬データ!$A$2:$A$50000,A424,全馬データ!$B$2:$B$50000,B424,全馬データ!$C$2:$C$50000,C424,全馬データ!$D$2:$D$50000,E424,全馬データ!$K$2:$K$50000,"&lt;&gt;")=0,"",SUMIFS(全馬データ!$K$2:$K$50000,全馬データ!$A$2:$A$50000,A424,全馬データ!$B$2:$B$50000,B424,全馬データ!$C$2:$C$50000,C424,全馬データ!$D$2:$D$50000,E424)))</f>
        <v/>
      </c>
      <c r="AP424" s="8" t="str">
        <f aca="false">IF(A424="","",IF(AO424="","欠損",IF(AO424&lt;=1.1,"1.0～1.1",IF(AO424&lt;1.3,"1.2",IF(AO424&lt;1.5,"1.3～1.4",IF(AO424&lt;2,"1.5～1.9","2.0以上"))))))</f>
        <v>欠損</v>
      </c>
      <c r="AQ424" s="8" t="str">
        <f aca="false">IF(A424="","",IF(ISNUMBER(SEARCH("2歳",Z424)),"2歳戦",IF(ISNUMBER(SEARCH("3歳未勝利",Z424)),"3歳未勝利",IF(ISNUMBER(SEARCH("未勝利",Z424)),"その他未勝利",IF(ISNUMBER(SEARCH("G1",Z424)),"G1",IF(ISNUMBER(SEARCH("G2",Z424)),"G2",IF(ISNUMBER(SEARCH("G3",Z424)),"G3",IF(ISNUMBER(SEARCH("古馬条件",Z424)),"古馬条件戦",IF(ISNUMBER(SEARCH("重賞",Z424)),"重賞","分類不能")))))))))</f>
        <v>分類不能</v>
      </c>
      <c r="AR424" s="4" t="s">
        <v>7807</v>
      </c>
      <c r="AS424" s="8" t="s">
        <v>7626</v>
      </c>
      <c r="AT424" s="8" t="s">
        <v>7627</v>
      </c>
      <c r="AU424" s="8" t="s">
        <v>7639</v>
      </c>
      <c r="AV424" s="8" t="s">
        <v>7640</v>
      </c>
      <c r="AW424" s="8" t="s">
        <v>7636</v>
      </c>
      <c r="AX424" s="4" t="s">
        <v>7637</v>
      </c>
      <c r="AY424" s="8" t="s">
        <v>7610</v>
      </c>
      <c r="AZ424" s="4" t="s">
        <v>7617</v>
      </c>
      <c r="BA424" s="8" t="n">
        <v>1400</v>
      </c>
      <c r="BB424" s="8" t="s">
        <v>7598</v>
      </c>
      <c r="BC424" s="4" t="s">
        <v>7604</v>
      </c>
      <c r="BD424" s="8" t="s">
        <v>7605</v>
      </c>
      <c r="BE424" s="4" t="s">
        <v>7606</v>
      </c>
      <c r="BF424" s="8" t="s">
        <v>7607</v>
      </c>
      <c r="BG424" s="8" t="s">
        <v>7602</v>
      </c>
      <c r="BH424" s="4" t="s">
        <v>7667</v>
      </c>
      <c r="BI424" s="8" t="n">
        <v>16</v>
      </c>
      <c r="BJ424" s="8" t="s">
        <v>7610</v>
      </c>
      <c r="BK424" s="4" t="s">
        <v>7611</v>
      </c>
      <c r="BL424" s="8" t="s">
        <v>7602</v>
      </c>
      <c r="BM424" s="4" t="s">
        <v>7620</v>
      </c>
      <c r="BN424" s="8"/>
      <c r="BO424" s="8"/>
      <c r="BP424" s="8" t="s">
        <v>7602</v>
      </c>
      <c r="BQ424" s="8" t="str">
        <f aca="false">IF(A424="","",AT424)</f>
        <v>3歳以上</v>
      </c>
      <c r="BR424" s="8" t="str">
        <f aca="false">IF(A424="","",IF(BA424&lt;=1200,"～1200",IF(BA424&lt;=1500,"1300～1500",IF(BA424=1600,"1600",IF(BA424&lt;=1800,"1700～1800",IF(BA424&lt;=2000,"1900～2000","2100以上"))))))</f>
        <v>1300～1500</v>
      </c>
      <c r="BS424" s="8" t="str">
        <f aca="false">IF(A424="","",IF(AX424="G1","G1",IF(AX424="G2","G2",IF(AX424="G3","G3",IF(AX424="L","L","その他")))))</f>
        <v>その他</v>
      </c>
      <c r="BT424" s="8" t="str">
        <f aca="false">IF(A424="","",IF(BI424="","未結合",IF(D424=BI424,"一致","不一致")))</f>
        <v>一致</v>
      </c>
      <c r="BU424" s="8" t="str">
        <f aca="false">IF(A424="","",IF(BE424="牝馬限定","牝馬限定","その他"))</f>
        <v>その他</v>
      </c>
    </row>
    <row r="425" customFormat="false" ht="15.75" hidden="false" customHeight="false" outlineLevel="0" collapsed="false">
      <c r="A425" s="6" t="n">
        <v>46179</v>
      </c>
      <c r="B425" s="4" t="s">
        <v>4473</v>
      </c>
      <c r="C425" s="8" t="n">
        <v>12</v>
      </c>
      <c r="D425" s="8" t="n">
        <v>16</v>
      </c>
      <c r="E425" s="8" t="n">
        <v>10</v>
      </c>
      <c r="F425" s="4" t="s">
        <v>4571</v>
      </c>
      <c r="G425" s="8" t="n">
        <v>86</v>
      </c>
      <c r="H425" s="8" t="n">
        <v>5</v>
      </c>
      <c r="I425" s="4" t="s">
        <v>419</v>
      </c>
      <c r="J425" s="8" t="n">
        <v>39</v>
      </c>
      <c r="K425" s="8" t="n">
        <v>3</v>
      </c>
      <c r="L425" s="4" t="s">
        <v>4565</v>
      </c>
      <c r="M425" s="8" t="n">
        <v>17</v>
      </c>
      <c r="N425" s="8" t="n">
        <f aca="false">IF(A425="","",G425-J425)</f>
        <v>47</v>
      </c>
      <c r="O425" s="8" t="n">
        <f aca="false">IF(A425="","",J425-M425)</f>
        <v>22</v>
      </c>
      <c r="P425" s="8" t="n">
        <f aca="false">IF(A425="","",G425+J425)</f>
        <v>125</v>
      </c>
      <c r="Q425" s="8" t="str">
        <f aca="false">IF(A425="","",IF(AND(Y425&lt;&gt;"参考",G425&gt;=ルール設定!$B$2),"○",""))</f>
        <v>○</v>
      </c>
      <c r="R425" s="8" t="str">
        <f aca="false">IF(A425="","",IF(AND(Y425&lt;&gt;"参考",G425&gt;=ルール設定!$B$3,N425&gt;=ルール設定!$B$4),"○",""))</f>
        <v>○</v>
      </c>
      <c r="S425" s="8" t="str">
        <f aca="false">IF(A425="","",IF(AND(Y425&lt;&gt;"参考",G425&gt;=ルール設定!$B$5,J425&gt;=ルール設定!$B$6,O425&gt;=ルール設定!$B$7),"○",""))</f>
        <v/>
      </c>
      <c r="T425" s="8" t="n">
        <v>1</v>
      </c>
      <c r="U425" s="8" t="n">
        <v>4</v>
      </c>
      <c r="V425" s="8" t="str">
        <f aca="false">IF(A425="","",IF(AND(ISNUMBER(T425),ISNUMBER(U425)),IF(AND(T425&lt;=3,U425&lt;=3),"○","×"),""))</f>
        <v>×</v>
      </c>
      <c r="W425" s="8" t="n">
        <v>110</v>
      </c>
      <c r="X425" s="8"/>
      <c r="Y425" s="4" t="s">
        <v>7597</v>
      </c>
      <c r="Z425" s="4" t="s">
        <v>4475</v>
      </c>
      <c r="AA425" s="8" t="str">
        <v>○</v>
      </c>
      <c r="AB425" s="8" t="str">
        <v>○</v>
      </c>
      <c r="AC425" s="8" t="str">
        <v/>
      </c>
      <c r="AD425" s="8" t="str">
        <v>○</v>
      </c>
      <c r="AE425" s="8" t="str">
        <v/>
      </c>
      <c r="AF425" s="8" t="str">
        <v/>
      </c>
      <c r="AG425" s="8" t="str">
        <v>○</v>
      </c>
      <c r="AH425" s="8" t="str">
        <v/>
      </c>
      <c r="AI425" s="8" t="n">
        <v>69</v>
      </c>
      <c r="AJ425" s="8" t="str">
        <v>85以上</v>
      </c>
      <c r="AK425" s="8" t="str">
        <v>30以上</v>
      </c>
      <c r="AL425" s="8" t="str">
        <v>40以上</v>
      </c>
      <c r="AM425" s="8" t="str">
        <v>120～139</v>
      </c>
      <c r="AN425" s="8" t="str">
        <v>15以上</v>
      </c>
      <c r="AO425" s="8" t="str">
        <f aca="false">IF(A425="","",IF(COUNTIFS(全馬データ!$A$2:$A$50000,A425,全馬データ!$B$2:$B$50000,B425,全馬データ!$C$2:$C$50000,C425,全馬データ!$D$2:$D$50000,E425,全馬データ!$K$2:$K$50000,"&lt;&gt;")=0,"",SUMIFS(全馬データ!$K$2:$K$50000,全馬データ!$A$2:$A$50000,A425,全馬データ!$B$2:$B$50000,B425,全馬データ!$C$2:$C$50000,C425,全馬データ!$D$2:$D$50000,E425)))</f>
        <v/>
      </c>
      <c r="AP425" s="8" t="str">
        <f aca="false">IF(A425="","",IF(AO425="","欠損",IF(AO425&lt;=1.1,"1.0～1.1",IF(AO425&lt;1.3,"1.2",IF(AO425&lt;1.5,"1.3～1.4",IF(AO425&lt;2,"1.5～1.9","2.0以上"))))))</f>
        <v>欠損</v>
      </c>
      <c r="AQ425" s="8" t="str">
        <f aca="false">IF(A425="","",IF(ISNUMBER(SEARCH("2歳",Z425)),"2歳戦",IF(ISNUMBER(SEARCH("3歳未勝利",Z425)),"3歳未勝利",IF(ISNUMBER(SEARCH("未勝利",Z425)),"その他未勝利",IF(ISNUMBER(SEARCH("G1",Z425)),"G1",IF(ISNUMBER(SEARCH("G2",Z425)),"G2",IF(ISNUMBER(SEARCH("G3",Z425)),"G3",IF(ISNUMBER(SEARCH("古馬条件",Z425)),"古馬条件戦",IF(ISNUMBER(SEARCH("重賞",Z425)),"重賞","分類不能")))))))))</f>
        <v>分類不能</v>
      </c>
      <c r="AR425" s="8"/>
      <c r="AS425" s="8" t="s">
        <v>7626</v>
      </c>
      <c r="AT425" s="8" t="s">
        <v>7627</v>
      </c>
      <c r="AU425" s="8" t="s">
        <v>7628</v>
      </c>
      <c r="AV425" s="8" t="s">
        <v>7629</v>
      </c>
      <c r="AW425" s="8"/>
      <c r="AX425" s="8"/>
      <c r="AY425" s="8" t="s">
        <v>7610</v>
      </c>
      <c r="AZ425" s="4" t="s">
        <v>7617</v>
      </c>
      <c r="BA425" s="8" t="n">
        <v>1600</v>
      </c>
      <c r="BB425" s="8" t="s">
        <v>7598</v>
      </c>
      <c r="BC425" s="4" t="s">
        <v>7604</v>
      </c>
      <c r="BD425" s="8" t="s">
        <v>7605</v>
      </c>
      <c r="BE425" s="4" t="s">
        <v>7606</v>
      </c>
      <c r="BF425" s="8" t="s">
        <v>7607</v>
      </c>
      <c r="BG425" s="8" t="s">
        <v>7631</v>
      </c>
      <c r="BH425" s="4" t="s">
        <v>7632</v>
      </c>
      <c r="BI425" s="8" t="n">
        <v>16</v>
      </c>
      <c r="BJ425" s="8" t="s">
        <v>7610</v>
      </c>
      <c r="BK425" s="4" t="s">
        <v>7611</v>
      </c>
      <c r="BL425" s="8" t="s">
        <v>7602</v>
      </c>
      <c r="BM425" s="4" t="s">
        <v>7620</v>
      </c>
      <c r="BN425" s="8"/>
      <c r="BO425" s="8"/>
      <c r="BP425" s="8" t="s">
        <v>7602</v>
      </c>
      <c r="BQ425" s="8" t="str">
        <f aca="false">IF(A425="","",AT425)</f>
        <v>3歳以上</v>
      </c>
      <c r="BR425" s="8" t="str">
        <f aca="false">IF(A425="","",IF(BA425&lt;=1200,"～1200",IF(BA425&lt;=1500,"1300～1500",IF(BA425=1600,"1600",IF(BA425&lt;=1800,"1700～1800",IF(BA425&lt;=2000,"1900～2000","2100以上"))))))</f>
        <v>1600</v>
      </c>
      <c r="BS425" s="8" t="str">
        <f aca="false">IF(A425="","",IF(AX425="G1","G1",IF(AX425="G2","G2",IF(AX425="G3","G3",IF(AX425="L","L","その他")))))</f>
        <v>その他</v>
      </c>
      <c r="BT425" s="8" t="str">
        <f aca="false">IF(A425="","",IF(BI425="","未結合",IF(D425=BI425,"一致","不一致")))</f>
        <v>一致</v>
      </c>
      <c r="BU425" s="8" t="str">
        <f aca="false">IF(A425="","",IF(BE425="牝馬限定","牝馬限定","その他"))</f>
        <v>その他</v>
      </c>
    </row>
    <row r="426" customFormat="false" ht="15.75" hidden="false" customHeight="false" outlineLevel="0" collapsed="false">
      <c r="A426" s="6" t="n">
        <v>46179</v>
      </c>
      <c r="B426" s="4" t="s">
        <v>4172</v>
      </c>
      <c r="C426" s="8" t="n">
        <v>1</v>
      </c>
      <c r="D426" s="8" t="n">
        <v>16</v>
      </c>
      <c r="E426" s="8" t="n">
        <v>11</v>
      </c>
      <c r="F426" s="4" t="s">
        <v>4583</v>
      </c>
      <c r="G426" s="8" t="n">
        <v>71</v>
      </c>
      <c r="H426" s="8" t="n">
        <v>6</v>
      </c>
      <c r="I426" s="4" t="s">
        <v>4580</v>
      </c>
      <c r="J426" s="8" t="n">
        <v>50</v>
      </c>
      <c r="K426" s="8" t="n">
        <v>1</v>
      </c>
      <c r="L426" s="4" t="s">
        <v>2185</v>
      </c>
      <c r="M426" s="8" t="n">
        <v>20</v>
      </c>
      <c r="N426" s="8" t="n">
        <f aca="false">IF(A426="","",G426-J426)</f>
        <v>21</v>
      </c>
      <c r="O426" s="8" t="n">
        <f aca="false">IF(A426="","",J426-M426)</f>
        <v>30</v>
      </c>
      <c r="P426" s="8" t="n">
        <f aca="false">IF(A426="","",G426+J426)</f>
        <v>121</v>
      </c>
      <c r="Q426" s="8" t="str">
        <f aca="false">IF(A426="","",IF(AND(Y426&lt;&gt;"参考",G426&gt;=ルール設定!$B$2),"○",""))</f>
        <v/>
      </c>
      <c r="R426" s="8" t="str">
        <f aca="false">IF(A426="","",IF(AND(Y426&lt;&gt;"参考",G426&gt;=ルール設定!$B$3,N426&gt;=ルール設定!$B$4),"○",""))</f>
        <v/>
      </c>
      <c r="S426" s="8" t="str">
        <f aca="false">IF(A426="","",IF(AND(Y426&lt;&gt;"参考",G426&gt;=ルール設定!$B$5,J426&gt;=ルール設定!$B$6,O426&gt;=ルール設定!$B$7),"○",""))</f>
        <v>○</v>
      </c>
      <c r="T426" s="8" t="n">
        <v>1</v>
      </c>
      <c r="U426" s="8" t="n">
        <v>4</v>
      </c>
      <c r="V426" s="8" t="str">
        <f aca="false">IF(A426="","",IF(AND(ISNUMBER(T426),ISNUMBER(U426)),IF(AND(T426&lt;=3,U426&lt;=3),"○","×"),""))</f>
        <v>×</v>
      </c>
      <c r="W426" s="8" t="n">
        <v>110</v>
      </c>
      <c r="X426" s="8"/>
      <c r="Y426" s="4" t="s">
        <v>7597</v>
      </c>
      <c r="Z426" s="4" t="s">
        <v>4475</v>
      </c>
      <c r="AA426" s="8" t="str">
        <v/>
      </c>
      <c r="AB426" s="8" t="str">
        <v/>
      </c>
      <c r="AC426" s="8" t="str">
        <v/>
      </c>
      <c r="AD426" s="8" t="str">
        <v/>
      </c>
      <c r="AE426" s="8" t="str">
        <v/>
      </c>
      <c r="AF426" s="8" t="str">
        <v/>
      </c>
      <c r="AG426" s="8" t="str">
        <v/>
      </c>
      <c r="AH426" s="8" t="str">
        <v/>
      </c>
      <c r="AI426" s="8" t="n">
        <v>51</v>
      </c>
      <c r="AJ426" s="8" t="str">
        <v>70～74</v>
      </c>
      <c r="AK426" s="8" t="str">
        <v>20～29</v>
      </c>
      <c r="AL426" s="8" t="str">
        <v>40以上</v>
      </c>
      <c r="AM426" s="8" t="str">
        <v>120～139</v>
      </c>
      <c r="AN426" s="8" t="str">
        <v>15以上</v>
      </c>
      <c r="AO426" s="8" t="str">
        <f aca="false">IF(A426="","",IF(COUNTIFS(全馬データ!$A$2:$A$50000,A426,全馬データ!$B$2:$B$50000,B426,全馬データ!$C$2:$C$50000,C426,全馬データ!$D$2:$D$50000,E426,全馬データ!$K$2:$K$50000,"&lt;&gt;")=0,"",SUMIFS(全馬データ!$K$2:$K$50000,全馬データ!$A$2:$A$50000,A426,全馬データ!$B$2:$B$50000,B426,全馬データ!$C$2:$C$50000,C426,全馬データ!$D$2:$D$50000,E426)))</f>
        <v/>
      </c>
      <c r="AP426" s="8" t="str">
        <f aca="false">IF(A426="","",IF(AO426="","欠損",IF(AO426&lt;=1.1,"1.0～1.1",IF(AO426&lt;1.3,"1.2",IF(AO426&lt;1.5,"1.3～1.4",IF(AO426&lt;2,"1.5～1.9","2.0以上"))))))</f>
        <v>欠損</v>
      </c>
      <c r="AQ426" s="8" t="str">
        <f aca="false">IF(A426="","",IF(ISNUMBER(SEARCH("2歳",Z426)),"2歳戦",IF(ISNUMBER(SEARCH("3歳未勝利",Z426)),"3歳未勝利",IF(ISNUMBER(SEARCH("未勝利",Z426)),"その他未勝利",IF(ISNUMBER(SEARCH("G1",Z426)),"G1",IF(ISNUMBER(SEARCH("G2",Z426)),"G2",IF(ISNUMBER(SEARCH("G3",Z426)),"G3",IF(ISNUMBER(SEARCH("古馬条件",Z426)),"古馬条件戦",IF(ISNUMBER(SEARCH("重賞",Z426)),"重賞","分類不能")))))))))</f>
        <v>分類不能</v>
      </c>
      <c r="AR426" s="8"/>
      <c r="AS426" s="8" t="s">
        <v>7623</v>
      </c>
      <c r="AT426" s="8" t="s">
        <v>7624</v>
      </c>
      <c r="AU426" s="8" t="s">
        <v>7600</v>
      </c>
      <c r="AV426" s="4" t="s">
        <v>7601</v>
      </c>
      <c r="AW426" s="8"/>
      <c r="AX426" s="8"/>
      <c r="AY426" s="8" t="s">
        <v>7610</v>
      </c>
      <c r="AZ426" s="4" t="s">
        <v>7617</v>
      </c>
      <c r="BA426" s="8" t="n">
        <v>1400</v>
      </c>
      <c r="BB426" s="8" t="s">
        <v>7598</v>
      </c>
      <c r="BC426" s="4" t="s">
        <v>7604</v>
      </c>
      <c r="BD426" s="8" t="s">
        <v>7621</v>
      </c>
      <c r="BE426" s="4" t="s">
        <v>7622</v>
      </c>
      <c r="BF426" s="8" t="s">
        <v>7602</v>
      </c>
      <c r="BG426" s="8" t="s">
        <v>7608</v>
      </c>
      <c r="BH426" s="4" t="s">
        <v>7609</v>
      </c>
      <c r="BI426" s="8" t="n">
        <v>16</v>
      </c>
      <c r="BJ426" s="8" t="s">
        <v>7602</v>
      </c>
      <c r="BK426" s="4" t="s">
        <v>7653</v>
      </c>
      <c r="BL426" s="8" t="s">
        <v>7602</v>
      </c>
      <c r="BM426" s="4" t="s">
        <v>7620</v>
      </c>
      <c r="BN426" s="8"/>
      <c r="BO426" s="8"/>
      <c r="BP426" s="8" t="s">
        <v>7610</v>
      </c>
      <c r="BQ426" s="8" t="str">
        <f aca="false">IF(A426="","",AT426)</f>
        <v>3歳</v>
      </c>
      <c r="BR426" s="8" t="str">
        <f aca="false">IF(A426="","",IF(BA426&lt;=1200,"～1200",IF(BA426&lt;=1500,"1300～1500",IF(BA426=1600,"1600",IF(BA426&lt;=1800,"1700～1800",IF(BA426&lt;=2000,"1900～2000","2100以上"))))))</f>
        <v>1300～1500</v>
      </c>
      <c r="BS426" s="8" t="str">
        <f aca="false">IF(A426="","",IF(AX426="G1","G1",IF(AX426="G2","G2",IF(AX426="G3","G3",IF(AX426="L","L","その他")))))</f>
        <v>その他</v>
      </c>
      <c r="BT426" s="8" t="str">
        <f aca="false">IF(A426="","",IF(BI426="","未結合",IF(D426=BI426,"一致","不一致")))</f>
        <v>一致</v>
      </c>
      <c r="BU426" s="8" t="str">
        <f aca="false">IF(A426="","",IF(BE426="牝馬限定","牝馬限定","その他"))</f>
        <v>牝馬限定</v>
      </c>
    </row>
    <row r="427" customFormat="false" ht="15.75" hidden="false" customHeight="false" outlineLevel="0" collapsed="false">
      <c r="A427" s="6" t="n">
        <v>46179</v>
      </c>
      <c r="B427" s="4" t="s">
        <v>4172</v>
      </c>
      <c r="C427" s="8" t="n">
        <v>2</v>
      </c>
      <c r="D427" s="8" t="n">
        <v>16</v>
      </c>
      <c r="E427" s="8" t="n">
        <v>10</v>
      </c>
      <c r="F427" s="4" t="s">
        <v>3920</v>
      </c>
      <c r="G427" s="8" t="n">
        <v>66</v>
      </c>
      <c r="H427" s="8" t="n">
        <v>15</v>
      </c>
      <c r="I427" s="4" t="s">
        <v>1125</v>
      </c>
      <c r="J427" s="8" t="n">
        <v>52</v>
      </c>
      <c r="K427" s="8" t="n">
        <v>7</v>
      </c>
      <c r="L427" s="4" t="s">
        <v>3913</v>
      </c>
      <c r="M427" s="8" t="n">
        <v>41</v>
      </c>
      <c r="N427" s="8" t="n">
        <f aca="false">IF(A427="","",G427-J427)</f>
        <v>14</v>
      </c>
      <c r="O427" s="8" t="n">
        <f aca="false">IF(A427="","",J427-M427)</f>
        <v>11</v>
      </c>
      <c r="P427" s="8" t="n">
        <f aca="false">IF(A427="","",G427+J427)</f>
        <v>118</v>
      </c>
      <c r="Q427" s="8" t="str">
        <f aca="false">IF(A427="","",IF(AND(Y427&lt;&gt;"参考",G427&gt;=ルール設定!$B$2),"○",""))</f>
        <v/>
      </c>
      <c r="R427" s="8" t="str">
        <f aca="false">IF(A427="","",IF(AND(Y427&lt;&gt;"参考",G427&gt;=ルール設定!$B$3,N427&gt;=ルール設定!$B$4),"○",""))</f>
        <v/>
      </c>
      <c r="S427" s="8" t="str">
        <f aca="false">IF(A427="","",IF(AND(Y427&lt;&gt;"参考",G427&gt;=ルール設定!$B$5,J427&gt;=ルール設定!$B$6,O427&gt;=ルール設定!$B$7),"○",""))</f>
        <v/>
      </c>
      <c r="T427" s="8" t="n">
        <v>4</v>
      </c>
      <c r="U427" s="8" t="n">
        <v>3</v>
      </c>
      <c r="V427" s="8" t="str">
        <f aca="false">IF(A427="","",IF(AND(ISNUMBER(T427),ISNUMBER(U427)),IF(AND(T427&lt;=3,U427&lt;=3),"○","×"),""))</f>
        <v>×</v>
      </c>
      <c r="W427" s="8"/>
      <c r="X427" s="8"/>
      <c r="Y427" s="4" t="s">
        <v>7597</v>
      </c>
      <c r="Z427" s="4" t="s">
        <v>4475</v>
      </c>
      <c r="AA427" s="8" t="str">
        <v/>
      </c>
      <c r="AB427" s="8" t="str">
        <v/>
      </c>
      <c r="AC427" s="8" t="str">
        <v/>
      </c>
      <c r="AD427" s="8" t="str">
        <v/>
      </c>
      <c r="AE427" s="8" t="str">
        <v/>
      </c>
      <c r="AF427" s="8" t="str">
        <v/>
      </c>
      <c r="AG427" s="8" t="str">
        <v/>
      </c>
      <c r="AH427" s="8" t="str">
        <v/>
      </c>
      <c r="AI427" s="8" t="n">
        <v>25</v>
      </c>
      <c r="AJ427" s="8" t="str">
        <v>60～69</v>
      </c>
      <c r="AK427" s="8" t="str">
        <v>10～19</v>
      </c>
      <c r="AL427" s="8" t="str">
        <v>20～29</v>
      </c>
      <c r="AM427" s="8" t="str">
        <v>100～119</v>
      </c>
      <c r="AN427" s="8" t="str">
        <v>15以上</v>
      </c>
      <c r="AO427" s="8" t="str">
        <f aca="false">IF(A427="","",IF(COUNTIFS(全馬データ!$A$2:$A$50000,A427,全馬データ!$B$2:$B$50000,B427,全馬データ!$C$2:$C$50000,C427,全馬データ!$D$2:$D$50000,E427,全馬データ!$K$2:$K$50000,"&lt;&gt;")=0,"",SUMIFS(全馬データ!$K$2:$K$50000,全馬データ!$A$2:$A$50000,A427,全馬データ!$B$2:$B$50000,B427,全馬データ!$C$2:$C$50000,C427,全馬データ!$D$2:$D$50000,E427)))</f>
        <v/>
      </c>
      <c r="AP427" s="8" t="str">
        <f aca="false">IF(A427="","",IF(AO427="","欠損",IF(AO427&lt;=1.1,"1.0～1.1",IF(AO427&lt;1.3,"1.2",IF(AO427&lt;1.5,"1.3～1.4",IF(AO427&lt;2,"1.5～1.9","2.0以上"))))))</f>
        <v>欠損</v>
      </c>
      <c r="AQ427" s="8" t="str">
        <f aca="false">IF(A427="","",IF(ISNUMBER(SEARCH("2歳",Z427)),"2歳戦",IF(ISNUMBER(SEARCH("3歳未勝利",Z427)),"3歳未勝利",IF(ISNUMBER(SEARCH("未勝利",Z427)),"その他未勝利",IF(ISNUMBER(SEARCH("G1",Z427)),"G1",IF(ISNUMBER(SEARCH("G2",Z427)),"G2",IF(ISNUMBER(SEARCH("G3",Z427)),"G3",IF(ISNUMBER(SEARCH("古馬条件",Z427)),"古馬条件戦",IF(ISNUMBER(SEARCH("重賞",Z427)),"重賞","分類不能")))))))))</f>
        <v>分類不能</v>
      </c>
      <c r="AR427" s="8"/>
      <c r="AS427" s="8" t="s">
        <v>7623</v>
      </c>
      <c r="AT427" s="8" t="s">
        <v>7624</v>
      </c>
      <c r="AU427" s="8" t="s">
        <v>7600</v>
      </c>
      <c r="AV427" s="4" t="s">
        <v>7601</v>
      </c>
      <c r="AW427" s="8"/>
      <c r="AX427" s="8"/>
      <c r="AY427" s="8" t="s">
        <v>7610</v>
      </c>
      <c r="AZ427" s="4" t="s">
        <v>7617</v>
      </c>
      <c r="BA427" s="8" t="n">
        <v>1200</v>
      </c>
      <c r="BB427" s="8" t="s">
        <v>7598</v>
      </c>
      <c r="BC427" s="4" t="s">
        <v>7604</v>
      </c>
      <c r="BD427" s="8" t="s">
        <v>7605</v>
      </c>
      <c r="BE427" s="4" t="s">
        <v>7606</v>
      </c>
      <c r="BF427" s="8" t="s">
        <v>7607</v>
      </c>
      <c r="BG427" s="8" t="s">
        <v>7608</v>
      </c>
      <c r="BH427" s="4" t="s">
        <v>7609</v>
      </c>
      <c r="BI427" s="8" t="n">
        <v>16</v>
      </c>
      <c r="BJ427" s="8" t="s">
        <v>7602</v>
      </c>
      <c r="BK427" s="4" t="s">
        <v>7653</v>
      </c>
      <c r="BL427" s="8" t="s">
        <v>7602</v>
      </c>
      <c r="BM427" s="4" t="s">
        <v>7620</v>
      </c>
      <c r="BN427" s="8"/>
      <c r="BO427" s="8"/>
      <c r="BP427" s="8" t="s">
        <v>7610</v>
      </c>
      <c r="BQ427" s="8" t="str">
        <f aca="false">IF(A427="","",AT427)</f>
        <v>3歳</v>
      </c>
      <c r="BR427" s="8" t="str">
        <f aca="false">IF(A427="","",IF(BA427&lt;=1200,"～1200",IF(BA427&lt;=1500,"1300～1500",IF(BA427=1600,"1600",IF(BA427&lt;=1800,"1700～1800",IF(BA427&lt;=2000,"1900～2000","2100以上"))))))</f>
        <v>～1200</v>
      </c>
      <c r="BS427" s="8" t="str">
        <f aca="false">IF(A427="","",IF(AX427="G1","G1",IF(AX427="G2","G2",IF(AX427="G3","G3",IF(AX427="L","L","その他")))))</f>
        <v>その他</v>
      </c>
      <c r="BT427" s="8" t="str">
        <f aca="false">IF(A427="","",IF(BI427="","未結合",IF(D427=BI427,"一致","不一致")))</f>
        <v>一致</v>
      </c>
      <c r="BU427" s="8" t="str">
        <f aca="false">IF(A427="","",IF(BE427="牝馬限定","牝馬限定","その他"))</f>
        <v>その他</v>
      </c>
    </row>
    <row r="428" customFormat="false" ht="15.75" hidden="false" customHeight="false" outlineLevel="0" collapsed="false">
      <c r="A428" s="6" t="n">
        <v>46179</v>
      </c>
      <c r="B428" s="4" t="s">
        <v>4172</v>
      </c>
      <c r="C428" s="8" t="n">
        <v>3</v>
      </c>
      <c r="D428" s="8" t="n">
        <v>16</v>
      </c>
      <c r="E428" s="8" t="n">
        <v>10</v>
      </c>
      <c r="F428" s="4" t="s">
        <v>4602</v>
      </c>
      <c r="G428" s="8" t="n">
        <v>50</v>
      </c>
      <c r="H428" s="8" t="n">
        <v>2</v>
      </c>
      <c r="I428" s="4" t="s">
        <v>4597</v>
      </c>
      <c r="J428" s="8" t="n">
        <v>47</v>
      </c>
      <c r="K428" s="8" t="n">
        <v>12</v>
      </c>
      <c r="L428" s="4" t="s">
        <v>4604</v>
      </c>
      <c r="M428" s="8" t="n">
        <v>47</v>
      </c>
      <c r="N428" s="8" t="n">
        <f aca="false">IF(A428="","",G428-J428)</f>
        <v>3</v>
      </c>
      <c r="O428" s="8" t="n">
        <f aca="false">IF(A428="","",J428-M428)</f>
        <v>0</v>
      </c>
      <c r="P428" s="8" t="n">
        <f aca="false">IF(A428="","",G428+J428)</f>
        <v>97</v>
      </c>
      <c r="Q428" s="8" t="str">
        <f aca="false">IF(A428="","",IF(AND(Y428&lt;&gt;"参考",G428&gt;=ルール設定!$B$2),"○",""))</f>
        <v/>
      </c>
      <c r="R428" s="8" t="str">
        <f aca="false">IF(A428="","",IF(AND(Y428&lt;&gt;"参考",G428&gt;=ルール設定!$B$3,N428&gt;=ルール設定!$B$4),"○",""))</f>
        <v/>
      </c>
      <c r="S428" s="8" t="str">
        <f aca="false">IF(A428="","",IF(AND(Y428&lt;&gt;"参考",G428&gt;=ルール設定!$B$5,J428&gt;=ルール設定!$B$6,O428&gt;=ルール設定!$B$7),"○",""))</f>
        <v/>
      </c>
      <c r="T428" s="8" t="n">
        <v>1</v>
      </c>
      <c r="U428" s="8" t="n">
        <v>2</v>
      </c>
      <c r="V428" s="8" t="str">
        <f aca="false">IF(A428="","",IF(AND(ISNUMBER(T428),ISNUMBER(U428)),IF(AND(T428&lt;=3,U428&lt;=3),"○","×"),""))</f>
        <v>○</v>
      </c>
      <c r="W428" s="8" t="n">
        <v>190</v>
      </c>
      <c r="X428" s="8" t="n">
        <v>410</v>
      </c>
      <c r="Y428" s="4" t="s">
        <v>7597</v>
      </c>
      <c r="Z428" s="4" t="s">
        <v>4475</v>
      </c>
      <c r="AA428" s="8" t="str">
        <v/>
      </c>
      <c r="AB428" s="8" t="str">
        <v/>
      </c>
      <c r="AC428" s="8" t="str">
        <v/>
      </c>
      <c r="AD428" s="8" t="str">
        <v/>
      </c>
      <c r="AE428" s="8" t="str">
        <v/>
      </c>
      <c r="AF428" s="8" t="str">
        <v/>
      </c>
      <c r="AG428" s="8" t="str">
        <v/>
      </c>
      <c r="AH428" s="8" t="str">
        <v/>
      </c>
      <c r="AI428" s="8" t="n">
        <v>3</v>
      </c>
      <c r="AJ428" s="8" t="str">
        <v>～59</v>
      </c>
      <c r="AK428" s="8" t="str">
        <v>0～4</v>
      </c>
      <c r="AL428" s="8" t="str">
        <v>0～9</v>
      </c>
      <c r="AM428" s="8" t="str">
        <v>～99</v>
      </c>
      <c r="AN428" s="8" t="str">
        <v>15以上</v>
      </c>
      <c r="AO428" s="8" t="str">
        <f aca="false">IF(A428="","",IF(COUNTIFS(全馬データ!$A$2:$A$50000,A428,全馬データ!$B$2:$B$50000,B428,全馬データ!$C$2:$C$50000,C428,全馬データ!$D$2:$D$50000,E428,全馬データ!$K$2:$K$50000,"&lt;&gt;")=0,"",SUMIFS(全馬データ!$K$2:$K$50000,全馬データ!$A$2:$A$50000,A428,全馬データ!$B$2:$B$50000,B428,全馬データ!$C$2:$C$50000,C428,全馬データ!$D$2:$D$50000,E428)))</f>
        <v/>
      </c>
      <c r="AP428" s="8" t="str">
        <f aca="false">IF(A428="","",IF(AO428="","欠損",IF(AO428&lt;=1.1,"1.0～1.1",IF(AO428&lt;1.3,"1.2",IF(AO428&lt;1.5,"1.3～1.4",IF(AO428&lt;2,"1.5～1.9","2.0以上"))))))</f>
        <v>欠損</v>
      </c>
      <c r="AQ428" s="8" t="str">
        <f aca="false">IF(A428="","",IF(ISNUMBER(SEARCH("2歳",Z428)),"2歳戦",IF(ISNUMBER(SEARCH("3歳未勝利",Z428)),"3歳未勝利",IF(ISNUMBER(SEARCH("未勝利",Z428)),"その他未勝利",IF(ISNUMBER(SEARCH("G1",Z428)),"G1",IF(ISNUMBER(SEARCH("G2",Z428)),"G2",IF(ISNUMBER(SEARCH("G3",Z428)),"G3",IF(ISNUMBER(SEARCH("古馬条件",Z428)),"古馬条件戦",IF(ISNUMBER(SEARCH("重賞",Z428)),"重賞","分類不能")))))))))</f>
        <v>分類不能</v>
      </c>
      <c r="AR428" s="8"/>
      <c r="AS428" s="8" t="s">
        <v>7623</v>
      </c>
      <c r="AT428" s="8" t="s">
        <v>7624</v>
      </c>
      <c r="AU428" s="8" t="s">
        <v>7600</v>
      </c>
      <c r="AV428" s="4" t="s">
        <v>7601</v>
      </c>
      <c r="AW428" s="8"/>
      <c r="AX428" s="8"/>
      <c r="AY428" s="8" t="s">
        <v>7610</v>
      </c>
      <c r="AZ428" s="4" t="s">
        <v>7617</v>
      </c>
      <c r="BA428" s="8" t="n">
        <v>1800</v>
      </c>
      <c r="BB428" s="8" t="s">
        <v>7598</v>
      </c>
      <c r="BC428" s="4" t="s">
        <v>7604</v>
      </c>
      <c r="BD428" s="8" t="s">
        <v>7621</v>
      </c>
      <c r="BE428" s="4" t="s">
        <v>7622</v>
      </c>
      <c r="BF428" s="8" t="s">
        <v>7602</v>
      </c>
      <c r="BG428" s="8" t="s">
        <v>7608</v>
      </c>
      <c r="BH428" s="4" t="s">
        <v>7609</v>
      </c>
      <c r="BI428" s="8" t="n">
        <v>16</v>
      </c>
      <c r="BJ428" s="8" t="s">
        <v>7602</v>
      </c>
      <c r="BK428" s="4" t="s">
        <v>7653</v>
      </c>
      <c r="BL428" s="8" t="s">
        <v>7602</v>
      </c>
      <c r="BM428" s="4" t="s">
        <v>7620</v>
      </c>
      <c r="BN428" s="8"/>
      <c r="BO428" s="8"/>
      <c r="BP428" s="8" t="s">
        <v>7610</v>
      </c>
      <c r="BQ428" s="8" t="str">
        <f aca="false">IF(A428="","",AT428)</f>
        <v>3歳</v>
      </c>
      <c r="BR428" s="8" t="str">
        <f aca="false">IF(A428="","",IF(BA428&lt;=1200,"～1200",IF(BA428&lt;=1500,"1300～1500",IF(BA428=1600,"1600",IF(BA428&lt;=1800,"1700～1800",IF(BA428&lt;=2000,"1900～2000","2100以上"))))))</f>
        <v>1700～1800</v>
      </c>
      <c r="BS428" s="8" t="str">
        <f aca="false">IF(A428="","",IF(AX428="G1","G1",IF(AX428="G2","G2",IF(AX428="G3","G3",IF(AX428="L","L","その他")))))</f>
        <v>その他</v>
      </c>
      <c r="BT428" s="8" t="str">
        <f aca="false">IF(A428="","",IF(BI428="","未結合",IF(D428=BI428,"一致","不一致")))</f>
        <v>一致</v>
      </c>
      <c r="BU428" s="8" t="str">
        <f aca="false">IF(A428="","",IF(BE428="牝馬限定","牝馬限定","その他"))</f>
        <v>牝馬限定</v>
      </c>
    </row>
    <row r="429" customFormat="false" ht="15.75" hidden="false" customHeight="false" outlineLevel="0" collapsed="false">
      <c r="A429" s="6" t="n">
        <v>46179</v>
      </c>
      <c r="B429" s="4" t="s">
        <v>4172</v>
      </c>
      <c r="C429" s="8" t="n">
        <v>4</v>
      </c>
      <c r="D429" s="8" t="n">
        <v>16</v>
      </c>
      <c r="E429" s="8" t="n">
        <v>12</v>
      </c>
      <c r="F429" s="4" t="s">
        <v>3422</v>
      </c>
      <c r="G429" s="8" t="n">
        <v>62</v>
      </c>
      <c r="H429" s="8" t="n">
        <v>3</v>
      </c>
      <c r="I429" s="4" t="s">
        <v>4607</v>
      </c>
      <c r="J429" s="8" t="n">
        <v>56</v>
      </c>
      <c r="K429" s="8" t="n">
        <v>15</v>
      </c>
      <c r="L429" s="4" t="s">
        <v>1571</v>
      </c>
      <c r="M429" s="8" t="n">
        <v>44</v>
      </c>
      <c r="N429" s="8" t="n">
        <f aca="false">IF(A429="","",G429-J429)</f>
        <v>6</v>
      </c>
      <c r="O429" s="8" t="n">
        <f aca="false">IF(A429="","",J429-M429)</f>
        <v>12</v>
      </c>
      <c r="P429" s="8" t="n">
        <f aca="false">IF(A429="","",G429+J429)</f>
        <v>118</v>
      </c>
      <c r="Q429" s="8" t="str">
        <f aca="false">IF(A429="","",IF(AND(Y429&lt;&gt;"参考",G429&gt;=ルール設定!$B$2),"○",""))</f>
        <v/>
      </c>
      <c r="R429" s="8" t="str">
        <f aca="false">IF(A429="","",IF(AND(Y429&lt;&gt;"参考",G429&gt;=ルール設定!$B$3,N429&gt;=ルール設定!$B$4),"○",""))</f>
        <v/>
      </c>
      <c r="S429" s="8" t="str">
        <f aca="false">IF(A429="","",IF(AND(Y429&lt;&gt;"参考",G429&gt;=ルール設定!$B$5,J429&gt;=ルール設定!$B$6,O429&gt;=ルール設定!$B$7),"○",""))</f>
        <v/>
      </c>
      <c r="T429" s="8" t="n">
        <v>2</v>
      </c>
      <c r="U429" s="8" t="n">
        <v>1</v>
      </c>
      <c r="V429" s="8" t="str">
        <f aca="false">IF(A429="","",IF(AND(ISNUMBER(T429),ISNUMBER(U429)),IF(AND(T429&lt;=3,U429&lt;=3),"○","×"),""))</f>
        <v>○</v>
      </c>
      <c r="W429" s="8" t="n">
        <v>150</v>
      </c>
      <c r="X429" s="8" t="n">
        <v>240</v>
      </c>
      <c r="Y429" s="4" t="s">
        <v>7597</v>
      </c>
      <c r="Z429" s="4" t="s">
        <v>4475</v>
      </c>
      <c r="AA429" s="8" t="str">
        <v/>
      </c>
      <c r="AB429" s="8" t="str">
        <v/>
      </c>
      <c r="AC429" s="8" t="str">
        <v/>
      </c>
      <c r="AD429" s="8" t="str">
        <v/>
      </c>
      <c r="AE429" s="8" t="str">
        <v/>
      </c>
      <c r="AF429" s="8" t="str">
        <v/>
      </c>
      <c r="AG429" s="8" t="str">
        <v/>
      </c>
      <c r="AH429" s="8" t="str">
        <v/>
      </c>
      <c r="AI429" s="8" t="n">
        <v>18</v>
      </c>
      <c r="AJ429" s="8" t="str">
        <v>60～69</v>
      </c>
      <c r="AK429" s="8" t="str">
        <v>5～9</v>
      </c>
      <c r="AL429" s="8" t="str">
        <v>10～19</v>
      </c>
      <c r="AM429" s="8" t="str">
        <v>100～119</v>
      </c>
      <c r="AN429" s="8" t="str">
        <v>15以上</v>
      </c>
      <c r="AO429" s="8" t="str">
        <f aca="false">IF(A429="","",IF(COUNTIFS(全馬データ!$A$2:$A$50000,A429,全馬データ!$B$2:$B$50000,B429,全馬データ!$C$2:$C$50000,C429,全馬データ!$D$2:$D$50000,E429,全馬データ!$K$2:$K$50000,"&lt;&gt;")=0,"",SUMIFS(全馬データ!$K$2:$K$50000,全馬データ!$A$2:$A$50000,A429,全馬データ!$B$2:$B$50000,B429,全馬データ!$C$2:$C$50000,C429,全馬データ!$D$2:$D$50000,E429)))</f>
        <v/>
      </c>
      <c r="AP429" s="8" t="str">
        <f aca="false">IF(A429="","",IF(AO429="","欠損",IF(AO429&lt;=1.1,"1.0～1.1",IF(AO429&lt;1.3,"1.2",IF(AO429&lt;1.5,"1.3～1.4",IF(AO429&lt;2,"1.5～1.9","2.0以上"))))))</f>
        <v>欠損</v>
      </c>
      <c r="AQ429" s="8" t="str">
        <f aca="false">IF(A429="","",IF(ISNUMBER(SEARCH("2歳",Z429)),"2歳戦",IF(ISNUMBER(SEARCH("3歳未勝利",Z429)),"3歳未勝利",IF(ISNUMBER(SEARCH("未勝利",Z429)),"その他未勝利",IF(ISNUMBER(SEARCH("G1",Z429)),"G1",IF(ISNUMBER(SEARCH("G2",Z429)),"G2",IF(ISNUMBER(SEARCH("G3",Z429)),"G3",IF(ISNUMBER(SEARCH("古馬条件",Z429)),"古馬条件戦",IF(ISNUMBER(SEARCH("重賞",Z429)),"重賞","分類不能")))))))))</f>
        <v>分類不能</v>
      </c>
      <c r="AR429" s="8"/>
      <c r="AS429" s="8" t="s">
        <v>7623</v>
      </c>
      <c r="AT429" s="8" t="s">
        <v>7624</v>
      </c>
      <c r="AU429" s="8" t="s">
        <v>7600</v>
      </c>
      <c r="AV429" s="4" t="s">
        <v>7601</v>
      </c>
      <c r="AW429" s="8"/>
      <c r="AX429" s="8"/>
      <c r="AY429" s="8" t="s">
        <v>7602</v>
      </c>
      <c r="AZ429" s="4" t="s">
        <v>7603</v>
      </c>
      <c r="BA429" s="8" t="n">
        <v>1200</v>
      </c>
      <c r="BB429" s="8" t="s">
        <v>7598</v>
      </c>
      <c r="BC429" s="4" t="s">
        <v>7604</v>
      </c>
      <c r="BD429" s="8" t="s">
        <v>7605</v>
      </c>
      <c r="BE429" s="4" t="s">
        <v>7606</v>
      </c>
      <c r="BF429" s="8" t="s">
        <v>7607</v>
      </c>
      <c r="BG429" s="8" t="s">
        <v>7608</v>
      </c>
      <c r="BH429" s="4" t="s">
        <v>7609</v>
      </c>
      <c r="BI429" s="8" t="n">
        <v>16</v>
      </c>
      <c r="BJ429" s="8" t="s">
        <v>7602</v>
      </c>
      <c r="BK429" s="4" t="s">
        <v>7653</v>
      </c>
      <c r="BL429" s="8" t="s">
        <v>7602</v>
      </c>
      <c r="BM429" s="4" t="s">
        <v>7620</v>
      </c>
      <c r="BN429" s="8" t="s">
        <v>7631</v>
      </c>
      <c r="BO429" s="8" t="s">
        <v>7680</v>
      </c>
      <c r="BP429" s="8" t="s">
        <v>7610</v>
      </c>
      <c r="BQ429" s="8" t="str">
        <f aca="false">IF(A429="","",AT429)</f>
        <v>3歳</v>
      </c>
      <c r="BR429" s="8" t="str">
        <f aca="false">IF(A429="","",IF(BA429&lt;=1200,"～1200",IF(BA429&lt;=1500,"1300～1500",IF(BA429=1600,"1600",IF(BA429&lt;=1800,"1700～1800",IF(BA429&lt;=2000,"1900～2000","2100以上"))))))</f>
        <v>～1200</v>
      </c>
      <c r="BS429" s="8" t="str">
        <f aca="false">IF(A429="","",IF(AX429="G1","G1",IF(AX429="G2","G2",IF(AX429="G3","G3",IF(AX429="L","L","その他")))))</f>
        <v>その他</v>
      </c>
      <c r="BT429" s="8" t="str">
        <f aca="false">IF(A429="","",IF(BI429="","未結合",IF(D429=BI429,"一致","不一致")))</f>
        <v>一致</v>
      </c>
      <c r="BU429" s="8" t="str">
        <f aca="false">IF(A429="","",IF(BE429="牝馬限定","牝馬限定","その他"))</f>
        <v>その他</v>
      </c>
    </row>
    <row r="430" customFormat="false" ht="15.75" hidden="false" customHeight="false" outlineLevel="0" collapsed="false">
      <c r="A430" s="6" t="n">
        <v>46179</v>
      </c>
      <c r="B430" s="4" t="s">
        <v>4172</v>
      </c>
      <c r="C430" s="8" t="n">
        <v>5</v>
      </c>
      <c r="D430" s="8" t="n">
        <v>6</v>
      </c>
      <c r="E430" s="8" t="n">
        <v>1</v>
      </c>
      <c r="F430" s="4" t="s">
        <v>4614</v>
      </c>
      <c r="G430" s="8" t="n">
        <v>37</v>
      </c>
      <c r="H430" s="8" t="n">
        <v>2</v>
      </c>
      <c r="I430" s="4" t="s">
        <v>4615</v>
      </c>
      <c r="J430" s="8" t="n">
        <v>37</v>
      </c>
      <c r="K430" s="8" t="n">
        <v>3</v>
      </c>
      <c r="L430" s="4" t="s">
        <v>1239</v>
      </c>
      <c r="M430" s="8" t="n">
        <v>31</v>
      </c>
      <c r="N430" s="8" t="n">
        <f aca="false">IF(A430="","",G430-J430)</f>
        <v>0</v>
      </c>
      <c r="O430" s="8" t="n">
        <f aca="false">IF(A430="","",J430-M430)</f>
        <v>6</v>
      </c>
      <c r="P430" s="8" t="n">
        <f aca="false">IF(A430="","",G430+J430)</f>
        <v>74</v>
      </c>
      <c r="Q430" s="8" t="str">
        <f aca="false">IF(A430="","",IF(AND(Y430&lt;&gt;"参考",G430&gt;=ルール設定!$B$2),"○",""))</f>
        <v/>
      </c>
      <c r="R430" s="8" t="str">
        <f aca="false">IF(A430="","",IF(AND(Y430&lt;&gt;"参考",G430&gt;=ルール設定!$B$3,N430&gt;=ルール設定!$B$4),"○",""))</f>
        <v/>
      </c>
      <c r="S430" s="8" t="str">
        <f aca="false">IF(A430="","",IF(AND(Y430&lt;&gt;"参考",G430&gt;=ルール設定!$B$5,J430&gt;=ルール設定!$B$6,O430&gt;=ルール設定!$B$7),"○",""))</f>
        <v/>
      </c>
      <c r="T430" s="8" t="n">
        <v>4</v>
      </c>
      <c r="U430" s="8" t="n">
        <v>4</v>
      </c>
      <c r="V430" s="8" t="str">
        <f aca="false">IF(A430="","",IF(AND(ISNUMBER(T430),ISNUMBER(U430)),IF(AND(T430&lt;=3,U430&lt;=3),"○","×"),""))</f>
        <v>×</v>
      </c>
      <c r="W430" s="8"/>
      <c r="X430" s="8"/>
      <c r="Y430" s="4" t="s">
        <v>7597</v>
      </c>
      <c r="Z430" s="4" t="s">
        <v>4475</v>
      </c>
      <c r="AA430" s="8" t="str">
        <v/>
      </c>
      <c r="AB430" s="8" t="str">
        <v/>
      </c>
      <c r="AC430" s="8" t="str">
        <v/>
      </c>
      <c r="AD430" s="8" t="str">
        <v/>
      </c>
      <c r="AE430" s="8" t="str">
        <v/>
      </c>
      <c r="AF430" s="8" t="str">
        <v/>
      </c>
      <c r="AG430" s="8" t="str">
        <v/>
      </c>
      <c r="AH430" s="8" t="str">
        <v/>
      </c>
      <c r="AI430" s="8" t="n">
        <v>6</v>
      </c>
      <c r="AJ430" s="8" t="str">
        <v>～59</v>
      </c>
      <c r="AK430" s="8" t="str">
        <v>0～4</v>
      </c>
      <c r="AL430" s="8" t="str">
        <v>0～9</v>
      </c>
      <c r="AM430" s="8" t="str">
        <v>～99</v>
      </c>
      <c r="AN430" s="8" t="str">
        <v>7以下</v>
      </c>
      <c r="AO430" s="8" t="str">
        <f aca="false">IF(A430="","",IF(COUNTIFS(全馬データ!$A$2:$A$50000,A430,全馬データ!$B$2:$B$50000,B430,全馬データ!$C$2:$C$50000,C430,全馬データ!$D$2:$D$50000,E430,全馬データ!$K$2:$K$50000,"&lt;&gt;")=0,"",SUMIFS(全馬データ!$K$2:$K$50000,全馬データ!$A$2:$A$50000,A430,全馬データ!$B$2:$B$50000,B430,全馬データ!$C$2:$C$50000,C430,全馬データ!$D$2:$D$50000,E430)))</f>
        <v/>
      </c>
      <c r="AP430" s="8" t="str">
        <f aca="false">IF(A430="","",IF(AO430="","欠損",IF(AO430&lt;=1.1,"1.0～1.1",IF(AO430&lt;1.3,"1.2",IF(AO430&lt;1.5,"1.3～1.4",IF(AO430&lt;2,"1.5～1.9","2.0以上"))))))</f>
        <v>欠損</v>
      </c>
      <c r="AQ430" s="8" t="str">
        <f aca="false">IF(A430="","",IF(ISNUMBER(SEARCH("2歳",Z430)),"2歳戦",IF(ISNUMBER(SEARCH("3歳未勝利",Z430)),"3歳未勝利",IF(ISNUMBER(SEARCH("未勝利",Z430)),"その他未勝利",IF(ISNUMBER(SEARCH("G1",Z430)),"G1",IF(ISNUMBER(SEARCH("G2",Z430)),"G2",IF(ISNUMBER(SEARCH("G3",Z430)),"G3",IF(ISNUMBER(SEARCH("古馬条件",Z430)),"古馬条件戦",IF(ISNUMBER(SEARCH("重賞",Z430)),"重賞","分類不能")))))))))</f>
        <v>分類不能</v>
      </c>
      <c r="AR430" s="8"/>
      <c r="AS430" s="8" t="s">
        <v>7598</v>
      </c>
      <c r="AT430" s="8" t="s">
        <v>7599</v>
      </c>
      <c r="AU430" s="8" t="s">
        <v>7615</v>
      </c>
      <c r="AV430" s="4" t="s">
        <v>7616</v>
      </c>
      <c r="AW430" s="8"/>
      <c r="AX430" s="8"/>
      <c r="AY430" s="8" t="s">
        <v>7602</v>
      </c>
      <c r="AZ430" s="4" t="s">
        <v>7603</v>
      </c>
      <c r="BA430" s="8" t="n">
        <v>1600</v>
      </c>
      <c r="BB430" s="8" t="s">
        <v>7598</v>
      </c>
      <c r="BC430" s="4" t="s">
        <v>7604</v>
      </c>
      <c r="BD430" s="8" t="s">
        <v>7625</v>
      </c>
      <c r="BE430" s="4" t="s">
        <v>7606</v>
      </c>
      <c r="BF430" s="8" t="s">
        <v>7607</v>
      </c>
      <c r="BG430" s="8" t="s">
        <v>7608</v>
      </c>
      <c r="BH430" s="4" t="s">
        <v>7609</v>
      </c>
      <c r="BI430" s="8" t="n">
        <v>6</v>
      </c>
      <c r="BJ430" s="8" t="s">
        <v>7602</v>
      </c>
      <c r="BK430" s="4" t="s">
        <v>7653</v>
      </c>
      <c r="BL430" s="8" t="s">
        <v>7610</v>
      </c>
      <c r="BM430" s="4" t="s">
        <v>7612</v>
      </c>
      <c r="BN430" s="8" t="s">
        <v>7631</v>
      </c>
      <c r="BO430" s="8" t="s">
        <v>7680</v>
      </c>
      <c r="BP430" s="8" t="s">
        <v>7610</v>
      </c>
      <c r="BQ430" s="8" t="str">
        <f aca="false">IF(A430="","",AT430)</f>
        <v>2歳</v>
      </c>
      <c r="BR430" s="8" t="str">
        <f aca="false">IF(A430="","",IF(BA430&lt;=1200,"～1200",IF(BA430&lt;=1500,"1300～1500",IF(BA430=1600,"1600",IF(BA430&lt;=1800,"1700～1800",IF(BA430&lt;=2000,"1900～2000","2100以上"))))))</f>
        <v>1600</v>
      </c>
      <c r="BS430" s="8" t="str">
        <f aca="false">IF(A430="","",IF(AX430="G1","G1",IF(AX430="G2","G2",IF(AX430="G3","G3",IF(AX430="L","L","その他")))))</f>
        <v>その他</v>
      </c>
      <c r="BT430" s="8" t="str">
        <f aca="false">IF(A430="","",IF(BI430="","未結合",IF(D430=BI430,"一致","不一致")))</f>
        <v>一致</v>
      </c>
      <c r="BU430" s="8" t="str">
        <f aca="false">IF(A430="","",IF(BE430="牝馬限定","牝馬限定","その他"))</f>
        <v>その他</v>
      </c>
    </row>
    <row r="431" customFormat="false" ht="15.75" hidden="false" customHeight="false" outlineLevel="0" collapsed="false">
      <c r="A431" s="6" t="n">
        <v>46179</v>
      </c>
      <c r="B431" s="4" t="s">
        <v>4172</v>
      </c>
      <c r="C431" s="8" t="n">
        <v>6</v>
      </c>
      <c r="D431" s="8" t="n">
        <v>16</v>
      </c>
      <c r="E431" s="8" t="n">
        <v>9</v>
      </c>
      <c r="F431" s="4" t="s">
        <v>2950</v>
      </c>
      <c r="G431" s="8" t="n">
        <v>81</v>
      </c>
      <c r="H431" s="8" t="n">
        <v>14</v>
      </c>
      <c r="I431" s="4" t="s">
        <v>3854</v>
      </c>
      <c r="J431" s="8" t="n">
        <v>65</v>
      </c>
      <c r="K431" s="8" t="n">
        <v>3</v>
      </c>
      <c r="L431" s="4" t="s">
        <v>4620</v>
      </c>
      <c r="M431" s="8" t="n">
        <v>23</v>
      </c>
      <c r="N431" s="8" t="n">
        <f aca="false">IF(A431="","",G431-J431)</f>
        <v>16</v>
      </c>
      <c r="O431" s="8" t="n">
        <f aca="false">IF(A431="","",J431-M431)</f>
        <v>42</v>
      </c>
      <c r="P431" s="8" t="n">
        <f aca="false">IF(A431="","",G431+J431)</f>
        <v>146</v>
      </c>
      <c r="Q431" s="8" t="str">
        <f aca="false">IF(A431="","",IF(AND(Y431&lt;&gt;"参考",G431&gt;=ルール設定!$B$2),"○",""))</f>
        <v>○</v>
      </c>
      <c r="R431" s="8" t="str">
        <f aca="false">IF(A431="","",IF(AND(Y431&lt;&gt;"参考",G431&gt;=ルール設定!$B$3,N431&gt;=ルール設定!$B$4),"○",""))</f>
        <v/>
      </c>
      <c r="S431" s="8" t="str">
        <f aca="false">IF(A431="","",IF(AND(Y431&lt;&gt;"参考",G431&gt;=ルール設定!$B$5,J431&gt;=ルール設定!$B$6,O431&gt;=ルール設定!$B$7),"○",""))</f>
        <v>○</v>
      </c>
      <c r="T431" s="8" t="n">
        <v>3</v>
      </c>
      <c r="U431" s="8" t="n">
        <v>1</v>
      </c>
      <c r="V431" s="8" t="str">
        <f aca="false">IF(A431="","",IF(AND(ISNUMBER(T431),ISNUMBER(U431)),IF(AND(T431&lt;=3,U431&lt;=3),"○","×"),""))</f>
        <v>○</v>
      </c>
      <c r="W431" s="8" t="n">
        <v>110</v>
      </c>
      <c r="X431" s="8" t="n">
        <v>170</v>
      </c>
      <c r="Y431" s="4" t="s">
        <v>7597</v>
      </c>
      <c r="Z431" s="4" t="s">
        <v>4475</v>
      </c>
      <c r="AA431" s="8" t="str">
        <v/>
      </c>
      <c r="AB431" s="8" t="str">
        <v>○</v>
      </c>
      <c r="AC431" s="8" t="str">
        <v>○</v>
      </c>
      <c r="AD431" s="8" t="str">
        <v/>
      </c>
      <c r="AE431" s="8" t="str">
        <v/>
      </c>
      <c r="AF431" s="8" t="str">
        <v>○</v>
      </c>
      <c r="AG431" s="8" t="str">
        <v>○</v>
      </c>
      <c r="AH431" s="8" t="str">
        <v/>
      </c>
      <c r="AI431" s="8" t="n">
        <v>58</v>
      </c>
      <c r="AJ431" s="8" t="str">
        <v>80～84</v>
      </c>
      <c r="AK431" s="8" t="str">
        <v>10～19</v>
      </c>
      <c r="AL431" s="8" t="str">
        <v>40以上</v>
      </c>
      <c r="AM431" s="8" t="str">
        <v>140～159</v>
      </c>
      <c r="AN431" s="8" t="str">
        <v>15以上</v>
      </c>
      <c r="AO431" s="8" t="str">
        <f aca="false">IF(A431="","",IF(COUNTIFS(全馬データ!$A$2:$A$50000,A431,全馬データ!$B$2:$B$50000,B431,全馬データ!$C$2:$C$50000,C431,全馬データ!$D$2:$D$50000,E431,全馬データ!$K$2:$K$50000,"&lt;&gt;")=0,"",SUMIFS(全馬データ!$K$2:$K$50000,全馬データ!$A$2:$A$50000,A431,全馬データ!$B$2:$B$50000,B431,全馬データ!$C$2:$C$50000,C431,全馬データ!$D$2:$D$50000,E431)))</f>
        <v/>
      </c>
      <c r="AP431" s="8" t="str">
        <f aca="false">IF(A431="","",IF(AO431="","欠損",IF(AO431&lt;=1.1,"1.0～1.1",IF(AO431&lt;1.3,"1.2",IF(AO431&lt;1.5,"1.3～1.4",IF(AO431&lt;2,"1.5～1.9","2.0以上"))))))</f>
        <v>欠損</v>
      </c>
      <c r="AQ431" s="8" t="str">
        <f aca="false">IF(A431="","",IF(ISNUMBER(SEARCH("2歳",Z431)),"2歳戦",IF(ISNUMBER(SEARCH("3歳未勝利",Z431)),"3歳未勝利",IF(ISNUMBER(SEARCH("未勝利",Z431)),"その他未勝利",IF(ISNUMBER(SEARCH("G1",Z431)),"G1",IF(ISNUMBER(SEARCH("G2",Z431)),"G2",IF(ISNUMBER(SEARCH("G3",Z431)),"G3",IF(ISNUMBER(SEARCH("古馬条件",Z431)),"古馬条件戦",IF(ISNUMBER(SEARCH("重賞",Z431)),"重賞","分類不能")))))))))</f>
        <v>分類不能</v>
      </c>
      <c r="AR431" s="8"/>
      <c r="AS431" s="8" t="s">
        <v>7623</v>
      </c>
      <c r="AT431" s="8" t="s">
        <v>7624</v>
      </c>
      <c r="AU431" s="8" t="s">
        <v>7600</v>
      </c>
      <c r="AV431" s="4" t="s">
        <v>7601</v>
      </c>
      <c r="AW431" s="8"/>
      <c r="AX431" s="8"/>
      <c r="AY431" s="8" t="s">
        <v>7610</v>
      </c>
      <c r="AZ431" s="4" t="s">
        <v>7617</v>
      </c>
      <c r="BA431" s="8" t="n">
        <v>1800</v>
      </c>
      <c r="BB431" s="8" t="s">
        <v>7598</v>
      </c>
      <c r="BC431" s="4" t="s">
        <v>7604</v>
      </c>
      <c r="BD431" s="8" t="s">
        <v>7625</v>
      </c>
      <c r="BE431" s="4" t="s">
        <v>7606</v>
      </c>
      <c r="BF431" s="8" t="s">
        <v>7607</v>
      </c>
      <c r="BG431" s="8" t="s">
        <v>7608</v>
      </c>
      <c r="BH431" s="4" t="s">
        <v>7609</v>
      </c>
      <c r="BI431" s="8" t="n">
        <v>16</v>
      </c>
      <c r="BJ431" s="8" t="s">
        <v>7602</v>
      </c>
      <c r="BK431" s="4" t="s">
        <v>7653</v>
      </c>
      <c r="BL431" s="8" t="s">
        <v>7602</v>
      </c>
      <c r="BM431" s="4" t="s">
        <v>7620</v>
      </c>
      <c r="BN431" s="8"/>
      <c r="BO431" s="8"/>
      <c r="BP431" s="8" t="s">
        <v>7610</v>
      </c>
      <c r="BQ431" s="8" t="str">
        <f aca="false">IF(A431="","",AT431)</f>
        <v>3歳</v>
      </c>
      <c r="BR431" s="8" t="str">
        <f aca="false">IF(A431="","",IF(BA431&lt;=1200,"～1200",IF(BA431&lt;=1500,"1300～1500",IF(BA431=1600,"1600",IF(BA431&lt;=1800,"1700～1800",IF(BA431&lt;=2000,"1900～2000","2100以上"))))))</f>
        <v>1700～1800</v>
      </c>
      <c r="BS431" s="8" t="str">
        <f aca="false">IF(A431="","",IF(AX431="G1","G1",IF(AX431="G2","G2",IF(AX431="G3","G3",IF(AX431="L","L","その他")))))</f>
        <v>その他</v>
      </c>
      <c r="BT431" s="8" t="str">
        <f aca="false">IF(A431="","",IF(BI431="","未結合",IF(D431=BI431,"一致","不一致")))</f>
        <v>一致</v>
      </c>
      <c r="BU431" s="8" t="str">
        <f aca="false">IF(A431="","",IF(BE431="牝馬限定","牝馬限定","その他"))</f>
        <v>その他</v>
      </c>
    </row>
    <row r="432" customFormat="false" ht="15.75" hidden="false" customHeight="false" outlineLevel="0" collapsed="false">
      <c r="A432" s="6" t="n">
        <v>46179</v>
      </c>
      <c r="B432" s="4" t="s">
        <v>4172</v>
      </c>
      <c r="C432" s="8" t="n">
        <v>7</v>
      </c>
      <c r="D432" s="8" t="n">
        <v>18</v>
      </c>
      <c r="E432" s="8" t="n">
        <v>2</v>
      </c>
      <c r="F432" s="4" t="s">
        <v>3979</v>
      </c>
      <c r="G432" s="8" t="n">
        <v>81</v>
      </c>
      <c r="H432" s="8" t="n">
        <v>11</v>
      </c>
      <c r="I432" s="4" t="s">
        <v>4632</v>
      </c>
      <c r="J432" s="8" t="n">
        <v>31</v>
      </c>
      <c r="K432" s="8" t="n">
        <v>9</v>
      </c>
      <c r="L432" s="4" t="s">
        <v>1168</v>
      </c>
      <c r="M432" s="8" t="n">
        <v>25</v>
      </c>
      <c r="N432" s="8" t="n">
        <f aca="false">IF(A432="","",G432-J432)</f>
        <v>50</v>
      </c>
      <c r="O432" s="8" t="n">
        <f aca="false">IF(A432="","",J432-M432)</f>
        <v>6</v>
      </c>
      <c r="P432" s="8" t="n">
        <f aca="false">IF(A432="","",G432+J432)</f>
        <v>112</v>
      </c>
      <c r="Q432" s="8" t="str">
        <f aca="false">IF(A432="","",IF(AND(Y432&lt;&gt;"参考",G432&gt;=ルール設定!$B$2),"○",""))</f>
        <v>○</v>
      </c>
      <c r="R432" s="8" t="str">
        <f aca="false">IF(A432="","",IF(AND(Y432&lt;&gt;"参考",G432&gt;=ルール設定!$B$3,N432&gt;=ルール設定!$B$4),"○",""))</f>
        <v>○</v>
      </c>
      <c r="S432" s="8" t="str">
        <f aca="false">IF(A432="","",IF(AND(Y432&lt;&gt;"参考",G432&gt;=ルール設定!$B$5,J432&gt;=ルール設定!$B$6,O432&gt;=ルール設定!$B$7),"○",""))</f>
        <v/>
      </c>
      <c r="T432" s="8" t="n">
        <v>4</v>
      </c>
      <c r="U432" s="8" t="n">
        <v>4</v>
      </c>
      <c r="V432" s="8" t="str">
        <f aca="false">IF(A432="","",IF(AND(ISNUMBER(T432),ISNUMBER(U432)),IF(AND(T432&lt;=3,U432&lt;=3),"○","×"),""))</f>
        <v>×</v>
      </c>
      <c r="W432" s="8"/>
      <c r="X432" s="8"/>
      <c r="Y432" s="4" t="s">
        <v>7597</v>
      </c>
      <c r="Z432" s="4" t="s">
        <v>4475</v>
      </c>
      <c r="AA432" s="8" t="str">
        <v/>
      </c>
      <c r="AB432" s="8" t="str">
        <v>○</v>
      </c>
      <c r="AC432" s="8" t="str">
        <v/>
      </c>
      <c r="AD432" s="8" t="str">
        <v>○</v>
      </c>
      <c r="AE432" s="8" t="str">
        <v/>
      </c>
      <c r="AF432" s="8" t="str">
        <v/>
      </c>
      <c r="AG432" s="8" t="str">
        <v>○</v>
      </c>
      <c r="AH432" s="8" t="str">
        <v/>
      </c>
      <c r="AI432" s="8" t="n">
        <v>56</v>
      </c>
      <c r="AJ432" s="8" t="str">
        <v>80～84</v>
      </c>
      <c r="AK432" s="8" t="str">
        <v>30以上</v>
      </c>
      <c r="AL432" s="8" t="str">
        <v>40以上</v>
      </c>
      <c r="AM432" s="8" t="str">
        <v>100～119</v>
      </c>
      <c r="AN432" s="8" t="str">
        <v>15以上</v>
      </c>
      <c r="AO432" s="8" t="str">
        <f aca="false">IF(A432="","",IF(COUNTIFS(全馬データ!$A$2:$A$50000,A432,全馬データ!$B$2:$B$50000,B432,全馬データ!$C$2:$C$50000,C432,全馬データ!$D$2:$D$50000,E432,全馬データ!$K$2:$K$50000,"&lt;&gt;")=0,"",SUMIFS(全馬データ!$K$2:$K$50000,全馬データ!$A$2:$A$50000,A432,全馬データ!$B$2:$B$50000,B432,全馬データ!$C$2:$C$50000,C432,全馬データ!$D$2:$D$50000,E432)))</f>
        <v/>
      </c>
      <c r="AP432" s="8" t="str">
        <f aca="false">IF(A432="","",IF(AO432="","欠損",IF(AO432&lt;=1.1,"1.0～1.1",IF(AO432&lt;1.3,"1.2",IF(AO432&lt;1.5,"1.3～1.4",IF(AO432&lt;2,"1.5～1.9","2.0以上"))))))</f>
        <v>欠損</v>
      </c>
      <c r="AQ432" s="8" t="str">
        <f aca="false">IF(A432="","",IF(ISNUMBER(SEARCH("2歳",Z432)),"2歳戦",IF(ISNUMBER(SEARCH("3歳未勝利",Z432)),"3歳未勝利",IF(ISNUMBER(SEARCH("未勝利",Z432)),"その他未勝利",IF(ISNUMBER(SEARCH("G1",Z432)),"G1",IF(ISNUMBER(SEARCH("G2",Z432)),"G2",IF(ISNUMBER(SEARCH("G3",Z432)),"G3",IF(ISNUMBER(SEARCH("古馬条件",Z432)),"古馬条件戦",IF(ISNUMBER(SEARCH("重賞",Z432)),"重賞","分類不能")))))))))</f>
        <v>分類不能</v>
      </c>
      <c r="AR432" s="8"/>
      <c r="AS432" s="8" t="s">
        <v>7623</v>
      </c>
      <c r="AT432" s="8" t="s">
        <v>7624</v>
      </c>
      <c r="AU432" s="8" t="s">
        <v>7600</v>
      </c>
      <c r="AV432" s="4" t="s">
        <v>7601</v>
      </c>
      <c r="AW432" s="8"/>
      <c r="AX432" s="8"/>
      <c r="AY432" s="8" t="s">
        <v>7602</v>
      </c>
      <c r="AZ432" s="4" t="s">
        <v>7603</v>
      </c>
      <c r="BA432" s="8" t="n">
        <v>1600</v>
      </c>
      <c r="BB432" s="8" t="s">
        <v>7598</v>
      </c>
      <c r="BC432" s="4" t="s">
        <v>7604</v>
      </c>
      <c r="BD432" s="8" t="s">
        <v>7625</v>
      </c>
      <c r="BE432" s="4" t="s">
        <v>7606</v>
      </c>
      <c r="BF432" s="8" t="s">
        <v>7607</v>
      </c>
      <c r="BG432" s="8" t="s">
        <v>7608</v>
      </c>
      <c r="BH432" s="4" t="s">
        <v>7609</v>
      </c>
      <c r="BI432" s="8" t="n">
        <v>18</v>
      </c>
      <c r="BJ432" s="8" t="s">
        <v>7602</v>
      </c>
      <c r="BK432" s="4" t="s">
        <v>7653</v>
      </c>
      <c r="BL432" s="8" t="s">
        <v>7610</v>
      </c>
      <c r="BM432" s="4" t="s">
        <v>7612</v>
      </c>
      <c r="BN432" s="8" t="s">
        <v>7631</v>
      </c>
      <c r="BO432" s="8" t="s">
        <v>7680</v>
      </c>
      <c r="BP432" s="8" t="s">
        <v>7610</v>
      </c>
      <c r="BQ432" s="8" t="str">
        <f aca="false">IF(A432="","",AT432)</f>
        <v>3歳</v>
      </c>
      <c r="BR432" s="8" t="str">
        <f aca="false">IF(A432="","",IF(BA432&lt;=1200,"～1200",IF(BA432&lt;=1500,"1300～1500",IF(BA432=1600,"1600",IF(BA432&lt;=1800,"1700～1800",IF(BA432&lt;=2000,"1900～2000","2100以上"))))))</f>
        <v>1600</v>
      </c>
      <c r="BS432" s="8" t="str">
        <f aca="false">IF(A432="","",IF(AX432="G1","G1",IF(AX432="G2","G2",IF(AX432="G3","G3",IF(AX432="L","L","その他")))))</f>
        <v>その他</v>
      </c>
      <c r="BT432" s="8" t="str">
        <f aca="false">IF(A432="","",IF(BI432="","未結合",IF(D432=BI432,"一致","不一致")))</f>
        <v>一致</v>
      </c>
      <c r="BU432" s="8" t="str">
        <f aca="false">IF(A432="","",IF(BE432="牝馬限定","牝馬限定","その他"))</f>
        <v>その他</v>
      </c>
    </row>
    <row r="433" customFormat="false" ht="15.75" hidden="false" customHeight="false" outlineLevel="0" collapsed="false">
      <c r="A433" s="6" t="n">
        <v>46179</v>
      </c>
      <c r="B433" s="4" t="s">
        <v>4172</v>
      </c>
      <c r="C433" s="8" t="n">
        <v>8</v>
      </c>
      <c r="D433" s="8" t="n">
        <v>9</v>
      </c>
      <c r="E433" s="8" t="n">
        <v>3</v>
      </c>
      <c r="F433" s="4" t="s">
        <v>1325</v>
      </c>
      <c r="G433" s="8" t="n">
        <v>58</v>
      </c>
      <c r="H433" s="8" t="n">
        <v>8</v>
      </c>
      <c r="I433" s="4" t="s">
        <v>1173</v>
      </c>
      <c r="J433" s="8" t="n">
        <v>47</v>
      </c>
      <c r="K433" s="8" t="n">
        <v>4</v>
      </c>
      <c r="L433" s="4" t="s">
        <v>4401</v>
      </c>
      <c r="M433" s="8" t="n">
        <v>44</v>
      </c>
      <c r="N433" s="8" t="n">
        <f aca="false">IF(A433="","",G433-J433)</f>
        <v>11</v>
      </c>
      <c r="O433" s="8" t="n">
        <f aca="false">IF(A433="","",J433-M433)</f>
        <v>3</v>
      </c>
      <c r="P433" s="8" t="n">
        <f aca="false">IF(A433="","",G433+J433)</f>
        <v>105</v>
      </c>
      <c r="Q433" s="8" t="str">
        <f aca="false">IF(A433="","",IF(AND(Y433&lt;&gt;"参考",G433&gt;=ルール設定!$B$2),"○",""))</f>
        <v/>
      </c>
      <c r="R433" s="8" t="str">
        <f aca="false">IF(A433="","",IF(AND(Y433&lt;&gt;"参考",G433&gt;=ルール設定!$B$3,N433&gt;=ルール設定!$B$4),"○",""))</f>
        <v/>
      </c>
      <c r="S433" s="8" t="str">
        <f aca="false">IF(A433="","",IF(AND(Y433&lt;&gt;"参考",G433&gt;=ルール設定!$B$5,J433&gt;=ルール設定!$B$6,O433&gt;=ルール設定!$B$7),"○",""))</f>
        <v/>
      </c>
      <c r="T433" s="8" t="n">
        <v>4</v>
      </c>
      <c r="U433" s="8" t="n">
        <v>2</v>
      </c>
      <c r="V433" s="8" t="str">
        <f aca="false">IF(A433="","",IF(AND(ISNUMBER(T433),ISNUMBER(U433)),IF(AND(T433&lt;=3,U433&lt;=3),"○","×"),""))</f>
        <v>×</v>
      </c>
      <c r="W433" s="8"/>
      <c r="X433" s="8"/>
      <c r="Y433" s="4" t="s">
        <v>7597</v>
      </c>
      <c r="Z433" s="4" t="s">
        <v>4475</v>
      </c>
      <c r="AA433" s="8" t="str">
        <v/>
      </c>
      <c r="AB433" s="8" t="str">
        <v/>
      </c>
      <c r="AC433" s="8" t="str">
        <v/>
      </c>
      <c r="AD433" s="8" t="str">
        <v/>
      </c>
      <c r="AE433" s="8" t="str">
        <v/>
      </c>
      <c r="AF433" s="8" t="str">
        <v/>
      </c>
      <c r="AG433" s="8" t="str">
        <v/>
      </c>
      <c r="AH433" s="8" t="str">
        <v/>
      </c>
      <c r="AI433" s="8" t="n">
        <v>14</v>
      </c>
      <c r="AJ433" s="8" t="str">
        <v>～59</v>
      </c>
      <c r="AK433" s="8" t="str">
        <v>10～19</v>
      </c>
      <c r="AL433" s="8" t="str">
        <v>10～19</v>
      </c>
      <c r="AM433" s="8" t="str">
        <v>100～119</v>
      </c>
      <c r="AN433" s="8" t="str">
        <v>8～11</v>
      </c>
      <c r="AO433" s="8" t="str">
        <f aca="false">IF(A433="","",IF(COUNTIFS(全馬データ!$A$2:$A$50000,A433,全馬データ!$B$2:$B$50000,B433,全馬データ!$C$2:$C$50000,C433,全馬データ!$D$2:$D$50000,E433,全馬データ!$K$2:$K$50000,"&lt;&gt;")=0,"",SUMIFS(全馬データ!$K$2:$K$50000,全馬データ!$A$2:$A$50000,A433,全馬データ!$B$2:$B$50000,B433,全馬データ!$C$2:$C$50000,C433,全馬データ!$D$2:$D$50000,E433)))</f>
        <v/>
      </c>
      <c r="AP433" s="8" t="str">
        <f aca="false">IF(A433="","",IF(AO433="","欠損",IF(AO433&lt;=1.1,"1.0～1.1",IF(AO433&lt;1.3,"1.2",IF(AO433&lt;1.5,"1.3～1.4",IF(AO433&lt;2,"1.5～1.9","2.0以上"))))))</f>
        <v>欠損</v>
      </c>
      <c r="AQ433" s="8" t="str">
        <f aca="false">IF(A433="","",IF(ISNUMBER(SEARCH("2歳",Z433)),"2歳戦",IF(ISNUMBER(SEARCH("3歳未勝利",Z433)),"3歳未勝利",IF(ISNUMBER(SEARCH("未勝利",Z433)),"その他未勝利",IF(ISNUMBER(SEARCH("G1",Z433)),"G1",IF(ISNUMBER(SEARCH("G2",Z433)),"G2",IF(ISNUMBER(SEARCH("G3",Z433)),"G3",IF(ISNUMBER(SEARCH("古馬条件",Z433)),"古馬条件戦",IF(ISNUMBER(SEARCH("重賞",Z433)),"重賞","分類不能")))))))))</f>
        <v>分類不能</v>
      </c>
      <c r="AR433" s="8"/>
      <c r="AS433" s="8" t="s">
        <v>7626</v>
      </c>
      <c r="AT433" s="8" t="s">
        <v>7627</v>
      </c>
      <c r="AU433" s="8" t="s">
        <v>7628</v>
      </c>
      <c r="AV433" s="8" t="s">
        <v>7629</v>
      </c>
      <c r="AW433" s="8"/>
      <c r="AX433" s="8"/>
      <c r="AY433" s="8" t="s">
        <v>7602</v>
      </c>
      <c r="AZ433" s="4" t="s">
        <v>7603</v>
      </c>
      <c r="BA433" s="8" t="n">
        <v>2200</v>
      </c>
      <c r="BB433" s="8" t="s">
        <v>7598</v>
      </c>
      <c r="BC433" s="4" t="s">
        <v>7604</v>
      </c>
      <c r="BD433" s="8" t="s">
        <v>7625</v>
      </c>
      <c r="BE433" s="4" t="s">
        <v>7606</v>
      </c>
      <c r="BF433" s="8" t="s">
        <v>7607</v>
      </c>
      <c r="BG433" s="8" t="s">
        <v>7631</v>
      </c>
      <c r="BH433" s="4" t="s">
        <v>7632</v>
      </c>
      <c r="BI433" s="8" t="n">
        <v>9</v>
      </c>
      <c r="BJ433" s="8" t="s">
        <v>7602</v>
      </c>
      <c r="BK433" s="4" t="s">
        <v>7653</v>
      </c>
      <c r="BL433" s="8" t="s">
        <v>7602</v>
      </c>
      <c r="BM433" s="4" t="s">
        <v>7620</v>
      </c>
      <c r="BN433" s="8" t="s">
        <v>7631</v>
      </c>
      <c r="BO433" s="8" t="s">
        <v>7680</v>
      </c>
      <c r="BP433" s="8" t="s">
        <v>7610</v>
      </c>
      <c r="BQ433" s="8" t="str">
        <f aca="false">IF(A433="","",AT433)</f>
        <v>3歳以上</v>
      </c>
      <c r="BR433" s="8" t="str">
        <f aca="false">IF(A433="","",IF(BA433&lt;=1200,"～1200",IF(BA433&lt;=1500,"1300～1500",IF(BA433=1600,"1600",IF(BA433&lt;=1800,"1700～1800",IF(BA433&lt;=2000,"1900～2000","2100以上"))))))</f>
        <v>2100以上</v>
      </c>
      <c r="BS433" s="8" t="str">
        <f aca="false">IF(A433="","",IF(AX433="G1","G1",IF(AX433="G2","G2",IF(AX433="G3","G3",IF(AX433="L","L","その他")))))</f>
        <v>その他</v>
      </c>
      <c r="BT433" s="8" t="str">
        <f aca="false">IF(A433="","",IF(BI433="","未結合",IF(D433=BI433,"一致","不一致")))</f>
        <v>一致</v>
      </c>
      <c r="BU433" s="8" t="str">
        <f aca="false">IF(A433="","",IF(BE433="牝馬限定","牝馬限定","その他"))</f>
        <v>その他</v>
      </c>
    </row>
    <row r="434" customFormat="false" ht="15.75" hidden="false" customHeight="false" outlineLevel="0" collapsed="false">
      <c r="A434" s="6" t="n">
        <v>46179</v>
      </c>
      <c r="B434" s="4" t="s">
        <v>4172</v>
      </c>
      <c r="C434" s="8" t="n">
        <v>9</v>
      </c>
      <c r="D434" s="8" t="n">
        <v>9</v>
      </c>
      <c r="E434" s="8" t="n">
        <v>3</v>
      </c>
      <c r="F434" s="4" t="s">
        <v>4639</v>
      </c>
      <c r="G434" s="8" t="n">
        <v>66</v>
      </c>
      <c r="H434" s="8" t="n">
        <v>4</v>
      </c>
      <c r="I434" s="4" t="s">
        <v>277</v>
      </c>
      <c r="J434" s="8" t="n">
        <v>65</v>
      </c>
      <c r="K434" s="8" t="n">
        <v>6</v>
      </c>
      <c r="L434" s="4" t="s">
        <v>4641</v>
      </c>
      <c r="M434" s="8" t="n">
        <v>34</v>
      </c>
      <c r="N434" s="8" t="n">
        <f aca="false">IF(A434="","",G434-J434)</f>
        <v>1</v>
      </c>
      <c r="O434" s="8" t="n">
        <f aca="false">IF(A434="","",J434-M434)</f>
        <v>31</v>
      </c>
      <c r="P434" s="8" t="n">
        <f aca="false">IF(A434="","",G434+J434)</f>
        <v>131</v>
      </c>
      <c r="Q434" s="8" t="str">
        <f aca="false">IF(A434="","",IF(AND(Y434&lt;&gt;"参考",G434&gt;=ルール設定!$B$2),"○",""))</f>
        <v/>
      </c>
      <c r="R434" s="8" t="str">
        <f aca="false">IF(A434="","",IF(AND(Y434&lt;&gt;"参考",G434&gt;=ルール設定!$B$3,N434&gt;=ルール設定!$B$4),"○",""))</f>
        <v/>
      </c>
      <c r="S434" s="8" t="str">
        <f aca="false">IF(A434="","",IF(AND(Y434&lt;&gt;"参考",G434&gt;=ルール設定!$B$5,J434&gt;=ルール設定!$B$6,O434&gt;=ルール設定!$B$7),"○",""))</f>
        <v>○</v>
      </c>
      <c r="T434" s="8" t="n">
        <v>1</v>
      </c>
      <c r="U434" s="8" t="n">
        <v>2</v>
      </c>
      <c r="V434" s="8" t="str">
        <f aca="false">IF(A434="","",IF(AND(ISNUMBER(T434),ISNUMBER(U434)),IF(AND(T434&lt;=3,U434&lt;=3),"○","×"),""))</f>
        <v>○</v>
      </c>
      <c r="W434" s="8" t="n">
        <v>110</v>
      </c>
      <c r="X434" s="8" t="n">
        <v>120</v>
      </c>
      <c r="Y434" s="4" t="s">
        <v>7597</v>
      </c>
      <c r="Z434" s="4" t="s">
        <v>4475</v>
      </c>
      <c r="AA434" s="8" t="str">
        <v/>
      </c>
      <c r="AB434" s="8" t="str">
        <v/>
      </c>
      <c r="AC434" s="8" t="str">
        <v/>
      </c>
      <c r="AD434" s="8" t="str">
        <v/>
      </c>
      <c r="AE434" s="8" t="str">
        <v/>
      </c>
      <c r="AF434" s="8" t="str">
        <v/>
      </c>
      <c r="AG434" s="8" t="str">
        <v/>
      </c>
      <c r="AH434" s="8" t="str">
        <v/>
      </c>
      <c r="AI434" s="8" t="n">
        <v>32</v>
      </c>
      <c r="AJ434" s="8" t="str">
        <v>60～69</v>
      </c>
      <c r="AK434" s="8" t="str">
        <v>0～4</v>
      </c>
      <c r="AL434" s="8" t="str">
        <v>30～39</v>
      </c>
      <c r="AM434" s="8" t="str">
        <v>120～139</v>
      </c>
      <c r="AN434" s="8" t="str">
        <v>8～11</v>
      </c>
      <c r="AO434" s="8" t="str">
        <f aca="false">IF(A434="","",IF(COUNTIFS(全馬データ!$A$2:$A$50000,A434,全馬データ!$B$2:$B$50000,B434,全馬データ!$C$2:$C$50000,C434,全馬データ!$D$2:$D$50000,E434,全馬データ!$K$2:$K$50000,"&lt;&gt;")=0,"",SUMIFS(全馬データ!$K$2:$K$50000,全馬データ!$A$2:$A$50000,A434,全馬データ!$B$2:$B$50000,B434,全馬データ!$C$2:$C$50000,C434,全馬データ!$D$2:$D$50000,E434)))</f>
        <v/>
      </c>
      <c r="AP434" s="8" t="str">
        <f aca="false">IF(A434="","",IF(AO434="","欠損",IF(AO434&lt;=1.1,"1.0～1.1",IF(AO434&lt;1.3,"1.2",IF(AO434&lt;1.5,"1.3～1.4",IF(AO434&lt;2,"1.5～1.9","2.0以上"))))))</f>
        <v>欠損</v>
      </c>
      <c r="AQ434" s="8" t="str">
        <f aca="false">IF(A434="","",IF(ISNUMBER(SEARCH("2歳",Z434)),"2歳戦",IF(ISNUMBER(SEARCH("3歳未勝利",Z434)),"3歳未勝利",IF(ISNUMBER(SEARCH("未勝利",Z434)),"その他未勝利",IF(ISNUMBER(SEARCH("G1",Z434)),"G1",IF(ISNUMBER(SEARCH("G2",Z434)),"G2",IF(ISNUMBER(SEARCH("G3",Z434)),"G3",IF(ISNUMBER(SEARCH("古馬条件",Z434)),"古馬条件戦",IF(ISNUMBER(SEARCH("重賞",Z434)),"重賞","分類不能")))))))))</f>
        <v>分類不能</v>
      </c>
      <c r="AR434" s="4" t="s">
        <v>7808</v>
      </c>
      <c r="AS434" s="8" t="s">
        <v>7626</v>
      </c>
      <c r="AT434" s="8" t="s">
        <v>7627</v>
      </c>
      <c r="AU434" s="8" t="s">
        <v>7628</v>
      </c>
      <c r="AV434" s="8" t="s">
        <v>7629</v>
      </c>
      <c r="AW434" s="8" t="s">
        <v>7636</v>
      </c>
      <c r="AX434" s="4" t="s">
        <v>7637</v>
      </c>
      <c r="AY434" s="8" t="s">
        <v>7602</v>
      </c>
      <c r="AZ434" s="4" t="s">
        <v>7603</v>
      </c>
      <c r="BA434" s="8" t="n">
        <v>1800</v>
      </c>
      <c r="BB434" s="8" t="s">
        <v>7598</v>
      </c>
      <c r="BC434" s="4" t="s">
        <v>7604</v>
      </c>
      <c r="BD434" s="8" t="s">
        <v>7630</v>
      </c>
      <c r="BE434" s="4" t="s">
        <v>7606</v>
      </c>
      <c r="BF434" s="8" t="s">
        <v>7607</v>
      </c>
      <c r="BG434" s="8" t="s">
        <v>7631</v>
      </c>
      <c r="BH434" s="4" t="s">
        <v>7632</v>
      </c>
      <c r="BI434" s="8" t="n">
        <v>9</v>
      </c>
      <c r="BJ434" s="8" t="s">
        <v>7602</v>
      </c>
      <c r="BK434" s="4" t="s">
        <v>7653</v>
      </c>
      <c r="BL434" s="8" t="s">
        <v>7610</v>
      </c>
      <c r="BM434" s="4" t="s">
        <v>7612</v>
      </c>
      <c r="BN434" s="8" t="s">
        <v>7631</v>
      </c>
      <c r="BO434" s="8" t="s">
        <v>7680</v>
      </c>
      <c r="BP434" s="8" t="s">
        <v>7610</v>
      </c>
      <c r="BQ434" s="8" t="str">
        <f aca="false">IF(A434="","",AT434)</f>
        <v>3歳以上</v>
      </c>
      <c r="BR434" s="8" t="str">
        <f aca="false">IF(A434="","",IF(BA434&lt;=1200,"～1200",IF(BA434&lt;=1500,"1300～1500",IF(BA434=1600,"1600",IF(BA434&lt;=1800,"1700～1800",IF(BA434&lt;=2000,"1900～2000","2100以上"))))))</f>
        <v>1700～1800</v>
      </c>
      <c r="BS434" s="8" t="str">
        <f aca="false">IF(A434="","",IF(AX434="G1","G1",IF(AX434="G2","G2",IF(AX434="G3","G3",IF(AX434="L","L","その他")))))</f>
        <v>その他</v>
      </c>
      <c r="BT434" s="8" t="str">
        <f aca="false">IF(A434="","",IF(BI434="","未結合",IF(D434=BI434,"一致","不一致")))</f>
        <v>一致</v>
      </c>
      <c r="BU434" s="8" t="str">
        <f aca="false">IF(A434="","",IF(BE434="牝馬限定","牝馬限定","その他"))</f>
        <v>その他</v>
      </c>
    </row>
    <row r="435" customFormat="false" ht="15.75" hidden="false" customHeight="false" outlineLevel="0" collapsed="false">
      <c r="A435" s="6" t="n">
        <v>46179</v>
      </c>
      <c r="B435" s="4" t="s">
        <v>4172</v>
      </c>
      <c r="C435" s="8" t="n">
        <v>10</v>
      </c>
      <c r="D435" s="8" t="n">
        <v>12</v>
      </c>
      <c r="E435" s="8" t="n">
        <v>6</v>
      </c>
      <c r="F435" s="4" t="s">
        <v>3648</v>
      </c>
      <c r="G435" s="8" t="n">
        <v>60</v>
      </c>
      <c r="H435" s="8" t="n">
        <v>5</v>
      </c>
      <c r="I435" s="4" t="s">
        <v>4648</v>
      </c>
      <c r="J435" s="8" t="n">
        <v>50</v>
      </c>
      <c r="K435" s="8" t="n">
        <v>1</v>
      </c>
      <c r="L435" s="4" t="s">
        <v>4221</v>
      </c>
      <c r="M435" s="8" t="n">
        <v>39</v>
      </c>
      <c r="N435" s="8" t="n">
        <f aca="false">IF(A435="","",G435-J435)</f>
        <v>10</v>
      </c>
      <c r="O435" s="8" t="n">
        <f aca="false">IF(A435="","",J435-M435)</f>
        <v>11</v>
      </c>
      <c r="P435" s="8" t="n">
        <f aca="false">IF(A435="","",G435+J435)</f>
        <v>110</v>
      </c>
      <c r="Q435" s="8" t="str">
        <f aca="false">IF(A435="","",IF(AND(Y435&lt;&gt;"参考",G435&gt;=ルール設定!$B$2),"○",""))</f>
        <v/>
      </c>
      <c r="R435" s="8" t="str">
        <f aca="false">IF(A435="","",IF(AND(Y435&lt;&gt;"参考",G435&gt;=ルール設定!$B$3,N435&gt;=ルール設定!$B$4),"○",""))</f>
        <v/>
      </c>
      <c r="S435" s="8" t="str">
        <f aca="false">IF(A435="","",IF(AND(Y435&lt;&gt;"参考",G435&gt;=ルール設定!$B$5,J435&gt;=ルール設定!$B$6,O435&gt;=ルール設定!$B$7),"○",""))</f>
        <v/>
      </c>
      <c r="T435" s="8" t="n">
        <v>4</v>
      </c>
      <c r="U435" s="8" t="n">
        <v>4</v>
      </c>
      <c r="V435" s="8" t="str">
        <f aca="false">IF(A435="","",IF(AND(ISNUMBER(T435),ISNUMBER(U435)),IF(AND(T435&lt;=3,U435&lt;=3),"○","×"),""))</f>
        <v>×</v>
      </c>
      <c r="W435" s="8"/>
      <c r="X435" s="8"/>
      <c r="Y435" s="4" t="s">
        <v>7597</v>
      </c>
      <c r="Z435" s="4" t="s">
        <v>4475</v>
      </c>
      <c r="AA435" s="8" t="str">
        <v/>
      </c>
      <c r="AB435" s="8" t="str">
        <v/>
      </c>
      <c r="AC435" s="8" t="str">
        <v/>
      </c>
      <c r="AD435" s="8" t="str">
        <v/>
      </c>
      <c r="AE435" s="8" t="str">
        <v/>
      </c>
      <c r="AF435" s="8" t="str">
        <v/>
      </c>
      <c r="AG435" s="8" t="str">
        <v/>
      </c>
      <c r="AH435" s="8" t="str">
        <v/>
      </c>
      <c r="AI435" s="8" t="n">
        <v>21</v>
      </c>
      <c r="AJ435" s="8" t="str">
        <v>60～69</v>
      </c>
      <c r="AK435" s="8" t="str">
        <v>10～19</v>
      </c>
      <c r="AL435" s="8" t="str">
        <v>20～29</v>
      </c>
      <c r="AM435" s="8" t="str">
        <v>100～119</v>
      </c>
      <c r="AN435" s="8" t="str">
        <v>12～14</v>
      </c>
      <c r="AO435" s="8" t="str">
        <f aca="false">IF(A435="","",IF(COUNTIFS(全馬データ!$A$2:$A$50000,A435,全馬データ!$B$2:$B$50000,B435,全馬データ!$C$2:$C$50000,C435,全馬データ!$D$2:$D$50000,E435,全馬データ!$K$2:$K$50000,"&lt;&gt;")=0,"",SUMIFS(全馬データ!$K$2:$K$50000,全馬データ!$A$2:$A$50000,A435,全馬データ!$B$2:$B$50000,B435,全馬データ!$C$2:$C$50000,C435,全馬データ!$D$2:$D$50000,E435)))</f>
        <v/>
      </c>
      <c r="AP435" s="8" t="str">
        <f aca="false">IF(A435="","",IF(AO435="","欠損",IF(AO435&lt;=1.1,"1.0～1.1",IF(AO435&lt;1.3,"1.2",IF(AO435&lt;1.5,"1.3～1.4",IF(AO435&lt;2,"1.5～1.9","2.0以上"))))))</f>
        <v>欠損</v>
      </c>
      <c r="AQ435" s="8" t="str">
        <f aca="false">IF(A435="","",IF(ISNUMBER(SEARCH("2歳",Z435)),"2歳戦",IF(ISNUMBER(SEARCH("3歳未勝利",Z435)),"3歳未勝利",IF(ISNUMBER(SEARCH("未勝利",Z435)),"その他未勝利",IF(ISNUMBER(SEARCH("G1",Z435)),"G1",IF(ISNUMBER(SEARCH("G2",Z435)),"G2",IF(ISNUMBER(SEARCH("G3",Z435)),"G3",IF(ISNUMBER(SEARCH("古馬条件",Z435)),"古馬条件戦",IF(ISNUMBER(SEARCH("重賞",Z435)),"重賞","分類不能")))))))))</f>
        <v>分類不能</v>
      </c>
      <c r="AR435" s="4" t="s">
        <v>7809</v>
      </c>
      <c r="AS435" s="8" t="s">
        <v>7626</v>
      </c>
      <c r="AT435" s="8" t="s">
        <v>7627</v>
      </c>
      <c r="AU435" s="8" t="s">
        <v>7634</v>
      </c>
      <c r="AV435" s="8" t="s">
        <v>7635</v>
      </c>
      <c r="AW435" s="8" t="s">
        <v>7636</v>
      </c>
      <c r="AX435" s="4" t="s">
        <v>7637</v>
      </c>
      <c r="AY435" s="8" t="s">
        <v>7610</v>
      </c>
      <c r="AZ435" s="4" t="s">
        <v>7617</v>
      </c>
      <c r="BA435" s="8" t="n">
        <v>1800</v>
      </c>
      <c r="BB435" s="8" t="s">
        <v>7598</v>
      </c>
      <c r="BC435" s="4" t="s">
        <v>7604</v>
      </c>
      <c r="BD435" s="8" t="s">
        <v>7630</v>
      </c>
      <c r="BE435" s="4" t="s">
        <v>7606</v>
      </c>
      <c r="BF435" s="8" t="s">
        <v>7607</v>
      </c>
      <c r="BG435" s="8" t="s">
        <v>7631</v>
      </c>
      <c r="BH435" s="4" t="s">
        <v>7632</v>
      </c>
      <c r="BI435" s="8" t="n">
        <v>12</v>
      </c>
      <c r="BJ435" s="8" t="s">
        <v>7602</v>
      </c>
      <c r="BK435" s="4" t="s">
        <v>7653</v>
      </c>
      <c r="BL435" s="8" t="s">
        <v>7602</v>
      </c>
      <c r="BM435" s="4" t="s">
        <v>7620</v>
      </c>
      <c r="BN435" s="8"/>
      <c r="BO435" s="8"/>
      <c r="BP435" s="8" t="s">
        <v>7610</v>
      </c>
      <c r="BQ435" s="8" t="str">
        <f aca="false">IF(A435="","",AT435)</f>
        <v>3歳以上</v>
      </c>
      <c r="BR435" s="8" t="str">
        <f aca="false">IF(A435="","",IF(BA435&lt;=1200,"～1200",IF(BA435&lt;=1500,"1300～1500",IF(BA435=1600,"1600",IF(BA435&lt;=1800,"1700～1800",IF(BA435&lt;=2000,"1900～2000","2100以上"))))))</f>
        <v>1700～1800</v>
      </c>
      <c r="BS435" s="8" t="str">
        <f aca="false">IF(A435="","",IF(AX435="G1","G1",IF(AX435="G2","G2",IF(AX435="G3","G3",IF(AX435="L","L","その他")))))</f>
        <v>その他</v>
      </c>
      <c r="BT435" s="8" t="str">
        <f aca="false">IF(A435="","",IF(BI435="","未結合",IF(D435=BI435,"一致","不一致")))</f>
        <v>一致</v>
      </c>
      <c r="BU435" s="8" t="str">
        <f aca="false">IF(A435="","",IF(BE435="牝馬限定","牝馬限定","その他"))</f>
        <v>その他</v>
      </c>
    </row>
    <row r="436" customFormat="false" ht="15.75" hidden="false" customHeight="false" outlineLevel="0" collapsed="false">
      <c r="A436" s="6" t="n">
        <v>46179</v>
      </c>
      <c r="B436" s="4" t="s">
        <v>4172</v>
      </c>
      <c r="C436" s="8" t="n">
        <v>11</v>
      </c>
      <c r="D436" s="8" t="n">
        <v>11</v>
      </c>
      <c r="E436" s="8" t="n">
        <v>1</v>
      </c>
      <c r="F436" s="4" t="s">
        <v>270</v>
      </c>
      <c r="G436" s="8" t="n">
        <v>58</v>
      </c>
      <c r="H436" s="8" t="n">
        <v>4</v>
      </c>
      <c r="I436" s="4" t="s">
        <v>4655</v>
      </c>
      <c r="J436" s="8" t="n">
        <v>50</v>
      </c>
      <c r="K436" s="8" t="n">
        <v>3</v>
      </c>
      <c r="L436" s="4" t="s">
        <v>3871</v>
      </c>
      <c r="M436" s="8" t="n">
        <v>41</v>
      </c>
      <c r="N436" s="8" t="n">
        <f aca="false">IF(A436="","",G436-J436)</f>
        <v>8</v>
      </c>
      <c r="O436" s="8" t="n">
        <f aca="false">IF(A436="","",J436-M436)</f>
        <v>9</v>
      </c>
      <c r="P436" s="8" t="n">
        <f aca="false">IF(A436="","",G436+J436)</f>
        <v>108</v>
      </c>
      <c r="Q436" s="8" t="str">
        <f aca="false">IF(A436="","",IF(AND(Y436&lt;&gt;"参考",G436&gt;=ルール設定!$B$2),"○",""))</f>
        <v/>
      </c>
      <c r="R436" s="8" t="str">
        <f aca="false">IF(A436="","",IF(AND(Y436&lt;&gt;"参考",G436&gt;=ルール設定!$B$3,N436&gt;=ルール設定!$B$4),"○",""))</f>
        <v/>
      </c>
      <c r="S436" s="8" t="str">
        <f aca="false">IF(A436="","",IF(AND(Y436&lt;&gt;"参考",G436&gt;=ルール設定!$B$5,J436&gt;=ルール設定!$B$6,O436&gt;=ルール設定!$B$7),"○",""))</f>
        <v/>
      </c>
      <c r="T436" s="8" t="n">
        <v>2</v>
      </c>
      <c r="U436" s="8" t="n">
        <v>4</v>
      </c>
      <c r="V436" s="8" t="str">
        <f aca="false">IF(A436="","",IF(AND(ISNUMBER(T436),ISNUMBER(U436)),IF(AND(T436&lt;=3,U436&lt;=3),"○","×"),""))</f>
        <v>×</v>
      </c>
      <c r="W436" s="8" t="n">
        <v>130</v>
      </c>
      <c r="X436" s="8"/>
      <c r="Y436" s="4" t="s">
        <v>7597</v>
      </c>
      <c r="Z436" s="4" t="s">
        <v>4475</v>
      </c>
      <c r="AA436" s="8" t="str">
        <v/>
      </c>
      <c r="AB436" s="8" t="str">
        <v/>
      </c>
      <c r="AC436" s="8" t="str">
        <v/>
      </c>
      <c r="AD436" s="8" t="str">
        <v/>
      </c>
      <c r="AE436" s="8" t="str">
        <v/>
      </c>
      <c r="AF436" s="8" t="str">
        <v/>
      </c>
      <c r="AG436" s="8" t="str">
        <v/>
      </c>
      <c r="AH436" s="8" t="str">
        <v/>
      </c>
      <c r="AI436" s="8" t="n">
        <v>17</v>
      </c>
      <c r="AJ436" s="8" t="str">
        <v>～59</v>
      </c>
      <c r="AK436" s="8" t="str">
        <v>5～9</v>
      </c>
      <c r="AL436" s="8" t="str">
        <v>10～19</v>
      </c>
      <c r="AM436" s="8" t="str">
        <v>100～119</v>
      </c>
      <c r="AN436" s="8" t="str">
        <v>8～11</v>
      </c>
      <c r="AO436" s="8" t="str">
        <f aca="false">IF(A436="","",IF(COUNTIFS(全馬データ!$A$2:$A$50000,A436,全馬データ!$B$2:$B$50000,B436,全馬データ!$C$2:$C$50000,C436,全馬データ!$D$2:$D$50000,E436,全馬データ!$K$2:$K$50000,"&lt;&gt;")=0,"",SUMIFS(全馬データ!$K$2:$K$50000,全馬データ!$A$2:$A$50000,A436,全馬データ!$B$2:$B$50000,B436,全馬データ!$C$2:$C$50000,C436,全馬データ!$D$2:$D$50000,E436)))</f>
        <v/>
      </c>
      <c r="AP436" s="8" t="str">
        <f aca="false">IF(A436="","",IF(AO436="","欠損",IF(AO436&lt;=1.1,"1.0～1.1",IF(AO436&lt;1.3,"1.2",IF(AO436&lt;1.5,"1.3～1.4",IF(AO436&lt;2,"1.5～1.9","2.0以上"))))))</f>
        <v>欠損</v>
      </c>
      <c r="AQ436" s="8" t="str">
        <f aca="false">IF(A436="","",IF(ISNUMBER(SEARCH("2歳",Z436)),"2歳戦",IF(ISNUMBER(SEARCH("3歳未勝利",Z436)),"3歳未勝利",IF(ISNUMBER(SEARCH("未勝利",Z436)),"その他未勝利",IF(ISNUMBER(SEARCH("G1",Z436)),"G1",IF(ISNUMBER(SEARCH("G2",Z436)),"G2",IF(ISNUMBER(SEARCH("G3",Z436)),"G3",IF(ISNUMBER(SEARCH("古馬条件",Z436)),"古馬条件戦",IF(ISNUMBER(SEARCH("重賞",Z436)),"重賞","分類不能")))))))))</f>
        <v>分類不能</v>
      </c>
      <c r="AR436" s="4" t="s">
        <v>7810</v>
      </c>
      <c r="AS436" s="8" t="s">
        <v>7626</v>
      </c>
      <c r="AT436" s="8" t="s">
        <v>7627</v>
      </c>
      <c r="AU436" s="8" t="s">
        <v>7639</v>
      </c>
      <c r="AV436" s="8" t="s">
        <v>7640</v>
      </c>
      <c r="AW436" s="8" t="s">
        <v>7636</v>
      </c>
      <c r="AX436" s="4" t="s">
        <v>7637</v>
      </c>
      <c r="AY436" s="8" t="s">
        <v>7602</v>
      </c>
      <c r="AZ436" s="4" t="s">
        <v>7603</v>
      </c>
      <c r="BA436" s="8" t="n">
        <v>2000</v>
      </c>
      <c r="BB436" s="8" t="s">
        <v>7598</v>
      </c>
      <c r="BC436" s="4" t="s">
        <v>7604</v>
      </c>
      <c r="BD436" s="8" t="s">
        <v>7630</v>
      </c>
      <c r="BE436" s="4" t="s">
        <v>7606</v>
      </c>
      <c r="BF436" s="8" t="s">
        <v>7607</v>
      </c>
      <c r="BG436" s="8" t="s">
        <v>7631</v>
      </c>
      <c r="BH436" s="4" t="s">
        <v>7632</v>
      </c>
      <c r="BI436" s="8" t="n">
        <v>11</v>
      </c>
      <c r="BJ436" s="8" t="s">
        <v>7602</v>
      </c>
      <c r="BK436" s="4" t="s">
        <v>7653</v>
      </c>
      <c r="BL436" s="8" t="s">
        <v>7602</v>
      </c>
      <c r="BM436" s="4" t="s">
        <v>7620</v>
      </c>
      <c r="BN436" s="8" t="s">
        <v>7631</v>
      </c>
      <c r="BO436" s="8" t="s">
        <v>7680</v>
      </c>
      <c r="BP436" s="8" t="s">
        <v>7610</v>
      </c>
      <c r="BQ436" s="8" t="str">
        <f aca="false">IF(A436="","",AT436)</f>
        <v>3歳以上</v>
      </c>
      <c r="BR436" s="8" t="str">
        <f aca="false">IF(A436="","",IF(BA436&lt;=1200,"～1200",IF(BA436&lt;=1500,"1300～1500",IF(BA436=1600,"1600",IF(BA436&lt;=1800,"1700～1800",IF(BA436&lt;=2000,"1900～2000","2100以上"))))))</f>
        <v>1900～2000</v>
      </c>
      <c r="BS436" s="8" t="str">
        <f aca="false">IF(A436="","",IF(AX436="G1","G1",IF(AX436="G2","G2",IF(AX436="G3","G3",IF(AX436="L","L","その他")))))</f>
        <v>その他</v>
      </c>
      <c r="BT436" s="8" t="str">
        <f aca="false">IF(A436="","",IF(BI436="","未結合",IF(D436=BI436,"一致","不一致")))</f>
        <v>一致</v>
      </c>
      <c r="BU436" s="8" t="str">
        <f aca="false">IF(A436="","",IF(BE436="牝馬限定","牝馬限定","その他"))</f>
        <v>その他</v>
      </c>
    </row>
    <row r="437" customFormat="false" ht="15.75" hidden="false" customHeight="false" outlineLevel="0" collapsed="false">
      <c r="A437" s="6" t="n">
        <v>46179</v>
      </c>
      <c r="B437" s="4" t="s">
        <v>4172</v>
      </c>
      <c r="C437" s="8" t="n">
        <v>12</v>
      </c>
      <c r="D437" s="8" t="n">
        <v>16</v>
      </c>
      <c r="E437" s="8" t="n">
        <v>12</v>
      </c>
      <c r="F437" s="4" t="s">
        <v>4668</v>
      </c>
      <c r="G437" s="8" t="n">
        <v>56</v>
      </c>
      <c r="H437" s="8" t="n">
        <v>2</v>
      </c>
      <c r="I437" s="4" t="s">
        <v>4662</v>
      </c>
      <c r="J437" s="8" t="n">
        <v>39</v>
      </c>
      <c r="K437" s="8" t="n">
        <v>8</v>
      </c>
      <c r="L437" s="4" t="s">
        <v>3852</v>
      </c>
      <c r="M437" s="8" t="n">
        <v>39</v>
      </c>
      <c r="N437" s="8" t="n">
        <f aca="false">IF(A437="","",G437-J437)</f>
        <v>17</v>
      </c>
      <c r="O437" s="8" t="n">
        <f aca="false">IF(A437="","",J437-M437)</f>
        <v>0</v>
      </c>
      <c r="P437" s="8" t="n">
        <f aca="false">IF(A437="","",G437+J437)</f>
        <v>95</v>
      </c>
      <c r="Q437" s="8" t="str">
        <f aca="false">IF(A437="","",IF(AND(Y437&lt;&gt;"参考",G437&gt;=ルール設定!$B$2),"○",""))</f>
        <v/>
      </c>
      <c r="R437" s="8" t="str">
        <f aca="false">IF(A437="","",IF(AND(Y437&lt;&gt;"参考",G437&gt;=ルール設定!$B$3,N437&gt;=ルール設定!$B$4),"○",""))</f>
        <v/>
      </c>
      <c r="S437" s="8" t="str">
        <f aca="false">IF(A437="","",IF(AND(Y437&lt;&gt;"参考",G437&gt;=ルール設定!$B$5,J437&gt;=ルール設定!$B$6,O437&gt;=ルール設定!$B$7),"○",""))</f>
        <v/>
      </c>
      <c r="T437" s="8" t="n">
        <v>4</v>
      </c>
      <c r="U437" s="8" t="n">
        <v>4</v>
      </c>
      <c r="V437" s="8" t="str">
        <f aca="false">IF(A437="","",IF(AND(ISNUMBER(T437),ISNUMBER(U437)),IF(AND(T437&lt;=3,U437&lt;=3),"○","×"),""))</f>
        <v>×</v>
      </c>
      <c r="W437" s="8"/>
      <c r="X437" s="8"/>
      <c r="Y437" s="4" t="s">
        <v>7597</v>
      </c>
      <c r="Z437" s="4" t="s">
        <v>4475</v>
      </c>
      <c r="AA437" s="8" t="str">
        <v/>
      </c>
      <c r="AB437" s="8" t="str">
        <v/>
      </c>
      <c r="AC437" s="8" t="str">
        <v/>
      </c>
      <c r="AD437" s="8" t="str">
        <v/>
      </c>
      <c r="AE437" s="8" t="str">
        <v/>
      </c>
      <c r="AF437" s="8" t="str">
        <v/>
      </c>
      <c r="AG437" s="8" t="str">
        <v/>
      </c>
      <c r="AH437" s="8" t="str">
        <v/>
      </c>
      <c r="AI437" s="8" t="n">
        <v>17</v>
      </c>
      <c r="AJ437" s="8" t="str">
        <v>～59</v>
      </c>
      <c r="AK437" s="8" t="str">
        <v>10～19</v>
      </c>
      <c r="AL437" s="8" t="str">
        <v>10～19</v>
      </c>
      <c r="AM437" s="8" t="str">
        <v>～99</v>
      </c>
      <c r="AN437" s="8" t="str">
        <v>15以上</v>
      </c>
      <c r="AO437" s="8" t="str">
        <f aca="false">IF(A437="","",IF(COUNTIFS(全馬データ!$A$2:$A$50000,A437,全馬データ!$B$2:$B$50000,B437,全馬データ!$C$2:$C$50000,C437,全馬データ!$D$2:$D$50000,E437,全馬データ!$K$2:$K$50000,"&lt;&gt;")=0,"",SUMIFS(全馬データ!$K$2:$K$50000,全馬データ!$A$2:$A$50000,A437,全馬データ!$B$2:$B$50000,B437,全馬データ!$C$2:$C$50000,C437,全馬データ!$D$2:$D$50000,E437)))</f>
        <v/>
      </c>
      <c r="AP437" s="8" t="str">
        <f aca="false">IF(A437="","",IF(AO437="","欠損",IF(AO437&lt;=1.1,"1.0～1.1",IF(AO437&lt;1.3,"1.2",IF(AO437&lt;1.5,"1.3～1.4",IF(AO437&lt;2,"1.5～1.9","2.0以上"))))))</f>
        <v>欠損</v>
      </c>
      <c r="AQ437" s="8" t="str">
        <f aca="false">IF(A437="","",IF(ISNUMBER(SEARCH("2歳",Z437)),"2歳戦",IF(ISNUMBER(SEARCH("3歳未勝利",Z437)),"3歳未勝利",IF(ISNUMBER(SEARCH("未勝利",Z437)),"その他未勝利",IF(ISNUMBER(SEARCH("G1",Z437)),"G1",IF(ISNUMBER(SEARCH("G2",Z437)),"G2",IF(ISNUMBER(SEARCH("G3",Z437)),"G3",IF(ISNUMBER(SEARCH("古馬条件",Z437)),"古馬条件戦",IF(ISNUMBER(SEARCH("重賞",Z437)),"重賞","分類不能")))))))))</f>
        <v>分類不能</v>
      </c>
      <c r="AR437" s="8"/>
      <c r="AS437" s="8" t="s">
        <v>7626</v>
      </c>
      <c r="AT437" s="8" t="s">
        <v>7627</v>
      </c>
      <c r="AU437" s="8" t="s">
        <v>7628</v>
      </c>
      <c r="AV437" s="8" t="s">
        <v>7629</v>
      </c>
      <c r="AW437" s="8"/>
      <c r="AX437" s="8"/>
      <c r="AY437" s="8" t="s">
        <v>7610</v>
      </c>
      <c r="AZ437" s="4" t="s">
        <v>7617</v>
      </c>
      <c r="BA437" s="8" t="n">
        <v>1400</v>
      </c>
      <c r="BB437" s="8" t="s">
        <v>7598</v>
      </c>
      <c r="BC437" s="4" t="s">
        <v>7604</v>
      </c>
      <c r="BD437" s="8" t="s">
        <v>7605</v>
      </c>
      <c r="BE437" s="4" t="s">
        <v>7606</v>
      </c>
      <c r="BF437" s="8" t="s">
        <v>7607</v>
      </c>
      <c r="BG437" s="8" t="s">
        <v>7631</v>
      </c>
      <c r="BH437" s="4" t="s">
        <v>7632</v>
      </c>
      <c r="BI437" s="8" t="n">
        <v>16</v>
      </c>
      <c r="BJ437" s="8" t="s">
        <v>7602</v>
      </c>
      <c r="BK437" s="4" t="s">
        <v>7653</v>
      </c>
      <c r="BL437" s="8" t="s">
        <v>7602</v>
      </c>
      <c r="BM437" s="4" t="s">
        <v>7620</v>
      </c>
      <c r="BN437" s="8"/>
      <c r="BO437" s="8"/>
      <c r="BP437" s="8" t="s">
        <v>7610</v>
      </c>
      <c r="BQ437" s="8" t="str">
        <f aca="false">IF(A437="","",AT437)</f>
        <v>3歳以上</v>
      </c>
      <c r="BR437" s="8" t="str">
        <f aca="false">IF(A437="","",IF(BA437&lt;=1200,"～1200",IF(BA437&lt;=1500,"1300～1500",IF(BA437=1600,"1600",IF(BA437&lt;=1800,"1700～1800",IF(BA437&lt;=2000,"1900～2000","2100以上"))))))</f>
        <v>1300～1500</v>
      </c>
      <c r="BS437" s="8" t="str">
        <f aca="false">IF(A437="","",IF(AX437="G1","G1",IF(AX437="G2","G2",IF(AX437="G3","G3",IF(AX437="L","L","その他")))))</f>
        <v>その他</v>
      </c>
      <c r="BT437" s="8" t="str">
        <f aca="false">IF(A437="","",IF(BI437="","未結合",IF(D437=BI437,"一致","不一致")))</f>
        <v>一致</v>
      </c>
      <c r="BU437" s="8" t="str">
        <f aca="false">IF(A437="","",IF(BE437="牝馬限定","牝馬限定","その他"))</f>
        <v>その他</v>
      </c>
    </row>
    <row r="438" customFormat="false" ht="15.75" hidden="false" customHeight="false" outlineLevel="0" collapsed="false">
      <c r="A438" s="6" t="n">
        <v>46180</v>
      </c>
      <c r="B438" s="4" t="s">
        <v>4473</v>
      </c>
      <c r="C438" s="8" t="n">
        <v>1</v>
      </c>
      <c r="D438" s="8" t="n">
        <v>16</v>
      </c>
      <c r="E438" s="8" t="n">
        <v>11</v>
      </c>
      <c r="F438" s="4" t="s">
        <v>4676</v>
      </c>
      <c r="G438" s="8" t="n">
        <v>56</v>
      </c>
      <c r="H438" s="8" t="n">
        <v>5</v>
      </c>
      <c r="I438" s="4" t="s">
        <v>140</v>
      </c>
      <c r="J438" s="8" t="n">
        <v>52</v>
      </c>
      <c r="K438" s="8" t="n">
        <v>7</v>
      </c>
      <c r="L438" s="4" t="s">
        <v>3031</v>
      </c>
      <c r="M438" s="8" t="n">
        <v>52</v>
      </c>
      <c r="N438" s="8" t="n">
        <f aca="false">IF(A438="","",G438-J438)</f>
        <v>4</v>
      </c>
      <c r="O438" s="8" t="n">
        <f aca="false">IF(A438="","",J438-M438)</f>
        <v>0</v>
      </c>
      <c r="P438" s="8" t="n">
        <f aca="false">IF(A438="","",G438+J438)</f>
        <v>108</v>
      </c>
      <c r="Q438" s="8" t="str">
        <f aca="false">IF(A438="","",IF(AND(Y438&lt;&gt;"参考",G438&gt;=ルール設定!$B$2),"○",""))</f>
        <v/>
      </c>
      <c r="R438" s="8" t="str">
        <f aca="false">IF(A438="","",IF(AND(Y438&lt;&gt;"参考",G438&gt;=ルール設定!$B$3,N438&gt;=ルール設定!$B$4),"○",""))</f>
        <v/>
      </c>
      <c r="S438" s="8" t="str">
        <f aca="false">IF(A438="","",IF(AND(Y438&lt;&gt;"参考",G438&gt;=ルール設定!$B$5,J438&gt;=ルール設定!$B$6,O438&gt;=ルール設定!$B$7),"○",""))</f>
        <v/>
      </c>
      <c r="T438" s="8" t="n">
        <v>1</v>
      </c>
      <c r="U438" s="8" t="n">
        <v>4</v>
      </c>
      <c r="V438" s="8" t="str">
        <f aca="false">IF(A438="","",IF(AND(ISNUMBER(T438),ISNUMBER(U438)),IF(AND(T438&lt;=3,U438&lt;=3),"○","×"),""))</f>
        <v>×</v>
      </c>
      <c r="W438" s="8" t="n">
        <v>220</v>
      </c>
      <c r="X438" s="8"/>
      <c r="Y438" s="4" t="s">
        <v>7597</v>
      </c>
      <c r="Z438" s="4" t="s">
        <v>4475</v>
      </c>
      <c r="AA438" s="8" t="str">
        <v/>
      </c>
      <c r="AB438" s="8" t="str">
        <v/>
      </c>
      <c r="AC438" s="8" t="str">
        <v/>
      </c>
      <c r="AD438" s="8" t="str">
        <v/>
      </c>
      <c r="AE438" s="8" t="str">
        <v/>
      </c>
      <c r="AF438" s="8" t="str">
        <v/>
      </c>
      <c r="AG438" s="8" t="str">
        <v/>
      </c>
      <c r="AH438" s="8" t="str">
        <v/>
      </c>
      <c r="AI438" s="8" t="n">
        <v>4</v>
      </c>
      <c r="AJ438" s="8" t="str">
        <v>～59</v>
      </c>
      <c r="AK438" s="8" t="str">
        <v>0～4</v>
      </c>
      <c r="AL438" s="8" t="str">
        <v>0～9</v>
      </c>
      <c r="AM438" s="8" t="str">
        <v>100～119</v>
      </c>
      <c r="AN438" s="8" t="str">
        <v>15以上</v>
      </c>
      <c r="AO438" s="8" t="str">
        <f aca="false">IF(A438="","",IF(COUNTIFS(全馬データ!$A$2:$A$50000,A438,全馬データ!$B$2:$B$50000,B438,全馬データ!$C$2:$C$50000,C438,全馬データ!$D$2:$D$50000,E438,全馬データ!$K$2:$K$50000,"&lt;&gt;")=0,"",SUMIFS(全馬データ!$K$2:$K$50000,全馬データ!$A$2:$A$50000,A438,全馬データ!$B$2:$B$50000,B438,全馬データ!$C$2:$C$50000,C438,全馬データ!$D$2:$D$50000,E438)))</f>
        <v/>
      </c>
      <c r="AP438" s="8" t="str">
        <f aca="false">IF(A438="","",IF(AO438="","欠損",IF(AO438&lt;=1.1,"1.0～1.1",IF(AO438&lt;1.3,"1.2",IF(AO438&lt;1.5,"1.3～1.4",IF(AO438&lt;2,"1.5～1.9","2.0以上"))))))</f>
        <v>欠損</v>
      </c>
      <c r="AQ438" s="8" t="str">
        <f aca="false">IF(A438="","",IF(ISNUMBER(SEARCH("2歳",Z438)),"2歳戦",IF(ISNUMBER(SEARCH("3歳未勝利",Z438)),"3歳未勝利",IF(ISNUMBER(SEARCH("未勝利",Z438)),"その他未勝利",IF(ISNUMBER(SEARCH("G1",Z438)),"G1",IF(ISNUMBER(SEARCH("G2",Z438)),"G2",IF(ISNUMBER(SEARCH("G3",Z438)),"G3",IF(ISNUMBER(SEARCH("古馬条件",Z438)),"古馬条件戦",IF(ISNUMBER(SEARCH("重賞",Z438)),"重賞","分類不能")))))))))</f>
        <v>分類不能</v>
      </c>
      <c r="AR438" s="8"/>
      <c r="AS438" s="8" t="s">
        <v>7623</v>
      </c>
      <c r="AT438" s="8" t="s">
        <v>7624</v>
      </c>
      <c r="AU438" s="8" t="s">
        <v>7600</v>
      </c>
      <c r="AV438" s="4" t="s">
        <v>7601</v>
      </c>
      <c r="AW438" s="8"/>
      <c r="AX438" s="8"/>
      <c r="AY438" s="8" t="s">
        <v>7610</v>
      </c>
      <c r="AZ438" s="4" t="s">
        <v>7617</v>
      </c>
      <c r="BA438" s="8" t="n">
        <v>1400</v>
      </c>
      <c r="BB438" s="8" t="s">
        <v>7598</v>
      </c>
      <c r="BC438" s="4" t="s">
        <v>7604</v>
      </c>
      <c r="BD438" s="8" t="s">
        <v>7621</v>
      </c>
      <c r="BE438" s="4" t="s">
        <v>7622</v>
      </c>
      <c r="BF438" s="8" t="s">
        <v>7602</v>
      </c>
      <c r="BG438" s="8" t="s">
        <v>7608</v>
      </c>
      <c r="BH438" s="4" t="s">
        <v>7609</v>
      </c>
      <c r="BI438" s="8" t="n">
        <v>16</v>
      </c>
      <c r="BJ438" s="8" t="s">
        <v>7610</v>
      </c>
      <c r="BK438" s="4" t="s">
        <v>7611</v>
      </c>
      <c r="BL438" s="8" t="s">
        <v>7602</v>
      </c>
      <c r="BM438" s="4" t="s">
        <v>7620</v>
      </c>
      <c r="BN438" s="8"/>
      <c r="BO438" s="8"/>
      <c r="BP438" s="8" t="s">
        <v>7602</v>
      </c>
      <c r="BQ438" s="8" t="str">
        <f aca="false">IF(A438="","",AT438)</f>
        <v>3歳</v>
      </c>
      <c r="BR438" s="8" t="str">
        <f aca="false">IF(A438="","",IF(BA438&lt;=1200,"～1200",IF(BA438&lt;=1500,"1300～1500",IF(BA438=1600,"1600",IF(BA438&lt;=1800,"1700～1800",IF(BA438&lt;=2000,"1900～2000","2100以上"))))))</f>
        <v>1300～1500</v>
      </c>
      <c r="BS438" s="8" t="str">
        <f aca="false">IF(A438="","",IF(AX438="G1","G1",IF(AX438="G2","G2",IF(AX438="G3","G3",IF(AX438="L","L","その他")))))</f>
        <v>その他</v>
      </c>
      <c r="BT438" s="8" t="str">
        <f aca="false">IF(A438="","",IF(BI438="","未結合",IF(D438=BI438,"一致","不一致")))</f>
        <v>一致</v>
      </c>
      <c r="BU438" s="8" t="str">
        <f aca="false">IF(A438="","",IF(BE438="牝馬限定","牝馬限定","その他"))</f>
        <v>牝馬限定</v>
      </c>
    </row>
    <row r="439" customFormat="false" ht="15.75" hidden="false" customHeight="false" outlineLevel="0" collapsed="false">
      <c r="A439" s="6" t="n">
        <v>46180</v>
      </c>
      <c r="B439" s="4" t="s">
        <v>4473</v>
      </c>
      <c r="C439" s="8" t="n">
        <v>2</v>
      </c>
      <c r="D439" s="8" t="n">
        <v>16</v>
      </c>
      <c r="E439" s="8" t="n">
        <v>1</v>
      </c>
      <c r="F439" s="4" t="s">
        <v>2303</v>
      </c>
      <c r="G439" s="8" t="n">
        <v>56</v>
      </c>
      <c r="H439" s="8" t="n">
        <v>11</v>
      </c>
      <c r="I439" s="4" t="s">
        <v>2701</v>
      </c>
      <c r="J439" s="8" t="n">
        <v>50</v>
      </c>
      <c r="K439" s="8" t="n">
        <v>6</v>
      </c>
      <c r="L439" s="4" t="s">
        <v>1740</v>
      </c>
      <c r="M439" s="8" t="n">
        <v>25</v>
      </c>
      <c r="N439" s="8" t="n">
        <f aca="false">IF(A439="","",G439-J439)</f>
        <v>6</v>
      </c>
      <c r="O439" s="8" t="n">
        <f aca="false">IF(A439="","",J439-M439)</f>
        <v>25</v>
      </c>
      <c r="P439" s="8" t="n">
        <f aca="false">IF(A439="","",G439+J439)</f>
        <v>106</v>
      </c>
      <c r="Q439" s="8" t="str">
        <f aca="false">IF(A439="","",IF(AND(Y439&lt;&gt;"参考",G439&gt;=ルール設定!$B$2),"○",""))</f>
        <v/>
      </c>
      <c r="R439" s="8" t="str">
        <f aca="false">IF(A439="","",IF(AND(Y439&lt;&gt;"参考",G439&gt;=ルール設定!$B$3,N439&gt;=ルール設定!$B$4),"○",""))</f>
        <v/>
      </c>
      <c r="S439" s="8" t="str">
        <f aca="false">IF(A439="","",IF(AND(Y439&lt;&gt;"参考",G439&gt;=ルール設定!$B$5,J439&gt;=ルール設定!$B$6,O439&gt;=ルール設定!$B$7),"○",""))</f>
        <v/>
      </c>
      <c r="T439" s="8" t="n">
        <v>3</v>
      </c>
      <c r="U439" s="8" t="n">
        <v>2</v>
      </c>
      <c r="V439" s="8" t="str">
        <f aca="false">IF(A439="","",IF(AND(ISNUMBER(T439),ISNUMBER(U439)),IF(AND(T439&lt;=3,U439&lt;=3),"○","×"),""))</f>
        <v>○</v>
      </c>
      <c r="W439" s="8" t="n">
        <v>160</v>
      </c>
      <c r="X439" s="8" t="n">
        <v>270</v>
      </c>
      <c r="Y439" s="4" t="s">
        <v>7597</v>
      </c>
      <c r="Z439" s="4" t="s">
        <v>4475</v>
      </c>
      <c r="AA439" s="8" t="str">
        <v/>
      </c>
      <c r="AB439" s="8" t="str">
        <v/>
      </c>
      <c r="AC439" s="8" t="str">
        <v/>
      </c>
      <c r="AD439" s="8" t="str">
        <v/>
      </c>
      <c r="AE439" s="8" t="str">
        <v/>
      </c>
      <c r="AF439" s="8" t="str">
        <v/>
      </c>
      <c r="AG439" s="8" t="str">
        <v/>
      </c>
      <c r="AH439" s="8" t="str">
        <v/>
      </c>
      <c r="AI439" s="8" t="n">
        <v>31</v>
      </c>
      <c r="AJ439" s="8" t="str">
        <v>～59</v>
      </c>
      <c r="AK439" s="8" t="str">
        <v>5～9</v>
      </c>
      <c r="AL439" s="8" t="str">
        <v>30～39</v>
      </c>
      <c r="AM439" s="8" t="str">
        <v>100～119</v>
      </c>
      <c r="AN439" s="8" t="str">
        <v>15以上</v>
      </c>
      <c r="AO439" s="8" t="str">
        <f aca="false">IF(A439="","",IF(COUNTIFS(全馬データ!$A$2:$A$50000,A439,全馬データ!$B$2:$B$50000,B439,全馬データ!$C$2:$C$50000,C439,全馬データ!$D$2:$D$50000,E439,全馬データ!$K$2:$K$50000,"&lt;&gt;")=0,"",SUMIFS(全馬データ!$K$2:$K$50000,全馬データ!$A$2:$A$50000,A439,全馬データ!$B$2:$B$50000,B439,全馬データ!$C$2:$C$50000,C439,全馬データ!$D$2:$D$50000,E439)))</f>
        <v/>
      </c>
      <c r="AP439" s="8" t="str">
        <f aca="false">IF(A439="","",IF(AO439="","欠損",IF(AO439&lt;=1.1,"1.0～1.1",IF(AO439&lt;1.3,"1.2",IF(AO439&lt;1.5,"1.3～1.4",IF(AO439&lt;2,"1.5～1.9","2.0以上"))))))</f>
        <v>欠損</v>
      </c>
      <c r="AQ439" s="8" t="str">
        <f aca="false">IF(A439="","",IF(ISNUMBER(SEARCH("2歳",Z439)),"2歳戦",IF(ISNUMBER(SEARCH("3歳未勝利",Z439)),"3歳未勝利",IF(ISNUMBER(SEARCH("未勝利",Z439)),"その他未勝利",IF(ISNUMBER(SEARCH("G1",Z439)),"G1",IF(ISNUMBER(SEARCH("G2",Z439)),"G2",IF(ISNUMBER(SEARCH("G3",Z439)),"G3",IF(ISNUMBER(SEARCH("古馬条件",Z439)),"古馬条件戦",IF(ISNUMBER(SEARCH("重賞",Z439)),"重賞","分類不能")))))))))</f>
        <v>分類不能</v>
      </c>
      <c r="AR439" s="8"/>
      <c r="AS439" s="8" t="s">
        <v>7623</v>
      </c>
      <c r="AT439" s="8" t="s">
        <v>7624</v>
      </c>
      <c r="AU439" s="8" t="s">
        <v>7600</v>
      </c>
      <c r="AV439" s="4" t="s">
        <v>7601</v>
      </c>
      <c r="AW439" s="8"/>
      <c r="AX439" s="8"/>
      <c r="AY439" s="8" t="s">
        <v>7610</v>
      </c>
      <c r="AZ439" s="4" t="s">
        <v>7617</v>
      </c>
      <c r="BA439" s="8" t="n">
        <v>2100</v>
      </c>
      <c r="BB439" s="8" t="s">
        <v>7598</v>
      </c>
      <c r="BC439" s="4" t="s">
        <v>7604</v>
      </c>
      <c r="BD439" s="8" t="s">
        <v>7625</v>
      </c>
      <c r="BE439" s="4" t="s">
        <v>7606</v>
      </c>
      <c r="BF439" s="8" t="s">
        <v>7607</v>
      </c>
      <c r="BG439" s="8" t="s">
        <v>7608</v>
      </c>
      <c r="BH439" s="4" t="s">
        <v>7609</v>
      </c>
      <c r="BI439" s="8" t="n">
        <v>16</v>
      </c>
      <c r="BJ439" s="8" t="s">
        <v>7610</v>
      </c>
      <c r="BK439" s="4" t="s">
        <v>7611</v>
      </c>
      <c r="BL439" s="8" t="s">
        <v>7602</v>
      </c>
      <c r="BM439" s="4" t="s">
        <v>7620</v>
      </c>
      <c r="BN439" s="8"/>
      <c r="BO439" s="8"/>
      <c r="BP439" s="8" t="s">
        <v>7602</v>
      </c>
      <c r="BQ439" s="8" t="str">
        <f aca="false">IF(A439="","",AT439)</f>
        <v>3歳</v>
      </c>
      <c r="BR439" s="8" t="str">
        <f aca="false">IF(A439="","",IF(BA439&lt;=1200,"～1200",IF(BA439&lt;=1500,"1300～1500",IF(BA439=1600,"1600",IF(BA439&lt;=1800,"1700～1800",IF(BA439&lt;=2000,"1900～2000","2100以上"))))))</f>
        <v>2100以上</v>
      </c>
      <c r="BS439" s="8" t="str">
        <f aca="false">IF(A439="","",IF(AX439="G1","G1",IF(AX439="G2","G2",IF(AX439="G3","G3",IF(AX439="L","L","その他")))))</f>
        <v>その他</v>
      </c>
      <c r="BT439" s="8" t="str">
        <f aca="false">IF(A439="","",IF(BI439="","未結合",IF(D439=BI439,"一致","不一致")))</f>
        <v>一致</v>
      </c>
      <c r="BU439" s="8" t="str">
        <f aca="false">IF(A439="","",IF(BE439="牝馬限定","牝馬限定","その他"))</f>
        <v>その他</v>
      </c>
    </row>
    <row r="440" customFormat="false" ht="15.75" hidden="false" customHeight="false" outlineLevel="0" collapsed="false">
      <c r="A440" s="6" t="n">
        <v>46180</v>
      </c>
      <c r="B440" s="4" t="s">
        <v>4473</v>
      </c>
      <c r="C440" s="8" t="n">
        <v>3</v>
      </c>
      <c r="D440" s="8" t="n">
        <v>16</v>
      </c>
      <c r="E440" s="8" t="n">
        <v>7</v>
      </c>
      <c r="F440" s="4" t="s">
        <v>3332</v>
      </c>
      <c r="G440" s="8" t="n">
        <v>75</v>
      </c>
      <c r="H440" s="8" t="n">
        <v>16</v>
      </c>
      <c r="I440" s="4" t="s">
        <v>4692</v>
      </c>
      <c r="J440" s="8" t="n">
        <v>47</v>
      </c>
      <c r="K440" s="8" t="n">
        <v>11</v>
      </c>
      <c r="L440" s="4" t="s">
        <v>1919</v>
      </c>
      <c r="M440" s="8" t="n">
        <v>39</v>
      </c>
      <c r="N440" s="8" t="n">
        <f aca="false">IF(A440="","",G440-J440)</f>
        <v>28</v>
      </c>
      <c r="O440" s="8" t="n">
        <f aca="false">IF(A440="","",J440-M440)</f>
        <v>8</v>
      </c>
      <c r="P440" s="8" t="n">
        <f aca="false">IF(A440="","",G440+J440)</f>
        <v>122</v>
      </c>
      <c r="Q440" s="8" t="str">
        <f aca="false">IF(A440="","",IF(AND(Y440&lt;&gt;"参考",G440&gt;=ルール設定!$B$2),"○",""))</f>
        <v/>
      </c>
      <c r="R440" s="8" t="str">
        <f aca="false">IF(A440="","",IF(AND(Y440&lt;&gt;"参考",G440&gt;=ルール設定!$B$3,N440&gt;=ルール設定!$B$4),"○",""))</f>
        <v/>
      </c>
      <c r="S440" s="8" t="str">
        <f aca="false">IF(A440="","",IF(AND(Y440&lt;&gt;"参考",G440&gt;=ルール設定!$B$5,J440&gt;=ルール設定!$B$6,O440&gt;=ルール設定!$B$7),"○",""))</f>
        <v/>
      </c>
      <c r="T440" s="8" t="n">
        <v>2</v>
      </c>
      <c r="U440" s="8" t="n">
        <v>4</v>
      </c>
      <c r="V440" s="8" t="str">
        <f aca="false">IF(A440="","",IF(AND(ISNUMBER(T440),ISNUMBER(U440)),IF(AND(T440&lt;=3,U440&lt;=3),"○","×"),""))</f>
        <v>×</v>
      </c>
      <c r="W440" s="8" t="n">
        <v>110</v>
      </c>
      <c r="X440" s="8"/>
      <c r="Y440" s="4" t="s">
        <v>7597</v>
      </c>
      <c r="Z440" s="4" t="s">
        <v>4475</v>
      </c>
      <c r="AA440" s="8" t="str">
        <v/>
      </c>
      <c r="AB440" s="8" t="str">
        <v/>
      </c>
      <c r="AC440" s="8" t="str">
        <v/>
      </c>
      <c r="AD440" s="8" t="str">
        <v/>
      </c>
      <c r="AE440" s="8" t="str">
        <v/>
      </c>
      <c r="AF440" s="8" t="str">
        <v/>
      </c>
      <c r="AG440" s="8" t="str">
        <v/>
      </c>
      <c r="AH440" s="8" t="str">
        <v/>
      </c>
      <c r="AI440" s="8" t="n">
        <v>36</v>
      </c>
      <c r="AJ440" s="8" t="str">
        <v>75～79</v>
      </c>
      <c r="AK440" s="8" t="str">
        <v>20～29</v>
      </c>
      <c r="AL440" s="8" t="str">
        <v>30～39</v>
      </c>
      <c r="AM440" s="8" t="str">
        <v>120～139</v>
      </c>
      <c r="AN440" s="8" t="str">
        <v>15以上</v>
      </c>
      <c r="AO440" s="8" t="str">
        <f aca="false">IF(A440="","",IF(COUNTIFS(全馬データ!$A$2:$A$50000,A440,全馬データ!$B$2:$B$50000,B440,全馬データ!$C$2:$C$50000,C440,全馬データ!$D$2:$D$50000,E440,全馬データ!$K$2:$K$50000,"&lt;&gt;")=0,"",SUMIFS(全馬データ!$K$2:$K$50000,全馬データ!$A$2:$A$50000,A440,全馬データ!$B$2:$B$50000,B440,全馬データ!$C$2:$C$50000,C440,全馬データ!$D$2:$D$50000,E440)))</f>
        <v/>
      </c>
      <c r="AP440" s="8" t="str">
        <f aca="false">IF(A440="","",IF(AO440="","欠損",IF(AO440&lt;=1.1,"1.0～1.1",IF(AO440&lt;1.3,"1.2",IF(AO440&lt;1.5,"1.3～1.4",IF(AO440&lt;2,"1.5～1.9","2.0以上"))))))</f>
        <v>欠損</v>
      </c>
      <c r="AQ440" s="8" t="str">
        <f aca="false">IF(A440="","",IF(ISNUMBER(SEARCH("2歳",Z440)),"2歳戦",IF(ISNUMBER(SEARCH("3歳未勝利",Z440)),"3歳未勝利",IF(ISNUMBER(SEARCH("未勝利",Z440)),"その他未勝利",IF(ISNUMBER(SEARCH("G1",Z440)),"G1",IF(ISNUMBER(SEARCH("G2",Z440)),"G2",IF(ISNUMBER(SEARCH("G3",Z440)),"G3",IF(ISNUMBER(SEARCH("古馬条件",Z440)),"古馬条件戦",IF(ISNUMBER(SEARCH("重賞",Z440)),"重賞","分類不能")))))))))</f>
        <v>分類不能</v>
      </c>
      <c r="AR440" s="8"/>
      <c r="AS440" s="8" t="s">
        <v>7623</v>
      </c>
      <c r="AT440" s="8" t="s">
        <v>7624</v>
      </c>
      <c r="AU440" s="8" t="s">
        <v>7600</v>
      </c>
      <c r="AV440" s="4" t="s">
        <v>7601</v>
      </c>
      <c r="AW440" s="8"/>
      <c r="AX440" s="8"/>
      <c r="AY440" s="8" t="s">
        <v>7610</v>
      </c>
      <c r="AZ440" s="4" t="s">
        <v>7617</v>
      </c>
      <c r="BA440" s="8" t="n">
        <v>1600</v>
      </c>
      <c r="BB440" s="8" t="s">
        <v>7598</v>
      </c>
      <c r="BC440" s="4" t="s">
        <v>7604</v>
      </c>
      <c r="BD440" s="8" t="s">
        <v>7625</v>
      </c>
      <c r="BE440" s="4" t="s">
        <v>7606</v>
      </c>
      <c r="BF440" s="8" t="s">
        <v>7607</v>
      </c>
      <c r="BG440" s="8" t="s">
        <v>7608</v>
      </c>
      <c r="BH440" s="4" t="s">
        <v>7609</v>
      </c>
      <c r="BI440" s="8" t="n">
        <v>16</v>
      </c>
      <c r="BJ440" s="8" t="s">
        <v>7610</v>
      </c>
      <c r="BK440" s="4" t="s">
        <v>7611</v>
      </c>
      <c r="BL440" s="8" t="s">
        <v>7602</v>
      </c>
      <c r="BM440" s="4" t="s">
        <v>7620</v>
      </c>
      <c r="BN440" s="8"/>
      <c r="BO440" s="8"/>
      <c r="BP440" s="8" t="s">
        <v>7602</v>
      </c>
      <c r="BQ440" s="8" t="str">
        <f aca="false">IF(A440="","",AT440)</f>
        <v>3歳</v>
      </c>
      <c r="BR440" s="8" t="str">
        <f aca="false">IF(A440="","",IF(BA440&lt;=1200,"～1200",IF(BA440&lt;=1500,"1300～1500",IF(BA440=1600,"1600",IF(BA440&lt;=1800,"1700～1800",IF(BA440&lt;=2000,"1900～2000","2100以上"))))))</f>
        <v>1600</v>
      </c>
      <c r="BS440" s="8" t="str">
        <f aca="false">IF(A440="","",IF(AX440="G1","G1",IF(AX440="G2","G2",IF(AX440="G3","G3",IF(AX440="L","L","その他")))))</f>
        <v>その他</v>
      </c>
      <c r="BT440" s="8" t="str">
        <f aca="false">IF(A440="","",IF(BI440="","未結合",IF(D440=BI440,"一致","不一致")))</f>
        <v>一致</v>
      </c>
      <c r="BU440" s="8" t="str">
        <f aca="false">IF(A440="","",IF(BE440="牝馬限定","牝馬限定","その他"))</f>
        <v>その他</v>
      </c>
    </row>
    <row r="441" customFormat="false" ht="15.75" hidden="false" customHeight="false" outlineLevel="0" collapsed="false">
      <c r="A441" s="6" t="n">
        <v>46180</v>
      </c>
      <c r="B441" s="4" t="s">
        <v>4473</v>
      </c>
      <c r="C441" s="8" t="n">
        <v>4</v>
      </c>
      <c r="D441" s="8" t="n">
        <v>18</v>
      </c>
      <c r="E441" s="8" t="n">
        <v>16</v>
      </c>
      <c r="F441" s="4" t="s">
        <v>4702</v>
      </c>
      <c r="G441" s="8" t="n">
        <v>58</v>
      </c>
      <c r="H441" s="8" t="n">
        <v>12</v>
      </c>
      <c r="I441" s="4" t="s">
        <v>4699</v>
      </c>
      <c r="J441" s="8" t="n">
        <v>47</v>
      </c>
      <c r="K441" s="8" t="n">
        <v>15</v>
      </c>
      <c r="L441" s="4" t="s">
        <v>4428</v>
      </c>
      <c r="M441" s="8" t="n">
        <v>37</v>
      </c>
      <c r="N441" s="8" t="n">
        <f aca="false">IF(A441="","",G441-J441)</f>
        <v>11</v>
      </c>
      <c r="O441" s="8" t="n">
        <f aca="false">IF(A441="","",J441-M441)</f>
        <v>10</v>
      </c>
      <c r="P441" s="8" t="n">
        <f aca="false">IF(A441="","",G441+J441)</f>
        <v>105</v>
      </c>
      <c r="Q441" s="8" t="str">
        <f aca="false">IF(A441="","",IF(AND(Y441&lt;&gt;"参考",G441&gt;=ルール設定!$B$2),"○",""))</f>
        <v/>
      </c>
      <c r="R441" s="8" t="str">
        <f aca="false">IF(A441="","",IF(AND(Y441&lt;&gt;"参考",G441&gt;=ルール設定!$B$3,N441&gt;=ルール設定!$B$4),"○",""))</f>
        <v/>
      </c>
      <c r="S441" s="8" t="str">
        <f aca="false">IF(A441="","",IF(AND(Y441&lt;&gt;"参考",G441&gt;=ルール設定!$B$5,J441&gt;=ルール設定!$B$6,O441&gt;=ルール設定!$B$7),"○",""))</f>
        <v/>
      </c>
      <c r="T441" s="8" t="n">
        <v>3</v>
      </c>
      <c r="U441" s="8" t="n">
        <v>4</v>
      </c>
      <c r="V441" s="8" t="str">
        <f aca="false">IF(A441="","",IF(AND(ISNUMBER(T441),ISNUMBER(U441)),IF(AND(T441&lt;=3,U441&lt;=3),"○","×"),""))</f>
        <v>×</v>
      </c>
      <c r="W441" s="8" t="n">
        <v>140</v>
      </c>
      <c r="X441" s="8"/>
      <c r="Y441" s="4" t="s">
        <v>7597</v>
      </c>
      <c r="Z441" s="4" t="s">
        <v>4475</v>
      </c>
      <c r="AA441" s="8" t="str">
        <v/>
      </c>
      <c r="AB441" s="8" t="str">
        <v/>
      </c>
      <c r="AC441" s="8" t="str">
        <v/>
      </c>
      <c r="AD441" s="8" t="str">
        <v/>
      </c>
      <c r="AE441" s="8" t="str">
        <v/>
      </c>
      <c r="AF441" s="8" t="str">
        <v/>
      </c>
      <c r="AG441" s="8" t="str">
        <v/>
      </c>
      <c r="AH441" s="8" t="str">
        <v/>
      </c>
      <c r="AI441" s="8" t="n">
        <v>21</v>
      </c>
      <c r="AJ441" s="8" t="str">
        <v>～59</v>
      </c>
      <c r="AK441" s="8" t="str">
        <v>10～19</v>
      </c>
      <c r="AL441" s="8" t="str">
        <v>20～29</v>
      </c>
      <c r="AM441" s="8" t="str">
        <v>100～119</v>
      </c>
      <c r="AN441" s="8" t="str">
        <v>15以上</v>
      </c>
      <c r="AO441" s="8" t="str">
        <f aca="false">IF(A441="","",IF(COUNTIFS(全馬データ!$A$2:$A$50000,A441,全馬データ!$B$2:$B$50000,B441,全馬データ!$C$2:$C$50000,C441,全馬データ!$D$2:$D$50000,E441,全馬データ!$K$2:$K$50000,"&lt;&gt;")=0,"",SUMIFS(全馬データ!$K$2:$K$50000,全馬データ!$A$2:$A$50000,A441,全馬データ!$B$2:$B$50000,B441,全馬データ!$C$2:$C$50000,C441,全馬データ!$D$2:$D$50000,E441)))</f>
        <v/>
      </c>
      <c r="AP441" s="8" t="str">
        <f aca="false">IF(A441="","",IF(AO441="","欠損",IF(AO441&lt;=1.1,"1.0～1.1",IF(AO441&lt;1.3,"1.2",IF(AO441&lt;1.5,"1.3～1.4",IF(AO441&lt;2,"1.5～1.9","2.0以上"))))))</f>
        <v>欠損</v>
      </c>
      <c r="AQ441" s="8" t="str">
        <f aca="false">IF(A441="","",IF(ISNUMBER(SEARCH("2歳",Z441)),"2歳戦",IF(ISNUMBER(SEARCH("3歳未勝利",Z441)),"3歳未勝利",IF(ISNUMBER(SEARCH("未勝利",Z441)),"その他未勝利",IF(ISNUMBER(SEARCH("G1",Z441)),"G1",IF(ISNUMBER(SEARCH("G2",Z441)),"G2",IF(ISNUMBER(SEARCH("G3",Z441)),"G3",IF(ISNUMBER(SEARCH("古馬条件",Z441)),"古馬条件戦",IF(ISNUMBER(SEARCH("重賞",Z441)),"重賞","分類不能")))))))))</f>
        <v>分類不能</v>
      </c>
      <c r="AR441" s="8"/>
      <c r="AS441" s="8" t="s">
        <v>7623</v>
      </c>
      <c r="AT441" s="8" t="s">
        <v>7624</v>
      </c>
      <c r="AU441" s="8" t="s">
        <v>7600</v>
      </c>
      <c r="AV441" s="4" t="s">
        <v>7601</v>
      </c>
      <c r="AW441" s="8"/>
      <c r="AX441" s="8"/>
      <c r="AY441" s="8" t="s">
        <v>7602</v>
      </c>
      <c r="AZ441" s="4" t="s">
        <v>7603</v>
      </c>
      <c r="BA441" s="8" t="n">
        <v>1600</v>
      </c>
      <c r="BB441" s="8" t="s">
        <v>7598</v>
      </c>
      <c r="BC441" s="4" t="s">
        <v>7604</v>
      </c>
      <c r="BD441" s="8" t="s">
        <v>7625</v>
      </c>
      <c r="BE441" s="4" t="s">
        <v>7606</v>
      </c>
      <c r="BF441" s="8" t="s">
        <v>7607</v>
      </c>
      <c r="BG441" s="8" t="s">
        <v>7608</v>
      </c>
      <c r="BH441" s="4" t="s">
        <v>7609</v>
      </c>
      <c r="BI441" s="8" t="n">
        <v>18</v>
      </c>
      <c r="BJ441" s="8" t="s">
        <v>7610</v>
      </c>
      <c r="BK441" s="4" t="s">
        <v>7611</v>
      </c>
      <c r="BL441" s="8" t="s">
        <v>7602</v>
      </c>
      <c r="BM441" s="4" t="s">
        <v>7620</v>
      </c>
      <c r="BN441" s="8" t="s">
        <v>7636</v>
      </c>
      <c r="BO441" s="8" t="s">
        <v>7804</v>
      </c>
      <c r="BP441" s="8" t="s">
        <v>7602</v>
      </c>
      <c r="BQ441" s="8" t="str">
        <f aca="false">IF(A441="","",AT441)</f>
        <v>3歳</v>
      </c>
      <c r="BR441" s="8" t="str">
        <f aca="false">IF(A441="","",IF(BA441&lt;=1200,"～1200",IF(BA441&lt;=1500,"1300～1500",IF(BA441=1600,"1600",IF(BA441&lt;=1800,"1700～1800",IF(BA441&lt;=2000,"1900～2000","2100以上"))))))</f>
        <v>1600</v>
      </c>
      <c r="BS441" s="8" t="str">
        <f aca="false">IF(A441="","",IF(AX441="G1","G1",IF(AX441="G2","G2",IF(AX441="G3","G3",IF(AX441="L","L","その他")))))</f>
        <v>その他</v>
      </c>
      <c r="BT441" s="8" t="str">
        <f aca="false">IF(A441="","",IF(BI441="","未結合",IF(D441=BI441,"一致","不一致")))</f>
        <v>一致</v>
      </c>
      <c r="BU441" s="8" t="str">
        <f aca="false">IF(A441="","",IF(BE441="牝馬限定","牝馬限定","その他"))</f>
        <v>その他</v>
      </c>
    </row>
    <row r="442" customFormat="false" ht="15.75" hidden="false" customHeight="false" outlineLevel="0" collapsed="false">
      <c r="A442" s="6" t="n">
        <v>46180</v>
      </c>
      <c r="B442" s="4" t="s">
        <v>4473</v>
      </c>
      <c r="C442" s="8" t="n">
        <v>5</v>
      </c>
      <c r="D442" s="8" t="n">
        <v>10</v>
      </c>
      <c r="E442" s="8" t="n">
        <v>6</v>
      </c>
      <c r="F442" s="4" t="s">
        <v>4707</v>
      </c>
      <c r="G442" s="8" t="n">
        <v>31</v>
      </c>
      <c r="H442" s="8" t="n">
        <v>8</v>
      </c>
      <c r="I442" s="4" t="s">
        <v>4708</v>
      </c>
      <c r="J442" s="8" t="n">
        <v>31</v>
      </c>
      <c r="K442" s="8" t="n">
        <v>1</v>
      </c>
      <c r="L442" s="4" t="s">
        <v>4704</v>
      </c>
      <c r="M442" s="8" t="n">
        <v>27</v>
      </c>
      <c r="N442" s="8" t="n">
        <f aca="false">IF(A442="","",G442-J442)</f>
        <v>0</v>
      </c>
      <c r="O442" s="8" t="n">
        <f aca="false">IF(A442="","",J442-M442)</f>
        <v>4</v>
      </c>
      <c r="P442" s="8" t="n">
        <f aca="false">IF(A442="","",G442+J442)</f>
        <v>62</v>
      </c>
      <c r="Q442" s="8" t="str">
        <f aca="false">IF(A442="","",IF(AND(Y442&lt;&gt;"参考",G442&gt;=ルール設定!$B$2),"○",""))</f>
        <v/>
      </c>
      <c r="R442" s="8" t="str">
        <f aca="false">IF(A442="","",IF(AND(Y442&lt;&gt;"参考",G442&gt;=ルール設定!$B$3,N442&gt;=ルール設定!$B$4),"○",""))</f>
        <v/>
      </c>
      <c r="S442" s="8" t="str">
        <f aca="false">IF(A442="","",IF(AND(Y442&lt;&gt;"参考",G442&gt;=ルール設定!$B$5,J442&gt;=ルール設定!$B$6,O442&gt;=ルール設定!$B$7),"○",""))</f>
        <v/>
      </c>
      <c r="T442" s="8" t="n">
        <v>4</v>
      </c>
      <c r="U442" s="8" t="n">
        <v>4</v>
      </c>
      <c r="V442" s="8" t="str">
        <f aca="false">IF(A442="","",IF(AND(ISNUMBER(T442),ISNUMBER(U442)),IF(AND(T442&lt;=3,U442&lt;=3),"○","×"),""))</f>
        <v>×</v>
      </c>
      <c r="W442" s="8"/>
      <c r="X442" s="8"/>
      <c r="Y442" s="4" t="s">
        <v>7597</v>
      </c>
      <c r="Z442" s="4" t="s">
        <v>4475</v>
      </c>
      <c r="AA442" s="8" t="str">
        <v/>
      </c>
      <c r="AB442" s="8" t="str">
        <v/>
      </c>
      <c r="AC442" s="8" t="str">
        <v/>
      </c>
      <c r="AD442" s="8" t="str">
        <v/>
      </c>
      <c r="AE442" s="8" t="str">
        <v/>
      </c>
      <c r="AF442" s="8" t="str">
        <v/>
      </c>
      <c r="AG442" s="8" t="str">
        <v/>
      </c>
      <c r="AH442" s="8" t="str">
        <v/>
      </c>
      <c r="AI442" s="8" t="n">
        <v>4</v>
      </c>
      <c r="AJ442" s="8" t="str">
        <v>～59</v>
      </c>
      <c r="AK442" s="8" t="str">
        <v>0～4</v>
      </c>
      <c r="AL442" s="8" t="str">
        <v>0～9</v>
      </c>
      <c r="AM442" s="8" t="str">
        <v>～99</v>
      </c>
      <c r="AN442" s="8" t="str">
        <v>8～11</v>
      </c>
      <c r="AO442" s="8" t="str">
        <f aca="false">IF(A442="","",IF(COUNTIFS(全馬データ!$A$2:$A$50000,A442,全馬データ!$B$2:$B$50000,B442,全馬データ!$C$2:$C$50000,C442,全馬データ!$D$2:$D$50000,E442,全馬データ!$K$2:$K$50000,"&lt;&gt;")=0,"",SUMIFS(全馬データ!$K$2:$K$50000,全馬データ!$A$2:$A$50000,A442,全馬データ!$B$2:$B$50000,B442,全馬データ!$C$2:$C$50000,C442,全馬データ!$D$2:$D$50000,E442)))</f>
        <v/>
      </c>
      <c r="AP442" s="8" t="str">
        <f aca="false">IF(A442="","",IF(AO442="","欠損",IF(AO442&lt;=1.1,"1.0～1.1",IF(AO442&lt;1.3,"1.2",IF(AO442&lt;1.5,"1.3～1.4",IF(AO442&lt;2,"1.5～1.9","2.0以上"))))))</f>
        <v>欠損</v>
      </c>
      <c r="AQ442" s="8" t="str">
        <f aca="false">IF(A442="","",IF(ISNUMBER(SEARCH("2歳",Z442)),"2歳戦",IF(ISNUMBER(SEARCH("3歳未勝利",Z442)),"3歳未勝利",IF(ISNUMBER(SEARCH("未勝利",Z442)),"その他未勝利",IF(ISNUMBER(SEARCH("G1",Z442)),"G1",IF(ISNUMBER(SEARCH("G2",Z442)),"G2",IF(ISNUMBER(SEARCH("G3",Z442)),"G3",IF(ISNUMBER(SEARCH("古馬条件",Z442)),"古馬条件戦",IF(ISNUMBER(SEARCH("重賞",Z442)),"重賞","分類不能")))))))))</f>
        <v>分類不能</v>
      </c>
      <c r="AR442" s="8"/>
      <c r="AS442" s="8" t="s">
        <v>7598</v>
      </c>
      <c r="AT442" s="8" t="s">
        <v>7599</v>
      </c>
      <c r="AU442" s="8" t="s">
        <v>7615</v>
      </c>
      <c r="AV442" s="4" t="s">
        <v>7616</v>
      </c>
      <c r="AW442" s="8"/>
      <c r="AX442" s="8"/>
      <c r="AY442" s="8" t="s">
        <v>7602</v>
      </c>
      <c r="AZ442" s="4" t="s">
        <v>7603</v>
      </c>
      <c r="BA442" s="8" t="n">
        <v>1800</v>
      </c>
      <c r="BB442" s="8" t="s">
        <v>7598</v>
      </c>
      <c r="BC442" s="4" t="s">
        <v>7604</v>
      </c>
      <c r="BD442" s="8" t="s">
        <v>7605</v>
      </c>
      <c r="BE442" s="4" t="s">
        <v>7606</v>
      </c>
      <c r="BF442" s="8" t="s">
        <v>7607</v>
      </c>
      <c r="BG442" s="8" t="s">
        <v>7608</v>
      </c>
      <c r="BH442" s="4" t="s">
        <v>7609</v>
      </c>
      <c r="BI442" s="8" t="n">
        <v>10</v>
      </c>
      <c r="BJ442" s="8" t="s">
        <v>7610</v>
      </c>
      <c r="BK442" s="4" t="s">
        <v>7611</v>
      </c>
      <c r="BL442" s="8" t="s">
        <v>7602</v>
      </c>
      <c r="BM442" s="4" t="s">
        <v>7620</v>
      </c>
      <c r="BN442" s="8" t="s">
        <v>7636</v>
      </c>
      <c r="BO442" s="8" t="s">
        <v>7804</v>
      </c>
      <c r="BP442" s="8" t="s">
        <v>7602</v>
      </c>
      <c r="BQ442" s="8" t="str">
        <f aca="false">IF(A442="","",AT442)</f>
        <v>2歳</v>
      </c>
      <c r="BR442" s="8" t="str">
        <f aca="false">IF(A442="","",IF(BA442&lt;=1200,"～1200",IF(BA442&lt;=1500,"1300～1500",IF(BA442=1600,"1600",IF(BA442&lt;=1800,"1700～1800",IF(BA442&lt;=2000,"1900～2000","2100以上"))))))</f>
        <v>1700～1800</v>
      </c>
      <c r="BS442" s="8" t="str">
        <f aca="false">IF(A442="","",IF(AX442="G1","G1",IF(AX442="G2","G2",IF(AX442="G3","G3",IF(AX442="L","L","その他")))))</f>
        <v>その他</v>
      </c>
      <c r="BT442" s="8" t="str">
        <f aca="false">IF(A442="","",IF(BI442="","未結合",IF(D442=BI442,"一致","不一致")))</f>
        <v>一致</v>
      </c>
      <c r="BU442" s="8" t="str">
        <f aca="false">IF(A442="","",IF(BE442="牝馬限定","牝馬限定","その他"))</f>
        <v>その他</v>
      </c>
    </row>
    <row r="443" customFormat="false" ht="15.75" hidden="false" customHeight="false" outlineLevel="0" collapsed="false">
      <c r="A443" s="6" t="n">
        <v>46180</v>
      </c>
      <c r="B443" s="4" t="s">
        <v>4473</v>
      </c>
      <c r="C443" s="8" t="n">
        <v>6</v>
      </c>
      <c r="D443" s="8" t="n">
        <v>16</v>
      </c>
      <c r="E443" s="8" t="n">
        <v>4</v>
      </c>
      <c r="F443" s="4" t="s">
        <v>3034</v>
      </c>
      <c r="G443" s="8" t="n">
        <v>75</v>
      </c>
      <c r="H443" s="8" t="n">
        <v>8</v>
      </c>
      <c r="I443" s="4" t="s">
        <v>3036</v>
      </c>
      <c r="J443" s="8" t="n">
        <v>41</v>
      </c>
      <c r="K443" s="8" t="n">
        <v>10</v>
      </c>
      <c r="L443" s="4" t="s">
        <v>3781</v>
      </c>
      <c r="M443" s="8" t="n">
        <v>39</v>
      </c>
      <c r="N443" s="8" t="n">
        <f aca="false">IF(A443="","",G443-J443)</f>
        <v>34</v>
      </c>
      <c r="O443" s="8" t="n">
        <f aca="false">IF(A443="","",J443-M443)</f>
        <v>2</v>
      </c>
      <c r="P443" s="8" t="n">
        <f aca="false">IF(A443="","",G443+J443)</f>
        <v>116</v>
      </c>
      <c r="Q443" s="8" t="str">
        <f aca="false">IF(A443="","",IF(AND(Y443&lt;&gt;"参考",G443&gt;=ルール設定!$B$2),"○",""))</f>
        <v/>
      </c>
      <c r="R443" s="8" t="str">
        <f aca="false">IF(A443="","",IF(AND(Y443&lt;&gt;"参考",G443&gt;=ルール設定!$B$3,N443&gt;=ルール設定!$B$4),"○",""))</f>
        <v>○</v>
      </c>
      <c r="S443" s="8" t="str">
        <f aca="false">IF(A443="","",IF(AND(Y443&lt;&gt;"参考",G443&gt;=ルール設定!$B$5,J443&gt;=ルール設定!$B$6,O443&gt;=ルール設定!$B$7),"○",""))</f>
        <v/>
      </c>
      <c r="T443" s="8" t="n">
        <v>3</v>
      </c>
      <c r="U443" s="8" t="n">
        <v>2</v>
      </c>
      <c r="V443" s="8" t="str">
        <f aca="false">IF(A443="","",IF(AND(ISNUMBER(T443),ISNUMBER(U443)),IF(AND(T443&lt;=3,U443&lt;=3),"○","×"),""))</f>
        <v>○</v>
      </c>
      <c r="W443" s="8" t="n">
        <v>110</v>
      </c>
      <c r="X443" s="8" t="n">
        <v>260</v>
      </c>
      <c r="Y443" s="4" t="s">
        <v>7597</v>
      </c>
      <c r="Z443" s="4" t="s">
        <v>4475</v>
      </c>
      <c r="AA443" s="8" t="str">
        <v/>
      </c>
      <c r="AB443" s="8" t="str">
        <v/>
      </c>
      <c r="AC443" s="8" t="str">
        <v/>
      </c>
      <c r="AD443" s="8" t="str">
        <v/>
      </c>
      <c r="AE443" s="8" t="str">
        <v>○</v>
      </c>
      <c r="AF443" s="8" t="str">
        <v/>
      </c>
      <c r="AG443" s="8" t="str">
        <v/>
      </c>
      <c r="AH443" s="8" t="str">
        <v/>
      </c>
      <c r="AI443" s="8" t="n">
        <v>36</v>
      </c>
      <c r="AJ443" s="8" t="str">
        <v>75～79</v>
      </c>
      <c r="AK443" s="8" t="str">
        <v>30以上</v>
      </c>
      <c r="AL443" s="8" t="str">
        <v>30～39</v>
      </c>
      <c r="AM443" s="8" t="str">
        <v>100～119</v>
      </c>
      <c r="AN443" s="8" t="str">
        <v>15以上</v>
      </c>
      <c r="AO443" s="8" t="str">
        <f aca="false">IF(A443="","",IF(COUNTIFS(全馬データ!$A$2:$A$50000,A443,全馬データ!$B$2:$B$50000,B443,全馬データ!$C$2:$C$50000,C443,全馬データ!$D$2:$D$50000,E443,全馬データ!$K$2:$K$50000,"&lt;&gt;")=0,"",SUMIFS(全馬データ!$K$2:$K$50000,全馬データ!$A$2:$A$50000,A443,全馬データ!$B$2:$B$50000,B443,全馬データ!$C$2:$C$50000,C443,全馬データ!$D$2:$D$50000,E443)))</f>
        <v/>
      </c>
      <c r="AP443" s="8" t="str">
        <f aca="false">IF(A443="","",IF(AO443="","欠損",IF(AO443&lt;=1.1,"1.0～1.1",IF(AO443&lt;1.3,"1.2",IF(AO443&lt;1.5,"1.3～1.4",IF(AO443&lt;2,"1.5～1.9","2.0以上"))))))</f>
        <v>欠損</v>
      </c>
      <c r="AQ443" s="8" t="str">
        <f aca="false">IF(A443="","",IF(ISNUMBER(SEARCH("2歳",Z443)),"2歳戦",IF(ISNUMBER(SEARCH("3歳未勝利",Z443)),"3歳未勝利",IF(ISNUMBER(SEARCH("未勝利",Z443)),"その他未勝利",IF(ISNUMBER(SEARCH("G1",Z443)),"G1",IF(ISNUMBER(SEARCH("G2",Z443)),"G2",IF(ISNUMBER(SEARCH("G3",Z443)),"G3",IF(ISNUMBER(SEARCH("古馬条件",Z443)),"古馬条件戦",IF(ISNUMBER(SEARCH("重賞",Z443)),"重賞","分類不能")))))))))</f>
        <v>分類不能</v>
      </c>
      <c r="AR443" s="8"/>
      <c r="AS443" s="8" t="s">
        <v>7623</v>
      </c>
      <c r="AT443" s="8" t="s">
        <v>7624</v>
      </c>
      <c r="AU443" s="8" t="s">
        <v>7600</v>
      </c>
      <c r="AV443" s="4" t="s">
        <v>7601</v>
      </c>
      <c r="AW443" s="8"/>
      <c r="AX443" s="8"/>
      <c r="AY443" s="8" t="s">
        <v>7610</v>
      </c>
      <c r="AZ443" s="4" t="s">
        <v>7617</v>
      </c>
      <c r="BA443" s="8" t="n">
        <v>1300</v>
      </c>
      <c r="BB443" s="8" t="s">
        <v>7598</v>
      </c>
      <c r="BC443" s="4" t="s">
        <v>7604</v>
      </c>
      <c r="BD443" s="8" t="s">
        <v>7605</v>
      </c>
      <c r="BE443" s="4" t="s">
        <v>7606</v>
      </c>
      <c r="BF443" s="8" t="s">
        <v>7607</v>
      </c>
      <c r="BG443" s="8" t="s">
        <v>7608</v>
      </c>
      <c r="BH443" s="4" t="s">
        <v>7609</v>
      </c>
      <c r="BI443" s="8" t="n">
        <v>16</v>
      </c>
      <c r="BJ443" s="8" t="s">
        <v>7610</v>
      </c>
      <c r="BK443" s="4" t="s">
        <v>7611</v>
      </c>
      <c r="BL443" s="8" t="s">
        <v>7602</v>
      </c>
      <c r="BM443" s="4" t="s">
        <v>7620</v>
      </c>
      <c r="BN443" s="8"/>
      <c r="BO443" s="8"/>
      <c r="BP443" s="8" t="s">
        <v>7602</v>
      </c>
      <c r="BQ443" s="8" t="str">
        <f aca="false">IF(A443="","",AT443)</f>
        <v>3歳</v>
      </c>
      <c r="BR443" s="8" t="str">
        <f aca="false">IF(A443="","",IF(BA443&lt;=1200,"～1200",IF(BA443&lt;=1500,"1300～1500",IF(BA443=1600,"1600",IF(BA443&lt;=1800,"1700～1800",IF(BA443&lt;=2000,"1900～2000","2100以上"))))))</f>
        <v>1300～1500</v>
      </c>
      <c r="BS443" s="8" t="str">
        <f aca="false">IF(A443="","",IF(AX443="G1","G1",IF(AX443="G2","G2",IF(AX443="G3","G3",IF(AX443="L","L","その他")))))</f>
        <v>その他</v>
      </c>
      <c r="BT443" s="8" t="str">
        <f aca="false">IF(A443="","",IF(BI443="","未結合",IF(D443=BI443,"一致","不一致")))</f>
        <v>一致</v>
      </c>
      <c r="BU443" s="8" t="str">
        <f aca="false">IF(A443="","",IF(BE443="牝馬限定","牝馬限定","その他"))</f>
        <v>その他</v>
      </c>
    </row>
    <row r="444" customFormat="false" ht="15.75" hidden="false" customHeight="false" outlineLevel="0" collapsed="false">
      <c r="A444" s="6" t="n">
        <v>46180</v>
      </c>
      <c r="B444" s="4" t="s">
        <v>4473</v>
      </c>
      <c r="C444" s="8" t="n">
        <v>7</v>
      </c>
      <c r="D444" s="8" t="n">
        <v>16</v>
      </c>
      <c r="E444" s="8" t="n">
        <v>9</v>
      </c>
      <c r="F444" s="4" t="s">
        <v>4722</v>
      </c>
      <c r="G444" s="8" t="n">
        <v>67</v>
      </c>
      <c r="H444" s="8" t="n">
        <v>16</v>
      </c>
      <c r="I444" s="4" t="s">
        <v>3775</v>
      </c>
      <c r="J444" s="8" t="n">
        <v>41</v>
      </c>
      <c r="K444" s="8" t="n">
        <v>14</v>
      </c>
      <c r="L444" s="4" t="s">
        <v>4725</v>
      </c>
      <c r="M444" s="8" t="n">
        <v>34</v>
      </c>
      <c r="N444" s="8" t="n">
        <f aca="false">IF(A444="","",G444-J444)</f>
        <v>26</v>
      </c>
      <c r="O444" s="8" t="n">
        <f aca="false">IF(A444="","",J444-M444)</f>
        <v>7</v>
      </c>
      <c r="P444" s="8" t="n">
        <f aca="false">IF(A444="","",G444+J444)</f>
        <v>108</v>
      </c>
      <c r="Q444" s="8" t="str">
        <f aca="false">IF(A444="","",IF(AND(Y444&lt;&gt;"参考",G444&gt;=ルール設定!$B$2),"○",""))</f>
        <v/>
      </c>
      <c r="R444" s="8" t="str">
        <f aca="false">IF(A444="","",IF(AND(Y444&lt;&gt;"参考",G444&gt;=ルール設定!$B$3,N444&gt;=ルール設定!$B$4),"○",""))</f>
        <v/>
      </c>
      <c r="S444" s="8" t="str">
        <f aca="false">IF(A444="","",IF(AND(Y444&lt;&gt;"参考",G444&gt;=ルール設定!$B$5,J444&gt;=ルール設定!$B$6,O444&gt;=ルール設定!$B$7),"○",""))</f>
        <v/>
      </c>
      <c r="T444" s="8" t="n">
        <v>1</v>
      </c>
      <c r="U444" s="8" t="n">
        <v>4</v>
      </c>
      <c r="V444" s="8" t="str">
        <f aca="false">IF(A444="","",IF(AND(ISNUMBER(T444),ISNUMBER(U444)),IF(AND(T444&lt;=3,U444&lt;=3),"○","×"),""))</f>
        <v>×</v>
      </c>
      <c r="W444" s="8" t="n">
        <v>130</v>
      </c>
      <c r="X444" s="8"/>
      <c r="Y444" s="4" t="s">
        <v>7597</v>
      </c>
      <c r="Z444" s="4" t="s">
        <v>4475</v>
      </c>
      <c r="AA444" s="8" t="str">
        <v/>
      </c>
      <c r="AB444" s="8" t="str">
        <v/>
      </c>
      <c r="AC444" s="8" t="str">
        <v/>
      </c>
      <c r="AD444" s="8" t="str">
        <v/>
      </c>
      <c r="AE444" s="8" t="str">
        <v/>
      </c>
      <c r="AF444" s="8" t="str">
        <v/>
      </c>
      <c r="AG444" s="8" t="str">
        <v/>
      </c>
      <c r="AH444" s="8" t="str">
        <v/>
      </c>
      <c r="AI444" s="8" t="n">
        <v>33</v>
      </c>
      <c r="AJ444" s="8" t="str">
        <v>60～69</v>
      </c>
      <c r="AK444" s="8" t="str">
        <v>20～29</v>
      </c>
      <c r="AL444" s="8" t="str">
        <v>30～39</v>
      </c>
      <c r="AM444" s="8" t="str">
        <v>100～119</v>
      </c>
      <c r="AN444" s="8" t="str">
        <v>15以上</v>
      </c>
      <c r="AO444" s="8" t="str">
        <f aca="false">IF(A444="","",IF(COUNTIFS(全馬データ!$A$2:$A$50000,A444,全馬データ!$B$2:$B$50000,B444,全馬データ!$C$2:$C$50000,C444,全馬データ!$D$2:$D$50000,E444,全馬データ!$K$2:$K$50000,"&lt;&gt;")=0,"",SUMIFS(全馬データ!$K$2:$K$50000,全馬データ!$A$2:$A$50000,A444,全馬データ!$B$2:$B$50000,B444,全馬データ!$C$2:$C$50000,C444,全馬データ!$D$2:$D$50000,E444)))</f>
        <v/>
      </c>
      <c r="AP444" s="8" t="str">
        <f aca="false">IF(A444="","",IF(AO444="","欠損",IF(AO444&lt;=1.1,"1.0～1.1",IF(AO444&lt;1.3,"1.2",IF(AO444&lt;1.5,"1.3～1.4",IF(AO444&lt;2,"1.5～1.9","2.0以上"))))))</f>
        <v>欠損</v>
      </c>
      <c r="AQ444" s="8" t="str">
        <f aca="false">IF(A444="","",IF(ISNUMBER(SEARCH("2歳",Z444)),"2歳戦",IF(ISNUMBER(SEARCH("3歳未勝利",Z444)),"3歳未勝利",IF(ISNUMBER(SEARCH("未勝利",Z444)),"その他未勝利",IF(ISNUMBER(SEARCH("G1",Z444)),"G1",IF(ISNUMBER(SEARCH("G2",Z444)),"G2",IF(ISNUMBER(SEARCH("G3",Z444)),"G3",IF(ISNUMBER(SEARCH("古馬条件",Z444)),"古馬条件戦",IF(ISNUMBER(SEARCH("重賞",Z444)),"重賞","分類不能")))))))))</f>
        <v>分類不能</v>
      </c>
      <c r="AR444" s="8"/>
      <c r="AS444" s="8" t="s">
        <v>7626</v>
      </c>
      <c r="AT444" s="8" t="s">
        <v>7627</v>
      </c>
      <c r="AU444" s="8" t="s">
        <v>7628</v>
      </c>
      <c r="AV444" s="8" t="s">
        <v>7629</v>
      </c>
      <c r="AW444" s="8"/>
      <c r="AX444" s="8"/>
      <c r="AY444" s="8" t="s">
        <v>7610</v>
      </c>
      <c r="AZ444" s="4" t="s">
        <v>7617</v>
      </c>
      <c r="BA444" s="8" t="n">
        <v>1400</v>
      </c>
      <c r="BB444" s="8" t="s">
        <v>7598</v>
      </c>
      <c r="BC444" s="4" t="s">
        <v>7604</v>
      </c>
      <c r="BD444" s="8" t="s">
        <v>7625</v>
      </c>
      <c r="BE444" s="4" t="s">
        <v>7606</v>
      </c>
      <c r="BF444" s="8" t="s">
        <v>7607</v>
      </c>
      <c r="BG444" s="8" t="s">
        <v>7631</v>
      </c>
      <c r="BH444" s="4" t="s">
        <v>7632</v>
      </c>
      <c r="BI444" s="8" t="n">
        <v>16</v>
      </c>
      <c r="BJ444" s="8" t="s">
        <v>7610</v>
      </c>
      <c r="BK444" s="4" t="s">
        <v>7611</v>
      </c>
      <c r="BL444" s="8" t="s">
        <v>7602</v>
      </c>
      <c r="BM444" s="4" t="s">
        <v>7620</v>
      </c>
      <c r="BN444" s="8"/>
      <c r="BO444" s="8"/>
      <c r="BP444" s="8" t="s">
        <v>7602</v>
      </c>
      <c r="BQ444" s="8" t="str">
        <f aca="false">IF(A444="","",AT444)</f>
        <v>3歳以上</v>
      </c>
      <c r="BR444" s="8" t="str">
        <f aca="false">IF(A444="","",IF(BA444&lt;=1200,"～1200",IF(BA444&lt;=1500,"1300～1500",IF(BA444=1600,"1600",IF(BA444&lt;=1800,"1700～1800",IF(BA444&lt;=2000,"1900～2000","2100以上"))))))</f>
        <v>1300～1500</v>
      </c>
      <c r="BS444" s="8" t="str">
        <f aca="false">IF(A444="","",IF(AX444="G1","G1",IF(AX444="G2","G2",IF(AX444="G3","G3",IF(AX444="L","L","その他")))))</f>
        <v>その他</v>
      </c>
      <c r="BT444" s="8" t="str">
        <f aca="false">IF(A444="","",IF(BI444="","未結合",IF(D444=BI444,"一致","不一致")))</f>
        <v>一致</v>
      </c>
      <c r="BU444" s="8" t="str">
        <f aca="false">IF(A444="","",IF(BE444="牝馬限定","牝馬限定","その他"))</f>
        <v>その他</v>
      </c>
    </row>
    <row r="445" customFormat="false" ht="15.75" hidden="false" customHeight="false" outlineLevel="0" collapsed="false">
      <c r="A445" s="6" t="n">
        <v>46180</v>
      </c>
      <c r="B445" s="4" t="s">
        <v>4473</v>
      </c>
      <c r="C445" s="8" t="n">
        <v>8</v>
      </c>
      <c r="D445" s="8" t="n">
        <v>17</v>
      </c>
      <c r="E445" s="8" t="n">
        <v>8</v>
      </c>
      <c r="F445" s="4" t="s">
        <v>176</v>
      </c>
      <c r="G445" s="8" t="n">
        <v>44</v>
      </c>
      <c r="H445" s="8" t="n">
        <v>3</v>
      </c>
      <c r="I445" s="4" t="s">
        <v>4729</v>
      </c>
      <c r="J445" s="8" t="n">
        <v>39</v>
      </c>
      <c r="K445" s="8" t="n">
        <v>16</v>
      </c>
      <c r="L445" s="4" t="s">
        <v>83</v>
      </c>
      <c r="M445" s="8" t="n">
        <v>37</v>
      </c>
      <c r="N445" s="8" t="n">
        <f aca="false">IF(A445="","",G445-J445)</f>
        <v>5</v>
      </c>
      <c r="O445" s="8" t="n">
        <f aca="false">IF(A445="","",J445-M445)</f>
        <v>2</v>
      </c>
      <c r="P445" s="8" t="n">
        <f aca="false">IF(A445="","",G445+J445)</f>
        <v>83</v>
      </c>
      <c r="Q445" s="8" t="str">
        <f aca="false">IF(A445="","",IF(AND(Y445&lt;&gt;"参考",G445&gt;=ルール設定!$B$2),"○",""))</f>
        <v/>
      </c>
      <c r="R445" s="8" t="str">
        <f aca="false">IF(A445="","",IF(AND(Y445&lt;&gt;"参考",G445&gt;=ルール設定!$B$3,N445&gt;=ルール設定!$B$4),"○",""))</f>
        <v/>
      </c>
      <c r="S445" s="8" t="str">
        <f aca="false">IF(A445="","",IF(AND(Y445&lt;&gt;"参考",G445&gt;=ルール設定!$B$5,J445&gt;=ルール設定!$B$6,O445&gt;=ルール設定!$B$7),"○",""))</f>
        <v/>
      </c>
      <c r="T445" s="8" t="n">
        <v>3</v>
      </c>
      <c r="U445" s="8" t="n">
        <v>2</v>
      </c>
      <c r="V445" s="8" t="str">
        <f aca="false">IF(A445="","",IF(AND(ISNUMBER(T445),ISNUMBER(U445)),IF(AND(T445&lt;=3,U445&lt;=3),"○","×"),""))</f>
        <v>○</v>
      </c>
      <c r="W445" s="8" t="n">
        <v>160</v>
      </c>
      <c r="X445" s="8" t="n">
        <v>800</v>
      </c>
      <c r="Y445" s="4" t="s">
        <v>7597</v>
      </c>
      <c r="Z445" s="4" t="s">
        <v>4475</v>
      </c>
      <c r="AA445" s="8" t="str">
        <v/>
      </c>
      <c r="AB445" s="8" t="str">
        <v/>
      </c>
      <c r="AC445" s="8" t="str">
        <v/>
      </c>
      <c r="AD445" s="8" t="str">
        <v/>
      </c>
      <c r="AE445" s="8" t="str">
        <v/>
      </c>
      <c r="AF445" s="8" t="str">
        <v/>
      </c>
      <c r="AG445" s="8" t="str">
        <v/>
      </c>
      <c r="AH445" s="8" t="str">
        <v/>
      </c>
      <c r="AI445" s="8" t="n">
        <v>7</v>
      </c>
      <c r="AJ445" s="8" t="str">
        <v>～59</v>
      </c>
      <c r="AK445" s="8" t="str">
        <v>5～9</v>
      </c>
      <c r="AL445" s="8" t="str">
        <v>0～9</v>
      </c>
      <c r="AM445" s="8" t="str">
        <v>～99</v>
      </c>
      <c r="AN445" s="8" t="str">
        <v>15以上</v>
      </c>
      <c r="AO445" s="8" t="str">
        <f aca="false">IF(A445="","",IF(COUNTIFS(全馬データ!$A$2:$A$50000,A445,全馬データ!$B$2:$B$50000,B445,全馬データ!$C$2:$C$50000,C445,全馬データ!$D$2:$D$50000,E445,全馬データ!$K$2:$K$50000,"&lt;&gt;")=0,"",SUMIFS(全馬データ!$K$2:$K$50000,全馬データ!$A$2:$A$50000,A445,全馬データ!$B$2:$B$50000,B445,全馬データ!$C$2:$C$50000,C445,全馬データ!$D$2:$D$50000,E445)))</f>
        <v/>
      </c>
      <c r="AP445" s="8" t="str">
        <f aca="false">IF(A445="","",IF(AO445="","欠損",IF(AO445&lt;=1.1,"1.0～1.1",IF(AO445&lt;1.3,"1.2",IF(AO445&lt;1.5,"1.3～1.4",IF(AO445&lt;2,"1.5～1.9","2.0以上"))))))</f>
        <v>欠損</v>
      </c>
      <c r="AQ445" s="8" t="str">
        <f aca="false">IF(A445="","",IF(ISNUMBER(SEARCH("2歳",Z445)),"2歳戦",IF(ISNUMBER(SEARCH("3歳未勝利",Z445)),"3歳未勝利",IF(ISNUMBER(SEARCH("未勝利",Z445)),"その他未勝利",IF(ISNUMBER(SEARCH("G1",Z445)),"G1",IF(ISNUMBER(SEARCH("G2",Z445)),"G2",IF(ISNUMBER(SEARCH("G3",Z445)),"G3",IF(ISNUMBER(SEARCH("古馬条件",Z445)),"古馬条件戦",IF(ISNUMBER(SEARCH("重賞",Z445)),"重賞","分類不能")))))))))</f>
        <v>分類不能</v>
      </c>
      <c r="AR445" s="8"/>
      <c r="AS445" s="8" t="s">
        <v>7626</v>
      </c>
      <c r="AT445" s="8" t="s">
        <v>7627</v>
      </c>
      <c r="AU445" s="8" t="s">
        <v>7628</v>
      </c>
      <c r="AV445" s="8" t="s">
        <v>7629</v>
      </c>
      <c r="AW445" s="8"/>
      <c r="AX445" s="8"/>
      <c r="AY445" s="8" t="s">
        <v>7602</v>
      </c>
      <c r="AZ445" s="4" t="s">
        <v>7603</v>
      </c>
      <c r="BA445" s="8" t="n">
        <v>1600</v>
      </c>
      <c r="BB445" s="8" t="s">
        <v>7598</v>
      </c>
      <c r="BC445" s="4" t="s">
        <v>7604</v>
      </c>
      <c r="BD445" s="8" t="s">
        <v>7630</v>
      </c>
      <c r="BE445" s="4" t="s">
        <v>7606</v>
      </c>
      <c r="BF445" s="8" t="s">
        <v>7607</v>
      </c>
      <c r="BG445" s="8" t="s">
        <v>7631</v>
      </c>
      <c r="BH445" s="4" t="s">
        <v>7632</v>
      </c>
      <c r="BI445" s="8" t="n">
        <v>17</v>
      </c>
      <c r="BJ445" s="8" t="s">
        <v>7610</v>
      </c>
      <c r="BK445" s="4" t="s">
        <v>7611</v>
      </c>
      <c r="BL445" s="8" t="s">
        <v>7602</v>
      </c>
      <c r="BM445" s="4" t="s">
        <v>7620</v>
      </c>
      <c r="BN445" s="8" t="s">
        <v>7636</v>
      </c>
      <c r="BO445" s="8" t="s">
        <v>7804</v>
      </c>
      <c r="BP445" s="8" t="s">
        <v>7602</v>
      </c>
      <c r="BQ445" s="8" t="str">
        <f aca="false">IF(A445="","",AT445)</f>
        <v>3歳以上</v>
      </c>
      <c r="BR445" s="8" t="str">
        <f aca="false">IF(A445="","",IF(BA445&lt;=1200,"～1200",IF(BA445&lt;=1500,"1300～1500",IF(BA445=1600,"1600",IF(BA445&lt;=1800,"1700～1800",IF(BA445&lt;=2000,"1900～2000","2100以上"))))))</f>
        <v>1600</v>
      </c>
      <c r="BS445" s="8" t="str">
        <f aca="false">IF(A445="","",IF(AX445="G1","G1",IF(AX445="G2","G2",IF(AX445="G3","G3",IF(AX445="L","L","その他")))))</f>
        <v>その他</v>
      </c>
      <c r="BT445" s="8" t="str">
        <f aca="false">IF(A445="","",IF(BI445="","未結合",IF(D445=BI445,"一致","不一致")))</f>
        <v>一致</v>
      </c>
      <c r="BU445" s="8" t="str">
        <f aca="false">IF(A445="","",IF(BE445="牝馬限定","牝馬限定","その他"))</f>
        <v>その他</v>
      </c>
    </row>
    <row r="446" customFormat="false" ht="15.75" hidden="false" customHeight="false" outlineLevel="0" collapsed="false">
      <c r="A446" s="6" t="n">
        <v>46180</v>
      </c>
      <c r="B446" s="4" t="s">
        <v>4473</v>
      </c>
      <c r="C446" s="8" t="n">
        <v>9</v>
      </c>
      <c r="D446" s="8" t="n">
        <v>8</v>
      </c>
      <c r="E446" s="8" t="n">
        <v>7</v>
      </c>
      <c r="F446" s="4" t="s">
        <v>4742</v>
      </c>
      <c r="G446" s="8" t="n">
        <v>52</v>
      </c>
      <c r="H446" s="8" t="n">
        <v>1</v>
      </c>
      <c r="I446" s="4" t="s">
        <v>3753</v>
      </c>
      <c r="J446" s="8" t="n">
        <v>50</v>
      </c>
      <c r="K446" s="8" t="n">
        <v>6</v>
      </c>
      <c r="L446" s="4" t="s">
        <v>4741</v>
      </c>
      <c r="M446" s="8" t="n">
        <v>50</v>
      </c>
      <c r="N446" s="8" t="n">
        <f aca="false">IF(A446="","",G446-J446)</f>
        <v>2</v>
      </c>
      <c r="O446" s="8" t="n">
        <f aca="false">IF(A446="","",J446-M446)</f>
        <v>0</v>
      </c>
      <c r="P446" s="8" t="n">
        <f aca="false">IF(A446="","",G446+J446)</f>
        <v>102</v>
      </c>
      <c r="Q446" s="8" t="str">
        <f aca="false">IF(A446="","",IF(AND(Y446&lt;&gt;"参考",G446&gt;=ルール設定!$B$2),"○",""))</f>
        <v/>
      </c>
      <c r="R446" s="8" t="str">
        <f aca="false">IF(A446="","",IF(AND(Y446&lt;&gt;"参考",G446&gt;=ルール設定!$B$3,N446&gt;=ルール設定!$B$4),"○",""))</f>
        <v/>
      </c>
      <c r="S446" s="8" t="str">
        <f aca="false">IF(A446="","",IF(AND(Y446&lt;&gt;"参考",G446&gt;=ルール設定!$B$5,J446&gt;=ルール設定!$B$6,O446&gt;=ルール設定!$B$7),"○",""))</f>
        <v/>
      </c>
      <c r="T446" s="8" t="n">
        <v>4</v>
      </c>
      <c r="U446" s="8" t="n">
        <v>2</v>
      </c>
      <c r="V446" s="8" t="str">
        <f aca="false">IF(A446="","",IF(AND(ISNUMBER(T446),ISNUMBER(U446)),IF(AND(T446&lt;=3,U446&lt;=3),"○","×"),""))</f>
        <v>×</v>
      </c>
      <c r="W446" s="8"/>
      <c r="X446" s="8"/>
      <c r="Y446" s="4" t="s">
        <v>7597</v>
      </c>
      <c r="Z446" s="4" t="s">
        <v>4475</v>
      </c>
      <c r="AA446" s="8" t="str">
        <v/>
      </c>
      <c r="AB446" s="8" t="str">
        <v/>
      </c>
      <c r="AC446" s="8" t="str">
        <v/>
      </c>
      <c r="AD446" s="8" t="str">
        <v/>
      </c>
      <c r="AE446" s="8" t="str">
        <v/>
      </c>
      <c r="AF446" s="8" t="str">
        <v/>
      </c>
      <c r="AG446" s="8" t="str">
        <v/>
      </c>
      <c r="AH446" s="8" t="str">
        <v/>
      </c>
      <c r="AI446" s="8" t="n">
        <v>2</v>
      </c>
      <c r="AJ446" s="8" t="str">
        <v>～59</v>
      </c>
      <c r="AK446" s="8" t="str">
        <v>0～4</v>
      </c>
      <c r="AL446" s="8" t="str">
        <v>0～9</v>
      </c>
      <c r="AM446" s="8" t="str">
        <v>100～119</v>
      </c>
      <c r="AN446" s="8" t="str">
        <v>8～11</v>
      </c>
      <c r="AO446" s="8" t="str">
        <f aca="false">IF(A446="","",IF(COUNTIFS(全馬データ!$A$2:$A$50000,A446,全馬データ!$B$2:$B$50000,B446,全馬データ!$C$2:$C$50000,C446,全馬データ!$D$2:$D$50000,E446,全馬データ!$K$2:$K$50000,"&lt;&gt;")=0,"",SUMIFS(全馬データ!$K$2:$K$50000,全馬データ!$A$2:$A$50000,A446,全馬データ!$B$2:$B$50000,B446,全馬データ!$C$2:$C$50000,C446,全馬データ!$D$2:$D$50000,E446)))</f>
        <v/>
      </c>
      <c r="AP446" s="8" t="str">
        <f aca="false">IF(A446="","",IF(AO446="","欠損",IF(AO446&lt;=1.1,"1.0～1.1",IF(AO446&lt;1.3,"1.2",IF(AO446&lt;1.5,"1.3～1.4",IF(AO446&lt;2,"1.5～1.9","2.0以上"))))))</f>
        <v>欠損</v>
      </c>
      <c r="AQ446" s="8" t="str">
        <f aca="false">IF(A446="","",IF(ISNUMBER(SEARCH("2歳",Z446)),"2歳戦",IF(ISNUMBER(SEARCH("3歳未勝利",Z446)),"3歳未勝利",IF(ISNUMBER(SEARCH("未勝利",Z446)),"その他未勝利",IF(ISNUMBER(SEARCH("G1",Z446)),"G1",IF(ISNUMBER(SEARCH("G2",Z446)),"G2",IF(ISNUMBER(SEARCH("G3",Z446)),"G3",IF(ISNUMBER(SEARCH("古馬条件",Z446)),"古馬条件戦",IF(ISNUMBER(SEARCH("重賞",Z446)),"重賞","分類不能")))))))))</f>
        <v>分類不能</v>
      </c>
      <c r="AR446" s="4" t="s">
        <v>7811</v>
      </c>
      <c r="AS446" s="8" t="s">
        <v>7626</v>
      </c>
      <c r="AT446" s="8" t="s">
        <v>7627</v>
      </c>
      <c r="AU446" s="8" t="s">
        <v>7634</v>
      </c>
      <c r="AV446" s="8" t="s">
        <v>7635</v>
      </c>
      <c r="AW446" s="8" t="s">
        <v>7636</v>
      </c>
      <c r="AX446" s="4" t="s">
        <v>7637</v>
      </c>
      <c r="AY446" s="8" t="s">
        <v>7602</v>
      </c>
      <c r="AZ446" s="4" t="s">
        <v>7603</v>
      </c>
      <c r="BA446" s="8" t="n">
        <v>2000</v>
      </c>
      <c r="BB446" s="8" t="s">
        <v>7598</v>
      </c>
      <c r="BC446" s="4" t="s">
        <v>7604</v>
      </c>
      <c r="BD446" s="8" t="s">
        <v>7630</v>
      </c>
      <c r="BE446" s="4" t="s">
        <v>7606</v>
      </c>
      <c r="BF446" s="8" t="s">
        <v>7607</v>
      </c>
      <c r="BG446" s="8" t="s">
        <v>7631</v>
      </c>
      <c r="BH446" s="4" t="s">
        <v>7632</v>
      </c>
      <c r="BI446" s="8" t="n">
        <v>8</v>
      </c>
      <c r="BJ446" s="8" t="s">
        <v>7610</v>
      </c>
      <c r="BK446" s="4" t="s">
        <v>7611</v>
      </c>
      <c r="BL446" s="8" t="s">
        <v>7602</v>
      </c>
      <c r="BM446" s="4" t="s">
        <v>7620</v>
      </c>
      <c r="BN446" s="8" t="s">
        <v>7636</v>
      </c>
      <c r="BO446" s="8" t="s">
        <v>7804</v>
      </c>
      <c r="BP446" s="8" t="s">
        <v>7602</v>
      </c>
      <c r="BQ446" s="8" t="str">
        <f aca="false">IF(A446="","",AT446)</f>
        <v>3歳以上</v>
      </c>
      <c r="BR446" s="8" t="str">
        <f aca="false">IF(A446="","",IF(BA446&lt;=1200,"～1200",IF(BA446&lt;=1500,"1300～1500",IF(BA446=1600,"1600",IF(BA446&lt;=1800,"1700～1800",IF(BA446&lt;=2000,"1900～2000","2100以上"))))))</f>
        <v>1900～2000</v>
      </c>
      <c r="BS446" s="8" t="str">
        <f aca="false">IF(A446="","",IF(AX446="G1","G1",IF(AX446="G2","G2",IF(AX446="G3","G3",IF(AX446="L","L","その他")))))</f>
        <v>その他</v>
      </c>
      <c r="BT446" s="8" t="str">
        <f aca="false">IF(A446="","",IF(BI446="","未結合",IF(D446=BI446,"一致","不一致")))</f>
        <v>一致</v>
      </c>
      <c r="BU446" s="8" t="str">
        <f aca="false">IF(A446="","",IF(BE446="牝馬限定","牝馬限定","その他"))</f>
        <v>その他</v>
      </c>
    </row>
    <row r="447" customFormat="false" ht="15.75" hidden="false" customHeight="false" outlineLevel="0" collapsed="false">
      <c r="A447" s="6" t="n">
        <v>46180</v>
      </c>
      <c r="B447" s="4" t="s">
        <v>4473</v>
      </c>
      <c r="C447" s="8" t="n">
        <v>10</v>
      </c>
      <c r="D447" s="8" t="n">
        <v>16</v>
      </c>
      <c r="E447" s="8" t="n">
        <v>6</v>
      </c>
      <c r="F447" s="4" t="s">
        <v>4748</v>
      </c>
      <c r="G447" s="8" t="n">
        <v>65</v>
      </c>
      <c r="H447" s="8" t="n">
        <v>10</v>
      </c>
      <c r="I447" s="4" t="s">
        <v>4752</v>
      </c>
      <c r="J447" s="8" t="n">
        <v>65</v>
      </c>
      <c r="K447" s="8" t="n">
        <v>13</v>
      </c>
      <c r="L447" s="4" t="s">
        <v>4754</v>
      </c>
      <c r="M447" s="8" t="n">
        <v>34</v>
      </c>
      <c r="N447" s="8" t="n">
        <f aca="false">IF(A447="","",G447-J447)</f>
        <v>0</v>
      </c>
      <c r="O447" s="8" t="n">
        <f aca="false">IF(A447="","",J447-M447)</f>
        <v>31</v>
      </c>
      <c r="P447" s="8" t="n">
        <f aca="false">IF(A447="","",G447+J447)</f>
        <v>130</v>
      </c>
      <c r="Q447" s="8" t="str">
        <f aca="false">IF(A447="","",IF(AND(Y447&lt;&gt;"参考",G447&gt;=ルール設定!$B$2),"○",""))</f>
        <v/>
      </c>
      <c r="R447" s="8" t="str">
        <f aca="false">IF(A447="","",IF(AND(Y447&lt;&gt;"参考",G447&gt;=ルール設定!$B$3,N447&gt;=ルール設定!$B$4),"○",""))</f>
        <v/>
      </c>
      <c r="S447" s="8" t="str">
        <f aca="false">IF(A447="","",IF(AND(Y447&lt;&gt;"参考",G447&gt;=ルール設定!$B$5,J447&gt;=ルール設定!$B$6,O447&gt;=ルール設定!$B$7),"○",""))</f>
        <v>○</v>
      </c>
      <c r="T447" s="8" t="n">
        <v>1</v>
      </c>
      <c r="U447" s="8" t="n">
        <v>4</v>
      </c>
      <c r="V447" s="8" t="str">
        <f aca="false">IF(A447="","",IF(AND(ISNUMBER(T447),ISNUMBER(U447)),IF(AND(T447&lt;=3,U447&lt;=3),"○","×"),""))</f>
        <v>×</v>
      </c>
      <c r="W447" s="8" t="n">
        <v>220</v>
      </c>
      <c r="X447" s="8"/>
      <c r="Y447" s="4" t="s">
        <v>7597</v>
      </c>
      <c r="Z447" s="4" t="s">
        <v>4475</v>
      </c>
      <c r="AA447" s="8" t="str">
        <v/>
      </c>
      <c r="AB447" s="8" t="str">
        <v/>
      </c>
      <c r="AC447" s="8" t="str">
        <v/>
      </c>
      <c r="AD447" s="8" t="str">
        <v/>
      </c>
      <c r="AE447" s="8" t="str">
        <v/>
      </c>
      <c r="AF447" s="8" t="str">
        <v/>
      </c>
      <c r="AG447" s="8" t="str">
        <v/>
      </c>
      <c r="AH447" s="8" t="str">
        <v/>
      </c>
      <c r="AI447" s="8" t="n">
        <v>31</v>
      </c>
      <c r="AJ447" s="8" t="str">
        <v>60～69</v>
      </c>
      <c r="AK447" s="8" t="str">
        <v>0～4</v>
      </c>
      <c r="AL447" s="8" t="str">
        <v>30～39</v>
      </c>
      <c r="AM447" s="8" t="str">
        <v>120～139</v>
      </c>
      <c r="AN447" s="8" t="str">
        <v>15以上</v>
      </c>
      <c r="AO447" s="8" t="str">
        <f aca="false">IF(A447="","",IF(COUNTIFS(全馬データ!$A$2:$A$50000,A447,全馬データ!$B$2:$B$50000,B447,全馬データ!$C$2:$C$50000,C447,全馬データ!$D$2:$D$50000,E447,全馬データ!$K$2:$K$50000,"&lt;&gt;")=0,"",SUMIFS(全馬データ!$K$2:$K$50000,全馬データ!$A$2:$A$50000,A447,全馬データ!$B$2:$B$50000,B447,全馬データ!$C$2:$C$50000,C447,全馬データ!$D$2:$D$50000,E447)))</f>
        <v/>
      </c>
      <c r="AP447" s="8" t="str">
        <f aca="false">IF(A447="","",IF(AO447="","欠損",IF(AO447&lt;=1.1,"1.0～1.1",IF(AO447&lt;1.3,"1.2",IF(AO447&lt;1.5,"1.3～1.4",IF(AO447&lt;2,"1.5～1.9","2.0以上"))))))</f>
        <v>欠損</v>
      </c>
      <c r="AQ447" s="8" t="str">
        <f aca="false">IF(A447="","",IF(ISNUMBER(SEARCH("2歳",Z447)),"2歳戦",IF(ISNUMBER(SEARCH("3歳未勝利",Z447)),"3歳未勝利",IF(ISNUMBER(SEARCH("未勝利",Z447)),"その他未勝利",IF(ISNUMBER(SEARCH("G1",Z447)),"G1",IF(ISNUMBER(SEARCH("G2",Z447)),"G2",IF(ISNUMBER(SEARCH("G3",Z447)),"G3",IF(ISNUMBER(SEARCH("古馬条件",Z447)),"古馬条件戦",IF(ISNUMBER(SEARCH("重賞",Z447)),"重賞","分類不能")))))))))</f>
        <v>分類不能</v>
      </c>
      <c r="AR447" s="4" t="s">
        <v>7812</v>
      </c>
      <c r="AS447" s="8" t="s">
        <v>7626</v>
      </c>
      <c r="AT447" s="8" t="s">
        <v>7627</v>
      </c>
      <c r="AU447" s="8" t="s">
        <v>7634</v>
      </c>
      <c r="AV447" s="8" t="s">
        <v>7635</v>
      </c>
      <c r="AW447" s="8" t="s">
        <v>7636</v>
      </c>
      <c r="AX447" s="4" t="s">
        <v>7637</v>
      </c>
      <c r="AY447" s="8" t="s">
        <v>7610</v>
      </c>
      <c r="AZ447" s="4" t="s">
        <v>7617</v>
      </c>
      <c r="BA447" s="8" t="n">
        <v>1400</v>
      </c>
      <c r="BB447" s="8" t="s">
        <v>7598</v>
      </c>
      <c r="BC447" s="4" t="s">
        <v>7604</v>
      </c>
      <c r="BD447" s="8" t="s">
        <v>7625</v>
      </c>
      <c r="BE447" s="4" t="s">
        <v>7606</v>
      </c>
      <c r="BF447" s="8" t="s">
        <v>7607</v>
      </c>
      <c r="BG447" s="8" t="s">
        <v>7631</v>
      </c>
      <c r="BH447" s="4" t="s">
        <v>7632</v>
      </c>
      <c r="BI447" s="8" t="n">
        <v>16</v>
      </c>
      <c r="BJ447" s="8" t="s">
        <v>7610</v>
      </c>
      <c r="BK447" s="4" t="s">
        <v>7611</v>
      </c>
      <c r="BL447" s="8" t="s">
        <v>7602</v>
      </c>
      <c r="BM447" s="4" t="s">
        <v>7620</v>
      </c>
      <c r="BN447" s="8"/>
      <c r="BO447" s="8"/>
      <c r="BP447" s="8" t="s">
        <v>7602</v>
      </c>
      <c r="BQ447" s="8" t="str">
        <f aca="false">IF(A447="","",AT447)</f>
        <v>3歳以上</v>
      </c>
      <c r="BR447" s="8" t="str">
        <f aca="false">IF(A447="","",IF(BA447&lt;=1200,"～1200",IF(BA447&lt;=1500,"1300～1500",IF(BA447=1600,"1600",IF(BA447&lt;=1800,"1700～1800",IF(BA447&lt;=2000,"1900～2000","2100以上"))))))</f>
        <v>1300～1500</v>
      </c>
      <c r="BS447" s="8" t="str">
        <f aca="false">IF(A447="","",IF(AX447="G1","G1",IF(AX447="G2","G2",IF(AX447="G3","G3",IF(AX447="L","L","その他")))))</f>
        <v>その他</v>
      </c>
      <c r="BT447" s="8" t="str">
        <f aca="false">IF(A447="","",IF(BI447="","未結合",IF(D447=BI447,"一致","不一致")))</f>
        <v>一致</v>
      </c>
      <c r="BU447" s="8" t="str">
        <f aca="false">IF(A447="","",IF(BE447="牝馬限定","牝馬限定","その他"))</f>
        <v>その他</v>
      </c>
    </row>
    <row r="448" customFormat="false" ht="15.75" hidden="false" customHeight="false" outlineLevel="0" collapsed="false">
      <c r="A448" s="6" t="n">
        <v>46180</v>
      </c>
      <c r="B448" s="4" t="s">
        <v>4473</v>
      </c>
      <c r="C448" s="8" t="n">
        <v>11</v>
      </c>
      <c r="D448" s="8" t="n">
        <v>17</v>
      </c>
      <c r="E448" s="8" t="n">
        <v>14</v>
      </c>
      <c r="F448" s="4" t="s">
        <v>4768</v>
      </c>
      <c r="G448" s="8" t="n">
        <v>47</v>
      </c>
      <c r="H448" s="8" t="n">
        <v>17</v>
      </c>
      <c r="I448" s="4" t="s">
        <v>4771</v>
      </c>
      <c r="J448" s="8" t="n">
        <v>47</v>
      </c>
      <c r="K448" s="8" t="n">
        <v>16</v>
      </c>
      <c r="L448" s="4" t="s">
        <v>4770</v>
      </c>
      <c r="M448" s="8" t="n">
        <v>44</v>
      </c>
      <c r="N448" s="8" t="n">
        <f aca="false">IF(A448="","",G448-J448)</f>
        <v>0</v>
      </c>
      <c r="O448" s="8" t="n">
        <f aca="false">IF(A448="","",J448-M448)</f>
        <v>3</v>
      </c>
      <c r="P448" s="8" t="n">
        <f aca="false">IF(A448="","",G448+J448)</f>
        <v>94</v>
      </c>
      <c r="Q448" s="8" t="str">
        <f aca="false">IF(A448="","",IF(AND(Y448&lt;&gt;"参考",G448&gt;=ルール設定!$B$2),"○",""))</f>
        <v/>
      </c>
      <c r="R448" s="8" t="str">
        <f aca="false">IF(A448="","",IF(AND(Y448&lt;&gt;"参考",G448&gt;=ルール設定!$B$3,N448&gt;=ルール設定!$B$4),"○",""))</f>
        <v/>
      </c>
      <c r="S448" s="8" t="str">
        <f aca="false">IF(A448="","",IF(AND(Y448&lt;&gt;"参考",G448&gt;=ルール設定!$B$5,J448&gt;=ルール設定!$B$6,O448&gt;=ルール設定!$B$7),"○",""))</f>
        <v/>
      </c>
      <c r="T448" s="8" t="n">
        <v>2</v>
      </c>
      <c r="U448" s="8" t="n">
        <v>4</v>
      </c>
      <c r="V448" s="8" t="str">
        <f aca="false">IF(A448="","",IF(AND(ISNUMBER(T448),ISNUMBER(U448)),IF(AND(T448&lt;=3,U448&lt;=3),"○","×"),""))</f>
        <v>×</v>
      </c>
      <c r="W448" s="8" t="n">
        <v>140</v>
      </c>
      <c r="X448" s="8"/>
      <c r="Y448" s="4" t="s">
        <v>7597</v>
      </c>
      <c r="Z448" s="4" t="s">
        <v>4475</v>
      </c>
      <c r="AA448" s="8" t="str">
        <v/>
      </c>
      <c r="AB448" s="8" t="str">
        <v/>
      </c>
      <c r="AC448" s="8" t="str">
        <v/>
      </c>
      <c r="AD448" s="8" t="str">
        <v/>
      </c>
      <c r="AE448" s="8" t="str">
        <v/>
      </c>
      <c r="AF448" s="8" t="str">
        <v/>
      </c>
      <c r="AG448" s="8" t="str">
        <v/>
      </c>
      <c r="AH448" s="8" t="str">
        <v/>
      </c>
      <c r="AI448" s="8" t="n">
        <v>3</v>
      </c>
      <c r="AJ448" s="8" t="str">
        <v>～59</v>
      </c>
      <c r="AK448" s="8" t="str">
        <v>0～4</v>
      </c>
      <c r="AL448" s="8" t="str">
        <v>0～9</v>
      </c>
      <c r="AM448" s="8" t="str">
        <v>～99</v>
      </c>
      <c r="AN448" s="8" t="str">
        <v>15以上</v>
      </c>
      <c r="AO448" s="8" t="str">
        <f aca="false">IF(A448="","",IF(COUNTIFS(全馬データ!$A$2:$A$50000,A448,全馬データ!$B$2:$B$50000,B448,全馬データ!$C$2:$C$50000,C448,全馬データ!$D$2:$D$50000,E448,全馬データ!$K$2:$K$50000,"&lt;&gt;")=0,"",SUMIFS(全馬データ!$K$2:$K$50000,全馬データ!$A$2:$A$50000,A448,全馬データ!$B$2:$B$50000,B448,全馬データ!$C$2:$C$50000,C448,全馬データ!$D$2:$D$50000,E448)))</f>
        <v/>
      </c>
      <c r="AP448" s="8" t="str">
        <f aca="false">IF(A448="","",IF(AO448="","欠損",IF(AO448&lt;=1.1,"1.0～1.1",IF(AO448&lt;1.3,"1.2",IF(AO448&lt;1.5,"1.3～1.4",IF(AO448&lt;2,"1.5～1.9","2.0以上"))))))</f>
        <v>欠損</v>
      </c>
      <c r="AQ448" s="8" t="str">
        <f aca="false">IF(A448="","",IF(ISNUMBER(SEARCH("2歳",Z448)),"2歳戦",IF(ISNUMBER(SEARCH("3歳未勝利",Z448)),"3歳未勝利",IF(ISNUMBER(SEARCH("未勝利",Z448)),"その他未勝利",IF(ISNUMBER(SEARCH("G1",Z448)),"G1",IF(ISNUMBER(SEARCH("G2",Z448)),"G2",IF(ISNUMBER(SEARCH("G3",Z448)),"G3",IF(ISNUMBER(SEARCH("古馬条件",Z448)),"古馬条件戦",IF(ISNUMBER(SEARCH("重賞",Z448)),"重賞","分類不能")))))))))</f>
        <v>分類不能</v>
      </c>
      <c r="AR448" s="4" t="s">
        <v>7813</v>
      </c>
      <c r="AS448" s="8" t="s">
        <v>7626</v>
      </c>
      <c r="AT448" s="8" t="s">
        <v>7627</v>
      </c>
      <c r="AU448" s="8" t="s">
        <v>7643</v>
      </c>
      <c r="AV448" s="4" t="s">
        <v>7644</v>
      </c>
      <c r="AW448" s="8" t="s">
        <v>7602</v>
      </c>
      <c r="AX448" s="8" t="s">
        <v>7814</v>
      </c>
      <c r="AY448" s="8" t="s">
        <v>7602</v>
      </c>
      <c r="AZ448" s="4" t="s">
        <v>7603</v>
      </c>
      <c r="BA448" s="8" t="n">
        <v>1600</v>
      </c>
      <c r="BB448" s="8" t="s">
        <v>7598</v>
      </c>
      <c r="BC448" s="4" t="s">
        <v>7604</v>
      </c>
      <c r="BD448" s="8" t="s">
        <v>7672</v>
      </c>
      <c r="BE448" s="4" t="s">
        <v>7606</v>
      </c>
      <c r="BF448" s="8" t="s">
        <v>7607</v>
      </c>
      <c r="BG448" s="8" t="s">
        <v>7631</v>
      </c>
      <c r="BH448" s="4" t="s">
        <v>7632</v>
      </c>
      <c r="BI448" s="8" t="n">
        <v>17</v>
      </c>
      <c r="BJ448" s="8" t="s">
        <v>7610</v>
      </c>
      <c r="BK448" s="4" t="s">
        <v>7611</v>
      </c>
      <c r="BL448" s="8" t="s">
        <v>7602</v>
      </c>
      <c r="BM448" s="4" t="s">
        <v>7620</v>
      </c>
      <c r="BN448" s="8" t="s">
        <v>7636</v>
      </c>
      <c r="BO448" s="8" t="s">
        <v>7804</v>
      </c>
      <c r="BP448" s="8" t="s">
        <v>7602</v>
      </c>
      <c r="BQ448" s="8" t="str">
        <f aca="false">IF(A448="","",AT448)</f>
        <v>3歳以上</v>
      </c>
      <c r="BR448" s="8" t="str">
        <f aca="false">IF(A448="","",IF(BA448&lt;=1200,"～1200",IF(BA448&lt;=1500,"1300～1500",IF(BA448=1600,"1600",IF(BA448&lt;=1800,"1700～1800",IF(BA448&lt;=2000,"1900～2000","2100以上"))))))</f>
        <v>1600</v>
      </c>
      <c r="BS448" s="8" t="str">
        <f aca="false">IF(A448="","",IF(AX448="G1","G1",IF(AX448="G2","G2",IF(AX448="G3","G3",IF(AX448="L","L","その他")))))</f>
        <v>G1</v>
      </c>
      <c r="BT448" s="8" t="str">
        <f aca="false">IF(A448="","",IF(BI448="","未結合",IF(D448=BI448,"一致","不一致")))</f>
        <v>一致</v>
      </c>
      <c r="BU448" s="8" t="str">
        <f aca="false">IF(A448="","",IF(BE448="牝馬限定","牝馬限定","その他"))</f>
        <v>その他</v>
      </c>
    </row>
    <row r="449" customFormat="false" ht="15.75" hidden="false" customHeight="false" outlineLevel="0" collapsed="false">
      <c r="A449" s="6" t="n">
        <v>46180</v>
      </c>
      <c r="B449" s="4" t="s">
        <v>4473</v>
      </c>
      <c r="C449" s="8" t="n">
        <v>12</v>
      </c>
      <c r="D449" s="8" t="n">
        <v>16</v>
      </c>
      <c r="E449" s="8" t="n">
        <v>10</v>
      </c>
      <c r="F449" s="4" t="s">
        <v>4779</v>
      </c>
      <c r="G449" s="8" t="n">
        <v>81</v>
      </c>
      <c r="H449" s="8" t="n">
        <v>13</v>
      </c>
      <c r="I449" s="4" t="s">
        <v>462</v>
      </c>
      <c r="J449" s="8" t="n">
        <v>56</v>
      </c>
      <c r="K449" s="8" t="n">
        <v>16</v>
      </c>
      <c r="L449" s="4" t="s">
        <v>4036</v>
      </c>
      <c r="M449" s="8" t="n">
        <v>47</v>
      </c>
      <c r="N449" s="8" t="n">
        <f aca="false">IF(A449="","",G449-J449)</f>
        <v>25</v>
      </c>
      <c r="O449" s="8" t="n">
        <f aca="false">IF(A449="","",J449-M449)</f>
        <v>9</v>
      </c>
      <c r="P449" s="8" t="n">
        <f aca="false">IF(A449="","",G449+J449)</f>
        <v>137</v>
      </c>
      <c r="Q449" s="8" t="str">
        <f aca="false">IF(A449="","",IF(AND(Y449&lt;&gt;"参考",G449&gt;=ルール設定!$B$2),"○",""))</f>
        <v>○</v>
      </c>
      <c r="R449" s="8" t="str">
        <f aca="false">IF(A449="","",IF(AND(Y449&lt;&gt;"参考",G449&gt;=ルール設定!$B$3,N449&gt;=ルール設定!$B$4),"○",""))</f>
        <v/>
      </c>
      <c r="S449" s="8" t="str">
        <f aca="false">IF(A449="","",IF(AND(Y449&lt;&gt;"参考",G449&gt;=ルール設定!$B$5,J449&gt;=ルール設定!$B$6,O449&gt;=ルール設定!$B$7),"○",""))</f>
        <v/>
      </c>
      <c r="T449" s="8" t="n">
        <v>1</v>
      </c>
      <c r="U449" s="8" t="n">
        <v>3</v>
      </c>
      <c r="V449" s="8" t="str">
        <f aca="false">IF(A449="","",IF(AND(ISNUMBER(T449),ISNUMBER(U449)),IF(AND(T449&lt;=3,U449&lt;=3),"○","×"),""))</f>
        <v>○</v>
      </c>
      <c r="W449" s="8" t="n">
        <v>130</v>
      </c>
      <c r="X449" s="8" t="n">
        <v>400</v>
      </c>
      <c r="Y449" s="4" t="s">
        <v>7597</v>
      </c>
      <c r="Z449" s="4" t="s">
        <v>4475</v>
      </c>
      <c r="AA449" s="8" t="str">
        <v/>
      </c>
      <c r="AB449" s="8" t="str">
        <v>○</v>
      </c>
      <c r="AC449" s="8" t="str">
        <v>○</v>
      </c>
      <c r="AD449" s="8" t="str">
        <v/>
      </c>
      <c r="AE449" s="8" t="str">
        <v/>
      </c>
      <c r="AF449" s="8" t="str">
        <v/>
      </c>
      <c r="AG449" s="8" t="str">
        <v>○</v>
      </c>
      <c r="AH449" s="8" t="str">
        <v/>
      </c>
      <c r="AI449" s="8" t="n">
        <v>34</v>
      </c>
      <c r="AJ449" s="8" t="str">
        <v>80～84</v>
      </c>
      <c r="AK449" s="8" t="str">
        <v>20～29</v>
      </c>
      <c r="AL449" s="8" t="str">
        <v>30～39</v>
      </c>
      <c r="AM449" s="8" t="str">
        <v>120～139</v>
      </c>
      <c r="AN449" s="8" t="str">
        <v>15以上</v>
      </c>
      <c r="AO449" s="8" t="str">
        <f aca="false">IF(A449="","",IF(COUNTIFS(全馬データ!$A$2:$A$50000,A449,全馬データ!$B$2:$B$50000,B449,全馬データ!$C$2:$C$50000,C449,全馬データ!$D$2:$D$50000,E449,全馬データ!$K$2:$K$50000,"&lt;&gt;")=0,"",SUMIFS(全馬データ!$K$2:$K$50000,全馬データ!$A$2:$A$50000,A449,全馬データ!$B$2:$B$50000,B449,全馬データ!$C$2:$C$50000,C449,全馬データ!$D$2:$D$50000,E449)))</f>
        <v/>
      </c>
      <c r="AP449" s="8" t="str">
        <f aca="false">IF(A449="","",IF(AO449="","欠損",IF(AO449&lt;=1.1,"1.0～1.1",IF(AO449&lt;1.3,"1.2",IF(AO449&lt;1.5,"1.3～1.4",IF(AO449&lt;2,"1.5～1.9","2.0以上"))))))</f>
        <v>欠損</v>
      </c>
      <c r="AQ449" s="8" t="str">
        <f aca="false">IF(A449="","",IF(ISNUMBER(SEARCH("2歳",Z449)),"2歳戦",IF(ISNUMBER(SEARCH("3歳未勝利",Z449)),"3歳未勝利",IF(ISNUMBER(SEARCH("未勝利",Z449)),"その他未勝利",IF(ISNUMBER(SEARCH("G1",Z449)),"G1",IF(ISNUMBER(SEARCH("G2",Z449)),"G2",IF(ISNUMBER(SEARCH("G3",Z449)),"G3",IF(ISNUMBER(SEARCH("古馬条件",Z449)),"古馬条件戦",IF(ISNUMBER(SEARCH("重賞",Z449)),"重賞","分類不能")))))))))</f>
        <v>分類不能</v>
      </c>
      <c r="AR449" s="4" t="s">
        <v>7815</v>
      </c>
      <c r="AS449" s="8" t="s">
        <v>7626</v>
      </c>
      <c r="AT449" s="8" t="s">
        <v>7627</v>
      </c>
      <c r="AU449" s="8" t="s">
        <v>7634</v>
      </c>
      <c r="AV449" s="8" t="s">
        <v>7635</v>
      </c>
      <c r="AW449" s="8" t="s">
        <v>7636</v>
      </c>
      <c r="AX449" s="4" t="s">
        <v>7637</v>
      </c>
      <c r="AY449" s="8" t="s">
        <v>7610</v>
      </c>
      <c r="AZ449" s="4" t="s">
        <v>7617</v>
      </c>
      <c r="BA449" s="8" t="n">
        <v>1600</v>
      </c>
      <c r="BB449" s="8" t="s">
        <v>7598</v>
      </c>
      <c r="BC449" s="4" t="s">
        <v>7604</v>
      </c>
      <c r="BD449" s="8" t="s">
        <v>7605</v>
      </c>
      <c r="BE449" s="4" t="s">
        <v>7606</v>
      </c>
      <c r="BF449" s="8" t="s">
        <v>7607</v>
      </c>
      <c r="BG449" s="8" t="s">
        <v>7631</v>
      </c>
      <c r="BH449" s="4" t="s">
        <v>7632</v>
      </c>
      <c r="BI449" s="8" t="n">
        <v>16</v>
      </c>
      <c r="BJ449" s="8" t="s">
        <v>7610</v>
      </c>
      <c r="BK449" s="4" t="s">
        <v>7611</v>
      </c>
      <c r="BL449" s="8" t="s">
        <v>7602</v>
      </c>
      <c r="BM449" s="4" t="s">
        <v>7620</v>
      </c>
      <c r="BN449" s="8"/>
      <c r="BO449" s="8"/>
      <c r="BP449" s="8" t="s">
        <v>7602</v>
      </c>
      <c r="BQ449" s="8" t="str">
        <f aca="false">IF(A449="","",AT449)</f>
        <v>3歳以上</v>
      </c>
      <c r="BR449" s="8" t="str">
        <f aca="false">IF(A449="","",IF(BA449&lt;=1200,"～1200",IF(BA449&lt;=1500,"1300～1500",IF(BA449=1600,"1600",IF(BA449&lt;=1800,"1700～1800",IF(BA449&lt;=2000,"1900～2000","2100以上"))))))</f>
        <v>1600</v>
      </c>
      <c r="BS449" s="8" t="str">
        <f aca="false">IF(A449="","",IF(AX449="G1","G1",IF(AX449="G2","G2",IF(AX449="G3","G3",IF(AX449="L","L","その他")))))</f>
        <v>その他</v>
      </c>
      <c r="BT449" s="8" t="str">
        <f aca="false">IF(A449="","",IF(BI449="","未結合",IF(D449=BI449,"一致","不一致")))</f>
        <v>一致</v>
      </c>
      <c r="BU449" s="8" t="str">
        <f aca="false">IF(A449="","",IF(BE449="牝馬限定","牝馬限定","その他"))</f>
        <v>その他</v>
      </c>
    </row>
    <row r="450" customFormat="false" ht="15.75" hidden="false" customHeight="false" outlineLevel="0" collapsed="false">
      <c r="A450" s="6" t="n">
        <v>46180</v>
      </c>
      <c r="B450" s="4" t="s">
        <v>4172</v>
      </c>
      <c r="C450" s="8" t="n">
        <v>1</v>
      </c>
      <c r="D450" s="8" t="n">
        <v>14</v>
      </c>
      <c r="E450" s="8" t="n">
        <v>5</v>
      </c>
      <c r="F450" s="4" t="s">
        <v>4786</v>
      </c>
      <c r="G450" s="8" t="n">
        <v>55</v>
      </c>
      <c r="H450" s="8" t="n">
        <v>10</v>
      </c>
      <c r="I450" s="4" t="s">
        <v>4788</v>
      </c>
      <c r="J450" s="8" t="n">
        <v>55</v>
      </c>
      <c r="K450" s="8" t="n">
        <v>2</v>
      </c>
      <c r="L450" s="4" t="s">
        <v>4784</v>
      </c>
      <c r="M450" s="8" t="n">
        <v>44</v>
      </c>
      <c r="N450" s="8" t="n">
        <f aca="false">IF(A450="","",G450-J450)</f>
        <v>0</v>
      </c>
      <c r="O450" s="8" t="n">
        <f aca="false">IF(A450="","",J450-M450)</f>
        <v>11</v>
      </c>
      <c r="P450" s="8" t="n">
        <f aca="false">IF(A450="","",G450+J450)</f>
        <v>110</v>
      </c>
      <c r="Q450" s="8" t="str">
        <f aca="false">IF(A450="","",IF(AND(Y450&lt;&gt;"参考",G450&gt;=ルール設定!$B$2),"○",""))</f>
        <v/>
      </c>
      <c r="R450" s="8" t="str">
        <f aca="false">IF(A450="","",IF(AND(Y450&lt;&gt;"参考",G450&gt;=ルール設定!$B$3,N450&gt;=ルール設定!$B$4),"○",""))</f>
        <v/>
      </c>
      <c r="S450" s="8" t="str">
        <f aca="false">IF(A450="","",IF(AND(Y450&lt;&gt;"参考",G450&gt;=ルール設定!$B$5,J450&gt;=ルール設定!$B$6,O450&gt;=ルール設定!$B$7),"○",""))</f>
        <v/>
      </c>
      <c r="T450" s="8" t="n">
        <v>1</v>
      </c>
      <c r="U450" s="8" t="n">
        <v>4</v>
      </c>
      <c r="V450" s="8" t="str">
        <f aca="false">IF(A450="","",IF(AND(ISNUMBER(T450),ISNUMBER(U450)),IF(AND(T450&lt;=3,U450&lt;=3),"○","×"),""))</f>
        <v>×</v>
      </c>
      <c r="W450" s="8" t="n">
        <v>190</v>
      </c>
      <c r="X450" s="8"/>
      <c r="Y450" s="4" t="s">
        <v>7597</v>
      </c>
      <c r="Z450" s="4" t="s">
        <v>4475</v>
      </c>
      <c r="AA450" s="8" t="str">
        <v/>
      </c>
      <c r="AB450" s="8" t="str">
        <v/>
      </c>
      <c r="AC450" s="8" t="str">
        <v/>
      </c>
      <c r="AD450" s="8" t="str">
        <v/>
      </c>
      <c r="AE450" s="8" t="str">
        <v/>
      </c>
      <c r="AF450" s="8" t="str">
        <v/>
      </c>
      <c r="AG450" s="8" t="str">
        <v/>
      </c>
      <c r="AH450" s="8" t="str">
        <v/>
      </c>
      <c r="AI450" s="8" t="n">
        <v>11</v>
      </c>
      <c r="AJ450" s="8" t="str">
        <v>～59</v>
      </c>
      <c r="AK450" s="8" t="str">
        <v>0～4</v>
      </c>
      <c r="AL450" s="8" t="str">
        <v>10～19</v>
      </c>
      <c r="AM450" s="8" t="str">
        <v>100～119</v>
      </c>
      <c r="AN450" s="8" t="str">
        <v>12～14</v>
      </c>
      <c r="AO450" s="8" t="str">
        <f aca="false">IF(A450="","",IF(COUNTIFS(全馬データ!$A$2:$A$50000,A450,全馬データ!$B$2:$B$50000,B450,全馬データ!$C$2:$C$50000,C450,全馬データ!$D$2:$D$50000,E450,全馬データ!$K$2:$K$50000,"&lt;&gt;")=0,"",SUMIFS(全馬データ!$K$2:$K$50000,全馬データ!$A$2:$A$50000,A450,全馬データ!$B$2:$B$50000,B450,全馬データ!$C$2:$C$50000,C450,全馬データ!$D$2:$D$50000,E450)))</f>
        <v/>
      </c>
      <c r="AP450" s="8" t="str">
        <f aca="false">IF(A450="","",IF(AO450="","欠損",IF(AO450&lt;=1.1,"1.0～1.1",IF(AO450&lt;1.3,"1.2",IF(AO450&lt;1.5,"1.3～1.4",IF(AO450&lt;2,"1.5～1.9","2.0以上"))))))</f>
        <v>欠損</v>
      </c>
      <c r="AQ450" s="8" t="str">
        <f aca="false">IF(A450="","",IF(ISNUMBER(SEARCH("2歳",Z450)),"2歳戦",IF(ISNUMBER(SEARCH("3歳未勝利",Z450)),"3歳未勝利",IF(ISNUMBER(SEARCH("未勝利",Z450)),"その他未勝利",IF(ISNUMBER(SEARCH("G1",Z450)),"G1",IF(ISNUMBER(SEARCH("G2",Z450)),"G2",IF(ISNUMBER(SEARCH("G3",Z450)),"G3",IF(ISNUMBER(SEARCH("古馬条件",Z450)),"古馬条件戦",IF(ISNUMBER(SEARCH("重賞",Z450)),"重賞","分類不能")))))))))</f>
        <v>分類不能</v>
      </c>
      <c r="AR450" s="8"/>
      <c r="AS450" s="8" t="s">
        <v>7618</v>
      </c>
      <c r="AT450" s="4" t="s">
        <v>7642</v>
      </c>
      <c r="AU450" s="8" t="s">
        <v>7600</v>
      </c>
      <c r="AV450" s="4" t="s">
        <v>7601</v>
      </c>
      <c r="AW450" s="8"/>
      <c r="AX450" s="8"/>
      <c r="AY450" s="8" t="s">
        <v>7608</v>
      </c>
      <c r="AZ450" s="4" t="s">
        <v>7642</v>
      </c>
      <c r="BA450" s="8" t="n">
        <v>2970</v>
      </c>
      <c r="BB450" s="8" t="s">
        <v>7634</v>
      </c>
      <c r="BC450" s="4" t="s">
        <v>7604</v>
      </c>
      <c r="BD450" s="8" t="s">
        <v>7645</v>
      </c>
      <c r="BE450" s="4" t="s">
        <v>7606</v>
      </c>
      <c r="BF450" s="8" t="s">
        <v>7607</v>
      </c>
      <c r="BG450" s="8" t="s">
        <v>7631</v>
      </c>
      <c r="BH450" s="4" t="s">
        <v>7632</v>
      </c>
      <c r="BI450" s="8" t="n">
        <v>14</v>
      </c>
      <c r="BJ450" s="8" t="s">
        <v>7647</v>
      </c>
      <c r="BK450" s="4" t="s">
        <v>7648</v>
      </c>
      <c r="BL450" s="8" t="s">
        <v>7608</v>
      </c>
      <c r="BM450" s="4" t="s">
        <v>7780</v>
      </c>
      <c r="BN450" s="8"/>
      <c r="BO450" s="8"/>
      <c r="BP450" s="8" t="s">
        <v>7610</v>
      </c>
      <c r="BQ450" s="8" t="str">
        <f aca="false">IF(A450="","",AT450)</f>
        <v>障害</v>
      </c>
      <c r="BR450" s="8" t="str">
        <f aca="false">IF(A450="","",IF(BA450&lt;=1200,"～1200",IF(BA450&lt;=1500,"1300～1500",IF(BA450=1600,"1600",IF(BA450&lt;=1800,"1700～1800",IF(BA450&lt;=2000,"1900～2000","2100以上"))))))</f>
        <v>2100以上</v>
      </c>
      <c r="BS450" s="8" t="str">
        <f aca="false">IF(A450="","",IF(AX450="G1","G1",IF(AX450="G2","G2",IF(AX450="G3","G3",IF(AX450="L","L","その他")))))</f>
        <v>その他</v>
      </c>
      <c r="BT450" s="8" t="str">
        <f aca="false">IF(A450="","",IF(BI450="","未結合",IF(D450=BI450,"一致","不一致")))</f>
        <v>一致</v>
      </c>
      <c r="BU450" s="8" t="str">
        <f aca="false">IF(A450="","",IF(BE450="牝馬限定","牝馬限定","その他"))</f>
        <v>その他</v>
      </c>
    </row>
    <row r="451" customFormat="false" ht="15.75" hidden="false" customHeight="false" outlineLevel="0" collapsed="false">
      <c r="A451" s="6" t="n">
        <v>46180</v>
      </c>
      <c r="B451" s="4" t="s">
        <v>4172</v>
      </c>
      <c r="C451" s="8" t="n">
        <v>2</v>
      </c>
      <c r="D451" s="8" t="n">
        <v>15</v>
      </c>
      <c r="E451" s="8" t="n">
        <v>10</v>
      </c>
      <c r="F451" s="4" t="s">
        <v>3470</v>
      </c>
      <c r="G451" s="8" t="n">
        <v>56</v>
      </c>
      <c r="H451" s="8" t="n">
        <v>5</v>
      </c>
      <c r="I451" s="4" t="s">
        <v>4793</v>
      </c>
      <c r="J451" s="8" t="n">
        <v>50</v>
      </c>
      <c r="K451" s="8" t="n">
        <v>9</v>
      </c>
      <c r="L451" s="4" t="s">
        <v>3882</v>
      </c>
      <c r="M451" s="8" t="n">
        <v>37</v>
      </c>
      <c r="N451" s="8" t="n">
        <f aca="false">IF(A451="","",G451-J451)</f>
        <v>6</v>
      </c>
      <c r="O451" s="8" t="n">
        <f aca="false">IF(A451="","",J451-M451)</f>
        <v>13</v>
      </c>
      <c r="P451" s="8" t="n">
        <f aca="false">IF(A451="","",G451+J451)</f>
        <v>106</v>
      </c>
      <c r="Q451" s="8" t="str">
        <f aca="false">IF(A451="","",IF(AND(Y451&lt;&gt;"参考",G451&gt;=ルール設定!$B$2),"○",""))</f>
        <v/>
      </c>
      <c r="R451" s="8" t="str">
        <f aca="false">IF(A451="","",IF(AND(Y451&lt;&gt;"参考",G451&gt;=ルール設定!$B$3,N451&gt;=ルール設定!$B$4),"○",""))</f>
        <v/>
      </c>
      <c r="S451" s="8" t="str">
        <f aca="false">IF(A451="","",IF(AND(Y451&lt;&gt;"参考",G451&gt;=ルール設定!$B$5,J451&gt;=ルール設定!$B$6,O451&gt;=ルール設定!$B$7),"○",""))</f>
        <v/>
      </c>
      <c r="T451" s="8" t="n">
        <v>1</v>
      </c>
      <c r="U451" s="8" t="n">
        <v>2</v>
      </c>
      <c r="V451" s="8" t="str">
        <f aca="false">IF(A451="","",IF(AND(ISNUMBER(T451),ISNUMBER(U451)),IF(AND(T451&lt;=3,U451&lt;=3),"○","×"),""))</f>
        <v>○</v>
      </c>
      <c r="W451" s="8" t="n">
        <v>180</v>
      </c>
      <c r="X451" s="8" t="n">
        <v>570</v>
      </c>
      <c r="Y451" s="4" t="s">
        <v>7597</v>
      </c>
      <c r="Z451" s="4" t="s">
        <v>4475</v>
      </c>
      <c r="AA451" s="8" t="str">
        <v/>
      </c>
      <c r="AB451" s="8" t="str">
        <v/>
      </c>
      <c r="AC451" s="8" t="str">
        <v/>
      </c>
      <c r="AD451" s="8" t="str">
        <v/>
      </c>
      <c r="AE451" s="8" t="str">
        <v/>
      </c>
      <c r="AF451" s="8" t="str">
        <v/>
      </c>
      <c r="AG451" s="8" t="str">
        <v/>
      </c>
      <c r="AH451" s="8" t="str">
        <v/>
      </c>
      <c r="AI451" s="8" t="n">
        <v>19</v>
      </c>
      <c r="AJ451" s="8" t="str">
        <v>～59</v>
      </c>
      <c r="AK451" s="8" t="str">
        <v>5～9</v>
      </c>
      <c r="AL451" s="8" t="str">
        <v>10～19</v>
      </c>
      <c r="AM451" s="8" t="str">
        <v>100～119</v>
      </c>
      <c r="AN451" s="8" t="str">
        <v>15以上</v>
      </c>
      <c r="AO451" s="8" t="str">
        <f aca="false">IF(A451="","",IF(COUNTIFS(全馬データ!$A$2:$A$50000,A451,全馬データ!$B$2:$B$50000,B451,全馬データ!$C$2:$C$50000,C451,全馬データ!$D$2:$D$50000,E451,全馬データ!$K$2:$K$50000,"&lt;&gt;")=0,"",SUMIFS(全馬データ!$K$2:$K$50000,全馬データ!$A$2:$A$50000,A451,全馬データ!$B$2:$B$50000,B451,全馬データ!$C$2:$C$50000,C451,全馬データ!$D$2:$D$50000,E451)))</f>
        <v/>
      </c>
      <c r="AP451" s="8" t="str">
        <f aca="false">IF(A451="","",IF(AO451="","欠損",IF(AO451&lt;=1.1,"1.0～1.1",IF(AO451&lt;1.3,"1.2",IF(AO451&lt;1.5,"1.3～1.4",IF(AO451&lt;2,"1.5～1.9","2.0以上"))))))</f>
        <v>欠損</v>
      </c>
      <c r="AQ451" s="8" t="str">
        <f aca="false">IF(A451="","",IF(ISNUMBER(SEARCH("2歳",Z451)),"2歳戦",IF(ISNUMBER(SEARCH("3歳未勝利",Z451)),"3歳未勝利",IF(ISNUMBER(SEARCH("未勝利",Z451)),"その他未勝利",IF(ISNUMBER(SEARCH("G1",Z451)),"G1",IF(ISNUMBER(SEARCH("G2",Z451)),"G2",IF(ISNUMBER(SEARCH("G3",Z451)),"G3",IF(ISNUMBER(SEARCH("古馬条件",Z451)),"古馬条件戦",IF(ISNUMBER(SEARCH("重賞",Z451)),"重賞","分類不能")))))))))</f>
        <v>分類不能</v>
      </c>
      <c r="AR451" s="8"/>
      <c r="AS451" s="8" t="s">
        <v>7623</v>
      </c>
      <c r="AT451" s="8" t="s">
        <v>7624</v>
      </c>
      <c r="AU451" s="8" t="s">
        <v>7600</v>
      </c>
      <c r="AV451" s="4" t="s">
        <v>7601</v>
      </c>
      <c r="AW451" s="8"/>
      <c r="AX451" s="8"/>
      <c r="AY451" s="8" t="s">
        <v>7602</v>
      </c>
      <c r="AZ451" s="4" t="s">
        <v>7603</v>
      </c>
      <c r="BA451" s="8" t="n">
        <v>1800</v>
      </c>
      <c r="BB451" s="8" t="s">
        <v>7598</v>
      </c>
      <c r="BC451" s="4" t="s">
        <v>7604</v>
      </c>
      <c r="BD451" s="8" t="s">
        <v>7621</v>
      </c>
      <c r="BE451" s="4" t="s">
        <v>7622</v>
      </c>
      <c r="BF451" s="8" t="s">
        <v>7602</v>
      </c>
      <c r="BG451" s="8" t="s">
        <v>7608</v>
      </c>
      <c r="BH451" s="4" t="s">
        <v>7609</v>
      </c>
      <c r="BI451" s="8" t="n">
        <v>15</v>
      </c>
      <c r="BJ451" s="8" t="s">
        <v>7602</v>
      </c>
      <c r="BK451" s="4" t="s">
        <v>7653</v>
      </c>
      <c r="BL451" s="8" t="s">
        <v>7610</v>
      </c>
      <c r="BM451" s="4" t="s">
        <v>7612</v>
      </c>
      <c r="BN451" s="8" t="s">
        <v>7631</v>
      </c>
      <c r="BO451" s="8" t="s">
        <v>7680</v>
      </c>
      <c r="BP451" s="8" t="s">
        <v>7610</v>
      </c>
      <c r="BQ451" s="8" t="str">
        <f aca="false">IF(A451="","",AT451)</f>
        <v>3歳</v>
      </c>
      <c r="BR451" s="8" t="str">
        <f aca="false">IF(A451="","",IF(BA451&lt;=1200,"～1200",IF(BA451&lt;=1500,"1300～1500",IF(BA451=1600,"1600",IF(BA451&lt;=1800,"1700～1800",IF(BA451&lt;=2000,"1900～2000","2100以上"))))))</f>
        <v>1700～1800</v>
      </c>
      <c r="BS451" s="8" t="str">
        <f aca="false">IF(A451="","",IF(AX451="G1","G1",IF(AX451="G2","G2",IF(AX451="G3","G3",IF(AX451="L","L","その他")))))</f>
        <v>その他</v>
      </c>
      <c r="BT451" s="8" t="str">
        <f aca="false">IF(A451="","",IF(BI451="","未結合",IF(D451=BI451,"一致","不一致")))</f>
        <v>一致</v>
      </c>
      <c r="BU451" s="8" t="str">
        <f aca="false">IF(A451="","",IF(BE451="牝馬限定","牝馬限定","その他"))</f>
        <v>牝馬限定</v>
      </c>
    </row>
    <row r="452" customFormat="false" ht="15.75" hidden="false" customHeight="false" outlineLevel="0" collapsed="false">
      <c r="A452" s="6" t="n">
        <v>46180</v>
      </c>
      <c r="B452" s="4" t="s">
        <v>4172</v>
      </c>
      <c r="C452" s="8" t="n">
        <v>3</v>
      </c>
      <c r="D452" s="8" t="n">
        <v>16</v>
      </c>
      <c r="E452" s="8" t="n">
        <v>4</v>
      </c>
      <c r="F452" s="4" t="s">
        <v>1629</v>
      </c>
      <c r="G452" s="8" t="n">
        <v>62</v>
      </c>
      <c r="H452" s="8" t="n">
        <v>6</v>
      </c>
      <c r="I452" s="4" t="s">
        <v>1265</v>
      </c>
      <c r="J452" s="8" t="n">
        <v>47</v>
      </c>
      <c r="K452" s="8" t="n">
        <v>2</v>
      </c>
      <c r="L452" s="4" t="s">
        <v>4796</v>
      </c>
      <c r="M452" s="8" t="n">
        <v>41</v>
      </c>
      <c r="N452" s="8" t="n">
        <f aca="false">IF(A452="","",G452-J452)</f>
        <v>15</v>
      </c>
      <c r="O452" s="8" t="n">
        <f aca="false">IF(A452="","",J452-M452)</f>
        <v>6</v>
      </c>
      <c r="P452" s="8" t="n">
        <f aca="false">IF(A452="","",G452+J452)</f>
        <v>109</v>
      </c>
      <c r="Q452" s="8" t="str">
        <f aca="false">IF(A452="","",IF(AND(Y452&lt;&gt;"参考",G452&gt;=ルール設定!$B$2),"○",""))</f>
        <v/>
      </c>
      <c r="R452" s="8" t="str">
        <f aca="false">IF(A452="","",IF(AND(Y452&lt;&gt;"参考",G452&gt;=ルール設定!$B$3,N452&gt;=ルール設定!$B$4),"○",""))</f>
        <v/>
      </c>
      <c r="S452" s="8" t="str">
        <f aca="false">IF(A452="","",IF(AND(Y452&lt;&gt;"参考",G452&gt;=ルール設定!$B$5,J452&gt;=ルール設定!$B$6,O452&gt;=ルール設定!$B$7),"○",""))</f>
        <v/>
      </c>
      <c r="T452" s="8" t="n">
        <v>3</v>
      </c>
      <c r="U452" s="8" t="n">
        <v>4</v>
      </c>
      <c r="V452" s="8" t="str">
        <f aca="false">IF(A452="","",IF(AND(ISNUMBER(T452),ISNUMBER(U452)),IF(AND(T452&lt;=3,U452&lt;=3),"○","×"),""))</f>
        <v>×</v>
      </c>
      <c r="W452" s="8" t="n">
        <v>150</v>
      </c>
      <c r="X452" s="8"/>
      <c r="Y452" s="4" t="s">
        <v>7597</v>
      </c>
      <c r="Z452" s="4" t="s">
        <v>4475</v>
      </c>
      <c r="AA452" s="8" t="str">
        <v/>
      </c>
      <c r="AB452" s="8" t="str">
        <v/>
      </c>
      <c r="AC452" s="8" t="str">
        <v/>
      </c>
      <c r="AD452" s="8" t="str">
        <v/>
      </c>
      <c r="AE452" s="8" t="str">
        <v/>
      </c>
      <c r="AF452" s="8" t="str">
        <v/>
      </c>
      <c r="AG452" s="8" t="str">
        <v/>
      </c>
      <c r="AH452" s="8" t="str">
        <v/>
      </c>
      <c r="AI452" s="8" t="n">
        <v>21</v>
      </c>
      <c r="AJ452" s="8" t="str">
        <v>60～69</v>
      </c>
      <c r="AK452" s="8" t="str">
        <v>10～19</v>
      </c>
      <c r="AL452" s="8" t="str">
        <v>20～29</v>
      </c>
      <c r="AM452" s="8" t="str">
        <v>100～119</v>
      </c>
      <c r="AN452" s="8" t="str">
        <v>15以上</v>
      </c>
      <c r="AO452" s="8" t="str">
        <f aca="false">IF(A452="","",IF(COUNTIFS(全馬データ!$A$2:$A$50000,A452,全馬データ!$B$2:$B$50000,B452,全馬データ!$C$2:$C$50000,C452,全馬データ!$D$2:$D$50000,E452,全馬データ!$K$2:$K$50000,"&lt;&gt;")=0,"",SUMIFS(全馬データ!$K$2:$K$50000,全馬データ!$A$2:$A$50000,A452,全馬データ!$B$2:$B$50000,B452,全馬データ!$C$2:$C$50000,C452,全馬データ!$D$2:$D$50000,E452)))</f>
        <v/>
      </c>
      <c r="AP452" s="8" t="str">
        <f aca="false">IF(A452="","",IF(AO452="","欠損",IF(AO452&lt;=1.1,"1.0～1.1",IF(AO452&lt;1.3,"1.2",IF(AO452&lt;1.5,"1.3～1.4",IF(AO452&lt;2,"1.5～1.9","2.0以上"))))))</f>
        <v>欠損</v>
      </c>
      <c r="AQ452" s="8" t="str">
        <f aca="false">IF(A452="","",IF(ISNUMBER(SEARCH("2歳",Z452)),"2歳戦",IF(ISNUMBER(SEARCH("3歳未勝利",Z452)),"3歳未勝利",IF(ISNUMBER(SEARCH("未勝利",Z452)),"その他未勝利",IF(ISNUMBER(SEARCH("G1",Z452)),"G1",IF(ISNUMBER(SEARCH("G2",Z452)),"G2",IF(ISNUMBER(SEARCH("G3",Z452)),"G3",IF(ISNUMBER(SEARCH("古馬条件",Z452)),"古馬条件戦",IF(ISNUMBER(SEARCH("重賞",Z452)),"重賞","分類不能")))))))))</f>
        <v>分類不能</v>
      </c>
      <c r="AR452" s="8"/>
      <c r="AS452" s="8" t="s">
        <v>7623</v>
      </c>
      <c r="AT452" s="8" t="s">
        <v>7624</v>
      </c>
      <c r="AU452" s="8" t="s">
        <v>7600</v>
      </c>
      <c r="AV452" s="4" t="s">
        <v>7601</v>
      </c>
      <c r="AW452" s="8"/>
      <c r="AX452" s="8"/>
      <c r="AY452" s="8" t="s">
        <v>7610</v>
      </c>
      <c r="AZ452" s="4" t="s">
        <v>7617</v>
      </c>
      <c r="BA452" s="8" t="n">
        <v>1800</v>
      </c>
      <c r="BB452" s="8" t="s">
        <v>7598</v>
      </c>
      <c r="BC452" s="4" t="s">
        <v>7604</v>
      </c>
      <c r="BD452" s="8" t="s">
        <v>7625</v>
      </c>
      <c r="BE452" s="4" t="s">
        <v>7606</v>
      </c>
      <c r="BF452" s="8" t="s">
        <v>7607</v>
      </c>
      <c r="BG452" s="8" t="s">
        <v>7608</v>
      </c>
      <c r="BH452" s="4" t="s">
        <v>7609</v>
      </c>
      <c r="BI452" s="8" t="n">
        <v>16</v>
      </c>
      <c r="BJ452" s="8" t="s">
        <v>7602</v>
      </c>
      <c r="BK452" s="4" t="s">
        <v>7653</v>
      </c>
      <c r="BL452" s="8" t="s">
        <v>7602</v>
      </c>
      <c r="BM452" s="4" t="s">
        <v>7620</v>
      </c>
      <c r="BN452" s="8"/>
      <c r="BO452" s="8"/>
      <c r="BP452" s="8" t="s">
        <v>7610</v>
      </c>
      <c r="BQ452" s="8" t="str">
        <f aca="false">IF(A452="","",AT452)</f>
        <v>3歳</v>
      </c>
      <c r="BR452" s="8" t="str">
        <f aca="false">IF(A452="","",IF(BA452&lt;=1200,"～1200",IF(BA452&lt;=1500,"1300～1500",IF(BA452=1600,"1600",IF(BA452&lt;=1800,"1700～1800",IF(BA452&lt;=2000,"1900～2000","2100以上"))))))</f>
        <v>1700～1800</v>
      </c>
      <c r="BS452" s="8" t="str">
        <f aca="false">IF(A452="","",IF(AX452="G1","G1",IF(AX452="G2","G2",IF(AX452="G3","G3",IF(AX452="L","L","その他")))))</f>
        <v>その他</v>
      </c>
      <c r="BT452" s="8" t="str">
        <f aca="false">IF(A452="","",IF(BI452="","未結合",IF(D452=BI452,"一致","不一致")))</f>
        <v>一致</v>
      </c>
      <c r="BU452" s="8" t="str">
        <f aca="false">IF(A452="","",IF(BE452="牝馬限定","牝馬限定","その他"))</f>
        <v>その他</v>
      </c>
    </row>
    <row r="453" customFormat="false" ht="15.75" hidden="false" customHeight="false" outlineLevel="0" collapsed="false">
      <c r="A453" s="6" t="n">
        <v>46180</v>
      </c>
      <c r="B453" s="4" t="s">
        <v>4172</v>
      </c>
      <c r="C453" s="8" t="n">
        <v>4</v>
      </c>
      <c r="D453" s="8" t="n">
        <v>16</v>
      </c>
      <c r="E453" s="8" t="n">
        <v>3</v>
      </c>
      <c r="F453" s="4" t="s">
        <v>321</v>
      </c>
      <c r="G453" s="8" t="n">
        <v>81</v>
      </c>
      <c r="H453" s="8" t="n">
        <v>7</v>
      </c>
      <c r="I453" s="4" t="s">
        <v>4805</v>
      </c>
      <c r="J453" s="8" t="n">
        <v>39</v>
      </c>
      <c r="K453" s="8" t="n">
        <v>1</v>
      </c>
      <c r="L453" s="4" t="s">
        <v>775</v>
      </c>
      <c r="M453" s="8" t="n">
        <v>29</v>
      </c>
      <c r="N453" s="8" t="n">
        <f aca="false">IF(A453="","",G453-J453)</f>
        <v>42</v>
      </c>
      <c r="O453" s="8" t="n">
        <f aca="false">IF(A453="","",J453-M453)</f>
        <v>10</v>
      </c>
      <c r="P453" s="8" t="n">
        <f aca="false">IF(A453="","",G453+J453)</f>
        <v>120</v>
      </c>
      <c r="Q453" s="8" t="str">
        <f aca="false">IF(A453="","",IF(AND(Y453&lt;&gt;"参考",G453&gt;=ルール設定!$B$2),"○",""))</f>
        <v>○</v>
      </c>
      <c r="R453" s="8" t="str">
        <f aca="false">IF(A453="","",IF(AND(Y453&lt;&gt;"参考",G453&gt;=ルール設定!$B$3,N453&gt;=ルール設定!$B$4),"○",""))</f>
        <v>○</v>
      </c>
      <c r="S453" s="8" t="str">
        <f aca="false">IF(A453="","",IF(AND(Y453&lt;&gt;"参考",G453&gt;=ルール設定!$B$5,J453&gt;=ルール設定!$B$6,O453&gt;=ルール設定!$B$7),"○",""))</f>
        <v/>
      </c>
      <c r="T453" s="8" t="n">
        <v>3</v>
      </c>
      <c r="U453" s="8" t="n">
        <v>4</v>
      </c>
      <c r="V453" s="8" t="str">
        <f aca="false">IF(A453="","",IF(AND(ISNUMBER(T453),ISNUMBER(U453)),IF(AND(T453&lt;=3,U453&lt;=3),"○","×"),""))</f>
        <v>×</v>
      </c>
      <c r="W453" s="8" t="n">
        <v>120</v>
      </c>
      <c r="X453" s="8"/>
      <c r="Y453" s="4" t="s">
        <v>7597</v>
      </c>
      <c r="Z453" s="4" t="s">
        <v>4475</v>
      </c>
      <c r="AA453" s="8" t="str">
        <v/>
      </c>
      <c r="AB453" s="8" t="str">
        <v>○</v>
      </c>
      <c r="AC453" s="8" t="str">
        <v/>
      </c>
      <c r="AD453" s="8" t="str">
        <v>○</v>
      </c>
      <c r="AE453" s="8" t="str">
        <v/>
      </c>
      <c r="AF453" s="8" t="str">
        <v/>
      </c>
      <c r="AG453" s="8" t="str">
        <v>○</v>
      </c>
      <c r="AH453" s="8" t="str">
        <v/>
      </c>
      <c r="AI453" s="8" t="n">
        <v>52</v>
      </c>
      <c r="AJ453" s="8" t="str">
        <v>80～84</v>
      </c>
      <c r="AK453" s="8" t="str">
        <v>30以上</v>
      </c>
      <c r="AL453" s="8" t="str">
        <v>40以上</v>
      </c>
      <c r="AM453" s="8" t="str">
        <v>120～139</v>
      </c>
      <c r="AN453" s="8" t="str">
        <v>15以上</v>
      </c>
      <c r="AO453" s="8" t="str">
        <f aca="false">IF(A453="","",IF(COUNTIFS(全馬データ!$A$2:$A$50000,A453,全馬データ!$B$2:$B$50000,B453,全馬データ!$C$2:$C$50000,C453,全馬データ!$D$2:$D$50000,E453,全馬データ!$K$2:$K$50000,"&lt;&gt;")=0,"",SUMIFS(全馬データ!$K$2:$K$50000,全馬データ!$A$2:$A$50000,A453,全馬データ!$B$2:$B$50000,B453,全馬データ!$C$2:$C$50000,C453,全馬データ!$D$2:$D$50000,E453)))</f>
        <v/>
      </c>
      <c r="AP453" s="8" t="str">
        <f aca="false">IF(A453="","",IF(AO453="","欠損",IF(AO453&lt;=1.1,"1.0～1.1",IF(AO453&lt;1.3,"1.2",IF(AO453&lt;1.5,"1.3～1.4",IF(AO453&lt;2,"1.5～1.9","2.0以上"))))))</f>
        <v>欠損</v>
      </c>
      <c r="AQ453" s="8" t="str">
        <f aca="false">IF(A453="","",IF(ISNUMBER(SEARCH("2歳",Z453)),"2歳戦",IF(ISNUMBER(SEARCH("3歳未勝利",Z453)),"3歳未勝利",IF(ISNUMBER(SEARCH("未勝利",Z453)),"その他未勝利",IF(ISNUMBER(SEARCH("G1",Z453)),"G1",IF(ISNUMBER(SEARCH("G2",Z453)),"G2",IF(ISNUMBER(SEARCH("G3",Z453)),"G3",IF(ISNUMBER(SEARCH("古馬条件",Z453)),"古馬条件戦",IF(ISNUMBER(SEARCH("重賞",Z453)),"重賞","分類不能")))))))))</f>
        <v>分類不能</v>
      </c>
      <c r="AR453" s="8"/>
      <c r="AS453" s="8" t="s">
        <v>7623</v>
      </c>
      <c r="AT453" s="8" t="s">
        <v>7624</v>
      </c>
      <c r="AU453" s="8" t="s">
        <v>7600</v>
      </c>
      <c r="AV453" s="4" t="s">
        <v>7601</v>
      </c>
      <c r="AW453" s="8"/>
      <c r="AX453" s="8"/>
      <c r="AY453" s="8" t="s">
        <v>7610</v>
      </c>
      <c r="AZ453" s="4" t="s">
        <v>7617</v>
      </c>
      <c r="BA453" s="8" t="n">
        <v>1400</v>
      </c>
      <c r="BB453" s="8" t="s">
        <v>7598</v>
      </c>
      <c r="BC453" s="4" t="s">
        <v>7604</v>
      </c>
      <c r="BD453" s="8" t="s">
        <v>7625</v>
      </c>
      <c r="BE453" s="4" t="s">
        <v>7606</v>
      </c>
      <c r="BF453" s="8" t="s">
        <v>7607</v>
      </c>
      <c r="BG453" s="8" t="s">
        <v>7608</v>
      </c>
      <c r="BH453" s="4" t="s">
        <v>7609</v>
      </c>
      <c r="BI453" s="8" t="n">
        <v>16</v>
      </c>
      <c r="BJ453" s="8" t="s">
        <v>7602</v>
      </c>
      <c r="BK453" s="4" t="s">
        <v>7653</v>
      </c>
      <c r="BL453" s="8" t="s">
        <v>7602</v>
      </c>
      <c r="BM453" s="4" t="s">
        <v>7620</v>
      </c>
      <c r="BN453" s="8"/>
      <c r="BO453" s="8"/>
      <c r="BP453" s="8" t="s">
        <v>7610</v>
      </c>
      <c r="BQ453" s="8" t="str">
        <f aca="false">IF(A453="","",AT453)</f>
        <v>3歳</v>
      </c>
      <c r="BR453" s="8" t="str">
        <f aca="false">IF(A453="","",IF(BA453&lt;=1200,"～1200",IF(BA453&lt;=1500,"1300～1500",IF(BA453=1600,"1600",IF(BA453&lt;=1800,"1700～1800",IF(BA453&lt;=2000,"1900～2000","2100以上"))))))</f>
        <v>1300～1500</v>
      </c>
      <c r="BS453" s="8" t="str">
        <f aca="false">IF(A453="","",IF(AX453="G1","G1",IF(AX453="G2","G2",IF(AX453="G3","G3",IF(AX453="L","L","その他")))))</f>
        <v>その他</v>
      </c>
      <c r="BT453" s="8" t="str">
        <f aca="false">IF(A453="","",IF(BI453="","未結合",IF(D453=BI453,"一致","不一致")))</f>
        <v>一致</v>
      </c>
      <c r="BU453" s="8" t="str">
        <f aca="false">IF(A453="","",IF(BE453="牝馬限定","牝馬限定","その他"))</f>
        <v>その他</v>
      </c>
    </row>
    <row r="454" customFormat="false" ht="15.75" hidden="false" customHeight="false" outlineLevel="0" collapsed="false">
      <c r="A454" s="6" t="n">
        <v>46180</v>
      </c>
      <c r="B454" s="4" t="s">
        <v>4172</v>
      </c>
      <c r="C454" s="8" t="n">
        <v>5</v>
      </c>
      <c r="D454" s="8" t="n">
        <v>11</v>
      </c>
      <c r="E454" s="8" t="n">
        <v>10</v>
      </c>
      <c r="F454" s="4" t="s">
        <v>4355</v>
      </c>
      <c r="G454" s="8" t="n">
        <v>27</v>
      </c>
      <c r="H454" s="8" t="n">
        <v>2</v>
      </c>
      <c r="I454" s="4" t="s">
        <v>180</v>
      </c>
      <c r="J454" s="8" t="n">
        <v>24</v>
      </c>
      <c r="K454" s="8" t="n">
        <v>6</v>
      </c>
      <c r="L454" s="4" t="s">
        <v>4811</v>
      </c>
      <c r="M454" s="8" t="n">
        <v>21</v>
      </c>
      <c r="N454" s="8" t="n">
        <f aca="false">IF(A454="","",G454-J454)</f>
        <v>3</v>
      </c>
      <c r="O454" s="8" t="n">
        <f aca="false">IF(A454="","",J454-M454)</f>
        <v>3</v>
      </c>
      <c r="P454" s="8" t="n">
        <f aca="false">IF(A454="","",G454+J454)</f>
        <v>51</v>
      </c>
      <c r="Q454" s="8" t="str">
        <f aca="false">IF(A454="","",IF(AND(Y454&lt;&gt;"参考",G454&gt;=ルール設定!$B$2),"○",""))</f>
        <v/>
      </c>
      <c r="R454" s="8" t="str">
        <f aca="false">IF(A454="","",IF(AND(Y454&lt;&gt;"参考",G454&gt;=ルール設定!$B$3,N454&gt;=ルール設定!$B$4),"○",""))</f>
        <v/>
      </c>
      <c r="S454" s="8" t="str">
        <f aca="false">IF(A454="","",IF(AND(Y454&lt;&gt;"参考",G454&gt;=ルール設定!$B$5,J454&gt;=ルール設定!$B$6,O454&gt;=ルール設定!$B$7),"○",""))</f>
        <v/>
      </c>
      <c r="T454" s="8" t="n">
        <v>2</v>
      </c>
      <c r="U454" s="8" t="n">
        <v>4</v>
      </c>
      <c r="V454" s="8" t="str">
        <f aca="false">IF(A454="","",IF(AND(ISNUMBER(T454),ISNUMBER(U454)),IF(AND(T454&lt;=3,U454&lt;=3),"○","×"),""))</f>
        <v>×</v>
      </c>
      <c r="W454" s="8" t="n">
        <v>170</v>
      </c>
      <c r="X454" s="8"/>
      <c r="Y454" s="4" t="s">
        <v>7597</v>
      </c>
      <c r="Z454" s="4" t="s">
        <v>4475</v>
      </c>
      <c r="AA454" s="8" t="str">
        <v/>
      </c>
      <c r="AB454" s="8" t="str">
        <v/>
      </c>
      <c r="AC454" s="8" t="str">
        <v/>
      </c>
      <c r="AD454" s="8" t="str">
        <v/>
      </c>
      <c r="AE454" s="8" t="str">
        <v/>
      </c>
      <c r="AF454" s="8" t="str">
        <v/>
      </c>
      <c r="AG454" s="8" t="str">
        <v/>
      </c>
      <c r="AH454" s="8" t="str">
        <v/>
      </c>
      <c r="AI454" s="8" t="n">
        <v>6</v>
      </c>
      <c r="AJ454" s="8" t="str">
        <v>～59</v>
      </c>
      <c r="AK454" s="8" t="str">
        <v>0～4</v>
      </c>
      <c r="AL454" s="8" t="str">
        <v>0～9</v>
      </c>
      <c r="AM454" s="8" t="str">
        <v>～99</v>
      </c>
      <c r="AN454" s="8" t="str">
        <v>8～11</v>
      </c>
      <c r="AO454" s="8" t="str">
        <f aca="false">IF(A454="","",IF(COUNTIFS(全馬データ!$A$2:$A$50000,A454,全馬データ!$B$2:$B$50000,B454,全馬データ!$C$2:$C$50000,C454,全馬データ!$D$2:$D$50000,E454,全馬データ!$K$2:$K$50000,"&lt;&gt;")=0,"",SUMIFS(全馬データ!$K$2:$K$50000,全馬データ!$A$2:$A$50000,A454,全馬データ!$B$2:$B$50000,B454,全馬データ!$C$2:$C$50000,C454,全馬データ!$D$2:$D$50000,E454)))</f>
        <v/>
      </c>
      <c r="AP454" s="8" t="str">
        <f aca="false">IF(A454="","",IF(AO454="","欠損",IF(AO454&lt;=1.1,"1.0～1.1",IF(AO454&lt;1.3,"1.2",IF(AO454&lt;1.5,"1.3～1.4",IF(AO454&lt;2,"1.5～1.9","2.0以上"))))))</f>
        <v>欠損</v>
      </c>
      <c r="AQ454" s="8" t="str">
        <f aca="false">IF(A454="","",IF(ISNUMBER(SEARCH("2歳",Z454)),"2歳戦",IF(ISNUMBER(SEARCH("3歳未勝利",Z454)),"3歳未勝利",IF(ISNUMBER(SEARCH("未勝利",Z454)),"その他未勝利",IF(ISNUMBER(SEARCH("G1",Z454)),"G1",IF(ISNUMBER(SEARCH("G2",Z454)),"G2",IF(ISNUMBER(SEARCH("G3",Z454)),"G3",IF(ISNUMBER(SEARCH("古馬条件",Z454)),"古馬条件戦",IF(ISNUMBER(SEARCH("重賞",Z454)),"重賞","分類不能")))))))))</f>
        <v>分類不能</v>
      </c>
      <c r="AR454" s="8"/>
      <c r="AS454" s="8" t="s">
        <v>7598</v>
      </c>
      <c r="AT454" s="8" t="s">
        <v>7599</v>
      </c>
      <c r="AU454" s="8" t="s">
        <v>7615</v>
      </c>
      <c r="AV454" s="4" t="s">
        <v>7616</v>
      </c>
      <c r="AW454" s="8"/>
      <c r="AX454" s="8"/>
      <c r="AY454" s="8" t="s">
        <v>7602</v>
      </c>
      <c r="AZ454" s="4" t="s">
        <v>7603</v>
      </c>
      <c r="BA454" s="8" t="n">
        <v>1400</v>
      </c>
      <c r="BB454" s="8" t="s">
        <v>7659</v>
      </c>
      <c r="BC454" s="4" t="s">
        <v>7619</v>
      </c>
      <c r="BD454" s="8" t="s">
        <v>7605</v>
      </c>
      <c r="BE454" s="4" t="s">
        <v>7606</v>
      </c>
      <c r="BF454" s="8" t="s">
        <v>7607</v>
      </c>
      <c r="BG454" s="8" t="s">
        <v>7608</v>
      </c>
      <c r="BH454" s="4" t="s">
        <v>7609</v>
      </c>
      <c r="BI454" s="8" t="n">
        <v>11</v>
      </c>
      <c r="BJ454" s="8" t="s">
        <v>7602</v>
      </c>
      <c r="BK454" s="4" t="s">
        <v>7653</v>
      </c>
      <c r="BL454" s="8" t="s">
        <v>7602</v>
      </c>
      <c r="BM454" s="4" t="s">
        <v>7620</v>
      </c>
      <c r="BN454" s="8" t="s">
        <v>7631</v>
      </c>
      <c r="BO454" s="8" t="s">
        <v>7680</v>
      </c>
      <c r="BP454" s="8" t="s">
        <v>7610</v>
      </c>
      <c r="BQ454" s="8" t="str">
        <f aca="false">IF(A454="","",AT454)</f>
        <v>2歳</v>
      </c>
      <c r="BR454" s="8" t="str">
        <f aca="false">IF(A454="","",IF(BA454&lt;=1200,"～1200",IF(BA454&lt;=1500,"1300～1500",IF(BA454=1600,"1600",IF(BA454&lt;=1800,"1700～1800",IF(BA454&lt;=2000,"1900～2000","2100以上"))))))</f>
        <v>1300～1500</v>
      </c>
      <c r="BS454" s="8" t="str">
        <f aca="false">IF(A454="","",IF(AX454="G1","G1",IF(AX454="G2","G2",IF(AX454="G3","G3",IF(AX454="L","L","その他")))))</f>
        <v>その他</v>
      </c>
      <c r="BT454" s="8" t="str">
        <f aca="false">IF(A454="","",IF(BI454="","未結合",IF(D454=BI454,"一致","不一致")))</f>
        <v>一致</v>
      </c>
      <c r="BU454" s="8" t="str">
        <f aca="false">IF(A454="","",IF(BE454="牝馬限定","牝馬限定","その他"))</f>
        <v>その他</v>
      </c>
    </row>
    <row r="455" customFormat="false" ht="15.75" hidden="false" customHeight="false" outlineLevel="0" collapsed="false">
      <c r="A455" s="6" t="n">
        <v>46180</v>
      </c>
      <c r="B455" s="4" t="s">
        <v>4172</v>
      </c>
      <c r="C455" s="8" t="n">
        <v>6</v>
      </c>
      <c r="D455" s="8" t="n">
        <v>16</v>
      </c>
      <c r="E455" s="8" t="n">
        <v>4</v>
      </c>
      <c r="F455" s="4" t="s">
        <v>3379</v>
      </c>
      <c r="G455" s="8" t="n">
        <v>47</v>
      </c>
      <c r="H455" s="8" t="n">
        <v>15</v>
      </c>
      <c r="I455" s="4" t="s">
        <v>1625</v>
      </c>
      <c r="J455" s="8" t="n">
        <v>47</v>
      </c>
      <c r="K455" s="8" t="n">
        <v>11</v>
      </c>
      <c r="L455" s="4" t="s">
        <v>3968</v>
      </c>
      <c r="M455" s="8" t="n">
        <v>39</v>
      </c>
      <c r="N455" s="8" t="n">
        <f aca="false">IF(A455="","",G455-J455)</f>
        <v>0</v>
      </c>
      <c r="O455" s="8" t="n">
        <f aca="false">IF(A455="","",J455-M455)</f>
        <v>8</v>
      </c>
      <c r="P455" s="8" t="n">
        <f aca="false">IF(A455="","",G455+J455)</f>
        <v>94</v>
      </c>
      <c r="Q455" s="8" t="str">
        <f aca="false">IF(A455="","",IF(AND(Y455&lt;&gt;"参考",G455&gt;=ルール設定!$B$2),"○",""))</f>
        <v/>
      </c>
      <c r="R455" s="8" t="str">
        <f aca="false">IF(A455="","",IF(AND(Y455&lt;&gt;"参考",G455&gt;=ルール設定!$B$3,N455&gt;=ルール設定!$B$4),"○",""))</f>
        <v/>
      </c>
      <c r="S455" s="8" t="str">
        <f aca="false">IF(A455="","",IF(AND(Y455&lt;&gt;"参考",G455&gt;=ルール設定!$B$5,J455&gt;=ルール設定!$B$6,O455&gt;=ルール設定!$B$7),"○",""))</f>
        <v/>
      </c>
      <c r="T455" s="8" t="n">
        <v>1</v>
      </c>
      <c r="U455" s="8" t="n">
        <v>3</v>
      </c>
      <c r="V455" s="8" t="str">
        <f aca="false">IF(A455="","",IF(AND(ISNUMBER(T455),ISNUMBER(U455)),IF(AND(T455&lt;=3,U455&lt;=3),"○","×"),""))</f>
        <v>○</v>
      </c>
      <c r="W455" s="8" t="n">
        <v>180</v>
      </c>
      <c r="X455" s="8" t="n">
        <v>530</v>
      </c>
      <c r="Y455" s="4" t="s">
        <v>7597</v>
      </c>
      <c r="Z455" s="4" t="s">
        <v>4475</v>
      </c>
      <c r="AA455" s="8" t="str">
        <v/>
      </c>
      <c r="AB455" s="8" t="str">
        <v/>
      </c>
      <c r="AC455" s="8" t="str">
        <v/>
      </c>
      <c r="AD455" s="8" t="str">
        <v/>
      </c>
      <c r="AE455" s="8" t="str">
        <v/>
      </c>
      <c r="AF455" s="8" t="str">
        <v/>
      </c>
      <c r="AG455" s="8" t="str">
        <v/>
      </c>
      <c r="AH455" s="8" t="str">
        <v/>
      </c>
      <c r="AI455" s="8" t="n">
        <v>8</v>
      </c>
      <c r="AJ455" s="8" t="str">
        <v>～59</v>
      </c>
      <c r="AK455" s="8" t="str">
        <v>0～4</v>
      </c>
      <c r="AL455" s="8" t="str">
        <v>0～9</v>
      </c>
      <c r="AM455" s="8" t="str">
        <v>～99</v>
      </c>
      <c r="AN455" s="8" t="str">
        <v>15以上</v>
      </c>
      <c r="AO455" s="8" t="str">
        <f aca="false">IF(A455="","",IF(COUNTIFS(全馬データ!$A$2:$A$50000,A455,全馬データ!$B$2:$B$50000,B455,全馬データ!$C$2:$C$50000,C455,全馬データ!$D$2:$D$50000,E455,全馬データ!$K$2:$K$50000,"&lt;&gt;")=0,"",SUMIFS(全馬データ!$K$2:$K$50000,全馬データ!$A$2:$A$50000,A455,全馬データ!$B$2:$B$50000,B455,全馬データ!$C$2:$C$50000,C455,全馬データ!$D$2:$D$50000,E455)))</f>
        <v/>
      </c>
      <c r="AP455" s="8" t="str">
        <f aca="false">IF(A455="","",IF(AO455="","欠損",IF(AO455&lt;=1.1,"1.0～1.1",IF(AO455&lt;1.3,"1.2",IF(AO455&lt;1.5,"1.3～1.4",IF(AO455&lt;2,"1.5～1.9","2.0以上"))))))</f>
        <v>欠損</v>
      </c>
      <c r="AQ455" s="8" t="str">
        <f aca="false">IF(A455="","",IF(ISNUMBER(SEARCH("2歳",Z455)),"2歳戦",IF(ISNUMBER(SEARCH("3歳未勝利",Z455)),"3歳未勝利",IF(ISNUMBER(SEARCH("未勝利",Z455)),"その他未勝利",IF(ISNUMBER(SEARCH("G1",Z455)),"G1",IF(ISNUMBER(SEARCH("G2",Z455)),"G2",IF(ISNUMBER(SEARCH("G3",Z455)),"G3",IF(ISNUMBER(SEARCH("古馬条件",Z455)),"古馬条件戦",IF(ISNUMBER(SEARCH("重賞",Z455)),"重賞","分類不能")))))))))</f>
        <v>分類不能</v>
      </c>
      <c r="AR455" s="8"/>
      <c r="AS455" s="8" t="s">
        <v>7623</v>
      </c>
      <c r="AT455" s="8" t="s">
        <v>7624</v>
      </c>
      <c r="AU455" s="8" t="s">
        <v>7600</v>
      </c>
      <c r="AV455" s="4" t="s">
        <v>7601</v>
      </c>
      <c r="AW455" s="8"/>
      <c r="AX455" s="8"/>
      <c r="AY455" s="8" t="s">
        <v>7602</v>
      </c>
      <c r="AZ455" s="4" t="s">
        <v>7603</v>
      </c>
      <c r="BA455" s="8" t="n">
        <v>2000</v>
      </c>
      <c r="BB455" s="8" t="s">
        <v>7659</v>
      </c>
      <c r="BC455" s="4" t="s">
        <v>7619</v>
      </c>
      <c r="BD455" s="8" t="s">
        <v>7605</v>
      </c>
      <c r="BE455" s="4" t="s">
        <v>7606</v>
      </c>
      <c r="BF455" s="8" t="s">
        <v>7607</v>
      </c>
      <c r="BG455" s="8" t="s">
        <v>7608</v>
      </c>
      <c r="BH455" s="4" t="s">
        <v>7609</v>
      </c>
      <c r="BI455" s="8" t="n">
        <v>16</v>
      </c>
      <c r="BJ455" s="8" t="s">
        <v>7602</v>
      </c>
      <c r="BK455" s="4" t="s">
        <v>7653</v>
      </c>
      <c r="BL455" s="8" t="s">
        <v>7602</v>
      </c>
      <c r="BM455" s="4" t="s">
        <v>7620</v>
      </c>
      <c r="BN455" s="8" t="s">
        <v>7631</v>
      </c>
      <c r="BO455" s="8" t="s">
        <v>7680</v>
      </c>
      <c r="BP455" s="8" t="s">
        <v>7610</v>
      </c>
      <c r="BQ455" s="8" t="str">
        <f aca="false">IF(A455="","",AT455)</f>
        <v>3歳</v>
      </c>
      <c r="BR455" s="8" t="str">
        <f aca="false">IF(A455="","",IF(BA455&lt;=1200,"～1200",IF(BA455&lt;=1500,"1300～1500",IF(BA455=1600,"1600",IF(BA455&lt;=1800,"1700～1800",IF(BA455&lt;=2000,"1900～2000","2100以上"))))))</f>
        <v>1900～2000</v>
      </c>
      <c r="BS455" s="8" t="str">
        <f aca="false">IF(A455="","",IF(AX455="G1","G1",IF(AX455="G2","G2",IF(AX455="G3","G3",IF(AX455="L","L","その他")))))</f>
        <v>その他</v>
      </c>
      <c r="BT455" s="8" t="str">
        <f aca="false">IF(A455="","",IF(BI455="","未結合",IF(D455=BI455,"一致","不一致")))</f>
        <v>一致</v>
      </c>
      <c r="BU455" s="8" t="str">
        <f aca="false">IF(A455="","",IF(BE455="牝馬限定","牝馬限定","その他"))</f>
        <v>その他</v>
      </c>
    </row>
    <row r="456" customFormat="false" ht="15.75" hidden="false" customHeight="false" outlineLevel="0" collapsed="false">
      <c r="A456" s="6" t="n">
        <v>46180</v>
      </c>
      <c r="B456" s="4" t="s">
        <v>4172</v>
      </c>
      <c r="C456" s="8" t="n">
        <v>7</v>
      </c>
      <c r="D456" s="8" t="n">
        <v>16</v>
      </c>
      <c r="E456" s="8" t="n">
        <v>8</v>
      </c>
      <c r="F456" s="4" t="s">
        <v>565</v>
      </c>
      <c r="G456" s="8" t="n">
        <v>58</v>
      </c>
      <c r="H456" s="8" t="n">
        <v>16</v>
      </c>
      <c r="I456" s="4" t="s">
        <v>4827</v>
      </c>
      <c r="J456" s="8" t="n">
        <v>52</v>
      </c>
      <c r="K456" s="8" t="n">
        <v>5</v>
      </c>
      <c r="L456" s="4" t="s">
        <v>4819</v>
      </c>
      <c r="M456" s="8" t="n">
        <v>44</v>
      </c>
      <c r="N456" s="8" t="n">
        <f aca="false">IF(A456="","",G456-J456)</f>
        <v>6</v>
      </c>
      <c r="O456" s="8" t="n">
        <f aca="false">IF(A456="","",J456-M456)</f>
        <v>8</v>
      </c>
      <c r="P456" s="8" t="n">
        <f aca="false">IF(A456="","",G456+J456)</f>
        <v>110</v>
      </c>
      <c r="Q456" s="8" t="str">
        <f aca="false">IF(A456="","",IF(AND(Y456&lt;&gt;"参考",G456&gt;=ルール設定!$B$2),"○",""))</f>
        <v/>
      </c>
      <c r="R456" s="8" t="str">
        <f aca="false">IF(A456="","",IF(AND(Y456&lt;&gt;"参考",G456&gt;=ルール設定!$B$3,N456&gt;=ルール設定!$B$4),"○",""))</f>
        <v/>
      </c>
      <c r="S456" s="8" t="str">
        <f aca="false">IF(A456="","",IF(AND(Y456&lt;&gt;"参考",G456&gt;=ルール設定!$B$5,J456&gt;=ルール設定!$B$6,O456&gt;=ルール設定!$B$7),"○",""))</f>
        <v/>
      </c>
      <c r="T456" s="8" t="n">
        <v>1</v>
      </c>
      <c r="U456" s="8" t="n">
        <v>3</v>
      </c>
      <c r="V456" s="8" t="str">
        <f aca="false">IF(A456="","",IF(AND(ISNUMBER(T456),ISNUMBER(U456)),IF(AND(T456&lt;=3,U456&lt;=3),"○","×"),""))</f>
        <v>○</v>
      </c>
      <c r="W456" s="8" t="n">
        <v>130</v>
      </c>
      <c r="X456" s="8" t="n">
        <v>340</v>
      </c>
      <c r="Y456" s="4" t="s">
        <v>7597</v>
      </c>
      <c r="Z456" s="4" t="s">
        <v>4475</v>
      </c>
      <c r="AA456" s="8" t="str">
        <v/>
      </c>
      <c r="AB456" s="8" t="str">
        <v/>
      </c>
      <c r="AC456" s="8" t="str">
        <v/>
      </c>
      <c r="AD456" s="8" t="str">
        <v/>
      </c>
      <c r="AE456" s="8" t="str">
        <v/>
      </c>
      <c r="AF456" s="8" t="str">
        <v/>
      </c>
      <c r="AG456" s="8" t="str">
        <v/>
      </c>
      <c r="AH456" s="8" t="str">
        <v/>
      </c>
      <c r="AI456" s="8" t="n">
        <v>14</v>
      </c>
      <c r="AJ456" s="8" t="str">
        <v>～59</v>
      </c>
      <c r="AK456" s="8" t="str">
        <v>5～9</v>
      </c>
      <c r="AL456" s="8" t="str">
        <v>10～19</v>
      </c>
      <c r="AM456" s="8" t="str">
        <v>100～119</v>
      </c>
      <c r="AN456" s="8" t="str">
        <v>15以上</v>
      </c>
      <c r="AO456" s="8" t="str">
        <f aca="false">IF(A456="","",IF(COUNTIFS(全馬データ!$A$2:$A$50000,A456,全馬データ!$B$2:$B$50000,B456,全馬データ!$C$2:$C$50000,C456,全馬データ!$D$2:$D$50000,E456,全馬データ!$K$2:$K$50000,"&lt;&gt;")=0,"",SUMIFS(全馬データ!$K$2:$K$50000,全馬データ!$A$2:$A$50000,A456,全馬データ!$B$2:$B$50000,B456,全馬データ!$C$2:$C$50000,C456,全馬データ!$D$2:$D$50000,E456)))</f>
        <v/>
      </c>
      <c r="AP456" s="8" t="str">
        <f aca="false">IF(A456="","",IF(AO456="","欠損",IF(AO456&lt;=1.1,"1.0～1.1",IF(AO456&lt;1.3,"1.2",IF(AO456&lt;1.5,"1.3～1.4",IF(AO456&lt;2,"1.5～1.9","2.0以上"))))))</f>
        <v>欠損</v>
      </c>
      <c r="AQ456" s="8" t="str">
        <f aca="false">IF(A456="","",IF(ISNUMBER(SEARCH("2歳",Z456)),"2歳戦",IF(ISNUMBER(SEARCH("3歳未勝利",Z456)),"3歳未勝利",IF(ISNUMBER(SEARCH("未勝利",Z456)),"その他未勝利",IF(ISNUMBER(SEARCH("G1",Z456)),"G1",IF(ISNUMBER(SEARCH("G2",Z456)),"G2",IF(ISNUMBER(SEARCH("G3",Z456)),"G3",IF(ISNUMBER(SEARCH("古馬条件",Z456)),"古馬条件戦",IF(ISNUMBER(SEARCH("重賞",Z456)),"重賞","分類不能")))))))))</f>
        <v>分類不能</v>
      </c>
      <c r="AR456" s="8"/>
      <c r="AS456" s="8" t="s">
        <v>7626</v>
      </c>
      <c r="AT456" s="8" t="s">
        <v>7627</v>
      </c>
      <c r="AU456" s="8" t="s">
        <v>7628</v>
      </c>
      <c r="AV456" s="8" t="s">
        <v>7629</v>
      </c>
      <c r="AW456" s="8"/>
      <c r="AX456" s="8"/>
      <c r="AY456" s="8" t="s">
        <v>7610</v>
      </c>
      <c r="AZ456" s="4" t="s">
        <v>7617</v>
      </c>
      <c r="BA456" s="8" t="n">
        <v>1800</v>
      </c>
      <c r="BB456" s="8" t="s">
        <v>7618</v>
      </c>
      <c r="BC456" s="4" t="s">
        <v>7619</v>
      </c>
      <c r="BD456" s="8" t="s">
        <v>7621</v>
      </c>
      <c r="BE456" s="4" t="s">
        <v>7622</v>
      </c>
      <c r="BF456" s="8" t="s">
        <v>7602</v>
      </c>
      <c r="BG456" s="8" t="s">
        <v>7631</v>
      </c>
      <c r="BH456" s="4" t="s">
        <v>7632</v>
      </c>
      <c r="BI456" s="8" t="n">
        <v>16</v>
      </c>
      <c r="BJ456" s="8" t="s">
        <v>7602</v>
      </c>
      <c r="BK456" s="4" t="s">
        <v>7653</v>
      </c>
      <c r="BL456" s="8" t="s">
        <v>7602</v>
      </c>
      <c r="BM456" s="4" t="s">
        <v>7620</v>
      </c>
      <c r="BN456" s="8"/>
      <c r="BO456" s="8"/>
      <c r="BP456" s="8" t="s">
        <v>7610</v>
      </c>
      <c r="BQ456" s="8" t="str">
        <f aca="false">IF(A456="","",AT456)</f>
        <v>3歳以上</v>
      </c>
      <c r="BR456" s="8" t="str">
        <f aca="false">IF(A456="","",IF(BA456&lt;=1200,"～1200",IF(BA456&lt;=1500,"1300～1500",IF(BA456=1600,"1600",IF(BA456&lt;=1800,"1700～1800",IF(BA456&lt;=2000,"1900～2000","2100以上"))))))</f>
        <v>1700～1800</v>
      </c>
      <c r="BS456" s="8" t="str">
        <f aca="false">IF(A456="","",IF(AX456="G1","G1",IF(AX456="G2","G2",IF(AX456="G3","G3",IF(AX456="L","L","その他")))))</f>
        <v>その他</v>
      </c>
      <c r="BT456" s="8" t="str">
        <f aca="false">IF(A456="","",IF(BI456="","未結合",IF(D456=BI456,"一致","不一致")))</f>
        <v>一致</v>
      </c>
      <c r="BU456" s="8" t="str">
        <f aca="false">IF(A456="","",IF(BE456="牝馬限定","牝馬限定","その他"))</f>
        <v>牝馬限定</v>
      </c>
    </row>
    <row r="457" customFormat="false" ht="15.75" hidden="false" customHeight="false" outlineLevel="0" collapsed="false">
      <c r="A457" s="6" t="n">
        <v>46180</v>
      </c>
      <c r="B457" s="4" t="s">
        <v>4172</v>
      </c>
      <c r="C457" s="8" t="n">
        <v>8</v>
      </c>
      <c r="D457" s="8" t="n">
        <v>18</v>
      </c>
      <c r="E457" s="8" t="n">
        <v>7</v>
      </c>
      <c r="F457" s="4" t="s">
        <v>4832</v>
      </c>
      <c r="G457" s="8" t="n">
        <v>52</v>
      </c>
      <c r="H457" s="8" t="n">
        <v>14</v>
      </c>
      <c r="I457" s="4" t="s">
        <v>4838</v>
      </c>
      <c r="J457" s="8" t="n">
        <v>50</v>
      </c>
      <c r="K457" s="8" t="n">
        <v>6</v>
      </c>
      <c r="L457" s="4" t="s">
        <v>4831</v>
      </c>
      <c r="M457" s="8" t="n">
        <v>41</v>
      </c>
      <c r="N457" s="8" t="n">
        <f aca="false">IF(A457="","",G457-J457)</f>
        <v>2</v>
      </c>
      <c r="O457" s="8" t="n">
        <f aca="false">IF(A457="","",J457-M457)</f>
        <v>9</v>
      </c>
      <c r="P457" s="8" t="n">
        <f aca="false">IF(A457="","",G457+J457)</f>
        <v>102</v>
      </c>
      <c r="Q457" s="8" t="str">
        <f aca="false">IF(A457="","",IF(AND(Y457&lt;&gt;"参考",G457&gt;=ルール設定!$B$2),"○",""))</f>
        <v/>
      </c>
      <c r="R457" s="8" t="str">
        <f aca="false">IF(A457="","",IF(AND(Y457&lt;&gt;"参考",G457&gt;=ルール設定!$B$3,N457&gt;=ルール設定!$B$4),"○",""))</f>
        <v/>
      </c>
      <c r="S457" s="8" t="str">
        <f aca="false">IF(A457="","",IF(AND(Y457&lt;&gt;"参考",G457&gt;=ルール設定!$B$5,J457&gt;=ルール設定!$B$6,O457&gt;=ルール設定!$B$7),"○",""))</f>
        <v/>
      </c>
      <c r="T457" s="8" t="n">
        <v>4</v>
      </c>
      <c r="U457" s="8" t="n">
        <v>1</v>
      </c>
      <c r="V457" s="8" t="str">
        <f aca="false">IF(A457="","",IF(AND(ISNUMBER(T457),ISNUMBER(U457)),IF(AND(T457&lt;=3,U457&lt;=3),"○","×"),""))</f>
        <v>×</v>
      </c>
      <c r="W457" s="8"/>
      <c r="X457" s="8"/>
      <c r="Y457" s="4" t="s">
        <v>7597</v>
      </c>
      <c r="Z457" s="4" t="s">
        <v>4475</v>
      </c>
      <c r="AA457" s="8" t="str">
        <v/>
      </c>
      <c r="AB457" s="8" t="str">
        <v/>
      </c>
      <c r="AC457" s="8" t="str">
        <v/>
      </c>
      <c r="AD457" s="8" t="str">
        <v/>
      </c>
      <c r="AE457" s="8" t="str">
        <v/>
      </c>
      <c r="AF457" s="8" t="str">
        <v/>
      </c>
      <c r="AG457" s="8" t="str">
        <v/>
      </c>
      <c r="AH457" s="8" t="str">
        <v/>
      </c>
      <c r="AI457" s="8" t="n">
        <v>11</v>
      </c>
      <c r="AJ457" s="8" t="str">
        <v>～59</v>
      </c>
      <c r="AK457" s="8" t="str">
        <v>0～4</v>
      </c>
      <c r="AL457" s="8" t="str">
        <v>10～19</v>
      </c>
      <c r="AM457" s="8" t="str">
        <v>100～119</v>
      </c>
      <c r="AN457" s="8" t="str">
        <v>15以上</v>
      </c>
      <c r="AO457" s="8" t="str">
        <f aca="false">IF(A457="","",IF(COUNTIFS(全馬データ!$A$2:$A$50000,A457,全馬データ!$B$2:$B$50000,B457,全馬データ!$C$2:$C$50000,C457,全馬データ!$D$2:$D$50000,E457,全馬データ!$K$2:$K$50000,"&lt;&gt;")=0,"",SUMIFS(全馬データ!$K$2:$K$50000,全馬データ!$A$2:$A$50000,A457,全馬データ!$B$2:$B$50000,B457,全馬データ!$C$2:$C$50000,C457,全馬データ!$D$2:$D$50000,E457)))</f>
        <v/>
      </c>
      <c r="AP457" s="8" t="str">
        <f aca="false">IF(A457="","",IF(AO457="","欠損",IF(AO457&lt;=1.1,"1.0～1.1",IF(AO457&lt;1.3,"1.2",IF(AO457&lt;1.5,"1.3～1.4",IF(AO457&lt;2,"1.5～1.9","2.0以上"))))))</f>
        <v>欠損</v>
      </c>
      <c r="AQ457" s="8" t="str">
        <f aca="false">IF(A457="","",IF(ISNUMBER(SEARCH("2歳",Z457)),"2歳戦",IF(ISNUMBER(SEARCH("3歳未勝利",Z457)),"3歳未勝利",IF(ISNUMBER(SEARCH("未勝利",Z457)),"その他未勝利",IF(ISNUMBER(SEARCH("G1",Z457)),"G1",IF(ISNUMBER(SEARCH("G2",Z457)),"G2",IF(ISNUMBER(SEARCH("G3",Z457)),"G3",IF(ISNUMBER(SEARCH("古馬条件",Z457)),"古馬条件戦",IF(ISNUMBER(SEARCH("重賞",Z457)),"重賞","分類不能")))))))))</f>
        <v>分類不能</v>
      </c>
      <c r="AR457" s="8"/>
      <c r="AS457" s="8" t="s">
        <v>7626</v>
      </c>
      <c r="AT457" s="8" t="s">
        <v>7627</v>
      </c>
      <c r="AU457" s="8" t="s">
        <v>7628</v>
      </c>
      <c r="AV457" s="8" t="s">
        <v>7629</v>
      </c>
      <c r="AW457" s="8"/>
      <c r="AX457" s="8"/>
      <c r="AY457" s="8" t="s">
        <v>7602</v>
      </c>
      <c r="AZ457" s="4" t="s">
        <v>7603</v>
      </c>
      <c r="BA457" s="8" t="n">
        <v>1400</v>
      </c>
      <c r="BB457" s="8" t="s">
        <v>7659</v>
      </c>
      <c r="BC457" s="4" t="s">
        <v>7619</v>
      </c>
      <c r="BD457" s="8" t="s">
        <v>7690</v>
      </c>
      <c r="BE457" s="4" t="s">
        <v>7606</v>
      </c>
      <c r="BF457" s="8" t="s">
        <v>7607</v>
      </c>
      <c r="BG457" s="8" t="s">
        <v>7631</v>
      </c>
      <c r="BH457" s="4" t="s">
        <v>7632</v>
      </c>
      <c r="BI457" s="8" t="n">
        <v>18</v>
      </c>
      <c r="BJ457" s="8" t="s">
        <v>7602</v>
      </c>
      <c r="BK457" s="4" t="s">
        <v>7653</v>
      </c>
      <c r="BL457" s="8" t="s">
        <v>7602</v>
      </c>
      <c r="BM457" s="4" t="s">
        <v>7620</v>
      </c>
      <c r="BN457" s="8" t="s">
        <v>7631</v>
      </c>
      <c r="BO457" s="8" t="s">
        <v>7680</v>
      </c>
      <c r="BP457" s="8" t="s">
        <v>7610</v>
      </c>
      <c r="BQ457" s="8" t="str">
        <f aca="false">IF(A457="","",AT457)</f>
        <v>3歳以上</v>
      </c>
      <c r="BR457" s="8" t="str">
        <f aca="false">IF(A457="","",IF(BA457&lt;=1200,"～1200",IF(BA457&lt;=1500,"1300～1500",IF(BA457=1600,"1600",IF(BA457&lt;=1800,"1700～1800",IF(BA457&lt;=2000,"1900～2000","2100以上"))))))</f>
        <v>1300～1500</v>
      </c>
      <c r="BS457" s="8" t="str">
        <f aca="false">IF(A457="","",IF(AX457="G1","G1",IF(AX457="G2","G2",IF(AX457="G3","G3",IF(AX457="L","L","その他")))))</f>
        <v>その他</v>
      </c>
      <c r="BT457" s="8" t="str">
        <f aca="false">IF(A457="","",IF(BI457="","未結合",IF(D457=BI457,"一致","不一致")))</f>
        <v>一致</v>
      </c>
      <c r="BU457" s="8" t="str">
        <f aca="false">IF(A457="","",IF(BE457="牝馬限定","牝馬限定","その他"))</f>
        <v>その他</v>
      </c>
    </row>
    <row r="458" customFormat="false" ht="15.75" hidden="false" customHeight="false" outlineLevel="0" collapsed="false">
      <c r="A458" s="6" t="n">
        <v>46180</v>
      </c>
      <c r="B458" s="4" t="s">
        <v>4172</v>
      </c>
      <c r="C458" s="8" t="n">
        <v>9</v>
      </c>
      <c r="D458" s="8" t="n">
        <v>16</v>
      </c>
      <c r="E458" s="8" t="n">
        <v>6</v>
      </c>
      <c r="F458" s="4" t="s">
        <v>1199</v>
      </c>
      <c r="G458" s="8" t="n">
        <v>41</v>
      </c>
      <c r="H458" s="8" t="n">
        <v>10</v>
      </c>
      <c r="I458" s="4" t="s">
        <v>4847</v>
      </c>
      <c r="J458" s="8" t="n">
        <v>41</v>
      </c>
      <c r="K458" s="8" t="n">
        <v>16</v>
      </c>
      <c r="L458" s="4" t="s">
        <v>4851</v>
      </c>
      <c r="M458" s="8" t="n">
        <v>37</v>
      </c>
      <c r="N458" s="8" t="n">
        <f aca="false">IF(A458="","",G458-J458)</f>
        <v>0</v>
      </c>
      <c r="O458" s="8" t="n">
        <f aca="false">IF(A458="","",J458-M458)</f>
        <v>4</v>
      </c>
      <c r="P458" s="8" t="n">
        <f aca="false">IF(A458="","",G458+J458)</f>
        <v>82</v>
      </c>
      <c r="Q458" s="8" t="str">
        <f aca="false">IF(A458="","",IF(AND(Y458&lt;&gt;"参考",G458&gt;=ルール設定!$B$2),"○",""))</f>
        <v/>
      </c>
      <c r="R458" s="8" t="str">
        <f aca="false">IF(A458="","",IF(AND(Y458&lt;&gt;"参考",G458&gt;=ルール設定!$B$3,N458&gt;=ルール設定!$B$4),"○",""))</f>
        <v/>
      </c>
      <c r="S458" s="8" t="str">
        <f aca="false">IF(A458="","",IF(AND(Y458&lt;&gt;"参考",G458&gt;=ルール設定!$B$5,J458&gt;=ルール設定!$B$6,O458&gt;=ルール設定!$B$7),"○",""))</f>
        <v/>
      </c>
      <c r="T458" s="8" t="n">
        <v>4</v>
      </c>
      <c r="U458" s="8" t="n">
        <v>2</v>
      </c>
      <c r="V458" s="8" t="str">
        <f aca="false">IF(A458="","",IF(AND(ISNUMBER(T458),ISNUMBER(U458)),IF(AND(T458&lt;=3,U458&lt;=3),"○","×"),""))</f>
        <v>×</v>
      </c>
      <c r="W458" s="8"/>
      <c r="X458" s="8"/>
      <c r="Y458" s="4" t="s">
        <v>7597</v>
      </c>
      <c r="Z458" s="4" t="s">
        <v>4475</v>
      </c>
      <c r="AA458" s="8" t="str">
        <v/>
      </c>
      <c r="AB458" s="8" t="str">
        <v/>
      </c>
      <c r="AC458" s="8" t="str">
        <v/>
      </c>
      <c r="AD458" s="8" t="str">
        <v/>
      </c>
      <c r="AE458" s="8" t="str">
        <v/>
      </c>
      <c r="AF458" s="8" t="str">
        <v/>
      </c>
      <c r="AG458" s="8" t="str">
        <v/>
      </c>
      <c r="AH458" s="8" t="str">
        <v/>
      </c>
      <c r="AI458" s="8" t="n">
        <v>4</v>
      </c>
      <c r="AJ458" s="8" t="str">
        <v>～59</v>
      </c>
      <c r="AK458" s="8" t="str">
        <v>0～4</v>
      </c>
      <c r="AL458" s="8" t="str">
        <v>0～9</v>
      </c>
      <c r="AM458" s="8" t="str">
        <v>～99</v>
      </c>
      <c r="AN458" s="8" t="str">
        <v>15以上</v>
      </c>
      <c r="AO458" s="8" t="str">
        <f aca="false">IF(A458="","",IF(COUNTIFS(全馬データ!$A$2:$A$50000,A458,全馬データ!$B$2:$B$50000,B458,全馬データ!$C$2:$C$50000,C458,全馬データ!$D$2:$D$50000,E458,全馬データ!$K$2:$K$50000,"&lt;&gt;")=0,"",SUMIFS(全馬データ!$K$2:$K$50000,全馬データ!$A$2:$A$50000,A458,全馬データ!$B$2:$B$50000,B458,全馬データ!$C$2:$C$50000,C458,全馬データ!$D$2:$D$50000,E458)))</f>
        <v/>
      </c>
      <c r="AP458" s="8" t="str">
        <f aca="false">IF(A458="","",IF(AO458="","欠損",IF(AO458&lt;=1.1,"1.0～1.1",IF(AO458&lt;1.3,"1.2",IF(AO458&lt;1.5,"1.3～1.4",IF(AO458&lt;2,"1.5～1.9","2.0以上"))))))</f>
        <v>欠損</v>
      </c>
      <c r="AQ458" s="8" t="str">
        <f aca="false">IF(A458="","",IF(ISNUMBER(SEARCH("2歳",Z458)),"2歳戦",IF(ISNUMBER(SEARCH("3歳未勝利",Z458)),"3歳未勝利",IF(ISNUMBER(SEARCH("未勝利",Z458)),"その他未勝利",IF(ISNUMBER(SEARCH("G1",Z458)),"G1",IF(ISNUMBER(SEARCH("G2",Z458)),"G2",IF(ISNUMBER(SEARCH("G3",Z458)),"G3",IF(ISNUMBER(SEARCH("古馬条件",Z458)),"古馬条件戦",IF(ISNUMBER(SEARCH("重賞",Z458)),"重賞","分類不能")))))))))</f>
        <v>分類不能</v>
      </c>
      <c r="AR458" s="4" t="s">
        <v>7816</v>
      </c>
      <c r="AS458" s="8" t="s">
        <v>7626</v>
      </c>
      <c r="AT458" s="8" t="s">
        <v>7627</v>
      </c>
      <c r="AU458" s="8" t="s">
        <v>7634</v>
      </c>
      <c r="AV458" s="8" t="s">
        <v>7635</v>
      </c>
      <c r="AW458" s="8" t="s">
        <v>7636</v>
      </c>
      <c r="AX458" s="4" t="s">
        <v>7637</v>
      </c>
      <c r="AY458" s="8" t="s">
        <v>7610</v>
      </c>
      <c r="AZ458" s="4" t="s">
        <v>7617</v>
      </c>
      <c r="BA458" s="8" t="n">
        <v>1400</v>
      </c>
      <c r="BB458" s="8" t="s">
        <v>7618</v>
      </c>
      <c r="BC458" s="4" t="s">
        <v>7619</v>
      </c>
      <c r="BD458" s="8" t="s">
        <v>7605</v>
      </c>
      <c r="BE458" s="4" t="s">
        <v>7606</v>
      </c>
      <c r="BF458" s="8" t="s">
        <v>7607</v>
      </c>
      <c r="BG458" s="8" t="s">
        <v>7631</v>
      </c>
      <c r="BH458" s="4" t="s">
        <v>7632</v>
      </c>
      <c r="BI458" s="8" t="n">
        <v>16</v>
      </c>
      <c r="BJ458" s="8" t="s">
        <v>7602</v>
      </c>
      <c r="BK458" s="4" t="s">
        <v>7653</v>
      </c>
      <c r="BL458" s="8" t="s">
        <v>7602</v>
      </c>
      <c r="BM458" s="4" t="s">
        <v>7620</v>
      </c>
      <c r="BN458" s="8"/>
      <c r="BO458" s="8"/>
      <c r="BP458" s="8" t="s">
        <v>7610</v>
      </c>
      <c r="BQ458" s="8" t="str">
        <f aca="false">IF(A458="","",AT458)</f>
        <v>3歳以上</v>
      </c>
      <c r="BR458" s="8" t="str">
        <f aca="false">IF(A458="","",IF(BA458&lt;=1200,"～1200",IF(BA458&lt;=1500,"1300～1500",IF(BA458=1600,"1600",IF(BA458&lt;=1800,"1700～1800",IF(BA458&lt;=2000,"1900～2000","2100以上"))))))</f>
        <v>1300～1500</v>
      </c>
      <c r="BS458" s="8" t="str">
        <f aca="false">IF(A458="","",IF(AX458="G1","G1",IF(AX458="G2","G2",IF(AX458="G3","G3",IF(AX458="L","L","その他")))))</f>
        <v>その他</v>
      </c>
      <c r="BT458" s="8" t="str">
        <f aca="false">IF(A458="","",IF(BI458="","未結合",IF(D458=BI458,"一致","不一致")))</f>
        <v>一致</v>
      </c>
      <c r="BU458" s="8" t="str">
        <f aca="false">IF(A458="","",IF(BE458="牝馬限定","牝馬限定","その他"))</f>
        <v>その他</v>
      </c>
    </row>
    <row r="459" customFormat="false" ht="15.75" hidden="false" customHeight="false" outlineLevel="0" collapsed="false">
      <c r="A459" s="6" t="n">
        <v>46180</v>
      </c>
      <c r="B459" s="4" t="s">
        <v>4172</v>
      </c>
      <c r="C459" s="8" t="n">
        <v>10</v>
      </c>
      <c r="D459" s="8" t="n">
        <v>9</v>
      </c>
      <c r="E459" s="8" t="n">
        <v>8</v>
      </c>
      <c r="F459" s="4" t="s">
        <v>1520</v>
      </c>
      <c r="G459" s="8" t="n">
        <v>44</v>
      </c>
      <c r="H459" s="8" t="n">
        <v>3</v>
      </c>
      <c r="I459" s="4" t="s">
        <v>1674</v>
      </c>
      <c r="J459" s="8" t="n">
        <v>15</v>
      </c>
      <c r="K459" s="8" t="n">
        <v>4</v>
      </c>
      <c r="L459" s="4" t="s">
        <v>1671</v>
      </c>
      <c r="M459" s="8" t="n">
        <v>15</v>
      </c>
      <c r="N459" s="8" t="n">
        <f aca="false">IF(A459="","",G459-J459)</f>
        <v>29</v>
      </c>
      <c r="O459" s="8" t="n">
        <f aca="false">IF(A459="","",J459-M459)</f>
        <v>0</v>
      </c>
      <c r="P459" s="8" t="n">
        <f aca="false">IF(A459="","",G459+J459)</f>
        <v>59</v>
      </c>
      <c r="Q459" s="8" t="str">
        <f aca="false">IF(A459="","",IF(AND(Y459&lt;&gt;"参考",G459&gt;=ルール設定!$B$2),"○",""))</f>
        <v/>
      </c>
      <c r="R459" s="8" t="str">
        <f aca="false">IF(A459="","",IF(AND(Y459&lt;&gt;"参考",G459&gt;=ルール設定!$B$3,N459&gt;=ルール設定!$B$4),"○",""))</f>
        <v/>
      </c>
      <c r="S459" s="8" t="str">
        <f aca="false">IF(A459="","",IF(AND(Y459&lt;&gt;"参考",G459&gt;=ルール設定!$B$5,J459&gt;=ルール設定!$B$6,O459&gt;=ルール設定!$B$7),"○",""))</f>
        <v/>
      </c>
      <c r="T459" s="8" t="n">
        <v>4</v>
      </c>
      <c r="U459" s="8" t="n">
        <v>3</v>
      </c>
      <c r="V459" s="8" t="str">
        <f aca="false">IF(A459="","",IF(AND(ISNUMBER(T459),ISNUMBER(U459)),IF(AND(T459&lt;=3,U459&lt;=3),"○","×"),""))</f>
        <v>×</v>
      </c>
      <c r="W459" s="8"/>
      <c r="X459" s="8"/>
      <c r="Y459" s="4" t="s">
        <v>7597</v>
      </c>
      <c r="Z459" s="4" t="s">
        <v>4475</v>
      </c>
      <c r="AA459" s="8" t="str">
        <v/>
      </c>
      <c r="AB459" s="8" t="str">
        <v/>
      </c>
      <c r="AC459" s="8" t="str">
        <v/>
      </c>
      <c r="AD459" s="8" t="str">
        <v/>
      </c>
      <c r="AE459" s="8" t="str">
        <v/>
      </c>
      <c r="AF459" s="8" t="str">
        <v/>
      </c>
      <c r="AG459" s="8" t="str">
        <v/>
      </c>
      <c r="AH459" s="8" t="str">
        <v/>
      </c>
      <c r="AI459" s="8" t="n">
        <v>29</v>
      </c>
      <c r="AJ459" s="8" t="str">
        <v>～59</v>
      </c>
      <c r="AK459" s="8" t="str">
        <v>20～29</v>
      </c>
      <c r="AL459" s="8" t="str">
        <v>20～29</v>
      </c>
      <c r="AM459" s="8" t="str">
        <v>～99</v>
      </c>
      <c r="AN459" s="8" t="str">
        <v>8～11</v>
      </c>
      <c r="AO459" s="8" t="str">
        <f aca="false">IF(A459="","",IF(COUNTIFS(全馬データ!$A$2:$A$50000,A459,全馬データ!$B$2:$B$50000,B459,全馬データ!$C$2:$C$50000,C459,全馬データ!$D$2:$D$50000,E459,全馬データ!$K$2:$K$50000,"&lt;&gt;")=0,"",SUMIFS(全馬データ!$K$2:$K$50000,全馬データ!$A$2:$A$50000,A459,全馬データ!$B$2:$B$50000,B459,全馬データ!$C$2:$C$50000,C459,全馬データ!$D$2:$D$50000,E459)))</f>
        <v/>
      </c>
      <c r="AP459" s="8" t="str">
        <f aca="false">IF(A459="","",IF(AO459="","欠損",IF(AO459&lt;=1.1,"1.0～1.1",IF(AO459&lt;1.3,"1.2",IF(AO459&lt;1.5,"1.3～1.4",IF(AO459&lt;2,"1.5～1.9","2.0以上"))))))</f>
        <v>欠損</v>
      </c>
      <c r="AQ459" s="8" t="str">
        <f aca="false">IF(A459="","",IF(ISNUMBER(SEARCH("2歳",Z459)),"2歳戦",IF(ISNUMBER(SEARCH("3歳未勝利",Z459)),"3歳未勝利",IF(ISNUMBER(SEARCH("未勝利",Z459)),"その他未勝利",IF(ISNUMBER(SEARCH("G1",Z459)),"G1",IF(ISNUMBER(SEARCH("G2",Z459)),"G2",IF(ISNUMBER(SEARCH("G3",Z459)),"G3",IF(ISNUMBER(SEARCH("古馬条件",Z459)),"古馬条件戦",IF(ISNUMBER(SEARCH("重賞",Z459)),"重賞","分類不能")))))))))</f>
        <v>分類不能</v>
      </c>
      <c r="AR459" s="4" t="s">
        <v>7817</v>
      </c>
      <c r="AS459" s="8" t="s">
        <v>7626</v>
      </c>
      <c r="AT459" s="8" t="s">
        <v>7627</v>
      </c>
      <c r="AU459" s="8" t="s">
        <v>7634</v>
      </c>
      <c r="AV459" s="8" t="s">
        <v>7635</v>
      </c>
      <c r="AW459" s="8" t="s">
        <v>7636</v>
      </c>
      <c r="AX459" s="4" t="s">
        <v>7637</v>
      </c>
      <c r="AY459" s="8" t="s">
        <v>7602</v>
      </c>
      <c r="AZ459" s="4" t="s">
        <v>7603</v>
      </c>
      <c r="BA459" s="8" t="n">
        <v>1800</v>
      </c>
      <c r="BB459" s="8" t="s">
        <v>7659</v>
      </c>
      <c r="BC459" s="4" t="s">
        <v>7619</v>
      </c>
      <c r="BD459" s="8" t="s">
        <v>7605</v>
      </c>
      <c r="BE459" s="4" t="s">
        <v>7606</v>
      </c>
      <c r="BF459" s="8" t="s">
        <v>7607</v>
      </c>
      <c r="BG459" s="8" t="s">
        <v>7631</v>
      </c>
      <c r="BH459" s="4" t="s">
        <v>7632</v>
      </c>
      <c r="BI459" s="8" t="n">
        <v>9</v>
      </c>
      <c r="BJ459" s="8" t="s">
        <v>7602</v>
      </c>
      <c r="BK459" s="4" t="s">
        <v>7653</v>
      </c>
      <c r="BL459" s="8" t="s">
        <v>7610</v>
      </c>
      <c r="BM459" s="4" t="s">
        <v>7612</v>
      </c>
      <c r="BN459" s="8" t="s">
        <v>7631</v>
      </c>
      <c r="BO459" s="8" t="s">
        <v>7680</v>
      </c>
      <c r="BP459" s="8" t="s">
        <v>7610</v>
      </c>
      <c r="BQ459" s="8" t="str">
        <f aca="false">IF(A459="","",AT459)</f>
        <v>3歳以上</v>
      </c>
      <c r="BR459" s="8" t="str">
        <f aca="false">IF(A459="","",IF(BA459&lt;=1200,"～1200",IF(BA459&lt;=1500,"1300～1500",IF(BA459=1600,"1600",IF(BA459&lt;=1800,"1700～1800",IF(BA459&lt;=2000,"1900～2000","2100以上"))))))</f>
        <v>1700～1800</v>
      </c>
      <c r="BS459" s="8" t="str">
        <f aca="false">IF(A459="","",IF(AX459="G1","G1",IF(AX459="G2","G2",IF(AX459="G3","G3",IF(AX459="L","L","その他")))))</f>
        <v>その他</v>
      </c>
      <c r="BT459" s="8" t="str">
        <f aca="false">IF(A459="","",IF(BI459="","未結合",IF(D459=BI459,"一致","不一致")))</f>
        <v>一致</v>
      </c>
      <c r="BU459" s="8" t="str">
        <f aca="false">IF(A459="","",IF(BE459="牝馬限定","牝馬限定","その他"))</f>
        <v>その他</v>
      </c>
    </row>
    <row r="460" customFormat="false" ht="15.75" hidden="false" customHeight="false" outlineLevel="0" collapsed="false">
      <c r="A460" s="6" t="n">
        <v>46180</v>
      </c>
      <c r="B460" s="4" t="s">
        <v>4172</v>
      </c>
      <c r="C460" s="8" t="n">
        <v>11</v>
      </c>
      <c r="D460" s="8" t="n">
        <v>16</v>
      </c>
      <c r="E460" s="8" t="n">
        <v>6</v>
      </c>
      <c r="F460" s="4" t="s">
        <v>4857</v>
      </c>
      <c r="G460" s="8" t="n">
        <v>56</v>
      </c>
      <c r="H460" s="8" t="n">
        <v>15</v>
      </c>
      <c r="I460" s="4" t="s">
        <v>4866</v>
      </c>
      <c r="J460" s="8" t="n">
        <v>50</v>
      </c>
      <c r="K460" s="8" t="n">
        <v>5</v>
      </c>
      <c r="L460" s="4" t="s">
        <v>1538</v>
      </c>
      <c r="M460" s="8" t="n">
        <v>23</v>
      </c>
      <c r="N460" s="8" t="n">
        <f aca="false">IF(A460="","",G460-J460)</f>
        <v>6</v>
      </c>
      <c r="O460" s="8" t="n">
        <f aca="false">IF(A460="","",J460-M460)</f>
        <v>27</v>
      </c>
      <c r="P460" s="8" t="n">
        <f aca="false">IF(A460="","",G460+J460)</f>
        <v>106</v>
      </c>
      <c r="Q460" s="8" t="str">
        <f aca="false">IF(A460="","",IF(AND(Y460&lt;&gt;"参考",G460&gt;=ルール設定!$B$2),"○",""))</f>
        <v/>
      </c>
      <c r="R460" s="8" t="str">
        <f aca="false">IF(A460="","",IF(AND(Y460&lt;&gt;"参考",G460&gt;=ルール設定!$B$3,N460&gt;=ルール設定!$B$4),"○",""))</f>
        <v/>
      </c>
      <c r="S460" s="8" t="str">
        <f aca="false">IF(A460="","",IF(AND(Y460&lt;&gt;"参考",G460&gt;=ルール設定!$B$5,J460&gt;=ルール設定!$B$6,O460&gt;=ルール設定!$B$7),"○",""))</f>
        <v/>
      </c>
      <c r="T460" s="8" t="n">
        <v>1</v>
      </c>
      <c r="U460" s="8" t="n">
        <v>4</v>
      </c>
      <c r="V460" s="8" t="str">
        <f aca="false">IF(A460="","",IF(AND(ISNUMBER(T460),ISNUMBER(U460)),IF(AND(T460&lt;=3,U460&lt;=3),"○","×"),""))</f>
        <v>×</v>
      </c>
      <c r="W460" s="8" t="n">
        <v>160</v>
      </c>
      <c r="X460" s="8"/>
      <c r="Y460" s="4" t="s">
        <v>7597</v>
      </c>
      <c r="Z460" s="4" t="s">
        <v>4475</v>
      </c>
      <c r="AA460" s="8" t="str">
        <v/>
      </c>
      <c r="AB460" s="8" t="str">
        <v/>
      </c>
      <c r="AC460" s="8" t="str">
        <v/>
      </c>
      <c r="AD460" s="8" t="str">
        <v/>
      </c>
      <c r="AE460" s="8" t="str">
        <v/>
      </c>
      <c r="AF460" s="8" t="str">
        <v/>
      </c>
      <c r="AG460" s="8" t="str">
        <v/>
      </c>
      <c r="AH460" s="8" t="str">
        <v/>
      </c>
      <c r="AI460" s="8" t="n">
        <v>33</v>
      </c>
      <c r="AJ460" s="8" t="str">
        <v>～59</v>
      </c>
      <c r="AK460" s="8" t="str">
        <v>5～9</v>
      </c>
      <c r="AL460" s="8" t="str">
        <v>30～39</v>
      </c>
      <c r="AM460" s="8" t="str">
        <v>100～119</v>
      </c>
      <c r="AN460" s="8" t="str">
        <v>15以上</v>
      </c>
      <c r="AO460" s="8" t="str">
        <f aca="false">IF(A460="","",IF(COUNTIFS(全馬データ!$A$2:$A$50000,A460,全馬データ!$B$2:$B$50000,B460,全馬データ!$C$2:$C$50000,C460,全馬データ!$D$2:$D$50000,E460,全馬データ!$K$2:$K$50000,"&lt;&gt;")=0,"",SUMIFS(全馬データ!$K$2:$K$50000,全馬データ!$A$2:$A$50000,A460,全馬データ!$B$2:$B$50000,B460,全馬データ!$C$2:$C$50000,C460,全馬データ!$D$2:$D$50000,E460)))</f>
        <v/>
      </c>
      <c r="AP460" s="8" t="str">
        <f aca="false">IF(A460="","",IF(AO460="","欠損",IF(AO460&lt;=1.1,"1.0～1.1",IF(AO460&lt;1.3,"1.2",IF(AO460&lt;1.5,"1.3～1.4",IF(AO460&lt;2,"1.5～1.9","2.0以上"))))))</f>
        <v>欠損</v>
      </c>
      <c r="AQ460" s="8" t="str">
        <f aca="false">IF(A460="","",IF(ISNUMBER(SEARCH("2歳",Z460)),"2歳戦",IF(ISNUMBER(SEARCH("3歳未勝利",Z460)),"3歳未勝利",IF(ISNUMBER(SEARCH("未勝利",Z460)),"その他未勝利",IF(ISNUMBER(SEARCH("G1",Z460)),"G1",IF(ISNUMBER(SEARCH("G2",Z460)),"G2",IF(ISNUMBER(SEARCH("G3",Z460)),"G3",IF(ISNUMBER(SEARCH("古馬条件",Z460)),"古馬条件戦",IF(ISNUMBER(SEARCH("重賞",Z460)),"重賞","分類不能")))))))))</f>
        <v>分類不能</v>
      </c>
      <c r="AR460" s="4" t="s">
        <v>7818</v>
      </c>
      <c r="AS460" s="8" t="s">
        <v>7626</v>
      </c>
      <c r="AT460" s="8" t="s">
        <v>7627</v>
      </c>
      <c r="AU460" s="8" t="s">
        <v>7643</v>
      </c>
      <c r="AV460" s="4" t="s">
        <v>7644</v>
      </c>
      <c r="AW460" s="8" t="s">
        <v>7636</v>
      </c>
      <c r="AX460" s="4" t="s">
        <v>7637</v>
      </c>
      <c r="AY460" s="8" t="s">
        <v>7610</v>
      </c>
      <c r="AZ460" s="4" t="s">
        <v>7617</v>
      </c>
      <c r="BA460" s="8" t="n">
        <v>1200</v>
      </c>
      <c r="BB460" s="8" t="s">
        <v>7618</v>
      </c>
      <c r="BC460" s="4" t="s">
        <v>7619</v>
      </c>
      <c r="BD460" s="8" t="s">
        <v>7666</v>
      </c>
      <c r="BE460" s="4" t="s">
        <v>7606</v>
      </c>
      <c r="BF460" s="8" t="s">
        <v>7607</v>
      </c>
      <c r="BG460" s="8" t="s">
        <v>7602</v>
      </c>
      <c r="BH460" s="4" t="s">
        <v>7667</v>
      </c>
      <c r="BI460" s="8" t="n">
        <v>16</v>
      </c>
      <c r="BJ460" s="8" t="s">
        <v>7602</v>
      </c>
      <c r="BK460" s="4" t="s">
        <v>7653</v>
      </c>
      <c r="BL460" s="8" t="s">
        <v>7602</v>
      </c>
      <c r="BM460" s="4" t="s">
        <v>7620</v>
      </c>
      <c r="BN460" s="8"/>
      <c r="BO460" s="8"/>
      <c r="BP460" s="8" t="s">
        <v>7610</v>
      </c>
      <c r="BQ460" s="8" t="str">
        <f aca="false">IF(A460="","",AT460)</f>
        <v>3歳以上</v>
      </c>
      <c r="BR460" s="8" t="str">
        <f aca="false">IF(A460="","",IF(BA460&lt;=1200,"～1200",IF(BA460&lt;=1500,"1300～1500",IF(BA460=1600,"1600",IF(BA460&lt;=1800,"1700～1800",IF(BA460&lt;=2000,"1900～2000","2100以上"))))))</f>
        <v>～1200</v>
      </c>
      <c r="BS460" s="8" t="str">
        <f aca="false">IF(A460="","",IF(AX460="G1","G1",IF(AX460="G2","G2",IF(AX460="G3","G3",IF(AX460="L","L","その他")))))</f>
        <v>その他</v>
      </c>
      <c r="BT460" s="8" t="str">
        <f aca="false">IF(A460="","",IF(BI460="","未結合",IF(D460=BI460,"一致","不一致")))</f>
        <v>一致</v>
      </c>
      <c r="BU460" s="8" t="str">
        <f aca="false">IF(A460="","",IF(BE460="牝馬限定","牝馬限定","その他"))</f>
        <v>その他</v>
      </c>
    </row>
    <row r="461" customFormat="false" ht="15.75" hidden="false" customHeight="false" outlineLevel="0" collapsed="false">
      <c r="A461" s="6" t="n">
        <v>46180</v>
      </c>
      <c r="B461" s="4" t="s">
        <v>4172</v>
      </c>
      <c r="C461" s="8" t="n">
        <v>12</v>
      </c>
      <c r="D461" s="8" t="n">
        <v>12</v>
      </c>
      <c r="E461" s="8" t="n">
        <v>3</v>
      </c>
      <c r="F461" s="4" t="s">
        <v>4869</v>
      </c>
      <c r="G461" s="8" t="n">
        <v>67</v>
      </c>
      <c r="H461" s="8" t="n">
        <v>11</v>
      </c>
      <c r="I461" s="4" t="s">
        <v>4874</v>
      </c>
      <c r="J461" s="8" t="n">
        <v>66</v>
      </c>
      <c r="K461" s="8" t="n">
        <v>12</v>
      </c>
      <c r="L461" s="4" t="s">
        <v>4875</v>
      </c>
      <c r="M461" s="8" t="n">
        <v>58</v>
      </c>
      <c r="N461" s="8" t="n">
        <f aca="false">IF(A461="","",G461-J461)</f>
        <v>1</v>
      </c>
      <c r="O461" s="8" t="n">
        <f aca="false">IF(A461="","",J461-M461)</f>
        <v>8</v>
      </c>
      <c r="P461" s="8" t="n">
        <f aca="false">IF(A461="","",G461+J461)</f>
        <v>133</v>
      </c>
      <c r="Q461" s="8" t="str">
        <f aca="false">IF(A461="","",IF(AND(Y461&lt;&gt;"参考",G461&gt;=ルール設定!$B$2),"○",""))</f>
        <v/>
      </c>
      <c r="R461" s="8" t="str">
        <f aca="false">IF(A461="","",IF(AND(Y461&lt;&gt;"参考",G461&gt;=ルール設定!$B$3,N461&gt;=ルール設定!$B$4),"○",""))</f>
        <v/>
      </c>
      <c r="S461" s="8" t="str">
        <f aca="false">IF(A461="","",IF(AND(Y461&lt;&gt;"参考",G461&gt;=ルール設定!$B$5,J461&gt;=ルール設定!$B$6,O461&gt;=ルール設定!$B$7),"○",""))</f>
        <v/>
      </c>
      <c r="T461" s="8" t="n">
        <v>1</v>
      </c>
      <c r="U461" s="8" t="n">
        <v>4</v>
      </c>
      <c r="V461" s="8" t="str">
        <f aca="false">IF(A461="","",IF(AND(ISNUMBER(T461),ISNUMBER(U461)),IF(AND(T461&lt;=3,U461&lt;=3),"○","×"),""))</f>
        <v>×</v>
      </c>
      <c r="W461" s="8" t="n">
        <v>120</v>
      </c>
      <c r="X461" s="8"/>
      <c r="Y461" s="4" t="s">
        <v>7597</v>
      </c>
      <c r="Z461" s="4" t="s">
        <v>4475</v>
      </c>
      <c r="AA461" s="8" t="str">
        <v/>
      </c>
      <c r="AB461" s="8" t="str">
        <v/>
      </c>
      <c r="AC461" s="8" t="str">
        <v/>
      </c>
      <c r="AD461" s="8" t="str">
        <v/>
      </c>
      <c r="AE461" s="8" t="str">
        <v/>
      </c>
      <c r="AF461" s="8" t="str">
        <v/>
      </c>
      <c r="AG461" s="8" t="str">
        <v/>
      </c>
      <c r="AH461" s="8" t="str">
        <v/>
      </c>
      <c r="AI461" s="8" t="n">
        <v>9</v>
      </c>
      <c r="AJ461" s="8" t="str">
        <v>60～69</v>
      </c>
      <c r="AK461" s="8" t="str">
        <v>0～4</v>
      </c>
      <c r="AL461" s="8" t="str">
        <v>0～9</v>
      </c>
      <c r="AM461" s="8" t="str">
        <v>120～139</v>
      </c>
      <c r="AN461" s="8" t="str">
        <v>12～14</v>
      </c>
      <c r="AO461" s="8" t="str">
        <f aca="false">IF(A461="","",IF(COUNTIFS(全馬データ!$A$2:$A$50000,A461,全馬データ!$B$2:$B$50000,B461,全馬データ!$C$2:$C$50000,C461,全馬データ!$D$2:$D$50000,E461,全馬データ!$K$2:$K$50000,"&lt;&gt;")=0,"",SUMIFS(全馬データ!$K$2:$K$50000,全馬データ!$A$2:$A$50000,A461,全馬データ!$B$2:$B$50000,B461,全馬データ!$C$2:$C$50000,C461,全馬データ!$D$2:$D$50000,E461)))</f>
        <v/>
      </c>
      <c r="AP461" s="8" t="str">
        <f aca="false">IF(A461="","",IF(AO461="","欠損",IF(AO461&lt;=1.1,"1.0～1.1",IF(AO461&lt;1.3,"1.2",IF(AO461&lt;1.5,"1.3～1.4",IF(AO461&lt;2,"1.5～1.9","2.0以上"))))))</f>
        <v>欠損</v>
      </c>
      <c r="AQ461" s="8" t="str">
        <f aca="false">IF(A461="","",IF(ISNUMBER(SEARCH("2歳",Z461)),"2歳戦",IF(ISNUMBER(SEARCH("3歳未勝利",Z461)),"3歳未勝利",IF(ISNUMBER(SEARCH("未勝利",Z461)),"その他未勝利",IF(ISNUMBER(SEARCH("G1",Z461)),"G1",IF(ISNUMBER(SEARCH("G2",Z461)),"G2",IF(ISNUMBER(SEARCH("G3",Z461)),"G3",IF(ISNUMBER(SEARCH("古馬条件",Z461)),"古馬条件戦",IF(ISNUMBER(SEARCH("重賞",Z461)),"重賞","分類不能")))))))))</f>
        <v>分類不能</v>
      </c>
      <c r="AR461" s="8"/>
      <c r="AS461" s="8" t="s">
        <v>7626</v>
      </c>
      <c r="AT461" s="8" t="s">
        <v>7627</v>
      </c>
      <c r="AU461" s="8" t="s">
        <v>7628</v>
      </c>
      <c r="AV461" s="8" t="s">
        <v>7629</v>
      </c>
      <c r="AW461" s="8"/>
      <c r="AX461" s="8"/>
      <c r="AY461" s="8" t="s">
        <v>7610</v>
      </c>
      <c r="AZ461" s="4" t="s">
        <v>7617</v>
      </c>
      <c r="BA461" s="8" t="n">
        <v>1800</v>
      </c>
      <c r="BB461" s="8" t="s">
        <v>7618</v>
      </c>
      <c r="BC461" s="4" t="s">
        <v>7619</v>
      </c>
      <c r="BD461" s="8" t="s">
        <v>7605</v>
      </c>
      <c r="BE461" s="4" t="s">
        <v>7606</v>
      </c>
      <c r="BF461" s="8" t="s">
        <v>7607</v>
      </c>
      <c r="BG461" s="8" t="s">
        <v>7631</v>
      </c>
      <c r="BH461" s="4" t="s">
        <v>7632</v>
      </c>
      <c r="BI461" s="8" t="n">
        <v>12</v>
      </c>
      <c r="BJ461" s="8" t="s">
        <v>7602</v>
      </c>
      <c r="BK461" s="4" t="s">
        <v>7653</v>
      </c>
      <c r="BL461" s="8" t="s">
        <v>7602</v>
      </c>
      <c r="BM461" s="4" t="s">
        <v>7620</v>
      </c>
      <c r="BN461" s="8"/>
      <c r="BO461" s="8"/>
      <c r="BP461" s="8" t="s">
        <v>7610</v>
      </c>
      <c r="BQ461" s="8" t="str">
        <f aca="false">IF(A461="","",AT461)</f>
        <v>3歳以上</v>
      </c>
      <c r="BR461" s="8" t="str">
        <f aca="false">IF(A461="","",IF(BA461&lt;=1200,"～1200",IF(BA461&lt;=1500,"1300～1500",IF(BA461=1600,"1600",IF(BA461&lt;=1800,"1700～1800",IF(BA461&lt;=2000,"1900～2000","2100以上"))))))</f>
        <v>1700～1800</v>
      </c>
      <c r="BS461" s="8" t="str">
        <f aca="false">IF(A461="","",IF(AX461="G1","G1",IF(AX461="G2","G2",IF(AX461="G3","G3",IF(AX461="L","L","その他")))))</f>
        <v>その他</v>
      </c>
      <c r="BT461" s="8" t="str">
        <f aca="false">IF(A461="","",IF(BI461="","未結合",IF(D461=BI461,"一致","不一致")))</f>
        <v>一致</v>
      </c>
      <c r="BU461" s="8" t="str">
        <f aca="false">IF(A461="","",IF(BE461="牝馬限定","牝馬限定","その他"))</f>
        <v>その他</v>
      </c>
    </row>
    <row r="462" customFormat="false" ht="15.75" hidden="false" customHeight="false" outlineLevel="0" collapsed="false">
      <c r="A462" s="6" t="n">
        <v>46186</v>
      </c>
      <c r="B462" s="4" t="s">
        <v>4473</v>
      </c>
      <c r="C462" s="8" t="n">
        <v>1</v>
      </c>
      <c r="D462" s="8" t="n">
        <v>16</v>
      </c>
      <c r="E462" s="8" t="n">
        <v>15</v>
      </c>
      <c r="F462" s="4" t="s">
        <v>2581</v>
      </c>
      <c r="G462" s="8" t="n">
        <v>41</v>
      </c>
      <c r="H462" s="8" t="n">
        <v>9</v>
      </c>
      <c r="I462" s="4" t="s">
        <v>4877</v>
      </c>
      <c r="J462" s="8" t="n">
        <v>39</v>
      </c>
      <c r="K462" s="8" t="n">
        <v>12</v>
      </c>
      <c r="L462" s="4" t="s">
        <v>4880</v>
      </c>
      <c r="M462" s="8" t="n">
        <v>29</v>
      </c>
      <c r="N462" s="8" t="n">
        <f aca="false">IF(A462="","",G462-J462)</f>
        <v>2</v>
      </c>
      <c r="O462" s="8" t="n">
        <f aca="false">IF(A462="","",J462-M462)</f>
        <v>10</v>
      </c>
      <c r="P462" s="8" t="n">
        <f aca="false">IF(A462="","",G462+J462)</f>
        <v>80</v>
      </c>
      <c r="Q462" s="8" t="str">
        <f aca="false">IF(A462="","",IF(AND(Y462&lt;&gt;"参考",G462&gt;=ルール設定!$B$2),"○",""))</f>
        <v/>
      </c>
      <c r="R462" s="8" t="str">
        <f aca="false">IF(A462="","",IF(AND(Y462&lt;&gt;"参考",G462&gt;=ルール設定!$B$3,N462&gt;=ルール設定!$B$4),"○",""))</f>
        <v/>
      </c>
      <c r="S462" s="8" t="str">
        <f aca="false">IF(A462="","",IF(AND(Y462&lt;&gt;"参考",G462&gt;=ルール設定!$B$5,J462&gt;=ルール設定!$B$6,O462&gt;=ルール設定!$B$7),"○",""))</f>
        <v/>
      </c>
      <c r="T462" s="8" t="n">
        <v>2</v>
      </c>
      <c r="U462" s="8" t="n">
        <v>4</v>
      </c>
      <c r="V462" s="8" t="str">
        <f aca="false">IF(A462="","",IF(AND(ISNUMBER(T462),ISNUMBER(U462)),IF(AND(T462&lt;=3,U462&lt;=3),"○","×"),""))</f>
        <v>×</v>
      </c>
      <c r="W462" s="8" t="n">
        <v>150</v>
      </c>
      <c r="X462" s="8"/>
      <c r="Y462" s="4" t="s">
        <v>7597</v>
      </c>
      <c r="Z462" s="4" t="s">
        <v>4475</v>
      </c>
      <c r="AA462" s="8" t="str">
        <v/>
      </c>
      <c r="AB462" s="8" t="str">
        <v/>
      </c>
      <c r="AC462" s="8" t="str">
        <v/>
      </c>
      <c r="AD462" s="8" t="str">
        <v/>
      </c>
      <c r="AE462" s="8" t="str">
        <v/>
      </c>
      <c r="AF462" s="8" t="str">
        <v/>
      </c>
      <c r="AG462" s="8" t="str">
        <v/>
      </c>
      <c r="AH462" s="8" t="str">
        <v/>
      </c>
      <c r="AI462" s="8" t="n">
        <v>12</v>
      </c>
      <c r="AJ462" s="8" t="str">
        <v>～59</v>
      </c>
      <c r="AK462" s="8" t="str">
        <v>0～4</v>
      </c>
      <c r="AL462" s="8" t="str">
        <v>10～19</v>
      </c>
      <c r="AM462" s="8" t="str">
        <v>～99</v>
      </c>
      <c r="AN462" s="8" t="str">
        <v>15以上</v>
      </c>
      <c r="AO462" s="8" t="str">
        <f aca="false">IF(A462="","",IF(COUNTIFS(全馬データ!$A$2:$A$50000,A462,全馬データ!$B$2:$B$50000,B462,全馬データ!$C$2:$C$50000,C462,全馬データ!$D$2:$D$50000,E462,全馬データ!$K$2:$K$50000,"&lt;&gt;")=0,"",SUMIFS(全馬データ!$K$2:$K$50000,全馬データ!$A$2:$A$50000,A462,全馬データ!$B$2:$B$50000,B462,全馬データ!$C$2:$C$50000,C462,全馬データ!$D$2:$D$50000,E462)))</f>
        <v/>
      </c>
      <c r="AP462" s="8" t="str">
        <f aca="false">IF(A462="","",IF(AO462="","欠損",IF(AO462&lt;=1.1,"1.0～1.1",IF(AO462&lt;1.3,"1.2",IF(AO462&lt;1.5,"1.3～1.4",IF(AO462&lt;2,"1.5～1.9","2.0以上"))))))</f>
        <v>欠損</v>
      </c>
      <c r="AQ462" s="8" t="str">
        <f aca="false">IF(A462="","",IF(ISNUMBER(SEARCH("2歳",Z462)),"2歳戦",IF(ISNUMBER(SEARCH("3歳未勝利",Z462)),"3歳未勝利",IF(ISNUMBER(SEARCH("未勝利",Z462)),"その他未勝利",IF(ISNUMBER(SEARCH("G1",Z462)),"G1",IF(ISNUMBER(SEARCH("G2",Z462)),"G2",IF(ISNUMBER(SEARCH("G3",Z462)),"G3",IF(ISNUMBER(SEARCH("古馬条件",Z462)),"古馬条件戦",IF(ISNUMBER(SEARCH("重賞",Z462)),"重賞","分類不能")))))))))</f>
        <v>分類不能</v>
      </c>
      <c r="AR462" s="8"/>
      <c r="AS462" s="8" t="s">
        <v>7623</v>
      </c>
      <c r="AT462" s="8" t="s">
        <v>7624</v>
      </c>
      <c r="AU462" s="8" t="s">
        <v>7600</v>
      </c>
      <c r="AV462" s="4" t="s">
        <v>7601</v>
      </c>
      <c r="AW462" s="8"/>
      <c r="AX462" s="8"/>
      <c r="AY462" s="8" t="s">
        <v>7610</v>
      </c>
      <c r="AZ462" s="4" t="s">
        <v>7617</v>
      </c>
      <c r="BA462" s="8" t="n">
        <v>1600</v>
      </c>
      <c r="BB462" s="8" t="s">
        <v>7657</v>
      </c>
      <c r="BC462" s="4" t="s">
        <v>7658</v>
      </c>
      <c r="BD462" s="8" t="s">
        <v>7621</v>
      </c>
      <c r="BE462" s="4" t="s">
        <v>7622</v>
      </c>
      <c r="BF462" s="8" t="s">
        <v>7602</v>
      </c>
      <c r="BG462" s="8" t="s">
        <v>7608</v>
      </c>
      <c r="BH462" s="4" t="s">
        <v>7609</v>
      </c>
      <c r="BI462" s="8" t="n">
        <v>16</v>
      </c>
      <c r="BJ462" s="8" t="s">
        <v>7610</v>
      </c>
      <c r="BK462" s="4" t="s">
        <v>7611</v>
      </c>
      <c r="BL462" s="8" t="s">
        <v>7602</v>
      </c>
      <c r="BM462" s="4" t="s">
        <v>7620</v>
      </c>
      <c r="BN462" s="8"/>
      <c r="BO462" s="8"/>
      <c r="BP462" s="8" t="s">
        <v>7602</v>
      </c>
      <c r="BQ462" s="8" t="str">
        <f aca="false">IF(A462="","",AT462)</f>
        <v>3歳</v>
      </c>
      <c r="BR462" s="8" t="str">
        <f aca="false">IF(A462="","",IF(BA462&lt;=1200,"～1200",IF(BA462&lt;=1500,"1300～1500",IF(BA462=1600,"1600",IF(BA462&lt;=1800,"1700～1800",IF(BA462&lt;=2000,"1900～2000","2100以上"))))))</f>
        <v>1600</v>
      </c>
      <c r="BS462" s="8" t="str">
        <f aca="false">IF(A462="","",IF(AX462="G1","G1",IF(AX462="G2","G2",IF(AX462="G3","G3",IF(AX462="L","L","その他")))))</f>
        <v>その他</v>
      </c>
      <c r="BT462" s="8" t="str">
        <f aca="false">IF(A462="","",IF(BI462="","未結合",IF(D462=BI462,"一致","不一致")))</f>
        <v>一致</v>
      </c>
      <c r="BU462" s="8" t="str">
        <f aca="false">IF(A462="","",IF(BE462="牝馬限定","牝馬限定","その他"))</f>
        <v>牝馬限定</v>
      </c>
    </row>
    <row r="463" customFormat="false" ht="15.75" hidden="false" customHeight="false" outlineLevel="0" collapsed="false">
      <c r="A463" s="6" t="n">
        <v>46186</v>
      </c>
      <c r="B463" s="4" t="s">
        <v>4473</v>
      </c>
      <c r="C463" s="8" t="n">
        <v>2</v>
      </c>
      <c r="D463" s="8" t="n">
        <v>18</v>
      </c>
      <c r="E463" s="8" t="n">
        <v>17</v>
      </c>
      <c r="F463" s="4" t="s">
        <v>4889</v>
      </c>
      <c r="G463" s="8" t="n">
        <v>65</v>
      </c>
      <c r="H463" s="8" t="n">
        <v>6</v>
      </c>
      <c r="I463" s="4" t="s">
        <v>2310</v>
      </c>
      <c r="J463" s="8" t="n">
        <v>41</v>
      </c>
      <c r="K463" s="8" t="n">
        <v>16</v>
      </c>
      <c r="L463" s="4" t="s">
        <v>4027</v>
      </c>
      <c r="M463" s="8" t="n">
        <v>41</v>
      </c>
      <c r="N463" s="8" t="n">
        <f aca="false">IF(A463="","",G463-J463)</f>
        <v>24</v>
      </c>
      <c r="O463" s="8" t="n">
        <f aca="false">IF(A463="","",J463-M463)</f>
        <v>0</v>
      </c>
      <c r="P463" s="8" t="n">
        <f aca="false">IF(A463="","",G463+J463)</f>
        <v>106</v>
      </c>
      <c r="Q463" s="8" t="str">
        <f aca="false">IF(A463="","",IF(AND(Y463&lt;&gt;"参考",G463&gt;=ルール設定!$B$2),"○",""))</f>
        <v/>
      </c>
      <c r="R463" s="8" t="str">
        <f aca="false">IF(A463="","",IF(AND(Y463&lt;&gt;"参考",G463&gt;=ルール設定!$B$3,N463&gt;=ルール設定!$B$4),"○",""))</f>
        <v/>
      </c>
      <c r="S463" s="8" t="str">
        <f aca="false">IF(A463="","",IF(AND(Y463&lt;&gt;"参考",G463&gt;=ルール設定!$B$5,J463&gt;=ルール設定!$B$6,O463&gt;=ルール設定!$B$7),"○",""))</f>
        <v/>
      </c>
      <c r="T463" s="8" t="n">
        <v>4</v>
      </c>
      <c r="U463" s="8" t="n">
        <v>2</v>
      </c>
      <c r="V463" s="8" t="str">
        <f aca="false">IF(A463="","",IF(AND(ISNUMBER(T463),ISNUMBER(U463)),IF(AND(T463&lt;=3,U463&lt;=3),"○","×"),""))</f>
        <v>×</v>
      </c>
      <c r="W463" s="8"/>
      <c r="X463" s="8"/>
      <c r="Y463" s="4" t="s">
        <v>7597</v>
      </c>
      <c r="Z463" s="4" t="s">
        <v>4475</v>
      </c>
      <c r="AA463" s="8" t="str">
        <v/>
      </c>
      <c r="AB463" s="8" t="str">
        <v/>
      </c>
      <c r="AC463" s="8" t="str">
        <v/>
      </c>
      <c r="AD463" s="8" t="str">
        <v/>
      </c>
      <c r="AE463" s="8" t="str">
        <v/>
      </c>
      <c r="AF463" s="8" t="str">
        <v/>
      </c>
      <c r="AG463" s="8" t="str">
        <v/>
      </c>
      <c r="AH463" s="8" t="str">
        <v/>
      </c>
      <c r="AI463" s="8" t="n">
        <v>24</v>
      </c>
      <c r="AJ463" s="8" t="str">
        <v>60～69</v>
      </c>
      <c r="AK463" s="8" t="str">
        <v>20～29</v>
      </c>
      <c r="AL463" s="8" t="str">
        <v>20～29</v>
      </c>
      <c r="AM463" s="8" t="str">
        <v>100～119</v>
      </c>
      <c r="AN463" s="8" t="str">
        <v>15以上</v>
      </c>
      <c r="AO463" s="8" t="str">
        <f aca="false">IF(A463="","",IF(COUNTIFS(全馬データ!$A$2:$A$50000,A463,全馬データ!$B$2:$B$50000,B463,全馬データ!$C$2:$C$50000,C463,全馬データ!$D$2:$D$50000,E463,全馬データ!$K$2:$K$50000,"&lt;&gt;")=0,"",SUMIFS(全馬データ!$K$2:$K$50000,全馬データ!$A$2:$A$50000,A463,全馬データ!$B$2:$B$50000,B463,全馬データ!$C$2:$C$50000,C463,全馬データ!$D$2:$D$50000,E463)))</f>
        <v/>
      </c>
      <c r="AP463" s="8" t="str">
        <f aca="false">IF(A463="","",IF(AO463="","欠損",IF(AO463&lt;=1.1,"1.0～1.1",IF(AO463&lt;1.3,"1.2",IF(AO463&lt;1.5,"1.3～1.4",IF(AO463&lt;2,"1.5～1.9","2.0以上"))))))</f>
        <v>欠損</v>
      </c>
      <c r="AQ463" s="8" t="str">
        <f aca="false">IF(A463="","",IF(ISNUMBER(SEARCH("2歳",Z463)),"2歳戦",IF(ISNUMBER(SEARCH("3歳未勝利",Z463)),"3歳未勝利",IF(ISNUMBER(SEARCH("未勝利",Z463)),"その他未勝利",IF(ISNUMBER(SEARCH("G1",Z463)),"G1",IF(ISNUMBER(SEARCH("G2",Z463)),"G2",IF(ISNUMBER(SEARCH("G3",Z463)),"G3",IF(ISNUMBER(SEARCH("古馬条件",Z463)),"古馬条件戦",IF(ISNUMBER(SEARCH("重賞",Z463)),"重賞","分類不能")))))))))</f>
        <v>分類不能</v>
      </c>
      <c r="AR463" s="8"/>
      <c r="AS463" s="8" t="s">
        <v>7623</v>
      </c>
      <c r="AT463" s="8" t="s">
        <v>7624</v>
      </c>
      <c r="AU463" s="8" t="s">
        <v>7600</v>
      </c>
      <c r="AV463" s="4" t="s">
        <v>7601</v>
      </c>
      <c r="AW463" s="8"/>
      <c r="AX463" s="8"/>
      <c r="AY463" s="8" t="s">
        <v>7602</v>
      </c>
      <c r="AZ463" s="4" t="s">
        <v>7603</v>
      </c>
      <c r="BA463" s="8" t="n">
        <v>2400</v>
      </c>
      <c r="BB463" s="8" t="s">
        <v>7659</v>
      </c>
      <c r="BC463" s="4" t="s">
        <v>7619</v>
      </c>
      <c r="BD463" s="8" t="s">
        <v>7605</v>
      </c>
      <c r="BE463" s="4" t="s">
        <v>7606</v>
      </c>
      <c r="BF463" s="8" t="s">
        <v>7607</v>
      </c>
      <c r="BG463" s="8" t="s">
        <v>7608</v>
      </c>
      <c r="BH463" s="4" t="s">
        <v>7609</v>
      </c>
      <c r="BI463" s="8" t="n">
        <v>18</v>
      </c>
      <c r="BJ463" s="8" t="s">
        <v>7610</v>
      </c>
      <c r="BK463" s="4" t="s">
        <v>7611</v>
      </c>
      <c r="BL463" s="8" t="s">
        <v>7602</v>
      </c>
      <c r="BM463" s="4" t="s">
        <v>7620</v>
      </c>
      <c r="BN463" s="8" t="s">
        <v>7636</v>
      </c>
      <c r="BO463" s="8" t="s">
        <v>7804</v>
      </c>
      <c r="BP463" s="8" t="s">
        <v>7602</v>
      </c>
      <c r="BQ463" s="8" t="str">
        <f aca="false">IF(A463="","",AT463)</f>
        <v>3歳</v>
      </c>
      <c r="BR463" s="8" t="str">
        <f aca="false">IF(A463="","",IF(BA463&lt;=1200,"～1200",IF(BA463&lt;=1500,"1300～1500",IF(BA463=1600,"1600",IF(BA463&lt;=1800,"1700～1800",IF(BA463&lt;=2000,"1900～2000","2100以上"))))))</f>
        <v>2100以上</v>
      </c>
      <c r="BS463" s="8" t="str">
        <f aca="false">IF(A463="","",IF(AX463="G1","G1",IF(AX463="G2","G2",IF(AX463="G3","G3",IF(AX463="L","L","その他")))))</f>
        <v>その他</v>
      </c>
      <c r="BT463" s="8" t="str">
        <f aca="false">IF(A463="","",IF(BI463="","未結合",IF(D463=BI463,"一致","不一致")))</f>
        <v>一致</v>
      </c>
      <c r="BU463" s="8" t="str">
        <f aca="false">IF(A463="","",IF(BE463="牝馬限定","牝馬限定","その他"))</f>
        <v>その他</v>
      </c>
    </row>
    <row r="464" customFormat="false" ht="15.75" hidden="false" customHeight="false" outlineLevel="0" collapsed="false">
      <c r="A464" s="6" t="n">
        <v>46186</v>
      </c>
      <c r="B464" s="4" t="s">
        <v>4473</v>
      </c>
      <c r="C464" s="8" t="n">
        <v>3</v>
      </c>
      <c r="D464" s="8" t="n">
        <v>16</v>
      </c>
      <c r="E464" s="8" t="n">
        <v>3</v>
      </c>
      <c r="F464" s="4" t="s">
        <v>4893</v>
      </c>
      <c r="G464" s="8" t="n">
        <v>65</v>
      </c>
      <c r="H464" s="8" t="n">
        <v>5</v>
      </c>
      <c r="I464" s="4" t="s">
        <v>4895</v>
      </c>
      <c r="J464" s="8" t="n">
        <v>47</v>
      </c>
      <c r="K464" s="8" t="n">
        <v>10</v>
      </c>
      <c r="L464" s="4" t="s">
        <v>4897</v>
      </c>
      <c r="M464" s="8" t="n">
        <v>47</v>
      </c>
      <c r="N464" s="8" t="n">
        <f aca="false">IF(A464="","",G464-J464)</f>
        <v>18</v>
      </c>
      <c r="O464" s="8" t="n">
        <f aca="false">IF(A464="","",J464-M464)</f>
        <v>0</v>
      </c>
      <c r="P464" s="8" t="n">
        <f aca="false">IF(A464="","",G464+J464)</f>
        <v>112</v>
      </c>
      <c r="Q464" s="8" t="str">
        <f aca="false">IF(A464="","",IF(AND(Y464&lt;&gt;"参考",G464&gt;=ルール設定!$B$2),"○",""))</f>
        <v/>
      </c>
      <c r="R464" s="8" t="str">
        <f aca="false">IF(A464="","",IF(AND(Y464&lt;&gt;"参考",G464&gt;=ルール設定!$B$3,N464&gt;=ルール設定!$B$4),"○",""))</f>
        <v/>
      </c>
      <c r="S464" s="8" t="str">
        <f aca="false">IF(A464="","",IF(AND(Y464&lt;&gt;"参考",G464&gt;=ルール設定!$B$5,J464&gt;=ルール設定!$B$6,O464&gt;=ルール設定!$B$7),"○",""))</f>
        <v/>
      </c>
      <c r="T464" s="8" t="n">
        <v>4</v>
      </c>
      <c r="U464" s="8" t="n">
        <v>4</v>
      </c>
      <c r="V464" s="8" t="str">
        <f aca="false">IF(A464="","",IF(AND(ISNUMBER(T464),ISNUMBER(U464)),IF(AND(T464&lt;=3,U464&lt;=3),"○","×"),""))</f>
        <v>×</v>
      </c>
      <c r="W464" s="8"/>
      <c r="X464" s="8"/>
      <c r="Y464" s="4" t="s">
        <v>7597</v>
      </c>
      <c r="Z464" s="4" t="s">
        <v>4475</v>
      </c>
      <c r="AA464" s="8" t="str">
        <v/>
      </c>
      <c r="AB464" s="8" t="str">
        <v/>
      </c>
      <c r="AC464" s="8" t="str">
        <v/>
      </c>
      <c r="AD464" s="8" t="str">
        <v/>
      </c>
      <c r="AE464" s="8" t="str">
        <v/>
      </c>
      <c r="AF464" s="8" t="str">
        <v/>
      </c>
      <c r="AG464" s="8" t="str">
        <v/>
      </c>
      <c r="AH464" s="8" t="str">
        <v/>
      </c>
      <c r="AI464" s="8" t="n">
        <v>18</v>
      </c>
      <c r="AJ464" s="8" t="str">
        <v>60～69</v>
      </c>
      <c r="AK464" s="8" t="str">
        <v>10～19</v>
      </c>
      <c r="AL464" s="8" t="str">
        <v>10～19</v>
      </c>
      <c r="AM464" s="8" t="str">
        <v>100～119</v>
      </c>
      <c r="AN464" s="8" t="str">
        <v>15以上</v>
      </c>
      <c r="AO464" s="8" t="str">
        <f aca="false">IF(A464="","",IF(COUNTIFS(全馬データ!$A$2:$A$50000,A464,全馬データ!$B$2:$B$50000,B464,全馬データ!$C$2:$C$50000,C464,全馬データ!$D$2:$D$50000,E464,全馬データ!$K$2:$K$50000,"&lt;&gt;")=0,"",SUMIFS(全馬データ!$K$2:$K$50000,全馬データ!$A$2:$A$50000,A464,全馬データ!$B$2:$B$50000,B464,全馬データ!$C$2:$C$50000,C464,全馬データ!$D$2:$D$50000,E464)))</f>
        <v/>
      </c>
      <c r="AP464" s="8" t="str">
        <f aca="false">IF(A464="","",IF(AO464="","欠損",IF(AO464&lt;=1.1,"1.0～1.1",IF(AO464&lt;1.3,"1.2",IF(AO464&lt;1.5,"1.3～1.4",IF(AO464&lt;2,"1.5～1.9","2.0以上"))))))</f>
        <v>欠損</v>
      </c>
      <c r="AQ464" s="8" t="str">
        <f aca="false">IF(A464="","",IF(ISNUMBER(SEARCH("2歳",Z464)),"2歳戦",IF(ISNUMBER(SEARCH("3歳未勝利",Z464)),"3歳未勝利",IF(ISNUMBER(SEARCH("未勝利",Z464)),"その他未勝利",IF(ISNUMBER(SEARCH("G1",Z464)),"G1",IF(ISNUMBER(SEARCH("G2",Z464)),"G2",IF(ISNUMBER(SEARCH("G3",Z464)),"G3",IF(ISNUMBER(SEARCH("古馬条件",Z464)),"古馬条件戦",IF(ISNUMBER(SEARCH("重賞",Z464)),"重賞","分類不能")))))))))</f>
        <v>分類不能</v>
      </c>
      <c r="AR464" s="8"/>
      <c r="AS464" s="8" t="s">
        <v>7623</v>
      </c>
      <c r="AT464" s="8" t="s">
        <v>7624</v>
      </c>
      <c r="AU464" s="8" t="s">
        <v>7600</v>
      </c>
      <c r="AV464" s="4" t="s">
        <v>7601</v>
      </c>
      <c r="AW464" s="8"/>
      <c r="AX464" s="8"/>
      <c r="AY464" s="8" t="s">
        <v>7610</v>
      </c>
      <c r="AZ464" s="4" t="s">
        <v>7617</v>
      </c>
      <c r="BA464" s="8" t="n">
        <v>1400</v>
      </c>
      <c r="BB464" s="8" t="s">
        <v>7657</v>
      </c>
      <c r="BC464" s="4" t="s">
        <v>7658</v>
      </c>
      <c r="BD464" s="8" t="s">
        <v>7605</v>
      </c>
      <c r="BE464" s="4" t="s">
        <v>7606</v>
      </c>
      <c r="BF464" s="8" t="s">
        <v>7607</v>
      </c>
      <c r="BG464" s="8" t="s">
        <v>7608</v>
      </c>
      <c r="BH464" s="4" t="s">
        <v>7609</v>
      </c>
      <c r="BI464" s="8" t="n">
        <v>16</v>
      </c>
      <c r="BJ464" s="8" t="s">
        <v>7610</v>
      </c>
      <c r="BK464" s="4" t="s">
        <v>7611</v>
      </c>
      <c r="BL464" s="8" t="s">
        <v>7602</v>
      </c>
      <c r="BM464" s="4" t="s">
        <v>7620</v>
      </c>
      <c r="BN464" s="8"/>
      <c r="BO464" s="8"/>
      <c r="BP464" s="8" t="s">
        <v>7602</v>
      </c>
      <c r="BQ464" s="8" t="str">
        <f aca="false">IF(A464="","",AT464)</f>
        <v>3歳</v>
      </c>
      <c r="BR464" s="8" t="str">
        <f aca="false">IF(A464="","",IF(BA464&lt;=1200,"～1200",IF(BA464&lt;=1500,"1300～1500",IF(BA464=1600,"1600",IF(BA464&lt;=1800,"1700～1800",IF(BA464&lt;=2000,"1900～2000","2100以上"))))))</f>
        <v>1300～1500</v>
      </c>
      <c r="BS464" s="8" t="str">
        <f aca="false">IF(A464="","",IF(AX464="G1","G1",IF(AX464="G2","G2",IF(AX464="G3","G3",IF(AX464="L","L","その他")))))</f>
        <v>その他</v>
      </c>
      <c r="BT464" s="8" t="str">
        <f aca="false">IF(A464="","",IF(BI464="","未結合",IF(D464=BI464,"一致","不一致")))</f>
        <v>一致</v>
      </c>
      <c r="BU464" s="8" t="str">
        <f aca="false">IF(A464="","",IF(BE464="牝馬限定","牝馬限定","その他"))</f>
        <v>その他</v>
      </c>
    </row>
    <row r="465" customFormat="false" ht="15.75" hidden="false" customHeight="false" outlineLevel="0" collapsed="false">
      <c r="A465" s="6" t="n">
        <v>46186</v>
      </c>
      <c r="B465" s="4" t="s">
        <v>4473</v>
      </c>
      <c r="C465" s="8" t="n">
        <v>4</v>
      </c>
      <c r="D465" s="8" t="n">
        <v>10</v>
      </c>
      <c r="E465" s="8" t="n">
        <v>9</v>
      </c>
      <c r="F465" s="4" t="s">
        <v>4910</v>
      </c>
      <c r="G465" s="8" t="n">
        <v>55</v>
      </c>
      <c r="H465" s="8" t="n">
        <v>10</v>
      </c>
      <c r="I465" s="4" t="s">
        <v>4911</v>
      </c>
      <c r="J465" s="8" t="n">
        <v>55</v>
      </c>
      <c r="K465" s="8" t="n">
        <v>1</v>
      </c>
      <c r="L465" s="4" t="s">
        <v>4902</v>
      </c>
      <c r="M465" s="8" t="n">
        <v>44</v>
      </c>
      <c r="N465" s="8" t="n">
        <f aca="false">IF(A465="","",G465-J465)</f>
        <v>0</v>
      </c>
      <c r="O465" s="8" t="n">
        <f aca="false">IF(A465="","",J465-M465)</f>
        <v>11</v>
      </c>
      <c r="P465" s="8" t="n">
        <f aca="false">IF(A465="","",G465+J465)</f>
        <v>110</v>
      </c>
      <c r="Q465" s="8" t="str">
        <f aca="false">IF(A465="","",IF(AND(Y465&lt;&gt;"参考",G465&gt;=ルール設定!$B$2),"○",""))</f>
        <v/>
      </c>
      <c r="R465" s="8" t="str">
        <f aca="false">IF(A465="","",IF(AND(Y465&lt;&gt;"参考",G465&gt;=ルール設定!$B$3,N465&gt;=ルール設定!$B$4),"○",""))</f>
        <v/>
      </c>
      <c r="S465" s="8" t="str">
        <f aca="false">IF(A465="","",IF(AND(Y465&lt;&gt;"参考",G465&gt;=ルール設定!$B$5,J465&gt;=ルール設定!$B$6,O465&gt;=ルール設定!$B$7),"○",""))</f>
        <v/>
      </c>
      <c r="T465" s="8" t="n">
        <v>2</v>
      </c>
      <c r="U465" s="8" t="n">
        <v>4</v>
      </c>
      <c r="V465" s="8" t="str">
        <f aca="false">IF(A465="","",IF(AND(ISNUMBER(T465),ISNUMBER(U465)),IF(AND(T465&lt;=3,U465&lt;=3),"○","×"),""))</f>
        <v>×</v>
      </c>
      <c r="W465" s="8" t="n">
        <v>100</v>
      </c>
      <c r="X465" s="8"/>
      <c r="Y465" s="4" t="s">
        <v>7597</v>
      </c>
      <c r="Z465" s="4" t="s">
        <v>4475</v>
      </c>
      <c r="AA465" s="8" t="str">
        <v/>
      </c>
      <c r="AB465" s="8" t="str">
        <v/>
      </c>
      <c r="AC465" s="8" t="str">
        <v/>
      </c>
      <c r="AD465" s="8" t="str">
        <v/>
      </c>
      <c r="AE465" s="8" t="str">
        <v/>
      </c>
      <c r="AF465" s="8" t="str">
        <v/>
      </c>
      <c r="AG465" s="8" t="str">
        <v/>
      </c>
      <c r="AH465" s="8" t="str">
        <v/>
      </c>
      <c r="AI465" s="8" t="n">
        <v>11</v>
      </c>
      <c r="AJ465" s="8" t="str">
        <v>～59</v>
      </c>
      <c r="AK465" s="8" t="str">
        <v>0～4</v>
      </c>
      <c r="AL465" s="8" t="str">
        <v>10～19</v>
      </c>
      <c r="AM465" s="8" t="str">
        <v>100～119</v>
      </c>
      <c r="AN465" s="8" t="str">
        <v>8～11</v>
      </c>
      <c r="AO465" s="8" t="str">
        <f aca="false">IF(A465="","",IF(COUNTIFS(全馬データ!$A$2:$A$50000,A465,全馬データ!$B$2:$B$50000,B465,全馬データ!$C$2:$C$50000,C465,全馬データ!$D$2:$D$50000,E465,全馬データ!$K$2:$K$50000,"&lt;&gt;")=0,"",SUMIFS(全馬データ!$K$2:$K$50000,全馬データ!$A$2:$A$50000,A465,全馬データ!$B$2:$B$50000,B465,全馬データ!$C$2:$C$50000,C465,全馬データ!$D$2:$D$50000,E465)))</f>
        <v/>
      </c>
      <c r="AP465" s="8" t="str">
        <f aca="false">IF(A465="","",IF(AO465="","欠損",IF(AO465&lt;=1.1,"1.0～1.1",IF(AO465&lt;1.3,"1.2",IF(AO465&lt;1.5,"1.3～1.4",IF(AO465&lt;2,"1.5～1.9","2.0以上"))))))</f>
        <v>欠損</v>
      </c>
      <c r="AQ465" s="8" t="str">
        <f aca="false">IF(A465="","",IF(ISNUMBER(SEARCH("2歳",Z465)),"2歳戦",IF(ISNUMBER(SEARCH("3歳未勝利",Z465)),"3歳未勝利",IF(ISNUMBER(SEARCH("未勝利",Z465)),"その他未勝利",IF(ISNUMBER(SEARCH("G1",Z465)),"G1",IF(ISNUMBER(SEARCH("G2",Z465)),"G2",IF(ISNUMBER(SEARCH("G3",Z465)),"G3",IF(ISNUMBER(SEARCH("古馬条件",Z465)),"古馬条件戦",IF(ISNUMBER(SEARCH("重賞",Z465)),"重賞","分類不能")))))))))</f>
        <v>分類不能</v>
      </c>
      <c r="AR465" s="4" t="s">
        <v>7819</v>
      </c>
      <c r="AS465" s="8" t="s">
        <v>7618</v>
      </c>
      <c r="AT465" s="4" t="s">
        <v>7642</v>
      </c>
      <c r="AU465" s="8" t="s">
        <v>7643</v>
      </c>
      <c r="AV465" s="4" t="s">
        <v>7644</v>
      </c>
      <c r="AW465" s="8" t="s">
        <v>7608</v>
      </c>
      <c r="AX465" s="8" t="s">
        <v>7664</v>
      </c>
      <c r="AY465" s="8" t="s">
        <v>7608</v>
      </c>
      <c r="AZ465" s="4" t="s">
        <v>7642</v>
      </c>
      <c r="BA465" s="8" t="n">
        <v>3110</v>
      </c>
      <c r="BB465" s="8" t="s">
        <v>7618</v>
      </c>
      <c r="BC465" s="4" t="s">
        <v>7619</v>
      </c>
      <c r="BD465" s="8" t="s">
        <v>7645</v>
      </c>
      <c r="BE465" s="4" t="s">
        <v>7606</v>
      </c>
      <c r="BF465" s="8" t="s">
        <v>7607</v>
      </c>
      <c r="BG465" s="8" t="s">
        <v>7610</v>
      </c>
      <c r="BH465" s="4" t="s">
        <v>7646</v>
      </c>
      <c r="BI465" s="8" t="n">
        <v>10</v>
      </c>
      <c r="BJ465" s="8" t="s">
        <v>7647</v>
      </c>
      <c r="BK465" s="4" t="s">
        <v>7648</v>
      </c>
      <c r="BL465" s="8" t="s">
        <v>7647</v>
      </c>
      <c r="BM465" s="4" t="s">
        <v>7648</v>
      </c>
      <c r="BN465" s="8"/>
      <c r="BO465" s="8"/>
      <c r="BP465" s="8" t="s">
        <v>7602</v>
      </c>
      <c r="BQ465" s="8" t="str">
        <f aca="false">IF(A465="","",AT465)</f>
        <v>障害</v>
      </c>
      <c r="BR465" s="8" t="str">
        <f aca="false">IF(A465="","",IF(BA465&lt;=1200,"～1200",IF(BA465&lt;=1500,"1300～1500",IF(BA465=1600,"1600",IF(BA465&lt;=1800,"1700～1800",IF(BA465&lt;=2000,"1900～2000","2100以上"))))))</f>
        <v>2100以上</v>
      </c>
      <c r="BS465" s="8" t="str">
        <f aca="false">IF(A465="","",IF(AX465="G1","G1",IF(AX465="G2","G2",IF(AX465="G3","G3",IF(AX465="L","L","その他")))))</f>
        <v>G3</v>
      </c>
      <c r="BT465" s="8" t="str">
        <f aca="false">IF(A465="","",IF(BI465="","未結合",IF(D465=BI465,"一致","不一致")))</f>
        <v>一致</v>
      </c>
      <c r="BU465" s="8" t="str">
        <f aca="false">IF(A465="","",IF(BE465="牝馬限定","牝馬限定","その他"))</f>
        <v>その他</v>
      </c>
    </row>
    <row r="466" customFormat="false" ht="15.75" hidden="false" customHeight="false" outlineLevel="0" collapsed="false">
      <c r="A466" s="6" t="n">
        <v>46186</v>
      </c>
      <c r="B466" s="4" t="s">
        <v>4473</v>
      </c>
      <c r="C466" s="8" t="n">
        <v>5</v>
      </c>
      <c r="D466" s="8" t="n">
        <v>7</v>
      </c>
      <c r="E466" s="8" t="n">
        <v>6</v>
      </c>
      <c r="F466" s="4" t="s">
        <v>4915</v>
      </c>
      <c r="G466" s="8" t="n">
        <v>37</v>
      </c>
      <c r="H466" s="8" t="n">
        <v>2</v>
      </c>
      <c r="I466" s="4" t="s">
        <v>4912</v>
      </c>
      <c r="J466" s="8" t="n">
        <v>31</v>
      </c>
      <c r="K466" s="8" t="n">
        <v>5</v>
      </c>
      <c r="L466" s="4" t="s">
        <v>4914</v>
      </c>
      <c r="M466" s="8" t="n">
        <v>31</v>
      </c>
      <c r="N466" s="8" t="n">
        <f aca="false">IF(A466="","",G466-J466)</f>
        <v>6</v>
      </c>
      <c r="O466" s="8" t="n">
        <f aca="false">IF(A466="","",J466-M466)</f>
        <v>0</v>
      </c>
      <c r="P466" s="8" t="n">
        <f aca="false">IF(A466="","",G466+J466)</f>
        <v>68</v>
      </c>
      <c r="Q466" s="8" t="str">
        <f aca="false">IF(A466="","",IF(AND(Y466&lt;&gt;"参考",G466&gt;=ルール設定!$B$2),"○",""))</f>
        <v/>
      </c>
      <c r="R466" s="8" t="str">
        <f aca="false">IF(A466="","",IF(AND(Y466&lt;&gt;"参考",G466&gt;=ルール設定!$B$3,N466&gt;=ルール設定!$B$4),"○",""))</f>
        <v/>
      </c>
      <c r="S466" s="8" t="str">
        <f aca="false">IF(A466="","",IF(AND(Y466&lt;&gt;"参考",G466&gt;=ルール設定!$B$5,J466&gt;=ルール設定!$B$6,O466&gt;=ルール設定!$B$7),"○",""))</f>
        <v/>
      </c>
      <c r="T466" s="8" t="n">
        <v>4</v>
      </c>
      <c r="U466" s="8" t="n">
        <v>1</v>
      </c>
      <c r="V466" s="8" t="str">
        <f aca="false">IF(A466="","",IF(AND(ISNUMBER(T466),ISNUMBER(U466)),IF(AND(T466&lt;=3,U466&lt;=3),"○","×"),""))</f>
        <v>×</v>
      </c>
      <c r="W466" s="8"/>
      <c r="X466" s="8"/>
      <c r="Y466" s="4" t="s">
        <v>7597</v>
      </c>
      <c r="Z466" s="4" t="s">
        <v>4475</v>
      </c>
      <c r="AA466" s="8" t="str">
        <v/>
      </c>
      <c r="AB466" s="8" t="str">
        <v/>
      </c>
      <c r="AC466" s="8" t="str">
        <v/>
      </c>
      <c r="AD466" s="8" t="str">
        <v/>
      </c>
      <c r="AE466" s="8" t="str">
        <v/>
      </c>
      <c r="AF466" s="8" t="str">
        <v/>
      </c>
      <c r="AG466" s="8" t="str">
        <v/>
      </c>
      <c r="AH466" s="8" t="str">
        <v/>
      </c>
      <c r="AI466" s="8" t="n">
        <v>6</v>
      </c>
      <c r="AJ466" s="8" t="str">
        <v>～59</v>
      </c>
      <c r="AK466" s="8" t="str">
        <v>5～9</v>
      </c>
      <c r="AL466" s="8" t="str">
        <v>0～9</v>
      </c>
      <c r="AM466" s="8" t="str">
        <v>～99</v>
      </c>
      <c r="AN466" s="8" t="str">
        <v>7以下</v>
      </c>
      <c r="AO466" s="8" t="str">
        <f aca="false">IF(A466="","",IF(COUNTIFS(全馬データ!$A$2:$A$50000,A466,全馬データ!$B$2:$B$50000,B466,全馬データ!$C$2:$C$50000,C466,全馬データ!$D$2:$D$50000,E466,全馬データ!$K$2:$K$50000,"&lt;&gt;")=0,"",SUMIFS(全馬データ!$K$2:$K$50000,全馬データ!$A$2:$A$50000,A466,全馬データ!$B$2:$B$50000,B466,全馬データ!$C$2:$C$50000,C466,全馬データ!$D$2:$D$50000,E466)))</f>
        <v/>
      </c>
      <c r="AP466" s="8" t="str">
        <f aca="false">IF(A466="","",IF(AO466="","欠損",IF(AO466&lt;=1.1,"1.0～1.1",IF(AO466&lt;1.3,"1.2",IF(AO466&lt;1.5,"1.3～1.4",IF(AO466&lt;2,"1.5～1.9","2.0以上"))))))</f>
        <v>欠損</v>
      </c>
      <c r="AQ466" s="8" t="str">
        <f aca="false">IF(A466="","",IF(ISNUMBER(SEARCH("2歳",Z466)),"2歳戦",IF(ISNUMBER(SEARCH("3歳未勝利",Z466)),"3歳未勝利",IF(ISNUMBER(SEARCH("未勝利",Z466)),"その他未勝利",IF(ISNUMBER(SEARCH("G1",Z466)),"G1",IF(ISNUMBER(SEARCH("G2",Z466)),"G2",IF(ISNUMBER(SEARCH("G3",Z466)),"G3",IF(ISNUMBER(SEARCH("古馬条件",Z466)),"古馬条件戦",IF(ISNUMBER(SEARCH("重賞",Z466)),"重賞","分類不能")))))))))</f>
        <v>分類不能</v>
      </c>
      <c r="AR466" s="8"/>
      <c r="AS466" s="8" t="s">
        <v>7598</v>
      </c>
      <c r="AT466" s="8" t="s">
        <v>7599</v>
      </c>
      <c r="AU466" s="8" t="s">
        <v>7615</v>
      </c>
      <c r="AV466" s="4" t="s">
        <v>7616</v>
      </c>
      <c r="AW466" s="8"/>
      <c r="AX466" s="8"/>
      <c r="AY466" s="8" t="s">
        <v>7602</v>
      </c>
      <c r="AZ466" s="4" t="s">
        <v>7603</v>
      </c>
      <c r="BA466" s="8" t="n">
        <v>1600</v>
      </c>
      <c r="BB466" s="8" t="s">
        <v>7598</v>
      </c>
      <c r="BC466" s="4" t="s">
        <v>7604</v>
      </c>
      <c r="BD466" s="8" t="s">
        <v>7621</v>
      </c>
      <c r="BE466" s="4" t="s">
        <v>7622</v>
      </c>
      <c r="BF466" s="8" t="s">
        <v>7602</v>
      </c>
      <c r="BG466" s="8" t="s">
        <v>7608</v>
      </c>
      <c r="BH466" s="4" t="s">
        <v>7609</v>
      </c>
      <c r="BI466" s="8" t="n">
        <v>7</v>
      </c>
      <c r="BJ466" s="8" t="s">
        <v>7610</v>
      </c>
      <c r="BK466" s="4" t="s">
        <v>7611</v>
      </c>
      <c r="BL466" s="8" t="s">
        <v>7602</v>
      </c>
      <c r="BM466" s="4" t="s">
        <v>7620</v>
      </c>
      <c r="BN466" s="8" t="s">
        <v>7636</v>
      </c>
      <c r="BO466" s="8" t="s">
        <v>7804</v>
      </c>
      <c r="BP466" s="8" t="s">
        <v>7602</v>
      </c>
      <c r="BQ466" s="8" t="str">
        <f aca="false">IF(A466="","",AT466)</f>
        <v>2歳</v>
      </c>
      <c r="BR466" s="8" t="str">
        <f aca="false">IF(A466="","",IF(BA466&lt;=1200,"～1200",IF(BA466&lt;=1500,"1300～1500",IF(BA466=1600,"1600",IF(BA466&lt;=1800,"1700～1800",IF(BA466&lt;=2000,"1900～2000","2100以上"))))))</f>
        <v>1600</v>
      </c>
      <c r="BS466" s="8" t="str">
        <f aca="false">IF(A466="","",IF(AX466="G1","G1",IF(AX466="G2","G2",IF(AX466="G3","G3",IF(AX466="L","L","その他")))))</f>
        <v>その他</v>
      </c>
      <c r="BT466" s="8" t="str">
        <f aca="false">IF(A466="","",IF(BI466="","未結合",IF(D466=BI466,"一致","不一致")))</f>
        <v>一致</v>
      </c>
      <c r="BU466" s="8" t="str">
        <f aca="false">IF(A466="","",IF(BE466="牝馬限定","牝馬限定","その他"))</f>
        <v>牝馬限定</v>
      </c>
    </row>
    <row r="467" customFormat="false" ht="15.75" hidden="false" customHeight="false" outlineLevel="0" collapsed="false">
      <c r="A467" s="6" t="n">
        <v>46186</v>
      </c>
      <c r="B467" s="4" t="s">
        <v>4473</v>
      </c>
      <c r="C467" s="8" t="n">
        <v>6</v>
      </c>
      <c r="D467" s="8" t="n">
        <v>9</v>
      </c>
      <c r="E467" s="8" t="n">
        <v>5</v>
      </c>
      <c r="F467" s="4" t="s">
        <v>4917</v>
      </c>
      <c r="G467" s="8" t="n">
        <v>44</v>
      </c>
      <c r="H467" s="8" t="n">
        <v>6</v>
      </c>
      <c r="I467" s="4" t="s">
        <v>4918</v>
      </c>
      <c r="J467" s="8" t="n">
        <v>31</v>
      </c>
      <c r="K467" s="8" t="n">
        <v>4</v>
      </c>
      <c r="L467" s="4" t="s">
        <v>4916</v>
      </c>
      <c r="M467" s="8" t="n">
        <v>24</v>
      </c>
      <c r="N467" s="8" t="n">
        <f aca="false">IF(A467="","",G467-J467)</f>
        <v>13</v>
      </c>
      <c r="O467" s="8" t="n">
        <f aca="false">IF(A467="","",J467-M467)</f>
        <v>7</v>
      </c>
      <c r="P467" s="8" t="n">
        <f aca="false">IF(A467="","",G467+J467)</f>
        <v>75</v>
      </c>
      <c r="Q467" s="8" t="str">
        <f aca="false">IF(A467="","",IF(AND(Y467&lt;&gt;"参考",G467&gt;=ルール設定!$B$2),"○",""))</f>
        <v/>
      </c>
      <c r="R467" s="8" t="str">
        <f aca="false">IF(A467="","",IF(AND(Y467&lt;&gt;"参考",G467&gt;=ルール設定!$B$3,N467&gt;=ルール設定!$B$4),"○",""))</f>
        <v/>
      </c>
      <c r="S467" s="8" t="str">
        <f aca="false">IF(A467="","",IF(AND(Y467&lt;&gt;"参考",G467&gt;=ルール設定!$B$5,J467&gt;=ルール設定!$B$6,O467&gt;=ルール設定!$B$7),"○",""))</f>
        <v/>
      </c>
      <c r="T467" s="8" t="n">
        <v>4</v>
      </c>
      <c r="U467" s="8" t="n">
        <v>1</v>
      </c>
      <c r="V467" s="8" t="str">
        <f aca="false">IF(A467="","",IF(AND(ISNUMBER(T467),ISNUMBER(U467)),IF(AND(T467&lt;=3,U467&lt;=3),"○","×"),""))</f>
        <v>×</v>
      </c>
      <c r="W467" s="8"/>
      <c r="X467" s="8"/>
      <c r="Y467" s="4" t="s">
        <v>7597</v>
      </c>
      <c r="Z467" s="4" t="s">
        <v>4475</v>
      </c>
      <c r="AA467" s="8" t="str">
        <v/>
      </c>
      <c r="AB467" s="8" t="str">
        <v/>
      </c>
      <c r="AC467" s="8" t="str">
        <v/>
      </c>
      <c r="AD467" s="8" t="str">
        <v/>
      </c>
      <c r="AE467" s="8" t="str">
        <v/>
      </c>
      <c r="AF467" s="8" t="str">
        <v/>
      </c>
      <c r="AG467" s="8" t="str">
        <v/>
      </c>
      <c r="AH467" s="8" t="str">
        <v/>
      </c>
      <c r="AI467" s="8" t="n">
        <v>20</v>
      </c>
      <c r="AJ467" s="8" t="str">
        <v>～59</v>
      </c>
      <c r="AK467" s="8" t="str">
        <v>10～19</v>
      </c>
      <c r="AL467" s="8" t="str">
        <v>20～29</v>
      </c>
      <c r="AM467" s="8" t="str">
        <v>～99</v>
      </c>
      <c r="AN467" s="8" t="str">
        <v>8～11</v>
      </c>
      <c r="AO467" s="8" t="str">
        <f aca="false">IF(A467="","",IF(COUNTIFS(全馬データ!$A$2:$A$50000,A467,全馬データ!$B$2:$B$50000,B467,全馬データ!$C$2:$C$50000,C467,全馬データ!$D$2:$D$50000,E467,全馬データ!$K$2:$K$50000,"&lt;&gt;")=0,"",SUMIFS(全馬データ!$K$2:$K$50000,全馬データ!$A$2:$A$50000,A467,全馬データ!$B$2:$B$50000,B467,全馬データ!$C$2:$C$50000,C467,全馬データ!$D$2:$D$50000,E467)))</f>
        <v/>
      </c>
      <c r="AP467" s="8" t="str">
        <f aca="false">IF(A467="","",IF(AO467="","欠損",IF(AO467&lt;=1.1,"1.0～1.1",IF(AO467&lt;1.3,"1.2",IF(AO467&lt;1.5,"1.3～1.4",IF(AO467&lt;2,"1.5～1.9","2.0以上"))))))</f>
        <v>欠損</v>
      </c>
      <c r="AQ467" s="8" t="str">
        <f aca="false">IF(A467="","",IF(ISNUMBER(SEARCH("2歳",Z467)),"2歳戦",IF(ISNUMBER(SEARCH("3歳未勝利",Z467)),"3歳未勝利",IF(ISNUMBER(SEARCH("未勝利",Z467)),"その他未勝利",IF(ISNUMBER(SEARCH("G1",Z467)),"G1",IF(ISNUMBER(SEARCH("G2",Z467)),"G2",IF(ISNUMBER(SEARCH("G3",Z467)),"G3",IF(ISNUMBER(SEARCH("古馬条件",Z467)),"古馬条件戦",IF(ISNUMBER(SEARCH("重賞",Z467)),"重賞","分類不能")))))))))</f>
        <v>分類不能</v>
      </c>
      <c r="AR467" s="8"/>
      <c r="AS467" s="8" t="s">
        <v>7598</v>
      </c>
      <c r="AT467" s="8" t="s">
        <v>7599</v>
      </c>
      <c r="AU467" s="8" t="s">
        <v>7615</v>
      </c>
      <c r="AV467" s="4" t="s">
        <v>7616</v>
      </c>
      <c r="AW467" s="8"/>
      <c r="AX467" s="8"/>
      <c r="AY467" s="8" t="s">
        <v>7602</v>
      </c>
      <c r="AZ467" s="4" t="s">
        <v>7603</v>
      </c>
      <c r="BA467" s="8" t="n">
        <v>1400</v>
      </c>
      <c r="BB467" s="8" t="s">
        <v>7598</v>
      </c>
      <c r="BC467" s="4" t="s">
        <v>7604</v>
      </c>
      <c r="BD467" s="8" t="s">
        <v>7605</v>
      </c>
      <c r="BE467" s="4" t="s">
        <v>7606</v>
      </c>
      <c r="BF467" s="8" t="s">
        <v>7607</v>
      </c>
      <c r="BG467" s="8" t="s">
        <v>7608</v>
      </c>
      <c r="BH467" s="4" t="s">
        <v>7609</v>
      </c>
      <c r="BI467" s="8" t="n">
        <v>9</v>
      </c>
      <c r="BJ467" s="8" t="s">
        <v>7610</v>
      </c>
      <c r="BK467" s="4" t="s">
        <v>7611</v>
      </c>
      <c r="BL467" s="8" t="s">
        <v>7602</v>
      </c>
      <c r="BM467" s="4" t="s">
        <v>7620</v>
      </c>
      <c r="BN467" s="8" t="s">
        <v>7636</v>
      </c>
      <c r="BO467" s="8" t="s">
        <v>7804</v>
      </c>
      <c r="BP467" s="8" t="s">
        <v>7602</v>
      </c>
      <c r="BQ467" s="8" t="str">
        <f aca="false">IF(A467="","",AT467)</f>
        <v>2歳</v>
      </c>
      <c r="BR467" s="8" t="str">
        <f aca="false">IF(A467="","",IF(BA467&lt;=1200,"～1200",IF(BA467&lt;=1500,"1300～1500",IF(BA467=1600,"1600",IF(BA467&lt;=1800,"1700～1800",IF(BA467&lt;=2000,"1900～2000","2100以上"))))))</f>
        <v>1300～1500</v>
      </c>
      <c r="BS467" s="8" t="str">
        <f aca="false">IF(A467="","",IF(AX467="G1","G1",IF(AX467="G2","G2",IF(AX467="G3","G3",IF(AX467="L","L","その他")))))</f>
        <v>その他</v>
      </c>
      <c r="BT467" s="8" t="str">
        <f aca="false">IF(A467="","",IF(BI467="","未結合",IF(D467=BI467,"一致","不一致")))</f>
        <v>一致</v>
      </c>
      <c r="BU467" s="8" t="str">
        <f aca="false">IF(A467="","",IF(BE467="牝馬限定","牝馬限定","その他"))</f>
        <v>その他</v>
      </c>
    </row>
    <row r="468" customFormat="false" ht="15.75" hidden="false" customHeight="false" outlineLevel="0" collapsed="false">
      <c r="A468" s="6" t="n">
        <v>46186</v>
      </c>
      <c r="B468" s="4" t="s">
        <v>4473</v>
      </c>
      <c r="C468" s="8" t="n">
        <v>7</v>
      </c>
      <c r="D468" s="8" t="n">
        <v>16</v>
      </c>
      <c r="E468" s="8" t="n">
        <v>10</v>
      </c>
      <c r="F468" s="4" t="s">
        <v>4925</v>
      </c>
      <c r="G468" s="8" t="n">
        <v>52</v>
      </c>
      <c r="H468" s="8" t="n">
        <v>11</v>
      </c>
      <c r="I468" s="4" t="s">
        <v>1470</v>
      </c>
      <c r="J468" s="8" t="n">
        <v>44</v>
      </c>
      <c r="K468" s="8" t="n">
        <v>9</v>
      </c>
      <c r="L468" s="4" t="s">
        <v>4012</v>
      </c>
      <c r="M468" s="8" t="n">
        <v>41</v>
      </c>
      <c r="N468" s="8" t="n">
        <f aca="false">IF(A468="","",G468-J468)</f>
        <v>8</v>
      </c>
      <c r="O468" s="8" t="n">
        <f aca="false">IF(A468="","",J468-M468)</f>
        <v>3</v>
      </c>
      <c r="P468" s="8" t="n">
        <f aca="false">IF(A468="","",G468+J468)</f>
        <v>96</v>
      </c>
      <c r="Q468" s="8" t="str">
        <f aca="false">IF(A468="","",IF(AND(Y468&lt;&gt;"参考",G468&gt;=ルール設定!$B$2),"○",""))</f>
        <v/>
      </c>
      <c r="R468" s="8" t="str">
        <f aca="false">IF(A468="","",IF(AND(Y468&lt;&gt;"参考",G468&gt;=ルール設定!$B$3,N468&gt;=ルール設定!$B$4),"○",""))</f>
        <v/>
      </c>
      <c r="S468" s="8" t="str">
        <f aca="false">IF(A468="","",IF(AND(Y468&lt;&gt;"参考",G468&gt;=ルール設定!$B$5,J468&gt;=ルール設定!$B$6,O468&gt;=ルール設定!$B$7),"○",""))</f>
        <v/>
      </c>
      <c r="T468" s="8" t="n">
        <v>4</v>
      </c>
      <c r="U468" s="8" t="n">
        <v>3</v>
      </c>
      <c r="V468" s="8" t="str">
        <f aca="false">IF(A468="","",IF(AND(ISNUMBER(T468),ISNUMBER(U468)),IF(AND(T468&lt;=3,U468&lt;=3),"○","×"),""))</f>
        <v>×</v>
      </c>
      <c r="W468" s="8"/>
      <c r="X468" s="8"/>
      <c r="Y468" s="4" t="s">
        <v>7597</v>
      </c>
      <c r="Z468" s="4" t="s">
        <v>4475</v>
      </c>
      <c r="AA468" s="8" t="str">
        <v/>
      </c>
      <c r="AB468" s="8" t="str">
        <v/>
      </c>
      <c r="AC468" s="8" t="str">
        <v/>
      </c>
      <c r="AD468" s="8" t="str">
        <v/>
      </c>
      <c r="AE468" s="8" t="str">
        <v/>
      </c>
      <c r="AF468" s="8" t="str">
        <v/>
      </c>
      <c r="AG468" s="8" t="str">
        <v/>
      </c>
      <c r="AH468" s="8" t="str">
        <v/>
      </c>
      <c r="AI468" s="8" t="n">
        <v>11</v>
      </c>
      <c r="AJ468" s="8" t="str">
        <v>～59</v>
      </c>
      <c r="AK468" s="8" t="str">
        <v>5～9</v>
      </c>
      <c r="AL468" s="8" t="str">
        <v>10～19</v>
      </c>
      <c r="AM468" s="8" t="str">
        <v>～99</v>
      </c>
      <c r="AN468" s="8" t="str">
        <v>15以上</v>
      </c>
      <c r="AO468" s="8" t="str">
        <f aca="false">IF(A468="","",IF(COUNTIFS(全馬データ!$A$2:$A$50000,A468,全馬データ!$B$2:$B$50000,B468,全馬データ!$C$2:$C$50000,C468,全馬データ!$D$2:$D$50000,E468,全馬データ!$K$2:$K$50000,"&lt;&gt;")=0,"",SUMIFS(全馬データ!$K$2:$K$50000,全馬データ!$A$2:$A$50000,A468,全馬データ!$B$2:$B$50000,B468,全馬データ!$C$2:$C$50000,C468,全馬データ!$D$2:$D$50000,E468)))</f>
        <v/>
      </c>
      <c r="AP468" s="8" t="str">
        <f aca="false">IF(A468="","",IF(AO468="","欠損",IF(AO468&lt;=1.1,"1.0～1.1",IF(AO468&lt;1.3,"1.2",IF(AO468&lt;1.5,"1.3～1.4",IF(AO468&lt;2,"1.5～1.9","2.0以上"))))))</f>
        <v>欠損</v>
      </c>
      <c r="AQ468" s="8" t="str">
        <f aca="false">IF(A468="","",IF(ISNUMBER(SEARCH("2歳",Z468)),"2歳戦",IF(ISNUMBER(SEARCH("3歳未勝利",Z468)),"3歳未勝利",IF(ISNUMBER(SEARCH("未勝利",Z468)),"その他未勝利",IF(ISNUMBER(SEARCH("G1",Z468)),"G1",IF(ISNUMBER(SEARCH("G2",Z468)),"G2",IF(ISNUMBER(SEARCH("G3",Z468)),"G3",IF(ISNUMBER(SEARCH("古馬条件",Z468)),"古馬条件戦",IF(ISNUMBER(SEARCH("重賞",Z468)),"重賞","分類不能")))))))))</f>
        <v>分類不能</v>
      </c>
      <c r="AR468" s="8"/>
      <c r="AS468" s="8" t="s">
        <v>7623</v>
      </c>
      <c r="AT468" s="8" t="s">
        <v>7624</v>
      </c>
      <c r="AU468" s="8" t="s">
        <v>7600</v>
      </c>
      <c r="AV468" s="4" t="s">
        <v>7601</v>
      </c>
      <c r="AW468" s="8"/>
      <c r="AX468" s="8"/>
      <c r="AY468" s="8" t="s">
        <v>7610</v>
      </c>
      <c r="AZ468" s="4" t="s">
        <v>7617</v>
      </c>
      <c r="BA468" s="8" t="n">
        <v>1600</v>
      </c>
      <c r="BB468" s="8" t="s">
        <v>7659</v>
      </c>
      <c r="BC468" s="4" t="s">
        <v>7619</v>
      </c>
      <c r="BD468" s="8" t="s">
        <v>7625</v>
      </c>
      <c r="BE468" s="4" t="s">
        <v>7606</v>
      </c>
      <c r="BF468" s="8" t="s">
        <v>7607</v>
      </c>
      <c r="BG468" s="8" t="s">
        <v>7608</v>
      </c>
      <c r="BH468" s="4" t="s">
        <v>7609</v>
      </c>
      <c r="BI468" s="8" t="n">
        <v>16</v>
      </c>
      <c r="BJ468" s="8" t="s">
        <v>7610</v>
      </c>
      <c r="BK468" s="4" t="s">
        <v>7611</v>
      </c>
      <c r="BL468" s="8" t="s">
        <v>7602</v>
      </c>
      <c r="BM468" s="4" t="s">
        <v>7620</v>
      </c>
      <c r="BN468" s="8"/>
      <c r="BO468" s="8"/>
      <c r="BP468" s="8" t="s">
        <v>7602</v>
      </c>
      <c r="BQ468" s="8" t="str">
        <f aca="false">IF(A468="","",AT468)</f>
        <v>3歳</v>
      </c>
      <c r="BR468" s="8" t="str">
        <f aca="false">IF(A468="","",IF(BA468&lt;=1200,"～1200",IF(BA468&lt;=1500,"1300～1500",IF(BA468=1600,"1600",IF(BA468&lt;=1800,"1700～1800",IF(BA468&lt;=2000,"1900～2000","2100以上"))))))</f>
        <v>1600</v>
      </c>
      <c r="BS468" s="8" t="str">
        <f aca="false">IF(A468="","",IF(AX468="G1","G1",IF(AX468="G2","G2",IF(AX468="G3","G3",IF(AX468="L","L","その他")))))</f>
        <v>その他</v>
      </c>
      <c r="BT468" s="8" t="str">
        <f aca="false">IF(A468="","",IF(BI468="","未結合",IF(D468=BI468,"一致","不一致")))</f>
        <v>一致</v>
      </c>
      <c r="BU468" s="8" t="str">
        <f aca="false">IF(A468="","",IF(BE468="牝馬限定","牝馬限定","その他"))</f>
        <v>その他</v>
      </c>
    </row>
    <row r="469" customFormat="false" ht="15.75" hidden="false" customHeight="false" outlineLevel="0" collapsed="false">
      <c r="A469" s="6" t="n">
        <v>46186</v>
      </c>
      <c r="B469" s="4" t="s">
        <v>4473</v>
      </c>
      <c r="C469" s="8" t="n">
        <v>8</v>
      </c>
      <c r="D469" s="8" t="n">
        <v>18</v>
      </c>
      <c r="E469" s="8" t="n">
        <v>1</v>
      </c>
      <c r="F469" s="4" t="s">
        <v>4928</v>
      </c>
      <c r="G469" s="8" t="n">
        <v>52</v>
      </c>
      <c r="H469" s="8" t="n">
        <v>2</v>
      </c>
      <c r="I469" s="4" t="s">
        <v>396</v>
      </c>
      <c r="J469" s="8" t="n">
        <v>50</v>
      </c>
      <c r="K469" s="8" t="n">
        <v>13</v>
      </c>
      <c r="L469" s="4" t="s">
        <v>2804</v>
      </c>
      <c r="M469" s="8" t="n">
        <v>41</v>
      </c>
      <c r="N469" s="8" t="n">
        <f aca="false">IF(A469="","",G469-J469)</f>
        <v>2</v>
      </c>
      <c r="O469" s="8" t="n">
        <f aca="false">IF(A469="","",J469-M469)</f>
        <v>9</v>
      </c>
      <c r="P469" s="8" t="n">
        <f aca="false">IF(A469="","",G469+J469)</f>
        <v>102</v>
      </c>
      <c r="Q469" s="8" t="str">
        <f aca="false">IF(A469="","",IF(AND(Y469&lt;&gt;"参考",G469&gt;=ルール設定!$B$2),"○",""))</f>
        <v/>
      </c>
      <c r="R469" s="8" t="str">
        <f aca="false">IF(A469="","",IF(AND(Y469&lt;&gt;"参考",G469&gt;=ルール設定!$B$3,N469&gt;=ルール設定!$B$4),"○",""))</f>
        <v/>
      </c>
      <c r="S469" s="8" t="str">
        <f aca="false">IF(A469="","",IF(AND(Y469&lt;&gt;"参考",G469&gt;=ルール設定!$B$5,J469&gt;=ルール設定!$B$6,O469&gt;=ルール設定!$B$7),"○",""))</f>
        <v/>
      </c>
      <c r="T469" s="8" t="n">
        <v>1</v>
      </c>
      <c r="U469" s="8" t="n">
        <v>4</v>
      </c>
      <c r="V469" s="8" t="str">
        <f aca="false">IF(A469="","",IF(AND(ISNUMBER(T469),ISNUMBER(U469)),IF(AND(T469&lt;=3,U469&lt;=3),"○","×"),""))</f>
        <v>×</v>
      </c>
      <c r="W469" s="8" t="n">
        <v>190</v>
      </c>
      <c r="X469" s="8"/>
      <c r="Y469" s="4" t="s">
        <v>7597</v>
      </c>
      <c r="Z469" s="4" t="s">
        <v>4475</v>
      </c>
      <c r="AA469" s="8" t="str">
        <v/>
      </c>
      <c r="AB469" s="8" t="str">
        <v/>
      </c>
      <c r="AC469" s="8" t="str">
        <v/>
      </c>
      <c r="AD469" s="8" t="str">
        <v/>
      </c>
      <c r="AE469" s="8" t="str">
        <v/>
      </c>
      <c r="AF469" s="8" t="str">
        <v/>
      </c>
      <c r="AG469" s="8" t="str">
        <v/>
      </c>
      <c r="AH469" s="8" t="str">
        <v/>
      </c>
      <c r="AI469" s="8" t="n">
        <v>11</v>
      </c>
      <c r="AJ469" s="8" t="str">
        <v>～59</v>
      </c>
      <c r="AK469" s="8" t="str">
        <v>0～4</v>
      </c>
      <c r="AL469" s="8" t="str">
        <v>10～19</v>
      </c>
      <c r="AM469" s="8" t="str">
        <v>100～119</v>
      </c>
      <c r="AN469" s="8" t="str">
        <v>15以上</v>
      </c>
      <c r="AO469" s="8" t="str">
        <f aca="false">IF(A469="","",IF(COUNTIFS(全馬データ!$A$2:$A$50000,A469,全馬データ!$B$2:$B$50000,B469,全馬データ!$C$2:$C$50000,C469,全馬データ!$D$2:$D$50000,E469,全馬データ!$K$2:$K$50000,"&lt;&gt;")=0,"",SUMIFS(全馬データ!$K$2:$K$50000,全馬データ!$A$2:$A$50000,A469,全馬データ!$B$2:$B$50000,B469,全馬データ!$C$2:$C$50000,C469,全馬データ!$D$2:$D$50000,E469)))</f>
        <v/>
      </c>
      <c r="AP469" s="8" t="str">
        <f aca="false">IF(A469="","",IF(AO469="","欠損",IF(AO469&lt;=1.1,"1.0～1.1",IF(AO469&lt;1.3,"1.2",IF(AO469&lt;1.5,"1.3～1.4",IF(AO469&lt;2,"1.5～1.9","2.0以上"))))))</f>
        <v>欠損</v>
      </c>
      <c r="AQ469" s="8" t="str">
        <f aca="false">IF(A469="","",IF(ISNUMBER(SEARCH("2歳",Z469)),"2歳戦",IF(ISNUMBER(SEARCH("3歳未勝利",Z469)),"3歳未勝利",IF(ISNUMBER(SEARCH("未勝利",Z469)),"その他未勝利",IF(ISNUMBER(SEARCH("G1",Z469)),"G1",IF(ISNUMBER(SEARCH("G2",Z469)),"G2",IF(ISNUMBER(SEARCH("G3",Z469)),"G3",IF(ISNUMBER(SEARCH("古馬条件",Z469)),"古馬条件戦",IF(ISNUMBER(SEARCH("重賞",Z469)),"重賞","分類不能")))))))))</f>
        <v>分類不能</v>
      </c>
      <c r="AR469" s="8"/>
      <c r="AS469" s="8" t="s">
        <v>7626</v>
      </c>
      <c r="AT469" s="8" t="s">
        <v>7627</v>
      </c>
      <c r="AU469" s="8" t="s">
        <v>7628</v>
      </c>
      <c r="AV469" s="8" t="s">
        <v>7629</v>
      </c>
      <c r="AW469" s="8"/>
      <c r="AX469" s="8"/>
      <c r="AY469" s="8" t="s">
        <v>7602</v>
      </c>
      <c r="AZ469" s="4" t="s">
        <v>7603</v>
      </c>
      <c r="BA469" s="8" t="n">
        <v>1400</v>
      </c>
      <c r="BB469" s="8" t="s">
        <v>7598</v>
      </c>
      <c r="BC469" s="4" t="s">
        <v>7604</v>
      </c>
      <c r="BD469" s="8" t="s">
        <v>7605</v>
      </c>
      <c r="BE469" s="4" t="s">
        <v>7606</v>
      </c>
      <c r="BF469" s="8" t="s">
        <v>7607</v>
      </c>
      <c r="BG469" s="8" t="s">
        <v>7631</v>
      </c>
      <c r="BH469" s="4" t="s">
        <v>7632</v>
      </c>
      <c r="BI469" s="8" t="n">
        <v>18</v>
      </c>
      <c r="BJ469" s="8" t="s">
        <v>7610</v>
      </c>
      <c r="BK469" s="4" t="s">
        <v>7611</v>
      </c>
      <c r="BL469" s="8" t="s">
        <v>7602</v>
      </c>
      <c r="BM469" s="4" t="s">
        <v>7620</v>
      </c>
      <c r="BN469" s="8" t="s">
        <v>7636</v>
      </c>
      <c r="BO469" s="8" t="s">
        <v>7804</v>
      </c>
      <c r="BP469" s="8" t="s">
        <v>7602</v>
      </c>
      <c r="BQ469" s="8" t="str">
        <f aca="false">IF(A469="","",AT469)</f>
        <v>3歳以上</v>
      </c>
      <c r="BR469" s="8" t="str">
        <f aca="false">IF(A469="","",IF(BA469&lt;=1200,"～1200",IF(BA469&lt;=1500,"1300～1500",IF(BA469=1600,"1600",IF(BA469&lt;=1800,"1700～1800",IF(BA469&lt;=2000,"1900～2000","2100以上"))))))</f>
        <v>1300～1500</v>
      </c>
      <c r="BS469" s="8" t="str">
        <f aca="false">IF(A469="","",IF(AX469="G1","G1",IF(AX469="G2","G2",IF(AX469="G3","G3",IF(AX469="L","L","その他")))))</f>
        <v>その他</v>
      </c>
      <c r="BT469" s="8" t="str">
        <f aca="false">IF(A469="","",IF(BI469="","未結合",IF(D469=BI469,"一致","不一致")))</f>
        <v>一致</v>
      </c>
      <c r="BU469" s="8" t="str">
        <f aca="false">IF(A469="","",IF(BE469="牝馬限定","牝馬限定","その他"))</f>
        <v>その他</v>
      </c>
    </row>
    <row r="470" customFormat="false" ht="15.75" hidden="false" customHeight="false" outlineLevel="0" collapsed="false">
      <c r="A470" s="6" t="n">
        <v>46186</v>
      </c>
      <c r="B470" s="4" t="s">
        <v>4473</v>
      </c>
      <c r="C470" s="8" t="n">
        <v>9</v>
      </c>
      <c r="D470" s="8" t="n">
        <v>14</v>
      </c>
      <c r="E470" s="8" t="n">
        <v>2</v>
      </c>
      <c r="F470" s="4" t="s">
        <v>4941</v>
      </c>
      <c r="G470" s="8" t="n">
        <v>41</v>
      </c>
      <c r="H470" s="8" t="n">
        <v>9</v>
      </c>
      <c r="I470" s="4" t="s">
        <v>4948</v>
      </c>
      <c r="J470" s="8" t="n">
        <v>37</v>
      </c>
      <c r="K470" s="8" t="n">
        <v>14</v>
      </c>
      <c r="L470" s="4" t="s">
        <v>4952</v>
      </c>
      <c r="M470" s="8" t="n">
        <v>37</v>
      </c>
      <c r="N470" s="8" t="n">
        <f aca="false">IF(A470="","",G470-J470)</f>
        <v>4</v>
      </c>
      <c r="O470" s="8" t="n">
        <f aca="false">IF(A470="","",J470-M470)</f>
        <v>0</v>
      </c>
      <c r="P470" s="8" t="n">
        <f aca="false">IF(A470="","",G470+J470)</f>
        <v>78</v>
      </c>
      <c r="Q470" s="8" t="str">
        <f aca="false">IF(A470="","",IF(AND(Y470&lt;&gt;"参考",G470&gt;=ルール設定!$B$2),"○",""))</f>
        <v/>
      </c>
      <c r="R470" s="8" t="str">
        <f aca="false">IF(A470="","",IF(AND(Y470&lt;&gt;"参考",G470&gt;=ルール設定!$B$3,N470&gt;=ルール設定!$B$4),"○",""))</f>
        <v/>
      </c>
      <c r="S470" s="8" t="str">
        <f aca="false">IF(A470="","",IF(AND(Y470&lt;&gt;"参考",G470&gt;=ルール設定!$B$5,J470&gt;=ルール設定!$B$6,O470&gt;=ルール設定!$B$7),"○",""))</f>
        <v/>
      </c>
      <c r="T470" s="8" t="n">
        <v>2</v>
      </c>
      <c r="U470" s="8" t="n">
        <v>3</v>
      </c>
      <c r="V470" s="8" t="str">
        <f aca="false">IF(A470="","",IF(AND(ISNUMBER(T470),ISNUMBER(U470)),IF(AND(T470&lt;=3,U470&lt;=3),"○","×"),""))</f>
        <v>○</v>
      </c>
      <c r="W470" s="8" t="n">
        <v>190</v>
      </c>
      <c r="X470" s="8" t="n">
        <v>340</v>
      </c>
      <c r="Y470" s="4" t="s">
        <v>7597</v>
      </c>
      <c r="Z470" s="4" t="s">
        <v>4475</v>
      </c>
      <c r="AA470" s="8" t="str">
        <v/>
      </c>
      <c r="AB470" s="8" t="str">
        <v/>
      </c>
      <c r="AC470" s="8" t="str">
        <v/>
      </c>
      <c r="AD470" s="8" t="str">
        <v/>
      </c>
      <c r="AE470" s="8" t="str">
        <v/>
      </c>
      <c r="AF470" s="8" t="str">
        <v/>
      </c>
      <c r="AG470" s="8" t="str">
        <v/>
      </c>
      <c r="AH470" s="8" t="str">
        <v/>
      </c>
      <c r="AI470" s="8" t="n">
        <v>4</v>
      </c>
      <c r="AJ470" s="8" t="str">
        <v>～59</v>
      </c>
      <c r="AK470" s="8" t="str">
        <v>0～4</v>
      </c>
      <c r="AL470" s="8" t="str">
        <v>0～9</v>
      </c>
      <c r="AM470" s="8" t="str">
        <v>～99</v>
      </c>
      <c r="AN470" s="8" t="str">
        <v>12～14</v>
      </c>
      <c r="AO470" s="8" t="str">
        <f aca="false">IF(A470="","",IF(COUNTIFS(全馬データ!$A$2:$A$50000,A470,全馬データ!$B$2:$B$50000,B470,全馬データ!$C$2:$C$50000,C470,全馬データ!$D$2:$D$50000,E470,全馬データ!$K$2:$K$50000,"&lt;&gt;")=0,"",SUMIFS(全馬データ!$K$2:$K$50000,全馬データ!$A$2:$A$50000,A470,全馬データ!$B$2:$B$50000,B470,全馬データ!$C$2:$C$50000,C470,全馬データ!$D$2:$D$50000,E470)))</f>
        <v/>
      </c>
      <c r="AP470" s="8" t="str">
        <f aca="false">IF(A470="","",IF(AO470="","欠損",IF(AO470&lt;=1.1,"1.0～1.1",IF(AO470&lt;1.3,"1.2",IF(AO470&lt;1.5,"1.3～1.4",IF(AO470&lt;2,"1.5～1.9","2.0以上"))))))</f>
        <v>欠損</v>
      </c>
      <c r="AQ470" s="8" t="str">
        <f aca="false">IF(A470="","",IF(ISNUMBER(SEARCH("2歳",Z470)),"2歳戦",IF(ISNUMBER(SEARCH("3歳未勝利",Z470)),"3歳未勝利",IF(ISNUMBER(SEARCH("未勝利",Z470)),"その他未勝利",IF(ISNUMBER(SEARCH("G1",Z470)),"G1",IF(ISNUMBER(SEARCH("G2",Z470)),"G2",IF(ISNUMBER(SEARCH("G3",Z470)),"G3",IF(ISNUMBER(SEARCH("古馬条件",Z470)),"古馬条件戦",IF(ISNUMBER(SEARCH("重賞",Z470)),"重賞","分類不能")))))))))</f>
        <v>分類不能</v>
      </c>
      <c r="AR470" s="4" t="s">
        <v>7820</v>
      </c>
      <c r="AS470" s="8" t="s">
        <v>7626</v>
      </c>
      <c r="AT470" s="8" t="s">
        <v>7627</v>
      </c>
      <c r="AU470" s="8" t="s">
        <v>7634</v>
      </c>
      <c r="AV470" s="8" t="s">
        <v>7635</v>
      </c>
      <c r="AW470" s="8" t="s">
        <v>7636</v>
      </c>
      <c r="AX470" s="4" t="s">
        <v>7637</v>
      </c>
      <c r="AY470" s="8" t="s">
        <v>7610</v>
      </c>
      <c r="AZ470" s="4" t="s">
        <v>7617</v>
      </c>
      <c r="BA470" s="8" t="n">
        <v>2100</v>
      </c>
      <c r="BB470" s="8" t="s">
        <v>7659</v>
      </c>
      <c r="BC470" s="4" t="s">
        <v>7619</v>
      </c>
      <c r="BD470" s="8" t="s">
        <v>7605</v>
      </c>
      <c r="BE470" s="4" t="s">
        <v>7606</v>
      </c>
      <c r="BF470" s="8" t="s">
        <v>7607</v>
      </c>
      <c r="BG470" s="8" t="s">
        <v>7631</v>
      </c>
      <c r="BH470" s="4" t="s">
        <v>7632</v>
      </c>
      <c r="BI470" s="8" t="n">
        <v>14</v>
      </c>
      <c r="BJ470" s="8" t="s">
        <v>7610</v>
      </c>
      <c r="BK470" s="4" t="s">
        <v>7611</v>
      </c>
      <c r="BL470" s="8" t="s">
        <v>7602</v>
      </c>
      <c r="BM470" s="4" t="s">
        <v>7620</v>
      </c>
      <c r="BN470" s="8"/>
      <c r="BO470" s="8"/>
      <c r="BP470" s="8" t="s">
        <v>7602</v>
      </c>
      <c r="BQ470" s="8" t="str">
        <f aca="false">IF(A470="","",AT470)</f>
        <v>3歳以上</v>
      </c>
      <c r="BR470" s="8" t="str">
        <f aca="false">IF(A470="","",IF(BA470&lt;=1200,"～1200",IF(BA470&lt;=1500,"1300～1500",IF(BA470=1600,"1600",IF(BA470&lt;=1800,"1700～1800",IF(BA470&lt;=2000,"1900～2000","2100以上"))))))</f>
        <v>2100以上</v>
      </c>
      <c r="BS470" s="8" t="str">
        <f aca="false">IF(A470="","",IF(AX470="G1","G1",IF(AX470="G2","G2",IF(AX470="G3","G3",IF(AX470="L","L","その他")))))</f>
        <v>その他</v>
      </c>
      <c r="BT470" s="8" t="str">
        <f aca="false">IF(A470="","",IF(BI470="","未結合",IF(D470=BI470,"一致","不一致")))</f>
        <v>一致</v>
      </c>
      <c r="BU470" s="8" t="str">
        <f aca="false">IF(A470="","",IF(BE470="牝馬限定","牝馬限定","その他"))</f>
        <v>その他</v>
      </c>
    </row>
    <row r="471" customFormat="false" ht="15.75" hidden="false" customHeight="false" outlineLevel="0" collapsed="false">
      <c r="A471" s="6" t="n">
        <v>46186</v>
      </c>
      <c r="B471" s="4" t="s">
        <v>4473</v>
      </c>
      <c r="C471" s="8" t="n">
        <v>10</v>
      </c>
      <c r="D471" s="8" t="n">
        <v>16</v>
      </c>
      <c r="E471" s="8" t="n">
        <v>4</v>
      </c>
      <c r="F471" s="4" t="s">
        <v>4956</v>
      </c>
      <c r="G471" s="8" t="n">
        <v>67</v>
      </c>
      <c r="H471" s="8" t="n">
        <v>8</v>
      </c>
      <c r="I471" s="4" t="s">
        <v>4960</v>
      </c>
      <c r="J471" s="8" t="n">
        <v>20</v>
      </c>
      <c r="K471" s="8" t="n">
        <v>15</v>
      </c>
      <c r="L471" s="4" t="s">
        <v>4967</v>
      </c>
      <c r="M471" s="8" t="n">
        <v>20</v>
      </c>
      <c r="N471" s="8" t="n">
        <f aca="false">IF(A471="","",G471-J471)</f>
        <v>47</v>
      </c>
      <c r="O471" s="8" t="n">
        <f aca="false">IF(A471="","",J471-M471)</f>
        <v>0</v>
      </c>
      <c r="P471" s="8" t="n">
        <f aca="false">IF(A471="","",G471+J471)</f>
        <v>87</v>
      </c>
      <c r="Q471" s="8" t="str">
        <f aca="false">IF(A471="","",IF(AND(Y471&lt;&gt;"参考",G471&gt;=ルール設定!$B$2),"○",""))</f>
        <v/>
      </c>
      <c r="R471" s="8" t="str">
        <f aca="false">IF(A471="","",IF(AND(Y471&lt;&gt;"参考",G471&gt;=ルール設定!$B$3,N471&gt;=ルール設定!$B$4),"○",""))</f>
        <v/>
      </c>
      <c r="S471" s="8" t="str">
        <f aca="false">IF(A471="","",IF(AND(Y471&lt;&gt;"参考",G471&gt;=ルール設定!$B$5,J471&gt;=ルール設定!$B$6,O471&gt;=ルール設定!$B$7),"○",""))</f>
        <v/>
      </c>
      <c r="T471" s="8" t="n">
        <v>4</v>
      </c>
      <c r="U471" s="8" t="n">
        <v>1</v>
      </c>
      <c r="V471" s="8" t="str">
        <f aca="false">IF(A471="","",IF(AND(ISNUMBER(T471),ISNUMBER(U471)),IF(AND(T471&lt;=3,U471&lt;=3),"○","×"),""))</f>
        <v>×</v>
      </c>
      <c r="W471" s="8"/>
      <c r="X471" s="8"/>
      <c r="Y471" s="4" t="s">
        <v>7597</v>
      </c>
      <c r="Z471" s="4" t="s">
        <v>4475</v>
      </c>
      <c r="AA471" s="8" t="str">
        <v/>
      </c>
      <c r="AB471" s="8" t="str">
        <v/>
      </c>
      <c r="AC471" s="8" t="str">
        <v/>
      </c>
      <c r="AD471" s="8" t="str">
        <v/>
      </c>
      <c r="AE471" s="8" t="str">
        <v/>
      </c>
      <c r="AF471" s="8" t="str">
        <v/>
      </c>
      <c r="AG471" s="8" t="str">
        <v/>
      </c>
      <c r="AH471" s="8" t="str">
        <v/>
      </c>
      <c r="AI471" s="8" t="n">
        <v>47</v>
      </c>
      <c r="AJ471" s="8" t="str">
        <v>60～69</v>
      </c>
      <c r="AK471" s="8" t="str">
        <v>30以上</v>
      </c>
      <c r="AL471" s="8" t="str">
        <v>40以上</v>
      </c>
      <c r="AM471" s="8" t="str">
        <v>～99</v>
      </c>
      <c r="AN471" s="8" t="str">
        <v>15以上</v>
      </c>
      <c r="AO471" s="8" t="str">
        <f aca="false">IF(A471="","",IF(COUNTIFS(全馬データ!$A$2:$A$50000,A471,全馬データ!$B$2:$B$50000,B471,全馬データ!$C$2:$C$50000,C471,全馬データ!$D$2:$D$50000,E471,全馬データ!$K$2:$K$50000,"&lt;&gt;")=0,"",SUMIFS(全馬データ!$K$2:$K$50000,全馬データ!$A$2:$A$50000,A471,全馬データ!$B$2:$B$50000,B471,全馬データ!$C$2:$C$50000,C471,全馬データ!$D$2:$D$50000,E471)))</f>
        <v/>
      </c>
      <c r="AP471" s="8" t="str">
        <f aca="false">IF(A471="","",IF(AO471="","欠損",IF(AO471&lt;=1.1,"1.0～1.1",IF(AO471&lt;1.3,"1.2",IF(AO471&lt;1.5,"1.3～1.4",IF(AO471&lt;2,"1.5～1.9","2.0以上"))))))</f>
        <v>欠損</v>
      </c>
      <c r="AQ471" s="8" t="str">
        <f aca="false">IF(A471="","",IF(ISNUMBER(SEARCH("2歳",Z471)),"2歳戦",IF(ISNUMBER(SEARCH("3歳未勝利",Z471)),"3歳未勝利",IF(ISNUMBER(SEARCH("未勝利",Z471)),"その他未勝利",IF(ISNUMBER(SEARCH("G1",Z471)),"G1",IF(ISNUMBER(SEARCH("G2",Z471)),"G2",IF(ISNUMBER(SEARCH("G3",Z471)),"G3",IF(ISNUMBER(SEARCH("古馬条件",Z471)),"古馬条件戦",IF(ISNUMBER(SEARCH("重賞",Z471)),"重賞","分類不能")))))))))</f>
        <v>分類不能</v>
      </c>
      <c r="AR471" s="4" t="s">
        <v>7821</v>
      </c>
      <c r="AS471" s="8" t="s">
        <v>7626</v>
      </c>
      <c r="AT471" s="8" t="s">
        <v>7627</v>
      </c>
      <c r="AU471" s="8" t="s">
        <v>7639</v>
      </c>
      <c r="AV471" s="8" t="s">
        <v>7640</v>
      </c>
      <c r="AW471" s="8" t="s">
        <v>7636</v>
      </c>
      <c r="AX471" s="4" t="s">
        <v>7637</v>
      </c>
      <c r="AY471" s="8" t="s">
        <v>7610</v>
      </c>
      <c r="AZ471" s="4" t="s">
        <v>7617</v>
      </c>
      <c r="BA471" s="8" t="n">
        <v>1600</v>
      </c>
      <c r="BB471" s="8" t="s">
        <v>7659</v>
      </c>
      <c r="BC471" s="4" t="s">
        <v>7619</v>
      </c>
      <c r="BD471" s="8" t="s">
        <v>7630</v>
      </c>
      <c r="BE471" s="4" t="s">
        <v>7606</v>
      </c>
      <c r="BF471" s="8" t="s">
        <v>7607</v>
      </c>
      <c r="BG471" s="8" t="s">
        <v>7631</v>
      </c>
      <c r="BH471" s="4" t="s">
        <v>7632</v>
      </c>
      <c r="BI471" s="8" t="n">
        <v>16</v>
      </c>
      <c r="BJ471" s="8" t="s">
        <v>7610</v>
      </c>
      <c r="BK471" s="4" t="s">
        <v>7611</v>
      </c>
      <c r="BL471" s="8" t="s">
        <v>7602</v>
      </c>
      <c r="BM471" s="4" t="s">
        <v>7620</v>
      </c>
      <c r="BN471" s="8"/>
      <c r="BO471" s="8"/>
      <c r="BP471" s="8" t="s">
        <v>7602</v>
      </c>
      <c r="BQ471" s="8" t="str">
        <f aca="false">IF(A471="","",AT471)</f>
        <v>3歳以上</v>
      </c>
      <c r="BR471" s="8" t="str">
        <f aca="false">IF(A471="","",IF(BA471&lt;=1200,"～1200",IF(BA471&lt;=1500,"1300～1500",IF(BA471=1600,"1600",IF(BA471&lt;=1800,"1700～1800",IF(BA471&lt;=2000,"1900～2000","2100以上"))))))</f>
        <v>1600</v>
      </c>
      <c r="BS471" s="8" t="str">
        <f aca="false">IF(A471="","",IF(AX471="G1","G1",IF(AX471="G2","G2",IF(AX471="G3","G3",IF(AX471="L","L","その他")))))</f>
        <v>その他</v>
      </c>
      <c r="BT471" s="8" t="str">
        <f aca="false">IF(A471="","",IF(BI471="","未結合",IF(D471=BI471,"一致","不一致")))</f>
        <v>一致</v>
      </c>
      <c r="BU471" s="8" t="str">
        <f aca="false">IF(A471="","",IF(BE471="牝馬限定","牝馬限定","その他"))</f>
        <v>その他</v>
      </c>
    </row>
    <row r="472" customFormat="false" ht="15.75" hidden="false" customHeight="false" outlineLevel="0" collapsed="false">
      <c r="A472" s="6" t="n">
        <v>46186</v>
      </c>
      <c r="B472" s="4" t="s">
        <v>4473</v>
      </c>
      <c r="C472" s="8" t="n">
        <v>11</v>
      </c>
      <c r="D472" s="8" t="n">
        <v>13</v>
      </c>
      <c r="E472" s="8" t="n">
        <v>4</v>
      </c>
      <c r="F472" s="4" t="s">
        <v>4970</v>
      </c>
      <c r="G472" s="8" t="n">
        <v>41</v>
      </c>
      <c r="H472" s="8" t="n">
        <v>1</v>
      </c>
      <c r="I472" s="4" t="s">
        <v>4968</v>
      </c>
      <c r="J472" s="8" t="n">
        <v>39</v>
      </c>
      <c r="K472" s="8" t="n">
        <v>7</v>
      </c>
      <c r="L472" s="4" t="s">
        <v>2401</v>
      </c>
      <c r="M472" s="8" t="n">
        <v>34</v>
      </c>
      <c r="N472" s="8" t="n">
        <f aca="false">IF(A472="","",G472-J472)</f>
        <v>2</v>
      </c>
      <c r="O472" s="8" t="n">
        <f aca="false">IF(A472="","",J472-M472)</f>
        <v>5</v>
      </c>
      <c r="P472" s="8" t="n">
        <f aca="false">IF(A472="","",G472+J472)</f>
        <v>80</v>
      </c>
      <c r="Q472" s="8" t="str">
        <f aca="false">IF(A472="","",IF(AND(Y472&lt;&gt;"参考",G472&gt;=ルール設定!$B$2),"○",""))</f>
        <v/>
      </c>
      <c r="R472" s="8" t="str">
        <f aca="false">IF(A472="","",IF(AND(Y472&lt;&gt;"参考",G472&gt;=ルール設定!$B$3,N472&gt;=ルール設定!$B$4),"○",""))</f>
        <v/>
      </c>
      <c r="S472" s="8" t="str">
        <f aca="false">IF(A472="","",IF(AND(Y472&lt;&gt;"参考",G472&gt;=ルール設定!$B$5,J472&gt;=ルール設定!$B$6,O472&gt;=ルール設定!$B$7),"○",""))</f>
        <v/>
      </c>
      <c r="T472" s="8" t="n">
        <v>4</v>
      </c>
      <c r="U472" s="8" t="n">
        <v>4</v>
      </c>
      <c r="V472" s="8" t="str">
        <f aca="false">IF(A472="","",IF(AND(ISNUMBER(T472),ISNUMBER(U472)),IF(AND(T472&lt;=3,U472&lt;=3),"○","×"),""))</f>
        <v>×</v>
      </c>
      <c r="W472" s="8"/>
      <c r="X472" s="8"/>
      <c r="Y472" s="4" t="s">
        <v>7597</v>
      </c>
      <c r="Z472" s="4" t="s">
        <v>4475</v>
      </c>
      <c r="AA472" s="8" t="str">
        <v/>
      </c>
      <c r="AB472" s="8" t="str">
        <v/>
      </c>
      <c r="AC472" s="8" t="str">
        <v/>
      </c>
      <c r="AD472" s="8" t="str">
        <v/>
      </c>
      <c r="AE472" s="8" t="str">
        <v/>
      </c>
      <c r="AF472" s="8" t="str">
        <v/>
      </c>
      <c r="AG472" s="8" t="str">
        <v/>
      </c>
      <c r="AH472" s="8" t="str">
        <v/>
      </c>
      <c r="AI472" s="8" t="n">
        <v>7</v>
      </c>
      <c r="AJ472" s="8" t="str">
        <v>～59</v>
      </c>
      <c r="AK472" s="8" t="str">
        <v>0～4</v>
      </c>
      <c r="AL472" s="8" t="str">
        <v>0～9</v>
      </c>
      <c r="AM472" s="8" t="str">
        <v>～99</v>
      </c>
      <c r="AN472" s="8" t="str">
        <v>12～14</v>
      </c>
      <c r="AO472" s="8" t="str">
        <f aca="false">IF(A472="","",IF(COUNTIFS(全馬データ!$A$2:$A$50000,A472,全馬データ!$B$2:$B$50000,B472,全馬データ!$C$2:$C$50000,C472,全馬データ!$D$2:$D$50000,E472,全馬データ!$K$2:$K$50000,"&lt;&gt;")=0,"",SUMIFS(全馬データ!$K$2:$K$50000,全馬データ!$A$2:$A$50000,A472,全馬データ!$B$2:$B$50000,B472,全馬データ!$C$2:$C$50000,C472,全馬データ!$D$2:$D$50000,E472)))</f>
        <v/>
      </c>
      <c r="AP472" s="8" t="str">
        <f aca="false">IF(A472="","",IF(AO472="","欠損",IF(AO472&lt;=1.1,"1.0～1.1",IF(AO472&lt;1.3,"1.2",IF(AO472&lt;1.5,"1.3～1.4",IF(AO472&lt;2,"1.5～1.9","2.0以上"))))))</f>
        <v>欠損</v>
      </c>
      <c r="AQ472" s="8" t="str">
        <f aca="false">IF(A472="","",IF(ISNUMBER(SEARCH("2歳",Z472)),"2歳戦",IF(ISNUMBER(SEARCH("3歳未勝利",Z472)),"3歳未勝利",IF(ISNUMBER(SEARCH("未勝利",Z472)),"その他未勝利",IF(ISNUMBER(SEARCH("G1",Z472)),"G1",IF(ISNUMBER(SEARCH("G2",Z472)),"G2",IF(ISNUMBER(SEARCH("G3",Z472)),"G3",IF(ISNUMBER(SEARCH("古馬条件",Z472)),"古馬条件戦",IF(ISNUMBER(SEARCH("重賞",Z472)),"重賞","分類不能")))))))))</f>
        <v>分類不能</v>
      </c>
      <c r="AR472" s="4" t="s">
        <v>7822</v>
      </c>
      <c r="AS472" s="8" t="s">
        <v>7626</v>
      </c>
      <c r="AT472" s="8" t="s">
        <v>7627</v>
      </c>
      <c r="AU472" s="8" t="s">
        <v>7643</v>
      </c>
      <c r="AV472" s="4" t="s">
        <v>7644</v>
      </c>
      <c r="AW472" s="8" t="s">
        <v>7636</v>
      </c>
      <c r="AX472" s="4" t="s">
        <v>7637</v>
      </c>
      <c r="AY472" s="8" t="s">
        <v>7602</v>
      </c>
      <c r="AZ472" s="4" t="s">
        <v>7603</v>
      </c>
      <c r="BA472" s="8" t="n">
        <v>1800</v>
      </c>
      <c r="BB472" s="8" t="s">
        <v>7598</v>
      </c>
      <c r="BC472" s="4" t="s">
        <v>7604</v>
      </c>
      <c r="BD472" s="8" t="s">
        <v>7666</v>
      </c>
      <c r="BE472" s="4" t="s">
        <v>7606</v>
      </c>
      <c r="BF472" s="8" t="s">
        <v>7607</v>
      </c>
      <c r="BG472" s="8" t="s">
        <v>7610</v>
      </c>
      <c r="BH472" s="4" t="s">
        <v>7646</v>
      </c>
      <c r="BI472" s="8" t="n">
        <v>13</v>
      </c>
      <c r="BJ472" s="8" t="s">
        <v>7610</v>
      </c>
      <c r="BK472" s="4" t="s">
        <v>7611</v>
      </c>
      <c r="BL472" s="8" t="s">
        <v>7602</v>
      </c>
      <c r="BM472" s="4" t="s">
        <v>7620</v>
      </c>
      <c r="BN472" s="8" t="s">
        <v>7636</v>
      </c>
      <c r="BO472" s="8" t="s">
        <v>7804</v>
      </c>
      <c r="BP472" s="8" t="s">
        <v>7602</v>
      </c>
      <c r="BQ472" s="8" t="str">
        <f aca="false">IF(A472="","",AT472)</f>
        <v>3歳以上</v>
      </c>
      <c r="BR472" s="8" t="str">
        <f aca="false">IF(A472="","",IF(BA472&lt;=1200,"～1200",IF(BA472&lt;=1500,"1300～1500",IF(BA472=1600,"1600",IF(BA472&lt;=1800,"1700～1800",IF(BA472&lt;=2000,"1900～2000","2100以上"))))))</f>
        <v>1700～1800</v>
      </c>
      <c r="BS472" s="8" t="str">
        <f aca="false">IF(A472="","",IF(AX472="G1","G1",IF(AX472="G2","G2",IF(AX472="G3","G3",IF(AX472="L","L","その他")))))</f>
        <v>その他</v>
      </c>
      <c r="BT472" s="8" t="str">
        <f aca="false">IF(A472="","",IF(BI472="","未結合",IF(D472=BI472,"一致","不一致")))</f>
        <v>一致</v>
      </c>
      <c r="BU472" s="8" t="str">
        <f aca="false">IF(A472="","",IF(BE472="牝馬限定","牝馬限定","その他"))</f>
        <v>その他</v>
      </c>
    </row>
    <row r="473" customFormat="false" ht="15.75" hidden="false" customHeight="false" outlineLevel="0" collapsed="false">
      <c r="A473" s="6" t="n">
        <v>46186</v>
      </c>
      <c r="B473" s="4" t="s">
        <v>4473</v>
      </c>
      <c r="C473" s="8" t="n">
        <v>12</v>
      </c>
      <c r="D473" s="8" t="n">
        <v>16</v>
      </c>
      <c r="E473" s="8" t="n">
        <v>6</v>
      </c>
      <c r="F473" s="4" t="s">
        <v>4980</v>
      </c>
      <c r="G473" s="8" t="n">
        <v>44</v>
      </c>
      <c r="H473" s="8" t="n">
        <v>2</v>
      </c>
      <c r="I473" s="4" t="s">
        <v>4978</v>
      </c>
      <c r="J473" s="8" t="n">
        <v>39</v>
      </c>
      <c r="K473" s="8" t="n">
        <v>15</v>
      </c>
      <c r="L473" s="4" t="s">
        <v>1966</v>
      </c>
      <c r="M473" s="8" t="n">
        <v>34</v>
      </c>
      <c r="N473" s="8" t="n">
        <f aca="false">IF(A473="","",G473-J473)</f>
        <v>5</v>
      </c>
      <c r="O473" s="8" t="n">
        <f aca="false">IF(A473="","",J473-M473)</f>
        <v>5</v>
      </c>
      <c r="P473" s="8" t="n">
        <f aca="false">IF(A473="","",G473+J473)</f>
        <v>83</v>
      </c>
      <c r="Q473" s="8" t="str">
        <f aca="false">IF(A473="","",IF(AND(Y473&lt;&gt;"参考",G473&gt;=ルール設定!$B$2),"○",""))</f>
        <v/>
      </c>
      <c r="R473" s="8" t="str">
        <f aca="false">IF(A473="","",IF(AND(Y473&lt;&gt;"参考",G473&gt;=ルール設定!$B$3,N473&gt;=ルール設定!$B$4),"○",""))</f>
        <v/>
      </c>
      <c r="S473" s="8" t="str">
        <f aca="false">IF(A473="","",IF(AND(Y473&lt;&gt;"参考",G473&gt;=ルール設定!$B$5,J473&gt;=ルール設定!$B$6,O473&gt;=ルール設定!$B$7),"○",""))</f>
        <v/>
      </c>
      <c r="T473" s="8" t="n">
        <v>4</v>
      </c>
      <c r="U473" s="8" t="n">
        <v>4</v>
      </c>
      <c r="V473" s="8" t="str">
        <f aca="false">IF(A473="","",IF(AND(ISNUMBER(T473),ISNUMBER(U473)),IF(AND(T473&lt;=3,U473&lt;=3),"○","×"),""))</f>
        <v>×</v>
      </c>
      <c r="W473" s="8"/>
      <c r="X473" s="8"/>
      <c r="Y473" s="4" t="s">
        <v>7597</v>
      </c>
      <c r="Z473" s="4" t="s">
        <v>4475</v>
      </c>
      <c r="AA473" s="8" t="str">
        <v/>
      </c>
      <c r="AB473" s="8" t="str">
        <v/>
      </c>
      <c r="AC473" s="8" t="str">
        <v/>
      </c>
      <c r="AD473" s="8" t="str">
        <v/>
      </c>
      <c r="AE473" s="8" t="str">
        <v/>
      </c>
      <c r="AF473" s="8" t="str">
        <v/>
      </c>
      <c r="AG473" s="8" t="str">
        <v/>
      </c>
      <c r="AH473" s="8" t="str">
        <v/>
      </c>
      <c r="AI473" s="8" t="n">
        <v>10</v>
      </c>
      <c r="AJ473" s="8" t="str">
        <v>～59</v>
      </c>
      <c r="AK473" s="8" t="str">
        <v>5～9</v>
      </c>
      <c r="AL473" s="8" t="str">
        <v>10～19</v>
      </c>
      <c r="AM473" s="8" t="str">
        <v>～99</v>
      </c>
      <c r="AN473" s="8" t="str">
        <v>15以上</v>
      </c>
      <c r="AO473" s="8" t="str">
        <f aca="false">IF(A473="","",IF(COUNTIFS(全馬データ!$A$2:$A$50000,A473,全馬データ!$B$2:$B$50000,B473,全馬データ!$C$2:$C$50000,C473,全馬データ!$D$2:$D$50000,E473,全馬データ!$K$2:$K$50000,"&lt;&gt;")=0,"",SUMIFS(全馬データ!$K$2:$K$50000,全馬データ!$A$2:$A$50000,A473,全馬データ!$B$2:$B$50000,B473,全馬データ!$C$2:$C$50000,C473,全馬データ!$D$2:$D$50000,E473)))</f>
        <v/>
      </c>
      <c r="AP473" s="8" t="str">
        <f aca="false">IF(A473="","",IF(AO473="","欠損",IF(AO473&lt;=1.1,"1.0～1.1",IF(AO473&lt;1.3,"1.2",IF(AO473&lt;1.5,"1.3～1.4",IF(AO473&lt;2,"1.5～1.9","2.0以上"))))))</f>
        <v>欠損</v>
      </c>
      <c r="AQ473" s="8" t="str">
        <f aca="false">IF(A473="","",IF(ISNUMBER(SEARCH("2歳",Z473)),"2歳戦",IF(ISNUMBER(SEARCH("3歳未勝利",Z473)),"3歳未勝利",IF(ISNUMBER(SEARCH("未勝利",Z473)),"その他未勝利",IF(ISNUMBER(SEARCH("G1",Z473)),"G1",IF(ISNUMBER(SEARCH("G2",Z473)),"G2",IF(ISNUMBER(SEARCH("G3",Z473)),"G3",IF(ISNUMBER(SEARCH("古馬条件",Z473)),"古馬条件戦",IF(ISNUMBER(SEARCH("重賞",Z473)),"重賞","分類不能")))))))))</f>
        <v>分類不能</v>
      </c>
      <c r="AR473" s="8"/>
      <c r="AS473" s="8" t="s">
        <v>7626</v>
      </c>
      <c r="AT473" s="8" t="s">
        <v>7627</v>
      </c>
      <c r="AU473" s="8" t="s">
        <v>7628</v>
      </c>
      <c r="AV473" s="8" t="s">
        <v>7629</v>
      </c>
      <c r="AW473" s="8"/>
      <c r="AX473" s="8"/>
      <c r="AY473" s="8" t="s">
        <v>7610</v>
      </c>
      <c r="AZ473" s="4" t="s">
        <v>7617</v>
      </c>
      <c r="BA473" s="8" t="n">
        <v>1400</v>
      </c>
      <c r="BB473" s="8" t="s">
        <v>7659</v>
      </c>
      <c r="BC473" s="4" t="s">
        <v>7619</v>
      </c>
      <c r="BD473" s="8" t="s">
        <v>7605</v>
      </c>
      <c r="BE473" s="4" t="s">
        <v>7606</v>
      </c>
      <c r="BF473" s="8" t="s">
        <v>7607</v>
      </c>
      <c r="BG473" s="8" t="s">
        <v>7631</v>
      </c>
      <c r="BH473" s="4" t="s">
        <v>7632</v>
      </c>
      <c r="BI473" s="8" t="n">
        <v>16</v>
      </c>
      <c r="BJ473" s="8" t="s">
        <v>7610</v>
      </c>
      <c r="BK473" s="4" t="s">
        <v>7611</v>
      </c>
      <c r="BL473" s="8" t="s">
        <v>7602</v>
      </c>
      <c r="BM473" s="4" t="s">
        <v>7620</v>
      </c>
      <c r="BN473" s="8"/>
      <c r="BO473" s="8"/>
      <c r="BP473" s="8" t="s">
        <v>7602</v>
      </c>
      <c r="BQ473" s="8" t="str">
        <f aca="false">IF(A473="","",AT473)</f>
        <v>3歳以上</v>
      </c>
      <c r="BR473" s="8" t="str">
        <f aca="false">IF(A473="","",IF(BA473&lt;=1200,"～1200",IF(BA473&lt;=1500,"1300～1500",IF(BA473=1600,"1600",IF(BA473&lt;=1800,"1700～1800",IF(BA473&lt;=2000,"1900～2000","2100以上"))))))</f>
        <v>1300～1500</v>
      </c>
      <c r="BS473" s="8" t="str">
        <f aca="false">IF(A473="","",IF(AX473="G1","G1",IF(AX473="G2","G2",IF(AX473="G3","G3",IF(AX473="L","L","その他")))))</f>
        <v>その他</v>
      </c>
      <c r="BT473" s="8" t="str">
        <f aca="false">IF(A473="","",IF(BI473="","未結合",IF(D473=BI473,"一致","不一致")))</f>
        <v>一致</v>
      </c>
      <c r="BU473" s="8" t="str">
        <f aca="false">IF(A473="","",IF(BE473="牝馬限定","牝馬限定","その他"))</f>
        <v>その他</v>
      </c>
    </row>
    <row r="474" customFormat="false" ht="15.75" hidden="false" customHeight="false" outlineLevel="0" collapsed="false">
      <c r="A474" s="6" t="n">
        <v>46186</v>
      </c>
      <c r="B474" s="4" t="s">
        <v>4172</v>
      </c>
      <c r="C474" s="8" t="n">
        <v>1</v>
      </c>
      <c r="D474" s="8" t="n">
        <v>16</v>
      </c>
      <c r="E474" s="8" t="n">
        <v>3</v>
      </c>
      <c r="F474" s="4" t="s">
        <v>3266</v>
      </c>
      <c r="G474" s="8" t="n">
        <v>60</v>
      </c>
      <c r="H474" s="8" t="n">
        <v>1</v>
      </c>
      <c r="I474" s="4" t="s">
        <v>4987</v>
      </c>
      <c r="J474" s="8" t="n">
        <v>44</v>
      </c>
      <c r="K474" s="8" t="n">
        <v>15</v>
      </c>
      <c r="L474" s="4" t="s">
        <v>4994</v>
      </c>
      <c r="M474" s="8" t="n">
        <v>39</v>
      </c>
      <c r="N474" s="8" t="n">
        <f aca="false">IF(A474="","",G474-J474)</f>
        <v>16</v>
      </c>
      <c r="O474" s="8" t="n">
        <f aca="false">IF(A474="","",J474-M474)</f>
        <v>5</v>
      </c>
      <c r="P474" s="8" t="n">
        <f aca="false">IF(A474="","",G474+J474)</f>
        <v>104</v>
      </c>
      <c r="Q474" s="8" t="str">
        <f aca="false">IF(A474="","",IF(AND(Y474&lt;&gt;"参考",G474&gt;=ルール設定!$B$2),"○",""))</f>
        <v/>
      </c>
      <c r="R474" s="8" t="str">
        <f aca="false">IF(A474="","",IF(AND(Y474&lt;&gt;"参考",G474&gt;=ルール設定!$B$3,N474&gt;=ルール設定!$B$4),"○",""))</f>
        <v/>
      </c>
      <c r="S474" s="8" t="str">
        <f aca="false">IF(A474="","",IF(AND(Y474&lt;&gt;"参考",G474&gt;=ルール設定!$B$5,J474&gt;=ルール設定!$B$6,O474&gt;=ルール設定!$B$7),"○",""))</f>
        <v/>
      </c>
      <c r="T474" s="8" t="n">
        <v>4</v>
      </c>
      <c r="U474" s="8" t="n">
        <v>4</v>
      </c>
      <c r="V474" s="8" t="str">
        <f aca="false">IF(A474="","",IF(AND(ISNUMBER(T474),ISNUMBER(U474)),IF(AND(T474&lt;=3,U474&lt;=3),"○","×"),""))</f>
        <v>×</v>
      </c>
      <c r="W474" s="8"/>
      <c r="X474" s="8"/>
      <c r="Y474" s="4" t="s">
        <v>7597</v>
      </c>
      <c r="Z474" s="4" t="s">
        <v>4475</v>
      </c>
      <c r="AA474" s="8" t="str">
        <v/>
      </c>
      <c r="AB474" s="8" t="str">
        <v/>
      </c>
      <c r="AC474" s="8" t="str">
        <v/>
      </c>
      <c r="AD474" s="8" t="str">
        <v/>
      </c>
      <c r="AE474" s="8" t="str">
        <v/>
      </c>
      <c r="AF474" s="8" t="str">
        <v/>
      </c>
      <c r="AG474" s="8" t="str">
        <v/>
      </c>
      <c r="AH474" s="8" t="str">
        <v/>
      </c>
      <c r="AI474" s="8" t="n">
        <v>21</v>
      </c>
      <c r="AJ474" s="8" t="str">
        <v>60～69</v>
      </c>
      <c r="AK474" s="8" t="str">
        <v>10～19</v>
      </c>
      <c r="AL474" s="8" t="str">
        <v>20～29</v>
      </c>
      <c r="AM474" s="8" t="str">
        <v>100～119</v>
      </c>
      <c r="AN474" s="8" t="str">
        <v>15以上</v>
      </c>
      <c r="AO474" s="8" t="str">
        <f aca="false">IF(A474="","",IF(COUNTIFS(全馬データ!$A$2:$A$50000,A474,全馬データ!$B$2:$B$50000,B474,全馬データ!$C$2:$C$50000,C474,全馬データ!$D$2:$D$50000,E474,全馬データ!$K$2:$K$50000,"&lt;&gt;")=0,"",SUMIFS(全馬データ!$K$2:$K$50000,全馬データ!$A$2:$A$50000,A474,全馬データ!$B$2:$B$50000,B474,全馬データ!$C$2:$C$50000,C474,全馬データ!$D$2:$D$50000,E474)))</f>
        <v/>
      </c>
      <c r="AP474" s="8" t="str">
        <f aca="false">IF(A474="","",IF(AO474="","欠損",IF(AO474&lt;=1.1,"1.0～1.1",IF(AO474&lt;1.3,"1.2",IF(AO474&lt;1.5,"1.3～1.4",IF(AO474&lt;2,"1.5～1.9","2.0以上"))))))</f>
        <v>欠損</v>
      </c>
      <c r="AQ474" s="8" t="str">
        <f aca="false">IF(A474="","",IF(ISNUMBER(SEARCH("2歳",Z474)),"2歳戦",IF(ISNUMBER(SEARCH("3歳未勝利",Z474)),"3歳未勝利",IF(ISNUMBER(SEARCH("未勝利",Z474)),"その他未勝利",IF(ISNUMBER(SEARCH("G1",Z474)),"G1",IF(ISNUMBER(SEARCH("G2",Z474)),"G2",IF(ISNUMBER(SEARCH("G3",Z474)),"G3",IF(ISNUMBER(SEARCH("古馬条件",Z474)),"古馬条件戦",IF(ISNUMBER(SEARCH("重賞",Z474)),"重賞","分類不能")))))))))</f>
        <v>分類不能</v>
      </c>
      <c r="AR474" s="8"/>
      <c r="AS474" s="8" t="s">
        <v>7623</v>
      </c>
      <c r="AT474" s="8" t="s">
        <v>7624</v>
      </c>
      <c r="AU474" s="8" t="s">
        <v>7600</v>
      </c>
      <c r="AV474" s="4" t="s">
        <v>7601</v>
      </c>
      <c r="AW474" s="8"/>
      <c r="AX474" s="8"/>
      <c r="AY474" s="8" t="s">
        <v>7610</v>
      </c>
      <c r="AZ474" s="4" t="s">
        <v>7617</v>
      </c>
      <c r="BA474" s="8" t="n">
        <v>1200</v>
      </c>
      <c r="BB474" s="8" t="s">
        <v>7634</v>
      </c>
      <c r="BC474" s="4" t="s">
        <v>7604</v>
      </c>
      <c r="BD474" s="8" t="s">
        <v>7621</v>
      </c>
      <c r="BE474" s="4" t="s">
        <v>7622</v>
      </c>
      <c r="BF474" s="8" t="s">
        <v>7602</v>
      </c>
      <c r="BG474" s="8" t="s">
        <v>7608</v>
      </c>
      <c r="BH474" s="4" t="s">
        <v>7609</v>
      </c>
      <c r="BI474" s="8" t="n">
        <v>16</v>
      </c>
      <c r="BJ474" s="8" t="s">
        <v>7602</v>
      </c>
      <c r="BK474" s="4" t="s">
        <v>7653</v>
      </c>
      <c r="BL474" s="8" t="s">
        <v>7602</v>
      </c>
      <c r="BM474" s="4" t="s">
        <v>7620</v>
      </c>
      <c r="BN474" s="8"/>
      <c r="BO474" s="8"/>
      <c r="BP474" s="8" t="s">
        <v>7610</v>
      </c>
      <c r="BQ474" s="8" t="str">
        <f aca="false">IF(A474="","",AT474)</f>
        <v>3歳</v>
      </c>
      <c r="BR474" s="8" t="str">
        <f aca="false">IF(A474="","",IF(BA474&lt;=1200,"～1200",IF(BA474&lt;=1500,"1300～1500",IF(BA474=1600,"1600",IF(BA474&lt;=1800,"1700～1800",IF(BA474&lt;=2000,"1900～2000","2100以上"))))))</f>
        <v>～1200</v>
      </c>
      <c r="BS474" s="8" t="str">
        <f aca="false">IF(A474="","",IF(AX474="G1","G1",IF(AX474="G2","G2",IF(AX474="G3","G3",IF(AX474="L","L","その他")))))</f>
        <v>その他</v>
      </c>
      <c r="BT474" s="8" t="str">
        <f aca="false">IF(A474="","",IF(BI474="","未結合",IF(D474=BI474,"一致","不一致")))</f>
        <v>一致</v>
      </c>
      <c r="BU474" s="8" t="str">
        <f aca="false">IF(A474="","",IF(BE474="牝馬限定","牝馬限定","その他"))</f>
        <v>牝馬限定</v>
      </c>
    </row>
    <row r="475" customFormat="false" ht="15.75" hidden="false" customHeight="false" outlineLevel="0" collapsed="false">
      <c r="A475" s="6" t="n">
        <v>46186</v>
      </c>
      <c r="B475" s="4" t="s">
        <v>4172</v>
      </c>
      <c r="C475" s="8" t="n">
        <v>2</v>
      </c>
      <c r="D475" s="8" t="n">
        <v>16</v>
      </c>
      <c r="E475" s="8" t="n">
        <v>6</v>
      </c>
      <c r="F475" s="4" t="s">
        <v>421</v>
      </c>
      <c r="G475" s="8" t="n">
        <v>74</v>
      </c>
      <c r="H475" s="8" t="n">
        <v>10</v>
      </c>
      <c r="I475" s="4" t="s">
        <v>5002</v>
      </c>
      <c r="J475" s="8" t="n">
        <v>56</v>
      </c>
      <c r="K475" s="8" t="n">
        <v>16</v>
      </c>
      <c r="L475" s="4" t="s">
        <v>669</v>
      </c>
      <c r="M475" s="8" t="n">
        <v>44</v>
      </c>
      <c r="N475" s="8" t="n">
        <f aca="false">IF(A475="","",G475-J475)</f>
        <v>18</v>
      </c>
      <c r="O475" s="8" t="n">
        <f aca="false">IF(A475="","",J475-M475)</f>
        <v>12</v>
      </c>
      <c r="P475" s="8" t="n">
        <f aca="false">IF(A475="","",G475+J475)</f>
        <v>130</v>
      </c>
      <c r="Q475" s="8" t="str">
        <f aca="false">IF(A475="","",IF(AND(Y475&lt;&gt;"参考",G475&gt;=ルール設定!$B$2),"○",""))</f>
        <v/>
      </c>
      <c r="R475" s="8" t="str">
        <f aca="false">IF(A475="","",IF(AND(Y475&lt;&gt;"参考",G475&gt;=ルール設定!$B$3,N475&gt;=ルール設定!$B$4),"○",""))</f>
        <v/>
      </c>
      <c r="S475" s="8" t="str">
        <f aca="false">IF(A475="","",IF(AND(Y475&lt;&gt;"参考",G475&gt;=ルール設定!$B$5,J475&gt;=ルール設定!$B$6,O475&gt;=ルール設定!$B$7),"○",""))</f>
        <v/>
      </c>
      <c r="T475" s="8" t="n">
        <v>4</v>
      </c>
      <c r="U475" s="8" t="n">
        <v>1</v>
      </c>
      <c r="V475" s="8" t="str">
        <f aca="false">IF(A475="","",IF(AND(ISNUMBER(T475),ISNUMBER(U475)),IF(AND(T475&lt;=3,U475&lt;=3),"○","×"),""))</f>
        <v>×</v>
      </c>
      <c r="W475" s="8"/>
      <c r="X475" s="8"/>
      <c r="Y475" s="4" t="s">
        <v>7597</v>
      </c>
      <c r="Z475" s="4" t="s">
        <v>4475</v>
      </c>
      <c r="AA475" s="8" t="str">
        <v/>
      </c>
      <c r="AB475" s="8" t="str">
        <v/>
      </c>
      <c r="AC475" s="8" t="str">
        <v/>
      </c>
      <c r="AD475" s="8" t="str">
        <v/>
      </c>
      <c r="AE475" s="8" t="str">
        <v/>
      </c>
      <c r="AF475" s="8" t="str">
        <v/>
      </c>
      <c r="AG475" s="8" t="str">
        <v/>
      </c>
      <c r="AH475" s="8" t="str">
        <v/>
      </c>
      <c r="AI475" s="8" t="n">
        <v>30</v>
      </c>
      <c r="AJ475" s="8" t="str">
        <v>70～74</v>
      </c>
      <c r="AK475" s="8" t="str">
        <v>10～19</v>
      </c>
      <c r="AL475" s="8" t="str">
        <v>30～39</v>
      </c>
      <c r="AM475" s="8" t="str">
        <v>120～139</v>
      </c>
      <c r="AN475" s="8" t="str">
        <v>15以上</v>
      </c>
      <c r="AO475" s="8" t="str">
        <f aca="false">IF(A475="","",IF(COUNTIFS(全馬データ!$A$2:$A$50000,A475,全馬データ!$B$2:$B$50000,B475,全馬データ!$C$2:$C$50000,C475,全馬データ!$D$2:$D$50000,E475,全馬データ!$K$2:$K$50000,"&lt;&gt;")=0,"",SUMIFS(全馬データ!$K$2:$K$50000,全馬データ!$A$2:$A$50000,A475,全馬データ!$B$2:$B$50000,B475,全馬データ!$C$2:$C$50000,C475,全馬データ!$D$2:$D$50000,E475)))</f>
        <v/>
      </c>
      <c r="AP475" s="8" t="str">
        <f aca="false">IF(A475="","",IF(AO475="","欠損",IF(AO475&lt;=1.1,"1.0～1.1",IF(AO475&lt;1.3,"1.2",IF(AO475&lt;1.5,"1.3～1.4",IF(AO475&lt;2,"1.5～1.9","2.0以上"))))))</f>
        <v>欠損</v>
      </c>
      <c r="AQ475" s="8" t="str">
        <f aca="false">IF(A475="","",IF(ISNUMBER(SEARCH("2歳",Z475)),"2歳戦",IF(ISNUMBER(SEARCH("3歳未勝利",Z475)),"3歳未勝利",IF(ISNUMBER(SEARCH("未勝利",Z475)),"その他未勝利",IF(ISNUMBER(SEARCH("G1",Z475)),"G1",IF(ISNUMBER(SEARCH("G2",Z475)),"G2",IF(ISNUMBER(SEARCH("G3",Z475)),"G3",IF(ISNUMBER(SEARCH("古馬条件",Z475)),"古馬条件戦",IF(ISNUMBER(SEARCH("重賞",Z475)),"重賞","分類不能")))))))))</f>
        <v>分類不能</v>
      </c>
      <c r="AR475" s="8"/>
      <c r="AS475" s="8" t="s">
        <v>7623</v>
      </c>
      <c r="AT475" s="8" t="s">
        <v>7624</v>
      </c>
      <c r="AU475" s="8" t="s">
        <v>7600</v>
      </c>
      <c r="AV475" s="4" t="s">
        <v>7601</v>
      </c>
      <c r="AW475" s="8"/>
      <c r="AX475" s="8"/>
      <c r="AY475" s="8" t="s">
        <v>7610</v>
      </c>
      <c r="AZ475" s="4" t="s">
        <v>7617</v>
      </c>
      <c r="BA475" s="8" t="n">
        <v>2000</v>
      </c>
      <c r="BB475" s="8" t="s">
        <v>7634</v>
      </c>
      <c r="BC475" s="4" t="s">
        <v>7604</v>
      </c>
      <c r="BD475" s="8" t="s">
        <v>7605</v>
      </c>
      <c r="BE475" s="4" t="s">
        <v>7606</v>
      </c>
      <c r="BF475" s="8" t="s">
        <v>7607</v>
      </c>
      <c r="BG475" s="8" t="s">
        <v>7608</v>
      </c>
      <c r="BH475" s="4" t="s">
        <v>7609</v>
      </c>
      <c r="BI475" s="8" t="n">
        <v>16</v>
      </c>
      <c r="BJ475" s="8" t="s">
        <v>7602</v>
      </c>
      <c r="BK475" s="4" t="s">
        <v>7653</v>
      </c>
      <c r="BL475" s="8" t="s">
        <v>7602</v>
      </c>
      <c r="BM475" s="4" t="s">
        <v>7620</v>
      </c>
      <c r="BN475" s="8"/>
      <c r="BO475" s="8"/>
      <c r="BP475" s="8" t="s">
        <v>7610</v>
      </c>
      <c r="BQ475" s="8" t="str">
        <f aca="false">IF(A475="","",AT475)</f>
        <v>3歳</v>
      </c>
      <c r="BR475" s="8" t="str">
        <f aca="false">IF(A475="","",IF(BA475&lt;=1200,"～1200",IF(BA475&lt;=1500,"1300～1500",IF(BA475=1600,"1600",IF(BA475&lt;=1800,"1700～1800",IF(BA475&lt;=2000,"1900～2000","2100以上"))))))</f>
        <v>1900～2000</v>
      </c>
      <c r="BS475" s="8" t="str">
        <f aca="false">IF(A475="","",IF(AX475="G1","G1",IF(AX475="G2","G2",IF(AX475="G3","G3",IF(AX475="L","L","その他")))))</f>
        <v>その他</v>
      </c>
      <c r="BT475" s="8" t="str">
        <f aca="false">IF(A475="","",IF(BI475="","未結合",IF(D475=BI475,"一致","不一致")))</f>
        <v>一致</v>
      </c>
      <c r="BU475" s="8" t="str">
        <f aca="false">IF(A475="","",IF(BE475="牝馬限定","牝馬限定","その他"))</f>
        <v>その他</v>
      </c>
    </row>
    <row r="476" customFormat="false" ht="15.75" hidden="false" customHeight="false" outlineLevel="0" collapsed="false">
      <c r="A476" s="6" t="n">
        <v>46186</v>
      </c>
      <c r="B476" s="4" t="s">
        <v>4172</v>
      </c>
      <c r="C476" s="8" t="n">
        <v>3</v>
      </c>
      <c r="D476" s="8" t="n">
        <v>18</v>
      </c>
      <c r="E476" s="8" t="n">
        <v>1</v>
      </c>
      <c r="F476" s="4" t="s">
        <v>2879</v>
      </c>
      <c r="G476" s="8" t="n">
        <v>47</v>
      </c>
      <c r="H476" s="8" t="n">
        <v>10</v>
      </c>
      <c r="I476" s="4" t="s">
        <v>5007</v>
      </c>
      <c r="J476" s="8" t="n">
        <v>47</v>
      </c>
      <c r="K476" s="8" t="n">
        <v>5</v>
      </c>
      <c r="L476" s="4" t="s">
        <v>325</v>
      </c>
      <c r="M476" s="8" t="n">
        <v>37</v>
      </c>
      <c r="N476" s="8" t="n">
        <f aca="false">IF(A476="","",G476-J476)</f>
        <v>0</v>
      </c>
      <c r="O476" s="8" t="n">
        <f aca="false">IF(A476="","",J476-M476)</f>
        <v>10</v>
      </c>
      <c r="P476" s="8" t="n">
        <f aca="false">IF(A476="","",G476+J476)</f>
        <v>94</v>
      </c>
      <c r="Q476" s="8" t="str">
        <f aca="false">IF(A476="","",IF(AND(Y476&lt;&gt;"参考",G476&gt;=ルール設定!$B$2),"○",""))</f>
        <v/>
      </c>
      <c r="R476" s="8" t="str">
        <f aca="false">IF(A476="","",IF(AND(Y476&lt;&gt;"参考",G476&gt;=ルール設定!$B$3,N476&gt;=ルール設定!$B$4),"○",""))</f>
        <v/>
      </c>
      <c r="S476" s="8" t="str">
        <f aca="false">IF(A476="","",IF(AND(Y476&lt;&gt;"参考",G476&gt;=ルール設定!$B$5,J476&gt;=ルール設定!$B$6,O476&gt;=ルール設定!$B$7),"○",""))</f>
        <v/>
      </c>
      <c r="T476" s="8" t="n">
        <v>2</v>
      </c>
      <c r="U476" s="8" t="n">
        <v>1</v>
      </c>
      <c r="V476" s="8" t="str">
        <f aca="false">IF(A476="","",IF(AND(ISNUMBER(T476),ISNUMBER(U476)),IF(AND(T476&lt;=3,U476&lt;=3),"○","×"),""))</f>
        <v>○</v>
      </c>
      <c r="W476" s="8" t="n">
        <v>220</v>
      </c>
      <c r="X476" s="8" t="n">
        <v>450</v>
      </c>
      <c r="Y476" s="4" t="s">
        <v>7597</v>
      </c>
      <c r="Z476" s="4" t="s">
        <v>4475</v>
      </c>
      <c r="AA476" s="8" t="str">
        <v/>
      </c>
      <c r="AB476" s="8" t="str">
        <v/>
      </c>
      <c r="AC476" s="8" t="str">
        <v/>
      </c>
      <c r="AD476" s="8" t="str">
        <v/>
      </c>
      <c r="AE476" s="8" t="str">
        <v/>
      </c>
      <c r="AF476" s="8" t="str">
        <v/>
      </c>
      <c r="AG476" s="8" t="str">
        <v/>
      </c>
      <c r="AH476" s="8" t="str">
        <v/>
      </c>
      <c r="AI476" s="8" t="n">
        <v>10</v>
      </c>
      <c r="AJ476" s="8" t="str">
        <v>～59</v>
      </c>
      <c r="AK476" s="8" t="str">
        <v>0～4</v>
      </c>
      <c r="AL476" s="8" t="str">
        <v>10～19</v>
      </c>
      <c r="AM476" s="8" t="str">
        <v>～99</v>
      </c>
      <c r="AN476" s="8" t="str">
        <v>15以上</v>
      </c>
      <c r="AO476" s="8" t="str">
        <f aca="false">IF(A476="","",IF(COUNTIFS(全馬データ!$A$2:$A$50000,A476,全馬データ!$B$2:$B$50000,B476,全馬データ!$C$2:$C$50000,C476,全馬データ!$D$2:$D$50000,E476,全馬データ!$K$2:$K$50000,"&lt;&gt;")=0,"",SUMIFS(全馬データ!$K$2:$K$50000,全馬データ!$A$2:$A$50000,A476,全馬データ!$B$2:$B$50000,B476,全馬データ!$C$2:$C$50000,C476,全馬データ!$D$2:$D$50000,E476)))</f>
        <v/>
      </c>
      <c r="AP476" s="8" t="str">
        <f aca="false">IF(A476="","",IF(AO476="","欠損",IF(AO476&lt;=1.1,"1.0～1.1",IF(AO476&lt;1.3,"1.2",IF(AO476&lt;1.5,"1.3～1.4",IF(AO476&lt;2,"1.5～1.9","2.0以上"))))))</f>
        <v>欠損</v>
      </c>
      <c r="AQ476" s="8" t="str">
        <f aca="false">IF(A476="","",IF(ISNUMBER(SEARCH("2歳",Z476)),"2歳戦",IF(ISNUMBER(SEARCH("3歳未勝利",Z476)),"3歳未勝利",IF(ISNUMBER(SEARCH("未勝利",Z476)),"その他未勝利",IF(ISNUMBER(SEARCH("G1",Z476)),"G1",IF(ISNUMBER(SEARCH("G2",Z476)),"G2",IF(ISNUMBER(SEARCH("G3",Z476)),"G3",IF(ISNUMBER(SEARCH("古馬条件",Z476)),"古馬条件戦",IF(ISNUMBER(SEARCH("重賞",Z476)),"重賞","分類不能")))))))))</f>
        <v>分類不能</v>
      </c>
      <c r="AR476" s="8"/>
      <c r="AS476" s="8" t="s">
        <v>7623</v>
      </c>
      <c r="AT476" s="8" t="s">
        <v>7624</v>
      </c>
      <c r="AU476" s="8" t="s">
        <v>7600</v>
      </c>
      <c r="AV476" s="4" t="s">
        <v>7601</v>
      </c>
      <c r="AW476" s="8"/>
      <c r="AX476" s="8"/>
      <c r="AY476" s="8" t="s">
        <v>7602</v>
      </c>
      <c r="AZ476" s="4" t="s">
        <v>7603</v>
      </c>
      <c r="BA476" s="8" t="n">
        <v>1600</v>
      </c>
      <c r="BB476" s="8" t="s">
        <v>7598</v>
      </c>
      <c r="BC476" s="4" t="s">
        <v>7604</v>
      </c>
      <c r="BD476" s="8" t="s">
        <v>7605</v>
      </c>
      <c r="BE476" s="4" t="s">
        <v>7606</v>
      </c>
      <c r="BF476" s="8" t="s">
        <v>7607</v>
      </c>
      <c r="BG476" s="8" t="s">
        <v>7608</v>
      </c>
      <c r="BH476" s="4" t="s">
        <v>7609</v>
      </c>
      <c r="BI476" s="8" t="n">
        <v>18</v>
      </c>
      <c r="BJ476" s="8" t="s">
        <v>7602</v>
      </c>
      <c r="BK476" s="4" t="s">
        <v>7653</v>
      </c>
      <c r="BL476" s="8" t="s">
        <v>7610</v>
      </c>
      <c r="BM476" s="4" t="s">
        <v>7612</v>
      </c>
      <c r="BN476" s="8" t="s">
        <v>7631</v>
      </c>
      <c r="BO476" s="8" t="s">
        <v>7680</v>
      </c>
      <c r="BP476" s="8" t="s">
        <v>7610</v>
      </c>
      <c r="BQ476" s="8" t="str">
        <f aca="false">IF(A476="","",AT476)</f>
        <v>3歳</v>
      </c>
      <c r="BR476" s="8" t="str">
        <f aca="false">IF(A476="","",IF(BA476&lt;=1200,"～1200",IF(BA476&lt;=1500,"1300～1500",IF(BA476=1600,"1600",IF(BA476&lt;=1800,"1700～1800",IF(BA476&lt;=2000,"1900～2000","2100以上"))))))</f>
        <v>1600</v>
      </c>
      <c r="BS476" s="8" t="str">
        <f aca="false">IF(A476="","",IF(AX476="G1","G1",IF(AX476="G2","G2",IF(AX476="G3","G3",IF(AX476="L","L","その他")))))</f>
        <v>その他</v>
      </c>
      <c r="BT476" s="8" t="str">
        <f aca="false">IF(A476="","",IF(BI476="","未結合",IF(D476=BI476,"一致","不一致")))</f>
        <v>一致</v>
      </c>
      <c r="BU476" s="8" t="str">
        <f aca="false">IF(A476="","",IF(BE476="牝馬限定","牝馬限定","その他"))</f>
        <v>その他</v>
      </c>
    </row>
    <row r="477" customFormat="false" ht="15.75" hidden="false" customHeight="false" outlineLevel="0" collapsed="false">
      <c r="A477" s="6" t="n">
        <v>46186</v>
      </c>
      <c r="B477" s="4" t="s">
        <v>4172</v>
      </c>
      <c r="C477" s="8" t="n">
        <v>4</v>
      </c>
      <c r="D477" s="8" t="n">
        <v>16</v>
      </c>
      <c r="E477" s="8" t="n">
        <v>7</v>
      </c>
      <c r="F477" s="4" t="s">
        <v>5015</v>
      </c>
      <c r="G477" s="8" t="n">
        <v>58</v>
      </c>
      <c r="H477" s="8" t="n">
        <v>8</v>
      </c>
      <c r="I477" s="4" t="s">
        <v>203</v>
      </c>
      <c r="J477" s="8" t="n">
        <v>39</v>
      </c>
      <c r="K477" s="8" t="n">
        <v>14</v>
      </c>
      <c r="L477" s="4" t="s">
        <v>5017</v>
      </c>
      <c r="M477" s="8" t="n">
        <v>39</v>
      </c>
      <c r="N477" s="8" t="n">
        <f aca="false">IF(A477="","",G477-J477)</f>
        <v>19</v>
      </c>
      <c r="O477" s="8" t="n">
        <f aca="false">IF(A477="","",J477-M477)</f>
        <v>0</v>
      </c>
      <c r="P477" s="8" t="n">
        <f aca="false">IF(A477="","",G477+J477)</f>
        <v>97</v>
      </c>
      <c r="Q477" s="8" t="str">
        <f aca="false">IF(A477="","",IF(AND(Y477&lt;&gt;"参考",G477&gt;=ルール設定!$B$2),"○",""))</f>
        <v/>
      </c>
      <c r="R477" s="8" t="str">
        <f aca="false">IF(A477="","",IF(AND(Y477&lt;&gt;"参考",G477&gt;=ルール設定!$B$3,N477&gt;=ルール設定!$B$4),"○",""))</f>
        <v/>
      </c>
      <c r="S477" s="8" t="str">
        <f aca="false">IF(A477="","",IF(AND(Y477&lt;&gt;"参考",G477&gt;=ルール設定!$B$5,J477&gt;=ルール設定!$B$6,O477&gt;=ルール設定!$B$7),"○",""))</f>
        <v/>
      </c>
      <c r="T477" s="8" t="n">
        <v>1</v>
      </c>
      <c r="U477" s="8" t="n">
        <v>4</v>
      </c>
      <c r="V477" s="8" t="str">
        <f aca="false">IF(A477="","",IF(AND(ISNUMBER(T477),ISNUMBER(U477)),IF(AND(T477&lt;=3,U477&lt;=3),"○","×"),""))</f>
        <v>×</v>
      </c>
      <c r="W477" s="8" t="n">
        <v>130</v>
      </c>
      <c r="X477" s="8"/>
      <c r="Y477" s="4" t="s">
        <v>7597</v>
      </c>
      <c r="Z477" s="4" t="s">
        <v>4475</v>
      </c>
      <c r="AA477" s="8" t="str">
        <v/>
      </c>
      <c r="AB477" s="8" t="str">
        <v/>
      </c>
      <c r="AC477" s="8" t="str">
        <v/>
      </c>
      <c r="AD477" s="8" t="str">
        <v/>
      </c>
      <c r="AE477" s="8" t="str">
        <v/>
      </c>
      <c r="AF477" s="8" t="str">
        <v/>
      </c>
      <c r="AG477" s="8" t="str">
        <v/>
      </c>
      <c r="AH477" s="8" t="str">
        <v/>
      </c>
      <c r="AI477" s="8" t="n">
        <v>19</v>
      </c>
      <c r="AJ477" s="8" t="str">
        <v>～59</v>
      </c>
      <c r="AK477" s="8" t="str">
        <v>10～19</v>
      </c>
      <c r="AL477" s="8" t="str">
        <v>10～19</v>
      </c>
      <c r="AM477" s="8" t="str">
        <v>～99</v>
      </c>
      <c r="AN477" s="8" t="str">
        <v>15以上</v>
      </c>
      <c r="AO477" s="8" t="str">
        <f aca="false">IF(A477="","",IF(COUNTIFS(全馬データ!$A$2:$A$50000,A477,全馬データ!$B$2:$B$50000,B477,全馬データ!$C$2:$C$50000,C477,全馬データ!$D$2:$D$50000,E477,全馬データ!$K$2:$K$50000,"&lt;&gt;")=0,"",SUMIFS(全馬データ!$K$2:$K$50000,全馬データ!$A$2:$A$50000,A477,全馬データ!$B$2:$B$50000,B477,全馬データ!$C$2:$C$50000,C477,全馬データ!$D$2:$D$50000,E477)))</f>
        <v/>
      </c>
      <c r="AP477" s="8" t="str">
        <f aca="false">IF(A477="","",IF(AO477="","欠損",IF(AO477&lt;=1.1,"1.0～1.1",IF(AO477&lt;1.3,"1.2",IF(AO477&lt;1.5,"1.3～1.4",IF(AO477&lt;2,"1.5～1.9","2.0以上"))))))</f>
        <v>欠損</v>
      </c>
      <c r="AQ477" s="8" t="str">
        <f aca="false">IF(A477="","",IF(ISNUMBER(SEARCH("2歳",Z477)),"2歳戦",IF(ISNUMBER(SEARCH("3歳未勝利",Z477)),"3歳未勝利",IF(ISNUMBER(SEARCH("未勝利",Z477)),"その他未勝利",IF(ISNUMBER(SEARCH("G1",Z477)),"G1",IF(ISNUMBER(SEARCH("G2",Z477)),"G2",IF(ISNUMBER(SEARCH("G3",Z477)),"G3",IF(ISNUMBER(SEARCH("古馬条件",Z477)),"古馬条件戦",IF(ISNUMBER(SEARCH("重賞",Z477)),"重賞","分類不能")))))))))</f>
        <v>分類不能</v>
      </c>
      <c r="AR477" s="8"/>
      <c r="AS477" s="8" t="s">
        <v>7623</v>
      </c>
      <c r="AT477" s="8" t="s">
        <v>7624</v>
      </c>
      <c r="AU477" s="8" t="s">
        <v>7600</v>
      </c>
      <c r="AV477" s="4" t="s">
        <v>7601</v>
      </c>
      <c r="AW477" s="8"/>
      <c r="AX477" s="8"/>
      <c r="AY477" s="8" t="s">
        <v>7602</v>
      </c>
      <c r="AZ477" s="4" t="s">
        <v>7603</v>
      </c>
      <c r="BA477" s="8" t="n">
        <v>1800</v>
      </c>
      <c r="BB477" s="8" t="s">
        <v>7598</v>
      </c>
      <c r="BC477" s="4" t="s">
        <v>7604</v>
      </c>
      <c r="BD477" s="8" t="s">
        <v>7625</v>
      </c>
      <c r="BE477" s="4" t="s">
        <v>7606</v>
      </c>
      <c r="BF477" s="8" t="s">
        <v>7607</v>
      </c>
      <c r="BG477" s="8" t="s">
        <v>7608</v>
      </c>
      <c r="BH477" s="4" t="s">
        <v>7609</v>
      </c>
      <c r="BI477" s="8" t="n">
        <v>16</v>
      </c>
      <c r="BJ477" s="8" t="s">
        <v>7602</v>
      </c>
      <c r="BK477" s="4" t="s">
        <v>7653</v>
      </c>
      <c r="BL477" s="8" t="s">
        <v>7610</v>
      </c>
      <c r="BM477" s="4" t="s">
        <v>7612</v>
      </c>
      <c r="BN477" s="8" t="s">
        <v>7631</v>
      </c>
      <c r="BO477" s="8" t="s">
        <v>7680</v>
      </c>
      <c r="BP477" s="8" t="s">
        <v>7610</v>
      </c>
      <c r="BQ477" s="8" t="str">
        <f aca="false">IF(A477="","",AT477)</f>
        <v>3歳</v>
      </c>
      <c r="BR477" s="8" t="str">
        <f aca="false">IF(A477="","",IF(BA477&lt;=1200,"～1200",IF(BA477&lt;=1500,"1300～1500",IF(BA477=1600,"1600",IF(BA477&lt;=1800,"1700～1800",IF(BA477&lt;=2000,"1900～2000","2100以上"))))))</f>
        <v>1700～1800</v>
      </c>
      <c r="BS477" s="8" t="str">
        <f aca="false">IF(A477="","",IF(AX477="G1","G1",IF(AX477="G2","G2",IF(AX477="G3","G3",IF(AX477="L","L","その他")))))</f>
        <v>その他</v>
      </c>
      <c r="BT477" s="8" t="str">
        <f aca="false">IF(A477="","",IF(BI477="","未結合",IF(D477=BI477,"一致","不一致")))</f>
        <v>一致</v>
      </c>
      <c r="BU477" s="8" t="str">
        <f aca="false">IF(A477="","",IF(BE477="牝馬限定","牝馬限定","その他"))</f>
        <v>その他</v>
      </c>
    </row>
    <row r="478" customFormat="false" ht="15.75" hidden="false" customHeight="false" outlineLevel="0" collapsed="false">
      <c r="A478" s="6" t="n">
        <v>46186</v>
      </c>
      <c r="B478" s="4" t="s">
        <v>4172</v>
      </c>
      <c r="C478" s="8" t="n">
        <v>5</v>
      </c>
      <c r="D478" s="8" t="n">
        <v>11</v>
      </c>
      <c r="E478" s="8" t="n">
        <v>6</v>
      </c>
      <c r="F478" s="4" t="s">
        <v>1855</v>
      </c>
      <c r="G478" s="8" t="n">
        <v>37</v>
      </c>
      <c r="H478" s="8" t="n">
        <v>2</v>
      </c>
      <c r="I478" s="4" t="s">
        <v>632</v>
      </c>
      <c r="J478" s="8" t="n">
        <v>32</v>
      </c>
      <c r="K478" s="8" t="n">
        <v>11</v>
      </c>
      <c r="L478" s="4" t="s">
        <v>3335</v>
      </c>
      <c r="M478" s="8" t="n">
        <v>27</v>
      </c>
      <c r="N478" s="8" t="n">
        <f aca="false">IF(A478="","",G478-J478)</f>
        <v>5</v>
      </c>
      <c r="O478" s="8" t="n">
        <f aca="false">IF(A478="","",J478-M478)</f>
        <v>5</v>
      </c>
      <c r="P478" s="8" t="n">
        <f aca="false">IF(A478="","",G478+J478)</f>
        <v>69</v>
      </c>
      <c r="Q478" s="8" t="str">
        <f aca="false">IF(A478="","",IF(AND(Y478&lt;&gt;"参考",G478&gt;=ルール設定!$B$2),"○",""))</f>
        <v/>
      </c>
      <c r="R478" s="8" t="str">
        <f aca="false">IF(A478="","",IF(AND(Y478&lt;&gt;"参考",G478&gt;=ルール設定!$B$3,N478&gt;=ルール設定!$B$4),"○",""))</f>
        <v/>
      </c>
      <c r="S478" s="8" t="str">
        <f aca="false">IF(A478="","",IF(AND(Y478&lt;&gt;"参考",G478&gt;=ルール設定!$B$5,J478&gt;=ルール設定!$B$6,O478&gt;=ルール設定!$B$7),"○",""))</f>
        <v/>
      </c>
      <c r="T478" s="8" t="n">
        <v>1</v>
      </c>
      <c r="U478" s="8" t="n">
        <v>2</v>
      </c>
      <c r="V478" s="8" t="str">
        <f aca="false">IF(A478="","",IF(AND(ISNUMBER(T478),ISNUMBER(U478)),IF(AND(T478&lt;=3,U478&lt;=3),"○","×"),""))</f>
        <v>○</v>
      </c>
      <c r="W478" s="8" t="n">
        <v>120</v>
      </c>
      <c r="X478" s="8" t="n">
        <v>180</v>
      </c>
      <c r="Y478" s="4" t="s">
        <v>7597</v>
      </c>
      <c r="Z478" s="4" t="s">
        <v>4475</v>
      </c>
      <c r="AA478" s="8" t="str">
        <v/>
      </c>
      <c r="AB478" s="8" t="str">
        <v/>
      </c>
      <c r="AC478" s="8" t="str">
        <v/>
      </c>
      <c r="AD478" s="8" t="str">
        <v/>
      </c>
      <c r="AE478" s="8" t="str">
        <v/>
      </c>
      <c r="AF478" s="8" t="str">
        <v/>
      </c>
      <c r="AG478" s="8" t="str">
        <v/>
      </c>
      <c r="AH478" s="8" t="str">
        <v/>
      </c>
      <c r="AI478" s="8" t="n">
        <v>10</v>
      </c>
      <c r="AJ478" s="8" t="str">
        <v>～59</v>
      </c>
      <c r="AK478" s="8" t="str">
        <v>5～9</v>
      </c>
      <c r="AL478" s="8" t="str">
        <v>10～19</v>
      </c>
      <c r="AM478" s="8" t="str">
        <v>～99</v>
      </c>
      <c r="AN478" s="8" t="str">
        <v>8～11</v>
      </c>
      <c r="AO478" s="8" t="str">
        <f aca="false">IF(A478="","",IF(COUNTIFS(全馬データ!$A$2:$A$50000,A478,全馬データ!$B$2:$B$50000,B478,全馬データ!$C$2:$C$50000,C478,全馬データ!$D$2:$D$50000,E478,全馬データ!$K$2:$K$50000,"&lt;&gt;")=0,"",SUMIFS(全馬データ!$K$2:$K$50000,全馬データ!$A$2:$A$50000,A478,全馬データ!$B$2:$B$50000,B478,全馬データ!$C$2:$C$50000,C478,全馬データ!$D$2:$D$50000,E478)))</f>
        <v/>
      </c>
      <c r="AP478" s="8" t="str">
        <f aca="false">IF(A478="","",IF(AO478="","欠損",IF(AO478&lt;=1.1,"1.0～1.1",IF(AO478&lt;1.3,"1.2",IF(AO478&lt;1.5,"1.3～1.4",IF(AO478&lt;2,"1.5～1.9","2.0以上"))))))</f>
        <v>欠損</v>
      </c>
      <c r="AQ478" s="8" t="str">
        <f aca="false">IF(A478="","",IF(ISNUMBER(SEARCH("2歳",Z478)),"2歳戦",IF(ISNUMBER(SEARCH("3歳未勝利",Z478)),"3歳未勝利",IF(ISNUMBER(SEARCH("未勝利",Z478)),"その他未勝利",IF(ISNUMBER(SEARCH("G1",Z478)),"G1",IF(ISNUMBER(SEARCH("G2",Z478)),"G2",IF(ISNUMBER(SEARCH("G3",Z478)),"G3",IF(ISNUMBER(SEARCH("古馬条件",Z478)),"古馬条件戦",IF(ISNUMBER(SEARCH("重賞",Z478)),"重賞","分類不能")))))))))</f>
        <v>分類不能</v>
      </c>
      <c r="AR478" s="8"/>
      <c r="AS478" s="8" t="s">
        <v>7598</v>
      </c>
      <c r="AT478" s="8" t="s">
        <v>7599</v>
      </c>
      <c r="AU478" s="8" t="s">
        <v>7615</v>
      </c>
      <c r="AV478" s="4" t="s">
        <v>7616</v>
      </c>
      <c r="AW478" s="8"/>
      <c r="AX478" s="8"/>
      <c r="AY478" s="8" t="s">
        <v>7602</v>
      </c>
      <c r="AZ478" s="4" t="s">
        <v>7603</v>
      </c>
      <c r="BA478" s="8" t="n">
        <v>1200</v>
      </c>
      <c r="BB478" s="8" t="s">
        <v>7598</v>
      </c>
      <c r="BC478" s="4" t="s">
        <v>7604</v>
      </c>
      <c r="BD478" s="8" t="s">
        <v>7605</v>
      </c>
      <c r="BE478" s="4" t="s">
        <v>7606</v>
      </c>
      <c r="BF478" s="8" t="s">
        <v>7607</v>
      </c>
      <c r="BG478" s="8" t="s">
        <v>7608</v>
      </c>
      <c r="BH478" s="4" t="s">
        <v>7609</v>
      </c>
      <c r="BI478" s="8" t="n">
        <v>11</v>
      </c>
      <c r="BJ478" s="8" t="s">
        <v>7602</v>
      </c>
      <c r="BK478" s="4" t="s">
        <v>7653</v>
      </c>
      <c r="BL478" s="8" t="s">
        <v>7602</v>
      </c>
      <c r="BM478" s="4" t="s">
        <v>7620</v>
      </c>
      <c r="BN478" s="8" t="s">
        <v>7631</v>
      </c>
      <c r="BO478" s="8" t="s">
        <v>7680</v>
      </c>
      <c r="BP478" s="8" t="s">
        <v>7610</v>
      </c>
      <c r="BQ478" s="8" t="str">
        <f aca="false">IF(A478="","",AT478)</f>
        <v>2歳</v>
      </c>
      <c r="BR478" s="8" t="str">
        <f aca="false">IF(A478="","",IF(BA478&lt;=1200,"～1200",IF(BA478&lt;=1500,"1300～1500",IF(BA478=1600,"1600",IF(BA478&lt;=1800,"1700～1800",IF(BA478&lt;=2000,"1900～2000","2100以上"))))))</f>
        <v>～1200</v>
      </c>
      <c r="BS478" s="8" t="str">
        <f aca="false">IF(A478="","",IF(AX478="G1","G1",IF(AX478="G2","G2",IF(AX478="G3","G3",IF(AX478="L","L","その他")))))</f>
        <v>その他</v>
      </c>
      <c r="BT478" s="8" t="str">
        <f aca="false">IF(A478="","",IF(BI478="","未結合",IF(D478=BI478,"一致","不一致")))</f>
        <v>一致</v>
      </c>
      <c r="BU478" s="8" t="str">
        <f aca="false">IF(A478="","",IF(BE478="牝馬限定","牝馬限定","その他"))</f>
        <v>その他</v>
      </c>
    </row>
    <row r="479" customFormat="false" ht="15.75" hidden="false" customHeight="false" outlineLevel="0" collapsed="false">
      <c r="A479" s="6" t="n">
        <v>46186</v>
      </c>
      <c r="B479" s="4" t="s">
        <v>4172</v>
      </c>
      <c r="C479" s="8" t="n">
        <v>6</v>
      </c>
      <c r="D479" s="8" t="n">
        <v>13</v>
      </c>
      <c r="E479" s="8" t="n">
        <v>6</v>
      </c>
      <c r="F479" s="4" t="s">
        <v>5024</v>
      </c>
      <c r="G479" s="8" t="n">
        <v>37</v>
      </c>
      <c r="H479" s="8" t="n">
        <v>8</v>
      </c>
      <c r="I479" s="4" t="s">
        <v>5026</v>
      </c>
      <c r="J479" s="8" t="n">
        <v>37</v>
      </c>
      <c r="K479" s="8" t="n">
        <v>11</v>
      </c>
      <c r="L479" s="4" t="s">
        <v>3580</v>
      </c>
      <c r="M479" s="8" t="n">
        <v>37</v>
      </c>
      <c r="N479" s="8" t="n">
        <f aca="false">IF(A479="","",G479-J479)</f>
        <v>0</v>
      </c>
      <c r="O479" s="8" t="n">
        <f aca="false">IF(A479="","",J479-M479)</f>
        <v>0</v>
      </c>
      <c r="P479" s="8" t="n">
        <f aca="false">IF(A479="","",G479+J479)</f>
        <v>74</v>
      </c>
      <c r="Q479" s="8" t="str">
        <f aca="false">IF(A479="","",IF(AND(Y479&lt;&gt;"参考",G479&gt;=ルール設定!$B$2),"○",""))</f>
        <v/>
      </c>
      <c r="R479" s="8" t="str">
        <f aca="false">IF(A479="","",IF(AND(Y479&lt;&gt;"参考",G479&gt;=ルール設定!$B$3,N479&gt;=ルール設定!$B$4),"○",""))</f>
        <v/>
      </c>
      <c r="S479" s="8" t="str">
        <f aca="false">IF(A479="","",IF(AND(Y479&lt;&gt;"参考",G479&gt;=ルール設定!$B$5,J479&gt;=ルール設定!$B$6,O479&gt;=ルール設定!$B$7),"○",""))</f>
        <v/>
      </c>
      <c r="T479" s="8" t="n">
        <v>4</v>
      </c>
      <c r="U479" s="8" t="n">
        <v>4</v>
      </c>
      <c r="V479" s="8" t="str">
        <f aca="false">IF(A479="","",IF(AND(ISNUMBER(T479),ISNUMBER(U479)),IF(AND(T479&lt;=3,U479&lt;=3),"○","×"),""))</f>
        <v>×</v>
      </c>
      <c r="W479" s="8"/>
      <c r="X479" s="8"/>
      <c r="Y479" s="4" t="s">
        <v>7597</v>
      </c>
      <c r="Z479" s="4" t="s">
        <v>4475</v>
      </c>
      <c r="AA479" s="8" t="str">
        <v/>
      </c>
      <c r="AB479" s="8" t="str">
        <v/>
      </c>
      <c r="AC479" s="8" t="str">
        <v/>
      </c>
      <c r="AD479" s="8" t="str">
        <v/>
      </c>
      <c r="AE479" s="8" t="str">
        <v/>
      </c>
      <c r="AF479" s="8" t="str">
        <v/>
      </c>
      <c r="AG479" s="8" t="str">
        <v/>
      </c>
      <c r="AH479" s="8" t="str">
        <v/>
      </c>
      <c r="AI479" s="8" t="n">
        <v>0</v>
      </c>
      <c r="AJ479" s="8" t="str">
        <v>～59</v>
      </c>
      <c r="AK479" s="8" t="str">
        <v>0～4</v>
      </c>
      <c r="AL479" s="8" t="str">
        <v>0～9</v>
      </c>
      <c r="AM479" s="8" t="str">
        <v>～99</v>
      </c>
      <c r="AN479" s="8" t="str">
        <v>12～14</v>
      </c>
      <c r="AO479" s="8" t="str">
        <f aca="false">IF(A479="","",IF(COUNTIFS(全馬データ!$A$2:$A$50000,A479,全馬データ!$B$2:$B$50000,B479,全馬データ!$C$2:$C$50000,C479,全馬データ!$D$2:$D$50000,E479,全馬データ!$K$2:$K$50000,"&lt;&gt;")=0,"",SUMIFS(全馬データ!$K$2:$K$50000,全馬データ!$A$2:$A$50000,A479,全馬データ!$B$2:$B$50000,B479,全馬データ!$C$2:$C$50000,C479,全馬データ!$D$2:$D$50000,E479)))</f>
        <v/>
      </c>
      <c r="AP479" s="8" t="str">
        <f aca="false">IF(A479="","",IF(AO479="","欠損",IF(AO479&lt;=1.1,"1.0～1.1",IF(AO479&lt;1.3,"1.2",IF(AO479&lt;1.5,"1.3～1.4",IF(AO479&lt;2,"1.5～1.9","2.0以上"))))))</f>
        <v>欠損</v>
      </c>
      <c r="AQ479" s="8" t="str">
        <f aca="false">IF(A479="","",IF(ISNUMBER(SEARCH("2歳",Z479)),"2歳戦",IF(ISNUMBER(SEARCH("3歳未勝利",Z479)),"3歳未勝利",IF(ISNUMBER(SEARCH("未勝利",Z479)),"その他未勝利",IF(ISNUMBER(SEARCH("G1",Z479)),"G1",IF(ISNUMBER(SEARCH("G2",Z479)),"G2",IF(ISNUMBER(SEARCH("G3",Z479)),"G3",IF(ISNUMBER(SEARCH("古馬条件",Z479)),"古馬条件戦",IF(ISNUMBER(SEARCH("重賞",Z479)),"重賞","分類不能")))))))))</f>
        <v>分類不能</v>
      </c>
      <c r="AR479" s="8"/>
      <c r="AS479" s="8" t="s">
        <v>7598</v>
      </c>
      <c r="AT479" s="8" t="s">
        <v>7599</v>
      </c>
      <c r="AU479" s="8" t="s">
        <v>7615</v>
      </c>
      <c r="AV479" s="4" t="s">
        <v>7616</v>
      </c>
      <c r="AW479" s="8"/>
      <c r="AX479" s="8"/>
      <c r="AY479" s="8" t="s">
        <v>7610</v>
      </c>
      <c r="AZ479" s="4" t="s">
        <v>7617</v>
      </c>
      <c r="BA479" s="8" t="n">
        <v>1400</v>
      </c>
      <c r="BB479" s="8" t="s">
        <v>7634</v>
      </c>
      <c r="BC479" s="4" t="s">
        <v>7604</v>
      </c>
      <c r="BD479" s="8" t="s">
        <v>7605</v>
      </c>
      <c r="BE479" s="4" t="s">
        <v>7606</v>
      </c>
      <c r="BF479" s="8" t="s">
        <v>7607</v>
      </c>
      <c r="BG479" s="8" t="s">
        <v>7608</v>
      </c>
      <c r="BH479" s="4" t="s">
        <v>7609</v>
      </c>
      <c r="BI479" s="8" t="n">
        <v>13</v>
      </c>
      <c r="BJ479" s="8" t="s">
        <v>7602</v>
      </c>
      <c r="BK479" s="4" t="s">
        <v>7653</v>
      </c>
      <c r="BL479" s="8" t="s">
        <v>7602</v>
      </c>
      <c r="BM479" s="4" t="s">
        <v>7620</v>
      </c>
      <c r="BN479" s="8"/>
      <c r="BO479" s="8"/>
      <c r="BP479" s="8" t="s">
        <v>7610</v>
      </c>
      <c r="BQ479" s="8" t="str">
        <f aca="false">IF(A479="","",AT479)</f>
        <v>2歳</v>
      </c>
      <c r="BR479" s="8" t="str">
        <f aca="false">IF(A479="","",IF(BA479&lt;=1200,"～1200",IF(BA479&lt;=1500,"1300～1500",IF(BA479=1600,"1600",IF(BA479&lt;=1800,"1700～1800",IF(BA479&lt;=2000,"1900～2000","2100以上"))))))</f>
        <v>1300～1500</v>
      </c>
      <c r="BS479" s="8" t="str">
        <f aca="false">IF(A479="","",IF(AX479="G1","G1",IF(AX479="G2","G2",IF(AX479="G3","G3",IF(AX479="L","L","その他")))))</f>
        <v>その他</v>
      </c>
      <c r="BT479" s="8" t="str">
        <f aca="false">IF(A479="","",IF(BI479="","未結合",IF(D479=BI479,"一致","不一致")))</f>
        <v>一致</v>
      </c>
      <c r="BU479" s="8" t="str">
        <f aca="false">IF(A479="","",IF(BE479="牝馬限定","牝馬限定","その他"))</f>
        <v>その他</v>
      </c>
    </row>
    <row r="480" customFormat="false" ht="15.75" hidden="false" customHeight="false" outlineLevel="0" collapsed="false">
      <c r="A480" s="6" t="n">
        <v>46186</v>
      </c>
      <c r="B480" s="4" t="s">
        <v>4172</v>
      </c>
      <c r="C480" s="8" t="n">
        <v>7</v>
      </c>
      <c r="D480" s="8" t="n">
        <v>16</v>
      </c>
      <c r="E480" s="8" t="n">
        <v>9</v>
      </c>
      <c r="F480" s="4" t="s">
        <v>3235</v>
      </c>
      <c r="G480" s="8" t="n">
        <v>62</v>
      </c>
      <c r="H480" s="8" t="n">
        <v>2</v>
      </c>
      <c r="I480" s="4" t="s">
        <v>5031</v>
      </c>
      <c r="J480" s="8" t="n">
        <v>41</v>
      </c>
      <c r="K480" s="8" t="n">
        <v>3</v>
      </c>
      <c r="L480" s="4" t="s">
        <v>1232</v>
      </c>
      <c r="M480" s="8" t="n">
        <v>39</v>
      </c>
      <c r="N480" s="8" t="n">
        <f aca="false">IF(A480="","",G480-J480)</f>
        <v>21</v>
      </c>
      <c r="O480" s="8" t="n">
        <f aca="false">IF(A480="","",J480-M480)</f>
        <v>2</v>
      </c>
      <c r="P480" s="8" t="n">
        <f aca="false">IF(A480="","",G480+J480)</f>
        <v>103</v>
      </c>
      <c r="Q480" s="8" t="str">
        <f aca="false">IF(A480="","",IF(AND(Y480&lt;&gt;"参考",G480&gt;=ルール設定!$B$2),"○",""))</f>
        <v/>
      </c>
      <c r="R480" s="8" t="str">
        <f aca="false">IF(A480="","",IF(AND(Y480&lt;&gt;"参考",G480&gt;=ルール設定!$B$3,N480&gt;=ルール設定!$B$4),"○",""))</f>
        <v/>
      </c>
      <c r="S480" s="8" t="str">
        <f aca="false">IF(A480="","",IF(AND(Y480&lt;&gt;"参考",G480&gt;=ルール設定!$B$5,J480&gt;=ルール設定!$B$6,O480&gt;=ルール設定!$B$7),"○",""))</f>
        <v/>
      </c>
      <c r="T480" s="8" t="n">
        <v>4</v>
      </c>
      <c r="U480" s="8" t="n">
        <v>2</v>
      </c>
      <c r="V480" s="8" t="str">
        <f aca="false">IF(A480="","",IF(AND(ISNUMBER(T480),ISNUMBER(U480)),IF(AND(T480&lt;=3,U480&lt;=3),"○","×"),""))</f>
        <v>×</v>
      </c>
      <c r="W480" s="8"/>
      <c r="X480" s="8"/>
      <c r="Y480" s="4" t="s">
        <v>7597</v>
      </c>
      <c r="Z480" s="4" t="s">
        <v>4475</v>
      </c>
      <c r="AA480" s="8" t="str">
        <v/>
      </c>
      <c r="AB480" s="8" t="str">
        <v/>
      </c>
      <c r="AC480" s="8" t="str">
        <v/>
      </c>
      <c r="AD480" s="8" t="str">
        <v/>
      </c>
      <c r="AE480" s="8" t="str">
        <v/>
      </c>
      <c r="AF480" s="8" t="str">
        <v/>
      </c>
      <c r="AG480" s="8" t="str">
        <v/>
      </c>
      <c r="AH480" s="8" t="str">
        <v/>
      </c>
      <c r="AI480" s="8" t="n">
        <v>23</v>
      </c>
      <c r="AJ480" s="8" t="str">
        <v>60～69</v>
      </c>
      <c r="AK480" s="8" t="str">
        <v>20～29</v>
      </c>
      <c r="AL480" s="8" t="str">
        <v>20～29</v>
      </c>
      <c r="AM480" s="8" t="str">
        <v>100～119</v>
      </c>
      <c r="AN480" s="8" t="str">
        <v>15以上</v>
      </c>
      <c r="AO480" s="8" t="str">
        <f aca="false">IF(A480="","",IF(COUNTIFS(全馬データ!$A$2:$A$50000,A480,全馬データ!$B$2:$B$50000,B480,全馬データ!$C$2:$C$50000,C480,全馬データ!$D$2:$D$50000,E480,全馬データ!$K$2:$K$50000,"&lt;&gt;")=0,"",SUMIFS(全馬データ!$K$2:$K$50000,全馬データ!$A$2:$A$50000,A480,全馬データ!$B$2:$B$50000,B480,全馬データ!$C$2:$C$50000,C480,全馬データ!$D$2:$D$50000,E480)))</f>
        <v/>
      </c>
      <c r="AP480" s="8" t="str">
        <f aca="false">IF(A480="","",IF(AO480="","欠損",IF(AO480&lt;=1.1,"1.0～1.1",IF(AO480&lt;1.3,"1.2",IF(AO480&lt;1.5,"1.3～1.4",IF(AO480&lt;2,"1.5～1.9","2.0以上"))))))</f>
        <v>欠損</v>
      </c>
      <c r="AQ480" s="8" t="str">
        <f aca="false">IF(A480="","",IF(ISNUMBER(SEARCH("2歳",Z480)),"2歳戦",IF(ISNUMBER(SEARCH("3歳未勝利",Z480)),"3歳未勝利",IF(ISNUMBER(SEARCH("未勝利",Z480)),"その他未勝利",IF(ISNUMBER(SEARCH("G1",Z480)),"G1",IF(ISNUMBER(SEARCH("G2",Z480)),"G2",IF(ISNUMBER(SEARCH("G3",Z480)),"G3",IF(ISNUMBER(SEARCH("古馬条件",Z480)),"古馬条件戦",IF(ISNUMBER(SEARCH("重賞",Z480)),"重賞","分類不能")))))))))</f>
        <v>分類不能</v>
      </c>
      <c r="AR480" s="8"/>
      <c r="AS480" s="8" t="s">
        <v>7626</v>
      </c>
      <c r="AT480" s="8" t="s">
        <v>7627</v>
      </c>
      <c r="AU480" s="8" t="s">
        <v>7628</v>
      </c>
      <c r="AV480" s="8" t="s">
        <v>7629</v>
      </c>
      <c r="AW480" s="8"/>
      <c r="AX480" s="8"/>
      <c r="AY480" s="8" t="s">
        <v>7610</v>
      </c>
      <c r="AZ480" s="4" t="s">
        <v>7617</v>
      </c>
      <c r="BA480" s="8" t="n">
        <v>1800</v>
      </c>
      <c r="BB480" s="8" t="s">
        <v>7634</v>
      </c>
      <c r="BC480" s="4" t="s">
        <v>7604</v>
      </c>
      <c r="BD480" s="8" t="s">
        <v>7625</v>
      </c>
      <c r="BE480" s="4" t="s">
        <v>7606</v>
      </c>
      <c r="BF480" s="8" t="s">
        <v>7607</v>
      </c>
      <c r="BG480" s="8" t="s">
        <v>7631</v>
      </c>
      <c r="BH480" s="4" t="s">
        <v>7632</v>
      </c>
      <c r="BI480" s="8" t="n">
        <v>16</v>
      </c>
      <c r="BJ480" s="8" t="s">
        <v>7602</v>
      </c>
      <c r="BK480" s="4" t="s">
        <v>7653</v>
      </c>
      <c r="BL480" s="8" t="s">
        <v>7602</v>
      </c>
      <c r="BM480" s="4" t="s">
        <v>7620</v>
      </c>
      <c r="BN480" s="8"/>
      <c r="BO480" s="8"/>
      <c r="BP480" s="8" t="s">
        <v>7610</v>
      </c>
      <c r="BQ480" s="8" t="str">
        <f aca="false">IF(A480="","",AT480)</f>
        <v>3歳以上</v>
      </c>
      <c r="BR480" s="8" t="str">
        <f aca="false">IF(A480="","",IF(BA480&lt;=1200,"～1200",IF(BA480&lt;=1500,"1300～1500",IF(BA480=1600,"1600",IF(BA480&lt;=1800,"1700～1800",IF(BA480&lt;=2000,"1900～2000","2100以上"))))))</f>
        <v>1700～1800</v>
      </c>
      <c r="BS480" s="8" t="str">
        <f aca="false">IF(A480="","",IF(AX480="G1","G1",IF(AX480="G2","G2",IF(AX480="G3","G3",IF(AX480="L","L","その他")))))</f>
        <v>その他</v>
      </c>
      <c r="BT480" s="8" t="str">
        <f aca="false">IF(A480="","",IF(BI480="","未結合",IF(D480=BI480,"一致","不一致")))</f>
        <v>一致</v>
      </c>
      <c r="BU480" s="8" t="str">
        <f aca="false">IF(A480="","",IF(BE480="牝馬限定","牝馬限定","その他"))</f>
        <v>その他</v>
      </c>
    </row>
    <row r="481" customFormat="false" ht="15.75" hidden="false" customHeight="false" outlineLevel="0" collapsed="false">
      <c r="A481" s="6" t="n">
        <v>46186</v>
      </c>
      <c r="B481" s="4" t="s">
        <v>4172</v>
      </c>
      <c r="C481" s="8" t="n">
        <v>8</v>
      </c>
      <c r="D481" s="8" t="n">
        <v>15</v>
      </c>
      <c r="E481" s="8" t="n">
        <v>6</v>
      </c>
      <c r="F481" s="4" t="s">
        <v>3931</v>
      </c>
      <c r="G481" s="8" t="n">
        <v>67</v>
      </c>
      <c r="H481" s="8" t="n">
        <v>1</v>
      </c>
      <c r="I481" s="4" t="s">
        <v>3467</v>
      </c>
      <c r="J481" s="8" t="n">
        <v>50</v>
      </c>
      <c r="K481" s="8" t="n">
        <v>7</v>
      </c>
      <c r="L481" s="4" t="s">
        <v>766</v>
      </c>
      <c r="M481" s="8" t="n">
        <v>44</v>
      </c>
      <c r="N481" s="8" t="n">
        <f aca="false">IF(A481="","",G481-J481)</f>
        <v>17</v>
      </c>
      <c r="O481" s="8" t="n">
        <f aca="false">IF(A481="","",J481-M481)</f>
        <v>6</v>
      </c>
      <c r="P481" s="8" t="n">
        <f aca="false">IF(A481="","",G481+J481)</f>
        <v>117</v>
      </c>
      <c r="Q481" s="8" t="str">
        <f aca="false">IF(A481="","",IF(AND(Y481&lt;&gt;"参考",G481&gt;=ルール設定!$B$2),"○",""))</f>
        <v/>
      </c>
      <c r="R481" s="8" t="str">
        <f aca="false">IF(A481="","",IF(AND(Y481&lt;&gt;"参考",G481&gt;=ルール設定!$B$3,N481&gt;=ルール設定!$B$4),"○",""))</f>
        <v/>
      </c>
      <c r="S481" s="8" t="str">
        <f aca="false">IF(A481="","",IF(AND(Y481&lt;&gt;"参考",G481&gt;=ルール設定!$B$5,J481&gt;=ルール設定!$B$6,O481&gt;=ルール設定!$B$7),"○",""))</f>
        <v/>
      </c>
      <c r="T481" s="8" t="n">
        <v>1</v>
      </c>
      <c r="U481" s="8" t="n">
        <v>4</v>
      </c>
      <c r="V481" s="8" t="str">
        <f aca="false">IF(A481="","",IF(AND(ISNUMBER(T481),ISNUMBER(U481)),IF(AND(T481&lt;=3,U481&lt;=3),"○","×"),""))</f>
        <v>×</v>
      </c>
      <c r="W481" s="8" t="n">
        <v>110</v>
      </c>
      <c r="X481" s="8"/>
      <c r="Y481" s="4" t="s">
        <v>7597</v>
      </c>
      <c r="Z481" s="4" t="s">
        <v>4475</v>
      </c>
      <c r="AA481" s="8" t="str">
        <v/>
      </c>
      <c r="AB481" s="8" t="str">
        <v/>
      </c>
      <c r="AC481" s="8" t="str">
        <v/>
      </c>
      <c r="AD481" s="8" t="str">
        <v/>
      </c>
      <c r="AE481" s="8" t="str">
        <v/>
      </c>
      <c r="AF481" s="8" t="str">
        <v/>
      </c>
      <c r="AG481" s="8" t="str">
        <v/>
      </c>
      <c r="AH481" s="8" t="str">
        <v/>
      </c>
      <c r="AI481" s="8" t="n">
        <v>23</v>
      </c>
      <c r="AJ481" s="8" t="str">
        <v>60～69</v>
      </c>
      <c r="AK481" s="8" t="str">
        <v>10～19</v>
      </c>
      <c r="AL481" s="8" t="str">
        <v>20～29</v>
      </c>
      <c r="AM481" s="8" t="str">
        <v>100～119</v>
      </c>
      <c r="AN481" s="8" t="str">
        <v>15以上</v>
      </c>
      <c r="AO481" s="8" t="str">
        <f aca="false">IF(A481="","",IF(COUNTIFS(全馬データ!$A$2:$A$50000,A481,全馬データ!$B$2:$B$50000,B481,全馬データ!$C$2:$C$50000,C481,全馬データ!$D$2:$D$50000,E481,全馬データ!$K$2:$K$50000,"&lt;&gt;")=0,"",SUMIFS(全馬データ!$K$2:$K$50000,全馬データ!$A$2:$A$50000,A481,全馬データ!$B$2:$B$50000,B481,全馬データ!$C$2:$C$50000,C481,全馬データ!$D$2:$D$50000,E481)))</f>
        <v/>
      </c>
      <c r="AP481" s="8" t="str">
        <f aca="false">IF(A481="","",IF(AO481="","欠損",IF(AO481&lt;=1.1,"1.0～1.1",IF(AO481&lt;1.3,"1.2",IF(AO481&lt;1.5,"1.3～1.4",IF(AO481&lt;2,"1.5～1.9","2.0以上"))))))</f>
        <v>欠損</v>
      </c>
      <c r="AQ481" s="8" t="str">
        <f aca="false">IF(A481="","",IF(ISNUMBER(SEARCH("2歳",Z481)),"2歳戦",IF(ISNUMBER(SEARCH("3歳未勝利",Z481)),"3歳未勝利",IF(ISNUMBER(SEARCH("未勝利",Z481)),"その他未勝利",IF(ISNUMBER(SEARCH("G1",Z481)),"G1",IF(ISNUMBER(SEARCH("G2",Z481)),"G2",IF(ISNUMBER(SEARCH("G3",Z481)),"G3",IF(ISNUMBER(SEARCH("古馬条件",Z481)),"古馬条件戦",IF(ISNUMBER(SEARCH("重賞",Z481)),"重賞","分類不能")))))))))</f>
        <v>分類不能</v>
      </c>
      <c r="AR481" s="8"/>
      <c r="AS481" s="8" t="s">
        <v>7626</v>
      </c>
      <c r="AT481" s="8" t="s">
        <v>7627</v>
      </c>
      <c r="AU481" s="8" t="s">
        <v>7628</v>
      </c>
      <c r="AV481" s="8" t="s">
        <v>7629</v>
      </c>
      <c r="AW481" s="8"/>
      <c r="AX481" s="8"/>
      <c r="AY481" s="8" t="s">
        <v>7602</v>
      </c>
      <c r="AZ481" s="4" t="s">
        <v>7603</v>
      </c>
      <c r="BA481" s="8" t="n">
        <v>1600</v>
      </c>
      <c r="BB481" s="8" t="s">
        <v>7598</v>
      </c>
      <c r="BC481" s="4" t="s">
        <v>7604</v>
      </c>
      <c r="BD481" s="8" t="s">
        <v>7621</v>
      </c>
      <c r="BE481" s="4" t="s">
        <v>7622</v>
      </c>
      <c r="BF481" s="8" t="s">
        <v>7602</v>
      </c>
      <c r="BG481" s="8" t="s">
        <v>7631</v>
      </c>
      <c r="BH481" s="4" t="s">
        <v>7632</v>
      </c>
      <c r="BI481" s="8" t="n">
        <v>15</v>
      </c>
      <c r="BJ481" s="8" t="s">
        <v>7602</v>
      </c>
      <c r="BK481" s="4" t="s">
        <v>7653</v>
      </c>
      <c r="BL481" s="8" t="s">
        <v>7610</v>
      </c>
      <c r="BM481" s="4" t="s">
        <v>7612</v>
      </c>
      <c r="BN481" s="8" t="s">
        <v>7631</v>
      </c>
      <c r="BO481" s="8" t="s">
        <v>7680</v>
      </c>
      <c r="BP481" s="8" t="s">
        <v>7610</v>
      </c>
      <c r="BQ481" s="8" t="str">
        <f aca="false">IF(A481="","",AT481)</f>
        <v>3歳以上</v>
      </c>
      <c r="BR481" s="8" t="str">
        <f aca="false">IF(A481="","",IF(BA481&lt;=1200,"～1200",IF(BA481&lt;=1500,"1300～1500",IF(BA481=1600,"1600",IF(BA481&lt;=1800,"1700～1800",IF(BA481&lt;=2000,"1900～2000","2100以上"))))))</f>
        <v>1600</v>
      </c>
      <c r="BS481" s="8" t="str">
        <f aca="false">IF(A481="","",IF(AX481="G1","G1",IF(AX481="G2","G2",IF(AX481="G3","G3",IF(AX481="L","L","その他")))))</f>
        <v>その他</v>
      </c>
      <c r="BT481" s="8" t="str">
        <f aca="false">IF(A481="","",IF(BI481="","未結合",IF(D481=BI481,"一致","不一致")))</f>
        <v>一致</v>
      </c>
      <c r="BU481" s="8" t="str">
        <f aca="false">IF(A481="","",IF(BE481="牝馬限定","牝馬限定","その他"))</f>
        <v>牝馬限定</v>
      </c>
    </row>
    <row r="482" customFormat="false" ht="15.75" hidden="false" customHeight="false" outlineLevel="0" collapsed="false">
      <c r="A482" s="6" t="n">
        <v>46186</v>
      </c>
      <c r="B482" s="4" t="s">
        <v>4172</v>
      </c>
      <c r="C482" s="8" t="n">
        <v>9</v>
      </c>
      <c r="D482" s="8" t="n">
        <v>9</v>
      </c>
      <c r="E482" s="8" t="n">
        <v>4</v>
      </c>
      <c r="F482" s="4" t="s">
        <v>5052</v>
      </c>
      <c r="G482" s="8" t="n">
        <v>58</v>
      </c>
      <c r="H482" s="8" t="n">
        <v>5</v>
      </c>
      <c r="I482" s="4" t="s">
        <v>5053</v>
      </c>
      <c r="J482" s="8" t="n">
        <v>52</v>
      </c>
      <c r="K482" s="8" t="n">
        <v>8</v>
      </c>
      <c r="L482" s="4" t="s">
        <v>5055</v>
      </c>
      <c r="M482" s="8" t="n">
        <v>47</v>
      </c>
      <c r="N482" s="8" t="n">
        <f aca="false">IF(A482="","",G482-J482)</f>
        <v>6</v>
      </c>
      <c r="O482" s="8" t="n">
        <f aca="false">IF(A482="","",J482-M482)</f>
        <v>5</v>
      </c>
      <c r="P482" s="8" t="n">
        <f aca="false">IF(A482="","",G482+J482)</f>
        <v>110</v>
      </c>
      <c r="Q482" s="8" t="str">
        <f aca="false">IF(A482="","",IF(AND(Y482&lt;&gt;"参考",G482&gt;=ルール設定!$B$2),"○",""))</f>
        <v/>
      </c>
      <c r="R482" s="8" t="str">
        <f aca="false">IF(A482="","",IF(AND(Y482&lt;&gt;"参考",G482&gt;=ルール設定!$B$3,N482&gt;=ルール設定!$B$4),"○",""))</f>
        <v/>
      </c>
      <c r="S482" s="8" t="str">
        <f aca="false">IF(A482="","",IF(AND(Y482&lt;&gt;"参考",G482&gt;=ルール設定!$B$5,J482&gt;=ルール設定!$B$6,O482&gt;=ルール設定!$B$7),"○",""))</f>
        <v/>
      </c>
      <c r="T482" s="8" t="n">
        <v>3</v>
      </c>
      <c r="U482" s="8" t="n">
        <v>4</v>
      </c>
      <c r="V482" s="8" t="str">
        <f aca="false">IF(A482="","",IF(AND(ISNUMBER(T482),ISNUMBER(U482)),IF(AND(T482&lt;=3,U482&lt;=3),"○","×"),""))</f>
        <v>×</v>
      </c>
      <c r="W482" s="8" t="n">
        <v>170</v>
      </c>
      <c r="X482" s="8"/>
      <c r="Y482" s="4" t="s">
        <v>7597</v>
      </c>
      <c r="Z482" s="4" t="s">
        <v>4475</v>
      </c>
      <c r="AA482" s="8" t="str">
        <v/>
      </c>
      <c r="AB482" s="8" t="str">
        <v/>
      </c>
      <c r="AC482" s="8" t="str">
        <v/>
      </c>
      <c r="AD482" s="8" t="str">
        <v/>
      </c>
      <c r="AE482" s="8" t="str">
        <v/>
      </c>
      <c r="AF482" s="8" t="str">
        <v/>
      </c>
      <c r="AG482" s="8" t="str">
        <v/>
      </c>
      <c r="AH482" s="8" t="str">
        <v/>
      </c>
      <c r="AI482" s="8" t="n">
        <v>11</v>
      </c>
      <c r="AJ482" s="8" t="str">
        <v>～59</v>
      </c>
      <c r="AK482" s="8" t="str">
        <v>5～9</v>
      </c>
      <c r="AL482" s="8" t="str">
        <v>10～19</v>
      </c>
      <c r="AM482" s="8" t="str">
        <v>100～119</v>
      </c>
      <c r="AN482" s="8" t="str">
        <v>8～11</v>
      </c>
      <c r="AO482" s="8" t="str">
        <f aca="false">IF(A482="","",IF(COUNTIFS(全馬データ!$A$2:$A$50000,A482,全馬データ!$B$2:$B$50000,B482,全馬データ!$C$2:$C$50000,C482,全馬データ!$D$2:$D$50000,E482,全馬データ!$K$2:$K$50000,"&lt;&gt;")=0,"",SUMIFS(全馬データ!$K$2:$K$50000,全馬データ!$A$2:$A$50000,A482,全馬データ!$B$2:$B$50000,B482,全馬データ!$C$2:$C$50000,C482,全馬データ!$D$2:$D$50000,E482)))</f>
        <v/>
      </c>
      <c r="AP482" s="8" t="str">
        <f aca="false">IF(A482="","",IF(AO482="","欠損",IF(AO482&lt;=1.1,"1.0～1.1",IF(AO482&lt;1.3,"1.2",IF(AO482&lt;1.5,"1.3～1.4",IF(AO482&lt;2,"1.5～1.9","2.0以上"))))))</f>
        <v>欠損</v>
      </c>
      <c r="AQ482" s="8" t="str">
        <f aca="false">IF(A482="","",IF(ISNUMBER(SEARCH("2歳",Z482)),"2歳戦",IF(ISNUMBER(SEARCH("3歳未勝利",Z482)),"3歳未勝利",IF(ISNUMBER(SEARCH("未勝利",Z482)),"その他未勝利",IF(ISNUMBER(SEARCH("G1",Z482)),"G1",IF(ISNUMBER(SEARCH("G2",Z482)),"G2",IF(ISNUMBER(SEARCH("G3",Z482)),"G3",IF(ISNUMBER(SEARCH("古馬条件",Z482)),"古馬条件戦",IF(ISNUMBER(SEARCH("重賞",Z482)),"重賞","分類不能")))))))))</f>
        <v>分類不能</v>
      </c>
      <c r="AR482" s="4" t="s">
        <v>7823</v>
      </c>
      <c r="AS482" s="8" t="s">
        <v>7626</v>
      </c>
      <c r="AT482" s="8" t="s">
        <v>7627</v>
      </c>
      <c r="AU482" s="8" t="s">
        <v>7634</v>
      </c>
      <c r="AV482" s="8" t="s">
        <v>7635</v>
      </c>
      <c r="AW482" s="8" t="s">
        <v>7636</v>
      </c>
      <c r="AX482" s="4" t="s">
        <v>7637</v>
      </c>
      <c r="AY482" s="8" t="s">
        <v>7602</v>
      </c>
      <c r="AZ482" s="4" t="s">
        <v>7603</v>
      </c>
      <c r="BA482" s="8" t="n">
        <v>2200</v>
      </c>
      <c r="BB482" s="8" t="s">
        <v>7598</v>
      </c>
      <c r="BC482" s="4" t="s">
        <v>7604</v>
      </c>
      <c r="BD482" s="8" t="s">
        <v>7630</v>
      </c>
      <c r="BE482" s="4" t="s">
        <v>7606</v>
      </c>
      <c r="BF482" s="8" t="s">
        <v>7607</v>
      </c>
      <c r="BG482" s="8" t="s">
        <v>7631</v>
      </c>
      <c r="BH482" s="4" t="s">
        <v>7632</v>
      </c>
      <c r="BI482" s="8" t="n">
        <v>9</v>
      </c>
      <c r="BJ482" s="8" t="s">
        <v>7602</v>
      </c>
      <c r="BK482" s="4" t="s">
        <v>7653</v>
      </c>
      <c r="BL482" s="8" t="s">
        <v>7602</v>
      </c>
      <c r="BM482" s="4" t="s">
        <v>7620</v>
      </c>
      <c r="BN482" s="8" t="s">
        <v>7631</v>
      </c>
      <c r="BO482" s="8" t="s">
        <v>7680</v>
      </c>
      <c r="BP482" s="8" t="s">
        <v>7610</v>
      </c>
      <c r="BQ482" s="8" t="str">
        <f aca="false">IF(A482="","",AT482)</f>
        <v>3歳以上</v>
      </c>
      <c r="BR482" s="8" t="str">
        <f aca="false">IF(A482="","",IF(BA482&lt;=1200,"～1200",IF(BA482&lt;=1500,"1300～1500",IF(BA482=1600,"1600",IF(BA482&lt;=1800,"1700～1800",IF(BA482&lt;=2000,"1900～2000","2100以上"))))))</f>
        <v>2100以上</v>
      </c>
      <c r="BS482" s="8" t="str">
        <f aca="false">IF(A482="","",IF(AX482="G1","G1",IF(AX482="G2","G2",IF(AX482="G3","G3",IF(AX482="L","L","その他")))))</f>
        <v>その他</v>
      </c>
      <c r="BT482" s="8" t="str">
        <f aca="false">IF(A482="","",IF(BI482="","未結合",IF(D482=BI482,"一致","不一致")))</f>
        <v>一致</v>
      </c>
      <c r="BU482" s="8" t="str">
        <f aca="false">IF(A482="","",IF(BE482="牝馬限定","牝馬限定","その他"))</f>
        <v>その他</v>
      </c>
    </row>
    <row r="483" customFormat="false" ht="15.75" hidden="false" customHeight="false" outlineLevel="0" collapsed="false">
      <c r="A483" s="6" t="n">
        <v>46186</v>
      </c>
      <c r="B483" s="4" t="s">
        <v>4172</v>
      </c>
      <c r="C483" s="8" t="n">
        <v>10</v>
      </c>
      <c r="D483" s="8" t="n">
        <v>16</v>
      </c>
      <c r="E483" s="8" t="n">
        <v>14</v>
      </c>
      <c r="F483" s="4" t="s">
        <v>5063</v>
      </c>
      <c r="G483" s="8" t="n">
        <v>56</v>
      </c>
      <c r="H483" s="8" t="n">
        <v>13</v>
      </c>
      <c r="I483" s="4" t="s">
        <v>5062</v>
      </c>
      <c r="J483" s="8" t="n">
        <v>50</v>
      </c>
      <c r="K483" s="8" t="n">
        <v>16</v>
      </c>
      <c r="L483" s="4" t="s">
        <v>540</v>
      </c>
      <c r="M483" s="8" t="n">
        <v>34</v>
      </c>
      <c r="N483" s="8" t="n">
        <f aca="false">IF(A483="","",G483-J483)</f>
        <v>6</v>
      </c>
      <c r="O483" s="8" t="n">
        <f aca="false">IF(A483="","",J483-M483)</f>
        <v>16</v>
      </c>
      <c r="P483" s="8" t="n">
        <f aca="false">IF(A483="","",G483+J483)</f>
        <v>106</v>
      </c>
      <c r="Q483" s="8" t="str">
        <f aca="false">IF(A483="","",IF(AND(Y483&lt;&gt;"参考",G483&gt;=ルール設定!$B$2),"○",""))</f>
        <v/>
      </c>
      <c r="R483" s="8" t="str">
        <f aca="false">IF(A483="","",IF(AND(Y483&lt;&gt;"参考",G483&gt;=ルール設定!$B$3,N483&gt;=ルール設定!$B$4),"○",""))</f>
        <v/>
      </c>
      <c r="S483" s="8" t="str">
        <f aca="false">IF(A483="","",IF(AND(Y483&lt;&gt;"参考",G483&gt;=ルール設定!$B$5,J483&gt;=ルール設定!$B$6,O483&gt;=ルール設定!$B$7),"○",""))</f>
        <v/>
      </c>
      <c r="T483" s="8" t="n">
        <v>3</v>
      </c>
      <c r="U483" s="8" t="n">
        <v>1</v>
      </c>
      <c r="V483" s="8" t="str">
        <f aca="false">IF(A483="","",IF(AND(ISNUMBER(T483),ISNUMBER(U483)),IF(AND(T483&lt;=3,U483&lt;=3),"○","×"),""))</f>
        <v>○</v>
      </c>
      <c r="W483" s="8" t="n">
        <v>170</v>
      </c>
      <c r="X483" s="8" t="n">
        <v>330</v>
      </c>
      <c r="Y483" s="4" t="s">
        <v>7597</v>
      </c>
      <c r="Z483" s="4" t="s">
        <v>4475</v>
      </c>
      <c r="AA483" s="8" t="str">
        <v/>
      </c>
      <c r="AB483" s="8" t="str">
        <v/>
      </c>
      <c r="AC483" s="8" t="str">
        <v/>
      </c>
      <c r="AD483" s="8" t="str">
        <v/>
      </c>
      <c r="AE483" s="8" t="str">
        <v/>
      </c>
      <c r="AF483" s="8" t="str">
        <v/>
      </c>
      <c r="AG483" s="8" t="str">
        <v/>
      </c>
      <c r="AH483" s="8" t="str">
        <v/>
      </c>
      <c r="AI483" s="8" t="n">
        <v>22</v>
      </c>
      <c r="AJ483" s="8" t="str">
        <v>～59</v>
      </c>
      <c r="AK483" s="8" t="str">
        <v>5～9</v>
      </c>
      <c r="AL483" s="8" t="str">
        <v>20～29</v>
      </c>
      <c r="AM483" s="8" t="str">
        <v>100～119</v>
      </c>
      <c r="AN483" s="8" t="str">
        <v>15以上</v>
      </c>
      <c r="AO483" s="8" t="str">
        <f aca="false">IF(A483="","",IF(COUNTIFS(全馬データ!$A$2:$A$50000,A483,全馬データ!$B$2:$B$50000,B483,全馬データ!$C$2:$C$50000,C483,全馬データ!$D$2:$D$50000,E483,全馬データ!$K$2:$K$50000,"&lt;&gt;")=0,"",SUMIFS(全馬データ!$K$2:$K$50000,全馬データ!$A$2:$A$50000,A483,全馬データ!$B$2:$B$50000,B483,全馬データ!$C$2:$C$50000,C483,全馬データ!$D$2:$D$50000,E483)))</f>
        <v/>
      </c>
      <c r="AP483" s="8" t="str">
        <f aca="false">IF(A483="","",IF(AO483="","欠損",IF(AO483&lt;=1.1,"1.0～1.1",IF(AO483&lt;1.3,"1.2",IF(AO483&lt;1.5,"1.3～1.4",IF(AO483&lt;2,"1.5～1.9","2.0以上"))))))</f>
        <v>欠損</v>
      </c>
      <c r="AQ483" s="8" t="str">
        <f aca="false">IF(A483="","",IF(ISNUMBER(SEARCH("2歳",Z483)),"2歳戦",IF(ISNUMBER(SEARCH("3歳未勝利",Z483)),"3歳未勝利",IF(ISNUMBER(SEARCH("未勝利",Z483)),"その他未勝利",IF(ISNUMBER(SEARCH("G1",Z483)),"G1",IF(ISNUMBER(SEARCH("G2",Z483)),"G2",IF(ISNUMBER(SEARCH("G3",Z483)),"G3",IF(ISNUMBER(SEARCH("古馬条件",Z483)),"古馬条件戦",IF(ISNUMBER(SEARCH("重賞",Z483)),"重賞","分類不能")))))))))</f>
        <v>分類不能</v>
      </c>
      <c r="AR483" s="4" t="s">
        <v>7824</v>
      </c>
      <c r="AS483" s="8" t="s">
        <v>7626</v>
      </c>
      <c r="AT483" s="8" t="s">
        <v>7627</v>
      </c>
      <c r="AU483" s="8" t="s">
        <v>7634</v>
      </c>
      <c r="AV483" s="8" t="s">
        <v>7635</v>
      </c>
      <c r="AW483" s="8" t="s">
        <v>7636</v>
      </c>
      <c r="AX483" s="4" t="s">
        <v>7637</v>
      </c>
      <c r="AY483" s="8" t="s">
        <v>7610</v>
      </c>
      <c r="AZ483" s="4" t="s">
        <v>7617</v>
      </c>
      <c r="BA483" s="8" t="n">
        <v>1200</v>
      </c>
      <c r="BB483" s="8" t="s">
        <v>7634</v>
      </c>
      <c r="BC483" s="4" t="s">
        <v>7604</v>
      </c>
      <c r="BD483" s="8" t="s">
        <v>7605</v>
      </c>
      <c r="BE483" s="4" t="s">
        <v>7606</v>
      </c>
      <c r="BF483" s="8" t="s">
        <v>7607</v>
      </c>
      <c r="BG483" s="8" t="s">
        <v>7631</v>
      </c>
      <c r="BH483" s="4" t="s">
        <v>7632</v>
      </c>
      <c r="BI483" s="8" t="n">
        <v>16</v>
      </c>
      <c r="BJ483" s="8" t="s">
        <v>7602</v>
      </c>
      <c r="BK483" s="4" t="s">
        <v>7653</v>
      </c>
      <c r="BL483" s="8" t="s">
        <v>7602</v>
      </c>
      <c r="BM483" s="4" t="s">
        <v>7620</v>
      </c>
      <c r="BN483" s="8"/>
      <c r="BO483" s="8"/>
      <c r="BP483" s="8" t="s">
        <v>7610</v>
      </c>
      <c r="BQ483" s="8" t="str">
        <f aca="false">IF(A483="","",AT483)</f>
        <v>3歳以上</v>
      </c>
      <c r="BR483" s="8" t="str">
        <f aca="false">IF(A483="","",IF(BA483&lt;=1200,"～1200",IF(BA483&lt;=1500,"1300～1500",IF(BA483=1600,"1600",IF(BA483&lt;=1800,"1700～1800",IF(BA483&lt;=2000,"1900～2000","2100以上"))))))</f>
        <v>～1200</v>
      </c>
      <c r="BS483" s="8" t="str">
        <f aca="false">IF(A483="","",IF(AX483="G1","G1",IF(AX483="G2","G2",IF(AX483="G3","G3",IF(AX483="L","L","その他")))))</f>
        <v>その他</v>
      </c>
      <c r="BT483" s="8" t="str">
        <f aca="false">IF(A483="","",IF(BI483="","未結合",IF(D483=BI483,"一致","不一致")))</f>
        <v>一致</v>
      </c>
      <c r="BU483" s="8" t="str">
        <f aca="false">IF(A483="","",IF(BE483="牝馬限定","牝馬限定","その他"))</f>
        <v>その他</v>
      </c>
    </row>
    <row r="484" customFormat="false" ht="15.75" hidden="false" customHeight="false" outlineLevel="0" collapsed="false">
      <c r="A484" s="6" t="n">
        <v>46186</v>
      </c>
      <c r="B484" s="4" t="s">
        <v>4172</v>
      </c>
      <c r="C484" s="8" t="n">
        <v>11</v>
      </c>
      <c r="D484" s="8" t="n">
        <v>16</v>
      </c>
      <c r="E484" s="8" t="n">
        <v>9</v>
      </c>
      <c r="F484" s="4" t="s">
        <v>5069</v>
      </c>
      <c r="G484" s="8" t="n">
        <v>81</v>
      </c>
      <c r="H484" s="8" t="n">
        <v>7</v>
      </c>
      <c r="I484" s="4" t="s">
        <v>2541</v>
      </c>
      <c r="J484" s="8" t="n">
        <v>47</v>
      </c>
      <c r="K484" s="8" t="n">
        <v>16</v>
      </c>
      <c r="L484" s="4" t="s">
        <v>5074</v>
      </c>
      <c r="M484" s="8" t="n">
        <v>31</v>
      </c>
      <c r="N484" s="8" t="n">
        <f aca="false">IF(A484="","",G484-J484)</f>
        <v>34</v>
      </c>
      <c r="O484" s="8" t="n">
        <f aca="false">IF(A484="","",J484-M484)</f>
        <v>16</v>
      </c>
      <c r="P484" s="8" t="n">
        <f aca="false">IF(A484="","",G484+J484)</f>
        <v>128</v>
      </c>
      <c r="Q484" s="8" t="str">
        <f aca="false">IF(A484="","",IF(AND(Y484&lt;&gt;"参考",G484&gt;=ルール設定!$B$2),"○",""))</f>
        <v>○</v>
      </c>
      <c r="R484" s="8" t="str">
        <f aca="false">IF(A484="","",IF(AND(Y484&lt;&gt;"参考",G484&gt;=ルール設定!$B$3,N484&gt;=ルール設定!$B$4),"○",""))</f>
        <v>○</v>
      </c>
      <c r="S484" s="8" t="str">
        <f aca="false">IF(A484="","",IF(AND(Y484&lt;&gt;"参考",G484&gt;=ルール設定!$B$5,J484&gt;=ルール設定!$B$6,O484&gt;=ルール設定!$B$7),"○",""))</f>
        <v/>
      </c>
      <c r="T484" s="8" t="n">
        <v>1</v>
      </c>
      <c r="U484" s="8" t="n">
        <v>3</v>
      </c>
      <c r="V484" s="8" t="str">
        <f aca="false">IF(A484="","",IF(AND(ISNUMBER(T484),ISNUMBER(U484)),IF(AND(T484&lt;=3,U484&lt;=3),"○","×"),""))</f>
        <v>○</v>
      </c>
      <c r="W484" s="8" t="n">
        <v>110</v>
      </c>
      <c r="X484" s="8" t="n">
        <v>160</v>
      </c>
      <c r="Y484" s="4" t="s">
        <v>7597</v>
      </c>
      <c r="Z484" s="4" t="s">
        <v>4475</v>
      </c>
      <c r="AA484" s="8" t="str">
        <v/>
      </c>
      <c r="AB484" s="8" t="str">
        <v>○</v>
      </c>
      <c r="AC484" s="8" t="str">
        <v/>
      </c>
      <c r="AD484" s="8" t="str">
        <v>○</v>
      </c>
      <c r="AE484" s="8" t="str">
        <v/>
      </c>
      <c r="AF484" s="8" t="str">
        <v/>
      </c>
      <c r="AG484" s="8" t="str">
        <v>○</v>
      </c>
      <c r="AH484" s="8" t="str">
        <v/>
      </c>
      <c r="AI484" s="8" t="n">
        <v>50</v>
      </c>
      <c r="AJ484" s="8" t="str">
        <v>80～84</v>
      </c>
      <c r="AK484" s="8" t="str">
        <v>30以上</v>
      </c>
      <c r="AL484" s="8" t="str">
        <v>40以上</v>
      </c>
      <c r="AM484" s="8" t="str">
        <v>120～139</v>
      </c>
      <c r="AN484" s="8" t="str">
        <v>15以上</v>
      </c>
      <c r="AO484" s="8" t="str">
        <f aca="false">IF(A484="","",IF(COUNTIFS(全馬データ!$A$2:$A$50000,A484,全馬データ!$B$2:$B$50000,B484,全馬データ!$C$2:$C$50000,C484,全馬データ!$D$2:$D$50000,E484,全馬データ!$K$2:$K$50000,"&lt;&gt;")=0,"",SUMIFS(全馬データ!$K$2:$K$50000,全馬データ!$A$2:$A$50000,A484,全馬データ!$B$2:$B$50000,B484,全馬データ!$C$2:$C$50000,C484,全馬データ!$D$2:$D$50000,E484)))</f>
        <v/>
      </c>
      <c r="AP484" s="8" t="str">
        <f aca="false">IF(A484="","",IF(AO484="","欠損",IF(AO484&lt;=1.1,"1.0～1.1",IF(AO484&lt;1.3,"1.2",IF(AO484&lt;1.5,"1.3～1.4",IF(AO484&lt;2,"1.5～1.9","2.0以上"))))))</f>
        <v>欠損</v>
      </c>
      <c r="AQ484" s="8" t="str">
        <f aca="false">IF(A484="","",IF(ISNUMBER(SEARCH("2歳",Z484)),"2歳戦",IF(ISNUMBER(SEARCH("3歳未勝利",Z484)),"3歳未勝利",IF(ISNUMBER(SEARCH("未勝利",Z484)),"その他未勝利",IF(ISNUMBER(SEARCH("G1",Z484)),"G1",IF(ISNUMBER(SEARCH("G2",Z484)),"G2",IF(ISNUMBER(SEARCH("G3",Z484)),"G3",IF(ISNUMBER(SEARCH("古馬条件",Z484)),"古馬条件戦",IF(ISNUMBER(SEARCH("重賞",Z484)),"重賞","分類不能")))))))))</f>
        <v>分類不能</v>
      </c>
      <c r="AR484" s="4" t="s">
        <v>7825</v>
      </c>
      <c r="AS484" s="8" t="s">
        <v>7626</v>
      </c>
      <c r="AT484" s="8" t="s">
        <v>7627</v>
      </c>
      <c r="AU484" s="8" t="s">
        <v>7643</v>
      </c>
      <c r="AV484" s="4" t="s">
        <v>7644</v>
      </c>
      <c r="AW484" s="8" t="s">
        <v>7636</v>
      </c>
      <c r="AX484" s="4" t="s">
        <v>7637</v>
      </c>
      <c r="AY484" s="8" t="s">
        <v>7610</v>
      </c>
      <c r="AZ484" s="4" t="s">
        <v>7617</v>
      </c>
      <c r="BA484" s="8" t="n">
        <v>1800</v>
      </c>
      <c r="BB484" s="8" t="s">
        <v>7634</v>
      </c>
      <c r="BC484" s="4" t="s">
        <v>7604</v>
      </c>
      <c r="BD484" s="8" t="s">
        <v>7666</v>
      </c>
      <c r="BE484" s="4" t="s">
        <v>7606</v>
      </c>
      <c r="BF484" s="8" t="s">
        <v>7607</v>
      </c>
      <c r="BG484" s="8" t="s">
        <v>7602</v>
      </c>
      <c r="BH484" s="4" t="s">
        <v>7667</v>
      </c>
      <c r="BI484" s="8" t="n">
        <v>16</v>
      </c>
      <c r="BJ484" s="8" t="s">
        <v>7602</v>
      </c>
      <c r="BK484" s="4" t="s">
        <v>7653</v>
      </c>
      <c r="BL484" s="8" t="s">
        <v>7602</v>
      </c>
      <c r="BM484" s="4" t="s">
        <v>7620</v>
      </c>
      <c r="BN484" s="8"/>
      <c r="BO484" s="8"/>
      <c r="BP484" s="8" t="s">
        <v>7610</v>
      </c>
      <c r="BQ484" s="8" t="str">
        <f aca="false">IF(A484="","",AT484)</f>
        <v>3歳以上</v>
      </c>
      <c r="BR484" s="8" t="str">
        <f aca="false">IF(A484="","",IF(BA484&lt;=1200,"～1200",IF(BA484&lt;=1500,"1300～1500",IF(BA484=1600,"1600",IF(BA484&lt;=1800,"1700～1800",IF(BA484&lt;=2000,"1900～2000","2100以上"))))))</f>
        <v>1700～1800</v>
      </c>
      <c r="BS484" s="8" t="str">
        <f aca="false">IF(A484="","",IF(AX484="G1","G1",IF(AX484="G2","G2",IF(AX484="G3","G3",IF(AX484="L","L","その他")))))</f>
        <v>その他</v>
      </c>
      <c r="BT484" s="8" t="str">
        <f aca="false">IF(A484="","",IF(BI484="","未結合",IF(D484=BI484,"一致","不一致")))</f>
        <v>一致</v>
      </c>
      <c r="BU484" s="8" t="str">
        <f aca="false">IF(A484="","",IF(BE484="牝馬限定","牝馬限定","その他"))</f>
        <v>その他</v>
      </c>
    </row>
    <row r="485" customFormat="false" ht="15.75" hidden="false" customHeight="false" outlineLevel="0" collapsed="false">
      <c r="A485" s="6" t="n">
        <v>46186</v>
      </c>
      <c r="B485" s="4" t="s">
        <v>4172</v>
      </c>
      <c r="C485" s="8" t="n">
        <v>12</v>
      </c>
      <c r="D485" s="8" t="n">
        <v>14</v>
      </c>
      <c r="E485" s="8" t="n">
        <v>10</v>
      </c>
      <c r="F485" s="4" t="s">
        <v>3534</v>
      </c>
      <c r="G485" s="8" t="n">
        <v>56</v>
      </c>
      <c r="H485" s="8" t="n">
        <v>8</v>
      </c>
      <c r="I485" s="4" t="s">
        <v>5078</v>
      </c>
      <c r="J485" s="8" t="n">
        <v>47</v>
      </c>
      <c r="K485" s="8" t="n">
        <v>3</v>
      </c>
      <c r="L485" s="4" t="s">
        <v>3315</v>
      </c>
      <c r="M485" s="8" t="n">
        <v>34</v>
      </c>
      <c r="N485" s="8" t="n">
        <f aca="false">IF(A485="","",G485-J485)</f>
        <v>9</v>
      </c>
      <c r="O485" s="8" t="n">
        <f aca="false">IF(A485="","",J485-M485)</f>
        <v>13</v>
      </c>
      <c r="P485" s="8" t="n">
        <f aca="false">IF(A485="","",G485+J485)</f>
        <v>103</v>
      </c>
      <c r="Q485" s="8" t="str">
        <f aca="false">IF(A485="","",IF(AND(Y485&lt;&gt;"参考",G485&gt;=ルール設定!$B$2),"○",""))</f>
        <v/>
      </c>
      <c r="R485" s="8" t="str">
        <f aca="false">IF(A485="","",IF(AND(Y485&lt;&gt;"参考",G485&gt;=ルール設定!$B$3,N485&gt;=ルール設定!$B$4),"○",""))</f>
        <v/>
      </c>
      <c r="S485" s="8" t="str">
        <f aca="false">IF(A485="","",IF(AND(Y485&lt;&gt;"参考",G485&gt;=ルール設定!$B$5,J485&gt;=ルール設定!$B$6,O485&gt;=ルール設定!$B$7),"○",""))</f>
        <v/>
      </c>
      <c r="T485" s="8" t="n">
        <v>4</v>
      </c>
      <c r="U485" s="8" t="n">
        <v>3</v>
      </c>
      <c r="V485" s="8" t="str">
        <f aca="false">IF(A485="","",IF(AND(ISNUMBER(T485),ISNUMBER(U485)),IF(AND(T485&lt;=3,U485&lt;=3),"○","×"),""))</f>
        <v>×</v>
      </c>
      <c r="W485" s="8"/>
      <c r="X485" s="8"/>
      <c r="Y485" s="4" t="s">
        <v>7597</v>
      </c>
      <c r="Z485" s="4" t="s">
        <v>4475</v>
      </c>
      <c r="AA485" s="8" t="str">
        <v/>
      </c>
      <c r="AB485" s="8" t="str">
        <v/>
      </c>
      <c r="AC485" s="8" t="str">
        <v/>
      </c>
      <c r="AD485" s="8" t="str">
        <v/>
      </c>
      <c r="AE485" s="8" t="str">
        <v/>
      </c>
      <c r="AF485" s="8" t="str">
        <v/>
      </c>
      <c r="AG485" s="8" t="str">
        <v/>
      </c>
      <c r="AH485" s="8" t="str">
        <v/>
      </c>
      <c r="AI485" s="8" t="n">
        <v>22</v>
      </c>
      <c r="AJ485" s="8" t="str">
        <v>～59</v>
      </c>
      <c r="AK485" s="8" t="str">
        <v>5～9</v>
      </c>
      <c r="AL485" s="8" t="str">
        <v>20～29</v>
      </c>
      <c r="AM485" s="8" t="str">
        <v>100～119</v>
      </c>
      <c r="AN485" s="8" t="str">
        <v>12～14</v>
      </c>
      <c r="AO485" s="8" t="str">
        <f aca="false">IF(A485="","",IF(COUNTIFS(全馬データ!$A$2:$A$50000,A485,全馬データ!$B$2:$B$50000,B485,全馬データ!$C$2:$C$50000,C485,全馬データ!$D$2:$D$50000,E485,全馬データ!$K$2:$K$50000,"&lt;&gt;")=0,"",SUMIFS(全馬データ!$K$2:$K$50000,全馬データ!$A$2:$A$50000,A485,全馬データ!$B$2:$B$50000,B485,全馬データ!$C$2:$C$50000,C485,全馬データ!$D$2:$D$50000,E485)))</f>
        <v/>
      </c>
      <c r="AP485" s="8" t="str">
        <f aca="false">IF(A485="","",IF(AO485="","欠損",IF(AO485&lt;=1.1,"1.0～1.1",IF(AO485&lt;1.3,"1.2",IF(AO485&lt;1.5,"1.3～1.4",IF(AO485&lt;2,"1.5～1.9","2.0以上"))))))</f>
        <v>欠損</v>
      </c>
      <c r="AQ485" s="8" t="str">
        <f aca="false">IF(A485="","",IF(ISNUMBER(SEARCH("2歳",Z485)),"2歳戦",IF(ISNUMBER(SEARCH("3歳未勝利",Z485)),"3歳未勝利",IF(ISNUMBER(SEARCH("未勝利",Z485)),"その他未勝利",IF(ISNUMBER(SEARCH("G1",Z485)),"G1",IF(ISNUMBER(SEARCH("G2",Z485)),"G2",IF(ISNUMBER(SEARCH("G3",Z485)),"G3",IF(ISNUMBER(SEARCH("古馬条件",Z485)),"古馬条件戦",IF(ISNUMBER(SEARCH("重賞",Z485)),"重賞","分類不能")))))))))</f>
        <v>分類不能</v>
      </c>
      <c r="AR485" s="8"/>
      <c r="AS485" s="8" t="s">
        <v>7626</v>
      </c>
      <c r="AT485" s="8" t="s">
        <v>7627</v>
      </c>
      <c r="AU485" s="8" t="s">
        <v>7628</v>
      </c>
      <c r="AV485" s="8" t="s">
        <v>7629</v>
      </c>
      <c r="AW485" s="8"/>
      <c r="AX485" s="8"/>
      <c r="AY485" s="8" t="s">
        <v>7602</v>
      </c>
      <c r="AZ485" s="4" t="s">
        <v>7603</v>
      </c>
      <c r="BA485" s="8" t="n">
        <v>1200</v>
      </c>
      <c r="BB485" s="8" t="s">
        <v>7598</v>
      </c>
      <c r="BC485" s="4" t="s">
        <v>7604</v>
      </c>
      <c r="BD485" s="8" t="s">
        <v>7605</v>
      </c>
      <c r="BE485" s="4" t="s">
        <v>7606</v>
      </c>
      <c r="BF485" s="8" t="s">
        <v>7607</v>
      </c>
      <c r="BG485" s="8" t="s">
        <v>7631</v>
      </c>
      <c r="BH485" s="4" t="s">
        <v>7632</v>
      </c>
      <c r="BI485" s="8" t="n">
        <v>14</v>
      </c>
      <c r="BJ485" s="8" t="s">
        <v>7602</v>
      </c>
      <c r="BK485" s="4" t="s">
        <v>7653</v>
      </c>
      <c r="BL485" s="8" t="s">
        <v>7602</v>
      </c>
      <c r="BM485" s="4" t="s">
        <v>7620</v>
      </c>
      <c r="BN485" s="8" t="s">
        <v>7631</v>
      </c>
      <c r="BO485" s="8" t="s">
        <v>7680</v>
      </c>
      <c r="BP485" s="8" t="s">
        <v>7610</v>
      </c>
      <c r="BQ485" s="8" t="str">
        <f aca="false">IF(A485="","",AT485)</f>
        <v>3歳以上</v>
      </c>
      <c r="BR485" s="8" t="str">
        <f aca="false">IF(A485="","",IF(BA485&lt;=1200,"～1200",IF(BA485&lt;=1500,"1300～1500",IF(BA485=1600,"1600",IF(BA485&lt;=1800,"1700～1800",IF(BA485&lt;=2000,"1900～2000","2100以上"))))))</f>
        <v>～1200</v>
      </c>
      <c r="BS485" s="8" t="str">
        <f aca="false">IF(A485="","",IF(AX485="G1","G1",IF(AX485="G2","G2",IF(AX485="G3","G3",IF(AX485="L","L","その他")))))</f>
        <v>その他</v>
      </c>
      <c r="BT485" s="8" t="str">
        <f aca="false">IF(A485="","",IF(BI485="","未結合",IF(D485=BI485,"一致","不一致")))</f>
        <v>一致</v>
      </c>
      <c r="BU485" s="8" t="str">
        <f aca="false">IF(A485="","",IF(BE485="牝馬限定","牝馬限定","その他"))</f>
        <v>その他</v>
      </c>
    </row>
    <row r="486" customFormat="false" ht="15.75" hidden="false" customHeight="false" outlineLevel="0" collapsed="false">
      <c r="A486" s="6" t="n">
        <v>46186</v>
      </c>
      <c r="B486" s="4" t="s">
        <v>1237</v>
      </c>
      <c r="C486" s="8" t="n">
        <v>1</v>
      </c>
      <c r="D486" s="8" t="n">
        <v>16</v>
      </c>
      <c r="E486" s="8" t="n">
        <v>5</v>
      </c>
      <c r="F486" s="4" t="s">
        <v>1729</v>
      </c>
      <c r="G486" s="8" t="n">
        <v>50</v>
      </c>
      <c r="H486" s="8" t="n">
        <v>6</v>
      </c>
      <c r="I486" s="4" t="s">
        <v>1777</v>
      </c>
      <c r="J486" s="8" t="n">
        <v>47</v>
      </c>
      <c r="K486" s="8" t="n">
        <v>9</v>
      </c>
      <c r="L486" s="4" t="s">
        <v>4115</v>
      </c>
      <c r="M486" s="8" t="n">
        <v>41</v>
      </c>
      <c r="N486" s="8" t="n">
        <f aca="false">IF(A486="","",G486-J486)</f>
        <v>3</v>
      </c>
      <c r="O486" s="8" t="n">
        <f aca="false">IF(A486="","",J486-M486)</f>
        <v>6</v>
      </c>
      <c r="P486" s="8" t="n">
        <f aca="false">IF(A486="","",G486+J486)</f>
        <v>97</v>
      </c>
      <c r="Q486" s="8" t="str">
        <f aca="false">IF(A486="","",IF(AND(Y486&lt;&gt;"参考",G486&gt;=ルール設定!$B$2),"○",""))</f>
        <v/>
      </c>
      <c r="R486" s="8" t="str">
        <f aca="false">IF(A486="","",IF(AND(Y486&lt;&gt;"参考",G486&gt;=ルール設定!$B$3,N486&gt;=ルール設定!$B$4),"○",""))</f>
        <v/>
      </c>
      <c r="S486" s="8" t="str">
        <f aca="false">IF(A486="","",IF(AND(Y486&lt;&gt;"参考",G486&gt;=ルール設定!$B$5,J486&gt;=ルール設定!$B$6,O486&gt;=ルール設定!$B$7),"○",""))</f>
        <v/>
      </c>
      <c r="T486" s="8" t="n">
        <v>4</v>
      </c>
      <c r="U486" s="8" t="n">
        <v>4</v>
      </c>
      <c r="V486" s="8" t="str">
        <f aca="false">IF(A486="","",IF(AND(ISNUMBER(T486),ISNUMBER(U486)),IF(AND(T486&lt;=3,U486&lt;=3),"○","×"),""))</f>
        <v>×</v>
      </c>
      <c r="W486" s="8"/>
      <c r="X486" s="8"/>
      <c r="Y486" s="4" t="s">
        <v>7597</v>
      </c>
      <c r="Z486" s="4" t="s">
        <v>4475</v>
      </c>
      <c r="AA486" s="8" t="str">
        <v/>
      </c>
      <c r="AB486" s="8" t="str">
        <v/>
      </c>
      <c r="AC486" s="8" t="str">
        <v/>
      </c>
      <c r="AD486" s="8" t="str">
        <v/>
      </c>
      <c r="AE486" s="8" t="str">
        <v/>
      </c>
      <c r="AF486" s="8" t="str">
        <v/>
      </c>
      <c r="AG486" s="8" t="str">
        <v/>
      </c>
      <c r="AH486" s="8" t="str">
        <v/>
      </c>
      <c r="AI486" s="8" t="n">
        <v>9</v>
      </c>
      <c r="AJ486" s="8" t="str">
        <v>～59</v>
      </c>
      <c r="AK486" s="8" t="str">
        <v>0～4</v>
      </c>
      <c r="AL486" s="8" t="str">
        <v>0～9</v>
      </c>
      <c r="AM486" s="8" t="str">
        <v>～99</v>
      </c>
      <c r="AN486" s="8" t="str">
        <v>15以上</v>
      </c>
      <c r="AO486" s="8" t="str">
        <f aca="false">IF(A486="","",IF(COUNTIFS(全馬データ!$A$2:$A$50000,A486,全馬データ!$B$2:$B$50000,B486,全馬データ!$C$2:$C$50000,C486,全馬データ!$D$2:$D$50000,E486,全馬データ!$K$2:$K$50000,"&lt;&gt;")=0,"",SUMIFS(全馬データ!$K$2:$K$50000,全馬データ!$A$2:$A$50000,A486,全馬データ!$B$2:$B$50000,B486,全馬データ!$C$2:$C$50000,C486,全馬データ!$D$2:$D$50000,E486)))</f>
        <v/>
      </c>
      <c r="AP486" s="8" t="str">
        <f aca="false">IF(A486="","",IF(AO486="","欠損",IF(AO486&lt;=1.1,"1.0～1.1",IF(AO486&lt;1.3,"1.2",IF(AO486&lt;1.5,"1.3～1.4",IF(AO486&lt;2,"1.5～1.9","2.0以上"))))))</f>
        <v>欠損</v>
      </c>
      <c r="AQ486" s="8" t="str">
        <f aca="false">IF(A486="","",IF(ISNUMBER(SEARCH("2歳",Z486)),"2歳戦",IF(ISNUMBER(SEARCH("3歳未勝利",Z486)),"3歳未勝利",IF(ISNUMBER(SEARCH("未勝利",Z486)),"その他未勝利",IF(ISNUMBER(SEARCH("G1",Z486)),"G1",IF(ISNUMBER(SEARCH("G2",Z486)),"G2",IF(ISNUMBER(SEARCH("G3",Z486)),"G3",IF(ISNUMBER(SEARCH("古馬条件",Z486)),"古馬条件戦",IF(ISNUMBER(SEARCH("重賞",Z486)),"重賞","分類不能")))))))))</f>
        <v>分類不能</v>
      </c>
      <c r="AR486" s="8"/>
      <c r="AS486" s="8" t="s">
        <v>7623</v>
      </c>
      <c r="AT486" s="8" t="s">
        <v>7624</v>
      </c>
      <c r="AU486" s="8" t="s">
        <v>7600</v>
      </c>
      <c r="AV486" s="4" t="s">
        <v>7601</v>
      </c>
      <c r="AW486" s="8"/>
      <c r="AX486" s="8"/>
      <c r="AY486" s="8" t="s">
        <v>7602</v>
      </c>
      <c r="AZ486" s="4" t="s">
        <v>7603</v>
      </c>
      <c r="BA486" s="8" t="n">
        <v>1200</v>
      </c>
      <c r="BB486" s="8" t="s">
        <v>7659</v>
      </c>
      <c r="BC486" s="4" t="s">
        <v>7619</v>
      </c>
      <c r="BD486" s="8" t="s">
        <v>7605</v>
      </c>
      <c r="BE486" s="4" t="s">
        <v>7606</v>
      </c>
      <c r="BF486" s="8" t="s">
        <v>7607</v>
      </c>
      <c r="BG486" s="8" t="s">
        <v>7608</v>
      </c>
      <c r="BH486" s="4" t="s">
        <v>7609</v>
      </c>
      <c r="BI486" s="8" t="n">
        <v>16</v>
      </c>
      <c r="BJ486" s="8" t="s">
        <v>7602</v>
      </c>
      <c r="BK486" s="4" t="s">
        <v>7653</v>
      </c>
      <c r="BL486" s="8" t="s">
        <v>7602</v>
      </c>
      <c r="BM486" s="4" t="s">
        <v>7620</v>
      </c>
      <c r="BN486" s="8" t="s">
        <v>7602</v>
      </c>
      <c r="BO486" s="8" t="s">
        <v>7613</v>
      </c>
      <c r="BP486" s="8" t="s">
        <v>7608</v>
      </c>
      <c r="BQ486" s="8" t="str">
        <f aca="false">IF(A486="","",AT486)</f>
        <v>3歳</v>
      </c>
      <c r="BR486" s="8" t="str">
        <f aca="false">IF(A486="","",IF(BA486&lt;=1200,"～1200",IF(BA486&lt;=1500,"1300～1500",IF(BA486=1600,"1600",IF(BA486&lt;=1800,"1700～1800",IF(BA486&lt;=2000,"1900～2000","2100以上"))))))</f>
        <v>～1200</v>
      </c>
      <c r="BS486" s="8" t="str">
        <f aca="false">IF(A486="","",IF(AX486="G1","G1",IF(AX486="G2","G2",IF(AX486="G3","G3",IF(AX486="L","L","その他")))))</f>
        <v>その他</v>
      </c>
      <c r="BT486" s="8" t="str">
        <f aca="false">IF(A486="","",IF(BI486="","未結合",IF(D486=BI486,"一致","不一致")))</f>
        <v>一致</v>
      </c>
      <c r="BU486" s="8" t="str">
        <f aca="false">IF(A486="","",IF(BE486="牝馬限定","牝馬限定","その他"))</f>
        <v>その他</v>
      </c>
    </row>
    <row r="487" customFormat="false" ht="15.75" hidden="false" customHeight="false" outlineLevel="0" collapsed="false">
      <c r="A487" s="6" t="n">
        <v>46186</v>
      </c>
      <c r="B487" s="4" t="s">
        <v>1237</v>
      </c>
      <c r="C487" s="8" t="n">
        <v>2</v>
      </c>
      <c r="D487" s="8" t="n">
        <v>14</v>
      </c>
      <c r="E487" s="8" t="n">
        <v>10</v>
      </c>
      <c r="F487" s="4" t="s">
        <v>3505</v>
      </c>
      <c r="G487" s="8" t="n">
        <v>60</v>
      </c>
      <c r="H487" s="8" t="n">
        <v>7</v>
      </c>
      <c r="I487" s="4" t="s">
        <v>1798</v>
      </c>
      <c r="J487" s="8" t="n">
        <v>50</v>
      </c>
      <c r="K487" s="8" t="n">
        <v>2</v>
      </c>
      <c r="L487" s="4" t="s">
        <v>1288</v>
      </c>
      <c r="M487" s="8" t="n">
        <v>31</v>
      </c>
      <c r="N487" s="8" t="n">
        <f aca="false">IF(A487="","",G487-J487)</f>
        <v>10</v>
      </c>
      <c r="O487" s="8" t="n">
        <f aca="false">IF(A487="","",J487-M487)</f>
        <v>19</v>
      </c>
      <c r="P487" s="8" t="n">
        <f aca="false">IF(A487="","",G487+J487)</f>
        <v>110</v>
      </c>
      <c r="Q487" s="8" t="str">
        <f aca="false">IF(A487="","",IF(AND(Y487&lt;&gt;"参考",G487&gt;=ルール設定!$B$2),"○",""))</f>
        <v/>
      </c>
      <c r="R487" s="8" t="str">
        <f aca="false">IF(A487="","",IF(AND(Y487&lt;&gt;"参考",G487&gt;=ルール設定!$B$3,N487&gt;=ルール設定!$B$4),"○",""))</f>
        <v/>
      </c>
      <c r="S487" s="8" t="str">
        <f aca="false">IF(A487="","",IF(AND(Y487&lt;&gt;"参考",G487&gt;=ルール設定!$B$5,J487&gt;=ルール設定!$B$6,O487&gt;=ルール設定!$B$7),"○",""))</f>
        <v/>
      </c>
      <c r="T487" s="8" t="n">
        <v>3</v>
      </c>
      <c r="U487" s="8" t="n">
        <v>1</v>
      </c>
      <c r="V487" s="8" t="str">
        <f aca="false">IF(A487="","",IF(AND(ISNUMBER(T487),ISNUMBER(U487)),IF(AND(T487&lt;=3,U487&lt;=3),"○","×"),""))</f>
        <v>○</v>
      </c>
      <c r="W487" s="8" t="n">
        <v>150</v>
      </c>
      <c r="X487" s="8" t="n">
        <v>370</v>
      </c>
      <c r="Y487" s="4" t="s">
        <v>7597</v>
      </c>
      <c r="Z487" s="4" t="s">
        <v>4475</v>
      </c>
      <c r="AA487" s="8" t="str">
        <v/>
      </c>
      <c r="AB487" s="8" t="str">
        <v/>
      </c>
      <c r="AC487" s="8" t="str">
        <v/>
      </c>
      <c r="AD487" s="8" t="str">
        <v/>
      </c>
      <c r="AE487" s="8" t="str">
        <v/>
      </c>
      <c r="AF487" s="8" t="str">
        <v/>
      </c>
      <c r="AG487" s="8" t="str">
        <v/>
      </c>
      <c r="AH487" s="8" t="str">
        <v/>
      </c>
      <c r="AI487" s="8" t="n">
        <v>29</v>
      </c>
      <c r="AJ487" s="8" t="str">
        <v>60～69</v>
      </c>
      <c r="AK487" s="8" t="str">
        <v>10～19</v>
      </c>
      <c r="AL487" s="8" t="str">
        <v>20～29</v>
      </c>
      <c r="AM487" s="8" t="str">
        <v>100～119</v>
      </c>
      <c r="AN487" s="8" t="str">
        <v>12～14</v>
      </c>
      <c r="AO487" s="8" t="str">
        <f aca="false">IF(A487="","",IF(COUNTIFS(全馬データ!$A$2:$A$50000,A487,全馬データ!$B$2:$B$50000,B487,全馬データ!$C$2:$C$50000,C487,全馬データ!$D$2:$D$50000,E487,全馬データ!$K$2:$K$50000,"&lt;&gt;")=0,"",SUMIFS(全馬データ!$K$2:$K$50000,全馬データ!$A$2:$A$50000,A487,全馬データ!$B$2:$B$50000,B487,全馬データ!$C$2:$C$50000,C487,全馬データ!$D$2:$D$50000,E487)))</f>
        <v/>
      </c>
      <c r="AP487" s="8" t="str">
        <f aca="false">IF(A487="","",IF(AO487="","欠損",IF(AO487&lt;=1.1,"1.0～1.1",IF(AO487&lt;1.3,"1.2",IF(AO487&lt;1.5,"1.3～1.4",IF(AO487&lt;2,"1.5～1.9","2.0以上"))))))</f>
        <v>欠損</v>
      </c>
      <c r="AQ487" s="8" t="str">
        <f aca="false">IF(A487="","",IF(ISNUMBER(SEARCH("2歳",Z487)),"2歳戦",IF(ISNUMBER(SEARCH("3歳未勝利",Z487)),"3歳未勝利",IF(ISNUMBER(SEARCH("未勝利",Z487)),"その他未勝利",IF(ISNUMBER(SEARCH("G1",Z487)),"G1",IF(ISNUMBER(SEARCH("G2",Z487)),"G2",IF(ISNUMBER(SEARCH("G3",Z487)),"G3",IF(ISNUMBER(SEARCH("古馬条件",Z487)),"古馬条件戦",IF(ISNUMBER(SEARCH("重賞",Z487)),"重賞","分類不能")))))))))</f>
        <v>分類不能</v>
      </c>
      <c r="AR487" s="8"/>
      <c r="AS487" s="8" t="s">
        <v>7623</v>
      </c>
      <c r="AT487" s="8" t="s">
        <v>7624</v>
      </c>
      <c r="AU487" s="8" t="s">
        <v>7600</v>
      </c>
      <c r="AV487" s="4" t="s">
        <v>7601</v>
      </c>
      <c r="AW487" s="8"/>
      <c r="AX487" s="8"/>
      <c r="AY487" s="8" t="s">
        <v>7610</v>
      </c>
      <c r="AZ487" s="4" t="s">
        <v>7617</v>
      </c>
      <c r="BA487" s="8" t="n">
        <v>1700</v>
      </c>
      <c r="BB487" s="8" t="s">
        <v>7659</v>
      </c>
      <c r="BC487" s="4" t="s">
        <v>7619</v>
      </c>
      <c r="BD487" s="8" t="s">
        <v>7621</v>
      </c>
      <c r="BE487" s="4" t="s">
        <v>7622</v>
      </c>
      <c r="BF487" s="8" t="s">
        <v>7602</v>
      </c>
      <c r="BG487" s="8" t="s">
        <v>7608</v>
      </c>
      <c r="BH487" s="4" t="s">
        <v>7609</v>
      </c>
      <c r="BI487" s="8" t="n">
        <v>14</v>
      </c>
      <c r="BJ487" s="8" t="s">
        <v>7602</v>
      </c>
      <c r="BK487" s="4" t="s">
        <v>7653</v>
      </c>
      <c r="BL487" s="8" t="s">
        <v>7602</v>
      </c>
      <c r="BM487" s="4" t="s">
        <v>7620</v>
      </c>
      <c r="BN487" s="8"/>
      <c r="BO487" s="8"/>
      <c r="BP487" s="8" t="s">
        <v>7608</v>
      </c>
      <c r="BQ487" s="8" t="str">
        <f aca="false">IF(A487="","",AT487)</f>
        <v>3歳</v>
      </c>
      <c r="BR487" s="8" t="str">
        <f aca="false">IF(A487="","",IF(BA487&lt;=1200,"～1200",IF(BA487&lt;=1500,"1300～1500",IF(BA487=1600,"1600",IF(BA487&lt;=1800,"1700～1800",IF(BA487&lt;=2000,"1900～2000","2100以上"))))))</f>
        <v>1700～1800</v>
      </c>
      <c r="BS487" s="8" t="str">
        <f aca="false">IF(A487="","",IF(AX487="G1","G1",IF(AX487="G2","G2",IF(AX487="G3","G3",IF(AX487="L","L","その他")))))</f>
        <v>その他</v>
      </c>
      <c r="BT487" s="8" t="str">
        <f aca="false">IF(A487="","",IF(BI487="","未結合",IF(D487=BI487,"一致","不一致")))</f>
        <v>一致</v>
      </c>
      <c r="BU487" s="8" t="str">
        <f aca="false">IF(A487="","",IF(BE487="牝馬限定","牝馬限定","その他"))</f>
        <v>牝馬限定</v>
      </c>
    </row>
    <row r="488" customFormat="false" ht="15.75" hidden="false" customHeight="false" outlineLevel="0" collapsed="false">
      <c r="A488" s="6" t="n">
        <v>46186</v>
      </c>
      <c r="B488" s="4" t="s">
        <v>1237</v>
      </c>
      <c r="C488" s="8" t="n">
        <v>3</v>
      </c>
      <c r="D488" s="8" t="n">
        <v>12</v>
      </c>
      <c r="E488" s="8" t="n">
        <v>9</v>
      </c>
      <c r="F488" s="4" t="s">
        <v>2561</v>
      </c>
      <c r="G488" s="8" t="n">
        <v>66</v>
      </c>
      <c r="H488" s="8" t="n">
        <v>4</v>
      </c>
      <c r="I488" s="4" t="s">
        <v>5088</v>
      </c>
      <c r="J488" s="8" t="n">
        <v>47</v>
      </c>
      <c r="K488" s="8" t="n">
        <v>1</v>
      </c>
      <c r="L488" s="4" t="s">
        <v>2560</v>
      </c>
      <c r="M488" s="8" t="n">
        <v>37</v>
      </c>
      <c r="N488" s="8" t="n">
        <f aca="false">IF(A488="","",G488-J488)</f>
        <v>19</v>
      </c>
      <c r="O488" s="8" t="n">
        <f aca="false">IF(A488="","",J488-M488)</f>
        <v>10</v>
      </c>
      <c r="P488" s="8" t="n">
        <f aca="false">IF(A488="","",G488+J488)</f>
        <v>113</v>
      </c>
      <c r="Q488" s="8" t="str">
        <f aca="false">IF(A488="","",IF(AND(Y488&lt;&gt;"参考",G488&gt;=ルール設定!$B$2),"○",""))</f>
        <v/>
      </c>
      <c r="R488" s="8" t="str">
        <f aca="false">IF(A488="","",IF(AND(Y488&lt;&gt;"参考",G488&gt;=ルール設定!$B$3,N488&gt;=ルール設定!$B$4),"○",""))</f>
        <v/>
      </c>
      <c r="S488" s="8" t="str">
        <f aca="false">IF(A488="","",IF(AND(Y488&lt;&gt;"参考",G488&gt;=ルール設定!$B$5,J488&gt;=ルール設定!$B$6,O488&gt;=ルール設定!$B$7),"○",""))</f>
        <v/>
      </c>
      <c r="T488" s="8" t="n">
        <v>4</v>
      </c>
      <c r="U488" s="8" t="n">
        <v>4</v>
      </c>
      <c r="V488" s="8" t="str">
        <f aca="false">IF(A488="","",IF(AND(ISNUMBER(T488),ISNUMBER(U488)),IF(AND(T488&lt;=3,U488&lt;=3),"○","×"),""))</f>
        <v>×</v>
      </c>
      <c r="W488" s="8"/>
      <c r="X488" s="8"/>
      <c r="Y488" s="4" t="s">
        <v>7597</v>
      </c>
      <c r="Z488" s="4" t="s">
        <v>4475</v>
      </c>
      <c r="AA488" s="8" t="str">
        <v/>
      </c>
      <c r="AB488" s="8" t="str">
        <v/>
      </c>
      <c r="AC488" s="8" t="str">
        <v/>
      </c>
      <c r="AD488" s="8" t="str">
        <v/>
      </c>
      <c r="AE488" s="8" t="str">
        <v/>
      </c>
      <c r="AF488" s="8" t="str">
        <v/>
      </c>
      <c r="AG488" s="8" t="str">
        <v/>
      </c>
      <c r="AH488" s="8" t="str">
        <v/>
      </c>
      <c r="AI488" s="8" t="n">
        <v>29</v>
      </c>
      <c r="AJ488" s="8" t="str">
        <v>60～69</v>
      </c>
      <c r="AK488" s="8" t="str">
        <v>10～19</v>
      </c>
      <c r="AL488" s="8" t="str">
        <v>20～29</v>
      </c>
      <c r="AM488" s="8" t="str">
        <v>100～119</v>
      </c>
      <c r="AN488" s="8" t="str">
        <v>12～14</v>
      </c>
      <c r="AO488" s="8" t="str">
        <f aca="false">IF(A488="","",IF(COUNTIFS(全馬データ!$A$2:$A$50000,A488,全馬データ!$B$2:$B$50000,B488,全馬データ!$C$2:$C$50000,C488,全馬データ!$D$2:$D$50000,E488,全馬データ!$K$2:$K$50000,"&lt;&gt;")=0,"",SUMIFS(全馬データ!$K$2:$K$50000,全馬データ!$A$2:$A$50000,A488,全馬データ!$B$2:$B$50000,B488,全馬データ!$C$2:$C$50000,C488,全馬データ!$D$2:$D$50000,E488)))</f>
        <v/>
      </c>
      <c r="AP488" s="8" t="str">
        <f aca="false">IF(A488="","",IF(AO488="","欠損",IF(AO488&lt;=1.1,"1.0～1.1",IF(AO488&lt;1.3,"1.2",IF(AO488&lt;1.5,"1.3～1.4",IF(AO488&lt;2,"1.5～1.9","2.0以上"))))))</f>
        <v>欠損</v>
      </c>
      <c r="AQ488" s="8" t="str">
        <f aca="false">IF(A488="","",IF(ISNUMBER(SEARCH("2歳",Z488)),"2歳戦",IF(ISNUMBER(SEARCH("3歳未勝利",Z488)),"3歳未勝利",IF(ISNUMBER(SEARCH("未勝利",Z488)),"その他未勝利",IF(ISNUMBER(SEARCH("G1",Z488)),"G1",IF(ISNUMBER(SEARCH("G2",Z488)),"G2",IF(ISNUMBER(SEARCH("G3",Z488)),"G3",IF(ISNUMBER(SEARCH("古馬条件",Z488)),"古馬条件戦",IF(ISNUMBER(SEARCH("重賞",Z488)),"重賞","分類不能")))))))))</f>
        <v>分類不能</v>
      </c>
      <c r="AR488" s="8"/>
      <c r="AS488" s="8" t="s">
        <v>7623</v>
      </c>
      <c r="AT488" s="8" t="s">
        <v>7624</v>
      </c>
      <c r="AU488" s="8" t="s">
        <v>7600</v>
      </c>
      <c r="AV488" s="4" t="s">
        <v>7601</v>
      </c>
      <c r="AW488" s="8"/>
      <c r="AX488" s="8"/>
      <c r="AY488" s="8" t="s">
        <v>7610</v>
      </c>
      <c r="AZ488" s="4" t="s">
        <v>7617</v>
      </c>
      <c r="BA488" s="8" t="n">
        <v>1000</v>
      </c>
      <c r="BB488" s="8" t="s">
        <v>7659</v>
      </c>
      <c r="BC488" s="4" t="s">
        <v>7619</v>
      </c>
      <c r="BD488" s="8" t="s">
        <v>7625</v>
      </c>
      <c r="BE488" s="4" t="s">
        <v>7606</v>
      </c>
      <c r="BF488" s="8" t="s">
        <v>7607</v>
      </c>
      <c r="BG488" s="8" t="s">
        <v>7608</v>
      </c>
      <c r="BH488" s="4" t="s">
        <v>7609</v>
      </c>
      <c r="BI488" s="8" t="n">
        <v>12</v>
      </c>
      <c r="BJ488" s="8" t="s">
        <v>7602</v>
      </c>
      <c r="BK488" s="4" t="s">
        <v>7653</v>
      </c>
      <c r="BL488" s="8" t="s">
        <v>7602</v>
      </c>
      <c r="BM488" s="4" t="s">
        <v>7620</v>
      </c>
      <c r="BN488" s="8"/>
      <c r="BO488" s="8"/>
      <c r="BP488" s="8" t="s">
        <v>7608</v>
      </c>
      <c r="BQ488" s="8" t="str">
        <f aca="false">IF(A488="","",AT488)</f>
        <v>3歳</v>
      </c>
      <c r="BR488" s="8" t="str">
        <f aca="false">IF(A488="","",IF(BA488&lt;=1200,"～1200",IF(BA488&lt;=1500,"1300～1500",IF(BA488=1600,"1600",IF(BA488&lt;=1800,"1700～1800",IF(BA488&lt;=2000,"1900～2000","2100以上"))))))</f>
        <v>～1200</v>
      </c>
      <c r="BS488" s="8" t="str">
        <f aca="false">IF(A488="","",IF(AX488="G1","G1",IF(AX488="G2","G2",IF(AX488="G3","G3",IF(AX488="L","L","その他")))))</f>
        <v>その他</v>
      </c>
      <c r="BT488" s="8" t="str">
        <f aca="false">IF(A488="","",IF(BI488="","未結合",IF(D488=BI488,"一致","不一致")))</f>
        <v>一致</v>
      </c>
      <c r="BU488" s="8" t="str">
        <f aca="false">IF(A488="","",IF(BE488="牝馬限定","牝馬限定","その他"))</f>
        <v>その他</v>
      </c>
    </row>
    <row r="489" customFormat="false" ht="15.75" hidden="false" customHeight="false" outlineLevel="0" collapsed="false">
      <c r="A489" s="6" t="n">
        <v>46186</v>
      </c>
      <c r="B489" s="4" t="s">
        <v>1237</v>
      </c>
      <c r="C489" s="8" t="n">
        <v>4</v>
      </c>
      <c r="D489" s="8" t="n">
        <v>15</v>
      </c>
      <c r="E489" s="8" t="n">
        <v>8</v>
      </c>
      <c r="F489" s="4" t="s">
        <v>1042</v>
      </c>
      <c r="G489" s="8" t="n">
        <v>60</v>
      </c>
      <c r="H489" s="8" t="n">
        <v>2</v>
      </c>
      <c r="I489" s="4" t="s">
        <v>3514</v>
      </c>
      <c r="J489" s="8" t="n">
        <v>56</v>
      </c>
      <c r="K489" s="8" t="n">
        <v>6</v>
      </c>
      <c r="L489" s="4" t="s">
        <v>4127</v>
      </c>
      <c r="M489" s="8" t="n">
        <v>31</v>
      </c>
      <c r="N489" s="8" t="n">
        <f aca="false">IF(A489="","",G489-J489)</f>
        <v>4</v>
      </c>
      <c r="O489" s="8" t="n">
        <f aca="false">IF(A489="","",J489-M489)</f>
        <v>25</v>
      </c>
      <c r="P489" s="8" t="n">
        <f aca="false">IF(A489="","",G489+J489)</f>
        <v>116</v>
      </c>
      <c r="Q489" s="8" t="str">
        <f aca="false">IF(A489="","",IF(AND(Y489&lt;&gt;"参考",G489&gt;=ルール設定!$B$2),"○",""))</f>
        <v/>
      </c>
      <c r="R489" s="8" t="str">
        <f aca="false">IF(A489="","",IF(AND(Y489&lt;&gt;"参考",G489&gt;=ルール設定!$B$3,N489&gt;=ルール設定!$B$4),"○",""))</f>
        <v/>
      </c>
      <c r="S489" s="8" t="str">
        <f aca="false">IF(A489="","",IF(AND(Y489&lt;&gt;"参考",G489&gt;=ルール設定!$B$5,J489&gt;=ルール設定!$B$6,O489&gt;=ルール設定!$B$7),"○",""))</f>
        <v>○</v>
      </c>
      <c r="T489" s="8" t="n">
        <v>3</v>
      </c>
      <c r="U489" s="8" t="n">
        <v>4</v>
      </c>
      <c r="V489" s="8" t="str">
        <f aca="false">IF(A489="","",IF(AND(ISNUMBER(T489),ISNUMBER(U489)),IF(AND(T489&lt;=3,U489&lt;=3),"○","×"),""))</f>
        <v>×</v>
      </c>
      <c r="W489" s="8" t="n">
        <v>200</v>
      </c>
      <c r="X489" s="8"/>
      <c r="Y489" s="4" t="s">
        <v>7597</v>
      </c>
      <c r="Z489" s="4" t="s">
        <v>4475</v>
      </c>
      <c r="AA489" s="8" t="str">
        <v/>
      </c>
      <c r="AB489" s="8" t="str">
        <v/>
      </c>
      <c r="AC489" s="8" t="str">
        <v/>
      </c>
      <c r="AD489" s="8" t="str">
        <v/>
      </c>
      <c r="AE489" s="8" t="str">
        <v/>
      </c>
      <c r="AF489" s="8" t="str">
        <v/>
      </c>
      <c r="AG489" s="8" t="str">
        <v/>
      </c>
      <c r="AH489" s="8" t="str">
        <v/>
      </c>
      <c r="AI489" s="8" t="n">
        <v>29</v>
      </c>
      <c r="AJ489" s="8" t="str">
        <v>60～69</v>
      </c>
      <c r="AK489" s="8" t="str">
        <v>0～4</v>
      </c>
      <c r="AL489" s="8" t="str">
        <v>20～29</v>
      </c>
      <c r="AM489" s="8" t="str">
        <v>100～119</v>
      </c>
      <c r="AN489" s="8" t="str">
        <v>15以上</v>
      </c>
      <c r="AO489" s="8" t="str">
        <f aca="false">IF(A489="","",IF(COUNTIFS(全馬データ!$A$2:$A$50000,A489,全馬データ!$B$2:$B$50000,B489,全馬データ!$C$2:$C$50000,C489,全馬データ!$D$2:$D$50000,E489,全馬データ!$K$2:$K$50000,"&lt;&gt;")=0,"",SUMIFS(全馬データ!$K$2:$K$50000,全馬データ!$A$2:$A$50000,A489,全馬データ!$B$2:$B$50000,B489,全馬データ!$C$2:$C$50000,C489,全馬データ!$D$2:$D$50000,E489)))</f>
        <v/>
      </c>
      <c r="AP489" s="8" t="str">
        <f aca="false">IF(A489="","",IF(AO489="","欠損",IF(AO489&lt;=1.1,"1.0～1.1",IF(AO489&lt;1.3,"1.2",IF(AO489&lt;1.5,"1.3～1.4",IF(AO489&lt;2,"1.5～1.9","2.0以上"))))))</f>
        <v>欠損</v>
      </c>
      <c r="AQ489" s="8" t="str">
        <f aca="false">IF(A489="","",IF(ISNUMBER(SEARCH("2歳",Z489)),"2歳戦",IF(ISNUMBER(SEARCH("3歳未勝利",Z489)),"3歳未勝利",IF(ISNUMBER(SEARCH("未勝利",Z489)),"その他未勝利",IF(ISNUMBER(SEARCH("G1",Z489)),"G1",IF(ISNUMBER(SEARCH("G2",Z489)),"G2",IF(ISNUMBER(SEARCH("G3",Z489)),"G3",IF(ISNUMBER(SEARCH("古馬条件",Z489)),"古馬条件戦",IF(ISNUMBER(SEARCH("重賞",Z489)),"重賞","分類不能")))))))))</f>
        <v>分類不能</v>
      </c>
      <c r="AR489" s="8"/>
      <c r="AS489" s="8" t="s">
        <v>7623</v>
      </c>
      <c r="AT489" s="8" t="s">
        <v>7624</v>
      </c>
      <c r="AU489" s="8" t="s">
        <v>7600</v>
      </c>
      <c r="AV489" s="4" t="s">
        <v>7601</v>
      </c>
      <c r="AW489" s="8"/>
      <c r="AX489" s="8"/>
      <c r="AY489" s="8" t="s">
        <v>7602</v>
      </c>
      <c r="AZ489" s="4" t="s">
        <v>7603</v>
      </c>
      <c r="BA489" s="8" t="n">
        <v>2600</v>
      </c>
      <c r="BB489" s="8" t="s">
        <v>7659</v>
      </c>
      <c r="BC489" s="4" t="s">
        <v>7619</v>
      </c>
      <c r="BD489" s="8" t="s">
        <v>7605</v>
      </c>
      <c r="BE489" s="4" t="s">
        <v>7606</v>
      </c>
      <c r="BF489" s="8" t="s">
        <v>7607</v>
      </c>
      <c r="BG489" s="8" t="s">
        <v>7608</v>
      </c>
      <c r="BH489" s="4" t="s">
        <v>7609</v>
      </c>
      <c r="BI489" s="8" t="n">
        <v>15</v>
      </c>
      <c r="BJ489" s="8" t="s">
        <v>7602</v>
      </c>
      <c r="BK489" s="4" t="s">
        <v>7653</v>
      </c>
      <c r="BL489" s="8" t="s">
        <v>7602</v>
      </c>
      <c r="BM489" s="4" t="s">
        <v>7620</v>
      </c>
      <c r="BN489" s="8" t="s">
        <v>7602</v>
      </c>
      <c r="BO489" s="8" t="s">
        <v>7613</v>
      </c>
      <c r="BP489" s="8" t="s">
        <v>7608</v>
      </c>
      <c r="BQ489" s="8" t="str">
        <f aca="false">IF(A489="","",AT489)</f>
        <v>3歳</v>
      </c>
      <c r="BR489" s="8" t="str">
        <f aca="false">IF(A489="","",IF(BA489&lt;=1200,"～1200",IF(BA489&lt;=1500,"1300～1500",IF(BA489=1600,"1600",IF(BA489&lt;=1800,"1700～1800",IF(BA489&lt;=2000,"1900～2000","2100以上"))))))</f>
        <v>2100以上</v>
      </c>
      <c r="BS489" s="8" t="str">
        <f aca="false">IF(A489="","",IF(AX489="G1","G1",IF(AX489="G2","G2",IF(AX489="G3","G3",IF(AX489="L","L","その他")))))</f>
        <v>その他</v>
      </c>
      <c r="BT489" s="8" t="str">
        <f aca="false">IF(A489="","",IF(BI489="","未結合",IF(D489=BI489,"一致","不一致")))</f>
        <v>一致</v>
      </c>
      <c r="BU489" s="8" t="str">
        <f aca="false">IF(A489="","",IF(BE489="牝馬限定","牝馬限定","その他"))</f>
        <v>その他</v>
      </c>
    </row>
    <row r="490" customFormat="false" ht="15.75" hidden="false" customHeight="false" outlineLevel="0" collapsed="false">
      <c r="A490" s="6" t="n">
        <v>46186</v>
      </c>
      <c r="B490" s="4" t="s">
        <v>1237</v>
      </c>
      <c r="C490" s="8" t="n">
        <v>5</v>
      </c>
      <c r="D490" s="8" t="n">
        <v>12</v>
      </c>
      <c r="E490" s="8" t="n">
        <v>7</v>
      </c>
      <c r="F490" s="4" t="s">
        <v>344</v>
      </c>
      <c r="G490" s="8" t="n">
        <v>41</v>
      </c>
      <c r="H490" s="8" t="n">
        <v>1</v>
      </c>
      <c r="I490" s="4" t="s">
        <v>1854</v>
      </c>
      <c r="J490" s="8" t="n">
        <v>31</v>
      </c>
      <c r="K490" s="8" t="n">
        <v>2</v>
      </c>
      <c r="L490" s="4" t="s">
        <v>1846</v>
      </c>
      <c r="M490" s="8" t="n">
        <v>27</v>
      </c>
      <c r="N490" s="8" t="n">
        <f aca="false">IF(A490="","",G490-J490)</f>
        <v>10</v>
      </c>
      <c r="O490" s="8" t="n">
        <f aca="false">IF(A490="","",J490-M490)</f>
        <v>4</v>
      </c>
      <c r="P490" s="8" t="n">
        <f aca="false">IF(A490="","",G490+J490)</f>
        <v>72</v>
      </c>
      <c r="Q490" s="8" t="str">
        <f aca="false">IF(A490="","",IF(AND(Y490&lt;&gt;"参考",G490&gt;=ルール設定!$B$2),"○",""))</f>
        <v/>
      </c>
      <c r="R490" s="8" t="str">
        <f aca="false">IF(A490="","",IF(AND(Y490&lt;&gt;"参考",G490&gt;=ルール設定!$B$3,N490&gt;=ルール設定!$B$4),"○",""))</f>
        <v/>
      </c>
      <c r="S490" s="8" t="str">
        <f aca="false">IF(A490="","",IF(AND(Y490&lt;&gt;"参考",G490&gt;=ルール設定!$B$5,J490&gt;=ルール設定!$B$6,O490&gt;=ルール設定!$B$7),"○",""))</f>
        <v/>
      </c>
      <c r="T490" s="8" t="n">
        <v>4</v>
      </c>
      <c r="U490" s="8" t="n">
        <v>1</v>
      </c>
      <c r="V490" s="8" t="str">
        <f aca="false">IF(A490="","",IF(AND(ISNUMBER(T490),ISNUMBER(U490)),IF(AND(T490&lt;=3,U490&lt;=3),"○","×"),""))</f>
        <v>×</v>
      </c>
      <c r="W490" s="8"/>
      <c r="X490" s="8"/>
      <c r="Y490" s="4" t="s">
        <v>7597</v>
      </c>
      <c r="Z490" s="4" t="s">
        <v>4475</v>
      </c>
      <c r="AA490" s="8" t="str">
        <v/>
      </c>
      <c r="AB490" s="8" t="str">
        <v/>
      </c>
      <c r="AC490" s="8" t="str">
        <v/>
      </c>
      <c r="AD490" s="8" t="str">
        <v/>
      </c>
      <c r="AE490" s="8" t="str">
        <v/>
      </c>
      <c r="AF490" s="8" t="str">
        <v/>
      </c>
      <c r="AG490" s="8" t="str">
        <v/>
      </c>
      <c r="AH490" s="8" t="str">
        <v/>
      </c>
      <c r="AI490" s="8" t="n">
        <v>14</v>
      </c>
      <c r="AJ490" s="8" t="str">
        <v>～59</v>
      </c>
      <c r="AK490" s="8" t="str">
        <v>10～19</v>
      </c>
      <c r="AL490" s="8" t="str">
        <v>10～19</v>
      </c>
      <c r="AM490" s="8" t="str">
        <v>～99</v>
      </c>
      <c r="AN490" s="8" t="str">
        <v>12～14</v>
      </c>
      <c r="AO490" s="8" t="str">
        <f aca="false">IF(A490="","",IF(COUNTIFS(全馬データ!$A$2:$A$50000,A490,全馬データ!$B$2:$B$50000,B490,全馬データ!$C$2:$C$50000,C490,全馬データ!$D$2:$D$50000,E490,全馬データ!$K$2:$K$50000,"&lt;&gt;")=0,"",SUMIFS(全馬データ!$K$2:$K$50000,全馬データ!$A$2:$A$50000,A490,全馬データ!$B$2:$B$50000,B490,全馬データ!$C$2:$C$50000,C490,全馬データ!$D$2:$D$50000,E490)))</f>
        <v/>
      </c>
      <c r="AP490" s="8" t="str">
        <f aca="false">IF(A490="","",IF(AO490="","欠損",IF(AO490&lt;=1.1,"1.0～1.1",IF(AO490&lt;1.3,"1.2",IF(AO490&lt;1.5,"1.3～1.4",IF(AO490&lt;2,"1.5～1.9","2.0以上"))))))</f>
        <v>欠損</v>
      </c>
      <c r="AQ490" s="8" t="str">
        <f aca="false">IF(A490="","",IF(ISNUMBER(SEARCH("2歳",Z490)),"2歳戦",IF(ISNUMBER(SEARCH("3歳未勝利",Z490)),"3歳未勝利",IF(ISNUMBER(SEARCH("未勝利",Z490)),"その他未勝利",IF(ISNUMBER(SEARCH("G1",Z490)),"G1",IF(ISNUMBER(SEARCH("G2",Z490)),"G2",IF(ISNUMBER(SEARCH("G3",Z490)),"G3",IF(ISNUMBER(SEARCH("古馬条件",Z490)),"古馬条件戦",IF(ISNUMBER(SEARCH("重賞",Z490)),"重賞","分類不能")))))))))</f>
        <v>分類不能</v>
      </c>
      <c r="AR490" s="8"/>
      <c r="AS490" s="8" t="s">
        <v>7598</v>
      </c>
      <c r="AT490" s="8" t="s">
        <v>7599</v>
      </c>
      <c r="AU490" s="8" t="s">
        <v>7615</v>
      </c>
      <c r="AV490" s="4" t="s">
        <v>7616</v>
      </c>
      <c r="AW490" s="8"/>
      <c r="AX490" s="8"/>
      <c r="AY490" s="8" t="s">
        <v>7602</v>
      </c>
      <c r="AZ490" s="4" t="s">
        <v>7603</v>
      </c>
      <c r="BA490" s="8" t="n">
        <v>1200</v>
      </c>
      <c r="BB490" s="8" t="s">
        <v>7659</v>
      </c>
      <c r="BC490" s="4" t="s">
        <v>7619</v>
      </c>
      <c r="BD490" s="8" t="s">
        <v>7625</v>
      </c>
      <c r="BE490" s="4" t="s">
        <v>7606</v>
      </c>
      <c r="BF490" s="8" t="s">
        <v>7607</v>
      </c>
      <c r="BG490" s="8" t="s">
        <v>7608</v>
      </c>
      <c r="BH490" s="4" t="s">
        <v>7609</v>
      </c>
      <c r="BI490" s="8" t="n">
        <v>12</v>
      </c>
      <c r="BJ490" s="8" t="s">
        <v>7602</v>
      </c>
      <c r="BK490" s="4" t="s">
        <v>7653</v>
      </c>
      <c r="BL490" s="8" t="s">
        <v>7602</v>
      </c>
      <c r="BM490" s="4" t="s">
        <v>7620</v>
      </c>
      <c r="BN490" s="8" t="s">
        <v>7602</v>
      </c>
      <c r="BO490" s="8" t="s">
        <v>7613</v>
      </c>
      <c r="BP490" s="8" t="s">
        <v>7608</v>
      </c>
      <c r="BQ490" s="8" t="str">
        <f aca="false">IF(A490="","",AT490)</f>
        <v>2歳</v>
      </c>
      <c r="BR490" s="8" t="str">
        <f aca="false">IF(A490="","",IF(BA490&lt;=1200,"～1200",IF(BA490&lt;=1500,"1300～1500",IF(BA490=1600,"1600",IF(BA490&lt;=1800,"1700～1800",IF(BA490&lt;=2000,"1900～2000","2100以上"))))))</f>
        <v>～1200</v>
      </c>
      <c r="BS490" s="8" t="str">
        <f aca="false">IF(A490="","",IF(AX490="G1","G1",IF(AX490="G2","G2",IF(AX490="G3","G3",IF(AX490="L","L","その他")))))</f>
        <v>その他</v>
      </c>
      <c r="BT490" s="8" t="str">
        <f aca="false">IF(A490="","",IF(BI490="","未結合",IF(D490=BI490,"一致","不一致")))</f>
        <v>一致</v>
      </c>
      <c r="BU490" s="8" t="str">
        <f aca="false">IF(A490="","",IF(BE490="牝馬限定","牝馬限定","その他"))</f>
        <v>その他</v>
      </c>
    </row>
    <row r="491" customFormat="false" ht="15.75" hidden="false" customHeight="false" outlineLevel="0" collapsed="false">
      <c r="A491" s="6" t="n">
        <v>46186</v>
      </c>
      <c r="B491" s="4" t="s">
        <v>1237</v>
      </c>
      <c r="C491" s="8" t="n">
        <v>6</v>
      </c>
      <c r="D491" s="8" t="n">
        <v>12</v>
      </c>
      <c r="E491" s="8" t="n">
        <v>10</v>
      </c>
      <c r="F491" s="4" t="s">
        <v>4425</v>
      </c>
      <c r="G491" s="8" t="n">
        <v>86</v>
      </c>
      <c r="H491" s="8" t="n">
        <v>7</v>
      </c>
      <c r="I491" s="4" t="s">
        <v>5096</v>
      </c>
      <c r="J491" s="8" t="n">
        <v>47</v>
      </c>
      <c r="K491" s="8" t="n">
        <v>11</v>
      </c>
      <c r="L491" s="4" t="s">
        <v>1742</v>
      </c>
      <c r="M491" s="8" t="n">
        <v>47</v>
      </c>
      <c r="N491" s="8" t="n">
        <f aca="false">IF(A491="","",G491-J491)</f>
        <v>39</v>
      </c>
      <c r="O491" s="8" t="n">
        <f aca="false">IF(A491="","",J491-M491)</f>
        <v>0</v>
      </c>
      <c r="P491" s="8" t="n">
        <f aca="false">IF(A491="","",G491+J491)</f>
        <v>133</v>
      </c>
      <c r="Q491" s="8" t="str">
        <f aca="false">IF(A491="","",IF(AND(Y491&lt;&gt;"参考",G491&gt;=ルール設定!$B$2),"○",""))</f>
        <v>○</v>
      </c>
      <c r="R491" s="8" t="str">
        <f aca="false">IF(A491="","",IF(AND(Y491&lt;&gt;"参考",G491&gt;=ルール設定!$B$3,N491&gt;=ルール設定!$B$4),"○",""))</f>
        <v>○</v>
      </c>
      <c r="S491" s="8" t="str">
        <f aca="false">IF(A491="","",IF(AND(Y491&lt;&gt;"参考",G491&gt;=ルール設定!$B$5,J491&gt;=ルール設定!$B$6,O491&gt;=ルール設定!$B$7),"○",""))</f>
        <v/>
      </c>
      <c r="T491" s="8" t="n">
        <v>2</v>
      </c>
      <c r="U491" s="8" t="n">
        <v>4</v>
      </c>
      <c r="V491" s="8" t="str">
        <f aca="false">IF(A491="","",IF(AND(ISNUMBER(T491),ISNUMBER(U491)),IF(AND(T491&lt;=3,U491&lt;=3),"○","×"),""))</f>
        <v>×</v>
      </c>
      <c r="W491" s="8" t="n">
        <v>130</v>
      </c>
      <c r="X491" s="8"/>
      <c r="Y491" s="4" t="s">
        <v>7597</v>
      </c>
      <c r="Z491" s="4" t="s">
        <v>4475</v>
      </c>
      <c r="AA491" s="8" t="str">
        <v>○</v>
      </c>
      <c r="AB491" s="8" t="str">
        <v>○</v>
      </c>
      <c r="AC491" s="8" t="str">
        <v/>
      </c>
      <c r="AD491" s="8" t="str">
        <v>○</v>
      </c>
      <c r="AE491" s="8" t="str">
        <v/>
      </c>
      <c r="AF491" s="8" t="str">
        <v/>
      </c>
      <c r="AG491" s="8" t="str">
        <v>○</v>
      </c>
      <c r="AH491" s="8" t="str">
        <v/>
      </c>
      <c r="AI491" s="8" t="n">
        <v>39</v>
      </c>
      <c r="AJ491" s="8" t="str">
        <v>85以上</v>
      </c>
      <c r="AK491" s="8" t="str">
        <v>30以上</v>
      </c>
      <c r="AL491" s="8" t="str">
        <v>30～39</v>
      </c>
      <c r="AM491" s="8" t="str">
        <v>120～139</v>
      </c>
      <c r="AN491" s="8" t="str">
        <v>12～14</v>
      </c>
      <c r="AO491" s="8" t="str">
        <f aca="false">IF(A491="","",IF(COUNTIFS(全馬データ!$A$2:$A$50000,A491,全馬データ!$B$2:$B$50000,B491,全馬データ!$C$2:$C$50000,C491,全馬データ!$D$2:$D$50000,E491,全馬データ!$K$2:$K$50000,"&lt;&gt;")=0,"",SUMIFS(全馬データ!$K$2:$K$50000,全馬データ!$A$2:$A$50000,A491,全馬データ!$B$2:$B$50000,B491,全馬データ!$C$2:$C$50000,C491,全馬データ!$D$2:$D$50000,E491)))</f>
        <v/>
      </c>
      <c r="AP491" s="8" t="str">
        <f aca="false">IF(A491="","",IF(AO491="","欠損",IF(AO491&lt;=1.1,"1.0～1.1",IF(AO491&lt;1.3,"1.2",IF(AO491&lt;1.5,"1.3～1.4",IF(AO491&lt;2,"1.5～1.9","2.0以上"))))))</f>
        <v>欠損</v>
      </c>
      <c r="AQ491" s="8" t="str">
        <f aca="false">IF(A491="","",IF(ISNUMBER(SEARCH("2歳",Z491)),"2歳戦",IF(ISNUMBER(SEARCH("3歳未勝利",Z491)),"3歳未勝利",IF(ISNUMBER(SEARCH("未勝利",Z491)),"その他未勝利",IF(ISNUMBER(SEARCH("G1",Z491)),"G1",IF(ISNUMBER(SEARCH("G2",Z491)),"G2",IF(ISNUMBER(SEARCH("G3",Z491)),"G3",IF(ISNUMBER(SEARCH("古馬条件",Z491)),"古馬条件戦",IF(ISNUMBER(SEARCH("重賞",Z491)),"重賞","分類不能")))))))))</f>
        <v>分類不能</v>
      </c>
      <c r="AR491" s="8"/>
      <c r="AS491" s="8" t="s">
        <v>7623</v>
      </c>
      <c r="AT491" s="8" t="s">
        <v>7624</v>
      </c>
      <c r="AU491" s="8" t="s">
        <v>7600</v>
      </c>
      <c r="AV491" s="4" t="s">
        <v>7601</v>
      </c>
      <c r="AW491" s="8"/>
      <c r="AX491" s="8"/>
      <c r="AY491" s="8" t="s">
        <v>7610</v>
      </c>
      <c r="AZ491" s="4" t="s">
        <v>7617</v>
      </c>
      <c r="BA491" s="8" t="n">
        <v>1700</v>
      </c>
      <c r="BB491" s="8" t="s">
        <v>7659</v>
      </c>
      <c r="BC491" s="4" t="s">
        <v>7619</v>
      </c>
      <c r="BD491" s="8" t="s">
        <v>7625</v>
      </c>
      <c r="BE491" s="4" t="s">
        <v>7606</v>
      </c>
      <c r="BF491" s="8" t="s">
        <v>7607</v>
      </c>
      <c r="BG491" s="8" t="s">
        <v>7608</v>
      </c>
      <c r="BH491" s="4" t="s">
        <v>7609</v>
      </c>
      <c r="BI491" s="8" t="n">
        <v>12</v>
      </c>
      <c r="BJ491" s="8" t="s">
        <v>7602</v>
      </c>
      <c r="BK491" s="4" t="s">
        <v>7653</v>
      </c>
      <c r="BL491" s="8" t="s">
        <v>7602</v>
      </c>
      <c r="BM491" s="4" t="s">
        <v>7620</v>
      </c>
      <c r="BN491" s="8"/>
      <c r="BO491" s="8"/>
      <c r="BP491" s="8" t="s">
        <v>7608</v>
      </c>
      <c r="BQ491" s="8" t="str">
        <f aca="false">IF(A491="","",AT491)</f>
        <v>3歳</v>
      </c>
      <c r="BR491" s="8" t="str">
        <f aca="false">IF(A491="","",IF(BA491&lt;=1200,"～1200",IF(BA491&lt;=1500,"1300～1500",IF(BA491=1600,"1600",IF(BA491&lt;=1800,"1700～1800",IF(BA491&lt;=2000,"1900～2000","2100以上"))))))</f>
        <v>1700～1800</v>
      </c>
      <c r="BS491" s="8" t="str">
        <f aca="false">IF(A491="","",IF(AX491="G1","G1",IF(AX491="G2","G2",IF(AX491="G3","G3",IF(AX491="L","L","その他")))))</f>
        <v>その他</v>
      </c>
      <c r="BT491" s="8" t="str">
        <f aca="false">IF(A491="","",IF(BI491="","未結合",IF(D491=BI491,"一致","不一致")))</f>
        <v>一致</v>
      </c>
      <c r="BU491" s="8" t="str">
        <f aca="false">IF(A491="","",IF(BE491="牝馬限定","牝馬限定","その他"))</f>
        <v>その他</v>
      </c>
    </row>
    <row r="492" customFormat="false" ht="15.75" hidden="false" customHeight="false" outlineLevel="0" collapsed="false">
      <c r="A492" s="6" t="n">
        <v>46186</v>
      </c>
      <c r="B492" s="4" t="s">
        <v>1237</v>
      </c>
      <c r="C492" s="8" t="n">
        <v>7</v>
      </c>
      <c r="D492" s="8" t="n">
        <v>8</v>
      </c>
      <c r="E492" s="8" t="n">
        <v>6</v>
      </c>
      <c r="F492" s="4" t="s">
        <v>403</v>
      </c>
      <c r="G492" s="8" t="n">
        <v>56</v>
      </c>
      <c r="H492" s="8" t="n">
        <v>7</v>
      </c>
      <c r="I492" s="4" t="s">
        <v>5097</v>
      </c>
      <c r="J492" s="8" t="n">
        <v>52</v>
      </c>
      <c r="K492" s="8" t="n">
        <v>2</v>
      </c>
      <c r="L492" s="4" t="s">
        <v>3567</v>
      </c>
      <c r="M492" s="8" t="n">
        <v>34</v>
      </c>
      <c r="N492" s="8" t="n">
        <f aca="false">IF(A492="","",G492-J492)</f>
        <v>4</v>
      </c>
      <c r="O492" s="8" t="n">
        <f aca="false">IF(A492="","",J492-M492)</f>
        <v>18</v>
      </c>
      <c r="P492" s="8" t="n">
        <f aca="false">IF(A492="","",G492+J492)</f>
        <v>108</v>
      </c>
      <c r="Q492" s="8" t="str">
        <f aca="false">IF(A492="","",IF(AND(Y492&lt;&gt;"参考",G492&gt;=ルール設定!$B$2),"○",""))</f>
        <v/>
      </c>
      <c r="R492" s="8" t="str">
        <f aca="false">IF(A492="","",IF(AND(Y492&lt;&gt;"参考",G492&gt;=ルール設定!$B$3,N492&gt;=ルール設定!$B$4),"○",""))</f>
        <v/>
      </c>
      <c r="S492" s="8" t="str">
        <f aca="false">IF(A492="","",IF(AND(Y492&lt;&gt;"参考",G492&gt;=ルール設定!$B$5,J492&gt;=ルール設定!$B$6,O492&gt;=ルール設定!$B$7),"○",""))</f>
        <v/>
      </c>
      <c r="T492" s="8" t="n">
        <v>3</v>
      </c>
      <c r="U492" s="8" t="n">
        <v>4</v>
      </c>
      <c r="V492" s="8" t="str">
        <f aca="false">IF(A492="","",IF(AND(ISNUMBER(T492),ISNUMBER(U492)),IF(AND(T492&lt;=3,U492&lt;=3),"○","×"),""))</f>
        <v>×</v>
      </c>
      <c r="W492" s="8" t="n">
        <v>110</v>
      </c>
      <c r="X492" s="8"/>
      <c r="Y492" s="4" t="s">
        <v>7597</v>
      </c>
      <c r="Z492" s="4" t="s">
        <v>4475</v>
      </c>
      <c r="AA492" s="8" t="str">
        <v/>
      </c>
      <c r="AB492" s="8" t="str">
        <v/>
      </c>
      <c r="AC492" s="8" t="str">
        <v/>
      </c>
      <c r="AD492" s="8" t="str">
        <v/>
      </c>
      <c r="AE492" s="8" t="str">
        <v/>
      </c>
      <c r="AF492" s="8" t="str">
        <v/>
      </c>
      <c r="AG492" s="8" t="str">
        <v/>
      </c>
      <c r="AH492" s="8" t="str">
        <v/>
      </c>
      <c r="AI492" s="8" t="n">
        <v>22</v>
      </c>
      <c r="AJ492" s="8" t="str">
        <v>～59</v>
      </c>
      <c r="AK492" s="8" t="str">
        <v>0～4</v>
      </c>
      <c r="AL492" s="8" t="str">
        <v>20～29</v>
      </c>
      <c r="AM492" s="8" t="str">
        <v>100～119</v>
      </c>
      <c r="AN492" s="8" t="str">
        <v>8～11</v>
      </c>
      <c r="AO492" s="8" t="str">
        <f aca="false">IF(A492="","",IF(COUNTIFS(全馬データ!$A$2:$A$50000,A492,全馬データ!$B$2:$B$50000,B492,全馬データ!$C$2:$C$50000,C492,全馬データ!$D$2:$D$50000,E492,全馬データ!$K$2:$K$50000,"&lt;&gt;")=0,"",SUMIFS(全馬データ!$K$2:$K$50000,全馬データ!$A$2:$A$50000,A492,全馬データ!$B$2:$B$50000,B492,全馬データ!$C$2:$C$50000,C492,全馬データ!$D$2:$D$50000,E492)))</f>
        <v/>
      </c>
      <c r="AP492" s="8" t="str">
        <f aca="false">IF(A492="","",IF(AO492="","欠損",IF(AO492&lt;=1.1,"1.0～1.1",IF(AO492&lt;1.3,"1.2",IF(AO492&lt;1.5,"1.3～1.4",IF(AO492&lt;2,"1.5～1.9","2.0以上"))))))</f>
        <v>欠損</v>
      </c>
      <c r="AQ492" s="8" t="str">
        <f aca="false">IF(A492="","",IF(ISNUMBER(SEARCH("2歳",Z492)),"2歳戦",IF(ISNUMBER(SEARCH("3歳未勝利",Z492)),"3歳未勝利",IF(ISNUMBER(SEARCH("未勝利",Z492)),"その他未勝利",IF(ISNUMBER(SEARCH("G1",Z492)),"G1",IF(ISNUMBER(SEARCH("G2",Z492)),"G2",IF(ISNUMBER(SEARCH("G3",Z492)),"G3",IF(ISNUMBER(SEARCH("古馬条件",Z492)),"古馬条件戦",IF(ISNUMBER(SEARCH("重賞",Z492)),"重賞","分類不能")))))))))</f>
        <v>分類不能</v>
      </c>
      <c r="AR492" s="8"/>
      <c r="AS492" s="8" t="s">
        <v>7626</v>
      </c>
      <c r="AT492" s="8" t="s">
        <v>7627</v>
      </c>
      <c r="AU492" s="8" t="s">
        <v>7628</v>
      </c>
      <c r="AV492" s="8" t="s">
        <v>7629</v>
      </c>
      <c r="AW492" s="8"/>
      <c r="AX492" s="8"/>
      <c r="AY492" s="8" t="s">
        <v>7602</v>
      </c>
      <c r="AZ492" s="4" t="s">
        <v>7603</v>
      </c>
      <c r="BA492" s="8" t="n">
        <v>1200</v>
      </c>
      <c r="BB492" s="8" t="s">
        <v>7659</v>
      </c>
      <c r="BC492" s="4" t="s">
        <v>7619</v>
      </c>
      <c r="BD492" s="8" t="s">
        <v>7625</v>
      </c>
      <c r="BE492" s="4" t="s">
        <v>7606</v>
      </c>
      <c r="BF492" s="8" t="s">
        <v>7607</v>
      </c>
      <c r="BG492" s="8" t="s">
        <v>7631</v>
      </c>
      <c r="BH492" s="4" t="s">
        <v>7632</v>
      </c>
      <c r="BI492" s="8" t="n">
        <v>8</v>
      </c>
      <c r="BJ492" s="8" t="s">
        <v>7602</v>
      </c>
      <c r="BK492" s="4" t="s">
        <v>7653</v>
      </c>
      <c r="BL492" s="8" t="s">
        <v>7602</v>
      </c>
      <c r="BM492" s="4" t="s">
        <v>7620</v>
      </c>
      <c r="BN492" s="8" t="s">
        <v>7602</v>
      </c>
      <c r="BO492" s="8" t="s">
        <v>7613</v>
      </c>
      <c r="BP492" s="8" t="s">
        <v>7608</v>
      </c>
      <c r="BQ492" s="8" t="str">
        <f aca="false">IF(A492="","",AT492)</f>
        <v>3歳以上</v>
      </c>
      <c r="BR492" s="8" t="str">
        <f aca="false">IF(A492="","",IF(BA492&lt;=1200,"～1200",IF(BA492&lt;=1500,"1300～1500",IF(BA492=1600,"1600",IF(BA492&lt;=1800,"1700～1800",IF(BA492&lt;=2000,"1900～2000","2100以上"))))))</f>
        <v>～1200</v>
      </c>
      <c r="BS492" s="8" t="str">
        <f aca="false">IF(A492="","",IF(AX492="G1","G1",IF(AX492="G2","G2",IF(AX492="G3","G3",IF(AX492="L","L","その他")))))</f>
        <v>その他</v>
      </c>
      <c r="BT492" s="8" t="str">
        <f aca="false">IF(A492="","",IF(BI492="","未結合",IF(D492=BI492,"一致","不一致")))</f>
        <v>一致</v>
      </c>
      <c r="BU492" s="8" t="str">
        <f aca="false">IF(A492="","",IF(BE492="牝馬限定","牝馬限定","その他"))</f>
        <v>その他</v>
      </c>
    </row>
    <row r="493" customFormat="false" ht="15.75" hidden="false" customHeight="false" outlineLevel="0" collapsed="false">
      <c r="A493" s="6" t="n">
        <v>46186</v>
      </c>
      <c r="B493" s="4" t="s">
        <v>1237</v>
      </c>
      <c r="C493" s="8" t="n">
        <v>8</v>
      </c>
      <c r="D493" s="8" t="n">
        <v>12</v>
      </c>
      <c r="E493" s="8" t="n">
        <v>10</v>
      </c>
      <c r="F493" s="4" t="s">
        <v>2272</v>
      </c>
      <c r="G493" s="8" t="n">
        <v>44</v>
      </c>
      <c r="H493" s="8" t="n">
        <v>2</v>
      </c>
      <c r="I493" s="4" t="s">
        <v>5100</v>
      </c>
      <c r="J493" s="8" t="n">
        <v>39</v>
      </c>
      <c r="K493" s="8" t="n">
        <v>11</v>
      </c>
      <c r="L493" s="4" t="s">
        <v>2649</v>
      </c>
      <c r="M493" s="8" t="n">
        <v>37</v>
      </c>
      <c r="N493" s="8" t="n">
        <f aca="false">IF(A493="","",G493-J493)</f>
        <v>5</v>
      </c>
      <c r="O493" s="8" t="n">
        <f aca="false">IF(A493="","",J493-M493)</f>
        <v>2</v>
      </c>
      <c r="P493" s="8" t="n">
        <f aca="false">IF(A493="","",G493+J493)</f>
        <v>83</v>
      </c>
      <c r="Q493" s="8" t="str">
        <f aca="false">IF(A493="","",IF(AND(Y493&lt;&gt;"参考",G493&gt;=ルール設定!$B$2),"○",""))</f>
        <v/>
      </c>
      <c r="R493" s="8" t="str">
        <f aca="false">IF(A493="","",IF(AND(Y493&lt;&gt;"参考",G493&gt;=ルール設定!$B$3,N493&gt;=ルール設定!$B$4),"○",""))</f>
        <v/>
      </c>
      <c r="S493" s="8" t="str">
        <f aca="false">IF(A493="","",IF(AND(Y493&lt;&gt;"参考",G493&gt;=ルール設定!$B$5,J493&gt;=ルール設定!$B$6,O493&gt;=ルール設定!$B$7),"○",""))</f>
        <v/>
      </c>
      <c r="T493" s="8" t="n">
        <v>2</v>
      </c>
      <c r="U493" s="8" t="n">
        <v>4</v>
      </c>
      <c r="V493" s="8" t="str">
        <f aca="false">IF(A493="","",IF(AND(ISNUMBER(T493),ISNUMBER(U493)),IF(AND(T493&lt;=3,U493&lt;=3),"○","×"),""))</f>
        <v>×</v>
      </c>
      <c r="W493" s="8" t="n">
        <v>120</v>
      </c>
      <c r="X493" s="8"/>
      <c r="Y493" s="4" t="s">
        <v>7597</v>
      </c>
      <c r="Z493" s="4" t="s">
        <v>4475</v>
      </c>
      <c r="AA493" s="8" t="str">
        <v/>
      </c>
      <c r="AB493" s="8" t="str">
        <v/>
      </c>
      <c r="AC493" s="8" t="str">
        <v/>
      </c>
      <c r="AD493" s="8" t="str">
        <v/>
      </c>
      <c r="AE493" s="8" t="str">
        <v/>
      </c>
      <c r="AF493" s="8" t="str">
        <v/>
      </c>
      <c r="AG493" s="8" t="str">
        <v/>
      </c>
      <c r="AH493" s="8" t="str">
        <v/>
      </c>
      <c r="AI493" s="8" t="n">
        <v>7</v>
      </c>
      <c r="AJ493" s="8" t="str">
        <v>～59</v>
      </c>
      <c r="AK493" s="8" t="str">
        <v>5～9</v>
      </c>
      <c r="AL493" s="8" t="str">
        <v>0～9</v>
      </c>
      <c r="AM493" s="8" t="str">
        <v>～99</v>
      </c>
      <c r="AN493" s="8" t="str">
        <v>12～14</v>
      </c>
      <c r="AO493" s="8" t="str">
        <f aca="false">IF(A493="","",IF(COUNTIFS(全馬データ!$A$2:$A$50000,A493,全馬データ!$B$2:$B$50000,B493,全馬データ!$C$2:$C$50000,C493,全馬データ!$D$2:$D$50000,E493,全馬データ!$K$2:$K$50000,"&lt;&gt;")=0,"",SUMIFS(全馬データ!$K$2:$K$50000,全馬データ!$A$2:$A$50000,A493,全馬データ!$B$2:$B$50000,B493,全馬データ!$C$2:$C$50000,C493,全馬データ!$D$2:$D$50000,E493)))</f>
        <v/>
      </c>
      <c r="AP493" s="8" t="str">
        <f aca="false">IF(A493="","",IF(AO493="","欠損",IF(AO493&lt;=1.1,"1.0～1.1",IF(AO493&lt;1.3,"1.2",IF(AO493&lt;1.5,"1.3～1.4",IF(AO493&lt;2,"1.5～1.9","2.0以上"))))))</f>
        <v>欠損</v>
      </c>
      <c r="AQ493" s="8" t="str">
        <f aca="false">IF(A493="","",IF(ISNUMBER(SEARCH("2歳",Z493)),"2歳戦",IF(ISNUMBER(SEARCH("3歳未勝利",Z493)),"3歳未勝利",IF(ISNUMBER(SEARCH("未勝利",Z493)),"その他未勝利",IF(ISNUMBER(SEARCH("G1",Z493)),"G1",IF(ISNUMBER(SEARCH("G2",Z493)),"G2",IF(ISNUMBER(SEARCH("G3",Z493)),"G3",IF(ISNUMBER(SEARCH("古馬条件",Z493)),"古馬条件戦",IF(ISNUMBER(SEARCH("重賞",Z493)),"重賞","分類不能")))))))))</f>
        <v>分類不能</v>
      </c>
      <c r="AR493" s="8"/>
      <c r="AS493" s="8" t="s">
        <v>7626</v>
      </c>
      <c r="AT493" s="8" t="s">
        <v>7627</v>
      </c>
      <c r="AU493" s="8" t="s">
        <v>7628</v>
      </c>
      <c r="AV493" s="8" t="s">
        <v>7629</v>
      </c>
      <c r="AW493" s="8"/>
      <c r="AX493" s="8"/>
      <c r="AY493" s="8" t="s">
        <v>7610</v>
      </c>
      <c r="AZ493" s="4" t="s">
        <v>7617</v>
      </c>
      <c r="BA493" s="8" t="n">
        <v>1000</v>
      </c>
      <c r="BB493" s="8" t="s">
        <v>7659</v>
      </c>
      <c r="BC493" s="4" t="s">
        <v>7619</v>
      </c>
      <c r="BD493" s="8" t="s">
        <v>7605</v>
      </c>
      <c r="BE493" s="4" t="s">
        <v>7606</v>
      </c>
      <c r="BF493" s="8" t="s">
        <v>7607</v>
      </c>
      <c r="BG493" s="8" t="s">
        <v>7631</v>
      </c>
      <c r="BH493" s="4" t="s">
        <v>7632</v>
      </c>
      <c r="BI493" s="8" t="n">
        <v>12</v>
      </c>
      <c r="BJ493" s="8" t="s">
        <v>7602</v>
      </c>
      <c r="BK493" s="4" t="s">
        <v>7653</v>
      </c>
      <c r="BL493" s="8" t="s">
        <v>7602</v>
      </c>
      <c r="BM493" s="4" t="s">
        <v>7620</v>
      </c>
      <c r="BN493" s="8"/>
      <c r="BO493" s="8"/>
      <c r="BP493" s="8" t="s">
        <v>7608</v>
      </c>
      <c r="BQ493" s="8" t="str">
        <f aca="false">IF(A493="","",AT493)</f>
        <v>3歳以上</v>
      </c>
      <c r="BR493" s="8" t="str">
        <f aca="false">IF(A493="","",IF(BA493&lt;=1200,"～1200",IF(BA493&lt;=1500,"1300～1500",IF(BA493=1600,"1600",IF(BA493&lt;=1800,"1700～1800",IF(BA493&lt;=2000,"1900～2000","2100以上"))))))</f>
        <v>～1200</v>
      </c>
      <c r="BS493" s="8" t="str">
        <f aca="false">IF(A493="","",IF(AX493="G1","G1",IF(AX493="G2","G2",IF(AX493="G3","G3",IF(AX493="L","L","その他")))))</f>
        <v>その他</v>
      </c>
      <c r="BT493" s="8" t="str">
        <f aca="false">IF(A493="","",IF(BI493="","未結合",IF(D493=BI493,"一致","不一致")))</f>
        <v>一致</v>
      </c>
      <c r="BU493" s="8" t="str">
        <f aca="false">IF(A493="","",IF(BE493="牝馬限定","牝馬限定","その他"))</f>
        <v>その他</v>
      </c>
    </row>
    <row r="494" customFormat="false" ht="15.75" hidden="false" customHeight="false" outlineLevel="0" collapsed="false">
      <c r="A494" s="6" t="n">
        <v>46186</v>
      </c>
      <c r="B494" s="4" t="s">
        <v>1237</v>
      </c>
      <c r="C494" s="8" t="n">
        <v>9</v>
      </c>
      <c r="D494" s="8" t="n">
        <v>11</v>
      </c>
      <c r="E494" s="8" t="n">
        <v>10</v>
      </c>
      <c r="F494" s="4" t="s">
        <v>3538</v>
      </c>
      <c r="G494" s="8" t="n">
        <v>62</v>
      </c>
      <c r="H494" s="8" t="n">
        <v>2</v>
      </c>
      <c r="I494" s="4" t="s">
        <v>4443</v>
      </c>
      <c r="J494" s="8" t="n">
        <v>56</v>
      </c>
      <c r="K494" s="8" t="n">
        <v>5</v>
      </c>
      <c r="L494" s="4" t="s">
        <v>1954</v>
      </c>
      <c r="M494" s="8" t="n">
        <v>31</v>
      </c>
      <c r="N494" s="8" t="n">
        <f aca="false">IF(A494="","",G494-J494)</f>
        <v>6</v>
      </c>
      <c r="O494" s="8" t="n">
        <f aca="false">IF(A494="","",J494-M494)</f>
        <v>25</v>
      </c>
      <c r="P494" s="8" t="n">
        <f aca="false">IF(A494="","",G494+J494)</f>
        <v>118</v>
      </c>
      <c r="Q494" s="8" t="str">
        <f aca="false">IF(A494="","",IF(AND(Y494&lt;&gt;"参考",G494&gt;=ルール設定!$B$2),"○",""))</f>
        <v/>
      </c>
      <c r="R494" s="8" t="str">
        <f aca="false">IF(A494="","",IF(AND(Y494&lt;&gt;"参考",G494&gt;=ルール設定!$B$3,N494&gt;=ルール設定!$B$4),"○",""))</f>
        <v/>
      </c>
      <c r="S494" s="8" t="str">
        <f aca="false">IF(A494="","",IF(AND(Y494&lt;&gt;"参考",G494&gt;=ルール設定!$B$5,J494&gt;=ルール設定!$B$6,O494&gt;=ルール設定!$B$7),"○",""))</f>
        <v>○</v>
      </c>
      <c r="T494" s="8" t="n">
        <v>4</v>
      </c>
      <c r="U494" s="8" t="n">
        <v>2</v>
      </c>
      <c r="V494" s="8" t="str">
        <f aca="false">IF(A494="","",IF(AND(ISNUMBER(T494),ISNUMBER(U494)),IF(AND(T494&lt;=3,U494&lt;=3),"○","×"),""))</f>
        <v>×</v>
      </c>
      <c r="W494" s="8"/>
      <c r="X494" s="8"/>
      <c r="Y494" s="4" t="s">
        <v>7597</v>
      </c>
      <c r="Z494" s="4" t="s">
        <v>4475</v>
      </c>
      <c r="AA494" s="8" t="str">
        <v/>
      </c>
      <c r="AB494" s="8" t="str">
        <v/>
      </c>
      <c r="AC494" s="8" t="str">
        <v/>
      </c>
      <c r="AD494" s="8" t="str">
        <v/>
      </c>
      <c r="AE494" s="8" t="str">
        <v/>
      </c>
      <c r="AF494" s="8" t="str">
        <v/>
      </c>
      <c r="AG494" s="8" t="str">
        <v/>
      </c>
      <c r="AH494" s="8" t="str">
        <v/>
      </c>
      <c r="AI494" s="8" t="n">
        <v>31</v>
      </c>
      <c r="AJ494" s="8" t="str">
        <v>60～69</v>
      </c>
      <c r="AK494" s="8" t="str">
        <v>5～9</v>
      </c>
      <c r="AL494" s="8" t="str">
        <v>30～39</v>
      </c>
      <c r="AM494" s="8" t="str">
        <v>100～119</v>
      </c>
      <c r="AN494" s="8" t="str">
        <v>8～11</v>
      </c>
      <c r="AO494" s="8" t="str">
        <f aca="false">IF(A494="","",IF(COUNTIFS(全馬データ!$A$2:$A$50000,A494,全馬データ!$B$2:$B$50000,B494,全馬データ!$C$2:$C$50000,C494,全馬データ!$D$2:$D$50000,E494,全馬データ!$K$2:$K$50000,"&lt;&gt;")=0,"",SUMIFS(全馬データ!$K$2:$K$50000,全馬データ!$A$2:$A$50000,A494,全馬データ!$B$2:$B$50000,B494,全馬データ!$C$2:$C$50000,C494,全馬データ!$D$2:$D$50000,E494)))</f>
        <v/>
      </c>
      <c r="AP494" s="8" t="str">
        <f aca="false">IF(A494="","",IF(AO494="","欠損",IF(AO494&lt;=1.1,"1.0～1.1",IF(AO494&lt;1.3,"1.2",IF(AO494&lt;1.5,"1.3～1.4",IF(AO494&lt;2,"1.5～1.9","2.0以上"))))))</f>
        <v>欠損</v>
      </c>
      <c r="AQ494" s="8" t="str">
        <f aca="false">IF(A494="","",IF(ISNUMBER(SEARCH("2歳",Z494)),"2歳戦",IF(ISNUMBER(SEARCH("3歳未勝利",Z494)),"3歳未勝利",IF(ISNUMBER(SEARCH("未勝利",Z494)),"その他未勝利",IF(ISNUMBER(SEARCH("G1",Z494)),"G1",IF(ISNUMBER(SEARCH("G2",Z494)),"G2",IF(ISNUMBER(SEARCH("G3",Z494)),"G3",IF(ISNUMBER(SEARCH("古馬条件",Z494)),"古馬条件戦",IF(ISNUMBER(SEARCH("重賞",Z494)),"重賞","分類不能")))))))))</f>
        <v>分類不能</v>
      </c>
      <c r="AR494" s="4" t="s">
        <v>7826</v>
      </c>
      <c r="AS494" s="8" t="s">
        <v>7626</v>
      </c>
      <c r="AT494" s="8" t="s">
        <v>7627</v>
      </c>
      <c r="AU494" s="8" t="s">
        <v>7628</v>
      </c>
      <c r="AV494" s="8" t="s">
        <v>7629</v>
      </c>
      <c r="AW494" s="8" t="s">
        <v>7636</v>
      </c>
      <c r="AX494" s="4" t="s">
        <v>7637</v>
      </c>
      <c r="AY494" s="8" t="s">
        <v>7602</v>
      </c>
      <c r="AZ494" s="4" t="s">
        <v>7603</v>
      </c>
      <c r="BA494" s="8" t="n">
        <v>2000</v>
      </c>
      <c r="BB494" s="8" t="s">
        <v>7659</v>
      </c>
      <c r="BC494" s="4" t="s">
        <v>7619</v>
      </c>
      <c r="BD494" s="8" t="s">
        <v>7605</v>
      </c>
      <c r="BE494" s="4" t="s">
        <v>7606</v>
      </c>
      <c r="BF494" s="8" t="s">
        <v>7607</v>
      </c>
      <c r="BG494" s="8" t="s">
        <v>7631</v>
      </c>
      <c r="BH494" s="4" t="s">
        <v>7632</v>
      </c>
      <c r="BI494" s="8" t="n">
        <v>11</v>
      </c>
      <c r="BJ494" s="8" t="s">
        <v>7602</v>
      </c>
      <c r="BK494" s="4" t="s">
        <v>7653</v>
      </c>
      <c r="BL494" s="8" t="s">
        <v>7602</v>
      </c>
      <c r="BM494" s="4" t="s">
        <v>7620</v>
      </c>
      <c r="BN494" s="8" t="s">
        <v>7602</v>
      </c>
      <c r="BO494" s="8" t="s">
        <v>7613</v>
      </c>
      <c r="BP494" s="8" t="s">
        <v>7608</v>
      </c>
      <c r="BQ494" s="8" t="str">
        <f aca="false">IF(A494="","",AT494)</f>
        <v>3歳以上</v>
      </c>
      <c r="BR494" s="8" t="str">
        <f aca="false">IF(A494="","",IF(BA494&lt;=1200,"～1200",IF(BA494&lt;=1500,"1300～1500",IF(BA494=1600,"1600",IF(BA494&lt;=1800,"1700～1800",IF(BA494&lt;=2000,"1900～2000","2100以上"))))))</f>
        <v>1900～2000</v>
      </c>
      <c r="BS494" s="8" t="str">
        <f aca="false">IF(A494="","",IF(AX494="G1","G1",IF(AX494="G2","G2",IF(AX494="G3","G3",IF(AX494="L","L","その他")))))</f>
        <v>その他</v>
      </c>
      <c r="BT494" s="8" t="str">
        <f aca="false">IF(A494="","",IF(BI494="","未結合",IF(D494=BI494,"一致","不一致")))</f>
        <v>一致</v>
      </c>
      <c r="BU494" s="8" t="str">
        <f aca="false">IF(A494="","",IF(BE494="牝馬限定","牝馬限定","その他"))</f>
        <v>その他</v>
      </c>
    </row>
    <row r="495" customFormat="false" ht="15.75" hidden="false" customHeight="false" outlineLevel="0" collapsed="false">
      <c r="A495" s="6" t="n">
        <v>46186</v>
      </c>
      <c r="B495" s="4" t="s">
        <v>1237</v>
      </c>
      <c r="C495" s="8" t="n">
        <v>10</v>
      </c>
      <c r="D495" s="8" t="n">
        <v>16</v>
      </c>
      <c r="E495" s="8" t="n">
        <v>3</v>
      </c>
      <c r="F495" s="4" t="s">
        <v>1824</v>
      </c>
      <c r="G495" s="8" t="n">
        <v>44</v>
      </c>
      <c r="H495" s="8" t="n">
        <v>15</v>
      </c>
      <c r="I495" s="4" t="s">
        <v>1830</v>
      </c>
      <c r="J495" s="8" t="n">
        <v>41</v>
      </c>
      <c r="K495" s="8" t="n">
        <v>8</v>
      </c>
      <c r="L495" s="4" t="s">
        <v>2644</v>
      </c>
      <c r="M495" s="8" t="n">
        <v>37</v>
      </c>
      <c r="N495" s="8" t="n">
        <f aca="false">IF(A495="","",G495-J495)</f>
        <v>3</v>
      </c>
      <c r="O495" s="8" t="n">
        <f aca="false">IF(A495="","",J495-M495)</f>
        <v>4</v>
      </c>
      <c r="P495" s="8" t="n">
        <f aca="false">IF(A495="","",G495+J495)</f>
        <v>85</v>
      </c>
      <c r="Q495" s="8" t="str">
        <f aca="false">IF(A495="","",IF(AND(Y495&lt;&gt;"参考",G495&gt;=ルール設定!$B$2),"○",""))</f>
        <v/>
      </c>
      <c r="R495" s="8" t="str">
        <f aca="false">IF(A495="","",IF(AND(Y495&lt;&gt;"参考",G495&gt;=ルール設定!$B$3,N495&gt;=ルール設定!$B$4),"○",""))</f>
        <v/>
      </c>
      <c r="S495" s="8" t="str">
        <f aca="false">IF(A495="","",IF(AND(Y495&lt;&gt;"参考",G495&gt;=ルール設定!$B$5,J495&gt;=ルール設定!$B$6,O495&gt;=ルール設定!$B$7),"○",""))</f>
        <v/>
      </c>
      <c r="T495" s="8" t="n">
        <v>4</v>
      </c>
      <c r="U495" s="8" t="n">
        <v>3</v>
      </c>
      <c r="V495" s="8" t="str">
        <f aca="false">IF(A495="","",IF(AND(ISNUMBER(T495),ISNUMBER(U495)),IF(AND(T495&lt;=3,U495&lt;=3),"○","×"),""))</f>
        <v>×</v>
      </c>
      <c r="W495" s="8"/>
      <c r="X495" s="8"/>
      <c r="Y495" s="4" t="s">
        <v>7597</v>
      </c>
      <c r="Z495" s="4" t="s">
        <v>4475</v>
      </c>
      <c r="AA495" s="8" t="str">
        <v/>
      </c>
      <c r="AB495" s="8" t="str">
        <v/>
      </c>
      <c r="AC495" s="8" t="str">
        <v/>
      </c>
      <c r="AD495" s="8" t="str">
        <v/>
      </c>
      <c r="AE495" s="8" t="str">
        <v/>
      </c>
      <c r="AF495" s="8" t="str">
        <v/>
      </c>
      <c r="AG495" s="8" t="str">
        <v/>
      </c>
      <c r="AH495" s="8" t="str">
        <v/>
      </c>
      <c r="AI495" s="8" t="n">
        <v>7</v>
      </c>
      <c r="AJ495" s="8" t="str">
        <v>～59</v>
      </c>
      <c r="AK495" s="8" t="str">
        <v>0～4</v>
      </c>
      <c r="AL495" s="8" t="str">
        <v>0～9</v>
      </c>
      <c r="AM495" s="8" t="str">
        <v>～99</v>
      </c>
      <c r="AN495" s="8" t="str">
        <v>15以上</v>
      </c>
      <c r="AO495" s="8" t="str">
        <f aca="false">IF(A495="","",IF(COUNTIFS(全馬データ!$A$2:$A$50000,A495,全馬データ!$B$2:$B$50000,B495,全馬データ!$C$2:$C$50000,C495,全馬データ!$D$2:$D$50000,E495,全馬データ!$K$2:$K$50000,"&lt;&gt;")=0,"",SUMIFS(全馬データ!$K$2:$K$50000,全馬データ!$A$2:$A$50000,A495,全馬データ!$B$2:$B$50000,B495,全馬データ!$C$2:$C$50000,C495,全馬データ!$D$2:$D$50000,E495)))</f>
        <v/>
      </c>
      <c r="AP495" s="8" t="str">
        <f aca="false">IF(A495="","",IF(AO495="","欠損",IF(AO495&lt;=1.1,"1.0～1.1",IF(AO495&lt;1.3,"1.2",IF(AO495&lt;1.5,"1.3～1.4",IF(AO495&lt;2,"1.5～1.9","2.0以上"))))))</f>
        <v>欠損</v>
      </c>
      <c r="AQ495" s="8" t="str">
        <f aca="false">IF(A495="","",IF(ISNUMBER(SEARCH("2歳",Z495)),"2歳戦",IF(ISNUMBER(SEARCH("3歳未勝利",Z495)),"3歳未勝利",IF(ISNUMBER(SEARCH("未勝利",Z495)),"その他未勝利",IF(ISNUMBER(SEARCH("G1",Z495)),"G1",IF(ISNUMBER(SEARCH("G2",Z495)),"G2",IF(ISNUMBER(SEARCH("G3",Z495)),"G3",IF(ISNUMBER(SEARCH("古馬条件",Z495)),"古馬条件戦",IF(ISNUMBER(SEARCH("重賞",Z495)),"重賞","分類不能")))))))))</f>
        <v>分類不能</v>
      </c>
      <c r="AR495" s="4" t="s">
        <v>7827</v>
      </c>
      <c r="AS495" s="8" t="s">
        <v>7626</v>
      </c>
      <c r="AT495" s="8" t="s">
        <v>7627</v>
      </c>
      <c r="AU495" s="8" t="s">
        <v>7634</v>
      </c>
      <c r="AV495" s="8" t="s">
        <v>7635</v>
      </c>
      <c r="AW495" s="8" t="s">
        <v>7636</v>
      </c>
      <c r="AX495" s="4" t="s">
        <v>7637</v>
      </c>
      <c r="AY495" s="8" t="s">
        <v>7602</v>
      </c>
      <c r="AZ495" s="4" t="s">
        <v>7603</v>
      </c>
      <c r="BA495" s="8" t="n">
        <v>1800</v>
      </c>
      <c r="BB495" s="8" t="s">
        <v>7659</v>
      </c>
      <c r="BC495" s="4" t="s">
        <v>7619</v>
      </c>
      <c r="BD495" s="8" t="s">
        <v>7630</v>
      </c>
      <c r="BE495" s="4" t="s">
        <v>7606</v>
      </c>
      <c r="BF495" s="8" t="s">
        <v>7607</v>
      </c>
      <c r="BG495" s="8" t="s">
        <v>7631</v>
      </c>
      <c r="BH495" s="4" t="s">
        <v>7632</v>
      </c>
      <c r="BI495" s="8" t="n">
        <v>16</v>
      </c>
      <c r="BJ495" s="8" t="s">
        <v>7602</v>
      </c>
      <c r="BK495" s="4" t="s">
        <v>7653</v>
      </c>
      <c r="BL495" s="8" t="s">
        <v>7602</v>
      </c>
      <c r="BM495" s="4" t="s">
        <v>7620</v>
      </c>
      <c r="BN495" s="8" t="s">
        <v>7602</v>
      </c>
      <c r="BO495" s="8" t="s">
        <v>7613</v>
      </c>
      <c r="BP495" s="8" t="s">
        <v>7608</v>
      </c>
      <c r="BQ495" s="8" t="str">
        <f aca="false">IF(A495="","",AT495)</f>
        <v>3歳以上</v>
      </c>
      <c r="BR495" s="8" t="str">
        <f aca="false">IF(A495="","",IF(BA495&lt;=1200,"～1200",IF(BA495&lt;=1500,"1300～1500",IF(BA495=1600,"1600",IF(BA495&lt;=1800,"1700～1800",IF(BA495&lt;=2000,"1900～2000","2100以上"))))))</f>
        <v>1700～1800</v>
      </c>
      <c r="BS495" s="8" t="str">
        <f aca="false">IF(A495="","",IF(AX495="G1","G1",IF(AX495="G2","G2",IF(AX495="G3","G3",IF(AX495="L","L","その他")))))</f>
        <v>その他</v>
      </c>
      <c r="BT495" s="8" t="str">
        <f aca="false">IF(A495="","",IF(BI495="","未結合",IF(D495=BI495,"一致","不一致")))</f>
        <v>一致</v>
      </c>
      <c r="BU495" s="8" t="str">
        <f aca="false">IF(A495="","",IF(BE495="牝馬限定","牝馬限定","その他"))</f>
        <v>その他</v>
      </c>
    </row>
    <row r="496" customFormat="false" ht="15.75" hidden="false" customHeight="false" outlineLevel="0" collapsed="false">
      <c r="A496" s="6" t="n">
        <v>46186</v>
      </c>
      <c r="B496" s="4" t="s">
        <v>1237</v>
      </c>
      <c r="C496" s="8" t="n">
        <v>11</v>
      </c>
      <c r="D496" s="8" t="n">
        <v>13</v>
      </c>
      <c r="E496" s="8" t="n">
        <v>12</v>
      </c>
      <c r="F496" s="4" t="s">
        <v>5116</v>
      </c>
      <c r="G496" s="8" t="n">
        <v>50</v>
      </c>
      <c r="H496" s="8" t="n">
        <v>11</v>
      </c>
      <c r="I496" s="4" t="s">
        <v>5115</v>
      </c>
      <c r="J496" s="8" t="n">
        <v>39</v>
      </c>
      <c r="K496" s="8" t="n">
        <v>8</v>
      </c>
      <c r="L496" s="4" t="s">
        <v>5113</v>
      </c>
      <c r="M496" s="8" t="n">
        <v>37</v>
      </c>
      <c r="N496" s="8" t="n">
        <f aca="false">IF(A496="","",G496-J496)</f>
        <v>11</v>
      </c>
      <c r="O496" s="8" t="n">
        <f aca="false">IF(A496="","",J496-M496)</f>
        <v>2</v>
      </c>
      <c r="P496" s="8" t="n">
        <f aca="false">IF(A496="","",G496+J496)</f>
        <v>89</v>
      </c>
      <c r="Q496" s="8" t="str">
        <f aca="false">IF(A496="","",IF(AND(Y496&lt;&gt;"参考",G496&gt;=ルール設定!$B$2),"○",""))</f>
        <v/>
      </c>
      <c r="R496" s="8" t="str">
        <f aca="false">IF(A496="","",IF(AND(Y496&lt;&gt;"参考",G496&gt;=ルール設定!$B$3,N496&gt;=ルール設定!$B$4),"○",""))</f>
        <v/>
      </c>
      <c r="S496" s="8" t="str">
        <f aca="false">IF(A496="","",IF(AND(Y496&lt;&gt;"参考",G496&gt;=ルール設定!$B$5,J496&gt;=ルール設定!$B$6,O496&gt;=ルール設定!$B$7),"○",""))</f>
        <v/>
      </c>
      <c r="T496" s="8" t="n">
        <v>4</v>
      </c>
      <c r="U496" s="8" t="n">
        <v>4</v>
      </c>
      <c r="V496" s="8" t="str">
        <f aca="false">IF(A496="","",IF(AND(ISNUMBER(T496),ISNUMBER(U496)),IF(AND(T496&lt;=3,U496&lt;=3),"○","×"),""))</f>
        <v>×</v>
      </c>
      <c r="W496" s="8"/>
      <c r="X496" s="8"/>
      <c r="Y496" s="4" t="s">
        <v>7597</v>
      </c>
      <c r="Z496" s="4" t="s">
        <v>4475</v>
      </c>
      <c r="AA496" s="8" t="str">
        <v/>
      </c>
      <c r="AB496" s="8" t="str">
        <v/>
      </c>
      <c r="AC496" s="8" t="str">
        <v/>
      </c>
      <c r="AD496" s="8" t="str">
        <v/>
      </c>
      <c r="AE496" s="8" t="str">
        <v/>
      </c>
      <c r="AF496" s="8" t="str">
        <v/>
      </c>
      <c r="AG496" s="8" t="str">
        <v/>
      </c>
      <c r="AH496" s="8" t="str">
        <v/>
      </c>
      <c r="AI496" s="8" t="n">
        <v>13</v>
      </c>
      <c r="AJ496" s="8" t="str">
        <v>～59</v>
      </c>
      <c r="AK496" s="8" t="str">
        <v>10～19</v>
      </c>
      <c r="AL496" s="8" t="str">
        <v>10～19</v>
      </c>
      <c r="AM496" s="8" t="str">
        <v>～99</v>
      </c>
      <c r="AN496" s="8" t="str">
        <v>12～14</v>
      </c>
      <c r="AO496" s="8" t="str">
        <f aca="false">IF(A496="","",IF(COUNTIFS(全馬データ!$A$2:$A$50000,A496,全馬データ!$B$2:$B$50000,B496,全馬データ!$C$2:$C$50000,C496,全馬データ!$D$2:$D$50000,E496,全馬データ!$K$2:$K$50000,"&lt;&gt;")=0,"",SUMIFS(全馬データ!$K$2:$K$50000,全馬データ!$A$2:$A$50000,A496,全馬データ!$B$2:$B$50000,B496,全馬データ!$C$2:$C$50000,C496,全馬データ!$D$2:$D$50000,E496)))</f>
        <v/>
      </c>
      <c r="AP496" s="8" t="str">
        <f aca="false">IF(A496="","",IF(AO496="","欠損",IF(AO496&lt;=1.1,"1.0～1.1",IF(AO496&lt;1.3,"1.2",IF(AO496&lt;1.5,"1.3～1.4",IF(AO496&lt;2,"1.5～1.9","2.0以上"))))))</f>
        <v>欠損</v>
      </c>
      <c r="AQ496" s="8" t="str">
        <f aca="false">IF(A496="","",IF(ISNUMBER(SEARCH("2歳",Z496)),"2歳戦",IF(ISNUMBER(SEARCH("3歳未勝利",Z496)),"3歳未勝利",IF(ISNUMBER(SEARCH("未勝利",Z496)),"その他未勝利",IF(ISNUMBER(SEARCH("G1",Z496)),"G1",IF(ISNUMBER(SEARCH("G2",Z496)),"G2",IF(ISNUMBER(SEARCH("G3",Z496)),"G3",IF(ISNUMBER(SEARCH("古馬条件",Z496)),"古馬条件戦",IF(ISNUMBER(SEARCH("重賞",Z496)),"重賞","分類不能")))))))))</f>
        <v>分類不能</v>
      </c>
      <c r="AR496" s="4" t="s">
        <v>7828</v>
      </c>
      <c r="AS496" s="8" t="s">
        <v>7626</v>
      </c>
      <c r="AT496" s="8" t="s">
        <v>7627</v>
      </c>
      <c r="AU496" s="8" t="s">
        <v>7643</v>
      </c>
      <c r="AV496" s="4" t="s">
        <v>7644</v>
      </c>
      <c r="AW496" s="8" t="s">
        <v>7608</v>
      </c>
      <c r="AX496" s="8" t="s">
        <v>7664</v>
      </c>
      <c r="AY496" s="8" t="s">
        <v>7602</v>
      </c>
      <c r="AZ496" s="4" t="s">
        <v>7603</v>
      </c>
      <c r="BA496" s="8" t="n">
        <v>1200</v>
      </c>
      <c r="BB496" s="8" t="s">
        <v>7659</v>
      </c>
      <c r="BC496" s="4" t="s">
        <v>7619</v>
      </c>
      <c r="BD496" s="8" t="s">
        <v>7666</v>
      </c>
      <c r="BE496" s="4" t="s">
        <v>7606</v>
      </c>
      <c r="BF496" s="8" t="s">
        <v>7607</v>
      </c>
      <c r="BG496" s="8" t="s">
        <v>7610</v>
      </c>
      <c r="BH496" s="4" t="s">
        <v>7646</v>
      </c>
      <c r="BI496" s="8" t="n">
        <v>13</v>
      </c>
      <c r="BJ496" s="8" t="s">
        <v>7602</v>
      </c>
      <c r="BK496" s="4" t="s">
        <v>7653</v>
      </c>
      <c r="BL496" s="8" t="s">
        <v>7602</v>
      </c>
      <c r="BM496" s="4" t="s">
        <v>7620</v>
      </c>
      <c r="BN496" s="8" t="s">
        <v>7602</v>
      </c>
      <c r="BO496" s="8" t="s">
        <v>7613</v>
      </c>
      <c r="BP496" s="8" t="s">
        <v>7608</v>
      </c>
      <c r="BQ496" s="8" t="str">
        <f aca="false">IF(A496="","",AT496)</f>
        <v>3歳以上</v>
      </c>
      <c r="BR496" s="8" t="str">
        <f aca="false">IF(A496="","",IF(BA496&lt;=1200,"～1200",IF(BA496&lt;=1500,"1300～1500",IF(BA496=1600,"1600",IF(BA496&lt;=1800,"1700～1800",IF(BA496&lt;=2000,"1900～2000","2100以上"))))))</f>
        <v>～1200</v>
      </c>
      <c r="BS496" s="8" t="str">
        <f aca="false">IF(A496="","",IF(AX496="G1","G1",IF(AX496="G2","G2",IF(AX496="G3","G3",IF(AX496="L","L","その他")))))</f>
        <v>G3</v>
      </c>
      <c r="BT496" s="8" t="str">
        <f aca="false">IF(A496="","",IF(BI496="","未結合",IF(D496=BI496,"一致","不一致")))</f>
        <v>一致</v>
      </c>
      <c r="BU496" s="8" t="str">
        <f aca="false">IF(A496="","",IF(BE496="牝馬限定","牝馬限定","その他"))</f>
        <v>その他</v>
      </c>
    </row>
    <row r="497" customFormat="false" ht="15.75" hidden="false" customHeight="false" outlineLevel="0" collapsed="false">
      <c r="A497" s="6" t="n">
        <v>46186</v>
      </c>
      <c r="B497" s="4" t="s">
        <v>1237</v>
      </c>
      <c r="C497" s="8" t="n">
        <v>12</v>
      </c>
      <c r="D497" s="8" t="n">
        <v>12</v>
      </c>
      <c r="E497" s="8" t="n">
        <v>2</v>
      </c>
      <c r="F497" s="4" t="s">
        <v>3289</v>
      </c>
      <c r="G497" s="8" t="n">
        <v>39</v>
      </c>
      <c r="H497" s="8" t="n">
        <v>6</v>
      </c>
      <c r="I497" s="4" t="s">
        <v>5120</v>
      </c>
      <c r="J497" s="8" t="n">
        <v>29</v>
      </c>
      <c r="K497" s="8" t="n">
        <v>12</v>
      </c>
      <c r="L497" s="4" t="s">
        <v>2989</v>
      </c>
      <c r="M497" s="8" t="n">
        <v>29</v>
      </c>
      <c r="N497" s="8" t="n">
        <f aca="false">IF(A497="","",G497-J497)</f>
        <v>10</v>
      </c>
      <c r="O497" s="8" t="n">
        <f aca="false">IF(A497="","",J497-M497)</f>
        <v>0</v>
      </c>
      <c r="P497" s="8" t="n">
        <f aca="false">IF(A497="","",G497+J497)</f>
        <v>68</v>
      </c>
      <c r="Q497" s="8" t="str">
        <f aca="false">IF(A497="","",IF(AND(Y497&lt;&gt;"参考",G497&gt;=ルール設定!$B$2),"○",""))</f>
        <v/>
      </c>
      <c r="R497" s="8" t="str">
        <f aca="false">IF(A497="","",IF(AND(Y497&lt;&gt;"参考",G497&gt;=ルール設定!$B$3,N497&gt;=ルール設定!$B$4),"○",""))</f>
        <v/>
      </c>
      <c r="S497" s="8" t="str">
        <f aca="false">IF(A497="","",IF(AND(Y497&lt;&gt;"参考",G497&gt;=ルール設定!$B$5,J497&gt;=ルール設定!$B$6,O497&gt;=ルール設定!$B$7),"○",""))</f>
        <v/>
      </c>
      <c r="T497" s="8" t="n">
        <v>2</v>
      </c>
      <c r="U497" s="8" t="n">
        <v>4</v>
      </c>
      <c r="V497" s="8" t="str">
        <f aca="false">IF(A497="","",IF(AND(ISNUMBER(T497),ISNUMBER(U497)),IF(AND(T497&lt;=3,U497&lt;=3),"○","×"),""))</f>
        <v>×</v>
      </c>
      <c r="W497" s="8" t="n">
        <v>260</v>
      </c>
      <c r="X497" s="8"/>
      <c r="Y497" s="4" t="s">
        <v>7597</v>
      </c>
      <c r="Z497" s="4" t="s">
        <v>4475</v>
      </c>
      <c r="AA497" s="8" t="str">
        <v/>
      </c>
      <c r="AB497" s="8" t="str">
        <v/>
      </c>
      <c r="AC497" s="8" t="str">
        <v/>
      </c>
      <c r="AD497" s="8" t="str">
        <v/>
      </c>
      <c r="AE497" s="8" t="str">
        <v/>
      </c>
      <c r="AF497" s="8" t="str">
        <v/>
      </c>
      <c r="AG497" s="8" t="str">
        <v/>
      </c>
      <c r="AH497" s="8" t="str">
        <v/>
      </c>
      <c r="AI497" s="8" t="n">
        <v>10</v>
      </c>
      <c r="AJ497" s="8" t="str">
        <v>～59</v>
      </c>
      <c r="AK497" s="8" t="str">
        <v>10～19</v>
      </c>
      <c r="AL497" s="8" t="str">
        <v>10～19</v>
      </c>
      <c r="AM497" s="8" t="str">
        <v>～99</v>
      </c>
      <c r="AN497" s="8" t="str">
        <v>12～14</v>
      </c>
      <c r="AO497" s="8" t="str">
        <f aca="false">IF(A497="","",IF(COUNTIFS(全馬データ!$A$2:$A$50000,A497,全馬データ!$B$2:$B$50000,B497,全馬データ!$C$2:$C$50000,C497,全馬データ!$D$2:$D$50000,E497,全馬データ!$K$2:$K$50000,"&lt;&gt;")=0,"",SUMIFS(全馬データ!$K$2:$K$50000,全馬データ!$A$2:$A$50000,A497,全馬データ!$B$2:$B$50000,B497,全馬データ!$C$2:$C$50000,C497,全馬データ!$D$2:$D$50000,E497)))</f>
        <v/>
      </c>
      <c r="AP497" s="8" t="str">
        <f aca="false">IF(A497="","",IF(AO497="","欠損",IF(AO497&lt;=1.1,"1.0～1.1",IF(AO497&lt;1.3,"1.2",IF(AO497&lt;1.5,"1.3～1.4",IF(AO497&lt;2,"1.5～1.9","2.0以上"))))))</f>
        <v>欠損</v>
      </c>
      <c r="AQ497" s="8" t="str">
        <f aca="false">IF(A497="","",IF(ISNUMBER(SEARCH("2歳",Z497)),"2歳戦",IF(ISNUMBER(SEARCH("3歳未勝利",Z497)),"3歳未勝利",IF(ISNUMBER(SEARCH("未勝利",Z497)),"その他未勝利",IF(ISNUMBER(SEARCH("G1",Z497)),"G1",IF(ISNUMBER(SEARCH("G2",Z497)),"G2",IF(ISNUMBER(SEARCH("G3",Z497)),"G3",IF(ISNUMBER(SEARCH("古馬条件",Z497)),"古馬条件戦",IF(ISNUMBER(SEARCH("重賞",Z497)),"重賞","分類不能")))))))))</f>
        <v>分類不能</v>
      </c>
      <c r="AR497" s="8"/>
      <c r="AS497" s="8" t="s">
        <v>7626</v>
      </c>
      <c r="AT497" s="8" t="s">
        <v>7627</v>
      </c>
      <c r="AU497" s="8" t="s">
        <v>7628</v>
      </c>
      <c r="AV497" s="8" t="s">
        <v>7629</v>
      </c>
      <c r="AW497" s="8"/>
      <c r="AX497" s="8"/>
      <c r="AY497" s="8" t="s">
        <v>7610</v>
      </c>
      <c r="AZ497" s="4" t="s">
        <v>7617</v>
      </c>
      <c r="BA497" s="8" t="n">
        <v>1700</v>
      </c>
      <c r="BB497" s="8" t="s">
        <v>7659</v>
      </c>
      <c r="BC497" s="4" t="s">
        <v>7619</v>
      </c>
      <c r="BD497" s="8" t="s">
        <v>7625</v>
      </c>
      <c r="BE497" s="4" t="s">
        <v>7606</v>
      </c>
      <c r="BF497" s="8" t="s">
        <v>7607</v>
      </c>
      <c r="BG497" s="8" t="s">
        <v>7631</v>
      </c>
      <c r="BH497" s="4" t="s">
        <v>7632</v>
      </c>
      <c r="BI497" s="8" t="n">
        <v>12</v>
      </c>
      <c r="BJ497" s="8" t="s">
        <v>7602</v>
      </c>
      <c r="BK497" s="4" t="s">
        <v>7653</v>
      </c>
      <c r="BL497" s="8" t="s">
        <v>7602</v>
      </c>
      <c r="BM497" s="4" t="s">
        <v>7620</v>
      </c>
      <c r="BN497" s="8"/>
      <c r="BO497" s="8"/>
      <c r="BP497" s="8" t="s">
        <v>7608</v>
      </c>
      <c r="BQ497" s="8" t="str">
        <f aca="false">IF(A497="","",AT497)</f>
        <v>3歳以上</v>
      </c>
      <c r="BR497" s="8" t="str">
        <f aca="false">IF(A497="","",IF(BA497&lt;=1200,"～1200",IF(BA497&lt;=1500,"1300～1500",IF(BA497=1600,"1600",IF(BA497&lt;=1800,"1700～1800",IF(BA497&lt;=2000,"1900～2000","2100以上"))))))</f>
        <v>1700～1800</v>
      </c>
      <c r="BS497" s="8" t="str">
        <f aca="false">IF(A497="","",IF(AX497="G1","G1",IF(AX497="G2","G2",IF(AX497="G3","G3",IF(AX497="L","L","その他")))))</f>
        <v>その他</v>
      </c>
      <c r="BT497" s="8" t="str">
        <f aca="false">IF(A497="","",IF(BI497="","未結合",IF(D497=BI497,"一致","不一致")))</f>
        <v>一致</v>
      </c>
      <c r="BU497" s="8" t="str">
        <f aca="false">IF(A497="","",IF(BE497="牝馬限定","牝馬限定","その他"))</f>
        <v>その他</v>
      </c>
    </row>
    <row r="498" customFormat="false" ht="15.75" hidden="false" customHeight="false" outlineLevel="0" collapsed="false">
      <c r="A498" s="6" t="n">
        <v>46187</v>
      </c>
      <c r="B498" s="4" t="s">
        <v>4473</v>
      </c>
      <c r="C498" s="8" t="n">
        <v>1</v>
      </c>
      <c r="D498" s="8" t="n">
        <v>15</v>
      </c>
      <c r="E498" s="8" t="n">
        <v>15</v>
      </c>
      <c r="F498" s="4" t="s">
        <v>2342</v>
      </c>
      <c r="G498" s="8" t="n">
        <v>74</v>
      </c>
      <c r="H498" s="8" t="n">
        <v>5</v>
      </c>
      <c r="I498" s="4" t="s">
        <v>3736</v>
      </c>
      <c r="J498" s="8" t="n">
        <v>52</v>
      </c>
      <c r="K498" s="8" t="n">
        <v>8</v>
      </c>
      <c r="L498" s="4" t="s">
        <v>3334</v>
      </c>
      <c r="M498" s="8" t="n">
        <v>31</v>
      </c>
      <c r="N498" s="8" t="n">
        <f aca="false">IF(A498="","",G498-J498)</f>
        <v>22</v>
      </c>
      <c r="O498" s="8" t="n">
        <f aca="false">IF(A498="","",J498-M498)</f>
        <v>21</v>
      </c>
      <c r="P498" s="8" t="n">
        <f aca="false">IF(A498="","",G498+J498)</f>
        <v>126</v>
      </c>
      <c r="Q498" s="8" t="str">
        <f aca="false">IF(A498="","",IF(AND(Y498&lt;&gt;"参考",G498&gt;=ルール設定!$B$2),"○",""))</f>
        <v/>
      </c>
      <c r="R498" s="8" t="str">
        <f aca="false">IF(A498="","",IF(AND(Y498&lt;&gt;"参考",G498&gt;=ルール設定!$B$3,N498&gt;=ルール設定!$B$4),"○",""))</f>
        <v/>
      </c>
      <c r="S498" s="8" t="str">
        <f aca="false">IF(A498="","",IF(AND(Y498&lt;&gt;"参考",G498&gt;=ルール設定!$B$5,J498&gt;=ルール設定!$B$6,O498&gt;=ルール設定!$B$7),"○",""))</f>
        <v>○</v>
      </c>
      <c r="T498" s="8" t="n">
        <v>2</v>
      </c>
      <c r="U498" s="8" t="n">
        <v>4</v>
      </c>
      <c r="V498" s="8" t="str">
        <f aca="false">IF(A498="","",IF(AND(ISNUMBER(T498),ISNUMBER(U498)),IF(AND(T498&lt;=3,U498&lt;=3),"○","×"),""))</f>
        <v>×</v>
      </c>
      <c r="W498" s="8" t="n">
        <v>110</v>
      </c>
      <c r="X498" s="8"/>
      <c r="Y498" s="4" t="s">
        <v>7597</v>
      </c>
      <c r="Z498" s="4" t="s">
        <v>4475</v>
      </c>
      <c r="AA498" s="8" t="str">
        <v/>
      </c>
      <c r="AB498" s="8" t="str">
        <v/>
      </c>
      <c r="AC498" s="8" t="str">
        <v/>
      </c>
      <c r="AD498" s="8" t="str">
        <v/>
      </c>
      <c r="AE498" s="8" t="str">
        <v/>
      </c>
      <c r="AF498" s="8" t="str">
        <v/>
      </c>
      <c r="AG498" s="8" t="str">
        <v/>
      </c>
      <c r="AH498" s="8" t="str">
        <v/>
      </c>
      <c r="AI498" s="8" t="n">
        <v>43</v>
      </c>
      <c r="AJ498" s="8" t="str">
        <v>70～74</v>
      </c>
      <c r="AK498" s="8" t="str">
        <v>20～29</v>
      </c>
      <c r="AL498" s="8" t="str">
        <v>40以上</v>
      </c>
      <c r="AM498" s="8" t="str">
        <v>120～139</v>
      </c>
      <c r="AN498" s="8" t="str">
        <v>15以上</v>
      </c>
      <c r="AO498" s="8" t="str">
        <f aca="false">IF(A498="","",IF(COUNTIFS(全馬データ!$A$2:$A$50000,A498,全馬データ!$B$2:$B$50000,B498,全馬データ!$C$2:$C$50000,C498,全馬データ!$D$2:$D$50000,E498,全馬データ!$K$2:$K$50000,"&lt;&gt;")=0,"",SUMIFS(全馬データ!$K$2:$K$50000,全馬データ!$A$2:$A$50000,A498,全馬データ!$B$2:$B$50000,B498,全馬データ!$C$2:$C$50000,C498,全馬データ!$D$2:$D$50000,E498)))</f>
        <v/>
      </c>
      <c r="AP498" s="8" t="str">
        <f aca="false">IF(A498="","",IF(AO498="","欠損",IF(AO498&lt;=1.1,"1.0～1.1",IF(AO498&lt;1.3,"1.2",IF(AO498&lt;1.5,"1.3～1.4",IF(AO498&lt;2,"1.5～1.9","2.0以上"))))))</f>
        <v>欠損</v>
      </c>
      <c r="AQ498" s="8" t="str">
        <f aca="false">IF(A498="","",IF(ISNUMBER(SEARCH("2歳",Z498)),"2歳戦",IF(ISNUMBER(SEARCH("3歳未勝利",Z498)),"3歳未勝利",IF(ISNUMBER(SEARCH("未勝利",Z498)),"その他未勝利",IF(ISNUMBER(SEARCH("G1",Z498)),"G1",IF(ISNUMBER(SEARCH("G2",Z498)),"G2",IF(ISNUMBER(SEARCH("G3",Z498)),"G3",IF(ISNUMBER(SEARCH("古馬条件",Z498)),"古馬条件戦",IF(ISNUMBER(SEARCH("重賞",Z498)),"重賞","分類不能")))))))))</f>
        <v>分類不能</v>
      </c>
      <c r="AR498" s="8"/>
      <c r="AS498" s="8" t="s">
        <v>7623</v>
      </c>
      <c r="AT498" s="8" t="s">
        <v>7624</v>
      </c>
      <c r="AU498" s="8" t="s">
        <v>7600</v>
      </c>
      <c r="AV498" s="4" t="s">
        <v>7601</v>
      </c>
      <c r="AW498" s="8"/>
      <c r="AX498" s="8"/>
      <c r="AY498" s="8" t="s">
        <v>7610</v>
      </c>
      <c r="AZ498" s="4" t="s">
        <v>7617</v>
      </c>
      <c r="BA498" s="8" t="n">
        <v>1300</v>
      </c>
      <c r="BB498" s="8" t="s">
        <v>7659</v>
      </c>
      <c r="BC498" s="4" t="s">
        <v>7619</v>
      </c>
      <c r="BD498" s="8" t="s">
        <v>7625</v>
      </c>
      <c r="BE498" s="4" t="s">
        <v>7606</v>
      </c>
      <c r="BF498" s="8" t="s">
        <v>7607</v>
      </c>
      <c r="BG498" s="8" t="s">
        <v>7608</v>
      </c>
      <c r="BH498" s="4" t="s">
        <v>7609</v>
      </c>
      <c r="BI498" s="8" t="n">
        <v>15</v>
      </c>
      <c r="BJ498" s="8" t="s">
        <v>7610</v>
      </c>
      <c r="BK498" s="4" t="s">
        <v>7611</v>
      </c>
      <c r="BL498" s="8" t="s">
        <v>7602</v>
      </c>
      <c r="BM498" s="4" t="s">
        <v>7620</v>
      </c>
      <c r="BN498" s="8"/>
      <c r="BO498" s="8"/>
      <c r="BP498" s="8" t="s">
        <v>7602</v>
      </c>
      <c r="BQ498" s="8" t="str">
        <f aca="false">IF(A498="","",AT498)</f>
        <v>3歳</v>
      </c>
      <c r="BR498" s="8" t="str">
        <f aca="false">IF(A498="","",IF(BA498&lt;=1200,"～1200",IF(BA498&lt;=1500,"1300～1500",IF(BA498=1600,"1600",IF(BA498&lt;=1800,"1700～1800",IF(BA498&lt;=2000,"1900～2000","2100以上"))))))</f>
        <v>1300～1500</v>
      </c>
      <c r="BS498" s="8" t="str">
        <f aca="false">IF(A498="","",IF(AX498="G1","G1",IF(AX498="G2","G2",IF(AX498="G3","G3",IF(AX498="L","L","その他")))))</f>
        <v>その他</v>
      </c>
      <c r="BT498" s="8" t="str">
        <f aca="false">IF(A498="","",IF(BI498="","未結合",IF(D498=BI498,"一致","不一致")))</f>
        <v>一致</v>
      </c>
      <c r="BU498" s="8" t="str">
        <f aca="false">IF(A498="","",IF(BE498="牝馬限定","牝馬限定","その他"))</f>
        <v>その他</v>
      </c>
    </row>
    <row r="499" customFormat="false" ht="15.75" hidden="false" customHeight="false" outlineLevel="0" collapsed="false">
      <c r="A499" s="6" t="n">
        <v>46187</v>
      </c>
      <c r="B499" s="4" t="s">
        <v>4473</v>
      </c>
      <c r="C499" s="8" t="n">
        <v>2</v>
      </c>
      <c r="D499" s="8" t="n">
        <v>16</v>
      </c>
      <c r="E499" s="8" t="n">
        <v>8</v>
      </c>
      <c r="F499" s="4" t="s">
        <v>5130</v>
      </c>
      <c r="G499" s="8" t="n">
        <v>81</v>
      </c>
      <c r="H499" s="8" t="n">
        <v>12</v>
      </c>
      <c r="I499" s="4" t="s">
        <v>1736</v>
      </c>
      <c r="J499" s="8" t="n">
        <v>39</v>
      </c>
      <c r="K499" s="8" t="n">
        <v>2</v>
      </c>
      <c r="L499" s="4" t="s">
        <v>2594</v>
      </c>
      <c r="M499" s="8" t="n">
        <v>35</v>
      </c>
      <c r="N499" s="8" t="n">
        <f aca="false">IF(A499="","",G499-J499)</f>
        <v>42</v>
      </c>
      <c r="O499" s="8" t="n">
        <f aca="false">IF(A499="","",J499-M499)</f>
        <v>4</v>
      </c>
      <c r="P499" s="8" t="n">
        <f aca="false">IF(A499="","",G499+J499)</f>
        <v>120</v>
      </c>
      <c r="Q499" s="8" t="str">
        <f aca="false">IF(A499="","",IF(AND(Y499&lt;&gt;"参考",G499&gt;=ルール設定!$B$2),"○",""))</f>
        <v>○</v>
      </c>
      <c r="R499" s="8" t="str">
        <f aca="false">IF(A499="","",IF(AND(Y499&lt;&gt;"参考",G499&gt;=ルール設定!$B$3,N499&gt;=ルール設定!$B$4),"○",""))</f>
        <v>○</v>
      </c>
      <c r="S499" s="8" t="str">
        <f aca="false">IF(A499="","",IF(AND(Y499&lt;&gt;"参考",G499&gt;=ルール設定!$B$5,J499&gt;=ルール設定!$B$6,O499&gt;=ルール設定!$B$7),"○",""))</f>
        <v/>
      </c>
      <c r="T499" s="8" t="n">
        <v>1</v>
      </c>
      <c r="U499" s="8" t="n">
        <v>4</v>
      </c>
      <c r="V499" s="8" t="str">
        <f aca="false">IF(A499="","",IF(AND(ISNUMBER(T499),ISNUMBER(U499)),IF(AND(T499&lt;=3,U499&lt;=3),"○","×"),""))</f>
        <v>×</v>
      </c>
      <c r="W499" s="8" t="n">
        <v>110</v>
      </c>
      <c r="X499" s="8"/>
      <c r="Y499" s="4" t="s">
        <v>7597</v>
      </c>
      <c r="Z499" s="4" t="s">
        <v>4475</v>
      </c>
      <c r="AA499" s="8" t="str">
        <v/>
      </c>
      <c r="AB499" s="8" t="str">
        <v>○</v>
      </c>
      <c r="AC499" s="8" t="str">
        <v/>
      </c>
      <c r="AD499" s="8" t="str">
        <v>○</v>
      </c>
      <c r="AE499" s="8" t="str">
        <v/>
      </c>
      <c r="AF499" s="8" t="str">
        <v/>
      </c>
      <c r="AG499" s="8" t="str">
        <v>○</v>
      </c>
      <c r="AH499" s="8" t="str">
        <v/>
      </c>
      <c r="AI499" s="8" t="n">
        <v>46</v>
      </c>
      <c r="AJ499" s="8" t="str">
        <v>80～84</v>
      </c>
      <c r="AK499" s="8" t="str">
        <v>30以上</v>
      </c>
      <c r="AL499" s="8" t="str">
        <v>40以上</v>
      </c>
      <c r="AM499" s="8" t="str">
        <v>120～139</v>
      </c>
      <c r="AN499" s="8" t="str">
        <v>15以上</v>
      </c>
      <c r="AO499" s="8" t="str">
        <f aca="false">IF(A499="","",IF(COUNTIFS(全馬データ!$A$2:$A$50000,A499,全馬データ!$B$2:$B$50000,B499,全馬データ!$C$2:$C$50000,C499,全馬データ!$D$2:$D$50000,E499,全馬データ!$K$2:$K$50000,"&lt;&gt;")=0,"",SUMIFS(全馬データ!$K$2:$K$50000,全馬データ!$A$2:$A$50000,A499,全馬データ!$B$2:$B$50000,B499,全馬データ!$C$2:$C$50000,C499,全馬データ!$D$2:$D$50000,E499)))</f>
        <v/>
      </c>
      <c r="AP499" s="8" t="str">
        <f aca="false">IF(A499="","",IF(AO499="","欠損",IF(AO499&lt;=1.1,"1.0～1.1",IF(AO499&lt;1.3,"1.2",IF(AO499&lt;1.5,"1.3～1.4",IF(AO499&lt;2,"1.5～1.9","2.0以上"))))))</f>
        <v>欠損</v>
      </c>
      <c r="AQ499" s="8" t="str">
        <f aca="false">IF(A499="","",IF(ISNUMBER(SEARCH("2歳",Z499)),"2歳戦",IF(ISNUMBER(SEARCH("3歳未勝利",Z499)),"3歳未勝利",IF(ISNUMBER(SEARCH("未勝利",Z499)),"その他未勝利",IF(ISNUMBER(SEARCH("G1",Z499)),"G1",IF(ISNUMBER(SEARCH("G2",Z499)),"G2",IF(ISNUMBER(SEARCH("G3",Z499)),"G3",IF(ISNUMBER(SEARCH("古馬条件",Z499)),"古馬条件戦",IF(ISNUMBER(SEARCH("重賞",Z499)),"重賞","分類不能")))))))))</f>
        <v>分類不能</v>
      </c>
      <c r="AR499" s="8"/>
      <c r="AS499" s="8" t="s">
        <v>7623</v>
      </c>
      <c r="AT499" s="8" t="s">
        <v>7624</v>
      </c>
      <c r="AU499" s="8" t="s">
        <v>7600</v>
      </c>
      <c r="AV499" s="4" t="s">
        <v>7601</v>
      </c>
      <c r="AW499" s="8"/>
      <c r="AX499" s="8"/>
      <c r="AY499" s="8" t="s">
        <v>7610</v>
      </c>
      <c r="AZ499" s="4" t="s">
        <v>7617</v>
      </c>
      <c r="BA499" s="8" t="n">
        <v>2100</v>
      </c>
      <c r="BB499" s="8" t="s">
        <v>7659</v>
      </c>
      <c r="BC499" s="4" t="s">
        <v>7619</v>
      </c>
      <c r="BD499" s="8" t="s">
        <v>7605</v>
      </c>
      <c r="BE499" s="4" t="s">
        <v>7606</v>
      </c>
      <c r="BF499" s="8" t="s">
        <v>7607</v>
      </c>
      <c r="BG499" s="8" t="s">
        <v>7608</v>
      </c>
      <c r="BH499" s="4" t="s">
        <v>7609</v>
      </c>
      <c r="BI499" s="8" t="n">
        <v>16</v>
      </c>
      <c r="BJ499" s="8" t="s">
        <v>7610</v>
      </c>
      <c r="BK499" s="4" t="s">
        <v>7611</v>
      </c>
      <c r="BL499" s="8" t="s">
        <v>7602</v>
      </c>
      <c r="BM499" s="4" t="s">
        <v>7620</v>
      </c>
      <c r="BN499" s="8"/>
      <c r="BO499" s="8"/>
      <c r="BP499" s="8" t="s">
        <v>7602</v>
      </c>
      <c r="BQ499" s="8" t="str">
        <f aca="false">IF(A499="","",AT499)</f>
        <v>3歳</v>
      </c>
      <c r="BR499" s="8" t="str">
        <f aca="false">IF(A499="","",IF(BA499&lt;=1200,"～1200",IF(BA499&lt;=1500,"1300～1500",IF(BA499=1600,"1600",IF(BA499&lt;=1800,"1700～1800",IF(BA499&lt;=2000,"1900～2000","2100以上"))))))</f>
        <v>2100以上</v>
      </c>
      <c r="BS499" s="8" t="str">
        <f aca="false">IF(A499="","",IF(AX499="G1","G1",IF(AX499="G2","G2",IF(AX499="G3","G3",IF(AX499="L","L","その他")))))</f>
        <v>その他</v>
      </c>
      <c r="BT499" s="8" t="str">
        <f aca="false">IF(A499="","",IF(BI499="","未結合",IF(D499=BI499,"一致","不一致")))</f>
        <v>一致</v>
      </c>
      <c r="BU499" s="8" t="str">
        <f aca="false">IF(A499="","",IF(BE499="牝馬限定","牝馬限定","その他"))</f>
        <v>その他</v>
      </c>
    </row>
    <row r="500" customFormat="false" ht="15.75" hidden="false" customHeight="false" outlineLevel="0" collapsed="false">
      <c r="A500" s="6" t="n">
        <v>46187</v>
      </c>
      <c r="B500" s="4" t="s">
        <v>4473</v>
      </c>
      <c r="C500" s="8" t="n">
        <v>3</v>
      </c>
      <c r="D500" s="8" t="n">
        <v>18</v>
      </c>
      <c r="E500" s="8" t="n">
        <v>3</v>
      </c>
      <c r="F500" s="4" t="s">
        <v>5139</v>
      </c>
      <c r="G500" s="8" t="n">
        <v>58</v>
      </c>
      <c r="H500" s="8" t="n">
        <v>9</v>
      </c>
      <c r="I500" s="4" t="s">
        <v>3813</v>
      </c>
      <c r="J500" s="8" t="n">
        <v>50</v>
      </c>
      <c r="K500" s="8" t="n">
        <v>8</v>
      </c>
      <c r="L500" s="4" t="s">
        <v>2611</v>
      </c>
      <c r="M500" s="8" t="n">
        <v>47</v>
      </c>
      <c r="N500" s="8" t="n">
        <f aca="false">IF(A500="","",G500-J500)</f>
        <v>8</v>
      </c>
      <c r="O500" s="8" t="n">
        <f aca="false">IF(A500="","",J500-M500)</f>
        <v>3</v>
      </c>
      <c r="P500" s="8" t="n">
        <f aca="false">IF(A500="","",G500+J500)</f>
        <v>108</v>
      </c>
      <c r="Q500" s="8" t="str">
        <f aca="false">IF(A500="","",IF(AND(Y500&lt;&gt;"参考",G500&gt;=ルール設定!$B$2),"○",""))</f>
        <v/>
      </c>
      <c r="R500" s="8" t="str">
        <f aca="false">IF(A500="","",IF(AND(Y500&lt;&gt;"参考",G500&gt;=ルール設定!$B$3,N500&gt;=ルール設定!$B$4),"○",""))</f>
        <v/>
      </c>
      <c r="S500" s="8" t="str">
        <f aca="false">IF(A500="","",IF(AND(Y500&lt;&gt;"参考",G500&gt;=ルール設定!$B$5,J500&gt;=ルール設定!$B$6,O500&gt;=ルール設定!$B$7),"○",""))</f>
        <v/>
      </c>
      <c r="T500" s="8" t="n">
        <v>1</v>
      </c>
      <c r="U500" s="8" t="n">
        <v>4</v>
      </c>
      <c r="V500" s="8" t="str">
        <f aca="false">IF(A500="","",IF(AND(ISNUMBER(T500),ISNUMBER(U500)),IF(AND(T500&lt;=3,U500&lt;=3),"○","×"),""))</f>
        <v>×</v>
      </c>
      <c r="W500" s="8" t="n">
        <v>160</v>
      </c>
      <c r="X500" s="8"/>
      <c r="Y500" s="4" t="s">
        <v>7597</v>
      </c>
      <c r="Z500" s="4" t="s">
        <v>4475</v>
      </c>
      <c r="AA500" s="8" t="str">
        <v/>
      </c>
      <c r="AB500" s="8" t="str">
        <v/>
      </c>
      <c r="AC500" s="8" t="str">
        <v/>
      </c>
      <c r="AD500" s="8" t="str">
        <v/>
      </c>
      <c r="AE500" s="8" t="str">
        <v/>
      </c>
      <c r="AF500" s="8" t="str">
        <v/>
      </c>
      <c r="AG500" s="8" t="str">
        <v/>
      </c>
      <c r="AH500" s="8" t="str">
        <v/>
      </c>
      <c r="AI500" s="8" t="n">
        <v>11</v>
      </c>
      <c r="AJ500" s="8" t="str">
        <v>～59</v>
      </c>
      <c r="AK500" s="8" t="str">
        <v>5～9</v>
      </c>
      <c r="AL500" s="8" t="str">
        <v>10～19</v>
      </c>
      <c r="AM500" s="8" t="str">
        <v>100～119</v>
      </c>
      <c r="AN500" s="8" t="str">
        <v>15以上</v>
      </c>
      <c r="AO500" s="8" t="str">
        <f aca="false">IF(A500="","",IF(COUNTIFS(全馬データ!$A$2:$A$50000,A500,全馬データ!$B$2:$B$50000,B500,全馬データ!$C$2:$C$50000,C500,全馬データ!$D$2:$D$50000,E500,全馬データ!$K$2:$K$50000,"&lt;&gt;")=0,"",SUMIFS(全馬データ!$K$2:$K$50000,全馬データ!$A$2:$A$50000,A500,全馬データ!$B$2:$B$50000,B500,全馬データ!$C$2:$C$50000,C500,全馬データ!$D$2:$D$50000,E500)))</f>
        <v/>
      </c>
      <c r="AP500" s="8" t="str">
        <f aca="false">IF(A500="","",IF(AO500="","欠損",IF(AO500&lt;=1.1,"1.0～1.1",IF(AO500&lt;1.3,"1.2",IF(AO500&lt;1.5,"1.3～1.4",IF(AO500&lt;2,"1.5～1.9","2.0以上"))))))</f>
        <v>欠損</v>
      </c>
      <c r="AQ500" s="8" t="str">
        <f aca="false">IF(A500="","",IF(ISNUMBER(SEARCH("2歳",Z500)),"2歳戦",IF(ISNUMBER(SEARCH("3歳未勝利",Z500)),"3歳未勝利",IF(ISNUMBER(SEARCH("未勝利",Z500)),"その他未勝利",IF(ISNUMBER(SEARCH("G1",Z500)),"G1",IF(ISNUMBER(SEARCH("G2",Z500)),"G2",IF(ISNUMBER(SEARCH("G3",Z500)),"G3",IF(ISNUMBER(SEARCH("古馬条件",Z500)),"古馬条件戦",IF(ISNUMBER(SEARCH("重賞",Z500)),"重賞","分類不能")))))))))</f>
        <v>分類不能</v>
      </c>
      <c r="AR500" s="8"/>
      <c r="AS500" s="8" t="s">
        <v>7623</v>
      </c>
      <c r="AT500" s="8" t="s">
        <v>7624</v>
      </c>
      <c r="AU500" s="8" t="s">
        <v>7600</v>
      </c>
      <c r="AV500" s="4" t="s">
        <v>7601</v>
      </c>
      <c r="AW500" s="8"/>
      <c r="AX500" s="8"/>
      <c r="AY500" s="8" t="s">
        <v>7602</v>
      </c>
      <c r="AZ500" s="4" t="s">
        <v>7603</v>
      </c>
      <c r="BA500" s="8" t="n">
        <v>1400</v>
      </c>
      <c r="BB500" s="8" t="s">
        <v>7598</v>
      </c>
      <c r="BC500" s="4" t="s">
        <v>7604</v>
      </c>
      <c r="BD500" s="8" t="s">
        <v>7605</v>
      </c>
      <c r="BE500" s="4" t="s">
        <v>7606</v>
      </c>
      <c r="BF500" s="8" t="s">
        <v>7607</v>
      </c>
      <c r="BG500" s="8" t="s">
        <v>7608</v>
      </c>
      <c r="BH500" s="4" t="s">
        <v>7609</v>
      </c>
      <c r="BI500" s="8" t="n">
        <v>18</v>
      </c>
      <c r="BJ500" s="8" t="s">
        <v>7610</v>
      </c>
      <c r="BK500" s="4" t="s">
        <v>7611</v>
      </c>
      <c r="BL500" s="8" t="s">
        <v>7602</v>
      </c>
      <c r="BM500" s="4" t="s">
        <v>7620</v>
      </c>
      <c r="BN500" s="8" t="s">
        <v>7636</v>
      </c>
      <c r="BO500" s="8" t="s">
        <v>7804</v>
      </c>
      <c r="BP500" s="8" t="s">
        <v>7602</v>
      </c>
      <c r="BQ500" s="8" t="str">
        <f aca="false">IF(A500="","",AT500)</f>
        <v>3歳</v>
      </c>
      <c r="BR500" s="8" t="str">
        <f aca="false">IF(A500="","",IF(BA500&lt;=1200,"～1200",IF(BA500&lt;=1500,"1300～1500",IF(BA500=1600,"1600",IF(BA500&lt;=1800,"1700～1800",IF(BA500&lt;=2000,"1900～2000","2100以上"))))))</f>
        <v>1300～1500</v>
      </c>
      <c r="BS500" s="8" t="str">
        <f aca="false">IF(A500="","",IF(AX500="G1","G1",IF(AX500="G2","G2",IF(AX500="G3","G3",IF(AX500="L","L","その他")))))</f>
        <v>その他</v>
      </c>
      <c r="BT500" s="8" t="str">
        <f aca="false">IF(A500="","",IF(BI500="","未結合",IF(D500=BI500,"一致","不一致")))</f>
        <v>一致</v>
      </c>
      <c r="BU500" s="8" t="str">
        <f aca="false">IF(A500="","",IF(BE500="牝馬限定","牝馬限定","その他"))</f>
        <v>その他</v>
      </c>
    </row>
    <row r="501" customFormat="false" ht="15.75" hidden="false" customHeight="false" outlineLevel="0" collapsed="false">
      <c r="A501" s="6" t="n">
        <v>46187</v>
      </c>
      <c r="B501" s="4" t="s">
        <v>4473</v>
      </c>
      <c r="C501" s="8" t="n">
        <v>4</v>
      </c>
      <c r="D501" s="8" t="n">
        <v>14</v>
      </c>
      <c r="E501" s="8" t="n">
        <v>4</v>
      </c>
      <c r="F501" s="4" t="s">
        <v>5148</v>
      </c>
      <c r="G501" s="8" t="n">
        <v>37</v>
      </c>
      <c r="H501" s="8" t="n">
        <v>12</v>
      </c>
      <c r="I501" s="4" t="s">
        <v>5155</v>
      </c>
      <c r="J501" s="8" t="n">
        <v>37</v>
      </c>
      <c r="K501" s="8" t="n">
        <v>6</v>
      </c>
      <c r="L501" s="4" t="s">
        <v>5149</v>
      </c>
      <c r="M501" s="8" t="n">
        <v>31</v>
      </c>
      <c r="N501" s="8" t="n">
        <f aca="false">IF(A501="","",G501-J501)</f>
        <v>0</v>
      </c>
      <c r="O501" s="8" t="n">
        <f aca="false">IF(A501="","",J501-M501)</f>
        <v>6</v>
      </c>
      <c r="P501" s="8" t="n">
        <f aca="false">IF(A501="","",G501+J501)</f>
        <v>74</v>
      </c>
      <c r="Q501" s="8" t="str">
        <f aca="false">IF(A501="","",IF(AND(Y501&lt;&gt;"参考",G501&gt;=ルール設定!$B$2),"○",""))</f>
        <v/>
      </c>
      <c r="R501" s="8" t="str">
        <f aca="false">IF(A501="","",IF(AND(Y501&lt;&gt;"参考",G501&gt;=ルール設定!$B$3,N501&gt;=ルール設定!$B$4),"○",""))</f>
        <v/>
      </c>
      <c r="S501" s="8" t="str">
        <f aca="false">IF(A501="","",IF(AND(Y501&lt;&gt;"参考",G501&gt;=ルール設定!$B$5,J501&gt;=ルール設定!$B$6,O501&gt;=ルール設定!$B$7),"○",""))</f>
        <v/>
      </c>
      <c r="T501" s="8" t="n">
        <v>4</v>
      </c>
      <c r="U501" s="8" t="n">
        <v>4</v>
      </c>
      <c r="V501" s="8" t="str">
        <f aca="false">IF(A501="","",IF(AND(ISNUMBER(T501),ISNUMBER(U501)),IF(AND(T501&lt;=3,U501&lt;=3),"○","×"),""))</f>
        <v>×</v>
      </c>
      <c r="W501" s="8"/>
      <c r="X501" s="8"/>
      <c r="Y501" s="4" t="s">
        <v>7597</v>
      </c>
      <c r="Z501" s="4" t="s">
        <v>4475</v>
      </c>
      <c r="AA501" s="8" t="str">
        <v/>
      </c>
      <c r="AB501" s="8" t="str">
        <v/>
      </c>
      <c r="AC501" s="8" t="str">
        <v/>
      </c>
      <c r="AD501" s="8" t="str">
        <v/>
      </c>
      <c r="AE501" s="8" t="str">
        <v/>
      </c>
      <c r="AF501" s="8" t="str">
        <v/>
      </c>
      <c r="AG501" s="8" t="str">
        <v/>
      </c>
      <c r="AH501" s="8" t="str">
        <v/>
      </c>
      <c r="AI501" s="8" t="n">
        <v>6</v>
      </c>
      <c r="AJ501" s="8" t="str">
        <v>～59</v>
      </c>
      <c r="AK501" s="8" t="str">
        <v>0～4</v>
      </c>
      <c r="AL501" s="8" t="str">
        <v>0～9</v>
      </c>
      <c r="AM501" s="8" t="str">
        <v>～99</v>
      </c>
      <c r="AN501" s="8" t="str">
        <v>12～14</v>
      </c>
      <c r="AO501" s="8" t="str">
        <f aca="false">IF(A501="","",IF(COUNTIFS(全馬データ!$A$2:$A$50000,A501,全馬データ!$B$2:$B$50000,B501,全馬データ!$C$2:$C$50000,C501,全馬データ!$D$2:$D$50000,E501,全馬データ!$K$2:$K$50000,"&lt;&gt;")=0,"",SUMIFS(全馬データ!$K$2:$K$50000,全馬データ!$A$2:$A$50000,A501,全馬データ!$B$2:$B$50000,B501,全馬データ!$C$2:$C$50000,C501,全馬データ!$D$2:$D$50000,E501)))</f>
        <v/>
      </c>
      <c r="AP501" s="8" t="str">
        <f aca="false">IF(A501="","",IF(AO501="","欠損",IF(AO501&lt;=1.1,"1.0～1.1",IF(AO501&lt;1.3,"1.2",IF(AO501&lt;1.5,"1.3～1.4",IF(AO501&lt;2,"1.5～1.9","2.0以上"))))))</f>
        <v>欠損</v>
      </c>
      <c r="AQ501" s="8" t="str">
        <f aca="false">IF(A501="","",IF(ISNUMBER(SEARCH("2歳",Z501)),"2歳戦",IF(ISNUMBER(SEARCH("3歳未勝利",Z501)),"3歳未勝利",IF(ISNUMBER(SEARCH("未勝利",Z501)),"その他未勝利",IF(ISNUMBER(SEARCH("G1",Z501)),"G1",IF(ISNUMBER(SEARCH("G2",Z501)),"G2",IF(ISNUMBER(SEARCH("G3",Z501)),"G3",IF(ISNUMBER(SEARCH("古馬条件",Z501)),"古馬条件戦",IF(ISNUMBER(SEARCH("重賞",Z501)),"重賞","分類不能")))))))))</f>
        <v>分類不能</v>
      </c>
      <c r="AR501" s="8"/>
      <c r="AS501" s="8" t="s">
        <v>7598</v>
      </c>
      <c r="AT501" s="8" t="s">
        <v>7599</v>
      </c>
      <c r="AU501" s="8" t="s">
        <v>7615</v>
      </c>
      <c r="AV501" s="4" t="s">
        <v>7616</v>
      </c>
      <c r="AW501" s="8"/>
      <c r="AX501" s="8"/>
      <c r="AY501" s="8" t="s">
        <v>7610</v>
      </c>
      <c r="AZ501" s="4" t="s">
        <v>7617</v>
      </c>
      <c r="BA501" s="8" t="n">
        <v>1400</v>
      </c>
      <c r="BB501" s="8" t="s">
        <v>7659</v>
      </c>
      <c r="BC501" s="4" t="s">
        <v>7619</v>
      </c>
      <c r="BD501" s="8" t="s">
        <v>7605</v>
      </c>
      <c r="BE501" s="4" t="s">
        <v>7606</v>
      </c>
      <c r="BF501" s="8" t="s">
        <v>7607</v>
      </c>
      <c r="BG501" s="8" t="s">
        <v>7608</v>
      </c>
      <c r="BH501" s="4" t="s">
        <v>7609</v>
      </c>
      <c r="BI501" s="8" t="n">
        <v>14</v>
      </c>
      <c r="BJ501" s="8" t="s">
        <v>7610</v>
      </c>
      <c r="BK501" s="4" t="s">
        <v>7611</v>
      </c>
      <c r="BL501" s="8" t="s">
        <v>7602</v>
      </c>
      <c r="BM501" s="4" t="s">
        <v>7620</v>
      </c>
      <c r="BN501" s="8"/>
      <c r="BO501" s="8"/>
      <c r="BP501" s="8" t="s">
        <v>7602</v>
      </c>
      <c r="BQ501" s="8" t="str">
        <f aca="false">IF(A501="","",AT501)</f>
        <v>2歳</v>
      </c>
      <c r="BR501" s="8" t="str">
        <f aca="false">IF(A501="","",IF(BA501&lt;=1200,"～1200",IF(BA501&lt;=1500,"1300～1500",IF(BA501=1600,"1600",IF(BA501&lt;=1800,"1700～1800",IF(BA501&lt;=2000,"1900～2000","2100以上"))))))</f>
        <v>1300～1500</v>
      </c>
      <c r="BS501" s="8" t="str">
        <f aca="false">IF(A501="","",IF(AX501="G1","G1",IF(AX501="G2","G2",IF(AX501="G3","G3",IF(AX501="L","L","その他")))))</f>
        <v>その他</v>
      </c>
      <c r="BT501" s="8" t="str">
        <f aca="false">IF(A501="","",IF(BI501="","未結合",IF(D501=BI501,"一致","不一致")))</f>
        <v>一致</v>
      </c>
      <c r="BU501" s="8" t="str">
        <f aca="false">IF(A501="","",IF(BE501="牝馬限定","牝馬限定","その他"))</f>
        <v>その他</v>
      </c>
    </row>
    <row r="502" customFormat="false" ht="15.75" hidden="false" customHeight="false" outlineLevel="0" collapsed="false">
      <c r="A502" s="6" t="n">
        <v>46187</v>
      </c>
      <c r="B502" s="4" t="s">
        <v>4473</v>
      </c>
      <c r="C502" s="8" t="n">
        <v>5</v>
      </c>
      <c r="D502" s="8" t="n">
        <v>8</v>
      </c>
      <c r="E502" s="8" t="n">
        <v>1</v>
      </c>
      <c r="F502" s="4" t="s">
        <v>5158</v>
      </c>
      <c r="G502" s="8" t="n">
        <v>31</v>
      </c>
      <c r="H502" s="8" t="n">
        <v>8</v>
      </c>
      <c r="I502" s="4" t="s">
        <v>5163</v>
      </c>
      <c r="J502" s="8" t="n">
        <v>31</v>
      </c>
      <c r="K502" s="8" t="n">
        <v>3</v>
      </c>
      <c r="L502" s="4" t="s">
        <v>5159</v>
      </c>
      <c r="M502" s="8" t="n">
        <v>27</v>
      </c>
      <c r="N502" s="8" t="n">
        <f aca="false">IF(A502="","",G502-J502)</f>
        <v>0</v>
      </c>
      <c r="O502" s="8" t="n">
        <f aca="false">IF(A502="","",J502-M502)</f>
        <v>4</v>
      </c>
      <c r="P502" s="8" t="n">
        <f aca="false">IF(A502="","",G502+J502)</f>
        <v>62</v>
      </c>
      <c r="Q502" s="8" t="str">
        <f aca="false">IF(A502="","",IF(AND(Y502&lt;&gt;"参考",G502&gt;=ルール設定!$B$2),"○",""))</f>
        <v/>
      </c>
      <c r="R502" s="8" t="str">
        <f aca="false">IF(A502="","",IF(AND(Y502&lt;&gt;"参考",G502&gt;=ルール設定!$B$3,N502&gt;=ルール設定!$B$4),"○",""))</f>
        <v/>
      </c>
      <c r="S502" s="8" t="str">
        <f aca="false">IF(A502="","",IF(AND(Y502&lt;&gt;"参考",G502&gt;=ルール設定!$B$5,J502&gt;=ルール設定!$B$6,O502&gt;=ルール設定!$B$7),"○",""))</f>
        <v/>
      </c>
      <c r="T502" s="8" t="n">
        <v>4</v>
      </c>
      <c r="U502" s="8" t="n">
        <v>4</v>
      </c>
      <c r="V502" s="8" t="str">
        <f aca="false">IF(A502="","",IF(AND(ISNUMBER(T502),ISNUMBER(U502)),IF(AND(T502&lt;=3,U502&lt;=3),"○","×"),""))</f>
        <v>×</v>
      </c>
      <c r="W502" s="8"/>
      <c r="X502" s="8"/>
      <c r="Y502" s="4" t="s">
        <v>7597</v>
      </c>
      <c r="Z502" s="4" t="s">
        <v>4475</v>
      </c>
      <c r="AA502" s="8" t="str">
        <v/>
      </c>
      <c r="AB502" s="8" t="str">
        <v/>
      </c>
      <c r="AC502" s="8" t="str">
        <v/>
      </c>
      <c r="AD502" s="8" t="str">
        <v/>
      </c>
      <c r="AE502" s="8" t="str">
        <v/>
      </c>
      <c r="AF502" s="8" t="str">
        <v/>
      </c>
      <c r="AG502" s="8" t="str">
        <v/>
      </c>
      <c r="AH502" s="8" t="str">
        <v/>
      </c>
      <c r="AI502" s="8" t="n">
        <v>4</v>
      </c>
      <c r="AJ502" s="8" t="str">
        <v>～59</v>
      </c>
      <c r="AK502" s="8" t="str">
        <v>0～4</v>
      </c>
      <c r="AL502" s="8" t="str">
        <v>0～9</v>
      </c>
      <c r="AM502" s="8" t="str">
        <v>～99</v>
      </c>
      <c r="AN502" s="8" t="str">
        <v>8～11</v>
      </c>
      <c r="AO502" s="8" t="str">
        <f aca="false">IF(A502="","",IF(COUNTIFS(全馬データ!$A$2:$A$50000,A502,全馬データ!$B$2:$B$50000,B502,全馬データ!$C$2:$C$50000,C502,全馬データ!$D$2:$D$50000,E502,全馬データ!$K$2:$K$50000,"&lt;&gt;")=0,"",SUMIFS(全馬データ!$K$2:$K$50000,全馬データ!$A$2:$A$50000,A502,全馬データ!$B$2:$B$50000,B502,全馬データ!$C$2:$C$50000,C502,全馬データ!$D$2:$D$50000,E502)))</f>
        <v/>
      </c>
      <c r="AP502" s="8" t="str">
        <f aca="false">IF(A502="","",IF(AO502="","欠損",IF(AO502&lt;=1.1,"1.0～1.1",IF(AO502&lt;1.3,"1.2",IF(AO502&lt;1.5,"1.3～1.4",IF(AO502&lt;2,"1.5～1.9","2.0以上"))))))</f>
        <v>欠損</v>
      </c>
      <c r="AQ502" s="8" t="str">
        <f aca="false">IF(A502="","",IF(ISNUMBER(SEARCH("2歳",Z502)),"2歳戦",IF(ISNUMBER(SEARCH("3歳未勝利",Z502)),"3歳未勝利",IF(ISNUMBER(SEARCH("未勝利",Z502)),"その他未勝利",IF(ISNUMBER(SEARCH("G1",Z502)),"G1",IF(ISNUMBER(SEARCH("G2",Z502)),"G2",IF(ISNUMBER(SEARCH("G3",Z502)),"G3",IF(ISNUMBER(SEARCH("古馬条件",Z502)),"古馬条件戦",IF(ISNUMBER(SEARCH("重賞",Z502)),"重賞","分類不能")))))))))</f>
        <v>分類不能</v>
      </c>
      <c r="AR502" s="8"/>
      <c r="AS502" s="8" t="s">
        <v>7598</v>
      </c>
      <c r="AT502" s="8" t="s">
        <v>7599</v>
      </c>
      <c r="AU502" s="8" t="s">
        <v>7615</v>
      </c>
      <c r="AV502" s="4" t="s">
        <v>7616</v>
      </c>
      <c r="AW502" s="8"/>
      <c r="AX502" s="8"/>
      <c r="AY502" s="8" t="s">
        <v>7602</v>
      </c>
      <c r="AZ502" s="4" t="s">
        <v>7603</v>
      </c>
      <c r="BA502" s="8" t="n">
        <v>1600</v>
      </c>
      <c r="BB502" s="8" t="s">
        <v>7598</v>
      </c>
      <c r="BC502" s="4" t="s">
        <v>7604</v>
      </c>
      <c r="BD502" s="8" t="s">
        <v>7625</v>
      </c>
      <c r="BE502" s="4" t="s">
        <v>7606</v>
      </c>
      <c r="BF502" s="8" t="s">
        <v>7607</v>
      </c>
      <c r="BG502" s="8" t="s">
        <v>7608</v>
      </c>
      <c r="BH502" s="4" t="s">
        <v>7609</v>
      </c>
      <c r="BI502" s="8" t="n">
        <v>8</v>
      </c>
      <c r="BJ502" s="8" t="s">
        <v>7610</v>
      </c>
      <c r="BK502" s="4" t="s">
        <v>7611</v>
      </c>
      <c r="BL502" s="8" t="s">
        <v>7602</v>
      </c>
      <c r="BM502" s="4" t="s">
        <v>7620</v>
      </c>
      <c r="BN502" s="8" t="s">
        <v>7636</v>
      </c>
      <c r="BO502" s="8" t="s">
        <v>7804</v>
      </c>
      <c r="BP502" s="8" t="s">
        <v>7602</v>
      </c>
      <c r="BQ502" s="8" t="str">
        <f aca="false">IF(A502="","",AT502)</f>
        <v>2歳</v>
      </c>
      <c r="BR502" s="8" t="str">
        <f aca="false">IF(A502="","",IF(BA502&lt;=1200,"～1200",IF(BA502&lt;=1500,"1300～1500",IF(BA502=1600,"1600",IF(BA502&lt;=1800,"1700～1800",IF(BA502&lt;=2000,"1900～2000","2100以上"))))))</f>
        <v>1600</v>
      </c>
      <c r="BS502" s="8" t="str">
        <f aca="false">IF(A502="","",IF(AX502="G1","G1",IF(AX502="G2","G2",IF(AX502="G3","G3",IF(AX502="L","L","その他")))))</f>
        <v>その他</v>
      </c>
      <c r="BT502" s="8" t="str">
        <f aca="false">IF(A502="","",IF(BI502="","未結合",IF(D502=BI502,"一致","不一致")))</f>
        <v>一致</v>
      </c>
      <c r="BU502" s="8" t="str">
        <f aca="false">IF(A502="","",IF(BE502="牝馬限定","牝馬限定","その他"))</f>
        <v>その他</v>
      </c>
    </row>
    <row r="503" customFormat="false" ht="15.75" hidden="false" customHeight="false" outlineLevel="0" collapsed="false">
      <c r="A503" s="6" t="n">
        <v>46187</v>
      </c>
      <c r="B503" s="4" t="s">
        <v>4473</v>
      </c>
      <c r="C503" s="8" t="n">
        <v>6</v>
      </c>
      <c r="D503" s="8" t="n">
        <v>16</v>
      </c>
      <c r="E503" s="8" t="n">
        <v>10</v>
      </c>
      <c r="F503" s="4" t="s">
        <v>5171</v>
      </c>
      <c r="G503" s="8" t="n">
        <v>66</v>
      </c>
      <c r="H503" s="8" t="n">
        <v>11</v>
      </c>
      <c r="I503" s="8"/>
      <c r="J503" s="8" t="n">
        <v>58</v>
      </c>
      <c r="K503" s="8" t="n">
        <v>12</v>
      </c>
      <c r="L503" s="4" t="s">
        <v>5172</v>
      </c>
      <c r="M503" s="8" t="n">
        <v>34</v>
      </c>
      <c r="N503" s="8" t="n">
        <f aca="false">IF(A503="","",G503-J503)</f>
        <v>8</v>
      </c>
      <c r="O503" s="8" t="n">
        <f aca="false">IF(A503="","",J503-M503)</f>
        <v>24</v>
      </c>
      <c r="P503" s="8" t="n">
        <f aca="false">IF(A503="","",G503+J503)</f>
        <v>124</v>
      </c>
      <c r="Q503" s="8" t="str">
        <f aca="false">IF(A503="","",IF(AND(Y503&lt;&gt;"参考",G503&gt;=ルール設定!$B$2),"○",""))</f>
        <v/>
      </c>
      <c r="R503" s="8" t="str">
        <f aca="false">IF(A503="","",IF(AND(Y503&lt;&gt;"参考",G503&gt;=ルール設定!$B$3,N503&gt;=ルール設定!$B$4),"○",""))</f>
        <v/>
      </c>
      <c r="S503" s="8" t="str">
        <f aca="false">IF(A503="","",IF(AND(Y503&lt;&gt;"参考",G503&gt;=ルール設定!$B$5,J503&gt;=ルール設定!$B$6,O503&gt;=ルール設定!$B$7),"○",""))</f>
        <v>○</v>
      </c>
      <c r="T503" s="8" t="n">
        <v>2</v>
      </c>
      <c r="U503" s="8"/>
      <c r="V503" s="8" t="str">
        <f aca="false">IF(A503="","",IF(AND(ISNUMBER(T503),ISNUMBER(U503)),IF(AND(T503&lt;=3,U503&lt;=3),"○","×"),""))</f>
        <v/>
      </c>
      <c r="W503" s="8" t="n">
        <v>120</v>
      </c>
      <c r="X503" s="8"/>
      <c r="Y503" s="4" t="s">
        <v>7597</v>
      </c>
      <c r="Z503" s="4" t="s">
        <v>4475</v>
      </c>
      <c r="AA503" s="8" t="str">
        <v/>
      </c>
      <c r="AB503" s="8" t="str">
        <v/>
      </c>
      <c r="AC503" s="8" t="str">
        <v/>
      </c>
      <c r="AD503" s="8" t="str">
        <v/>
      </c>
      <c r="AE503" s="8" t="str">
        <v/>
      </c>
      <c r="AF503" s="8" t="str">
        <v/>
      </c>
      <c r="AG503" s="8" t="str">
        <v/>
      </c>
      <c r="AH503" s="8" t="str">
        <v/>
      </c>
      <c r="AI503" s="8" t="n">
        <v>32</v>
      </c>
      <c r="AJ503" s="8" t="str">
        <v>60～69</v>
      </c>
      <c r="AK503" s="8" t="str">
        <v>5～9</v>
      </c>
      <c r="AL503" s="8" t="str">
        <v>30～39</v>
      </c>
      <c r="AM503" s="8" t="str">
        <v>120～139</v>
      </c>
      <c r="AN503" s="8" t="str">
        <v>15以上</v>
      </c>
      <c r="AO503" s="8" t="str">
        <f aca="false">IF(A503="","",IF(COUNTIFS(全馬データ!$A$2:$A$50000,A503,全馬データ!$B$2:$B$50000,B503,全馬データ!$C$2:$C$50000,C503,全馬データ!$D$2:$D$50000,E503,全馬データ!$K$2:$K$50000,"&lt;&gt;")=0,"",SUMIFS(全馬データ!$K$2:$K$50000,全馬データ!$A$2:$A$50000,A503,全馬データ!$B$2:$B$50000,B503,全馬データ!$C$2:$C$50000,C503,全馬データ!$D$2:$D$50000,E503)))</f>
        <v/>
      </c>
      <c r="AP503" s="8" t="str">
        <f aca="false">IF(A503="","",IF(AO503="","欠損",IF(AO503&lt;=1.1,"1.0～1.1",IF(AO503&lt;1.3,"1.2",IF(AO503&lt;1.5,"1.3～1.4",IF(AO503&lt;2,"1.5～1.9","2.0以上"))))))</f>
        <v>欠損</v>
      </c>
      <c r="AQ503" s="8" t="str">
        <f aca="false">IF(A503="","",IF(ISNUMBER(SEARCH("2歳",Z503)),"2歳戦",IF(ISNUMBER(SEARCH("3歳未勝利",Z503)),"3歳未勝利",IF(ISNUMBER(SEARCH("未勝利",Z503)),"その他未勝利",IF(ISNUMBER(SEARCH("G1",Z503)),"G1",IF(ISNUMBER(SEARCH("G2",Z503)),"G2",IF(ISNUMBER(SEARCH("G3",Z503)),"G3",IF(ISNUMBER(SEARCH("古馬条件",Z503)),"古馬条件戦",IF(ISNUMBER(SEARCH("重賞",Z503)),"重賞","分類不能")))))))))</f>
        <v>分類不能</v>
      </c>
      <c r="AR503" s="8"/>
      <c r="AS503" s="8" t="s">
        <v>7626</v>
      </c>
      <c r="AT503" s="8" t="s">
        <v>7627</v>
      </c>
      <c r="AU503" s="8" t="s">
        <v>7628</v>
      </c>
      <c r="AV503" s="8" t="s">
        <v>7629</v>
      </c>
      <c r="AW503" s="8"/>
      <c r="AX503" s="8"/>
      <c r="AY503" s="8" t="s">
        <v>7610</v>
      </c>
      <c r="AZ503" s="4" t="s">
        <v>7617</v>
      </c>
      <c r="BA503" s="8" t="n">
        <v>2100</v>
      </c>
      <c r="BB503" s="8" t="s">
        <v>7659</v>
      </c>
      <c r="BC503" s="4" t="s">
        <v>7619</v>
      </c>
      <c r="BD503" s="8" t="s">
        <v>7605</v>
      </c>
      <c r="BE503" s="4" t="s">
        <v>7606</v>
      </c>
      <c r="BF503" s="8" t="s">
        <v>7607</v>
      </c>
      <c r="BG503" s="8" t="s">
        <v>7631</v>
      </c>
      <c r="BH503" s="4" t="s">
        <v>7632</v>
      </c>
      <c r="BI503" s="8" t="n">
        <v>16</v>
      </c>
      <c r="BJ503" s="8" t="s">
        <v>7610</v>
      </c>
      <c r="BK503" s="4" t="s">
        <v>7611</v>
      </c>
      <c r="BL503" s="8" t="s">
        <v>7602</v>
      </c>
      <c r="BM503" s="4" t="s">
        <v>7620</v>
      </c>
      <c r="BN503" s="8"/>
      <c r="BO503" s="8"/>
      <c r="BP503" s="8" t="s">
        <v>7602</v>
      </c>
      <c r="BQ503" s="8" t="str">
        <f aca="false">IF(A503="","",AT503)</f>
        <v>3歳以上</v>
      </c>
      <c r="BR503" s="8" t="str">
        <f aca="false">IF(A503="","",IF(BA503&lt;=1200,"～1200",IF(BA503&lt;=1500,"1300～1500",IF(BA503=1600,"1600",IF(BA503&lt;=1800,"1700～1800",IF(BA503&lt;=2000,"1900～2000","2100以上"))))))</f>
        <v>2100以上</v>
      </c>
      <c r="BS503" s="8" t="str">
        <f aca="false">IF(A503="","",IF(AX503="G1","G1",IF(AX503="G2","G2",IF(AX503="G3","G3",IF(AX503="L","L","その他")))))</f>
        <v>その他</v>
      </c>
      <c r="BT503" s="8" t="str">
        <f aca="false">IF(A503="","",IF(BI503="","未結合",IF(D503=BI503,"一致","不一致")))</f>
        <v>一致</v>
      </c>
      <c r="BU503" s="8" t="str">
        <f aca="false">IF(A503="","",IF(BE503="牝馬限定","牝馬限定","その他"))</f>
        <v>その他</v>
      </c>
    </row>
    <row r="504" customFormat="false" ht="15.75" hidden="false" customHeight="false" outlineLevel="0" collapsed="false">
      <c r="A504" s="6" t="n">
        <v>46187</v>
      </c>
      <c r="B504" s="4" t="s">
        <v>4473</v>
      </c>
      <c r="C504" s="8" t="n">
        <v>7</v>
      </c>
      <c r="D504" s="8" t="n">
        <v>8</v>
      </c>
      <c r="E504" s="8" t="n">
        <v>8</v>
      </c>
      <c r="F504" s="4" t="s">
        <v>5181</v>
      </c>
      <c r="G504" s="8" t="n">
        <v>58</v>
      </c>
      <c r="H504" s="8" t="n">
        <v>7</v>
      </c>
      <c r="I504" s="4" t="s">
        <v>3194</v>
      </c>
      <c r="J504" s="8" t="n">
        <v>56</v>
      </c>
      <c r="K504" s="8" t="n">
        <v>1</v>
      </c>
      <c r="L504" s="4" t="s">
        <v>5176</v>
      </c>
      <c r="M504" s="8" t="n">
        <v>41</v>
      </c>
      <c r="N504" s="8" t="n">
        <f aca="false">IF(A504="","",G504-J504)</f>
        <v>2</v>
      </c>
      <c r="O504" s="8" t="n">
        <f aca="false">IF(A504="","",J504-M504)</f>
        <v>15</v>
      </c>
      <c r="P504" s="8" t="n">
        <f aca="false">IF(A504="","",G504+J504)</f>
        <v>114</v>
      </c>
      <c r="Q504" s="8" t="str">
        <f aca="false">IF(A504="","",IF(AND(Y504&lt;&gt;"参考",G504&gt;=ルール設定!$B$2),"○",""))</f>
        <v/>
      </c>
      <c r="R504" s="8" t="str">
        <f aca="false">IF(A504="","",IF(AND(Y504&lt;&gt;"参考",G504&gt;=ルール設定!$B$3,N504&gt;=ルール設定!$B$4),"○",""))</f>
        <v/>
      </c>
      <c r="S504" s="8" t="str">
        <f aca="false">IF(A504="","",IF(AND(Y504&lt;&gt;"参考",G504&gt;=ルール設定!$B$5,J504&gt;=ルール設定!$B$6,O504&gt;=ルール設定!$B$7),"○",""))</f>
        <v/>
      </c>
      <c r="T504" s="8" t="n">
        <v>1</v>
      </c>
      <c r="U504" s="8" t="n">
        <v>2</v>
      </c>
      <c r="V504" s="8" t="str">
        <f aca="false">IF(A504="","",IF(AND(ISNUMBER(T504),ISNUMBER(U504)),IF(AND(T504&lt;=3,U504&lt;=3),"○","×"),""))</f>
        <v>○</v>
      </c>
      <c r="W504" s="8" t="n">
        <v>110</v>
      </c>
      <c r="X504" s="8" t="n">
        <v>240</v>
      </c>
      <c r="Y504" s="4" t="s">
        <v>7597</v>
      </c>
      <c r="Z504" s="4" t="s">
        <v>4475</v>
      </c>
      <c r="AA504" s="8" t="str">
        <v/>
      </c>
      <c r="AB504" s="8" t="str">
        <v/>
      </c>
      <c r="AC504" s="8" t="str">
        <v/>
      </c>
      <c r="AD504" s="8" t="str">
        <v/>
      </c>
      <c r="AE504" s="8" t="str">
        <v/>
      </c>
      <c r="AF504" s="8" t="str">
        <v/>
      </c>
      <c r="AG504" s="8" t="str">
        <v/>
      </c>
      <c r="AH504" s="8" t="str">
        <v/>
      </c>
      <c r="AI504" s="8" t="n">
        <v>17</v>
      </c>
      <c r="AJ504" s="8" t="str">
        <v>～59</v>
      </c>
      <c r="AK504" s="8" t="str">
        <v>0～4</v>
      </c>
      <c r="AL504" s="8" t="str">
        <v>10～19</v>
      </c>
      <c r="AM504" s="8" t="str">
        <v>100～119</v>
      </c>
      <c r="AN504" s="8" t="str">
        <v>8～11</v>
      </c>
      <c r="AO504" s="8" t="str">
        <f aca="false">IF(A504="","",IF(COUNTIFS(全馬データ!$A$2:$A$50000,A504,全馬データ!$B$2:$B$50000,B504,全馬データ!$C$2:$C$50000,C504,全馬データ!$D$2:$D$50000,E504,全馬データ!$K$2:$K$50000,"&lt;&gt;")=0,"",SUMIFS(全馬データ!$K$2:$K$50000,全馬データ!$A$2:$A$50000,A504,全馬データ!$B$2:$B$50000,B504,全馬データ!$C$2:$C$50000,C504,全馬データ!$D$2:$D$50000,E504)))</f>
        <v/>
      </c>
      <c r="AP504" s="8" t="str">
        <f aca="false">IF(A504="","",IF(AO504="","欠損",IF(AO504&lt;=1.1,"1.0～1.1",IF(AO504&lt;1.3,"1.2",IF(AO504&lt;1.5,"1.3～1.4",IF(AO504&lt;2,"1.5～1.9","2.0以上"))))))</f>
        <v>欠損</v>
      </c>
      <c r="AQ504" s="8" t="str">
        <f aca="false">IF(A504="","",IF(ISNUMBER(SEARCH("2歳",Z504)),"2歳戦",IF(ISNUMBER(SEARCH("3歳未勝利",Z504)),"3歳未勝利",IF(ISNUMBER(SEARCH("未勝利",Z504)),"その他未勝利",IF(ISNUMBER(SEARCH("G1",Z504)),"G1",IF(ISNUMBER(SEARCH("G2",Z504)),"G2",IF(ISNUMBER(SEARCH("G3",Z504)),"G3",IF(ISNUMBER(SEARCH("古馬条件",Z504)),"古馬条件戦",IF(ISNUMBER(SEARCH("重賞",Z504)),"重賞","分類不能")))))))))</f>
        <v>分類不能</v>
      </c>
      <c r="AR504" s="8"/>
      <c r="AS504" s="8" t="s">
        <v>7626</v>
      </c>
      <c r="AT504" s="8" t="s">
        <v>7627</v>
      </c>
      <c r="AU504" s="8" t="s">
        <v>7628</v>
      </c>
      <c r="AV504" s="8" t="s">
        <v>7629</v>
      </c>
      <c r="AW504" s="8"/>
      <c r="AX504" s="8"/>
      <c r="AY504" s="8" t="s">
        <v>7602</v>
      </c>
      <c r="AZ504" s="4" t="s">
        <v>7603</v>
      </c>
      <c r="BA504" s="8" t="n">
        <v>2000</v>
      </c>
      <c r="BB504" s="8" t="s">
        <v>7598</v>
      </c>
      <c r="BC504" s="4" t="s">
        <v>7604</v>
      </c>
      <c r="BD504" s="8" t="s">
        <v>7690</v>
      </c>
      <c r="BE504" s="4" t="s">
        <v>7606</v>
      </c>
      <c r="BF504" s="8" t="s">
        <v>7607</v>
      </c>
      <c r="BG504" s="8" t="s">
        <v>7631</v>
      </c>
      <c r="BH504" s="4" t="s">
        <v>7632</v>
      </c>
      <c r="BI504" s="8" t="n">
        <v>8</v>
      </c>
      <c r="BJ504" s="8" t="s">
        <v>7610</v>
      </c>
      <c r="BK504" s="4" t="s">
        <v>7611</v>
      </c>
      <c r="BL504" s="8" t="s">
        <v>7602</v>
      </c>
      <c r="BM504" s="4" t="s">
        <v>7620</v>
      </c>
      <c r="BN504" s="8" t="s">
        <v>7636</v>
      </c>
      <c r="BO504" s="8" t="s">
        <v>7804</v>
      </c>
      <c r="BP504" s="8" t="s">
        <v>7602</v>
      </c>
      <c r="BQ504" s="8" t="str">
        <f aca="false">IF(A504="","",AT504)</f>
        <v>3歳以上</v>
      </c>
      <c r="BR504" s="8" t="str">
        <f aca="false">IF(A504="","",IF(BA504&lt;=1200,"～1200",IF(BA504&lt;=1500,"1300～1500",IF(BA504=1600,"1600",IF(BA504&lt;=1800,"1700～1800",IF(BA504&lt;=2000,"1900～2000","2100以上"))))))</f>
        <v>1900～2000</v>
      </c>
      <c r="BS504" s="8" t="str">
        <f aca="false">IF(A504="","",IF(AX504="G1","G1",IF(AX504="G2","G2",IF(AX504="G3","G3",IF(AX504="L","L","その他")))))</f>
        <v>その他</v>
      </c>
      <c r="BT504" s="8" t="str">
        <f aca="false">IF(A504="","",IF(BI504="","未結合",IF(D504=BI504,"一致","不一致")))</f>
        <v>一致</v>
      </c>
      <c r="BU504" s="8" t="str">
        <f aca="false">IF(A504="","",IF(BE504="牝馬限定","牝馬限定","その他"))</f>
        <v>その他</v>
      </c>
    </row>
    <row r="505" customFormat="false" ht="15.75" hidden="false" customHeight="false" outlineLevel="0" collapsed="false">
      <c r="A505" s="6" t="n">
        <v>46187</v>
      </c>
      <c r="B505" s="4" t="s">
        <v>4473</v>
      </c>
      <c r="C505" s="8" t="n">
        <v>8</v>
      </c>
      <c r="D505" s="8" t="n">
        <v>16</v>
      </c>
      <c r="E505" s="8" t="n">
        <v>4</v>
      </c>
      <c r="F505" s="4" t="s">
        <v>5184</v>
      </c>
      <c r="G505" s="8" t="n">
        <v>71</v>
      </c>
      <c r="H505" s="8" t="n">
        <v>6</v>
      </c>
      <c r="I505" s="4" t="s">
        <v>5186</v>
      </c>
      <c r="J505" s="8" t="n">
        <v>47</v>
      </c>
      <c r="K505" s="8" t="n">
        <v>16</v>
      </c>
      <c r="L505" s="4" t="s">
        <v>5192</v>
      </c>
      <c r="M505" s="8" t="n">
        <v>47</v>
      </c>
      <c r="N505" s="8" t="n">
        <f aca="false">IF(A505="","",G505-J505)</f>
        <v>24</v>
      </c>
      <c r="O505" s="8" t="n">
        <f aca="false">IF(A505="","",J505-M505)</f>
        <v>0</v>
      </c>
      <c r="P505" s="8" t="n">
        <f aca="false">IF(A505="","",G505+J505)</f>
        <v>118</v>
      </c>
      <c r="Q505" s="8" t="str">
        <f aca="false">IF(A505="","",IF(AND(Y505&lt;&gt;"参考",G505&gt;=ルール設定!$B$2),"○",""))</f>
        <v/>
      </c>
      <c r="R505" s="8" t="str">
        <f aca="false">IF(A505="","",IF(AND(Y505&lt;&gt;"参考",G505&gt;=ルール設定!$B$3,N505&gt;=ルール設定!$B$4),"○",""))</f>
        <v/>
      </c>
      <c r="S505" s="8" t="str">
        <f aca="false">IF(A505="","",IF(AND(Y505&lt;&gt;"参考",G505&gt;=ルール設定!$B$5,J505&gt;=ルール設定!$B$6,O505&gt;=ルール設定!$B$7),"○",""))</f>
        <v/>
      </c>
      <c r="T505" s="8" t="n">
        <v>3</v>
      </c>
      <c r="U505" s="8" t="n">
        <v>4</v>
      </c>
      <c r="V505" s="8" t="str">
        <f aca="false">IF(A505="","",IF(AND(ISNUMBER(T505),ISNUMBER(U505)),IF(AND(T505&lt;=3,U505&lt;=3),"○","×"),""))</f>
        <v>×</v>
      </c>
      <c r="W505" s="8" t="n">
        <v>120</v>
      </c>
      <c r="X505" s="8"/>
      <c r="Y505" s="4" t="s">
        <v>7597</v>
      </c>
      <c r="Z505" s="4" t="s">
        <v>4475</v>
      </c>
      <c r="AA505" s="8" t="str">
        <v/>
      </c>
      <c r="AB505" s="8" t="str">
        <v/>
      </c>
      <c r="AC505" s="8" t="str">
        <v/>
      </c>
      <c r="AD505" s="8" t="str">
        <v/>
      </c>
      <c r="AE505" s="8" t="str">
        <v/>
      </c>
      <c r="AF505" s="8" t="str">
        <v/>
      </c>
      <c r="AG505" s="8" t="str">
        <v/>
      </c>
      <c r="AH505" s="8" t="str">
        <v/>
      </c>
      <c r="AI505" s="8" t="n">
        <v>24</v>
      </c>
      <c r="AJ505" s="8" t="str">
        <v>70～74</v>
      </c>
      <c r="AK505" s="8" t="str">
        <v>20～29</v>
      </c>
      <c r="AL505" s="8" t="str">
        <v>20～29</v>
      </c>
      <c r="AM505" s="8" t="str">
        <v>100～119</v>
      </c>
      <c r="AN505" s="8" t="str">
        <v>15以上</v>
      </c>
      <c r="AO505" s="8" t="str">
        <f aca="false">IF(A505="","",IF(COUNTIFS(全馬データ!$A$2:$A$50000,A505,全馬データ!$B$2:$B$50000,B505,全馬データ!$C$2:$C$50000,C505,全馬データ!$D$2:$D$50000,E505,全馬データ!$K$2:$K$50000,"&lt;&gt;")=0,"",SUMIFS(全馬データ!$K$2:$K$50000,全馬データ!$A$2:$A$50000,A505,全馬データ!$B$2:$B$50000,B505,全馬データ!$C$2:$C$50000,C505,全馬データ!$D$2:$D$50000,E505)))</f>
        <v/>
      </c>
      <c r="AP505" s="8" t="str">
        <f aca="false">IF(A505="","",IF(AO505="","欠損",IF(AO505&lt;=1.1,"1.0～1.1",IF(AO505&lt;1.3,"1.2",IF(AO505&lt;1.5,"1.3～1.4",IF(AO505&lt;2,"1.5～1.9","2.0以上"))))))</f>
        <v>欠損</v>
      </c>
      <c r="AQ505" s="8" t="str">
        <f aca="false">IF(A505="","",IF(ISNUMBER(SEARCH("2歳",Z505)),"2歳戦",IF(ISNUMBER(SEARCH("3歳未勝利",Z505)),"3歳未勝利",IF(ISNUMBER(SEARCH("未勝利",Z505)),"その他未勝利",IF(ISNUMBER(SEARCH("G1",Z505)),"G1",IF(ISNUMBER(SEARCH("G2",Z505)),"G2",IF(ISNUMBER(SEARCH("G3",Z505)),"G3",IF(ISNUMBER(SEARCH("古馬条件",Z505)),"古馬条件戦",IF(ISNUMBER(SEARCH("重賞",Z505)),"重賞","分類不能")))))))))</f>
        <v>分類不能</v>
      </c>
      <c r="AR505" s="8"/>
      <c r="AS505" s="8" t="s">
        <v>7626</v>
      </c>
      <c r="AT505" s="8" t="s">
        <v>7627</v>
      </c>
      <c r="AU505" s="8" t="s">
        <v>7628</v>
      </c>
      <c r="AV505" s="8" t="s">
        <v>7629</v>
      </c>
      <c r="AW505" s="8"/>
      <c r="AX505" s="8"/>
      <c r="AY505" s="8" t="s">
        <v>7610</v>
      </c>
      <c r="AZ505" s="4" t="s">
        <v>7617</v>
      </c>
      <c r="BA505" s="8" t="n">
        <v>1600</v>
      </c>
      <c r="BB505" s="8" t="s">
        <v>7659</v>
      </c>
      <c r="BC505" s="4" t="s">
        <v>7619</v>
      </c>
      <c r="BD505" s="8" t="s">
        <v>7690</v>
      </c>
      <c r="BE505" s="4" t="s">
        <v>7606</v>
      </c>
      <c r="BF505" s="8" t="s">
        <v>7607</v>
      </c>
      <c r="BG505" s="8" t="s">
        <v>7631</v>
      </c>
      <c r="BH505" s="4" t="s">
        <v>7632</v>
      </c>
      <c r="BI505" s="8" t="n">
        <v>16</v>
      </c>
      <c r="BJ505" s="8" t="s">
        <v>7610</v>
      </c>
      <c r="BK505" s="4" t="s">
        <v>7611</v>
      </c>
      <c r="BL505" s="8" t="s">
        <v>7602</v>
      </c>
      <c r="BM505" s="4" t="s">
        <v>7620</v>
      </c>
      <c r="BN505" s="8"/>
      <c r="BO505" s="8"/>
      <c r="BP505" s="8" t="s">
        <v>7602</v>
      </c>
      <c r="BQ505" s="8" t="str">
        <f aca="false">IF(A505="","",AT505)</f>
        <v>3歳以上</v>
      </c>
      <c r="BR505" s="8" t="str">
        <f aca="false">IF(A505="","",IF(BA505&lt;=1200,"～1200",IF(BA505&lt;=1500,"1300～1500",IF(BA505=1600,"1600",IF(BA505&lt;=1800,"1700～1800",IF(BA505&lt;=2000,"1900～2000","2100以上"))))))</f>
        <v>1600</v>
      </c>
      <c r="BS505" s="8" t="str">
        <f aca="false">IF(A505="","",IF(AX505="G1","G1",IF(AX505="G2","G2",IF(AX505="G3","G3",IF(AX505="L","L","その他")))))</f>
        <v>その他</v>
      </c>
      <c r="BT505" s="8" t="str">
        <f aca="false">IF(A505="","",IF(BI505="","未結合",IF(D505=BI505,"一致","不一致")))</f>
        <v>一致</v>
      </c>
      <c r="BU505" s="8" t="str">
        <f aca="false">IF(A505="","",IF(BE505="牝馬限定","牝馬限定","その他"))</f>
        <v>その他</v>
      </c>
    </row>
    <row r="506" customFormat="false" ht="15.75" hidden="false" customHeight="false" outlineLevel="0" collapsed="false">
      <c r="A506" s="6" t="n">
        <v>46187</v>
      </c>
      <c r="B506" s="4" t="s">
        <v>4473</v>
      </c>
      <c r="C506" s="8" t="n">
        <v>9</v>
      </c>
      <c r="D506" s="8" t="n">
        <v>11</v>
      </c>
      <c r="E506" s="8" t="n">
        <v>4</v>
      </c>
      <c r="F506" s="4" t="s">
        <v>5195</v>
      </c>
      <c r="G506" s="8" t="n">
        <v>56</v>
      </c>
      <c r="H506" s="8" t="n">
        <v>6</v>
      </c>
      <c r="I506" s="4" t="s">
        <v>3755</v>
      </c>
      <c r="J506" s="8" t="n">
        <v>39</v>
      </c>
      <c r="K506" s="8" t="n">
        <v>7</v>
      </c>
      <c r="L506" s="4" t="s">
        <v>5197</v>
      </c>
      <c r="M506" s="8" t="n">
        <v>31</v>
      </c>
      <c r="N506" s="8" t="n">
        <f aca="false">IF(A506="","",G506-J506)</f>
        <v>17</v>
      </c>
      <c r="O506" s="8" t="n">
        <f aca="false">IF(A506="","",J506-M506)</f>
        <v>8</v>
      </c>
      <c r="P506" s="8" t="n">
        <f aca="false">IF(A506="","",G506+J506)</f>
        <v>95</v>
      </c>
      <c r="Q506" s="8" t="str">
        <f aca="false">IF(A506="","",IF(AND(Y506&lt;&gt;"参考",G506&gt;=ルール設定!$B$2),"○",""))</f>
        <v/>
      </c>
      <c r="R506" s="8" t="str">
        <f aca="false">IF(A506="","",IF(AND(Y506&lt;&gt;"参考",G506&gt;=ルール設定!$B$3,N506&gt;=ルール設定!$B$4),"○",""))</f>
        <v/>
      </c>
      <c r="S506" s="8" t="str">
        <f aca="false">IF(A506="","",IF(AND(Y506&lt;&gt;"参考",G506&gt;=ルール設定!$B$5,J506&gt;=ルール設定!$B$6,O506&gt;=ルール設定!$B$7),"○",""))</f>
        <v/>
      </c>
      <c r="T506" s="8" t="n">
        <v>3</v>
      </c>
      <c r="U506" s="8" t="n">
        <v>4</v>
      </c>
      <c r="V506" s="8" t="str">
        <f aca="false">IF(A506="","",IF(AND(ISNUMBER(T506),ISNUMBER(U506)),IF(AND(T506&lt;=3,U506&lt;=3),"○","×"),""))</f>
        <v>×</v>
      </c>
      <c r="W506" s="8" t="n">
        <v>110</v>
      </c>
      <c r="X506" s="8"/>
      <c r="Y506" s="4" t="s">
        <v>7597</v>
      </c>
      <c r="Z506" s="4" t="s">
        <v>4475</v>
      </c>
      <c r="AA506" s="8" t="str">
        <v/>
      </c>
      <c r="AB506" s="8" t="str">
        <v/>
      </c>
      <c r="AC506" s="8" t="str">
        <v/>
      </c>
      <c r="AD506" s="8" t="str">
        <v/>
      </c>
      <c r="AE506" s="8" t="str">
        <v/>
      </c>
      <c r="AF506" s="8" t="str">
        <v/>
      </c>
      <c r="AG506" s="8" t="str">
        <v/>
      </c>
      <c r="AH506" s="8" t="str">
        <v/>
      </c>
      <c r="AI506" s="8" t="n">
        <v>25</v>
      </c>
      <c r="AJ506" s="8" t="str">
        <v>～59</v>
      </c>
      <c r="AK506" s="8" t="str">
        <v>10～19</v>
      </c>
      <c r="AL506" s="8" t="str">
        <v>20～29</v>
      </c>
      <c r="AM506" s="8" t="str">
        <v>～99</v>
      </c>
      <c r="AN506" s="8" t="str">
        <v>8～11</v>
      </c>
      <c r="AO506" s="8" t="str">
        <f aca="false">IF(A506="","",IF(COUNTIFS(全馬データ!$A$2:$A$50000,A506,全馬データ!$B$2:$B$50000,B506,全馬データ!$C$2:$C$50000,C506,全馬データ!$D$2:$D$50000,E506,全馬データ!$K$2:$K$50000,"&lt;&gt;")=0,"",SUMIFS(全馬データ!$K$2:$K$50000,全馬データ!$A$2:$A$50000,A506,全馬データ!$B$2:$B$50000,B506,全馬データ!$C$2:$C$50000,C506,全馬データ!$D$2:$D$50000,E506)))</f>
        <v/>
      </c>
      <c r="AP506" s="8" t="str">
        <f aca="false">IF(A506="","",IF(AO506="","欠損",IF(AO506&lt;=1.1,"1.0～1.1",IF(AO506&lt;1.3,"1.2",IF(AO506&lt;1.5,"1.3～1.4",IF(AO506&lt;2,"1.5～1.9","2.0以上"))))))</f>
        <v>欠損</v>
      </c>
      <c r="AQ506" s="8" t="str">
        <f aca="false">IF(A506="","",IF(ISNUMBER(SEARCH("2歳",Z506)),"2歳戦",IF(ISNUMBER(SEARCH("3歳未勝利",Z506)),"3歳未勝利",IF(ISNUMBER(SEARCH("未勝利",Z506)),"その他未勝利",IF(ISNUMBER(SEARCH("G1",Z506)),"G1",IF(ISNUMBER(SEARCH("G2",Z506)),"G2",IF(ISNUMBER(SEARCH("G3",Z506)),"G3",IF(ISNUMBER(SEARCH("古馬条件",Z506)),"古馬条件戦",IF(ISNUMBER(SEARCH("重賞",Z506)),"重賞","分類不能")))))))))</f>
        <v>分類不能</v>
      </c>
      <c r="AR506" s="4" t="s">
        <v>7829</v>
      </c>
      <c r="AS506" s="8" t="s">
        <v>7626</v>
      </c>
      <c r="AT506" s="8" t="s">
        <v>7627</v>
      </c>
      <c r="AU506" s="8" t="s">
        <v>7634</v>
      </c>
      <c r="AV506" s="8" t="s">
        <v>7635</v>
      </c>
      <c r="AW506" s="8" t="s">
        <v>7636</v>
      </c>
      <c r="AX506" s="4" t="s">
        <v>7637</v>
      </c>
      <c r="AY506" s="8" t="s">
        <v>7602</v>
      </c>
      <c r="AZ506" s="4" t="s">
        <v>7603</v>
      </c>
      <c r="BA506" s="8" t="n">
        <v>1600</v>
      </c>
      <c r="BB506" s="8" t="s">
        <v>7598</v>
      </c>
      <c r="BC506" s="4" t="s">
        <v>7604</v>
      </c>
      <c r="BD506" s="8" t="s">
        <v>7630</v>
      </c>
      <c r="BE506" s="4" t="s">
        <v>7606</v>
      </c>
      <c r="BF506" s="8" t="s">
        <v>7607</v>
      </c>
      <c r="BG506" s="8" t="s">
        <v>7631</v>
      </c>
      <c r="BH506" s="4" t="s">
        <v>7632</v>
      </c>
      <c r="BI506" s="8" t="n">
        <v>11</v>
      </c>
      <c r="BJ506" s="8" t="s">
        <v>7610</v>
      </c>
      <c r="BK506" s="4" t="s">
        <v>7611</v>
      </c>
      <c r="BL506" s="8" t="s">
        <v>7602</v>
      </c>
      <c r="BM506" s="4" t="s">
        <v>7620</v>
      </c>
      <c r="BN506" s="8" t="s">
        <v>7636</v>
      </c>
      <c r="BO506" s="8" t="s">
        <v>7804</v>
      </c>
      <c r="BP506" s="8" t="s">
        <v>7602</v>
      </c>
      <c r="BQ506" s="8" t="str">
        <f aca="false">IF(A506="","",AT506)</f>
        <v>3歳以上</v>
      </c>
      <c r="BR506" s="8" t="str">
        <f aca="false">IF(A506="","",IF(BA506&lt;=1200,"～1200",IF(BA506&lt;=1500,"1300～1500",IF(BA506=1600,"1600",IF(BA506&lt;=1800,"1700～1800",IF(BA506&lt;=2000,"1900～2000","2100以上"))))))</f>
        <v>1600</v>
      </c>
      <c r="BS506" s="8" t="str">
        <f aca="false">IF(A506="","",IF(AX506="G1","G1",IF(AX506="G2","G2",IF(AX506="G3","G3",IF(AX506="L","L","その他")))))</f>
        <v>その他</v>
      </c>
      <c r="BT506" s="8" t="str">
        <f aca="false">IF(A506="","",IF(BI506="","未結合",IF(D506=BI506,"一致","不一致")))</f>
        <v>一致</v>
      </c>
      <c r="BU506" s="8" t="str">
        <f aca="false">IF(A506="","",IF(BE506="牝馬限定","牝馬限定","その他"))</f>
        <v>その他</v>
      </c>
    </row>
    <row r="507" customFormat="false" ht="15.75" hidden="false" customHeight="false" outlineLevel="0" collapsed="false">
      <c r="A507" s="6" t="n">
        <v>46187</v>
      </c>
      <c r="B507" s="4" t="s">
        <v>4473</v>
      </c>
      <c r="C507" s="8" t="n">
        <v>10</v>
      </c>
      <c r="D507" s="8" t="n">
        <v>14</v>
      </c>
      <c r="E507" s="8" t="n">
        <v>12</v>
      </c>
      <c r="F507" s="4" t="s">
        <v>5210</v>
      </c>
      <c r="G507" s="8" t="n">
        <v>58</v>
      </c>
      <c r="H507" s="8" t="n">
        <v>1</v>
      </c>
      <c r="I507" s="4" t="s">
        <v>5202</v>
      </c>
      <c r="J507" s="8" t="n">
        <v>44</v>
      </c>
      <c r="K507" s="8" t="n">
        <v>11</v>
      </c>
      <c r="L507" s="4" t="s">
        <v>5209</v>
      </c>
      <c r="M507" s="8" t="n">
        <v>39</v>
      </c>
      <c r="N507" s="8" t="n">
        <f aca="false">IF(A507="","",G507-J507)</f>
        <v>14</v>
      </c>
      <c r="O507" s="8" t="n">
        <f aca="false">IF(A507="","",J507-M507)</f>
        <v>5</v>
      </c>
      <c r="P507" s="8" t="n">
        <f aca="false">IF(A507="","",G507+J507)</f>
        <v>102</v>
      </c>
      <c r="Q507" s="8" t="str">
        <f aca="false">IF(A507="","",IF(AND(Y507&lt;&gt;"参考",G507&gt;=ルール設定!$B$2),"○",""))</f>
        <v/>
      </c>
      <c r="R507" s="8" t="str">
        <f aca="false">IF(A507="","",IF(AND(Y507&lt;&gt;"参考",G507&gt;=ルール設定!$B$3,N507&gt;=ルール設定!$B$4),"○",""))</f>
        <v/>
      </c>
      <c r="S507" s="8" t="str">
        <f aca="false">IF(A507="","",IF(AND(Y507&lt;&gt;"参考",G507&gt;=ルール設定!$B$5,J507&gt;=ルール設定!$B$6,O507&gt;=ルール設定!$B$7),"○",""))</f>
        <v/>
      </c>
      <c r="T507" s="8" t="n">
        <v>2</v>
      </c>
      <c r="U507" s="8" t="n">
        <v>4</v>
      </c>
      <c r="V507" s="8" t="str">
        <f aca="false">IF(A507="","",IF(AND(ISNUMBER(T507),ISNUMBER(U507)),IF(AND(T507&lt;=3,U507&lt;=3),"○","×"),""))</f>
        <v>×</v>
      </c>
      <c r="W507" s="8" t="n">
        <v>180</v>
      </c>
      <c r="X507" s="8"/>
      <c r="Y507" s="4" t="s">
        <v>7597</v>
      </c>
      <c r="Z507" s="4" t="s">
        <v>4475</v>
      </c>
      <c r="AA507" s="8" t="str">
        <v/>
      </c>
      <c r="AB507" s="8" t="str">
        <v/>
      </c>
      <c r="AC507" s="8" t="str">
        <v/>
      </c>
      <c r="AD507" s="8" t="str">
        <v/>
      </c>
      <c r="AE507" s="8" t="str">
        <v/>
      </c>
      <c r="AF507" s="8" t="str">
        <v/>
      </c>
      <c r="AG507" s="8" t="str">
        <v/>
      </c>
      <c r="AH507" s="8" t="str">
        <v/>
      </c>
      <c r="AI507" s="8" t="n">
        <v>19</v>
      </c>
      <c r="AJ507" s="8" t="str">
        <v>～59</v>
      </c>
      <c r="AK507" s="8" t="str">
        <v>10～19</v>
      </c>
      <c r="AL507" s="8" t="str">
        <v>10～19</v>
      </c>
      <c r="AM507" s="8" t="str">
        <v>100～119</v>
      </c>
      <c r="AN507" s="8" t="str">
        <v>12～14</v>
      </c>
      <c r="AO507" s="8" t="str">
        <f aca="false">IF(A507="","",IF(COUNTIFS(全馬データ!$A$2:$A$50000,A507,全馬データ!$B$2:$B$50000,B507,全馬データ!$C$2:$C$50000,C507,全馬データ!$D$2:$D$50000,E507,全馬データ!$K$2:$K$50000,"&lt;&gt;")=0,"",SUMIFS(全馬データ!$K$2:$K$50000,全馬データ!$A$2:$A$50000,A507,全馬データ!$B$2:$B$50000,B507,全馬データ!$C$2:$C$50000,C507,全馬データ!$D$2:$D$50000,E507)))</f>
        <v/>
      </c>
      <c r="AP507" s="8" t="str">
        <f aca="false">IF(A507="","",IF(AO507="","欠損",IF(AO507&lt;=1.1,"1.0～1.1",IF(AO507&lt;1.3,"1.2",IF(AO507&lt;1.5,"1.3～1.4",IF(AO507&lt;2,"1.5～1.9","2.0以上"))))))</f>
        <v>欠損</v>
      </c>
      <c r="AQ507" s="8" t="str">
        <f aca="false">IF(A507="","",IF(ISNUMBER(SEARCH("2歳",Z507)),"2歳戦",IF(ISNUMBER(SEARCH("3歳未勝利",Z507)),"3歳未勝利",IF(ISNUMBER(SEARCH("未勝利",Z507)),"その他未勝利",IF(ISNUMBER(SEARCH("G1",Z507)),"G1",IF(ISNUMBER(SEARCH("G2",Z507)),"G2",IF(ISNUMBER(SEARCH("G3",Z507)),"G3",IF(ISNUMBER(SEARCH("古馬条件",Z507)),"古馬条件戦",IF(ISNUMBER(SEARCH("重賞",Z507)),"重賞","分類不能")))))))))</f>
        <v>分類不能</v>
      </c>
      <c r="AR507" s="4" t="s">
        <v>7830</v>
      </c>
      <c r="AS507" s="8" t="s">
        <v>7626</v>
      </c>
      <c r="AT507" s="8" t="s">
        <v>7627</v>
      </c>
      <c r="AU507" s="8" t="s">
        <v>7639</v>
      </c>
      <c r="AV507" s="8" t="s">
        <v>7640</v>
      </c>
      <c r="AW507" s="8" t="s">
        <v>7636</v>
      </c>
      <c r="AX507" s="4" t="s">
        <v>7637</v>
      </c>
      <c r="AY507" s="8" t="s">
        <v>7602</v>
      </c>
      <c r="AZ507" s="4" t="s">
        <v>7603</v>
      </c>
      <c r="BA507" s="8" t="n">
        <v>2400</v>
      </c>
      <c r="BB507" s="8" t="s">
        <v>7598</v>
      </c>
      <c r="BC507" s="4" t="s">
        <v>7604</v>
      </c>
      <c r="BD507" s="8" t="s">
        <v>7630</v>
      </c>
      <c r="BE507" s="4" t="s">
        <v>7606</v>
      </c>
      <c r="BF507" s="8" t="s">
        <v>7607</v>
      </c>
      <c r="BG507" s="8" t="s">
        <v>7631</v>
      </c>
      <c r="BH507" s="4" t="s">
        <v>7632</v>
      </c>
      <c r="BI507" s="8" t="n">
        <v>14</v>
      </c>
      <c r="BJ507" s="8" t="s">
        <v>7610</v>
      </c>
      <c r="BK507" s="4" t="s">
        <v>7611</v>
      </c>
      <c r="BL507" s="8" t="s">
        <v>7602</v>
      </c>
      <c r="BM507" s="4" t="s">
        <v>7620</v>
      </c>
      <c r="BN507" s="8" t="s">
        <v>7636</v>
      </c>
      <c r="BO507" s="8" t="s">
        <v>7804</v>
      </c>
      <c r="BP507" s="8" t="s">
        <v>7602</v>
      </c>
      <c r="BQ507" s="8" t="str">
        <f aca="false">IF(A507="","",AT507)</f>
        <v>3歳以上</v>
      </c>
      <c r="BR507" s="8" t="str">
        <f aca="false">IF(A507="","",IF(BA507&lt;=1200,"～1200",IF(BA507&lt;=1500,"1300～1500",IF(BA507=1600,"1600",IF(BA507&lt;=1800,"1700～1800",IF(BA507&lt;=2000,"1900～2000","2100以上"))))))</f>
        <v>2100以上</v>
      </c>
      <c r="BS507" s="8" t="str">
        <f aca="false">IF(A507="","",IF(AX507="G1","G1",IF(AX507="G2","G2",IF(AX507="G3","G3",IF(AX507="L","L","その他")))))</f>
        <v>その他</v>
      </c>
      <c r="BT507" s="8" t="str">
        <f aca="false">IF(A507="","",IF(BI507="","未結合",IF(D507=BI507,"一致","不一致")))</f>
        <v>一致</v>
      </c>
      <c r="BU507" s="8" t="str">
        <f aca="false">IF(A507="","",IF(BE507="牝馬限定","牝馬限定","その他"))</f>
        <v>その他</v>
      </c>
    </row>
    <row r="508" customFormat="false" ht="15.75" hidden="false" customHeight="false" outlineLevel="0" collapsed="false">
      <c r="A508" s="6" t="n">
        <v>46187</v>
      </c>
      <c r="B508" s="4" t="s">
        <v>4473</v>
      </c>
      <c r="C508" s="8" t="n">
        <v>11</v>
      </c>
      <c r="D508" s="8" t="n">
        <v>14</v>
      </c>
      <c r="E508" s="8" t="n">
        <v>11</v>
      </c>
      <c r="F508" s="4" t="s">
        <v>5221</v>
      </c>
      <c r="G508" s="8" t="n">
        <v>58</v>
      </c>
      <c r="H508" s="8" t="n">
        <v>5</v>
      </c>
      <c r="I508" s="4" t="s">
        <v>5216</v>
      </c>
      <c r="J508" s="8" t="n">
        <v>39</v>
      </c>
      <c r="K508" s="8" t="n">
        <v>10</v>
      </c>
      <c r="L508" s="4" t="s">
        <v>5220</v>
      </c>
      <c r="M508" s="8" t="n">
        <v>29</v>
      </c>
      <c r="N508" s="8" t="n">
        <f aca="false">IF(A508="","",G508-J508)</f>
        <v>19</v>
      </c>
      <c r="O508" s="8" t="n">
        <f aca="false">IF(A508="","",J508-M508)</f>
        <v>10</v>
      </c>
      <c r="P508" s="8" t="n">
        <f aca="false">IF(A508="","",G508+J508)</f>
        <v>97</v>
      </c>
      <c r="Q508" s="8" t="str">
        <f aca="false">IF(A508="","",IF(AND(Y508&lt;&gt;"参考",G508&gt;=ルール設定!$B$2),"○",""))</f>
        <v/>
      </c>
      <c r="R508" s="8" t="str">
        <f aca="false">IF(A508="","",IF(AND(Y508&lt;&gt;"参考",G508&gt;=ルール設定!$B$3,N508&gt;=ルール設定!$B$4),"○",""))</f>
        <v/>
      </c>
      <c r="S508" s="8" t="str">
        <f aca="false">IF(A508="","",IF(AND(Y508&lt;&gt;"参考",G508&gt;=ルール設定!$B$5,J508&gt;=ルール設定!$B$6,O508&gt;=ルール設定!$B$7),"○",""))</f>
        <v/>
      </c>
      <c r="T508" s="8" t="n">
        <v>1</v>
      </c>
      <c r="U508" s="8" t="n">
        <v>4</v>
      </c>
      <c r="V508" s="8" t="str">
        <f aca="false">IF(A508="","",IF(AND(ISNUMBER(T508),ISNUMBER(U508)),IF(AND(T508&lt;=3,U508&lt;=3),"○","×"),""))</f>
        <v>×</v>
      </c>
      <c r="W508" s="8" t="n">
        <v>140</v>
      </c>
      <c r="X508" s="8"/>
      <c r="Y508" s="4" t="s">
        <v>7597</v>
      </c>
      <c r="Z508" s="4" t="s">
        <v>4475</v>
      </c>
      <c r="AA508" s="8" t="str">
        <v/>
      </c>
      <c r="AB508" s="8" t="str">
        <v/>
      </c>
      <c r="AC508" s="8" t="str">
        <v/>
      </c>
      <c r="AD508" s="8" t="str">
        <v/>
      </c>
      <c r="AE508" s="8" t="str">
        <v/>
      </c>
      <c r="AF508" s="8" t="str">
        <v/>
      </c>
      <c r="AG508" s="8" t="str">
        <v/>
      </c>
      <c r="AH508" s="8" t="str">
        <v/>
      </c>
      <c r="AI508" s="8" t="n">
        <v>29</v>
      </c>
      <c r="AJ508" s="8" t="str">
        <v>～59</v>
      </c>
      <c r="AK508" s="8" t="str">
        <v>10～19</v>
      </c>
      <c r="AL508" s="8" t="str">
        <v>20～29</v>
      </c>
      <c r="AM508" s="8" t="str">
        <v>～99</v>
      </c>
      <c r="AN508" s="8" t="str">
        <v>12～14</v>
      </c>
      <c r="AO508" s="8" t="str">
        <f aca="false">IF(A508="","",IF(COUNTIFS(全馬データ!$A$2:$A$50000,A508,全馬データ!$B$2:$B$50000,B508,全馬データ!$C$2:$C$50000,C508,全馬データ!$D$2:$D$50000,E508,全馬データ!$K$2:$K$50000,"&lt;&gt;")=0,"",SUMIFS(全馬データ!$K$2:$K$50000,全馬データ!$A$2:$A$50000,A508,全馬データ!$B$2:$B$50000,B508,全馬データ!$C$2:$C$50000,C508,全馬データ!$D$2:$D$50000,E508)))</f>
        <v/>
      </c>
      <c r="AP508" s="8" t="str">
        <f aca="false">IF(A508="","",IF(AO508="","欠損",IF(AO508&lt;=1.1,"1.0～1.1",IF(AO508&lt;1.3,"1.2",IF(AO508&lt;1.5,"1.3～1.4",IF(AO508&lt;2,"1.5～1.9","2.0以上"))))))</f>
        <v>欠損</v>
      </c>
      <c r="AQ508" s="8" t="str">
        <f aca="false">IF(A508="","",IF(ISNUMBER(SEARCH("2歳",Z508)),"2歳戦",IF(ISNUMBER(SEARCH("3歳未勝利",Z508)),"3歳未勝利",IF(ISNUMBER(SEARCH("未勝利",Z508)),"その他未勝利",IF(ISNUMBER(SEARCH("G1",Z508)),"G1",IF(ISNUMBER(SEARCH("G2",Z508)),"G2",IF(ISNUMBER(SEARCH("G3",Z508)),"G3",IF(ISNUMBER(SEARCH("古馬条件",Z508)),"古馬条件戦",IF(ISNUMBER(SEARCH("重賞",Z508)),"重賞","分類不能")))))))))</f>
        <v>分類不能</v>
      </c>
      <c r="AR508" s="4" t="s">
        <v>7831</v>
      </c>
      <c r="AS508" s="8" t="s">
        <v>7626</v>
      </c>
      <c r="AT508" s="8" t="s">
        <v>7627</v>
      </c>
      <c r="AU508" s="8" t="s">
        <v>7643</v>
      </c>
      <c r="AV508" s="4" t="s">
        <v>7644</v>
      </c>
      <c r="AW508" s="8" t="s">
        <v>7676</v>
      </c>
      <c r="AX508" s="8" t="s">
        <v>7677</v>
      </c>
      <c r="AY508" s="8" t="s">
        <v>7602</v>
      </c>
      <c r="AZ508" s="4" t="s">
        <v>7603</v>
      </c>
      <c r="BA508" s="8" t="n">
        <v>1400</v>
      </c>
      <c r="BB508" s="8" t="s">
        <v>7598</v>
      </c>
      <c r="BC508" s="4" t="s">
        <v>7604</v>
      </c>
      <c r="BD508" s="8" t="s">
        <v>7666</v>
      </c>
      <c r="BE508" s="4" t="s">
        <v>7606</v>
      </c>
      <c r="BF508" s="8" t="s">
        <v>7607</v>
      </c>
      <c r="BG508" s="8" t="s">
        <v>7602</v>
      </c>
      <c r="BH508" s="4" t="s">
        <v>7667</v>
      </c>
      <c r="BI508" s="8" t="n">
        <v>14</v>
      </c>
      <c r="BJ508" s="8" t="s">
        <v>7610</v>
      </c>
      <c r="BK508" s="4" t="s">
        <v>7611</v>
      </c>
      <c r="BL508" s="8" t="s">
        <v>7602</v>
      </c>
      <c r="BM508" s="4" t="s">
        <v>7620</v>
      </c>
      <c r="BN508" s="8" t="s">
        <v>7636</v>
      </c>
      <c r="BO508" s="8" t="s">
        <v>7804</v>
      </c>
      <c r="BP508" s="8" t="s">
        <v>7602</v>
      </c>
      <c r="BQ508" s="8" t="str">
        <f aca="false">IF(A508="","",AT508)</f>
        <v>3歳以上</v>
      </c>
      <c r="BR508" s="8" t="str">
        <f aca="false">IF(A508="","",IF(BA508&lt;=1200,"～1200",IF(BA508&lt;=1500,"1300～1500",IF(BA508=1600,"1600",IF(BA508&lt;=1800,"1700～1800",IF(BA508&lt;=2000,"1900～2000","2100以上"))))))</f>
        <v>1300～1500</v>
      </c>
      <c r="BS508" s="8" t="str">
        <f aca="false">IF(A508="","",IF(AX508="G1","G1",IF(AX508="G2","G2",IF(AX508="G3","G3",IF(AX508="L","L","その他")))))</f>
        <v>L</v>
      </c>
      <c r="BT508" s="8" t="str">
        <f aca="false">IF(A508="","",IF(BI508="","未結合",IF(D508=BI508,"一致","不一致")))</f>
        <v>一致</v>
      </c>
      <c r="BU508" s="8" t="str">
        <f aca="false">IF(A508="","",IF(BE508="牝馬限定","牝馬限定","その他"))</f>
        <v>その他</v>
      </c>
    </row>
    <row r="509" customFormat="false" ht="15.75" hidden="false" customHeight="false" outlineLevel="0" collapsed="false">
      <c r="A509" s="6" t="n">
        <v>46187</v>
      </c>
      <c r="B509" s="4" t="s">
        <v>4473</v>
      </c>
      <c r="C509" s="8" t="n">
        <v>12</v>
      </c>
      <c r="D509" s="8" t="n">
        <v>12</v>
      </c>
      <c r="E509" s="8" t="n">
        <v>5</v>
      </c>
      <c r="F509" s="4" t="s">
        <v>5227</v>
      </c>
      <c r="G509" s="8" t="n">
        <v>52</v>
      </c>
      <c r="H509" s="8" t="n">
        <v>3</v>
      </c>
      <c r="I509" s="4" t="s">
        <v>5225</v>
      </c>
      <c r="J509" s="8" t="n">
        <v>38</v>
      </c>
      <c r="K509" s="8" t="n">
        <v>10</v>
      </c>
      <c r="L509" s="4" t="s">
        <v>5230</v>
      </c>
      <c r="M509" s="8" t="n">
        <v>37</v>
      </c>
      <c r="N509" s="8" t="n">
        <f aca="false">IF(A509="","",G509-J509)</f>
        <v>14</v>
      </c>
      <c r="O509" s="8" t="n">
        <f aca="false">IF(A509="","",J509-M509)</f>
        <v>1</v>
      </c>
      <c r="P509" s="8" t="n">
        <f aca="false">IF(A509="","",G509+J509)</f>
        <v>90</v>
      </c>
      <c r="Q509" s="8" t="str">
        <f aca="false">IF(A509="","",IF(AND(Y509&lt;&gt;"参考",G509&gt;=ルール設定!$B$2),"○",""))</f>
        <v/>
      </c>
      <c r="R509" s="8" t="str">
        <f aca="false">IF(A509="","",IF(AND(Y509&lt;&gt;"参考",G509&gt;=ルール設定!$B$3,N509&gt;=ルール設定!$B$4),"○",""))</f>
        <v/>
      </c>
      <c r="S509" s="8" t="str">
        <f aca="false">IF(A509="","",IF(AND(Y509&lt;&gt;"参考",G509&gt;=ルール設定!$B$5,J509&gt;=ルール設定!$B$6,O509&gt;=ルール設定!$B$7),"○",""))</f>
        <v/>
      </c>
      <c r="T509" s="8" t="n">
        <v>2</v>
      </c>
      <c r="U509" s="8" t="n">
        <v>4</v>
      </c>
      <c r="V509" s="8" t="str">
        <f aca="false">IF(A509="","",IF(AND(ISNUMBER(T509),ISNUMBER(U509)),IF(AND(T509&lt;=3,U509&lt;=3),"○","×"),""))</f>
        <v>×</v>
      </c>
      <c r="W509" s="8" t="n">
        <v>150</v>
      </c>
      <c r="X509" s="8"/>
      <c r="Y509" s="4" t="s">
        <v>7597</v>
      </c>
      <c r="Z509" s="4" t="s">
        <v>4475</v>
      </c>
      <c r="AA509" s="8" t="str">
        <v/>
      </c>
      <c r="AB509" s="8" t="str">
        <v/>
      </c>
      <c r="AC509" s="8" t="str">
        <v/>
      </c>
      <c r="AD509" s="8" t="str">
        <v/>
      </c>
      <c r="AE509" s="8" t="str">
        <v/>
      </c>
      <c r="AF509" s="8" t="str">
        <v/>
      </c>
      <c r="AG509" s="8" t="str">
        <v/>
      </c>
      <c r="AH509" s="8" t="str">
        <v/>
      </c>
      <c r="AI509" s="8" t="n">
        <v>15</v>
      </c>
      <c r="AJ509" s="8" t="str">
        <v>～59</v>
      </c>
      <c r="AK509" s="8" t="str">
        <v>10～19</v>
      </c>
      <c r="AL509" s="8" t="str">
        <v>10～19</v>
      </c>
      <c r="AM509" s="8" t="str">
        <v>～99</v>
      </c>
      <c r="AN509" s="8" t="str">
        <v>12～14</v>
      </c>
      <c r="AO509" s="8" t="str">
        <f aca="false">IF(A509="","",IF(COUNTIFS(全馬データ!$A$2:$A$50000,A509,全馬データ!$B$2:$B$50000,B509,全馬データ!$C$2:$C$50000,C509,全馬データ!$D$2:$D$50000,E509,全馬データ!$K$2:$K$50000,"&lt;&gt;")=0,"",SUMIFS(全馬データ!$K$2:$K$50000,全馬データ!$A$2:$A$50000,A509,全馬データ!$B$2:$B$50000,B509,全馬データ!$C$2:$C$50000,C509,全馬データ!$D$2:$D$50000,E509)))</f>
        <v/>
      </c>
      <c r="AP509" s="8" t="str">
        <f aca="false">IF(A509="","",IF(AO509="","欠損",IF(AO509&lt;=1.1,"1.0～1.1",IF(AO509&lt;1.3,"1.2",IF(AO509&lt;1.5,"1.3～1.4",IF(AO509&lt;2,"1.5～1.9","2.0以上"))))))</f>
        <v>欠損</v>
      </c>
      <c r="AQ509" s="8" t="str">
        <f aca="false">IF(A509="","",IF(ISNUMBER(SEARCH("2歳",Z509)),"2歳戦",IF(ISNUMBER(SEARCH("3歳未勝利",Z509)),"3歳未勝利",IF(ISNUMBER(SEARCH("未勝利",Z509)),"その他未勝利",IF(ISNUMBER(SEARCH("G1",Z509)),"G1",IF(ISNUMBER(SEARCH("G2",Z509)),"G2",IF(ISNUMBER(SEARCH("G3",Z509)),"G3",IF(ISNUMBER(SEARCH("古馬条件",Z509)),"古馬条件戦",IF(ISNUMBER(SEARCH("重賞",Z509)),"重賞","分類不能")))))))))</f>
        <v>分類不能</v>
      </c>
      <c r="AR509" s="8"/>
      <c r="AS509" s="8" t="s">
        <v>7626</v>
      </c>
      <c r="AT509" s="8" t="s">
        <v>7627</v>
      </c>
      <c r="AU509" s="8" t="s">
        <v>7634</v>
      </c>
      <c r="AV509" s="8" t="s">
        <v>7635</v>
      </c>
      <c r="AW509" s="8"/>
      <c r="AX509" s="8"/>
      <c r="AY509" s="8" t="s">
        <v>7610</v>
      </c>
      <c r="AZ509" s="4" t="s">
        <v>7617</v>
      </c>
      <c r="BA509" s="8" t="n">
        <v>1600</v>
      </c>
      <c r="BB509" s="8" t="s">
        <v>7659</v>
      </c>
      <c r="BC509" s="4" t="s">
        <v>7619</v>
      </c>
      <c r="BD509" s="8" t="s">
        <v>7630</v>
      </c>
      <c r="BE509" s="4" t="s">
        <v>7606</v>
      </c>
      <c r="BF509" s="8" t="s">
        <v>7607</v>
      </c>
      <c r="BG509" s="8" t="s">
        <v>7631</v>
      </c>
      <c r="BH509" s="4" t="s">
        <v>7632</v>
      </c>
      <c r="BI509" s="8" t="n">
        <v>12</v>
      </c>
      <c r="BJ509" s="8" t="s">
        <v>7610</v>
      </c>
      <c r="BK509" s="4" t="s">
        <v>7611</v>
      </c>
      <c r="BL509" s="8" t="s">
        <v>7602</v>
      </c>
      <c r="BM509" s="4" t="s">
        <v>7620</v>
      </c>
      <c r="BN509" s="8"/>
      <c r="BO509" s="8"/>
      <c r="BP509" s="8" t="s">
        <v>7602</v>
      </c>
      <c r="BQ509" s="8" t="str">
        <f aca="false">IF(A509="","",AT509)</f>
        <v>3歳以上</v>
      </c>
      <c r="BR509" s="8" t="str">
        <f aca="false">IF(A509="","",IF(BA509&lt;=1200,"～1200",IF(BA509&lt;=1500,"1300～1500",IF(BA509=1600,"1600",IF(BA509&lt;=1800,"1700～1800",IF(BA509&lt;=2000,"1900～2000","2100以上"))))))</f>
        <v>1600</v>
      </c>
      <c r="BS509" s="8" t="str">
        <f aca="false">IF(A509="","",IF(AX509="G1","G1",IF(AX509="G2","G2",IF(AX509="G3","G3",IF(AX509="L","L","その他")))))</f>
        <v>その他</v>
      </c>
      <c r="BT509" s="8" t="str">
        <f aca="false">IF(A509="","",IF(BI509="","未結合",IF(D509=BI509,"一致","不一致")))</f>
        <v>一致</v>
      </c>
      <c r="BU509" s="8" t="str">
        <f aca="false">IF(A509="","",IF(BE509="牝馬限定","牝馬限定","その他"))</f>
        <v>その他</v>
      </c>
    </row>
    <row r="510" customFormat="false" ht="15.75" hidden="false" customHeight="false" outlineLevel="0" collapsed="false">
      <c r="A510" s="6" t="n">
        <v>46187</v>
      </c>
      <c r="B510" s="4" t="s">
        <v>4172</v>
      </c>
      <c r="C510" s="8" t="n">
        <v>1</v>
      </c>
      <c r="D510" s="8" t="n">
        <v>16</v>
      </c>
      <c r="E510" s="8" t="n">
        <v>11</v>
      </c>
      <c r="F510" s="4" t="s">
        <v>5239</v>
      </c>
      <c r="G510" s="8" t="n">
        <v>58</v>
      </c>
      <c r="H510" s="8" t="n">
        <v>13</v>
      </c>
      <c r="I510" s="4" t="s">
        <v>3609</v>
      </c>
      <c r="J510" s="8" t="n">
        <v>44</v>
      </c>
      <c r="K510" s="8" t="n">
        <v>15</v>
      </c>
      <c r="L510" s="4" t="s">
        <v>2029</v>
      </c>
      <c r="M510" s="8" t="n">
        <v>31</v>
      </c>
      <c r="N510" s="8" t="n">
        <f aca="false">IF(A510="","",G510-J510)</f>
        <v>14</v>
      </c>
      <c r="O510" s="8" t="n">
        <f aca="false">IF(A510="","",J510-M510)</f>
        <v>13</v>
      </c>
      <c r="P510" s="8" t="n">
        <f aca="false">IF(A510="","",G510+J510)</f>
        <v>102</v>
      </c>
      <c r="Q510" s="8" t="str">
        <f aca="false">IF(A510="","",IF(AND(Y510&lt;&gt;"参考",G510&gt;=ルール設定!$B$2),"○",""))</f>
        <v/>
      </c>
      <c r="R510" s="8" t="str">
        <f aca="false">IF(A510="","",IF(AND(Y510&lt;&gt;"参考",G510&gt;=ルール設定!$B$3,N510&gt;=ルール設定!$B$4),"○",""))</f>
        <v/>
      </c>
      <c r="S510" s="8" t="str">
        <f aca="false">IF(A510="","",IF(AND(Y510&lt;&gt;"参考",G510&gt;=ルール設定!$B$5,J510&gt;=ルール設定!$B$6,O510&gt;=ルール設定!$B$7),"○",""))</f>
        <v/>
      </c>
      <c r="T510" s="8" t="n">
        <v>4</v>
      </c>
      <c r="U510" s="8" t="n">
        <v>4</v>
      </c>
      <c r="V510" s="8" t="str">
        <f aca="false">IF(A510="","",IF(AND(ISNUMBER(T510),ISNUMBER(U510)),IF(AND(T510&lt;=3,U510&lt;=3),"○","×"),""))</f>
        <v>×</v>
      </c>
      <c r="W510" s="8"/>
      <c r="X510" s="8"/>
      <c r="Y510" s="4" t="s">
        <v>7597</v>
      </c>
      <c r="Z510" s="4" t="s">
        <v>4475</v>
      </c>
      <c r="AA510" s="8" t="str">
        <v/>
      </c>
      <c r="AB510" s="8" t="str">
        <v/>
      </c>
      <c r="AC510" s="8" t="str">
        <v/>
      </c>
      <c r="AD510" s="8" t="str">
        <v/>
      </c>
      <c r="AE510" s="8" t="str">
        <v/>
      </c>
      <c r="AF510" s="8" t="str">
        <v/>
      </c>
      <c r="AG510" s="8" t="str">
        <v/>
      </c>
      <c r="AH510" s="8" t="str">
        <v/>
      </c>
      <c r="AI510" s="8" t="n">
        <v>27</v>
      </c>
      <c r="AJ510" s="8" t="str">
        <v>～59</v>
      </c>
      <c r="AK510" s="8" t="str">
        <v>10～19</v>
      </c>
      <c r="AL510" s="8" t="str">
        <v>20～29</v>
      </c>
      <c r="AM510" s="8" t="str">
        <v>100～119</v>
      </c>
      <c r="AN510" s="8" t="str">
        <v>15以上</v>
      </c>
      <c r="AO510" s="8" t="str">
        <f aca="false">IF(A510="","",IF(COUNTIFS(全馬データ!$A$2:$A$50000,A510,全馬データ!$B$2:$B$50000,B510,全馬データ!$C$2:$C$50000,C510,全馬データ!$D$2:$D$50000,E510,全馬データ!$K$2:$K$50000,"&lt;&gt;")=0,"",SUMIFS(全馬データ!$K$2:$K$50000,全馬データ!$A$2:$A$50000,A510,全馬データ!$B$2:$B$50000,B510,全馬データ!$C$2:$C$50000,C510,全馬データ!$D$2:$D$50000,E510)))</f>
        <v/>
      </c>
      <c r="AP510" s="8" t="str">
        <f aca="false">IF(A510="","",IF(AO510="","欠損",IF(AO510&lt;=1.1,"1.0～1.1",IF(AO510&lt;1.3,"1.2",IF(AO510&lt;1.5,"1.3～1.4",IF(AO510&lt;2,"1.5～1.9","2.0以上"))))))</f>
        <v>欠損</v>
      </c>
      <c r="AQ510" s="8" t="str">
        <f aca="false">IF(A510="","",IF(ISNUMBER(SEARCH("2歳",Z510)),"2歳戦",IF(ISNUMBER(SEARCH("3歳未勝利",Z510)),"3歳未勝利",IF(ISNUMBER(SEARCH("未勝利",Z510)),"その他未勝利",IF(ISNUMBER(SEARCH("G1",Z510)),"G1",IF(ISNUMBER(SEARCH("G2",Z510)),"G2",IF(ISNUMBER(SEARCH("G3",Z510)),"G3",IF(ISNUMBER(SEARCH("古馬条件",Z510)),"古馬条件戦",IF(ISNUMBER(SEARCH("重賞",Z510)),"重賞","分類不能")))))))))</f>
        <v>分類不能</v>
      </c>
      <c r="AR510" s="8"/>
      <c r="AS510" s="8" t="s">
        <v>7623</v>
      </c>
      <c r="AT510" s="8" t="s">
        <v>7624</v>
      </c>
      <c r="AU510" s="8" t="s">
        <v>7600</v>
      </c>
      <c r="AV510" s="4" t="s">
        <v>7601</v>
      </c>
      <c r="AW510" s="8"/>
      <c r="AX510" s="8"/>
      <c r="AY510" s="8" t="s">
        <v>7610</v>
      </c>
      <c r="AZ510" s="4" t="s">
        <v>7617</v>
      </c>
      <c r="BA510" s="8" t="n">
        <v>1800</v>
      </c>
      <c r="BB510" s="8" t="s">
        <v>7634</v>
      </c>
      <c r="BC510" s="4" t="s">
        <v>7604</v>
      </c>
      <c r="BD510" s="8" t="s">
        <v>7621</v>
      </c>
      <c r="BE510" s="4" t="s">
        <v>7622</v>
      </c>
      <c r="BF510" s="8" t="s">
        <v>7602</v>
      </c>
      <c r="BG510" s="8" t="s">
        <v>7608</v>
      </c>
      <c r="BH510" s="4" t="s">
        <v>7609</v>
      </c>
      <c r="BI510" s="8" t="n">
        <v>16</v>
      </c>
      <c r="BJ510" s="8" t="s">
        <v>7602</v>
      </c>
      <c r="BK510" s="4" t="s">
        <v>7653</v>
      </c>
      <c r="BL510" s="8" t="s">
        <v>7602</v>
      </c>
      <c r="BM510" s="4" t="s">
        <v>7620</v>
      </c>
      <c r="BN510" s="8"/>
      <c r="BO510" s="8"/>
      <c r="BP510" s="8" t="s">
        <v>7610</v>
      </c>
      <c r="BQ510" s="8" t="str">
        <f aca="false">IF(A510="","",AT510)</f>
        <v>3歳</v>
      </c>
      <c r="BR510" s="8" t="str">
        <f aca="false">IF(A510="","",IF(BA510&lt;=1200,"～1200",IF(BA510&lt;=1500,"1300～1500",IF(BA510=1600,"1600",IF(BA510&lt;=1800,"1700～1800",IF(BA510&lt;=2000,"1900～2000","2100以上"))))))</f>
        <v>1700～1800</v>
      </c>
      <c r="BS510" s="8" t="str">
        <f aca="false">IF(A510="","",IF(AX510="G1","G1",IF(AX510="G2","G2",IF(AX510="G3","G3",IF(AX510="L","L","その他")))))</f>
        <v>その他</v>
      </c>
      <c r="BT510" s="8" t="str">
        <f aca="false">IF(A510="","",IF(BI510="","未結合",IF(D510=BI510,"一致","不一致")))</f>
        <v>一致</v>
      </c>
      <c r="BU510" s="8" t="str">
        <f aca="false">IF(A510="","",IF(BE510="牝馬限定","牝馬限定","その他"))</f>
        <v>牝馬限定</v>
      </c>
    </row>
    <row r="511" customFormat="false" ht="15.75" hidden="false" customHeight="false" outlineLevel="0" collapsed="false">
      <c r="A511" s="6" t="n">
        <v>46187</v>
      </c>
      <c r="B511" s="4" t="s">
        <v>4172</v>
      </c>
      <c r="C511" s="8" t="n">
        <v>2</v>
      </c>
      <c r="D511" s="8" t="n">
        <v>16</v>
      </c>
      <c r="E511" s="8" t="n">
        <v>4</v>
      </c>
      <c r="F511" s="4" t="s">
        <v>5243</v>
      </c>
      <c r="G511" s="8" t="n">
        <v>65</v>
      </c>
      <c r="H511" s="8" t="n">
        <v>16</v>
      </c>
      <c r="I511" s="4" t="s">
        <v>4805</v>
      </c>
      <c r="J511" s="8" t="n">
        <v>58</v>
      </c>
      <c r="K511" s="8" t="n">
        <v>10</v>
      </c>
      <c r="L511" s="4" t="s">
        <v>3974</v>
      </c>
      <c r="M511" s="8" t="n">
        <v>39</v>
      </c>
      <c r="N511" s="8" t="n">
        <f aca="false">IF(A511="","",G511-J511)</f>
        <v>7</v>
      </c>
      <c r="O511" s="8" t="n">
        <f aca="false">IF(A511="","",J511-M511)</f>
        <v>19</v>
      </c>
      <c r="P511" s="8" t="n">
        <f aca="false">IF(A511="","",G511+J511)</f>
        <v>123</v>
      </c>
      <c r="Q511" s="8" t="str">
        <f aca="false">IF(A511="","",IF(AND(Y511&lt;&gt;"参考",G511&gt;=ルール設定!$B$2),"○",""))</f>
        <v/>
      </c>
      <c r="R511" s="8" t="str">
        <f aca="false">IF(A511="","",IF(AND(Y511&lt;&gt;"参考",G511&gt;=ルール設定!$B$3,N511&gt;=ルール設定!$B$4),"○",""))</f>
        <v/>
      </c>
      <c r="S511" s="8" t="str">
        <f aca="false">IF(A511="","",IF(AND(Y511&lt;&gt;"参考",G511&gt;=ルール設定!$B$5,J511&gt;=ルール設定!$B$6,O511&gt;=ルール設定!$B$7),"○",""))</f>
        <v/>
      </c>
      <c r="T511" s="8" t="n">
        <v>4</v>
      </c>
      <c r="U511" s="8" t="n">
        <v>1</v>
      </c>
      <c r="V511" s="8" t="str">
        <f aca="false">IF(A511="","",IF(AND(ISNUMBER(T511),ISNUMBER(U511)),IF(AND(T511&lt;=3,U511&lt;=3),"○","×"),""))</f>
        <v>×</v>
      </c>
      <c r="W511" s="8"/>
      <c r="X511" s="8"/>
      <c r="Y511" s="4" t="s">
        <v>7597</v>
      </c>
      <c r="Z511" s="4" t="s">
        <v>4475</v>
      </c>
      <c r="AA511" s="8" t="str">
        <v/>
      </c>
      <c r="AB511" s="8" t="str">
        <v/>
      </c>
      <c r="AC511" s="8" t="str">
        <v/>
      </c>
      <c r="AD511" s="8" t="str">
        <v/>
      </c>
      <c r="AE511" s="8" t="str">
        <v/>
      </c>
      <c r="AF511" s="8" t="str">
        <v/>
      </c>
      <c r="AG511" s="8" t="str">
        <v/>
      </c>
      <c r="AH511" s="8" t="str">
        <v/>
      </c>
      <c r="AI511" s="8" t="n">
        <v>26</v>
      </c>
      <c r="AJ511" s="8" t="str">
        <v>60～69</v>
      </c>
      <c r="AK511" s="8" t="str">
        <v>5～9</v>
      </c>
      <c r="AL511" s="8" t="str">
        <v>20～29</v>
      </c>
      <c r="AM511" s="8" t="str">
        <v>120～139</v>
      </c>
      <c r="AN511" s="8" t="str">
        <v>15以上</v>
      </c>
      <c r="AO511" s="8" t="str">
        <f aca="false">IF(A511="","",IF(COUNTIFS(全馬データ!$A$2:$A$50000,A511,全馬データ!$B$2:$B$50000,B511,全馬データ!$C$2:$C$50000,C511,全馬データ!$D$2:$D$50000,E511,全馬データ!$K$2:$K$50000,"&lt;&gt;")=0,"",SUMIFS(全馬データ!$K$2:$K$50000,全馬データ!$A$2:$A$50000,A511,全馬データ!$B$2:$B$50000,B511,全馬データ!$C$2:$C$50000,C511,全馬データ!$D$2:$D$50000,E511)))</f>
        <v/>
      </c>
      <c r="AP511" s="8" t="str">
        <f aca="false">IF(A511="","",IF(AO511="","欠損",IF(AO511&lt;=1.1,"1.0～1.1",IF(AO511&lt;1.3,"1.2",IF(AO511&lt;1.5,"1.3～1.4",IF(AO511&lt;2,"1.5～1.9","2.0以上"))))))</f>
        <v>欠損</v>
      </c>
      <c r="AQ511" s="8" t="str">
        <f aca="false">IF(A511="","",IF(ISNUMBER(SEARCH("2歳",Z511)),"2歳戦",IF(ISNUMBER(SEARCH("3歳未勝利",Z511)),"3歳未勝利",IF(ISNUMBER(SEARCH("未勝利",Z511)),"その他未勝利",IF(ISNUMBER(SEARCH("G1",Z511)),"G1",IF(ISNUMBER(SEARCH("G2",Z511)),"G2",IF(ISNUMBER(SEARCH("G3",Z511)),"G3",IF(ISNUMBER(SEARCH("古馬条件",Z511)),"古馬条件戦",IF(ISNUMBER(SEARCH("重賞",Z511)),"重賞","分類不能")))))))))</f>
        <v>分類不能</v>
      </c>
      <c r="AR511" s="8"/>
      <c r="AS511" s="8" t="s">
        <v>7623</v>
      </c>
      <c r="AT511" s="8" t="s">
        <v>7624</v>
      </c>
      <c r="AU511" s="8" t="s">
        <v>7600</v>
      </c>
      <c r="AV511" s="4" t="s">
        <v>7601</v>
      </c>
      <c r="AW511" s="8"/>
      <c r="AX511" s="8"/>
      <c r="AY511" s="8" t="s">
        <v>7610</v>
      </c>
      <c r="AZ511" s="4" t="s">
        <v>7617</v>
      </c>
      <c r="BA511" s="8" t="n">
        <v>1400</v>
      </c>
      <c r="BB511" s="8" t="s">
        <v>7634</v>
      </c>
      <c r="BC511" s="4" t="s">
        <v>7604</v>
      </c>
      <c r="BD511" s="8" t="s">
        <v>7605</v>
      </c>
      <c r="BE511" s="4" t="s">
        <v>7606</v>
      </c>
      <c r="BF511" s="8" t="s">
        <v>7607</v>
      </c>
      <c r="BG511" s="8" t="s">
        <v>7608</v>
      </c>
      <c r="BH511" s="4" t="s">
        <v>7609</v>
      </c>
      <c r="BI511" s="8" t="n">
        <v>16</v>
      </c>
      <c r="BJ511" s="8" t="s">
        <v>7602</v>
      </c>
      <c r="BK511" s="4" t="s">
        <v>7653</v>
      </c>
      <c r="BL511" s="8" t="s">
        <v>7602</v>
      </c>
      <c r="BM511" s="4" t="s">
        <v>7620</v>
      </c>
      <c r="BN511" s="8"/>
      <c r="BO511" s="8"/>
      <c r="BP511" s="8" t="s">
        <v>7610</v>
      </c>
      <c r="BQ511" s="8" t="str">
        <f aca="false">IF(A511="","",AT511)</f>
        <v>3歳</v>
      </c>
      <c r="BR511" s="8" t="str">
        <f aca="false">IF(A511="","",IF(BA511&lt;=1200,"～1200",IF(BA511&lt;=1500,"1300～1500",IF(BA511=1600,"1600",IF(BA511&lt;=1800,"1700～1800",IF(BA511&lt;=2000,"1900～2000","2100以上"))))))</f>
        <v>1300～1500</v>
      </c>
      <c r="BS511" s="8" t="str">
        <f aca="false">IF(A511="","",IF(AX511="G1","G1",IF(AX511="G2","G2",IF(AX511="G3","G3",IF(AX511="L","L","その他")))))</f>
        <v>その他</v>
      </c>
      <c r="BT511" s="8" t="str">
        <f aca="false">IF(A511="","",IF(BI511="","未結合",IF(D511=BI511,"一致","不一致")))</f>
        <v>一致</v>
      </c>
      <c r="BU511" s="8" t="str">
        <f aca="false">IF(A511="","",IF(BE511="牝馬限定","牝馬限定","その他"))</f>
        <v>その他</v>
      </c>
    </row>
    <row r="512" customFormat="false" ht="15.75" hidden="false" customHeight="false" outlineLevel="0" collapsed="false">
      <c r="A512" s="6" t="n">
        <v>46187</v>
      </c>
      <c r="B512" s="4" t="s">
        <v>4172</v>
      </c>
      <c r="C512" s="8" t="n">
        <v>3</v>
      </c>
      <c r="D512" s="8" t="n">
        <v>16</v>
      </c>
      <c r="E512" s="8" t="n">
        <v>16</v>
      </c>
      <c r="F512" s="4" t="s">
        <v>5259</v>
      </c>
      <c r="G512" s="8" t="n">
        <v>66</v>
      </c>
      <c r="H512" s="8" t="n">
        <v>1</v>
      </c>
      <c r="I512" s="4" t="s">
        <v>3821</v>
      </c>
      <c r="J512" s="8" t="n">
        <v>65</v>
      </c>
      <c r="K512" s="8" t="n">
        <v>14</v>
      </c>
      <c r="L512" s="4" t="s">
        <v>5258</v>
      </c>
      <c r="M512" s="8" t="n">
        <v>50</v>
      </c>
      <c r="N512" s="8" t="n">
        <f aca="false">IF(A512="","",G512-J512)</f>
        <v>1</v>
      </c>
      <c r="O512" s="8" t="n">
        <f aca="false">IF(A512="","",J512-M512)</f>
        <v>15</v>
      </c>
      <c r="P512" s="8" t="n">
        <f aca="false">IF(A512="","",G512+J512)</f>
        <v>131</v>
      </c>
      <c r="Q512" s="8" t="str">
        <f aca="false">IF(A512="","",IF(AND(Y512&lt;&gt;"参考",G512&gt;=ルール設定!$B$2),"○",""))</f>
        <v/>
      </c>
      <c r="R512" s="8" t="str">
        <f aca="false">IF(A512="","",IF(AND(Y512&lt;&gt;"参考",G512&gt;=ルール設定!$B$3,N512&gt;=ルール設定!$B$4),"○",""))</f>
        <v/>
      </c>
      <c r="S512" s="8" t="str">
        <f aca="false">IF(A512="","",IF(AND(Y512&lt;&gt;"参考",G512&gt;=ルール設定!$B$5,J512&gt;=ルール設定!$B$6,O512&gt;=ルール設定!$B$7),"○",""))</f>
        <v/>
      </c>
      <c r="T512" s="8" t="n">
        <v>4</v>
      </c>
      <c r="U512" s="8" t="n">
        <v>4</v>
      </c>
      <c r="V512" s="8" t="str">
        <f aca="false">IF(A512="","",IF(AND(ISNUMBER(T512),ISNUMBER(U512)),IF(AND(T512&lt;=3,U512&lt;=3),"○","×"),""))</f>
        <v>×</v>
      </c>
      <c r="W512" s="8"/>
      <c r="X512" s="8"/>
      <c r="Y512" s="4" t="s">
        <v>7597</v>
      </c>
      <c r="Z512" s="4" t="s">
        <v>4475</v>
      </c>
      <c r="AA512" s="8" t="str">
        <v/>
      </c>
      <c r="AB512" s="8" t="str">
        <v/>
      </c>
      <c r="AC512" s="8" t="str">
        <v/>
      </c>
      <c r="AD512" s="8" t="str">
        <v/>
      </c>
      <c r="AE512" s="8" t="str">
        <v/>
      </c>
      <c r="AF512" s="8" t="str">
        <v/>
      </c>
      <c r="AG512" s="8" t="str">
        <v/>
      </c>
      <c r="AH512" s="8" t="str">
        <v/>
      </c>
      <c r="AI512" s="8" t="n">
        <v>16</v>
      </c>
      <c r="AJ512" s="8" t="str">
        <v>60～69</v>
      </c>
      <c r="AK512" s="8" t="str">
        <v>0～4</v>
      </c>
      <c r="AL512" s="8" t="str">
        <v>10～19</v>
      </c>
      <c r="AM512" s="8" t="str">
        <v>120～139</v>
      </c>
      <c r="AN512" s="8" t="str">
        <v>15以上</v>
      </c>
      <c r="AO512" s="8" t="str">
        <f aca="false">IF(A512="","",IF(COUNTIFS(全馬データ!$A$2:$A$50000,A512,全馬データ!$B$2:$B$50000,B512,全馬データ!$C$2:$C$50000,C512,全馬データ!$D$2:$D$50000,E512,全馬データ!$K$2:$K$50000,"&lt;&gt;")=0,"",SUMIFS(全馬データ!$K$2:$K$50000,全馬データ!$A$2:$A$50000,A512,全馬データ!$B$2:$B$50000,B512,全馬データ!$C$2:$C$50000,C512,全馬データ!$D$2:$D$50000,E512)))</f>
        <v/>
      </c>
      <c r="AP512" s="8" t="str">
        <f aca="false">IF(A512="","",IF(AO512="","欠損",IF(AO512&lt;=1.1,"1.0～1.1",IF(AO512&lt;1.3,"1.2",IF(AO512&lt;1.5,"1.3～1.4",IF(AO512&lt;2,"1.5～1.9","2.0以上"))))))</f>
        <v>欠損</v>
      </c>
      <c r="AQ512" s="8" t="str">
        <f aca="false">IF(A512="","",IF(ISNUMBER(SEARCH("2歳",Z512)),"2歳戦",IF(ISNUMBER(SEARCH("3歳未勝利",Z512)),"3歳未勝利",IF(ISNUMBER(SEARCH("未勝利",Z512)),"その他未勝利",IF(ISNUMBER(SEARCH("G1",Z512)),"G1",IF(ISNUMBER(SEARCH("G2",Z512)),"G2",IF(ISNUMBER(SEARCH("G3",Z512)),"G3",IF(ISNUMBER(SEARCH("古馬条件",Z512)),"古馬条件戦",IF(ISNUMBER(SEARCH("重賞",Z512)),"重賞","分類不能")))))))))</f>
        <v>分類不能</v>
      </c>
      <c r="AR512" s="8"/>
      <c r="AS512" s="8" t="s">
        <v>7623</v>
      </c>
      <c r="AT512" s="8" t="s">
        <v>7624</v>
      </c>
      <c r="AU512" s="8" t="s">
        <v>7600</v>
      </c>
      <c r="AV512" s="4" t="s">
        <v>7601</v>
      </c>
      <c r="AW512" s="8"/>
      <c r="AX512" s="8"/>
      <c r="AY512" s="8" t="s">
        <v>7610</v>
      </c>
      <c r="AZ512" s="4" t="s">
        <v>7617</v>
      </c>
      <c r="BA512" s="8" t="n">
        <v>1800</v>
      </c>
      <c r="BB512" s="8" t="s">
        <v>7634</v>
      </c>
      <c r="BC512" s="4" t="s">
        <v>7604</v>
      </c>
      <c r="BD512" s="8" t="s">
        <v>7625</v>
      </c>
      <c r="BE512" s="4" t="s">
        <v>7606</v>
      </c>
      <c r="BF512" s="8" t="s">
        <v>7607</v>
      </c>
      <c r="BG512" s="8" t="s">
        <v>7608</v>
      </c>
      <c r="BH512" s="4" t="s">
        <v>7609</v>
      </c>
      <c r="BI512" s="8" t="n">
        <v>16</v>
      </c>
      <c r="BJ512" s="8" t="s">
        <v>7602</v>
      </c>
      <c r="BK512" s="4" t="s">
        <v>7653</v>
      </c>
      <c r="BL512" s="8" t="s">
        <v>7602</v>
      </c>
      <c r="BM512" s="4" t="s">
        <v>7620</v>
      </c>
      <c r="BN512" s="8"/>
      <c r="BO512" s="8"/>
      <c r="BP512" s="8" t="s">
        <v>7610</v>
      </c>
      <c r="BQ512" s="8" t="str">
        <f aca="false">IF(A512="","",AT512)</f>
        <v>3歳</v>
      </c>
      <c r="BR512" s="8" t="str">
        <f aca="false">IF(A512="","",IF(BA512&lt;=1200,"～1200",IF(BA512&lt;=1500,"1300～1500",IF(BA512=1600,"1600",IF(BA512&lt;=1800,"1700～1800",IF(BA512&lt;=2000,"1900～2000","2100以上"))))))</f>
        <v>1700～1800</v>
      </c>
      <c r="BS512" s="8" t="str">
        <f aca="false">IF(A512="","",IF(AX512="G1","G1",IF(AX512="G2","G2",IF(AX512="G3","G3",IF(AX512="L","L","その他")))))</f>
        <v>その他</v>
      </c>
      <c r="BT512" s="8" t="str">
        <f aca="false">IF(A512="","",IF(BI512="","未結合",IF(D512=BI512,"一致","不一致")))</f>
        <v>一致</v>
      </c>
      <c r="BU512" s="8" t="str">
        <f aca="false">IF(A512="","",IF(BE512="牝馬限定","牝馬限定","その他"))</f>
        <v>その他</v>
      </c>
    </row>
    <row r="513" customFormat="false" ht="15.75" hidden="false" customHeight="false" outlineLevel="0" collapsed="false">
      <c r="A513" s="6" t="n">
        <v>46187</v>
      </c>
      <c r="B513" s="4" t="s">
        <v>4172</v>
      </c>
      <c r="C513" s="8" t="n">
        <v>4</v>
      </c>
      <c r="D513" s="8" t="n">
        <v>17</v>
      </c>
      <c r="E513" s="8" t="n">
        <v>6</v>
      </c>
      <c r="F513" s="4" t="s">
        <v>5260</v>
      </c>
      <c r="G513" s="8" t="n">
        <v>74</v>
      </c>
      <c r="H513" s="8" t="n">
        <v>13</v>
      </c>
      <c r="I513" s="4" t="s">
        <v>5263</v>
      </c>
      <c r="J513" s="8" t="n">
        <v>47</v>
      </c>
      <c r="K513" s="8" t="n">
        <v>5</v>
      </c>
      <c r="L513" s="4" t="s">
        <v>652</v>
      </c>
      <c r="M513" s="8" t="n">
        <v>37</v>
      </c>
      <c r="N513" s="8" t="n">
        <f aca="false">IF(A513="","",G513-J513)</f>
        <v>27</v>
      </c>
      <c r="O513" s="8" t="n">
        <f aca="false">IF(A513="","",J513-M513)</f>
        <v>10</v>
      </c>
      <c r="P513" s="8" t="n">
        <f aca="false">IF(A513="","",G513+J513)</f>
        <v>121</v>
      </c>
      <c r="Q513" s="8" t="str">
        <f aca="false">IF(A513="","",IF(AND(Y513&lt;&gt;"参考",G513&gt;=ルール設定!$B$2),"○",""))</f>
        <v/>
      </c>
      <c r="R513" s="8" t="str">
        <f aca="false">IF(A513="","",IF(AND(Y513&lt;&gt;"参考",G513&gt;=ルール設定!$B$3,N513&gt;=ルール設定!$B$4),"○",""))</f>
        <v/>
      </c>
      <c r="S513" s="8" t="str">
        <f aca="false">IF(A513="","",IF(AND(Y513&lt;&gt;"参考",G513&gt;=ルール設定!$B$5,J513&gt;=ルール設定!$B$6,O513&gt;=ルール設定!$B$7),"○",""))</f>
        <v/>
      </c>
      <c r="T513" s="8" t="n">
        <v>1</v>
      </c>
      <c r="U513" s="8" t="n">
        <v>4</v>
      </c>
      <c r="V513" s="8" t="str">
        <f aca="false">IF(A513="","",IF(AND(ISNUMBER(T513),ISNUMBER(U513)),IF(AND(T513&lt;=3,U513&lt;=3),"○","×"),""))</f>
        <v>×</v>
      </c>
      <c r="W513" s="8" t="n">
        <v>140</v>
      </c>
      <c r="X513" s="8"/>
      <c r="Y513" s="4" t="s">
        <v>7597</v>
      </c>
      <c r="Z513" s="4" t="s">
        <v>4475</v>
      </c>
      <c r="AA513" s="8" t="str">
        <v/>
      </c>
      <c r="AB513" s="8" t="str">
        <v/>
      </c>
      <c r="AC513" s="8" t="str">
        <v/>
      </c>
      <c r="AD513" s="8" t="str">
        <v/>
      </c>
      <c r="AE513" s="8" t="str">
        <v/>
      </c>
      <c r="AF513" s="8" t="str">
        <v/>
      </c>
      <c r="AG513" s="8" t="str">
        <v/>
      </c>
      <c r="AH513" s="8" t="str">
        <v/>
      </c>
      <c r="AI513" s="8" t="n">
        <v>37</v>
      </c>
      <c r="AJ513" s="8" t="str">
        <v>70～74</v>
      </c>
      <c r="AK513" s="8" t="str">
        <v>20～29</v>
      </c>
      <c r="AL513" s="8" t="str">
        <v>30～39</v>
      </c>
      <c r="AM513" s="8" t="str">
        <v>120～139</v>
      </c>
      <c r="AN513" s="8" t="str">
        <v>15以上</v>
      </c>
      <c r="AO513" s="8" t="str">
        <f aca="false">IF(A513="","",IF(COUNTIFS(全馬データ!$A$2:$A$50000,A513,全馬データ!$B$2:$B$50000,B513,全馬データ!$C$2:$C$50000,C513,全馬データ!$D$2:$D$50000,E513,全馬データ!$K$2:$K$50000,"&lt;&gt;")=0,"",SUMIFS(全馬データ!$K$2:$K$50000,全馬データ!$A$2:$A$50000,A513,全馬データ!$B$2:$B$50000,B513,全馬データ!$C$2:$C$50000,C513,全馬データ!$D$2:$D$50000,E513)))</f>
        <v/>
      </c>
      <c r="AP513" s="8" t="str">
        <f aca="false">IF(A513="","",IF(AO513="","欠損",IF(AO513&lt;=1.1,"1.0～1.1",IF(AO513&lt;1.3,"1.2",IF(AO513&lt;1.5,"1.3～1.4",IF(AO513&lt;2,"1.5～1.9","2.0以上"))))))</f>
        <v>欠損</v>
      </c>
      <c r="AQ513" s="8" t="str">
        <f aca="false">IF(A513="","",IF(ISNUMBER(SEARCH("2歳",Z513)),"2歳戦",IF(ISNUMBER(SEARCH("3歳未勝利",Z513)),"3歳未勝利",IF(ISNUMBER(SEARCH("未勝利",Z513)),"その他未勝利",IF(ISNUMBER(SEARCH("G1",Z513)),"G1",IF(ISNUMBER(SEARCH("G2",Z513)),"G2",IF(ISNUMBER(SEARCH("G3",Z513)),"G3",IF(ISNUMBER(SEARCH("古馬条件",Z513)),"古馬条件戦",IF(ISNUMBER(SEARCH("重賞",Z513)),"重賞","分類不能")))))))))</f>
        <v>分類不能</v>
      </c>
      <c r="AR513" s="8"/>
      <c r="AS513" s="8" t="s">
        <v>7623</v>
      </c>
      <c r="AT513" s="8" t="s">
        <v>7624</v>
      </c>
      <c r="AU513" s="8" t="s">
        <v>7600</v>
      </c>
      <c r="AV513" s="4" t="s">
        <v>7601</v>
      </c>
      <c r="AW513" s="8"/>
      <c r="AX513" s="8"/>
      <c r="AY513" s="8" t="s">
        <v>7602</v>
      </c>
      <c r="AZ513" s="4" t="s">
        <v>7603</v>
      </c>
      <c r="BA513" s="8" t="n">
        <v>2200</v>
      </c>
      <c r="BB513" s="8" t="s">
        <v>7598</v>
      </c>
      <c r="BC513" s="4" t="s">
        <v>7604</v>
      </c>
      <c r="BD513" s="8" t="s">
        <v>7625</v>
      </c>
      <c r="BE513" s="4" t="s">
        <v>7606</v>
      </c>
      <c r="BF513" s="8" t="s">
        <v>7607</v>
      </c>
      <c r="BG513" s="8" t="s">
        <v>7608</v>
      </c>
      <c r="BH513" s="4" t="s">
        <v>7609</v>
      </c>
      <c r="BI513" s="8" t="n">
        <v>17</v>
      </c>
      <c r="BJ513" s="8" t="s">
        <v>7602</v>
      </c>
      <c r="BK513" s="4" t="s">
        <v>7653</v>
      </c>
      <c r="BL513" s="8" t="s">
        <v>7602</v>
      </c>
      <c r="BM513" s="4" t="s">
        <v>7620</v>
      </c>
      <c r="BN513" s="8" t="s">
        <v>7631</v>
      </c>
      <c r="BO513" s="8" t="s">
        <v>7680</v>
      </c>
      <c r="BP513" s="8" t="s">
        <v>7610</v>
      </c>
      <c r="BQ513" s="8" t="str">
        <f aca="false">IF(A513="","",AT513)</f>
        <v>3歳</v>
      </c>
      <c r="BR513" s="8" t="str">
        <f aca="false">IF(A513="","",IF(BA513&lt;=1200,"～1200",IF(BA513&lt;=1500,"1300～1500",IF(BA513=1600,"1600",IF(BA513&lt;=1800,"1700～1800",IF(BA513&lt;=2000,"1900～2000","2100以上"))))))</f>
        <v>2100以上</v>
      </c>
      <c r="BS513" s="8" t="str">
        <f aca="false">IF(A513="","",IF(AX513="G1","G1",IF(AX513="G2","G2",IF(AX513="G3","G3",IF(AX513="L","L","その他")))))</f>
        <v>その他</v>
      </c>
      <c r="BT513" s="8" t="str">
        <f aca="false">IF(A513="","",IF(BI513="","未結合",IF(D513=BI513,"一致","不一致")))</f>
        <v>一致</v>
      </c>
      <c r="BU513" s="8" t="str">
        <f aca="false">IF(A513="","",IF(BE513="牝馬限定","牝馬限定","その他"))</f>
        <v>その他</v>
      </c>
    </row>
    <row r="514" customFormat="false" ht="15.75" hidden="false" customHeight="false" outlineLevel="0" collapsed="false">
      <c r="A514" s="6" t="n">
        <v>46187</v>
      </c>
      <c r="B514" s="4" t="s">
        <v>4172</v>
      </c>
      <c r="C514" s="8" t="n">
        <v>5</v>
      </c>
      <c r="D514" s="8" t="n">
        <v>8</v>
      </c>
      <c r="E514" s="8" t="n">
        <v>8</v>
      </c>
      <c r="F514" s="4" t="s">
        <v>3579</v>
      </c>
      <c r="G514" s="8" t="n">
        <v>37</v>
      </c>
      <c r="H514" s="8" t="n">
        <v>5</v>
      </c>
      <c r="I514" s="4" t="s">
        <v>5269</v>
      </c>
      <c r="J514" s="8" t="n">
        <v>31</v>
      </c>
      <c r="K514" s="8" t="n">
        <v>6</v>
      </c>
      <c r="L514" s="4" t="s">
        <v>5270</v>
      </c>
      <c r="M514" s="8" t="n">
        <v>24</v>
      </c>
      <c r="N514" s="8" t="n">
        <f aca="false">IF(A514="","",G514-J514)</f>
        <v>6</v>
      </c>
      <c r="O514" s="8" t="n">
        <f aca="false">IF(A514="","",J514-M514)</f>
        <v>7</v>
      </c>
      <c r="P514" s="8" t="n">
        <f aca="false">IF(A514="","",G514+J514)</f>
        <v>68</v>
      </c>
      <c r="Q514" s="8" t="str">
        <f aca="false">IF(A514="","",IF(AND(Y514&lt;&gt;"参考",G514&gt;=ルール設定!$B$2),"○",""))</f>
        <v/>
      </c>
      <c r="R514" s="8" t="str">
        <f aca="false">IF(A514="","",IF(AND(Y514&lt;&gt;"参考",G514&gt;=ルール設定!$B$3,N514&gt;=ルール設定!$B$4),"○",""))</f>
        <v/>
      </c>
      <c r="S514" s="8" t="str">
        <f aca="false">IF(A514="","",IF(AND(Y514&lt;&gt;"参考",G514&gt;=ルール設定!$B$5,J514&gt;=ルール設定!$B$6,O514&gt;=ルール設定!$B$7),"○",""))</f>
        <v/>
      </c>
      <c r="T514" s="8" t="n">
        <v>4</v>
      </c>
      <c r="U514" s="8" t="n">
        <v>4</v>
      </c>
      <c r="V514" s="8" t="str">
        <f aca="false">IF(A514="","",IF(AND(ISNUMBER(T514),ISNUMBER(U514)),IF(AND(T514&lt;=3,U514&lt;=3),"○","×"),""))</f>
        <v>×</v>
      </c>
      <c r="W514" s="8"/>
      <c r="X514" s="8"/>
      <c r="Y514" s="4" t="s">
        <v>7597</v>
      </c>
      <c r="Z514" s="4" t="s">
        <v>4475</v>
      </c>
      <c r="AA514" s="8" t="str">
        <v/>
      </c>
      <c r="AB514" s="8" t="str">
        <v/>
      </c>
      <c r="AC514" s="8" t="str">
        <v/>
      </c>
      <c r="AD514" s="8" t="str">
        <v/>
      </c>
      <c r="AE514" s="8" t="str">
        <v/>
      </c>
      <c r="AF514" s="8" t="str">
        <v/>
      </c>
      <c r="AG514" s="8" t="str">
        <v/>
      </c>
      <c r="AH514" s="8" t="str">
        <v/>
      </c>
      <c r="AI514" s="8" t="n">
        <v>13</v>
      </c>
      <c r="AJ514" s="8" t="str">
        <v>～59</v>
      </c>
      <c r="AK514" s="8" t="str">
        <v>5～9</v>
      </c>
      <c r="AL514" s="8" t="str">
        <v>10～19</v>
      </c>
      <c r="AM514" s="8" t="str">
        <v>～99</v>
      </c>
      <c r="AN514" s="8" t="str">
        <v>8～11</v>
      </c>
      <c r="AO514" s="8" t="str">
        <f aca="false">IF(A514="","",IF(COUNTIFS(全馬データ!$A$2:$A$50000,A514,全馬データ!$B$2:$B$50000,B514,全馬データ!$C$2:$C$50000,C514,全馬データ!$D$2:$D$50000,E514,全馬データ!$K$2:$K$50000,"&lt;&gt;")=0,"",SUMIFS(全馬データ!$K$2:$K$50000,全馬データ!$A$2:$A$50000,A514,全馬データ!$B$2:$B$50000,B514,全馬データ!$C$2:$C$50000,C514,全馬データ!$D$2:$D$50000,E514)))</f>
        <v/>
      </c>
      <c r="AP514" s="8" t="str">
        <f aca="false">IF(A514="","",IF(AO514="","欠損",IF(AO514&lt;=1.1,"1.0～1.1",IF(AO514&lt;1.3,"1.2",IF(AO514&lt;1.5,"1.3～1.4",IF(AO514&lt;2,"1.5～1.9","2.0以上"))))))</f>
        <v>欠損</v>
      </c>
      <c r="AQ514" s="8" t="str">
        <f aca="false">IF(A514="","",IF(ISNUMBER(SEARCH("2歳",Z514)),"2歳戦",IF(ISNUMBER(SEARCH("3歳未勝利",Z514)),"3歳未勝利",IF(ISNUMBER(SEARCH("未勝利",Z514)),"その他未勝利",IF(ISNUMBER(SEARCH("G1",Z514)),"G1",IF(ISNUMBER(SEARCH("G2",Z514)),"G2",IF(ISNUMBER(SEARCH("G3",Z514)),"G3",IF(ISNUMBER(SEARCH("古馬条件",Z514)),"古馬条件戦",IF(ISNUMBER(SEARCH("重賞",Z514)),"重賞","分類不能")))))))))</f>
        <v>分類不能</v>
      </c>
      <c r="AR514" s="8"/>
      <c r="AS514" s="8" t="s">
        <v>7598</v>
      </c>
      <c r="AT514" s="8" t="s">
        <v>7599</v>
      </c>
      <c r="AU514" s="8" t="s">
        <v>7615</v>
      </c>
      <c r="AV514" s="4" t="s">
        <v>7616</v>
      </c>
      <c r="AW514" s="8"/>
      <c r="AX514" s="8"/>
      <c r="AY514" s="8" t="s">
        <v>7602</v>
      </c>
      <c r="AZ514" s="4" t="s">
        <v>7603</v>
      </c>
      <c r="BA514" s="8" t="n">
        <v>1800</v>
      </c>
      <c r="BB514" s="8" t="s">
        <v>7598</v>
      </c>
      <c r="BC514" s="4" t="s">
        <v>7604</v>
      </c>
      <c r="BD514" s="8" t="s">
        <v>7605</v>
      </c>
      <c r="BE514" s="4" t="s">
        <v>7606</v>
      </c>
      <c r="BF514" s="8" t="s">
        <v>7607</v>
      </c>
      <c r="BG514" s="8" t="s">
        <v>7608</v>
      </c>
      <c r="BH514" s="4" t="s">
        <v>7609</v>
      </c>
      <c r="BI514" s="8" t="n">
        <v>8</v>
      </c>
      <c r="BJ514" s="8" t="s">
        <v>7602</v>
      </c>
      <c r="BK514" s="4" t="s">
        <v>7653</v>
      </c>
      <c r="BL514" s="8" t="s">
        <v>7610</v>
      </c>
      <c r="BM514" s="4" t="s">
        <v>7612</v>
      </c>
      <c r="BN514" s="8" t="s">
        <v>7631</v>
      </c>
      <c r="BO514" s="8" t="s">
        <v>7680</v>
      </c>
      <c r="BP514" s="8" t="s">
        <v>7610</v>
      </c>
      <c r="BQ514" s="8" t="str">
        <f aca="false">IF(A514="","",AT514)</f>
        <v>2歳</v>
      </c>
      <c r="BR514" s="8" t="str">
        <f aca="false">IF(A514="","",IF(BA514&lt;=1200,"～1200",IF(BA514&lt;=1500,"1300～1500",IF(BA514=1600,"1600",IF(BA514&lt;=1800,"1700～1800",IF(BA514&lt;=2000,"1900～2000","2100以上"))))))</f>
        <v>1700～1800</v>
      </c>
      <c r="BS514" s="8" t="str">
        <f aca="false">IF(A514="","",IF(AX514="G1","G1",IF(AX514="G2","G2",IF(AX514="G3","G3",IF(AX514="L","L","その他")))))</f>
        <v>その他</v>
      </c>
      <c r="BT514" s="8" t="str">
        <f aca="false">IF(A514="","",IF(BI514="","未結合",IF(D514=BI514,"一致","不一致")))</f>
        <v>一致</v>
      </c>
      <c r="BU514" s="8" t="str">
        <f aca="false">IF(A514="","",IF(BE514="牝馬限定","牝馬限定","その他"))</f>
        <v>その他</v>
      </c>
    </row>
    <row r="515" customFormat="false" ht="15.75" hidden="false" customHeight="false" outlineLevel="0" collapsed="false">
      <c r="A515" s="6" t="n">
        <v>46187</v>
      </c>
      <c r="B515" s="4" t="s">
        <v>4172</v>
      </c>
      <c r="C515" s="8" t="n">
        <v>6</v>
      </c>
      <c r="D515" s="8" t="n">
        <v>16</v>
      </c>
      <c r="E515" s="8" t="n">
        <v>7</v>
      </c>
      <c r="F515" s="4" t="s">
        <v>5277</v>
      </c>
      <c r="G515" s="8" t="n">
        <v>50</v>
      </c>
      <c r="H515" s="8" t="n">
        <v>11</v>
      </c>
      <c r="I515" s="4" t="s">
        <v>5279</v>
      </c>
      <c r="J515" s="8" t="n">
        <v>44</v>
      </c>
      <c r="K515" s="8" t="n">
        <v>8</v>
      </c>
      <c r="L515" s="4" t="s">
        <v>2880</v>
      </c>
      <c r="M515" s="8" t="n">
        <v>41</v>
      </c>
      <c r="N515" s="8" t="n">
        <f aca="false">IF(A515="","",G515-J515)</f>
        <v>6</v>
      </c>
      <c r="O515" s="8" t="n">
        <f aca="false">IF(A515="","",J515-M515)</f>
        <v>3</v>
      </c>
      <c r="P515" s="8" t="n">
        <f aca="false">IF(A515="","",G515+J515)</f>
        <v>94</v>
      </c>
      <c r="Q515" s="8" t="str">
        <f aca="false">IF(A515="","",IF(AND(Y515&lt;&gt;"参考",G515&gt;=ルール設定!$B$2),"○",""))</f>
        <v/>
      </c>
      <c r="R515" s="8" t="str">
        <f aca="false">IF(A515="","",IF(AND(Y515&lt;&gt;"参考",G515&gt;=ルール設定!$B$3,N515&gt;=ルール設定!$B$4),"○",""))</f>
        <v/>
      </c>
      <c r="S515" s="8" t="str">
        <f aca="false">IF(A515="","",IF(AND(Y515&lt;&gt;"参考",G515&gt;=ルール設定!$B$5,J515&gt;=ルール設定!$B$6,O515&gt;=ルール設定!$B$7),"○",""))</f>
        <v/>
      </c>
      <c r="T515" s="8" t="n">
        <v>4</v>
      </c>
      <c r="U515" s="8" t="n">
        <v>4</v>
      </c>
      <c r="V515" s="8" t="str">
        <f aca="false">IF(A515="","",IF(AND(ISNUMBER(T515),ISNUMBER(U515)),IF(AND(T515&lt;=3,U515&lt;=3),"○","×"),""))</f>
        <v>×</v>
      </c>
      <c r="W515" s="8"/>
      <c r="X515" s="8"/>
      <c r="Y515" s="4" t="s">
        <v>7597</v>
      </c>
      <c r="Z515" s="4" t="s">
        <v>4475</v>
      </c>
      <c r="AA515" s="8" t="str">
        <v/>
      </c>
      <c r="AB515" s="8" t="str">
        <v/>
      </c>
      <c r="AC515" s="8" t="str">
        <v/>
      </c>
      <c r="AD515" s="8" t="str">
        <v/>
      </c>
      <c r="AE515" s="8" t="str">
        <v/>
      </c>
      <c r="AF515" s="8" t="str">
        <v/>
      </c>
      <c r="AG515" s="8" t="str">
        <v/>
      </c>
      <c r="AH515" s="8" t="str">
        <v/>
      </c>
      <c r="AI515" s="8" t="n">
        <v>9</v>
      </c>
      <c r="AJ515" s="8" t="str">
        <v>～59</v>
      </c>
      <c r="AK515" s="8" t="str">
        <v>5～9</v>
      </c>
      <c r="AL515" s="8" t="str">
        <v>0～9</v>
      </c>
      <c r="AM515" s="8" t="str">
        <v>～99</v>
      </c>
      <c r="AN515" s="8" t="str">
        <v>15以上</v>
      </c>
      <c r="AO515" s="8" t="str">
        <f aca="false">IF(A515="","",IF(COUNTIFS(全馬データ!$A$2:$A$50000,A515,全馬データ!$B$2:$B$50000,B515,全馬データ!$C$2:$C$50000,C515,全馬データ!$D$2:$D$50000,E515,全馬データ!$K$2:$K$50000,"&lt;&gt;")=0,"",SUMIFS(全馬データ!$K$2:$K$50000,全馬データ!$A$2:$A$50000,A515,全馬データ!$B$2:$B$50000,B515,全馬データ!$C$2:$C$50000,C515,全馬データ!$D$2:$D$50000,E515)))</f>
        <v/>
      </c>
      <c r="AP515" s="8" t="str">
        <f aca="false">IF(A515="","",IF(AO515="","欠損",IF(AO515&lt;=1.1,"1.0～1.1",IF(AO515&lt;1.3,"1.2",IF(AO515&lt;1.5,"1.3～1.4",IF(AO515&lt;2,"1.5～1.9","2.0以上"))))))</f>
        <v>欠損</v>
      </c>
      <c r="AQ515" s="8" t="str">
        <f aca="false">IF(A515="","",IF(ISNUMBER(SEARCH("2歳",Z515)),"2歳戦",IF(ISNUMBER(SEARCH("3歳未勝利",Z515)),"3歳未勝利",IF(ISNUMBER(SEARCH("未勝利",Z515)),"その他未勝利",IF(ISNUMBER(SEARCH("G1",Z515)),"G1",IF(ISNUMBER(SEARCH("G2",Z515)),"G2",IF(ISNUMBER(SEARCH("G3",Z515)),"G3",IF(ISNUMBER(SEARCH("古馬条件",Z515)),"古馬条件戦",IF(ISNUMBER(SEARCH("重賞",Z515)),"重賞","分類不能")))))))))</f>
        <v>分類不能</v>
      </c>
      <c r="AR515" s="8"/>
      <c r="AS515" s="8" t="s">
        <v>7626</v>
      </c>
      <c r="AT515" s="8" t="s">
        <v>7627</v>
      </c>
      <c r="AU515" s="8" t="s">
        <v>7628</v>
      </c>
      <c r="AV515" s="8" t="s">
        <v>7629</v>
      </c>
      <c r="AW515" s="8"/>
      <c r="AX515" s="8"/>
      <c r="AY515" s="8" t="s">
        <v>7610</v>
      </c>
      <c r="AZ515" s="4" t="s">
        <v>7617</v>
      </c>
      <c r="BA515" s="8" t="n">
        <v>1200</v>
      </c>
      <c r="BB515" s="8" t="s">
        <v>7634</v>
      </c>
      <c r="BC515" s="4" t="s">
        <v>7604</v>
      </c>
      <c r="BD515" s="8" t="s">
        <v>7605</v>
      </c>
      <c r="BE515" s="4" t="s">
        <v>7606</v>
      </c>
      <c r="BF515" s="8" t="s">
        <v>7607</v>
      </c>
      <c r="BG515" s="8" t="s">
        <v>7631</v>
      </c>
      <c r="BH515" s="4" t="s">
        <v>7632</v>
      </c>
      <c r="BI515" s="8" t="n">
        <v>16</v>
      </c>
      <c r="BJ515" s="8" t="s">
        <v>7602</v>
      </c>
      <c r="BK515" s="4" t="s">
        <v>7653</v>
      </c>
      <c r="BL515" s="8" t="s">
        <v>7602</v>
      </c>
      <c r="BM515" s="4" t="s">
        <v>7620</v>
      </c>
      <c r="BN515" s="8"/>
      <c r="BO515" s="8"/>
      <c r="BP515" s="8" t="s">
        <v>7610</v>
      </c>
      <c r="BQ515" s="8" t="str">
        <f aca="false">IF(A515="","",AT515)</f>
        <v>3歳以上</v>
      </c>
      <c r="BR515" s="8" t="str">
        <f aca="false">IF(A515="","",IF(BA515&lt;=1200,"～1200",IF(BA515&lt;=1500,"1300～1500",IF(BA515=1600,"1600",IF(BA515&lt;=1800,"1700～1800",IF(BA515&lt;=2000,"1900～2000","2100以上"))))))</f>
        <v>～1200</v>
      </c>
      <c r="BS515" s="8" t="str">
        <f aca="false">IF(A515="","",IF(AX515="G1","G1",IF(AX515="G2","G2",IF(AX515="G3","G3",IF(AX515="L","L","その他")))))</f>
        <v>その他</v>
      </c>
      <c r="BT515" s="8" t="str">
        <f aca="false">IF(A515="","",IF(BI515="","未結合",IF(D515=BI515,"一致","不一致")))</f>
        <v>一致</v>
      </c>
      <c r="BU515" s="8" t="str">
        <f aca="false">IF(A515="","",IF(BE515="牝馬限定","牝馬限定","その他"))</f>
        <v>その他</v>
      </c>
    </row>
    <row r="516" customFormat="false" ht="15.75" hidden="false" customHeight="false" outlineLevel="0" collapsed="false">
      <c r="A516" s="6" t="n">
        <v>46187</v>
      </c>
      <c r="B516" s="4" t="s">
        <v>4172</v>
      </c>
      <c r="C516" s="8" t="n">
        <v>7</v>
      </c>
      <c r="D516" s="8" t="n">
        <v>11</v>
      </c>
      <c r="E516" s="8" t="n">
        <v>2</v>
      </c>
      <c r="F516" s="4" t="s">
        <v>3683</v>
      </c>
      <c r="G516" s="8" t="n">
        <v>81</v>
      </c>
      <c r="H516" s="8" t="n">
        <v>7</v>
      </c>
      <c r="I516" s="4" t="s">
        <v>2129</v>
      </c>
      <c r="J516" s="8" t="n">
        <v>56</v>
      </c>
      <c r="K516" s="8" t="n">
        <v>9</v>
      </c>
      <c r="L516" s="4" t="s">
        <v>3475</v>
      </c>
      <c r="M516" s="8" t="n">
        <v>44</v>
      </c>
      <c r="N516" s="8" t="n">
        <f aca="false">IF(A516="","",G516-J516)</f>
        <v>25</v>
      </c>
      <c r="O516" s="8" t="n">
        <f aca="false">IF(A516="","",J516-M516)</f>
        <v>12</v>
      </c>
      <c r="P516" s="8" t="n">
        <f aca="false">IF(A516="","",G516+J516)</f>
        <v>137</v>
      </c>
      <c r="Q516" s="8" t="str">
        <f aca="false">IF(A516="","",IF(AND(Y516&lt;&gt;"参考",G516&gt;=ルール設定!$B$2),"○",""))</f>
        <v>○</v>
      </c>
      <c r="R516" s="8" t="str">
        <f aca="false">IF(A516="","",IF(AND(Y516&lt;&gt;"参考",G516&gt;=ルール設定!$B$3,N516&gt;=ルール設定!$B$4),"○",""))</f>
        <v/>
      </c>
      <c r="S516" s="8" t="str">
        <f aca="false">IF(A516="","",IF(AND(Y516&lt;&gt;"参考",G516&gt;=ルール設定!$B$5,J516&gt;=ルール設定!$B$6,O516&gt;=ルール設定!$B$7),"○",""))</f>
        <v/>
      </c>
      <c r="T516" s="8" t="n">
        <v>3</v>
      </c>
      <c r="U516" s="8" t="n">
        <v>4</v>
      </c>
      <c r="V516" s="8" t="str">
        <f aca="false">IF(A516="","",IF(AND(ISNUMBER(T516),ISNUMBER(U516)),IF(AND(T516&lt;=3,U516&lt;=3),"○","×"),""))</f>
        <v>×</v>
      </c>
      <c r="W516" s="8" t="n">
        <v>140</v>
      </c>
      <c r="X516" s="8"/>
      <c r="Y516" s="4" t="s">
        <v>7597</v>
      </c>
      <c r="Z516" s="4" t="s">
        <v>4475</v>
      </c>
      <c r="AA516" s="8" t="str">
        <v/>
      </c>
      <c r="AB516" s="8" t="str">
        <v>○</v>
      </c>
      <c r="AC516" s="8" t="str">
        <v>○</v>
      </c>
      <c r="AD516" s="8" t="str">
        <v/>
      </c>
      <c r="AE516" s="8" t="str">
        <v/>
      </c>
      <c r="AF516" s="8" t="str">
        <v/>
      </c>
      <c r="AG516" s="8" t="str">
        <v>○</v>
      </c>
      <c r="AH516" s="8" t="str">
        <v/>
      </c>
      <c r="AI516" s="8" t="n">
        <v>37</v>
      </c>
      <c r="AJ516" s="8" t="str">
        <v>80～84</v>
      </c>
      <c r="AK516" s="8" t="str">
        <v>20～29</v>
      </c>
      <c r="AL516" s="8" t="str">
        <v>30～39</v>
      </c>
      <c r="AM516" s="8" t="str">
        <v>120～139</v>
      </c>
      <c r="AN516" s="8" t="str">
        <v>8～11</v>
      </c>
      <c r="AO516" s="8" t="str">
        <f aca="false">IF(A516="","",IF(COUNTIFS(全馬データ!$A$2:$A$50000,A516,全馬データ!$B$2:$B$50000,B516,全馬データ!$C$2:$C$50000,C516,全馬データ!$D$2:$D$50000,E516,全馬データ!$K$2:$K$50000,"&lt;&gt;")=0,"",SUMIFS(全馬データ!$K$2:$K$50000,全馬データ!$A$2:$A$50000,A516,全馬データ!$B$2:$B$50000,B516,全馬データ!$C$2:$C$50000,C516,全馬データ!$D$2:$D$50000,E516)))</f>
        <v/>
      </c>
      <c r="AP516" s="8" t="str">
        <f aca="false">IF(A516="","",IF(AO516="","欠損",IF(AO516&lt;=1.1,"1.0～1.1",IF(AO516&lt;1.3,"1.2",IF(AO516&lt;1.5,"1.3～1.4",IF(AO516&lt;2,"1.5～1.9","2.0以上"))))))</f>
        <v>欠損</v>
      </c>
      <c r="AQ516" s="8" t="str">
        <f aca="false">IF(A516="","",IF(ISNUMBER(SEARCH("2歳",Z516)),"2歳戦",IF(ISNUMBER(SEARCH("3歳未勝利",Z516)),"3歳未勝利",IF(ISNUMBER(SEARCH("未勝利",Z516)),"その他未勝利",IF(ISNUMBER(SEARCH("G1",Z516)),"G1",IF(ISNUMBER(SEARCH("G2",Z516)),"G2",IF(ISNUMBER(SEARCH("G3",Z516)),"G3",IF(ISNUMBER(SEARCH("古馬条件",Z516)),"古馬条件戦",IF(ISNUMBER(SEARCH("重賞",Z516)),"重賞","分類不能")))))))))</f>
        <v>分類不能</v>
      </c>
      <c r="AR516" s="8"/>
      <c r="AS516" s="8" t="s">
        <v>7626</v>
      </c>
      <c r="AT516" s="8" t="s">
        <v>7627</v>
      </c>
      <c r="AU516" s="8" t="s">
        <v>7628</v>
      </c>
      <c r="AV516" s="8" t="s">
        <v>7629</v>
      </c>
      <c r="AW516" s="8"/>
      <c r="AX516" s="8"/>
      <c r="AY516" s="8" t="s">
        <v>7602</v>
      </c>
      <c r="AZ516" s="4" t="s">
        <v>7603</v>
      </c>
      <c r="BA516" s="8" t="n">
        <v>2000</v>
      </c>
      <c r="BB516" s="8" t="s">
        <v>7598</v>
      </c>
      <c r="BC516" s="4" t="s">
        <v>7604</v>
      </c>
      <c r="BD516" s="8" t="s">
        <v>7630</v>
      </c>
      <c r="BE516" s="4" t="s">
        <v>7606</v>
      </c>
      <c r="BF516" s="8" t="s">
        <v>7607</v>
      </c>
      <c r="BG516" s="8" t="s">
        <v>7631</v>
      </c>
      <c r="BH516" s="4" t="s">
        <v>7632</v>
      </c>
      <c r="BI516" s="8" t="n">
        <v>11</v>
      </c>
      <c r="BJ516" s="8" t="s">
        <v>7602</v>
      </c>
      <c r="BK516" s="4" t="s">
        <v>7653</v>
      </c>
      <c r="BL516" s="8" t="s">
        <v>7602</v>
      </c>
      <c r="BM516" s="4" t="s">
        <v>7620</v>
      </c>
      <c r="BN516" s="8" t="s">
        <v>7631</v>
      </c>
      <c r="BO516" s="8" t="s">
        <v>7680</v>
      </c>
      <c r="BP516" s="8" t="s">
        <v>7610</v>
      </c>
      <c r="BQ516" s="8" t="str">
        <f aca="false">IF(A516="","",AT516)</f>
        <v>3歳以上</v>
      </c>
      <c r="BR516" s="8" t="str">
        <f aca="false">IF(A516="","",IF(BA516&lt;=1200,"～1200",IF(BA516&lt;=1500,"1300～1500",IF(BA516=1600,"1600",IF(BA516&lt;=1800,"1700～1800",IF(BA516&lt;=2000,"1900～2000","2100以上"))))))</f>
        <v>1900～2000</v>
      </c>
      <c r="BS516" s="8" t="str">
        <f aca="false">IF(A516="","",IF(AX516="G1","G1",IF(AX516="G2","G2",IF(AX516="G3","G3",IF(AX516="L","L","その他")))))</f>
        <v>その他</v>
      </c>
      <c r="BT516" s="8" t="str">
        <f aca="false">IF(A516="","",IF(BI516="","未結合",IF(D516=BI516,"一致","不一致")))</f>
        <v>一致</v>
      </c>
      <c r="BU516" s="8" t="str">
        <f aca="false">IF(A516="","",IF(BE516="牝馬限定","牝馬限定","その他"))</f>
        <v>その他</v>
      </c>
    </row>
    <row r="517" customFormat="false" ht="15.75" hidden="false" customHeight="false" outlineLevel="0" collapsed="false">
      <c r="A517" s="6" t="n">
        <v>46187</v>
      </c>
      <c r="B517" s="4" t="s">
        <v>4172</v>
      </c>
      <c r="C517" s="8" t="n">
        <v>8</v>
      </c>
      <c r="D517" s="8" t="n">
        <v>9</v>
      </c>
      <c r="E517" s="8" t="n">
        <v>8</v>
      </c>
      <c r="F517" s="4" t="s">
        <v>561</v>
      </c>
      <c r="G517" s="8" t="n">
        <v>62</v>
      </c>
      <c r="H517" s="8" t="n">
        <v>5</v>
      </c>
      <c r="I517" s="4" t="s">
        <v>5286</v>
      </c>
      <c r="J517" s="8" t="n">
        <v>56</v>
      </c>
      <c r="K517" s="8" t="n">
        <v>1</v>
      </c>
      <c r="L517" s="4" t="s">
        <v>718</v>
      </c>
      <c r="M517" s="8" t="n">
        <v>47</v>
      </c>
      <c r="N517" s="8" t="n">
        <f aca="false">IF(A517="","",G517-J517)</f>
        <v>6</v>
      </c>
      <c r="O517" s="8" t="n">
        <f aca="false">IF(A517="","",J517-M517)</f>
        <v>9</v>
      </c>
      <c r="P517" s="8" t="n">
        <f aca="false">IF(A517="","",G517+J517)</f>
        <v>118</v>
      </c>
      <c r="Q517" s="8" t="str">
        <f aca="false">IF(A517="","",IF(AND(Y517&lt;&gt;"参考",G517&gt;=ルール設定!$B$2),"○",""))</f>
        <v/>
      </c>
      <c r="R517" s="8" t="str">
        <f aca="false">IF(A517="","",IF(AND(Y517&lt;&gt;"参考",G517&gt;=ルール設定!$B$3,N517&gt;=ルール設定!$B$4),"○",""))</f>
        <v/>
      </c>
      <c r="S517" s="8" t="str">
        <f aca="false">IF(A517="","",IF(AND(Y517&lt;&gt;"参考",G517&gt;=ルール設定!$B$5,J517&gt;=ルール設定!$B$6,O517&gt;=ルール設定!$B$7),"○",""))</f>
        <v/>
      </c>
      <c r="T517" s="8" t="n">
        <v>4</v>
      </c>
      <c r="U517" s="8" t="n">
        <v>1</v>
      </c>
      <c r="V517" s="8" t="str">
        <f aca="false">IF(A517="","",IF(AND(ISNUMBER(T517),ISNUMBER(U517)),IF(AND(T517&lt;=3,U517&lt;=3),"○","×"),""))</f>
        <v>×</v>
      </c>
      <c r="W517" s="8"/>
      <c r="X517" s="8"/>
      <c r="Y517" s="4" t="s">
        <v>7597</v>
      </c>
      <c r="Z517" s="4" t="s">
        <v>4475</v>
      </c>
      <c r="AA517" s="8" t="str">
        <v/>
      </c>
      <c r="AB517" s="8" t="str">
        <v/>
      </c>
      <c r="AC517" s="8" t="str">
        <v/>
      </c>
      <c r="AD517" s="8" t="str">
        <v/>
      </c>
      <c r="AE517" s="8" t="str">
        <v/>
      </c>
      <c r="AF517" s="8" t="str">
        <v/>
      </c>
      <c r="AG517" s="8" t="str">
        <v/>
      </c>
      <c r="AH517" s="8" t="str">
        <v/>
      </c>
      <c r="AI517" s="8" t="n">
        <v>15</v>
      </c>
      <c r="AJ517" s="8" t="str">
        <v>60～69</v>
      </c>
      <c r="AK517" s="8" t="str">
        <v>5～9</v>
      </c>
      <c r="AL517" s="8" t="str">
        <v>10～19</v>
      </c>
      <c r="AM517" s="8" t="str">
        <v>100～119</v>
      </c>
      <c r="AN517" s="8" t="str">
        <v>8～11</v>
      </c>
      <c r="AO517" s="8" t="str">
        <f aca="false">IF(A517="","",IF(COUNTIFS(全馬データ!$A$2:$A$50000,A517,全馬データ!$B$2:$B$50000,B517,全馬データ!$C$2:$C$50000,C517,全馬データ!$D$2:$D$50000,E517,全馬データ!$K$2:$K$50000,"&lt;&gt;")=0,"",SUMIFS(全馬データ!$K$2:$K$50000,全馬データ!$A$2:$A$50000,A517,全馬データ!$B$2:$B$50000,B517,全馬データ!$C$2:$C$50000,C517,全馬データ!$D$2:$D$50000,E517)))</f>
        <v/>
      </c>
      <c r="AP517" s="8" t="str">
        <f aca="false">IF(A517="","",IF(AO517="","欠損",IF(AO517&lt;=1.1,"1.0～1.1",IF(AO517&lt;1.3,"1.2",IF(AO517&lt;1.5,"1.3～1.4",IF(AO517&lt;2,"1.5～1.9","2.0以上"))))))</f>
        <v>欠損</v>
      </c>
      <c r="AQ517" s="8" t="str">
        <f aca="false">IF(A517="","",IF(ISNUMBER(SEARCH("2歳",Z517)),"2歳戦",IF(ISNUMBER(SEARCH("3歳未勝利",Z517)),"3歳未勝利",IF(ISNUMBER(SEARCH("未勝利",Z517)),"その他未勝利",IF(ISNUMBER(SEARCH("G1",Z517)),"G1",IF(ISNUMBER(SEARCH("G2",Z517)),"G2",IF(ISNUMBER(SEARCH("G3",Z517)),"G3",IF(ISNUMBER(SEARCH("古馬条件",Z517)),"古馬条件戦",IF(ISNUMBER(SEARCH("重賞",Z517)),"重賞","分類不能")))))))))</f>
        <v>分類不能</v>
      </c>
      <c r="AR517" s="4" t="s">
        <v>7832</v>
      </c>
      <c r="AS517" s="8" t="s">
        <v>7626</v>
      </c>
      <c r="AT517" s="8" t="s">
        <v>7627</v>
      </c>
      <c r="AU517" s="8" t="s">
        <v>7634</v>
      </c>
      <c r="AV517" s="8" t="s">
        <v>7635</v>
      </c>
      <c r="AW517" s="8" t="s">
        <v>7636</v>
      </c>
      <c r="AX517" s="4" t="s">
        <v>7637</v>
      </c>
      <c r="AY517" s="8" t="s">
        <v>7610</v>
      </c>
      <c r="AZ517" s="4" t="s">
        <v>7617</v>
      </c>
      <c r="BA517" s="8" t="n">
        <v>1800</v>
      </c>
      <c r="BB517" s="8" t="s">
        <v>7634</v>
      </c>
      <c r="BC517" s="4" t="s">
        <v>7604</v>
      </c>
      <c r="BD517" s="8" t="s">
        <v>7621</v>
      </c>
      <c r="BE517" s="4" t="s">
        <v>7622</v>
      </c>
      <c r="BF517" s="8" t="s">
        <v>7602</v>
      </c>
      <c r="BG517" s="8" t="s">
        <v>7631</v>
      </c>
      <c r="BH517" s="4" t="s">
        <v>7632</v>
      </c>
      <c r="BI517" s="8" t="n">
        <v>9</v>
      </c>
      <c r="BJ517" s="8" t="s">
        <v>7602</v>
      </c>
      <c r="BK517" s="4" t="s">
        <v>7653</v>
      </c>
      <c r="BL517" s="8" t="s">
        <v>7602</v>
      </c>
      <c r="BM517" s="4" t="s">
        <v>7620</v>
      </c>
      <c r="BN517" s="8"/>
      <c r="BO517" s="8"/>
      <c r="BP517" s="8" t="s">
        <v>7610</v>
      </c>
      <c r="BQ517" s="8" t="str">
        <f aca="false">IF(A517="","",AT517)</f>
        <v>3歳以上</v>
      </c>
      <c r="BR517" s="8" t="str">
        <f aca="false">IF(A517="","",IF(BA517&lt;=1200,"～1200",IF(BA517&lt;=1500,"1300～1500",IF(BA517=1600,"1600",IF(BA517&lt;=1800,"1700～1800",IF(BA517&lt;=2000,"1900～2000","2100以上"))))))</f>
        <v>1700～1800</v>
      </c>
      <c r="BS517" s="8" t="str">
        <f aca="false">IF(A517="","",IF(AX517="G1","G1",IF(AX517="G2","G2",IF(AX517="G3","G3",IF(AX517="L","L","その他")))))</f>
        <v>その他</v>
      </c>
      <c r="BT517" s="8" t="str">
        <f aca="false">IF(A517="","",IF(BI517="","未結合",IF(D517=BI517,"一致","不一致")))</f>
        <v>一致</v>
      </c>
      <c r="BU517" s="8" t="str">
        <f aca="false">IF(A517="","",IF(BE517="牝馬限定","牝馬限定","その他"))</f>
        <v>牝馬限定</v>
      </c>
    </row>
    <row r="518" customFormat="false" ht="15.75" hidden="false" customHeight="false" outlineLevel="0" collapsed="false">
      <c r="A518" s="6" t="n">
        <v>46187</v>
      </c>
      <c r="B518" s="4" t="s">
        <v>4172</v>
      </c>
      <c r="C518" s="8" t="n">
        <v>9</v>
      </c>
      <c r="D518" s="8" t="n">
        <v>14</v>
      </c>
      <c r="E518" s="8" t="n">
        <v>7</v>
      </c>
      <c r="F518" s="4" t="s">
        <v>3090</v>
      </c>
      <c r="G518" s="8" t="n">
        <v>41</v>
      </c>
      <c r="H518" s="8" t="n">
        <v>3</v>
      </c>
      <c r="I518" s="8"/>
      <c r="J518" s="8" t="n">
        <v>39</v>
      </c>
      <c r="K518" s="8" t="n">
        <v>11</v>
      </c>
      <c r="L518" s="4" t="s">
        <v>4402</v>
      </c>
      <c r="M518" s="8" t="n">
        <v>29</v>
      </c>
      <c r="N518" s="8" t="n">
        <f aca="false">IF(A518="","",G518-J518)</f>
        <v>2</v>
      </c>
      <c r="O518" s="8" t="n">
        <f aca="false">IF(A518="","",J518-M518)</f>
        <v>10</v>
      </c>
      <c r="P518" s="8" t="n">
        <f aca="false">IF(A518="","",G518+J518)</f>
        <v>80</v>
      </c>
      <c r="Q518" s="8" t="str">
        <f aca="false">IF(A518="","",IF(AND(Y518&lt;&gt;"参考",G518&gt;=ルール設定!$B$2),"○",""))</f>
        <v/>
      </c>
      <c r="R518" s="8" t="str">
        <f aca="false">IF(A518="","",IF(AND(Y518&lt;&gt;"参考",G518&gt;=ルール設定!$B$3,N518&gt;=ルール設定!$B$4),"○",""))</f>
        <v/>
      </c>
      <c r="S518" s="8" t="str">
        <f aca="false">IF(A518="","",IF(AND(Y518&lt;&gt;"参考",G518&gt;=ルール設定!$B$5,J518&gt;=ルール設定!$B$6,O518&gt;=ルール設定!$B$7),"○",""))</f>
        <v/>
      </c>
      <c r="T518" s="8" t="n">
        <v>3</v>
      </c>
      <c r="U518" s="8"/>
      <c r="V518" s="8" t="str">
        <f aca="false">IF(A518="","",IF(AND(ISNUMBER(T518),ISNUMBER(U518)),IF(AND(T518&lt;=3,U518&lt;=3),"○","×"),""))</f>
        <v/>
      </c>
      <c r="W518" s="8" t="n">
        <v>180</v>
      </c>
      <c r="X518" s="8"/>
      <c r="Y518" s="4" t="s">
        <v>7597</v>
      </c>
      <c r="Z518" s="4" t="s">
        <v>4475</v>
      </c>
      <c r="AA518" s="8" t="str">
        <v/>
      </c>
      <c r="AB518" s="8" t="str">
        <v/>
      </c>
      <c r="AC518" s="8" t="str">
        <v/>
      </c>
      <c r="AD518" s="8" t="str">
        <v/>
      </c>
      <c r="AE518" s="8" t="str">
        <v/>
      </c>
      <c r="AF518" s="8" t="str">
        <v/>
      </c>
      <c r="AG518" s="8" t="str">
        <v/>
      </c>
      <c r="AH518" s="8" t="str">
        <v/>
      </c>
      <c r="AI518" s="8" t="n">
        <v>12</v>
      </c>
      <c r="AJ518" s="8" t="str">
        <v>～59</v>
      </c>
      <c r="AK518" s="8" t="str">
        <v>0～4</v>
      </c>
      <c r="AL518" s="8" t="str">
        <v>10～19</v>
      </c>
      <c r="AM518" s="8" t="str">
        <v>～99</v>
      </c>
      <c r="AN518" s="8" t="str">
        <v>12～14</v>
      </c>
      <c r="AO518" s="8" t="str">
        <f aca="false">IF(A518="","",IF(COUNTIFS(全馬データ!$A$2:$A$50000,A518,全馬データ!$B$2:$B$50000,B518,全馬データ!$C$2:$C$50000,C518,全馬データ!$D$2:$D$50000,E518,全馬データ!$K$2:$K$50000,"&lt;&gt;")=0,"",SUMIFS(全馬データ!$K$2:$K$50000,全馬データ!$A$2:$A$50000,A518,全馬データ!$B$2:$B$50000,B518,全馬データ!$C$2:$C$50000,C518,全馬データ!$D$2:$D$50000,E518)))</f>
        <v/>
      </c>
      <c r="AP518" s="8" t="str">
        <f aca="false">IF(A518="","",IF(AO518="","欠損",IF(AO518&lt;=1.1,"1.0～1.1",IF(AO518&lt;1.3,"1.2",IF(AO518&lt;1.5,"1.3～1.4",IF(AO518&lt;2,"1.5～1.9","2.0以上"))))))</f>
        <v>欠損</v>
      </c>
      <c r="AQ518" s="8" t="str">
        <f aca="false">IF(A518="","",IF(ISNUMBER(SEARCH("2歳",Z518)),"2歳戦",IF(ISNUMBER(SEARCH("3歳未勝利",Z518)),"3歳未勝利",IF(ISNUMBER(SEARCH("未勝利",Z518)),"その他未勝利",IF(ISNUMBER(SEARCH("G1",Z518)),"G1",IF(ISNUMBER(SEARCH("G2",Z518)),"G2",IF(ISNUMBER(SEARCH("G3",Z518)),"G3",IF(ISNUMBER(SEARCH("古馬条件",Z518)),"古馬条件戦",IF(ISNUMBER(SEARCH("重賞",Z518)),"重賞","分類不能")))))))))</f>
        <v>分類不能</v>
      </c>
      <c r="AR518" s="4" t="s">
        <v>7833</v>
      </c>
      <c r="AS518" s="8" t="s">
        <v>7626</v>
      </c>
      <c r="AT518" s="8" t="s">
        <v>7627</v>
      </c>
      <c r="AU518" s="8" t="s">
        <v>7634</v>
      </c>
      <c r="AV518" s="8" t="s">
        <v>7635</v>
      </c>
      <c r="AW518" s="8" t="s">
        <v>7636</v>
      </c>
      <c r="AX518" s="4" t="s">
        <v>7637</v>
      </c>
      <c r="AY518" s="8" t="s">
        <v>7602</v>
      </c>
      <c r="AZ518" s="4" t="s">
        <v>7603</v>
      </c>
      <c r="BA518" s="8" t="n">
        <v>1200</v>
      </c>
      <c r="BB518" s="8" t="s">
        <v>7598</v>
      </c>
      <c r="BC518" s="4" t="s">
        <v>7604</v>
      </c>
      <c r="BD518" s="8" t="s">
        <v>7605</v>
      </c>
      <c r="BE518" s="4" t="s">
        <v>7606</v>
      </c>
      <c r="BF518" s="8" t="s">
        <v>7607</v>
      </c>
      <c r="BG518" s="8" t="s">
        <v>7631</v>
      </c>
      <c r="BH518" s="4" t="s">
        <v>7632</v>
      </c>
      <c r="BI518" s="8" t="n">
        <v>14</v>
      </c>
      <c r="BJ518" s="8" t="s">
        <v>7602</v>
      </c>
      <c r="BK518" s="4" t="s">
        <v>7653</v>
      </c>
      <c r="BL518" s="8" t="s">
        <v>7602</v>
      </c>
      <c r="BM518" s="4" t="s">
        <v>7620</v>
      </c>
      <c r="BN518" s="8" t="s">
        <v>7631</v>
      </c>
      <c r="BO518" s="8" t="s">
        <v>7680</v>
      </c>
      <c r="BP518" s="8" t="s">
        <v>7610</v>
      </c>
      <c r="BQ518" s="8" t="str">
        <f aca="false">IF(A518="","",AT518)</f>
        <v>3歳以上</v>
      </c>
      <c r="BR518" s="8" t="str">
        <f aca="false">IF(A518="","",IF(BA518&lt;=1200,"～1200",IF(BA518&lt;=1500,"1300～1500",IF(BA518=1600,"1600",IF(BA518&lt;=1800,"1700～1800",IF(BA518&lt;=2000,"1900～2000","2100以上"))))))</f>
        <v>～1200</v>
      </c>
      <c r="BS518" s="8" t="str">
        <f aca="false">IF(A518="","",IF(AX518="G1","G1",IF(AX518="G2","G2",IF(AX518="G3","G3",IF(AX518="L","L","その他")))))</f>
        <v>その他</v>
      </c>
      <c r="BT518" s="8" t="str">
        <f aca="false">IF(A518="","",IF(BI518="","未結合",IF(D518=BI518,"一致","不一致")))</f>
        <v>一致</v>
      </c>
      <c r="BU518" s="8" t="str">
        <f aca="false">IF(A518="","",IF(BE518="牝馬限定","牝馬限定","その他"))</f>
        <v>その他</v>
      </c>
    </row>
    <row r="519" customFormat="false" ht="15.75" hidden="false" customHeight="false" outlineLevel="0" collapsed="false">
      <c r="A519" s="6" t="n">
        <v>46187</v>
      </c>
      <c r="B519" s="4" t="s">
        <v>4172</v>
      </c>
      <c r="C519" s="8" t="n">
        <v>10</v>
      </c>
      <c r="D519" s="8" t="n">
        <v>14</v>
      </c>
      <c r="E519" s="8" t="n">
        <v>8</v>
      </c>
      <c r="F519" s="4" t="s">
        <v>5295</v>
      </c>
      <c r="G519" s="8" t="n">
        <v>41</v>
      </c>
      <c r="H519" s="8" t="n">
        <v>10</v>
      </c>
      <c r="I519" s="4" t="s">
        <v>5296</v>
      </c>
      <c r="J519" s="8" t="n">
        <v>34</v>
      </c>
      <c r="K519" s="8" t="n">
        <v>6</v>
      </c>
      <c r="L519" s="4" t="s">
        <v>2915</v>
      </c>
      <c r="M519" s="8" t="n">
        <v>31</v>
      </c>
      <c r="N519" s="8" t="n">
        <f aca="false">IF(A519="","",G519-J519)</f>
        <v>7</v>
      </c>
      <c r="O519" s="8" t="n">
        <f aca="false">IF(A519="","",J519-M519)</f>
        <v>3</v>
      </c>
      <c r="P519" s="8" t="n">
        <f aca="false">IF(A519="","",G519+J519)</f>
        <v>75</v>
      </c>
      <c r="Q519" s="8" t="str">
        <f aca="false">IF(A519="","",IF(AND(Y519&lt;&gt;"参考",G519&gt;=ルール設定!$B$2),"○",""))</f>
        <v/>
      </c>
      <c r="R519" s="8" t="str">
        <f aca="false">IF(A519="","",IF(AND(Y519&lt;&gt;"参考",G519&gt;=ルール設定!$B$3,N519&gt;=ルール設定!$B$4),"○",""))</f>
        <v/>
      </c>
      <c r="S519" s="8" t="str">
        <f aca="false">IF(A519="","",IF(AND(Y519&lt;&gt;"参考",G519&gt;=ルール設定!$B$5,J519&gt;=ルール設定!$B$6,O519&gt;=ルール設定!$B$7),"○",""))</f>
        <v/>
      </c>
      <c r="T519" s="8" t="n">
        <v>1</v>
      </c>
      <c r="U519" s="8" t="n">
        <v>2</v>
      </c>
      <c r="V519" s="8" t="str">
        <f aca="false">IF(A519="","",IF(AND(ISNUMBER(T519),ISNUMBER(U519)),IF(AND(T519&lt;=3,U519&lt;=3),"○","×"),""))</f>
        <v>○</v>
      </c>
      <c r="W519" s="8" t="n">
        <v>220</v>
      </c>
      <c r="X519" s="8" t="n">
        <v>420</v>
      </c>
      <c r="Y519" s="4" t="s">
        <v>7597</v>
      </c>
      <c r="Z519" s="4" t="s">
        <v>4475</v>
      </c>
      <c r="AA519" s="8" t="str">
        <v/>
      </c>
      <c r="AB519" s="8" t="str">
        <v/>
      </c>
      <c r="AC519" s="8" t="str">
        <v/>
      </c>
      <c r="AD519" s="8" t="str">
        <v/>
      </c>
      <c r="AE519" s="8" t="str">
        <v/>
      </c>
      <c r="AF519" s="8" t="str">
        <v/>
      </c>
      <c r="AG519" s="8" t="str">
        <v/>
      </c>
      <c r="AH519" s="8" t="str">
        <v/>
      </c>
      <c r="AI519" s="8" t="n">
        <v>10</v>
      </c>
      <c r="AJ519" s="8" t="str">
        <v>～59</v>
      </c>
      <c r="AK519" s="8" t="str">
        <v>5～9</v>
      </c>
      <c r="AL519" s="8" t="str">
        <v>10～19</v>
      </c>
      <c r="AM519" s="8" t="str">
        <v>～99</v>
      </c>
      <c r="AN519" s="8" t="str">
        <v>12～14</v>
      </c>
      <c r="AO519" s="8" t="str">
        <f aca="false">IF(A519="","",IF(COUNTIFS(全馬データ!$A$2:$A$50000,A519,全馬データ!$B$2:$B$50000,B519,全馬データ!$C$2:$C$50000,C519,全馬データ!$D$2:$D$50000,E519,全馬データ!$K$2:$K$50000,"&lt;&gt;")=0,"",SUMIFS(全馬データ!$K$2:$K$50000,全馬データ!$A$2:$A$50000,A519,全馬データ!$B$2:$B$50000,B519,全馬データ!$C$2:$C$50000,C519,全馬データ!$D$2:$D$50000,E519)))</f>
        <v/>
      </c>
      <c r="AP519" s="8" t="str">
        <f aca="false">IF(A519="","",IF(AO519="","欠損",IF(AO519&lt;=1.1,"1.0～1.1",IF(AO519&lt;1.3,"1.2",IF(AO519&lt;1.5,"1.3～1.4",IF(AO519&lt;2,"1.5～1.9","2.0以上"))))))</f>
        <v>欠損</v>
      </c>
      <c r="AQ519" s="8" t="str">
        <f aca="false">IF(A519="","",IF(ISNUMBER(SEARCH("2歳",Z519)),"2歳戦",IF(ISNUMBER(SEARCH("3歳未勝利",Z519)),"3歳未勝利",IF(ISNUMBER(SEARCH("未勝利",Z519)),"その他未勝利",IF(ISNUMBER(SEARCH("G1",Z519)),"G1",IF(ISNUMBER(SEARCH("G2",Z519)),"G2",IF(ISNUMBER(SEARCH("G3",Z519)),"G3",IF(ISNUMBER(SEARCH("古馬条件",Z519)),"古馬条件戦",IF(ISNUMBER(SEARCH("重賞",Z519)),"重賞","分類不能")))))))))</f>
        <v>分類不能</v>
      </c>
      <c r="AR519" s="4" t="s">
        <v>7834</v>
      </c>
      <c r="AS519" s="8" t="s">
        <v>7626</v>
      </c>
      <c r="AT519" s="8" t="s">
        <v>7627</v>
      </c>
      <c r="AU519" s="8" t="s">
        <v>7639</v>
      </c>
      <c r="AV519" s="8" t="s">
        <v>7640</v>
      </c>
      <c r="AW519" s="8" t="s">
        <v>7636</v>
      </c>
      <c r="AX519" s="4" t="s">
        <v>7637</v>
      </c>
      <c r="AY519" s="8" t="s">
        <v>7602</v>
      </c>
      <c r="AZ519" s="4" t="s">
        <v>7603</v>
      </c>
      <c r="BA519" s="8" t="n">
        <v>1600</v>
      </c>
      <c r="BB519" s="8" t="s">
        <v>7598</v>
      </c>
      <c r="BC519" s="4" t="s">
        <v>7604</v>
      </c>
      <c r="BD519" s="8" t="s">
        <v>7630</v>
      </c>
      <c r="BE519" s="4" t="s">
        <v>7606</v>
      </c>
      <c r="BF519" s="8" t="s">
        <v>7607</v>
      </c>
      <c r="BG519" s="8" t="s">
        <v>7631</v>
      </c>
      <c r="BH519" s="4" t="s">
        <v>7632</v>
      </c>
      <c r="BI519" s="8" t="n">
        <v>14</v>
      </c>
      <c r="BJ519" s="8" t="s">
        <v>7602</v>
      </c>
      <c r="BK519" s="4" t="s">
        <v>7653</v>
      </c>
      <c r="BL519" s="8" t="s">
        <v>7610</v>
      </c>
      <c r="BM519" s="4" t="s">
        <v>7612</v>
      </c>
      <c r="BN519" s="8" t="s">
        <v>7631</v>
      </c>
      <c r="BO519" s="8" t="s">
        <v>7680</v>
      </c>
      <c r="BP519" s="8" t="s">
        <v>7610</v>
      </c>
      <c r="BQ519" s="8" t="str">
        <f aca="false">IF(A519="","",AT519)</f>
        <v>3歳以上</v>
      </c>
      <c r="BR519" s="8" t="str">
        <f aca="false">IF(A519="","",IF(BA519&lt;=1200,"～1200",IF(BA519&lt;=1500,"1300～1500",IF(BA519=1600,"1600",IF(BA519&lt;=1800,"1700～1800",IF(BA519&lt;=2000,"1900～2000","2100以上"))))))</f>
        <v>1600</v>
      </c>
      <c r="BS519" s="8" t="str">
        <f aca="false">IF(A519="","",IF(AX519="G1","G1",IF(AX519="G2","G2",IF(AX519="G3","G3",IF(AX519="L","L","その他")))))</f>
        <v>その他</v>
      </c>
      <c r="BT519" s="8" t="str">
        <f aca="false">IF(A519="","",IF(BI519="","未結合",IF(D519=BI519,"一致","不一致")))</f>
        <v>一致</v>
      </c>
      <c r="BU519" s="8" t="str">
        <f aca="false">IF(A519="","",IF(BE519="牝馬限定","牝馬限定","その他"))</f>
        <v>その他</v>
      </c>
    </row>
    <row r="520" customFormat="false" ht="15.75" hidden="false" customHeight="false" outlineLevel="0" collapsed="false">
      <c r="A520" s="6" t="n">
        <v>46187</v>
      </c>
      <c r="B520" s="4" t="s">
        <v>4172</v>
      </c>
      <c r="C520" s="8" t="n">
        <v>11</v>
      </c>
      <c r="D520" s="8" t="n">
        <v>18</v>
      </c>
      <c r="E520" s="8" t="n">
        <v>5</v>
      </c>
      <c r="F520" s="4" t="s">
        <v>5303</v>
      </c>
      <c r="G520" s="8" t="n">
        <v>75</v>
      </c>
      <c r="H520" s="8" t="n">
        <v>17</v>
      </c>
      <c r="I520" s="4" t="s">
        <v>5314</v>
      </c>
      <c r="J520" s="8" t="n">
        <v>39</v>
      </c>
      <c r="K520" s="8" t="n">
        <v>4</v>
      </c>
      <c r="L520" s="4" t="s">
        <v>5302</v>
      </c>
      <c r="M520" s="8" t="n">
        <v>29</v>
      </c>
      <c r="N520" s="8" t="n">
        <f aca="false">IF(A520="","",G520-J520)</f>
        <v>36</v>
      </c>
      <c r="O520" s="8" t="n">
        <f aca="false">IF(A520="","",J520-M520)</f>
        <v>10</v>
      </c>
      <c r="P520" s="8" t="n">
        <f aca="false">IF(A520="","",G520+J520)</f>
        <v>114</v>
      </c>
      <c r="Q520" s="8" t="str">
        <f aca="false">IF(A520="","",IF(AND(Y520&lt;&gt;"参考",G520&gt;=ルール設定!$B$2),"○",""))</f>
        <v/>
      </c>
      <c r="R520" s="8" t="str">
        <f aca="false">IF(A520="","",IF(AND(Y520&lt;&gt;"参考",G520&gt;=ルール設定!$B$3,N520&gt;=ルール設定!$B$4),"○",""))</f>
        <v>○</v>
      </c>
      <c r="S520" s="8" t="str">
        <f aca="false">IF(A520="","",IF(AND(Y520&lt;&gt;"参考",G520&gt;=ルール設定!$B$5,J520&gt;=ルール設定!$B$6,O520&gt;=ルール設定!$B$7),"○",""))</f>
        <v/>
      </c>
      <c r="T520" s="8" t="n">
        <v>2</v>
      </c>
      <c r="U520" s="8" t="n">
        <v>4</v>
      </c>
      <c r="V520" s="8" t="str">
        <f aca="false">IF(A520="","",IF(AND(ISNUMBER(T520),ISNUMBER(U520)),IF(AND(T520&lt;=3,U520&lt;=3),"○","×"),""))</f>
        <v>×</v>
      </c>
      <c r="W520" s="8" t="n">
        <v>120</v>
      </c>
      <c r="X520" s="8"/>
      <c r="Y520" s="4" t="s">
        <v>7597</v>
      </c>
      <c r="Z520" s="4" t="s">
        <v>4475</v>
      </c>
      <c r="AA520" s="8" t="str">
        <v/>
      </c>
      <c r="AB520" s="8" t="str">
        <v/>
      </c>
      <c r="AC520" s="8" t="str">
        <v/>
      </c>
      <c r="AD520" s="8" t="str">
        <v/>
      </c>
      <c r="AE520" s="8" t="str">
        <v>○</v>
      </c>
      <c r="AF520" s="8" t="str">
        <v/>
      </c>
      <c r="AG520" s="8" t="str">
        <v/>
      </c>
      <c r="AH520" s="8" t="str">
        <v/>
      </c>
      <c r="AI520" s="8" t="n">
        <v>46</v>
      </c>
      <c r="AJ520" s="8" t="str">
        <v>75～79</v>
      </c>
      <c r="AK520" s="8" t="str">
        <v>30以上</v>
      </c>
      <c r="AL520" s="8" t="str">
        <v>40以上</v>
      </c>
      <c r="AM520" s="8" t="str">
        <v>100～119</v>
      </c>
      <c r="AN520" s="8" t="str">
        <v>15以上</v>
      </c>
      <c r="AO520" s="8" t="str">
        <f aca="false">IF(A520="","",IF(COUNTIFS(全馬データ!$A$2:$A$50000,A520,全馬データ!$B$2:$B$50000,B520,全馬データ!$C$2:$C$50000,C520,全馬データ!$D$2:$D$50000,E520,全馬データ!$K$2:$K$50000,"&lt;&gt;")=0,"",SUMIFS(全馬データ!$K$2:$K$50000,全馬データ!$A$2:$A$50000,A520,全馬データ!$B$2:$B$50000,B520,全馬データ!$C$2:$C$50000,C520,全馬データ!$D$2:$D$50000,E520)))</f>
        <v/>
      </c>
      <c r="AP520" s="8" t="str">
        <f aca="false">IF(A520="","",IF(AO520="","欠損",IF(AO520&lt;=1.1,"1.0～1.1",IF(AO520&lt;1.3,"1.2",IF(AO520&lt;1.5,"1.3～1.4",IF(AO520&lt;2,"1.5～1.9","2.0以上"))))))</f>
        <v>欠損</v>
      </c>
      <c r="AQ520" s="8" t="str">
        <f aca="false">IF(A520="","",IF(ISNUMBER(SEARCH("2歳",Z520)),"2歳戦",IF(ISNUMBER(SEARCH("3歳未勝利",Z520)),"3歳未勝利",IF(ISNUMBER(SEARCH("未勝利",Z520)),"その他未勝利",IF(ISNUMBER(SEARCH("G1",Z520)),"G1",IF(ISNUMBER(SEARCH("G2",Z520)),"G2",IF(ISNUMBER(SEARCH("G3",Z520)),"G3",IF(ISNUMBER(SEARCH("古馬条件",Z520)),"古馬条件戦",IF(ISNUMBER(SEARCH("重賞",Z520)),"重賞","分類不能")))))))))</f>
        <v>分類不能</v>
      </c>
      <c r="AR520" s="4" t="s">
        <v>7835</v>
      </c>
      <c r="AS520" s="8" t="s">
        <v>7626</v>
      </c>
      <c r="AT520" s="8" t="s">
        <v>7627</v>
      </c>
      <c r="AU520" s="8" t="s">
        <v>7643</v>
      </c>
      <c r="AV520" s="4" t="s">
        <v>7644</v>
      </c>
      <c r="AW520" s="8" t="s">
        <v>7602</v>
      </c>
      <c r="AX520" s="8" t="s">
        <v>7814</v>
      </c>
      <c r="AY520" s="8" t="s">
        <v>7602</v>
      </c>
      <c r="AZ520" s="4" t="s">
        <v>7603</v>
      </c>
      <c r="BA520" s="8" t="n">
        <v>2200</v>
      </c>
      <c r="BB520" s="8" t="s">
        <v>7701</v>
      </c>
      <c r="BC520" s="4" t="s">
        <v>7658</v>
      </c>
      <c r="BD520" s="8" t="s">
        <v>7672</v>
      </c>
      <c r="BE520" s="4" t="s">
        <v>7606</v>
      </c>
      <c r="BF520" s="8" t="s">
        <v>7607</v>
      </c>
      <c r="BG520" s="8" t="s">
        <v>7631</v>
      </c>
      <c r="BH520" s="4" t="s">
        <v>7632</v>
      </c>
      <c r="BI520" s="8" t="n">
        <v>18</v>
      </c>
      <c r="BJ520" s="8" t="s">
        <v>7602</v>
      </c>
      <c r="BK520" s="4" t="s">
        <v>7653</v>
      </c>
      <c r="BL520" s="8" t="s">
        <v>7602</v>
      </c>
      <c r="BM520" s="4" t="s">
        <v>7620</v>
      </c>
      <c r="BN520" s="8" t="s">
        <v>7631</v>
      </c>
      <c r="BO520" s="8" t="s">
        <v>7680</v>
      </c>
      <c r="BP520" s="8" t="s">
        <v>7610</v>
      </c>
      <c r="BQ520" s="8" t="str">
        <f aca="false">IF(A520="","",AT520)</f>
        <v>3歳以上</v>
      </c>
      <c r="BR520" s="8" t="str">
        <f aca="false">IF(A520="","",IF(BA520&lt;=1200,"～1200",IF(BA520&lt;=1500,"1300～1500",IF(BA520=1600,"1600",IF(BA520&lt;=1800,"1700～1800",IF(BA520&lt;=2000,"1900～2000","2100以上"))))))</f>
        <v>2100以上</v>
      </c>
      <c r="BS520" s="8" t="str">
        <f aca="false">IF(A520="","",IF(AX520="G1","G1",IF(AX520="G2","G2",IF(AX520="G3","G3",IF(AX520="L","L","その他")))))</f>
        <v>G1</v>
      </c>
      <c r="BT520" s="8" t="str">
        <f aca="false">IF(A520="","",IF(BI520="","未結合",IF(D520=BI520,"一致","不一致")))</f>
        <v>一致</v>
      </c>
      <c r="BU520" s="8" t="str">
        <f aca="false">IF(A520="","",IF(BE520="牝馬限定","牝馬限定","その他"))</f>
        <v>その他</v>
      </c>
    </row>
    <row r="521" customFormat="false" ht="15.75" hidden="false" customHeight="false" outlineLevel="0" collapsed="false">
      <c r="A521" s="6" t="n">
        <v>46187</v>
      </c>
      <c r="B521" s="4" t="s">
        <v>4172</v>
      </c>
      <c r="C521" s="8" t="n">
        <v>12</v>
      </c>
      <c r="D521" s="8" t="n">
        <v>16</v>
      </c>
      <c r="E521" s="8" t="n">
        <v>1</v>
      </c>
      <c r="F521" s="4" t="s">
        <v>3629</v>
      </c>
      <c r="G521" s="8" t="n">
        <v>50</v>
      </c>
      <c r="H521" s="8" t="n">
        <v>15</v>
      </c>
      <c r="I521" s="4" t="s">
        <v>5324</v>
      </c>
      <c r="J521" s="8" t="n">
        <v>44</v>
      </c>
      <c r="K521" s="8" t="n">
        <v>12</v>
      </c>
      <c r="L521" s="4" t="s">
        <v>5323</v>
      </c>
      <c r="M521" s="8" t="n">
        <v>39</v>
      </c>
      <c r="N521" s="8" t="n">
        <f aca="false">IF(A521="","",G521-J521)</f>
        <v>6</v>
      </c>
      <c r="O521" s="8" t="n">
        <f aca="false">IF(A521="","",J521-M521)</f>
        <v>5</v>
      </c>
      <c r="P521" s="8" t="n">
        <f aca="false">IF(A521="","",G521+J521)</f>
        <v>94</v>
      </c>
      <c r="Q521" s="8" t="str">
        <f aca="false">IF(A521="","",IF(AND(Y521&lt;&gt;"参考",G521&gt;=ルール設定!$B$2),"○",""))</f>
        <v/>
      </c>
      <c r="R521" s="8" t="str">
        <f aca="false">IF(A521="","",IF(AND(Y521&lt;&gt;"参考",G521&gt;=ルール設定!$B$3,N521&gt;=ルール設定!$B$4),"○",""))</f>
        <v/>
      </c>
      <c r="S521" s="8" t="str">
        <f aca="false">IF(A521="","",IF(AND(Y521&lt;&gt;"参考",G521&gt;=ルール設定!$B$5,J521&gt;=ルール設定!$B$6,O521&gt;=ルール設定!$B$7),"○",""))</f>
        <v/>
      </c>
      <c r="T521" s="8" t="n">
        <v>3</v>
      </c>
      <c r="U521" s="8" t="n">
        <v>4</v>
      </c>
      <c r="V521" s="8" t="str">
        <f aca="false">IF(A521="","",IF(AND(ISNUMBER(T521),ISNUMBER(U521)),IF(AND(T521&lt;=3,U521&lt;=3),"○","×"),""))</f>
        <v>×</v>
      </c>
      <c r="W521" s="8" t="n">
        <v>170</v>
      </c>
      <c r="X521" s="8"/>
      <c r="Y521" s="4" t="s">
        <v>7597</v>
      </c>
      <c r="Z521" s="4" t="s">
        <v>4475</v>
      </c>
      <c r="AA521" s="8" t="str">
        <v/>
      </c>
      <c r="AB521" s="8" t="str">
        <v/>
      </c>
      <c r="AC521" s="8" t="str">
        <v/>
      </c>
      <c r="AD521" s="8" t="str">
        <v/>
      </c>
      <c r="AE521" s="8" t="str">
        <v/>
      </c>
      <c r="AF521" s="8" t="str">
        <v/>
      </c>
      <c r="AG521" s="8" t="str">
        <v/>
      </c>
      <c r="AH521" s="8" t="str">
        <v/>
      </c>
      <c r="AI521" s="8" t="n">
        <v>11</v>
      </c>
      <c r="AJ521" s="8" t="str">
        <v>～59</v>
      </c>
      <c r="AK521" s="8" t="str">
        <v>5～9</v>
      </c>
      <c r="AL521" s="8" t="str">
        <v>10～19</v>
      </c>
      <c r="AM521" s="8" t="str">
        <v>～99</v>
      </c>
      <c r="AN521" s="8" t="str">
        <v>15以上</v>
      </c>
      <c r="AO521" s="8" t="str">
        <f aca="false">IF(A521="","",IF(COUNTIFS(全馬データ!$A$2:$A$50000,A521,全馬データ!$B$2:$B$50000,B521,全馬データ!$C$2:$C$50000,C521,全馬データ!$D$2:$D$50000,E521,全馬データ!$K$2:$K$50000,"&lt;&gt;")=0,"",SUMIFS(全馬データ!$K$2:$K$50000,全馬データ!$A$2:$A$50000,A521,全馬データ!$B$2:$B$50000,B521,全馬データ!$C$2:$C$50000,C521,全馬データ!$D$2:$D$50000,E521)))</f>
        <v/>
      </c>
      <c r="AP521" s="8" t="str">
        <f aca="false">IF(A521="","",IF(AO521="","欠損",IF(AO521&lt;=1.1,"1.0～1.1",IF(AO521&lt;1.3,"1.2",IF(AO521&lt;1.5,"1.3～1.4",IF(AO521&lt;2,"1.5～1.9","2.0以上"))))))</f>
        <v>欠損</v>
      </c>
      <c r="AQ521" s="8" t="str">
        <f aca="false">IF(A521="","",IF(ISNUMBER(SEARCH("2歳",Z521)),"2歳戦",IF(ISNUMBER(SEARCH("3歳未勝利",Z521)),"3歳未勝利",IF(ISNUMBER(SEARCH("未勝利",Z521)),"その他未勝利",IF(ISNUMBER(SEARCH("G1",Z521)),"G1",IF(ISNUMBER(SEARCH("G2",Z521)),"G2",IF(ISNUMBER(SEARCH("G3",Z521)),"G3",IF(ISNUMBER(SEARCH("古馬条件",Z521)),"古馬条件戦",IF(ISNUMBER(SEARCH("重賞",Z521)),"重賞","分類不能")))))))))</f>
        <v>分類不能</v>
      </c>
      <c r="AR521" s="4" t="s">
        <v>7836</v>
      </c>
      <c r="AS521" s="8" t="s">
        <v>7626</v>
      </c>
      <c r="AT521" s="8" t="s">
        <v>7627</v>
      </c>
      <c r="AU521" s="8" t="s">
        <v>7639</v>
      </c>
      <c r="AV521" s="8" t="s">
        <v>7640</v>
      </c>
      <c r="AW521" s="8" t="s">
        <v>7636</v>
      </c>
      <c r="AX521" s="4" t="s">
        <v>7637</v>
      </c>
      <c r="AY521" s="8" t="s">
        <v>7610</v>
      </c>
      <c r="AZ521" s="4" t="s">
        <v>7617</v>
      </c>
      <c r="BA521" s="8" t="n">
        <v>1200</v>
      </c>
      <c r="BB521" s="8" t="s">
        <v>7837</v>
      </c>
      <c r="BC521" s="4" t="s">
        <v>7658</v>
      </c>
      <c r="BD521" s="8" t="s">
        <v>7605</v>
      </c>
      <c r="BE521" s="4" t="s">
        <v>7606</v>
      </c>
      <c r="BF521" s="8" t="s">
        <v>7607</v>
      </c>
      <c r="BG521" s="8" t="s">
        <v>7602</v>
      </c>
      <c r="BH521" s="4" t="s">
        <v>7667</v>
      </c>
      <c r="BI521" s="8" t="n">
        <v>16</v>
      </c>
      <c r="BJ521" s="8" t="s">
        <v>7602</v>
      </c>
      <c r="BK521" s="4" t="s">
        <v>7653</v>
      </c>
      <c r="BL521" s="8" t="s">
        <v>7602</v>
      </c>
      <c r="BM521" s="4" t="s">
        <v>7620</v>
      </c>
      <c r="BN521" s="8"/>
      <c r="BO521" s="8"/>
      <c r="BP521" s="8" t="s">
        <v>7610</v>
      </c>
      <c r="BQ521" s="8" t="str">
        <f aca="false">IF(A521="","",AT521)</f>
        <v>3歳以上</v>
      </c>
      <c r="BR521" s="8" t="str">
        <f aca="false">IF(A521="","",IF(BA521&lt;=1200,"～1200",IF(BA521&lt;=1500,"1300～1500",IF(BA521=1600,"1600",IF(BA521&lt;=1800,"1700～1800",IF(BA521&lt;=2000,"1900～2000","2100以上"))))))</f>
        <v>～1200</v>
      </c>
      <c r="BS521" s="8" t="str">
        <f aca="false">IF(A521="","",IF(AX521="G1","G1",IF(AX521="G2","G2",IF(AX521="G3","G3",IF(AX521="L","L","その他")))))</f>
        <v>その他</v>
      </c>
      <c r="BT521" s="8" t="str">
        <f aca="false">IF(A521="","",IF(BI521="","未結合",IF(D521=BI521,"一致","不一致")))</f>
        <v>一致</v>
      </c>
      <c r="BU521" s="8" t="str">
        <f aca="false">IF(A521="","",IF(BE521="牝馬限定","牝馬限定","その他"))</f>
        <v>その他</v>
      </c>
    </row>
    <row r="522" customFormat="false" ht="15.75" hidden="false" customHeight="false" outlineLevel="0" collapsed="false">
      <c r="A522" s="6" t="n">
        <v>46187</v>
      </c>
      <c r="B522" s="4" t="s">
        <v>1237</v>
      </c>
      <c r="C522" s="8" t="n">
        <v>1</v>
      </c>
      <c r="D522" s="8" t="n">
        <v>16</v>
      </c>
      <c r="E522" s="8" t="n">
        <v>3</v>
      </c>
      <c r="F522" s="4" t="s">
        <v>362</v>
      </c>
      <c r="G522" s="8" t="n">
        <v>50</v>
      </c>
      <c r="H522" s="8" t="n">
        <v>10</v>
      </c>
      <c r="I522" s="4" t="s">
        <v>1270</v>
      </c>
      <c r="J522" s="8" t="n">
        <v>41</v>
      </c>
      <c r="K522" s="8" t="n">
        <v>6</v>
      </c>
      <c r="L522" s="4" t="s">
        <v>3513</v>
      </c>
      <c r="M522" s="8" t="n">
        <v>29</v>
      </c>
      <c r="N522" s="8" t="n">
        <f aca="false">IF(A522="","",G522-J522)</f>
        <v>9</v>
      </c>
      <c r="O522" s="8" t="n">
        <f aca="false">IF(A522="","",J522-M522)</f>
        <v>12</v>
      </c>
      <c r="P522" s="8" t="n">
        <f aca="false">IF(A522="","",G522+J522)</f>
        <v>91</v>
      </c>
      <c r="Q522" s="8" t="str">
        <f aca="false">IF(A522="","",IF(AND(Y522&lt;&gt;"参考",G522&gt;=ルール設定!$B$2),"○",""))</f>
        <v/>
      </c>
      <c r="R522" s="8" t="str">
        <f aca="false">IF(A522="","",IF(AND(Y522&lt;&gt;"参考",G522&gt;=ルール設定!$B$3,N522&gt;=ルール設定!$B$4),"○",""))</f>
        <v/>
      </c>
      <c r="S522" s="8" t="str">
        <f aca="false">IF(A522="","",IF(AND(Y522&lt;&gt;"参考",G522&gt;=ルール設定!$B$5,J522&gt;=ルール設定!$B$6,O522&gt;=ルール設定!$B$7),"○",""))</f>
        <v/>
      </c>
      <c r="T522" s="8" t="n">
        <v>4</v>
      </c>
      <c r="U522" s="8" t="n">
        <v>3</v>
      </c>
      <c r="V522" s="8" t="str">
        <f aca="false">IF(A522="","",IF(AND(ISNUMBER(T522),ISNUMBER(U522)),IF(AND(T522&lt;=3,U522&lt;=3),"○","×"),""))</f>
        <v>×</v>
      </c>
      <c r="W522" s="8"/>
      <c r="X522" s="8"/>
      <c r="Y522" s="4" t="s">
        <v>7597</v>
      </c>
      <c r="Z522" s="4" t="s">
        <v>4475</v>
      </c>
      <c r="AA522" s="8" t="str">
        <v/>
      </c>
      <c r="AB522" s="8" t="str">
        <v/>
      </c>
      <c r="AC522" s="8" t="str">
        <v/>
      </c>
      <c r="AD522" s="8" t="str">
        <v/>
      </c>
      <c r="AE522" s="8" t="str">
        <v/>
      </c>
      <c r="AF522" s="8" t="str">
        <v/>
      </c>
      <c r="AG522" s="8" t="str">
        <v/>
      </c>
      <c r="AH522" s="8" t="str">
        <v/>
      </c>
      <c r="AI522" s="8" t="n">
        <v>21</v>
      </c>
      <c r="AJ522" s="8" t="str">
        <v>～59</v>
      </c>
      <c r="AK522" s="8" t="str">
        <v>5～9</v>
      </c>
      <c r="AL522" s="8" t="str">
        <v>20～29</v>
      </c>
      <c r="AM522" s="8" t="str">
        <v>～99</v>
      </c>
      <c r="AN522" s="8" t="str">
        <v>15以上</v>
      </c>
      <c r="AO522" s="8" t="str">
        <f aca="false">IF(A522="","",IF(COUNTIFS(全馬データ!$A$2:$A$50000,A522,全馬データ!$B$2:$B$50000,B522,全馬データ!$C$2:$C$50000,C522,全馬データ!$D$2:$D$50000,E522,全馬データ!$K$2:$K$50000,"&lt;&gt;")=0,"",SUMIFS(全馬データ!$K$2:$K$50000,全馬データ!$A$2:$A$50000,A522,全馬データ!$B$2:$B$50000,B522,全馬データ!$C$2:$C$50000,C522,全馬データ!$D$2:$D$50000,E522)))</f>
        <v/>
      </c>
      <c r="AP522" s="8" t="str">
        <f aca="false">IF(A522="","",IF(AO522="","欠損",IF(AO522&lt;=1.1,"1.0～1.1",IF(AO522&lt;1.3,"1.2",IF(AO522&lt;1.5,"1.3～1.4",IF(AO522&lt;2,"1.5～1.9","2.0以上"))))))</f>
        <v>欠損</v>
      </c>
      <c r="AQ522" s="8" t="str">
        <f aca="false">IF(A522="","",IF(ISNUMBER(SEARCH("2歳",Z522)),"2歳戦",IF(ISNUMBER(SEARCH("3歳未勝利",Z522)),"3歳未勝利",IF(ISNUMBER(SEARCH("未勝利",Z522)),"その他未勝利",IF(ISNUMBER(SEARCH("G1",Z522)),"G1",IF(ISNUMBER(SEARCH("G2",Z522)),"G2",IF(ISNUMBER(SEARCH("G3",Z522)),"G3",IF(ISNUMBER(SEARCH("古馬条件",Z522)),"古馬条件戦",IF(ISNUMBER(SEARCH("重賞",Z522)),"重賞","分類不能")))))))))</f>
        <v>分類不能</v>
      </c>
      <c r="AR522" s="8"/>
      <c r="AS522" s="8" t="s">
        <v>7623</v>
      </c>
      <c r="AT522" s="8" t="s">
        <v>7624</v>
      </c>
      <c r="AU522" s="8" t="s">
        <v>7600</v>
      </c>
      <c r="AV522" s="4" t="s">
        <v>7601</v>
      </c>
      <c r="AW522" s="8"/>
      <c r="AX522" s="8"/>
      <c r="AY522" s="8" t="s">
        <v>7602</v>
      </c>
      <c r="AZ522" s="4" t="s">
        <v>7603</v>
      </c>
      <c r="BA522" s="8" t="n">
        <v>1200</v>
      </c>
      <c r="BB522" s="8" t="s">
        <v>7598</v>
      </c>
      <c r="BC522" s="4" t="s">
        <v>7604</v>
      </c>
      <c r="BD522" s="8" t="s">
        <v>7625</v>
      </c>
      <c r="BE522" s="4" t="s">
        <v>7606</v>
      </c>
      <c r="BF522" s="8" t="s">
        <v>7607</v>
      </c>
      <c r="BG522" s="8" t="s">
        <v>7608</v>
      </c>
      <c r="BH522" s="4" t="s">
        <v>7609</v>
      </c>
      <c r="BI522" s="8" t="n">
        <v>16</v>
      </c>
      <c r="BJ522" s="8" t="s">
        <v>7602</v>
      </c>
      <c r="BK522" s="4" t="s">
        <v>7653</v>
      </c>
      <c r="BL522" s="8" t="s">
        <v>7602</v>
      </c>
      <c r="BM522" s="4" t="s">
        <v>7620</v>
      </c>
      <c r="BN522" s="8" t="s">
        <v>7602</v>
      </c>
      <c r="BO522" s="8" t="s">
        <v>7613</v>
      </c>
      <c r="BP522" s="8" t="s">
        <v>7608</v>
      </c>
      <c r="BQ522" s="8" t="str">
        <f aca="false">IF(A522="","",AT522)</f>
        <v>3歳</v>
      </c>
      <c r="BR522" s="8" t="str">
        <f aca="false">IF(A522="","",IF(BA522&lt;=1200,"～1200",IF(BA522&lt;=1500,"1300～1500",IF(BA522=1600,"1600",IF(BA522&lt;=1800,"1700～1800",IF(BA522&lt;=2000,"1900～2000","2100以上"))))))</f>
        <v>～1200</v>
      </c>
      <c r="BS522" s="8" t="str">
        <f aca="false">IF(A522="","",IF(AX522="G1","G1",IF(AX522="G2","G2",IF(AX522="G3","G3",IF(AX522="L","L","その他")))))</f>
        <v>その他</v>
      </c>
      <c r="BT522" s="8" t="str">
        <f aca="false">IF(A522="","",IF(BI522="","未結合",IF(D522=BI522,"一致","不一致")))</f>
        <v>一致</v>
      </c>
      <c r="BU522" s="8" t="str">
        <f aca="false">IF(A522="","",IF(BE522="牝馬限定","牝馬限定","その他"))</f>
        <v>その他</v>
      </c>
    </row>
    <row r="523" customFormat="false" ht="15.75" hidden="false" customHeight="false" outlineLevel="0" collapsed="false">
      <c r="A523" s="6" t="n">
        <v>46187</v>
      </c>
      <c r="B523" s="4" t="s">
        <v>1237</v>
      </c>
      <c r="C523" s="8" t="n">
        <v>2</v>
      </c>
      <c r="D523" s="8" t="n">
        <v>11</v>
      </c>
      <c r="E523" s="8" t="n">
        <v>5</v>
      </c>
      <c r="F523" s="4" t="s">
        <v>2609</v>
      </c>
      <c r="G523" s="8" t="n">
        <v>58</v>
      </c>
      <c r="H523" s="8" t="n">
        <v>8</v>
      </c>
      <c r="I523" s="4" t="s">
        <v>1293</v>
      </c>
      <c r="J523" s="8" t="n">
        <v>47</v>
      </c>
      <c r="K523" s="8" t="n">
        <v>9</v>
      </c>
      <c r="L523" s="4" t="s">
        <v>2931</v>
      </c>
      <c r="M523" s="8" t="n">
        <v>44</v>
      </c>
      <c r="N523" s="8" t="n">
        <f aca="false">IF(A523="","",G523-J523)</f>
        <v>11</v>
      </c>
      <c r="O523" s="8" t="n">
        <f aca="false">IF(A523="","",J523-M523)</f>
        <v>3</v>
      </c>
      <c r="P523" s="8" t="n">
        <f aca="false">IF(A523="","",G523+J523)</f>
        <v>105</v>
      </c>
      <c r="Q523" s="8" t="str">
        <f aca="false">IF(A523="","",IF(AND(Y523&lt;&gt;"参考",G523&gt;=ルール設定!$B$2),"○",""))</f>
        <v/>
      </c>
      <c r="R523" s="8" t="str">
        <f aca="false">IF(A523="","",IF(AND(Y523&lt;&gt;"参考",G523&gt;=ルール設定!$B$3,N523&gt;=ルール設定!$B$4),"○",""))</f>
        <v/>
      </c>
      <c r="S523" s="8" t="str">
        <f aca="false">IF(A523="","",IF(AND(Y523&lt;&gt;"参考",G523&gt;=ルール設定!$B$5,J523&gt;=ルール設定!$B$6,O523&gt;=ルール設定!$B$7),"○",""))</f>
        <v/>
      </c>
      <c r="T523" s="8" t="n">
        <v>4</v>
      </c>
      <c r="U523" s="8" t="n">
        <v>2</v>
      </c>
      <c r="V523" s="8" t="str">
        <f aca="false">IF(A523="","",IF(AND(ISNUMBER(T523),ISNUMBER(U523)),IF(AND(T523&lt;=3,U523&lt;=3),"○","×"),""))</f>
        <v>×</v>
      </c>
      <c r="W523" s="8"/>
      <c r="X523" s="8"/>
      <c r="Y523" s="4" t="s">
        <v>7597</v>
      </c>
      <c r="Z523" s="4" t="s">
        <v>4475</v>
      </c>
      <c r="AA523" s="8" t="str">
        <v/>
      </c>
      <c r="AB523" s="8" t="str">
        <v/>
      </c>
      <c r="AC523" s="8" t="str">
        <v/>
      </c>
      <c r="AD523" s="8" t="str">
        <v/>
      </c>
      <c r="AE523" s="8" t="str">
        <v/>
      </c>
      <c r="AF523" s="8" t="str">
        <v/>
      </c>
      <c r="AG523" s="8" t="str">
        <v/>
      </c>
      <c r="AH523" s="8" t="str">
        <v/>
      </c>
      <c r="AI523" s="8" t="n">
        <v>14</v>
      </c>
      <c r="AJ523" s="8" t="str">
        <v>～59</v>
      </c>
      <c r="AK523" s="8" t="str">
        <v>10～19</v>
      </c>
      <c r="AL523" s="8" t="str">
        <v>10～19</v>
      </c>
      <c r="AM523" s="8" t="str">
        <v>100～119</v>
      </c>
      <c r="AN523" s="8" t="str">
        <v>8～11</v>
      </c>
      <c r="AO523" s="8" t="str">
        <f aca="false">IF(A523="","",IF(COUNTIFS(全馬データ!$A$2:$A$50000,A523,全馬データ!$B$2:$B$50000,B523,全馬データ!$C$2:$C$50000,C523,全馬データ!$D$2:$D$50000,E523,全馬データ!$K$2:$K$50000,"&lt;&gt;")=0,"",SUMIFS(全馬データ!$K$2:$K$50000,全馬データ!$A$2:$A$50000,A523,全馬データ!$B$2:$B$50000,B523,全馬データ!$C$2:$C$50000,C523,全馬データ!$D$2:$D$50000,E523)))</f>
        <v/>
      </c>
      <c r="AP523" s="8" t="str">
        <f aca="false">IF(A523="","",IF(AO523="","欠損",IF(AO523&lt;=1.1,"1.0～1.1",IF(AO523&lt;1.3,"1.2",IF(AO523&lt;1.5,"1.3～1.4",IF(AO523&lt;2,"1.5～1.9","2.0以上"))))))</f>
        <v>欠損</v>
      </c>
      <c r="AQ523" s="8" t="str">
        <f aca="false">IF(A523="","",IF(ISNUMBER(SEARCH("2歳",Z523)),"2歳戦",IF(ISNUMBER(SEARCH("3歳未勝利",Z523)),"3歳未勝利",IF(ISNUMBER(SEARCH("未勝利",Z523)),"その他未勝利",IF(ISNUMBER(SEARCH("G1",Z523)),"G1",IF(ISNUMBER(SEARCH("G2",Z523)),"G2",IF(ISNUMBER(SEARCH("G3",Z523)),"G3",IF(ISNUMBER(SEARCH("古馬条件",Z523)),"古馬条件戦",IF(ISNUMBER(SEARCH("重賞",Z523)),"重賞","分類不能")))))))))</f>
        <v>分類不能</v>
      </c>
      <c r="AR523" s="8"/>
      <c r="AS523" s="8" t="s">
        <v>7623</v>
      </c>
      <c r="AT523" s="8" t="s">
        <v>7624</v>
      </c>
      <c r="AU523" s="8" t="s">
        <v>7600</v>
      </c>
      <c r="AV523" s="4" t="s">
        <v>7601</v>
      </c>
      <c r="AW523" s="8"/>
      <c r="AX523" s="8"/>
      <c r="AY523" s="8" t="s">
        <v>7610</v>
      </c>
      <c r="AZ523" s="4" t="s">
        <v>7617</v>
      </c>
      <c r="BA523" s="8" t="n">
        <v>1700</v>
      </c>
      <c r="BB523" s="8" t="s">
        <v>7598</v>
      </c>
      <c r="BC523" s="4" t="s">
        <v>7604</v>
      </c>
      <c r="BD523" s="8" t="s">
        <v>7605</v>
      </c>
      <c r="BE523" s="4" t="s">
        <v>7606</v>
      </c>
      <c r="BF523" s="8" t="s">
        <v>7607</v>
      </c>
      <c r="BG523" s="8" t="s">
        <v>7608</v>
      </c>
      <c r="BH523" s="4" t="s">
        <v>7609</v>
      </c>
      <c r="BI523" s="8" t="n">
        <v>11</v>
      </c>
      <c r="BJ523" s="8" t="s">
        <v>7602</v>
      </c>
      <c r="BK523" s="4" t="s">
        <v>7653</v>
      </c>
      <c r="BL523" s="8" t="s">
        <v>7602</v>
      </c>
      <c r="BM523" s="4" t="s">
        <v>7620</v>
      </c>
      <c r="BN523" s="8"/>
      <c r="BO523" s="8"/>
      <c r="BP523" s="8" t="s">
        <v>7608</v>
      </c>
      <c r="BQ523" s="8" t="str">
        <f aca="false">IF(A523="","",AT523)</f>
        <v>3歳</v>
      </c>
      <c r="BR523" s="8" t="str">
        <f aca="false">IF(A523="","",IF(BA523&lt;=1200,"～1200",IF(BA523&lt;=1500,"1300～1500",IF(BA523=1600,"1600",IF(BA523&lt;=1800,"1700～1800",IF(BA523&lt;=2000,"1900～2000","2100以上"))))))</f>
        <v>1700～1800</v>
      </c>
      <c r="BS523" s="8" t="str">
        <f aca="false">IF(A523="","",IF(AX523="G1","G1",IF(AX523="G2","G2",IF(AX523="G3","G3",IF(AX523="L","L","その他")))))</f>
        <v>その他</v>
      </c>
      <c r="BT523" s="8" t="str">
        <f aca="false">IF(A523="","",IF(BI523="","未結合",IF(D523=BI523,"一致","不一致")))</f>
        <v>一致</v>
      </c>
      <c r="BU523" s="8" t="str">
        <f aca="false">IF(A523="","",IF(BE523="牝馬限定","牝馬限定","その他"))</f>
        <v>その他</v>
      </c>
    </row>
    <row r="524" customFormat="false" ht="15.75" hidden="false" customHeight="false" outlineLevel="0" collapsed="false">
      <c r="A524" s="6" t="n">
        <v>46187</v>
      </c>
      <c r="B524" s="4" t="s">
        <v>1237</v>
      </c>
      <c r="C524" s="8" t="n">
        <v>3</v>
      </c>
      <c r="D524" s="8" t="n">
        <v>12</v>
      </c>
      <c r="E524" s="8" t="n">
        <v>9</v>
      </c>
      <c r="F524" s="4" t="s">
        <v>1733</v>
      </c>
      <c r="G524" s="8" t="n">
        <v>60</v>
      </c>
      <c r="H524" s="8" t="n">
        <v>7</v>
      </c>
      <c r="I524" s="4" t="s">
        <v>5330</v>
      </c>
      <c r="J524" s="8" t="n">
        <v>47</v>
      </c>
      <c r="K524" s="8" t="n">
        <v>1</v>
      </c>
      <c r="L524" s="4" t="s">
        <v>860</v>
      </c>
      <c r="M524" s="8" t="n">
        <v>37</v>
      </c>
      <c r="N524" s="8" t="n">
        <f aca="false">IF(A524="","",G524-J524)</f>
        <v>13</v>
      </c>
      <c r="O524" s="8" t="n">
        <f aca="false">IF(A524="","",J524-M524)</f>
        <v>10</v>
      </c>
      <c r="P524" s="8" t="n">
        <f aca="false">IF(A524="","",G524+J524)</f>
        <v>107</v>
      </c>
      <c r="Q524" s="8" t="str">
        <f aca="false">IF(A524="","",IF(AND(Y524&lt;&gt;"参考",G524&gt;=ルール設定!$B$2),"○",""))</f>
        <v/>
      </c>
      <c r="R524" s="8" t="str">
        <f aca="false">IF(A524="","",IF(AND(Y524&lt;&gt;"参考",G524&gt;=ルール設定!$B$3,N524&gt;=ルール設定!$B$4),"○",""))</f>
        <v/>
      </c>
      <c r="S524" s="8" t="str">
        <f aca="false">IF(A524="","",IF(AND(Y524&lt;&gt;"参考",G524&gt;=ルール設定!$B$5,J524&gt;=ルール設定!$B$6,O524&gt;=ルール設定!$B$7),"○",""))</f>
        <v/>
      </c>
      <c r="T524" s="8" t="n">
        <v>4</v>
      </c>
      <c r="U524" s="8" t="n">
        <v>4</v>
      </c>
      <c r="V524" s="8" t="str">
        <f aca="false">IF(A524="","",IF(AND(ISNUMBER(T524),ISNUMBER(U524)),IF(AND(T524&lt;=3,U524&lt;=3),"○","×"),""))</f>
        <v>×</v>
      </c>
      <c r="W524" s="8"/>
      <c r="X524" s="8"/>
      <c r="Y524" s="4" t="s">
        <v>7597</v>
      </c>
      <c r="Z524" s="4" t="s">
        <v>4475</v>
      </c>
      <c r="AA524" s="8" t="str">
        <v/>
      </c>
      <c r="AB524" s="8" t="str">
        <v/>
      </c>
      <c r="AC524" s="8" t="str">
        <v/>
      </c>
      <c r="AD524" s="8" t="str">
        <v/>
      </c>
      <c r="AE524" s="8" t="str">
        <v/>
      </c>
      <c r="AF524" s="8" t="str">
        <v/>
      </c>
      <c r="AG524" s="8" t="str">
        <v/>
      </c>
      <c r="AH524" s="8" t="str">
        <v/>
      </c>
      <c r="AI524" s="8" t="n">
        <v>23</v>
      </c>
      <c r="AJ524" s="8" t="str">
        <v>60～69</v>
      </c>
      <c r="AK524" s="8" t="str">
        <v>10～19</v>
      </c>
      <c r="AL524" s="8" t="str">
        <v>20～29</v>
      </c>
      <c r="AM524" s="8" t="str">
        <v>100～119</v>
      </c>
      <c r="AN524" s="8" t="str">
        <v>12～14</v>
      </c>
      <c r="AO524" s="8" t="str">
        <f aca="false">IF(A524="","",IF(COUNTIFS(全馬データ!$A$2:$A$50000,A524,全馬データ!$B$2:$B$50000,B524,全馬データ!$C$2:$C$50000,C524,全馬データ!$D$2:$D$50000,E524,全馬データ!$K$2:$K$50000,"&lt;&gt;")=0,"",SUMIFS(全馬データ!$K$2:$K$50000,全馬データ!$A$2:$A$50000,A524,全馬データ!$B$2:$B$50000,B524,全馬データ!$C$2:$C$50000,C524,全馬データ!$D$2:$D$50000,E524)))</f>
        <v/>
      </c>
      <c r="AP524" s="8" t="str">
        <f aca="false">IF(A524="","",IF(AO524="","欠損",IF(AO524&lt;=1.1,"1.0～1.1",IF(AO524&lt;1.3,"1.2",IF(AO524&lt;1.5,"1.3～1.4",IF(AO524&lt;2,"1.5～1.9","2.0以上"))))))</f>
        <v>欠損</v>
      </c>
      <c r="AQ524" s="8" t="str">
        <f aca="false">IF(A524="","",IF(ISNUMBER(SEARCH("2歳",Z524)),"2歳戦",IF(ISNUMBER(SEARCH("3歳未勝利",Z524)),"3歳未勝利",IF(ISNUMBER(SEARCH("未勝利",Z524)),"その他未勝利",IF(ISNUMBER(SEARCH("G1",Z524)),"G1",IF(ISNUMBER(SEARCH("G2",Z524)),"G2",IF(ISNUMBER(SEARCH("G3",Z524)),"G3",IF(ISNUMBER(SEARCH("古馬条件",Z524)),"古馬条件戦",IF(ISNUMBER(SEARCH("重賞",Z524)),"重賞","分類不能")))))))))</f>
        <v>分類不能</v>
      </c>
      <c r="AR524" s="8"/>
      <c r="AS524" s="8" t="s">
        <v>7623</v>
      </c>
      <c r="AT524" s="8" t="s">
        <v>7624</v>
      </c>
      <c r="AU524" s="8" t="s">
        <v>7600</v>
      </c>
      <c r="AV524" s="4" t="s">
        <v>7601</v>
      </c>
      <c r="AW524" s="8"/>
      <c r="AX524" s="8"/>
      <c r="AY524" s="8" t="s">
        <v>7610</v>
      </c>
      <c r="AZ524" s="4" t="s">
        <v>7617</v>
      </c>
      <c r="BA524" s="8" t="n">
        <v>1000</v>
      </c>
      <c r="BB524" s="8" t="s">
        <v>7598</v>
      </c>
      <c r="BC524" s="4" t="s">
        <v>7604</v>
      </c>
      <c r="BD524" s="8" t="s">
        <v>7605</v>
      </c>
      <c r="BE524" s="4" t="s">
        <v>7606</v>
      </c>
      <c r="BF524" s="8" t="s">
        <v>7607</v>
      </c>
      <c r="BG524" s="8" t="s">
        <v>7608</v>
      </c>
      <c r="BH524" s="4" t="s">
        <v>7609</v>
      </c>
      <c r="BI524" s="8" t="n">
        <v>12</v>
      </c>
      <c r="BJ524" s="8" t="s">
        <v>7602</v>
      </c>
      <c r="BK524" s="4" t="s">
        <v>7653</v>
      </c>
      <c r="BL524" s="8" t="s">
        <v>7602</v>
      </c>
      <c r="BM524" s="4" t="s">
        <v>7620</v>
      </c>
      <c r="BN524" s="8"/>
      <c r="BO524" s="8"/>
      <c r="BP524" s="8" t="s">
        <v>7608</v>
      </c>
      <c r="BQ524" s="8" t="str">
        <f aca="false">IF(A524="","",AT524)</f>
        <v>3歳</v>
      </c>
      <c r="BR524" s="8" t="str">
        <f aca="false">IF(A524="","",IF(BA524&lt;=1200,"～1200",IF(BA524&lt;=1500,"1300～1500",IF(BA524=1600,"1600",IF(BA524&lt;=1800,"1700～1800",IF(BA524&lt;=2000,"1900～2000","2100以上"))))))</f>
        <v>～1200</v>
      </c>
      <c r="BS524" s="8" t="str">
        <f aca="false">IF(A524="","",IF(AX524="G1","G1",IF(AX524="G2","G2",IF(AX524="G3","G3",IF(AX524="L","L","その他")))))</f>
        <v>その他</v>
      </c>
      <c r="BT524" s="8" t="str">
        <f aca="false">IF(A524="","",IF(BI524="","未結合",IF(D524=BI524,"一致","不一致")))</f>
        <v>一致</v>
      </c>
      <c r="BU524" s="8" t="str">
        <f aca="false">IF(A524="","",IF(BE524="牝馬限定","牝馬限定","その他"))</f>
        <v>その他</v>
      </c>
    </row>
    <row r="525" customFormat="false" ht="15.75" hidden="false" customHeight="false" outlineLevel="0" collapsed="false">
      <c r="A525" s="6" t="n">
        <v>46187</v>
      </c>
      <c r="B525" s="4" t="s">
        <v>1237</v>
      </c>
      <c r="C525" s="8" t="n">
        <v>4</v>
      </c>
      <c r="D525" s="8" t="n">
        <v>16</v>
      </c>
      <c r="E525" s="8" t="n">
        <v>12</v>
      </c>
      <c r="F525" s="4" t="s">
        <v>1300</v>
      </c>
      <c r="G525" s="8" t="n">
        <v>58</v>
      </c>
      <c r="H525" s="8" t="n">
        <v>1</v>
      </c>
      <c r="I525" s="4" t="s">
        <v>4432</v>
      </c>
      <c r="J525" s="8" t="n">
        <v>47</v>
      </c>
      <c r="K525" s="8" t="n">
        <v>3</v>
      </c>
      <c r="L525" s="4" t="s">
        <v>2205</v>
      </c>
      <c r="M525" s="8" t="n">
        <v>31</v>
      </c>
      <c r="N525" s="8" t="n">
        <f aca="false">IF(A525="","",G525-J525)</f>
        <v>11</v>
      </c>
      <c r="O525" s="8" t="n">
        <f aca="false">IF(A525="","",J525-M525)</f>
        <v>16</v>
      </c>
      <c r="P525" s="8" t="n">
        <f aca="false">IF(A525="","",G525+J525)</f>
        <v>105</v>
      </c>
      <c r="Q525" s="8" t="str">
        <f aca="false">IF(A525="","",IF(AND(Y525&lt;&gt;"参考",G525&gt;=ルール設定!$B$2),"○",""))</f>
        <v/>
      </c>
      <c r="R525" s="8" t="str">
        <f aca="false">IF(A525="","",IF(AND(Y525&lt;&gt;"参考",G525&gt;=ルール設定!$B$3,N525&gt;=ルール設定!$B$4),"○",""))</f>
        <v/>
      </c>
      <c r="S525" s="8" t="str">
        <f aca="false">IF(A525="","",IF(AND(Y525&lt;&gt;"参考",G525&gt;=ルール設定!$B$5,J525&gt;=ルール設定!$B$6,O525&gt;=ルール設定!$B$7),"○",""))</f>
        <v/>
      </c>
      <c r="T525" s="8" t="n">
        <v>2</v>
      </c>
      <c r="U525" s="8" t="n">
        <v>4</v>
      </c>
      <c r="V525" s="8" t="str">
        <f aca="false">IF(A525="","",IF(AND(ISNUMBER(T525),ISNUMBER(U525)),IF(AND(T525&lt;=3,U525&lt;=3),"○","×"),""))</f>
        <v>×</v>
      </c>
      <c r="W525" s="8" t="n">
        <v>200</v>
      </c>
      <c r="X525" s="8"/>
      <c r="Y525" s="4" t="s">
        <v>7597</v>
      </c>
      <c r="Z525" s="4" t="s">
        <v>4475</v>
      </c>
      <c r="AA525" s="8" t="str">
        <v/>
      </c>
      <c r="AB525" s="8" t="str">
        <v/>
      </c>
      <c r="AC525" s="8" t="str">
        <v/>
      </c>
      <c r="AD525" s="8" t="str">
        <v/>
      </c>
      <c r="AE525" s="8" t="str">
        <v/>
      </c>
      <c r="AF525" s="8" t="str">
        <v/>
      </c>
      <c r="AG525" s="8" t="str">
        <v/>
      </c>
      <c r="AH525" s="8" t="str">
        <v/>
      </c>
      <c r="AI525" s="8" t="n">
        <v>27</v>
      </c>
      <c r="AJ525" s="8" t="str">
        <v>～59</v>
      </c>
      <c r="AK525" s="8" t="str">
        <v>10～19</v>
      </c>
      <c r="AL525" s="8" t="str">
        <v>20～29</v>
      </c>
      <c r="AM525" s="8" t="str">
        <v>100～119</v>
      </c>
      <c r="AN525" s="8" t="str">
        <v>15以上</v>
      </c>
      <c r="AO525" s="8" t="str">
        <f aca="false">IF(A525="","",IF(COUNTIFS(全馬データ!$A$2:$A$50000,A525,全馬データ!$B$2:$B$50000,B525,全馬データ!$C$2:$C$50000,C525,全馬データ!$D$2:$D$50000,E525,全馬データ!$K$2:$K$50000,"&lt;&gt;")=0,"",SUMIFS(全馬データ!$K$2:$K$50000,全馬データ!$A$2:$A$50000,A525,全馬データ!$B$2:$B$50000,B525,全馬データ!$C$2:$C$50000,C525,全馬データ!$D$2:$D$50000,E525)))</f>
        <v/>
      </c>
      <c r="AP525" s="8" t="str">
        <f aca="false">IF(A525="","",IF(AO525="","欠損",IF(AO525&lt;=1.1,"1.0～1.1",IF(AO525&lt;1.3,"1.2",IF(AO525&lt;1.5,"1.3～1.4",IF(AO525&lt;2,"1.5～1.9","2.0以上"))))))</f>
        <v>欠損</v>
      </c>
      <c r="AQ525" s="8" t="str">
        <f aca="false">IF(A525="","",IF(ISNUMBER(SEARCH("2歳",Z525)),"2歳戦",IF(ISNUMBER(SEARCH("3歳未勝利",Z525)),"3歳未勝利",IF(ISNUMBER(SEARCH("未勝利",Z525)),"その他未勝利",IF(ISNUMBER(SEARCH("G1",Z525)),"G1",IF(ISNUMBER(SEARCH("G2",Z525)),"G2",IF(ISNUMBER(SEARCH("G3",Z525)),"G3",IF(ISNUMBER(SEARCH("古馬条件",Z525)),"古馬条件戦",IF(ISNUMBER(SEARCH("重賞",Z525)),"重賞","分類不能")))))))))</f>
        <v>分類不能</v>
      </c>
      <c r="AR525" s="8"/>
      <c r="AS525" s="8" t="s">
        <v>7623</v>
      </c>
      <c r="AT525" s="8" t="s">
        <v>7624</v>
      </c>
      <c r="AU525" s="8" t="s">
        <v>7600</v>
      </c>
      <c r="AV525" s="4" t="s">
        <v>7601</v>
      </c>
      <c r="AW525" s="8"/>
      <c r="AX525" s="8"/>
      <c r="AY525" s="8" t="s">
        <v>7602</v>
      </c>
      <c r="AZ525" s="4" t="s">
        <v>7603</v>
      </c>
      <c r="BA525" s="8" t="n">
        <v>1800</v>
      </c>
      <c r="BB525" s="8" t="s">
        <v>7598</v>
      </c>
      <c r="BC525" s="4" t="s">
        <v>7604</v>
      </c>
      <c r="BD525" s="8" t="s">
        <v>7625</v>
      </c>
      <c r="BE525" s="4" t="s">
        <v>7606</v>
      </c>
      <c r="BF525" s="8" t="s">
        <v>7607</v>
      </c>
      <c r="BG525" s="8" t="s">
        <v>7608</v>
      </c>
      <c r="BH525" s="4" t="s">
        <v>7609</v>
      </c>
      <c r="BI525" s="8" t="n">
        <v>16</v>
      </c>
      <c r="BJ525" s="8" t="s">
        <v>7602</v>
      </c>
      <c r="BK525" s="4" t="s">
        <v>7653</v>
      </c>
      <c r="BL525" s="8" t="s">
        <v>7602</v>
      </c>
      <c r="BM525" s="4" t="s">
        <v>7620</v>
      </c>
      <c r="BN525" s="8" t="s">
        <v>7602</v>
      </c>
      <c r="BO525" s="8" t="s">
        <v>7613</v>
      </c>
      <c r="BP525" s="8" t="s">
        <v>7608</v>
      </c>
      <c r="BQ525" s="8" t="str">
        <f aca="false">IF(A525="","",AT525)</f>
        <v>3歳</v>
      </c>
      <c r="BR525" s="8" t="str">
        <f aca="false">IF(A525="","",IF(BA525&lt;=1200,"～1200",IF(BA525&lt;=1500,"1300～1500",IF(BA525=1600,"1600",IF(BA525&lt;=1800,"1700～1800",IF(BA525&lt;=2000,"1900～2000","2100以上"))))))</f>
        <v>1700～1800</v>
      </c>
      <c r="BS525" s="8" t="str">
        <f aca="false">IF(A525="","",IF(AX525="G1","G1",IF(AX525="G2","G2",IF(AX525="G3","G3",IF(AX525="L","L","その他")))))</f>
        <v>その他</v>
      </c>
      <c r="BT525" s="8" t="str">
        <f aca="false">IF(A525="","",IF(BI525="","未結合",IF(D525=BI525,"一致","不一致")))</f>
        <v>一致</v>
      </c>
      <c r="BU525" s="8" t="str">
        <f aca="false">IF(A525="","",IF(BE525="牝馬限定","牝馬限定","その他"))</f>
        <v>その他</v>
      </c>
    </row>
    <row r="526" customFormat="false" ht="15.75" hidden="false" customHeight="false" outlineLevel="0" collapsed="false">
      <c r="A526" s="6" t="n">
        <v>46187</v>
      </c>
      <c r="B526" s="4" t="s">
        <v>1237</v>
      </c>
      <c r="C526" s="8" t="n">
        <v>5</v>
      </c>
      <c r="D526" s="8" t="n">
        <v>8</v>
      </c>
      <c r="E526" s="8" t="n">
        <v>1</v>
      </c>
      <c r="F526" s="4" t="s">
        <v>1245</v>
      </c>
      <c r="G526" s="8" t="n">
        <v>27</v>
      </c>
      <c r="H526" s="8" t="n">
        <v>4</v>
      </c>
      <c r="I526" s="4" t="s">
        <v>5336</v>
      </c>
      <c r="J526" s="8" t="n">
        <v>27</v>
      </c>
      <c r="K526" s="8" t="n">
        <v>2</v>
      </c>
      <c r="L526" s="4" t="s">
        <v>2925</v>
      </c>
      <c r="M526" s="8" t="n">
        <v>24</v>
      </c>
      <c r="N526" s="8" t="n">
        <f aca="false">IF(A526="","",G526-J526)</f>
        <v>0</v>
      </c>
      <c r="O526" s="8" t="n">
        <f aca="false">IF(A526="","",J526-M526)</f>
        <v>3</v>
      </c>
      <c r="P526" s="8" t="n">
        <f aca="false">IF(A526="","",G526+J526)</f>
        <v>54</v>
      </c>
      <c r="Q526" s="8" t="str">
        <f aca="false">IF(A526="","",IF(AND(Y526&lt;&gt;"参考",G526&gt;=ルール設定!$B$2),"○",""))</f>
        <v/>
      </c>
      <c r="R526" s="8" t="str">
        <f aca="false">IF(A526="","",IF(AND(Y526&lt;&gt;"参考",G526&gt;=ルール設定!$B$3,N526&gt;=ルール設定!$B$4),"○",""))</f>
        <v/>
      </c>
      <c r="S526" s="8" t="str">
        <f aca="false">IF(A526="","",IF(AND(Y526&lt;&gt;"参考",G526&gt;=ルール設定!$B$5,J526&gt;=ルール設定!$B$6,O526&gt;=ルール設定!$B$7),"○",""))</f>
        <v/>
      </c>
      <c r="T526" s="8" t="n">
        <v>4</v>
      </c>
      <c r="U526" s="8" t="n">
        <v>4</v>
      </c>
      <c r="V526" s="8" t="str">
        <f aca="false">IF(A526="","",IF(AND(ISNUMBER(T526),ISNUMBER(U526)),IF(AND(T526&lt;=3,U526&lt;=3),"○","×"),""))</f>
        <v>×</v>
      </c>
      <c r="W526" s="8"/>
      <c r="X526" s="8"/>
      <c r="Y526" s="4" t="s">
        <v>7597</v>
      </c>
      <c r="Z526" s="4" t="s">
        <v>4475</v>
      </c>
      <c r="AA526" s="8" t="str">
        <v/>
      </c>
      <c r="AB526" s="8" t="str">
        <v/>
      </c>
      <c r="AC526" s="8" t="str">
        <v/>
      </c>
      <c r="AD526" s="8" t="str">
        <v/>
      </c>
      <c r="AE526" s="8" t="str">
        <v/>
      </c>
      <c r="AF526" s="8" t="str">
        <v/>
      </c>
      <c r="AG526" s="8" t="str">
        <v/>
      </c>
      <c r="AH526" s="8" t="str">
        <v/>
      </c>
      <c r="AI526" s="8" t="n">
        <v>3</v>
      </c>
      <c r="AJ526" s="8" t="str">
        <v>～59</v>
      </c>
      <c r="AK526" s="8" t="str">
        <v>0～4</v>
      </c>
      <c r="AL526" s="8" t="str">
        <v>0～9</v>
      </c>
      <c r="AM526" s="8" t="str">
        <v>～99</v>
      </c>
      <c r="AN526" s="8" t="str">
        <v>8～11</v>
      </c>
      <c r="AO526" s="8" t="str">
        <f aca="false">IF(A526="","",IF(COUNTIFS(全馬データ!$A$2:$A$50000,A526,全馬データ!$B$2:$B$50000,B526,全馬データ!$C$2:$C$50000,C526,全馬データ!$D$2:$D$50000,E526,全馬データ!$K$2:$K$50000,"&lt;&gt;")=0,"",SUMIFS(全馬データ!$K$2:$K$50000,全馬データ!$A$2:$A$50000,A526,全馬データ!$B$2:$B$50000,B526,全馬データ!$C$2:$C$50000,C526,全馬データ!$D$2:$D$50000,E526)))</f>
        <v/>
      </c>
      <c r="AP526" s="8" t="str">
        <f aca="false">IF(A526="","",IF(AO526="","欠損",IF(AO526&lt;=1.1,"1.0～1.1",IF(AO526&lt;1.3,"1.2",IF(AO526&lt;1.5,"1.3～1.4",IF(AO526&lt;2,"1.5～1.9","2.0以上"))))))</f>
        <v>欠損</v>
      </c>
      <c r="AQ526" s="8" t="str">
        <f aca="false">IF(A526="","",IF(ISNUMBER(SEARCH("2歳",Z526)),"2歳戦",IF(ISNUMBER(SEARCH("3歳未勝利",Z526)),"3歳未勝利",IF(ISNUMBER(SEARCH("未勝利",Z526)),"その他未勝利",IF(ISNUMBER(SEARCH("G1",Z526)),"G1",IF(ISNUMBER(SEARCH("G2",Z526)),"G2",IF(ISNUMBER(SEARCH("G3",Z526)),"G3",IF(ISNUMBER(SEARCH("古馬条件",Z526)),"古馬条件戦",IF(ISNUMBER(SEARCH("重賞",Z526)),"重賞","分類不能")))))))))</f>
        <v>分類不能</v>
      </c>
      <c r="AR526" s="8"/>
      <c r="AS526" s="8" t="s">
        <v>7598</v>
      </c>
      <c r="AT526" s="8" t="s">
        <v>7599</v>
      </c>
      <c r="AU526" s="8" t="s">
        <v>7615</v>
      </c>
      <c r="AV526" s="4" t="s">
        <v>7616</v>
      </c>
      <c r="AW526" s="8"/>
      <c r="AX526" s="8"/>
      <c r="AY526" s="8" t="s">
        <v>7602</v>
      </c>
      <c r="AZ526" s="4" t="s">
        <v>7603</v>
      </c>
      <c r="BA526" s="8" t="n">
        <v>1000</v>
      </c>
      <c r="BB526" s="8" t="s">
        <v>7598</v>
      </c>
      <c r="BC526" s="4" t="s">
        <v>7604</v>
      </c>
      <c r="BD526" s="8" t="s">
        <v>7605</v>
      </c>
      <c r="BE526" s="4" t="s">
        <v>7606</v>
      </c>
      <c r="BF526" s="8" t="s">
        <v>7607</v>
      </c>
      <c r="BG526" s="8" t="s">
        <v>7608</v>
      </c>
      <c r="BH526" s="4" t="s">
        <v>7609</v>
      </c>
      <c r="BI526" s="8" t="n">
        <v>8</v>
      </c>
      <c r="BJ526" s="8" t="s">
        <v>7602</v>
      </c>
      <c r="BK526" s="4" t="s">
        <v>7653</v>
      </c>
      <c r="BL526" s="8" t="s">
        <v>7602</v>
      </c>
      <c r="BM526" s="4" t="s">
        <v>7620</v>
      </c>
      <c r="BN526" s="8" t="s">
        <v>7602</v>
      </c>
      <c r="BO526" s="8" t="s">
        <v>7613</v>
      </c>
      <c r="BP526" s="8" t="s">
        <v>7608</v>
      </c>
      <c r="BQ526" s="8" t="str">
        <f aca="false">IF(A526="","",AT526)</f>
        <v>2歳</v>
      </c>
      <c r="BR526" s="8" t="str">
        <f aca="false">IF(A526="","",IF(BA526&lt;=1200,"～1200",IF(BA526&lt;=1500,"1300～1500",IF(BA526=1600,"1600",IF(BA526&lt;=1800,"1700～1800",IF(BA526&lt;=2000,"1900～2000","2100以上"))))))</f>
        <v>～1200</v>
      </c>
      <c r="BS526" s="8" t="str">
        <f aca="false">IF(A526="","",IF(AX526="G1","G1",IF(AX526="G2","G2",IF(AX526="G3","G3",IF(AX526="L","L","その他")))))</f>
        <v>その他</v>
      </c>
      <c r="BT526" s="8" t="str">
        <f aca="false">IF(A526="","",IF(BI526="","未結合",IF(D526=BI526,"一致","不一致")))</f>
        <v>一致</v>
      </c>
      <c r="BU526" s="8" t="str">
        <f aca="false">IF(A526="","",IF(BE526="牝馬限定","牝馬限定","その他"))</f>
        <v>その他</v>
      </c>
    </row>
    <row r="527" customFormat="false" ht="15.75" hidden="false" customHeight="false" outlineLevel="0" collapsed="false">
      <c r="A527" s="6" t="n">
        <v>46187</v>
      </c>
      <c r="B527" s="4" t="s">
        <v>1237</v>
      </c>
      <c r="C527" s="8" t="n">
        <v>6</v>
      </c>
      <c r="D527" s="8" t="n">
        <v>16</v>
      </c>
      <c r="E527" s="8" t="n">
        <v>2</v>
      </c>
      <c r="F527" s="4" t="s">
        <v>1336</v>
      </c>
      <c r="G527" s="8" t="n">
        <v>74</v>
      </c>
      <c r="H527" s="8" t="n">
        <v>15</v>
      </c>
      <c r="I527" s="4" t="s">
        <v>618</v>
      </c>
      <c r="J527" s="8" t="n">
        <v>31</v>
      </c>
      <c r="K527" s="8" t="n">
        <v>4</v>
      </c>
      <c r="L527" s="4" t="s">
        <v>3523</v>
      </c>
      <c r="M527" s="8" t="n">
        <v>29</v>
      </c>
      <c r="N527" s="8" t="n">
        <f aca="false">IF(A527="","",G527-J527)</f>
        <v>43</v>
      </c>
      <c r="O527" s="8" t="n">
        <f aca="false">IF(A527="","",J527-M527)</f>
        <v>2</v>
      </c>
      <c r="P527" s="8" t="n">
        <f aca="false">IF(A527="","",G527+J527)</f>
        <v>105</v>
      </c>
      <c r="Q527" s="8" t="str">
        <f aca="false">IF(A527="","",IF(AND(Y527&lt;&gt;"参考",G527&gt;=ルール設定!$B$2),"○",""))</f>
        <v/>
      </c>
      <c r="R527" s="8" t="str">
        <f aca="false">IF(A527="","",IF(AND(Y527&lt;&gt;"参考",G527&gt;=ルール設定!$B$3,N527&gt;=ルール設定!$B$4),"○",""))</f>
        <v>○</v>
      </c>
      <c r="S527" s="8" t="str">
        <f aca="false">IF(A527="","",IF(AND(Y527&lt;&gt;"参考",G527&gt;=ルール設定!$B$5,J527&gt;=ルール設定!$B$6,O527&gt;=ルール設定!$B$7),"○",""))</f>
        <v/>
      </c>
      <c r="T527" s="8" t="n">
        <v>2</v>
      </c>
      <c r="U527" s="8" t="n">
        <v>4</v>
      </c>
      <c r="V527" s="8" t="str">
        <f aca="false">IF(A527="","",IF(AND(ISNUMBER(T527),ISNUMBER(U527)),IF(AND(T527&lt;=3,U527&lt;=3),"○","×"),""))</f>
        <v>×</v>
      </c>
      <c r="W527" s="8" t="n">
        <v>110</v>
      </c>
      <c r="X527" s="8"/>
      <c r="Y527" s="4" t="s">
        <v>7597</v>
      </c>
      <c r="Z527" s="4" t="s">
        <v>4475</v>
      </c>
      <c r="AA527" s="8" t="str">
        <v/>
      </c>
      <c r="AB527" s="8" t="str">
        <v/>
      </c>
      <c r="AC527" s="8" t="str">
        <v/>
      </c>
      <c r="AD527" s="8" t="str">
        <v/>
      </c>
      <c r="AE527" s="8" t="str">
        <v>○</v>
      </c>
      <c r="AF527" s="8" t="str">
        <v/>
      </c>
      <c r="AG527" s="8" t="str">
        <v/>
      </c>
      <c r="AH527" s="8" t="str">
        <v/>
      </c>
      <c r="AI527" s="8" t="n">
        <v>45</v>
      </c>
      <c r="AJ527" s="8" t="str">
        <v>70～74</v>
      </c>
      <c r="AK527" s="8" t="str">
        <v>30以上</v>
      </c>
      <c r="AL527" s="8" t="str">
        <v>40以上</v>
      </c>
      <c r="AM527" s="8" t="str">
        <v>100～119</v>
      </c>
      <c r="AN527" s="8" t="str">
        <v>15以上</v>
      </c>
      <c r="AO527" s="8" t="str">
        <f aca="false">IF(A527="","",IF(COUNTIFS(全馬データ!$A$2:$A$50000,A527,全馬データ!$B$2:$B$50000,B527,全馬データ!$C$2:$C$50000,C527,全馬データ!$D$2:$D$50000,E527,全馬データ!$K$2:$K$50000,"&lt;&gt;")=0,"",SUMIFS(全馬データ!$K$2:$K$50000,全馬データ!$A$2:$A$50000,A527,全馬データ!$B$2:$B$50000,B527,全馬データ!$C$2:$C$50000,C527,全馬データ!$D$2:$D$50000,E527)))</f>
        <v/>
      </c>
      <c r="AP527" s="8" t="str">
        <f aca="false">IF(A527="","",IF(AO527="","欠損",IF(AO527&lt;=1.1,"1.0～1.1",IF(AO527&lt;1.3,"1.2",IF(AO527&lt;1.5,"1.3～1.4",IF(AO527&lt;2,"1.5～1.9","2.0以上"))))))</f>
        <v>欠損</v>
      </c>
      <c r="AQ527" s="8" t="str">
        <f aca="false">IF(A527="","",IF(ISNUMBER(SEARCH("2歳",Z527)),"2歳戦",IF(ISNUMBER(SEARCH("3歳未勝利",Z527)),"3歳未勝利",IF(ISNUMBER(SEARCH("未勝利",Z527)),"その他未勝利",IF(ISNUMBER(SEARCH("G1",Z527)),"G1",IF(ISNUMBER(SEARCH("G2",Z527)),"G2",IF(ISNUMBER(SEARCH("G3",Z527)),"G3",IF(ISNUMBER(SEARCH("古馬条件",Z527)),"古馬条件戦",IF(ISNUMBER(SEARCH("重賞",Z527)),"重賞","分類不能")))))))))</f>
        <v>分類不能</v>
      </c>
      <c r="AR527" s="8"/>
      <c r="AS527" s="8" t="s">
        <v>7623</v>
      </c>
      <c r="AT527" s="8" t="s">
        <v>7624</v>
      </c>
      <c r="AU527" s="8" t="s">
        <v>7600</v>
      </c>
      <c r="AV527" s="4" t="s">
        <v>7601</v>
      </c>
      <c r="AW527" s="8"/>
      <c r="AX527" s="8"/>
      <c r="AY527" s="8" t="s">
        <v>7602</v>
      </c>
      <c r="AZ527" s="4" t="s">
        <v>7603</v>
      </c>
      <c r="BA527" s="8" t="n">
        <v>2000</v>
      </c>
      <c r="BB527" s="8" t="s">
        <v>7598</v>
      </c>
      <c r="BC527" s="4" t="s">
        <v>7604</v>
      </c>
      <c r="BD527" s="8" t="s">
        <v>7625</v>
      </c>
      <c r="BE527" s="4" t="s">
        <v>7606</v>
      </c>
      <c r="BF527" s="8" t="s">
        <v>7607</v>
      </c>
      <c r="BG527" s="8" t="s">
        <v>7608</v>
      </c>
      <c r="BH527" s="4" t="s">
        <v>7609</v>
      </c>
      <c r="BI527" s="8" t="n">
        <v>16</v>
      </c>
      <c r="BJ527" s="8" t="s">
        <v>7602</v>
      </c>
      <c r="BK527" s="4" t="s">
        <v>7653</v>
      </c>
      <c r="BL527" s="8" t="s">
        <v>7602</v>
      </c>
      <c r="BM527" s="4" t="s">
        <v>7620</v>
      </c>
      <c r="BN527" s="8" t="s">
        <v>7602</v>
      </c>
      <c r="BO527" s="8" t="s">
        <v>7613</v>
      </c>
      <c r="BP527" s="8" t="s">
        <v>7608</v>
      </c>
      <c r="BQ527" s="8" t="str">
        <f aca="false">IF(A527="","",AT527)</f>
        <v>3歳</v>
      </c>
      <c r="BR527" s="8" t="str">
        <f aca="false">IF(A527="","",IF(BA527&lt;=1200,"～1200",IF(BA527&lt;=1500,"1300～1500",IF(BA527=1600,"1600",IF(BA527&lt;=1800,"1700～1800",IF(BA527&lt;=2000,"1900～2000","2100以上"))))))</f>
        <v>1900～2000</v>
      </c>
      <c r="BS527" s="8" t="str">
        <f aca="false">IF(A527="","",IF(AX527="G1","G1",IF(AX527="G2","G2",IF(AX527="G3","G3",IF(AX527="L","L","その他")))))</f>
        <v>その他</v>
      </c>
      <c r="BT527" s="8" t="str">
        <f aca="false">IF(A527="","",IF(BI527="","未結合",IF(D527=BI527,"一致","不一致")))</f>
        <v>一致</v>
      </c>
      <c r="BU527" s="8" t="str">
        <f aca="false">IF(A527="","",IF(BE527="牝馬限定","牝馬限定","その他"))</f>
        <v>その他</v>
      </c>
    </row>
    <row r="528" customFormat="false" ht="15.75" hidden="false" customHeight="false" outlineLevel="0" collapsed="false">
      <c r="A528" s="6" t="n">
        <v>46187</v>
      </c>
      <c r="B528" s="4" t="s">
        <v>1237</v>
      </c>
      <c r="C528" s="8" t="n">
        <v>7</v>
      </c>
      <c r="D528" s="8" t="n">
        <v>12</v>
      </c>
      <c r="E528" s="8" t="n">
        <v>9</v>
      </c>
      <c r="F528" s="4" t="s">
        <v>2276</v>
      </c>
      <c r="G528" s="8" t="n">
        <v>58</v>
      </c>
      <c r="H528" s="8" t="n">
        <v>1</v>
      </c>
      <c r="I528" s="4" t="s">
        <v>1814</v>
      </c>
      <c r="J528" s="8" t="n">
        <v>44</v>
      </c>
      <c r="K528" s="8" t="n">
        <v>12</v>
      </c>
      <c r="L528" s="4" t="s">
        <v>2651</v>
      </c>
      <c r="M528" s="8" t="n">
        <v>31</v>
      </c>
      <c r="N528" s="8" t="n">
        <f aca="false">IF(A528="","",G528-J528)</f>
        <v>14</v>
      </c>
      <c r="O528" s="8" t="n">
        <f aca="false">IF(A528="","",J528-M528)</f>
        <v>13</v>
      </c>
      <c r="P528" s="8" t="n">
        <f aca="false">IF(A528="","",G528+J528)</f>
        <v>102</v>
      </c>
      <c r="Q528" s="8" t="str">
        <f aca="false">IF(A528="","",IF(AND(Y528&lt;&gt;"参考",G528&gt;=ルール設定!$B$2),"○",""))</f>
        <v/>
      </c>
      <c r="R528" s="8" t="str">
        <f aca="false">IF(A528="","",IF(AND(Y528&lt;&gt;"参考",G528&gt;=ルール設定!$B$3,N528&gt;=ルール設定!$B$4),"○",""))</f>
        <v/>
      </c>
      <c r="S528" s="8" t="str">
        <f aca="false">IF(A528="","",IF(AND(Y528&lt;&gt;"参考",G528&gt;=ルール設定!$B$5,J528&gt;=ルール設定!$B$6,O528&gt;=ルール設定!$B$7),"○",""))</f>
        <v/>
      </c>
      <c r="T528" s="8" t="n">
        <v>4</v>
      </c>
      <c r="U528" s="8" t="n">
        <v>4</v>
      </c>
      <c r="V528" s="8" t="str">
        <f aca="false">IF(A528="","",IF(AND(ISNUMBER(T528),ISNUMBER(U528)),IF(AND(T528&lt;=3,U528&lt;=3),"○","×"),""))</f>
        <v>×</v>
      </c>
      <c r="W528" s="8"/>
      <c r="X528" s="8"/>
      <c r="Y528" s="4" t="s">
        <v>7597</v>
      </c>
      <c r="Z528" s="4" t="s">
        <v>4475</v>
      </c>
      <c r="AA528" s="8" t="str">
        <v/>
      </c>
      <c r="AB528" s="8" t="str">
        <v/>
      </c>
      <c r="AC528" s="8" t="str">
        <v/>
      </c>
      <c r="AD528" s="8" t="str">
        <v/>
      </c>
      <c r="AE528" s="8" t="str">
        <v/>
      </c>
      <c r="AF528" s="8" t="str">
        <v/>
      </c>
      <c r="AG528" s="8" t="str">
        <v/>
      </c>
      <c r="AH528" s="8" t="str">
        <v/>
      </c>
      <c r="AI528" s="8" t="n">
        <v>27</v>
      </c>
      <c r="AJ528" s="8" t="str">
        <v>～59</v>
      </c>
      <c r="AK528" s="8" t="str">
        <v>10～19</v>
      </c>
      <c r="AL528" s="8" t="str">
        <v>20～29</v>
      </c>
      <c r="AM528" s="8" t="str">
        <v>100～119</v>
      </c>
      <c r="AN528" s="8" t="str">
        <v>12～14</v>
      </c>
      <c r="AO528" s="8" t="str">
        <f aca="false">IF(A528="","",IF(COUNTIFS(全馬データ!$A$2:$A$50000,A528,全馬データ!$B$2:$B$50000,B528,全馬データ!$C$2:$C$50000,C528,全馬データ!$D$2:$D$50000,E528,全馬データ!$K$2:$K$50000,"&lt;&gt;")=0,"",SUMIFS(全馬データ!$K$2:$K$50000,全馬データ!$A$2:$A$50000,A528,全馬データ!$B$2:$B$50000,B528,全馬データ!$C$2:$C$50000,C528,全馬データ!$D$2:$D$50000,E528)))</f>
        <v/>
      </c>
      <c r="AP528" s="8" t="str">
        <f aca="false">IF(A528="","",IF(AO528="","欠損",IF(AO528&lt;=1.1,"1.0～1.1",IF(AO528&lt;1.3,"1.2",IF(AO528&lt;1.5,"1.3～1.4",IF(AO528&lt;2,"1.5～1.9","2.0以上"))))))</f>
        <v>欠損</v>
      </c>
      <c r="AQ528" s="8" t="str">
        <f aca="false">IF(A528="","",IF(ISNUMBER(SEARCH("2歳",Z528)),"2歳戦",IF(ISNUMBER(SEARCH("3歳未勝利",Z528)),"3歳未勝利",IF(ISNUMBER(SEARCH("未勝利",Z528)),"その他未勝利",IF(ISNUMBER(SEARCH("G1",Z528)),"G1",IF(ISNUMBER(SEARCH("G2",Z528)),"G2",IF(ISNUMBER(SEARCH("G3",Z528)),"G3",IF(ISNUMBER(SEARCH("古馬条件",Z528)),"古馬条件戦",IF(ISNUMBER(SEARCH("重賞",Z528)),"重賞","分類不能")))))))))</f>
        <v>分類不能</v>
      </c>
      <c r="AR528" s="8"/>
      <c r="AS528" s="8" t="s">
        <v>7626</v>
      </c>
      <c r="AT528" s="8" t="s">
        <v>7627</v>
      </c>
      <c r="AU528" s="8" t="s">
        <v>7628</v>
      </c>
      <c r="AV528" s="8" t="s">
        <v>7629</v>
      </c>
      <c r="AW528" s="8"/>
      <c r="AX528" s="8"/>
      <c r="AY528" s="8" t="s">
        <v>7610</v>
      </c>
      <c r="AZ528" s="4" t="s">
        <v>7617</v>
      </c>
      <c r="BA528" s="8" t="n">
        <v>1000</v>
      </c>
      <c r="BB528" s="8" t="s">
        <v>7598</v>
      </c>
      <c r="BC528" s="4" t="s">
        <v>7604</v>
      </c>
      <c r="BD528" s="8" t="s">
        <v>7621</v>
      </c>
      <c r="BE528" s="4" t="s">
        <v>7622</v>
      </c>
      <c r="BF528" s="8" t="s">
        <v>7602</v>
      </c>
      <c r="BG528" s="8" t="s">
        <v>7631</v>
      </c>
      <c r="BH528" s="4" t="s">
        <v>7632</v>
      </c>
      <c r="BI528" s="8" t="n">
        <v>12</v>
      </c>
      <c r="BJ528" s="8" t="s">
        <v>7602</v>
      </c>
      <c r="BK528" s="4" t="s">
        <v>7653</v>
      </c>
      <c r="BL528" s="8" t="s">
        <v>7602</v>
      </c>
      <c r="BM528" s="4" t="s">
        <v>7620</v>
      </c>
      <c r="BN528" s="8"/>
      <c r="BO528" s="8"/>
      <c r="BP528" s="8" t="s">
        <v>7608</v>
      </c>
      <c r="BQ528" s="8" t="str">
        <f aca="false">IF(A528="","",AT528)</f>
        <v>3歳以上</v>
      </c>
      <c r="BR528" s="8" t="str">
        <f aca="false">IF(A528="","",IF(BA528&lt;=1200,"～1200",IF(BA528&lt;=1500,"1300～1500",IF(BA528=1600,"1600",IF(BA528&lt;=1800,"1700～1800",IF(BA528&lt;=2000,"1900～2000","2100以上"))))))</f>
        <v>～1200</v>
      </c>
      <c r="BS528" s="8" t="str">
        <f aca="false">IF(A528="","",IF(AX528="G1","G1",IF(AX528="G2","G2",IF(AX528="G3","G3",IF(AX528="L","L","その他")))))</f>
        <v>その他</v>
      </c>
      <c r="BT528" s="8" t="str">
        <f aca="false">IF(A528="","",IF(BI528="","未結合",IF(D528=BI528,"一致","不一致")))</f>
        <v>一致</v>
      </c>
      <c r="BU528" s="8" t="str">
        <f aca="false">IF(A528="","",IF(BE528="牝馬限定","牝馬限定","その他"))</f>
        <v>牝馬限定</v>
      </c>
    </row>
    <row r="529" customFormat="false" ht="15.75" hidden="false" customHeight="false" outlineLevel="0" collapsed="false">
      <c r="A529" s="6" t="n">
        <v>46187</v>
      </c>
      <c r="B529" s="4" t="s">
        <v>1237</v>
      </c>
      <c r="C529" s="8" t="n">
        <v>8</v>
      </c>
      <c r="D529" s="8" t="n">
        <v>13</v>
      </c>
      <c r="E529" s="8" t="n">
        <v>13</v>
      </c>
      <c r="F529" s="4" t="s">
        <v>5342</v>
      </c>
      <c r="G529" s="8" t="n">
        <v>67</v>
      </c>
      <c r="H529" s="8" t="n">
        <v>11</v>
      </c>
      <c r="I529" s="4" t="s">
        <v>4472</v>
      </c>
      <c r="J529" s="8" t="n">
        <v>52</v>
      </c>
      <c r="K529" s="8" t="n">
        <v>4</v>
      </c>
      <c r="L529" s="4" t="s">
        <v>4246</v>
      </c>
      <c r="M529" s="8" t="n">
        <v>25</v>
      </c>
      <c r="N529" s="8" t="n">
        <f aca="false">IF(A529="","",G529-J529)</f>
        <v>15</v>
      </c>
      <c r="O529" s="8" t="n">
        <f aca="false">IF(A529="","",J529-M529)</f>
        <v>27</v>
      </c>
      <c r="P529" s="8" t="n">
        <f aca="false">IF(A529="","",G529+J529)</f>
        <v>119</v>
      </c>
      <c r="Q529" s="8" t="str">
        <f aca="false">IF(A529="","",IF(AND(Y529&lt;&gt;"参考",G529&gt;=ルール設定!$B$2),"○",""))</f>
        <v/>
      </c>
      <c r="R529" s="8" t="str">
        <f aca="false">IF(A529="","",IF(AND(Y529&lt;&gt;"参考",G529&gt;=ルール設定!$B$3,N529&gt;=ルール設定!$B$4),"○",""))</f>
        <v/>
      </c>
      <c r="S529" s="8" t="str">
        <f aca="false">IF(A529="","",IF(AND(Y529&lt;&gt;"参考",G529&gt;=ルール設定!$B$5,J529&gt;=ルール設定!$B$6,O529&gt;=ルール設定!$B$7),"○",""))</f>
        <v>○</v>
      </c>
      <c r="T529" s="8" t="n">
        <v>3</v>
      </c>
      <c r="U529" s="8" t="n">
        <v>4</v>
      </c>
      <c r="V529" s="8" t="str">
        <f aca="false">IF(A529="","",IF(AND(ISNUMBER(T529),ISNUMBER(U529)),IF(AND(T529&lt;=3,U529&lt;=3),"○","×"),""))</f>
        <v>×</v>
      </c>
      <c r="W529" s="8" t="n">
        <v>110</v>
      </c>
      <c r="X529" s="8"/>
      <c r="Y529" s="4" t="s">
        <v>7597</v>
      </c>
      <c r="Z529" s="4" t="s">
        <v>4475</v>
      </c>
      <c r="AA529" s="8" t="str">
        <v/>
      </c>
      <c r="AB529" s="8" t="str">
        <v/>
      </c>
      <c r="AC529" s="8" t="str">
        <v/>
      </c>
      <c r="AD529" s="8" t="str">
        <v/>
      </c>
      <c r="AE529" s="8" t="str">
        <v/>
      </c>
      <c r="AF529" s="8" t="str">
        <v/>
      </c>
      <c r="AG529" s="8" t="str">
        <v/>
      </c>
      <c r="AH529" s="8" t="str">
        <v/>
      </c>
      <c r="AI529" s="8" t="n">
        <v>42</v>
      </c>
      <c r="AJ529" s="8" t="str">
        <v>60～69</v>
      </c>
      <c r="AK529" s="8" t="str">
        <v>10～19</v>
      </c>
      <c r="AL529" s="8" t="str">
        <v>40以上</v>
      </c>
      <c r="AM529" s="8" t="str">
        <v>100～119</v>
      </c>
      <c r="AN529" s="8" t="str">
        <v>12～14</v>
      </c>
      <c r="AO529" s="8" t="str">
        <f aca="false">IF(A529="","",IF(COUNTIFS(全馬データ!$A$2:$A$50000,A529,全馬データ!$B$2:$B$50000,B529,全馬データ!$C$2:$C$50000,C529,全馬データ!$D$2:$D$50000,E529,全馬データ!$K$2:$K$50000,"&lt;&gt;")=0,"",SUMIFS(全馬データ!$K$2:$K$50000,全馬データ!$A$2:$A$50000,A529,全馬データ!$B$2:$B$50000,B529,全馬データ!$C$2:$C$50000,C529,全馬データ!$D$2:$D$50000,E529)))</f>
        <v/>
      </c>
      <c r="AP529" s="8" t="str">
        <f aca="false">IF(A529="","",IF(AO529="","欠損",IF(AO529&lt;=1.1,"1.0～1.1",IF(AO529&lt;1.3,"1.2",IF(AO529&lt;1.5,"1.3～1.4",IF(AO529&lt;2,"1.5～1.9","2.0以上"))))))</f>
        <v>欠損</v>
      </c>
      <c r="AQ529" s="8" t="str">
        <f aca="false">IF(A529="","",IF(ISNUMBER(SEARCH("2歳",Z529)),"2歳戦",IF(ISNUMBER(SEARCH("3歳未勝利",Z529)),"3歳未勝利",IF(ISNUMBER(SEARCH("未勝利",Z529)),"その他未勝利",IF(ISNUMBER(SEARCH("G1",Z529)),"G1",IF(ISNUMBER(SEARCH("G2",Z529)),"G2",IF(ISNUMBER(SEARCH("G3",Z529)),"G3",IF(ISNUMBER(SEARCH("古馬条件",Z529)),"古馬条件戦",IF(ISNUMBER(SEARCH("重賞",Z529)),"重賞","分類不能")))))))))</f>
        <v>分類不能</v>
      </c>
      <c r="AR529" s="8"/>
      <c r="AS529" s="8" t="s">
        <v>7626</v>
      </c>
      <c r="AT529" s="8" t="s">
        <v>7627</v>
      </c>
      <c r="AU529" s="8" t="s">
        <v>7628</v>
      </c>
      <c r="AV529" s="8" t="s">
        <v>7629</v>
      </c>
      <c r="AW529" s="8"/>
      <c r="AX529" s="8"/>
      <c r="AY529" s="8" t="s">
        <v>7602</v>
      </c>
      <c r="AZ529" s="4" t="s">
        <v>7603</v>
      </c>
      <c r="BA529" s="8" t="n">
        <v>1200</v>
      </c>
      <c r="BB529" s="8" t="s">
        <v>7598</v>
      </c>
      <c r="BC529" s="4" t="s">
        <v>7604</v>
      </c>
      <c r="BD529" s="8" t="s">
        <v>7605</v>
      </c>
      <c r="BE529" s="4" t="s">
        <v>7606</v>
      </c>
      <c r="BF529" s="8" t="s">
        <v>7607</v>
      </c>
      <c r="BG529" s="8" t="s">
        <v>7631</v>
      </c>
      <c r="BH529" s="4" t="s">
        <v>7632</v>
      </c>
      <c r="BI529" s="8" t="n">
        <v>13</v>
      </c>
      <c r="BJ529" s="8" t="s">
        <v>7602</v>
      </c>
      <c r="BK529" s="4" t="s">
        <v>7653</v>
      </c>
      <c r="BL529" s="8" t="s">
        <v>7602</v>
      </c>
      <c r="BM529" s="4" t="s">
        <v>7620</v>
      </c>
      <c r="BN529" s="8" t="s">
        <v>7602</v>
      </c>
      <c r="BO529" s="8" t="s">
        <v>7613</v>
      </c>
      <c r="BP529" s="8" t="s">
        <v>7608</v>
      </c>
      <c r="BQ529" s="8" t="str">
        <f aca="false">IF(A529="","",AT529)</f>
        <v>3歳以上</v>
      </c>
      <c r="BR529" s="8" t="str">
        <f aca="false">IF(A529="","",IF(BA529&lt;=1200,"～1200",IF(BA529&lt;=1500,"1300～1500",IF(BA529=1600,"1600",IF(BA529&lt;=1800,"1700～1800",IF(BA529&lt;=2000,"1900～2000","2100以上"))))))</f>
        <v>～1200</v>
      </c>
      <c r="BS529" s="8" t="str">
        <f aca="false">IF(A529="","",IF(AX529="G1","G1",IF(AX529="G2","G2",IF(AX529="G3","G3",IF(AX529="L","L","その他")))))</f>
        <v>その他</v>
      </c>
      <c r="BT529" s="8" t="str">
        <f aca="false">IF(A529="","",IF(BI529="","未結合",IF(D529=BI529,"一致","不一致")))</f>
        <v>一致</v>
      </c>
      <c r="BU529" s="8" t="str">
        <f aca="false">IF(A529="","",IF(BE529="牝馬限定","牝馬限定","その他"))</f>
        <v>その他</v>
      </c>
    </row>
    <row r="530" customFormat="false" ht="15.75" hidden="false" customHeight="false" outlineLevel="0" collapsed="false">
      <c r="A530" s="6" t="n">
        <v>46187</v>
      </c>
      <c r="B530" s="4" t="s">
        <v>1237</v>
      </c>
      <c r="C530" s="8" t="n">
        <v>9</v>
      </c>
      <c r="D530" s="8" t="n">
        <v>10</v>
      </c>
      <c r="E530" s="8" t="n">
        <v>5</v>
      </c>
      <c r="F530" s="4" t="s">
        <v>1825</v>
      </c>
      <c r="G530" s="8" t="n">
        <v>81</v>
      </c>
      <c r="H530" s="8" t="n">
        <v>4</v>
      </c>
      <c r="I530" s="4" t="s">
        <v>63</v>
      </c>
      <c r="J530" s="8" t="n">
        <v>41</v>
      </c>
      <c r="K530" s="8" t="n">
        <v>1</v>
      </c>
      <c r="L530" s="4" t="s">
        <v>4441</v>
      </c>
      <c r="M530" s="8" t="n">
        <v>37</v>
      </c>
      <c r="N530" s="8" t="n">
        <f aca="false">IF(A530="","",G530-J530)</f>
        <v>40</v>
      </c>
      <c r="O530" s="8" t="n">
        <f aca="false">IF(A530="","",J530-M530)</f>
        <v>4</v>
      </c>
      <c r="P530" s="8" t="n">
        <f aca="false">IF(A530="","",G530+J530)</f>
        <v>122</v>
      </c>
      <c r="Q530" s="8" t="str">
        <f aca="false">IF(A530="","",IF(AND(Y530&lt;&gt;"参考",G530&gt;=ルール設定!$B$2),"○",""))</f>
        <v>○</v>
      </c>
      <c r="R530" s="8" t="str">
        <f aca="false">IF(A530="","",IF(AND(Y530&lt;&gt;"参考",G530&gt;=ルール設定!$B$3,N530&gt;=ルール設定!$B$4),"○",""))</f>
        <v>○</v>
      </c>
      <c r="S530" s="8" t="str">
        <f aca="false">IF(A530="","",IF(AND(Y530&lt;&gt;"参考",G530&gt;=ルール設定!$B$5,J530&gt;=ルール設定!$B$6,O530&gt;=ルール設定!$B$7),"○",""))</f>
        <v/>
      </c>
      <c r="T530" s="8" t="n">
        <v>1</v>
      </c>
      <c r="U530" s="8" t="n">
        <v>4</v>
      </c>
      <c r="V530" s="8" t="str">
        <f aca="false">IF(A530="","",IF(AND(ISNUMBER(T530),ISNUMBER(U530)),IF(AND(T530&lt;=3,U530&lt;=3),"○","×"),""))</f>
        <v>×</v>
      </c>
      <c r="W530" s="8" t="n">
        <v>110</v>
      </c>
      <c r="X530" s="8"/>
      <c r="Y530" s="4" t="s">
        <v>7597</v>
      </c>
      <c r="Z530" s="4" t="s">
        <v>4475</v>
      </c>
      <c r="AA530" s="8" t="str">
        <v/>
      </c>
      <c r="AB530" s="8" t="str">
        <v>○</v>
      </c>
      <c r="AC530" s="8" t="str">
        <v/>
      </c>
      <c r="AD530" s="8" t="str">
        <v>○</v>
      </c>
      <c r="AE530" s="8" t="str">
        <v/>
      </c>
      <c r="AF530" s="8" t="str">
        <v/>
      </c>
      <c r="AG530" s="8" t="str">
        <v>○</v>
      </c>
      <c r="AH530" s="8" t="str">
        <v/>
      </c>
      <c r="AI530" s="8" t="n">
        <v>44</v>
      </c>
      <c r="AJ530" s="8" t="str">
        <v>80～84</v>
      </c>
      <c r="AK530" s="8" t="str">
        <v>30以上</v>
      </c>
      <c r="AL530" s="8" t="str">
        <v>40以上</v>
      </c>
      <c r="AM530" s="8" t="str">
        <v>120～139</v>
      </c>
      <c r="AN530" s="8" t="str">
        <v>8～11</v>
      </c>
      <c r="AO530" s="8" t="str">
        <f aca="false">IF(A530="","",IF(COUNTIFS(全馬データ!$A$2:$A$50000,A530,全馬データ!$B$2:$B$50000,B530,全馬データ!$C$2:$C$50000,C530,全馬データ!$D$2:$D$50000,E530,全馬データ!$K$2:$K$50000,"&lt;&gt;")=0,"",SUMIFS(全馬データ!$K$2:$K$50000,全馬データ!$A$2:$A$50000,A530,全馬データ!$B$2:$B$50000,B530,全馬データ!$C$2:$C$50000,C530,全馬データ!$D$2:$D$50000,E530)))</f>
        <v/>
      </c>
      <c r="AP530" s="8" t="str">
        <f aca="false">IF(A530="","",IF(AO530="","欠損",IF(AO530&lt;=1.1,"1.0～1.1",IF(AO530&lt;1.3,"1.2",IF(AO530&lt;1.5,"1.3～1.4",IF(AO530&lt;2,"1.5～1.9","2.0以上"))))))</f>
        <v>欠損</v>
      </c>
      <c r="AQ530" s="8" t="str">
        <f aca="false">IF(A530="","",IF(ISNUMBER(SEARCH("2歳",Z530)),"2歳戦",IF(ISNUMBER(SEARCH("3歳未勝利",Z530)),"3歳未勝利",IF(ISNUMBER(SEARCH("未勝利",Z530)),"その他未勝利",IF(ISNUMBER(SEARCH("G1",Z530)),"G1",IF(ISNUMBER(SEARCH("G2",Z530)),"G2",IF(ISNUMBER(SEARCH("G3",Z530)),"G3",IF(ISNUMBER(SEARCH("古馬条件",Z530)),"古馬条件戦",IF(ISNUMBER(SEARCH("重賞",Z530)),"重賞","分類不能")))))))))</f>
        <v>分類不能</v>
      </c>
      <c r="AR530" s="4" t="s">
        <v>7838</v>
      </c>
      <c r="AS530" s="8" t="s">
        <v>7626</v>
      </c>
      <c r="AT530" s="8" t="s">
        <v>7627</v>
      </c>
      <c r="AU530" s="8" t="s">
        <v>7628</v>
      </c>
      <c r="AV530" s="8" t="s">
        <v>7629</v>
      </c>
      <c r="AW530" s="8" t="s">
        <v>7636</v>
      </c>
      <c r="AX530" s="4" t="s">
        <v>7637</v>
      </c>
      <c r="AY530" s="8" t="s">
        <v>7602</v>
      </c>
      <c r="AZ530" s="4" t="s">
        <v>7603</v>
      </c>
      <c r="BA530" s="8" t="n">
        <v>1800</v>
      </c>
      <c r="BB530" s="8" t="s">
        <v>7598</v>
      </c>
      <c r="BC530" s="4" t="s">
        <v>7604</v>
      </c>
      <c r="BD530" s="8" t="s">
        <v>7690</v>
      </c>
      <c r="BE530" s="4" t="s">
        <v>7606</v>
      </c>
      <c r="BF530" s="8" t="s">
        <v>7607</v>
      </c>
      <c r="BG530" s="8" t="s">
        <v>7631</v>
      </c>
      <c r="BH530" s="4" t="s">
        <v>7632</v>
      </c>
      <c r="BI530" s="8" t="n">
        <v>10</v>
      </c>
      <c r="BJ530" s="8" t="s">
        <v>7602</v>
      </c>
      <c r="BK530" s="4" t="s">
        <v>7653</v>
      </c>
      <c r="BL530" s="8" t="s">
        <v>7602</v>
      </c>
      <c r="BM530" s="4" t="s">
        <v>7620</v>
      </c>
      <c r="BN530" s="8" t="s">
        <v>7602</v>
      </c>
      <c r="BO530" s="8" t="s">
        <v>7613</v>
      </c>
      <c r="BP530" s="8" t="s">
        <v>7608</v>
      </c>
      <c r="BQ530" s="8" t="str">
        <f aca="false">IF(A530="","",AT530)</f>
        <v>3歳以上</v>
      </c>
      <c r="BR530" s="8" t="str">
        <f aca="false">IF(A530="","",IF(BA530&lt;=1200,"～1200",IF(BA530&lt;=1500,"1300～1500",IF(BA530=1600,"1600",IF(BA530&lt;=1800,"1700～1800",IF(BA530&lt;=2000,"1900～2000","2100以上"))))))</f>
        <v>1700～1800</v>
      </c>
      <c r="BS530" s="8" t="str">
        <f aca="false">IF(A530="","",IF(AX530="G1","G1",IF(AX530="G2","G2",IF(AX530="G3","G3",IF(AX530="L","L","その他")))))</f>
        <v>その他</v>
      </c>
      <c r="BT530" s="8" t="str">
        <f aca="false">IF(A530="","",IF(BI530="","未結合",IF(D530=BI530,"一致","不一致")))</f>
        <v>一致</v>
      </c>
      <c r="BU530" s="8" t="str">
        <f aca="false">IF(A530="","",IF(BE530="牝馬限定","牝馬限定","その他"))</f>
        <v>その他</v>
      </c>
    </row>
    <row r="531" customFormat="false" ht="15.75" hidden="false" customHeight="false" outlineLevel="0" collapsed="false">
      <c r="A531" s="6" t="n">
        <v>46187</v>
      </c>
      <c r="B531" s="4" t="s">
        <v>1237</v>
      </c>
      <c r="C531" s="8" t="n">
        <v>10</v>
      </c>
      <c r="D531" s="8" t="n">
        <v>12</v>
      </c>
      <c r="E531" s="8" t="n">
        <v>3</v>
      </c>
      <c r="F531" s="4" t="s">
        <v>2397</v>
      </c>
      <c r="G531" s="8" t="n">
        <v>44</v>
      </c>
      <c r="H531" s="8" t="n">
        <v>8</v>
      </c>
      <c r="I531" s="4" t="s">
        <v>1839</v>
      </c>
      <c r="J531" s="8" t="n">
        <v>39</v>
      </c>
      <c r="K531" s="8" t="n">
        <v>10</v>
      </c>
      <c r="L531" s="4" t="s">
        <v>4257</v>
      </c>
      <c r="M531" s="8" t="n">
        <v>39</v>
      </c>
      <c r="N531" s="8" t="n">
        <f aca="false">IF(A531="","",G531-J531)</f>
        <v>5</v>
      </c>
      <c r="O531" s="8" t="n">
        <f aca="false">IF(A531="","",J531-M531)</f>
        <v>0</v>
      </c>
      <c r="P531" s="8" t="n">
        <f aca="false">IF(A531="","",G531+J531)</f>
        <v>83</v>
      </c>
      <c r="Q531" s="8" t="str">
        <f aca="false">IF(A531="","",IF(AND(Y531&lt;&gt;"参考",G531&gt;=ルール設定!$B$2),"○",""))</f>
        <v/>
      </c>
      <c r="R531" s="8" t="str">
        <f aca="false">IF(A531="","",IF(AND(Y531&lt;&gt;"参考",G531&gt;=ルール設定!$B$3,N531&gt;=ルール設定!$B$4),"○",""))</f>
        <v/>
      </c>
      <c r="S531" s="8" t="str">
        <f aca="false">IF(A531="","",IF(AND(Y531&lt;&gt;"参考",G531&gt;=ルール設定!$B$5,J531&gt;=ルール設定!$B$6,O531&gt;=ルール設定!$B$7),"○",""))</f>
        <v/>
      </c>
      <c r="T531" s="8" t="n">
        <v>1</v>
      </c>
      <c r="U531" s="8" t="n">
        <v>4</v>
      </c>
      <c r="V531" s="8" t="str">
        <f aca="false">IF(A531="","",IF(AND(ISNUMBER(T531),ISNUMBER(U531)),IF(AND(T531&lt;=3,U531&lt;=3),"○","×"),""))</f>
        <v>×</v>
      </c>
      <c r="W531" s="8" t="n">
        <v>240</v>
      </c>
      <c r="X531" s="8"/>
      <c r="Y531" s="4" t="s">
        <v>7597</v>
      </c>
      <c r="Z531" s="4" t="s">
        <v>4475</v>
      </c>
      <c r="AA531" s="8" t="str">
        <v/>
      </c>
      <c r="AB531" s="8" t="str">
        <v/>
      </c>
      <c r="AC531" s="8" t="str">
        <v/>
      </c>
      <c r="AD531" s="8" t="str">
        <v/>
      </c>
      <c r="AE531" s="8" t="str">
        <v/>
      </c>
      <c r="AF531" s="8" t="str">
        <v/>
      </c>
      <c r="AG531" s="8" t="str">
        <v/>
      </c>
      <c r="AH531" s="8" t="str">
        <v/>
      </c>
      <c r="AI531" s="8" t="n">
        <v>5</v>
      </c>
      <c r="AJ531" s="8" t="str">
        <v>～59</v>
      </c>
      <c r="AK531" s="8" t="str">
        <v>5～9</v>
      </c>
      <c r="AL531" s="8" t="str">
        <v>0～9</v>
      </c>
      <c r="AM531" s="8" t="str">
        <v>～99</v>
      </c>
      <c r="AN531" s="8" t="str">
        <v>12～14</v>
      </c>
      <c r="AO531" s="8" t="str">
        <f aca="false">IF(A531="","",IF(COUNTIFS(全馬データ!$A$2:$A$50000,A531,全馬データ!$B$2:$B$50000,B531,全馬データ!$C$2:$C$50000,C531,全馬データ!$D$2:$D$50000,E531,全馬データ!$K$2:$K$50000,"&lt;&gt;")=0,"",SUMIFS(全馬データ!$K$2:$K$50000,全馬データ!$A$2:$A$50000,A531,全馬データ!$B$2:$B$50000,B531,全馬データ!$C$2:$C$50000,C531,全馬データ!$D$2:$D$50000,E531)))</f>
        <v/>
      </c>
      <c r="AP531" s="8" t="str">
        <f aca="false">IF(A531="","",IF(AO531="","欠損",IF(AO531&lt;=1.1,"1.0～1.1",IF(AO531&lt;1.3,"1.2",IF(AO531&lt;1.5,"1.3～1.4",IF(AO531&lt;2,"1.5～1.9","2.0以上"))))))</f>
        <v>欠損</v>
      </c>
      <c r="AQ531" s="8" t="str">
        <f aca="false">IF(A531="","",IF(ISNUMBER(SEARCH("2歳",Z531)),"2歳戦",IF(ISNUMBER(SEARCH("3歳未勝利",Z531)),"3歳未勝利",IF(ISNUMBER(SEARCH("未勝利",Z531)),"その他未勝利",IF(ISNUMBER(SEARCH("G1",Z531)),"G1",IF(ISNUMBER(SEARCH("G2",Z531)),"G2",IF(ISNUMBER(SEARCH("G3",Z531)),"G3",IF(ISNUMBER(SEARCH("古馬条件",Z531)),"古馬条件戦",IF(ISNUMBER(SEARCH("重賞",Z531)),"重賞","分類不能")))))))))</f>
        <v>分類不能</v>
      </c>
      <c r="AR531" s="4" t="s">
        <v>7839</v>
      </c>
      <c r="AS531" s="8" t="s">
        <v>7626</v>
      </c>
      <c r="AT531" s="8" t="s">
        <v>7627</v>
      </c>
      <c r="AU531" s="8" t="s">
        <v>7634</v>
      </c>
      <c r="AV531" s="8" t="s">
        <v>7635</v>
      </c>
      <c r="AW531" s="8" t="s">
        <v>7636</v>
      </c>
      <c r="AX531" s="4" t="s">
        <v>7637</v>
      </c>
      <c r="AY531" s="8" t="s">
        <v>7610</v>
      </c>
      <c r="AZ531" s="4" t="s">
        <v>7617</v>
      </c>
      <c r="BA531" s="8" t="n">
        <v>1700</v>
      </c>
      <c r="BB531" s="8" t="s">
        <v>7598</v>
      </c>
      <c r="BC531" s="4" t="s">
        <v>7604</v>
      </c>
      <c r="BD531" s="8" t="s">
        <v>7625</v>
      </c>
      <c r="BE531" s="4" t="s">
        <v>7606</v>
      </c>
      <c r="BF531" s="8" t="s">
        <v>7607</v>
      </c>
      <c r="BG531" s="8" t="s">
        <v>7602</v>
      </c>
      <c r="BH531" s="4" t="s">
        <v>7667</v>
      </c>
      <c r="BI531" s="8" t="n">
        <v>12</v>
      </c>
      <c r="BJ531" s="8" t="s">
        <v>7602</v>
      </c>
      <c r="BK531" s="4" t="s">
        <v>7653</v>
      </c>
      <c r="BL531" s="8" t="s">
        <v>7602</v>
      </c>
      <c r="BM531" s="4" t="s">
        <v>7620</v>
      </c>
      <c r="BN531" s="8"/>
      <c r="BO531" s="8"/>
      <c r="BP531" s="8" t="s">
        <v>7608</v>
      </c>
      <c r="BQ531" s="8" t="str">
        <f aca="false">IF(A531="","",AT531)</f>
        <v>3歳以上</v>
      </c>
      <c r="BR531" s="8" t="str">
        <f aca="false">IF(A531="","",IF(BA531&lt;=1200,"～1200",IF(BA531&lt;=1500,"1300～1500",IF(BA531=1600,"1600",IF(BA531&lt;=1800,"1700～1800",IF(BA531&lt;=2000,"1900～2000","2100以上"))))))</f>
        <v>1700～1800</v>
      </c>
      <c r="BS531" s="8" t="str">
        <f aca="false">IF(A531="","",IF(AX531="G1","G1",IF(AX531="G2","G2",IF(AX531="G3","G3",IF(AX531="L","L","その他")))))</f>
        <v>その他</v>
      </c>
      <c r="BT531" s="8" t="str">
        <f aca="false">IF(A531="","",IF(BI531="","未結合",IF(D531=BI531,"一致","不一致")))</f>
        <v>一致</v>
      </c>
      <c r="BU531" s="8" t="str">
        <f aca="false">IF(A531="","",IF(BE531="牝馬限定","牝馬限定","その他"))</f>
        <v>その他</v>
      </c>
    </row>
    <row r="532" customFormat="false" ht="15.75" hidden="false" customHeight="false" outlineLevel="0" collapsed="false">
      <c r="A532" s="6" t="n">
        <v>46187</v>
      </c>
      <c r="B532" s="4" t="s">
        <v>1237</v>
      </c>
      <c r="C532" s="8" t="n">
        <v>11</v>
      </c>
      <c r="D532" s="8" t="n">
        <v>16</v>
      </c>
      <c r="E532" s="8" t="n">
        <v>1</v>
      </c>
      <c r="F532" s="4" t="s">
        <v>3293</v>
      </c>
      <c r="G532" s="8" t="n">
        <v>60</v>
      </c>
      <c r="H532" s="8" t="n">
        <v>14</v>
      </c>
      <c r="I532" s="4" t="s">
        <v>1353</v>
      </c>
      <c r="J532" s="8" t="n">
        <v>50</v>
      </c>
      <c r="K532" s="8" t="n">
        <v>2</v>
      </c>
      <c r="L532" s="4" t="s">
        <v>2983</v>
      </c>
      <c r="M532" s="8" t="n">
        <v>25</v>
      </c>
      <c r="N532" s="8" t="n">
        <f aca="false">IF(A532="","",G532-J532)</f>
        <v>10</v>
      </c>
      <c r="O532" s="8" t="n">
        <f aca="false">IF(A532="","",J532-M532)</f>
        <v>25</v>
      </c>
      <c r="P532" s="8" t="n">
        <f aca="false">IF(A532="","",G532+J532)</f>
        <v>110</v>
      </c>
      <c r="Q532" s="8" t="str">
        <f aca="false">IF(A532="","",IF(AND(Y532&lt;&gt;"参考",G532&gt;=ルール設定!$B$2),"○",""))</f>
        <v/>
      </c>
      <c r="R532" s="8" t="str">
        <f aca="false">IF(A532="","",IF(AND(Y532&lt;&gt;"参考",G532&gt;=ルール設定!$B$3,N532&gt;=ルール設定!$B$4),"○",""))</f>
        <v/>
      </c>
      <c r="S532" s="8" t="str">
        <f aca="false">IF(A532="","",IF(AND(Y532&lt;&gt;"参考",G532&gt;=ルール設定!$B$5,J532&gt;=ルール設定!$B$6,O532&gt;=ルール設定!$B$7),"○",""))</f>
        <v>○</v>
      </c>
      <c r="T532" s="8" t="n">
        <v>4</v>
      </c>
      <c r="U532" s="8" t="n">
        <v>2</v>
      </c>
      <c r="V532" s="8" t="str">
        <f aca="false">IF(A532="","",IF(AND(ISNUMBER(T532),ISNUMBER(U532)),IF(AND(T532&lt;=3,U532&lt;=3),"○","×"),""))</f>
        <v>×</v>
      </c>
      <c r="W532" s="8"/>
      <c r="X532" s="8"/>
      <c r="Y532" s="4" t="s">
        <v>7597</v>
      </c>
      <c r="Z532" s="4" t="s">
        <v>4475</v>
      </c>
      <c r="AA532" s="8" t="str">
        <v/>
      </c>
      <c r="AB532" s="8" t="str">
        <v/>
      </c>
      <c r="AC532" s="8" t="str">
        <v/>
      </c>
      <c r="AD532" s="8" t="str">
        <v/>
      </c>
      <c r="AE532" s="8" t="str">
        <v/>
      </c>
      <c r="AF532" s="8" t="str">
        <v/>
      </c>
      <c r="AG532" s="8" t="str">
        <v/>
      </c>
      <c r="AH532" s="8" t="str">
        <v/>
      </c>
      <c r="AI532" s="8" t="n">
        <v>35</v>
      </c>
      <c r="AJ532" s="8" t="str">
        <v>60～69</v>
      </c>
      <c r="AK532" s="8" t="str">
        <v>10～19</v>
      </c>
      <c r="AL532" s="8" t="str">
        <v>30～39</v>
      </c>
      <c r="AM532" s="8" t="str">
        <v>100～119</v>
      </c>
      <c r="AN532" s="8" t="str">
        <v>15以上</v>
      </c>
      <c r="AO532" s="8" t="str">
        <f aca="false">IF(A532="","",IF(COUNTIFS(全馬データ!$A$2:$A$50000,A532,全馬データ!$B$2:$B$50000,B532,全馬データ!$C$2:$C$50000,C532,全馬データ!$D$2:$D$50000,E532,全馬データ!$K$2:$K$50000,"&lt;&gt;")=0,"",SUMIFS(全馬データ!$K$2:$K$50000,全馬データ!$A$2:$A$50000,A532,全馬データ!$B$2:$B$50000,B532,全馬データ!$C$2:$C$50000,C532,全馬データ!$D$2:$D$50000,E532)))</f>
        <v/>
      </c>
      <c r="AP532" s="8" t="str">
        <f aca="false">IF(A532="","",IF(AO532="","欠損",IF(AO532&lt;=1.1,"1.0～1.1",IF(AO532&lt;1.3,"1.2",IF(AO532&lt;1.5,"1.3～1.4",IF(AO532&lt;2,"1.5～1.9","2.0以上"))))))</f>
        <v>欠損</v>
      </c>
      <c r="AQ532" s="8" t="str">
        <f aca="false">IF(A532="","",IF(ISNUMBER(SEARCH("2歳",Z532)),"2歳戦",IF(ISNUMBER(SEARCH("3歳未勝利",Z532)),"3歳未勝利",IF(ISNUMBER(SEARCH("未勝利",Z532)),"その他未勝利",IF(ISNUMBER(SEARCH("G1",Z532)),"G1",IF(ISNUMBER(SEARCH("G2",Z532)),"G2",IF(ISNUMBER(SEARCH("G3",Z532)),"G3",IF(ISNUMBER(SEARCH("古馬条件",Z532)),"古馬条件戦",IF(ISNUMBER(SEARCH("重賞",Z532)),"重賞","分類不能")))))))))</f>
        <v>分類不能</v>
      </c>
      <c r="AR532" s="4" t="s">
        <v>7840</v>
      </c>
      <c r="AS532" s="8" t="s">
        <v>7626</v>
      </c>
      <c r="AT532" s="8" t="s">
        <v>7627</v>
      </c>
      <c r="AU532" s="8" t="s">
        <v>7634</v>
      </c>
      <c r="AV532" s="8" t="s">
        <v>7635</v>
      </c>
      <c r="AW532" s="8" t="s">
        <v>7636</v>
      </c>
      <c r="AX532" s="4" t="s">
        <v>7637</v>
      </c>
      <c r="AY532" s="8" t="s">
        <v>7602</v>
      </c>
      <c r="AZ532" s="4" t="s">
        <v>7603</v>
      </c>
      <c r="BA532" s="8" t="n">
        <v>1200</v>
      </c>
      <c r="BB532" s="8" t="s">
        <v>7598</v>
      </c>
      <c r="BC532" s="4" t="s">
        <v>7604</v>
      </c>
      <c r="BD532" s="8" t="s">
        <v>7630</v>
      </c>
      <c r="BE532" s="4" t="s">
        <v>7606</v>
      </c>
      <c r="BF532" s="8" t="s">
        <v>7607</v>
      </c>
      <c r="BG532" s="8" t="s">
        <v>7631</v>
      </c>
      <c r="BH532" s="4" t="s">
        <v>7632</v>
      </c>
      <c r="BI532" s="8" t="n">
        <v>16</v>
      </c>
      <c r="BJ532" s="8" t="s">
        <v>7602</v>
      </c>
      <c r="BK532" s="4" t="s">
        <v>7653</v>
      </c>
      <c r="BL532" s="8" t="s">
        <v>7602</v>
      </c>
      <c r="BM532" s="4" t="s">
        <v>7620</v>
      </c>
      <c r="BN532" s="8" t="s">
        <v>7602</v>
      </c>
      <c r="BO532" s="8" t="s">
        <v>7613</v>
      </c>
      <c r="BP532" s="8" t="s">
        <v>7608</v>
      </c>
      <c r="BQ532" s="8" t="str">
        <f aca="false">IF(A532="","",AT532)</f>
        <v>3歳以上</v>
      </c>
      <c r="BR532" s="8" t="str">
        <f aca="false">IF(A532="","",IF(BA532&lt;=1200,"～1200",IF(BA532&lt;=1500,"1300～1500",IF(BA532=1600,"1600",IF(BA532&lt;=1800,"1700～1800",IF(BA532&lt;=2000,"1900～2000","2100以上"))))))</f>
        <v>～1200</v>
      </c>
      <c r="BS532" s="8" t="str">
        <f aca="false">IF(A532="","",IF(AX532="G1","G1",IF(AX532="G2","G2",IF(AX532="G3","G3",IF(AX532="L","L","その他")))))</f>
        <v>その他</v>
      </c>
      <c r="BT532" s="8" t="str">
        <f aca="false">IF(A532="","",IF(BI532="","未結合",IF(D532=BI532,"一致","不一致")))</f>
        <v>一致</v>
      </c>
      <c r="BU532" s="8" t="str">
        <f aca="false">IF(A532="","",IF(BE532="牝馬限定","牝馬限定","その他"))</f>
        <v>その他</v>
      </c>
    </row>
    <row r="533" customFormat="false" ht="15.75" hidden="false" customHeight="false" outlineLevel="0" collapsed="false">
      <c r="A533" s="6" t="n">
        <v>46187</v>
      </c>
      <c r="B533" s="4" t="s">
        <v>1237</v>
      </c>
      <c r="C533" s="8" t="n">
        <v>12</v>
      </c>
      <c r="D533" s="8" t="n">
        <v>10</v>
      </c>
      <c r="E533" s="8" t="n">
        <v>10</v>
      </c>
      <c r="F533" s="4" t="s">
        <v>4471</v>
      </c>
      <c r="G533" s="8" t="n">
        <v>65</v>
      </c>
      <c r="H533" s="8" t="n">
        <v>2</v>
      </c>
      <c r="I533" s="4" t="s">
        <v>3290</v>
      </c>
      <c r="J533" s="8" t="n">
        <v>41</v>
      </c>
      <c r="K533" s="8" t="n">
        <v>5</v>
      </c>
      <c r="L533" s="4" t="s">
        <v>422</v>
      </c>
      <c r="M533" s="8" t="n">
        <v>41</v>
      </c>
      <c r="N533" s="8" t="n">
        <f aca="false">IF(A533="","",G533-J533)</f>
        <v>24</v>
      </c>
      <c r="O533" s="8" t="n">
        <f aca="false">IF(A533="","",J533-M533)</f>
        <v>0</v>
      </c>
      <c r="P533" s="8" t="n">
        <f aca="false">IF(A533="","",G533+J533)</f>
        <v>106</v>
      </c>
      <c r="Q533" s="8" t="str">
        <f aca="false">IF(A533="","",IF(AND(Y533&lt;&gt;"参考",G533&gt;=ルール設定!$B$2),"○",""))</f>
        <v/>
      </c>
      <c r="R533" s="8" t="str">
        <f aca="false">IF(A533="","",IF(AND(Y533&lt;&gt;"参考",G533&gt;=ルール設定!$B$3,N533&gt;=ルール設定!$B$4),"○",""))</f>
        <v/>
      </c>
      <c r="S533" s="8" t="str">
        <f aca="false">IF(A533="","",IF(AND(Y533&lt;&gt;"参考",G533&gt;=ルール設定!$B$5,J533&gt;=ルール設定!$B$6,O533&gt;=ルール設定!$B$7),"○",""))</f>
        <v/>
      </c>
      <c r="T533" s="8" t="n">
        <v>4</v>
      </c>
      <c r="U533" s="8" t="n">
        <v>3</v>
      </c>
      <c r="V533" s="8" t="str">
        <f aca="false">IF(A533="","",IF(AND(ISNUMBER(T533),ISNUMBER(U533)),IF(AND(T533&lt;=3,U533&lt;=3),"○","×"),""))</f>
        <v>×</v>
      </c>
      <c r="W533" s="8"/>
      <c r="X533" s="8"/>
      <c r="Y533" s="4" t="s">
        <v>7597</v>
      </c>
      <c r="Z533" s="4" t="s">
        <v>4475</v>
      </c>
      <c r="AA533" s="8" t="str">
        <v/>
      </c>
      <c r="AB533" s="8" t="str">
        <v/>
      </c>
      <c r="AC533" s="8" t="str">
        <v/>
      </c>
      <c r="AD533" s="8" t="str">
        <v/>
      </c>
      <c r="AE533" s="8" t="str">
        <v/>
      </c>
      <c r="AF533" s="8" t="str">
        <v/>
      </c>
      <c r="AG533" s="8" t="str">
        <v/>
      </c>
      <c r="AH533" s="8" t="str">
        <v/>
      </c>
      <c r="AI533" s="8" t="n">
        <v>24</v>
      </c>
      <c r="AJ533" s="8" t="str">
        <v>60～69</v>
      </c>
      <c r="AK533" s="8" t="str">
        <v>20～29</v>
      </c>
      <c r="AL533" s="8" t="str">
        <v>20～29</v>
      </c>
      <c r="AM533" s="8" t="str">
        <v>100～119</v>
      </c>
      <c r="AN533" s="8" t="str">
        <v>8～11</v>
      </c>
      <c r="AO533" s="8" t="str">
        <f aca="false">IF(A533="","",IF(COUNTIFS(全馬データ!$A$2:$A$50000,A533,全馬データ!$B$2:$B$50000,B533,全馬データ!$C$2:$C$50000,C533,全馬データ!$D$2:$D$50000,E533,全馬データ!$K$2:$K$50000,"&lt;&gt;")=0,"",SUMIFS(全馬データ!$K$2:$K$50000,全馬データ!$A$2:$A$50000,A533,全馬データ!$B$2:$B$50000,B533,全馬データ!$C$2:$C$50000,C533,全馬データ!$D$2:$D$50000,E533)))</f>
        <v/>
      </c>
      <c r="AP533" s="8" t="str">
        <f aca="false">IF(A533="","",IF(AO533="","欠損",IF(AO533&lt;=1.1,"1.0～1.1",IF(AO533&lt;1.3,"1.2",IF(AO533&lt;1.5,"1.3～1.4",IF(AO533&lt;2,"1.5～1.9","2.0以上"))))))</f>
        <v>欠損</v>
      </c>
      <c r="AQ533" s="8" t="str">
        <f aca="false">IF(A533="","",IF(ISNUMBER(SEARCH("2歳",Z533)),"2歳戦",IF(ISNUMBER(SEARCH("3歳未勝利",Z533)),"3歳未勝利",IF(ISNUMBER(SEARCH("未勝利",Z533)),"その他未勝利",IF(ISNUMBER(SEARCH("G1",Z533)),"G1",IF(ISNUMBER(SEARCH("G2",Z533)),"G2",IF(ISNUMBER(SEARCH("G3",Z533)),"G3",IF(ISNUMBER(SEARCH("古馬条件",Z533)),"古馬条件戦",IF(ISNUMBER(SEARCH("重賞",Z533)),"重賞","分類不能")))))))))</f>
        <v>分類不能</v>
      </c>
      <c r="AR533" s="8"/>
      <c r="AS533" s="8" t="s">
        <v>7626</v>
      </c>
      <c r="AT533" s="8" t="s">
        <v>7627</v>
      </c>
      <c r="AU533" s="8" t="s">
        <v>7628</v>
      </c>
      <c r="AV533" s="8" t="s">
        <v>7629</v>
      </c>
      <c r="AW533" s="8"/>
      <c r="AX533" s="8"/>
      <c r="AY533" s="8" t="s">
        <v>7610</v>
      </c>
      <c r="AZ533" s="4" t="s">
        <v>7617</v>
      </c>
      <c r="BA533" s="8" t="n">
        <v>1700</v>
      </c>
      <c r="BB533" s="8" t="s">
        <v>7598</v>
      </c>
      <c r="BC533" s="4" t="s">
        <v>7604</v>
      </c>
      <c r="BD533" s="8" t="s">
        <v>7630</v>
      </c>
      <c r="BE533" s="4" t="s">
        <v>7606</v>
      </c>
      <c r="BF533" s="8" t="s">
        <v>7607</v>
      </c>
      <c r="BG533" s="8" t="s">
        <v>7631</v>
      </c>
      <c r="BH533" s="4" t="s">
        <v>7632</v>
      </c>
      <c r="BI533" s="8" t="n">
        <v>10</v>
      </c>
      <c r="BJ533" s="8" t="s">
        <v>7602</v>
      </c>
      <c r="BK533" s="4" t="s">
        <v>7653</v>
      </c>
      <c r="BL533" s="8" t="s">
        <v>7602</v>
      </c>
      <c r="BM533" s="4" t="s">
        <v>7620</v>
      </c>
      <c r="BN533" s="8"/>
      <c r="BO533" s="8"/>
      <c r="BP533" s="8" t="s">
        <v>7608</v>
      </c>
      <c r="BQ533" s="8" t="str">
        <f aca="false">IF(A533="","",AT533)</f>
        <v>3歳以上</v>
      </c>
      <c r="BR533" s="8" t="str">
        <f aca="false">IF(A533="","",IF(BA533&lt;=1200,"～1200",IF(BA533&lt;=1500,"1300～1500",IF(BA533=1600,"1600",IF(BA533&lt;=1800,"1700～1800",IF(BA533&lt;=2000,"1900～2000","2100以上"))))))</f>
        <v>1700～1800</v>
      </c>
      <c r="BS533" s="8" t="str">
        <f aca="false">IF(A533="","",IF(AX533="G1","G1",IF(AX533="G2","G2",IF(AX533="G3","G3",IF(AX533="L","L","その他")))))</f>
        <v>その他</v>
      </c>
      <c r="BT533" s="8" t="str">
        <f aca="false">IF(A533="","",IF(BI533="","未結合",IF(D533=BI533,"一致","不一致")))</f>
        <v>一致</v>
      </c>
      <c r="BU533" s="8" t="str">
        <f aca="false">IF(A533="","",IF(BE533="牝馬限定","牝馬限定","その他"))</f>
        <v>その他</v>
      </c>
    </row>
    <row r="534" customFormat="false" ht="15.75" hidden="false" customHeight="false" outlineLevel="0" collapsed="false">
      <c r="A534" s="6" t="n">
        <v>46165</v>
      </c>
      <c r="B534" s="4" t="s">
        <v>4473</v>
      </c>
      <c r="C534" s="8" t="n">
        <v>1</v>
      </c>
      <c r="D534" s="8" t="n">
        <v>15</v>
      </c>
      <c r="E534" s="8" t="n">
        <v>14</v>
      </c>
      <c r="F534" s="4" t="s">
        <v>2369</v>
      </c>
      <c r="G534" s="8" t="n">
        <v>56</v>
      </c>
      <c r="H534" s="8" t="n">
        <v>15</v>
      </c>
      <c r="I534" s="4" t="s">
        <v>491</v>
      </c>
      <c r="J534" s="8" t="n">
        <v>52</v>
      </c>
      <c r="K534" s="8" t="n">
        <v>13</v>
      </c>
      <c r="L534" s="4" t="s">
        <v>5350</v>
      </c>
      <c r="M534" s="8" t="n">
        <v>47</v>
      </c>
      <c r="N534" s="8" t="n">
        <f aca="false">IF(A534="","",G534-J534)</f>
        <v>4</v>
      </c>
      <c r="O534" s="8" t="n">
        <f aca="false">IF(A534="","",J534-M534)</f>
        <v>5</v>
      </c>
      <c r="P534" s="8" t="n">
        <f aca="false">IF(A534="","",G534+J534)</f>
        <v>108</v>
      </c>
      <c r="Q534" s="8" t="str">
        <f aca="false">IF(A534="","",IF(AND(Y534&lt;&gt;"参考",G534&gt;=ルール設定!$B$2),"○",""))</f>
        <v/>
      </c>
      <c r="R534" s="8" t="str">
        <f aca="false">IF(A534="","",IF(AND(Y534&lt;&gt;"参考",G534&gt;=ルール設定!$B$3,N534&gt;=ルール設定!$B$4),"○",""))</f>
        <v/>
      </c>
      <c r="S534" s="8" t="str">
        <f aca="false">IF(A534="","",IF(AND(Y534&lt;&gt;"参考",G534&gt;=ルール設定!$B$5,J534&gt;=ルール設定!$B$6,O534&gt;=ルール設定!$B$7),"○",""))</f>
        <v/>
      </c>
      <c r="T534" s="8" t="n">
        <v>2</v>
      </c>
      <c r="U534" s="8" t="n">
        <v>4</v>
      </c>
      <c r="V534" s="8" t="str">
        <f aca="false">IF(A534="","",IF(AND(ISNUMBER(T534),ISNUMBER(U534)),IF(AND(T534&lt;=3,U534&lt;=3),"○","×"),""))</f>
        <v>×</v>
      </c>
      <c r="W534" s="8" t="n">
        <v>150</v>
      </c>
      <c r="X534" s="8"/>
      <c r="Y534" s="4" t="s">
        <v>7597</v>
      </c>
      <c r="Z534" s="4" t="s">
        <v>7841</v>
      </c>
      <c r="AA534" s="8" t="str">
        <v/>
      </c>
      <c r="AB534" s="8" t="str">
        <v/>
      </c>
      <c r="AC534" s="8" t="str">
        <v/>
      </c>
      <c r="AD534" s="8" t="str">
        <v/>
      </c>
      <c r="AE534" s="8" t="str">
        <v/>
      </c>
      <c r="AF534" s="8" t="str">
        <v/>
      </c>
      <c r="AG534" s="8" t="str">
        <v/>
      </c>
      <c r="AH534" s="8" t="str">
        <v/>
      </c>
      <c r="AI534" s="8" t="n">
        <v>9</v>
      </c>
      <c r="AJ534" s="8" t="str">
        <v>～59</v>
      </c>
      <c r="AK534" s="8" t="str">
        <v>0～4</v>
      </c>
      <c r="AL534" s="8" t="str">
        <v>0～9</v>
      </c>
      <c r="AM534" s="8" t="str">
        <v>100～119</v>
      </c>
      <c r="AN534" s="8" t="str">
        <v>15以上</v>
      </c>
      <c r="AO534" s="8" t="str">
        <f aca="false">IF(A534="","",IF(COUNTIFS(全馬データ!$A$2:$A$50000,A534,全馬データ!$B$2:$B$50000,B534,全馬データ!$C$2:$C$50000,C534,全馬データ!$D$2:$D$50000,E534,全馬データ!$K$2:$K$50000,"&lt;&gt;")=0,"",SUMIFS(全馬データ!$K$2:$K$50000,全馬データ!$A$2:$A$50000,A534,全馬データ!$B$2:$B$50000,B534,全馬データ!$C$2:$C$50000,C534,全馬データ!$D$2:$D$50000,E534)))</f>
        <v/>
      </c>
      <c r="AP534" s="8" t="str">
        <f aca="false">IF(A534="","",IF(AO534="","欠損",IF(AO534&lt;=1.1,"1.0～1.1",IF(AO534&lt;1.3,"1.2",IF(AO534&lt;1.5,"1.3～1.4",IF(AO534&lt;2,"1.5～1.9","2.0以上"))))))</f>
        <v>欠損</v>
      </c>
      <c r="AQ534" s="8" t="str">
        <f aca="false">IF(A534="","",IF(ISNUMBER(SEARCH("2歳",Z534)),"2歳戦",IF(ISNUMBER(SEARCH("3歳未勝利",Z534)),"3歳未勝利",IF(ISNUMBER(SEARCH("未勝利",Z534)),"その他未勝利",IF(ISNUMBER(SEARCH("G1",Z534)),"G1",IF(ISNUMBER(SEARCH("G2",Z534)),"G2",IF(ISNUMBER(SEARCH("G3",Z534)),"G3",IF(ISNUMBER(SEARCH("古馬条件",Z534)),"古馬条件戦",IF(ISNUMBER(SEARCH("重賞",Z534)),"重賞","分類不能")))))))))</f>
        <v>分類不能</v>
      </c>
      <c r="AR534" s="8"/>
      <c r="AS534" s="8" t="s">
        <v>7623</v>
      </c>
      <c r="AT534" s="8" t="s">
        <v>7624</v>
      </c>
      <c r="AU534" s="8" t="s">
        <v>7600</v>
      </c>
      <c r="AV534" s="4" t="s">
        <v>7601</v>
      </c>
      <c r="AW534" s="8"/>
      <c r="AX534" s="8"/>
      <c r="AY534" s="8" t="s">
        <v>7610</v>
      </c>
      <c r="AZ534" s="4" t="s">
        <v>7617</v>
      </c>
      <c r="BA534" s="8" t="n">
        <v>1600</v>
      </c>
      <c r="BB534" s="8" t="s">
        <v>7657</v>
      </c>
      <c r="BC534" s="4" t="s">
        <v>7658</v>
      </c>
      <c r="BD534" s="8" t="s">
        <v>7621</v>
      </c>
      <c r="BE534" s="4" t="s">
        <v>7622</v>
      </c>
      <c r="BF534" s="8" t="s">
        <v>7602</v>
      </c>
      <c r="BG534" s="8" t="s">
        <v>7608</v>
      </c>
      <c r="BH534" s="4" t="s">
        <v>7609</v>
      </c>
      <c r="BI534" s="8" t="n">
        <v>15</v>
      </c>
      <c r="BJ534" s="8" t="s">
        <v>7610</v>
      </c>
      <c r="BK534" s="4" t="s">
        <v>7611</v>
      </c>
      <c r="BL534" s="8" t="s">
        <v>7602</v>
      </c>
      <c r="BM534" s="4" t="s">
        <v>7620</v>
      </c>
      <c r="BN534" s="8"/>
      <c r="BO534" s="8"/>
      <c r="BP534" s="8" t="s">
        <v>7602</v>
      </c>
      <c r="BQ534" s="8" t="str">
        <f aca="false">IF(A534="","",AT534)</f>
        <v>3歳</v>
      </c>
      <c r="BR534" s="8" t="str">
        <f aca="false">IF(A534="","",IF(BA534&lt;=1200,"～1200",IF(BA534&lt;=1500,"1300～1500",IF(BA534=1600,"1600",IF(BA534&lt;=1800,"1700～1800",IF(BA534&lt;=2000,"1900～2000","2100以上"))))))</f>
        <v>1600</v>
      </c>
      <c r="BS534" s="8" t="str">
        <f aca="false">IF(A534="","",IF(AX534="G1","G1",IF(AX534="G2","G2",IF(AX534="G3","G3",IF(AX534="L","L","その他")))))</f>
        <v>その他</v>
      </c>
      <c r="BT534" s="8" t="str">
        <f aca="false">IF(A534="","",IF(BI534="","未結合",IF(D534=BI534,"一致","不一致")))</f>
        <v>一致</v>
      </c>
      <c r="BU534" s="8" t="str">
        <f aca="false">IF(A534="","",IF(BE534="牝馬限定","牝馬限定","その他"))</f>
        <v>牝馬限定</v>
      </c>
    </row>
    <row r="535" customFormat="false" ht="15.75" hidden="false" customHeight="false" outlineLevel="0" collapsed="false">
      <c r="A535" s="6" t="n">
        <v>46165</v>
      </c>
      <c r="B535" s="4" t="s">
        <v>4473</v>
      </c>
      <c r="C535" s="8" t="n">
        <v>2</v>
      </c>
      <c r="D535" s="8" t="n">
        <v>16</v>
      </c>
      <c r="E535" s="8" t="n">
        <v>14</v>
      </c>
      <c r="F535" s="4" t="s">
        <v>3332</v>
      </c>
      <c r="G535" s="8" t="n">
        <v>81</v>
      </c>
      <c r="H535" s="8" t="n">
        <v>16</v>
      </c>
      <c r="I535" s="4" t="s">
        <v>49</v>
      </c>
      <c r="J535" s="8" t="n">
        <v>41</v>
      </c>
      <c r="K535" s="8" t="n">
        <v>1</v>
      </c>
      <c r="L535" s="4" t="s">
        <v>5351</v>
      </c>
      <c r="M535" s="8" t="n">
        <v>39</v>
      </c>
      <c r="N535" s="8" t="n">
        <f aca="false">IF(A535="","",G535-J535)</f>
        <v>40</v>
      </c>
      <c r="O535" s="8" t="n">
        <f aca="false">IF(A535="","",J535-M535)</f>
        <v>2</v>
      </c>
      <c r="P535" s="8" t="n">
        <f aca="false">IF(A535="","",G535+J535)</f>
        <v>122</v>
      </c>
      <c r="Q535" s="8" t="str">
        <f aca="false">IF(A535="","",IF(AND(Y535&lt;&gt;"参考",G535&gt;=ルール設定!$B$2),"○",""))</f>
        <v>○</v>
      </c>
      <c r="R535" s="8" t="str">
        <f aca="false">IF(A535="","",IF(AND(Y535&lt;&gt;"参考",G535&gt;=ルール設定!$B$3,N535&gt;=ルール設定!$B$4),"○",""))</f>
        <v>○</v>
      </c>
      <c r="S535" s="8" t="str">
        <f aca="false">IF(A535="","",IF(AND(Y535&lt;&gt;"参考",G535&gt;=ルール設定!$B$5,J535&gt;=ルール設定!$B$6,O535&gt;=ルール設定!$B$7),"○",""))</f>
        <v/>
      </c>
      <c r="T535" s="8" t="n">
        <v>2</v>
      </c>
      <c r="U535" s="8" t="n">
        <v>3</v>
      </c>
      <c r="V535" s="8" t="str">
        <f aca="false">IF(A535="","",IF(AND(ISNUMBER(T535),ISNUMBER(U535)),IF(AND(T535&lt;=3,U535&lt;=3),"○","×"),""))</f>
        <v>○</v>
      </c>
      <c r="W535" s="8" t="n">
        <v>110</v>
      </c>
      <c r="X535" s="8" t="n">
        <v>150</v>
      </c>
      <c r="Y535" s="4" t="s">
        <v>7597</v>
      </c>
      <c r="Z535" s="4" t="s">
        <v>7841</v>
      </c>
      <c r="AA535" s="8" t="str">
        <v/>
      </c>
      <c r="AB535" s="8" t="str">
        <v>○</v>
      </c>
      <c r="AC535" s="8" t="str">
        <v/>
      </c>
      <c r="AD535" s="8" t="str">
        <v>○</v>
      </c>
      <c r="AE535" s="8" t="str">
        <v/>
      </c>
      <c r="AF535" s="8" t="str">
        <v/>
      </c>
      <c r="AG535" s="8" t="str">
        <v>○</v>
      </c>
      <c r="AH535" s="8" t="str">
        <v/>
      </c>
      <c r="AI535" s="8" t="n">
        <v>42</v>
      </c>
      <c r="AJ535" s="8" t="str">
        <v>80～84</v>
      </c>
      <c r="AK535" s="8" t="str">
        <v>30以上</v>
      </c>
      <c r="AL535" s="8" t="str">
        <v>40以上</v>
      </c>
      <c r="AM535" s="8" t="str">
        <v>120～139</v>
      </c>
      <c r="AN535" s="8" t="str">
        <v>15以上</v>
      </c>
      <c r="AO535" s="8" t="str">
        <f aca="false">IF(A535="","",IF(COUNTIFS(全馬データ!$A$2:$A$50000,A535,全馬データ!$B$2:$B$50000,B535,全馬データ!$C$2:$C$50000,C535,全馬データ!$D$2:$D$50000,E535,全馬データ!$K$2:$K$50000,"&lt;&gt;")=0,"",SUMIFS(全馬データ!$K$2:$K$50000,全馬データ!$A$2:$A$50000,A535,全馬データ!$B$2:$B$50000,B535,全馬データ!$C$2:$C$50000,C535,全馬データ!$D$2:$D$50000,E535)))</f>
        <v/>
      </c>
      <c r="AP535" s="8" t="str">
        <f aca="false">IF(A535="","",IF(AO535="","欠損",IF(AO535&lt;=1.1,"1.0～1.1",IF(AO535&lt;1.3,"1.2",IF(AO535&lt;1.5,"1.3～1.4",IF(AO535&lt;2,"1.5～1.9","2.0以上"))))))</f>
        <v>欠損</v>
      </c>
      <c r="AQ535" s="8" t="str">
        <f aca="false">IF(A535="","",IF(ISNUMBER(SEARCH("2歳",Z535)),"2歳戦",IF(ISNUMBER(SEARCH("3歳未勝利",Z535)),"3歳未勝利",IF(ISNUMBER(SEARCH("未勝利",Z535)),"その他未勝利",IF(ISNUMBER(SEARCH("G1",Z535)),"G1",IF(ISNUMBER(SEARCH("G2",Z535)),"G2",IF(ISNUMBER(SEARCH("G3",Z535)),"G3",IF(ISNUMBER(SEARCH("古馬条件",Z535)),"古馬条件戦",IF(ISNUMBER(SEARCH("重賞",Z535)),"重賞","分類不能")))))))))</f>
        <v>分類不能</v>
      </c>
      <c r="AR535" s="8"/>
      <c r="AS535" s="8" t="s">
        <v>7623</v>
      </c>
      <c r="AT535" s="8" t="s">
        <v>7624</v>
      </c>
      <c r="AU535" s="8" t="s">
        <v>7600</v>
      </c>
      <c r="AV535" s="4" t="s">
        <v>7601</v>
      </c>
      <c r="AW535" s="8"/>
      <c r="AX535" s="8"/>
      <c r="AY535" s="8" t="s">
        <v>7610</v>
      </c>
      <c r="AZ535" s="4" t="s">
        <v>7617</v>
      </c>
      <c r="BA535" s="8" t="n">
        <v>1400</v>
      </c>
      <c r="BB535" s="8" t="s">
        <v>7657</v>
      </c>
      <c r="BC535" s="4" t="s">
        <v>7658</v>
      </c>
      <c r="BD535" s="8" t="s">
        <v>7625</v>
      </c>
      <c r="BE535" s="4" t="s">
        <v>7606</v>
      </c>
      <c r="BF535" s="8" t="s">
        <v>7607</v>
      </c>
      <c r="BG535" s="8" t="s">
        <v>7608</v>
      </c>
      <c r="BH535" s="4" t="s">
        <v>7609</v>
      </c>
      <c r="BI535" s="8" t="n">
        <v>16</v>
      </c>
      <c r="BJ535" s="8" t="s">
        <v>7610</v>
      </c>
      <c r="BK535" s="4" t="s">
        <v>7611</v>
      </c>
      <c r="BL535" s="8" t="s">
        <v>7602</v>
      </c>
      <c r="BM535" s="4" t="s">
        <v>7620</v>
      </c>
      <c r="BN535" s="8"/>
      <c r="BO535" s="8"/>
      <c r="BP535" s="8" t="s">
        <v>7602</v>
      </c>
      <c r="BQ535" s="8" t="str">
        <f aca="false">IF(A535="","",AT535)</f>
        <v>3歳</v>
      </c>
      <c r="BR535" s="8" t="str">
        <f aca="false">IF(A535="","",IF(BA535&lt;=1200,"～1200",IF(BA535&lt;=1500,"1300～1500",IF(BA535=1600,"1600",IF(BA535&lt;=1800,"1700～1800",IF(BA535&lt;=2000,"1900～2000","2100以上"))))))</f>
        <v>1300～1500</v>
      </c>
      <c r="BS535" s="8" t="str">
        <f aca="false">IF(A535="","",IF(AX535="G1","G1",IF(AX535="G2","G2",IF(AX535="G3","G3",IF(AX535="L","L","その他")))))</f>
        <v>その他</v>
      </c>
      <c r="BT535" s="8" t="str">
        <f aca="false">IF(A535="","",IF(BI535="","未結合",IF(D535=BI535,"一致","不一致")))</f>
        <v>一致</v>
      </c>
      <c r="BU535" s="8" t="str">
        <f aca="false">IF(A535="","",IF(BE535="牝馬限定","牝馬限定","その他"))</f>
        <v>その他</v>
      </c>
    </row>
    <row r="536" customFormat="false" ht="15.75" hidden="false" customHeight="false" outlineLevel="0" collapsed="false">
      <c r="A536" s="6" t="n">
        <v>46165</v>
      </c>
      <c r="B536" s="4" t="s">
        <v>4473</v>
      </c>
      <c r="C536" s="8" t="n">
        <v>3</v>
      </c>
      <c r="D536" s="8" t="n">
        <v>13</v>
      </c>
      <c r="E536" s="8" t="n">
        <v>8</v>
      </c>
      <c r="F536" s="4" t="s">
        <v>5130</v>
      </c>
      <c r="G536" s="8" t="n">
        <v>65</v>
      </c>
      <c r="H536" s="8" t="n">
        <v>6</v>
      </c>
      <c r="I536" s="4" t="s">
        <v>5361</v>
      </c>
      <c r="J536" s="8" t="n">
        <v>58</v>
      </c>
      <c r="K536" s="8" t="n">
        <v>4</v>
      </c>
      <c r="L536" s="4" t="s">
        <v>1472</v>
      </c>
      <c r="M536" s="8" t="n">
        <v>56</v>
      </c>
      <c r="N536" s="8" t="n">
        <f aca="false">IF(A536="","",G536-J536)</f>
        <v>7</v>
      </c>
      <c r="O536" s="8" t="n">
        <f aca="false">IF(A536="","",J536-M536)</f>
        <v>2</v>
      </c>
      <c r="P536" s="8" t="n">
        <f aca="false">IF(A536="","",G536+J536)</f>
        <v>123</v>
      </c>
      <c r="Q536" s="8" t="str">
        <f aca="false">IF(A536="","",IF(AND(Y536&lt;&gt;"参考",G536&gt;=ルール設定!$B$2),"○",""))</f>
        <v/>
      </c>
      <c r="R536" s="8" t="str">
        <f aca="false">IF(A536="","",IF(AND(Y536&lt;&gt;"参考",G536&gt;=ルール設定!$B$3,N536&gt;=ルール設定!$B$4),"○",""))</f>
        <v/>
      </c>
      <c r="S536" s="8" t="str">
        <f aca="false">IF(A536="","",IF(AND(Y536&lt;&gt;"参考",G536&gt;=ルール設定!$B$5,J536&gt;=ルール設定!$B$6,O536&gt;=ルール設定!$B$7),"○",""))</f>
        <v/>
      </c>
      <c r="T536" s="8" t="n">
        <v>2</v>
      </c>
      <c r="U536" s="8" t="n">
        <v>1</v>
      </c>
      <c r="V536" s="8" t="str">
        <f aca="false">IF(A536="","",IF(AND(ISNUMBER(T536),ISNUMBER(U536)),IF(AND(T536&lt;=3,U536&lt;=3),"○","×"),""))</f>
        <v>○</v>
      </c>
      <c r="W536" s="8" t="n">
        <v>110</v>
      </c>
      <c r="X536" s="8" t="n">
        <v>140</v>
      </c>
      <c r="Y536" s="4" t="s">
        <v>7597</v>
      </c>
      <c r="Z536" s="4" t="s">
        <v>7841</v>
      </c>
      <c r="AA536" s="8" t="str">
        <v/>
      </c>
      <c r="AB536" s="8" t="str">
        <v/>
      </c>
      <c r="AC536" s="8" t="str">
        <v/>
      </c>
      <c r="AD536" s="8" t="str">
        <v/>
      </c>
      <c r="AE536" s="8" t="str">
        <v/>
      </c>
      <c r="AF536" s="8" t="str">
        <v/>
      </c>
      <c r="AG536" s="8" t="str">
        <v/>
      </c>
      <c r="AH536" s="8" t="str">
        <v/>
      </c>
      <c r="AI536" s="8" t="n">
        <v>9</v>
      </c>
      <c r="AJ536" s="8" t="str">
        <v>60～69</v>
      </c>
      <c r="AK536" s="8" t="str">
        <v>5～9</v>
      </c>
      <c r="AL536" s="8" t="str">
        <v>0～9</v>
      </c>
      <c r="AM536" s="8" t="str">
        <v>120～139</v>
      </c>
      <c r="AN536" s="8" t="str">
        <v>12～14</v>
      </c>
      <c r="AO536" s="8" t="str">
        <f aca="false">IF(A536="","",IF(COUNTIFS(全馬データ!$A$2:$A$50000,A536,全馬データ!$B$2:$B$50000,B536,全馬データ!$C$2:$C$50000,C536,全馬データ!$D$2:$D$50000,E536,全馬データ!$K$2:$K$50000,"&lt;&gt;")=0,"",SUMIFS(全馬データ!$K$2:$K$50000,全馬データ!$A$2:$A$50000,A536,全馬データ!$B$2:$B$50000,B536,全馬データ!$C$2:$C$50000,C536,全馬データ!$D$2:$D$50000,E536)))</f>
        <v/>
      </c>
      <c r="AP536" s="8" t="str">
        <f aca="false">IF(A536="","",IF(AO536="","欠損",IF(AO536&lt;=1.1,"1.0～1.1",IF(AO536&lt;1.3,"1.2",IF(AO536&lt;1.5,"1.3～1.4",IF(AO536&lt;2,"1.5～1.9","2.0以上"))))))</f>
        <v>欠損</v>
      </c>
      <c r="AQ536" s="8" t="str">
        <f aca="false">IF(A536="","",IF(ISNUMBER(SEARCH("2歳",Z536)),"2歳戦",IF(ISNUMBER(SEARCH("3歳未勝利",Z536)),"3歳未勝利",IF(ISNUMBER(SEARCH("未勝利",Z536)),"その他未勝利",IF(ISNUMBER(SEARCH("G1",Z536)),"G1",IF(ISNUMBER(SEARCH("G2",Z536)),"G2",IF(ISNUMBER(SEARCH("G3",Z536)),"G3",IF(ISNUMBER(SEARCH("古馬条件",Z536)),"古馬条件戦",IF(ISNUMBER(SEARCH("重賞",Z536)),"重賞","分類不能")))))))))</f>
        <v>分類不能</v>
      </c>
      <c r="AR536" s="8"/>
      <c r="AS536" s="8" t="s">
        <v>7623</v>
      </c>
      <c r="AT536" s="8" t="s">
        <v>7624</v>
      </c>
      <c r="AU536" s="8" t="s">
        <v>7600</v>
      </c>
      <c r="AV536" s="4" t="s">
        <v>7601</v>
      </c>
      <c r="AW536" s="8"/>
      <c r="AX536" s="8"/>
      <c r="AY536" s="8" t="s">
        <v>7610</v>
      </c>
      <c r="AZ536" s="4" t="s">
        <v>7617</v>
      </c>
      <c r="BA536" s="8" t="n">
        <v>2100</v>
      </c>
      <c r="BB536" s="8" t="s">
        <v>7657</v>
      </c>
      <c r="BC536" s="4" t="s">
        <v>7658</v>
      </c>
      <c r="BD536" s="8" t="s">
        <v>7605</v>
      </c>
      <c r="BE536" s="4" t="s">
        <v>7606</v>
      </c>
      <c r="BF536" s="8" t="s">
        <v>7607</v>
      </c>
      <c r="BG536" s="8" t="s">
        <v>7608</v>
      </c>
      <c r="BH536" s="4" t="s">
        <v>7609</v>
      </c>
      <c r="BI536" s="8" t="n">
        <v>13</v>
      </c>
      <c r="BJ536" s="8" t="s">
        <v>7610</v>
      </c>
      <c r="BK536" s="4" t="s">
        <v>7611</v>
      </c>
      <c r="BL536" s="8" t="s">
        <v>7602</v>
      </c>
      <c r="BM536" s="4" t="s">
        <v>7620</v>
      </c>
      <c r="BN536" s="8"/>
      <c r="BO536" s="8"/>
      <c r="BP536" s="8" t="s">
        <v>7602</v>
      </c>
      <c r="BQ536" s="8" t="str">
        <f aca="false">IF(A536="","",AT536)</f>
        <v>3歳</v>
      </c>
      <c r="BR536" s="8" t="str">
        <f aca="false">IF(A536="","",IF(BA536&lt;=1200,"～1200",IF(BA536&lt;=1500,"1300～1500",IF(BA536=1600,"1600",IF(BA536&lt;=1800,"1700～1800",IF(BA536&lt;=2000,"1900～2000","2100以上"))))))</f>
        <v>2100以上</v>
      </c>
      <c r="BS536" s="8" t="str">
        <f aca="false">IF(A536="","",IF(AX536="G1","G1",IF(AX536="G2","G2",IF(AX536="G3","G3",IF(AX536="L","L","その他")))))</f>
        <v>その他</v>
      </c>
      <c r="BT536" s="8" t="str">
        <f aca="false">IF(A536="","",IF(BI536="","未結合",IF(D536=BI536,"一致","不一致")))</f>
        <v>一致</v>
      </c>
      <c r="BU536" s="8" t="str">
        <f aca="false">IF(A536="","",IF(BE536="牝馬限定","牝馬限定","その他"))</f>
        <v>その他</v>
      </c>
    </row>
    <row r="537" customFormat="false" ht="15.75" hidden="false" customHeight="false" outlineLevel="0" collapsed="false">
      <c r="A537" s="6" t="n">
        <v>46165</v>
      </c>
      <c r="B537" s="4" t="s">
        <v>4473</v>
      </c>
      <c r="C537" s="8" t="n">
        <v>4</v>
      </c>
      <c r="D537" s="8" t="n">
        <v>18</v>
      </c>
      <c r="E537" s="8" t="n">
        <v>2</v>
      </c>
      <c r="F537" s="4" t="s">
        <v>1934</v>
      </c>
      <c r="G537" s="8" t="n">
        <v>58</v>
      </c>
      <c r="H537" s="8" t="n">
        <v>18</v>
      </c>
      <c r="I537" s="4" t="s">
        <v>5372</v>
      </c>
      <c r="J537" s="8" t="n">
        <v>52</v>
      </c>
      <c r="K537" s="8" t="n">
        <v>4</v>
      </c>
      <c r="L537" s="4" t="s">
        <v>3512</v>
      </c>
      <c r="M537" s="8" t="n">
        <v>29</v>
      </c>
      <c r="N537" s="8" t="n">
        <f aca="false">IF(A537="","",G537-J537)</f>
        <v>6</v>
      </c>
      <c r="O537" s="8" t="n">
        <f aca="false">IF(A537="","",J537-M537)</f>
        <v>23</v>
      </c>
      <c r="P537" s="8" t="n">
        <f aca="false">IF(A537="","",G537+J537)</f>
        <v>110</v>
      </c>
      <c r="Q537" s="8" t="str">
        <f aca="false">IF(A537="","",IF(AND(Y537&lt;&gt;"参考",G537&gt;=ルール設定!$B$2),"○",""))</f>
        <v/>
      </c>
      <c r="R537" s="8" t="str">
        <f aca="false">IF(A537="","",IF(AND(Y537&lt;&gt;"参考",G537&gt;=ルール設定!$B$3,N537&gt;=ルール設定!$B$4),"○",""))</f>
        <v/>
      </c>
      <c r="S537" s="8" t="str">
        <f aca="false">IF(A537="","",IF(AND(Y537&lt;&gt;"参考",G537&gt;=ルール設定!$B$5,J537&gt;=ルール設定!$B$6,O537&gt;=ルール設定!$B$7),"○",""))</f>
        <v/>
      </c>
      <c r="T537" s="8" t="n">
        <v>4</v>
      </c>
      <c r="U537" s="8" t="n">
        <v>1</v>
      </c>
      <c r="V537" s="8" t="str">
        <f aca="false">IF(A537="","",IF(AND(ISNUMBER(T537),ISNUMBER(U537)),IF(AND(T537&lt;=3,U537&lt;=3),"○","×"),""))</f>
        <v>×</v>
      </c>
      <c r="W537" s="8"/>
      <c r="X537" s="8"/>
      <c r="Y537" s="4" t="s">
        <v>7597</v>
      </c>
      <c r="Z537" s="4" t="s">
        <v>7841</v>
      </c>
      <c r="AA537" s="8" t="str">
        <v/>
      </c>
      <c r="AB537" s="8" t="str">
        <v/>
      </c>
      <c r="AC537" s="8" t="str">
        <v/>
      </c>
      <c r="AD537" s="8" t="str">
        <v/>
      </c>
      <c r="AE537" s="8" t="str">
        <v/>
      </c>
      <c r="AF537" s="8" t="str">
        <v/>
      </c>
      <c r="AG537" s="8" t="str">
        <v/>
      </c>
      <c r="AH537" s="8" t="str">
        <v/>
      </c>
      <c r="AI537" s="8" t="n">
        <v>29</v>
      </c>
      <c r="AJ537" s="8" t="str">
        <v>～59</v>
      </c>
      <c r="AK537" s="8" t="str">
        <v>5～9</v>
      </c>
      <c r="AL537" s="8" t="str">
        <v>20～29</v>
      </c>
      <c r="AM537" s="8" t="str">
        <v>100～119</v>
      </c>
      <c r="AN537" s="8" t="str">
        <v>15以上</v>
      </c>
      <c r="AO537" s="8" t="str">
        <f aca="false">IF(A537="","",IF(COUNTIFS(全馬データ!$A$2:$A$50000,A537,全馬データ!$B$2:$B$50000,B537,全馬データ!$C$2:$C$50000,C537,全馬データ!$D$2:$D$50000,E537,全馬データ!$K$2:$K$50000,"&lt;&gt;")=0,"",SUMIFS(全馬データ!$K$2:$K$50000,全馬データ!$A$2:$A$50000,A537,全馬データ!$B$2:$B$50000,B537,全馬データ!$C$2:$C$50000,C537,全馬データ!$D$2:$D$50000,E537)))</f>
        <v/>
      </c>
      <c r="AP537" s="8" t="str">
        <f aca="false">IF(A537="","",IF(AO537="","欠損",IF(AO537&lt;=1.1,"1.0～1.1",IF(AO537&lt;1.3,"1.2",IF(AO537&lt;1.5,"1.3～1.4",IF(AO537&lt;2,"1.5～1.9","2.0以上"))))))</f>
        <v>欠損</v>
      </c>
      <c r="AQ537" s="8" t="str">
        <f aca="false">IF(A537="","",IF(ISNUMBER(SEARCH("2歳",Z537)),"2歳戦",IF(ISNUMBER(SEARCH("3歳未勝利",Z537)),"3歳未勝利",IF(ISNUMBER(SEARCH("未勝利",Z537)),"その他未勝利",IF(ISNUMBER(SEARCH("G1",Z537)),"G1",IF(ISNUMBER(SEARCH("G2",Z537)),"G2",IF(ISNUMBER(SEARCH("G3",Z537)),"G3",IF(ISNUMBER(SEARCH("古馬条件",Z537)),"古馬条件戦",IF(ISNUMBER(SEARCH("重賞",Z537)),"重賞","分類不能")))))))))</f>
        <v>分類不能</v>
      </c>
      <c r="AR537" s="8"/>
      <c r="AS537" s="8" t="s">
        <v>7623</v>
      </c>
      <c r="AT537" s="8" t="s">
        <v>7624</v>
      </c>
      <c r="AU537" s="8" t="s">
        <v>7600</v>
      </c>
      <c r="AV537" s="4" t="s">
        <v>7601</v>
      </c>
      <c r="AW537" s="8"/>
      <c r="AX537" s="8"/>
      <c r="AY537" s="8" t="s">
        <v>7602</v>
      </c>
      <c r="AZ537" s="4" t="s">
        <v>7603</v>
      </c>
      <c r="BA537" s="8" t="n">
        <v>1600</v>
      </c>
      <c r="BB537" s="8" t="s">
        <v>7598</v>
      </c>
      <c r="BC537" s="4" t="s">
        <v>7604</v>
      </c>
      <c r="BD537" s="8" t="s">
        <v>7625</v>
      </c>
      <c r="BE537" s="4" t="s">
        <v>7606</v>
      </c>
      <c r="BF537" s="8" t="s">
        <v>7607</v>
      </c>
      <c r="BG537" s="8" t="s">
        <v>7608</v>
      </c>
      <c r="BH537" s="4" t="s">
        <v>7609</v>
      </c>
      <c r="BI537" s="8" t="n">
        <v>18</v>
      </c>
      <c r="BJ537" s="8" t="s">
        <v>7610</v>
      </c>
      <c r="BK537" s="4" t="s">
        <v>7611</v>
      </c>
      <c r="BL537" s="8" t="s">
        <v>7602</v>
      </c>
      <c r="BM537" s="4" t="s">
        <v>7620</v>
      </c>
      <c r="BN537" s="8" t="s">
        <v>7631</v>
      </c>
      <c r="BO537" s="8" t="s">
        <v>7680</v>
      </c>
      <c r="BP537" s="8" t="s">
        <v>7602</v>
      </c>
      <c r="BQ537" s="8" t="str">
        <f aca="false">IF(A537="","",AT537)</f>
        <v>3歳</v>
      </c>
      <c r="BR537" s="8" t="str">
        <f aca="false">IF(A537="","",IF(BA537&lt;=1200,"～1200",IF(BA537&lt;=1500,"1300～1500",IF(BA537=1600,"1600",IF(BA537&lt;=1800,"1700～1800",IF(BA537&lt;=2000,"1900～2000","2100以上"))))))</f>
        <v>1600</v>
      </c>
      <c r="BS537" s="8" t="str">
        <f aca="false">IF(A537="","",IF(AX537="G1","G1",IF(AX537="G2","G2",IF(AX537="G3","G3",IF(AX537="L","L","その他")))))</f>
        <v>その他</v>
      </c>
      <c r="BT537" s="8" t="str">
        <f aca="false">IF(A537="","",IF(BI537="","未結合",IF(D537=BI537,"一致","不一致")))</f>
        <v>一致</v>
      </c>
      <c r="BU537" s="8" t="str">
        <f aca="false">IF(A537="","",IF(BE537="牝馬限定","牝馬限定","その他"))</f>
        <v>その他</v>
      </c>
    </row>
    <row r="538" customFormat="false" ht="15.75" hidden="false" customHeight="false" outlineLevel="0" collapsed="false">
      <c r="A538" s="6" t="n">
        <v>46165</v>
      </c>
      <c r="B538" s="4" t="s">
        <v>4473</v>
      </c>
      <c r="C538" s="8" t="n">
        <v>5</v>
      </c>
      <c r="D538" s="8" t="n">
        <v>17</v>
      </c>
      <c r="E538" s="8" t="n">
        <v>2</v>
      </c>
      <c r="F538" s="4" t="s">
        <v>2310</v>
      </c>
      <c r="G538" s="8" t="n">
        <v>52</v>
      </c>
      <c r="H538" s="8" t="n">
        <v>14</v>
      </c>
      <c r="I538" s="4" t="s">
        <v>5258</v>
      </c>
      <c r="J538" s="8" t="n">
        <v>50</v>
      </c>
      <c r="K538" s="8" t="n">
        <v>7</v>
      </c>
      <c r="L538" s="4" t="s">
        <v>1950</v>
      </c>
      <c r="M538" s="8" t="n">
        <v>39</v>
      </c>
      <c r="N538" s="8" t="n">
        <f aca="false">IF(A538="","",G538-J538)</f>
        <v>2</v>
      </c>
      <c r="O538" s="8" t="n">
        <f aca="false">IF(A538="","",J538-M538)</f>
        <v>11</v>
      </c>
      <c r="P538" s="8" t="n">
        <f aca="false">IF(A538="","",G538+J538)</f>
        <v>102</v>
      </c>
      <c r="Q538" s="8" t="str">
        <f aca="false">IF(A538="","",IF(AND(Y538&lt;&gt;"参考",G538&gt;=ルール設定!$B$2),"○",""))</f>
        <v/>
      </c>
      <c r="R538" s="8" t="str">
        <f aca="false">IF(A538="","",IF(AND(Y538&lt;&gt;"参考",G538&gt;=ルール設定!$B$3,N538&gt;=ルール設定!$B$4),"○",""))</f>
        <v/>
      </c>
      <c r="S538" s="8" t="str">
        <f aca="false">IF(A538="","",IF(AND(Y538&lt;&gt;"参考",G538&gt;=ルール設定!$B$5,J538&gt;=ルール設定!$B$6,O538&gt;=ルール設定!$B$7),"○",""))</f>
        <v/>
      </c>
      <c r="T538" s="8" t="n">
        <v>3</v>
      </c>
      <c r="U538" s="8" t="n">
        <v>4</v>
      </c>
      <c r="V538" s="8" t="str">
        <f aca="false">IF(A538="","",IF(AND(ISNUMBER(T538),ISNUMBER(U538)),IF(AND(T538&lt;=3,U538&lt;=3),"○","×"),""))</f>
        <v>×</v>
      </c>
      <c r="W538" s="8" t="n">
        <v>160</v>
      </c>
      <c r="X538" s="8"/>
      <c r="Y538" s="4" t="s">
        <v>7597</v>
      </c>
      <c r="Z538" s="4" t="s">
        <v>7841</v>
      </c>
      <c r="AA538" s="8" t="str">
        <v/>
      </c>
      <c r="AB538" s="8" t="str">
        <v/>
      </c>
      <c r="AC538" s="8" t="str">
        <v/>
      </c>
      <c r="AD538" s="8" t="str">
        <v/>
      </c>
      <c r="AE538" s="8" t="str">
        <v/>
      </c>
      <c r="AF538" s="8" t="str">
        <v/>
      </c>
      <c r="AG538" s="8" t="str">
        <v/>
      </c>
      <c r="AH538" s="8" t="str">
        <v/>
      </c>
      <c r="AI538" s="8" t="n">
        <v>13</v>
      </c>
      <c r="AJ538" s="8" t="str">
        <v>～59</v>
      </c>
      <c r="AK538" s="8" t="str">
        <v>0～4</v>
      </c>
      <c r="AL538" s="8" t="str">
        <v>10～19</v>
      </c>
      <c r="AM538" s="8" t="str">
        <v>100～119</v>
      </c>
      <c r="AN538" s="8" t="str">
        <v>15以上</v>
      </c>
      <c r="AO538" s="8" t="str">
        <f aca="false">IF(A538="","",IF(COUNTIFS(全馬データ!$A$2:$A$50000,A538,全馬データ!$B$2:$B$50000,B538,全馬データ!$C$2:$C$50000,C538,全馬データ!$D$2:$D$50000,E538,全馬データ!$K$2:$K$50000,"&lt;&gt;")=0,"",SUMIFS(全馬データ!$K$2:$K$50000,全馬データ!$A$2:$A$50000,A538,全馬データ!$B$2:$B$50000,B538,全馬データ!$C$2:$C$50000,C538,全馬データ!$D$2:$D$50000,E538)))</f>
        <v/>
      </c>
      <c r="AP538" s="8" t="str">
        <f aca="false">IF(A538="","",IF(AO538="","欠損",IF(AO538&lt;=1.1,"1.0～1.1",IF(AO538&lt;1.3,"1.2",IF(AO538&lt;1.5,"1.3～1.4",IF(AO538&lt;2,"1.5～1.9","2.0以上"))))))</f>
        <v>欠損</v>
      </c>
      <c r="AQ538" s="8" t="str">
        <f aca="false">IF(A538="","",IF(ISNUMBER(SEARCH("2歳",Z538)),"2歳戦",IF(ISNUMBER(SEARCH("3歳未勝利",Z538)),"3歳未勝利",IF(ISNUMBER(SEARCH("未勝利",Z538)),"その他未勝利",IF(ISNUMBER(SEARCH("G1",Z538)),"G1",IF(ISNUMBER(SEARCH("G2",Z538)),"G2",IF(ISNUMBER(SEARCH("G3",Z538)),"G3",IF(ISNUMBER(SEARCH("古馬条件",Z538)),"古馬条件戦",IF(ISNUMBER(SEARCH("重賞",Z538)),"重賞","分類不能")))))))))</f>
        <v>分類不能</v>
      </c>
      <c r="AR538" s="8"/>
      <c r="AS538" s="8" t="s">
        <v>7623</v>
      </c>
      <c r="AT538" s="8" t="s">
        <v>7624</v>
      </c>
      <c r="AU538" s="8" t="s">
        <v>7600</v>
      </c>
      <c r="AV538" s="4" t="s">
        <v>7601</v>
      </c>
      <c r="AW538" s="8"/>
      <c r="AX538" s="8"/>
      <c r="AY538" s="8" t="s">
        <v>7602</v>
      </c>
      <c r="AZ538" s="4" t="s">
        <v>7603</v>
      </c>
      <c r="BA538" s="8" t="n">
        <v>2000</v>
      </c>
      <c r="BB538" s="8" t="s">
        <v>7598</v>
      </c>
      <c r="BC538" s="4" t="s">
        <v>7604</v>
      </c>
      <c r="BD538" s="8" t="s">
        <v>7625</v>
      </c>
      <c r="BE538" s="4" t="s">
        <v>7606</v>
      </c>
      <c r="BF538" s="8" t="s">
        <v>7607</v>
      </c>
      <c r="BG538" s="8" t="s">
        <v>7608</v>
      </c>
      <c r="BH538" s="4" t="s">
        <v>7609</v>
      </c>
      <c r="BI538" s="8" t="n">
        <v>17</v>
      </c>
      <c r="BJ538" s="8" t="s">
        <v>7610</v>
      </c>
      <c r="BK538" s="4" t="s">
        <v>7611</v>
      </c>
      <c r="BL538" s="8" t="s">
        <v>7602</v>
      </c>
      <c r="BM538" s="4" t="s">
        <v>7620</v>
      </c>
      <c r="BN538" s="8" t="s">
        <v>7631</v>
      </c>
      <c r="BO538" s="8" t="s">
        <v>7680</v>
      </c>
      <c r="BP538" s="8" t="s">
        <v>7602</v>
      </c>
      <c r="BQ538" s="8" t="str">
        <f aca="false">IF(A538="","",AT538)</f>
        <v>3歳</v>
      </c>
      <c r="BR538" s="8" t="str">
        <f aca="false">IF(A538="","",IF(BA538&lt;=1200,"～1200",IF(BA538&lt;=1500,"1300～1500",IF(BA538=1600,"1600",IF(BA538&lt;=1800,"1700～1800",IF(BA538&lt;=2000,"1900～2000","2100以上"))))))</f>
        <v>1900～2000</v>
      </c>
      <c r="BS538" s="8" t="str">
        <f aca="false">IF(A538="","",IF(AX538="G1","G1",IF(AX538="G2","G2",IF(AX538="G3","G3",IF(AX538="L","L","その他")))))</f>
        <v>その他</v>
      </c>
      <c r="BT538" s="8" t="str">
        <f aca="false">IF(A538="","",IF(BI538="","未結合",IF(D538=BI538,"一致","不一致")))</f>
        <v>一致</v>
      </c>
      <c r="BU538" s="8" t="str">
        <f aca="false">IF(A538="","",IF(BE538="牝馬限定","牝馬限定","その他"))</f>
        <v>その他</v>
      </c>
    </row>
    <row r="539" customFormat="false" ht="15.75" hidden="false" customHeight="false" outlineLevel="0" collapsed="false">
      <c r="A539" s="6" t="n">
        <v>46165</v>
      </c>
      <c r="B539" s="4" t="s">
        <v>4473</v>
      </c>
      <c r="C539" s="8" t="n">
        <v>6</v>
      </c>
      <c r="D539" s="8" t="n">
        <v>14</v>
      </c>
      <c r="E539" s="8" t="n">
        <v>1</v>
      </c>
      <c r="F539" s="4" t="s">
        <v>5038</v>
      </c>
      <c r="G539" s="8" t="n">
        <v>71</v>
      </c>
      <c r="H539" s="8" t="n">
        <v>4</v>
      </c>
      <c r="I539" s="4" t="s">
        <v>2234</v>
      </c>
      <c r="J539" s="8" t="n">
        <v>37</v>
      </c>
      <c r="K539" s="8" t="n">
        <v>5</v>
      </c>
      <c r="L539" s="4" t="s">
        <v>5381</v>
      </c>
      <c r="M539" s="8" t="n">
        <v>34</v>
      </c>
      <c r="N539" s="8" t="n">
        <f aca="false">IF(A539="","",G539-J539)</f>
        <v>34</v>
      </c>
      <c r="O539" s="8" t="n">
        <f aca="false">IF(A539="","",J539-M539)</f>
        <v>3</v>
      </c>
      <c r="P539" s="8" t="n">
        <f aca="false">IF(A539="","",G539+J539)</f>
        <v>108</v>
      </c>
      <c r="Q539" s="8" t="str">
        <f aca="false">IF(A539="","",IF(AND(Y539&lt;&gt;"参考",G539&gt;=ルール設定!$B$2),"○",""))</f>
        <v/>
      </c>
      <c r="R539" s="8" t="str">
        <f aca="false">IF(A539="","",IF(AND(Y539&lt;&gt;"参考",G539&gt;=ルール設定!$B$3,N539&gt;=ルール設定!$B$4),"○",""))</f>
        <v>○</v>
      </c>
      <c r="S539" s="8" t="str">
        <f aca="false">IF(A539="","",IF(AND(Y539&lt;&gt;"参考",G539&gt;=ルール設定!$B$5,J539&gt;=ルール設定!$B$6,O539&gt;=ルール設定!$B$7),"○",""))</f>
        <v/>
      </c>
      <c r="T539" s="8" t="n">
        <v>3</v>
      </c>
      <c r="U539" s="8" t="n">
        <v>4</v>
      </c>
      <c r="V539" s="8" t="str">
        <f aca="false">IF(A539="","",IF(AND(ISNUMBER(T539),ISNUMBER(U539)),IF(AND(T539&lt;=3,U539&lt;=3),"○","×"),""))</f>
        <v>×</v>
      </c>
      <c r="W539" s="8" t="n">
        <v>130</v>
      </c>
      <c r="X539" s="8"/>
      <c r="Y539" s="4" t="s">
        <v>7597</v>
      </c>
      <c r="Z539" s="4" t="s">
        <v>7841</v>
      </c>
      <c r="AA539" s="8" t="str">
        <v/>
      </c>
      <c r="AB539" s="8" t="str">
        <v/>
      </c>
      <c r="AC539" s="8" t="str">
        <v/>
      </c>
      <c r="AD539" s="8" t="str">
        <v/>
      </c>
      <c r="AE539" s="8" t="str">
        <v>○</v>
      </c>
      <c r="AF539" s="8" t="str">
        <v/>
      </c>
      <c r="AG539" s="8" t="str">
        <v/>
      </c>
      <c r="AH539" s="8" t="str">
        <v/>
      </c>
      <c r="AI539" s="8" t="n">
        <v>37</v>
      </c>
      <c r="AJ539" s="8" t="str">
        <v>70～74</v>
      </c>
      <c r="AK539" s="8" t="str">
        <v>30以上</v>
      </c>
      <c r="AL539" s="8" t="str">
        <v>30～39</v>
      </c>
      <c r="AM539" s="8" t="str">
        <v>100～119</v>
      </c>
      <c r="AN539" s="8" t="str">
        <v>12～14</v>
      </c>
      <c r="AO539" s="8" t="str">
        <f aca="false">IF(A539="","",IF(COUNTIFS(全馬データ!$A$2:$A$50000,A539,全馬データ!$B$2:$B$50000,B539,全馬データ!$C$2:$C$50000,C539,全馬データ!$D$2:$D$50000,E539,全馬データ!$K$2:$K$50000,"&lt;&gt;")=0,"",SUMIFS(全馬データ!$K$2:$K$50000,全馬データ!$A$2:$A$50000,A539,全馬データ!$B$2:$B$50000,B539,全馬データ!$C$2:$C$50000,C539,全馬データ!$D$2:$D$50000,E539)))</f>
        <v/>
      </c>
      <c r="AP539" s="8" t="str">
        <f aca="false">IF(A539="","",IF(AO539="","欠損",IF(AO539&lt;=1.1,"1.0～1.1",IF(AO539&lt;1.3,"1.2",IF(AO539&lt;1.5,"1.3～1.4",IF(AO539&lt;2,"1.5～1.9","2.0以上"))))))</f>
        <v>欠損</v>
      </c>
      <c r="AQ539" s="8" t="str">
        <f aca="false">IF(A539="","",IF(ISNUMBER(SEARCH("2歳",Z539)),"2歳戦",IF(ISNUMBER(SEARCH("3歳未勝利",Z539)),"3歳未勝利",IF(ISNUMBER(SEARCH("未勝利",Z539)),"その他未勝利",IF(ISNUMBER(SEARCH("G1",Z539)),"G1",IF(ISNUMBER(SEARCH("G2",Z539)),"G2",IF(ISNUMBER(SEARCH("G3",Z539)),"G3",IF(ISNUMBER(SEARCH("古馬条件",Z539)),"古馬条件戦",IF(ISNUMBER(SEARCH("重賞",Z539)),"重賞","分類不能")))))))))</f>
        <v>分類不能</v>
      </c>
      <c r="AR539" s="8"/>
      <c r="AS539" s="8" t="s">
        <v>7623</v>
      </c>
      <c r="AT539" s="8" t="s">
        <v>7624</v>
      </c>
      <c r="AU539" s="8" t="s">
        <v>7628</v>
      </c>
      <c r="AV539" s="8" t="s">
        <v>7629</v>
      </c>
      <c r="AW539" s="8"/>
      <c r="AX539" s="8"/>
      <c r="AY539" s="8" t="s">
        <v>7610</v>
      </c>
      <c r="AZ539" s="4" t="s">
        <v>7617</v>
      </c>
      <c r="BA539" s="8" t="n">
        <v>1600</v>
      </c>
      <c r="BB539" s="8" t="s">
        <v>7657</v>
      </c>
      <c r="BC539" s="4" t="s">
        <v>7658</v>
      </c>
      <c r="BD539" s="8" t="s">
        <v>7605</v>
      </c>
      <c r="BE539" s="4" t="s">
        <v>7606</v>
      </c>
      <c r="BF539" s="8" t="s">
        <v>7607</v>
      </c>
      <c r="BG539" s="8" t="s">
        <v>7608</v>
      </c>
      <c r="BH539" s="4" t="s">
        <v>7609</v>
      </c>
      <c r="BI539" s="8" t="n">
        <v>14</v>
      </c>
      <c r="BJ539" s="8" t="s">
        <v>7610</v>
      </c>
      <c r="BK539" s="4" t="s">
        <v>7611</v>
      </c>
      <c r="BL539" s="8" t="s">
        <v>7602</v>
      </c>
      <c r="BM539" s="4" t="s">
        <v>7620</v>
      </c>
      <c r="BN539" s="8"/>
      <c r="BO539" s="8"/>
      <c r="BP539" s="8" t="s">
        <v>7602</v>
      </c>
      <c r="BQ539" s="8" t="str">
        <f aca="false">IF(A539="","",AT539)</f>
        <v>3歳</v>
      </c>
      <c r="BR539" s="8" t="str">
        <f aca="false">IF(A539="","",IF(BA539&lt;=1200,"～1200",IF(BA539&lt;=1500,"1300～1500",IF(BA539=1600,"1600",IF(BA539&lt;=1800,"1700～1800",IF(BA539&lt;=2000,"1900～2000","2100以上"))))))</f>
        <v>1600</v>
      </c>
      <c r="BS539" s="8" t="str">
        <f aca="false">IF(A539="","",IF(AX539="G1","G1",IF(AX539="G2","G2",IF(AX539="G3","G3",IF(AX539="L","L","その他")))))</f>
        <v>その他</v>
      </c>
      <c r="BT539" s="8" t="str">
        <f aca="false">IF(A539="","",IF(BI539="","未結合",IF(D539=BI539,"一致","不一致")))</f>
        <v>一致</v>
      </c>
      <c r="BU539" s="8" t="str">
        <f aca="false">IF(A539="","",IF(BE539="牝馬限定","牝馬限定","その他"))</f>
        <v>その他</v>
      </c>
    </row>
    <row r="540" customFormat="false" ht="15.75" hidden="false" customHeight="false" outlineLevel="0" collapsed="false">
      <c r="A540" s="6" t="n">
        <v>46165</v>
      </c>
      <c r="B540" s="4" t="s">
        <v>4473</v>
      </c>
      <c r="C540" s="8" t="n">
        <v>7</v>
      </c>
      <c r="D540" s="8" t="n">
        <v>18</v>
      </c>
      <c r="E540" s="8" t="n">
        <v>17</v>
      </c>
      <c r="F540" s="4" t="s">
        <v>5395</v>
      </c>
      <c r="G540" s="8" t="n">
        <v>52</v>
      </c>
      <c r="H540" s="8" t="n">
        <v>10</v>
      </c>
      <c r="I540" s="4" t="s">
        <v>5392</v>
      </c>
      <c r="J540" s="8" t="n">
        <v>39</v>
      </c>
      <c r="K540" s="8" t="n">
        <v>13</v>
      </c>
      <c r="L540" s="4" t="s">
        <v>2381</v>
      </c>
      <c r="M540" s="8" t="n">
        <v>34</v>
      </c>
      <c r="N540" s="8" t="n">
        <f aca="false">IF(A540="","",G540-J540)</f>
        <v>13</v>
      </c>
      <c r="O540" s="8" t="n">
        <f aca="false">IF(A540="","",J540-M540)</f>
        <v>5</v>
      </c>
      <c r="P540" s="8" t="n">
        <f aca="false">IF(A540="","",G540+J540)</f>
        <v>91</v>
      </c>
      <c r="Q540" s="8" t="str">
        <f aca="false">IF(A540="","",IF(AND(Y540&lt;&gt;"参考",G540&gt;=ルール設定!$B$2),"○",""))</f>
        <v/>
      </c>
      <c r="R540" s="8" t="str">
        <f aca="false">IF(A540="","",IF(AND(Y540&lt;&gt;"参考",G540&gt;=ルール設定!$B$3,N540&gt;=ルール設定!$B$4),"○",""))</f>
        <v/>
      </c>
      <c r="S540" s="8" t="str">
        <f aca="false">IF(A540="","",IF(AND(Y540&lt;&gt;"参考",G540&gt;=ルール設定!$B$5,J540&gt;=ルール設定!$B$6,O540&gt;=ルール設定!$B$7),"○",""))</f>
        <v/>
      </c>
      <c r="T540" s="8" t="n">
        <v>4</v>
      </c>
      <c r="U540" s="8" t="n">
        <v>4</v>
      </c>
      <c r="V540" s="8" t="str">
        <f aca="false">IF(A540="","",IF(AND(ISNUMBER(T540),ISNUMBER(U540)),IF(AND(T540&lt;=3,U540&lt;=3),"○","×"),""))</f>
        <v>×</v>
      </c>
      <c r="W540" s="8"/>
      <c r="X540" s="8"/>
      <c r="Y540" s="4" t="s">
        <v>7597</v>
      </c>
      <c r="Z540" s="4" t="s">
        <v>7841</v>
      </c>
      <c r="AA540" s="8" t="str">
        <v/>
      </c>
      <c r="AB540" s="8" t="str">
        <v/>
      </c>
      <c r="AC540" s="8" t="str">
        <v/>
      </c>
      <c r="AD540" s="8" t="str">
        <v/>
      </c>
      <c r="AE540" s="8" t="str">
        <v/>
      </c>
      <c r="AF540" s="8" t="str">
        <v/>
      </c>
      <c r="AG540" s="8" t="str">
        <v/>
      </c>
      <c r="AH540" s="8" t="str">
        <v/>
      </c>
      <c r="AI540" s="8" t="n">
        <v>18</v>
      </c>
      <c r="AJ540" s="8" t="str">
        <v>～59</v>
      </c>
      <c r="AK540" s="8" t="str">
        <v>10～19</v>
      </c>
      <c r="AL540" s="8" t="str">
        <v>10～19</v>
      </c>
      <c r="AM540" s="8" t="str">
        <v>～99</v>
      </c>
      <c r="AN540" s="8" t="str">
        <v>15以上</v>
      </c>
      <c r="AO540" s="8" t="str">
        <f aca="false">IF(A540="","",IF(COUNTIFS(全馬データ!$A$2:$A$50000,A540,全馬データ!$B$2:$B$50000,B540,全馬データ!$C$2:$C$50000,C540,全馬データ!$D$2:$D$50000,E540,全馬データ!$K$2:$K$50000,"&lt;&gt;")=0,"",SUMIFS(全馬データ!$K$2:$K$50000,全馬データ!$A$2:$A$50000,A540,全馬データ!$B$2:$B$50000,B540,全馬データ!$C$2:$C$50000,C540,全馬データ!$D$2:$D$50000,E540)))</f>
        <v/>
      </c>
      <c r="AP540" s="8" t="str">
        <f aca="false">IF(A540="","",IF(AO540="","欠損",IF(AO540&lt;=1.1,"1.0～1.1",IF(AO540&lt;1.3,"1.2",IF(AO540&lt;1.5,"1.3～1.4",IF(AO540&lt;2,"1.5～1.9","2.0以上"))))))</f>
        <v>欠損</v>
      </c>
      <c r="AQ540" s="8" t="str">
        <f aca="false">IF(A540="","",IF(ISNUMBER(SEARCH("2歳",Z540)),"2歳戦",IF(ISNUMBER(SEARCH("3歳未勝利",Z540)),"3歳未勝利",IF(ISNUMBER(SEARCH("未勝利",Z540)),"その他未勝利",IF(ISNUMBER(SEARCH("G1",Z540)),"G1",IF(ISNUMBER(SEARCH("G2",Z540)),"G2",IF(ISNUMBER(SEARCH("G3",Z540)),"G3",IF(ISNUMBER(SEARCH("古馬条件",Z540)),"古馬条件戦",IF(ISNUMBER(SEARCH("重賞",Z540)),"重賞","分類不能")))))))))</f>
        <v>分類不能</v>
      </c>
      <c r="AR540" s="8"/>
      <c r="AS540" s="8" t="s">
        <v>7842</v>
      </c>
      <c r="AT540" s="8" t="s">
        <v>7843</v>
      </c>
      <c r="AU540" s="8" t="s">
        <v>7628</v>
      </c>
      <c r="AV540" s="8" t="s">
        <v>7629</v>
      </c>
      <c r="AW540" s="8"/>
      <c r="AX540" s="8"/>
      <c r="AY540" s="8" t="s">
        <v>7602</v>
      </c>
      <c r="AZ540" s="4" t="s">
        <v>7603</v>
      </c>
      <c r="BA540" s="8" t="n">
        <v>1600</v>
      </c>
      <c r="BB540" s="8" t="s">
        <v>7598</v>
      </c>
      <c r="BC540" s="4" t="s">
        <v>7604</v>
      </c>
      <c r="BD540" s="8" t="s">
        <v>7605</v>
      </c>
      <c r="BE540" s="4" t="s">
        <v>7606</v>
      </c>
      <c r="BF540" s="8" t="s">
        <v>7607</v>
      </c>
      <c r="BG540" s="8" t="s">
        <v>7631</v>
      </c>
      <c r="BH540" s="4" t="s">
        <v>7632</v>
      </c>
      <c r="BI540" s="8" t="n">
        <v>18</v>
      </c>
      <c r="BJ540" s="8" t="s">
        <v>7610</v>
      </c>
      <c r="BK540" s="4" t="s">
        <v>7611</v>
      </c>
      <c r="BL540" s="8" t="s">
        <v>7602</v>
      </c>
      <c r="BM540" s="4" t="s">
        <v>7620</v>
      </c>
      <c r="BN540" s="8" t="s">
        <v>7631</v>
      </c>
      <c r="BO540" s="8" t="s">
        <v>7680</v>
      </c>
      <c r="BP540" s="8" t="s">
        <v>7602</v>
      </c>
      <c r="BQ540" s="8" t="str">
        <f aca="false">IF(A540="","",AT540)</f>
        <v>4歳以上</v>
      </c>
      <c r="BR540" s="8" t="str">
        <f aca="false">IF(A540="","",IF(BA540&lt;=1200,"～1200",IF(BA540&lt;=1500,"1300～1500",IF(BA540=1600,"1600",IF(BA540&lt;=1800,"1700～1800",IF(BA540&lt;=2000,"1900～2000","2100以上"))))))</f>
        <v>1600</v>
      </c>
      <c r="BS540" s="8" t="str">
        <f aca="false">IF(A540="","",IF(AX540="G1","G1",IF(AX540="G2","G2",IF(AX540="G3","G3",IF(AX540="L","L","その他")))))</f>
        <v>その他</v>
      </c>
      <c r="BT540" s="8" t="str">
        <f aca="false">IF(A540="","",IF(BI540="","未結合",IF(D540=BI540,"一致","不一致")))</f>
        <v>一致</v>
      </c>
      <c r="BU540" s="8" t="str">
        <f aca="false">IF(A540="","",IF(BE540="牝馬限定","牝馬限定","その他"))</f>
        <v>その他</v>
      </c>
    </row>
    <row r="541" customFormat="false" ht="15.75" hidden="false" customHeight="false" outlineLevel="0" collapsed="false">
      <c r="A541" s="6" t="n">
        <v>46165</v>
      </c>
      <c r="B541" s="4" t="s">
        <v>4473</v>
      </c>
      <c r="C541" s="8" t="n">
        <v>8</v>
      </c>
      <c r="D541" s="8" t="n">
        <v>16</v>
      </c>
      <c r="E541" s="8" t="n">
        <v>10</v>
      </c>
      <c r="F541" s="4" t="s">
        <v>5402</v>
      </c>
      <c r="G541" s="8" t="n">
        <v>66</v>
      </c>
      <c r="H541" s="8" t="n">
        <v>16</v>
      </c>
      <c r="I541" s="4" t="s">
        <v>5192</v>
      </c>
      <c r="J541" s="8" t="n">
        <v>50</v>
      </c>
      <c r="K541" s="8" t="n">
        <v>13</v>
      </c>
      <c r="L541" s="4" t="s">
        <v>1554</v>
      </c>
      <c r="M541" s="8" t="n">
        <v>41</v>
      </c>
      <c r="N541" s="8" t="n">
        <f aca="false">IF(A541="","",G541-J541)</f>
        <v>16</v>
      </c>
      <c r="O541" s="8" t="n">
        <f aca="false">IF(A541="","",J541-M541)</f>
        <v>9</v>
      </c>
      <c r="P541" s="8" t="n">
        <f aca="false">IF(A541="","",G541+J541)</f>
        <v>116</v>
      </c>
      <c r="Q541" s="8" t="str">
        <f aca="false">IF(A541="","",IF(AND(Y541&lt;&gt;"参考",G541&gt;=ルール設定!$B$2),"○",""))</f>
        <v/>
      </c>
      <c r="R541" s="8" t="str">
        <f aca="false">IF(A541="","",IF(AND(Y541&lt;&gt;"参考",G541&gt;=ルール設定!$B$3,N541&gt;=ルール設定!$B$4),"○",""))</f>
        <v/>
      </c>
      <c r="S541" s="8" t="str">
        <f aca="false">IF(A541="","",IF(AND(Y541&lt;&gt;"参考",G541&gt;=ルール設定!$B$5,J541&gt;=ルール設定!$B$6,O541&gt;=ルール設定!$B$7),"○",""))</f>
        <v/>
      </c>
      <c r="T541" s="8" t="n">
        <v>4</v>
      </c>
      <c r="U541" s="8" t="n">
        <v>2</v>
      </c>
      <c r="V541" s="8" t="str">
        <f aca="false">IF(A541="","",IF(AND(ISNUMBER(T541),ISNUMBER(U541)),IF(AND(T541&lt;=3,U541&lt;=3),"○","×"),""))</f>
        <v>×</v>
      </c>
      <c r="W541" s="8"/>
      <c r="X541" s="8"/>
      <c r="Y541" s="4" t="s">
        <v>7597</v>
      </c>
      <c r="Z541" s="4" t="s">
        <v>7841</v>
      </c>
      <c r="AA541" s="8" t="str">
        <v/>
      </c>
      <c r="AB541" s="8" t="str">
        <v/>
      </c>
      <c r="AC541" s="8" t="str">
        <v/>
      </c>
      <c r="AD541" s="8" t="str">
        <v/>
      </c>
      <c r="AE541" s="8" t="str">
        <v/>
      </c>
      <c r="AF541" s="8" t="str">
        <v/>
      </c>
      <c r="AG541" s="8" t="str">
        <v/>
      </c>
      <c r="AH541" s="8" t="str">
        <v/>
      </c>
      <c r="AI541" s="8" t="n">
        <v>25</v>
      </c>
      <c r="AJ541" s="8" t="str">
        <v>60～69</v>
      </c>
      <c r="AK541" s="8" t="str">
        <v>10～19</v>
      </c>
      <c r="AL541" s="8" t="str">
        <v>20～29</v>
      </c>
      <c r="AM541" s="8" t="str">
        <v>100～119</v>
      </c>
      <c r="AN541" s="8" t="str">
        <v>15以上</v>
      </c>
      <c r="AO541" s="8" t="str">
        <f aca="false">IF(A541="","",IF(COUNTIFS(全馬データ!$A$2:$A$50000,A541,全馬データ!$B$2:$B$50000,B541,全馬データ!$C$2:$C$50000,C541,全馬データ!$D$2:$D$50000,E541,全馬データ!$K$2:$K$50000,"&lt;&gt;")=0,"",SUMIFS(全馬データ!$K$2:$K$50000,全馬データ!$A$2:$A$50000,A541,全馬データ!$B$2:$B$50000,B541,全馬データ!$C$2:$C$50000,C541,全馬データ!$D$2:$D$50000,E541)))</f>
        <v/>
      </c>
      <c r="AP541" s="8" t="str">
        <f aca="false">IF(A541="","",IF(AO541="","欠損",IF(AO541&lt;=1.1,"1.0～1.1",IF(AO541&lt;1.3,"1.2",IF(AO541&lt;1.5,"1.3～1.4",IF(AO541&lt;2,"1.5～1.9","2.0以上"))))))</f>
        <v>欠損</v>
      </c>
      <c r="AQ541" s="8" t="str">
        <f aca="false">IF(A541="","",IF(ISNUMBER(SEARCH("2歳",Z541)),"2歳戦",IF(ISNUMBER(SEARCH("3歳未勝利",Z541)),"3歳未勝利",IF(ISNUMBER(SEARCH("未勝利",Z541)),"その他未勝利",IF(ISNUMBER(SEARCH("G1",Z541)),"G1",IF(ISNUMBER(SEARCH("G2",Z541)),"G2",IF(ISNUMBER(SEARCH("G3",Z541)),"G3",IF(ISNUMBER(SEARCH("古馬条件",Z541)),"古馬条件戦",IF(ISNUMBER(SEARCH("重賞",Z541)),"重賞","分類不能")))))))))</f>
        <v>分類不能</v>
      </c>
      <c r="AR541" s="8"/>
      <c r="AS541" s="8" t="s">
        <v>7842</v>
      </c>
      <c r="AT541" s="8" t="s">
        <v>7843</v>
      </c>
      <c r="AU541" s="8" t="s">
        <v>7628</v>
      </c>
      <c r="AV541" s="8" t="s">
        <v>7629</v>
      </c>
      <c r="AW541" s="8"/>
      <c r="AX541" s="8"/>
      <c r="AY541" s="8" t="s">
        <v>7610</v>
      </c>
      <c r="AZ541" s="4" t="s">
        <v>7617</v>
      </c>
      <c r="BA541" s="8" t="n">
        <v>1400</v>
      </c>
      <c r="BB541" s="8" t="s">
        <v>7618</v>
      </c>
      <c r="BC541" s="4" t="s">
        <v>7619</v>
      </c>
      <c r="BD541" s="8" t="s">
        <v>7625</v>
      </c>
      <c r="BE541" s="4" t="s">
        <v>7606</v>
      </c>
      <c r="BF541" s="8" t="s">
        <v>7607</v>
      </c>
      <c r="BG541" s="8" t="s">
        <v>7631</v>
      </c>
      <c r="BH541" s="4" t="s">
        <v>7632</v>
      </c>
      <c r="BI541" s="8" t="n">
        <v>16</v>
      </c>
      <c r="BJ541" s="8" t="s">
        <v>7610</v>
      </c>
      <c r="BK541" s="4" t="s">
        <v>7611</v>
      </c>
      <c r="BL541" s="8" t="s">
        <v>7602</v>
      </c>
      <c r="BM541" s="4" t="s">
        <v>7620</v>
      </c>
      <c r="BN541" s="8"/>
      <c r="BO541" s="8"/>
      <c r="BP541" s="8" t="s">
        <v>7602</v>
      </c>
      <c r="BQ541" s="8" t="str">
        <f aca="false">IF(A541="","",AT541)</f>
        <v>4歳以上</v>
      </c>
      <c r="BR541" s="8" t="str">
        <f aca="false">IF(A541="","",IF(BA541&lt;=1200,"～1200",IF(BA541&lt;=1500,"1300～1500",IF(BA541=1600,"1600",IF(BA541&lt;=1800,"1700～1800",IF(BA541&lt;=2000,"1900～2000","2100以上"))))))</f>
        <v>1300～1500</v>
      </c>
      <c r="BS541" s="8" t="str">
        <f aca="false">IF(A541="","",IF(AX541="G1","G1",IF(AX541="G2","G2",IF(AX541="G3","G3",IF(AX541="L","L","その他")))))</f>
        <v>その他</v>
      </c>
      <c r="BT541" s="8" t="str">
        <f aca="false">IF(A541="","",IF(BI541="","未結合",IF(D541=BI541,"一致","不一致")))</f>
        <v>一致</v>
      </c>
      <c r="BU541" s="8" t="str">
        <f aca="false">IF(A541="","",IF(BE541="牝馬限定","牝馬限定","その他"))</f>
        <v>その他</v>
      </c>
    </row>
    <row r="542" customFormat="false" ht="15.75" hidden="false" customHeight="false" outlineLevel="0" collapsed="false">
      <c r="A542" s="6" t="n">
        <v>46165</v>
      </c>
      <c r="B542" s="4" t="s">
        <v>4473</v>
      </c>
      <c r="C542" s="8" t="n">
        <v>9</v>
      </c>
      <c r="D542" s="8" t="n">
        <v>12</v>
      </c>
      <c r="E542" s="8" t="n">
        <v>10</v>
      </c>
      <c r="F542" s="4" t="s">
        <v>5408</v>
      </c>
      <c r="G542" s="8" t="n">
        <v>71</v>
      </c>
      <c r="H542" s="8" t="n">
        <v>4</v>
      </c>
      <c r="I542" s="4" t="s">
        <v>5406</v>
      </c>
      <c r="J542" s="8" t="n">
        <v>44</v>
      </c>
      <c r="K542" s="8" t="n">
        <v>3</v>
      </c>
      <c r="L542" s="4" t="s">
        <v>3865</v>
      </c>
      <c r="M542" s="8" t="n">
        <v>37</v>
      </c>
      <c r="N542" s="8" t="n">
        <f aca="false">IF(A542="","",G542-J542)</f>
        <v>27</v>
      </c>
      <c r="O542" s="8" t="n">
        <f aca="false">IF(A542="","",J542-M542)</f>
        <v>7</v>
      </c>
      <c r="P542" s="8" t="n">
        <f aca="false">IF(A542="","",G542+J542)</f>
        <v>115</v>
      </c>
      <c r="Q542" s="8" t="str">
        <f aca="false">IF(A542="","",IF(AND(Y542&lt;&gt;"参考",G542&gt;=ルール設定!$B$2),"○",""))</f>
        <v/>
      </c>
      <c r="R542" s="8" t="str">
        <f aca="false">IF(A542="","",IF(AND(Y542&lt;&gt;"参考",G542&gt;=ルール設定!$B$3,N542&gt;=ルール設定!$B$4),"○",""))</f>
        <v/>
      </c>
      <c r="S542" s="8" t="str">
        <f aca="false">IF(A542="","",IF(AND(Y542&lt;&gt;"参考",G542&gt;=ルール設定!$B$5,J542&gt;=ルール設定!$B$6,O542&gt;=ルール設定!$B$7),"○",""))</f>
        <v/>
      </c>
      <c r="T542" s="8" t="n">
        <v>1</v>
      </c>
      <c r="U542" s="8" t="n">
        <v>4</v>
      </c>
      <c r="V542" s="8" t="str">
        <f aca="false">IF(A542="","",IF(AND(ISNUMBER(T542),ISNUMBER(U542)),IF(AND(T542&lt;=3,U542&lt;=3),"○","×"),""))</f>
        <v>×</v>
      </c>
      <c r="W542" s="8" t="n">
        <v>110</v>
      </c>
      <c r="X542" s="8"/>
      <c r="Y542" s="4" t="s">
        <v>7597</v>
      </c>
      <c r="Z542" s="4" t="s">
        <v>7841</v>
      </c>
      <c r="AA542" s="8" t="str">
        <v/>
      </c>
      <c r="AB542" s="8" t="str">
        <v/>
      </c>
      <c r="AC542" s="8" t="str">
        <v/>
      </c>
      <c r="AD542" s="8" t="str">
        <v/>
      </c>
      <c r="AE542" s="8" t="str">
        <v/>
      </c>
      <c r="AF542" s="8" t="str">
        <v/>
      </c>
      <c r="AG542" s="8" t="str">
        <v/>
      </c>
      <c r="AH542" s="8" t="str">
        <v/>
      </c>
      <c r="AI542" s="8" t="n">
        <v>34</v>
      </c>
      <c r="AJ542" s="8" t="str">
        <v>70～74</v>
      </c>
      <c r="AK542" s="8" t="str">
        <v>20～29</v>
      </c>
      <c r="AL542" s="8" t="str">
        <v>30～39</v>
      </c>
      <c r="AM542" s="8" t="str">
        <v>100～119</v>
      </c>
      <c r="AN542" s="8" t="str">
        <v>12～14</v>
      </c>
      <c r="AO542" s="8" t="str">
        <f aca="false">IF(A542="","",IF(COUNTIFS(全馬データ!$A$2:$A$50000,A542,全馬データ!$B$2:$B$50000,B542,全馬データ!$C$2:$C$50000,C542,全馬データ!$D$2:$D$50000,E542,全馬データ!$K$2:$K$50000,"&lt;&gt;")=0,"",SUMIFS(全馬データ!$K$2:$K$50000,全馬データ!$A$2:$A$50000,A542,全馬データ!$B$2:$B$50000,B542,全馬データ!$C$2:$C$50000,C542,全馬データ!$D$2:$D$50000,E542)))</f>
        <v/>
      </c>
      <c r="AP542" s="8" t="str">
        <f aca="false">IF(A542="","",IF(AO542="","欠損",IF(AO542&lt;=1.1,"1.0～1.1",IF(AO542&lt;1.3,"1.2",IF(AO542&lt;1.5,"1.3～1.4",IF(AO542&lt;2,"1.5～1.9","2.0以上"))))))</f>
        <v>欠損</v>
      </c>
      <c r="AQ542" s="8" t="str">
        <f aca="false">IF(A542="","",IF(ISNUMBER(SEARCH("2歳",Z542)),"2歳戦",IF(ISNUMBER(SEARCH("3歳未勝利",Z542)),"3歳未勝利",IF(ISNUMBER(SEARCH("未勝利",Z542)),"その他未勝利",IF(ISNUMBER(SEARCH("G1",Z542)),"G1",IF(ISNUMBER(SEARCH("G2",Z542)),"G2",IF(ISNUMBER(SEARCH("G3",Z542)),"G3",IF(ISNUMBER(SEARCH("古馬条件",Z542)),"古馬条件戦",IF(ISNUMBER(SEARCH("重賞",Z542)),"重賞","分類不能")))))))))</f>
        <v>分類不能</v>
      </c>
      <c r="AR542" s="4" t="s">
        <v>7844</v>
      </c>
      <c r="AS542" s="8" t="s">
        <v>7623</v>
      </c>
      <c r="AT542" s="8" t="s">
        <v>7624</v>
      </c>
      <c r="AU542" s="8" t="s">
        <v>7628</v>
      </c>
      <c r="AV542" s="8" t="s">
        <v>7629</v>
      </c>
      <c r="AW542" s="8" t="s">
        <v>7636</v>
      </c>
      <c r="AX542" s="4" t="s">
        <v>7637</v>
      </c>
      <c r="AY542" s="8" t="s">
        <v>7602</v>
      </c>
      <c r="AZ542" s="4" t="s">
        <v>7603</v>
      </c>
      <c r="BA542" s="8" t="n">
        <v>1800</v>
      </c>
      <c r="BB542" s="8" t="s">
        <v>7598</v>
      </c>
      <c r="BC542" s="4" t="s">
        <v>7604</v>
      </c>
      <c r="BD542" s="8" t="s">
        <v>7845</v>
      </c>
      <c r="BE542" s="4" t="s">
        <v>7622</v>
      </c>
      <c r="BF542" s="8" t="s">
        <v>7602</v>
      </c>
      <c r="BG542" s="8" t="s">
        <v>7608</v>
      </c>
      <c r="BH542" s="4" t="s">
        <v>7609</v>
      </c>
      <c r="BI542" s="8" t="n">
        <v>12</v>
      </c>
      <c r="BJ542" s="8" t="s">
        <v>7610</v>
      </c>
      <c r="BK542" s="4" t="s">
        <v>7611</v>
      </c>
      <c r="BL542" s="8" t="s">
        <v>7602</v>
      </c>
      <c r="BM542" s="4" t="s">
        <v>7620</v>
      </c>
      <c r="BN542" s="8" t="s">
        <v>7631</v>
      </c>
      <c r="BO542" s="8" t="s">
        <v>7680</v>
      </c>
      <c r="BP542" s="8" t="s">
        <v>7602</v>
      </c>
      <c r="BQ542" s="8" t="str">
        <f aca="false">IF(A542="","",AT542)</f>
        <v>3歳</v>
      </c>
      <c r="BR542" s="8" t="str">
        <f aca="false">IF(A542="","",IF(BA542&lt;=1200,"～1200",IF(BA542&lt;=1500,"1300～1500",IF(BA542=1600,"1600",IF(BA542&lt;=1800,"1700～1800",IF(BA542&lt;=2000,"1900～2000","2100以上"))))))</f>
        <v>1700～1800</v>
      </c>
      <c r="BS542" s="8" t="str">
        <f aca="false">IF(A542="","",IF(AX542="G1","G1",IF(AX542="G2","G2",IF(AX542="G3","G3",IF(AX542="L","L","その他")))))</f>
        <v>その他</v>
      </c>
      <c r="BT542" s="8" t="str">
        <f aca="false">IF(A542="","",IF(BI542="","未結合",IF(D542=BI542,"一致","不一致")))</f>
        <v>一致</v>
      </c>
      <c r="BU542" s="8" t="str">
        <f aca="false">IF(A542="","",IF(BE542="牝馬限定","牝馬限定","その他"))</f>
        <v>牝馬限定</v>
      </c>
    </row>
    <row r="543" customFormat="false" ht="15.75" hidden="false" customHeight="false" outlineLevel="0" collapsed="false">
      <c r="A543" s="6" t="n">
        <v>46165</v>
      </c>
      <c r="B543" s="4" t="s">
        <v>4473</v>
      </c>
      <c r="C543" s="8" t="n">
        <v>10</v>
      </c>
      <c r="D543" s="8" t="n">
        <v>16</v>
      </c>
      <c r="E543" s="8" t="n">
        <v>1</v>
      </c>
      <c r="F543" s="4" t="s">
        <v>5411</v>
      </c>
      <c r="G543" s="8" t="n">
        <v>60</v>
      </c>
      <c r="H543" s="8" t="n">
        <v>5</v>
      </c>
      <c r="I543" s="4" t="s">
        <v>5414</v>
      </c>
      <c r="J543" s="8" t="n">
        <v>52</v>
      </c>
      <c r="K543" s="8" t="n">
        <v>8</v>
      </c>
      <c r="L543" s="4" t="s">
        <v>5416</v>
      </c>
      <c r="M543" s="8" t="n">
        <v>47</v>
      </c>
      <c r="N543" s="8" t="n">
        <f aca="false">IF(A543="","",G543-J543)</f>
        <v>8</v>
      </c>
      <c r="O543" s="8" t="n">
        <f aca="false">IF(A543="","",J543-M543)</f>
        <v>5</v>
      </c>
      <c r="P543" s="8" t="n">
        <f aca="false">IF(A543="","",G543+J543)</f>
        <v>112</v>
      </c>
      <c r="Q543" s="8" t="str">
        <f aca="false">IF(A543="","",IF(AND(Y543&lt;&gt;"参考",G543&gt;=ルール設定!$B$2),"○",""))</f>
        <v/>
      </c>
      <c r="R543" s="8" t="str">
        <f aca="false">IF(A543="","",IF(AND(Y543&lt;&gt;"参考",G543&gt;=ルール設定!$B$3,N543&gt;=ルール設定!$B$4),"○",""))</f>
        <v/>
      </c>
      <c r="S543" s="8" t="str">
        <f aca="false">IF(A543="","",IF(AND(Y543&lt;&gt;"参考",G543&gt;=ルール設定!$B$5,J543&gt;=ルール設定!$B$6,O543&gt;=ルール設定!$B$7),"○",""))</f>
        <v/>
      </c>
      <c r="T543" s="8" t="n">
        <v>4</v>
      </c>
      <c r="U543" s="8" t="n">
        <v>2</v>
      </c>
      <c r="V543" s="8" t="str">
        <f aca="false">IF(A543="","",IF(AND(ISNUMBER(T543),ISNUMBER(U543)),IF(AND(T543&lt;=3,U543&lt;=3),"○","×"),""))</f>
        <v>×</v>
      </c>
      <c r="W543" s="8"/>
      <c r="X543" s="8"/>
      <c r="Y543" s="4" t="s">
        <v>7597</v>
      </c>
      <c r="Z543" s="4" t="s">
        <v>7841</v>
      </c>
      <c r="AA543" s="8" t="str">
        <v/>
      </c>
      <c r="AB543" s="8" t="str">
        <v/>
      </c>
      <c r="AC543" s="8" t="str">
        <v/>
      </c>
      <c r="AD543" s="8" t="str">
        <v/>
      </c>
      <c r="AE543" s="8" t="str">
        <v/>
      </c>
      <c r="AF543" s="8" t="str">
        <v/>
      </c>
      <c r="AG543" s="8" t="str">
        <v/>
      </c>
      <c r="AH543" s="8" t="str">
        <v/>
      </c>
      <c r="AI543" s="8" t="n">
        <v>13</v>
      </c>
      <c r="AJ543" s="8" t="str">
        <v>60～69</v>
      </c>
      <c r="AK543" s="8" t="str">
        <v>5～9</v>
      </c>
      <c r="AL543" s="8" t="str">
        <v>10～19</v>
      </c>
      <c r="AM543" s="8" t="str">
        <v>100～119</v>
      </c>
      <c r="AN543" s="8" t="str">
        <v>15以上</v>
      </c>
      <c r="AO543" s="8" t="str">
        <f aca="false">IF(A543="","",IF(COUNTIFS(全馬データ!$A$2:$A$50000,A543,全馬データ!$B$2:$B$50000,B543,全馬データ!$C$2:$C$50000,C543,全馬データ!$D$2:$D$50000,E543,全馬データ!$K$2:$K$50000,"&lt;&gt;")=0,"",SUMIFS(全馬データ!$K$2:$K$50000,全馬データ!$A$2:$A$50000,A543,全馬データ!$B$2:$B$50000,B543,全馬データ!$C$2:$C$50000,C543,全馬データ!$D$2:$D$50000,E543)))</f>
        <v/>
      </c>
      <c r="AP543" s="8" t="str">
        <f aca="false">IF(A543="","",IF(AO543="","欠損",IF(AO543&lt;=1.1,"1.0～1.1",IF(AO543&lt;1.3,"1.2",IF(AO543&lt;1.5,"1.3～1.4",IF(AO543&lt;2,"1.5～1.9","2.0以上"))))))</f>
        <v>欠損</v>
      </c>
      <c r="AQ543" s="8" t="str">
        <f aca="false">IF(A543="","",IF(ISNUMBER(SEARCH("2歳",Z543)),"2歳戦",IF(ISNUMBER(SEARCH("3歳未勝利",Z543)),"3歳未勝利",IF(ISNUMBER(SEARCH("未勝利",Z543)),"その他未勝利",IF(ISNUMBER(SEARCH("G1",Z543)),"G1",IF(ISNUMBER(SEARCH("G2",Z543)),"G2",IF(ISNUMBER(SEARCH("G3",Z543)),"G3",IF(ISNUMBER(SEARCH("古馬条件",Z543)),"古馬条件戦",IF(ISNUMBER(SEARCH("重賞",Z543)),"重賞","分類不能")))))))))</f>
        <v>分類不能</v>
      </c>
      <c r="AR543" s="4" t="s">
        <v>7846</v>
      </c>
      <c r="AS543" s="8" t="s">
        <v>7842</v>
      </c>
      <c r="AT543" s="8" t="s">
        <v>7843</v>
      </c>
      <c r="AU543" s="8" t="s">
        <v>7634</v>
      </c>
      <c r="AV543" s="8" t="s">
        <v>7635</v>
      </c>
      <c r="AW543" s="8" t="s">
        <v>7636</v>
      </c>
      <c r="AX543" s="4" t="s">
        <v>7637</v>
      </c>
      <c r="AY543" s="8" t="s">
        <v>7602</v>
      </c>
      <c r="AZ543" s="4" t="s">
        <v>7603</v>
      </c>
      <c r="BA543" s="8" t="n">
        <v>1400</v>
      </c>
      <c r="BB543" s="8" t="s">
        <v>7598</v>
      </c>
      <c r="BC543" s="4" t="s">
        <v>7604</v>
      </c>
      <c r="BD543" s="8" t="s">
        <v>7625</v>
      </c>
      <c r="BE543" s="4" t="s">
        <v>7606</v>
      </c>
      <c r="BF543" s="8" t="s">
        <v>7607</v>
      </c>
      <c r="BG543" s="8" t="s">
        <v>7631</v>
      </c>
      <c r="BH543" s="4" t="s">
        <v>7632</v>
      </c>
      <c r="BI543" s="8" t="n">
        <v>16</v>
      </c>
      <c r="BJ543" s="8" t="s">
        <v>7610</v>
      </c>
      <c r="BK543" s="4" t="s">
        <v>7611</v>
      </c>
      <c r="BL543" s="8" t="s">
        <v>7602</v>
      </c>
      <c r="BM543" s="4" t="s">
        <v>7620</v>
      </c>
      <c r="BN543" s="8" t="s">
        <v>7631</v>
      </c>
      <c r="BO543" s="8" t="s">
        <v>7680</v>
      </c>
      <c r="BP543" s="8" t="s">
        <v>7602</v>
      </c>
      <c r="BQ543" s="8" t="str">
        <f aca="false">IF(A543="","",AT543)</f>
        <v>4歳以上</v>
      </c>
      <c r="BR543" s="8" t="str">
        <f aca="false">IF(A543="","",IF(BA543&lt;=1200,"～1200",IF(BA543&lt;=1500,"1300～1500",IF(BA543=1600,"1600",IF(BA543&lt;=1800,"1700～1800",IF(BA543&lt;=2000,"1900～2000","2100以上"))))))</f>
        <v>1300～1500</v>
      </c>
      <c r="BS543" s="8" t="str">
        <f aca="false">IF(A543="","",IF(AX543="G1","G1",IF(AX543="G2","G2",IF(AX543="G3","G3",IF(AX543="L","L","その他")))))</f>
        <v>その他</v>
      </c>
      <c r="BT543" s="8" t="str">
        <f aca="false">IF(A543="","",IF(BI543="","未結合",IF(D543=BI543,"一致","不一致")))</f>
        <v>一致</v>
      </c>
      <c r="BU543" s="8" t="str">
        <f aca="false">IF(A543="","",IF(BE543="牝馬限定","牝馬限定","その他"))</f>
        <v>その他</v>
      </c>
    </row>
    <row r="544" customFormat="false" ht="15.75" hidden="false" customHeight="false" outlineLevel="0" collapsed="false">
      <c r="A544" s="6" t="n">
        <v>46165</v>
      </c>
      <c r="B544" s="4" t="s">
        <v>4473</v>
      </c>
      <c r="C544" s="8" t="n">
        <v>11</v>
      </c>
      <c r="D544" s="8" t="n">
        <v>16</v>
      </c>
      <c r="E544" s="8" t="n">
        <v>3</v>
      </c>
      <c r="F544" s="4" t="s">
        <v>702</v>
      </c>
      <c r="G544" s="8" t="n">
        <v>66</v>
      </c>
      <c r="H544" s="8" t="n">
        <v>14</v>
      </c>
      <c r="I544" s="4" t="s">
        <v>5430</v>
      </c>
      <c r="J544" s="8" t="n">
        <v>41</v>
      </c>
      <c r="K544" s="8" t="n">
        <v>9</v>
      </c>
      <c r="L544" s="4" t="s">
        <v>5426</v>
      </c>
      <c r="M544" s="8" t="n">
        <v>34</v>
      </c>
      <c r="N544" s="8" t="n">
        <f aca="false">IF(A544="","",G544-J544)</f>
        <v>25</v>
      </c>
      <c r="O544" s="8" t="n">
        <f aca="false">IF(A544="","",J544-M544)</f>
        <v>7</v>
      </c>
      <c r="P544" s="8" t="n">
        <f aca="false">IF(A544="","",G544+J544)</f>
        <v>107</v>
      </c>
      <c r="Q544" s="8" t="str">
        <f aca="false">IF(A544="","",IF(AND(Y544&lt;&gt;"参考",G544&gt;=ルール設定!$B$2),"○",""))</f>
        <v/>
      </c>
      <c r="R544" s="8" t="str">
        <f aca="false">IF(A544="","",IF(AND(Y544&lt;&gt;"参考",G544&gt;=ルール設定!$B$3,N544&gt;=ルール設定!$B$4),"○",""))</f>
        <v/>
      </c>
      <c r="S544" s="8" t="str">
        <f aca="false">IF(A544="","",IF(AND(Y544&lt;&gt;"参考",G544&gt;=ルール設定!$B$5,J544&gt;=ルール設定!$B$6,O544&gt;=ルール設定!$B$7),"○",""))</f>
        <v/>
      </c>
      <c r="T544" s="8" t="n">
        <v>1</v>
      </c>
      <c r="U544" s="8" t="n">
        <v>2</v>
      </c>
      <c r="V544" s="8" t="str">
        <f aca="false">IF(A544="","",IF(AND(ISNUMBER(T544),ISNUMBER(U544)),IF(AND(T544&lt;=3,U544&lt;=3),"○","×"),""))</f>
        <v>○</v>
      </c>
      <c r="W544" s="8" t="n">
        <v>110</v>
      </c>
      <c r="X544" s="8" t="n">
        <v>240</v>
      </c>
      <c r="Y544" s="4" t="s">
        <v>7597</v>
      </c>
      <c r="Z544" s="4" t="s">
        <v>7841</v>
      </c>
      <c r="AA544" s="8" t="str">
        <v/>
      </c>
      <c r="AB544" s="8" t="str">
        <v/>
      </c>
      <c r="AC544" s="8" t="str">
        <v/>
      </c>
      <c r="AD544" s="8" t="str">
        <v/>
      </c>
      <c r="AE544" s="8" t="str">
        <v/>
      </c>
      <c r="AF544" s="8" t="str">
        <v/>
      </c>
      <c r="AG544" s="8" t="str">
        <v/>
      </c>
      <c r="AH544" s="8" t="str">
        <v/>
      </c>
      <c r="AI544" s="8" t="n">
        <v>32</v>
      </c>
      <c r="AJ544" s="8" t="str">
        <v>60～69</v>
      </c>
      <c r="AK544" s="8" t="str">
        <v>20～29</v>
      </c>
      <c r="AL544" s="8" t="str">
        <v>30～39</v>
      </c>
      <c r="AM544" s="8" t="str">
        <v>100～119</v>
      </c>
      <c r="AN544" s="8" t="str">
        <v>15以上</v>
      </c>
      <c r="AO544" s="8" t="str">
        <f aca="false">IF(A544="","",IF(COUNTIFS(全馬データ!$A$2:$A$50000,A544,全馬データ!$B$2:$B$50000,B544,全馬データ!$C$2:$C$50000,C544,全馬データ!$D$2:$D$50000,E544,全馬データ!$K$2:$K$50000,"&lt;&gt;")=0,"",SUMIFS(全馬データ!$K$2:$K$50000,全馬データ!$A$2:$A$50000,A544,全馬データ!$B$2:$B$50000,B544,全馬データ!$C$2:$C$50000,C544,全馬データ!$D$2:$D$50000,E544)))</f>
        <v/>
      </c>
      <c r="AP544" s="8" t="str">
        <f aca="false">IF(A544="","",IF(AO544="","欠損",IF(AO544&lt;=1.1,"1.0～1.1",IF(AO544&lt;1.3,"1.2",IF(AO544&lt;1.5,"1.3～1.4",IF(AO544&lt;2,"1.5～1.9","2.0以上"))))))</f>
        <v>欠損</v>
      </c>
      <c r="AQ544" s="8" t="str">
        <f aca="false">IF(A544="","",IF(ISNUMBER(SEARCH("2歳",Z544)),"2歳戦",IF(ISNUMBER(SEARCH("3歳未勝利",Z544)),"3歳未勝利",IF(ISNUMBER(SEARCH("未勝利",Z544)),"その他未勝利",IF(ISNUMBER(SEARCH("G1",Z544)),"G1",IF(ISNUMBER(SEARCH("G2",Z544)),"G2",IF(ISNUMBER(SEARCH("G3",Z544)),"G3",IF(ISNUMBER(SEARCH("古馬条件",Z544)),"古馬条件戦",IF(ISNUMBER(SEARCH("重賞",Z544)),"重賞","分類不能")))))))))</f>
        <v>分類不能</v>
      </c>
      <c r="AR544" s="4" t="s">
        <v>7847</v>
      </c>
      <c r="AS544" s="8" t="s">
        <v>7842</v>
      </c>
      <c r="AT544" s="8" t="s">
        <v>7843</v>
      </c>
      <c r="AU544" s="8" t="s">
        <v>7643</v>
      </c>
      <c r="AV544" s="4" t="s">
        <v>7644</v>
      </c>
      <c r="AW544" s="8" t="s">
        <v>7636</v>
      </c>
      <c r="AX544" s="4" t="s">
        <v>7637</v>
      </c>
      <c r="AY544" s="8" t="s">
        <v>7610</v>
      </c>
      <c r="AZ544" s="4" t="s">
        <v>7617</v>
      </c>
      <c r="BA544" s="8" t="n">
        <v>1400</v>
      </c>
      <c r="BB544" s="8" t="s">
        <v>7618</v>
      </c>
      <c r="BC544" s="4" t="s">
        <v>7619</v>
      </c>
      <c r="BD544" s="8" t="s">
        <v>7666</v>
      </c>
      <c r="BE544" s="4" t="s">
        <v>7606</v>
      </c>
      <c r="BF544" s="8" t="s">
        <v>7607</v>
      </c>
      <c r="BG544" s="8" t="s">
        <v>7610</v>
      </c>
      <c r="BH544" s="4" t="s">
        <v>7646</v>
      </c>
      <c r="BI544" s="8" t="n">
        <v>16</v>
      </c>
      <c r="BJ544" s="8" t="s">
        <v>7610</v>
      </c>
      <c r="BK544" s="4" t="s">
        <v>7611</v>
      </c>
      <c r="BL544" s="8" t="s">
        <v>7602</v>
      </c>
      <c r="BM544" s="4" t="s">
        <v>7620</v>
      </c>
      <c r="BN544" s="8"/>
      <c r="BO544" s="8"/>
      <c r="BP544" s="8" t="s">
        <v>7602</v>
      </c>
      <c r="BQ544" s="8" t="str">
        <f aca="false">IF(A544="","",AT544)</f>
        <v>4歳以上</v>
      </c>
      <c r="BR544" s="8" t="str">
        <f aca="false">IF(A544="","",IF(BA544&lt;=1200,"～1200",IF(BA544&lt;=1500,"1300～1500",IF(BA544=1600,"1600",IF(BA544&lt;=1800,"1700～1800",IF(BA544&lt;=2000,"1900～2000","2100以上"))))))</f>
        <v>1300～1500</v>
      </c>
      <c r="BS544" s="8" t="str">
        <f aca="false">IF(A544="","",IF(AX544="G1","G1",IF(AX544="G2","G2",IF(AX544="G3","G3",IF(AX544="L","L","その他")))))</f>
        <v>その他</v>
      </c>
      <c r="BT544" s="8" t="str">
        <f aca="false">IF(A544="","",IF(BI544="","未結合",IF(D544=BI544,"一致","不一致")))</f>
        <v>一致</v>
      </c>
      <c r="BU544" s="8" t="str">
        <f aca="false">IF(A544="","",IF(BE544="牝馬限定","牝馬限定","その他"))</f>
        <v>その他</v>
      </c>
    </row>
    <row r="545" customFormat="false" ht="15.75" hidden="false" customHeight="false" outlineLevel="0" collapsed="false">
      <c r="A545" s="6" t="n">
        <v>46165</v>
      </c>
      <c r="B545" s="4" t="s">
        <v>4473</v>
      </c>
      <c r="C545" s="8" t="n">
        <v>12</v>
      </c>
      <c r="D545" s="8" t="n">
        <v>16</v>
      </c>
      <c r="E545" s="8" t="n">
        <v>3</v>
      </c>
      <c r="F545" s="4" t="s">
        <v>569</v>
      </c>
      <c r="G545" s="8" t="n">
        <v>56</v>
      </c>
      <c r="H545" s="8" t="n">
        <v>9</v>
      </c>
      <c r="I545" s="4" t="s">
        <v>4040</v>
      </c>
      <c r="J545" s="8" t="n">
        <v>50</v>
      </c>
      <c r="K545" s="8" t="n">
        <v>4</v>
      </c>
      <c r="L545" s="4" t="s">
        <v>4959</v>
      </c>
      <c r="M545" s="8" t="n">
        <v>47</v>
      </c>
      <c r="N545" s="8" t="n">
        <f aca="false">IF(A545="","",G545-J545)</f>
        <v>6</v>
      </c>
      <c r="O545" s="8" t="n">
        <f aca="false">IF(A545="","",J545-M545)</f>
        <v>3</v>
      </c>
      <c r="P545" s="8" t="n">
        <f aca="false">IF(A545="","",G545+J545)</f>
        <v>106</v>
      </c>
      <c r="Q545" s="8" t="str">
        <f aca="false">IF(A545="","",IF(AND(Y545&lt;&gt;"参考",G545&gt;=ルール設定!$B$2),"○",""))</f>
        <v/>
      </c>
      <c r="R545" s="8" t="str">
        <f aca="false">IF(A545="","",IF(AND(Y545&lt;&gt;"参考",G545&gt;=ルール設定!$B$3,N545&gt;=ルール設定!$B$4),"○",""))</f>
        <v/>
      </c>
      <c r="S545" s="8" t="str">
        <f aca="false">IF(A545="","",IF(AND(Y545&lt;&gt;"参考",G545&gt;=ルール設定!$B$5,J545&gt;=ルール設定!$B$6,O545&gt;=ルール設定!$B$7),"○",""))</f>
        <v/>
      </c>
      <c r="T545" s="8" t="n">
        <v>4</v>
      </c>
      <c r="U545" s="8" t="n">
        <v>4</v>
      </c>
      <c r="V545" s="8" t="str">
        <f aca="false">IF(A545="","",IF(AND(ISNUMBER(T545),ISNUMBER(U545)),IF(AND(T545&lt;=3,U545&lt;=3),"○","×"),""))</f>
        <v>×</v>
      </c>
      <c r="W545" s="8"/>
      <c r="X545" s="8"/>
      <c r="Y545" s="4" t="s">
        <v>7597</v>
      </c>
      <c r="Z545" s="4" t="s">
        <v>7841</v>
      </c>
      <c r="AA545" s="8" t="str">
        <v/>
      </c>
      <c r="AB545" s="8" t="str">
        <v/>
      </c>
      <c r="AC545" s="8" t="str">
        <v/>
      </c>
      <c r="AD545" s="8" t="str">
        <v/>
      </c>
      <c r="AE545" s="8" t="str">
        <v/>
      </c>
      <c r="AF545" s="8" t="str">
        <v/>
      </c>
      <c r="AG545" s="8" t="str">
        <v/>
      </c>
      <c r="AH545" s="8" t="str">
        <v/>
      </c>
      <c r="AI545" s="8" t="n">
        <v>9</v>
      </c>
      <c r="AJ545" s="8" t="str">
        <v>～59</v>
      </c>
      <c r="AK545" s="8" t="str">
        <v>5～9</v>
      </c>
      <c r="AL545" s="8" t="str">
        <v>0～9</v>
      </c>
      <c r="AM545" s="8" t="str">
        <v>100～119</v>
      </c>
      <c r="AN545" s="8" t="str">
        <v>15以上</v>
      </c>
      <c r="AO545" s="8" t="str">
        <f aca="false">IF(A545="","",IF(COUNTIFS(全馬データ!$A$2:$A$50000,A545,全馬データ!$B$2:$B$50000,B545,全馬データ!$C$2:$C$50000,C545,全馬データ!$D$2:$D$50000,E545,全馬データ!$K$2:$K$50000,"&lt;&gt;")=0,"",SUMIFS(全馬データ!$K$2:$K$50000,全馬データ!$A$2:$A$50000,A545,全馬データ!$B$2:$B$50000,B545,全馬データ!$C$2:$C$50000,C545,全馬データ!$D$2:$D$50000,E545)))</f>
        <v/>
      </c>
      <c r="AP545" s="8" t="str">
        <f aca="false">IF(A545="","",IF(AO545="","欠損",IF(AO545&lt;=1.1,"1.0～1.1",IF(AO545&lt;1.3,"1.2",IF(AO545&lt;1.5,"1.3～1.4",IF(AO545&lt;2,"1.5～1.9","2.0以上"))))))</f>
        <v>欠損</v>
      </c>
      <c r="AQ545" s="8" t="str">
        <f aca="false">IF(A545="","",IF(ISNUMBER(SEARCH("2歳",Z545)),"2歳戦",IF(ISNUMBER(SEARCH("3歳未勝利",Z545)),"3歳未勝利",IF(ISNUMBER(SEARCH("未勝利",Z545)),"その他未勝利",IF(ISNUMBER(SEARCH("G1",Z545)),"G1",IF(ISNUMBER(SEARCH("G2",Z545)),"G2",IF(ISNUMBER(SEARCH("G3",Z545)),"G3",IF(ISNUMBER(SEARCH("古馬条件",Z545)),"古馬条件戦",IF(ISNUMBER(SEARCH("重賞",Z545)),"重賞","分類不能")))))))))</f>
        <v>分類不能</v>
      </c>
      <c r="AR545" s="8"/>
      <c r="AS545" s="8" t="s">
        <v>7842</v>
      </c>
      <c r="AT545" s="8" t="s">
        <v>7843</v>
      </c>
      <c r="AU545" s="8" t="s">
        <v>7634</v>
      </c>
      <c r="AV545" s="8" t="s">
        <v>7635</v>
      </c>
      <c r="AW545" s="8"/>
      <c r="AX545" s="8"/>
      <c r="AY545" s="8" t="s">
        <v>7610</v>
      </c>
      <c r="AZ545" s="4" t="s">
        <v>7617</v>
      </c>
      <c r="BA545" s="8" t="n">
        <v>1600</v>
      </c>
      <c r="BB545" s="8" t="s">
        <v>7618</v>
      </c>
      <c r="BC545" s="4" t="s">
        <v>7619</v>
      </c>
      <c r="BD545" s="8" t="s">
        <v>7621</v>
      </c>
      <c r="BE545" s="4" t="s">
        <v>7622</v>
      </c>
      <c r="BF545" s="8" t="s">
        <v>7602</v>
      </c>
      <c r="BG545" s="8" t="s">
        <v>7631</v>
      </c>
      <c r="BH545" s="4" t="s">
        <v>7632</v>
      </c>
      <c r="BI545" s="8" t="n">
        <v>16</v>
      </c>
      <c r="BJ545" s="8" t="s">
        <v>7610</v>
      </c>
      <c r="BK545" s="4" t="s">
        <v>7611</v>
      </c>
      <c r="BL545" s="8" t="s">
        <v>7602</v>
      </c>
      <c r="BM545" s="4" t="s">
        <v>7620</v>
      </c>
      <c r="BN545" s="8"/>
      <c r="BO545" s="8"/>
      <c r="BP545" s="8" t="s">
        <v>7602</v>
      </c>
      <c r="BQ545" s="8" t="str">
        <f aca="false">IF(A545="","",AT545)</f>
        <v>4歳以上</v>
      </c>
      <c r="BR545" s="8" t="str">
        <f aca="false">IF(A545="","",IF(BA545&lt;=1200,"～1200",IF(BA545&lt;=1500,"1300～1500",IF(BA545=1600,"1600",IF(BA545&lt;=1800,"1700～1800",IF(BA545&lt;=2000,"1900～2000","2100以上"))))))</f>
        <v>1600</v>
      </c>
      <c r="BS545" s="8" t="str">
        <f aca="false">IF(A545="","",IF(AX545="G1","G1",IF(AX545="G2","G2",IF(AX545="G3","G3",IF(AX545="L","L","その他")))))</f>
        <v>その他</v>
      </c>
      <c r="BT545" s="8" t="str">
        <f aca="false">IF(A545="","",IF(BI545="","未結合",IF(D545=BI545,"一致","不一致")))</f>
        <v>一致</v>
      </c>
      <c r="BU545" s="8" t="str">
        <f aca="false">IF(A545="","",IF(BE545="牝馬限定","牝馬限定","その他"))</f>
        <v>牝馬限定</v>
      </c>
    </row>
    <row r="546" customFormat="false" ht="15.75" hidden="false" customHeight="false" outlineLevel="0" collapsed="false">
      <c r="A546" s="6" t="n">
        <v>46165</v>
      </c>
      <c r="B546" s="4" t="s">
        <v>5435</v>
      </c>
      <c r="C546" s="8" t="n">
        <v>1</v>
      </c>
      <c r="D546" s="8" t="n">
        <v>16</v>
      </c>
      <c r="E546" s="8" t="n">
        <v>1</v>
      </c>
      <c r="F546" s="4" t="s">
        <v>5436</v>
      </c>
      <c r="G546" s="8" t="n">
        <v>66</v>
      </c>
      <c r="H546" s="8" t="n">
        <v>3</v>
      </c>
      <c r="I546" s="4" t="s">
        <v>5437</v>
      </c>
      <c r="J546" s="8" t="n">
        <v>44</v>
      </c>
      <c r="K546" s="8" t="n">
        <v>9</v>
      </c>
      <c r="L546" s="4" t="s">
        <v>3918</v>
      </c>
      <c r="M546" s="8" t="n">
        <v>41</v>
      </c>
      <c r="N546" s="8" t="n">
        <f aca="false">IF(A546="","",G546-J546)</f>
        <v>22</v>
      </c>
      <c r="O546" s="8" t="n">
        <f aca="false">IF(A546="","",J546-M546)</f>
        <v>3</v>
      </c>
      <c r="P546" s="8" t="n">
        <f aca="false">IF(A546="","",G546+J546)</f>
        <v>110</v>
      </c>
      <c r="Q546" s="8" t="str">
        <f aca="false">IF(A546="","",IF(AND(Y546&lt;&gt;"参考",G546&gt;=ルール設定!$B$2),"○",""))</f>
        <v/>
      </c>
      <c r="R546" s="8" t="str">
        <f aca="false">IF(A546="","",IF(AND(Y546&lt;&gt;"参考",G546&gt;=ルール設定!$B$3,N546&gt;=ルール設定!$B$4),"○",""))</f>
        <v/>
      </c>
      <c r="S546" s="8" t="str">
        <f aca="false">IF(A546="","",IF(AND(Y546&lt;&gt;"参考",G546&gt;=ルール設定!$B$5,J546&gt;=ルール設定!$B$6,O546&gt;=ルール設定!$B$7),"○",""))</f>
        <v/>
      </c>
      <c r="T546" s="8" t="n">
        <v>2</v>
      </c>
      <c r="U546" s="8" t="n">
        <v>1</v>
      </c>
      <c r="V546" s="8" t="str">
        <f aca="false">IF(A546="","",IF(AND(ISNUMBER(T546),ISNUMBER(U546)),IF(AND(T546&lt;=3,U546&lt;=3),"○","×"),""))</f>
        <v>○</v>
      </c>
      <c r="W546" s="8" t="n">
        <v>220</v>
      </c>
      <c r="X546" s="8" t="n">
        <v>520</v>
      </c>
      <c r="Y546" s="4" t="s">
        <v>7597</v>
      </c>
      <c r="Z546" s="4" t="s">
        <v>7841</v>
      </c>
      <c r="AA546" s="8" t="str">
        <v/>
      </c>
      <c r="AB546" s="8" t="str">
        <v/>
      </c>
      <c r="AC546" s="8" t="str">
        <v/>
      </c>
      <c r="AD546" s="8" t="str">
        <v/>
      </c>
      <c r="AE546" s="8" t="str">
        <v/>
      </c>
      <c r="AF546" s="8" t="str">
        <v/>
      </c>
      <c r="AG546" s="8" t="str">
        <v/>
      </c>
      <c r="AH546" s="8" t="str">
        <v/>
      </c>
      <c r="AI546" s="8" t="n">
        <v>25</v>
      </c>
      <c r="AJ546" s="8" t="str">
        <v>60～69</v>
      </c>
      <c r="AK546" s="8" t="str">
        <v>20～29</v>
      </c>
      <c r="AL546" s="8" t="str">
        <v>20～29</v>
      </c>
      <c r="AM546" s="8" t="str">
        <v>100～119</v>
      </c>
      <c r="AN546" s="8" t="str">
        <v>15以上</v>
      </c>
      <c r="AO546" s="8" t="str">
        <f aca="false">IF(A546="","",IF(COUNTIFS(全馬データ!$A$2:$A$50000,A546,全馬データ!$B$2:$B$50000,B546,全馬データ!$C$2:$C$50000,C546,全馬データ!$D$2:$D$50000,E546,全馬データ!$K$2:$K$50000,"&lt;&gt;")=0,"",SUMIFS(全馬データ!$K$2:$K$50000,全馬データ!$A$2:$A$50000,A546,全馬データ!$B$2:$B$50000,B546,全馬データ!$C$2:$C$50000,C546,全馬データ!$D$2:$D$50000,E546)))</f>
        <v/>
      </c>
      <c r="AP546" s="8" t="str">
        <f aca="false">IF(A546="","",IF(AO546="","欠損",IF(AO546&lt;=1.1,"1.0～1.1",IF(AO546&lt;1.3,"1.2",IF(AO546&lt;1.5,"1.3～1.4",IF(AO546&lt;2,"1.5～1.9","2.0以上"))))))</f>
        <v>欠損</v>
      </c>
      <c r="AQ546" s="8" t="str">
        <f aca="false">IF(A546="","",IF(ISNUMBER(SEARCH("2歳",Z546)),"2歳戦",IF(ISNUMBER(SEARCH("3歳未勝利",Z546)),"3歳未勝利",IF(ISNUMBER(SEARCH("未勝利",Z546)),"その他未勝利",IF(ISNUMBER(SEARCH("G1",Z546)),"G1",IF(ISNUMBER(SEARCH("G2",Z546)),"G2",IF(ISNUMBER(SEARCH("G3",Z546)),"G3",IF(ISNUMBER(SEARCH("古馬条件",Z546)),"古馬条件戦",IF(ISNUMBER(SEARCH("重賞",Z546)),"重賞","分類不能")))))))))</f>
        <v>分類不能</v>
      </c>
      <c r="AR546" s="8"/>
      <c r="AS546" s="8" t="s">
        <v>7623</v>
      </c>
      <c r="AT546" s="8" t="s">
        <v>7624</v>
      </c>
      <c r="AU546" s="8" t="s">
        <v>7600</v>
      </c>
      <c r="AV546" s="4" t="s">
        <v>7601</v>
      </c>
      <c r="AW546" s="8"/>
      <c r="AX546" s="8"/>
      <c r="AY546" s="8" t="s">
        <v>7610</v>
      </c>
      <c r="AZ546" s="4" t="s">
        <v>7617</v>
      </c>
      <c r="BA546" s="8" t="n">
        <v>1200</v>
      </c>
      <c r="BB546" s="8" t="s">
        <v>7618</v>
      </c>
      <c r="BC546" s="4" t="s">
        <v>7619</v>
      </c>
      <c r="BD546" s="8" t="s">
        <v>7605</v>
      </c>
      <c r="BE546" s="4" t="s">
        <v>7606</v>
      </c>
      <c r="BF546" s="8" t="s">
        <v>7607</v>
      </c>
      <c r="BG546" s="8" t="s">
        <v>7608</v>
      </c>
      <c r="BH546" s="4" t="s">
        <v>7609</v>
      </c>
      <c r="BI546" s="8" t="n">
        <v>16</v>
      </c>
      <c r="BJ546" s="8" t="s">
        <v>7602</v>
      </c>
      <c r="BK546" s="4" t="s">
        <v>7653</v>
      </c>
      <c r="BL546" s="8" t="s">
        <v>7602</v>
      </c>
      <c r="BM546" s="4" t="s">
        <v>7620</v>
      </c>
      <c r="BN546" s="8"/>
      <c r="BO546" s="8"/>
      <c r="BP546" s="8" t="s">
        <v>7610</v>
      </c>
      <c r="BQ546" s="8" t="str">
        <f aca="false">IF(A546="","",AT546)</f>
        <v>3歳</v>
      </c>
      <c r="BR546" s="8" t="str">
        <f aca="false">IF(A546="","",IF(BA546&lt;=1200,"～1200",IF(BA546&lt;=1500,"1300～1500",IF(BA546=1600,"1600",IF(BA546&lt;=1800,"1700～1800",IF(BA546&lt;=2000,"1900～2000","2100以上"))))))</f>
        <v>～1200</v>
      </c>
      <c r="BS546" s="8" t="str">
        <f aca="false">IF(A546="","",IF(AX546="G1","G1",IF(AX546="G2","G2",IF(AX546="G3","G3",IF(AX546="L","L","その他")))))</f>
        <v>その他</v>
      </c>
      <c r="BT546" s="8" t="str">
        <f aca="false">IF(A546="","",IF(BI546="","未結合",IF(D546=BI546,"一致","不一致")))</f>
        <v>一致</v>
      </c>
      <c r="BU546" s="8" t="str">
        <f aca="false">IF(A546="","",IF(BE546="牝馬限定","牝馬限定","その他"))</f>
        <v>その他</v>
      </c>
    </row>
    <row r="547" customFormat="false" ht="15.75" hidden="false" customHeight="false" outlineLevel="0" collapsed="false">
      <c r="A547" s="6" t="n">
        <v>46165</v>
      </c>
      <c r="B547" s="4" t="s">
        <v>5435</v>
      </c>
      <c r="C547" s="8" t="n">
        <v>2</v>
      </c>
      <c r="D547" s="8" t="n">
        <v>14</v>
      </c>
      <c r="E547" s="8" t="n">
        <v>3</v>
      </c>
      <c r="F547" s="4" t="s">
        <v>3854</v>
      </c>
      <c r="G547" s="8" t="n">
        <v>81</v>
      </c>
      <c r="H547" s="8" t="n">
        <v>11</v>
      </c>
      <c r="I547" s="4" t="s">
        <v>4234</v>
      </c>
      <c r="J547" s="8" t="n">
        <v>65</v>
      </c>
      <c r="K547" s="8" t="n">
        <v>10</v>
      </c>
      <c r="L547" s="4" t="s">
        <v>2495</v>
      </c>
      <c r="M547" s="8" t="n">
        <v>31</v>
      </c>
      <c r="N547" s="8" t="n">
        <f aca="false">IF(A547="","",G547-J547)</f>
        <v>16</v>
      </c>
      <c r="O547" s="8" t="n">
        <f aca="false">IF(A547="","",J547-M547)</f>
        <v>34</v>
      </c>
      <c r="P547" s="8" t="n">
        <f aca="false">IF(A547="","",G547+J547)</f>
        <v>146</v>
      </c>
      <c r="Q547" s="8" t="str">
        <f aca="false">IF(A547="","",IF(AND(Y547&lt;&gt;"参考",G547&gt;=ルール設定!$B$2),"○",""))</f>
        <v>○</v>
      </c>
      <c r="R547" s="8" t="str">
        <f aca="false">IF(A547="","",IF(AND(Y547&lt;&gt;"参考",G547&gt;=ルール設定!$B$3,N547&gt;=ルール設定!$B$4),"○",""))</f>
        <v/>
      </c>
      <c r="S547" s="8" t="str">
        <f aca="false">IF(A547="","",IF(AND(Y547&lt;&gt;"参考",G547&gt;=ルール設定!$B$5,J547&gt;=ルール設定!$B$6,O547&gt;=ルール設定!$B$7),"○",""))</f>
        <v>○</v>
      </c>
      <c r="T547" s="8" t="n">
        <v>3</v>
      </c>
      <c r="U547" s="8" t="n">
        <v>4</v>
      </c>
      <c r="V547" s="8" t="str">
        <f aca="false">IF(A547="","",IF(AND(ISNUMBER(T547),ISNUMBER(U547)),IF(AND(T547&lt;=3,U547&lt;=3),"○","×"),""))</f>
        <v>×</v>
      </c>
      <c r="W547" s="8" t="n">
        <v>130</v>
      </c>
      <c r="X547" s="8"/>
      <c r="Y547" s="4" t="s">
        <v>7597</v>
      </c>
      <c r="Z547" s="4" t="s">
        <v>7841</v>
      </c>
      <c r="AA547" s="8" t="str">
        <v/>
      </c>
      <c r="AB547" s="8" t="str">
        <v>○</v>
      </c>
      <c r="AC547" s="8" t="str">
        <v>○</v>
      </c>
      <c r="AD547" s="8" t="str">
        <v/>
      </c>
      <c r="AE547" s="8" t="str">
        <v/>
      </c>
      <c r="AF547" s="8" t="str">
        <v>○</v>
      </c>
      <c r="AG547" s="8" t="str">
        <v>○</v>
      </c>
      <c r="AH547" s="8" t="str">
        <v/>
      </c>
      <c r="AI547" s="8" t="n">
        <v>50</v>
      </c>
      <c r="AJ547" s="8" t="str">
        <v>80～84</v>
      </c>
      <c r="AK547" s="8" t="str">
        <v>10～19</v>
      </c>
      <c r="AL547" s="8" t="str">
        <v>40以上</v>
      </c>
      <c r="AM547" s="8" t="str">
        <v>140～159</v>
      </c>
      <c r="AN547" s="8" t="str">
        <v>12～14</v>
      </c>
      <c r="AO547" s="8" t="str">
        <f aca="false">IF(A547="","",IF(COUNTIFS(全馬データ!$A$2:$A$50000,A547,全馬データ!$B$2:$B$50000,B547,全馬データ!$C$2:$C$50000,C547,全馬データ!$D$2:$D$50000,E547,全馬データ!$K$2:$K$50000,"&lt;&gt;")=0,"",SUMIFS(全馬データ!$K$2:$K$50000,全馬データ!$A$2:$A$50000,A547,全馬データ!$B$2:$B$50000,B547,全馬データ!$C$2:$C$50000,C547,全馬データ!$D$2:$D$50000,E547)))</f>
        <v/>
      </c>
      <c r="AP547" s="8" t="str">
        <f aca="false">IF(A547="","",IF(AO547="","欠損",IF(AO547&lt;=1.1,"1.0～1.1",IF(AO547&lt;1.3,"1.2",IF(AO547&lt;1.5,"1.3～1.4",IF(AO547&lt;2,"1.5～1.9","2.0以上"))))))</f>
        <v>欠損</v>
      </c>
      <c r="AQ547" s="8" t="str">
        <f aca="false">IF(A547="","",IF(ISNUMBER(SEARCH("2歳",Z547)),"2歳戦",IF(ISNUMBER(SEARCH("3歳未勝利",Z547)),"3歳未勝利",IF(ISNUMBER(SEARCH("未勝利",Z547)),"その他未勝利",IF(ISNUMBER(SEARCH("G1",Z547)),"G1",IF(ISNUMBER(SEARCH("G2",Z547)),"G2",IF(ISNUMBER(SEARCH("G3",Z547)),"G3",IF(ISNUMBER(SEARCH("古馬条件",Z547)),"古馬条件戦",IF(ISNUMBER(SEARCH("重賞",Z547)),"重賞","分類不能")))))))))</f>
        <v>分類不能</v>
      </c>
      <c r="AR547" s="8"/>
      <c r="AS547" s="8" t="s">
        <v>7623</v>
      </c>
      <c r="AT547" s="8" t="s">
        <v>7624</v>
      </c>
      <c r="AU547" s="8" t="s">
        <v>7600</v>
      </c>
      <c r="AV547" s="4" t="s">
        <v>7601</v>
      </c>
      <c r="AW547" s="8"/>
      <c r="AX547" s="8"/>
      <c r="AY547" s="8" t="s">
        <v>7610</v>
      </c>
      <c r="AZ547" s="4" t="s">
        <v>7617</v>
      </c>
      <c r="BA547" s="8" t="n">
        <v>1800</v>
      </c>
      <c r="BB547" s="8" t="s">
        <v>7618</v>
      </c>
      <c r="BC547" s="4" t="s">
        <v>7619</v>
      </c>
      <c r="BD547" s="8" t="s">
        <v>7625</v>
      </c>
      <c r="BE547" s="4" t="s">
        <v>7606</v>
      </c>
      <c r="BF547" s="8" t="s">
        <v>7607</v>
      </c>
      <c r="BG547" s="8" t="s">
        <v>7608</v>
      </c>
      <c r="BH547" s="4" t="s">
        <v>7609</v>
      </c>
      <c r="BI547" s="8" t="n">
        <v>14</v>
      </c>
      <c r="BJ547" s="8" t="s">
        <v>7602</v>
      </c>
      <c r="BK547" s="4" t="s">
        <v>7653</v>
      </c>
      <c r="BL547" s="8" t="s">
        <v>7602</v>
      </c>
      <c r="BM547" s="4" t="s">
        <v>7620</v>
      </c>
      <c r="BN547" s="8"/>
      <c r="BO547" s="8"/>
      <c r="BP547" s="8" t="s">
        <v>7610</v>
      </c>
      <c r="BQ547" s="8" t="str">
        <f aca="false">IF(A547="","",AT547)</f>
        <v>3歳</v>
      </c>
      <c r="BR547" s="8" t="str">
        <f aca="false">IF(A547="","",IF(BA547&lt;=1200,"～1200",IF(BA547&lt;=1500,"1300～1500",IF(BA547=1600,"1600",IF(BA547&lt;=1800,"1700～1800",IF(BA547&lt;=2000,"1900～2000","2100以上"))))))</f>
        <v>1700～1800</v>
      </c>
      <c r="BS547" s="8" t="str">
        <f aca="false">IF(A547="","",IF(AX547="G1","G1",IF(AX547="G2","G2",IF(AX547="G3","G3",IF(AX547="L","L","その他")))))</f>
        <v>その他</v>
      </c>
      <c r="BT547" s="8" t="str">
        <f aca="false">IF(A547="","",IF(BI547="","未結合",IF(D547=BI547,"一致","不一致")))</f>
        <v>一致</v>
      </c>
      <c r="BU547" s="8" t="str">
        <f aca="false">IF(A547="","",IF(BE547="牝馬限定","牝馬限定","その他"))</f>
        <v>その他</v>
      </c>
    </row>
    <row r="548" customFormat="false" ht="15.75" hidden="false" customHeight="false" outlineLevel="0" collapsed="false">
      <c r="A548" s="6" t="n">
        <v>46165</v>
      </c>
      <c r="B548" s="4" t="s">
        <v>5435</v>
      </c>
      <c r="C548" s="8" t="n">
        <v>3</v>
      </c>
      <c r="D548" s="8" t="n">
        <v>16</v>
      </c>
      <c r="E548" s="8" t="n">
        <v>9</v>
      </c>
      <c r="F548" s="4" t="s">
        <v>2945</v>
      </c>
      <c r="G548" s="8" t="n">
        <v>52</v>
      </c>
      <c r="H548" s="8" t="n">
        <v>4</v>
      </c>
      <c r="I548" s="4" t="s">
        <v>5448</v>
      </c>
      <c r="J548" s="8" t="n">
        <v>47</v>
      </c>
      <c r="K548" s="8" t="n">
        <v>13</v>
      </c>
      <c r="L548" s="4" t="s">
        <v>1578</v>
      </c>
      <c r="M548" s="8" t="n">
        <v>47</v>
      </c>
      <c r="N548" s="8" t="n">
        <f aca="false">IF(A548="","",G548-J548)</f>
        <v>5</v>
      </c>
      <c r="O548" s="8" t="n">
        <f aca="false">IF(A548="","",J548-M548)</f>
        <v>0</v>
      </c>
      <c r="P548" s="8" t="n">
        <f aca="false">IF(A548="","",G548+J548)</f>
        <v>99</v>
      </c>
      <c r="Q548" s="8" t="str">
        <f aca="false">IF(A548="","",IF(AND(Y548&lt;&gt;"参考",G548&gt;=ルール設定!$B$2),"○",""))</f>
        <v/>
      </c>
      <c r="R548" s="8" t="str">
        <f aca="false">IF(A548="","",IF(AND(Y548&lt;&gt;"参考",G548&gt;=ルール設定!$B$3,N548&gt;=ルール設定!$B$4),"○",""))</f>
        <v/>
      </c>
      <c r="S548" s="8" t="str">
        <f aca="false">IF(A548="","",IF(AND(Y548&lt;&gt;"参考",G548&gt;=ルール設定!$B$5,J548&gt;=ルール設定!$B$6,O548&gt;=ルール設定!$B$7),"○",""))</f>
        <v/>
      </c>
      <c r="T548" s="8" t="n">
        <v>4</v>
      </c>
      <c r="U548" s="8" t="n">
        <v>1</v>
      </c>
      <c r="V548" s="8" t="str">
        <f aca="false">IF(A548="","",IF(AND(ISNUMBER(T548),ISNUMBER(U548)),IF(AND(T548&lt;=3,U548&lt;=3),"○","×"),""))</f>
        <v>×</v>
      </c>
      <c r="W548" s="8"/>
      <c r="X548" s="8"/>
      <c r="Y548" s="4" t="s">
        <v>7597</v>
      </c>
      <c r="Z548" s="4" t="s">
        <v>7841</v>
      </c>
      <c r="AA548" s="8" t="str">
        <v/>
      </c>
      <c r="AB548" s="8" t="str">
        <v/>
      </c>
      <c r="AC548" s="8" t="str">
        <v/>
      </c>
      <c r="AD548" s="8" t="str">
        <v/>
      </c>
      <c r="AE548" s="8" t="str">
        <v/>
      </c>
      <c r="AF548" s="8" t="str">
        <v/>
      </c>
      <c r="AG548" s="8" t="str">
        <v/>
      </c>
      <c r="AH548" s="8" t="str">
        <v/>
      </c>
      <c r="AI548" s="8" t="n">
        <v>5</v>
      </c>
      <c r="AJ548" s="8" t="str">
        <v>～59</v>
      </c>
      <c r="AK548" s="8" t="str">
        <v>5～9</v>
      </c>
      <c r="AL548" s="8" t="str">
        <v>0～9</v>
      </c>
      <c r="AM548" s="8" t="str">
        <v>～99</v>
      </c>
      <c r="AN548" s="8" t="str">
        <v>15以上</v>
      </c>
      <c r="AO548" s="8" t="str">
        <f aca="false">IF(A548="","",IF(COUNTIFS(全馬データ!$A$2:$A$50000,A548,全馬データ!$B$2:$B$50000,B548,全馬データ!$C$2:$C$50000,C548,全馬データ!$D$2:$D$50000,E548,全馬データ!$K$2:$K$50000,"&lt;&gt;")=0,"",SUMIFS(全馬データ!$K$2:$K$50000,全馬データ!$A$2:$A$50000,A548,全馬データ!$B$2:$B$50000,B548,全馬データ!$C$2:$C$50000,C548,全馬データ!$D$2:$D$50000,E548)))</f>
        <v/>
      </c>
      <c r="AP548" s="8" t="str">
        <f aca="false">IF(A548="","",IF(AO548="","欠損",IF(AO548&lt;=1.1,"1.0～1.1",IF(AO548&lt;1.3,"1.2",IF(AO548&lt;1.5,"1.3～1.4",IF(AO548&lt;2,"1.5～1.9","2.0以上"))))))</f>
        <v>欠損</v>
      </c>
      <c r="AQ548" s="8" t="str">
        <f aca="false">IF(A548="","",IF(ISNUMBER(SEARCH("2歳",Z548)),"2歳戦",IF(ISNUMBER(SEARCH("3歳未勝利",Z548)),"3歳未勝利",IF(ISNUMBER(SEARCH("未勝利",Z548)),"その他未勝利",IF(ISNUMBER(SEARCH("G1",Z548)),"G1",IF(ISNUMBER(SEARCH("G2",Z548)),"G2",IF(ISNUMBER(SEARCH("G3",Z548)),"G3",IF(ISNUMBER(SEARCH("古馬条件",Z548)),"古馬条件戦",IF(ISNUMBER(SEARCH("重賞",Z548)),"重賞","分類不能")))))))))</f>
        <v>分類不能</v>
      </c>
      <c r="AR548" s="8"/>
      <c r="AS548" s="8" t="s">
        <v>7623</v>
      </c>
      <c r="AT548" s="8" t="s">
        <v>7624</v>
      </c>
      <c r="AU548" s="8" t="s">
        <v>7600</v>
      </c>
      <c r="AV548" s="4" t="s">
        <v>7601</v>
      </c>
      <c r="AW548" s="8"/>
      <c r="AX548" s="8"/>
      <c r="AY548" s="8" t="s">
        <v>7602</v>
      </c>
      <c r="AZ548" s="4" t="s">
        <v>7603</v>
      </c>
      <c r="BA548" s="8" t="n">
        <v>1200</v>
      </c>
      <c r="BB548" s="8" t="s">
        <v>7598</v>
      </c>
      <c r="BC548" s="4" t="s">
        <v>7604</v>
      </c>
      <c r="BD548" s="8" t="s">
        <v>7625</v>
      </c>
      <c r="BE548" s="4" t="s">
        <v>7606</v>
      </c>
      <c r="BF548" s="8" t="s">
        <v>7607</v>
      </c>
      <c r="BG548" s="8" t="s">
        <v>7608</v>
      </c>
      <c r="BH548" s="4" t="s">
        <v>7609</v>
      </c>
      <c r="BI548" s="8" t="n">
        <v>16</v>
      </c>
      <c r="BJ548" s="8" t="s">
        <v>7602</v>
      </c>
      <c r="BK548" s="4" t="s">
        <v>7653</v>
      </c>
      <c r="BL548" s="8" t="s">
        <v>7602</v>
      </c>
      <c r="BM548" s="4" t="s">
        <v>7620</v>
      </c>
      <c r="BN548" s="8" t="s">
        <v>7676</v>
      </c>
      <c r="BO548" s="8" t="s">
        <v>7778</v>
      </c>
      <c r="BP548" s="8" t="s">
        <v>7610</v>
      </c>
      <c r="BQ548" s="8" t="str">
        <f aca="false">IF(A548="","",AT548)</f>
        <v>3歳</v>
      </c>
      <c r="BR548" s="8" t="str">
        <f aca="false">IF(A548="","",IF(BA548&lt;=1200,"～1200",IF(BA548&lt;=1500,"1300～1500",IF(BA548=1600,"1600",IF(BA548&lt;=1800,"1700～1800",IF(BA548&lt;=2000,"1900～2000","2100以上"))))))</f>
        <v>～1200</v>
      </c>
      <c r="BS548" s="8" t="str">
        <f aca="false">IF(A548="","",IF(AX548="G1","G1",IF(AX548="G2","G2",IF(AX548="G3","G3",IF(AX548="L","L","その他")))))</f>
        <v>その他</v>
      </c>
      <c r="BT548" s="8" t="str">
        <f aca="false">IF(A548="","",IF(BI548="","未結合",IF(D548=BI548,"一致","不一致")))</f>
        <v>一致</v>
      </c>
      <c r="BU548" s="8" t="str">
        <f aca="false">IF(A548="","",IF(BE548="牝馬限定","牝馬限定","その他"))</f>
        <v>その他</v>
      </c>
    </row>
    <row r="549" customFormat="false" ht="15.75" hidden="false" customHeight="false" outlineLevel="0" collapsed="false">
      <c r="A549" s="6" t="n">
        <v>46165</v>
      </c>
      <c r="B549" s="4" t="s">
        <v>5435</v>
      </c>
      <c r="C549" s="8" t="n">
        <v>4</v>
      </c>
      <c r="D549" s="8" t="n">
        <v>17</v>
      </c>
      <c r="E549" s="8" t="n">
        <v>16</v>
      </c>
      <c r="F549" s="4" t="s">
        <v>5455</v>
      </c>
      <c r="G549" s="8" t="n">
        <v>41</v>
      </c>
      <c r="H549" s="8" t="n">
        <v>11</v>
      </c>
      <c r="I549" s="4" t="s">
        <v>381</v>
      </c>
      <c r="J549" s="8" t="n">
        <v>37</v>
      </c>
      <c r="K549" s="8" t="n">
        <v>15</v>
      </c>
      <c r="L549" s="4" t="s">
        <v>275</v>
      </c>
      <c r="M549" s="8" t="n">
        <v>34</v>
      </c>
      <c r="N549" s="8" t="n">
        <f aca="false">IF(A549="","",G549-J549)</f>
        <v>4</v>
      </c>
      <c r="O549" s="8" t="n">
        <f aca="false">IF(A549="","",J549-M549)</f>
        <v>3</v>
      </c>
      <c r="P549" s="8" t="n">
        <f aca="false">IF(A549="","",G549+J549)</f>
        <v>78</v>
      </c>
      <c r="Q549" s="8" t="str">
        <f aca="false">IF(A549="","",IF(AND(Y549&lt;&gt;"参考",G549&gt;=ルール設定!$B$2),"○",""))</f>
        <v/>
      </c>
      <c r="R549" s="8" t="str">
        <f aca="false">IF(A549="","",IF(AND(Y549&lt;&gt;"参考",G549&gt;=ルール設定!$B$3,N549&gt;=ルール設定!$B$4),"○",""))</f>
        <v/>
      </c>
      <c r="S549" s="8" t="str">
        <f aca="false">IF(A549="","",IF(AND(Y549&lt;&gt;"参考",G549&gt;=ルール設定!$B$5,J549&gt;=ルール設定!$B$6,O549&gt;=ルール設定!$B$7),"○",""))</f>
        <v/>
      </c>
      <c r="T549" s="8" t="n">
        <v>4</v>
      </c>
      <c r="U549" s="8" t="n">
        <v>4</v>
      </c>
      <c r="V549" s="8" t="str">
        <f aca="false">IF(A549="","",IF(AND(ISNUMBER(T549),ISNUMBER(U549)),IF(AND(T549&lt;=3,U549&lt;=3),"○","×"),""))</f>
        <v>×</v>
      </c>
      <c r="W549" s="8"/>
      <c r="X549" s="8"/>
      <c r="Y549" s="4" t="s">
        <v>7597</v>
      </c>
      <c r="Z549" s="4" t="s">
        <v>7841</v>
      </c>
      <c r="AA549" s="8" t="str">
        <v/>
      </c>
      <c r="AB549" s="8" t="str">
        <v/>
      </c>
      <c r="AC549" s="8" t="str">
        <v/>
      </c>
      <c r="AD549" s="8" t="str">
        <v/>
      </c>
      <c r="AE549" s="8" t="str">
        <v/>
      </c>
      <c r="AF549" s="8" t="str">
        <v/>
      </c>
      <c r="AG549" s="8" t="str">
        <v/>
      </c>
      <c r="AH549" s="8" t="str">
        <v/>
      </c>
      <c r="AI549" s="8" t="n">
        <v>7</v>
      </c>
      <c r="AJ549" s="8" t="str">
        <v>～59</v>
      </c>
      <c r="AK549" s="8" t="str">
        <v>0～4</v>
      </c>
      <c r="AL549" s="8" t="str">
        <v>0～9</v>
      </c>
      <c r="AM549" s="8" t="str">
        <v>～99</v>
      </c>
      <c r="AN549" s="8" t="str">
        <v>15以上</v>
      </c>
      <c r="AO549" s="8" t="str">
        <f aca="false">IF(A549="","",IF(COUNTIFS(全馬データ!$A$2:$A$50000,A549,全馬データ!$B$2:$B$50000,B549,全馬データ!$C$2:$C$50000,C549,全馬データ!$D$2:$D$50000,E549,全馬データ!$K$2:$K$50000,"&lt;&gt;")=0,"",SUMIFS(全馬データ!$K$2:$K$50000,全馬データ!$A$2:$A$50000,A549,全馬データ!$B$2:$B$50000,B549,全馬データ!$C$2:$C$50000,C549,全馬データ!$D$2:$D$50000,E549)))</f>
        <v/>
      </c>
      <c r="AP549" s="8" t="str">
        <f aca="false">IF(A549="","",IF(AO549="","欠損",IF(AO549&lt;=1.1,"1.0～1.1",IF(AO549&lt;1.3,"1.2",IF(AO549&lt;1.5,"1.3～1.4",IF(AO549&lt;2,"1.5～1.9","2.0以上"))))))</f>
        <v>欠損</v>
      </c>
      <c r="AQ549" s="8" t="str">
        <f aca="false">IF(A549="","",IF(ISNUMBER(SEARCH("2歳",Z549)),"2歳戦",IF(ISNUMBER(SEARCH("3歳未勝利",Z549)),"3歳未勝利",IF(ISNUMBER(SEARCH("未勝利",Z549)),"その他未勝利",IF(ISNUMBER(SEARCH("G1",Z549)),"G1",IF(ISNUMBER(SEARCH("G2",Z549)),"G2",IF(ISNUMBER(SEARCH("G3",Z549)),"G3",IF(ISNUMBER(SEARCH("古馬条件",Z549)),"古馬条件戦",IF(ISNUMBER(SEARCH("重賞",Z549)),"重賞","分類不能")))))))))</f>
        <v>分類不能</v>
      </c>
      <c r="AR549" s="8"/>
      <c r="AS549" s="8" t="s">
        <v>7623</v>
      </c>
      <c r="AT549" s="8" t="s">
        <v>7624</v>
      </c>
      <c r="AU549" s="8" t="s">
        <v>7600</v>
      </c>
      <c r="AV549" s="4" t="s">
        <v>7601</v>
      </c>
      <c r="AW549" s="8"/>
      <c r="AX549" s="8"/>
      <c r="AY549" s="8" t="s">
        <v>7602</v>
      </c>
      <c r="AZ549" s="4" t="s">
        <v>7603</v>
      </c>
      <c r="BA549" s="8" t="n">
        <v>1800</v>
      </c>
      <c r="BB549" s="8" t="s">
        <v>7598</v>
      </c>
      <c r="BC549" s="4" t="s">
        <v>7604</v>
      </c>
      <c r="BD549" s="8" t="s">
        <v>7621</v>
      </c>
      <c r="BE549" s="4" t="s">
        <v>7622</v>
      </c>
      <c r="BF549" s="8" t="s">
        <v>7602</v>
      </c>
      <c r="BG549" s="8" t="s">
        <v>7608</v>
      </c>
      <c r="BH549" s="4" t="s">
        <v>7609</v>
      </c>
      <c r="BI549" s="8" t="n">
        <v>17</v>
      </c>
      <c r="BJ549" s="8" t="s">
        <v>7602</v>
      </c>
      <c r="BK549" s="4" t="s">
        <v>7653</v>
      </c>
      <c r="BL549" s="8" t="s">
        <v>7610</v>
      </c>
      <c r="BM549" s="4" t="s">
        <v>7612</v>
      </c>
      <c r="BN549" s="8" t="s">
        <v>7676</v>
      </c>
      <c r="BO549" s="8" t="s">
        <v>7778</v>
      </c>
      <c r="BP549" s="8" t="s">
        <v>7610</v>
      </c>
      <c r="BQ549" s="8" t="str">
        <f aca="false">IF(A549="","",AT549)</f>
        <v>3歳</v>
      </c>
      <c r="BR549" s="8" t="str">
        <f aca="false">IF(A549="","",IF(BA549&lt;=1200,"～1200",IF(BA549&lt;=1500,"1300～1500",IF(BA549=1600,"1600",IF(BA549&lt;=1800,"1700～1800",IF(BA549&lt;=2000,"1900～2000","2100以上"))))))</f>
        <v>1700～1800</v>
      </c>
      <c r="BS549" s="8" t="str">
        <f aca="false">IF(A549="","",IF(AX549="G1","G1",IF(AX549="G2","G2",IF(AX549="G3","G3",IF(AX549="L","L","その他")))))</f>
        <v>その他</v>
      </c>
      <c r="BT549" s="8" t="str">
        <f aca="false">IF(A549="","",IF(BI549="","未結合",IF(D549=BI549,"一致","不一致")))</f>
        <v>一致</v>
      </c>
      <c r="BU549" s="8" t="str">
        <f aca="false">IF(A549="","",IF(BE549="牝馬限定","牝馬限定","その他"))</f>
        <v>牝馬限定</v>
      </c>
    </row>
    <row r="550" customFormat="false" ht="15.75" hidden="false" customHeight="false" outlineLevel="0" collapsed="false">
      <c r="A550" s="6" t="n">
        <v>46165</v>
      </c>
      <c r="B550" s="4" t="s">
        <v>5435</v>
      </c>
      <c r="C550" s="8" t="n">
        <v>5</v>
      </c>
      <c r="D550" s="8" t="n">
        <v>14</v>
      </c>
      <c r="E550" s="8" t="n">
        <v>1</v>
      </c>
      <c r="F550" s="4" t="s">
        <v>5012</v>
      </c>
      <c r="G550" s="8" t="n">
        <v>50</v>
      </c>
      <c r="H550" s="8" t="n">
        <v>4</v>
      </c>
      <c r="I550" s="4" t="s">
        <v>653</v>
      </c>
      <c r="J550" s="8" t="n">
        <v>44</v>
      </c>
      <c r="K550" s="8" t="n">
        <v>11</v>
      </c>
      <c r="L550" s="4" t="s">
        <v>5458</v>
      </c>
      <c r="M550" s="8" t="n">
        <v>41</v>
      </c>
      <c r="N550" s="8" t="n">
        <f aca="false">IF(A550="","",G550-J550)</f>
        <v>6</v>
      </c>
      <c r="O550" s="8" t="n">
        <f aca="false">IF(A550="","",J550-M550)</f>
        <v>3</v>
      </c>
      <c r="P550" s="8" t="n">
        <f aca="false">IF(A550="","",G550+J550)</f>
        <v>94</v>
      </c>
      <c r="Q550" s="8" t="str">
        <f aca="false">IF(A550="","",IF(AND(Y550&lt;&gt;"参考",G550&gt;=ルール設定!$B$2),"○",""))</f>
        <v/>
      </c>
      <c r="R550" s="8" t="str">
        <f aca="false">IF(A550="","",IF(AND(Y550&lt;&gt;"参考",G550&gt;=ルール設定!$B$3,N550&gt;=ルール設定!$B$4),"○",""))</f>
        <v/>
      </c>
      <c r="S550" s="8" t="str">
        <f aca="false">IF(A550="","",IF(AND(Y550&lt;&gt;"参考",G550&gt;=ルール設定!$B$5,J550&gt;=ルール設定!$B$6,O550&gt;=ルール設定!$B$7),"○",""))</f>
        <v/>
      </c>
      <c r="T550" s="8" t="n">
        <v>4</v>
      </c>
      <c r="U550" s="8" t="n">
        <v>4</v>
      </c>
      <c r="V550" s="8" t="str">
        <f aca="false">IF(A550="","",IF(AND(ISNUMBER(T550),ISNUMBER(U550)),IF(AND(T550&lt;=3,U550&lt;=3),"○","×"),""))</f>
        <v>×</v>
      </c>
      <c r="W550" s="8"/>
      <c r="X550" s="8"/>
      <c r="Y550" s="4" t="s">
        <v>7597</v>
      </c>
      <c r="Z550" s="4" t="s">
        <v>7841</v>
      </c>
      <c r="AA550" s="8" t="str">
        <v/>
      </c>
      <c r="AB550" s="8" t="str">
        <v/>
      </c>
      <c r="AC550" s="8" t="str">
        <v/>
      </c>
      <c r="AD550" s="8" t="str">
        <v/>
      </c>
      <c r="AE550" s="8" t="str">
        <v/>
      </c>
      <c r="AF550" s="8" t="str">
        <v/>
      </c>
      <c r="AG550" s="8" t="str">
        <v/>
      </c>
      <c r="AH550" s="8" t="str">
        <v/>
      </c>
      <c r="AI550" s="8" t="n">
        <v>9</v>
      </c>
      <c r="AJ550" s="8" t="str">
        <v>～59</v>
      </c>
      <c r="AK550" s="8" t="str">
        <v>5～9</v>
      </c>
      <c r="AL550" s="8" t="str">
        <v>0～9</v>
      </c>
      <c r="AM550" s="8" t="str">
        <v>～99</v>
      </c>
      <c r="AN550" s="8" t="str">
        <v>12～14</v>
      </c>
      <c r="AO550" s="8" t="str">
        <f aca="false">IF(A550="","",IF(COUNTIFS(全馬データ!$A$2:$A$50000,A550,全馬データ!$B$2:$B$50000,B550,全馬データ!$C$2:$C$50000,C550,全馬データ!$D$2:$D$50000,E550,全馬データ!$K$2:$K$50000,"&lt;&gt;")=0,"",SUMIFS(全馬データ!$K$2:$K$50000,全馬データ!$A$2:$A$50000,A550,全馬データ!$B$2:$B$50000,B550,全馬データ!$C$2:$C$50000,C550,全馬データ!$D$2:$D$50000,E550)))</f>
        <v/>
      </c>
      <c r="AP550" s="8" t="str">
        <f aca="false">IF(A550="","",IF(AO550="","欠損",IF(AO550&lt;=1.1,"1.0～1.1",IF(AO550&lt;1.3,"1.2",IF(AO550&lt;1.5,"1.3～1.4",IF(AO550&lt;2,"1.5～1.9","2.0以上"))))))</f>
        <v>欠損</v>
      </c>
      <c r="AQ550" s="8" t="str">
        <f aca="false">IF(A550="","",IF(ISNUMBER(SEARCH("2歳",Z550)),"2歳戦",IF(ISNUMBER(SEARCH("3歳未勝利",Z550)),"3歳未勝利",IF(ISNUMBER(SEARCH("未勝利",Z550)),"その他未勝利",IF(ISNUMBER(SEARCH("G1",Z550)),"G1",IF(ISNUMBER(SEARCH("G2",Z550)),"G2",IF(ISNUMBER(SEARCH("G3",Z550)),"G3",IF(ISNUMBER(SEARCH("古馬条件",Z550)),"古馬条件戦",IF(ISNUMBER(SEARCH("重賞",Z550)),"重賞","分類不能")))))))))</f>
        <v>分類不能</v>
      </c>
      <c r="AR550" s="8"/>
      <c r="AS550" s="8" t="s">
        <v>7623</v>
      </c>
      <c r="AT550" s="8" t="s">
        <v>7624</v>
      </c>
      <c r="AU550" s="8" t="s">
        <v>7600</v>
      </c>
      <c r="AV550" s="4" t="s">
        <v>7601</v>
      </c>
      <c r="AW550" s="8"/>
      <c r="AX550" s="8"/>
      <c r="AY550" s="8" t="s">
        <v>7602</v>
      </c>
      <c r="AZ550" s="4" t="s">
        <v>7603</v>
      </c>
      <c r="BA550" s="8" t="n">
        <v>2200</v>
      </c>
      <c r="BB550" s="8" t="s">
        <v>7598</v>
      </c>
      <c r="BC550" s="4" t="s">
        <v>7604</v>
      </c>
      <c r="BD550" s="8" t="s">
        <v>7625</v>
      </c>
      <c r="BE550" s="4" t="s">
        <v>7606</v>
      </c>
      <c r="BF550" s="8" t="s">
        <v>7607</v>
      </c>
      <c r="BG550" s="8" t="s">
        <v>7608</v>
      </c>
      <c r="BH550" s="4" t="s">
        <v>7609</v>
      </c>
      <c r="BI550" s="8" t="n">
        <v>14</v>
      </c>
      <c r="BJ550" s="8" t="s">
        <v>7602</v>
      </c>
      <c r="BK550" s="4" t="s">
        <v>7653</v>
      </c>
      <c r="BL550" s="8" t="s">
        <v>7610</v>
      </c>
      <c r="BM550" s="4" t="s">
        <v>7612</v>
      </c>
      <c r="BN550" s="8" t="s">
        <v>7676</v>
      </c>
      <c r="BO550" s="8" t="s">
        <v>7778</v>
      </c>
      <c r="BP550" s="8" t="s">
        <v>7610</v>
      </c>
      <c r="BQ550" s="8" t="str">
        <f aca="false">IF(A550="","",AT550)</f>
        <v>3歳</v>
      </c>
      <c r="BR550" s="8" t="str">
        <f aca="false">IF(A550="","",IF(BA550&lt;=1200,"～1200",IF(BA550&lt;=1500,"1300～1500",IF(BA550=1600,"1600",IF(BA550&lt;=1800,"1700～1800",IF(BA550&lt;=2000,"1900～2000","2100以上"))))))</f>
        <v>2100以上</v>
      </c>
      <c r="BS550" s="8" t="str">
        <f aca="false">IF(A550="","",IF(AX550="G1","G1",IF(AX550="G2","G2",IF(AX550="G3","G3",IF(AX550="L","L","その他")))))</f>
        <v>その他</v>
      </c>
      <c r="BT550" s="8" t="str">
        <f aca="false">IF(A550="","",IF(BI550="","未結合",IF(D550=BI550,"一致","不一致")))</f>
        <v>一致</v>
      </c>
      <c r="BU550" s="8" t="str">
        <f aca="false">IF(A550="","",IF(BE550="牝馬限定","牝馬限定","その他"))</f>
        <v>その他</v>
      </c>
    </row>
    <row r="551" customFormat="false" ht="15.75" hidden="false" customHeight="false" outlineLevel="0" collapsed="false">
      <c r="A551" s="6" t="n">
        <v>46165</v>
      </c>
      <c r="B551" s="4" t="s">
        <v>5435</v>
      </c>
      <c r="C551" s="8" t="n">
        <v>6</v>
      </c>
      <c r="D551" s="8" t="n">
        <v>16</v>
      </c>
      <c r="E551" s="8" t="n">
        <v>15</v>
      </c>
      <c r="F551" s="4" t="s">
        <v>5466</v>
      </c>
      <c r="G551" s="8" t="n">
        <v>44</v>
      </c>
      <c r="H551" s="8" t="n">
        <v>12</v>
      </c>
      <c r="I551" s="4" t="s">
        <v>749</v>
      </c>
      <c r="J551" s="8" t="n">
        <v>39</v>
      </c>
      <c r="K551" s="8" t="n">
        <v>1</v>
      </c>
      <c r="L551" s="4" t="s">
        <v>5460</v>
      </c>
      <c r="M551" s="8" t="n">
        <v>31</v>
      </c>
      <c r="N551" s="8" t="n">
        <f aca="false">IF(A551="","",G551-J551)</f>
        <v>5</v>
      </c>
      <c r="O551" s="8" t="n">
        <f aca="false">IF(A551="","",J551-M551)</f>
        <v>8</v>
      </c>
      <c r="P551" s="8" t="n">
        <f aca="false">IF(A551="","",G551+J551)</f>
        <v>83</v>
      </c>
      <c r="Q551" s="8" t="str">
        <f aca="false">IF(A551="","",IF(AND(Y551&lt;&gt;"参考",G551&gt;=ルール設定!$B$2),"○",""))</f>
        <v/>
      </c>
      <c r="R551" s="8" t="str">
        <f aca="false">IF(A551="","",IF(AND(Y551&lt;&gt;"参考",G551&gt;=ルール設定!$B$3,N551&gt;=ルール設定!$B$4),"○",""))</f>
        <v/>
      </c>
      <c r="S551" s="8" t="str">
        <f aca="false">IF(A551="","",IF(AND(Y551&lt;&gt;"参考",G551&gt;=ルール設定!$B$5,J551&gt;=ルール設定!$B$6,O551&gt;=ルール設定!$B$7),"○",""))</f>
        <v/>
      </c>
      <c r="T551" s="8" t="n">
        <v>3</v>
      </c>
      <c r="U551" s="8" t="n">
        <v>4</v>
      </c>
      <c r="V551" s="8" t="str">
        <f aca="false">IF(A551="","",IF(AND(ISNUMBER(T551),ISNUMBER(U551)),IF(AND(T551&lt;=3,U551&lt;=3),"○","×"),""))</f>
        <v>×</v>
      </c>
      <c r="W551" s="8" t="n">
        <v>180</v>
      </c>
      <c r="X551" s="8"/>
      <c r="Y551" s="4" t="s">
        <v>7597</v>
      </c>
      <c r="Z551" s="4" t="s">
        <v>7841</v>
      </c>
      <c r="AA551" s="8" t="str">
        <v/>
      </c>
      <c r="AB551" s="8" t="str">
        <v/>
      </c>
      <c r="AC551" s="8" t="str">
        <v/>
      </c>
      <c r="AD551" s="8" t="str">
        <v/>
      </c>
      <c r="AE551" s="8" t="str">
        <v/>
      </c>
      <c r="AF551" s="8" t="str">
        <v/>
      </c>
      <c r="AG551" s="8" t="str">
        <v/>
      </c>
      <c r="AH551" s="8" t="str">
        <v/>
      </c>
      <c r="AI551" s="8" t="n">
        <v>13</v>
      </c>
      <c r="AJ551" s="8" t="str">
        <v>～59</v>
      </c>
      <c r="AK551" s="8" t="str">
        <v>5～9</v>
      </c>
      <c r="AL551" s="8" t="str">
        <v>10～19</v>
      </c>
      <c r="AM551" s="8" t="str">
        <v>～99</v>
      </c>
      <c r="AN551" s="8" t="str">
        <v>15以上</v>
      </c>
      <c r="AO551" s="8" t="str">
        <f aca="false">IF(A551="","",IF(COUNTIFS(全馬データ!$A$2:$A$50000,A551,全馬データ!$B$2:$B$50000,B551,全馬データ!$C$2:$C$50000,C551,全馬データ!$D$2:$D$50000,E551,全馬データ!$K$2:$K$50000,"&lt;&gt;")=0,"",SUMIFS(全馬データ!$K$2:$K$50000,全馬データ!$A$2:$A$50000,A551,全馬データ!$B$2:$B$50000,B551,全馬データ!$C$2:$C$50000,C551,全馬データ!$D$2:$D$50000,E551)))</f>
        <v/>
      </c>
      <c r="AP551" s="8" t="str">
        <f aca="false">IF(A551="","",IF(AO551="","欠損",IF(AO551&lt;=1.1,"1.0～1.1",IF(AO551&lt;1.3,"1.2",IF(AO551&lt;1.5,"1.3～1.4",IF(AO551&lt;2,"1.5～1.9","2.0以上"))))))</f>
        <v>欠損</v>
      </c>
      <c r="AQ551" s="8" t="str">
        <f aca="false">IF(A551="","",IF(ISNUMBER(SEARCH("2歳",Z551)),"2歳戦",IF(ISNUMBER(SEARCH("3歳未勝利",Z551)),"3歳未勝利",IF(ISNUMBER(SEARCH("未勝利",Z551)),"その他未勝利",IF(ISNUMBER(SEARCH("G1",Z551)),"G1",IF(ISNUMBER(SEARCH("G2",Z551)),"G2",IF(ISNUMBER(SEARCH("G3",Z551)),"G3",IF(ISNUMBER(SEARCH("古馬条件",Z551)),"古馬条件戦",IF(ISNUMBER(SEARCH("重賞",Z551)),"重賞","分類不能")))))))))</f>
        <v>分類不能</v>
      </c>
      <c r="AR551" s="8"/>
      <c r="AS551" s="8" t="s">
        <v>7623</v>
      </c>
      <c r="AT551" s="8" t="s">
        <v>7624</v>
      </c>
      <c r="AU551" s="8" t="s">
        <v>7628</v>
      </c>
      <c r="AV551" s="8" t="s">
        <v>7629</v>
      </c>
      <c r="AW551" s="8"/>
      <c r="AX551" s="8"/>
      <c r="AY551" s="8" t="s">
        <v>7610</v>
      </c>
      <c r="AZ551" s="4" t="s">
        <v>7617</v>
      </c>
      <c r="BA551" s="8" t="n">
        <v>1400</v>
      </c>
      <c r="BB551" s="8" t="s">
        <v>7618</v>
      </c>
      <c r="BC551" s="4" t="s">
        <v>7619</v>
      </c>
      <c r="BD551" s="8" t="s">
        <v>7605</v>
      </c>
      <c r="BE551" s="4" t="s">
        <v>7606</v>
      </c>
      <c r="BF551" s="8" t="s">
        <v>7607</v>
      </c>
      <c r="BG551" s="8" t="s">
        <v>7608</v>
      </c>
      <c r="BH551" s="4" t="s">
        <v>7609</v>
      </c>
      <c r="BI551" s="8" t="n">
        <v>16</v>
      </c>
      <c r="BJ551" s="8" t="s">
        <v>7602</v>
      </c>
      <c r="BK551" s="4" t="s">
        <v>7653</v>
      </c>
      <c r="BL551" s="8" t="s">
        <v>7602</v>
      </c>
      <c r="BM551" s="4" t="s">
        <v>7620</v>
      </c>
      <c r="BN551" s="8"/>
      <c r="BO551" s="8"/>
      <c r="BP551" s="8" t="s">
        <v>7610</v>
      </c>
      <c r="BQ551" s="8" t="str">
        <f aca="false">IF(A551="","",AT551)</f>
        <v>3歳</v>
      </c>
      <c r="BR551" s="8" t="str">
        <f aca="false">IF(A551="","",IF(BA551&lt;=1200,"～1200",IF(BA551&lt;=1500,"1300～1500",IF(BA551=1600,"1600",IF(BA551&lt;=1800,"1700～1800",IF(BA551&lt;=2000,"1900～2000","2100以上"))))))</f>
        <v>1300～1500</v>
      </c>
      <c r="BS551" s="8" t="str">
        <f aca="false">IF(A551="","",IF(AX551="G1","G1",IF(AX551="G2","G2",IF(AX551="G3","G3",IF(AX551="L","L","その他")))))</f>
        <v>その他</v>
      </c>
      <c r="BT551" s="8" t="str">
        <f aca="false">IF(A551="","",IF(BI551="","未結合",IF(D551=BI551,"一致","不一致")))</f>
        <v>一致</v>
      </c>
      <c r="BU551" s="8" t="str">
        <f aca="false">IF(A551="","",IF(BE551="牝馬限定","牝馬限定","その他"))</f>
        <v>その他</v>
      </c>
    </row>
    <row r="552" customFormat="false" ht="15.75" hidden="false" customHeight="false" outlineLevel="0" collapsed="false">
      <c r="A552" s="6" t="n">
        <v>46165</v>
      </c>
      <c r="B552" s="4" t="s">
        <v>5435</v>
      </c>
      <c r="C552" s="8" t="n">
        <v>7</v>
      </c>
      <c r="D552" s="8" t="n">
        <v>16</v>
      </c>
      <c r="E552" s="8" t="n">
        <v>5</v>
      </c>
      <c r="F552" s="4" t="s">
        <v>5470</v>
      </c>
      <c r="G552" s="8" t="n">
        <v>44</v>
      </c>
      <c r="H552" s="8" t="n">
        <v>12</v>
      </c>
      <c r="I552" s="4" t="s">
        <v>4875</v>
      </c>
      <c r="J552" s="8" t="n">
        <v>44</v>
      </c>
      <c r="K552" s="8" t="n">
        <v>3</v>
      </c>
      <c r="L552" s="4" t="s">
        <v>3647</v>
      </c>
      <c r="M552" s="8" t="n">
        <v>39</v>
      </c>
      <c r="N552" s="8" t="n">
        <f aca="false">IF(A552="","",G552-J552)</f>
        <v>0</v>
      </c>
      <c r="O552" s="8" t="n">
        <f aca="false">IF(A552="","",J552-M552)</f>
        <v>5</v>
      </c>
      <c r="P552" s="8" t="n">
        <f aca="false">IF(A552="","",G552+J552)</f>
        <v>88</v>
      </c>
      <c r="Q552" s="8" t="str">
        <f aca="false">IF(A552="","",IF(AND(Y552&lt;&gt;"参考",G552&gt;=ルール設定!$B$2),"○",""))</f>
        <v/>
      </c>
      <c r="R552" s="8" t="str">
        <f aca="false">IF(A552="","",IF(AND(Y552&lt;&gt;"参考",G552&gt;=ルール設定!$B$3,N552&gt;=ルール設定!$B$4),"○",""))</f>
        <v/>
      </c>
      <c r="S552" s="8" t="str">
        <f aca="false">IF(A552="","",IF(AND(Y552&lt;&gt;"参考",G552&gt;=ルール設定!$B$5,J552&gt;=ルール設定!$B$6,O552&gt;=ルール設定!$B$7),"○",""))</f>
        <v/>
      </c>
      <c r="T552" s="8" t="n">
        <v>2</v>
      </c>
      <c r="U552" s="8" t="n">
        <v>3</v>
      </c>
      <c r="V552" s="8" t="str">
        <f aca="false">IF(A552="","",IF(AND(ISNUMBER(T552),ISNUMBER(U552)),IF(AND(T552&lt;=3,U552&lt;=3),"○","×"),""))</f>
        <v>○</v>
      </c>
      <c r="W552" s="8" t="n">
        <v>140</v>
      </c>
      <c r="X552" s="8" t="n">
        <v>390</v>
      </c>
      <c r="Y552" s="4" t="s">
        <v>7597</v>
      </c>
      <c r="Z552" s="4" t="s">
        <v>7841</v>
      </c>
      <c r="AA552" s="8" t="str">
        <v/>
      </c>
      <c r="AB552" s="8" t="str">
        <v/>
      </c>
      <c r="AC552" s="8" t="str">
        <v/>
      </c>
      <c r="AD552" s="8" t="str">
        <v/>
      </c>
      <c r="AE552" s="8" t="str">
        <v/>
      </c>
      <c r="AF552" s="8" t="str">
        <v/>
      </c>
      <c r="AG552" s="8" t="str">
        <v/>
      </c>
      <c r="AH552" s="8" t="str">
        <v/>
      </c>
      <c r="AI552" s="8" t="n">
        <v>5</v>
      </c>
      <c r="AJ552" s="8" t="str">
        <v>～59</v>
      </c>
      <c r="AK552" s="8" t="str">
        <v>0～4</v>
      </c>
      <c r="AL552" s="8" t="str">
        <v>0～9</v>
      </c>
      <c r="AM552" s="8" t="str">
        <v>～99</v>
      </c>
      <c r="AN552" s="8" t="str">
        <v>15以上</v>
      </c>
      <c r="AO552" s="8" t="str">
        <f aca="false">IF(A552="","",IF(COUNTIFS(全馬データ!$A$2:$A$50000,A552,全馬データ!$B$2:$B$50000,B552,全馬データ!$C$2:$C$50000,C552,全馬データ!$D$2:$D$50000,E552,全馬データ!$K$2:$K$50000,"&lt;&gt;")=0,"",SUMIFS(全馬データ!$K$2:$K$50000,全馬データ!$A$2:$A$50000,A552,全馬データ!$B$2:$B$50000,B552,全馬データ!$C$2:$C$50000,C552,全馬データ!$D$2:$D$50000,E552)))</f>
        <v/>
      </c>
      <c r="AP552" s="8" t="str">
        <f aca="false">IF(A552="","",IF(AO552="","欠損",IF(AO552&lt;=1.1,"1.0～1.1",IF(AO552&lt;1.3,"1.2",IF(AO552&lt;1.5,"1.3～1.4",IF(AO552&lt;2,"1.5～1.9","2.0以上"))))))</f>
        <v>欠損</v>
      </c>
      <c r="AQ552" s="8" t="str">
        <f aca="false">IF(A552="","",IF(ISNUMBER(SEARCH("2歳",Z552)),"2歳戦",IF(ISNUMBER(SEARCH("3歳未勝利",Z552)),"3歳未勝利",IF(ISNUMBER(SEARCH("未勝利",Z552)),"その他未勝利",IF(ISNUMBER(SEARCH("G1",Z552)),"G1",IF(ISNUMBER(SEARCH("G2",Z552)),"G2",IF(ISNUMBER(SEARCH("G3",Z552)),"G3",IF(ISNUMBER(SEARCH("古馬条件",Z552)),"古馬条件戦",IF(ISNUMBER(SEARCH("重賞",Z552)),"重賞","分類不能")))))))))</f>
        <v>分類不能</v>
      </c>
      <c r="AR552" s="8"/>
      <c r="AS552" s="8" t="s">
        <v>7842</v>
      </c>
      <c r="AT552" s="8" t="s">
        <v>7843</v>
      </c>
      <c r="AU552" s="8" t="s">
        <v>7628</v>
      </c>
      <c r="AV552" s="8" t="s">
        <v>7629</v>
      </c>
      <c r="AW552" s="8"/>
      <c r="AX552" s="8"/>
      <c r="AY552" s="8" t="s">
        <v>7610</v>
      </c>
      <c r="AZ552" s="4" t="s">
        <v>7617</v>
      </c>
      <c r="BA552" s="8" t="n">
        <v>1800</v>
      </c>
      <c r="BB552" s="8" t="s">
        <v>7618</v>
      </c>
      <c r="BC552" s="4" t="s">
        <v>7619</v>
      </c>
      <c r="BD552" s="8" t="s">
        <v>7605</v>
      </c>
      <c r="BE552" s="4" t="s">
        <v>7606</v>
      </c>
      <c r="BF552" s="8" t="s">
        <v>7607</v>
      </c>
      <c r="BG552" s="8" t="s">
        <v>7631</v>
      </c>
      <c r="BH552" s="4" t="s">
        <v>7632</v>
      </c>
      <c r="BI552" s="8" t="n">
        <v>16</v>
      </c>
      <c r="BJ552" s="8" t="s">
        <v>7602</v>
      </c>
      <c r="BK552" s="4" t="s">
        <v>7653</v>
      </c>
      <c r="BL552" s="8" t="s">
        <v>7602</v>
      </c>
      <c r="BM552" s="4" t="s">
        <v>7620</v>
      </c>
      <c r="BN552" s="8"/>
      <c r="BO552" s="8"/>
      <c r="BP552" s="8" t="s">
        <v>7610</v>
      </c>
      <c r="BQ552" s="8" t="str">
        <f aca="false">IF(A552="","",AT552)</f>
        <v>4歳以上</v>
      </c>
      <c r="BR552" s="8" t="str">
        <f aca="false">IF(A552="","",IF(BA552&lt;=1200,"～1200",IF(BA552&lt;=1500,"1300～1500",IF(BA552=1600,"1600",IF(BA552&lt;=1800,"1700～1800",IF(BA552&lt;=2000,"1900～2000","2100以上"))))))</f>
        <v>1700～1800</v>
      </c>
      <c r="BS552" s="8" t="str">
        <f aca="false">IF(A552="","",IF(AX552="G1","G1",IF(AX552="G2","G2",IF(AX552="G3","G3",IF(AX552="L","L","その他")))))</f>
        <v>その他</v>
      </c>
      <c r="BT552" s="8" t="str">
        <f aca="false">IF(A552="","",IF(BI552="","未結合",IF(D552=BI552,"一致","不一致")))</f>
        <v>一致</v>
      </c>
      <c r="BU552" s="8" t="str">
        <f aca="false">IF(A552="","",IF(BE552="牝馬限定","牝馬限定","その他"))</f>
        <v>その他</v>
      </c>
    </row>
    <row r="553" customFormat="false" ht="15.75" hidden="false" customHeight="false" outlineLevel="0" collapsed="false">
      <c r="A553" s="6" t="n">
        <v>46165</v>
      </c>
      <c r="B553" s="4" t="s">
        <v>5435</v>
      </c>
      <c r="C553" s="8" t="n">
        <v>8</v>
      </c>
      <c r="D553" s="8" t="n">
        <v>15</v>
      </c>
      <c r="E553" s="8" t="n">
        <v>10</v>
      </c>
      <c r="F553" s="4" t="s">
        <v>693</v>
      </c>
      <c r="G553" s="8" t="n">
        <v>81</v>
      </c>
      <c r="H553" s="8" t="n">
        <v>6</v>
      </c>
      <c r="I553" s="4" t="s">
        <v>5043</v>
      </c>
      <c r="J553" s="8" t="n">
        <v>41</v>
      </c>
      <c r="K553" s="8" t="n">
        <v>11</v>
      </c>
      <c r="L553" s="4" t="s">
        <v>4638</v>
      </c>
      <c r="M553" s="8" t="n">
        <v>29</v>
      </c>
      <c r="N553" s="8" t="n">
        <f aca="false">IF(A553="","",G553-J553)</f>
        <v>40</v>
      </c>
      <c r="O553" s="8" t="n">
        <f aca="false">IF(A553="","",J553-M553)</f>
        <v>12</v>
      </c>
      <c r="P553" s="8" t="n">
        <f aca="false">IF(A553="","",G553+J553)</f>
        <v>122</v>
      </c>
      <c r="Q553" s="8" t="str">
        <f aca="false">IF(A553="","",IF(AND(Y553&lt;&gt;"参考",G553&gt;=ルール設定!$B$2),"○",""))</f>
        <v>○</v>
      </c>
      <c r="R553" s="8" t="str">
        <f aca="false">IF(A553="","",IF(AND(Y553&lt;&gt;"参考",G553&gt;=ルール設定!$B$3,N553&gt;=ルール設定!$B$4),"○",""))</f>
        <v>○</v>
      </c>
      <c r="S553" s="8" t="str">
        <f aca="false">IF(A553="","",IF(AND(Y553&lt;&gt;"参考",G553&gt;=ルール設定!$B$5,J553&gt;=ルール設定!$B$6,O553&gt;=ルール設定!$B$7),"○",""))</f>
        <v/>
      </c>
      <c r="T553" s="8" t="n">
        <v>1</v>
      </c>
      <c r="U553" s="8" t="n">
        <v>4</v>
      </c>
      <c r="V553" s="8" t="str">
        <f aca="false">IF(A553="","",IF(AND(ISNUMBER(T553),ISNUMBER(U553)),IF(AND(T553&lt;=3,U553&lt;=3),"○","×"),""))</f>
        <v>×</v>
      </c>
      <c r="W553" s="8" t="n">
        <v>110</v>
      </c>
      <c r="X553" s="8"/>
      <c r="Y553" s="4" t="s">
        <v>7597</v>
      </c>
      <c r="Z553" s="4" t="s">
        <v>7841</v>
      </c>
      <c r="AA553" s="8" t="str">
        <v/>
      </c>
      <c r="AB553" s="8" t="str">
        <v>○</v>
      </c>
      <c r="AC553" s="8" t="str">
        <v/>
      </c>
      <c r="AD553" s="8" t="str">
        <v>○</v>
      </c>
      <c r="AE553" s="8" t="str">
        <v/>
      </c>
      <c r="AF553" s="8" t="str">
        <v/>
      </c>
      <c r="AG553" s="8" t="str">
        <v>○</v>
      </c>
      <c r="AH553" s="8" t="str">
        <v/>
      </c>
      <c r="AI553" s="8" t="n">
        <v>52</v>
      </c>
      <c r="AJ553" s="8" t="str">
        <v>80～84</v>
      </c>
      <c r="AK553" s="8" t="str">
        <v>30以上</v>
      </c>
      <c r="AL553" s="8" t="str">
        <v>40以上</v>
      </c>
      <c r="AM553" s="8" t="str">
        <v>120～139</v>
      </c>
      <c r="AN553" s="8" t="str">
        <v>15以上</v>
      </c>
      <c r="AO553" s="8" t="str">
        <f aca="false">IF(A553="","",IF(COUNTIFS(全馬データ!$A$2:$A$50000,A553,全馬データ!$B$2:$B$50000,B553,全馬データ!$C$2:$C$50000,C553,全馬データ!$D$2:$D$50000,E553,全馬データ!$K$2:$K$50000,"&lt;&gt;")=0,"",SUMIFS(全馬データ!$K$2:$K$50000,全馬データ!$A$2:$A$50000,A553,全馬データ!$B$2:$B$50000,B553,全馬データ!$C$2:$C$50000,C553,全馬データ!$D$2:$D$50000,E553)))</f>
        <v/>
      </c>
      <c r="AP553" s="8" t="str">
        <f aca="false">IF(A553="","",IF(AO553="","欠損",IF(AO553&lt;=1.1,"1.0～1.1",IF(AO553&lt;1.3,"1.2",IF(AO553&lt;1.5,"1.3～1.4",IF(AO553&lt;2,"1.5～1.9","2.0以上"))))))</f>
        <v>欠損</v>
      </c>
      <c r="AQ553" s="8" t="str">
        <f aca="false">IF(A553="","",IF(ISNUMBER(SEARCH("2歳",Z553)),"2歳戦",IF(ISNUMBER(SEARCH("3歳未勝利",Z553)),"3歳未勝利",IF(ISNUMBER(SEARCH("未勝利",Z553)),"その他未勝利",IF(ISNUMBER(SEARCH("G1",Z553)),"G1",IF(ISNUMBER(SEARCH("G2",Z553)),"G2",IF(ISNUMBER(SEARCH("G3",Z553)),"G3",IF(ISNUMBER(SEARCH("古馬条件",Z553)),"古馬条件戦",IF(ISNUMBER(SEARCH("重賞",Z553)),"重賞","分類不能")))))))))</f>
        <v>分類不能</v>
      </c>
      <c r="AR553" s="8"/>
      <c r="AS553" s="8" t="s">
        <v>7842</v>
      </c>
      <c r="AT553" s="8" t="s">
        <v>7843</v>
      </c>
      <c r="AU553" s="8" t="s">
        <v>7628</v>
      </c>
      <c r="AV553" s="8" t="s">
        <v>7629</v>
      </c>
      <c r="AW553" s="8"/>
      <c r="AX553" s="8"/>
      <c r="AY553" s="8" t="s">
        <v>7602</v>
      </c>
      <c r="AZ553" s="4" t="s">
        <v>7603</v>
      </c>
      <c r="BA553" s="8" t="n">
        <v>1800</v>
      </c>
      <c r="BB553" s="8" t="s">
        <v>7598</v>
      </c>
      <c r="BC553" s="4" t="s">
        <v>7604</v>
      </c>
      <c r="BD553" s="8" t="s">
        <v>7625</v>
      </c>
      <c r="BE553" s="4" t="s">
        <v>7606</v>
      </c>
      <c r="BF553" s="8" t="s">
        <v>7607</v>
      </c>
      <c r="BG553" s="8" t="s">
        <v>7631</v>
      </c>
      <c r="BH553" s="4" t="s">
        <v>7632</v>
      </c>
      <c r="BI553" s="8" t="n">
        <v>15</v>
      </c>
      <c r="BJ553" s="8" t="s">
        <v>7602</v>
      </c>
      <c r="BK553" s="4" t="s">
        <v>7653</v>
      </c>
      <c r="BL553" s="8" t="s">
        <v>7610</v>
      </c>
      <c r="BM553" s="4" t="s">
        <v>7612</v>
      </c>
      <c r="BN553" s="8" t="s">
        <v>7676</v>
      </c>
      <c r="BO553" s="8" t="s">
        <v>7778</v>
      </c>
      <c r="BP553" s="8" t="s">
        <v>7610</v>
      </c>
      <c r="BQ553" s="8" t="str">
        <f aca="false">IF(A553="","",AT553)</f>
        <v>4歳以上</v>
      </c>
      <c r="BR553" s="8" t="str">
        <f aca="false">IF(A553="","",IF(BA553&lt;=1200,"～1200",IF(BA553&lt;=1500,"1300～1500",IF(BA553=1600,"1600",IF(BA553&lt;=1800,"1700～1800",IF(BA553&lt;=2000,"1900～2000","2100以上"))))))</f>
        <v>1700～1800</v>
      </c>
      <c r="BS553" s="8" t="str">
        <f aca="false">IF(A553="","",IF(AX553="G1","G1",IF(AX553="G2","G2",IF(AX553="G3","G3",IF(AX553="L","L","その他")))))</f>
        <v>その他</v>
      </c>
      <c r="BT553" s="8" t="str">
        <f aca="false">IF(A553="","",IF(BI553="","未結合",IF(D553=BI553,"一致","不一致")))</f>
        <v>一致</v>
      </c>
      <c r="BU553" s="8" t="str">
        <f aca="false">IF(A553="","",IF(BE553="牝馬限定","牝馬限定","その他"))</f>
        <v>その他</v>
      </c>
    </row>
    <row r="554" customFormat="false" ht="15.75" hidden="false" customHeight="false" outlineLevel="0" collapsed="false">
      <c r="A554" s="6" t="n">
        <v>46165</v>
      </c>
      <c r="B554" s="4" t="s">
        <v>5435</v>
      </c>
      <c r="C554" s="8" t="n">
        <v>9</v>
      </c>
      <c r="D554" s="8" t="n">
        <v>11</v>
      </c>
      <c r="E554" s="8" t="n">
        <v>6</v>
      </c>
      <c r="F554" s="4" t="s">
        <v>729</v>
      </c>
      <c r="G554" s="8" t="n">
        <v>65</v>
      </c>
      <c r="H554" s="8" t="n">
        <v>5</v>
      </c>
      <c r="I554" s="4" t="s">
        <v>5481</v>
      </c>
      <c r="J554" s="8" t="n">
        <v>39</v>
      </c>
      <c r="K554" s="8" t="n">
        <v>8</v>
      </c>
      <c r="L554" s="4" t="s">
        <v>754</v>
      </c>
      <c r="M554" s="8" t="n">
        <v>37</v>
      </c>
      <c r="N554" s="8" t="n">
        <f aca="false">IF(A554="","",G554-J554)</f>
        <v>26</v>
      </c>
      <c r="O554" s="8" t="n">
        <f aca="false">IF(A554="","",J554-M554)</f>
        <v>2</v>
      </c>
      <c r="P554" s="8" t="n">
        <f aca="false">IF(A554="","",G554+J554)</f>
        <v>104</v>
      </c>
      <c r="Q554" s="8" t="str">
        <f aca="false">IF(A554="","",IF(AND(Y554&lt;&gt;"参考",G554&gt;=ルール設定!$B$2),"○",""))</f>
        <v/>
      </c>
      <c r="R554" s="8" t="str">
        <f aca="false">IF(A554="","",IF(AND(Y554&lt;&gt;"参考",G554&gt;=ルール設定!$B$3,N554&gt;=ルール設定!$B$4),"○",""))</f>
        <v/>
      </c>
      <c r="S554" s="8" t="str">
        <f aca="false">IF(A554="","",IF(AND(Y554&lt;&gt;"参考",G554&gt;=ルール設定!$B$5,J554&gt;=ルール設定!$B$6,O554&gt;=ルール設定!$B$7),"○",""))</f>
        <v/>
      </c>
      <c r="T554" s="8" t="n">
        <v>4</v>
      </c>
      <c r="U554" s="8" t="n">
        <v>2</v>
      </c>
      <c r="V554" s="8" t="str">
        <f aca="false">IF(A554="","",IF(AND(ISNUMBER(T554),ISNUMBER(U554)),IF(AND(T554&lt;=3,U554&lt;=3),"○","×"),""))</f>
        <v>×</v>
      </c>
      <c r="W554" s="8"/>
      <c r="X554" s="8"/>
      <c r="Y554" s="4" t="s">
        <v>7597</v>
      </c>
      <c r="Z554" s="4" t="s">
        <v>7841</v>
      </c>
      <c r="AA554" s="8" t="str">
        <v/>
      </c>
      <c r="AB554" s="8" t="str">
        <v/>
      </c>
      <c r="AC554" s="8" t="str">
        <v/>
      </c>
      <c r="AD554" s="8" t="str">
        <v/>
      </c>
      <c r="AE554" s="8" t="str">
        <v/>
      </c>
      <c r="AF554" s="8" t="str">
        <v/>
      </c>
      <c r="AG554" s="8" t="str">
        <v/>
      </c>
      <c r="AH554" s="8" t="str">
        <v/>
      </c>
      <c r="AI554" s="8" t="n">
        <v>28</v>
      </c>
      <c r="AJ554" s="8" t="str">
        <v>60～69</v>
      </c>
      <c r="AK554" s="8" t="str">
        <v>20～29</v>
      </c>
      <c r="AL554" s="8" t="str">
        <v>20～29</v>
      </c>
      <c r="AM554" s="8" t="str">
        <v>100～119</v>
      </c>
      <c r="AN554" s="8" t="str">
        <v>8～11</v>
      </c>
      <c r="AO554" s="8" t="str">
        <f aca="false">IF(A554="","",IF(COUNTIFS(全馬データ!$A$2:$A$50000,A554,全馬データ!$B$2:$B$50000,B554,全馬データ!$C$2:$C$50000,C554,全馬データ!$D$2:$D$50000,E554,全馬データ!$K$2:$K$50000,"&lt;&gt;")=0,"",SUMIFS(全馬データ!$K$2:$K$50000,全馬データ!$A$2:$A$50000,A554,全馬データ!$B$2:$B$50000,B554,全馬データ!$C$2:$C$50000,C554,全馬データ!$D$2:$D$50000,E554)))</f>
        <v/>
      </c>
      <c r="AP554" s="8" t="str">
        <f aca="false">IF(A554="","",IF(AO554="","欠損",IF(AO554&lt;=1.1,"1.0～1.1",IF(AO554&lt;1.3,"1.2",IF(AO554&lt;1.5,"1.3～1.4",IF(AO554&lt;2,"1.5～1.9","2.0以上"))))))</f>
        <v>欠損</v>
      </c>
      <c r="AQ554" s="8" t="str">
        <f aca="false">IF(A554="","",IF(ISNUMBER(SEARCH("2歳",Z554)),"2歳戦",IF(ISNUMBER(SEARCH("3歳未勝利",Z554)),"3歳未勝利",IF(ISNUMBER(SEARCH("未勝利",Z554)),"その他未勝利",IF(ISNUMBER(SEARCH("G1",Z554)),"G1",IF(ISNUMBER(SEARCH("G2",Z554)),"G2",IF(ISNUMBER(SEARCH("G3",Z554)),"G3",IF(ISNUMBER(SEARCH("古馬条件",Z554)),"古馬条件戦",IF(ISNUMBER(SEARCH("重賞",Z554)),"重賞","分類不能")))))))))</f>
        <v>分類不能</v>
      </c>
      <c r="AR554" s="4" t="s">
        <v>7848</v>
      </c>
      <c r="AS554" s="8" t="s">
        <v>7623</v>
      </c>
      <c r="AT554" s="8" t="s">
        <v>7624</v>
      </c>
      <c r="AU554" s="8" t="s">
        <v>7628</v>
      </c>
      <c r="AV554" s="8" t="s">
        <v>7629</v>
      </c>
      <c r="AW554" s="8" t="s">
        <v>7636</v>
      </c>
      <c r="AX554" s="4" t="s">
        <v>7637</v>
      </c>
      <c r="AY554" s="8" t="s">
        <v>7602</v>
      </c>
      <c r="AZ554" s="4" t="s">
        <v>7603</v>
      </c>
      <c r="BA554" s="8" t="n">
        <v>1600</v>
      </c>
      <c r="BB554" s="8" t="s">
        <v>7598</v>
      </c>
      <c r="BC554" s="4" t="s">
        <v>7604</v>
      </c>
      <c r="BD554" s="8" t="s">
        <v>7630</v>
      </c>
      <c r="BE554" s="4" t="s">
        <v>7606</v>
      </c>
      <c r="BF554" s="8" t="s">
        <v>7607</v>
      </c>
      <c r="BG554" s="8" t="s">
        <v>7608</v>
      </c>
      <c r="BH554" s="4" t="s">
        <v>7609</v>
      </c>
      <c r="BI554" s="8" t="n">
        <v>11</v>
      </c>
      <c r="BJ554" s="8" t="s">
        <v>7602</v>
      </c>
      <c r="BK554" s="4" t="s">
        <v>7653</v>
      </c>
      <c r="BL554" s="8" t="s">
        <v>7602</v>
      </c>
      <c r="BM554" s="4" t="s">
        <v>7620</v>
      </c>
      <c r="BN554" s="8" t="s">
        <v>7676</v>
      </c>
      <c r="BO554" s="8" t="s">
        <v>7778</v>
      </c>
      <c r="BP554" s="8" t="s">
        <v>7610</v>
      </c>
      <c r="BQ554" s="8" t="str">
        <f aca="false">IF(A554="","",AT554)</f>
        <v>3歳</v>
      </c>
      <c r="BR554" s="8" t="str">
        <f aca="false">IF(A554="","",IF(BA554&lt;=1200,"～1200",IF(BA554&lt;=1500,"1300～1500",IF(BA554=1600,"1600",IF(BA554&lt;=1800,"1700～1800",IF(BA554&lt;=2000,"1900～2000","2100以上"))))))</f>
        <v>1600</v>
      </c>
      <c r="BS554" s="8" t="str">
        <f aca="false">IF(A554="","",IF(AX554="G1","G1",IF(AX554="G2","G2",IF(AX554="G3","G3",IF(AX554="L","L","その他")))))</f>
        <v>その他</v>
      </c>
      <c r="BT554" s="8" t="str">
        <f aca="false">IF(A554="","",IF(BI554="","未結合",IF(D554=BI554,"一致","不一致")))</f>
        <v>一致</v>
      </c>
      <c r="BU554" s="8" t="str">
        <f aca="false">IF(A554="","",IF(BE554="牝馬限定","牝馬限定","その他"))</f>
        <v>その他</v>
      </c>
    </row>
    <row r="555" customFormat="false" ht="15.75" hidden="false" customHeight="false" outlineLevel="0" collapsed="false">
      <c r="A555" s="6" t="n">
        <v>46165</v>
      </c>
      <c r="B555" s="4" t="s">
        <v>5435</v>
      </c>
      <c r="C555" s="8" t="n">
        <v>10</v>
      </c>
      <c r="D555" s="8" t="n">
        <v>16</v>
      </c>
      <c r="E555" s="8" t="n">
        <v>2</v>
      </c>
      <c r="F555" s="4" t="s">
        <v>5482</v>
      </c>
      <c r="G555" s="8" t="n">
        <v>58</v>
      </c>
      <c r="H555" s="8" t="n">
        <v>6</v>
      </c>
      <c r="I555" s="4" t="s">
        <v>5484</v>
      </c>
      <c r="J555" s="8" t="n">
        <v>50</v>
      </c>
      <c r="K555" s="8" t="n">
        <v>4</v>
      </c>
      <c r="L555" s="4" t="s">
        <v>5203</v>
      </c>
      <c r="M555" s="8" t="n">
        <v>37</v>
      </c>
      <c r="N555" s="8" t="n">
        <f aca="false">IF(A555="","",G555-J555)</f>
        <v>8</v>
      </c>
      <c r="O555" s="8" t="n">
        <f aca="false">IF(A555="","",J555-M555)</f>
        <v>13</v>
      </c>
      <c r="P555" s="8" t="n">
        <f aca="false">IF(A555="","",G555+J555)</f>
        <v>108</v>
      </c>
      <c r="Q555" s="8" t="str">
        <f aca="false">IF(A555="","",IF(AND(Y555&lt;&gt;"参考",G555&gt;=ルール設定!$B$2),"○",""))</f>
        <v/>
      </c>
      <c r="R555" s="8" t="str">
        <f aca="false">IF(A555="","",IF(AND(Y555&lt;&gt;"参考",G555&gt;=ルール設定!$B$3,N555&gt;=ルール設定!$B$4),"○",""))</f>
        <v/>
      </c>
      <c r="S555" s="8" t="str">
        <f aca="false">IF(A555="","",IF(AND(Y555&lt;&gt;"参考",G555&gt;=ルール設定!$B$5,J555&gt;=ルール設定!$B$6,O555&gt;=ルール設定!$B$7),"○",""))</f>
        <v/>
      </c>
      <c r="T555" s="8" t="n">
        <v>4</v>
      </c>
      <c r="U555" s="8" t="n">
        <v>4</v>
      </c>
      <c r="V555" s="8" t="str">
        <f aca="false">IF(A555="","",IF(AND(ISNUMBER(T555),ISNUMBER(U555)),IF(AND(T555&lt;=3,U555&lt;=3),"○","×"),""))</f>
        <v>×</v>
      </c>
      <c r="W555" s="8"/>
      <c r="X555" s="8"/>
      <c r="Y555" s="4" t="s">
        <v>7597</v>
      </c>
      <c r="Z555" s="4" t="s">
        <v>7841</v>
      </c>
      <c r="AA555" s="8" t="str">
        <v/>
      </c>
      <c r="AB555" s="8" t="str">
        <v/>
      </c>
      <c r="AC555" s="8" t="str">
        <v/>
      </c>
      <c r="AD555" s="8" t="str">
        <v/>
      </c>
      <c r="AE555" s="8" t="str">
        <v/>
      </c>
      <c r="AF555" s="8" t="str">
        <v/>
      </c>
      <c r="AG555" s="8" t="str">
        <v/>
      </c>
      <c r="AH555" s="8" t="str">
        <v/>
      </c>
      <c r="AI555" s="8" t="n">
        <v>21</v>
      </c>
      <c r="AJ555" s="8" t="str">
        <v>～59</v>
      </c>
      <c r="AK555" s="8" t="str">
        <v>5～9</v>
      </c>
      <c r="AL555" s="8" t="str">
        <v>20～29</v>
      </c>
      <c r="AM555" s="8" t="str">
        <v>100～119</v>
      </c>
      <c r="AN555" s="8" t="str">
        <v>15以上</v>
      </c>
      <c r="AO555" s="8" t="str">
        <f aca="false">IF(A555="","",IF(COUNTIFS(全馬データ!$A$2:$A$50000,A555,全馬データ!$B$2:$B$50000,B555,全馬データ!$C$2:$C$50000,C555,全馬データ!$D$2:$D$50000,E555,全馬データ!$K$2:$K$50000,"&lt;&gt;")=0,"",SUMIFS(全馬データ!$K$2:$K$50000,全馬データ!$A$2:$A$50000,A555,全馬データ!$B$2:$B$50000,B555,全馬データ!$C$2:$C$50000,C555,全馬データ!$D$2:$D$50000,E555)))</f>
        <v/>
      </c>
      <c r="AP555" s="8" t="str">
        <f aca="false">IF(A555="","",IF(AO555="","欠損",IF(AO555&lt;=1.1,"1.0～1.1",IF(AO555&lt;1.3,"1.2",IF(AO555&lt;1.5,"1.3～1.4",IF(AO555&lt;2,"1.5～1.9","2.0以上"))))))</f>
        <v>欠損</v>
      </c>
      <c r="AQ555" s="8" t="str">
        <f aca="false">IF(A555="","",IF(ISNUMBER(SEARCH("2歳",Z555)),"2歳戦",IF(ISNUMBER(SEARCH("3歳未勝利",Z555)),"3歳未勝利",IF(ISNUMBER(SEARCH("未勝利",Z555)),"その他未勝利",IF(ISNUMBER(SEARCH("G1",Z555)),"G1",IF(ISNUMBER(SEARCH("G2",Z555)),"G2",IF(ISNUMBER(SEARCH("G3",Z555)),"G3",IF(ISNUMBER(SEARCH("古馬条件",Z555)),"古馬条件戦",IF(ISNUMBER(SEARCH("重賞",Z555)),"重賞","分類不能")))))))))</f>
        <v>分類不能</v>
      </c>
      <c r="AR555" s="4" t="s">
        <v>7849</v>
      </c>
      <c r="AS555" s="8" t="s">
        <v>7842</v>
      </c>
      <c r="AT555" s="8" t="s">
        <v>7843</v>
      </c>
      <c r="AU555" s="8" t="s">
        <v>7639</v>
      </c>
      <c r="AV555" s="8" t="s">
        <v>7640</v>
      </c>
      <c r="AW555" s="8" t="s">
        <v>7636</v>
      </c>
      <c r="AX555" s="4" t="s">
        <v>7637</v>
      </c>
      <c r="AY555" s="8" t="s">
        <v>7602</v>
      </c>
      <c r="AZ555" s="4" t="s">
        <v>7603</v>
      </c>
      <c r="BA555" s="8" t="n">
        <v>2000</v>
      </c>
      <c r="BB555" s="8" t="s">
        <v>7598</v>
      </c>
      <c r="BC555" s="4" t="s">
        <v>7604</v>
      </c>
      <c r="BD555" s="8" t="s">
        <v>7845</v>
      </c>
      <c r="BE555" s="4" t="s">
        <v>7622</v>
      </c>
      <c r="BF555" s="8" t="s">
        <v>7602</v>
      </c>
      <c r="BG555" s="8" t="s">
        <v>7631</v>
      </c>
      <c r="BH555" s="4" t="s">
        <v>7632</v>
      </c>
      <c r="BI555" s="8" t="n">
        <v>16</v>
      </c>
      <c r="BJ555" s="8" t="s">
        <v>7602</v>
      </c>
      <c r="BK555" s="4" t="s">
        <v>7653</v>
      </c>
      <c r="BL555" s="8" t="s">
        <v>7602</v>
      </c>
      <c r="BM555" s="4" t="s">
        <v>7620</v>
      </c>
      <c r="BN555" s="8" t="s">
        <v>7676</v>
      </c>
      <c r="BO555" s="8" t="s">
        <v>7778</v>
      </c>
      <c r="BP555" s="8" t="s">
        <v>7610</v>
      </c>
      <c r="BQ555" s="8" t="str">
        <f aca="false">IF(A555="","",AT555)</f>
        <v>4歳以上</v>
      </c>
      <c r="BR555" s="8" t="str">
        <f aca="false">IF(A555="","",IF(BA555&lt;=1200,"～1200",IF(BA555&lt;=1500,"1300～1500",IF(BA555=1600,"1600",IF(BA555&lt;=1800,"1700～1800",IF(BA555&lt;=2000,"1900～2000","2100以上"))))))</f>
        <v>1900～2000</v>
      </c>
      <c r="BS555" s="8" t="str">
        <f aca="false">IF(A555="","",IF(AX555="G1","G1",IF(AX555="G2","G2",IF(AX555="G3","G3",IF(AX555="L","L","その他")))))</f>
        <v>その他</v>
      </c>
      <c r="BT555" s="8" t="str">
        <f aca="false">IF(A555="","",IF(BI555="","未結合",IF(D555=BI555,"一致","不一致")))</f>
        <v>一致</v>
      </c>
      <c r="BU555" s="8" t="str">
        <f aca="false">IF(A555="","",IF(BE555="牝馬限定","牝馬限定","その他"))</f>
        <v>牝馬限定</v>
      </c>
    </row>
    <row r="556" customFormat="false" ht="15.75" hidden="false" customHeight="false" outlineLevel="0" collapsed="false">
      <c r="A556" s="6" t="n">
        <v>46165</v>
      </c>
      <c r="B556" s="4" t="s">
        <v>5435</v>
      </c>
      <c r="C556" s="8" t="n">
        <v>11</v>
      </c>
      <c r="D556" s="8" t="n">
        <v>16</v>
      </c>
      <c r="E556" s="8" t="n">
        <v>15</v>
      </c>
      <c r="F556" s="4" t="s">
        <v>5495</v>
      </c>
      <c r="G556" s="8" t="n">
        <v>47</v>
      </c>
      <c r="H556" s="8" t="n">
        <v>3</v>
      </c>
      <c r="I556" s="4" t="s">
        <v>5490</v>
      </c>
      <c r="J556" s="8" t="n">
        <v>44</v>
      </c>
      <c r="K556" s="8" t="n">
        <v>14</v>
      </c>
      <c r="L556" s="4" t="s">
        <v>5494</v>
      </c>
      <c r="M556" s="8" t="n">
        <v>44</v>
      </c>
      <c r="N556" s="8" t="n">
        <f aca="false">IF(A556="","",G556-J556)</f>
        <v>3</v>
      </c>
      <c r="O556" s="8" t="n">
        <f aca="false">IF(A556="","",J556-M556)</f>
        <v>0</v>
      </c>
      <c r="P556" s="8" t="n">
        <f aca="false">IF(A556="","",G556+J556)</f>
        <v>91</v>
      </c>
      <c r="Q556" s="8" t="str">
        <f aca="false">IF(A556="","",IF(AND(Y556&lt;&gt;"参考",G556&gt;=ルール設定!$B$2),"○",""))</f>
        <v/>
      </c>
      <c r="R556" s="8" t="str">
        <f aca="false">IF(A556="","",IF(AND(Y556&lt;&gt;"参考",G556&gt;=ルール設定!$B$3,N556&gt;=ルール設定!$B$4),"○",""))</f>
        <v/>
      </c>
      <c r="S556" s="8" t="str">
        <f aca="false">IF(A556="","",IF(AND(Y556&lt;&gt;"参考",G556&gt;=ルール設定!$B$5,J556&gt;=ルール設定!$B$6,O556&gt;=ルール設定!$B$7),"○",""))</f>
        <v/>
      </c>
      <c r="T556" s="8" t="n">
        <v>4</v>
      </c>
      <c r="U556" s="8" t="n">
        <v>4</v>
      </c>
      <c r="V556" s="8" t="str">
        <f aca="false">IF(A556="","",IF(AND(ISNUMBER(T556),ISNUMBER(U556)),IF(AND(T556&lt;=3,U556&lt;=3),"○","×"),""))</f>
        <v>×</v>
      </c>
      <c r="W556" s="8"/>
      <c r="X556" s="8"/>
      <c r="Y556" s="4" t="s">
        <v>7597</v>
      </c>
      <c r="Z556" s="4" t="s">
        <v>7841</v>
      </c>
      <c r="AA556" s="8" t="str">
        <v/>
      </c>
      <c r="AB556" s="8" t="str">
        <v/>
      </c>
      <c r="AC556" s="8" t="str">
        <v/>
      </c>
      <c r="AD556" s="8" t="str">
        <v/>
      </c>
      <c r="AE556" s="8" t="str">
        <v/>
      </c>
      <c r="AF556" s="8" t="str">
        <v/>
      </c>
      <c r="AG556" s="8" t="str">
        <v/>
      </c>
      <c r="AH556" s="8" t="str">
        <v/>
      </c>
      <c r="AI556" s="8" t="n">
        <v>3</v>
      </c>
      <c r="AJ556" s="8" t="str">
        <v>～59</v>
      </c>
      <c r="AK556" s="8" t="str">
        <v>0～4</v>
      </c>
      <c r="AL556" s="8" t="str">
        <v>0～9</v>
      </c>
      <c r="AM556" s="8" t="str">
        <v>～99</v>
      </c>
      <c r="AN556" s="8" t="str">
        <v>15以上</v>
      </c>
      <c r="AO556" s="8" t="str">
        <f aca="false">IF(A556="","",IF(COUNTIFS(全馬データ!$A$2:$A$50000,A556,全馬データ!$B$2:$B$50000,B556,全馬データ!$C$2:$C$50000,C556,全馬データ!$D$2:$D$50000,E556,全馬データ!$K$2:$K$50000,"&lt;&gt;")=0,"",SUMIFS(全馬データ!$K$2:$K$50000,全馬データ!$A$2:$A$50000,A556,全馬データ!$B$2:$B$50000,B556,全馬データ!$C$2:$C$50000,C556,全馬データ!$D$2:$D$50000,E556)))</f>
        <v/>
      </c>
      <c r="AP556" s="8" t="str">
        <f aca="false">IF(A556="","",IF(AO556="","欠損",IF(AO556&lt;=1.1,"1.0～1.1",IF(AO556&lt;1.3,"1.2",IF(AO556&lt;1.5,"1.3～1.4",IF(AO556&lt;2,"1.5～1.9","2.0以上"))))))</f>
        <v>欠損</v>
      </c>
      <c r="AQ556" s="8" t="str">
        <f aca="false">IF(A556="","",IF(ISNUMBER(SEARCH("2歳",Z556)),"2歳戦",IF(ISNUMBER(SEARCH("3歳未勝利",Z556)),"3歳未勝利",IF(ISNUMBER(SEARCH("未勝利",Z556)),"その他未勝利",IF(ISNUMBER(SEARCH("G1",Z556)),"G1",IF(ISNUMBER(SEARCH("G2",Z556)),"G2",IF(ISNUMBER(SEARCH("G3",Z556)),"G3",IF(ISNUMBER(SEARCH("古馬条件",Z556)),"古馬条件戦",IF(ISNUMBER(SEARCH("重賞",Z556)),"重賞","分類不能")))))))))</f>
        <v>分類不能</v>
      </c>
      <c r="AR556" s="4" t="s">
        <v>7850</v>
      </c>
      <c r="AS556" s="8" t="s">
        <v>7842</v>
      </c>
      <c r="AT556" s="8" t="s">
        <v>7843</v>
      </c>
      <c r="AU556" s="8" t="s">
        <v>7643</v>
      </c>
      <c r="AV556" s="4" t="s">
        <v>7644</v>
      </c>
      <c r="AW556" s="8" t="s">
        <v>7608</v>
      </c>
      <c r="AX556" s="8" t="s">
        <v>7664</v>
      </c>
      <c r="AY556" s="8" t="s">
        <v>7610</v>
      </c>
      <c r="AZ556" s="4" t="s">
        <v>7617</v>
      </c>
      <c r="BA556" s="8" t="n">
        <v>1900</v>
      </c>
      <c r="BB556" s="8" t="s">
        <v>7618</v>
      </c>
      <c r="BC556" s="4" t="s">
        <v>7619</v>
      </c>
      <c r="BD556" s="8" t="s">
        <v>7672</v>
      </c>
      <c r="BE556" s="4" t="s">
        <v>7606</v>
      </c>
      <c r="BF556" s="8" t="s">
        <v>7607</v>
      </c>
      <c r="BG556" s="8" t="s">
        <v>7610</v>
      </c>
      <c r="BH556" s="4" t="s">
        <v>7646</v>
      </c>
      <c r="BI556" s="8" t="n">
        <v>16</v>
      </c>
      <c r="BJ556" s="8" t="s">
        <v>7602</v>
      </c>
      <c r="BK556" s="4" t="s">
        <v>7653</v>
      </c>
      <c r="BL556" s="8" t="s">
        <v>7602</v>
      </c>
      <c r="BM556" s="4" t="s">
        <v>7620</v>
      </c>
      <c r="BN556" s="8"/>
      <c r="BO556" s="8"/>
      <c r="BP556" s="8" t="s">
        <v>7610</v>
      </c>
      <c r="BQ556" s="8" t="str">
        <f aca="false">IF(A556="","",AT556)</f>
        <v>4歳以上</v>
      </c>
      <c r="BR556" s="8" t="str">
        <f aca="false">IF(A556="","",IF(BA556&lt;=1200,"～1200",IF(BA556&lt;=1500,"1300～1500",IF(BA556=1600,"1600",IF(BA556&lt;=1800,"1700～1800",IF(BA556&lt;=2000,"1900～2000","2100以上"))))))</f>
        <v>1900～2000</v>
      </c>
      <c r="BS556" s="8" t="str">
        <f aca="false">IF(A556="","",IF(AX556="G1","G1",IF(AX556="G2","G2",IF(AX556="G3","G3",IF(AX556="L","L","その他")))))</f>
        <v>G3</v>
      </c>
      <c r="BT556" s="8" t="str">
        <f aca="false">IF(A556="","",IF(BI556="","未結合",IF(D556=BI556,"一致","不一致")))</f>
        <v>一致</v>
      </c>
      <c r="BU556" s="8" t="str">
        <f aca="false">IF(A556="","",IF(BE556="牝馬限定","牝馬限定","その他"))</f>
        <v>その他</v>
      </c>
    </row>
    <row r="557" customFormat="false" ht="15.75" hidden="false" customHeight="false" outlineLevel="0" collapsed="false">
      <c r="A557" s="6" t="n">
        <v>46165</v>
      </c>
      <c r="B557" s="4" t="s">
        <v>5435</v>
      </c>
      <c r="C557" s="8" t="n">
        <v>12</v>
      </c>
      <c r="D557" s="8" t="n">
        <v>14</v>
      </c>
      <c r="E557" s="8" t="n">
        <v>4</v>
      </c>
      <c r="F557" s="4" t="s">
        <v>5498</v>
      </c>
      <c r="G557" s="8" t="n">
        <v>67</v>
      </c>
      <c r="H557" s="8" t="n">
        <v>8</v>
      </c>
      <c r="I557" s="4" t="s">
        <v>5500</v>
      </c>
      <c r="J557" s="8" t="n">
        <v>47</v>
      </c>
      <c r="K557" s="8" t="n">
        <v>6</v>
      </c>
      <c r="L557" s="4" t="s">
        <v>5499</v>
      </c>
      <c r="M557" s="8" t="n">
        <v>44</v>
      </c>
      <c r="N557" s="8" t="n">
        <f aca="false">IF(A557="","",G557-J557)</f>
        <v>20</v>
      </c>
      <c r="O557" s="8" t="n">
        <f aca="false">IF(A557="","",J557-M557)</f>
        <v>3</v>
      </c>
      <c r="P557" s="8" t="n">
        <f aca="false">IF(A557="","",G557+J557)</f>
        <v>114</v>
      </c>
      <c r="Q557" s="8" t="str">
        <f aca="false">IF(A557="","",IF(AND(Y557&lt;&gt;"参考",G557&gt;=ルール設定!$B$2),"○",""))</f>
        <v/>
      </c>
      <c r="R557" s="8" t="str">
        <f aca="false">IF(A557="","",IF(AND(Y557&lt;&gt;"参考",G557&gt;=ルール設定!$B$3,N557&gt;=ルール設定!$B$4),"○",""))</f>
        <v/>
      </c>
      <c r="S557" s="8" t="str">
        <f aca="false">IF(A557="","",IF(AND(Y557&lt;&gt;"参考",G557&gt;=ルール設定!$B$5,J557&gt;=ルール設定!$B$6,O557&gt;=ルール設定!$B$7),"○",""))</f>
        <v/>
      </c>
      <c r="T557" s="8" t="n">
        <v>1</v>
      </c>
      <c r="U557" s="8" t="n">
        <v>4</v>
      </c>
      <c r="V557" s="8" t="str">
        <f aca="false">IF(A557="","",IF(AND(ISNUMBER(T557),ISNUMBER(U557)),IF(AND(T557&lt;=3,U557&lt;=3),"○","×"),""))</f>
        <v>×</v>
      </c>
      <c r="W557" s="8" t="n">
        <v>130</v>
      </c>
      <c r="X557" s="8"/>
      <c r="Y557" s="4" t="s">
        <v>7597</v>
      </c>
      <c r="Z557" s="4" t="s">
        <v>7841</v>
      </c>
      <c r="AA557" s="8" t="str">
        <v/>
      </c>
      <c r="AB557" s="8" t="str">
        <v/>
      </c>
      <c r="AC557" s="8" t="str">
        <v/>
      </c>
      <c r="AD557" s="8" t="str">
        <v/>
      </c>
      <c r="AE557" s="8" t="str">
        <v/>
      </c>
      <c r="AF557" s="8" t="str">
        <v/>
      </c>
      <c r="AG557" s="8" t="str">
        <v/>
      </c>
      <c r="AH557" s="8" t="str">
        <v/>
      </c>
      <c r="AI557" s="8" t="n">
        <v>23</v>
      </c>
      <c r="AJ557" s="8" t="str">
        <v>60～69</v>
      </c>
      <c r="AK557" s="8" t="str">
        <v>20～29</v>
      </c>
      <c r="AL557" s="8" t="str">
        <v>20～29</v>
      </c>
      <c r="AM557" s="8" t="str">
        <v>100～119</v>
      </c>
      <c r="AN557" s="8" t="str">
        <v>12～14</v>
      </c>
      <c r="AO557" s="8" t="str">
        <f aca="false">IF(A557="","",IF(COUNTIFS(全馬データ!$A$2:$A$50000,A557,全馬データ!$B$2:$B$50000,B557,全馬データ!$C$2:$C$50000,C557,全馬データ!$D$2:$D$50000,E557,全馬データ!$K$2:$K$50000,"&lt;&gt;")=0,"",SUMIFS(全馬データ!$K$2:$K$50000,全馬データ!$A$2:$A$50000,A557,全馬データ!$B$2:$B$50000,B557,全馬データ!$C$2:$C$50000,C557,全馬データ!$D$2:$D$50000,E557)))</f>
        <v/>
      </c>
      <c r="AP557" s="8" t="str">
        <f aca="false">IF(A557="","",IF(AO557="","欠損",IF(AO557&lt;=1.1,"1.0～1.1",IF(AO557&lt;1.3,"1.2",IF(AO557&lt;1.5,"1.3～1.4",IF(AO557&lt;2,"1.5～1.9","2.0以上"))))))</f>
        <v>欠損</v>
      </c>
      <c r="AQ557" s="8" t="str">
        <f aca="false">IF(A557="","",IF(ISNUMBER(SEARCH("2歳",Z557)),"2歳戦",IF(ISNUMBER(SEARCH("3歳未勝利",Z557)),"3歳未勝利",IF(ISNUMBER(SEARCH("未勝利",Z557)),"その他未勝利",IF(ISNUMBER(SEARCH("G1",Z557)),"G1",IF(ISNUMBER(SEARCH("G2",Z557)),"G2",IF(ISNUMBER(SEARCH("G3",Z557)),"G3",IF(ISNUMBER(SEARCH("古馬条件",Z557)),"古馬条件戦",IF(ISNUMBER(SEARCH("重賞",Z557)),"重賞","分類不能")))))))))</f>
        <v>分類不能</v>
      </c>
      <c r="AR557" s="4" t="s">
        <v>7851</v>
      </c>
      <c r="AS557" s="8" t="s">
        <v>7842</v>
      </c>
      <c r="AT557" s="8" t="s">
        <v>7843</v>
      </c>
      <c r="AU557" s="8" t="s">
        <v>7634</v>
      </c>
      <c r="AV557" s="8" t="s">
        <v>7635</v>
      </c>
      <c r="AW557" s="8" t="s">
        <v>7636</v>
      </c>
      <c r="AX557" s="4" t="s">
        <v>7637</v>
      </c>
      <c r="AY557" s="8" t="s">
        <v>7610</v>
      </c>
      <c r="AZ557" s="4" t="s">
        <v>7617</v>
      </c>
      <c r="BA557" s="8" t="n">
        <v>1400</v>
      </c>
      <c r="BB557" s="8" t="s">
        <v>7618</v>
      </c>
      <c r="BC557" s="4" t="s">
        <v>7619</v>
      </c>
      <c r="BD557" s="8" t="s">
        <v>7605</v>
      </c>
      <c r="BE557" s="4" t="s">
        <v>7606</v>
      </c>
      <c r="BF557" s="8" t="s">
        <v>7607</v>
      </c>
      <c r="BG557" s="8" t="s">
        <v>7631</v>
      </c>
      <c r="BH557" s="4" t="s">
        <v>7632</v>
      </c>
      <c r="BI557" s="8" t="n">
        <v>14</v>
      </c>
      <c r="BJ557" s="8" t="s">
        <v>7602</v>
      </c>
      <c r="BK557" s="4" t="s">
        <v>7653</v>
      </c>
      <c r="BL557" s="8" t="s">
        <v>7602</v>
      </c>
      <c r="BM557" s="4" t="s">
        <v>7620</v>
      </c>
      <c r="BN557" s="8"/>
      <c r="BO557" s="8"/>
      <c r="BP557" s="8" t="s">
        <v>7610</v>
      </c>
      <c r="BQ557" s="8" t="str">
        <f aca="false">IF(A557="","",AT557)</f>
        <v>4歳以上</v>
      </c>
      <c r="BR557" s="8" t="str">
        <f aca="false">IF(A557="","",IF(BA557&lt;=1200,"～1200",IF(BA557&lt;=1500,"1300～1500",IF(BA557=1600,"1600",IF(BA557&lt;=1800,"1700～1800",IF(BA557&lt;=2000,"1900～2000","2100以上"))))))</f>
        <v>1300～1500</v>
      </c>
      <c r="BS557" s="8" t="str">
        <f aca="false">IF(A557="","",IF(AX557="G1","G1",IF(AX557="G2","G2",IF(AX557="G3","G3",IF(AX557="L","L","その他")))))</f>
        <v>その他</v>
      </c>
      <c r="BT557" s="8" t="str">
        <f aca="false">IF(A557="","",IF(BI557="","未結合",IF(D557=BI557,"一致","不一致")))</f>
        <v>一致</v>
      </c>
      <c r="BU557" s="8" t="str">
        <f aca="false">IF(A557="","",IF(BE557="牝馬限定","牝馬限定","その他"))</f>
        <v>その他</v>
      </c>
    </row>
    <row r="558" customFormat="false" ht="15.75" hidden="false" customHeight="false" outlineLevel="0" collapsed="false">
      <c r="A558" s="6" t="n">
        <v>46165</v>
      </c>
      <c r="B558" s="4" t="s">
        <v>13</v>
      </c>
      <c r="C558" s="8" t="n">
        <v>1</v>
      </c>
      <c r="D558" s="8" t="n">
        <v>14</v>
      </c>
      <c r="E558" s="8" t="n">
        <v>4</v>
      </c>
      <c r="F558" s="4" t="s">
        <v>584</v>
      </c>
      <c r="G558" s="8" t="n">
        <v>55</v>
      </c>
      <c r="H558" s="8" t="n">
        <v>8</v>
      </c>
      <c r="I558" s="4" t="s">
        <v>578</v>
      </c>
      <c r="J558" s="8" t="n">
        <v>44</v>
      </c>
      <c r="K558" s="8" t="n">
        <v>5</v>
      </c>
      <c r="L558" s="4" t="s">
        <v>1097</v>
      </c>
      <c r="M558" s="8" t="n">
        <v>37</v>
      </c>
      <c r="N558" s="8" t="n">
        <f aca="false">IF(A558="","",G558-J558)</f>
        <v>11</v>
      </c>
      <c r="O558" s="8" t="n">
        <f aca="false">IF(A558="","",J558-M558)</f>
        <v>7</v>
      </c>
      <c r="P558" s="8" t="n">
        <f aca="false">IF(A558="","",G558+J558)</f>
        <v>99</v>
      </c>
      <c r="Q558" s="8" t="str">
        <f aca="false">IF(A558="","",IF(AND(Y558&lt;&gt;"参考",G558&gt;=ルール設定!$B$2),"○",""))</f>
        <v/>
      </c>
      <c r="R558" s="8" t="str">
        <f aca="false">IF(A558="","",IF(AND(Y558&lt;&gt;"参考",G558&gt;=ルール設定!$B$3,N558&gt;=ルール設定!$B$4),"○",""))</f>
        <v/>
      </c>
      <c r="S558" s="8" t="str">
        <f aca="false">IF(A558="","",IF(AND(Y558&lt;&gt;"参考",G558&gt;=ルール設定!$B$5,J558&gt;=ルール設定!$B$6,O558&gt;=ルール設定!$B$7),"○",""))</f>
        <v/>
      </c>
      <c r="T558" s="8" t="n">
        <v>4</v>
      </c>
      <c r="U558" s="8" t="n">
        <v>2</v>
      </c>
      <c r="V558" s="8" t="str">
        <f aca="false">IF(A558="","",IF(AND(ISNUMBER(T558),ISNUMBER(U558)),IF(AND(T558&lt;=3,U558&lt;=3),"○","×"),""))</f>
        <v>×</v>
      </c>
      <c r="W558" s="8"/>
      <c r="X558" s="8"/>
      <c r="Y558" s="4" t="s">
        <v>7597</v>
      </c>
      <c r="Z558" s="4" t="s">
        <v>7841</v>
      </c>
      <c r="AA558" s="8" t="str">
        <v/>
      </c>
      <c r="AB558" s="8" t="str">
        <v/>
      </c>
      <c r="AC558" s="8" t="str">
        <v/>
      </c>
      <c r="AD558" s="8" t="str">
        <v/>
      </c>
      <c r="AE558" s="8" t="str">
        <v/>
      </c>
      <c r="AF558" s="8" t="str">
        <v/>
      </c>
      <c r="AG558" s="8" t="str">
        <v/>
      </c>
      <c r="AH558" s="8" t="str">
        <v/>
      </c>
      <c r="AI558" s="8" t="n">
        <v>18</v>
      </c>
      <c r="AJ558" s="8" t="str">
        <v>～59</v>
      </c>
      <c r="AK558" s="8" t="str">
        <v>10～19</v>
      </c>
      <c r="AL558" s="8" t="str">
        <v>10～19</v>
      </c>
      <c r="AM558" s="8" t="str">
        <v>～99</v>
      </c>
      <c r="AN558" s="8" t="str">
        <v>12～14</v>
      </c>
      <c r="AO558" s="8" t="str">
        <f aca="false">IF(A558="","",IF(COUNTIFS(全馬データ!$A$2:$A$50000,A558,全馬データ!$B$2:$B$50000,B558,全馬データ!$C$2:$C$50000,C558,全馬データ!$D$2:$D$50000,E558,全馬データ!$K$2:$K$50000,"&lt;&gt;")=0,"",SUMIFS(全馬データ!$K$2:$K$50000,全馬データ!$A$2:$A$50000,A558,全馬データ!$B$2:$B$50000,B558,全馬データ!$C$2:$C$50000,C558,全馬データ!$D$2:$D$50000,E558)))</f>
        <v/>
      </c>
      <c r="AP558" s="8" t="str">
        <f aca="false">IF(A558="","",IF(AO558="","欠損",IF(AO558&lt;=1.1,"1.0～1.1",IF(AO558&lt;1.3,"1.2",IF(AO558&lt;1.5,"1.3～1.4",IF(AO558&lt;2,"1.5～1.9","2.0以上"))))))</f>
        <v>欠損</v>
      </c>
      <c r="AQ558" s="8" t="str">
        <f aca="false">IF(A558="","",IF(ISNUMBER(SEARCH("2歳",Z558)),"2歳戦",IF(ISNUMBER(SEARCH("3歳未勝利",Z558)),"3歳未勝利",IF(ISNUMBER(SEARCH("未勝利",Z558)),"その他未勝利",IF(ISNUMBER(SEARCH("G1",Z558)),"G1",IF(ISNUMBER(SEARCH("G2",Z558)),"G2",IF(ISNUMBER(SEARCH("G3",Z558)),"G3",IF(ISNUMBER(SEARCH("古馬条件",Z558)),"古馬条件戦",IF(ISNUMBER(SEARCH("重賞",Z558)),"重賞","分類不能")))))))))</f>
        <v>分類不能</v>
      </c>
      <c r="AR558" s="8"/>
      <c r="AS558" s="8" t="s">
        <v>7618</v>
      </c>
      <c r="AT558" s="4" t="s">
        <v>7642</v>
      </c>
      <c r="AU558" s="8" t="s">
        <v>7600</v>
      </c>
      <c r="AV558" s="4" t="s">
        <v>7601</v>
      </c>
      <c r="AW558" s="8"/>
      <c r="AX558" s="8"/>
      <c r="AY558" s="8" t="s">
        <v>7608</v>
      </c>
      <c r="AZ558" s="4" t="s">
        <v>7642</v>
      </c>
      <c r="BA558" s="8" t="n">
        <v>2890</v>
      </c>
      <c r="BB558" s="8" t="s">
        <v>7618</v>
      </c>
      <c r="BC558" s="4" t="s">
        <v>7619</v>
      </c>
      <c r="BD558" s="8" t="s">
        <v>7645</v>
      </c>
      <c r="BE558" s="4" t="s">
        <v>7606</v>
      </c>
      <c r="BF558" s="8" t="s">
        <v>7607</v>
      </c>
      <c r="BG558" s="8" t="s">
        <v>7631</v>
      </c>
      <c r="BH558" s="4" t="s">
        <v>7632</v>
      </c>
      <c r="BI558" s="8" t="n">
        <v>14</v>
      </c>
      <c r="BJ558" s="8" t="s">
        <v>7647</v>
      </c>
      <c r="BK558" s="4" t="s">
        <v>7648</v>
      </c>
      <c r="BL558" s="8" t="s">
        <v>7647</v>
      </c>
      <c r="BM558" s="4" t="s">
        <v>7648</v>
      </c>
      <c r="BN558" s="8"/>
      <c r="BO558" s="8"/>
      <c r="BP558" s="8" t="s">
        <v>7608</v>
      </c>
      <c r="BQ558" s="8" t="str">
        <f aca="false">IF(A558="","",AT558)</f>
        <v>障害</v>
      </c>
      <c r="BR558" s="8" t="str">
        <f aca="false">IF(A558="","",IF(BA558&lt;=1200,"～1200",IF(BA558&lt;=1500,"1300～1500",IF(BA558=1600,"1600",IF(BA558&lt;=1800,"1700～1800",IF(BA558&lt;=2000,"1900～2000","2100以上"))))))</f>
        <v>2100以上</v>
      </c>
      <c r="BS558" s="8" t="str">
        <f aca="false">IF(A558="","",IF(AX558="G1","G1",IF(AX558="G2","G2",IF(AX558="G3","G3",IF(AX558="L","L","その他")))))</f>
        <v>その他</v>
      </c>
      <c r="BT558" s="8" t="str">
        <f aca="false">IF(A558="","",IF(BI558="","未結合",IF(D558=BI558,"一致","不一致")))</f>
        <v>一致</v>
      </c>
      <c r="BU558" s="8" t="str">
        <f aca="false">IF(A558="","",IF(BE558="牝馬限定","牝馬限定","その他"))</f>
        <v>その他</v>
      </c>
    </row>
    <row r="559" customFormat="false" ht="15.75" hidden="false" customHeight="false" outlineLevel="0" collapsed="false">
      <c r="A559" s="6" t="n">
        <v>46165</v>
      </c>
      <c r="B559" s="4" t="s">
        <v>13</v>
      </c>
      <c r="C559" s="8" t="n">
        <v>2</v>
      </c>
      <c r="D559" s="8" t="n">
        <v>15</v>
      </c>
      <c r="E559" s="8" t="n">
        <v>5</v>
      </c>
      <c r="F559" s="4" t="s">
        <v>1597</v>
      </c>
      <c r="G559" s="8" t="n">
        <v>65</v>
      </c>
      <c r="H559" s="8" t="n">
        <v>2</v>
      </c>
      <c r="I559" s="4" t="s">
        <v>1747</v>
      </c>
      <c r="J559" s="8" t="n">
        <v>60</v>
      </c>
      <c r="K559" s="8" t="n">
        <v>8</v>
      </c>
      <c r="L559" s="4" t="s">
        <v>3607</v>
      </c>
      <c r="M559" s="8" t="n">
        <v>39</v>
      </c>
      <c r="N559" s="8" t="n">
        <f aca="false">IF(A559="","",G559-J559)</f>
        <v>5</v>
      </c>
      <c r="O559" s="8" t="n">
        <f aca="false">IF(A559="","",J559-M559)</f>
        <v>21</v>
      </c>
      <c r="P559" s="8" t="n">
        <f aca="false">IF(A559="","",G559+J559)</f>
        <v>125</v>
      </c>
      <c r="Q559" s="8" t="str">
        <f aca="false">IF(A559="","",IF(AND(Y559&lt;&gt;"参考",G559&gt;=ルール設定!$B$2),"○",""))</f>
        <v/>
      </c>
      <c r="R559" s="8" t="str">
        <f aca="false">IF(A559="","",IF(AND(Y559&lt;&gt;"参考",G559&gt;=ルール設定!$B$3,N559&gt;=ルール設定!$B$4),"○",""))</f>
        <v/>
      </c>
      <c r="S559" s="8" t="str">
        <f aca="false">IF(A559="","",IF(AND(Y559&lt;&gt;"参考",G559&gt;=ルール設定!$B$5,J559&gt;=ルール設定!$B$6,O559&gt;=ルール設定!$B$7),"○",""))</f>
        <v>○</v>
      </c>
      <c r="T559" s="8" t="n">
        <v>3</v>
      </c>
      <c r="U559" s="8" t="n">
        <v>4</v>
      </c>
      <c r="V559" s="8" t="str">
        <f aca="false">IF(A559="","",IF(AND(ISNUMBER(T559),ISNUMBER(U559)),IF(AND(T559&lt;=3,U559&lt;=3),"○","×"),""))</f>
        <v>×</v>
      </c>
      <c r="W559" s="8" t="n">
        <v>150</v>
      </c>
      <c r="X559" s="8"/>
      <c r="Y559" s="4" t="s">
        <v>7597</v>
      </c>
      <c r="Z559" s="4" t="s">
        <v>7841</v>
      </c>
      <c r="AA559" s="8" t="str">
        <v/>
      </c>
      <c r="AB559" s="8" t="str">
        <v/>
      </c>
      <c r="AC559" s="8" t="str">
        <v/>
      </c>
      <c r="AD559" s="8" t="str">
        <v/>
      </c>
      <c r="AE559" s="8" t="str">
        <v/>
      </c>
      <c r="AF559" s="8" t="str">
        <v/>
      </c>
      <c r="AG559" s="8" t="str">
        <v/>
      </c>
      <c r="AH559" s="8" t="str">
        <v/>
      </c>
      <c r="AI559" s="8" t="n">
        <v>26</v>
      </c>
      <c r="AJ559" s="8" t="str">
        <v>60～69</v>
      </c>
      <c r="AK559" s="8" t="str">
        <v>5～9</v>
      </c>
      <c r="AL559" s="8" t="str">
        <v>20～29</v>
      </c>
      <c r="AM559" s="8" t="str">
        <v>120～139</v>
      </c>
      <c r="AN559" s="8" t="str">
        <v>15以上</v>
      </c>
      <c r="AO559" s="8" t="str">
        <f aca="false">IF(A559="","",IF(COUNTIFS(全馬データ!$A$2:$A$50000,A559,全馬データ!$B$2:$B$50000,B559,全馬データ!$C$2:$C$50000,C559,全馬データ!$D$2:$D$50000,E559,全馬データ!$K$2:$K$50000,"&lt;&gt;")=0,"",SUMIFS(全馬データ!$K$2:$K$50000,全馬データ!$A$2:$A$50000,A559,全馬データ!$B$2:$B$50000,B559,全馬データ!$C$2:$C$50000,C559,全馬データ!$D$2:$D$50000,E559)))</f>
        <v/>
      </c>
      <c r="AP559" s="8" t="str">
        <f aca="false">IF(A559="","",IF(AO559="","欠損",IF(AO559&lt;=1.1,"1.0～1.1",IF(AO559&lt;1.3,"1.2",IF(AO559&lt;1.5,"1.3～1.4",IF(AO559&lt;2,"1.5～1.9","2.0以上"))))))</f>
        <v>欠損</v>
      </c>
      <c r="AQ559" s="8" t="str">
        <f aca="false">IF(A559="","",IF(ISNUMBER(SEARCH("2歳",Z559)),"2歳戦",IF(ISNUMBER(SEARCH("3歳未勝利",Z559)),"3歳未勝利",IF(ISNUMBER(SEARCH("未勝利",Z559)),"その他未勝利",IF(ISNUMBER(SEARCH("G1",Z559)),"G1",IF(ISNUMBER(SEARCH("G2",Z559)),"G2",IF(ISNUMBER(SEARCH("G3",Z559)),"G3",IF(ISNUMBER(SEARCH("古馬条件",Z559)),"古馬条件戦",IF(ISNUMBER(SEARCH("重賞",Z559)),"重賞","分類不能")))))))))</f>
        <v>分類不能</v>
      </c>
      <c r="AR559" s="8"/>
      <c r="AS559" s="8" t="s">
        <v>7623</v>
      </c>
      <c r="AT559" s="8" t="s">
        <v>7624</v>
      </c>
      <c r="AU559" s="8" t="s">
        <v>7600</v>
      </c>
      <c r="AV559" s="4" t="s">
        <v>7601</v>
      </c>
      <c r="AW559" s="8"/>
      <c r="AX559" s="8"/>
      <c r="AY559" s="8" t="s">
        <v>7610</v>
      </c>
      <c r="AZ559" s="4" t="s">
        <v>7617</v>
      </c>
      <c r="BA559" s="8" t="n">
        <v>1800</v>
      </c>
      <c r="BB559" s="8" t="s">
        <v>7618</v>
      </c>
      <c r="BC559" s="4" t="s">
        <v>7619</v>
      </c>
      <c r="BD559" s="8" t="s">
        <v>7621</v>
      </c>
      <c r="BE559" s="4" t="s">
        <v>7622</v>
      </c>
      <c r="BF559" s="8" t="s">
        <v>7602</v>
      </c>
      <c r="BG559" s="8" t="s">
        <v>7608</v>
      </c>
      <c r="BH559" s="4" t="s">
        <v>7609</v>
      </c>
      <c r="BI559" s="8" t="n">
        <v>15</v>
      </c>
      <c r="BJ559" s="8" t="s">
        <v>7610</v>
      </c>
      <c r="BK559" s="4" t="s">
        <v>7611</v>
      </c>
      <c r="BL559" s="8" t="s">
        <v>7602</v>
      </c>
      <c r="BM559" s="4" t="s">
        <v>7620</v>
      </c>
      <c r="BN559" s="8"/>
      <c r="BO559" s="8"/>
      <c r="BP559" s="8" t="s">
        <v>7608</v>
      </c>
      <c r="BQ559" s="8" t="str">
        <f aca="false">IF(A559="","",AT559)</f>
        <v>3歳</v>
      </c>
      <c r="BR559" s="8" t="str">
        <f aca="false">IF(A559="","",IF(BA559&lt;=1200,"～1200",IF(BA559&lt;=1500,"1300～1500",IF(BA559=1600,"1600",IF(BA559&lt;=1800,"1700～1800",IF(BA559&lt;=2000,"1900～2000","2100以上"))))))</f>
        <v>1700～1800</v>
      </c>
      <c r="BS559" s="8" t="str">
        <f aca="false">IF(A559="","",IF(AX559="G1","G1",IF(AX559="G2","G2",IF(AX559="G3","G3",IF(AX559="L","L","その他")))))</f>
        <v>その他</v>
      </c>
      <c r="BT559" s="8" t="str">
        <f aca="false">IF(A559="","",IF(BI559="","未結合",IF(D559=BI559,"一致","不一致")))</f>
        <v>一致</v>
      </c>
      <c r="BU559" s="8" t="str">
        <f aca="false">IF(A559="","",IF(BE559="牝馬限定","牝馬限定","その他"))</f>
        <v>牝馬限定</v>
      </c>
    </row>
    <row r="560" customFormat="false" ht="15.75" hidden="false" customHeight="false" outlineLevel="0" collapsed="false">
      <c r="A560" s="6" t="n">
        <v>46165</v>
      </c>
      <c r="B560" s="4" t="s">
        <v>13</v>
      </c>
      <c r="C560" s="8" t="n">
        <v>3</v>
      </c>
      <c r="D560" s="8" t="n">
        <v>15</v>
      </c>
      <c r="E560" s="8" t="n">
        <v>11</v>
      </c>
      <c r="F560" s="4" t="s">
        <v>1729</v>
      </c>
      <c r="G560" s="8" t="n">
        <v>67</v>
      </c>
      <c r="H560" s="8" t="n">
        <v>6</v>
      </c>
      <c r="I560" s="4" t="s">
        <v>2565</v>
      </c>
      <c r="J560" s="8" t="n">
        <v>50</v>
      </c>
      <c r="K560" s="8" t="n">
        <v>8</v>
      </c>
      <c r="L560" s="4" t="s">
        <v>4359</v>
      </c>
      <c r="M560" s="8" t="n">
        <v>41</v>
      </c>
      <c r="N560" s="8" t="n">
        <f aca="false">IF(A560="","",G560-J560)</f>
        <v>17</v>
      </c>
      <c r="O560" s="8" t="n">
        <f aca="false">IF(A560="","",J560-M560)</f>
        <v>9</v>
      </c>
      <c r="P560" s="8" t="n">
        <f aca="false">IF(A560="","",G560+J560)</f>
        <v>117</v>
      </c>
      <c r="Q560" s="8" t="str">
        <f aca="false">IF(A560="","",IF(AND(Y560&lt;&gt;"参考",G560&gt;=ルール設定!$B$2),"○",""))</f>
        <v/>
      </c>
      <c r="R560" s="8" t="str">
        <f aca="false">IF(A560="","",IF(AND(Y560&lt;&gt;"参考",G560&gt;=ルール設定!$B$3,N560&gt;=ルール設定!$B$4),"○",""))</f>
        <v/>
      </c>
      <c r="S560" s="8" t="str">
        <f aca="false">IF(A560="","",IF(AND(Y560&lt;&gt;"参考",G560&gt;=ルール設定!$B$5,J560&gt;=ルール設定!$B$6,O560&gt;=ルール設定!$B$7),"○",""))</f>
        <v/>
      </c>
      <c r="T560" s="8" t="n">
        <v>3</v>
      </c>
      <c r="U560" s="8" t="n">
        <v>4</v>
      </c>
      <c r="V560" s="8" t="str">
        <f aca="false">IF(A560="","",IF(AND(ISNUMBER(T560),ISNUMBER(U560)),IF(AND(T560&lt;=3,U560&lt;=3),"○","×"),""))</f>
        <v>×</v>
      </c>
      <c r="W560" s="8" t="n">
        <v>130</v>
      </c>
      <c r="X560" s="8"/>
      <c r="Y560" s="4" t="s">
        <v>7597</v>
      </c>
      <c r="Z560" s="4" t="s">
        <v>7841</v>
      </c>
      <c r="AA560" s="8" t="str">
        <v/>
      </c>
      <c r="AB560" s="8" t="str">
        <v/>
      </c>
      <c r="AC560" s="8" t="str">
        <v/>
      </c>
      <c r="AD560" s="8" t="str">
        <v/>
      </c>
      <c r="AE560" s="8" t="str">
        <v/>
      </c>
      <c r="AF560" s="8" t="str">
        <v/>
      </c>
      <c r="AG560" s="8" t="str">
        <v/>
      </c>
      <c r="AH560" s="8" t="str">
        <v/>
      </c>
      <c r="AI560" s="8" t="n">
        <v>26</v>
      </c>
      <c r="AJ560" s="8" t="str">
        <v>60～69</v>
      </c>
      <c r="AK560" s="8" t="str">
        <v>10～19</v>
      </c>
      <c r="AL560" s="8" t="str">
        <v>20～29</v>
      </c>
      <c r="AM560" s="8" t="str">
        <v>100～119</v>
      </c>
      <c r="AN560" s="8" t="str">
        <v>15以上</v>
      </c>
      <c r="AO560" s="8" t="str">
        <f aca="false">IF(A560="","",IF(COUNTIFS(全馬データ!$A$2:$A$50000,A560,全馬データ!$B$2:$B$50000,B560,全馬データ!$C$2:$C$50000,C560,全馬データ!$D$2:$D$50000,E560,全馬データ!$K$2:$K$50000,"&lt;&gt;")=0,"",SUMIFS(全馬データ!$K$2:$K$50000,全馬データ!$A$2:$A$50000,A560,全馬データ!$B$2:$B$50000,B560,全馬データ!$C$2:$C$50000,C560,全馬データ!$D$2:$D$50000,E560)))</f>
        <v/>
      </c>
      <c r="AP560" s="8" t="str">
        <f aca="false">IF(A560="","",IF(AO560="","欠損",IF(AO560&lt;=1.1,"1.0～1.1",IF(AO560&lt;1.3,"1.2",IF(AO560&lt;1.5,"1.3～1.4",IF(AO560&lt;2,"1.5～1.9","2.0以上"))))))</f>
        <v>欠損</v>
      </c>
      <c r="AQ560" s="8" t="str">
        <f aca="false">IF(A560="","",IF(ISNUMBER(SEARCH("2歳",Z560)),"2歳戦",IF(ISNUMBER(SEARCH("3歳未勝利",Z560)),"3歳未勝利",IF(ISNUMBER(SEARCH("未勝利",Z560)),"その他未勝利",IF(ISNUMBER(SEARCH("G1",Z560)),"G1",IF(ISNUMBER(SEARCH("G2",Z560)),"G2",IF(ISNUMBER(SEARCH("G3",Z560)),"G3",IF(ISNUMBER(SEARCH("古馬条件",Z560)),"古馬条件戦",IF(ISNUMBER(SEARCH("重賞",Z560)),"重賞","分類不能")))))))))</f>
        <v>分類不能</v>
      </c>
      <c r="AR560" s="8"/>
      <c r="AS560" s="8" t="s">
        <v>7623</v>
      </c>
      <c r="AT560" s="8" t="s">
        <v>7624</v>
      </c>
      <c r="AU560" s="8" t="s">
        <v>7600</v>
      </c>
      <c r="AV560" s="4" t="s">
        <v>7601</v>
      </c>
      <c r="AW560" s="8"/>
      <c r="AX560" s="8"/>
      <c r="AY560" s="8" t="s">
        <v>7610</v>
      </c>
      <c r="AZ560" s="4" t="s">
        <v>7617</v>
      </c>
      <c r="BA560" s="8" t="n">
        <v>1200</v>
      </c>
      <c r="BB560" s="8" t="s">
        <v>7618</v>
      </c>
      <c r="BC560" s="4" t="s">
        <v>7619</v>
      </c>
      <c r="BD560" s="8" t="s">
        <v>7625</v>
      </c>
      <c r="BE560" s="4" t="s">
        <v>7606</v>
      </c>
      <c r="BF560" s="8" t="s">
        <v>7607</v>
      </c>
      <c r="BG560" s="8" t="s">
        <v>7608</v>
      </c>
      <c r="BH560" s="4" t="s">
        <v>7609</v>
      </c>
      <c r="BI560" s="8" t="n">
        <v>15</v>
      </c>
      <c r="BJ560" s="8" t="s">
        <v>7610</v>
      </c>
      <c r="BK560" s="4" t="s">
        <v>7611</v>
      </c>
      <c r="BL560" s="8" t="s">
        <v>7602</v>
      </c>
      <c r="BM560" s="4" t="s">
        <v>7620</v>
      </c>
      <c r="BN560" s="8"/>
      <c r="BO560" s="8"/>
      <c r="BP560" s="8" t="s">
        <v>7608</v>
      </c>
      <c r="BQ560" s="8" t="str">
        <f aca="false">IF(A560="","",AT560)</f>
        <v>3歳</v>
      </c>
      <c r="BR560" s="8" t="str">
        <f aca="false">IF(A560="","",IF(BA560&lt;=1200,"～1200",IF(BA560&lt;=1500,"1300～1500",IF(BA560=1600,"1600",IF(BA560&lt;=1800,"1700～1800",IF(BA560&lt;=2000,"1900～2000","2100以上"))))))</f>
        <v>～1200</v>
      </c>
      <c r="BS560" s="8" t="str">
        <f aca="false">IF(A560="","",IF(AX560="G1","G1",IF(AX560="G2","G2",IF(AX560="G3","G3",IF(AX560="L","L","その他")))))</f>
        <v>その他</v>
      </c>
      <c r="BT560" s="8" t="str">
        <f aca="false">IF(A560="","",IF(BI560="","未結合",IF(D560=BI560,"一致","不一致")))</f>
        <v>一致</v>
      </c>
      <c r="BU560" s="8" t="str">
        <f aca="false">IF(A560="","",IF(BE560="牝馬限定","牝馬限定","その他"))</f>
        <v>その他</v>
      </c>
    </row>
    <row r="561" customFormat="false" ht="15.75" hidden="false" customHeight="false" outlineLevel="0" collapsed="false">
      <c r="A561" s="6" t="n">
        <v>46165</v>
      </c>
      <c r="B561" s="4" t="s">
        <v>13</v>
      </c>
      <c r="C561" s="8" t="n">
        <v>4</v>
      </c>
      <c r="D561" s="8" t="n">
        <v>13</v>
      </c>
      <c r="E561" s="8" t="n">
        <v>4</v>
      </c>
      <c r="F561" s="4" t="s">
        <v>5523</v>
      </c>
      <c r="G561" s="8" t="n">
        <v>55</v>
      </c>
      <c r="H561" s="8" t="n">
        <v>5</v>
      </c>
      <c r="I561" s="4" t="s">
        <v>1873</v>
      </c>
      <c r="J561" s="8" t="n">
        <v>55</v>
      </c>
      <c r="K561" s="8" t="n">
        <v>3</v>
      </c>
      <c r="L561" s="4" t="s">
        <v>5522</v>
      </c>
      <c r="M561" s="8" t="n">
        <v>44</v>
      </c>
      <c r="N561" s="8" t="n">
        <f aca="false">IF(A561="","",G561-J561)</f>
        <v>0</v>
      </c>
      <c r="O561" s="8" t="n">
        <f aca="false">IF(A561="","",J561-M561)</f>
        <v>11</v>
      </c>
      <c r="P561" s="8" t="n">
        <f aca="false">IF(A561="","",G561+J561)</f>
        <v>110</v>
      </c>
      <c r="Q561" s="8" t="str">
        <f aca="false">IF(A561="","",IF(AND(Y561&lt;&gt;"参考",G561&gt;=ルール設定!$B$2),"○",""))</f>
        <v/>
      </c>
      <c r="R561" s="8" t="str">
        <f aca="false">IF(A561="","",IF(AND(Y561&lt;&gt;"参考",G561&gt;=ルール設定!$B$3,N561&gt;=ルール設定!$B$4),"○",""))</f>
        <v/>
      </c>
      <c r="S561" s="8" t="str">
        <f aca="false">IF(A561="","",IF(AND(Y561&lt;&gt;"参考",G561&gt;=ルール設定!$B$5,J561&gt;=ルール設定!$B$6,O561&gt;=ルール設定!$B$7),"○",""))</f>
        <v/>
      </c>
      <c r="T561" s="8" t="n">
        <v>1</v>
      </c>
      <c r="U561" s="8" t="n">
        <v>2</v>
      </c>
      <c r="V561" s="8" t="str">
        <f aca="false">IF(A561="","",IF(AND(ISNUMBER(T561),ISNUMBER(U561)),IF(AND(T561&lt;=3,U561&lt;=3),"○","×"),""))</f>
        <v>○</v>
      </c>
      <c r="W561" s="8" t="n">
        <v>110</v>
      </c>
      <c r="X561" s="8" t="n">
        <v>190</v>
      </c>
      <c r="Y561" s="4" t="s">
        <v>7597</v>
      </c>
      <c r="Z561" s="4" t="s">
        <v>7841</v>
      </c>
      <c r="AA561" s="8" t="str">
        <v/>
      </c>
      <c r="AB561" s="8" t="str">
        <v/>
      </c>
      <c r="AC561" s="8" t="str">
        <v/>
      </c>
      <c r="AD561" s="8" t="str">
        <v/>
      </c>
      <c r="AE561" s="8" t="str">
        <v/>
      </c>
      <c r="AF561" s="8" t="str">
        <v/>
      </c>
      <c r="AG561" s="8" t="str">
        <v/>
      </c>
      <c r="AH561" s="8" t="str">
        <v/>
      </c>
      <c r="AI561" s="8" t="n">
        <v>11</v>
      </c>
      <c r="AJ561" s="8" t="str">
        <v>～59</v>
      </c>
      <c r="AK561" s="8" t="str">
        <v>0～4</v>
      </c>
      <c r="AL561" s="8" t="str">
        <v>10～19</v>
      </c>
      <c r="AM561" s="8" t="str">
        <v>100～119</v>
      </c>
      <c r="AN561" s="8" t="str">
        <v>12～14</v>
      </c>
      <c r="AO561" s="8" t="str">
        <f aca="false">IF(A561="","",IF(COUNTIFS(全馬データ!$A$2:$A$50000,A561,全馬データ!$B$2:$B$50000,B561,全馬データ!$C$2:$C$50000,C561,全馬データ!$D$2:$D$50000,E561,全馬データ!$K$2:$K$50000,"&lt;&gt;")=0,"",SUMIFS(全馬データ!$K$2:$K$50000,全馬データ!$A$2:$A$50000,A561,全馬データ!$B$2:$B$50000,B561,全馬データ!$C$2:$C$50000,C561,全馬データ!$D$2:$D$50000,E561)))</f>
        <v/>
      </c>
      <c r="AP561" s="8" t="str">
        <f aca="false">IF(A561="","",IF(AO561="","欠損",IF(AO561&lt;=1.1,"1.0～1.1",IF(AO561&lt;1.3,"1.2",IF(AO561&lt;1.5,"1.3～1.4",IF(AO561&lt;2,"1.5～1.9","2.0以上"))))))</f>
        <v>欠損</v>
      </c>
      <c r="AQ561" s="8" t="str">
        <f aca="false">IF(A561="","",IF(ISNUMBER(SEARCH("2歳",Z561)),"2歳戦",IF(ISNUMBER(SEARCH("3歳未勝利",Z561)),"3歳未勝利",IF(ISNUMBER(SEARCH("未勝利",Z561)),"その他未勝利",IF(ISNUMBER(SEARCH("G1",Z561)),"G1",IF(ISNUMBER(SEARCH("G2",Z561)),"G2",IF(ISNUMBER(SEARCH("G3",Z561)),"G3",IF(ISNUMBER(SEARCH("古馬条件",Z561)),"古馬条件戦",IF(ISNUMBER(SEARCH("重賞",Z561)),"重賞","分類不能")))))))))</f>
        <v>分類不能</v>
      </c>
      <c r="AR561" s="8"/>
      <c r="AS561" s="8" t="s">
        <v>7618</v>
      </c>
      <c r="AT561" s="4" t="s">
        <v>7642</v>
      </c>
      <c r="AU561" s="8" t="s">
        <v>7643</v>
      </c>
      <c r="AV561" s="4" t="s">
        <v>7644</v>
      </c>
      <c r="AW561" s="8"/>
      <c r="AX561" s="8"/>
      <c r="AY561" s="8" t="s">
        <v>7608</v>
      </c>
      <c r="AZ561" s="4" t="s">
        <v>7642</v>
      </c>
      <c r="BA561" s="8" t="n">
        <v>3290</v>
      </c>
      <c r="BB561" s="8" t="s">
        <v>7618</v>
      </c>
      <c r="BC561" s="4" t="s">
        <v>7619</v>
      </c>
      <c r="BD561" s="8" t="s">
        <v>7645</v>
      </c>
      <c r="BE561" s="4" t="s">
        <v>7606</v>
      </c>
      <c r="BF561" s="8" t="s">
        <v>7607</v>
      </c>
      <c r="BG561" s="8" t="s">
        <v>7610</v>
      </c>
      <c r="BH561" s="4" t="s">
        <v>7646</v>
      </c>
      <c r="BI561" s="8" t="n">
        <v>13</v>
      </c>
      <c r="BJ561" s="8" t="s">
        <v>7647</v>
      </c>
      <c r="BK561" s="4" t="s">
        <v>7648</v>
      </c>
      <c r="BL561" s="8" t="s">
        <v>7647</v>
      </c>
      <c r="BM561" s="4" t="s">
        <v>7648</v>
      </c>
      <c r="BN561" s="8"/>
      <c r="BO561" s="8"/>
      <c r="BP561" s="8" t="s">
        <v>7608</v>
      </c>
      <c r="BQ561" s="8" t="str">
        <f aca="false">IF(A561="","",AT561)</f>
        <v>障害</v>
      </c>
      <c r="BR561" s="8" t="str">
        <f aca="false">IF(A561="","",IF(BA561&lt;=1200,"～1200",IF(BA561&lt;=1500,"1300～1500",IF(BA561=1600,"1600",IF(BA561&lt;=1800,"1700～1800",IF(BA561&lt;=2000,"1900～2000","2100以上"))))))</f>
        <v>2100以上</v>
      </c>
      <c r="BS561" s="8" t="str">
        <f aca="false">IF(A561="","",IF(AX561="G1","G1",IF(AX561="G2","G2",IF(AX561="G3","G3",IF(AX561="L","L","その他")))))</f>
        <v>その他</v>
      </c>
      <c r="BT561" s="8" t="str">
        <f aca="false">IF(A561="","",IF(BI561="","未結合",IF(D561=BI561,"一致","不一致")))</f>
        <v>一致</v>
      </c>
      <c r="BU561" s="8" t="str">
        <f aca="false">IF(A561="","",IF(BE561="牝馬限定","牝馬限定","その他"))</f>
        <v>その他</v>
      </c>
    </row>
    <row r="562" customFormat="false" ht="15.75" hidden="false" customHeight="false" outlineLevel="0" collapsed="false">
      <c r="A562" s="6" t="n">
        <v>46165</v>
      </c>
      <c r="B562" s="4" t="s">
        <v>13</v>
      </c>
      <c r="C562" s="8" t="n">
        <v>5</v>
      </c>
      <c r="D562" s="8" t="n">
        <v>16</v>
      </c>
      <c r="E562" s="8" t="n">
        <v>3</v>
      </c>
      <c r="F562" s="4" t="s">
        <v>2371</v>
      </c>
      <c r="G562" s="8" t="n">
        <v>52</v>
      </c>
      <c r="H562" s="8" t="n">
        <v>7</v>
      </c>
      <c r="I562" s="4" t="s">
        <v>3191</v>
      </c>
      <c r="J562" s="8" t="n">
        <v>44</v>
      </c>
      <c r="K562" s="8" t="n">
        <v>13</v>
      </c>
      <c r="L562" s="4" t="s">
        <v>402</v>
      </c>
      <c r="M562" s="8" t="n">
        <v>37</v>
      </c>
      <c r="N562" s="8" t="n">
        <f aca="false">IF(A562="","",G562-J562)</f>
        <v>8</v>
      </c>
      <c r="O562" s="8" t="n">
        <f aca="false">IF(A562="","",J562-M562)</f>
        <v>7</v>
      </c>
      <c r="P562" s="8" t="n">
        <f aca="false">IF(A562="","",G562+J562)</f>
        <v>96</v>
      </c>
      <c r="Q562" s="8" t="str">
        <f aca="false">IF(A562="","",IF(AND(Y562&lt;&gt;"参考",G562&gt;=ルール設定!$B$2),"○",""))</f>
        <v/>
      </c>
      <c r="R562" s="8" t="str">
        <f aca="false">IF(A562="","",IF(AND(Y562&lt;&gt;"参考",G562&gt;=ルール設定!$B$3,N562&gt;=ルール設定!$B$4),"○",""))</f>
        <v/>
      </c>
      <c r="S562" s="8" t="str">
        <f aca="false">IF(A562="","",IF(AND(Y562&lt;&gt;"参考",G562&gt;=ルール設定!$B$5,J562&gt;=ルール設定!$B$6,O562&gt;=ルール設定!$B$7),"○",""))</f>
        <v/>
      </c>
      <c r="T562" s="8" t="n">
        <v>1</v>
      </c>
      <c r="U562" s="8" t="n">
        <v>4</v>
      </c>
      <c r="V562" s="8" t="str">
        <f aca="false">IF(A562="","",IF(AND(ISNUMBER(T562),ISNUMBER(U562)),IF(AND(T562&lt;=3,U562&lt;=3),"○","×"),""))</f>
        <v>×</v>
      </c>
      <c r="W562" s="8" t="n">
        <v>150</v>
      </c>
      <c r="X562" s="8"/>
      <c r="Y562" s="4" t="s">
        <v>7597</v>
      </c>
      <c r="Z562" s="4" t="s">
        <v>7841</v>
      </c>
      <c r="AA562" s="8" t="str">
        <v/>
      </c>
      <c r="AB562" s="8" t="str">
        <v/>
      </c>
      <c r="AC562" s="8" t="str">
        <v/>
      </c>
      <c r="AD562" s="8" t="str">
        <v/>
      </c>
      <c r="AE562" s="8" t="str">
        <v/>
      </c>
      <c r="AF562" s="8" t="str">
        <v/>
      </c>
      <c r="AG562" s="8" t="str">
        <v/>
      </c>
      <c r="AH562" s="8" t="str">
        <v/>
      </c>
      <c r="AI562" s="8" t="n">
        <v>15</v>
      </c>
      <c r="AJ562" s="8" t="str">
        <v>～59</v>
      </c>
      <c r="AK562" s="8" t="str">
        <v>5～9</v>
      </c>
      <c r="AL562" s="8" t="str">
        <v>10～19</v>
      </c>
      <c r="AM562" s="8" t="str">
        <v>～99</v>
      </c>
      <c r="AN562" s="8" t="str">
        <v>15以上</v>
      </c>
      <c r="AO562" s="8" t="str">
        <f aca="false">IF(A562="","",IF(COUNTIFS(全馬データ!$A$2:$A$50000,A562,全馬データ!$B$2:$B$50000,B562,全馬データ!$C$2:$C$50000,C562,全馬データ!$D$2:$D$50000,E562,全馬データ!$K$2:$K$50000,"&lt;&gt;")=0,"",SUMIFS(全馬データ!$K$2:$K$50000,全馬データ!$A$2:$A$50000,A562,全馬データ!$B$2:$B$50000,B562,全馬データ!$C$2:$C$50000,C562,全馬データ!$D$2:$D$50000,E562)))</f>
        <v/>
      </c>
      <c r="AP562" s="8" t="str">
        <f aca="false">IF(A562="","",IF(AO562="","欠損",IF(AO562&lt;=1.1,"1.0～1.1",IF(AO562&lt;1.3,"1.2",IF(AO562&lt;1.5,"1.3～1.4",IF(AO562&lt;2,"1.5～1.9","2.0以上"))))))</f>
        <v>欠損</v>
      </c>
      <c r="AQ562" s="8" t="str">
        <f aca="false">IF(A562="","",IF(ISNUMBER(SEARCH("2歳",Z562)),"2歳戦",IF(ISNUMBER(SEARCH("3歳未勝利",Z562)),"3歳未勝利",IF(ISNUMBER(SEARCH("未勝利",Z562)),"その他未勝利",IF(ISNUMBER(SEARCH("G1",Z562)),"G1",IF(ISNUMBER(SEARCH("G2",Z562)),"G2",IF(ISNUMBER(SEARCH("G3",Z562)),"G3",IF(ISNUMBER(SEARCH("古馬条件",Z562)),"古馬条件戦",IF(ISNUMBER(SEARCH("重賞",Z562)),"重賞","分類不能")))))))))</f>
        <v>分類不能</v>
      </c>
      <c r="AR562" s="8"/>
      <c r="AS562" s="8" t="s">
        <v>7623</v>
      </c>
      <c r="AT562" s="8" t="s">
        <v>7624</v>
      </c>
      <c r="AU562" s="8" t="s">
        <v>7600</v>
      </c>
      <c r="AV562" s="4" t="s">
        <v>7601</v>
      </c>
      <c r="AW562" s="8"/>
      <c r="AX562" s="8"/>
      <c r="AY562" s="8" t="s">
        <v>7602</v>
      </c>
      <c r="AZ562" s="4" t="s">
        <v>7603</v>
      </c>
      <c r="BA562" s="8" t="n">
        <v>1400</v>
      </c>
      <c r="BB562" s="8" t="s">
        <v>7659</v>
      </c>
      <c r="BC562" s="4" t="s">
        <v>7619</v>
      </c>
      <c r="BD562" s="8" t="s">
        <v>7625</v>
      </c>
      <c r="BE562" s="4" t="s">
        <v>7606</v>
      </c>
      <c r="BF562" s="8" t="s">
        <v>7607</v>
      </c>
      <c r="BG562" s="8" t="s">
        <v>7608</v>
      </c>
      <c r="BH562" s="4" t="s">
        <v>7609</v>
      </c>
      <c r="BI562" s="8" t="n">
        <v>16</v>
      </c>
      <c r="BJ562" s="8" t="s">
        <v>7610</v>
      </c>
      <c r="BK562" s="4" t="s">
        <v>7611</v>
      </c>
      <c r="BL562" s="8" t="s">
        <v>7602</v>
      </c>
      <c r="BM562" s="4" t="s">
        <v>7620</v>
      </c>
      <c r="BN562" s="8" t="s">
        <v>7631</v>
      </c>
      <c r="BO562" s="8" t="s">
        <v>7680</v>
      </c>
      <c r="BP562" s="8" t="s">
        <v>7608</v>
      </c>
      <c r="BQ562" s="8" t="str">
        <f aca="false">IF(A562="","",AT562)</f>
        <v>3歳</v>
      </c>
      <c r="BR562" s="8" t="str">
        <f aca="false">IF(A562="","",IF(BA562&lt;=1200,"～1200",IF(BA562&lt;=1500,"1300～1500",IF(BA562=1600,"1600",IF(BA562&lt;=1800,"1700～1800",IF(BA562&lt;=2000,"1900～2000","2100以上"))))))</f>
        <v>1300～1500</v>
      </c>
      <c r="BS562" s="8" t="str">
        <f aca="false">IF(A562="","",IF(AX562="G1","G1",IF(AX562="G2","G2",IF(AX562="G3","G3",IF(AX562="L","L","その他")))))</f>
        <v>その他</v>
      </c>
      <c r="BT562" s="8" t="str">
        <f aca="false">IF(A562="","",IF(BI562="","未結合",IF(D562=BI562,"一致","不一致")))</f>
        <v>一致</v>
      </c>
      <c r="BU562" s="8" t="str">
        <f aca="false">IF(A562="","",IF(BE562="牝馬限定","牝馬限定","その他"))</f>
        <v>その他</v>
      </c>
    </row>
    <row r="563" customFormat="false" ht="15.75" hidden="false" customHeight="false" outlineLevel="0" collapsed="false">
      <c r="A563" s="6" t="n">
        <v>46165</v>
      </c>
      <c r="B563" s="4" t="s">
        <v>13</v>
      </c>
      <c r="C563" s="8" t="n">
        <v>6</v>
      </c>
      <c r="D563" s="8" t="n">
        <v>15</v>
      </c>
      <c r="E563" s="8" t="n">
        <v>13</v>
      </c>
      <c r="F563" s="4" t="s">
        <v>5537</v>
      </c>
      <c r="G563" s="8" t="n">
        <v>56</v>
      </c>
      <c r="H563" s="8" t="n">
        <v>5</v>
      </c>
      <c r="I563" s="4" t="s">
        <v>1149</v>
      </c>
      <c r="J563" s="8" t="n">
        <v>52</v>
      </c>
      <c r="K563" s="8" t="n">
        <v>3</v>
      </c>
      <c r="L563" s="4" t="s">
        <v>421</v>
      </c>
      <c r="M563" s="8" t="n">
        <v>44</v>
      </c>
      <c r="N563" s="8" t="n">
        <f aca="false">IF(A563="","",G563-J563)</f>
        <v>4</v>
      </c>
      <c r="O563" s="8" t="n">
        <f aca="false">IF(A563="","",J563-M563)</f>
        <v>8</v>
      </c>
      <c r="P563" s="8" t="n">
        <f aca="false">IF(A563="","",G563+J563)</f>
        <v>108</v>
      </c>
      <c r="Q563" s="8" t="str">
        <f aca="false">IF(A563="","",IF(AND(Y563&lt;&gt;"参考",G563&gt;=ルール設定!$B$2),"○",""))</f>
        <v/>
      </c>
      <c r="R563" s="8" t="str">
        <f aca="false">IF(A563="","",IF(AND(Y563&lt;&gt;"参考",G563&gt;=ルール設定!$B$3,N563&gt;=ルール設定!$B$4),"○",""))</f>
        <v/>
      </c>
      <c r="S563" s="8" t="str">
        <f aca="false">IF(A563="","",IF(AND(Y563&lt;&gt;"参考",G563&gt;=ルール設定!$B$5,J563&gt;=ルール設定!$B$6,O563&gt;=ルール設定!$B$7),"○",""))</f>
        <v/>
      </c>
      <c r="T563" s="8" t="n">
        <v>1</v>
      </c>
      <c r="U563" s="8" t="n">
        <v>4</v>
      </c>
      <c r="V563" s="8" t="str">
        <f aca="false">IF(A563="","",IF(AND(ISNUMBER(T563),ISNUMBER(U563)),IF(AND(T563&lt;=3,U563&lt;=3),"○","×"),""))</f>
        <v>×</v>
      </c>
      <c r="W563" s="8" t="n">
        <v>170</v>
      </c>
      <c r="X563" s="8"/>
      <c r="Y563" s="4" t="s">
        <v>7597</v>
      </c>
      <c r="Z563" s="4" t="s">
        <v>7841</v>
      </c>
      <c r="AA563" s="8" t="str">
        <v/>
      </c>
      <c r="AB563" s="8" t="str">
        <v/>
      </c>
      <c r="AC563" s="8" t="str">
        <v/>
      </c>
      <c r="AD563" s="8" t="str">
        <v/>
      </c>
      <c r="AE563" s="8" t="str">
        <v/>
      </c>
      <c r="AF563" s="8" t="str">
        <v/>
      </c>
      <c r="AG563" s="8" t="str">
        <v/>
      </c>
      <c r="AH563" s="8" t="str">
        <v/>
      </c>
      <c r="AI563" s="8" t="n">
        <v>12</v>
      </c>
      <c r="AJ563" s="8" t="str">
        <v>～59</v>
      </c>
      <c r="AK563" s="8" t="str">
        <v>0～4</v>
      </c>
      <c r="AL563" s="8" t="str">
        <v>10～19</v>
      </c>
      <c r="AM563" s="8" t="str">
        <v>100～119</v>
      </c>
      <c r="AN563" s="8" t="str">
        <v>15以上</v>
      </c>
      <c r="AO563" s="8" t="str">
        <f aca="false">IF(A563="","",IF(COUNTIFS(全馬データ!$A$2:$A$50000,A563,全馬データ!$B$2:$B$50000,B563,全馬データ!$C$2:$C$50000,C563,全馬データ!$D$2:$D$50000,E563,全馬データ!$K$2:$K$50000,"&lt;&gt;")=0,"",SUMIFS(全馬データ!$K$2:$K$50000,全馬データ!$A$2:$A$50000,A563,全馬データ!$B$2:$B$50000,B563,全馬データ!$C$2:$C$50000,C563,全馬データ!$D$2:$D$50000,E563)))</f>
        <v/>
      </c>
      <c r="AP563" s="8" t="str">
        <f aca="false">IF(A563="","",IF(AO563="","欠損",IF(AO563&lt;=1.1,"1.0～1.1",IF(AO563&lt;1.3,"1.2",IF(AO563&lt;1.5,"1.3～1.4",IF(AO563&lt;2,"1.5～1.9","2.0以上"))))))</f>
        <v>欠損</v>
      </c>
      <c r="AQ563" s="8" t="str">
        <f aca="false">IF(A563="","",IF(ISNUMBER(SEARCH("2歳",Z563)),"2歳戦",IF(ISNUMBER(SEARCH("3歳未勝利",Z563)),"3歳未勝利",IF(ISNUMBER(SEARCH("未勝利",Z563)),"その他未勝利",IF(ISNUMBER(SEARCH("G1",Z563)),"G1",IF(ISNUMBER(SEARCH("G2",Z563)),"G2",IF(ISNUMBER(SEARCH("G3",Z563)),"G3",IF(ISNUMBER(SEARCH("古馬条件",Z563)),"古馬条件戦",IF(ISNUMBER(SEARCH("重賞",Z563)),"重賞","分類不能")))))))))</f>
        <v>分類不能</v>
      </c>
      <c r="AR563" s="8"/>
      <c r="AS563" s="8" t="s">
        <v>7623</v>
      </c>
      <c r="AT563" s="8" t="s">
        <v>7624</v>
      </c>
      <c r="AU563" s="8" t="s">
        <v>7600</v>
      </c>
      <c r="AV563" s="4" t="s">
        <v>7601</v>
      </c>
      <c r="AW563" s="8"/>
      <c r="AX563" s="8"/>
      <c r="AY563" s="8" t="s">
        <v>7610</v>
      </c>
      <c r="AZ563" s="4" t="s">
        <v>7617</v>
      </c>
      <c r="BA563" s="8" t="n">
        <v>1800</v>
      </c>
      <c r="BB563" s="8" t="s">
        <v>7618</v>
      </c>
      <c r="BC563" s="4" t="s">
        <v>7619</v>
      </c>
      <c r="BD563" s="8" t="s">
        <v>7852</v>
      </c>
      <c r="BE563" s="4" t="s">
        <v>7606</v>
      </c>
      <c r="BF563" s="8" t="s">
        <v>7607</v>
      </c>
      <c r="BG563" s="8" t="s">
        <v>7608</v>
      </c>
      <c r="BH563" s="4" t="s">
        <v>7609</v>
      </c>
      <c r="BI563" s="8" t="n">
        <v>15</v>
      </c>
      <c r="BJ563" s="8" t="s">
        <v>7610</v>
      </c>
      <c r="BK563" s="4" t="s">
        <v>7611</v>
      </c>
      <c r="BL563" s="8" t="s">
        <v>7602</v>
      </c>
      <c r="BM563" s="4" t="s">
        <v>7620</v>
      </c>
      <c r="BN563" s="8"/>
      <c r="BO563" s="8"/>
      <c r="BP563" s="8" t="s">
        <v>7608</v>
      </c>
      <c r="BQ563" s="8" t="str">
        <f aca="false">IF(A563="","",AT563)</f>
        <v>3歳</v>
      </c>
      <c r="BR563" s="8" t="str">
        <f aca="false">IF(A563="","",IF(BA563&lt;=1200,"～1200",IF(BA563&lt;=1500,"1300～1500",IF(BA563=1600,"1600",IF(BA563&lt;=1800,"1700～1800",IF(BA563&lt;=2000,"1900～2000","2100以上"))))))</f>
        <v>1700～1800</v>
      </c>
      <c r="BS563" s="8" t="str">
        <f aca="false">IF(A563="","",IF(AX563="G1","G1",IF(AX563="G2","G2",IF(AX563="G3","G3",IF(AX563="L","L","その他")))))</f>
        <v>その他</v>
      </c>
      <c r="BT563" s="8" t="str">
        <f aca="false">IF(A563="","",IF(BI563="","未結合",IF(D563=BI563,"一致","不一致")))</f>
        <v>一致</v>
      </c>
      <c r="BU563" s="8" t="str">
        <f aca="false">IF(A563="","",IF(BE563="牝馬限定","牝馬限定","その他"))</f>
        <v>その他</v>
      </c>
    </row>
    <row r="564" customFormat="false" ht="15.75" hidden="false" customHeight="false" outlineLevel="0" collapsed="false">
      <c r="A564" s="6" t="n">
        <v>46165</v>
      </c>
      <c r="B564" s="4" t="s">
        <v>13</v>
      </c>
      <c r="C564" s="8" t="n">
        <v>7</v>
      </c>
      <c r="D564" s="8" t="n">
        <v>16</v>
      </c>
      <c r="E564" s="8" t="n">
        <v>3</v>
      </c>
      <c r="F564" s="4" t="s">
        <v>4889</v>
      </c>
      <c r="G564" s="8" t="n">
        <v>52</v>
      </c>
      <c r="H564" s="8" t="n">
        <v>11</v>
      </c>
      <c r="I564" s="4" t="s">
        <v>5260</v>
      </c>
      <c r="J564" s="8" t="n">
        <v>44</v>
      </c>
      <c r="K564" s="8" t="n">
        <v>15</v>
      </c>
      <c r="L564" s="4" t="s">
        <v>1042</v>
      </c>
      <c r="M564" s="8" t="n">
        <v>41</v>
      </c>
      <c r="N564" s="8" t="n">
        <f aca="false">IF(A564="","",G564-J564)</f>
        <v>8</v>
      </c>
      <c r="O564" s="8" t="n">
        <f aca="false">IF(A564="","",J564-M564)</f>
        <v>3</v>
      </c>
      <c r="P564" s="8" t="n">
        <f aca="false">IF(A564="","",G564+J564)</f>
        <v>96</v>
      </c>
      <c r="Q564" s="8" t="str">
        <f aca="false">IF(A564="","",IF(AND(Y564&lt;&gt;"参考",G564&gt;=ルール設定!$B$2),"○",""))</f>
        <v/>
      </c>
      <c r="R564" s="8" t="str">
        <f aca="false">IF(A564="","",IF(AND(Y564&lt;&gt;"参考",G564&gt;=ルール設定!$B$3,N564&gt;=ルール設定!$B$4),"○",""))</f>
        <v/>
      </c>
      <c r="S564" s="8" t="str">
        <f aca="false">IF(A564="","",IF(AND(Y564&lt;&gt;"参考",G564&gt;=ルール設定!$B$5,J564&gt;=ルール設定!$B$6,O564&gt;=ルール設定!$B$7),"○",""))</f>
        <v/>
      </c>
      <c r="T564" s="8" t="n">
        <v>3</v>
      </c>
      <c r="U564" s="8" t="n">
        <v>2</v>
      </c>
      <c r="V564" s="8" t="str">
        <f aca="false">IF(A564="","",IF(AND(ISNUMBER(T564),ISNUMBER(U564)),IF(AND(T564&lt;=3,U564&lt;=3),"○","×"),""))</f>
        <v>○</v>
      </c>
      <c r="W564" s="8" t="n">
        <v>220</v>
      </c>
      <c r="X564" s="8" t="n">
        <v>530</v>
      </c>
      <c r="Y564" s="4" t="s">
        <v>7597</v>
      </c>
      <c r="Z564" s="4" t="s">
        <v>7841</v>
      </c>
      <c r="AA564" s="8" t="str">
        <v/>
      </c>
      <c r="AB564" s="8" t="str">
        <v/>
      </c>
      <c r="AC564" s="8" t="str">
        <v/>
      </c>
      <c r="AD564" s="8" t="str">
        <v/>
      </c>
      <c r="AE564" s="8" t="str">
        <v/>
      </c>
      <c r="AF564" s="8" t="str">
        <v/>
      </c>
      <c r="AG564" s="8" t="str">
        <v/>
      </c>
      <c r="AH564" s="8" t="str">
        <v/>
      </c>
      <c r="AI564" s="8" t="n">
        <v>11</v>
      </c>
      <c r="AJ564" s="8" t="str">
        <v>～59</v>
      </c>
      <c r="AK564" s="8" t="str">
        <v>5～9</v>
      </c>
      <c r="AL564" s="8" t="str">
        <v>10～19</v>
      </c>
      <c r="AM564" s="8" t="str">
        <v>～99</v>
      </c>
      <c r="AN564" s="8" t="str">
        <v>15以上</v>
      </c>
      <c r="AO564" s="8" t="str">
        <f aca="false">IF(A564="","",IF(COUNTIFS(全馬データ!$A$2:$A$50000,A564,全馬データ!$B$2:$B$50000,B564,全馬データ!$C$2:$C$50000,C564,全馬データ!$D$2:$D$50000,E564,全馬データ!$K$2:$K$50000,"&lt;&gt;")=0,"",SUMIFS(全馬データ!$K$2:$K$50000,全馬データ!$A$2:$A$50000,A564,全馬データ!$B$2:$B$50000,B564,全馬データ!$C$2:$C$50000,C564,全馬データ!$D$2:$D$50000,E564)))</f>
        <v/>
      </c>
      <c r="AP564" s="8" t="str">
        <f aca="false">IF(A564="","",IF(AO564="","欠損",IF(AO564&lt;=1.1,"1.0～1.1",IF(AO564&lt;1.3,"1.2",IF(AO564&lt;1.5,"1.3～1.4",IF(AO564&lt;2,"1.5～1.9","2.0以上"))))))</f>
        <v>欠損</v>
      </c>
      <c r="AQ564" s="8" t="str">
        <f aca="false">IF(A564="","",IF(ISNUMBER(SEARCH("2歳",Z564)),"2歳戦",IF(ISNUMBER(SEARCH("3歳未勝利",Z564)),"3歳未勝利",IF(ISNUMBER(SEARCH("未勝利",Z564)),"その他未勝利",IF(ISNUMBER(SEARCH("G1",Z564)),"G1",IF(ISNUMBER(SEARCH("G2",Z564)),"G2",IF(ISNUMBER(SEARCH("G3",Z564)),"G3",IF(ISNUMBER(SEARCH("古馬条件",Z564)),"古馬条件戦",IF(ISNUMBER(SEARCH("重賞",Z564)),"重賞","分類不能")))))))))</f>
        <v>分類不能</v>
      </c>
      <c r="AR564" s="8"/>
      <c r="AS564" s="8" t="s">
        <v>7623</v>
      </c>
      <c r="AT564" s="8" t="s">
        <v>7624</v>
      </c>
      <c r="AU564" s="8" t="s">
        <v>7600</v>
      </c>
      <c r="AV564" s="4" t="s">
        <v>7601</v>
      </c>
      <c r="AW564" s="8"/>
      <c r="AX564" s="8"/>
      <c r="AY564" s="8" t="s">
        <v>7602</v>
      </c>
      <c r="AZ564" s="4" t="s">
        <v>7603</v>
      </c>
      <c r="BA564" s="8" t="n">
        <v>2400</v>
      </c>
      <c r="BB564" s="8" t="s">
        <v>7659</v>
      </c>
      <c r="BC564" s="4" t="s">
        <v>7619</v>
      </c>
      <c r="BD564" s="8" t="s">
        <v>7605</v>
      </c>
      <c r="BE564" s="4" t="s">
        <v>7606</v>
      </c>
      <c r="BF564" s="8" t="s">
        <v>7607</v>
      </c>
      <c r="BG564" s="8" t="s">
        <v>7608</v>
      </c>
      <c r="BH564" s="4" t="s">
        <v>7609</v>
      </c>
      <c r="BI564" s="8" t="n">
        <v>16</v>
      </c>
      <c r="BJ564" s="8" t="s">
        <v>7610</v>
      </c>
      <c r="BK564" s="4" t="s">
        <v>7611</v>
      </c>
      <c r="BL564" s="8" t="s">
        <v>7602</v>
      </c>
      <c r="BM564" s="4" t="s">
        <v>7620</v>
      </c>
      <c r="BN564" s="8" t="s">
        <v>7631</v>
      </c>
      <c r="BO564" s="8" t="s">
        <v>7680</v>
      </c>
      <c r="BP564" s="8" t="s">
        <v>7608</v>
      </c>
      <c r="BQ564" s="8" t="str">
        <f aca="false">IF(A564="","",AT564)</f>
        <v>3歳</v>
      </c>
      <c r="BR564" s="8" t="str">
        <f aca="false">IF(A564="","",IF(BA564&lt;=1200,"～1200",IF(BA564&lt;=1500,"1300～1500",IF(BA564=1600,"1600",IF(BA564&lt;=1800,"1700～1800",IF(BA564&lt;=2000,"1900～2000","2100以上"))))))</f>
        <v>2100以上</v>
      </c>
      <c r="BS564" s="8" t="str">
        <f aca="false">IF(A564="","",IF(AX564="G1","G1",IF(AX564="G2","G2",IF(AX564="G3","G3",IF(AX564="L","L","その他")))))</f>
        <v>その他</v>
      </c>
      <c r="BT564" s="8" t="str">
        <f aca="false">IF(A564="","",IF(BI564="","未結合",IF(D564=BI564,"一致","不一致")))</f>
        <v>一致</v>
      </c>
      <c r="BU564" s="8" t="str">
        <f aca="false">IF(A564="","",IF(BE564="牝馬限定","牝馬限定","その他"))</f>
        <v>その他</v>
      </c>
    </row>
    <row r="565" customFormat="false" ht="15.75" hidden="false" customHeight="false" outlineLevel="0" collapsed="false">
      <c r="A565" s="6" t="n">
        <v>46165</v>
      </c>
      <c r="B565" s="4" t="s">
        <v>13</v>
      </c>
      <c r="C565" s="8" t="n">
        <v>8</v>
      </c>
      <c r="D565" s="8" t="n">
        <v>15</v>
      </c>
      <c r="E565" s="8" t="n">
        <v>15</v>
      </c>
      <c r="F565" s="4" t="s">
        <v>718</v>
      </c>
      <c r="G565" s="8" t="n">
        <v>60</v>
      </c>
      <c r="H565" s="8" t="n">
        <v>1</v>
      </c>
      <c r="I565" s="4" t="s">
        <v>3070</v>
      </c>
      <c r="J565" s="8" t="n">
        <v>56</v>
      </c>
      <c r="K565" s="8" t="n">
        <v>13</v>
      </c>
      <c r="L565" s="4" t="s">
        <v>2508</v>
      </c>
      <c r="M565" s="8" t="n">
        <v>31</v>
      </c>
      <c r="N565" s="8" t="n">
        <f aca="false">IF(A565="","",G565-J565)</f>
        <v>4</v>
      </c>
      <c r="O565" s="8" t="n">
        <f aca="false">IF(A565="","",J565-M565)</f>
        <v>25</v>
      </c>
      <c r="P565" s="8" t="n">
        <f aca="false">IF(A565="","",G565+J565)</f>
        <v>116</v>
      </c>
      <c r="Q565" s="8" t="str">
        <f aca="false">IF(A565="","",IF(AND(Y565&lt;&gt;"参考",G565&gt;=ルール設定!$B$2),"○",""))</f>
        <v/>
      </c>
      <c r="R565" s="8" t="str">
        <f aca="false">IF(A565="","",IF(AND(Y565&lt;&gt;"参考",G565&gt;=ルール設定!$B$3,N565&gt;=ルール設定!$B$4),"○",""))</f>
        <v/>
      </c>
      <c r="S565" s="8" t="str">
        <f aca="false">IF(A565="","",IF(AND(Y565&lt;&gt;"参考",G565&gt;=ルール設定!$B$5,J565&gt;=ルール設定!$B$6,O565&gt;=ルール設定!$B$7),"○",""))</f>
        <v>○</v>
      </c>
      <c r="T565" s="8" t="n">
        <v>1</v>
      </c>
      <c r="U565" s="8" t="n">
        <v>4</v>
      </c>
      <c r="V565" s="8" t="str">
        <f aca="false">IF(A565="","",IF(AND(ISNUMBER(T565),ISNUMBER(U565)),IF(AND(T565&lt;=3,U565&lt;=3),"○","×"),""))</f>
        <v>×</v>
      </c>
      <c r="W565" s="8" t="n">
        <v>150</v>
      </c>
      <c r="X565" s="8"/>
      <c r="Y565" s="4" t="s">
        <v>7597</v>
      </c>
      <c r="Z565" s="4" t="s">
        <v>7841</v>
      </c>
      <c r="AA565" s="8" t="str">
        <v/>
      </c>
      <c r="AB565" s="8" t="str">
        <v/>
      </c>
      <c r="AC565" s="8" t="str">
        <v/>
      </c>
      <c r="AD565" s="8" t="str">
        <v/>
      </c>
      <c r="AE565" s="8" t="str">
        <v/>
      </c>
      <c r="AF565" s="8" t="str">
        <v/>
      </c>
      <c r="AG565" s="8" t="str">
        <v/>
      </c>
      <c r="AH565" s="8" t="str">
        <v/>
      </c>
      <c r="AI565" s="8" t="n">
        <v>29</v>
      </c>
      <c r="AJ565" s="8" t="str">
        <v>60～69</v>
      </c>
      <c r="AK565" s="8" t="str">
        <v>0～4</v>
      </c>
      <c r="AL565" s="8" t="str">
        <v>20～29</v>
      </c>
      <c r="AM565" s="8" t="str">
        <v>100～119</v>
      </c>
      <c r="AN565" s="8" t="str">
        <v>15以上</v>
      </c>
      <c r="AO565" s="8" t="str">
        <f aca="false">IF(A565="","",IF(COUNTIFS(全馬データ!$A$2:$A$50000,A565,全馬データ!$B$2:$B$50000,B565,全馬データ!$C$2:$C$50000,C565,全馬データ!$D$2:$D$50000,E565,全馬データ!$K$2:$K$50000,"&lt;&gt;")=0,"",SUMIFS(全馬データ!$K$2:$K$50000,全馬データ!$A$2:$A$50000,A565,全馬データ!$B$2:$B$50000,B565,全馬データ!$C$2:$C$50000,C565,全馬データ!$D$2:$D$50000,E565)))</f>
        <v/>
      </c>
      <c r="AP565" s="8" t="str">
        <f aca="false">IF(A565="","",IF(AO565="","欠損",IF(AO565&lt;=1.1,"1.0～1.1",IF(AO565&lt;1.3,"1.2",IF(AO565&lt;1.5,"1.3～1.4",IF(AO565&lt;2,"1.5～1.9","2.0以上"))))))</f>
        <v>欠損</v>
      </c>
      <c r="AQ565" s="8" t="str">
        <f aca="false">IF(A565="","",IF(ISNUMBER(SEARCH("2歳",Z565)),"2歳戦",IF(ISNUMBER(SEARCH("3歳未勝利",Z565)),"3歳未勝利",IF(ISNUMBER(SEARCH("未勝利",Z565)),"その他未勝利",IF(ISNUMBER(SEARCH("G1",Z565)),"G1",IF(ISNUMBER(SEARCH("G2",Z565)),"G2",IF(ISNUMBER(SEARCH("G3",Z565)),"G3",IF(ISNUMBER(SEARCH("古馬条件",Z565)),"古馬条件戦",IF(ISNUMBER(SEARCH("重賞",Z565)),"重賞","分類不能")))))))))</f>
        <v>分類不能</v>
      </c>
      <c r="AR565" s="8"/>
      <c r="AS565" s="8" t="s">
        <v>7842</v>
      </c>
      <c r="AT565" s="8" t="s">
        <v>7843</v>
      </c>
      <c r="AU565" s="8" t="s">
        <v>7628</v>
      </c>
      <c r="AV565" s="8" t="s">
        <v>7629</v>
      </c>
      <c r="AW565" s="8"/>
      <c r="AX565" s="8"/>
      <c r="AY565" s="8" t="s">
        <v>7610</v>
      </c>
      <c r="AZ565" s="4" t="s">
        <v>7617</v>
      </c>
      <c r="BA565" s="8" t="n">
        <v>1800</v>
      </c>
      <c r="BB565" s="8" t="s">
        <v>7618</v>
      </c>
      <c r="BC565" s="4" t="s">
        <v>7619</v>
      </c>
      <c r="BD565" s="8" t="s">
        <v>7621</v>
      </c>
      <c r="BE565" s="4" t="s">
        <v>7622</v>
      </c>
      <c r="BF565" s="8" t="s">
        <v>7602</v>
      </c>
      <c r="BG565" s="8" t="s">
        <v>7631</v>
      </c>
      <c r="BH565" s="4" t="s">
        <v>7632</v>
      </c>
      <c r="BI565" s="8" t="n">
        <v>15</v>
      </c>
      <c r="BJ565" s="8" t="s">
        <v>7610</v>
      </c>
      <c r="BK565" s="4" t="s">
        <v>7611</v>
      </c>
      <c r="BL565" s="8" t="s">
        <v>7602</v>
      </c>
      <c r="BM565" s="4" t="s">
        <v>7620</v>
      </c>
      <c r="BN565" s="8"/>
      <c r="BO565" s="8"/>
      <c r="BP565" s="8" t="s">
        <v>7608</v>
      </c>
      <c r="BQ565" s="8" t="str">
        <f aca="false">IF(A565="","",AT565)</f>
        <v>4歳以上</v>
      </c>
      <c r="BR565" s="8" t="str">
        <f aca="false">IF(A565="","",IF(BA565&lt;=1200,"～1200",IF(BA565&lt;=1500,"1300～1500",IF(BA565=1600,"1600",IF(BA565&lt;=1800,"1700～1800",IF(BA565&lt;=2000,"1900～2000","2100以上"))))))</f>
        <v>1700～1800</v>
      </c>
      <c r="BS565" s="8" t="str">
        <f aca="false">IF(A565="","",IF(AX565="G1","G1",IF(AX565="G2","G2",IF(AX565="G3","G3",IF(AX565="L","L","その他")))))</f>
        <v>その他</v>
      </c>
      <c r="BT565" s="8" t="str">
        <f aca="false">IF(A565="","",IF(BI565="","未結合",IF(D565=BI565,"一致","不一致")))</f>
        <v>一致</v>
      </c>
      <c r="BU565" s="8" t="str">
        <f aca="false">IF(A565="","",IF(BE565="牝馬限定","牝馬限定","その他"))</f>
        <v>牝馬限定</v>
      </c>
    </row>
    <row r="566" customFormat="false" ht="15.75" hidden="false" customHeight="false" outlineLevel="0" collapsed="false">
      <c r="A566" s="6" t="n">
        <v>46165</v>
      </c>
      <c r="B566" s="4" t="s">
        <v>13</v>
      </c>
      <c r="C566" s="8" t="n">
        <v>9</v>
      </c>
      <c r="D566" s="8" t="n">
        <v>16</v>
      </c>
      <c r="E566" s="8" t="n">
        <v>14</v>
      </c>
      <c r="F566" s="4" t="s">
        <v>3119</v>
      </c>
      <c r="G566" s="8" t="n">
        <v>56</v>
      </c>
      <c r="H566" s="8" t="n">
        <v>2</v>
      </c>
      <c r="I566" s="4" t="s">
        <v>519</v>
      </c>
      <c r="J566" s="8" t="n">
        <v>47</v>
      </c>
      <c r="K566" s="8" t="n">
        <v>8</v>
      </c>
      <c r="L566" s="4" t="s">
        <v>5548</v>
      </c>
      <c r="M566" s="8" t="n">
        <v>39</v>
      </c>
      <c r="N566" s="8" t="n">
        <f aca="false">IF(A566="","",G566-J566)</f>
        <v>9</v>
      </c>
      <c r="O566" s="8" t="n">
        <f aca="false">IF(A566="","",J566-M566)</f>
        <v>8</v>
      </c>
      <c r="P566" s="8" t="n">
        <f aca="false">IF(A566="","",G566+J566)</f>
        <v>103</v>
      </c>
      <c r="Q566" s="8" t="str">
        <f aca="false">IF(A566="","",IF(AND(Y566&lt;&gt;"参考",G566&gt;=ルール設定!$B$2),"○",""))</f>
        <v/>
      </c>
      <c r="R566" s="8" t="str">
        <f aca="false">IF(A566="","",IF(AND(Y566&lt;&gt;"参考",G566&gt;=ルール設定!$B$3,N566&gt;=ルール設定!$B$4),"○",""))</f>
        <v/>
      </c>
      <c r="S566" s="8" t="str">
        <f aca="false">IF(A566="","",IF(AND(Y566&lt;&gt;"参考",G566&gt;=ルール設定!$B$5,J566&gt;=ルール設定!$B$6,O566&gt;=ルール設定!$B$7),"○",""))</f>
        <v/>
      </c>
      <c r="T566" s="8" t="n">
        <v>4</v>
      </c>
      <c r="U566" s="8" t="n">
        <v>4</v>
      </c>
      <c r="V566" s="8" t="str">
        <f aca="false">IF(A566="","",IF(AND(ISNUMBER(T566),ISNUMBER(U566)),IF(AND(T566&lt;=3,U566&lt;=3),"○","×"),""))</f>
        <v>×</v>
      </c>
      <c r="W566" s="8"/>
      <c r="X566" s="8"/>
      <c r="Y566" s="4" t="s">
        <v>7597</v>
      </c>
      <c r="Z566" s="4" t="s">
        <v>7841</v>
      </c>
      <c r="AA566" s="8" t="str">
        <v/>
      </c>
      <c r="AB566" s="8" t="str">
        <v/>
      </c>
      <c r="AC566" s="8" t="str">
        <v/>
      </c>
      <c r="AD566" s="8" t="str">
        <v/>
      </c>
      <c r="AE566" s="8" t="str">
        <v/>
      </c>
      <c r="AF566" s="8" t="str">
        <v/>
      </c>
      <c r="AG566" s="8" t="str">
        <v/>
      </c>
      <c r="AH566" s="8" t="str">
        <v/>
      </c>
      <c r="AI566" s="8" t="n">
        <v>17</v>
      </c>
      <c r="AJ566" s="8" t="str">
        <v>～59</v>
      </c>
      <c r="AK566" s="8" t="str">
        <v>5～9</v>
      </c>
      <c r="AL566" s="8" t="str">
        <v>10～19</v>
      </c>
      <c r="AM566" s="8" t="str">
        <v>100～119</v>
      </c>
      <c r="AN566" s="8" t="str">
        <v>15以上</v>
      </c>
      <c r="AO566" s="8" t="str">
        <f aca="false">IF(A566="","",IF(COUNTIFS(全馬データ!$A$2:$A$50000,A566,全馬データ!$B$2:$B$50000,B566,全馬データ!$C$2:$C$50000,C566,全馬データ!$D$2:$D$50000,E566,全馬データ!$K$2:$K$50000,"&lt;&gt;")=0,"",SUMIFS(全馬データ!$K$2:$K$50000,全馬データ!$A$2:$A$50000,A566,全馬データ!$B$2:$B$50000,B566,全馬データ!$C$2:$C$50000,C566,全馬データ!$D$2:$D$50000,E566)))</f>
        <v/>
      </c>
      <c r="AP566" s="8" t="str">
        <f aca="false">IF(A566="","",IF(AO566="","欠損",IF(AO566&lt;=1.1,"1.0～1.1",IF(AO566&lt;1.3,"1.2",IF(AO566&lt;1.5,"1.3～1.4",IF(AO566&lt;2,"1.5～1.9","2.0以上"))))))</f>
        <v>欠損</v>
      </c>
      <c r="AQ566" s="8" t="str">
        <f aca="false">IF(A566="","",IF(ISNUMBER(SEARCH("2歳",Z566)),"2歳戦",IF(ISNUMBER(SEARCH("3歳未勝利",Z566)),"3歳未勝利",IF(ISNUMBER(SEARCH("未勝利",Z566)),"その他未勝利",IF(ISNUMBER(SEARCH("G1",Z566)),"G1",IF(ISNUMBER(SEARCH("G2",Z566)),"G2",IF(ISNUMBER(SEARCH("G3",Z566)),"G3",IF(ISNUMBER(SEARCH("古馬条件",Z566)),"古馬条件戦",IF(ISNUMBER(SEARCH("重賞",Z566)),"重賞","分類不能")))))))))</f>
        <v>分類不能</v>
      </c>
      <c r="AR566" s="4" t="s">
        <v>7853</v>
      </c>
      <c r="AS566" s="8" t="s">
        <v>7623</v>
      </c>
      <c r="AT566" s="8" t="s">
        <v>7624</v>
      </c>
      <c r="AU566" s="8" t="s">
        <v>7628</v>
      </c>
      <c r="AV566" s="8" t="s">
        <v>7629</v>
      </c>
      <c r="AW566" s="8" t="s">
        <v>7636</v>
      </c>
      <c r="AX566" s="4" t="s">
        <v>7637</v>
      </c>
      <c r="AY566" s="8" t="s">
        <v>7602</v>
      </c>
      <c r="AZ566" s="4" t="s">
        <v>7603</v>
      </c>
      <c r="BA566" s="8" t="n">
        <v>1000</v>
      </c>
      <c r="BB566" s="8" t="s">
        <v>7659</v>
      </c>
      <c r="BC566" s="4" t="s">
        <v>7619</v>
      </c>
      <c r="BD566" s="8" t="s">
        <v>7630</v>
      </c>
      <c r="BE566" s="4" t="s">
        <v>7606</v>
      </c>
      <c r="BF566" s="8" t="s">
        <v>7607</v>
      </c>
      <c r="BG566" s="8" t="s">
        <v>7608</v>
      </c>
      <c r="BH566" s="4" t="s">
        <v>7609</v>
      </c>
      <c r="BI566" s="8" t="n">
        <v>16</v>
      </c>
      <c r="BJ566" s="8" t="s">
        <v>7608</v>
      </c>
      <c r="BK566" s="4" t="s">
        <v>7649</v>
      </c>
      <c r="BL566" s="8" t="s">
        <v>7647</v>
      </c>
      <c r="BM566" s="4" t="s">
        <v>7648</v>
      </c>
      <c r="BN566" s="8" t="s">
        <v>7631</v>
      </c>
      <c r="BO566" s="8" t="s">
        <v>7680</v>
      </c>
      <c r="BP566" s="8" t="s">
        <v>7608</v>
      </c>
      <c r="BQ566" s="8" t="str">
        <f aca="false">IF(A566="","",AT566)</f>
        <v>3歳</v>
      </c>
      <c r="BR566" s="8" t="str">
        <f aca="false">IF(A566="","",IF(BA566&lt;=1200,"～1200",IF(BA566&lt;=1500,"1300～1500",IF(BA566=1600,"1600",IF(BA566&lt;=1800,"1700～1800",IF(BA566&lt;=2000,"1900～2000","2100以上"))))))</f>
        <v>～1200</v>
      </c>
      <c r="BS566" s="8" t="str">
        <f aca="false">IF(A566="","",IF(AX566="G1","G1",IF(AX566="G2","G2",IF(AX566="G3","G3",IF(AX566="L","L","その他")))))</f>
        <v>その他</v>
      </c>
      <c r="BT566" s="8" t="str">
        <f aca="false">IF(A566="","",IF(BI566="","未結合",IF(D566=BI566,"一致","不一致")))</f>
        <v>一致</v>
      </c>
      <c r="BU566" s="8" t="str">
        <f aca="false">IF(A566="","",IF(BE566="牝馬限定","牝馬限定","その他"))</f>
        <v>その他</v>
      </c>
    </row>
    <row r="567" customFormat="false" ht="15.75" hidden="false" customHeight="false" outlineLevel="0" collapsed="false">
      <c r="A567" s="6" t="n">
        <v>46165</v>
      </c>
      <c r="B567" s="4" t="s">
        <v>13</v>
      </c>
      <c r="C567" s="8" t="n">
        <v>10</v>
      </c>
      <c r="D567" s="8" t="n">
        <v>15</v>
      </c>
      <c r="E567" s="8" t="n">
        <v>10</v>
      </c>
      <c r="F567" s="4" t="s">
        <v>5556</v>
      </c>
      <c r="G567" s="8" t="n">
        <v>52</v>
      </c>
      <c r="H567" s="8" t="n">
        <v>2</v>
      </c>
      <c r="I567" s="4" t="s">
        <v>5551</v>
      </c>
      <c r="J567" s="8" t="n">
        <v>50</v>
      </c>
      <c r="K567" s="8" t="n">
        <v>9</v>
      </c>
      <c r="L567" s="4" t="s">
        <v>5555</v>
      </c>
      <c r="M567" s="8" t="n">
        <v>50</v>
      </c>
      <c r="N567" s="8" t="n">
        <f aca="false">IF(A567="","",G567-J567)</f>
        <v>2</v>
      </c>
      <c r="O567" s="8" t="n">
        <f aca="false">IF(A567="","",J567-M567)</f>
        <v>0</v>
      </c>
      <c r="P567" s="8" t="n">
        <f aca="false">IF(A567="","",G567+J567)</f>
        <v>102</v>
      </c>
      <c r="Q567" s="8" t="str">
        <f aca="false">IF(A567="","",IF(AND(Y567&lt;&gt;"参考",G567&gt;=ルール設定!$B$2),"○",""))</f>
        <v/>
      </c>
      <c r="R567" s="8" t="str">
        <f aca="false">IF(A567="","",IF(AND(Y567&lt;&gt;"参考",G567&gt;=ルール設定!$B$3,N567&gt;=ルール設定!$B$4),"○",""))</f>
        <v/>
      </c>
      <c r="S567" s="8" t="str">
        <f aca="false">IF(A567="","",IF(AND(Y567&lt;&gt;"参考",G567&gt;=ルール設定!$B$5,J567&gt;=ルール設定!$B$6,O567&gt;=ルール設定!$B$7),"○",""))</f>
        <v/>
      </c>
      <c r="T567" s="8" t="n">
        <v>4</v>
      </c>
      <c r="U567" s="8" t="n">
        <v>2</v>
      </c>
      <c r="V567" s="8" t="str">
        <f aca="false">IF(A567="","",IF(AND(ISNUMBER(T567),ISNUMBER(U567)),IF(AND(T567&lt;=3,U567&lt;=3),"○","×"),""))</f>
        <v>×</v>
      </c>
      <c r="W567" s="8"/>
      <c r="X567" s="8"/>
      <c r="Y567" s="4" t="s">
        <v>7597</v>
      </c>
      <c r="Z567" s="4" t="s">
        <v>7841</v>
      </c>
      <c r="AA567" s="8" t="str">
        <v/>
      </c>
      <c r="AB567" s="8" t="str">
        <v/>
      </c>
      <c r="AC567" s="8" t="str">
        <v/>
      </c>
      <c r="AD567" s="8" t="str">
        <v/>
      </c>
      <c r="AE567" s="8" t="str">
        <v/>
      </c>
      <c r="AF567" s="8" t="str">
        <v/>
      </c>
      <c r="AG567" s="8" t="str">
        <v/>
      </c>
      <c r="AH567" s="8" t="str">
        <v/>
      </c>
      <c r="AI567" s="8" t="n">
        <v>2</v>
      </c>
      <c r="AJ567" s="8" t="str">
        <v>～59</v>
      </c>
      <c r="AK567" s="8" t="str">
        <v>0～4</v>
      </c>
      <c r="AL567" s="8" t="str">
        <v>0～9</v>
      </c>
      <c r="AM567" s="8" t="str">
        <v>100～119</v>
      </c>
      <c r="AN567" s="8" t="str">
        <v>15以上</v>
      </c>
      <c r="AO567" s="8" t="str">
        <f aca="false">IF(A567="","",IF(COUNTIFS(全馬データ!$A$2:$A$50000,A567,全馬データ!$B$2:$B$50000,B567,全馬データ!$C$2:$C$50000,C567,全馬データ!$D$2:$D$50000,E567,全馬データ!$K$2:$K$50000,"&lt;&gt;")=0,"",SUMIFS(全馬データ!$K$2:$K$50000,全馬データ!$A$2:$A$50000,A567,全馬データ!$B$2:$B$50000,B567,全馬データ!$C$2:$C$50000,C567,全馬データ!$D$2:$D$50000,E567)))</f>
        <v/>
      </c>
      <c r="AP567" s="8" t="str">
        <f aca="false">IF(A567="","",IF(AO567="","欠損",IF(AO567&lt;=1.1,"1.0～1.1",IF(AO567&lt;1.3,"1.2",IF(AO567&lt;1.5,"1.3～1.4",IF(AO567&lt;2,"1.5～1.9","2.0以上"))))))</f>
        <v>欠損</v>
      </c>
      <c r="AQ567" s="8" t="str">
        <f aca="false">IF(A567="","",IF(ISNUMBER(SEARCH("2歳",Z567)),"2歳戦",IF(ISNUMBER(SEARCH("3歳未勝利",Z567)),"3歳未勝利",IF(ISNUMBER(SEARCH("未勝利",Z567)),"その他未勝利",IF(ISNUMBER(SEARCH("G1",Z567)),"G1",IF(ISNUMBER(SEARCH("G2",Z567)),"G2",IF(ISNUMBER(SEARCH("G3",Z567)),"G3",IF(ISNUMBER(SEARCH("古馬条件",Z567)),"古馬条件戦",IF(ISNUMBER(SEARCH("重賞",Z567)),"重賞","分類不能")))))))))</f>
        <v>分類不能</v>
      </c>
      <c r="AR567" s="4" t="s">
        <v>7854</v>
      </c>
      <c r="AS567" s="8" t="s">
        <v>7842</v>
      </c>
      <c r="AT567" s="8" t="s">
        <v>7843</v>
      </c>
      <c r="AU567" s="8" t="s">
        <v>7628</v>
      </c>
      <c r="AV567" s="8" t="s">
        <v>7629</v>
      </c>
      <c r="AW567" s="8" t="s">
        <v>7636</v>
      </c>
      <c r="AX567" s="4" t="s">
        <v>7637</v>
      </c>
      <c r="AY567" s="8" t="s">
        <v>7602</v>
      </c>
      <c r="AZ567" s="4" t="s">
        <v>7603</v>
      </c>
      <c r="BA567" s="8" t="n">
        <v>2000</v>
      </c>
      <c r="BB567" s="8" t="s">
        <v>7659</v>
      </c>
      <c r="BC567" s="4" t="s">
        <v>7619</v>
      </c>
      <c r="BD567" s="8" t="s">
        <v>7625</v>
      </c>
      <c r="BE567" s="4" t="s">
        <v>7606</v>
      </c>
      <c r="BF567" s="8" t="s">
        <v>7607</v>
      </c>
      <c r="BG567" s="8" t="s">
        <v>7631</v>
      </c>
      <c r="BH567" s="4" t="s">
        <v>7632</v>
      </c>
      <c r="BI567" s="8" t="n">
        <v>15</v>
      </c>
      <c r="BJ567" s="8" t="s">
        <v>7610</v>
      </c>
      <c r="BK567" s="4" t="s">
        <v>7611</v>
      </c>
      <c r="BL567" s="8" t="s">
        <v>7610</v>
      </c>
      <c r="BM567" s="4" t="s">
        <v>7612</v>
      </c>
      <c r="BN567" s="8" t="s">
        <v>7631</v>
      </c>
      <c r="BO567" s="8" t="s">
        <v>7680</v>
      </c>
      <c r="BP567" s="8" t="s">
        <v>7608</v>
      </c>
      <c r="BQ567" s="8" t="str">
        <f aca="false">IF(A567="","",AT567)</f>
        <v>4歳以上</v>
      </c>
      <c r="BR567" s="8" t="str">
        <f aca="false">IF(A567="","",IF(BA567&lt;=1200,"～1200",IF(BA567&lt;=1500,"1300～1500",IF(BA567=1600,"1600",IF(BA567&lt;=1800,"1700～1800",IF(BA567&lt;=2000,"1900～2000","2100以上"))))))</f>
        <v>1900～2000</v>
      </c>
      <c r="BS567" s="8" t="str">
        <f aca="false">IF(A567="","",IF(AX567="G1","G1",IF(AX567="G2","G2",IF(AX567="G3","G3",IF(AX567="L","L","その他")))))</f>
        <v>その他</v>
      </c>
      <c r="BT567" s="8" t="str">
        <f aca="false">IF(A567="","",IF(BI567="","未結合",IF(D567=BI567,"一致","不一致")))</f>
        <v>一致</v>
      </c>
      <c r="BU567" s="8" t="str">
        <f aca="false">IF(A567="","",IF(BE567="牝馬限定","牝馬限定","その他"))</f>
        <v>その他</v>
      </c>
    </row>
    <row r="568" customFormat="false" ht="15.75" hidden="false" customHeight="false" outlineLevel="0" collapsed="false">
      <c r="A568" s="6" t="n">
        <v>46165</v>
      </c>
      <c r="B568" s="4" t="s">
        <v>13</v>
      </c>
      <c r="C568" s="8" t="n">
        <v>11</v>
      </c>
      <c r="D568" s="8" t="n">
        <v>16</v>
      </c>
      <c r="E568" s="8" t="n">
        <v>4</v>
      </c>
      <c r="F568" s="4" t="s">
        <v>1499</v>
      </c>
      <c r="G568" s="8" t="n">
        <v>56</v>
      </c>
      <c r="H568" s="8" t="n">
        <v>15</v>
      </c>
      <c r="I568" s="4" t="s">
        <v>5564</v>
      </c>
      <c r="J568" s="8" t="n">
        <v>50</v>
      </c>
      <c r="K568" s="8" t="n">
        <v>7</v>
      </c>
      <c r="L568" s="4" t="s">
        <v>5560</v>
      </c>
      <c r="M568" s="8" t="n">
        <v>39</v>
      </c>
      <c r="N568" s="8" t="n">
        <f aca="false">IF(A568="","",G568-J568)</f>
        <v>6</v>
      </c>
      <c r="O568" s="8" t="n">
        <f aca="false">IF(A568="","",J568-M568)</f>
        <v>11</v>
      </c>
      <c r="P568" s="8" t="n">
        <f aca="false">IF(A568="","",G568+J568)</f>
        <v>106</v>
      </c>
      <c r="Q568" s="8" t="str">
        <f aca="false">IF(A568="","",IF(AND(Y568&lt;&gt;"参考",G568&gt;=ルール設定!$B$2),"○",""))</f>
        <v/>
      </c>
      <c r="R568" s="8" t="str">
        <f aca="false">IF(A568="","",IF(AND(Y568&lt;&gt;"参考",G568&gt;=ルール設定!$B$3,N568&gt;=ルール設定!$B$4),"○",""))</f>
        <v/>
      </c>
      <c r="S568" s="8" t="str">
        <f aca="false">IF(A568="","",IF(AND(Y568&lt;&gt;"参考",G568&gt;=ルール設定!$B$5,J568&gt;=ルール設定!$B$6,O568&gt;=ルール設定!$B$7),"○",""))</f>
        <v/>
      </c>
      <c r="T568" s="8" t="n">
        <v>3</v>
      </c>
      <c r="U568" s="8" t="n">
        <v>4</v>
      </c>
      <c r="V568" s="8" t="str">
        <f aca="false">IF(A568="","",IF(AND(ISNUMBER(T568),ISNUMBER(U568)),IF(AND(T568&lt;=3,U568&lt;=3),"○","×"),""))</f>
        <v>×</v>
      </c>
      <c r="W568" s="8" t="n">
        <v>140</v>
      </c>
      <c r="X568" s="8"/>
      <c r="Y568" s="4" t="s">
        <v>7597</v>
      </c>
      <c r="Z568" s="4" t="s">
        <v>7841</v>
      </c>
      <c r="AA568" s="8" t="str">
        <v/>
      </c>
      <c r="AB568" s="8" t="str">
        <v/>
      </c>
      <c r="AC568" s="8" t="str">
        <v/>
      </c>
      <c r="AD568" s="8" t="str">
        <v/>
      </c>
      <c r="AE568" s="8" t="str">
        <v/>
      </c>
      <c r="AF568" s="8" t="str">
        <v/>
      </c>
      <c r="AG568" s="8" t="str">
        <v/>
      </c>
      <c r="AH568" s="8" t="str">
        <v/>
      </c>
      <c r="AI568" s="8" t="n">
        <v>17</v>
      </c>
      <c r="AJ568" s="8" t="str">
        <v>～59</v>
      </c>
      <c r="AK568" s="8" t="str">
        <v>5～9</v>
      </c>
      <c r="AL568" s="8" t="str">
        <v>10～19</v>
      </c>
      <c r="AM568" s="8" t="str">
        <v>100～119</v>
      </c>
      <c r="AN568" s="8" t="str">
        <v>15以上</v>
      </c>
      <c r="AO568" s="8" t="str">
        <f aca="false">IF(A568="","",IF(COUNTIFS(全馬データ!$A$2:$A$50000,A568,全馬データ!$B$2:$B$50000,B568,全馬データ!$C$2:$C$50000,C568,全馬データ!$D$2:$D$50000,E568,全馬データ!$K$2:$K$50000,"&lt;&gt;")=0,"",SUMIFS(全馬データ!$K$2:$K$50000,全馬データ!$A$2:$A$50000,A568,全馬データ!$B$2:$B$50000,B568,全馬データ!$C$2:$C$50000,C568,全馬データ!$D$2:$D$50000,E568)))</f>
        <v/>
      </c>
      <c r="AP568" s="8" t="str">
        <f aca="false">IF(A568="","",IF(AO568="","欠損",IF(AO568&lt;=1.1,"1.0～1.1",IF(AO568&lt;1.3,"1.2",IF(AO568&lt;1.5,"1.3～1.4",IF(AO568&lt;2,"1.5～1.9","2.0以上"))))))</f>
        <v>欠損</v>
      </c>
      <c r="AQ568" s="8" t="str">
        <f aca="false">IF(A568="","",IF(ISNUMBER(SEARCH("2歳",Z568)),"2歳戦",IF(ISNUMBER(SEARCH("3歳未勝利",Z568)),"3歳未勝利",IF(ISNUMBER(SEARCH("未勝利",Z568)),"その他未勝利",IF(ISNUMBER(SEARCH("G1",Z568)),"G1",IF(ISNUMBER(SEARCH("G2",Z568)),"G2",IF(ISNUMBER(SEARCH("G3",Z568)),"G3",IF(ISNUMBER(SEARCH("古馬条件",Z568)),"古馬条件戦",IF(ISNUMBER(SEARCH("重賞",Z568)),"重賞","分類不能")))))))))</f>
        <v>分類不能</v>
      </c>
      <c r="AR568" s="4" t="s">
        <v>7855</v>
      </c>
      <c r="AS568" s="8" t="s">
        <v>7842</v>
      </c>
      <c r="AT568" s="8" t="s">
        <v>7843</v>
      </c>
      <c r="AU568" s="8" t="s">
        <v>7634</v>
      </c>
      <c r="AV568" s="8" t="s">
        <v>7635</v>
      </c>
      <c r="AW568" s="8" t="s">
        <v>7636</v>
      </c>
      <c r="AX568" s="4" t="s">
        <v>7637</v>
      </c>
      <c r="AY568" s="8" t="s">
        <v>7602</v>
      </c>
      <c r="AZ568" s="4" t="s">
        <v>7603</v>
      </c>
      <c r="BA568" s="8" t="n">
        <v>1200</v>
      </c>
      <c r="BB568" s="8" t="s">
        <v>7659</v>
      </c>
      <c r="BC568" s="4" t="s">
        <v>7619</v>
      </c>
      <c r="BD568" s="8" t="s">
        <v>7630</v>
      </c>
      <c r="BE568" s="4" t="s">
        <v>7606</v>
      </c>
      <c r="BF568" s="8" t="s">
        <v>7607</v>
      </c>
      <c r="BG568" s="8" t="s">
        <v>7631</v>
      </c>
      <c r="BH568" s="4" t="s">
        <v>7632</v>
      </c>
      <c r="BI568" s="8" t="n">
        <v>16</v>
      </c>
      <c r="BJ568" s="8" t="s">
        <v>7610</v>
      </c>
      <c r="BK568" s="4" t="s">
        <v>7611</v>
      </c>
      <c r="BL568" s="8" t="s">
        <v>7602</v>
      </c>
      <c r="BM568" s="4" t="s">
        <v>7620</v>
      </c>
      <c r="BN568" s="8" t="s">
        <v>7631</v>
      </c>
      <c r="BO568" s="8" t="s">
        <v>7680</v>
      </c>
      <c r="BP568" s="8" t="s">
        <v>7608</v>
      </c>
      <c r="BQ568" s="8" t="str">
        <f aca="false">IF(A568="","",AT568)</f>
        <v>4歳以上</v>
      </c>
      <c r="BR568" s="8" t="str">
        <f aca="false">IF(A568="","",IF(BA568&lt;=1200,"～1200",IF(BA568&lt;=1500,"1300～1500",IF(BA568=1600,"1600",IF(BA568&lt;=1800,"1700～1800",IF(BA568&lt;=2000,"1900～2000","2100以上"))))))</f>
        <v>～1200</v>
      </c>
      <c r="BS568" s="8" t="str">
        <f aca="false">IF(A568="","",IF(AX568="G1","G1",IF(AX568="G2","G2",IF(AX568="G3","G3",IF(AX568="L","L","その他")))))</f>
        <v>その他</v>
      </c>
      <c r="BT568" s="8" t="str">
        <f aca="false">IF(A568="","",IF(BI568="","未結合",IF(D568=BI568,"一致","不一致")))</f>
        <v>一致</v>
      </c>
      <c r="BU568" s="8" t="str">
        <f aca="false">IF(A568="","",IF(BE568="牝馬限定","牝馬限定","その他"))</f>
        <v>その他</v>
      </c>
    </row>
    <row r="569" customFormat="false" ht="15.75" hidden="false" customHeight="false" outlineLevel="0" collapsed="false">
      <c r="A569" s="6" t="n">
        <v>46165</v>
      </c>
      <c r="B569" s="4" t="s">
        <v>13</v>
      </c>
      <c r="C569" s="8" t="n">
        <v>12</v>
      </c>
      <c r="D569" s="8" t="n">
        <v>15</v>
      </c>
      <c r="E569" s="8" t="n">
        <v>11</v>
      </c>
      <c r="F569" s="4" t="s">
        <v>5570</v>
      </c>
      <c r="G569" s="8" t="n">
        <v>60</v>
      </c>
      <c r="H569" s="8" t="n">
        <v>2</v>
      </c>
      <c r="I569" s="4" t="s">
        <v>5565</v>
      </c>
      <c r="J569" s="8" t="n">
        <v>50</v>
      </c>
      <c r="K569" s="8" t="n">
        <v>8</v>
      </c>
      <c r="L569" s="4" t="s">
        <v>1658</v>
      </c>
      <c r="M569" s="8" t="n">
        <v>47</v>
      </c>
      <c r="N569" s="8" t="n">
        <f aca="false">IF(A569="","",G569-J569)</f>
        <v>10</v>
      </c>
      <c r="O569" s="8" t="n">
        <f aca="false">IF(A569="","",J569-M569)</f>
        <v>3</v>
      </c>
      <c r="P569" s="8" t="n">
        <f aca="false">IF(A569="","",G569+J569)</f>
        <v>110</v>
      </c>
      <c r="Q569" s="8" t="str">
        <f aca="false">IF(A569="","",IF(AND(Y569&lt;&gt;"参考",G569&gt;=ルール設定!$B$2),"○",""))</f>
        <v/>
      </c>
      <c r="R569" s="8" t="str">
        <f aca="false">IF(A569="","",IF(AND(Y569&lt;&gt;"参考",G569&gt;=ルール設定!$B$3,N569&gt;=ルール設定!$B$4),"○",""))</f>
        <v/>
      </c>
      <c r="S569" s="8" t="str">
        <f aca="false">IF(A569="","",IF(AND(Y569&lt;&gt;"参考",G569&gt;=ルール設定!$B$5,J569&gt;=ルール設定!$B$6,O569&gt;=ルール設定!$B$7),"○",""))</f>
        <v/>
      </c>
      <c r="T569" s="8" t="n">
        <v>1</v>
      </c>
      <c r="U569" s="8" t="n">
        <v>4</v>
      </c>
      <c r="V569" s="8" t="str">
        <f aca="false">IF(A569="","",IF(AND(ISNUMBER(T569),ISNUMBER(U569)),IF(AND(T569&lt;=3,U569&lt;=3),"○","×"),""))</f>
        <v>×</v>
      </c>
      <c r="W569" s="8" t="n">
        <v>200</v>
      </c>
      <c r="X569" s="8"/>
      <c r="Y569" s="4" t="s">
        <v>7597</v>
      </c>
      <c r="Z569" s="4" t="s">
        <v>7841</v>
      </c>
      <c r="AA569" s="8" t="str">
        <v/>
      </c>
      <c r="AB569" s="8" t="str">
        <v/>
      </c>
      <c r="AC569" s="8" t="str">
        <v/>
      </c>
      <c r="AD569" s="8" t="str">
        <v/>
      </c>
      <c r="AE569" s="8" t="str">
        <v/>
      </c>
      <c r="AF569" s="8" t="str">
        <v/>
      </c>
      <c r="AG569" s="8" t="str">
        <v/>
      </c>
      <c r="AH569" s="8" t="str">
        <v/>
      </c>
      <c r="AI569" s="8" t="n">
        <v>13</v>
      </c>
      <c r="AJ569" s="8" t="str">
        <v>60～69</v>
      </c>
      <c r="AK569" s="8" t="str">
        <v>10～19</v>
      </c>
      <c r="AL569" s="8" t="str">
        <v>10～19</v>
      </c>
      <c r="AM569" s="8" t="str">
        <v>100～119</v>
      </c>
      <c r="AN569" s="8" t="str">
        <v>15以上</v>
      </c>
      <c r="AO569" s="8" t="str">
        <f aca="false">IF(A569="","",IF(COUNTIFS(全馬データ!$A$2:$A$50000,A569,全馬データ!$B$2:$B$50000,B569,全馬データ!$C$2:$C$50000,C569,全馬データ!$D$2:$D$50000,E569,全馬データ!$K$2:$K$50000,"&lt;&gt;")=0,"",SUMIFS(全馬データ!$K$2:$K$50000,全馬データ!$A$2:$A$50000,A569,全馬データ!$B$2:$B$50000,B569,全馬データ!$C$2:$C$50000,C569,全馬データ!$D$2:$D$50000,E569)))</f>
        <v/>
      </c>
      <c r="AP569" s="8" t="str">
        <f aca="false">IF(A569="","",IF(AO569="","欠損",IF(AO569&lt;=1.1,"1.0～1.1",IF(AO569&lt;1.3,"1.2",IF(AO569&lt;1.5,"1.3～1.4",IF(AO569&lt;2,"1.5～1.9","2.0以上"))))))</f>
        <v>欠損</v>
      </c>
      <c r="AQ569" s="8" t="str">
        <f aca="false">IF(A569="","",IF(ISNUMBER(SEARCH("2歳",Z569)),"2歳戦",IF(ISNUMBER(SEARCH("3歳未勝利",Z569)),"3歳未勝利",IF(ISNUMBER(SEARCH("未勝利",Z569)),"その他未勝利",IF(ISNUMBER(SEARCH("G1",Z569)),"G1",IF(ISNUMBER(SEARCH("G2",Z569)),"G2",IF(ISNUMBER(SEARCH("G3",Z569)),"G3",IF(ISNUMBER(SEARCH("古馬条件",Z569)),"古馬条件戦",IF(ISNUMBER(SEARCH("重賞",Z569)),"重賞","分類不能")))))))))</f>
        <v>分類不能</v>
      </c>
      <c r="AR569" s="8"/>
      <c r="AS569" s="8" t="s">
        <v>7842</v>
      </c>
      <c r="AT569" s="8" t="s">
        <v>7843</v>
      </c>
      <c r="AU569" s="8" t="s">
        <v>7628</v>
      </c>
      <c r="AV569" s="8" t="s">
        <v>7629</v>
      </c>
      <c r="AW569" s="8"/>
      <c r="AX569" s="8"/>
      <c r="AY569" s="8" t="s">
        <v>7610</v>
      </c>
      <c r="AZ569" s="4" t="s">
        <v>7617</v>
      </c>
      <c r="BA569" s="8" t="n">
        <v>1200</v>
      </c>
      <c r="BB569" s="8" t="s">
        <v>7618</v>
      </c>
      <c r="BC569" s="4" t="s">
        <v>7619</v>
      </c>
      <c r="BD569" s="8" t="s">
        <v>7605</v>
      </c>
      <c r="BE569" s="4" t="s">
        <v>7606</v>
      </c>
      <c r="BF569" s="8" t="s">
        <v>7607</v>
      </c>
      <c r="BG569" s="8" t="s">
        <v>7631</v>
      </c>
      <c r="BH569" s="4" t="s">
        <v>7632</v>
      </c>
      <c r="BI569" s="8" t="n">
        <v>15</v>
      </c>
      <c r="BJ569" s="8" t="s">
        <v>7610</v>
      </c>
      <c r="BK569" s="4" t="s">
        <v>7611</v>
      </c>
      <c r="BL569" s="8" t="s">
        <v>7602</v>
      </c>
      <c r="BM569" s="4" t="s">
        <v>7620</v>
      </c>
      <c r="BN569" s="8"/>
      <c r="BO569" s="8"/>
      <c r="BP569" s="8" t="s">
        <v>7608</v>
      </c>
      <c r="BQ569" s="8" t="str">
        <f aca="false">IF(A569="","",AT569)</f>
        <v>4歳以上</v>
      </c>
      <c r="BR569" s="8" t="str">
        <f aca="false">IF(A569="","",IF(BA569&lt;=1200,"～1200",IF(BA569&lt;=1500,"1300～1500",IF(BA569=1600,"1600",IF(BA569&lt;=1800,"1700～1800",IF(BA569&lt;=2000,"1900～2000","2100以上"))))))</f>
        <v>～1200</v>
      </c>
      <c r="BS569" s="8" t="str">
        <f aca="false">IF(A569="","",IF(AX569="G1","G1",IF(AX569="G2","G2",IF(AX569="G3","G3",IF(AX569="L","L","その他")))))</f>
        <v>その他</v>
      </c>
      <c r="BT569" s="8" t="str">
        <f aca="false">IF(A569="","",IF(BI569="","未結合",IF(D569=BI569,"一致","不一致")))</f>
        <v>一致</v>
      </c>
      <c r="BU569" s="8" t="str">
        <f aca="false">IF(A569="","",IF(BE569="牝馬限定","牝馬限定","その他"))</f>
        <v>その他</v>
      </c>
    </row>
    <row r="570" customFormat="false" ht="15.75" hidden="false" customHeight="false" outlineLevel="0" collapsed="false">
      <c r="A570" s="6" t="n">
        <v>46166</v>
      </c>
      <c r="B570" s="4" t="s">
        <v>4473</v>
      </c>
      <c r="C570" s="8" t="n">
        <v>1</v>
      </c>
      <c r="D570" s="8" t="n">
        <v>16</v>
      </c>
      <c r="E570" s="8" t="n">
        <v>2</v>
      </c>
      <c r="F570" s="4" t="s">
        <v>496</v>
      </c>
      <c r="G570" s="8" t="n">
        <v>56</v>
      </c>
      <c r="H570" s="8" t="n">
        <v>10</v>
      </c>
      <c r="I570" s="4" t="s">
        <v>500</v>
      </c>
      <c r="J570" s="8" t="n">
        <v>56</v>
      </c>
      <c r="K570" s="8" t="n">
        <v>3</v>
      </c>
      <c r="L570" s="4" t="s">
        <v>947</v>
      </c>
      <c r="M570" s="8" t="n">
        <v>47</v>
      </c>
      <c r="N570" s="8" t="n">
        <f aca="false">IF(A570="","",G570-J570)</f>
        <v>0</v>
      </c>
      <c r="O570" s="8" t="n">
        <f aca="false">IF(A570="","",J570-M570)</f>
        <v>9</v>
      </c>
      <c r="P570" s="8" t="n">
        <f aca="false">IF(A570="","",G570+J570)</f>
        <v>112</v>
      </c>
      <c r="Q570" s="8" t="str">
        <f aca="false">IF(A570="","",IF(AND(Y570&lt;&gt;"参考",G570&gt;=ルール設定!$B$2),"○",""))</f>
        <v/>
      </c>
      <c r="R570" s="8" t="str">
        <f aca="false">IF(A570="","",IF(AND(Y570&lt;&gt;"参考",G570&gt;=ルール設定!$B$3,N570&gt;=ルール設定!$B$4),"○",""))</f>
        <v/>
      </c>
      <c r="S570" s="8" t="str">
        <f aca="false">IF(A570="","",IF(AND(Y570&lt;&gt;"参考",G570&gt;=ルール設定!$B$5,J570&gt;=ルール設定!$B$6,O570&gt;=ルール設定!$B$7),"○",""))</f>
        <v/>
      </c>
      <c r="T570" s="8" t="n">
        <v>4</v>
      </c>
      <c r="U570" s="8" t="n">
        <v>4</v>
      </c>
      <c r="V570" s="8" t="str">
        <f aca="false">IF(A570="","",IF(AND(ISNUMBER(T570),ISNUMBER(U570)),IF(AND(T570&lt;=3,U570&lt;=3),"○","×"),""))</f>
        <v>×</v>
      </c>
      <c r="W570" s="8"/>
      <c r="X570" s="8"/>
      <c r="Y570" s="4" t="s">
        <v>7597</v>
      </c>
      <c r="Z570" s="4" t="s">
        <v>7841</v>
      </c>
      <c r="AA570" s="8" t="str">
        <v/>
      </c>
      <c r="AB570" s="8" t="str">
        <v/>
      </c>
      <c r="AC570" s="8" t="str">
        <v/>
      </c>
      <c r="AD570" s="8" t="str">
        <v/>
      </c>
      <c r="AE570" s="8" t="str">
        <v/>
      </c>
      <c r="AF570" s="8" t="str">
        <v/>
      </c>
      <c r="AG570" s="8" t="str">
        <v/>
      </c>
      <c r="AH570" s="8" t="str">
        <v/>
      </c>
      <c r="AI570" s="8" t="n">
        <v>9</v>
      </c>
      <c r="AJ570" s="8" t="str">
        <v>～59</v>
      </c>
      <c r="AK570" s="8" t="str">
        <v>0～4</v>
      </c>
      <c r="AL570" s="8" t="str">
        <v>0～9</v>
      </c>
      <c r="AM570" s="8" t="str">
        <v>100～119</v>
      </c>
      <c r="AN570" s="8" t="str">
        <v>15以上</v>
      </c>
      <c r="AO570" s="8" t="str">
        <f aca="false">IF(A570="","",IF(COUNTIFS(全馬データ!$A$2:$A$50000,A570,全馬データ!$B$2:$B$50000,B570,全馬データ!$C$2:$C$50000,C570,全馬データ!$D$2:$D$50000,E570,全馬データ!$K$2:$K$50000,"&lt;&gt;")=0,"",SUMIFS(全馬データ!$K$2:$K$50000,全馬データ!$A$2:$A$50000,A570,全馬データ!$B$2:$B$50000,B570,全馬データ!$C$2:$C$50000,C570,全馬データ!$D$2:$D$50000,E570)))</f>
        <v/>
      </c>
      <c r="AP570" s="8" t="str">
        <f aca="false">IF(A570="","",IF(AO570="","欠損",IF(AO570&lt;=1.1,"1.0～1.1",IF(AO570&lt;1.3,"1.2",IF(AO570&lt;1.5,"1.3～1.4",IF(AO570&lt;2,"1.5～1.9","2.0以上"))))))</f>
        <v>欠損</v>
      </c>
      <c r="AQ570" s="8" t="str">
        <f aca="false">IF(A570="","",IF(ISNUMBER(SEARCH("2歳",Z570)),"2歳戦",IF(ISNUMBER(SEARCH("3歳未勝利",Z570)),"3歳未勝利",IF(ISNUMBER(SEARCH("未勝利",Z570)),"その他未勝利",IF(ISNUMBER(SEARCH("G1",Z570)),"G1",IF(ISNUMBER(SEARCH("G2",Z570)),"G2",IF(ISNUMBER(SEARCH("G3",Z570)),"G3",IF(ISNUMBER(SEARCH("古馬条件",Z570)),"古馬条件戦",IF(ISNUMBER(SEARCH("重賞",Z570)),"重賞","分類不能")))))))))</f>
        <v>分類不能</v>
      </c>
      <c r="AR570" s="8"/>
      <c r="AS570" s="8" t="s">
        <v>7623</v>
      </c>
      <c r="AT570" s="8" t="s">
        <v>7624</v>
      </c>
      <c r="AU570" s="8" t="s">
        <v>7600</v>
      </c>
      <c r="AV570" s="4" t="s">
        <v>7601</v>
      </c>
      <c r="AW570" s="8"/>
      <c r="AX570" s="8"/>
      <c r="AY570" s="8" t="s">
        <v>7610</v>
      </c>
      <c r="AZ570" s="4" t="s">
        <v>7617</v>
      </c>
      <c r="BA570" s="8" t="n">
        <v>1400</v>
      </c>
      <c r="BB570" s="8" t="s">
        <v>7618</v>
      </c>
      <c r="BC570" s="4" t="s">
        <v>7619</v>
      </c>
      <c r="BD570" s="8" t="s">
        <v>7621</v>
      </c>
      <c r="BE570" s="4" t="s">
        <v>7622</v>
      </c>
      <c r="BF570" s="8" t="s">
        <v>7602</v>
      </c>
      <c r="BG570" s="8" t="s">
        <v>7608</v>
      </c>
      <c r="BH570" s="4" t="s">
        <v>7609</v>
      </c>
      <c r="BI570" s="8" t="n">
        <v>16</v>
      </c>
      <c r="BJ570" s="8" t="s">
        <v>7610</v>
      </c>
      <c r="BK570" s="4" t="s">
        <v>7611</v>
      </c>
      <c r="BL570" s="8" t="s">
        <v>7602</v>
      </c>
      <c r="BM570" s="4" t="s">
        <v>7620</v>
      </c>
      <c r="BN570" s="8"/>
      <c r="BO570" s="8"/>
      <c r="BP570" s="8" t="s">
        <v>7602</v>
      </c>
      <c r="BQ570" s="8" t="str">
        <f aca="false">IF(A570="","",AT570)</f>
        <v>3歳</v>
      </c>
      <c r="BR570" s="8" t="str">
        <f aca="false">IF(A570="","",IF(BA570&lt;=1200,"～1200",IF(BA570&lt;=1500,"1300～1500",IF(BA570=1600,"1600",IF(BA570&lt;=1800,"1700～1800",IF(BA570&lt;=2000,"1900～2000","2100以上"))))))</f>
        <v>1300～1500</v>
      </c>
      <c r="BS570" s="8" t="str">
        <f aca="false">IF(A570="","",IF(AX570="G1","G1",IF(AX570="G2","G2",IF(AX570="G3","G3",IF(AX570="L","L","その他")))))</f>
        <v>その他</v>
      </c>
      <c r="BT570" s="8" t="str">
        <f aca="false">IF(A570="","",IF(BI570="","未結合",IF(D570=BI570,"一致","不一致")))</f>
        <v>一致</v>
      </c>
      <c r="BU570" s="8" t="str">
        <f aca="false">IF(A570="","",IF(BE570="牝馬限定","牝馬限定","その他"))</f>
        <v>牝馬限定</v>
      </c>
    </row>
    <row r="571" customFormat="false" ht="15.75" hidden="false" customHeight="false" outlineLevel="0" collapsed="false">
      <c r="A571" s="6" t="n">
        <v>46166</v>
      </c>
      <c r="B571" s="4" t="s">
        <v>4473</v>
      </c>
      <c r="C571" s="8" t="n">
        <v>2</v>
      </c>
      <c r="D571" s="8" t="n">
        <v>16</v>
      </c>
      <c r="E571" s="8" t="n">
        <v>11</v>
      </c>
      <c r="F571" s="4" t="s">
        <v>5582</v>
      </c>
      <c r="G571" s="8" t="n">
        <v>74</v>
      </c>
      <c r="H571" s="8" t="n">
        <v>7</v>
      </c>
      <c r="I571" s="4" t="s">
        <v>1910</v>
      </c>
      <c r="J571" s="8" t="n">
        <v>66</v>
      </c>
      <c r="K571" s="8" t="n">
        <v>9</v>
      </c>
      <c r="L571" s="4" t="s">
        <v>2009</v>
      </c>
      <c r="M571" s="8" t="n">
        <v>37</v>
      </c>
      <c r="N571" s="8" t="n">
        <f aca="false">IF(A571="","",G571-J571)</f>
        <v>8</v>
      </c>
      <c r="O571" s="8" t="n">
        <f aca="false">IF(A571="","",J571-M571)</f>
        <v>29</v>
      </c>
      <c r="P571" s="8" t="n">
        <f aca="false">IF(A571="","",G571+J571)</f>
        <v>140</v>
      </c>
      <c r="Q571" s="8" t="str">
        <f aca="false">IF(A571="","",IF(AND(Y571&lt;&gt;"参考",G571&gt;=ルール設定!$B$2),"○",""))</f>
        <v/>
      </c>
      <c r="R571" s="8" t="str">
        <f aca="false">IF(A571="","",IF(AND(Y571&lt;&gt;"参考",G571&gt;=ルール設定!$B$3,N571&gt;=ルール設定!$B$4),"○",""))</f>
        <v/>
      </c>
      <c r="S571" s="8" t="str">
        <f aca="false">IF(A571="","",IF(AND(Y571&lt;&gt;"参考",G571&gt;=ルール設定!$B$5,J571&gt;=ルール設定!$B$6,O571&gt;=ルール設定!$B$7),"○",""))</f>
        <v>○</v>
      </c>
      <c r="T571" s="8" t="n">
        <v>2</v>
      </c>
      <c r="U571" s="8" t="n">
        <v>4</v>
      </c>
      <c r="V571" s="8" t="str">
        <f aca="false">IF(A571="","",IF(AND(ISNUMBER(T571),ISNUMBER(U571)),IF(AND(T571&lt;=3,U571&lt;=3),"○","×"),""))</f>
        <v>×</v>
      </c>
      <c r="W571" s="8" t="n">
        <v>120</v>
      </c>
      <c r="X571" s="8"/>
      <c r="Y571" s="4" t="s">
        <v>7597</v>
      </c>
      <c r="Z571" s="4" t="s">
        <v>7841</v>
      </c>
      <c r="AA571" s="8" t="str">
        <v/>
      </c>
      <c r="AB571" s="8" t="str">
        <v/>
      </c>
      <c r="AC571" s="8" t="str">
        <v/>
      </c>
      <c r="AD571" s="8" t="str">
        <v/>
      </c>
      <c r="AE571" s="8" t="str">
        <v/>
      </c>
      <c r="AF571" s="8" t="str">
        <v/>
      </c>
      <c r="AG571" s="8" t="str">
        <v/>
      </c>
      <c r="AH571" s="8" t="str">
        <v/>
      </c>
      <c r="AI571" s="8" t="n">
        <v>37</v>
      </c>
      <c r="AJ571" s="8" t="str">
        <v>70～74</v>
      </c>
      <c r="AK571" s="8" t="str">
        <v>5～9</v>
      </c>
      <c r="AL571" s="8" t="str">
        <v>30～39</v>
      </c>
      <c r="AM571" s="8" t="str">
        <v>140～159</v>
      </c>
      <c r="AN571" s="8" t="str">
        <v>15以上</v>
      </c>
      <c r="AO571" s="8" t="str">
        <f aca="false">IF(A571="","",IF(COUNTIFS(全馬データ!$A$2:$A$50000,A571,全馬データ!$B$2:$B$50000,B571,全馬データ!$C$2:$C$50000,C571,全馬データ!$D$2:$D$50000,E571,全馬データ!$K$2:$K$50000,"&lt;&gt;")=0,"",SUMIFS(全馬データ!$K$2:$K$50000,全馬データ!$A$2:$A$50000,A571,全馬データ!$B$2:$B$50000,B571,全馬データ!$C$2:$C$50000,C571,全馬データ!$D$2:$D$50000,E571)))</f>
        <v/>
      </c>
      <c r="AP571" s="8" t="str">
        <f aca="false">IF(A571="","",IF(AO571="","欠損",IF(AO571&lt;=1.1,"1.0～1.1",IF(AO571&lt;1.3,"1.2",IF(AO571&lt;1.5,"1.3～1.4",IF(AO571&lt;2,"1.5～1.9","2.0以上"))))))</f>
        <v>欠損</v>
      </c>
      <c r="AQ571" s="8" t="str">
        <f aca="false">IF(A571="","",IF(ISNUMBER(SEARCH("2歳",Z571)),"2歳戦",IF(ISNUMBER(SEARCH("3歳未勝利",Z571)),"3歳未勝利",IF(ISNUMBER(SEARCH("未勝利",Z571)),"その他未勝利",IF(ISNUMBER(SEARCH("G1",Z571)),"G1",IF(ISNUMBER(SEARCH("G2",Z571)),"G2",IF(ISNUMBER(SEARCH("G3",Z571)),"G3",IF(ISNUMBER(SEARCH("古馬条件",Z571)),"古馬条件戦",IF(ISNUMBER(SEARCH("重賞",Z571)),"重賞","分類不能")))))))))</f>
        <v>分類不能</v>
      </c>
      <c r="AR571" s="8"/>
      <c r="AS571" s="8" t="s">
        <v>7623</v>
      </c>
      <c r="AT571" s="8" t="s">
        <v>7624</v>
      </c>
      <c r="AU571" s="8" t="s">
        <v>7600</v>
      </c>
      <c r="AV571" s="4" t="s">
        <v>7601</v>
      </c>
      <c r="AW571" s="8"/>
      <c r="AX571" s="8"/>
      <c r="AY571" s="8" t="s">
        <v>7610</v>
      </c>
      <c r="AZ571" s="4" t="s">
        <v>7617</v>
      </c>
      <c r="BA571" s="8" t="n">
        <v>1600</v>
      </c>
      <c r="BB571" s="8" t="s">
        <v>7618</v>
      </c>
      <c r="BC571" s="4" t="s">
        <v>7619</v>
      </c>
      <c r="BD571" s="8" t="s">
        <v>7625</v>
      </c>
      <c r="BE571" s="4" t="s">
        <v>7606</v>
      </c>
      <c r="BF571" s="8" t="s">
        <v>7607</v>
      </c>
      <c r="BG571" s="8" t="s">
        <v>7608</v>
      </c>
      <c r="BH571" s="4" t="s">
        <v>7609</v>
      </c>
      <c r="BI571" s="8" t="n">
        <v>16</v>
      </c>
      <c r="BJ571" s="8" t="s">
        <v>7610</v>
      </c>
      <c r="BK571" s="4" t="s">
        <v>7611</v>
      </c>
      <c r="BL571" s="8" t="s">
        <v>7602</v>
      </c>
      <c r="BM571" s="4" t="s">
        <v>7620</v>
      </c>
      <c r="BN571" s="8"/>
      <c r="BO571" s="8"/>
      <c r="BP571" s="8" t="s">
        <v>7602</v>
      </c>
      <c r="BQ571" s="8" t="str">
        <f aca="false">IF(A571="","",AT571)</f>
        <v>3歳</v>
      </c>
      <c r="BR571" s="8" t="str">
        <f aca="false">IF(A571="","",IF(BA571&lt;=1200,"～1200",IF(BA571&lt;=1500,"1300～1500",IF(BA571=1600,"1600",IF(BA571&lt;=1800,"1700～1800",IF(BA571&lt;=2000,"1900～2000","2100以上"))))))</f>
        <v>1600</v>
      </c>
      <c r="BS571" s="8" t="str">
        <f aca="false">IF(A571="","",IF(AX571="G1","G1",IF(AX571="G2","G2",IF(AX571="G3","G3",IF(AX571="L","L","その他")))))</f>
        <v>その他</v>
      </c>
      <c r="BT571" s="8" t="str">
        <f aca="false">IF(A571="","",IF(BI571="","未結合",IF(D571=BI571,"一致","不一致")))</f>
        <v>一致</v>
      </c>
      <c r="BU571" s="8" t="str">
        <f aca="false">IF(A571="","",IF(BE571="牝馬限定","牝馬限定","その他"))</f>
        <v>その他</v>
      </c>
    </row>
    <row r="572" customFormat="false" ht="15.75" hidden="false" customHeight="false" outlineLevel="0" collapsed="false">
      <c r="A572" s="6" t="n">
        <v>46166</v>
      </c>
      <c r="B572" s="4" t="s">
        <v>4473</v>
      </c>
      <c r="C572" s="8" t="n">
        <v>3</v>
      </c>
      <c r="D572" s="8" t="n">
        <v>16</v>
      </c>
      <c r="E572" s="8" t="n">
        <v>2</v>
      </c>
      <c r="F572" s="4" t="s">
        <v>2342</v>
      </c>
      <c r="G572" s="8" t="n">
        <v>71</v>
      </c>
      <c r="H572" s="8" t="n">
        <v>8</v>
      </c>
      <c r="I572" s="4" t="s">
        <v>1970</v>
      </c>
      <c r="J572" s="8" t="n">
        <v>67</v>
      </c>
      <c r="K572" s="8" t="n">
        <v>5</v>
      </c>
      <c r="L572" s="4" t="s">
        <v>2335</v>
      </c>
      <c r="M572" s="8" t="n">
        <v>58</v>
      </c>
      <c r="N572" s="8" t="n">
        <f aca="false">IF(A572="","",G572-J572)</f>
        <v>4</v>
      </c>
      <c r="O572" s="8" t="n">
        <f aca="false">IF(A572="","",J572-M572)</f>
        <v>9</v>
      </c>
      <c r="P572" s="8" t="n">
        <f aca="false">IF(A572="","",G572+J572)</f>
        <v>138</v>
      </c>
      <c r="Q572" s="8" t="str">
        <f aca="false">IF(A572="","",IF(AND(Y572&lt;&gt;"参考",G572&gt;=ルール設定!$B$2),"○",""))</f>
        <v/>
      </c>
      <c r="R572" s="8" t="str">
        <f aca="false">IF(A572="","",IF(AND(Y572&lt;&gt;"参考",G572&gt;=ルール設定!$B$3,N572&gt;=ルール設定!$B$4),"○",""))</f>
        <v/>
      </c>
      <c r="S572" s="8" t="str">
        <f aca="false">IF(A572="","",IF(AND(Y572&lt;&gt;"参考",G572&gt;=ルール設定!$B$5,J572&gt;=ルール設定!$B$6,O572&gt;=ルール設定!$B$7),"○",""))</f>
        <v/>
      </c>
      <c r="T572" s="8" t="n">
        <v>2</v>
      </c>
      <c r="U572" s="8" t="n">
        <v>1</v>
      </c>
      <c r="V572" s="8" t="str">
        <f aca="false">IF(A572="","",IF(AND(ISNUMBER(T572),ISNUMBER(U572)),IF(AND(T572&lt;=3,U572&lt;=3),"○","×"),""))</f>
        <v>○</v>
      </c>
      <c r="W572" s="8" t="n">
        <v>140</v>
      </c>
      <c r="X572" s="8" t="n">
        <v>210</v>
      </c>
      <c r="Y572" s="4" t="s">
        <v>7597</v>
      </c>
      <c r="Z572" s="4" t="s">
        <v>7841</v>
      </c>
      <c r="AA572" s="8" t="str">
        <v/>
      </c>
      <c r="AB572" s="8" t="str">
        <v/>
      </c>
      <c r="AC572" s="8" t="str">
        <v/>
      </c>
      <c r="AD572" s="8" t="str">
        <v/>
      </c>
      <c r="AE572" s="8" t="str">
        <v/>
      </c>
      <c r="AF572" s="8" t="str">
        <v/>
      </c>
      <c r="AG572" s="8" t="str">
        <v/>
      </c>
      <c r="AH572" s="8" t="str">
        <v/>
      </c>
      <c r="AI572" s="8" t="n">
        <v>13</v>
      </c>
      <c r="AJ572" s="8" t="str">
        <v>70～74</v>
      </c>
      <c r="AK572" s="8" t="str">
        <v>0～4</v>
      </c>
      <c r="AL572" s="8" t="str">
        <v>10～19</v>
      </c>
      <c r="AM572" s="8" t="str">
        <v>120～139</v>
      </c>
      <c r="AN572" s="8" t="str">
        <v>15以上</v>
      </c>
      <c r="AO572" s="8" t="str">
        <f aca="false">IF(A572="","",IF(COUNTIFS(全馬データ!$A$2:$A$50000,A572,全馬データ!$B$2:$B$50000,B572,全馬データ!$C$2:$C$50000,C572,全馬データ!$D$2:$D$50000,E572,全馬データ!$K$2:$K$50000,"&lt;&gt;")=0,"",SUMIFS(全馬データ!$K$2:$K$50000,全馬データ!$A$2:$A$50000,A572,全馬データ!$B$2:$B$50000,B572,全馬データ!$C$2:$C$50000,C572,全馬データ!$D$2:$D$50000,E572)))</f>
        <v/>
      </c>
      <c r="AP572" s="8" t="str">
        <f aca="false">IF(A572="","",IF(AO572="","欠損",IF(AO572&lt;=1.1,"1.0～1.1",IF(AO572&lt;1.3,"1.2",IF(AO572&lt;1.5,"1.3～1.4",IF(AO572&lt;2,"1.5～1.9","2.0以上"))))))</f>
        <v>欠損</v>
      </c>
      <c r="AQ572" s="8" t="str">
        <f aca="false">IF(A572="","",IF(ISNUMBER(SEARCH("2歳",Z572)),"2歳戦",IF(ISNUMBER(SEARCH("3歳未勝利",Z572)),"3歳未勝利",IF(ISNUMBER(SEARCH("未勝利",Z572)),"その他未勝利",IF(ISNUMBER(SEARCH("G1",Z572)),"G1",IF(ISNUMBER(SEARCH("G2",Z572)),"G2",IF(ISNUMBER(SEARCH("G3",Z572)),"G3",IF(ISNUMBER(SEARCH("古馬条件",Z572)),"古馬条件戦",IF(ISNUMBER(SEARCH("重賞",Z572)),"重賞","分類不能")))))))))</f>
        <v>分類不能</v>
      </c>
      <c r="AR572" s="8"/>
      <c r="AS572" s="8" t="s">
        <v>7623</v>
      </c>
      <c r="AT572" s="8" t="s">
        <v>7624</v>
      </c>
      <c r="AU572" s="8" t="s">
        <v>7600</v>
      </c>
      <c r="AV572" s="4" t="s">
        <v>7601</v>
      </c>
      <c r="AW572" s="8"/>
      <c r="AX572" s="8"/>
      <c r="AY572" s="8" t="s">
        <v>7610</v>
      </c>
      <c r="AZ572" s="4" t="s">
        <v>7617</v>
      </c>
      <c r="BA572" s="8" t="n">
        <v>1300</v>
      </c>
      <c r="BB572" s="8" t="s">
        <v>7618</v>
      </c>
      <c r="BC572" s="4" t="s">
        <v>7619</v>
      </c>
      <c r="BD572" s="8" t="s">
        <v>7605</v>
      </c>
      <c r="BE572" s="4" t="s">
        <v>7606</v>
      </c>
      <c r="BF572" s="8" t="s">
        <v>7607</v>
      </c>
      <c r="BG572" s="8" t="s">
        <v>7608</v>
      </c>
      <c r="BH572" s="4" t="s">
        <v>7609</v>
      </c>
      <c r="BI572" s="8" t="n">
        <v>16</v>
      </c>
      <c r="BJ572" s="8" t="s">
        <v>7610</v>
      </c>
      <c r="BK572" s="4" t="s">
        <v>7611</v>
      </c>
      <c r="BL572" s="8" t="s">
        <v>7602</v>
      </c>
      <c r="BM572" s="4" t="s">
        <v>7620</v>
      </c>
      <c r="BN572" s="8"/>
      <c r="BO572" s="8"/>
      <c r="BP572" s="8" t="s">
        <v>7602</v>
      </c>
      <c r="BQ572" s="8" t="str">
        <f aca="false">IF(A572="","",AT572)</f>
        <v>3歳</v>
      </c>
      <c r="BR572" s="8" t="str">
        <f aca="false">IF(A572="","",IF(BA572&lt;=1200,"～1200",IF(BA572&lt;=1500,"1300～1500",IF(BA572=1600,"1600",IF(BA572&lt;=1800,"1700～1800",IF(BA572&lt;=2000,"1900～2000","2100以上"))))))</f>
        <v>1300～1500</v>
      </c>
      <c r="BS572" s="8" t="str">
        <f aca="false">IF(A572="","",IF(AX572="G1","G1",IF(AX572="G2","G2",IF(AX572="G3","G3",IF(AX572="L","L","その他")))))</f>
        <v>その他</v>
      </c>
      <c r="BT572" s="8" t="str">
        <f aca="false">IF(A572="","",IF(BI572="","未結合",IF(D572=BI572,"一致","不一致")))</f>
        <v>一致</v>
      </c>
      <c r="BU572" s="8" t="str">
        <f aca="false">IF(A572="","",IF(BE572="牝馬限定","牝馬限定","その他"))</f>
        <v>その他</v>
      </c>
    </row>
    <row r="573" customFormat="false" ht="15.75" hidden="false" customHeight="false" outlineLevel="0" collapsed="false">
      <c r="A573" s="6" t="n">
        <v>46166</v>
      </c>
      <c r="B573" s="4" t="s">
        <v>4473</v>
      </c>
      <c r="C573" s="8" t="n">
        <v>4</v>
      </c>
      <c r="D573" s="8" t="n">
        <v>18</v>
      </c>
      <c r="E573" s="8" t="n">
        <v>16</v>
      </c>
      <c r="F573" s="4" t="s">
        <v>5595</v>
      </c>
      <c r="G573" s="8" t="n">
        <v>52</v>
      </c>
      <c r="H573" s="8" t="n">
        <v>8</v>
      </c>
      <c r="I573" s="4" t="s">
        <v>2233</v>
      </c>
      <c r="J573" s="8" t="n">
        <v>47</v>
      </c>
      <c r="K573" s="8" t="n">
        <v>14</v>
      </c>
      <c r="L573" s="4" t="s">
        <v>1407</v>
      </c>
      <c r="M573" s="8" t="n">
        <v>44</v>
      </c>
      <c r="N573" s="8" t="n">
        <f aca="false">IF(A573="","",G573-J573)</f>
        <v>5</v>
      </c>
      <c r="O573" s="8" t="n">
        <f aca="false">IF(A573="","",J573-M573)</f>
        <v>3</v>
      </c>
      <c r="P573" s="8" t="n">
        <f aca="false">IF(A573="","",G573+J573)</f>
        <v>99</v>
      </c>
      <c r="Q573" s="8" t="str">
        <f aca="false">IF(A573="","",IF(AND(Y573&lt;&gt;"参考",G573&gt;=ルール設定!$B$2),"○",""))</f>
        <v/>
      </c>
      <c r="R573" s="8" t="str">
        <f aca="false">IF(A573="","",IF(AND(Y573&lt;&gt;"参考",G573&gt;=ルール設定!$B$3,N573&gt;=ルール設定!$B$4),"○",""))</f>
        <v/>
      </c>
      <c r="S573" s="8" t="str">
        <f aca="false">IF(A573="","",IF(AND(Y573&lt;&gt;"参考",G573&gt;=ルール設定!$B$5,J573&gt;=ルール設定!$B$6,O573&gt;=ルール設定!$B$7),"○",""))</f>
        <v/>
      </c>
      <c r="T573" s="8" t="n">
        <v>2</v>
      </c>
      <c r="U573" s="8" t="n">
        <v>3</v>
      </c>
      <c r="V573" s="8" t="str">
        <f aca="false">IF(A573="","",IF(AND(ISNUMBER(T573),ISNUMBER(U573)),IF(AND(T573&lt;=3,U573&lt;=3),"○","×"),""))</f>
        <v>○</v>
      </c>
      <c r="W573" s="8" t="n">
        <v>200</v>
      </c>
      <c r="X573" s="8" t="n">
        <v>480</v>
      </c>
      <c r="Y573" s="4" t="s">
        <v>7597</v>
      </c>
      <c r="Z573" s="4" t="s">
        <v>7841</v>
      </c>
      <c r="AA573" s="8" t="str">
        <v/>
      </c>
      <c r="AB573" s="8" t="str">
        <v/>
      </c>
      <c r="AC573" s="8" t="str">
        <v/>
      </c>
      <c r="AD573" s="8" t="str">
        <v/>
      </c>
      <c r="AE573" s="8" t="str">
        <v/>
      </c>
      <c r="AF573" s="8" t="str">
        <v/>
      </c>
      <c r="AG573" s="8" t="str">
        <v/>
      </c>
      <c r="AH573" s="8" t="str">
        <v/>
      </c>
      <c r="AI573" s="8" t="n">
        <v>8</v>
      </c>
      <c r="AJ573" s="8" t="str">
        <v>～59</v>
      </c>
      <c r="AK573" s="8" t="str">
        <v>5～9</v>
      </c>
      <c r="AL573" s="8" t="str">
        <v>0～9</v>
      </c>
      <c r="AM573" s="8" t="str">
        <v>～99</v>
      </c>
      <c r="AN573" s="8" t="str">
        <v>15以上</v>
      </c>
      <c r="AO573" s="8" t="str">
        <f aca="false">IF(A573="","",IF(COUNTIFS(全馬データ!$A$2:$A$50000,A573,全馬データ!$B$2:$B$50000,B573,全馬データ!$C$2:$C$50000,C573,全馬データ!$D$2:$D$50000,E573,全馬データ!$K$2:$K$50000,"&lt;&gt;")=0,"",SUMIFS(全馬データ!$K$2:$K$50000,全馬データ!$A$2:$A$50000,A573,全馬データ!$B$2:$B$50000,B573,全馬データ!$C$2:$C$50000,C573,全馬データ!$D$2:$D$50000,E573)))</f>
        <v/>
      </c>
      <c r="AP573" s="8" t="str">
        <f aca="false">IF(A573="","",IF(AO573="","欠損",IF(AO573&lt;=1.1,"1.0～1.1",IF(AO573&lt;1.3,"1.2",IF(AO573&lt;1.5,"1.3～1.4",IF(AO573&lt;2,"1.5～1.9","2.0以上"))))))</f>
        <v>欠損</v>
      </c>
      <c r="AQ573" s="8" t="str">
        <f aca="false">IF(A573="","",IF(ISNUMBER(SEARCH("2歳",Z573)),"2歳戦",IF(ISNUMBER(SEARCH("3歳未勝利",Z573)),"3歳未勝利",IF(ISNUMBER(SEARCH("未勝利",Z573)),"その他未勝利",IF(ISNUMBER(SEARCH("G1",Z573)),"G1",IF(ISNUMBER(SEARCH("G2",Z573)),"G2",IF(ISNUMBER(SEARCH("G3",Z573)),"G3",IF(ISNUMBER(SEARCH("古馬条件",Z573)),"古馬条件戦",IF(ISNUMBER(SEARCH("重賞",Z573)),"重賞","分類不能")))))))))</f>
        <v>分類不能</v>
      </c>
      <c r="AR573" s="8"/>
      <c r="AS573" s="8" t="s">
        <v>7623</v>
      </c>
      <c r="AT573" s="8" t="s">
        <v>7624</v>
      </c>
      <c r="AU573" s="8" t="s">
        <v>7600</v>
      </c>
      <c r="AV573" s="4" t="s">
        <v>7601</v>
      </c>
      <c r="AW573" s="8"/>
      <c r="AX573" s="8"/>
      <c r="AY573" s="8" t="s">
        <v>7602</v>
      </c>
      <c r="AZ573" s="4" t="s">
        <v>7603</v>
      </c>
      <c r="BA573" s="8" t="n">
        <v>1600</v>
      </c>
      <c r="BB573" s="8" t="s">
        <v>7598</v>
      </c>
      <c r="BC573" s="4" t="s">
        <v>7604</v>
      </c>
      <c r="BD573" s="8" t="s">
        <v>7621</v>
      </c>
      <c r="BE573" s="4" t="s">
        <v>7622</v>
      </c>
      <c r="BF573" s="8" t="s">
        <v>7602</v>
      </c>
      <c r="BG573" s="8" t="s">
        <v>7608</v>
      </c>
      <c r="BH573" s="4" t="s">
        <v>7609</v>
      </c>
      <c r="BI573" s="8" t="n">
        <v>18</v>
      </c>
      <c r="BJ573" s="8" t="s">
        <v>7610</v>
      </c>
      <c r="BK573" s="4" t="s">
        <v>7611</v>
      </c>
      <c r="BL573" s="8" t="s">
        <v>7602</v>
      </c>
      <c r="BM573" s="4" t="s">
        <v>7620</v>
      </c>
      <c r="BN573" s="8" t="s">
        <v>7631</v>
      </c>
      <c r="BO573" s="8" t="s">
        <v>7680</v>
      </c>
      <c r="BP573" s="8" t="s">
        <v>7602</v>
      </c>
      <c r="BQ573" s="8" t="str">
        <f aca="false">IF(A573="","",AT573)</f>
        <v>3歳</v>
      </c>
      <c r="BR573" s="8" t="str">
        <f aca="false">IF(A573="","",IF(BA573&lt;=1200,"～1200",IF(BA573&lt;=1500,"1300～1500",IF(BA573=1600,"1600",IF(BA573&lt;=1800,"1700～1800",IF(BA573&lt;=2000,"1900～2000","2100以上"))))))</f>
        <v>1600</v>
      </c>
      <c r="BS573" s="8" t="str">
        <f aca="false">IF(A573="","",IF(AX573="G1","G1",IF(AX573="G2","G2",IF(AX573="G3","G3",IF(AX573="L","L","その他")))))</f>
        <v>その他</v>
      </c>
      <c r="BT573" s="8" t="str">
        <f aca="false">IF(A573="","",IF(BI573="","未結合",IF(D573=BI573,"一致","不一致")))</f>
        <v>一致</v>
      </c>
      <c r="BU573" s="8" t="str">
        <f aca="false">IF(A573="","",IF(BE573="牝馬限定","牝馬限定","その他"))</f>
        <v>牝馬限定</v>
      </c>
    </row>
    <row r="574" customFormat="false" ht="15.75" hidden="false" customHeight="false" outlineLevel="0" collapsed="false">
      <c r="A574" s="6" t="n">
        <v>46166</v>
      </c>
      <c r="B574" s="4" t="s">
        <v>4473</v>
      </c>
      <c r="C574" s="8" t="n">
        <v>5</v>
      </c>
      <c r="D574" s="8" t="n">
        <v>14</v>
      </c>
      <c r="E574" s="8" t="n">
        <v>7</v>
      </c>
      <c r="F574" s="4" t="s">
        <v>5597</v>
      </c>
      <c r="G574" s="8" t="n">
        <v>58</v>
      </c>
      <c r="H574" s="8" t="n">
        <v>13</v>
      </c>
      <c r="I574" s="4" t="s">
        <v>5600</v>
      </c>
      <c r="J574" s="8" t="n">
        <v>52</v>
      </c>
      <c r="K574" s="8" t="n">
        <v>4</v>
      </c>
      <c r="L574" s="4" t="s">
        <v>1415</v>
      </c>
      <c r="M574" s="8" t="n">
        <v>34</v>
      </c>
      <c r="N574" s="8" t="n">
        <f aca="false">IF(A574="","",G574-J574)</f>
        <v>6</v>
      </c>
      <c r="O574" s="8" t="n">
        <f aca="false">IF(A574="","",J574-M574)</f>
        <v>18</v>
      </c>
      <c r="P574" s="8" t="n">
        <f aca="false">IF(A574="","",G574+J574)</f>
        <v>110</v>
      </c>
      <c r="Q574" s="8" t="str">
        <f aca="false">IF(A574="","",IF(AND(Y574&lt;&gt;"参考",G574&gt;=ルール設定!$B$2),"○",""))</f>
        <v/>
      </c>
      <c r="R574" s="8" t="str">
        <f aca="false">IF(A574="","",IF(AND(Y574&lt;&gt;"参考",G574&gt;=ルール設定!$B$3,N574&gt;=ルール設定!$B$4),"○",""))</f>
        <v/>
      </c>
      <c r="S574" s="8" t="str">
        <f aca="false">IF(A574="","",IF(AND(Y574&lt;&gt;"参考",G574&gt;=ルール設定!$B$5,J574&gt;=ルール設定!$B$6,O574&gt;=ルール設定!$B$7),"○",""))</f>
        <v/>
      </c>
      <c r="T574" s="8" t="n">
        <v>1</v>
      </c>
      <c r="U574" s="8" t="n">
        <v>2</v>
      </c>
      <c r="V574" s="8" t="str">
        <f aca="false">IF(A574="","",IF(AND(ISNUMBER(T574),ISNUMBER(U574)),IF(AND(T574&lt;=3,U574&lt;=3),"○","×"),""))</f>
        <v>○</v>
      </c>
      <c r="W574" s="8" t="n">
        <v>110</v>
      </c>
      <c r="X574" s="8" t="n">
        <v>140</v>
      </c>
      <c r="Y574" s="4" t="s">
        <v>7597</v>
      </c>
      <c r="Z574" s="4" t="s">
        <v>7841</v>
      </c>
      <c r="AA574" s="8" t="str">
        <v/>
      </c>
      <c r="AB574" s="8" t="str">
        <v/>
      </c>
      <c r="AC574" s="8" t="str">
        <v/>
      </c>
      <c r="AD574" s="8" t="str">
        <v/>
      </c>
      <c r="AE574" s="8" t="str">
        <v/>
      </c>
      <c r="AF574" s="8" t="str">
        <v/>
      </c>
      <c r="AG574" s="8" t="str">
        <v/>
      </c>
      <c r="AH574" s="8" t="str">
        <v/>
      </c>
      <c r="AI574" s="8" t="n">
        <v>24</v>
      </c>
      <c r="AJ574" s="8" t="str">
        <v>～59</v>
      </c>
      <c r="AK574" s="8" t="str">
        <v>5～9</v>
      </c>
      <c r="AL574" s="8" t="str">
        <v>20～29</v>
      </c>
      <c r="AM574" s="8" t="str">
        <v>100～119</v>
      </c>
      <c r="AN574" s="8" t="str">
        <v>12～14</v>
      </c>
      <c r="AO574" s="8" t="str">
        <f aca="false">IF(A574="","",IF(COUNTIFS(全馬データ!$A$2:$A$50000,A574,全馬データ!$B$2:$B$50000,B574,全馬データ!$C$2:$C$50000,C574,全馬データ!$D$2:$D$50000,E574,全馬データ!$K$2:$K$50000,"&lt;&gt;")=0,"",SUMIFS(全馬データ!$K$2:$K$50000,全馬データ!$A$2:$A$50000,A574,全馬データ!$B$2:$B$50000,B574,全馬データ!$C$2:$C$50000,C574,全馬データ!$D$2:$D$50000,E574)))</f>
        <v/>
      </c>
      <c r="AP574" s="8" t="str">
        <f aca="false">IF(A574="","",IF(AO574="","欠損",IF(AO574&lt;=1.1,"1.0～1.1",IF(AO574&lt;1.3,"1.2",IF(AO574&lt;1.5,"1.3～1.4",IF(AO574&lt;2,"1.5～1.9","2.0以上"))))))</f>
        <v>欠損</v>
      </c>
      <c r="AQ574" s="8" t="str">
        <f aca="false">IF(A574="","",IF(ISNUMBER(SEARCH("2歳",Z574)),"2歳戦",IF(ISNUMBER(SEARCH("3歳未勝利",Z574)),"3歳未勝利",IF(ISNUMBER(SEARCH("未勝利",Z574)),"その他未勝利",IF(ISNUMBER(SEARCH("G1",Z574)),"G1",IF(ISNUMBER(SEARCH("G2",Z574)),"G2",IF(ISNUMBER(SEARCH("G3",Z574)),"G3",IF(ISNUMBER(SEARCH("古馬条件",Z574)),"古馬条件戦",IF(ISNUMBER(SEARCH("重賞",Z574)),"重賞","分類不能")))))))))</f>
        <v>分類不能</v>
      </c>
      <c r="AR574" s="8"/>
      <c r="AS574" s="8" t="s">
        <v>7623</v>
      </c>
      <c r="AT574" s="8" t="s">
        <v>7624</v>
      </c>
      <c r="AU574" s="8" t="s">
        <v>7600</v>
      </c>
      <c r="AV574" s="4" t="s">
        <v>7601</v>
      </c>
      <c r="AW574" s="8"/>
      <c r="AX574" s="8"/>
      <c r="AY574" s="8" t="s">
        <v>7602</v>
      </c>
      <c r="AZ574" s="4" t="s">
        <v>7603</v>
      </c>
      <c r="BA574" s="8" t="n">
        <v>1800</v>
      </c>
      <c r="BB574" s="8" t="s">
        <v>7598</v>
      </c>
      <c r="BC574" s="4" t="s">
        <v>7604</v>
      </c>
      <c r="BD574" s="8" t="s">
        <v>7605</v>
      </c>
      <c r="BE574" s="4" t="s">
        <v>7606</v>
      </c>
      <c r="BF574" s="8" t="s">
        <v>7607</v>
      </c>
      <c r="BG574" s="8" t="s">
        <v>7608</v>
      </c>
      <c r="BH574" s="4" t="s">
        <v>7609</v>
      </c>
      <c r="BI574" s="8" t="n">
        <v>14</v>
      </c>
      <c r="BJ574" s="8" t="s">
        <v>7610</v>
      </c>
      <c r="BK574" s="4" t="s">
        <v>7611</v>
      </c>
      <c r="BL574" s="8" t="s">
        <v>7602</v>
      </c>
      <c r="BM574" s="4" t="s">
        <v>7620</v>
      </c>
      <c r="BN574" s="8" t="s">
        <v>7631</v>
      </c>
      <c r="BO574" s="8" t="s">
        <v>7680</v>
      </c>
      <c r="BP574" s="8" t="s">
        <v>7602</v>
      </c>
      <c r="BQ574" s="8" t="str">
        <f aca="false">IF(A574="","",AT574)</f>
        <v>3歳</v>
      </c>
      <c r="BR574" s="8" t="str">
        <f aca="false">IF(A574="","",IF(BA574&lt;=1200,"～1200",IF(BA574&lt;=1500,"1300～1500",IF(BA574=1600,"1600",IF(BA574&lt;=1800,"1700～1800",IF(BA574&lt;=2000,"1900～2000","2100以上"))))))</f>
        <v>1700～1800</v>
      </c>
      <c r="BS574" s="8" t="str">
        <f aca="false">IF(A574="","",IF(AX574="G1","G1",IF(AX574="G2","G2",IF(AX574="G3","G3",IF(AX574="L","L","その他")))))</f>
        <v>その他</v>
      </c>
      <c r="BT574" s="8" t="str">
        <f aca="false">IF(A574="","",IF(BI574="","未結合",IF(D574=BI574,"一致","不一致")))</f>
        <v>一致</v>
      </c>
      <c r="BU574" s="8" t="str">
        <f aca="false">IF(A574="","",IF(BE574="牝馬限定","牝馬限定","その他"))</f>
        <v>その他</v>
      </c>
    </row>
    <row r="575" customFormat="false" ht="15.75" hidden="false" customHeight="false" outlineLevel="0" collapsed="false">
      <c r="A575" s="6" t="n">
        <v>46166</v>
      </c>
      <c r="B575" s="4" t="s">
        <v>4473</v>
      </c>
      <c r="C575" s="8" t="n">
        <v>6</v>
      </c>
      <c r="D575" s="8" t="n">
        <v>14</v>
      </c>
      <c r="E575" s="8" t="n">
        <v>6</v>
      </c>
      <c r="F575" s="4" t="s">
        <v>258</v>
      </c>
      <c r="G575" s="8" t="n">
        <v>81</v>
      </c>
      <c r="H575" s="8" t="n">
        <v>2</v>
      </c>
      <c r="I575" s="4" t="s">
        <v>4077</v>
      </c>
      <c r="J575" s="8" t="n">
        <v>41</v>
      </c>
      <c r="K575" s="8" t="n">
        <v>9</v>
      </c>
      <c r="L575" s="4" t="s">
        <v>1087</v>
      </c>
      <c r="M575" s="8" t="n">
        <v>41</v>
      </c>
      <c r="N575" s="8" t="n">
        <f aca="false">IF(A575="","",G575-J575)</f>
        <v>40</v>
      </c>
      <c r="O575" s="8" t="n">
        <f aca="false">IF(A575="","",J575-M575)</f>
        <v>0</v>
      </c>
      <c r="P575" s="8" t="n">
        <f aca="false">IF(A575="","",G575+J575)</f>
        <v>122</v>
      </c>
      <c r="Q575" s="8" t="str">
        <f aca="false">IF(A575="","",IF(AND(Y575&lt;&gt;"参考",G575&gt;=ルール設定!$B$2),"○",""))</f>
        <v>○</v>
      </c>
      <c r="R575" s="8" t="str">
        <f aca="false">IF(A575="","",IF(AND(Y575&lt;&gt;"参考",G575&gt;=ルール設定!$B$3,N575&gt;=ルール設定!$B$4),"○",""))</f>
        <v>○</v>
      </c>
      <c r="S575" s="8" t="str">
        <f aca="false">IF(A575="","",IF(AND(Y575&lt;&gt;"参考",G575&gt;=ルール設定!$B$5,J575&gt;=ルール設定!$B$6,O575&gt;=ルール設定!$B$7),"○",""))</f>
        <v/>
      </c>
      <c r="T575" s="8" t="n">
        <v>1</v>
      </c>
      <c r="U575" s="8" t="n">
        <v>2</v>
      </c>
      <c r="V575" s="8" t="str">
        <f aca="false">IF(A575="","",IF(AND(ISNUMBER(T575),ISNUMBER(U575)),IF(AND(T575&lt;=3,U575&lt;=3),"○","×"),""))</f>
        <v>○</v>
      </c>
      <c r="W575" s="8" t="n">
        <v>110</v>
      </c>
      <c r="X575" s="8" t="n">
        <v>370</v>
      </c>
      <c r="Y575" s="4" t="s">
        <v>7597</v>
      </c>
      <c r="Z575" s="4" t="s">
        <v>7841</v>
      </c>
      <c r="AA575" s="8" t="str">
        <v/>
      </c>
      <c r="AB575" s="8" t="str">
        <v>○</v>
      </c>
      <c r="AC575" s="8" t="str">
        <v/>
      </c>
      <c r="AD575" s="8" t="str">
        <v>○</v>
      </c>
      <c r="AE575" s="8" t="str">
        <v/>
      </c>
      <c r="AF575" s="8" t="str">
        <v/>
      </c>
      <c r="AG575" s="8" t="str">
        <v>○</v>
      </c>
      <c r="AH575" s="8" t="str">
        <v/>
      </c>
      <c r="AI575" s="8" t="n">
        <v>40</v>
      </c>
      <c r="AJ575" s="8" t="str">
        <v>80～84</v>
      </c>
      <c r="AK575" s="8" t="str">
        <v>30以上</v>
      </c>
      <c r="AL575" s="8" t="str">
        <v>40以上</v>
      </c>
      <c r="AM575" s="8" t="str">
        <v>120～139</v>
      </c>
      <c r="AN575" s="8" t="str">
        <v>12～14</v>
      </c>
      <c r="AO575" s="8" t="str">
        <f aca="false">IF(A575="","",IF(COUNTIFS(全馬データ!$A$2:$A$50000,A575,全馬データ!$B$2:$B$50000,B575,全馬データ!$C$2:$C$50000,C575,全馬データ!$D$2:$D$50000,E575,全馬データ!$K$2:$K$50000,"&lt;&gt;")=0,"",SUMIFS(全馬データ!$K$2:$K$50000,全馬データ!$A$2:$A$50000,A575,全馬データ!$B$2:$B$50000,B575,全馬データ!$C$2:$C$50000,C575,全馬データ!$D$2:$D$50000,E575)))</f>
        <v/>
      </c>
      <c r="AP575" s="8" t="str">
        <f aca="false">IF(A575="","",IF(AO575="","欠損",IF(AO575&lt;=1.1,"1.0～1.1",IF(AO575&lt;1.3,"1.2",IF(AO575&lt;1.5,"1.3～1.4",IF(AO575&lt;2,"1.5～1.9","2.0以上"))))))</f>
        <v>欠損</v>
      </c>
      <c r="AQ575" s="8" t="str">
        <f aca="false">IF(A575="","",IF(ISNUMBER(SEARCH("2歳",Z575)),"2歳戦",IF(ISNUMBER(SEARCH("3歳未勝利",Z575)),"3歳未勝利",IF(ISNUMBER(SEARCH("未勝利",Z575)),"その他未勝利",IF(ISNUMBER(SEARCH("G1",Z575)),"G1",IF(ISNUMBER(SEARCH("G2",Z575)),"G2",IF(ISNUMBER(SEARCH("G3",Z575)),"G3",IF(ISNUMBER(SEARCH("古馬条件",Z575)),"古馬条件戦",IF(ISNUMBER(SEARCH("重賞",Z575)),"重賞","分類不能")))))))))</f>
        <v>分類不能</v>
      </c>
      <c r="AR575" s="8"/>
      <c r="AS575" s="8" t="s">
        <v>7623</v>
      </c>
      <c r="AT575" s="8" t="s">
        <v>7624</v>
      </c>
      <c r="AU575" s="8" t="s">
        <v>7628</v>
      </c>
      <c r="AV575" s="8" t="s">
        <v>7629</v>
      </c>
      <c r="AW575" s="8"/>
      <c r="AX575" s="8"/>
      <c r="AY575" s="8" t="s">
        <v>7610</v>
      </c>
      <c r="AZ575" s="4" t="s">
        <v>7617</v>
      </c>
      <c r="BA575" s="8" t="n">
        <v>1400</v>
      </c>
      <c r="BB575" s="8" t="s">
        <v>7618</v>
      </c>
      <c r="BC575" s="4" t="s">
        <v>7619</v>
      </c>
      <c r="BD575" s="8" t="s">
        <v>7690</v>
      </c>
      <c r="BE575" s="4" t="s">
        <v>7606</v>
      </c>
      <c r="BF575" s="8" t="s">
        <v>7607</v>
      </c>
      <c r="BG575" s="8" t="s">
        <v>7608</v>
      </c>
      <c r="BH575" s="4" t="s">
        <v>7609</v>
      </c>
      <c r="BI575" s="8" t="n">
        <v>14</v>
      </c>
      <c r="BJ575" s="8" t="s">
        <v>7610</v>
      </c>
      <c r="BK575" s="4" t="s">
        <v>7611</v>
      </c>
      <c r="BL575" s="8" t="s">
        <v>7602</v>
      </c>
      <c r="BM575" s="4" t="s">
        <v>7620</v>
      </c>
      <c r="BN575" s="8"/>
      <c r="BO575" s="8"/>
      <c r="BP575" s="8" t="s">
        <v>7602</v>
      </c>
      <c r="BQ575" s="8" t="str">
        <f aca="false">IF(A575="","",AT575)</f>
        <v>3歳</v>
      </c>
      <c r="BR575" s="8" t="str">
        <f aca="false">IF(A575="","",IF(BA575&lt;=1200,"～1200",IF(BA575&lt;=1500,"1300～1500",IF(BA575=1600,"1600",IF(BA575&lt;=1800,"1700～1800",IF(BA575&lt;=2000,"1900～2000","2100以上"))))))</f>
        <v>1300～1500</v>
      </c>
      <c r="BS575" s="8" t="str">
        <f aca="false">IF(A575="","",IF(AX575="G1","G1",IF(AX575="G2","G2",IF(AX575="G3","G3",IF(AX575="L","L","その他")))))</f>
        <v>その他</v>
      </c>
      <c r="BT575" s="8" t="str">
        <f aca="false">IF(A575="","",IF(BI575="","未結合",IF(D575=BI575,"一致","不一致")))</f>
        <v>一致</v>
      </c>
      <c r="BU575" s="8" t="str">
        <f aca="false">IF(A575="","",IF(BE575="牝馬限定","牝馬限定","その他"))</f>
        <v>その他</v>
      </c>
    </row>
    <row r="576" customFormat="false" ht="15.75" hidden="false" customHeight="false" outlineLevel="0" collapsed="false">
      <c r="A576" s="6" t="n">
        <v>46166</v>
      </c>
      <c r="B576" s="4" t="s">
        <v>4473</v>
      </c>
      <c r="C576" s="8" t="n">
        <v>7</v>
      </c>
      <c r="D576" s="8" t="n">
        <v>17</v>
      </c>
      <c r="E576" s="8" t="n">
        <v>16</v>
      </c>
      <c r="F576" s="4" t="s">
        <v>274</v>
      </c>
      <c r="G576" s="8" t="n">
        <v>44</v>
      </c>
      <c r="H576" s="8" t="n">
        <v>7</v>
      </c>
      <c r="I576" s="4" t="s">
        <v>4537</v>
      </c>
      <c r="J576" s="8" t="n">
        <v>31</v>
      </c>
      <c r="K576" s="8" t="n">
        <v>8</v>
      </c>
      <c r="L576" s="4" t="s">
        <v>5610</v>
      </c>
      <c r="M576" s="8" t="n">
        <v>25</v>
      </c>
      <c r="N576" s="8" t="n">
        <f aca="false">IF(A576="","",G576-J576)</f>
        <v>13</v>
      </c>
      <c r="O576" s="8" t="n">
        <f aca="false">IF(A576="","",J576-M576)</f>
        <v>6</v>
      </c>
      <c r="P576" s="8" t="n">
        <f aca="false">IF(A576="","",G576+J576)</f>
        <v>75</v>
      </c>
      <c r="Q576" s="8" t="str">
        <f aca="false">IF(A576="","",IF(AND(Y576&lt;&gt;"参考",G576&gt;=ルール設定!$B$2),"○",""))</f>
        <v/>
      </c>
      <c r="R576" s="8" t="str">
        <f aca="false">IF(A576="","",IF(AND(Y576&lt;&gt;"参考",G576&gt;=ルール設定!$B$3,N576&gt;=ルール設定!$B$4),"○",""))</f>
        <v/>
      </c>
      <c r="S576" s="8" t="str">
        <f aca="false">IF(A576="","",IF(AND(Y576&lt;&gt;"参考",G576&gt;=ルール設定!$B$5,J576&gt;=ルール設定!$B$6,O576&gt;=ルール設定!$B$7),"○",""))</f>
        <v/>
      </c>
      <c r="T576" s="8" t="n">
        <v>3</v>
      </c>
      <c r="U576" s="8" t="n">
        <v>4</v>
      </c>
      <c r="V576" s="8" t="str">
        <f aca="false">IF(A576="","",IF(AND(ISNUMBER(T576),ISNUMBER(U576)),IF(AND(T576&lt;=3,U576&lt;=3),"○","×"),""))</f>
        <v>×</v>
      </c>
      <c r="W576" s="8" t="n">
        <v>140</v>
      </c>
      <c r="X576" s="8"/>
      <c r="Y576" s="4" t="s">
        <v>7597</v>
      </c>
      <c r="Z576" s="4" t="s">
        <v>7841</v>
      </c>
      <c r="AA576" s="8" t="str">
        <v/>
      </c>
      <c r="AB576" s="8" t="str">
        <v/>
      </c>
      <c r="AC576" s="8" t="str">
        <v/>
      </c>
      <c r="AD576" s="8" t="str">
        <v/>
      </c>
      <c r="AE576" s="8" t="str">
        <v/>
      </c>
      <c r="AF576" s="8" t="str">
        <v/>
      </c>
      <c r="AG576" s="8" t="str">
        <v/>
      </c>
      <c r="AH576" s="8" t="str">
        <v/>
      </c>
      <c r="AI576" s="8" t="n">
        <v>19</v>
      </c>
      <c r="AJ576" s="8" t="str">
        <v>～59</v>
      </c>
      <c r="AK576" s="8" t="str">
        <v>10～19</v>
      </c>
      <c r="AL576" s="8" t="str">
        <v>10～19</v>
      </c>
      <c r="AM576" s="8" t="str">
        <v>～99</v>
      </c>
      <c r="AN576" s="8" t="str">
        <v>15以上</v>
      </c>
      <c r="AO576" s="8" t="str">
        <f aca="false">IF(A576="","",IF(COUNTIFS(全馬データ!$A$2:$A$50000,A576,全馬データ!$B$2:$B$50000,B576,全馬データ!$C$2:$C$50000,C576,全馬データ!$D$2:$D$50000,E576,全馬データ!$K$2:$K$50000,"&lt;&gt;")=0,"",SUMIFS(全馬データ!$K$2:$K$50000,全馬データ!$A$2:$A$50000,A576,全馬データ!$B$2:$B$50000,B576,全馬データ!$C$2:$C$50000,C576,全馬データ!$D$2:$D$50000,E576)))</f>
        <v/>
      </c>
      <c r="AP576" s="8" t="str">
        <f aca="false">IF(A576="","",IF(AO576="","欠損",IF(AO576&lt;=1.1,"1.0～1.1",IF(AO576&lt;1.3,"1.2",IF(AO576&lt;1.5,"1.3～1.4",IF(AO576&lt;2,"1.5～1.9","2.0以上"))))))</f>
        <v>欠損</v>
      </c>
      <c r="AQ576" s="8" t="str">
        <f aca="false">IF(A576="","",IF(ISNUMBER(SEARCH("2歳",Z576)),"2歳戦",IF(ISNUMBER(SEARCH("3歳未勝利",Z576)),"3歳未勝利",IF(ISNUMBER(SEARCH("未勝利",Z576)),"その他未勝利",IF(ISNUMBER(SEARCH("G1",Z576)),"G1",IF(ISNUMBER(SEARCH("G2",Z576)),"G2",IF(ISNUMBER(SEARCH("G3",Z576)),"G3",IF(ISNUMBER(SEARCH("古馬条件",Z576)),"古馬条件戦",IF(ISNUMBER(SEARCH("重賞",Z576)),"重賞","分類不能")))))))))</f>
        <v>分類不能</v>
      </c>
      <c r="AR576" s="8"/>
      <c r="AS576" s="8" t="s">
        <v>7842</v>
      </c>
      <c r="AT576" s="8" t="s">
        <v>7843</v>
      </c>
      <c r="AU576" s="8" t="s">
        <v>7628</v>
      </c>
      <c r="AV576" s="8" t="s">
        <v>7629</v>
      </c>
      <c r="AW576" s="8"/>
      <c r="AX576" s="8"/>
      <c r="AY576" s="8" t="s">
        <v>7602</v>
      </c>
      <c r="AZ576" s="4" t="s">
        <v>7603</v>
      </c>
      <c r="BA576" s="8" t="n">
        <v>2400</v>
      </c>
      <c r="BB576" s="8" t="s">
        <v>7598</v>
      </c>
      <c r="BC576" s="4" t="s">
        <v>7604</v>
      </c>
      <c r="BD576" s="8" t="s">
        <v>7605</v>
      </c>
      <c r="BE576" s="4" t="s">
        <v>7606</v>
      </c>
      <c r="BF576" s="8" t="s">
        <v>7607</v>
      </c>
      <c r="BG576" s="8" t="s">
        <v>7631</v>
      </c>
      <c r="BH576" s="4" t="s">
        <v>7632</v>
      </c>
      <c r="BI576" s="8" t="n">
        <v>17</v>
      </c>
      <c r="BJ576" s="8" t="s">
        <v>7610</v>
      </c>
      <c r="BK576" s="4" t="s">
        <v>7611</v>
      </c>
      <c r="BL576" s="8" t="s">
        <v>7602</v>
      </c>
      <c r="BM576" s="4" t="s">
        <v>7620</v>
      </c>
      <c r="BN576" s="8" t="s">
        <v>7631</v>
      </c>
      <c r="BO576" s="8" t="s">
        <v>7680</v>
      </c>
      <c r="BP576" s="8" t="s">
        <v>7602</v>
      </c>
      <c r="BQ576" s="8" t="str">
        <f aca="false">IF(A576="","",AT576)</f>
        <v>4歳以上</v>
      </c>
      <c r="BR576" s="8" t="str">
        <f aca="false">IF(A576="","",IF(BA576&lt;=1200,"～1200",IF(BA576&lt;=1500,"1300～1500",IF(BA576=1600,"1600",IF(BA576&lt;=1800,"1700～1800",IF(BA576&lt;=2000,"1900～2000","2100以上"))))))</f>
        <v>2100以上</v>
      </c>
      <c r="BS576" s="8" t="str">
        <f aca="false">IF(A576="","",IF(AX576="G1","G1",IF(AX576="G2","G2",IF(AX576="G3","G3",IF(AX576="L","L","その他")))))</f>
        <v>その他</v>
      </c>
      <c r="BT576" s="8" t="str">
        <f aca="false">IF(A576="","",IF(BI576="","未結合",IF(D576=BI576,"一致","不一致")))</f>
        <v>一致</v>
      </c>
      <c r="BU576" s="8" t="str">
        <f aca="false">IF(A576="","",IF(BE576="牝馬限定","牝馬限定","その他"))</f>
        <v>その他</v>
      </c>
    </row>
    <row r="577" customFormat="false" ht="15.75" hidden="false" customHeight="false" outlineLevel="0" collapsed="false">
      <c r="A577" s="6" t="n">
        <v>46166</v>
      </c>
      <c r="B577" s="4" t="s">
        <v>4473</v>
      </c>
      <c r="C577" s="8" t="n">
        <v>8</v>
      </c>
      <c r="D577" s="8" t="n">
        <v>16</v>
      </c>
      <c r="E577" s="8" t="n">
        <v>9</v>
      </c>
      <c r="F577" s="4" t="s">
        <v>5617</v>
      </c>
      <c r="G577" s="8" t="n">
        <v>56</v>
      </c>
      <c r="H577" s="8" t="n">
        <v>11</v>
      </c>
      <c r="I577" s="4" t="s">
        <v>3568</v>
      </c>
      <c r="J577" s="8" t="n">
        <v>56</v>
      </c>
      <c r="K577" s="8" t="n">
        <v>16</v>
      </c>
      <c r="L577" s="4" t="s">
        <v>5620</v>
      </c>
      <c r="M577" s="8" t="n">
        <v>47</v>
      </c>
      <c r="N577" s="8" t="n">
        <f aca="false">IF(A577="","",G577-J577)</f>
        <v>0</v>
      </c>
      <c r="O577" s="8" t="n">
        <f aca="false">IF(A577="","",J577-M577)</f>
        <v>9</v>
      </c>
      <c r="P577" s="8" t="n">
        <f aca="false">IF(A577="","",G577+J577)</f>
        <v>112</v>
      </c>
      <c r="Q577" s="8" t="str">
        <f aca="false">IF(A577="","",IF(AND(Y577&lt;&gt;"参考",G577&gt;=ルール設定!$B$2),"○",""))</f>
        <v/>
      </c>
      <c r="R577" s="8" t="str">
        <f aca="false">IF(A577="","",IF(AND(Y577&lt;&gt;"参考",G577&gt;=ルール設定!$B$3,N577&gt;=ルール設定!$B$4),"○",""))</f>
        <v/>
      </c>
      <c r="S577" s="8" t="str">
        <f aca="false">IF(A577="","",IF(AND(Y577&lt;&gt;"参考",G577&gt;=ルール設定!$B$5,J577&gt;=ルール設定!$B$6,O577&gt;=ルール設定!$B$7),"○",""))</f>
        <v/>
      </c>
      <c r="T577" s="8" t="n">
        <v>4</v>
      </c>
      <c r="U577" s="8" t="n">
        <v>1</v>
      </c>
      <c r="V577" s="8" t="str">
        <f aca="false">IF(A577="","",IF(AND(ISNUMBER(T577),ISNUMBER(U577)),IF(AND(T577&lt;=3,U577&lt;=3),"○","×"),""))</f>
        <v>×</v>
      </c>
      <c r="W577" s="8"/>
      <c r="X577" s="8"/>
      <c r="Y577" s="4" t="s">
        <v>7597</v>
      </c>
      <c r="Z577" s="4" t="s">
        <v>7841</v>
      </c>
      <c r="AA577" s="8" t="str">
        <v/>
      </c>
      <c r="AB577" s="8" t="str">
        <v/>
      </c>
      <c r="AC577" s="8" t="str">
        <v/>
      </c>
      <c r="AD577" s="8" t="str">
        <v/>
      </c>
      <c r="AE577" s="8" t="str">
        <v/>
      </c>
      <c r="AF577" s="8" t="str">
        <v/>
      </c>
      <c r="AG577" s="8" t="str">
        <v/>
      </c>
      <c r="AH577" s="8" t="str">
        <v/>
      </c>
      <c r="AI577" s="8" t="n">
        <v>9</v>
      </c>
      <c r="AJ577" s="8" t="str">
        <v>～59</v>
      </c>
      <c r="AK577" s="8" t="str">
        <v>0～4</v>
      </c>
      <c r="AL577" s="8" t="str">
        <v>0～9</v>
      </c>
      <c r="AM577" s="8" t="str">
        <v>100～119</v>
      </c>
      <c r="AN577" s="8" t="str">
        <v>15以上</v>
      </c>
      <c r="AO577" s="8" t="str">
        <f aca="false">IF(A577="","",IF(COUNTIFS(全馬データ!$A$2:$A$50000,A577,全馬データ!$B$2:$B$50000,B577,全馬データ!$C$2:$C$50000,C577,全馬データ!$D$2:$D$50000,E577,全馬データ!$K$2:$K$50000,"&lt;&gt;")=0,"",SUMIFS(全馬データ!$K$2:$K$50000,全馬データ!$A$2:$A$50000,A577,全馬データ!$B$2:$B$50000,B577,全馬データ!$C$2:$C$50000,C577,全馬データ!$D$2:$D$50000,E577)))</f>
        <v/>
      </c>
      <c r="AP577" s="8" t="str">
        <f aca="false">IF(A577="","",IF(AO577="","欠損",IF(AO577&lt;=1.1,"1.0～1.1",IF(AO577&lt;1.3,"1.2",IF(AO577&lt;1.5,"1.3～1.4",IF(AO577&lt;2,"1.5～1.9","2.0以上"))))))</f>
        <v>欠損</v>
      </c>
      <c r="AQ577" s="8" t="str">
        <f aca="false">IF(A577="","",IF(ISNUMBER(SEARCH("2歳",Z577)),"2歳戦",IF(ISNUMBER(SEARCH("3歳未勝利",Z577)),"3歳未勝利",IF(ISNUMBER(SEARCH("未勝利",Z577)),"その他未勝利",IF(ISNUMBER(SEARCH("G1",Z577)),"G1",IF(ISNUMBER(SEARCH("G2",Z577)),"G2",IF(ISNUMBER(SEARCH("G3",Z577)),"G3",IF(ISNUMBER(SEARCH("古馬条件",Z577)),"古馬条件戦",IF(ISNUMBER(SEARCH("重賞",Z577)),"重賞","分類不能")))))))))</f>
        <v>分類不能</v>
      </c>
      <c r="AR577" s="4" t="s">
        <v>7856</v>
      </c>
      <c r="AS577" s="8" t="s">
        <v>7842</v>
      </c>
      <c r="AT577" s="8" t="s">
        <v>7843</v>
      </c>
      <c r="AU577" s="8" t="s">
        <v>7634</v>
      </c>
      <c r="AV577" s="8" t="s">
        <v>7635</v>
      </c>
      <c r="AW577" s="8" t="s">
        <v>7636</v>
      </c>
      <c r="AX577" s="4" t="s">
        <v>7637</v>
      </c>
      <c r="AY577" s="8" t="s">
        <v>7610</v>
      </c>
      <c r="AZ577" s="4" t="s">
        <v>7617</v>
      </c>
      <c r="BA577" s="8" t="n">
        <v>1600</v>
      </c>
      <c r="BB577" s="8" t="s">
        <v>7618</v>
      </c>
      <c r="BC577" s="4" t="s">
        <v>7619</v>
      </c>
      <c r="BD577" s="8" t="s">
        <v>7605</v>
      </c>
      <c r="BE577" s="4" t="s">
        <v>7606</v>
      </c>
      <c r="BF577" s="8" t="s">
        <v>7607</v>
      </c>
      <c r="BG577" s="8" t="s">
        <v>7631</v>
      </c>
      <c r="BH577" s="4" t="s">
        <v>7632</v>
      </c>
      <c r="BI577" s="8" t="n">
        <v>16</v>
      </c>
      <c r="BJ577" s="8" t="s">
        <v>7610</v>
      </c>
      <c r="BK577" s="4" t="s">
        <v>7611</v>
      </c>
      <c r="BL577" s="8" t="s">
        <v>7602</v>
      </c>
      <c r="BM577" s="4" t="s">
        <v>7620</v>
      </c>
      <c r="BN577" s="8"/>
      <c r="BO577" s="8"/>
      <c r="BP577" s="8" t="s">
        <v>7602</v>
      </c>
      <c r="BQ577" s="8" t="str">
        <f aca="false">IF(A577="","",AT577)</f>
        <v>4歳以上</v>
      </c>
      <c r="BR577" s="8" t="str">
        <f aca="false">IF(A577="","",IF(BA577&lt;=1200,"～1200",IF(BA577&lt;=1500,"1300～1500",IF(BA577=1600,"1600",IF(BA577&lt;=1800,"1700～1800",IF(BA577&lt;=2000,"1900～2000","2100以上"))))))</f>
        <v>1600</v>
      </c>
      <c r="BS577" s="8" t="str">
        <f aca="false">IF(A577="","",IF(AX577="G1","G1",IF(AX577="G2","G2",IF(AX577="G3","G3",IF(AX577="L","L","その他")))))</f>
        <v>その他</v>
      </c>
      <c r="BT577" s="8" t="str">
        <f aca="false">IF(A577="","",IF(BI577="","未結合",IF(D577=BI577,"一致","不一致")))</f>
        <v>一致</v>
      </c>
      <c r="BU577" s="8" t="str">
        <f aca="false">IF(A577="","",IF(BE577="牝馬限定","牝馬限定","その他"))</f>
        <v>その他</v>
      </c>
    </row>
    <row r="578" customFormat="false" ht="15.75" hidden="false" customHeight="false" outlineLevel="0" collapsed="false">
      <c r="A578" s="6" t="n">
        <v>46166</v>
      </c>
      <c r="B578" s="4" t="s">
        <v>4473</v>
      </c>
      <c r="C578" s="8" t="n">
        <v>9</v>
      </c>
      <c r="D578" s="8" t="n">
        <v>12</v>
      </c>
      <c r="E578" s="8" t="n">
        <v>1</v>
      </c>
      <c r="F578" s="4" t="s">
        <v>5621</v>
      </c>
      <c r="G578" s="8" t="n">
        <v>52</v>
      </c>
      <c r="H578" s="8" t="n">
        <v>8</v>
      </c>
      <c r="I578" s="4" t="s">
        <v>1074</v>
      </c>
      <c r="J578" s="8" t="n">
        <v>50</v>
      </c>
      <c r="K578" s="8" t="n">
        <v>10</v>
      </c>
      <c r="L578" s="4" t="s">
        <v>1517</v>
      </c>
      <c r="M578" s="8" t="n">
        <v>34</v>
      </c>
      <c r="N578" s="8" t="n">
        <f aca="false">IF(A578="","",G578-J578)</f>
        <v>2</v>
      </c>
      <c r="O578" s="8" t="n">
        <f aca="false">IF(A578="","",J578-M578)</f>
        <v>16</v>
      </c>
      <c r="P578" s="8" t="n">
        <f aca="false">IF(A578="","",G578+J578)</f>
        <v>102</v>
      </c>
      <c r="Q578" s="8" t="str">
        <f aca="false">IF(A578="","",IF(AND(Y578&lt;&gt;"参考",G578&gt;=ルール設定!$B$2),"○",""))</f>
        <v/>
      </c>
      <c r="R578" s="8" t="str">
        <f aca="false">IF(A578="","",IF(AND(Y578&lt;&gt;"参考",G578&gt;=ルール設定!$B$3,N578&gt;=ルール設定!$B$4),"○",""))</f>
        <v/>
      </c>
      <c r="S578" s="8" t="str">
        <f aca="false">IF(A578="","",IF(AND(Y578&lt;&gt;"参考",G578&gt;=ルール設定!$B$5,J578&gt;=ルール設定!$B$6,O578&gt;=ルール設定!$B$7),"○",""))</f>
        <v/>
      </c>
      <c r="T578" s="8" t="n">
        <v>4</v>
      </c>
      <c r="U578" s="8" t="n">
        <v>1</v>
      </c>
      <c r="V578" s="8" t="str">
        <f aca="false">IF(A578="","",IF(AND(ISNUMBER(T578),ISNUMBER(U578)),IF(AND(T578&lt;=3,U578&lt;=3),"○","×"),""))</f>
        <v>×</v>
      </c>
      <c r="W578" s="8"/>
      <c r="X578" s="8"/>
      <c r="Y578" s="4" t="s">
        <v>7597</v>
      </c>
      <c r="Z578" s="4" t="s">
        <v>7841</v>
      </c>
      <c r="AA578" s="8" t="str">
        <v/>
      </c>
      <c r="AB578" s="8" t="str">
        <v/>
      </c>
      <c r="AC578" s="8" t="str">
        <v/>
      </c>
      <c r="AD578" s="8" t="str">
        <v/>
      </c>
      <c r="AE578" s="8" t="str">
        <v/>
      </c>
      <c r="AF578" s="8" t="str">
        <v/>
      </c>
      <c r="AG578" s="8" t="str">
        <v/>
      </c>
      <c r="AH578" s="8" t="str">
        <v/>
      </c>
      <c r="AI578" s="8" t="n">
        <v>18</v>
      </c>
      <c r="AJ578" s="8" t="str">
        <v>～59</v>
      </c>
      <c r="AK578" s="8" t="str">
        <v>0～4</v>
      </c>
      <c r="AL578" s="8" t="str">
        <v>10～19</v>
      </c>
      <c r="AM578" s="8" t="str">
        <v>100～119</v>
      </c>
      <c r="AN578" s="8" t="str">
        <v>12～14</v>
      </c>
      <c r="AO578" s="8" t="str">
        <f aca="false">IF(A578="","",IF(COUNTIFS(全馬データ!$A$2:$A$50000,A578,全馬データ!$B$2:$B$50000,B578,全馬データ!$C$2:$C$50000,C578,全馬データ!$D$2:$D$50000,E578,全馬データ!$K$2:$K$50000,"&lt;&gt;")=0,"",SUMIFS(全馬データ!$K$2:$K$50000,全馬データ!$A$2:$A$50000,A578,全馬データ!$B$2:$B$50000,B578,全馬データ!$C$2:$C$50000,C578,全馬データ!$D$2:$D$50000,E578)))</f>
        <v/>
      </c>
      <c r="AP578" s="8" t="str">
        <f aca="false">IF(A578="","",IF(AO578="","欠損",IF(AO578&lt;=1.1,"1.0～1.1",IF(AO578&lt;1.3,"1.2",IF(AO578&lt;1.5,"1.3～1.4",IF(AO578&lt;2,"1.5～1.9","2.0以上"))))))</f>
        <v>欠損</v>
      </c>
      <c r="AQ578" s="8" t="str">
        <f aca="false">IF(A578="","",IF(ISNUMBER(SEARCH("2歳",Z578)),"2歳戦",IF(ISNUMBER(SEARCH("3歳未勝利",Z578)),"3歳未勝利",IF(ISNUMBER(SEARCH("未勝利",Z578)),"その他未勝利",IF(ISNUMBER(SEARCH("G1",Z578)),"G1",IF(ISNUMBER(SEARCH("G2",Z578)),"G2",IF(ISNUMBER(SEARCH("G3",Z578)),"G3",IF(ISNUMBER(SEARCH("古馬条件",Z578)),"古馬条件戦",IF(ISNUMBER(SEARCH("重賞",Z578)),"重賞","分類不能")))))))))</f>
        <v>分類不能</v>
      </c>
      <c r="AR578" s="4" t="s">
        <v>7857</v>
      </c>
      <c r="AS578" s="8" t="s">
        <v>7842</v>
      </c>
      <c r="AT578" s="8" t="s">
        <v>7843</v>
      </c>
      <c r="AU578" s="8" t="s">
        <v>7634</v>
      </c>
      <c r="AV578" s="8" t="s">
        <v>7635</v>
      </c>
      <c r="AW578" s="8" t="s">
        <v>7636</v>
      </c>
      <c r="AX578" s="4" t="s">
        <v>7637</v>
      </c>
      <c r="AY578" s="8" t="s">
        <v>7602</v>
      </c>
      <c r="AZ578" s="4" t="s">
        <v>7603</v>
      </c>
      <c r="BA578" s="8" t="n">
        <v>1800</v>
      </c>
      <c r="BB578" s="8" t="s">
        <v>7598</v>
      </c>
      <c r="BC578" s="4" t="s">
        <v>7604</v>
      </c>
      <c r="BD578" s="8" t="s">
        <v>7605</v>
      </c>
      <c r="BE578" s="4" t="s">
        <v>7606</v>
      </c>
      <c r="BF578" s="8" t="s">
        <v>7607</v>
      </c>
      <c r="BG578" s="8" t="s">
        <v>7602</v>
      </c>
      <c r="BH578" s="4" t="s">
        <v>7667</v>
      </c>
      <c r="BI578" s="8" t="n">
        <v>12</v>
      </c>
      <c r="BJ578" s="8" t="s">
        <v>7610</v>
      </c>
      <c r="BK578" s="4" t="s">
        <v>7611</v>
      </c>
      <c r="BL578" s="8" t="s">
        <v>7602</v>
      </c>
      <c r="BM578" s="4" t="s">
        <v>7620</v>
      </c>
      <c r="BN578" s="8" t="s">
        <v>7631</v>
      </c>
      <c r="BO578" s="8" t="s">
        <v>7680</v>
      </c>
      <c r="BP578" s="8" t="s">
        <v>7602</v>
      </c>
      <c r="BQ578" s="8" t="str">
        <f aca="false">IF(A578="","",AT578)</f>
        <v>4歳以上</v>
      </c>
      <c r="BR578" s="8" t="str">
        <f aca="false">IF(A578="","",IF(BA578&lt;=1200,"～1200",IF(BA578&lt;=1500,"1300～1500",IF(BA578=1600,"1600",IF(BA578&lt;=1800,"1700～1800",IF(BA578&lt;=2000,"1900～2000","2100以上"))))))</f>
        <v>1700～1800</v>
      </c>
      <c r="BS578" s="8" t="str">
        <f aca="false">IF(A578="","",IF(AX578="G1","G1",IF(AX578="G2","G2",IF(AX578="G3","G3",IF(AX578="L","L","その他")))))</f>
        <v>その他</v>
      </c>
      <c r="BT578" s="8" t="str">
        <f aca="false">IF(A578="","",IF(BI578="","未結合",IF(D578=BI578,"一致","不一致")))</f>
        <v>一致</v>
      </c>
      <c r="BU578" s="8" t="str">
        <f aca="false">IF(A578="","",IF(BE578="牝馬限定","牝馬限定","その他"))</f>
        <v>その他</v>
      </c>
    </row>
    <row r="579" customFormat="false" ht="15.75" hidden="false" customHeight="false" outlineLevel="0" collapsed="false">
      <c r="A579" s="6" t="n">
        <v>46166</v>
      </c>
      <c r="B579" s="4" t="s">
        <v>4473</v>
      </c>
      <c r="C579" s="8" t="n">
        <v>10</v>
      </c>
      <c r="D579" s="8" t="n">
        <v>14</v>
      </c>
      <c r="E579" s="8" t="n">
        <v>1</v>
      </c>
      <c r="F579" s="4" t="s">
        <v>3489</v>
      </c>
      <c r="G579" s="8" t="n">
        <v>60</v>
      </c>
      <c r="H579" s="8" t="n">
        <v>3</v>
      </c>
      <c r="I579" s="4" t="s">
        <v>89</v>
      </c>
      <c r="J579" s="8" t="n">
        <v>50</v>
      </c>
      <c r="K579" s="8" t="n">
        <v>6</v>
      </c>
      <c r="L579" s="4" t="s">
        <v>5629</v>
      </c>
      <c r="M579" s="8" t="n">
        <v>37</v>
      </c>
      <c r="N579" s="8" t="n">
        <f aca="false">IF(A579="","",G579-J579)</f>
        <v>10</v>
      </c>
      <c r="O579" s="8" t="n">
        <f aca="false">IF(A579="","",J579-M579)</f>
        <v>13</v>
      </c>
      <c r="P579" s="8" t="n">
        <f aca="false">IF(A579="","",G579+J579)</f>
        <v>110</v>
      </c>
      <c r="Q579" s="8" t="str">
        <f aca="false">IF(A579="","",IF(AND(Y579&lt;&gt;"参考",G579&gt;=ルール設定!$B$2),"○",""))</f>
        <v/>
      </c>
      <c r="R579" s="8" t="str">
        <f aca="false">IF(A579="","",IF(AND(Y579&lt;&gt;"参考",G579&gt;=ルール設定!$B$3,N579&gt;=ルール設定!$B$4),"○",""))</f>
        <v/>
      </c>
      <c r="S579" s="8" t="str">
        <f aca="false">IF(A579="","",IF(AND(Y579&lt;&gt;"参考",G579&gt;=ルール設定!$B$5,J579&gt;=ルール設定!$B$6,O579&gt;=ルール設定!$B$7),"○",""))</f>
        <v/>
      </c>
      <c r="T579" s="8" t="n">
        <v>4</v>
      </c>
      <c r="U579" s="8" t="n">
        <v>2</v>
      </c>
      <c r="V579" s="8" t="str">
        <f aca="false">IF(A579="","",IF(AND(ISNUMBER(T579),ISNUMBER(U579)),IF(AND(T579&lt;=3,U579&lt;=3),"○","×"),""))</f>
        <v>×</v>
      </c>
      <c r="W579" s="8"/>
      <c r="X579" s="8"/>
      <c r="Y579" s="4" t="s">
        <v>7597</v>
      </c>
      <c r="Z579" s="4" t="s">
        <v>7841</v>
      </c>
      <c r="AA579" s="8" t="str">
        <v/>
      </c>
      <c r="AB579" s="8" t="str">
        <v/>
      </c>
      <c r="AC579" s="8" t="str">
        <v/>
      </c>
      <c r="AD579" s="8" t="str">
        <v/>
      </c>
      <c r="AE579" s="8" t="str">
        <v/>
      </c>
      <c r="AF579" s="8" t="str">
        <v/>
      </c>
      <c r="AG579" s="8" t="str">
        <v/>
      </c>
      <c r="AH579" s="8" t="str">
        <v/>
      </c>
      <c r="AI579" s="8" t="n">
        <v>23</v>
      </c>
      <c r="AJ579" s="8" t="str">
        <v>60～69</v>
      </c>
      <c r="AK579" s="8" t="str">
        <v>10～19</v>
      </c>
      <c r="AL579" s="8" t="str">
        <v>20～29</v>
      </c>
      <c r="AM579" s="8" t="str">
        <v>100～119</v>
      </c>
      <c r="AN579" s="8" t="str">
        <v>12～14</v>
      </c>
      <c r="AO579" s="8" t="str">
        <f aca="false">IF(A579="","",IF(COUNTIFS(全馬データ!$A$2:$A$50000,A579,全馬データ!$B$2:$B$50000,B579,全馬データ!$C$2:$C$50000,C579,全馬データ!$D$2:$D$50000,E579,全馬データ!$K$2:$K$50000,"&lt;&gt;")=0,"",SUMIFS(全馬データ!$K$2:$K$50000,全馬データ!$A$2:$A$50000,A579,全馬データ!$B$2:$B$50000,B579,全馬データ!$C$2:$C$50000,C579,全馬データ!$D$2:$D$50000,E579)))</f>
        <v/>
      </c>
      <c r="AP579" s="8" t="str">
        <f aca="false">IF(A579="","",IF(AO579="","欠損",IF(AO579&lt;=1.1,"1.0～1.1",IF(AO579&lt;1.3,"1.2",IF(AO579&lt;1.5,"1.3～1.4",IF(AO579&lt;2,"1.5～1.9","2.0以上"))))))</f>
        <v>欠損</v>
      </c>
      <c r="AQ579" s="8" t="str">
        <f aca="false">IF(A579="","",IF(ISNUMBER(SEARCH("2歳",Z579)),"2歳戦",IF(ISNUMBER(SEARCH("3歳未勝利",Z579)),"3歳未勝利",IF(ISNUMBER(SEARCH("未勝利",Z579)),"その他未勝利",IF(ISNUMBER(SEARCH("G1",Z579)),"G1",IF(ISNUMBER(SEARCH("G2",Z579)),"G2",IF(ISNUMBER(SEARCH("G3",Z579)),"G3",IF(ISNUMBER(SEARCH("古馬条件",Z579)),"古馬条件戦",IF(ISNUMBER(SEARCH("重賞",Z579)),"重賞","分類不能")))))))))</f>
        <v>分類不能</v>
      </c>
      <c r="AR579" s="4" t="s">
        <v>7858</v>
      </c>
      <c r="AS579" s="8" t="s">
        <v>7842</v>
      </c>
      <c r="AT579" s="8" t="s">
        <v>7843</v>
      </c>
      <c r="AU579" s="8" t="s">
        <v>7639</v>
      </c>
      <c r="AV579" s="8" t="s">
        <v>7640</v>
      </c>
      <c r="AW579" s="8" t="s">
        <v>7636</v>
      </c>
      <c r="AX579" s="4" t="s">
        <v>7637</v>
      </c>
      <c r="AY579" s="8" t="s">
        <v>7602</v>
      </c>
      <c r="AZ579" s="4" t="s">
        <v>7603</v>
      </c>
      <c r="BA579" s="8" t="n">
        <v>1400</v>
      </c>
      <c r="BB579" s="8" t="s">
        <v>7598</v>
      </c>
      <c r="BC579" s="4" t="s">
        <v>7604</v>
      </c>
      <c r="BD579" s="8" t="s">
        <v>7630</v>
      </c>
      <c r="BE579" s="4" t="s">
        <v>7606</v>
      </c>
      <c r="BF579" s="8" t="s">
        <v>7607</v>
      </c>
      <c r="BG579" s="8" t="s">
        <v>7631</v>
      </c>
      <c r="BH579" s="4" t="s">
        <v>7632</v>
      </c>
      <c r="BI579" s="8" t="n">
        <v>14</v>
      </c>
      <c r="BJ579" s="8" t="s">
        <v>7610</v>
      </c>
      <c r="BK579" s="4" t="s">
        <v>7611</v>
      </c>
      <c r="BL579" s="8" t="s">
        <v>7602</v>
      </c>
      <c r="BM579" s="4" t="s">
        <v>7620</v>
      </c>
      <c r="BN579" s="8" t="s">
        <v>7631</v>
      </c>
      <c r="BO579" s="8" t="s">
        <v>7680</v>
      </c>
      <c r="BP579" s="8" t="s">
        <v>7602</v>
      </c>
      <c r="BQ579" s="8" t="str">
        <f aca="false">IF(A579="","",AT579)</f>
        <v>4歳以上</v>
      </c>
      <c r="BR579" s="8" t="str">
        <f aca="false">IF(A579="","",IF(BA579&lt;=1200,"～1200",IF(BA579&lt;=1500,"1300～1500",IF(BA579=1600,"1600",IF(BA579&lt;=1800,"1700～1800",IF(BA579&lt;=2000,"1900～2000","2100以上"))))))</f>
        <v>1300～1500</v>
      </c>
      <c r="BS579" s="8" t="str">
        <f aca="false">IF(A579="","",IF(AX579="G1","G1",IF(AX579="G2","G2",IF(AX579="G3","G3",IF(AX579="L","L","その他")))))</f>
        <v>その他</v>
      </c>
      <c r="BT579" s="8" t="str">
        <f aca="false">IF(A579="","",IF(BI579="","未結合",IF(D579=BI579,"一致","不一致")))</f>
        <v>一致</v>
      </c>
      <c r="BU579" s="8" t="str">
        <f aca="false">IF(A579="","",IF(BE579="牝馬限定","牝馬限定","その他"))</f>
        <v>その他</v>
      </c>
    </row>
    <row r="580" customFormat="false" ht="15.75" hidden="false" customHeight="false" outlineLevel="0" collapsed="false">
      <c r="A580" s="6" t="n">
        <v>46166</v>
      </c>
      <c r="B580" s="4" t="s">
        <v>4473</v>
      </c>
      <c r="C580" s="8" t="n">
        <v>11</v>
      </c>
      <c r="D580" s="8" t="n">
        <v>18</v>
      </c>
      <c r="E580" s="8" t="n">
        <v>10</v>
      </c>
      <c r="F580" s="4" t="s">
        <v>5641</v>
      </c>
      <c r="G580" s="8" t="n">
        <v>81</v>
      </c>
      <c r="H580" s="8" t="n">
        <v>12</v>
      </c>
      <c r="I580" s="4" t="s">
        <v>5642</v>
      </c>
      <c r="J580" s="8" t="n">
        <v>41</v>
      </c>
      <c r="K580" s="8" t="n">
        <v>3</v>
      </c>
      <c r="L580" s="4" t="s">
        <v>5636</v>
      </c>
      <c r="M580" s="8" t="n">
        <v>34</v>
      </c>
      <c r="N580" s="8" t="n">
        <f aca="false">IF(A580="","",G580-J580)</f>
        <v>40</v>
      </c>
      <c r="O580" s="8" t="n">
        <f aca="false">IF(A580="","",J580-M580)</f>
        <v>7</v>
      </c>
      <c r="P580" s="8" t="n">
        <f aca="false">IF(A580="","",G580+J580)</f>
        <v>122</v>
      </c>
      <c r="Q580" s="8" t="str">
        <f aca="false">IF(A580="","",IF(AND(Y580&lt;&gt;"参考",G580&gt;=ルール設定!$B$2),"○",""))</f>
        <v>○</v>
      </c>
      <c r="R580" s="8" t="str">
        <f aca="false">IF(A580="","",IF(AND(Y580&lt;&gt;"参考",G580&gt;=ルール設定!$B$3,N580&gt;=ルール設定!$B$4),"○",""))</f>
        <v>○</v>
      </c>
      <c r="S580" s="8" t="str">
        <f aca="false">IF(A580="","",IF(AND(Y580&lt;&gt;"参考",G580&gt;=ルール設定!$B$5,J580&gt;=ルール設定!$B$6,O580&gt;=ルール設定!$B$7),"○",""))</f>
        <v/>
      </c>
      <c r="T580" s="8" t="n">
        <v>4</v>
      </c>
      <c r="U580" s="8" t="n">
        <v>2</v>
      </c>
      <c r="V580" s="8" t="str">
        <f aca="false">IF(A580="","",IF(AND(ISNUMBER(T580),ISNUMBER(U580)),IF(AND(T580&lt;=3,U580&lt;=3),"○","×"),""))</f>
        <v>×</v>
      </c>
      <c r="W580" s="8"/>
      <c r="X580" s="8"/>
      <c r="Y580" s="4" t="s">
        <v>7597</v>
      </c>
      <c r="Z580" s="4" t="s">
        <v>7841</v>
      </c>
      <c r="AA580" s="8" t="str">
        <v/>
      </c>
      <c r="AB580" s="8" t="str">
        <v>○</v>
      </c>
      <c r="AC580" s="8" t="str">
        <v/>
      </c>
      <c r="AD580" s="8" t="str">
        <v>○</v>
      </c>
      <c r="AE580" s="8" t="str">
        <v/>
      </c>
      <c r="AF580" s="8" t="str">
        <v/>
      </c>
      <c r="AG580" s="8" t="str">
        <v>○</v>
      </c>
      <c r="AH580" s="8" t="str">
        <v/>
      </c>
      <c r="AI580" s="8" t="n">
        <v>47</v>
      </c>
      <c r="AJ580" s="8" t="str">
        <v>80～84</v>
      </c>
      <c r="AK580" s="8" t="str">
        <v>30以上</v>
      </c>
      <c r="AL580" s="8" t="str">
        <v>40以上</v>
      </c>
      <c r="AM580" s="8" t="str">
        <v>120～139</v>
      </c>
      <c r="AN580" s="8" t="str">
        <v>15以上</v>
      </c>
      <c r="AO580" s="8" t="str">
        <f aca="false">IF(A580="","",IF(COUNTIFS(全馬データ!$A$2:$A$50000,A580,全馬データ!$B$2:$B$50000,B580,全馬データ!$C$2:$C$50000,C580,全馬データ!$D$2:$D$50000,E580,全馬データ!$K$2:$K$50000,"&lt;&gt;")=0,"",SUMIFS(全馬データ!$K$2:$K$50000,全馬データ!$A$2:$A$50000,A580,全馬データ!$B$2:$B$50000,B580,全馬データ!$C$2:$C$50000,C580,全馬データ!$D$2:$D$50000,E580)))</f>
        <v/>
      </c>
      <c r="AP580" s="8" t="str">
        <f aca="false">IF(A580="","",IF(AO580="","欠損",IF(AO580&lt;=1.1,"1.0～1.1",IF(AO580&lt;1.3,"1.2",IF(AO580&lt;1.5,"1.3～1.4",IF(AO580&lt;2,"1.5～1.9","2.0以上"))))))</f>
        <v>欠損</v>
      </c>
      <c r="AQ580" s="8" t="str">
        <f aca="false">IF(A580="","",IF(ISNUMBER(SEARCH("2歳",Z580)),"2歳戦",IF(ISNUMBER(SEARCH("3歳未勝利",Z580)),"3歳未勝利",IF(ISNUMBER(SEARCH("未勝利",Z580)),"その他未勝利",IF(ISNUMBER(SEARCH("G1",Z580)),"G1",IF(ISNUMBER(SEARCH("G2",Z580)),"G2",IF(ISNUMBER(SEARCH("G3",Z580)),"G3",IF(ISNUMBER(SEARCH("古馬条件",Z580)),"古馬条件戦",IF(ISNUMBER(SEARCH("重賞",Z580)),"重賞","分類不能")))))))))</f>
        <v>分類不能</v>
      </c>
      <c r="AR580" s="4" t="s">
        <v>7859</v>
      </c>
      <c r="AS580" s="8" t="s">
        <v>7623</v>
      </c>
      <c r="AT580" s="8" t="s">
        <v>7624</v>
      </c>
      <c r="AU580" s="8" t="s">
        <v>7643</v>
      </c>
      <c r="AV580" s="4" t="s">
        <v>7644</v>
      </c>
      <c r="AW580" s="8" t="s">
        <v>7602</v>
      </c>
      <c r="AX580" s="8" t="s">
        <v>7814</v>
      </c>
      <c r="AY580" s="8" t="s">
        <v>7602</v>
      </c>
      <c r="AZ580" s="4" t="s">
        <v>7603</v>
      </c>
      <c r="BA580" s="8" t="n">
        <v>2400</v>
      </c>
      <c r="BB580" s="8" t="s">
        <v>7598</v>
      </c>
      <c r="BC580" s="4" t="s">
        <v>7604</v>
      </c>
      <c r="BD580" s="8" t="s">
        <v>7860</v>
      </c>
      <c r="BE580" s="4" t="s">
        <v>7622</v>
      </c>
      <c r="BF580" s="8" t="s">
        <v>7602</v>
      </c>
      <c r="BG580" s="8" t="s">
        <v>7608</v>
      </c>
      <c r="BH580" s="4" t="s">
        <v>7609</v>
      </c>
      <c r="BI580" s="8" t="n">
        <v>18</v>
      </c>
      <c r="BJ580" s="8" t="s">
        <v>7610</v>
      </c>
      <c r="BK580" s="4" t="s">
        <v>7611</v>
      </c>
      <c r="BL580" s="8" t="s">
        <v>7602</v>
      </c>
      <c r="BM580" s="4" t="s">
        <v>7620</v>
      </c>
      <c r="BN580" s="8" t="s">
        <v>7631</v>
      </c>
      <c r="BO580" s="8" t="s">
        <v>7680</v>
      </c>
      <c r="BP580" s="8" t="s">
        <v>7602</v>
      </c>
      <c r="BQ580" s="8" t="str">
        <f aca="false">IF(A580="","",AT580)</f>
        <v>3歳</v>
      </c>
      <c r="BR580" s="8" t="str">
        <f aca="false">IF(A580="","",IF(BA580&lt;=1200,"～1200",IF(BA580&lt;=1500,"1300～1500",IF(BA580=1600,"1600",IF(BA580&lt;=1800,"1700～1800",IF(BA580&lt;=2000,"1900～2000","2100以上"))))))</f>
        <v>2100以上</v>
      </c>
      <c r="BS580" s="8" t="str">
        <f aca="false">IF(A580="","",IF(AX580="G1","G1",IF(AX580="G2","G2",IF(AX580="G3","G3",IF(AX580="L","L","その他")))))</f>
        <v>G1</v>
      </c>
      <c r="BT580" s="8" t="str">
        <f aca="false">IF(A580="","",IF(BI580="","未結合",IF(D580=BI580,"一致","不一致")))</f>
        <v>一致</v>
      </c>
      <c r="BU580" s="8" t="str">
        <f aca="false">IF(A580="","",IF(BE580="牝馬限定","牝馬限定","その他"))</f>
        <v>牝馬限定</v>
      </c>
    </row>
    <row r="581" customFormat="false" ht="15.75" hidden="false" customHeight="false" outlineLevel="0" collapsed="false">
      <c r="A581" s="6" t="n">
        <v>46166</v>
      </c>
      <c r="B581" s="4" t="s">
        <v>4473</v>
      </c>
      <c r="C581" s="8" t="n">
        <v>12</v>
      </c>
      <c r="D581" s="8" t="n">
        <v>16</v>
      </c>
      <c r="E581" s="8" t="n">
        <v>7</v>
      </c>
      <c r="F581" s="4" t="s">
        <v>5653</v>
      </c>
      <c r="G581" s="8" t="n">
        <v>62</v>
      </c>
      <c r="H581" s="8" t="n">
        <v>5</v>
      </c>
      <c r="I581" s="4" t="s">
        <v>5651</v>
      </c>
      <c r="J581" s="8" t="n">
        <v>34</v>
      </c>
      <c r="K581" s="8" t="n">
        <v>2</v>
      </c>
      <c r="L581" s="4" t="s">
        <v>2390</v>
      </c>
      <c r="M581" s="8" t="n">
        <v>31</v>
      </c>
      <c r="N581" s="8" t="n">
        <f aca="false">IF(A581="","",G581-J581)</f>
        <v>28</v>
      </c>
      <c r="O581" s="8" t="n">
        <f aca="false">IF(A581="","",J581-M581)</f>
        <v>3</v>
      </c>
      <c r="P581" s="8" t="n">
        <f aca="false">IF(A581="","",G581+J581)</f>
        <v>96</v>
      </c>
      <c r="Q581" s="8" t="str">
        <f aca="false">IF(A581="","",IF(AND(Y581&lt;&gt;"参考",G581&gt;=ルール設定!$B$2),"○",""))</f>
        <v/>
      </c>
      <c r="R581" s="8" t="str">
        <f aca="false">IF(A581="","",IF(AND(Y581&lt;&gt;"参考",G581&gt;=ルール設定!$B$3,N581&gt;=ルール設定!$B$4),"○",""))</f>
        <v/>
      </c>
      <c r="S581" s="8" t="str">
        <f aca="false">IF(A581="","",IF(AND(Y581&lt;&gt;"参考",G581&gt;=ルール設定!$B$5,J581&gt;=ルール設定!$B$6,O581&gt;=ルール設定!$B$7),"○",""))</f>
        <v/>
      </c>
      <c r="T581" s="8" t="n">
        <v>1</v>
      </c>
      <c r="U581" s="8" t="n">
        <v>2</v>
      </c>
      <c r="V581" s="8" t="str">
        <f aca="false">IF(A581="","",IF(AND(ISNUMBER(T581),ISNUMBER(U581)),IF(AND(T581&lt;=3,U581&lt;=3),"○","×"),""))</f>
        <v>○</v>
      </c>
      <c r="W581" s="8" t="n">
        <v>120</v>
      </c>
      <c r="X581" s="8" t="n">
        <v>240</v>
      </c>
      <c r="Y581" s="4" t="s">
        <v>7597</v>
      </c>
      <c r="Z581" s="4" t="s">
        <v>7841</v>
      </c>
      <c r="AA581" s="8" t="str">
        <v/>
      </c>
      <c r="AB581" s="8" t="str">
        <v/>
      </c>
      <c r="AC581" s="8" t="str">
        <v/>
      </c>
      <c r="AD581" s="8" t="str">
        <v/>
      </c>
      <c r="AE581" s="8" t="str">
        <v/>
      </c>
      <c r="AF581" s="8" t="str">
        <v/>
      </c>
      <c r="AG581" s="8" t="str">
        <v/>
      </c>
      <c r="AH581" s="8" t="str">
        <v/>
      </c>
      <c r="AI581" s="8" t="n">
        <v>31</v>
      </c>
      <c r="AJ581" s="8" t="str">
        <v>60～69</v>
      </c>
      <c r="AK581" s="8" t="str">
        <v>20～29</v>
      </c>
      <c r="AL581" s="8" t="str">
        <v>30～39</v>
      </c>
      <c r="AM581" s="8" t="str">
        <v>～99</v>
      </c>
      <c r="AN581" s="8" t="str">
        <v>15以上</v>
      </c>
      <c r="AO581" s="8" t="str">
        <f aca="false">IF(A581="","",IF(COUNTIFS(全馬データ!$A$2:$A$50000,A581,全馬データ!$B$2:$B$50000,B581,全馬データ!$C$2:$C$50000,C581,全馬データ!$D$2:$D$50000,E581,全馬データ!$K$2:$K$50000,"&lt;&gt;")=0,"",SUMIFS(全馬データ!$K$2:$K$50000,全馬データ!$A$2:$A$50000,A581,全馬データ!$B$2:$B$50000,B581,全馬データ!$C$2:$C$50000,C581,全馬データ!$D$2:$D$50000,E581)))</f>
        <v/>
      </c>
      <c r="AP581" s="8" t="str">
        <f aca="false">IF(A581="","",IF(AO581="","欠損",IF(AO581&lt;=1.1,"1.0～1.1",IF(AO581&lt;1.3,"1.2",IF(AO581&lt;1.5,"1.3～1.4",IF(AO581&lt;2,"1.5～1.9","2.0以上"))))))</f>
        <v>欠損</v>
      </c>
      <c r="AQ581" s="8" t="str">
        <f aca="false">IF(A581="","",IF(ISNUMBER(SEARCH("2歳",Z581)),"2歳戦",IF(ISNUMBER(SEARCH("3歳未勝利",Z581)),"3歳未勝利",IF(ISNUMBER(SEARCH("未勝利",Z581)),"その他未勝利",IF(ISNUMBER(SEARCH("G1",Z581)),"G1",IF(ISNUMBER(SEARCH("G2",Z581)),"G2",IF(ISNUMBER(SEARCH("G3",Z581)),"G3",IF(ISNUMBER(SEARCH("古馬条件",Z581)),"古馬条件戦",IF(ISNUMBER(SEARCH("重賞",Z581)),"重賞","分類不能")))))))))</f>
        <v>分類不能</v>
      </c>
      <c r="AR581" s="4" t="s">
        <v>7861</v>
      </c>
      <c r="AS581" s="8" t="s">
        <v>7842</v>
      </c>
      <c r="AT581" s="8" t="s">
        <v>7843</v>
      </c>
      <c r="AU581" s="8" t="s">
        <v>7639</v>
      </c>
      <c r="AV581" s="8" t="s">
        <v>7640</v>
      </c>
      <c r="AW581" s="8" t="s">
        <v>7636</v>
      </c>
      <c r="AX581" s="4" t="s">
        <v>7637</v>
      </c>
      <c r="AY581" s="8" t="s">
        <v>7610</v>
      </c>
      <c r="AZ581" s="4" t="s">
        <v>7617</v>
      </c>
      <c r="BA581" s="8" t="n">
        <v>2100</v>
      </c>
      <c r="BB581" s="8" t="s">
        <v>7618</v>
      </c>
      <c r="BC581" s="4" t="s">
        <v>7619</v>
      </c>
      <c r="BD581" s="8" t="s">
        <v>7605</v>
      </c>
      <c r="BE581" s="4" t="s">
        <v>7606</v>
      </c>
      <c r="BF581" s="8" t="s">
        <v>7607</v>
      </c>
      <c r="BG581" s="8" t="s">
        <v>7602</v>
      </c>
      <c r="BH581" s="4" t="s">
        <v>7667</v>
      </c>
      <c r="BI581" s="8" t="n">
        <v>16</v>
      </c>
      <c r="BJ581" s="8" t="s">
        <v>7610</v>
      </c>
      <c r="BK581" s="4" t="s">
        <v>7611</v>
      </c>
      <c r="BL581" s="8" t="s">
        <v>7602</v>
      </c>
      <c r="BM581" s="4" t="s">
        <v>7620</v>
      </c>
      <c r="BN581" s="8"/>
      <c r="BO581" s="8"/>
      <c r="BP581" s="8" t="s">
        <v>7602</v>
      </c>
      <c r="BQ581" s="8" t="str">
        <f aca="false">IF(A581="","",AT581)</f>
        <v>4歳以上</v>
      </c>
      <c r="BR581" s="8" t="str">
        <f aca="false">IF(A581="","",IF(BA581&lt;=1200,"～1200",IF(BA581&lt;=1500,"1300～1500",IF(BA581=1600,"1600",IF(BA581&lt;=1800,"1700～1800",IF(BA581&lt;=2000,"1900～2000","2100以上"))))))</f>
        <v>2100以上</v>
      </c>
      <c r="BS581" s="8" t="str">
        <f aca="false">IF(A581="","",IF(AX581="G1","G1",IF(AX581="G2","G2",IF(AX581="G3","G3",IF(AX581="L","L","その他")))))</f>
        <v>その他</v>
      </c>
      <c r="BT581" s="8" t="str">
        <f aca="false">IF(A581="","",IF(BI581="","未結合",IF(D581=BI581,"一致","不一致")))</f>
        <v>一致</v>
      </c>
      <c r="BU581" s="8" t="str">
        <f aca="false">IF(A581="","",IF(BE581="牝馬限定","牝馬限定","その他"))</f>
        <v>その他</v>
      </c>
    </row>
    <row r="582" customFormat="false" ht="15.75" hidden="false" customHeight="false" outlineLevel="0" collapsed="false">
      <c r="A582" s="6" t="n">
        <v>46166</v>
      </c>
      <c r="B582" s="4" t="s">
        <v>5435</v>
      </c>
      <c r="C582" s="8" t="n">
        <v>1</v>
      </c>
      <c r="D582" s="8" t="n">
        <v>16</v>
      </c>
      <c r="E582" s="8" t="n">
        <v>11</v>
      </c>
      <c r="F582" s="4" t="s">
        <v>3609</v>
      </c>
      <c r="G582" s="8" t="n">
        <v>60</v>
      </c>
      <c r="H582" s="8" t="n">
        <v>16</v>
      </c>
      <c r="I582" s="4" t="s">
        <v>2113</v>
      </c>
      <c r="J582" s="8" t="n">
        <v>56</v>
      </c>
      <c r="K582" s="8" t="n">
        <v>7</v>
      </c>
      <c r="L582" s="4" t="s">
        <v>4597</v>
      </c>
      <c r="M582" s="8" t="n">
        <v>39</v>
      </c>
      <c r="N582" s="8" t="n">
        <f aca="false">IF(A582="","",G582-J582)</f>
        <v>4</v>
      </c>
      <c r="O582" s="8" t="n">
        <f aca="false">IF(A582="","",J582-M582)</f>
        <v>17</v>
      </c>
      <c r="P582" s="8" t="n">
        <f aca="false">IF(A582="","",G582+J582)</f>
        <v>116</v>
      </c>
      <c r="Q582" s="8" t="str">
        <f aca="false">IF(A582="","",IF(AND(Y582&lt;&gt;"参考",G582&gt;=ルール設定!$B$2),"○",""))</f>
        <v/>
      </c>
      <c r="R582" s="8" t="str">
        <f aca="false">IF(A582="","",IF(AND(Y582&lt;&gt;"参考",G582&gt;=ルール設定!$B$3,N582&gt;=ルール設定!$B$4),"○",""))</f>
        <v/>
      </c>
      <c r="S582" s="8" t="str">
        <f aca="false">IF(A582="","",IF(AND(Y582&lt;&gt;"参考",G582&gt;=ルール設定!$B$5,J582&gt;=ルール設定!$B$6,O582&gt;=ルール設定!$B$7),"○",""))</f>
        <v/>
      </c>
      <c r="T582" s="8" t="n">
        <v>4</v>
      </c>
      <c r="U582" s="8" t="n">
        <v>1</v>
      </c>
      <c r="V582" s="8" t="str">
        <f aca="false">IF(A582="","",IF(AND(ISNUMBER(T582),ISNUMBER(U582)),IF(AND(T582&lt;=3,U582&lt;=3),"○","×"),""))</f>
        <v>×</v>
      </c>
      <c r="W582" s="8"/>
      <c r="X582" s="8"/>
      <c r="Y582" s="4" t="s">
        <v>7597</v>
      </c>
      <c r="Z582" s="4" t="s">
        <v>7841</v>
      </c>
      <c r="AA582" s="8" t="str">
        <v/>
      </c>
      <c r="AB582" s="8" t="str">
        <v/>
      </c>
      <c r="AC582" s="8" t="str">
        <v/>
      </c>
      <c r="AD582" s="8" t="str">
        <v/>
      </c>
      <c r="AE582" s="8" t="str">
        <v/>
      </c>
      <c r="AF582" s="8" t="str">
        <v/>
      </c>
      <c r="AG582" s="8" t="str">
        <v/>
      </c>
      <c r="AH582" s="8" t="str">
        <v/>
      </c>
      <c r="AI582" s="8" t="n">
        <v>21</v>
      </c>
      <c r="AJ582" s="8" t="str">
        <v>60～69</v>
      </c>
      <c r="AK582" s="8" t="str">
        <v>0～4</v>
      </c>
      <c r="AL582" s="8" t="str">
        <v>20～29</v>
      </c>
      <c r="AM582" s="8" t="str">
        <v>100～119</v>
      </c>
      <c r="AN582" s="8" t="str">
        <v>15以上</v>
      </c>
      <c r="AO582" s="8" t="str">
        <f aca="false">IF(A582="","",IF(COUNTIFS(全馬データ!$A$2:$A$50000,A582,全馬データ!$B$2:$B$50000,B582,全馬データ!$C$2:$C$50000,C582,全馬データ!$D$2:$D$50000,E582,全馬データ!$K$2:$K$50000,"&lt;&gt;")=0,"",SUMIFS(全馬データ!$K$2:$K$50000,全馬データ!$A$2:$A$50000,A582,全馬データ!$B$2:$B$50000,B582,全馬データ!$C$2:$C$50000,C582,全馬データ!$D$2:$D$50000,E582)))</f>
        <v/>
      </c>
      <c r="AP582" s="8" t="str">
        <f aca="false">IF(A582="","",IF(AO582="","欠損",IF(AO582&lt;=1.1,"1.0～1.1",IF(AO582&lt;1.3,"1.2",IF(AO582&lt;1.5,"1.3～1.4",IF(AO582&lt;2,"1.5～1.9","2.0以上"))))))</f>
        <v>欠損</v>
      </c>
      <c r="AQ582" s="8" t="str">
        <f aca="false">IF(A582="","",IF(ISNUMBER(SEARCH("2歳",Z582)),"2歳戦",IF(ISNUMBER(SEARCH("3歳未勝利",Z582)),"3歳未勝利",IF(ISNUMBER(SEARCH("未勝利",Z582)),"その他未勝利",IF(ISNUMBER(SEARCH("G1",Z582)),"G1",IF(ISNUMBER(SEARCH("G2",Z582)),"G2",IF(ISNUMBER(SEARCH("G3",Z582)),"G3",IF(ISNUMBER(SEARCH("古馬条件",Z582)),"古馬条件戦",IF(ISNUMBER(SEARCH("重賞",Z582)),"重賞","分類不能")))))))))</f>
        <v>分類不能</v>
      </c>
      <c r="AR582" s="8"/>
      <c r="AS582" s="8" t="s">
        <v>7623</v>
      </c>
      <c r="AT582" s="8" t="s">
        <v>7624</v>
      </c>
      <c r="AU582" s="8" t="s">
        <v>7600</v>
      </c>
      <c r="AV582" s="4" t="s">
        <v>7601</v>
      </c>
      <c r="AW582" s="8"/>
      <c r="AX582" s="8"/>
      <c r="AY582" s="8" t="s">
        <v>7610</v>
      </c>
      <c r="AZ582" s="4" t="s">
        <v>7617</v>
      </c>
      <c r="BA582" s="8" t="n">
        <v>1800</v>
      </c>
      <c r="BB582" s="8" t="s">
        <v>7634</v>
      </c>
      <c r="BC582" s="4" t="s">
        <v>7604</v>
      </c>
      <c r="BD582" s="8" t="s">
        <v>7621</v>
      </c>
      <c r="BE582" s="4" t="s">
        <v>7622</v>
      </c>
      <c r="BF582" s="8" t="s">
        <v>7602</v>
      </c>
      <c r="BG582" s="8" t="s">
        <v>7608</v>
      </c>
      <c r="BH582" s="4" t="s">
        <v>7609</v>
      </c>
      <c r="BI582" s="8" t="n">
        <v>16</v>
      </c>
      <c r="BJ582" s="8" t="s">
        <v>7602</v>
      </c>
      <c r="BK582" s="4" t="s">
        <v>7653</v>
      </c>
      <c r="BL582" s="8" t="s">
        <v>7602</v>
      </c>
      <c r="BM582" s="4" t="s">
        <v>7620</v>
      </c>
      <c r="BN582" s="8"/>
      <c r="BO582" s="8"/>
      <c r="BP582" s="8" t="s">
        <v>7610</v>
      </c>
      <c r="BQ582" s="8" t="str">
        <f aca="false">IF(A582="","",AT582)</f>
        <v>3歳</v>
      </c>
      <c r="BR582" s="8" t="str">
        <f aca="false">IF(A582="","",IF(BA582&lt;=1200,"～1200",IF(BA582&lt;=1500,"1300～1500",IF(BA582=1600,"1600",IF(BA582&lt;=1800,"1700～1800",IF(BA582&lt;=2000,"1900～2000","2100以上"))))))</f>
        <v>1700～1800</v>
      </c>
      <c r="BS582" s="8" t="str">
        <f aca="false">IF(A582="","",IF(AX582="G1","G1",IF(AX582="G2","G2",IF(AX582="G3","G3",IF(AX582="L","L","その他")))))</f>
        <v>その他</v>
      </c>
      <c r="BT582" s="8" t="str">
        <f aca="false">IF(A582="","",IF(BI582="","未結合",IF(D582=BI582,"一致","不一致")))</f>
        <v>一致</v>
      </c>
      <c r="BU582" s="8" t="str">
        <f aca="false">IF(A582="","",IF(BE582="牝馬限定","牝馬限定","その他"))</f>
        <v>牝馬限定</v>
      </c>
    </row>
    <row r="583" customFormat="false" ht="15.75" hidden="false" customHeight="false" outlineLevel="0" collapsed="false">
      <c r="A583" s="6" t="n">
        <v>46166</v>
      </c>
      <c r="B583" s="4" t="s">
        <v>5435</v>
      </c>
      <c r="C583" s="8" t="n">
        <v>2</v>
      </c>
      <c r="D583" s="8" t="n">
        <v>13</v>
      </c>
      <c r="E583" s="8" t="n">
        <v>7</v>
      </c>
      <c r="F583" s="4" t="s">
        <v>5665</v>
      </c>
      <c r="G583" s="8" t="n">
        <v>58</v>
      </c>
      <c r="H583" s="8" t="n">
        <v>12</v>
      </c>
      <c r="I583" s="4" t="s">
        <v>5667</v>
      </c>
      <c r="J583" s="8" t="n">
        <v>56</v>
      </c>
      <c r="K583" s="8" t="n">
        <v>1</v>
      </c>
      <c r="L583" s="4" t="s">
        <v>359</v>
      </c>
      <c r="M583" s="8" t="n">
        <v>41</v>
      </c>
      <c r="N583" s="8" t="n">
        <f aca="false">IF(A583="","",G583-J583)</f>
        <v>2</v>
      </c>
      <c r="O583" s="8" t="n">
        <f aca="false">IF(A583="","",J583-M583)</f>
        <v>15</v>
      </c>
      <c r="P583" s="8" t="n">
        <f aca="false">IF(A583="","",G583+J583)</f>
        <v>114</v>
      </c>
      <c r="Q583" s="8" t="str">
        <f aca="false">IF(A583="","",IF(AND(Y583&lt;&gt;"参考",G583&gt;=ルール設定!$B$2),"○",""))</f>
        <v/>
      </c>
      <c r="R583" s="8" t="str">
        <f aca="false">IF(A583="","",IF(AND(Y583&lt;&gt;"参考",G583&gt;=ルール設定!$B$3,N583&gt;=ルール設定!$B$4),"○",""))</f>
        <v/>
      </c>
      <c r="S583" s="8" t="str">
        <f aca="false">IF(A583="","",IF(AND(Y583&lt;&gt;"参考",G583&gt;=ルール設定!$B$5,J583&gt;=ルール設定!$B$6,O583&gt;=ルール設定!$B$7),"○",""))</f>
        <v/>
      </c>
      <c r="T583" s="8" t="n">
        <v>1</v>
      </c>
      <c r="U583" s="8" t="n">
        <v>2</v>
      </c>
      <c r="V583" s="8" t="str">
        <f aca="false">IF(A583="","",IF(AND(ISNUMBER(T583),ISNUMBER(U583)),IF(AND(T583&lt;=3,U583&lt;=3),"○","×"),""))</f>
        <v>○</v>
      </c>
      <c r="W583" s="8" t="n">
        <v>180</v>
      </c>
      <c r="X583" s="8" t="n">
        <v>320</v>
      </c>
      <c r="Y583" s="4" t="s">
        <v>7597</v>
      </c>
      <c r="Z583" s="4" t="s">
        <v>7841</v>
      </c>
      <c r="AA583" s="8" t="str">
        <v/>
      </c>
      <c r="AB583" s="8" t="str">
        <v/>
      </c>
      <c r="AC583" s="8" t="str">
        <v/>
      </c>
      <c r="AD583" s="8" t="str">
        <v/>
      </c>
      <c r="AE583" s="8" t="str">
        <v/>
      </c>
      <c r="AF583" s="8" t="str">
        <v/>
      </c>
      <c r="AG583" s="8" t="str">
        <v/>
      </c>
      <c r="AH583" s="8" t="str">
        <v/>
      </c>
      <c r="AI583" s="8" t="n">
        <v>17</v>
      </c>
      <c r="AJ583" s="8" t="str">
        <v>～59</v>
      </c>
      <c r="AK583" s="8" t="str">
        <v>0～4</v>
      </c>
      <c r="AL583" s="8" t="str">
        <v>10～19</v>
      </c>
      <c r="AM583" s="8" t="str">
        <v>100～119</v>
      </c>
      <c r="AN583" s="8" t="str">
        <v>12～14</v>
      </c>
      <c r="AO583" s="8" t="str">
        <f aca="false">IF(A583="","",IF(COUNTIFS(全馬データ!$A$2:$A$50000,A583,全馬データ!$B$2:$B$50000,B583,全馬データ!$C$2:$C$50000,C583,全馬データ!$D$2:$D$50000,E583,全馬データ!$K$2:$K$50000,"&lt;&gt;")=0,"",SUMIFS(全馬データ!$K$2:$K$50000,全馬データ!$A$2:$A$50000,A583,全馬データ!$B$2:$B$50000,B583,全馬データ!$C$2:$C$50000,C583,全馬データ!$D$2:$D$50000,E583)))</f>
        <v/>
      </c>
      <c r="AP583" s="8" t="str">
        <f aca="false">IF(A583="","",IF(AO583="","欠損",IF(AO583&lt;=1.1,"1.0～1.1",IF(AO583&lt;1.3,"1.2",IF(AO583&lt;1.5,"1.3～1.4",IF(AO583&lt;2,"1.5～1.9","2.0以上"))))))</f>
        <v>欠損</v>
      </c>
      <c r="AQ583" s="8" t="str">
        <f aca="false">IF(A583="","",IF(ISNUMBER(SEARCH("2歳",Z583)),"2歳戦",IF(ISNUMBER(SEARCH("3歳未勝利",Z583)),"3歳未勝利",IF(ISNUMBER(SEARCH("未勝利",Z583)),"その他未勝利",IF(ISNUMBER(SEARCH("G1",Z583)),"G1",IF(ISNUMBER(SEARCH("G2",Z583)),"G2",IF(ISNUMBER(SEARCH("G3",Z583)),"G3",IF(ISNUMBER(SEARCH("古馬条件",Z583)),"古馬条件戦",IF(ISNUMBER(SEARCH("重賞",Z583)),"重賞","分類不能")))))))))</f>
        <v>分類不能</v>
      </c>
      <c r="AR583" s="8"/>
      <c r="AS583" s="8" t="s">
        <v>7623</v>
      </c>
      <c r="AT583" s="8" t="s">
        <v>7624</v>
      </c>
      <c r="AU583" s="8" t="s">
        <v>7600</v>
      </c>
      <c r="AV583" s="4" t="s">
        <v>7601</v>
      </c>
      <c r="AW583" s="8"/>
      <c r="AX583" s="8"/>
      <c r="AY583" s="8" t="s">
        <v>7610</v>
      </c>
      <c r="AZ583" s="4" t="s">
        <v>7617</v>
      </c>
      <c r="BA583" s="8" t="n">
        <v>1900</v>
      </c>
      <c r="BB583" s="8" t="s">
        <v>7634</v>
      </c>
      <c r="BC583" s="4" t="s">
        <v>7604</v>
      </c>
      <c r="BD583" s="8" t="s">
        <v>7625</v>
      </c>
      <c r="BE583" s="4" t="s">
        <v>7606</v>
      </c>
      <c r="BF583" s="8" t="s">
        <v>7607</v>
      </c>
      <c r="BG583" s="8" t="s">
        <v>7608</v>
      </c>
      <c r="BH583" s="4" t="s">
        <v>7609</v>
      </c>
      <c r="BI583" s="8" t="n">
        <v>13</v>
      </c>
      <c r="BJ583" s="8" t="s">
        <v>7602</v>
      </c>
      <c r="BK583" s="4" t="s">
        <v>7653</v>
      </c>
      <c r="BL583" s="8" t="s">
        <v>7602</v>
      </c>
      <c r="BM583" s="4" t="s">
        <v>7620</v>
      </c>
      <c r="BN583" s="8"/>
      <c r="BO583" s="8"/>
      <c r="BP583" s="8" t="s">
        <v>7610</v>
      </c>
      <c r="BQ583" s="8" t="str">
        <f aca="false">IF(A583="","",AT583)</f>
        <v>3歳</v>
      </c>
      <c r="BR583" s="8" t="str">
        <f aca="false">IF(A583="","",IF(BA583&lt;=1200,"～1200",IF(BA583&lt;=1500,"1300～1500",IF(BA583=1600,"1600",IF(BA583&lt;=1800,"1700～1800",IF(BA583&lt;=2000,"1900～2000","2100以上"))))))</f>
        <v>1900～2000</v>
      </c>
      <c r="BS583" s="8" t="str">
        <f aca="false">IF(A583="","",IF(AX583="G1","G1",IF(AX583="G2","G2",IF(AX583="G3","G3",IF(AX583="L","L","その他")))))</f>
        <v>その他</v>
      </c>
      <c r="BT583" s="8" t="str">
        <f aca="false">IF(A583="","",IF(BI583="","未結合",IF(D583=BI583,"一致","不一致")))</f>
        <v>一致</v>
      </c>
      <c r="BU583" s="8" t="str">
        <f aca="false">IF(A583="","",IF(BE583="牝馬限定","牝馬限定","その他"))</f>
        <v>その他</v>
      </c>
    </row>
    <row r="584" customFormat="false" ht="15.75" hidden="false" customHeight="false" outlineLevel="0" collapsed="false">
      <c r="A584" s="6" t="n">
        <v>46166</v>
      </c>
      <c r="B584" s="4" t="s">
        <v>5435</v>
      </c>
      <c r="C584" s="8" t="n">
        <v>3</v>
      </c>
      <c r="D584" s="8" t="n">
        <v>18</v>
      </c>
      <c r="E584" s="8" t="n">
        <v>1</v>
      </c>
      <c r="F584" s="4" t="s">
        <v>3860</v>
      </c>
      <c r="G584" s="8" t="n">
        <v>65</v>
      </c>
      <c r="H584" s="8" t="n">
        <v>15</v>
      </c>
      <c r="I584" s="4" t="s">
        <v>5011</v>
      </c>
      <c r="J584" s="8" t="n">
        <v>39</v>
      </c>
      <c r="K584" s="8" t="n">
        <v>3</v>
      </c>
      <c r="L584" s="4" t="s">
        <v>2477</v>
      </c>
      <c r="M584" s="8" t="n">
        <v>34</v>
      </c>
      <c r="N584" s="8" t="n">
        <f aca="false">IF(A584="","",G584-J584)</f>
        <v>26</v>
      </c>
      <c r="O584" s="8" t="n">
        <f aca="false">IF(A584="","",J584-M584)</f>
        <v>5</v>
      </c>
      <c r="P584" s="8" t="n">
        <f aca="false">IF(A584="","",G584+J584)</f>
        <v>104</v>
      </c>
      <c r="Q584" s="8" t="str">
        <f aca="false">IF(A584="","",IF(AND(Y584&lt;&gt;"参考",G584&gt;=ルール設定!$B$2),"○",""))</f>
        <v/>
      </c>
      <c r="R584" s="8" t="str">
        <f aca="false">IF(A584="","",IF(AND(Y584&lt;&gt;"参考",G584&gt;=ルール設定!$B$3,N584&gt;=ルール設定!$B$4),"○",""))</f>
        <v/>
      </c>
      <c r="S584" s="8" t="str">
        <f aca="false">IF(A584="","",IF(AND(Y584&lt;&gt;"参考",G584&gt;=ルール設定!$B$5,J584&gt;=ルール設定!$B$6,O584&gt;=ルール設定!$B$7),"○",""))</f>
        <v/>
      </c>
      <c r="T584" s="8" t="n">
        <v>1</v>
      </c>
      <c r="U584" s="8" t="n">
        <v>2</v>
      </c>
      <c r="V584" s="8" t="str">
        <f aca="false">IF(A584="","",IF(AND(ISNUMBER(T584),ISNUMBER(U584)),IF(AND(T584&lt;=3,U584&lt;=3),"○","×"),""))</f>
        <v>○</v>
      </c>
      <c r="W584" s="8" t="n">
        <v>110</v>
      </c>
      <c r="X584" s="8" t="n">
        <v>450</v>
      </c>
      <c r="Y584" s="4" t="s">
        <v>7597</v>
      </c>
      <c r="Z584" s="4" t="s">
        <v>7841</v>
      </c>
      <c r="AA584" s="8" t="str">
        <v/>
      </c>
      <c r="AB584" s="8" t="str">
        <v/>
      </c>
      <c r="AC584" s="8" t="str">
        <v/>
      </c>
      <c r="AD584" s="8" t="str">
        <v/>
      </c>
      <c r="AE584" s="8" t="str">
        <v/>
      </c>
      <c r="AF584" s="8" t="str">
        <v/>
      </c>
      <c r="AG584" s="8" t="str">
        <v/>
      </c>
      <c r="AH584" s="8" t="str">
        <v/>
      </c>
      <c r="AI584" s="8" t="n">
        <v>31</v>
      </c>
      <c r="AJ584" s="8" t="str">
        <v>60～69</v>
      </c>
      <c r="AK584" s="8" t="str">
        <v>20～29</v>
      </c>
      <c r="AL584" s="8" t="str">
        <v>30～39</v>
      </c>
      <c r="AM584" s="8" t="str">
        <v>100～119</v>
      </c>
      <c r="AN584" s="8" t="str">
        <v>15以上</v>
      </c>
      <c r="AO584" s="8" t="str">
        <f aca="false">IF(A584="","",IF(COUNTIFS(全馬データ!$A$2:$A$50000,A584,全馬データ!$B$2:$B$50000,B584,全馬データ!$C$2:$C$50000,C584,全馬データ!$D$2:$D$50000,E584,全馬データ!$K$2:$K$50000,"&lt;&gt;")=0,"",SUMIFS(全馬データ!$K$2:$K$50000,全馬データ!$A$2:$A$50000,A584,全馬データ!$B$2:$B$50000,B584,全馬データ!$C$2:$C$50000,C584,全馬データ!$D$2:$D$50000,E584)))</f>
        <v/>
      </c>
      <c r="AP584" s="8" t="str">
        <f aca="false">IF(A584="","",IF(AO584="","欠損",IF(AO584&lt;=1.1,"1.0～1.1",IF(AO584&lt;1.3,"1.2",IF(AO584&lt;1.5,"1.3～1.4",IF(AO584&lt;2,"1.5～1.9","2.0以上"))))))</f>
        <v>欠損</v>
      </c>
      <c r="AQ584" s="8" t="str">
        <f aca="false">IF(A584="","",IF(ISNUMBER(SEARCH("2歳",Z584)),"2歳戦",IF(ISNUMBER(SEARCH("3歳未勝利",Z584)),"3歳未勝利",IF(ISNUMBER(SEARCH("未勝利",Z584)),"その他未勝利",IF(ISNUMBER(SEARCH("G1",Z584)),"G1",IF(ISNUMBER(SEARCH("G2",Z584)),"G2",IF(ISNUMBER(SEARCH("G3",Z584)),"G3",IF(ISNUMBER(SEARCH("古馬条件",Z584)),"古馬条件戦",IF(ISNUMBER(SEARCH("重賞",Z584)),"重賞","分類不能")))))))))</f>
        <v>分類不能</v>
      </c>
      <c r="AR584" s="8"/>
      <c r="AS584" s="8" t="s">
        <v>7623</v>
      </c>
      <c r="AT584" s="8" t="s">
        <v>7624</v>
      </c>
      <c r="AU584" s="8" t="s">
        <v>7600</v>
      </c>
      <c r="AV584" s="4" t="s">
        <v>7601</v>
      </c>
      <c r="AW584" s="8"/>
      <c r="AX584" s="8"/>
      <c r="AY584" s="8" t="s">
        <v>7602</v>
      </c>
      <c r="AZ584" s="4" t="s">
        <v>7603</v>
      </c>
      <c r="BA584" s="8" t="n">
        <v>1600</v>
      </c>
      <c r="BB584" s="8" t="s">
        <v>7598</v>
      </c>
      <c r="BC584" s="4" t="s">
        <v>7604</v>
      </c>
      <c r="BD584" s="8" t="s">
        <v>7625</v>
      </c>
      <c r="BE584" s="4" t="s">
        <v>7606</v>
      </c>
      <c r="BF584" s="8" t="s">
        <v>7607</v>
      </c>
      <c r="BG584" s="8" t="s">
        <v>7608</v>
      </c>
      <c r="BH584" s="4" t="s">
        <v>7609</v>
      </c>
      <c r="BI584" s="8" t="n">
        <v>18</v>
      </c>
      <c r="BJ584" s="8" t="s">
        <v>7602</v>
      </c>
      <c r="BK584" s="4" t="s">
        <v>7653</v>
      </c>
      <c r="BL584" s="8" t="s">
        <v>7602</v>
      </c>
      <c r="BM584" s="4" t="s">
        <v>7620</v>
      </c>
      <c r="BN584" s="8" t="s">
        <v>7676</v>
      </c>
      <c r="BO584" s="8" t="s">
        <v>7778</v>
      </c>
      <c r="BP584" s="8" t="s">
        <v>7610</v>
      </c>
      <c r="BQ584" s="8" t="str">
        <f aca="false">IF(A584="","",AT584)</f>
        <v>3歳</v>
      </c>
      <c r="BR584" s="8" t="str">
        <f aca="false">IF(A584="","",IF(BA584&lt;=1200,"～1200",IF(BA584&lt;=1500,"1300～1500",IF(BA584=1600,"1600",IF(BA584&lt;=1800,"1700～1800",IF(BA584&lt;=2000,"1900～2000","2100以上"))))))</f>
        <v>1600</v>
      </c>
      <c r="BS584" s="8" t="str">
        <f aca="false">IF(A584="","",IF(AX584="G1","G1",IF(AX584="G2","G2",IF(AX584="G3","G3",IF(AX584="L","L","その他")))))</f>
        <v>その他</v>
      </c>
      <c r="BT584" s="8" t="str">
        <f aca="false">IF(A584="","",IF(BI584="","未結合",IF(D584=BI584,"一致","不一致")))</f>
        <v>一致</v>
      </c>
      <c r="BU584" s="8" t="str">
        <f aca="false">IF(A584="","",IF(BE584="牝馬限定","牝馬限定","その他"))</f>
        <v>その他</v>
      </c>
    </row>
    <row r="585" customFormat="false" ht="15.75" hidden="false" customHeight="false" outlineLevel="0" collapsed="false">
      <c r="A585" s="6" t="n">
        <v>46166</v>
      </c>
      <c r="B585" s="4" t="s">
        <v>5435</v>
      </c>
      <c r="C585" s="8" t="n">
        <v>4</v>
      </c>
      <c r="D585" s="8" t="n">
        <v>10</v>
      </c>
      <c r="E585" s="8" t="n">
        <v>1</v>
      </c>
      <c r="F585" s="4" t="s">
        <v>273</v>
      </c>
      <c r="G585" s="8" t="n">
        <v>81</v>
      </c>
      <c r="H585" s="8" t="n">
        <v>10</v>
      </c>
      <c r="I585" s="4" t="s">
        <v>3150</v>
      </c>
      <c r="J585" s="8" t="n">
        <v>75</v>
      </c>
      <c r="K585" s="8" t="n">
        <v>6</v>
      </c>
      <c r="L585" s="4" t="s">
        <v>2468</v>
      </c>
      <c r="M585" s="8" t="n">
        <v>50</v>
      </c>
      <c r="N585" s="8" t="n">
        <f aca="false">IF(A585="","",G585-J585)</f>
        <v>6</v>
      </c>
      <c r="O585" s="8" t="n">
        <f aca="false">IF(A585="","",J585-M585)</f>
        <v>25</v>
      </c>
      <c r="P585" s="8" t="n">
        <f aca="false">IF(A585="","",G585+J585)</f>
        <v>156</v>
      </c>
      <c r="Q585" s="8" t="str">
        <f aca="false">IF(A585="","",IF(AND(Y585&lt;&gt;"参考",G585&gt;=ルール設定!$B$2),"○",""))</f>
        <v>○</v>
      </c>
      <c r="R585" s="8" t="str">
        <f aca="false">IF(A585="","",IF(AND(Y585&lt;&gt;"参考",G585&gt;=ルール設定!$B$3,N585&gt;=ルール設定!$B$4),"○",""))</f>
        <v/>
      </c>
      <c r="S585" s="8" t="str">
        <f aca="false">IF(A585="","",IF(AND(Y585&lt;&gt;"参考",G585&gt;=ルール設定!$B$5,J585&gt;=ルール設定!$B$6,O585&gt;=ルール設定!$B$7),"○",""))</f>
        <v>○</v>
      </c>
      <c r="T585" s="8" t="n">
        <v>1</v>
      </c>
      <c r="U585" s="8" t="n">
        <v>2</v>
      </c>
      <c r="V585" s="8" t="str">
        <f aca="false">IF(A585="","",IF(AND(ISNUMBER(T585),ISNUMBER(U585)),IF(AND(T585&lt;=3,U585&lt;=3),"○","×"),""))</f>
        <v>○</v>
      </c>
      <c r="W585" s="8" t="n">
        <v>110</v>
      </c>
      <c r="X585" s="8" t="n">
        <v>150</v>
      </c>
      <c r="Y585" s="4" t="s">
        <v>7597</v>
      </c>
      <c r="Z585" s="4" t="s">
        <v>7841</v>
      </c>
      <c r="AA585" s="8" t="str">
        <v/>
      </c>
      <c r="AB585" s="8" t="str">
        <v>○</v>
      </c>
      <c r="AC585" s="8" t="str">
        <v/>
      </c>
      <c r="AD585" s="8" t="str">
        <v/>
      </c>
      <c r="AE585" s="8" t="str">
        <v/>
      </c>
      <c r="AF585" s="8" t="str">
        <v>○</v>
      </c>
      <c r="AG585" s="8" t="str">
        <v>○</v>
      </c>
      <c r="AH585" s="8" t="str">
        <v/>
      </c>
      <c r="AI585" s="8" t="n">
        <v>31</v>
      </c>
      <c r="AJ585" s="8" t="str">
        <v>80～84</v>
      </c>
      <c r="AK585" s="8" t="str">
        <v>5～9</v>
      </c>
      <c r="AL585" s="8" t="str">
        <v>30～39</v>
      </c>
      <c r="AM585" s="8" t="str">
        <v>140～159</v>
      </c>
      <c r="AN585" s="8" t="str">
        <v>8～11</v>
      </c>
      <c r="AO585" s="8" t="str">
        <f aca="false">IF(A585="","",IF(COUNTIFS(全馬データ!$A$2:$A$50000,A585,全馬データ!$B$2:$B$50000,B585,全馬データ!$C$2:$C$50000,C585,全馬データ!$D$2:$D$50000,E585,全馬データ!$K$2:$K$50000,"&lt;&gt;")=0,"",SUMIFS(全馬データ!$K$2:$K$50000,全馬データ!$A$2:$A$50000,A585,全馬データ!$B$2:$B$50000,B585,全馬データ!$C$2:$C$50000,C585,全馬データ!$D$2:$D$50000,E585)))</f>
        <v/>
      </c>
      <c r="AP585" s="8" t="str">
        <f aca="false">IF(A585="","",IF(AO585="","欠損",IF(AO585&lt;=1.1,"1.0～1.1",IF(AO585&lt;1.3,"1.2",IF(AO585&lt;1.5,"1.3～1.4",IF(AO585&lt;2,"1.5～1.9","2.0以上"))))))</f>
        <v>欠損</v>
      </c>
      <c r="AQ585" s="8" t="str">
        <f aca="false">IF(A585="","",IF(ISNUMBER(SEARCH("2歳",Z585)),"2歳戦",IF(ISNUMBER(SEARCH("3歳未勝利",Z585)),"3歳未勝利",IF(ISNUMBER(SEARCH("未勝利",Z585)),"その他未勝利",IF(ISNUMBER(SEARCH("G1",Z585)),"G1",IF(ISNUMBER(SEARCH("G2",Z585)),"G2",IF(ISNUMBER(SEARCH("G3",Z585)),"G3",IF(ISNUMBER(SEARCH("古馬条件",Z585)),"古馬条件戦",IF(ISNUMBER(SEARCH("重賞",Z585)),"重賞","分類不能")))))))))</f>
        <v>分類不能</v>
      </c>
      <c r="AR585" s="8"/>
      <c r="AS585" s="8" t="s">
        <v>7623</v>
      </c>
      <c r="AT585" s="8" t="s">
        <v>7624</v>
      </c>
      <c r="AU585" s="8" t="s">
        <v>7600</v>
      </c>
      <c r="AV585" s="4" t="s">
        <v>7601</v>
      </c>
      <c r="AW585" s="8"/>
      <c r="AX585" s="8"/>
      <c r="AY585" s="8" t="s">
        <v>7602</v>
      </c>
      <c r="AZ585" s="4" t="s">
        <v>7603</v>
      </c>
      <c r="BA585" s="8" t="n">
        <v>2000</v>
      </c>
      <c r="BB585" s="8" t="s">
        <v>7598</v>
      </c>
      <c r="BC585" s="4" t="s">
        <v>7604</v>
      </c>
      <c r="BD585" s="8" t="s">
        <v>7605</v>
      </c>
      <c r="BE585" s="4" t="s">
        <v>7606</v>
      </c>
      <c r="BF585" s="8" t="s">
        <v>7607</v>
      </c>
      <c r="BG585" s="8" t="s">
        <v>7608</v>
      </c>
      <c r="BH585" s="4" t="s">
        <v>7609</v>
      </c>
      <c r="BI585" s="8" t="n">
        <v>10</v>
      </c>
      <c r="BJ585" s="8" t="s">
        <v>7602</v>
      </c>
      <c r="BK585" s="4" t="s">
        <v>7653</v>
      </c>
      <c r="BL585" s="8" t="s">
        <v>7602</v>
      </c>
      <c r="BM585" s="4" t="s">
        <v>7620</v>
      </c>
      <c r="BN585" s="8" t="s">
        <v>7676</v>
      </c>
      <c r="BO585" s="8" t="s">
        <v>7778</v>
      </c>
      <c r="BP585" s="8" t="s">
        <v>7610</v>
      </c>
      <c r="BQ585" s="8" t="str">
        <f aca="false">IF(A585="","",AT585)</f>
        <v>3歳</v>
      </c>
      <c r="BR585" s="8" t="str">
        <f aca="false">IF(A585="","",IF(BA585&lt;=1200,"～1200",IF(BA585&lt;=1500,"1300～1500",IF(BA585=1600,"1600",IF(BA585&lt;=1800,"1700～1800",IF(BA585&lt;=2000,"1900～2000","2100以上"))))))</f>
        <v>1900～2000</v>
      </c>
      <c r="BS585" s="8" t="str">
        <f aca="false">IF(A585="","",IF(AX585="G1","G1",IF(AX585="G2","G2",IF(AX585="G3","G3",IF(AX585="L","L","その他")))))</f>
        <v>その他</v>
      </c>
      <c r="BT585" s="8" t="str">
        <f aca="false">IF(A585="","",IF(BI585="","未結合",IF(D585=BI585,"一致","不一致")))</f>
        <v>一致</v>
      </c>
      <c r="BU585" s="8" t="str">
        <f aca="false">IF(A585="","",IF(BE585="牝馬限定","牝馬限定","その他"))</f>
        <v>その他</v>
      </c>
    </row>
    <row r="586" customFormat="false" ht="15.75" hidden="false" customHeight="false" outlineLevel="0" collapsed="false">
      <c r="A586" s="6" t="n">
        <v>46166</v>
      </c>
      <c r="B586" s="4" t="s">
        <v>5435</v>
      </c>
      <c r="C586" s="8" t="n">
        <v>5</v>
      </c>
      <c r="D586" s="8" t="n">
        <v>9</v>
      </c>
      <c r="E586" s="8" t="n">
        <v>1</v>
      </c>
      <c r="F586" s="4" t="s">
        <v>3534</v>
      </c>
      <c r="G586" s="8" t="n">
        <v>50</v>
      </c>
      <c r="H586" s="8" t="n">
        <v>9</v>
      </c>
      <c r="I586" s="4" t="s">
        <v>5679</v>
      </c>
      <c r="J586" s="8" t="n">
        <v>50</v>
      </c>
      <c r="K586" s="8" t="n">
        <v>8</v>
      </c>
      <c r="L586" s="4" t="s">
        <v>5291</v>
      </c>
      <c r="M586" s="8" t="n">
        <v>41</v>
      </c>
      <c r="N586" s="8" t="n">
        <f aca="false">IF(A586="","",G586-J586)</f>
        <v>0</v>
      </c>
      <c r="O586" s="8" t="n">
        <f aca="false">IF(A586="","",J586-M586)</f>
        <v>9</v>
      </c>
      <c r="P586" s="8" t="n">
        <f aca="false">IF(A586="","",G586+J586)</f>
        <v>100</v>
      </c>
      <c r="Q586" s="8" t="str">
        <f aca="false">IF(A586="","",IF(AND(Y586&lt;&gt;"参考",G586&gt;=ルール設定!$B$2),"○",""))</f>
        <v/>
      </c>
      <c r="R586" s="8" t="str">
        <f aca="false">IF(A586="","",IF(AND(Y586&lt;&gt;"参考",G586&gt;=ルール設定!$B$3,N586&gt;=ルール設定!$B$4),"○",""))</f>
        <v/>
      </c>
      <c r="S586" s="8" t="str">
        <f aca="false">IF(A586="","",IF(AND(Y586&lt;&gt;"参考",G586&gt;=ルール設定!$B$5,J586&gt;=ルール設定!$B$6,O586&gt;=ルール設定!$B$7),"○",""))</f>
        <v/>
      </c>
      <c r="T586" s="8" t="n">
        <v>2</v>
      </c>
      <c r="U586" s="8" t="n">
        <v>1</v>
      </c>
      <c r="V586" s="8" t="str">
        <f aca="false">IF(A586="","",IF(AND(ISNUMBER(T586),ISNUMBER(U586)),IF(AND(T586&lt;=3,U586&lt;=3),"○","×"),""))</f>
        <v>○</v>
      </c>
      <c r="W586" s="8" t="n">
        <v>140</v>
      </c>
      <c r="X586" s="8" t="n">
        <v>820</v>
      </c>
      <c r="Y586" s="4" t="s">
        <v>7597</v>
      </c>
      <c r="Z586" s="4" t="s">
        <v>7841</v>
      </c>
      <c r="AA586" s="8" t="str">
        <v/>
      </c>
      <c r="AB586" s="8" t="str">
        <v/>
      </c>
      <c r="AC586" s="8" t="str">
        <v/>
      </c>
      <c r="AD586" s="8" t="str">
        <v/>
      </c>
      <c r="AE586" s="8" t="str">
        <v/>
      </c>
      <c r="AF586" s="8" t="str">
        <v/>
      </c>
      <c r="AG586" s="8" t="str">
        <v/>
      </c>
      <c r="AH586" s="8" t="str">
        <v/>
      </c>
      <c r="AI586" s="8" t="n">
        <v>9</v>
      </c>
      <c r="AJ586" s="8" t="str">
        <v>～59</v>
      </c>
      <c r="AK586" s="8" t="str">
        <v>0～4</v>
      </c>
      <c r="AL586" s="8" t="str">
        <v>0～9</v>
      </c>
      <c r="AM586" s="8" t="str">
        <v>100～119</v>
      </c>
      <c r="AN586" s="8" t="str">
        <v>8～11</v>
      </c>
      <c r="AO586" s="8" t="str">
        <f aca="false">IF(A586="","",IF(COUNTIFS(全馬データ!$A$2:$A$50000,A586,全馬データ!$B$2:$B$50000,B586,全馬データ!$C$2:$C$50000,C586,全馬データ!$D$2:$D$50000,E586,全馬データ!$K$2:$K$50000,"&lt;&gt;")=0,"",SUMIFS(全馬データ!$K$2:$K$50000,全馬データ!$A$2:$A$50000,A586,全馬データ!$B$2:$B$50000,B586,全馬データ!$C$2:$C$50000,C586,全馬データ!$D$2:$D$50000,E586)))</f>
        <v/>
      </c>
      <c r="AP586" s="8" t="str">
        <f aca="false">IF(A586="","",IF(AO586="","欠損",IF(AO586&lt;=1.1,"1.0～1.1",IF(AO586&lt;1.3,"1.2",IF(AO586&lt;1.5,"1.3～1.4",IF(AO586&lt;2,"1.5～1.9","2.0以上"))))))</f>
        <v>欠損</v>
      </c>
      <c r="AQ586" s="8" t="str">
        <f aca="false">IF(A586="","",IF(ISNUMBER(SEARCH("2歳",Z586)),"2歳戦",IF(ISNUMBER(SEARCH("3歳未勝利",Z586)),"3歳未勝利",IF(ISNUMBER(SEARCH("未勝利",Z586)),"その他未勝利",IF(ISNUMBER(SEARCH("G1",Z586)),"G1",IF(ISNUMBER(SEARCH("G2",Z586)),"G2",IF(ISNUMBER(SEARCH("G3",Z586)),"G3",IF(ISNUMBER(SEARCH("古馬条件",Z586)),"古馬条件戦",IF(ISNUMBER(SEARCH("重賞",Z586)),"重賞","分類不能")))))))))</f>
        <v>分類不能</v>
      </c>
      <c r="AR586" s="8"/>
      <c r="AS586" s="8" t="s">
        <v>7623</v>
      </c>
      <c r="AT586" s="8" t="s">
        <v>7624</v>
      </c>
      <c r="AU586" s="8" t="s">
        <v>7628</v>
      </c>
      <c r="AV586" s="8" t="s">
        <v>7629</v>
      </c>
      <c r="AW586" s="8"/>
      <c r="AX586" s="8"/>
      <c r="AY586" s="8" t="s">
        <v>7602</v>
      </c>
      <c r="AZ586" s="4" t="s">
        <v>7603</v>
      </c>
      <c r="BA586" s="8" t="n">
        <v>1200</v>
      </c>
      <c r="BB586" s="8" t="s">
        <v>7598</v>
      </c>
      <c r="BC586" s="4" t="s">
        <v>7604</v>
      </c>
      <c r="BD586" s="8" t="s">
        <v>7630</v>
      </c>
      <c r="BE586" s="4" t="s">
        <v>7606</v>
      </c>
      <c r="BF586" s="8" t="s">
        <v>7607</v>
      </c>
      <c r="BG586" s="8" t="s">
        <v>7608</v>
      </c>
      <c r="BH586" s="4" t="s">
        <v>7609</v>
      </c>
      <c r="BI586" s="8" t="n">
        <v>9</v>
      </c>
      <c r="BJ586" s="8" t="s">
        <v>7602</v>
      </c>
      <c r="BK586" s="4" t="s">
        <v>7653</v>
      </c>
      <c r="BL586" s="8" t="s">
        <v>7602</v>
      </c>
      <c r="BM586" s="4" t="s">
        <v>7620</v>
      </c>
      <c r="BN586" s="8" t="s">
        <v>7676</v>
      </c>
      <c r="BO586" s="8" t="s">
        <v>7778</v>
      </c>
      <c r="BP586" s="8" t="s">
        <v>7610</v>
      </c>
      <c r="BQ586" s="8" t="str">
        <f aca="false">IF(A586="","",AT586)</f>
        <v>3歳</v>
      </c>
      <c r="BR586" s="8" t="str">
        <f aca="false">IF(A586="","",IF(BA586&lt;=1200,"～1200",IF(BA586&lt;=1500,"1300～1500",IF(BA586=1600,"1600",IF(BA586&lt;=1800,"1700～1800",IF(BA586&lt;=2000,"1900～2000","2100以上"))))))</f>
        <v>～1200</v>
      </c>
      <c r="BS586" s="8" t="str">
        <f aca="false">IF(A586="","",IF(AX586="G1","G1",IF(AX586="G2","G2",IF(AX586="G3","G3",IF(AX586="L","L","その他")))))</f>
        <v>その他</v>
      </c>
      <c r="BT586" s="8" t="str">
        <f aca="false">IF(A586="","",IF(BI586="","未結合",IF(D586=BI586,"一致","不一致")))</f>
        <v>一致</v>
      </c>
      <c r="BU586" s="8" t="str">
        <f aca="false">IF(A586="","",IF(BE586="牝馬限定","牝馬限定","その他"))</f>
        <v>その他</v>
      </c>
    </row>
    <row r="587" customFormat="false" ht="15.75" hidden="false" customHeight="false" outlineLevel="0" collapsed="false">
      <c r="A587" s="6" t="n">
        <v>46166</v>
      </c>
      <c r="B587" s="4" t="s">
        <v>5435</v>
      </c>
      <c r="C587" s="8" t="n">
        <v>6</v>
      </c>
      <c r="D587" s="8" t="n">
        <v>16</v>
      </c>
      <c r="E587" s="8" t="n">
        <v>10</v>
      </c>
      <c r="F587" s="4" t="s">
        <v>5685</v>
      </c>
      <c r="G587" s="8" t="n">
        <v>71</v>
      </c>
      <c r="H587" s="8" t="n">
        <v>12</v>
      </c>
      <c r="I587" s="4" t="s">
        <v>3648</v>
      </c>
      <c r="J587" s="8" t="n">
        <v>60</v>
      </c>
      <c r="K587" s="8" t="n">
        <v>9</v>
      </c>
      <c r="L587" s="4" t="s">
        <v>5684</v>
      </c>
      <c r="M587" s="8" t="n">
        <v>29</v>
      </c>
      <c r="N587" s="8" t="n">
        <f aca="false">IF(A587="","",G587-J587)</f>
        <v>11</v>
      </c>
      <c r="O587" s="8" t="n">
        <f aca="false">IF(A587="","",J587-M587)</f>
        <v>31</v>
      </c>
      <c r="P587" s="8" t="n">
        <f aca="false">IF(A587="","",G587+J587)</f>
        <v>131</v>
      </c>
      <c r="Q587" s="8" t="str">
        <f aca="false">IF(A587="","",IF(AND(Y587&lt;&gt;"参考",G587&gt;=ルール設定!$B$2),"○",""))</f>
        <v/>
      </c>
      <c r="R587" s="8" t="str">
        <f aca="false">IF(A587="","",IF(AND(Y587&lt;&gt;"参考",G587&gt;=ルール設定!$B$3,N587&gt;=ルール設定!$B$4),"○",""))</f>
        <v/>
      </c>
      <c r="S587" s="8" t="str">
        <f aca="false">IF(A587="","",IF(AND(Y587&lt;&gt;"参考",G587&gt;=ルール設定!$B$5,J587&gt;=ルール設定!$B$6,O587&gt;=ルール設定!$B$7),"○",""))</f>
        <v>○</v>
      </c>
      <c r="T587" s="8" t="n">
        <v>3</v>
      </c>
      <c r="U587" s="8" t="n">
        <v>1</v>
      </c>
      <c r="V587" s="8" t="str">
        <f aca="false">IF(A587="","",IF(AND(ISNUMBER(T587),ISNUMBER(U587)),IF(AND(T587&lt;=3,U587&lt;=3),"○","×"),""))</f>
        <v>○</v>
      </c>
      <c r="W587" s="8" t="n">
        <v>310</v>
      </c>
      <c r="X587" s="8" t="n">
        <v>400</v>
      </c>
      <c r="Y587" s="4" t="s">
        <v>7597</v>
      </c>
      <c r="Z587" s="4" t="s">
        <v>7841</v>
      </c>
      <c r="AA587" s="8" t="str">
        <v/>
      </c>
      <c r="AB587" s="8" t="str">
        <v/>
      </c>
      <c r="AC587" s="8" t="str">
        <v/>
      </c>
      <c r="AD587" s="8" t="str">
        <v/>
      </c>
      <c r="AE587" s="8" t="str">
        <v/>
      </c>
      <c r="AF587" s="8" t="str">
        <v/>
      </c>
      <c r="AG587" s="8" t="str">
        <v/>
      </c>
      <c r="AH587" s="8" t="str">
        <v/>
      </c>
      <c r="AI587" s="8" t="n">
        <v>42</v>
      </c>
      <c r="AJ587" s="8" t="str">
        <v>70～74</v>
      </c>
      <c r="AK587" s="8" t="str">
        <v>10～19</v>
      </c>
      <c r="AL587" s="8" t="str">
        <v>40以上</v>
      </c>
      <c r="AM587" s="8" t="str">
        <v>120～139</v>
      </c>
      <c r="AN587" s="8" t="str">
        <v>15以上</v>
      </c>
      <c r="AO587" s="8" t="str">
        <f aca="false">IF(A587="","",IF(COUNTIFS(全馬データ!$A$2:$A$50000,A587,全馬データ!$B$2:$B$50000,B587,全馬データ!$C$2:$C$50000,C587,全馬データ!$D$2:$D$50000,E587,全馬データ!$K$2:$K$50000,"&lt;&gt;")=0,"",SUMIFS(全馬データ!$K$2:$K$50000,全馬データ!$A$2:$A$50000,A587,全馬データ!$B$2:$B$50000,B587,全馬データ!$C$2:$C$50000,C587,全馬データ!$D$2:$D$50000,E587)))</f>
        <v/>
      </c>
      <c r="AP587" s="8" t="str">
        <f aca="false">IF(A587="","",IF(AO587="","欠損",IF(AO587&lt;=1.1,"1.0～1.1",IF(AO587&lt;1.3,"1.2",IF(AO587&lt;1.5,"1.3～1.4",IF(AO587&lt;2,"1.5～1.9","2.0以上"))))))</f>
        <v>欠損</v>
      </c>
      <c r="AQ587" s="8" t="str">
        <f aca="false">IF(A587="","",IF(ISNUMBER(SEARCH("2歳",Z587)),"2歳戦",IF(ISNUMBER(SEARCH("3歳未勝利",Z587)),"3歳未勝利",IF(ISNUMBER(SEARCH("未勝利",Z587)),"その他未勝利",IF(ISNUMBER(SEARCH("G1",Z587)),"G1",IF(ISNUMBER(SEARCH("G2",Z587)),"G2",IF(ISNUMBER(SEARCH("G3",Z587)),"G3",IF(ISNUMBER(SEARCH("古馬条件",Z587)),"古馬条件戦",IF(ISNUMBER(SEARCH("重賞",Z587)),"重賞","分類不能")))))))))</f>
        <v>分類不能</v>
      </c>
      <c r="AR587" s="8"/>
      <c r="AS587" s="8" t="s">
        <v>7623</v>
      </c>
      <c r="AT587" s="8" t="s">
        <v>7624</v>
      </c>
      <c r="AU587" s="8" t="s">
        <v>7628</v>
      </c>
      <c r="AV587" s="8" t="s">
        <v>7629</v>
      </c>
      <c r="AW587" s="8"/>
      <c r="AX587" s="8"/>
      <c r="AY587" s="8" t="s">
        <v>7610</v>
      </c>
      <c r="AZ587" s="4" t="s">
        <v>7617</v>
      </c>
      <c r="BA587" s="8" t="n">
        <v>1900</v>
      </c>
      <c r="BB587" s="8" t="s">
        <v>7634</v>
      </c>
      <c r="BC587" s="4" t="s">
        <v>7604</v>
      </c>
      <c r="BD587" s="8" t="s">
        <v>7625</v>
      </c>
      <c r="BE587" s="4" t="s">
        <v>7606</v>
      </c>
      <c r="BF587" s="8" t="s">
        <v>7607</v>
      </c>
      <c r="BG587" s="8" t="s">
        <v>7608</v>
      </c>
      <c r="BH587" s="4" t="s">
        <v>7609</v>
      </c>
      <c r="BI587" s="8" t="n">
        <v>16</v>
      </c>
      <c r="BJ587" s="8" t="s">
        <v>7602</v>
      </c>
      <c r="BK587" s="4" t="s">
        <v>7653</v>
      </c>
      <c r="BL587" s="8" t="s">
        <v>7602</v>
      </c>
      <c r="BM587" s="4" t="s">
        <v>7620</v>
      </c>
      <c r="BN587" s="8"/>
      <c r="BO587" s="8"/>
      <c r="BP587" s="8" t="s">
        <v>7610</v>
      </c>
      <c r="BQ587" s="8" t="str">
        <f aca="false">IF(A587="","",AT587)</f>
        <v>3歳</v>
      </c>
      <c r="BR587" s="8" t="str">
        <f aca="false">IF(A587="","",IF(BA587&lt;=1200,"～1200",IF(BA587&lt;=1500,"1300～1500",IF(BA587=1600,"1600",IF(BA587&lt;=1800,"1700～1800",IF(BA587&lt;=2000,"1900～2000","2100以上"))))))</f>
        <v>1900～2000</v>
      </c>
      <c r="BS587" s="8" t="str">
        <f aca="false">IF(A587="","",IF(AX587="G1","G1",IF(AX587="G2","G2",IF(AX587="G3","G3",IF(AX587="L","L","その他")))))</f>
        <v>その他</v>
      </c>
      <c r="BT587" s="8" t="str">
        <f aca="false">IF(A587="","",IF(BI587="","未結合",IF(D587=BI587,"一致","不一致")))</f>
        <v>一致</v>
      </c>
      <c r="BU587" s="8" t="str">
        <f aca="false">IF(A587="","",IF(BE587="牝馬限定","牝馬限定","その他"))</f>
        <v>その他</v>
      </c>
    </row>
    <row r="588" customFormat="false" ht="15.75" hidden="false" customHeight="false" outlineLevel="0" collapsed="false">
      <c r="A588" s="6" t="n">
        <v>46166</v>
      </c>
      <c r="B588" s="4" t="s">
        <v>5435</v>
      </c>
      <c r="C588" s="8" t="n">
        <v>7</v>
      </c>
      <c r="D588" s="8" t="n">
        <v>18</v>
      </c>
      <c r="E588" s="8" t="n">
        <v>7</v>
      </c>
      <c r="F588" s="4" t="s">
        <v>5692</v>
      </c>
      <c r="G588" s="8" t="n">
        <v>56</v>
      </c>
      <c r="H588" s="8" t="n">
        <v>16</v>
      </c>
      <c r="I588" s="4" t="s">
        <v>2548</v>
      </c>
      <c r="J588" s="8" t="n">
        <v>37</v>
      </c>
      <c r="K588" s="8" t="n">
        <v>9</v>
      </c>
      <c r="L588" s="4" t="s">
        <v>5694</v>
      </c>
      <c r="M588" s="8" t="n">
        <v>31</v>
      </c>
      <c r="N588" s="8" t="n">
        <f aca="false">IF(A588="","",G588-J588)</f>
        <v>19</v>
      </c>
      <c r="O588" s="8" t="n">
        <f aca="false">IF(A588="","",J588-M588)</f>
        <v>6</v>
      </c>
      <c r="P588" s="8" t="n">
        <f aca="false">IF(A588="","",G588+J588)</f>
        <v>93</v>
      </c>
      <c r="Q588" s="8" t="str">
        <f aca="false">IF(A588="","",IF(AND(Y588&lt;&gt;"参考",G588&gt;=ルール設定!$B$2),"○",""))</f>
        <v/>
      </c>
      <c r="R588" s="8" t="str">
        <f aca="false">IF(A588="","",IF(AND(Y588&lt;&gt;"参考",G588&gt;=ルール設定!$B$3,N588&gt;=ルール設定!$B$4),"○",""))</f>
        <v/>
      </c>
      <c r="S588" s="8" t="str">
        <f aca="false">IF(A588="","",IF(AND(Y588&lt;&gt;"参考",G588&gt;=ルール設定!$B$5,J588&gt;=ルール設定!$B$6,O588&gt;=ルール設定!$B$7),"○",""))</f>
        <v/>
      </c>
      <c r="T588" s="8" t="n">
        <v>3</v>
      </c>
      <c r="U588" s="8" t="n">
        <v>4</v>
      </c>
      <c r="V588" s="8" t="str">
        <f aca="false">IF(A588="","",IF(AND(ISNUMBER(T588),ISNUMBER(U588)),IF(AND(T588&lt;=3,U588&lt;=3),"○","×"),""))</f>
        <v>×</v>
      </c>
      <c r="W588" s="8" t="n">
        <v>250</v>
      </c>
      <c r="X588" s="8"/>
      <c r="Y588" s="4" t="s">
        <v>7597</v>
      </c>
      <c r="Z588" s="4" t="s">
        <v>7841</v>
      </c>
      <c r="AA588" s="8" t="str">
        <v/>
      </c>
      <c r="AB588" s="8" t="str">
        <v/>
      </c>
      <c r="AC588" s="8" t="str">
        <v/>
      </c>
      <c r="AD588" s="8" t="str">
        <v/>
      </c>
      <c r="AE588" s="8" t="str">
        <v/>
      </c>
      <c r="AF588" s="8" t="str">
        <v/>
      </c>
      <c r="AG588" s="8" t="str">
        <v/>
      </c>
      <c r="AH588" s="8" t="str">
        <v/>
      </c>
      <c r="AI588" s="8" t="n">
        <v>25</v>
      </c>
      <c r="AJ588" s="8" t="str">
        <v>～59</v>
      </c>
      <c r="AK588" s="8" t="str">
        <v>10～19</v>
      </c>
      <c r="AL588" s="8" t="str">
        <v>20～29</v>
      </c>
      <c r="AM588" s="8" t="str">
        <v>～99</v>
      </c>
      <c r="AN588" s="8" t="str">
        <v>15以上</v>
      </c>
      <c r="AO588" s="8" t="str">
        <f aca="false">IF(A588="","",IF(COUNTIFS(全馬データ!$A$2:$A$50000,A588,全馬データ!$B$2:$B$50000,B588,全馬データ!$C$2:$C$50000,C588,全馬データ!$D$2:$D$50000,E588,全馬データ!$K$2:$K$50000,"&lt;&gt;")=0,"",SUMIFS(全馬データ!$K$2:$K$50000,全馬データ!$A$2:$A$50000,A588,全馬データ!$B$2:$B$50000,B588,全馬データ!$C$2:$C$50000,C588,全馬データ!$D$2:$D$50000,E588)))</f>
        <v/>
      </c>
      <c r="AP588" s="8" t="str">
        <f aca="false">IF(A588="","",IF(AO588="","欠損",IF(AO588&lt;=1.1,"1.0～1.1",IF(AO588&lt;1.3,"1.2",IF(AO588&lt;1.5,"1.3～1.4",IF(AO588&lt;2,"1.5～1.9","2.0以上"))))))</f>
        <v>欠損</v>
      </c>
      <c r="AQ588" s="8" t="str">
        <f aca="false">IF(A588="","",IF(ISNUMBER(SEARCH("2歳",Z588)),"2歳戦",IF(ISNUMBER(SEARCH("3歳未勝利",Z588)),"3歳未勝利",IF(ISNUMBER(SEARCH("未勝利",Z588)),"その他未勝利",IF(ISNUMBER(SEARCH("G1",Z588)),"G1",IF(ISNUMBER(SEARCH("G2",Z588)),"G2",IF(ISNUMBER(SEARCH("G3",Z588)),"G3",IF(ISNUMBER(SEARCH("古馬条件",Z588)),"古馬条件戦",IF(ISNUMBER(SEARCH("重賞",Z588)),"重賞","分類不能")))))))))</f>
        <v>分類不能</v>
      </c>
      <c r="AR588" s="8"/>
      <c r="AS588" s="8" t="s">
        <v>7842</v>
      </c>
      <c r="AT588" s="8" t="s">
        <v>7843</v>
      </c>
      <c r="AU588" s="8" t="s">
        <v>7628</v>
      </c>
      <c r="AV588" s="8" t="s">
        <v>7629</v>
      </c>
      <c r="AW588" s="8"/>
      <c r="AX588" s="8"/>
      <c r="AY588" s="8" t="s">
        <v>7602</v>
      </c>
      <c r="AZ588" s="4" t="s">
        <v>7603</v>
      </c>
      <c r="BA588" s="8" t="n">
        <v>1400</v>
      </c>
      <c r="BB588" s="8" t="s">
        <v>7598</v>
      </c>
      <c r="BC588" s="4" t="s">
        <v>7604</v>
      </c>
      <c r="BD588" s="8" t="s">
        <v>7605</v>
      </c>
      <c r="BE588" s="4" t="s">
        <v>7606</v>
      </c>
      <c r="BF588" s="8" t="s">
        <v>7607</v>
      </c>
      <c r="BG588" s="8" t="s">
        <v>7631</v>
      </c>
      <c r="BH588" s="4" t="s">
        <v>7632</v>
      </c>
      <c r="BI588" s="8" t="n">
        <v>18</v>
      </c>
      <c r="BJ588" s="8" t="s">
        <v>7602</v>
      </c>
      <c r="BK588" s="4" t="s">
        <v>7653</v>
      </c>
      <c r="BL588" s="8" t="s">
        <v>7610</v>
      </c>
      <c r="BM588" s="4" t="s">
        <v>7612</v>
      </c>
      <c r="BN588" s="8" t="s">
        <v>7676</v>
      </c>
      <c r="BO588" s="8" t="s">
        <v>7778</v>
      </c>
      <c r="BP588" s="8" t="s">
        <v>7610</v>
      </c>
      <c r="BQ588" s="8" t="str">
        <f aca="false">IF(A588="","",AT588)</f>
        <v>4歳以上</v>
      </c>
      <c r="BR588" s="8" t="str">
        <f aca="false">IF(A588="","",IF(BA588&lt;=1200,"～1200",IF(BA588&lt;=1500,"1300～1500",IF(BA588=1600,"1600",IF(BA588&lt;=1800,"1700～1800",IF(BA588&lt;=2000,"1900～2000","2100以上"))))))</f>
        <v>1300～1500</v>
      </c>
      <c r="BS588" s="8" t="str">
        <f aca="false">IF(A588="","",IF(AX588="G1","G1",IF(AX588="G2","G2",IF(AX588="G3","G3",IF(AX588="L","L","その他")))))</f>
        <v>その他</v>
      </c>
      <c r="BT588" s="8" t="str">
        <f aca="false">IF(A588="","",IF(BI588="","未結合",IF(D588=BI588,"一致","不一致")))</f>
        <v>一致</v>
      </c>
      <c r="BU588" s="8" t="str">
        <f aca="false">IF(A588="","",IF(BE588="牝馬限定","牝馬限定","その他"))</f>
        <v>その他</v>
      </c>
    </row>
    <row r="589" customFormat="false" ht="15.75" hidden="false" customHeight="false" outlineLevel="0" collapsed="false">
      <c r="A589" s="6" t="n">
        <v>46166</v>
      </c>
      <c r="B589" s="4" t="s">
        <v>5435</v>
      </c>
      <c r="C589" s="8" t="n">
        <v>8</v>
      </c>
      <c r="D589" s="8" t="n">
        <v>12</v>
      </c>
      <c r="E589" s="8" t="n">
        <v>5</v>
      </c>
      <c r="F589" s="4" t="s">
        <v>1686</v>
      </c>
      <c r="G589" s="8" t="n">
        <v>58</v>
      </c>
      <c r="H589" s="8" t="n">
        <v>1</v>
      </c>
      <c r="I589" s="4" t="s">
        <v>3481</v>
      </c>
      <c r="J589" s="8" t="n">
        <v>47</v>
      </c>
      <c r="K589" s="8" t="n">
        <v>4</v>
      </c>
      <c r="L589" s="4" t="s">
        <v>5700</v>
      </c>
      <c r="M589" s="8" t="n">
        <v>37</v>
      </c>
      <c r="N589" s="8" t="n">
        <f aca="false">IF(A589="","",G589-J589)</f>
        <v>11</v>
      </c>
      <c r="O589" s="8" t="n">
        <f aca="false">IF(A589="","",J589-M589)</f>
        <v>10</v>
      </c>
      <c r="P589" s="8" t="n">
        <f aca="false">IF(A589="","",G589+J589)</f>
        <v>105</v>
      </c>
      <c r="Q589" s="8" t="str">
        <f aca="false">IF(A589="","",IF(AND(Y589&lt;&gt;"参考",G589&gt;=ルール設定!$B$2),"○",""))</f>
        <v/>
      </c>
      <c r="R589" s="8" t="str">
        <f aca="false">IF(A589="","",IF(AND(Y589&lt;&gt;"参考",G589&gt;=ルール設定!$B$3,N589&gt;=ルール設定!$B$4),"○",""))</f>
        <v/>
      </c>
      <c r="S589" s="8" t="str">
        <f aca="false">IF(A589="","",IF(AND(Y589&lt;&gt;"参考",G589&gt;=ルール設定!$B$5,J589&gt;=ルール設定!$B$6,O589&gt;=ルール設定!$B$7),"○",""))</f>
        <v/>
      </c>
      <c r="T589" s="8" t="n">
        <v>1</v>
      </c>
      <c r="U589" s="8" t="n">
        <v>4</v>
      </c>
      <c r="V589" s="8" t="str">
        <f aca="false">IF(A589="","",IF(AND(ISNUMBER(T589),ISNUMBER(U589)),IF(AND(T589&lt;=3,U589&lt;=3),"○","×"),""))</f>
        <v>×</v>
      </c>
      <c r="W589" s="8" t="n">
        <v>110</v>
      </c>
      <c r="X589" s="8"/>
      <c r="Y589" s="4" t="s">
        <v>7597</v>
      </c>
      <c r="Z589" s="4" t="s">
        <v>7841</v>
      </c>
      <c r="AA589" s="8" t="str">
        <v/>
      </c>
      <c r="AB589" s="8" t="str">
        <v/>
      </c>
      <c r="AC589" s="8" t="str">
        <v/>
      </c>
      <c r="AD589" s="8" t="str">
        <v/>
      </c>
      <c r="AE589" s="8" t="str">
        <v/>
      </c>
      <c r="AF589" s="8" t="str">
        <v/>
      </c>
      <c r="AG589" s="8" t="str">
        <v/>
      </c>
      <c r="AH589" s="8" t="str">
        <v/>
      </c>
      <c r="AI589" s="8" t="n">
        <v>21</v>
      </c>
      <c r="AJ589" s="8" t="str">
        <v>～59</v>
      </c>
      <c r="AK589" s="8" t="str">
        <v>10～19</v>
      </c>
      <c r="AL589" s="8" t="str">
        <v>20～29</v>
      </c>
      <c r="AM589" s="8" t="str">
        <v>100～119</v>
      </c>
      <c r="AN589" s="8" t="str">
        <v>12～14</v>
      </c>
      <c r="AO589" s="8" t="str">
        <f aca="false">IF(A589="","",IF(COUNTIFS(全馬データ!$A$2:$A$50000,A589,全馬データ!$B$2:$B$50000,B589,全馬データ!$C$2:$C$50000,C589,全馬データ!$D$2:$D$50000,E589,全馬データ!$K$2:$K$50000,"&lt;&gt;")=0,"",SUMIFS(全馬データ!$K$2:$K$50000,全馬データ!$A$2:$A$50000,A589,全馬データ!$B$2:$B$50000,B589,全馬データ!$C$2:$C$50000,C589,全馬データ!$D$2:$D$50000,E589)))</f>
        <v/>
      </c>
      <c r="AP589" s="8" t="str">
        <f aca="false">IF(A589="","",IF(AO589="","欠損",IF(AO589&lt;=1.1,"1.0～1.1",IF(AO589&lt;1.3,"1.2",IF(AO589&lt;1.5,"1.3～1.4",IF(AO589&lt;2,"1.5～1.9","2.0以上"))))))</f>
        <v>欠損</v>
      </c>
      <c r="AQ589" s="8" t="str">
        <f aca="false">IF(A589="","",IF(ISNUMBER(SEARCH("2歳",Z589)),"2歳戦",IF(ISNUMBER(SEARCH("3歳未勝利",Z589)),"3歳未勝利",IF(ISNUMBER(SEARCH("未勝利",Z589)),"その他未勝利",IF(ISNUMBER(SEARCH("G1",Z589)),"G1",IF(ISNUMBER(SEARCH("G2",Z589)),"G2",IF(ISNUMBER(SEARCH("G3",Z589)),"G3",IF(ISNUMBER(SEARCH("古馬条件",Z589)),"古馬条件戦",IF(ISNUMBER(SEARCH("重賞",Z589)),"重賞","分類不能")))))))))</f>
        <v>分類不能</v>
      </c>
      <c r="AR589" s="8"/>
      <c r="AS589" s="8" t="s">
        <v>7842</v>
      </c>
      <c r="AT589" s="8" t="s">
        <v>7843</v>
      </c>
      <c r="AU589" s="8" t="s">
        <v>7634</v>
      </c>
      <c r="AV589" s="8" t="s">
        <v>7635</v>
      </c>
      <c r="AW589" s="8"/>
      <c r="AX589" s="8"/>
      <c r="AY589" s="8" t="s">
        <v>7610</v>
      </c>
      <c r="AZ589" s="4" t="s">
        <v>7617</v>
      </c>
      <c r="BA589" s="8" t="n">
        <v>1800</v>
      </c>
      <c r="BB589" s="8" t="s">
        <v>7634</v>
      </c>
      <c r="BC589" s="4" t="s">
        <v>7604</v>
      </c>
      <c r="BD589" s="8" t="s">
        <v>7625</v>
      </c>
      <c r="BE589" s="4" t="s">
        <v>7606</v>
      </c>
      <c r="BF589" s="8" t="s">
        <v>7607</v>
      </c>
      <c r="BG589" s="8" t="s">
        <v>7631</v>
      </c>
      <c r="BH589" s="4" t="s">
        <v>7632</v>
      </c>
      <c r="BI589" s="8" t="n">
        <v>12</v>
      </c>
      <c r="BJ589" s="8" t="s">
        <v>7602</v>
      </c>
      <c r="BK589" s="4" t="s">
        <v>7653</v>
      </c>
      <c r="BL589" s="8" t="s">
        <v>7602</v>
      </c>
      <c r="BM589" s="4" t="s">
        <v>7620</v>
      </c>
      <c r="BN589" s="8"/>
      <c r="BO589" s="8"/>
      <c r="BP589" s="8" t="s">
        <v>7610</v>
      </c>
      <c r="BQ589" s="8" t="str">
        <f aca="false">IF(A589="","",AT589)</f>
        <v>4歳以上</v>
      </c>
      <c r="BR589" s="8" t="str">
        <f aca="false">IF(A589="","",IF(BA589&lt;=1200,"～1200",IF(BA589&lt;=1500,"1300～1500",IF(BA589=1600,"1600",IF(BA589&lt;=1800,"1700～1800",IF(BA589&lt;=2000,"1900～2000","2100以上"))))))</f>
        <v>1700～1800</v>
      </c>
      <c r="BS589" s="8" t="str">
        <f aca="false">IF(A589="","",IF(AX589="G1","G1",IF(AX589="G2","G2",IF(AX589="G3","G3",IF(AX589="L","L","その他")))))</f>
        <v>その他</v>
      </c>
      <c r="BT589" s="8" t="str">
        <f aca="false">IF(A589="","",IF(BI589="","未結合",IF(D589=BI589,"一致","不一致")))</f>
        <v>一致</v>
      </c>
      <c r="BU589" s="8" t="str">
        <f aca="false">IF(A589="","",IF(BE589="牝馬限定","牝馬限定","その他"))</f>
        <v>その他</v>
      </c>
    </row>
    <row r="590" customFormat="false" ht="15.75" hidden="false" customHeight="false" outlineLevel="0" collapsed="false">
      <c r="A590" s="6" t="n">
        <v>46166</v>
      </c>
      <c r="B590" s="4" t="s">
        <v>5435</v>
      </c>
      <c r="C590" s="8" t="n">
        <v>9</v>
      </c>
      <c r="D590" s="8" t="n">
        <v>11</v>
      </c>
      <c r="E590" s="8" t="n">
        <v>6</v>
      </c>
      <c r="F590" s="4" t="s">
        <v>4035</v>
      </c>
      <c r="G590" s="8" t="n">
        <v>66</v>
      </c>
      <c r="H590" s="8" t="n">
        <v>8</v>
      </c>
      <c r="I590" s="4" t="s">
        <v>3856</v>
      </c>
      <c r="J590" s="8" t="n">
        <v>60</v>
      </c>
      <c r="K590" s="8" t="n">
        <v>5</v>
      </c>
      <c r="L590" s="4" t="s">
        <v>5704</v>
      </c>
      <c r="M590" s="8" t="n">
        <v>47</v>
      </c>
      <c r="N590" s="8" t="n">
        <f aca="false">IF(A590="","",G590-J590)</f>
        <v>6</v>
      </c>
      <c r="O590" s="8" t="n">
        <f aca="false">IF(A590="","",J590-M590)</f>
        <v>13</v>
      </c>
      <c r="P590" s="8" t="n">
        <f aca="false">IF(A590="","",G590+J590)</f>
        <v>126</v>
      </c>
      <c r="Q590" s="8" t="str">
        <f aca="false">IF(A590="","",IF(AND(Y590&lt;&gt;"参考",G590&gt;=ルール設定!$B$2),"○",""))</f>
        <v/>
      </c>
      <c r="R590" s="8" t="str">
        <f aca="false">IF(A590="","",IF(AND(Y590&lt;&gt;"参考",G590&gt;=ルール設定!$B$3,N590&gt;=ルール設定!$B$4),"○",""))</f>
        <v/>
      </c>
      <c r="S590" s="8" t="str">
        <f aca="false">IF(A590="","",IF(AND(Y590&lt;&gt;"参考",G590&gt;=ルール設定!$B$5,J590&gt;=ルール設定!$B$6,O590&gt;=ルール設定!$B$7),"○",""))</f>
        <v/>
      </c>
      <c r="T590" s="8" t="n">
        <v>4</v>
      </c>
      <c r="U590" s="8" t="n">
        <v>3</v>
      </c>
      <c r="V590" s="8" t="str">
        <f aca="false">IF(A590="","",IF(AND(ISNUMBER(T590),ISNUMBER(U590)),IF(AND(T590&lt;=3,U590&lt;=3),"○","×"),""))</f>
        <v>×</v>
      </c>
      <c r="W590" s="8"/>
      <c r="X590" s="8"/>
      <c r="Y590" s="4" t="s">
        <v>7597</v>
      </c>
      <c r="Z590" s="4" t="s">
        <v>7841</v>
      </c>
      <c r="AA590" s="8" t="str">
        <v/>
      </c>
      <c r="AB590" s="8" t="str">
        <v/>
      </c>
      <c r="AC590" s="8" t="str">
        <v/>
      </c>
      <c r="AD590" s="8" t="str">
        <v/>
      </c>
      <c r="AE590" s="8" t="str">
        <v/>
      </c>
      <c r="AF590" s="8" t="str">
        <v/>
      </c>
      <c r="AG590" s="8" t="str">
        <v/>
      </c>
      <c r="AH590" s="8" t="str">
        <v/>
      </c>
      <c r="AI590" s="8" t="n">
        <v>19</v>
      </c>
      <c r="AJ590" s="8" t="str">
        <v>60～69</v>
      </c>
      <c r="AK590" s="8" t="str">
        <v>5～9</v>
      </c>
      <c r="AL590" s="8" t="str">
        <v>10～19</v>
      </c>
      <c r="AM590" s="8" t="str">
        <v>120～139</v>
      </c>
      <c r="AN590" s="8" t="str">
        <v>8～11</v>
      </c>
      <c r="AO590" s="8" t="str">
        <f aca="false">IF(A590="","",IF(COUNTIFS(全馬データ!$A$2:$A$50000,A590,全馬データ!$B$2:$B$50000,B590,全馬データ!$C$2:$C$50000,C590,全馬データ!$D$2:$D$50000,E590,全馬データ!$K$2:$K$50000,"&lt;&gt;")=0,"",SUMIFS(全馬データ!$K$2:$K$50000,全馬データ!$A$2:$A$50000,A590,全馬データ!$B$2:$B$50000,B590,全馬データ!$C$2:$C$50000,C590,全馬データ!$D$2:$D$50000,E590)))</f>
        <v/>
      </c>
      <c r="AP590" s="8" t="str">
        <f aca="false">IF(A590="","",IF(AO590="","欠損",IF(AO590&lt;=1.1,"1.0～1.1",IF(AO590&lt;1.3,"1.2",IF(AO590&lt;1.5,"1.3～1.4",IF(AO590&lt;2,"1.5～1.9","2.0以上"))))))</f>
        <v>欠損</v>
      </c>
      <c r="AQ590" s="8" t="str">
        <f aca="false">IF(A590="","",IF(ISNUMBER(SEARCH("2歳",Z590)),"2歳戦",IF(ISNUMBER(SEARCH("3歳未勝利",Z590)),"3歳未勝利",IF(ISNUMBER(SEARCH("未勝利",Z590)),"その他未勝利",IF(ISNUMBER(SEARCH("G1",Z590)),"G1",IF(ISNUMBER(SEARCH("G2",Z590)),"G2",IF(ISNUMBER(SEARCH("G3",Z590)),"G3",IF(ISNUMBER(SEARCH("古馬条件",Z590)),"古馬条件戦",IF(ISNUMBER(SEARCH("重賞",Z590)),"重賞","分類不能")))))))))</f>
        <v>分類不能</v>
      </c>
      <c r="AR590" s="4" t="s">
        <v>7862</v>
      </c>
      <c r="AS590" s="8" t="s">
        <v>7842</v>
      </c>
      <c r="AT590" s="8" t="s">
        <v>7843</v>
      </c>
      <c r="AU590" s="8" t="s">
        <v>7634</v>
      </c>
      <c r="AV590" s="8" t="s">
        <v>7635</v>
      </c>
      <c r="AW590" s="8" t="s">
        <v>7636</v>
      </c>
      <c r="AX590" s="4" t="s">
        <v>7637</v>
      </c>
      <c r="AY590" s="8" t="s">
        <v>7602</v>
      </c>
      <c r="AZ590" s="4" t="s">
        <v>7603</v>
      </c>
      <c r="BA590" s="8" t="n">
        <v>1800</v>
      </c>
      <c r="BB590" s="8" t="s">
        <v>7598</v>
      </c>
      <c r="BC590" s="4" t="s">
        <v>7604</v>
      </c>
      <c r="BD590" s="8" t="s">
        <v>7630</v>
      </c>
      <c r="BE590" s="4" t="s">
        <v>7606</v>
      </c>
      <c r="BF590" s="8" t="s">
        <v>7607</v>
      </c>
      <c r="BG590" s="8" t="s">
        <v>7631</v>
      </c>
      <c r="BH590" s="4" t="s">
        <v>7632</v>
      </c>
      <c r="BI590" s="8" t="n">
        <v>11</v>
      </c>
      <c r="BJ590" s="8" t="s">
        <v>7602</v>
      </c>
      <c r="BK590" s="4" t="s">
        <v>7653</v>
      </c>
      <c r="BL590" s="8" t="s">
        <v>7610</v>
      </c>
      <c r="BM590" s="4" t="s">
        <v>7612</v>
      </c>
      <c r="BN590" s="8" t="s">
        <v>7676</v>
      </c>
      <c r="BO590" s="8" t="s">
        <v>7778</v>
      </c>
      <c r="BP590" s="8" t="s">
        <v>7610</v>
      </c>
      <c r="BQ590" s="8" t="str">
        <f aca="false">IF(A590="","",AT590)</f>
        <v>4歳以上</v>
      </c>
      <c r="BR590" s="8" t="str">
        <f aca="false">IF(A590="","",IF(BA590&lt;=1200,"～1200",IF(BA590&lt;=1500,"1300～1500",IF(BA590=1600,"1600",IF(BA590&lt;=1800,"1700～1800",IF(BA590&lt;=2000,"1900～2000","2100以上"))))))</f>
        <v>1700～1800</v>
      </c>
      <c r="BS590" s="8" t="str">
        <f aca="false">IF(A590="","",IF(AX590="G1","G1",IF(AX590="G2","G2",IF(AX590="G3","G3",IF(AX590="L","L","その他")))))</f>
        <v>その他</v>
      </c>
      <c r="BT590" s="8" t="str">
        <f aca="false">IF(A590="","",IF(BI590="","未結合",IF(D590=BI590,"一致","不一致")))</f>
        <v>一致</v>
      </c>
      <c r="BU590" s="8" t="str">
        <f aca="false">IF(A590="","",IF(BE590="牝馬限定","牝馬限定","その他"))</f>
        <v>その他</v>
      </c>
    </row>
    <row r="591" customFormat="false" ht="15.75" hidden="false" customHeight="false" outlineLevel="0" collapsed="false">
      <c r="A591" s="6" t="n">
        <v>46166</v>
      </c>
      <c r="B591" s="4" t="s">
        <v>5435</v>
      </c>
      <c r="C591" s="8" t="n">
        <v>10</v>
      </c>
      <c r="D591" s="8" t="n">
        <v>14</v>
      </c>
      <c r="E591" s="8" t="n">
        <v>12</v>
      </c>
      <c r="F591" s="4" t="s">
        <v>4857</v>
      </c>
      <c r="G591" s="8" t="n">
        <v>60</v>
      </c>
      <c r="H591" s="8" t="n">
        <v>11</v>
      </c>
      <c r="I591" s="4" t="s">
        <v>5712</v>
      </c>
      <c r="J591" s="8" t="n">
        <v>58</v>
      </c>
      <c r="K591" s="8" t="n">
        <v>14</v>
      </c>
      <c r="L591" s="4" t="s">
        <v>2794</v>
      </c>
      <c r="M591" s="8" t="n">
        <v>47</v>
      </c>
      <c r="N591" s="8" t="n">
        <f aca="false">IF(A591="","",G591-J591)</f>
        <v>2</v>
      </c>
      <c r="O591" s="8" t="n">
        <f aca="false">IF(A591="","",J591-M591)</f>
        <v>11</v>
      </c>
      <c r="P591" s="8" t="n">
        <f aca="false">IF(A591="","",G591+J591)</f>
        <v>118</v>
      </c>
      <c r="Q591" s="8" t="str">
        <f aca="false">IF(A591="","",IF(AND(Y591&lt;&gt;"参考",G591&gt;=ルール設定!$B$2),"○",""))</f>
        <v/>
      </c>
      <c r="R591" s="8" t="str">
        <f aca="false">IF(A591="","",IF(AND(Y591&lt;&gt;"参考",G591&gt;=ルール設定!$B$3,N591&gt;=ルール設定!$B$4),"○",""))</f>
        <v/>
      </c>
      <c r="S591" s="8" t="str">
        <f aca="false">IF(A591="","",IF(AND(Y591&lt;&gt;"参考",G591&gt;=ルール設定!$B$5,J591&gt;=ルール設定!$B$6,O591&gt;=ルール設定!$B$7),"○",""))</f>
        <v/>
      </c>
      <c r="T591" s="8" t="n">
        <v>1</v>
      </c>
      <c r="U591" s="8" t="n">
        <v>4</v>
      </c>
      <c r="V591" s="8" t="str">
        <f aca="false">IF(A591="","",IF(AND(ISNUMBER(T591),ISNUMBER(U591)),IF(AND(T591&lt;=3,U591&lt;=3),"○","×"),""))</f>
        <v>×</v>
      </c>
      <c r="W591" s="8" t="n">
        <v>130</v>
      </c>
      <c r="X591" s="8"/>
      <c r="Y591" s="4" t="s">
        <v>7597</v>
      </c>
      <c r="Z591" s="4" t="s">
        <v>7841</v>
      </c>
      <c r="AA591" s="8" t="str">
        <v/>
      </c>
      <c r="AB591" s="8" t="str">
        <v/>
      </c>
      <c r="AC591" s="8" t="str">
        <v/>
      </c>
      <c r="AD591" s="8" t="str">
        <v/>
      </c>
      <c r="AE591" s="8" t="str">
        <v/>
      </c>
      <c r="AF591" s="8" t="str">
        <v/>
      </c>
      <c r="AG591" s="8" t="str">
        <v/>
      </c>
      <c r="AH591" s="8" t="str">
        <v/>
      </c>
      <c r="AI591" s="8" t="n">
        <v>13</v>
      </c>
      <c r="AJ591" s="8" t="str">
        <v>60～69</v>
      </c>
      <c r="AK591" s="8" t="str">
        <v>0～4</v>
      </c>
      <c r="AL591" s="8" t="str">
        <v>10～19</v>
      </c>
      <c r="AM591" s="8" t="str">
        <v>100～119</v>
      </c>
      <c r="AN591" s="8" t="str">
        <v>12～14</v>
      </c>
      <c r="AO591" s="8" t="str">
        <f aca="false">IF(A591="","",IF(COUNTIFS(全馬データ!$A$2:$A$50000,A591,全馬データ!$B$2:$B$50000,B591,全馬データ!$C$2:$C$50000,C591,全馬データ!$D$2:$D$50000,E591,全馬データ!$K$2:$K$50000,"&lt;&gt;")=0,"",SUMIFS(全馬データ!$K$2:$K$50000,全馬データ!$A$2:$A$50000,A591,全馬データ!$B$2:$B$50000,B591,全馬データ!$C$2:$C$50000,C591,全馬データ!$D$2:$D$50000,E591)))</f>
        <v/>
      </c>
      <c r="AP591" s="8" t="str">
        <f aca="false">IF(A591="","",IF(AO591="","欠損",IF(AO591&lt;=1.1,"1.0～1.1",IF(AO591&lt;1.3,"1.2",IF(AO591&lt;1.5,"1.3～1.4",IF(AO591&lt;2,"1.5～1.9","2.0以上"))))))</f>
        <v>欠損</v>
      </c>
      <c r="AQ591" s="8" t="str">
        <f aca="false">IF(A591="","",IF(ISNUMBER(SEARCH("2歳",Z591)),"2歳戦",IF(ISNUMBER(SEARCH("3歳未勝利",Z591)),"3歳未勝利",IF(ISNUMBER(SEARCH("未勝利",Z591)),"その他未勝利",IF(ISNUMBER(SEARCH("G1",Z591)),"G1",IF(ISNUMBER(SEARCH("G2",Z591)),"G2",IF(ISNUMBER(SEARCH("G3",Z591)),"G3",IF(ISNUMBER(SEARCH("古馬条件",Z591)),"古馬条件戦",IF(ISNUMBER(SEARCH("重賞",Z591)),"重賞","分類不能")))))))))</f>
        <v>分類不能</v>
      </c>
      <c r="AR591" s="4" t="s">
        <v>7863</v>
      </c>
      <c r="AS591" s="8" t="s">
        <v>7842</v>
      </c>
      <c r="AT591" s="8" t="s">
        <v>7843</v>
      </c>
      <c r="AU591" s="8" t="s">
        <v>7639</v>
      </c>
      <c r="AV591" s="8" t="s">
        <v>7640</v>
      </c>
      <c r="AW591" s="8" t="s">
        <v>7636</v>
      </c>
      <c r="AX591" s="4" t="s">
        <v>7637</v>
      </c>
      <c r="AY591" s="8" t="s">
        <v>7610</v>
      </c>
      <c r="AZ591" s="4" t="s">
        <v>7617</v>
      </c>
      <c r="BA591" s="8" t="n">
        <v>1200</v>
      </c>
      <c r="BB591" s="8" t="s">
        <v>7634</v>
      </c>
      <c r="BC591" s="4" t="s">
        <v>7604</v>
      </c>
      <c r="BD591" s="8" t="s">
        <v>7630</v>
      </c>
      <c r="BE591" s="4" t="s">
        <v>7606</v>
      </c>
      <c r="BF591" s="8" t="s">
        <v>7607</v>
      </c>
      <c r="BG591" s="8" t="s">
        <v>7631</v>
      </c>
      <c r="BH591" s="4" t="s">
        <v>7632</v>
      </c>
      <c r="BI591" s="8" t="n">
        <v>14</v>
      </c>
      <c r="BJ591" s="8" t="s">
        <v>7602</v>
      </c>
      <c r="BK591" s="4" t="s">
        <v>7653</v>
      </c>
      <c r="BL591" s="8" t="s">
        <v>7602</v>
      </c>
      <c r="BM591" s="4" t="s">
        <v>7620</v>
      </c>
      <c r="BN591" s="8"/>
      <c r="BO591" s="8"/>
      <c r="BP591" s="8" t="s">
        <v>7610</v>
      </c>
      <c r="BQ591" s="8" t="str">
        <f aca="false">IF(A591="","",AT591)</f>
        <v>4歳以上</v>
      </c>
      <c r="BR591" s="8" t="str">
        <f aca="false">IF(A591="","",IF(BA591&lt;=1200,"～1200",IF(BA591&lt;=1500,"1300～1500",IF(BA591=1600,"1600",IF(BA591&lt;=1800,"1700～1800",IF(BA591&lt;=2000,"1900～2000","2100以上"))))))</f>
        <v>～1200</v>
      </c>
      <c r="BS591" s="8" t="str">
        <f aca="false">IF(A591="","",IF(AX591="G1","G1",IF(AX591="G2","G2",IF(AX591="G3","G3",IF(AX591="L","L","その他")))))</f>
        <v>その他</v>
      </c>
      <c r="BT591" s="8" t="str">
        <f aca="false">IF(A591="","",IF(BI591="","未結合",IF(D591=BI591,"一致","不一致")))</f>
        <v>一致</v>
      </c>
      <c r="BU591" s="8" t="str">
        <f aca="false">IF(A591="","",IF(BE591="牝馬限定","牝馬限定","その他"))</f>
        <v>その他</v>
      </c>
    </row>
    <row r="592" customFormat="false" ht="15.75" hidden="false" customHeight="false" outlineLevel="0" collapsed="false">
      <c r="A592" s="6" t="n">
        <v>46166</v>
      </c>
      <c r="B592" s="4" t="s">
        <v>5435</v>
      </c>
      <c r="C592" s="8" t="n">
        <v>11</v>
      </c>
      <c r="D592" s="8" t="n">
        <v>13</v>
      </c>
      <c r="E592" s="8" t="n">
        <v>12</v>
      </c>
      <c r="F592" s="4" t="s">
        <v>1699</v>
      </c>
      <c r="G592" s="8" t="n">
        <v>56</v>
      </c>
      <c r="H592" s="8" t="n">
        <v>2</v>
      </c>
      <c r="I592" s="4" t="s">
        <v>1696</v>
      </c>
      <c r="J592" s="8" t="n">
        <v>52</v>
      </c>
      <c r="K592" s="8" t="n">
        <v>10</v>
      </c>
      <c r="L592" s="4" t="s">
        <v>5717</v>
      </c>
      <c r="M592" s="8" t="n">
        <v>47</v>
      </c>
      <c r="N592" s="8" t="n">
        <f aca="false">IF(A592="","",G592-J592)</f>
        <v>4</v>
      </c>
      <c r="O592" s="8" t="n">
        <f aca="false">IF(A592="","",J592-M592)</f>
        <v>5</v>
      </c>
      <c r="P592" s="8" t="n">
        <f aca="false">IF(A592="","",G592+J592)</f>
        <v>108</v>
      </c>
      <c r="Q592" s="8" t="str">
        <f aca="false">IF(A592="","",IF(AND(Y592&lt;&gt;"参考",G592&gt;=ルール設定!$B$2),"○",""))</f>
        <v/>
      </c>
      <c r="R592" s="8" t="str">
        <f aca="false">IF(A592="","",IF(AND(Y592&lt;&gt;"参考",G592&gt;=ルール設定!$B$3,N592&gt;=ルール設定!$B$4),"○",""))</f>
        <v/>
      </c>
      <c r="S592" s="8" t="str">
        <f aca="false">IF(A592="","",IF(AND(Y592&lt;&gt;"参考",G592&gt;=ルール設定!$B$5,J592&gt;=ルール設定!$B$6,O592&gt;=ルール設定!$B$7),"○",""))</f>
        <v/>
      </c>
      <c r="T592" s="8" t="n">
        <v>3</v>
      </c>
      <c r="U592" s="8" t="n">
        <v>1</v>
      </c>
      <c r="V592" s="8" t="str">
        <f aca="false">IF(A592="","",IF(AND(ISNUMBER(T592),ISNUMBER(U592)),IF(AND(T592&lt;=3,U592&lt;=3),"○","×"),""))</f>
        <v>○</v>
      </c>
      <c r="W592" s="8" t="n">
        <v>130</v>
      </c>
      <c r="X592" s="8" t="n">
        <v>330</v>
      </c>
      <c r="Y592" s="4" t="s">
        <v>7597</v>
      </c>
      <c r="Z592" s="4" t="s">
        <v>7841</v>
      </c>
      <c r="AA592" s="8" t="str">
        <v/>
      </c>
      <c r="AB592" s="8" t="str">
        <v/>
      </c>
      <c r="AC592" s="8" t="str">
        <v/>
      </c>
      <c r="AD592" s="8" t="str">
        <v/>
      </c>
      <c r="AE592" s="8" t="str">
        <v/>
      </c>
      <c r="AF592" s="8" t="str">
        <v/>
      </c>
      <c r="AG592" s="8" t="str">
        <v/>
      </c>
      <c r="AH592" s="8" t="str">
        <v/>
      </c>
      <c r="AI592" s="8" t="n">
        <v>9</v>
      </c>
      <c r="AJ592" s="8" t="str">
        <v>～59</v>
      </c>
      <c r="AK592" s="8" t="str">
        <v>0～4</v>
      </c>
      <c r="AL592" s="8" t="str">
        <v>0～9</v>
      </c>
      <c r="AM592" s="8" t="str">
        <v>100～119</v>
      </c>
      <c r="AN592" s="8" t="str">
        <v>12～14</v>
      </c>
      <c r="AO592" s="8" t="str">
        <f aca="false">IF(A592="","",IF(COUNTIFS(全馬データ!$A$2:$A$50000,A592,全馬データ!$B$2:$B$50000,B592,全馬データ!$C$2:$C$50000,C592,全馬データ!$D$2:$D$50000,E592,全馬データ!$K$2:$K$50000,"&lt;&gt;")=0,"",SUMIFS(全馬データ!$K$2:$K$50000,全馬データ!$A$2:$A$50000,A592,全馬データ!$B$2:$B$50000,B592,全馬データ!$C$2:$C$50000,C592,全馬データ!$D$2:$D$50000,E592)))</f>
        <v/>
      </c>
      <c r="AP592" s="8" t="str">
        <f aca="false">IF(A592="","",IF(AO592="","欠損",IF(AO592&lt;=1.1,"1.0～1.1",IF(AO592&lt;1.3,"1.2",IF(AO592&lt;1.5,"1.3～1.4",IF(AO592&lt;2,"1.5～1.9","2.0以上"))))))</f>
        <v>欠損</v>
      </c>
      <c r="AQ592" s="8" t="str">
        <f aca="false">IF(A592="","",IF(ISNUMBER(SEARCH("2歳",Z592)),"2歳戦",IF(ISNUMBER(SEARCH("3歳未勝利",Z592)),"3歳未勝利",IF(ISNUMBER(SEARCH("未勝利",Z592)),"その他未勝利",IF(ISNUMBER(SEARCH("G1",Z592)),"G1",IF(ISNUMBER(SEARCH("G2",Z592)),"G2",IF(ISNUMBER(SEARCH("G3",Z592)),"G3",IF(ISNUMBER(SEARCH("古馬条件",Z592)),"古馬条件戦",IF(ISNUMBER(SEARCH("重賞",Z592)),"重賞","分類不能")))))))))</f>
        <v>分類不能</v>
      </c>
      <c r="AR592" s="4" t="s">
        <v>7864</v>
      </c>
      <c r="AS592" s="8" t="s">
        <v>7842</v>
      </c>
      <c r="AT592" s="8" t="s">
        <v>7843</v>
      </c>
      <c r="AU592" s="8" t="s">
        <v>7643</v>
      </c>
      <c r="AV592" s="4" t="s">
        <v>7644</v>
      </c>
      <c r="AW592" s="8" t="s">
        <v>7676</v>
      </c>
      <c r="AX592" s="8" t="s">
        <v>7677</v>
      </c>
      <c r="AY592" s="8" t="s">
        <v>7602</v>
      </c>
      <c r="AZ592" s="4" t="s">
        <v>7603</v>
      </c>
      <c r="BA592" s="8" t="n">
        <v>1800</v>
      </c>
      <c r="BB592" s="8" t="s">
        <v>7598</v>
      </c>
      <c r="BC592" s="4" t="s">
        <v>7604</v>
      </c>
      <c r="BD592" s="8" t="s">
        <v>7666</v>
      </c>
      <c r="BE592" s="4" t="s">
        <v>7606</v>
      </c>
      <c r="BF592" s="8" t="s">
        <v>7607</v>
      </c>
      <c r="BG592" s="8" t="s">
        <v>7602</v>
      </c>
      <c r="BH592" s="4" t="s">
        <v>7667</v>
      </c>
      <c r="BI592" s="8" t="n">
        <v>13</v>
      </c>
      <c r="BJ592" s="8" t="s">
        <v>7602</v>
      </c>
      <c r="BK592" s="4" t="s">
        <v>7653</v>
      </c>
      <c r="BL592" s="8" t="s">
        <v>7610</v>
      </c>
      <c r="BM592" s="4" t="s">
        <v>7612</v>
      </c>
      <c r="BN592" s="8" t="s">
        <v>7676</v>
      </c>
      <c r="BO592" s="8" t="s">
        <v>7778</v>
      </c>
      <c r="BP592" s="8" t="s">
        <v>7610</v>
      </c>
      <c r="BQ592" s="8" t="str">
        <f aca="false">IF(A592="","",AT592)</f>
        <v>4歳以上</v>
      </c>
      <c r="BR592" s="8" t="str">
        <f aca="false">IF(A592="","",IF(BA592&lt;=1200,"～1200",IF(BA592&lt;=1500,"1300～1500",IF(BA592=1600,"1600",IF(BA592&lt;=1800,"1700～1800",IF(BA592&lt;=2000,"1900～2000","2100以上"))))))</f>
        <v>1700～1800</v>
      </c>
      <c r="BS592" s="8" t="str">
        <f aca="false">IF(A592="","",IF(AX592="G1","G1",IF(AX592="G2","G2",IF(AX592="G3","G3",IF(AX592="L","L","その他")))))</f>
        <v>L</v>
      </c>
      <c r="BT592" s="8" t="str">
        <f aca="false">IF(A592="","",IF(BI592="","未結合",IF(D592=BI592,"一致","不一致")))</f>
        <v>一致</v>
      </c>
      <c r="BU592" s="8" t="str">
        <f aca="false">IF(A592="","",IF(BE592="牝馬限定","牝馬限定","その他"))</f>
        <v>その他</v>
      </c>
    </row>
    <row r="593" customFormat="false" ht="15.75" hidden="false" customHeight="false" outlineLevel="0" collapsed="false">
      <c r="A593" s="6" t="n">
        <v>46166</v>
      </c>
      <c r="B593" s="4" t="s">
        <v>5435</v>
      </c>
      <c r="C593" s="8" t="n">
        <v>12</v>
      </c>
      <c r="D593" s="8" t="n">
        <v>16</v>
      </c>
      <c r="E593" s="8" t="n">
        <v>13</v>
      </c>
      <c r="F593" s="4" t="s">
        <v>5726</v>
      </c>
      <c r="G593" s="8" t="n">
        <v>62</v>
      </c>
      <c r="H593" s="8" t="n">
        <v>8</v>
      </c>
      <c r="I593" s="4" t="s">
        <v>5723</v>
      </c>
      <c r="J593" s="8" t="n">
        <v>50</v>
      </c>
      <c r="K593" s="8" t="n">
        <v>10</v>
      </c>
      <c r="L593" s="4" t="s">
        <v>5724</v>
      </c>
      <c r="M593" s="8" t="n">
        <v>37</v>
      </c>
      <c r="N593" s="8" t="n">
        <f aca="false">IF(A593="","",G593-J593)</f>
        <v>12</v>
      </c>
      <c r="O593" s="8" t="n">
        <f aca="false">IF(A593="","",J593-M593)</f>
        <v>13</v>
      </c>
      <c r="P593" s="8" t="n">
        <f aca="false">IF(A593="","",G593+J593)</f>
        <v>112</v>
      </c>
      <c r="Q593" s="8" t="str">
        <f aca="false">IF(A593="","",IF(AND(Y593&lt;&gt;"参考",G593&gt;=ルール設定!$B$2),"○",""))</f>
        <v/>
      </c>
      <c r="R593" s="8" t="str">
        <f aca="false">IF(A593="","",IF(AND(Y593&lt;&gt;"参考",G593&gt;=ルール設定!$B$3,N593&gt;=ルール設定!$B$4),"○",""))</f>
        <v/>
      </c>
      <c r="S593" s="8" t="str">
        <f aca="false">IF(A593="","",IF(AND(Y593&lt;&gt;"参考",G593&gt;=ルール設定!$B$5,J593&gt;=ルール設定!$B$6,O593&gt;=ルール設定!$B$7),"○",""))</f>
        <v/>
      </c>
      <c r="T593" s="8" t="n">
        <v>4</v>
      </c>
      <c r="U593" s="8" t="n">
        <v>4</v>
      </c>
      <c r="V593" s="8" t="str">
        <f aca="false">IF(A593="","",IF(AND(ISNUMBER(T593),ISNUMBER(U593)),IF(AND(T593&lt;=3,U593&lt;=3),"○","×"),""))</f>
        <v>×</v>
      </c>
      <c r="W593" s="8"/>
      <c r="X593" s="8"/>
      <c r="Y593" s="4" t="s">
        <v>7597</v>
      </c>
      <c r="Z593" s="4" t="s">
        <v>7841</v>
      </c>
      <c r="AA593" s="8" t="str">
        <v/>
      </c>
      <c r="AB593" s="8" t="str">
        <v/>
      </c>
      <c r="AC593" s="8" t="str">
        <v/>
      </c>
      <c r="AD593" s="8" t="str">
        <v/>
      </c>
      <c r="AE593" s="8" t="str">
        <v/>
      </c>
      <c r="AF593" s="8" t="str">
        <v/>
      </c>
      <c r="AG593" s="8" t="str">
        <v/>
      </c>
      <c r="AH593" s="8" t="str">
        <v/>
      </c>
      <c r="AI593" s="8" t="n">
        <v>25</v>
      </c>
      <c r="AJ593" s="8" t="str">
        <v>60～69</v>
      </c>
      <c r="AK593" s="8" t="str">
        <v>10～19</v>
      </c>
      <c r="AL593" s="8" t="str">
        <v>20～29</v>
      </c>
      <c r="AM593" s="8" t="str">
        <v>100～119</v>
      </c>
      <c r="AN593" s="8" t="str">
        <v>15以上</v>
      </c>
      <c r="AO593" s="8" t="str">
        <f aca="false">IF(A593="","",IF(COUNTIFS(全馬データ!$A$2:$A$50000,A593,全馬データ!$B$2:$B$50000,B593,全馬データ!$C$2:$C$50000,C593,全馬データ!$D$2:$D$50000,E593,全馬データ!$K$2:$K$50000,"&lt;&gt;")=0,"",SUMIFS(全馬データ!$K$2:$K$50000,全馬データ!$A$2:$A$50000,A593,全馬データ!$B$2:$B$50000,B593,全馬データ!$C$2:$C$50000,C593,全馬データ!$D$2:$D$50000,E593)))</f>
        <v/>
      </c>
      <c r="AP593" s="8" t="str">
        <f aca="false">IF(A593="","",IF(AO593="","欠損",IF(AO593&lt;=1.1,"1.0～1.1",IF(AO593&lt;1.3,"1.2",IF(AO593&lt;1.5,"1.3～1.4",IF(AO593&lt;2,"1.5～1.9","2.0以上"))))))</f>
        <v>欠損</v>
      </c>
      <c r="AQ593" s="8" t="str">
        <f aca="false">IF(A593="","",IF(ISNUMBER(SEARCH("2歳",Z593)),"2歳戦",IF(ISNUMBER(SEARCH("3歳未勝利",Z593)),"3歳未勝利",IF(ISNUMBER(SEARCH("未勝利",Z593)),"その他未勝利",IF(ISNUMBER(SEARCH("G1",Z593)),"G1",IF(ISNUMBER(SEARCH("G2",Z593)),"G2",IF(ISNUMBER(SEARCH("G3",Z593)),"G3",IF(ISNUMBER(SEARCH("古馬条件",Z593)),"古馬条件戦",IF(ISNUMBER(SEARCH("重賞",Z593)),"重賞","分類不能")))))))))</f>
        <v>分類不能</v>
      </c>
      <c r="AR593" s="8"/>
      <c r="AS593" s="8" t="s">
        <v>7842</v>
      </c>
      <c r="AT593" s="8" t="s">
        <v>7843</v>
      </c>
      <c r="AU593" s="8" t="s">
        <v>7628</v>
      </c>
      <c r="AV593" s="8" t="s">
        <v>7629</v>
      </c>
      <c r="AW593" s="8"/>
      <c r="AX593" s="8"/>
      <c r="AY593" s="8" t="s">
        <v>7610</v>
      </c>
      <c r="AZ593" s="4" t="s">
        <v>7617</v>
      </c>
      <c r="BA593" s="8" t="n">
        <v>1400</v>
      </c>
      <c r="BB593" s="8" t="s">
        <v>7634</v>
      </c>
      <c r="BC593" s="4" t="s">
        <v>7604</v>
      </c>
      <c r="BD593" s="8" t="s">
        <v>7625</v>
      </c>
      <c r="BE593" s="4" t="s">
        <v>7606</v>
      </c>
      <c r="BF593" s="8" t="s">
        <v>7607</v>
      </c>
      <c r="BG593" s="8" t="s">
        <v>7631</v>
      </c>
      <c r="BH593" s="4" t="s">
        <v>7632</v>
      </c>
      <c r="BI593" s="8" t="n">
        <v>16</v>
      </c>
      <c r="BJ593" s="8" t="s">
        <v>7602</v>
      </c>
      <c r="BK593" s="4" t="s">
        <v>7653</v>
      </c>
      <c r="BL593" s="8" t="s">
        <v>7602</v>
      </c>
      <c r="BM593" s="4" t="s">
        <v>7620</v>
      </c>
      <c r="BN593" s="8"/>
      <c r="BO593" s="8"/>
      <c r="BP593" s="8" t="s">
        <v>7610</v>
      </c>
      <c r="BQ593" s="8" t="str">
        <f aca="false">IF(A593="","",AT593)</f>
        <v>4歳以上</v>
      </c>
      <c r="BR593" s="8" t="str">
        <f aca="false">IF(A593="","",IF(BA593&lt;=1200,"～1200",IF(BA593&lt;=1500,"1300～1500",IF(BA593=1600,"1600",IF(BA593&lt;=1800,"1700～1800",IF(BA593&lt;=2000,"1900～2000","2100以上"))))))</f>
        <v>1300～1500</v>
      </c>
      <c r="BS593" s="8" t="str">
        <f aca="false">IF(A593="","",IF(AX593="G1","G1",IF(AX593="G2","G2",IF(AX593="G3","G3",IF(AX593="L","L","その他")))))</f>
        <v>その他</v>
      </c>
      <c r="BT593" s="8" t="str">
        <f aca="false">IF(A593="","",IF(BI593="","未結合",IF(D593=BI593,"一致","不一致")))</f>
        <v>一致</v>
      </c>
      <c r="BU593" s="8" t="str">
        <f aca="false">IF(A593="","",IF(BE593="牝馬限定","牝馬限定","その他"))</f>
        <v>その他</v>
      </c>
    </row>
    <row r="594" customFormat="false" ht="15.75" hidden="false" customHeight="false" outlineLevel="0" collapsed="false">
      <c r="A594" s="6" t="n">
        <v>46166</v>
      </c>
      <c r="B594" s="4" t="s">
        <v>13</v>
      </c>
      <c r="C594" s="8" t="n">
        <v>1</v>
      </c>
      <c r="D594" s="8" t="n">
        <v>16</v>
      </c>
      <c r="E594" s="8" t="n">
        <v>10</v>
      </c>
      <c r="F594" s="4" t="s">
        <v>5730</v>
      </c>
      <c r="G594" s="8" t="n">
        <v>58</v>
      </c>
      <c r="H594" s="8" t="n">
        <v>13</v>
      </c>
      <c r="I594" s="4" t="s">
        <v>814</v>
      </c>
      <c r="J594" s="8" t="n">
        <v>58</v>
      </c>
      <c r="K594" s="8" t="n">
        <v>11</v>
      </c>
      <c r="L594" s="4" t="s">
        <v>5731</v>
      </c>
      <c r="M594" s="8" t="n">
        <v>47</v>
      </c>
      <c r="N594" s="8" t="n">
        <f aca="false">IF(A594="","",G594-J594)</f>
        <v>0</v>
      </c>
      <c r="O594" s="8" t="n">
        <f aca="false">IF(A594="","",J594-M594)</f>
        <v>11</v>
      </c>
      <c r="P594" s="8" t="n">
        <f aca="false">IF(A594="","",G594+J594)</f>
        <v>116</v>
      </c>
      <c r="Q594" s="8" t="str">
        <f aca="false">IF(A594="","",IF(AND(Y594&lt;&gt;"参考",G594&gt;=ルール設定!$B$2),"○",""))</f>
        <v/>
      </c>
      <c r="R594" s="8" t="str">
        <f aca="false">IF(A594="","",IF(AND(Y594&lt;&gt;"参考",G594&gt;=ルール設定!$B$3,N594&gt;=ルール設定!$B$4),"○",""))</f>
        <v/>
      </c>
      <c r="S594" s="8" t="str">
        <f aca="false">IF(A594="","",IF(AND(Y594&lt;&gt;"参考",G594&gt;=ルール設定!$B$5,J594&gt;=ルール設定!$B$6,O594&gt;=ルール設定!$B$7),"○",""))</f>
        <v/>
      </c>
      <c r="T594" s="8" t="n">
        <v>1</v>
      </c>
      <c r="U594" s="8" t="n">
        <v>2</v>
      </c>
      <c r="V594" s="8" t="str">
        <f aca="false">IF(A594="","",IF(AND(ISNUMBER(T594),ISNUMBER(U594)),IF(AND(T594&lt;=3,U594&lt;=3),"○","×"),""))</f>
        <v>○</v>
      </c>
      <c r="W594" s="8" t="n">
        <v>140</v>
      </c>
      <c r="X594" s="8" t="n">
        <v>250</v>
      </c>
      <c r="Y594" s="4" t="s">
        <v>7597</v>
      </c>
      <c r="Z594" s="4" t="s">
        <v>7841</v>
      </c>
      <c r="AA594" s="8" t="str">
        <v/>
      </c>
      <c r="AB594" s="8" t="str">
        <v/>
      </c>
      <c r="AC594" s="8" t="str">
        <v/>
      </c>
      <c r="AD594" s="8" t="str">
        <v/>
      </c>
      <c r="AE594" s="8" t="str">
        <v/>
      </c>
      <c r="AF594" s="8" t="str">
        <v/>
      </c>
      <c r="AG594" s="8" t="str">
        <v/>
      </c>
      <c r="AH594" s="8" t="str">
        <v/>
      </c>
      <c r="AI594" s="8" t="n">
        <v>11</v>
      </c>
      <c r="AJ594" s="8" t="str">
        <v>～59</v>
      </c>
      <c r="AK594" s="8" t="str">
        <v>0～4</v>
      </c>
      <c r="AL594" s="8" t="str">
        <v>10～19</v>
      </c>
      <c r="AM594" s="8" t="str">
        <v>100～119</v>
      </c>
      <c r="AN594" s="8" t="str">
        <v>15以上</v>
      </c>
      <c r="AO594" s="8" t="str">
        <f aca="false">IF(A594="","",IF(COUNTIFS(全馬データ!$A$2:$A$50000,A594,全馬データ!$B$2:$B$50000,B594,全馬データ!$C$2:$C$50000,C594,全馬データ!$D$2:$D$50000,E594,全馬データ!$K$2:$K$50000,"&lt;&gt;")=0,"",SUMIFS(全馬データ!$K$2:$K$50000,全馬データ!$A$2:$A$50000,A594,全馬データ!$B$2:$B$50000,B594,全馬データ!$C$2:$C$50000,C594,全馬データ!$D$2:$D$50000,E594)))</f>
        <v/>
      </c>
      <c r="AP594" s="8" t="str">
        <f aca="false">IF(A594="","",IF(AO594="","欠損",IF(AO594&lt;=1.1,"1.0～1.1",IF(AO594&lt;1.3,"1.2",IF(AO594&lt;1.5,"1.3～1.4",IF(AO594&lt;2,"1.5～1.9","2.0以上"))))))</f>
        <v>欠損</v>
      </c>
      <c r="AQ594" s="8" t="str">
        <f aca="false">IF(A594="","",IF(ISNUMBER(SEARCH("2歳",Z594)),"2歳戦",IF(ISNUMBER(SEARCH("3歳未勝利",Z594)),"3歳未勝利",IF(ISNUMBER(SEARCH("未勝利",Z594)),"その他未勝利",IF(ISNUMBER(SEARCH("G1",Z594)),"G1",IF(ISNUMBER(SEARCH("G2",Z594)),"G2",IF(ISNUMBER(SEARCH("G3",Z594)),"G3",IF(ISNUMBER(SEARCH("古馬条件",Z594)),"古馬条件戦",IF(ISNUMBER(SEARCH("重賞",Z594)),"重賞","分類不能")))))))))</f>
        <v>分類不能</v>
      </c>
      <c r="AR594" s="8"/>
      <c r="AS594" s="8" t="s">
        <v>7623</v>
      </c>
      <c r="AT594" s="8" t="s">
        <v>7624</v>
      </c>
      <c r="AU594" s="8" t="s">
        <v>7600</v>
      </c>
      <c r="AV594" s="4" t="s">
        <v>7601</v>
      </c>
      <c r="AW594" s="8"/>
      <c r="AX594" s="8"/>
      <c r="AY594" s="8" t="s">
        <v>7602</v>
      </c>
      <c r="AZ594" s="4" t="s">
        <v>7603</v>
      </c>
      <c r="BA594" s="8" t="n">
        <v>1200</v>
      </c>
      <c r="BB594" s="8" t="s">
        <v>7618</v>
      </c>
      <c r="BC594" s="4" t="s">
        <v>7619</v>
      </c>
      <c r="BD594" s="8" t="s">
        <v>7605</v>
      </c>
      <c r="BE594" s="4" t="s">
        <v>7606</v>
      </c>
      <c r="BF594" s="8" t="s">
        <v>7607</v>
      </c>
      <c r="BG594" s="8" t="s">
        <v>7608</v>
      </c>
      <c r="BH594" s="4" t="s">
        <v>7609</v>
      </c>
      <c r="BI594" s="8" t="n">
        <v>16</v>
      </c>
      <c r="BJ594" s="8" t="s">
        <v>7610</v>
      </c>
      <c r="BK594" s="4" t="s">
        <v>7611</v>
      </c>
      <c r="BL594" s="8" t="s">
        <v>7602</v>
      </c>
      <c r="BM594" s="4" t="s">
        <v>7620</v>
      </c>
      <c r="BN594" s="8" t="s">
        <v>7631</v>
      </c>
      <c r="BO594" s="8" t="s">
        <v>7680</v>
      </c>
      <c r="BP594" s="8" t="s">
        <v>7608</v>
      </c>
      <c r="BQ594" s="8" t="str">
        <f aca="false">IF(A594="","",AT594)</f>
        <v>3歳</v>
      </c>
      <c r="BR594" s="8" t="str">
        <f aca="false">IF(A594="","",IF(BA594&lt;=1200,"～1200",IF(BA594&lt;=1500,"1300～1500",IF(BA594=1600,"1600",IF(BA594&lt;=1800,"1700～1800",IF(BA594&lt;=2000,"1900～2000","2100以上"))))))</f>
        <v>～1200</v>
      </c>
      <c r="BS594" s="8" t="str">
        <f aca="false">IF(A594="","",IF(AX594="G1","G1",IF(AX594="G2","G2",IF(AX594="G3","G3",IF(AX594="L","L","その他")))))</f>
        <v>その他</v>
      </c>
      <c r="BT594" s="8" t="str">
        <f aca="false">IF(A594="","",IF(BI594="","未結合",IF(D594=BI594,"一致","不一致")))</f>
        <v>一致</v>
      </c>
      <c r="BU594" s="8" t="str">
        <f aca="false">IF(A594="","",IF(BE594="牝馬限定","牝馬限定","その他"))</f>
        <v>その他</v>
      </c>
    </row>
    <row r="595" customFormat="false" ht="15.75" hidden="false" customHeight="false" outlineLevel="0" collapsed="false">
      <c r="A595" s="6" t="n">
        <v>46166</v>
      </c>
      <c r="B595" s="4" t="s">
        <v>13</v>
      </c>
      <c r="C595" s="8" t="n">
        <v>2</v>
      </c>
      <c r="D595" s="8" t="n">
        <v>15</v>
      </c>
      <c r="E595" s="8" t="n">
        <v>1</v>
      </c>
      <c r="F595" s="4" t="s">
        <v>3266</v>
      </c>
      <c r="G595" s="8" t="n">
        <v>62</v>
      </c>
      <c r="H595" s="8" t="n">
        <v>15</v>
      </c>
      <c r="I595" s="4" t="s">
        <v>2454</v>
      </c>
      <c r="J595" s="8" t="n">
        <v>60</v>
      </c>
      <c r="K595" s="8" t="n">
        <v>3</v>
      </c>
      <c r="L595" s="4" t="s">
        <v>748</v>
      </c>
      <c r="M595" s="8" t="n">
        <v>56</v>
      </c>
      <c r="N595" s="8" t="n">
        <f aca="false">IF(A595="","",G595-J595)</f>
        <v>2</v>
      </c>
      <c r="O595" s="8" t="n">
        <f aca="false">IF(A595="","",J595-M595)</f>
        <v>4</v>
      </c>
      <c r="P595" s="8" t="n">
        <f aca="false">IF(A595="","",G595+J595)</f>
        <v>122</v>
      </c>
      <c r="Q595" s="8" t="str">
        <f aca="false">IF(A595="","",IF(AND(Y595&lt;&gt;"参考",G595&gt;=ルール設定!$B$2),"○",""))</f>
        <v/>
      </c>
      <c r="R595" s="8" t="str">
        <f aca="false">IF(A595="","",IF(AND(Y595&lt;&gt;"参考",G595&gt;=ルール設定!$B$3,N595&gt;=ルール設定!$B$4),"○",""))</f>
        <v/>
      </c>
      <c r="S595" s="8" t="str">
        <f aca="false">IF(A595="","",IF(AND(Y595&lt;&gt;"参考",G595&gt;=ルール設定!$B$5,J595&gt;=ルール設定!$B$6,O595&gt;=ルール設定!$B$7),"○",""))</f>
        <v/>
      </c>
      <c r="T595" s="8" t="n">
        <v>2</v>
      </c>
      <c r="U595" s="8" t="n">
        <v>4</v>
      </c>
      <c r="V595" s="8" t="str">
        <f aca="false">IF(A595="","",IF(AND(ISNUMBER(T595),ISNUMBER(U595)),IF(AND(T595&lt;=3,U595&lt;=3),"○","×"),""))</f>
        <v>×</v>
      </c>
      <c r="W595" s="8" t="n">
        <v>120</v>
      </c>
      <c r="X595" s="8"/>
      <c r="Y595" s="4" t="s">
        <v>7597</v>
      </c>
      <c r="Z595" s="4" t="s">
        <v>7841</v>
      </c>
      <c r="AA595" s="8" t="str">
        <v/>
      </c>
      <c r="AB595" s="8" t="str">
        <v/>
      </c>
      <c r="AC595" s="8" t="str">
        <v/>
      </c>
      <c r="AD595" s="8" t="str">
        <v/>
      </c>
      <c r="AE595" s="8" t="str">
        <v/>
      </c>
      <c r="AF595" s="8" t="str">
        <v/>
      </c>
      <c r="AG595" s="8" t="str">
        <v/>
      </c>
      <c r="AH595" s="8" t="str">
        <v/>
      </c>
      <c r="AI595" s="8" t="n">
        <v>6</v>
      </c>
      <c r="AJ595" s="8" t="str">
        <v>60～69</v>
      </c>
      <c r="AK595" s="8" t="str">
        <v>0～4</v>
      </c>
      <c r="AL595" s="8" t="str">
        <v>0～9</v>
      </c>
      <c r="AM595" s="8" t="str">
        <v>120～139</v>
      </c>
      <c r="AN595" s="8" t="str">
        <v>15以上</v>
      </c>
      <c r="AO595" s="8" t="str">
        <f aca="false">IF(A595="","",IF(COUNTIFS(全馬データ!$A$2:$A$50000,A595,全馬データ!$B$2:$B$50000,B595,全馬データ!$C$2:$C$50000,C595,全馬データ!$D$2:$D$50000,E595,全馬データ!$K$2:$K$50000,"&lt;&gt;")=0,"",SUMIFS(全馬データ!$K$2:$K$50000,全馬データ!$A$2:$A$50000,A595,全馬データ!$B$2:$B$50000,B595,全馬データ!$C$2:$C$50000,C595,全馬データ!$D$2:$D$50000,E595)))</f>
        <v/>
      </c>
      <c r="AP595" s="8" t="str">
        <f aca="false">IF(A595="","",IF(AO595="","欠損",IF(AO595&lt;=1.1,"1.0～1.1",IF(AO595&lt;1.3,"1.2",IF(AO595&lt;1.5,"1.3～1.4",IF(AO595&lt;2,"1.5～1.9","2.0以上"))))))</f>
        <v>欠損</v>
      </c>
      <c r="AQ595" s="8" t="str">
        <f aca="false">IF(A595="","",IF(ISNUMBER(SEARCH("2歳",Z595)),"2歳戦",IF(ISNUMBER(SEARCH("3歳未勝利",Z595)),"3歳未勝利",IF(ISNUMBER(SEARCH("未勝利",Z595)),"その他未勝利",IF(ISNUMBER(SEARCH("G1",Z595)),"G1",IF(ISNUMBER(SEARCH("G2",Z595)),"G2",IF(ISNUMBER(SEARCH("G3",Z595)),"G3",IF(ISNUMBER(SEARCH("古馬条件",Z595)),"古馬条件戦",IF(ISNUMBER(SEARCH("重賞",Z595)),"重賞","分類不能")))))))))</f>
        <v>分類不能</v>
      </c>
      <c r="AR595" s="8"/>
      <c r="AS595" s="8" t="s">
        <v>7623</v>
      </c>
      <c r="AT595" s="8" t="s">
        <v>7624</v>
      </c>
      <c r="AU595" s="8" t="s">
        <v>7600</v>
      </c>
      <c r="AV595" s="4" t="s">
        <v>7601</v>
      </c>
      <c r="AW595" s="8"/>
      <c r="AX595" s="8"/>
      <c r="AY595" s="8" t="s">
        <v>7610</v>
      </c>
      <c r="AZ595" s="4" t="s">
        <v>7617</v>
      </c>
      <c r="BA595" s="8" t="n">
        <v>1200</v>
      </c>
      <c r="BB595" s="8" t="s">
        <v>7618</v>
      </c>
      <c r="BC595" s="4" t="s">
        <v>7619</v>
      </c>
      <c r="BD595" s="8" t="s">
        <v>7621</v>
      </c>
      <c r="BE595" s="4" t="s">
        <v>7622</v>
      </c>
      <c r="BF595" s="8" t="s">
        <v>7602</v>
      </c>
      <c r="BG595" s="8" t="s">
        <v>7608</v>
      </c>
      <c r="BH595" s="4" t="s">
        <v>7609</v>
      </c>
      <c r="BI595" s="8" t="n">
        <v>15</v>
      </c>
      <c r="BJ595" s="8" t="s">
        <v>7610</v>
      </c>
      <c r="BK595" s="4" t="s">
        <v>7611</v>
      </c>
      <c r="BL595" s="8" t="s">
        <v>7602</v>
      </c>
      <c r="BM595" s="4" t="s">
        <v>7620</v>
      </c>
      <c r="BN595" s="8"/>
      <c r="BO595" s="8"/>
      <c r="BP595" s="8" t="s">
        <v>7608</v>
      </c>
      <c r="BQ595" s="8" t="str">
        <f aca="false">IF(A595="","",AT595)</f>
        <v>3歳</v>
      </c>
      <c r="BR595" s="8" t="str">
        <f aca="false">IF(A595="","",IF(BA595&lt;=1200,"～1200",IF(BA595&lt;=1500,"1300～1500",IF(BA595=1600,"1600",IF(BA595&lt;=1800,"1700～1800",IF(BA595&lt;=2000,"1900～2000","2100以上"))))))</f>
        <v>～1200</v>
      </c>
      <c r="BS595" s="8" t="str">
        <f aca="false">IF(A595="","",IF(AX595="G1","G1",IF(AX595="G2","G2",IF(AX595="G3","G3",IF(AX595="L","L","その他")))))</f>
        <v>その他</v>
      </c>
      <c r="BT595" s="8" t="str">
        <f aca="false">IF(A595="","",IF(BI595="","未結合",IF(D595=BI595,"一致","不一致")))</f>
        <v>一致</v>
      </c>
      <c r="BU595" s="8" t="str">
        <f aca="false">IF(A595="","",IF(BE595="牝馬限定","牝馬限定","その他"))</f>
        <v>牝馬限定</v>
      </c>
    </row>
    <row r="596" customFormat="false" ht="15.75" hidden="false" customHeight="false" outlineLevel="0" collapsed="false">
      <c r="A596" s="6" t="n">
        <v>46166</v>
      </c>
      <c r="B596" s="4" t="s">
        <v>13</v>
      </c>
      <c r="C596" s="8" t="n">
        <v>3</v>
      </c>
      <c r="D596" s="8" t="n">
        <v>10</v>
      </c>
      <c r="E596" s="8" t="n">
        <v>10</v>
      </c>
      <c r="F596" s="4" t="s">
        <v>5744</v>
      </c>
      <c r="G596" s="8" t="n">
        <v>86</v>
      </c>
      <c r="H596" s="8" t="n">
        <v>6</v>
      </c>
      <c r="I596" s="4" t="s">
        <v>1914</v>
      </c>
      <c r="J596" s="8" t="n">
        <v>67</v>
      </c>
      <c r="K596" s="8" t="n">
        <v>2</v>
      </c>
      <c r="L596" s="4" t="s">
        <v>5739</v>
      </c>
      <c r="M596" s="8" t="n">
        <v>65</v>
      </c>
      <c r="N596" s="8" t="n">
        <f aca="false">IF(A596="","",G596-J596)</f>
        <v>19</v>
      </c>
      <c r="O596" s="8" t="n">
        <f aca="false">IF(A596="","",J596-M596)</f>
        <v>2</v>
      </c>
      <c r="P596" s="8" t="n">
        <f aca="false">IF(A596="","",G596+J596)</f>
        <v>153</v>
      </c>
      <c r="Q596" s="8" t="str">
        <f aca="false">IF(A596="","",IF(AND(Y596&lt;&gt;"参考",G596&gt;=ルール設定!$B$2),"○",""))</f>
        <v>○</v>
      </c>
      <c r="R596" s="8" t="str">
        <f aca="false">IF(A596="","",IF(AND(Y596&lt;&gt;"参考",G596&gt;=ルール設定!$B$3,N596&gt;=ルール設定!$B$4),"○",""))</f>
        <v/>
      </c>
      <c r="S596" s="8" t="str">
        <f aca="false">IF(A596="","",IF(AND(Y596&lt;&gt;"参考",G596&gt;=ルール設定!$B$5,J596&gt;=ルール設定!$B$6,O596&gt;=ルール設定!$B$7),"○",""))</f>
        <v/>
      </c>
      <c r="T596" s="8" t="n">
        <v>1</v>
      </c>
      <c r="U596" s="8" t="n">
        <v>4</v>
      </c>
      <c r="V596" s="8" t="str">
        <f aca="false">IF(A596="","",IF(AND(ISNUMBER(T596),ISNUMBER(U596)),IF(AND(T596&lt;=3,U596&lt;=3),"○","×"),""))</f>
        <v>×</v>
      </c>
      <c r="W596" s="8" t="n">
        <v>100</v>
      </c>
      <c r="X596" s="8"/>
      <c r="Y596" s="4" t="s">
        <v>7597</v>
      </c>
      <c r="Z596" s="4" t="s">
        <v>7841</v>
      </c>
      <c r="AA596" s="8" t="str">
        <v>○</v>
      </c>
      <c r="AB596" s="8" t="str">
        <v>○</v>
      </c>
      <c r="AC596" s="8" t="str">
        <v>○</v>
      </c>
      <c r="AD596" s="8" t="str">
        <v/>
      </c>
      <c r="AE596" s="8" t="str">
        <v/>
      </c>
      <c r="AF596" s="8" t="str">
        <v>○</v>
      </c>
      <c r="AG596" s="8" t="str">
        <v/>
      </c>
      <c r="AH596" s="8" t="str">
        <v/>
      </c>
      <c r="AI596" s="8" t="n">
        <v>21</v>
      </c>
      <c r="AJ596" s="8" t="str">
        <v>85以上</v>
      </c>
      <c r="AK596" s="8" t="str">
        <v>10～19</v>
      </c>
      <c r="AL596" s="8" t="str">
        <v>20～29</v>
      </c>
      <c r="AM596" s="8" t="str">
        <v>140～159</v>
      </c>
      <c r="AN596" s="8" t="str">
        <v>8～11</v>
      </c>
      <c r="AO596" s="8" t="str">
        <f aca="false">IF(A596="","",IF(COUNTIFS(全馬データ!$A$2:$A$50000,A596,全馬データ!$B$2:$B$50000,B596,全馬データ!$C$2:$C$50000,C596,全馬データ!$D$2:$D$50000,E596,全馬データ!$K$2:$K$50000,"&lt;&gt;")=0,"",SUMIFS(全馬データ!$K$2:$K$50000,全馬データ!$A$2:$A$50000,A596,全馬データ!$B$2:$B$50000,B596,全馬データ!$C$2:$C$50000,C596,全馬データ!$D$2:$D$50000,E596)))</f>
        <v/>
      </c>
      <c r="AP596" s="8" t="str">
        <f aca="false">IF(A596="","",IF(AO596="","欠損",IF(AO596&lt;=1.1,"1.0～1.1",IF(AO596&lt;1.3,"1.2",IF(AO596&lt;1.5,"1.3～1.4",IF(AO596&lt;2,"1.5～1.9","2.0以上"))))))</f>
        <v>欠損</v>
      </c>
      <c r="AQ596" s="8" t="str">
        <f aca="false">IF(A596="","",IF(ISNUMBER(SEARCH("2歳",Z596)),"2歳戦",IF(ISNUMBER(SEARCH("3歳未勝利",Z596)),"3歳未勝利",IF(ISNUMBER(SEARCH("未勝利",Z596)),"その他未勝利",IF(ISNUMBER(SEARCH("G1",Z596)),"G1",IF(ISNUMBER(SEARCH("G2",Z596)),"G2",IF(ISNUMBER(SEARCH("G3",Z596)),"G3",IF(ISNUMBER(SEARCH("古馬条件",Z596)),"古馬条件戦",IF(ISNUMBER(SEARCH("重賞",Z596)),"重賞","分類不能")))))))))</f>
        <v>分類不能</v>
      </c>
      <c r="AR596" s="8"/>
      <c r="AS596" s="8" t="s">
        <v>7623</v>
      </c>
      <c r="AT596" s="8" t="s">
        <v>7624</v>
      </c>
      <c r="AU596" s="8" t="s">
        <v>7600</v>
      </c>
      <c r="AV596" s="4" t="s">
        <v>7601</v>
      </c>
      <c r="AW596" s="8"/>
      <c r="AX596" s="8"/>
      <c r="AY596" s="8" t="s">
        <v>7610</v>
      </c>
      <c r="AZ596" s="4" t="s">
        <v>7617</v>
      </c>
      <c r="BA596" s="8" t="n">
        <v>1800</v>
      </c>
      <c r="BB596" s="8" t="s">
        <v>7618</v>
      </c>
      <c r="BC596" s="4" t="s">
        <v>7619</v>
      </c>
      <c r="BD596" s="8" t="s">
        <v>7625</v>
      </c>
      <c r="BE596" s="4" t="s">
        <v>7606</v>
      </c>
      <c r="BF596" s="8" t="s">
        <v>7607</v>
      </c>
      <c r="BG596" s="8" t="s">
        <v>7608</v>
      </c>
      <c r="BH596" s="4" t="s">
        <v>7609</v>
      </c>
      <c r="BI596" s="8" t="n">
        <v>10</v>
      </c>
      <c r="BJ596" s="8" t="s">
        <v>7610</v>
      </c>
      <c r="BK596" s="4" t="s">
        <v>7611</v>
      </c>
      <c r="BL596" s="8" t="s">
        <v>7602</v>
      </c>
      <c r="BM596" s="4" t="s">
        <v>7620</v>
      </c>
      <c r="BN596" s="8"/>
      <c r="BO596" s="8"/>
      <c r="BP596" s="8" t="s">
        <v>7608</v>
      </c>
      <c r="BQ596" s="8" t="str">
        <f aca="false">IF(A596="","",AT596)</f>
        <v>3歳</v>
      </c>
      <c r="BR596" s="8" t="str">
        <f aca="false">IF(A596="","",IF(BA596&lt;=1200,"～1200",IF(BA596&lt;=1500,"1300～1500",IF(BA596=1600,"1600",IF(BA596&lt;=1800,"1700～1800",IF(BA596&lt;=2000,"1900～2000","2100以上"))))))</f>
        <v>1700～1800</v>
      </c>
      <c r="BS596" s="8" t="str">
        <f aca="false">IF(A596="","",IF(AX596="G1","G1",IF(AX596="G2","G2",IF(AX596="G3","G3",IF(AX596="L","L","その他")))))</f>
        <v>その他</v>
      </c>
      <c r="BT596" s="8" t="str">
        <f aca="false">IF(A596="","",IF(BI596="","未結合",IF(D596=BI596,"一致","不一致")))</f>
        <v>一致</v>
      </c>
      <c r="BU596" s="8" t="str">
        <f aca="false">IF(A596="","",IF(BE596="牝馬限定","牝馬限定","その他"))</f>
        <v>その他</v>
      </c>
    </row>
    <row r="597" customFormat="false" ht="15.75" hidden="false" customHeight="false" outlineLevel="0" collapsed="false">
      <c r="A597" s="6" t="n">
        <v>46166</v>
      </c>
      <c r="B597" s="4" t="s">
        <v>13</v>
      </c>
      <c r="C597" s="8" t="n">
        <v>4</v>
      </c>
      <c r="D597" s="8" t="n">
        <v>13</v>
      </c>
      <c r="E597" s="8" t="n">
        <v>8</v>
      </c>
      <c r="F597" s="4" t="s">
        <v>5748</v>
      </c>
      <c r="G597" s="8" t="n">
        <v>55</v>
      </c>
      <c r="H597" s="8" t="n">
        <v>1</v>
      </c>
      <c r="I597" s="4" t="s">
        <v>581</v>
      </c>
      <c r="J597" s="8" t="n">
        <v>44</v>
      </c>
      <c r="K597" s="8" t="n">
        <v>3</v>
      </c>
      <c r="L597" s="4" t="s">
        <v>5746</v>
      </c>
      <c r="M597" s="8" t="n">
        <v>44</v>
      </c>
      <c r="N597" s="8" t="n">
        <f aca="false">IF(A597="","",G597-J597)</f>
        <v>11</v>
      </c>
      <c r="O597" s="8" t="n">
        <f aca="false">IF(A597="","",J597-M597)</f>
        <v>0</v>
      </c>
      <c r="P597" s="8" t="n">
        <f aca="false">IF(A597="","",G597+J597)</f>
        <v>99</v>
      </c>
      <c r="Q597" s="8" t="str">
        <f aca="false">IF(A597="","",IF(AND(Y597&lt;&gt;"参考",G597&gt;=ルール設定!$B$2),"○",""))</f>
        <v/>
      </c>
      <c r="R597" s="8" t="str">
        <f aca="false">IF(A597="","",IF(AND(Y597&lt;&gt;"参考",G597&gt;=ルール設定!$B$3,N597&gt;=ルール設定!$B$4),"○",""))</f>
        <v/>
      </c>
      <c r="S597" s="8" t="str">
        <f aca="false">IF(A597="","",IF(AND(Y597&lt;&gt;"参考",G597&gt;=ルール設定!$B$5,J597&gt;=ルール設定!$B$6,O597&gt;=ルール設定!$B$7),"○",""))</f>
        <v/>
      </c>
      <c r="T597" s="8" t="n">
        <v>4</v>
      </c>
      <c r="U597" s="8" t="n">
        <v>2</v>
      </c>
      <c r="V597" s="8" t="str">
        <f aca="false">IF(A597="","",IF(AND(ISNUMBER(T597),ISNUMBER(U597)),IF(AND(T597&lt;=3,U597&lt;=3),"○","×"),""))</f>
        <v>×</v>
      </c>
      <c r="W597" s="8"/>
      <c r="X597" s="8"/>
      <c r="Y597" s="4" t="s">
        <v>7597</v>
      </c>
      <c r="Z597" s="4" t="s">
        <v>7841</v>
      </c>
      <c r="AA597" s="8" t="str">
        <v/>
      </c>
      <c r="AB597" s="8" t="str">
        <v/>
      </c>
      <c r="AC597" s="8" t="str">
        <v/>
      </c>
      <c r="AD597" s="8" t="str">
        <v/>
      </c>
      <c r="AE597" s="8" t="str">
        <v/>
      </c>
      <c r="AF597" s="8" t="str">
        <v/>
      </c>
      <c r="AG597" s="8" t="str">
        <v/>
      </c>
      <c r="AH597" s="8" t="str">
        <v/>
      </c>
      <c r="AI597" s="8" t="n">
        <v>11</v>
      </c>
      <c r="AJ597" s="8" t="str">
        <v>～59</v>
      </c>
      <c r="AK597" s="8" t="str">
        <v>10～19</v>
      </c>
      <c r="AL597" s="8" t="str">
        <v>10～19</v>
      </c>
      <c r="AM597" s="8" t="str">
        <v>～99</v>
      </c>
      <c r="AN597" s="8" t="str">
        <v>12～14</v>
      </c>
      <c r="AO597" s="8" t="str">
        <f aca="false">IF(A597="","",IF(COUNTIFS(全馬データ!$A$2:$A$50000,A597,全馬データ!$B$2:$B$50000,B597,全馬データ!$C$2:$C$50000,C597,全馬データ!$D$2:$D$50000,E597,全馬データ!$K$2:$K$50000,"&lt;&gt;")=0,"",SUMIFS(全馬データ!$K$2:$K$50000,全馬データ!$A$2:$A$50000,A597,全馬データ!$B$2:$B$50000,B597,全馬データ!$C$2:$C$50000,C597,全馬データ!$D$2:$D$50000,E597)))</f>
        <v/>
      </c>
      <c r="AP597" s="8" t="str">
        <f aca="false">IF(A597="","",IF(AO597="","欠損",IF(AO597&lt;=1.1,"1.0～1.1",IF(AO597&lt;1.3,"1.2",IF(AO597&lt;1.5,"1.3～1.4",IF(AO597&lt;2,"1.5～1.9","2.0以上"))))))</f>
        <v>欠損</v>
      </c>
      <c r="AQ597" s="8" t="str">
        <f aca="false">IF(A597="","",IF(ISNUMBER(SEARCH("2歳",Z597)),"2歳戦",IF(ISNUMBER(SEARCH("3歳未勝利",Z597)),"3歳未勝利",IF(ISNUMBER(SEARCH("未勝利",Z597)),"その他未勝利",IF(ISNUMBER(SEARCH("G1",Z597)),"G1",IF(ISNUMBER(SEARCH("G2",Z597)),"G2",IF(ISNUMBER(SEARCH("G3",Z597)),"G3",IF(ISNUMBER(SEARCH("古馬条件",Z597)),"古馬条件戦",IF(ISNUMBER(SEARCH("重賞",Z597)),"重賞","分類不能")))))))))</f>
        <v>分類不能</v>
      </c>
      <c r="AR597" s="8"/>
      <c r="AS597" s="8" t="s">
        <v>7618</v>
      </c>
      <c r="AT597" s="4" t="s">
        <v>7642</v>
      </c>
      <c r="AU597" s="8" t="s">
        <v>7600</v>
      </c>
      <c r="AV597" s="4" t="s">
        <v>7601</v>
      </c>
      <c r="AW597" s="8"/>
      <c r="AX597" s="8"/>
      <c r="AY597" s="8" t="s">
        <v>7608</v>
      </c>
      <c r="AZ597" s="4" t="s">
        <v>7642</v>
      </c>
      <c r="BA597" s="8" t="n">
        <v>2890</v>
      </c>
      <c r="BB597" s="8" t="s">
        <v>7618</v>
      </c>
      <c r="BC597" s="4" t="s">
        <v>7619</v>
      </c>
      <c r="BD597" s="8" t="s">
        <v>7696</v>
      </c>
      <c r="BE597" s="4" t="s">
        <v>7606</v>
      </c>
      <c r="BF597" s="8" t="s">
        <v>7607</v>
      </c>
      <c r="BG597" s="8" t="s">
        <v>7631</v>
      </c>
      <c r="BH597" s="4" t="s">
        <v>7632</v>
      </c>
      <c r="BI597" s="8" t="n">
        <v>13</v>
      </c>
      <c r="BJ597" s="8" t="s">
        <v>7647</v>
      </c>
      <c r="BK597" s="4" t="s">
        <v>7648</v>
      </c>
      <c r="BL597" s="8" t="s">
        <v>7647</v>
      </c>
      <c r="BM597" s="4" t="s">
        <v>7648</v>
      </c>
      <c r="BN597" s="8"/>
      <c r="BO597" s="8"/>
      <c r="BP597" s="8" t="s">
        <v>7608</v>
      </c>
      <c r="BQ597" s="8" t="str">
        <f aca="false">IF(A597="","",AT597)</f>
        <v>障害</v>
      </c>
      <c r="BR597" s="8" t="str">
        <f aca="false">IF(A597="","",IF(BA597&lt;=1200,"～1200",IF(BA597&lt;=1500,"1300～1500",IF(BA597=1600,"1600",IF(BA597&lt;=1800,"1700～1800",IF(BA597&lt;=2000,"1900～2000","2100以上"))))))</f>
        <v>2100以上</v>
      </c>
      <c r="BS597" s="8" t="str">
        <f aca="false">IF(A597="","",IF(AX597="G1","G1",IF(AX597="G2","G2",IF(AX597="G3","G3",IF(AX597="L","L","その他")))))</f>
        <v>その他</v>
      </c>
      <c r="BT597" s="8" t="str">
        <f aca="false">IF(A597="","",IF(BI597="","未結合",IF(D597=BI597,"一致","不一致")))</f>
        <v>一致</v>
      </c>
      <c r="BU597" s="8" t="str">
        <f aca="false">IF(A597="","",IF(BE597="牝馬限定","牝馬限定","その他"))</f>
        <v>その他</v>
      </c>
    </row>
    <row r="598" customFormat="false" ht="15.75" hidden="false" customHeight="false" outlineLevel="0" collapsed="false">
      <c r="A598" s="6" t="n">
        <v>46166</v>
      </c>
      <c r="B598" s="4" t="s">
        <v>13</v>
      </c>
      <c r="C598" s="8" t="n">
        <v>5</v>
      </c>
      <c r="D598" s="8" t="n">
        <v>16</v>
      </c>
      <c r="E598" s="8" t="n">
        <v>13</v>
      </c>
      <c r="F598" s="4" t="s">
        <v>652</v>
      </c>
      <c r="G598" s="8" t="n">
        <v>52</v>
      </c>
      <c r="H598" s="8" t="n">
        <v>4</v>
      </c>
      <c r="I598" s="4" t="s">
        <v>5752</v>
      </c>
      <c r="J598" s="8" t="n">
        <v>47</v>
      </c>
      <c r="K598" s="8" t="n">
        <v>15</v>
      </c>
      <c r="L598" s="4" t="s">
        <v>3771</v>
      </c>
      <c r="M598" s="8" t="n">
        <v>44</v>
      </c>
      <c r="N598" s="8" t="n">
        <f aca="false">IF(A598="","",G598-J598)</f>
        <v>5</v>
      </c>
      <c r="O598" s="8" t="n">
        <f aca="false">IF(A598="","",J598-M598)</f>
        <v>3</v>
      </c>
      <c r="P598" s="8" t="n">
        <f aca="false">IF(A598="","",G598+J598)</f>
        <v>99</v>
      </c>
      <c r="Q598" s="8" t="str">
        <f aca="false">IF(A598="","",IF(AND(Y598&lt;&gt;"参考",G598&gt;=ルール設定!$B$2),"○",""))</f>
        <v/>
      </c>
      <c r="R598" s="8" t="str">
        <f aca="false">IF(A598="","",IF(AND(Y598&lt;&gt;"参考",G598&gt;=ルール設定!$B$3,N598&gt;=ルール設定!$B$4),"○",""))</f>
        <v/>
      </c>
      <c r="S598" s="8" t="str">
        <f aca="false">IF(A598="","",IF(AND(Y598&lt;&gt;"参考",G598&gt;=ルール設定!$B$5,J598&gt;=ルール設定!$B$6,O598&gt;=ルール設定!$B$7),"○",""))</f>
        <v/>
      </c>
      <c r="T598" s="8" t="n">
        <v>4</v>
      </c>
      <c r="U598" s="8" t="n">
        <v>4</v>
      </c>
      <c r="V598" s="8" t="str">
        <f aca="false">IF(A598="","",IF(AND(ISNUMBER(T598),ISNUMBER(U598)),IF(AND(T598&lt;=3,U598&lt;=3),"○","×"),""))</f>
        <v>×</v>
      </c>
      <c r="W598" s="8"/>
      <c r="X598" s="8"/>
      <c r="Y598" s="4" t="s">
        <v>7597</v>
      </c>
      <c r="Z598" s="4" t="s">
        <v>7841</v>
      </c>
      <c r="AA598" s="8" t="str">
        <v/>
      </c>
      <c r="AB598" s="8" t="str">
        <v/>
      </c>
      <c r="AC598" s="8" t="str">
        <v/>
      </c>
      <c r="AD598" s="8" t="str">
        <v/>
      </c>
      <c r="AE598" s="8" t="str">
        <v/>
      </c>
      <c r="AF598" s="8" t="str">
        <v/>
      </c>
      <c r="AG598" s="8" t="str">
        <v/>
      </c>
      <c r="AH598" s="8" t="str">
        <v/>
      </c>
      <c r="AI598" s="8" t="n">
        <v>8</v>
      </c>
      <c r="AJ598" s="8" t="str">
        <v>～59</v>
      </c>
      <c r="AK598" s="8" t="str">
        <v>5～9</v>
      </c>
      <c r="AL598" s="8" t="str">
        <v>0～9</v>
      </c>
      <c r="AM598" s="8" t="str">
        <v>～99</v>
      </c>
      <c r="AN598" s="8" t="str">
        <v>15以上</v>
      </c>
      <c r="AO598" s="8" t="str">
        <f aca="false">IF(A598="","",IF(COUNTIFS(全馬データ!$A$2:$A$50000,A598,全馬データ!$B$2:$B$50000,B598,全馬データ!$C$2:$C$50000,C598,全馬データ!$D$2:$D$50000,E598,全馬データ!$K$2:$K$50000,"&lt;&gt;")=0,"",SUMIFS(全馬データ!$K$2:$K$50000,全馬データ!$A$2:$A$50000,A598,全馬データ!$B$2:$B$50000,B598,全馬データ!$C$2:$C$50000,C598,全馬データ!$D$2:$D$50000,E598)))</f>
        <v/>
      </c>
      <c r="AP598" s="8" t="str">
        <f aca="false">IF(A598="","",IF(AO598="","欠損",IF(AO598&lt;=1.1,"1.0～1.1",IF(AO598&lt;1.3,"1.2",IF(AO598&lt;1.5,"1.3～1.4",IF(AO598&lt;2,"1.5～1.9","2.0以上"))))))</f>
        <v>欠損</v>
      </c>
      <c r="AQ598" s="8" t="str">
        <f aca="false">IF(A598="","",IF(ISNUMBER(SEARCH("2歳",Z598)),"2歳戦",IF(ISNUMBER(SEARCH("3歳未勝利",Z598)),"3歳未勝利",IF(ISNUMBER(SEARCH("未勝利",Z598)),"その他未勝利",IF(ISNUMBER(SEARCH("G1",Z598)),"G1",IF(ISNUMBER(SEARCH("G2",Z598)),"G2",IF(ISNUMBER(SEARCH("G3",Z598)),"G3",IF(ISNUMBER(SEARCH("古馬条件",Z598)),"古馬条件戦",IF(ISNUMBER(SEARCH("重賞",Z598)),"重賞","分類不能")))))))))</f>
        <v>分類不能</v>
      </c>
      <c r="AR598" s="8"/>
      <c r="AS598" s="8" t="s">
        <v>7623</v>
      </c>
      <c r="AT598" s="8" t="s">
        <v>7624</v>
      </c>
      <c r="AU598" s="8" t="s">
        <v>7600</v>
      </c>
      <c r="AV598" s="4" t="s">
        <v>7601</v>
      </c>
      <c r="AW598" s="8"/>
      <c r="AX598" s="8"/>
      <c r="AY598" s="8" t="s">
        <v>7602</v>
      </c>
      <c r="AZ598" s="4" t="s">
        <v>7603</v>
      </c>
      <c r="BA598" s="8" t="n">
        <v>2000</v>
      </c>
      <c r="BB598" s="8" t="s">
        <v>7618</v>
      </c>
      <c r="BC598" s="4" t="s">
        <v>7619</v>
      </c>
      <c r="BD598" s="8" t="s">
        <v>7625</v>
      </c>
      <c r="BE598" s="4" t="s">
        <v>7606</v>
      </c>
      <c r="BF598" s="8" t="s">
        <v>7607</v>
      </c>
      <c r="BG598" s="8" t="s">
        <v>7608</v>
      </c>
      <c r="BH598" s="4" t="s">
        <v>7609</v>
      </c>
      <c r="BI598" s="8" t="n">
        <v>16</v>
      </c>
      <c r="BJ598" s="8" t="s">
        <v>7610</v>
      </c>
      <c r="BK598" s="4" t="s">
        <v>7611</v>
      </c>
      <c r="BL598" s="8" t="s">
        <v>7602</v>
      </c>
      <c r="BM598" s="4" t="s">
        <v>7620</v>
      </c>
      <c r="BN598" s="8" t="s">
        <v>7631</v>
      </c>
      <c r="BO598" s="8" t="s">
        <v>7680</v>
      </c>
      <c r="BP598" s="8" t="s">
        <v>7608</v>
      </c>
      <c r="BQ598" s="8" t="str">
        <f aca="false">IF(A598="","",AT598)</f>
        <v>3歳</v>
      </c>
      <c r="BR598" s="8" t="str">
        <f aca="false">IF(A598="","",IF(BA598&lt;=1200,"～1200",IF(BA598&lt;=1500,"1300～1500",IF(BA598=1600,"1600",IF(BA598&lt;=1800,"1700～1800",IF(BA598&lt;=2000,"1900～2000","2100以上"))))))</f>
        <v>1900～2000</v>
      </c>
      <c r="BS598" s="8" t="str">
        <f aca="false">IF(A598="","",IF(AX598="G1","G1",IF(AX598="G2","G2",IF(AX598="G3","G3",IF(AX598="L","L","その他")))))</f>
        <v>その他</v>
      </c>
      <c r="BT598" s="8" t="str">
        <f aca="false">IF(A598="","",IF(BI598="","未結合",IF(D598=BI598,"一致","不一致")))</f>
        <v>一致</v>
      </c>
      <c r="BU598" s="8" t="str">
        <f aca="false">IF(A598="","",IF(BE598="牝馬限定","牝馬限定","その他"))</f>
        <v>その他</v>
      </c>
    </row>
    <row r="599" customFormat="false" ht="15.75" hidden="false" customHeight="false" outlineLevel="0" collapsed="false">
      <c r="A599" s="6" t="n">
        <v>46166</v>
      </c>
      <c r="B599" s="4" t="s">
        <v>13</v>
      </c>
      <c r="C599" s="8" t="n">
        <v>6</v>
      </c>
      <c r="D599" s="8" t="n">
        <v>12</v>
      </c>
      <c r="E599" s="8" t="n">
        <v>7</v>
      </c>
      <c r="F599" s="4" t="s">
        <v>4425</v>
      </c>
      <c r="G599" s="8" t="n">
        <v>81</v>
      </c>
      <c r="H599" s="8" t="n">
        <v>6</v>
      </c>
      <c r="I599" s="4" t="s">
        <v>1629</v>
      </c>
      <c r="J599" s="8" t="n">
        <v>56</v>
      </c>
      <c r="K599" s="8" t="n">
        <v>4</v>
      </c>
      <c r="L599" s="4" t="s">
        <v>352</v>
      </c>
      <c r="M599" s="8" t="n">
        <v>39</v>
      </c>
      <c r="N599" s="8" t="n">
        <f aca="false">IF(A599="","",G599-J599)</f>
        <v>25</v>
      </c>
      <c r="O599" s="8" t="n">
        <f aca="false">IF(A599="","",J599-M599)</f>
        <v>17</v>
      </c>
      <c r="P599" s="8" t="n">
        <f aca="false">IF(A599="","",G599+J599)</f>
        <v>137</v>
      </c>
      <c r="Q599" s="8" t="str">
        <f aca="false">IF(A599="","",IF(AND(Y599&lt;&gt;"参考",G599&gt;=ルール設定!$B$2),"○",""))</f>
        <v>○</v>
      </c>
      <c r="R599" s="8" t="str">
        <f aca="false">IF(A599="","",IF(AND(Y599&lt;&gt;"参考",G599&gt;=ルール設定!$B$3,N599&gt;=ルール設定!$B$4),"○",""))</f>
        <v/>
      </c>
      <c r="S599" s="8" t="str">
        <f aca="false">IF(A599="","",IF(AND(Y599&lt;&gt;"参考",G599&gt;=ルール設定!$B$5,J599&gt;=ルール設定!$B$6,O599&gt;=ルール設定!$B$7),"○",""))</f>
        <v/>
      </c>
      <c r="T599" s="8" t="n">
        <v>2</v>
      </c>
      <c r="U599" s="8" t="n">
        <v>3</v>
      </c>
      <c r="V599" s="8" t="str">
        <f aca="false">IF(A599="","",IF(AND(ISNUMBER(T599),ISNUMBER(U599)),IF(AND(T599&lt;=3,U599&lt;=3),"○","×"),""))</f>
        <v>○</v>
      </c>
      <c r="W599" s="8" t="n">
        <v>110</v>
      </c>
      <c r="X599" s="8" t="n">
        <v>190</v>
      </c>
      <c r="Y599" s="4" t="s">
        <v>7597</v>
      </c>
      <c r="Z599" s="4" t="s">
        <v>7841</v>
      </c>
      <c r="AA599" s="8" t="str">
        <v/>
      </c>
      <c r="AB599" s="8" t="str">
        <v>○</v>
      </c>
      <c r="AC599" s="8" t="str">
        <v>○</v>
      </c>
      <c r="AD599" s="8" t="str">
        <v/>
      </c>
      <c r="AE599" s="8" t="str">
        <v/>
      </c>
      <c r="AF599" s="8" t="str">
        <v/>
      </c>
      <c r="AG599" s="8" t="str">
        <v>○</v>
      </c>
      <c r="AH599" s="8" t="str">
        <v/>
      </c>
      <c r="AI599" s="8" t="n">
        <v>42</v>
      </c>
      <c r="AJ599" s="8" t="str">
        <v>80～84</v>
      </c>
      <c r="AK599" s="8" t="str">
        <v>20～29</v>
      </c>
      <c r="AL599" s="8" t="str">
        <v>40以上</v>
      </c>
      <c r="AM599" s="8" t="str">
        <v>120～139</v>
      </c>
      <c r="AN599" s="8" t="str">
        <v>12～14</v>
      </c>
      <c r="AO599" s="8" t="str">
        <f aca="false">IF(A599="","",IF(COUNTIFS(全馬データ!$A$2:$A$50000,A599,全馬データ!$B$2:$B$50000,B599,全馬データ!$C$2:$C$50000,C599,全馬データ!$D$2:$D$50000,E599,全馬データ!$K$2:$K$50000,"&lt;&gt;")=0,"",SUMIFS(全馬データ!$K$2:$K$50000,全馬データ!$A$2:$A$50000,A599,全馬データ!$B$2:$B$50000,B599,全馬データ!$C$2:$C$50000,C599,全馬データ!$D$2:$D$50000,E599)))</f>
        <v/>
      </c>
      <c r="AP599" s="8" t="str">
        <f aca="false">IF(A599="","",IF(AO599="","欠損",IF(AO599&lt;=1.1,"1.0～1.1",IF(AO599&lt;1.3,"1.2",IF(AO599&lt;1.5,"1.3～1.4",IF(AO599&lt;2,"1.5～1.9","2.0以上"))))))</f>
        <v>欠損</v>
      </c>
      <c r="AQ599" s="8" t="str">
        <f aca="false">IF(A599="","",IF(ISNUMBER(SEARCH("2歳",Z599)),"2歳戦",IF(ISNUMBER(SEARCH("3歳未勝利",Z599)),"3歳未勝利",IF(ISNUMBER(SEARCH("未勝利",Z599)),"その他未勝利",IF(ISNUMBER(SEARCH("G1",Z599)),"G1",IF(ISNUMBER(SEARCH("G2",Z599)),"G2",IF(ISNUMBER(SEARCH("G3",Z599)),"G3",IF(ISNUMBER(SEARCH("古馬条件",Z599)),"古馬条件戦",IF(ISNUMBER(SEARCH("重賞",Z599)),"重賞","分類不能")))))))))</f>
        <v>分類不能</v>
      </c>
      <c r="AR599" s="8"/>
      <c r="AS599" s="8" t="s">
        <v>7623</v>
      </c>
      <c r="AT599" s="8" t="s">
        <v>7624</v>
      </c>
      <c r="AU599" s="8" t="s">
        <v>7600</v>
      </c>
      <c r="AV599" s="4" t="s">
        <v>7601</v>
      </c>
      <c r="AW599" s="8"/>
      <c r="AX599" s="8"/>
      <c r="AY599" s="8" t="s">
        <v>7610</v>
      </c>
      <c r="AZ599" s="4" t="s">
        <v>7617</v>
      </c>
      <c r="BA599" s="8" t="n">
        <v>1800</v>
      </c>
      <c r="BB599" s="8" t="s">
        <v>7618</v>
      </c>
      <c r="BC599" s="4" t="s">
        <v>7619</v>
      </c>
      <c r="BD599" s="8" t="s">
        <v>7605</v>
      </c>
      <c r="BE599" s="4" t="s">
        <v>7606</v>
      </c>
      <c r="BF599" s="8" t="s">
        <v>7607</v>
      </c>
      <c r="BG599" s="8" t="s">
        <v>7608</v>
      </c>
      <c r="BH599" s="4" t="s">
        <v>7609</v>
      </c>
      <c r="BI599" s="8" t="n">
        <v>12</v>
      </c>
      <c r="BJ599" s="8" t="s">
        <v>7610</v>
      </c>
      <c r="BK599" s="4" t="s">
        <v>7611</v>
      </c>
      <c r="BL599" s="8" t="s">
        <v>7602</v>
      </c>
      <c r="BM599" s="4" t="s">
        <v>7620</v>
      </c>
      <c r="BN599" s="8"/>
      <c r="BO599" s="8"/>
      <c r="BP599" s="8" t="s">
        <v>7608</v>
      </c>
      <c r="BQ599" s="8" t="str">
        <f aca="false">IF(A599="","",AT599)</f>
        <v>3歳</v>
      </c>
      <c r="BR599" s="8" t="str">
        <f aca="false">IF(A599="","",IF(BA599&lt;=1200,"～1200",IF(BA599&lt;=1500,"1300～1500",IF(BA599=1600,"1600",IF(BA599&lt;=1800,"1700～1800",IF(BA599&lt;=2000,"1900～2000","2100以上"))))))</f>
        <v>1700～1800</v>
      </c>
      <c r="BS599" s="8" t="str">
        <f aca="false">IF(A599="","",IF(AX599="G1","G1",IF(AX599="G2","G2",IF(AX599="G3","G3",IF(AX599="L","L","その他")))))</f>
        <v>その他</v>
      </c>
      <c r="BT599" s="8" t="str">
        <f aca="false">IF(A599="","",IF(BI599="","未結合",IF(D599=BI599,"一致","不一致")))</f>
        <v>一致</v>
      </c>
      <c r="BU599" s="8" t="str">
        <f aca="false">IF(A599="","",IF(BE599="牝馬限定","牝馬限定","その他"))</f>
        <v>その他</v>
      </c>
    </row>
    <row r="600" customFormat="false" ht="15.75" hidden="false" customHeight="false" outlineLevel="0" collapsed="false">
      <c r="A600" s="6" t="n">
        <v>46166</v>
      </c>
      <c r="B600" s="4" t="s">
        <v>13</v>
      </c>
      <c r="C600" s="8" t="n">
        <v>7</v>
      </c>
      <c r="D600" s="8" t="n">
        <v>15</v>
      </c>
      <c r="E600" s="8" t="n">
        <v>14</v>
      </c>
      <c r="F600" s="4" t="s">
        <v>539</v>
      </c>
      <c r="G600" s="8" t="n">
        <v>52</v>
      </c>
      <c r="H600" s="8" t="n">
        <v>10</v>
      </c>
      <c r="I600" s="4" t="s">
        <v>1646</v>
      </c>
      <c r="J600" s="8" t="n">
        <v>50</v>
      </c>
      <c r="K600" s="8" t="n">
        <v>8</v>
      </c>
      <c r="L600" s="4" t="s">
        <v>5763</v>
      </c>
      <c r="M600" s="8" t="n">
        <v>37</v>
      </c>
      <c r="N600" s="8" t="n">
        <f aca="false">IF(A600="","",G600-J600)</f>
        <v>2</v>
      </c>
      <c r="O600" s="8" t="n">
        <f aca="false">IF(A600="","",J600-M600)</f>
        <v>13</v>
      </c>
      <c r="P600" s="8" t="n">
        <f aca="false">IF(A600="","",G600+J600)</f>
        <v>102</v>
      </c>
      <c r="Q600" s="8" t="str">
        <f aca="false">IF(A600="","",IF(AND(Y600&lt;&gt;"参考",G600&gt;=ルール設定!$B$2),"○",""))</f>
        <v/>
      </c>
      <c r="R600" s="8" t="str">
        <f aca="false">IF(A600="","",IF(AND(Y600&lt;&gt;"参考",G600&gt;=ルール設定!$B$3,N600&gt;=ルール設定!$B$4),"○",""))</f>
        <v/>
      </c>
      <c r="S600" s="8" t="str">
        <f aca="false">IF(A600="","",IF(AND(Y600&lt;&gt;"参考",G600&gt;=ルール設定!$B$5,J600&gt;=ルール設定!$B$6,O600&gt;=ルール設定!$B$7),"○",""))</f>
        <v/>
      </c>
      <c r="T600" s="8" t="n">
        <v>1</v>
      </c>
      <c r="U600" s="8" t="n">
        <v>3</v>
      </c>
      <c r="V600" s="8" t="str">
        <f aca="false">IF(A600="","",IF(AND(ISNUMBER(T600),ISNUMBER(U600)),IF(AND(T600&lt;=3,U600&lt;=3),"○","×"),""))</f>
        <v>○</v>
      </c>
      <c r="W600" s="8" t="n">
        <v>140</v>
      </c>
      <c r="X600" s="8" t="n">
        <v>300</v>
      </c>
      <c r="Y600" s="4" t="s">
        <v>7597</v>
      </c>
      <c r="Z600" s="4" t="s">
        <v>7841</v>
      </c>
      <c r="AA600" s="8" t="str">
        <v/>
      </c>
      <c r="AB600" s="8" t="str">
        <v/>
      </c>
      <c r="AC600" s="8" t="str">
        <v/>
      </c>
      <c r="AD600" s="8" t="str">
        <v/>
      </c>
      <c r="AE600" s="8" t="str">
        <v/>
      </c>
      <c r="AF600" s="8" t="str">
        <v/>
      </c>
      <c r="AG600" s="8" t="str">
        <v/>
      </c>
      <c r="AH600" s="8" t="str">
        <v/>
      </c>
      <c r="AI600" s="8" t="n">
        <v>15</v>
      </c>
      <c r="AJ600" s="8" t="str">
        <v>～59</v>
      </c>
      <c r="AK600" s="8" t="str">
        <v>0～4</v>
      </c>
      <c r="AL600" s="8" t="str">
        <v>10～19</v>
      </c>
      <c r="AM600" s="8" t="str">
        <v>100～119</v>
      </c>
      <c r="AN600" s="8" t="str">
        <v>15以上</v>
      </c>
      <c r="AO600" s="8" t="str">
        <f aca="false">IF(A600="","",IF(COUNTIFS(全馬データ!$A$2:$A$50000,A600,全馬データ!$B$2:$B$50000,B600,全馬データ!$C$2:$C$50000,C600,全馬データ!$D$2:$D$50000,E600,全馬データ!$K$2:$K$50000,"&lt;&gt;")=0,"",SUMIFS(全馬データ!$K$2:$K$50000,全馬データ!$A$2:$A$50000,A600,全馬データ!$B$2:$B$50000,B600,全馬データ!$C$2:$C$50000,C600,全馬データ!$D$2:$D$50000,E600)))</f>
        <v/>
      </c>
      <c r="AP600" s="8" t="str">
        <f aca="false">IF(A600="","",IF(AO600="","欠損",IF(AO600&lt;=1.1,"1.0～1.1",IF(AO600&lt;1.3,"1.2",IF(AO600&lt;1.5,"1.3～1.4",IF(AO600&lt;2,"1.5～1.9","2.0以上"))))))</f>
        <v>欠損</v>
      </c>
      <c r="AQ600" s="8" t="str">
        <f aca="false">IF(A600="","",IF(ISNUMBER(SEARCH("2歳",Z600)),"2歳戦",IF(ISNUMBER(SEARCH("3歳未勝利",Z600)),"3歳未勝利",IF(ISNUMBER(SEARCH("未勝利",Z600)),"その他未勝利",IF(ISNUMBER(SEARCH("G1",Z600)),"G1",IF(ISNUMBER(SEARCH("G2",Z600)),"G2",IF(ISNUMBER(SEARCH("G3",Z600)),"G3",IF(ISNUMBER(SEARCH("古馬条件",Z600)),"古馬条件戦",IF(ISNUMBER(SEARCH("重賞",Z600)),"重賞","分類不能")))))))))</f>
        <v>分類不能</v>
      </c>
      <c r="AR600" s="8"/>
      <c r="AS600" s="8" t="s">
        <v>7842</v>
      </c>
      <c r="AT600" s="8" t="s">
        <v>7843</v>
      </c>
      <c r="AU600" s="8" t="s">
        <v>7628</v>
      </c>
      <c r="AV600" s="8" t="s">
        <v>7629</v>
      </c>
      <c r="AW600" s="8"/>
      <c r="AX600" s="8"/>
      <c r="AY600" s="8" t="s">
        <v>7610</v>
      </c>
      <c r="AZ600" s="4" t="s">
        <v>7617</v>
      </c>
      <c r="BA600" s="8" t="n">
        <v>1200</v>
      </c>
      <c r="BB600" s="8" t="s">
        <v>7618</v>
      </c>
      <c r="BC600" s="4" t="s">
        <v>7619</v>
      </c>
      <c r="BD600" s="8" t="s">
        <v>7852</v>
      </c>
      <c r="BE600" s="4" t="s">
        <v>7606</v>
      </c>
      <c r="BF600" s="8" t="s">
        <v>7607</v>
      </c>
      <c r="BG600" s="8" t="s">
        <v>7631</v>
      </c>
      <c r="BH600" s="4" t="s">
        <v>7632</v>
      </c>
      <c r="BI600" s="8" t="n">
        <v>15</v>
      </c>
      <c r="BJ600" s="8" t="s">
        <v>7610</v>
      </c>
      <c r="BK600" s="4" t="s">
        <v>7611</v>
      </c>
      <c r="BL600" s="8" t="s">
        <v>7602</v>
      </c>
      <c r="BM600" s="4" t="s">
        <v>7620</v>
      </c>
      <c r="BN600" s="8"/>
      <c r="BO600" s="8"/>
      <c r="BP600" s="8" t="s">
        <v>7608</v>
      </c>
      <c r="BQ600" s="8" t="str">
        <f aca="false">IF(A600="","",AT600)</f>
        <v>4歳以上</v>
      </c>
      <c r="BR600" s="8" t="str">
        <f aca="false">IF(A600="","",IF(BA600&lt;=1200,"～1200",IF(BA600&lt;=1500,"1300～1500",IF(BA600=1600,"1600",IF(BA600&lt;=1800,"1700～1800",IF(BA600&lt;=2000,"1900～2000","2100以上"))))))</f>
        <v>～1200</v>
      </c>
      <c r="BS600" s="8" t="str">
        <f aca="false">IF(A600="","",IF(AX600="G1","G1",IF(AX600="G2","G2",IF(AX600="G3","G3",IF(AX600="L","L","その他")))))</f>
        <v>その他</v>
      </c>
      <c r="BT600" s="8" t="str">
        <f aca="false">IF(A600="","",IF(BI600="","未結合",IF(D600=BI600,"一致","不一致")))</f>
        <v>一致</v>
      </c>
      <c r="BU600" s="8" t="str">
        <f aca="false">IF(A600="","",IF(BE600="牝馬限定","牝馬限定","その他"))</f>
        <v>その他</v>
      </c>
    </row>
    <row r="601" customFormat="false" ht="15.75" hidden="false" customHeight="false" outlineLevel="0" collapsed="false">
      <c r="A601" s="6" t="n">
        <v>46166</v>
      </c>
      <c r="B601" s="4" t="s">
        <v>13</v>
      </c>
      <c r="C601" s="8" t="n">
        <v>8</v>
      </c>
      <c r="D601" s="8" t="n">
        <v>16</v>
      </c>
      <c r="E601" s="8" t="n">
        <v>3</v>
      </c>
      <c r="F601" s="4" t="s">
        <v>2133</v>
      </c>
      <c r="G601" s="8" t="n">
        <v>50</v>
      </c>
      <c r="H601" s="8" t="n">
        <v>6</v>
      </c>
      <c r="I601" s="4" t="s">
        <v>3301</v>
      </c>
      <c r="J601" s="8" t="n">
        <v>34</v>
      </c>
      <c r="K601" s="8" t="n">
        <v>5</v>
      </c>
      <c r="L601" s="4" t="s">
        <v>1379</v>
      </c>
      <c r="M601" s="8" t="n">
        <v>29</v>
      </c>
      <c r="N601" s="8" t="n">
        <f aca="false">IF(A601="","",G601-J601)</f>
        <v>16</v>
      </c>
      <c r="O601" s="8" t="n">
        <f aca="false">IF(A601="","",J601-M601)</f>
        <v>5</v>
      </c>
      <c r="P601" s="8" t="n">
        <f aca="false">IF(A601="","",G601+J601)</f>
        <v>84</v>
      </c>
      <c r="Q601" s="8" t="str">
        <f aca="false">IF(A601="","",IF(AND(Y601&lt;&gt;"参考",G601&gt;=ルール設定!$B$2),"○",""))</f>
        <v/>
      </c>
      <c r="R601" s="8" t="str">
        <f aca="false">IF(A601="","",IF(AND(Y601&lt;&gt;"参考",G601&gt;=ルール設定!$B$3,N601&gt;=ルール設定!$B$4),"○",""))</f>
        <v/>
      </c>
      <c r="S601" s="8" t="str">
        <f aca="false">IF(A601="","",IF(AND(Y601&lt;&gt;"参考",G601&gt;=ルール設定!$B$5,J601&gt;=ルール設定!$B$6,O601&gt;=ルール設定!$B$7),"○",""))</f>
        <v/>
      </c>
      <c r="T601" s="8" t="n">
        <v>4</v>
      </c>
      <c r="U601" s="8" t="n">
        <v>1</v>
      </c>
      <c r="V601" s="8" t="str">
        <f aca="false">IF(A601="","",IF(AND(ISNUMBER(T601),ISNUMBER(U601)),IF(AND(T601&lt;=3,U601&lt;=3),"○","×"),""))</f>
        <v>×</v>
      </c>
      <c r="W601" s="8"/>
      <c r="X601" s="8"/>
      <c r="Y601" s="4" t="s">
        <v>7597</v>
      </c>
      <c r="Z601" s="4" t="s">
        <v>7841</v>
      </c>
      <c r="AA601" s="8" t="str">
        <v/>
      </c>
      <c r="AB601" s="8" t="str">
        <v/>
      </c>
      <c r="AC601" s="8" t="str">
        <v/>
      </c>
      <c r="AD601" s="8" t="str">
        <v/>
      </c>
      <c r="AE601" s="8" t="str">
        <v/>
      </c>
      <c r="AF601" s="8" t="str">
        <v/>
      </c>
      <c r="AG601" s="8" t="str">
        <v/>
      </c>
      <c r="AH601" s="8" t="str">
        <v/>
      </c>
      <c r="AI601" s="8" t="n">
        <v>21</v>
      </c>
      <c r="AJ601" s="8" t="str">
        <v>～59</v>
      </c>
      <c r="AK601" s="8" t="str">
        <v>10～19</v>
      </c>
      <c r="AL601" s="8" t="str">
        <v>20～29</v>
      </c>
      <c r="AM601" s="8" t="str">
        <v>～99</v>
      </c>
      <c r="AN601" s="8" t="str">
        <v>15以上</v>
      </c>
      <c r="AO601" s="8" t="str">
        <f aca="false">IF(A601="","",IF(COUNTIFS(全馬データ!$A$2:$A$50000,A601,全馬データ!$B$2:$B$50000,B601,全馬データ!$C$2:$C$50000,C601,全馬データ!$D$2:$D$50000,E601,全馬データ!$K$2:$K$50000,"&lt;&gt;")=0,"",SUMIFS(全馬データ!$K$2:$K$50000,全馬データ!$A$2:$A$50000,A601,全馬データ!$B$2:$B$50000,B601,全馬データ!$C$2:$C$50000,C601,全馬データ!$D$2:$D$50000,E601)))</f>
        <v/>
      </c>
      <c r="AP601" s="8" t="str">
        <f aca="false">IF(A601="","",IF(AO601="","欠損",IF(AO601&lt;=1.1,"1.0～1.1",IF(AO601&lt;1.3,"1.2",IF(AO601&lt;1.5,"1.3～1.4",IF(AO601&lt;2,"1.5～1.9","2.0以上"))))))</f>
        <v>欠損</v>
      </c>
      <c r="AQ601" s="8" t="str">
        <f aca="false">IF(A601="","",IF(ISNUMBER(SEARCH("2歳",Z601)),"2歳戦",IF(ISNUMBER(SEARCH("3歳未勝利",Z601)),"3歳未勝利",IF(ISNUMBER(SEARCH("未勝利",Z601)),"その他未勝利",IF(ISNUMBER(SEARCH("G1",Z601)),"G1",IF(ISNUMBER(SEARCH("G2",Z601)),"G2",IF(ISNUMBER(SEARCH("G3",Z601)),"G3",IF(ISNUMBER(SEARCH("古馬条件",Z601)),"古馬条件戦",IF(ISNUMBER(SEARCH("重賞",Z601)),"重賞","分類不能")))))))))</f>
        <v>分類不能</v>
      </c>
      <c r="AR601" s="8"/>
      <c r="AS601" s="8" t="s">
        <v>7842</v>
      </c>
      <c r="AT601" s="8" t="s">
        <v>7843</v>
      </c>
      <c r="AU601" s="8" t="s">
        <v>7628</v>
      </c>
      <c r="AV601" s="8" t="s">
        <v>7629</v>
      </c>
      <c r="AW601" s="8"/>
      <c r="AX601" s="8"/>
      <c r="AY601" s="8" t="s">
        <v>7602</v>
      </c>
      <c r="AZ601" s="4" t="s">
        <v>7603</v>
      </c>
      <c r="BA601" s="8" t="n">
        <v>1200</v>
      </c>
      <c r="BB601" s="8" t="s">
        <v>7618</v>
      </c>
      <c r="BC601" s="4" t="s">
        <v>7619</v>
      </c>
      <c r="BD601" s="8" t="s">
        <v>7605</v>
      </c>
      <c r="BE601" s="4" t="s">
        <v>7606</v>
      </c>
      <c r="BF601" s="8" t="s">
        <v>7607</v>
      </c>
      <c r="BG601" s="8" t="s">
        <v>7631</v>
      </c>
      <c r="BH601" s="4" t="s">
        <v>7632</v>
      </c>
      <c r="BI601" s="8" t="n">
        <v>16</v>
      </c>
      <c r="BJ601" s="8" t="s">
        <v>7610</v>
      </c>
      <c r="BK601" s="4" t="s">
        <v>7611</v>
      </c>
      <c r="BL601" s="8" t="s">
        <v>7602</v>
      </c>
      <c r="BM601" s="4" t="s">
        <v>7620</v>
      </c>
      <c r="BN601" s="8" t="s">
        <v>7631</v>
      </c>
      <c r="BO601" s="8" t="s">
        <v>7680</v>
      </c>
      <c r="BP601" s="8" t="s">
        <v>7608</v>
      </c>
      <c r="BQ601" s="8" t="str">
        <f aca="false">IF(A601="","",AT601)</f>
        <v>4歳以上</v>
      </c>
      <c r="BR601" s="8" t="str">
        <f aca="false">IF(A601="","",IF(BA601&lt;=1200,"～1200",IF(BA601&lt;=1500,"1300～1500",IF(BA601=1600,"1600",IF(BA601&lt;=1800,"1700～1800",IF(BA601&lt;=2000,"1900～2000","2100以上"))))))</f>
        <v>～1200</v>
      </c>
      <c r="BS601" s="8" t="str">
        <f aca="false">IF(A601="","",IF(AX601="G1","G1",IF(AX601="G2","G2",IF(AX601="G3","G3",IF(AX601="L","L","その他")))))</f>
        <v>その他</v>
      </c>
      <c r="BT601" s="8" t="str">
        <f aca="false">IF(A601="","",IF(BI601="","未結合",IF(D601=BI601,"一致","不一致")))</f>
        <v>一致</v>
      </c>
      <c r="BU601" s="8" t="str">
        <f aca="false">IF(A601="","",IF(BE601="牝馬限定","牝馬限定","その他"))</f>
        <v>その他</v>
      </c>
    </row>
    <row r="602" customFormat="false" ht="15.75" hidden="false" customHeight="false" outlineLevel="0" collapsed="false">
      <c r="A602" s="6" t="n">
        <v>46166</v>
      </c>
      <c r="B602" s="4" t="s">
        <v>13</v>
      </c>
      <c r="C602" s="8" t="n">
        <v>9</v>
      </c>
      <c r="D602" s="8" t="n">
        <v>14</v>
      </c>
      <c r="E602" s="8" t="n">
        <v>9</v>
      </c>
      <c r="F602" s="4" t="s">
        <v>4740</v>
      </c>
      <c r="G602" s="8" t="n">
        <v>56</v>
      </c>
      <c r="H602" s="8" t="n">
        <v>12</v>
      </c>
      <c r="I602" s="4" t="s">
        <v>4068</v>
      </c>
      <c r="J602" s="8" t="n">
        <v>50</v>
      </c>
      <c r="K602" s="8" t="n">
        <v>10</v>
      </c>
      <c r="L602" s="4" t="s">
        <v>5774</v>
      </c>
      <c r="M602" s="8" t="n">
        <v>34</v>
      </c>
      <c r="N602" s="8" t="n">
        <f aca="false">IF(A602="","",G602-J602)</f>
        <v>6</v>
      </c>
      <c r="O602" s="8" t="n">
        <f aca="false">IF(A602="","",J602-M602)</f>
        <v>16</v>
      </c>
      <c r="P602" s="8" t="n">
        <f aca="false">IF(A602="","",G602+J602)</f>
        <v>106</v>
      </c>
      <c r="Q602" s="8" t="str">
        <f aca="false">IF(A602="","",IF(AND(Y602&lt;&gt;"参考",G602&gt;=ルール設定!$B$2),"○",""))</f>
        <v/>
      </c>
      <c r="R602" s="8" t="str">
        <f aca="false">IF(A602="","",IF(AND(Y602&lt;&gt;"参考",G602&gt;=ルール設定!$B$3,N602&gt;=ルール設定!$B$4),"○",""))</f>
        <v/>
      </c>
      <c r="S602" s="8" t="str">
        <f aca="false">IF(A602="","",IF(AND(Y602&lt;&gt;"参考",G602&gt;=ルール設定!$B$5,J602&gt;=ルール設定!$B$6,O602&gt;=ルール設定!$B$7),"○",""))</f>
        <v/>
      </c>
      <c r="T602" s="8" t="n">
        <v>1</v>
      </c>
      <c r="U602" s="8" t="n">
        <v>4</v>
      </c>
      <c r="V602" s="8" t="str">
        <f aca="false">IF(A602="","",IF(AND(ISNUMBER(T602),ISNUMBER(U602)),IF(AND(T602&lt;=3,U602&lt;=3),"○","×"),""))</f>
        <v>×</v>
      </c>
      <c r="W602" s="8" t="n">
        <v>170</v>
      </c>
      <c r="X602" s="8"/>
      <c r="Y602" s="4" t="s">
        <v>7597</v>
      </c>
      <c r="Z602" s="4" t="s">
        <v>7841</v>
      </c>
      <c r="AA602" s="8" t="str">
        <v/>
      </c>
      <c r="AB602" s="8" t="str">
        <v/>
      </c>
      <c r="AC602" s="8" t="str">
        <v/>
      </c>
      <c r="AD602" s="8" t="str">
        <v/>
      </c>
      <c r="AE602" s="8" t="str">
        <v/>
      </c>
      <c r="AF602" s="8" t="str">
        <v/>
      </c>
      <c r="AG602" s="8" t="str">
        <v/>
      </c>
      <c r="AH602" s="8" t="str">
        <v/>
      </c>
      <c r="AI602" s="8" t="n">
        <v>22</v>
      </c>
      <c r="AJ602" s="8" t="str">
        <v>～59</v>
      </c>
      <c r="AK602" s="8" t="str">
        <v>5～9</v>
      </c>
      <c r="AL602" s="8" t="str">
        <v>20～29</v>
      </c>
      <c r="AM602" s="8" t="str">
        <v>100～119</v>
      </c>
      <c r="AN602" s="8" t="str">
        <v>12～14</v>
      </c>
      <c r="AO602" s="8" t="str">
        <f aca="false">IF(A602="","",IF(COUNTIFS(全馬データ!$A$2:$A$50000,A602,全馬データ!$B$2:$B$50000,B602,全馬データ!$C$2:$C$50000,C602,全馬データ!$D$2:$D$50000,E602,全馬データ!$K$2:$K$50000,"&lt;&gt;")=0,"",SUMIFS(全馬データ!$K$2:$K$50000,全馬データ!$A$2:$A$50000,A602,全馬データ!$B$2:$B$50000,B602,全馬データ!$C$2:$C$50000,C602,全馬データ!$D$2:$D$50000,E602)))</f>
        <v/>
      </c>
      <c r="AP602" s="8" t="str">
        <f aca="false">IF(A602="","",IF(AO602="","欠損",IF(AO602&lt;=1.1,"1.0～1.1",IF(AO602&lt;1.3,"1.2",IF(AO602&lt;1.5,"1.3～1.4",IF(AO602&lt;2,"1.5～1.9","2.0以上"))))))</f>
        <v>欠損</v>
      </c>
      <c r="AQ602" s="8" t="str">
        <f aca="false">IF(A602="","",IF(ISNUMBER(SEARCH("2歳",Z602)),"2歳戦",IF(ISNUMBER(SEARCH("3歳未勝利",Z602)),"3歳未勝利",IF(ISNUMBER(SEARCH("未勝利",Z602)),"その他未勝利",IF(ISNUMBER(SEARCH("G1",Z602)),"G1",IF(ISNUMBER(SEARCH("G2",Z602)),"G2",IF(ISNUMBER(SEARCH("G3",Z602)),"G3",IF(ISNUMBER(SEARCH("古馬条件",Z602)),"古馬条件戦",IF(ISNUMBER(SEARCH("重賞",Z602)),"重賞","分類不能")))))))))</f>
        <v>分類不能</v>
      </c>
      <c r="AR602" s="4" t="s">
        <v>7865</v>
      </c>
      <c r="AS602" s="8" t="s">
        <v>7842</v>
      </c>
      <c r="AT602" s="8" t="s">
        <v>7843</v>
      </c>
      <c r="AU602" s="8" t="s">
        <v>7628</v>
      </c>
      <c r="AV602" s="8" t="s">
        <v>7629</v>
      </c>
      <c r="AW602" s="8" t="s">
        <v>7636</v>
      </c>
      <c r="AX602" s="4" t="s">
        <v>7637</v>
      </c>
      <c r="AY602" s="8" t="s">
        <v>7602</v>
      </c>
      <c r="AZ602" s="4" t="s">
        <v>7603</v>
      </c>
      <c r="BA602" s="8" t="n">
        <v>1800</v>
      </c>
      <c r="BB602" s="8" t="s">
        <v>7618</v>
      </c>
      <c r="BC602" s="4" t="s">
        <v>7619</v>
      </c>
      <c r="BD602" s="8" t="s">
        <v>7605</v>
      </c>
      <c r="BE602" s="4" t="s">
        <v>7606</v>
      </c>
      <c r="BF602" s="8" t="s">
        <v>7607</v>
      </c>
      <c r="BG602" s="8" t="s">
        <v>7631</v>
      </c>
      <c r="BH602" s="4" t="s">
        <v>7632</v>
      </c>
      <c r="BI602" s="8" t="n">
        <v>14</v>
      </c>
      <c r="BJ602" s="8" t="s">
        <v>7610</v>
      </c>
      <c r="BK602" s="4" t="s">
        <v>7611</v>
      </c>
      <c r="BL602" s="8" t="s">
        <v>7610</v>
      </c>
      <c r="BM602" s="4" t="s">
        <v>7612</v>
      </c>
      <c r="BN602" s="8" t="s">
        <v>7631</v>
      </c>
      <c r="BO602" s="8" t="s">
        <v>7680</v>
      </c>
      <c r="BP602" s="8" t="s">
        <v>7608</v>
      </c>
      <c r="BQ602" s="8" t="str">
        <f aca="false">IF(A602="","",AT602)</f>
        <v>4歳以上</v>
      </c>
      <c r="BR602" s="8" t="str">
        <f aca="false">IF(A602="","",IF(BA602&lt;=1200,"～1200",IF(BA602&lt;=1500,"1300～1500",IF(BA602=1600,"1600",IF(BA602&lt;=1800,"1700～1800",IF(BA602&lt;=2000,"1900～2000","2100以上"))))))</f>
        <v>1700～1800</v>
      </c>
      <c r="BS602" s="8" t="str">
        <f aca="false">IF(A602="","",IF(AX602="G1","G1",IF(AX602="G2","G2",IF(AX602="G3","G3",IF(AX602="L","L","その他")))))</f>
        <v>その他</v>
      </c>
      <c r="BT602" s="8" t="str">
        <f aca="false">IF(A602="","",IF(BI602="","未結合",IF(D602=BI602,"一致","不一致")))</f>
        <v>一致</v>
      </c>
      <c r="BU602" s="8" t="str">
        <f aca="false">IF(A602="","",IF(BE602="牝馬限定","牝馬限定","その他"))</f>
        <v>その他</v>
      </c>
    </row>
    <row r="603" customFormat="false" ht="15.75" hidden="false" customHeight="false" outlineLevel="0" collapsed="false">
      <c r="A603" s="6" t="n">
        <v>46166</v>
      </c>
      <c r="B603" s="4" t="s">
        <v>13</v>
      </c>
      <c r="C603" s="8" t="n">
        <v>10</v>
      </c>
      <c r="D603" s="8" t="n">
        <v>15</v>
      </c>
      <c r="E603" s="8" t="n">
        <v>7</v>
      </c>
      <c r="F603" s="4" t="s">
        <v>5780</v>
      </c>
      <c r="G603" s="8" t="n">
        <v>60</v>
      </c>
      <c r="H603" s="8" t="n">
        <v>14</v>
      </c>
      <c r="I603" s="4" t="s">
        <v>2416</v>
      </c>
      <c r="J603" s="8" t="n">
        <v>44</v>
      </c>
      <c r="K603" s="8" t="n">
        <v>2</v>
      </c>
      <c r="L603" s="4" t="s">
        <v>4154</v>
      </c>
      <c r="M603" s="8" t="n">
        <v>41</v>
      </c>
      <c r="N603" s="8" t="n">
        <f aca="false">IF(A603="","",G603-J603)</f>
        <v>16</v>
      </c>
      <c r="O603" s="8" t="n">
        <f aca="false">IF(A603="","",J603-M603)</f>
        <v>3</v>
      </c>
      <c r="P603" s="8" t="n">
        <f aca="false">IF(A603="","",G603+J603)</f>
        <v>104</v>
      </c>
      <c r="Q603" s="8" t="str">
        <f aca="false">IF(A603="","",IF(AND(Y603&lt;&gt;"参考",G603&gt;=ルール設定!$B$2),"○",""))</f>
        <v/>
      </c>
      <c r="R603" s="8" t="str">
        <f aca="false">IF(A603="","",IF(AND(Y603&lt;&gt;"参考",G603&gt;=ルール設定!$B$3,N603&gt;=ルール設定!$B$4),"○",""))</f>
        <v/>
      </c>
      <c r="S603" s="8" t="str">
        <f aca="false">IF(A603="","",IF(AND(Y603&lt;&gt;"参考",G603&gt;=ルール設定!$B$5,J603&gt;=ルール設定!$B$6,O603&gt;=ルール設定!$B$7),"○",""))</f>
        <v/>
      </c>
      <c r="T603" s="8" t="n">
        <v>4</v>
      </c>
      <c r="U603" s="8" t="n">
        <v>3</v>
      </c>
      <c r="V603" s="8" t="str">
        <f aca="false">IF(A603="","",IF(AND(ISNUMBER(T603),ISNUMBER(U603)),IF(AND(T603&lt;=3,U603&lt;=3),"○","×"),""))</f>
        <v>×</v>
      </c>
      <c r="W603" s="8"/>
      <c r="X603" s="8"/>
      <c r="Y603" s="4" t="s">
        <v>7597</v>
      </c>
      <c r="Z603" s="4" t="s">
        <v>7841</v>
      </c>
      <c r="AA603" s="8" t="str">
        <v/>
      </c>
      <c r="AB603" s="8" t="str">
        <v/>
      </c>
      <c r="AC603" s="8" t="str">
        <v/>
      </c>
      <c r="AD603" s="8" t="str">
        <v/>
      </c>
      <c r="AE603" s="8" t="str">
        <v/>
      </c>
      <c r="AF603" s="8" t="str">
        <v/>
      </c>
      <c r="AG603" s="8" t="str">
        <v/>
      </c>
      <c r="AH603" s="8" t="str">
        <v/>
      </c>
      <c r="AI603" s="8" t="n">
        <v>19</v>
      </c>
      <c r="AJ603" s="8" t="str">
        <v>60～69</v>
      </c>
      <c r="AK603" s="8" t="str">
        <v>10～19</v>
      </c>
      <c r="AL603" s="8" t="str">
        <v>10～19</v>
      </c>
      <c r="AM603" s="8" t="str">
        <v>100～119</v>
      </c>
      <c r="AN603" s="8" t="str">
        <v>15以上</v>
      </c>
      <c r="AO603" s="8" t="str">
        <f aca="false">IF(A603="","",IF(COUNTIFS(全馬データ!$A$2:$A$50000,A603,全馬データ!$B$2:$B$50000,B603,全馬データ!$C$2:$C$50000,C603,全馬データ!$D$2:$D$50000,E603,全馬データ!$K$2:$K$50000,"&lt;&gt;")=0,"",SUMIFS(全馬データ!$K$2:$K$50000,全馬データ!$A$2:$A$50000,A603,全馬データ!$B$2:$B$50000,B603,全馬データ!$C$2:$C$50000,C603,全馬データ!$D$2:$D$50000,E603)))</f>
        <v/>
      </c>
      <c r="AP603" s="8" t="str">
        <f aca="false">IF(A603="","",IF(AO603="","欠損",IF(AO603&lt;=1.1,"1.0～1.1",IF(AO603&lt;1.3,"1.2",IF(AO603&lt;1.5,"1.3～1.4",IF(AO603&lt;2,"1.5～1.9","2.0以上"))))))</f>
        <v>欠損</v>
      </c>
      <c r="AQ603" s="8" t="str">
        <f aca="false">IF(A603="","",IF(ISNUMBER(SEARCH("2歳",Z603)),"2歳戦",IF(ISNUMBER(SEARCH("3歳未勝利",Z603)),"3歳未勝利",IF(ISNUMBER(SEARCH("未勝利",Z603)),"その他未勝利",IF(ISNUMBER(SEARCH("G1",Z603)),"G1",IF(ISNUMBER(SEARCH("G2",Z603)),"G2",IF(ISNUMBER(SEARCH("G3",Z603)),"G3",IF(ISNUMBER(SEARCH("古馬条件",Z603)),"古馬条件戦",IF(ISNUMBER(SEARCH("重賞",Z603)),"重賞","分類不能")))))))))</f>
        <v>分類不能</v>
      </c>
      <c r="AR603" s="4" t="s">
        <v>7866</v>
      </c>
      <c r="AS603" s="8" t="s">
        <v>7842</v>
      </c>
      <c r="AT603" s="8" t="s">
        <v>7843</v>
      </c>
      <c r="AU603" s="8" t="s">
        <v>7634</v>
      </c>
      <c r="AV603" s="8" t="s">
        <v>7635</v>
      </c>
      <c r="AW603" s="8" t="s">
        <v>7636</v>
      </c>
      <c r="AX603" s="4" t="s">
        <v>7637</v>
      </c>
      <c r="AY603" s="8" t="s">
        <v>7610</v>
      </c>
      <c r="AZ603" s="4" t="s">
        <v>7617</v>
      </c>
      <c r="BA603" s="8" t="n">
        <v>1200</v>
      </c>
      <c r="BB603" s="8" t="s">
        <v>7618</v>
      </c>
      <c r="BC603" s="4" t="s">
        <v>7619</v>
      </c>
      <c r="BD603" s="8" t="s">
        <v>7605</v>
      </c>
      <c r="BE603" s="4" t="s">
        <v>7606</v>
      </c>
      <c r="BF603" s="8" t="s">
        <v>7607</v>
      </c>
      <c r="BG603" s="8" t="s">
        <v>7631</v>
      </c>
      <c r="BH603" s="4" t="s">
        <v>7632</v>
      </c>
      <c r="BI603" s="8" t="n">
        <v>15</v>
      </c>
      <c r="BJ603" s="8" t="s">
        <v>7610</v>
      </c>
      <c r="BK603" s="4" t="s">
        <v>7611</v>
      </c>
      <c r="BL603" s="8" t="s">
        <v>7602</v>
      </c>
      <c r="BM603" s="4" t="s">
        <v>7620</v>
      </c>
      <c r="BN603" s="8"/>
      <c r="BO603" s="8"/>
      <c r="BP603" s="8" t="s">
        <v>7608</v>
      </c>
      <c r="BQ603" s="8" t="str">
        <f aca="false">IF(A603="","",AT603)</f>
        <v>4歳以上</v>
      </c>
      <c r="BR603" s="8" t="str">
        <f aca="false">IF(A603="","",IF(BA603&lt;=1200,"～1200",IF(BA603&lt;=1500,"1300～1500",IF(BA603=1600,"1600",IF(BA603&lt;=1800,"1700～1800",IF(BA603&lt;=2000,"1900～2000","2100以上"))))))</f>
        <v>～1200</v>
      </c>
      <c r="BS603" s="8" t="str">
        <f aca="false">IF(A603="","",IF(AX603="G1","G1",IF(AX603="G2","G2",IF(AX603="G3","G3",IF(AX603="L","L","その他")))))</f>
        <v>その他</v>
      </c>
      <c r="BT603" s="8" t="str">
        <f aca="false">IF(A603="","",IF(BI603="","未結合",IF(D603=BI603,"一致","不一致")))</f>
        <v>一致</v>
      </c>
      <c r="BU603" s="8" t="str">
        <f aca="false">IF(A603="","",IF(BE603="牝馬限定","牝馬限定","その他"))</f>
        <v>その他</v>
      </c>
    </row>
    <row r="604" customFormat="false" ht="15.75" hidden="false" customHeight="false" outlineLevel="0" collapsed="false">
      <c r="A604" s="6" t="n">
        <v>46166</v>
      </c>
      <c r="B604" s="4" t="s">
        <v>13</v>
      </c>
      <c r="C604" s="8" t="n">
        <v>11</v>
      </c>
      <c r="D604" s="8" t="n">
        <v>16</v>
      </c>
      <c r="E604" s="8" t="n">
        <v>14</v>
      </c>
      <c r="F604" s="4" t="s">
        <v>4055</v>
      </c>
      <c r="G604" s="8" t="n">
        <v>62</v>
      </c>
      <c r="H604" s="8" t="n">
        <v>12</v>
      </c>
      <c r="I604" s="4" t="s">
        <v>4046</v>
      </c>
      <c r="J604" s="8" t="n">
        <v>29</v>
      </c>
      <c r="K604" s="8" t="n">
        <v>1</v>
      </c>
      <c r="L604" s="4" t="s">
        <v>1220</v>
      </c>
      <c r="M604" s="8" t="n">
        <v>23</v>
      </c>
      <c r="N604" s="8" t="n">
        <f aca="false">IF(A604="","",G604-J604)</f>
        <v>33</v>
      </c>
      <c r="O604" s="8" t="n">
        <f aca="false">IF(A604="","",J604-M604)</f>
        <v>6</v>
      </c>
      <c r="P604" s="8" t="n">
        <f aca="false">IF(A604="","",G604+J604)</f>
        <v>91</v>
      </c>
      <c r="Q604" s="8" t="str">
        <f aca="false">IF(A604="","",IF(AND(Y604&lt;&gt;"参考",G604&gt;=ルール設定!$B$2),"○",""))</f>
        <v/>
      </c>
      <c r="R604" s="8" t="str">
        <f aca="false">IF(A604="","",IF(AND(Y604&lt;&gt;"参考",G604&gt;=ルール設定!$B$3,N604&gt;=ルール設定!$B$4),"○",""))</f>
        <v/>
      </c>
      <c r="S604" s="8" t="str">
        <f aca="false">IF(A604="","",IF(AND(Y604&lt;&gt;"参考",G604&gt;=ルール設定!$B$5,J604&gt;=ルール設定!$B$6,O604&gt;=ルール設定!$B$7),"○",""))</f>
        <v/>
      </c>
      <c r="T604" s="8" t="n">
        <v>2</v>
      </c>
      <c r="U604" s="8" t="n">
        <v>4</v>
      </c>
      <c r="V604" s="8" t="str">
        <f aca="false">IF(A604="","",IF(AND(ISNUMBER(T604),ISNUMBER(U604)),IF(AND(T604&lt;=3,U604&lt;=3),"○","×"),""))</f>
        <v>×</v>
      </c>
      <c r="W604" s="8" t="n">
        <v>180</v>
      </c>
      <c r="X604" s="8"/>
      <c r="Y604" s="4" t="s">
        <v>7597</v>
      </c>
      <c r="Z604" s="4" t="s">
        <v>7841</v>
      </c>
      <c r="AA604" s="8" t="str">
        <v/>
      </c>
      <c r="AB604" s="8" t="str">
        <v/>
      </c>
      <c r="AC604" s="8" t="str">
        <v/>
      </c>
      <c r="AD604" s="8" t="str">
        <v/>
      </c>
      <c r="AE604" s="8" t="str">
        <v/>
      </c>
      <c r="AF604" s="8" t="str">
        <v/>
      </c>
      <c r="AG604" s="8" t="str">
        <v/>
      </c>
      <c r="AH604" s="8" t="str">
        <v/>
      </c>
      <c r="AI604" s="8" t="n">
        <v>39</v>
      </c>
      <c r="AJ604" s="8" t="str">
        <v>60～69</v>
      </c>
      <c r="AK604" s="8" t="str">
        <v>30以上</v>
      </c>
      <c r="AL604" s="8" t="str">
        <v>30～39</v>
      </c>
      <c r="AM604" s="8" t="str">
        <v>～99</v>
      </c>
      <c r="AN604" s="8" t="str">
        <v>15以上</v>
      </c>
      <c r="AO604" s="8" t="str">
        <f aca="false">IF(A604="","",IF(COUNTIFS(全馬データ!$A$2:$A$50000,A604,全馬データ!$B$2:$B$50000,B604,全馬データ!$C$2:$C$50000,C604,全馬データ!$D$2:$D$50000,E604,全馬データ!$K$2:$K$50000,"&lt;&gt;")=0,"",SUMIFS(全馬データ!$K$2:$K$50000,全馬データ!$A$2:$A$50000,A604,全馬データ!$B$2:$B$50000,B604,全馬データ!$C$2:$C$50000,C604,全馬データ!$D$2:$D$50000,E604)))</f>
        <v/>
      </c>
      <c r="AP604" s="8" t="str">
        <f aca="false">IF(A604="","",IF(AO604="","欠損",IF(AO604&lt;=1.1,"1.0～1.1",IF(AO604&lt;1.3,"1.2",IF(AO604&lt;1.5,"1.3～1.4",IF(AO604&lt;2,"1.5～1.9","2.0以上"))))))</f>
        <v>欠損</v>
      </c>
      <c r="AQ604" s="8" t="str">
        <f aca="false">IF(A604="","",IF(ISNUMBER(SEARCH("2歳",Z604)),"2歳戦",IF(ISNUMBER(SEARCH("3歳未勝利",Z604)),"3歳未勝利",IF(ISNUMBER(SEARCH("未勝利",Z604)),"その他未勝利",IF(ISNUMBER(SEARCH("G1",Z604)),"G1",IF(ISNUMBER(SEARCH("G2",Z604)),"G2",IF(ISNUMBER(SEARCH("G3",Z604)),"G3",IF(ISNUMBER(SEARCH("古馬条件",Z604)),"古馬条件戦",IF(ISNUMBER(SEARCH("重賞",Z604)),"重賞","分類不能")))))))))</f>
        <v>分類不能</v>
      </c>
      <c r="AR604" s="4" t="s">
        <v>7867</v>
      </c>
      <c r="AS604" s="8" t="s">
        <v>7842</v>
      </c>
      <c r="AT604" s="8" t="s">
        <v>7843</v>
      </c>
      <c r="AU604" s="8" t="s">
        <v>7643</v>
      </c>
      <c r="AV604" s="4" t="s">
        <v>7644</v>
      </c>
      <c r="AW604" s="8" t="s">
        <v>7636</v>
      </c>
      <c r="AX604" s="4" t="s">
        <v>7637</v>
      </c>
      <c r="AY604" s="8" t="s">
        <v>7602</v>
      </c>
      <c r="AZ604" s="4" t="s">
        <v>7603</v>
      </c>
      <c r="BA604" s="8" t="n">
        <v>1000</v>
      </c>
      <c r="BB604" s="8" t="s">
        <v>7618</v>
      </c>
      <c r="BC604" s="4" t="s">
        <v>7619</v>
      </c>
      <c r="BD604" s="8" t="s">
        <v>7666</v>
      </c>
      <c r="BE604" s="4" t="s">
        <v>7606</v>
      </c>
      <c r="BF604" s="8" t="s">
        <v>7607</v>
      </c>
      <c r="BG604" s="8" t="s">
        <v>7602</v>
      </c>
      <c r="BH604" s="4" t="s">
        <v>7667</v>
      </c>
      <c r="BI604" s="8" t="n">
        <v>16</v>
      </c>
      <c r="BJ604" s="8" t="s">
        <v>7608</v>
      </c>
      <c r="BK604" s="4" t="s">
        <v>7649</v>
      </c>
      <c r="BL604" s="8" t="s">
        <v>7647</v>
      </c>
      <c r="BM604" s="4" t="s">
        <v>7648</v>
      </c>
      <c r="BN604" s="8" t="s">
        <v>7631</v>
      </c>
      <c r="BO604" s="8" t="s">
        <v>7680</v>
      </c>
      <c r="BP604" s="8" t="s">
        <v>7608</v>
      </c>
      <c r="BQ604" s="8" t="str">
        <f aca="false">IF(A604="","",AT604)</f>
        <v>4歳以上</v>
      </c>
      <c r="BR604" s="8" t="str">
        <f aca="false">IF(A604="","",IF(BA604&lt;=1200,"～1200",IF(BA604&lt;=1500,"1300～1500",IF(BA604=1600,"1600",IF(BA604&lt;=1800,"1700～1800",IF(BA604&lt;=2000,"1900～2000","2100以上"))))))</f>
        <v>～1200</v>
      </c>
      <c r="BS604" s="8" t="str">
        <f aca="false">IF(A604="","",IF(AX604="G1","G1",IF(AX604="G2","G2",IF(AX604="G3","G3",IF(AX604="L","L","その他")))))</f>
        <v>その他</v>
      </c>
      <c r="BT604" s="8" t="str">
        <f aca="false">IF(A604="","",IF(BI604="","未結合",IF(D604=BI604,"一致","不一致")))</f>
        <v>一致</v>
      </c>
      <c r="BU604" s="8" t="str">
        <f aca="false">IF(A604="","",IF(BE604="牝馬限定","牝馬限定","その他"))</f>
        <v>その他</v>
      </c>
    </row>
    <row r="605" customFormat="false" ht="15.75" hidden="false" customHeight="false" outlineLevel="0" collapsed="false">
      <c r="A605" s="6" t="n">
        <v>46166</v>
      </c>
      <c r="B605" s="4" t="s">
        <v>13</v>
      </c>
      <c r="C605" s="8" t="n">
        <v>12</v>
      </c>
      <c r="D605" s="8" t="n">
        <v>15</v>
      </c>
      <c r="E605" s="8" t="n">
        <v>10</v>
      </c>
      <c r="F605" s="4" t="s">
        <v>5793</v>
      </c>
      <c r="G605" s="8" t="n">
        <v>65</v>
      </c>
      <c r="H605" s="8" t="n">
        <v>2</v>
      </c>
      <c r="I605" s="4" t="s">
        <v>2124</v>
      </c>
      <c r="J605" s="8" t="n">
        <v>47</v>
      </c>
      <c r="K605" s="8" t="n">
        <v>3</v>
      </c>
      <c r="L605" s="4" t="s">
        <v>5789</v>
      </c>
      <c r="M605" s="8" t="n">
        <v>37</v>
      </c>
      <c r="N605" s="8" t="n">
        <f aca="false">IF(A605="","",G605-J605)</f>
        <v>18</v>
      </c>
      <c r="O605" s="8" t="n">
        <f aca="false">IF(A605="","",J605-M605)</f>
        <v>10</v>
      </c>
      <c r="P605" s="8" t="n">
        <f aca="false">IF(A605="","",G605+J605)</f>
        <v>112</v>
      </c>
      <c r="Q605" s="8" t="str">
        <f aca="false">IF(A605="","",IF(AND(Y605&lt;&gt;"参考",G605&gt;=ルール設定!$B$2),"○",""))</f>
        <v/>
      </c>
      <c r="R605" s="8" t="str">
        <f aca="false">IF(A605="","",IF(AND(Y605&lt;&gt;"参考",G605&gt;=ルール設定!$B$3,N605&gt;=ルール設定!$B$4),"○",""))</f>
        <v/>
      </c>
      <c r="S605" s="8" t="str">
        <f aca="false">IF(A605="","",IF(AND(Y605&lt;&gt;"参考",G605&gt;=ルール設定!$B$5,J605&gt;=ルール設定!$B$6,O605&gt;=ルール設定!$B$7),"○",""))</f>
        <v/>
      </c>
      <c r="T605" s="8" t="n">
        <v>3</v>
      </c>
      <c r="U605" s="8" t="n">
        <v>4</v>
      </c>
      <c r="V605" s="8" t="str">
        <f aca="false">IF(A605="","",IF(AND(ISNUMBER(T605),ISNUMBER(U605)),IF(AND(T605&lt;=3,U605&lt;=3),"○","×"),""))</f>
        <v>×</v>
      </c>
      <c r="W605" s="8" t="n">
        <v>150</v>
      </c>
      <c r="X605" s="8"/>
      <c r="Y605" s="4" t="s">
        <v>7597</v>
      </c>
      <c r="Z605" s="4" t="s">
        <v>7841</v>
      </c>
      <c r="AA605" s="8" t="str">
        <v/>
      </c>
      <c r="AB605" s="8" t="str">
        <v/>
      </c>
      <c r="AC605" s="8" t="str">
        <v/>
      </c>
      <c r="AD605" s="8" t="str">
        <v/>
      </c>
      <c r="AE605" s="8" t="str">
        <v/>
      </c>
      <c r="AF605" s="8" t="str">
        <v/>
      </c>
      <c r="AG605" s="8" t="str">
        <v/>
      </c>
      <c r="AH605" s="8" t="str">
        <v/>
      </c>
      <c r="AI605" s="8" t="n">
        <v>28</v>
      </c>
      <c r="AJ605" s="8" t="str">
        <v>60～69</v>
      </c>
      <c r="AK605" s="8" t="str">
        <v>10～19</v>
      </c>
      <c r="AL605" s="8" t="str">
        <v>20～29</v>
      </c>
      <c r="AM605" s="8" t="str">
        <v>100～119</v>
      </c>
      <c r="AN605" s="8" t="str">
        <v>15以上</v>
      </c>
      <c r="AO605" s="8" t="str">
        <f aca="false">IF(A605="","",IF(COUNTIFS(全馬データ!$A$2:$A$50000,A605,全馬データ!$B$2:$B$50000,B605,全馬データ!$C$2:$C$50000,C605,全馬データ!$D$2:$D$50000,E605,全馬データ!$K$2:$K$50000,"&lt;&gt;")=0,"",SUMIFS(全馬データ!$K$2:$K$50000,全馬データ!$A$2:$A$50000,A605,全馬データ!$B$2:$B$50000,B605,全馬データ!$C$2:$C$50000,C605,全馬データ!$D$2:$D$50000,E605)))</f>
        <v/>
      </c>
      <c r="AP605" s="8" t="str">
        <f aca="false">IF(A605="","",IF(AO605="","欠損",IF(AO605&lt;=1.1,"1.0～1.1",IF(AO605&lt;1.3,"1.2",IF(AO605&lt;1.5,"1.3～1.4",IF(AO605&lt;2,"1.5～1.9","2.0以上"))))))</f>
        <v>欠損</v>
      </c>
      <c r="AQ605" s="8" t="str">
        <f aca="false">IF(A605="","",IF(ISNUMBER(SEARCH("2歳",Z605)),"2歳戦",IF(ISNUMBER(SEARCH("3歳未勝利",Z605)),"3歳未勝利",IF(ISNUMBER(SEARCH("未勝利",Z605)),"その他未勝利",IF(ISNUMBER(SEARCH("G1",Z605)),"G1",IF(ISNUMBER(SEARCH("G2",Z605)),"G2",IF(ISNUMBER(SEARCH("G3",Z605)),"G3",IF(ISNUMBER(SEARCH("古馬条件",Z605)),"古馬条件戦",IF(ISNUMBER(SEARCH("重賞",Z605)),"重賞","分類不能")))))))))</f>
        <v>分類不能</v>
      </c>
      <c r="AR605" s="8"/>
      <c r="AS605" s="8" t="s">
        <v>7842</v>
      </c>
      <c r="AT605" s="8" t="s">
        <v>7843</v>
      </c>
      <c r="AU605" s="8" t="s">
        <v>7628</v>
      </c>
      <c r="AV605" s="8" t="s">
        <v>7629</v>
      </c>
      <c r="AW605" s="8"/>
      <c r="AX605" s="8"/>
      <c r="AY605" s="8" t="s">
        <v>7610</v>
      </c>
      <c r="AZ605" s="4" t="s">
        <v>7617</v>
      </c>
      <c r="BA605" s="8" t="n">
        <v>1800</v>
      </c>
      <c r="BB605" s="8" t="s">
        <v>7618</v>
      </c>
      <c r="BC605" s="4" t="s">
        <v>7619</v>
      </c>
      <c r="BD605" s="8" t="s">
        <v>7625</v>
      </c>
      <c r="BE605" s="4" t="s">
        <v>7606</v>
      </c>
      <c r="BF605" s="8" t="s">
        <v>7607</v>
      </c>
      <c r="BG605" s="8" t="s">
        <v>7631</v>
      </c>
      <c r="BH605" s="4" t="s">
        <v>7632</v>
      </c>
      <c r="BI605" s="8" t="n">
        <v>15</v>
      </c>
      <c r="BJ605" s="8" t="s">
        <v>7610</v>
      </c>
      <c r="BK605" s="4" t="s">
        <v>7611</v>
      </c>
      <c r="BL605" s="8" t="s">
        <v>7602</v>
      </c>
      <c r="BM605" s="4" t="s">
        <v>7620</v>
      </c>
      <c r="BN605" s="8"/>
      <c r="BO605" s="8"/>
      <c r="BP605" s="8" t="s">
        <v>7608</v>
      </c>
      <c r="BQ605" s="8" t="str">
        <f aca="false">IF(A605="","",AT605)</f>
        <v>4歳以上</v>
      </c>
      <c r="BR605" s="8" t="str">
        <f aca="false">IF(A605="","",IF(BA605&lt;=1200,"～1200",IF(BA605&lt;=1500,"1300～1500",IF(BA605=1600,"1600",IF(BA605&lt;=1800,"1700～1800",IF(BA605&lt;=2000,"1900～2000","2100以上"))))))</f>
        <v>1700～1800</v>
      </c>
      <c r="BS605" s="8" t="str">
        <f aca="false">IF(A605="","",IF(AX605="G1","G1",IF(AX605="G2","G2",IF(AX605="G3","G3",IF(AX605="L","L","その他")))))</f>
        <v>その他</v>
      </c>
      <c r="BT605" s="8" t="str">
        <f aca="false">IF(A605="","",IF(BI605="","未結合",IF(D605=BI605,"一致","不一致")))</f>
        <v>一致</v>
      </c>
      <c r="BU605" s="8" t="str">
        <f aca="false">IF(A605="","",IF(BE605="牝馬限定","牝馬限定","その他"))</f>
        <v>その他</v>
      </c>
    </row>
    <row r="606" customFormat="false" ht="15.75" hidden="false" customHeight="false" outlineLevel="0" collapsed="false">
      <c r="A606" s="6" t="n">
        <v>46172</v>
      </c>
      <c r="B606" s="4" t="s">
        <v>4473</v>
      </c>
      <c r="C606" s="8" t="n">
        <v>1</v>
      </c>
      <c r="D606" s="8" t="n">
        <v>16</v>
      </c>
      <c r="E606" s="8" t="n">
        <v>6</v>
      </c>
      <c r="F606" s="4" t="s">
        <v>3504</v>
      </c>
      <c r="G606" s="8" t="n">
        <v>58</v>
      </c>
      <c r="H606" s="8" t="n">
        <v>4</v>
      </c>
      <c r="I606" s="4" t="s">
        <v>5799</v>
      </c>
      <c r="J606" s="8" t="n">
        <v>47</v>
      </c>
      <c r="K606" s="8" t="n">
        <v>14</v>
      </c>
      <c r="L606" s="4" t="s">
        <v>3743</v>
      </c>
      <c r="M606" s="8" t="n">
        <v>39</v>
      </c>
      <c r="N606" s="8" t="n">
        <f aca="false">IF(A606="","",G606-J606)</f>
        <v>11</v>
      </c>
      <c r="O606" s="8" t="n">
        <f aca="false">IF(A606="","",J606-M606)</f>
        <v>8</v>
      </c>
      <c r="P606" s="8" t="n">
        <f aca="false">IF(A606="","",G606+J606)</f>
        <v>105</v>
      </c>
      <c r="Q606" s="8" t="str">
        <f aca="false">IF(A606="","",IF(AND(Y606&lt;&gt;"参考",G606&gt;=ルール設定!$B$2),"○",""))</f>
        <v/>
      </c>
      <c r="R606" s="8" t="str">
        <f aca="false">IF(A606="","",IF(AND(Y606&lt;&gt;"参考",G606&gt;=ルール設定!$B$3,N606&gt;=ルール設定!$B$4),"○",""))</f>
        <v/>
      </c>
      <c r="S606" s="8" t="str">
        <f aca="false">IF(A606="","",IF(AND(Y606&lt;&gt;"参考",G606&gt;=ルール設定!$B$5,J606&gt;=ルール設定!$B$6,O606&gt;=ルール設定!$B$7),"○",""))</f>
        <v/>
      </c>
      <c r="T606" s="8" t="n">
        <v>4</v>
      </c>
      <c r="U606" s="8" t="n">
        <v>4</v>
      </c>
      <c r="V606" s="8" t="str">
        <f aca="false">IF(A606="","",IF(AND(ISNUMBER(T606),ISNUMBER(U606)),IF(AND(T606&lt;=3,U606&lt;=3),"○","×"),""))</f>
        <v>×</v>
      </c>
      <c r="W606" s="8"/>
      <c r="X606" s="8"/>
      <c r="Y606" s="4" t="s">
        <v>7597</v>
      </c>
      <c r="Z606" s="4" t="s">
        <v>7841</v>
      </c>
      <c r="AA606" s="8" t="str">
        <v/>
      </c>
      <c r="AB606" s="8" t="str">
        <v/>
      </c>
      <c r="AC606" s="8" t="str">
        <v/>
      </c>
      <c r="AD606" s="8" t="str">
        <v/>
      </c>
      <c r="AE606" s="8" t="str">
        <v/>
      </c>
      <c r="AF606" s="8" t="str">
        <v/>
      </c>
      <c r="AG606" s="8" t="str">
        <v/>
      </c>
      <c r="AH606" s="8" t="str">
        <v/>
      </c>
      <c r="AI606" s="8" t="n">
        <v>19</v>
      </c>
      <c r="AJ606" s="8" t="str">
        <v>～59</v>
      </c>
      <c r="AK606" s="8" t="str">
        <v>10～19</v>
      </c>
      <c r="AL606" s="8" t="str">
        <v>10～19</v>
      </c>
      <c r="AM606" s="8" t="str">
        <v>100～119</v>
      </c>
      <c r="AN606" s="8" t="str">
        <v>15以上</v>
      </c>
      <c r="AO606" s="8" t="str">
        <f aca="false">IF(A606="","",IF(COUNTIFS(全馬データ!$A$2:$A$50000,A606,全馬データ!$B$2:$B$50000,B606,全馬データ!$C$2:$C$50000,C606,全馬データ!$D$2:$D$50000,E606,全馬データ!$K$2:$K$50000,"&lt;&gt;")=0,"",SUMIFS(全馬データ!$K$2:$K$50000,全馬データ!$A$2:$A$50000,A606,全馬データ!$B$2:$B$50000,B606,全馬データ!$C$2:$C$50000,C606,全馬データ!$D$2:$D$50000,E606)))</f>
        <v/>
      </c>
      <c r="AP606" s="8" t="str">
        <f aca="false">IF(A606="","",IF(AO606="","欠損",IF(AO606&lt;=1.1,"1.0～1.1",IF(AO606&lt;1.3,"1.2",IF(AO606&lt;1.5,"1.3～1.4",IF(AO606&lt;2,"1.5～1.9","2.0以上"))))))</f>
        <v>欠損</v>
      </c>
      <c r="AQ606" s="8" t="str">
        <f aca="false">IF(A606="","",IF(ISNUMBER(SEARCH("2歳",Z606)),"2歳戦",IF(ISNUMBER(SEARCH("3歳未勝利",Z606)),"3歳未勝利",IF(ISNUMBER(SEARCH("未勝利",Z606)),"その他未勝利",IF(ISNUMBER(SEARCH("G1",Z606)),"G1",IF(ISNUMBER(SEARCH("G2",Z606)),"G2",IF(ISNUMBER(SEARCH("G3",Z606)),"G3",IF(ISNUMBER(SEARCH("古馬条件",Z606)),"古馬条件戦",IF(ISNUMBER(SEARCH("重賞",Z606)),"重賞","分類不能")))))))))</f>
        <v>分類不能</v>
      </c>
      <c r="AR606" s="8"/>
      <c r="AS606" s="8" t="s">
        <v>7623</v>
      </c>
      <c r="AT606" s="8" t="s">
        <v>7624</v>
      </c>
      <c r="AU606" s="8" t="s">
        <v>7600</v>
      </c>
      <c r="AV606" s="4" t="s">
        <v>7601</v>
      </c>
      <c r="AW606" s="8"/>
      <c r="AX606" s="8"/>
      <c r="AY606" s="8" t="s">
        <v>7610</v>
      </c>
      <c r="AZ606" s="4" t="s">
        <v>7617</v>
      </c>
      <c r="BA606" s="8" t="n">
        <v>1400</v>
      </c>
      <c r="BB606" s="8" t="s">
        <v>7598</v>
      </c>
      <c r="BC606" s="4" t="s">
        <v>7604</v>
      </c>
      <c r="BD606" s="8" t="s">
        <v>7625</v>
      </c>
      <c r="BE606" s="4" t="s">
        <v>7606</v>
      </c>
      <c r="BF606" s="8" t="s">
        <v>7607</v>
      </c>
      <c r="BG606" s="8" t="s">
        <v>7608</v>
      </c>
      <c r="BH606" s="4" t="s">
        <v>7609</v>
      </c>
      <c r="BI606" s="8" t="n">
        <v>16</v>
      </c>
      <c r="BJ606" s="8" t="s">
        <v>7610</v>
      </c>
      <c r="BK606" s="4" t="s">
        <v>7611</v>
      </c>
      <c r="BL606" s="8" t="s">
        <v>7602</v>
      </c>
      <c r="BM606" s="4" t="s">
        <v>7620</v>
      </c>
      <c r="BN606" s="8"/>
      <c r="BO606" s="8"/>
      <c r="BP606" s="8" t="s">
        <v>7602</v>
      </c>
      <c r="BQ606" s="8" t="str">
        <f aca="false">IF(A606="","",AT606)</f>
        <v>3歳</v>
      </c>
      <c r="BR606" s="8" t="str">
        <f aca="false">IF(A606="","",IF(BA606&lt;=1200,"～1200",IF(BA606&lt;=1500,"1300～1500",IF(BA606=1600,"1600",IF(BA606&lt;=1800,"1700～1800",IF(BA606&lt;=2000,"1900～2000","2100以上"))))))</f>
        <v>1300～1500</v>
      </c>
      <c r="BS606" s="8" t="str">
        <f aca="false">IF(A606="","",IF(AX606="G1","G1",IF(AX606="G2","G2",IF(AX606="G3","G3",IF(AX606="L","L","その他")))))</f>
        <v>その他</v>
      </c>
      <c r="BT606" s="8" t="str">
        <f aca="false">IF(A606="","",IF(BI606="","未結合",IF(D606=BI606,"一致","不一致")))</f>
        <v>一致</v>
      </c>
      <c r="BU606" s="8" t="str">
        <f aca="false">IF(A606="","",IF(BE606="牝馬限定","牝馬限定","その他"))</f>
        <v>その他</v>
      </c>
    </row>
    <row r="607" customFormat="false" ht="15.75" hidden="false" customHeight="false" outlineLevel="0" collapsed="false">
      <c r="A607" s="6" t="n">
        <v>46172</v>
      </c>
      <c r="B607" s="4" t="s">
        <v>4473</v>
      </c>
      <c r="C607" s="8" t="n">
        <v>2</v>
      </c>
      <c r="D607" s="8" t="n">
        <v>16</v>
      </c>
      <c r="E607" s="8" t="n">
        <v>4</v>
      </c>
      <c r="F607" s="4" t="s">
        <v>5808</v>
      </c>
      <c r="G607" s="8" t="n">
        <v>56</v>
      </c>
      <c r="H607" s="8" t="n">
        <v>2</v>
      </c>
      <c r="I607" s="4" t="s">
        <v>5806</v>
      </c>
      <c r="J607" s="8" t="n">
        <v>47</v>
      </c>
      <c r="K607" s="8" t="n">
        <v>6</v>
      </c>
      <c r="L607" s="4" t="s">
        <v>1406</v>
      </c>
      <c r="M607" s="8" t="n">
        <v>41</v>
      </c>
      <c r="N607" s="8" t="n">
        <f aca="false">IF(A607="","",G607-J607)</f>
        <v>9</v>
      </c>
      <c r="O607" s="8" t="n">
        <f aca="false">IF(A607="","",J607-M607)</f>
        <v>6</v>
      </c>
      <c r="P607" s="8" t="n">
        <f aca="false">IF(A607="","",G607+J607)</f>
        <v>103</v>
      </c>
      <c r="Q607" s="8" t="str">
        <f aca="false">IF(A607="","",IF(AND(Y607&lt;&gt;"参考",G607&gt;=ルール設定!$B$2),"○",""))</f>
        <v/>
      </c>
      <c r="R607" s="8" t="str">
        <f aca="false">IF(A607="","",IF(AND(Y607&lt;&gt;"参考",G607&gt;=ルール設定!$B$3,N607&gt;=ルール設定!$B$4),"○",""))</f>
        <v/>
      </c>
      <c r="S607" s="8" t="str">
        <f aca="false">IF(A607="","",IF(AND(Y607&lt;&gt;"参考",G607&gt;=ルール設定!$B$5,J607&gt;=ルール設定!$B$6,O607&gt;=ルール設定!$B$7),"○",""))</f>
        <v/>
      </c>
      <c r="T607" s="8" t="n">
        <v>4</v>
      </c>
      <c r="U607" s="8" t="n">
        <v>1</v>
      </c>
      <c r="V607" s="8" t="str">
        <f aca="false">IF(A607="","",IF(AND(ISNUMBER(T607),ISNUMBER(U607)),IF(AND(T607&lt;=3,U607&lt;=3),"○","×"),""))</f>
        <v>×</v>
      </c>
      <c r="W607" s="8"/>
      <c r="X607" s="8"/>
      <c r="Y607" s="4" t="s">
        <v>7597</v>
      </c>
      <c r="Z607" s="4" t="s">
        <v>7841</v>
      </c>
      <c r="AA607" s="8" t="str">
        <v/>
      </c>
      <c r="AB607" s="8" t="str">
        <v/>
      </c>
      <c r="AC607" s="8" t="str">
        <v/>
      </c>
      <c r="AD607" s="8" t="str">
        <v/>
      </c>
      <c r="AE607" s="8" t="str">
        <v/>
      </c>
      <c r="AF607" s="8" t="str">
        <v/>
      </c>
      <c r="AG607" s="8" t="str">
        <v/>
      </c>
      <c r="AH607" s="8" t="str">
        <v/>
      </c>
      <c r="AI607" s="8" t="n">
        <v>15</v>
      </c>
      <c r="AJ607" s="8" t="str">
        <v>～59</v>
      </c>
      <c r="AK607" s="8" t="str">
        <v>5～9</v>
      </c>
      <c r="AL607" s="8" t="str">
        <v>10～19</v>
      </c>
      <c r="AM607" s="8" t="str">
        <v>100～119</v>
      </c>
      <c r="AN607" s="8" t="str">
        <v>15以上</v>
      </c>
      <c r="AO607" s="8" t="str">
        <f aca="false">IF(A607="","",IF(COUNTIFS(全馬データ!$A$2:$A$50000,A607,全馬データ!$B$2:$B$50000,B607,全馬データ!$C$2:$C$50000,C607,全馬データ!$D$2:$D$50000,E607,全馬データ!$K$2:$K$50000,"&lt;&gt;")=0,"",SUMIFS(全馬データ!$K$2:$K$50000,全馬データ!$A$2:$A$50000,A607,全馬データ!$B$2:$B$50000,B607,全馬データ!$C$2:$C$50000,C607,全馬データ!$D$2:$D$50000,E607)))</f>
        <v/>
      </c>
      <c r="AP607" s="8" t="str">
        <f aca="false">IF(A607="","",IF(AO607="","欠損",IF(AO607&lt;=1.1,"1.0～1.1",IF(AO607&lt;1.3,"1.2",IF(AO607&lt;1.5,"1.3～1.4",IF(AO607&lt;2,"1.5～1.9","2.0以上"))))))</f>
        <v>欠損</v>
      </c>
      <c r="AQ607" s="8" t="str">
        <f aca="false">IF(A607="","",IF(ISNUMBER(SEARCH("2歳",Z607)),"2歳戦",IF(ISNUMBER(SEARCH("3歳未勝利",Z607)),"3歳未勝利",IF(ISNUMBER(SEARCH("未勝利",Z607)),"その他未勝利",IF(ISNUMBER(SEARCH("G1",Z607)),"G1",IF(ISNUMBER(SEARCH("G2",Z607)),"G2",IF(ISNUMBER(SEARCH("G3",Z607)),"G3",IF(ISNUMBER(SEARCH("古馬条件",Z607)),"古馬条件戦",IF(ISNUMBER(SEARCH("重賞",Z607)),"重賞","分類不能")))))))))</f>
        <v>分類不能</v>
      </c>
      <c r="AR607" s="8"/>
      <c r="AS607" s="8" t="s">
        <v>7623</v>
      </c>
      <c r="AT607" s="8" t="s">
        <v>7624</v>
      </c>
      <c r="AU607" s="8" t="s">
        <v>7600</v>
      </c>
      <c r="AV607" s="4" t="s">
        <v>7601</v>
      </c>
      <c r="AW607" s="8"/>
      <c r="AX607" s="8"/>
      <c r="AY607" s="8" t="s">
        <v>7602</v>
      </c>
      <c r="AZ607" s="4" t="s">
        <v>7603</v>
      </c>
      <c r="BA607" s="8" t="n">
        <v>2400</v>
      </c>
      <c r="BB607" s="8" t="s">
        <v>7598</v>
      </c>
      <c r="BC607" s="4" t="s">
        <v>7604</v>
      </c>
      <c r="BD607" s="8" t="s">
        <v>7625</v>
      </c>
      <c r="BE607" s="4" t="s">
        <v>7606</v>
      </c>
      <c r="BF607" s="8" t="s">
        <v>7607</v>
      </c>
      <c r="BG607" s="8" t="s">
        <v>7608</v>
      </c>
      <c r="BH607" s="4" t="s">
        <v>7609</v>
      </c>
      <c r="BI607" s="8" t="n">
        <v>16</v>
      </c>
      <c r="BJ607" s="8" t="s">
        <v>7610</v>
      </c>
      <c r="BK607" s="4" t="s">
        <v>7611</v>
      </c>
      <c r="BL607" s="8" t="s">
        <v>7602</v>
      </c>
      <c r="BM607" s="4" t="s">
        <v>7620</v>
      </c>
      <c r="BN607" s="8" t="s">
        <v>7636</v>
      </c>
      <c r="BO607" s="8" t="s">
        <v>7804</v>
      </c>
      <c r="BP607" s="8" t="s">
        <v>7602</v>
      </c>
      <c r="BQ607" s="8" t="str">
        <f aca="false">IF(A607="","",AT607)</f>
        <v>3歳</v>
      </c>
      <c r="BR607" s="8" t="str">
        <f aca="false">IF(A607="","",IF(BA607&lt;=1200,"～1200",IF(BA607&lt;=1500,"1300～1500",IF(BA607=1600,"1600",IF(BA607&lt;=1800,"1700～1800",IF(BA607&lt;=2000,"1900～2000","2100以上"))))))</f>
        <v>2100以上</v>
      </c>
      <c r="BS607" s="8" t="str">
        <f aca="false">IF(A607="","",IF(AX607="G1","G1",IF(AX607="G2","G2",IF(AX607="G3","G3",IF(AX607="L","L","その他")))))</f>
        <v>その他</v>
      </c>
      <c r="BT607" s="8" t="str">
        <f aca="false">IF(A607="","",IF(BI607="","未結合",IF(D607=BI607,"一致","不一致")))</f>
        <v>一致</v>
      </c>
      <c r="BU607" s="8" t="str">
        <f aca="false">IF(A607="","",IF(BE607="牝馬限定","牝馬限定","その他"))</f>
        <v>その他</v>
      </c>
    </row>
    <row r="608" customFormat="false" ht="15.75" hidden="false" customHeight="false" outlineLevel="0" collapsed="false">
      <c r="A608" s="6" t="n">
        <v>46172</v>
      </c>
      <c r="B608" s="4" t="s">
        <v>4473</v>
      </c>
      <c r="C608" s="8" t="n">
        <v>3</v>
      </c>
      <c r="D608" s="8" t="n">
        <v>18</v>
      </c>
      <c r="E608" s="8" t="n">
        <v>4</v>
      </c>
      <c r="F608" s="4" t="s">
        <v>173</v>
      </c>
      <c r="G608" s="8" t="n">
        <v>62</v>
      </c>
      <c r="H608" s="8" t="n">
        <v>18</v>
      </c>
      <c r="I608" s="4" t="s">
        <v>3813</v>
      </c>
      <c r="J608" s="8" t="n">
        <v>47</v>
      </c>
      <c r="K608" s="8" t="n">
        <v>7</v>
      </c>
      <c r="L608" s="4" t="s">
        <v>4121</v>
      </c>
      <c r="M608" s="8" t="n">
        <v>34</v>
      </c>
      <c r="N608" s="8" t="n">
        <f aca="false">IF(A608="","",G608-J608)</f>
        <v>15</v>
      </c>
      <c r="O608" s="8" t="n">
        <f aca="false">IF(A608="","",J608-M608)</f>
        <v>13</v>
      </c>
      <c r="P608" s="8" t="n">
        <f aca="false">IF(A608="","",G608+J608)</f>
        <v>109</v>
      </c>
      <c r="Q608" s="8" t="str">
        <f aca="false">IF(A608="","",IF(AND(Y608&lt;&gt;"参考",G608&gt;=ルール設定!$B$2),"○",""))</f>
        <v/>
      </c>
      <c r="R608" s="8" t="str">
        <f aca="false">IF(A608="","",IF(AND(Y608&lt;&gt;"参考",G608&gt;=ルール設定!$B$3,N608&gt;=ルール設定!$B$4),"○",""))</f>
        <v/>
      </c>
      <c r="S608" s="8" t="str">
        <f aca="false">IF(A608="","",IF(AND(Y608&lt;&gt;"参考",G608&gt;=ルール設定!$B$5,J608&gt;=ルール設定!$B$6,O608&gt;=ルール設定!$B$7),"○",""))</f>
        <v/>
      </c>
      <c r="T608" s="8" t="n">
        <v>1</v>
      </c>
      <c r="U608" s="8" t="n">
        <v>2</v>
      </c>
      <c r="V608" s="8" t="str">
        <f aca="false">IF(A608="","",IF(AND(ISNUMBER(T608),ISNUMBER(U608)),IF(AND(T608&lt;=3,U608&lt;=3),"○","×"),""))</f>
        <v>○</v>
      </c>
      <c r="W608" s="8" t="n">
        <v>110</v>
      </c>
      <c r="X608" s="8" t="n">
        <v>190</v>
      </c>
      <c r="Y608" s="4" t="s">
        <v>7597</v>
      </c>
      <c r="Z608" s="4" t="s">
        <v>7841</v>
      </c>
      <c r="AA608" s="8" t="str">
        <v/>
      </c>
      <c r="AB608" s="8" t="str">
        <v/>
      </c>
      <c r="AC608" s="8" t="str">
        <v/>
      </c>
      <c r="AD608" s="8" t="str">
        <v/>
      </c>
      <c r="AE608" s="8" t="str">
        <v/>
      </c>
      <c r="AF608" s="8" t="str">
        <v/>
      </c>
      <c r="AG608" s="8" t="str">
        <v/>
      </c>
      <c r="AH608" s="8" t="str">
        <v/>
      </c>
      <c r="AI608" s="8" t="n">
        <v>28</v>
      </c>
      <c r="AJ608" s="8" t="str">
        <v>60～69</v>
      </c>
      <c r="AK608" s="8" t="str">
        <v>10～19</v>
      </c>
      <c r="AL608" s="8" t="str">
        <v>20～29</v>
      </c>
      <c r="AM608" s="8" t="str">
        <v>100～119</v>
      </c>
      <c r="AN608" s="8" t="str">
        <v>15以上</v>
      </c>
      <c r="AO608" s="8" t="str">
        <f aca="false">IF(A608="","",IF(COUNTIFS(全馬データ!$A$2:$A$50000,A608,全馬データ!$B$2:$B$50000,B608,全馬データ!$C$2:$C$50000,C608,全馬データ!$D$2:$D$50000,E608,全馬データ!$K$2:$K$50000,"&lt;&gt;")=0,"",SUMIFS(全馬データ!$K$2:$K$50000,全馬データ!$A$2:$A$50000,A608,全馬データ!$B$2:$B$50000,B608,全馬データ!$C$2:$C$50000,C608,全馬データ!$D$2:$D$50000,E608)))</f>
        <v/>
      </c>
      <c r="AP608" s="8" t="str">
        <f aca="false">IF(A608="","",IF(AO608="","欠損",IF(AO608&lt;=1.1,"1.0～1.1",IF(AO608&lt;1.3,"1.2",IF(AO608&lt;1.5,"1.3～1.4",IF(AO608&lt;2,"1.5～1.9","2.0以上"))))))</f>
        <v>欠損</v>
      </c>
      <c r="AQ608" s="8" t="str">
        <f aca="false">IF(A608="","",IF(ISNUMBER(SEARCH("2歳",Z608)),"2歳戦",IF(ISNUMBER(SEARCH("3歳未勝利",Z608)),"3歳未勝利",IF(ISNUMBER(SEARCH("未勝利",Z608)),"その他未勝利",IF(ISNUMBER(SEARCH("G1",Z608)),"G1",IF(ISNUMBER(SEARCH("G2",Z608)),"G2",IF(ISNUMBER(SEARCH("G3",Z608)),"G3",IF(ISNUMBER(SEARCH("古馬条件",Z608)),"古馬条件戦",IF(ISNUMBER(SEARCH("重賞",Z608)),"重賞","分類不能")))))))))</f>
        <v>分類不能</v>
      </c>
      <c r="AR608" s="8"/>
      <c r="AS608" s="8" t="s">
        <v>7623</v>
      </c>
      <c r="AT608" s="8" t="s">
        <v>7624</v>
      </c>
      <c r="AU608" s="8" t="s">
        <v>7600</v>
      </c>
      <c r="AV608" s="4" t="s">
        <v>7601</v>
      </c>
      <c r="AW608" s="8"/>
      <c r="AX608" s="8"/>
      <c r="AY608" s="8" t="s">
        <v>7602</v>
      </c>
      <c r="AZ608" s="4" t="s">
        <v>7603</v>
      </c>
      <c r="BA608" s="8" t="n">
        <v>1400</v>
      </c>
      <c r="BB608" s="8" t="s">
        <v>7598</v>
      </c>
      <c r="BC608" s="4" t="s">
        <v>7604</v>
      </c>
      <c r="BD608" s="8" t="s">
        <v>7625</v>
      </c>
      <c r="BE608" s="4" t="s">
        <v>7606</v>
      </c>
      <c r="BF608" s="8" t="s">
        <v>7607</v>
      </c>
      <c r="BG608" s="8" t="s">
        <v>7608</v>
      </c>
      <c r="BH608" s="4" t="s">
        <v>7609</v>
      </c>
      <c r="BI608" s="8" t="n">
        <v>18</v>
      </c>
      <c r="BJ608" s="8" t="s">
        <v>7610</v>
      </c>
      <c r="BK608" s="4" t="s">
        <v>7611</v>
      </c>
      <c r="BL608" s="8" t="s">
        <v>7602</v>
      </c>
      <c r="BM608" s="4" t="s">
        <v>7620</v>
      </c>
      <c r="BN608" s="8" t="s">
        <v>7636</v>
      </c>
      <c r="BO608" s="8" t="s">
        <v>7804</v>
      </c>
      <c r="BP608" s="8" t="s">
        <v>7602</v>
      </c>
      <c r="BQ608" s="8" t="str">
        <f aca="false">IF(A608="","",AT608)</f>
        <v>3歳</v>
      </c>
      <c r="BR608" s="8" t="str">
        <f aca="false">IF(A608="","",IF(BA608&lt;=1200,"～1200",IF(BA608&lt;=1500,"1300～1500",IF(BA608=1600,"1600",IF(BA608&lt;=1800,"1700～1800",IF(BA608&lt;=2000,"1900～2000","2100以上"))))))</f>
        <v>1300～1500</v>
      </c>
      <c r="BS608" s="8" t="str">
        <f aca="false">IF(A608="","",IF(AX608="G1","G1",IF(AX608="G2","G2",IF(AX608="G3","G3",IF(AX608="L","L","その他")))))</f>
        <v>その他</v>
      </c>
      <c r="BT608" s="8" t="str">
        <f aca="false">IF(A608="","",IF(BI608="","未結合",IF(D608=BI608,"一致","不一致")))</f>
        <v>一致</v>
      </c>
      <c r="BU608" s="8" t="str">
        <f aca="false">IF(A608="","",IF(BE608="牝馬限定","牝馬限定","その他"))</f>
        <v>その他</v>
      </c>
    </row>
    <row r="609" customFormat="false" ht="15.75" hidden="false" customHeight="false" outlineLevel="0" collapsed="false">
      <c r="A609" s="6" t="n">
        <v>46172</v>
      </c>
      <c r="B609" s="4" t="s">
        <v>4473</v>
      </c>
      <c r="C609" s="8" t="n">
        <v>4</v>
      </c>
      <c r="D609" s="8" t="n">
        <v>13</v>
      </c>
      <c r="E609" s="8" t="n">
        <v>12</v>
      </c>
      <c r="F609" s="4" t="s">
        <v>5825</v>
      </c>
      <c r="G609" s="8" t="n">
        <v>55</v>
      </c>
      <c r="H609" s="8" t="n">
        <v>13</v>
      </c>
      <c r="I609" s="4" t="s">
        <v>126</v>
      </c>
      <c r="J609" s="8" t="n">
        <v>55</v>
      </c>
      <c r="K609" s="8" t="n">
        <v>7</v>
      </c>
      <c r="L609" s="4" t="s">
        <v>5822</v>
      </c>
      <c r="M609" s="8" t="n">
        <v>44</v>
      </c>
      <c r="N609" s="8" t="n">
        <f aca="false">IF(A609="","",G609-J609)</f>
        <v>0</v>
      </c>
      <c r="O609" s="8" t="n">
        <f aca="false">IF(A609="","",J609-M609)</f>
        <v>11</v>
      </c>
      <c r="P609" s="8" t="n">
        <f aca="false">IF(A609="","",G609+J609)</f>
        <v>110</v>
      </c>
      <c r="Q609" s="8" t="str">
        <f aca="false">IF(A609="","",IF(AND(Y609&lt;&gt;"参考",G609&gt;=ルール設定!$B$2),"○",""))</f>
        <v/>
      </c>
      <c r="R609" s="8" t="str">
        <f aca="false">IF(A609="","",IF(AND(Y609&lt;&gt;"参考",G609&gt;=ルール設定!$B$3,N609&gt;=ルール設定!$B$4),"○",""))</f>
        <v/>
      </c>
      <c r="S609" s="8" t="str">
        <f aca="false">IF(A609="","",IF(AND(Y609&lt;&gt;"参考",G609&gt;=ルール設定!$B$5,J609&gt;=ルール設定!$B$6,O609&gt;=ルール設定!$B$7),"○",""))</f>
        <v/>
      </c>
      <c r="T609" s="8" t="n">
        <v>4</v>
      </c>
      <c r="U609" s="8" t="n">
        <v>1</v>
      </c>
      <c r="V609" s="8" t="str">
        <f aca="false">IF(A609="","",IF(AND(ISNUMBER(T609),ISNUMBER(U609)),IF(AND(T609&lt;=3,U609&lt;=3),"○","×"),""))</f>
        <v>×</v>
      </c>
      <c r="W609" s="8"/>
      <c r="X609" s="8"/>
      <c r="Y609" s="4" t="s">
        <v>7597</v>
      </c>
      <c r="Z609" s="4" t="s">
        <v>7841</v>
      </c>
      <c r="AA609" s="8" t="str">
        <v/>
      </c>
      <c r="AB609" s="8" t="str">
        <v/>
      </c>
      <c r="AC609" s="8" t="str">
        <v/>
      </c>
      <c r="AD609" s="8" t="str">
        <v/>
      </c>
      <c r="AE609" s="8" t="str">
        <v/>
      </c>
      <c r="AF609" s="8" t="str">
        <v/>
      </c>
      <c r="AG609" s="8" t="str">
        <v/>
      </c>
      <c r="AH609" s="8" t="str">
        <v/>
      </c>
      <c r="AI609" s="8" t="n">
        <v>11</v>
      </c>
      <c r="AJ609" s="8" t="str">
        <v>～59</v>
      </c>
      <c r="AK609" s="8" t="str">
        <v>0～4</v>
      </c>
      <c r="AL609" s="8" t="str">
        <v>10～19</v>
      </c>
      <c r="AM609" s="8" t="str">
        <v>100～119</v>
      </c>
      <c r="AN609" s="8" t="str">
        <v>12～14</v>
      </c>
      <c r="AO609" s="8" t="str">
        <f aca="false">IF(A609="","",IF(COUNTIFS(全馬データ!$A$2:$A$50000,A609,全馬データ!$B$2:$B$50000,B609,全馬データ!$C$2:$C$50000,C609,全馬データ!$D$2:$D$50000,E609,全馬データ!$K$2:$K$50000,"&lt;&gt;")=0,"",SUMIFS(全馬データ!$K$2:$K$50000,全馬データ!$A$2:$A$50000,A609,全馬データ!$B$2:$B$50000,B609,全馬データ!$C$2:$C$50000,C609,全馬データ!$D$2:$D$50000,E609)))</f>
        <v/>
      </c>
      <c r="AP609" s="8" t="str">
        <f aca="false">IF(A609="","",IF(AO609="","欠損",IF(AO609&lt;=1.1,"1.0～1.1",IF(AO609&lt;1.3,"1.2",IF(AO609&lt;1.5,"1.3～1.4",IF(AO609&lt;2,"1.5～1.9","2.0以上"))))))</f>
        <v>欠損</v>
      </c>
      <c r="AQ609" s="8" t="str">
        <f aca="false">IF(A609="","",IF(ISNUMBER(SEARCH("2歳",Z609)),"2歳戦",IF(ISNUMBER(SEARCH("3歳未勝利",Z609)),"3歳未勝利",IF(ISNUMBER(SEARCH("未勝利",Z609)),"その他未勝利",IF(ISNUMBER(SEARCH("G1",Z609)),"G1",IF(ISNUMBER(SEARCH("G2",Z609)),"G2",IF(ISNUMBER(SEARCH("G3",Z609)),"G3",IF(ISNUMBER(SEARCH("古馬条件",Z609)),"古馬条件戦",IF(ISNUMBER(SEARCH("重賞",Z609)),"重賞","分類不能")))))))))</f>
        <v>分類不能</v>
      </c>
      <c r="AR609" s="8"/>
      <c r="AS609" s="8" t="s">
        <v>7618</v>
      </c>
      <c r="AT609" s="4" t="s">
        <v>7642</v>
      </c>
      <c r="AU609" s="8" t="s">
        <v>7600</v>
      </c>
      <c r="AV609" s="4" t="s">
        <v>7601</v>
      </c>
      <c r="AW609" s="8"/>
      <c r="AX609" s="8"/>
      <c r="AY609" s="8" t="s">
        <v>7608</v>
      </c>
      <c r="AZ609" s="4" t="s">
        <v>7642</v>
      </c>
      <c r="BA609" s="8" t="n">
        <v>3000</v>
      </c>
      <c r="BB609" s="8" t="s">
        <v>7634</v>
      </c>
      <c r="BC609" s="4" t="s">
        <v>7604</v>
      </c>
      <c r="BD609" s="8" t="s">
        <v>7645</v>
      </c>
      <c r="BE609" s="4" t="s">
        <v>7606</v>
      </c>
      <c r="BF609" s="8" t="s">
        <v>7607</v>
      </c>
      <c r="BG609" s="8" t="s">
        <v>7631</v>
      </c>
      <c r="BH609" s="4" t="s">
        <v>7632</v>
      </c>
      <c r="BI609" s="8" t="n">
        <v>13</v>
      </c>
      <c r="BJ609" s="8" t="s">
        <v>7647</v>
      </c>
      <c r="BK609" s="4" t="s">
        <v>7648</v>
      </c>
      <c r="BL609" s="8" t="s">
        <v>7608</v>
      </c>
      <c r="BM609" s="4" t="s">
        <v>7780</v>
      </c>
      <c r="BN609" s="8"/>
      <c r="BO609" s="8"/>
      <c r="BP609" s="8" t="s">
        <v>7602</v>
      </c>
      <c r="BQ609" s="8" t="str">
        <f aca="false">IF(A609="","",AT609)</f>
        <v>障害</v>
      </c>
      <c r="BR609" s="8" t="str">
        <f aca="false">IF(A609="","",IF(BA609&lt;=1200,"～1200",IF(BA609&lt;=1500,"1300～1500",IF(BA609=1600,"1600",IF(BA609&lt;=1800,"1700～1800",IF(BA609&lt;=2000,"1900～2000","2100以上"))))))</f>
        <v>2100以上</v>
      </c>
      <c r="BS609" s="8" t="str">
        <f aca="false">IF(A609="","",IF(AX609="G1","G1",IF(AX609="G2","G2",IF(AX609="G3","G3",IF(AX609="L","L","その他")))))</f>
        <v>その他</v>
      </c>
      <c r="BT609" s="8" t="str">
        <f aca="false">IF(A609="","",IF(BI609="","未結合",IF(D609=BI609,"一致","不一致")))</f>
        <v>一致</v>
      </c>
      <c r="BU609" s="8" t="str">
        <f aca="false">IF(A609="","",IF(BE609="牝馬限定","牝馬限定","その他"))</f>
        <v>その他</v>
      </c>
    </row>
    <row r="610" customFormat="false" ht="15.75" hidden="false" customHeight="false" outlineLevel="0" collapsed="false">
      <c r="A610" s="6" t="n">
        <v>46172</v>
      </c>
      <c r="B610" s="4" t="s">
        <v>4473</v>
      </c>
      <c r="C610" s="8" t="n">
        <v>5</v>
      </c>
      <c r="D610" s="8" t="n">
        <v>16</v>
      </c>
      <c r="E610" s="8" t="n">
        <v>2</v>
      </c>
      <c r="F610" s="4" t="s">
        <v>1004</v>
      </c>
      <c r="G610" s="8" t="n">
        <v>44</v>
      </c>
      <c r="H610" s="8" t="n">
        <v>3</v>
      </c>
      <c r="I610" s="4" t="s">
        <v>1943</v>
      </c>
      <c r="J610" s="8" t="n">
        <v>41</v>
      </c>
      <c r="K610" s="8" t="n">
        <v>4</v>
      </c>
      <c r="L610" s="4" t="s">
        <v>4313</v>
      </c>
      <c r="M610" s="8" t="n">
        <v>39</v>
      </c>
      <c r="N610" s="8" t="n">
        <f aca="false">IF(A610="","",G610-J610)</f>
        <v>3</v>
      </c>
      <c r="O610" s="8" t="n">
        <f aca="false">IF(A610="","",J610-M610)</f>
        <v>2</v>
      </c>
      <c r="P610" s="8" t="n">
        <f aca="false">IF(A610="","",G610+J610)</f>
        <v>85</v>
      </c>
      <c r="Q610" s="8" t="str">
        <f aca="false">IF(A610="","",IF(AND(Y610&lt;&gt;"参考",G610&gt;=ルール設定!$B$2),"○",""))</f>
        <v/>
      </c>
      <c r="R610" s="8" t="str">
        <f aca="false">IF(A610="","",IF(AND(Y610&lt;&gt;"参考",G610&gt;=ルール設定!$B$3,N610&gt;=ルール設定!$B$4),"○",""))</f>
        <v/>
      </c>
      <c r="S610" s="8" t="str">
        <f aca="false">IF(A610="","",IF(AND(Y610&lt;&gt;"参考",G610&gt;=ルール設定!$B$5,J610&gt;=ルール設定!$B$6,O610&gt;=ルール設定!$B$7),"○",""))</f>
        <v/>
      </c>
      <c r="T610" s="8" t="n">
        <v>3</v>
      </c>
      <c r="U610" s="8" t="n">
        <v>4</v>
      </c>
      <c r="V610" s="8" t="str">
        <f aca="false">IF(A610="","",IF(AND(ISNUMBER(T610),ISNUMBER(U610)),IF(AND(T610&lt;=3,U610&lt;=3),"○","×"),""))</f>
        <v>×</v>
      </c>
      <c r="W610" s="8" t="n">
        <v>110</v>
      </c>
      <c r="X610" s="8"/>
      <c r="Y610" s="4" t="s">
        <v>7597</v>
      </c>
      <c r="Z610" s="4" t="s">
        <v>7841</v>
      </c>
      <c r="AA610" s="8" t="str">
        <v/>
      </c>
      <c r="AB610" s="8" t="str">
        <v/>
      </c>
      <c r="AC610" s="8" t="str">
        <v/>
      </c>
      <c r="AD610" s="8" t="str">
        <v/>
      </c>
      <c r="AE610" s="8" t="str">
        <v/>
      </c>
      <c r="AF610" s="8" t="str">
        <v/>
      </c>
      <c r="AG610" s="8" t="str">
        <v/>
      </c>
      <c r="AH610" s="8" t="str">
        <v/>
      </c>
      <c r="AI610" s="8" t="n">
        <v>5</v>
      </c>
      <c r="AJ610" s="8" t="str">
        <v>～59</v>
      </c>
      <c r="AK610" s="8" t="str">
        <v>0～4</v>
      </c>
      <c r="AL610" s="8" t="str">
        <v>0～9</v>
      </c>
      <c r="AM610" s="8" t="str">
        <v>～99</v>
      </c>
      <c r="AN610" s="8" t="str">
        <v>15以上</v>
      </c>
      <c r="AO610" s="8" t="str">
        <f aca="false">IF(A610="","",IF(COUNTIFS(全馬データ!$A$2:$A$50000,A610,全馬データ!$B$2:$B$50000,B610,全馬データ!$C$2:$C$50000,C610,全馬データ!$D$2:$D$50000,E610,全馬データ!$K$2:$K$50000,"&lt;&gt;")=0,"",SUMIFS(全馬データ!$K$2:$K$50000,全馬データ!$A$2:$A$50000,A610,全馬データ!$B$2:$B$50000,B610,全馬データ!$C$2:$C$50000,C610,全馬データ!$D$2:$D$50000,E610)))</f>
        <v/>
      </c>
      <c r="AP610" s="8" t="str">
        <f aca="false">IF(A610="","",IF(AO610="","欠損",IF(AO610&lt;=1.1,"1.0～1.1",IF(AO610&lt;1.3,"1.2",IF(AO610&lt;1.5,"1.3～1.4",IF(AO610&lt;2,"1.5～1.9","2.0以上"))))))</f>
        <v>欠損</v>
      </c>
      <c r="AQ610" s="8" t="str">
        <f aca="false">IF(A610="","",IF(ISNUMBER(SEARCH("2歳",Z610)),"2歳戦",IF(ISNUMBER(SEARCH("3歳未勝利",Z610)),"3歳未勝利",IF(ISNUMBER(SEARCH("未勝利",Z610)),"その他未勝利",IF(ISNUMBER(SEARCH("G1",Z610)),"G1",IF(ISNUMBER(SEARCH("G2",Z610)),"G2",IF(ISNUMBER(SEARCH("G3",Z610)),"G3",IF(ISNUMBER(SEARCH("古馬条件",Z610)),"古馬条件戦",IF(ISNUMBER(SEARCH("重賞",Z610)),"重賞","分類不能")))))))))</f>
        <v>分類不能</v>
      </c>
      <c r="AR610" s="8"/>
      <c r="AS610" s="8" t="s">
        <v>7623</v>
      </c>
      <c r="AT610" s="8" t="s">
        <v>7624</v>
      </c>
      <c r="AU610" s="8" t="s">
        <v>7600</v>
      </c>
      <c r="AV610" s="4" t="s">
        <v>7601</v>
      </c>
      <c r="AW610" s="8"/>
      <c r="AX610" s="8"/>
      <c r="AY610" s="8" t="s">
        <v>7602</v>
      </c>
      <c r="AZ610" s="4" t="s">
        <v>7603</v>
      </c>
      <c r="BA610" s="8" t="n">
        <v>2000</v>
      </c>
      <c r="BB610" s="8" t="s">
        <v>7598</v>
      </c>
      <c r="BC610" s="4" t="s">
        <v>7604</v>
      </c>
      <c r="BD610" s="8" t="s">
        <v>7605</v>
      </c>
      <c r="BE610" s="4" t="s">
        <v>7606</v>
      </c>
      <c r="BF610" s="8" t="s">
        <v>7607</v>
      </c>
      <c r="BG610" s="8" t="s">
        <v>7608</v>
      </c>
      <c r="BH610" s="4" t="s">
        <v>7609</v>
      </c>
      <c r="BI610" s="8" t="n">
        <v>16</v>
      </c>
      <c r="BJ610" s="8" t="s">
        <v>7610</v>
      </c>
      <c r="BK610" s="4" t="s">
        <v>7611</v>
      </c>
      <c r="BL610" s="8" t="s">
        <v>7602</v>
      </c>
      <c r="BM610" s="4" t="s">
        <v>7620</v>
      </c>
      <c r="BN610" s="8" t="s">
        <v>7636</v>
      </c>
      <c r="BO610" s="8" t="s">
        <v>7804</v>
      </c>
      <c r="BP610" s="8" t="s">
        <v>7602</v>
      </c>
      <c r="BQ610" s="8" t="str">
        <f aca="false">IF(A610="","",AT610)</f>
        <v>3歳</v>
      </c>
      <c r="BR610" s="8" t="str">
        <f aca="false">IF(A610="","",IF(BA610&lt;=1200,"～1200",IF(BA610&lt;=1500,"1300～1500",IF(BA610=1600,"1600",IF(BA610&lt;=1800,"1700～1800",IF(BA610&lt;=2000,"1900～2000","2100以上"))))))</f>
        <v>1900～2000</v>
      </c>
      <c r="BS610" s="8" t="str">
        <f aca="false">IF(A610="","",IF(AX610="G1","G1",IF(AX610="G2","G2",IF(AX610="G3","G3",IF(AX610="L","L","その他")))))</f>
        <v>その他</v>
      </c>
      <c r="BT610" s="8" t="str">
        <f aca="false">IF(A610="","",IF(BI610="","未結合",IF(D610=BI610,"一致","不一致")))</f>
        <v>一致</v>
      </c>
      <c r="BU610" s="8" t="str">
        <f aca="false">IF(A610="","",IF(BE610="牝馬限定","牝馬限定","その他"))</f>
        <v>その他</v>
      </c>
    </row>
    <row r="611" customFormat="false" ht="15.75" hidden="false" customHeight="false" outlineLevel="0" collapsed="false">
      <c r="A611" s="6" t="n">
        <v>46172</v>
      </c>
      <c r="B611" s="4" t="s">
        <v>4473</v>
      </c>
      <c r="C611" s="8" t="n">
        <v>6</v>
      </c>
      <c r="D611" s="8" t="n">
        <v>12</v>
      </c>
      <c r="E611" s="8" t="n">
        <v>1</v>
      </c>
      <c r="F611" s="4" t="s">
        <v>3850</v>
      </c>
      <c r="G611" s="8" t="n">
        <v>74</v>
      </c>
      <c r="H611" s="8" t="n">
        <v>5</v>
      </c>
      <c r="I611" s="4" t="s">
        <v>5833</v>
      </c>
      <c r="J611" s="8" t="n">
        <v>67</v>
      </c>
      <c r="K611" s="8" t="n">
        <v>10</v>
      </c>
      <c r="L611" s="4" t="s">
        <v>5837</v>
      </c>
      <c r="M611" s="8" t="n">
        <v>39</v>
      </c>
      <c r="N611" s="8" t="n">
        <f aca="false">IF(A611="","",G611-J611)</f>
        <v>7</v>
      </c>
      <c r="O611" s="8" t="n">
        <f aca="false">IF(A611="","",J611-M611)</f>
        <v>28</v>
      </c>
      <c r="P611" s="8" t="n">
        <f aca="false">IF(A611="","",G611+J611)</f>
        <v>141</v>
      </c>
      <c r="Q611" s="8" t="str">
        <f aca="false">IF(A611="","",IF(AND(Y611&lt;&gt;"参考",G611&gt;=ルール設定!$B$2),"○",""))</f>
        <v/>
      </c>
      <c r="R611" s="8" t="str">
        <f aca="false">IF(A611="","",IF(AND(Y611&lt;&gt;"参考",G611&gt;=ルール設定!$B$3,N611&gt;=ルール設定!$B$4),"○",""))</f>
        <v/>
      </c>
      <c r="S611" s="8" t="str">
        <f aca="false">IF(A611="","",IF(AND(Y611&lt;&gt;"参考",G611&gt;=ルール設定!$B$5,J611&gt;=ルール設定!$B$6,O611&gt;=ルール設定!$B$7),"○",""))</f>
        <v>○</v>
      </c>
      <c r="T611" s="8" t="n">
        <v>2</v>
      </c>
      <c r="U611" s="8" t="n">
        <v>4</v>
      </c>
      <c r="V611" s="8" t="str">
        <f aca="false">IF(A611="","",IF(AND(ISNUMBER(T611),ISNUMBER(U611)),IF(AND(T611&lt;=3,U611&lt;=3),"○","×"),""))</f>
        <v>×</v>
      </c>
      <c r="W611" s="8" t="n">
        <v>150</v>
      </c>
      <c r="X611" s="8"/>
      <c r="Y611" s="4" t="s">
        <v>7597</v>
      </c>
      <c r="Z611" s="4" t="s">
        <v>7841</v>
      </c>
      <c r="AA611" s="8" t="str">
        <v/>
      </c>
      <c r="AB611" s="8" t="str">
        <v/>
      </c>
      <c r="AC611" s="8" t="str">
        <v/>
      </c>
      <c r="AD611" s="8" t="str">
        <v/>
      </c>
      <c r="AE611" s="8" t="str">
        <v/>
      </c>
      <c r="AF611" s="8" t="str">
        <v/>
      </c>
      <c r="AG611" s="8" t="str">
        <v/>
      </c>
      <c r="AH611" s="8" t="str">
        <v/>
      </c>
      <c r="AI611" s="8" t="n">
        <v>35</v>
      </c>
      <c r="AJ611" s="8" t="str">
        <v>70～74</v>
      </c>
      <c r="AK611" s="8" t="str">
        <v>5～9</v>
      </c>
      <c r="AL611" s="8" t="str">
        <v>30～39</v>
      </c>
      <c r="AM611" s="8" t="str">
        <v>140～159</v>
      </c>
      <c r="AN611" s="8" t="str">
        <v>12～14</v>
      </c>
      <c r="AO611" s="8" t="str">
        <f aca="false">IF(A611="","",IF(COUNTIFS(全馬データ!$A$2:$A$50000,A611,全馬データ!$B$2:$B$50000,B611,全馬データ!$C$2:$C$50000,C611,全馬データ!$D$2:$D$50000,E611,全馬データ!$K$2:$K$50000,"&lt;&gt;")=0,"",SUMIFS(全馬データ!$K$2:$K$50000,全馬データ!$A$2:$A$50000,A611,全馬データ!$B$2:$B$50000,B611,全馬データ!$C$2:$C$50000,C611,全馬データ!$D$2:$D$50000,E611)))</f>
        <v/>
      </c>
      <c r="AP611" s="8" t="str">
        <f aca="false">IF(A611="","",IF(AO611="","欠損",IF(AO611&lt;=1.1,"1.0～1.1",IF(AO611&lt;1.3,"1.2",IF(AO611&lt;1.5,"1.3～1.4",IF(AO611&lt;2,"1.5～1.9","2.0以上"))))))</f>
        <v>欠損</v>
      </c>
      <c r="AQ611" s="8" t="str">
        <f aca="false">IF(A611="","",IF(ISNUMBER(SEARCH("2歳",Z611)),"2歳戦",IF(ISNUMBER(SEARCH("3歳未勝利",Z611)),"3歳未勝利",IF(ISNUMBER(SEARCH("未勝利",Z611)),"その他未勝利",IF(ISNUMBER(SEARCH("G1",Z611)),"G1",IF(ISNUMBER(SEARCH("G2",Z611)),"G2",IF(ISNUMBER(SEARCH("G3",Z611)),"G3",IF(ISNUMBER(SEARCH("古馬条件",Z611)),"古馬条件戦",IF(ISNUMBER(SEARCH("重賞",Z611)),"重賞","分類不能")))))))))</f>
        <v>分類不能</v>
      </c>
      <c r="AR611" s="8"/>
      <c r="AS611" s="8" t="s">
        <v>7623</v>
      </c>
      <c r="AT611" s="8" t="s">
        <v>7624</v>
      </c>
      <c r="AU611" s="8" t="s">
        <v>7628</v>
      </c>
      <c r="AV611" s="8" t="s">
        <v>7629</v>
      </c>
      <c r="AW611" s="8"/>
      <c r="AX611" s="8"/>
      <c r="AY611" s="8" t="s">
        <v>7610</v>
      </c>
      <c r="AZ611" s="4" t="s">
        <v>7617</v>
      </c>
      <c r="BA611" s="8" t="n">
        <v>1600</v>
      </c>
      <c r="BB611" s="8" t="s">
        <v>7598</v>
      </c>
      <c r="BC611" s="4" t="s">
        <v>7604</v>
      </c>
      <c r="BD611" s="8" t="s">
        <v>7690</v>
      </c>
      <c r="BE611" s="4" t="s">
        <v>7606</v>
      </c>
      <c r="BF611" s="8" t="s">
        <v>7607</v>
      </c>
      <c r="BG611" s="8" t="s">
        <v>7608</v>
      </c>
      <c r="BH611" s="4" t="s">
        <v>7609</v>
      </c>
      <c r="BI611" s="8" t="n">
        <v>12</v>
      </c>
      <c r="BJ611" s="8" t="s">
        <v>7610</v>
      </c>
      <c r="BK611" s="4" t="s">
        <v>7611</v>
      </c>
      <c r="BL611" s="8" t="s">
        <v>7602</v>
      </c>
      <c r="BM611" s="4" t="s">
        <v>7620</v>
      </c>
      <c r="BN611" s="8"/>
      <c r="BO611" s="8"/>
      <c r="BP611" s="8" t="s">
        <v>7602</v>
      </c>
      <c r="BQ611" s="8" t="str">
        <f aca="false">IF(A611="","",AT611)</f>
        <v>3歳</v>
      </c>
      <c r="BR611" s="8" t="str">
        <f aca="false">IF(A611="","",IF(BA611&lt;=1200,"～1200",IF(BA611&lt;=1500,"1300～1500",IF(BA611=1600,"1600",IF(BA611&lt;=1800,"1700～1800",IF(BA611&lt;=2000,"1900～2000","2100以上"))))))</f>
        <v>1600</v>
      </c>
      <c r="BS611" s="8" t="str">
        <f aca="false">IF(A611="","",IF(AX611="G1","G1",IF(AX611="G2","G2",IF(AX611="G3","G3",IF(AX611="L","L","その他")))))</f>
        <v>その他</v>
      </c>
      <c r="BT611" s="8" t="str">
        <f aca="false">IF(A611="","",IF(BI611="","未結合",IF(D611=BI611,"一致","不一致")))</f>
        <v>一致</v>
      </c>
      <c r="BU611" s="8" t="str">
        <f aca="false">IF(A611="","",IF(BE611="牝馬限定","牝馬限定","その他"))</f>
        <v>その他</v>
      </c>
    </row>
    <row r="612" customFormat="false" ht="15.75" hidden="false" customHeight="false" outlineLevel="0" collapsed="false">
      <c r="A612" s="6" t="n">
        <v>46172</v>
      </c>
      <c r="B612" s="4" t="s">
        <v>4473</v>
      </c>
      <c r="C612" s="8" t="n">
        <v>7</v>
      </c>
      <c r="D612" s="8" t="n">
        <v>13</v>
      </c>
      <c r="E612" s="8" t="n">
        <v>2</v>
      </c>
      <c r="F612" s="4" t="s">
        <v>3857</v>
      </c>
      <c r="G612" s="8" t="n">
        <v>56</v>
      </c>
      <c r="H612" s="8" t="n">
        <v>7</v>
      </c>
      <c r="I612" s="4" t="s">
        <v>5841</v>
      </c>
      <c r="J612" s="8" t="n">
        <v>50</v>
      </c>
      <c r="K612" s="8" t="n">
        <v>8</v>
      </c>
      <c r="L612" s="4" t="s">
        <v>3535</v>
      </c>
      <c r="M612" s="8" t="n">
        <v>39</v>
      </c>
      <c r="N612" s="8" t="n">
        <f aca="false">IF(A612="","",G612-J612)</f>
        <v>6</v>
      </c>
      <c r="O612" s="8" t="n">
        <f aca="false">IF(A612="","",J612-M612)</f>
        <v>11</v>
      </c>
      <c r="P612" s="8" t="n">
        <f aca="false">IF(A612="","",G612+J612)</f>
        <v>106</v>
      </c>
      <c r="Q612" s="8" t="str">
        <f aca="false">IF(A612="","",IF(AND(Y612&lt;&gt;"参考",G612&gt;=ルール設定!$B$2),"○",""))</f>
        <v/>
      </c>
      <c r="R612" s="8" t="str">
        <f aca="false">IF(A612="","",IF(AND(Y612&lt;&gt;"参考",G612&gt;=ルール設定!$B$3,N612&gt;=ルール設定!$B$4),"○",""))</f>
        <v/>
      </c>
      <c r="S612" s="8" t="str">
        <f aca="false">IF(A612="","",IF(AND(Y612&lt;&gt;"参考",G612&gt;=ルール設定!$B$5,J612&gt;=ルール設定!$B$6,O612&gt;=ルール設定!$B$7),"○",""))</f>
        <v/>
      </c>
      <c r="T612" s="8" t="n">
        <v>2</v>
      </c>
      <c r="U612" s="8"/>
      <c r="V612" s="8" t="str">
        <f aca="false">IF(A612="","",IF(AND(ISNUMBER(T612),ISNUMBER(U612)),IF(AND(T612&lt;=3,U612&lt;=3),"○","×"),""))</f>
        <v/>
      </c>
      <c r="W612" s="8" t="n">
        <v>140</v>
      </c>
      <c r="X612" s="8"/>
      <c r="Y612" s="4" t="s">
        <v>7597</v>
      </c>
      <c r="Z612" s="4" t="s">
        <v>7841</v>
      </c>
      <c r="AA612" s="8" t="str">
        <v/>
      </c>
      <c r="AB612" s="8" t="str">
        <v/>
      </c>
      <c r="AC612" s="8" t="str">
        <v/>
      </c>
      <c r="AD612" s="8" t="str">
        <v/>
      </c>
      <c r="AE612" s="8" t="str">
        <v/>
      </c>
      <c r="AF612" s="8" t="str">
        <v/>
      </c>
      <c r="AG612" s="8" t="str">
        <v/>
      </c>
      <c r="AH612" s="8" t="str">
        <v/>
      </c>
      <c r="AI612" s="8" t="n">
        <v>17</v>
      </c>
      <c r="AJ612" s="8" t="str">
        <v>～59</v>
      </c>
      <c r="AK612" s="8" t="str">
        <v>5～9</v>
      </c>
      <c r="AL612" s="8" t="str">
        <v>10～19</v>
      </c>
      <c r="AM612" s="8" t="str">
        <v>100～119</v>
      </c>
      <c r="AN612" s="8" t="str">
        <v>12～14</v>
      </c>
      <c r="AO612" s="8" t="str">
        <f aca="false">IF(A612="","",IF(COUNTIFS(全馬データ!$A$2:$A$50000,A612,全馬データ!$B$2:$B$50000,B612,全馬データ!$C$2:$C$50000,C612,全馬データ!$D$2:$D$50000,E612,全馬データ!$K$2:$K$50000,"&lt;&gt;")=0,"",SUMIFS(全馬データ!$K$2:$K$50000,全馬データ!$A$2:$A$50000,A612,全馬データ!$B$2:$B$50000,B612,全馬データ!$C$2:$C$50000,C612,全馬データ!$D$2:$D$50000,E612)))</f>
        <v/>
      </c>
      <c r="AP612" s="8" t="str">
        <f aca="false">IF(A612="","",IF(AO612="","欠損",IF(AO612&lt;=1.1,"1.0～1.1",IF(AO612&lt;1.3,"1.2",IF(AO612&lt;1.5,"1.3～1.4",IF(AO612&lt;2,"1.5～1.9","2.0以上"))))))</f>
        <v>欠損</v>
      </c>
      <c r="AQ612" s="8" t="str">
        <f aca="false">IF(A612="","",IF(ISNUMBER(SEARCH("2歳",Z612)),"2歳戦",IF(ISNUMBER(SEARCH("3歳未勝利",Z612)),"3歳未勝利",IF(ISNUMBER(SEARCH("未勝利",Z612)),"その他未勝利",IF(ISNUMBER(SEARCH("G1",Z612)),"G1",IF(ISNUMBER(SEARCH("G2",Z612)),"G2",IF(ISNUMBER(SEARCH("G3",Z612)),"G3",IF(ISNUMBER(SEARCH("古馬条件",Z612)),"古馬条件戦",IF(ISNUMBER(SEARCH("重賞",Z612)),"重賞","分類不能")))))))))</f>
        <v>分類不能</v>
      </c>
      <c r="AR612" s="8"/>
      <c r="AS612" s="8" t="s">
        <v>7623</v>
      </c>
      <c r="AT612" s="8" t="s">
        <v>7624</v>
      </c>
      <c r="AU612" s="8" t="s">
        <v>7628</v>
      </c>
      <c r="AV612" s="8" t="s">
        <v>7629</v>
      </c>
      <c r="AW612" s="8"/>
      <c r="AX612" s="8"/>
      <c r="AY612" s="8" t="s">
        <v>7602</v>
      </c>
      <c r="AZ612" s="4" t="s">
        <v>7603</v>
      </c>
      <c r="BA612" s="8" t="n">
        <v>1400</v>
      </c>
      <c r="BB612" s="8" t="s">
        <v>7598</v>
      </c>
      <c r="BC612" s="4" t="s">
        <v>7604</v>
      </c>
      <c r="BD612" s="8" t="s">
        <v>7630</v>
      </c>
      <c r="BE612" s="4" t="s">
        <v>7606</v>
      </c>
      <c r="BF612" s="8" t="s">
        <v>7607</v>
      </c>
      <c r="BG612" s="8" t="s">
        <v>7608</v>
      </c>
      <c r="BH612" s="4" t="s">
        <v>7609</v>
      </c>
      <c r="BI612" s="8" t="n">
        <v>13</v>
      </c>
      <c r="BJ612" s="8" t="s">
        <v>7610</v>
      </c>
      <c r="BK612" s="4" t="s">
        <v>7611</v>
      </c>
      <c r="BL612" s="8" t="s">
        <v>7602</v>
      </c>
      <c r="BM612" s="4" t="s">
        <v>7620</v>
      </c>
      <c r="BN612" s="8" t="s">
        <v>7636</v>
      </c>
      <c r="BO612" s="8" t="s">
        <v>7804</v>
      </c>
      <c r="BP612" s="8" t="s">
        <v>7602</v>
      </c>
      <c r="BQ612" s="8" t="str">
        <f aca="false">IF(A612="","",AT612)</f>
        <v>3歳</v>
      </c>
      <c r="BR612" s="8" t="str">
        <f aca="false">IF(A612="","",IF(BA612&lt;=1200,"～1200",IF(BA612&lt;=1500,"1300～1500",IF(BA612=1600,"1600",IF(BA612&lt;=1800,"1700～1800",IF(BA612&lt;=2000,"1900～2000","2100以上"))))))</f>
        <v>1300～1500</v>
      </c>
      <c r="BS612" s="8" t="str">
        <f aca="false">IF(A612="","",IF(AX612="G1","G1",IF(AX612="G2","G2",IF(AX612="G3","G3",IF(AX612="L","L","その他")))))</f>
        <v>その他</v>
      </c>
      <c r="BT612" s="8" t="str">
        <f aca="false">IF(A612="","",IF(BI612="","未結合",IF(D612=BI612,"一致","不一致")))</f>
        <v>一致</v>
      </c>
      <c r="BU612" s="8" t="str">
        <f aca="false">IF(A612="","",IF(BE612="牝馬限定","牝馬限定","その他"))</f>
        <v>その他</v>
      </c>
    </row>
    <row r="613" customFormat="false" ht="15.75" hidden="false" customHeight="false" outlineLevel="0" collapsed="false">
      <c r="A613" s="6" t="n">
        <v>46172</v>
      </c>
      <c r="B613" s="4" t="s">
        <v>4473</v>
      </c>
      <c r="C613" s="8" t="n">
        <v>8</v>
      </c>
      <c r="D613" s="8" t="n">
        <v>16</v>
      </c>
      <c r="E613" s="8" t="n">
        <v>14</v>
      </c>
      <c r="F613" s="4" t="s">
        <v>5852</v>
      </c>
      <c r="G613" s="8" t="n">
        <v>47</v>
      </c>
      <c r="H613" s="8" t="n">
        <v>5</v>
      </c>
      <c r="I613" s="4" t="s">
        <v>5847</v>
      </c>
      <c r="J613" s="8" t="n">
        <v>44</v>
      </c>
      <c r="K613" s="8" t="n">
        <v>1</v>
      </c>
      <c r="L613" s="4" t="s">
        <v>2771</v>
      </c>
      <c r="M613" s="8" t="n">
        <v>41</v>
      </c>
      <c r="N613" s="8" t="n">
        <f aca="false">IF(A613="","",G613-J613)</f>
        <v>3</v>
      </c>
      <c r="O613" s="8" t="n">
        <f aca="false">IF(A613="","",J613-M613)</f>
        <v>3</v>
      </c>
      <c r="P613" s="8" t="n">
        <f aca="false">IF(A613="","",G613+J613)</f>
        <v>91</v>
      </c>
      <c r="Q613" s="8" t="str">
        <f aca="false">IF(A613="","",IF(AND(Y613&lt;&gt;"参考",G613&gt;=ルール設定!$B$2),"○",""))</f>
        <v/>
      </c>
      <c r="R613" s="8" t="str">
        <f aca="false">IF(A613="","",IF(AND(Y613&lt;&gt;"参考",G613&gt;=ルール設定!$B$3,N613&gt;=ルール設定!$B$4),"○",""))</f>
        <v/>
      </c>
      <c r="S613" s="8" t="str">
        <f aca="false">IF(A613="","",IF(AND(Y613&lt;&gt;"参考",G613&gt;=ルール設定!$B$5,J613&gt;=ルール設定!$B$6,O613&gt;=ルール設定!$B$7),"○",""))</f>
        <v/>
      </c>
      <c r="T613" s="8" t="n">
        <v>3</v>
      </c>
      <c r="U613" s="8" t="n">
        <v>1</v>
      </c>
      <c r="V613" s="8" t="str">
        <f aca="false">IF(A613="","",IF(AND(ISNUMBER(T613),ISNUMBER(U613)),IF(AND(T613&lt;=3,U613&lt;=3),"○","×"),""))</f>
        <v>○</v>
      </c>
      <c r="W613" s="8" t="n">
        <v>140</v>
      </c>
      <c r="X613" s="8" t="n">
        <v>460</v>
      </c>
      <c r="Y613" s="4" t="s">
        <v>7597</v>
      </c>
      <c r="Z613" s="4" t="s">
        <v>7841</v>
      </c>
      <c r="AA613" s="8" t="str">
        <v/>
      </c>
      <c r="AB613" s="8" t="str">
        <v/>
      </c>
      <c r="AC613" s="8" t="str">
        <v/>
      </c>
      <c r="AD613" s="8" t="str">
        <v/>
      </c>
      <c r="AE613" s="8" t="str">
        <v/>
      </c>
      <c r="AF613" s="8" t="str">
        <v/>
      </c>
      <c r="AG613" s="8" t="str">
        <v/>
      </c>
      <c r="AH613" s="8" t="str">
        <v/>
      </c>
      <c r="AI613" s="8" t="n">
        <v>6</v>
      </c>
      <c r="AJ613" s="8" t="str">
        <v>～59</v>
      </c>
      <c r="AK613" s="8" t="str">
        <v>0～4</v>
      </c>
      <c r="AL613" s="8" t="str">
        <v>0～9</v>
      </c>
      <c r="AM613" s="8" t="str">
        <v>～99</v>
      </c>
      <c r="AN613" s="8" t="str">
        <v>15以上</v>
      </c>
      <c r="AO613" s="8" t="str">
        <f aca="false">IF(A613="","",IF(COUNTIFS(全馬データ!$A$2:$A$50000,A613,全馬データ!$B$2:$B$50000,B613,全馬データ!$C$2:$C$50000,C613,全馬データ!$D$2:$D$50000,E613,全馬データ!$K$2:$K$50000,"&lt;&gt;")=0,"",SUMIFS(全馬データ!$K$2:$K$50000,全馬データ!$A$2:$A$50000,A613,全馬データ!$B$2:$B$50000,B613,全馬データ!$C$2:$C$50000,C613,全馬データ!$D$2:$D$50000,E613)))</f>
        <v/>
      </c>
      <c r="AP613" s="8" t="str">
        <f aca="false">IF(A613="","",IF(AO613="","欠損",IF(AO613&lt;=1.1,"1.0～1.1",IF(AO613&lt;1.3,"1.2",IF(AO613&lt;1.5,"1.3～1.4",IF(AO613&lt;2,"1.5～1.9","2.0以上"))))))</f>
        <v>欠損</v>
      </c>
      <c r="AQ613" s="8" t="str">
        <f aca="false">IF(A613="","",IF(ISNUMBER(SEARCH("2歳",Z613)),"2歳戦",IF(ISNUMBER(SEARCH("3歳未勝利",Z613)),"3歳未勝利",IF(ISNUMBER(SEARCH("未勝利",Z613)),"その他未勝利",IF(ISNUMBER(SEARCH("G1",Z613)),"G1",IF(ISNUMBER(SEARCH("G2",Z613)),"G2",IF(ISNUMBER(SEARCH("G3",Z613)),"G3",IF(ISNUMBER(SEARCH("古馬条件",Z613)),"古馬条件戦",IF(ISNUMBER(SEARCH("重賞",Z613)),"重賞","分類不能")))))))))</f>
        <v>分類不能</v>
      </c>
      <c r="AR613" s="8"/>
      <c r="AS613" s="8" t="s">
        <v>7842</v>
      </c>
      <c r="AT613" s="8" t="s">
        <v>7843</v>
      </c>
      <c r="AU613" s="8" t="s">
        <v>7628</v>
      </c>
      <c r="AV613" s="8" t="s">
        <v>7629</v>
      </c>
      <c r="AW613" s="8"/>
      <c r="AX613" s="8"/>
      <c r="AY613" s="8" t="s">
        <v>7610</v>
      </c>
      <c r="AZ613" s="4" t="s">
        <v>7617</v>
      </c>
      <c r="BA613" s="8" t="n">
        <v>1600</v>
      </c>
      <c r="BB613" s="8" t="s">
        <v>7598</v>
      </c>
      <c r="BC613" s="4" t="s">
        <v>7604</v>
      </c>
      <c r="BD613" s="8" t="s">
        <v>7625</v>
      </c>
      <c r="BE613" s="4" t="s">
        <v>7606</v>
      </c>
      <c r="BF613" s="8" t="s">
        <v>7607</v>
      </c>
      <c r="BG613" s="8" t="s">
        <v>7631</v>
      </c>
      <c r="BH613" s="4" t="s">
        <v>7632</v>
      </c>
      <c r="BI613" s="8" t="n">
        <v>16</v>
      </c>
      <c r="BJ613" s="8" t="s">
        <v>7610</v>
      </c>
      <c r="BK613" s="4" t="s">
        <v>7611</v>
      </c>
      <c r="BL613" s="8" t="s">
        <v>7602</v>
      </c>
      <c r="BM613" s="4" t="s">
        <v>7620</v>
      </c>
      <c r="BN613" s="8"/>
      <c r="BO613" s="8"/>
      <c r="BP613" s="8" t="s">
        <v>7602</v>
      </c>
      <c r="BQ613" s="8" t="str">
        <f aca="false">IF(A613="","",AT613)</f>
        <v>4歳以上</v>
      </c>
      <c r="BR613" s="8" t="str">
        <f aca="false">IF(A613="","",IF(BA613&lt;=1200,"～1200",IF(BA613&lt;=1500,"1300～1500",IF(BA613=1600,"1600",IF(BA613&lt;=1800,"1700～1800",IF(BA613&lt;=2000,"1900～2000","2100以上"))))))</f>
        <v>1600</v>
      </c>
      <c r="BS613" s="8" t="str">
        <f aca="false">IF(A613="","",IF(AX613="G1","G1",IF(AX613="G2","G2",IF(AX613="G3","G3",IF(AX613="L","L","その他")))))</f>
        <v>その他</v>
      </c>
      <c r="BT613" s="8" t="str">
        <f aca="false">IF(A613="","",IF(BI613="","未結合",IF(D613=BI613,"一致","不一致")))</f>
        <v>一致</v>
      </c>
      <c r="BU613" s="8" t="str">
        <f aca="false">IF(A613="","",IF(BE613="牝馬限定","牝馬限定","その他"))</f>
        <v>その他</v>
      </c>
    </row>
    <row r="614" customFormat="false" ht="15.75" hidden="false" customHeight="false" outlineLevel="0" collapsed="false">
      <c r="A614" s="6" t="n">
        <v>46172</v>
      </c>
      <c r="B614" s="4" t="s">
        <v>4473</v>
      </c>
      <c r="C614" s="8" t="n">
        <v>9</v>
      </c>
      <c r="D614" s="8" t="n">
        <v>16</v>
      </c>
      <c r="E614" s="8" t="n">
        <v>10</v>
      </c>
      <c r="F614" s="4" t="s">
        <v>3210</v>
      </c>
      <c r="G614" s="8" t="n">
        <v>41</v>
      </c>
      <c r="H614" s="8" t="n">
        <v>11</v>
      </c>
      <c r="I614" s="4" t="s">
        <v>5860</v>
      </c>
      <c r="J614" s="8" t="n">
        <v>39</v>
      </c>
      <c r="K614" s="8" t="n">
        <v>16</v>
      </c>
      <c r="L614" s="4" t="s">
        <v>5864</v>
      </c>
      <c r="M614" s="8" t="n">
        <v>37</v>
      </c>
      <c r="N614" s="8" t="n">
        <f aca="false">IF(A614="","",G614-J614)</f>
        <v>2</v>
      </c>
      <c r="O614" s="8" t="n">
        <f aca="false">IF(A614="","",J614-M614)</f>
        <v>2</v>
      </c>
      <c r="P614" s="8" t="n">
        <f aca="false">IF(A614="","",G614+J614)</f>
        <v>80</v>
      </c>
      <c r="Q614" s="8" t="str">
        <f aca="false">IF(A614="","",IF(AND(Y614&lt;&gt;"参考",G614&gt;=ルール設定!$B$2),"○",""))</f>
        <v/>
      </c>
      <c r="R614" s="8" t="str">
        <f aca="false">IF(A614="","",IF(AND(Y614&lt;&gt;"参考",G614&gt;=ルール設定!$B$3,N614&gt;=ルール設定!$B$4),"○",""))</f>
        <v/>
      </c>
      <c r="S614" s="8" t="str">
        <f aca="false">IF(A614="","",IF(AND(Y614&lt;&gt;"参考",G614&gt;=ルール設定!$B$5,J614&gt;=ルール設定!$B$6,O614&gt;=ルール設定!$B$7),"○",""))</f>
        <v/>
      </c>
      <c r="T614" s="8" t="n">
        <v>2</v>
      </c>
      <c r="U614" s="8" t="n">
        <v>3</v>
      </c>
      <c r="V614" s="8" t="str">
        <f aca="false">IF(A614="","",IF(AND(ISNUMBER(T614),ISNUMBER(U614)),IF(AND(T614&lt;=3,U614&lt;=3),"○","×"),""))</f>
        <v>○</v>
      </c>
      <c r="W614" s="8" t="n">
        <v>230</v>
      </c>
      <c r="X614" s="8" t="n">
        <v>1450</v>
      </c>
      <c r="Y614" s="4" t="s">
        <v>7597</v>
      </c>
      <c r="Z614" s="4" t="s">
        <v>7841</v>
      </c>
      <c r="AA614" s="8" t="str">
        <v/>
      </c>
      <c r="AB614" s="8" t="str">
        <v/>
      </c>
      <c r="AC614" s="8" t="str">
        <v/>
      </c>
      <c r="AD614" s="8" t="str">
        <v/>
      </c>
      <c r="AE614" s="8" t="str">
        <v/>
      </c>
      <c r="AF614" s="8" t="str">
        <v/>
      </c>
      <c r="AG614" s="8" t="str">
        <v/>
      </c>
      <c r="AH614" s="8" t="str">
        <v/>
      </c>
      <c r="AI614" s="8" t="n">
        <v>4</v>
      </c>
      <c r="AJ614" s="8" t="str">
        <v>～59</v>
      </c>
      <c r="AK614" s="8" t="str">
        <v>0～4</v>
      </c>
      <c r="AL614" s="8" t="str">
        <v>0～9</v>
      </c>
      <c r="AM614" s="8" t="str">
        <v>～99</v>
      </c>
      <c r="AN614" s="8" t="str">
        <v>15以上</v>
      </c>
      <c r="AO614" s="8" t="str">
        <f aca="false">IF(A614="","",IF(COUNTIFS(全馬データ!$A$2:$A$50000,A614,全馬データ!$B$2:$B$50000,B614,全馬データ!$C$2:$C$50000,C614,全馬データ!$D$2:$D$50000,E614,全馬データ!$K$2:$K$50000,"&lt;&gt;")=0,"",SUMIFS(全馬データ!$K$2:$K$50000,全馬データ!$A$2:$A$50000,A614,全馬データ!$B$2:$B$50000,B614,全馬データ!$C$2:$C$50000,C614,全馬データ!$D$2:$D$50000,E614)))</f>
        <v/>
      </c>
      <c r="AP614" s="8" t="str">
        <f aca="false">IF(A614="","",IF(AO614="","欠損",IF(AO614&lt;=1.1,"1.0～1.1",IF(AO614&lt;1.3,"1.2",IF(AO614&lt;1.5,"1.3～1.4",IF(AO614&lt;2,"1.5～1.9","2.0以上"))))))</f>
        <v>欠損</v>
      </c>
      <c r="AQ614" s="8" t="str">
        <f aca="false">IF(A614="","",IF(ISNUMBER(SEARCH("2歳",Z614)),"2歳戦",IF(ISNUMBER(SEARCH("3歳未勝利",Z614)),"3歳未勝利",IF(ISNUMBER(SEARCH("未勝利",Z614)),"その他未勝利",IF(ISNUMBER(SEARCH("G1",Z614)),"G1",IF(ISNUMBER(SEARCH("G2",Z614)),"G2",IF(ISNUMBER(SEARCH("G3",Z614)),"G3",IF(ISNUMBER(SEARCH("古馬条件",Z614)),"古馬条件戦",IF(ISNUMBER(SEARCH("重賞",Z614)),"重賞","分類不能")))))))))</f>
        <v>分類不能</v>
      </c>
      <c r="AR614" s="4" t="s">
        <v>7868</v>
      </c>
      <c r="AS614" s="8" t="s">
        <v>7842</v>
      </c>
      <c r="AT614" s="8" t="s">
        <v>7843</v>
      </c>
      <c r="AU614" s="8" t="s">
        <v>7634</v>
      </c>
      <c r="AV614" s="8" t="s">
        <v>7635</v>
      </c>
      <c r="AW614" s="8" t="s">
        <v>7636</v>
      </c>
      <c r="AX614" s="4" t="s">
        <v>7637</v>
      </c>
      <c r="AY614" s="8" t="s">
        <v>7610</v>
      </c>
      <c r="AZ614" s="4" t="s">
        <v>7617</v>
      </c>
      <c r="BA614" s="8" t="n">
        <v>1400</v>
      </c>
      <c r="BB614" s="8" t="s">
        <v>7598</v>
      </c>
      <c r="BC614" s="4" t="s">
        <v>7604</v>
      </c>
      <c r="BD614" s="8" t="s">
        <v>7605</v>
      </c>
      <c r="BE614" s="4" t="s">
        <v>7606</v>
      </c>
      <c r="BF614" s="8" t="s">
        <v>7607</v>
      </c>
      <c r="BG614" s="8" t="s">
        <v>7631</v>
      </c>
      <c r="BH614" s="4" t="s">
        <v>7632</v>
      </c>
      <c r="BI614" s="8" t="n">
        <v>16</v>
      </c>
      <c r="BJ614" s="8" t="s">
        <v>7610</v>
      </c>
      <c r="BK614" s="4" t="s">
        <v>7611</v>
      </c>
      <c r="BL614" s="8" t="s">
        <v>7602</v>
      </c>
      <c r="BM614" s="4" t="s">
        <v>7620</v>
      </c>
      <c r="BN614" s="8"/>
      <c r="BO614" s="8"/>
      <c r="BP614" s="8" t="s">
        <v>7602</v>
      </c>
      <c r="BQ614" s="8" t="str">
        <f aca="false">IF(A614="","",AT614)</f>
        <v>4歳以上</v>
      </c>
      <c r="BR614" s="8" t="str">
        <f aca="false">IF(A614="","",IF(BA614&lt;=1200,"～1200",IF(BA614&lt;=1500,"1300～1500",IF(BA614=1600,"1600",IF(BA614&lt;=1800,"1700～1800",IF(BA614&lt;=2000,"1900～2000","2100以上"))))))</f>
        <v>1300～1500</v>
      </c>
      <c r="BS614" s="8" t="str">
        <f aca="false">IF(A614="","",IF(AX614="G1","G1",IF(AX614="G2","G2",IF(AX614="G3","G3",IF(AX614="L","L","その他")))))</f>
        <v>その他</v>
      </c>
      <c r="BT614" s="8" t="str">
        <f aca="false">IF(A614="","",IF(BI614="","未結合",IF(D614=BI614,"一致","不一致")))</f>
        <v>一致</v>
      </c>
      <c r="BU614" s="8" t="str">
        <f aca="false">IF(A614="","",IF(BE614="牝馬限定","牝馬限定","その他"))</f>
        <v>その他</v>
      </c>
    </row>
    <row r="615" customFormat="false" ht="15.75" hidden="false" customHeight="false" outlineLevel="0" collapsed="false">
      <c r="A615" s="6" t="n">
        <v>46172</v>
      </c>
      <c r="B615" s="4" t="s">
        <v>4473</v>
      </c>
      <c r="C615" s="8" t="n">
        <v>10</v>
      </c>
      <c r="D615" s="8" t="n">
        <v>11</v>
      </c>
      <c r="E615" s="8" t="n">
        <v>1</v>
      </c>
      <c r="F615" s="4" t="s">
        <v>5865</v>
      </c>
      <c r="G615" s="8" t="n">
        <v>81</v>
      </c>
      <c r="H615" s="8" t="n">
        <v>2</v>
      </c>
      <c r="I615" s="4" t="s">
        <v>5866</v>
      </c>
      <c r="J615" s="8" t="n">
        <v>44</v>
      </c>
      <c r="K615" s="8" t="n">
        <v>6</v>
      </c>
      <c r="L615" s="4" t="s">
        <v>3751</v>
      </c>
      <c r="M615" s="8" t="n">
        <v>37</v>
      </c>
      <c r="N615" s="8" t="n">
        <f aca="false">IF(A615="","",G615-J615)</f>
        <v>37</v>
      </c>
      <c r="O615" s="8" t="n">
        <f aca="false">IF(A615="","",J615-M615)</f>
        <v>7</v>
      </c>
      <c r="P615" s="8" t="n">
        <f aca="false">IF(A615="","",G615+J615)</f>
        <v>125</v>
      </c>
      <c r="Q615" s="8" t="str">
        <f aca="false">IF(A615="","",IF(AND(Y615&lt;&gt;"参考",G615&gt;=ルール設定!$B$2),"○",""))</f>
        <v>○</v>
      </c>
      <c r="R615" s="8" t="str">
        <f aca="false">IF(A615="","",IF(AND(Y615&lt;&gt;"参考",G615&gt;=ルール設定!$B$3,N615&gt;=ルール設定!$B$4),"○",""))</f>
        <v>○</v>
      </c>
      <c r="S615" s="8" t="str">
        <f aca="false">IF(A615="","",IF(AND(Y615&lt;&gt;"参考",G615&gt;=ルール設定!$B$5,J615&gt;=ルール設定!$B$6,O615&gt;=ルール設定!$B$7),"○",""))</f>
        <v/>
      </c>
      <c r="T615" s="8" t="n">
        <v>4</v>
      </c>
      <c r="U615" s="8" t="n">
        <v>3</v>
      </c>
      <c r="V615" s="8" t="str">
        <f aca="false">IF(A615="","",IF(AND(ISNUMBER(T615),ISNUMBER(U615)),IF(AND(T615&lt;=3,U615&lt;=3),"○","×"),""))</f>
        <v>×</v>
      </c>
      <c r="W615" s="8"/>
      <c r="X615" s="8"/>
      <c r="Y615" s="4" t="s">
        <v>7597</v>
      </c>
      <c r="Z615" s="4" t="s">
        <v>7841</v>
      </c>
      <c r="AA615" s="8" t="str">
        <v/>
      </c>
      <c r="AB615" s="8" t="str">
        <v>○</v>
      </c>
      <c r="AC615" s="8" t="str">
        <v/>
      </c>
      <c r="AD615" s="8" t="str">
        <v>○</v>
      </c>
      <c r="AE615" s="8" t="str">
        <v/>
      </c>
      <c r="AF615" s="8" t="str">
        <v/>
      </c>
      <c r="AG615" s="8" t="str">
        <v>○</v>
      </c>
      <c r="AH615" s="8" t="str">
        <v/>
      </c>
      <c r="AI615" s="8" t="n">
        <v>44</v>
      </c>
      <c r="AJ615" s="8" t="str">
        <v>80～84</v>
      </c>
      <c r="AK615" s="8" t="str">
        <v>30以上</v>
      </c>
      <c r="AL615" s="8" t="str">
        <v>40以上</v>
      </c>
      <c r="AM615" s="8" t="str">
        <v>120～139</v>
      </c>
      <c r="AN615" s="8" t="str">
        <v>8～11</v>
      </c>
      <c r="AO615" s="8" t="str">
        <f aca="false">IF(A615="","",IF(COUNTIFS(全馬データ!$A$2:$A$50000,A615,全馬データ!$B$2:$B$50000,B615,全馬データ!$C$2:$C$50000,C615,全馬データ!$D$2:$D$50000,E615,全馬データ!$K$2:$K$50000,"&lt;&gt;")=0,"",SUMIFS(全馬データ!$K$2:$K$50000,全馬データ!$A$2:$A$50000,A615,全馬データ!$B$2:$B$50000,B615,全馬データ!$C$2:$C$50000,C615,全馬データ!$D$2:$D$50000,E615)))</f>
        <v/>
      </c>
      <c r="AP615" s="8" t="str">
        <f aca="false">IF(A615="","",IF(AO615="","欠損",IF(AO615&lt;=1.1,"1.0～1.1",IF(AO615&lt;1.3,"1.2",IF(AO615&lt;1.5,"1.3～1.4",IF(AO615&lt;2,"1.5～1.9","2.0以上"))))))</f>
        <v>欠損</v>
      </c>
      <c r="AQ615" s="8" t="str">
        <f aca="false">IF(A615="","",IF(ISNUMBER(SEARCH("2歳",Z615)),"2歳戦",IF(ISNUMBER(SEARCH("3歳未勝利",Z615)),"3歳未勝利",IF(ISNUMBER(SEARCH("未勝利",Z615)),"その他未勝利",IF(ISNUMBER(SEARCH("G1",Z615)),"G1",IF(ISNUMBER(SEARCH("G2",Z615)),"G2",IF(ISNUMBER(SEARCH("G3",Z615)),"G3",IF(ISNUMBER(SEARCH("古馬条件",Z615)),"古馬条件戦",IF(ISNUMBER(SEARCH("重賞",Z615)),"重賞","分類不能")))))))))</f>
        <v>分類不能</v>
      </c>
      <c r="AR615" s="4" t="s">
        <v>7869</v>
      </c>
      <c r="AS615" s="8" t="s">
        <v>7842</v>
      </c>
      <c r="AT615" s="8" t="s">
        <v>7843</v>
      </c>
      <c r="AU615" s="8" t="s">
        <v>7634</v>
      </c>
      <c r="AV615" s="8" t="s">
        <v>7635</v>
      </c>
      <c r="AW615" s="8" t="s">
        <v>7636</v>
      </c>
      <c r="AX615" s="4" t="s">
        <v>7637</v>
      </c>
      <c r="AY615" s="8" t="s">
        <v>7602</v>
      </c>
      <c r="AZ615" s="4" t="s">
        <v>7603</v>
      </c>
      <c r="BA615" s="8" t="n">
        <v>1600</v>
      </c>
      <c r="BB615" s="8" t="s">
        <v>7598</v>
      </c>
      <c r="BC615" s="4" t="s">
        <v>7604</v>
      </c>
      <c r="BD615" s="8" t="s">
        <v>7605</v>
      </c>
      <c r="BE615" s="4" t="s">
        <v>7606</v>
      </c>
      <c r="BF615" s="8" t="s">
        <v>7607</v>
      </c>
      <c r="BG615" s="8" t="s">
        <v>7631</v>
      </c>
      <c r="BH615" s="4" t="s">
        <v>7632</v>
      </c>
      <c r="BI615" s="8" t="n">
        <v>11</v>
      </c>
      <c r="BJ615" s="8" t="s">
        <v>7610</v>
      </c>
      <c r="BK615" s="4" t="s">
        <v>7611</v>
      </c>
      <c r="BL615" s="8" t="s">
        <v>7602</v>
      </c>
      <c r="BM615" s="4" t="s">
        <v>7620</v>
      </c>
      <c r="BN615" s="8" t="s">
        <v>7636</v>
      </c>
      <c r="BO615" s="8" t="s">
        <v>7804</v>
      </c>
      <c r="BP615" s="8" t="s">
        <v>7602</v>
      </c>
      <c r="BQ615" s="8" t="str">
        <f aca="false">IF(A615="","",AT615)</f>
        <v>4歳以上</v>
      </c>
      <c r="BR615" s="8" t="str">
        <f aca="false">IF(A615="","",IF(BA615&lt;=1200,"～1200",IF(BA615&lt;=1500,"1300～1500",IF(BA615=1600,"1600",IF(BA615&lt;=1800,"1700～1800",IF(BA615&lt;=2000,"1900～2000","2100以上"))))))</f>
        <v>1600</v>
      </c>
      <c r="BS615" s="8" t="str">
        <f aca="false">IF(A615="","",IF(AX615="G1","G1",IF(AX615="G2","G2",IF(AX615="G3","G3",IF(AX615="L","L","その他")))))</f>
        <v>その他</v>
      </c>
      <c r="BT615" s="8" t="str">
        <f aca="false">IF(A615="","",IF(BI615="","未結合",IF(D615=BI615,"一致","不一致")))</f>
        <v>一致</v>
      </c>
      <c r="BU615" s="8" t="str">
        <f aca="false">IF(A615="","",IF(BE615="牝馬限定","牝馬限定","その他"))</f>
        <v>その他</v>
      </c>
    </row>
    <row r="616" customFormat="false" ht="15.75" hidden="false" customHeight="false" outlineLevel="0" collapsed="false">
      <c r="A616" s="6" t="n">
        <v>46172</v>
      </c>
      <c r="B616" s="4" t="s">
        <v>4473</v>
      </c>
      <c r="C616" s="8" t="n">
        <v>11</v>
      </c>
      <c r="D616" s="8" t="n">
        <v>16</v>
      </c>
      <c r="E616" s="8" t="n">
        <v>16</v>
      </c>
      <c r="F616" s="4" t="s">
        <v>5881</v>
      </c>
      <c r="G616" s="8" t="n">
        <v>66</v>
      </c>
      <c r="H616" s="8" t="n">
        <v>12</v>
      </c>
      <c r="I616" s="4" t="s">
        <v>5878</v>
      </c>
      <c r="J616" s="8" t="n">
        <v>50</v>
      </c>
      <c r="K616" s="8" t="n">
        <v>13</v>
      </c>
      <c r="L616" s="4" t="s">
        <v>3115</v>
      </c>
      <c r="M616" s="8" t="n">
        <v>37</v>
      </c>
      <c r="N616" s="8" t="n">
        <f aca="false">IF(A616="","",G616-J616)</f>
        <v>16</v>
      </c>
      <c r="O616" s="8" t="n">
        <f aca="false">IF(A616="","",J616-M616)</f>
        <v>13</v>
      </c>
      <c r="P616" s="8" t="n">
        <f aca="false">IF(A616="","",G616+J616)</f>
        <v>116</v>
      </c>
      <c r="Q616" s="8" t="str">
        <f aca="false">IF(A616="","",IF(AND(Y616&lt;&gt;"参考",G616&gt;=ルール設定!$B$2),"○",""))</f>
        <v/>
      </c>
      <c r="R616" s="8" t="str">
        <f aca="false">IF(A616="","",IF(AND(Y616&lt;&gt;"参考",G616&gt;=ルール設定!$B$3,N616&gt;=ルール設定!$B$4),"○",""))</f>
        <v/>
      </c>
      <c r="S616" s="8" t="str">
        <f aca="false">IF(A616="","",IF(AND(Y616&lt;&gt;"参考",G616&gt;=ルール設定!$B$5,J616&gt;=ルール設定!$B$6,O616&gt;=ルール設定!$B$7),"○",""))</f>
        <v/>
      </c>
      <c r="T616" s="8" t="n">
        <v>1</v>
      </c>
      <c r="U616" s="8" t="n">
        <v>4</v>
      </c>
      <c r="V616" s="8" t="str">
        <f aca="false">IF(A616="","",IF(AND(ISNUMBER(T616),ISNUMBER(U616)),IF(AND(T616&lt;=3,U616&lt;=3),"○","×"),""))</f>
        <v>×</v>
      </c>
      <c r="W616" s="8" t="n">
        <v>120</v>
      </c>
      <c r="X616" s="8"/>
      <c r="Y616" s="4" t="s">
        <v>7597</v>
      </c>
      <c r="Z616" s="4" t="s">
        <v>7841</v>
      </c>
      <c r="AA616" s="8" t="str">
        <v/>
      </c>
      <c r="AB616" s="8" t="str">
        <v/>
      </c>
      <c r="AC616" s="8" t="str">
        <v/>
      </c>
      <c r="AD616" s="8" t="str">
        <v/>
      </c>
      <c r="AE616" s="8" t="str">
        <v/>
      </c>
      <c r="AF616" s="8" t="str">
        <v/>
      </c>
      <c r="AG616" s="8" t="str">
        <v/>
      </c>
      <c r="AH616" s="8" t="str">
        <v/>
      </c>
      <c r="AI616" s="8" t="n">
        <v>29</v>
      </c>
      <c r="AJ616" s="8" t="str">
        <v>60～69</v>
      </c>
      <c r="AK616" s="8" t="str">
        <v>10～19</v>
      </c>
      <c r="AL616" s="8" t="str">
        <v>20～29</v>
      </c>
      <c r="AM616" s="8" t="str">
        <v>100～119</v>
      </c>
      <c r="AN616" s="8" t="str">
        <v>15以上</v>
      </c>
      <c r="AO616" s="8" t="str">
        <f aca="false">IF(A616="","",IF(COUNTIFS(全馬データ!$A$2:$A$50000,A616,全馬データ!$B$2:$B$50000,B616,全馬データ!$C$2:$C$50000,C616,全馬データ!$D$2:$D$50000,E616,全馬データ!$K$2:$K$50000,"&lt;&gt;")=0,"",SUMIFS(全馬データ!$K$2:$K$50000,全馬データ!$A$2:$A$50000,A616,全馬データ!$B$2:$B$50000,B616,全馬データ!$C$2:$C$50000,C616,全馬データ!$D$2:$D$50000,E616)))</f>
        <v/>
      </c>
      <c r="AP616" s="8" t="str">
        <f aca="false">IF(A616="","",IF(AO616="","欠損",IF(AO616&lt;=1.1,"1.0～1.1",IF(AO616&lt;1.3,"1.2",IF(AO616&lt;1.5,"1.3～1.4",IF(AO616&lt;2,"1.5～1.9","2.0以上"))))))</f>
        <v>欠損</v>
      </c>
      <c r="AQ616" s="8" t="str">
        <f aca="false">IF(A616="","",IF(ISNUMBER(SEARCH("2歳",Z616)),"2歳戦",IF(ISNUMBER(SEARCH("3歳未勝利",Z616)),"3歳未勝利",IF(ISNUMBER(SEARCH("未勝利",Z616)),"その他未勝利",IF(ISNUMBER(SEARCH("G1",Z616)),"G1",IF(ISNUMBER(SEARCH("G2",Z616)),"G2",IF(ISNUMBER(SEARCH("G3",Z616)),"G3",IF(ISNUMBER(SEARCH("古馬条件",Z616)),"古馬条件戦",IF(ISNUMBER(SEARCH("重賞",Z616)),"重賞","分類不能")))))))))</f>
        <v>分類不能</v>
      </c>
      <c r="AR616" s="4" t="s">
        <v>7870</v>
      </c>
      <c r="AS616" s="8" t="s">
        <v>7842</v>
      </c>
      <c r="AT616" s="8" t="s">
        <v>7843</v>
      </c>
      <c r="AU616" s="8" t="s">
        <v>7643</v>
      </c>
      <c r="AV616" s="4" t="s">
        <v>7644</v>
      </c>
      <c r="AW616" s="8" t="s">
        <v>7636</v>
      </c>
      <c r="AX616" s="4" t="s">
        <v>7637</v>
      </c>
      <c r="AY616" s="8" t="s">
        <v>7610</v>
      </c>
      <c r="AZ616" s="4" t="s">
        <v>7617</v>
      </c>
      <c r="BA616" s="8" t="n">
        <v>1600</v>
      </c>
      <c r="BB616" s="8" t="s">
        <v>7598</v>
      </c>
      <c r="BC616" s="4" t="s">
        <v>7604</v>
      </c>
      <c r="BD616" s="8" t="s">
        <v>7666</v>
      </c>
      <c r="BE616" s="4" t="s">
        <v>7606</v>
      </c>
      <c r="BF616" s="8" t="s">
        <v>7607</v>
      </c>
      <c r="BG616" s="8" t="s">
        <v>7610</v>
      </c>
      <c r="BH616" s="4" t="s">
        <v>7646</v>
      </c>
      <c r="BI616" s="8" t="n">
        <v>16</v>
      </c>
      <c r="BJ616" s="8" t="s">
        <v>7610</v>
      </c>
      <c r="BK616" s="4" t="s">
        <v>7611</v>
      </c>
      <c r="BL616" s="8" t="s">
        <v>7602</v>
      </c>
      <c r="BM616" s="4" t="s">
        <v>7620</v>
      </c>
      <c r="BN616" s="8"/>
      <c r="BO616" s="8"/>
      <c r="BP616" s="8" t="s">
        <v>7602</v>
      </c>
      <c r="BQ616" s="8" t="str">
        <f aca="false">IF(A616="","",AT616)</f>
        <v>4歳以上</v>
      </c>
      <c r="BR616" s="8" t="str">
        <f aca="false">IF(A616="","",IF(BA616&lt;=1200,"～1200",IF(BA616&lt;=1500,"1300～1500",IF(BA616=1600,"1600",IF(BA616&lt;=1800,"1700～1800",IF(BA616&lt;=2000,"1900～2000","2100以上"))))))</f>
        <v>1600</v>
      </c>
      <c r="BS616" s="8" t="str">
        <f aca="false">IF(A616="","",IF(AX616="G1","G1",IF(AX616="G2","G2",IF(AX616="G3","G3",IF(AX616="L","L","その他")))))</f>
        <v>その他</v>
      </c>
      <c r="BT616" s="8" t="str">
        <f aca="false">IF(A616="","",IF(BI616="","未結合",IF(D616=BI616,"一致","不一致")))</f>
        <v>一致</v>
      </c>
      <c r="BU616" s="8" t="str">
        <f aca="false">IF(A616="","",IF(BE616="牝馬限定","牝馬限定","その他"))</f>
        <v>その他</v>
      </c>
    </row>
    <row r="617" customFormat="false" ht="15.75" hidden="false" customHeight="false" outlineLevel="0" collapsed="false">
      <c r="A617" s="6" t="n">
        <v>46172</v>
      </c>
      <c r="B617" s="4" t="s">
        <v>4473</v>
      </c>
      <c r="C617" s="8" t="n">
        <v>12</v>
      </c>
      <c r="D617" s="8" t="n">
        <v>16</v>
      </c>
      <c r="E617" s="8" t="n">
        <v>13</v>
      </c>
      <c r="F617" s="4" t="s">
        <v>5888</v>
      </c>
      <c r="G617" s="8" t="n">
        <v>71</v>
      </c>
      <c r="H617" s="8" t="n">
        <v>14</v>
      </c>
      <c r="I617" s="4" t="s">
        <v>4227</v>
      </c>
      <c r="J617" s="8" t="n">
        <v>30</v>
      </c>
      <c r="K617" s="8" t="n">
        <v>4</v>
      </c>
      <c r="L617" s="4" t="s">
        <v>5885</v>
      </c>
      <c r="M617" s="8" t="n">
        <v>25</v>
      </c>
      <c r="N617" s="8" t="n">
        <f aca="false">IF(A617="","",G617-J617)</f>
        <v>41</v>
      </c>
      <c r="O617" s="8" t="n">
        <f aca="false">IF(A617="","",J617-M617)</f>
        <v>5</v>
      </c>
      <c r="P617" s="8" t="n">
        <f aca="false">IF(A617="","",G617+J617)</f>
        <v>101</v>
      </c>
      <c r="Q617" s="8" t="str">
        <f aca="false">IF(A617="","",IF(AND(Y617&lt;&gt;"参考",G617&gt;=ルール設定!$B$2),"○",""))</f>
        <v/>
      </c>
      <c r="R617" s="8" t="str">
        <f aca="false">IF(A617="","",IF(AND(Y617&lt;&gt;"参考",G617&gt;=ルール設定!$B$3,N617&gt;=ルール設定!$B$4),"○",""))</f>
        <v>○</v>
      </c>
      <c r="S617" s="8" t="str">
        <f aca="false">IF(A617="","",IF(AND(Y617&lt;&gt;"参考",G617&gt;=ルール設定!$B$5,J617&gt;=ルール設定!$B$6,O617&gt;=ルール設定!$B$7),"○",""))</f>
        <v/>
      </c>
      <c r="T617" s="8" t="n">
        <v>1</v>
      </c>
      <c r="U617" s="8" t="n">
        <v>3</v>
      </c>
      <c r="V617" s="8" t="str">
        <f aca="false">IF(A617="","",IF(AND(ISNUMBER(T617),ISNUMBER(U617)),IF(AND(T617&lt;=3,U617&lt;=3),"○","×"),""))</f>
        <v>○</v>
      </c>
      <c r="W617" s="8" t="n">
        <v>110</v>
      </c>
      <c r="X617" s="8" t="n">
        <v>310</v>
      </c>
      <c r="Y617" s="4" t="s">
        <v>7597</v>
      </c>
      <c r="Z617" s="4" t="s">
        <v>7841</v>
      </c>
      <c r="AA617" s="8" t="str">
        <v/>
      </c>
      <c r="AB617" s="8" t="str">
        <v/>
      </c>
      <c r="AC617" s="8" t="str">
        <v/>
      </c>
      <c r="AD617" s="8" t="str">
        <v/>
      </c>
      <c r="AE617" s="8" t="str">
        <v>○</v>
      </c>
      <c r="AF617" s="8" t="str">
        <v/>
      </c>
      <c r="AG617" s="8" t="str">
        <v/>
      </c>
      <c r="AH617" s="8" t="str">
        <v/>
      </c>
      <c r="AI617" s="8" t="n">
        <v>46</v>
      </c>
      <c r="AJ617" s="8" t="str">
        <v>70～74</v>
      </c>
      <c r="AK617" s="8" t="str">
        <v>30以上</v>
      </c>
      <c r="AL617" s="8" t="str">
        <v>40以上</v>
      </c>
      <c r="AM617" s="8" t="str">
        <v>100～119</v>
      </c>
      <c r="AN617" s="8" t="str">
        <v>15以上</v>
      </c>
      <c r="AO617" s="8" t="str">
        <f aca="false">IF(A617="","",IF(COUNTIFS(全馬データ!$A$2:$A$50000,A617,全馬データ!$B$2:$B$50000,B617,全馬データ!$C$2:$C$50000,C617,全馬データ!$D$2:$D$50000,E617,全馬データ!$K$2:$K$50000,"&lt;&gt;")=0,"",SUMIFS(全馬データ!$K$2:$K$50000,全馬データ!$A$2:$A$50000,A617,全馬データ!$B$2:$B$50000,B617,全馬データ!$C$2:$C$50000,C617,全馬データ!$D$2:$D$50000,E617)))</f>
        <v/>
      </c>
      <c r="AP617" s="8" t="str">
        <f aca="false">IF(A617="","",IF(AO617="","欠損",IF(AO617&lt;=1.1,"1.0～1.1",IF(AO617&lt;1.3,"1.2",IF(AO617&lt;1.5,"1.3～1.4",IF(AO617&lt;2,"1.5～1.9","2.0以上"))))))</f>
        <v>欠損</v>
      </c>
      <c r="AQ617" s="8" t="str">
        <f aca="false">IF(A617="","",IF(ISNUMBER(SEARCH("2歳",Z617)),"2歳戦",IF(ISNUMBER(SEARCH("3歳未勝利",Z617)),"3歳未勝利",IF(ISNUMBER(SEARCH("未勝利",Z617)),"その他未勝利",IF(ISNUMBER(SEARCH("G1",Z617)),"G1",IF(ISNUMBER(SEARCH("G2",Z617)),"G2",IF(ISNUMBER(SEARCH("G3",Z617)),"G3",IF(ISNUMBER(SEARCH("古馬条件",Z617)),"古馬条件戦",IF(ISNUMBER(SEARCH("重賞",Z617)),"重賞","分類不能")))))))))</f>
        <v>分類不能</v>
      </c>
      <c r="AR617" s="8"/>
      <c r="AS617" s="8" t="s">
        <v>7842</v>
      </c>
      <c r="AT617" s="8" t="s">
        <v>7843</v>
      </c>
      <c r="AU617" s="8" t="s">
        <v>7634</v>
      </c>
      <c r="AV617" s="8" t="s">
        <v>7635</v>
      </c>
      <c r="AW617" s="8"/>
      <c r="AX617" s="8"/>
      <c r="AY617" s="8" t="s">
        <v>7610</v>
      </c>
      <c r="AZ617" s="4" t="s">
        <v>7617</v>
      </c>
      <c r="BA617" s="8" t="n">
        <v>2100</v>
      </c>
      <c r="BB617" s="8" t="s">
        <v>7598</v>
      </c>
      <c r="BC617" s="4" t="s">
        <v>7604</v>
      </c>
      <c r="BD617" s="8" t="s">
        <v>7630</v>
      </c>
      <c r="BE617" s="4" t="s">
        <v>7606</v>
      </c>
      <c r="BF617" s="8" t="s">
        <v>7607</v>
      </c>
      <c r="BG617" s="8" t="s">
        <v>7631</v>
      </c>
      <c r="BH617" s="4" t="s">
        <v>7632</v>
      </c>
      <c r="BI617" s="8" t="n">
        <v>16</v>
      </c>
      <c r="BJ617" s="8" t="s">
        <v>7610</v>
      </c>
      <c r="BK617" s="4" t="s">
        <v>7611</v>
      </c>
      <c r="BL617" s="8" t="s">
        <v>7602</v>
      </c>
      <c r="BM617" s="4" t="s">
        <v>7620</v>
      </c>
      <c r="BN617" s="8"/>
      <c r="BO617" s="8"/>
      <c r="BP617" s="8" t="s">
        <v>7602</v>
      </c>
      <c r="BQ617" s="8" t="str">
        <f aca="false">IF(A617="","",AT617)</f>
        <v>4歳以上</v>
      </c>
      <c r="BR617" s="8" t="str">
        <f aca="false">IF(A617="","",IF(BA617&lt;=1200,"～1200",IF(BA617&lt;=1500,"1300～1500",IF(BA617=1600,"1600",IF(BA617&lt;=1800,"1700～1800",IF(BA617&lt;=2000,"1900～2000","2100以上"))))))</f>
        <v>2100以上</v>
      </c>
      <c r="BS617" s="8" t="str">
        <f aca="false">IF(A617="","",IF(AX617="G1","G1",IF(AX617="G2","G2",IF(AX617="G3","G3",IF(AX617="L","L","その他")))))</f>
        <v>その他</v>
      </c>
      <c r="BT617" s="8" t="str">
        <f aca="false">IF(A617="","",IF(BI617="","未結合",IF(D617=BI617,"一致","不一致")))</f>
        <v>一致</v>
      </c>
      <c r="BU617" s="8" t="str">
        <f aca="false">IF(A617="","",IF(BE617="牝馬限定","牝馬限定","その他"))</f>
        <v>その他</v>
      </c>
    </row>
    <row r="618" customFormat="false" ht="15.75" hidden="false" customHeight="false" outlineLevel="0" collapsed="false">
      <c r="A618" s="6" t="n">
        <v>46172</v>
      </c>
      <c r="B618" s="4" t="s">
        <v>5435</v>
      </c>
      <c r="C618" s="8" t="n">
        <v>1</v>
      </c>
      <c r="D618" s="8" t="n">
        <v>16</v>
      </c>
      <c r="E618" s="8" t="n">
        <v>14</v>
      </c>
      <c r="F618" s="4" t="s">
        <v>5896</v>
      </c>
      <c r="G618" s="8" t="n">
        <v>65</v>
      </c>
      <c r="H618" s="8" t="n">
        <v>3</v>
      </c>
      <c r="I618" s="4" t="s">
        <v>2445</v>
      </c>
      <c r="J618" s="8" t="n">
        <v>62</v>
      </c>
      <c r="K618" s="8" t="n">
        <v>5</v>
      </c>
      <c r="L618" s="4" t="s">
        <v>5247</v>
      </c>
      <c r="M618" s="8" t="n">
        <v>29</v>
      </c>
      <c r="N618" s="8" t="n">
        <f aca="false">IF(A618="","",G618-J618)</f>
        <v>3</v>
      </c>
      <c r="O618" s="8" t="n">
        <f aca="false">IF(A618="","",J618-M618)</f>
        <v>33</v>
      </c>
      <c r="P618" s="8" t="n">
        <f aca="false">IF(A618="","",G618+J618)</f>
        <v>127</v>
      </c>
      <c r="Q618" s="8" t="str">
        <f aca="false">IF(A618="","",IF(AND(Y618&lt;&gt;"参考",G618&gt;=ルール設定!$B$2),"○",""))</f>
        <v/>
      </c>
      <c r="R618" s="8" t="str">
        <f aca="false">IF(A618="","",IF(AND(Y618&lt;&gt;"参考",G618&gt;=ルール設定!$B$3,N618&gt;=ルール設定!$B$4),"○",""))</f>
        <v/>
      </c>
      <c r="S618" s="8" t="str">
        <f aca="false">IF(A618="","",IF(AND(Y618&lt;&gt;"参考",G618&gt;=ルール設定!$B$5,J618&gt;=ルール設定!$B$6,O618&gt;=ルール設定!$B$7),"○",""))</f>
        <v>○</v>
      </c>
      <c r="T618" s="8" t="n">
        <v>1</v>
      </c>
      <c r="U618" s="8" t="n">
        <v>2</v>
      </c>
      <c r="V618" s="8" t="str">
        <f aca="false">IF(A618="","",IF(AND(ISNUMBER(T618),ISNUMBER(U618)),IF(AND(T618&lt;=3,U618&lt;=3),"○","×"),""))</f>
        <v>○</v>
      </c>
      <c r="W618" s="8" t="n">
        <v>110</v>
      </c>
      <c r="X618" s="8" t="n">
        <v>140</v>
      </c>
      <c r="Y618" s="4" t="s">
        <v>7597</v>
      </c>
      <c r="Z618" s="4" t="s">
        <v>7841</v>
      </c>
      <c r="AA618" s="8" t="str">
        <v/>
      </c>
      <c r="AB618" s="8" t="str">
        <v/>
      </c>
      <c r="AC618" s="8" t="str">
        <v/>
      </c>
      <c r="AD618" s="8" t="str">
        <v/>
      </c>
      <c r="AE618" s="8" t="str">
        <v/>
      </c>
      <c r="AF618" s="8" t="str">
        <v/>
      </c>
      <c r="AG618" s="8" t="str">
        <v/>
      </c>
      <c r="AH618" s="8" t="str">
        <v/>
      </c>
      <c r="AI618" s="8" t="n">
        <v>36</v>
      </c>
      <c r="AJ618" s="8" t="str">
        <v>60～69</v>
      </c>
      <c r="AK618" s="8" t="str">
        <v>0～4</v>
      </c>
      <c r="AL618" s="8" t="str">
        <v>30～39</v>
      </c>
      <c r="AM618" s="8" t="str">
        <v>120～139</v>
      </c>
      <c r="AN618" s="8" t="str">
        <v>15以上</v>
      </c>
      <c r="AO618" s="8" t="str">
        <f aca="false">IF(A618="","",IF(COUNTIFS(全馬データ!$A$2:$A$50000,A618,全馬データ!$B$2:$B$50000,B618,全馬データ!$C$2:$C$50000,C618,全馬データ!$D$2:$D$50000,E618,全馬データ!$K$2:$K$50000,"&lt;&gt;")=0,"",SUMIFS(全馬データ!$K$2:$K$50000,全馬データ!$A$2:$A$50000,A618,全馬データ!$B$2:$B$50000,B618,全馬データ!$C$2:$C$50000,C618,全馬データ!$D$2:$D$50000,E618)))</f>
        <v/>
      </c>
      <c r="AP618" s="8" t="str">
        <f aca="false">IF(A618="","",IF(AO618="","欠損",IF(AO618&lt;=1.1,"1.0～1.1",IF(AO618&lt;1.3,"1.2",IF(AO618&lt;1.5,"1.3～1.4",IF(AO618&lt;2,"1.5～1.9","2.0以上"))))))</f>
        <v>欠損</v>
      </c>
      <c r="AQ618" s="8" t="str">
        <f aca="false">IF(A618="","",IF(ISNUMBER(SEARCH("2歳",Z618)),"2歳戦",IF(ISNUMBER(SEARCH("3歳未勝利",Z618)),"3歳未勝利",IF(ISNUMBER(SEARCH("未勝利",Z618)),"その他未勝利",IF(ISNUMBER(SEARCH("G1",Z618)),"G1",IF(ISNUMBER(SEARCH("G2",Z618)),"G2",IF(ISNUMBER(SEARCH("G3",Z618)),"G3",IF(ISNUMBER(SEARCH("古馬条件",Z618)),"古馬条件戦",IF(ISNUMBER(SEARCH("重賞",Z618)),"重賞","分類不能")))))))))</f>
        <v>分類不能</v>
      </c>
      <c r="AR618" s="8"/>
      <c r="AS618" s="8" t="s">
        <v>7623</v>
      </c>
      <c r="AT618" s="8" t="s">
        <v>7624</v>
      </c>
      <c r="AU618" s="8" t="s">
        <v>7600</v>
      </c>
      <c r="AV618" s="4" t="s">
        <v>7601</v>
      </c>
      <c r="AW618" s="8"/>
      <c r="AX618" s="8"/>
      <c r="AY618" s="8" t="s">
        <v>7610</v>
      </c>
      <c r="AZ618" s="4" t="s">
        <v>7617</v>
      </c>
      <c r="BA618" s="8" t="n">
        <v>1400</v>
      </c>
      <c r="BB618" s="8" t="s">
        <v>7598</v>
      </c>
      <c r="BC618" s="4" t="s">
        <v>7604</v>
      </c>
      <c r="BD618" s="8" t="s">
        <v>7605</v>
      </c>
      <c r="BE618" s="4" t="s">
        <v>7606</v>
      </c>
      <c r="BF618" s="8" t="s">
        <v>7607</v>
      </c>
      <c r="BG618" s="8" t="s">
        <v>7608</v>
      </c>
      <c r="BH618" s="4" t="s">
        <v>7609</v>
      </c>
      <c r="BI618" s="8" t="n">
        <v>16</v>
      </c>
      <c r="BJ618" s="8" t="s">
        <v>7602</v>
      </c>
      <c r="BK618" s="4" t="s">
        <v>7653</v>
      </c>
      <c r="BL618" s="8" t="s">
        <v>7602</v>
      </c>
      <c r="BM618" s="4" t="s">
        <v>7620</v>
      </c>
      <c r="BN618" s="8"/>
      <c r="BO618" s="8"/>
      <c r="BP618" s="8" t="s">
        <v>7610</v>
      </c>
      <c r="BQ618" s="8" t="str">
        <f aca="false">IF(A618="","",AT618)</f>
        <v>3歳</v>
      </c>
      <c r="BR618" s="8" t="str">
        <f aca="false">IF(A618="","",IF(BA618&lt;=1200,"～1200",IF(BA618&lt;=1500,"1300～1500",IF(BA618=1600,"1600",IF(BA618&lt;=1800,"1700～1800",IF(BA618&lt;=2000,"1900～2000","2100以上"))))))</f>
        <v>1300～1500</v>
      </c>
      <c r="BS618" s="8" t="str">
        <f aca="false">IF(A618="","",IF(AX618="G1","G1",IF(AX618="G2","G2",IF(AX618="G3","G3",IF(AX618="L","L","その他")))))</f>
        <v>その他</v>
      </c>
      <c r="BT618" s="8" t="str">
        <f aca="false">IF(A618="","",IF(BI618="","未結合",IF(D618=BI618,"一致","不一致")))</f>
        <v>一致</v>
      </c>
      <c r="BU618" s="8" t="str">
        <f aca="false">IF(A618="","",IF(BE618="牝馬限定","牝馬限定","その他"))</f>
        <v>その他</v>
      </c>
    </row>
    <row r="619" customFormat="false" ht="15.75" hidden="false" customHeight="false" outlineLevel="0" collapsed="false">
      <c r="A619" s="6" t="n">
        <v>46172</v>
      </c>
      <c r="B619" s="4" t="s">
        <v>5435</v>
      </c>
      <c r="C619" s="8" t="n">
        <v>2</v>
      </c>
      <c r="D619" s="8" t="n">
        <v>16</v>
      </c>
      <c r="E619" s="8" t="n">
        <v>1</v>
      </c>
      <c r="F619" s="4" t="s">
        <v>3962</v>
      </c>
      <c r="G619" s="8" t="n">
        <v>74</v>
      </c>
      <c r="H619" s="8" t="n">
        <v>12</v>
      </c>
      <c r="I619" s="4" t="s">
        <v>3610</v>
      </c>
      <c r="J619" s="8" t="n">
        <v>60</v>
      </c>
      <c r="K619" s="8" t="n">
        <v>7</v>
      </c>
      <c r="L619" s="4" t="s">
        <v>669</v>
      </c>
      <c r="M619" s="8" t="n">
        <v>58</v>
      </c>
      <c r="N619" s="8" t="n">
        <f aca="false">IF(A619="","",G619-J619)</f>
        <v>14</v>
      </c>
      <c r="O619" s="8" t="n">
        <f aca="false">IF(A619="","",J619-M619)</f>
        <v>2</v>
      </c>
      <c r="P619" s="8" t="n">
        <f aca="false">IF(A619="","",G619+J619)</f>
        <v>134</v>
      </c>
      <c r="Q619" s="8" t="str">
        <f aca="false">IF(A619="","",IF(AND(Y619&lt;&gt;"参考",G619&gt;=ルール設定!$B$2),"○",""))</f>
        <v/>
      </c>
      <c r="R619" s="8" t="str">
        <f aca="false">IF(A619="","",IF(AND(Y619&lt;&gt;"参考",G619&gt;=ルール設定!$B$3,N619&gt;=ルール設定!$B$4),"○",""))</f>
        <v/>
      </c>
      <c r="S619" s="8" t="str">
        <f aca="false">IF(A619="","",IF(AND(Y619&lt;&gt;"参考",G619&gt;=ルール設定!$B$5,J619&gt;=ルール設定!$B$6,O619&gt;=ルール設定!$B$7),"○",""))</f>
        <v/>
      </c>
      <c r="T619" s="8" t="n">
        <v>1</v>
      </c>
      <c r="U619" s="8" t="n">
        <v>4</v>
      </c>
      <c r="V619" s="8" t="str">
        <f aca="false">IF(A619="","",IF(AND(ISNUMBER(T619),ISNUMBER(U619)),IF(AND(T619&lt;=3,U619&lt;=3),"○","×"),""))</f>
        <v>×</v>
      </c>
      <c r="W619" s="8" t="n">
        <v>110</v>
      </c>
      <c r="X619" s="8"/>
      <c r="Y619" s="4" t="s">
        <v>7597</v>
      </c>
      <c r="Z619" s="4" t="s">
        <v>7841</v>
      </c>
      <c r="AA619" s="8" t="str">
        <v/>
      </c>
      <c r="AB619" s="8" t="str">
        <v/>
      </c>
      <c r="AC619" s="8" t="str">
        <v/>
      </c>
      <c r="AD619" s="8" t="str">
        <v/>
      </c>
      <c r="AE619" s="8" t="str">
        <v/>
      </c>
      <c r="AF619" s="8" t="str">
        <v/>
      </c>
      <c r="AG619" s="8" t="str">
        <v/>
      </c>
      <c r="AH619" s="8" t="str">
        <v/>
      </c>
      <c r="AI619" s="8" t="n">
        <v>16</v>
      </c>
      <c r="AJ619" s="8" t="str">
        <v>70～74</v>
      </c>
      <c r="AK619" s="8" t="str">
        <v>10～19</v>
      </c>
      <c r="AL619" s="8" t="str">
        <v>10～19</v>
      </c>
      <c r="AM619" s="8" t="str">
        <v>120～139</v>
      </c>
      <c r="AN619" s="8" t="str">
        <v>15以上</v>
      </c>
      <c r="AO619" s="8" t="str">
        <f aca="false">IF(A619="","",IF(COUNTIFS(全馬データ!$A$2:$A$50000,A619,全馬データ!$B$2:$B$50000,B619,全馬データ!$C$2:$C$50000,C619,全馬データ!$D$2:$D$50000,E619,全馬データ!$K$2:$K$50000,"&lt;&gt;")=0,"",SUMIFS(全馬データ!$K$2:$K$50000,全馬データ!$A$2:$A$50000,A619,全馬データ!$B$2:$B$50000,B619,全馬データ!$C$2:$C$50000,C619,全馬データ!$D$2:$D$50000,E619)))</f>
        <v/>
      </c>
      <c r="AP619" s="8" t="str">
        <f aca="false">IF(A619="","",IF(AO619="","欠損",IF(AO619&lt;=1.1,"1.0～1.1",IF(AO619&lt;1.3,"1.2",IF(AO619&lt;1.5,"1.3～1.4",IF(AO619&lt;2,"1.5～1.9","2.0以上"))))))</f>
        <v>欠損</v>
      </c>
      <c r="AQ619" s="8" t="str">
        <f aca="false">IF(A619="","",IF(ISNUMBER(SEARCH("2歳",Z619)),"2歳戦",IF(ISNUMBER(SEARCH("3歳未勝利",Z619)),"3歳未勝利",IF(ISNUMBER(SEARCH("未勝利",Z619)),"その他未勝利",IF(ISNUMBER(SEARCH("G1",Z619)),"G1",IF(ISNUMBER(SEARCH("G2",Z619)),"G2",IF(ISNUMBER(SEARCH("G3",Z619)),"G3",IF(ISNUMBER(SEARCH("古馬条件",Z619)),"古馬条件戦",IF(ISNUMBER(SEARCH("重賞",Z619)),"重賞","分類不能")))))))))</f>
        <v>分類不能</v>
      </c>
      <c r="AR619" s="8"/>
      <c r="AS619" s="8" t="s">
        <v>7623</v>
      </c>
      <c r="AT619" s="8" t="s">
        <v>7624</v>
      </c>
      <c r="AU619" s="8" t="s">
        <v>7600</v>
      </c>
      <c r="AV619" s="4" t="s">
        <v>7601</v>
      </c>
      <c r="AW619" s="8"/>
      <c r="AX619" s="8"/>
      <c r="AY619" s="8" t="s">
        <v>7610</v>
      </c>
      <c r="AZ619" s="4" t="s">
        <v>7617</v>
      </c>
      <c r="BA619" s="8" t="n">
        <v>1800</v>
      </c>
      <c r="BB619" s="8" t="s">
        <v>7598</v>
      </c>
      <c r="BC619" s="4" t="s">
        <v>7604</v>
      </c>
      <c r="BD619" s="8" t="s">
        <v>7605</v>
      </c>
      <c r="BE619" s="4" t="s">
        <v>7606</v>
      </c>
      <c r="BF619" s="8" t="s">
        <v>7607</v>
      </c>
      <c r="BG619" s="8" t="s">
        <v>7608</v>
      </c>
      <c r="BH619" s="4" t="s">
        <v>7609</v>
      </c>
      <c r="BI619" s="8" t="n">
        <v>16</v>
      </c>
      <c r="BJ619" s="8" t="s">
        <v>7602</v>
      </c>
      <c r="BK619" s="4" t="s">
        <v>7653</v>
      </c>
      <c r="BL619" s="8" t="s">
        <v>7602</v>
      </c>
      <c r="BM619" s="4" t="s">
        <v>7620</v>
      </c>
      <c r="BN619" s="8"/>
      <c r="BO619" s="8"/>
      <c r="BP619" s="8" t="s">
        <v>7610</v>
      </c>
      <c r="BQ619" s="8" t="str">
        <f aca="false">IF(A619="","",AT619)</f>
        <v>3歳</v>
      </c>
      <c r="BR619" s="8" t="str">
        <f aca="false">IF(A619="","",IF(BA619&lt;=1200,"～1200",IF(BA619&lt;=1500,"1300～1500",IF(BA619=1600,"1600",IF(BA619&lt;=1800,"1700～1800",IF(BA619&lt;=2000,"1900～2000","2100以上"))))))</f>
        <v>1700～1800</v>
      </c>
      <c r="BS619" s="8" t="str">
        <f aca="false">IF(A619="","",IF(AX619="G1","G1",IF(AX619="G2","G2",IF(AX619="G3","G3",IF(AX619="L","L","その他")))))</f>
        <v>その他</v>
      </c>
      <c r="BT619" s="8" t="str">
        <f aca="false">IF(A619="","",IF(BI619="","未結合",IF(D619=BI619,"一致","不一致")))</f>
        <v>一致</v>
      </c>
      <c r="BU619" s="8" t="str">
        <f aca="false">IF(A619="","",IF(BE619="牝馬限定","牝馬限定","その他"))</f>
        <v>その他</v>
      </c>
    </row>
    <row r="620" customFormat="false" ht="15.75" hidden="false" customHeight="false" outlineLevel="0" collapsed="false">
      <c r="A620" s="6" t="n">
        <v>46172</v>
      </c>
      <c r="B620" s="4" t="s">
        <v>5435</v>
      </c>
      <c r="C620" s="8" t="n">
        <v>3</v>
      </c>
      <c r="D620" s="8" t="n">
        <v>18</v>
      </c>
      <c r="E620" s="8" t="n">
        <v>10</v>
      </c>
      <c r="F620" s="4" t="s">
        <v>776</v>
      </c>
      <c r="G620" s="8" t="n">
        <v>67</v>
      </c>
      <c r="H620" s="8" t="n">
        <v>11</v>
      </c>
      <c r="I620" s="4" t="s">
        <v>5909</v>
      </c>
      <c r="J620" s="8" t="n">
        <v>44</v>
      </c>
      <c r="K620" s="8" t="n">
        <v>4</v>
      </c>
      <c r="L620" s="4" t="s">
        <v>5906</v>
      </c>
      <c r="M620" s="8" t="n">
        <v>29</v>
      </c>
      <c r="N620" s="8" t="n">
        <f aca="false">IF(A620="","",G620-J620)</f>
        <v>23</v>
      </c>
      <c r="O620" s="8" t="n">
        <f aca="false">IF(A620="","",J620-M620)</f>
        <v>15</v>
      </c>
      <c r="P620" s="8" t="n">
        <f aca="false">IF(A620="","",G620+J620)</f>
        <v>111</v>
      </c>
      <c r="Q620" s="8" t="str">
        <f aca="false">IF(A620="","",IF(AND(Y620&lt;&gt;"参考",G620&gt;=ルール設定!$B$2),"○",""))</f>
        <v/>
      </c>
      <c r="R620" s="8" t="str">
        <f aca="false">IF(A620="","",IF(AND(Y620&lt;&gt;"参考",G620&gt;=ルール設定!$B$3,N620&gt;=ルール設定!$B$4),"○",""))</f>
        <v/>
      </c>
      <c r="S620" s="8" t="str">
        <f aca="false">IF(A620="","",IF(AND(Y620&lt;&gt;"参考",G620&gt;=ルール設定!$B$5,J620&gt;=ルール設定!$B$6,O620&gt;=ルール設定!$B$7),"○",""))</f>
        <v/>
      </c>
      <c r="T620" s="8" t="n">
        <v>3</v>
      </c>
      <c r="U620" s="8" t="n">
        <v>4</v>
      </c>
      <c r="V620" s="8" t="str">
        <f aca="false">IF(A620="","",IF(AND(ISNUMBER(T620),ISNUMBER(U620)),IF(AND(T620&lt;=3,U620&lt;=3),"○","×"),""))</f>
        <v>×</v>
      </c>
      <c r="W620" s="8" t="n">
        <v>110</v>
      </c>
      <c r="X620" s="8"/>
      <c r="Y620" s="4" t="s">
        <v>7597</v>
      </c>
      <c r="Z620" s="4" t="s">
        <v>7841</v>
      </c>
      <c r="AA620" s="8" t="str">
        <v/>
      </c>
      <c r="AB620" s="8" t="str">
        <v/>
      </c>
      <c r="AC620" s="8" t="str">
        <v/>
      </c>
      <c r="AD620" s="8" t="str">
        <v/>
      </c>
      <c r="AE620" s="8" t="str">
        <v/>
      </c>
      <c r="AF620" s="8" t="str">
        <v/>
      </c>
      <c r="AG620" s="8" t="str">
        <v/>
      </c>
      <c r="AH620" s="8" t="str">
        <v/>
      </c>
      <c r="AI620" s="8" t="n">
        <v>38</v>
      </c>
      <c r="AJ620" s="8" t="str">
        <v>60～69</v>
      </c>
      <c r="AK620" s="8" t="str">
        <v>20～29</v>
      </c>
      <c r="AL620" s="8" t="str">
        <v>30～39</v>
      </c>
      <c r="AM620" s="8" t="str">
        <v>100～119</v>
      </c>
      <c r="AN620" s="8" t="str">
        <v>15以上</v>
      </c>
      <c r="AO620" s="8" t="str">
        <f aca="false">IF(A620="","",IF(COUNTIFS(全馬データ!$A$2:$A$50000,A620,全馬データ!$B$2:$B$50000,B620,全馬データ!$C$2:$C$50000,C620,全馬データ!$D$2:$D$50000,E620,全馬データ!$K$2:$K$50000,"&lt;&gt;")=0,"",SUMIFS(全馬データ!$K$2:$K$50000,全馬データ!$A$2:$A$50000,A620,全馬データ!$B$2:$B$50000,B620,全馬データ!$C$2:$C$50000,C620,全馬データ!$D$2:$D$50000,E620)))</f>
        <v/>
      </c>
      <c r="AP620" s="8" t="str">
        <f aca="false">IF(A620="","",IF(AO620="","欠損",IF(AO620&lt;=1.1,"1.0～1.1",IF(AO620&lt;1.3,"1.2",IF(AO620&lt;1.5,"1.3～1.4",IF(AO620&lt;2,"1.5～1.9","2.0以上"))))))</f>
        <v>欠損</v>
      </c>
      <c r="AQ620" s="8" t="str">
        <f aca="false">IF(A620="","",IF(ISNUMBER(SEARCH("2歳",Z620)),"2歳戦",IF(ISNUMBER(SEARCH("3歳未勝利",Z620)),"3歳未勝利",IF(ISNUMBER(SEARCH("未勝利",Z620)),"その他未勝利",IF(ISNUMBER(SEARCH("G1",Z620)),"G1",IF(ISNUMBER(SEARCH("G2",Z620)),"G2",IF(ISNUMBER(SEARCH("G3",Z620)),"G3",IF(ISNUMBER(SEARCH("古馬条件",Z620)),"古馬条件戦",IF(ISNUMBER(SEARCH("重賞",Z620)),"重賞","分類不能")))))))))</f>
        <v>分類不能</v>
      </c>
      <c r="AR620" s="8"/>
      <c r="AS620" s="8" t="s">
        <v>7623</v>
      </c>
      <c r="AT620" s="8" t="s">
        <v>7624</v>
      </c>
      <c r="AU620" s="8" t="s">
        <v>7600</v>
      </c>
      <c r="AV620" s="4" t="s">
        <v>7601</v>
      </c>
      <c r="AW620" s="8"/>
      <c r="AX620" s="8"/>
      <c r="AY620" s="8" t="s">
        <v>7602</v>
      </c>
      <c r="AZ620" s="4" t="s">
        <v>7603</v>
      </c>
      <c r="BA620" s="8" t="n">
        <v>1400</v>
      </c>
      <c r="BB620" s="8" t="s">
        <v>7598</v>
      </c>
      <c r="BC620" s="4" t="s">
        <v>7604</v>
      </c>
      <c r="BD620" s="8" t="s">
        <v>7625</v>
      </c>
      <c r="BE620" s="4" t="s">
        <v>7606</v>
      </c>
      <c r="BF620" s="8" t="s">
        <v>7607</v>
      </c>
      <c r="BG620" s="8" t="s">
        <v>7608</v>
      </c>
      <c r="BH620" s="4" t="s">
        <v>7609</v>
      </c>
      <c r="BI620" s="8" t="n">
        <v>18</v>
      </c>
      <c r="BJ620" s="8" t="s">
        <v>7602</v>
      </c>
      <c r="BK620" s="4" t="s">
        <v>7653</v>
      </c>
      <c r="BL620" s="8" t="s">
        <v>7602</v>
      </c>
      <c r="BM620" s="4" t="s">
        <v>7620</v>
      </c>
      <c r="BN620" s="8" t="s">
        <v>7676</v>
      </c>
      <c r="BO620" s="8" t="s">
        <v>7778</v>
      </c>
      <c r="BP620" s="8" t="s">
        <v>7610</v>
      </c>
      <c r="BQ620" s="8" t="str">
        <f aca="false">IF(A620="","",AT620)</f>
        <v>3歳</v>
      </c>
      <c r="BR620" s="8" t="str">
        <f aca="false">IF(A620="","",IF(BA620&lt;=1200,"～1200",IF(BA620&lt;=1500,"1300～1500",IF(BA620=1600,"1600",IF(BA620&lt;=1800,"1700～1800",IF(BA620&lt;=2000,"1900～2000","2100以上"))))))</f>
        <v>1300～1500</v>
      </c>
      <c r="BS620" s="8" t="str">
        <f aca="false">IF(A620="","",IF(AX620="G1","G1",IF(AX620="G2","G2",IF(AX620="G3","G3",IF(AX620="L","L","その他")))))</f>
        <v>その他</v>
      </c>
      <c r="BT620" s="8" t="str">
        <f aca="false">IF(A620="","",IF(BI620="","未結合",IF(D620=BI620,"一致","不一致")))</f>
        <v>一致</v>
      </c>
      <c r="BU620" s="8" t="str">
        <f aca="false">IF(A620="","",IF(BE620="牝馬限定","牝馬限定","その他"))</f>
        <v>その他</v>
      </c>
    </row>
    <row r="621" customFormat="false" ht="15.75" hidden="false" customHeight="false" outlineLevel="0" collapsed="false">
      <c r="A621" s="6" t="n">
        <v>46172</v>
      </c>
      <c r="B621" s="4" t="s">
        <v>5435</v>
      </c>
      <c r="C621" s="8" t="n">
        <v>4</v>
      </c>
      <c r="D621" s="8" t="n">
        <v>18</v>
      </c>
      <c r="E621" s="8" t="n">
        <v>17</v>
      </c>
      <c r="F621" s="4" t="s">
        <v>5924</v>
      </c>
      <c r="G621" s="8" t="n">
        <v>56</v>
      </c>
      <c r="H621" s="8" t="n">
        <v>13</v>
      </c>
      <c r="I621" s="4" t="s">
        <v>5922</v>
      </c>
      <c r="J621" s="8" t="n">
        <v>35</v>
      </c>
      <c r="K621" s="8" t="n">
        <v>9</v>
      </c>
      <c r="L621" s="4" t="s">
        <v>3517</v>
      </c>
      <c r="M621" s="8" t="n">
        <v>31</v>
      </c>
      <c r="N621" s="8" t="n">
        <f aca="false">IF(A621="","",G621-J621)</f>
        <v>21</v>
      </c>
      <c r="O621" s="8" t="n">
        <f aca="false">IF(A621="","",J621-M621)</f>
        <v>4</v>
      </c>
      <c r="P621" s="8" t="n">
        <f aca="false">IF(A621="","",G621+J621)</f>
        <v>91</v>
      </c>
      <c r="Q621" s="8" t="str">
        <f aca="false">IF(A621="","",IF(AND(Y621&lt;&gt;"参考",G621&gt;=ルール設定!$B$2),"○",""))</f>
        <v/>
      </c>
      <c r="R621" s="8" t="str">
        <f aca="false">IF(A621="","",IF(AND(Y621&lt;&gt;"参考",G621&gt;=ルール設定!$B$3,N621&gt;=ルール設定!$B$4),"○",""))</f>
        <v/>
      </c>
      <c r="S621" s="8" t="str">
        <f aca="false">IF(A621="","",IF(AND(Y621&lt;&gt;"参考",G621&gt;=ルール設定!$B$5,J621&gt;=ルール設定!$B$6,O621&gt;=ルール設定!$B$7),"○",""))</f>
        <v/>
      </c>
      <c r="T621" s="8" t="n">
        <v>2</v>
      </c>
      <c r="U621" s="8" t="n">
        <v>1</v>
      </c>
      <c r="V621" s="8" t="str">
        <f aca="false">IF(A621="","",IF(AND(ISNUMBER(T621),ISNUMBER(U621)),IF(AND(T621&lt;=3,U621&lt;=3),"○","×"),""))</f>
        <v>○</v>
      </c>
      <c r="W621" s="8" t="n">
        <v>140</v>
      </c>
      <c r="X621" s="8" t="n">
        <v>290</v>
      </c>
      <c r="Y621" s="4" t="s">
        <v>7597</v>
      </c>
      <c r="Z621" s="4" t="s">
        <v>7841</v>
      </c>
      <c r="AA621" s="8" t="str">
        <v/>
      </c>
      <c r="AB621" s="8" t="str">
        <v/>
      </c>
      <c r="AC621" s="8" t="str">
        <v/>
      </c>
      <c r="AD621" s="8" t="str">
        <v/>
      </c>
      <c r="AE621" s="8" t="str">
        <v/>
      </c>
      <c r="AF621" s="8" t="str">
        <v/>
      </c>
      <c r="AG621" s="8" t="str">
        <v/>
      </c>
      <c r="AH621" s="8" t="str">
        <v/>
      </c>
      <c r="AI621" s="8" t="n">
        <v>25</v>
      </c>
      <c r="AJ621" s="8" t="str">
        <v>～59</v>
      </c>
      <c r="AK621" s="8" t="str">
        <v>20～29</v>
      </c>
      <c r="AL621" s="8" t="str">
        <v>20～29</v>
      </c>
      <c r="AM621" s="8" t="str">
        <v>～99</v>
      </c>
      <c r="AN621" s="8" t="str">
        <v>15以上</v>
      </c>
      <c r="AO621" s="8" t="str">
        <f aca="false">IF(A621="","",IF(COUNTIFS(全馬データ!$A$2:$A$50000,A621,全馬データ!$B$2:$B$50000,B621,全馬データ!$C$2:$C$50000,C621,全馬データ!$D$2:$D$50000,E621,全馬データ!$K$2:$K$50000,"&lt;&gt;")=0,"",SUMIFS(全馬データ!$K$2:$K$50000,全馬データ!$A$2:$A$50000,A621,全馬データ!$B$2:$B$50000,B621,全馬データ!$C$2:$C$50000,C621,全馬データ!$D$2:$D$50000,E621)))</f>
        <v/>
      </c>
      <c r="AP621" s="8" t="str">
        <f aca="false">IF(A621="","",IF(AO621="","欠損",IF(AO621&lt;=1.1,"1.0～1.1",IF(AO621&lt;1.3,"1.2",IF(AO621&lt;1.5,"1.3～1.4",IF(AO621&lt;2,"1.5～1.9","2.0以上"))))))</f>
        <v>欠損</v>
      </c>
      <c r="AQ621" s="8" t="str">
        <f aca="false">IF(A621="","",IF(ISNUMBER(SEARCH("2歳",Z621)),"2歳戦",IF(ISNUMBER(SEARCH("3歳未勝利",Z621)),"3歳未勝利",IF(ISNUMBER(SEARCH("未勝利",Z621)),"その他未勝利",IF(ISNUMBER(SEARCH("G1",Z621)),"G1",IF(ISNUMBER(SEARCH("G2",Z621)),"G2",IF(ISNUMBER(SEARCH("G3",Z621)),"G3",IF(ISNUMBER(SEARCH("古馬条件",Z621)),"古馬条件戦",IF(ISNUMBER(SEARCH("重賞",Z621)),"重賞","分類不能")))))))))</f>
        <v>分類不能</v>
      </c>
      <c r="AR621" s="8"/>
      <c r="AS621" s="8" t="s">
        <v>7623</v>
      </c>
      <c r="AT621" s="8" t="s">
        <v>7624</v>
      </c>
      <c r="AU621" s="8" t="s">
        <v>7600</v>
      </c>
      <c r="AV621" s="4" t="s">
        <v>7601</v>
      </c>
      <c r="AW621" s="8"/>
      <c r="AX621" s="8"/>
      <c r="AY621" s="8" t="s">
        <v>7602</v>
      </c>
      <c r="AZ621" s="4" t="s">
        <v>7603</v>
      </c>
      <c r="BA621" s="8" t="n">
        <v>2400</v>
      </c>
      <c r="BB621" s="8" t="s">
        <v>7598</v>
      </c>
      <c r="BC621" s="4" t="s">
        <v>7604</v>
      </c>
      <c r="BD621" s="8" t="s">
        <v>7605</v>
      </c>
      <c r="BE621" s="4" t="s">
        <v>7606</v>
      </c>
      <c r="BF621" s="8" t="s">
        <v>7607</v>
      </c>
      <c r="BG621" s="8" t="s">
        <v>7608</v>
      </c>
      <c r="BH621" s="4" t="s">
        <v>7609</v>
      </c>
      <c r="BI621" s="8" t="n">
        <v>18</v>
      </c>
      <c r="BJ621" s="8" t="s">
        <v>7602</v>
      </c>
      <c r="BK621" s="4" t="s">
        <v>7653</v>
      </c>
      <c r="BL621" s="8" t="s">
        <v>7610</v>
      </c>
      <c r="BM621" s="4" t="s">
        <v>7612</v>
      </c>
      <c r="BN621" s="8" t="s">
        <v>7676</v>
      </c>
      <c r="BO621" s="8" t="s">
        <v>7778</v>
      </c>
      <c r="BP621" s="8" t="s">
        <v>7610</v>
      </c>
      <c r="BQ621" s="8" t="str">
        <f aca="false">IF(A621="","",AT621)</f>
        <v>3歳</v>
      </c>
      <c r="BR621" s="8" t="str">
        <f aca="false">IF(A621="","",IF(BA621&lt;=1200,"～1200",IF(BA621&lt;=1500,"1300～1500",IF(BA621=1600,"1600",IF(BA621&lt;=1800,"1700～1800",IF(BA621&lt;=2000,"1900～2000","2100以上"))))))</f>
        <v>2100以上</v>
      </c>
      <c r="BS621" s="8" t="str">
        <f aca="false">IF(A621="","",IF(AX621="G1","G1",IF(AX621="G2","G2",IF(AX621="G3","G3",IF(AX621="L","L","その他")))))</f>
        <v>その他</v>
      </c>
      <c r="BT621" s="8" t="str">
        <f aca="false">IF(A621="","",IF(BI621="","未結合",IF(D621=BI621,"一致","不一致")))</f>
        <v>一致</v>
      </c>
      <c r="BU621" s="8" t="str">
        <f aca="false">IF(A621="","",IF(BE621="牝馬限定","牝馬限定","その他"))</f>
        <v>その他</v>
      </c>
    </row>
    <row r="622" customFormat="false" ht="15.75" hidden="false" customHeight="false" outlineLevel="0" collapsed="false">
      <c r="A622" s="6" t="n">
        <v>46172</v>
      </c>
      <c r="B622" s="4" t="s">
        <v>5435</v>
      </c>
      <c r="C622" s="8" t="n">
        <v>5</v>
      </c>
      <c r="D622" s="8" t="n">
        <v>18</v>
      </c>
      <c r="E622" s="8" t="n">
        <v>12</v>
      </c>
      <c r="F622" s="4" t="s">
        <v>5934</v>
      </c>
      <c r="G622" s="8" t="n">
        <v>81</v>
      </c>
      <c r="H622" s="8" t="n">
        <v>1</v>
      </c>
      <c r="I622" s="4" t="s">
        <v>5263</v>
      </c>
      <c r="J622" s="8" t="n">
        <v>62</v>
      </c>
      <c r="K622" s="8" t="n">
        <v>4</v>
      </c>
      <c r="L622" s="4" t="s">
        <v>5928</v>
      </c>
      <c r="M622" s="8" t="n">
        <v>41</v>
      </c>
      <c r="N622" s="8" t="n">
        <f aca="false">IF(A622="","",G622-J622)</f>
        <v>19</v>
      </c>
      <c r="O622" s="8" t="n">
        <f aca="false">IF(A622="","",J622-M622)</f>
        <v>21</v>
      </c>
      <c r="P622" s="8" t="n">
        <f aca="false">IF(A622="","",G622+J622)</f>
        <v>143</v>
      </c>
      <c r="Q622" s="8" t="str">
        <f aca="false">IF(A622="","",IF(AND(Y622&lt;&gt;"参考",G622&gt;=ルール設定!$B$2),"○",""))</f>
        <v>○</v>
      </c>
      <c r="R622" s="8" t="str">
        <f aca="false">IF(A622="","",IF(AND(Y622&lt;&gt;"参考",G622&gt;=ルール設定!$B$3,N622&gt;=ルール設定!$B$4),"○",""))</f>
        <v/>
      </c>
      <c r="S622" s="8" t="str">
        <f aca="false">IF(A622="","",IF(AND(Y622&lt;&gt;"参考",G622&gt;=ルール設定!$B$5,J622&gt;=ルール設定!$B$6,O622&gt;=ルール設定!$B$7),"○",""))</f>
        <v>○</v>
      </c>
      <c r="T622" s="8" t="n">
        <v>1</v>
      </c>
      <c r="U622" s="8" t="n">
        <v>4</v>
      </c>
      <c r="V622" s="8" t="str">
        <f aca="false">IF(A622="","",IF(AND(ISNUMBER(T622),ISNUMBER(U622)),IF(AND(T622&lt;=3,U622&lt;=3),"○","×"),""))</f>
        <v>×</v>
      </c>
      <c r="W622" s="8" t="n">
        <v>110</v>
      </c>
      <c r="X622" s="8"/>
      <c r="Y622" s="4" t="s">
        <v>7597</v>
      </c>
      <c r="Z622" s="4" t="s">
        <v>7841</v>
      </c>
      <c r="AA622" s="8" t="str">
        <v/>
      </c>
      <c r="AB622" s="8" t="str">
        <v>○</v>
      </c>
      <c r="AC622" s="8" t="str">
        <v>○</v>
      </c>
      <c r="AD622" s="8" t="str">
        <v/>
      </c>
      <c r="AE622" s="8" t="str">
        <v/>
      </c>
      <c r="AF622" s="8" t="str">
        <v>○</v>
      </c>
      <c r="AG622" s="8" t="str">
        <v>○</v>
      </c>
      <c r="AH622" s="8" t="str">
        <v/>
      </c>
      <c r="AI622" s="8" t="n">
        <v>40</v>
      </c>
      <c r="AJ622" s="8" t="str">
        <v>80～84</v>
      </c>
      <c r="AK622" s="8" t="str">
        <v>10～19</v>
      </c>
      <c r="AL622" s="8" t="str">
        <v>40以上</v>
      </c>
      <c r="AM622" s="8" t="str">
        <v>140～159</v>
      </c>
      <c r="AN622" s="8" t="str">
        <v>15以上</v>
      </c>
      <c r="AO622" s="8" t="str">
        <f aca="false">IF(A622="","",IF(COUNTIFS(全馬データ!$A$2:$A$50000,A622,全馬データ!$B$2:$B$50000,B622,全馬データ!$C$2:$C$50000,C622,全馬データ!$D$2:$D$50000,E622,全馬データ!$K$2:$K$50000,"&lt;&gt;")=0,"",SUMIFS(全馬データ!$K$2:$K$50000,全馬データ!$A$2:$A$50000,A622,全馬データ!$B$2:$B$50000,B622,全馬データ!$C$2:$C$50000,C622,全馬データ!$D$2:$D$50000,E622)))</f>
        <v/>
      </c>
      <c r="AP622" s="8" t="str">
        <f aca="false">IF(A622="","",IF(AO622="","欠損",IF(AO622&lt;=1.1,"1.0～1.1",IF(AO622&lt;1.3,"1.2",IF(AO622&lt;1.5,"1.3～1.4",IF(AO622&lt;2,"1.5～1.9","2.0以上"))))))</f>
        <v>欠損</v>
      </c>
      <c r="AQ622" s="8" t="str">
        <f aca="false">IF(A622="","",IF(ISNUMBER(SEARCH("2歳",Z622)),"2歳戦",IF(ISNUMBER(SEARCH("3歳未勝利",Z622)),"3歳未勝利",IF(ISNUMBER(SEARCH("未勝利",Z622)),"その他未勝利",IF(ISNUMBER(SEARCH("G1",Z622)),"G1",IF(ISNUMBER(SEARCH("G2",Z622)),"G2",IF(ISNUMBER(SEARCH("G3",Z622)),"G3",IF(ISNUMBER(SEARCH("古馬条件",Z622)),"古馬条件戦",IF(ISNUMBER(SEARCH("重賞",Z622)),"重賞","分類不能")))))))))</f>
        <v>分類不能</v>
      </c>
      <c r="AR622" s="8"/>
      <c r="AS622" s="8" t="s">
        <v>7623</v>
      </c>
      <c r="AT622" s="8" t="s">
        <v>7624</v>
      </c>
      <c r="AU622" s="8" t="s">
        <v>7600</v>
      </c>
      <c r="AV622" s="4" t="s">
        <v>7601</v>
      </c>
      <c r="AW622" s="8"/>
      <c r="AX622" s="8"/>
      <c r="AY622" s="8" t="s">
        <v>7602</v>
      </c>
      <c r="AZ622" s="4" t="s">
        <v>7603</v>
      </c>
      <c r="BA622" s="8" t="n">
        <v>1800</v>
      </c>
      <c r="BB622" s="8" t="s">
        <v>7598</v>
      </c>
      <c r="BC622" s="4" t="s">
        <v>7604</v>
      </c>
      <c r="BD622" s="8" t="s">
        <v>7625</v>
      </c>
      <c r="BE622" s="4" t="s">
        <v>7606</v>
      </c>
      <c r="BF622" s="8" t="s">
        <v>7607</v>
      </c>
      <c r="BG622" s="8" t="s">
        <v>7608</v>
      </c>
      <c r="BH622" s="4" t="s">
        <v>7609</v>
      </c>
      <c r="BI622" s="8" t="n">
        <v>18</v>
      </c>
      <c r="BJ622" s="8" t="s">
        <v>7602</v>
      </c>
      <c r="BK622" s="4" t="s">
        <v>7653</v>
      </c>
      <c r="BL622" s="8" t="s">
        <v>7610</v>
      </c>
      <c r="BM622" s="4" t="s">
        <v>7612</v>
      </c>
      <c r="BN622" s="8" t="s">
        <v>7676</v>
      </c>
      <c r="BO622" s="8" t="s">
        <v>7778</v>
      </c>
      <c r="BP622" s="8" t="s">
        <v>7610</v>
      </c>
      <c r="BQ622" s="8" t="str">
        <f aca="false">IF(A622="","",AT622)</f>
        <v>3歳</v>
      </c>
      <c r="BR622" s="8" t="str">
        <f aca="false">IF(A622="","",IF(BA622&lt;=1200,"～1200",IF(BA622&lt;=1500,"1300～1500",IF(BA622=1600,"1600",IF(BA622&lt;=1800,"1700～1800",IF(BA622&lt;=2000,"1900～2000","2100以上"))))))</f>
        <v>1700～1800</v>
      </c>
      <c r="BS622" s="8" t="str">
        <f aca="false">IF(A622="","",IF(AX622="G1","G1",IF(AX622="G2","G2",IF(AX622="G3","G3",IF(AX622="L","L","その他")))))</f>
        <v>その他</v>
      </c>
      <c r="BT622" s="8" t="str">
        <f aca="false">IF(A622="","",IF(BI622="","未結合",IF(D622=BI622,"一致","不一致")))</f>
        <v>一致</v>
      </c>
      <c r="BU622" s="8" t="str">
        <f aca="false">IF(A622="","",IF(BE622="牝馬限定","牝馬限定","その他"))</f>
        <v>その他</v>
      </c>
    </row>
    <row r="623" customFormat="false" ht="15.75" hidden="false" customHeight="false" outlineLevel="0" collapsed="false">
      <c r="A623" s="6" t="n">
        <v>46172</v>
      </c>
      <c r="B623" s="4" t="s">
        <v>5435</v>
      </c>
      <c r="C623" s="8" t="n">
        <v>6</v>
      </c>
      <c r="D623" s="8" t="n">
        <v>12</v>
      </c>
      <c r="E623" s="8" t="n">
        <v>2</v>
      </c>
      <c r="F623" s="4" t="s">
        <v>5938</v>
      </c>
      <c r="G623" s="8" t="n">
        <v>50</v>
      </c>
      <c r="H623" s="8" t="n">
        <v>6</v>
      </c>
      <c r="I623" s="4" t="s">
        <v>5039</v>
      </c>
      <c r="J623" s="8" t="n">
        <v>41</v>
      </c>
      <c r="K623" s="8" t="n">
        <v>4</v>
      </c>
      <c r="L623" s="4" t="s">
        <v>3498</v>
      </c>
      <c r="M623" s="8" t="n">
        <v>37</v>
      </c>
      <c r="N623" s="8" t="n">
        <f aca="false">IF(A623="","",G623-J623)</f>
        <v>9</v>
      </c>
      <c r="O623" s="8" t="n">
        <f aca="false">IF(A623="","",J623-M623)</f>
        <v>4</v>
      </c>
      <c r="P623" s="8" t="n">
        <f aca="false">IF(A623="","",G623+J623)</f>
        <v>91</v>
      </c>
      <c r="Q623" s="8" t="str">
        <f aca="false">IF(A623="","",IF(AND(Y623&lt;&gt;"参考",G623&gt;=ルール設定!$B$2),"○",""))</f>
        <v/>
      </c>
      <c r="R623" s="8" t="str">
        <f aca="false">IF(A623="","",IF(AND(Y623&lt;&gt;"参考",G623&gt;=ルール設定!$B$3,N623&gt;=ルール設定!$B$4),"○",""))</f>
        <v/>
      </c>
      <c r="S623" s="8" t="str">
        <f aca="false">IF(A623="","",IF(AND(Y623&lt;&gt;"参考",G623&gt;=ルール設定!$B$5,J623&gt;=ルール設定!$B$6,O623&gt;=ルール設定!$B$7),"○",""))</f>
        <v/>
      </c>
      <c r="T623" s="8" t="n">
        <v>4</v>
      </c>
      <c r="U623" s="8" t="n">
        <v>3</v>
      </c>
      <c r="V623" s="8" t="str">
        <f aca="false">IF(A623="","",IF(AND(ISNUMBER(T623),ISNUMBER(U623)),IF(AND(T623&lt;=3,U623&lt;=3),"○","×"),""))</f>
        <v>×</v>
      </c>
      <c r="W623" s="8"/>
      <c r="X623" s="8"/>
      <c r="Y623" s="4" t="s">
        <v>7597</v>
      </c>
      <c r="Z623" s="4" t="s">
        <v>7841</v>
      </c>
      <c r="AA623" s="8" t="str">
        <v/>
      </c>
      <c r="AB623" s="8" t="str">
        <v/>
      </c>
      <c r="AC623" s="8" t="str">
        <v/>
      </c>
      <c r="AD623" s="8" t="str">
        <v/>
      </c>
      <c r="AE623" s="8" t="str">
        <v/>
      </c>
      <c r="AF623" s="8" t="str">
        <v/>
      </c>
      <c r="AG623" s="8" t="str">
        <v/>
      </c>
      <c r="AH623" s="8" t="str">
        <v/>
      </c>
      <c r="AI623" s="8" t="n">
        <v>13</v>
      </c>
      <c r="AJ623" s="8" t="str">
        <v>～59</v>
      </c>
      <c r="AK623" s="8" t="str">
        <v>5～9</v>
      </c>
      <c r="AL623" s="8" t="str">
        <v>10～19</v>
      </c>
      <c r="AM623" s="8" t="str">
        <v>～99</v>
      </c>
      <c r="AN623" s="8" t="str">
        <v>12～14</v>
      </c>
      <c r="AO623" s="8" t="str">
        <f aca="false">IF(A623="","",IF(COUNTIFS(全馬データ!$A$2:$A$50000,A623,全馬データ!$B$2:$B$50000,B623,全馬データ!$C$2:$C$50000,C623,全馬データ!$D$2:$D$50000,E623,全馬データ!$K$2:$K$50000,"&lt;&gt;")=0,"",SUMIFS(全馬データ!$K$2:$K$50000,全馬データ!$A$2:$A$50000,A623,全馬データ!$B$2:$B$50000,B623,全馬データ!$C$2:$C$50000,C623,全馬データ!$D$2:$D$50000,E623)))</f>
        <v/>
      </c>
      <c r="AP623" s="8" t="str">
        <f aca="false">IF(A623="","",IF(AO623="","欠損",IF(AO623&lt;=1.1,"1.0～1.1",IF(AO623&lt;1.3,"1.2",IF(AO623&lt;1.5,"1.3～1.4",IF(AO623&lt;2,"1.5～1.9","2.0以上"))))))</f>
        <v>欠損</v>
      </c>
      <c r="AQ623" s="8" t="str">
        <f aca="false">IF(A623="","",IF(ISNUMBER(SEARCH("2歳",Z623)),"2歳戦",IF(ISNUMBER(SEARCH("3歳未勝利",Z623)),"3歳未勝利",IF(ISNUMBER(SEARCH("未勝利",Z623)),"その他未勝利",IF(ISNUMBER(SEARCH("G1",Z623)),"G1",IF(ISNUMBER(SEARCH("G2",Z623)),"G2",IF(ISNUMBER(SEARCH("G3",Z623)),"G3",IF(ISNUMBER(SEARCH("古馬条件",Z623)),"古馬条件戦",IF(ISNUMBER(SEARCH("重賞",Z623)),"重賞","分類不能")))))))))</f>
        <v>分類不能</v>
      </c>
      <c r="AR623" s="8"/>
      <c r="AS623" s="8" t="s">
        <v>7842</v>
      </c>
      <c r="AT623" s="8" t="s">
        <v>7843</v>
      </c>
      <c r="AU623" s="8" t="s">
        <v>7628</v>
      </c>
      <c r="AV623" s="8" t="s">
        <v>7629</v>
      </c>
      <c r="AW623" s="8"/>
      <c r="AX623" s="8"/>
      <c r="AY623" s="8" t="s">
        <v>7610</v>
      </c>
      <c r="AZ623" s="4" t="s">
        <v>7617</v>
      </c>
      <c r="BA623" s="8" t="n">
        <v>1800</v>
      </c>
      <c r="BB623" s="8" t="s">
        <v>7598</v>
      </c>
      <c r="BC623" s="4" t="s">
        <v>7604</v>
      </c>
      <c r="BD623" s="8" t="s">
        <v>7625</v>
      </c>
      <c r="BE623" s="4" t="s">
        <v>7606</v>
      </c>
      <c r="BF623" s="8" t="s">
        <v>7607</v>
      </c>
      <c r="BG623" s="8" t="s">
        <v>7631</v>
      </c>
      <c r="BH623" s="4" t="s">
        <v>7632</v>
      </c>
      <c r="BI623" s="8" t="n">
        <v>12</v>
      </c>
      <c r="BJ623" s="8" t="s">
        <v>7602</v>
      </c>
      <c r="BK623" s="4" t="s">
        <v>7653</v>
      </c>
      <c r="BL623" s="8" t="s">
        <v>7602</v>
      </c>
      <c r="BM623" s="4" t="s">
        <v>7620</v>
      </c>
      <c r="BN623" s="8"/>
      <c r="BO623" s="8"/>
      <c r="BP623" s="8" t="s">
        <v>7610</v>
      </c>
      <c r="BQ623" s="8" t="str">
        <f aca="false">IF(A623="","",AT623)</f>
        <v>4歳以上</v>
      </c>
      <c r="BR623" s="8" t="str">
        <f aca="false">IF(A623="","",IF(BA623&lt;=1200,"～1200",IF(BA623&lt;=1500,"1300～1500",IF(BA623=1600,"1600",IF(BA623&lt;=1800,"1700～1800",IF(BA623&lt;=2000,"1900～2000","2100以上"))))))</f>
        <v>1700～1800</v>
      </c>
      <c r="BS623" s="8" t="str">
        <f aca="false">IF(A623="","",IF(AX623="G1","G1",IF(AX623="G2","G2",IF(AX623="G3","G3",IF(AX623="L","L","その他")))))</f>
        <v>その他</v>
      </c>
      <c r="BT623" s="8" t="str">
        <f aca="false">IF(A623="","",IF(BI623="","未結合",IF(D623=BI623,"一致","不一致")))</f>
        <v>一致</v>
      </c>
      <c r="BU623" s="8" t="str">
        <f aca="false">IF(A623="","",IF(BE623="牝馬限定","牝馬限定","その他"))</f>
        <v>その他</v>
      </c>
    </row>
    <row r="624" customFormat="false" ht="15.75" hidden="false" customHeight="false" outlineLevel="0" collapsed="false">
      <c r="A624" s="6" t="n">
        <v>46172</v>
      </c>
      <c r="B624" s="4" t="s">
        <v>5435</v>
      </c>
      <c r="C624" s="8" t="n">
        <v>7</v>
      </c>
      <c r="D624" s="8" t="n">
        <v>15</v>
      </c>
      <c r="E624" s="8" t="n">
        <v>5</v>
      </c>
      <c r="F624" s="4" t="s">
        <v>5945</v>
      </c>
      <c r="G624" s="8" t="n">
        <v>41</v>
      </c>
      <c r="H624" s="8" t="n">
        <v>9</v>
      </c>
      <c r="I624" s="4" t="s">
        <v>2281</v>
      </c>
      <c r="J624" s="8" t="n">
        <v>41</v>
      </c>
      <c r="K624" s="8" t="n">
        <v>14</v>
      </c>
      <c r="L624" s="4" t="s">
        <v>5949</v>
      </c>
      <c r="M624" s="8" t="n">
        <v>34</v>
      </c>
      <c r="N624" s="8" t="n">
        <f aca="false">IF(A624="","",G624-J624)</f>
        <v>0</v>
      </c>
      <c r="O624" s="8" t="n">
        <f aca="false">IF(A624="","",J624-M624)</f>
        <v>7</v>
      </c>
      <c r="P624" s="8" t="n">
        <f aca="false">IF(A624="","",G624+J624)</f>
        <v>82</v>
      </c>
      <c r="Q624" s="8" t="str">
        <f aca="false">IF(A624="","",IF(AND(Y624&lt;&gt;"参考",G624&gt;=ルール設定!$B$2),"○",""))</f>
        <v/>
      </c>
      <c r="R624" s="8" t="str">
        <f aca="false">IF(A624="","",IF(AND(Y624&lt;&gt;"参考",G624&gt;=ルール設定!$B$3,N624&gt;=ルール設定!$B$4),"○",""))</f>
        <v/>
      </c>
      <c r="S624" s="8" t="str">
        <f aca="false">IF(A624="","",IF(AND(Y624&lt;&gt;"参考",G624&gt;=ルール設定!$B$5,J624&gt;=ルール設定!$B$6,O624&gt;=ルール設定!$B$7),"○",""))</f>
        <v/>
      </c>
      <c r="T624" s="8" t="n">
        <v>4</v>
      </c>
      <c r="U624" s="8" t="n">
        <v>4</v>
      </c>
      <c r="V624" s="8" t="str">
        <f aca="false">IF(A624="","",IF(AND(ISNUMBER(T624),ISNUMBER(U624)),IF(AND(T624&lt;=3,U624&lt;=3),"○","×"),""))</f>
        <v>×</v>
      </c>
      <c r="W624" s="8"/>
      <c r="X624" s="8"/>
      <c r="Y624" s="4" t="s">
        <v>7597</v>
      </c>
      <c r="Z624" s="4" t="s">
        <v>7841</v>
      </c>
      <c r="AA624" s="8" t="str">
        <v/>
      </c>
      <c r="AB624" s="8" t="str">
        <v/>
      </c>
      <c r="AC624" s="8" t="str">
        <v/>
      </c>
      <c r="AD624" s="8" t="str">
        <v/>
      </c>
      <c r="AE624" s="8" t="str">
        <v/>
      </c>
      <c r="AF624" s="8" t="str">
        <v/>
      </c>
      <c r="AG624" s="8" t="str">
        <v/>
      </c>
      <c r="AH624" s="8" t="str">
        <v/>
      </c>
      <c r="AI624" s="8" t="n">
        <v>7</v>
      </c>
      <c r="AJ624" s="8" t="str">
        <v>～59</v>
      </c>
      <c r="AK624" s="8" t="str">
        <v>0～4</v>
      </c>
      <c r="AL624" s="8" t="str">
        <v>0～9</v>
      </c>
      <c r="AM624" s="8" t="str">
        <v>～99</v>
      </c>
      <c r="AN624" s="8" t="str">
        <v>15以上</v>
      </c>
      <c r="AO624" s="8" t="str">
        <f aca="false">IF(A624="","",IF(COUNTIFS(全馬データ!$A$2:$A$50000,A624,全馬データ!$B$2:$B$50000,B624,全馬データ!$C$2:$C$50000,C624,全馬データ!$D$2:$D$50000,E624,全馬データ!$K$2:$K$50000,"&lt;&gt;")=0,"",SUMIFS(全馬データ!$K$2:$K$50000,全馬データ!$A$2:$A$50000,A624,全馬データ!$B$2:$B$50000,B624,全馬データ!$C$2:$C$50000,C624,全馬データ!$D$2:$D$50000,E624)))</f>
        <v/>
      </c>
      <c r="AP624" s="8" t="str">
        <f aca="false">IF(A624="","",IF(AO624="","欠損",IF(AO624&lt;=1.1,"1.0～1.1",IF(AO624&lt;1.3,"1.2",IF(AO624&lt;1.5,"1.3～1.4",IF(AO624&lt;2,"1.5～1.9","2.0以上"))))))</f>
        <v>欠損</v>
      </c>
      <c r="AQ624" s="8" t="str">
        <f aca="false">IF(A624="","",IF(ISNUMBER(SEARCH("2歳",Z624)),"2歳戦",IF(ISNUMBER(SEARCH("3歳未勝利",Z624)),"3歳未勝利",IF(ISNUMBER(SEARCH("未勝利",Z624)),"その他未勝利",IF(ISNUMBER(SEARCH("G1",Z624)),"G1",IF(ISNUMBER(SEARCH("G2",Z624)),"G2",IF(ISNUMBER(SEARCH("G3",Z624)),"G3",IF(ISNUMBER(SEARCH("古馬条件",Z624)),"古馬条件戦",IF(ISNUMBER(SEARCH("重賞",Z624)),"重賞","分類不能")))))))))</f>
        <v>分類不能</v>
      </c>
      <c r="AR624" s="8"/>
      <c r="AS624" s="8" t="s">
        <v>7842</v>
      </c>
      <c r="AT624" s="8" t="s">
        <v>7843</v>
      </c>
      <c r="AU624" s="8" t="s">
        <v>7628</v>
      </c>
      <c r="AV624" s="8" t="s">
        <v>7629</v>
      </c>
      <c r="AW624" s="8"/>
      <c r="AX624" s="8"/>
      <c r="AY624" s="8" t="s">
        <v>7602</v>
      </c>
      <c r="AZ624" s="4" t="s">
        <v>7603</v>
      </c>
      <c r="BA624" s="8" t="n">
        <v>1600</v>
      </c>
      <c r="BB624" s="8" t="s">
        <v>7598</v>
      </c>
      <c r="BC624" s="4" t="s">
        <v>7604</v>
      </c>
      <c r="BD624" s="8" t="s">
        <v>7605</v>
      </c>
      <c r="BE624" s="4" t="s">
        <v>7606</v>
      </c>
      <c r="BF624" s="8" t="s">
        <v>7607</v>
      </c>
      <c r="BG624" s="8" t="s">
        <v>7631</v>
      </c>
      <c r="BH624" s="4" t="s">
        <v>7632</v>
      </c>
      <c r="BI624" s="8" t="n">
        <v>15</v>
      </c>
      <c r="BJ624" s="8" t="s">
        <v>7602</v>
      </c>
      <c r="BK624" s="4" t="s">
        <v>7653</v>
      </c>
      <c r="BL624" s="8" t="s">
        <v>7610</v>
      </c>
      <c r="BM624" s="4" t="s">
        <v>7612</v>
      </c>
      <c r="BN624" s="8" t="s">
        <v>7676</v>
      </c>
      <c r="BO624" s="8" t="s">
        <v>7778</v>
      </c>
      <c r="BP624" s="8" t="s">
        <v>7610</v>
      </c>
      <c r="BQ624" s="8" t="str">
        <f aca="false">IF(A624="","",AT624)</f>
        <v>4歳以上</v>
      </c>
      <c r="BR624" s="8" t="str">
        <f aca="false">IF(A624="","",IF(BA624&lt;=1200,"～1200",IF(BA624&lt;=1500,"1300～1500",IF(BA624=1600,"1600",IF(BA624&lt;=1800,"1700～1800",IF(BA624&lt;=2000,"1900～2000","2100以上"))))))</f>
        <v>1600</v>
      </c>
      <c r="BS624" s="8" t="str">
        <f aca="false">IF(A624="","",IF(AX624="G1","G1",IF(AX624="G2","G2",IF(AX624="G3","G3",IF(AX624="L","L","その他")))))</f>
        <v>その他</v>
      </c>
      <c r="BT624" s="8" t="str">
        <f aca="false">IF(A624="","",IF(BI624="","未結合",IF(D624=BI624,"一致","不一致")))</f>
        <v>一致</v>
      </c>
      <c r="BU624" s="8" t="str">
        <f aca="false">IF(A624="","",IF(BE624="牝馬限定","牝馬限定","その他"))</f>
        <v>その他</v>
      </c>
    </row>
    <row r="625" customFormat="false" ht="15.75" hidden="false" customHeight="false" outlineLevel="0" collapsed="false">
      <c r="A625" s="6" t="n">
        <v>46172</v>
      </c>
      <c r="B625" s="4" t="s">
        <v>5435</v>
      </c>
      <c r="C625" s="8" t="n">
        <v>8</v>
      </c>
      <c r="D625" s="8" t="n">
        <v>12</v>
      </c>
      <c r="E625" s="8" t="n">
        <v>6</v>
      </c>
      <c r="F625" s="4" t="s">
        <v>5953</v>
      </c>
      <c r="G625" s="8" t="n">
        <v>66</v>
      </c>
      <c r="H625" s="8" t="n">
        <v>10</v>
      </c>
      <c r="I625" s="4" t="s">
        <v>5954</v>
      </c>
      <c r="J625" s="8" t="n">
        <v>52</v>
      </c>
      <c r="K625" s="8" t="n">
        <v>2</v>
      </c>
      <c r="L625" s="4" t="s">
        <v>5292</v>
      </c>
      <c r="M625" s="8" t="n">
        <v>41</v>
      </c>
      <c r="N625" s="8" t="n">
        <f aca="false">IF(A625="","",G625-J625)</f>
        <v>14</v>
      </c>
      <c r="O625" s="8" t="n">
        <f aca="false">IF(A625="","",J625-M625)</f>
        <v>11</v>
      </c>
      <c r="P625" s="8" t="n">
        <f aca="false">IF(A625="","",G625+J625)</f>
        <v>118</v>
      </c>
      <c r="Q625" s="8" t="str">
        <f aca="false">IF(A625="","",IF(AND(Y625&lt;&gt;"参考",G625&gt;=ルール設定!$B$2),"○",""))</f>
        <v/>
      </c>
      <c r="R625" s="8" t="str">
        <f aca="false">IF(A625="","",IF(AND(Y625&lt;&gt;"参考",G625&gt;=ルール設定!$B$3,N625&gt;=ルール設定!$B$4),"○",""))</f>
        <v/>
      </c>
      <c r="S625" s="8" t="str">
        <f aca="false">IF(A625="","",IF(AND(Y625&lt;&gt;"参考",G625&gt;=ルール設定!$B$5,J625&gt;=ルール設定!$B$6,O625&gt;=ルール設定!$B$7),"○",""))</f>
        <v/>
      </c>
      <c r="T625" s="8" t="n">
        <v>4</v>
      </c>
      <c r="U625" s="8" t="n">
        <v>4</v>
      </c>
      <c r="V625" s="8" t="str">
        <f aca="false">IF(A625="","",IF(AND(ISNUMBER(T625),ISNUMBER(U625)),IF(AND(T625&lt;=3,U625&lt;=3),"○","×"),""))</f>
        <v>×</v>
      </c>
      <c r="W625" s="8"/>
      <c r="X625" s="8"/>
      <c r="Y625" s="4" t="s">
        <v>7597</v>
      </c>
      <c r="Z625" s="4" t="s">
        <v>7841</v>
      </c>
      <c r="AA625" s="8" t="str">
        <v/>
      </c>
      <c r="AB625" s="8" t="str">
        <v/>
      </c>
      <c r="AC625" s="8" t="str">
        <v/>
      </c>
      <c r="AD625" s="8" t="str">
        <v/>
      </c>
      <c r="AE625" s="8" t="str">
        <v/>
      </c>
      <c r="AF625" s="8" t="str">
        <v/>
      </c>
      <c r="AG625" s="8" t="str">
        <v/>
      </c>
      <c r="AH625" s="8" t="str">
        <v/>
      </c>
      <c r="AI625" s="8" t="n">
        <v>25</v>
      </c>
      <c r="AJ625" s="8" t="str">
        <v>60～69</v>
      </c>
      <c r="AK625" s="8" t="str">
        <v>10～19</v>
      </c>
      <c r="AL625" s="8" t="str">
        <v>20～29</v>
      </c>
      <c r="AM625" s="8" t="str">
        <v>100～119</v>
      </c>
      <c r="AN625" s="8" t="str">
        <v>12～14</v>
      </c>
      <c r="AO625" s="8" t="str">
        <f aca="false">IF(A625="","",IF(COUNTIFS(全馬データ!$A$2:$A$50000,A625,全馬データ!$B$2:$B$50000,B625,全馬データ!$C$2:$C$50000,C625,全馬データ!$D$2:$D$50000,E625,全馬データ!$K$2:$K$50000,"&lt;&gt;")=0,"",SUMIFS(全馬データ!$K$2:$K$50000,全馬データ!$A$2:$A$50000,A625,全馬データ!$B$2:$B$50000,B625,全馬データ!$C$2:$C$50000,C625,全馬データ!$D$2:$D$50000,E625)))</f>
        <v/>
      </c>
      <c r="AP625" s="8" t="str">
        <f aca="false">IF(A625="","",IF(AO625="","欠損",IF(AO625&lt;=1.1,"1.0～1.1",IF(AO625&lt;1.3,"1.2",IF(AO625&lt;1.5,"1.3～1.4",IF(AO625&lt;2,"1.5～1.9","2.0以上"))))))</f>
        <v>欠損</v>
      </c>
      <c r="AQ625" s="8" t="str">
        <f aca="false">IF(A625="","",IF(ISNUMBER(SEARCH("2歳",Z625)),"2歳戦",IF(ISNUMBER(SEARCH("3歳未勝利",Z625)),"3歳未勝利",IF(ISNUMBER(SEARCH("未勝利",Z625)),"その他未勝利",IF(ISNUMBER(SEARCH("G1",Z625)),"G1",IF(ISNUMBER(SEARCH("G2",Z625)),"G2",IF(ISNUMBER(SEARCH("G3",Z625)),"G3",IF(ISNUMBER(SEARCH("古馬条件",Z625)),"古馬条件戦",IF(ISNUMBER(SEARCH("重賞",Z625)),"重賞","分類不能")))))))))</f>
        <v>分類不能</v>
      </c>
      <c r="AR625" s="8"/>
      <c r="AS625" s="8" t="s">
        <v>7842</v>
      </c>
      <c r="AT625" s="8" t="s">
        <v>7843</v>
      </c>
      <c r="AU625" s="8" t="s">
        <v>7634</v>
      </c>
      <c r="AV625" s="8" t="s">
        <v>7635</v>
      </c>
      <c r="AW625" s="8"/>
      <c r="AX625" s="8"/>
      <c r="AY625" s="8" t="s">
        <v>7602</v>
      </c>
      <c r="AZ625" s="4" t="s">
        <v>7603</v>
      </c>
      <c r="BA625" s="8" t="n">
        <v>1400</v>
      </c>
      <c r="BB625" s="8" t="s">
        <v>7598</v>
      </c>
      <c r="BC625" s="4" t="s">
        <v>7604</v>
      </c>
      <c r="BD625" s="8" t="s">
        <v>7630</v>
      </c>
      <c r="BE625" s="4" t="s">
        <v>7606</v>
      </c>
      <c r="BF625" s="8" t="s">
        <v>7607</v>
      </c>
      <c r="BG625" s="8" t="s">
        <v>7631</v>
      </c>
      <c r="BH625" s="4" t="s">
        <v>7632</v>
      </c>
      <c r="BI625" s="8" t="n">
        <v>12</v>
      </c>
      <c r="BJ625" s="8" t="s">
        <v>7602</v>
      </c>
      <c r="BK625" s="4" t="s">
        <v>7653</v>
      </c>
      <c r="BL625" s="8" t="s">
        <v>7610</v>
      </c>
      <c r="BM625" s="4" t="s">
        <v>7612</v>
      </c>
      <c r="BN625" s="8" t="s">
        <v>7676</v>
      </c>
      <c r="BO625" s="8" t="s">
        <v>7778</v>
      </c>
      <c r="BP625" s="8" t="s">
        <v>7610</v>
      </c>
      <c r="BQ625" s="8" t="str">
        <f aca="false">IF(A625="","",AT625)</f>
        <v>4歳以上</v>
      </c>
      <c r="BR625" s="8" t="str">
        <f aca="false">IF(A625="","",IF(BA625&lt;=1200,"～1200",IF(BA625&lt;=1500,"1300～1500",IF(BA625=1600,"1600",IF(BA625&lt;=1800,"1700～1800",IF(BA625&lt;=2000,"1900～2000","2100以上"))))))</f>
        <v>1300～1500</v>
      </c>
      <c r="BS625" s="8" t="str">
        <f aca="false">IF(A625="","",IF(AX625="G1","G1",IF(AX625="G2","G2",IF(AX625="G3","G3",IF(AX625="L","L","その他")))))</f>
        <v>その他</v>
      </c>
      <c r="BT625" s="8" t="str">
        <f aca="false">IF(A625="","",IF(BI625="","未結合",IF(D625=BI625,"一致","不一致")))</f>
        <v>一致</v>
      </c>
      <c r="BU625" s="8" t="str">
        <f aca="false">IF(A625="","",IF(BE625="牝馬限定","牝馬限定","その他"))</f>
        <v>その他</v>
      </c>
    </row>
    <row r="626" customFormat="false" ht="15.75" hidden="false" customHeight="false" outlineLevel="0" collapsed="false">
      <c r="A626" s="6" t="n">
        <v>46172</v>
      </c>
      <c r="B626" s="4" t="s">
        <v>5435</v>
      </c>
      <c r="C626" s="8" t="n">
        <v>9</v>
      </c>
      <c r="D626" s="8" t="n">
        <v>9</v>
      </c>
      <c r="E626" s="8" t="n">
        <v>8</v>
      </c>
      <c r="F626" s="4" t="s">
        <v>5959</v>
      </c>
      <c r="G626" s="8" t="n">
        <v>74</v>
      </c>
      <c r="H626" s="8" t="n">
        <v>4</v>
      </c>
      <c r="I626" s="4" t="s">
        <v>3652</v>
      </c>
      <c r="J626" s="8" t="n">
        <v>66</v>
      </c>
      <c r="K626" s="8" t="n">
        <v>5</v>
      </c>
      <c r="L626" s="4" t="s">
        <v>4226</v>
      </c>
      <c r="M626" s="8" t="n">
        <v>39</v>
      </c>
      <c r="N626" s="8" t="n">
        <f aca="false">IF(A626="","",G626-J626)</f>
        <v>8</v>
      </c>
      <c r="O626" s="8" t="n">
        <f aca="false">IF(A626="","",J626-M626)</f>
        <v>27</v>
      </c>
      <c r="P626" s="8" t="n">
        <f aca="false">IF(A626="","",G626+J626)</f>
        <v>140</v>
      </c>
      <c r="Q626" s="8" t="str">
        <f aca="false">IF(A626="","",IF(AND(Y626&lt;&gt;"参考",G626&gt;=ルール設定!$B$2),"○",""))</f>
        <v/>
      </c>
      <c r="R626" s="8" t="str">
        <f aca="false">IF(A626="","",IF(AND(Y626&lt;&gt;"参考",G626&gt;=ルール設定!$B$3,N626&gt;=ルール設定!$B$4),"○",""))</f>
        <v/>
      </c>
      <c r="S626" s="8" t="str">
        <f aca="false">IF(A626="","",IF(AND(Y626&lt;&gt;"参考",G626&gt;=ルール設定!$B$5,J626&gt;=ルール設定!$B$6,O626&gt;=ルール設定!$B$7),"○",""))</f>
        <v>○</v>
      </c>
      <c r="T626" s="8" t="n">
        <v>1</v>
      </c>
      <c r="U626" s="8" t="n">
        <v>2</v>
      </c>
      <c r="V626" s="8" t="str">
        <f aca="false">IF(A626="","",IF(AND(ISNUMBER(T626),ISNUMBER(U626)),IF(AND(T626&lt;=3,U626&lt;=3),"○","×"),""))</f>
        <v>○</v>
      </c>
      <c r="W626" s="8" t="n">
        <v>110</v>
      </c>
      <c r="X626" s="8" t="n">
        <v>200</v>
      </c>
      <c r="Y626" s="4" t="s">
        <v>7597</v>
      </c>
      <c r="Z626" s="4" t="s">
        <v>7841</v>
      </c>
      <c r="AA626" s="8" t="str">
        <v/>
      </c>
      <c r="AB626" s="8" t="str">
        <v/>
      </c>
      <c r="AC626" s="8" t="str">
        <v/>
      </c>
      <c r="AD626" s="8" t="str">
        <v/>
      </c>
      <c r="AE626" s="8" t="str">
        <v/>
      </c>
      <c r="AF626" s="8" t="str">
        <v/>
      </c>
      <c r="AG626" s="8" t="str">
        <v/>
      </c>
      <c r="AH626" s="8" t="str">
        <v/>
      </c>
      <c r="AI626" s="8" t="n">
        <v>35</v>
      </c>
      <c r="AJ626" s="8" t="str">
        <v>70～74</v>
      </c>
      <c r="AK626" s="8" t="str">
        <v>5～9</v>
      </c>
      <c r="AL626" s="8" t="str">
        <v>30～39</v>
      </c>
      <c r="AM626" s="8" t="str">
        <v>140～159</v>
      </c>
      <c r="AN626" s="8" t="str">
        <v>8～11</v>
      </c>
      <c r="AO626" s="8" t="str">
        <f aca="false">IF(A626="","",IF(COUNTIFS(全馬データ!$A$2:$A$50000,A626,全馬データ!$B$2:$B$50000,B626,全馬データ!$C$2:$C$50000,C626,全馬データ!$D$2:$D$50000,E626,全馬データ!$K$2:$K$50000,"&lt;&gt;")=0,"",SUMIFS(全馬データ!$K$2:$K$50000,全馬データ!$A$2:$A$50000,A626,全馬データ!$B$2:$B$50000,B626,全馬データ!$C$2:$C$50000,C626,全馬データ!$D$2:$D$50000,E626)))</f>
        <v/>
      </c>
      <c r="AP626" s="8" t="str">
        <f aca="false">IF(A626="","",IF(AO626="","欠損",IF(AO626&lt;=1.1,"1.0～1.1",IF(AO626&lt;1.3,"1.2",IF(AO626&lt;1.5,"1.3～1.4",IF(AO626&lt;2,"1.5～1.9","2.0以上"))))))</f>
        <v>欠損</v>
      </c>
      <c r="AQ626" s="8" t="str">
        <f aca="false">IF(A626="","",IF(ISNUMBER(SEARCH("2歳",Z626)),"2歳戦",IF(ISNUMBER(SEARCH("3歳未勝利",Z626)),"3歳未勝利",IF(ISNUMBER(SEARCH("未勝利",Z626)),"その他未勝利",IF(ISNUMBER(SEARCH("G1",Z626)),"G1",IF(ISNUMBER(SEARCH("G2",Z626)),"G2",IF(ISNUMBER(SEARCH("G3",Z626)),"G3",IF(ISNUMBER(SEARCH("古馬条件",Z626)),"古馬条件戦",IF(ISNUMBER(SEARCH("重賞",Z626)),"重賞","分類不能")))))))))</f>
        <v>分類不能</v>
      </c>
      <c r="AR626" s="4" t="s">
        <v>7871</v>
      </c>
      <c r="AS626" s="8" t="s">
        <v>7623</v>
      </c>
      <c r="AT626" s="8" t="s">
        <v>7624</v>
      </c>
      <c r="AU626" s="8" t="s">
        <v>7643</v>
      </c>
      <c r="AV626" s="4" t="s">
        <v>7644</v>
      </c>
      <c r="AW626" s="8" t="s">
        <v>7676</v>
      </c>
      <c r="AX626" s="8" t="s">
        <v>7677</v>
      </c>
      <c r="AY626" s="8" t="s">
        <v>7610</v>
      </c>
      <c r="AZ626" s="4" t="s">
        <v>7617</v>
      </c>
      <c r="BA626" s="8" t="n">
        <v>1800</v>
      </c>
      <c r="BB626" s="8" t="s">
        <v>7598</v>
      </c>
      <c r="BC626" s="4" t="s">
        <v>7604</v>
      </c>
      <c r="BD626" s="8" t="s">
        <v>7666</v>
      </c>
      <c r="BE626" s="4" t="s">
        <v>7606</v>
      </c>
      <c r="BF626" s="8" t="s">
        <v>7607</v>
      </c>
      <c r="BG626" s="8" t="s">
        <v>7610</v>
      </c>
      <c r="BH626" s="4" t="s">
        <v>7646</v>
      </c>
      <c r="BI626" s="8" t="n">
        <v>9</v>
      </c>
      <c r="BJ626" s="8" t="s">
        <v>7602</v>
      </c>
      <c r="BK626" s="4" t="s">
        <v>7653</v>
      </c>
      <c r="BL626" s="8" t="s">
        <v>7602</v>
      </c>
      <c r="BM626" s="4" t="s">
        <v>7620</v>
      </c>
      <c r="BN626" s="8"/>
      <c r="BO626" s="8"/>
      <c r="BP626" s="8" t="s">
        <v>7610</v>
      </c>
      <c r="BQ626" s="8" t="str">
        <f aca="false">IF(A626="","",AT626)</f>
        <v>3歳</v>
      </c>
      <c r="BR626" s="8" t="str">
        <f aca="false">IF(A626="","",IF(BA626&lt;=1200,"～1200",IF(BA626&lt;=1500,"1300～1500",IF(BA626=1600,"1600",IF(BA626&lt;=1800,"1700～1800",IF(BA626&lt;=2000,"1900～2000","2100以上"))))))</f>
        <v>1700～1800</v>
      </c>
      <c r="BS626" s="8" t="str">
        <f aca="false">IF(A626="","",IF(AX626="G1","G1",IF(AX626="G2","G2",IF(AX626="G3","G3",IF(AX626="L","L","その他")))))</f>
        <v>L</v>
      </c>
      <c r="BT626" s="8" t="str">
        <f aca="false">IF(A626="","",IF(BI626="","未結合",IF(D626=BI626,"一致","不一致")))</f>
        <v>一致</v>
      </c>
      <c r="BU626" s="8" t="str">
        <f aca="false">IF(A626="","",IF(BE626="牝馬限定","牝馬限定","その他"))</f>
        <v>その他</v>
      </c>
    </row>
    <row r="627" customFormat="false" ht="15.75" hidden="false" customHeight="false" outlineLevel="0" collapsed="false">
      <c r="A627" s="6" t="n">
        <v>46172</v>
      </c>
      <c r="B627" s="4" t="s">
        <v>5435</v>
      </c>
      <c r="C627" s="8" t="n">
        <v>10</v>
      </c>
      <c r="D627" s="8" t="n">
        <v>16</v>
      </c>
      <c r="E627" s="8" t="n">
        <v>12</v>
      </c>
      <c r="F627" s="4" t="s">
        <v>3761</v>
      </c>
      <c r="G627" s="8" t="n">
        <v>50</v>
      </c>
      <c r="H627" s="8" t="n">
        <v>2</v>
      </c>
      <c r="I627" s="4" t="s">
        <v>5960</v>
      </c>
      <c r="J627" s="8" t="n">
        <v>47</v>
      </c>
      <c r="K627" s="8" t="n">
        <v>3</v>
      </c>
      <c r="L627" s="4" t="s">
        <v>5961</v>
      </c>
      <c r="M627" s="8" t="n">
        <v>39</v>
      </c>
      <c r="N627" s="8" t="n">
        <f aca="false">IF(A627="","",G627-J627)</f>
        <v>3</v>
      </c>
      <c r="O627" s="8" t="n">
        <f aca="false">IF(A627="","",J627-M627)</f>
        <v>8</v>
      </c>
      <c r="P627" s="8" t="n">
        <f aca="false">IF(A627="","",G627+J627)</f>
        <v>97</v>
      </c>
      <c r="Q627" s="8" t="str">
        <f aca="false">IF(A627="","",IF(AND(Y627&lt;&gt;"参考",G627&gt;=ルール設定!$B$2),"○",""))</f>
        <v/>
      </c>
      <c r="R627" s="8" t="str">
        <f aca="false">IF(A627="","",IF(AND(Y627&lt;&gt;"参考",G627&gt;=ルール設定!$B$3,N627&gt;=ルール設定!$B$4),"○",""))</f>
        <v/>
      </c>
      <c r="S627" s="8" t="str">
        <f aca="false">IF(A627="","",IF(AND(Y627&lt;&gt;"参考",G627&gt;=ルール設定!$B$5,J627&gt;=ルール設定!$B$6,O627&gt;=ルール設定!$B$7),"○",""))</f>
        <v/>
      </c>
      <c r="T627" s="8" t="n">
        <v>4</v>
      </c>
      <c r="U627" s="8" t="n">
        <v>1</v>
      </c>
      <c r="V627" s="8" t="str">
        <f aca="false">IF(A627="","",IF(AND(ISNUMBER(T627),ISNUMBER(U627)),IF(AND(T627&lt;=3,U627&lt;=3),"○","×"),""))</f>
        <v>×</v>
      </c>
      <c r="W627" s="8"/>
      <c r="X627" s="8"/>
      <c r="Y627" s="4" t="s">
        <v>7597</v>
      </c>
      <c r="Z627" s="4" t="s">
        <v>7841</v>
      </c>
      <c r="AA627" s="8" t="str">
        <v/>
      </c>
      <c r="AB627" s="8" t="str">
        <v/>
      </c>
      <c r="AC627" s="8" t="str">
        <v/>
      </c>
      <c r="AD627" s="8" t="str">
        <v/>
      </c>
      <c r="AE627" s="8" t="str">
        <v/>
      </c>
      <c r="AF627" s="8" t="str">
        <v/>
      </c>
      <c r="AG627" s="8" t="str">
        <v/>
      </c>
      <c r="AH627" s="8" t="str">
        <v/>
      </c>
      <c r="AI627" s="8" t="n">
        <v>11</v>
      </c>
      <c r="AJ627" s="8" t="str">
        <v>～59</v>
      </c>
      <c r="AK627" s="8" t="str">
        <v>0～4</v>
      </c>
      <c r="AL627" s="8" t="str">
        <v>10～19</v>
      </c>
      <c r="AM627" s="8" t="str">
        <v>～99</v>
      </c>
      <c r="AN627" s="8" t="str">
        <v>15以上</v>
      </c>
      <c r="AO627" s="8" t="str">
        <f aca="false">IF(A627="","",IF(COUNTIFS(全馬データ!$A$2:$A$50000,A627,全馬データ!$B$2:$B$50000,B627,全馬データ!$C$2:$C$50000,C627,全馬データ!$D$2:$D$50000,E627,全馬データ!$K$2:$K$50000,"&lt;&gt;")=0,"",SUMIFS(全馬データ!$K$2:$K$50000,全馬データ!$A$2:$A$50000,A627,全馬データ!$B$2:$B$50000,B627,全馬データ!$C$2:$C$50000,C627,全馬データ!$D$2:$D$50000,E627)))</f>
        <v/>
      </c>
      <c r="AP627" s="8" t="str">
        <f aca="false">IF(A627="","",IF(AO627="","欠損",IF(AO627&lt;=1.1,"1.0～1.1",IF(AO627&lt;1.3,"1.2",IF(AO627&lt;1.5,"1.3～1.4",IF(AO627&lt;2,"1.5～1.9","2.0以上"))))))</f>
        <v>欠損</v>
      </c>
      <c r="AQ627" s="8" t="str">
        <f aca="false">IF(A627="","",IF(ISNUMBER(SEARCH("2歳",Z627)),"2歳戦",IF(ISNUMBER(SEARCH("3歳未勝利",Z627)),"3歳未勝利",IF(ISNUMBER(SEARCH("未勝利",Z627)),"その他未勝利",IF(ISNUMBER(SEARCH("G1",Z627)),"G1",IF(ISNUMBER(SEARCH("G2",Z627)),"G2",IF(ISNUMBER(SEARCH("G3",Z627)),"G3",IF(ISNUMBER(SEARCH("古馬条件",Z627)),"古馬条件戦",IF(ISNUMBER(SEARCH("重賞",Z627)),"重賞","分類不能")))))))))</f>
        <v>分類不能</v>
      </c>
      <c r="AR627" s="4" t="s">
        <v>7872</v>
      </c>
      <c r="AS627" s="8" t="s">
        <v>7842</v>
      </c>
      <c r="AT627" s="8" t="s">
        <v>7843</v>
      </c>
      <c r="AU627" s="8" t="s">
        <v>7639</v>
      </c>
      <c r="AV627" s="8" t="s">
        <v>7640</v>
      </c>
      <c r="AW627" s="8" t="s">
        <v>7636</v>
      </c>
      <c r="AX627" s="4" t="s">
        <v>7637</v>
      </c>
      <c r="AY627" s="8" t="s">
        <v>7610</v>
      </c>
      <c r="AZ627" s="4" t="s">
        <v>7617</v>
      </c>
      <c r="BA627" s="8" t="n">
        <v>1800</v>
      </c>
      <c r="BB627" s="8" t="s">
        <v>7598</v>
      </c>
      <c r="BC627" s="4" t="s">
        <v>7604</v>
      </c>
      <c r="BD627" s="8" t="s">
        <v>7605</v>
      </c>
      <c r="BE627" s="4" t="s">
        <v>7606</v>
      </c>
      <c r="BF627" s="8" t="s">
        <v>7607</v>
      </c>
      <c r="BG627" s="8" t="s">
        <v>7602</v>
      </c>
      <c r="BH627" s="4" t="s">
        <v>7667</v>
      </c>
      <c r="BI627" s="8" t="n">
        <v>16</v>
      </c>
      <c r="BJ627" s="8" t="s">
        <v>7602</v>
      </c>
      <c r="BK627" s="4" t="s">
        <v>7653</v>
      </c>
      <c r="BL627" s="8" t="s">
        <v>7602</v>
      </c>
      <c r="BM627" s="4" t="s">
        <v>7620</v>
      </c>
      <c r="BN627" s="8"/>
      <c r="BO627" s="8"/>
      <c r="BP627" s="8" t="s">
        <v>7610</v>
      </c>
      <c r="BQ627" s="8" t="str">
        <f aca="false">IF(A627="","",AT627)</f>
        <v>4歳以上</v>
      </c>
      <c r="BR627" s="8" t="str">
        <f aca="false">IF(A627="","",IF(BA627&lt;=1200,"～1200",IF(BA627&lt;=1500,"1300～1500",IF(BA627=1600,"1600",IF(BA627&lt;=1800,"1700～1800",IF(BA627&lt;=2000,"1900～2000","2100以上"))))))</f>
        <v>1700～1800</v>
      </c>
      <c r="BS627" s="8" t="str">
        <f aca="false">IF(A627="","",IF(AX627="G1","G1",IF(AX627="G2","G2",IF(AX627="G3","G3",IF(AX627="L","L","その他")))))</f>
        <v>その他</v>
      </c>
      <c r="BT627" s="8" t="str">
        <f aca="false">IF(A627="","",IF(BI627="","未結合",IF(D627=BI627,"一致","不一致")))</f>
        <v>一致</v>
      </c>
      <c r="BU627" s="8" t="str">
        <f aca="false">IF(A627="","",IF(BE627="牝馬限定","牝馬限定","その他"))</f>
        <v>その他</v>
      </c>
    </row>
    <row r="628" customFormat="false" ht="15.75" hidden="false" customHeight="false" outlineLevel="0" collapsed="false">
      <c r="A628" s="6" t="n">
        <v>46172</v>
      </c>
      <c r="B628" s="4" t="s">
        <v>5435</v>
      </c>
      <c r="C628" s="8" t="n">
        <v>11</v>
      </c>
      <c r="D628" s="8" t="n">
        <v>16</v>
      </c>
      <c r="E628" s="8" t="n">
        <v>5</v>
      </c>
      <c r="F628" s="4" t="s">
        <v>5972</v>
      </c>
      <c r="G628" s="8" t="n">
        <v>50</v>
      </c>
      <c r="H628" s="8" t="n">
        <v>2</v>
      </c>
      <c r="I628" s="4" t="s">
        <v>3224</v>
      </c>
      <c r="J628" s="8" t="n">
        <v>44</v>
      </c>
      <c r="K628" s="8" t="n">
        <v>4</v>
      </c>
      <c r="L628" s="4" t="s">
        <v>5971</v>
      </c>
      <c r="M628" s="8" t="n">
        <v>41</v>
      </c>
      <c r="N628" s="8" t="n">
        <f aca="false">IF(A628="","",G628-J628)</f>
        <v>6</v>
      </c>
      <c r="O628" s="8" t="n">
        <f aca="false">IF(A628="","",J628-M628)</f>
        <v>3</v>
      </c>
      <c r="P628" s="8" t="n">
        <f aca="false">IF(A628="","",G628+J628)</f>
        <v>94</v>
      </c>
      <c r="Q628" s="8" t="str">
        <f aca="false">IF(A628="","",IF(AND(Y628&lt;&gt;"参考",G628&gt;=ルール設定!$B$2),"○",""))</f>
        <v/>
      </c>
      <c r="R628" s="8" t="str">
        <f aca="false">IF(A628="","",IF(AND(Y628&lt;&gt;"参考",G628&gt;=ルール設定!$B$3,N628&gt;=ルール設定!$B$4),"○",""))</f>
        <v/>
      </c>
      <c r="S628" s="8" t="str">
        <f aca="false">IF(A628="","",IF(AND(Y628&lt;&gt;"参考",G628&gt;=ルール設定!$B$5,J628&gt;=ルール設定!$B$6,O628&gt;=ルール設定!$B$7),"○",""))</f>
        <v/>
      </c>
      <c r="T628" s="8" t="n">
        <v>4</v>
      </c>
      <c r="U628" s="8" t="n">
        <v>1</v>
      </c>
      <c r="V628" s="8" t="str">
        <f aca="false">IF(A628="","",IF(AND(ISNUMBER(T628),ISNUMBER(U628)),IF(AND(T628&lt;=3,U628&lt;=3),"○","×"),""))</f>
        <v>×</v>
      </c>
      <c r="W628" s="8"/>
      <c r="X628" s="8"/>
      <c r="Y628" s="4" t="s">
        <v>7597</v>
      </c>
      <c r="Z628" s="4" t="s">
        <v>7841</v>
      </c>
      <c r="AA628" s="8" t="str">
        <v/>
      </c>
      <c r="AB628" s="8" t="str">
        <v/>
      </c>
      <c r="AC628" s="8" t="str">
        <v/>
      </c>
      <c r="AD628" s="8" t="str">
        <v/>
      </c>
      <c r="AE628" s="8" t="str">
        <v/>
      </c>
      <c r="AF628" s="8" t="str">
        <v/>
      </c>
      <c r="AG628" s="8" t="str">
        <v/>
      </c>
      <c r="AH628" s="8" t="str">
        <v/>
      </c>
      <c r="AI628" s="8" t="n">
        <v>9</v>
      </c>
      <c r="AJ628" s="8" t="str">
        <v>～59</v>
      </c>
      <c r="AK628" s="8" t="str">
        <v>5～9</v>
      </c>
      <c r="AL628" s="8" t="str">
        <v>0～9</v>
      </c>
      <c r="AM628" s="8" t="str">
        <v>～99</v>
      </c>
      <c r="AN628" s="8" t="str">
        <v>15以上</v>
      </c>
      <c r="AO628" s="8" t="str">
        <f aca="false">IF(A628="","",IF(COUNTIFS(全馬データ!$A$2:$A$50000,A628,全馬データ!$B$2:$B$50000,B628,全馬データ!$C$2:$C$50000,C628,全馬データ!$D$2:$D$50000,E628,全馬データ!$K$2:$K$50000,"&lt;&gt;")=0,"",SUMIFS(全馬データ!$K$2:$K$50000,全馬データ!$A$2:$A$50000,A628,全馬データ!$B$2:$B$50000,B628,全馬データ!$C$2:$C$50000,C628,全馬データ!$D$2:$D$50000,E628)))</f>
        <v/>
      </c>
      <c r="AP628" s="8" t="str">
        <f aca="false">IF(A628="","",IF(AO628="","欠損",IF(AO628&lt;=1.1,"1.0～1.1",IF(AO628&lt;1.3,"1.2",IF(AO628&lt;1.5,"1.3～1.4",IF(AO628&lt;2,"1.5～1.9","2.0以上"))))))</f>
        <v>欠損</v>
      </c>
      <c r="AQ628" s="8" t="str">
        <f aca="false">IF(A628="","",IF(ISNUMBER(SEARCH("2歳",Z628)),"2歳戦",IF(ISNUMBER(SEARCH("3歳未勝利",Z628)),"3歳未勝利",IF(ISNUMBER(SEARCH("未勝利",Z628)),"その他未勝利",IF(ISNUMBER(SEARCH("G1",Z628)),"G1",IF(ISNUMBER(SEARCH("G2",Z628)),"G2",IF(ISNUMBER(SEARCH("G3",Z628)),"G3",IF(ISNUMBER(SEARCH("古馬条件",Z628)),"古馬条件戦",IF(ISNUMBER(SEARCH("重賞",Z628)),"重賞","分類不能")))))))))</f>
        <v>分類不能</v>
      </c>
      <c r="AR628" s="4" t="s">
        <v>7873</v>
      </c>
      <c r="AS628" s="8" t="s">
        <v>7623</v>
      </c>
      <c r="AT628" s="8" t="s">
        <v>7624</v>
      </c>
      <c r="AU628" s="8" t="s">
        <v>7643</v>
      </c>
      <c r="AV628" s="4" t="s">
        <v>7644</v>
      </c>
      <c r="AW628" s="8" t="s">
        <v>7608</v>
      </c>
      <c r="AX628" s="8" t="s">
        <v>7664</v>
      </c>
      <c r="AY628" s="8" t="s">
        <v>7602</v>
      </c>
      <c r="AZ628" s="4" t="s">
        <v>7603</v>
      </c>
      <c r="BA628" s="8" t="n">
        <v>1200</v>
      </c>
      <c r="BB628" s="8" t="s">
        <v>7598</v>
      </c>
      <c r="BC628" s="4" t="s">
        <v>7604</v>
      </c>
      <c r="BD628" s="8" t="s">
        <v>7666</v>
      </c>
      <c r="BE628" s="4" t="s">
        <v>7606</v>
      </c>
      <c r="BF628" s="8" t="s">
        <v>7607</v>
      </c>
      <c r="BG628" s="8" t="s">
        <v>7608</v>
      </c>
      <c r="BH628" s="4" t="s">
        <v>7609</v>
      </c>
      <c r="BI628" s="8" t="n">
        <v>16</v>
      </c>
      <c r="BJ628" s="8" t="s">
        <v>7602</v>
      </c>
      <c r="BK628" s="4" t="s">
        <v>7653</v>
      </c>
      <c r="BL628" s="8" t="s">
        <v>7602</v>
      </c>
      <c r="BM628" s="4" t="s">
        <v>7620</v>
      </c>
      <c r="BN628" s="8" t="s">
        <v>7676</v>
      </c>
      <c r="BO628" s="8" t="s">
        <v>7778</v>
      </c>
      <c r="BP628" s="8" t="s">
        <v>7610</v>
      </c>
      <c r="BQ628" s="8" t="str">
        <f aca="false">IF(A628="","",AT628)</f>
        <v>3歳</v>
      </c>
      <c r="BR628" s="8" t="str">
        <f aca="false">IF(A628="","",IF(BA628&lt;=1200,"～1200",IF(BA628&lt;=1500,"1300～1500",IF(BA628=1600,"1600",IF(BA628&lt;=1800,"1700～1800",IF(BA628&lt;=2000,"1900～2000","2100以上"))))))</f>
        <v>～1200</v>
      </c>
      <c r="BS628" s="8" t="str">
        <f aca="false">IF(A628="","",IF(AX628="G1","G1",IF(AX628="G2","G2",IF(AX628="G3","G3",IF(AX628="L","L","その他")))))</f>
        <v>G3</v>
      </c>
      <c r="BT628" s="8" t="str">
        <f aca="false">IF(A628="","",IF(BI628="","未結合",IF(D628=BI628,"一致","不一致")))</f>
        <v>一致</v>
      </c>
      <c r="BU628" s="8" t="str">
        <f aca="false">IF(A628="","",IF(BE628="牝馬限定","牝馬限定","その他"))</f>
        <v>その他</v>
      </c>
    </row>
    <row r="629" customFormat="false" ht="15.75" hidden="false" customHeight="false" outlineLevel="0" collapsed="false">
      <c r="A629" s="6" t="n">
        <v>46172</v>
      </c>
      <c r="B629" s="4" t="s">
        <v>5435</v>
      </c>
      <c r="C629" s="8" t="n">
        <v>12</v>
      </c>
      <c r="D629" s="8" t="n">
        <v>16</v>
      </c>
      <c r="E629" s="8" t="n">
        <v>9</v>
      </c>
      <c r="F629" s="4" t="s">
        <v>5982</v>
      </c>
      <c r="G629" s="8" t="n">
        <v>47</v>
      </c>
      <c r="H629" s="8" t="n">
        <v>4</v>
      </c>
      <c r="I629" s="4" t="s">
        <v>5979</v>
      </c>
      <c r="J629" s="8" t="n">
        <v>44</v>
      </c>
      <c r="K629" s="8" t="n">
        <v>7</v>
      </c>
      <c r="L629" s="4" t="s">
        <v>5981</v>
      </c>
      <c r="M629" s="8" t="n">
        <v>44</v>
      </c>
      <c r="N629" s="8" t="n">
        <f aca="false">IF(A629="","",G629-J629)</f>
        <v>3</v>
      </c>
      <c r="O629" s="8" t="n">
        <f aca="false">IF(A629="","",J629-M629)</f>
        <v>0</v>
      </c>
      <c r="P629" s="8" t="n">
        <f aca="false">IF(A629="","",G629+J629)</f>
        <v>91</v>
      </c>
      <c r="Q629" s="8" t="str">
        <f aca="false">IF(A629="","",IF(AND(Y629&lt;&gt;"参考",G629&gt;=ルール設定!$B$2),"○",""))</f>
        <v/>
      </c>
      <c r="R629" s="8" t="str">
        <f aca="false">IF(A629="","",IF(AND(Y629&lt;&gt;"参考",G629&gt;=ルール設定!$B$3,N629&gt;=ルール設定!$B$4),"○",""))</f>
        <v/>
      </c>
      <c r="S629" s="8" t="str">
        <f aca="false">IF(A629="","",IF(AND(Y629&lt;&gt;"参考",G629&gt;=ルール設定!$B$5,J629&gt;=ルール設定!$B$6,O629&gt;=ルール設定!$B$7),"○",""))</f>
        <v/>
      </c>
      <c r="T629" s="8" t="n">
        <v>4</v>
      </c>
      <c r="U629" s="8" t="n">
        <v>4</v>
      </c>
      <c r="V629" s="8" t="str">
        <f aca="false">IF(A629="","",IF(AND(ISNUMBER(T629),ISNUMBER(U629)),IF(AND(T629&lt;=3,U629&lt;=3),"○","×"),""))</f>
        <v>×</v>
      </c>
      <c r="W629" s="8"/>
      <c r="X629" s="8"/>
      <c r="Y629" s="4" t="s">
        <v>7597</v>
      </c>
      <c r="Z629" s="4" t="s">
        <v>7841</v>
      </c>
      <c r="AA629" s="8" t="str">
        <v/>
      </c>
      <c r="AB629" s="8" t="str">
        <v/>
      </c>
      <c r="AC629" s="8" t="str">
        <v/>
      </c>
      <c r="AD629" s="8" t="str">
        <v/>
      </c>
      <c r="AE629" s="8" t="str">
        <v/>
      </c>
      <c r="AF629" s="8" t="str">
        <v/>
      </c>
      <c r="AG629" s="8" t="str">
        <v/>
      </c>
      <c r="AH629" s="8" t="str">
        <v/>
      </c>
      <c r="AI629" s="8" t="n">
        <v>3</v>
      </c>
      <c r="AJ629" s="8" t="str">
        <v>～59</v>
      </c>
      <c r="AK629" s="8" t="str">
        <v>0～4</v>
      </c>
      <c r="AL629" s="8" t="str">
        <v>0～9</v>
      </c>
      <c r="AM629" s="8" t="str">
        <v>～99</v>
      </c>
      <c r="AN629" s="8" t="str">
        <v>15以上</v>
      </c>
      <c r="AO629" s="8" t="str">
        <f aca="false">IF(A629="","",IF(COUNTIFS(全馬データ!$A$2:$A$50000,A629,全馬データ!$B$2:$B$50000,B629,全馬データ!$C$2:$C$50000,C629,全馬データ!$D$2:$D$50000,E629,全馬データ!$K$2:$K$50000,"&lt;&gt;")=0,"",SUMIFS(全馬データ!$K$2:$K$50000,全馬データ!$A$2:$A$50000,A629,全馬データ!$B$2:$B$50000,B629,全馬データ!$C$2:$C$50000,C629,全馬データ!$D$2:$D$50000,E629)))</f>
        <v/>
      </c>
      <c r="AP629" s="8" t="str">
        <f aca="false">IF(A629="","",IF(AO629="","欠損",IF(AO629&lt;=1.1,"1.0～1.1",IF(AO629&lt;1.3,"1.2",IF(AO629&lt;1.5,"1.3～1.4",IF(AO629&lt;2,"1.5～1.9","2.0以上"))))))</f>
        <v>欠損</v>
      </c>
      <c r="AQ629" s="8" t="str">
        <f aca="false">IF(A629="","",IF(ISNUMBER(SEARCH("2歳",Z629)),"2歳戦",IF(ISNUMBER(SEARCH("3歳未勝利",Z629)),"3歳未勝利",IF(ISNUMBER(SEARCH("未勝利",Z629)),"その他未勝利",IF(ISNUMBER(SEARCH("G1",Z629)),"G1",IF(ISNUMBER(SEARCH("G2",Z629)),"G2",IF(ISNUMBER(SEARCH("G3",Z629)),"G3",IF(ISNUMBER(SEARCH("古馬条件",Z629)),"古馬条件戦",IF(ISNUMBER(SEARCH("重賞",Z629)),"重賞","分類不能")))))))))</f>
        <v>分類不能</v>
      </c>
      <c r="AR629" s="8"/>
      <c r="AS629" s="8" t="s">
        <v>7842</v>
      </c>
      <c r="AT629" s="8" t="s">
        <v>7843</v>
      </c>
      <c r="AU629" s="8" t="s">
        <v>7634</v>
      </c>
      <c r="AV629" s="8" t="s">
        <v>7635</v>
      </c>
      <c r="AW629" s="8"/>
      <c r="AX629" s="8"/>
      <c r="AY629" s="8" t="s">
        <v>7610</v>
      </c>
      <c r="AZ629" s="4" t="s">
        <v>7617</v>
      </c>
      <c r="BA629" s="8" t="n">
        <v>1200</v>
      </c>
      <c r="BB629" s="8" t="s">
        <v>7598</v>
      </c>
      <c r="BC629" s="4" t="s">
        <v>7604</v>
      </c>
      <c r="BD629" s="8" t="s">
        <v>7605</v>
      </c>
      <c r="BE629" s="4" t="s">
        <v>7606</v>
      </c>
      <c r="BF629" s="8" t="s">
        <v>7607</v>
      </c>
      <c r="BG629" s="8" t="s">
        <v>7631</v>
      </c>
      <c r="BH629" s="4" t="s">
        <v>7632</v>
      </c>
      <c r="BI629" s="8" t="n">
        <v>16</v>
      </c>
      <c r="BJ629" s="8" t="s">
        <v>7602</v>
      </c>
      <c r="BK629" s="4" t="s">
        <v>7653</v>
      </c>
      <c r="BL629" s="8" t="s">
        <v>7602</v>
      </c>
      <c r="BM629" s="4" t="s">
        <v>7620</v>
      </c>
      <c r="BN629" s="8"/>
      <c r="BO629" s="8"/>
      <c r="BP629" s="8" t="s">
        <v>7610</v>
      </c>
      <c r="BQ629" s="8" t="str">
        <f aca="false">IF(A629="","",AT629)</f>
        <v>4歳以上</v>
      </c>
      <c r="BR629" s="8" t="str">
        <f aca="false">IF(A629="","",IF(BA629&lt;=1200,"～1200",IF(BA629&lt;=1500,"1300～1500",IF(BA629=1600,"1600",IF(BA629&lt;=1800,"1700～1800",IF(BA629&lt;=2000,"1900～2000","2100以上"))))))</f>
        <v>～1200</v>
      </c>
      <c r="BS629" s="8" t="str">
        <f aca="false">IF(A629="","",IF(AX629="G1","G1",IF(AX629="G2","G2",IF(AX629="G3","G3",IF(AX629="L","L","その他")))))</f>
        <v>その他</v>
      </c>
      <c r="BT629" s="8" t="str">
        <f aca="false">IF(A629="","",IF(BI629="","未結合",IF(D629=BI629,"一致","不一致")))</f>
        <v>一致</v>
      </c>
      <c r="BU629" s="8" t="str">
        <f aca="false">IF(A629="","",IF(BE629="牝馬限定","牝馬限定","その他"))</f>
        <v>その他</v>
      </c>
    </row>
    <row r="630" customFormat="false" ht="15.75" hidden="false" customHeight="false" outlineLevel="0" collapsed="false">
      <c r="A630" s="6" t="n">
        <v>46173</v>
      </c>
      <c r="B630" s="4" t="s">
        <v>4473</v>
      </c>
      <c r="C630" s="8" t="n">
        <v>1</v>
      </c>
      <c r="D630" s="8" t="n">
        <v>16</v>
      </c>
      <c r="E630" s="8" t="n">
        <v>5</v>
      </c>
      <c r="F630" s="4" t="s">
        <v>4438</v>
      </c>
      <c r="G630" s="8" t="n">
        <v>75</v>
      </c>
      <c r="H630" s="8" t="n">
        <v>9</v>
      </c>
      <c r="I630" s="4" t="s">
        <v>5986</v>
      </c>
      <c r="J630" s="8" t="n">
        <v>62</v>
      </c>
      <c r="K630" s="8" t="n">
        <v>2</v>
      </c>
      <c r="L630" s="4" t="s">
        <v>1423</v>
      </c>
      <c r="M630" s="8" t="n">
        <v>37</v>
      </c>
      <c r="N630" s="8" t="n">
        <f aca="false">IF(A630="","",G630-J630)</f>
        <v>13</v>
      </c>
      <c r="O630" s="8" t="n">
        <f aca="false">IF(A630="","",J630-M630)</f>
        <v>25</v>
      </c>
      <c r="P630" s="8" t="n">
        <f aca="false">IF(A630="","",G630+J630)</f>
        <v>137</v>
      </c>
      <c r="Q630" s="8" t="str">
        <f aca="false">IF(A630="","",IF(AND(Y630&lt;&gt;"参考",G630&gt;=ルール設定!$B$2),"○",""))</f>
        <v/>
      </c>
      <c r="R630" s="8" t="str">
        <f aca="false">IF(A630="","",IF(AND(Y630&lt;&gt;"参考",G630&gt;=ルール設定!$B$3,N630&gt;=ルール設定!$B$4),"○",""))</f>
        <v/>
      </c>
      <c r="S630" s="8" t="str">
        <f aca="false">IF(A630="","",IF(AND(Y630&lt;&gt;"参考",G630&gt;=ルール設定!$B$5,J630&gt;=ルール設定!$B$6,O630&gt;=ルール設定!$B$7),"○",""))</f>
        <v>○</v>
      </c>
      <c r="T630" s="8" t="n">
        <v>2</v>
      </c>
      <c r="U630" s="8" t="n">
        <v>1</v>
      </c>
      <c r="V630" s="8" t="str">
        <f aca="false">IF(A630="","",IF(AND(ISNUMBER(T630),ISNUMBER(U630)),IF(AND(T630&lt;=3,U630&lt;=3),"○","×"),""))</f>
        <v>○</v>
      </c>
      <c r="W630" s="8" t="n">
        <v>110</v>
      </c>
      <c r="X630" s="8" t="n">
        <v>160</v>
      </c>
      <c r="Y630" s="4" t="s">
        <v>7597</v>
      </c>
      <c r="Z630" s="4" t="s">
        <v>7841</v>
      </c>
      <c r="AA630" s="8" t="str">
        <v/>
      </c>
      <c r="AB630" s="8" t="str">
        <v/>
      </c>
      <c r="AC630" s="8" t="str">
        <v/>
      </c>
      <c r="AD630" s="8" t="str">
        <v/>
      </c>
      <c r="AE630" s="8" t="str">
        <v/>
      </c>
      <c r="AF630" s="8" t="str">
        <v/>
      </c>
      <c r="AG630" s="8" t="str">
        <v/>
      </c>
      <c r="AH630" s="8" t="str">
        <v/>
      </c>
      <c r="AI630" s="8" t="n">
        <v>38</v>
      </c>
      <c r="AJ630" s="8" t="str">
        <v>75～79</v>
      </c>
      <c r="AK630" s="8" t="str">
        <v>10～19</v>
      </c>
      <c r="AL630" s="8" t="str">
        <v>30～39</v>
      </c>
      <c r="AM630" s="8" t="str">
        <v>120～139</v>
      </c>
      <c r="AN630" s="8" t="str">
        <v>15以上</v>
      </c>
      <c r="AO630" s="8" t="str">
        <f aca="false">IF(A630="","",IF(COUNTIFS(全馬データ!$A$2:$A$50000,A630,全馬データ!$B$2:$B$50000,B630,全馬データ!$C$2:$C$50000,C630,全馬データ!$D$2:$D$50000,E630,全馬データ!$K$2:$K$50000,"&lt;&gt;")=0,"",SUMIFS(全馬データ!$K$2:$K$50000,全馬データ!$A$2:$A$50000,A630,全馬データ!$B$2:$B$50000,B630,全馬データ!$C$2:$C$50000,C630,全馬データ!$D$2:$D$50000,E630)))</f>
        <v/>
      </c>
      <c r="AP630" s="8" t="str">
        <f aca="false">IF(A630="","",IF(AO630="","欠損",IF(AO630&lt;=1.1,"1.0～1.1",IF(AO630&lt;1.3,"1.2",IF(AO630&lt;1.5,"1.3～1.4",IF(AO630&lt;2,"1.5～1.9","2.0以上"))))))</f>
        <v>欠損</v>
      </c>
      <c r="AQ630" s="8" t="str">
        <f aca="false">IF(A630="","",IF(ISNUMBER(SEARCH("2歳",Z630)),"2歳戦",IF(ISNUMBER(SEARCH("3歳未勝利",Z630)),"3歳未勝利",IF(ISNUMBER(SEARCH("未勝利",Z630)),"その他未勝利",IF(ISNUMBER(SEARCH("G1",Z630)),"G1",IF(ISNUMBER(SEARCH("G2",Z630)),"G2",IF(ISNUMBER(SEARCH("G3",Z630)),"G3",IF(ISNUMBER(SEARCH("古馬条件",Z630)),"古馬条件戦",IF(ISNUMBER(SEARCH("重賞",Z630)),"重賞","分類不能")))))))))</f>
        <v>分類不能</v>
      </c>
      <c r="AR630" s="8"/>
      <c r="AS630" s="8" t="s">
        <v>7623</v>
      </c>
      <c r="AT630" s="8" t="s">
        <v>7624</v>
      </c>
      <c r="AU630" s="8" t="s">
        <v>7600</v>
      </c>
      <c r="AV630" s="4" t="s">
        <v>7601</v>
      </c>
      <c r="AW630" s="8"/>
      <c r="AX630" s="8"/>
      <c r="AY630" s="8" t="s">
        <v>7610</v>
      </c>
      <c r="AZ630" s="4" t="s">
        <v>7617</v>
      </c>
      <c r="BA630" s="8" t="n">
        <v>1600</v>
      </c>
      <c r="BB630" s="8" t="s">
        <v>7598</v>
      </c>
      <c r="BC630" s="4" t="s">
        <v>7604</v>
      </c>
      <c r="BD630" s="8" t="s">
        <v>7621</v>
      </c>
      <c r="BE630" s="4" t="s">
        <v>7622</v>
      </c>
      <c r="BF630" s="8" t="s">
        <v>7602</v>
      </c>
      <c r="BG630" s="8" t="s">
        <v>7608</v>
      </c>
      <c r="BH630" s="4" t="s">
        <v>7609</v>
      </c>
      <c r="BI630" s="8" t="n">
        <v>16</v>
      </c>
      <c r="BJ630" s="8" t="s">
        <v>7610</v>
      </c>
      <c r="BK630" s="4" t="s">
        <v>7611</v>
      </c>
      <c r="BL630" s="8" t="s">
        <v>7602</v>
      </c>
      <c r="BM630" s="4" t="s">
        <v>7620</v>
      </c>
      <c r="BN630" s="8"/>
      <c r="BO630" s="8"/>
      <c r="BP630" s="8" t="s">
        <v>7602</v>
      </c>
      <c r="BQ630" s="8" t="str">
        <f aca="false">IF(A630="","",AT630)</f>
        <v>3歳</v>
      </c>
      <c r="BR630" s="8" t="str">
        <f aca="false">IF(A630="","",IF(BA630&lt;=1200,"～1200",IF(BA630&lt;=1500,"1300～1500",IF(BA630=1600,"1600",IF(BA630&lt;=1800,"1700～1800",IF(BA630&lt;=2000,"1900～2000","2100以上"))))))</f>
        <v>1600</v>
      </c>
      <c r="BS630" s="8" t="str">
        <f aca="false">IF(A630="","",IF(AX630="G1","G1",IF(AX630="G2","G2",IF(AX630="G3","G3",IF(AX630="L","L","その他")))))</f>
        <v>その他</v>
      </c>
      <c r="BT630" s="8" t="str">
        <f aca="false">IF(A630="","",IF(BI630="","未結合",IF(D630=BI630,"一致","不一致")))</f>
        <v>一致</v>
      </c>
      <c r="BU630" s="8" t="str">
        <f aca="false">IF(A630="","",IF(BE630="牝馬限定","牝馬限定","その他"))</f>
        <v>牝馬限定</v>
      </c>
    </row>
    <row r="631" customFormat="false" ht="15.75" hidden="false" customHeight="false" outlineLevel="0" collapsed="false">
      <c r="A631" s="6" t="n">
        <v>46173</v>
      </c>
      <c r="B631" s="4" t="s">
        <v>4473</v>
      </c>
      <c r="C631" s="8" t="n">
        <v>2</v>
      </c>
      <c r="D631" s="8" t="n">
        <v>16</v>
      </c>
      <c r="E631" s="8" t="n">
        <v>5</v>
      </c>
      <c r="F631" s="4" t="s">
        <v>1412</v>
      </c>
      <c r="G631" s="8" t="n">
        <v>67</v>
      </c>
      <c r="H631" s="8" t="n">
        <v>4</v>
      </c>
      <c r="I631" s="4" t="s">
        <v>4901</v>
      </c>
      <c r="J631" s="8" t="n">
        <v>37</v>
      </c>
      <c r="K631" s="8" t="n">
        <v>6</v>
      </c>
      <c r="L631" s="4" t="s">
        <v>5991</v>
      </c>
      <c r="M631" s="8" t="n">
        <v>37</v>
      </c>
      <c r="N631" s="8" t="n">
        <f aca="false">IF(A631="","",G631-J631)</f>
        <v>30</v>
      </c>
      <c r="O631" s="8" t="n">
        <f aca="false">IF(A631="","",J631-M631)</f>
        <v>0</v>
      </c>
      <c r="P631" s="8" t="n">
        <f aca="false">IF(A631="","",G631+J631)</f>
        <v>104</v>
      </c>
      <c r="Q631" s="8" t="str">
        <f aca="false">IF(A631="","",IF(AND(Y631&lt;&gt;"参考",G631&gt;=ルール設定!$B$2),"○",""))</f>
        <v/>
      </c>
      <c r="R631" s="8" t="str">
        <f aca="false">IF(A631="","",IF(AND(Y631&lt;&gt;"参考",G631&gt;=ルール設定!$B$3,N631&gt;=ルール設定!$B$4),"○",""))</f>
        <v/>
      </c>
      <c r="S631" s="8" t="str">
        <f aca="false">IF(A631="","",IF(AND(Y631&lt;&gt;"参考",G631&gt;=ルール設定!$B$5,J631&gt;=ルール設定!$B$6,O631&gt;=ルール設定!$B$7),"○",""))</f>
        <v/>
      </c>
      <c r="T631" s="8" t="n">
        <v>4</v>
      </c>
      <c r="U631" s="8" t="n">
        <v>2</v>
      </c>
      <c r="V631" s="8" t="str">
        <f aca="false">IF(A631="","",IF(AND(ISNUMBER(T631),ISNUMBER(U631)),IF(AND(T631&lt;=3,U631&lt;=3),"○","×"),""))</f>
        <v>×</v>
      </c>
      <c r="W631" s="8"/>
      <c r="X631" s="8"/>
      <c r="Y631" s="4" t="s">
        <v>7597</v>
      </c>
      <c r="Z631" s="4" t="s">
        <v>7841</v>
      </c>
      <c r="AA631" s="8" t="str">
        <v/>
      </c>
      <c r="AB631" s="8" t="str">
        <v/>
      </c>
      <c r="AC631" s="8" t="str">
        <v/>
      </c>
      <c r="AD631" s="8" t="str">
        <v/>
      </c>
      <c r="AE631" s="8" t="str">
        <v/>
      </c>
      <c r="AF631" s="8" t="str">
        <v/>
      </c>
      <c r="AG631" s="8" t="str">
        <v/>
      </c>
      <c r="AH631" s="8" t="str">
        <v/>
      </c>
      <c r="AI631" s="8" t="n">
        <v>30</v>
      </c>
      <c r="AJ631" s="8" t="str">
        <v>60～69</v>
      </c>
      <c r="AK631" s="8" t="str">
        <v>30以上</v>
      </c>
      <c r="AL631" s="8" t="str">
        <v>30～39</v>
      </c>
      <c r="AM631" s="8" t="str">
        <v>100～119</v>
      </c>
      <c r="AN631" s="8" t="str">
        <v>15以上</v>
      </c>
      <c r="AO631" s="8" t="str">
        <f aca="false">IF(A631="","",IF(COUNTIFS(全馬データ!$A$2:$A$50000,A631,全馬データ!$B$2:$B$50000,B631,全馬データ!$C$2:$C$50000,C631,全馬データ!$D$2:$D$50000,E631,全馬データ!$K$2:$K$50000,"&lt;&gt;")=0,"",SUMIFS(全馬データ!$K$2:$K$50000,全馬データ!$A$2:$A$50000,A631,全馬データ!$B$2:$B$50000,B631,全馬データ!$C$2:$C$50000,C631,全馬データ!$D$2:$D$50000,E631)))</f>
        <v/>
      </c>
      <c r="AP631" s="8" t="str">
        <f aca="false">IF(A631="","",IF(AO631="","欠損",IF(AO631&lt;=1.1,"1.0～1.1",IF(AO631&lt;1.3,"1.2",IF(AO631&lt;1.5,"1.3～1.4",IF(AO631&lt;2,"1.5～1.9","2.0以上"))))))</f>
        <v>欠損</v>
      </c>
      <c r="AQ631" s="8" t="str">
        <f aca="false">IF(A631="","",IF(ISNUMBER(SEARCH("2歳",Z631)),"2歳戦",IF(ISNUMBER(SEARCH("3歳未勝利",Z631)),"3歳未勝利",IF(ISNUMBER(SEARCH("未勝利",Z631)),"その他未勝利",IF(ISNUMBER(SEARCH("G1",Z631)),"G1",IF(ISNUMBER(SEARCH("G2",Z631)),"G2",IF(ISNUMBER(SEARCH("G3",Z631)),"G3",IF(ISNUMBER(SEARCH("古馬条件",Z631)),"古馬条件戦",IF(ISNUMBER(SEARCH("重賞",Z631)),"重賞","分類不能")))))))))</f>
        <v>分類不能</v>
      </c>
      <c r="AR631" s="8"/>
      <c r="AS631" s="8" t="s">
        <v>7623</v>
      </c>
      <c r="AT631" s="8" t="s">
        <v>7624</v>
      </c>
      <c r="AU631" s="8" t="s">
        <v>7600</v>
      </c>
      <c r="AV631" s="4" t="s">
        <v>7601</v>
      </c>
      <c r="AW631" s="8"/>
      <c r="AX631" s="8"/>
      <c r="AY631" s="8" t="s">
        <v>7610</v>
      </c>
      <c r="AZ631" s="4" t="s">
        <v>7617</v>
      </c>
      <c r="BA631" s="8" t="n">
        <v>1400</v>
      </c>
      <c r="BB631" s="8" t="s">
        <v>7598</v>
      </c>
      <c r="BC631" s="4" t="s">
        <v>7604</v>
      </c>
      <c r="BD631" s="8" t="s">
        <v>7605</v>
      </c>
      <c r="BE631" s="4" t="s">
        <v>7606</v>
      </c>
      <c r="BF631" s="8" t="s">
        <v>7607</v>
      </c>
      <c r="BG631" s="8" t="s">
        <v>7608</v>
      </c>
      <c r="BH631" s="4" t="s">
        <v>7609</v>
      </c>
      <c r="BI631" s="8" t="n">
        <v>16</v>
      </c>
      <c r="BJ631" s="8" t="s">
        <v>7610</v>
      </c>
      <c r="BK631" s="4" t="s">
        <v>7611</v>
      </c>
      <c r="BL631" s="8" t="s">
        <v>7602</v>
      </c>
      <c r="BM631" s="4" t="s">
        <v>7620</v>
      </c>
      <c r="BN631" s="8"/>
      <c r="BO631" s="8"/>
      <c r="BP631" s="8" t="s">
        <v>7602</v>
      </c>
      <c r="BQ631" s="8" t="str">
        <f aca="false">IF(A631="","",AT631)</f>
        <v>3歳</v>
      </c>
      <c r="BR631" s="8" t="str">
        <f aca="false">IF(A631="","",IF(BA631&lt;=1200,"～1200",IF(BA631&lt;=1500,"1300～1500",IF(BA631=1600,"1600",IF(BA631&lt;=1800,"1700～1800",IF(BA631&lt;=2000,"1900～2000","2100以上"))))))</f>
        <v>1300～1500</v>
      </c>
      <c r="BS631" s="8" t="str">
        <f aca="false">IF(A631="","",IF(AX631="G1","G1",IF(AX631="G2","G2",IF(AX631="G3","G3",IF(AX631="L","L","その他")))))</f>
        <v>その他</v>
      </c>
      <c r="BT631" s="8" t="str">
        <f aca="false">IF(A631="","",IF(BI631="","未結合",IF(D631=BI631,"一致","不一致")))</f>
        <v>一致</v>
      </c>
      <c r="BU631" s="8" t="str">
        <f aca="false">IF(A631="","",IF(BE631="牝馬限定","牝馬限定","その他"))</f>
        <v>その他</v>
      </c>
    </row>
    <row r="632" customFormat="false" ht="15.75" hidden="false" customHeight="false" outlineLevel="0" collapsed="false">
      <c r="A632" s="6" t="n">
        <v>46173</v>
      </c>
      <c r="B632" s="4" t="s">
        <v>4473</v>
      </c>
      <c r="C632" s="8" t="n">
        <v>3</v>
      </c>
      <c r="D632" s="8" t="n">
        <v>16</v>
      </c>
      <c r="E632" s="8" t="n">
        <v>6</v>
      </c>
      <c r="F632" s="4" t="s">
        <v>1947</v>
      </c>
      <c r="G632" s="8" t="n">
        <v>65</v>
      </c>
      <c r="H632" s="8" t="n">
        <v>1</v>
      </c>
      <c r="I632" s="4" t="s">
        <v>5994</v>
      </c>
      <c r="J632" s="8" t="n">
        <v>52</v>
      </c>
      <c r="K632" s="8" t="n">
        <v>4</v>
      </c>
      <c r="L632" s="4" t="s">
        <v>990</v>
      </c>
      <c r="M632" s="8" t="n">
        <v>52</v>
      </c>
      <c r="N632" s="8" t="n">
        <f aca="false">IF(A632="","",G632-J632)</f>
        <v>13</v>
      </c>
      <c r="O632" s="8" t="n">
        <f aca="false">IF(A632="","",J632-M632)</f>
        <v>0</v>
      </c>
      <c r="P632" s="8" t="n">
        <f aca="false">IF(A632="","",G632+J632)</f>
        <v>117</v>
      </c>
      <c r="Q632" s="8" t="str">
        <f aca="false">IF(A632="","",IF(AND(Y632&lt;&gt;"参考",G632&gt;=ルール設定!$B$2),"○",""))</f>
        <v/>
      </c>
      <c r="R632" s="8" t="str">
        <f aca="false">IF(A632="","",IF(AND(Y632&lt;&gt;"参考",G632&gt;=ルール設定!$B$3,N632&gt;=ルール設定!$B$4),"○",""))</f>
        <v/>
      </c>
      <c r="S632" s="8" t="str">
        <f aca="false">IF(A632="","",IF(AND(Y632&lt;&gt;"参考",G632&gt;=ルール設定!$B$5,J632&gt;=ルール設定!$B$6,O632&gt;=ルール設定!$B$7),"○",""))</f>
        <v/>
      </c>
      <c r="T632" s="8" t="n">
        <v>1</v>
      </c>
      <c r="U632" s="8" t="n">
        <v>4</v>
      </c>
      <c r="V632" s="8" t="str">
        <f aca="false">IF(A632="","",IF(AND(ISNUMBER(T632),ISNUMBER(U632)),IF(AND(T632&lt;=3,U632&lt;=3),"○","×"),""))</f>
        <v>×</v>
      </c>
      <c r="W632" s="8" t="n">
        <v>150</v>
      </c>
      <c r="X632" s="8"/>
      <c r="Y632" s="4" t="s">
        <v>7597</v>
      </c>
      <c r="Z632" s="4" t="s">
        <v>7841</v>
      </c>
      <c r="AA632" s="8" t="str">
        <v/>
      </c>
      <c r="AB632" s="8" t="str">
        <v/>
      </c>
      <c r="AC632" s="8" t="str">
        <v/>
      </c>
      <c r="AD632" s="8" t="str">
        <v/>
      </c>
      <c r="AE632" s="8" t="str">
        <v/>
      </c>
      <c r="AF632" s="8" t="str">
        <v/>
      </c>
      <c r="AG632" s="8" t="str">
        <v/>
      </c>
      <c r="AH632" s="8" t="str">
        <v/>
      </c>
      <c r="AI632" s="8" t="n">
        <v>13</v>
      </c>
      <c r="AJ632" s="8" t="str">
        <v>60～69</v>
      </c>
      <c r="AK632" s="8" t="str">
        <v>10～19</v>
      </c>
      <c r="AL632" s="8" t="str">
        <v>10～19</v>
      </c>
      <c r="AM632" s="8" t="str">
        <v>100～119</v>
      </c>
      <c r="AN632" s="8" t="str">
        <v>15以上</v>
      </c>
      <c r="AO632" s="8" t="str">
        <f aca="false">IF(A632="","",IF(COUNTIFS(全馬データ!$A$2:$A$50000,A632,全馬データ!$B$2:$B$50000,B632,全馬データ!$C$2:$C$50000,C632,全馬データ!$D$2:$D$50000,E632,全馬データ!$K$2:$K$50000,"&lt;&gt;")=0,"",SUMIFS(全馬データ!$K$2:$K$50000,全馬データ!$A$2:$A$50000,A632,全馬データ!$B$2:$B$50000,B632,全馬データ!$C$2:$C$50000,C632,全馬データ!$D$2:$D$50000,E632)))</f>
        <v/>
      </c>
      <c r="AP632" s="8" t="str">
        <f aca="false">IF(A632="","",IF(AO632="","欠損",IF(AO632&lt;=1.1,"1.0～1.1",IF(AO632&lt;1.3,"1.2",IF(AO632&lt;1.5,"1.3～1.4",IF(AO632&lt;2,"1.5～1.9","2.0以上"))))))</f>
        <v>欠損</v>
      </c>
      <c r="AQ632" s="8" t="str">
        <f aca="false">IF(A632="","",IF(ISNUMBER(SEARCH("2歳",Z632)),"2歳戦",IF(ISNUMBER(SEARCH("3歳未勝利",Z632)),"3歳未勝利",IF(ISNUMBER(SEARCH("未勝利",Z632)),"その他未勝利",IF(ISNUMBER(SEARCH("G1",Z632)),"G1",IF(ISNUMBER(SEARCH("G2",Z632)),"G2",IF(ISNUMBER(SEARCH("G3",Z632)),"G3",IF(ISNUMBER(SEARCH("古馬条件",Z632)),"古馬条件戦",IF(ISNUMBER(SEARCH("重賞",Z632)),"重賞","分類不能")))))))))</f>
        <v>分類不能</v>
      </c>
      <c r="AR632" s="8"/>
      <c r="AS632" s="8" t="s">
        <v>7623</v>
      </c>
      <c r="AT632" s="8" t="s">
        <v>7624</v>
      </c>
      <c r="AU632" s="8" t="s">
        <v>7600</v>
      </c>
      <c r="AV632" s="4" t="s">
        <v>7601</v>
      </c>
      <c r="AW632" s="8"/>
      <c r="AX632" s="8"/>
      <c r="AY632" s="8" t="s">
        <v>7610</v>
      </c>
      <c r="AZ632" s="4" t="s">
        <v>7617</v>
      </c>
      <c r="BA632" s="8" t="n">
        <v>1600</v>
      </c>
      <c r="BB632" s="8" t="s">
        <v>7598</v>
      </c>
      <c r="BC632" s="4" t="s">
        <v>7604</v>
      </c>
      <c r="BD632" s="8" t="s">
        <v>7605</v>
      </c>
      <c r="BE632" s="4" t="s">
        <v>7606</v>
      </c>
      <c r="BF632" s="8" t="s">
        <v>7607</v>
      </c>
      <c r="BG632" s="8" t="s">
        <v>7608</v>
      </c>
      <c r="BH632" s="4" t="s">
        <v>7609</v>
      </c>
      <c r="BI632" s="8" t="n">
        <v>16</v>
      </c>
      <c r="BJ632" s="8" t="s">
        <v>7610</v>
      </c>
      <c r="BK632" s="4" t="s">
        <v>7611</v>
      </c>
      <c r="BL632" s="8" t="s">
        <v>7602</v>
      </c>
      <c r="BM632" s="4" t="s">
        <v>7620</v>
      </c>
      <c r="BN632" s="8"/>
      <c r="BO632" s="8"/>
      <c r="BP632" s="8" t="s">
        <v>7602</v>
      </c>
      <c r="BQ632" s="8" t="str">
        <f aca="false">IF(A632="","",AT632)</f>
        <v>3歳</v>
      </c>
      <c r="BR632" s="8" t="str">
        <f aca="false">IF(A632="","",IF(BA632&lt;=1200,"～1200",IF(BA632&lt;=1500,"1300～1500",IF(BA632=1600,"1600",IF(BA632&lt;=1800,"1700～1800",IF(BA632&lt;=2000,"1900～2000","2100以上"))))))</f>
        <v>1600</v>
      </c>
      <c r="BS632" s="8" t="str">
        <f aca="false">IF(A632="","",IF(AX632="G1","G1",IF(AX632="G2","G2",IF(AX632="G3","G3",IF(AX632="L","L","その他")))))</f>
        <v>その他</v>
      </c>
      <c r="BT632" s="8" t="str">
        <f aca="false">IF(A632="","",IF(BI632="","未結合",IF(D632=BI632,"一致","不一致")))</f>
        <v>一致</v>
      </c>
      <c r="BU632" s="8" t="str">
        <f aca="false">IF(A632="","",IF(BE632="牝馬限定","牝馬限定","その他"))</f>
        <v>その他</v>
      </c>
    </row>
    <row r="633" customFormat="false" ht="15.75" hidden="false" customHeight="false" outlineLevel="0" collapsed="false">
      <c r="A633" s="6" t="n">
        <v>46173</v>
      </c>
      <c r="B633" s="4" t="s">
        <v>4473</v>
      </c>
      <c r="C633" s="8" t="n">
        <v>4</v>
      </c>
      <c r="D633" s="8" t="n">
        <v>18</v>
      </c>
      <c r="E633" s="8" t="n">
        <v>12</v>
      </c>
      <c r="F633" s="4" t="s">
        <v>4061</v>
      </c>
      <c r="G633" s="8" t="n">
        <v>66</v>
      </c>
      <c r="H633" s="8" t="n">
        <v>5</v>
      </c>
      <c r="I633" s="4" t="s">
        <v>2211</v>
      </c>
      <c r="J633" s="8" t="n">
        <v>52</v>
      </c>
      <c r="K633" s="8" t="n">
        <v>7</v>
      </c>
      <c r="L633" s="4" t="s">
        <v>6004</v>
      </c>
      <c r="M633" s="8" t="n">
        <v>39</v>
      </c>
      <c r="N633" s="8" t="n">
        <f aca="false">IF(A633="","",G633-J633)</f>
        <v>14</v>
      </c>
      <c r="O633" s="8" t="n">
        <f aca="false">IF(A633="","",J633-M633)</f>
        <v>13</v>
      </c>
      <c r="P633" s="8" t="n">
        <f aca="false">IF(A633="","",G633+J633)</f>
        <v>118</v>
      </c>
      <c r="Q633" s="8" t="str">
        <f aca="false">IF(A633="","",IF(AND(Y633&lt;&gt;"参考",G633&gt;=ルール設定!$B$2),"○",""))</f>
        <v/>
      </c>
      <c r="R633" s="8" t="str">
        <f aca="false">IF(A633="","",IF(AND(Y633&lt;&gt;"参考",G633&gt;=ルール設定!$B$3,N633&gt;=ルール設定!$B$4),"○",""))</f>
        <v/>
      </c>
      <c r="S633" s="8" t="str">
        <f aca="false">IF(A633="","",IF(AND(Y633&lt;&gt;"参考",G633&gt;=ルール設定!$B$5,J633&gt;=ルール設定!$B$6,O633&gt;=ルール設定!$B$7),"○",""))</f>
        <v/>
      </c>
      <c r="T633" s="8" t="n">
        <v>1</v>
      </c>
      <c r="U633" s="8" t="n">
        <v>3</v>
      </c>
      <c r="V633" s="8" t="str">
        <f aca="false">IF(A633="","",IF(AND(ISNUMBER(T633),ISNUMBER(U633)),IF(AND(T633&lt;=3,U633&lt;=3),"○","×"),""))</f>
        <v>○</v>
      </c>
      <c r="W633" s="8" t="n">
        <v>130</v>
      </c>
      <c r="X633" s="8" t="n">
        <v>210</v>
      </c>
      <c r="Y633" s="4" t="s">
        <v>7597</v>
      </c>
      <c r="Z633" s="4" t="s">
        <v>7841</v>
      </c>
      <c r="AA633" s="8" t="str">
        <v/>
      </c>
      <c r="AB633" s="8" t="str">
        <v/>
      </c>
      <c r="AC633" s="8" t="str">
        <v/>
      </c>
      <c r="AD633" s="8" t="str">
        <v/>
      </c>
      <c r="AE633" s="8" t="str">
        <v/>
      </c>
      <c r="AF633" s="8" t="str">
        <v/>
      </c>
      <c r="AG633" s="8" t="str">
        <v/>
      </c>
      <c r="AH633" s="8" t="str">
        <v/>
      </c>
      <c r="AI633" s="8" t="n">
        <v>27</v>
      </c>
      <c r="AJ633" s="8" t="str">
        <v>60～69</v>
      </c>
      <c r="AK633" s="8" t="str">
        <v>10～19</v>
      </c>
      <c r="AL633" s="8" t="str">
        <v>20～29</v>
      </c>
      <c r="AM633" s="8" t="str">
        <v>100～119</v>
      </c>
      <c r="AN633" s="8" t="str">
        <v>15以上</v>
      </c>
      <c r="AO633" s="8" t="str">
        <f aca="false">IF(A633="","",IF(COUNTIFS(全馬データ!$A$2:$A$50000,A633,全馬データ!$B$2:$B$50000,B633,全馬データ!$C$2:$C$50000,C633,全馬データ!$D$2:$D$50000,E633,全馬データ!$K$2:$K$50000,"&lt;&gt;")=0,"",SUMIFS(全馬データ!$K$2:$K$50000,全馬データ!$A$2:$A$50000,A633,全馬データ!$B$2:$B$50000,B633,全馬データ!$C$2:$C$50000,C633,全馬データ!$D$2:$D$50000,E633)))</f>
        <v/>
      </c>
      <c r="AP633" s="8" t="str">
        <f aca="false">IF(A633="","",IF(AO633="","欠損",IF(AO633&lt;=1.1,"1.0～1.1",IF(AO633&lt;1.3,"1.2",IF(AO633&lt;1.5,"1.3～1.4",IF(AO633&lt;2,"1.5～1.9","2.0以上"))))))</f>
        <v>欠損</v>
      </c>
      <c r="AQ633" s="8" t="str">
        <f aca="false">IF(A633="","",IF(ISNUMBER(SEARCH("2歳",Z633)),"2歳戦",IF(ISNUMBER(SEARCH("3歳未勝利",Z633)),"3歳未勝利",IF(ISNUMBER(SEARCH("未勝利",Z633)),"その他未勝利",IF(ISNUMBER(SEARCH("G1",Z633)),"G1",IF(ISNUMBER(SEARCH("G2",Z633)),"G2",IF(ISNUMBER(SEARCH("G3",Z633)),"G3",IF(ISNUMBER(SEARCH("古馬条件",Z633)),"古馬条件戦",IF(ISNUMBER(SEARCH("重賞",Z633)),"重賞","分類不能")))))))))</f>
        <v>分類不能</v>
      </c>
      <c r="AR633" s="8"/>
      <c r="AS633" s="8" t="s">
        <v>7623</v>
      </c>
      <c r="AT633" s="8" t="s">
        <v>7624</v>
      </c>
      <c r="AU633" s="8" t="s">
        <v>7600</v>
      </c>
      <c r="AV633" s="4" t="s">
        <v>7601</v>
      </c>
      <c r="AW633" s="8"/>
      <c r="AX633" s="8"/>
      <c r="AY633" s="8" t="s">
        <v>7602</v>
      </c>
      <c r="AZ633" s="4" t="s">
        <v>7603</v>
      </c>
      <c r="BA633" s="8" t="n">
        <v>1600</v>
      </c>
      <c r="BB633" s="8" t="s">
        <v>7598</v>
      </c>
      <c r="BC633" s="4" t="s">
        <v>7604</v>
      </c>
      <c r="BD633" s="8" t="s">
        <v>7605</v>
      </c>
      <c r="BE633" s="4" t="s">
        <v>7606</v>
      </c>
      <c r="BF633" s="8" t="s">
        <v>7607</v>
      </c>
      <c r="BG633" s="8" t="s">
        <v>7608</v>
      </c>
      <c r="BH633" s="4" t="s">
        <v>7609</v>
      </c>
      <c r="BI633" s="8" t="n">
        <v>18</v>
      </c>
      <c r="BJ633" s="8" t="s">
        <v>7610</v>
      </c>
      <c r="BK633" s="4" t="s">
        <v>7611</v>
      </c>
      <c r="BL633" s="8" t="s">
        <v>7602</v>
      </c>
      <c r="BM633" s="4" t="s">
        <v>7620</v>
      </c>
      <c r="BN633" s="8" t="s">
        <v>7636</v>
      </c>
      <c r="BO633" s="8" t="s">
        <v>7804</v>
      </c>
      <c r="BP633" s="8" t="s">
        <v>7602</v>
      </c>
      <c r="BQ633" s="8" t="str">
        <f aca="false">IF(A633="","",AT633)</f>
        <v>3歳</v>
      </c>
      <c r="BR633" s="8" t="str">
        <f aca="false">IF(A633="","",IF(BA633&lt;=1200,"～1200",IF(BA633&lt;=1500,"1300～1500",IF(BA633=1600,"1600",IF(BA633&lt;=1800,"1700～1800",IF(BA633&lt;=2000,"1900～2000","2100以上"))))))</f>
        <v>1600</v>
      </c>
      <c r="BS633" s="8" t="str">
        <f aca="false">IF(A633="","",IF(AX633="G1","G1",IF(AX633="G2","G2",IF(AX633="G3","G3",IF(AX633="L","L","その他")))))</f>
        <v>その他</v>
      </c>
      <c r="BT633" s="8" t="str">
        <f aca="false">IF(A633="","",IF(BI633="","未結合",IF(D633=BI633,"一致","不一致")))</f>
        <v>一致</v>
      </c>
      <c r="BU633" s="8" t="str">
        <f aca="false">IF(A633="","",IF(BE633="牝馬限定","牝馬限定","その他"))</f>
        <v>その他</v>
      </c>
    </row>
    <row r="634" customFormat="false" ht="15.75" hidden="false" customHeight="false" outlineLevel="0" collapsed="false">
      <c r="A634" s="6" t="n">
        <v>46173</v>
      </c>
      <c r="B634" s="4" t="s">
        <v>4473</v>
      </c>
      <c r="C634" s="8" t="n">
        <v>5</v>
      </c>
      <c r="D634" s="8" t="n">
        <v>13</v>
      </c>
      <c r="E634" s="8" t="n">
        <v>6</v>
      </c>
      <c r="F634" s="4" t="s">
        <v>6010</v>
      </c>
      <c r="G634" s="8" t="n">
        <v>62</v>
      </c>
      <c r="H634" s="8" t="n">
        <v>1</v>
      </c>
      <c r="I634" s="4" t="s">
        <v>3412</v>
      </c>
      <c r="J634" s="8" t="n">
        <v>58</v>
      </c>
      <c r="K634" s="8" t="n">
        <v>4</v>
      </c>
      <c r="L634" s="4" t="s">
        <v>6008</v>
      </c>
      <c r="M634" s="8" t="n">
        <v>56</v>
      </c>
      <c r="N634" s="8" t="n">
        <f aca="false">IF(A634="","",G634-J634)</f>
        <v>4</v>
      </c>
      <c r="O634" s="8" t="n">
        <f aca="false">IF(A634="","",J634-M634)</f>
        <v>2</v>
      </c>
      <c r="P634" s="8" t="n">
        <f aca="false">IF(A634="","",G634+J634)</f>
        <v>120</v>
      </c>
      <c r="Q634" s="8" t="str">
        <f aca="false">IF(A634="","",IF(AND(Y634&lt;&gt;"参考",G634&gt;=ルール設定!$B$2),"○",""))</f>
        <v/>
      </c>
      <c r="R634" s="8" t="str">
        <f aca="false">IF(A634="","",IF(AND(Y634&lt;&gt;"参考",G634&gt;=ルール設定!$B$3,N634&gt;=ルール設定!$B$4),"○",""))</f>
        <v/>
      </c>
      <c r="S634" s="8" t="str">
        <f aca="false">IF(A634="","",IF(AND(Y634&lt;&gt;"参考",G634&gt;=ルール設定!$B$5,J634&gt;=ルール設定!$B$6,O634&gt;=ルール設定!$B$7),"○",""))</f>
        <v/>
      </c>
      <c r="T634" s="8" t="n">
        <v>4</v>
      </c>
      <c r="U634" s="8" t="n">
        <v>4</v>
      </c>
      <c r="V634" s="8" t="str">
        <f aca="false">IF(A634="","",IF(AND(ISNUMBER(T634),ISNUMBER(U634)),IF(AND(T634&lt;=3,U634&lt;=3),"○","×"),""))</f>
        <v>×</v>
      </c>
      <c r="W634" s="8"/>
      <c r="X634" s="8"/>
      <c r="Y634" s="4" t="s">
        <v>7597</v>
      </c>
      <c r="Z634" s="4" t="s">
        <v>7841</v>
      </c>
      <c r="AA634" s="8" t="str">
        <v/>
      </c>
      <c r="AB634" s="8" t="str">
        <v/>
      </c>
      <c r="AC634" s="8" t="str">
        <v/>
      </c>
      <c r="AD634" s="8" t="str">
        <v/>
      </c>
      <c r="AE634" s="8" t="str">
        <v/>
      </c>
      <c r="AF634" s="8" t="str">
        <v/>
      </c>
      <c r="AG634" s="8" t="str">
        <v/>
      </c>
      <c r="AH634" s="8" t="str">
        <v/>
      </c>
      <c r="AI634" s="8" t="n">
        <v>6</v>
      </c>
      <c r="AJ634" s="8" t="str">
        <v>60～69</v>
      </c>
      <c r="AK634" s="8" t="str">
        <v>0～4</v>
      </c>
      <c r="AL634" s="8" t="str">
        <v>0～9</v>
      </c>
      <c r="AM634" s="8" t="str">
        <v>120～139</v>
      </c>
      <c r="AN634" s="8" t="str">
        <v>12～14</v>
      </c>
      <c r="AO634" s="8" t="str">
        <f aca="false">IF(A634="","",IF(COUNTIFS(全馬データ!$A$2:$A$50000,A634,全馬データ!$B$2:$B$50000,B634,全馬データ!$C$2:$C$50000,C634,全馬データ!$D$2:$D$50000,E634,全馬データ!$K$2:$K$50000,"&lt;&gt;")=0,"",SUMIFS(全馬データ!$K$2:$K$50000,全馬データ!$A$2:$A$50000,A634,全馬データ!$B$2:$B$50000,B634,全馬データ!$C$2:$C$50000,C634,全馬データ!$D$2:$D$50000,E634)))</f>
        <v/>
      </c>
      <c r="AP634" s="8" t="str">
        <f aca="false">IF(A634="","",IF(AO634="","欠損",IF(AO634&lt;=1.1,"1.0～1.1",IF(AO634&lt;1.3,"1.2",IF(AO634&lt;1.5,"1.3～1.4",IF(AO634&lt;2,"1.5～1.9","2.0以上"))))))</f>
        <v>欠損</v>
      </c>
      <c r="AQ634" s="8" t="str">
        <f aca="false">IF(A634="","",IF(ISNUMBER(SEARCH("2歳",Z634)),"2歳戦",IF(ISNUMBER(SEARCH("3歳未勝利",Z634)),"3歳未勝利",IF(ISNUMBER(SEARCH("未勝利",Z634)),"その他未勝利",IF(ISNUMBER(SEARCH("G1",Z634)),"G1",IF(ISNUMBER(SEARCH("G2",Z634)),"G2",IF(ISNUMBER(SEARCH("G3",Z634)),"G3",IF(ISNUMBER(SEARCH("古馬条件",Z634)),"古馬条件戦",IF(ISNUMBER(SEARCH("重賞",Z634)),"重賞","分類不能")))))))))</f>
        <v>分類不能</v>
      </c>
      <c r="AR634" s="8"/>
      <c r="AS634" s="8" t="s">
        <v>7623</v>
      </c>
      <c r="AT634" s="8" t="s">
        <v>7624</v>
      </c>
      <c r="AU634" s="8" t="s">
        <v>7628</v>
      </c>
      <c r="AV634" s="8" t="s">
        <v>7629</v>
      </c>
      <c r="AW634" s="8"/>
      <c r="AX634" s="8"/>
      <c r="AY634" s="8" t="s">
        <v>7610</v>
      </c>
      <c r="AZ634" s="4" t="s">
        <v>7617</v>
      </c>
      <c r="BA634" s="8" t="n">
        <v>1400</v>
      </c>
      <c r="BB634" s="8" t="s">
        <v>7598</v>
      </c>
      <c r="BC634" s="4" t="s">
        <v>7604</v>
      </c>
      <c r="BD634" s="8" t="s">
        <v>7605</v>
      </c>
      <c r="BE634" s="4" t="s">
        <v>7606</v>
      </c>
      <c r="BF634" s="8" t="s">
        <v>7607</v>
      </c>
      <c r="BG634" s="8" t="s">
        <v>7608</v>
      </c>
      <c r="BH634" s="4" t="s">
        <v>7609</v>
      </c>
      <c r="BI634" s="8" t="n">
        <v>13</v>
      </c>
      <c r="BJ634" s="8" t="s">
        <v>7610</v>
      </c>
      <c r="BK634" s="4" t="s">
        <v>7611</v>
      </c>
      <c r="BL634" s="8" t="s">
        <v>7602</v>
      </c>
      <c r="BM634" s="4" t="s">
        <v>7620</v>
      </c>
      <c r="BN634" s="8"/>
      <c r="BO634" s="8"/>
      <c r="BP634" s="8" t="s">
        <v>7602</v>
      </c>
      <c r="BQ634" s="8" t="str">
        <f aca="false">IF(A634="","",AT634)</f>
        <v>3歳</v>
      </c>
      <c r="BR634" s="8" t="str">
        <f aca="false">IF(A634="","",IF(BA634&lt;=1200,"～1200",IF(BA634&lt;=1500,"1300～1500",IF(BA634=1600,"1600",IF(BA634&lt;=1800,"1700～1800",IF(BA634&lt;=2000,"1900～2000","2100以上"))))))</f>
        <v>1300～1500</v>
      </c>
      <c r="BS634" s="8" t="str">
        <f aca="false">IF(A634="","",IF(AX634="G1","G1",IF(AX634="G2","G2",IF(AX634="G3","G3",IF(AX634="L","L","その他")))))</f>
        <v>その他</v>
      </c>
      <c r="BT634" s="8" t="str">
        <f aca="false">IF(A634="","",IF(BI634="","未結合",IF(D634=BI634,"一致","不一致")))</f>
        <v>一致</v>
      </c>
      <c r="BU634" s="8" t="str">
        <f aca="false">IF(A634="","",IF(BE634="牝馬限定","牝馬限定","その他"))</f>
        <v>その他</v>
      </c>
    </row>
    <row r="635" customFormat="false" ht="15.75" hidden="false" customHeight="false" outlineLevel="0" collapsed="false">
      <c r="A635" s="6" t="n">
        <v>46173</v>
      </c>
      <c r="B635" s="4" t="s">
        <v>4473</v>
      </c>
      <c r="C635" s="8" t="n">
        <v>6</v>
      </c>
      <c r="D635" s="8" t="n">
        <v>11</v>
      </c>
      <c r="E635" s="8" t="n">
        <v>4</v>
      </c>
      <c r="F635" s="4" t="s">
        <v>1348</v>
      </c>
      <c r="G635" s="8" t="n">
        <v>66</v>
      </c>
      <c r="H635" s="8" t="n">
        <v>10</v>
      </c>
      <c r="I635" s="4" t="s">
        <v>6017</v>
      </c>
      <c r="J635" s="8" t="n">
        <v>65</v>
      </c>
      <c r="K635" s="8" t="n">
        <v>8</v>
      </c>
      <c r="L635" s="4" t="s">
        <v>1485</v>
      </c>
      <c r="M635" s="8" t="n">
        <v>39</v>
      </c>
      <c r="N635" s="8" t="n">
        <f aca="false">IF(A635="","",G635-J635)</f>
        <v>1</v>
      </c>
      <c r="O635" s="8" t="n">
        <f aca="false">IF(A635="","",J635-M635)</f>
        <v>26</v>
      </c>
      <c r="P635" s="8" t="n">
        <f aca="false">IF(A635="","",G635+J635)</f>
        <v>131</v>
      </c>
      <c r="Q635" s="8" t="str">
        <f aca="false">IF(A635="","",IF(AND(Y635&lt;&gt;"参考",G635&gt;=ルール設定!$B$2),"○",""))</f>
        <v/>
      </c>
      <c r="R635" s="8" t="str">
        <f aca="false">IF(A635="","",IF(AND(Y635&lt;&gt;"参考",G635&gt;=ルール設定!$B$3,N635&gt;=ルール設定!$B$4),"○",""))</f>
        <v/>
      </c>
      <c r="S635" s="8" t="str">
        <f aca="false">IF(A635="","",IF(AND(Y635&lt;&gt;"参考",G635&gt;=ルール設定!$B$5,J635&gt;=ルール設定!$B$6,O635&gt;=ルール設定!$B$7),"○",""))</f>
        <v>○</v>
      </c>
      <c r="T635" s="8" t="n">
        <v>2</v>
      </c>
      <c r="U635" s="8" t="n">
        <v>3</v>
      </c>
      <c r="V635" s="8" t="str">
        <f aca="false">IF(A635="","",IF(AND(ISNUMBER(T635),ISNUMBER(U635)),IF(AND(T635&lt;=3,U635&lt;=3),"○","×"),""))</f>
        <v>○</v>
      </c>
      <c r="W635" s="8" t="n">
        <v>140</v>
      </c>
      <c r="X635" s="8" t="n">
        <v>300</v>
      </c>
      <c r="Y635" s="4" t="s">
        <v>7597</v>
      </c>
      <c r="Z635" s="4" t="s">
        <v>7841</v>
      </c>
      <c r="AA635" s="8" t="str">
        <v/>
      </c>
      <c r="AB635" s="8" t="str">
        <v/>
      </c>
      <c r="AC635" s="8" t="str">
        <v/>
      </c>
      <c r="AD635" s="8" t="str">
        <v/>
      </c>
      <c r="AE635" s="8" t="str">
        <v/>
      </c>
      <c r="AF635" s="8" t="str">
        <v/>
      </c>
      <c r="AG635" s="8" t="str">
        <v/>
      </c>
      <c r="AH635" s="8" t="str">
        <v/>
      </c>
      <c r="AI635" s="8" t="n">
        <v>27</v>
      </c>
      <c r="AJ635" s="8" t="str">
        <v>60～69</v>
      </c>
      <c r="AK635" s="8" t="str">
        <v>0～4</v>
      </c>
      <c r="AL635" s="8" t="str">
        <v>20～29</v>
      </c>
      <c r="AM635" s="8" t="str">
        <v>120～139</v>
      </c>
      <c r="AN635" s="8" t="str">
        <v>8～11</v>
      </c>
      <c r="AO635" s="8" t="str">
        <f aca="false">IF(A635="","",IF(COUNTIFS(全馬データ!$A$2:$A$50000,A635,全馬データ!$B$2:$B$50000,B635,全馬データ!$C$2:$C$50000,C635,全馬データ!$D$2:$D$50000,E635,全馬データ!$K$2:$K$50000,"&lt;&gt;")=0,"",SUMIFS(全馬データ!$K$2:$K$50000,全馬データ!$A$2:$A$50000,A635,全馬データ!$B$2:$B$50000,B635,全馬データ!$C$2:$C$50000,C635,全馬データ!$D$2:$D$50000,E635)))</f>
        <v/>
      </c>
      <c r="AP635" s="8" t="str">
        <f aca="false">IF(A635="","",IF(AO635="","欠損",IF(AO635&lt;=1.1,"1.0～1.1",IF(AO635&lt;1.3,"1.2",IF(AO635&lt;1.5,"1.3～1.4",IF(AO635&lt;2,"1.5～1.9","2.0以上"))))))</f>
        <v>欠損</v>
      </c>
      <c r="AQ635" s="8" t="str">
        <f aca="false">IF(A635="","",IF(ISNUMBER(SEARCH("2歳",Z635)),"2歳戦",IF(ISNUMBER(SEARCH("3歳未勝利",Z635)),"3歳未勝利",IF(ISNUMBER(SEARCH("未勝利",Z635)),"その他未勝利",IF(ISNUMBER(SEARCH("G1",Z635)),"G1",IF(ISNUMBER(SEARCH("G2",Z635)),"G2",IF(ISNUMBER(SEARCH("G3",Z635)),"G3",IF(ISNUMBER(SEARCH("古馬条件",Z635)),"古馬条件戦",IF(ISNUMBER(SEARCH("重賞",Z635)),"重賞","分類不能")))))))))</f>
        <v>分類不能</v>
      </c>
      <c r="AR635" s="8"/>
      <c r="AS635" s="8" t="s">
        <v>7842</v>
      </c>
      <c r="AT635" s="8" t="s">
        <v>7843</v>
      </c>
      <c r="AU635" s="8" t="s">
        <v>7628</v>
      </c>
      <c r="AV635" s="8" t="s">
        <v>7629</v>
      </c>
      <c r="AW635" s="8"/>
      <c r="AX635" s="8"/>
      <c r="AY635" s="8" t="s">
        <v>7602</v>
      </c>
      <c r="AZ635" s="4" t="s">
        <v>7603</v>
      </c>
      <c r="BA635" s="8" t="n">
        <v>1800</v>
      </c>
      <c r="BB635" s="8" t="s">
        <v>7598</v>
      </c>
      <c r="BC635" s="4" t="s">
        <v>7604</v>
      </c>
      <c r="BD635" s="8" t="s">
        <v>7605</v>
      </c>
      <c r="BE635" s="4" t="s">
        <v>7606</v>
      </c>
      <c r="BF635" s="8" t="s">
        <v>7607</v>
      </c>
      <c r="BG635" s="8" t="s">
        <v>7631</v>
      </c>
      <c r="BH635" s="4" t="s">
        <v>7632</v>
      </c>
      <c r="BI635" s="8" t="n">
        <v>11</v>
      </c>
      <c r="BJ635" s="8" t="s">
        <v>7610</v>
      </c>
      <c r="BK635" s="4" t="s">
        <v>7611</v>
      </c>
      <c r="BL635" s="8" t="s">
        <v>7602</v>
      </c>
      <c r="BM635" s="4" t="s">
        <v>7620</v>
      </c>
      <c r="BN635" s="8" t="s">
        <v>7636</v>
      </c>
      <c r="BO635" s="8" t="s">
        <v>7804</v>
      </c>
      <c r="BP635" s="8" t="s">
        <v>7602</v>
      </c>
      <c r="BQ635" s="8" t="str">
        <f aca="false">IF(A635="","",AT635)</f>
        <v>4歳以上</v>
      </c>
      <c r="BR635" s="8" t="str">
        <f aca="false">IF(A635="","",IF(BA635&lt;=1200,"～1200",IF(BA635&lt;=1500,"1300～1500",IF(BA635=1600,"1600",IF(BA635&lt;=1800,"1700～1800",IF(BA635&lt;=2000,"1900～2000","2100以上"))))))</f>
        <v>1700～1800</v>
      </c>
      <c r="BS635" s="8" t="str">
        <f aca="false">IF(A635="","",IF(AX635="G1","G1",IF(AX635="G2","G2",IF(AX635="G3","G3",IF(AX635="L","L","その他")))))</f>
        <v>その他</v>
      </c>
      <c r="BT635" s="8" t="str">
        <f aca="false">IF(A635="","",IF(BI635="","未結合",IF(D635=BI635,"一致","不一致")))</f>
        <v>一致</v>
      </c>
      <c r="BU635" s="8" t="str">
        <f aca="false">IF(A635="","",IF(BE635="牝馬限定","牝馬限定","その他"))</f>
        <v>その他</v>
      </c>
    </row>
    <row r="636" customFormat="false" ht="15.75" hidden="false" customHeight="false" outlineLevel="0" collapsed="false">
      <c r="A636" s="6" t="n">
        <v>46173</v>
      </c>
      <c r="B636" s="4" t="s">
        <v>4473</v>
      </c>
      <c r="C636" s="8" t="n">
        <v>7</v>
      </c>
      <c r="D636" s="8" t="n">
        <v>16</v>
      </c>
      <c r="E636" s="8" t="n">
        <v>5</v>
      </c>
      <c r="F636" s="4" t="s">
        <v>6021</v>
      </c>
      <c r="G636" s="8" t="n">
        <v>62</v>
      </c>
      <c r="H636" s="8" t="n">
        <v>13</v>
      </c>
      <c r="I636" s="4" t="s">
        <v>4722</v>
      </c>
      <c r="J636" s="8" t="n">
        <v>44</v>
      </c>
      <c r="K636" s="8" t="n">
        <v>11</v>
      </c>
      <c r="L636" s="4" t="s">
        <v>6026</v>
      </c>
      <c r="M636" s="8" t="n">
        <v>37</v>
      </c>
      <c r="N636" s="8" t="n">
        <f aca="false">IF(A636="","",G636-J636)</f>
        <v>18</v>
      </c>
      <c r="O636" s="8" t="n">
        <f aca="false">IF(A636="","",J636-M636)</f>
        <v>7</v>
      </c>
      <c r="P636" s="8" t="n">
        <f aca="false">IF(A636="","",G636+J636)</f>
        <v>106</v>
      </c>
      <c r="Q636" s="8" t="str">
        <f aca="false">IF(A636="","",IF(AND(Y636&lt;&gt;"参考",G636&gt;=ルール設定!$B$2),"○",""))</f>
        <v/>
      </c>
      <c r="R636" s="8" t="str">
        <f aca="false">IF(A636="","",IF(AND(Y636&lt;&gt;"参考",G636&gt;=ルール設定!$B$3,N636&gt;=ルール設定!$B$4),"○",""))</f>
        <v/>
      </c>
      <c r="S636" s="8" t="str">
        <f aca="false">IF(A636="","",IF(AND(Y636&lt;&gt;"参考",G636&gt;=ルール設定!$B$5,J636&gt;=ルール設定!$B$6,O636&gt;=ルール設定!$B$7),"○",""))</f>
        <v/>
      </c>
      <c r="T636" s="8" t="n">
        <v>4</v>
      </c>
      <c r="U636" s="8" t="n">
        <v>4</v>
      </c>
      <c r="V636" s="8" t="str">
        <f aca="false">IF(A636="","",IF(AND(ISNUMBER(T636),ISNUMBER(U636)),IF(AND(T636&lt;=3,U636&lt;=3),"○","×"),""))</f>
        <v>×</v>
      </c>
      <c r="W636" s="8"/>
      <c r="X636" s="8"/>
      <c r="Y636" s="4" t="s">
        <v>7597</v>
      </c>
      <c r="Z636" s="4" t="s">
        <v>7841</v>
      </c>
      <c r="AA636" s="8" t="str">
        <v/>
      </c>
      <c r="AB636" s="8" t="str">
        <v/>
      </c>
      <c r="AC636" s="8" t="str">
        <v/>
      </c>
      <c r="AD636" s="8" t="str">
        <v/>
      </c>
      <c r="AE636" s="8" t="str">
        <v/>
      </c>
      <c r="AF636" s="8" t="str">
        <v/>
      </c>
      <c r="AG636" s="8" t="str">
        <v/>
      </c>
      <c r="AH636" s="8" t="str">
        <v/>
      </c>
      <c r="AI636" s="8" t="n">
        <v>25</v>
      </c>
      <c r="AJ636" s="8" t="str">
        <v>60～69</v>
      </c>
      <c r="AK636" s="8" t="str">
        <v>10～19</v>
      </c>
      <c r="AL636" s="8" t="str">
        <v>20～29</v>
      </c>
      <c r="AM636" s="8" t="str">
        <v>100～119</v>
      </c>
      <c r="AN636" s="8" t="str">
        <v>15以上</v>
      </c>
      <c r="AO636" s="8" t="str">
        <f aca="false">IF(A636="","",IF(COUNTIFS(全馬データ!$A$2:$A$50000,A636,全馬データ!$B$2:$B$50000,B636,全馬データ!$C$2:$C$50000,C636,全馬データ!$D$2:$D$50000,E636,全馬データ!$K$2:$K$50000,"&lt;&gt;")=0,"",SUMIFS(全馬データ!$K$2:$K$50000,全馬データ!$A$2:$A$50000,A636,全馬データ!$B$2:$B$50000,B636,全馬データ!$C$2:$C$50000,C636,全馬データ!$D$2:$D$50000,E636)))</f>
        <v/>
      </c>
      <c r="AP636" s="8" t="str">
        <f aca="false">IF(A636="","",IF(AO636="","欠損",IF(AO636&lt;=1.1,"1.0～1.1",IF(AO636&lt;1.3,"1.2",IF(AO636&lt;1.5,"1.3～1.4",IF(AO636&lt;2,"1.5～1.9","2.0以上"))))))</f>
        <v>欠損</v>
      </c>
      <c r="AQ636" s="8" t="str">
        <f aca="false">IF(A636="","",IF(ISNUMBER(SEARCH("2歳",Z636)),"2歳戦",IF(ISNUMBER(SEARCH("3歳未勝利",Z636)),"3歳未勝利",IF(ISNUMBER(SEARCH("未勝利",Z636)),"その他未勝利",IF(ISNUMBER(SEARCH("G1",Z636)),"G1",IF(ISNUMBER(SEARCH("G2",Z636)),"G2",IF(ISNUMBER(SEARCH("G3",Z636)),"G3",IF(ISNUMBER(SEARCH("古馬条件",Z636)),"古馬条件戦",IF(ISNUMBER(SEARCH("重賞",Z636)),"重賞","分類不能")))))))))</f>
        <v>分類不能</v>
      </c>
      <c r="AR636" s="8"/>
      <c r="AS636" s="8" t="s">
        <v>7842</v>
      </c>
      <c r="AT636" s="8" t="s">
        <v>7843</v>
      </c>
      <c r="AU636" s="8" t="s">
        <v>7628</v>
      </c>
      <c r="AV636" s="8" t="s">
        <v>7629</v>
      </c>
      <c r="AW636" s="8"/>
      <c r="AX636" s="8"/>
      <c r="AY636" s="8" t="s">
        <v>7610</v>
      </c>
      <c r="AZ636" s="4" t="s">
        <v>7617</v>
      </c>
      <c r="BA636" s="8" t="n">
        <v>1400</v>
      </c>
      <c r="BB636" s="8" t="s">
        <v>7598</v>
      </c>
      <c r="BC636" s="4" t="s">
        <v>7604</v>
      </c>
      <c r="BD636" s="8" t="s">
        <v>7605</v>
      </c>
      <c r="BE636" s="4" t="s">
        <v>7606</v>
      </c>
      <c r="BF636" s="8" t="s">
        <v>7607</v>
      </c>
      <c r="BG636" s="8" t="s">
        <v>7631</v>
      </c>
      <c r="BH636" s="4" t="s">
        <v>7632</v>
      </c>
      <c r="BI636" s="8" t="n">
        <v>16</v>
      </c>
      <c r="BJ636" s="8" t="s">
        <v>7610</v>
      </c>
      <c r="BK636" s="4" t="s">
        <v>7611</v>
      </c>
      <c r="BL636" s="8" t="s">
        <v>7602</v>
      </c>
      <c r="BM636" s="4" t="s">
        <v>7620</v>
      </c>
      <c r="BN636" s="8"/>
      <c r="BO636" s="8"/>
      <c r="BP636" s="8" t="s">
        <v>7602</v>
      </c>
      <c r="BQ636" s="8" t="str">
        <f aca="false">IF(A636="","",AT636)</f>
        <v>4歳以上</v>
      </c>
      <c r="BR636" s="8" t="str">
        <f aca="false">IF(A636="","",IF(BA636&lt;=1200,"～1200",IF(BA636&lt;=1500,"1300～1500",IF(BA636=1600,"1600",IF(BA636&lt;=1800,"1700～1800",IF(BA636&lt;=2000,"1900～2000","2100以上"))))))</f>
        <v>1300～1500</v>
      </c>
      <c r="BS636" s="8" t="str">
        <f aca="false">IF(A636="","",IF(AX636="G1","G1",IF(AX636="G2","G2",IF(AX636="G3","G3",IF(AX636="L","L","その他")))))</f>
        <v>その他</v>
      </c>
      <c r="BT636" s="8" t="str">
        <f aca="false">IF(A636="","",IF(BI636="","未結合",IF(D636=BI636,"一致","不一致")))</f>
        <v>一致</v>
      </c>
      <c r="BU636" s="8" t="str">
        <f aca="false">IF(A636="","",IF(BE636="牝馬限定","牝馬限定","その他"))</f>
        <v>その他</v>
      </c>
    </row>
    <row r="637" customFormat="false" ht="15.75" hidden="false" customHeight="false" outlineLevel="0" collapsed="false">
      <c r="A637" s="6" t="n">
        <v>46173</v>
      </c>
      <c r="B637" s="4" t="s">
        <v>4473</v>
      </c>
      <c r="C637" s="8" t="n">
        <v>8</v>
      </c>
      <c r="D637" s="8" t="n">
        <v>14</v>
      </c>
      <c r="E637" s="8" t="n">
        <v>4</v>
      </c>
      <c r="F637" s="4" t="s">
        <v>6032</v>
      </c>
      <c r="G637" s="8" t="n">
        <v>52</v>
      </c>
      <c r="H637" s="8" t="n">
        <v>11</v>
      </c>
      <c r="I637" s="4" t="s">
        <v>1515</v>
      </c>
      <c r="J637" s="8" t="n">
        <v>52</v>
      </c>
      <c r="K637" s="8" t="n">
        <v>6</v>
      </c>
      <c r="L637" s="4" t="s">
        <v>6033</v>
      </c>
      <c r="M637" s="8" t="n">
        <v>41</v>
      </c>
      <c r="N637" s="8" t="n">
        <f aca="false">IF(A637="","",G637-J637)</f>
        <v>0</v>
      </c>
      <c r="O637" s="8" t="n">
        <f aca="false">IF(A637="","",J637-M637)</f>
        <v>11</v>
      </c>
      <c r="P637" s="8" t="n">
        <f aca="false">IF(A637="","",G637+J637)</f>
        <v>104</v>
      </c>
      <c r="Q637" s="8" t="str">
        <f aca="false">IF(A637="","",IF(AND(Y637&lt;&gt;"参考",G637&gt;=ルール設定!$B$2),"○",""))</f>
        <v/>
      </c>
      <c r="R637" s="8" t="str">
        <f aca="false">IF(A637="","",IF(AND(Y637&lt;&gt;"参考",G637&gt;=ルール設定!$B$3,N637&gt;=ルール設定!$B$4),"○",""))</f>
        <v/>
      </c>
      <c r="S637" s="8" t="str">
        <f aca="false">IF(A637="","",IF(AND(Y637&lt;&gt;"参考",G637&gt;=ルール設定!$B$5,J637&gt;=ルール設定!$B$6,O637&gt;=ルール設定!$B$7),"○",""))</f>
        <v/>
      </c>
      <c r="T637" s="8" t="n">
        <v>3</v>
      </c>
      <c r="U637" s="8" t="n">
        <v>4</v>
      </c>
      <c r="V637" s="8" t="str">
        <f aca="false">IF(A637="","",IF(AND(ISNUMBER(T637),ISNUMBER(U637)),IF(AND(T637&lt;=3,U637&lt;=3),"○","×"),""))</f>
        <v>×</v>
      </c>
      <c r="W637" s="8" t="n">
        <v>170</v>
      </c>
      <c r="X637" s="8"/>
      <c r="Y637" s="4" t="s">
        <v>7597</v>
      </c>
      <c r="Z637" s="4" t="s">
        <v>7841</v>
      </c>
      <c r="AA637" s="8" t="str">
        <v/>
      </c>
      <c r="AB637" s="8" t="str">
        <v/>
      </c>
      <c r="AC637" s="8" t="str">
        <v/>
      </c>
      <c r="AD637" s="8" t="str">
        <v/>
      </c>
      <c r="AE637" s="8" t="str">
        <v/>
      </c>
      <c r="AF637" s="8" t="str">
        <v/>
      </c>
      <c r="AG637" s="8" t="str">
        <v/>
      </c>
      <c r="AH637" s="8" t="str">
        <v/>
      </c>
      <c r="AI637" s="8" t="n">
        <v>11</v>
      </c>
      <c r="AJ637" s="8" t="str">
        <v>～59</v>
      </c>
      <c r="AK637" s="8" t="str">
        <v>0～4</v>
      </c>
      <c r="AL637" s="8" t="str">
        <v>10～19</v>
      </c>
      <c r="AM637" s="8" t="str">
        <v>100～119</v>
      </c>
      <c r="AN637" s="8" t="str">
        <v>12～14</v>
      </c>
      <c r="AO637" s="8" t="str">
        <f aca="false">IF(A637="","",IF(COUNTIFS(全馬データ!$A$2:$A$50000,A637,全馬データ!$B$2:$B$50000,B637,全馬データ!$C$2:$C$50000,C637,全馬データ!$D$2:$D$50000,E637,全馬データ!$K$2:$K$50000,"&lt;&gt;")=0,"",SUMIFS(全馬データ!$K$2:$K$50000,全馬データ!$A$2:$A$50000,A637,全馬データ!$B$2:$B$50000,B637,全馬データ!$C$2:$C$50000,C637,全馬データ!$D$2:$D$50000,E637)))</f>
        <v/>
      </c>
      <c r="AP637" s="8" t="str">
        <f aca="false">IF(A637="","",IF(AO637="","欠損",IF(AO637&lt;=1.1,"1.0～1.1",IF(AO637&lt;1.3,"1.2",IF(AO637&lt;1.5,"1.3～1.4",IF(AO637&lt;2,"1.5～1.9","2.0以上"))))))</f>
        <v>欠損</v>
      </c>
      <c r="AQ637" s="8" t="str">
        <f aca="false">IF(A637="","",IF(ISNUMBER(SEARCH("2歳",Z637)),"2歳戦",IF(ISNUMBER(SEARCH("3歳未勝利",Z637)),"3歳未勝利",IF(ISNUMBER(SEARCH("未勝利",Z637)),"その他未勝利",IF(ISNUMBER(SEARCH("G1",Z637)),"G1",IF(ISNUMBER(SEARCH("G2",Z637)),"G2",IF(ISNUMBER(SEARCH("G3",Z637)),"G3",IF(ISNUMBER(SEARCH("古馬条件",Z637)),"古馬条件戦",IF(ISNUMBER(SEARCH("重賞",Z637)),"重賞","分類不能")))))))))</f>
        <v>分類不能</v>
      </c>
      <c r="AR637" s="4" t="s">
        <v>7874</v>
      </c>
      <c r="AS637" s="8" t="s">
        <v>7842</v>
      </c>
      <c r="AT637" s="8" t="s">
        <v>7843</v>
      </c>
      <c r="AU637" s="8" t="s">
        <v>7634</v>
      </c>
      <c r="AV637" s="8" t="s">
        <v>7635</v>
      </c>
      <c r="AW637" s="8" t="s">
        <v>7636</v>
      </c>
      <c r="AX637" s="4" t="s">
        <v>7637</v>
      </c>
      <c r="AY637" s="8" t="s">
        <v>7602</v>
      </c>
      <c r="AZ637" s="4" t="s">
        <v>7603</v>
      </c>
      <c r="BA637" s="8" t="n">
        <v>2400</v>
      </c>
      <c r="BB637" s="8" t="s">
        <v>7598</v>
      </c>
      <c r="BC637" s="4" t="s">
        <v>7604</v>
      </c>
      <c r="BD637" s="8" t="s">
        <v>7605</v>
      </c>
      <c r="BE637" s="4" t="s">
        <v>7606</v>
      </c>
      <c r="BF637" s="8" t="s">
        <v>7607</v>
      </c>
      <c r="BG637" s="8" t="s">
        <v>7631</v>
      </c>
      <c r="BH637" s="4" t="s">
        <v>7632</v>
      </c>
      <c r="BI637" s="8" t="n">
        <v>14</v>
      </c>
      <c r="BJ637" s="8" t="s">
        <v>7610</v>
      </c>
      <c r="BK637" s="4" t="s">
        <v>7611</v>
      </c>
      <c r="BL637" s="8" t="s">
        <v>7602</v>
      </c>
      <c r="BM637" s="4" t="s">
        <v>7620</v>
      </c>
      <c r="BN637" s="8" t="s">
        <v>7636</v>
      </c>
      <c r="BO637" s="8" t="s">
        <v>7804</v>
      </c>
      <c r="BP637" s="8" t="s">
        <v>7602</v>
      </c>
      <c r="BQ637" s="8" t="str">
        <f aca="false">IF(A637="","",AT637)</f>
        <v>4歳以上</v>
      </c>
      <c r="BR637" s="8" t="str">
        <f aca="false">IF(A637="","",IF(BA637&lt;=1200,"～1200",IF(BA637&lt;=1500,"1300～1500",IF(BA637=1600,"1600",IF(BA637&lt;=1800,"1700～1800",IF(BA637&lt;=2000,"1900～2000","2100以上"))))))</f>
        <v>2100以上</v>
      </c>
      <c r="BS637" s="8" t="str">
        <f aca="false">IF(A637="","",IF(AX637="G1","G1",IF(AX637="G2","G2",IF(AX637="G3","G3",IF(AX637="L","L","その他")))))</f>
        <v>その他</v>
      </c>
      <c r="BT637" s="8" t="str">
        <f aca="false">IF(A637="","",IF(BI637="","未結合",IF(D637=BI637,"一致","不一致")))</f>
        <v>一致</v>
      </c>
      <c r="BU637" s="8" t="str">
        <f aca="false">IF(A637="","",IF(BE637="牝馬限定","牝馬限定","その他"))</f>
        <v>その他</v>
      </c>
    </row>
    <row r="638" customFormat="false" ht="15.75" hidden="false" customHeight="false" outlineLevel="0" collapsed="false">
      <c r="A638" s="6" t="n">
        <v>46173</v>
      </c>
      <c r="B638" s="4" t="s">
        <v>4473</v>
      </c>
      <c r="C638" s="8" t="n">
        <v>9</v>
      </c>
      <c r="D638" s="8" t="n">
        <v>15</v>
      </c>
      <c r="E638" s="8" t="n">
        <v>14</v>
      </c>
      <c r="F638" s="4" t="s">
        <v>708</v>
      </c>
      <c r="G638" s="8" t="n">
        <v>74</v>
      </c>
      <c r="H638" s="8" t="n">
        <v>13</v>
      </c>
      <c r="I638" s="4" t="s">
        <v>6045</v>
      </c>
      <c r="J638" s="8" t="n">
        <v>50</v>
      </c>
      <c r="K638" s="8" t="n">
        <v>8</v>
      </c>
      <c r="L638" s="4" t="s">
        <v>6043</v>
      </c>
      <c r="M638" s="8" t="n">
        <v>39</v>
      </c>
      <c r="N638" s="8" t="n">
        <f aca="false">IF(A638="","",G638-J638)</f>
        <v>24</v>
      </c>
      <c r="O638" s="8" t="n">
        <f aca="false">IF(A638="","",J638-M638)</f>
        <v>11</v>
      </c>
      <c r="P638" s="8" t="n">
        <f aca="false">IF(A638="","",G638+J638)</f>
        <v>124</v>
      </c>
      <c r="Q638" s="8" t="str">
        <f aca="false">IF(A638="","",IF(AND(Y638&lt;&gt;"参考",G638&gt;=ルール設定!$B$2),"○",""))</f>
        <v/>
      </c>
      <c r="R638" s="8" t="str">
        <f aca="false">IF(A638="","",IF(AND(Y638&lt;&gt;"参考",G638&gt;=ルール設定!$B$3,N638&gt;=ルール設定!$B$4),"○",""))</f>
        <v/>
      </c>
      <c r="S638" s="8" t="str">
        <f aca="false">IF(A638="","",IF(AND(Y638&lt;&gt;"参考",G638&gt;=ルール設定!$B$5,J638&gt;=ルール設定!$B$6,O638&gt;=ルール設定!$B$7),"○",""))</f>
        <v/>
      </c>
      <c r="T638" s="8" t="n">
        <v>1</v>
      </c>
      <c r="U638" s="8" t="n">
        <v>4</v>
      </c>
      <c r="V638" s="8" t="str">
        <f aca="false">IF(A638="","",IF(AND(ISNUMBER(T638),ISNUMBER(U638)),IF(AND(T638&lt;=3,U638&lt;=3),"○","×"),""))</f>
        <v>×</v>
      </c>
      <c r="W638" s="8" t="n">
        <v>140</v>
      </c>
      <c r="X638" s="8"/>
      <c r="Y638" s="4" t="s">
        <v>7597</v>
      </c>
      <c r="Z638" s="4" t="s">
        <v>7841</v>
      </c>
      <c r="AA638" s="8" t="str">
        <v/>
      </c>
      <c r="AB638" s="8" t="str">
        <v/>
      </c>
      <c r="AC638" s="8" t="str">
        <v/>
      </c>
      <c r="AD638" s="8" t="str">
        <v/>
      </c>
      <c r="AE638" s="8" t="str">
        <v/>
      </c>
      <c r="AF638" s="8" t="str">
        <v/>
      </c>
      <c r="AG638" s="8" t="str">
        <v/>
      </c>
      <c r="AH638" s="8" t="str">
        <v/>
      </c>
      <c r="AI638" s="8" t="n">
        <v>35</v>
      </c>
      <c r="AJ638" s="8" t="str">
        <v>70～74</v>
      </c>
      <c r="AK638" s="8" t="str">
        <v>20～29</v>
      </c>
      <c r="AL638" s="8" t="str">
        <v>30～39</v>
      </c>
      <c r="AM638" s="8" t="str">
        <v>120～139</v>
      </c>
      <c r="AN638" s="8" t="str">
        <v>15以上</v>
      </c>
      <c r="AO638" s="8" t="str">
        <f aca="false">IF(A638="","",IF(COUNTIFS(全馬データ!$A$2:$A$50000,A638,全馬データ!$B$2:$B$50000,B638,全馬データ!$C$2:$C$50000,C638,全馬データ!$D$2:$D$50000,E638,全馬データ!$K$2:$K$50000,"&lt;&gt;")=0,"",SUMIFS(全馬データ!$K$2:$K$50000,全馬データ!$A$2:$A$50000,A638,全馬データ!$B$2:$B$50000,B638,全馬データ!$C$2:$C$50000,C638,全馬データ!$D$2:$D$50000,E638)))</f>
        <v/>
      </c>
      <c r="AP638" s="8" t="str">
        <f aca="false">IF(A638="","",IF(AO638="","欠損",IF(AO638&lt;=1.1,"1.0～1.1",IF(AO638&lt;1.3,"1.2",IF(AO638&lt;1.5,"1.3～1.4",IF(AO638&lt;2,"1.5～1.9","2.0以上"))))))</f>
        <v>欠損</v>
      </c>
      <c r="AQ638" s="8" t="str">
        <f aca="false">IF(A638="","",IF(ISNUMBER(SEARCH("2歳",Z638)),"2歳戦",IF(ISNUMBER(SEARCH("3歳未勝利",Z638)),"3歳未勝利",IF(ISNUMBER(SEARCH("未勝利",Z638)),"その他未勝利",IF(ISNUMBER(SEARCH("G1",Z638)),"G1",IF(ISNUMBER(SEARCH("G2",Z638)),"G2",IF(ISNUMBER(SEARCH("G3",Z638)),"G3",IF(ISNUMBER(SEARCH("古馬条件",Z638)),"古馬条件戦",IF(ISNUMBER(SEARCH("重賞",Z638)),"重賞","分類不能")))))))))</f>
        <v>分類不能</v>
      </c>
      <c r="AR638" s="4" t="s">
        <v>7875</v>
      </c>
      <c r="AS638" s="8" t="s">
        <v>7842</v>
      </c>
      <c r="AT638" s="8" t="s">
        <v>7843</v>
      </c>
      <c r="AU638" s="8" t="s">
        <v>7639</v>
      </c>
      <c r="AV638" s="8" t="s">
        <v>7640</v>
      </c>
      <c r="AW638" s="8" t="s">
        <v>7636</v>
      </c>
      <c r="AX638" s="4" t="s">
        <v>7637</v>
      </c>
      <c r="AY638" s="8" t="s">
        <v>7610</v>
      </c>
      <c r="AZ638" s="4" t="s">
        <v>7617</v>
      </c>
      <c r="BA638" s="8" t="n">
        <v>1600</v>
      </c>
      <c r="BB638" s="8" t="s">
        <v>7598</v>
      </c>
      <c r="BC638" s="4" t="s">
        <v>7604</v>
      </c>
      <c r="BD638" s="8" t="s">
        <v>7605</v>
      </c>
      <c r="BE638" s="4" t="s">
        <v>7606</v>
      </c>
      <c r="BF638" s="8" t="s">
        <v>7607</v>
      </c>
      <c r="BG638" s="8" t="s">
        <v>7631</v>
      </c>
      <c r="BH638" s="4" t="s">
        <v>7632</v>
      </c>
      <c r="BI638" s="8" t="n">
        <v>15</v>
      </c>
      <c r="BJ638" s="8" t="s">
        <v>7610</v>
      </c>
      <c r="BK638" s="4" t="s">
        <v>7611</v>
      </c>
      <c r="BL638" s="8" t="s">
        <v>7602</v>
      </c>
      <c r="BM638" s="4" t="s">
        <v>7620</v>
      </c>
      <c r="BN638" s="8"/>
      <c r="BO638" s="8"/>
      <c r="BP638" s="8" t="s">
        <v>7602</v>
      </c>
      <c r="BQ638" s="8" t="str">
        <f aca="false">IF(A638="","",AT638)</f>
        <v>4歳以上</v>
      </c>
      <c r="BR638" s="8" t="str">
        <f aca="false">IF(A638="","",IF(BA638&lt;=1200,"～1200",IF(BA638&lt;=1500,"1300～1500",IF(BA638=1600,"1600",IF(BA638&lt;=1800,"1700～1800",IF(BA638&lt;=2000,"1900～2000","2100以上"))))))</f>
        <v>1600</v>
      </c>
      <c r="BS638" s="8" t="str">
        <f aca="false">IF(A638="","",IF(AX638="G1","G1",IF(AX638="G2","G2",IF(AX638="G3","G3",IF(AX638="L","L","その他")))))</f>
        <v>その他</v>
      </c>
      <c r="BT638" s="8" t="str">
        <f aca="false">IF(A638="","",IF(BI638="","未結合",IF(D638=BI638,"一致","不一致")))</f>
        <v>一致</v>
      </c>
      <c r="BU638" s="8" t="str">
        <f aca="false">IF(A638="","",IF(BE638="牝馬限定","牝馬限定","その他"))</f>
        <v>その他</v>
      </c>
    </row>
    <row r="639" customFormat="false" ht="15.75" hidden="false" customHeight="false" outlineLevel="0" collapsed="false">
      <c r="A639" s="6" t="n">
        <v>46173</v>
      </c>
      <c r="B639" s="4" t="s">
        <v>4473</v>
      </c>
      <c r="C639" s="8" t="n">
        <v>10</v>
      </c>
      <c r="D639" s="8" t="n">
        <v>18</v>
      </c>
      <c r="E639" s="8" t="n">
        <v>10</v>
      </c>
      <c r="F639" s="4" t="s">
        <v>6051</v>
      </c>
      <c r="G639" s="8" t="n">
        <v>50</v>
      </c>
      <c r="H639" s="8" t="n">
        <v>5</v>
      </c>
      <c r="I639" s="4" t="s">
        <v>6050</v>
      </c>
      <c r="J639" s="8" t="n">
        <v>44</v>
      </c>
      <c r="K639" s="8" t="n">
        <v>18</v>
      </c>
      <c r="L639" s="4" t="s">
        <v>2914</v>
      </c>
      <c r="M639" s="8" t="n">
        <v>44</v>
      </c>
      <c r="N639" s="8" t="n">
        <f aca="false">IF(A639="","",G639-J639)</f>
        <v>6</v>
      </c>
      <c r="O639" s="8" t="n">
        <f aca="false">IF(A639="","",J639-M639)</f>
        <v>0</v>
      </c>
      <c r="P639" s="8" t="n">
        <f aca="false">IF(A639="","",G639+J639)</f>
        <v>94</v>
      </c>
      <c r="Q639" s="8" t="str">
        <f aca="false">IF(A639="","",IF(AND(Y639&lt;&gt;"参考",G639&gt;=ルール設定!$B$2),"○",""))</f>
        <v/>
      </c>
      <c r="R639" s="8" t="str">
        <f aca="false">IF(A639="","",IF(AND(Y639&lt;&gt;"参考",G639&gt;=ルール設定!$B$3,N639&gt;=ルール設定!$B$4),"○",""))</f>
        <v/>
      </c>
      <c r="S639" s="8" t="str">
        <f aca="false">IF(A639="","",IF(AND(Y639&lt;&gt;"参考",G639&gt;=ルール設定!$B$5,J639&gt;=ルール設定!$B$6,O639&gt;=ルール設定!$B$7),"○",""))</f>
        <v/>
      </c>
      <c r="T639" s="8" t="n">
        <v>2</v>
      </c>
      <c r="U639" s="8"/>
      <c r="V639" s="8" t="str">
        <f aca="false">IF(A639="","",IF(AND(ISNUMBER(T639),ISNUMBER(U639)),IF(AND(T639&lt;=3,U639&lt;=3),"○","×"),""))</f>
        <v/>
      </c>
      <c r="W639" s="8" t="n">
        <v>120</v>
      </c>
      <c r="X639" s="8"/>
      <c r="Y639" s="4" t="s">
        <v>7597</v>
      </c>
      <c r="Z639" s="4" t="s">
        <v>7841</v>
      </c>
      <c r="AA639" s="8" t="str">
        <v/>
      </c>
      <c r="AB639" s="8" t="str">
        <v/>
      </c>
      <c r="AC639" s="8" t="str">
        <v/>
      </c>
      <c r="AD639" s="8" t="str">
        <v/>
      </c>
      <c r="AE639" s="8" t="str">
        <v/>
      </c>
      <c r="AF639" s="8" t="str">
        <v/>
      </c>
      <c r="AG639" s="8" t="str">
        <v/>
      </c>
      <c r="AH639" s="8" t="str">
        <v/>
      </c>
      <c r="AI639" s="8" t="n">
        <v>6</v>
      </c>
      <c r="AJ639" s="8" t="str">
        <v>～59</v>
      </c>
      <c r="AK639" s="8" t="str">
        <v>5～9</v>
      </c>
      <c r="AL639" s="8" t="str">
        <v>0～9</v>
      </c>
      <c r="AM639" s="8" t="str">
        <v>～99</v>
      </c>
      <c r="AN639" s="8" t="str">
        <v>15以上</v>
      </c>
      <c r="AO639" s="8" t="str">
        <f aca="false">IF(A639="","",IF(COUNTIFS(全馬データ!$A$2:$A$50000,A639,全馬データ!$B$2:$B$50000,B639,全馬データ!$C$2:$C$50000,C639,全馬データ!$D$2:$D$50000,E639,全馬データ!$K$2:$K$50000,"&lt;&gt;")=0,"",SUMIFS(全馬データ!$K$2:$K$50000,全馬データ!$A$2:$A$50000,A639,全馬データ!$B$2:$B$50000,B639,全馬データ!$C$2:$C$50000,C639,全馬データ!$D$2:$D$50000,E639)))</f>
        <v/>
      </c>
      <c r="AP639" s="8" t="str">
        <f aca="false">IF(A639="","",IF(AO639="","欠損",IF(AO639&lt;=1.1,"1.0～1.1",IF(AO639&lt;1.3,"1.2",IF(AO639&lt;1.5,"1.3～1.4",IF(AO639&lt;2,"1.5～1.9","2.0以上"))))))</f>
        <v>欠損</v>
      </c>
      <c r="AQ639" s="8" t="str">
        <f aca="false">IF(A639="","",IF(ISNUMBER(SEARCH("2歳",Z639)),"2歳戦",IF(ISNUMBER(SEARCH("3歳未勝利",Z639)),"3歳未勝利",IF(ISNUMBER(SEARCH("未勝利",Z639)),"その他未勝利",IF(ISNUMBER(SEARCH("G1",Z639)),"G1",IF(ISNUMBER(SEARCH("G2",Z639)),"G2",IF(ISNUMBER(SEARCH("G3",Z639)),"G3",IF(ISNUMBER(SEARCH("古馬条件",Z639)),"古馬条件戦",IF(ISNUMBER(SEARCH("重賞",Z639)),"重賞","分類不能")))))))))</f>
        <v>分類不能</v>
      </c>
      <c r="AR639" s="4" t="s">
        <v>7876</v>
      </c>
      <c r="AS639" s="8" t="s">
        <v>7842</v>
      </c>
      <c r="AT639" s="8" t="s">
        <v>7843</v>
      </c>
      <c r="AU639" s="8" t="s">
        <v>7639</v>
      </c>
      <c r="AV639" s="8" t="s">
        <v>7640</v>
      </c>
      <c r="AW639" s="8" t="s">
        <v>7636</v>
      </c>
      <c r="AX639" s="4" t="s">
        <v>7637</v>
      </c>
      <c r="AY639" s="8" t="s">
        <v>7602</v>
      </c>
      <c r="AZ639" s="4" t="s">
        <v>7603</v>
      </c>
      <c r="BA639" s="8" t="n">
        <v>1800</v>
      </c>
      <c r="BB639" s="8" t="s">
        <v>7598</v>
      </c>
      <c r="BC639" s="4" t="s">
        <v>7604</v>
      </c>
      <c r="BD639" s="8" t="s">
        <v>7605</v>
      </c>
      <c r="BE639" s="4" t="s">
        <v>7606</v>
      </c>
      <c r="BF639" s="8" t="s">
        <v>7607</v>
      </c>
      <c r="BG639" s="8" t="s">
        <v>7602</v>
      </c>
      <c r="BH639" s="4" t="s">
        <v>7667</v>
      </c>
      <c r="BI639" s="8" t="n">
        <v>18</v>
      </c>
      <c r="BJ639" s="8" t="s">
        <v>7610</v>
      </c>
      <c r="BK639" s="4" t="s">
        <v>7611</v>
      </c>
      <c r="BL639" s="8" t="s">
        <v>7602</v>
      </c>
      <c r="BM639" s="4" t="s">
        <v>7620</v>
      </c>
      <c r="BN639" s="8" t="s">
        <v>7636</v>
      </c>
      <c r="BO639" s="8" t="s">
        <v>7804</v>
      </c>
      <c r="BP639" s="8" t="s">
        <v>7602</v>
      </c>
      <c r="BQ639" s="8" t="str">
        <f aca="false">IF(A639="","",AT639)</f>
        <v>4歳以上</v>
      </c>
      <c r="BR639" s="8" t="str">
        <f aca="false">IF(A639="","",IF(BA639&lt;=1200,"～1200",IF(BA639&lt;=1500,"1300～1500",IF(BA639=1600,"1600",IF(BA639&lt;=1800,"1700～1800",IF(BA639&lt;=2000,"1900～2000","2100以上"))))))</f>
        <v>1700～1800</v>
      </c>
      <c r="BS639" s="8" t="str">
        <f aca="false">IF(A639="","",IF(AX639="G1","G1",IF(AX639="G2","G2",IF(AX639="G3","G3",IF(AX639="L","L","その他")))))</f>
        <v>その他</v>
      </c>
      <c r="BT639" s="8" t="str">
        <f aca="false">IF(A639="","",IF(BI639="","未結合",IF(D639=BI639,"一致","不一致")))</f>
        <v>一致</v>
      </c>
      <c r="BU639" s="8" t="str">
        <f aca="false">IF(A639="","",IF(BE639="牝馬限定","牝馬限定","その他"))</f>
        <v>その他</v>
      </c>
    </row>
    <row r="640" customFormat="false" ht="15.75" hidden="false" customHeight="false" outlineLevel="0" collapsed="false">
      <c r="A640" s="6" t="n">
        <v>46173</v>
      </c>
      <c r="B640" s="4" t="s">
        <v>4473</v>
      </c>
      <c r="C640" s="8" t="n">
        <v>11</v>
      </c>
      <c r="D640" s="8" t="n">
        <v>18</v>
      </c>
      <c r="E640" s="8" t="n">
        <v>17</v>
      </c>
      <c r="F640" s="4" t="s">
        <v>6073</v>
      </c>
      <c r="G640" s="8" t="n">
        <v>62</v>
      </c>
      <c r="H640" s="8" t="n">
        <v>11</v>
      </c>
      <c r="I640" s="4" t="s">
        <v>6067</v>
      </c>
      <c r="J640" s="8" t="n">
        <v>47</v>
      </c>
      <c r="K640" s="8" t="n">
        <v>14</v>
      </c>
      <c r="L640" s="4" t="s">
        <v>6070</v>
      </c>
      <c r="M640" s="8" t="n">
        <v>39</v>
      </c>
      <c r="N640" s="8" t="n">
        <f aca="false">IF(A640="","",G640-J640)</f>
        <v>15</v>
      </c>
      <c r="O640" s="8" t="n">
        <f aca="false">IF(A640="","",J640-M640)</f>
        <v>8</v>
      </c>
      <c r="P640" s="8" t="n">
        <f aca="false">IF(A640="","",G640+J640)</f>
        <v>109</v>
      </c>
      <c r="Q640" s="8" t="str">
        <f aca="false">IF(A640="","",IF(AND(Y640&lt;&gt;"参考",G640&gt;=ルール設定!$B$2),"○",""))</f>
        <v/>
      </c>
      <c r="R640" s="8" t="str">
        <f aca="false">IF(A640="","",IF(AND(Y640&lt;&gt;"参考",G640&gt;=ルール設定!$B$3,N640&gt;=ルール設定!$B$4),"○",""))</f>
        <v/>
      </c>
      <c r="S640" s="8" t="str">
        <f aca="false">IF(A640="","",IF(AND(Y640&lt;&gt;"参考",G640&gt;=ルール設定!$B$5,J640&gt;=ルール設定!$B$6,O640&gt;=ルール設定!$B$7),"○",""))</f>
        <v/>
      </c>
      <c r="T640" s="8" t="n">
        <v>1</v>
      </c>
      <c r="U640" s="8" t="n">
        <v>4</v>
      </c>
      <c r="V640" s="8" t="str">
        <f aca="false">IF(A640="","",IF(AND(ISNUMBER(T640),ISNUMBER(U640)),IF(AND(T640&lt;=3,U640&lt;=3),"○","×"),""))</f>
        <v>×</v>
      </c>
      <c r="W640" s="8" t="n">
        <v>130</v>
      </c>
      <c r="X640" s="8"/>
      <c r="Y640" s="4" t="s">
        <v>7597</v>
      </c>
      <c r="Z640" s="4" t="s">
        <v>7841</v>
      </c>
      <c r="AA640" s="8" t="str">
        <v/>
      </c>
      <c r="AB640" s="8" t="str">
        <v/>
      </c>
      <c r="AC640" s="8" t="str">
        <v/>
      </c>
      <c r="AD640" s="8" t="str">
        <v/>
      </c>
      <c r="AE640" s="8" t="str">
        <v/>
      </c>
      <c r="AF640" s="8" t="str">
        <v/>
      </c>
      <c r="AG640" s="8" t="str">
        <v/>
      </c>
      <c r="AH640" s="8" t="str">
        <v/>
      </c>
      <c r="AI640" s="8" t="n">
        <v>23</v>
      </c>
      <c r="AJ640" s="8" t="str">
        <v>60～69</v>
      </c>
      <c r="AK640" s="8" t="str">
        <v>10～19</v>
      </c>
      <c r="AL640" s="8" t="str">
        <v>20～29</v>
      </c>
      <c r="AM640" s="8" t="str">
        <v>100～119</v>
      </c>
      <c r="AN640" s="8" t="str">
        <v>15以上</v>
      </c>
      <c r="AO640" s="8" t="str">
        <f aca="false">IF(A640="","",IF(COUNTIFS(全馬データ!$A$2:$A$50000,A640,全馬データ!$B$2:$B$50000,B640,全馬データ!$C$2:$C$50000,C640,全馬データ!$D$2:$D$50000,E640,全馬データ!$K$2:$K$50000,"&lt;&gt;")=0,"",SUMIFS(全馬データ!$K$2:$K$50000,全馬データ!$A$2:$A$50000,A640,全馬データ!$B$2:$B$50000,B640,全馬データ!$C$2:$C$50000,C640,全馬データ!$D$2:$D$50000,E640)))</f>
        <v/>
      </c>
      <c r="AP640" s="8" t="str">
        <f aca="false">IF(A640="","",IF(AO640="","欠損",IF(AO640&lt;=1.1,"1.0～1.1",IF(AO640&lt;1.3,"1.2",IF(AO640&lt;1.5,"1.3～1.4",IF(AO640&lt;2,"1.5～1.9","2.0以上"))))))</f>
        <v>欠損</v>
      </c>
      <c r="AQ640" s="8" t="str">
        <f aca="false">IF(A640="","",IF(ISNUMBER(SEARCH("2歳",Z640)),"2歳戦",IF(ISNUMBER(SEARCH("3歳未勝利",Z640)),"3歳未勝利",IF(ISNUMBER(SEARCH("未勝利",Z640)),"その他未勝利",IF(ISNUMBER(SEARCH("G1",Z640)),"G1",IF(ISNUMBER(SEARCH("G2",Z640)),"G2",IF(ISNUMBER(SEARCH("G3",Z640)),"G3",IF(ISNUMBER(SEARCH("古馬条件",Z640)),"古馬条件戦",IF(ISNUMBER(SEARCH("重賞",Z640)),"重賞","分類不能")))))))))</f>
        <v>分類不能</v>
      </c>
      <c r="AR640" s="4" t="s">
        <v>7877</v>
      </c>
      <c r="AS640" s="8" t="s">
        <v>7623</v>
      </c>
      <c r="AT640" s="8" t="s">
        <v>7624</v>
      </c>
      <c r="AU640" s="8" t="s">
        <v>7643</v>
      </c>
      <c r="AV640" s="4" t="s">
        <v>7644</v>
      </c>
      <c r="AW640" s="8" t="s">
        <v>7602</v>
      </c>
      <c r="AX640" s="8" t="s">
        <v>7814</v>
      </c>
      <c r="AY640" s="8" t="s">
        <v>7602</v>
      </c>
      <c r="AZ640" s="4" t="s">
        <v>7603</v>
      </c>
      <c r="BA640" s="8" t="n">
        <v>2400</v>
      </c>
      <c r="BB640" s="8" t="s">
        <v>7598</v>
      </c>
      <c r="BC640" s="4" t="s">
        <v>7604</v>
      </c>
      <c r="BD640" s="8" t="s">
        <v>7878</v>
      </c>
      <c r="BE640" s="4" t="s">
        <v>7879</v>
      </c>
      <c r="BF640" s="8" t="s">
        <v>7607</v>
      </c>
      <c r="BG640" s="8" t="s">
        <v>7608</v>
      </c>
      <c r="BH640" s="4" t="s">
        <v>7609</v>
      </c>
      <c r="BI640" s="8" t="n">
        <v>18</v>
      </c>
      <c r="BJ640" s="8" t="s">
        <v>7610</v>
      </c>
      <c r="BK640" s="4" t="s">
        <v>7611</v>
      </c>
      <c r="BL640" s="8" t="s">
        <v>7602</v>
      </c>
      <c r="BM640" s="4" t="s">
        <v>7620</v>
      </c>
      <c r="BN640" s="8" t="s">
        <v>7636</v>
      </c>
      <c r="BO640" s="8" t="s">
        <v>7804</v>
      </c>
      <c r="BP640" s="8" t="s">
        <v>7602</v>
      </c>
      <c r="BQ640" s="8" t="str">
        <f aca="false">IF(A640="","",AT640)</f>
        <v>3歳</v>
      </c>
      <c r="BR640" s="8" t="str">
        <f aca="false">IF(A640="","",IF(BA640&lt;=1200,"～1200",IF(BA640&lt;=1500,"1300～1500",IF(BA640=1600,"1600",IF(BA640&lt;=1800,"1700～1800",IF(BA640&lt;=2000,"1900～2000","2100以上"))))))</f>
        <v>2100以上</v>
      </c>
      <c r="BS640" s="8" t="str">
        <f aca="false">IF(A640="","",IF(AX640="G1","G1",IF(AX640="G2","G2",IF(AX640="G3","G3",IF(AX640="L","L","その他")))))</f>
        <v>G1</v>
      </c>
      <c r="BT640" s="8" t="str">
        <f aca="false">IF(A640="","",IF(BI640="","未結合",IF(D640=BI640,"一致","不一致")))</f>
        <v>一致</v>
      </c>
      <c r="BU640" s="8" t="str">
        <f aca="false">IF(A640="","",IF(BE640="牝馬限定","牝馬限定","その他"))</f>
        <v>その他</v>
      </c>
    </row>
    <row r="641" customFormat="false" ht="15.75" hidden="false" customHeight="false" outlineLevel="0" collapsed="false">
      <c r="A641" s="6" t="n">
        <v>46173</v>
      </c>
      <c r="B641" s="4" t="s">
        <v>4473</v>
      </c>
      <c r="C641" s="8" t="n">
        <v>12</v>
      </c>
      <c r="D641" s="8" t="n">
        <v>14</v>
      </c>
      <c r="E641" s="8" t="n">
        <v>6</v>
      </c>
      <c r="F641" s="4" t="s">
        <v>6077</v>
      </c>
      <c r="G641" s="8" t="n">
        <v>62</v>
      </c>
      <c r="H641" s="8" t="n">
        <v>11</v>
      </c>
      <c r="I641" s="4" t="s">
        <v>6080</v>
      </c>
      <c r="J641" s="8" t="n">
        <v>56</v>
      </c>
      <c r="K641" s="8" t="n">
        <v>7</v>
      </c>
      <c r="L641" s="4" t="s">
        <v>6078</v>
      </c>
      <c r="M641" s="8" t="n">
        <v>39</v>
      </c>
      <c r="N641" s="8" t="n">
        <f aca="false">IF(A641="","",G641-J641)</f>
        <v>6</v>
      </c>
      <c r="O641" s="8" t="n">
        <f aca="false">IF(A641="","",J641-M641)</f>
        <v>17</v>
      </c>
      <c r="P641" s="8" t="n">
        <f aca="false">IF(A641="","",G641+J641)</f>
        <v>118</v>
      </c>
      <c r="Q641" s="8" t="str">
        <f aca="false">IF(A641="","",IF(AND(Y641&lt;&gt;"参考",G641&gt;=ルール設定!$B$2),"○",""))</f>
        <v/>
      </c>
      <c r="R641" s="8" t="str">
        <f aca="false">IF(A641="","",IF(AND(Y641&lt;&gt;"参考",G641&gt;=ルール設定!$B$3,N641&gt;=ルール設定!$B$4),"○",""))</f>
        <v/>
      </c>
      <c r="S641" s="8" t="str">
        <f aca="false">IF(A641="","",IF(AND(Y641&lt;&gt;"参考",G641&gt;=ルール設定!$B$5,J641&gt;=ルール設定!$B$6,O641&gt;=ルール設定!$B$7),"○",""))</f>
        <v/>
      </c>
      <c r="T641" s="8" t="n">
        <v>2</v>
      </c>
      <c r="U641" s="8" t="n">
        <v>3</v>
      </c>
      <c r="V641" s="8" t="str">
        <f aca="false">IF(A641="","",IF(AND(ISNUMBER(T641),ISNUMBER(U641)),IF(AND(T641&lt;=3,U641&lt;=3),"○","×"),""))</f>
        <v>○</v>
      </c>
      <c r="W641" s="8" t="n">
        <v>130</v>
      </c>
      <c r="X641" s="8" t="n">
        <v>240</v>
      </c>
      <c r="Y641" s="4" t="s">
        <v>7597</v>
      </c>
      <c r="Z641" s="4" t="s">
        <v>7841</v>
      </c>
      <c r="AA641" s="8" t="str">
        <v/>
      </c>
      <c r="AB641" s="8" t="str">
        <v/>
      </c>
      <c r="AC641" s="8" t="str">
        <v/>
      </c>
      <c r="AD641" s="8" t="str">
        <v/>
      </c>
      <c r="AE641" s="8" t="str">
        <v/>
      </c>
      <c r="AF641" s="8" t="str">
        <v/>
      </c>
      <c r="AG641" s="8" t="str">
        <v/>
      </c>
      <c r="AH641" s="8" t="str">
        <v/>
      </c>
      <c r="AI641" s="8" t="n">
        <v>23</v>
      </c>
      <c r="AJ641" s="8" t="str">
        <v>60～69</v>
      </c>
      <c r="AK641" s="8" t="str">
        <v>5～9</v>
      </c>
      <c r="AL641" s="8" t="str">
        <v>20～29</v>
      </c>
      <c r="AM641" s="8" t="str">
        <v>100～119</v>
      </c>
      <c r="AN641" s="8" t="str">
        <v>12～14</v>
      </c>
      <c r="AO641" s="8" t="str">
        <f aca="false">IF(A641="","",IF(COUNTIFS(全馬データ!$A$2:$A$50000,A641,全馬データ!$B$2:$B$50000,B641,全馬データ!$C$2:$C$50000,C641,全馬データ!$D$2:$D$50000,E641,全馬データ!$K$2:$K$50000,"&lt;&gt;")=0,"",SUMIFS(全馬データ!$K$2:$K$50000,全馬データ!$A$2:$A$50000,A641,全馬データ!$B$2:$B$50000,B641,全馬データ!$C$2:$C$50000,C641,全馬データ!$D$2:$D$50000,E641)))</f>
        <v/>
      </c>
      <c r="AP641" s="8" t="str">
        <f aca="false">IF(A641="","",IF(AO641="","欠損",IF(AO641&lt;=1.1,"1.0～1.1",IF(AO641&lt;1.3,"1.2",IF(AO641&lt;1.5,"1.3～1.4",IF(AO641&lt;2,"1.5～1.9","2.0以上"))))))</f>
        <v>欠損</v>
      </c>
      <c r="AQ641" s="8" t="str">
        <f aca="false">IF(A641="","",IF(ISNUMBER(SEARCH("2歳",Z641)),"2歳戦",IF(ISNUMBER(SEARCH("3歳未勝利",Z641)),"3歳未勝利",IF(ISNUMBER(SEARCH("未勝利",Z641)),"その他未勝利",IF(ISNUMBER(SEARCH("G1",Z641)),"G1",IF(ISNUMBER(SEARCH("G2",Z641)),"G2",IF(ISNUMBER(SEARCH("G3",Z641)),"G3",IF(ISNUMBER(SEARCH("古馬条件",Z641)),"古馬条件戦",IF(ISNUMBER(SEARCH("重賞",Z641)),"重賞","分類不能")))))))))</f>
        <v>分類不能</v>
      </c>
      <c r="AR641" s="4" t="s">
        <v>7880</v>
      </c>
      <c r="AS641" s="8" t="s">
        <v>7842</v>
      </c>
      <c r="AT641" s="8" t="s">
        <v>7843</v>
      </c>
      <c r="AU641" s="8" t="s">
        <v>7643</v>
      </c>
      <c r="AV641" s="4" t="s">
        <v>7644</v>
      </c>
      <c r="AW641" s="8" t="s">
        <v>7610</v>
      </c>
      <c r="AX641" s="8" t="s">
        <v>7881</v>
      </c>
      <c r="AY641" s="8" t="s">
        <v>7602</v>
      </c>
      <c r="AZ641" s="4" t="s">
        <v>7603</v>
      </c>
      <c r="BA641" s="8" t="n">
        <v>2500</v>
      </c>
      <c r="BB641" s="8" t="s">
        <v>7598</v>
      </c>
      <c r="BC641" s="4" t="s">
        <v>7604</v>
      </c>
      <c r="BD641" s="8" t="s">
        <v>7666</v>
      </c>
      <c r="BE641" s="4" t="s">
        <v>7606</v>
      </c>
      <c r="BF641" s="8" t="s">
        <v>7607</v>
      </c>
      <c r="BG641" s="8" t="s">
        <v>7602</v>
      </c>
      <c r="BH641" s="4" t="s">
        <v>7667</v>
      </c>
      <c r="BI641" s="8" t="n">
        <v>14</v>
      </c>
      <c r="BJ641" s="8" t="s">
        <v>7610</v>
      </c>
      <c r="BK641" s="4" t="s">
        <v>7611</v>
      </c>
      <c r="BL641" s="8" t="s">
        <v>7602</v>
      </c>
      <c r="BM641" s="4" t="s">
        <v>7620</v>
      </c>
      <c r="BN641" s="8" t="s">
        <v>7636</v>
      </c>
      <c r="BO641" s="8" t="s">
        <v>7804</v>
      </c>
      <c r="BP641" s="8" t="s">
        <v>7602</v>
      </c>
      <c r="BQ641" s="8" t="str">
        <f aca="false">IF(A641="","",AT641)</f>
        <v>4歳以上</v>
      </c>
      <c r="BR641" s="8" t="str">
        <f aca="false">IF(A641="","",IF(BA641&lt;=1200,"～1200",IF(BA641&lt;=1500,"1300～1500",IF(BA641=1600,"1600",IF(BA641&lt;=1800,"1700～1800",IF(BA641&lt;=2000,"1900～2000","2100以上"))))))</f>
        <v>2100以上</v>
      </c>
      <c r="BS641" s="8" t="str">
        <f aca="false">IF(A641="","",IF(AX641="G1","G1",IF(AX641="G2","G2",IF(AX641="G3","G3",IF(AX641="L","L","その他")))))</f>
        <v>G2</v>
      </c>
      <c r="BT641" s="8" t="str">
        <f aca="false">IF(A641="","",IF(BI641="","未結合",IF(D641=BI641,"一致","不一致")))</f>
        <v>一致</v>
      </c>
      <c r="BU641" s="8" t="str">
        <f aca="false">IF(A641="","",IF(BE641="牝馬限定","牝馬限定","その他"))</f>
        <v>その他</v>
      </c>
    </row>
    <row r="642" customFormat="false" ht="15.75" hidden="false" customHeight="false" outlineLevel="0" collapsed="false">
      <c r="A642" s="6" t="n">
        <v>46173</v>
      </c>
      <c r="B642" s="4" t="s">
        <v>5435</v>
      </c>
      <c r="C642" s="8" t="n">
        <v>1</v>
      </c>
      <c r="D642" s="8" t="n">
        <v>16</v>
      </c>
      <c r="E642" s="8" t="n">
        <v>6</v>
      </c>
      <c r="F642" s="4" t="s">
        <v>802</v>
      </c>
      <c r="G642" s="8" t="n">
        <v>52</v>
      </c>
      <c r="H642" s="8" t="n">
        <v>16</v>
      </c>
      <c r="I642" s="4" t="s">
        <v>1589</v>
      </c>
      <c r="J642" s="8" t="n">
        <v>50</v>
      </c>
      <c r="K642" s="8" t="n">
        <v>2</v>
      </c>
      <c r="L642" s="4" t="s">
        <v>4817</v>
      </c>
      <c r="M642" s="8" t="n">
        <v>47</v>
      </c>
      <c r="N642" s="8" t="n">
        <f aca="false">IF(A642="","",G642-J642)</f>
        <v>2</v>
      </c>
      <c r="O642" s="8" t="n">
        <f aca="false">IF(A642="","",J642-M642)</f>
        <v>3</v>
      </c>
      <c r="P642" s="8" t="n">
        <f aca="false">IF(A642="","",G642+J642)</f>
        <v>102</v>
      </c>
      <c r="Q642" s="8" t="str">
        <f aca="false">IF(A642="","",IF(AND(Y642&lt;&gt;"参考",G642&gt;=ルール設定!$B$2),"○",""))</f>
        <v/>
      </c>
      <c r="R642" s="8" t="str">
        <f aca="false">IF(A642="","",IF(AND(Y642&lt;&gt;"参考",G642&gt;=ルール設定!$B$3,N642&gt;=ルール設定!$B$4),"○",""))</f>
        <v/>
      </c>
      <c r="S642" s="8" t="str">
        <f aca="false">IF(A642="","",IF(AND(Y642&lt;&gt;"参考",G642&gt;=ルール設定!$B$5,J642&gt;=ルール設定!$B$6,O642&gt;=ルール設定!$B$7),"○",""))</f>
        <v/>
      </c>
      <c r="T642" s="8" t="n">
        <v>4</v>
      </c>
      <c r="U642" s="8" t="n">
        <v>4</v>
      </c>
      <c r="V642" s="8" t="str">
        <f aca="false">IF(A642="","",IF(AND(ISNUMBER(T642),ISNUMBER(U642)),IF(AND(T642&lt;=3,U642&lt;=3),"○","×"),""))</f>
        <v>×</v>
      </c>
      <c r="W642" s="8"/>
      <c r="X642" s="8"/>
      <c r="Y642" s="4" t="s">
        <v>7597</v>
      </c>
      <c r="Z642" s="4" t="s">
        <v>7841</v>
      </c>
      <c r="AA642" s="8" t="str">
        <v/>
      </c>
      <c r="AB642" s="8" t="str">
        <v/>
      </c>
      <c r="AC642" s="8" t="str">
        <v/>
      </c>
      <c r="AD642" s="8" t="str">
        <v/>
      </c>
      <c r="AE642" s="8" t="str">
        <v/>
      </c>
      <c r="AF642" s="8" t="str">
        <v/>
      </c>
      <c r="AG642" s="8" t="str">
        <v/>
      </c>
      <c r="AH642" s="8" t="str">
        <v/>
      </c>
      <c r="AI642" s="8" t="n">
        <v>5</v>
      </c>
      <c r="AJ642" s="8" t="str">
        <v>～59</v>
      </c>
      <c r="AK642" s="8" t="str">
        <v>0～4</v>
      </c>
      <c r="AL642" s="8" t="str">
        <v>0～9</v>
      </c>
      <c r="AM642" s="8" t="str">
        <v>100～119</v>
      </c>
      <c r="AN642" s="8" t="str">
        <v>15以上</v>
      </c>
      <c r="AO642" s="8" t="str">
        <f aca="false">IF(A642="","",IF(COUNTIFS(全馬データ!$A$2:$A$50000,A642,全馬データ!$B$2:$B$50000,B642,全馬データ!$C$2:$C$50000,C642,全馬データ!$D$2:$D$50000,E642,全馬データ!$K$2:$K$50000,"&lt;&gt;")=0,"",SUMIFS(全馬データ!$K$2:$K$50000,全馬データ!$A$2:$A$50000,A642,全馬データ!$B$2:$B$50000,B642,全馬データ!$C$2:$C$50000,C642,全馬データ!$D$2:$D$50000,E642)))</f>
        <v/>
      </c>
      <c r="AP642" s="8" t="str">
        <f aca="false">IF(A642="","",IF(AO642="","欠損",IF(AO642&lt;=1.1,"1.0～1.1",IF(AO642&lt;1.3,"1.2",IF(AO642&lt;1.5,"1.3～1.4",IF(AO642&lt;2,"1.5～1.9","2.0以上"))))))</f>
        <v>欠損</v>
      </c>
      <c r="AQ642" s="8" t="str">
        <f aca="false">IF(A642="","",IF(ISNUMBER(SEARCH("2歳",Z642)),"2歳戦",IF(ISNUMBER(SEARCH("3歳未勝利",Z642)),"3歳未勝利",IF(ISNUMBER(SEARCH("未勝利",Z642)),"その他未勝利",IF(ISNUMBER(SEARCH("G1",Z642)),"G1",IF(ISNUMBER(SEARCH("G2",Z642)),"G2",IF(ISNUMBER(SEARCH("G3",Z642)),"G3",IF(ISNUMBER(SEARCH("古馬条件",Z642)),"古馬条件戦",IF(ISNUMBER(SEARCH("重賞",Z642)),"重賞","分類不能")))))))))</f>
        <v>分類不能</v>
      </c>
      <c r="AR642" s="8"/>
      <c r="AS642" s="8" t="s">
        <v>7623</v>
      </c>
      <c r="AT642" s="8" t="s">
        <v>7624</v>
      </c>
      <c r="AU642" s="8" t="s">
        <v>7600</v>
      </c>
      <c r="AV642" s="4" t="s">
        <v>7601</v>
      </c>
      <c r="AW642" s="8"/>
      <c r="AX642" s="8"/>
      <c r="AY642" s="8" t="s">
        <v>7610</v>
      </c>
      <c r="AZ642" s="4" t="s">
        <v>7617</v>
      </c>
      <c r="BA642" s="8" t="n">
        <v>1800</v>
      </c>
      <c r="BB642" s="8" t="s">
        <v>7598</v>
      </c>
      <c r="BC642" s="4" t="s">
        <v>7604</v>
      </c>
      <c r="BD642" s="8" t="s">
        <v>7621</v>
      </c>
      <c r="BE642" s="4" t="s">
        <v>7622</v>
      </c>
      <c r="BF642" s="8" t="s">
        <v>7602</v>
      </c>
      <c r="BG642" s="8" t="s">
        <v>7608</v>
      </c>
      <c r="BH642" s="4" t="s">
        <v>7609</v>
      </c>
      <c r="BI642" s="8" t="n">
        <v>16</v>
      </c>
      <c r="BJ642" s="8" t="s">
        <v>7602</v>
      </c>
      <c r="BK642" s="4" t="s">
        <v>7653</v>
      </c>
      <c r="BL642" s="8" t="s">
        <v>7602</v>
      </c>
      <c r="BM642" s="4" t="s">
        <v>7620</v>
      </c>
      <c r="BN642" s="8"/>
      <c r="BO642" s="8"/>
      <c r="BP642" s="8" t="s">
        <v>7610</v>
      </c>
      <c r="BQ642" s="8" t="str">
        <f aca="false">IF(A642="","",AT642)</f>
        <v>3歳</v>
      </c>
      <c r="BR642" s="8" t="str">
        <f aca="false">IF(A642="","",IF(BA642&lt;=1200,"～1200",IF(BA642&lt;=1500,"1300～1500",IF(BA642=1600,"1600",IF(BA642&lt;=1800,"1700～1800",IF(BA642&lt;=2000,"1900～2000","2100以上"))))))</f>
        <v>1700～1800</v>
      </c>
      <c r="BS642" s="8" t="str">
        <f aca="false">IF(A642="","",IF(AX642="G1","G1",IF(AX642="G2","G2",IF(AX642="G3","G3",IF(AX642="L","L","その他")))))</f>
        <v>その他</v>
      </c>
      <c r="BT642" s="8" t="str">
        <f aca="false">IF(A642="","",IF(BI642="","未結合",IF(D642=BI642,"一致","不一致")))</f>
        <v>一致</v>
      </c>
      <c r="BU642" s="8" t="str">
        <f aca="false">IF(A642="","",IF(BE642="牝馬限定","牝馬限定","その他"))</f>
        <v>牝馬限定</v>
      </c>
    </row>
    <row r="643" customFormat="false" ht="15.75" hidden="false" customHeight="false" outlineLevel="0" collapsed="false">
      <c r="A643" s="6" t="n">
        <v>46173</v>
      </c>
      <c r="B643" s="4" t="s">
        <v>5435</v>
      </c>
      <c r="C643" s="8" t="n">
        <v>2</v>
      </c>
      <c r="D643" s="8" t="n">
        <v>16</v>
      </c>
      <c r="E643" s="8" t="n">
        <v>16</v>
      </c>
      <c r="F643" s="4" t="s">
        <v>5436</v>
      </c>
      <c r="G643" s="8" t="n">
        <v>74</v>
      </c>
      <c r="H643" s="8" t="n">
        <v>15</v>
      </c>
      <c r="I643" s="4" t="s">
        <v>6098</v>
      </c>
      <c r="J643" s="8" t="n">
        <v>60</v>
      </c>
      <c r="K643" s="8" t="n">
        <v>3</v>
      </c>
      <c r="L643" s="4" t="s">
        <v>1152</v>
      </c>
      <c r="M643" s="8" t="n">
        <v>41</v>
      </c>
      <c r="N643" s="8" t="n">
        <f aca="false">IF(A643="","",G643-J643)</f>
        <v>14</v>
      </c>
      <c r="O643" s="8" t="n">
        <f aca="false">IF(A643="","",J643-M643)</f>
        <v>19</v>
      </c>
      <c r="P643" s="8" t="n">
        <f aca="false">IF(A643="","",G643+J643)</f>
        <v>134</v>
      </c>
      <c r="Q643" s="8" t="str">
        <f aca="false">IF(A643="","",IF(AND(Y643&lt;&gt;"参考",G643&gt;=ルール設定!$B$2),"○",""))</f>
        <v/>
      </c>
      <c r="R643" s="8" t="str">
        <f aca="false">IF(A643="","",IF(AND(Y643&lt;&gt;"参考",G643&gt;=ルール設定!$B$3,N643&gt;=ルール設定!$B$4),"○",""))</f>
        <v/>
      </c>
      <c r="S643" s="8" t="str">
        <f aca="false">IF(A643="","",IF(AND(Y643&lt;&gt;"参考",G643&gt;=ルール設定!$B$5,J643&gt;=ルール設定!$B$6,O643&gt;=ルール設定!$B$7),"○",""))</f>
        <v/>
      </c>
      <c r="T643" s="8" t="n">
        <v>1</v>
      </c>
      <c r="U643" s="8" t="n">
        <v>2</v>
      </c>
      <c r="V643" s="8" t="str">
        <f aca="false">IF(A643="","",IF(AND(ISNUMBER(T643),ISNUMBER(U643)),IF(AND(T643&lt;=3,U643&lt;=3),"○","×"),""))</f>
        <v>○</v>
      </c>
      <c r="W643" s="8" t="n">
        <v>110</v>
      </c>
      <c r="X643" s="8" t="n">
        <v>150</v>
      </c>
      <c r="Y643" s="4" t="s">
        <v>7597</v>
      </c>
      <c r="Z643" s="4" t="s">
        <v>7841</v>
      </c>
      <c r="AA643" s="8" t="str">
        <v/>
      </c>
      <c r="AB643" s="8" t="str">
        <v/>
      </c>
      <c r="AC643" s="8" t="str">
        <v/>
      </c>
      <c r="AD643" s="8" t="str">
        <v/>
      </c>
      <c r="AE643" s="8" t="str">
        <v/>
      </c>
      <c r="AF643" s="8" t="str">
        <v/>
      </c>
      <c r="AG643" s="8" t="str">
        <v/>
      </c>
      <c r="AH643" s="8" t="str">
        <v/>
      </c>
      <c r="AI643" s="8" t="n">
        <v>33</v>
      </c>
      <c r="AJ643" s="8" t="str">
        <v>70～74</v>
      </c>
      <c r="AK643" s="8" t="str">
        <v>10～19</v>
      </c>
      <c r="AL643" s="8" t="str">
        <v>30～39</v>
      </c>
      <c r="AM643" s="8" t="str">
        <v>120～139</v>
      </c>
      <c r="AN643" s="8" t="str">
        <v>15以上</v>
      </c>
      <c r="AO643" s="8" t="str">
        <f aca="false">IF(A643="","",IF(COUNTIFS(全馬データ!$A$2:$A$50000,A643,全馬データ!$B$2:$B$50000,B643,全馬データ!$C$2:$C$50000,C643,全馬データ!$D$2:$D$50000,E643,全馬データ!$K$2:$K$50000,"&lt;&gt;")=0,"",SUMIFS(全馬データ!$K$2:$K$50000,全馬データ!$A$2:$A$50000,A643,全馬データ!$B$2:$B$50000,B643,全馬データ!$C$2:$C$50000,C643,全馬データ!$D$2:$D$50000,E643)))</f>
        <v/>
      </c>
      <c r="AP643" s="8" t="str">
        <f aca="false">IF(A643="","",IF(AO643="","欠損",IF(AO643&lt;=1.1,"1.0～1.1",IF(AO643&lt;1.3,"1.2",IF(AO643&lt;1.5,"1.3～1.4",IF(AO643&lt;2,"1.5～1.9","2.0以上"))))))</f>
        <v>欠損</v>
      </c>
      <c r="AQ643" s="8" t="str">
        <f aca="false">IF(A643="","",IF(ISNUMBER(SEARCH("2歳",Z643)),"2歳戦",IF(ISNUMBER(SEARCH("3歳未勝利",Z643)),"3歳未勝利",IF(ISNUMBER(SEARCH("未勝利",Z643)),"その他未勝利",IF(ISNUMBER(SEARCH("G1",Z643)),"G1",IF(ISNUMBER(SEARCH("G2",Z643)),"G2",IF(ISNUMBER(SEARCH("G3",Z643)),"G3",IF(ISNUMBER(SEARCH("古馬条件",Z643)),"古馬条件戦",IF(ISNUMBER(SEARCH("重賞",Z643)),"重賞","分類不能")))))))))</f>
        <v>分類不能</v>
      </c>
      <c r="AR643" s="8"/>
      <c r="AS643" s="8" t="s">
        <v>7623</v>
      </c>
      <c r="AT643" s="8" t="s">
        <v>7624</v>
      </c>
      <c r="AU643" s="8" t="s">
        <v>7600</v>
      </c>
      <c r="AV643" s="4" t="s">
        <v>7601</v>
      </c>
      <c r="AW643" s="8"/>
      <c r="AX643" s="8"/>
      <c r="AY643" s="8" t="s">
        <v>7610</v>
      </c>
      <c r="AZ643" s="4" t="s">
        <v>7617</v>
      </c>
      <c r="BA643" s="8" t="n">
        <v>1200</v>
      </c>
      <c r="BB643" s="8" t="s">
        <v>7598</v>
      </c>
      <c r="BC643" s="4" t="s">
        <v>7604</v>
      </c>
      <c r="BD643" s="8" t="s">
        <v>7625</v>
      </c>
      <c r="BE643" s="4" t="s">
        <v>7606</v>
      </c>
      <c r="BF643" s="8" t="s">
        <v>7607</v>
      </c>
      <c r="BG643" s="8" t="s">
        <v>7608</v>
      </c>
      <c r="BH643" s="4" t="s">
        <v>7609</v>
      </c>
      <c r="BI643" s="8" t="n">
        <v>16</v>
      </c>
      <c r="BJ643" s="8" t="s">
        <v>7602</v>
      </c>
      <c r="BK643" s="4" t="s">
        <v>7653</v>
      </c>
      <c r="BL643" s="8" t="s">
        <v>7602</v>
      </c>
      <c r="BM643" s="4" t="s">
        <v>7620</v>
      </c>
      <c r="BN643" s="8"/>
      <c r="BO643" s="8"/>
      <c r="BP643" s="8" t="s">
        <v>7610</v>
      </c>
      <c r="BQ643" s="8" t="str">
        <f aca="false">IF(A643="","",AT643)</f>
        <v>3歳</v>
      </c>
      <c r="BR643" s="8" t="str">
        <f aca="false">IF(A643="","",IF(BA643&lt;=1200,"～1200",IF(BA643&lt;=1500,"1300～1500",IF(BA643=1600,"1600",IF(BA643&lt;=1800,"1700～1800",IF(BA643&lt;=2000,"1900～2000","2100以上"))))))</f>
        <v>～1200</v>
      </c>
      <c r="BS643" s="8" t="str">
        <f aca="false">IF(A643="","",IF(AX643="G1","G1",IF(AX643="G2","G2",IF(AX643="G3","G3",IF(AX643="L","L","その他")))))</f>
        <v>その他</v>
      </c>
      <c r="BT643" s="8" t="str">
        <f aca="false">IF(A643="","",IF(BI643="","未結合",IF(D643=BI643,"一致","不一致")))</f>
        <v>一致</v>
      </c>
      <c r="BU643" s="8" t="str">
        <f aca="false">IF(A643="","",IF(BE643="牝馬限定","牝馬限定","その他"))</f>
        <v>その他</v>
      </c>
    </row>
    <row r="644" customFormat="false" ht="15.75" hidden="false" customHeight="false" outlineLevel="0" collapsed="false">
      <c r="A644" s="6" t="n">
        <v>46173</v>
      </c>
      <c r="B644" s="4" t="s">
        <v>5435</v>
      </c>
      <c r="C644" s="8" t="n">
        <v>3</v>
      </c>
      <c r="D644" s="8" t="n">
        <v>16</v>
      </c>
      <c r="E644" s="8" t="n">
        <v>11</v>
      </c>
      <c r="F644" s="4" t="s">
        <v>5667</v>
      </c>
      <c r="G644" s="8" t="n">
        <v>56</v>
      </c>
      <c r="H644" s="8" t="n">
        <v>5</v>
      </c>
      <c r="I644" s="4" t="s">
        <v>5002</v>
      </c>
      <c r="J644" s="8" t="n">
        <v>50</v>
      </c>
      <c r="K644" s="8" t="n">
        <v>10</v>
      </c>
      <c r="L644" s="4" t="s">
        <v>5006</v>
      </c>
      <c r="M644" s="8" t="n">
        <v>44</v>
      </c>
      <c r="N644" s="8" t="n">
        <f aca="false">IF(A644="","",G644-J644)</f>
        <v>6</v>
      </c>
      <c r="O644" s="8" t="n">
        <f aca="false">IF(A644="","",J644-M644)</f>
        <v>6</v>
      </c>
      <c r="P644" s="8" t="n">
        <f aca="false">IF(A644="","",G644+J644)</f>
        <v>106</v>
      </c>
      <c r="Q644" s="8" t="str">
        <f aca="false">IF(A644="","",IF(AND(Y644&lt;&gt;"参考",G644&gt;=ルール設定!$B$2),"○",""))</f>
        <v/>
      </c>
      <c r="R644" s="8" t="str">
        <f aca="false">IF(A644="","",IF(AND(Y644&lt;&gt;"参考",G644&gt;=ルール設定!$B$3,N644&gt;=ルール設定!$B$4),"○",""))</f>
        <v/>
      </c>
      <c r="S644" s="8" t="str">
        <f aca="false">IF(A644="","",IF(AND(Y644&lt;&gt;"参考",G644&gt;=ルール設定!$B$5,J644&gt;=ルール設定!$B$6,O644&gt;=ルール設定!$B$7),"○",""))</f>
        <v/>
      </c>
      <c r="T644" s="8" t="n">
        <v>4</v>
      </c>
      <c r="U644" s="8" t="n">
        <v>2</v>
      </c>
      <c r="V644" s="8" t="str">
        <f aca="false">IF(A644="","",IF(AND(ISNUMBER(T644),ISNUMBER(U644)),IF(AND(T644&lt;=3,U644&lt;=3),"○","×"),""))</f>
        <v>×</v>
      </c>
      <c r="W644" s="8"/>
      <c r="X644" s="8"/>
      <c r="Y644" s="4" t="s">
        <v>7597</v>
      </c>
      <c r="Z644" s="4" t="s">
        <v>7841</v>
      </c>
      <c r="AA644" s="8" t="str">
        <v/>
      </c>
      <c r="AB644" s="8" t="str">
        <v/>
      </c>
      <c r="AC644" s="8" t="str">
        <v/>
      </c>
      <c r="AD644" s="8" t="str">
        <v/>
      </c>
      <c r="AE644" s="8" t="str">
        <v/>
      </c>
      <c r="AF644" s="8" t="str">
        <v/>
      </c>
      <c r="AG644" s="8" t="str">
        <v/>
      </c>
      <c r="AH644" s="8" t="str">
        <v/>
      </c>
      <c r="AI644" s="8" t="n">
        <v>12</v>
      </c>
      <c r="AJ644" s="8" t="str">
        <v>～59</v>
      </c>
      <c r="AK644" s="8" t="str">
        <v>5～9</v>
      </c>
      <c r="AL644" s="8" t="str">
        <v>10～19</v>
      </c>
      <c r="AM644" s="8" t="str">
        <v>100～119</v>
      </c>
      <c r="AN644" s="8" t="str">
        <v>15以上</v>
      </c>
      <c r="AO644" s="8" t="str">
        <f aca="false">IF(A644="","",IF(COUNTIFS(全馬データ!$A$2:$A$50000,A644,全馬データ!$B$2:$B$50000,B644,全馬データ!$C$2:$C$50000,C644,全馬データ!$D$2:$D$50000,E644,全馬データ!$K$2:$K$50000,"&lt;&gt;")=0,"",SUMIFS(全馬データ!$K$2:$K$50000,全馬データ!$A$2:$A$50000,A644,全馬データ!$B$2:$B$50000,B644,全馬データ!$C$2:$C$50000,C644,全馬データ!$D$2:$D$50000,E644)))</f>
        <v/>
      </c>
      <c r="AP644" s="8" t="str">
        <f aca="false">IF(A644="","",IF(AO644="","欠損",IF(AO644&lt;=1.1,"1.0～1.1",IF(AO644&lt;1.3,"1.2",IF(AO644&lt;1.5,"1.3～1.4",IF(AO644&lt;2,"1.5～1.9","2.0以上"))))))</f>
        <v>欠損</v>
      </c>
      <c r="AQ644" s="8" t="str">
        <f aca="false">IF(A644="","",IF(ISNUMBER(SEARCH("2歳",Z644)),"2歳戦",IF(ISNUMBER(SEARCH("3歳未勝利",Z644)),"3歳未勝利",IF(ISNUMBER(SEARCH("未勝利",Z644)),"その他未勝利",IF(ISNUMBER(SEARCH("G1",Z644)),"G1",IF(ISNUMBER(SEARCH("G2",Z644)),"G2",IF(ISNUMBER(SEARCH("G3",Z644)),"G3",IF(ISNUMBER(SEARCH("古馬条件",Z644)),"古馬条件戦",IF(ISNUMBER(SEARCH("重賞",Z644)),"重賞","分類不能")))))))))</f>
        <v>分類不能</v>
      </c>
      <c r="AR644" s="8"/>
      <c r="AS644" s="8" t="s">
        <v>7623</v>
      </c>
      <c r="AT644" s="8" t="s">
        <v>7624</v>
      </c>
      <c r="AU644" s="8" t="s">
        <v>7600</v>
      </c>
      <c r="AV644" s="4" t="s">
        <v>7601</v>
      </c>
      <c r="AW644" s="8"/>
      <c r="AX644" s="8"/>
      <c r="AY644" s="8" t="s">
        <v>7610</v>
      </c>
      <c r="AZ644" s="4" t="s">
        <v>7617</v>
      </c>
      <c r="BA644" s="8" t="n">
        <v>1900</v>
      </c>
      <c r="BB644" s="8" t="s">
        <v>7598</v>
      </c>
      <c r="BC644" s="4" t="s">
        <v>7604</v>
      </c>
      <c r="BD644" s="8" t="s">
        <v>7625</v>
      </c>
      <c r="BE644" s="4" t="s">
        <v>7606</v>
      </c>
      <c r="BF644" s="8" t="s">
        <v>7607</v>
      </c>
      <c r="BG644" s="8" t="s">
        <v>7608</v>
      </c>
      <c r="BH644" s="4" t="s">
        <v>7609</v>
      </c>
      <c r="BI644" s="8" t="n">
        <v>16</v>
      </c>
      <c r="BJ644" s="8" t="s">
        <v>7602</v>
      </c>
      <c r="BK644" s="4" t="s">
        <v>7653</v>
      </c>
      <c r="BL644" s="8" t="s">
        <v>7602</v>
      </c>
      <c r="BM644" s="4" t="s">
        <v>7620</v>
      </c>
      <c r="BN644" s="8"/>
      <c r="BO644" s="8"/>
      <c r="BP644" s="8" t="s">
        <v>7610</v>
      </c>
      <c r="BQ644" s="8" t="str">
        <f aca="false">IF(A644="","",AT644)</f>
        <v>3歳</v>
      </c>
      <c r="BR644" s="8" t="str">
        <f aca="false">IF(A644="","",IF(BA644&lt;=1200,"～1200",IF(BA644&lt;=1500,"1300～1500",IF(BA644=1600,"1600",IF(BA644&lt;=1800,"1700～1800",IF(BA644&lt;=2000,"1900～2000","2100以上"))))))</f>
        <v>1900～2000</v>
      </c>
      <c r="BS644" s="8" t="str">
        <f aca="false">IF(A644="","",IF(AX644="G1","G1",IF(AX644="G2","G2",IF(AX644="G3","G3",IF(AX644="L","L","その他")))))</f>
        <v>その他</v>
      </c>
      <c r="BT644" s="8" t="str">
        <f aca="false">IF(A644="","",IF(BI644="","未結合",IF(D644=BI644,"一致","不一致")))</f>
        <v>一致</v>
      </c>
      <c r="BU644" s="8" t="str">
        <f aca="false">IF(A644="","",IF(BE644="牝馬限定","牝馬限定","その他"))</f>
        <v>その他</v>
      </c>
    </row>
    <row r="645" customFormat="false" ht="15.75" hidden="false" customHeight="false" outlineLevel="0" collapsed="false">
      <c r="A645" s="6" t="n">
        <v>46173</v>
      </c>
      <c r="B645" s="4" t="s">
        <v>5435</v>
      </c>
      <c r="C645" s="8" t="n">
        <v>4</v>
      </c>
      <c r="D645" s="8" t="n">
        <v>10</v>
      </c>
      <c r="E645" s="8" t="n">
        <v>2</v>
      </c>
      <c r="F645" s="4" t="s">
        <v>6105</v>
      </c>
      <c r="G645" s="8" t="n">
        <v>55</v>
      </c>
      <c r="H645" s="8" t="n">
        <v>3</v>
      </c>
      <c r="I645" s="4" t="s">
        <v>1130</v>
      </c>
      <c r="J645" s="8" t="n">
        <v>55</v>
      </c>
      <c r="K645" s="8" t="n">
        <v>5</v>
      </c>
      <c r="L645" s="4" t="s">
        <v>1135</v>
      </c>
      <c r="M645" s="8" t="n">
        <v>44</v>
      </c>
      <c r="N645" s="8" t="n">
        <f aca="false">IF(A645="","",G645-J645)</f>
        <v>0</v>
      </c>
      <c r="O645" s="8" t="n">
        <f aca="false">IF(A645="","",J645-M645)</f>
        <v>11</v>
      </c>
      <c r="P645" s="8" t="n">
        <f aca="false">IF(A645="","",G645+J645)</f>
        <v>110</v>
      </c>
      <c r="Q645" s="8" t="str">
        <f aca="false">IF(A645="","",IF(AND(Y645&lt;&gt;"参考",G645&gt;=ルール設定!$B$2),"○",""))</f>
        <v/>
      </c>
      <c r="R645" s="8" t="str">
        <f aca="false">IF(A645="","",IF(AND(Y645&lt;&gt;"参考",G645&gt;=ルール設定!$B$3,N645&gt;=ルール設定!$B$4),"○",""))</f>
        <v/>
      </c>
      <c r="S645" s="8" t="str">
        <f aca="false">IF(A645="","",IF(AND(Y645&lt;&gt;"参考",G645&gt;=ルール設定!$B$5,J645&gt;=ルール設定!$B$6,O645&gt;=ルール設定!$B$7),"○",""))</f>
        <v/>
      </c>
      <c r="T645" s="8" t="n">
        <v>3</v>
      </c>
      <c r="U645" s="8" t="n">
        <v>1</v>
      </c>
      <c r="V645" s="8" t="str">
        <f aca="false">IF(A645="","",IF(AND(ISNUMBER(T645),ISNUMBER(U645)),IF(AND(T645&lt;=3,U645&lt;=3),"○","×"),""))</f>
        <v>○</v>
      </c>
      <c r="W645" s="8" t="n">
        <v>130</v>
      </c>
      <c r="X645" s="8" t="n">
        <v>270</v>
      </c>
      <c r="Y645" s="4" t="s">
        <v>7597</v>
      </c>
      <c r="Z645" s="4" t="s">
        <v>7841</v>
      </c>
      <c r="AA645" s="8" t="str">
        <v/>
      </c>
      <c r="AB645" s="8" t="str">
        <v/>
      </c>
      <c r="AC645" s="8" t="str">
        <v/>
      </c>
      <c r="AD645" s="8" t="str">
        <v/>
      </c>
      <c r="AE645" s="8" t="str">
        <v/>
      </c>
      <c r="AF645" s="8" t="str">
        <v/>
      </c>
      <c r="AG645" s="8" t="str">
        <v/>
      </c>
      <c r="AH645" s="8" t="str">
        <v/>
      </c>
      <c r="AI645" s="8" t="n">
        <v>11</v>
      </c>
      <c r="AJ645" s="8" t="str">
        <v>～59</v>
      </c>
      <c r="AK645" s="8" t="str">
        <v>0～4</v>
      </c>
      <c r="AL645" s="8" t="str">
        <v>10～19</v>
      </c>
      <c r="AM645" s="8" t="str">
        <v>100～119</v>
      </c>
      <c r="AN645" s="8" t="str">
        <v>8～11</v>
      </c>
      <c r="AO645" s="8" t="str">
        <f aca="false">IF(A645="","",IF(COUNTIFS(全馬データ!$A$2:$A$50000,A645,全馬データ!$B$2:$B$50000,B645,全馬データ!$C$2:$C$50000,C645,全馬データ!$D$2:$D$50000,E645,全馬データ!$K$2:$K$50000,"&lt;&gt;")=0,"",SUMIFS(全馬データ!$K$2:$K$50000,全馬データ!$A$2:$A$50000,A645,全馬データ!$B$2:$B$50000,B645,全馬データ!$C$2:$C$50000,C645,全馬データ!$D$2:$D$50000,E645)))</f>
        <v/>
      </c>
      <c r="AP645" s="8" t="str">
        <f aca="false">IF(A645="","",IF(AO645="","欠損",IF(AO645&lt;=1.1,"1.0～1.1",IF(AO645&lt;1.3,"1.2",IF(AO645&lt;1.5,"1.3～1.4",IF(AO645&lt;2,"1.5～1.9","2.0以上"))))))</f>
        <v>欠損</v>
      </c>
      <c r="AQ645" s="8" t="str">
        <f aca="false">IF(A645="","",IF(ISNUMBER(SEARCH("2歳",Z645)),"2歳戦",IF(ISNUMBER(SEARCH("3歳未勝利",Z645)),"3歳未勝利",IF(ISNUMBER(SEARCH("未勝利",Z645)),"その他未勝利",IF(ISNUMBER(SEARCH("G1",Z645)),"G1",IF(ISNUMBER(SEARCH("G2",Z645)),"G2",IF(ISNUMBER(SEARCH("G3",Z645)),"G3",IF(ISNUMBER(SEARCH("古馬条件",Z645)),"古馬条件戦",IF(ISNUMBER(SEARCH("重賞",Z645)),"重賞","分類不能")))))))))</f>
        <v>分類不能</v>
      </c>
      <c r="AR645" s="8"/>
      <c r="AS645" s="8" t="s">
        <v>7618</v>
      </c>
      <c r="AT645" s="4" t="s">
        <v>7642</v>
      </c>
      <c r="AU645" s="8" t="s">
        <v>7643</v>
      </c>
      <c r="AV645" s="4" t="s">
        <v>7644</v>
      </c>
      <c r="AW645" s="8"/>
      <c r="AX645" s="8"/>
      <c r="AY645" s="8" t="s">
        <v>7608</v>
      </c>
      <c r="AZ645" s="4" t="s">
        <v>7642</v>
      </c>
      <c r="BA645" s="8" t="n">
        <v>3170</v>
      </c>
      <c r="BB645" s="8" t="s">
        <v>7634</v>
      </c>
      <c r="BC645" s="4" t="s">
        <v>7604</v>
      </c>
      <c r="BD645" s="8" t="s">
        <v>7645</v>
      </c>
      <c r="BE645" s="4" t="s">
        <v>7606</v>
      </c>
      <c r="BF645" s="8" t="s">
        <v>7607</v>
      </c>
      <c r="BG645" s="8" t="s">
        <v>7610</v>
      </c>
      <c r="BH645" s="4" t="s">
        <v>7646</v>
      </c>
      <c r="BI645" s="8" t="n">
        <v>10</v>
      </c>
      <c r="BJ645" s="8" t="s">
        <v>7647</v>
      </c>
      <c r="BK645" s="4" t="s">
        <v>7648</v>
      </c>
      <c r="BL645" s="8" t="s">
        <v>7608</v>
      </c>
      <c r="BM645" s="4" t="s">
        <v>7780</v>
      </c>
      <c r="BN645" s="8"/>
      <c r="BO645" s="8"/>
      <c r="BP645" s="8" t="s">
        <v>7610</v>
      </c>
      <c r="BQ645" s="8" t="str">
        <f aca="false">IF(A645="","",AT645)</f>
        <v>障害</v>
      </c>
      <c r="BR645" s="8" t="str">
        <f aca="false">IF(A645="","",IF(BA645&lt;=1200,"～1200",IF(BA645&lt;=1500,"1300～1500",IF(BA645=1600,"1600",IF(BA645&lt;=1800,"1700～1800",IF(BA645&lt;=2000,"1900～2000","2100以上"))))))</f>
        <v>2100以上</v>
      </c>
      <c r="BS645" s="8" t="str">
        <f aca="false">IF(A645="","",IF(AX645="G1","G1",IF(AX645="G2","G2",IF(AX645="G3","G3",IF(AX645="L","L","その他")))))</f>
        <v>その他</v>
      </c>
      <c r="BT645" s="8" t="str">
        <f aca="false">IF(A645="","",IF(BI645="","未結合",IF(D645=BI645,"一致","不一致")))</f>
        <v>一致</v>
      </c>
      <c r="BU645" s="8" t="str">
        <f aca="false">IF(A645="","",IF(BE645="牝馬限定","牝馬限定","その他"))</f>
        <v>その他</v>
      </c>
    </row>
    <row r="646" customFormat="false" ht="15.75" hidden="false" customHeight="false" outlineLevel="0" collapsed="false">
      <c r="A646" s="6" t="n">
        <v>46173</v>
      </c>
      <c r="B646" s="4" t="s">
        <v>5435</v>
      </c>
      <c r="C646" s="8" t="n">
        <v>5</v>
      </c>
      <c r="D646" s="8" t="n">
        <v>18</v>
      </c>
      <c r="E646" s="8" t="n">
        <v>3</v>
      </c>
      <c r="F646" s="4" t="s">
        <v>364</v>
      </c>
      <c r="G646" s="8" t="n">
        <v>60</v>
      </c>
      <c r="H646" s="8" t="n">
        <v>14</v>
      </c>
      <c r="I646" s="4" t="s">
        <v>2054</v>
      </c>
      <c r="J646" s="8" t="n">
        <v>37</v>
      </c>
      <c r="K646" s="8" t="n">
        <v>1</v>
      </c>
      <c r="L646" s="4" t="s">
        <v>2103</v>
      </c>
      <c r="M646" s="8" t="n">
        <v>31</v>
      </c>
      <c r="N646" s="8" t="n">
        <f aca="false">IF(A646="","",G646-J646)</f>
        <v>23</v>
      </c>
      <c r="O646" s="8" t="n">
        <f aca="false">IF(A646="","",J646-M646)</f>
        <v>6</v>
      </c>
      <c r="P646" s="8" t="n">
        <f aca="false">IF(A646="","",G646+J646)</f>
        <v>97</v>
      </c>
      <c r="Q646" s="8" t="str">
        <f aca="false">IF(A646="","",IF(AND(Y646&lt;&gt;"参考",G646&gt;=ルール設定!$B$2),"○",""))</f>
        <v/>
      </c>
      <c r="R646" s="8" t="str">
        <f aca="false">IF(A646="","",IF(AND(Y646&lt;&gt;"参考",G646&gt;=ルール設定!$B$3,N646&gt;=ルール設定!$B$4),"○",""))</f>
        <v/>
      </c>
      <c r="S646" s="8" t="str">
        <f aca="false">IF(A646="","",IF(AND(Y646&lt;&gt;"参考",G646&gt;=ルール設定!$B$5,J646&gt;=ルール設定!$B$6,O646&gt;=ルール設定!$B$7),"○",""))</f>
        <v/>
      </c>
      <c r="T646" s="8" t="n">
        <v>4</v>
      </c>
      <c r="U646" s="8" t="n">
        <v>4</v>
      </c>
      <c r="V646" s="8" t="str">
        <f aca="false">IF(A646="","",IF(AND(ISNUMBER(T646),ISNUMBER(U646)),IF(AND(T646&lt;=3,U646&lt;=3),"○","×"),""))</f>
        <v>×</v>
      </c>
      <c r="W646" s="8"/>
      <c r="X646" s="8"/>
      <c r="Y646" s="4" t="s">
        <v>7597</v>
      </c>
      <c r="Z646" s="4" t="s">
        <v>7841</v>
      </c>
      <c r="AA646" s="8" t="str">
        <v/>
      </c>
      <c r="AB646" s="8" t="str">
        <v/>
      </c>
      <c r="AC646" s="8" t="str">
        <v/>
      </c>
      <c r="AD646" s="8" t="str">
        <v/>
      </c>
      <c r="AE646" s="8" t="str">
        <v/>
      </c>
      <c r="AF646" s="8" t="str">
        <v/>
      </c>
      <c r="AG646" s="8" t="str">
        <v/>
      </c>
      <c r="AH646" s="8" t="str">
        <v/>
      </c>
      <c r="AI646" s="8" t="n">
        <v>29</v>
      </c>
      <c r="AJ646" s="8" t="str">
        <v>60～69</v>
      </c>
      <c r="AK646" s="8" t="str">
        <v>20～29</v>
      </c>
      <c r="AL646" s="8" t="str">
        <v>20～29</v>
      </c>
      <c r="AM646" s="8" t="str">
        <v>～99</v>
      </c>
      <c r="AN646" s="8" t="str">
        <v>15以上</v>
      </c>
      <c r="AO646" s="8" t="str">
        <f aca="false">IF(A646="","",IF(COUNTIFS(全馬データ!$A$2:$A$50000,A646,全馬データ!$B$2:$B$50000,B646,全馬データ!$C$2:$C$50000,C646,全馬データ!$D$2:$D$50000,E646,全馬データ!$K$2:$K$50000,"&lt;&gt;")=0,"",SUMIFS(全馬データ!$K$2:$K$50000,全馬データ!$A$2:$A$50000,A646,全馬データ!$B$2:$B$50000,B646,全馬データ!$C$2:$C$50000,C646,全馬データ!$D$2:$D$50000,E646)))</f>
        <v/>
      </c>
      <c r="AP646" s="8" t="str">
        <f aca="false">IF(A646="","",IF(AO646="","欠損",IF(AO646&lt;=1.1,"1.0～1.1",IF(AO646&lt;1.3,"1.2",IF(AO646&lt;1.5,"1.3～1.4",IF(AO646&lt;2,"1.5～1.9","2.0以上"))))))</f>
        <v>欠損</v>
      </c>
      <c r="AQ646" s="8" t="str">
        <f aca="false">IF(A646="","",IF(ISNUMBER(SEARCH("2歳",Z646)),"2歳戦",IF(ISNUMBER(SEARCH("3歳未勝利",Z646)),"3歳未勝利",IF(ISNUMBER(SEARCH("未勝利",Z646)),"その他未勝利",IF(ISNUMBER(SEARCH("G1",Z646)),"G1",IF(ISNUMBER(SEARCH("G2",Z646)),"G2",IF(ISNUMBER(SEARCH("G3",Z646)),"G3",IF(ISNUMBER(SEARCH("古馬条件",Z646)),"古馬条件戦",IF(ISNUMBER(SEARCH("重賞",Z646)),"重賞","分類不能")))))))))</f>
        <v>分類不能</v>
      </c>
      <c r="AR646" s="8"/>
      <c r="AS646" s="8" t="s">
        <v>7623</v>
      </c>
      <c r="AT646" s="8" t="s">
        <v>7624</v>
      </c>
      <c r="AU646" s="8" t="s">
        <v>7600</v>
      </c>
      <c r="AV646" s="4" t="s">
        <v>7601</v>
      </c>
      <c r="AW646" s="8"/>
      <c r="AX646" s="8"/>
      <c r="AY646" s="8" t="s">
        <v>7602</v>
      </c>
      <c r="AZ646" s="4" t="s">
        <v>7603</v>
      </c>
      <c r="BA646" s="8" t="n">
        <v>1600</v>
      </c>
      <c r="BB646" s="8" t="s">
        <v>7598</v>
      </c>
      <c r="BC646" s="4" t="s">
        <v>7604</v>
      </c>
      <c r="BD646" s="8" t="s">
        <v>7605</v>
      </c>
      <c r="BE646" s="4" t="s">
        <v>7606</v>
      </c>
      <c r="BF646" s="8" t="s">
        <v>7607</v>
      </c>
      <c r="BG646" s="8" t="s">
        <v>7608</v>
      </c>
      <c r="BH646" s="4" t="s">
        <v>7609</v>
      </c>
      <c r="BI646" s="8" t="n">
        <v>18</v>
      </c>
      <c r="BJ646" s="8" t="s">
        <v>7602</v>
      </c>
      <c r="BK646" s="4" t="s">
        <v>7653</v>
      </c>
      <c r="BL646" s="8" t="s">
        <v>7602</v>
      </c>
      <c r="BM646" s="4" t="s">
        <v>7620</v>
      </c>
      <c r="BN646" s="8" t="s">
        <v>7676</v>
      </c>
      <c r="BO646" s="8" t="s">
        <v>7778</v>
      </c>
      <c r="BP646" s="8" t="s">
        <v>7610</v>
      </c>
      <c r="BQ646" s="8" t="str">
        <f aca="false">IF(A646="","",AT646)</f>
        <v>3歳</v>
      </c>
      <c r="BR646" s="8" t="str">
        <f aca="false">IF(A646="","",IF(BA646&lt;=1200,"～1200",IF(BA646&lt;=1500,"1300～1500",IF(BA646=1600,"1600",IF(BA646&lt;=1800,"1700～1800",IF(BA646&lt;=2000,"1900～2000","2100以上"))))))</f>
        <v>1600</v>
      </c>
      <c r="BS646" s="8" t="str">
        <f aca="false">IF(A646="","",IF(AX646="G1","G1",IF(AX646="G2","G2",IF(AX646="G3","G3",IF(AX646="L","L","その他")))))</f>
        <v>その他</v>
      </c>
      <c r="BT646" s="8" t="str">
        <f aca="false">IF(A646="","",IF(BI646="","未結合",IF(D646=BI646,"一致","不一致")))</f>
        <v>一致</v>
      </c>
      <c r="BU646" s="8" t="str">
        <f aca="false">IF(A646="","",IF(BE646="牝馬限定","牝馬限定","その他"))</f>
        <v>その他</v>
      </c>
    </row>
    <row r="647" customFormat="false" ht="15.75" hidden="false" customHeight="false" outlineLevel="0" collapsed="false">
      <c r="A647" s="6" t="n">
        <v>46173</v>
      </c>
      <c r="B647" s="4" t="s">
        <v>5435</v>
      </c>
      <c r="C647" s="8" t="n">
        <v>6</v>
      </c>
      <c r="D647" s="8" t="n">
        <v>14</v>
      </c>
      <c r="E647" s="8" t="n">
        <v>9</v>
      </c>
      <c r="F647" s="4" t="s">
        <v>4175</v>
      </c>
      <c r="G647" s="8" t="n">
        <v>52</v>
      </c>
      <c r="H647" s="8" t="n">
        <v>8</v>
      </c>
      <c r="I647" s="4" t="s">
        <v>6122</v>
      </c>
      <c r="J647" s="8" t="n">
        <v>41</v>
      </c>
      <c r="K647" s="8" t="n">
        <v>12</v>
      </c>
      <c r="L647" s="4" t="s">
        <v>6124</v>
      </c>
      <c r="M647" s="8" t="n">
        <v>37</v>
      </c>
      <c r="N647" s="8" t="n">
        <f aca="false">IF(A647="","",G647-J647)</f>
        <v>11</v>
      </c>
      <c r="O647" s="8" t="n">
        <f aca="false">IF(A647="","",J647-M647)</f>
        <v>4</v>
      </c>
      <c r="P647" s="8" t="n">
        <f aca="false">IF(A647="","",G647+J647)</f>
        <v>93</v>
      </c>
      <c r="Q647" s="8" t="str">
        <f aca="false">IF(A647="","",IF(AND(Y647&lt;&gt;"参考",G647&gt;=ルール設定!$B$2),"○",""))</f>
        <v/>
      </c>
      <c r="R647" s="8" t="str">
        <f aca="false">IF(A647="","",IF(AND(Y647&lt;&gt;"参考",G647&gt;=ルール設定!$B$3,N647&gt;=ルール設定!$B$4),"○",""))</f>
        <v/>
      </c>
      <c r="S647" s="8" t="str">
        <f aca="false">IF(A647="","",IF(AND(Y647&lt;&gt;"参考",G647&gt;=ルール設定!$B$5,J647&gt;=ルール設定!$B$6,O647&gt;=ルール設定!$B$7),"○",""))</f>
        <v/>
      </c>
      <c r="T647" s="8" t="n">
        <v>3</v>
      </c>
      <c r="U647" s="8" t="n">
        <v>1</v>
      </c>
      <c r="V647" s="8" t="str">
        <f aca="false">IF(A647="","",IF(AND(ISNUMBER(T647),ISNUMBER(U647)),IF(AND(T647&lt;=3,U647&lt;=3),"○","×"),""))</f>
        <v>○</v>
      </c>
      <c r="W647" s="8" t="n">
        <v>140</v>
      </c>
      <c r="X647" s="8" t="n">
        <v>190</v>
      </c>
      <c r="Y647" s="4" t="s">
        <v>7597</v>
      </c>
      <c r="Z647" s="4" t="s">
        <v>7841</v>
      </c>
      <c r="AA647" s="8" t="str">
        <v/>
      </c>
      <c r="AB647" s="8" t="str">
        <v/>
      </c>
      <c r="AC647" s="8" t="str">
        <v/>
      </c>
      <c r="AD647" s="8" t="str">
        <v/>
      </c>
      <c r="AE647" s="8" t="str">
        <v/>
      </c>
      <c r="AF647" s="8" t="str">
        <v/>
      </c>
      <c r="AG647" s="8" t="str">
        <v/>
      </c>
      <c r="AH647" s="8" t="str">
        <v/>
      </c>
      <c r="AI647" s="8" t="n">
        <v>15</v>
      </c>
      <c r="AJ647" s="8" t="str">
        <v>～59</v>
      </c>
      <c r="AK647" s="8" t="str">
        <v>10～19</v>
      </c>
      <c r="AL647" s="8" t="str">
        <v>10～19</v>
      </c>
      <c r="AM647" s="8" t="str">
        <v>～99</v>
      </c>
      <c r="AN647" s="8" t="str">
        <v>12～14</v>
      </c>
      <c r="AO647" s="8" t="str">
        <f aca="false">IF(A647="","",IF(COUNTIFS(全馬データ!$A$2:$A$50000,A647,全馬データ!$B$2:$B$50000,B647,全馬データ!$C$2:$C$50000,C647,全馬データ!$D$2:$D$50000,E647,全馬データ!$K$2:$K$50000,"&lt;&gt;")=0,"",SUMIFS(全馬データ!$K$2:$K$50000,全馬データ!$A$2:$A$50000,A647,全馬データ!$B$2:$B$50000,B647,全馬データ!$C$2:$C$50000,C647,全馬データ!$D$2:$D$50000,E647)))</f>
        <v/>
      </c>
      <c r="AP647" s="8" t="str">
        <f aca="false">IF(A647="","",IF(AO647="","欠損",IF(AO647&lt;=1.1,"1.0～1.1",IF(AO647&lt;1.3,"1.2",IF(AO647&lt;1.5,"1.3～1.4",IF(AO647&lt;2,"1.5～1.9","2.0以上"))))))</f>
        <v>欠損</v>
      </c>
      <c r="AQ647" s="8" t="str">
        <f aca="false">IF(A647="","",IF(ISNUMBER(SEARCH("2歳",Z647)),"2歳戦",IF(ISNUMBER(SEARCH("3歳未勝利",Z647)),"3歳未勝利",IF(ISNUMBER(SEARCH("未勝利",Z647)),"その他未勝利",IF(ISNUMBER(SEARCH("G1",Z647)),"G1",IF(ISNUMBER(SEARCH("G2",Z647)),"G2",IF(ISNUMBER(SEARCH("G3",Z647)),"G3",IF(ISNUMBER(SEARCH("古馬条件",Z647)),"古馬条件戦",IF(ISNUMBER(SEARCH("重賞",Z647)),"重賞","分類不能")))))))))</f>
        <v>分類不能</v>
      </c>
      <c r="AR647" s="8"/>
      <c r="AS647" s="8" t="s">
        <v>7623</v>
      </c>
      <c r="AT647" s="8" t="s">
        <v>7624</v>
      </c>
      <c r="AU647" s="8" t="s">
        <v>7628</v>
      </c>
      <c r="AV647" s="8" t="s">
        <v>7629</v>
      </c>
      <c r="AW647" s="8"/>
      <c r="AX647" s="8"/>
      <c r="AY647" s="8" t="s">
        <v>7610</v>
      </c>
      <c r="AZ647" s="4" t="s">
        <v>7617</v>
      </c>
      <c r="BA647" s="8" t="n">
        <v>1400</v>
      </c>
      <c r="BB647" s="8" t="s">
        <v>7598</v>
      </c>
      <c r="BC647" s="4" t="s">
        <v>7604</v>
      </c>
      <c r="BD647" s="8" t="s">
        <v>7605</v>
      </c>
      <c r="BE647" s="4" t="s">
        <v>7606</v>
      </c>
      <c r="BF647" s="8" t="s">
        <v>7607</v>
      </c>
      <c r="BG647" s="8" t="s">
        <v>7608</v>
      </c>
      <c r="BH647" s="4" t="s">
        <v>7609</v>
      </c>
      <c r="BI647" s="8" t="n">
        <v>14</v>
      </c>
      <c r="BJ647" s="8" t="s">
        <v>7602</v>
      </c>
      <c r="BK647" s="4" t="s">
        <v>7653</v>
      </c>
      <c r="BL647" s="8" t="s">
        <v>7602</v>
      </c>
      <c r="BM647" s="4" t="s">
        <v>7620</v>
      </c>
      <c r="BN647" s="8"/>
      <c r="BO647" s="8"/>
      <c r="BP647" s="8" t="s">
        <v>7610</v>
      </c>
      <c r="BQ647" s="8" t="str">
        <f aca="false">IF(A647="","",AT647)</f>
        <v>3歳</v>
      </c>
      <c r="BR647" s="8" t="str">
        <f aca="false">IF(A647="","",IF(BA647&lt;=1200,"～1200",IF(BA647&lt;=1500,"1300～1500",IF(BA647=1600,"1600",IF(BA647&lt;=1800,"1700～1800",IF(BA647&lt;=2000,"1900～2000","2100以上"))))))</f>
        <v>1300～1500</v>
      </c>
      <c r="BS647" s="8" t="str">
        <f aca="false">IF(A647="","",IF(AX647="G1","G1",IF(AX647="G2","G2",IF(AX647="G3","G3",IF(AX647="L","L","その他")))))</f>
        <v>その他</v>
      </c>
      <c r="BT647" s="8" t="str">
        <f aca="false">IF(A647="","",IF(BI647="","未結合",IF(D647=BI647,"一致","不一致")))</f>
        <v>一致</v>
      </c>
      <c r="BU647" s="8" t="str">
        <f aca="false">IF(A647="","",IF(BE647="牝馬限定","牝馬限定","その他"))</f>
        <v>その他</v>
      </c>
    </row>
    <row r="648" customFormat="false" ht="15.75" hidden="false" customHeight="false" outlineLevel="0" collapsed="false">
      <c r="A648" s="6" t="n">
        <v>46173</v>
      </c>
      <c r="B648" s="4" t="s">
        <v>5435</v>
      </c>
      <c r="C648" s="8" t="n">
        <v>7</v>
      </c>
      <c r="D648" s="8" t="n">
        <v>10</v>
      </c>
      <c r="E648" s="8" t="n">
        <v>1</v>
      </c>
      <c r="F648" s="4" t="s">
        <v>4189</v>
      </c>
      <c r="G648" s="8" t="n">
        <v>52</v>
      </c>
      <c r="H648" s="8" t="n">
        <v>8</v>
      </c>
      <c r="I648" s="4" t="s">
        <v>6132</v>
      </c>
      <c r="J648" s="8" t="n">
        <v>39</v>
      </c>
      <c r="K648" s="8" t="n">
        <v>10</v>
      </c>
      <c r="L648" s="4" t="s">
        <v>2123</v>
      </c>
      <c r="M648" s="8" t="n">
        <v>37</v>
      </c>
      <c r="N648" s="8" t="n">
        <f aca="false">IF(A648="","",G648-J648)</f>
        <v>13</v>
      </c>
      <c r="O648" s="8" t="n">
        <f aca="false">IF(A648="","",J648-M648)</f>
        <v>2</v>
      </c>
      <c r="P648" s="8" t="n">
        <f aca="false">IF(A648="","",G648+J648)</f>
        <v>91</v>
      </c>
      <c r="Q648" s="8" t="str">
        <f aca="false">IF(A648="","",IF(AND(Y648&lt;&gt;"参考",G648&gt;=ルール設定!$B$2),"○",""))</f>
        <v/>
      </c>
      <c r="R648" s="8" t="str">
        <f aca="false">IF(A648="","",IF(AND(Y648&lt;&gt;"参考",G648&gt;=ルール設定!$B$3,N648&gt;=ルール設定!$B$4),"○",""))</f>
        <v/>
      </c>
      <c r="S648" s="8" t="str">
        <f aca="false">IF(A648="","",IF(AND(Y648&lt;&gt;"参考",G648&gt;=ルール設定!$B$5,J648&gt;=ルール設定!$B$6,O648&gt;=ルール設定!$B$7),"○",""))</f>
        <v/>
      </c>
      <c r="T648" s="8" t="n">
        <v>1</v>
      </c>
      <c r="U648" s="8" t="n">
        <v>4</v>
      </c>
      <c r="V648" s="8" t="str">
        <f aca="false">IF(A648="","",IF(AND(ISNUMBER(T648),ISNUMBER(U648)),IF(AND(T648&lt;=3,U648&lt;=3),"○","×"),""))</f>
        <v>×</v>
      </c>
      <c r="W648" s="8" t="n">
        <v>120</v>
      </c>
      <c r="X648" s="8"/>
      <c r="Y648" s="4" t="s">
        <v>7597</v>
      </c>
      <c r="Z648" s="4" t="s">
        <v>7841</v>
      </c>
      <c r="AA648" s="8" t="str">
        <v/>
      </c>
      <c r="AB648" s="8" t="str">
        <v/>
      </c>
      <c r="AC648" s="8" t="str">
        <v/>
      </c>
      <c r="AD648" s="8" t="str">
        <v/>
      </c>
      <c r="AE648" s="8" t="str">
        <v/>
      </c>
      <c r="AF648" s="8" t="str">
        <v/>
      </c>
      <c r="AG648" s="8" t="str">
        <v/>
      </c>
      <c r="AH648" s="8" t="str">
        <v/>
      </c>
      <c r="AI648" s="8" t="n">
        <v>15</v>
      </c>
      <c r="AJ648" s="8" t="str">
        <v>～59</v>
      </c>
      <c r="AK648" s="8" t="str">
        <v>10～19</v>
      </c>
      <c r="AL648" s="8" t="str">
        <v>10～19</v>
      </c>
      <c r="AM648" s="8" t="str">
        <v>～99</v>
      </c>
      <c r="AN648" s="8" t="str">
        <v>8～11</v>
      </c>
      <c r="AO648" s="8" t="str">
        <f aca="false">IF(A648="","",IF(COUNTIFS(全馬データ!$A$2:$A$50000,A648,全馬データ!$B$2:$B$50000,B648,全馬データ!$C$2:$C$50000,C648,全馬データ!$D$2:$D$50000,E648,全馬データ!$K$2:$K$50000,"&lt;&gt;")=0,"",SUMIFS(全馬データ!$K$2:$K$50000,全馬データ!$A$2:$A$50000,A648,全馬データ!$B$2:$B$50000,B648,全馬データ!$C$2:$C$50000,C648,全馬データ!$D$2:$D$50000,E648)))</f>
        <v/>
      </c>
      <c r="AP648" s="8" t="str">
        <f aca="false">IF(A648="","",IF(AO648="","欠損",IF(AO648&lt;=1.1,"1.0～1.1",IF(AO648&lt;1.3,"1.2",IF(AO648&lt;1.5,"1.3～1.4",IF(AO648&lt;2,"1.5～1.9","2.0以上"))))))</f>
        <v>欠損</v>
      </c>
      <c r="AQ648" s="8" t="str">
        <f aca="false">IF(A648="","",IF(ISNUMBER(SEARCH("2歳",Z648)),"2歳戦",IF(ISNUMBER(SEARCH("3歳未勝利",Z648)),"3歳未勝利",IF(ISNUMBER(SEARCH("未勝利",Z648)),"その他未勝利",IF(ISNUMBER(SEARCH("G1",Z648)),"G1",IF(ISNUMBER(SEARCH("G2",Z648)),"G2",IF(ISNUMBER(SEARCH("G3",Z648)),"G3",IF(ISNUMBER(SEARCH("古馬条件",Z648)),"古馬条件戦",IF(ISNUMBER(SEARCH("重賞",Z648)),"重賞","分類不能")))))))))</f>
        <v>分類不能</v>
      </c>
      <c r="AR648" s="8"/>
      <c r="AS648" s="8" t="s">
        <v>7842</v>
      </c>
      <c r="AT648" s="8" t="s">
        <v>7843</v>
      </c>
      <c r="AU648" s="8" t="s">
        <v>7628</v>
      </c>
      <c r="AV648" s="8" t="s">
        <v>7629</v>
      </c>
      <c r="AW648" s="8"/>
      <c r="AX648" s="8"/>
      <c r="AY648" s="8" t="s">
        <v>7602</v>
      </c>
      <c r="AZ648" s="4" t="s">
        <v>7603</v>
      </c>
      <c r="BA648" s="8" t="n">
        <v>2400</v>
      </c>
      <c r="BB648" s="8" t="s">
        <v>7598</v>
      </c>
      <c r="BC648" s="4" t="s">
        <v>7604</v>
      </c>
      <c r="BD648" s="8" t="s">
        <v>7605</v>
      </c>
      <c r="BE648" s="4" t="s">
        <v>7606</v>
      </c>
      <c r="BF648" s="8" t="s">
        <v>7607</v>
      </c>
      <c r="BG648" s="8" t="s">
        <v>7631</v>
      </c>
      <c r="BH648" s="4" t="s">
        <v>7632</v>
      </c>
      <c r="BI648" s="8" t="n">
        <v>10</v>
      </c>
      <c r="BJ648" s="8" t="s">
        <v>7602</v>
      </c>
      <c r="BK648" s="4" t="s">
        <v>7653</v>
      </c>
      <c r="BL648" s="8" t="s">
        <v>7610</v>
      </c>
      <c r="BM648" s="4" t="s">
        <v>7612</v>
      </c>
      <c r="BN648" s="8" t="s">
        <v>7676</v>
      </c>
      <c r="BO648" s="8" t="s">
        <v>7778</v>
      </c>
      <c r="BP648" s="8" t="s">
        <v>7610</v>
      </c>
      <c r="BQ648" s="8" t="str">
        <f aca="false">IF(A648="","",AT648)</f>
        <v>4歳以上</v>
      </c>
      <c r="BR648" s="8" t="str">
        <f aca="false">IF(A648="","",IF(BA648&lt;=1200,"～1200",IF(BA648&lt;=1500,"1300～1500",IF(BA648=1600,"1600",IF(BA648&lt;=1800,"1700～1800",IF(BA648&lt;=2000,"1900～2000","2100以上"))))))</f>
        <v>2100以上</v>
      </c>
      <c r="BS648" s="8" t="str">
        <f aca="false">IF(A648="","",IF(AX648="G1","G1",IF(AX648="G2","G2",IF(AX648="G3","G3",IF(AX648="L","L","その他")))))</f>
        <v>その他</v>
      </c>
      <c r="BT648" s="8" t="str">
        <f aca="false">IF(A648="","",IF(BI648="","未結合",IF(D648=BI648,"一致","不一致")))</f>
        <v>一致</v>
      </c>
      <c r="BU648" s="8" t="str">
        <f aca="false">IF(A648="","",IF(BE648="牝馬限定","牝馬限定","その他"))</f>
        <v>その他</v>
      </c>
    </row>
    <row r="649" customFormat="false" ht="15.75" hidden="false" customHeight="false" outlineLevel="0" collapsed="false">
      <c r="A649" s="6" t="n">
        <v>46173</v>
      </c>
      <c r="B649" s="4" t="s">
        <v>5435</v>
      </c>
      <c r="C649" s="8" t="n">
        <v>8</v>
      </c>
      <c r="D649" s="8" t="n">
        <v>8</v>
      </c>
      <c r="E649" s="8" t="n">
        <v>2</v>
      </c>
      <c r="F649" s="4" t="s">
        <v>4188</v>
      </c>
      <c r="G649" s="8" t="n">
        <v>65</v>
      </c>
      <c r="H649" s="8" t="n">
        <v>8</v>
      </c>
      <c r="I649" s="4" t="s">
        <v>6135</v>
      </c>
      <c r="J649" s="8" t="n">
        <v>60</v>
      </c>
      <c r="K649" s="8" t="n">
        <v>1</v>
      </c>
      <c r="L649" s="4" t="s">
        <v>4348</v>
      </c>
      <c r="M649" s="8" t="n">
        <v>47</v>
      </c>
      <c r="N649" s="8" t="n">
        <f aca="false">IF(A649="","",G649-J649)</f>
        <v>5</v>
      </c>
      <c r="O649" s="8" t="n">
        <f aca="false">IF(A649="","",J649-M649)</f>
        <v>13</v>
      </c>
      <c r="P649" s="8" t="n">
        <f aca="false">IF(A649="","",G649+J649)</f>
        <v>125</v>
      </c>
      <c r="Q649" s="8" t="str">
        <f aca="false">IF(A649="","",IF(AND(Y649&lt;&gt;"参考",G649&gt;=ルール設定!$B$2),"○",""))</f>
        <v/>
      </c>
      <c r="R649" s="8" t="str">
        <f aca="false">IF(A649="","",IF(AND(Y649&lt;&gt;"参考",G649&gt;=ルール設定!$B$3,N649&gt;=ルール設定!$B$4),"○",""))</f>
        <v/>
      </c>
      <c r="S649" s="8" t="str">
        <f aca="false">IF(A649="","",IF(AND(Y649&lt;&gt;"参考",G649&gt;=ルール設定!$B$5,J649&gt;=ルール設定!$B$6,O649&gt;=ルール設定!$B$7),"○",""))</f>
        <v/>
      </c>
      <c r="T649" s="8" t="n">
        <v>4</v>
      </c>
      <c r="U649" s="8" t="n">
        <v>4</v>
      </c>
      <c r="V649" s="8" t="str">
        <f aca="false">IF(A649="","",IF(AND(ISNUMBER(T649),ISNUMBER(U649)),IF(AND(T649&lt;=3,U649&lt;=3),"○","×"),""))</f>
        <v>×</v>
      </c>
      <c r="W649" s="8"/>
      <c r="X649" s="8"/>
      <c r="Y649" s="4" t="s">
        <v>7597</v>
      </c>
      <c r="Z649" s="4" t="s">
        <v>7841</v>
      </c>
      <c r="AA649" s="8" t="str">
        <v/>
      </c>
      <c r="AB649" s="8" t="str">
        <v/>
      </c>
      <c r="AC649" s="8" t="str">
        <v/>
      </c>
      <c r="AD649" s="8" t="str">
        <v/>
      </c>
      <c r="AE649" s="8" t="str">
        <v/>
      </c>
      <c r="AF649" s="8" t="str">
        <v/>
      </c>
      <c r="AG649" s="8" t="str">
        <v/>
      </c>
      <c r="AH649" s="8" t="str">
        <v/>
      </c>
      <c r="AI649" s="8" t="n">
        <v>18</v>
      </c>
      <c r="AJ649" s="8" t="str">
        <v>60～69</v>
      </c>
      <c r="AK649" s="8" t="str">
        <v>5～9</v>
      </c>
      <c r="AL649" s="8" t="str">
        <v>10～19</v>
      </c>
      <c r="AM649" s="8" t="str">
        <v>120～139</v>
      </c>
      <c r="AN649" s="8" t="str">
        <v>8～11</v>
      </c>
      <c r="AO649" s="8" t="str">
        <f aca="false">IF(A649="","",IF(COUNTIFS(全馬データ!$A$2:$A$50000,A649,全馬データ!$B$2:$B$50000,B649,全馬データ!$C$2:$C$50000,C649,全馬データ!$D$2:$D$50000,E649,全馬データ!$K$2:$K$50000,"&lt;&gt;")=0,"",SUMIFS(全馬データ!$K$2:$K$50000,全馬データ!$A$2:$A$50000,A649,全馬データ!$B$2:$B$50000,B649,全馬データ!$C$2:$C$50000,C649,全馬データ!$D$2:$D$50000,E649)))</f>
        <v/>
      </c>
      <c r="AP649" s="8" t="str">
        <f aca="false">IF(A649="","",IF(AO649="","欠損",IF(AO649&lt;=1.1,"1.0～1.1",IF(AO649&lt;1.3,"1.2",IF(AO649&lt;1.5,"1.3～1.4",IF(AO649&lt;2,"1.5～1.9","2.0以上"))))))</f>
        <v>欠損</v>
      </c>
      <c r="AQ649" s="8" t="str">
        <f aca="false">IF(A649="","",IF(ISNUMBER(SEARCH("2歳",Z649)),"2歳戦",IF(ISNUMBER(SEARCH("3歳未勝利",Z649)),"3歳未勝利",IF(ISNUMBER(SEARCH("未勝利",Z649)),"その他未勝利",IF(ISNUMBER(SEARCH("G1",Z649)),"G1",IF(ISNUMBER(SEARCH("G2",Z649)),"G2",IF(ISNUMBER(SEARCH("G3",Z649)),"G3",IF(ISNUMBER(SEARCH("古馬条件",Z649)),"古馬条件戦",IF(ISNUMBER(SEARCH("重賞",Z649)),"重賞","分類不能")))))))))</f>
        <v>分類不能</v>
      </c>
      <c r="AR649" s="8"/>
      <c r="AS649" s="8" t="s">
        <v>7842</v>
      </c>
      <c r="AT649" s="8" t="s">
        <v>7843</v>
      </c>
      <c r="AU649" s="8" t="s">
        <v>7634</v>
      </c>
      <c r="AV649" s="8" t="s">
        <v>7635</v>
      </c>
      <c r="AW649" s="8"/>
      <c r="AX649" s="8"/>
      <c r="AY649" s="8" t="s">
        <v>7602</v>
      </c>
      <c r="AZ649" s="4" t="s">
        <v>7603</v>
      </c>
      <c r="BA649" s="8" t="n">
        <v>2000</v>
      </c>
      <c r="BB649" s="8" t="s">
        <v>7598</v>
      </c>
      <c r="BC649" s="4" t="s">
        <v>7604</v>
      </c>
      <c r="BD649" s="8" t="s">
        <v>7621</v>
      </c>
      <c r="BE649" s="4" t="s">
        <v>7622</v>
      </c>
      <c r="BF649" s="8" t="s">
        <v>7602</v>
      </c>
      <c r="BG649" s="8" t="s">
        <v>7631</v>
      </c>
      <c r="BH649" s="4" t="s">
        <v>7632</v>
      </c>
      <c r="BI649" s="8" t="n">
        <v>8</v>
      </c>
      <c r="BJ649" s="8" t="s">
        <v>7602</v>
      </c>
      <c r="BK649" s="4" t="s">
        <v>7653</v>
      </c>
      <c r="BL649" s="8" t="s">
        <v>7602</v>
      </c>
      <c r="BM649" s="4" t="s">
        <v>7620</v>
      </c>
      <c r="BN649" s="8" t="s">
        <v>7676</v>
      </c>
      <c r="BO649" s="8" t="s">
        <v>7778</v>
      </c>
      <c r="BP649" s="8" t="s">
        <v>7610</v>
      </c>
      <c r="BQ649" s="8" t="str">
        <f aca="false">IF(A649="","",AT649)</f>
        <v>4歳以上</v>
      </c>
      <c r="BR649" s="8" t="str">
        <f aca="false">IF(A649="","",IF(BA649&lt;=1200,"～1200",IF(BA649&lt;=1500,"1300～1500",IF(BA649=1600,"1600",IF(BA649&lt;=1800,"1700～1800",IF(BA649&lt;=2000,"1900～2000","2100以上"))))))</f>
        <v>1900～2000</v>
      </c>
      <c r="BS649" s="8" t="str">
        <f aca="false">IF(A649="","",IF(AX649="G1","G1",IF(AX649="G2","G2",IF(AX649="G3","G3",IF(AX649="L","L","その他")))))</f>
        <v>その他</v>
      </c>
      <c r="BT649" s="8" t="str">
        <f aca="false">IF(A649="","",IF(BI649="","未結合",IF(D649=BI649,"一致","不一致")))</f>
        <v>一致</v>
      </c>
      <c r="BU649" s="8" t="str">
        <f aca="false">IF(A649="","",IF(BE649="牝馬限定","牝馬限定","その他"))</f>
        <v>牝馬限定</v>
      </c>
    </row>
    <row r="650" customFormat="false" ht="15.75" hidden="false" customHeight="false" outlineLevel="0" collapsed="false">
      <c r="A650" s="6" t="n">
        <v>46173</v>
      </c>
      <c r="B650" s="4" t="s">
        <v>5435</v>
      </c>
      <c r="C650" s="8" t="n">
        <v>9</v>
      </c>
      <c r="D650" s="8" t="n">
        <v>11</v>
      </c>
      <c r="E650" s="8" t="n">
        <v>10</v>
      </c>
      <c r="F650" s="4" t="s">
        <v>6138</v>
      </c>
      <c r="G650" s="8" t="n">
        <v>60</v>
      </c>
      <c r="H650" s="8" t="n">
        <v>11</v>
      </c>
      <c r="I650" s="4" t="s">
        <v>6139</v>
      </c>
      <c r="J650" s="8" t="n">
        <v>60</v>
      </c>
      <c r="K650" s="8" t="n">
        <v>8</v>
      </c>
      <c r="L650" s="4" t="s">
        <v>250</v>
      </c>
      <c r="M650" s="8" t="n">
        <v>41</v>
      </c>
      <c r="N650" s="8" t="n">
        <f aca="false">IF(A650="","",G650-J650)</f>
        <v>0</v>
      </c>
      <c r="O650" s="8" t="n">
        <f aca="false">IF(A650="","",J650-M650)</f>
        <v>19</v>
      </c>
      <c r="P650" s="8" t="n">
        <f aca="false">IF(A650="","",G650+J650)</f>
        <v>120</v>
      </c>
      <c r="Q650" s="8" t="str">
        <f aca="false">IF(A650="","",IF(AND(Y650&lt;&gt;"参考",G650&gt;=ルール設定!$B$2),"○",""))</f>
        <v/>
      </c>
      <c r="R650" s="8" t="str">
        <f aca="false">IF(A650="","",IF(AND(Y650&lt;&gt;"参考",G650&gt;=ルール設定!$B$3,N650&gt;=ルール設定!$B$4),"○",""))</f>
        <v/>
      </c>
      <c r="S650" s="8" t="str">
        <f aca="false">IF(A650="","",IF(AND(Y650&lt;&gt;"参考",G650&gt;=ルール設定!$B$5,J650&gt;=ルール設定!$B$6,O650&gt;=ルール設定!$B$7),"○",""))</f>
        <v/>
      </c>
      <c r="T650" s="8" t="n">
        <v>1</v>
      </c>
      <c r="U650" s="8" t="n">
        <v>2</v>
      </c>
      <c r="V650" s="8" t="str">
        <f aca="false">IF(A650="","",IF(AND(ISNUMBER(T650),ISNUMBER(U650)),IF(AND(T650&lt;=3,U650&lt;=3),"○","×"),""))</f>
        <v>○</v>
      </c>
      <c r="W650" s="8" t="n">
        <v>110</v>
      </c>
      <c r="X650" s="8" t="n">
        <v>190</v>
      </c>
      <c r="Y650" s="4" t="s">
        <v>7597</v>
      </c>
      <c r="Z650" s="4" t="s">
        <v>7841</v>
      </c>
      <c r="AA650" s="8" t="str">
        <v/>
      </c>
      <c r="AB650" s="8" t="str">
        <v/>
      </c>
      <c r="AC650" s="8" t="str">
        <v/>
      </c>
      <c r="AD650" s="8" t="str">
        <v/>
      </c>
      <c r="AE650" s="8" t="str">
        <v/>
      </c>
      <c r="AF650" s="8" t="str">
        <v/>
      </c>
      <c r="AG650" s="8" t="str">
        <v/>
      </c>
      <c r="AH650" s="8" t="str">
        <v/>
      </c>
      <c r="AI650" s="8" t="n">
        <v>19</v>
      </c>
      <c r="AJ650" s="8" t="str">
        <v>60～69</v>
      </c>
      <c r="AK650" s="8" t="str">
        <v>0～4</v>
      </c>
      <c r="AL650" s="8" t="str">
        <v>10～19</v>
      </c>
      <c r="AM650" s="8" t="str">
        <v>120～139</v>
      </c>
      <c r="AN650" s="8" t="str">
        <v>8～11</v>
      </c>
      <c r="AO650" s="8" t="str">
        <f aca="false">IF(A650="","",IF(COUNTIFS(全馬データ!$A$2:$A$50000,A650,全馬データ!$B$2:$B$50000,B650,全馬データ!$C$2:$C$50000,C650,全馬データ!$D$2:$D$50000,E650,全馬データ!$K$2:$K$50000,"&lt;&gt;")=0,"",SUMIFS(全馬データ!$K$2:$K$50000,全馬データ!$A$2:$A$50000,A650,全馬データ!$B$2:$B$50000,B650,全馬データ!$C$2:$C$50000,C650,全馬データ!$D$2:$D$50000,E650)))</f>
        <v/>
      </c>
      <c r="AP650" s="8" t="str">
        <f aca="false">IF(A650="","",IF(AO650="","欠損",IF(AO650&lt;=1.1,"1.0～1.1",IF(AO650&lt;1.3,"1.2",IF(AO650&lt;1.5,"1.3～1.4",IF(AO650&lt;2,"1.5～1.9","2.0以上"))))))</f>
        <v>欠損</v>
      </c>
      <c r="AQ650" s="8" t="str">
        <f aca="false">IF(A650="","",IF(ISNUMBER(SEARCH("2歳",Z650)),"2歳戦",IF(ISNUMBER(SEARCH("3歳未勝利",Z650)),"3歳未勝利",IF(ISNUMBER(SEARCH("未勝利",Z650)),"その他未勝利",IF(ISNUMBER(SEARCH("G1",Z650)),"G1",IF(ISNUMBER(SEARCH("G2",Z650)),"G2",IF(ISNUMBER(SEARCH("G3",Z650)),"G3",IF(ISNUMBER(SEARCH("古馬条件",Z650)),"古馬条件戦",IF(ISNUMBER(SEARCH("重賞",Z650)),"重賞","分類不能")))))))))</f>
        <v>分類不能</v>
      </c>
      <c r="AR650" s="4" t="s">
        <v>7882</v>
      </c>
      <c r="AS650" s="8" t="s">
        <v>7842</v>
      </c>
      <c r="AT650" s="8" t="s">
        <v>7843</v>
      </c>
      <c r="AU650" s="8" t="s">
        <v>7634</v>
      </c>
      <c r="AV650" s="8" t="s">
        <v>7635</v>
      </c>
      <c r="AW650" s="8" t="s">
        <v>7636</v>
      </c>
      <c r="AX650" s="4" t="s">
        <v>7637</v>
      </c>
      <c r="AY650" s="8" t="s">
        <v>7610</v>
      </c>
      <c r="AZ650" s="4" t="s">
        <v>7617</v>
      </c>
      <c r="BA650" s="8" t="n">
        <v>1800</v>
      </c>
      <c r="BB650" s="8" t="s">
        <v>7598</v>
      </c>
      <c r="BC650" s="4" t="s">
        <v>7604</v>
      </c>
      <c r="BD650" s="8" t="s">
        <v>7605</v>
      </c>
      <c r="BE650" s="4" t="s">
        <v>7606</v>
      </c>
      <c r="BF650" s="8" t="s">
        <v>7607</v>
      </c>
      <c r="BG650" s="8" t="s">
        <v>7631</v>
      </c>
      <c r="BH650" s="4" t="s">
        <v>7632</v>
      </c>
      <c r="BI650" s="8" t="n">
        <v>11</v>
      </c>
      <c r="BJ650" s="8" t="s">
        <v>7602</v>
      </c>
      <c r="BK650" s="4" t="s">
        <v>7653</v>
      </c>
      <c r="BL650" s="8" t="s">
        <v>7602</v>
      </c>
      <c r="BM650" s="4" t="s">
        <v>7620</v>
      </c>
      <c r="BN650" s="8"/>
      <c r="BO650" s="8"/>
      <c r="BP650" s="8" t="s">
        <v>7610</v>
      </c>
      <c r="BQ650" s="8" t="str">
        <f aca="false">IF(A650="","",AT650)</f>
        <v>4歳以上</v>
      </c>
      <c r="BR650" s="8" t="str">
        <f aca="false">IF(A650="","",IF(BA650&lt;=1200,"～1200",IF(BA650&lt;=1500,"1300～1500",IF(BA650=1600,"1600",IF(BA650&lt;=1800,"1700～1800",IF(BA650&lt;=2000,"1900～2000","2100以上"))))))</f>
        <v>1700～1800</v>
      </c>
      <c r="BS650" s="8" t="str">
        <f aca="false">IF(A650="","",IF(AX650="G1","G1",IF(AX650="G2","G2",IF(AX650="G3","G3",IF(AX650="L","L","その他")))))</f>
        <v>その他</v>
      </c>
      <c r="BT650" s="8" t="str">
        <f aca="false">IF(A650="","",IF(BI650="","未結合",IF(D650=BI650,"一致","不一致")))</f>
        <v>一致</v>
      </c>
      <c r="BU650" s="8" t="str">
        <f aca="false">IF(A650="","",IF(BE650="牝馬限定","牝馬限定","その他"))</f>
        <v>その他</v>
      </c>
    </row>
    <row r="651" customFormat="false" ht="15.75" hidden="false" customHeight="false" outlineLevel="0" collapsed="false">
      <c r="A651" s="6" t="n">
        <v>46173</v>
      </c>
      <c r="B651" s="4" t="s">
        <v>5435</v>
      </c>
      <c r="C651" s="8" t="n">
        <v>10</v>
      </c>
      <c r="D651" s="8" t="n">
        <v>17</v>
      </c>
      <c r="E651" s="8" t="n">
        <v>5</v>
      </c>
      <c r="F651" s="4" t="s">
        <v>4219</v>
      </c>
      <c r="G651" s="8" t="n">
        <v>47</v>
      </c>
      <c r="H651" s="8" t="n">
        <v>1</v>
      </c>
      <c r="I651" s="4" t="s">
        <v>6140</v>
      </c>
      <c r="J651" s="8" t="n">
        <v>39</v>
      </c>
      <c r="K651" s="8" t="n">
        <v>2</v>
      </c>
      <c r="L651" s="4" t="s">
        <v>4208</v>
      </c>
      <c r="M651" s="8" t="n">
        <v>34</v>
      </c>
      <c r="N651" s="8" t="n">
        <f aca="false">IF(A651="","",G651-J651)</f>
        <v>8</v>
      </c>
      <c r="O651" s="8" t="n">
        <f aca="false">IF(A651="","",J651-M651)</f>
        <v>5</v>
      </c>
      <c r="P651" s="8" t="n">
        <f aca="false">IF(A651="","",G651+J651)</f>
        <v>86</v>
      </c>
      <c r="Q651" s="8" t="str">
        <f aca="false">IF(A651="","",IF(AND(Y651&lt;&gt;"参考",G651&gt;=ルール設定!$B$2),"○",""))</f>
        <v/>
      </c>
      <c r="R651" s="8" t="str">
        <f aca="false">IF(A651="","",IF(AND(Y651&lt;&gt;"参考",G651&gt;=ルール設定!$B$3,N651&gt;=ルール設定!$B$4),"○",""))</f>
        <v/>
      </c>
      <c r="S651" s="8" t="str">
        <f aca="false">IF(A651="","",IF(AND(Y651&lt;&gt;"参考",G651&gt;=ルール設定!$B$5,J651&gt;=ルール設定!$B$6,O651&gt;=ルール設定!$B$7),"○",""))</f>
        <v/>
      </c>
      <c r="T651" s="8" t="n">
        <v>2</v>
      </c>
      <c r="U651" s="8" t="n">
        <v>4</v>
      </c>
      <c r="V651" s="8" t="str">
        <f aca="false">IF(A651="","",IF(AND(ISNUMBER(T651),ISNUMBER(U651)),IF(AND(T651&lt;=3,U651&lt;=3),"○","×"),""))</f>
        <v>×</v>
      </c>
      <c r="W651" s="8" t="n">
        <v>230</v>
      </c>
      <c r="X651" s="8"/>
      <c r="Y651" s="4" t="s">
        <v>7597</v>
      </c>
      <c r="Z651" s="4" t="s">
        <v>7841</v>
      </c>
      <c r="AA651" s="8" t="str">
        <v/>
      </c>
      <c r="AB651" s="8" t="str">
        <v/>
      </c>
      <c r="AC651" s="8" t="str">
        <v/>
      </c>
      <c r="AD651" s="8" t="str">
        <v/>
      </c>
      <c r="AE651" s="8" t="str">
        <v/>
      </c>
      <c r="AF651" s="8" t="str">
        <v/>
      </c>
      <c r="AG651" s="8" t="str">
        <v/>
      </c>
      <c r="AH651" s="8" t="str">
        <v/>
      </c>
      <c r="AI651" s="8" t="n">
        <v>13</v>
      </c>
      <c r="AJ651" s="8" t="str">
        <v>～59</v>
      </c>
      <c r="AK651" s="8" t="str">
        <v>5～9</v>
      </c>
      <c r="AL651" s="8" t="str">
        <v>10～19</v>
      </c>
      <c r="AM651" s="8" t="str">
        <v>～99</v>
      </c>
      <c r="AN651" s="8" t="str">
        <v>15以上</v>
      </c>
      <c r="AO651" s="8" t="str">
        <f aca="false">IF(A651="","",IF(COUNTIFS(全馬データ!$A$2:$A$50000,A651,全馬データ!$B$2:$B$50000,B651,全馬データ!$C$2:$C$50000,C651,全馬データ!$D$2:$D$50000,E651,全馬データ!$K$2:$K$50000,"&lt;&gt;")=0,"",SUMIFS(全馬データ!$K$2:$K$50000,全馬データ!$A$2:$A$50000,A651,全馬データ!$B$2:$B$50000,B651,全馬データ!$C$2:$C$50000,C651,全馬データ!$D$2:$D$50000,E651)))</f>
        <v/>
      </c>
      <c r="AP651" s="8" t="str">
        <f aca="false">IF(A651="","",IF(AO651="","欠損",IF(AO651&lt;=1.1,"1.0～1.1",IF(AO651&lt;1.3,"1.2",IF(AO651&lt;1.5,"1.3～1.4",IF(AO651&lt;2,"1.5～1.9","2.0以上"))))))</f>
        <v>欠損</v>
      </c>
      <c r="AQ651" s="8" t="str">
        <f aca="false">IF(A651="","",IF(ISNUMBER(SEARCH("2歳",Z651)),"2歳戦",IF(ISNUMBER(SEARCH("3歳未勝利",Z651)),"3歳未勝利",IF(ISNUMBER(SEARCH("未勝利",Z651)),"その他未勝利",IF(ISNUMBER(SEARCH("G1",Z651)),"G1",IF(ISNUMBER(SEARCH("G2",Z651)),"G2",IF(ISNUMBER(SEARCH("G3",Z651)),"G3",IF(ISNUMBER(SEARCH("古馬条件",Z651)),"古馬条件戦",IF(ISNUMBER(SEARCH("重賞",Z651)),"重賞","分類不能")))))))))</f>
        <v>分類不能</v>
      </c>
      <c r="AR651" s="4" t="s">
        <v>7883</v>
      </c>
      <c r="AS651" s="8" t="s">
        <v>7842</v>
      </c>
      <c r="AT651" s="8" t="s">
        <v>7843</v>
      </c>
      <c r="AU651" s="8" t="s">
        <v>7643</v>
      </c>
      <c r="AV651" s="4" t="s">
        <v>7644</v>
      </c>
      <c r="AW651" s="8" t="s">
        <v>7676</v>
      </c>
      <c r="AX651" s="8" t="s">
        <v>7677</v>
      </c>
      <c r="AY651" s="8" t="s">
        <v>7602</v>
      </c>
      <c r="AZ651" s="4" t="s">
        <v>7603</v>
      </c>
      <c r="BA651" s="8" t="n">
        <v>1400</v>
      </c>
      <c r="BB651" s="8" t="s">
        <v>7598</v>
      </c>
      <c r="BC651" s="4" t="s">
        <v>7604</v>
      </c>
      <c r="BD651" s="8" t="s">
        <v>7666</v>
      </c>
      <c r="BE651" s="4" t="s">
        <v>7606</v>
      </c>
      <c r="BF651" s="8" t="s">
        <v>7607</v>
      </c>
      <c r="BG651" s="8" t="s">
        <v>7602</v>
      </c>
      <c r="BH651" s="4" t="s">
        <v>7667</v>
      </c>
      <c r="BI651" s="8" t="n">
        <v>17</v>
      </c>
      <c r="BJ651" s="8" t="s">
        <v>7602</v>
      </c>
      <c r="BK651" s="4" t="s">
        <v>7653</v>
      </c>
      <c r="BL651" s="8" t="s">
        <v>7610</v>
      </c>
      <c r="BM651" s="4" t="s">
        <v>7612</v>
      </c>
      <c r="BN651" s="8" t="s">
        <v>7676</v>
      </c>
      <c r="BO651" s="8" t="s">
        <v>7778</v>
      </c>
      <c r="BP651" s="8" t="s">
        <v>7610</v>
      </c>
      <c r="BQ651" s="8" t="str">
        <f aca="false">IF(A651="","",AT651)</f>
        <v>4歳以上</v>
      </c>
      <c r="BR651" s="8" t="str">
        <f aca="false">IF(A651="","",IF(BA651&lt;=1200,"～1200",IF(BA651&lt;=1500,"1300～1500",IF(BA651=1600,"1600",IF(BA651&lt;=1800,"1700～1800",IF(BA651&lt;=2000,"1900～2000","2100以上"))))))</f>
        <v>1300～1500</v>
      </c>
      <c r="BS651" s="8" t="str">
        <f aca="false">IF(A651="","",IF(AX651="G1","G1",IF(AX651="G2","G2",IF(AX651="G3","G3",IF(AX651="L","L","その他")))))</f>
        <v>L</v>
      </c>
      <c r="BT651" s="8" t="str">
        <f aca="false">IF(A651="","",IF(BI651="","未結合",IF(D651=BI651,"一致","不一致")))</f>
        <v>一致</v>
      </c>
      <c r="BU651" s="8" t="str">
        <f aca="false">IF(A651="","",IF(BE651="牝馬限定","牝馬限定","その他"))</f>
        <v>その他</v>
      </c>
    </row>
    <row r="652" customFormat="false" ht="15.75" hidden="false" customHeight="false" outlineLevel="0" collapsed="false">
      <c r="A652" s="6" t="n">
        <v>46173</v>
      </c>
      <c r="B652" s="4" t="s">
        <v>5435</v>
      </c>
      <c r="C652" s="8" t="n">
        <v>11</v>
      </c>
      <c r="D652" s="8" t="n">
        <v>9</v>
      </c>
      <c r="E652" s="8" t="n">
        <v>2</v>
      </c>
      <c r="F652" s="4" t="s">
        <v>6151</v>
      </c>
      <c r="G652" s="8" t="n">
        <v>60</v>
      </c>
      <c r="H652" s="8" t="n">
        <v>8</v>
      </c>
      <c r="I652" s="4" t="s">
        <v>6154</v>
      </c>
      <c r="J652" s="8" t="n">
        <v>50</v>
      </c>
      <c r="K652" s="8" t="n">
        <v>4</v>
      </c>
      <c r="L652" s="4" t="s">
        <v>5193</v>
      </c>
      <c r="M652" s="8" t="n">
        <v>44</v>
      </c>
      <c r="N652" s="8" t="n">
        <f aca="false">IF(A652="","",G652-J652)</f>
        <v>10</v>
      </c>
      <c r="O652" s="8" t="n">
        <f aca="false">IF(A652="","",J652-M652)</f>
        <v>6</v>
      </c>
      <c r="P652" s="8" t="n">
        <f aca="false">IF(A652="","",G652+J652)</f>
        <v>110</v>
      </c>
      <c r="Q652" s="8" t="str">
        <f aca="false">IF(A652="","",IF(AND(Y652&lt;&gt;"参考",G652&gt;=ルール設定!$B$2),"○",""))</f>
        <v/>
      </c>
      <c r="R652" s="8" t="str">
        <f aca="false">IF(A652="","",IF(AND(Y652&lt;&gt;"参考",G652&gt;=ルール設定!$B$3,N652&gt;=ルール設定!$B$4),"○",""))</f>
        <v/>
      </c>
      <c r="S652" s="8" t="str">
        <f aca="false">IF(A652="","",IF(AND(Y652&lt;&gt;"参考",G652&gt;=ルール設定!$B$5,J652&gt;=ルール設定!$B$6,O652&gt;=ルール設定!$B$7),"○",""))</f>
        <v/>
      </c>
      <c r="T652" s="8" t="n">
        <v>4</v>
      </c>
      <c r="U652" s="8" t="n">
        <v>4</v>
      </c>
      <c r="V652" s="8" t="str">
        <f aca="false">IF(A652="","",IF(AND(ISNUMBER(T652),ISNUMBER(U652)),IF(AND(T652&lt;=3,U652&lt;=3),"○","×"),""))</f>
        <v>×</v>
      </c>
      <c r="W652" s="8"/>
      <c r="X652" s="8"/>
      <c r="Y652" s="4" t="s">
        <v>7597</v>
      </c>
      <c r="Z652" s="4" t="s">
        <v>7841</v>
      </c>
      <c r="AA652" s="8" t="str">
        <v/>
      </c>
      <c r="AB652" s="8" t="str">
        <v/>
      </c>
      <c r="AC652" s="8" t="str">
        <v/>
      </c>
      <c r="AD652" s="8" t="str">
        <v/>
      </c>
      <c r="AE652" s="8" t="str">
        <v/>
      </c>
      <c r="AF652" s="8" t="str">
        <v/>
      </c>
      <c r="AG652" s="8" t="str">
        <v/>
      </c>
      <c r="AH652" s="8" t="str">
        <v/>
      </c>
      <c r="AI652" s="8" t="n">
        <v>16</v>
      </c>
      <c r="AJ652" s="8" t="str">
        <v>60～69</v>
      </c>
      <c r="AK652" s="8" t="str">
        <v>10～19</v>
      </c>
      <c r="AL652" s="8" t="str">
        <v>10～19</v>
      </c>
      <c r="AM652" s="8" t="str">
        <v>100～119</v>
      </c>
      <c r="AN652" s="8" t="str">
        <v>8～11</v>
      </c>
      <c r="AO652" s="8" t="str">
        <f aca="false">IF(A652="","",IF(COUNTIFS(全馬データ!$A$2:$A$50000,A652,全馬データ!$B$2:$B$50000,B652,全馬データ!$C$2:$C$50000,C652,全馬データ!$D$2:$D$50000,E652,全馬データ!$K$2:$K$50000,"&lt;&gt;")=0,"",SUMIFS(全馬データ!$K$2:$K$50000,全馬データ!$A$2:$A$50000,A652,全馬データ!$B$2:$B$50000,B652,全馬データ!$C$2:$C$50000,C652,全馬データ!$D$2:$D$50000,E652)))</f>
        <v/>
      </c>
      <c r="AP652" s="8" t="str">
        <f aca="false">IF(A652="","",IF(AO652="","欠損",IF(AO652&lt;=1.1,"1.0～1.1",IF(AO652&lt;1.3,"1.2",IF(AO652&lt;1.5,"1.3～1.4",IF(AO652&lt;2,"1.5～1.9","2.0以上"))))))</f>
        <v>欠損</v>
      </c>
      <c r="AQ652" s="8" t="str">
        <f aca="false">IF(A652="","",IF(ISNUMBER(SEARCH("2歳",Z652)),"2歳戦",IF(ISNUMBER(SEARCH("3歳未勝利",Z652)),"3歳未勝利",IF(ISNUMBER(SEARCH("未勝利",Z652)),"その他未勝利",IF(ISNUMBER(SEARCH("G1",Z652)),"G1",IF(ISNUMBER(SEARCH("G2",Z652)),"G2",IF(ISNUMBER(SEARCH("G3",Z652)),"G3",IF(ISNUMBER(SEARCH("古馬条件",Z652)),"古馬条件戦",IF(ISNUMBER(SEARCH("重賞",Z652)),"重賞","分類不能")))))))))</f>
        <v>分類不能</v>
      </c>
      <c r="AR652" s="4" t="s">
        <v>7884</v>
      </c>
      <c r="AS652" s="8" t="s">
        <v>7623</v>
      </c>
      <c r="AT652" s="8" t="s">
        <v>7624</v>
      </c>
      <c r="AU652" s="8" t="s">
        <v>7643</v>
      </c>
      <c r="AV652" s="4" t="s">
        <v>7644</v>
      </c>
      <c r="AW652" s="8" t="s">
        <v>7676</v>
      </c>
      <c r="AX652" s="8" t="s">
        <v>7677</v>
      </c>
      <c r="AY652" s="8" t="s">
        <v>7602</v>
      </c>
      <c r="AZ652" s="4" t="s">
        <v>7603</v>
      </c>
      <c r="BA652" s="8" t="n">
        <v>1800</v>
      </c>
      <c r="BB652" s="8" t="s">
        <v>7598</v>
      </c>
      <c r="BC652" s="4" t="s">
        <v>7604</v>
      </c>
      <c r="BD652" s="8" t="s">
        <v>7666</v>
      </c>
      <c r="BE652" s="4" t="s">
        <v>7606</v>
      </c>
      <c r="BF652" s="8" t="s">
        <v>7607</v>
      </c>
      <c r="BG652" s="8" t="s">
        <v>7610</v>
      </c>
      <c r="BH652" s="4" t="s">
        <v>7646</v>
      </c>
      <c r="BI652" s="8" t="n">
        <v>9</v>
      </c>
      <c r="BJ652" s="8" t="s">
        <v>7602</v>
      </c>
      <c r="BK652" s="4" t="s">
        <v>7653</v>
      </c>
      <c r="BL652" s="8" t="s">
        <v>7610</v>
      </c>
      <c r="BM652" s="4" t="s">
        <v>7612</v>
      </c>
      <c r="BN652" s="8" t="s">
        <v>7676</v>
      </c>
      <c r="BO652" s="8" t="s">
        <v>7778</v>
      </c>
      <c r="BP652" s="8" t="s">
        <v>7610</v>
      </c>
      <c r="BQ652" s="8" t="str">
        <f aca="false">IF(A652="","",AT652)</f>
        <v>3歳</v>
      </c>
      <c r="BR652" s="8" t="str">
        <f aca="false">IF(A652="","",IF(BA652&lt;=1200,"～1200",IF(BA652&lt;=1500,"1300～1500",IF(BA652=1600,"1600",IF(BA652&lt;=1800,"1700～1800",IF(BA652&lt;=2000,"1900～2000","2100以上"))))))</f>
        <v>1700～1800</v>
      </c>
      <c r="BS652" s="8" t="str">
        <f aca="false">IF(A652="","",IF(AX652="G1","G1",IF(AX652="G2","G2",IF(AX652="G3","G3",IF(AX652="L","L","その他")))))</f>
        <v>L</v>
      </c>
      <c r="BT652" s="8" t="str">
        <f aca="false">IF(A652="","",IF(BI652="","未結合",IF(D652=BI652,"一致","不一致")))</f>
        <v>一致</v>
      </c>
      <c r="BU652" s="8" t="str">
        <f aca="false">IF(A652="","",IF(BE652="牝馬限定","牝馬限定","その他"))</f>
        <v>その他</v>
      </c>
    </row>
    <row r="653" customFormat="false" ht="15.75" hidden="false" customHeight="false" outlineLevel="0" collapsed="false">
      <c r="A653" s="6" t="n">
        <v>46173</v>
      </c>
      <c r="B653" s="4" t="s">
        <v>5435</v>
      </c>
      <c r="C653" s="8" t="n">
        <v>12</v>
      </c>
      <c r="D653" s="8" t="n">
        <v>18</v>
      </c>
      <c r="E653" s="8" t="n">
        <v>8</v>
      </c>
      <c r="F653" s="4" t="s">
        <v>4206</v>
      </c>
      <c r="G653" s="8" t="n">
        <v>58</v>
      </c>
      <c r="H653" s="8" t="n">
        <v>9</v>
      </c>
      <c r="I653" s="4" t="s">
        <v>6159</v>
      </c>
      <c r="J653" s="8" t="n">
        <v>34</v>
      </c>
      <c r="K653" s="8" t="n">
        <v>12</v>
      </c>
      <c r="L653" s="4" t="s">
        <v>3645</v>
      </c>
      <c r="M653" s="8" t="n">
        <v>34</v>
      </c>
      <c r="N653" s="8" t="n">
        <f aca="false">IF(A653="","",G653-J653)</f>
        <v>24</v>
      </c>
      <c r="O653" s="8" t="n">
        <f aca="false">IF(A653="","",J653-M653)</f>
        <v>0</v>
      </c>
      <c r="P653" s="8" t="n">
        <f aca="false">IF(A653="","",G653+J653)</f>
        <v>92</v>
      </c>
      <c r="Q653" s="8" t="str">
        <f aca="false">IF(A653="","",IF(AND(Y653&lt;&gt;"参考",G653&gt;=ルール設定!$B$2),"○",""))</f>
        <v/>
      </c>
      <c r="R653" s="8" t="str">
        <f aca="false">IF(A653="","",IF(AND(Y653&lt;&gt;"参考",G653&gt;=ルール設定!$B$3,N653&gt;=ルール設定!$B$4),"○",""))</f>
        <v/>
      </c>
      <c r="S653" s="8" t="str">
        <f aca="false">IF(A653="","",IF(AND(Y653&lt;&gt;"参考",G653&gt;=ルール設定!$B$5,J653&gt;=ルール設定!$B$6,O653&gt;=ルール設定!$B$7),"○",""))</f>
        <v/>
      </c>
      <c r="T653" s="8" t="n">
        <v>1</v>
      </c>
      <c r="U653" s="8" t="n">
        <v>4</v>
      </c>
      <c r="V653" s="8" t="str">
        <f aca="false">IF(A653="","",IF(AND(ISNUMBER(T653),ISNUMBER(U653)),IF(AND(T653&lt;=3,U653&lt;=3),"○","×"),""))</f>
        <v>×</v>
      </c>
      <c r="W653" s="8" t="n">
        <v>190</v>
      </c>
      <c r="X653" s="8"/>
      <c r="Y653" s="4" t="s">
        <v>7597</v>
      </c>
      <c r="Z653" s="4" t="s">
        <v>7841</v>
      </c>
      <c r="AA653" s="8" t="str">
        <v/>
      </c>
      <c r="AB653" s="8" t="str">
        <v/>
      </c>
      <c r="AC653" s="8" t="str">
        <v/>
      </c>
      <c r="AD653" s="8" t="str">
        <v/>
      </c>
      <c r="AE653" s="8" t="str">
        <v/>
      </c>
      <c r="AF653" s="8" t="str">
        <v/>
      </c>
      <c r="AG653" s="8" t="str">
        <v/>
      </c>
      <c r="AH653" s="8" t="str">
        <v/>
      </c>
      <c r="AI653" s="8" t="n">
        <v>24</v>
      </c>
      <c r="AJ653" s="8" t="str">
        <v>～59</v>
      </c>
      <c r="AK653" s="8" t="str">
        <v>20～29</v>
      </c>
      <c r="AL653" s="8" t="str">
        <v>20～29</v>
      </c>
      <c r="AM653" s="8" t="str">
        <v>～99</v>
      </c>
      <c r="AN653" s="8" t="str">
        <v>15以上</v>
      </c>
      <c r="AO653" s="8" t="str">
        <f aca="false">IF(A653="","",IF(COUNTIFS(全馬データ!$A$2:$A$50000,A653,全馬データ!$B$2:$B$50000,B653,全馬データ!$C$2:$C$50000,C653,全馬データ!$D$2:$D$50000,E653,全馬データ!$K$2:$K$50000,"&lt;&gt;")=0,"",SUMIFS(全馬データ!$K$2:$K$50000,全馬データ!$A$2:$A$50000,A653,全馬データ!$B$2:$B$50000,B653,全馬データ!$C$2:$C$50000,C653,全馬データ!$D$2:$D$50000,E653)))</f>
        <v/>
      </c>
      <c r="AP653" s="8" t="str">
        <f aca="false">IF(A653="","",IF(AO653="","欠損",IF(AO653&lt;=1.1,"1.0～1.1",IF(AO653&lt;1.3,"1.2",IF(AO653&lt;1.5,"1.3～1.4",IF(AO653&lt;2,"1.5～1.9","2.0以上"))))))</f>
        <v>欠損</v>
      </c>
      <c r="AQ653" s="8" t="str">
        <f aca="false">IF(A653="","",IF(ISNUMBER(SEARCH("2歳",Z653)),"2歳戦",IF(ISNUMBER(SEARCH("3歳未勝利",Z653)),"3歳未勝利",IF(ISNUMBER(SEARCH("未勝利",Z653)),"その他未勝利",IF(ISNUMBER(SEARCH("G1",Z653)),"G1",IF(ISNUMBER(SEARCH("G2",Z653)),"G2",IF(ISNUMBER(SEARCH("G3",Z653)),"G3",IF(ISNUMBER(SEARCH("古馬条件",Z653)),"古馬条件戦",IF(ISNUMBER(SEARCH("重賞",Z653)),"重賞","分類不能")))))))))</f>
        <v>分類不能</v>
      </c>
      <c r="AR653" s="4" t="s">
        <v>7885</v>
      </c>
      <c r="AS653" s="8" t="s">
        <v>7842</v>
      </c>
      <c r="AT653" s="8" t="s">
        <v>7843</v>
      </c>
      <c r="AU653" s="8" t="s">
        <v>7639</v>
      </c>
      <c r="AV653" s="8" t="s">
        <v>7640</v>
      </c>
      <c r="AW653" s="8" t="s">
        <v>7636</v>
      </c>
      <c r="AX653" s="4" t="s">
        <v>7637</v>
      </c>
      <c r="AY653" s="8" t="s">
        <v>7602</v>
      </c>
      <c r="AZ653" s="4" t="s">
        <v>7603</v>
      </c>
      <c r="BA653" s="8" t="n">
        <v>1400</v>
      </c>
      <c r="BB653" s="8" t="s">
        <v>7598</v>
      </c>
      <c r="BC653" s="4" t="s">
        <v>7604</v>
      </c>
      <c r="BD653" s="8" t="s">
        <v>7630</v>
      </c>
      <c r="BE653" s="4" t="s">
        <v>7606</v>
      </c>
      <c r="BF653" s="8" t="s">
        <v>7607</v>
      </c>
      <c r="BG653" s="8" t="s">
        <v>7631</v>
      </c>
      <c r="BH653" s="4" t="s">
        <v>7632</v>
      </c>
      <c r="BI653" s="8" t="n">
        <v>18</v>
      </c>
      <c r="BJ653" s="8" t="s">
        <v>7602</v>
      </c>
      <c r="BK653" s="4" t="s">
        <v>7653</v>
      </c>
      <c r="BL653" s="8" t="s">
        <v>7610</v>
      </c>
      <c r="BM653" s="4" t="s">
        <v>7612</v>
      </c>
      <c r="BN653" s="8" t="s">
        <v>7676</v>
      </c>
      <c r="BO653" s="8" t="s">
        <v>7778</v>
      </c>
      <c r="BP653" s="8" t="s">
        <v>7610</v>
      </c>
      <c r="BQ653" s="8" t="str">
        <f aca="false">IF(A653="","",AT653)</f>
        <v>4歳以上</v>
      </c>
      <c r="BR653" s="8" t="str">
        <f aca="false">IF(A653="","",IF(BA653&lt;=1200,"～1200",IF(BA653&lt;=1500,"1300～1500",IF(BA653=1600,"1600",IF(BA653&lt;=1800,"1700～1800",IF(BA653&lt;=2000,"1900～2000","2100以上"))))))</f>
        <v>1300～1500</v>
      </c>
      <c r="BS653" s="8" t="str">
        <f aca="false">IF(A653="","",IF(AX653="G1","G1",IF(AX653="G2","G2",IF(AX653="G3","G3",IF(AX653="L","L","その他")))))</f>
        <v>その他</v>
      </c>
      <c r="BT653" s="8" t="str">
        <f aca="false">IF(A653="","",IF(BI653="","未結合",IF(D653=BI653,"一致","不一致")))</f>
        <v>一致</v>
      </c>
      <c r="BU653" s="8" t="str">
        <f aca="false">IF(A653="","",IF(BE653="牝馬限定","牝馬限定","その他"))</f>
        <v>その他</v>
      </c>
    </row>
    <row r="654" customFormat="false" ht="15.75" hidden="false" customHeight="false" outlineLevel="0" collapsed="false">
      <c r="A654" s="6" t="n">
        <v>46158</v>
      </c>
      <c r="B654" s="4" t="s">
        <v>4473</v>
      </c>
      <c r="C654" s="8" t="n">
        <v>1</v>
      </c>
      <c r="D654" s="8" t="n">
        <v>16</v>
      </c>
      <c r="E654" s="8" t="n">
        <v>1</v>
      </c>
      <c r="F654" s="4" t="s">
        <v>6165</v>
      </c>
      <c r="G654" s="8" t="n">
        <v>56</v>
      </c>
      <c r="H654" s="8" t="n">
        <v>4</v>
      </c>
      <c r="I654" s="4" t="s">
        <v>1424</v>
      </c>
      <c r="J654" s="8" t="n">
        <v>47</v>
      </c>
      <c r="K654" s="8" t="n">
        <v>7</v>
      </c>
      <c r="L654" s="4" t="s">
        <v>1306</v>
      </c>
      <c r="M654" s="8" t="n">
        <v>39</v>
      </c>
      <c r="N654" s="8" t="n">
        <f aca="false">IF(A654="","",G654-J654)</f>
        <v>9</v>
      </c>
      <c r="O654" s="8" t="n">
        <f aca="false">IF(A654="","",J654-M654)</f>
        <v>8</v>
      </c>
      <c r="P654" s="8" t="n">
        <f aca="false">IF(A654="","",G654+J654)</f>
        <v>103</v>
      </c>
      <c r="Q654" s="8" t="str">
        <f aca="false">IF(A654="","",IF(AND(Y654&lt;&gt;"参考",G654&gt;=ルール設定!$B$2),"○",""))</f>
        <v/>
      </c>
      <c r="R654" s="8" t="str">
        <f aca="false">IF(A654="","",IF(AND(Y654&lt;&gt;"参考",G654&gt;=ルール設定!$B$3,N654&gt;=ルール設定!$B$4),"○",""))</f>
        <v/>
      </c>
      <c r="S654" s="8" t="str">
        <f aca="false">IF(A654="","",IF(AND(Y654&lt;&gt;"参考",G654&gt;=ルール設定!$B$5,J654&gt;=ルール設定!$B$6,O654&gt;=ルール設定!$B$7),"○",""))</f>
        <v/>
      </c>
      <c r="T654" s="8" t="n">
        <v>1</v>
      </c>
      <c r="U654" s="8" t="n">
        <v>4</v>
      </c>
      <c r="V654" s="8" t="str">
        <f aca="false">IF(A654="","",IF(AND(ISNUMBER(T654),ISNUMBER(U654)),IF(AND(T654&lt;=3,U654&lt;=3),"○","×"),""))</f>
        <v>×</v>
      </c>
      <c r="W654" s="8" t="n">
        <v>150</v>
      </c>
      <c r="X654" s="8"/>
      <c r="Y654" s="4" t="s">
        <v>7597</v>
      </c>
      <c r="Z654" s="4" t="s">
        <v>7886</v>
      </c>
      <c r="AA654" s="8" t="str">
        <v/>
      </c>
      <c r="AB654" s="8" t="str">
        <v/>
      </c>
      <c r="AC654" s="8" t="str">
        <v/>
      </c>
      <c r="AD654" s="8" t="str">
        <v/>
      </c>
      <c r="AE654" s="8" t="str">
        <v/>
      </c>
      <c r="AF654" s="8" t="str">
        <v/>
      </c>
      <c r="AG654" s="8" t="str">
        <v/>
      </c>
      <c r="AH654" s="8" t="str">
        <v/>
      </c>
      <c r="AI654" s="8" t="n">
        <v>17</v>
      </c>
      <c r="AJ654" s="8" t="str">
        <v>～59</v>
      </c>
      <c r="AK654" s="8" t="str">
        <v>5～9</v>
      </c>
      <c r="AL654" s="8" t="str">
        <v>10～19</v>
      </c>
      <c r="AM654" s="8" t="str">
        <v>100～119</v>
      </c>
      <c r="AN654" s="8" t="str">
        <v>15以上</v>
      </c>
      <c r="AO654" s="8" t="str">
        <f aca="false">IF(A654="","",IF(COUNTIFS(全馬データ!$A$2:$A$50000,A654,全馬データ!$B$2:$B$50000,B654,全馬データ!$C$2:$C$50000,C654,全馬データ!$D$2:$D$50000,E654,全馬データ!$K$2:$K$50000,"&lt;&gt;")=0,"",SUMIFS(全馬データ!$K$2:$K$50000,全馬データ!$A$2:$A$50000,A654,全馬データ!$B$2:$B$50000,B654,全馬データ!$C$2:$C$50000,C654,全馬データ!$D$2:$D$50000,E654)))</f>
        <v/>
      </c>
      <c r="AP654" s="8" t="str">
        <f aca="false">IF(A654="","",IF(AO654="","欠損",IF(AO654&lt;=1.1,"1.0～1.1",IF(AO654&lt;1.3,"1.2",IF(AO654&lt;1.5,"1.3～1.4",IF(AO654&lt;2,"1.5～1.9","2.0以上"))))))</f>
        <v>欠損</v>
      </c>
      <c r="AQ654" s="8" t="str">
        <f aca="false">IF(A654="","",IF(ISNUMBER(SEARCH("2歳",Z654)),"2歳戦",IF(ISNUMBER(SEARCH("3歳未勝利",Z654)),"3歳未勝利",IF(ISNUMBER(SEARCH("未勝利",Z654)),"その他未勝利",IF(ISNUMBER(SEARCH("G1",Z654)),"G1",IF(ISNUMBER(SEARCH("G2",Z654)),"G2",IF(ISNUMBER(SEARCH("G3",Z654)),"G3",IF(ISNUMBER(SEARCH("古馬条件",Z654)),"古馬条件戦",IF(ISNUMBER(SEARCH("重賞",Z654)),"重賞","分類不能")))))))))</f>
        <v>分類不能</v>
      </c>
      <c r="AR654" s="8"/>
      <c r="AS654" s="8" t="s">
        <v>7623</v>
      </c>
      <c r="AT654" s="8" t="s">
        <v>7624</v>
      </c>
      <c r="AU654" s="8" t="s">
        <v>7600</v>
      </c>
      <c r="AV654" s="4" t="s">
        <v>7601</v>
      </c>
      <c r="AW654" s="8"/>
      <c r="AX654" s="8"/>
      <c r="AY654" s="8" t="s">
        <v>7610</v>
      </c>
      <c r="AZ654" s="4" t="s">
        <v>7617</v>
      </c>
      <c r="BA654" s="8" t="n">
        <v>1400</v>
      </c>
      <c r="BB654" s="8" t="s">
        <v>7598</v>
      </c>
      <c r="BC654" s="4" t="s">
        <v>7604</v>
      </c>
      <c r="BD654" s="8" t="s">
        <v>7621</v>
      </c>
      <c r="BE654" s="4" t="s">
        <v>7622</v>
      </c>
      <c r="BF654" s="8" t="s">
        <v>7602</v>
      </c>
      <c r="BG654" s="8" t="s">
        <v>7608</v>
      </c>
      <c r="BH654" s="4" t="s">
        <v>7609</v>
      </c>
      <c r="BI654" s="8" t="n">
        <v>16</v>
      </c>
      <c r="BJ654" s="8" t="s">
        <v>7610</v>
      </c>
      <c r="BK654" s="4" t="s">
        <v>7611</v>
      </c>
      <c r="BL654" s="8" t="s">
        <v>7602</v>
      </c>
      <c r="BM654" s="4" t="s">
        <v>7620</v>
      </c>
      <c r="BN654" s="8"/>
      <c r="BO654" s="8"/>
      <c r="BP654" s="8" t="s">
        <v>7602</v>
      </c>
      <c r="BQ654" s="8" t="str">
        <f aca="false">IF(A654="","",AT654)</f>
        <v>3歳</v>
      </c>
      <c r="BR654" s="8" t="str">
        <f aca="false">IF(A654="","",IF(BA654&lt;=1200,"～1200",IF(BA654&lt;=1500,"1300～1500",IF(BA654=1600,"1600",IF(BA654&lt;=1800,"1700～1800",IF(BA654&lt;=2000,"1900～2000","2100以上"))))))</f>
        <v>1300～1500</v>
      </c>
      <c r="BS654" s="8" t="str">
        <f aca="false">IF(A654="","",IF(AX654="G1","G1",IF(AX654="G2","G2",IF(AX654="G3","G3",IF(AX654="L","L","その他")))))</f>
        <v>その他</v>
      </c>
      <c r="BT654" s="8" t="str">
        <f aca="false">IF(A654="","",IF(BI654="","未結合",IF(D654=BI654,"一致","不一致")))</f>
        <v>一致</v>
      </c>
      <c r="BU654" s="8" t="str">
        <f aca="false">IF(A654="","",IF(BE654="牝馬限定","牝馬限定","その他"))</f>
        <v>牝馬限定</v>
      </c>
    </row>
    <row r="655" customFormat="false" ht="15.75" hidden="false" customHeight="false" outlineLevel="0" collapsed="false">
      <c r="A655" s="6" t="n">
        <v>46158</v>
      </c>
      <c r="B655" s="4" t="s">
        <v>4473</v>
      </c>
      <c r="C655" s="8" t="n">
        <v>2</v>
      </c>
      <c r="D655" s="8" t="n">
        <v>16</v>
      </c>
      <c r="E655" s="8" t="n">
        <v>5</v>
      </c>
      <c r="F655" s="4" t="s">
        <v>356</v>
      </c>
      <c r="G655" s="8" t="n">
        <v>60</v>
      </c>
      <c r="H655" s="8" t="n">
        <v>10</v>
      </c>
      <c r="I655" s="4" t="s">
        <v>1919</v>
      </c>
      <c r="J655" s="8" t="n">
        <v>58</v>
      </c>
      <c r="K655" s="8" t="n">
        <v>14</v>
      </c>
      <c r="L655" s="4" t="s">
        <v>4692</v>
      </c>
      <c r="M655" s="8" t="n">
        <v>56</v>
      </c>
      <c r="N655" s="8" t="n">
        <f aca="false">IF(A655="","",G655-J655)</f>
        <v>2</v>
      </c>
      <c r="O655" s="8" t="n">
        <f aca="false">IF(A655="","",J655-M655)</f>
        <v>2</v>
      </c>
      <c r="P655" s="8" t="n">
        <f aca="false">IF(A655="","",G655+J655)</f>
        <v>118</v>
      </c>
      <c r="Q655" s="8" t="str">
        <f aca="false">IF(A655="","",IF(AND(Y655&lt;&gt;"参考",G655&gt;=ルール設定!$B$2),"○",""))</f>
        <v/>
      </c>
      <c r="R655" s="8" t="str">
        <f aca="false">IF(A655="","",IF(AND(Y655&lt;&gt;"参考",G655&gt;=ルール設定!$B$3,N655&gt;=ルール設定!$B$4),"○",""))</f>
        <v/>
      </c>
      <c r="S655" s="8" t="str">
        <f aca="false">IF(A655="","",IF(AND(Y655&lt;&gt;"参考",G655&gt;=ルール設定!$B$5,J655&gt;=ルール設定!$B$6,O655&gt;=ルール設定!$B$7),"○",""))</f>
        <v/>
      </c>
      <c r="T655" s="8" t="n">
        <v>2</v>
      </c>
      <c r="U655" s="8" t="n">
        <v>4</v>
      </c>
      <c r="V655" s="8" t="str">
        <f aca="false">IF(A655="","",IF(AND(ISNUMBER(T655),ISNUMBER(U655)),IF(AND(T655&lt;=3,U655&lt;=3),"○","×"),""))</f>
        <v>×</v>
      </c>
      <c r="W655" s="8" t="n">
        <v>130</v>
      </c>
      <c r="X655" s="8"/>
      <c r="Y655" s="4" t="s">
        <v>7597</v>
      </c>
      <c r="Z655" s="4" t="s">
        <v>7886</v>
      </c>
      <c r="AA655" s="8" t="str">
        <v/>
      </c>
      <c r="AB655" s="8" t="str">
        <v/>
      </c>
      <c r="AC655" s="8" t="str">
        <v/>
      </c>
      <c r="AD655" s="8" t="str">
        <v/>
      </c>
      <c r="AE655" s="8" t="str">
        <v/>
      </c>
      <c r="AF655" s="8" t="str">
        <v/>
      </c>
      <c r="AG655" s="8" t="str">
        <v/>
      </c>
      <c r="AH655" s="8" t="str">
        <v/>
      </c>
      <c r="AI655" s="8" t="n">
        <v>4</v>
      </c>
      <c r="AJ655" s="8" t="str">
        <v>60～69</v>
      </c>
      <c r="AK655" s="8" t="str">
        <v>0～4</v>
      </c>
      <c r="AL655" s="8" t="str">
        <v>0～9</v>
      </c>
      <c r="AM655" s="8" t="str">
        <v>100～119</v>
      </c>
      <c r="AN655" s="8" t="str">
        <v>15以上</v>
      </c>
      <c r="AO655" s="8" t="str">
        <f aca="false">IF(A655="","",IF(COUNTIFS(全馬データ!$A$2:$A$50000,A655,全馬データ!$B$2:$B$50000,B655,全馬データ!$C$2:$C$50000,C655,全馬データ!$D$2:$D$50000,E655,全馬データ!$K$2:$K$50000,"&lt;&gt;")=0,"",SUMIFS(全馬データ!$K$2:$K$50000,全馬データ!$A$2:$A$50000,A655,全馬データ!$B$2:$B$50000,B655,全馬データ!$C$2:$C$50000,C655,全馬データ!$D$2:$D$50000,E655)))</f>
        <v/>
      </c>
      <c r="AP655" s="8" t="str">
        <f aca="false">IF(A655="","",IF(AO655="","欠損",IF(AO655&lt;=1.1,"1.0～1.1",IF(AO655&lt;1.3,"1.2",IF(AO655&lt;1.5,"1.3～1.4",IF(AO655&lt;2,"1.5～1.9","2.0以上"))))))</f>
        <v>欠損</v>
      </c>
      <c r="AQ655" s="8" t="str">
        <f aca="false">IF(A655="","",IF(ISNUMBER(SEARCH("2歳",Z655)),"2歳戦",IF(ISNUMBER(SEARCH("3歳未勝利",Z655)),"3歳未勝利",IF(ISNUMBER(SEARCH("未勝利",Z655)),"その他未勝利",IF(ISNUMBER(SEARCH("G1",Z655)),"G1",IF(ISNUMBER(SEARCH("G2",Z655)),"G2",IF(ISNUMBER(SEARCH("G3",Z655)),"G3",IF(ISNUMBER(SEARCH("古馬条件",Z655)),"古馬条件戦",IF(ISNUMBER(SEARCH("重賞",Z655)),"重賞","分類不能")))))))))</f>
        <v>分類不能</v>
      </c>
      <c r="AR655" s="8"/>
      <c r="AS655" s="8" t="s">
        <v>7623</v>
      </c>
      <c r="AT655" s="8" t="s">
        <v>7624</v>
      </c>
      <c r="AU655" s="8" t="s">
        <v>7600</v>
      </c>
      <c r="AV655" s="4" t="s">
        <v>7601</v>
      </c>
      <c r="AW655" s="8"/>
      <c r="AX655" s="8"/>
      <c r="AY655" s="8" t="s">
        <v>7610</v>
      </c>
      <c r="AZ655" s="4" t="s">
        <v>7617</v>
      </c>
      <c r="BA655" s="8" t="n">
        <v>1600</v>
      </c>
      <c r="BB655" s="8" t="s">
        <v>7598</v>
      </c>
      <c r="BC655" s="4" t="s">
        <v>7604</v>
      </c>
      <c r="BD655" s="8" t="s">
        <v>7605</v>
      </c>
      <c r="BE655" s="4" t="s">
        <v>7606</v>
      </c>
      <c r="BF655" s="8" t="s">
        <v>7607</v>
      </c>
      <c r="BG655" s="8" t="s">
        <v>7608</v>
      </c>
      <c r="BH655" s="4" t="s">
        <v>7609</v>
      </c>
      <c r="BI655" s="8" t="n">
        <v>16</v>
      </c>
      <c r="BJ655" s="8" t="s">
        <v>7610</v>
      </c>
      <c r="BK655" s="4" t="s">
        <v>7611</v>
      </c>
      <c r="BL655" s="8" t="s">
        <v>7602</v>
      </c>
      <c r="BM655" s="4" t="s">
        <v>7620</v>
      </c>
      <c r="BN655" s="8"/>
      <c r="BO655" s="8"/>
      <c r="BP655" s="8" t="s">
        <v>7602</v>
      </c>
      <c r="BQ655" s="8" t="str">
        <f aca="false">IF(A655="","",AT655)</f>
        <v>3歳</v>
      </c>
      <c r="BR655" s="8" t="str">
        <f aca="false">IF(A655="","",IF(BA655&lt;=1200,"～1200",IF(BA655&lt;=1500,"1300～1500",IF(BA655=1600,"1600",IF(BA655&lt;=1800,"1700～1800",IF(BA655&lt;=2000,"1900～2000","2100以上"))))))</f>
        <v>1600</v>
      </c>
      <c r="BS655" s="8" t="str">
        <f aca="false">IF(A655="","",IF(AX655="G1","G1",IF(AX655="G2","G2",IF(AX655="G3","G3",IF(AX655="L","L","その他")))))</f>
        <v>その他</v>
      </c>
      <c r="BT655" s="8" t="str">
        <f aca="false">IF(A655="","",IF(BI655="","未結合",IF(D655=BI655,"一致","不一致")))</f>
        <v>一致</v>
      </c>
      <c r="BU655" s="8" t="str">
        <f aca="false">IF(A655="","",IF(BE655="牝馬限定","牝馬限定","その他"))</f>
        <v>その他</v>
      </c>
    </row>
    <row r="656" customFormat="false" ht="15.75" hidden="false" customHeight="false" outlineLevel="0" collapsed="false">
      <c r="A656" s="6" t="n">
        <v>46158</v>
      </c>
      <c r="B656" s="4" t="s">
        <v>4473</v>
      </c>
      <c r="C656" s="8" t="n">
        <v>3</v>
      </c>
      <c r="D656" s="8" t="n">
        <v>16</v>
      </c>
      <c r="E656" s="8" t="n">
        <v>10</v>
      </c>
      <c r="F656" s="4" t="s">
        <v>114</v>
      </c>
      <c r="G656" s="8" t="n">
        <v>81</v>
      </c>
      <c r="H656" s="8" t="n">
        <v>8</v>
      </c>
      <c r="I656" s="4" t="s">
        <v>6181</v>
      </c>
      <c r="J656" s="8" t="n">
        <v>56</v>
      </c>
      <c r="K656" s="8" t="n">
        <v>11</v>
      </c>
      <c r="L656" s="4" t="s">
        <v>951</v>
      </c>
      <c r="M656" s="8" t="n">
        <v>34</v>
      </c>
      <c r="N656" s="8" t="n">
        <f aca="false">IF(A656="","",G656-J656)</f>
        <v>25</v>
      </c>
      <c r="O656" s="8" t="n">
        <f aca="false">IF(A656="","",J656-M656)</f>
        <v>22</v>
      </c>
      <c r="P656" s="8" t="n">
        <f aca="false">IF(A656="","",G656+J656)</f>
        <v>137</v>
      </c>
      <c r="Q656" s="8" t="str">
        <f aca="false">IF(A656="","",IF(AND(Y656&lt;&gt;"参考",G656&gt;=ルール設定!$B$2),"○",""))</f>
        <v>○</v>
      </c>
      <c r="R656" s="8" t="str">
        <f aca="false">IF(A656="","",IF(AND(Y656&lt;&gt;"参考",G656&gt;=ルール設定!$B$3,N656&gt;=ルール設定!$B$4),"○",""))</f>
        <v/>
      </c>
      <c r="S656" s="8" t="str">
        <f aca="false">IF(A656="","",IF(AND(Y656&lt;&gt;"参考",G656&gt;=ルール設定!$B$5,J656&gt;=ルール設定!$B$6,O656&gt;=ルール設定!$B$7),"○",""))</f>
        <v>○</v>
      </c>
      <c r="T656" s="8" t="n">
        <v>1</v>
      </c>
      <c r="U656" s="8" t="n">
        <v>4</v>
      </c>
      <c r="V656" s="8" t="str">
        <f aca="false">IF(A656="","",IF(AND(ISNUMBER(T656),ISNUMBER(U656)),IF(AND(T656&lt;=3,U656&lt;=3),"○","×"),""))</f>
        <v>×</v>
      </c>
      <c r="W656" s="8" t="n">
        <v>140</v>
      </c>
      <c r="X656" s="8"/>
      <c r="Y656" s="4" t="s">
        <v>7597</v>
      </c>
      <c r="Z656" s="4" t="s">
        <v>7886</v>
      </c>
      <c r="AA656" s="8" t="str">
        <v/>
      </c>
      <c r="AB656" s="8" t="str">
        <v>○</v>
      </c>
      <c r="AC656" s="8" t="str">
        <v>○</v>
      </c>
      <c r="AD656" s="8" t="str">
        <v/>
      </c>
      <c r="AE656" s="8" t="str">
        <v/>
      </c>
      <c r="AF656" s="8" t="str">
        <v/>
      </c>
      <c r="AG656" s="8" t="str">
        <v>○</v>
      </c>
      <c r="AH656" s="8" t="str">
        <v/>
      </c>
      <c r="AI656" s="8" t="n">
        <v>47</v>
      </c>
      <c r="AJ656" s="8" t="str">
        <v>80～84</v>
      </c>
      <c r="AK656" s="8" t="str">
        <v>20～29</v>
      </c>
      <c r="AL656" s="8" t="str">
        <v>40以上</v>
      </c>
      <c r="AM656" s="8" t="str">
        <v>120～139</v>
      </c>
      <c r="AN656" s="8" t="str">
        <v>15以上</v>
      </c>
      <c r="AO656" s="8" t="str">
        <f aca="false">IF(A656="","",IF(COUNTIFS(全馬データ!$A$2:$A$50000,A656,全馬データ!$B$2:$B$50000,B656,全馬データ!$C$2:$C$50000,C656,全馬データ!$D$2:$D$50000,E656,全馬データ!$K$2:$K$50000,"&lt;&gt;")=0,"",SUMIFS(全馬データ!$K$2:$K$50000,全馬データ!$A$2:$A$50000,A656,全馬データ!$B$2:$B$50000,B656,全馬データ!$C$2:$C$50000,C656,全馬データ!$D$2:$D$50000,E656)))</f>
        <v/>
      </c>
      <c r="AP656" s="8" t="str">
        <f aca="false">IF(A656="","",IF(AO656="","欠損",IF(AO656&lt;=1.1,"1.0～1.1",IF(AO656&lt;1.3,"1.2",IF(AO656&lt;1.5,"1.3～1.4",IF(AO656&lt;2,"1.5～1.9","2.0以上"))))))</f>
        <v>欠損</v>
      </c>
      <c r="AQ656" s="8" t="str">
        <f aca="false">IF(A656="","",IF(ISNUMBER(SEARCH("2歳",Z656)),"2歳戦",IF(ISNUMBER(SEARCH("3歳未勝利",Z656)),"3歳未勝利",IF(ISNUMBER(SEARCH("未勝利",Z656)),"その他未勝利",IF(ISNUMBER(SEARCH("G1",Z656)),"G1",IF(ISNUMBER(SEARCH("G2",Z656)),"G2",IF(ISNUMBER(SEARCH("G3",Z656)),"G3",IF(ISNUMBER(SEARCH("古馬条件",Z656)),"古馬条件戦",IF(ISNUMBER(SEARCH("重賞",Z656)),"重賞","分類不能")))))))))</f>
        <v>分類不能</v>
      </c>
      <c r="AR656" s="8"/>
      <c r="AS656" s="8" t="s">
        <v>7623</v>
      </c>
      <c r="AT656" s="8" t="s">
        <v>7624</v>
      </c>
      <c r="AU656" s="8" t="s">
        <v>7600</v>
      </c>
      <c r="AV656" s="4" t="s">
        <v>7601</v>
      </c>
      <c r="AW656" s="8"/>
      <c r="AX656" s="8"/>
      <c r="AY656" s="8" t="s">
        <v>7610</v>
      </c>
      <c r="AZ656" s="4" t="s">
        <v>7617</v>
      </c>
      <c r="BA656" s="8" t="n">
        <v>1300</v>
      </c>
      <c r="BB656" s="8" t="s">
        <v>7598</v>
      </c>
      <c r="BC656" s="4" t="s">
        <v>7604</v>
      </c>
      <c r="BD656" s="8" t="s">
        <v>7625</v>
      </c>
      <c r="BE656" s="4" t="s">
        <v>7606</v>
      </c>
      <c r="BF656" s="8" t="s">
        <v>7607</v>
      </c>
      <c r="BG656" s="8" t="s">
        <v>7608</v>
      </c>
      <c r="BH656" s="4" t="s">
        <v>7609</v>
      </c>
      <c r="BI656" s="8" t="n">
        <v>16</v>
      </c>
      <c r="BJ656" s="8" t="s">
        <v>7610</v>
      </c>
      <c r="BK656" s="4" t="s">
        <v>7611</v>
      </c>
      <c r="BL656" s="8" t="s">
        <v>7602</v>
      </c>
      <c r="BM656" s="4" t="s">
        <v>7620</v>
      </c>
      <c r="BN656" s="8"/>
      <c r="BO656" s="8"/>
      <c r="BP656" s="8" t="s">
        <v>7602</v>
      </c>
      <c r="BQ656" s="8" t="str">
        <f aca="false">IF(A656="","",AT656)</f>
        <v>3歳</v>
      </c>
      <c r="BR656" s="8" t="str">
        <f aca="false">IF(A656="","",IF(BA656&lt;=1200,"～1200",IF(BA656&lt;=1500,"1300～1500",IF(BA656=1600,"1600",IF(BA656&lt;=1800,"1700～1800",IF(BA656&lt;=2000,"1900～2000","2100以上"))))))</f>
        <v>1300～1500</v>
      </c>
      <c r="BS656" s="8" t="str">
        <f aca="false">IF(A656="","",IF(AX656="G1","G1",IF(AX656="G2","G2",IF(AX656="G3","G3",IF(AX656="L","L","その他")))))</f>
        <v>その他</v>
      </c>
      <c r="BT656" s="8" t="str">
        <f aca="false">IF(A656="","",IF(BI656="","未結合",IF(D656=BI656,"一致","不一致")))</f>
        <v>一致</v>
      </c>
      <c r="BU656" s="8" t="str">
        <f aca="false">IF(A656="","",IF(BE656="牝馬限定","牝馬限定","その他"))</f>
        <v>その他</v>
      </c>
    </row>
    <row r="657" customFormat="false" ht="15.75" hidden="false" customHeight="false" outlineLevel="0" collapsed="false">
      <c r="A657" s="6" t="n">
        <v>46158</v>
      </c>
      <c r="B657" s="4" t="s">
        <v>4473</v>
      </c>
      <c r="C657" s="8" t="n">
        <v>4</v>
      </c>
      <c r="D657" s="8" t="n">
        <v>13</v>
      </c>
      <c r="E657" s="8" t="n">
        <v>12</v>
      </c>
      <c r="F657" s="4" t="s">
        <v>1007</v>
      </c>
      <c r="G657" s="8" t="n">
        <v>62</v>
      </c>
      <c r="H657" s="8" t="n">
        <v>8</v>
      </c>
      <c r="I657" s="4" t="s">
        <v>6185</v>
      </c>
      <c r="J657" s="8" t="n">
        <v>52</v>
      </c>
      <c r="K657" s="8" t="n">
        <v>7</v>
      </c>
      <c r="L657" s="4" t="s">
        <v>2566</v>
      </c>
      <c r="M657" s="8" t="n">
        <v>41</v>
      </c>
      <c r="N657" s="8" t="n">
        <f aca="false">IF(A657="","",G657-J657)</f>
        <v>10</v>
      </c>
      <c r="O657" s="8" t="n">
        <f aca="false">IF(A657="","",J657-M657)</f>
        <v>11</v>
      </c>
      <c r="P657" s="8" t="n">
        <f aca="false">IF(A657="","",G657+J657)</f>
        <v>114</v>
      </c>
      <c r="Q657" s="8" t="str">
        <f aca="false">IF(A657="","",IF(AND(Y657&lt;&gt;"参考",G657&gt;=ルール設定!$B$2),"○",""))</f>
        <v/>
      </c>
      <c r="R657" s="8" t="str">
        <f aca="false">IF(A657="","",IF(AND(Y657&lt;&gt;"参考",G657&gt;=ルール設定!$B$3,N657&gt;=ルール設定!$B$4),"○",""))</f>
        <v/>
      </c>
      <c r="S657" s="8" t="str">
        <f aca="false">IF(A657="","",IF(AND(Y657&lt;&gt;"参考",G657&gt;=ルール設定!$B$5,J657&gt;=ルール設定!$B$6,O657&gt;=ルール設定!$B$7),"○",""))</f>
        <v/>
      </c>
      <c r="T657" s="8" t="n">
        <v>3</v>
      </c>
      <c r="U657" s="8" t="n">
        <v>1</v>
      </c>
      <c r="V657" s="8" t="str">
        <f aca="false">IF(A657="","",IF(AND(ISNUMBER(T657),ISNUMBER(U657)),IF(AND(T657&lt;=3,U657&lt;=3),"○","×"),""))</f>
        <v>○</v>
      </c>
      <c r="W657" s="8" t="n">
        <v>120</v>
      </c>
      <c r="X657" s="8" t="n">
        <v>200</v>
      </c>
      <c r="Y657" s="4" t="s">
        <v>7597</v>
      </c>
      <c r="Z657" s="4" t="s">
        <v>7886</v>
      </c>
      <c r="AA657" s="8" t="str">
        <v/>
      </c>
      <c r="AB657" s="8" t="str">
        <v/>
      </c>
      <c r="AC657" s="8" t="str">
        <v/>
      </c>
      <c r="AD657" s="8" t="str">
        <v/>
      </c>
      <c r="AE657" s="8" t="str">
        <v/>
      </c>
      <c r="AF657" s="8" t="str">
        <v/>
      </c>
      <c r="AG657" s="8" t="str">
        <v/>
      </c>
      <c r="AH657" s="8" t="str">
        <v/>
      </c>
      <c r="AI657" s="8" t="n">
        <v>21</v>
      </c>
      <c r="AJ657" s="8" t="str">
        <v>60～69</v>
      </c>
      <c r="AK657" s="8" t="str">
        <v>10～19</v>
      </c>
      <c r="AL657" s="8" t="str">
        <v>20～29</v>
      </c>
      <c r="AM657" s="8" t="str">
        <v>100～119</v>
      </c>
      <c r="AN657" s="8" t="str">
        <v>12～14</v>
      </c>
      <c r="AO657" s="8" t="str">
        <f aca="false">IF(A657="","",IF(COUNTIFS(全馬データ!$A$2:$A$50000,A657,全馬データ!$B$2:$B$50000,B657,全馬データ!$C$2:$C$50000,C657,全馬データ!$D$2:$D$50000,E657,全馬データ!$K$2:$K$50000,"&lt;&gt;")=0,"",SUMIFS(全馬データ!$K$2:$K$50000,全馬データ!$A$2:$A$50000,A657,全馬データ!$B$2:$B$50000,B657,全馬データ!$C$2:$C$50000,C657,全馬データ!$D$2:$D$50000,E657)))</f>
        <v/>
      </c>
      <c r="AP657" s="8" t="str">
        <f aca="false">IF(A657="","",IF(AO657="","欠損",IF(AO657&lt;=1.1,"1.0～1.1",IF(AO657&lt;1.3,"1.2",IF(AO657&lt;1.5,"1.3～1.4",IF(AO657&lt;2,"1.5～1.9","2.0以上"))))))</f>
        <v>欠損</v>
      </c>
      <c r="AQ657" s="8" t="str">
        <f aca="false">IF(A657="","",IF(ISNUMBER(SEARCH("2歳",Z657)),"2歳戦",IF(ISNUMBER(SEARCH("3歳未勝利",Z657)),"3歳未勝利",IF(ISNUMBER(SEARCH("未勝利",Z657)),"その他未勝利",IF(ISNUMBER(SEARCH("G1",Z657)),"G1",IF(ISNUMBER(SEARCH("G2",Z657)),"G2",IF(ISNUMBER(SEARCH("G3",Z657)),"G3",IF(ISNUMBER(SEARCH("古馬条件",Z657)),"古馬条件戦",IF(ISNUMBER(SEARCH("重賞",Z657)),"重賞","分類不能")))))))))</f>
        <v>分類不能</v>
      </c>
      <c r="AR657" s="8"/>
      <c r="AS657" s="8" t="s">
        <v>7623</v>
      </c>
      <c r="AT657" s="8" t="s">
        <v>7624</v>
      </c>
      <c r="AU657" s="8" t="s">
        <v>7600</v>
      </c>
      <c r="AV657" s="4" t="s">
        <v>7601</v>
      </c>
      <c r="AW657" s="8"/>
      <c r="AX657" s="8"/>
      <c r="AY657" s="8" t="s">
        <v>7602</v>
      </c>
      <c r="AZ657" s="4" t="s">
        <v>7603</v>
      </c>
      <c r="BA657" s="8" t="n">
        <v>2000</v>
      </c>
      <c r="BB657" s="8" t="s">
        <v>7598</v>
      </c>
      <c r="BC657" s="4" t="s">
        <v>7604</v>
      </c>
      <c r="BD657" s="8" t="s">
        <v>7621</v>
      </c>
      <c r="BE657" s="4" t="s">
        <v>7622</v>
      </c>
      <c r="BF657" s="8" t="s">
        <v>7602</v>
      </c>
      <c r="BG657" s="8" t="s">
        <v>7608</v>
      </c>
      <c r="BH657" s="4" t="s">
        <v>7609</v>
      </c>
      <c r="BI657" s="8" t="n">
        <v>13</v>
      </c>
      <c r="BJ657" s="8" t="s">
        <v>7610</v>
      </c>
      <c r="BK657" s="4" t="s">
        <v>7611</v>
      </c>
      <c r="BL657" s="8" t="s">
        <v>7602</v>
      </c>
      <c r="BM657" s="4" t="s">
        <v>7620</v>
      </c>
      <c r="BN657" s="8" t="s">
        <v>7631</v>
      </c>
      <c r="BO657" s="8" t="s">
        <v>7680</v>
      </c>
      <c r="BP657" s="8" t="s">
        <v>7602</v>
      </c>
      <c r="BQ657" s="8" t="str">
        <f aca="false">IF(A657="","",AT657)</f>
        <v>3歳</v>
      </c>
      <c r="BR657" s="8" t="str">
        <f aca="false">IF(A657="","",IF(BA657&lt;=1200,"～1200",IF(BA657&lt;=1500,"1300～1500",IF(BA657=1600,"1600",IF(BA657&lt;=1800,"1700～1800",IF(BA657&lt;=2000,"1900～2000","2100以上"))))))</f>
        <v>1900～2000</v>
      </c>
      <c r="BS657" s="8" t="str">
        <f aca="false">IF(A657="","",IF(AX657="G1","G1",IF(AX657="G2","G2",IF(AX657="G3","G3",IF(AX657="L","L","その他")))))</f>
        <v>その他</v>
      </c>
      <c r="BT657" s="8" t="str">
        <f aca="false">IF(A657="","",IF(BI657="","未結合",IF(D657=BI657,"一致","不一致")))</f>
        <v>一致</v>
      </c>
      <c r="BU657" s="8" t="str">
        <f aca="false">IF(A657="","",IF(BE657="牝馬限定","牝馬限定","その他"))</f>
        <v>牝馬限定</v>
      </c>
    </row>
    <row r="658" customFormat="false" ht="15.75" hidden="false" customHeight="false" outlineLevel="0" collapsed="false">
      <c r="A658" s="6" t="n">
        <v>46158</v>
      </c>
      <c r="B658" s="4" t="s">
        <v>4473</v>
      </c>
      <c r="C658" s="8" t="n">
        <v>5</v>
      </c>
      <c r="D658" s="8" t="n">
        <v>18</v>
      </c>
      <c r="E658" s="8" t="n">
        <v>12</v>
      </c>
      <c r="F658" s="4" t="s">
        <v>5139</v>
      </c>
      <c r="G658" s="8" t="n">
        <v>66</v>
      </c>
      <c r="H658" s="8" t="n">
        <v>10</v>
      </c>
      <c r="I658" s="4" t="s">
        <v>6190</v>
      </c>
      <c r="J658" s="8" t="n">
        <v>39</v>
      </c>
      <c r="K658" s="8" t="n">
        <v>2</v>
      </c>
      <c r="L658" s="4" t="s">
        <v>4925</v>
      </c>
      <c r="M658" s="8" t="n">
        <v>37</v>
      </c>
      <c r="N658" s="8" t="n">
        <f aca="false">IF(A658="","",G658-J658)</f>
        <v>27</v>
      </c>
      <c r="O658" s="8" t="n">
        <f aca="false">IF(A658="","",J658-M658)</f>
        <v>2</v>
      </c>
      <c r="P658" s="8" t="n">
        <f aca="false">IF(A658="","",G658+J658)</f>
        <v>105</v>
      </c>
      <c r="Q658" s="8" t="str">
        <f aca="false">IF(A658="","",IF(AND(Y658&lt;&gt;"参考",G658&gt;=ルール設定!$B$2),"○",""))</f>
        <v/>
      </c>
      <c r="R658" s="8" t="str">
        <f aca="false">IF(A658="","",IF(AND(Y658&lt;&gt;"参考",G658&gt;=ルール設定!$B$3,N658&gt;=ルール設定!$B$4),"○",""))</f>
        <v/>
      </c>
      <c r="S658" s="8" t="str">
        <f aca="false">IF(A658="","",IF(AND(Y658&lt;&gt;"参考",G658&gt;=ルール設定!$B$5,J658&gt;=ルール設定!$B$6,O658&gt;=ルール設定!$B$7),"○",""))</f>
        <v/>
      </c>
      <c r="T658" s="8" t="n">
        <v>2</v>
      </c>
      <c r="U658" s="8" t="n">
        <v>1</v>
      </c>
      <c r="V658" s="8" t="str">
        <f aca="false">IF(A658="","",IF(AND(ISNUMBER(T658),ISNUMBER(U658)),IF(AND(T658&lt;=3,U658&lt;=3),"○","×"),""))</f>
        <v>○</v>
      </c>
      <c r="W658" s="8" t="n">
        <v>120</v>
      </c>
      <c r="X658" s="8" t="n">
        <v>230</v>
      </c>
      <c r="Y658" s="4" t="s">
        <v>7597</v>
      </c>
      <c r="Z658" s="4" t="s">
        <v>7886</v>
      </c>
      <c r="AA658" s="8" t="str">
        <v/>
      </c>
      <c r="AB658" s="8" t="str">
        <v/>
      </c>
      <c r="AC658" s="8" t="str">
        <v/>
      </c>
      <c r="AD658" s="8" t="str">
        <v/>
      </c>
      <c r="AE658" s="8" t="str">
        <v/>
      </c>
      <c r="AF658" s="8" t="str">
        <v/>
      </c>
      <c r="AG658" s="8" t="str">
        <v/>
      </c>
      <c r="AH658" s="8" t="str">
        <v/>
      </c>
      <c r="AI658" s="8" t="n">
        <v>29</v>
      </c>
      <c r="AJ658" s="8" t="str">
        <v>60～69</v>
      </c>
      <c r="AK658" s="8" t="str">
        <v>20～29</v>
      </c>
      <c r="AL658" s="8" t="str">
        <v>20～29</v>
      </c>
      <c r="AM658" s="8" t="str">
        <v>100～119</v>
      </c>
      <c r="AN658" s="8" t="str">
        <v>15以上</v>
      </c>
      <c r="AO658" s="8" t="str">
        <f aca="false">IF(A658="","",IF(COUNTIFS(全馬データ!$A$2:$A$50000,A658,全馬データ!$B$2:$B$50000,B658,全馬データ!$C$2:$C$50000,C658,全馬データ!$D$2:$D$50000,E658,全馬データ!$K$2:$K$50000,"&lt;&gt;")=0,"",SUMIFS(全馬データ!$K$2:$K$50000,全馬データ!$A$2:$A$50000,A658,全馬データ!$B$2:$B$50000,B658,全馬データ!$C$2:$C$50000,C658,全馬データ!$D$2:$D$50000,E658)))</f>
        <v/>
      </c>
      <c r="AP658" s="8" t="str">
        <f aca="false">IF(A658="","",IF(AO658="","欠損",IF(AO658&lt;=1.1,"1.0～1.1",IF(AO658&lt;1.3,"1.2",IF(AO658&lt;1.5,"1.3～1.4",IF(AO658&lt;2,"1.5～1.9","2.0以上"))))))</f>
        <v>欠損</v>
      </c>
      <c r="AQ658" s="8" t="str">
        <f aca="false">IF(A658="","",IF(ISNUMBER(SEARCH("2歳",Z658)),"2歳戦",IF(ISNUMBER(SEARCH("3歳未勝利",Z658)),"3歳未勝利",IF(ISNUMBER(SEARCH("未勝利",Z658)),"その他未勝利",IF(ISNUMBER(SEARCH("G1",Z658)),"G1",IF(ISNUMBER(SEARCH("G2",Z658)),"G2",IF(ISNUMBER(SEARCH("G3",Z658)),"G3",IF(ISNUMBER(SEARCH("古馬条件",Z658)),"古馬条件戦",IF(ISNUMBER(SEARCH("重賞",Z658)),"重賞","分類不能")))))))))</f>
        <v>分類不能</v>
      </c>
      <c r="AR658" s="8"/>
      <c r="AS658" s="8" t="s">
        <v>7623</v>
      </c>
      <c r="AT658" s="8" t="s">
        <v>7624</v>
      </c>
      <c r="AU658" s="8" t="s">
        <v>7600</v>
      </c>
      <c r="AV658" s="4" t="s">
        <v>7601</v>
      </c>
      <c r="AW658" s="8"/>
      <c r="AX658" s="8"/>
      <c r="AY658" s="8" t="s">
        <v>7602</v>
      </c>
      <c r="AZ658" s="4" t="s">
        <v>7603</v>
      </c>
      <c r="BA658" s="8" t="n">
        <v>1400</v>
      </c>
      <c r="BB658" s="8" t="s">
        <v>7598</v>
      </c>
      <c r="BC658" s="4" t="s">
        <v>7604</v>
      </c>
      <c r="BD658" s="8" t="s">
        <v>7605</v>
      </c>
      <c r="BE658" s="4" t="s">
        <v>7606</v>
      </c>
      <c r="BF658" s="8" t="s">
        <v>7607</v>
      </c>
      <c r="BG658" s="8" t="s">
        <v>7608</v>
      </c>
      <c r="BH658" s="4" t="s">
        <v>7609</v>
      </c>
      <c r="BI658" s="8" t="n">
        <v>18</v>
      </c>
      <c r="BJ658" s="8" t="s">
        <v>7610</v>
      </c>
      <c r="BK658" s="4" t="s">
        <v>7611</v>
      </c>
      <c r="BL658" s="8" t="s">
        <v>7602</v>
      </c>
      <c r="BM658" s="4" t="s">
        <v>7620</v>
      </c>
      <c r="BN658" s="8" t="s">
        <v>7631</v>
      </c>
      <c r="BO658" s="8" t="s">
        <v>7680</v>
      </c>
      <c r="BP658" s="8" t="s">
        <v>7602</v>
      </c>
      <c r="BQ658" s="8" t="str">
        <f aca="false">IF(A658="","",AT658)</f>
        <v>3歳</v>
      </c>
      <c r="BR658" s="8" t="str">
        <f aca="false">IF(A658="","",IF(BA658&lt;=1200,"～1200",IF(BA658&lt;=1500,"1300～1500",IF(BA658=1600,"1600",IF(BA658&lt;=1800,"1700～1800",IF(BA658&lt;=2000,"1900～2000","2100以上"))))))</f>
        <v>1300～1500</v>
      </c>
      <c r="BS658" s="8" t="str">
        <f aca="false">IF(A658="","",IF(AX658="G1","G1",IF(AX658="G2","G2",IF(AX658="G3","G3",IF(AX658="L","L","その他")))))</f>
        <v>その他</v>
      </c>
      <c r="BT658" s="8" t="str">
        <f aca="false">IF(A658="","",IF(BI658="","未結合",IF(D658=BI658,"一致","不一致")))</f>
        <v>一致</v>
      </c>
      <c r="BU658" s="8" t="str">
        <f aca="false">IF(A658="","",IF(BE658="牝馬限定","牝馬限定","その他"))</f>
        <v>その他</v>
      </c>
    </row>
    <row r="659" customFormat="false" ht="15.75" hidden="false" customHeight="false" outlineLevel="0" collapsed="false">
      <c r="A659" s="6" t="n">
        <v>46158</v>
      </c>
      <c r="B659" s="4" t="s">
        <v>4473</v>
      </c>
      <c r="C659" s="8" t="n">
        <v>6</v>
      </c>
      <c r="D659" s="8" t="n">
        <v>8</v>
      </c>
      <c r="E659" s="8" t="n">
        <v>3</v>
      </c>
      <c r="F659" s="4" t="s">
        <v>6194</v>
      </c>
      <c r="G659" s="8" t="n">
        <v>66</v>
      </c>
      <c r="H659" s="8" t="n">
        <v>8</v>
      </c>
      <c r="I659" s="4" t="s">
        <v>6198</v>
      </c>
      <c r="J659" s="8" t="n">
        <v>65</v>
      </c>
      <c r="K659" s="8" t="n">
        <v>4</v>
      </c>
      <c r="L659" s="4" t="s">
        <v>4540</v>
      </c>
      <c r="M659" s="8" t="n">
        <v>58</v>
      </c>
      <c r="N659" s="8" t="n">
        <f aca="false">IF(A659="","",G659-J659)</f>
        <v>1</v>
      </c>
      <c r="O659" s="8" t="n">
        <f aca="false">IF(A659="","",J659-M659)</f>
        <v>7</v>
      </c>
      <c r="P659" s="8" t="n">
        <f aca="false">IF(A659="","",G659+J659)</f>
        <v>131</v>
      </c>
      <c r="Q659" s="8" t="str">
        <f aca="false">IF(A659="","",IF(AND(Y659&lt;&gt;"参考",G659&gt;=ルール設定!$B$2),"○",""))</f>
        <v/>
      </c>
      <c r="R659" s="8" t="str">
        <f aca="false">IF(A659="","",IF(AND(Y659&lt;&gt;"参考",G659&gt;=ルール設定!$B$3,N659&gt;=ルール設定!$B$4),"○",""))</f>
        <v/>
      </c>
      <c r="S659" s="8" t="str">
        <f aca="false">IF(A659="","",IF(AND(Y659&lt;&gt;"参考",G659&gt;=ルール設定!$B$5,J659&gt;=ルール設定!$B$6,O659&gt;=ルール設定!$B$7),"○",""))</f>
        <v/>
      </c>
      <c r="T659" s="8" t="n">
        <v>1</v>
      </c>
      <c r="U659" s="8" t="n">
        <v>3</v>
      </c>
      <c r="V659" s="8" t="str">
        <f aca="false">IF(A659="","",IF(AND(ISNUMBER(T659),ISNUMBER(U659)),IF(AND(T659&lt;=3,U659&lt;=3),"○","×"),""))</f>
        <v>○</v>
      </c>
      <c r="W659" s="8" t="n">
        <v>130</v>
      </c>
      <c r="X659" s="8" t="n">
        <v>240</v>
      </c>
      <c r="Y659" s="4" t="s">
        <v>7597</v>
      </c>
      <c r="Z659" s="4" t="s">
        <v>7886</v>
      </c>
      <c r="AA659" s="8" t="str">
        <v/>
      </c>
      <c r="AB659" s="8" t="str">
        <v/>
      </c>
      <c r="AC659" s="8" t="str">
        <v/>
      </c>
      <c r="AD659" s="8" t="str">
        <v/>
      </c>
      <c r="AE659" s="8" t="str">
        <v/>
      </c>
      <c r="AF659" s="8" t="str">
        <v/>
      </c>
      <c r="AG659" s="8" t="str">
        <v/>
      </c>
      <c r="AH659" s="8" t="str">
        <v/>
      </c>
      <c r="AI659" s="8" t="n">
        <v>8</v>
      </c>
      <c r="AJ659" s="8" t="str">
        <v>60～69</v>
      </c>
      <c r="AK659" s="8" t="str">
        <v>0～4</v>
      </c>
      <c r="AL659" s="8" t="str">
        <v>0～9</v>
      </c>
      <c r="AM659" s="8" t="str">
        <v>120～139</v>
      </c>
      <c r="AN659" s="8" t="str">
        <v>8～11</v>
      </c>
      <c r="AO659" s="8" t="str">
        <f aca="false">IF(A659="","",IF(COUNTIFS(全馬データ!$A$2:$A$50000,A659,全馬データ!$B$2:$B$50000,B659,全馬データ!$C$2:$C$50000,C659,全馬データ!$D$2:$D$50000,E659,全馬データ!$K$2:$K$50000,"&lt;&gt;")=0,"",SUMIFS(全馬データ!$K$2:$K$50000,全馬データ!$A$2:$A$50000,A659,全馬データ!$B$2:$B$50000,B659,全馬データ!$C$2:$C$50000,C659,全馬データ!$D$2:$D$50000,E659)))</f>
        <v/>
      </c>
      <c r="AP659" s="8" t="str">
        <f aca="false">IF(A659="","",IF(AO659="","欠損",IF(AO659&lt;=1.1,"1.0～1.1",IF(AO659&lt;1.3,"1.2",IF(AO659&lt;1.5,"1.3～1.4",IF(AO659&lt;2,"1.5～1.9","2.0以上"))))))</f>
        <v>欠損</v>
      </c>
      <c r="AQ659" s="8" t="str">
        <f aca="false">IF(A659="","",IF(ISNUMBER(SEARCH("2歳",Z659)),"2歳戦",IF(ISNUMBER(SEARCH("3歳未勝利",Z659)),"3歳未勝利",IF(ISNUMBER(SEARCH("未勝利",Z659)),"その他未勝利",IF(ISNUMBER(SEARCH("G1",Z659)),"G1",IF(ISNUMBER(SEARCH("G2",Z659)),"G2",IF(ISNUMBER(SEARCH("G3",Z659)),"G3",IF(ISNUMBER(SEARCH("古馬条件",Z659)),"古馬条件戦",IF(ISNUMBER(SEARCH("重賞",Z659)),"重賞","分類不能")))))))))</f>
        <v>分類不能</v>
      </c>
      <c r="AR659" s="8"/>
      <c r="AS659" s="8" t="s">
        <v>7623</v>
      </c>
      <c r="AT659" s="8" t="s">
        <v>7624</v>
      </c>
      <c r="AU659" s="8" t="s">
        <v>7628</v>
      </c>
      <c r="AV659" s="8" t="s">
        <v>7629</v>
      </c>
      <c r="AW659" s="8"/>
      <c r="AX659" s="8"/>
      <c r="AY659" s="8" t="s">
        <v>7602</v>
      </c>
      <c r="AZ659" s="4" t="s">
        <v>7603</v>
      </c>
      <c r="BA659" s="8" t="n">
        <v>2400</v>
      </c>
      <c r="BB659" s="8" t="s">
        <v>7598</v>
      </c>
      <c r="BC659" s="4" t="s">
        <v>7604</v>
      </c>
      <c r="BD659" s="8" t="s">
        <v>7630</v>
      </c>
      <c r="BE659" s="4" t="s">
        <v>7606</v>
      </c>
      <c r="BF659" s="8" t="s">
        <v>7607</v>
      </c>
      <c r="BG659" s="8" t="s">
        <v>7608</v>
      </c>
      <c r="BH659" s="4" t="s">
        <v>7609</v>
      </c>
      <c r="BI659" s="8" t="n">
        <v>8</v>
      </c>
      <c r="BJ659" s="8" t="s">
        <v>7610</v>
      </c>
      <c r="BK659" s="4" t="s">
        <v>7611</v>
      </c>
      <c r="BL659" s="8" t="s">
        <v>7602</v>
      </c>
      <c r="BM659" s="4" t="s">
        <v>7620</v>
      </c>
      <c r="BN659" s="8" t="s">
        <v>7631</v>
      </c>
      <c r="BO659" s="8" t="s">
        <v>7680</v>
      </c>
      <c r="BP659" s="8" t="s">
        <v>7602</v>
      </c>
      <c r="BQ659" s="8" t="str">
        <f aca="false">IF(A659="","",AT659)</f>
        <v>3歳</v>
      </c>
      <c r="BR659" s="8" t="str">
        <f aca="false">IF(A659="","",IF(BA659&lt;=1200,"～1200",IF(BA659&lt;=1500,"1300～1500",IF(BA659=1600,"1600",IF(BA659&lt;=1800,"1700～1800",IF(BA659&lt;=2000,"1900～2000","2100以上"))))))</f>
        <v>2100以上</v>
      </c>
      <c r="BS659" s="8" t="str">
        <f aca="false">IF(A659="","",IF(AX659="G1","G1",IF(AX659="G2","G2",IF(AX659="G3","G3",IF(AX659="L","L","その他")))))</f>
        <v>その他</v>
      </c>
      <c r="BT659" s="8" t="str">
        <f aca="false">IF(A659="","",IF(BI659="","未結合",IF(D659=BI659,"一致","不一致")))</f>
        <v>一致</v>
      </c>
      <c r="BU659" s="8" t="str">
        <f aca="false">IF(A659="","",IF(BE659="牝馬限定","牝馬限定","その他"))</f>
        <v>その他</v>
      </c>
    </row>
    <row r="660" customFormat="false" ht="15.75" hidden="false" customHeight="false" outlineLevel="0" collapsed="false">
      <c r="A660" s="6" t="n">
        <v>46158</v>
      </c>
      <c r="B660" s="4" t="s">
        <v>4473</v>
      </c>
      <c r="C660" s="8" t="n">
        <v>7</v>
      </c>
      <c r="D660" s="8" t="n">
        <v>16</v>
      </c>
      <c r="E660" s="8" t="n">
        <v>2</v>
      </c>
      <c r="F660" s="4" t="s">
        <v>6199</v>
      </c>
      <c r="G660" s="8" t="n">
        <v>44</v>
      </c>
      <c r="H660" s="8" t="n">
        <v>4</v>
      </c>
      <c r="I660" s="4" t="s">
        <v>3784</v>
      </c>
      <c r="J660" s="8" t="n">
        <v>41</v>
      </c>
      <c r="K660" s="8" t="n">
        <v>9</v>
      </c>
      <c r="L660" s="4" t="s">
        <v>6203</v>
      </c>
      <c r="M660" s="8" t="n">
        <v>41</v>
      </c>
      <c r="N660" s="8" t="n">
        <f aca="false">IF(A660="","",G660-J660)</f>
        <v>3</v>
      </c>
      <c r="O660" s="8" t="n">
        <f aca="false">IF(A660="","",J660-M660)</f>
        <v>0</v>
      </c>
      <c r="P660" s="8" t="n">
        <f aca="false">IF(A660="","",G660+J660)</f>
        <v>85</v>
      </c>
      <c r="Q660" s="8" t="str">
        <f aca="false">IF(A660="","",IF(AND(Y660&lt;&gt;"参考",G660&gt;=ルール設定!$B$2),"○",""))</f>
        <v/>
      </c>
      <c r="R660" s="8" t="str">
        <f aca="false">IF(A660="","",IF(AND(Y660&lt;&gt;"参考",G660&gt;=ルール設定!$B$3,N660&gt;=ルール設定!$B$4),"○",""))</f>
        <v/>
      </c>
      <c r="S660" s="8" t="str">
        <f aca="false">IF(A660="","",IF(AND(Y660&lt;&gt;"参考",G660&gt;=ルール設定!$B$5,J660&gt;=ルール設定!$B$6,O660&gt;=ルール設定!$B$7),"○",""))</f>
        <v/>
      </c>
      <c r="T660" s="8" t="n">
        <v>4</v>
      </c>
      <c r="U660" s="8" t="n">
        <v>3</v>
      </c>
      <c r="V660" s="8" t="str">
        <f aca="false">IF(A660="","",IF(AND(ISNUMBER(T660),ISNUMBER(U660)),IF(AND(T660&lt;=3,U660&lt;=3),"○","×"),""))</f>
        <v>×</v>
      </c>
      <c r="W660" s="8"/>
      <c r="X660" s="8"/>
      <c r="Y660" s="4" t="s">
        <v>7597</v>
      </c>
      <c r="Z660" s="4" t="s">
        <v>7886</v>
      </c>
      <c r="AA660" s="8" t="str">
        <v/>
      </c>
      <c r="AB660" s="8" t="str">
        <v/>
      </c>
      <c r="AC660" s="8" t="str">
        <v/>
      </c>
      <c r="AD660" s="8" t="str">
        <v/>
      </c>
      <c r="AE660" s="8" t="str">
        <v/>
      </c>
      <c r="AF660" s="8" t="str">
        <v/>
      </c>
      <c r="AG660" s="8" t="str">
        <v/>
      </c>
      <c r="AH660" s="8" t="str">
        <v/>
      </c>
      <c r="AI660" s="8" t="n">
        <v>3</v>
      </c>
      <c r="AJ660" s="8" t="str">
        <v>～59</v>
      </c>
      <c r="AK660" s="8" t="str">
        <v>0～4</v>
      </c>
      <c r="AL660" s="8" t="str">
        <v>0～9</v>
      </c>
      <c r="AM660" s="8" t="str">
        <v>～99</v>
      </c>
      <c r="AN660" s="8" t="str">
        <v>15以上</v>
      </c>
      <c r="AO660" s="8" t="str">
        <f aca="false">IF(A660="","",IF(COUNTIFS(全馬データ!$A$2:$A$50000,A660,全馬データ!$B$2:$B$50000,B660,全馬データ!$C$2:$C$50000,C660,全馬データ!$D$2:$D$50000,E660,全馬データ!$K$2:$K$50000,"&lt;&gt;")=0,"",SUMIFS(全馬データ!$K$2:$K$50000,全馬データ!$A$2:$A$50000,A660,全馬データ!$B$2:$B$50000,B660,全馬データ!$C$2:$C$50000,C660,全馬データ!$D$2:$D$50000,E660)))</f>
        <v/>
      </c>
      <c r="AP660" s="8" t="str">
        <f aca="false">IF(A660="","",IF(AO660="","欠損",IF(AO660&lt;=1.1,"1.0～1.1",IF(AO660&lt;1.3,"1.2",IF(AO660&lt;1.5,"1.3～1.4",IF(AO660&lt;2,"1.5～1.9","2.0以上"))))))</f>
        <v>欠損</v>
      </c>
      <c r="AQ660" s="8" t="str">
        <f aca="false">IF(A660="","",IF(ISNUMBER(SEARCH("2歳",Z660)),"2歳戦",IF(ISNUMBER(SEARCH("3歳未勝利",Z660)),"3歳未勝利",IF(ISNUMBER(SEARCH("未勝利",Z660)),"その他未勝利",IF(ISNUMBER(SEARCH("G1",Z660)),"G1",IF(ISNUMBER(SEARCH("G2",Z660)),"G2",IF(ISNUMBER(SEARCH("G3",Z660)),"G3",IF(ISNUMBER(SEARCH("古馬条件",Z660)),"古馬条件戦",IF(ISNUMBER(SEARCH("重賞",Z660)),"重賞","分類不能")))))))))</f>
        <v>分類不能</v>
      </c>
      <c r="AR660" s="8"/>
      <c r="AS660" s="8" t="s">
        <v>7623</v>
      </c>
      <c r="AT660" s="8" t="s">
        <v>7624</v>
      </c>
      <c r="AU660" s="8" t="s">
        <v>7628</v>
      </c>
      <c r="AV660" s="8" t="s">
        <v>7629</v>
      </c>
      <c r="AW660" s="8"/>
      <c r="AX660" s="8"/>
      <c r="AY660" s="8" t="s">
        <v>7610</v>
      </c>
      <c r="AZ660" s="4" t="s">
        <v>7617</v>
      </c>
      <c r="BA660" s="8" t="n">
        <v>1400</v>
      </c>
      <c r="BB660" s="8" t="s">
        <v>7598</v>
      </c>
      <c r="BC660" s="4" t="s">
        <v>7604</v>
      </c>
      <c r="BD660" s="8" t="s">
        <v>7605</v>
      </c>
      <c r="BE660" s="4" t="s">
        <v>7606</v>
      </c>
      <c r="BF660" s="8" t="s">
        <v>7607</v>
      </c>
      <c r="BG660" s="8" t="s">
        <v>7608</v>
      </c>
      <c r="BH660" s="4" t="s">
        <v>7609</v>
      </c>
      <c r="BI660" s="8" t="n">
        <v>16</v>
      </c>
      <c r="BJ660" s="8" t="s">
        <v>7610</v>
      </c>
      <c r="BK660" s="4" t="s">
        <v>7611</v>
      </c>
      <c r="BL660" s="8" t="s">
        <v>7602</v>
      </c>
      <c r="BM660" s="4" t="s">
        <v>7620</v>
      </c>
      <c r="BN660" s="8"/>
      <c r="BO660" s="8"/>
      <c r="BP660" s="8" t="s">
        <v>7602</v>
      </c>
      <c r="BQ660" s="8" t="str">
        <f aca="false">IF(A660="","",AT660)</f>
        <v>3歳</v>
      </c>
      <c r="BR660" s="8" t="str">
        <f aca="false">IF(A660="","",IF(BA660&lt;=1200,"～1200",IF(BA660&lt;=1500,"1300～1500",IF(BA660=1600,"1600",IF(BA660&lt;=1800,"1700～1800",IF(BA660&lt;=2000,"1900～2000","2100以上"))))))</f>
        <v>1300～1500</v>
      </c>
      <c r="BS660" s="8" t="str">
        <f aca="false">IF(A660="","",IF(AX660="G1","G1",IF(AX660="G2","G2",IF(AX660="G3","G3",IF(AX660="L","L","その他")))))</f>
        <v>その他</v>
      </c>
      <c r="BT660" s="8" t="str">
        <f aca="false">IF(A660="","",IF(BI660="","未結合",IF(D660=BI660,"一致","不一致")))</f>
        <v>一致</v>
      </c>
      <c r="BU660" s="8" t="str">
        <f aca="false">IF(A660="","",IF(BE660="牝馬限定","牝馬限定","その他"))</f>
        <v>その他</v>
      </c>
    </row>
    <row r="661" customFormat="false" ht="15.75" hidden="false" customHeight="false" outlineLevel="0" collapsed="false">
      <c r="A661" s="6" t="n">
        <v>46158</v>
      </c>
      <c r="B661" s="4" t="s">
        <v>4473</v>
      </c>
      <c r="C661" s="8" t="n">
        <v>8</v>
      </c>
      <c r="D661" s="8" t="n">
        <v>16</v>
      </c>
      <c r="E661" s="8" t="n">
        <v>1</v>
      </c>
      <c r="F661" s="4" t="s">
        <v>6206</v>
      </c>
      <c r="G661" s="8" t="n">
        <v>60</v>
      </c>
      <c r="H661" s="8" t="n">
        <v>15</v>
      </c>
      <c r="I661" s="4" t="s">
        <v>5184</v>
      </c>
      <c r="J661" s="8" t="n">
        <v>55</v>
      </c>
      <c r="K661" s="8" t="n">
        <v>3</v>
      </c>
      <c r="L661" s="4" t="s">
        <v>1315</v>
      </c>
      <c r="M661" s="8" t="n">
        <v>44</v>
      </c>
      <c r="N661" s="8" t="n">
        <f aca="false">IF(A661="","",G661-J661)</f>
        <v>5</v>
      </c>
      <c r="O661" s="8" t="n">
        <f aca="false">IF(A661="","",J661-M661)</f>
        <v>11</v>
      </c>
      <c r="P661" s="8" t="n">
        <f aca="false">IF(A661="","",G661+J661)</f>
        <v>115</v>
      </c>
      <c r="Q661" s="8" t="str">
        <f aca="false">IF(A661="","",IF(AND(Y661&lt;&gt;"参考",G661&gt;=ルール設定!$B$2),"○",""))</f>
        <v/>
      </c>
      <c r="R661" s="8" t="str">
        <f aca="false">IF(A661="","",IF(AND(Y661&lt;&gt;"参考",G661&gt;=ルール設定!$B$3,N661&gt;=ルール設定!$B$4),"○",""))</f>
        <v/>
      </c>
      <c r="S661" s="8" t="str">
        <f aca="false">IF(A661="","",IF(AND(Y661&lt;&gt;"参考",G661&gt;=ルール設定!$B$5,J661&gt;=ルール設定!$B$6,O661&gt;=ルール設定!$B$7),"○",""))</f>
        <v/>
      </c>
      <c r="T661" s="8" t="n">
        <v>1</v>
      </c>
      <c r="U661" s="8" t="n">
        <v>3</v>
      </c>
      <c r="V661" s="8" t="str">
        <f aca="false">IF(A661="","",IF(AND(ISNUMBER(T661),ISNUMBER(U661)),IF(AND(T661&lt;=3,U661&lt;=3),"○","×"),""))</f>
        <v>○</v>
      </c>
      <c r="W661" s="8" t="n">
        <v>170</v>
      </c>
      <c r="X661" s="8" t="n">
        <v>230</v>
      </c>
      <c r="Y661" s="4" t="s">
        <v>7597</v>
      </c>
      <c r="Z661" s="4" t="s">
        <v>7886</v>
      </c>
      <c r="AA661" s="8" t="str">
        <v/>
      </c>
      <c r="AB661" s="8" t="str">
        <v/>
      </c>
      <c r="AC661" s="8" t="str">
        <v/>
      </c>
      <c r="AD661" s="8" t="str">
        <v/>
      </c>
      <c r="AE661" s="8" t="str">
        <v/>
      </c>
      <c r="AF661" s="8" t="str">
        <v/>
      </c>
      <c r="AG661" s="8" t="str">
        <v/>
      </c>
      <c r="AH661" s="8" t="str">
        <v/>
      </c>
      <c r="AI661" s="8" t="n">
        <v>16</v>
      </c>
      <c r="AJ661" s="8" t="str">
        <v>60～69</v>
      </c>
      <c r="AK661" s="8" t="str">
        <v>5～9</v>
      </c>
      <c r="AL661" s="8" t="str">
        <v>10～19</v>
      </c>
      <c r="AM661" s="8" t="str">
        <v>100～119</v>
      </c>
      <c r="AN661" s="8" t="str">
        <v>15以上</v>
      </c>
      <c r="AO661" s="8" t="str">
        <f aca="false">IF(A661="","",IF(COUNTIFS(全馬データ!$A$2:$A$50000,A661,全馬データ!$B$2:$B$50000,B661,全馬データ!$C$2:$C$50000,C661,全馬データ!$D$2:$D$50000,E661,全馬データ!$K$2:$K$50000,"&lt;&gt;")=0,"",SUMIFS(全馬データ!$K$2:$K$50000,全馬データ!$A$2:$A$50000,A661,全馬データ!$B$2:$B$50000,B661,全馬データ!$C$2:$C$50000,C661,全馬データ!$D$2:$D$50000,E661)))</f>
        <v/>
      </c>
      <c r="AP661" s="8" t="str">
        <f aca="false">IF(A661="","",IF(AO661="","欠損",IF(AO661&lt;=1.1,"1.0～1.1",IF(AO661&lt;1.3,"1.2",IF(AO661&lt;1.5,"1.3～1.4",IF(AO661&lt;2,"1.5～1.9","2.0以上"))))))</f>
        <v>欠損</v>
      </c>
      <c r="AQ661" s="8" t="str">
        <f aca="false">IF(A661="","",IF(ISNUMBER(SEARCH("2歳",Z661)),"2歳戦",IF(ISNUMBER(SEARCH("3歳未勝利",Z661)),"3歳未勝利",IF(ISNUMBER(SEARCH("未勝利",Z661)),"その他未勝利",IF(ISNUMBER(SEARCH("G1",Z661)),"G1",IF(ISNUMBER(SEARCH("G2",Z661)),"G2",IF(ISNUMBER(SEARCH("G3",Z661)),"G3",IF(ISNUMBER(SEARCH("古馬条件",Z661)),"古馬条件戦",IF(ISNUMBER(SEARCH("重賞",Z661)),"重賞","分類不能")))))))))</f>
        <v>分類不能</v>
      </c>
      <c r="AR661" s="8"/>
      <c r="AS661" s="8" t="s">
        <v>7842</v>
      </c>
      <c r="AT661" s="8" t="s">
        <v>7843</v>
      </c>
      <c r="AU661" s="8" t="s">
        <v>7628</v>
      </c>
      <c r="AV661" s="8" t="s">
        <v>7629</v>
      </c>
      <c r="AW661" s="8"/>
      <c r="AX661" s="8"/>
      <c r="AY661" s="8" t="s">
        <v>7610</v>
      </c>
      <c r="AZ661" s="4" t="s">
        <v>7617</v>
      </c>
      <c r="BA661" s="8" t="n">
        <v>1600</v>
      </c>
      <c r="BB661" s="8" t="s">
        <v>7598</v>
      </c>
      <c r="BC661" s="4" t="s">
        <v>7604</v>
      </c>
      <c r="BD661" s="8" t="s">
        <v>7605</v>
      </c>
      <c r="BE661" s="4" t="s">
        <v>7606</v>
      </c>
      <c r="BF661" s="8" t="s">
        <v>7607</v>
      </c>
      <c r="BG661" s="8" t="s">
        <v>7631</v>
      </c>
      <c r="BH661" s="4" t="s">
        <v>7632</v>
      </c>
      <c r="BI661" s="8" t="n">
        <v>16</v>
      </c>
      <c r="BJ661" s="8" t="s">
        <v>7610</v>
      </c>
      <c r="BK661" s="4" t="s">
        <v>7611</v>
      </c>
      <c r="BL661" s="8" t="s">
        <v>7602</v>
      </c>
      <c r="BM661" s="4" t="s">
        <v>7620</v>
      </c>
      <c r="BN661" s="8"/>
      <c r="BO661" s="8"/>
      <c r="BP661" s="8" t="s">
        <v>7602</v>
      </c>
      <c r="BQ661" s="8" t="str">
        <f aca="false">IF(A661="","",AT661)</f>
        <v>4歳以上</v>
      </c>
      <c r="BR661" s="8" t="str">
        <f aca="false">IF(A661="","",IF(BA661&lt;=1200,"～1200",IF(BA661&lt;=1500,"1300～1500",IF(BA661=1600,"1600",IF(BA661&lt;=1800,"1700～1800",IF(BA661&lt;=2000,"1900～2000","2100以上"))))))</f>
        <v>1600</v>
      </c>
      <c r="BS661" s="8" t="str">
        <f aca="false">IF(A661="","",IF(AX661="G1","G1",IF(AX661="G2","G2",IF(AX661="G3","G3",IF(AX661="L","L","その他")))))</f>
        <v>その他</v>
      </c>
      <c r="BT661" s="8" t="str">
        <f aca="false">IF(A661="","",IF(BI661="","未結合",IF(D661=BI661,"一致","不一致")))</f>
        <v>一致</v>
      </c>
      <c r="BU661" s="8" t="str">
        <f aca="false">IF(A661="","",IF(BE661="牝馬限定","牝馬限定","その他"))</f>
        <v>その他</v>
      </c>
    </row>
    <row r="662" customFormat="false" ht="15.75" hidden="false" customHeight="false" outlineLevel="0" collapsed="false">
      <c r="A662" s="6" t="n">
        <v>46158</v>
      </c>
      <c r="B662" s="4" t="s">
        <v>4473</v>
      </c>
      <c r="C662" s="8" t="n">
        <v>9</v>
      </c>
      <c r="D662" s="8" t="n">
        <v>9</v>
      </c>
      <c r="E662" s="8" t="n">
        <v>3</v>
      </c>
      <c r="F662" s="4" t="s">
        <v>86</v>
      </c>
      <c r="G662" s="8" t="n">
        <v>60</v>
      </c>
      <c r="H662" s="8" t="n">
        <v>6</v>
      </c>
      <c r="I662" s="4" t="s">
        <v>2639</v>
      </c>
      <c r="J662" s="8" t="n">
        <v>58</v>
      </c>
      <c r="K662" s="8" t="n">
        <v>1</v>
      </c>
      <c r="L662" s="4" t="s">
        <v>5200</v>
      </c>
      <c r="M662" s="8" t="n">
        <v>41</v>
      </c>
      <c r="N662" s="8" t="n">
        <f aca="false">IF(A662="","",G662-J662)</f>
        <v>2</v>
      </c>
      <c r="O662" s="8" t="n">
        <f aca="false">IF(A662="","",J662-M662)</f>
        <v>17</v>
      </c>
      <c r="P662" s="8" t="n">
        <f aca="false">IF(A662="","",G662+J662)</f>
        <v>118</v>
      </c>
      <c r="Q662" s="8" t="str">
        <f aca="false">IF(A662="","",IF(AND(Y662&lt;&gt;"参考",G662&gt;=ルール設定!$B$2),"○",""))</f>
        <v/>
      </c>
      <c r="R662" s="8" t="str">
        <f aca="false">IF(A662="","",IF(AND(Y662&lt;&gt;"参考",G662&gt;=ルール設定!$B$3,N662&gt;=ルール設定!$B$4),"○",""))</f>
        <v/>
      </c>
      <c r="S662" s="8" t="str">
        <f aca="false">IF(A662="","",IF(AND(Y662&lt;&gt;"参考",G662&gt;=ルール設定!$B$5,J662&gt;=ルール設定!$B$6,O662&gt;=ルール設定!$B$7),"○",""))</f>
        <v/>
      </c>
      <c r="T662" s="8" t="n">
        <v>2</v>
      </c>
      <c r="U662" s="8" t="n">
        <v>4</v>
      </c>
      <c r="V662" s="8" t="str">
        <f aca="false">IF(A662="","",IF(AND(ISNUMBER(T662),ISNUMBER(U662)),IF(AND(T662&lt;=3,U662&lt;=3),"○","×"),""))</f>
        <v>×</v>
      </c>
      <c r="W662" s="8" t="n">
        <v>110</v>
      </c>
      <c r="X662" s="8"/>
      <c r="Y662" s="4" t="s">
        <v>7597</v>
      </c>
      <c r="Z662" s="4" t="s">
        <v>7886</v>
      </c>
      <c r="AA662" s="8" t="str">
        <v/>
      </c>
      <c r="AB662" s="8" t="str">
        <v/>
      </c>
      <c r="AC662" s="8" t="str">
        <v/>
      </c>
      <c r="AD662" s="8" t="str">
        <v/>
      </c>
      <c r="AE662" s="8" t="str">
        <v/>
      </c>
      <c r="AF662" s="8" t="str">
        <v/>
      </c>
      <c r="AG662" s="8" t="str">
        <v/>
      </c>
      <c r="AH662" s="8" t="str">
        <v/>
      </c>
      <c r="AI662" s="8" t="n">
        <v>19</v>
      </c>
      <c r="AJ662" s="8" t="str">
        <v>60～69</v>
      </c>
      <c r="AK662" s="8" t="str">
        <v>0～4</v>
      </c>
      <c r="AL662" s="8" t="str">
        <v>10～19</v>
      </c>
      <c r="AM662" s="8" t="str">
        <v>100～119</v>
      </c>
      <c r="AN662" s="8" t="str">
        <v>8～11</v>
      </c>
      <c r="AO662" s="8" t="str">
        <f aca="false">IF(A662="","",IF(COUNTIFS(全馬データ!$A$2:$A$50000,A662,全馬データ!$B$2:$B$50000,B662,全馬データ!$C$2:$C$50000,C662,全馬データ!$D$2:$D$50000,E662,全馬データ!$K$2:$K$50000,"&lt;&gt;")=0,"",SUMIFS(全馬データ!$K$2:$K$50000,全馬データ!$A$2:$A$50000,A662,全馬データ!$B$2:$B$50000,B662,全馬データ!$C$2:$C$50000,C662,全馬データ!$D$2:$D$50000,E662)))</f>
        <v/>
      </c>
      <c r="AP662" s="8" t="str">
        <f aca="false">IF(A662="","",IF(AO662="","欠損",IF(AO662&lt;=1.1,"1.0～1.1",IF(AO662&lt;1.3,"1.2",IF(AO662&lt;1.5,"1.3～1.4",IF(AO662&lt;2,"1.5～1.9","2.0以上"))))))</f>
        <v>欠損</v>
      </c>
      <c r="AQ662" s="8" t="str">
        <f aca="false">IF(A662="","",IF(ISNUMBER(SEARCH("2歳",Z662)),"2歳戦",IF(ISNUMBER(SEARCH("3歳未勝利",Z662)),"3歳未勝利",IF(ISNUMBER(SEARCH("未勝利",Z662)),"その他未勝利",IF(ISNUMBER(SEARCH("G1",Z662)),"G1",IF(ISNUMBER(SEARCH("G2",Z662)),"G2",IF(ISNUMBER(SEARCH("G3",Z662)),"G3",IF(ISNUMBER(SEARCH("古馬条件",Z662)),"古馬条件戦",IF(ISNUMBER(SEARCH("重賞",Z662)),"重賞","分類不能")))))))))</f>
        <v>分類不能</v>
      </c>
      <c r="AR662" s="4" t="s">
        <v>7887</v>
      </c>
      <c r="AS662" s="8" t="s">
        <v>7842</v>
      </c>
      <c r="AT662" s="8" t="s">
        <v>7843</v>
      </c>
      <c r="AU662" s="8" t="s">
        <v>7634</v>
      </c>
      <c r="AV662" s="8" t="s">
        <v>7635</v>
      </c>
      <c r="AW662" s="8" t="s">
        <v>7636</v>
      </c>
      <c r="AX662" s="4" t="s">
        <v>7637</v>
      </c>
      <c r="AY662" s="8" t="s">
        <v>7602</v>
      </c>
      <c r="AZ662" s="4" t="s">
        <v>7603</v>
      </c>
      <c r="BA662" s="8" t="n">
        <v>1800</v>
      </c>
      <c r="BB662" s="8" t="s">
        <v>7598</v>
      </c>
      <c r="BC662" s="4" t="s">
        <v>7604</v>
      </c>
      <c r="BD662" s="8" t="s">
        <v>7621</v>
      </c>
      <c r="BE662" s="4" t="s">
        <v>7622</v>
      </c>
      <c r="BF662" s="8" t="s">
        <v>7602</v>
      </c>
      <c r="BG662" s="8" t="s">
        <v>7631</v>
      </c>
      <c r="BH662" s="4" t="s">
        <v>7632</v>
      </c>
      <c r="BI662" s="8" t="n">
        <v>9</v>
      </c>
      <c r="BJ662" s="8" t="s">
        <v>7610</v>
      </c>
      <c r="BK662" s="4" t="s">
        <v>7611</v>
      </c>
      <c r="BL662" s="8" t="s">
        <v>7602</v>
      </c>
      <c r="BM662" s="4" t="s">
        <v>7620</v>
      </c>
      <c r="BN662" s="8" t="s">
        <v>7631</v>
      </c>
      <c r="BO662" s="8" t="s">
        <v>7680</v>
      </c>
      <c r="BP662" s="8" t="s">
        <v>7602</v>
      </c>
      <c r="BQ662" s="8" t="str">
        <f aca="false">IF(A662="","",AT662)</f>
        <v>4歳以上</v>
      </c>
      <c r="BR662" s="8" t="str">
        <f aca="false">IF(A662="","",IF(BA662&lt;=1200,"～1200",IF(BA662&lt;=1500,"1300～1500",IF(BA662=1600,"1600",IF(BA662&lt;=1800,"1700～1800",IF(BA662&lt;=2000,"1900～2000","2100以上"))))))</f>
        <v>1700～1800</v>
      </c>
      <c r="BS662" s="8" t="str">
        <f aca="false">IF(A662="","",IF(AX662="G1","G1",IF(AX662="G2","G2",IF(AX662="G3","G3",IF(AX662="L","L","その他")))))</f>
        <v>その他</v>
      </c>
      <c r="BT662" s="8" t="str">
        <f aca="false">IF(A662="","",IF(BI662="","未結合",IF(D662=BI662,"一致","不一致")))</f>
        <v>一致</v>
      </c>
      <c r="BU662" s="8" t="str">
        <f aca="false">IF(A662="","",IF(BE662="牝馬限定","牝馬限定","その他"))</f>
        <v>牝馬限定</v>
      </c>
    </row>
    <row r="663" customFormat="false" ht="15.75" hidden="false" customHeight="false" outlineLevel="0" collapsed="false">
      <c r="A663" s="6" t="n">
        <v>46158</v>
      </c>
      <c r="B663" s="4" t="s">
        <v>4473</v>
      </c>
      <c r="C663" s="8" t="n">
        <v>10</v>
      </c>
      <c r="D663" s="8" t="n">
        <v>12</v>
      </c>
      <c r="E663" s="8" t="n">
        <v>6</v>
      </c>
      <c r="F663" s="4" t="s">
        <v>462</v>
      </c>
      <c r="G663" s="8" t="n">
        <v>60</v>
      </c>
      <c r="H663" s="8" t="n">
        <v>12</v>
      </c>
      <c r="I663" s="4" t="s">
        <v>3478</v>
      </c>
      <c r="J663" s="8" t="n">
        <v>56</v>
      </c>
      <c r="K663" s="8" t="n">
        <v>11</v>
      </c>
      <c r="L663" s="4" t="s">
        <v>4748</v>
      </c>
      <c r="M663" s="8" t="n">
        <v>52</v>
      </c>
      <c r="N663" s="8" t="n">
        <f aca="false">IF(A663="","",G663-J663)</f>
        <v>4</v>
      </c>
      <c r="O663" s="8" t="n">
        <f aca="false">IF(A663="","",J663-M663)</f>
        <v>4</v>
      </c>
      <c r="P663" s="8" t="n">
        <f aca="false">IF(A663="","",G663+J663)</f>
        <v>116</v>
      </c>
      <c r="Q663" s="8" t="str">
        <f aca="false">IF(A663="","",IF(AND(Y663&lt;&gt;"参考",G663&gt;=ルール設定!$B$2),"○",""))</f>
        <v/>
      </c>
      <c r="R663" s="8" t="str">
        <f aca="false">IF(A663="","",IF(AND(Y663&lt;&gt;"参考",G663&gt;=ルール設定!$B$3,N663&gt;=ルール設定!$B$4),"○",""))</f>
        <v/>
      </c>
      <c r="S663" s="8" t="str">
        <f aca="false">IF(A663="","",IF(AND(Y663&lt;&gt;"参考",G663&gt;=ルール設定!$B$5,J663&gt;=ルール設定!$B$6,O663&gt;=ルール設定!$B$7),"○",""))</f>
        <v/>
      </c>
      <c r="T663" s="8" t="n">
        <v>2</v>
      </c>
      <c r="U663" s="8" t="n">
        <v>3</v>
      </c>
      <c r="V663" s="8" t="str">
        <f aca="false">IF(A663="","",IF(AND(ISNUMBER(T663),ISNUMBER(U663)),IF(AND(T663&lt;=3,U663&lt;=3),"○","×"),""))</f>
        <v>○</v>
      </c>
      <c r="W663" s="8" t="n">
        <v>140</v>
      </c>
      <c r="X663" s="8" t="n">
        <v>290</v>
      </c>
      <c r="Y663" s="4" t="s">
        <v>7597</v>
      </c>
      <c r="Z663" s="4" t="s">
        <v>7886</v>
      </c>
      <c r="AA663" s="8" t="str">
        <v/>
      </c>
      <c r="AB663" s="8" t="str">
        <v/>
      </c>
      <c r="AC663" s="8" t="str">
        <v/>
      </c>
      <c r="AD663" s="8" t="str">
        <v/>
      </c>
      <c r="AE663" s="8" t="str">
        <v/>
      </c>
      <c r="AF663" s="8" t="str">
        <v/>
      </c>
      <c r="AG663" s="8" t="str">
        <v/>
      </c>
      <c r="AH663" s="8" t="str">
        <v/>
      </c>
      <c r="AI663" s="8" t="n">
        <v>8</v>
      </c>
      <c r="AJ663" s="8" t="str">
        <v>60～69</v>
      </c>
      <c r="AK663" s="8" t="str">
        <v>0～4</v>
      </c>
      <c r="AL663" s="8" t="str">
        <v>0～9</v>
      </c>
      <c r="AM663" s="8" t="str">
        <v>100～119</v>
      </c>
      <c r="AN663" s="8" t="str">
        <v>12～14</v>
      </c>
      <c r="AO663" s="8" t="str">
        <f aca="false">IF(A663="","",IF(COUNTIFS(全馬データ!$A$2:$A$50000,A663,全馬データ!$B$2:$B$50000,B663,全馬データ!$C$2:$C$50000,C663,全馬データ!$D$2:$D$50000,E663,全馬データ!$K$2:$K$50000,"&lt;&gt;")=0,"",SUMIFS(全馬データ!$K$2:$K$50000,全馬データ!$A$2:$A$50000,A663,全馬データ!$B$2:$B$50000,B663,全馬データ!$C$2:$C$50000,C663,全馬データ!$D$2:$D$50000,E663)))</f>
        <v/>
      </c>
      <c r="AP663" s="8" t="str">
        <f aca="false">IF(A663="","",IF(AO663="","欠損",IF(AO663&lt;=1.1,"1.0～1.1",IF(AO663&lt;1.3,"1.2",IF(AO663&lt;1.5,"1.3～1.4",IF(AO663&lt;2,"1.5～1.9","2.0以上"))))))</f>
        <v>欠損</v>
      </c>
      <c r="AQ663" s="8" t="str">
        <f aca="false">IF(A663="","",IF(ISNUMBER(SEARCH("2歳",Z663)),"2歳戦",IF(ISNUMBER(SEARCH("3歳未勝利",Z663)),"3歳未勝利",IF(ISNUMBER(SEARCH("未勝利",Z663)),"その他未勝利",IF(ISNUMBER(SEARCH("G1",Z663)),"G1",IF(ISNUMBER(SEARCH("G2",Z663)),"G2",IF(ISNUMBER(SEARCH("G3",Z663)),"G3",IF(ISNUMBER(SEARCH("古馬条件",Z663)),"古馬条件戦",IF(ISNUMBER(SEARCH("重賞",Z663)),"重賞","分類不能")))))))))</f>
        <v>分類不能</v>
      </c>
      <c r="AR663" s="4" t="s">
        <v>7888</v>
      </c>
      <c r="AS663" s="8" t="s">
        <v>7842</v>
      </c>
      <c r="AT663" s="8" t="s">
        <v>7843</v>
      </c>
      <c r="AU663" s="8" t="s">
        <v>7634</v>
      </c>
      <c r="AV663" s="8" t="s">
        <v>7635</v>
      </c>
      <c r="AW663" s="8" t="s">
        <v>7636</v>
      </c>
      <c r="AX663" s="4" t="s">
        <v>7637</v>
      </c>
      <c r="AY663" s="8" t="s">
        <v>7610</v>
      </c>
      <c r="AZ663" s="4" t="s">
        <v>7617</v>
      </c>
      <c r="BA663" s="8" t="n">
        <v>1400</v>
      </c>
      <c r="BB663" s="8" t="s">
        <v>7598</v>
      </c>
      <c r="BC663" s="4" t="s">
        <v>7604</v>
      </c>
      <c r="BD663" s="8" t="s">
        <v>7605</v>
      </c>
      <c r="BE663" s="4" t="s">
        <v>7606</v>
      </c>
      <c r="BF663" s="8" t="s">
        <v>7607</v>
      </c>
      <c r="BG663" s="8" t="s">
        <v>7631</v>
      </c>
      <c r="BH663" s="4" t="s">
        <v>7632</v>
      </c>
      <c r="BI663" s="8" t="n">
        <v>12</v>
      </c>
      <c r="BJ663" s="8" t="s">
        <v>7610</v>
      </c>
      <c r="BK663" s="4" t="s">
        <v>7611</v>
      </c>
      <c r="BL663" s="8" t="s">
        <v>7602</v>
      </c>
      <c r="BM663" s="4" t="s">
        <v>7620</v>
      </c>
      <c r="BN663" s="8"/>
      <c r="BO663" s="8"/>
      <c r="BP663" s="8" t="s">
        <v>7602</v>
      </c>
      <c r="BQ663" s="8" t="str">
        <f aca="false">IF(A663="","",AT663)</f>
        <v>4歳以上</v>
      </c>
      <c r="BR663" s="8" t="str">
        <f aca="false">IF(A663="","",IF(BA663&lt;=1200,"～1200",IF(BA663&lt;=1500,"1300～1500",IF(BA663=1600,"1600",IF(BA663&lt;=1800,"1700～1800",IF(BA663&lt;=2000,"1900～2000","2100以上"))))))</f>
        <v>1300～1500</v>
      </c>
      <c r="BS663" s="8" t="str">
        <f aca="false">IF(A663="","",IF(AX663="G1","G1",IF(AX663="G2","G2",IF(AX663="G3","G3",IF(AX663="L","L","その他")))))</f>
        <v>その他</v>
      </c>
      <c r="BT663" s="8" t="str">
        <f aca="false">IF(A663="","",IF(BI663="","未結合",IF(D663=BI663,"一致","不一致")))</f>
        <v>一致</v>
      </c>
      <c r="BU663" s="8" t="str">
        <f aca="false">IF(A663="","",IF(BE663="牝馬限定","牝馬限定","その他"))</f>
        <v>その他</v>
      </c>
    </row>
    <row r="664" customFormat="false" ht="15.75" hidden="false" customHeight="false" outlineLevel="0" collapsed="false">
      <c r="A664" s="6" t="n">
        <v>46158</v>
      </c>
      <c r="B664" s="4" t="s">
        <v>4473</v>
      </c>
      <c r="C664" s="8" t="n">
        <v>11</v>
      </c>
      <c r="D664" s="8" t="n">
        <v>15</v>
      </c>
      <c r="E664" s="8" t="n">
        <v>6</v>
      </c>
      <c r="F664" s="4" t="s">
        <v>6214</v>
      </c>
      <c r="G664" s="8" t="n">
        <v>56</v>
      </c>
      <c r="H664" s="8" t="n">
        <v>2</v>
      </c>
      <c r="I664" s="4" t="s">
        <v>5205</v>
      </c>
      <c r="J664" s="8" t="n">
        <v>52</v>
      </c>
      <c r="K664" s="8" t="n">
        <v>10</v>
      </c>
      <c r="L664" s="4" t="s">
        <v>6215</v>
      </c>
      <c r="M664" s="8" t="n">
        <v>44</v>
      </c>
      <c r="N664" s="8" t="n">
        <f aca="false">IF(A664="","",G664-J664)</f>
        <v>4</v>
      </c>
      <c r="O664" s="8" t="n">
        <f aca="false">IF(A664="","",J664-M664)</f>
        <v>8</v>
      </c>
      <c r="P664" s="8" t="n">
        <f aca="false">IF(A664="","",G664+J664)</f>
        <v>108</v>
      </c>
      <c r="Q664" s="8" t="str">
        <f aca="false">IF(A664="","",IF(AND(Y664&lt;&gt;"参考",G664&gt;=ルール設定!$B$2),"○",""))</f>
        <v/>
      </c>
      <c r="R664" s="8" t="str">
        <f aca="false">IF(A664="","",IF(AND(Y664&lt;&gt;"参考",G664&gt;=ルール設定!$B$3,N664&gt;=ルール設定!$B$4),"○",""))</f>
        <v/>
      </c>
      <c r="S664" s="8" t="str">
        <f aca="false">IF(A664="","",IF(AND(Y664&lt;&gt;"参考",G664&gt;=ルール設定!$B$5,J664&gt;=ルール設定!$B$6,O664&gt;=ルール設定!$B$7),"○",""))</f>
        <v/>
      </c>
      <c r="T664" s="8" t="n">
        <v>4</v>
      </c>
      <c r="U664" s="8" t="n">
        <v>4</v>
      </c>
      <c r="V664" s="8" t="str">
        <f aca="false">IF(A664="","",IF(AND(ISNUMBER(T664),ISNUMBER(U664)),IF(AND(T664&lt;=3,U664&lt;=3),"○","×"),""))</f>
        <v>×</v>
      </c>
      <c r="W664" s="8"/>
      <c r="X664" s="8"/>
      <c r="Y664" s="4" t="s">
        <v>7597</v>
      </c>
      <c r="Z664" s="4" t="s">
        <v>7886</v>
      </c>
      <c r="AA664" s="8" t="str">
        <v/>
      </c>
      <c r="AB664" s="8" t="str">
        <v/>
      </c>
      <c r="AC664" s="8" t="str">
        <v/>
      </c>
      <c r="AD664" s="8" t="str">
        <v/>
      </c>
      <c r="AE664" s="8" t="str">
        <v/>
      </c>
      <c r="AF664" s="8" t="str">
        <v/>
      </c>
      <c r="AG664" s="8" t="str">
        <v/>
      </c>
      <c r="AH664" s="8" t="str">
        <v/>
      </c>
      <c r="AI664" s="8" t="n">
        <v>12</v>
      </c>
      <c r="AJ664" s="8" t="str">
        <v>～59</v>
      </c>
      <c r="AK664" s="8" t="str">
        <v>0～4</v>
      </c>
      <c r="AL664" s="8" t="str">
        <v>10～19</v>
      </c>
      <c r="AM664" s="8" t="str">
        <v>100～119</v>
      </c>
      <c r="AN664" s="8" t="str">
        <v>15以上</v>
      </c>
      <c r="AO664" s="8" t="str">
        <f aca="false">IF(A664="","",IF(COUNTIFS(全馬データ!$A$2:$A$50000,A664,全馬データ!$B$2:$B$50000,B664,全馬データ!$C$2:$C$50000,C664,全馬データ!$D$2:$D$50000,E664,全馬データ!$K$2:$K$50000,"&lt;&gt;")=0,"",SUMIFS(全馬データ!$K$2:$K$50000,全馬データ!$A$2:$A$50000,A664,全馬データ!$B$2:$B$50000,B664,全馬データ!$C$2:$C$50000,C664,全馬データ!$D$2:$D$50000,E664)))</f>
        <v/>
      </c>
      <c r="AP664" s="8" t="str">
        <f aca="false">IF(A664="","",IF(AO664="","欠損",IF(AO664&lt;=1.1,"1.0～1.1",IF(AO664&lt;1.3,"1.2",IF(AO664&lt;1.5,"1.3～1.4",IF(AO664&lt;2,"1.5～1.9","2.0以上"))))))</f>
        <v>欠損</v>
      </c>
      <c r="AQ664" s="8" t="str">
        <f aca="false">IF(A664="","",IF(ISNUMBER(SEARCH("2歳",Z664)),"2歳戦",IF(ISNUMBER(SEARCH("3歳未勝利",Z664)),"3歳未勝利",IF(ISNUMBER(SEARCH("未勝利",Z664)),"その他未勝利",IF(ISNUMBER(SEARCH("G1",Z664)),"G1",IF(ISNUMBER(SEARCH("G2",Z664)),"G2",IF(ISNUMBER(SEARCH("G3",Z664)),"G3",IF(ISNUMBER(SEARCH("古馬条件",Z664)),"古馬条件戦",IF(ISNUMBER(SEARCH("重賞",Z664)),"重賞","分類不能")))))))))</f>
        <v>分類不能</v>
      </c>
      <c r="AR664" s="4" t="s">
        <v>7889</v>
      </c>
      <c r="AS664" s="8" t="s">
        <v>7842</v>
      </c>
      <c r="AT664" s="8" t="s">
        <v>7843</v>
      </c>
      <c r="AU664" s="8" t="s">
        <v>7639</v>
      </c>
      <c r="AV664" s="8" t="s">
        <v>7640</v>
      </c>
      <c r="AW664" s="8" t="s">
        <v>7636</v>
      </c>
      <c r="AX664" s="4" t="s">
        <v>7637</v>
      </c>
      <c r="AY664" s="8" t="s">
        <v>7602</v>
      </c>
      <c r="AZ664" s="4" t="s">
        <v>7603</v>
      </c>
      <c r="BA664" s="8" t="n">
        <v>2400</v>
      </c>
      <c r="BB664" s="8" t="s">
        <v>7598</v>
      </c>
      <c r="BC664" s="4" t="s">
        <v>7604</v>
      </c>
      <c r="BD664" s="8" t="s">
        <v>7630</v>
      </c>
      <c r="BE664" s="4" t="s">
        <v>7606</v>
      </c>
      <c r="BF664" s="8" t="s">
        <v>7607</v>
      </c>
      <c r="BG664" s="8" t="s">
        <v>7631</v>
      </c>
      <c r="BH664" s="4" t="s">
        <v>7632</v>
      </c>
      <c r="BI664" s="8" t="n">
        <v>15</v>
      </c>
      <c r="BJ664" s="8" t="s">
        <v>7610</v>
      </c>
      <c r="BK664" s="4" t="s">
        <v>7611</v>
      </c>
      <c r="BL664" s="8" t="s">
        <v>7602</v>
      </c>
      <c r="BM664" s="4" t="s">
        <v>7620</v>
      </c>
      <c r="BN664" s="8" t="s">
        <v>7631</v>
      </c>
      <c r="BO664" s="8" t="s">
        <v>7680</v>
      </c>
      <c r="BP664" s="8" t="s">
        <v>7602</v>
      </c>
      <c r="BQ664" s="8" t="str">
        <f aca="false">IF(A664="","",AT664)</f>
        <v>4歳以上</v>
      </c>
      <c r="BR664" s="8" t="str">
        <f aca="false">IF(A664="","",IF(BA664&lt;=1200,"～1200",IF(BA664&lt;=1500,"1300～1500",IF(BA664=1600,"1600",IF(BA664&lt;=1800,"1700～1800",IF(BA664&lt;=2000,"1900～2000","2100以上"))))))</f>
        <v>2100以上</v>
      </c>
      <c r="BS664" s="8" t="str">
        <f aca="false">IF(A664="","",IF(AX664="G1","G1",IF(AX664="G2","G2",IF(AX664="G3","G3",IF(AX664="L","L","その他")))))</f>
        <v>その他</v>
      </c>
      <c r="BT664" s="8" t="str">
        <f aca="false">IF(A664="","",IF(BI664="","未結合",IF(D664=BI664,"一致","不一致")))</f>
        <v>一致</v>
      </c>
      <c r="BU664" s="8" t="str">
        <f aca="false">IF(A664="","",IF(BE664="牝馬限定","牝馬限定","その他"))</f>
        <v>その他</v>
      </c>
    </row>
    <row r="665" customFormat="false" ht="15.75" hidden="false" customHeight="false" outlineLevel="0" collapsed="false">
      <c r="A665" s="6" t="n">
        <v>46158</v>
      </c>
      <c r="B665" s="4" t="s">
        <v>4473</v>
      </c>
      <c r="C665" s="8" t="n">
        <v>12</v>
      </c>
      <c r="D665" s="8" t="n">
        <v>14</v>
      </c>
      <c r="E665" s="8" t="n">
        <v>4</v>
      </c>
      <c r="F665" s="4" t="s">
        <v>2397</v>
      </c>
      <c r="G665" s="8" t="n">
        <v>60</v>
      </c>
      <c r="H665" s="8" t="n">
        <v>9</v>
      </c>
      <c r="I665" s="4" t="s">
        <v>3062</v>
      </c>
      <c r="J665" s="8" t="n">
        <v>41</v>
      </c>
      <c r="K665" s="8" t="n">
        <v>3</v>
      </c>
      <c r="L665" s="4" t="s">
        <v>4576</v>
      </c>
      <c r="M665" s="8" t="n">
        <v>29</v>
      </c>
      <c r="N665" s="8" t="n">
        <f aca="false">IF(A665="","",G665-J665)</f>
        <v>19</v>
      </c>
      <c r="O665" s="8" t="n">
        <f aca="false">IF(A665="","",J665-M665)</f>
        <v>12</v>
      </c>
      <c r="P665" s="8" t="n">
        <f aca="false">IF(A665="","",G665+J665)</f>
        <v>101</v>
      </c>
      <c r="Q665" s="8" t="str">
        <f aca="false">IF(A665="","",IF(AND(Y665&lt;&gt;"参考",G665&gt;=ルール設定!$B$2),"○",""))</f>
        <v/>
      </c>
      <c r="R665" s="8" t="str">
        <f aca="false">IF(A665="","",IF(AND(Y665&lt;&gt;"参考",G665&gt;=ルール設定!$B$3,N665&gt;=ルール設定!$B$4),"○",""))</f>
        <v/>
      </c>
      <c r="S665" s="8" t="str">
        <f aca="false">IF(A665="","",IF(AND(Y665&lt;&gt;"参考",G665&gt;=ルール設定!$B$5,J665&gt;=ルール設定!$B$6,O665&gt;=ルール設定!$B$7),"○",""))</f>
        <v/>
      </c>
      <c r="T665" s="8" t="n">
        <v>1</v>
      </c>
      <c r="U665" s="8" t="n">
        <v>2</v>
      </c>
      <c r="V665" s="8" t="str">
        <f aca="false">IF(A665="","",IF(AND(ISNUMBER(T665),ISNUMBER(U665)),IF(AND(T665&lt;=3,U665&lt;=3),"○","×"),""))</f>
        <v>○</v>
      </c>
      <c r="W665" s="8" t="n">
        <v>150</v>
      </c>
      <c r="X665" s="8" t="n">
        <v>240</v>
      </c>
      <c r="Y665" s="4" t="s">
        <v>7597</v>
      </c>
      <c r="Z665" s="4" t="s">
        <v>7886</v>
      </c>
      <c r="AA665" s="8" t="str">
        <v/>
      </c>
      <c r="AB665" s="8" t="str">
        <v/>
      </c>
      <c r="AC665" s="8" t="str">
        <v/>
      </c>
      <c r="AD665" s="8" t="str">
        <v/>
      </c>
      <c r="AE665" s="8" t="str">
        <v/>
      </c>
      <c r="AF665" s="8" t="str">
        <v/>
      </c>
      <c r="AG665" s="8" t="str">
        <v/>
      </c>
      <c r="AH665" s="8" t="str">
        <v/>
      </c>
      <c r="AI665" s="8" t="n">
        <v>31</v>
      </c>
      <c r="AJ665" s="8" t="str">
        <v>60～69</v>
      </c>
      <c r="AK665" s="8" t="str">
        <v>10～19</v>
      </c>
      <c r="AL665" s="8" t="str">
        <v>30～39</v>
      </c>
      <c r="AM665" s="8" t="str">
        <v>100～119</v>
      </c>
      <c r="AN665" s="8" t="str">
        <v>12～14</v>
      </c>
      <c r="AO665" s="8" t="str">
        <f aca="false">IF(A665="","",IF(COUNTIFS(全馬データ!$A$2:$A$50000,A665,全馬データ!$B$2:$B$50000,B665,全馬データ!$C$2:$C$50000,C665,全馬データ!$D$2:$D$50000,E665,全馬データ!$K$2:$K$50000,"&lt;&gt;")=0,"",SUMIFS(全馬データ!$K$2:$K$50000,全馬データ!$A$2:$A$50000,A665,全馬データ!$B$2:$B$50000,B665,全馬データ!$C$2:$C$50000,C665,全馬データ!$D$2:$D$50000,E665)))</f>
        <v/>
      </c>
      <c r="AP665" s="8" t="str">
        <f aca="false">IF(A665="","",IF(AO665="","欠損",IF(AO665&lt;=1.1,"1.0～1.1",IF(AO665&lt;1.3,"1.2",IF(AO665&lt;1.5,"1.3～1.4",IF(AO665&lt;2,"1.5～1.9","2.0以上"))))))</f>
        <v>欠損</v>
      </c>
      <c r="AQ665" s="8" t="str">
        <f aca="false">IF(A665="","",IF(ISNUMBER(SEARCH("2歳",Z665)),"2歳戦",IF(ISNUMBER(SEARCH("3歳未勝利",Z665)),"3歳未勝利",IF(ISNUMBER(SEARCH("未勝利",Z665)),"その他未勝利",IF(ISNUMBER(SEARCH("G1",Z665)),"G1",IF(ISNUMBER(SEARCH("G2",Z665)),"G2",IF(ISNUMBER(SEARCH("G3",Z665)),"G3",IF(ISNUMBER(SEARCH("古馬条件",Z665)),"古馬条件戦",IF(ISNUMBER(SEARCH("重賞",Z665)),"重賞","分類不能")))))))))</f>
        <v>分類不能</v>
      </c>
      <c r="AR665" s="8"/>
      <c r="AS665" s="8" t="s">
        <v>7842</v>
      </c>
      <c r="AT665" s="8" t="s">
        <v>7843</v>
      </c>
      <c r="AU665" s="8" t="s">
        <v>7628</v>
      </c>
      <c r="AV665" s="8" t="s">
        <v>7629</v>
      </c>
      <c r="AW665" s="8"/>
      <c r="AX665" s="8"/>
      <c r="AY665" s="8" t="s">
        <v>7610</v>
      </c>
      <c r="AZ665" s="4" t="s">
        <v>7617</v>
      </c>
      <c r="BA665" s="8" t="n">
        <v>1600</v>
      </c>
      <c r="BB665" s="8" t="s">
        <v>7598</v>
      </c>
      <c r="BC665" s="4" t="s">
        <v>7604</v>
      </c>
      <c r="BD665" s="8" t="s">
        <v>7621</v>
      </c>
      <c r="BE665" s="4" t="s">
        <v>7622</v>
      </c>
      <c r="BF665" s="8" t="s">
        <v>7602</v>
      </c>
      <c r="BG665" s="8" t="s">
        <v>7631</v>
      </c>
      <c r="BH665" s="4" t="s">
        <v>7632</v>
      </c>
      <c r="BI665" s="8" t="n">
        <v>14</v>
      </c>
      <c r="BJ665" s="8" t="s">
        <v>7610</v>
      </c>
      <c r="BK665" s="4" t="s">
        <v>7611</v>
      </c>
      <c r="BL665" s="8" t="s">
        <v>7602</v>
      </c>
      <c r="BM665" s="4" t="s">
        <v>7620</v>
      </c>
      <c r="BN665" s="8"/>
      <c r="BO665" s="8"/>
      <c r="BP665" s="8" t="s">
        <v>7602</v>
      </c>
      <c r="BQ665" s="8" t="str">
        <f aca="false">IF(A665="","",AT665)</f>
        <v>4歳以上</v>
      </c>
      <c r="BR665" s="8" t="str">
        <f aca="false">IF(A665="","",IF(BA665&lt;=1200,"～1200",IF(BA665&lt;=1500,"1300～1500",IF(BA665=1600,"1600",IF(BA665&lt;=1800,"1700～1800",IF(BA665&lt;=2000,"1900～2000","2100以上"))))))</f>
        <v>1600</v>
      </c>
      <c r="BS665" s="8" t="str">
        <f aca="false">IF(A665="","",IF(AX665="G1","G1",IF(AX665="G2","G2",IF(AX665="G3","G3",IF(AX665="L","L","その他")))))</f>
        <v>その他</v>
      </c>
      <c r="BT665" s="8" t="str">
        <f aca="false">IF(A665="","",IF(BI665="","未結合",IF(D665=BI665,"一致","不一致")))</f>
        <v>一致</v>
      </c>
      <c r="BU665" s="8" t="str">
        <f aca="false">IF(A665="","",IF(BE665="牝馬限定","牝馬限定","その他"))</f>
        <v>牝馬限定</v>
      </c>
    </row>
    <row r="666" customFormat="false" ht="15.75" hidden="false" customHeight="false" outlineLevel="0" collapsed="false">
      <c r="A666" s="6" t="n">
        <v>46158</v>
      </c>
      <c r="B666" s="4" t="s">
        <v>5435</v>
      </c>
      <c r="C666" s="8" t="n">
        <v>1</v>
      </c>
      <c r="D666" s="8" t="n">
        <v>16</v>
      </c>
      <c r="E666" s="8" t="n">
        <v>12</v>
      </c>
      <c r="F666" s="4" t="s">
        <v>5239</v>
      </c>
      <c r="G666" s="8" t="n">
        <v>66</v>
      </c>
      <c r="H666" s="8" t="n">
        <v>8</v>
      </c>
      <c r="I666" s="4" t="s">
        <v>1796</v>
      </c>
      <c r="J666" s="8" t="n">
        <v>56</v>
      </c>
      <c r="K666" s="8" t="n">
        <v>5</v>
      </c>
      <c r="L666" s="4" t="s">
        <v>727</v>
      </c>
      <c r="M666" s="8" t="n">
        <v>41</v>
      </c>
      <c r="N666" s="8" t="n">
        <f aca="false">IF(A666="","",G666-J666)</f>
        <v>10</v>
      </c>
      <c r="O666" s="8" t="n">
        <f aca="false">IF(A666="","",J666-M666)</f>
        <v>15</v>
      </c>
      <c r="P666" s="8" t="n">
        <f aca="false">IF(A666="","",G666+J666)</f>
        <v>122</v>
      </c>
      <c r="Q666" s="8" t="str">
        <f aca="false">IF(A666="","",IF(AND(Y666&lt;&gt;"参考",G666&gt;=ルール設定!$B$2),"○",""))</f>
        <v/>
      </c>
      <c r="R666" s="8" t="str">
        <f aca="false">IF(A666="","",IF(AND(Y666&lt;&gt;"参考",G666&gt;=ルール設定!$B$3,N666&gt;=ルール設定!$B$4),"○",""))</f>
        <v/>
      </c>
      <c r="S666" s="8" t="str">
        <f aca="false">IF(A666="","",IF(AND(Y666&lt;&gt;"参考",G666&gt;=ルール設定!$B$5,J666&gt;=ルール設定!$B$6,O666&gt;=ルール設定!$B$7),"○",""))</f>
        <v/>
      </c>
      <c r="T666" s="8" t="n">
        <v>4</v>
      </c>
      <c r="U666" s="8" t="n">
        <v>2</v>
      </c>
      <c r="V666" s="8" t="str">
        <f aca="false">IF(A666="","",IF(AND(ISNUMBER(T666),ISNUMBER(U666)),IF(AND(T666&lt;=3,U666&lt;=3),"○","×"),""))</f>
        <v>×</v>
      </c>
      <c r="W666" s="8"/>
      <c r="X666" s="8"/>
      <c r="Y666" s="4" t="s">
        <v>7597</v>
      </c>
      <c r="Z666" s="4" t="s">
        <v>7886</v>
      </c>
      <c r="AA666" s="8" t="str">
        <v/>
      </c>
      <c r="AB666" s="8" t="str">
        <v/>
      </c>
      <c r="AC666" s="8" t="str">
        <v/>
      </c>
      <c r="AD666" s="8" t="str">
        <v/>
      </c>
      <c r="AE666" s="8" t="str">
        <v/>
      </c>
      <c r="AF666" s="8" t="str">
        <v/>
      </c>
      <c r="AG666" s="8" t="str">
        <v/>
      </c>
      <c r="AH666" s="8" t="str">
        <v/>
      </c>
      <c r="AI666" s="8" t="n">
        <v>25</v>
      </c>
      <c r="AJ666" s="8" t="str">
        <v>60～69</v>
      </c>
      <c r="AK666" s="8" t="str">
        <v>10～19</v>
      </c>
      <c r="AL666" s="8" t="str">
        <v>20～29</v>
      </c>
      <c r="AM666" s="8" t="str">
        <v>120～139</v>
      </c>
      <c r="AN666" s="8" t="str">
        <v>15以上</v>
      </c>
      <c r="AO666" s="8" t="str">
        <f aca="false">IF(A666="","",IF(COUNTIFS(全馬データ!$A$2:$A$50000,A666,全馬データ!$B$2:$B$50000,B666,全馬データ!$C$2:$C$50000,C666,全馬データ!$D$2:$D$50000,E666,全馬データ!$K$2:$K$50000,"&lt;&gt;")=0,"",SUMIFS(全馬データ!$K$2:$K$50000,全馬データ!$A$2:$A$50000,A666,全馬データ!$B$2:$B$50000,B666,全馬データ!$C$2:$C$50000,C666,全馬データ!$D$2:$D$50000,E666)))</f>
        <v/>
      </c>
      <c r="AP666" s="8" t="str">
        <f aca="false">IF(A666="","",IF(AO666="","欠損",IF(AO666&lt;=1.1,"1.0～1.1",IF(AO666&lt;1.3,"1.2",IF(AO666&lt;1.5,"1.3～1.4",IF(AO666&lt;2,"1.5～1.9","2.0以上"))))))</f>
        <v>欠損</v>
      </c>
      <c r="AQ666" s="8" t="str">
        <f aca="false">IF(A666="","",IF(ISNUMBER(SEARCH("2歳",Z666)),"2歳戦",IF(ISNUMBER(SEARCH("3歳未勝利",Z666)),"3歳未勝利",IF(ISNUMBER(SEARCH("未勝利",Z666)),"その他未勝利",IF(ISNUMBER(SEARCH("G1",Z666)),"G1",IF(ISNUMBER(SEARCH("G2",Z666)),"G2",IF(ISNUMBER(SEARCH("G3",Z666)),"G3",IF(ISNUMBER(SEARCH("古馬条件",Z666)),"古馬条件戦",IF(ISNUMBER(SEARCH("重賞",Z666)),"重賞","分類不能")))))))))</f>
        <v>分類不能</v>
      </c>
      <c r="AR666" s="8"/>
      <c r="AS666" s="8" t="s">
        <v>7623</v>
      </c>
      <c r="AT666" s="8" t="s">
        <v>7624</v>
      </c>
      <c r="AU666" s="8" t="s">
        <v>7600</v>
      </c>
      <c r="AV666" s="4" t="s">
        <v>7601</v>
      </c>
      <c r="AW666" s="8"/>
      <c r="AX666" s="8"/>
      <c r="AY666" s="8" t="s">
        <v>7610</v>
      </c>
      <c r="AZ666" s="4" t="s">
        <v>7617</v>
      </c>
      <c r="BA666" s="8" t="n">
        <v>1400</v>
      </c>
      <c r="BB666" s="8" t="s">
        <v>7634</v>
      </c>
      <c r="BC666" s="4" t="s">
        <v>7604</v>
      </c>
      <c r="BD666" s="8" t="s">
        <v>7621</v>
      </c>
      <c r="BE666" s="4" t="s">
        <v>7622</v>
      </c>
      <c r="BF666" s="8" t="s">
        <v>7602</v>
      </c>
      <c r="BG666" s="8" t="s">
        <v>7608</v>
      </c>
      <c r="BH666" s="4" t="s">
        <v>7609</v>
      </c>
      <c r="BI666" s="8" t="n">
        <v>16</v>
      </c>
      <c r="BJ666" s="8" t="s">
        <v>7602</v>
      </c>
      <c r="BK666" s="4" t="s">
        <v>7653</v>
      </c>
      <c r="BL666" s="8" t="s">
        <v>7602</v>
      </c>
      <c r="BM666" s="4" t="s">
        <v>7620</v>
      </c>
      <c r="BN666" s="8"/>
      <c r="BO666" s="8"/>
      <c r="BP666" s="8" t="s">
        <v>7610</v>
      </c>
      <c r="BQ666" s="8" t="str">
        <f aca="false">IF(A666="","",AT666)</f>
        <v>3歳</v>
      </c>
      <c r="BR666" s="8" t="str">
        <f aca="false">IF(A666="","",IF(BA666&lt;=1200,"～1200",IF(BA666&lt;=1500,"1300～1500",IF(BA666=1600,"1600",IF(BA666&lt;=1800,"1700～1800",IF(BA666&lt;=2000,"1900～2000","2100以上"))))))</f>
        <v>1300～1500</v>
      </c>
      <c r="BS666" s="8" t="str">
        <f aca="false">IF(A666="","",IF(AX666="G1","G1",IF(AX666="G2","G2",IF(AX666="G3","G3",IF(AX666="L","L","その他")))))</f>
        <v>その他</v>
      </c>
      <c r="BT666" s="8" t="str">
        <f aca="false">IF(A666="","",IF(BI666="","未結合",IF(D666=BI666,"一致","不一致")))</f>
        <v>一致</v>
      </c>
      <c r="BU666" s="8" t="str">
        <f aca="false">IF(A666="","",IF(BE666="牝馬限定","牝馬限定","その他"))</f>
        <v>牝馬限定</v>
      </c>
    </row>
    <row r="667" customFormat="false" ht="15.75" hidden="false" customHeight="false" outlineLevel="0" collapsed="false">
      <c r="A667" s="6" t="n">
        <v>46158</v>
      </c>
      <c r="B667" s="4" t="s">
        <v>5435</v>
      </c>
      <c r="C667" s="8" t="n">
        <v>2</v>
      </c>
      <c r="D667" s="8" t="n">
        <v>11</v>
      </c>
      <c r="E667" s="8" t="n">
        <v>9</v>
      </c>
      <c r="F667" s="4" t="s">
        <v>2950</v>
      </c>
      <c r="G667" s="8" t="n">
        <v>81</v>
      </c>
      <c r="H667" s="8" t="n">
        <v>3</v>
      </c>
      <c r="I667" s="4" t="s">
        <v>5245</v>
      </c>
      <c r="J667" s="8" t="n">
        <v>37</v>
      </c>
      <c r="K667" s="8" t="n">
        <v>6</v>
      </c>
      <c r="L667" s="4" t="s">
        <v>2035</v>
      </c>
      <c r="M667" s="8" t="n">
        <v>37</v>
      </c>
      <c r="N667" s="8" t="n">
        <f aca="false">IF(A667="","",G667-J667)</f>
        <v>44</v>
      </c>
      <c r="O667" s="8" t="n">
        <f aca="false">IF(A667="","",J667-M667)</f>
        <v>0</v>
      </c>
      <c r="P667" s="8" t="n">
        <f aca="false">IF(A667="","",G667+J667)</f>
        <v>118</v>
      </c>
      <c r="Q667" s="8" t="str">
        <f aca="false">IF(A667="","",IF(AND(Y667&lt;&gt;"参考",G667&gt;=ルール設定!$B$2),"○",""))</f>
        <v>○</v>
      </c>
      <c r="R667" s="8" t="str">
        <f aca="false">IF(A667="","",IF(AND(Y667&lt;&gt;"参考",G667&gt;=ルール設定!$B$3,N667&gt;=ルール設定!$B$4),"○",""))</f>
        <v>○</v>
      </c>
      <c r="S667" s="8" t="str">
        <f aca="false">IF(A667="","",IF(AND(Y667&lt;&gt;"参考",G667&gt;=ルール設定!$B$5,J667&gt;=ルール設定!$B$6,O667&gt;=ルール設定!$B$7),"○",""))</f>
        <v/>
      </c>
      <c r="T667" s="8" t="n">
        <v>2</v>
      </c>
      <c r="U667" s="8" t="n">
        <v>4</v>
      </c>
      <c r="V667" s="8" t="str">
        <f aca="false">IF(A667="","",IF(AND(ISNUMBER(T667),ISNUMBER(U667)),IF(AND(T667&lt;=3,U667&lt;=3),"○","×"),""))</f>
        <v>×</v>
      </c>
      <c r="W667" s="8" t="n">
        <v>110</v>
      </c>
      <c r="X667" s="8"/>
      <c r="Y667" s="4" t="s">
        <v>7597</v>
      </c>
      <c r="Z667" s="4" t="s">
        <v>7886</v>
      </c>
      <c r="AA667" s="8" t="str">
        <v/>
      </c>
      <c r="AB667" s="8" t="str">
        <v>○</v>
      </c>
      <c r="AC667" s="8" t="str">
        <v/>
      </c>
      <c r="AD667" s="8" t="str">
        <v>○</v>
      </c>
      <c r="AE667" s="8" t="str">
        <v/>
      </c>
      <c r="AF667" s="8" t="str">
        <v/>
      </c>
      <c r="AG667" s="8" t="str">
        <v>○</v>
      </c>
      <c r="AH667" s="8" t="str">
        <v/>
      </c>
      <c r="AI667" s="8" t="n">
        <v>44</v>
      </c>
      <c r="AJ667" s="8" t="str">
        <v>80～84</v>
      </c>
      <c r="AK667" s="8" t="str">
        <v>30以上</v>
      </c>
      <c r="AL667" s="8" t="str">
        <v>40以上</v>
      </c>
      <c r="AM667" s="8" t="str">
        <v>100～119</v>
      </c>
      <c r="AN667" s="8" t="str">
        <v>8～11</v>
      </c>
      <c r="AO667" s="8" t="str">
        <f aca="false">IF(A667="","",IF(COUNTIFS(全馬データ!$A$2:$A$50000,A667,全馬データ!$B$2:$B$50000,B667,全馬データ!$C$2:$C$50000,C667,全馬データ!$D$2:$D$50000,E667,全馬データ!$K$2:$K$50000,"&lt;&gt;")=0,"",SUMIFS(全馬データ!$K$2:$K$50000,全馬データ!$A$2:$A$50000,A667,全馬データ!$B$2:$B$50000,B667,全馬データ!$C$2:$C$50000,C667,全馬データ!$D$2:$D$50000,E667)))</f>
        <v/>
      </c>
      <c r="AP667" s="8" t="str">
        <f aca="false">IF(A667="","",IF(AO667="","欠損",IF(AO667&lt;=1.1,"1.0～1.1",IF(AO667&lt;1.3,"1.2",IF(AO667&lt;1.5,"1.3～1.4",IF(AO667&lt;2,"1.5～1.9","2.0以上"))))))</f>
        <v>欠損</v>
      </c>
      <c r="AQ667" s="8" t="str">
        <f aca="false">IF(A667="","",IF(ISNUMBER(SEARCH("2歳",Z667)),"2歳戦",IF(ISNUMBER(SEARCH("3歳未勝利",Z667)),"3歳未勝利",IF(ISNUMBER(SEARCH("未勝利",Z667)),"その他未勝利",IF(ISNUMBER(SEARCH("G1",Z667)),"G1",IF(ISNUMBER(SEARCH("G2",Z667)),"G2",IF(ISNUMBER(SEARCH("G3",Z667)),"G3",IF(ISNUMBER(SEARCH("古馬条件",Z667)),"古馬条件戦",IF(ISNUMBER(SEARCH("重賞",Z667)),"重賞","分類不能")))))))))</f>
        <v>分類不能</v>
      </c>
      <c r="AR667" s="8"/>
      <c r="AS667" s="8" t="s">
        <v>7623</v>
      </c>
      <c r="AT667" s="8" t="s">
        <v>7624</v>
      </c>
      <c r="AU667" s="8" t="s">
        <v>7600</v>
      </c>
      <c r="AV667" s="4" t="s">
        <v>7601</v>
      </c>
      <c r="AW667" s="8"/>
      <c r="AX667" s="8"/>
      <c r="AY667" s="8" t="s">
        <v>7610</v>
      </c>
      <c r="AZ667" s="4" t="s">
        <v>7617</v>
      </c>
      <c r="BA667" s="8" t="n">
        <v>1800</v>
      </c>
      <c r="BB667" s="8" t="s">
        <v>7634</v>
      </c>
      <c r="BC667" s="4" t="s">
        <v>7604</v>
      </c>
      <c r="BD667" s="8" t="s">
        <v>7625</v>
      </c>
      <c r="BE667" s="4" t="s">
        <v>7606</v>
      </c>
      <c r="BF667" s="8" t="s">
        <v>7607</v>
      </c>
      <c r="BG667" s="8" t="s">
        <v>7608</v>
      </c>
      <c r="BH667" s="4" t="s">
        <v>7609</v>
      </c>
      <c r="BI667" s="8" t="n">
        <v>11</v>
      </c>
      <c r="BJ667" s="8" t="s">
        <v>7602</v>
      </c>
      <c r="BK667" s="4" t="s">
        <v>7653</v>
      </c>
      <c r="BL667" s="8" t="s">
        <v>7602</v>
      </c>
      <c r="BM667" s="4" t="s">
        <v>7620</v>
      </c>
      <c r="BN667" s="8"/>
      <c r="BO667" s="8"/>
      <c r="BP667" s="8" t="s">
        <v>7610</v>
      </c>
      <c r="BQ667" s="8" t="str">
        <f aca="false">IF(A667="","",AT667)</f>
        <v>3歳</v>
      </c>
      <c r="BR667" s="8" t="str">
        <f aca="false">IF(A667="","",IF(BA667&lt;=1200,"～1200",IF(BA667&lt;=1500,"1300～1500",IF(BA667=1600,"1600",IF(BA667&lt;=1800,"1700～1800",IF(BA667&lt;=2000,"1900～2000","2100以上"))))))</f>
        <v>1700～1800</v>
      </c>
      <c r="BS667" s="8" t="str">
        <f aca="false">IF(A667="","",IF(AX667="G1","G1",IF(AX667="G2","G2",IF(AX667="G3","G3",IF(AX667="L","L","その他")))))</f>
        <v>その他</v>
      </c>
      <c r="BT667" s="8" t="str">
        <f aca="false">IF(A667="","",IF(BI667="","未結合",IF(D667=BI667,"一致","不一致")))</f>
        <v>一致</v>
      </c>
      <c r="BU667" s="8" t="str">
        <f aca="false">IF(A667="","",IF(BE667="牝馬限定","牝馬限定","その他"))</f>
        <v>その他</v>
      </c>
    </row>
    <row r="668" customFormat="false" ht="15.75" hidden="false" customHeight="false" outlineLevel="0" collapsed="false">
      <c r="A668" s="6" t="n">
        <v>46158</v>
      </c>
      <c r="B668" s="4" t="s">
        <v>5435</v>
      </c>
      <c r="C668" s="8" t="n">
        <v>3</v>
      </c>
      <c r="D668" s="8" t="n">
        <v>18</v>
      </c>
      <c r="E668" s="8" t="n">
        <v>4</v>
      </c>
      <c r="F668" s="4" t="s">
        <v>4583</v>
      </c>
      <c r="G668" s="8" t="n">
        <v>75</v>
      </c>
      <c r="H668" s="8" t="n">
        <v>18</v>
      </c>
      <c r="I668" s="4" t="s">
        <v>4607</v>
      </c>
      <c r="J668" s="8" t="n">
        <v>47</v>
      </c>
      <c r="K668" s="8" t="n">
        <v>1</v>
      </c>
      <c r="L668" s="4" t="s">
        <v>3977</v>
      </c>
      <c r="M668" s="8" t="n">
        <v>39</v>
      </c>
      <c r="N668" s="8" t="n">
        <f aca="false">IF(A668="","",G668-J668)</f>
        <v>28</v>
      </c>
      <c r="O668" s="8" t="n">
        <f aca="false">IF(A668="","",J668-M668)</f>
        <v>8</v>
      </c>
      <c r="P668" s="8" t="n">
        <f aca="false">IF(A668="","",G668+J668)</f>
        <v>122</v>
      </c>
      <c r="Q668" s="8" t="str">
        <f aca="false">IF(A668="","",IF(AND(Y668&lt;&gt;"参考",G668&gt;=ルール設定!$B$2),"○",""))</f>
        <v/>
      </c>
      <c r="R668" s="8" t="str">
        <f aca="false">IF(A668="","",IF(AND(Y668&lt;&gt;"参考",G668&gt;=ルール設定!$B$3,N668&gt;=ルール設定!$B$4),"○",""))</f>
        <v/>
      </c>
      <c r="S668" s="8" t="str">
        <f aca="false">IF(A668="","",IF(AND(Y668&lt;&gt;"参考",G668&gt;=ルール設定!$B$5,J668&gt;=ルール設定!$B$6,O668&gt;=ルール設定!$B$7),"○",""))</f>
        <v/>
      </c>
      <c r="T668" s="8" t="n">
        <v>4</v>
      </c>
      <c r="U668" s="8" t="n">
        <v>2</v>
      </c>
      <c r="V668" s="8" t="str">
        <f aca="false">IF(A668="","",IF(AND(ISNUMBER(T668),ISNUMBER(U668)),IF(AND(T668&lt;=3,U668&lt;=3),"○","×"),""))</f>
        <v>×</v>
      </c>
      <c r="W668" s="8"/>
      <c r="X668" s="8"/>
      <c r="Y668" s="4" t="s">
        <v>7597</v>
      </c>
      <c r="Z668" s="4" t="s">
        <v>7886</v>
      </c>
      <c r="AA668" s="8" t="str">
        <v/>
      </c>
      <c r="AB668" s="8" t="str">
        <v/>
      </c>
      <c r="AC668" s="8" t="str">
        <v/>
      </c>
      <c r="AD668" s="8" t="str">
        <v/>
      </c>
      <c r="AE668" s="8" t="str">
        <v/>
      </c>
      <c r="AF668" s="8" t="str">
        <v/>
      </c>
      <c r="AG668" s="8" t="str">
        <v/>
      </c>
      <c r="AH668" s="8" t="str">
        <v/>
      </c>
      <c r="AI668" s="8" t="n">
        <v>36</v>
      </c>
      <c r="AJ668" s="8" t="str">
        <v>75～79</v>
      </c>
      <c r="AK668" s="8" t="str">
        <v>20～29</v>
      </c>
      <c r="AL668" s="8" t="str">
        <v>30～39</v>
      </c>
      <c r="AM668" s="8" t="str">
        <v>120～139</v>
      </c>
      <c r="AN668" s="8" t="str">
        <v>15以上</v>
      </c>
      <c r="AO668" s="8" t="str">
        <f aca="false">IF(A668="","",IF(COUNTIFS(全馬データ!$A$2:$A$50000,A668,全馬データ!$B$2:$B$50000,B668,全馬データ!$C$2:$C$50000,C668,全馬データ!$D$2:$D$50000,E668,全馬データ!$K$2:$K$50000,"&lt;&gt;")=0,"",SUMIFS(全馬データ!$K$2:$K$50000,全馬データ!$A$2:$A$50000,A668,全馬データ!$B$2:$B$50000,B668,全馬データ!$C$2:$C$50000,C668,全馬データ!$D$2:$D$50000,E668)))</f>
        <v/>
      </c>
      <c r="AP668" s="8" t="str">
        <f aca="false">IF(A668="","",IF(AO668="","欠損",IF(AO668&lt;=1.1,"1.0～1.1",IF(AO668&lt;1.3,"1.2",IF(AO668&lt;1.5,"1.3～1.4",IF(AO668&lt;2,"1.5～1.9","2.0以上"))))))</f>
        <v>欠損</v>
      </c>
      <c r="AQ668" s="8" t="str">
        <f aca="false">IF(A668="","",IF(ISNUMBER(SEARCH("2歳",Z668)),"2歳戦",IF(ISNUMBER(SEARCH("3歳未勝利",Z668)),"3歳未勝利",IF(ISNUMBER(SEARCH("未勝利",Z668)),"その他未勝利",IF(ISNUMBER(SEARCH("G1",Z668)),"G1",IF(ISNUMBER(SEARCH("G2",Z668)),"G2",IF(ISNUMBER(SEARCH("G3",Z668)),"G3",IF(ISNUMBER(SEARCH("古馬条件",Z668)),"古馬条件戦",IF(ISNUMBER(SEARCH("重賞",Z668)),"重賞","分類不能")))))))))</f>
        <v>分類不能</v>
      </c>
      <c r="AR668" s="8"/>
      <c r="AS668" s="8" t="s">
        <v>7623</v>
      </c>
      <c r="AT668" s="8" t="s">
        <v>7624</v>
      </c>
      <c r="AU668" s="8" t="s">
        <v>7600</v>
      </c>
      <c r="AV668" s="4" t="s">
        <v>7601</v>
      </c>
      <c r="AW668" s="8"/>
      <c r="AX668" s="8"/>
      <c r="AY668" s="8" t="s">
        <v>7602</v>
      </c>
      <c r="AZ668" s="4" t="s">
        <v>7603</v>
      </c>
      <c r="BA668" s="8" t="n">
        <v>1400</v>
      </c>
      <c r="BB668" s="8" t="s">
        <v>7598</v>
      </c>
      <c r="BC668" s="4" t="s">
        <v>7604</v>
      </c>
      <c r="BD668" s="8" t="s">
        <v>7605</v>
      </c>
      <c r="BE668" s="4" t="s">
        <v>7606</v>
      </c>
      <c r="BF668" s="8" t="s">
        <v>7607</v>
      </c>
      <c r="BG668" s="8" t="s">
        <v>7608</v>
      </c>
      <c r="BH668" s="4" t="s">
        <v>7609</v>
      </c>
      <c r="BI668" s="8" t="n">
        <v>18</v>
      </c>
      <c r="BJ668" s="8" t="s">
        <v>7602</v>
      </c>
      <c r="BK668" s="4" t="s">
        <v>7653</v>
      </c>
      <c r="BL668" s="8" t="s">
        <v>7602</v>
      </c>
      <c r="BM668" s="4" t="s">
        <v>7620</v>
      </c>
      <c r="BN668" s="8" t="s">
        <v>7676</v>
      </c>
      <c r="BO668" s="8" t="s">
        <v>7778</v>
      </c>
      <c r="BP668" s="8" t="s">
        <v>7610</v>
      </c>
      <c r="BQ668" s="8" t="str">
        <f aca="false">IF(A668="","",AT668)</f>
        <v>3歳</v>
      </c>
      <c r="BR668" s="8" t="str">
        <f aca="false">IF(A668="","",IF(BA668&lt;=1200,"～1200",IF(BA668&lt;=1500,"1300～1500",IF(BA668=1600,"1600",IF(BA668&lt;=1800,"1700～1800",IF(BA668&lt;=2000,"1900～2000","2100以上"))))))</f>
        <v>1300～1500</v>
      </c>
      <c r="BS668" s="8" t="str">
        <f aca="false">IF(A668="","",IF(AX668="G1","G1",IF(AX668="G2","G2",IF(AX668="G3","G3",IF(AX668="L","L","その他")))))</f>
        <v>その他</v>
      </c>
      <c r="BT668" s="8" t="str">
        <f aca="false">IF(A668="","",IF(BI668="","未結合",IF(D668=BI668,"一致","不一致")))</f>
        <v>一致</v>
      </c>
      <c r="BU668" s="8" t="str">
        <f aca="false">IF(A668="","",IF(BE668="牝馬限定","牝馬限定","その他"))</f>
        <v>その他</v>
      </c>
    </row>
    <row r="669" customFormat="false" ht="15.75" hidden="false" customHeight="false" outlineLevel="0" collapsed="false">
      <c r="A669" s="6" t="n">
        <v>46158</v>
      </c>
      <c r="B669" s="4" t="s">
        <v>5435</v>
      </c>
      <c r="C669" s="8" t="n">
        <v>4</v>
      </c>
      <c r="D669" s="8" t="n">
        <v>10</v>
      </c>
      <c r="E669" s="8" t="n">
        <v>6</v>
      </c>
      <c r="F669" s="4" t="s">
        <v>5924</v>
      </c>
      <c r="G669" s="8" t="n">
        <v>52</v>
      </c>
      <c r="H669" s="8" t="n">
        <v>7</v>
      </c>
      <c r="I669" s="4" t="s">
        <v>654</v>
      </c>
      <c r="J669" s="8" t="n">
        <v>47</v>
      </c>
      <c r="K669" s="8" t="n">
        <v>10</v>
      </c>
      <c r="L669" s="4" t="s">
        <v>4383</v>
      </c>
      <c r="M669" s="8" t="n">
        <v>44</v>
      </c>
      <c r="N669" s="8" t="n">
        <f aca="false">IF(A669="","",G669-J669)</f>
        <v>5</v>
      </c>
      <c r="O669" s="8" t="n">
        <f aca="false">IF(A669="","",J669-M669)</f>
        <v>3</v>
      </c>
      <c r="P669" s="8" t="n">
        <f aca="false">IF(A669="","",G669+J669)</f>
        <v>99</v>
      </c>
      <c r="Q669" s="8" t="str">
        <f aca="false">IF(A669="","",IF(AND(Y669&lt;&gt;"参考",G669&gt;=ルール設定!$B$2),"○",""))</f>
        <v/>
      </c>
      <c r="R669" s="8" t="str">
        <f aca="false">IF(A669="","",IF(AND(Y669&lt;&gt;"参考",G669&gt;=ルール設定!$B$3,N669&gt;=ルール設定!$B$4),"○",""))</f>
        <v/>
      </c>
      <c r="S669" s="8" t="str">
        <f aca="false">IF(A669="","",IF(AND(Y669&lt;&gt;"参考",G669&gt;=ルール設定!$B$5,J669&gt;=ルール設定!$B$6,O669&gt;=ルール設定!$B$7),"○",""))</f>
        <v/>
      </c>
      <c r="T669" s="8" t="n">
        <v>3</v>
      </c>
      <c r="U669" s="8" t="n">
        <v>4</v>
      </c>
      <c r="V669" s="8" t="str">
        <f aca="false">IF(A669="","",IF(AND(ISNUMBER(T669),ISNUMBER(U669)),IF(AND(T669&lt;=3,U669&lt;=3),"○","×"),""))</f>
        <v>×</v>
      </c>
      <c r="W669" s="8" t="n">
        <v>150</v>
      </c>
      <c r="X669" s="8"/>
      <c r="Y669" s="4" t="s">
        <v>7597</v>
      </c>
      <c r="Z669" s="4" t="s">
        <v>7886</v>
      </c>
      <c r="AA669" s="8" t="str">
        <v/>
      </c>
      <c r="AB669" s="8" t="str">
        <v/>
      </c>
      <c r="AC669" s="8" t="str">
        <v/>
      </c>
      <c r="AD669" s="8" t="str">
        <v/>
      </c>
      <c r="AE669" s="8" t="str">
        <v/>
      </c>
      <c r="AF669" s="8" t="str">
        <v/>
      </c>
      <c r="AG669" s="8" t="str">
        <v/>
      </c>
      <c r="AH669" s="8" t="str">
        <v/>
      </c>
      <c r="AI669" s="8" t="n">
        <v>8</v>
      </c>
      <c r="AJ669" s="8" t="str">
        <v>～59</v>
      </c>
      <c r="AK669" s="8" t="str">
        <v>5～9</v>
      </c>
      <c r="AL669" s="8" t="str">
        <v>0～9</v>
      </c>
      <c r="AM669" s="8" t="str">
        <v>～99</v>
      </c>
      <c r="AN669" s="8" t="str">
        <v>8～11</v>
      </c>
      <c r="AO669" s="8" t="str">
        <f aca="false">IF(A669="","",IF(COUNTIFS(全馬データ!$A$2:$A$50000,A669,全馬データ!$B$2:$B$50000,B669,全馬データ!$C$2:$C$50000,C669,全馬データ!$D$2:$D$50000,E669,全馬データ!$K$2:$K$50000,"&lt;&gt;")=0,"",SUMIFS(全馬データ!$K$2:$K$50000,全馬データ!$A$2:$A$50000,A669,全馬データ!$B$2:$B$50000,B669,全馬データ!$C$2:$C$50000,C669,全馬データ!$D$2:$D$50000,E669)))</f>
        <v/>
      </c>
      <c r="AP669" s="8" t="str">
        <f aca="false">IF(A669="","",IF(AO669="","欠損",IF(AO669&lt;=1.1,"1.0～1.1",IF(AO669&lt;1.3,"1.2",IF(AO669&lt;1.5,"1.3～1.4",IF(AO669&lt;2,"1.5～1.9","2.0以上"))))))</f>
        <v>欠損</v>
      </c>
      <c r="AQ669" s="8" t="str">
        <f aca="false">IF(A669="","",IF(ISNUMBER(SEARCH("2歳",Z669)),"2歳戦",IF(ISNUMBER(SEARCH("3歳未勝利",Z669)),"3歳未勝利",IF(ISNUMBER(SEARCH("未勝利",Z669)),"その他未勝利",IF(ISNUMBER(SEARCH("G1",Z669)),"G1",IF(ISNUMBER(SEARCH("G2",Z669)),"G2",IF(ISNUMBER(SEARCH("G3",Z669)),"G3",IF(ISNUMBER(SEARCH("古馬条件",Z669)),"古馬条件戦",IF(ISNUMBER(SEARCH("重賞",Z669)),"重賞","分類不能")))))))))</f>
        <v>分類不能</v>
      </c>
      <c r="AR669" s="8"/>
      <c r="AS669" s="8" t="s">
        <v>7623</v>
      </c>
      <c r="AT669" s="8" t="s">
        <v>7624</v>
      </c>
      <c r="AU669" s="8" t="s">
        <v>7600</v>
      </c>
      <c r="AV669" s="4" t="s">
        <v>7601</v>
      </c>
      <c r="AW669" s="8"/>
      <c r="AX669" s="8"/>
      <c r="AY669" s="8" t="s">
        <v>7602</v>
      </c>
      <c r="AZ669" s="4" t="s">
        <v>7603</v>
      </c>
      <c r="BA669" s="8" t="n">
        <v>2400</v>
      </c>
      <c r="BB669" s="8" t="s">
        <v>7598</v>
      </c>
      <c r="BC669" s="4" t="s">
        <v>7604</v>
      </c>
      <c r="BD669" s="8" t="s">
        <v>7625</v>
      </c>
      <c r="BE669" s="4" t="s">
        <v>7606</v>
      </c>
      <c r="BF669" s="8" t="s">
        <v>7607</v>
      </c>
      <c r="BG669" s="8" t="s">
        <v>7608</v>
      </c>
      <c r="BH669" s="4" t="s">
        <v>7609</v>
      </c>
      <c r="BI669" s="8" t="n">
        <v>10</v>
      </c>
      <c r="BJ669" s="8" t="s">
        <v>7602</v>
      </c>
      <c r="BK669" s="4" t="s">
        <v>7653</v>
      </c>
      <c r="BL669" s="8" t="s">
        <v>7610</v>
      </c>
      <c r="BM669" s="4" t="s">
        <v>7612</v>
      </c>
      <c r="BN669" s="8" t="s">
        <v>7676</v>
      </c>
      <c r="BO669" s="8" t="s">
        <v>7778</v>
      </c>
      <c r="BP669" s="8" t="s">
        <v>7610</v>
      </c>
      <c r="BQ669" s="8" t="str">
        <f aca="false">IF(A669="","",AT669)</f>
        <v>3歳</v>
      </c>
      <c r="BR669" s="8" t="str">
        <f aca="false">IF(A669="","",IF(BA669&lt;=1200,"～1200",IF(BA669&lt;=1500,"1300～1500",IF(BA669=1600,"1600",IF(BA669&lt;=1800,"1700～1800",IF(BA669&lt;=2000,"1900～2000","2100以上"))))))</f>
        <v>2100以上</v>
      </c>
      <c r="BS669" s="8" t="str">
        <f aca="false">IF(A669="","",IF(AX669="G1","G1",IF(AX669="G2","G2",IF(AX669="G3","G3",IF(AX669="L","L","その他")))))</f>
        <v>その他</v>
      </c>
      <c r="BT669" s="8" t="str">
        <f aca="false">IF(A669="","",IF(BI669="","未結合",IF(D669=BI669,"一致","不一致")))</f>
        <v>一致</v>
      </c>
      <c r="BU669" s="8" t="str">
        <f aca="false">IF(A669="","",IF(BE669="牝馬限定","牝馬限定","その他"))</f>
        <v>その他</v>
      </c>
    </row>
    <row r="670" customFormat="false" ht="15.75" hidden="false" customHeight="false" outlineLevel="0" collapsed="false">
      <c r="A670" s="6" t="n">
        <v>46158</v>
      </c>
      <c r="B670" s="4" t="s">
        <v>5435</v>
      </c>
      <c r="C670" s="8" t="n">
        <v>5</v>
      </c>
      <c r="D670" s="8" t="n">
        <v>14</v>
      </c>
      <c r="E670" s="8" t="n">
        <v>2</v>
      </c>
      <c r="F670" s="4" t="s">
        <v>5243</v>
      </c>
      <c r="G670" s="8" t="n">
        <v>86</v>
      </c>
      <c r="H670" s="8" t="n">
        <v>5</v>
      </c>
      <c r="I670" s="4" t="s">
        <v>6150</v>
      </c>
      <c r="J670" s="8" t="n">
        <v>66</v>
      </c>
      <c r="K670" s="8" t="n">
        <v>12</v>
      </c>
      <c r="L670" s="4" t="s">
        <v>855</v>
      </c>
      <c r="M670" s="8" t="n">
        <v>25</v>
      </c>
      <c r="N670" s="8" t="n">
        <f aca="false">IF(A670="","",G670-J670)</f>
        <v>20</v>
      </c>
      <c r="O670" s="8" t="n">
        <f aca="false">IF(A670="","",J670-M670)</f>
        <v>41</v>
      </c>
      <c r="P670" s="8" t="n">
        <f aca="false">IF(A670="","",G670+J670)</f>
        <v>152</v>
      </c>
      <c r="Q670" s="8" t="str">
        <f aca="false">IF(A670="","",IF(AND(Y670&lt;&gt;"参考",G670&gt;=ルール設定!$B$2),"○",""))</f>
        <v>○</v>
      </c>
      <c r="R670" s="8" t="str">
        <f aca="false">IF(A670="","",IF(AND(Y670&lt;&gt;"参考",G670&gt;=ルール設定!$B$3,N670&gt;=ルール設定!$B$4),"○",""))</f>
        <v/>
      </c>
      <c r="S670" s="8" t="str">
        <f aca="false">IF(A670="","",IF(AND(Y670&lt;&gt;"参考",G670&gt;=ルール設定!$B$5,J670&gt;=ルール設定!$B$6,O670&gt;=ルール設定!$B$7),"○",""))</f>
        <v>○</v>
      </c>
      <c r="T670" s="8" t="n">
        <v>3</v>
      </c>
      <c r="U670" s="8" t="n">
        <v>1</v>
      </c>
      <c r="V670" s="8" t="str">
        <f aca="false">IF(A670="","",IF(AND(ISNUMBER(T670),ISNUMBER(U670)),IF(AND(T670&lt;=3,U670&lt;=3),"○","×"),""))</f>
        <v>○</v>
      </c>
      <c r="W670" s="8" t="n">
        <v>110</v>
      </c>
      <c r="X670" s="8" t="n">
        <v>210</v>
      </c>
      <c r="Y670" s="4" t="s">
        <v>7597</v>
      </c>
      <c r="Z670" s="4" t="s">
        <v>7886</v>
      </c>
      <c r="AA670" s="8" t="str">
        <v>○</v>
      </c>
      <c r="AB670" s="8" t="str">
        <v>○</v>
      </c>
      <c r="AC670" s="8" t="str">
        <v>○</v>
      </c>
      <c r="AD670" s="8" t="str">
        <v/>
      </c>
      <c r="AE670" s="8" t="str">
        <v/>
      </c>
      <c r="AF670" s="8" t="str">
        <v>○</v>
      </c>
      <c r="AG670" s="8" t="str">
        <v>○</v>
      </c>
      <c r="AH670" s="8" t="str">
        <v/>
      </c>
      <c r="AI670" s="8" t="n">
        <v>61</v>
      </c>
      <c r="AJ670" s="8" t="str">
        <v>85以上</v>
      </c>
      <c r="AK670" s="8" t="str">
        <v>20～29</v>
      </c>
      <c r="AL670" s="8" t="str">
        <v>40以上</v>
      </c>
      <c r="AM670" s="8" t="str">
        <v>140～159</v>
      </c>
      <c r="AN670" s="8" t="str">
        <v>12～14</v>
      </c>
      <c r="AO670" s="8" t="str">
        <f aca="false">IF(A670="","",IF(COUNTIFS(全馬データ!$A$2:$A$50000,A670,全馬データ!$B$2:$B$50000,B670,全馬データ!$C$2:$C$50000,C670,全馬データ!$D$2:$D$50000,E670,全馬データ!$K$2:$K$50000,"&lt;&gt;")=0,"",SUMIFS(全馬データ!$K$2:$K$50000,全馬データ!$A$2:$A$50000,A670,全馬データ!$B$2:$B$50000,B670,全馬データ!$C$2:$C$50000,C670,全馬データ!$D$2:$D$50000,E670)))</f>
        <v/>
      </c>
      <c r="AP670" s="8" t="str">
        <f aca="false">IF(A670="","",IF(AO670="","欠損",IF(AO670&lt;=1.1,"1.0～1.1",IF(AO670&lt;1.3,"1.2",IF(AO670&lt;1.5,"1.3～1.4",IF(AO670&lt;2,"1.5～1.9","2.0以上"))))))</f>
        <v>欠損</v>
      </c>
      <c r="AQ670" s="8" t="str">
        <f aca="false">IF(A670="","",IF(ISNUMBER(SEARCH("2歳",Z670)),"2歳戦",IF(ISNUMBER(SEARCH("3歳未勝利",Z670)),"3歳未勝利",IF(ISNUMBER(SEARCH("未勝利",Z670)),"その他未勝利",IF(ISNUMBER(SEARCH("G1",Z670)),"G1",IF(ISNUMBER(SEARCH("G2",Z670)),"G2",IF(ISNUMBER(SEARCH("G3",Z670)),"G3",IF(ISNUMBER(SEARCH("古馬条件",Z670)),"古馬条件戦",IF(ISNUMBER(SEARCH("重賞",Z670)),"重賞","分類不能")))))))))</f>
        <v>分類不能</v>
      </c>
      <c r="AR670" s="8"/>
      <c r="AS670" s="8" t="s">
        <v>7623</v>
      </c>
      <c r="AT670" s="8" t="s">
        <v>7624</v>
      </c>
      <c r="AU670" s="8" t="s">
        <v>7600</v>
      </c>
      <c r="AV670" s="4" t="s">
        <v>7601</v>
      </c>
      <c r="AW670" s="8"/>
      <c r="AX670" s="8"/>
      <c r="AY670" s="8" t="s">
        <v>7602</v>
      </c>
      <c r="AZ670" s="4" t="s">
        <v>7603</v>
      </c>
      <c r="BA670" s="8" t="n">
        <v>1800</v>
      </c>
      <c r="BB670" s="8" t="s">
        <v>7598</v>
      </c>
      <c r="BC670" s="4" t="s">
        <v>7604</v>
      </c>
      <c r="BD670" s="8" t="s">
        <v>7605</v>
      </c>
      <c r="BE670" s="4" t="s">
        <v>7606</v>
      </c>
      <c r="BF670" s="8" t="s">
        <v>7607</v>
      </c>
      <c r="BG670" s="8" t="s">
        <v>7608</v>
      </c>
      <c r="BH670" s="4" t="s">
        <v>7609</v>
      </c>
      <c r="BI670" s="8" t="n">
        <v>14</v>
      </c>
      <c r="BJ670" s="8" t="s">
        <v>7602</v>
      </c>
      <c r="BK670" s="4" t="s">
        <v>7653</v>
      </c>
      <c r="BL670" s="8" t="s">
        <v>7610</v>
      </c>
      <c r="BM670" s="4" t="s">
        <v>7612</v>
      </c>
      <c r="BN670" s="8" t="s">
        <v>7676</v>
      </c>
      <c r="BO670" s="8" t="s">
        <v>7778</v>
      </c>
      <c r="BP670" s="8" t="s">
        <v>7610</v>
      </c>
      <c r="BQ670" s="8" t="str">
        <f aca="false">IF(A670="","",AT670)</f>
        <v>3歳</v>
      </c>
      <c r="BR670" s="8" t="str">
        <f aca="false">IF(A670="","",IF(BA670&lt;=1200,"～1200",IF(BA670&lt;=1500,"1300～1500",IF(BA670=1600,"1600",IF(BA670&lt;=1800,"1700～1800",IF(BA670&lt;=2000,"1900～2000","2100以上"))))))</f>
        <v>1700～1800</v>
      </c>
      <c r="BS670" s="8" t="str">
        <f aca="false">IF(A670="","",IF(AX670="G1","G1",IF(AX670="G2","G2",IF(AX670="G3","G3",IF(AX670="L","L","その他")))))</f>
        <v>その他</v>
      </c>
      <c r="BT670" s="8" t="str">
        <f aca="false">IF(A670="","",IF(BI670="","未結合",IF(D670=BI670,"一致","不一致")))</f>
        <v>一致</v>
      </c>
      <c r="BU670" s="8" t="str">
        <f aca="false">IF(A670="","",IF(BE670="牝馬限定","牝馬限定","その他"))</f>
        <v>その他</v>
      </c>
    </row>
    <row r="671" customFormat="false" ht="15.75" hidden="false" customHeight="false" outlineLevel="0" collapsed="false">
      <c r="A671" s="6" t="n">
        <v>46158</v>
      </c>
      <c r="B671" s="4" t="s">
        <v>5435</v>
      </c>
      <c r="C671" s="8" t="n">
        <v>6</v>
      </c>
      <c r="D671" s="8" t="n">
        <v>15</v>
      </c>
      <c r="E671" s="8" t="n">
        <v>5</v>
      </c>
      <c r="F671" s="4" t="s">
        <v>6241</v>
      </c>
      <c r="G671" s="8" t="n">
        <v>61</v>
      </c>
      <c r="H671" s="8" t="n">
        <v>7</v>
      </c>
      <c r="I671" s="4" t="s">
        <v>5277</v>
      </c>
      <c r="J671" s="8" t="n">
        <v>39</v>
      </c>
      <c r="K671" s="8" t="n">
        <v>11</v>
      </c>
      <c r="L671" s="4" t="s">
        <v>2880</v>
      </c>
      <c r="M671" s="8" t="n">
        <v>31</v>
      </c>
      <c r="N671" s="8" t="n">
        <f aca="false">IF(A671="","",G671-J671)</f>
        <v>22</v>
      </c>
      <c r="O671" s="8" t="n">
        <f aca="false">IF(A671="","",J671-M671)</f>
        <v>8</v>
      </c>
      <c r="P671" s="8" t="n">
        <f aca="false">IF(A671="","",G671+J671)</f>
        <v>100</v>
      </c>
      <c r="Q671" s="8" t="str">
        <f aca="false">IF(A671="","",IF(AND(Y671&lt;&gt;"参考",G671&gt;=ルール設定!$B$2),"○",""))</f>
        <v/>
      </c>
      <c r="R671" s="8" t="str">
        <f aca="false">IF(A671="","",IF(AND(Y671&lt;&gt;"参考",G671&gt;=ルール設定!$B$3,N671&gt;=ルール設定!$B$4),"○",""))</f>
        <v/>
      </c>
      <c r="S671" s="8" t="str">
        <f aca="false">IF(A671="","",IF(AND(Y671&lt;&gt;"参考",G671&gt;=ルール設定!$B$5,J671&gt;=ルール設定!$B$6,O671&gt;=ルール設定!$B$7),"○",""))</f>
        <v/>
      </c>
      <c r="T671" s="8" t="n">
        <v>1</v>
      </c>
      <c r="U671" s="8" t="n">
        <v>2</v>
      </c>
      <c r="V671" s="8" t="str">
        <f aca="false">IF(A671="","",IF(AND(ISNUMBER(T671),ISNUMBER(U671)),IF(AND(T671&lt;=3,U671&lt;=3),"○","×"),""))</f>
        <v>○</v>
      </c>
      <c r="W671" s="8" t="n">
        <v>130</v>
      </c>
      <c r="X671" s="8" t="n">
        <v>340</v>
      </c>
      <c r="Y671" s="4" t="s">
        <v>7597</v>
      </c>
      <c r="Z671" s="4" t="s">
        <v>7886</v>
      </c>
      <c r="AA671" s="8" t="str">
        <v/>
      </c>
      <c r="AB671" s="8" t="str">
        <v/>
      </c>
      <c r="AC671" s="8" t="str">
        <v/>
      </c>
      <c r="AD671" s="8" t="str">
        <v/>
      </c>
      <c r="AE671" s="8" t="str">
        <v/>
      </c>
      <c r="AF671" s="8" t="str">
        <v/>
      </c>
      <c r="AG671" s="8" t="str">
        <v/>
      </c>
      <c r="AH671" s="8" t="str">
        <v/>
      </c>
      <c r="AI671" s="8" t="n">
        <v>30</v>
      </c>
      <c r="AJ671" s="8" t="str">
        <v>60～69</v>
      </c>
      <c r="AK671" s="8" t="str">
        <v>20～29</v>
      </c>
      <c r="AL671" s="8" t="str">
        <v>30～39</v>
      </c>
      <c r="AM671" s="8" t="str">
        <v>100～119</v>
      </c>
      <c r="AN671" s="8" t="str">
        <v>15以上</v>
      </c>
      <c r="AO671" s="8" t="str">
        <f aca="false">IF(A671="","",IF(COUNTIFS(全馬データ!$A$2:$A$50000,A671,全馬データ!$B$2:$B$50000,B671,全馬データ!$C$2:$C$50000,C671,全馬データ!$D$2:$D$50000,E671,全馬データ!$K$2:$K$50000,"&lt;&gt;")=0,"",SUMIFS(全馬データ!$K$2:$K$50000,全馬データ!$A$2:$A$50000,A671,全馬データ!$B$2:$B$50000,B671,全馬データ!$C$2:$C$50000,C671,全馬データ!$D$2:$D$50000,E671)))</f>
        <v/>
      </c>
      <c r="AP671" s="8" t="str">
        <f aca="false">IF(A671="","",IF(AO671="","欠損",IF(AO671&lt;=1.1,"1.0～1.1",IF(AO671&lt;1.3,"1.2",IF(AO671&lt;1.5,"1.3～1.4",IF(AO671&lt;2,"1.5～1.9","2.0以上"))))))</f>
        <v>欠損</v>
      </c>
      <c r="AQ671" s="8" t="str">
        <f aca="false">IF(A671="","",IF(ISNUMBER(SEARCH("2歳",Z671)),"2歳戦",IF(ISNUMBER(SEARCH("3歳未勝利",Z671)),"3歳未勝利",IF(ISNUMBER(SEARCH("未勝利",Z671)),"その他未勝利",IF(ISNUMBER(SEARCH("G1",Z671)),"G1",IF(ISNUMBER(SEARCH("G2",Z671)),"G2",IF(ISNUMBER(SEARCH("G3",Z671)),"G3",IF(ISNUMBER(SEARCH("古馬条件",Z671)),"古馬条件戦",IF(ISNUMBER(SEARCH("重賞",Z671)),"重賞","分類不能")))))))))</f>
        <v>分類不能</v>
      </c>
      <c r="AR671" s="8"/>
      <c r="AS671" s="8" t="s">
        <v>7842</v>
      </c>
      <c r="AT671" s="8" t="s">
        <v>7843</v>
      </c>
      <c r="AU671" s="8" t="s">
        <v>7628</v>
      </c>
      <c r="AV671" s="8" t="s">
        <v>7629</v>
      </c>
      <c r="AW671" s="8"/>
      <c r="AX671" s="8"/>
      <c r="AY671" s="8" t="s">
        <v>7610</v>
      </c>
      <c r="AZ671" s="4" t="s">
        <v>7617</v>
      </c>
      <c r="BA671" s="8" t="n">
        <v>1200</v>
      </c>
      <c r="BB671" s="8" t="s">
        <v>7634</v>
      </c>
      <c r="BC671" s="4" t="s">
        <v>7604</v>
      </c>
      <c r="BD671" s="8" t="s">
        <v>7605</v>
      </c>
      <c r="BE671" s="4" t="s">
        <v>7606</v>
      </c>
      <c r="BF671" s="8" t="s">
        <v>7607</v>
      </c>
      <c r="BG671" s="8" t="s">
        <v>7631</v>
      </c>
      <c r="BH671" s="4" t="s">
        <v>7632</v>
      </c>
      <c r="BI671" s="8" t="n">
        <v>15</v>
      </c>
      <c r="BJ671" s="8" t="s">
        <v>7602</v>
      </c>
      <c r="BK671" s="4" t="s">
        <v>7653</v>
      </c>
      <c r="BL671" s="8" t="s">
        <v>7602</v>
      </c>
      <c r="BM671" s="4" t="s">
        <v>7620</v>
      </c>
      <c r="BN671" s="8"/>
      <c r="BO671" s="8"/>
      <c r="BP671" s="8" t="s">
        <v>7610</v>
      </c>
      <c r="BQ671" s="8" t="str">
        <f aca="false">IF(A671="","",AT671)</f>
        <v>4歳以上</v>
      </c>
      <c r="BR671" s="8" t="str">
        <f aca="false">IF(A671="","",IF(BA671&lt;=1200,"～1200",IF(BA671&lt;=1500,"1300～1500",IF(BA671=1600,"1600",IF(BA671&lt;=1800,"1700～1800",IF(BA671&lt;=2000,"1900～2000","2100以上"))))))</f>
        <v>～1200</v>
      </c>
      <c r="BS671" s="8" t="str">
        <f aca="false">IF(A671="","",IF(AX671="G1","G1",IF(AX671="G2","G2",IF(AX671="G3","G3",IF(AX671="L","L","その他")))))</f>
        <v>その他</v>
      </c>
      <c r="BT671" s="8" t="str">
        <f aca="false">IF(A671="","",IF(BI671="","未結合",IF(D671=BI671,"一致","不一致")))</f>
        <v>一致</v>
      </c>
      <c r="BU671" s="8" t="str">
        <f aca="false">IF(A671="","",IF(BE671="牝馬限定","牝馬限定","その他"))</f>
        <v>その他</v>
      </c>
    </row>
    <row r="672" customFormat="false" ht="15.75" hidden="false" customHeight="false" outlineLevel="0" collapsed="false">
      <c r="A672" s="6" t="n">
        <v>46158</v>
      </c>
      <c r="B672" s="4" t="s">
        <v>5435</v>
      </c>
      <c r="C672" s="8" t="n">
        <v>7</v>
      </c>
      <c r="D672" s="8" t="n">
        <v>11</v>
      </c>
      <c r="E672" s="8" t="n">
        <v>1</v>
      </c>
      <c r="F672" s="4" t="s">
        <v>766</v>
      </c>
      <c r="G672" s="8" t="n">
        <v>65</v>
      </c>
      <c r="H672" s="8" t="n">
        <v>6</v>
      </c>
      <c r="I672" s="4" t="s">
        <v>6247</v>
      </c>
      <c r="J672" s="8" t="n">
        <v>62</v>
      </c>
      <c r="K672" s="8" t="n">
        <v>5</v>
      </c>
      <c r="L672" s="4" t="s">
        <v>3693</v>
      </c>
      <c r="M672" s="8" t="n">
        <v>47</v>
      </c>
      <c r="N672" s="8" t="n">
        <f aca="false">IF(A672="","",G672-J672)</f>
        <v>3</v>
      </c>
      <c r="O672" s="8" t="n">
        <f aca="false">IF(A672="","",J672-M672)</f>
        <v>15</v>
      </c>
      <c r="P672" s="8" t="n">
        <f aca="false">IF(A672="","",G672+J672)</f>
        <v>127</v>
      </c>
      <c r="Q672" s="8" t="str">
        <f aca="false">IF(A672="","",IF(AND(Y672&lt;&gt;"参考",G672&gt;=ルール設定!$B$2),"○",""))</f>
        <v/>
      </c>
      <c r="R672" s="8" t="str">
        <f aca="false">IF(A672="","",IF(AND(Y672&lt;&gt;"参考",G672&gt;=ルール設定!$B$3,N672&gt;=ルール設定!$B$4),"○",""))</f>
        <v/>
      </c>
      <c r="S672" s="8" t="str">
        <f aca="false">IF(A672="","",IF(AND(Y672&lt;&gt;"参考",G672&gt;=ルール設定!$B$5,J672&gt;=ルール設定!$B$6,O672&gt;=ルール設定!$B$7),"○",""))</f>
        <v/>
      </c>
      <c r="T672" s="8" t="n">
        <v>4</v>
      </c>
      <c r="U672" s="8" t="n">
        <v>1</v>
      </c>
      <c r="V672" s="8" t="str">
        <f aca="false">IF(A672="","",IF(AND(ISNUMBER(T672),ISNUMBER(U672)),IF(AND(T672&lt;=3,U672&lt;=3),"○","×"),""))</f>
        <v>×</v>
      </c>
      <c r="W672" s="8"/>
      <c r="X672" s="8"/>
      <c r="Y672" s="4" t="s">
        <v>7597</v>
      </c>
      <c r="Z672" s="4" t="s">
        <v>7886</v>
      </c>
      <c r="AA672" s="8" t="str">
        <v/>
      </c>
      <c r="AB672" s="8" t="str">
        <v/>
      </c>
      <c r="AC672" s="8" t="str">
        <v/>
      </c>
      <c r="AD672" s="8" t="str">
        <v/>
      </c>
      <c r="AE672" s="8" t="str">
        <v/>
      </c>
      <c r="AF672" s="8" t="str">
        <v/>
      </c>
      <c r="AG672" s="8" t="str">
        <v/>
      </c>
      <c r="AH672" s="8" t="str">
        <v/>
      </c>
      <c r="AI672" s="8" t="n">
        <v>18</v>
      </c>
      <c r="AJ672" s="8" t="str">
        <v>60～69</v>
      </c>
      <c r="AK672" s="8" t="str">
        <v>0～4</v>
      </c>
      <c r="AL672" s="8" t="str">
        <v>10～19</v>
      </c>
      <c r="AM672" s="8" t="str">
        <v>120～139</v>
      </c>
      <c r="AN672" s="8" t="str">
        <v>8～11</v>
      </c>
      <c r="AO672" s="8" t="str">
        <f aca="false">IF(A672="","",IF(COUNTIFS(全馬データ!$A$2:$A$50000,A672,全馬データ!$B$2:$B$50000,B672,全馬データ!$C$2:$C$50000,C672,全馬データ!$D$2:$D$50000,E672,全馬データ!$K$2:$K$50000,"&lt;&gt;")=0,"",SUMIFS(全馬データ!$K$2:$K$50000,全馬データ!$A$2:$A$50000,A672,全馬データ!$B$2:$B$50000,B672,全馬データ!$C$2:$C$50000,C672,全馬データ!$D$2:$D$50000,E672)))</f>
        <v/>
      </c>
      <c r="AP672" s="8" t="str">
        <f aca="false">IF(A672="","",IF(AO672="","欠損",IF(AO672&lt;=1.1,"1.0～1.1",IF(AO672&lt;1.3,"1.2",IF(AO672&lt;1.5,"1.3～1.4",IF(AO672&lt;2,"1.5～1.9","2.0以上"))))))</f>
        <v>欠損</v>
      </c>
      <c r="AQ672" s="8" t="str">
        <f aca="false">IF(A672="","",IF(ISNUMBER(SEARCH("2歳",Z672)),"2歳戦",IF(ISNUMBER(SEARCH("3歳未勝利",Z672)),"3歳未勝利",IF(ISNUMBER(SEARCH("未勝利",Z672)),"その他未勝利",IF(ISNUMBER(SEARCH("G1",Z672)),"G1",IF(ISNUMBER(SEARCH("G2",Z672)),"G2",IF(ISNUMBER(SEARCH("G3",Z672)),"G3",IF(ISNUMBER(SEARCH("古馬条件",Z672)),"古馬条件戦",IF(ISNUMBER(SEARCH("重賞",Z672)),"重賞","分類不能")))))))))</f>
        <v>分類不能</v>
      </c>
      <c r="AR672" s="8"/>
      <c r="AS672" s="8" t="s">
        <v>7842</v>
      </c>
      <c r="AT672" s="8" t="s">
        <v>7843</v>
      </c>
      <c r="AU672" s="8" t="s">
        <v>7628</v>
      </c>
      <c r="AV672" s="8" t="s">
        <v>7629</v>
      </c>
      <c r="AW672" s="8"/>
      <c r="AX672" s="8"/>
      <c r="AY672" s="8" t="s">
        <v>7602</v>
      </c>
      <c r="AZ672" s="4" t="s">
        <v>7603</v>
      </c>
      <c r="BA672" s="8" t="n">
        <v>1600</v>
      </c>
      <c r="BB672" s="8" t="s">
        <v>7598</v>
      </c>
      <c r="BC672" s="4" t="s">
        <v>7604</v>
      </c>
      <c r="BD672" s="8" t="s">
        <v>7625</v>
      </c>
      <c r="BE672" s="4" t="s">
        <v>7606</v>
      </c>
      <c r="BF672" s="8" t="s">
        <v>7607</v>
      </c>
      <c r="BG672" s="8" t="s">
        <v>7631</v>
      </c>
      <c r="BH672" s="4" t="s">
        <v>7632</v>
      </c>
      <c r="BI672" s="8" t="n">
        <v>11</v>
      </c>
      <c r="BJ672" s="8" t="s">
        <v>7602</v>
      </c>
      <c r="BK672" s="4" t="s">
        <v>7653</v>
      </c>
      <c r="BL672" s="8" t="s">
        <v>7610</v>
      </c>
      <c r="BM672" s="4" t="s">
        <v>7612</v>
      </c>
      <c r="BN672" s="8" t="s">
        <v>7676</v>
      </c>
      <c r="BO672" s="8" t="s">
        <v>7778</v>
      </c>
      <c r="BP672" s="8" t="s">
        <v>7610</v>
      </c>
      <c r="BQ672" s="8" t="str">
        <f aca="false">IF(A672="","",AT672)</f>
        <v>4歳以上</v>
      </c>
      <c r="BR672" s="8" t="str">
        <f aca="false">IF(A672="","",IF(BA672&lt;=1200,"～1200",IF(BA672&lt;=1500,"1300～1500",IF(BA672=1600,"1600",IF(BA672&lt;=1800,"1700～1800",IF(BA672&lt;=2000,"1900～2000","2100以上"))))))</f>
        <v>1600</v>
      </c>
      <c r="BS672" s="8" t="str">
        <f aca="false">IF(A672="","",IF(AX672="G1","G1",IF(AX672="G2","G2",IF(AX672="G3","G3",IF(AX672="L","L","その他")))))</f>
        <v>その他</v>
      </c>
      <c r="BT672" s="8" t="str">
        <f aca="false">IF(A672="","",IF(BI672="","未結合",IF(D672=BI672,"一致","不一致")))</f>
        <v>一致</v>
      </c>
      <c r="BU672" s="8" t="str">
        <f aca="false">IF(A672="","",IF(BE672="牝馬限定","牝馬限定","その他"))</f>
        <v>その他</v>
      </c>
    </row>
    <row r="673" customFormat="false" ht="15.75" hidden="false" customHeight="false" outlineLevel="0" collapsed="false">
      <c r="A673" s="6" t="n">
        <v>46158</v>
      </c>
      <c r="B673" s="4" t="s">
        <v>5435</v>
      </c>
      <c r="C673" s="8" t="n">
        <v>8</v>
      </c>
      <c r="D673" s="8" t="n">
        <v>6</v>
      </c>
      <c r="E673" s="8" t="n">
        <v>4</v>
      </c>
      <c r="F673" s="4" t="s">
        <v>6253</v>
      </c>
      <c r="G673" s="8" t="n">
        <v>55</v>
      </c>
      <c r="H673" s="8" t="n">
        <v>1</v>
      </c>
      <c r="I673" s="4" t="s">
        <v>125</v>
      </c>
      <c r="J673" s="8" t="n">
        <v>44</v>
      </c>
      <c r="K673" s="8" t="n">
        <v>3</v>
      </c>
      <c r="L673" s="4" t="s">
        <v>6252</v>
      </c>
      <c r="M673" s="8" t="n">
        <v>44</v>
      </c>
      <c r="N673" s="8" t="n">
        <f aca="false">IF(A673="","",G673-J673)</f>
        <v>11</v>
      </c>
      <c r="O673" s="8" t="n">
        <f aca="false">IF(A673="","",J673-M673)</f>
        <v>0</v>
      </c>
      <c r="P673" s="8" t="n">
        <f aca="false">IF(A673="","",G673+J673)</f>
        <v>99</v>
      </c>
      <c r="Q673" s="8" t="str">
        <f aca="false">IF(A673="","",IF(AND(Y673&lt;&gt;"参考",G673&gt;=ルール設定!$B$2),"○",""))</f>
        <v/>
      </c>
      <c r="R673" s="8" t="str">
        <f aca="false">IF(A673="","",IF(AND(Y673&lt;&gt;"参考",G673&gt;=ルール設定!$B$3,N673&gt;=ルール設定!$B$4),"○",""))</f>
        <v/>
      </c>
      <c r="S673" s="8" t="str">
        <f aca="false">IF(A673="","",IF(AND(Y673&lt;&gt;"参考",G673&gt;=ルール設定!$B$5,J673&gt;=ルール設定!$B$6,O673&gt;=ルール設定!$B$7),"○",""))</f>
        <v/>
      </c>
      <c r="T673" s="8" t="n">
        <v>4</v>
      </c>
      <c r="U673" s="8" t="n">
        <v>4</v>
      </c>
      <c r="V673" s="8" t="str">
        <f aca="false">IF(A673="","",IF(AND(ISNUMBER(T673),ISNUMBER(U673)),IF(AND(T673&lt;=3,U673&lt;=3),"○","×"),""))</f>
        <v>×</v>
      </c>
      <c r="W673" s="8"/>
      <c r="X673" s="8"/>
      <c r="Y673" s="4" t="s">
        <v>7597</v>
      </c>
      <c r="Z673" s="4" t="s">
        <v>7886</v>
      </c>
      <c r="AA673" s="8" t="str">
        <v/>
      </c>
      <c r="AB673" s="8" t="str">
        <v/>
      </c>
      <c r="AC673" s="8" t="str">
        <v/>
      </c>
      <c r="AD673" s="8" t="str">
        <v/>
      </c>
      <c r="AE673" s="8" t="str">
        <v/>
      </c>
      <c r="AF673" s="8" t="str">
        <v/>
      </c>
      <c r="AG673" s="8" t="str">
        <v/>
      </c>
      <c r="AH673" s="8" t="str">
        <v/>
      </c>
      <c r="AI673" s="8" t="n">
        <v>11</v>
      </c>
      <c r="AJ673" s="8" t="str">
        <v>～59</v>
      </c>
      <c r="AK673" s="8" t="str">
        <v>10～19</v>
      </c>
      <c r="AL673" s="8" t="str">
        <v>10～19</v>
      </c>
      <c r="AM673" s="8" t="str">
        <v>～99</v>
      </c>
      <c r="AN673" s="8" t="str">
        <v>7以下</v>
      </c>
      <c r="AO673" s="8" t="str">
        <f aca="false">IF(A673="","",IF(COUNTIFS(全馬データ!$A$2:$A$50000,A673,全馬データ!$B$2:$B$50000,B673,全馬データ!$C$2:$C$50000,C673,全馬データ!$D$2:$D$50000,E673,全馬データ!$K$2:$K$50000,"&lt;&gt;")=0,"",SUMIFS(全馬データ!$K$2:$K$50000,全馬データ!$A$2:$A$50000,A673,全馬データ!$B$2:$B$50000,B673,全馬データ!$C$2:$C$50000,C673,全馬データ!$D$2:$D$50000,E673)))</f>
        <v/>
      </c>
      <c r="AP673" s="8" t="str">
        <f aca="false">IF(A673="","",IF(AO673="","欠損",IF(AO673&lt;=1.1,"1.0～1.1",IF(AO673&lt;1.3,"1.2",IF(AO673&lt;1.5,"1.3～1.4",IF(AO673&lt;2,"1.5～1.9","2.0以上"))))))</f>
        <v>欠損</v>
      </c>
      <c r="AQ673" s="8" t="str">
        <f aca="false">IF(A673="","",IF(ISNUMBER(SEARCH("2歳",Z673)),"2歳戦",IF(ISNUMBER(SEARCH("3歳未勝利",Z673)),"3歳未勝利",IF(ISNUMBER(SEARCH("未勝利",Z673)),"その他未勝利",IF(ISNUMBER(SEARCH("G1",Z673)),"G1",IF(ISNUMBER(SEARCH("G2",Z673)),"G2",IF(ISNUMBER(SEARCH("G3",Z673)),"G3",IF(ISNUMBER(SEARCH("古馬条件",Z673)),"古馬条件戦",IF(ISNUMBER(SEARCH("重賞",Z673)),"重賞","分類不能")))))))))</f>
        <v>分類不能</v>
      </c>
      <c r="AR673" s="4" t="s">
        <v>7890</v>
      </c>
      <c r="AS673" s="8" t="s">
        <v>7618</v>
      </c>
      <c r="AT673" s="4" t="s">
        <v>7642</v>
      </c>
      <c r="AU673" s="8" t="s">
        <v>7643</v>
      </c>
      <c r="AV673" s="4" t="s">
        <v>7644</v>
      </c>
      <c r="AW673" s="8" t="s">
        <v>7610</v>
      </c>
      <c r="AX673" s="8" t="s">
        <v>7881</v>
      </c>
      <c r="AY673" s="8" t="s">
        <v>7608</v>
      </c>
      <c r="AZ673" s="4" t="s">
        <v>7642</v>
      </c>
      <c r="BA673" s="8" t="n">
        <v>3930</v>
      </c>
      <c r="BB673" s="8" t="s">
        <v>7634</v>
      </c>
      <c r="BC673" s="4" t="s">
        <v>7604</v>
      </c>
      <c r="BD673" s="8" t="s">
        <v>7645</v>
      </c>
      <c r="BE673" s="4" t="s">
        <v>7606</v>
      </c>
      <c r="BF673" s="8" t="s">
        <v>7607</v>
      </c>
      <c r="BG673" s="8" t="s">
        <v>7610</v>
      </c>
      <c r="BH673" s="4" t="s">
        <v>7646</v>
      </c>
      <c r="BI673" s="8" t="n">
        <v>6</v>
      </c>
      <c r="BJ673" s="8" t="s">
        <v>7647</v>
      </c>
      <c r="BK673" s="4" t="s">
        <v>7648</v>
      </c>
      <c r="BL673" s="8" t="s">
        <v>7647</v>
      </c>
      <c r="BM673" s="4" t="s">
        <v>7648</v>
      </c>
      <c r="BN673" s="8"/>
      <c r="BO673" s="8"/>
      <c r="BP673" s="8" t="s">
        <v>7610</v>
      </c>
      <c r="BQ673" s="8" t="str">
        <f aca="false">IF(A673="","",AT673)</f>
        <v>障害</v>
      </c>
      <c r="BR673" s="8" t="str">
        <f aca="false">IF(A673="","",IF(BA673&lt;=1200,"～1200",IF(BA673&lt;=1500,"1300～1500",IF(BA673=1600,"1600",IF(BA673&lt;=1800,"1700～1800",IF(BA673&lt;=2000,"1900～2000","2100以上"))))))</f>
        <v>2100以上</v>
      </c>
      <c r="BS673" s="8" t="str">
        <f aca="false">IF(A673="","",IF(AX673="G1","G1",IF(AX673="G2","G2",IF(AX673="G3","G3",IF(AX673="L","L","その他")))))</f>
        <v>G2</v>
      </c>
      <c r="BT673" s="8" t="str">
        <f aca="false">IF(A673="","",IF(BI673="","未結合",IF(D673=BI673,"一致","不一致")))</f>
        <v>一致</v>
      </c>
      <c r="BU673" s="8" t="str">
        <f aca="false">IF(A673="","",IF(BE673="牝馬限定","牝馬限定","その他"))</f>
        <v>その他</v>
      </c>
    </row>
    <row r="674" customFormat="false" ht="15.75" hidden="false" customHeight="false" outlineLevel="0" collapsed="false">
      <c r="A674" s="6" t="n">
        <v>46158</v>
      </c>
      <c r="B674" s="4" t="s">
        <v>5435</v>
      </c>
      <c r="C674" s="8" t="n">
        <v>9</v>
      </c>
      <c r="D674" s="8" t="n">
        <v>10</v>
      </c>
      <c r="E674" s="8" t="n">
        <v>4</v>
      </c>
      <c r="F674" s="4" t="s">
        <v>3196</v>
      </c>
      <c r="G674" s="8" t="n">
        <v>56</v>
      </c>
      <c r="H674" s="8" t="n">
        <v>6</v>
      </c>
      <c r="I674" s="4" t="s">
        <v>6256</v>
      </c>
      <c r="J674" s="8" t="n">
        <v>52</v>
      </c>
      <c r="K674" s="8" t="n">
        <v>9</v>
      </c>
      <c r="L674" s="4" t="s">
        <v>6258</v>
      </c>
      <c r="M674" s="8" t="n">
        <v>44</v>
      </c>
      <c r="N674" s="8" t="n">
        <f aca="false">IF(A674="","",G674-J674)</f>
        <v>4</v>
      </c>
      <c r="O674" s="8" t="n">
        <f aca="false">IF(A674="","",J674-M674)</f>
        <v>8</v>
      </c>
      <c r="P674" s="8" t="n">
        <f aca="false">IF(A674="","",G674+J674)</f>
        <v>108</v>
      </c>
      <c r="Q674" s="8" t="str">
        <f aca="false">IF(A674="","",IF(AND(Y674&lt;&gt;"参考",G674&gt;=ルール設定!$B$2),"○",""))</f>
        <v/>
      </c>
      <c r="R674" s="8" t="str">
        <f aca="false">IF(A674="","",IF(AND(Y674&lt;&gt;"参考",G674&gt;=ルール設定!$B$3,N674&gt;=ルール設定!$B$4),"○",""))</f>
        <v/>
      </c>
      <c r="S674" s="8" t="str">
        <f aca="false">IF(A674="","",IF(AND(Y674&lt;&gt;"参考",G674&gt;=ルール設定!$B$5,J674&gt;=ルール設定!$B$6,O674&gt;=ルール設定!$B$7),"○",""))</f>
        <v/>
      </c>
      <c r="T674" s="8" t="n">
        <v>4</v>
      </c>
      <c r="U674" s="8" t="n">
        <v>4</v>
      </c>
      <c r="V674" s="8" t="str">
        <f aca="false">IF(A674="","",IF(AND(ISNUMBER(T674),ISNUMBER(U674)),IF(AND(T674&lt;=3,U674&lt;=3),"○","×"),""))</f>
        <v>×</v>
      </c>
      <c r="W674" s="8"/>
      <c r="X674" s="8"/>
      <c r="Y674" s="4" t="s">
        <v>7597</v>
      </c>
      <c r="Z674" s="4" t="s">
        <v>7886</v>
      </c>
      <c r="AA674" s="8" t="str">
        <v/>
      </c>
      <c r="AB674" s="8" t="str">
        <v/>
      </c>
      <c r="AC674" s="8" t="str">
        <v/>
      </c>
      <c r="AD674" s="8" t="str">
        <v/>
      </c>
      <c r="AE674" s="8" t="str">
        <v/>
      </c>
      <c r="AF674" s="8" t="str">
        <v/>
      </c>
      <c r="AG674" s="8" t="str">
        <v/>
      </c>
      <c r="AH674" s="8" t="str">
        <v/>
      </c>
      <c r="AI674" s="8" t="n">
        <v>12</v>
      </c>
      <c r="AJ674" s="8" t="str">
        <v>～59</v>
      </c>
      <c r="AK674" s="8" t="str">
        <v>0～4</v>
      </c>
      <c r="AL674" s="8" t="str">
        <v>10～19</v>
      </c>
      <c r="AM674" s="8" t="str">
        <v>100～119</v>
      </c>
      <c r="AN674" s="8" t="str">
        <v>8～11</v>
      </c>
      <c r="AO674" s="8" t="str">
        <f aca="false">IF(A674="","",IF(COUNTIFS(全馬データ!$A$2:$A$50000,A674,全馬データ!$B$2:$B$50000,B674,全馬データ!$C$2:$C$50000,C674,全馬データ!$D$2:$D$50000,E674,全馬データ!$K$2:$K$50000,"&lt;&gt;")=0,"",SUMIFS(全馬データ!$K$2:$K$50000,全馬データ!$A$2:$A$50000,A674,全馬データ!$B$2:$B$50000,B674,全馬データ!$C$2:$C$50000,C674,全馬データ!$D$2:$D$50000,E674)))</f>
        <v/>
      </c>
      <c r="AP674" s="8" t="str">
        <f aca="false">IF(A674="","",IF(AO674="","欠損",IF(AO674&lt;=1.1,"1.0～1.1",IF(AO674&lt;1.3,"1.2",IF(AO674&lt;1.5,"1.3～1.4",IF(AO674&lt;2,"1.5～1.9","2.0以上"))))))</f>
        <v>欠損</v>
      </c>
      <c r="AQ674" s="8" t="str">
        <f aca="false">IF(A674="","",IF(ISNUMBER(SEARCH("2歳",Z674)),"2歳戦",IF(ISNUMBER(SEARCH("3歳未勝利",Z674)),"3歳未勝利",IF(ISNUMBER(SEARCH("未勝利",Z674)),"その他未勝利",IF(ISNUMBER(SEARCH("G1",Z674)),"G1",IF(ISNUMBER(SEARCH("G2",Z674)),"G2",IF(ISNUMBER(SEARCH("G3",Z674)),"G3",IF(ISNUMBER(SEARCH("古馬条件",Z674)),"古馬条件戦",IF(ISNUMBER(SEARCH("重賞",Z674)),"重賞","分類不能")))))))))</f>
        <v>分類不能</v>
      </c>
      <c r="AR674" s="4" t="s">
        <v>7891</v>
      </c>
      <c r="AS674" s="8" t="s">
        <v>7623</v>
      </c>
      <c r="AT674" s="8" t="s">
        <v>7624</v>
      </c>
      <c r="AU674" s="8" t="s">
        <v>7628</v>
      </c>
      <c r="AV674" s="8" t="s">
        <v>7629</v>
      </c>
      <c r="AW674" s="8" t="s">
        <v>7636</v>
      </c>
      <c r="AX674" s="4" t="s">
        <v>7637</v>
      </c>
      <c r="AY674" s="8" t="s">
        <v>7602</v>
      </c>
      <c r="AZ674" s="4" t="s">
        <v>7603</v>
      </c>
      <c r="BA674" s="8" t="n">
        <v>2000</v>
      </c>
      <c r="BB674" s="8" t="s">
        <v>7598</v>
      </c>
      <c r="BC674" s="4" t="s">
        <v>7604</v>
      </c>
      <c r="BD674" s="8" t="s">
        <v>7630</v>
      </c>
      <c r="BE674" s="4" t="s">
        <v>7606</v>
      </c>
      <c r="BF674" s="8" t="s">
        <v>7607</v>
      </c>
      <c r="BG674" s="8" t="s">
        <v>7608</v>
      </c>
      <c r="BH674" s="4" t="s">
        <v>7609</v>
      </c>
      <c r="BI674" s="8" t="n">
        <v>10</v>
      </c>
      <c r="BJ674" s="8" t="s">
        <v>7602</v>
      </c>
      <c r="BK674" s="4" t="s">
        <v>7653</v>
      </c>
      <c r="BL674" s="8" t="s">
        <v>7602</v>
      </c>
      <c r="BM674" s="4" t="s">
        <v>7620</v>
      </c>
      <c r="BN674" s="8" t="s">
        <v>7676</v>
      </c>
      <c r="BO674" s="8" t="s">
        <v>7778</v>
      </c>
      <c r="BP674" s="8" t="s">
        <v>7610</v>
      </c>
      <c r="BQ674" s="8" t="str">
        <f aca="false">IF(A674="","",AT674)</f>
        <v>3歳</v>
      </c>
      <c r="BR674" s="8" t="str">
        <f aca="false">IF(A674="","",IF(BA674&lt;=1200,"～1200",IF(BA674&lt;=1500,"1300～1500",IF(BA674=1600,"1600",IF(BA674&lt;=1800,"1700～1800",IF(BA674&lt;=2000,"1900～2000","2100以上"))))))</f>
        <v>1900～2000</v>
      </c>
      <c r="BS674" s="8" t="str">
        <f aca="false">IF(A674="","",IF(AX674="G1","G1",IF(AX674="G2","G2",IF(AX674="G3","G3",IF(AX674="L","L","その他")))))</f>
        <v>その他</v>
      </c>
      <c r="BT674" s="8" t="str">
        <f aca="false">IF(A674="","",IF(BI674="","未結合",IF(D674=BI674,"一致","不一致")))</f>
        <v>一致</v>
      </c>
      <c r="BU674" s="8" t="str">
        <f aca="false">IF(A674="","",IF(BE674="牝馬限定","牝馬限定","その他"))</f>
        <v>その他</v>
      </c>
    </row>
    <row r="675" customFormat="false" ht="15.75" hidden="false" customHeight="false" outlineLevel="0" collapsed="false">
      <c r="A675" s="6" t="n">
        <v>46158</v>
      </c>
      <c r="B675" s="4" t="s">
        <v>5435</v>
      </c>
      <c r="C675" s="8" t="n">
        <v>10</v>
      </c>
      <c r="D675" s="8" t="n">
        <v>15</v>
      </c>
      <c r="E675" s="8" t="n">
        <v>10</v>
      </c>
      <c r="F675" s="4" t="s">
        <v>6264</v>
      </c>
      <c r="G675" s="8" t="n">
        <v>66</v>
      </c>
      <c r="H675" s="8" t="n">
        <v>1</v>
      </c>
      <c r="I675" s="4" t="s">
        <v>3761</v>
      </c>
      <c r="J675" s="8" t="n">
        <v>50</v>
      </c>
      <c r="K675" s="8" t="n">
        <v>3</v>
      </c>
      <c r="L675" s="4" t="s">
        <v>4410</v>
      </c>
      <c r="M675" s="8" t="n">
        <v>34</v>
      </c>
      <c r="N675" s="8" t="n">
        <f aca="false">IF(A675="","",G675-J675)</f>
        <v>16</v>
      </c>
      <c r="O675" s="8" t="n">
        <f aca="false">IF(A675="","",J675-M675)</f>
        <v>16</v>
      </c>
      <c r="P675" s="8" t="n">
        <f aca="false">IF(A675="","",G675+J675)</f>
        <v>116</v>
      </c>
      <c r="Q675" s="8" t="str">
        <f aca="false">IF(A675="","",IF(AND(Y675&lt;&gt;"参考",G675&gt;=ルール設定!$B$2),"○",""))</f>
        <v/>
      </c>
      <c r="R675" s="8" t="str">
        <f aca="false">IF(A675="","",IF(AND(Y675&lt;&gt;"参考",G675&gt;=ルール設定!$B$3,N675&gt;=ルール設定!$B$4),"○",""))</f>
        <v/>
      </c>
      <c r="S675" s="8" t="str">
        <f aca="false">IF(A675="","",IF(AND(Y675&lt;&gt;"参考",G675&gt;=ルール設定!$B$5,J675&gt;=ルール設定!$B$6,O675&gt;=ルール設定!$B$7),"○",""))</f>
        <v/>
      </c>
      <c r="T675" s="8" t="n">
        <v>4</v>
      </c>
      <c r="U675" s="8" t="n">
        <v>2</v>
      </c>
      <c r="V675" s="8" t="str">
        <f aca="false">IF(A675="","",IF(AND(ISNUMBER(T675),ISNUMBER(U675)),IF(AND(T675&lt;=3,U675&lt;=3),"○","×"),""))</f>
        <v>×</v>
      </c>
      <c r="W675" s="8"/>
      <c r="X675" s="8"/>
      <c r="Y675" s="4" t="s">
        <v>7597</v>
      </c>
      <c r="Z675" s="4" t="s">
        <v>7886</v>
      </c>
      <c r="AA675" s="8" t="str">
        <v/>
      </c>
      <c r="AB675" s="8" t="str">
        <v/>
      </c>
      <c r="AC675" s="8" t="str">
        <v/>
      </c>
      <c r="AD675" s="8" t="str">
        <v/>
      </c>
      <c r="AE675" s="8" t="str">
        <v/>
      </c>
      <c r="AF675" s="8" t="str">
        <v/>
      </c>
      <c r="AG675" s="8" t="str">
        <v/>
      </c>
      <c r="AH675" s="8" t="str">
        <v/>
      </c>
      <c r="AI675" s="8" t="n">
        <v>32</v>
      </c>
      <c r="AJ675" s="8" t="str">
        <v>60～69</v>
      </c>
      <c r="AK675" s="8" t="str">
        <v>10～19</v>
      </c>
      <c r="AL675" s="8" t="str">
        <v>30～39</v>
      </c>
      <c r="AM675" s="8" t="str">
        <v>100～119</v>
      </c>
      <c r="AN675" s="8" t="str">
        <v>15以上</v>
      </c>
      <c r="AO675" s="8" t="str">
        <f aca="false">IF(A675="","",IF(COUNTIFS(全馬データ!$A$2:$A$50000,A675,全馬データ!$B$2:$B$50000,B675,全馬データ!$C$2:$C$50000,C675,全馬データ!$D$2:$D$50000,E675,全馬データ!$K$2:$K$50000,"&lt;&gt;")=0,"",SUMIFS(全馬データ!$K$2:$K$50000,全馬データ!$A$2:$A$50000,A675,全馬データ!$B$2:$B$50000,B675,全馬データ!$C$2:$C$50000,C675,全馬データ!$D$2:$D$50000,E675)))</f>
        <v/>
      </c>
      <c r="AP675" s="8" t="str">
        <f aca="false">IF(A675="","",IF(AO675="","欠損",IF(AO675&lt;=1.1,"1.0～1.1",IF(AO675&lt;1.3,"1.2",IF(AO675&lt;1.5,"1.3～1.4",IF(AO675&lt;2,"1.5～1.9","2.0以上"))))))</f>
        <v>欠損</v>
      </c>
      <c r="AQ675" s="8" t="str">
        <f aca="false">IF(A675="","",IF(ISNUMBER(SEARCH("2歳",Z675)),"2歳戦",IF(ISNUMBER(SEARCH("3歳未勝利",Z675)),"3歳未勝利",IF(ISNUMBER(SEARCH("未勝利",Z675)),"その他未勝利",IF(ISNUMBER(SEARCH("G1",Z675)),"G1",IF(ISNUMBER(SEARCH("G2",Z675)),"G2",IF(ISNUMBER(SEARCH("G3",Z675)),"G3",IF(ISNUMBER(SEARCH("古馬条件",Z675)),"古馬条件戦",IF(ISNUMBER(SEARCH("重賞",Z675)),"重賞","分類不能")))))))))</f>
        <v>分類不能</v>
      </c>
      <c r="AR675" s="4" t="s">
        <v>7892</v>
      </c>
      <c r="AS675" s="8" t="s">
        <v>7842</v>
      </c>
      <c r="AT675" s="8" t="s">
        <v>7843</v>
      </c>
      <c r="AU675" s="8" t="s">
        <v>7639</v>
      </c>
      <c r="AV675" s="8" t="s">
        <v>7640</v>
      </c>
      <c r="AW675" s="8" t="s">
        <v>7636</v>
      </c>
      <c r="AX675" s="4" t="s">
        <v>7637</v>
      </c>
      <c r="AY675" s="8" t="s">
        <v>7610</v>
      </c>
      <c r="AZ675" s="4" t="s">
        <v>7617</v>
      </c>
      <c r="BA675" s="8" t="n">
        <v>1900</v>
      </c>
      <c r="BB675" s="8" t="s">
        <v>7634</v>
      </c>
      <c r="BC675" s="4" t="s">
        <v>7604</v>
      </c>
      <c r="BD675" s="8" t="s">
        <v>7630</v>
      </c>
      <c r="BE675" s="4" t="s">
        <v>7606</v>
      </c>
      <c r="BF675" s="8" t="s">
        <v>7607</v>
      </c>
      <c r="BG675" s="8" t="s">
        <v>7631</v>
      </c>
      <c r="BH675" s="4" t="s">
        <v>7632</v>
      </c>
      <c r="BI675" s="8" t="n">
        <v>15</v>
      </c>
      <c r="BJ675" s="8" t="s">
        <v>7602</v>
      </c>
      <c r="BK675" s="4" t="s">
        <v>7653</v>
      </c>
      <c r="BL675" s="8" t="s">
        <v>7602</v>
      </c>
      <c r="BM675" s="4" t="s">
        <v>7620</v>
      </c>
      <c r="BN675" s="8"/>
      <c r="BO675" s="8"/>
      <c r="BP675" s="8" t="s">
        <v>7610</v>
      </c>
      <c r="BQ675" s="8" t="str">
        <f aca="false">IF(A675="","",AT675)</f>
        <v>4歳以上</v>
      </c>
      <c r="BR675" s="8" t="str">
        <f aca="false">IF(A675="","",IF(BA675&lt;=1200,"～1200",IF(BA675&lt;=1500,"1300～1500",IF(BA675=1600,"1600",IF(BA675&lt;=1800,"1700～1800",IF(BA675&lt;=2000,"1900～2000","2100以上"))))))</f>
        <v>1900～2000</v>
      </c>
      <c r="BS675" s="8" t="str">
        <f aca="false">IF(A675="","",IF(AX675="G1","G1",IF(AX675="G2","G2",IF(AX675="G3","G3",IF(AX675="L","L","その他")))))</f>
        <v>その他</v>
      </c>
      <c r="BT675" s="8" t="str">
        <f aca="false">IF(A675="","",IF(BI675="","未結合",IF(D675=BI675,"一致","不一致")))</f>
        <v>一致</v>
      </c>
      <c r="BU675" s="8" t="str">
        <f aca="false">IF(A675="","",IF(BE675="牝馬限定","牝馬限定","その他"))</f>
        <v>その他</v>
      </c>
    </row>
    <row r="676" customFormat="false" ht="15.75" hidden="false" customHeight="false" outlineLevel="0" collapsed="false">
      <c r="A676" s="6" t="n">
        <v>46158</v>
      </c>
      <c r="B676" s="4" t="s">
        <v>5435</v>
      </c>
      <c r="C676" s="8" t="n">
        <v>11</v>
      </c>
      <c r="D676" s="8" t="n">
        <v>16</v>
      </c>
      <c r="E676" s="8" t="n">
        <v>12</v>
      </c>
      <c r="F676" s="4" t="s">
        <v>3228</v>
      </c>
      <c r="G676" s="8" t="n">
        <v>56</v>
      </c>
      <c r="H676" s="8" t="n">
        <v>3</v>
      </c>
      <c r="I676" s="4" t="s">
        <v>6268</v>
      </c>
      <c r="J676" s="8" t="n">
        <v>50</v>
      </c>
      <c r="K676" s="8" t="n">
        <v>13</v>
      </c>
      <c r="L676" s="4" t="s">
        <v>6272</v>
      </c>
      <c r="M676" s="8" t="n">
        <v>44</v>
      </c>
      <c r="N676" s="8" t="n">
        <f aca="false">IF(A676="","",G676-J676)</f>
        <v>6</v>
      </c>
      <c r="O676" s="8" t="n">
        <f aca="false">IF(A676="","",J676-M676)</f>
        <v>6</v>
      </c>
      <c r="P676" s="8" t="n">
        <f aca="false">IF(A676="","",G676+J676)</f>
        <v>106</v>
      </c>
      <c r="Q676" s="8" t="str">
        <f aca="false">IF(A676="","",IF(AND(Y676&lt;&gt;"参考",G676&gt;=ルール設定!$B$2),"○",""))</f>
        <v/>
      </c>
      <c r="R676" s="8" t="str">
        <f aca="false">IF(A676="","",IF(AND(Y676&lt;&gt;"参考",G676&gt;=ルール設定!$B$3,N676&gt;=ルール設定!$B$4),"○",""))</f>
        <v/>
      </c>
      <c r="S676" s="8" t="str">
        <f aca="false">IF(A676="","",IF(AND(Y676&lt;&gt;"参考",G676&gt;=ルール設定!$B$5,J676&gt;=ルール設定!$B$6,O676&gt;=ルール設定!$B$7),"○",""))</f>
        <v/>
      </c>
      <c r="T676" s="8" t="n">
        <v>1</v>
      </c>
      <c r="U676" s="8" t="n">
        <v>3</v>
      </c>
      <c r="V676" s="8" t="str">
        <f aca="false">IF(A676="","",IF(AND(ISNUMBER(T676),ISNUMBER(U676)),IF(AND(T676&lt;=3,U676&lt;=3),"○","×"),""))</f>
        <v>○</v>
      </c>
      <c r="W676" s="8" t="n">
        <v>110</v>
      </c>
      <c r="X676" s="8" t="n">
        <v>210</v>
      </c>
      <c r="Y676" s="4" t="s">
        <v>7597</v>
      </c>
      <c r="Z676" s="4" t="s">
        <v>7886</v>
      </c>
      <c r="AA676" s="8" t="str">
        <v/>
      </c>
      <c r="AB676" s="8" t="str">
        <v/>
      </c>
      <c r="AC676" s="8" t="str">
        <v/>
      </c>
      <c r="AD676" s="8" t="str">
        <v/>
      </c>
      <c r="AE676" s="8" t="str">
        <v/>
      </c>
      <c r="AF676" s="8" t="str">
        <v/>
      </c>
      <c r="AG676" s="8" t="str">
        <v/>
      </c>
      <c r="AH676" s="8" t="str">
        <v/>
      </c>
      <c r="AI676" s="8" t="n">
        <v>12</v>
      </c>
      <c r="AJ676" s="8" t="str">
        <v>～59</v>
      </c>
      <c r="AK676" s="8" t="str">
        <v>5～9</v>
      </c>
      <c r="AL676" s="8" t="str">
        <v>10～19</v>
      </c>
      <c r="AM676" s="8" t="str">
        <v>100～119</v>
      </c>
      <c r="AN676" s="8" t="str">
        <v>15以上</v>
      </c>
      <c r="AO676" s="8" t="str">
        <f aca="false">IF(A676="","",IF(COUNTIFS(全馬データ!$A$2:$A$50000,A676,全馬データ!$B$2:$B$50000,B676,全馬データ!$C$2:$C$50000,C676,全馬データ!$D$2:$D$50000,E676,全馬データ!$K$2:$K$50000,"&lt;&gt;")=0,"",SUMIFS(全馬データ!$K$2:$K$50000,全馬データ!$A$2:$A$50000,A676,全馬データ!$B$2:$B$50000,B676,全馬データ!$C$2:$C$50000,C676,全馬データ!$D$2:$D$50000,E676)))</f>
        <v/>
      </c>
      <c r="AP676" s="8" t="str">
        <f aca="false">IF(A676="","",IF(AO676="","欠損",IF(AO676&lt;=1.1,"1.0～1.1",IF(AO676&lt;1.3,"1.2",IF(AO676&lt;1.5,"1.3～1.4",IF(AO676&lt;2,"1.5～1.9","2.0以上"))))))</f>
        <v>欠損</v>
      </c>
      <c r="AQ676" s="8" t="str">
        <f aca="false">IF(A676="","",IF(ISNUMBER(SEARCH("2歳",Z676)),"2歳戦",IF(ISNUMBER(SEARCH("3歳未勝利",Z676)),"3歳未勝利",IF(ISNUMBER(SEARCH("未勝利",Z676)),"その他未勝利",IF(ISNUMBER(SEARCH("G1",Z676)),"G1",IF(ISNUMBER(SEARCH("G2",Z676)),"G2",IF(ISNUMBER(SEARCH("G3",Z676)),"G3",IF(ISNUMBER(SEARCH("古馬条件",Z676)),"古馬条件戦",IF(ISNUMBER(SEARCH("重賞",Z676)),"重賞","分類不能")))))))))</f>
        <v>分類不能</v>
      </c>
      <c r="AR676" s="4" t="s">
        <v>7893</v>
      </c>
      <c r="AS676" s="8" t="s">
        <v>7842</v>
      </c>
      <c r="AT676" s="8" t="s">
        <v>7843</v>
      </c>
      <c r="AU676" s="8" t="s">
        <v>7643</v>
      </c>
      <c r="AV676" s="4" t="s">
        <v>7644</v>
      </c>
      <c r="AW676" s="8" t="s">
        <v>7636</v>
      </c>
      <c r="AX676" s="4" t="s">
        <v>7637</v>
      </c>
      <c r="AY676" s="8" t="s">
        <v>7602</v>
      </c>
      <c r="AZ676" s="4" t="s">
        <v>7603</v>
      </c>
      <c r="BA676" s="8" t="n">
        <v>1200</v>
      </c>
      <c r="BB676" s="8" t="s">
        <v>7598</v>
      </c>
      <c r="BC676" s="4" t="s">
        <v>7604</v>
      </c>
      <c r="BD676" s="8" t="s">
        <v>7666</v>
      </c>
      <c r="BE676" s="4" t="s">
        <v>7606</v>
      </c>
      <c r="BF676" s="8" t="s">
        <v>7607</v>
      </c>
      <c r="BG676" s="8" t="s">
        <v>7610</v>
      </c>
      <c r="BH676" s="4" t="s">
        <v>7646</v>
      </c>
      <c r="BI676" s="8" t="n">
        <v>16</v>
      </c>
      <c r="BJ676" s="8" t="s">
        <v>7602</v>
      </c>
      <c r="BK676" s="4" t="s">
        <v>7653</v>
      </c>
      <c r="BL676" s="8" t="s">
        <v>7602</v>
      </c>
      <c r="BM676" s="4" t="s">
        <v>7620</v>
      </c>
      <c r="BN676" s="8" t="s">
        <v>7676</v>
      </c>
      <c r="BO676" s="8" t="s">
        <v>7778</v>
      </c>
      <c r="BP676" s="8" t="s">
        <v>7610</v>
      </c>
      <c r="BQ676" s="8" t="str">
        <f aca="false">IF(A676="","",AT676)</f>
        <v>4歳以上</v>
      </c>
      <c r="BR676" s="8" t="str">
        <f aca="false">IF(A676="","",IF(BA676&lt;=1200,"～1200",IF(BA676&lt;=1500,"1300～1500",IF(BA676=1600,"1600",IF(BA676&lt;=1800,"1700～1800",IF(BA676&lt;=2000,"1900～2000","2100以上"))))))</f>
        <v>～1200</v>
      </c>
      <c r="BS676" s="8" t="str">
        <f aca="false">IF(A676="","",IF(AX676="G1","G1",IF(AX676="G2","G2",IF(AX676="G3","G3",IF(AX676="L","L","その他")))))</f>
        <v>その他</v>
      </c>
      <c r="BT676" s="8" t="str">
        <f aca="false">IF(A676="","",IF(BI676="","未結合",IF(D676=BI676,"一致","不一致")))</f>
        <v>一致</v>
      </c>
      <c r="BU676" s="8" t="str">
        <f aca="false">IF(A676="","",IF(BE676="牝馬限定","牝馬限定","その他"))</f>
        <v>その他</v>
      </c>
    </row>
    <row r="677" customFormat="false" ht="15.75" hidden="false" customHeight="false" outlineLevel="0" collapsed="false">
      <c r="A677" s="6" t="n">
        <v>46158</v>
      </c>
      <c r="B677" s="4" t="s">
        <v>5435</v>
      </c>
      <c r="C677" s="8" t="n">
        <v>12</v>
      </c>
      <c r="D677" s="8" t="n">
        <v>15</v>
      </c>
      <c r="E677" s="8" t="n">
        <v>10</v>
      </c>
      <c r="F677" s="4" t="s">
        <v>6276</v>
      </c>
      <c r="G677" s="8" t="n">
        <v>62</v>
      </c>
      <c r="H677" s="8" t="n">
        <v>2</v>
      </c>
      <c r="I677" s="4" t="s">
        <v>5979</v>
      </c>
      <c r="J677" s="8" t="n">
        <v>60</v>
      </c>
      <c r="K677" s="8" t="n">
        <v>9</v>
      </c>
      <c r="L677" s="4" t="s">
        <v>2428</v>
      </c>
      <c r="M677" s="8" t="n">
        <v>34</v>
      </c>
      <c r="N677" s="8" t="n">
        <f aca="false">IF(A677="","",G677-J677)</f>
        <v>2</v>
      </c>
      <c r="O677" s="8" t="n">
        <f aca="false">IF(A677="","",J677-M677)</f>
        <v>26</v>
      </c>
      <c r="P677" s="8" t="n">
        <f aca="false">IF(A677="","",G677+J677)</f>
        <v>122</v>
      </c>
      <c r="Q677" s="8" t="str">
        <f aca="false">IF(A677="","",IF(AND(Y677&lt;&gt;"参考",G677&gt;=ルール設定!$B$2),"○",""))</f>
        <v/>
      </c>
      <c r="R677" s="8" t="str">
        <f aca="false">IF(A677="","",IF(AND(Y677&lt;&gt;"参考",G677&gt;=ルール設定!$B$3,N677&gt;=ルール設定!$B$4),"○",""))</f>
        <v/>
      </c>
      <c r="S677" s="8" t="str">
        <f aca="false">IF(A677="","",IF(AND(Y677&lt;&gt;"参考",G677&gt;=ルール設定!$B$5,J677&gt;=ルール設定!$B$6,O677&gt;=ルール設定!$B$7),"○",""))</f>
        <v>○</v>
      </c>
      <c r="T677" s="8" t="n">
        <v>1</v>
      </c>
      <c r="U677" s="8" t="n">
        <v>4</v>
      </c>
      <c r="V677" s="8" t="str">
        <f aca="false">IF(A677="","",IF(AND(ISNUMBER(T677),ISNUMBER(U677)),IF(AND(T677&lt;=3,U677&lt;=3),"○","×"),""))</f>
        <v>×</v>
      </c>
      <c r="W677" s="8" t="n">
        <v>130</v>
      </c>
      <c r="X677" s="8"/>
      <c r="Y677" s="4" t="s">
        <v>7597</v>
      </c>
      <c r="Z677" s="4" t="s">
        <v>7886</v>
      </c>
      <c r="AA677" s="8" t="str">
        <v/>
      </c>
      <c r="AB677" s="8" t="str">
        <v/>
      </c>
      <c r="AC677" s="8" t="str">
        <v/>
      </c>
      <c r="AD677" s="8" t="str">
        <v/>
      </c>
      <c r="AE677" s="8" t="str">
        <v/>
      </c>
      <c r="AF677" s="8" t="str">
        <v/>
      </c>
      <c r="AG677" s="8" t="str">
        <v/>
      </c>
      <c r="AH677" s="8" t="str">
        <v/>
      </c>
      <c r="AI677" s="8" t="n">
        <v>28</v>
      </c>
      <c r="AJ677" s="8" t="str">
        <v>60～69</v>
      </c>
      <c r="AK677" s="8" t="str">
        <v>0～4</v>
      </c>
      <c r="AL677" s="8" t="str">
        <v>20～29</v>
      </c>
      <c r="AM677" s="8" t="str">
        <v>120～139</v>
      </c>
      <c r="AN677" s="8" t="str">
        <v>15以上</v>
      </c>
      <c r="AO677" s="8" t="str">
        <f aca="false">IF(A677="","",IF(COUNTIFS(全馬データ!$A$2:$A$50000,A677,全馬データ!$B$2:$B$50000,B677,全馬データ!$C$2:$C$50000,C677,全馬データ!$D$2:$D$50000,E677,全馬データ!$K$2:$K$50000,"&lt;&gt;")=0,"",SUMIFS(全馬データ!$K$2:$K$50000,全馬データ!$A$2:$A$50000,A677,全馬データ!$B$2:$B$50000,B677,全馬データ!$C$2:$C$50000,C677,全馬データ!$D$2:$D$50000,E677)))</f>
        <v/>
      </c>
      <c r="AP677" s="8" t="str">
        <f aca="false">IF(A677="","",IF(AO677="","欠損",IF(AO677&lt;=1.1,"1.0～1.1",IF(AO677&lt;1.3,"1.2",IF(AO677&lt;1.5,"1.3～1.4",IF(AO677&lt;2,"1.5～1.9","2.0以上"))))))</f>
        <v>欠損</v>
      </c>
      <c r="AQ677" s="8" t="str">
        <f aca="false">IF(A677="","",IF(ISNUMBER(SEARCH("2歳",Z677)),"2歳戦",IF(ISNUMBER(SEARCH("3歳未勝利",Z677)),"3歳未勝利",IF(ISNUMBER(SEARCH("未勝利",Z677)),"その他未勝利",IF(ISNUMBER(SEARCH("G1",Z677)),"G1",IF(ISNUMBER(SEARCH("G2",Z677)),"G2",IF(ISNUMBER(SEARCH("G3",Z677)),"G3",IF(ISNUMBER(SEARCH("古馬条件",Z677)),"古馬条件戦",IF(ISNUMBER(SEARCH("重賞",Z677)),"重賞","分類不能")))))))))</f>
        <v>分類不能</v>
      </c>
      <c r="AR677" s="8"/>
      <c r="AS677" s="8" t="s">
        <v>7842</v>
      </c>
      <c r="AT677" s="8" t="s">
        <v>7843</v>
      </c>
      <c r="AU677" s="8" t="s">
        <v>7634</v>
      </c>
      <c r="AV677" s="8" t="s">
        <v>7635</v>
      </c>
      <c r="AW677" s="8"/>
      <c r="AX677" s="8"/>
      <c r="AY677" s="8" t="s">
        <v>7610</v>
      </c>
      <c r="AZ677" s="4" t="s">
        <v>7617</v>
      </c>
      <c r="BA677" s="8" t="n">
        <v>1200</v>
      </c>
      <c r="BB677" s="8" t="s">
        <v>7634</v>
      </c>
      <c r="BC677" s="4" t="s">
        <v>7604</v>
      </c>
      <c r="BD677" s="8" t="s">
        <v>7605</v>
      </c>
      <c r="BE677" s="4" t="s">
        <v>7606</v>
      </c>
      <c r="BF677" s="8" t="s">
        <v>7607</v>
      </c>
      <c r="BG677" s="8" t="s">
        <v>7631</v>
      </c>
      <c r="BH677" s="4" t="s">
        <v>7632</v>
      </c>
      <c r="BI677" s="8" t="n">
        <v>15</v>
      </c>
      <c r="BJ677" s="8" t="s">
        <v>7602</v>
      </c>
      <c r="BK677" s="4" t="s">
        <v>7653</v>
      </c>
      <c r="BL677" s="8" t="s">
        <v>7602</v>
      </c>
      <c r="BM677" s="4" t="s">
        <v>7620</v>
      </c>
      <c r="BN677" s="8"/>
      <c r="BO677" s="8"/>
      <c r="BP677" s="8" t="s">
        <v>7610</v>
      </c>
      <c r="BQ677" s="8" t="str">
        <f aca="false">IF(A677="","",AT677)</f>
        <v>4歳以上</v>
      </c>
      <c r="BR677" s="8" t="str">
        <f aca="false">IF(A677="","",IF(BA677&lt;=1200,"～1200",IF(BA677&lt;=1500,"1300～1500",IF(BA677=1600,"1600",IF(BA677&lt;=1800,"1700～1800",IF(BA677&lt;=2000,"1900～2000","2100以上"))))))</f>
        <v>～1200</v>
      </c>
      <c r="BS677" s="8" t="str">
        <f aca="false">IF(A677="","",IF(AX677="G1","G1",IF(AX677="G2","G2",IF(AX677="G3","G3",IF(AX677="L","L","その他")))))</f>
        <v>その他</v>
      </c>
      <c r="BT677" s="8" t="str">
        <f aca="false">IF(A677="","",IF(BI677="","未結合",IF(D677=BI677,"一致","不一致")))</f>
        <v>一致</v>
      </c>
      <c r="BU677" s="8" t="str">
        <f aca="false">IF(A677="","",IF(BE677="牝馬限定","牝馬限定","その他"))</f>
        <v>その他</v>
      </c>
    </row>
    <row r="678" customFormat="false" ht="15.75" hidden="false" customHeight="false" outlineLevel="0" collapsed="false">
      <c r="A678" s="6" t="n">
        <v>46158</v>
      </c>
      <c r="B678" s="4" t="s">
        <v>13</v>
      </c>
      <c r="C678" s="8" t="n">
        <v>1</v>
      </c>
      <c r="D678" s="8" t="n">
        <v>15</v>
      </c>
      <c r="E678" s="8" t="n">
        <v>8</v>
      </c>
      <c r="F678" s="4" t="s">
        <v>1321</v>
      </c>
      <c r="G678" s="8" t="n">
        <v>71</v>
      </c>
      <c r="H678" s="8" t="n">
        <v>7</v>
      </c>
      <c r="I678" s="4" t="s">
        <v>2303</v>
      </c>
      <c r="J678" s="8" t="n">
        <v>34</v>
      </c>
      <c r="K678" s="8" t="n">
        <v>3</v>
      </c>
      <c r="L678" s="4" t="s">
        <v>3594</v>
      </c>
      <c r="M678" s="8" t="n">
        <v>31</v>
      </c>
      <c r="N678" s="8" t="n">
        <f aca="false">IF(A678="","",G678-J678)</f>
        <v>37</v>
      </c>
      <c r="O678" s="8" t="n">
        <f aca="false">IF(A678="","",J678-M678)</f>
        <v>3</v>
      </c>
      <c r="P678" s="8" t="n">
        <f aca="false">IF(A678="","",G678+J678)</f>
        <v>105</v>
      </c>
      <c r="Q678" s="8" t="str">
        <f aca="false">IF(A678="","",IF(AND(Y678&lt;&gt;"参考",G678&gt;=ルール設定!$B$2),"○",""))</f>
        <v/>
      </c>
      <c r="R678" s="8" t="str">
        <f aca="false">IF(A678="","",IF(AND(Y678&lt;&gt;"参考",G678&gt;=ルール設定!$B$3,N678&gt;=ルール設定!$B$4),"○",""))</f>
        <v>○</v>
      </c>
      <c r="S678" s="8" t="str">
        <f aca="false">IF(A678="","",IF(AND(Y678&lt;&gt;"参考",G678&gt;=ルール設定!$B$5,J678&gt;=ルール設定!$B$6,O678&gt;=ルール設定!$B$7),"○",""))</f>
        <v/>
      </c>
      <c r="T678" s="8" t="n">
        <v>3</v>
      </c>
      <c r="U678" s="8" t="n">
        <v>2</v>
      </c>
      <c r="V678" s="8" t="str">
        <f aca="false">IF(A678="","",IF(AND(ISNUMBER(T678),ISNUMBER(U678)),IF(AND(T678&lt;=3,U678&lt;=3),"○","×"),""))</f>
        <v>○</v>
      </c>
      <c r="W678" s="8" t="n">
        <v>120</v>
      </c>
      <c r="X678" s="8" t="n">
        <v>210</v>
      </c>
      <c r="Y678" s="4" t="s">
        <v>7597</v>
      </c>
      <c r="Z678" s="4" t="s">
        <v>7886</v>
      </c>
      <c r="AA678" s="8" t="str">
        <v/>
      </c>
      <c r="AB678" s="8" t="str">
        <v/>
      </c>
      <c r="AC678" s="8" t="str">
        <v/>
      </c>
      <c r="AD678" s="8" t="str">
        <v/>
      </c>
      <c r="AE678" s="8" t="str">
        <v>○</v>
      </c>
      <c r="AF678" s="8" t="str">
        <v/>
      </c>
      <c r="AG678" s="8" t="str">
        <v/>
      </c>
      <c r="AH678" s="8" t="str">
        <v/>
      </c>
      <c r="AI678" s="8" t="n">
        <v>40</v>
      </c>
      <c r="AJ678" s="8" t="str">
        <v>70～74</v>
      </c>
      <c r="AK678" s="8" t="str">
        <v>30以上</v>
      </c>
      <c r="AL678" s="8" t="str">
        <v>40以上</v>
      </c>
      <c r="AM678" s="8" t="str">
        <v>100～119</v>
      </c>
      <c r="AN678" s="8" t="str">
        <v>15以上</v>
      </c>
      <c r="AO678" s="8" t="str">
        <f aca="false">IF(A678="","",IF(COUNTIFS(全馬データ!$A$2:$A$50000,A678,全馬データ!$B$2:$B$50000,B678,全馬データ!$C$2:$C$50000,C678,全馬データ!$D$2:$D$50000,E678,全馬データ!$K$2:$K$50000,"&lt;&gt;")=0,"",SUMIFS(全馬データ!$K$2:$K$50000,全馬データ!$A$2:$A$50000,A678,全馬データ!$B$2:$B$50000,B678,全馬データ!$C$2:$C$50000,C678,全馬データ!$D$2:$D$50000,E678)))</f>
        <v/>
      </c>
      <c r="AP678" s="8" t="str">
        <f aca="false">IF(A678="","",IF(AO678="","欠損",IF(AO678&lt;=1.1,"1.0～1.1",IF(AO678&lt;1.3,"1.2",IF(AO678&lt;1.5,"1.3～1.4",IF(AO678&lt;2,"1.5～1.9","2.0以上"))))))</f>
        <v>欠損</v>
      </c>
      <c r="AQ678" s="8" t="str">
        <f aca="false">IF(A678="","",IF(ISNUMBER(SEARCH("2歳",Z678)),"2歳戦",IF(ISNUMBER(SEARCH("3歳未勝利",Z678)),"3歳未勝利",IF(ISNUMBER(SEARCH("未勝利",Z678)),"その他未勝利",IF(ISNUMBER(SEARCH("G1",Z678)),"G1",IF(ISNUMBER(SEARCH("G2",Z678)),"G2",IF(ISNUMBER(SEARCH("G3",Z678)),"G3",IF(ISNUMBER(SEARCH("古馬条件",Z678)),"古馬条件戦",IF(ISNUMBER(SEARCH("重賞",Z678)),"重賞","分類不能")))))))))</f>
        <v>分類不能</v>
      </c>
      <c r="AR678" s="8"/>
      <c r="AS678" s="8" t="s">
        <v>7623</v>
      </c>
      <c r="AT678" s="8" t="s">
        <v>7624</v>
      </c>
      <c r="AU678" s="8" t="s">
        <v>7600</v>
      </c>
      <c r="AV678" s="4" t="s">
        <v>7601</v>
      </c>
      <c r="AW678" s="8"/>
      <c r="AX678" s="8"/>
      <c r="AY678" s="8" t="s">
        <v>7610</v>
      </c>
      <c r="AZ678" s="4" t="s">
        <v>7617</v>
      </c>
      <c r="BA678" s="8" t="n">
        <v>1800</v>
      </c>
      <c r="BB678" s="8" t="s">
        <v>7634</v>
      </c>
      <c r="BC678" s="4" t="s">
        <v>7604</v>
      </c>
      <c r="BD678" s="8" t="s">
        <v>7625</v>
      </c>
      <c r="BE678" s="4" t="s">
        <v>7606</v>
      </c>
      <c r="BF678" s="8" t="s">
        <v>7607</v>
      </c>
      <c r="BG678" s="8" t="s">
        <v>7608</v>
      </c>
      <c r="BH678" s="4" t="s">
        <v>7609</v>
      </c>
      <c r="BI678" s="8" t="n">
        <v>15</v>
      </c>
      <c r="BJ678" s="8" t="s">
        <v>7610</v>
      </c>
      <c r="BK678" s="4" t="s">
        <v>7611</v>
      </c>
      <c r="BL678" s="8" t="s">
        <v>7602</v>
      </c>
      <c r="BM678" s="4" t="s">
        <v>7620</v>
      </c>
      <c r="BN678" s="8"/>
      <c r="BO678" s="8"/>
      <c r="BP678" s="8" t="s">
        <v>7608</v>
      </c>
      <c r="BQ678" s="8" t="str">
        <f aca="false">IF(A678="","",AT678)</f>
        <v>3歳</v>
      </c>
      <c r="BR678" s="8" t="str">
        <f aca="false">IF(A678="","",IF(BA678&lt;=1200,"～1200",IF(BA678&lt;=1500,"1300～1500",IF(BA678=1600,"1600",IF(BA678&lt;=1800,"1700～1800",IF(BA678&lt;=2000,"1900～2000","2100以上"))))))</f>
        <v>1700～1800</v>
      </c>
      <c r="BS678" s="8" t="str">
        <f aca="false">IF(A678="","",IF(AX678="G1","G1",IF(AX678="G2","G2",IF(AX678="G3","G3",IF(AX678="L","L","その他")))))</f>
        <v>その他</v>
      </c>
      <c r="BT678" s="8" t="str">
        <f aca="false">IF(A678="","",IF(BI678="","未結合",IF(D678=BI678,"一致","不一致")))</f>
        <v>一致</v>
      </c>
      <c r="BU678" s="8" t="str">
        <f aca="false">IF(A678="","",IF(BE678="牝馬限定","牝馬限定","その他"))</f>
        <v>その他</v>
      </c>
    </row>
    <row r="679" customFormat="false" ht="15.75" hidden="false" customHeight="false" outlineLevel="0" collapsed="false">
      <c r="A679" s="6" t="n">
        <v>46158</v>
      </c>
      <c r="B679" s="4" t="s">
        <v>13</v>
      </c>
      <c r="C679" s="8" t="n">
        <v>2</v>
      </c>
      <c r="D679" s="8" t="n">
        <v>15</v>
      </c>
      <c r="E679" s="8" t="n">
        <v>14</v>
      </c>
      <c r="F679" s="4" t="s">
        <v>4725</v>
      </c>
      <c r="G679" s="8" t="n">
        <v>81</v>
      </c>
      <c r="H679" s="8" t="n">
        <v>12</v>
      </c>
      <c r="I679" s="4" t="s">
        <v>3920</v>
      </c>
      <c r="J679" s="8" t="n">
        <v>62</v>
      </c>
      <c r="K679" s="8" t="n">
        <v>3</v>
      </c>
      <c r="L679" s="4" t="s">
        <v>3781</v>
      </c>
      <c r="M679" s="8" t="n">
        <v>29</v>
      </c>
      <c r="N679" s="8" t="n">
        <f aca="false">IF(A679="","",G679-J679)</f>
        <v>19</v>
      </c>
      <c r="O679" s="8" t="n">
        <f aca="false">IF(A679="","",J679-M679)</f>
        <v>33</v>
      </c>
      <c r="P679" s="8" t="n">
        <f aca="false">IF(A679="","",G679+J679)</f>
        <v>143</v>
      </c>
      <c r="Q679" s="8" t="str">
        <f aca="false">IF(A679="","",IF(AND(Y679&lt;&gt;"参考",G679&gt;=ルール設定!$B$2),"○",""))</f>
        <v>○</v>
      </c>
      <c r="R679" s="8" t="str">
        <f aca="false">IF(A679="","",IF(AND(Y679&lt;&gt;"参考",G679&gt;=ルール設定!$B$3,N679&gt;=ルール設定!$B$4),"○",""))</f>
        <v/>
      </c>
      <c r="S679" s="8" t="str">
        <f aca="false">IF(A679="","",IF(AND(Y679&lt;&gt;"参考",G679&gt;=ルール設定!$B$5,J679&gt;=ルール設定!$B$6,O679&gt;=ルール設定!$B$7),"○",""))</f>
        <v>○</v>
      </c>
      <c r="T679" s="8" t="n">
        <v>1</v>
      </c>
      <c r="U679" s="8" t="n">
        <v>2</v>
      </c>
      <c r="V679" s="8" t="str">
        <f aca="false">IF(A679="","",IF(AND(ISNUMBER(T679),ISNUMBER(U679)),IF(AND(T679&lt;=3,U679&lt;=3),"○","×"),""))</f>
        <v>○</v>
      </c>
      <c r="W679" s="8" t="n">
        <v>110</v>
      </c>
      <c r="X679" s="8" t="n">
        <v>160</v>
      </c>
      <c r="Y679" s="4" t="s">
        <v>7597</v>
      </c>
      <c r="Z679" s="4" t="s">
        <v>7886</v>
      </c>
      <c r="AA679" s="8" t="str">
        <v/>
      </c>
      <c r="AB679" s="8" t="str">
        <v>○</v>
      </c>
      <c r="AC679" s="8" t="str">
        <v>○</v>
      </c>
      <c r="AD679" s="8" t="str">
        <v/>
      </c>
      <c r="AE679" s="8" t="str">
        <v/>
      </c>
      <c r="AF679" s="8" t="str">
        <v>○</v>
      </c>
      <c r="AG679" s="8" t="str">
        <v>○</v>
      </c>
      <c r="AH679" s="8" t="str">
        <v/>
      </c>
      <c r="AI679" s="8" t="n">
        <v>52</v>
      </c>
      <c r="AJ679" s="8" t="str">
        <v>80～84</v>
      </c>
      <c r="AK679" s="8" t="str">
        <v>10～19</v>
      </c>
      <c r="AL679" s="8" t="str">
        <v>40以上</v>
      </c>
      <c r="AM679" s="8" t="str">
        <v>140～159</v>
      </c>
      <c r="AN679" s="8" t="str">
        <v>15以上</v>
      </c>
      <c r="AO679" s="8" t="str">
        <f aca="false">IF(A679="","",IF(COUNTIFS(全馬データ!$A$2:$A$50000,A679,全馬データ!$B$2:$B$50000,B679,全馬データ!$C$2:$C$50000,C679,全馬データ!$D$2:$D$50000,E679,全馬データ!$K$2:$K$50000,"&lt;&gt;")=0,"",SUMIFS(全馬データ!$K$2:$K$50000,全馬データ!$A$2:$A$50000,A679,全馬データ!$B$2:$B$50000,B679,全馬データ!$C$2:$C$50000,C679,全馬データ!$D$2:$D$50000,E679)))</f>
        <v/>
      </c>
      <c r="AP679" s="8" t="str">
        <f aca="false">IF(A679="","",IF(AO679="","欠損",IF(AO679&lt;=1.1,"1.0～1.1",IF(AO679&lt;1.3,"1.2",IF(AO679&lt;1.5,"1.3～1.4",IF(AO679&lt;2,"1.5～1.9","2.0以上"))))))</f>
        <v>欠損</v>
      </c>
      <c r="AQ679" s="8" t="str">
        <f aca="false">IF(A679="","",IF(ISNUMBER(SEARCH("2歳",Z679)),"2歳戦",IF(ISNUMBER(SEARCH("3歳未勝利",Z679)),"3歳未勝利",IF(ISNUMBER(SEARCH("未勝利",Z679)),"その他未勝利",IF(ISNUMBER(SEARCH("G1",Z679)),"G1",IF(ISNUMBER(SEARCH("G2",Z679)),"G2",IF(ISNUMBER(SEARCH("G3",Z679)),"G3",IF(ISNUMBER(SEARCH("古馬条件",Z679)),"古馬条件戦",IF(ISNUMBER(SEARCH("重賞",Z679)),"重賞","分類不能")))))))))</f>
        <v>分類不能</v>
      </c>
      <c r="AR679" s="8"/>
      <c r="AS679" s="8" t="s">
        <v>7623</v>
      </c>
      <c r="AT679" s="8" t="s">
        <v>7624</v>
      </c>
      <c r="AU679" s="8" t="s">
        <v>7600</v>
      </c>
      <c r="AV679" s="4" t="s">
        <v>7601</v>
      </c>
      <c r="AW679" s="8"/>
      <c r="AX679" s="8"/>
      <c r="AY679" s="8" t="s">
        <v>7610</v>
      </c>
      <c r="AZ679" s="4" t="s">
        <v>7617</v>
      </c>
      <c r="BA679" s="8" t="n">
        <v>1200</v>
      </c>
      <c r="BB679" s="8" t="s">
        <v>7634</v>
      </c>
      <c r="BC679" s="4" t="s">
        <v>7604</v>
      </c>
      <c r="BD679" s="8" t="s">
        <v>7605</v>
      </c>
      <c r="BE679" s="4" t="s">
        <v>7606</v>
      </c>
      <c r="BF679" s="8" t="s">
        <v>7607</v>
      </c>
      <c r="BG679" s="8" t="s">
        <v>7608</v>
      </c>
      <c r="BH679" s="4" t="s">
        <v>7609</v>
      </c>
      <c r="BI679" s="8" t="n">
        <v>15</v>
      </c>
      <c r="BJ679" s="8" t="s">
        <v>7610</v>
      </c>
      <c r="BK679" s="4" t="s">
        <v>7611</v>
      </c>
      <c r="BL679" s="8" t="s">
        <v>7602</v>
      </c>
      <c r="BM679" s="4" t="s">
        <v>7620</v>
      </c>
      <c r="BN679" s="8"/>
      <c r="BO679" s="8"/>
      <c r="BP679" s="8" t="s">
        <v>7608</v>
      </c>
      <c r="BQ679" s="8" t="str">
        <f aca="false">IF(A679="","",AT679)</f>
        <v>3歳</v>
      </c>
      <c r="BR679" s="8" t="str">
        <f aca="false">IF(A679="","",IF(BA679&lt;=1200,"～1200",IF(BA679&lt;=1500,"1300～1500",IF(BA679=1600,"1600",IF(BA679&lt;=1800,"1700～1800",IF(BA679&lt;=2000,"1900～2000","2100以上"))))))</f>
        <v>～1200</v>
      </c>
      <c r="BS679" s="8" t="str">
        <f aca="false">IF(A679="","",IF(AX679="G1","G1",IF(AX679="G2","G2",IF(AX679="G3","G3",IF(AX679="L","L","その他")))))</f>
        <v>その他</v>
      </c>
      <c r="BT679" s="8" t="str">
        <f aca="false">IF(A679="","",IF(BI679="","未結合",IF(D679=BI679,"一致","不一致")))</f>
        <v>一致</v>
      </c>
      <c r="BU679" s="8" t="str">
        <f aca="false">IF(A679="","",IF(BE679="牝馬限定","牝馬限定","その他"))</f>
        <v>その他</v>
      </c>
    </row>
    <row r="680" customFormat="false" ht="15.75" hidden="false" customHeight="false" outlineLevel="0" collapsed="false">
      <c r="A680" s="6" t="n">
        <v>46158</v>
      </c>
      <c r="B680" s="4" t="s">
        <v>13</v>
      </c>
      <c r="C680" s="8" t="n">
        <v>3</v>
      </c>
      <c r="D680" s="8" t="n">
        <v>16</v>
      </c>
      <c r="E680" s="8" t="n">
        <v>8</v>
      </c>
      <c r="F680" s="4" t="s">
        <v>3912</v>
      </c>
      <c r="G680" s="8" t="n">
        <v>52</v>
      </c>
      <c r="H680" s="8" t="n">
        <v>1</v>
      </c>
      <c r="I680" s="4" t="s">
        <v>1410</v>
      </c>
      <c r="J680" s="8" t="n">
        <v>50</v>
      </c>
      <c r="K680" s="8" t="n">
        <v>14</v>
      </c>
      <c r="L680" s="4" t="s">
        <v>6293</v>
      </c>
      <c r="M680" s="8" t="n">
        <v>41</v>
      </c>
      <c r="N680" s="8" t="n">
        <f aca="false">IF(A680="","",G680-J680)</f>
        <v>2</v>
      </c>
      <c r="O680" s="8" t="n">
        <f aca="false">IF(A680="","",J680-M680)</f>
        <v>9</v>
      </c>
      <c r="P680" s="8" t="n">
        <f aca="false">IF(A680="","",G680+J680)</f>
        <v>102</v>
      </c>
      <c r="Q680" s="8" t="str">
        <f aca="false">IF(A680="","",IF(AND(Y680&lt;&gt;"参考",G680&gt;=ルール設定!$B$2),"○",""))</f>
        <v/>
      </c>
      <c r="R680" s="8" t="str">
        <f aca="false">IF(A680="","",IF(AND(Y680&lt;&gt;"参考",G680&gt;=ルール設定!$B$3,N680&gt;=ルール設定!$B$4),"○",""))</f>
        <v/>
      </c>
      <c r="S680" s="8" t="str">
        <f aca="false">IF(A680="","",IF(AND(Y680&lt;&gt;"参考",G680&gt;=ルール設定!$B$5,J680&gt;=ルール設定!$B$6,O680&gt;=ルール設定!$B$7),"○",""))</f>
        <v/>
      </c>
      <c r="T680" s="8" t="n">
        <v>4</v>
      </c>
      <c r="U680" s="8" t="n">
        <v>4</v>
      </c>
      <c r="V680" s="8" t="str">
        <f aca="false">IF(A680="","",IF(AND(ISNUMBER(T680),ISNUMBER(U680)),IF(AND(T680&lt;=3,U680&lt;=3),"○","×"),""))</f>
        <v>×</v>
      </c>
      <c r="W680" s="8"/>
      <c r="X680" s="8"/>
      <c r="Y680" s="4" t="s">
        <v>7597</v>
      </c>
      <c r="Z680" s="4" t="s">
        <v>7886</v>
      </c>
      <c r="AA680" s="8" t="str">
        <v/>
      </c>
      <c r="AB680" s="8" t="str">
        <v/>
      </c>
      <c r="AC680" s="8" t="str">
        <v/>
      </c>
      <c r="AD680" s="8" t="str">
        <v/>
      </c>
      <c r="AE680" s="8" t="str">
        <v/>
      </c>
      <c r="AF680" s="8" t="str">
        <v/>
      </c>
      <c r="AG680" s="8" t="str">
        <v/>
      </c>
      <c r="AH680" s="8" t="str">
        <v/>
      </c>
      <c r="AI680" s="8" t="n">
        <v>11</v>
      </c>
      <c r="AJ680" s="8" t="str">
        <v>～59</v>
      </c>
      <c r="AK680" s="8" t="str">
        <v>0～4</v>
      </c>
      <c r="AL680" s="8" t="str">
        <v>10～19</v>
      </c>
      <c r="AM680" s="8" t="str">
        <v>100～119</v>
      </c>
      <c r="AN680" s="8" t="str">
        <v>15以上</v>
      </c>
      <c r="AO680" s="8" t="str">
        <f aca="false">IF(A680="","",IF(COUNTIFS(全馬データ!$A$2:$A$50000,A680,全馬データ!$B$2:$B$50000,B680,全馬データ!$C$2:$C$50000,C680,全馬データ!$D$2:$D$50000,E680,全馬データ!$K$2:$K$50000,"&lt;&gt;")=0,"",SUMIFS(全馬データ!$K$2:$K$50000,全馬データ!$A$2:$A$50000,A680,全馬データ!$B$2:$B$50000,B680,全馬データ!$C$2:$C$50000,C680,全馬データ!$D$2:$D$50000,E680)))</f>
        <v/>
      </c>
      <c r="AP680" s="8" t="str">
        <f aca="false">IF(A680="","",IF(AO680="","欠損",IF(AO680&lt;=1.1,"1.0～1.1",IF(AO680&lt;1.3,"1.2",IF(AO680&lt;1.5,"1.3～1.4",IF(AO680&lt;2,"1.5～1.9","2.0以上"))))))</f>
        <v>欠損</v>
      </c>
      <c r="AQ680" s="8" t="str">
        <f aca="false">IF(A680="","",IF(ISNUMBER(SEARCH("2歳",Z680)),"2歳戦",IF(ISNUMBER(SEARCH("3歳未勝利",Z680)),"3歳未勝利",IF(ISNUMBER(SEARCH("未勝利",Z680)),"その他未勝利",IF(ISNUMBER(SEARCH("G1",Z680)),"G1",IF(ISNUMBER(SEARCH("G2",Z680)),"G2",IF(ISNUMBER(SEARCH("G3",Z680)),"G3",IF(ISNUMBER(SEARCH("古馬条件",Z680)),"古馬条件戦",IF(ISNUMBER(SEARCH("重賞",Z680)),"重賞","分類不能")))))))))</f>
        <v>分類不能</v>
      </c>
      <c r="AR680" s="8"/>
      <c r="AS680" s="8" t="s">
        <v>7623</v>
      </c>
      <c r="AT680" s="8" t="s">
        <v>7624</v>
      </c>
      <c r="AU680" s="8" t="s">
        <v>7600</v>
      </c>
      <c r="AV680" s="4" t="s">
        <v>7601</v>
      </c>
      <c r="AW680" s="8"/>
      <c r="AX680" s="8"/>
      <c r="AY680" s="8" t="s">
        <v>7602</v>
      </c>
      <c r="AZ680" s="4" t="s">
        <v>7603</v>
      </c>
      <c r="BA680" s="8" t="n">
        <v>1600</v>
      </c>
      <c r="BB680" s="8" t="s">
        <v>7598</v>
      </c>
      <c r="BC680" s="4" t="s">
        <v>7604</v>
      </c>
      <c r="BD680" s="8" t="s">
        <v>7605</v>
      </c>
      <c r="BE680" s="4" t="s">
        <v>7606</v>
      </c>
      <c r="BF680" s="8" t="s">
        <v>7607</v>
      </c>
      <c r="BG680" s="8" t="s">
        <v>7608</v>
      </c>
      <c r="BH680" s="4" t="s">
        <v>7609</v>
      </c>
      <c r="BI680" s="8" t="n">
        <v>16</v>
      </c>
      <c r="BJ680" s="8" t="s">
        <v>7610</v>
      </c>
      <c r="BK680" s="4" t="s">
        <v>7611</v>
      </c>
      <c r="BL680" s="8" t="s">
        <v>7610</v>
      </c>
      <c r="BM680" s="4" t="s">
        <v>7612</v>
      </c>
      <c r="BN680" s="8" t="s">
        <v>7631</v>
      </c>
      <c r="BO680" s="8" t="s">
        <v>7680</v>
      </c>
      <c r="BP680" s="8" t="s">
        <v>7608</v>
      </c>
      <c r="BQ680" s="8" t="str">
        <f aca="false">IF(A680="","",AT680)</f>
        <v>3歳</v>
      </c>
      <c r="BR680" s="8" t="str">
        <f aca="false">IF(A680="","",IF(BA680&lt;=1200,"～1200",IF(BA680&lt;=1500,"1300～1500",IF(BA680=1600,"1600",IF(BA680&lt;=1800,"1700～1800",IF(BA680&lt;=2000,"1900～2000","2100以上"))))))</f>
        <v>1600</v>
      </c>
      <c r="BS680" s="8" t="str">
        <f aca="false">IF(A680="","",IF(AX680="G1","G1",IF(AX680="G2","G2",IF(AX680="G3","G3",IF(AX680="L","L","その他")))))</f>
        <v>その他</v>
      </c>
      <c r="BT680" s="8" t="str">
        <f aca="false">IF(A680="","",IF(BI680="","未結合",IF(D680=BI680,"一致","不一致")))</f>
        <v>一致</v>
      </c>
      <c r="BU680" s="8" t="str">
        <f aca="false">IF(A680="","",IF(BE680="牝馬限定","牝馬限定","その他"))</f>
        <v>その他</v>
      </c>
    </row>
    <row r="681" customFormat="false" ht="15.75" hidden="false" customHeight="false" outlineLevel="0" collapsed="false">
      <c r="A681" s="6" t="n">
        <v>46158</v>
      </c>
      <c r="B681" s="4" t="s">
        <v>13</v>
      </c>
      <c r="C681" s="8" t="n">
        <v>4</v>
      </c>
      <c r="D681" s="8" t="n">
        <v>11</v>
      </c>
      <c r="E681" s="8" t="n">
        <v>7</v>
      </c>
      <c r="F681" s="4" t="s">
        <v>827</v>
      </c>
      <c r="G681" s="8" t="n">
        <v>65</v>
      </c>
      <c r="H681" s="8" t="n">
        <v>11</v>
      </c>
      <c r="I681" s="4" t="s">
        <v>6299</v>
      </c>
      <c r="J681" s="8" t="n">
        <v>60</v>
      </c>
      <c r="K681" s="8" t="n">
        <v>4</v>
      </c>
      <c r="L681" s="4" t="s">
        <v>6296</v>
      </c>
      <c r="M681" s="8" t="n">
        <v>56</v>
      </c>
      <c r="N681" s="8" t="n">
        <f aca="false">IF(A681="","",G681-J681)</f>
        <v>5</v>
      </c>
      <c r="O681" s="8" t="n">
        <f aca="false">IF(A681="","",J681-M681)</f>
        <v>4</v>
      </c>
      <c r="P681" s="8" t="n">
        <f aca="false">IF(A681="","",G681+J681)</f>
        <v>125</v>
      </c>
      <c r="Q681" s="8" t="str">
        <f aca="false">IF(A681="","",IF(AND(Y681&lt;&gt;"参考",G681&gt;=ルール設定!$B$2),"○",""))</f>
        <v/>
      </c>
      <c r="R681" s="8" t="str">
        <f aca="false">IF(A681="","",IF(AND(Y681&lt;&gt;"参考",G681&gt;=ルール設定!$B$3,N681&gt;=ルール設定!$B$4),"○",""))</f>
        <v/>
      </c>
      <c r="S681" s="8" t="str">
        <f aca="false">IF(A681="","",IF(AND(Y681&lt;&gt;"参考",G681&gt;=ルール設定!$B$5,J681&gt;=ルール設定!$B$6,O681&gt;=ルール設定!$B$7),"○",""))</f>
        <v/>
      </c>
      <c r="T681" s="8" t="n">
        <v>4</v>
      </c>
      <c r="U681" s="8" t="n">
        <v>1</v>
      </c>
      <c r="V681" s="8" t="str">
        <f aca="false">IF(A681="","",IF(AND(ISNUMBER(T681),ISNUMBER(U681)),IF(AND(T681&lt;=3,U681&lt;=3),"○","×"),""))</f>
        <v>×</v>
      </c>
      <c r="W681" s="8"/>
      <c r="X681" s="8"/>
      <c r="Y681" s="4" t="s">
        <v>7597</v>
      </c>
      <c r="Z681" s="4" t="s">
        <v>7886</v>
      </c>
      <c r="AA681" s="8" t="str">
        <v/>
      </c>
      <c r="AB681" s="8" t="str">
        <v/>
      </c>
      <c r="AC681" s="8" t="str">
        <v/>
      </c>
      <c r="AD681" s="8" t="str">
        <v/>
      </c>
      <c r="AE681" s="8" t="str">
        <v/>
      </c>
      <c r="AF681" s="8" t="str">
        <v/>
      </c>
      <c r="AG681" s="8" t="str">
        <v/>
      </c>
      <c r="AH681" s="8" t="str">
        <v/>
      </c>
      <c r="AI681" s="8" t="n">
        <v>9</v>
      </c>
      <c r="AJ681" s="8" t="str">
        <v>60～69</v>
      </c>
      <c r="AK681" s="8" t="str">
        <v>5～9</v>
      </c>
      <c r="AL681" s="8" t="str">
        <v>0～9</v>
      </c>
      <c r="AM681" s="8" t="str">
        <v>120～139</v>
      </c>
      <c r="AN681" s="8" t="str">
        <v>8～11</v>
      </c>
      <c r="AO681" s="8" t="str">
        <f aca="false">IF(A681="","",IF(COUNTIFS(全馬データ!$A$2:$A$50000,A681,全馬データ!$B$2:$B$50000,B681,全馬データ!$C$2:$C$50000,C681,全馬データ!$D$2:$D$50000,E681,全馬データ!$K$2:$K$50000,"&lt;&gt;")=0,"",SUMIFS(全馬データ!$K$2:$K$50000,全馬データ!$A$2:$A$50000,A681,全馬データ!$B$2:$B$50000,B681,全馬データ!$C$2:$C$50000,C681,全馬データ!$D$2:$D$50000,E681)))</f>
        <v/>
      </c>
      <c r="AP681" s="8" t="str">
        <f aca="false">IF(A681="","",IF(AO681="","欠損",IF(AO681&lt;=1.1,"1.0～1.1",IF(AO681&lt;1.3,"1.2",IF(AO681&lt;1.5,"1.3～1.4",IF(AO681&lt;2,"1.5～1.9","2.0以上"))))))</f>
        <v>欠損</v>
      </c>
      <c r="AQ681" s="8" t="str">
        <f aca="false">IF(A681="","",IF(ISNUMBER(SEARCH("2歳",Z681)),"2歳戦",IF(ISNUMBER(SEARCH("3歳未勝利",Z681)),"3歳未勝利",IF(ISNUMBER(SEARCH("未勝利",Z681)),"その他未勝利",IF(ISNUMBER(SEARCH("G1",Z681)),"G1",IF(ISNUMBER(SEARCH("G2",Z681)),"G2",IF(ISNUMBER(SEARCH("G3",Z681)),"G3",IF(ISNUMBER(SEARCH("古馬条件",Z681)),"古馬条件戦",IF(ISNUMBER(SEARCH("重賞",Z681)),"重賞","分類不能")))))))))</f>
        <v>分類不能</v>
      </c>
      <c r="AR681" s="8"/>
      <c r="AS681" s="8" t="s">
        <v>7623</v>
      </c>
      <c r="AT681" s="8" t="s">
        <v>7624</v>
      </c>
      <c r="AU681" s="8" t="s">
        <v>7600</v>
      </c>
      <c r="AV681" s="4" t="s">
        <v>7601</v>
      </c>
      <c r="AW681" s="8"/>
      <c r="AX681" s="8"/>
      <c r="AY681" s="8" t="s">
        <v>7610</v>
      </c>
      <c r="AZ681" s="4" t="s">
        <v>7617</v>
      </c>
      <c r="BA681" s="8" t="n">
        <v>1800</v>
      </c>
      <c r="BB681" s="8" t="s">
        <v>7634</v>
      </c>
      <c r="BC681" s="4" t="s">
        <v>7604</v>
      </c>
      <c r="BD681" s="8" t="s">
        <v>7625</v>
      </c>
      <c r="BE681" s="4" t="s">
        <v>7606</v>
      </c>
      <c r="BF681" s="8" t="s">
        <v>7607</v>
      </c>
      <c r="BG681" s="8" t="s">
        <v>7608</v>
      </c>
      <c r="BH681" s="4" t="s">
        <v>7609</v>
      </c>
      <c r="BI681" s="8" t="n">
        <v>11</v>
      </c>
      <c r="BJ681" s="8" t="s">
        <v>7610</v>
      </c>
      <c r="BK681" s="4" t="s">
        <v>7611</v>
      </c>
      <c r="BL681" s="8" t="s">
        <v>7602</v>
      </c>
      <c r="BM681" s="4" t="s">
        <v>7620</v>
      </c>
      <c r="BN681" s="8"/>
      <c r="BO681" s="8"/>
      <c r="BP681" s="8" t="s">
        <v>7608</v>
      </c>
      <c r="BQ681" s="8" t="str">
        <f aca="false">IF(A681="","",AT681)</f>
        <v>3歳</v>
      </c>
      <c r="BR681" s="8" t="str">
        <f aca="false">IF(A681="","",IF(BA681&lt;=1200,"～1200",IF(BA681&lt;=1500,"1300～1500",IF(BA681=1600,"1600",IF(BA681&lt;=1800,"1700～1800",IF(BA681&lt;=2000,"1900～2000","2100以上"))))))</f>
        <v>1700～1800</v>
      </c>
      <c r="BS681" s="8" t="str">
        <f aca="false">IF(A681="","",IF(AX681="G1","G1",IF(AX681="G2","G2",IF(AX681="G3","G3",IF(AX681="L","L","その他")))))</f>
        <v>その他</v>
      </c>
      <c r="BT681" s="8" t="str">
        <f aca="false">IF(A681="","",IF(BI681="","未結合",IF(D681=BI681,"一致","不一致")))</f>
        <v>一致</v>
      </c>
      <c r="BU681" s="8" t="str">
        <f aca="false">IF(A681="","",IF(BE681="牝馬限定","牝馬限定","その他"))</f>
        <v>その他</v>
      </c>
    </row>
    <row r="682" customFormat="false" ht="15.75" hidden="false" customHeight="false" outlineLevel="0" collapsed="false">
      <c r="A682" s="6" t="n">
        <v>46158</v>
      </c>
      <c r="B682" s="4" t="s">
        <v>13</v>
      </c>
      <c r="C682" s="8" t="n">
        <v>5</v>
      </c>
      <c r="D682" s="8" t="n">
        <v>16</v>
      </c>
      <c r="E682" s="8" t="n">
        <v>3</v>
      </c>
      <c r="F682" s="4" t="s">
        <v>206</v>
      </c>
      <c r="G682" s="8" t="n">
        <v>56</v>
      </c>
      <c r="H682" s="8" t="n">
        <v>9</v>
      </c>
      <c r="I682" s="4" t="s">
        <v>1300</v>
      </c>
      <c r="J682" s="8" t="n">
        <v>39</v>
      </c>
      <c r="K682" s="8" t="n">
        <v>1</v>
      </c>
      <c r="L682" s="4" t="s">
        <v>6300</v>
      </c>
      <c r="M682" s="8" t="n">
        <v>34</v>
      </c>
      <c r="N682" s="8" t="n">
        <f aca="false">IF(A682="","",G682-J682)</f>
        <v>17</v>
      </c>
      <c r="O682" s="8" t="n">
        <f aca="false">IF(A682="","",J682-M682)</f>
        <v>5</v>
      </c>
      <c r="P682" s="8" t="n">
        <f aca="false">IF(A682="","",G682+J682)</f>
        <v>95</v>
      </c>
      <c r="Q682" s="8" t="str">
        <f aca="false">IF(A682="","",IF(AND(Y682&lt;&gt;"参考",G682&gt;=ルール設定!$B$2),"○",""))</f>
        <v/>
      </c>
      <c r="R682" s="8" t="str">
        <f aca="false">IF(A682="","",IF(AND(Y682&lt;&gt;"参考",G682&gt;=ルール設定!$B$3,N682&gt;=ルール設定!$B$4),"○",""))</f>
        <v/>
      </c>
      <c r="S682" s="8" t="str">
        <f aca="false">IF(A682="","",IF(AND(Y682&lt;&gt;"参考",G682&gt;=ルール設定!$B$5,J682&gt;=ルール設定!$B$6,O682&gt;=ルール設定!$B$7),"○",""))</f>
        <v/>
      </c>
      <c r="T682" s="8" t="n">
        <v>4</v>
      </c>
      <c r="U682" s="8" t="n">
        <v>2</v>
      </c>
      <c r="V682" s="8" t="str">
        <f aca="false">IF(A682="","",IF(AND(ISNUMBER(T682),ISNUMBER(U682)),IF(AND(T682&lt;=3,U682&lt;=3),"○","×"),""))</f>
        <v>×</v>
      </c>
      <c r="W682" s="8"/>
      <c r="X682" s="8"/>
      <c r="Y682" s="4" t="s">
        <v>7597</v>
      </c>
      <c r="Z682" s="4" t="s">
        <v>7886</v>
      </c>
      <c r="AA682" s="8" t="str">
        <v/>
      </c>
      <c r="AB682" s="8" t="str">
        <v/>
      </c>
      <c r="AC682" s="8" t="str">
        <v/>
      </c>
      <c r="AD682" s="8" t="str">
        <v/>
      </c>
      <c r="AE682" s="8" t="str">
        <v/>
      </c>
      <c r="AF682" s="8" t="str">
        <v/>
      </c>
      <c r="AG682" s="8" t="str">
        <v/>
      </c>
      <c r="AH682" s="8" t="str">
        <v/>
      </c>
      <c r="AI682" s="8" t="n">
        <v>22</v>
      </c>
      <c r="AJ682" s="8" t="str">
        <v>～59</v>
      </c>
      <c r="AK682" s="8" t="str">
        <v>10～19</v>
      </c>
      <c r="AL682" s="8" t="str">
        <v>20～29</v>
      </c>
      <c r="AM682" s="8" t="str">
        <v>～99</v>
      </c>
      <c r="AN682" s="8" t="str">
        <v>15以上</v>
      </c>
      <c r="AO682" s="8" t="str">
        <f aca="false">IF(A682="","",IF(COUNTIFS(全馬データ!$A$2:$A$50000,A682,全馬データ!$B$2:$B$50000,B682,全馬データ!$C$2:$C$50000,C682,全馬データ!$D$2:$D$50000,E682,全馬データ!$K$2:$K$50000,"&lt;&gt;")=0,"",SUMIFS(全馬データ!$K$2:$K$50000,全馬データ!$A$2:$A$50000,A682,全馬データ!$B$2:$B$50000,B682,全馬データ!$C$2:$C$50000,C682,全馬データ!$D$2:$D$50000,E682)))</f>
        <v/>
      </c>
      <c r="AP682" s="8" t="str">
        <f aca="false">IF(A682="","",IF(AO682="","欠損",IF(AO682&lt;=1.1,"1.0～1.1",IF(AO682&lt;1.3,"1.2",IF(AO682&lt;1.5,"1.3～1.4",IF(AO682&lt;2,"1.5～1.9","2.0以上"))))))</f>
        <v>欠損</v>
      </c>
      <c r="AQ682" s="8" t="str">
        <f aca="false">IF(A682="","",IF(ISNUMBER(SEARCH("2歳",Z682)),"2歳戦",IF(ISNUMBER(SEARCH("3歳未勝利",Z682)),"3歳未勝利",IF(ISNUMBER(SEARCH("未勝利",Z682)),"その他未勝利",IF(ISNUMBER(SEARCH("G1",Z682)),"G1",IF(ISNUMBER(SEARCH("G2",Z682)),"G2",IF(ISNUMBER(SEARCH("G3",Z682)),"G3",IF(ISNUMBER(SEARCH("古馬条件",Z682)),"古馬条件戦",IF(ISNUMBER(SEARCH("重賞",Z682)),"重賞","分類不能")))))))))</f>
        <v>分類不能</v>
      </c>
      <c r="AR682" s="8"/>
      <c r="AS682" s="8" t="s">
        <v>7623</v>
      </c>
      <c r="AT682" s="8" t="s">
        <v>7624</v>
      </c>
      <c r="AU682" s="8" t="s">
        <v>7600</v>
      </c>
      <c r="AV682" s="4" t="s">
        <v>7601</v>
      </c>
      <c r="AW682" s="8"/>
      <c r="AX682" s="8"/>
      <c r="AY682" s="8" t="s">
        <v>7602</v>
      </c>
      <c r="AZ682" s="4" t="s">
        <v>7603</v>
      </c>
      <c r="BA682" s="8" t="n">
        <v>1800</v>
      </c>
      <c r="BB682" s="8" t="s">
        <v>7598</v>
      </c>
      <c r="BC682" s="4" t="s">
        <v>7604</v>
      </c>
      <c r="BD682" s="8" t="s">
        <v>7605</v>
      </c>
      <c r="BE682" s="4" t="s">
        <v>7606</v>
      </c>
      <c r="BF682" s="8" t="s">
        <v>7607</v>
      </c>
      <c r="BG682" s="8" t="s">
        <v>7608</v>
      </c>
      <c r="BH682" s="4" t="s">
        <v>7609</v>
      </c>
      <c r="BI682" s="8" t="n">
        <v>16</v>
      </c>
      <c r="BJ682" s="8" t="s">
        <v>7610</v>
      </c>
      <c r="BK682" s="4" t="s">
        <v>7611</v>
      </c>
      <c r="BL682" s="8" t="s">
        <v>7610</v>
      </c>
      <c r="BM682" s="4" t="s">
        <v>7612</v>
      </c>
      <c r="BN682" s="8" t="s">
        <v>7631</v>
      </c>
      <c r="BO682" s="8" t="s">
        <v>7680</v>
      </c>
      <c r="BP682" s="8" t="s">
        <v>7608</v>
      </c>
      <c r="BQ682" s="8" t="str">
        <f aca="false">IF(A682="","",AT682)</f>
        <v>3歳</v>
      </c>
      <c r="BR682" s="8" t="str">
        <f aca="false">IF(A682="","",IF(BA682&lt;=1200,"～1200",IF(BA682&lt;=1500,"1300～1500",IF(BA682=1600,"1600",IF(BA682&lt;=1800,"1700～1800",IF(BA682&lt;=2000,"1900～2000","2100以上"))))))</f>
        <v>1700～1800</v>
      </c>
      <c r="BS682" s="8" t="str">
        <f aca="false">IF(A682="","",IF(AX682="G1","G1",IF(AX682="G2","G2",IF(AX682="G3","G3",IF(AX682="L","L","その他")))))</f>
        <v>その他</v>
      </c>
      <c r="BT682" s="8" t="str">
        <f aca="false">IF(A682="","",IF(BI682="","未結合",IF(D682=BI682,"一致","不一致")))</f>
        <v>一致</v>
      </c>
      <c r="BU682" s="8" t="str">
        <f aca="false">IF(A682="","",IF(BE682="牝馬限定","牝馬限定","その他"))</f>
        <v>その他</v>
      </c>
    </row>
    <row r="683" customFormat="false" ht="15.75" hidden="false" customHeight="false" outlineLevel="0" collapsed="false">
      <c r="A683" s="6" t="n">
        <v>46158</v>
      </c>
      <c r="B683" s="4" t="s">
        <v>13</v>
      </c>
      <c r="C683" s="8" t="n">
        <v>6</v>
      </c>
      <c r="D683" s="8" t="n">
        <v>16</v>
      </c>
      <c r="E683" s="8" t="n">
        <v>11</v>
      </c>
      <c r="F683" s="4" t="s">
        <v>6307</v>
      </c>
      <c r="G683" s="8" t="n">
        <v>71</v>
      </c>
      <c r="H683" s="8" t="n">
        <v>13</v>
      </c>
      <c r="I683" s="4" t="s">
        <v>6308</v>
      </c>
      <c r="J683" s="8" t="n">
        <v>62</v>
      </c>
      <c r="K683" s="8" t="n">
        <v>16</v>
      </c>
      <c r="L683" s="4" t="s">
        <v>5731</v>
      </c>
      <c r="M683" s="8" t="n">
        <v>23</v>
      </c>
      <c r="N683" s="8" t="n">
        <f aca="false">IF(A683="","",G683-J683)</f>
        <v>9</v>
      </c>
      <c r="O683" s="8" t="n">
        <f aca="false">IF(A683="","",J683-M683)</f>
        <v>39</v>
      </c>
      <c r="P683" s="8" t="n">
        <f aca="false">IF(A683="","",G683+J683)</f>
        <v>133</v>
      </c>
      <c r="Q683" s="8" t="str">
        <f aca="false">IF(A683="","",IF(AND(Y683&lt;&gt;"参考",G683&gt;=ルール設定!$B$2),"○",""))</f>
        <v/>
      </c>
      <c r="R683" s="8" t="str">
        <f aca="false">IF(A683="","",IF(AND(Y683&lt;&gt;"参考",G683&gt;=ルール設定!$B$3,N683&gt;=ルール設定!$B$4),"○",""))</f>
        <v/>
      </c>
      <c r="S683" s="8" t="str">
        <f aca="false">IF(A683="","",IF(AND(Y683&lt;&gt;"参考",G683&gt;=ルール設定!$B$5,J683&gt;=ルール設定!$B$6,O683&gt;=ルール設定!$B$7),"○",""))</f>
        <v>○</v>
      </c>
      <c r="T683" s="8" t="n">
        <v>4</v>
      </c>
      <c r="U683" s="8" t="n">
        <v>4</v>
      </c>
      <c r="V683" s="8" t="str">
        <f aca="false">IF(A683="","",IF(AND(ISNUMBER(T683),ISNUMBER(U683)),IF(AND(T683&lt;=3,U683&lt;=3),"○","×"),""))</f>
        <v>×</v>
      </c>
      <c r="W683" s="8"/>
      <c r="X683" s="8"/>
      <c r="Y683" s="4" t="s">
        <v>7597</v>
      </c>
      <c r="Z683" s="4" t="s">
        <v>7886</v>
      </c>
      <c r="AA683" s="8" t="str">
        <v/>
      </c>
      <c r="AB683" s="8" t="str">
        <v/>
      </c>
      <c r="AC683" s="8" t="str">
        <v/>
      </c>
      <c r="AD683" s="8" t="str">
        <v/>
      </c>
      <c r="AE683" s="8" t="str">
        <v/>
      </c>
      <c r="AF683" s="8" t="str">
        <v/>
      </c>
      <c r="AG683" s="8" t="str">
        <v/>
      </c>
      <c r="AH683" s="8" t="str">
        <v/>
      </c>
      <c r="AI683" s="8" t="n">
        <v>48</v>
      </c>
      <c r="AJ683" s="8" t="str">
        <v>70～74</v>
      </c>
      <c r="AK683" s="8" t="str">
        <v>5～9</v>
      </c>
      <c r="AL683" s="8" t="str">
        <v>40以上</v>
      </c>
      <c r="AM683" s="8" t="str">
        <v>120～139</v>
      </c>
      <c r="AN683" s="8" t="str">
        <v>15以上</v>
      </c>
      <c r="AO683" s="8" t="str">
        <f aca="false">IF(A683="","",IF(COUNTIFS(全馬データ!$A$2:$A$50000,A683,全馬データ!$B$2:$B$50000,B683,全馬データ!$C$2:$C$50000,C683,全馬データ!$D$2:$D$50000,E683,全馬データ!$K$2:$K$50000,"&lt;&gt;")=0,"",SUMIFS(全馬データ!$K$2:$K$50000,全馬データ!$A$2:$A$50000,A683,全馬データ!$B$2:$B$50000,B683,全馬データ!$C$2:$C$50000,C683,全馬データ!$D$2:$D$50000,E683)))</f>
        <v/>
      </c>
      <c r="AP683" s="8" t="str">
        <f aca="false">IF(A683="","",IF(AO683="","欠損",IF(AO683&lt;=1.1,"1.0～1.1",IF(AO683&lt;1.3,"1.2",IF(AO683&lt;1.5,"1.3～1.4",IF(AO683&lt;2,"1.5～1.9","2.0以上"))))))</f>
        <v>欠損</v>
      </c>
      <c r="AQ683" s="8" t="str">
        <f aca="false">IF(A683="","",IF(ISNUMBER(SEARCH("2歳",Z683)),"2歳戦",IF(ISNUMBER(SEARCH("3歳未勝利",Z683)),"3歳未勝利",IF(ISNUMBER(SEARCH("未勝利",Z683)),"その他未勝利",IF(ISNUMBER(SEARCH("G1",Z683)),"G1",IF(ISNUMBER(SEARCH("G2",Z683)),"G2",IF(ISNUMBER(SEARCH("G3",Z683)),"G3",IF(ISNUMBER(SEARCH("古馬条件",Z683)),"古馬条件戦",IF(ISNUMBER(SEARCH("重賞",Z683)),"重賞","分類不能")))))))))</f>
        <v>分類不能</v>
      </c>
      <c r="AR683" s="8"/>
      <c r="AS683" s="8" t="s">
        <v>7623</v>
      </c>
      <c r="AT683" s="8" t="s">
        <v>7624</v>
      </c>
      <c r="AU683" s="8" t="s">
        <v>7600</v>
      </c>
      <c r="AV683" s="4" t="s">
        <v>7601</v>
      </c>
      <c r="AW683" s="8"/>
      <c r="AX683" s="8"/>
      <c r="AY683" s="8" t="s">
        <v>7602</v>
      </c>
      <c r="AZ683" s="4" t="s">
        <v>7603</v>
      </c>
      <c r="BA683" s="8" t="n">
        <v>1000</v>
      </c>
      <c r="BB683" s="8" t="s">
        <v>7634</v>
      </c>
      <c r="BC683" s="4" t="s">
        <v>7604</v>
      </c>
      <c r="BD683" s="8" t="s">
        <v>7625</v>
      </c>
      <c r="BE683" s="4" t="s">
        <v>7606</v>
      </c>
      <c r="BF683" s="8" t="s">
        <v>7607</v>
      </c>
      <c r="BG683" s="8" t="s">
        <v>7608</v>
      </c>
      <c r="BH683" s="4" t="s">
        <v>7609</v>
      </c>
      <c r="BI683" s="8" t="n">
        <v>16</v>
      </c>
      <c r="BJ683" s="8" t="s">
        <v>7608</v>
      </c>
      <c r="BK683" s="4" t="s">
        <v>7649</v>
      </c>
      <c r="BL683" s="8" t="s">
        <v>7647</v>
      </c>
      <c r="BM683" s="4" t="s">
        <v>7648</v>
      </c>
      <c r="BN683" s="8" t="s">
        <v>7631</v>
      </c>
      <c r="BO683" s="8" t="s">
        <v>7680</v>
      </c>
      <c r="BP683" s="8" t="s">
        <v>7608</v>
      </c>
      <c r="BQ683" s="8" t="str">
        <f aca="false">IF(A683="","",AT683)</f>
        <v>3歳</v>
      </c>
      <c r="BR683" s="8" t="str">
        <f aca="false">IF(A683="","",IF(BA683&lt;=1200,"～1200",IF(BA683&lt;=1500,"1300～1500",IF(BA683=1600,"1600",IF(BA683&lt;=1800,"1700～1800",IF(BA683&lt;=2000,"1900～2000","2100以上"))))))</f>
        <v>～1200</v>
      </c>
      <c r="BS683" s="8" t="str">
        <f aca="false">IF(A683="","",IF(AX683="G1","G1",IF(AX683="G2","G2",IF(AX683="G3","G3",IF(AX683="L","L","その他")))))</f>
        <v>その他</v>
      </c>
      <c r="BT683" s="8" t="str">
        <f aca="false">IF(A683="","",IF(BI683="","未結合",IF(D683=BI683,"一致","不一致")))</f>
        <v>一致</v>
      </c>
      <c r="BU683" s="8" t="str">
        <f aca="false">IF(A683="","",IF(BE683="牝馬限定","牝馬限定","その他"))</f>
        <v>その他</v>
      </c>
    </row>
    <row r="684" customFormat="false" ht="15.75" hidden="false" customHeight="false" outlineLevel="0" collapsed="false">
      <c r="A684" s="6" t="n">
        <v>46158</v>
      </c>
      <c r="B684" s="4" t="s">
        <v>13</v>
      </c>
      <c r="C684" s="8" t="n">
        <v>7</v>
      </c>
      <c r="D684" s="8" t="n">
        <v>13</v>
      </c>
      <c r="E684" s="8" t="n">
        <v>1</v>
      </c>
      <c r="F684" s="4" t="s">
        <v>6310</v>
      </c>
      <c r="G684" s="8" t="n">
        <v>74</v>
      </c>
      <c r="H684" s="8" t="n">
        <v>4</v>
      </c>
      <c r="I684" s="4" t="s">
        <v>5273</v>
      </c>
      <c r="J684" s="8" t="n">
        <v>37</v>
      </c>
      <c r="K684" s="8" t="n">
        <v>11</v>
      </c>
      <c r="L684" s="4" t="s">
        <v>3283</v>
      </c>
      <c r="M684" s="8" t="n">
        <v>37</v>
      </c>
      <c r="N684" s="8" t="n">
        <f aca="false">IF(A684="","",G684-J684)</f>
        <v>37</v>
      </c>
      <c r="O684" s="8" t="n">
        <f aca="false">IF(A684="","",J684-M684)</f>
        <v>0</v>
      </c>
      <c r="P684" s="8" t="n">
        <f aca="false">IF(A684="","",G684+J684)</f>
        <v>111</v>
      </c>
      <c r="Q684" s="8" t="str">
        <f aca="false">IF(A684="","",IF(AND(Y684&lt;&gt;"参考",G684&gt;=ルール設定!$B$2),"○",""))</f>
        <v/>
      </c>
      <c r="R684" s="8" t="str">
        <f aca="false">IF(A684="","",IF(AND(Y684&lt;&gt;"参考",G684&gt;=ルール設定!$B$3,N684&gt;=ルール設定!$B$4),"○",""))</f>
        <v>○</v>
      </c>
      <c r="S684" s="8" t="str">
        <f aca="false">IF(A684="","",IF(AND(Y684&lt;&gt;"参考",G684&gt;=ルール設定!$B$5,J684&gt;=ルール設定!$B$6,O684&gt;=ルール設定!$B$7),"○",""))</f>
        <v/>
      </c>
      <c r="T684" s="8" t="n">
        <v>4</v>
      </c>
      <c r="U684" s="8" t="n">
        <v>4</v>
      </c>
      <c r="V684" s="8" t="str">
        <f aca="false">IF(A684="","",IF(AND(ISNUMBER(T684),ISNUMBER(U684)),IF(AND(T684&lt;=3,U684&lt;=3),"○","×"),""))</f>
        <v>×</v>
      </c>
      <c r="W684" s="8"/>
      <c r="X684" s="8"/>
      <c r="Y684" s="4" t="s">
        <v>7597</v>
      </c>
      <c r="Z684" s="4" t="s">
        <v>7886</v>
      </c>
      <c r="AA684" s="8" t="str">
        <v/>
      </c>
      <c r="AB684" s="8" t="str">
        <v/>
      </c>
      <c r="AC684" s="8" t="str">
        <v/>
      </c>
      <c r="AD684" s="8" t="str">
        <v/>
      </c>
      <c r="AE684" s="8" t="str">
        <v>○</v>
      </c>
      <c r="AF684" s="8" t="str">
        <v/>
      </c>
      <c r="AG684" s="8" t="str">
        <v/>
      </c>
      <c r="AH684" s="8" t="str">
        <v/>
      </c>
      <c r="AI684" s="8" t="n">
        <v>37</v>
      </c>
      <c r="AJ684" s="8" t="str">
        <v>70～74</v>
      </c>
      <c r="AK684" s="8" t="str">
        <v>30以上</v>
      </c>
      <c r="AL684" s="8" t="str">
        <v>30～39</v>
      </c>
      <c r="AM684" s="8" t="str">
        <v>100～119</v>
      </c>
      <c r="AN684" s="8" t="str">
        <v>12～14</v>
      </c>
      <c r="AO684" s="8" t="str">
        <f aca="false">IF(A684="","",IF(COUNTIFS(全馬データ!$A$2:$A$50000,A684,全馬データ!$B$2:$B$50000,B684,全馬データ!$C$2:$C$50000,C684,全馬データ!$D$2:$D$50000,E684,全馬データ!$K$2:$K$50000,"&lt;&gt;")=0,"",SUMIFS(全馬データ!$K$2:$K$50000,全馬データ!$A$2:$A$50000,A684,全馬データ!$B$2:$B$50000,B684,全馬データ!$C$2:$C$50000,C684,全馬データ!$D$2:$D$50000,E684)))</f>
        <v/>
      </c>
      <c r="AP684" s="8" t="str">
        <f aca="false">IF(A684="","",IF(AO684="","欠損",IF(AO684&lt;=1.1,"1.0～1.1",IF(AO684&lt;1.3,"1.2",IF(AO684&lt;1.5,"1.3～1.4",IF(AO684&lt;2,"1.5～1.9","2.0以上"))))))</f>
        <v>欠損</v>
      </c>
      <c r="AQ684" s="8" t="str">
        <f aca="false">IF(A684="","",IF(ISNUMBER(SEARCH("2歳",Z684)),"2歳戦",IF(ISNUMBER(SEARCH("3歳未勝利",Z684)),"3歳未勝利",IF(ISNUMBER(SEARCH("未勝利",Z684)),"その他未勝利",IF(ISNUMBER(SEARCH("G1",Z684)),"G1",IF(ISNUMBER(SEARCH("G2",Z684)),"G2",IF(ISNUMBER(SEARCH("G3",Z684)),"G3",IF(ISNUMBER(SEARCH("古馬条件",Z684)),"古馬条件戦",IF(ISNUMBER(SEARCH("重賞",Z684)),"重賞","分類不能")))))))))</f>
        <v>分類不能</v>
      </c>
      <c r="AR684" s="8"/>
      <c r="AS684" s="8" t="s">
        <v>7842</v>
      </c>
      <c r="AT684" s="8" t="s">
        <v>7843</v>
      </c>
      <c r="AU684" s="8" t="s">
        <v>7628</v>
      </c>
      <c r="AV684" s="8" t="s">
        <v>7629</v>
      </c>
      <c r="AW684" s="8"/>
      <c r="AX684" s="8"/>
      <c r="AY684" s="8" t="s">
        <v>7610</v>
      </c>
      <c r="AZ684" s="4" t="s">
        <v>7617</v>
      </c>
      <c r="BA684" s="8" t="n">
        <v>1200</v>
      </c>
      <c r="BB684" s="8" t="s">
        <v>7634</v>
      </c>
      <c r="BC684" s="4" t="s">
        <v>7604</v>
      </c>
      <c r="BD684" s="8" t="s">
        <v>7621</v>
      </c>
      <c r="BE684" s="4" t="s">
        <v>7622</v>
      </c>
      <c r="BF684" s="8" t="s">
        <v>7602</v>
      </c>
      <c r="BG684" s="8" t="s">
        <v>7631</v>
      </c>
      <c r="BH684" s="4" t="s">
        <v>7632</v>
      </c>
      <c r="BI684" s="8" t="n">
        <v>13</v>
      </c>
      <c r="BJ684" s="8" t="s">
        <v>7610</v>
      </c>
      <c r="BK684" s="4" t="s">
        <v>7611</v>
      </c>
      <c r="BL684" s="8" t="s">
        <v>7602</v>
      </c>
      <c r="BM684" s="4" t="s">
        <v>7620</v>
      </c>
      <c r="BN684" s="8"/>
      <c r="BO684" s="8"/>
      <c r="BP684" s="8" t="s">
        <v>7608</v>
      </c>
      <c r="BQ684" s="8" t="str">
        <f aca="false">IF(A684="","",AT684)</f>
        <v>4歳以上</v>
      </c>
      <c r="BR684" s="8" t="str">
        <f aca="false">IF(A684="","",IF(BA684&lt;=1200,"～1200",IF(BA684&lt;=1500,"1300～1500",IF(BA684=1600,"1600",IF(BA684&lt;=1800,"1700～1800",IF(BA684&lt;=2000,"1900～2000","2100以上"))))))</f>
        <v>～1200</v>
      </c>
      <c r="BS684" s="8" t="str">
        <f aca="false">IF(A684="","",IF(AX684="G1","G1",IF(AX684="G2","G2",IF(AX684="G3","G3",IF(AX684="L","L","その他")))))</f>
        <v>その他</v>
      </c>
      <c r="BT684" s="8" t="str">
        <f aca="false">IF(A684="","",IF(BI684="","未結合",IF(D684=BI684,"一致","不一致")))</f>
        <v>一致</v>
      </c>
      <c r="BU684" s="8" t="str">
        <f aca="false">IF(A684="","",IF(BE684="牝馬限定","牝馬限定","その他"))</f>
        <v>牝馬限定</v>
      </c>
    </row>
    <row r="685" customFormat="false" ht="15.75" hidden="false" customHeight="false" outlineLevel="0" collapsed="false">
      <c r="A685" s="6" t="n">
        <v>46158</v>
      </c>
      <c r="B685" s="4" t="s">
        <v>13</v>
      </c>
      <c r="C685" s="8" t="n">
        <v>8</v>
      </c>
      <c r="D685" s="8" t="n">
        <v>9</v>
      </c>
      <c r="E685" s="8" t="n">
        <v>5</v>
      </c>
      <c r="F685" s="4" t="s">
        <v>6319</v>
      </c>
      <c r="G685" s="8" t="n">
        <v>67</v>
      </c>
      <c r="H685" s="8" t="n">
        <v>9</v>
      </c>
      <c r="I685" s="4" t="s">
        <v>6321</v>
      </c>
      <c r="J685" s="8" t="n">
        <v>55</v>
      </c>
      <c r="K685" s="8" t="n">
        <v>6</v>
      </c>
      <c r="L685" s="4" t="s">
        <v>1542</v>
      </c>
      <c r="M685" s="8" t="n">
        <v>31</v>
      </c>
      <c r="N685" s="8" t="n">
        <f aca="false">IF(A685="","",G685-J685)</f>
        <v>12</v>
      </c>
      <c r="O685" s="8" t="n">
        <f aca="false">IF(A685="","",J685-M685)</f>
        <v>24</v>
      </c>
      <c r="P685" s="8" t="n">
        <f aca="false">IF(A685="","",G685+J685)</f>
        <v>122</v>
      </c>
      <c r="Q685" s="8" t="str">
        <f aca="false">IF(A685="","",IF(AND(Y685&lt;&gt;"参考",G685&gt;=ルール設定!$B$2),"○",""))</f>
        <v/>
      </c>
      <c r="R685" s="8" t="str">
        <f aca="false">IF(A685="","",IF(AND(Y685&lt;&gt;"参考",G685&gt;=ルール設定!$B$3,N685&gt;=ルール設定!$B$4),"○",""))</f>
        <v/>
      </c>
      <c r="S685" s="8" t="str">
        <f aca="false">IF(A685="","",IF(AND(Y685&lt;&gt;"参考",G685&gt;=ルール設定!$B$5,J685&gt;=ルール設定!$B$6,O685&gt;=ルール設定!$B$7),"○",""))</f>
        <v>○</v>
      </c>
      <c r="T685" s="8" t="n">
        <v>3</v>
      </c>
      <c r="U685" s="8" t="n">
        <v>1</v>
      </c>
      <c r="V685" s="8" t="str">
        <f aca="false">IF(A685="","",IF(AND(ISNUMBER(T685),ISNUMBER(U685)),IF(AND(T685&lt;=3,U685&lt;=3),"○","×"),""))</f>
        <v>○</v>
      </c>
      <c r="W685" s="8" t="n">
        <v>110</v>
      </c>
      <c r="X685" s="8" t="n">
        <v>120</v>
      </c>
      <c r="Y685" s="4" t="s">
        <v>7597</v>
      </c>
      <c r="Z685" s="4" t="s">
        <v>7886</v>
      </c>
      <c r="AA685" s="8" t="str">
        <v/>
      </c>
      <c r="AB685" s="8" t="str">
        <v/>
      </c>
      <c r="AC685" s="8" t="str">
        <v/>
      </c>
      <c r="AD685" s="8" t="str">
        <v/>
      </c>
      <c r="AE685" s="8" t="str">
        <v/>
      </c>
      <c r="AF685" s="8" t="str">
        <v/>
      </c>
      <c r="AG685" s="8" t="str">
        <v/>
      </c>
      <c r="AH685" s="8" t="str">
        <v/>
      </c>
      <c r="AI685" s="8" t="n">
        <v>36</v>
      </c>
      <c r="AJ685" s="8" t="str">
        <v>60～69</v>
      </c>
      <c r="AK685" s="8" t="str">
        <v>10～19</v>
      </c>
      <c r="AL685" s="8" t="str">
        <v>30～39</v>
      </c>
      <c r="AM685" s="8" t="str">
        <v>120～139</v>
      </c>
      <c r="AN685" s="8" t="str">
        <v>8～11</v>
      </c>
      <c r="AO685" s="8" t="str">
        <f aca="false">IF(A685="","",IF(COUNTIFS(全馬データ!$A$2:$A$50000,A685,全馬データ!$B$2:$B$50000,B685,全馬データ!$C$2:$C$50000,C685,全馬データ!$D$2:$D$50000,E685,全馬データ!$K$2:$K$50000,"&lt;&gt;")=0,"",SUMIFS(全馬データ!$K$2:$K$50000,全馬データ!$A$2:$A$50000,A685,全馬データ!$B$2:$B$50000,B685,全馬データ!$C$2:$C$50000,C685,全馬データ!$D$2:$D$50000,E685)))</f>
        <v/>
      </c>
      <c r="AP685" s="8" t="str">
        <f aca="false">IF(A685="","",IF(AO685="","欠損",IF(AO685&lt;=1.1,"1.0～1.1",IF(AO685&lt;1.3,"1.2",IF(AO685&lt;1.5,"1.3～1.4",IF(AO685&lt;2,"1.5～1.9","2.0以上"))))))</f>
        <v>欠損</v>
      </c>
      <c r="AQ685" s="8" t="str">
        <f aca="false">IF(A685="","",IF(ISNUMBER(SEARCH("2歳",Z685)),"2歳戦",IF(ISNUMBER(SEARCH("3歳未勝利",Z685)),"3歳未勝利",IF(ISNUMBER(SEARCH("未勝利",Z685)),"その他未勝利",IF(ISNUMBER(SEARCH("G1",Z685)),"G1",IF(ISNUMBER(SEARCH("G2",Z685)),"G2",IF(ISNUMBER(SEARCH("G3",Z685)),"G3",IF(ISNUMBER(SEARCH("古馬条件",Z685)),"古馬条件戦",IF(ISNUMBER(SEARCH("重賞",Z685)),"重賞","分類不能")))))))))</f>
        <v>分類不能</v>
      </c>
      <c r="AR685" s="8"/>
      <c r="AS685" s="8" t="s">
        <v>7842</v>
      </c>
      <c r="AT685" s="8" t="s">
        <v>7843</v>
      </c>
      <c r="AU685" s="8" t="s">
        <v>7628</v>
      </c>
      <c r="AV685" s="8" t="s">
        <v>7629</v>
      </c>
      <c r="AW685" s="8"/>
      <c r="AX685" s="8"/>
      <c r="AY685" s="8" t="s">
        <v>7610</v>
      </c>
      <c r="AZ685" s="4" t="s">
        <v>7617</v>
      </c>
      <c r="BA685" s="8" t="n">
        <v>1800</v>
      </c>
      <c r="BB685" s="8" t="s">
        <v>7634</v>
      </c>
      <c r="BC685" s="4" t="s">
        <v>7604</v>
      </c>
      <c r="BD685" s="8" t="s">
        <v>7625</v>
      </c>
      <c r="BE685" s="4" t="s">
        <v>7606</v>
      </c>
      <c r="BF685" s="8" t="s">
        <v>7607</v>
      </c>
      <c r="BG685" s="8" t="s">
        <v>7631</v>
      </c>
      <c r="BH685" s="4" t="s">
        <v>7632</v>
      </c>
      <c r="BI685" s="8" t="n">
        <v>9</v>
      </c>
      <c r="BJ685" s="8" t="s">
        <v>7610</v>
      </c>
      <c r="BK685" s="4" t="s">
        <v>7611</v>
      </c>
      <c r="BL685" s="8" t="s">
        <v>7602</v>
      </c>
      <c r="BM685" s="4" t="s">
        <v>7620</v>
      </c>
      <c r="BN685" s="8"/>
      <c r="BO685" s="8"/>
      <c r="BP685" s="8" t="s">
        <v>7608</v>
      </c>
      <c r="BQ685" s="8" t="str">
        <f aca="false">IF(A685="","",AT685)</f>
        <v>4歳以上</v>
      </c>
      <c r="BR685" s="8" t="str">
        <f aca="false">IF(A685="","",IF(BA685&lt;=1200,"～1200",IF(BA685&lt;=1500,"1300～1500",IF(BA685=1600,"1600",IF(BA685&lt;=1800,"1700～1800",IF(BA685&lt;=2000,"1900～2000","2100以上"))))))</f>
        <v>1700～1800</v>
      </c>
      <c r="BS685" s="8" t="str">
        <f aca="false">IF(A685="","",IF(AX685="G1","G1",IF(AX685="G2","G2",IF(AX685="G3","G3",IF(AX685="L","L","その他")))))</f>
        <v>その他</v>
      </c>
      <c r="BT685" s="8" t="str">
        <f aca="false">IF(A685="","",IF(BI685="","未結合",IF(D685=BI685,"一致","不一致")))</f>
        <v>一致</v>
      </c>
      <c r="BU685" s="8" t="str">
        <f aca="false">IF(A685="","",IF(BE685="牝馬限定","牝馬限定","その他"))</f>
        <v>その他</v>
      </c>
    </row>
    <row r="686" customFormat="false" ht="15.75" hidden="false" customHeight="false" outlineLevel="0" collapsed="false">
      <c r="A686" s="6" t="n">
        <v>46158</v>
      </c>
      <c r="B686" s="4" t="s">
        <v>13</v>
      </c>
      <c r="C686" s="8" t="n">
        <v>9</v>
      </c>
      <c r="D686" s="8" t="n">
        <v>16</v>
      </c>
      <c r="E686" s="8" t="n">
        <v>12</v>
      </c>
      <c r="F686" s="4" t="s">
        <v>1518</v>
      </c>
      <c r="G686" s="8" t="n">
        <v>66</v>
      </c>
      <c r="H686" s="8" t="n">
        <v>14</v>
      </c>
      <c r="I686" s="4" t="s">
        <v>4057</v>
      </c>
      <c r="J686" s="8" t="n">
        <v>39</v>
      </c>
      <c r="K686" s="8" t="n">
        <v>6</v>
      </c>
      <c r="L686" s="4" t="s">
        <v>6017</v>
      </c>
      <c r="M686" s="8" t="n">
        <v>37</v>
      </c>
      <c r="N686" s="8" t="n">
        <f aca="false">IF(A686="","",G686-J686)</f>
        <v>27</v>
      </c>
      <c r="O686" s="8" t="n">
        <f aca="false">IF(A686="","",J686-M686)</f>
        <v>2</v>
      </c>
      <c r="P686" s="8" t="n">
        <f aca="false">IF(A686="","",G686+J686)</f>
        <v>105</v>
      </c>
      <c r="Q686" s="8" t="str">
        <f aca="false">IF(A686="","",IF(AND(Y686&lt;&gt;"参考",G686&gt;=ルール設定!$B$2),"○",""))</f>
        <v/>
      </c>
      <c r="R686" s="8" t="str">
        <f aca="false">IF(A686="","",IF(AND(Y686&lt;&gt;"参考",G686&gt;=ルール設定!$B$3,N686&gt;=ルール設定!$B$4),"○",""))</f>
        <v/>
      </c>
      <c r="S686" s="8" t="str">
        <f aca="false">IF(A686="","",IF(AND(Y686&lt;&gt;"参考",G686&gt;=ルール設定!$B$5,J686&gt;=ルール設定!$B$6,O686&gt;=ルール設定!$B$7),"○",""))</f>
        <v/>
      </c>
      <c r="T686" s="8" t="n">
        <v>1</v>
      </c>
      <c r="U686" s="8" t="n">
        <v>3</v>
      </c>
      <c r="V686" s="8" t="str">
        <f aca="false">IF(A686="","",IF(AND(ISNUMBER(T686),ISNUMBER(U686)),IF(AND(T686&lt;=3,U686&lt;=3),"○","×"),""))</f>
        <v>○</v>
      </c>
      <c r="W686" s="8" t="n">
        <v>110</v>
      </c>
      <c r="X686" s="8" t="n">
        <v>210</v>
      </c>
      <c r="Y686" s="4" t="s">
        <v>7597</v>
      </c>
      <c r="Z686" s="4" t="s">
        <v>7886</v>
      </c>
      <c r="AA686" s="8" t="str">
        <v/>
      </c>
      <c r="AB686" s="8" t="str">
        <v/>
      </c>
      <c r="AC686" s="8" t="str">
        <v/>
      </c>
      <c r="AD686" s="8" t="str">
        <v/>
      </c>
      <c r="AE686" s="8" t="str">
        <v/>
      </c>
      <c r="AF686" s="8" t="str">
        <v/>
      </c>
      <c r="AG686" s="8" t="str">
        <v/>
      </c>
      <c r="AH686" s="8" t="str">
        <v/>
      </c>
      <c r="AI686" s="8" t="n">
        <v>29</v>
      </c>
      <c r="AJ686" s="8" t="str">
        <v>60～69</v>
      </c>
      <c r="AK686" s="8" t="str">
        <v>20～29</v>
      </c>
      <c r="AL686" s="8" t="str">
        <v>20～29</v>
      </c>
      <c r="AM686" s="8" t="str">
        <v>100～119</v>
      </c>
      <c r="AN686" s="8" t="str">
        <v>15以上</v>
      </c>
      <c r="AO686" s="8" t="str">
        <f aca="false">IF(A686="","",IF(COUNTIFS(全馬データ!$A$2:$A$50000,A686,全馬データ!$B$2:$B$50000,B686,全馬データ!$C$2:$C$50000,C686,全馬データ!$D$2:$D$50000,E686,全馬データ!$K$2:$K$50000,"&lt;&gt;")=0,"",SUMIFS(全馬データ!$K$2:$K$50000,全馬データ!$A$2:$A$50000,A686,全馬データ!$B$2:$B$50000,B686,全馬データ!$C$2:$C$50000,C686,全馬データ!$D$2:$D$50000,E686)))</f>
        <v/>
      </c>
      <c r="AP686" s="8" t="str">
        <f aca="false">IF(A686="","",IF(AO686="","欠損",IF(AO686&lt;=1.1,"1.0～1.1",IF(AO686&lt;1.3,"1.2",IF(AO686&lt;1.5,"1.3～1.4",IF(AO686&lt;2,"1.5～1.9","2.0以上"))))))</f>
        <v>欠損</v>
      </c>
      <c r="AQ686" s="8" t="str">
        <f aca="false">IF(A686="","",IF(ISNUMBER(SEARCH("2歳",Z686)),"2歳戦",IF(ISNUMBER(SEARCH("3歳未勝利",Z686)),"3歳未勝利",IF(ISNUMBER(SEARCH("未勝利",Z686)),"その他未勝利",IF(ISNUMBER(SEARCH("G1",Z686)),"G1",IF(ISNUMBER(SEARCH("G2",Z686)),"G2",IF(ISNUMBER(SEARCH("G3",Z686)),"G3",IF(ISNUMBER(SEARCH("古馬条件",Z686)),"古馬条件戦",IF(ISNUMBER(SEARCH("重賞",Z686)),"重賞","分類不能")))))))))</f>
        <v>分類不能</v>
      </c>
      <c r="AR686" s="4" t="s">
        <v>7894</v>
      </c>
      <c r="AS686" s="8" t="s">
        <v>7842</v>
      </c>
      <c r="AT686" s="8" t="s">
        <v>7843</v>
      </c>
      <c r="AU686" s="8" t="s">
        <v>7628</v>
      </c>
      <c r="AV686" s="8" t="s">
        <v>7629</v>
      </c>
      <c r="AW686" s="8" t="s">
        <v>7636</v>
      </c>
      <c r="AX686" s="4" t="s">
        <v>7637</v>
      </c>
      <c r="AY686" s="8" t="s">
        <v>7602</v>
      </c>
      <c r="AZ686" s="4" t="s">
        <v>7603</v>
      </c>
      <c r="BA686" s="8" t="n">
        <v>1800</v>
      </c>
      <c r="BB686" s="8" t="s">
        <v>7598</v>
      </c>
      <c r="BC686" s="4" t="s">
        <v>7604</v>
      </c>
      <c r="BD686" s="8" t="s">
        <v>7621</v>
      </c>
      <c r="BE686" s="4" t="s">
        <v>7622</v>
      </c>
      <c r="BF686" s="8" t="s">
        <v>7602</v>
      </c>
      <c r="BG686" s="8" t="s">
        <v>7631</v>
      </c>
      <c r="BH686" s="4" t="s">
        <v>7632</v>
      </c>
      <c r="BI686" s="8" t="n">
        <v>16</v>
      </c>
      <c r="BJ686" s="8" t="s">
        <v>7610</v>
      </c>
      <c r="BK686" s="4" t="s">
        <v>7611</v>
      </c>
      <c r="BL686" s="8" t="s">
        <v>7610</v>
      </c>
      <c r="BM686" s="4" t="s">
        <v>7612</v>
      </c>
      <c r="BN686" s="8" t="s">
        <v>7631</v>
      </c>
      <c r="BO686" s="8" t="s">
        <v>7680</v>
      </c>
      <c r="BP686" s="8" t="s">
        <v>7608</v>
      </c>
      <c r="BQ686" s="8" t="str">
        <f aca="false">IF(A686="","",AT686)</f>
        <v>4歳以上</v>
      </c>
      <c r="BR686" s="8" t="str">
        <f aca="false">IF(A686="","",IF(BA686&lt;=1200,"～1200",IF(BA686&lt;=1500,"1300～1500",IF(BA686=1600,"1600",IF(BA686&lt;=1800,"1700～1800",IF(BA686&lt;=2000,"1900～2000","2100以上"))))))</f>
        <v>1700～1800</v>
      </c>
      <c r="BS686" s="8" t="str">
        <f aca="false">IF(A686="","",IF(AX686="G1","G1",IF(AX686="G2","G2",IF(AX686="G3","G3",IF(AX686="L","L","その他")))))</f>
        <v>その他</v>
      </c>
      <c r="BT686" s="8" t="str">
        <f aca="false">IF(A686="","",IF(BI686="","未結合",IF(D686=BI686,"一致","不一致")))</f>
        <v>一致</v>
      </c>
      <c r="BU686" s="8" t="str">
        <f aca="false">IF(A686="","",IF(BE686="牝馬限定","牝馬限定","その他"))</f>
        <v>牝馬限定</v>
      </c>
    </row>
    <row r="687" customFormat="false" ht="15.75" hidden="false" customHeight="false" outlineLevel="0" collapsed="false">
      <c r="A687" s="6" t="n">
        <v>46158</v>
      </c>
      <c r="B687" s="4" t="s">
        <v>13</v>
      </c>
      <c r="C687" s="8" t="n">
        <v>10</v>
      </c>
      <c r="D687" s="8" t="n">
        <v>9</v>
      </c>
      <c r="E687" s="8" t="n">
        <v>4</v>
      </c>
      <c r="F687" s="4" t="s">
        <v>5227</v>
      </c>
      <c r="G687" s="8" t="n">
        <v>61</v>
      </c>
      <c r="H687" s="8" t="n">
        <v>5</v>
      </c>
      <c r="I687" s="4" t="s">
        <v>6325</v>
      </c>
      <c r="J687" s="8" t="n">
        <v>50</v>
      </c>
      <c r="K687" s="8" t="n">
        <v>8</v>
      </c>
      <c r="L687" s="4" t="s">
        <v>2978</v>
      </c>
      <c r="M687" s="8" t="n">
        <v>47</v>
      </c>
      <c r="N687" s="8" t="n">
        <f aca="false">IF(A687="","",G687-J687)</f>
        <v>11</v>
      </c>
      <c r="O687" s="8" t="n">
        <f aca="false">IF(A687="","",J687-M687)</f>
        <v>3</v>
      </c>
      <c r="P687" s="8" t="n">
        <f aca="false">IF(A687="","",G687+J687)</f>
        <v>111</v>
      </c>
      <c r="Q687" s="8" t="str">
        <f aca="false">IF(A687="","",IF(AND(Y687&lt;&gt;"参考",G687&gt;=ルール設定!$B$2),"○",""))</f>
        <v/>
      </c>
      <c r="R687" s="8" t="str">
        <f aca="false">IF(A687="","",IF(AND(Y687&lt;&gt;"参考",G687&gt;=ルール設定!$B$3,N687&gt;=ルール設定!$B$4),"○",""))</f>
        <v/>
      </c>
      <c r="S687" s="8" t="str">
        <f aca="false">IF(A687="","",IF(AND(Y687&lt;&gt;"参考",G687&gt;=ルール設定!$B$5,J687&gt;=ルール設定!$B$6,O687&gt;=ルール設定!$B$7),"○",""))</f>
        <v/>
      </c>
      <c r="T687" s="8" t="n">
        <v>4</v>
      </c>
      <c r="U687" s="8" t="n">
        <v>4</v>
      </c>
      <c r="V687" s="8" t="str">
        <f aca="false">IF(A687="","",IF(AND(ISNUMBER(T687),ISNUMBER(U687)),IF(AND(T687&lt;=3,U687&lt;=3),"○","×"),""))</f>
        <v>×</v>
      </c>
      <c r="W687" s="8"/>
      <c r="X687" s="8"/>
      <c r="Y687" s="4" t="s">
        <v>7597</v>
      </c>
      <c r="Z687" s="4" t="s">
        <v>7886</v>
      </c>
      <c r="AA687" s="8" t="str">
        <v/>
      </c>
      <c r="AB687" s="8" t="str">
        <v/>
      </c>
      <c r="AC687" s="8" t="str">
        <v/>
      </c>
      <c r="AD687" s="8" t="str">
        <v/>
      </c>
      <c r="AE687" s="8" t="str">
        <v/>
      </c>
      <c r="AF687" s="8" t="str">
        <v/>
      </c>
      <c r="AG687" s="8" t="str">
        <v/>
      </c>
      <c r="AH687" s="8" t="str">
        <v/>
      </c>
      <c r="AI687" s="8" t="n">
        <v>14</v>
      </c>
      <c r="AJ687" s="8" t="str">
        <v>60～69</v>
      </c>
      <c r="AK687" s="8" t="str">
        <v>10～19</v>
      </c>
      <c r="AL687" s="8" t="str">
        <v>10～19</v>
      </c>
      <c r="AM687" s="8" t="str">
        <v>100～119</v>
      </c>
      <c r="AN687" s="8" t="str">
        <v>8～11</v>
      </c>
      <c r="AO687" s="8" t="str">
        <f aca="false">IF(A687="","",IF(COUNTIFS(全馬データ!$A$2:$A$50000,A687,全馬データ!$B$2:$B$50000,B687,全馬データ!$C$2:$C$50000,C687,全馬データ!$D$2:$D$50000,E687,全馬データ!$K$2:$K$50000,"&lt;&gt;")=0,"",SUMIFS(全馬データ!$K$2:$K$50000,全馬データ!$A$2:$A$50000,A687,全馬データ!$B$2:$B$50000,B687,全馬データ!$C$2:$C$50000,C687,全馬データ!$D$2:$D$50000,E687)))</f>
        <v/>
      </c>
      <c r="AP687" s="8" t="str">
        <f aca="false">IF(A687="","",IF(AO687="","欠損",IF(AO687&lt;=1.1,"1.0～1.1",IF(AO687&lt;1.3,"1.2",IF(AO687&lt;1.5,"1.3～1.4",IF(AO687&lt;2,"1.5～1.9","2.0以上"))))))</f>
        <v>欠損</v>
      </c>
      <c r="AQ687" s="8" t="str">
        <f aca="false">IF(A687="","",IF(ISNUMBER(SEARCH("2歳",Z687)),"2歳戦",IF(ISNUMBER(SEARCH("3歳未勝利",Z687)),"3歳未勝利",IF(ISNUMBER(SEARCH("未勝利",Z687)),"その他未勝利",IF(ISNUMBER(SEARCH("G1",Z687)),"G1",IF(ISNUMBER(SEARCH("G2",Z687)),"G2",IF(ISNUMBER(SEARCH("G3",Z687)),"G3",IF(ISNUMBER(SEARCH("古馬条件",Z687)),"古馬条件戦",IF(ISNUMBER(SEARCH("重賞",Z687)),"重賞","分類不能")))))))))</f>
        <v>分類不能</v>
      </c>
      <c r="AR687" s="4" t="s">
        <v>7895</v>
      </c>
      <c r="AS687" s="8" t="s">
        <v>7842</v>
      </c>
      <c r="AT687" s="8" t="s">
        <v>7843</v>
      </c>
      <c r="AU687" s="8" t="s">
        <v>7634</v>
      </c>
      <c r="AV687" s="8" t="s">
        <v>7635</v>
      </c>
      <c r="AW687" s="8" t="s">
        <v>7636</v>
      </c>
      <c r="AX687" s="4" t="s">
        <v>7637</v>
      </c>
      <c r="AY687" s="8" t="s">
        <v>7610</v>
      </c>
      <c r="AZ687" s="4" t="s">
        <v>7617</v>
      </c>
      <c r="BA687" s="8" t="n">
        <v>1800</v>
      </c>
      <c r="BB687" s="8" t="s">
        <v>7634</v>
      </c>
      <c r="BC687" s="4" t="s">
        <v>7604</v>
      </c>
      <c r="BD687" s="8" t="s">
        <v>7630</v>
      </c>
      <c r="BE687" s="4" t="s">
        <v>7606</v>
      </c>
      <c r="BF687" s="8" t="s">
        <v>7607</v>
      </c>
      <c r="BG687" s="8" t="s">
        <v>7631</v>
      </c>
      <c r="BH687" s="4" t="s">
        <v>7632</v>
      </c>
      <c r="BI687" s="8" t="n">
        <v>9</v>
      </c>
      <c r="BJ687" s="8" t="s">
        <v>7610</v>
      </c>
      <c r="BK687" s="4" t="s">
        <v>7611</v>
      </c>
      <c r="BL687" s="8" t="s">
        <v>7602</v>
      </c>
      <c r="BM687" s="4" t="s">
        <v>7620</v>
      </c>
      <c r="BN687" s="8"/>
      <c r="BO687" s="8"/>
      <c r="BP687" s="8" t="s">
        <v>7608</v>
      </c>
      <c r="BQ687" s="8" t="str">
        <f aca="false">IF(A687="","",AT687)</f>
        <v>4歳以上</v>
      </c>
      <c r="BR687" s="8" t="str">
        <f aca="false">IF(A687="","",IF(BA687&lt;=1200,"～1200",IF(BA687&lt;=1500,"1300～1500",IF(BA687=1600,"1600",IF(BA687&lt;=1800,"1700～1800",IF(BA687&lt;=2000,"1900～2000","2100以上"))))))</f>
        <v>1700～1800</v>
      </c>
      <c r="BS687" s="8" t="str">
        <f aca="false">IF(A687="","",IF(AX687="G1","G1",IF(AX687="G2","G2",IF(AX687="G3","G3",IF(AX687="L","L","その他")))))</f>
        <v>その他</v>
      </c>
      <c r="BT687" s="8" t="str">
        <f aca="false">IF(A687="","",IF(BI687="","未結合",IF(D687=BI687,"一致","不一致")))</f>
        <v>一致</v>
      </c>
      <c r="BU687" s="8" t="str">
        <f aca="false">IF(A687="","",IF(BE687="牝馬限定","牝馬限定","その他"))</f>
        <v>その他</v>
      </c>
    </row>
    <row r="688" customFormat="false" ht="15.75" hidden="false" customHeight="false" outlineLevel="0" collapsed="false">
      <c r="A688" s="6" t="n">
        <v>46158</v>
      </c>
      <c r="B688" s="4" t="s">
        <v>13</v>
      </c>
      <c r="C688" s="8" t="n">
        <v>11</v>
      </c>
      <c r="D688" s="8" t="n">
        <v>15</v>
      </c>
      <c r="E688" s="8" t="n">
        <v>6</v>
      </c>
      <c r="F688" s="4" t="s">
        <v>6329</v>
      </c>
      <c r="G688" s="8" t="n">
        <v>65</v>
      </c>
      <c r="H688" s="8" t="n">
        <v>3</v>
      </c>
      <c r="I688" s="4" t="s">
        <v>6327</v>
      </c>
      <c r="J688" s="8" t="n">
        <v>37</v>
      </c>
      <c r="K688" s="8" t="n">
        <v>13</v>
      </c>
      <c r="L688" s="4" t="s">
        <v>6332</v>
      </c>
      <c r="M688" s="8" t="n">
        <v>29</v>
      </c>
      <c r="N688" s="8" t="n">
        <f aca="false">IF(A688="","",G688-J688)</f>
        <v>28</v>
      </c>
      <c r="O688" s="8" t="n">
        <f aca="false">IF(A688="","",J688-M688)</f>
        <v>8</v>
      </c>
      <c r="P688" s="8" t="n">
        <f aca="false">IF(A688="","",G688+J688)</f>
        <v>102</v>
      </c>
      <c r="Q688" s="8" t="str">
        <f aca="false">IF(A688="","",IF(AND(Y688&lt;&gt;"参考",G688&gt;=ルール設定!$B$2),"○",""))</f>
        <v/>
      </c>
      <c r="R688" s="8" t="str">
        <f aca="false">IF(A688="","",IF(AND(Y688&lt;&gt;"参考",G688&gt;=ルール設定!$B$3,N688&gt;=ルール設定!$B$4),"○",""))</f>
        <v/>
      </c>
      <c r="S688" s="8" t="str">
        <f aca="false">IF(A688="","",IF(AND(Y688&lt;&gt;"参考",G688&gt;=ルール設定!$B$5,J688&gt;=ルール設定!$B$6,O688&gt;=ルール設定!$B$7),"○",""))</f>
        <v/>
      </c>
      <c r="T688" s="8" t="n">
        <v>4</v>
      </c>
      <c r="U688" s="8" t="n">
        <v>1</v>
      </c>
      <c r="V688" s="8" t="str">
        <f aca="false">IF(A688="","",IF(AND(ISNUMBER(T688),ISNUMBER(U688)),IF(AND(T688&lt;=3,U688&lt;=3),"○","×"),""))</f>
        <v>×</v>
      </c>
      <c r="W688" s="8"/>
      <c r="X688" s="8"/>
      <c r="Y688" s="4" t="s">
        <v>7597</v>
      </c>
      <c r="Z688" s="4" t="s">
        <v>7886</v>
      </c>
      <c r="AA688" s="8" t="str">
        <v/>
      </c>
      <c r="AB688" s="8" t="str">
        <v/>
      </c>
      <c r="AC688" s="8" t="str">
        <v/>
      </c>
      <c r="AD688" s="8" t="str">
        <v/>
      </c>
      <c r="AE688" s="8" t="str">
        <v/>
      </c>
      <c r="AF688" s="8" t="str">
        <v/>
      </c>
      <c r="AG688" s="8" t="str">
        <v/>
      </c>
      <c r="AH688" s="8" t="str">
        <v/>
      </c>
      <c r="AI688" s="8" t="n">
        <v>36</v>
      </c>
      <c r="AJ688" s="8" t="str">
        <v>60～69</v>
      </c>
      <c r="AK688" s="8" t="str">
        <v>20～29</v>
      </c>
      <c r="AL688" s="8" t="str">
        <v>30～39</v>
      </c>
      <c r="AM688" s="8" t="str">
        <v>100～119</v>
      </c>
      <c r="AN688" s="8" t="str">
        <v>15以上</v>
      </c>
      <c r="AO688" s="8" t="str">
        <f aca="false">IF(A688="","",IF(COUNTIFS(全馬データ!$A$2:$A$50000,A688,全馬データ!$B$2:$B$50000,B688,全馬データ!$C$2:$C$50000,C688,全馬データ!$D$2:$D$50000,E688,全馬データ!$K$2:$K$50000,"&lt;&gt;")=0,"",SUMIFS(全馬データ!$K$2:$K$50000,全馬データ!$A$2:$A$50000,A688,全馬データ!$B$2:$B$50000,B688,全馬データ!$C$2:$C$50000,C688,全馬データ!$D$2:$D$50000,E688)))</f>
        <v/>
      </c>
      <c r="AP688" s="8" t="str">
        <f aca="false">IF(A688="","",IF(AO688="","欠損",IF(AO688&lt;=1.1,"1.0～1.1",IF(AO688&lt;1.3,"1.2",IF(AO688&lt;1.5,"1.3～1.4",IF(AO688&lt;2,"1.5～1.9","2.0以上"))))))</f>
        <v>欠損</v>
      </c>
      <c r="AQ688" s="8" t="str">
        <f aca="false">IF(A688="","",IF(ISNUMBER(SEARCH("2歳",Z688)),"2歳戦",IF(ISNUMBER(SEARCH("3歳未勝利",Z688)),"3歳未勝利",IF(ISNUMBER(SEARCH("未勝利",Z688)),"その他未勝利",IF(ISNUMBER(SEARCH("G1",Z688)),"G1",IF(ISNUMBER(SEARCH("G2",Z688)),"G2",IF(ISNUMBER(SEARCH("G3",Z688)),"G3",IF(ISNUMBER(SEARCH("古馬条件",Z688)),"古馬条件戦",IF(ISNUMBER(SEARCH("重賞",Z688)),"重賞","分類不能")))))))))</f>
        <v>分類不能</v>
      </c>
      <c r="AR688" s="4" t="s">
        <v>7896</v>
      </c>
      <c r="AS688" s="8" t="s">
        <v>7842</v>
      </c>
      <c r="AT688" s="8" t="s">
        <v>7843</v>
      </c>
      <c r="AU688" s="8" t="s">
        <v>7643</v>
      </c>
      <c r="AV688" s="4" t="s">
        <v>7644</v>
      </c>
      <c r="AW688" s="8" t="s">
        <v>7608</v>
      </c>
      <c r="AX688" s="8" t="s">
        <v>7664</v>
      </c>
      <c r="AY688" s="8" t="s">
        <v>7602</v>
      </c>
      <c r="AZ688" s="4" t="s">
        <v>7603</v>
      </c>
      <c r="BA688" s="8" t="n">
        <v>2000</v>
      </c>
      <c r="BB688" s="8" t="s">
        <v>7598</v>
      </c>
      <c r="BC688" s="4" t="s">
        <v>7604</v>
      </c>
      <c r="BD688" s="8" t="s">
        <v>7666</v>
      </c>
      <c r="BE688" s="4" t="s">
        <v>7606</v>
      </c>
      <c r="BF688" s="8" t="s">
        <v>7607</v>
      </c>
      <c r="BG688" s="8" t="s">
        <v>7602</v>
      </c>
      <c r="BH688" s="4" t="s">
        <v>7667</v>
      </c>
      <c r="BI688" s="8" t="n">
        <v>15</v>
      </c>
      <c r="BJ688" s="8" t="s">
        <v>7610</v>
      </c>
      <c r="BK688" s="4" t="s">
        <v>7611</v>
      </c>
      <c r="BL688" s="8" t="s">
        <v>7610</v>
      </c>
      <c r="BM688" s="4" t="s">
        <v>7612</v>
      </c>
      <c r="BN688" s="8" t="s">
        <v>7631</v>
      </c>
      <c r="BO688" s="8" t="s">
        <v>7680</v>
      </c>
      <c r="BP688" s="8" t="s">
        <v>7608</v>
      </c>
      <c r="BQ688" s="8" t="str">
        <f aca="false">IF(A688="","",AT688)</f>
        <v>4歳以上</v>
      </c>
      <c r="BR688" s="8" t="str">
        <f aca="false">IF(A688="","",IF(BA688&lt;=1200,"～1200",IF(BA688&lt;=1500,"1300～1500",IF(BA688=1600,"1600",IF(BA688&lt;=1800,"1700～1800",IF(BA688&lt;=2000,"1900～2000","2100以上"))))))</f>
        <v>1900～2000</v>
      </c>
      <c r="BS688" s="8" t="str">
        <f aca="false">IF(A688="","",IF(AX688="G1","G1",IF(AX688="G2","G2",IF(AX688="G3","G3",IF(AX688="L","L","その他")))))</f>
        <v>G3</v>
      </c>
      <c r="BT688" s="8" t="str">
        <f aca="false">IF(A688="","",IF(BI688="","未結合",IF(D688=BI688,"一致","不一致")))</f>
        <v>一致</v>
      </c>
      <c r="BU688" s="8" t="str">
        <f aca="false">IF(A688="","",IF(BE688="牝馬限定","牝馬限定","その他"))</f>
        <v>その他</v>
      </c>
    </row>
    <row r="689" customFormat="false" ht="15.75" hidden="false" customHeight="false" outlineLevel="0" collapsed="false">
      <c r="A689" s="6" t="n">
        <v>46158</v>
      </c>
      <c r="B689" s="4" t="s">
        <v>13</v>
      </c>
      <c r="C689" s="8" t="n">
        <v>12</v>
      </c>
      <c r="D689" s="8" t="n">
        <v>16</v>
      </c>
      <c r="E689" s="8" t="n">
        <v>10</v>
      </c>
      <c r="F689" s="4" t="s">
        <v>3303</v>
      </c>
      <c r="G689" s="8" t="n">
        <v>58</v>
      </c>
      <c r="H689" s="8" t="n">
        <v>11</v>
      </c>
      <c r="I689" s="4" t="s">
        <v>4838</v>
      </c>
      <c r="J689" s="8" t="n">
        <v>52</v>
      </c>
      <c r="K689" s="8" t="n">
        <v>16</v>
      </c>
      <c r="L689" s="4" t="s">
        <v>5945</v>
      </c>
      <c r="M689" s="8" t="n">
        <v>50</v>
      </c>
      <c r="N689" s="8" t="n">
        <f aca="false">IF(A689="","",G689-J689)</f>
        <v>6</v>
      </c>
      <c r="O689" s="8" t="n">
        <f aca="false">IF(A689="","",J689-M689)</f>
        <v>2</v>
      </c>
      <c r="P689" s="8" t="n">
        <f aca="false">IF(A689="","",G689+J689)</f>
        <v>110</v>
      </c>
      <c r="Q689" s="8" t="str">
        <f aca="false">IF(A689="","",IF(AND(Y689&lt;&gt;"参考",G689&gt;=ルール設定!$B$2),"○",""))</f>
        <v/>
      </c>
      <c r="R689" s="8" t="str">
        <f aca="false">IF(A689="","",IF(AND(Y689&lt;&gt;"参考",G689&gt;=ルール設定!$B$3,N689&gt;=ルール設定!$B$4),"○",""))</f>
        <v/>
      </c>
      <c r="S689" s="8" t="str">
        <f aca="false">IF(A689="","",IF(AND(Y689&lt;&gt;"参考",G689&gt;=ルール設定!$B$5,J689&gt;=ルール設定!$B$6,O689&gt;=ルール設定!$B$7),"○",""))</f>
        <v/>
      </c>
      <c r="T689" s="8" t="n">
        <v>1</v>
      </c>
      <c r="U689" s="8" t="n">
        <v>2</v>
      </c>
      <c r="V689" s="8" t="str">
        <f aca="false">IF(A689="","",IF(AND(ISNUMBER(T689),ISNUMBER(U689)),IF(AND(T689&lt;=3,U689&lt;=3),"○","×"),""))</f>
        <v>○</v>
      </c>
      <c r="W689" s="8" t="n">
        <v>190</v>
      </c>
      <c r="X689" s="8" t="n">
        <v>460</v>
      </c>
      <c r="Y689" s="4" t="s">
        <v>7597</v>
      </c>
      <c r="Z689" s="4" t="s">
        <v>7886</v>
      </c>
      <c r="AA689" s="8" t="str">
        <v/>
      </c>
      <c r="AB689" s="8" t="str">
        <v/>
      </c>
      <c r="AC689" s="8" t="str">
        <v/>
      </c>
      <c r="AD689" s="8" t="str">
        <v/>
      </c>
      <c r="AE689" s="8" t="str">
        <v/>
      </c>
      <c r="AF689" s="8" t="str">
        <v/>
      </c>
      <c r="AG689" s="8" t="str">
        <v/>
      </c>
      <c r="AH689" s="8" t="str">
        <v/>
      </c>
      <c r="AI689" s="8" t="n">
        <v>8</v>
      </c>
      <c r="AJ689" s="8" t="str">
        <v>～59</v>
      </c>
      <c r="AK689" s="8" t="str">
        <v>5～9</v>
      </c>
      <c r="AL689" s="8" t="str">
        <v>0～9</v>
      </c>
      <c r="AM689" s="8" t="str">
        <v>100～119</v>
      </c>
      <c r="AN689" s="8" t="str">
        <v>15以上</v>
      </c>
      <c r="AO689" s="8" t="str">
        <f aca="false">IF(A689="","",IF(COUNTIFS(全馬データ!$A$2:$A$50000,A689,全馬データ!$B$2:$B$50000,B689,全馬データ!$C$2:$C$50000,C689,全馬データ!$D$2:$D$50000,E689,全馬データ!$K$2:$K$50000,"&lt;&gt;")=0,"",SUMIFS(全馬データ!$K$2:$K$50000,全馬データ!$A$2:$A$50000,A689,全馬データ!$B$2:$B$50000,B689,全馬データ!$C$2:$C$50000,C689,全馬データ!$D$2:$D$50000,E689)))</f>
        <v/>
      </c>
      <c r="AP689" s="8" t="str">
        <f aca="false">IF(A689="","",IF(AO689="","欠損",IF(AO689&lt;=1.1,"1.0～1.1",IF(AO689&lt;1.3,"1.2",IF(AO689&lt;1.5,"1.3～1.4",IF(AO689&lt;2,"1.5～1.9","2.0以上"))))))</f>
        <v>欠損</v>
      </c>
      <c r="AQ689" s="8" t="str">
        <f aca="false">IF(A689="","",IF(ISNUMBER(SEARCH("2歳",Z689)),"2歳戦",IF(ISNUMBER(SEARCH("3歳未勝利",Z689)),"3歳未勝利",IF(ISNUMBER(SEARCH("未勝利",Z689)),"その他未勝利",IF(ISNUMBER(SEARCH("G1",Z689)),"G1",IF(ISNUMBER(SEARCH("G2",Z689)),"G2",IF(ISNUMBER(SEARCH("G3",Z689)),"G3",IF(ISNUMBER(SEARCH("古馬条件",Z689)),"古馬条件戦",IF(ISNUMBER(SEARCH("重賞",Z689)),"重賞","分類不能")))))))))</f>
        <v>分類不能</v>
      </c>
      <c r="AR689" s="8"/>
      <c r="AS689" s="8" t="s">
        <v>7842</v>
      </c>
      <c r="AT689" s="8" t="s">
        <v>7843</v>
      </c>
      <c r="AU689" s="8" t="s">
        <v>7628</v>
      </c>
      <c r="AV689" s="8" t="s">
        <v>7629</v>
      </c>
      <c r="AW689" s="8"/>
      <c r="AX689" s="8"/>
      <c r="AY689" s="8" t="s">
        <v>7602</v>
      </c>
      <c r="AZ689" s="4" t="s">
        <v>7603</v>
      </c>
      <c r="BA689" s="8" t="n">
        <v>1400</v>
      </c>
      <c r="BB689" s="8" t="s">
        <v>7598</v>
      </c>
      <c r="BC689" s="4" t="s">
        <v>7604</v>
      </c>
      <c r="BD689" s="8" t="s">
        <v>7625</v>
      </c>
      <c r="BE689" s="4" t="s">
        <v>7606</v>
      </c>
      <c r="BF689" s="8" t="s">
        <v>7607</v>
      </c>
      <c r="BG689" s="8" t="s">
        <v>7631</v>
      </c>
      <c r="BH689" s="4" t="s">
        <v>7632</v>
      </c>
      <c r="BI689" s="8" t="n">
        <v>16</v>
      </c>
      <c r="BJ689" s="8" t="s">
        <v>7610</v>
      </c>
      <c r="BK689" s="4" t="s">
        <v>7611</v>
      </c>
      <c r="BL689" s="8" t="s">
        <v>7602</v>
      </c>
      <c r="BM689" s="4" t="s">
        <v>7620</v>
      </c>
      <c r="BN689" s="8" t="s">
        <v>7631</v>
      </c>
      <c r="BO689" s="8" t="s">
        <v>7680</v>
      </c>
      <c r="BP689" s="8" t="s">
        <v>7608</v>
      </c>
      <c r="BQ689" s="8" t="str">
        <f aca="false">IF(A689="","",AT689)</f>
        <v>4歳以上</v>
      </c>
      <c r="BR689" s="8" t="str">
        <f aca="false">IF(A689="","",IF(BA689&lt;=1200,"～1200",IF(BA689&lt;=1500,"1300～1500",IF(BA689=1600,"1600",IF(BA689&lt;=1800,"1700～1800",IF(BA689&lt;=2000,"1900～2000","2100以上"))))))</f>
        <v>1300～1500</v>
      </c>
      <c r="BS689" s="8" t="str">
        <f aca="false">IF(A689="","",IF(AX689="G1","G1",IF(AX689="G2","G2",IF(AX689="G3","G3",IF(AX689="L","L","その他")))))</f>
        <v>その他</v>
      </c>
      <c r="BT689" s="8" t="str">
        <f aca="false">IF(A689="","",IF(BI689="","未結合",IF(D689=BI689,"一致","不一致")))</f>
        <v>一致</v>
      </c>
      <c r="BU689" s="8" t="str">
        <f aca="false">IF(A689="","",IF(BE689="牝馬限定","牝馬限定","その他"))</f>
        <v>その他</v>
      </c>
    </row>
    <row r="690" customFormat="false" ht="15.75" hidden="false" customHeight="false" outlineLevel="0" collapsed="false">
      <c r="A690" s="6" t="n">
        <v>46159</v>
      </c>
      <c r="B690" s="4" t="s">
        <v>4473</v>
      </c>
      <c r="C690" s="8" t="n">
        <v>1</v>
      </c>
      <c r="D690" s="8" t="n">
        <v>16</v>
      </c>
      <c r="E690" s="8" t="n">
        <v>5</v>
      </c>
      <c r="F690" s="4" t="s">
        <v>2576</v>
      </c>
      <c r="G690" s="8" t="n">
        <v>56</v>
      </c>
      <c r="H690" s="8" t="n">
        <v>2</v>
      </c>
      <c r="I690" s="4" t="s">
        <v>4527</v>
      </c>
      <c r="J690" s="8" t="n">
        <v>37</v>
      </c>
      <c r="K690" s="8" t="n">
        <v>4</v>
      </c>
      <c r="L690" s="4" t="s">
        <v>3731</v>
      </c>
      <c r="M690" s="8" t="n">
        <v>34</v>
      </c>
      <c r="N690" s="8" t="n">
        <f aca="false">IF(A690="","",G690-J690)</f>
        <v>19</v>
      </c>
      <c r="O690" s="8" t="n">
        <f aca="false">IF(A690="","",J690-M690)</f>
        <v>3</v>
      </c>
      <c r="P690" s="8" t="n">
        <f aca="false">IF(A690="","",G690+J690)</f>
        <v>93</v>
      </c>
      <c r="Q690" s="8" t="str">
        <f aca="false">IF(A690="","",IF(AND(Y690&lt;&gt;"参考",G690&gt;=ルール設定!$B$2),"○",""))</f>
        <v/>
      </c>
      <c r="R690" s="8" t="str">
        <f aca="false">IF(A690="","",IF(AND(Y690&lt;&gt;"参考",G690&gt;=ルール設定!$B$3,N690&gt;=ルール設定!$B$4),"○",""))</f>
        <v/>
      </c>
      <c r="S690" s="8" t="str">
        <f aca="false">IF(A690="","",IF(AND(Y690&lt;&gt;"参考",G690&gt;=ルール設定!$B$5,J690&gt;=ルール設定!$B$6,O690&gt;=ルール設定!$B$7),"○",""))</f>
        <v/>
      </c>
      <c r="T690" s="8" t="n">
        <v>4</v>
      </c>
      <c r="U690" s="8" t="n">
        <v>1</v>
      </c>
      <c r="V690" s="8" t="str">
        <f aca="false">IF(A690="","",IF(AND(ISNUMBER(T690),ISNUMBER(U690)),IF(AND(T690&lt;=3,U690&lt;=3),"○","×"),""))</f>
        <v>×</v>
      </c>
      <c r="W690" s="8"/>
      <c r="X690" s="8"/>
      <c r="Y690" s="4" t="s">
        <v>7597</v>
      </c>
      <c r="Z690" s="4" t="s">
        <v>7886</v>
      </c>
      <c r="AA690" s="8" t="str">
        <v/>
      </c>
      <c r="AB690" s="8" t="str">
        <v/>
      </c>
      <c r="AC690" s="8" t="str">
        <v/>
      </c>
      <c r="AD690" s="8" t="str">
        <v/>
      </c>
      <c r="AE690" s="8" t="str">
        <v/>
      </c>
      <c r="AF690" s="8" t="str">
        <v/>
      </c>
      <c r="AG690" s="8" t="str">
        <v/>
      </c>
      <c r="AH690" s="8" t="str">
        <v/>
      </c>
      <c r="AI690" s="8" t="n">
        <v>22</v>
      </c>
      <c r="AJ690" s="8" t="str">
        <v>～59</v>
      </c>
      <c r="AK690" s="8" t="str">
        <v>10～19</v>
      </c>
      <c r="AL690" s="8" t="str">
        <v>20～29</v>
      </c>
      <c r="AM690" s="8" t="str">
        <v>～99</v>
      </c>
      <c r="AN690" s="8" t="str">
        <v>15以上</v>
      </c>
      <c r="AO690" s="8" t="str">
        <f aca="false">IF(A690="","",IF(COUNTIFS(全馬データ!$A$2:$A$50000,A690,全馬データ!$B$2:$B$50000,B690,全馬データ!$C$2:$C$50000,C690,全馬データ!$D$2:$D$50000,E690,全馬データ!$K$2:$K$50000,"&lt;&gt;")=0,"",SUMIFS(全馬データ!$K$2:$K$50000,全馬データ!$A$2:$A$50000,A690,全馬データ!$B$2:$B$50000,B690,全馬データ!$C$2:$C$50000,C690,全馬データ!$D$2:$D$50000,E690)))</f>
        <v/>
      </c>
      <c r="AP690" s="8" t="str">
        <f aca="false">IF(A690="","",IF(AO690="","欠損",IF(AO690&lt;=1.1,"1.0～1.1",IF(AO690&lt;1.3,"1.2",IF(AO690&lt;1.5,"1.3～1.4",IF(AO690&lt;2,"1.5～1.9","2.0以上"))))))</f>
        <v>欠損</v>
      </c>
      <c r="AQ690" s="8" t="str">
        <f aca="false">IF(A690="","",IF(ISNUMBER(SEARCH("2歳",Z690)),"2歳戦",IF(ISNUMBER(SEARCH("3歳未勝利",Z690)),"3歳未勝利",IF(ISNUMBER(SEARCH("未勝利",Z690)),"その他未勝利",IF(ISNUMBER(SEARCH("G1",Z690)),"G1",IF(ISNUMBER(SEARCH("G2",Z690)),"G2",IF(ISNUMBER(SEARCH("G3",Z690)),"G3",IF(ISNUMBER(SEARCH("古馬条件",Z690)),"古馬条件戦",IF(ISNUMBER(SEARCH("重賞",Z690)),"重賞","分類不能")))))))))</f>
        <v>分類不能</v>
      </c>
      <c r="AR690" s="8"/>
      <c r="AS690" s="8" t="s">
        <v>7623</v>
      </c>
      <c r="AT690" s="8" t="s">
        <v>7624</v>
      </c>
      <c r="AU690" s="8" t="s">
        <v>7600</v>
      </c>
      <c r="AV690" s="4" t="s">
        <v>7601</v>
      </c>
      <c r="AW690" s="8"/>
      <c r="AX690" s="8"/>
      <c r="AY690" s="8" t="s">
        <v>7610</v>
      </c>
      <c r="AZ690" s="4" t="s">
        <v>7617</v>
      </c>
      <c r="BA690" s="8" t="n">
        <v>1600</v>
      </c>
      <c r="BB690" s="8" t="s">
        <v>7598</v>
      </c>
      <c r="BC690" s="4" t="s">
        <v>7604</v>
      </c>
      <c r="BD690" s="8" t="s">
        <v>7621</v>
      </c>
      <c r="BE690" s="4" t="s">
        <v>7622</v>
      </c>
      <c r="BF690" s="8" t="s">
        <v>7602</v>
      </c>
      <c r="BG690" s="8" t="s">
        <v>7608</v>
      </c>
      <c r="BH690" s="4" t="s">
        <v>7609</v>
      </c>
      <c r="BI690" s="8" t="n">
        <v>16</v>
      </c>
      <c r="BJ690" s="8" t="s">
        <v>7610</v>
      </c>
      <c r="BK690" s="4" t="s">
        <v>7611</v>
      </c>
      <c r="BL690" s="8" t="s">
        <v>7602</v>
      </c>
      <c r="BM690" s="4" t="s">
        <v>7620</v>
      </c>
      <c r="BN690" s="8"/>
      <c r="BO690" s="8"/>
      <c r="BP690" s="8" t="s">
        <v>7602</v>
      </c>
      <c r="BQ690" s="8" t="str">
        <f aca="false">IF(A690="","",AT690)</f>
        <v>3歳</v>
      </c>
      <c r="BR690" s="8" t="str">
        <f aca="false">IF(A690="","",IF(BA690&lt;=1200,"～1200",IF(BA690&lt;=1500,"1300～1500",IF(BA690=1600,"1600",IF(BA690&lt;=1800,"1700～1800",IF(BA690&lt;=2000,"1900～2000","2100以上"))))))</f>
        <v>1600</v>
      </c>
      <c r="BS690" s="8" t="str">
        <f aca="false">IF(A690="","",IF(AX690="G1","G1",IF(AX690="G2","G2",IF(AX690="G3","G3",IF(AX690="L","L","その他")))))</f>
        <v>その他</v>
      </c>
      <c r="BT690" s="8" t="str">
        <f aca="false">IF(A690="","",IF(BI690="","未結合",IF(D690=BI690,"一致","不一致")))</f>
        <v>一致</v>
      </c>
      <c r="BU690" s="8" t="str">
        <f aca="false">IF(A690="","",IF(BE690="牝馬限定","牝馬限定","その他"))</f>
        <v>牝馬限定</v>
      </c>
    </row>
    <row r="691" customFormat="false" ht="15.75" hidden="false" customHeight="false" outlineLevel="0" collapsed="false">
      <c r="A691" s="6" t="n">
        <v>46159</v>
      </c>
      <c r="B691" s="4" t="s">
        <v>4473</v>
      </c>
      <c r="C691" s="8" t="n">
        <v>2</v>
      </c>
      <c r="D691" s="8" t="n">
        <v>16</v>
      </c>
      <c r="E691" s="8" t="n">
        <v>14</v>
      </c>
      <c r="F691" s="4" t="s">
        <v>4728</v>
      </c>
      <c r="G691" s="8" t="n">
        <v>74</v>
      </c>
      <c r="H691" s="8" t="n">
        <v>5</v>
      </c>
      <c r="I691" s="4" t="s">
        <v>60</v>
      </c>
      <c r="J691" s="8" t="n">
        <v>47</v>
      </c>
      <c r="K691" s="8" t="n">
        <v>10</v>
      </c>
      <c r="L691" s="4" t="s">
        <v>6347</v>
      </c>
      <c r="M691" s="8" t="n">
        <v>23</v>
      </c>
      <c r="N691" s="8" t="n">
        <f aca="false">IF(A691="","",G691-J691)</f>
        <v>27</v>
      </c>
      <c r="O691" s="8" t="n">
        <f aca="false">IF(A691="","",J691-M691)</f>
        <v>24</v>
      </c>
      <c r="P691" s="8" t="n">
        <f aca="false">IF(A691="","",G691+J691)</f>
        <v>121</v>
      </c>
      <c r="Q691" s="8" t="str">
        <f aca="false">IF(A691="","",IF(AND(Y691&lt;&gt;"参考",G691&gt;=ルール設定!$B$2),"○",""))</f>
        <v/>
      </c>
      <c r="R691" s="8" t="str">
        <f aca="false">IF(A691="","",IF(AND(Y691&lt;&gt;"参考",G691&gt;=ルール設定!$B$3,N691&gt;=ルール設定!$B$4),"○",""))</f>
        <v/>
      </c>
      <c r="S691" s="8" t="str">
        <f aca="false">IF(A691="","",IF(AND(Y691&lt;&gt;"参考",G691&gt;=ルール設定!$B$5,J691&gt;=ルール設定!$B$6,O691&gt;=ルール設定!$B$7),"○",""))</f>
        <v/>
      </c>
      <c r="T691" s="8" t="n">
        <v>1</v>
      </c>
      <c r="U691" s="8" t="n">
        <v>2</v>
      </c>
      <c r="V691" s="8" t="str">
        <f aca="false">IF(A691="","",IF(AND(ISNUMBER(T691),ISNUMBER(U691)),IF(AND(T691&lt;=3,U691&lt;=3),"○","×"),""))</f>
        <v>○</v>
      </c>
      <c r="W691" s="8" t="n">
        <v>110</v>
      </c>
      <c r="X691" s="8" t="n">
        <v>180</v>
      </c>
      <c r="Y691" s="4" t="s">
        <v>7597</v>
      </c>
      <c r="Z691" s="4" t="s">
        <v>7886</v>
      </c>
      <c r="AA691" s="8" t="str">
        <v/>
      </c>
      <c r="AB691" s="8" t="str">
        <v/>
      </c>
      <c r="AC691" s="8" t="str">
        <v/>
      </c>
      <c r="AD691" s="8" t="str">
        <v/>
      </c>
      <c r="AE691" s="8" t="str">
        <v/>
      </c>
      <c r="AF691" s="8" t="str">
        <v/>
      </c>
      <c r="AG691" s="8" t="str">
        <v/>
      </c>
      <c r="AH691" s="8" t="str">
        <v/>
      </c>
      <c r="AI691" s="8" t="n">
        <v>51</v>
      </c>
      <c r="AJ691" s="8" t="str">
        <v>70～74</v>
      </c>
      <c r="AK691" s="8" t="str">
        <v>20～29</v>
      </c>
      <c r="AL691" s="8" t="str">
        <v>40以上</v>
      </c>
      <c r="AM691" s="8" t="str">
        <v>120～139</v>
      </c>
      <c r="AN691" s="8" t="str">
        <v>15以上</v>
      </c>
      <c r="AO691" s="8" t="str">
        <f aca="false">IF(A691="","",IF(COUNTIFS(全馬データ!$A$2:$A$50000,A691,全馬データ!$B$2:$B$50000,B691,全馬データ!$C$2:$C$50000,C691,全馬データ!$D$2:$D$50000,E691,全馬データ!$K$2:$K$50000,"&lt;&gt;")=0,"",SUMIFS(全馬データ!$K$2:$K$50000,全馬データ!$A$2:$A$50000,A691,全馬データ!$B$2:$B$50000,B691,全馬データ!$C$2:$C$50000,C691,全馬データ!$D$2:$D$50000,E691)))</f>
        <v/>
      </c>
      <c r="AP691" s="8" t="str">
        <f aca="false">IF(A691="","",IF(AO691="","欠損",IF(AO691&lt;=1.1,"1.0～1.1",IF(AO691&lt;1.3,"1.2",IF(AO691&lt;1.5,"1.3～1.4",IF(AO691&lt;2,"1.5～1.9","2.0以上"))))))</f>
        <v>欠損</v>
      </c>
      <c r="AQ691" s="8" t="str">
        <f aca="false">IF(A691="","",IF(ISNUMBER(SEARCH("2歳",Z691)),"2歳戦",IF(ISNUMBER(SEARCH("3歳未勝利",Z691)),"3歳未勝利",IF(ISNUMBER(SEARCH("未勝利",Z691)),"その他未勝利",IF(ISNUMBER(SEARCH("G1",Z691)),"G1",IF(ISNUMBER(SEARCH("G2",Z691)),"G2",IF(ISNUMBER(SEARCH("G3",Z691)),"G3",IF(ISNUMBER(SEARCH("古馬条件",Z691)),"古馬条件戦",IF(ISNUMBER(SEARCH("重賞",Z691)),"重賞","分類不能")))))))))</f>
        <v>分類不能</v>
      </c>
      <c r="AR691" s="8"/>
      <c r="AS691" s="8" t="s">
        <v>7623</v>
      </c>
      <c r="AT691" s="8" t="s">
        <v>7624</v>
      </c>
      <c r="AU691" s="8" t="s">
        <v>7600</v>
      </c>
      <c r="AV691" s="4" t="s">
        <v>7601</v>
      </c>
      <c r="AW691" s="8"/>
      <c r="AX691" s="8"/>
      <c r="AY691" s="8" t="s">
        <v>7610</v>
      </c>
      <c r="AZ691" s="4" t="s">
        <v>7617</v>
      </c>
      <c r="BA691" s="8" t="n">
        <v>1400</v>
      </c>
      <c r="BB691" s="8" t="s">
        <v>7598</v>
      </c>
      <c r="BC691" s="4" t="s">
        <v>7604</v>
      </c>
      <c r="BD691" s="8" t="s">
        <v>7625</v>
      </c>
      <c r="BE691" s="4" t="s">
        <v>7606</v>
      </c>
      <c r="BF691" s="8" t="s">
        <v>7607</v>
      </c>
      <c r="BG691" s="8" t="s">
        <v>7608</v>
      </c>
      <c r="BH691" s="4" t="s">
        <v>7609</v>
      </c>
      <c r="BI691" s="8" t="n">
        <v>16</v>
      </c>
      <c r="BJ691" s="8" t="s">
        <v>7610</v>
      </c>
      <c r="BK691" s="4" t="s">
        <v>7611</v>
      </c>
      <c r="BL691" s="8" t="s">
        <v>7602</v>
      </c>
      <c r="BM691" s="4" t="s">
        <v>7620</v>
      </c>
      <c r="BN691" s="8"/>
      <c r="BO691" s="8"/>
      <c r="BP691" s="8" t="s">
        <v>7602</v>
      </c>
      <c r="BQ691" s="8" t="str">
        <f aca="false">IF(A691="","",AT691)</f>
        <v>3歳</v>
      </c>
      <c r="BR691" s="8" t="str">
        <f aca="false">IF(A691="","",IF(BA691&lt;=1200,"～1200",IF(BA691&lt;=1500,"1300～1500",IF(BA691=1600,"1600",IF(BA691&lt;=1800,"1700～1800",IF(BA691&lt;=2000,"1900～2000","2100以上"))))))</f>
        <v>1300～1500</v>
      </c>
      <c r="BS691" s="8" t="str">
        <f aca="false">IF(A691="","",IF(AX691="G1","G1",IF(AX691="G2","G2",IF(AX691="G3","G3",IF(AX691="L","L","その他")))))</f>
        <v>その他</v>
      </c>
      <c r="BT691" s="8" t="str">
        <f aca="false">IF(A691="","",IF(BI691="","未結合",IF(D691=BI691,"一致","不一致")))</f>
        <v>一致</v>
      </c>
      <c r="BU691" s="8" t="str">
        <f aca="false">IF(A691="","",IF(BE691="牝馬限定","牝馬限定","その他"))</f>
        <v>その他</v>
      </c>
    </row>
    <row r="692" customFormat="false" ht="15.75" hidden="false" customHeight="false" outlineLevel="0" collapsed="false">
      <c r="A692" s="6" t="n">
        <v>46159</v>
      </c>
      <c r="B692" s="4" t="s">
        <v>4473</v>
      </c>
      <c r="C692" s="8" t="n">
        <v>3</v>
      </c>
      <c r="D692" s="8" t="n">
        <v>12</v>
      </c>
      <c r="E692" s="8" t="n">
        <v>4</v>
      </c>
      <c r="F692" s="4" t="s">
        <v>3957</v>
      </c>
      <c r="G692" s="8" t="n">
        <v>56</v>
      </c>
      <c r="H692" s="8" t="n">
        <v>2</v>
      </c>
      <c r="I692" s="4" t="s">
        <v>358</v>
      </c>
      <c r="J692" s="8" t="n">
        <v>41</v>
      </c>
      <c r="K692" s="8" t="n">
        <v>8</v>
      </c>
      <c r="L692" s="4" t="s">
        <v>2694</v>
      </c>
      <c r="M692" s="8" t="n">
        <v>41</v>
      </c>
      <c r="N692" s="8" t="n">
        <f aca="false">IF(A692="","",G692-J692)</f>
        <v>15</v>
      </c>
      <c r="O692" s="8" t="n">
        <f aca="false">IF(A692="","",J692-M692)</f>
        <v>0</v>
      </c>
      <c r="P692" s="8" t="n">
        <f aca="false">IF(A692="","",G692+J692)</f>
        <v>97</v>
      </c>
      <c r="Q692" s="8" t="str">
        <f aca="false">IF(A692="","",IF(AND(Y692&lt;&gt;"参考",G692&gt;=ルール設定!$B$2),"○",""))</f>
        <v/>
      </c>
      <c r="R692" s="8" t="str">
        <f aca="false">IF(A692="","",IF(AND(Y692&lt;&gt;"参考",G692&gt;=ルール設定!$B$3,N692&gt;=ルール設定!$B$4),"○",""))</f>
        <v/>
      </c>
      <c r="S692" s="8" t="str">
        <f aca="false">IF(A692="","",IF(AND(Y692&lt;&gt;"参考",G692&gt;=ルール設定!$B$5,J692&gt;=ルール設定!$B$6,O692&gt;=ルール設定!$B$7),"○",""))</f>
        <v/>
      </c>
      <c r="T692" s="8" t="n">
        <v>1</v>
      </c>
      <c r="U692" s="8" t="n">
        <v>2</v>
      </c>
      <c r="V692" s="8" t="str">
        <f aca="false">IF(A692="","",IF(AND(ISNUMBER(T692),ISNUMBER(U692)),IF(AND(T692&lt;=3,U692&lt;=3),"○","×"),""))</f>
        <v>○</v>
      </c>
      <c r="W692" s="8" t="n">
        <v>140</v>
      </c>
      <c r="X692" s="8" t="n">
        <v>230</v>
      </c>
      <c r="Y692" s="4" t="s">
        <v>7597</v>
      </c>
      <c r="Z692" s="4" t="s">
        <v>7886</v>
      </c>
      <c r="AA692" s="8" t="str">
        <v/>
      </c>
      <c r="AB692" s="8" t="str">
        <v/>
      </c>
      <c r="AC692" s="8" t="str">
        <v/>
      </c>
      <c r="AD692" s="8" t="str">
        <v/>
      </c>
      <c r="AE692" s="8" t="str">
        <v/>
      </c>
      <c r="AF692" s="8" t="str">
        <v/>
      </c>
      <c r="AG692" s="8" t="str">
        <v/>
      </c>
      <c r="AH692" s="8" t="str">
        <v/>
      </c>
      <c r="AI692" s="8" t="n">
        <v>15</v>
      </c>
      <c r="AJ692" s="8" t="str">
        <v>～59</v>
      </c>
      <c r="AK692" s="8" t="str">
        <v>10～19</v>
      </c>
      <c r="AL692" s="8" t="str">
        <v>10～19</v>
      </c>
      <c r="AM692" s="8" t="str">
        <v>～99</v>
      </c>
      <c r="AN692" s="8" t="str">
        <v>12～14</v>
      </c>
      <c r="AO692" s="8" t="str">
        <f aca="false">IF(A692="","",IF(COUNTIFS(全馬データ!$A$2:$A$50000,A692,全馬データ!$B$2:$B$50000,B692,全馬データ!$C$2:$C$50000,C692,全馬データ!$D$2:$D$50000,E692,全馬データ!$K$2:$K$50000,"&lt;&gt;")=0,"",SUMIFS(全馬データ!$K$2:$K$50000,全馬データ!$A$2:$A$50000,A692,全馬データ!$B$2:$B$50000,B692,全馬データ!$C$2:$C$50000,C692,全馬データ!$D$2:$D$50000,E692)))</f>
        <v/>
      </c>
      <c r="AP692" s="8" t="str">
        <f aca="false">IF(A692="","",IF(AO692="","欠損",IF(AO692&lt;=1.1,"1.0～1.1",IF(AO692&lt;1.3,"1.2",IF(AO692&lt;1.5,"1.3～1.4",IF(AO692&lt;2,"1.5～1.9","2.0以上"))))))</f>
        <v>欠損</v>
      </c>
      <c r="AQ692" s="8" t="str">
        <f aca="false">IF(A692="","",IF(ISNUMBER(SEARCH("2歳",Z692)),"2歳戦",IF(ISNUMBER(SEARCH("3歳未勝利",Z692)),"3歳未勝利",IF(ISNUMBER(SEARCH("未勝利",Z692)),"その他未勝利",IF(ISNUMBER(SEARCH("G1",Z692)),"G1",IF(ISNUMBER(SEARCH("G2",Z692)),"G2",IF(ISNUMBER(SEARCH("G3",Z692)),"G3",IF(ISNUMBER(SEARCH("古馬条件",Z692)),"古馬条件戦",IF(ISNUMBER(SEARCH("重賞",Z692)),"重賞","分類不能")))))))))</f>
        <v>分類不能</v>
      </c>
      <c r="AR692" s="8"/>
      <c r="AS692" s="8" t="s">
        <v>7623</v>
      </c>
      <c r="AT692" s="8" t="s">
        <v>7624</v>
      </c>
      <c r="AU692" s="8" t="s">
        <v>7600</v>
      </c>
      <c r="AV692" s="4" t="s">
        <v>7601</v>
      </c>
      <c r="AW692" s="8"/>
      <c r="AX692" s="8"/>
      <c r="AY692" s="8" t="s">
        <v>7610</v>
      </c>
      <c r="AZ692" s="4" t="s">
        <v>7617</v>
      </c>
      <c r="BA692" s="8" t="n">
        <v>2100</v>
      </c>
      <c r="BB692" s="8" t="s">
        <v>7598</v>
      </c>
      <c r="BC692" s="4" t="s">
        <v>7604</v>
      </c>
      <c r="BD692" s="8" t="s">
        <v>7625</v>
      </c>
      <c r="BE692" s="4" t="s">
        <v>7606</v>
      </c>
      <c r="BF692" s="8" t="s">
        <v>7607</v>
      </c>
      <c r="BG692" s="8" t="s">
        <v>7608</v>
      </c>
      <c r="BH692" s="4" t="s">
        <v>7609</v>
      </c>
      <c r="BI692" s="8" t="n">
        <v>12</v>
      </c>
      <c r="BJ692" s="8" t="s">
        <v>7610</v>
      </c>
      <c r="BK692" s="4" t="s">
        <v>7611</v>
      </c>
      <c r="BL692" s="8" t="s">
        <v>7602</v>
      </c>
      <c r="BM692" s="4" t="s">
        <v>7620</v>
      </c>
      <c r="BN692" s="8"/>
      <c r="BO692" s="8"/>
      <c r="BP692" s="8" t="s">
        <v>7602</v>
      </c>
      <c r="BQ692" s="8" t="str">
        <f aca="false">IF(A692="","",AT692)</f>
        <v>3歳</v>
      </c>
      <c r="BR692" s="8" t="str">
        <f aca="false">IF(A692="","",IF(BA692&lt;=1200,"～1200",IF(BA692&lt;=1500,"1300～1500",IF(BA692=1600,"1600",IF(BA692&lt;=1800,"1700～1800",IF(BA692&lt;=2000,"1900～2000","2100以上"))))))</f>
        <v>2100以上</v>
      </c>
      <c r="BS692" s="8" t="str">
        <f aca="false">IF(A692="","",IF(AX692="G1","G1",IF(AX692="G2","G2",IF(AX692="G3","G3",IF(AX692="L","L","その他")))))</f>
        <v>その他</v>
      </c>
      <c r="BT692" s="8" t="str">
        <f aca="false">IF(A692="","",IF(BI692="","未結合",IF(D692=BI692,"一致","不一致")))</f>
        <v>一致</v>
      </c>
      <c r="BU692" s="8" t="str">
        <f aca="false">IF(A692="","",IF(BE692="牝馬限定","牝馬限定","その他"))</f>
        <v>その他</v>
      </c>
    </row>
    <row r="693" customFormat="false" ht="15.75" hidden="false" customHeight="false" outlineLevel="0" collapsed="false">
      <c r="A693" s="6" t="n">
        <v>46159</v>
      </c>
      <c r="B693" s="4" t="s">
        <v>4473</v>
      </c>
      <c r="C693" s="8" t="n">
        <v>4</v>
      </c>
      <c r="D693" s="8" t="n">
        <v>17</v>
      </c>
      <c r="E693" s="8" t="n">
        <v>16</v>
      </c>
      <c r="F693" s="4" t="s">
        <v>3401</v>
      </c>
      <c r="G693" s="8" t="n">
        <v>51</v>
      </c>
      <c r="H693" s="8" t="n">
        <v>5</v>
      </c>
      <c r="I693" s="4" t="s">
        <v>366</v>
      </c>
      <c r="J693" s="8" t="n">
        <v>44</v>
      </c>
      <c r="K693" s="8" t="n">
        <v>12</v>
      </c>
      <c r="L693" s="4" t="s">
        <v>511</v>
      </c>
      <c r="M693" s="8" t="n">
        <v>39</v>
      </c>
      <c r="N693" s="8" t="n">
        <f aca="false">IF(A693="","",G693-J693)</f>
        <v>7</v>
      </c>
      <c r="O693" s="8" t="n">
        <f aca="false">IF(A693="","",J693-M693)</f>
        <v>5</v>
      </c>
      <c r="P693" s="8" t="n">
        <f aca="false">IF(A693="","",G693+J693)</f>
        <v>95</v>
      </c>
      <c r="Q693" s="8" t="str">
        <f aca="false">IF(A693="","",IF(AND(Y693&lt;&gt;"参考",G693&gt;=ルール設定!$B$2),"○",""))</f>
        <v/>
      </c>
      <c r="R693" s="8" t="str">
        <f aca="false">IF(A693="","",IF(AND(Y693&lt;&gt;"参考",G693&gt;=ルール設定!$B$3,N693&gt;=ルール設定!$B$4),"○",""))</f>
        <v/>
      </c>
      <c r="S693" s="8" t="str">
        <f aca="false">IF(A693="","",IF(AND(Y693&lt;&gt;"参考",G693&gt;=ルール設定!$B$5,J693&gt;=ルール設定!$B$6,O693&gt;=ルール設定!$B$7),"○",""))</f>
        <v/>
      </c>
      <c r="T693" s="8" t="n">
        <v>1</v>
      </c>
      <c r="U693" s="8" t="n">
        <v>4</v>
      </c>
      <c r="V693" s="8" t="str">
        <f aca="false">IF(A693="","",IF(AND(ISNUMBER(T693),ISNUMBER(U693)),IF(AND(T693&lt;=3,U693&lt;=3),"○","×"),""))</f>
        <v>×</v>
      </c>
      <c r="W693" s="8" t="n">
        <v>110</v>
      </c>
      <c r="X693" s="8"/>
      <c r="Y693" s="4" t="s">
        <v>7597</v>
      </c>
      <c r="Z693" s="4" t="s">
        <v>7886</v>
      </c>
      <c r="AA693" s="8" t="str">
        <v/>
      </c>
      <c r="AB693" s="8" t="str">
        <v/>
      </c>
      <c r="AC693" s="8" t="str">
        <v/>
      </c>
      <c r="AD693" s="8" t="str">
        <v/>
      </c>
      <c r="AE693" s="8" t="str">
        <v/>
      </c>
      <c r="AF693" s="8" t="str">
        <v/>
      </c>
      <c r="AG693" s="8" t="str">
        <v/>
      </c>
      <c r="AH693" s="8" t="str">
        <v/>
      </c>
      <c r="AI693" s="8" t="n">
        <v>12</v>
      </c>
      <c r="AJ693" s="8" t="str">
        <v>～59</v>
      </c>
      <c r="AK693" s="8" t="str">
        <v>5～9</v>
      </c>
      <c r="AL693" s="8" t="str">
        <v>10～19</v>
      </c>
      <c r="AM693" s="8" t="str">
        <v>～99</v>
      </c>
      <c r="AN693" s="8" t="str">
        <v>15以上</v>
      </c>
      <c r="AO693" s="8" t="str">
        <f aca="false">IF(A693="","",IF(COUNTIFS(全馬データ!$A$2:$A$50000,A693,全馬データ!$B$2:$B$50000,B693,全馬データ!$C$2:$C$50000,C693,全馬データ!$D$2:$D$50000,E693,全馬データ!$K$2:$K$50000,"&lt;&gt;")=0,"",SUMIFS(全馬データ!$K$2:$K$50000,全馬データ!$A$2:$A$50000,A693,全馬データ!$B$2:$B$50000,B693,全馬データ!$C$2:$C$50000,C693,全馬データ!$D$2:$D$50000,E693)))</f>
        <v/>
      </c>
      <c r="AP693" s="8" t="str">
        <f aca="false">IF(A693="","",IF(AO693="","欠損",IF(AO693&lt;=1.1,"1.0～1.1",IF(AO693&lt;1.3,"1.2",IF(AO693&lt;1.5,"1.3～1.4",IF(AO693&lt;2,"1.5～1.9","2.0以上"))))))</f>
        <v>欠損</v>
      </c>
      <c r="AQ693" s="8" t="str">
        <f aca="false">IF(A693="","",IF(ISNUMBER(SEARCH("2歳",Z693)),"2歳戦",IF(ISNUMBER(SEARCH("3歳未勝利",Z693)),"3歳未勝利",IF(ISNUMBER(SEARCH("未勝利",Z693)),"その他未勝利",IF(ISNUMBER(SEARCH("G1",Z693)),"G1",IF(ISNUMBER(SEARCH("G2",Z693)),"G2",IF(ISNUMBER(SEARCH("G3",Z693)),"G3",IF(ISNUMBER(SEARCH("古馬条件",Z693)),"古馬条件戦",IF(ISNUMBER(SEARCH("重賞",Z693)),"重賞","分類不能")))))))))</f>
        <v>分類不能</v>
      </c>
      <c r="AR693" s="8"/>
      <c r="AS693" s="8" t="s">
        <v>7623</v>
      </c>
      <c r="AT693" s="8" t="s">
        <v>7624</v>
      </c>
      <c r="AU693" s="8" t="s">
        <v>7600</v>
      </c>
      <c r="AV693" s="4" t="s">
        <v>7601</v>
      </c>
      <c r="AW693" s="8"/>
      <c r="AX693" s="8"/>
      <c r="AY693" s="8" t="s">
        <v>7602</v>
      </c>
      <c r="AZ693" s="4" t="s">
        <v>7603</v>
      </c>
      <c r="BA693" s="8" t="n">
        <v>1800</v>
      </c>
      <c r="BB693" s="8" t="s">
        <v>7598</v>
      </c>
      <c r="BC693" s="4" t="s">
        <v>7604</v>
      </c>
      <c r="BD693" s="8" t="s">
        <v>7625</v>
      </c>
      <c r="BE693" s="4" t="s">
        <v>7606</v>
      </c>
      <c r="BF693" s="8" t="s">
        <v>7607</v>
      </c>
      <c r="BG693" s="8" t="s">
        <v>7608</v>
      </c>
      <c r="BH693" s="4" t="s">
        <v>7609</v>
      </c>
      <c r="BI693" s="8" t="n">
        <v>17</v>
      </c>
      <c r="BJ693" s="8" t="s">
        <v>7610</v>
      </c>
      <c r="BK693" s="4" t="s">
        <v>7611</v>
      </c>
      <c r="BL693" s="8" t="s">
        <v>7602</v>
      </c>
      <c r="BM693" s="4" t="s">
        <v>7620</v>
      </c>
      <c r="BN693" s="8" t="s">
        <v>7631</v>
      </c>
      <c r="BO693" s="8" t="s">
        <v>7680</v>
      </c>
      <c r="BP693" s="8" t="s">
        <v>7602</v>
      </c>
      <c r="BQ693" s="8" t="str">
        <f aca="false">IF(A693="","",AT693)</f>
        <v>3歳</v>
      </c>
      <c r="BR693" s="8" t="str">
        <f aca="false">IF(A693="","",IF(BA693&lt;=1200,"～1200",IF(BA693&lt;=1500,"1300～1500",IF(BA693=1600,"1600",IF(BA693&lt;=1800,"1700～1800",IF(BA693&lt;=2000,"1900～2000","2100以上"))))))</f>
        <v>1700～1800</v>
      </c>
      <c r="BS693" s="8" t="str">
        <f aca="false">IF(A693="","",IF(AX693="G1","G1",IF(AX693="G2","G2",IF(AX693="G3","G3",IF(AX693="L","L","その他")))))</f>
        <v>その他</v>
      </c>
      <c r="BT693" s="8" t="str">
        <f aca="false">IF(A693="","",IF(BI693="","未結合",IF(D693=BI693,"一致","不一致")))</f>
        <v>一致</v>
      </c>
      <c r="BU693" s="8" t="str">
        <f aca="false">IF(A693="","",IF(BE693="牝馬限定","牝馬限定","その他"))</f>
        <v>その他</v>
      </c>
    </row>
    <row r="694" customFormat="false" ht="15.75" hidden="false" customHeight="false" outlineLevel="0" collapsed="false">
      <c r="A694" s="6" t="n">
        <v>46159</v>
      </c>
      <c r="B694" s="4" t="s">
        <v>4473</v>
      </c>
      <c r="C694" s="8" t="n">
        <v>5</v>
      </c>
      <c r="D694" s="8" t="n">
        <v>11</v>
      </c>
      <c r="E694" s="8" t="n">
        <v>5</v>
      </c>
      <c r="F694" s="4" t="s">
        <v>6354</v>
      </c>
      <c r="G694" s="8" t="n">
        <v>71</v>
      </c>
      <c r="H694" s="8" t="n">
        <v>10</v>
      </c>
      <c r="I694" s="4" t="s">
        <v>203</v>
      </c>
      <c r="J694" s="8" t="n">
        <v>60</v>
      </c>
      <c r="K694" s="8" t="n">
        <v>11</v>
      </c>
      <c r="L694" s="4" t="s">
        <v>1310</v>
      </c>
      <c r="M694" s="8" t="n">
        <v>52</v>
      </c>
      <c r="N694" s="8" t="n">
        <f aca="false">IF(A694="","",G694-J694)</f>
        <v>11</v>
      </c>
      <c r="O694" s="8" t="n">
        <f aca="false">IF(A694="","",J694-M694)</f>
        <v>8</v>
      </c>
      <c r="P694" s="8" t="n">
        <f aca="false">IF(A694="","",G694+J694)</f>
        <v>131</v>
      </c>
      <c r="Q694" s="8" t="str">
        <f aca="false">IF(A694="","",IF(AND(Y694&lt;&gt;"参考",G694&gt;=ルール設定!$B$2),"○",""))</f>
        <v/>
      </c>
      <c r="R694" s="8" t="str">
        <f aca="false">IF(A694="","",IF(AND(Y694&lt;&gt;"参考",G694&gt;=ルール設定!$B$3,N694&gt;=ルール設定!$B$4),"○",""))</f>
        <v/>
      </c>
      <c r="S694" s="8" t="str">
        <f aca="false">IF(A694="","",IF(AND(Y694&lt;&gt;"参考",G694&gt;=ルール設定!$B$5,J694&gt;=ルール設定!$B$6,O694&gt;=ルール設定!$B$7),"○",""))</f>
        <v/>
      </c>
      <c r="T694" s="8" t="n">
        <v>1</v>
      </c>
      <c r="U694" s="8" t="n">
        <v>4</v>
      </c>
      <c r="V694" s="8" t="str">
        <f aca="false">IF(A694="","",IF(AND(ISNUMBER(T694),ISNUMBER(U694)),IF(AND(T694&lt;=3,U694&lt;=3),"○","×"),""))</f>
        <v>×</v>
      </c>
      <c r="W694" s="8" t="n">
        <v>110</v>
      </c>
      <c r="X694" s="8"/>
      <c r="Y694" s="4" t="s">
        <v>7597</v>
      </c>
      <c r="Z694" s="4" t="s">
        <v>7886</v>
      </c>
      <c r="AA694" s="8" t="str">
        <v/>
      </c>
      <c r="AB694" s="8" t="str">
        <v/>
      </c>
      <c r="AC694" s="8" t="str">
        <v/>
      </c>
      <c r="AD694" s="8" t="str">
        <v/>
      </c>
      <c r="AE694" s="8" t="str">
        <v/>
      </c>
      <c r="AF694" s="8" t="str">
        <v/>
      </c>
      <c r="AG694" s="8" t="str">
        <v/>
      </c>
      <c r="AH694" s="8" t="str">
        <v/>
      </c>
      <c r="AI694" s="8" t="n">
        <v>19</v>
      </c>
      <c r="AJ694" s="8" t="str">
        <v>70～74</v>
      </c>
      <c r="AK694" s="8" t="str">
        <v>10～19</v>
      </c>
      <c r="AL694" s="8" t="str">
        <v>10～19</v>
      </c>
      <c r="AM694" s="8" t="str">
        <v>120～139</v>
      </c>
      <c r="AN694" s="8" t="str">
        <v>8～11</v>
      </c>
      <c r="AO694" s="8" t="str">
        <f aca="false">IF(A694="","",IF(COUNTIFS(全馬データ!$A$2:$A$50000,A694,全馬データ!$B$2:$B$50000,B694,全馬データ!$C$2:$C$50000,C694,全馬データ!$D$2:$D$50000,E694,全馬データ!$K$2:$K$50000,"&lt;&gt;")=0,"",SUMIFS(全馬データ!$K$2:$K$50000,全馬データ!$A$2:$A$50000,A694,全馬データ!$B$2:$B$50000,B694,全馬データ!$C$2:$C$50000,C694,全馬データ!$D$2:$D$50000,E694)))</f>
        <v/>
      </c>
      <c r="AP694" s="8" t="str">
        <f aca="false">IF(A694="","",IF(AO694="","欠損",IF(AO694&lt;=1.1,"1.0～1.1",IF(AO694&lt;1.3,"1.2",IF(AO694&lt;1.5,"1.3～1.4",IF(AO694&lt;2,"1.5～1.9","2.0以上"))))))</f>
        <v>欠損</v>
      </c>
      <c r="AQ694" s="8" t="str">
        <f aca="false">IF(A694="","",IF(ISNUMBER(SEARCH("2歳",Z694)),"2歳戦",IF(ISNUMBER(SEARCH("3歳未勝利",Z694)),"3歳未勝利",IF(ISNUMBER(SEARCH("未勝利",Z694)),"その他未勝利",IF(ISNUMBER(SEARCH("G1",Z694)),"G1",IF(ISNUMBER(SEARCH("G2",Z694)),"G2",IF(ISNUMBER(SEARCH("G3",Z694)),"G3",IF(ISNUMBER(SEARCH("古馬条件",Z694)),"古馬条件戦",IF(ISNUMBER(SEARCH("重賞",Z694)),"重賞","分類不能")))))))))</f>
        <v>分類不能</v>
      </c>
      <c r="AR694" s="8"/>
      <c r="AS694" s="8" t="s">
        <v>7623</v>
      </c>
      <c r="AT694" s="8" t="s">
        <v>7624</v>
      </c>
      <c r="AU694" s="8" t="s">
        <v>7600</v>
      </c>
      <c r="AV694" s="4" t="s">
        <v>7601</v>
      </c>
      <c r="AW694" s="8"/>
      <c r="AX694" s="8"/>
      <c r="AY694" s="8" t="s">
        <v>7602</v>
      </c>
      <c r="AZ694" s="4" t="s">
        <v>7603</v>
      </c>
      <c r="BA694" s="8" t="n">
        <v>2400</v>
      </c>
      <c r="BB694" s="8" t="s">
        <v>7598</v>
      </c>
      <c r="BC694" s="4" t="s">
        <v>7604</v>
      </c>
      <c r="BD694" s="8" t="s">
        <v>7605</v>
      </c>
      <c r="BE694" s="4" t="s">
        <v>7606</v>
      </c>
      <c r="BF694" s="8" t="s">
        <v>7607</v>
      </c>
      <c r="BG694" s="8" t="s">
        <v>7608</v>
      </c>
      <c r="BH694" s="4" t="s">
        <v>7609</v>
      </c>
      <c r="BI694" s="8" t="n">
        <v>11</v>
      </c>
      <c r="BJ694" s="8" t="s">
        <v>7610</v>
      </c>
      <c r="BK694" s="4" t="s">
        <v>7611</v>
      </c>
      <c r="BL694" s="8" t="s">
        <v>7602</v>
      </c>
      <c r="BM694" s="4" t="s">
        <v>7620</v>
      </c>
      <c r="BN694" s="8" t="s">
        <v>7631</v>
      </c>
      <c r="BO694" s="8" t="s">
        <v>7680</v>
      </c>
      <c r="BP694" s="8" t="s">
        <v>7602</v>
      </c>
      <c r="BQ694" s="8" t="str">
        <f aca="false">IF(A694="","",AT694)</f>
        <v>3歳</v>
      </c>
      <c r="BR694" s="8" t="str">
        <f aca="false">IF(A694="","",IF(BA694&lt;=1200,"～1200",IF(BA694&lt;=1500,"1300～1500",IF(BA694=1600,"1600",IF(BA694&lt;=1800,"1700～1800",IF(BA694&lt;=2000,"1900～2000","2100以上"))))))</f>
        <v>2100以上</v>
      </c>
      <c r="BS694" s="8" t="str">
        <f aca="false">IF(A694="","",IF(AX694="G1","G1",IF(AX694="G2","G2",IF(AX694="G3","G3",IF(AX694="L","L","その他")))))</f>
        <v>その他</v>
      </c>
      <c r="BT694" s="8" t="str">
        <f aca="false">IF(A694="","",IF(BI694="","未結合",IF(D694=BI694,"一致","不一致")))</f>
        <v>一致</v>
      </c>
      <c r="BU694" s="8" t="str">
        <f aca="false">IF(A694="","",IF(BE694="牝馬限定","牝馬限定","その他"))</f>
        <v>その他</v>
      </c>
    </row>
    <row r="695" customFormat="false" ht="15.75" hidden="false" customHeight="false" outlineLevel="0" collapsed="false">
      <c r="A695" s="6" t="n">
        <v>46159</v>
      </c>
      <c r="B695" s="4" t="s">
        <v>4473</v>
      </c>
      <c r="C695" s="8" t="n">
        <v>6</v>
      </c>
      <c r="D695" s="8" t="n">
        <v>8</v>
      </c>
      <c r="E695" s="8" t="n">
        <v>5</v>
      </c>
      <c r="F695" s="4" t="s">
        <v>6355</v>
      </c>
      <c r="G695" s="8" t="n">
        <v>58</v>
      </c>
      <c r="H695" s="8" t="n">
        <v>2</v>
      </c>
      <c r="I695" s="4" t="s">
        <v>6124</v>
      </c>
      <c r="J695" s="8" t="n">
        <v>56</v>
      </c>
      <c r="K695" s="8" t="n">
        <v>1</v>
      </c>
      <c r="L695" s="4" t="s">
        <v>3065</v>
      </c>
      <c r="M695" s="8" t="n">
        <v>52</v>
      </c>
      <c r="N695" s="8" t="n">
        <f aca="false">IF(A695="","",G695-J695)</f>
        <v>2</v>
      </c>
      <c r="O695" s="8" t="n">
        <f aca="false">IF(A695="","",J695-M695)</f>
        <v>4</v>
      </c>
      <c r="P695" s="8" t="n">
        <f aca="false">IF(A695="","",G695+J695)</f>
        <v>114</v>
      </c>
      <c r="Q695" s="8" t="str">
        <f aca="false">IF(A695="","",IF(AND(Y695&lt;&gt;"参考",G695&gt;=ルール設定!$B$2),"○",""))</f>
        <v/>
      </c>
      <c r="R695" s="8" t="str">
        <f aca="false">IF(A695="","",IF(AND(Y695&lt;&gt;"参考",G695&gt;=ルール設定!$B$3,N695&gt;=ルール設定!$B$4),"○",""))</f>
        <v/>
      </c>
      <c r="S695" s="8" t="str">
        <f aca="false">IF(A695="","",IF(AND(Y695&lt;&gt;"参考",G695&gt;=ルール設定!$B$5,J695&gt;=ルール設定!$B$6,O695&gt;=ルール設定!$B$7),"○",""))</f>
        <v/>
      </c>
      <c r="T695" s="8" t="n">
        <v>4</v>
      </c>
      <c r="U695" s="8" t="n">
        <v>4</v>
      </c>
      <c r="V695" s="8" t="str">
        <f aca="false">IF(A695="","",IF(AND(ISNUMBER(T695),ISNUMBER(U695)),IF(AND(T695&lt;=3,U695&lt;=3),"○","×"),""))</f>
        <v>×</v>
      </c>
      <c r="W695" s="8"/>
      <c r="X695" s="8"/>
      <c r="Y695" s="4" t="s">
        <v>7597</v>
      </c>
      <c r="Z695" s="4" t="s">
        <v>7886</v>
      </c>
      <c r="AA695" s="8" t="str">
        <v/>
      </c>
      <c r="AB695" s="8" t="str">
        <v/>
      </c>
      <c r="AC695" s="8" t="str">
        <v/>
      </c>
      <c r="AD695" s="8" t="str">
        <v/>
      </c>
      <c r="AE695" s="8" t="str">
        <v/>
      </c>
      <c r="AF695" s="8" t="str">
        <v/>
      </c>
      <c r="AG695" s="8" t="str">
        <v/>
      </c>
      <c r="AH695" s="8" t="str">
        <v/>
      </c>
      <c r="AI695" s="8" t="n">
        <v>6</v>
      </c>
      <c r="AJ695" s="8" t="str">
        <v>～59</v>
      </c>
      <c r="AK695" s="8" t="str">
        <v>0～4</v>
      </c>
      <c r="AL695" s="8" t="str">
        <v>0～9</v>
      </c>
      <c r="AM695" s="8" t="str">
        <v>100～119</v>
      </c>
      <c r="AN695" s="8" t="str">
        <v>8～11</v>
      </c>
      <c r="AO695" s="8" t="str">
        <f aca="false">IF(A695="","",IF(COUNTIFS(全馬データ!$A$2:$A$50000,A695,全馬データ!$B$2:$B$50000,B695,全馬データ!$C$2:$C$50000,C695,全馬データ!$D$2:$D$50000,E695,全馬データ!$K$2:$K$50000,"&lt;&gt;")=0,"",SUMIFS(全馬データ!$K$2:$K$50000,全馬データ!$A$2:$A$50000,A695,全馬データ!$B$2:$B$50000,B695,全馬データ!$C$2:$C$50000,C695,全馬データ!$D$2:$D$50000,E695)))</f>
        <v/>
      </c>
      <c r="AP695" s="8" t="str">
        <f aca="false">IF(A695="","",IF(AO695="","欠損",IF(AO695&lt;=1.1,"1.0～1.1",IF(AO695&lt;1.3,"1.2",IF(AO695&lt;1.5,"1.3～1.4",IF(AO695&lt;2,"1.5～1.9","2.0以上"))))))</f>
        <v>欠損</v>
      </c>
      <c r="AQ695" s="8" t="str">
        <f aca="false">IF(A695="","",IF(ISNUMBER(SEARCH("2歳",Z695)),"2歳戦",IF(ISNUMBER(SEARCH("3歳未勝利",Z695)),"3歳未勝利",IF(ISNUMBER(SEARCH("未勝利",Z695)),"その他未勝利",IF(ISNUMBER(SEARCH("G1",Z695)),"G1",IF(ISNUMBER(SEARCH("G2",Z695)),"G2",IF(ISNUMBER(SEARCH("G3",Z695)),"G3",IF(ISNUMBER(SEARCH("古馬条件",Z695)),"古馬条件戦",IF(ISNUMBER(SEARCH("重賞",Z695)),"重賞","分類不能")))))))))</f>
        <v>分類不能</v>
      </c>
      <c r="AR695" s="8"/>
      <c r="AS695" s="8" t="s">
        <v>7623</v>
      </c>
      <c r="AT695" s="8" t="s">
        <v>7624</v>
      </c>
      <c r="AU695" s="8" t="s">
        <v>7628</v>
      </c>
      <c r="AV695" s="8" t="s">
        <v>7629</v>
      </c>
      <c r="AW695" s="8"/>
      <c r="AX695" s="8"/>
      <c r="AY695" s="8" t="s">
        <v>7610</v>
      </c>
      <c r="AZ695" s="4" t="s">
        <v>7617</v>
      </c>
      <c r="BA695" s="8" t="n">
        <v>1600</v>
      </c>
      <c r="BB695" s="8" t="s">
        <v>7598</v>
      </c>
      <c r="BC695" s="4" t="s">
        <v>7604</v>
      </c>
      <c r="BD695" s="8" t="s">
        <v>7621</v>
      </c>
      <c r="BE695" s="4" t="s">
        <v>7622</v>
      </c>
      <c r="BF695" s="8" t="s">
        <v>7602</v>
      </c>
      <c r="BG695" s="8" t="s">
        <v>7608</v>
      </c>
      <c r="BH695" s="4" t="s">
        <v>7609</v>
      </c>
      <c r="BI695" s="8" t="n">
        <v>8</v>
      </c>
      <c r="BJ695" s="8" t="s">
        <v>7610</v>
      </c>
      <c r="BK695" s="4" t="s">
        <v>7611</v>
      </c>
      <c r="BL695" s="8" t="s">
        <v>7602</v>
      </c>
      <c r="BM695" s="4" t="s">
        <v>7620</v>
      </c>
      <c r="BN695" s="8"/>
      <c r="BO695" s="8"/>
      <c r="BP695" s="8" t="s">
        <v>7602</v>
      </c>
      <c r="BQ695" s="8" t="str">
        <f aca="false">IF(A695="","",AT695)</f>
        <v>3歳</v>
      </c>
      <c r="BR695" s="8" t="str">
        <f aca="false">IF(A695="","",IF(BA695&lt;=1200,"～1200",IF(BA695&lt;=1500,"1300～1500",IF(BA695=1600,"1600",IF(BA695&lt;=1800,"1700～1800",IF(BA695&lt;=2000,"1900～2000","2100以上"))))))</f>
        <v>1600</v>
      </c>
      <c r="BS695" s="8" t="str">
        <f aca="false">IF(A695="","",IF(AX695="G1","G1",IF(AX695="G2","G2",IF(AX695="G3","G3",IF(AX695="L","L","その他")))))</f>
        <v>その他</v>
      </c>
      <c r="BT695" s="8" t="str">
        <f aca="false">IF(A695="","",IF(BI695="","未結合",IF(D695=BI695,"一致","不一致")))</f>
        <v>一致</v>
      </c>
      <c r="BU695" s="8" t="str">
        <f aca="false">IF(A695="","",IF(BE695="牝馬限定","牝馬限定","その他"))</f>
        <v>牝馬限定</v>
      </c>
    </row>
    <row r="696" customFormat="false" ht="15.75" hidden="false" customHeight="false" outlineLevel="0" collapsed="false">
      <c r="A696" s="6" t="n">
        <v>46159</v>
      </c>
      <c r="B696" s="4" t="s">
        <v>4473</v>
      </c>
      <c r="C696" s="8" t="n">
        <v>7</v>
      </c>
      <c r="D696" s="8" t="n">
        <v>8</v>
      </c>
      <c r="E696" s="8" t="n">
        <v>6</v>
      </c>
      <c r="F696" s="4" t="s">
        <v>176</v>
      </c>
      <c r="G696" s="8" t="n">
        <v>62</v>
      </c>
      <c r="H696" s="8" t="n">
        <v>2</v>
      </c>
      <c r="I696" s="4" t="s">
        <v>3933</v>
      </c>
      <c r="J696" s="8" t="n">
        <v>47</v>
      </c>
      <c r="K696" s="8" t="n">
        <v>7</v>
      </c>
      <c r="L696" s="4" t="s">
        <v>6360</v>
      </c>
      <c r="M696" s="8" t="n">
        <v>44</v>
      </c>
      <c r="N696" s="8" t="n">
        <f aca="false">IF(A696="","",G696-J696)</f>
        <v>15</v>
      </c>
      <c r="O696" s="8" t="n">
        <f aca="false">IF(A696="","",J696-M696)</f>
        <v>3</v>
      </c>
      <c r="P696" s="8" t="n">
        <f aca="false">IF(A696="","",G696+J696)</f>
        <v>109</v>
      </c>
      <c r="Q696" s="8" t="str">
        <f aca="false">IF(A696="","",IF(AND(Y696&lt;&gt;"参考",G696&gt;=ルール設定!$B$2),"○",""))</f>
        <v/>
      </c>
      <c r="R696" s="8" t="str">
        <f aca="false">IF(A696="","",IF(AND(Y696&lt;&gt;"参考",G696&gt;=ルール設定!$B$3,N696&gt;=ルール設定!$B$4),"○",""))</f>
        <v/>
      </c>
      <c r="S696" s="8" t="str">
        <f aca="false">IF(A696="","",IF(AND(Y696&lt;&gt;"参考",G696&gt;=ルール設定!$B$5,J696&gt;=ルール設定!$B$6,O696&gt;=ルール設定!$B$7),"○",""))</f>
        <v/>
      </c>
      <c r="T696" s="8" t="n">
        <v>3</v>
      </c>
      <c r="U696" s="8" t="n">
        <v>1</v>
      </c>
      <c r="V696" s="8" t="str">
        <f aca="false">IF(A696="","",IF(AND(ISNUMBER(T696),ISNUMBER(U696)),IF(AND(T696&lt;=3,U696&lt;=3),"○","×"),""))</f>
        <v>○</v>
      </c>
      <c r="W696" s="8" t="n">
        <v>270</v>
      </c>
      <c r="X696" s="8" t="n">
        <v>500</v>
      </c>
      <c r="Y696" s="4" t="s">
        <v>7597</v>
      </c>
      <c r="Z696" s="4" t="s">
        <v>7886</v>
      </c>
      <c r="AA696" s="8" t="str">
        <v/>
      </c>
      <c r="AB696" s="8" t="str">
        <v/>
      </c>
      <c r="AC696" s="8" t="str">
        <v/>
      </c>
      <c r="AD696" s="8" t="str">
        <v/>
      </c>
      <c r="AE696" s="8" t="str">
        <v/>
      </c>
      <c r="AF696" s="8" t="str">
        <v/>
      </c>
      <c r="AG696" s="8" t="str">
        <v/>
      </c>
      <c r="AH696" s="8" t="str">
        <v/>
      </c>
      <c r="AI696" s="8" t="n">
        <v>18</v>
      </c>
      <c r="AJ696" s="8" t="str">
        <v>60～69</v>
      </c>
      <c r="AK696" s="8" t="str">
        <v>10～19</v>
      </c>
      <c r="AL696" s="8" t="str">
        <v>10～19</v>
      </c>
      <c r="AM696" s="8" t="str">
        <v>100～119</v>
      </c>
      <c r="AN696" s="8" t="str">
        <v>8～11</v>
      </c>
      <c r="AO696" s="8" t="str">
        <f aca="false">IF(A696="","",IF(COUNTIFS(全馬データ!$A$2:$A$50000,A696,全馬データ!$B$2:$B$50000,B696,全馬データ!$C$2:$C$50000,C696,全馬データ!$D$2:$D$50000,E696,全馬データ!$K$2:$K$50000,"&lt;&gt;")=0,"",SUMIFS(全馬データ!$K$2:$K$50000,全馬データ!$A$2:$A$50000,A696,全馬データ!$B$2:$B$50000,B696,全馬データ!$C$2:$C$50000,C696,全馬データ!$D$2:$D$50000,E696)))</f>
        <v/>
      </c>
      <c r="AP696" s="8" t="str">
        <f aca="false">IF(A696="","",IF(AO696="","欠損",IF(AO696&lt;=1.1,"1.0～1.1",IF(AO696&lt;1.3,"1.2",IF(AO696&lt;1.5,"1.3～1.4",IF(AO696&lt;2,"1.5～1.9","2.0以上"))))))</f>
        <v>欠損</v>
      </c>
      <c r="AQ696" s="8" t="str">
        <f aca="false">IF(A696="","",IF(ISNUMBER(SEARCH("2歳",Z696)),"2歳戦",IF(ISNUMBER(SEARCH("3歳未勝利",Z696)),"3歳未勝利",IF(ISNUMBER(SEARCH("未勝利",Z696)),"その他未勝利",IF(ISNUMBER(SEARCH("G1",Z696)),"G1",IF(ISNUMBER(SEARCH("G2",Z696)),"G2",IF(ISNUMBER(SEARCH("G3",Z696)),"G3",IF(ISNUMBER(SEARCH("古馬条件",Z696)),"古馬条件戦",IF(ISNUMBER(SEARCH("重賞",Z696)),"重賞","分類不能")))))))))</f>
        <v>分類不能</v>
      </c>
      <c r="AR696" s="8"/>
      <c r="AS696" s="8" t="s">
        <v>7623</v>
      </c>
      <c r="AT696" s="8" t="s">
        <v>7624</v>
      </c>
      <c r="AU696" s="8" t="s">
        <v>7628</v>
      </c>
      <c r="AV696" s="8" t="s">
        <v>7629</v>
      </c>
      <c r="AW696" s="8"/>
      <c r="AX696" s="8"/>
      <c r="AY696" s="8" t="s">
        <v>7602</v>
      </c>
      <c r="AZ696" s="4" t="s">
        <v>7603</v>
      </c>
      <c r="BA696" s="8" t="n">
        <v>1600</v>
      </c>
      <c r="BB696" s="8" t="s">
        <v>7598</v>
      </c>
      <c r="BC696" s="4" t="s">
        <v>7604</v>
      </c>
      <c r="BD696" s="8" t="s">
        <v>7630</v>
      </c>
      <c r="BE696" s="4" t="s">
        <v>7606</v>
      </c>
      <c r="BF696" s="8" t="s">
        <v>7607</v>
      </c>
      <c r="BG696" s="8" t="s">
        <v>7608</v>
      </c>
      <c r="BH696" s="4" t="s">
        <v>7609</v>
      </c>
      <c r="BI696" s="8" t="n">
        <v>8</v>
      </c>
      <c r="BJ696" s="8" t="s">
        <v>7610</v>
      </c>
      <c r="BK696" s="4" t="s">
        <v>7611</v>
      </c>
      <c r="BL696" s="8" t="s">
        <v>7602</v>
      </c>
      <c r="BM696" s="4" t="s">
        <v>7620</v>
      </c>
      <c r="BN696" s="8" t="s">
        <v>7631</v>
      </c>
      <c r="BO696" s="8" t="s">
        <v>7680</v>
      </c>
      <c r="BP696" s="8" t="s">
        <v>7602</v>
      </c>
      <c r="BQ696" s="8" t="str">
        <f aca="false">IF(A696="","",AT696)</f>
        <v>3歳</v>
      </c>
      <c r="BR696" s="8" t="str">
        <f aca="false">IF(A696="","",IF(BA696&lt;=1200,"～1200",IF(BA696&lt;=1500,"1300～1500",IF(BA696=1600,"1600",IF(BA696&lt;=1800,"1700～1800",IF(BA696&lt;=2000,"1900～2000","2100以上"))))))</f>
        <v>1600</v>
      </c>
      <c r="BS696" s="8" t="str">
        <f aca="false">IF(A696="","",IF(AX696="G1","G1",IF(AX696="G2","G2",IF(AX696="G3","G3",IF(AX696="L","L","その他")))))</f>
        <v>その他</v>
      </c>
      <c r="BT696" s="8" t="str">
        <f aca="false">IF(A696="","",IF(BI696="","未結合",IF(D696=BI696,"一致","不一致")))</f>
        <v>一致</v>
      </c>
      <c r="BU696" s="8" t="str">
        <f aca="false">IF(A696="","",IF(BE696="牝馬限定","牝馬限定","その他"))</f>
        <v>その他</v>
      </c>
    </row>
    <row r="697" customFormat="false" ht="15.75" hidden="false" customHeight="false" outlineLevel="0" collapsed="false">
      <c r="A697" s="6" t="n">
        <v>46159</v>
      </c>
      <c r="B697" s="4" t="s">
        <v>4473</v>
      </c>
      <c r="C697" s="8" t="n">
        <v>8</v>
      </c>
      <c r="D697" s="8" t="n">
        <v>15</v>
      </c>
      <c r="E697" s="8" t="n">
        <v>9</v>
      </c>
      <c r="F697" s="4" t="s">
        <v>1339</v>
      </c>
      <c r="G697" s="8" t="n">
        <v>44</v>
      </c>
      <c r="H697" s="8" t="n">
        <v>10</v>
      </c>
      <c r="I697" s="4" t="s">
        <v>2966</v>
      </c>
      <c r="J697" s="8" t="n">
        <v>44</v>
      </c>
      <c r="K697" s="8" t="n">
        <v>1</v>
      </c>
      <c r="L697" s="4" t="s">
        <v>1338</v>
      </c>
      <c r="M697" s="8" t="n">
        <v>37</v>
      </c>
      <c r="N697" s="8" t="n">
        <f aca="false">IF(A697="","",G697-J697)</f>
        <v>0</v>
      </c>
      <c r="O697" s="8" t="n">
        <f aca="false">IF(A697="","",J697-M697)</f>
        <v>7</v>
      </c>
      <c r="P697" s="8" t="n">
        <f aca="false">IF(A697="","",G697+J697)</f>
        <v>88</v>
      </c>
      <c r="Q697" s="8" t="str">
        <f aca="false">IF(A697="","",IF(AND(Y697&lt;&gt;"参考",G697&gt;=ルール設定!$B$2),"○",""))</f>
        <v/>
      </c>
      <c r="R697" s="8" t="str">
        <f aca="false">IF(A697="","",IF(AND(Y697&lt;&gt;"参考",G697&gt;=ルール設定!$B$3,N697&gt;=ルール設定!$B$4),"○",""))</f>
        <v/>
      </c>
      <c r="S697" s="8" t="str">
        <f aca="false">IF(A697="","",IF(AND(Y697&lt;&gt;"参考",G697&gt;=ルール設定!$B$5,J697&gt;=ルール設定!$B$6,O697&gt;=ルール設定!$B$7),"○",""))</f>
        <v/>
      </c>
      <c r="T697" s="8" t="n">
        <v>4</v>
      </c>
      <c r="U697" s="8" t="n">
        <v>4</v>
      </c>
      <c r="V697" s="8" t="str">
        <f aca="false">IF(A697="","",IF(AND(ISNUMBER(T697),ISNUMBER(U697)),IF(AND(T697&lt;=3,U697&lt;=3),"○","×"),""))</f>
        <v>×</v>
      </c>
      <c r="W697" s="8"/>
      <c r="X697" s="8"/>
      <c r="Y697" s="4" t="s">
        <v>7597</v>
      </c>
      <c r="Z697" s="4" t="s">
        <v>7886</v>
      </c>
      <c r="AA697" s="8" t="str">
        <v/>
      </c>
      <c r="AB697" s="8" t="str">
        <v/>
      </c>
      <c r="AC697" s="8" t="str">
        <v/>
      </c>
      <c r="AD697" s="8" t="str">
        <v/>
      </c>
      <c r="AE697" s="8" t="str">
        <v/>
      </c>
      <c r="AF697" s="8" t="str">
        <v/>
      </c>
      <c r="AG697" s="8" t="str">
        <v/>
      </c>
      <c r="AH697" s="8" t="str">
        <v/>
      </c>
      <c r="AI697" s="8" t="n">
        <v>7</v>
      </c>
      <c r="AJ697" s="8" t="str">
        <v>～59</v>
      </c>
      <c r="AK697" s="8" t="str">
        <v>0～4</v>
      </c>
      <c r="AL697" s="8" t="str">
        <v>0～9</v>
      </c>
      <c r="AM697" s="8" t="str">
        <v>～99</v>
      </c>
      <c r="AN697" s="8" t="str">
        <v>15以上</v>
      </c>
      <c r="AO697" s="8" t="str">
        <f aca="false">IF(A697="","",IF(COUNTIFS(全馬データ!$A$2:$A$50000,A697,全馬データ!$B$2:$B$50000,B697,全馬データ!$C$2:$C$50000,C697,全馬データ!$D$2:$D$50000,E697,全馬データ!$K$2:$K$50000,"&lt;&gt;")=0,"",SUMIFS(全馬データ!$K$2:$K$50000,全馬データ!$A$2:$A$50000,A697,全馬データ!$B$2:$B$50000,B697,全馬データ!$C$2:$C$50000,C697,全馬データ!$D$2:$D$50000,E697)))</f>
        <v/>
      </c>
      <c r="AP697" s="8" t="str">
        <f aca="false">IF(A697="","",IF(AO697="","欠損",IF(AO697&lt;=1.1,"1.0～1.1",IF(AO697&lt;1.3,"1.2",IF(AO697&lt;1.5,"1.3～1.4",IF(AO697&lt;2,"1.5～1.9","2.0以上"))))))</f>
        <v>欠損</v>
      </c>
      <c r="AQ697" s="8" t="str">
        <f aca="false">IF(A697="","",IF(ISNUMBER(SEARCH("2歳",Z697)),"2歳戦",IF(ISNUMBER(SEARCH("3歳未勝利",Z697)),"3歳未勝利",IF(ISNUMBER(SEARCH("未勝利",Z697)),"その他未勝利",IF(ISNUMBER(SEARCH("G1",Z697)),"G1",IF(ISNUMBER(SEARCH("G2",Z697)),"G2",IF(ISNUMBER(SEARCH("G3",Z697)),"G3",IF(ISNUMBER(SEARCH("古馬条件",Z697)),"古馬条件戦",IF(ISNUMBER(SEARCH("重賞",Z697)),"重賞","分類不能")))))))))</f>
        <v>分類不能</v>
      </c>
      <c r="AR697" s="8"/>
      <c r="AS697" s="8" t="s">
        <v>7842</v>
      </c>
      <c r="AT697" s="8" t="s">
        <v>7843</v>
      </c>
      <c r="AU697" s="8" t="s">
        <v>7628</v>
      </c>
      <c r="AV697" s="8" t="s">
        <v>7629</v>
      </c>
      <c r="AW697" s="8"/>
      <c r="AX697" s="8"/>
      <c r="AY697" s="8" t="s">
        <v>7602</v>
      </c>
      <c r="AZ697" s="4" t="s">
        <v>7603</v>
      </c>
      <c r="BA697" s="8" t="n">
        <v>1800</v>
      </c>
      <c r="BB697" s="8" t="s">
        <v>7598</v>
      </c>
      <c r="BC697" s="4" t="s">
        <v>7604</v>
      </c>
      <c r="BD697" s="8" t="s">
        <v>7625</v>
      </c>
      <c r="BE697" s="4" t="s">
        <v>7606</v>
      </c>
      <c r="BF697" s="8" t="s">
        <v>7607</v>
      </c>
      <c r="BG697" s="8" t="s">
        <v>7631</v>
      </c>
      <c r="BH697" s="4" t="s">
        <v>7632</v>
      </c>
      <c r="BI697" s="8" t="n">
        <v>15</v>
      </c>
      <c r="BJ697" s="8" t="s">
        <v>7610</v>
      </c>
      <c r="BK697" s="4" t="s">
        <v>7611</v>
      </c>
      <c r="BL697" s="8" t="s">
        <v>7602</v>
      </c>
      <c r="BM697" s="4" t="s">
        <v>7620</v>
      </c>
      <c r="BN697" s="8" t="s">
        <v>7631</v>
      </c>
      <c r="BO697" s="8" t="s">
        <v>7680</v>
      </c>
      <c r="BP697" s="8" t="s">
        <v>7602</v>
      </c>
      <c r="BQ697" s="8" t="str">
        <f aca="false">IF(A697="","",AT697)</f>
        <v>4歳以上</v>
      </c>
      <c r="BR697" s="8" t="str">
        <f aca="false">IF(A697="","",IF(BA697&lt;=1200,"～1200",IF(BA697&lt;=1500,"1300～1500",IF(BA697=1600,"1600",IF(BA697&lt;=1800,"1700～1800",IF(BA697&lt;=2000,"1900～2000","2100以上"))))))</f>
        <v>1700～1800</v>
      </c>
      <c r="BS697" s="8" t="str">
        <f aca="false">IF(A697="","",IF(AX697="G1","G1",IF(AX697="G2","G2",IF(AX697="G3","G3",IF(AX697="L","L","その他")))))</f>
        <v>その他</v>
      </c>
      <c r="BT697" s="8" t="str">
        <f aca="false">IF(A697="","",IF(BI697="","未結合",IF(D697=BI697,"一致","不一致")))</f>
        <v>一致</v>
      </c>
      <c r="BU697" s="8" t="str">
        <f aca="false">IF(A697="","",IF(BE697="牝馬限定","牝馬限定","その他"))</f>
        <v>その他</v>
      </c>
    </row>
    <row r="698" customFormat="false" ht="15.75" hidden="false" customHeight="false" outlineLevel="0" collapsed="false">
      <c r="A698" s="6" t="n">
        <v>46159</v>
      </c>
      <c r="B698" s="4" t="s">
        <v>4473</v>
      </c>
      <c r="C698" s="8" t="n">
        <v>9</v>
      </c>
      <c r="D698" s="8" t="n">
        <v>12</v>
      </c>
      <c r="E698" s="8" t="n">
        <v>4</v>
      </c>
      <c r="F698" s="4" t="s">
        <v>5872</v>
      </c>
      <c r="G698" s="8" t="n">
        <v>65</v>
      </c>
      <c r="H698" s="8" t="n">
        <v>12</v>
      </c>
      <c r="I698" s="4" t="s">
        <v>6372</v>
      </c>
      <c r="J698" s="8" t="n">
        <v>44</v>
      </c>
      <c r="K698" s="8" t="n">
        <v>1</v>
      </c>
      <c r="L698" s="4" t="s">
        <v>6367</v>
      </c>
      <c r="M698" s="8" t="n">
        <v>41</v>
      </c>
      <c r="N698" s="8" t="n">
        <f aca="false">IF(A698="","",G698-J698)</f>
        <v>21</v>
      </c>
      <c r="O698" s="8" t="n">
        <f aca="false">IF(A698="","",J698-M698)</f>
        <v>3</v>
      </c>
      <c r="P698" s="8" t="n">
        <f aca="false">IF(A698="","",G698+J698)</f>
        <v>109</v>
      </c>
      <c r="Q698" s="8" t="str">
        <f aca="false">IF(A698="","",IF(AND(Y698&lt;&gt;"参考",G698&gt;=ルール設定!$B$2),"○",""))</f>
        <v/>
      </c>
      <c r="R698" s="8" t="str">
        <f aca="false">IF(A698="","",IF(AND(Y698&lt;&gt;"参考",G698&gt;=ルール設定!$B$3,N698&gt;=ルール設定!$B$4),"○",""))</f>
        <v/>
      </c>
      <c r="S698" s="8" t="str">
        <f aca="false">IF(A698="","",IF(AND(Y698&lt;&gt;"参考",G698&gt;=ルール設定!$B$5,J698&gt;=ルール設定!$B$6,O698&gt;=ルール設定!$B$7),"○",""))</f>
        <v/>
      </c>
      <c r="T698" s="8" t="n">
        <v>4</v>
      </c>
      <c r="U698" s="8" t="n">
        <v>1</v>
      </c>
      <c r="V698" s="8" t="str">
        <f aca="false">IF(A698="","",IF(AND(ISNUMBER(T698),ISNUMBER(U698)),IF(AND(T698&lt;=3,U698&lt;=3),"○","×"),""))</f>
        <v>×</v>
      </c>
      <c r="W698" s="8"/>
      <c r="X698" s="8"/>
      <c r="Y698" s="4" t="s">
        <v>7597</v>
      </c>
      <c r="Z698" s="4" t="s">
        <v>7886</v>
      </c>
      <c r="AA698" s="8" t="str">
        <v/>
      </c>
      <c r="AB698" s="8" t="str">
        <v/>
      </c>
      <c r="AC698" s="8" t="str">
        <v/>
      </c>
      <c r="AD698" s="8" t="str">
        <v/>
      </c>
      <c r="AE698" s="8" t="str">
        <v/>
      </c>
      <c r="AF698" s="8" t="str">
        <v/>
      </c>
      <c r="AG698" s="8" t="str">
        <v/>
      </c>
      <c r="AH698" s="8" t="str">
        <v/>
      </c>
      <c r="AI698" s="8" t="n">
        <v>24</v>
      </c>
      <c r="AJ698" s="8" t="str">
        <v>60～69</v>
      </c>
      <c r="AK698" s="8" t="str">
        <v>20～29</v>
      </c>
      <c r="AL698" s="8" t="str">
        <v>20～29</v>
      </c>
      <c r="AM698" s="8" t="str">
        <v>100～119</v>
      </c>
      <c r="AN698" s="8" t="str">
        <v>12～14</v>
      </c>
      <c r="AO698" s="8" t="str">
        <f aca="false">IF(A698="","",IF(COUNTIFS(全馬データ!$A$2:$A$50000,A698,全馬データ!$B$2:$B$50000,B698,全馬データ!$C$2:$C$50000,C698,全馬データ!$D$2:$D$50000,E698,全馬データ!$K$2:$K$50000,"&lt;&gt;")=0,"",SUMIFS(全馬データ!$K$2:$K$50000,全馬データ!$A$2:$A$50000,A698,全馬データ!$B$2:$B$50000,B698,全馬データ!$C$2:$C$50000,C698,全馬データ!$D$2:$D$50000,E698)))</f>
        <v/>
      </c>
      <c r="AP698" s="8" t="str">
        <f aca="false">IF(A698="","",IF(AO698="","欠損",IF(AO698&lt;=1.1,"1.0～1.1",IF(AO698&lt;1.3,"1.2",IF(AO698&lt;1.5,"1.3～1.4",IF(AO698&lt;2,"1.5～1.9","2.0以上"))))))</f>
        <v>欠損</v>
      </c>
      <c r="AQ698" s="8" t="str">
        <f aca="false">IF(A698="","",IF(ISNUMBER(SEARCH("2歳",Z698)),"2歳戦",IF(ISNUMBER(SEARCH("3歳未勝利",Z698)),"3歳未勝利",IF(ISNUMBER(SEARCH("未勝利",Z698)),"その他未勝利",IF(ISNUMBER(SEARCH("G1",Z698)),"G1",IF(ISNUMBER(SEARCH("G2",Z698)),"G2",IF(ISNUMBER(SEARCH("G3",Z698)),"G3",IF(ISNUMBER(SEARCH("古馬条件",Z698)),"古馬条件戦",IF(ISNUMBER(SEARCH("重賞",Z698)),"重賞","分類不能")))))))))</f>
        <v>分類不能</v>
      </c>
      <c r="AR698" s="4" t="s">
        <v>7897</v>
      </c>
      <c r="AS698" s="8" t="s">
        <v>7842</v>
      </c>
      <c r="AT698" s="8" t="s">
        <v>7843</v>
      </c>
      <c r="AU698" s="8" t="s">
        <v>7634</v>
      </c>
      <c r="AV698" s="8" t="s">
        <v>7635</v>
      </c>
      <c r="AW698" s="8" t="s">
        <v>7636</v>
      </c>
      <c r="AX698" s="4" t="s">
        <v>7637</v>
      </c>
      <c r="AY698" s="8" t="s">
        <v>7602</v>
      </c>
      <c r="AZ698" s="4" t="s">
        <v>7603</v>
      </c>
      <c r="BA698" s="8" t="n">
        <v>1600</v>
      </c>
      <c r="BB698" s="8" t="s">
        <v>7598</v>
      </c>
      <c r="BC698" s="4" t="s">
        <v>7604</v>
      </c>
      <c r="BD698" s="8" t="s">
        <v>7630</v>
      </c>
      <c r="BE698" s="4" t="s">
        <v>7606</v>
      </c>
      <c r="BF698" s="8" t="s">
        <v>7607</v>
      </c>
      <c r="BG698" s="8" t="s">
        <v>7631</v>
      </c>
      <c r="BH698" s="4" t="s">
        <v>7632</v>
      </c>
      <c r="BI698" s="8" t="n">
        <v>12</v>
      </c>
      <c r="BJ698" s="8" t="s">
        <v>7610</v>
      </c>
      <c r="BK698" s="4" t="s">
        <v>7611</v>
      </c>
      <c r="BL698" s="8" t="s">
        <v>7602</v>
      </c>
      <c r="BM698" s="4" t="s">
        <v>7620</v>
      </c>
      <c r="BN698" s="8" t="s">
        <v>7631</v>
      </c>
      <c r="BO698" s="8" t="s">
        <v>7680</v>
      </c>
      <c r="BP698" s="8" t="s">
        <v>7602</v>
      </c>
      <c r="BQ698" s="8" t="str">
        <f aca="false">IF(A698="","",AT698)</f>
        <v>4歳以上</v>
      </c>
      <c r="BR698" s="8" t="str">
        <f aca="false">IF(A698="","",IF(BA698&lt;=1200,"～1200",IF(BA698&lt;=1500,"1300～1500",IF(BA698=1600,"1600",IF(BA698&lt;=1800,"1700～1800",IF(BA698&lt;=2000,"1900～2000","2100以上"))))))</f>
        <v>1600</v>
      </c>
      <c r="BS698" s="8" t="str">
        <f aca="false">IF(A698="","",IF(AX698="G1","G1",IF(AX698="G2","G2",IF(AX698="G3","G3",IF(AX698="L","L","その他")))))</f>
        <v>その他</v>
      </c>
      <c r="BT698" s="8" t="str">
        <f aca="false">IF(A698="","",IF(BI698="","未結合",IF(D698=BI698,"一致","不一致")))</f>
        <v>一致</v>
      </c>
      <c r="BU698" s="8" t="str">
        <f aca="false">IF(A698="","",IF(BE698="牝馬限定","牝馬限定","その他"))</f>
        <v>その他</v>
      </c>
    </row>
    <row r="699" customFormat="false" ht="15.75" hidden="false" customHeight="false" outlineLevel="0" collapsed="false">
      <c r="A699" s="6" t="n">
        <v>46159</v>
      </c>
      <c r="B699" s="4" t="s">
        <v>4473</v>
      </c>
      <c r="C699" s="8" t="n">
        <v>10</v>
      </c>
      <c r="D699" s="8" t="n">
        <v>15</v>
      </c>
      <c r="E699" s="8" t="n">
        <v>1</v>
      </c>
      <c r="F699" s="4" t="s">
        <v>1046</v>
      </c>
      <c r="G699" s="8" t="n">
        <v>50</v>
      </c>
      <c r="H699" s="8" t="n">
        <v>14</v>
      </c>
      <c r="I699" s="4" t="s">
        <v>2514</v>
      </c>
      <c r="J699" s="8" t="n">
        <v>41</v>
      </c>
      <c r="K699" s="8" t="n">
        <v>8</v>
      </c>
      <c r="L699" s="4" t="s">
        <v>2785</v>
      </c>
      <c r="M699" s="8" t="n">
        <v>39</v>
      </c>
      <c r="N699" s="8" t="n">
        <f aca="false">IF(A699="","",G699-J699)</f>
        <v>9</v>
      </c>
      <c r="O699" s="8" t="n">
        <f aca="false">IF(A699="","",J699-M699)</f>
        <v>2</v>
      </c>
      <c r="P699" s="8" t="n">
        <f aca="false">IF(A699="","",G699+J699)</f>
        <v>91</v>
      </c>
      <c r="Q699" s="8" t="str">
        <f aca="false">IF(A699="","",IF(AND(Y699&lt;&gt;"参考",G699&gt;=ルール設定!$B$2),"○",""))</f>
        <v/>
      </c>
      <c r="R699" s="8" t="str">
        <f aca="false">IF(A699="","",IF(AND(Y699&lt;&gt;"参考",G699&gt;=ルール設定!$B$3,N699&gt;=ルール設定!$B$4),"○",""))</f>
        <v/>
      </c>
      <c r="S699" s="8" t="str">
        <f aca="false">IF(A699="","",IF(AND(Y699&lt;&gt;"参考",G699&gt;=ルール設定!$B$5,J699&gt;=ルール設定!$B$6,O699&gt;=ルール設定!$B$7),"○",""))</f>
        <v/>
      </c>
      <c r="T699" s="8" t="n">
        <v>4</v>
      </c>
      <c r="U699" s="8" t="n">
        <v>4</v>
      </c>
      <c r="V699" s="8" t="str">
        <f aca="false">IF(A699="","",IF(AND(ISNUMBER(T699),ISNUMBER(U699)),IF(AND(T699&lt;=3,U699&lt;=3),"○","×"),""))</f>
        <v>×</v>
      </c>
      <c r="W699" s="8"/>
      <c r="X699" s="8"/>
      <c r="Y699" s="4" t="s">
        <v>7597</v>
      </c>
      <c r="Z699" s="4" t="s">
        <v>7886</v>
      </c>
      <c r="AA699" s="8" t="str">
        <v/>
      </c>
      <c r="AB699" s="8" t="str">
        <v/>
      </c>
      <c r="AC699" s="8" t="str">
        <v/>
      </c>
      <c r="AD699" s="8" t="str">
        <v/>
      </c>
      <c r="AE699" s="8" t="str">
        <v/>
      </c>
      <c r="AF699" s="8" t="str">
        <v/>
      </c>
      <c r="AG699" s="8" t="str">
        <v/>
      </c>
      <c r="AH699" s="8" t="str">
        <v/>
      </c>
      <c r="AI699" s="8" t="n">
        <v>11</v>
      </c>
      <c r="AJ699" s="8" t="str">
        <v>～59</v>
      </c>
      <c r="AK699" s="8" t="str">
        <v>5～9</v>
      </c>
      <c r="AL699" s="8" t="str">
        <v>10～19</v>
      </c>
      <c r="AM699" s="8" t="str">
        <v>～99</v>
      </c>
      <c r="AN699" s="8" t="str">
        <v>15以上</v>
      </c>
      <c r="AO699" s="8" t="str">
        <f aca="false">IF(A699="","",IF(COUNTIFS(全馬データ!$A$2:$A$50000,A699,全馬データ!$B$2:$B$50000,B699,全馬データ!$C$2:$C$50000,C699,全馬データ!$D$2:$D$50000,E699,全馬データ!$K$2:$K$50000,"&lt;&gt;")=0,"",SUMIFS(全馬データ!$K$2:$K$50000,全馬データ!$A$2:$A$50000,A699,全馬データ!$B$2:$B$50000,B699,全馬データ!$C$2:$C$50000,C699,全馬データ!$D$2:$D$50000,E699)))</f>
        <v/>
      </c>
      <c r="AP699" s="8" t="str">
        <f aca="false">IF(A699="","",IF(AO699="","欠損",IF(AO699&lt;=1.1,"1.0～1.1",IF(AO699&lt;1.3,"1.2",IF(AO699&lt;1.5,"1.3～1.4",IF(AO699&lt;2,"1.5～1.9","2.0以上"))))))</f>
        <v>欠損</v>
      </c>
      <c r="AQ699" s="8" t="str">
        <f aca="false">IF(A699="","",IF(ISNUMBER(SEARCH("2歳",Z699)),"2歳戦",IF(ISNUMBER(SEARCH("3歳未勝利",Z699)),"3歳未勝利",IF(ISNUMBER(SEARCH("未勝利",Z699)),"その他未勝利",IF(ISNUMBER(SEARCH("G1",Z699)),"G1",IF(ISNUMBER(SEARCH("G2",Z699)),"G2",IF(ISNUMBER(SEARCH("G3",Z699)),"G3",IF(ISNUMBER(SEARCH("古馬条件",Z699)),"古馬条件戦",IF(ISNUMBER(SEARCH("重賞",Z699)),"重賞","分類不能")))))))))</f>
        <v>分類不能</v>
      </c>
      <c r="AR699" s="4" t="s">
        <v>7898</v>
      </c>
      <c r="AS699" s="8" t="s">
        <v>7842</v>
      </c>
      <c r="AT699" s="8" t="s">
        <v>7843</v>
      </c>
      <c r="AU699" s="8" t="s">
        <v>7634</v>
      </c>
      <c r="AV699" s="8" t="s">
        <v>7635</v>
      </c>
      <c r="AW699" s="8" t="s">
        <v>7636</v>
      </c>
      <c r="AX699" s="4" t="s">
        <v>7637</v>
      </c>
      <c r="AY699" s="8" t="s">
        <v>7610</v>
      </c>
      <c r="AZ699" s="4" t="s">
        <v>7617</v>
      </c>
      <c r="BA699" s="8" t="n">
        <v>1600</v>
      </c>
      <c r="BB699" s="8" t="s">
        <v>7598</v>
      </c>
      <c r="BC699" s="4" t="s">
        <v>7604</v>
      </c>
      <c r="BD699" s="8" t="s">
        <v>7625</v>
      </c>
      <c r="BE699" s="4" t="s">
        <v>7606</v>
      </c>
      <c r="BF699" s="8" t="s">
        <v>7607</v>
      </c>
      <c r="BG699" s="8" t="s">
        <v>7602</v>
      </c>
      <c r="BH699" s="4" t="s">
        <v>7667</v>
      </c>
      <c r="BI699" s="8" t="n">
        <v>15</v>
      </c>
      <c r="BJ699" s="8" t="s">
        <v>7610</v>
      </c>
      <c r="BK699" s="4" t="s">
        <v>7611</v>
      </c>
      <c r="BL699" s="8" t="s">
        <v>7602</v>
      </c>
      <c r="BM699" s="4" t="s">
        <v>7620</v>
      </c>
      <c r="BN699" s="8"/>
      <c r="BO699" s="8"/>
      <c r="BP699" s="8" t="s">
        <v>7602</v>
      </c>
      <c r="BQ699" s="8" t="str">
        <f aca="false">IF(A699="","",AT699)</f>
        <v>4歳以上</v>
      </c>
      <c r="BR699" s="8" t="str">
        <f aca="false">IF(A699="","",IF(BA699&lt;=1200,"～1200",IF(BA699&lt;=1500,"1300～1500",IF(BA699=1600,"1600",IF(BA699&lt;=1800,"1700～1800",IF(BA699&lt;=2000,"1900～2000","2100以上"))))))</f>
        <v>1600</v>
      </c>
      <c r="BS699" s="8" t="str">
        <f aca="false">IF(A699="","",IF(AX699="G1","G1",IF(AX699="G2","G2",IF(AX699="G3","G3",IF(AX699="L","L","その他")))))</f>
        <v>その他</v>
      </c>
      <c r="BT699" s="8" t="str">
        <f aca="false">IF(A699="","",IF(BI699="","未結合",IF(D699=BI699,"一致","不一致")))</f>
        <v>一致</v>
      </c>
      <c r="BU699" s="8" t="str">
        <f aca="false">IF(A699="","",IF(BE699="牝馬限定","牝馬限定","その他"))</f>
        <v>その他</v>
      </c>
    </row>
    <row r="700" customFormat="false" ht="15.75" hidden="false" customHeight="false" outlineLevel="0" collapsed="false">
      <c r="A700" s="6" t="n">
        <v>46159</v>
      </c>
      <c r="B700" s="4" t="s">
        <v>4473</v>
      </c>
      <c r="C700" s="8" t="n">
        <v>11</v>
      </c>
      <c r="D700" s="8" t="n">
        <v>18</v>
      </c>
      <c r="E700" s="8" t="n">
        <v>12</v>
      </c>
      <c r="F700" s="4" t="s">
        <v>6381</v>
      </c>
      <c r="G700" s="8" t="n">
        <v>66</v>
      </c>
      <c r="H700" s="8" t="n">
        <v>8</v>
      </c>
      <c r="I700" s="4" t="s">
        <v>6380</v>
      </c>
      <c r="J700" s="8" t="n">
        <v>47</v>
      </c>
      <c r="K700" s="8" t="n">
        <v>7</v>
      </c>
      <c r="L700" s="4" t="s">
        <v>6379</v>
      </c>
      <c r="M700" s="8" t="n">
        <v>41</v>
      </c>
      <c r="N700" s="8" t="n">
        <f aca="false">IF(A700="","",G700-J700)</f>
        <v>19</v>
      </c>
      <c r="O700" s="8" t="n">
        <f aca="false">IF(A700="","",J700-M700)</f>
        <v>6</v>
      </c>
      <c r="P700" s="8" t="n">
        <f aca="false">IF(A700="","",G700+J700)</f>
        <v>113</v>
      </c>
      <c r="Q700" s="8" t="str">
        <f aca="false">IF(A700="","",IF(AND(Y700&lt;&gt;"参考",G700&gt;=ルール設定!$B$2),"○",""))</f>
        <v/>
      </c>
      <c r="R700" s="8" t="str">
        <f aca="false">IF(A700="","",IF(AND(Y700&lt;&gt;"参考",G700&gt;=ルール設定!$B$3,N700&gt;=ルール設定!$B$4),"○",""))</f>
        <v/>
      </c>
      <c r="S700" s="8" t="str">
        <f aca="false">IF(A700="","",IF(AND(Y700&lt;&gt;"参考",G700&gt;=ルール設定!$B$5,J700&gt;=ルール設定!$B$6,O700&gt;=ルール設定!$B$7),"○",""))</f>
        <v/>
      </c>
      <c r="T700" s="8" t="n">
        <v>1</v>
      </c>
      <c r="U700" s="8" t="n">
        <v>2</v>
      </c>
      <c r="V700" s="8" t="str">
        <f aca="false">IF(A700="","",IF(AND(ISNUMBER(T700),ISNUMBER(U700)),IF(AND(T700&lt;=3,U700&lt;=3),"○","×"),""))</f>
        <v>○</v>
      </c>
      <c r="W700" s="8" t="n">
        <v>110</v>
      </c>
      <c r="X700" s="8" t="n">
        <v>280</v>
      </c>
      <c r="Y700" s="4" t="s">
        <v>7597</v>
      </c>
      <c r="Z700" s="4" t="s">
        <v>7886</v>
      </c>
      <c r="AA700" s="8" t="str">
        <v/>
      </c>
      <c r="AB700" s="8" t="str">
        <v/>
      </c>
      <c r="AC700" s="8" t="str">
        <v/>
      </c>
      <c r="AD700" s="8" t="str">
        <v/>
      </c>
      <c r="AE700" s="8" t="str">
        <v/>
      </c>
      <c r="AF700" s="8" t="str">
        <v/>
      </c>
      <c r="AG700" s="8" t="str">
        <v/>
      </c>
      <c r="AH700" s="8" t="str">
        <v/>
      </c>
      <c r="AI700" s="8" t="n">
        <v>25</v>
      </c>
      <c r="AJ700" s="8" t="str">
        <v>60～69</v>
      </c>
      <c r="AK700" s="8" t="str">
        <v>10～19</v>
      </c>
      <c r="AL700" s="8" t="str">
        <v>20～29</v>
      </c>
      <c r="AM700" s="8" t="str">
        <v>100～119</v>
      </c>
      <c r="AN700" s="8" t="str">
        <v>15以上</v>
      </c>
      <c r="AO700" s="8" t="str">
        <f aca="false">IF(A700="","",IF(COUNTIFS(全馬データ!$A$2:$A$50000,A700,全馬データ!$B$2:$B$50000,B700,全馬データ!$C$2:$C$50000,C700,全馬データ!$D$2:$D$50000,E700,全馬データ!$K$2:$K$50000,"&lt;&gt;")=0,"",SUMIFS(全馬データ!$K$2:$K$50000,全馬データ!$A$2:$A$50000,A700,全馬データ!$B$2:$B$50000,B700,全馬データ!$C$2:$C$50000,C700,全馬データ!$D$2:$D$50000,E700)))</f>
        <v/>
      </c>
      <c r="AP700" s="8" t="str">
        <f aca="false">IF(A700="","",IF(AO700="","欠損",IF(AO700&lt;=1.1,"1.0～1.1",IF(AO700&lt;1.3,"1.2",IF(AO700&lt;1.5,"1.3～1.4",IF(AO700&lt;2,"1.5～1.9","2.0以上"))))))</f>
        <v>欠損</v>
      </c>
      <c r="AQ700" s="8" t="str">
        <f aca="false">IF(A700="","",IF(ISNUMBER(SEARCH("2歳",Z700)),"2歳戦",IF(ISNUMBER(SEARCH("3歳未勝利",Z700)),"3歳未勝利",IF(ISNUMBER(SEARCH("未勝利",Z700)),"その他未勝利",IF(ISNUMBER(SEARCH("G1",Z700)),"G1",IF(ISNUMBER(SEARCH("G2",Z700)),"G2",IF(ISNUMBER(SEARCH("G3",Z700)),"G3",IF(ISNUMBER(SEARCH("古馬条件",Z700)),"古馬条件戦",IF(ISNUMBER(SEARCH("重賞",Z700)),"重賞","分類不能")))))))))</f>
        <v>分類不能</v>
      </c>
      <c r="AR700" s="4" t="s">
        <v>7899</v>
      </c>
      <c r="AS700" s="8" t="s">
        <v>7842</v>
      </c>
      <c r="AT700" s="8" t="s">
        <v>7843</v>
      </c>
      <c r="AU700" s="8" t="s">
        <v>7643</v>
      </c>
      <c r="AV700" s="4" t="s">
        <v>7644</v>
      </c>
      <c r="AW700" s="8" t="s">
        <v>7602</v>
      </c>
      <c r="AX700" s="8" t="s">
        <v>7814</v>
      </c>
      <c r="AY700" s="8" t="s">
        <v>7602</v>
      </c>
      <c r="AZ700" s="4" t="s">
        <v>7603</v>
      </c>
      <c r="BA700" s="8" t="n">
        <v>1600</v>
      </c>
      <c r="BB700" s="8" t="s">
        <v>7598</v>
      </c>
      <c r="BC700" s="4" t="s">
        <v>7604</v>
      </c>
      <c r="BD700" s="8" t="s">
        <v>7860</v>
      </c>
      <c r="BE700" s="4" t="s">
        <v>7622</v>
      </c>
      <c r="BF700" s="8" t="s">
        <v>7602</v>
      </c>
      <c r="BG700" s="8" t="s">
        <v>7631</v>
      </c>
      <c r="BH700" s="4" t="s">
        <v>7632</v>
      </c>
      <c r="BI700" s="8" t="n">
        <v>18</v>
      </c>
      <c r="BJ700" s="8" t="s">
        <v>7610</v>
      </c>
      <c r="BK700" s="4" t="s">
        <v>7611</v>
      </c>
      <c r="BL700" s="8" t="s">
        <v>7602</v>
      </c>
      <c r="BM700" s="4" t="s">
        <v>7620</v>
      </c>
      <c r="BN700" s="8" t="s">
        <v>7631</v>
      </c>
      <c r="BO700" s="8" t="s">
        <v>7680</v>
      </c>
      <c r="BP700" s="8" t="s">
        <v>7602</v>
      </c>
      <c r="BQ700" s="8" t="str">
        <f aca="false">IF(A700="","",AT700)</f>
        <v>4歳以上</v>
      </c>
      <c r="BR700" s="8" t="str">
        <f aca="false">IF(A700="","",IF(BA700&lt;=1200,"～1200",IF(BA700&lt;=1500,"1300～1500",IF(BA700=1600,"1600",IF(BA700&lt;=1800,"1700～1800",IF(BA700&lt;=2000,"1900～2000","2100以上"))))))</f>
        <v>1600</v>
      </c>
      <c r="BS700" s="8" t="str">
        <f aca="false">IF(A700="","",IF(AX700="G1","G1",IF(AX700="G2","G2",IF(AX700="G3","G3",IF(AX700="L","L","その他")))))</f>
        <v>G1</v>
      </c>
      <c r="BT700" s="8" t="str">
        <f aca="false">IF(A700="","",IF(BI700="","未結合",IF(D700=BI700,"一致","不一致")))</f>
        <v>一致</v>
      </c>
      <c r="BU700" s="8" t="str">
        <f aca="false">IF(A700="","",IF(BE700="牝馬限定","牝馬限定","その他"))</f>
        <v>牝馬限定</v>
      </c>
    </row>
    <row r="701" customFormat="false" ht="15.75" hidden="false" customHeight="false" outlineLevel="0" collapsed="false">
      <c r="A701" s="6" t="n">
        <v>46159</v>
      </c>
      <c r="B701" s="4" t="s">
        <v>4473</v>
      </c>
      <c r="C701" s="8" t="n">
        <v>12</v>
      </c>
      <c r="D701" s="8" t="n">
        <v>16</v>
      </c>
      <c r="E701" s="8" t="n">
        <v>8</v>
      </c>
      <c r="F701" s="4" t="s">
        <v>6392</v>
      </c>
      <c r="G701" s="8" t="n">
        <v>50</v>
      </c>
      <c r="H701" s="8" t="n">
        <v>12</v>
      </c>
      <c r="I701" s="4" t="s">
        <v>3628</v>
      </c>
      <c r="J701" s="8" t="n">
        <v>47</v>
      </c>
      <c r="K701" s="8" t="n">
        <v>2</v>
      </c>
      <c r="L701" s="4" t="s">
        <v>3622</v>
      </c>
      <c r="M701" s="8" t="n">
        <v>34</v>
      </c>
      <c r="N701" s="8" t="n">
        <f aca="false">IF(A701="","",G701-J701)</f>
        <v>3</v>
      </c>
      <c r="O701" s="8" t="n">
        <f aca="false">IF(A701="","",J701-M701)</f>
        <v>13</v>
      </c>
      <c r="P701" s="8" t="n">
        <f aca="false">IF(A701="","",G701+J701)</f>
        <v>97</v>
      </c>
      <c r="Q701" s="8" t="str">
        <f aca="false">IF(A701="","",IF(AND(Y701&lt;&gt;"参考",G701&gt;=ルール設定!$B$2),"○",""))</f>
        <v/>
      </c>
      <c r="R701" s="8" t="str">
        <f aca="false">IF(A701="","",IF(AND(Y701&lt;&gt;"参考",G701&gt;=ルール設定!$B$3,N701&gt;=ルール設定!$B$4),"○",""))</f>
        <v/>
      </c>
      <c r="S701" s="8" t="str">
        <f aca="false">IF(A701="","",IF(AND(Y701&lt;&gt;"参考",G701&gt;=ルール設定!$B$5,J701&gt;=ルール設定!$B$6,O701&gt;=ルール設定!$B$7),"○",""))</f>
        <v/>
      </c>
      <c r="T701" s="8" t="n">
        <v>1</v>
      </c>
      <c r="U701" s="8" t="n">
        <v>3</v>
      </c>
      <c r="V701" s="8" t="str">
        <f aca="false">IF(A701="","",IF(AND(ISNUMBER(T701),ISNUMBER(U701)),IF(AND(T701&lt;=3,U701&lt;=3),"○","×"),""))</f>
        <v>○</v>
      </c>
      <c r="W701" s="8" t="n">
        <v>170</v>
      </c>
      <c r="X701" s="8" t="n">
        <v>960</v>
      </c>
      <c r="Y701" s="4" t="s">
        <v>7597</v>
      </c>
      <c r="Z701" s="4" t="s">
        <v>7886</v>
      </c>
      <c r="AA701" s="8" t="str">
        <v/>
      </c>
      <c r="AB701" s="8" t="str">
        <v/>
      </c>
      <c r="AC701" s="8" t="str">
        <v/>
      </c>
      <c r="AD701" s="8" t="str">
        <v/>
      </c>
      <c r="AE701" s="8" t="str">
        <v/>
      </c>
      <c r="AF701" s="8" t="str">
        <v/>
      </c>
      <c r="AG701" s="8" t="str">
        <v/>
      </c>
      <c r="AH701" s="8" t="str">
        <v/>
      </c>
      <c r="AI701" s="8" t="n">
        <v>16</v>
      </c>
      <c r="AJ701" s="8" t="str">
        <v>～59</v>
      </c>
      <c r="AK701" s="8" t="str">
        <v>0～4</v>
      </c>
      <c r="AL701" s="8" t="str">
        <v>10～19</v>
      </c>
      <c r="AM701" s="8" t="str">
        <v>～99</v>
      </c>
      <c r="AN701" s="8" t="str">
        <v>15以上</v>
      </c>
      <c r="AO701" s="8" t="str">
        <f aca="false">IF(A701="","",IF(COUNTIFS(全馬データ!$A$2:$A$50000,A701,全馬データ!$B$2:$B$50000,B701,全馬データ!$C$2:$C$50000,C701,全馬データ!$D$2:$D$50000,E701,全馬データ!$K$2:$K$50000,"&lt;&gt;")=0,"",SUMIFS(全馬データ!$K$2:$K$50000,全馬データ!$A$2:$A$50000,A701,全馬データ!$B$2:$B$50000,B701,全馬データ!$C$2:$C$50000,C701,全馬データ!$D$2:$D$50000,E701)))</f>
        <v/>
      </c>
      <c r="AP701" s="8" t="str">
        <f aca="false">IF(A701="","",IF(AO701="","欠損",IF(AO701&lt;=1.1,"1.0～1.1",IF(AO701&lt;1.3,"1.2",IF(AO701&lt;1.5,"1.3～1.4",IF(AO701&lt;2,"1.5～1.9","2.0以上"))))))</f>
        <v>欠損</v>
      </c>
      <c r="AQ701" s="8" t="str">
        <f aca="false">IF(A701="","",IF(ISNUMBER(SEARCH("2歳",Z701)),"2歳戦",IF(ISNUMBER(SEARCH("3歳未勝利",Z701)),"3歳未勝利",IF(ISNUMBER(SEARCH("未勝利",Z701)),"その他未勝利",IF(ISNUMBER(SEARCH("G1",Z701)),"G1",IF(ISNUMBER(SEARCH("G2",Z701)),"G2",IF(ISNUMBER(SEARCH("G3",Z701)),"G3",IF(ISNUMBER(SEARCH("古馬条件",Z701)),"古馬条件戦",IF(ISNUMBER(SEARCH("重賞",Z701)),"重賞","分類不能")))))))))</f>
        <v>分類不能</v>
      </c>
      <c r="AR701" s="4" t="s">
        <v>7900</v>
      </c>
      <c r="AS701" s="8" t="s">
        <v>7842</v>
      </c>
      <c r="AT701" s="8" t="s">
        <v>7843</v>
      </c>
      <c r="AU701" s="8" t="s">
        <v>7639</v>
      </c>
      <c r="AV701" s="8" t="s">
        <v>7640</v>
      </c>
      <c r="AW701" s="8" t="s">
        <v>7636</v>
      </c>
      <c r="AX701" s="4" t="s">
        <v>7637</v>
      </c>
      <c r="AY701" s="8" t="s">
        <v>7610</v>
      </c>
      <c r="AZ701" s="4" t="s">
        <v>7617</v>
      </c>
      <c r="BA701" s="8" t="n">
        <v>1400</v>
      </c>
      <c r="BB701" s="8" t="s">
        <v>7598</v>
      </c>
      <c r="BC701" s="4" t="s">
        <v>7604</v>
      </c>
      <c r="BD701" s="8" t="s">
        <v>7630</v>
      </c>
      <c r="BE701" s="4" t="s">
        <v>7606</v>
      </c>
      <c r="BF701" s="8" t="s">
        <v>7607</v>
      </c>
      <c r="BG701" s="8" t="s">
        <v>7631</v>
      </c>
      <c r="BH701" s="4" t="s">
        <v>7632</v>
      </c>
      <c r="BI701" s="8" t="n">
        <v>16</v>
      </c>
      <c r="BJ701" s="8" t="s">
        <v>7610</v>
      </c>
      <c r="BK701" s="4" t="s">
        <v>7611</v>
      </c>
      <c r="BL701" s="8" t="s">
        <v>7602</v>
      </c>
      <c r="BM701" s="4" t="s">
        <v>7620</v>
      </c>
      <c r="BN701" s="8"/>
      <c r="BO701" s="8"/>
      <c r="BP701" s="8" t="s">
        <v>7602</v>
      </c>
      <c r="BQ701" s="8" t="str">
        <f aca="false">IF(A701="","",AT701)</f>
        <v>4歳以上</v>
      </c>
      <c r="BR701" s="8" t="str">
        <f aca="false">IF(A701="","",IF(BA701&lt;=1200,"～1200",IF(BA701&lt;=1500,"1300～1500",IF(BA701=1600,"1600",IF(BA701&lt;=1800,"1700～1800",IF(BA701&lt;=2000,"1900～2000","2100以上"))))))</f>
        <v>1300～1500</v>
      </c>
      <c r="BS701" s="8" t="str">
        <f aca="false">IF(A701="","",IF(AX701="G1","G1",IF(AX701="G2","G2",IF(AX701="G3","G3",IF(AX701="L","L","その他")))))</f>
        <v>その他</v>
      </c>
      <c r="BT701" s="8" t="str">
        <f aca="false">IF(A701="","",IF(BI701="","未結合",IF(D701=BI701,"一致","不一致")))</f>
        <v>一致</v>
      </c>
      <c r="BU701" s="8" t="str">
        <f aca="false">IF(A701="","",IF(BE701="牝馬限定","牝馬限定","その他"))</f>
        <v>その他</v>
      </c>
    </row>
    <row r="702" customFormat="false" ht="15.75" hidden="false" customHeight="false" outlineLevel="0" collapsed="false">
      <c r="A702" s="6" t="n">
        <v>46159</v>
      </c>
      <c r="B702" s="4" t="s">
        <v>5435</v>
      </c>
      <c r="C702" s="8" t="n">
        <v>1</v>
      </c>
      <c r="D702" s="8" t="n">
        <v>14</v>
      </c>
      <c r="E702" s="8" t="n">
        <v>8</v>
      </c>
      <c r="F702" s="4" t="s">
        <v>6085</v>
      </c>
      <c r="G702" s="8" t="n">
        <v>67</v>
      </c>
      <c r="H702" s="8" t="n">
        <v>3</v>
      </c>
      <c r="I702" s="4" t="s">
        <v>2036</v>
      </c>
      <c r="J702" s="8" t="n">
        <v>47</v>
      </c>
      <c r="K702" s="8" t="n">
        <v>1</v>
      </c>
      <c r="L702" s="4" t="s">
        <v>1801</v>
      </c>
      <c r="M702" s="8" t="n">
        <v>37</v>
      </c>
      <c r="N702" s="8" t="n">
        <f aca="false">IF(A702="","",G702-J702)</f>
        <v>20</v>
      </c>
      <c r="O702" s="8" t="n">
        <f aca="false">IF(A702="","",J702-M702)</f>
        <v>10</v>
      </c>
      <c r="P702" s="8" t="n">
        <f aca="false">IF(A702="","",G702+J702)</f>
        <v>114</v>
      </c>
      <c r="Q702" s="8" t="str">
        <f aca="false">IF(A702="","",IF(AND(Y702&lt;&gt;"参考",G702&gt;=ルール設定!$B$2),"○",""))</f>
        <v/>
      </c>
      <c r="R702" s="8" t="str">
        <f aca="false">IF(A702="","",IF(AND(Y702&lt;&gt;"参考",G702&gt;=ルール設定!$B$3,N702&gt;=ルール設定!$B$4),"○",""))</f>
        <v/>
      </c>
      <c r="S702" s="8" t="str">
        <f aca="false">IF(A702="","",IF(AND(Y702&lt;&gt;"参考",G702&gt;=ルール設定!$B$5,J702&gt;=ルール設定!$B$6,O702&gt;=ルール設定!$B$7),"○",""))</f>
        <v/>
      </c>
      <c r="T702" s="8" t="n">
        <v>3</v>
      </c>
      <c r="U702" s="8" t="n">
        <v>4</v>
      </c>
      <c r="V702" s="8" t="str">
        <f aca="false">IF(A702="","",IF(AND(ISNUMBER(T702),ISNUMBER(U702)),IF(AND(T702&lt;=3,U702&lt;=3),"○","×"),""))</f>
        <v>×</v>
      </c>
      <c r="W702" s="8" t="n">
        <v>160</v>
      </c>
      <c r="X702" s="8"/>
      <c r="Y702" s="4" t="s">
        <v>7597</v>
      </c>
      <c r="Z702" s="4" t="s">
        <v>7886</v>
      </c>
      <c r="AA702" s="8" t="str">
        <v/>
      </c>
      <c r="AB702" s="8" t="str">
        <v/>
      </c>
      <c r="AC702" s="8" t="str">
        <v/>
      </c>
      <c r="AD702" s="8" t="str">
        <v/>
      </c>
      <c r="AE702" s="8" t="str">
        <v/>
      </c>
      <c r="AF702" s="8" t="str">
        <v/>
      </c>
      <c r="AG702" s="8" t="str">
        <v/>
      </c>
      <c r="AH702" s="8" t="str">
        <v/>
      </c>
      <c r="AI702" s="8" t="n">
        <v>30</v>
      </c>
      <c r="AJ702" s="8" t="str">
        <v>60～69</v>
      </c>
      <c r="AK702" s="8" t="str">
        <v>20～29</v>
      </c>
      <c r="AL702" s="8" t="str">
        <v>30～39</v>
      </c>
      <c r="AM702" s="8" t="str">
        <v>100～119</v>
      </c>
      <c r="AN702" s="8" t="str">
        <v>12～14</v>
      </c>
      <c r="AO702" s="8" t="str">
        <f aca="false">IF(A702="","",IF(COUNTIFS(全馬データ!$A$2:$A$50000,A702,全馬データ!$B$2:$B$50000,B702,全馬データ!$C$2:$C$50000,C702,全馬データ!$D$2:$D$50000,E702,全馬データ!$K$2:$K$50000,"&lt;&gt;")=0,"",SUMIFS(全馬データ!$K$2:$K$50000,全馬データ!$A$2:$A$50000,A702,全馬データ!$B$2:$B$50000,B702,全馬データ!$C$2:$C$50000,C702,全馬データ!$D$2:$D$50000,E702)))</f>
        <v/>
      </c>
      <c r="AP702" s="8" t="str">
        <f aca="false">IF(A702="","",IF(AO702="","欠損",IF(AO702&lt;=1.1,"1.0～1.1",IF(AO702&lt;1.3,"1.2",IF(AO702&lt;1.5,"1.3～1.4",IF(AO702&lt;2,"1.5～1.9","2.0以上"))))))</f>
        <v>欠損</v>
      </c>
      <c r="AQ702" s="8" t="str">
        <f aca="false">IF(A702="","",IF(ISNUMBER(SEARCH("2歳",Z702)),"2歳戦",IF(ISNUMBER(SEARCH("3歳未勝利",Z702)),"3歳未勝利",IF(ISNUMBER(SEARCH("未勝利",Z702)),"その他未勝利",IF(ISNUMBER(SEARCH("G1",Z702)),"G1",IF(ISNUMBER(SEARCH("G2",Z702)),"G2",IF(ISNUMBER(SEARCH("G3",Z702)),"G3",IF(ISNUMBER(SEARCH("古馬条件",Z702)),"古馬条件戦",IF(ISNUMBER(SEARCH("重賞",Z702)),"重賞","分類不能")))))))))</f>
        <v>分類不能</v>
      </c>
      <c r="AR702" s="8"/>
      <c r="AS702" s="8" t="s">
        <v>7623</v>
      </c>
      <c r="AT702" s="8" t="s">
        <v>7624</v>
      </c>
      <c r="AU702" s="8" t="s">
        <v>7600</v>
      </c>
      <c r="AV702" s="4" t="s">
        <v>7601</v>
      </c>
      <c r="AW702" s="8"/>
      <c r="AX702" s="8"/>
      <c r="AY702" s="8" t="s">
        <v>7610</v>
      </c>
      <c r="AZ702" s="4" t="s">
        <v>7617</v>
      </c>
      <c r="BA702" s="8" t="n">
        <v>1800</v>
      </c>
      <c r="BB702" s="8" t="s">
        <v>7598</v>
      </c>
      <c r="BC702" s="4" t="s">
        <v>7604</v>
      </c>
      <c r="BD702" s="8" t="s">
        <v>7621</v>
      </c>
      <c r="BE702" s="4" t="s">
        <v>7622</v>
      </c>
      <c r="BF702" s="8" t="s">
        <v>7602</v>
      </c>
      <c r="BG702" s="8" t="s">
        <v>7608</v>
      </c>
      <c r="BH702" s="4" t="s">
        <v>7609</v>
      </c>
      <c r="BI702" s="8" t="n">
        <v>14</v>
      </c>
      <c r="BJ702" s="8" t="s">
        <v>7602</v>
      </c>
      <c r="BK702" s="4" t="s">
        <v>7653</v>
      </c>
      <c r="BL702" s="8" t="s">
        <v>7602</v>
      </c>
      <c r="BM702" s="4" t="s">
        <v>7620</v>
      </c>
      <c r="BN702" s="8"/>
      <c r="BO702" s="8"/>
      <c r="BP702" s="8" t="s">
        <v>7610</v>
      </c>
      <c r="BQ702" s="8" t="str">
        <f aca="false">IF(A702="","",AT702)</f>
        <v>3歳</v>
      </c>
      <c r="BR702" s="8" t="str">
        <f aca="false">IF(A702="","",IF(BA702&lt;=1200,"～1200",IF(BA702&lt;=1500,"1300～1500",IF(BA702=1600,"1600",IF(BA702&lt;=1800,"1700～1800",IF(BA702&lt;=2000,"1900～2000","2100以上"))))))</f>
        <v>1700～1800</v>
      </c>
      <c r="BS702" s="8" t="str">
        <f aca="false">IF(A702="","",IF(AX702="G1","G1",IF(AX702="G2","G2",IF(AX702="G3","G3",IF(AX702="L","L","その他")))))</f>
        <v>その他</v>
      </c>
      <c r="BT702" s="8" t="str">
        <f aca="false">IF(A702="","",IF(BI702="","未結合",IF(D702=BI702,"一致","不一致")))</f>
        <v>一致</v>
      </c>
      <c r="BU702" s="8" t="str">
        <f aca="false">IF(A702="","",IF(BE702="牝馬限定","牝馬限定","その他"))</f>
        <v>牝馬限定</v>
      </c>
    </row>
    <row r="703" customFormat="false" ht="15.75" hidden="false" customHeight="false" outlineLevel="0" collapsed="false">
      <c r="A703" s="6" t="n">
        <v>46159</v>
      </c>
      <c r="B703" s="4" t="s">
        <v>5435</v>
      </c>
      <c r="C703" s="8" t="n">
        <v>2</v>
      </c>
      <c r="D703" s="8" t="n">
        <v>16</v>
      </c>
      <c r="E703" s="8" t="n">
        <v>10</v>
      </c>
      <c r="F703" s="4" t="s">
        <v>6405</v>
      </c>
      <c r="G703" s="8" t="n">
        <v>71</v>
      </c>
      <c r="H703" s="8" t="n">
        <v>9</v>
      </c>
      <c r="I703" s="4" t="s">
        <v>2609</v>
      </c>
      <c r="J703" s="8" t="n">
        <v>44</v>
      </c>
      <c r="K703" s="8" t="n">
        <v>1</v>
      </c>
      <c r="L703" s="4" t="s">
        <v>3917</v>
      </c>
      <c r="M703" s="8" t="n">
        <v>39</v>
      </c>
      <c r="N703" s="8" t="n">
        <f aca="false">IF(A703="","",G703-J703)</f>
        <v>27</v>
      </c>
      <c r="O703" s="8" t="n">
        <f aca="false">IF(A703="","",J703-M703)</f>
        <v>5</v>
      </c>
      <c r="P703" s="8" t="n">
        <f aca="false">IF(A703="","",G703+J703)</f>
        <v>115</v>
      </c>
      <c r="Q703" s="8" t="str">
        <f aca="false">IF(A703="","",IF(AND(Y703&lt;&gt;"参考",G703&gt;=ルール設定!$B$2),"○",""))</f>
        <v/>
      </c>
      <c r="R703" s="8" t="str">
        <f aca="false">IF(A703="","",IF(AND(Y703&lt;&gt;"参考",G703&gt;=ルール設定!$B$3,N703&gt;=ルール設定!$B$4),"○",""))</f>
        <v/>
      </c>
      <c r="S703" s="8" t="str">
        <f aca="false">IF(A703="","",IF(AND(Y703&lt;&gt;"参考",G703&gt;=ルール設定!$B$5,J703&gt;=ルール設定!$B$6,O703&gt;=ルール設定!$B$7),"○",""))</f>
        <v/>
      </c>
      <c r="T703" s="8" t="n">
        <v>2</v>
      </c>
      <c r="U703" s="8" t="n">
        <v>3</v>
      </c>
      <c r="V703" s="8" t="str">
        <f aca="false">IF(A703="","",IF(AND(ISNUMBER(T703),ISNUMBER(U703)),IF(AND(T703&lt;=3,U703&lt;=3),"○","×"),""))</f>
        <v>○</v>
      </c>
      <c r="W703" s="8" t="n">
        <v>120</v>
      </c>
      <c r="X703" s="8" t="n">
        <v>240</v>
      </c>
      <c r="Y703" s="4" t="s">
        <v>7597</v>
      </c>
      <c r="Z703" s="4" t="s">
        <v>7886</v>
      </c>
      <c r="AA703" s="8" t="str">
        <v/>
      </c>
      <c r="AB703" s="8" t="str">
        <v/>
      </c>
      <c r="AC703" s="8" t="str">
        <v/>
      </c>
      <c r="AD703" s="8" t="str">
        <v/>
      </c>
      <c r="AE703" s="8" t="str">
        <v/>
      </c>
      <c r="AF703" s="8" t="str">
        <v/>
      </c>
      <c r="AG703" s="8" t="str">
        <v/>
      </c>
      <c r="AH703" s="8" t="str">
        <v/>
      </c>
      <c r="AI703" s="8" t="n">
        <v>32</v>
      </c>
      <c r="AJ703" s="8" t="str">
        <v>70～74</v>
      </c>
      <c r="AK703" s="8" t="str">
        <v>20～29</v>
      </c>
      <c r="AL703" s="8" t="str">
        <v>30～39</v>
      </c>
      <c r="AM703" s="8" t="str">
        <v>100～119</v>
      </c>
      <c r="AN703" s="8" t="str">
        <v>15以上</v>
      </c>
      <c r="AO703" s="8" t="str">
        <f aca="false">IF(A703="","",IF(COUNTIFS(全馬データ!$A$2:$A$50000,A703,全馬データ!$B$2:$B$50000,B703,全馬データ!$C$2:$C$50000,C703,全馬データ!$D$2:$D$50000,E703,全馬データ!$K$2:$K$50000,"&lt;&gt;")=0,"",SUMIFS(全馬データ!$K$2:$K$50000,全馬データ!$A$2:$A$50000,A703,全馬データ!$B$2:$B$50000,B703,全馬データ!$C$2:$C$50000,C703,全馬データ!$D$2:$D$50000,E703)))</f>
        <v/>
      </c>
      <c r="AP703" s="8" t="str">
        <f aca="false">IF(A703="","",IF(AO703="","欠損",IF(AO703&lt;=1.1,"1.0～1.1",IF(AO703&lt;1.3,"1.2",IF(AO703&lt;1.5,"1.3～1.4",IF(AO703&lt;2,"1.5～1.9","2.0以上"))))))</f>
        <v>欠損</v>
      </c>
      <c r="AQ703" s="8" t="str">
        <f aca="false">IF(A703="","",IF(ISNUMBER(SEARCH("2歳",Z703)),"2歳戦",IF(ISNUMBER(SEARCH("3歳未勝利",Z703)),"3歳未勝利",IF(ISNUMBER(SEARCH("未勝利",Z703)),"その他未勝利",IF(ISNUMBER(SEARCH("G1",Z703)),"G1",IF(ISNUMBER(SEARCH("G2",Z703)),"G2",IF(ISNUMBER(SEARCH("G3",Z703)),"G3",IF(ISNUMBER(SEARCH("古馬条件",Z703)),"古馬条件戦",IF(ISNUMBER(SEARCH("重賞",Z703)),"重賞","分類不能")))))))))</f>
        <v>分類不能</v>
      </c>
      <c r="AR703" s="8"/>
      <c r="AS703" s="8" t="s">
        <v>7623</v>
      </c>
      <c r="AT703" s="8" t="s">
        <v>7624</v>
      </c>
      <c r="AU703" s="8" t="s">
        <v>7600</v>
      </c>
      <c r="AV703" s="4" t="s">
        <v>7601</v>
      </c>
      <c r="AW703" s="8"/>
      <c r="AX703" s="8"/>
      <c r="AY703" s="8" t="s">
        <v>7610</v>
      </c>
      <c r="AZ703" s="4" t="s">
        <v>7617</v>
      </c>
      <c r="BA703" s="8" t="n">
        <v>1400</v>
      </c>
      <c r="BB703" s="8" t="s">
        <v>7598</v>
      </c>
      <c r="BC703" s="4" t="s">
        <v>7604</v>
      </c>
      <c r="BD703" s="8" t="s">
        <v>7625</v>
      </c>
      <c r="BE703" s="4" t="s">
        <v>7606</v>
      </c>
      <c r="BF703" s="8" t="s">
        <v>7607</v>
      </c>
      <c r="BG703" s="8" t="s">
        <v>7608</v>
      </c>
      <c r="BH703" s="4" t="s">
        <v>7609</v>
      </c>
      <c r="BI703" s="8" t="n">
        <v>16</v>
      </c>
      <c r="BJ703" s="8" t="s">
        <v>7602</v>
      </c>
      <c r="BK703" s="4" t="s">
        <v>7653</v>
      </c>
      <c r="BL703" s="8" t="s">
        <v>7602</v>
      </c>
      <c r="BM703" s="4" t="s">
        <v>7620</v>
      </c>
      <c r="BN703" s="8"/>
      <c r="BO703" s="8"/>
      <c r="BP703" s="8" t="s">
        <v>7610</v>
      </c>
      <c r="BQ703" s="8" t="str">
        <f aca="false">IF(A703="","",AT703)</f>
        <v>3歳</v>
      </c>
      <c r="BR703" s="8" t="str">
        <f aca="false">IF(A703="","",IF(BA703&lt;=1200,"～1200",IF(BA703&lt;=1500,"1300～1500",IF(BA703=1600,"1600",IF(BA703&lt;=1800,"1700～1800",IF(BA703&lt;=2000,"1900～2000","2100以上"))))))</f>
        <v>1300～1500</v>
      </c>
      <c r="BS703" s="8" t="str">
        <f aca="false">IF(A703="","",IF(AX703="G1","G1",IF(AX703="G2","G2",IF(AX703="G3","G3",IF(AX703="L","L","その他")))))</f>
        <v>その他</v>
      </c>
      <c r="BT703" s="8" t="str">
        <f aca="false">IF(A703="","",IF(BI703="","未結合",IF(D703=BI703,"一致","不一致")))</f>
        <v>一致</v>
      </c>
      <c r="BU703" s="8" t="str">
        <f aca="false">IF(A703="","",IF(BE703="牝馬限定","牝馬限定","その他"))</f>
        <v>その他</v>
      </c>
    </row>
    <row r="704" customFormat="false" ht="15.75" hidden="false" customHeight="false" outlineLevel="0" collapsed="false">
      <c r="A704" s="6" t="n">
        <v>46159</v>
      </c>
      <c r="B704" s="4" t="s">
        <v>5435</v>
      </c>
      <c r="C704" s="8" t="n">
        <v>3</v>
      </c>
      <c r="D704" s="8" t="n">
        <v>12</v>
      </c>
      <c r="E704" s="8" t="n">
        <v>4</v>
      </c>
      <c r="F704" s="4" t="s">
        <v>6410</v>
      </c>
      <c r="G704" s="8" t="n">
        <v>81</v>
      </c>
      <c r="H704" s="8" t="n">
        <v>9</v>
      </c>
      <c r="I704" s="4" t="s">
        <v>2033</v>
      </c>
      <c r="J704" s="8" t="n">
        <v>47</v>
      </c>
      <c r="K704" s="8" t="n">
        <v>11</v>
      </c>
      <c r="L704" s="4" t="s">
        <v>2832</v>
      </c>
      <c r="M704" s="8" t="n">
        <v>34</v>
      </c>
      <c r="N704" s="8" t="n">
        <f aca="false">IF(A704="","",G704-J704)</f>
        <v>34</v>
      </c>
      <c r="O704" s="8" t="n">
        <f aca="false">IF(A704="","",J704-M704)</f>
        <v>13</v>
      </c>
      <c r="P704" s="8" t="n">
        <f aca="false">IF(A704="","",G704+J704)</f>
        <v>128</v>
      </c>
      <c r="Q704" s="8" t="str">
        <f aca="false">IF(A704="","",IF(AND(Y704&lt;&gt;"参考",G704&gt;=ルール設定!$B$2),"○",""))</f>
        <v>○</v>
      </c>
      <c r="R704" s="8" t="str">
        <f aca="false">IF(A704="","",IF(AND(Y704&lt;&gt;"参考",G704&gt;=ルール設定!$B$3,N704&gt;=ルール設定!$B$4),"○",""))</f>
        <v>○</v>
      </c>
      <c r="S704" s="8" t="str">
        <f aca="false">IF(A704="","",IF(AND(Y704&lt;&gt;"参考",G704&gt;=ルール設定!$B$5,J704&gt;=ルール設定!$B$6,O704&gt;=ルール設定!$B$7),"○",""))</f>
        <v/>
      </c>
      <c r="T704" s="8"/>
      <c r="U704" s="8" t="n">
        <v>4</v>
      </c>
      <c r="V704" s="8" t="str">
        <f aca="false">IF(A704="","",IF(AND(ISNUMBER(T704),ISNUMBER(U704)),IF(AND(T704&lt;=3,U704&lt;=3),"○","×"),""))</f>
        <v/>
      </c>
      <c r="W704" s="8"/>
      <c r="X704" s="8"/>
      <c r="Y704" s="4" t="s">
        <v>7597</v>
      </c>
      <c r="Z704" s="4" t="s">
        <v>7886</v>
      </c>
      <c r="AA704" s="8" t="str">
        <v/>
      </c>
      <c r="AB704" s="8" t="str">
        <v>○</v>
      </c>
      <c r="AC704" s="8" t="str">
        <v/>
      </c>
      <c r="AD704" s="8" t="str">
        <v>○</v>
      </c>
      <c r="AE704" s="8" t="str">
        <v/>
      </c>
      <c r="AF704" s="8" t="str">
        <v/>
      </c>
      <c r="AG704" s="8" t="str">
        <v>○</v>
      </c>
      <c r="AH704" s="8" t="str">
        <v/>
      </c>
      <c r="AI704" s="8" t="n">
        <v>47</v>
      </c>
      <c r="AJ704" s="8" t="str">
        <v>80～84</v>
      </c>
      <c r="AK704" s="8" t="str">
        <v>30以上</v>
      </c>
      <c r="AL704" s="8" t="str">
        <v>40以上</v>
      </c>
      <c r="AM704" s="8" t="str">
        <v>120～139</v>
      </c>
      <c r="AN704" s="8" t="str">
        <v>12～14</v>
      </c>
      <c r="AO704" s="8" t="str">
        <f aca="false">IF(A704="","",IF(COUNTIFS(全馬データ!$A$2:$A$50000,A704,全馬データ!$B$2:$B$50000,B704,全馬データ!$C$2:$C$50000,C704,全馬データ!$D$2:$D$50000,E704,全馬データ!$K$2:$K$50000,"&lt;&gt;")=0,"",SUMIFS(全馬データ!$K$2:$K$50000,全馬データ!$A$2:$A$50000,A704,全馬データ!$B$2:$B$50000,B704,全馬データ!$C$2:$C$50000,C704,全馬データ!$D$2:$D$50000,E704)))</f>
        <v/>
      </c>
      <c r="AP704" s="8" t="str">
        <f aca="false">IF(A704="","",IF(AO704="","欠損",IF(AO704&lt;=1.1,"1.0～1.1",IF(AO704&lt;1.3,"1.2",IF(AO704&lt;1.5,"1.3～1.4",IF(AO704&lt;2,"1.5～1.9","2.0以上"))))))</f>
        <v>欠損</v>
      </c>
      <c r="AQ704" s="8" t="str">
        <f aca="false">IF(A704="","",IF(ISNUMBER(SEARCH("2歳",Z704)),"2歳戦",IF(ISNUMBER(SEARCH("3歳未勝利",Z704)),"3歳未勝利",IF(ISNUMBER(SEARCH("未勝利",Z704)),"その他未勝利",IF(ISNUMBER(SEARCH("G1",Z704)),"G1",IF(ISNUMBER(SEARCH("G2",Z704)),"G2",IF(ISNUMBER(SEARCH("G3",Z704)),"G3",IF(ISNUMBER(SEARCH("古馬条件",Z704)),"古馬条件戦",IF(ISNUMBER(SEARCH("重賞",Z704)),"重賞","分類不能")))))))))</f>
        <v>分類不能</v>
      </c>
      <c r="AR704" s="8"/>
      <c r="AS704" s="8" t="s">
        <v>7623</v>
      </c>
      <c r="AT704" s="8" t="s">
        <v>7624</v>
      </c>
      <c r="AU704" s="8" t="s">
        <v>7600</v>
      </c>
      <c r="AV704" s="4" t="s">
        <v>7601</v>
      </c>
      <c r="AW704" s="8"/>
      <c r="AX704" s="8"/>
      <c r="AY704" s="8" t="s">
        <v>7610</v>
      </c>
      <c r="AZ704" s="4" t="s">
        <v>7617</v>
      </c>
      <c r="BA704" s="8" t="n">
        <v>1900</v>
      </c>
      <c r="BB704" s="8" t="s">
        <v>7598</v>
      </c>
      <c r="BC704" s="4" t="s">
        <v>7604</v>
      </c>
      <c r="BD704" s="8" t="s">
        <v>7605</v>
      </c>
      <c r="BE704" s="4" t="s">
        <v>7606</v>
      </c>
      <c r="BF704" s="8" t="s">
        <v>7607</v>
      </c>
      <c r="BG704" s="8" t="s">
        <v>7608</v>
      </c>
      <c r="BH704" s="4" t="s">
        <v>7609</v>
      </c>
      <c r="BI704" s="8" t="n">
        <v>12</v>
      </c>
      <c r="BJ704" s="8" t="s">
        <v>7602</v>
      </c>
      <c r="BK704" s="4" t="s">
        <v>7653</v>
      </c>
      <c r="BL704" s="8" t="s">
        <v>7602</v>
      </c>
      <c r="BM704" s="4" t="s">
        <v>7620</v>
      </c>
      <c r="BN704" s="8"/>
      <c r="BO704" s="8"/>
      <c r="BP704" s="8" t="s">
        <v>7610</v>
      </c>
      <c r="BQ704" s="8" t="str">
        <f aca="false">IF(A704="","",AT704)</f>
        <v>3歳</v>
      </c>
      <c r="BR704" s="8" t="str">
        <f aca="false">IF(A704="","",IF(BA704&lt;=1200,"～1200",IF(BA704&lt;=1500,"1300～1500",IF(BA704=1600,"1600",IF(BA704&lt;=1800,"1700～1800",IF(BA704&lt;=2000,"1900～2000","2100以上"))))))</f>
        <v>1900～2000</v>
      </c>
      <c r="BS704" s="8" t="str">
        <f aca="false">IF(A704="","",IF(AX704="G1","G1",IF(AX704="G2","G2",IF(AX704="G3","G3",IF(AX704="L","L","その他")))))</f>
        <v>その他</v>
      </c>
      <c r="BT704" s="8" t="str">
        <f aca="false">IF(A704="","",IF(BI704="","未結合",IF(D704=BI704,"一致","不一致")))</f>
        <v>一致</v>
      </c>
      <c r="BU704" s="8" t="str">
        <f aca="false">IF(A704="","",IF(BE704="牝馬限定","牝馬限定","その他"))</f>
        <v>その他</v>
      </c>
    </row>
    <row r="705" customFormat="false" ht="15.75" hidden="false" customHeight="false" outlineLevel="0" collapsed="false">
      <c r="A705" s="6" t="n">
        <v>46159</v>
      </c>
      <c r="B705" s="4" t="s">
        <v>5435</v>
      </c>
      <c r="C705" s="8" t="n">
        <v>4</v>
      </c>
      <c r="D705" s="8" t="n">
        <v>17</v>
      </c>
      <c r="E705" s="8" t="n">
        <v>17</v>
      </c>
      <c r="F705" s="4" t="s">
        <v>371</v>
      </c>
      <c r="G705" s="8" t="n">
        <v>58</v>
      </c>
      <c r="H705" s="8" t="n">
        <v>3</v>
      </c>
      <c r="I705" s="4" t="s">
        <v>363</v>
      </c>
      <c r="J705" s="8" t="n">
        <v>50</v>
      </c>
      <c r="K705" s="8" t="n">
        <v>12</v>
      </c>
      <c r="L705" s="4" t="s">
        <v>234</v>
      </c>
      <c r="M705" s="8" t="n">
        <v>47</v>
      </c>
      <c r="N705" s="8" t="n">
        <f aca="false">IF(A705="","",G705-J705)</f>
        <v>8</v>
      </c>
      <c r="O705" s="8" t="n">
        <f aca="false">IF(A705="","",J705-M705)</f>
        <v>3</v>
      </c>
      <c r="P705" s="8" t="n">
        <f aca="false">IF(A705="","",G705+J705)</f>
        <v>108</v>
      </c>
      <c r="Q705" s="8" t="str">
        <f aca="false">IF(A705="","",IF(AND(Y705&lt;&gt;"参考",G705&gt;=ルール設定!$B$2),"○",""))</f>
        <v/>
      </c>
      <c r="R705" s="8" t="str">
        <f aca="false">IF(A705="","",IF(AND(Y705&lt;&gt;"参考",G705&gt;=ルール設定!$B$3,N705&gt;=ルール設定!$B$4),"○",""))</f>
        <v/>
      </c>
      <c r="S705" s="8" t="str">
        <f aca="false">IF(A705="","",IF(AND(Y705&lt;&gt;"参考",G705&gt;=ルール設定!$B$5,J705&gt;=ルール設定!$B$6,O705&gt;=ルール設定!$B$7),"○",""))</f>
        <v/>
      </c>
      <c r="T705" s="8" t="n">
        <v>4</v>
      </c>
      <c r="U705" s="8" t="n">
        <v>4</v>
      </c>
      <c r="V705" s="8" t="str">
        <f aca="false">IF(A705="","",IF(AND(ISNUMBER(T705),ISNUMBER(U705)),IF(AND(T705&lt;=3,U705&lt;=3),"○","×"),""))</f>
        <v>×</v>
      </c>
      <c r="W705" s="8"/>
      <c r="X705" s="8"/>
      <c r="Y705" s="4" t="s">
        <v>7597</v>
      </c>
      <c r="Z705" s="4" t="s">
        <v>7886</v>
      </c>
      <c r="AA705" s="8" t="str">
        <v/>
      </c>
      <c r="AB705" s="8" t="str">
        <v/>
      </c>
      <c r="AC705" s="8" t="str">
        <v/>
      </c>
      <c r="AD705" s="8" t="str">
        <v/>
      </c>
      <c r="AE705" s="8" t="str">
        <v/>
      </c>
      <c r="AF705" s="8" t="str">
        <v/>
      </c>
      <c r="AG705" s="8" t="str">
        <v/>
      </c>
      <c r="AH705" s="8" t="str">
        <v/>
      </c>
      <c r="AI705" s="8" t="n">
        <v>11</v>
      </c>
      <c r="AJ705" s="8" t="str">
        <v>～59</v>
      </c>
      <c r="AK705" s="8" t="str">
        <v>5～9</v>
      </c>
      <c r="AL705" s="8" t="str">
        <v>10～19</v>
      </c>
      <c r="AM705" s="8" t="str">
        <v>100～119</v>
      </c>
      <c r="AN705" s="8" t="str">
        <v>15以上</v>
      </c>
      <c r="AO705" s="8" t="str">
        <f aca="false">IF(A705="","",IF(COUNTIFS(全馬データ!$A$2:$A$50000,A705,全馬データ!$B$2:$B$50000,B705,全馬データ!$C$2:$C$50000,C705,全馬データ!$D$2:$D$50000,E705,全馬データ!$K$2:$K$50000,"&lt;&gt;")=0,"",SUMIFS(全馬データ!$K$2:$K$50000,全馬データ!$A$2:$A$50000,A705,全馬データ!$B$2:$B$50000,B705,全馬データ!$C$2:$C$50000,C705,全馬データ!$D$2:$D$50000,E705)))</f>
        <v/>
      </c>
      <c r="AP705" s="8" t="str">
        <f aca="false">IF(A705="","",IF(AO705="","欠損",IF(AO705&lt;=1.1,"1.0～1.1",IF(AO705&lt;1.3,"1.2",IF(AO705&lt;1.5,"1.3～1.4",IF(AO705&lt;2,"1.5～1.9","2.0以上"))))))</f>
        <v>欠損</v>
      </c>
      <c r="AQ705" s="8" t="str">
        <f aca="false">IF(A705="","",IF(ISNUMBER(SEARCH("2歳",Z705)),"2歳戦",IF(ISNUMBER(SEARCH("3歳未勝利",Z705)),"3歳未勝利",IF(ISNUMBER(SEARCH("未勝利",Z705)),"その他未勝利",IF(ISNUMBER(SEARCH("G1",Z705)),"G1",IF(ISNUMBER(SEARCH("G2",Z705)),"G2",IF(ISNUMBER(SEARCH("G3",Z705)),"G3",IF(ISNUMBER(SEARCH("古馬条件",Z705)),"古馬条件戦",IF(ISNUMBER(SEARCH("重賞",Z705)),"重賞","分類不能")))))))))</f>
        <v>分類不能</v>
      </c>
      <c r="AR705" s="8"/>
      <c r="AS705" s="8" t="s">
        <v>7623</v>
      </c>
      <c r="AT705" s="8" t="s">
        <v>7624</v>
      </c>
      <c r="AU705" s="8" t="s">
        <v>7600</v>
      </c>
      <c r="AV705" s="4" t="s">
        <v>7601</v>
      </c>
      <c r="AW705" s="8"/>
      <c r="AX705" s="8"/>
      <c r="AY705" s="8" t="s">
        <v>7602</v>
      </c>
      <c r="AZ705" s="4" t="s">
        <v>7603</v>
      </c>
      <c r="BA705" s="8" t="n">
        <v>1600</v>
      </c>
      <c r="BB705" s="8" t="s">
        <v>7598</v>
      </c>
      <c r="BC705" s="4" t="s">
        <v>7604</v>
      </c>
      <c r="BD705" s="8" t="s">
        <v>7621</v>
      </c>
      <c r="BE705" s="4" t="s">
        <v>7622</v>
      </c>
      <c r="BF705" s="8" t="s">
        <v>7602</v>
      </c>
      <c r="BG705" s="8" t="s">
        <v>7608</v>
      </c>
      <c r="BH705" s="4" t="s">
        <v>7609</v>
      </c>
      <c r="BI705" s="8" t="n">
        <v>17</v>
      </c>
      <c r="BJ705" s="8" t="s">
        <v>7602</v>
      </c>
      <c r="BK705" s="4" t="s">
        <v>7653</v>
      </c>
      <c r="BL705" s="8" t="s">
        <v>7602</v>
      </c>
      <c r="BM705" s="4" t="s">
        <v>7620</v>
      </c>
      <c r="BN705" s="8" t="s">
        <v>7676</v>
      </c>
      <c r="BO705" s="8" t="s">
        <v>7778</v>
      </c>
      <c r="BP705" s="8" t="s">
        <v>7610</v>
      </c>
      <c r="BQ705" s="8" t="str">
        <f aca="false">IF(A705="","",AT705)</f>
        <v>3歳</v>
      </c>
      <c r="BR705" s="8" t="str">
        <f aca="false">IF(A705="","",IF(BA705&lt;=1200,"～1200",IF(BA705&lt;=1500,"1300～1500",IF(BA705=1600,"1600",IF(BA705&lt;=1800,"1700～1800",IF(BA705&lt;=2000,"1900～2000","2100以上"))))))</f>
        <v>1600</v>
      </c>
      <c r="BS705" s="8" t="str">
        <f aca="false">IF(A705="","",IF(AX705="G1","G1",IF(AX705="G2","G2",IF(AX705="G3","G3",IF(AX705="L","L","その他")))))</f>
        <v>その他</v>
      </c>
      <c r="BT705" s="8" t="str">
        <f aca="false">IF(A705="","",IF(BI705="","未結合",IF(D705=BI705,"一致","不一致")))</f>
        <v>一致</v>
      </c>
      <c r="BU705" s="8" t="str">
        <f aca="false">IF(A705="","",IF(BE705="牝馬限定","牝馬限定","その他"))</f>
        <v>牝馬限定</v>
      </c>
    </row>
    <row r="706" customFormat="false" ht="15.75" hidden="false" customHeight="false" outlineLevel="0" collapsed="false">
      <c r="A706" s="6" t="n">
        <v>46159</v>
      </c>
      <c r="B706" s="4" t="s">
        <v>5435</v>
      </c>
      <c r="C706" s="8" t="n">
        <v>5</v>
      </c>
      <c r="D706" s="8" t="n">
        <v>10</v>
      </c>
      <c r="E706" s="8" t="n">
        <v>9</v>
      </c>
      <c r="F706" s="4" t="s">
        <v>4367</v>
      </c>
      <c r="G706" s="8" t="n">
        <v>65</v>
      </c>
      <c r="H706" s="8" t="n">
        <v>2</v>
      </c>
      <c r="I706" s="4" t="s">
        <v>4431</v>
      </c>
      <c r="J706" s="8" t="n">
        <v>52</v>
      </c>
      <c r="K706" s="8" t="n">
        <v>5</v>
      </c>
      <c r="L706" s="4" t="s">
        <v>416</v>
      </c>
      <c r="M706" s="8" t="n">
        <v>41</v>
      </c>
      <c r="N706" s="8" t="n">
        <f aca="false">IF(A706="","",G706-J706)</f>
        <v>13</v>
      </c>
      <c r="O706" s="8" t="n">
        <f aca="false">IF(A706="","",J706-M706)</f>
        <v>11</v>
      </c>
      <c r="P706" s="8" t="n">
        <f aca="false">IF(A706="","",G706+J706)</f>
        <v>117</v>
      </c>
      <c r="Q706" s="8" t="str">
        <f aca="false">IF(A706="","",IF(AND(Y706&lt;&gt;"参考",G706&gt;=ルール設定!$B$2),"○",""))</f>
        <v/>
      </c>
      <c r="R706" s="8" t="str">
        <f aca="false">IF(A706="","",IF(AND(Y706&lt;&gt;"参考",G706&gt;=ルール設定!$B$3,N706&gt;=ルール設定!$B$4),"○",""))</f>
        <v/>
      </c>
      <c r="S706" s="8" t="str">
        <f aca="false">IF(A706="","",IF(AND(Y706&lt;&gt;"参考",G706&gt;=ルール設定!$B$5,J706&gt;=ルール設定!$B$6,O706&gt;=ルール設定!$B$7),"○",""))</f>
        <v/>
      </c>
      <c r="T706" s="8" t="n">
        <v>4</v>
      </c>
      <c r="U706" s="8" t="n">
        <v>4</v>
      </c>
      <c r="V706" s="8" t="str">
        <f aca="false">IF(A706="","",IF(AND(ISNUMBER(T706),ISNUMBER(U706)),IF(AND(T706&lt;=3,U706&lt;=3),"○","×"),""))</f>
        <v>×</v>
      </c>
      <c r="W706" s="8"/>
      <c r="X706" s="8"/>
      <c r="Y706" s="4" t="s">
        <v>7597</v>
      </c>
      <c r="Z706" s="4" t="s">
        <v>7886</v>
      </c>
      <c r="AA706" s="8" t="str">
        <v/>
      </c>
      <c r="AB706" s="8" t="str">
        <v/>
      </c>
      <c r="AC706" s="8" t="str">
        <v/>
      </c>
      <c r="AD706" s="8" t="str">
        <v/>
      </c>
      <c r="AE706" s="8" t="str">
        <v/>
      </c>
      <c r="AF706" s="8" t="str">
        <v/>
      </c>
      <c r="AG706" s="8" t="str">
        <v/>
      </c>
      <c r="AH706" s="8" t="str">
        <v/>
      </c>
      <c r="AI706" s="8" t="n">
        <v>24</v>
      </c>
      <c r="AJ706" s="8" t="str">
        <v>60～69</v>
      </c>
      <c r="AK706" s="8" t="str">
        <v>10～19</v>
      </c>
      <c r="AL706" s="8" t="str">
        <v>20～29</v>
      </c>
      <c r="AM706" s="8" t="str">
        <v>100～119</v>
      </c>
      <c r="AN706" s="8" t="str">
        <v>8～11</v>
      </c>
      <c r="AO706" s="8" t="str">
        <f aca="false">IF(A706="","",IF(COUNTIFS(全馬データ!$A$2:$A$50000,A706,全馬データ!$B$2:$B$50000,B706,全馬データ!$C$2:$C$50000,C706,全馬データ!$D$2:$D$50000,E706,全馬データ!$K$2:$K$50000,"&lt;&gt;")=0,"",SUMIFS(全馬データ!$K$2:$K$50000,全馬データ!$A$2:$A$50000,A706,全馬データ!$B$2:$B$50000,B706,全馬データ!$C$2:$C$50000,C706,全馬データ!$D$2:$D$50000,E706)))</f>
        <v/>
      </c>
      <c r="AP706" s="8" t="str">
        <f aca="false">IF(A706="","",IF(AO706="","欠損",IF(AO706&lt;=1.1,"1.0～1.1",IF(AO706&lt;1.3,"1.2",IF(AO706&lt;1.5,"1.3～1.4",IF(AO706&lt;2,"1.5～1.9","2.0以上"))))))</f>
        <v>欠損</v>
      </c>
      <c r="AQ706" s="8" t="str">
        <f aca="false">IF(A706="","",IF(ISNUMBER(SEARCH("2歳",Z706)),"2歳戦",IF(ISNUMBER(SEARCH("3歳未勝利",Z706)),"3歳未勝利",IF(ISNUMBER(SEARCH("未勝利",Z706)),"その他未勝利",IF(ISNUMBER(SEARCH("G1",Z706)),"G1",IF(ISNUMBER(SEARCH("G2",Z706)),"G2",IF(ISNUMBER(SEARCH("G3",Z706)),"G3",IF(ISNUMBER(SEARCH("古馬条件",Z706)),"古馬条件戦",IF(ISNUMBER(SEARCH("重賞",Z706)),"重賞","分類不能")))))))))</f>
        <v>分類不能</v>
      </c>
      <c r="AR706" s="8"/>
      <c r="AS706" s="8" t="s">
        <v>7623</v>
      </c>
      <c r="AT706" s="8" t="s">
        <v>7624</v>
      </c>
      <c r="AU706" s="8" t="s">
        <v>7600</v>
      </c>
      <c r="AV706" s="4" t="s">
        <v>7601</v>
      </c>
      <c r="AW706" s="8"/>
      <c r="AX706" s="8"/>
      <c r="AY706" s="8" t="s">
        <v>7602</v>
      </c>
      <c r="AZ706" s="4" t="s">
        <v>7603</v>
      </c>
      <c r="BA706" s="8" t="n">
        <v>2000</v>
      </c>
      <c r="BB706" s="8" t="s">
        <v>7598</v>
      </c>
      <c r="BC706" s="4" t="s">
        <v>7604</v>
      </c>
      <c r="BD706" s="8" t="s">
        <v>7625</v>
      </c>
      <c r="BE706" s="4" t="s">
        <v>7606</v>
      </c>
      <c r="BF706" s="8" t="s">
        <v>7607</v>
      </c>
      <c r="BG706" s="8" t="s">
        <v>7608</v>
      </c>
      <c r="BH706" s="4" t="s">
        <v>7609</v>
      </c>
      <c r="BI706" s="8" t="n">
        <v>10</v>
      </c>
      <c r="BJ706" s="8" t="s">
        <v>7602</v>
      </c>
      <c r="BK706" s="4" t="s">
        <v>7653</v>
      </c>
      <c r="BL706" s="8" t="s">
        <v>7602</v>
      </c>
      <c r="BM706" s="4" t="s">
        <v>7620</v>
      </c>
      <c r="BN706" s="8" t="s">
        <v>7676</v>
      </c>
      <c r="BO706" s="8" t="s">
        <v>7778</v>
      </c>
      <c r="BP706" s="8" t="s">
        <v>7610</v>
      </c>
      <c r="BQ706" s="8" t="str">
        <f aca="false">IF(A706="","",AT706)</f>
        <v>3歳</v>
      </c>
      <c r="BR706" s="8" t="str">
        <f aca="false">IF(A706="","",IF(BA706&lt;=1200,"～1200",IF(BA706&lt;=1500,"1300～1500",IF(BA706=1600,"1600",IF(BA706&lt;=1800,"1700～1800",IF(BA706&lt;=2000,"1900～2000","2100以上"))))))</f>
        <v>1900～2000</v>
      </c>
      <c r="BS706" s="8" t="str">
        <f aca="false">IF(A706="","",IF(AX706="G1","G1",IF(AX706="G2","G2",IF(AX706="G3","G3",IF(AX706="L","L","その他")))))</f>
        <v>その他</v>
      </c>
      <c r="BT706" s="8" t="str">
        <f aca="false">IF(A706="","",IF(BI706="","未結合",IF(D706=BI706,"一致","不一致")))</f>
        <v>一致</v>
      </c>
      <c r="BU706" s="8" t="str">
        <f aca="false">IF(A706="","",IF(BE706="牝馬限定","牝馬限定","その他"))</f>
        <v>その他</v>
      </c>
    </row>
    <row r="707" customFormat="false" ht="15.75" hidden="false" customHeight="false" outlineLevel="0" collapsed="false">
      <c r="A707" s="6" t="n">
        <v>46159</v>
      </c>
      <c r="B707" s="4" t="s">
        <v>5435</v>
      </c>
      <c r="C707" s="8" t="n">
        <v>6</v>
      </c>
      <c r="D707" s="8" t="n">
        <v>16</v>
      </c>
      <c r="E707" s="8" t="n">
        <v>6</v>
      </c>
      <c r="F707" s="4" t="s">
        <v>3235</v>
      </c>
      <c r="G707" s="8" t="n">
        <v>60</v>
      </c>
      <c r="H707" s="8" t="n">
        <v>14</v>
      </c>
      <c r="I707" s="4" t="s">
        <v>4141</v>
      </c>
      <c r="J707" s="8" t="n">
        <v>47</v>
      </c>
      <c r="K707" s="8" t="n">
        <v>8</v>
      </c>
      <c r="L707" s="4" t="s">
        <v>6420</v>
      </c>
      <c r="M707" s="8" t="n">
        <v>41</v>
      </c>
      <c r="N707" s="8" t="n">
        <f aca="false">IF(A707="","",G707-J707)</f>
        <v>13</v>
      </c>
      <c r="O707" s="8" t="n">
        <f aca="false">IF(A707="","",J707-M707)</f>
        <v>6</v>
      </c>
      <c r="P707" s="8" t="n">
        <f aca="false">IF(A707="","",G707+J707)</f>
        <v>107</v>
      </c>
      <c r="Q707" s="8" t="str">
        <f aca="false">IF(A707="","",IF(AND(Y707&lt;&gt;"参考",G707&gt;=ルール設定!$B$2),"○",""))</f>
        <v/>
      </c>
      <c r="R707" s="8" t="str">
        <f aca="false">IF(A707="","",IF(AND(Y707&lt;&gt;"参考",G707&gt;=ルール設定!$B$3,N707&gt;=ルール設定!$B$4),"○",""))</f>
        <v/>
      </c>
      <c r="S707" s="8" t="str">
        <f aca="false">IF(A707="","",IF(AND(Y707&lt;&gt;"参考",G707&gt;=ルール設定!$B$5,J707&gt;=ルール設定!$B$6,O707&gt;=ルール設定!$B$7),"○",""))</f>
        <v/>
      </c>
      <c r="T707" s="8" t="n">
        <v>2</v>
      </c>
      <c r="U707" s="8" t="n">
        <v>4</v>
      </c>
      <c r="V707" s="8" t="str">
        <f aca="false">IF(A707="","",IF(AND(ISNUMBER(T707),ISNUMBER(U707)),IF(AND(T707&lt;=3,U707&lt;=3),"○","×"),""))</f>
        <v>×</v>
      </c>
      <c r="W707" s="8" t="n">
        <v>150</v>
      </c>
      <c r="X707" s="8"/>
      <c r="Y707" s="4" t="s">
        <v>7597</v>
      </c>
      <c r="Z707" s="4" t="s">
        <v>7886</v>
      </c>
      <c r="AA707" s="8" t="str">
        <v/>
      </c>
      <c r="AB707" s="8" t="str">
        <v/>
      </c>
      <c r="AC707" s="8" t="str">
        <v/>
      </c>
      <c r="AD707" s="8" t="str">
        <v/>
      </c>
      <c r="AE707" s="8" t="str">
        <v/>
      </c>
      <c r="AF707" s="8" t="str">
        <v/>
      </c>
      <c r="AG707" s="8" t="str">
        <v/>
      </c>
      <c r="AH707" s="8" t="str">
        <v/>
      </c>
      <c r="AI707" s="8" t="n">
        <v>19</v>
      </c>
      <c r="AJ707" s="8" t="str">
        <v>60～69</v>
      </c>
      <c r="AK707" s="8" t="str">
        <v>10～19</v>
      </c>
      <c r="AL707" s="8" t="str">
        <v>10～19</v>
      </c>
      <c r="AM707" s="8" t="str">
        <v>100～119</v>
      </c>
      <c r="AN707" s="8" t="str">
        <v>15以上</v>
      </c>
      <c r="AO707" s="8" t="str">
        <f aca="false">IF(A707="","",IF(COUNTIFS(全馬データ!$A$2:$A$50000,A707,全馬データ!$B$2:$B$50000,B707,全馬データ!$C$2:$C$50000,C707,全馬データ!$D$2:$D$50000,E707,全馬データ!$K$2:$K$50000,"&lt;&gt;")=0,"",SUMIFS(全馬データ!$K$2:$K$50000,全馬データ!$A$2:$A$50000,A707,全馬データ!$B$2:$B$50000,B707,全馬データ!$C$2:$C$50000,C707,全馬データ!$D$2:$D$50000,E707)))</f>
        <v/>
      </c>
      <c r="AP707" s="8" t="str">
        <f aca="false">IF(A707="","",IF(AO707="","欠損",IF(AO707&lt;=1.1,"1.0～1.1",IF(AO707&lt;1.3,"1.2",IF(AO707&lt;1.5,"1.3～1.4",IF(AO707&lt;2,"1.5～1.9","2.0以上"))))))</f>
        <v>欠損</v>
      </c>
      <c r="AQ707" s="8" t="str">
        <f aca="false">IF(A707="","",IF(ISNUMBER(SEARCH("2歳",Z707)),"2歳戦",IF(ISNUMBER(SEARCH("3歳未勝利",Z707)),"3歳未勝利",IF(ISNUMBER(SEARCH("未勝利",Z707)),"その他未勝利",IF(ISNUMBER(SEARCH("G1",Z707)),"G1",IF(ISNUMBER(SEARCH("G2",Z707)),"G2",IF(ISNUMBER(SEARCH("G3",Z707)),"G3",IF(ISNUMBER(SEARCH("古馬条件",Z707)),"古馬条件戦",IF(ISNUMBER(SEARCH("重賞",Z707)),"重賞","分類不能")))))))))</f>
        <v>分類不能</v>
      </c>
      <c r="AR707" s="8"/>
      <c r="AS707" s="8" t="s">
        <v>7623</v>
      </c>
      <c r="AT707" s="8" t="s">
        <v>7624</v>
      </c>
      <c r="AU707" s="8" t="s">
        <v>7628</v>
      </c>
      <c r="AV707" s="8" t="s">
        <v>7629</v>
      </c>
      <c r="AW707" s="8"/>
      <c r="AX707" s="8"/>
      <c r="AY707" s="8" t="s">
        <v>7610</v>
      </c>
      <c r="AZ707" s="4" t="s">
        <v>7617</v>
      </c>
      <c r="BA707" s="8" t="n">
        <v>1800</v>
      </c>
      <c r="BB707" s="8" t="s">
        <v>7598</v>
      </c>
      <c r="BC707" s="4" t="s">
        <v>7604</v>
      </c>
      <c r="BD707" s="8" t="s">
        <v>7630</v>
      </c>
      <c r="BE707" s="4" t="s">
        <v>7606</v>
      </c>
      <c r="BF707" s="8" t="s">
        <v>7607</v>
      </c>
      <c r="BG707" s="8" t="s">
        <v>7608</v>
      </c>
      <c r="BH707" s="4" t="s">
        <v>7609</v>
      </c>
      <c r="BI707" s="8" t="n">
        <v>16</v>
      </c>
      <c r="BJ707" s="8" t="s">
        <v>7602</v>
      </c>
      <c r="BK707" s="4" t="s">
        <v>7653</v>
      </c>
      <c r="BL707" s="8" t="s">
        <v>7602</v>
      </c>
      <c r="BM707" s="4" t="s">
        <v>7620</v>
      </c>
      <c r="BN707" s="8"/>
      <c r="BO707" s="8"/>
      <c r="BP707" s="8" t="s">
        <v>7610</v>
      </c>
      <c r="BQ707" s="8" t="str">
        <f aca="false">IF(A707="","",AT707)</f>
        <v>3歳</v>
      </c>
      <c r="BR707" s="8" t="str">
        <f aca="false">IF(A707="","",IF(BA707&lt;=1200,"～1200",IF(BA707&lt;=1500,"1300～1500",IF(BA707=1600,"1600",IF(BA707&lt;=1800,"1700～1800",IF(BA707&lt;=2000,"1900～2000","2100以上"))))))</f>
        <v>1700～1800</v>
      </c>
      <c r="BS707" s="8" t="str">
        <f aca="false">IF(A707="","",IF(AX707="G1","G1",IF(AX707="G2","G2",IF(AX707="G3","G3",IF(AX707="L","L","その他")))))</f>
        <v>その他</v>
      </c>
      <c r="BT707" s="8" t="str">
        <f aca="false">IF(A707="","",IF(BI707="","未結合",IF(D707=BI707,"一致","不一致")))</f>
        <v>一致</v>
      </c>
      <c r="BU707" s="8" t="str">
        <f aca="false">IF(A707="","",IF(BE707="牝馬限定","牝馬限定","その他"))</f>
        <v>その他</v>
      </c>
    </row>
    <row r="708" customFormat="false" ht="15.75" hidden="false" customHeight="false" outlineLevel="0" collapsed="false">
      <c r="A708" s="6" t="n">
        <v>46159</v>
      </c>
      <c r="B708" s="4" t="s">
        <v>5435</v>
      </c>
      <c r="C708" s="8" t="n">
        <v>7</v>
      </c>
      <c r="D708" s="8" t="n">
        <v>12</v>
      </c>
      <c r="E708" s="8" t="n">
        <v>4</v>
      </c>
      <c r="F708" s="4" t="s">
        <v>6426</v>
      </c>
      <c r="G708" s="8" t="n">
        <v>52</v>
      </c>
      <c r="H708" s="8" t="n">
        <v>12</v>
      </c>
      <c r="I708" s="4" t="s">
        <v>6429</v>
      </c>
      <c r="J708" s="8" t="n">
        <v>50</v>
      </c>
      <c r="K708" s="8" t="n">
        <v>1</v>
      </c>
      <c r="L708" s="4" t="s">
        <v>3199</v>
      </c>
      <c r="M708" s="8" t="n">
        <v>39</v>
      </c>
      <c r="N708" s="8" t="n">
        <f aca="false">IF(A708="","",G708-J708)</f>
        <v>2</v>
      </c>
      <c r="O708" s="8" t="n">
        <f aca="false">IF(A708="","",J708-M708)</f>
        <v>11</v>
      </c>
      <c r="P708" s="8" t="n">
        <f aca="false">IF(A708="","",G708+J708)</f>
        <v>102</v>
      </c>
      <c r="Q708" s="8" t="str">
        <f aca="false">IF(A708="","",IF(AND(Y708&lt;&gt;"参考",G708&gt;=ルール設定!$B$2),"○",""))</f>
        <v/>
      </c>
      <c r="R708" s="8" t="str">
        <f aca="false">IF(A708="","",IF(AND(Y708&lt;&gt;"参考",G708&gt;=ルール設定!$B$3,N708&gt;=ルール設定!$B$4),"○",""))</f>
        <v/>
      </c>
      <c r="S708" s="8" t="str">
        <f aca="false">IF(A708="","",IF(AND(Y708&lt;&gt;"参考",G708&gt;=ルール設定!$B$5,J708&gt;=ルール設定!$B$6,O708&gt;=ルール設定!$B$7),"○",""))</f>
        <v/>
      </c>
      <c r="T708" s="8" t="n">
        <v>4</v>
      </c>
      <c r="U708" s="8" t="n">
        <v>1</v>
      </c>
      <c r="V708" s="8" t="str">
        <f aca="false">IF(A708="","",IF(AND(ISNUMBER(T708),ISNUMBER(U708)),IF(AND(T708&lt;=3,U708&lt;=3),"○","×"),""))</f>
        <v>×</v>
      </c>
      <c r="W708" s="8"/>
      <c r="X708" s="8"/>
      <c r="Y708" s="4" t="s">
        <v>7597</v>
      </c>
      <c r="Z708" s="4" t="s">
        <v>7886</v>
      </c>
      <c r="AA708" s="8" t="str">
        <v/>
      </c>
      <c r="AB708" s="8" t="str">
        <v/>
      </c>
      <c r="AC708" s="8" t="str">
        <v/>
      </c>
      <c r="AD708" s="8" t="str">
        <v/>
      </c>
      <c r="AE708" s="8" t="str">
        <v/>
      </c>
      <c r="AF708" s="8" t="str">
        <v/>
      </c>
      <c r="AG708" s="8" t="str">
        <v/>
      </c>
      <c r="AH708" s="8" t="str">
        <v/>
      </c>
      <c r="AI708" s="8" t="n">
        <v>13</v>
      </c>
      <c r="AJ708" s="8" t="str">
        <v>～59</v>
      </c>
      <c r="AK708" s="8" t="str">
        <v>0～4</v>
      </c>
      <c r="AL708" s="8" t="str">
        <v>10～19</v>
      </c>
      <c r="AM708" s="8" t="str">
        <v>100～119</v>
      </c>
      <c r="AN708" s="8" t="str">
        <v>12～14</v>
      </c>
      <c r="AO708" s="8" t="str">
        <f aca="false">IF(A708="","",IF(COUNTIFS(全馬データ!$A$2:$A$50000,A708,全馬データ!$B$2:$B$50000,B708,全馬データ!$C$2:$C$50000,C708,全馬データ!$D$2:$D$50000,E708,全馬データ!$K$2:$K$50000,"&lt;&gt;")=0,"",SUMIFS(全馬データ!$K$2:$K$50000,全馬データ!$A$2:$A$50000,A708,全馬データ!$B$2:$B$50000,B708,全馬データ!$C$2:$C$50000,C708,全馬データ!$D$2:$D$50000,E708)))</f>
        <v/>
      </c>
      <c r="AP708" s="8" t="str">
        <f aca="false">IF(A708="","",IF(AO708="","欠損",IF(AO708&lt;=1.1,"1.0～1.1",IF(AO708&lt;1.3,"1.2",IF(AO708&lt;1.5,"1.3～1.4",IF(AO708&lt;2,"1.5～1.9","2.0以上"))))))</f>
        <v>欠損</v>
      </c>
      <c r="AQ708" s="8" t="str">
        <f aca="false">IF(A708="","",IF(ISNUMBER(SEARCH("2歳",Z708)),"2歳戦",IF(ISNUMBER(SEARCH("3歳未勝利",Z708)),"3歳未勝利",IF(ISNUMBER(SEARCH("未勝利",Z708)),"その他未勝利",IF(ISNUMBER(SEARCH("G1",Z708)),"G1",IF(ISNUMBER(SEARCH("G2",Z708)),"G2",IF(ISNUMBER(SEARCH("G3",Z708)),"G3",IF(ISNUMBER(SEARCH("古馬条件",Z708)),"古馬条件戦",IF(ISNUMBER(SEARCH("重賞",Z708)),"重賞","分類不能")))))))))</f>
        <v>分類不能</v>
      </c>
      <c r="AR708" s="8"/>
      <c r="AS708" s="8" t="s">
        <v>7842</v>
      </c>
      <c r="AT708" s="8" t="s">
        <v>7843</v>
      </c>
      <c r="AU708" s="8" t="s">
        <v>7628</v>
      </c>
      <c r="AV708" s="8" t="s">
        <v>7629</v>
      </c>
      <c r="AW708" s="8"/>
      <c r="AX708" s="8"/>
      <c r="AY708" s="8" t="s">
        <v>7602</v>
      </c>
      <c r="AZ708" s="4" t="s">
        <v>7603</v>
      </c>
      <c r="BA708" s="8" t="n">
        <v>2000</v>
      </c>
      <c r="BB708" s="8" t="s">
        <v>7598</v>
      </c>
      <c r="BC708" s="4" t="s">
        <v>7604</v>
      </c>
      <c r="BD708" s="8" t="s">
        <v>7605</v>
      </c>
      <c r="BE708" s="4" t="s">
        <v>7606</v>
      </c>
      <c r="BF708" s="8" t="s">
        <v>7607</v>
      </c>
      <c r="BG708" s="8" t="s">
        <v>7631</v>
      </c>
      <c r="BH708" s="4" t="s">
        <v>7632</v>
      </c>
      <c r="BI708" s="8" t="n">
        <v>12</v>
      </c>
      <c r="BJ708" s="8" t="s">
        <v>7602</v>
      </c>
      <c r="BK708" s="4" t="s">
        <v>7653</v>
      </c>
      <c r="BL708" s="8" t="s">
        <v>7602</v>
      </c>
      <c r="BM708" s="4" t="s">
        <v>7620</v>
      </c>
      <c r="BN708" s="8" t="s">
        <v>7676</v>
      </c>
      <c r="BO708" s="8" t="s">
        <v>7778</v>
      </c>
      <c r="BP708" s="8" t="s">
        <v>7610</v>
      </c>
      <c r="BQ708" s="8" t="str">
        <f aca="false">IF(A708="","",AT708)</f>
        <v>4歳以上</v>
      </c>
      <c r="BR708" s="8" t="str">
        <f aca="false">IF(A708="","",IF(BA708&lt;=1200,"～1200",IF(BA708&lt;=1500,"1300～1500",IF(BA708=1600,"1600",IF(BA708&lt;=1800,"1700～1800",IF(BA708&lt;=2000,"1900～2000","2100以上"))))))</f>
        <v>1900～2000</v>
      </c>
      <c r="BS708" s="8" t="str">
        <f aca="false">IF(A708="","",IF(AX708="G1","G1",IF(AX708="G2","G2",IF(AX708="G3","G3",IF(AX708="L","L","その他")))))</f>
        <v>その他</v>
      </c>
      <c r="BT708" s="8" t="str">
        <f aca="false">IF(A708="","",IF(BI708="","未結合",IF(D708=BI708,"一致","不一致")))</f>
        <v>一致</v>
      </c>
      <c r="BU708" s="8" t="str">
        <f aca="false">IF(A708="","",IF(BE708="牝馬限定","牝馬限定","その他"))</f>
        <v>その他</v>
      </c>
    </row>
    <row r="709" customFormat="false" ht="15.75" hidden="false" customHeight="false" outlineLevel="0" collapsed="false">
      <c r="A709" s="6" t="n">
        <v>46159</v>
      </c>
      <c r="B709" s="4" t="s">
        <v>5435</v>
      </c>
      <c r="C709" s="8" t="n">
        <v>8</v>
      </c>
      <c r="D709" s="8" t="n">
        <v>8</v>
      </c>
      <c r="E709" s="8" t="n">
        <v>3</v>
      </c>
      <c r="F709" s="4" t="s">
        <v>6138</v>
      </c>
      <c r="G709" s="8" t="n">
        <v>50</v>
      </c>
      <c r="H709" s="8" t="n">
        <v>2</v>
      </c>
      <c r="I709" s="4" t="s">
        <v>3653</v>
      </c>
      <c r="J709" s="8" t="n">
        <v>44</v>
      </c>
      <c r="K709" s="8" t="n">
        <v>6</v>
      </c>
      <c r="L709" s="4" t="s">
        <v>1200</v>
      </c>
      <c r="M709" s="8" t="n">
        <v>39</v>
      </c>
      <c r="N709" s="8" t="n">
        <f aca="false">IF(A709="","",G709-J709)</f>
        <v>6</v>
      </c>
      <c r="O709" s="8" t="n">
        <f aca="false">IF(A709="","",J709-M709)</f>
        <v>5</v>
      </c>
      <c r="P709" s="8" t="n">
        <f aca="false">IF(A709="","",G709+J709)</f>
        <v>94</v>
      </c>
      <c r="Q709" s="8" t="str">
        <f aca="false">IF(A709="","",IF(AND(Y709&lt;&gt;"参考",G709&gt;=ルール設定!$B$2),"○",""))</f>
        <v/>
      </c>
      <c r="R709" s="8" t="str">
        <f aca="false">IF(A709="","",IF(AND(Y709&lt;&gt;"参考",G709&gt;=ルール設定!$B$3,N709&gt;=ルール設定!$B$4),"○",""))</f>
        <v/>
      </c>
      <c r="S709" s="8" t="str">
        <f aca="false">IF(A709="","",IF(AND(Y709&lt;&gt;"参考",G709&gt;=ルール設定!$B$5,J709&gt;=ルール設定!$B$6,O709&gt;=ルール設定!$B$7),"○",""))</f>
        <v/>
      </c>
      <c r="T709" s="8" t="n">
        <v>2</v>
      </c>
      <c r="U709" s="8" t="n">
        <v>4</v>
      </c>
      <c r="V709" s="8" t="str">
        <f aca="false">IF(A709="","",IF(AND(ISNUMBER(T709),ISNUMBER(U709)),IF(AND(T709&lt;=3,U709&lt;=3),"○","×"),""))</f>
        <v>×</v>
      </c>
      <c r="W709" s="8" t="n">
        <v>130</v>
      </c>
      <c r="X709" s="8"/>
      <c r="Y709" s="4" t="s">
        <v>7597</v>
      </c>
      <c r="Z709" s="4" t="s">
        <v>7886</v>
      </c>
      <c r="AA709" s="8" t="str">
        <v/>
      </c>
      <c r="AB709" s="8" t="str">
        <v/>
      </c>
      <c r="AC709" s="8" t="str">
        <v/>
      </c>
      <c r="AD709" s="8" t="str">
        <v/>
      </c>
      <c r="AE709" s="8" t="str">
        <v/>
      </c>
      <c r="AF709" s="8" t="str">
        <v/>
      </c>
      <c r="AG709" s="8" t="str">
        <v/>
      </c>
      <c r="AH709" s="8" t="str">
        <v/>
      </c>
      <c r="AI709" s="8" t="n">
        <v>11</v>
      </c>
      <c r="AJ709" s="8" t="str">
        <v>～59</v>
      </c>
      <c r="AK709" s="8" t="str">
        <v>5～9</v>
      </c>
      <c r="AL709" s="8" t="str">
        <v>10～19</v>
      </c>
      <c r="AM709" s="8" t="str">
        <v>～99</v>
      </c>
      <c r="AN709" s="8" t="str">
        <v>8～11</v>
      </c>
      <c r="AO709" s="8" t="str">
        <f aca="false">IF(A709="","",IF(COUNTIFS(全馬データ!$A$2:$A$50000,A709,全馬データ!$B$2:$B$50000,B709,全馬データ!$C$2:$C$50000,C709,全馬データ!$D$2:$D$50000,E709,全馬データ!$K$2:$K$50000,"&lt;&gt;")=0,"",SUMIFS(全馬データ!$K$2:$K$50000,全馬データ!$A$2:$A$50000,A709,全馬データ!$B$2:$B$50000,B709,全馬データ!$C$2:$C$50000,C709,全馬データ!$D$2:$D$50000,E709)))</f>
        <v/>
      </c>
      <c r="AP709" s="8" t="str">
        <f aca="false">IF(A709="","",IF(AO709="","欠損",IF(AO709&lt;=1.1,"1.0～1.1",IF(AO709&lt;1.3,"1.2",IF(AO709&lt;1.5,"1.3～1.4",IF(AO709&lt;2,"1.5～1.9","2.0以上"))))))</f>
        <v>欠損</v>
      </c>
      <c r="AQ709" s="8" t="str">
        <f aca="false">IF(A709="","",IF(ISNUMBER(SEARCH("2歳",Z709)),"2歳戦",IF(ISNUMBER(SEARCH("3歳未勝利",Z709)),"3歳未勝利",IF(ISNUMBER(SEARCH("未勝利",Z709)),"その他未勝利",IF(ISNUMBER(SEARCH("G1",Z709)),"G1",IF(ISNUMBER(SEARCH("G2",Z709)),"G2",IF(ISNUMBER(SEARCH("G3",Z709)),"G3",IF(ISNUMBER(SEARCH("古馬条件",Z709)),"古馬条件戦",IF(ISNUMBER(SEARCH("重賞",Z709)),"重賞","分類不能")))))))))</f>
        <v>分類不能</v>
      </c>
      <c r="AR709" s="8"/>
      <c r="AS709" s="8" t="s">
        <v>7842</v>
      </c>
      <c r="AT709" s="8" t="s">
        <v>7843</v>
      </c>
      <c r="AU709" s="8" t="s">
        <v>7634</v>
      </c>
      <c r="AV709" s="8" t="s">
        <v>7635</v>
      </c>
      <c r="AW709" s="8"/>
      <c r="AX709" s="8"/>
      <c r="AY709" s="8" t="s">
        <v>7610</v>
      </c>
      <c r="AZ709" s="4" t="s">
        <v>7617</v>
      </c>
      <c r="BA709" s="8" t="n">
        <v>1900</v>
      </c>
      <c r="BB709" s="8" t="s">
        <v>7598</v>
      </c>
      <c r="BC709" s="4" t="s">
        <v>7604</v>
      </c>
      <c r="BD709" s="8" t="s">
        <v>7605</v>
      </c>
      <c r="BE709" s="4" t="s">
        <v>7606</v>
      </c>
      <c r="BF709" s="8" t="s">
        <v>7607</v>
      </c>
      <c r="BG709" s="8" t="s">
        <v>7631</v>
      </c>
      <c r="BH709" s="4" t="s">
        <v>7632</v>
      </c>
      <c r="BI709" s="8" t="n">
        <v>8</v>
      </c>
      <c r="BJ709" s="8" t="s">
        <v>7602</v>
      </c>
      <c r="BK709" s="4" t="s">
        <v>7653</v>
      </c>
      <c r="BL709" s="8" t="s">
        <v>7602</v>
      </c>
      <c r="BM709" s="4" t="s">
        <v>7620</v>
      </c>
      <c r="BN709" s="8"/>
      <c r="BO709" s="8"/>
      <c r="BP709" s="8" t="s">
        <v>7610</v>
      </c>
      <c r="BQ709" s="8" t="str">
        <f aca="false">IF(A709="","",AT709)</f>
        <v>4歳以上</v>
      </c>
      <c r="BR709" s="8" t="str">
        <f aca="false">IF(A709="","",IF(BA709&lt;=1200,"～1200",IF(BA709&lt;=1500,"1300～1500",IF(BA709=1600,"1600",IF(BA709&lt;=1800,"1700～1800",IF(BA709&lt;=2000,"1900～2000","2100以上"))))))</f>
        <v>1900～2000</v>
      </c>
      <c r="BS709" s="8" t="str">
        <f aca="false">IF(A709="","",IF(AX709="G1","G1",IF(AX709="G2","G2",IF(AX709="G3","G3",IF(AX709="L","L","その他")))))</f>
        <v>その他</v>
      </c>
      <c r="BT709" s="8" t="str">
        <f aca="false">IF(A709="","",IF(BI709="","未結合",IF(D709=BI709,"一致","不一致")))</f>
        <v>一致</v>
      </c>
      <c r="BU709" s="8" t="str">
        <f aca="false">IF(A709="","",IF(BE709="牝馬限定","牝馬限定","その他"))</f>
        <v>その他</v>
      </c>
    </row>
    <row r="710" customFormat="false" ht="15.75" hidden="false" customHeight="false" outlineLevel="0" collapsed="false">
      <c r="A710" s="6" t="n">
        <v>46159</v>
      </c>
      <c r="B710" s="4" t="s">
        <v>5435</v>
      </c>
      <c r="C710" s="8" t="n">
        <v>9</v>
      </c>
      <c r="D710" s="8" t="n">
        <v>10</v>
      </c>
      <c r="E710" s="8" t="n">
        <v>5</v>
      </c>
      <c r="F710" s="4" t="s">
        <v>6433</v>
      </c>
      <c r="G710" s="8" t="n">
        <v>60</v>
      </c>
      <c r="H710" s="8" t="n">
        <v>3</v>
      </c>
      <c r="I710" s="4" t="s">
        <v>6431</v>
      </c>
      <c r="J710" s="8" t="n">
        <v>50</v>
      </c>
      <c r="K710" s="8" t="n">
        <v>1</v>
      </c>
      <c r="L710" s="4" t="s">
        <v>1982</v>
      </c>
      <c r="M710" s="8" t="n">
        <v>41</v>
      </c>
      <c r="N710" s="8" t="n">
        <f aca="false">IF(A710="","",G710-J710)</f>
        <v>10</v>
      </c>
      <c r="O710" s="8" t="n">
        <f aca="false">IF(A710="","",J710-M710)</f>
        <v>9</v>
      </c>
      <c r="P710" s="8" t="n">
        <f aca="false">IF(A710="","",G710+J710)</f>
        <v>110</v>
      </c>
      <c r="Q710" s="8" t="str">
        <f aca="false">IF(A710="","",IF(AND(Y710&lt;&gt;"参考",G710&gt;=ルール設定!$B$2),"○",""))</f>
        <v/>
      </c>
      <c r="R710" s="8" t="str">
        <f aca="false">IF(A710="","",IF(AND(Y710&lt;&gt;"参考",G710&gt;=ルール設定!$B$3,N710&gt;=ルール設定!$B$4),"○",""))</f>
        <v/>
      </c>
      <c r="S710" s="8" t="str">
        <f aca="false">IF(A710="","",IF(AND(Y710&lt;&gt;"参考",G710&gt;=ルール設定!$B$5,J710&gt;=ルール設定!$B$6,O710&gt;=ルール設定!$B$7),"○",""))</f>
        <v/>
      </c>
      <c r="T710" s="8" t="n">
        <v>2</v>
      </c>
      <c r="U710" s="8" t="n">
        <v>1</v>
      </c>
      <c r="V710" s="8" t="str">
        <f aca="false">IF(A710="","",IF(AND(ISNUMBER(T710),ISNUMBER(U710)),IF(AND(T710&lt;=3,U710&lt;=3),"○","×"),""))</f>
        <v>○</v>
      </c>
      <c r="W710" s="8" t="n">
        <v>100</v>
      </c>
      <c r="X710" s="8" t="n">
        <v>190</v>
      </c>
      <c r="Y710" s="4" t="s">
        <v>7597</v>
      </c>
      <c r="Z710" s="4" t="s">
        <v>7886</v>
      </c>
      <c r="AA710" s="8" t="str">
        <v/>
      </c>
      <c r="AB710" s="8" t="str">
        <v/>
      </c>
      <c r="AC710" s="8" t="str">
        <v/>
      </c>
      <c r="AD710" s="8" t="str">
        <v/>
      </c>
      <c r="AE710" s="8" t="str">
        <v/>
      </c>
      <c r="AF710" s="8" t="str">
        <v/>
      </c>
      <c r="AG710" s="8" t="str">
        <v/>
      </c>
      <c r="AH710" s="8" t="str">
        <v/>
      </c>
      <c r="AI710" s="8" t="n">
        <v>19</v>
      </c>
      <c r="AJ710" s="8" t="str">
        <v>60～69</v>
      </c>
      <c r="AK710" s="8" t="str">
        <v>10～19</v>
      </c>
      <c r="AL710" s="8" t="str">
        <v>10～19</v>
      </c>
      <c r="AM710" s="8" t="str">
        <v>100～119</v>
      </c>
      <c r="AN710" s="8" t="str">
        <v>8～11</v>
      </c>
      <c r="AO710" s="8" t="str">
        <f aca="false">IF(A710="","",IF(COUNTIFS(全馬データ!$A$2:$A$50000,A710,全馬データ!$B$2:$B$50000,B710,全馬データ!$C$2:$C$50000,C710,全馬データ!$D$2:$D$50000,E710,全馬データ!$K$2:$K$50000,"&lt;&gt;")=0,"",SUMIFS(全馬データ!$K$2:$K$50000,全馬データ!$A$2:$A$50000,A710,全馬データ!$B$2:$B$50000,B710,全馬データ!$C$2:$C$50000,C710,全馬データ!$D$2:$D$50000,E710)))</f>
        <v/>
      </c>
      <c r="AP710" s="8" t="str">
        <f aca="false">IF(A710="","",IF(AO710="","欠損",IF(AO710&lt;=1.1,"1.0～1.1",IF(AO710&lt;1.3,"1.2",IF(AO710&lt;1.5,"1.3～1.4",IF(AO710&lt;2,"1.5～1.9","2.0以上"))))))</f>
        <v>欠損</v>
      </c>
      <c r="AQ710" s="8" t="str">
        <f aca="false">IF(A710="","",IF(ISNUMBER(SEARCH("2歳",Z710)),"2歳戦",IF(ISNUMBER(SEARCH("3歳未勝利",Z710)),"3歳未勝利",IF(ISNUMBER(SEARCH("未勝利",Z710)),"その他未勝利",IF(ISNUMBER(SEARCH("G1",Z710)),"G1",IF(ISNUMBER(SEARCH("G2",Z710)),"G2",IF(ISNUMBER(SEARCH("G3",Z710)),"G3",IF(ISNUMBER(SEARCH("古馬条件",Z710)),"古馬条件戦",IF(ISNUMBER(SEARCH("重賞",Z710)),"重賞","分類不能")))))))))</f>
        <v>分類不能</v>
      </c>
      <c r="AR710" s="4" t="s">
        <v>7901</v>
      </c>
      <c r="AS710" s="8" t="s">
        <v>7842</v>
      </c>
      <c r="AT710" s="8" t="s">
        <v>7843</v>
      </c>
      <c r="AU710" s="8" t="s">
        <v>7634</v>
      </c>
      <c r="AV710" s="8" t="s">
        <v>7635</v>
      </c>
      <c r="AW710" s="8" t="s">
        <v>7636</v>
      </c>
      <c r="AX710" s="4" t="s">
        <v>7637</v>
      </c>
      <c r="AY710" s="8" t="s">
        <v>7602</v>
      </c>
      <c r="AZ710" s="4" t="s">
        <v>7603</v>
      </c>
      <c r="BA710" s="8" t="n">
        <v>2400</v>
      </c>
      <c r="BB710" s="8" t="s">
        <v>7598</v>
      </c>
      <c r="BC710" s="4" t="s">
        <v>7604</v>
      </c>
      <c r="BD710" s="8" t="s">
        <v>7630</v>
      </c>
      <c r="BE710" s="4" t="s">
        <v>7606</v>
      </c>
      <c r="BF710" s="8" t="s">
        <v>7607</v>
      </c>
      <c r="BG710" s="8" t="s">
        <v>7631</v>
      </c>
      <c r="BH710" s="4" t="s">
        <v>7632</v>
      </c>
      <c r="BI710" s="8" t="n">
        <v>10</v>
      </c>
      <c r="BJ710" s="8" t="s">
        <v>7602</v>
      </c>
      <c r="BK710" s="4" t="s">
        <v>7653</v>
      </c>
      <c r="BL710" s="8" t="s">
        <v>7610</v>
      </c>
      <c r="BM710" s="4" t="s">
        <v>7612</v>
      </c>
      <c r="BN710" s="8" t="s">
        <v>7676</v>
      </c>
      <c r="BO710" s="8" t="s">
        <v>7778</v>
      </c>
      <c r="BP710" s="8" t="s">
        <v>7610</v>
      </c>
      <c r="BQ710" s="8" t="str">
        <f aca="false">IF(A710="","",AT710)</f>
        <v>4歳以上</v>
      </c>
      <c r="BR710" s="8" t="str">
        <f aca="false">IF(A710="","",IF(BA710&lt;=1200,"～1200",IF(BA710&lt;=1500,"1300～1500",IF(BA710=1600,"1600",IF(BA710&lt;=1800,"1700～1800",IF(BA710&lt;=2000,"1900～2000","2100以上"))))))</f>
        <v>2100以上</v>
      </c>
      <c r="BS710" s="8" t="str">
        <f aca="false">IF(A710="","",IF(AX710="G1","G1",IF(AX710="G2","G2",IF(AX710="G3","G3",IF(AX710="L","L","その他")))))</f>
        <v>その他</v>
      </c>
      <c r="BT710" s="8" t="str">
        <f aca="false">IF(A710="","",IF(BI710="","未結合",IF(D710=BI710,"一致","不一致")))</f>
        <v>一致</v>
      </c>
      <c r="BU710" s="8" t="str">
        <f aca="false">IF(A710="","",IF(BE710="牝馬限定","牝馬限定","その他"))</f>
        <v>その他</v>
      </c>
    </row>
    <row r="711" customFormat="false" ht="15.75" hidden="false" customHeight="false" outlineLevel="0" collapsed="false">
      <c r="A711" s="6" t="n">
        <v>46159</v>
      </c>
      <c r="B711" s="4" t="s">
        <v>5435</v>
      </c>
      <c r="C711" s="8" t="n">
        <v>10</v>
      </c>
      <c r="D711" s="8" t="n">
        <v>13</v>
      </c>
      <c r="E711" s="8" t="n">
        <v>10</v>
      </c>
      <c r="F711" s="4" t="s">
        <v>2266</v>
      </c>
      <c r="G711" s="8" t="n">
        <v>52</v>
      </c>
      <c r="H711" s="8" t="n">
        <v>1</v>
      </c>
      <c r="I711" s="4" t="s">
        <v>5298</v>
      </c>
      <c r="J711" s="8" t="n">
        <v>34</v>
      </c>
      <c r="K711" s="8" t="n">
        <v>8</v>
      </c>
      <c r="L711" s="4" t="s">
        <v>6439</v>
      </c>
      <c r="M711" s="8" t="n">
        <v>34</v>
      </c>
      <c r="N711" s="8" t="n">
        <f aca="false">IF(A711="","",G711-J711)</f>
        <v>18</v>
      </c>
      <c r="O711" s="8" t="n">
        <f aca="false">IF(A711="","",J711-M711)</f>
        <v>0</v>
      </c>
      <c r="P711" s="8" t="n">
        <f aca="false">IF(A711="","",G711+J711)</f>
        <v>86</v>
      </c>
      <c r="Q711" s="8" t="str">
        <f aca="false">IF(A711="","",IF(AND(Y711&lt;&gt;"参考",G711&gt;=ルール設定!$B$2),"○",""))</f>
        <v/>
      </c>
      <c r="R711" s="8" t="str">
        <f aca="false">IF(A711="","",IF(AND(Y711&lt;&gt;"参考",G711&gt;=ルール設定!$B$3,N711&gt;=ルール設定!$B$4),"○",""))</f>
        <v/>
      </c>
      <c r="S711" s="8" t="str">
        <f aca="false">IF(A711="","",IF(AND(Y711&lt;&gt;"参考",G711&gt;=ルール設定!$B$5,J711&gt;=ルール設定!$B$6,O711&gt;=ルール設定!$B$7),"○",""))</f>
        <v/>
      </c>
      <c r="T711" s="8" t="n">
        <v>4</v>
      </c>
      <c r="U711" s="8" t="n">
        <v>4</v>
      </c>
      <c r="V711" s="8" t="str">
        <f aca="false">IF(A711="","",IF(AND(ISNUMBER(T711),ISNUMBER(U711)),IF(AND(T711&lt;=3,U711&lt;=3),"○","×"),""))</f>
        <v>×</v>
      </c>
      <c r="W711" s="8"/>
      <c r="X711" s="8"/>
      <c r="Y711" s="4" t="s">
        <v>7597</v>
      </c>
      <c r="Z711" s="4" t="s">
        <v>7886</v>
      </c>
      <c r="AA711" s="8" t="str">
        <v/>
      </c>
      <c r="AB711" s="8" t="str">
        <v/>
      </c>
      <c r="AC711" s="8" t="str">
        <v/>
      </c>
      <c r="AD711" s="8" t="str">
        <v/>
      </c>
      <c r="AE711" s="8" t="str">
        <v/>
      </c>
      <c r="AF711" s="8" t="str">
        <v/>
      </c>
      <c r="AG711" s="8" t="str">
        <v/>
      </c>
      <c r="AH711" s="8" t="str">
        <v/>
      </c>
      <c r="AI711" s="8" t="n">
        <v>18</v>
      </c>
      <c r="AJ711" s="8" t="str">
        <v>～59</v>
      </c>
      <c r="AK711" s="8" t="str">
        <v>10～19</v>
      </c>
      <c r="AL711" s="8" t="str">
        <v>10～19</v>
      </c>
      <c r="AM711" s="8" t="str">
        <v>～99</v>
      </c>
      <c r="AN711" s="8" t="str">
        <v>12～14</v>
      </c>
      <c r="AO711" s="8" t="str">
        <f aca="false">IF(A711="","",IF(COUNTIFS(全馬データ!$A$2:$A$50000,A711,全馬データ!$B$2:$B$50000,B711,全馬データ!$C$2:$C$50000,C711,全馬データ!$D$2:$D$50000,E711,全馬データ!$K$2:$K$50000,"&lt;&gt;")=0,"",SUMIFS(全馬データ!$K$2:$K$50000,全馬データ!$A$2:$A$50000,A711,全馬データ!$B$2:$B$50000,B711,全馬データ!$C$2:$C$50000,C711,全馬データ!$D$2:$D$50000,E711)))</f>
        <v/>
      </c>
      <c r="AP711" s="8" t="str">
        <f aca="false">IF(A711="","",IF(AO711="","欠損",IF(AO711&lt;=1.1,"1.0～1.1",IF(AO711&lt;1.3,"1.2",IF(AO711&lt;1.5,"1.3～1.4",IF(AO711&lt;2,"1.5～1.9","2.0以上"))))))</f>
        <v>欠損</v>
      </c>
      <c r="AQ711" s="8" t="str">
        <f aca="false">IF(A711="","",IF(ISNUMBER(SEARCH("2歳",Z711)),"2歳戦",IF(ISNUMBER(SEARCH("3歳未勝利",Z711)),"3歳未勝利",IF(ISNUMBER(SEARCH("未勝利",Z711)),"その他未勝利",IF(ISNUMBER(SEARCH("G1",Z711)),"G1",IF(ISNUMBER(SEARCH("G2",Z711)),"G2",IF(ISNUMBER(SEARCH("G3",Z711)),"G3",IF(ISNUMBER(SEARCH("古馬条件",Z711)),"古馬条件戦",IF(ISNUMBER(SEARCH("重賞",Z711)),"重賞","分類不能")))))))))</f>
        <v>分類不能</v>
      </c>
      <c r="AR711" s="4" t="s">
        <v>7902</v>
      </c>
      <c r="AS711" s="8" t="s">
        <v>7842</v>
      </c>
      <c r="AT711" s="8" t="s">
        <v>7843</v>
      </c>
      <c r="AU711" s="8" t="s">
        <v>7639</v>
      </c>
      <c r="AV711" s="8" t="s">
        <v>7640</v>
      </c>
      <c r="AW711" s="8" t="s">
        <v>7636</v>
      </c>
      <c r="AX711" s="4" t="s">
        <v>7637</v>
      </c>
      <c r="AY711" s="8" t="s">
        <v>7602</v>
      </c>
      <c r="AZ711" s="4" t="s">
        <v>7603</v>
      </c>
      <c r="BA711" s="8" t="n">
        <v>1600</v>
      </c>
      <c r="BB711" s="8" t="s">
        <v>7598</v>
      </c>
      <c r="BC711" s="4" t="s">
        <v>7604</v>
      </c>
      <c r="BD711" s="8" t="s">
        <v>7605</v>
      </c>
      <c r="BE711" s="4" t="s">
        <v>7606</v>
      </c>
      <c r="BF711" s="8" t="s">
        <v>7607</v>
      </c>
      <c r="BG711" s="8" t="s">
        <v>7602</v>
      </c>
      <c r="BH711" s="4" t="s">
        <v>7667</v>
      </c>
      <c r="BI711" s="8" t="n">
        <v>13</v>
      </c>
      <c r="BJ711" s="8" t="s">
        <v>7602</v>
      </c>
      <c r="BK711" s="4" t="s">
        <v>7653</v>
      </c>
      <c r="BL711" s="8" t="s">
        <v>7610</v>
      </c>
      <c r="BM711" s="4" t="s">
        <v>7612</v>
      </c>
      <c r="BN711" s="8" t="s">
        <v>7676</v>
      </c>
      <c r="BO711" s="8" t="s">
        <v>7778</v>
      </c>
      <c r="BP711" s="8" t="s">
        <v>7610</v>
      </c>
      <c r="BQ711" s="8" t="str">
        <f aca="false">IF(A711="","",AT711)</f>
        <v>4歳以上</v>
      </c>
      <c r="BR711" s="8" t="str">
        <f aca="false">IF(A711="","",IF(BA711&lt;=1200,"～1200",IF(BA711&lt;=1500,"1300～1500",IF(BA711=1600,"1600",IF(BA711&lt;=1800,"1700～1800",IF(BA711&lt;=2000,"1900～2000","2100以上"))))))</f>
        <v>1600</v>
      </c>
      <c r="BS711" s="8" t="str">
        <f aca="false">IF(A711="","",IF(AX711="G1","G1",IF(AX711="G2","G2",IF(AX711="G3","G3",IF(AX711="L","L","その他")))))</f>
        <v>その他</v>
      </c>
      <c r="BT711" s="8" t="str">
        <f aca="false">IF(A711="","",IF(BI711="","未結合",IF(D711=BI711,"一致","不一致")))</f>
        <v>一致</v>
      </c>
      <c r="BU711" s="8" t="str">
        <f aca="false">IF(A711="","",IF(BE711="牝馬限定","牝馬限定","その他"))</f>
        <v>その他</v>
      </c>
    </row>
    <row r="712" customFormat="false" ht="15.75" hidden="false" customHeight="false" outlineLevel="0" collapsed="false">
      <c r="A712" s="6" t="n">
        <v>46159</v>
      </c>
      <c r="B712" s="4" t="s">
        <v>5435</v>
      </c>
      <c r="C712" s="8" t="n">
        <v>11</v>
      </c>
      <c r="D712" s="8" t="n">
        <v>16</v>
      </c>
      <c r="E712" s="8" t="n">
        <v>1</v>
      </c>
      <c r="F712" s="4" t="s">
        <v>706</v>
      </c>
      <c r="G712" s="8" t="n">
        <v>47</v>
      </c>
      <c r="H712" s="8" t="n">
        <v>11</v>
      </c>
      <c r="I712" s="4" t="s">
        <v>705</v>
      </c>
      <c r="J712" s="8" t="n">
        <v>44</v>
      </c>
      <c r="K712" s="8" t="n">
        <v>13</v>
      </c>
      <c r="L712" s="4" t="s">
        <v>6449</v>
      </c>
      <c r="M712" s="8" t="n">
        <v>39</v>
      </c>
      <c r="N712" s="8" t="n">
        <f aca="false">IF(A712="","",G712-J712)</f>
        <v>3</v>
      </c>
      <c r="O712" s="8" t="n">
        <f aca="false">IF(A712="","",J712-M712)</f>
        <v>5</v>
      </c>
      <c r="P712" s="8" t="n">
        <f aca="false">IF(A712="","",G712+J712)</f>
        <v>91</v>
      </c>
      <c r="Q712" s="8" t="str">
        <f aca="false">IF(A712="","",IF(AND(Y712&lt;&gt;"参考",G712&gt;=ルール設定!$B$2),"○",""))</f>
        <v/>
      </c>
      <c r="R712" s="8" t="str">
        <f aca="false">IF(A712="","",IF(AND(Y712&lt;&gt;"参考",G712&gt;=ルール設定!$B$3,N712&gt;=ルール設定!$B$4),"○",""))</f>
        <v/>
      </c>
      <c r="S712" s="8" t="str">
        <f aca="false">IF(A712="","",IF(AND(Y712&lt;&gt;"参考",G712&gt;=ルール設定!$B$5,J712&gt;=ルール設定!$B$6,O712&gt;=ルール設定!$B$7),"○",""))</f>
        <v/>
      </c>
      <c r="T712" s="8" t="n">
        <v>3</v>
      </c>
      <c r="U712" s="8" t="n">
        <v>2</v>
      </c>
      <c r="V712" s="8" t="str">
        <f aca="false">IF(A712="","",IF(AND(ISNUMBER(T712),ISNUMBER(U712)),IF(AND(T712&lt;=3,U712&lt;=3),"○","×"),""))</f>
        <v>○</v>
      </c>
      <c r="W712" s="8" t="n">
        <v>180</v>
      </c>
      <c r="X712" s="8" t="n">
        <v>620</v>
      </c>
      <c r="Y712" s="4" t="s">
        <v>7597</v>
      </c>
      <c r="Z712" s="4" t="s">
        <v>7886</v>
      </c>
      <c r="AA712" s="8" t="str">
        <v/>
      </c>
      <c r="AB712" s="8" t="str">
        <v/>
      </c>
      <c r="AC712" s="8" t="str">
        <v/>
      </c>
      <c r="AD712" s="8" t="str">
        <v/>
      </c>
      <c r="AE712" s="8" t="str">
        <v/>
      </c>
      <c r="AF712" s="8" t="str">
        <v/>
      </c>
      <c r="AG712" s="8" t="str">
        <v/>
      </c>
      <c r="AH712" s="8" t="str">
        <v/>
      </c>
      <c r="AI712" s="8" t="n">
        <v>8</v>
      </c>
      <c r="AJ712" s="8" t="str">
        <v>～59</v>
      </c>
      <c r="AK712" s="8" t="str">
        <v>0～4</v>
      </c>
      <c r="AL712" s="8" t="str">
        <v>0～9</v>
      </c>
      <c r="AM712" s="8" t="str">
        <v>～99</v>
      </c>
      <c r="AN712" s="8" t="str">
        <v>15以上</v>
      </c>
      <c r="AO712" s="8" t="str">
        <f aca="false">IF(A712="","",IF(COUNTIFS(全馬データ!$A$2:$A$50000,A712,全馬データ!$B$2:$B$50000,B712,全馬データ!$C$2:$C$50000,C712,全馬データ!$D$2:$D$50000,E712,全馬データ!$K$2:$K$50000,"&lt;&gt;")=0,"",SUMIFS(全馬データ!$K$2:$K$50000,全馬データ!$A$2:$A$50000,A712,全馬データ!$B$2:$B$50000,B712,全馬データ!$C$2:$C$50000,C712,全馬データ!$D$2:$D$50000,E712)))</f>
        <v/>
      </c>
      <c r="AP712" s="8" t="str">
        <f aca="false">IF(A712="","",IF(AO712="","欠損",IF(AO712&lt;=1.1,"1.0～1.1",IF(AO712&lt;1.3,"1.2",IF(AO712&lt;1.5,"1.3～1.4",IF(AO712&lt;2,"1.5～1.9","2.0以上"))))))</f>
        <v>欠損</v>
      </c>
      <c r="AQ712" s="8" t="str">
        <f aca="false">IF(A712="","",IF(ISNUMBER(SEARCH("2歳",Z712)),"2歳戦",IF(ISNUMBER(SEARCH("3歳未勝利",Z712)),"3歳未勝利",IF(ISNUMBER(SEARCH("未勝利",Z712)),"その他未勝利",IF(ISNUMBER(SEARCH("G1",Z712)),"G1",IF(ISNUMBER(SEARCH("G2",Z712)),"G2",IF(ISNUMBER(SEARCH("G3",Z712)),"G3",IF(ISNUMBER(SEARCH("古馬条件",Z712)),"古馬条件戦",IF(ISNUMBER(SEARCH("重賞",Z712)),"重賞","分類不能")))))))))</f>
        <v>分類不能</v>
      </c>
      <c r="AR712" s="4" t="s">
        <v>7903</v>
      </c>
      <c r="AS712" s="8" t="s">
        <v>7842</v>
      </c>
      <c r="AT712" s="8" t="s">
        <v>7843</v>
      </c>
      <c r="AU712" s="8" t="s">
        <v>7643</v>
      </c>
      <c r="AV712" s="4" t="s">
        <v>7644</v>
      </c>
      <c r="AW712" s="8" t="s">
        <v>7676</v>
      </c>
      <c r="AX712" s="8" t="s">
        <v>7677</v>
      </c>
      <c r="AY712" s="8" t="s">
        <v>7610</v>
      </c>
      <c r="AZ712" s="4" t="s">
        <v>7617</v>
      </c>
      <c r="BA712" s="8" t="n">
        <v>1400</v>
      </c>
      <c r="BB712" s="8" t="s">
        <v>7598</v>
      </c>
      <c r="BC712" s="4" t="s">
        <v>7604</v>
      </c>
      <c r="BD712" s="8" t="s">
        <v>7666</v>
      </c>
      <c r="BE712" s="4" t="s">
        <v>7606</v>
      </c>
      <c r="BF712" s="8" t="s">
        <v>7607</v>
      </c>
      <c r="BG712" s="8" t="s">
        <v>7602</v>
      </c>
      <c r="BH712" s="4" t="s">
        <v>7667</v>
      </c>
      <c r="BI712" s="8" t="n">
        <v>16</v>
      </c>
      <c r="BJ712" s="8" t="s">
        <v>7602</v>
      </c>
      <c r="BK712" s="4" t="s">
        <v>7653</v>
      </c>
      <c r="BL712" s="8" t="s">
        <v>7602</v>
      </c>
      <c r="BM712" s="4" t="s">
        <v>7620</v>
      </c>
      <c r="BN712" s="8"/>
      <c r="BO712" s="8"/>
      <c r="BP712" s="8" t="s">
        <v>7610</v>
      </c>
      <c r="BQ712" s="8" t="str">
        <f aca="false">IF(A712="","",AT712)</f>
        <v>4歳以上</v>
      </c>
      <c r="BR712" s="8" t="str">
        <f aca="false">IF(A712="","",IF(BA712&lt;=1200,"～1200",IF(BA712&lt;=1500,"1300～1500",IF(BA712=1600,"1600",IF(BA712&lt;=1800,"1700～1800",IF(BA712&lt;=2000,"1900～2000","2100以上"))))))</f>
        <v>1300～1500</v>
      </c>
      <c r="BS712" s="8" t="str">
        <f aca="false">IF(A712="","",IF(AX712="G1","G1",IF(AX712="G2","G2",IF(AX712="G3","G3",IF(AX712="L","L","その他")))))</f>
        <v>L</v>
      </c>
      <c r="BT712" s="8" t="str">
        <f aca="false">IF(A712="","",IF(BI712="","未結合",IF(D712=BI712,"一致","不一致")))</f>
        <v>一致</v>
      </c>
      <c r="BU712" s="8" t="str">
        <f aca="false">IF(A712="","",IF(BE712="牝馬限定","牝馬限定","その他"))</f>
        <v>その他</v>
      </c>
    </row>
    <row r="713" customFormat="false" ht="15.75" hidden="false" customHeight="false" outlineLevel="0" collapsed="false">
      <c r="A713" s="6" t="n">
        <v>46159</v>
      </c>
      <c r="B713" s="4" t="s">
        <v>5435</v>
      </c>
      <c r="C713" s="8" t="n">
        <v>12</v>
      </c>
      <c r="D713" s="8" t="n">
        <v>13</v>
      </c>
      <c r="E713" s="8" t="n">
        <v>8</v>
      </c>
      <c r="F713" s="4" t="s">
        <v>3746</v>
      </c>
      <c r="G713" s="8" t="n">
        <v>50</v>
      </c>
      <c r="H713" s="8" t="n">
        <v>11</v>
      </c>
      <c r="I713" s="4" t="s">
        <v>5955</v>
      </c>
      <c r="J713" s="8" t="n">
        <v>47</v>
      </c>
      <c r="K713" s="8" t="n">
        <v>7</v>
      </c>
      <c r="L713" s="4" t="s">
        <v>3934</v>
      </c>
      <c r="M713" s="8" t="n">
        <v>44</v>
      </c>
      <c r="N713" s="8" t="n">
        <f aca="false">IF(A713="","",G713-J713)</f>
        <v>3</v>
      </c>
      <c r="O713" s="8" t="n">
        <f aca="false">IF(A713="","",J713-M713)</f>
        <v>3</v>
      </c>
      <c r="P713" s="8" t="n">
        <f aca="false">IF(A713="","",G713+J713)</f>
        <v>97</v>
      </c>
      <c r="Q713" s="8" t="str">
        <f aca="false">IF(A713="","",IF(AND(Y713&lt;&gt;"参考",G713&gt;=ルール設定!$B$2),"○",""))</f>
        <v/>
      </c>
      <c r="R713" s="8" t="str">
        <f aca="false">IF(A713="","",IF(AND(Y713&lt;&gt;"参考",G713&gt;=ルール設定!$B$3,N713&gt;=ルール設定!$B$4),"○",""))</f>
        <v/>
      </c>
      <c r="S713" s="8" t="str">
        <f aca="false">IF(A713="","",IF(AND(Y713&lt;&gt;"参考",G713&gt;=ルール設定!$B$5,J713&gt;=ルール設定!$B$6,O713&gt;=ルール設定!$B$7),"○",""))</f>
        <v/>
      </c>
      <c r="T713" s="8" t="n">
        <v>4</v>
      </c>
      <c r="U713" s="8" t="n">
        <v>4</v>
      </c>
      <c r="V713" s="8" t="str">
        <f aca="false">IF(A713="","",IF(AND(ISNUMBER(T713),ISNUMBER(U713)),IF(AND(T713&lt;=3,U713&lt;=3),"○","×"),""))</f>
        <v>×</v>
      </c>
      <c r="W713" s="8"/>
      <c r="X713" s="8"/>
      <c r="Y713" s="4" t="s">
        <v>7597</v>
      </c>
      <c r="Z713" s="4" t="s">
        <v>7886</v>
      </c>
      <c r="AA713" s="8" t="str">
        <v/>
      </c>
      <c r="AB713" s="8" t="str">
        <v/>
      </c>
      <c r="AC713" s="8" t="str">
        <v/>
      </c>
      <c r="AD713" s="8" t="str">
        <v/>
      </c>
      <c r="AE713" s="8" t="str">
        <v/>
      </c>
      <c r="AF713" s="8" t="str">
        <v/>
      </c>
      <c r="AG713" s="8" t="str">
        <v/>
      </c>
      <c r="AH713" s="8" t="str">
        <v/>
      </c>
      <c r="AI713" s="8" t="n">
        <v>6</v>
      </c>
      <c r="AJ713" s="8" t="str">
        <v>～59</v>
      </c>
      <c r="AK713" s="8" t="str">
        <v>0～4</v>
      </c>
      <c r="AL713" s="8" t="str">
        <v>0～9</v>
      </c>
      <c r="AM713" s="8" t="str">
        <v>～99</v>
      </c>
      <c r="AN713" s="8" t="str">
        <v>12～14</v>
      </c>
      <c r="AO713" s="8" t="str">
        <f aca="false">IF(A713="","",IF(COUNTIFS(全馬データ!$A$2:$A$50000,A713,全馬データ!$B$2:$B$50000,B713,全馬データ!$C$2:$C$50000,C713,全馬データ!$D$2:$D$50000,E713,全馬データ!$K$2:$K$50000,"&lt;&gt;")=0,"",SUMIFS(全馬データ!$K$2:$K$50000,全馬データ!$A$2:$A$50000,A713,全馬データ!$B$2:$B$50000,B713,全馬データ!$C$2:$C$50000,C713,全馬データ!$D$2:$D$50000,E713)))</f>
        <v/>
      </c>
      <c r="AP713" s="8" t="str">
        <f aca="false">IF(A713="","",IF(AO713="","欠損",IF(AO713&lt;=1.1,"1.0～1.1",IF(AO713&lt;1.3,"1.2",IF(AO713&lt;1.5,"1.3～1.4",IF(AO713&lt;2,"1.5～1.9","2.0以上"))))))</f>
        <v>欠損</v>
      </c>
      <c r="AQ713" s="8" t="str">
        <f aca="false">IF(A713="","",IF(ISNUMBER(SEARCH("2歳",Z713)),"2歳戦",IF(ISNUMBER(SEARCH("3歳未勝利",Z713)),"3歳未勝利",IF(ISNUMBER(SEARCH("未勝利",Z713)),"その他未勝利",IF(ISNUMBER(SEARCH("G1",Z713)),"G1",IF(ISNUMBER(SEARCH("G2",Z713)),"G2",IF(ISNUMBER(SEARCH("G3",Z713)),"G3",IF(ISNUMBER(SEARCH("古馬条件",Z713)),"古馬条件戦",IF(ISNUMBER(SEARCH("重賞",Z713)),"重賞","分類不能")))))))))</f>
        <v>分類不能</v>
      </c>
      <c r="AR713" s="8"/>
      <c r="AS713" s="8" t="s">
        <v>7842</v>
      </c>
      <c r="AT713" s="8" t="s">
        <v>7843</v>
      </c>
      <c r="AU713" s="8" t="s">
        <v>7634</v>
      </c>
      <c r="AV713" s="8" t="s">
        <v>7635</v>
      </c>
      <c r="AW713" s="8"/>
      <c r="AX713" s="8"/>
      <c r="AY713" s="8" t="s">
        <v>7602</v>
      </c>
      <c r="AZ713" s="4" t="s">
        <v>7603</v>
      </c>
      <c r="BA713" s="8" t="n">
        <v>1400</v>
      </c>
      <c r="BB713" s="8" t="s">
        <v>7598</v>
      </c>
      <c r="BC713" s="4" t="s">
        <v>7604</v>
      </c>
      <c r="BD713" s="8" t="s">
        <v>7605</v>
      </c>
      <c r="BE713" s="4" t="s">
        <v>7606</v>
      </c>
      <c r="BF713" s="8" t="s">
        <v>7607</v>
      </c>
      <c r="BG713" s="8" t="s">
        <v>7631</v>
      </c>
      <c r="BH713" s="4" t="s">
        <v>7632</v>
      </c>
      <c r="BI713" s="8" t="n">
        <v>13</v>
      </c>
      <c r="BJ713" s="8" t="s">
        <v>7602</v>
      </c>
      <c r="BK713" s="4" t="s">
        <v>7653</v>
      </c>
      <c r="BL713" s="8" t="s">
        <v>7610</v>
      </c>
      <c r="BM713" s="4" t="s">
        <v>7612</v>
      </c>
      <c r="BN713" s="8" t="s">
        <v>7676</v>
      </c>
      <c r="BO713" s="8" t="s">
        <v>7778</v>
      </c>
      <c r="BP713" s="8" t="s">
        <v>7610</v>
      </c>
      <c r="BQ713" s="8" t="str">
        <f aca="false">IF(A713="","",AT713)</f>
        <v>4歳以上</v>
      </c>
      <c r="BR713" s="8" t="str">
        <f aca="false">IF(A713="","",IF(BA713&lt;=1200,"～1200",IF(BA713&lt;=1500,"1300～1500",IF(BA713=1600,"1600",IF(BA713&lt;=1800,"1700～1800",IF(BA713&lt;=2000,"1900～2000","2100以上"))))))</f>
        <v>1300～1500</v>
      </c>
      <c r="BS713" s="8" t="str">
        <f aca="false">IF(A713="","",IF(AX713="G1","G1",IF(AX713="G2","G2",IF(AX713="G3","G3",IF(AX713="L","L","その他")))))</f>
        <v>その他</v>
      </c>
      <c r="BT713" s="8" t="str">
        <f aca="false">IF(A713="","",IF(BI713="","未結合",IF(D713=BI713,"一致","不一致")))</f>
        <v>一致</v>
      </c>
      <c r="BU713" s="8" t="str">
        <f aca="false">IF(A713="","",IF(BE713="牝馬限定","牝馬限定","その他"))</f>
        <v>その他</v>
      </c>
    </row>
    <row r="714" customFormat="false" ht="15.75" hidden="false" customHeight="false" outlineLevel="0" collapsed="false">
      <c r="A714" s="6" t="n">
        <v>46159</v>
      </c>
      <c r="B714" s="4" t="s">
        <v>13</v>
      </c>
      <c r="C714" s="8" t="n">
        <v>1</v>
      </c>
      <c r="D714" s="8" t="n">
        <v>14</v>
      </c>
      <c r="E714" s="8" t="n">
        <v>6</v>
      </c>
      <c r="F714" s="4" t="s">
        <v>6455</v>
      </c>
      <c r="G714" s="8" t="n">
        <v>55</v>
      </c>
      <c r="H714" s="8" t="n">
        <v>13</v>
      </c>
      <c r="I714" s="4" t="s">
        <v>4272</v>
      </c>
      <c r="J714" s="8" t="n">
        <v>44</v>
      </c>
      <c r="K714" s="8" t="n">
        <v>8</v>
      </c>
      <c r="L714" s="4" t="s">
        <v>5824</v>
      </c>
      <c r="M714" s="8" t="n">
        <v>37</v>
      </c>
      <c r="N714" s="8" t="n">
        <f aca="false">IF(A714="","",G714-J714)</f>
        <v>11</v>
      </c>
      <c r="O714" s="8" t="n">
        <f aca="false">IF(A714="","",J714-M714)</f>
        <v>7</v>
      </c>
      <c r="P714" s="8" t="n">
        <f aca="false">IF(A714="","",G714+J714)</f>
        <v>99</v>
      </c>
      <c r="Q714" s="8" t="str">
        <f aca="false">IF(A714="","",IF(AND(Y714&lt;&gt;"参考",G714&gt;=ルール設定!$B$2),"○",""))</f>
        <v/>
      </c>
      <c r="R714" s="8" t="str">
        <f aca="false">IF(A714="","",IF(AND(Y714&lt;&gt;"参考",G714&gt;=ルール設定!$B$3,N714&gt;=ルール設定!$B$4),"○",""))</f>
        <v/>
      </c>
      <c r="S714" s="8" t="str">
        <f aca="false">IF(A714="","",IF(AND(Y714&lt;&gt;"参考",G714&gt;=ルール設定!$B$5,J714&gt;=ルール設定!$B$6,O714&gt;=ルール設定!$B$7),"○",""))</f>
        <v/>
      </c>
      <c r="T714" s="8" t="n">
        <v>1</v>
      </c>
      <c r="U714" s="8" t="n">
        <v>4</v>
      </c>
      <c r="V714" s="8" t="str">
        <f aca="false">IF(A714="","",IF(AND(ISNUMBER(T714),ISNUMBER(U714)),IF(AND(T714&lt;=3,U714&lt;=3),"○","×"),""))</f>
        <v>×</v>
      </c>
      <c r="W714" s="8" t="n">
        <v>110</v>
      </c>
      <c r="X714" s="8"/>
      <c r="Y714" s="4" t="s">
        <v>7597</v>
      </c>
      <c r="Z714" s="4" t="s">
        <v>7886</v>
      </c>
      <c r="AA714" s="8" t="str">
        <v/>
      </c>
      <c r="AB714" s="8" t="str">
        <v/>
      </c>
      <c r="AC714" s="8" t="str">
        <v/>
      </c>
      <c r="AD714" s="8" t="str">
        <v/>
      </c>
      <c r="AE714" s="8" t="str">
        <v/>
      </c>
      <c r="AF714" s="8" t="str">
        <v/>
      </c>
      <c r="AG714" s="8" t="str">
        <v/>
      </c>
      <c r="AH714" s="8" t="str">
        <v/>
      </c>
      <c r="AI714" s="8" t="n">
        <v>18</v>
      </c>
      <c r="AJ714" s="8" t="str">
        <v>～59</v>
      </c>
      <c r="AK714" s="8" t="str">
        <v>10～19</v>
      </c>
      <c r="AL714" s="8" t="str">
        <v>10～19</v>
      </c>
      <c r="AM714" s="8" t="str">
        <v>～99</v>
      </c>
      <c r="AN714" s="8" t="str">
        <v>12～14</v>
      </c>
      <c r="AO714" s="8" t="str">
        <f aca="false">IF(A714="","",IF(COUNTIFS(全馬データ!$A$2:$A$50000,A714,全馬データ!$B$2:$B$50000,B714,全馬データ!$C$2:$C$50000,C714,全馬データ!$D$2:$D$50000,E714,全馬データ!$K$2:$K$50000,"&lt;&gt;")=0,"",SUMIFS(全馬データ!$K$2:$K$50000,全馬データ!$A$2:$A$50000,A714,全馬データ!$B$2:$B$50000,B714,全馬データ!$C$2:$C$50000,C714,全馬データ!$D$2:$D$50000,E714)))</f>
        <v/>
      </c>
      <c r="AP714" s="8" t="str">
        <f aca="false">IF(A714="","",IF(AO714="","欠損",IF(AO714&lt;=1.1,"1.0～1.1",IF(AO714&lt;1.3,"1.2",IF(AO714&lt;1.5,"1.3～1.4",IF(AO714&lt;2,"1.5～1.9","2.0以上"))))))</f>
        <v>欠損</v>
      </c>
      <c r="AQ714" s="8" t="str">
        <f aca="false">IF(A714="","",IF(ISNUMBER(SEARCH("2歳",Z714)),"2歳戦",IF(ISNUMBER(SEARCH("3歳未勝利",Z714)),"3歳未勝利",IF(ISNUMBER(SEARCH("未勝利",Z714)),"その他未勝利",IF(ISNUMBER(SEARCH("G1",Z714)),"G1",IF(ISNUMBER(SEARCH("G2",Z714)),"G2",IF(ISNUMBER(SEARCH("G3",Z714)),"G3",IF(ISNUMBER(SEARCH("古馬条件",Z714)),"古馬条件戦",IF(ISNUMBER(SEARCH("重賞",Z714)),"重賞","分類不能")))))))))</f>
        <v>分類不能</v>
      </c>
      <c r="AR714" s="8"/>
      <c r="AS714" s="8" t="s">
        <v>7618</v>
      </c>
      <c r="AT714" s="4" t="s">
        <v>7642</v>
      </c>
      <c r="AU714" s="8" t="s">
        <v>7600</v>
      </c>
      <c r="AV714" s="4" t="s">
        <v>7601</v>
      </c>
      <c r="AW714" s="8"/>
      <c r="AX714" s="8"/>
      <c r="AY714" s="8" t="s">
        <v>7608</v>
      </c>
      <c r="AZ714" s="4" t="s">
        <v>7642</v>
      </c>
      <c r="BA714" s="8" t="n">
        <v>2890</v>
      </c>
      <c r="BB714" s="8" t="s">
        <v>7634</v>
      </c>
      <c r="BC714" s="4" t="s">
        <v>7604</v>
      </c>
      <c r="BD714" s="8" t="s">
        <v>7645</v>
      </c>
      <c r="BE714" s="4" t="s">
        <v>7606</v>
      </c>
      <c r="BF714" s="8" t="s">
        <v>7607</v>
      </c>
      <c r="BG714" s="8" t="s">
        <v>7631</v>
      </c>
      <c r="BH714" s="4" t="s">
        <v>7632</v>
      </c>
      <c r="BI714" s="8" t="n">
        <v>14</v>
      </c>
      <c r="BJ714" s="8" t="s">
        <v>7647</v>
      </c>
      <c r="BK714" s="4" t="s">
        <v>7648</v>
      </c>
      <c r="BL714" s="8" t="s">
        <v>7647</v>
      </c>
      <c r="BM714" s="4" t="s">
        <v>7648</v>
      </c>
      <c r="BN714" s="8"/>
      <c r="BO714" s="8"/>
      <c r="BP714" s="8" t="s">
        <v>7608</v>
      </c>
      <c r="BQ714" s="8" t="str">
        <f aca="false">IF(A714="","",AT714)</f>
        <v>障害</v>
      </c>
      <c r="BR714" s="8" t="str">
        <f aca="false">IF(A714="","",IF(BA714&lt;=1200,"～1200",IF(BA714&lt;=1500,"1300～1500",IF(BA714=1600,"1600",IF(BA714&lt;=1800,"1700～1800",IF(BA714&lt;=2000,"1900～2000","2100以上"))))))</f>
        <v>2100以上</v>
      </c>
      <c r="BS714" s="8" t="str">
        <f aca="false">IF(A714="","",IF(AX714="G1","G1",IF(AX714="G2","G2",IF(AX714="G3","G3",IF(AX714="L","L","その他")))))</f>
        <v>その他</v>
      </c>
      <c r="BT714" s="8" t="str">
        <f aca="false">IF(A714="","",IF(BI714="","未結合",IF(D714=BI714,"一致","不一致")))</f>
        <v>一致</v>
      </c>
      <c r="BU714" s="8" t="str">
        <f aca="false">IF(A714="","",IF(BE714="牝馬限定","牝馬限定","その他"))</f>
        <v>その他</v>
      </c>
    </row>
    <row r="715" customFormat="false" ht="15.75" hidden="false" customHeight="false" outlineLevel="0" collapsed="false">
      <c r="A715" s="6" t="n">
        <v>46159</v>
      </c>
      <c r="B715" s="4" t="s">
        <v>13</v>
      </c>
      <c r="C715" s="8" t="n">
        <v>2</v>
      </c>
      <c r="D715" s="8" t="n">
        <v>9</v>
      </c>
      <c r="E715" s="8" t="n">
        <v>6</v>
      </c>
      <c r="F715" s="4" t="s">
        <v>3848</v>
      </c>
      <c r="G715" s="8" t="n">
        <v>86</v>
      </c>
      <c r="H715" s="8" t="n">
        <v>7</v>
      </c>
      <c r="I715" s="4" t="s">
        <v>997</v>
      </c>
      <c r="J715" s="8" t="n">
        <v>74</v>
      </c>
      <c r="K715" s="8" t="n">
        <v>1</v>
      </c>
      <c r="L715" s="4" t="s">
        <v>221</v>
      </c>
      <c r="M715" s="8" t="n">
        <v>41</v>
      </c>
      <c r="N715" s="8" t="n">
        <f aca="false">IF(A715="","",G715-J715)</f>
        <v>12</v>
      </c>
      <c r="O715" s="8" t="n">
        <f aca="false">IF(A715="","",J715-M715)</f>
        <v>33</v>
      </c>
      <c r="P715" s="8" t="n">
        <f aca="false">IF(A715="","",G715+J715)</f>
        <v>160</v>
      </c>
      <c r="Q715" s="8" t="str">
        <f aca="false">IF(A715="","",IF(AND(Y715&lt;&gt;"参考",G715&gt;=ルール設定!$B$2),"○",""))</f>
        <v>○</v>
      </c>
      <c r="R715" s="8" t="str">
        <f aca="false">IF(A715="","",IF(AND(Y715&lt;&gt;"参考",G715&gt;=ルール設定!$B$3,N715&gt;=ルール設定!$B$4),"○",""))</f>
        <v/>
      </c>
      <c r="S715" s="8" t="str">
        <f aca="false">IF(A715="","",IF(AND(Y715&lt;&gt;"参考",G715&gt;=ルール設定!$B$5,J715&gt;=ルール設定!$B$6,O715&gt;=ルール設定!$B$7),"○",""))</f>
        <v>○</v>
      </c>
      <c r="T715" s="8" t="n">
        <v>1</v>
      </c>
      <c r="U715" s="8" t="n">
        <v>2</v>
      </c>
      <c r="V715" s="8" t="str">
        <f aca="false">IF(A715="","",IF(AND(ISNUMBER(T715),ISNUMBER(U715)),IF(AND(T715&lt;=3,U715&lt;=3),"○","×"),""))</f>
        <v>○</v>
      </c>
      <c r="W715" s="8" t="n">
        <v>110</v>
      </c>
      <c r="X715" s="8" t="n">
        <v>120</v>
      </c>
      <c r="Y715" s="4" t="s">
        <v>7597</v>
      </c>
      <c r="Z715" s="4" t="s">
        <v>7886</v>
      </c>
      <c r="AA715" s="8" t="str">
        <v>○</v>
      </c>
      <c r="AB715" s="8" t="str">
        <v>○</v>
      </c>
      <c r="AC715" s="8" t="str">
        <v>○</v>
      </c>
      <c r="AD715" s="8" t="str">
        <v/>
      </c>
      <c r="AE715" s="8" t="str">
        <v/>
      </c>
      <c r="AF715" s="8" t="str">
        <v>○</v>
      </c>
      <c r="AG715" s="8" t="str">
        <v>○</v>
      </c>
      <c r="AH715" s="8" t="str">
        <v/>
      </c>
      <c r="AI715" s="8" t="n">
        <v>45</v>
      </c>
      <c r="AJ715" s="8" t="str">
        <v>85以上</v>
      </c>
      <c r="AK715" s="8" t="str">
        <v>10～19</v>
      </c>
      <c r="AL715" s="8" t="str">
        <v>40以上</v>
      </c>
      <c r="AM715" s="8" t="str">
        <v>160以上</v>
      </c>
      <c r="AN715" s="8" t="str">
        <v>8～11</v>
      </c>
      <c r="AO715" s="8" t="str">
        <f aca="false">IF(A715="","",IF(COUNTIFS(全馬データ!$A$2:$A$50000,A715,全馬データ!$B$2:$B$50000,B715,全馬データ!$C$2:$C$50000,C715,全馬データ!$D$2:$D$50000,E715,全馬データ!$K$2:$K$50000,"&lt;&gt;")=0,"",SUMIFS(全馬データ!$K$2:$K$50000,全馬データ!$A$2:$A$50000,A715,全馬データ!$B$2:$B$50000,B715,全馬データ!$C$2:$C$50000,C715,全馬データ!$D$2:$D$50000,E715)))</f>
        <v/>
      </c>
      <c r="AP715" s="8" t="str">
        <f aca="false">IF(A715="","",IF(AO715="","欠損",IF(AO715&lt;=1.1,"1.0～1.1",IF(AO715&lt;1.3,"1.2",IF(AO715&lt;1.5,"1.3～1.4",IF(AO715&lt;2,"1.5～1.9","2.0以上"))))))</f>
        <v>欠損</v>
      </c>
      <c r="AQ715" s="8" t="str">
        <f aca="false">IF(A715="","",IF(ISNUMBER(SEARCH("2歳",Z715)),"2歳戦",IF(ISNUMBER(SEARCH("3歳未勝利",Z715)),"3歳未勝利",IF(ISNUMBER(SEARCH("未勝利",Z715)),"その他未勝利",IF(ISNUMBER(SEARCH("G1",Z715)),"G1",IF(ISNUMBER(SEARCH("G2",Z715)),"G2",IF(ISNUMBER(SEARCH("G3",Z715)),"G3",IF(ISNUMBER(SEARCH("古馬条件",Z715)),"古馬条件戦",IF(ISNUMBER(SEARCH("重賞",Z715)),"重賞","分類不能")))))))))</f>
        <v>分類不能</v>
      </c>
      <c r="AR715" s="8"/>
      <c r="AS715" s="8" t="s">
        <v>7623</v>
      </c>
      <c r="AT715" s="8" t="s">
        <v>7624</v>
      </c>
      <c r="AU715" s="8" t="s">
        <v>7600</v>
      </c>
      <c r="AV715" s="4" t="s">
        <v>7601</v>
      </c>
      <c r="AW715" s="8"/>
      <c r="AX715" s="8"/>
      <c r="AY715" s="8" t="s">
        <v>7610</v>
      </c>
      <c r="AZ715" s="4" t="s">
        <v>7617</v>
      </c>
      <c r="BA715" s="8" t="n">
        <v>1800</v>
      </c>
      <c r="BB715" s="8" t="s">
        <v>7634</v>
      </c>
      <c r="BC715" s="4" t="s">
        <v>7604</v>
      </c>
      <c r="BD715" s="8" t="s">
        <v>7625</v>
      </c>
      <c r="BE715" s="4" t="s">
        <v>7606</v>
      </c>
      <c r="BF715" s="8" t="s">
        <v>7607</v>
      </c>
      <c r="BG715" s="8" t="s">
        <v>7608</v>
      </c>
      <c r="BH715" s="4" t="s">
        <v>7609</v>
      </c>
      <c r="BI715" s="8" t="n">
        <v>9</v>
      </c>
      <c r="BJ715" s="8" t="s">
        <v>7610</v>
      </c>
      <c r="BK715" s="4" t="s">
        <v>7611</v>
      </c>
      <c r="BL715" s="8" t="s">
        <v>7602</v>
      </c>
      <c r="BM715" s="4" t="s">
        <v>7620</v>
      </c>
      <c r="BN715" s="8"/>
      <c r="BO715" s="8"/>
      <c r="BP715" s="8" t="s">
        <v>7608</v>
      </c>
      <c r="BQ715" s="8" t="str">
        <f aca="false">IF(A715="","",AT715)</f>
        <v>3歳</v>
      </c>
      <c r="BR715" s="8" t="str">
        <f aca="false">IF(A715="","",IF(BA715&lt;=1200,"～1200",IF(BA715&lt;=1500,"1300～1500",IF(BA715=1600,"1600",IF(BA715&lt;=1800,"1700～1800",IF(BA715&lt;=2000,"1900～2000","2100以上"))))))</f>
        <v>1700～1800</v>
      </c>
      <c r="BS715" s="8" t="str">
        <f aca="false">IF(A715="","",IF(AX715="G1","G1",IF(AX715="G2","G2",IF(AX715="G3","G3",IF(AX715="L","L","その他")))))</f>
        <v>その他</v>
      </c>
      <c r="BT715" s="8" t="str">
        <f aca="false">IF(A715="","",IF(BI715="","未結合",IF(D715=BI715,"一致","不一致")))</f>
        <v>一致</v>
      </c>
      <c r="BU715" s="8" t="str">
        <f aca="false">IF(A715="","",IF(BE715="牝馬限定","牝馬限定","その他"))</f>
        <v>その他</v>
      </c>
    </row>
    <row r="716" customFormat="false" ht="15.75" hidden="false" customHeight="false" outlineLevel="0" collapsed="false">
      <c r="A716" s="6" t="n">
        <v>46159</v>
      </c>
      <c r="B716" s="4" t="s">
        <v>13</v>
      </c>
      <c r="C716" s="8" t="n">
        <v>3</v>
      </c>
      <c r="D716" s="8" t="n">
        <v>15</v>
      </c>
      <c r="E716" s="8" t="n">
        <v>6</v>
      </c>
      <c r="F716" s="4" t="s">
        <v>6098</v>
      </c>
      <c r="G716" s="8" t="n">
        <v>74</v>
      </c>
      <c r="H716" s="8" t="n">
        <v>12</v>
      </c>
      <c r="I716" s="4" t="s">
        <v>1733</v>
      </c>
      <c r="J716" s="8" t="n">
        <v>71</v>
      </c>
      <c r="K716" s="8" t="n">
        <v>2</v>
      </c>
      <c r="L716" s="4" t="s">
        <v>2361</v>
      </c>
      <c r="M716" s="8" t="n">
        <v>44</v>
      </c>
      <c r="N716" s="8" t="n">
        <f aca="false">IF(A716="","",G716-J716)</f>
        <v>3</v>
      </c>
      <c r="O716" s="8" t="n">
        <f aca="false">IF(A716="","",J716-M716)</f>
        <v>27</v>
      </c>
      <c r="P716" s="8" t="n">
        <f aca="false">IF(A716="","",G716+J716)</f>
        <v>145</v>
      </c>
      <c r="Q716" s="8" t="str">
        <f aca="false">IF(A716="","",IF(AND(Y716&lt;&gt;"参考",G716&gt;=ルール設定!$B$2),"○",""))</f>
        <v/>
      </c>
      <c r="R716" s="8" t="str">
        <f aca="false">IF(A716="","",IF(AND(Y716&lt;&gt;"参考",G716&gt;=ルール設定!$B$3,N716&gt;=ルール設定!$B$4),"○",""))</f>
        <v/>
      </c>
      <c r="S716" s="8" t="str">
        <f aca="false">IF(A716="","",IF(AND(Y716&lt;&gt;"参考",G716&gt;=ルール設定!$B$5,J716&gt;=ルール設定!$B$6,O716&gt;=ルール設定!$B$7),"○",""))</f>
        <v>○</v>
      </c>
      <c r="T716" s="8" t="n">
        <v>2</v>
      </c>
      <c r="U716" s="8" t="n">
        <v>3</v>
      </c>
      <c r="V716" s="8" t="str">
        <f aca="false">IF(A716="","",IF(AND(ISNUMBER(T716),ISNUMBER(U716)),IF(AND(T716&lt;=3,U716&lt;=3),"○","×"),""))</f>
        <v>○</v>
      </c>
      <c r="W716" s="8" t="n">
        <v>110</v>
      </c>
      <c r="X716" s="8" t="n">
        <v>160</v>
      </c>
      <c r="Y716" s="4" t="s">
        <v>7597</v>
      </c>
      <c r="Z716" s="4" t="s">
        <v>7886</v>
      </c>
      <c r="AA716" s="8" t="str">
        <v/>
      </c>
      <c r="AB716" s="8" t="str">
        <v/>
      </c>
      <c r="AC716" s="8" t="str">
        <v/>
      </c>
      <c r="AD716" s="8" t="str">
        <v/>
      </c>
      <c r="AE716" s="8" t="str">
        <v/>
      </c>
      <c r="AF716" s="8" t="str">
        <v/>
      </c>
      <c r="AG716" s="8" t="str">
        <v/>
      </c>
      <c r="AH716" s="8" t="str">
        <v/>
      </c>
      <c r="AI716" s="8" t="n">
        <v>30</v>
      </c>
      <c r="AJ716" s="8" t="str">
        <v>70～74</v>
      </c>
      <c r="AK716" s="8" t="str">
        <v>0～4</v>
      </c>
      <c r="AL716" s="8" t="str">
        <v>30～39</v>
      </c>
      <c r="AM716" s="8" t="str">
        <v>140～159</v>
      </c>
      <c r="AN716" s="8" t="str">
        <v>15以上</v>
      </c>
      <c r="AO716" s="8" t="str">
        <f aca="false">IF(A716="","",IF(COUNTIFS(全馬データ!$A$2:$A$50000,A716,全馬データ!$B$2:$B$50000,B716,全馬データ!$C$2:$C$50000,C716,全馬データ!$D$2:$D$50000,E716,全馬データ!$K$2:$K$50000,"&lt;&gt;")=0,"",SUMIFS(全馬データ!$K$2:$K$50000,全馬データ!$A$2:$A$50000,A716,全馬データ!$B$2:$B$50000,B716,全馬データ!$C$2:$C$50000,C716,全馬データ!$D$2:$D$50000,E716)))</f>
        <v/>
      </c>
      <c r="AP716" s="8" t="str">
        <f aca="false">IF(A716="","",IF(AO716="","欠損",IF(AO716&lt;=1.1,"1.0～1.1",IF(AO716&lt;1.3,"1.2",IF(AO716&lt;1.5,"1.3～1.4",IF(AO716&lt;2,"1.5～1.9","2.0以上"))))))</f>
        <v>欠損</v>
      </c>
      <c r="AQ716" s="8" t="str">
        <f aca="false">IF(A716="","",IF(ISNUMBER(SEARCH("2歳",Z716)),"2歳戦",IF(ISNUMBER(SEARCH("3歳未勝利",Z716)),"3歳未勝利",IF(ISNUMBER(SEARCH("未勝利",Z716)),"その他未勝利",IF(ISNUMBER(SEARCH("G1",Z716)),"G1",IF(ISNUMBER(SEARCH("G2",Z716)),"G2",IF(ISNUMBER(SEARCH("G3",Z716)),"G3",IF(ISNUMBER(SEARCH("古馬条件",Z716)),"古馬条件戦",IF(ISNUMBER(SEARCH("重賞",Z716)),"重賞","分類不能")))))))))</f>
        <v>分類不能</v>
      </c>
      <c r="AR716" s="8"/>
      <c r="AS716" s="8" t="s">
        <v>7623</v>
      </c>
      <c r="AT716" s="8" t="s">
        <v>7624</v>
      </c>
      <c r="AU716" s="8" t="s">
        <v>7600</v>
      </c>
      <c r="AV716" s="4" t="s">
        <v>7601</v>
      </c>
      <c r="AW716" s="8"/>
      <c r="AX716" s="8"/>
      <c r="AY716" s="8" t="s">
        <v>7610</v>
      </c>
      <c r="AZ716" s="4" t="s">
        <v>7617</v>
      </c>
      <c r="BA716" s="8" t="n">
        <v>1200</v>
      </c>
      <c r="BB716" s="8" t="s">
        <v>7634</v>
      </c>
      <c r="BC716" s="4" t="s">
        <v>7604</v>
      </c>
      <c r="BD716" s="8" t="s">
        <v>7621</v>
      </c>
      <c r="BE716" s="4" t="s">
        <v>7622</v>
      </c>
      <c r="BF716" s="8" t="s">
        <v>7602</v>
      </c>
      <c r="BG716" s="8" t="s">
        <v>7608</v>
      </c>
      <c r="BH716" s="4" t="s">
        <v>7609</v>
      </c>
      <c r="BI716" s="8" t="n">
        <v>15</v>
      </c>
      <c r="BJ716" s="8" t="s">
        <v>7610</v>
      </c>
      <c r="BK716" s="4" t="s">
        <v>7611</v>
      </c>
      <c r="BL716" s="8" t="s">
        <v>7602</v>
      </c>
      <c r="BM716" s="4" t="s">
        <v>7620</v>
      </c>
      <c r="BN716" s="8"/>
      <c r="BO716" s="8"/>
      <c r="BP716" s="8" t="s">
        <v>7608</v>
      </c>
      <c r="BQ716" s="8" t="str">
        <f aca="false">IF(A716="","",AT716)</f>
        <v>3歳</v>
      </c>
      <c r="BR716" s="8" t="str">
        <f aca="false">IF(A716="","",IF(BA716&lt;=1200,"～1200",IF(BA716&lt;=1500,"1300～1500",IF(BA716=1600,"1600",IF(BA716&lt;=1800,"1700～1800",IF(BA716&lt;=2000,"1900～2000","2100以上"))))))</f>
        <v>～1200</v>
      </c>
      <c r="BS716" s="8" t="str">
        <f aca="false">IF(A716="","",IF(AX716="G1","G1",IF(AX716="G2","G2",IF(AX716="G3","G3",IF(AX716="L","L","その他")))))</f>
        <v>その他</v>
      </c>
      <c r="BT716" s="8" t="str">
        <f aca="false">IF(A716="","",IF(BI716="","未結合",IF(D716=BI716,"一致","不一致")))</f>
        <v>一致</v>
      </c>
      <c r="BU716" s="8" t="str">
        <f aca="false">IF(A716="","",IF(BE716="牝馬限定","牝馬限定","その他"))</f>
        <v>牝馬限定</v>
      </c>
    </row>
    <row r="717" customFormat="false" ht="15.75" hidden="false" customHeight="false" outlineLevel="0" collapsed="false">
      <c r="A717" s="6" t="n">
        <v>46159</v>
      </c>
      <c r="B717" s="4" t="s">
        <v>13</v>
      </c>
      <c r="C717" s="8" t="n">
        <v>4</v>
      </c>
      <c r="D717" s="8" t="n">
        <v>14</v>
      </c>
      <c r="E717" s="8" t="n">
        <v>11</v>
      </c>
      <c r="F717" s="4" t="s">
        <v>1102</v>
      </c>
      <c r="G717" s="8" t="n">
        <v>55</v>
      </c>
      <c r="H717" s="8" t="n">
        <v>3</v>
      </c>
      <c r="I717" s="4" t="s">
        <v>1556</v>
      </c>
      <c r="J717" s="8" t="n">
        <v>37</v>
      </c>
      <c r="K717" s="8" t="n">
        <v>4</v>
      </c>
      <c r="L717" s="4" t="s">
        <v>587</v>
      </c>
      <c r="M717" s="8" t="n">
        <v>37</v>
      </c>
      <c r="N717" s="8" t="n">
        <f aca="false">IF(A717="","",G717-J717)</f>
        <v>18</v>
      </c>
      <c r="O717" s="8" t="n">
        <f aca="false">IF(A717="","",J717-M717)</f>
        <v>0</v>
      </c>
      <c r="P717" s="8" t="n">
        <f aca="false">IF(A717="","",G717+J717)</f>
        <v>92</v>
      </c>
      <c r="Q717" s="8" t="str">
        <f aca="false">IF(A717="","",IF(AND(Y717&lt;&gt;"参考",G717&gt;=ルール設定!$B$2),"○",""))</f>
        <v/>
      </c>
      <c r="R717" s="8" t="str">
        <f aca="false">IF(A717="","",IF(AND(Y717&lt;&gt;"参考",G717&gt;=ルール設定!$B$3,N717&gt;=ルール設定!$B$4),"○",""))</f>
        <v/>
      </c>
      <c r="S717" s="8" t="str">
        <f aca="false">IF(A717="","",IF(AND(Y717&lt;&gt;"参考",G717&gt;=ルール設定!$B$5,J717&gt;=ルール設定!$B$6,O717&gt;=ルール設定!$B$7),"○",""))</f>
        <v/>
      </c>
      <c r="T717" s="8" t="n">
        <v>4</v>
      </c>
      <c r="U717" s="8" t="n">
        <v>4</v>
      </c>
      <c r="V717" s="8" t="str">
        <f aca="false">IF(A717="","",IF(AND(ISNUMBER(T717),ISNUMBER(U717)),IF(AND(T717&lt;=3,U717&lt;=3),"○","×"),""))</f>
        <v>×</v>
      </c>
      <c r="W717" s="8"/>
      <c r="X717" s="8"/>
      <c r="Y717" s="4" t="s">
        <v>7597</v>
      </c>
      <c r="Z717" s="4" t="s">
        <v>7886</v>
      </c>
      <c r="AA717" s="8" t="str">
        <v/>
      </c>
      <c r="AB717" s="8" t="str">
        <v/>
      </c>
      <c r="AC717" s="8" t="str">
        <v/>
      </c>
      <c r="AD717" s="8" t="str">
        <v/>
      </c>
      <c r="AE717" s="8" t="str">
        <v/>
      </c>
      <c r="AF717" s="8" t="str">
        <v/>
      </c>
      <c r="AG717" s="8" t="str">
        <v/>
      </c>
      <c r="AH717" s="8" t="str">
        <v/>
      </c>
      <c r="AI717" s="8" t="n">
        <v>18</v>
      </c>
      <c r="AJ717" s="8" t="str">
        <v>～59</v>
      </c>
      <c r="AK717" s="8" t="str">
        <v>10～19</v>
      </c>
      <c r="AL717" s="8" t="str">
        <v>10～19</v>
      </c>
      <c r="AM717" s="8" t="str">
        <v>～99</v>
      </c>
      <c r="AN717" s="8" t="str">
        <v>12～14</v>
      </c>
      <c r="AO717" s="8" t="str">
        <f aca="false">IF(A717="","",IF(COUNTIFS(全馬データ!$A$2:$A$50000,A717,全馬データ!$B$2:$B$50000,B717,全馬データ!$C$2:$C$50000,C717,全馬データ!$D$2:$D$50000,E717,全馬データ!$K$2:$K$50000,"&lt;&gt;")=0,"",SUMIFS(全馬データ!$K$2:$K$50000,全馬データ!$A$2:$A$50000,A717,全馬データ!$B$2:$B$50000,B717,全馬データ!$C$2:$C$50000,C717,全馬データ!$D$2:$D$50000,E717)))</f>
        <v/>
      </c>
      <c r="AP717" s="8" t="str">
        <f aca="false">IF(A717="","",IF(AO717="","欠損",IF(AO717&lt;=1.1,"1.0～1.1",IF(AO717&lt;1.3,"1.2",IF(AO717&lt;1.5,"1.3～1.4",IF(AO717&lt;2,"1.5～1.9","2.0以上"))))))</f>
        <v>欠損</v>
      </c>
      <c r="AQ717" s="8" t="str">
        <f aca="false">IF(A717="","",IF(ISNUMBER(SEARCH("2歳",Z717)),"2歳戦",IF(ISNUMBER(SEARCH("3歳未勝利",Z717)),"3歳未勝利",IF(ISNUMBER(SEARCH("未勝利",Z717)),"その他未勝利",IF(ISNUMBER(SEARCH("G1",Z717)),"G1",IF(ISNUMBER(SEARCH("G2",Z717)),"G2",IF(ISNUMBER(SEARCH("G3",Z717)),"G3",IF(ISNUMBER(SEARCH("古馬条件",Z717)),"古馬条件戦",IF(ISNUMBER(SEARCH("重賞",Z717)),"重賞","分類不能")))))))))</f>
        <v>分類不能</v>
      </c>
      <c r="AR717" s="8"/>
      <c r="AS717" s="8" t="s">
        <v>7618</v>
      </c>
      <c r="AT717" s="4" t="s">
        <v>7642</v>
      </c>
      <c r="AU717" s="8" t="s">
        <v>7600</v>
      </c>
      <c r="AV717" s="4" t="s">
        <v>7601</v>
      </c>
      <c r="AW717" s="8"/>
      <c r="AX717" s="8"/>
      <c r="AY717" s="8" t="s">
        <v>7608</v>
      </c>
      <c r="AZ717" s="4" t="s">
        <v>7642</v>
      </c>
      <c r="BA717" s="8" t="n">
        <v>2890</v>
      </c>
      <c r="BB717" s="8" t="s">
        <v>7634</v>
      </c>
      <c r="BC717" s="4" t="s">
        <v>7604</v>
      </c>
      <c r="BD717" s="8" t="s">
        <v>7696</v>
      </c>
      <c r="BE717" s="4" t="s">
        <v>7606</v>
      </c>
      <c r="BF717" s="8" t="s">
        <v>7607</v>
      </c>
      <c r="BG717" s="8" t="s">
        <v>7631</v>
      </c>
      <c r="BH717" s="4" t="s">
        <v>7632</v>
      </c>
      <c r="BI717" s="8" t="n">
        <v>14</v>
      </c>
      <c r="BJ717" s="8" t="s">
        <v>7647</v>
      </c>
      <c r="BK717" s="4" t="s">
        <v>7648</v>
      </c>
      <c r="BL717" s="8" t="s">
        <v>7647</v>
      </c>
      <c r="BM717" s="4" t="s">
        <v>7648</v>
      </c>
      <c r="BN717" s="8"/>
      <c r="BO717" s="8"/>
      <c r="BP717" s="8" t="s">
        <v>7608</v>
      </c>
      <c r="BQ717" s="8" t="str">
        <f aca="false">IF(A717="","",AT717)</f>
        <v>障害</v>
      </c>
      <c r="BR717" s="8" t="str">
        <f aca="false">IF(A717="","",IF(BA717&lt;=1200,"～1200",IF(BA717&lt;=1500,"1300～1500",IF(BA717=1600,"1600",IF(BA717&lt;=1800,"1700～1800",IF(BA717&lt;=2000,"1900～2000","2100以上"))))))</f>
        <v>2100以上</v>
      </c>
      <c r="BS717" s="8" t="str">
        <f aca="false">IF(A717="","",IF(AX717="G1","G1",IF(AX717="G2","G2",IF(AX717="G3","G3",IF(AX717="L","L","その他")))))</f>
        <v>その他</v>
      </c>
      <c r="BT717" s="8" t="str">
        <f aca="false">IF(A717="","",IF(BI717="","未結合",IF(D717=BI717,"一致","不一致")))</f>
        <v>一致</v>
      </c>
      <c r="BU717" s="8" t="str">
        <f aca="false">IF(A717="","",IF(BE717="牝馬限定","牝馬限定","その他"))</f>
        <v>その他</v>
      </c>
    </row>
    <row r="718" customFormat="false" ht="15.75" hidden="false" customHeight="false" outlineLevel="0" collapsed="false">
      <c r="A718" s="6" t="n">
        <v>46159</v>
      </c>
      <c r="B718" s="4" t="s">
        <v>13</v>
      </c>
      <c r="C718" s="8" t="n">
        <v>5</v>
      </c>
      <c r="D718" s="8" t="n">
        <v>16</v>
      </c>
      <c r="E718" s="8" t="n">
        <v>13</v>
      </c>
      <c r="F718" s="4" t="s">
        <v>6466</v>
      </c>
      <c r="G718" s="8" t="n">
        <v>71</v>
      </c>
      <c r="H718" s="8" t="n">
        <v>1</v>
      </c>
      <c r="I718" s="4" t="s">
        <v>6465</v>
      </c>
      <c r="J718" s="8" t="n">
        <v>50</v>
      </c>
      <c r="K718" s="8" t="n">
        <v>5</v>
      </c>
      <c r="L718" s="4" t="s">
        <v>3526</v>
      </c>
      <c r="M718" s="8" t="n">
        <v>37</v>
      </c>
      <c r="N718" s="8" t="n">
        <f aca="false">IF(A718="","",G718-J718)</f>
        <v>21</v>
      </c>
      <c r="O718" s="8" t="n">
        <f aca="false">IF(A718="","",J718-M718)</f>
        <v>13</v>
      </c>
      <c r="P718" s="8" t="n">
        <f aca="false">IF(A718="","",G718+J718)</f>
        <v>121</v>
      </c>
      <c r="Q718" s="8" t="str">
        <f aca="false">IF(A718="","",IF(AND(Y718&lt;&gt;"参考",G718&gt;=ルール設定!$B$2),"○",""))</f>
        <v/>
      </c>
      <c r="R718" s="8" t="str">
        <f aca="false">IF(A718="","",IF(AND(Y718&lt;&gt;"参考",G718&gt;=ルール設定!$B$3,N718&gt;=ルール設定!$B$4),"○",""))</f>
        <v/>
      </c>
      <c r="S718" s="8" t="str">
        <f aca="false">IF(A718="","",IF(AND(Y718&lt;&gt;"参考",G718&gt;=ルール設定!$B$5,J718&gt;=ルール設定!$B$6,O718&gt;=ルール設定!$B$7),"○",""))</f>
        <v/>
      </c>
      <c r="T718" s="8" t="n">
        <v>1</v>
      </c>
      <c r="U718" s="8" t="n">
        <v>4</v>
      </c>
      <c r="V718" s="8" t="str">
        <f aca="false">IF(A718="","",IF(AND(ISNUMBER(T718),ISNUMBER(U718)),IF(AND(T718&lt;=3,U718&lt;=3),"○","×"),""))</f>
        <v>×</v>
      </c>
      <c r="W718" s="8" t="n">
        <v>160</v>
      </c>
      <c r="X718" s="8"/>
      <c r="Y718" s="4" t="s">
        <v>7597</v>
      </c>
      <c r="Z718" s="4" t="s">
        <v>7886</v>
      </c>
      <c r="AA718" s="8" t="str">
        <v/>
      </c>
      <c r="AB718" s="8" t="str">
        <v/>
      </c>
      <c r="AC718" s="8" t="str">
        <v/>
      </c>
      <c r="AD718" s="8" t="str">
        <v/>
      </c>
      <c r="AE718" s="8" t="str">
        <v/>
      </c>
      <c r="AF718" s="8" t="str">
        <v/>
      </c>
      <c r="AG718" s="8" t="str">
        <v/>
      </c>
      <c r="AH718" s="8" t="str">
        <v/>
      </c>
      <c r="AI718" s="8" t="n">
        <v>34</v>
      </c>
      <c r="AJ718" s="8" t="str">
        <v>70～74</v>
      </c>
      <c r="AK718" s="8" t="str">
        <v>20～29</v>
      </c>
      <c r="AL718" s="8" t="str">
        <v>30～39</v>
      </c>
      <c r="AM718" s="8" t="str">
        <v>120～139</v>
      </c>
      <c r="AN718" s="8" t="str">
        <v>15以上</v>
      </c>
      <c r="AO718" s="8" t="str">
        <f aca="false">IF(A718="","",IF(COUNTIFS(全馬データ!$A$2:$A$50000,A718,全馬データ!$B$2:$B$50000,B718,全馬データ!$C$2:$C$50000,C718,全馬データ!$D$2:$D$50000,E718,全馬データ!$K$2:$K$50000,"&lt;&gt;")=0,"",SUMIFS(全馬データ!$K$2:$K$50000,全馬データ!$A$2:$A$50000,A718,全馬データ!$B$2:$B$50000,B718,全馬データ!$C$2:$C$50000,C718,全馬データ!$D$2:$D$50000,E718)))</f>
        <v/>
      </c>
      <c r="AP718" s="8" t="str">
        <f aca="false">IF(A718="","",IF(AO718="","欠損",IF(AO718&lt;=1.1,"1.0～1.1",IF(AO718&lt;1.3,"1.2",IF(AO718&lt;1.5,"1.3～1.4",IF(AO718&lt;2,"1.5～1.9","2.0以上"))))))</f>
        <v>欠損</v>
      </c>
      <c r="AQ718" s="8" t="str">
        <f aca="false">IF(A718="","",IF(ISNUMBER(SEARCH("2歳",Z718)),"2歳戦",IF(ISNUMBER(SEARCH("3歳未勝利",Z718)),"3歳未勝利",IF(ISNUMBER(SEARCH("未勝利",Z718)),"その他未勝利",IF(ISNUMBER(SEARCH("G1",Z718)),"G1",IF(ISNUMBER(SEARCH("G2",Z718)),"G2",IF(ISNUMBER(SEARCH("G3",Z718)),"G3",IF(ISNUMBER(SEARCH("古馬条件",Z718)),"古馬条件戦",IF(ISNUMBER(SEARCH("重賞",Z718)),"重賞","分類不能")))))))))</f>
        <v>分類不能</v>
      </c>
      <c r="AR718" s="8"/>
      <c r="AS718" s="8" t="s">
        <v>7623</v>
      </c>
      <c r="AT718" s="8" t="s">
        <v>7624</v>
      </c>
      <c r="AU718" s="8" t="s">
        <v>7600</v>
      </c>
      <c r="AV718" s="4" t="s">
        <v>7601</v>
      </c>
      <c r="AW718" s="8"/>
      <c r="AX718" s="8"/>
      <c r="AY718" s="8" t="s">
        <v>7602</v>
      </c>
      <c r="AZ718" s="4" t="s">
        <v>7603</v>
      </c>
      <c r="BA718" s="8" t="n">
        <v>2000</v>
      </c>
      <c r="BB718" s="8" t="s">
        <v>7634</v>
      </c>
      <c r="BC718" s="4" t="s">
        <v>7604</v>
      </c>
      <c r="BD718" s="8" t="s">
        <v>7852</v>
      </c>
      <c r="BE718" s="4" t="s">
        <v>7606</v>
      </c>
      <c r="BF718" s="8" t="s">
        <v>7607</v>
      </c>
      <c r="BG718" s="8" t="s">
        <v>7608</v>
      </c>
      <c r="BH718" s="4" t="s">
        <v>7609</v>
      </c>
      <c r="BI718" s="8" t="n">
        <v>16</v>
      </c>
      <c r="BJ718" s="8" t="s">
        <v>7610</v>
      </c>
      <c r="BK718" s="4" t="s">
        <v>7611</v>
      </c>
      <c r="BL718" s="8" t="s">
        <v>7602</v>
      </c>
      <c r="BM718" s="4" t="s">
        <v>7620</v>
      </c>
      <c r="BN718" s="8" t="s">
        <v>7631</v>
      </c>
      <c r="BO718" s="8" t="s">
        <v>7680</v>
      </c>
      <c r="BP718" s="8" t="s">
        <v>7608</v>
      </c>
      <c r="BQ718" s="8" t="str">
        <f aca="false">IF(A718="","",AT718)</f>
        <v>3歳</v>
      </c>
      <c r="BR718" s="8" t="str">
        <f aca="false">IF(A718="","",IF(BA718&lt;=1200,"～1200",IF(BA718&lt;=1500,"1300～1500",IF(BA718=1600,"1600",IF(BA718&lt;=1800,"1700～1800",IF(BA718&lt;=2000,"1900～2000","2100以上"))))))</f>
        <v>1900～2000</v>
      </c>
      <c r="BS718" s="8" t="str">
        <f aca="false">IF(A718="","",IF(AX718="G1","G1",IF(AX718="G2","G2",IF(AX718="G3","G3",IF(AX718="L","L","その他")))))</f>
        <v>その他</v>
      </c>
      <c r="BT718" s="8" t="str">
        <f aca="false">IF(A718="","",IF(BI718="","未結合",IF(D718=BI718,"一致","不一致")))</f>
        <v>一致</v>
      </c>
      <c r="BU718" s="8" t="str">
        <f aca="false">IF(A718="","",IF(BE718="牝馬限定","牝馬限定","その他"))</f>
        <v>その他</v>
      </c>
    </row>
    <row r="719" customFormat="false" ht="15.75" hidden="false" customHeight="false" outlineLevel="0" collapsed="false">
      <c r="A719" s="6" t="n">
        <v>46159</v>
      </c>
      <c r="B719" s="4" t="s">
        <v>13</v>
      </c>
      <c r="C719" s="8" t="n">
        <v>6</v>
      </c>
      <c r="D719" s="8" t="n">
        <v>13</v>
      </c>
      <c r="E719" s="8" t="n">
        <v>3</v>
      </c>
      <c r="F719" s="4" t="s">
        <v>6469</v>
      </c>
      <c r="G719" s="8" t="n">
        <v>58</v>
      </c>
      <c r="H719" s="8" t="n">
        <v>2</v>
      </c>
      <c r="I719" s="4" t="s">
        <v>6468</v>
      </c>
      <c r="J719" s="8" t="n">
        <v>41</v>
      </c>
      <c r="K719" s="8" t="n">
        <v>5</v>
      </c>
      <c r="L719" s="4" t="s">
        <v>1885</v>
      </c>
      <c r="M719" s="8" t="n">
        <v>37</v>
      </c>
      <c r="N719" s="8" t="n">
        <f aca="false">IF(A719="","",G719-J719)</f>
        <v>17</v>
      </c>
      <c r="O719" s="8" t="n">
        <f aca="false">IF(A719="","",J719-M719)</f>
        <v>4</v>
      </c>
      <c r="P719" s="8" t="n">
        <f aca="false">IF(A719="","",G719+J719)</f>
        <v>99</v>
      </c>
      <c r="Q719" s="8" t="str">
        <f aca="false">IF(A719="","",IF(AND(Y719&lt;&gt;"参考",G719&gt;=ルール設定!$B$2),"○",""))</f>
        <v/>
      </c>
      <c r="R719" s="8" t="str">
        <f aca="false">IF(A719="","",IF(AND(Y719&lt;&gt;"参考",G719&gt;=ルール設定!$B$3,N719&gt;=ルール設定!$B$4),"○",""))</f>
        <v/>
      </c>
      <c r="S719" s="8" t="str">
        <f aca="false">IF(A719="","",IF(AND(Y719&lt;&gt;"参考",G719&gt;=ルール設定!$B$5,J719&gt;=ルール設定!$B$6,O719&gt;=ルール設定!$B$7),"○",""))</f>
        <v/>
      </c>
      <c r="T719" s="8" t="n">
        <v>1</v>
      </c>
      <c r="U719" s="8" t="n">
        <v>4</v>
      </c>
      <c r="V719" s="8" t="str">
        <f aca="false">IF(A719="","",IF(AND(ISNUMBER(T719),ISNUMBER(U719)),IF(AND(T719&lt;=3,U719&lt;=3),"○","×"),""))</f>
        <v>×</v>
      </c>
      <c r="W719" s="8" t="n">
        <v>200</v>
      </c>
      <c r="X719" s="8"/>
      <c r="Y719" s="4" t="s">
        <v>7597</v>
      </c>
      <c r="Z719" s="4" t="s">
        <v>7886</v>
      </c>
      <c r="AA719" s="8" t="str">
        <v/>
      </c>
      <c r="AB719" s="8" t="str">
        <v/>
      </c>
      <c r="AC719" s="8" t="str">
        <v/>
      </c>
      <c r="AD719" s="8" t="str">
        <v/>
      </c>
      <c r="AE719" s="8" t="str">
        <v/>
      </c>
      <c r="AF719" s="8" t="str">
        <v/>
      </c>
      <c r="AG719" s="8" t="str">
        <v/>
      </c>
      <c r="AH719" s="8" t="str">
        <v/>
      </c>
      <c r="AI719" s="8" t="n">
        <v>21</v>
      </c>
      <c r="AJ719" s="8" t="str">
        <v>～59</v>
      </c>
      <c r="AK719" s="8" t="str">
        <v>10～19</v>
      </c>
      <c r="AL719" s="8" t="str">
        <v>20～29</v>
      </c>
      <c r="AM719" s="8" t="str">
        <v>～99</v>
      </c>
      <c r="AN719" s="8" t="str">
        <v>12～14</v>
      </c>
      <c r="AO719" s="8" t="str">
        <f aca="false">IF(A719="","",IF(COUNTIFS(全馬データ!$A$2:$A$50000,A719,全馬データ!$B$2:$B$50000,B719,全馬データ!$C$2:$C$50000,C719,全馬データ!$D$2:$D$50000,E719,全馬データ!$K$2:$K$50000,"&lt;&gt;")=0,"",SUMIFS(全馬データ!$K$2:$K$50000,全馬データ!$A$2:$A$50000,A719,全馬データ!$B$2:$B$50000,B719,全馬データ!$C$2:$C$50000,C719,全馬データ!$D$2:$D$50000,E719)))</f>
        <v/>
      </c>
      <c r="AP719" s="8" t="str">
        <f aca="false">IF(A719="","",IF(AO719="","欠損",IF(AO719&lt;=1.1,"1.0～1.1",IF(AO719&lt;1.3,"1.2",IF(AO719&lt;1.5,"1.3～1.4",IF(AO719&lt;2,"1.5～1.9","2.0以上"))))))</f>
        <v>欠損</v>
      </c>
      <c r="AQ719" s="8" t="str">
        <f aca="false">IF(A719="","",IF(ISNUMBER(SEARCH("2歳",Z719)),"2歳戦",IF(ISNUMBER(SEARCH("3歳未勝利",Z719)),"3歳未勝利",IF(ISNUMBER(SEARCH("未勝利",Z719)),"その他未勝利",IF(ISNUMBER(SEARCH("G1",Z719)),"G1",IF(ISNUMBER(SEARCH("G2",Z719)),"G2",IF(ISNUMBER(SEARCH("G3",Z719)),"G3",IF(ISNUMBER(SEARCH("古馬条件",Z719)),"古馬条件戦",IF(ISNUMBER(SEARCH("重賞",Z719)),"重賞","分類不能")))))))))</f>
        <v>分類不能</v>
      </c>
      <c r="AR719" s="8"/>
      <c r="AS719" s="8" t="s">
        <v>7623</v>
      </c>
      <c r="AT719" s="8" t="s">
        <v>7624</v>
      </c>
      <c r="AU719" s="8" t="s">
        <v>7600</v>
      </c>
      <c r="AV719" s="4" t="s">
        <v>7601</v>
      </c>
      <c r="AW719" s="8"/>
      <c r="AX719" s="8"/>
      <c r="AY719" s="8" t="s">
        <v>7610</v>
      </c>
      <c r="AZ719" s="4" t="s">
        <v>7617</v>
      </c>
      <c r="BA719" s="8" t="n">
        <v>1800</v>
      </c>
      <c r="BB719" s="8" t="s">
        <v>7634</v>
      </c>
      <c r="BC719" s="4" t="s">
        <v>7604</v>
      </c>
      <c r="BD719" s="8" t="s">
        <v>7621</v>
      </c>
      <c r="BE719" s="4" t="s">
        <v>7622</v>
      </c>
      <c r="BF719" s="8" t="s">
        <v>7602</v>
      </c>
      <c r="BG719" s="8" t="s">
        <v>7608</v>
      </c>
      <c r="BH719" s="4" t="s">
        <v>7609</v>
      </c>
      <c r="BI719" s="8" t="n">
        <v>13</v>
      </c>
      <c r="BJ719" s="8" t="s">
        <v>7610</v>
      </c>
      <c r="BK719" s="4" t="s">
        <v>7611</v>
      </c>
      <c r="BL719" s="8" t="s">
        <v>7602</v>
      </c>
      <c r="BM719" s="4" t="s">
        <v>7620</v>
      </c>
      <c r="BN719" s="8"/>
      <c r="BO719" s="8"/>
      <c r="BP719" s="8" t="s">
        <v>7608</v>
      </c>
      <c r="BQ719" s="8" t="str">
        <f aca="false">IF(A719="","",AT719)</f>
        <v>3歳</v>
      </c>
      <c r="BR719" s="8" t="str">
        <f aca="false">IF(A719="","",IF(BA719&lt;=1200,"～1200",IF(BA719&lt;=1500,"1300～1500",IF(BA719=1600,"1600",IF(BA719&lt;=1800,"1700～1800",IF(BA719&lt;=2000,"1900～2000","2100以上"))))))</f>
        <v>1700～1800</v>
      </c>
      <c r="BS719" s="8" t="str">
        <f aca="false">IF(A719="","",IF(AX719="G1","G1",IF(AX719="G2","G2",IF(AX719="G3","G3",IF(AX719="L","L","その他")))))</f>
        <v>その他</v>
      </c>
      <c r="BT719" s="8" t="str">
        <f aca="false">IF(A719="","",IF(BI719="","未結合",IF(D719=BI719,"一致","不一致")))</f>
        <v>一致</v>
      </c>
      <c r="BU719" s="8" t="str">
        <f aca="false">IF(A719="","",IF(BE719="牝馬限定","牝馬限定","その他"))</f>
        <v>牝馬限定</v>
      </c>
    </row>
    <row r="720" customFormat="false" ht="15.75" hidden="false" customHeight="false" outlineLevel="0" collapsed="false">
      <c r="A720" s="6" t="n">
        <v>46159</v>
      </c>
      <c r="B720" s="4" t="s">
        <v>13</v>
      </c>
      <c r="C720" s="8" t="n">
        <v>7</v>
      </c>
      <c r="D720" s="8" t="n">
        <v>13</v>
      </c>
      <c r="E720" s="8" t="n">
        <v>10</v>
      </c>
      <c r="F720" s="4" t="s">
        <v>6476</v>
      </c>
      <c r="G720" s="8" t="n">
        <v>62</v>
      </c>
      <c r="H720" s="8" t="n">
        <v>8</v>
      </c>
      <c r="I720" s="4" t="s">
        <v>5108</v>
      </c>
      <c r="J720" s="8" t="n">
        <v>50</v>
      </c>
      <c r="K720" s="8" t="n">
        <v>1</v>
      </c>
      <c r="L720" s="4" t="s">
        <v>5611</v>
      </c>
      <c r="M720" s="8" t="n">
        <v>29</v>
      </c>
      <c r="N720" s="8" t="n">
        <f aca="false">IF(A720="","",G720-J720)</f>
        <v>12</v>
      </c>
      <c r="O720" s="8" t="n">
        <f aca="false">IF(A720="","",J720-M720)</f>
        <v>21</v>
      </c>
      <c r="P720" s="8" t="n">
        <f aca="false">IF(A720="","",G720+J720)</f>
        <v>112</v>
      </c>
      <c r="Q720" s="8" t="str">
        <f aca="false">IF(A720="","",IF(AND(Y720&lt;&gt;"参考",G720&gt;=ルール設定!$B$2),"○",""))</f>
        <v/>
      </c>
      <c r="R720" s="8" t="str">
        <f aca="false">IF(A720="","",IF(AND(Y720&lt;&gt;"参考",G720&gt;=ルール設定!$B$3,N720&gt;=ルール設定!$B$4),"○",""))</f>
        <v/>
      </c>
      <c r="S720" s="8" t="str">
        <f aca="false">IF(A720="","",IF(AND(Y720&lt;&gt;"参考",G720&gt;=ルール設定!$B$5,J720&gt;=ルール設定!$B$6,O720&gt;=ルール設定!$B$7),"○",""))</f>
        <v>○</v>
      </c>
      <c r="T720" s="8" t="n">
        <v>4</v>
      </c>
      <c r="U720" s="8" t="n">
        <v>1</v>
      </c>
      <c r="V720" s="8" t="str">
        <f aca="false">IF(A720="","",IF(AND(ISNUMBER(T720),ISNUMBER(U720)),IF(AND(T720&lt;=3,U720&lt;=3),"○","×"),""))</f>
        <v>×</v>
      </c>
      <c r="W720" s="8"/>
      <c r="X720" s="8"/>
      <c r="Y720" s="4" t="s">
        <v>7597</v>
      </c>
      <c r="Z720" s="4" t="s">
        <v>7886</v>
      </c>
      <c r="AA720" s="8" t="str">
        <v/>
      </c>
      <c r="AB720" s="8" t="str">
        <v/>
      </c>
      <c r="AC720" s="8" t="str">
        <v/>
      </c>
      <c r="AD720" s="8" t="str">
        <v/>
      </c>
      <c r="AE720" s="8" t="str">
        <v/>
      </c>
      <c r="AF720" s="8" t="str">
        <v/>
      </c>
      <c r="AG720" s="8" t="str">
        <v/>
      </c>
      <c r="AH720" s="8" t="str">
        <v/>
      </c>
      <c r="AI720" s="8" t="n">
        <v>33</v>
      </c>
      <c r="AJ720" s="8" t="str">
        <v>60～69</v>
      </c>
      <c r="AK720" s="8" t="str">
        <v>10～19</v>
      </c>
      <c r="AL720" s="8" t="str">
        <v>30～39</v>
      </c>
      <c r="AM720" s="8" t="str">
        <v>100～119</v>
      </c>
      <c r="AN720" s="8" t="str">
        <v>12～14</v>
      </c>
      <c r="AO720" s="8" t="str">
        <f aca="false">IF(A720="","",IF(COUNTIFS(全馬データ!$A$2:$A$50000,A720,全馬データ!$B$2:$B$50000,B720,全馬データ!$C$2:$C$50000,C720,全馬データ!$D$2:$D$50000,E720,全馬データ!$K$2:$K$50000,"&lt;&gt;")=0,"",SUMIFS(全馬データ!$K$2:$K$50000,全馬データ!$A$2:$A$50000,A720,全馬データ!$B$2:$B$50000,B720,全馬データ!$C$2:$C$50000,C720,全馬データ!$D$2:$D$50000,E720)))</f>
        <v/>
      </c>
      <c r="AP720" s="8" t="str">
        <f aca="false">IF(A720="","",IF(AO720="","欠損",IF(AO720&lt;=1.1,"1.0～1.1",IF(AO720&lt;1.3,"1.2",IF(AO720&lt;1.5,"1.3～1.4",IF(AO720&lt;2,"1.5～1.9","2.0以上"))))))</f>
        <v>欠損</v>
      </c>
      <c r="AQ720" s="8" t="str">
        <f aca="false">IF(A720="","",IF(ISNUMBER(SEARCH("2歳",Z720)),"2歳戦",IF(ISNUMBER(SEARCH("3歳未勝利",Z720)),"3歳未勝利",IF(ISNUMBER(SEARCH("未勝利",Z720)),"その他未勝利",IF(ISNUMBER(SEARCH("G1",Z720)),"G1",IF(ISNUMBER(SEARCH("G2",Z720)),"G2",IF(ISNUMBER(SEARCH("G3",Z720)),"G3",IF(ISNUMBER(SEARCH("古馬条件",Z720)),"古馬条件戦",IF(ISNUMBER(SEARCH("重賞",Z720)),"重賞","分類不能")))))))))</f>
        <v>分類不能</v>
      </c>
      <c r="AR720" s="8"/>
      <c r="AS720" s="8" t="s">
        <v>7842</v>
      </c>
      <c r="AT720" s="8" t="s">
        <v>7843</v>
      </c>
      <c r="AU720" s="8" t="s">
        <v>7628</v>
      </c>
      <c r="AV720" s="8" t="s">
        <v>7629</v>
      </c>
      <c r="AW720" s="8"/>
      <c r="AX720" s="8"/>
      <c r="AY720" s="8" t="s">
        <v>7602</v>
      </c>
      <c r="AZ720" s="4" t="s">
        <v>7603</v>
      </c>
      <c r="BA720" s="8" t="n">
        <v>2000</v>
      </c>
      <c r="BB720" s="8" t="s">
        <v>7634</v>
      </c>
      <c r="BC720" s="4" t="s">
        <v>7604</v>
      </c>
      <c r="BD720" s="8" t="s">
        <v>7605</v>
      </c>
      <c r="BE720" s="4" t="s">
        <v>7606</v>
      </c>
      <c r="BF720" s="8" t="s">
        <v>7607</v>
      </c>
      <c r="BG720" s="8" t="s">
        <v>7631</v>
      </c>
      <c r="BH720" s="4" t="s">
        <v>7632</v>
      </c>
      <c r="BI720" s="8" t="n">
        <v>13</v>
      </c>
      <c r="BJ720" s="8" t="s">
        <v>7610</v>
      </c>
      <c r="BK720" s="4" t="s">
        <v>7611</v>
      </c>
      <c r="BL720" s="8" t="s">
        <v>7610</v>
      </c>
      <c r="BM720" s="4" t="s">
        <v>7612</v>
      </c>
      <c r="BN720" s="8" t="s">
        <v>7631</v>
      </c>
      <c r="BO720" s="8" t="s">
        <v>7680</v>
      </c>
      <c r="BP720" s="8" t="s">
        <v>7608</v>
      </c>
      <c r="BQ720" s="8" t="str">
        <f aca="false">IF(A720="","",AT720)</f>
        <v>4歳以上</v>
      </c>
      <c r="BR720" s="8" t="str">
        <f aca="false">IF(A720="","",IF(BA720&lt;=1200,"～1200",IF(BA720&lt;=1500,"1300～1500",IF(BA720=1600,"1600",IF(BA720&lt;=1800,"1700～1800",IF(BA720&lt;=2000,"1900～2000","2100以上"))))))</f>
        <v>1900～2000</v>
      </c>
      <c r="BS720" s="8" t="str">
        <f aca="false">IF(A720="","",IF(AX720="G1","G1",IF(AX720="G2","G2",IF(AX720="G3","G3",IF(AX720="L","L","その他")))))</f>
        <v>その他</v>
      </c>
      <c r="BT720" s="8" t="str">
        <f aca="false">IF(A720="","",IF(BI720="","未結合",IF(D720=BI720,"一致","不一致")))</f>
        <v>一致</v>
      </c>
      <c r="BU720" s="8" t="str">
        <f aca="false">IF(A720="","",IF(BE720="牝馬限定","牝馬限定","その他"))</f>
        <v>その他</v>
      </c>
    </row>
    <row r="721" customFormat="false" ht="15.75" hidden="false" customHeight="false" outlineLevel="0" collapsed="false">
      <c r="A721" s="6" t="n">
        <v>46159</v>
      </c>
      <c r="B721" s="4" t="s">
        <v>13</v>
      </c>
      <c r="C721" s="8" t="n">
        <v>8</v>
      </c>
      <c r="D721" s="8" t="n">
        <v>10</v>
      </c>
      <c r="E721" s="8" t="n">
        <v>2</v>
      </c>
      <c r="F721" s="4" t="s">
        <v>4142</v>
      </c>
      <c r="G721" s="8" t="n">
        <v>81</v>
      </c>
      <c r="H721" s="8" t="n">
        <v>10</v>
      </c>
      <c r="I721" s="4" t="s">
        <v>4650</v>
      </c>
      <c r="J721" s="8" t="n">
        <v>47</v>
      </c>
      <c r="K721" s="8" t="n">
        <v>3</v>
      </c>
      <c r="L721" s="4" t="s">
        <v>3064</v>
      </c>
      <c r="M721" s="8" t="n">
        <v>23</v>
      </c>
      <c r="N721" s="8" t="n">
        <f aca="false">IF(A721="","",G721-J721)</f>
        <v>34</v>
      </c>
      <c r="O721" s="8" t="n">
        <f aca="false">IF(A721="","",J721-M721)</f>
        <v>24</v>
      </c>
      <c r="P721" s="8" t="n">
        <f aca="false">IF(A721="","",G721+J721)</f>
        <v>128</v>
      </c>
      <c r="Q721" s="8" t="str">
        <f aca="false">IF(A721="","",IF(AND(Y721&lt;&gt;"参考",G721&gt;=ルール設定!$B$2),"○",""))</f>
        <v>○</v>
      </c>
      <c r="R721" s="8" t="str">
        <f aca="false">IF(A721="","",IF(AND(Y721&lt;&gt;"参考",G721&gt;=ルール設定!$B$3,N721&gt;=ルール設定!$B$4),"○",""))</f>
        <v>○</v>
      </c>
      <c r="S721" s="8" t="str">
        <f aca="false">IF(A721="","",IF(AND(Y721&lt;&gt;"参考",G721&gt;=ルール設定!$B$5,J721&gt;=ルール設定!$B$6,O721&gt;=ルール設定!$B$7),"○",""))</f>
        <v/>
      </c>
      <c r="T721" s="8" t="n">
        <v>3</v>
      </c>
      <c r="U721" s="8" t="n">
        <v>1</v>
      </c>
      <c r="V721" s="8" t="str">
        <f aca="false">IF(A721="","",IF(AND(ISNUMBER(T721),ISNUMBER(U721)),IF(AND(T721&lt;=3,U721&lt;=3),"○","×"),""))</f>
        <v>○</v>
      </c>
      <c r="W721" s="8" t="n">
        <v>110</v>
      </c>
      <c r="X721" s="8" t="n">
        <v>180</v>
      </c>
      <c r="Y721" s="4" t="s">
        <v>7597</v>
      </c>
      <c r="Z721" s="4" t="s">
        <v>7886</v>
      </c>
      <c r="AA721" s="8" t="str">
        <v/>
      </c>
      <c r="AB721" s="8" t="str">
        <v>○</v>
      </c>
      <c r="AC721" s="8" t="str">
        <v/>
      </c>
      <c r="AD721" s="8" t="str">
        <v>○</v>
      </c>
      <c r="AE721" s="8" t="str">
        <v/>
      </c>
      <c r="AF721" s="8" t="str">
        <v/>
      </c>
      <c r="AG721" s="8" t="str">
        <v>○</v>
      </c>
      <c r="AH721" s="8" t="str">
        <v/>
      </c>
      <c r="AI721" s="8" t="n">
        <v>58</v>
      </c>
      <c r="AJ721" s="8" t="str">
        <v>80～84</v>
      </c>
      <c r="AK721" s="8" t="str">
        <v>30以上</v>
      </c>
      <c r="AL721" s="8" t="str">
        <v>40以上</v>
      </c>
      <c r="AM721" s="8" t="str">
        <v>120～139</v>
      </c>
      <c r="AN721" s="8" t="str">
        <v>8～11</v>
      </c>
      <c r="AO721" s="8" t="str">
        <f aca="false">IF(A721="","",IF(COUNTIFS(全馬データ!$A$2:$A$50000,A721,全馬データ!$B$2:$B$50000,B721,全馬データ!$C$2:$C$50000,C721,全馬データ!$D$2:$D$50000,E721,全馬データ!$K$2:$K$50000,"&lt;&gt;")=0,"",SUMIFS(全馬データ!$K$2:$K$50000,全馬データ!$A$2:$A$50000,A721,全馬データ!$B$2:$B$50000,B721,全馬データ!$C$2:$C$50000,C721,全馬データ!$D$2:$D$50000,E721)))</f>
        <v/>
      </c>
      <c r="AP721" s="8" t="str">
        <f aca="false">IF(A721="","",IF(AO721="","欠損",IF(AO721&lt;=1.1,"1.0～1.1",IF(AO721&lt;1.3,"1.2",IF(AO721&lt;1.5,"1.3～1.4",IF(AO721&lt;2,"1.5～1.9","2.0以上"))))))</f>
        <v>欠損</v>
      </c>
      <c r="AQ721" s="8" t="str">
        <f aca="false">IF(A721="","",IF(ISNUMBER(SEARCH("2歳",Z721)),"2歳戦",IF(ISNUMBER(SEARCH("3歳未勝利",Z721)),"3歳未勝利",IF(ISNUMBER(SEARCH("未勝利",Z721)),"その他未勝利",IF(ISNUMBER(SEARCH("G1",Z721)),"G1",IF(ISNUMBER(SEARCH("G2",Z721)),"G2",IF(ISNUMBER(SEARCH("G3",Z721)),"G3",IF(ISNUMBER(SEARCH("古馬条件",Z721)),"古馬条件戦",IF(ISNUMBER(SEARCH("重賞",Z721)),"重賞","分類不能")))))))))</f>
        <v>分類不能</v>
      </c>
      <c r="AR721" s="8"/>
      <c r="AS721" s="8" t="s">
        <v>7842</v>
      </c>
      <c r="AT721" s="8" t="s">
        <v>7843</v>
      </c>
      <c r="AU721" s="8" t="s">
        <v>7628</v>
      </c>
      <c r="AV721" s="8" t="s">
        <v>7629</v>
      </c>
      <c r="AW721" s="8"/>
      <c r="AX721" s="8"/>
      <c r="AY721" s="8" t="s">
        <v>7610</v>
      </c>
      <c r="AZ721" s="4" t="s">
        <v>7617</v>
      </c>
      <c r="BA721" s="8" t="n">
        <v>1800</v>
      </c>
      <c r="BB721" s="8" t="s">
        <v>7634</v>
      </c>
      <c r="BC721" s="4" t="s">
        <v>7604</v>
      </c>
      <c r="BD721" s="8" t="s">
        <v>7605</v>
      </c>
      <c r="BE721" s="4" t="s">
        <v>7606</v>
      </c>
      <c r="BF721" s="8" t="s">
        <v>7607</v>
      </c>
      <c r="BG721" s="8" t="s">
        <v>7631</v>
      </c>
      <c r="BH721" s="4" t="s">
        <v>7632</v>
      </c>
      <c r="BI721" s="8" t="n">
        <v>10</v>
      </c>
      <c r="BJ721" s="8" t="s">
        <v>7610</v>
      </c>
      <c r="BK721" s="4" t="s">
        <v>7611</v>
      </c>
      <c r="BL721" s="8" t="s">
        <v>7602</v>
      </c>
      <c r="BM721" s="4" t="s">
        <v>7620</v>
      </c>
      <c r="BN721" s="8"/>
      <c r="BO721" s="8"/>
      <c r="BP721" s="8" t="s">
        <v>7608</v>
      </c>
      <c r="BQ721" s="8" t="str">
        <f aca="false">IF(A721="","",AT721)</f>
        <v>4歳以上</v>
      </c>
      <c r="BR721" s="8" t="str">
        <f aca="false">IF(A721="","",IF(BA721&lt;=1200,"～1200",IF(BA721&lt;=1500,"1300～1500",IF(BA721=1600,"1600",IF(BA721&lt;=1800,"1700～1800",IF(BA721&lt;=2000,"1900～2000","2100以上"))))))</f>
        <v>1700～1800</v>
      </c>
      <c r="BS721" s="8" t="str">
        <f aca="false">IF(A721="","",IF(AX721="G1","G1",IF(AX721="G2","G2",IF(AX721="G3","G3",IF(AX721="L","L","その他")))))</f>
        <v>その他</v>
      </c>
      <c r="BT721" s="8" t="str">
        <f aca="false">IF(A721="","",IF(BI721="","未結合",IF(D721=BI721,"一致","不一致")))</f>
        <v>一致</v>
      </c>
      <c r="BU721" s="8" t="str">
        <f aca="false">IF(A721="","",IF(BE721="牝馬限定","牝馬限定","その他"))</f>
        <v>その他</v>
      </c>
    </row>
    <row r="722" customFormat="false" ht="15.75" hidden="false" customHeight="false" outlineLevel="0" collapsed="false">
      <c r="A722" s="6" t="n">
        <v>46159</v>
      </c>
      <c r="B722" s="4" t="s">
        <v>13</v>
      </c>
      <c r="C722" s="8" t="n">
        <v>9</v>
      </c>
      <c r="D722" s="8" t="n">
        <v>16</v>
      </c>
      <c r="E722" s="8" t="n">
        <v>4</v>
      </c>
      <c r="F722" s="4" t="s">
        <v>6480</v>
      </c>
      <c r="G722" s="8" t="n">
        <v>44</v>
      </c>
      <c r="H722" s="8" t="n">
        <v>12</v>
      </c>
      <c r="I722" s="4" t="s">
        <v>2545</v>
      </c>
      <c r="J722" s="8" t="n">
        <v>34</v>
      </c>
      <c r="K722" s="8" t="n">
        <v>10</v>
      </c>
      <c r="L722" s="4" t="s">
        <v>1858</v>
      </c>
      <c r="M722" s="8" t="n">
        <v>31</v>
      </c>
      <c r="N722" s="8" t="n">
        <f aca="false">IF(A722="","",G722-J722)</f>
        <v>10</v>
      </c>
      <c r="O722" s="8" t="n">
        <f aca="false">IF(A722="","",J722-M722)</f>
        <v>3</v>
      </c>
      <c r="P722" s="8" t="n">
        <f aca="false">IF(A722="","",G722+J722)</f>
        <v>78</v>
      </c>
      <c r="Q722" s="8" t="str">
        <f aca="false">IF(A722="","",IF(AND(Y722&lt;&gt;"参考",G722&gt;=ルール設定!$B$2),"○",""))</f>
        <v/>
      </c>
      <c r="R722" s="8" t="str">
        <f aca="false">IF(A722="","",IF(AND(Y722&lt;&gt;"参考",G722&gt;=ルール設定!$B$3,N722&gt;=ルール設定!$B$4),"○",""))</f>
        <v/>
      </c>
      <c r="S722" s="8" t="str">
        <f aca="false">IF(A722="","",IF(AND(Y722&lt;&gt;"参考",G722&gt;=ルール設定!$B$5,J722&gt;=ルール設定!$B$6,O722&gt;=ルール設定!$B$7),"○",""))</f>
        <v/>
      </c>
      <c r="T722" s="8" t="n">
        <v>4</v>
      </c>
      <c r="U722" s="8" t="n">
        <v>4</v>
      </c>
      <c r="V722" s="8" t="str">
        <f aca="false">IF(A722="","",IF(AND(ISNUMBER(T722),ISNUMBER(U722)),IF(AND(T722&lt;=3,U722&lt;=3),"○","×"),""))</f>
        <v>×</v>
      </c>
      <c r="W722" s="8"/>
      <c r="X722" s="8"/>
      <c r="Y722" s="4" t="s">
        <v>7597</v>
      </c>
      <c r="Z722" s="4" t="s">
        <v>7886</v>
      </c>
      <c r="AA722" s="8" t="str">
        <v/>
      </c>
      <c r="AB722" s="8" t="str">
        <v/>
      </c>
      <c r="AC722" s="8" t="str">
        <v/>
      </c>
      <c r="AD722" s="8" t="str">
        <v/>
      </c>
      <c r="AE722" s="8" t="str">
        <v/>
      </c>
      <c r="AF722" s="8" t="str">
        <v/>
      </c>
      <c r="AG722" s="8" t="str">
        <v/>
      </c>
      <c r="AH722" s="8" t="str">
        <v/>
      </c>
      <c r="AI722" s="8" t="n">
        <v>13</v>
      </c>
      <c r="AJ722" s="8" t="str">
        <v>～59</v>
      </c>
      <c r="AK722" s="8" t="str">
        <v>10～19</v>
      </c>
      <c r="AL722" s="8" t="str">
        <v>10～19</v>
      </c>
      <c r="AM722" s="8" t="str">
        <v>～99</v>
      </c>
      <c r="AN722" s="8" t="str">
        <v>15以上</v>
      </c>
      <c r="AO722" s="8" t="str">
        <f aca="false">IF(A722="","",IF(COUNTIFS(全馬データ!$A$2:$A$50000,A722,全馬データ!$B$2:$B$50000,B722,全馬データ!$C$2:$C$50000,C722,全馬データ!$D$2:$D$50000,E722,全馬データ!$K$2:$K$50000,"&lt;&gt;")=0,"",SUMIFS(全馬データ!$K$2:$K$50000,全馬データ!$A$2:$A$50000,A722,全馬データ!$B$2:$B$50000,B722,全馬データ!$C$2:$C$50000,C722,全馬データ!$D$2:$D$50000,E722)))</f>
        <v/>
      </c>
      <c r="AP722" s="8" t="str">
        <f aca="false">IF(A722="","",IF(AO722="","欠損",IF(AO722&lt;=1.1,"1.0～1.1",IF(AO722&lt;1.3,"1.2",IF(AO722&lt;1.5,"1.3～1.4",IF(AO722&lt;2,"1.5～1.9","2.0以上"))))))</f>
        <v>欠損</v>
      </c>
      <c r="AQ722" s="8" t="str">
        <f aca="false">IF(A722="","",IF(ISNUMBER(SEARCH("2歳",Z722)),"2歳戦",IF(ISNUMBER(SEARCH("3歳未勝利",Z722)),"3歳未勝利",IF(ISNUMBER(SEARCH("未勝利",Z722)),"その他未勝利",IF(ISNUMBER(SEARCH("G1",Z722)),"G1",IF(ISNUMBER(SEARCH("G2",Z722)),"G2",IF(ISNUMBER(SEARCH("G3",Z722)),"G3",IF(ISNUMBER(SEARCH("古馬条件",Z722)),"古馬条件戦",IF(ISNUMBER(SEARCH("重賞",Z722)),"重賞","分類不能")))))))))</f>
        <v>分類不能</v>
      </c>
      <c r="AR722" s="4" t="s">
        <v>7904</v>
      </c>
      <c r="AS722" s="8" t="s">
        <v>7842</v>
      </c>
      <c r="AT722" s="8" t="s">
        <v>7843</v>
      </c>
      <c r="AU722" s="8" t="s">
        <v>7628</v>
      </c>
      <c r="AV722" s="8" t="s">
        <v>7629</v>
      </c>
      <c r="AW722" s="8" t="s">
        <v>7636</v>
      </c>
      <c r="AX722" s="4" t="s">
        <v>7637</v>
      </c>
      <c r="AY722" s="8" t="s">
        <v>7602</v>
      </c>
      <c r="AZ722" s="4" t="s">
        <v>7603</v>
      </c>
      <c r="BA722" s="8" t="n">
        <v>1000</v>
      </c>
      <c r="BB722" s="8" t="s">
        <v>7634</v>
      </c>
      <c r="BC722" s="4" t="s">
        <v>7604</v>
      </c>
      <c r="BD722" s="8" t="s">
        <v>7605</v>
      </c>
      <c r="BE722" s="4" t="s">
        <v>7606</v>
      </c>
      <c r="BF722" s="8" t="s">
        <v>7607</v>
      </c>
      <c r="BG722" s="8" t="s">
        <v>7631</v>
      </c>
      <c r="BH722" s="4" t="s">
        <v>7632</v>
      </c>
      <c r="BI722" s="8" t="n">
        <v>16</v>
      </c>
      <c r="BJ722" s="8" t="s">
        <v>7608</v>
      </c>
      <c r="BK722" s="4" t="s">
        <v>7649</v>
      </c>
      <c r="BL722" s="8" t="s">
        <v>7647</v>
      </c>
      <c r="BM722" s="4" t="s">
        <v>7648</v>
      </c>
      <c r="BN722" s="8" t="s">
        <v>7631</v>
      </c>
      <c r="BO722" s="8" t="s">
        <v>7680</v>
      </c>
      <c r="BP722" s="8" t="s">
        <v>7608</v>
      </c>
      <c r="BQ722" s="8" t="str">
        <f aca="false">IF(A722="","",AT722)</f>
        <v>4歳以上</v>
      </c>
      <c r="BR722" s="8" t="str">
        <f aca="false">IF(A722="","",IF(BA722&lt;=1200,"～1200",IF(BA722&lt;=1500,"1300～1500",IF(BA722=1600,"1600",IF(BA722&lt;=1800,"1700～1800",IF(BA722&lt;=2000,"1900～2000","2100以上"))))))</f>
        <v>～1200</v>
      </c>
      <c r="BS722" s="8" t="str">
        <f aca="false">IF(A722="","",IF(AX722="G1","G1",IF(AX722="G2","G2",IF(AX722="G3","G3",IF(AX722="L","L","その他")))))</f>
        <v>その他</v>
      </c>
      <c r="BT722" s="8" t="str">
        <f aca="false">IF(A722="","",IF(BI722="","未結合",IF(D722=BI722,"一致","不一致")))</f>
        <v>一致</v>
      </c>
      <c r="BU722" s="8" t="str">
        <f aca="false">IF(A722="","",IF(BE722="牝馬限定","牝馬限定","その他"))</f>
        <v>その他</v>
      </c>
    </row>
    <row r="723" customFormat="false" ht="15.75" hidden="false" customHeight="false" outlineLevel="0" collapsed="false">
      <c r="A723" s="6" t="n">
        <v>46159</v>
      </c>
      <c r="B723" s="4" t="s">
        <v>13</v>
      </c>
      <c r="C723" s="8" t="n">
        <v>10</v>
      </c>
      <c r="D723" s="8" t="n">
        <v>16</v>
      </c>
      <c r="E723" s="8" t="n">
        <v>14</v>
      </c>
      <c r="F723" s="4" t="s">
        <v>4345</v>
      </c>
      <c r="G723" s="8" t="n">
        <v>56</v>
      </c>
      <c r="H723" s="8" t="n">
        <v>1</v>
      </c>
      <c r="I723" s="4" t="s">
        <v>3753</v>
      </c>
      <c r="J723" s="8" t="n">
        <v>50</v>
      </c>
      <c r="K723" s="8" t="n">
        <v>15</v>
      </c>
      <c r="L723" s="4" t="s">
        <v>6489</v>
      </c>
      <c r="M723" s="8" t="n">
        <v>34</v>
      </c>
      <c r="N723" s="8" t="n">
        <f aca="false">IF(A723="","",G723-J723)</f>
        <v>6</v>
      </c>
      <c r="O723" s="8" t="n">
        <f aca="false">IF(A723="","",J723-M723)</f>
        <v>16</v>
      </c>
      <c r="P723" s="8" t="n">
        <f aca="false">IF(A723="","",G723+J723)</f>
        <v>106</v>
      </c>
      <c r="Q723" s="8" t="str">
        <f aca="false">IF(A723="","",IF(AND(Y723&lt;&gt;"参考",G723&gt;=ルール設定!$B$2),"○",""))</f>
        <v/>
      </c>
      <c r="R723" s="8" t="str">
        <f aca="false">IF(A723="","",IF(AND(Y723&lt;&gt;"参考",G723&gt;=ルール設定!$B$3,N723&gt;=ルール設定!$B$4),"○",""))</f>
        <v/>
      </c>
      <c r="S723" s="8" t="str">
        <f aca="false">IF(A723="","",IF(AND(Y723&lt;&gt;"参考",G723&gt;=ルール設定!$B$5,J723&gt;=ルール設定!$B$6,O723&gt;=ルール設定!$B$7),"○",""))</f>
        <v/>
      </c>
      <c r="T723" s="8" t="n">
        <v>1</v>
      </c>
      <c r="U723" s="8" t="n">
        <v>3</v>
      </c>
      <c r="V723" s="8" t="str">
        <f aca="false">IF(A723="","",IF(AND(ISNUMBER(T723),ISNUMBER(U723)),IF(AND(T723&lt;=3,U723&lt;=3),"○","×"),""))</f>
        <v>○</v>
      </c>
      <c r="W723" s="8" t="n">
        <v>130</v>
      </c>
      <c r="X723" s="8" t="n">
        <v>360</v>
      </c>
      <c r="Y723" s="4" t="s">
        <v>7597</v>
      </c>
      <c r="Z723" s="4" t="s">
        <v>7886</v>
      </c>
      <c r="AA723" s="8" t="str">
        <v/>
      </c>
      <c r="AB723" s="8" t="str">
        <v/>
      </c>
      <c r="AC723" s="8" t="str">
        <v/>
      </c>
      <c r="AD723" s="8" t="str">
        <v/>
      </c>
      <c r="AE723" s="8" t="str">
        <v/>
      </c>
      <c r="AF723" s="8" t="str">
        <v/>
      </c>
      <c r="AG723" s="8" t="str">
        <v/>
      </c>
      <c r="AH723" s="8" t="str">
        <v/>
      </c>
      <c r="AI723" s="8" t="n">
        <v>22</v>
      </c>
      <c r="AJ723" s="8" t="str">
        <v>～59</v>
      </c>
      <c r="AK723" s="8" t="str">
        <v>5～9</v>
      </c>
      <c r="AL723" s="8" t="str">
        <v>20～29</v>
      </c>
      <c r="AM723" s="8" t="str">
        <v>100～119</v>
      </c>
      <c r="AN723" s="8" t="str">
        <v>15以上</v>
      </c>
      <c r="AO723" s="8" t="str">
        <f aca="false">IF(A723="","",IF(COUNTIFS(全馬データ!$A$2:$A$50000,A723,全馬データ!$B$2:$B$50000,B723,全馬データ!$C$2:$C$50000,C723,全馬データ!$D$2:$D$50000,E723,全馬データ!$K$2:$K$50000,"&lt;&gt;")=0,"",SUMIFS(全馬データ!$K$2:$K$50000,全馬データ!$A$2:$A$50000,A723,全馬データ!$B$2:$B$50000,B723,全馬データ!$C$2:$C$50000,C723,全馬データ!$D$2:$D$50000,E723)))</f>
        <v/>
      </c>
      <c r="AP723" s="8" t="str">
        <f aca="false">IF(A723="","",IF(AO723="","欠損",IF(AO723&lt;=1.1,"1.0～1.1",IF(AO723&lt;1.3,"1.2",IF(AO723&lt;1.5,"1.3～1.4",IF(AO723&lt;2,"1.5～1.9","2.0以上"))))))</f>
        <v>欠損</v>
      </c>
      <c r="AQ723" s="8" t="str">
        <f aca="false">IF(A723="","",IF(ISNUMBER(SEARCH("2歳",Z723)),"2歳戦",IF(ISNUMBER(SEARCH("3歳未勝利",Z723)),"3歳未勝利",IF(ISNUMBER(SEARCH("未勝利",Z723)),"その他未勝利",IF(ISNUMBER(SEARCH("G1",Z723)),"G1",IF(ISNUMBER(SEARCH("G2",Z723)),"G2",IF(ISNUMBER(SEARCH("G3",Z723)),"G3",IF(ISNUMBER(SEARCH("古馬条件",Z723)),"古馬条件戦",IF(ISNUMBER(SEARCH("重賞",Z723)),"重賞","分類不能")))))))))</f>
        <v>分類不能</v>
      </c>
      <c r="AR723" s="4" t="s">
        <v>7905</v>
      </c>
      <c r="AS723" s="8" t="s">
        <v>7842</v>
      </c>
      <c r="AT723" s="8" t="s">
        <v>7843</v>
      </c>
      <c r="AU723" s="8" t="s">
        <v>7634</v>
      </c>
      <c r="AV723" s="8" t="s">
        <v>7635</v>
      </c>
      <c r="AW723" s="8" t="s">
        <v>7636</v>
      </c>
      <c r="AX723" s="4" t="s">
        <v>7637</v>
      </c>
      <c r="AY723" s="8" t="s">
        <v>7602</v>
      </c>
      <c r="AZ723" s="4" t="s">
        <v>7603</v>
      </c>
      <c r="BA723" s="8" t="n">
        <v>2000</v>
      </c>
      <c r="BB723" s="8" t="s">
        <v>7634</v>
      </c>
      <c r="BC723" s="4" t="s">
        <v>7604</v>
      </c>
      <c r="BD723" s="8" t="s">
        <v>7605</v>
      </c>
      <c r="BE723" s="4" t="s">
        <v>7606</v>
      </c>
      <c r="BF723" s="8" t="s">
        <v>7607</v>
      </c>
      <c r="BG723" s="8" t="s">
        <v>7631</v>
      </c>
      <c r="BH723" s="4" t="s">
        <v>7632</v>
      </c>
      <c r="BI723" s="8" t="n">
        <v>16</v>
      </c>
      <c r="BJ723" s="8" t="s">
        <v>7610</v>
      </c>
      <c r="BK723" s="4" t="s">
        <v>7611</v>
      </c>
      <c r="BL723" s="8" t="s">
        <v>7610</v>
      </c>
      <c r="BM723" s="4" t="s">
        <v>7612</v>
      </c>
      <c r="BN723" s="8" t="s">
        <v>7631</v>
      </c>
      <c r="BO723" s="8" t="s">
        <v>7680</v>
      </c>
      <c r="BP723" s="8" t="s">
        <v>7608</v>
      </c>
      <c r="BQ723" s="8" t="str">
        <f aca="false">IF(A723="","",AT723)</f>
        <v>4歳以上</v>
      </c>
      <c r="BR723" s="8" t="str">
        <f aca="false">IF(A723="","",IF(BA723&lt;=1200,"～1200",IF(BA723&lt;=1500,"1300～1500",IF(BA723=1600,"1600",IF(BA723&lt;=1800,"1700～1800",IF(BA723&lt;=2000,"1900～2000","2100以上"))))))</f>
        <v>1900～2000</v>
      </c>
      <c r="BS723" s="8" t="str">
        <f aca="false">IF(A723="","",IF(AX723="G1","G1",IF(AX723="G2","G2",IF(AX723="G3","G3",IF(AX723="L","L","その他")))))</f>
        <v>その他</v>
      </c>
      <c r="BT723" s="8" t="str">
        <f aca="false">IF(A723="","",IF(BI723="","未結合",IF(D723=BI723,"一致","不一致")))</f>
        <v>一致</v>
      </c>
      <c r="BU723" s="8" t="str">
        <f aca="false">IF(A723="","",IF(BE723="牝馬限定","牝馬限定","その他"))</f>
        <v>その他</v>
      </c>
    </row>
    <row r="724" customFormat="false" ht="15.75" hidden="false" customHeight="false" outlineLevel="0" collapsed="false">
      <c r="A724" s="6" t="n">
        <v>46159</v>
      </c>
      <c r="B724" s="4" t="s">
        <v>13</v>
      </c>
      <c r="C724" s="8" t="n">
        <v>11</v>
      </c>
      <c r="D724" s="8" t="n">
        <v>16</v>
      </c>
      <c r="E724" s="8" t="n">
        <v>7</v>
      </c>
      <c r="F724" s="4" t="s">
        <v>5293</v>
      </c>
      <c r="G724" s="8" t="n">
        <v>41</v>
      </c>
      <c r="H724" s="8" t="n">
        <v>8</v>
      </c>
      <c r="I724" s="4" t="s">
        <v>4656</v>
      </c>
      <c r="J724" s="8" t="n">
        <v>41</v>
      </c>
      <c r="K724" s="8" t="n">
        <v>6</v>
      </c>
      <c r="L724" s="4" t="s">
        <v>6492</v>
      </c>
      <c r="M724" s="8" t="n">
        <v>39</v>
      </c>
      <c r="N724" s="8" t="n">
        <f aca="false">IF(A724="","",G724-J724)</f>
        <v>0</v>
      </c>
      <c r="O724" s="8" t="n">
        <f aca="false">IF(A724="","",J724-M724)</f>
        <v>2</v>
      </c>
      <c r="P724" s="8" t="n">
        <f aca="false">IF(A724="","",G724+J724)</f>
        <v>82</v>
      </c>
      <c r="Q724" s="8" t="str">
        <f aca="false">IF(A724="","",IF(AND(Y724&lt;&gt;"参考",G724&gt;=ルール設定!$B$2),"○",""))</f>
        <v/>
      </c>
      <c r="R724" s="8" t="str">
        <f aca="false">IF(A724="","",IF(AND(Y724&lt;&gt;"参考",G724&gt;=ルール設定!$B$3,N724&gt;=ルール設定!$B$4),"○",""))</f>
        <v/>
      </c>
      <c r="S724" s="8" t="str">
        <f aca="false">IF(A724="","",IF(AND(Y724&lt;&gt;"参考",G724&gt;=ルール設定!$B$5,J724&gt;=ルール設定!$B$6,O724&gt;=ルール設定!$B$7),"○",""))</f>
        <v/>
      </c>
      <c r="T724" s="8" t="n">
        <v>4</v>
      </c>
      <c r="U724" s="8" t="n">
        <v>4</v>
      </c>
      <c r="V724" s="8" t="str">
        <f aca="false">IF(A724="","",IF(AND(ISNUMBER(T724),ISNUMBER(U724)),IF(AND(T724&lt;=3,U724&lt;=3),"○","×"),""))</f>
        <v>×</v>
      </c>
      <c r="W724" s="8"/>
      <c r="X724" s="8"/>
      <c r="Y724" s="4" t="s">
        <v>7597</v>
      </c>
      <c r="Z724" s="4" t="s">
        <v>7886</v>
      </c>
      <c r="AA724" s="8" t="str">
        <v/>
      </c>
      <c r="AB724" s="8" t="str">
        <v/>
      </c>
      <c r="AC724" s="8" t="str">
        <v/>
      </c>
      <c r="AD724" s="8" t="str">
        <v/>
      </c>
      <c r="AE724" s="8" t="str">
        <v/>
      </c>
      <c r="AF724" s="8" t="str">
        <v/>
      </c>
      <c r="AG724" s="8" t="str">
        <v/>
      </c>
      <c r="AH724" s="8" t="str">
        <v/>
      </c>
      <c r="AI724" s="8" t="n">
        <v>2</v>
      </c>
      <c r="AJ724" s="8" t="str">
        <v>～59</v>
      </c>
      <c r="AK724" s="8" t="str">
        <v>0～4</v>
      </c>
      <c r="AL724" s="8" t="str">
        <v>0～9</v>
      </c>
      <c r="AM724" s="8" t="str">
        <v>～99</v>
      </c>
      <c r="AN724" s="8" t="str">
        <v>15以上</v>
      </c>
      <c r="AO724" s="8" t="str">
        <f aca="false">IF(A724="","",IF(COUNTIFS(全馬データ!$A$2:$A$50000,A724,全馬データ!$B$2:$B$50000,B724,全馬データ!$C$2:$C$50000,C724,全馬データ!$D$2:$D$50000,E724,全馬データ!$K$2:$K$50000,"&lt;&gt;")=0,"",SUMIFS(全馬データ!$K$2:$K$50000,全馬データ!$A$2:$A$50000,A724,全馬データ!$B$2:$B$50000,B724,全馬データ!$C$2:$C$50000,C724,全馬データ!$D$2:$D$50000,E724)))</f>
        <v/>
      </c>
      <c r="AP724" s="8" t="str">
        <f aca="false">IF(A724="","",IF(AO724="","欠損",IF(AO724&lt;=1.1,"1.0～1.1",IF(AO724&lt;1.3,"1.2",IF(AO724&lt;1.5,"1.3～1.4",IF(AO724&lt;2,"1.5～1.9","2.0以上"))))))</f>
        <v>欠損</v>
      </c>
      <c r="AQ724" s="8" t="str">
        <f aca="false">IF(A724="","",IF(ISNUMBER(SEARCH("2歳",Z724)),"2歳戦",IF(ISNUMBER(SEARCH("3歳未勝利",Z724)),"3歳未勝利",IF(ISNUMBER(SEARCH("未勝利",Z724)),"その他未勝利",IF(ISNUMBER(SEARCH("G1",Z724)),"G1",IF(ISNUMBER(SEARCH("G2",Z724)),"G2",IF(ISNUMBER(SEARCH("G3",Z724)),"G3",IF(ISNUMBER(SEARCH("古馬条件",Z724)),"古馬条件戦",IF(ISNUMBER(SEARCH("重賞",Z724)),"重賞","分類不能")))))))))</f>
        <v>分類不能</v>
      </c>
      <c r="AR724" s="4" t="s">
        <v>7906</v>
      </c>
      <c r="AS724" s="8" t="s">
        <v>7842</v>
      </c>
      <c r="AT724" s="8" t="s">
        <v>7843</v>
      </c>
      <c r="AU724" s="8" t="s">
        <v>7639</v>
      </c>
      <c r="AV724" s="8" t="s">
        <v>7640</v>
      </c>
      <c r="AW724" s="8" t="s">
        <v>7636</v>
      </c>
      <c r="AX724" s="4" t="s">
        <v>7637</v>
      </c>
      <c r="AY724" s="8" t="s">
        <v>7602</v>
      </c>
      <c r="AZ724" s="4" t="s">
        <v>7603</v>
      </c>
      <c r="BA724" s="8" t="n">
        <v>1800</v>
      </c>
      <c r="BB724" s="8" t="s">
        <v>7634</v>
      </c>
      <c r="BC724" s="4" t="s">
        <v>7604</v>
      </c>
      <c r="BD724" s="8" t="s">
        <v>7630</v>
      </c>
      <c r="BE724" s="4" t="s">
        <v>7606</v>
      </c>
      <c r="BF724" s="8" t="s">
        <v>7607</v>
      </c>
      <c r="BG724" s="8" t="s">
        <v>7631</v>
      </c>
      <c r="BH724" s="4" t="s">
        <v>7632</v>
      </c>
      <c r="BI724" s="8" t="n">
        <v>16</v>
      </c>
      <c r="BJ724" s="8" t="s">
        <v>7610</v>
      </c>
      <c r="BK724" s="4" t="s">
        <v>7611</v>
      </c>
      <c r="BL724" s="8" t="s">
        <v>7610</v>
      </c>
      <c r="BM724" s="4" t="s">
        <v>7612</v>
      </c>
      <c r="BN724" s="8" t="s">
        <v>7631</v>
      </c>
      <c r="BO724" s="8" t="s">
        <v>7680</v>
      </c>
      <c r="BP724" s="8" t="s">
        <v>7608</v>
      </c>
      <c r="BQ724" s="8" t="str">
        <f aca="false">IF(A724="","",AT724)</f>
        <v>4歳以上</v>
      </c>
      <c r="BR724" s="8" t="str">
        <f aca="false">IF(A724="","",IF(BA724&lt;=1200,"～1200",IF(BA724&lt;=1500,"1300～1500",IF(BA724=1600,"1600",IF(BA724&lt;=1800,"1700～1800",IF(BA724&lt;=2000,"1900～2000","2100以上"))))))</f>
        <v>1700～1800</v>
      </c>
      <c r="BS724" s="8" t="str">
        <f aca="false">IF(A724="","",IF(AX724="G1","G1",IF(AX724="G2","G2",IF(AX724="G3","G3",IF(AX724="L","L","その他")))))</f>
        <v>その他</v>
      </c>
      <c r="BT724" s="8" t="str">
        <f aca="false">IF(A724="","",IF(BI724="","未結合",IF(D724=BI724,"一致","不一致")))</f>
        <v>一致</v>
      </c>
      <c r="BU724" s="8" t="str">
        <f aca="false">IF(A724="","",IF(BE724="牝馬限定","牝馬限定","その他"))</f>
        <v>その他</v>
      </c>
    </row>
    <row r="725" customFormat="false" ht="15.75" hidden="false" customHeight="false" outlineLevel="0" collapsed="false">
      <c r="A725" s="6" t="n">
        <v>46159</v>
      </c>
      <c r="B725" s="4" t="s">
        <v>13</v>
      </c>
      <c r="C725" s="8" t="n">
        <v>12</v>
      </c>
      <c r="D725" s="8" t="n">
        <v>11</v>
      </c>
      <c r="E725" s="8" t="n">
        <v>7</v>
      </c>
      <c r="F725" s="4" t="s">
        <v>6498</v>
      </c>
      <c r="G725" s="8" t="n">
        <v>50</v>
      </c>
      <c r="H725" s="8" t="n">
        <v>5</v>
      </c>
      <c r="I725" s="4" t="s">
        <v>6497</v>
      </c>
      <c r="J725" s="8" t="n">
        <v>44</v>
      </c>
      <c r="K725" s="8" t="n">
        <v>4</v>
      </c>
      <c r="L725" s="4" t="s">
        <v>6496</v>
      </c>
      <c r="M725" s="8" t="n">
        <v>41</v>
      </c>
      <c r="N725" s="8" t="n">
        <f aca="false">IF(A725="","",G725-J725)</f>
        <v>6</v>
      </c>
      <c r="O725" s="8" t="n">
        <f aca="false">IF(A725="","",J725-M725)</f>
        <v>3</v>
      </c>
      <c r="P725" s="8" t="n">
        <f aca="false">IF(A725="","",G725+J725)</f>
        <v>94</v>
      </c>
      <c r="Q725" s="8" t="str">
        <f aca="false">IF(A725="","",IF(AND(Y725&lt;&gt;"参考",G725&gt;=ルール設定!$B$2),"○",""))</f>
        <v/>
      </c>
      <c r="R725" s="8" t="str">
        <f aca="false">IF(A725="","",IF(AND(Y725&lt;&gt;"参考",G725&gt;=ルール設定!$B$3,N725&gt;=ルール設定!$B$4),"○",""))</f>
        <v/>
      </c>
      <c r="S725" s="8" t="str">
        <f aca="false">IF(A725="","",IF(AND(Y725&lt;&gt;"参考",G725&gt;=ルール設定!$B$5,J725&gt;=ルール設定!$B$6,O725&gt;=ルール設定!$B$7),"○",""))</f>
        <v/>
      </c>
      <c r="T725" s="8" t="n">
        <v>3</v>
      </c>
      <c r="U725" s="8" t="n">
        <v>4</v>
      </c>
      <c r="V725" s="8" t="str">
        <f aca="false">IF(A725="","",IF(AND(ISNUMBER(T725),ISNUMBER(U725)),IF(AND(T725&lt;=3,U725&lt;=3),"○","×"),""))</f>
        <v>×</v>
      </c>
      <c r="W725" s="8" t="n">
        <v>200</v>
      </c>
      <c r="X725" s="8"/>
      <c r="Y725" s="4" t="s">
        <v>7597</v>
      </c>
      <c r="Z725" s="4" t="s">
        <v>7886</v>
      </c>
      <c r="AA725" s="8" t="str">
        <v/>
      </c>
      <c r="AB725" s="8" t="str">
        <v/>
      </c>
      <c r="AC725" s="8" t="str">
        <v/>
      </c>
      <c r="AD725" s="8" t="str">
        <v/>
      </c>
      <c r="AE725" s="8" t="str">
        <v/>
      </c>
      <c r="AF725" s="8" t="str">
        <v/>
      </c>
      <c r="AG725" s="8" t="str">
        <v/>
      </c>
      <c r="AH725" s="8" t="str">
        <v/>
      </c>
      <c r="AI725" s="8" t="n">
        <v>9</v>
      </c>
      <c r="AJ725" s="8" t="str">
        <v>～59</v>
      </c>
      <c r="AK725" s="8" t="str">
        <v>5～9</v>
      </c>
      <c r="AL725" s="8" t="str">
        <v>0～9</v>
      </c>
      <c r="AM725" s="8" t="str">
        <v>～99</v>
      </c>
      <c r="AN725" s="8" t="str">
        <v>8～11</v>
      </c>
      <c r="AO725" s="8" t="str">
        <f aca="false">IF(A725="","",IF(COUNTIFS(全馬データ!$A$2:$A$50000,A725,全馬データ!$B$2:$B$50000,B725,全馬データ!$C$2:$C$50000,C725,全馬データ!$D$2:$D$50000,E725,全馬データ!$K$2:$K$50000,"&lt;&gt;")=0,"",SUMIFS(全馬データ!$K$2:$K$50000,全馬データ!$A$2:$A$50000,A725,全馬データ!$B$2:$B$50000,B725,全馬データ!$C$2:$C$50000,C725,全馬データ!$D$2:$D$50000,E725)))</f>
        <v/>
      </c>
      <c r="AP725" s="8" t="str">
        <f aca="false">IF(A725="","",IF(AO725="","欠損",IF(AO725&lt;=1.1,"1.0～1.1",IF(AO725&lt;1.3,"1.2",IF(AO725&lt;1.5,"1.3～1.4",IF(AO725&lt;2,"1.5～1.9","2.0以上"))))))</f>
        <v>欠損</v>
      </c>
      <c r="AQ725" s="8" t="str">
        <f aca="false">IF(A725="","",IF(ISNUMBER(SEARCH("2歳",Z725)),"2歳戦",IF(ISNUMBER(SEARCH("3歳未勝利",Z725)),"3歳未勝利",IF(ISNUMBER(SEARCH("未勝利",Z725)),"その他未勝利",IF(ISNUMBER(SEARCH("G1",Z725)),"G1",IF(ISNUMBER(SEARCH("G2",Z725)),"G2",IF(ISNUMBER(SEARCH("G3",Z725)),"G3",IF(ISNUMBER(SEARCH("古馬条件",Z725)),"古馬条件戦",IF(ISNUMBER(SEARCH("重賞",Z725)),"重賞","分類不能")))))))))</f>
        <v>分類不能</v>
      </c>
      <c r="AR725" s="8"/>
      <c r="AS725" s="8" t="s">
        <v>7842</v>
      </c>
      <c r="AT725" s="8" t="s">
        <v>7843</v>
      </c>
      <c r="AU725" s="8" t="s">
        <v>7628</v>
      </c>
      <c r="AV725" s="8" t="s">
        <v>7629</v>
      </c>
      <c r="AW725" s="8"/>
      <c r="AX725" s="8"/>
      <c r="AY725" s="8" t="s">
        <v>7610</v>
      </c>
      <c r="AZ725" s="4" t="s">
        <v>7617</v>
      </c>
      <c r="BA725" s="8" t="n">
        <v>1200</v>
      </c>
      <c r="BB725" s="8" t="s">
        <v>7634</v>
      </c>
      <c r="BC725" s="4" t="s">
        <v>7604</v>
      </c>
      <c r="BD725" s="8" t="s">
        <v>7625</v>
      </c>
      <c r="BE725" s="4" t="s">
        <v>7606</v>
      </c>
      <c r="BF725" s="8" t="s">
        <v>7607</v>
      </c>
      <c r="BG725" s="8" t="s">
        <v>7631</v>
      </c>
      <c r="BH725" s="4" t="s">
        <v>7632</v>
      </c>
      <c r="BI725" s="8" t="n">
        <v>11</v>
      </c>
      <c r="BJ725" s="8" t="s">
        <v>7610</v>
      </c>
      <c r="BK725" s="4" t="s">
        <v>7611</v>
      </c>
      <c r="BL725" s="8" t="s">
        <v>7602</v>
      </c>
      <c r="BM725" s="4" t="s">
        <v>7620</v>
      </c>
      <c r="BN725" s="8"/>
      <c r="BO725" s="8"/>
      <c r="BP725" s="8" t="s">
        <v>7608</v>
      </c>
      <c r="BQ725" s="8" t="str">
        <f aca="false">IF(A725="","",AT725)</f>
        <v>4歳以上</v>
      </c>
      <c r="BR725" s="8" t="str">
        <f aca="false">IF(A725="","",IF(BA725&lt;=1200,"～1200",IF(BA725&lt;=1500,"1300～1500",IF(BA725=1600,"1600",IF(BA725&lt;=1800,"1700～1800",IF(BA725&lt;=2000,"1900～2000","2100以上"))))))</f>
        <v>～1200</v>
      </c>
      <c r="BS725" s="8" t="str">
        <f aca="false">IF(A725="","",IF(AX725="G1","G1",IF(AX725="G2","G2",IF(AX725="G3","G3",IF(AX725="L","L","その他")))))</f>
        <v>その他</v>
      </c>
      <c r="BT725" s="8" t="str">
        <f aca="false">IF(A725="","",IF(BI725="","未結合",IF(D725=BI725,"一致","不一致")))</f>
        <v>一致</v>
      </c>
      <c r="BU725" s="8" t="str">
        <f aca="false">IF(A725="","",IF(BE725="牝馬限定","牝馬限定","その他"))</f>
        <v>その他</v>
      </c>
    </row>
    <row r="726" customFormat="false" ht="29.1" hidden="false" customHeight="false" outlineLevel="0" collapsed="false">
      <c r="A726" s="6" t="n">
        <v>46193</v>
      </c>
      <c r="B726" s="4" t="s">
        <v>1237</v>
      </c>
      <c r="C726" s="8" t="n">
        <v>1</v>
      </c>
      <c r="D726" s="8" t="n">
        <v>16</v>
      </c>
      <c r="E726" s="8" t="n">
        <v>4</v>
      </c>
      <c r="F726" s="8"/>
      <c r="G726" s="8" t="n">
        <v>66</v>
      </c>
      <c r="H726" s="8" t="n">
        <v>16</v>
      </c>
      <c r="I726" s="8"/>
      <c r="J726" s="8" t="n">
        <v>50</v>
      </c>
      <c r="K726" s="8" t="n">
        <v>9</v>
      </c>
      <c r="L726" s="8"/>
      <c r="M726" s="8" t="n">
        <v>47</v>
      </c>
      <c r="N726" s="8" t="n">
        <f aca="false">IF(A726="","",G726-J726)</f>
        <v>16</v>
      </c>
      <c r="O726" s="8" t="n">
        <f aca="false">IF(A726="","",J726-M726)</f>
        <v>3</v>
      </c>
      <c r="P726" s="8" t="n">
        <f aca="false">IF(A726="","",G726+J726)</f>
        <v>116</v>
      </c>
      <c r="Q726" s="8" t="str">
        <f aca="false">IF(A726="","",IF(AND(Y726&lt;&gt;"参考",G726&gt;=ルール設定!$B$2),"○",""))</f>
        <v/>
      </c>
      <c r="R726" s="8" t="str">
        <f aca="false">IF(A726="","",IF(AND(Y726&lt;&gt;"参考",G726&gt;=ルール設定!$B$3,N726&gt;=ルール設定!$B$4),"○",""))</f>
        <v/>
      </c>
      <c r="S726" s="8" t="str">
        <f aca="false">IF(A726="","",IF(AND(Y726&lt;&gt;"参考",G726&gt;=ルール設定!$B$5,J726&gt;=ルール設定!$B$6,O726&gt;=ルール設定!$B$7),"○",""))</f>
        <v/>
      </c>
      <c r="T726" s="8" t="n">
        <v>4</v>
      </c>
      <c r="U726" s="8" t="n">
        <v>3</v>
      </c>
      <c r="V726" s="8" t="str">
        <f aca="false">IF(A726="","",IF(AND(ISNUMBER(T726),ISNUMBER(U726)),IF(AND(T726&lt;=3,U726&lt;=3),"○","×"),""))</f>
        <v>×</v>
      </c>
      <c r="W726" s="8"/>
      <c r="X726" s="8"/>
      <c r="Y726" s="4" t="s">
        <v>7597</v>
      </c>
      <c r="Z726" s="9" t="s">
        <v>7907</v>
      </c>
      <c r="AA726" s="8" t="str">
        <v/>
      </c>
      <c r="AB726" s="8" t="str">
        <v/>
      </c>
      <c r="AC726" s="8" t="str">
        <v/>
      </c>
      <c r="AD726" s="8" t="str">
        <v/>
      </c>
      <c r="AE726" s="8" t="str">
        <v/>
      </c>
      <c r="AF726" s="8" t="str">
        <v/>
      </c>
      <c r="AG726" s="8" t="str">
        <v/>
      </c>
      <c r="AH726" s="8" t="str">
        <v/>
      </c>
      <c r="AI726" s="8" t="n">
        <v>19</v>
      </c>
      <c r="AJ726" s="8" t="str">
        <v>60～69</v>
      </c>
      <c r="AK726" s="8" t="str">
        <v>10～19</v>
      </c>
      <c r="AL726" s="8" t="str">
        <v>10～19</v>
      </c>
      <c r="AM726" s="8" t="str">
        <v>100～119</v>
      </c>
      <c r="AN726" s="8" t="str">
        <v>15以上</v>
      </c>
      <c r="AO726" s="8" t="str">
        <f aca="false">IF(A726="","",IF(COUNTIFS(全馬データ!$A$2:$A$50000,A726,全馬データ!$B$2:$B$50000,B726,全馬データ!$C$2:$C$50000,C726,全馬データ!$D$2:$D$50000,E726,全馬データ!$K$2:$K$50000,"&lt;&gt;")=0,"",SUMIFS(全馬データ!$K$2:$K$50000,全馬データ!$A$2:$A$50000,A726,全馬データ!$B$2:$B$50000,B726,全馬データ!$C$2:$C$50000,C726,全馬データ!$D$2:$D$50000,E726)))</f>
        <v/>
      </c>
      <c r="AP726" s="8" t="str">
        <f aca="false">IF(A726="","",IF(AO726="","欠損",IF(AO726&lt;=1.1,"1.0～1.1",IF(AO726&lt;1.3,"1.2",IF(AO726&lt;1.5,"1.3～1.4",IF(AO726&lt;2,"1.5～1.9","2.0以上"))))))</f>
        <v>欠損</v>
      </c>
      <c r="AQ726" s="8" t="str">
        <f aca="false">IF(A726="","",IF(ISNUMBER(SEARCH("2歳",Z726)),"2歳戦",IF(ISNUMBER(SEARCH("3歳未勝利",Z726)),"3歳未勝利",IF(ISNUMBER(SEARCH("未勝利",Z726)),"その他未勝利",IF(ISNUMBER(SEARCH("G1",Z726)),"G1",IF(ISNUMBER(SEARCH("G2",Z726)),"G2",IF(ISNUMBER(SEARCH("G3",Z726)),"G3",IF(ISNUMBER(SEARCH("古馬条件",Z726)),"古馬条件戦",IF(ISNUMBER(SEARCH("重賞",Z726)),"重賞","分類不能")))))))))</f>
        <v>分類不能</v>
      </c>
      <c r="AR726" s="8"/>
      <c r="AS726" s="8" t="s">
        <v>7623</v>
      </c>
      <c r="AT726" s="8" t="s">
        <v>7624</v>
      </c>
      <c r="AU726" s="8" t="s">
        <v>7600</v>
      </c>
      <c r="AV726" s="4" t="s">
        <v>7601</v>
      </c>
      <c r="AW726" s="8"/>
      <c r="AX726" s="8"/>
      <c r="AY726" s="8" t="s">
        <v>7602</v>
      </c>
      <c r="AZ726" s="4" t="s">
        <v>7603</v>
      </c>
      <c r="BA726" s="8" t="n">
        <v>1200</v>
      </c>
      <c r="BB726" s="8" t="s">
        <v>7598</v>
      </c>
      <c r="BC726" s="4" t="s">
        <v>7604</v>
      </c>
      <c r="BD726" s="8" t="s">
        <v>7605</v>
      </c>
      <c r="BE726" s="4" t="s">
        <v>7606</v>
      </c>
      <c r="BF726" s="8" t="s">
        <v>7607</v>
      </c>
      <c r="BG726" s="8" t="s">
        <v>7608</v>
      </c>
      <c r="BH726" s="4" t="s">
        <v>7609</v>
      </c>
      <c r="BI726" s="8" t="n">
        <v>16</v>
      </c>
      <c r="BJ726" s="8" t="s">
        <v>7602</v>
      </c>
      <c r="BK726" s="4" t="s">
        <v>7653</v>
      </c>
      <c r="BL726" s="8" t="s">
        <v>7602</v>
      </c>
      <c r="BM726" s="4" t="s">
        <v>7620</v>
      </c>
      <c r="BN726" s="8" t="s">
        <v>7602</v>
      </c>
      <c r="BO726" s="8" t="s">
        <v>7613</v>
      </c>
      <c r="BP726" s="8" t="s">
        <v>7608</v>
      </c>
      <c r="BQ726" s="8" t="str">
        <f aca="false">IF(A726="","",AT726)</f>
        <v>3歳</v>
      </c>
      <c r="BR726" s="8" t="str">
        <f aca="false">IF(A726="","",IF(BA726&lt;=1200,"～1200",IF(BA726&lt;=1500,"1300～1500",IF(BA726=1600,"1600",IF(BA726&lt;=1800,"1700～1800",IF(BA726&lt;=2000,"1900～2000","2100以上"))))))</f>
        <v>～1200</v>
      </c>
      <c r="BS726" s="8" t="str">
        <f aca="false">IF(A726="","",IF(AX726="G1","G1",IF(AX726="G2","G2",IF(AX726="G3","G3",IF(AX726="L","L","その他")))))</f>
        <v>その他</v>
      </c>
      <c r="BT726" s="8" t="str">
        <f aca="false">IF(A726="","",IF(BI726="","未結合",IF(D726=BI726,"一致","不一致")))</f>
        <v>一致</v>
      </c>
      <c r="BU726" s="8" t="str">
        <f aca="false">IF(A726="","",IF(BE726="牝馬限定","牝馬限定","その他"))</f>
        <v>その他</v>
      </c>
    </row>
    <row r="727" customFormat="false" ht="29.1" hidden="false" customHeight="false" outlineLevel="0" collapsed="false">
      <c r="A727" s="6" t="n">
        <v>46193</v>
      </c>
      <c r="B727" s="4" t="s">
        <v>1237</v>
      </c>
      <c r="C727" s="8" t="n">
        <v>2</v>
      </c>
      <c r="D727" s="8" t="n">
        <v>14</v>
      </c>
      <c r="E727" s="8" t="n">
        <v>7</v>
      </c>
      <c r="F727" s="8"/>
      <c r="G727" s="8" t="n">
        <v>67</v>
      </c>
      <c r="H727" s="8" t="n">
        <v>8</v>
      </c>
      <c r="I727" s="8"/>
      <c r="J727" s="8" t="n">
        <v>60</v>
      </c>
      <c r="K727" s="8" t="n">
        <v>12</v>
      </c>
      <c r="L727" s="8"/>
      <c r="M727" s="8" t="n">
        <v>56</v>
      </c>
      <c r="N727" s="8" t="n">
        <f aca="false">IF(A727="","",G727-J727)</f>
        <v>7</v>
      </c>
      <c r="O727" s="8" t="n">
        <f aca="false">IF(A727="","",J727-M727)</f>
        <v>4</v>
      </c>
      <c r="P727" s="8" t="n">
        <f aca="false">IF(A727="","",G727+J727)</f>
        <v>127</v>
      </c>
      <c r="Q727" s="8" t="str">
        <f aca="false">IF(A727="","",IF(AND(Y727&lt;&gt;"参考",G727&gt;=ルール設定!$B$2),"○",""))</f>
        <v/>
      </c>
      <c r="R727" s="8" t="str">
        <f aca="false">IF(A727="","",IF(AND(Y727&lt;&gt;"参考",G727&gt;=ルール設定!$B$3,N727&gt;=ルール設定!$B$4),"○",""))</f>
        <v/>
      </c>
      <c r="S727" s="8" t="str">
        <f aca="false">IF(A727="","",IF(AND(Y727&lt;&gt;"参考",G727&gt;=ルール設定!$B$5,J727&gt;=ルール設定!$B$6,O727&gt;=ルール設定!$B$7),"○",""))</f>
        <v/>
      </c>
      <c r="T727" s="8" t="n">
        <v>1</v>
      </c>
      <c r="U727" s="8" t="n">
        <v>4</v>
      </c>
      <c r="V727" s="8" t="str">
        <f aca="false">IF(A727="","",IF(AND(ISNUMBER(T727),ISNUMBER(U727)),IF(AND(T727&lt;=3,U727&lt;=3),"○","×"),""))</f>
        <v>×</v>
      </c>
      <c r="W727" s="8" t="n">
        <v>150</v>
      </c>
      <c r="X727" s="8"/>
      <c r="Y727" s="4" t="s">
        <v>7597</v>
      </c>
      <c r="Z727" s="9" t="s">
        <v>7907</v>
      </c>
      <c r="AA727" s="8" t="str">
        <v/>
      </c>
      <c r="AB727" s="8" t="str">
        <v/>
      </c>
      <c r="AC727" s="8" t="str">
        <v/>
      </c>
      <c r="AD727" s="8" t="str">
        <v/>
      </c>
      <c r="AE727" s="8" t="str">
        <v/>
      </c>
      <c r="AF727" s="8" t="str">
        <v/>
      </c>
      <c r="AG727" s="8" t="str">
        <v/>
      </c>
      <c r="AH727" s="8" t="str">
        <v/>
      </c>
      <c r="AI727" s="8" t="n">
        <v>11</v>
      </c>
      <c r="AJ727" s="8" t="str">
        <v>60～69</v>
      </c>
      <c r="AK727" s="8" t="str">
        <v>5～9</v>
      </c>
      <c r="AL727" s="8" t="str">
        <v>10～19</v>
      </c>
      <c r="AM727" s="8" t="str">
        <v>120～139</v>
      </c>
      <c r="AN727" s="8" t="str">
        <v>12～14</v>
      </c>
      <c r="AO727" s="8" t="str">
        <f aca="false">IF(A727="","",IF(COUNTIFS(全馬データ!$A$2:$A$50000,A727,全馬データ!$B$2:$B$50000,B727,全馬データ!$C$2:$C$50000,C727,全馬データ!$D$2:$D$50000,E727,全馬データ!$K$2:$K$50000,"&lt;&gt;")=0,"",SUMIFS(全馬データ!$K$2:$K$50000,全馬データ!$A$2:$A$50000,A727,全馬データ!$B$2:$B$50000,B727,全馬データ!$C$2:$C$50000,C727,全馬データ!$D$2:$D$50000,E727)))</f>
        <v/>
      </c>
      <c r="AP727" s="8" t="str">
        <f aca="false">IF(A727="","",IF(AO727="","欠損",IF(AO727&lt;=1.1,"1.0～1.1",IF(AO727&lt;1.3,"1.2",IF(AO727&lt;1.5,"1.3～1.4",IF(AO727&lt;2,"1.5～1.9","2.0以上"))))))</f>
        <v>欠損</v>
      </c>
      <c r="AQ727" s="8" t="str">
        <f aca="false">IF(A727="","",IF(ISNUMBER(SEARCH("2歳",Z727)),"2歳戦",IF(ISNUMBER(SEARCH("3歳未勝利",Z727)),"3歳未勝利",IF(ISNUMBER(SEARCH("未勝利",Z727)),"その他未勝利",IF(ISNUMBER(SEARCH("G1",Z727)),"G1",IF(ISNUMBER(SEARCH("G2",Z727)),"G2",IF(ISNUMBER(SEARCH("G3",Z727)),"G3",IF(ISNUMBER(SEARCH("古馬条件",Z727)),"古馬条件戦",IF(ISNUMBER(SEARCH("重賞",Z727)),"重賞","分類不能")))))))))</f>
        <v>分類不能</v>
      </c>
      <c r="AR727" s="8"/>
      <c r="AS727" s="8" t="s">
        <v>7623</v>
      </c>
      <c r="AT727" s="8" t="s">
        <v>7624</v>
      </c>
      <c r="AU727" s="8" t="s">
        <v>7600</v>
      </c>
      <c r="AV727" s="4" t="s">
        <v>7601</v>
      </c>
      <c r="AW727" s="8"/>
      <c r="AX727" s="8"/>
      <c r="AY727" s="8" t="s">
        <v>7610</v>
      </c>
      <c r="AZ727" s="4" t="s">
        <v>7617</v>
      </c>
      <c r="BA727" s="8" t="n">
        <v>1700</v>
      </c>
      <c r="BB727" s="8" t="s">
        <v>7598</v>
      </c>
      <c r="BC727" s="4" t="s">
        <v>7604</v>
      </c>
      <c r="BD727" s="8" t="s">
        <v>7621</v>
      </c>
      <c r="BE727" s="4" t="s">
        <v>7622</v>
      </c>
      <c r="BF727" s="8" t="s">
        <v>7602</v>
      </c>
      <c r="BG727" s="8" t="s">
        <v>7608</v>
      </c>
      <c r="BH727" s="4" t="s">
        <v>7609</v>
      </c>
      <c r="BI727" s="8" t="n">
        <v>14</v>
      </c>
      <c r="BJ727" s="8" t="s">
        <v>7602</v>
      </c>
      <c r="BK727" s="4" t="s">
        <v>7653</v>
      </c>
      <c r="BL727" s="8" t="s">
        <v>7602</v>
      </c>
      <c r="BM727" s="4" t="s">
        <v>7620</v>
      </c>
      <c r="BN727" s="8"/>
      <c r="BO727" s="8"/>
      <c r="BP727" s="8" t="s">
        <v>7608</v>
      </c>
      <c r="BQ727" s="8" t="str">
        <f aca="false">IF(A727="","",AT727)</f>
        <v>3歳</v>
      </c>
      <c r="BR727" s="8" t="str">
        <f aca="false">IF(A727="","",IF(BA727&lt;=1200,"～1200",IF(BA727&lt;=1500,"1300～1500",IF(BA727=1600,"1600",IF(BA727&lt;=1800,"1700～1800",IF(BA727&lt;=2000,"1900～2000","2100以上"))))))</f>
        <v>1700～1800</v>
      </c>
      <c r="BS727" s="8" t="str">
        <f aca="false">IF(A727="","",IF(AX727="G1","G1",IF(AX727="G2","G2",IF(AX727="G3","G3",IF(AX727="L","L","その他")))))</f>
        <v>その他</v>
      </c>
      <c r="BT727" s="8" t="str">
        <f aca="false">IF(A727="","",IF(BI727="","未結合",IF(D727=BI727,"一致","不一致")))</f>
        <v>一致</v>
      </c>
      <c r="BU727" s="8" t="str">
        <f aca="false">IF(A727="","",IF(BE727="牝馬限定","牝馬限定","その他"))</f>
        <v>牝馬限定</v>
      </c>
    </row>
    <row r="728" customFormat="false" ht="29.1" hidden="false" customHeight="false" outlineLevel="0" collapsed="false">
      <c r="A728" s="6" t="n">
        <v>46193</v>
      </c>
      <c r="B728" s="4" t="s">
        <v>1237</v>
      </c>
      <c r="C728" s="8" t="n">
        <v>3</v>
      </c>
      <c r="D728" s="8" t="n">
        <v>16</v>
      </c>
      <c r="E728" s="8" t="n">
        <v>8</v>
      </c>
      <c r="F728" s="8"/>
      <c r="G728" s="8" t="n">
        <v>58</v>
      </c>
      <c r="H728" s="8" t="n">
        <v>1</v>
      </c>
      <c r="I728" s="8"/>
      <c r="J728" s="8" t="n">
        <v>50</v>
      </c>
      <c r="K728" s="8" t="n">
        <v>2</v>
      </c>
      <c r="L728" s="8"/>
      <c r="M728" s="8" t="n">
        <v>34</v>
      </c>
      <c r="N728" s="8" t="n">
        <f aca="false">IF(A728="","",G728-J728)</f>
        <v>8</v>
      </c>
      <c r="O728" s="8" t="n">
        <f aca="false">IF(A728="","",J728-M728)</f>
        <v>16</v>
      </c>
      <c r="P728" s="8" t="n">
        <f aca="false">IF(A728="","",G728+J728)</f>
        <v>108</v>
      </c>
      <c r="Q728" s="8" t="str">
        <f aca="false">IF(A728="","",IF(AND(Y728&lt;&gt;"参考",G728&gt;=ルール設定!$B$2),"○",""))</f>
        <v/>
      </c>
      <c r="R728" s="8" t="str">
        <f aca="false">IF(A728="","",IF(AND(Y728&lt;&gt;"参考",G728&gt;=ルール設定!$B$3,N728&gt;=ルール設定!$B$4),"○",""))</f>
        <v/>
      </c>
      <c r="S728" s="8" t="str">
        <f aca="false">IF(A728="","",IF(AND(Y728&lt;&gt;"参考",G728&gt;=ルール設定!$B$5,J728&gt;=ルール設定!$B$6,O728&gt;=ルール設定!$B$7),"○",""))</f>
        <v/>
      </c>
      <c r="T728" s="8" t="n">
        <v>4</v>
      </c>
      <c r="U728" s="8" t="n">
        <v>2</v>
      </c>
      <c r="V728" s="8" t="str">
        <f aca="false">IF(A728="","",IF(AND(ISNUMBER(T728),ISNUMBER(U728)),IF(AND(T728&lt;=3,U728&lt;=3),"○","×"),""))</f>
        <v>×</v>
      </c>
      <c r="W728" s="8"/>
      <c r="X728" s="8"/>
      <c r="Y728" s="4" t="s">
        <v>7597</v>
      </c>
      <c r="Z728" s="9" t="s">
        <v>7907</v>
      </c>
      <c r="AA728" s="8" t="str">
        <v/>
      </c>
      <c r="AB728" s="8" t="str">
        <v/>
      </c>
      <c r="AC728" s="8" t="str">
        <v/>
      </c>
      <c r="AD728" s="8" t="str">
        <v/>
      </c>
      <c r="AE728" s="8" t="str">
        <v/>
      </c>
      <c r="AF728" s="8" t="str">
        <v/>
      </c>
      <c r="AG728" s="8" t="str">
        <v/>
      </c>
      <c r="AH728" s="8" t="str">
        <v/>
      </c>
      <c r="AI728" s="8" t="n">
        <v>24</v>
      </c>
      <c r="AJ728" s="8" t="str">
        <v>～59</v>
      </c>
      <c r="AK728" s="8" t="str">
        <v>5～9</v>
      </c>
      <c r="AL728" s="8" t="str">
        <v>20～29</v>
      </c>
      <c r="AM728" s="8" t="str">
        <v>100～119</v>
      </c>
      <c r="AN728" s="8" t="str">
        <v>15以上</v>
      </c>
      <c r="AO728" s="8" t="str">
        <f aca="false">IF(A728="","",IF(COUNTIFS(全馬データ!$A$2:$A$50000,A728,全馬データ!$B$2:$B$50000,B728,全馬データ!$C$2:$C$50000,C728,全馬データ!$D$2:$D$50000,E728,全馬データ!$K$2:$K$50000,"&lt;&gt;")=0,"",SUMIFS(全馬データ!$K$2:$K$50000,全馬データ!$A$2:$A$50000,A728,全馬データ!$B$2:$B$50000,B728,全馬データ!$C$2:$C$50000,C728,全馬データ!$D$2:$D$50000,E728)))</f>
        <v/>
      </c>
      <c r="AP728" s="8" t="str">
        <f aca="false">IF(A728="","",IF(AO728="","欠損",IF(AO728&lt;=1.1,"1.0～1.1",IF(AO728&lt;1.3,"1.2",IF(AO728&lt;1.5,"1.3～1.4",IF(AO728&lt;2,"1.5～1.9","2.0以上"))))))</f>
        <v>欠損</v>
      </c>
      <c r="AQ728" s="8" t="str">
        <f aca="false">IF(A728="","",IF(ISNUMBER(SEARCH("2歳",Z728)),"2歳戦",IF(ISNUMBER(SEARCH("3歳未勝利",Z728)),"3歳未勝利",IF(ISNUMBER(SEARCH("未勝利",Z728)),"その他未勝利",IF(ISNUMBER(SEARCH("G1",Z728)),"G1",IF(ISNUMBER(SEARCH("G2",Z728)),"G2",IF(ISNUMBER(SEARCH("G3",Z728)),"G3",IF(ISNUMBER(SEARCH("古馬条件",Z728)),"古馬条件戦",IF(ISNUMBER(SEARCH("重賞",Z728)),"重賞","分類不能")))))))))</f>
        <v>分類不能</v>
      </c>
      <c r="AR728" s="8"/>
      <c r="AS728" s="8" t="s">
        <v>7623</v>
      </c>
      <c r="AT728" s="8" t="s">
        <v>7624</v>
      </c>
      <c r="AU728" s="8" t="s">
        <v>7600</v>
      </c>
      <c r="AV728" s="4" t="s">
        <v>7601</v>
      </c>
      <c r="AW728" s="8"/>
      <c r="AX728" s="8"/>
      <c r="AY728" s="8" t="s">
        <v>7602</v>
      </c>
      <c r="AZ728" s="4" t="s">
        <v>7603</v>
      </c>
      <c r="BA728" s="8" t="n">
        <v>2000</v>
      </c>
      <c r="BB728" s="8" t="s">
        <v>7598</v>
      </c>
      <c r="BC728" s="4" t="s">
        <v>7604</v>
      </c>
      <c r="BD728" s="8" t="s">
        <v>7625</v>
      </c>
      <c r="BE728" s="4" t="s">
        <v>7606</v>
      </c>
      <c r="BF728" s="8" t="s">
        <v>7607</v>
      </c>
      <c r="BG728" s="8" t="s">
        <v>7608</v>
      </c>
      <c r="BH728" s="4" t="s">
        <v>7609</v>
      </c>
      <c r="BI728" s="8" t="n">
        <v>16</v>
      </c>
      <c r="BJ728" s="8" t="s">
        <v>7602</v>
      </c>
      <c r="BK728" s="4" t="s">
        <v>7653</v>
      </c>
      <c r="BL728" s="8" t="s">
        <v>7602</v>
      </c>
      <c r="BM728" s="4" t="s">
        <v>7620</v>
      </c>
      <c r="BN728" s="8" t="s">
        <v>7602</v>
      </c>
      <c r="BO728" s="8" t="s">
        <v>7613</v>
      </c>
      <c r="BP728" s="8" t="s">
        <v>7608</v>
      </c>
      <c r="BQ728" s="8" t="str">
        <f aca="false">IF(A728="","",AT728)</f>
        <v>3歳</v>
      </c>
      <c r="BR728" s="8" t="str">
        <f aca="false">IF(A728="","",IF(BA728&lt;=1200,"～1200",IF(BA728&lt;=1500,"1300～1500",IF(BA728=1600,"1600",IF(BA728&lt;=1800,"1700～1800",IF(BA728&lt;=2000,"1900～2000","2100以上"))))))</f>
        <v>1900～2000</v>
      </c>
      <c r="BS728" s="8" t="str">
        <f aca="false">IF(A728="","",IF(AX728="G1","G1",IF(AX728="G2","G2",IF(AX728="G3","G3",IF(AX728="L","L","その他")))))</f>
        <v>その他</v>
      </c>
      <c r="BT728" s="8" t="str">
        <f aca="false">IF(A728="","",IF(BI728="","未結合",IF(D728=BI728,"一致","不一致")))</f>
        <v>一致</v>
      </c>
      <c r="BU728" s="8" t="str">
        <f aca="false">IF(A728="","",IF(BE728="牝馬限定","牝馬限定","その他"))</f>
        <v>その他</v>
      </c>
    </row>
    <row r="729" customFormat="false" ht="29.1" hidden="false" customHeight="false" outlineLevel="0" collapsed="false">
      <c r="A729" s="6" t="n">
        <v>46193</v>
      </c>
      <c r="B729" s="4" t="s">
        <v>1237</v>
      </c>
      <c r="C729" s="8" t="n">
        <v>5</v>
      </c>
      <c r="D729" s="8" t="n">
        <v>10</v>
      </c>
      <c r="E729" s="8" t="n">
        <v>6</v>
      </c>
      <c r="F729" s="8"/>
      <c r="G729" s="8" t="n">
        <v>31</v>
      </c>
      <c r="H729" s="8" t="n">
        <v>1</v>
      </c>
      <c r="I729" s="8"/>
      <c r="J729" s="8" t="n">
        <v>28</v>
      </c>
      <c r="K729" s="8" t="n">
        <v>2</v>
      </c>
      <c r="L729" s="8"/>
      <c r="M729" s="8" t="n">
        <v>28</v>
      </c>
      <c r="N729" s="8" t="n">
        <f aca="false">IF(A729="","",G729-J729)</f>
        <v>3</v>
      </c>
      <c r="O729" s="8" t="n">
        <f aca="false">IF(A729="","",J729-M729)</f>
        <v>0</v>
      </c>
      <c r="P729" s="8" t="n">
        <f aca="false">IF(A729="","",G729+J729)</f>
        <v>59</v>
      </c>
      <c r="Q729" s="8" t="str">
        <f aca="false">IF(A729="","",IF(AND(Y729&lt;&gt;"参考",G729&gt;=ルール設定!$B$2),"○",""))</f>
        <v/>
      </c>
      <c r="R729" s="8" t="str">
        <f aca="false">IF(A729="","",IF(AND(Y729&lt;&gt;"参考",G729&gt;=ルール設定!$B$3,N729&gt;=ルール設定!$B$4),"○",""))</f>
        <v/>
      </c>
      <c r="S729" s="8" t="str">
        <f aca="false">IF(A729="","",IF(AND(Y729&lt;&gt;"参考",G729&gt;=ルール設定!$B$5,J729&gt;=ルール設定!$B$6,O729&gt;=ルール設定!$B$7),"○",""))</f>
        <v/>
      </c>
      <c r="T729" s="8" t="n">
        <v>2</v>
      </c>
      <c r="U729" s="8" t="n">
        <v>4</v>
      </c>
      <c r="V729" s="8" t="str">
        <f aca="false">IF(A729="","",IF(AND(ISNUMBER(T729),ISNUMBER(U729)),IF(AND(T729&lt;=3,U729&lt;=3),"○","×"),""))</f>
        <v>×</v>
      </c>
      <c r="W729" s="8" t="n">
        <v>120</v>
      </c>
      <c r="X729" s="8"/>
      <c r="Y729" s="4" t="s">
        <v>7597</v>
      </c>
      <c r="Z729" s="9" t="s">
        <v>7907</v>
      </c>
      <c r="AA729" s="8" t="str">
        <v/>
      </c>
      <c r="AB729" s="8" t="str">
        <v/>
      </c>
      <c r="AC729" s="8" t="str">
        <v/>
      </c>
      <c r="AD729" s="8" t="str">
        <v/>
      </c>
      <c r="AE729" s="8" t="str">
        <v/>
      </c>
      <c r="AF729" s="8" t="str">
        <v/>
      </c>
      <c r="AG729" s="8" t="str">
        <v/>
      </c>
      <c r="AH729" s="8" t="str">
        <v/>
      </c>
      <c r="AI729" s="8" t="n">
        <v>3</v>
      </c>
      <c r="AJ729" s="8" t="str">
        <v>～59</v>
      </c>
      <c r="AK729" s="8" t="str">
        <v>0～4</v>
      </c>
      <c r="AL729" s="8" t="str">
        <v>0～9</v>
      </c>
      <c r="AM729" s="8" t="str">
        <v>～99</v>
      </c>
      <c r="AN729" s="8" t="str">
        <v>8～11</v>
      </c>
      <c r="AO729" s="8" t="str">
        <f aca="false">IF(A729="","",IF(COUNTIFS(全馬データ!$A$2:$A$50000,A729,全馬データ!$B$2:$B$50000,B729,全馬データ!$C$2:$C$50000,C729,全馬データ!$D$2:$D$50000,E729,全馬データ!$K$2:$K$50000,"&lt;&gt;")=0,"",SUMIFS(全馬データ!$K$2:$K$50000,全馬データ!$A$2:$A$50000,A729,全馬データ!$B$2:$B$50000,B729,全馬データ!$C$2:$C$50000,C729,全馬データ!$D$2:$D$50000,E729)))</f>
        <v/>
      </c>
      <c r="AP729" s="8" t="str">
        <f aca="false">IF(A729="","",IF(AO729="","欠損",IF(AO729&lt;=1.1,"1.0～1.1",IF(AO729&lt;1.3,"1.2",IF(AO729&lt;1.5,"1.3～1.4",IF(AO729&lt;2,"1.5～1.9","2.0以上"))))))</f>
        <v>欠損</v>
      </c>
      <c r="AQ729" s="8" t="str">
        <f aca="false">IF(A729="","",IF(ISNUMBER(SEARCH("2歳",Z729)),"2歳戦",IF(ISNUMBER(SEARCH("3歳未勝利",Z729)),"3歳未勝利",IF(ISNUMBER(SEARCH("未勝利",Z729)),"その他未勝利",IF(ISNUMBER(SEARCH("G1",Z729)),"G1",IF(ISNUMBER(SEARCH("G2",Z729)),"G2",IF(ISNUMBER(SEARCH("G3",Z729)),"G3",IF(ISNUMBER(SEARCH("古馬条件",Z729)),"古馬条件戦",IF(ISNUMBER(SEARCH("重賞",Z729)),"重賞","分類不能")))))))))</f>
        <v>分類不能</v>
      </c>
      <c r="AR729" s="8"/>
      <c r="AS729" s="8" t="s">
        <v>7598</v>
      </c>
      <c r="AT729" s="8" t="s">
        <v>7599</v>
      </c>
      <c r="AU729" s="8" t="s">
        <v>7615</v>
      </c>
      <c r="AV729" s="4" t="s">
        <v>7616</v>
      </c>
      <c r="AW729" s="8"/>
      <c r="AX729" s="8"/>
      <c r="AY729" s="8" t="s">
        <v>7602</v>
      </c>
      <c r="AZ729" s="4" t="s">
        <v>7603</v>
      </c>
      <c r="BA729" s="8" t="n">
        <v>1200</v>
      </c>
      <c r="BB729" s="8" t="s">
        <v>7598</v>
      </c>
      <c r="BC729" s="4" t="s">
        <v>7604</v>
      </c>
      <c r="BD729" s="8" t="s">
        <v>7621</v>
      </c>
      <c r="BE729" s="4" t="s">
        <v>7622</v>
      </c>
      <c r="BF729" s="8" t="s">
        <v>7602</v>
      </c>
      <c r="BG729" s="8" t="s">
        <v>7608</v>
      </c>
      <c r="BH729" s="4" t="s">
        <v>7609</v>
      </c>
      <c r="BI729" s="8" t="n">
        <v>10</v>
      </c>
      <c r="BJ729" s="8" t="s">
        <v>7602</v>
      </c>
      <c r="BK729" s="4" t="s">
        <v>7653</v>
      </c>
      <c r="BL729" s="8" t="s">
        <v>7602</v>
      </c>
      <c r="BM729" s="4" t="s">
        <v>7620</v>
      </c>
      <c r="BN729" s="8" t="s">
        <v>7602</v>
      </c>
      <c r="BO729" s="8" t="s">
        <v>7613</v>
      </c>
      <c r="BP729" s="8" t="s">
        <v>7608</v>
      </c>
      <c r="BQ729" s="8" t="str">
        <f aca="false">IF(A729="","",AT729)</f>
        <v>2歳</v>
      </c>
      <c r="BR729" s="8" t="str">
        <f aca="false">IF(A729="","",IF(BA729&lt;=1200,"～1200",IF(BA729&lt;=1500,"1300～1500",IF(BA729=1600,"1600",IF(BA729&lt;=1800,"1700～1800",IF(BA729&lt;=2000,"1900～2000","2100以上"))))))</f>
        <v>～1200</v>
      </c>
      <c r="BS729" s="8" t="str">
        <f aca="false">IF(A729="","",IF(AX729="G1","G1",IF(AX729="G2","G2",IF(AX729="G3","G3",IF(AX729="L","L","その他")))))</f>
        <v>その他</v>
      </c>
      <c r="BT729" s="8" t="str">
        <f aca="false">IF(A729="","",IF(BI729="","未結合",IF(D729=BI729,"一致","不一致")))</f>
        <v>一致</v>
      </c>
      <c r="BU729" s="8" t="str">
        <f aca="false">IF(A729="","",IF(BE729="牝馬限定","牝馬限定","その他"))</f>
        <v>牝馬限定</v>
      </c>
    </row>
    <row r="730" customFormat="false" ht="15.75" hidden="false" customHeight="false" outlineLevel="0" collapsed="false">
      <c r="A730" s="6" t="n">
        <v>46193</v>
      </c>
      <c r="B730" s="4" t="s">
        <v>1237</v>
      </c>
      <c r="C730" s="8" t="n">
        <v>6</v>
      </c>
      <c r="D730" s="8" t="n">
        <v>11</v>
      </c>
      <c r="E730" s="8" t="n">
        <v>8</v>
      </c>
      <c r="F730" s="8"/>
      <c r="G730" s="8" t="n">
        <v>37</v>
      </c>
      <c r="H730" s="8" t="n">
        <v>10</v>
      </c>
      <c r="I730" s="8"/>
      <c r="J730" s="8" t="n">
        <v>37</v>
      </c>
      <c r="K730" s="8" t="n">
        <v>1</v>
      </c>
      <c r="L730" s="8"/>
      <c r="M730" s="8" t="n">
        <v>31</v>
      </c>
      <c r="N730" s="8" t="n">
        <f aca="false">IF(A730="","",G730-J730)</f>
        <v>0</v>
      </c>
      <c r="O730" s="8" t="n">
        <f aca="false">IF(A730="","",J730-M730)</f>
        <v>6</v>
      </c>
      <c r="P730" s="8" t="n">
        <f aca="false">IF(A730="","",G730+J730)</f>
        <v>74</v>
      </c>
      <c r="Q730" s="8" t="str">
        <f aca="false">IF(A730="","",IF(AND(Y730&lt;&gt;"参考",G730&gt;=ルール設定!$B$2),"○",""))</f>
        <v/>
      </c>
      <c r="R730" s="8" t="str">
        <f aca="false">IF(A730="","",IF(AND(Y730&lt;&gt;"参考",G730&gt;=ルール設定!$B$3,N730&gt;=ルール設定!$B$4),"○",""))</f>
        <v/>
      </c>
      <c r="S730" s="8" t="str">
        <f aca="false">IF(A730="","",IF(AND(Y730&lt;&gt;"参考",G730&gt;=ルール設定!$B$5,J730&gt;=ルール設定!$B$6,O730&gt;=ルール設定!$B$7),"○",""))</f>
        <v/>
      </c>
      <c r="T730" s="8" t="n">
        <v>4</v>
      </c>
      <c r="U730" s="8" t="n">
        <v>3</v>
      </c>
      <c r="V730" s="8" t="str">
        <f aca="false">IF(A730="","",IF(AND(ISNUMBER(T730),ISNUMBER(U730)),IF(AND(T730&lt;=3,U730&lt;=3),"○","×"),""))</f>
        <v>×</v>
      </c>
      <c r="W730" s="8"/>
      <c r="X730" s="8"/>
      <c r="Y730" s="4" t="s">
        <v>7597</v>
      </c>
      <c r="Z730" s="4" t="s">
        <v>6501</v>
      </c>
      <c r="AA730" s="8" t="str">
        <v/>
      </c>
      <c r="AB730" s="8" t="str">
        <v/>
      </c>
      <c r="AC730" s="8" t="str">
        <v/>
      </c>
      <c r="AD730" s="8" t="str">
        <v/>
      </c>
      <c r="AE730" s="8" t="str">
        <v/>
      </c>
      <c r="AF730" s="8" t="str">
        <v/>
      </c>
      <c r="AG730" s="8" t="str">
        <v/>
      </c>
      <c r="AH730" s="8" t="str">
        <v/>
      </c>
      <c r="AI730" s="8" t="n">
        <v>6</v>
      </c>
      <c r="AJ730" s="8" t="str">
        <v>～59</v>
      </c>
      <c r="AK730" s="8" t="str">
        <v>0～4</v>
      </c>
      <c r="AL730" s="8" t="str">
        <v>0～9</v>
      </c>
      <c r="AM730" s="8" t="str">
        <v>～99</v>
      </c>
      <c r="AN730" s="8" t="str">
        <v>8～11</v>
      </c>
      <c r="AO730" s="8" t="str">
        <f aca="false">IF(A730="","",IF(COUNTIFS(全馬データ!$A$2:$A$50000,A730,全馬データ!$B$2:$B$50000,B730,全馬データ!$C$2:$C$50000,C730,全馬データ!$D$2:$D$50000,E730,全馬データ!$K$2:$K$50000,"&lt;&gt;")=0,"",SUMIFS(全馬データ!$K$2:$K$50000,全馬データ!$A$2:$A$50000,A730,全馬データ!$B$2:$B$50000,B730,全馬データ!$C$2:$C$50000,C730,全馬データ!$D$2:$D$50000,E730)))</f>
        <v/>
      </c>
      <c r="AP730" s="8" t="str">
        <f aca="false">IF(A730="","",IF(AO730="","欠損",IF(AO730&lt;=1.1,"1.0～1.1",IF(AO730&lt;1.3,"1.2",IF(AO730&lt;1.5,"1.3～1.4",IF(AO730&lt;2,"1.5～1.9","2.0以上"))))))</f>
        <v>欠損</v>
      </c>
      <c r="AQ730" s="8" t="str">
        <f aca="false">IF(A730="","",IF(ISNUMBER(SEARCH("2歳",Z730)),"2歳戦",IF(ISNUMBER(SEARCH("3歳未勝利",Z730)),"3歳未勝利",IF(ISNUMBER(SEARCH("未勝利",Z730)),"その他未勝利",IF(ISNUMBER(SEARCH("G1",Z730)),"G1",IF(ISNUMBER(SEARCH("G2",Z730)),"G2",IF(ISNUMBER(SEARCH("G3",Z730)),"G3",IF(ISNUMBER(SEARCH("古馬条件",Z730)),"古馬条件戦",IF(ISNUMBER(SEARCH("重賞",Z730)),"重賞","分類不能")))))))))</f>
        <v>分類不能</v>
      </c>
      <c r="AR730" s="8"/>
      <c r="AS730" s="8" t="s">
        <v>7598</v>
      </c>
      <c r="AT730" s="8" t="s">
        <v>7599</v>
      </c>
      <c r="AU730" s="8" t="s">
        <v>7615</v>
      </c>
      <c r="AV730" s="4" t="s">
        <v>7616</v>
      </c>
      <c r="AW730" s="8"/>
      <c r="AX730" s="8"/>
      <c r="AY730" s="8" t="s">
        <v>7610</v>
      </c>
      <c r="AZ730" s="4" t="s">
        <v>7617</v>
      </c>
      <c r="BA730" s="8" t="n">
        <v>1000</v>
      </c>
      <c r="BB730" s="8" t="s">
        <v>7598</v>
      </c>
      <c r="BC730" s="4" t="s">
        <v>7604</v>
      </c>
      <c r="BD730" s="8" t="s">
        <v>7605</v>
      </c>
      <c r="BE730" s="4" t="s">
        <v>7606</v>
      </c>
      <c r="BF730" s="8" t="s">
        <v>7607</v>
      </c>
      <c r="BG730" s="8" t="s">
        <v>7608</v>
      </c>
      <c r="BH730" s="4" t="s">
        <v>7609</v>
      </c>
      <c r="BI730" s="8" t="n">
        <v>11</v>
      </c>
      <c r="BJ730" s="8" t="s">
        <v>7602</v>
      </c>
      <c r="BK730" s="4" t="s">
        <v>7653</v>
      </c>
      <c r="BL730" s="8" t="s">
        <v>7602</v>
      </c>
      <c r="BM730" s="4" t="s">
        <v>7620</v>
      </c>
      <c r="BN730" s="8"/>
      <c r="BO730" s="8"/>
      <c r="BP730" s="8" t="s">
        <v>7608</v>
      </c>
      <c r="BQ730" s="8" t="str">
        <f aca="false">IF(A730="","",AT730)</f>
        <v>2歳</v>
      </c>
      <c r="BR730" s="8" t="str">
        <f aca="false">IF(A730="","",IF(BA730&lt;=1200,"～1200",IF(BA730&lt;=1500,"1300～1500",IF(BA730=1600,"1600",IF(BA730&lt;=1800,"1700～1800",IF(BA730&lt;=2000,"1900～2000","2100以上"))))))</f>
        <v>～1200</v>
      </c>
      <c r="BS730" s="8" t="str">
        <f aca="false">IF(A730="","",IF(AX730="G1","G1",IF(AX730="G2","G2",IF(AX730="G3","G3",IF(AX730="L","L","その他")))))</f>
        <v>その他</v>
      </c>
      <c r="BT730" s="8" t="str">
        <f aca="false">IF(A730="","",IF(BI730="","未結合",IF(D730=BI730,"一致","不一致")))</f>
        <v>一致</v>
      </c>
      <c r="BU730" s="8" t="str">
        <f aca="false">IF(A730="","",IF(BE730="牝馬限定","牝馬限定","その他"))</f>
        <v>その他</v>
      </c>
    </row>
    <row r="731" customFormat="false" ht="29.1" hidden="false" customHeight="false" outlineLevel="0" collapsed="false">
      <c r="A731" s="6" t="n">
        <v>46193</v>
      </c>
      <c r="B731" s="4" t="s">
        <v>1237</v>
      </c>
      <c r="C731" s="8" t="n">
        <v>8</v>
      </c>
      <c r="D731" s="8" t="n">
        <v>12</v>
      </c>
      <c r="E731" s="8" t="n">
        <v>4</v>
      </c>
      <c r="F731" s="8"/>
      <c r="G731" s="8" t="n">
        <v>50</v>
      </c>
      <c r="H731" s="8" t="n">
        <v>5</v>
      </c>
      <c r="I731" s="8"/>
      <c r="J731" s="8" t="n">
        <v>47</v>
      </c>
      <c r="K731" s="8" t="n">
        <v>10</v>
      </c>
      <c r="L731" s="8"/>
      <c r="M731" s="8" t="n">
        <v>47</v>
      </c>
      <c r="N731" s="8" t="n">
        <f aca="false">IF(A731="","",G731-J731)</f>
        <v>3</v>
      </c>
      <c r="O731" s="8" t="n">
        <f aca="false">IF(A731="","",J731-M731)</f>
        <v>0</v>
      </c>
      <c r="P731" s="8" t="n">
        <f aca="false">IF(A731="","",G731+J731)</f>
        <v>97</v>
      </c>
      <c r="Q731" s="8" t="str">
        <f aca="false">IF(A731="","",IF(AND(Y731&lt;&gt;"参考",G731&gt;=ルール設定!$B$2),"○",""))</f>
        <v/>
      </c>
      <c r="R731" s="8" t="str">
        <f aca="false">IF(A731="","",IF(AND(Y731&lt;&gt;"参考",G731&gt;=ルール設定!$B$3,N731&gt;=ルール設定!$B$4),"○",""))</f>
        <v/>
      </c>
      <c r="S731" s="8" t="str">
        <f aca="false">IF(A731="","",IF(AND(Y731&lt;&gt;"参考",G731&gt;=ルール設定!$B$5,J731&gt;=ルール設定!$B$6,O731&gt;=ルール設定!$B$7),"○",""))</f>
        <v/>
      </c>
      <c r="T731" s="8" t="n">
        <v>3</v>
      </c>
      <c r="U731" s="8" t="n">
        <v>2</v>
      </c>
      <c r="V731" s="8" t="str">
        <f aca="false">IF(A731="","",IF(AND(ISNUMBER(T731),ISNUMBER(U731)),IF(AND(T731&lt;=3,U731&lt;=3),"○","×"),""))</f>
        <v>○</v>
      </c>
      <c r="W731" s="8" t="n">
        <v>200</v>
      </c>
      <c r="X731" s="8" t="n">
        <v>820</v>
      </c>
      <c r="Y731" s="4" t="s">
        <v>7597</v>
      </c>
      <c r="Z731" s="9" t="s">
        <v>7907</v>
      </c>
      <c r="AA731" s="8" t="str">
        <v/>
      </c>
      <c r="AB731" s="8" t="str">
        <v/>
      </c>
      <c r="AC731" s="8" t="str">
        <v/>
      </c>
      <c r="AD731" s="8" t="str">
        <v/>
      </c>
      <c r="AE731" s="8" t="str">
        <v/>
      </c>
      <c r="AF731" s="8" t="str">
        <v/>
      </c>
      <c r="AG731" s="8" t="str">
        <v/>
      </c>
      <c r="AH731" s="8" t="str">
        <v/>
      </c>
      <c r="AI731" s="8" t="n">
        <v>3</v>
      </c>
      <c r="AJ731" s="8" t="str">
        <v>～59</v>
      </c>
      <c r="AK731" s="8" t="str">
        <v>0～4</v>
      </c>
      <c r="AL731" s="8" t="str">
        <v>0～9</v>
      </c>
      <c r="AM731" s="8" t="str">
        <v>～99</v>
      </c>
      <c r="AN731" s="8" t="str">
        <v>12～14</v>
      </c>
      <c r="AO731" s="8" t="str">
        <f aca="false">IF(A731="","",IF(COUNTIFS(全馬データ!$A$2:$A$50000,A731,全馬データ!$B$2:$B$50000,B731,全馬データ!$C$2:$C$50000,C731,全馬データ!$D$2:$D$50000,E731,全馬データ!$K$2:$K$50000,"&lt;&gt;")=0,"",SUMIFS(全馬データ!$K$2:$K$50000,全馬データ!$A$2:$A$50000,A731,全馬データ!$B$2:$B$50000,B731,全馬データ!$C$2:$C$50000,C731,全馬データ!$D$2:$D$50000,E731)))</f>
        <v/>
      </c>
      <c r="AP731" s="8" t="str">
        <f aca="false">IF(A731="","",IF(AO731="","欠損",IF(AO731&lt;=1.1,"1.0～1.1",IF(AO731&lt;1.3,"1.2",IF(AO731&lt;1.5,"1.3～1.4",IF(AO731&lt;2,"1.5～1.9","2.0以上"))))))</f>
        <v>欠損</v>
      </c>
      <c r="AQ731" s="8" t="str">
        <f aca="false">IF(A731="","",IF(ISNUMBER(SEARCH("2歳",Z731)),"2歳戦",IF(ISNUMBER(SEARCH("3歳未勝利",Z731)),"3歳未勝利",IF(ISNUMBER(SEARCH("未勝利",Z731)),"その他未勝利",IF(ISNUMBER(SEARCH("G1",Z731)),"G1",IF(ISNUMBER(SEARCH("G2",Z731)),"G2",IF(ISNUMBER(SEARCH("G3",Z731)),"G3",IF(ISNUMBER(SEARCH("古馬条件",Z731)),"古馬条件戦",IF(ISNUMBER(SEARCH("重賞",Z731)),"重賞","分類不能")))))))))</f>
        <v>分類不能</v>
      </c>
      <c r="AR731" s="8"/>
      <c r="AS731" s="8" t="s">
        <v>7626</v>
      </c>
      <c r="AT731" s="8" t="s">
        <v>7627</v>
      </c>
      <c r="AU731" s="8" t="s">
        <v>7628</v>
      </c>
      <c r="AV731" s="8" t="s">
        <v>7629</v>
      </c>
      <c r="AW731" s="8"/>
      <c r="AX731" s="8"/>
      <c r="AY731" s="8" t="s">
        <v>7610</v>
      </c>
      <c r="AZ731" s="4" t="s">
        <v>7617</v>
      </c>
      <c r="BA731" s="8" t="n">
        <v>1000</v>
      </c>
      <c r="BB731" s="8" t="s">
        <v>7598</v>
      </c>
      <c r="BC731" s="4" t="s">
        <v>7604</v>
      </c>
      <c r="BD731" s="8" t="s">
        <v>7625</v>
      </c>
      <c r="BE731" s="4" t="s">
        <v>7606</v>
      </c>
      <c r="BF731" s="8" t="s">
        <v>7607</v>
      </c>
      <c r="BG731" s="8" t="s">
        <v>7631</v>
      </c>
      <c r="BH731" s="4" t="s">
        <v>7632</v>
      </c>
      <c r="BI731" s="8" t="n">
        <v>12</v>
      </c>
      <c r="BJ731" s="8" t="s">
        <v>7602</v>
      </c>
      <c r="BK731" s="4" t="s">
        <v>7653</v>
      </c>
      <c r="BL731" s="8" t="s">
        <v>7602</v>
      </c>
      <c r="BM731" s="4" t="s">
        <v>7620</v>
      </c>
      <c r="BN731" s="8"/>
      <c r="BO731" s="8"/>
      <c r="BP731" s="8" t="s">
        <v>7608</v>
      </c>
      <c r="BQ731" s="8" t="str">
        <f aca="false">IF(A731="","",AT731)</f>
        <v>3歳以上</v>
      </c>
      <c r="BR731" s="8" t="str">
        <f aca="false">IF(A731="","",IF(BA731&lt;=1200,"～1200",IF(BA731&lt;=1500,"1300～1500",IF(BA731=1600,"1600",IF(BA731&lt;=1800,"1700～1800",IF(BA731&lt;=2000,"1900～2000","2100以上"))))))</f>
        <v>～1200</v>
      </c>
      <c r="BS731" s="8" t="str">
        <f aca="false">IF(A731="","",IF(AX731="G1","G1",IF(AX731="G2","G2",IF(AX731="G3","G3",IF(AX731="L","L","その他")))))</f>
        <v>その他</v>
      </c>
      <c r="BT731" s="8" t="str">
        <f aca="false">IF(A731="","",IF(BI731="","未結合",IF(D731=BI731,"一致","不一致")))</f>
        <v>一致</v>
      </c>
      <c r="BU731" s="8" t="str">
        <f aca="false">IF(A731="","",IF(BE731="牝馬限定","牝馬限定","その他"))</f>
        <v>その他</v>
      </c>
    </row>
    <row r="732" customFormat="false" ht="29.1" hidden="false" customHeight="false" outlineLevel="0" collapsed="false">
      <c r="A732" s="6" t="n">
        <v>46193</v>
      </c>
      <c r="B732" s="4" t="s">
        <v>1237</v>
      </c>
      <c r="C732" s="8" t="n">
        <v>10</v>
      </c>
      <c r="D732" s="8" t="n">
        <v>8</v>
      </c>
      <c r="E732" s="8" t="n">
        <v>8</v>
      </c>
      <c r="F732" s="8"/>
      <c r="G732" s="8" t="n">
        <v>62</v>
      </c>
      <c r="H732" s="8" t="n">
        <v>2</v>
      </c>
      <c r="I732" s="8"/>
      <c r="J732" s="8" t="n">
        <v>52</v>
      </c>
      <c r="K732" s="8" t="n">
        <v>6</v>
      </c>
      <c r="L732" s="8"/>
      <c r="M732" s="8" t="n">
        <v>47</v>
      </c>
      <c r="N732" s="8" t="n">
        <f aca="false">IF(A732="","",G732-J732)</f>
        <v>10</v>
      </c>
      <c r="O732" s="8" t="n">
        <f aca="false">IF(A732="","",J732-M732)</f>
        <v>5</v>
      </c>
      <c r="P732" s="8" t="n">
        <f aca="false">IF(A732="","",G732+J732)</f>
        <v>114</v>
      </c>
      <c r="Q732" s="8" t="str">
        <f aca="false">IF(A732="","",IF(AND(Y732&lt;&gt;"参考",G732&gt;=ルール設定!$B$2),"○",""))</f>
        <v/>
      </c>
      <c r="R732" s="8" t="str">
        <f aca="false">IF(A732="","",IF(AND(Y732&lt;&gt;"参考",G732&gt;=ルール設定!$B$3,N732&gt;=ルール設定!$B$4),"○",""))</f>
        <v/>
      </c>
      <c r="S732" s="8" t="str">
        <f aca="false">IF(A732="","",IF(AND(Y732&lt;&gt;"参考",G732&gt;=ルール設定!$B$5,J732&gt;=ルール設定!$B$6,O732&gt;=ルール設定!$B$7),"○",""))</f>
        <v/>
      </c>
      <c r="T732" s="8" t="n">
        <v>4</v>
      </c>
      <c r="U732" s="8" t="n">
        <v>4</v>
      </c>
      <c r="V732" s="8" t="str">
        <f aca="false">IF(A732="","",IF(AND(ISNUMBER(T732),ISNUMBER(U732)),IF(AND(T732&lt;=3,U732&lt;=3),"○","×"),""))</f>
        <v>×</v>
      </c>
      <c r="W732" s="8"/>
      <c r="X732" s="8"/>
      <c r="Y732" s="4" t="s">
        <v>7597</v>
      </c>
      <c r="Z732" s="9" t="s">
        <v>7907</v>
      </c>
      <c r="AA732" s="8" t="str">
        <v/>
      </c>
      <c r="AB732" s="8" t="str">
        <v/>
      </c>
      <c r="AC732" s="8" t="str">
        <v/>
      </c>
      <c r="AD732" s="8" t="str">
        <v/>
      </c>
      <c r="AE732" s="8" t="str">
        <v/>
      </c>
      <c r="AF732" s="8" t="str">
        <v/>
      </c>
      <c r="AG732" s="8" t="str">
        <v/>
      </c>
      <c r="AH732" s="8" t="str">
        <v/>
      </c>
      <c r="AI732" s="8" t="n">
        <v>15</v>
      </c>
      <c r="AJ732" s="8" t="str">
        <v>60～69</v>
      </c>
      <c r="AK732" s="8" t="str">
        <v>10～19</v>
      </c>
      <c r="AL732" s="8" t="str">
        <v>10～19</v>
      </c>
      <c r="AM732" s="8" t="str">
        <v>100～119</v>
      </c>
      <c r="AN732" s="8" t="str">
        <v>8～11</v>
      </c>
      <c r="AO732" s="8" t="str">
        <f aca="false">IF(A732="","",IF(COUNTIFS(全馬データ!$A$2:$A$50000,A732,全馬データ!$B$2:$B$50000,B732,全馬データ!$C$2:$C$50000,C732,全馬データ!$D$2:$D$50000,E732,全馬データ!$K$2:$K$50000,"&lt;&gt;")=0,"",SUMIFS(全馬データ!$K$2:$K$50000,全馬データ!$A$2:$A$50000,A732,全馬データ!$B$2:$B$50000,B732,全馬データ!$C$2:$C$50000,C732,全馬データ!$D$2:$D$50000,E732)))</f>
        <v/>
      </c>
      <c r="AP732" s="8" t="str">
        <f aca="false">IF(A732="","",IF(AO732="","欠損",IF(AO732&lt;=1.1,"1.0～1.1",IF(AO732&lt;1.3,"1.2",IF(AO732&lt;1.5,"1.3～1.4",IF(AO732&lt;2,"1.5～1.9","2.0以上"))))))</f>
        <v>欠損</v>
      </c>
      <c r="AQ732" s="8" t="str">
        <f aca="false">IF(A732="","",IF(ISNUMBER(SEARCH("2歳",Z732)),"2歳戦",IF(ISNUMBER(SEARCH("3歳未勝利",Z732)),"3歳未勝利",IF(ISNUMBER(SEARCH("未勝利",Z732)),"その他未勝利",IF(ISNUMBER(SEARCH("G1",Z732)),"G1",IF(ISNUMBER(SEARCH("G2",Z732)),"G2",IF(ISNUMBER(SEARCH("G3",Z732)),"G3",IF(ISNUMBER(SEARCH("古馬条件",Z732)),"古馬条件戦",IF(ISNUMBER(SEARCH("重賞",Z732)),"重賞","分類不能")))))))))</f>
        <v>分類不能</v>
      </c>
      <c r="AR732" s="4" t="s">
        <v>7908</v>
      </c>
      <c r="AS732" s="8" t="s">
        <v>7626</v>
      </c>
      <c r="AT732" s="8" t="s">
        <v>7627</v>
      </c>
      <c r="AU732" s="8" t="s">
        <v>7628</v>
      </c>
      <c r="AV732" s="8" t="s">
        <v>7629</v>
      </c>
      <c r="AW732" s="8" t="s">
        <v>7636</v>
      </c>
      <c r="AX732" s="4" t="s">
        <v>7637</v>
      </c>
      <c r="AY732" s="8" t="s">
        <v>7602</v>
      </c>
      <c r="AZ732" s="4" t="s">
        <v>7603</v>
      </c>
      <c r="BA732" s="8" t="n">
        <v>2600</v>
      </c>
      <c r="BB732" s="8" t="s">
        <v>7598</v>
      </c>
      <c r="BC732" s="4" t="s">
        <v>7604</v>
      </c>
      <c r="BD732" s="8" t="s">
        <v>7630</v>
      </c>
      <c r="BE732" s="4" t="s">
        <v>7606</v>
      </c>
      <c r="BF732" s="8" t="s">
        <v>7607</v>
      </c>
      <c r="BG732" s="8" t="s">
        <v>7631</v>
      </c>
      <c r="BH732" s="4" t="s">
        <v>7632</v>
      </c>
      <c r="BI732" s="8" t="n">
        <v>8</v>
      </c>
      <c r="BJ732" s="8" t="s">
        <v>7602</v>
      </c>
      <c r="BK732" s="4" t="s">
        <v>7653</v>
      </c>
      <c r="BL732" s="8" t="s">
        <v>7602</v>
      </c>
      <c r="BM732" s="4" t="s">
        <v>7620</v>
      </c>
      <c r="BN732" s="8" t="s">
        <v>7602</v>
      </c>
      <c r="BO732" s="8" t="s">
        <v>7613</v>
      </c>
      <c r="BP732" s="8" t="s">
        <v>7608</v>
      </c>
      <c r="BQ732" s="8" t="str">
        <f aca="false">IF(A732="","",AT732)</f>
        <v>3歳以上</v>
      </c>
      <c r="BR732" s="8" t="str">
        <f aca="false">IF(A732="","",IF(BA732&lt;=1200,"～1200",IF(BA732&lt;=1500,"1300～1500",IF(BA732=1600,"1600",IF(BA732&lt;=1800,"1700～1800",IF(BA732&lt;=2000,"1900～2000","2100以上"))))))</f>
        <v>2100以上</v>
      </c>
      <c r="BS732" s="8" t="str">
        <f aca="false">IF(A732="","",IF(AX732="G1","G1",IF(AX732="G2","G2",IF(AX732="G3","G3",IF(AX732="L","L","その他")))))</f>
        <v>その他</v>
      </c>
      <c r="BT732" s="8" t="str">
        <f aca="false">IF(A732="","",IF(BI732="","未結合",IF(D732=BI732,"一致","不一致")))</f>
        <v>一致</v>
      </c>
      <c r="BU732" s="8" t="str">
        <f aca="false">IF(A732="","",IF(BE732="牝馬限定","牝馬限定","その他"))</f>
        <v>その他</v>
      </c>
    </row>
    <row r="733" customFormat="false" ht="15.75" hidden="false" customHeight="false" outlineLevel="0" collapsed="false">
      <c r="A733" s="6" t="n">
        <v>46193</v>
      </c>
      <c r="B733" s="4" t="s">
        <v>1237</v>
      </c>
      <c r="C733" s="8" t="n">
        <v>11</v>
      </c>
      <c r="D733" s="8" t="n">
        <v>16</v>
      </c>
      <c r="E733" s="8" t="n">
        <v>16</v>
      </c>
      <c r="F733" s="8"/>
      <c r="G733" s="8" t="n">
        <v>58</v>
      </c>
      <c r="H733" s="8" t="n">
        <v>8</v>
      </c>
      <c r="I733" s="8"/>
      <c r="J733" s="8" t="n">
        <v>47</v>
      </c>
      <c r="K733" s="8" t="n">
        <v>6</v>
      </c>
      <c r="L733" s="8"/>
      <c r="M733" s="8" t="n">
        <v>31</v>
      </c>
      <c r="N733" s="8" t="n">
        <f aca="false">IF(A733="","",G733-J733)</f>
        <v>11</v>
      </c>
      <c r="O733" s="8" t="n">
        <f aca="false">IF(A733="","",J733-M733)</f>
        <v>16</v>
      </c>
      <c r="P733" s="8" t="n">
        <f aca="false">IF(A733="","",G733+J733)</f>
        <v>105</v>
      </c>
      <c r="Q733" s="8" t="str">
        <f aca="false">IF(A733="","",IF(AND(Y733&lt;&gt;"参考",G733&gt;=ルール設定!$B$2),"○",""))</f>
        <v/>
      </c>
      <c r="R733" s="8" t="str">
        <f aca="false">IF(A733="","",IF(AND(Y733&lt;&gt;"参考",G733&gt;=ルール設定!$B$3,N733&gt;=ルール設定!$B$4),"○",""))</f>
        <v/>
      </c>
      <c r="S733" s="8" t="str">
        <f aca="false">IF(A733="","",IF(AND(Y733&lt;&gt;"参考",G733&gt;=ルール設定!$B$5,J733&gt;=ルール設定!$B$6,O733&gt;=ルール設定!$B$7),"○",""))</f>
        <v/>
      </c>
      <c r="T733" s="8" t="n">
        <v>4</v>
      </c>
      <c r="U733" s="8" t="n">
        <v>4</v>
      </c>
      <c r="V733" s="8" t="str">
        <f aca="false">IF(A733="","",IF(AND(ISNUMBER(T733),ISNUMBER(U733)),IF(AND(T733&lt;=3,U733&lt;=3),"○","×"),""))</f>
        <v>×</v>
      </c>
      <c r="W733" s="8"/>
      <c r="X733" s="8"/>
      <c r="Y733" s="4" t="s">
        <v>7597</v>
      </c>
      <c r="Z733" s="4" t="s">
        <v>6501</v>
      </c>
      <c r="AA733" s="8" t="str">
        <v/>
      </c>
      <c r="AB733" s="8" t="str">
        <v/>
      </c>
      <c r="AC733" s="8" t="str">
        <v/>
      </c>
      <c r="AD733" s="8" t="str">
        <v/>
      </c>
      <c r="AE733" s="8" t="str">
        <v/>
      </c>
      <c r="AF733" s="8" t="str">
        <v/>
      </c>
      <c r="AG733" s="8" t="str">
        <v/>
      </c>
      <c r="AH733" s="8" t="str">
        <v/>
      </c>
      <c r="AI733" s="8" t="n">
        <v>27</v>
      </c>
      <c r="AJ733" s="8" t="str">
        <v>～59</v>
      </c>
      <c r="AK733" s="8" t="str">
        <v>10～19</v>
      </c>
      <c r="AL733" s="8" t="str">
        <v>20～29</v>
      </c>
      <c r="AM733" s="8" t="str">
        <v>100～119</v>
      </c>
      <c r="AN733" s="8" t="str">
        <v>15以上</v>
      </c>
      <c r="AO733" s="8" t="str">
        <f aca="false">IF(A733="","",IF(COUNTIFS(全馬データ!$A$2:$A$50000,A733,全馬データ!$B$2:$B$50000,B733,全馬データ!$C$2:$C$50000,C733,全馬データ!$D$2:$D$50000,E733,全馬データ!$K$2:$K$50000,"&lt;&gt;")=0,"",SUMIFS(全馬データ!$K$2:$K$50000,全馬データ!$A$2:$A$50000,A733,全馬データ!$B$2:$B$50000,B733,全馬データ!$C$2:$C$50000,C733,全馬データ!$D$2:$D$50000,E733)))</f>
        <v/>
      </c>
      <c r="AP733" s="8" t="str">
        <f aca="false">IF(A733="","",IF(AO733="","欠損",IF(AO733&lt;=1.1,"1.0～1.1",IF(AO733&lt;1.3,"1.2",IF(AO733&lt;1.5,"1.3～1.4",IF(AO733&lt;2,"1.5～1.9","2.0以上"))))))</f>
        <v>欠損</v>
      </c>
      <c r="AQ733" s="8" t="str">
        <f aca="false">IF(A733="","",IF(ISNUMBER(SEARCH("2歳",Z733)),"2歳戦",IF(ISNUMBER(SEARCH("3歳未勝利",Z733)),"3歳未勝利",IF(ISNUMBER(SEARCH("未勝利",Z733)),"その他未勝利",IF(ISNUMBER(SEARCH("G1",Z733)),"G1",IF(ISNUMBER(SEARCH("G2",Z733)),"G2",IF(ISNUMBER(SEARCH("G3",Z733)),"G3",IF(ISNUMBER(SEARCH("古馬条件",Z733)),"古馬条件戦",IF(ISNUMBER(SEARCH("重賞",Z733)),"重賞","分類不能")))))))))</f>
        <v>分類不能</v>
      </c>
      <c r="AR733" s="4" t="s">
        <v>7909</v>
      </c>
      <c r="AS733" s="8" t="s">
        <v>7626</v>
      </c>
      <c r="AT733" s="8" t="s">
        <v>7627</v>
      </c>
      <c r="AU733" s="8" t="s">
        <v>7634</v>
      </c>
      <c r="AV733" s="8" t="s">
        <v>7635</v>
      </c>
      <c r="AW733" s="8" t="s">
        <v>7636</v>
      </c>
      <c r="AX733" s="4" t="s">
        <v>7637</v>
      </c>
      <c r="AY733" s="8" t="s">
        <v>7602</v>
      </c>
      <c r="AZ733" s="4" t="s">
        <v>7603</v>
      </c>
      <c r="BA733" s="8" t="n">
        <v>1200</v>
      </c>
      <c r="BB733" s="8" t="s">
        <v>7598</v>
      </c>
      <c r="BC733" s="4" t="s">
        <v>7604</v>
      </c>
      <c r="BD733" s="8" t="s">
        <v>7630</v>
      </c>
      <c r="BE733" s="4" t="s">
        <v>7606</v>
      </c>
      <c r="BF733" s="8" t="s">
        <v>7607</v>
      </c>
      <c r="BG733" s="8" t="s">
        <v>7631</v>
      </c>
      <c r="BH733" s="4" t="s">
        <v>7632</v>
      </c>
      <c r="BI733" s="8" t="n">
        <v>16</v>
      </c>
      <c r="BJ733" s="8" t="s">
        <v>7602</v>
      </c>
      <c r="BK733" s="4" t="s">
        <v>7653</v>
      </c>
      <c r="BL733" s="8" t="s">
        <v>7602</v>
      </c>
      <c r="BM733" s="4" t="s">
        <v>7620</v>
      </c>
      <c r="BN733" s="8" t="s">
        <v>7602</v>
      </c>
      <c r="BO733" s="8" t="s">
        <v>7613</v>
      </c>
      <c r="BP733" s="8" t="s">
        <v>7608</v>
      </c>
      <c r="BQ733" s="8" t="str">
        <f aca="false">IF(A733="","",AT733)</f>
        <v>3歳以上</v>
      </c>
      <c r="BR733" s="8" t="str">
        <f aca="false">IF(A733="","",IF(BA733&lt;=1200,"～1200",IF(BA733&lt;=1500,"1300～1500",IF(BA733=1600,"1600",IF(BA733&lt;=1800,"1700～1800",IF(BA733&lt;=2000,"1900～2000","2100以上"))))))</f>
        <v>～1200</v>
      </c>
      <c r="BS733" s="8" t="str">
        <f aca="false">IF(A733="","",IF(AX733="G1","G1",IF(AX733="G2","G2",IF(AX733="G3","G3",IF(AX733="L","L","その他")))))</f>
        <v>その他</v>
      </c>
      <c r="BT733" s="8" t="str">
        <f aca="false">IF(A733="","",IF(BI733="","未結合",IF(D733=BI733,"一致","不一致")))</f>
        <v>一致</v>
      </c>
      <c r="BU733" s="8" t="str">
        <f aca="false">IF(A733="","",IF(BE733="牝馬限定","牝馬限定","その他"))</f>
        <v>その他</v>
      </c>
    </row>
    <row r="734" customFormat="false" ht="29.1" hidden="false" customHeight="false" outlineLevel="0" collapsed="false">
      <c r="A734" s="6" t="n">
        <v>46193</v>
      </c>
      <c r="B734" s="4" t="s">
        <v>1237</v>
      </c>
      <c r="C734" s="8" t="n">
        <v>12</v>
      </c>
      <c r="D734" s="8" t="n">
        <v>11</v>
      </c>
      <c r="E734" s="8" t="n">
        <v>10</v>
      </c>
      <c r="F734" s="8"/>
      <c r="G734" s="8" t="n">
        <v>66</v>
      </c>
      <c r="H734" s="8" t="n">
        <v>7</v>
      </c>
      <c r="I734" s="8"/>
      <c r="J734" s="8" t="n">
        <v>44</v>
      </c>
      <c r="K734" s="8" t="n">
        <v>3</v>
      </c>
      <c r="L734" s="8"/>
      <c r="M734" s="8" t="n">
        <v>34</v>
      </c>
      <c r="N734" s="8" t="n">
        <f aca="false">IF(A734="","",G734-J734)</f>
        <v>22</v>
      </c>
      <c r="O734" s="8" t="n">
        <f aca="false">IF(A734="","",J734-M734)</f>
        <v>10</v>
      </c>
      <c r="P734" s="8" t="n">
        <f aca="false">IF(A734="","",G734+J734)</f>
        <v>110</v>
      </c>
      <c r="Q734" s="8" t="str">
        <f aca="false">IF(A734="","",IF(AND(Y734&lt;&gt;"参考",G734&gt;=ルール設定!$B$2),"○",""))</f>
        <v/>
      </c>
      <c r="R734" s="8" t="str">
        <f aca="false">IF(A734="","",IF(AND(Y734&lt;&gt;"参考",G734&gt;=ルール設定!$B$3,N734&gt;=ルール設定!$B$4),"○",""))</f>
        <v/>
      </c>
      <c r="S734" s="8" t="str">
        <f aca="false">IF(A734="","",IF(AND(Y734&lt;&gt;"参考",G734&gt;=ルール設定!$B$5,J734&gt;=ルール設定!$B$6,O734&gt;=ルール設定!$B$7),"○",""))</f>
        <v/>
      </c>
      <c r="T734" s="8" t="n">
        <v>4</v>
      </c>
      <c r="U734" s="8" t="n">
        <v>3</v>
      </c>
      <c r="V734" s="8" t="str">
        <f aca="false">IF(A734="","",IF(AND(ISNUMBER(T734),ISNUMBER(U734)),IF(AND(T734&lt;=3,U734&lt;=3),"○","×"),""))</f>
        <v>×</v>
      </c>
      <c r="W734" s="8"/>
      <c r="X734" s="8"/>
      <c r="Y734" s="4" t="s">
        <v>7597</v>
      </c>
      <c r="Z734" s="9" t="s">
        <v>7907</v>
      </c>
      <c r="AA734" s="8" t="str">
        <v/>
      </c>
      <c r="AB734" s="8" t="str">
        <v/>
      </c>
      <c r="AC734" s="8" t="str">
        <v/>
      </c>
      <c r="AD734" s="8" t="str">
        <v/>
      </c>
      <c r="AE734" s="8" t="str">
        <v/>
      </c>
      <c r="AF734" s="8" t="str">
        <v/>
      </c>
      <c r="AG734" s="8" t="str">
        <v/>
      </c>
      <c r="AH734" s="8" t="str">
        <v/>
      </c>
      <c r="AI734" s="8" t="n">
        <v>32</v>
      </c>
      <c r="AJ734" s="8" t="str">
        <v>60～69</v>
      </c>
      <c r="AK734" s="8" t="str">
        <v>20～29</v>
      </c>
      <c r="AL734" s="8" t="str">
        <v>30～39</v>
      </c>
      <c r="AM734" s="8" t="str">
        <v>100～119</v>
      </c>
      <c r="AN734" s="8" t="str">
        <v>8～11</v>
      </c>
      <c r="AO734" s="8" t="str">
        <f aca="false">IF(A734="","",IF(COUNTIFS(全馬データ!$A$2:$A$50000,A734,全馬データ!$B$2:$B$50000,B734,全馬データ!$C$2:$C$50000,C734,全馬データ!$D$2:$D$50000,E734,全馬データ!$K$2:$K$50000,"&lt;&gt;")=0,"",SUMIFS(全馬データ!$K$2:$K$50000,全馬データ!$A$2:$A$50000,A734,全馬データ!$B$2:$B$50000,B734,全馬データ!$C$2:$C$50000,C734,全馬データ!$D$2:$D$50000,E734)))</f>
        <v/>
      </c>
      <c r="AP734" s="8" t="str">
        <f aca="false">IF(A734="","",IF(AO734="","欠損",IF(AO734&lt;=1.1,"1.0～1.1",IF(AO734&lt;1.3,"1.2",IF(AO734&lt;1.5,"1.3～1.4",IF(AO734&lt;2,"1.5～1.9","2.0以上"))))))</f>
        <v>欠損</v>
      </c>
      <c r="AQ734" s="8" t="str">
        <f aca="false">IF(A734="","",IF(ISNUMBER(SEARCH("2歳",Z734)),"2歳戦",IF(ISNUMBER(SEARCH("3歳未勝利",Z734)),"3歳未勝利",IF(ISNUMBER(SEARCH("未勝利",Z734)),"その他未勝利",IF(ISNUMBER(SEARCH("G1",Z734)),"G1",IF(ISNUMBER(SEARCH("G2",Z734)),"G2",IF(ISNUMBER(SEARCH("G3",Z734)),"G3",IF(ISNUMBER(SEARCH("古馬条件",Z734)),"古馬条件戦",IF(ISNUMBER(SEARCH("重賞",Z734)),"重賞","分類不能")))))))))</f>
        <v>分類不能</v>
      </c>
      <c r="AR734" s="8"/>
      <c r="AS734" s="8" t="s">
        <v>7626</v>
      </c>
      <c r="AT734" s="8" t="s">
        <v>7627</v>
      </c>
      <c r="AU734" s="8" t="s">
        <v>7628</v>
      </c>
      <c r="AV734" s="8" t="s">
        <v>7629</v>
      </c>
      <c r="AW734" s="8"/>
      <c r="AX734" s="8"/>
      <c r="AY734" s="8" t="s">
        <v>7610</v>
      </c>
      <c r="AZ734" s="4" t="s">
        <v>7617</v>
      </c>
      <c r="BA734" s="8" t="n">
        <v>1700</v>
      </c>
      <c r="BB734" s="8" t="s">
        <v>7598</v>
      </c>
      <c r="BC734" s="4" t="s">
        <v>7604</v>
      </c>
      <c r="BD734" s="8" t="s">
        <v>7625</v>
      </c>
      <c r="BE734" s="4" t="s">
        <v>7606</v>
      </c>
      <c r="BF734" s="8" t="s">
        <v>7607</v>
      </c>
      <c r="BG734" s="8" t="s">
        <v>7631</v>
      </c>
      <c r="BH734" s="4" t="s">
        <v>7632</v>
      </c>
      <c r="BI734" s="8" t="n">
        <v>11</v>
      </c>
      <c r="BJ734" s="8" t="s">
        <v>7602</v>
      </c>
      <c r="BK734" s="4" t="s">
        <v>7653</v>
      </c>
      <c r="BL734" s="8" t="s">
        <v>7602</v>
      </c>
      <c r="BM734" s="4" t="s">
        <v>7620</v>
      </c>
      <c r="BN734" s="8"/>
      <c r="BO734" s="8"/>
      <c r="BP734" s="8" t="s">
        <v>7608</v>
      </c>
      <c r="BQ734" s="8" t="str">
        <f aca="false">IF(A734="","",AT734)</f>
        <v>3歳以上</v>
      </c>
      <c r="BR734" s="8" t="str">
        <f aca="false">IF(A734="","",IF(BA734&lt;=1200,"～1200",IF(BA734&lt;=1500,"1300～1500",IF(BA734=1600,"1600",IF(BA734&lt;=1800,"1700～1800",IF(BA734&lt;=2000,"1900～2000","2100以上"))))))</f>
        <v>1700～1800</v>
      </c>
      <c r="BS734" s="8" t="str">
        <f aca="false">IF(A734="","",IF(AX734="G1","G1",IF(AX734="G2","G2",IF(AX734="G3","G3",IF(AX734="L","L","その他")))))</f>
        <v>その他</v>
      </c>
      <c r="BT734" s="8" t="str">
        <f aca="false">IF(A734="","",IF(BI734="","未結合",IF(D734=BI734,"一致","不一致")))</f>
        <v>一致</v>
      </c>
      <c r="BU734" s="8" t="str">
        <f aca="false">IF(A734="","",IF(BE734="牝馬限定","牝馬限定","その他"))</f>
        <v>その他</v>
      </c>
    </row>
    <row r="735" customFormat="false" ht="29.1" hidden="false" customHeight="false" outlineLevel="0" collapsed="false">
      <c r="A735" s="6" t="n">
        <v>46193</v>
      </c>
      <c r="B735" s="4" t="s">
        <v>4473</v>
      </c>
      <c r="C735" s="8" t="n">
        <v>3</v>
      </c>
      <c r="D735" s="8" t="n">
        <v>16</v>
      </c>
      <c r="E735" s="8" t="n">
        <v>7</v>
      </c>
      <c r="F735" s="8"/>
      <c r="G735" s="8" t="n">
        <v>52</v>
      </c>
      <c r="H735" s="8" t="n">
        <v>10</v>
      </c>
      <c r="I735" s="8"/>
      <c r="J735" s="8" t="n">
        <v>44</v>
      </c>
      <c r="K735" s="8" t="n">
        <v>3</v>
      </c>
      <c r="L735" s="8"/>
      <c r="M735" s="8" t="n">
        <v>41</v>
      </c>
      <c r="N735" s="8" t="n">
        <f aca="false">IF(A735="","",G735-J735)</f>
        <v>8</v>
      </c>
      <c r="O735" s="8" t="n">
        <f aca="false">IF(A735="","",J735-M735)</f>
        <v>3</v>
      </c>
      <c r="P735" s="8" t="n">
        <f aca="false">IF(A735="","",G735+J735)</f>
        <v>96</v>
      </c>
      <c r="Q735" s="8" t="str">
        <f aca="false">IF(A735="","",IF(AND(Y735&lt;&gt;"参考",G735&gt;=ルール設定!$B$2),"○",""))</f>
        <v/>
      </c>
      <c r="R735" s="8" t="str">
        <f aca="false">IF(A735="","",IF(AND(Y735&lt;&gt;"参考",G735&gt;=ルール設定!$B$3,N735&gt;=ルール設定!$B$4),"○",""))</f>
        <v/>
      </c>
      <c r="S735" s="8" t="str">
        <f aca="false">IF(A735="","",IF(AND(Y735&lt;&gt;"参考",G735&gt;=ルール設定!$B$5,J735&gt;=ルール設定!$B$6,O735&gt;=ルール設定!$B$7),"○",""))</f>
        <v/>
      </c>
      <c r="T735" s="8" t="n">
        <v>1</v>
      </c>
      <c r="U735" s="8" t="n">
        <v>4</v>
      </c>
      <c r="V735" s="8" t="str">
        <f aca="false">IF(A735="","",IF(AND(ISNUMBER(T735),ISNUMBER(U735)),IF(AND(T735&lt;=3,U735&lt;=3),"○","×"),""))</f>
        <v>×</v>
      </c>
      <c r="W735" s="8" t="n">
        <v>130</v>
      </c>
      <c r="X735" s="8"/>
      <c r="Y735" s="4" t="s">
        <v>7597</v>
      </c>
      <c r="Z735" s="9" t="s">
        <v>7907</v>
      </c>
      <c r="AA735" s="8" t="str">
        <v/>
      </c>
      <c r="AB735" s="8" t="str">
        <v/>
      </c>
      <c r="AC735" s="8" t="str">
        <v/>
      </c>
      <c r="AD735" s="8" t="str">
        <v/>
      </c>
      <c r="AE735" s="8" t="str">
        <v/>
      </c>
      <c r="AF735" s="8" t="str">
        <v/>
      </c>
      <c r="AG735" s="8" t="str">
        <v/>
      </c>
      <c r="AH735" s="8" t="str">
        <v/>
      </c>
      <c r="AI735" s="8" t="n">
        <v>11</v>
      </c>
      <c r="AJ735" s="8" t="str">
        <v>～59</v>
      </c>
      <c r="AK735" s="8" t="str">
        <v>5～9</v>
      </c>
      <c r="AL735" s="8" t="str">
        <v>10～19</v>
      </c>
      <c r="AM735" s="8" t="str">
        <v>～99</v>
      </c>
      <c r="AN735" s="8" t="str">
        <v>15以上</v>
      </c>
      <c r="AO735" s="8" t="str">
        <f aca="false">IF(A735="","",IF(COUNTIFS(全馬データ!$A$2:$A$50000,A735,全馬データ!$B$2:$B$50000,B735,全馬データ!$C$2:$C$50000,C735,全馬データ!$D$2:$D$50000,E735,全馬データ!$K$2:$K$50000,"&lt;&gt;")=0,"",SUMIFS(全馬データ!$K$2:$K$50000,全馬データ!$A$2:$A$50000,A735,全馬データ!$B$2:$B$50000,B735,全馬データ!$C$2:$C$50000,C735,全馬データ!$D$2:$D$50000,E735)))</f>
        <v/>
      </c>
      <c r="AP735" s="8" t="str">
        <f aca="false">IF(A735="","",IF(AO735="","欠損",IF(AO735&lt;=1.1,"1.0～1.1",IF(AO735&lt;1.3,"1.2",IF(AO735&lt;1.5,"1.3～1.4",IF(AO735&lt;2,"1.5～1.9","2.0以上"))))))</f>
        <v>欠損</v>
      </c>
      <c r="AQ735" s="8" t="str">
        <f aca="false">IF(A735="","",IF(ISNUMBER(SEARCH("2歳",Z735)),"2歳戦",IF(ISNUMBER(SEARCH("3歳未勝利",Z735)),"3歳未勝利",IF(ISNUMBER(SEARCH("未勝利",Z735)),"その他未勝利",IF(ISNUMBER(SEARCH("G1",Z735)),"G1",IF(ISNUMBER(SEARCH("G2",Z735)),"G2",IF(ISNUMBER(SEARCH("G3",Z735)),"G3",IF(ISNUMBER(SEARCH("古馬条件",Z735)),"古馬条件戦",IF(ISNUMBER(SEARCH("重賞",Z735)),"重賞","分類不能")))))))))</f>
        <v>分類不能</v>
      </c>
      <c r="AR735" s="8"/>
      <c r="AS735" s="8" t="s">
        <v>7623</v>
      </c>
      <c r="AT735" s="8" t="s">
        <v>7624</v>
      </c>
      <c r="AU735" s="8" t="s">
        <v>7600</v>
      </c>
      <c r="AV735" s="4" t="s">
        <v>7601</v>
      </c>
      <c r="AW735" s="8"/>
      <c r="AX735" s="8"/>
      <c r="AY735" s="8" t="s">
        <v>7602</v>
      </c>
      <c r="AZ735" s="4" t="s">
        <v>7603</v>
      </c>
      <c r="BA735" s="8" t="n">
        <v>1800</v>
      </c>
      <c r="BB735" s="8" t="s">
        <v>7659</v>
      </c>
      <c r="BC735" s="4" t="s">
        <v>7619</v>
      </c>
      <c r="BD735" s="8" t="s">
        <v>7605</v>
      </c>
      <c r="BE735" s="4" t="s">
        <v>7606</v>
      </c>
      <c r="BF735" s="8" t="s">
        <v>7607</v>
      </c>
      <c r="BG735" s="8" t="s">
        <v>7608</v>
      </c>
      <c r="BH735" s="4" t="s">
        <v>7609</v>
      </c>
      <c r="BI735" s="8" t="n">
        <v>16</v>
      </c>
      <c r="BJ735" s="8" t="s">
        <v>7610</v>
      </c>
      <c r="BK735" s="4" t="s">
        <v>7611</v>
      </c>
      <c r="BL735" s="8" t="s">
        <v>7602</v>
      </c>
      <c r="BM735" s="4" t="s">
        <v>7620</v>
      </c>
      <c r="BN735" s="8" t="s">
        <v>7676</v>
      </c>
      <c r="BO735" s="8" t="s">
        <v>7778</v>
      </c>
      <c r="BP735" s="8" t="s">
        <v>7602</v>
      </c>
      <c r="BQ735" s="8" t="str">
        <f aca="false">IF(A735="","",AT735)</f>
        <v>3歳</v>
      </c>
      <c r="BR735" s="8" t="str">
        <f aca="false">IF(A735="","",IF(BA735&lt;=1200,"～1200",IF(BA735&lt;=1500,"1300～1500",IF(BA735=1600,"1600",IF(BA735&lt;=1800,"1700～1800",IF(BA735&lt;=2000,"1900～2000","2100以上"))))))</f>
        <v>1700～1800</v>
      </c>
      <c r="BS735" s="8" t="str">
        <f aca="false">IF(A735="","",IF(AX735="G1","G1",IF(AX735="G2","G2",IF(AX735="G3","G3",IF(AX735="L","L","その他")))))</f>
        <v>その他</v>
      </c>
      <c r="BT735" s="8" t="str">
        <f aca="false">IF(A735="","",IF(BI735="","未結合",IF(D735=BI735,"一致","不一致")))</f>
        <v>一致</v>
      </c>
      <c r="BU735" s="8" t="str">
        <f aca="false">IF(A735="","",IF(BE735="牝馬限定","牝馬限定","その他"))</f>
        <v>その他</v>
      </c>
    </row>
    <row r="736" customFormat="false" ht="29.1" hidden="false" customHeight="false" outlineLevel="0" collapsed="false">
      <c r="A736" s="6" t="n">
        <v>46193</v>
      </c>
      <c r="B736" s="4" t="s">
        <v>4473</v>
      </c>
      <c r="C736" s="8" t="n">
        <v>4</v>
      </c>
      <c r="D736" s="8" t="n">
        <v>11</v>
      </c>
      <c r="E736" s="8" t="n">
        <v>10</v>
      </c>
      <c r="F736" s="8"/>
      <c r="G736" s="8" t="n">
        <v>37</v>
      </c>
      <c r="H736" s="8" t="n">
        <v>9</v>
      </c>
      <c r="I736" s="8"/>
      <c r="J736" s="8" t="n">
        <v>31</v>
      </c>
      <c r="K736" s="8" t="n">
        <v>2</v>
      </c>
      <c r="L736" s="8"/>
      <c r="M736" s="8" t="n">
        <v>27</v>
      </c>
      <c r="N736" s="8" t="n">
        <f aca="false">IF(A736="","",G736-J736)</f>
        <v>6</v>
      </c>
      <c r="O736" s="8" t="n">
        <f aca="false">IF(A736="","",J736-M736)</f>
        <v>4</v>
      </c>
      <c r="P736" s="8" t="n">
        <f aca="false">IF(A736="","",G736+J736)</f>
        <v>68</v>
      </c>
      <c r="Q736" s="8" t="str">
        <f aca="false">IF(A736="","",IF(AND(Y736&lt;&gt;"参考",G736&gt;=ルール設定!$B$2),"○",""))</f>
        <v/>
      </c>
      <c r="R736" s="8" t="str">
        <f aca="false">IF(A736="","",IF(AND(Y736&lt;&gt;"参考",G736&gt;=ルール設定!$B$3,N736&gt;=ルール設定!$B$4),"○",""))</f>
        <v/>
      </c>
      <c r="S736" s="8" t="str">
        <f aca="false">IF(A736="","",IF(AND(Y736&lt;&gt;"参考",G736&gt;=ルール設定!$B$5,J736&gt;=ルール設定!$B$6,O736&gt;=ルール設定!$B$7),"○",""))</f>
        <v/>
      </c>
      <c r="T736" s="8" t="n">
        <v>4</v>
      </c>
      <c r="U736" s="8" t="n">
        <v>4</v>
      </c>
      <c r="V736" s="8" t="str">
        <f aca="false">IF(A736="","",IF(AND(ISNUMBER(T736),ISNUMBER(U736)),IF(AND(T736&lt;=3,U736&lt;=3),"○","×"),""))</f>
        <v>×</v>
      </c>
      <c r="W736" s="8"/>
      <c r="X736" s="8"/>
      <c r="Y736" s="4" t="s">
        <v>7597</v>
      </c>
      <c r="Z736" s="9" t="s">
        <v>7907</v>
      </c>
      <c r="AA736" s="8" t="str">
        <v/>
      </c>
      <c r="AB736" s="8" t="str">
        <v/>
      </c>
      <c r="AC736" s="8" t="str">
        <v/>
      </c>
      <c r="AD736" s="8" t="str">
        <v/>
      </c>
      <c r="AE736" s="8" t="str">
        <v/>
      </c>
      <c r="AF736" s="8" t="str">
        <v/>
      </c>
      <c r="AG736" s="8" t="str">
        <v/>
      </c>
      <c r="AH736" s="8" t="str">
        <v/>
      </c>
      <c r="AI736" s="8" t="n">
        <v>10</v>
      </c>
      <c r="AJ736" s="8" t="str">
        <v>～59</v>
      </c>
      <c r="AK736" s="8" t="str">
        <v>5～9</v>
      </c>
      <c r="AL736" s="8" t="str">
        <v>10～19</v>
      </c>
      <c r="AM736" s="8" t="str">
        <v>～99</v>
      </c>
      <c r="AN736" s="8" t="str">
        <v>8～11</v>
      </c>
      <c r="AO736" s="8" t="str">
        <f aca="false">IF(A736="","",IF(COUNTIFS(全馬データ!$A$2:$A$50000,A736,全馬データ!$B$2:$B$50000,B736,全馬データ!$C$2:$C$50000,C736,全馬データ!$D$2:$D$50000,E736,全馬データ!$K$2:$K$50000,"&lt;&gt;")=0,"",SUMIFS(全馬データ!$K$2:$K$50000,全馬データ!$A$2:$A$50000,A736,全馬データ!$B$2:$B$50000,B736,全馬データ!$C$2:$C$50000,C736,全馬データ!$D$2:$D$50000,E736)))</f>
        <v/>
      </c>
      <c r="AP736" s="8" t="str">
        <f aca="false">IF(A736="","",IF(AO736="","欠損",IF(AO736&lt;=1.1,"1.0～1.1",IF(AO736&lt;1.3,"1.2",IF(AO736&lt;1.5,"1.3～1.4",IF(AO736&lt;2,"1.5～1.9","2.0以上"))))))</f>
        <v>欠損</v>
      </c>
      <c r="AQ736" s="8" t="str">
        <f aca="false">IF(A736="","",IF(ISNUMBER(SEARCH("2歳",Z736)),"2歳戦",IF(ISNUMBER(SEARCH("3歳未勝利",Z736)),"3歳未勝利",IF(ISNUMBER(SEARCH("未勝利",Z736)),"その他未勝利",IF(ISNUMBER(SEARCH("G1",Z736)),"G1",IF(ISNUMBER(SEARCH("G2",Z736)),"G2",IF(ISNUMBER(SEARCH("G3",Z736)),"G3",IF(ISNUMBER(SEARCH("古馬条件",Z736)),"古馬条件戦",IF(ISNUMBER(SEARCH("重賞",Z736)),"重賞","分類不能")))))))))</f>
        <v>分類不能</v>
      </c>
      <c r="AR736" s="8"/>
      <c r="AS736" s="8" t="s">
        <v>7598</v>
      </c>
      <c r="AT736" s="8" t="s">
        <v>7599</v>
      </c>
      <c r="AU736" s="8" t="s">
        <v>7615</v>
      </c>
      <c r="AV736" s="4" t="s">
        <v>7616</v>
      </c>
      <c r="AW736" s="8"/>
      <c r="AX736" s="8"/>
      <c r="AY736" s="8" t="s">
        <v>7602</v>
      </c>
      <c r="AZ736" s="4" t="s">
        <v>7603</v>
      </c>
      <c r="BA736" s="8" t="n">
        <v>1400</v>
      </c>
      <c r="BB736" s="8" t="s">
        <v>7659</v>
      </c>
      <c r="BC736" s="4" t="s">
        <v>7619</v>
      </c>
      <c r="BD736" s="8" t="s">
        <v>7621</v>
      </c>
      <c r="BE736" s="4" t="s">
        <v>7622</v>
      </c>
      <c r="BF736" s="8" t="s">
        <v>7602</v>
      </c>
      <c r="BG736" s="8" t="s">
        <v>7608</v>
      </c>
      <c r="BH736" s="4" t="s">
        <v>7609</v>
      </c>
      <c r="BI736" s="8" t="n">
        <v>11</v>
      </c>
      <c r="BJ736" s="8" t="s">
        <v>7610</v>
      </c>
      <c r="BK736" s="4" t="s">
        <v>7611</v>
      </c>
      <c r="BL736" s="8" t="s">
        <v>7602</v>
      </c>
      <c r="BM736" s="4" t="s">
        <v>7620</v>
      </c>
      <c r="BN736" s="8" t="s">
        <v>7676</v>
      </c>
      <c r="BO736" s="8" t="s">
        <v>7778</v>
      </c>
      <c r="BP736" s="8" t="s">
        <v>7602</v>
      </c>
      <c r="BQ736" s="8" t="str">
        <f aca="false">IF(A736="","",AT736)</f>
        <v>2歳</v>
      </c>
      <c r="BR736" s="8" t="str">
        <f aca="false">IF(A736="","",IF(BA736&lt;=1200,"～1200",IF(BA736&lt;=1500,"1300～1500",IF(BA736=1600,"1600",IF(BA736&lt;=1800,"1700～1800",IF(BA736&lt;=2000,"1900～2000","2100以上"))))))</f>
        <v>1300～1500</v>
      </c>
      <c r="BS736" s="8" t="str">
        <f aca="false">IF(A736="","",IF(AX736="G1","G1",IF(AX736="G2","G2",IF(AX736="G3","G3",IF(AX736="L","L","その他")))))</f>
        <v>その他</v>
      </c>
      <c r="BT736" s="8" t="str">
        <f aca="false">IF(A736="","",IF(BI736="","未結合",IF(D736=BI736,"一致","不一致")))</f>
        <v>一致</v>
      </c>
      <c r="BU736" s="8" t="str">
        <f aca="false">IF(A736="","",IF(BE736="牝馬限定","牝馬限定","その他"))</f>
        <v>牝馬限定</v>
      </c>
    </row>
    <row r="737" customFormat="false" ht="15.75" hidden="false" customHeight="false" outlineLevel="0" collapsed="false">
      <c r="A737" s="6" t="n">
        <v>46193</v>
      </c>
      <c r="B737" s="4" t="s">
        <v>4473</v>
      </c>
      <c r="C737" s="8" t="n">
        <v>6</v>
      </c>
      <c r="D737" s="8" t="n">
        <v>16</v>
      </c>
      <c r="E737" s="8" t="n">
        <v>5</v>
      </c>
      <c r="F737" s="8"/>
      <c r="G737" s="8" t="n">
        <v>75</v>
      </c>
      <c r="H737" s="8" t="n">
        <v>2</v>
      </c>
      <c r="I737" s="8"/>
      <c r="J737" s="8" t="n">
        <v>52</v>
      </c>
      <c r="K737" s="8" t="n">
        <v>3</v>
      </c>
      <c r="L737" s="8"/>
      <c r="M737" s="8" t="n">
        <v>37</v>
      </c>
      <c r="N737" s="8" t="n">
        <f aca="false">IF(A737="","",G737-J737)</f>
        <v>23</v>
      </c>
      <c r="O737" s="8" t="n">
        <f aca="false">IF(A737="","",J737-M737)</f>
        <v>15</v>
      </c>
      <c r="P737" s="8" t="n">
        <f aca="false">IF(A737="","",G737+J737)</f>
        <v>127</v>
      </c>
      <c r="Q737" s="8" t="str">
        <f aca="false">IF(A737="","",IF(AND(Y737&lt;&gt;"参考",G737&gt;=ルール設定!$B$2),"○",""))</f>
        <v/>
      </c>
      <c r="R737" s="8" t="str">
        <f aca="false">IF(A737="","",IF(AND(Y737&lt;&gt;"参考",G737&gt;=ルール設定!$B$3,N737&gt;=ルール設定!$B$4),"○",""))</f>
        <v/>
      </c>
      <c r="S737" s="8" t="str">
        <f aca="false">IF(A737="","",IF(AND(Y737&lt;&gt;"参考",G737&gt;=ルール設定!$B$5,J737&gt;=ルール設定!$B$6,O737&gt;=ルール設定!$B$7),"○",""))</f>
        <v/>
      </c>
      <c r="T737" s="8" t="n">
        <v>4</v>
      </c>
      <c r="U737" s="8" t="n">
        <v>1</v>
      </c>
      <c r="V737" s="8" t="str">
        <f aca="false">IF(A737="","",IF(AND(ISNUMBER(T737),ISNUMBER(U737)),IF(AND(T737&lt;=3,U737&lt;=3),"○","×"),""))</f>
        <v>×</v>
      </c>
      <c r="W737" s="8"/>
      <c r="X737" s="8"/>
      <c r="Y737" s="4" t="s">
        <v>7597</v>
      </c>
      <c r="Z737" s="4" t="s">
        <v>6501</v>
      </c>
      <c r="AA737" s="8" t="str">
        <v/>
      </c>
      <c r="AB737" s="8" t="str">
        <v/>
      </c>
      <c r="AC737" s="8" t="str">
        <v/>
      </c>
      <c r="AD737" s="8" t="str">
        <v/>
      </c>
      <c r="AE737" s="8" t="str">
        <v/>
      </c>
      <c r="AF737" s="8" t="str">
        <v/>
      </c>
      <c r="AG737" s="8" t="str">
        <v/>
      </c>
      <c r="AH737" s="8" t="str">
        <v/>
      </c>
      <c r="AI737" s="8" t="n">
        <v>38</v>
      </c>
      <c r="AJ737" s="8" t="str">
        <v>75～79</v>
      </c>
      <c r="AK737" s="8" t="str">
        <v>20～29</v>
      </c>
      <c r="AL737" s="8" t="str">
        <v>30～39</v>
      </c>
      <c r="AM737" s="8" t="str">
        <v>120～139</v>
      </c>
      <c r="AN737" s="8" t="str">
        <v>15以上</v>
      </c>
      <c r="AO737" s="8" t="str">
        <f aca="false">IF(A737="","",IF(COUNTIFS(全馬データ!$A$2:$A$50000,A737,全馬データ!$B$2:$B$50000,B737,全馬データ!$C$2:$C$50000,C737,全馬データ!$D$2:$D$50000,E737,全馬データ!$K$2:$K$50000,"&lt;&gt;")=0,"",SUMIFS(全馬データ!$K$2:$K$50000,全馬データ!$A$2:$A$50000,A737,全馬データ!$B$2:$B$50000,B737,全馬データ!$C$2:$C$50000,C737,全馬データ!$D$2:$D$50000,E737)))</f>
        <v/>
      </c>
      <c r="AP737" s="8" t="str">
        <f aca="false">IF(A737="","",IF(AO737="","欠損",IF(AO737&lt;=1.1,"1.0～1.1",IF(AO737&lt;1.3,"1.2",IF(AO737&lt;1.5,"1.3～1.4",IF(AO737&lt;2,"1.5～1.9","2.0以上"))))))</f>
        <v>欠損</v>
      </c>
      <c r="AQ737" s="8" t="str">
        <f aca="false">IF(A737="","",IF(ISNUMBER(SEARCH("2歳",Z737)),"2歳戦",IF(ISNUMBER(SEARCH("3歳未勝利",Z737)),"3歳未勝利",IF(ISNUMBER(SEARCH("未勝利",Z737)),"その他未勝利",IF(ISNUMBER(SEARCH("G1",Z737)),"G1",IF(ISNUMBER(SEARCH("G2",Z737)),"G2",IF(ISNUMBER(SEARCH("G3",Z737)),"G3",IF(ISNUMBER(SEARCH("古馬条件",Z737)),"古馬条件戦",IF(ISNUMBER(SEARCH("重賞",Z737)),"重賞","分類不能")))))))))</f>
        <v>分類不能</v>
      </c>
      <c r="AR737" s="8"/>
      <c r="AS737" s="8" t="s">
        <v>7623</v>
      </c>
      <c r="AT737" s="8" t="s">
        <v>7624</v>
      </c>
      <c r="AU737" s="8" t="s">
        <v>7600</v>
      </c>
      <c r="AV737" s="4" t="s">
        <v>7601</v>
      </c>
      <c r="AW737" s="8"/>
      <c r="AX737" s="8"/>
      <c r="AY737" s="8" t="s">
        <v>7610</v>
      </c>
      <c r="AZ737" s="4" t="s">
        <v>7617</v>
      </c>
      <c r="BA737" s="8" t="n">
        <v>1600</v>
      </c>
      <c r="BB737" s="8" t="s">
        <v>7669</v>
      </c>
      <c r="BC737" s="4" t="s">
        <v>7662</v>
      </c>
      <c r="BD737" s="8" t="s">
        <v>7625</v>
      </c>
      <c r="BE737" s="4" t="s">
        <v>7606</v>
      </c>
      <c r="BF737" s="8" t="s">
        <v>7607</v>
      </c>
      <c r="BG737" s="8" t="s">
        <v>7608</v>
      </c>
      <c r="BH737" s="4" t="s">
        <v>7609</v>
      </c>
      <c r="BI737" s="8" t="n">
        <v>16</v>
      </c>
      <c r="BJ737" s="8" t="s">
        <v>7610</v>
      </c>
      <c r="BK737" s="4" t="s">
        <v>7611</v>
      </c>
      <c r="BL737" s="8" t="s">
        <v>7602</v>
      </c>
      <c r="BM737" s="4" t="s">
        <v>7620</v>
      </c>
      <c r="BN737" s="8"/>
      <c r="BO737" s="8"/>
      <c r="BP737" s="8" t="s">
        <v>7602</v>
      </c>
      <c r="BQ737" s="8" t="str">
        <f aca="false">IF(A737="","",AT737)</f>
        <v>3歳</v>
      </c>
      <c r="BR737" s="8" t="str">
        <f aca="false">IF(A737="","",IF(BA737&lt;=1200,"～1200",IF(BA737&lt;=1500,"1300～1500",IF(BA737=1600,"1600",IF(BA737&lt;=1800,"1700～1800",IF(BA737&lt;=2000,"1900～2000","2100以上"))))))</f>
        <v>1600</v>
      </c>
      <c r="BS737" s="8" t="str">
        <f aca="false">IF(A737="","",IF(AX737="G1","G1",IF(AX737="G2","G2",IF(AX737="G3","G3",IF(AX737="L","L","その他")))))</f>
        <v>その他</v>
      </c>
      <c r="BT737" s="8" t="str">
        <f aca="false">IF(A737="","",IF(BI737="","未結合",IF(D737=BI737,"一致","不一致")))</f>
        <v>一致</v>
      </c>
      <c r="BU737" s="8" t="str">
        <f aca="false">IF(A737="","",IF(BE737="牝馬限定","牝馬限定","その他"))</f>
        <v>その他</v>
      </c>
    </row>
    <row r="738" customFormat="false" ht="29.1" hidden="false" customHeight="false" outlineLevel="0" collapsed="false">
      <c r="A738" s="6" t="n">
        <v>46193</v>
      </c>
      <c r="B738" s="4" t="s">
        <v>4473</v>
      </c>
      <c r="C738" s="8" t="n">
        <v>7</v>
      </c>
      <c r="D738" s="8" t="n">
        <v>16</v>
      </c>
      <c r="E738" s="8" t="n">
        <v>9</v>
      </c>
      <c r="F738" s="8"/>
      <c r="G738" s="8" t="n">
        <v>60</v>
      </c>
      <c r="H738" s="8" t="n">
        <v>3</v>
      </c>
      <c r="I738" s="8"/>
      <c r="J738" s="8" t="n">
        <v>44</v>
      </c>
      <c r="K738" s="8" t="n">
        <v>15</v>
      </c>
      <c r="L738" s="8"/>
      <c r="M738" s="8" t="n">
        <v>37</v>
      </c>
      <c r="N738" s="8" t="n">
        <f aca="false">IF(A738="","",G738-J738)</f>
        <v>16</v>
      </c>
      <c r="O738" s="8" t="n">
        <f aca="false">IF(A738="","",J738-M738)</f>
        <v>7</v>
      </c>
      <c r="P738" s="8" t="n">
        <f aca="false">IF(A738="","",G738+J738)</f>
        <v>104</v>
      </c>
      <c r="Q738" s="8" t="str">
        <f aca="false">IF(A738="","",IF(AND(Y738&lt;&gt;"参考",G738&gt;=ルール設定!$B$2),"○",""))</f>
        <v/>
      </c>
      <c r="R738" s="8" t="str">
        <f aca="false">IF(A738="","",IF(AND(Y738&lt;&gt;"参考",G738&gt;=ルール設定!$B$3,N738&gt;=ルール設定!$B$4),"○",""))</f>
        <v/>
      </c>
      <c r="S738" s="8" t="str">
        <f aca="false">IF(A738="","",IF(AND(Y738&lt;&gt;"参考",G738&gt;=ルール設定!$B$5,J738&gt;=ルール設定!$B$6,O738&gt;=ルール設定!$B$7),"○",""))</f>
        <v/>
      </c>
      <c r="T738" s="8" t="n">
        <v>3</v>
      </c>
      <c r="U738" s="8" t="n">
        <v>4</v>
      </c>
      <c r="V738" s="8" t="str">
        <f aca="false">IF(A738="","",IF(AND(ISNUMBER(T738),ISNUMBER(U738)),IF(AND(T738&lt;=3,U738&lt;=3),"○","×"),""))</f>
        <v>×</v>
      </c>
      <c r="W738" s="8" t="n">
        <v>110</v>
      </c>
      <c r="X738" s="8"/>
      <c r="Y738" s="4" t="s">
        <v>7597</v>
      </c>
      <c r="Z738" s="9" t="s">
        <v>7907</v>
      </c>
      <c r="AA738" s="8" t="str">
        <v/>
      </c>
      <c r="AB738" s="8" t="str">
        <v/>
      </c>
      <c r="AC738" s="8" t="str">
        <v/>
      </c>
      <c r="AD738" s="8" t="str">
        <v/>
      </c>
      <c r="AE738" s="8" t="str">
        <v/>
      </c>
      <c r="AF738" s="8" t="str">
        <v/>
      </c>
      <c r="AG738" s="8" t="str">
        <v/>
      </c>
      <c r="AH738" s="8" t="str">
        <v/>
      </c>
      <c r="AI738" s="8" t="n">
        <v>23</v>
      </c>
      <c r="AJ738" s="8" t="str">
        <v>60～69</v>
      </c>
      <c r="AK738" s="8" t="str">
        <v>10～19</v>
      </c>
      <c r="AL738" s="8" t="str">
        <v>20～29</v>
      </c>
      <c r="AM738" s="8" t="str">
        <v>100～119</v>
      </c>
      <c r="AN738" s="8" t="str">
        <v>15以上</v>
      </c>
      <c r="AO738" s="8" t="str">
        <f aca="false">IF(A738="","",IF(COUNTIFS(全馬データ!$A$2:$A$50000,A738,全馬データ!$B$2:$B$50000,B738,全馬データ!$C$2:$C$50000,C738,全馬データ!$D$2:$D$50000,E738,全馬データ!$K$2:$K$50000,"&lt;&gt;")=0,"",SUMIFS(全馬データ!$K$2:$K$50000,全馬データ!$A$2:$A$50000,A738,全馬データ!$B$2:$B$50000,B738,全馬データ!$C$2:$C$50000,C738,全馬データ!$D$2:$D$50000,E738)))</f>
        <v/>
      </c>
      <c r="AP738" s="8" t="str">
        <f aca="false">IF(A738="","",IF(AO738="","欠損",IF(AO738&lt;=1.1,"1.0～1.1",IF(AO738&lt;1.3,"1.2",IF(AO738&lt;1.5,"1.3～1.4",IF(AO738&lt;2,"1.5～1.9","2.0以上"))))))</f>
        <v>欠損</v>
      </c>
      <c r="AQ738" s="8" t="str">
        <f aca="false">IF(A738="","",IF(ISNUMBER(SEARCH("2歳",Z738)),"2歳戦",IF(ISNUMBER(SEARCH("3歳未勝利",Z738)),"3歳未勝利",IF(ISNUMBER(SEARCH("未勝利",Z738)),"その他未勝利",IF(ISNUMBER(SEARCH("G1",Z738)),"G1",IF(ISNUMBER(SEARCH("G2",Z738)),"G2",IF(ISNUMBER(SEARCH("G3",Z738)),"G3",IF(ISNUMBER(SEARCH("古馬条件",Z738)),"古馬条件戦",IF(ISNUMBER(SEARCH("重賞",Z738)),"重賞","分類不能")))))))))</f>
        <v>分類不能</v>
      </c>
      <c r="AR738" s="8"/>
      <c r="AS738" s="8" t="s">
        <v>7623</v>
      </c>
      <c r="AT738" s="8" t="s">
        <v>7624</v>
      </c>
      <c r="AU738" s="8" t="s">
        <v>7600</v>
      </c>
      <c r="AV738" s="4" t="s">
        <v>7601</v>
      </c>
      <c r="AW738" s="8"/>
      <c r="AX738" s="8"/>
      <c r="AY738" s="8" t="s">
        <v>7610</v>
      </c>
      <c r="AZ738" s="4" t="s">
        <v>7617</v>
      </c>
      <c r="BA738" s="8" t="n">
        <v>1400</v>
      </c>
      <c r="BB738" s="8" t="s">
        <v>7669</v>
      </c>
      <c r="BC738" s="4" t="s">
        <v>7662</v>
      </c>
      <c r="BD738" s="8" t="s">
        <v>7621</v>
      </c>
      <c r="BE738" s="4" t="s">
        <v>7622</v>
      </c>
      <c r="BF738" s="8" t="s">
        <v>7602</v>
      </c>
      <c r="BG738" s="8" t="s">
        <v>7608</v>
      </c>
      <c r="BH738" s="4" t="s">
        <v>7609</v>
      </c>
      <c r="BI738" s="8" t="n">
        <v>16</v>
      </c>
      <c r="BJ738" s="8" t="s">
        <v>7610</v>
      </c>
      <c r="BK738" s="4" t="s">
        <v>7611</v>
      </c>
      <c r="BL738" s="8" t="s">
        <v>7602</v>
      </c>
      <c r="BM738" s="4" t="s">
        <v>7620</v>
      </c>
      <c r="BN738" s="8"/>
      <c r="BO738" s="8"/>
      <c r="BP738" s="8" t="s">
        <v>7602</v>
      </c>
      <c r="BQ738" s="8" t="str">
        <f aca="false">IF(A738="","",AT738)</f>
        <v>3歳</v>
      </c>
      <c r="BR738" s="8" t="str">
        <f aca="false">IF(A738="","",IF(BA738&lt;=1200,"～1200",IF(BA738&lt;=1500,"1300～1500",IF(BA738=1600,"1600",IF(BA738&lt;=1800,"1700～1800",IF(BA738&lt;=2000,"1900～2000","2100以上"))))))</f>
        <v>1300～1500</v>
      </c>
      <c r="BS738" s="8" t="str">
        <f aca="false">IF(A738="","",IF(AX738="G1","G1",IF(AX738="G2","G2",IF(AX738="G3","G3",IF(AX738="L","L","その他")))))</f>
        <v>その他</v>
      </c>
      <c r="BT738" s="8" t="str">
        <f aca="false">IF(A738="","",IF(BI738="","未結合",IF(D738=BI738,"一致","不一致")))</f>
        <v>一致</v>
      </c>
      <c r="BU738" s="8" t="str">
        <f aca="false">IF(A738="","",IF(BE738="牝馬限定","牝馬限定","その他"))</f>
        <v>牝馬限定</v>
      </c>
    </row>
    <row r="739" customFormat="false" ht="29.1" hidden="false" customHeight="false" outlineLevel="0" collapsed="false">
      <c r="A739" s="6" t="n">
        <v>46193</v>
      </c>
      <c r="B739" s="4" t="s">
        <v>4473</v>
      </c>
      <c r="C739" s="8" t="n">
        <v>8</v>
      </c>
      <c r="D739" s="8" t="n">
        <v>16</v>
      </c>
      <c r="E739" s="8" t="n">
        <v>9</v>
      </c>
      <c r="F739" s="8"/>
      <c r="G739" s="8" t="n">
        <v>62</v>
      </c>
      <c r="H739" s="8" t="n">
        <v>11</v>
      </c>
      <c r="I739" s="8"/>
      <c r="J739" s="8" t="n">
        <v>58</v>
      </c>
      <c r="K739" s="8" t="n">
        <v>3</v>
      </c>
      <c r="L739" s="8"/>
      <c r="M739" s="8" t="n">
        <v>50</v>
      </c>
      <c r="N739" s="8" t="n">
        <f aca="false">IF(A739="","",G739-J739)</f>
        <v>4</v>
      </c>
      <c r="O739" s="8" t="n">
        <f aca="false">IF(A739="","",J739-M739)</f>
        <v>8</v>
      </c>
      <c r="P739" s="8" t="n">
        <f aca="false">IF(A739="","",G739+J739)</f>
        <v>120</v>
      </c>
      <c r="Q739" s="8" t="str">
        <f aca="false">IF(A739="","",IF(AND(Y739&lt;&gt;"参考",G739&gt;=ルール設定!$B$2),"○",""))</f>
        <v/>
      </c>
      <c r="R739" s="8" t="str">
        <f aca="false">IF(A739="","",IF(AND(Y739&lt;&gt;"参考",G739&gt;=ルール設定!$B$3,N739&gt;=ルール設定!$B$4),"○",""))</f>
        <v/>
      </c>
      <c r="S739" s="8" t="str">
        <f aca="false">IF(A739="","",IF(AND(Y739&lt;&gt;"参考",G739&gt;=ルール設定!$B$5,J739&gt;=ルール設定!$B$6,O739&gt;=ルール設定!$B$7),"○",""))</f>
        <v/>
      </c>
      <c r="T739" s="8" t="n">
        <v>4</v>
      </c>
      <c r="U739" s="8" t="n">
        <v>4</v>
      </c>
      <c r="V739" s="8" t="str">
        <f aca="false">IF(A739="","",IF(AND(ISNUMBER(T739),ISNUMBER(U739)),IF(AND(T739&lt;=3,U739&lt;=3),"○","×"),""))</f>
        <v>×</v>
      </c>
      <c r="W739" s="8"/>
      <c r="X739" s="8"/>
      <c r="Y739" s="4" t="s">
        <v>7597</v>
      </c>
      <c r="Z739" s="9" t="s">
        <v>7907</v>
      </c>
      <c r="AA739" s="8" t="str">
        <v/>
      </c>
      <c r="AB739" s="8" t="str">
        <v/>
      </c>
      <c r="AC739" s="8" t="str">
        <v/>
      </c>
      <c r="AD739" s="8" t="str">
        <v/>
      </c>
      <c r="AE739" s="8" t="str">
        <v/>
      </c>
      <c r="AF739" s="8" t="str">
        <v/>
      </c>
      <c r="AG739" s="8" t="str">
        <v/>
      </c>
      <c r="AH739" s="8" t="str">
        <v/>
      </c>
      <c r="AI739" s="8" t="n">
        <v>12</v>
      </c>
      <c r="AJ739" s="8" t="str">
        <v>60～69</v>
      </c>
      <c r="AK739" s="8" t="str">
        <v>0～4</v>
      </c>
      <c r="AL739" s="8" t="str">
        <v>10～19</v>
      </c>
      <c r="AM739" s="8" t="str">
        <v>120～139</v>
      </c>
      <c r="AN739" s="8" t="str">
        <v>15以上</v>
      </c>
      <c r="AO739" s="8" t="str">
        <f aca="false">IF(A739="","",IF(COUNTIFS(全馬データ!$A$2:$A$50000,A739,全馬データ!$B$2:$B$50000,B739,全馬データ!$C$2:$C$50000,C739,全馬データ!$D$2:$D$50000,E739,全馬データ!$K$2:$K$50000,"&lt;&gt;")=0,"",SUMIFS(全馬データ!$K$2:$K$50000,全馬データ!$A$2:$A$50000,A739,全馬データ!$B$2:$B$50000,B739,全馬データ!$C$2:$C$50000,C739,全馬データ!$D$2:$D$50000,E739)))</f>
        <v/>
      </c>
      <c r="AP739" s="8" t="str">
        <f aca="false">IF(A739="","",IF(AO739="","欠損",IF(AO739&lt;=1.1,"1.0～1.1",IF(AO739&lt;1.3,"1.2",IF(AO739&lt;1.5,"1.3～1.4",IF(AO739&lt;2,"1.5～1.9","2.0以上"))))))</f>
        <v>欠損</v>
      </c>
      <c r="AQ739" s="8" t="str">
        <f aca="false">IF(A739="","",IF(ISNUMBER(SEARCH("2歳",Z739)),"2歳戦",IF(ISNUMBER(SEARCH("3歳未勝利",Z739)),"3歳未勝利",IF(ISNUMBER(SEARCH("未勝利",Z739)),"その他未勝利",IF(ISNUMBER(SEARCH("G1",Z739)),"G1",IF(ISNUMBER(SEARCH("G2",Z739)),"G2",IF(ISNUMBER(SEARCH("G3",Z739)),"G3",IF(ISNUMBER(SEARCH("古馬条件",Z739)),"古馬条件戦",IF(ISNUMBER(SEARCH("重賞",Z739)),"重賞","分類不能")))))))))</f>
        <v>分類不能</v>
      </c>
      <c r="AR739" s="8"/>
      <c r="AS739" s="8" t="s">
        <v>7626</v>
      </c>
      <c r="AT739" s="8" t="s">
        <v>7627</v>
      </c>
      <c r="AU739" s="8" t="s">
        <v>7628</v>
      </c>
      <c r="AV739" s="8" t="s">
        <v>7629</v>
      </c>
      <c r="AW739" s="8"/>
      <c r="AX739" s="8"/>
      <c r="AY739" s="8" t="s">
        <v>7602</v>
      </c>
      <c r="AZ739" s="4" t="s">
        <v>7603</v>
      </c>
      <c r="BA739" s="8" t="n">
        <v>1800</v>
      </c>
      <c r="BB739" s="8" t="s">
        <v>7659</v>
      </c>
      <c r="BC739" s="4" t="s">
        <v>7619</v>
      </c>
      <c r="BD739" s="8" t="s">
        <v>7630</v>
      </c>
      <c r="BE739" s="4" t="s">
        <v>7606</v>
      </c>
      <c r="BF739" s="8" t="s">
        <v>7607</v>
      </c>
      <c r="BG739" s="8" t="s">
        <v>7631</v>
      </c>
      <c r="BH739" s="4" t="s">
        <v>7632</v>
      </c>
      <c r="BI739" s="8" t="n">
        <v>16</v>
      </c>
      <c r="BJ739" s="8" t="s">
        <v>7610</v>
      </c>
      <c r="BK739" s="4" t="s">
        <v>7611</v>
      </c>
      <c r="BL739" s="8" t="s">
        <v>7602</v>
      </c>
      <c r="BM739" s="4" t="s">
        <v>7620</v>
      </c>
      <c r="BN739" s="8" t="s">
        <v>7676</v>
      </c>
      <c r="BO739" s="8" t="s">
        <v>7778</v>
      </c>
      <c r="BP739" s="8" t="s">
        <v>7602</v>
      </c>
      <c r="BQ739" s="8" t="str">
        <f aca="false">IF(A739="","",AT739)</f>
        <v>3歳以上</v>
      </c>
      <c r="BR739" s="8" t="str">
        <f aca="false">IF(A739="","",IF(BA739&lt;=1200,"～1200",IF(BA739&lt;=1500,"1300～1500",IF(BA739=1600,"1600",IF(BA739&lt;=1800,"1700～1800",IF(BA739&lt;=2000,"1900～2000","2100以上"))))))</f>
        <v>1700～1800</v>
      </c>
      <c r="BS739" s="8" t="str">
        <f aca="false">IF(A739="","",IF(AX739="G1","G1",IF(AX739="G2","G2",IF(AX739="G3","G3",IF(AX739="L","L","その他")))))</f>
        <v>その他</v>
      </c>
      <c r="BT739" s="8" t="str">
        <f aca="false">IF(A739="","",IF(BI739="","未結合",IF(D739=BI739,"一致","不一致")))</f>
        <v>一致</v>
      </c>
      <c r="BU739" s="8" t="str">
        <f aca="false">IF(A739="","",IF(BE739="牝馬限定","牝馬限定","その他"))</f>
        <v>その他</v>
      </c>
    </row>
    <row r="740" customFormat="false" ht="29.1" hidden="false" customHeight="false" outlineLevel="0" collapsed="false">
      <c r="A740" s="6" t="n">
        <v>46193</v>
      </c>
      <c r="B740" s="4" t="s">
        <v>4473</v>
      </c>
      <c r="C740" s="8" t="n">
        <v>9</v>
      </c>
      <c r="D740" s="8" t="n">
        <v>10</v>
      </c>
      <c r="E740" s="8" t="n">
        <v>3</v>
      </c>
      <c r="F740" s="8"/>
      <c r="G740" s="8" t="n">
        <v>81</v>
      </c>
      <c r="H740" s="8" t="n">
        <v>8</v>
      </c>
      <c r="I740" s="8"/>
      <c r="J740" s="8" t="n">
        <v>39</v>
      </c>
      <c r="K740" s="8" t="n">
        <v>7</v>
      </c>
      <c r="L740" s="8"/>
      <c r="M740" s="8" t="n">
        <v>34</v>
      </c>
      <c r="N740" s="8" t="n">
        <f aca="false">IF(A740="","",G740-J740)</f>
        <v>42</v>
      </c>
      <c r="O740" s="8" t="n">
        <f aca="false">IF(A740="","",J740-M740)</f>
        <v>5</v>
      </c>
      <c r="P740" s="8" t="n">
        <f aca="false">IF(A740="","",G740+J740)</f>
        <v>120</v>
      </c>
      <c r="Q740" s="8" t="str">
        <f aca="false">IF(A740="","",IF(AND(Y740&lt;&gt;"参考",G740&gt;=ルール設定!$B$2),"○",""))</f>
        <v>○</v>
      </c>
      <c r="R740" s="8" t="str">
        <f aca="false">IF(A740="","",IF(AND(Y740&lt;&gt;"参考",G740&gt;=ルール設定!$B$3,N740&gt;=ルール設定!$B$4),"○",""))</f>
        <v>○</v>
      </c>
      <c r="S740" s="8" t="str">
        <f aca="false">IF(A740="","",IF(AND(Y740&lt;&gt;"参考",G740&gt;=ルール設定!$B$5,J740&gt;=ルール設定!$B$6,O740&gt;=ルール設定!$B$7),"○",""))</f>
        <v/>
      </c>
      <c r="T740" s="8" t="n">
        <v>4</v>
      </c>
      <c r="U740" s="8" t="n">
        <v>2</v>
      </c>
      <c r="V740" s="8" t="str">
        <f aca="false">IF(A740="","",IF(AND(ISNUMBER(T740),ISNUMBER(U740)),IF(AND(T740&lt;=3,U740&lt;=3),"○","×"),""))</f>
        <v>×</v>
      </c>
      <c r="W740" s="8"/>
      <c r="X740" s="8"/>
      <c r="Y740" s="4" t="s">
        <v>7597</v>
      </c>
      <c r="Z740" s="9" t="s">
        <v>7907</v>
      </c>
      <c r="AA740" s="8" t="str">
        <v/>
      </c>
      <c r="AB740" s="8" t="str">
        <v>○</v>
      </c>
      <c r="AC740" s="8" t="str">
        <v/>
      </c>
      <c r="AD740" s="8" t="str">
        <v>○</v>
      </c>
      <c r="AE740" s="8" t="str">
        <v/>
      </c>
      <c r="AF740" s="8" t="str">
        <v/>
      </c>
      <c r="AG740" s="8" t="str">
        <v>○</v>
      </c>
      <c r="AH740" s="8" t="str">
        <v/>
      </c>
      <c r="AI740" s="8" t="n">
        <v>47</v>
      </c>
      <c r="AJ740" s="8" t="str">
        <v>80～84</v>
      </c>
      <c r="AK740" s="8" t="str">
        <v>30以上</v>
      </c>
      <c r="AL740" s="8" t="str">
        <v>40以上</v>
      </c>
      <c r="AM740" s="8" t="str">
        <v>120～139</v>
      </c>
      <c r="AN740" s="8" t="str">
        <v>8～11</v>
      </c>
      <c r="AO740" s="8" t="str">
        <f aca="false">IF(A740="","",IF(COUNTIFS(全馬データ!$A$2:$A$50000,A740,全馬データ!$B$2:$B$50000,B740,全馬データ!$C$2:$C$50000,C740,全馬データ!$D$2:$D$50000,E740,全馬データ!$K$2:$K$50000,"&lt;&gt;")=0,"",SUMIFS(全馬データ!$K$2:$K$50000,全馬データ!$A$2:$A$50000,A740,全馬データ!$B$2:$B$50000,B740,全馬データ!$C$2:$C$50000,C740,全馬データ!$D$2:$D$50000,E740)))</f>
        <v/>
      </c>
      <c r="AP740" s="8" t="str">
        <f aca="false">IF(A740="","",IF(AO740="","欠損",IF(AO740&lt;=1.1,"1.0～1.1",IF(AO740&lt;1.3,"1.2",IF(AO740&lt;1.5,"1.3～1.4",IF(AO740&lt;2,"1.5～1.9","2.0以上"))))))</f>
        <v>欠損</v>
      </c>
      <c r="AQ740" s="8" t="str">
        <f aca="false">IF(A740="","",IF(ISNUMBER(SEARCH("2歳",Z740)),"2歳戦",IF(ISNUMBER(SEARCH("3歳未勝利",Z740)),"3歳未勝利",IF(ISNUMBER(SEARCH("未勝利",Z740)),"その他未勝利",IF(ISNUMBER(SEARCH("G1",Z740)),"G1",IF(ISNUMBER(SEARCH("G2",Z740)),"G2",IF(ISNUMBER(SEARCH("G3",Z740)),"G3",IF(ISNUMBER(SEARCH("古馬条件",Z740)),"古馬条件戦",IF(ISNUMBER(SEARCH("重賞",Z740)),"重賞","分類不能")))))))))</f>
        <v>分類不能</v>
      </c>
      <c r="AR740" s="4" t="s">
        <v>7910</v>
      </c>
      <c r="AS740" s="8" t="s">
        <v>7626</v>
      </c>
      <c r="AT740" s="8" t="s">
        <v>7627</v>
      </c>
      <c r="AU740" s="8" t="s">
        <v>7634</v>
      </c>
      <c r="AV740" s="8" t="s">
        <v>7635</v>
      </c>
      <c r="AW740" s="8" t="s">
        <v>7636</v>
      </c>
      <c r="AX740" s="4" t="s">
        <v>7637</v>
      </c>
      <c r="AY740" s="8" t="s">
        <v>7602</v>
      </c>
      <c r="AZ740" s="4" t="s">
        <v>7603</v>
      </c>
      <c r="BA740" s="8" t="n">
        <v>2400</v>
      </c>
      <c r="BB740" s="8" t="s">
        <v>7659</v>
      </c>
      <c r="BC740" s="4" t="s">
        <v>7619</v>
      </c>
      <c r="BD740" s="8" t="s">
        <v>7605</v>
      </c>
      <c r="BE740" s="4" t="s">
        <v>7606</v>
      </c>
      <c r="BF740" s="8" t="s">
        <v>7607</v>
      </c>
      <c r="BG740" s="8" t="s">
        <v>7602</v>
      </c>
      <c r="BH740" s="4" t="s">
        <v>7667</v>
      </c>
      <c r="BI740" s="8" t="n">
        <v>10</v>
      </c>
      <c r="BJ740" s="8" t="s">
        <v>7610</v>
      </c>
      <c r="BK740" s="4" t="s">
        <v>7611</v>
      </c>
      <c r="BL740" s="8" t="s">
        <v>7602</v>
      </c>
      <c r="BM740" s="4" t="s">
        <v>7620</v>
      </c>
      <c r="BN740" s="8" t="s">
        <v>7676</v>
      </c>
      <c r="BO740" s="8" t="s">
        <v>7778</v>
      </c>
      <c r="BP740" s="8" t="s">
        <v>7602</v>
      </c>
      <c r="BQ740" s="8" t="str">
        <f aca="false">IF(A740="","",AT740)</f>
        <v>3歳以上</v>
      </c>
      <c r="BR740" s="8" t="str">
        <f aca="false">IF(A740="","",IF(BA740&lt;=1200,"～1200",IF(BA740&lt;=1500,"1300～1500",IF(BA740=1600,"1600",IF(BA740&lt;=1800,"1700～1800",IF(BA740&lt;=2000,"1900～2000","2100以上"))))))</f>
        <v>2100以上</v>
      </c>
      <c r="BS740" s="8" t="str">
        <f aca="false">IF(A740="","",IF(AX740="G1","G1",IF(AX740="G2","G2",IF(AX740="G3","G3",IF(AX740="L","L","その他")))))</f>
        <v>その他</v>
      </c>
      <c r="BT740" s="8" t="str">
        <f aca="false">IF(A740="","",IF(BI740="","未結合",IF(D740=BI740,"一致","不一致")))</f>
        <v>一致</v>
      </c>
      <c r="BU740" s="8" t="str">
        <f aca="false">IF(A740="","",IF(BE740="牝馬限定","牝馬限定","その他"))</f>
        <v>その他</v>
      </c>
    </row>
    <row r="741" customFormat="false" ht="15.75" hidden="false" customHeight="false" outlineLevel="0" collapsed="false">
      <c r="A741" s="6" t="n">
        <v>46193</v>
      </c>
      <c r="B741" s="4" t="s">
        <v>4473</v>
      </c>
      <c r="C741" s="8" t="n">
        <v>10</v>
      </c>
      <c r="D741" s="8" t="n">
        <v>14</v>
      </c>
      <c r="E741" s="8" t="n">
        <v>7</v>
      </c>
      <c r="F741" s="8"/>
      <c r="G741" s="8" t="n">
        <v>67</v>
      </c>
      <c r="H741" s="8" t="n">
        <v>8</v>
      </c>
      <c r="I741" s="8"/>
      <c r="J741" s="8" t="n">
        <v>50</v>
      </c>
      <c r="K741" s="8" t="n">
        <v>3</v>
      </c>
      <c r="L741" s="8"/>
      <c r="M741" s="8" t="n">
        <v>39</v>
      </c>
      <c r="N741" s="8" t="n">
        <f aca="false">IF(A741="","",G741-J741)</f>
        <v>17</v>
      </c>
      <c r="O741" s="8" t="n">
        <f aca="false">IF(A741="","",J741-M741)</f>
        <v>11</v>
      </c>
      <c r="P741" s="8" t="n">
        <f aca="false">IF(A741="","",G741+J741)</f>
        <v>117</v>
      </c>
      <c r="Q741" s="8" t="str">
        <f aca="false">IF(A741="","",IF(AND(Y741&lt;&gt;"参考",G741&gt;=ルール設定!$B$2),"○",""))</f>
        <v/>
      </c>
      <c r="R741" s="8" t="str">
        <f aca="false">IF(A741="","",IF(AND(Y741&lt;&gt;"参考",G741&gt;=ルール設定!$B$3,N741&gt;=ルール設定!$B$4),"○",""))</f>
        <v/>
      </c>
      <c r="S741" s="8" t="str">
        <f aca="false">IF(A741="","",IF(AND(Y741&lt;&gt;"参考",G741&gt;=ルール設定!$B$5,J741&gt;=ルール設定!$B$6,O741&gt;=ルール設定!$B$7),"○",""))</f>
        <v/>
      </c>
      <c r="T741" s="8" t="n">
        <v>4</v>
      </c>
      <c r="U741" s="8" t="n">
        <v>4</v>
      </c>
      <c r="V741" s="8" t="str">
        <f aca="false">IF(A741="","",IF(AND(ISNUMBER(T741),ISNUMBER(U741)),IF(AND(T741&lt;=3,U741&lt;=3),"○","×"),""))</f>
        <v>×</v>
      </c>
      <c r="W741" s="8"/>
      <c r="X741" s="8"/>
      <c r="Y741" s="4" t="s">
        <v>7597</v>
      </c>
      <c r="Z741" s="4" t="s">
        <v>6501</v>
      </c>
      <c r="AA741" s="8" t="str">
        <v/>
      </c>
      <c r="AB741" s="8" t="str">
        <v/>
      </c>
      <c r="AC741" s="8" t="str">
        <v/>
      </c>
      <c r="AD741" s="8" t="str">
        <v/>
      </c>
      <c r="AE741" s="8" t="str">
        <v/>
      </c>
      <c r="AF741" s="8" t="str">
        <v/>
      </c>
      <c r="AG741" s="8" t="str">
        <v/>
      </c>
      <c r="AH741" s="8" t="str">
        <v/>
      </c>
      <c r="AI741" s="8" t="n">
        <v>28</v>
      </c>
      <c r="AJ741" s="8" t="str">
        <v>60～69</v>
      </c>
      <c r="AK741" s="8" t="str">
        <v>10～19</v>
      </c>
      <c r="AL741" s="8" t="str">
        <v>20～29</v>
      </c>
      <c r="AM741" s="8" t="str">
        <v>100～119</v>
      </c>
      <c r="AN741" s="8" t="str">
        <v>12～14</v>
      </c>
      <c r="AO741" s="8" t="str">
        <f aca="false">IF(A741="","",IF(COUNTIFS(全馬データ!$A$2:$A$50000,A741,全馬データ!$B$2:$B$50000,B741,全馬データ!$C$2:$C$50000,C741,全馬データ!$D$2:$D$50000,E741,全馬データ!$K$2:$K$50000,"&lt;&gt;")=0,"",SUMIFS(全馬データ!$K$2:$K$50000,全馬データ!$A$2:$A$50000,A741,全馬データ!$B$2:$B$50000,B741,全馬データ!$C$2:$C$50000,C741,全馬データ!$D$2:$D$50000,E741)))</f>
        <v/>
      </c>
      <c r="AP741" s="8" t="str">
        <f aca="false">IF(A741="","",IF(AO741="","欠損",IF(AO741&lt;=1.1,"1.0～1.1",IF(AO741&lt;1.3,"1.2",IF(AO741&lt;1.5,"1.3～1.4",IF(AO741&lt;2,"1.5～1.9","2.0以上"))))))</f>
        <v>欠損</v>
      </c>
      <c r="AQ741" s="8" t="str">
        <f aca="false">IF(A741="","",IF(ISNUMBER(SEARCH("2歳",Z741)),"2歳戦",IF(ISNUMBER(SEARCH("3歳未勝利",Z741)),"3歳未勝利",IF(ISNUMBER(SEARCH("未勝利",Z741)),"その他未勝利",IF(ISNUMBER(SEARCH("G1",Z741)),"G1",IF(ISNUMBER(SEARCH("G2",Z741)),"G2",IF(ISNUMBER(SEARCH("G3",Z741)),"G3",IF(ISNUMBER(SEARCH("古馬条件",Z741)),"古馬条件戦",IF(ISNUMBER(SEARCH("重賞",Z741)),"重賞","分類不能")))))))))</f>
        <v>分類不能</v>
      </c>
      <c r="AR741" s="4" t="s">
        <v>7911</v>
      </c>
      <c r="AS741" s="8" t="s">
        <v>7626</v>
      </c>
      <c r="AT741" s="8" t="s">
        <v>7627</v>
      </c>
      <c r="AU741" s="8" t="s">
        <v>7634</v>
      </c>
      <c r="AV741" s="8" t="s">
        <v>7635</v>
      </c>
      <c r="AW741" s="8" t="s">
        <v>7636</v>
      </c>
      <c r="AX741" s="4" t="s">
        <v>7637</v>
      </c>
      <c r="AY741" s="8" t="s">
        <v>7602</v>
      </c>
      <c r="AZ741" s="4" t="s">
        <v>7603</v>
      </c>
      <c r="BA741" s="8" t="n">
        <v>1400</v>
      </c>
      <c r="BB741" s="8" t="s">
        <v>7659</v>
      </c>
      <c r="BC741" s="4" t="s">
        <v>7619</v>
      </c>
      <c r="BD741" s="8" t="s">
        <v>7605</v>
      </c>
      <c r="BE741" s="4" t="s">
        <v>7606</v>
      </c>
      <c r="BF741" s="8" t="s">
        <v>7607</v>
      </c>
      <c r="BG741" s="8" t="s">
        <v>7631</v>
      </c>
      <c r="BH741" s="4" t="s">
        <v>7632</v>
      </c>
      <c r="BI741" s="8" t="n">
        <v>14</v>
      </c>
      <c r="BJ741" s="8" t="s">
        <v>7610</v>
      </c>
      <c r="BK741" s="4" t="s">
        <v>7611</v>
      </c>
      <c r="BL741" s="8" t="s">
        <v>7602</v>
      </c>
      <c r="BM741" s="4" t="s">
        <v>7620</v>
      </c>
      <c r="BN741" s="8" t="s">
        <v>7676</v>
      </c>
      <c r="BO741" s="8" t="s">
        <v>7778</v>
      </c>
      <c r="BP741" s="8" t="s">
        <v>7602</v>
      </c>
      <c r="BQ741" s="8" t="str">
        <f aca="false">IF(A741="","",AT741)</f>
        <v>3歳以上</v>
      </c>
      <c r="BR741" s="8" t="str">
        <f aca="false">IF(A741="","",IF(BA741&lt;=1200,"～1200",IF(BA741&lt;=1500,"1300～1500",IF(BA741=1600,"1600",IF(BA741&lt;=1800,"1700～1800",IF(BA741&lt;=2000,"1900～2000","2100以上"))))))</f>
        <v>1300～1500</v>
      </c>
      <c r="BS741" s="8" t="str">
        <f aca="false">IF(A741="","",IF(AX741="G1","G1",IF(AX741="G2","G2",IF(AX741="G3","G3",IF(AX741="L","L","その他")))))</f>
        <v>その他</v>
      </c>
      <c r="BT741" s="8" t="str">
        <f aca="false">IF(A741="","",IF(BI741="","未結合",IF(D741=BI741,"一致","不一致")))</f>
        <v>一致</v>
      </c>
      <c r="BU741" s="8" t="str">
        <f aca="false">IF(A741="","",IF(BE741="牝馬限定","牝馬限定","その他"))</f>
        <v>その他</v>
      </c>
    </row>
    <row r="742" customFormat="false" ht="29.1" hidden="false" customHeight="false" outlineLevel="0" collapsed="false">
      <c r="A742" s="6" t="n">
        <v>46193</v>
      </c>
      <c r="B742" s="4" t="s">
        <v>4473</v>
      </c>
      <c r="C742" s="8" t="n">
        <v>11</v>
      </c>
      <c r="D742" s="8" t="n">
        <v>15</v>
      </c>
      <c r="E742" s="8" t="n">
        <v>13</v>
      </c>
      <c r="F742" s="8"/>
      <c r="G742" s="8" t="n">
        <v>52</v>
      </c>
      <c r="H742" s="8" t="n">
        <v>6</v>
      </c>
      <c r="I742" s="8"/>
      <c r="J742" s="8" t="n">
        <v>50</v>
      </c>
      <c r="K742" s="8" t="n">
        <v>2</v>
      </c>
      <c r="L742" s="8"/>
      <c r="M742" s="8" t="n">
        <v>34</v>
      </c>
      <c r="N742" s="8" t="n">
        <f aca="false">IF(A742="","",G742-J742)</f>
        <v>2</v>
      </c>
      <c r="O742" s="8" t="n">
        <f aca="false">IF(A742="","",J742-M742)</f>
        <v>16</v>
      </c>
      <c r="P742" s="8" t="n">
        <f aca="false">IF(A742="","",G742+J742)</f>
        <v>102</v>
      </c>
      <c r="Q742" s="8" t="str">
        <f aca="false">IF(A742="","",IF(AND(Y742&lt;&gt;"参考",G742&gt;=ルール設定!$B$2),"○",""))</f>
        <v/>
      </c>
      <c r="R742" s="8" t="str">
        <f aca="false">IF(A742="","",IF(AND(Y742&lt;&gt;"参考",G742&gt;=ルール設定!$B$3,N742&gt;=ルール設定!$B$4),"○",""))</f>
        <v/>
      </c>
      <c r="S742" s="8" t="str">
        <f aca="false">IF(A742="","",IF(AND(Y742&lt;&gt;"参考",G742&gt;=ルール設定!$B$5,J742&gt;=ルール設定!$B$6,O742&gt;=ルール設定!$B$7),"○",""))</f>
        <v/>
      </c>
      <c r="T742" s="8" t="n">
        <v>4</v>
      </c>
      <c r="U742" s="8" t="n">
        <v>4</v>
      </c>
      <c r="V742" s="8" t="str">
        <f aca="false">IF(A742="","",IF(AND(ISNUMBER(T742),ISNUMBER(U742)),IF(AND(T742&lt;=3,U742&lt;=3),"○","×"),""))</f>
        <v>×</v>
      </c>
      <c r="W742" s="8"/>
      <c r="X742" s="8"/>
      <c r="Y742" s="4" t="s">
        <v>7597</v>
      </c>
      <c r="Z742" s="9" t="s">
        <v>7907</v>
      </c>
      <c r="AA742" s="8" t="str">
        <v/>
      </c>
      <c r="AB742" s="8" t="str">
        <v/>
      </c>
      <c r="AC742" s="8" t="str">
        <v/>
      </c>
      <c r="AD742" s="8" t="str">
        <v/>
      </c>
      <c r="AE742" s="8" t="str">
        <v/>
      </c>
      <c r="AF742" s="8" t="str">
        <v/>
      </c>
      <c r="AG742" s="8" t="str">
        <v/>
      </c>
      <c r="AH742" s="8" t="str">
        <v/>
      </c>
      <c r="AI742" s="8" t="n">
        <v>18</v>
      </c>
      <c r="AJ742" s="8" t="str">
        <v>～59</v>
      </c>
      <c r="AK742" s="8" t="str">
        <v>0～4</v>
      </c>
      <c r="AL742" s="8" t="str">
        <v>10～19</v>
      </c>
      <c r="AM742" s="8" t="str">
        <v>100～119</v>
      </c>
      <c r="AN742" s="8" t="str">
        <v>15以上</v>
      </c>
      <c r="AO742" s="8" t="str">
        <f aca="false">IF(A742="","",IF(COUNTIFS(全馬データ!$A$2:$A$50000,A742,全馬データ!$B$2:$B$50000,B742,全馬データ!$C$2:$C$50000,C742,全馬データ!$D$2:$D$50000,E742,全馬データ!$K$2:$K$50000,"&lt;&gt;")=0,"",SUMIFS(全馬データ!$K$2:$K$50000,全馬データ!$A$2:$A$50000,A742,全馬データ!$B$2:$B$50000,B742,全馬データ!$C$2:$C$50000,C742,全馬データ!$D$2:$D$50000,E742)))</f>
        <v/>
      </c>
      <c r="AP742" s="8" t="str">
        <f aca="false">IF(A742="","",IF(AO742="","欠損",IF(AO742&lt;=1.1,"1.0～1.1",IF(AO742&lt;1.3,"1.2",IF(AO742&lt;1.5,"1.3～1.4",IF(AO742&lt;2,"1.5～1.9","2.0以上"))))))</f>
        <v>欠損</v>
      </c>
      <c r="AQ742" s="8" t="str">
        <f aca="false">IF(A742="","",IF(ISNUMBER(SEARCH("2歳",Z742)),"2歳戦",IF(ISNUMBER(SEARCH("3歳未勝利",Z742)),"3歳未勝利",IF(ISNUMBER(SEARCH("未勝利",Z742)),"その他未勝利",IF(ISNUMBER(SEARCH("G1",Z742)),"G1",IF(ISNUMBER(SEARCH("G2",Z742)),"G2",IF(ISNUMBER(SEARCH("G3",Z742)),"G3",IF(ISNUMBER(SEARCH("古馬条件",Z742)),"古馬条件戦",IF(ISNUMBER(SEARCH("重賞",Z742)),"重賞","分類不能")))))))))</f>
        <v>分類不能</v>
      </c>
      <c r="AR742" s="4" t="s">
        <v>7912</v>
      </c>
      <c r="AS742" s="8" t="s">
        <v>7626</v>
      </c>
      <c r="AT742" s="8" t="s">
        <v>7627</v>
      </c>
      <c r="AU742" s="8" t="s">
        <v>7643</v>
      </c>
      <c r="AV742" s="4" t="s">
        <v>7644</v>
      </c>
      <c r="AW742" s="8" t="s">
        <v>7636</v>
      </c>
      <c r="AX742" s="4" t="s">
        <v>7637</v>
      </c>
      <c r="AY742" s="8" t="s">
        <v>7610</v>
      </c>
      <c r="AZ742" s="4" t="s">
        <v>7617</v>
      </c>
      <c r="BA742" s="8" t="n">
        <v>2100</v>
      </c>
      <c r="BB742" s="8" t="s">
        <v>7669</v>
      </c>
      <c r="BC742" s="4" t="s">
        <v>7662</v>
      </c>
      <c r="BD742" s="8" t="s">
        <v>7666</v>
      </c>
      <c r="BE742" s="4" t="s">
        <v>7606</v>
      </c>
      <c r="BF742" s="8" t="s">
        <v>7607</v>
      </c>
      <c r="BG742" s="8" t="s">
        <v>7610</v>
      </c>
      <c r="BH742" s="4" t="s">
        <v>7646</v>
      </c>
      <c r="BI742" s="8" t="n">
        <v>15</v>
      </c>
      <c r="BJ742" s="8" t="s">
        <v>7610</v>
      </c>
      <c r="BK742" s="4" t="s">
        <v>7611</v>
      </c>
      <c r="BL742" s="8" t="s">
        <v>7602</v>
      </c>
      <c r="BM742" s="4" t="s">
        <v>7620</v>
      </c>
      <c r="BN742" s="8"/>
      <c r="BO742" s="8"/>
      <c r="BP742" s="8" t="s">
        <v>7602</v>
      </c>
      <c r="BQ742" s="8" t="str">
        <f aca="false">IF(A742="","",AT742)</f>
        <v>3歳以上</v>
      </c>
      <c r="BR742" s="8" t="str">
        <f aca="false">IF(A742="","",IF(BA742&lt;=1200,"～1200",IF(BA742&lt;=1500,"1300～1500",IF(BA742=1600,"1600",IF(BA742&lt;=1800,"1700～1800",IF(BA742&lt;=2000,"1900～2000","2100以上"))))))</f>
        <v>2100以上</v>
      </c>
      <c r="BS742" s="8" t="str">
        <f aca="false">IF(A742="","",IF(AX742="G1","G1",IF(AX742="G2","G2",IF(AX742="G3","G3",IF(AX742="L","L","その他")))))</f>
        <v>その他</v>
      </c>
      <c r="BT742" s="8" t="str">
        <f aca="false">IF(A742="","",IF(BI742="","未結合",IF(D742=BI742,"一致","不一致")))</f>
        <v>一致</v>
      </c>
      <c r="BU742" s="8" t="str">
        <f aca="false">IF(A742="","",IF(BE742="牝馬限定","牝馬限定","その他"))</f>
        <v>その他</v>
      </c>
    </row>
    <row r="743" customFormat="false" ht="29.1" hidden="false" customHeight="false" outlineLevel="0" collapsed="false">
      <c r="A743" s="6" t="n">
        <v>46193</v>
      </c>
      <c r="B743" s="4" t="s">
        <v>4473</v>
      </c>
      <c r="C743" s="8" t="n">
        <v>12</v>
      </c>
      <c r="D743" s="8" t="n">
        <v>16</v>
      </c>
      <c r="E743" s="8" t="n">
        <v>5</v>
      </c>
      <c r="F743" s="8"/>
      <c r="G743" s="8" t="n">
        <v>47</v>
      </c>
      <c r="H743" s="8" t="n">
        <v>10</v>
      </c>
      <c r="I743" s="8"/>
      <c r="J743" s="8" t="n">
        <v>44</v>
      </c>
      <c r="K743" s="8" t="n">
        <v>12</v>
      </c>
      <c r="L743" s="8"/>
      <c r="M743" s="8" t="n">
        <v>41</v>
      </c>
      <c r="N743" s="8" t="n">
        <f aca="false">IF(A743="","",G743-J743)</f>
        <v>3</v>
      </c>
      <c r="O743" s="8" t="n">
        <f aca="false">IF(A743="","",J743-M743)</f>
        <v>3</v>
      </c>
      <c r="P743" s="8" t="n">
        <f aca="false">IF(A743="","",G743+J743)</f>
        <v>91</v>
      </c>
      <c r="Q743" s="8" t="str">
        <f aca="false">IF(A743="","",IF(AND(Y743&lt;&gt;"参考",G743&gt;=ルール設定!$B$2),"○",""))</f>
        <v/>
      </c>
      <c r="R743" s="8" t="str">
        <f aca="false">IF(A743="","",IF(AND(Y743&lt;&gt;"参考",G743&gt;=ルール設定!$B$3,N743&gt;=ルール設定!$B$4),"○",""))</f>
        <v/>
      </c>
      <c r="S743" s="8" t="str">
        <f aca="false">IF(A743="","",IF(AND(Y743&lt;&gt;"参考",G743&gt;=ルール設定!$B$5,J743&gt;=ルール設定!$B$6,O743&gt;=ルール設定!$B$7),"○",""))</f>
        <v/>
      </c>
      <c r="T743" s="8" t="n">
        <v>4</v>
      </c>
      <c r="U743" s="8" t="n">
        <v>4</v>
      </c>
      <c r="V743" s="8" t="str">
        <f aca="false">IF(A743="","",IF(AND(ISNUMBER(T743),ISNUMBER(U743)),IF(AND(T743&lt;=3,U743&lt;=3),"○","×"),""))</f>
        <v>×</v>
      </c>
      <c r="W743" s="8"/>
      <c r="X743" s="8"/>
      <c r="Y743" s="4" t="s">
        <v>7597</v>
      </c>
      <c r="Z743" s="9" t="s">
        <v>7907</v>
      </c>
      <c r="AA743" s="8" t="str">
        <v/>
      </c>
      <c r="AB743" s="8" t="str">
        <v/>
      </c>
      <c r="AC743" s="8" t="str">
        <v/>
      </c>
      <c r="AD743" s="8" t="str">
        <v/>
      </c>
      <c r="AE743" s="8" t="str">
        <v/>
      </c>
      <c r="AF743" s="8" t="str">
        <v/>
      </c>
      <c r="AG743" s="8" t="str">
        <v/>
      </c>
      <c r="AH743" s="8" t="str">
        <v/>
      </c>
      <c r="AI743" s="8" t="n">
        <v>6</v>
      </c>
      <c r="AJ743" s="8" t="str">
        <v>～59</v>
      </c>
      <c r="AK743" s="8" t="str">
        <v>0～4</v>
      </c>
      <c r="AL743" s="8" t="str">
        <v>0～9</v>
      </c>
      <c r="AM743" s="8" t="str">
        <v>～99</v>
      </c>
      <c r="AN743" s="8" t="str">
        <v>15以上</v>
      </c>
      <c r="AO743" s="8" t="str">
        <f aca="false">IF(A743="","",IF(COUNTIFS(全馬データ!$A$2:$A$50000,A743,全馬データ!$B$2:$B$50000,B743,全馬データ!$C$2:$C$50000,C743,全馬データ!$D$2:$D$50000,E743,全馬データ!$K$2:$K$50000,"&lt;&gt;")=0,"",SUMIFS(全馬データ!$K$2:$K$50000,全馬データ!$A$2:$A$50000,A743,全馬データ!$B$2:$B$50000,B743,全馬データ!$C$2:$C$50000,C743,全馬データ!$D$2:$D$50000,E743)))</f>
        <v/>
      </c>
      <c r="AP743" s="8" t="str">
        <f aca="false">IF(A743="","",IF(AO743="","欠損",IF(AO743&lt;=1.1,"1.0～1.1",IF(AO743&lt;1.3,"1.2",IF(AO743&lt;1.5,"1.3～1.4",IF(AO743&lt;2,"1.5～1.9","2.0以上"))))))</f>
        <v>欠損</v>
      </c>
      <c r="AQ743" s="8" t="str">
        <f aca="false">IF(A743="","",IF(ISNUMBER(SEARCH("2歳",Z743)),"2歳戦",IF(ISNUMBER(SEARCH("3歳未勝利",Z743)),"3歳未勝利",IF(ISNUMBER(SEARCH("未勝利",Z743)),"その他未勝利",IF(ISNUMBER(SEARCH("G1",Z743)),"G1",IF(ISNUMBER(SEARCH("G2",Z743)),"G2",IF(ISNUMBER(SEARCH("G3",Z743)),"G3",IF(ISNUMBER(SEARCH("古馬条件",Z743)),"古馬条件戦",IF(ISNUMBER(SEARCH("重賞",Z743)),"重賞","分類不能")))))))))</f>
        <v>分類不能</v>
      </c>
      <c r="AR743" s="8"/>
      <c r="AS743" s="8" t="s">
        <v>7626</v>
      </c>
      <c r="AT743" s="8" t="s">
        <v>7627</v>
      </c>
      <c r="AU743" s="8" t="s">
        <v>7628</v>
      </c>
      <c r="AV743" s="8" t="s">
        <v>7629</v>
      </c>
      <c r="AW743" s="8"/>
      <c r="AX743" s="8"/>
      <c r="AY743" s="8" t="s">
        <v>7610</v>
      </c>
      <c r="AZ743" s="4" t="s">
        <v>7617</v>
      </c>
      <c r="BA743" s="8" t="n">
        <v>1600</v>
      </c>
      <c r="BB743" s="8" t="s">
        <v>7669</v>
      </c>
      <c r="BC743" s="4" t="s">
        <v>7662</v>
      </c>
      <c r="BD743" s="8" t="s">
        <v>7605</v>
      </c>
      <c r="BE743" s="4" t="s">
        <v>7606</v>
      </c>
      <c r="BF743" s="8" t="s">
        <v>7607</v>
      </c>
      <c r="BG743" s="8" t="s">
        <v>7631</v>
      </c>
      <c r="BH743" s="4" t="s">
        <v>7632</v>
      </c>
      <c r="BI743" s="8" t="n">
        <v>16</v>
      </c>
      <c r="BJ743" s="8" t="s">
        <v>7610</v>
      </c>
      <c r="BK743" s="4" t="s">
        <v>7611</v>
      </c>
      <c r="BL743" s="8" t="s">
        <v>7602</v>
      </c>
      <c r="BM743" s="4" t="s">
        <v>7620</v>
      </c>
      <c r="BN743" s="8"/>
      <c r="BO743" s="8"/>
      <c r="BP743" s="8" t="s">
        <v>7602</v>
      </c>
      <c r="BQ743" s="8" t="str">
        <f aca="false">IF(A743="","",AT743)</f>
        <v>3歳以上</v>
      </c>
      <c r="BR743" s="8" t="str">
        <f aca="false">IF(A743="","",IF(BA743&lt;=1200,"～1200",IF(BA743&lt;=1500,"1300～1500",IF(BA743=1600,"1600",IF(BA743&lt;=1800,"1700～1800",IF(BA743&lt;=2000,"1900～2000","2100以上"))))))</f>
        <v>1600</v>
      </c>
      <c r="BS743" s="8" t="str">
        <f aca="false">IF(A743="","",IF(AX743="G1","G1",IF(AX743="G2","G2",IF(AX743="G3","G3",IF(AX743="L","L","その他")))))</f>
        <v>その他</v>
      </c>
      <c r="BT743" s="8" t="str">
        <f aca="false">IF(A743="","",IF(BI743="","未結合",IF(D743=BI743,"一致","不一致")))</f>
        <v>一致</v>
      </c>
      <c r="BU743" s="8" t="str">
        <f aca="false">IF(A743="","",IF(BE743="牝馬限定","牝馬限定","その他"))</f>
        <v>その他</v>
      </c>
    </row>
    <row r="744" customFormat="false" ht="29.1" hidden="false" customHeight="false" outlineLevel="0" collapsed="false">
      <c r="A744" s="6" t="n">
        <v>46193</v>
      </c>
      <c r="B744" s="4" t="s">
        <v>4172</v>
      </c>
      <c r="C744" s="8" t="n">
        <v>2</v>
      </c>
      <c r="D744" s="8" t="n">
        <v>16</v>
      </c>
      <c r="E744" s="8" t="n">
        <v>12</v>
      </c>
      <c r="F744" s="8"/>
      <c r="G744" s="8" t="n">
        <v>66</v>
      </c>
      <c r="H744" s="8" t="n">
        <v>11</v>
      </c>
      <c r="I744" s="8"/>
      <c r="J744" s="8" t="n">
        <v>47</v>
      </c>
      <c r="K744" s="8" t="n">
        <v>2</v>
      </c>
      <c r="L744" s="8"/>
      <c r="M744" s="8" t="n">
        <v>39</v>
      </c>
      <c r="N744" s="8" t="n">
        <f aca="false">IF(A744="","",G744-J744)</f>
        <v>19</v>
      </c>
      <c r="O744" s="8" t="n">
        <f aca="false">IF(A744="","",J744-M744)</f>
        <v>8</v>
      </c>
      <c r="P744" s="8" t="n">
        <f aca="false">IF(A744="","",G744+J744)</f>
        <v>113</v>
      </c>
      <c r="Q744" s="8" t="str">
        <f aca="false">IF(A744="","",IF(AND(Y744&lt;&gt;"参考",G744&gt;=ルール設定!$B$2),"○",""))</f>
        <v/>
      </c>
      <c r="R744" s="8" t="str">
        <f aca="false">IF(A744="","",IF(AND(Y744&lt;&gt;"参考",G744&gt;=ルール設定!$B$3,N744&gt;=ルール設定!$B$4),"○",""))</f>
        <v/>
      </c>
      <c r="S744" s="8" t="str">
        <f aca="false">IF(A744="","",IF(AND(Y744&lt;&gt;"参考",G744&gt;=ルール設定!$B$5,J744&gt;=ルール設定!$B$6,O744&gt;=ルール設定!$B$7),"○",""))</f>
        <v/>
      </c>
      <c r="T744" s="8" t="n">
        <v>1</v>
      </c>
      <c r="U744" s="8" t="n">
        <v>4</v>
      </c>
      <c r="V744" s="8" t="str">
        <f aca="false">IF(A744="","",IF(AND(ISNUMBER(T744),ISNUMBER(U744)),IF(AND(T744&lt;=3,U744&lt;=3),"○","×"),""))</f>
        <v>×</v>
      </c>
      <c r="W744" s="8" t="n">
        <v>110</v>
      </c>
      <c r="X744" s="8"/>
      <c r="Y744" s="4" t="s">
        <v>7597</v>
      </c>
      <c r="Z744" s="9" t="s">
        <v>7907</v>
      </c>
      <c r="AA744" s="8" t="str">
        <v/>
      </c>
      <c r="AB744" s="8" t="str">
        <v/>
      </c>
      <c r="AC744" s="8" t="str">
        <v/>
      </c>
      <c r="AD744" s="8" t="str">
        <v/>
      </c>
      <c r="AE744" s="8" t="str">
        <v/>
      </c>
      <c r="AF744" s="8" t="str">
        <v/>
      </c>
      <c r="AG744" s="8" t="str">
        <v/>
      </c>
      <c r="AH744" s="8" t="str">
        <v/>
      </c>
      <c r="AI744" s="8" t="n">
        <v>27</v>
      </c>
      <c r="AJ744" s="8" t="str">
        <v>60～69</v>
      </c>
      <c r="AK744" s="8" t="str">
        <v>10～19</v>
      </c>
      <c r="AL744" s="8" t="str">
        <v>20～29</v>
      </c>
      <c r="AM744" s="8" t="str">
        <v>100～119</v>
      </c>
      <c r="AN744" s="8" t="str">
        <v>15以上</v>
      </c>
      <c r="AO744" s="8" t="str">
        <f aca="false">IF(A744="","",IF(COUNTIFS(全馬データ!$A$2:$A$50000,A744,全馬データ!$B$2:$B$50000,B744,全馬データ!$C$2:$C$50000,C744,全馬データ!$D$2:$D$50000,E744,全馬データ!$K$2:$K$50000,"&lt;&gt;")=0,"",SUMIFS(全馬データ!$K$2:$K$50000,全馬データ!$A$2:$A$50000,A744,全馬データ!$B$2:$B$50000,B744,全馬データ!$C$2:$C$50000,C744,全馬データ!$D$2:$D$50000,E744)))</f>
        <v/>
      </c>
      <c r="AP744" s="8" t="str">
        <f aca="false">IF(A744="","",IF(AO744="","欠損",IF(AO744&lt;=1.1,"1.0～1.1",IF(AO744&lt;1.3,"1.2",IF(AO744&lt;1.5,"1.3～1.4",IF(AO744&lt;2,"1.5～1.9","2.0以上"))))))</f>
        <v>欠損</v>
      </c>
      <c r="AQ744" s="8" t="str">
        <f aca="false">IF(A744="","",IF(ISNUMBER(SEARCH("2歳",Z744)),"2歳戦",IF(ISNUMBER(SEARCH("3歳未勝利",Z744)),"3歳未勝利",IF(ISNUMBER(SEARCH("未勝利",Z744)),"その他未勝利",IF(ISNUMBER(SEARCH("G1",Z744)),"G1",IF(ISNUMBER(SEARCH("G2",Z744)),"G2",IF(ISNUMBER(SEARCH("G3",Z744)),"G3",IF(ISNUMBER(SEARCH("古馬条件",Z744)),"古馬条件戦",IF(ISNUMBER(SEARCH("重賞",Z744)),"重賞","分類不能")))))))))</f>
        <v>分類不能</v>
      </c>
      <c r="AR744" s="8"/>
      <c r="AS744" s="8" t="s">
        <v>7623</v>
      </c>
      <c r="AT744" s="8" t="s">
        <v>7624</v>
      </c>
      <c r="AU744" s="8" t="s">
        <v>7600</v>
      </c>
      <c r="AV744" s="4" t="s">
        <v>7601</v>
      </c>
      <c r="AW744" s="8"/>
      <c r="AX744" s="8"/>
      <c r="AY744" s="8" t="s">
        <v>7610</v>
      </c>
      <c r="AZ744" s="4" t="s">
        <v>7617</v>
      </c>
      <c r="BA744" s="8" t="n">
        <v>1200</v>
      </c>
      <c r="BB744" s="8" t="s">
        <v>7618</v>
      </c>
      <c r="BC744" s="4" t="s">
        <v>7619</v>
      </c>
      <c r="BD744" s="8" t="s">
        <v>7625</v>
      </c>
      <c r="BE744" s="4" t="s">
        <v>7606</v>
      </c>
      <c r="BF744" s="8" t="s">
        <v>7607</v>
      </c>
      <c r="BG744" s="8" t="s">
        <v>7608</v>
      </c>
      <c r="BH744" s="4" t="s">
        <v>7609</v>
      </c>
      <c r="BI744" s="8" t="n">
        <v>16</v>
      </c>
      <c r="BJ744" s="8" t="s">
        <v>7602</v>
      </c>
      <c r="BK744" s="4" t="s">
        <v>7653</v>
      </c>
      <c r="BL744" s="8" t="s">
        <v>7602</v>
      </c>
      <c r="BM744" s="4" t="s">
        <v>7620</v>
      </c>
      <c r="BN744" s="8"/>
      <c r="BO744" s="8"/>
      <c r="BP744" s="8" t="s">
        <v>7610</v>
      </c>
      <c r="BQ744" s="8" t="str">
        <f aca="false">IF(A744="","",AT744)</f>
        <v>3歳</v>
      </c>
      <c r="BR744" s="8" t="str">
        <f aca="false">IF(A744="","",IF(BA744&lt;=1200,"～1200",IF(BA744&lt;=1500,"1300～1500",IF(BA744=1600,"1600",IF(BA744&lt;=1800,"1700～1800",IF(BA744&lt;=2000,"1900～2000","2100以上"))))))</f>
        <v>～1200</v>
      </c>
      <c r="BS744" s="8" t="str">
        <f aca="false">IF(A744="","",IF(AX744="G1","G1",IF(AX744="G2","G2",IF(AX744="G3","G3",IF(AX744="L","L","その他")))))</f>
        <v>その他</v>
      </c>
      <c r="BT744" s="8" t="str">
        <f aca="false">IF(A744="","",IF(BI744="","未結合",IF(D744=BI744,"一致","不一致")))</f>
        <v>一致</v>
      </c>
      <c r="BU744" s="8" t="str">
        <f aca="false">IF(A744="","",IF(BE744="牝馬限定","牝馬限定","その他"))</f>
        <v>その他</v>
      </c>
    </row>
    <row r="745" customFormat="false" ht="29.1" hidden="false" customHeight="false" outlineLevel="0" collapsed="false">
      <c r="A745" s="6" t="n">
        <v>46193</v>
      </c>
      <c r="B745" s="4" t="s">
        <v>4172</v>
      </c>
      <c r="C745" s="8" t="n">
        <v>3</v>
      </c>
      <c r="D745" s="8" t="n">
        <v>16</v>
      </c>
      <c r="E745" s="8" t="n">
        <v>9</v>
      </c>
      <c r="F745" s="8"/>
      <c r="G745" s="8" t="n">
        <v>65</v>
      </c>
      <c r="H745" s="8" t="n">
        <v>6</v>
      </c>
      <c r="I745" s="8"/>
      <c r="J745" s="8" t="n">
        <v>62</v>
      </c>
      <c r="K745" s="8" t="n">
        <v>1</v>
      </c>
      <c r="L745" s="8"/>
      <c r="M745" s="8" t="n">
        <v>37</v>
      </c>
      <c r="N745" s="8" t="n">
        <f aca="false">IF(A745="","",G745-J745)</f>
        <v>3</v>
      </c>
      <c r="O745" s="8" t="n">
        <f aca="false">IF(A745="","",J745-M745)</f>
        <v>25</v>
      </c>
      <c r="P745" s="8" t="n">
        <f aca="false">IF(A745="","",G745+J745)</f>
        <v>127</v>
      </c>
      <c r="Q745" s="8" t="str">
        <f aca="false">IF(A745="","",IF(AND(Y745&lt;&gt;"参考",G745&gt;=ルール設定!$B$2),"○",""))</f>
        <v/>
      </c>
      <c r="R745" s="8" t="str">
        <f aca="false">IF(A745="","",IF(AND(Y745&lt;&gt;"参考",G745&gt;=ルール設定!$B$3,N745&gt;=ルール設定!$B$4),"○",""))</f>
        <v/>
      </c>
      <c r="S745" s="8" t="str">
        <f aca="false">IF(A745="","",IF(AND(Y745&lt;&gt;"参考",G745&gt;=ルール設定!$B$5,J745&gt;=ルール設定!$B$6,O745&gt;=ルール設定!$B$7),"○",""))</f>
        <v>○</v>
      </c>
      <c r="T745" s="8" t="n">
        <v>4</v>
      </c>
      <c r="U745" s="8" t="n">
        <v>3</v>
      </c>
      <c r="V745" s="8" t="str">
        <f aca="false">IF(A745="","",IF(AND(ISNUMBER(T745),ISNUMBER(U745)),IF(AND(T745&lt;=3,U745&lt;=3),"○","×"),""))</f>
        <v>×</v>
      </c>
      <c r="W745" s="8"/>
      <c r="X745" s="8"/>
      <c r="Y745" s="4" t="s">
        <v>7597</v>
      </c>
      <c r="Z745" s="9" t="s">
        <v>7907</v>
      </c>
      <c r="AA745" s="8" t="str">
        <v/>
      </c>
      <c r="AB745" s="8" t="str">
        <v/>
      </c>
      <c r="AC745" s="8" t="str">
        <v/>
      </c>
      <c r="AD745" s="8" t="str">
        <v/>
      </c>
      <c r="AE745" s="8" t="str">
        <v/>
      </c>
      <c r="AF745" s="8" t="str">
        <v/>
      </c>
      <c r="AG745" s="8" t="str">
        <v/>
      </c>
      <c r="AH745" s="8" t="str">
        <v/>
      </c>
      <c r="AI745" s="8" t="n">
        <v>28</v>
      </c>
      <c r="AJ745" s="8" t="str">
        <v>60～69</v>
      </c>
      <c r="AK745" s="8" t="str">
        <v>0～4</v>
      </c>
      <c r="AL745" s="8" t="str">
        <v>20～29</v>
      </c>
      <c r="AM745" s="8" t="str">
        <v>120～139</v>
      </c>
      <c r="AN745" s="8" t="str">
        <v>15以上</v>
      </c>
      <c r="AO745" s="8" t="str">
        <f aca="false">IF(A745="","",IF(COUNTIFS(全馬データ!$A$2:$A$50000,A745,全馬データ!$B$2:$B$50000,B745,全馬データ!$C$2:$C$50000,C745,全馬データ!$D$2:$D$50000,E745,全馬データ!$K$2:$K$50000,"&lt;&gt;")=0,"",SUMIFS(全馬データ!$K$2:$K$50000,全馬データ!$A$2:$A$50000,A745,全馬データ!$B$2:$B$50000,B745,全馬データ!$C$2:$C$50000,C745,全馬データ!$D$2:$D$50000,E745)))</f>
        <v/>
      </c>
      <c r="AP745" s="8" t="str">
        <f aca="false">IF(A745="","",IF(AO745="","欠損",IF(AO745&lt;=1.1,"1.0～1.1",IF(AO745&lt;1.3,"1.2",IF(AO745&lt;1.5,"1.3～1.4",IF(AO745&lt;2,"1.5～1.9","2.0以上"))))))</f>
        <v>欠損</v>
      </c>
      <c r="AQ745" s="8" t="str">
        <f aca="false">IF(A745="","",IF(ISNUMBER(SEARCH("2歳",Z745)),"2歳戦",IF(ISNUMBER(SEARCH("3歳未勝利",Z745)),"3歳未勝利",IF(ISNUMBER(SEARCH("未勝利",Z745)),"その他未勝利",IF(ISNUMBER(SEARCH("G1",Z745)),"G1",IF(ISNUMBER(SEARCH("G2",Z745)),"G2",IF(ISNUMBER(SEARCH("G3",Z745)),"G3",IF(ISNUMBER(SEARCH("古馬条件",Z745)),"古馬条件戦",IF(ISNUMBER(SEARCH("重賞",Z745)),"重賞","分類不能")))))))))</f>
        <v>分類不能</v>
      </c>
      <c r="AR745" s="8"/>
      <c r="AS745" s="8" t="s">
        <v>7623</v>
      </c>
      <c r="AT745" s="8" t="s">
        <v>7624</v>
      </c>
      <c r="AU745" s="8" t="s">
        <v>7600</v>
      </c>
      <c r="AV745" s="4" t="s">
        <v>7601</v>
      </c>
      <c r="AW745" s="8"/>
      <c r="AX745" s="8"/>
      <c r="AY745" s="8" t="s">
        <v>7610</v>
      </c>
      <c r="AZ745" s="4" t="s">
        <v>7617</v>
      </c>
      <c r="BA745" s="8" t="n">
        <v>1800</v>
      </c>
      <c r="BB745" s="8" t="s">
        <v>7618</v>
      </c>
      <c r="BC745" s="4" t="s">
        <v>7619</v>
      </c>
      <c r="BD745" s="8" t="s">
        <v>7621</v>
      </c>
      <c r="BE745" s="4" t="s">
        <v>7622</v>
      </c>
      <c r="BF745" s="8" t="s">
        <v>7602</v>
      </c>
      <c r="BG745" s="8" t="s">
        <v>7608</v>
      </c>
      <c r="BH745" s="4" t="s">
        <v>7609</v>
      </c>
      <c r="BI745" s="8" t="n">
        <v>16</v>
      </c>
      <c r="BJ745" s="8" t="s">
        <v>7602</v>
      </c>
      <c r="BK745" s="4" t="s">
        <v>7653</v>
      </c>
      <c r="BL745" s="8" t="s">
        <v>7602</v>
      </c>
      <c r="BM745" s="4" t="s">
        <v>7620</v>
      </c>
      <c r="BN745" s="8"/>
      <c r="BO745" s="8"/>
      <c r="BP745" s="8" t="s">
        <v>7610</v>
      </c>
      <c r="BQ745" s="8" t="str">
        <f aca="false">IF(A745="","",AT745)</f>
        <v>3歳</v>
      </c>
      <c r="BR745" s="8" t="str">
        <f aca="false">IF(A745="","",IF(BA745&lt;=1200,"～1200",IF(BA745&lt;=1500,"1300～1500",IF(BA745=1600,"1600",IF(BA745&lt;=1800,"1700～1800",IF(BA745&lt;=2000,"1900～2000","2100以上"))))))</f>
        <v>1700～1800</v>
      </c>
      <c r="BS745" s="8" t="str">
        <f aca="false">IF(A745="","",IF(AX745="G1","G1",IF(AX745="G2","G2",IF(AX745="G3","G3",IF(AX745="L","L","その他")))))</f>
        <v>その他</v>
      </c>
      <c r="BT745" s="8" t="str">
        <f aca="false">IF(A745="","",IF(BI745="","未結合",IF(D745=BI745,"一致","不一致")))</f>
        <v>一致</v>
      </c>
      <c r="BU745" s="8" t="str">
        <f aca="false">IF(A745="","",IF(BE745="牝馬限定","牝馬限定","その他"))</f>
        <v>牝馬限定</v>
      </c>
    </row>
    <row r="746" customFormat="false" ht="15.75" hidden="false" customHeight="false" outlineLevel="0" collapsed="false">
      <c r="A746" s="6" t="n">
        <v>46193</v>
      </c>
      <c r="B746" s="4" t="s">
        <v>4172</v>
      </c>
      <c r="C746" s="8" t="n">
        <v>4</v>
      </c>
      <c r="D746" s="8" t="n">
        <v>16</v>
      </c>
      <c r="E746" s="8" t="n">
        <v>13</v>
      </c>
      <c r="F746" s="8"/>
      <c r="G746" s="8" t="n">
        <v>52</v>
      </c>
      <c r="H746" s="8" t="n">
        <v>6</v>
      </c>
      <c r="I746" s="8"/>
      <c r="J746" s="8" t="n">
        <v>39</v>
      </c>
      <c r="K746" s="8" t="n">
        <v>12</v>
      </c>
      <c r="L746" s="8"/>
      <c r="M746" s="8" t="n">
        <v>37</v>
      </c>
      <c r="N746" s="8" t="n">
        <f aca="false">IF(A746="","",G746-J746)</f>
        <v>13</v>
      </c>
      <c r="O746" s="8" t="n">
        <f aca="false">IF(A746="","",J746-M746)</f>
        <v>2</v>
      </c>
      <c r="P746" s="8" t="n">
        <f aca="false">IF(A746="","",G746+J746)</f>
        <v>91</v>
      </c>
      <c r="Q746" s="8" t="str">
        <f aca="false">IF(A746="","",IF(AND(Y746&lt;&gt;"参考",G746&gt;=ルール設定!$B$2),"○",""))</f>
        <v/>
      </c>
      <c r="R746" s="8" t="str">
        <f aca="false">IF(A746="","",IF(AND(Y746&lt;&gt;"参考",G746&gt;=ルール設定!$B$3,N746&gt;=ルール設定!$B$4),"○",""))</f>
        <v/>
      </c>
      <c r="S746" s="8" t="str">
        <f aca="false">IF(A746="","",IF(AND(Y746&lt;&gt;"参考",G746&gt;=ルール設定!$B$5,J746&gt;=ルール設定!$B$6,O746&gt;=ルール設定!$B$7),"○",""))</f>
        <v/>
      </c>
      <c r="T746" s="8" t="n">
        <v>2</v>
      </c>
      <c r="U746" s="8" t="n">
        <v>1</v>
      </c>
      <c r="V746" s="8" t="str">
        <f aca="false">IF(A746="","",IF(AND(ISNUMBER(T746),ISNUMBER(U746)),IF(AND(T746&lt;=3,U746&lt;=3),"○","×"),""))</f>
        <v>○</v>
      </c>
      <c r="W746" s="8" t="n">
        <v>130</v>
      </c>
      <c r="X746" s="8" t="n">
        <v>380</v>
      </c>
      <c r="Y746" s="4" t="s">
        <v>7597</v>
      </c>
      <c r="Z746" s="4" t="s">
        <v>6501</v>
      </c>
      <c r="AA746" s="8" t="str">
        <v/>
      </c>
      <c r="AB746" s="8" t="str">
        <v/>
      </c>
      <c r="AC746" s="8" t="str">
        <v/>
      </c>
      <c r="AD746" s="8" t="str">
        <v/>
      </c>
      <c r="AE746" s="8" t="str">
        <v/>
      </c>
      <c r="AF746" s="8" t="str">
        <v/>
      </c>
      <c r="AG746" s="8" t="str">
        <v/>
      </c>
      <c r="AH746" s="8" t="str">
        <v/>
      </c>
      <c r="AI746" s="8" t="n">
        <v>15</v>
      </c>
      <c r="AJ746" s="8" t="str">
        <v>～59</v>
      </c>
      <c r="AK746" s="8" t="str">
        <v>10～19</v>
      </c>
      <c r="AL746" s="8" t="str">
        <v>10～19</v>
      </c>
      <c r="AM746" s="8" t="str">
        <v>～99</v>
      </c>
      <c r="AN746" s="8" t="str">
        <v>15以上</v>
      </c>
      <c r="AO746" s="8" t="str">
        <f aca="false">IF(A746="","",IF(COUNTIFS(全馬データ!$A$2:$A$50000,A746,全馬データ!$B$2:$B$50000,B746,全馬データ!$C$2:$C$50000,C746,全馬データ!$D$2:$D$50000,E746,全馬データ!$K$2:$K$50000,"&lt;&gt;")=0,"",SUMIFS(全馬データ!$K$2:$K$50000,全馬データ!$A$2:$A$50000,A746,全馬データ!$B$2:$B$50000,B746,全馬データ!$C$2:$C$50000,C746,全馬データ!$D$2:$D$50000,E746)))</f>
        <v/>
      </c>
      <c r="AP746" s="8" t="str">
        <f aca="false">IF(A746="","",IF(AO746="","欠損",IF(AO746&lt;=1.1,"1.0～1.1",IF(AO746&lt;1.3,"1.2",IF(AO746&lt;1.5,"1.3～1.4",IF(AO746&lt;2,"1.5～1.9","2.0以上"))))))</f>
        <v>欠損</v>
      </c>
      <c r="AQ746" s="8" t="str">
        <f aca="false">IF(A746="","",IF(ISNUMBER(SEARCH("2歳",Z746)),"2歳戦",IF(ISNUMBER(SEARCH("3歳未勝利",Z746)),"3歳未勝利",IF(ISNUMBER(SEARCH("未勝利",Z746)),"その他未勝利",IF(ISNUMBER(SEARCH("G1",Z746)),"G1",IF(ISNUMBER(SEARCH("G2",Z746)),"G2",IF(ISNUMBER(SEARCH("G3",Z746)),"G3",IF(ISNUMBER(SEARCH("古馬条件",Z746)),"古馬条件戦",IF(ISNUMBER(SEARCH("重賞",Z746)),"重賞","分類不能")))))))))</f>
        <v>分類不能</v>
      </c>
      <c r="AR746" s="8"/>
      <c r="AS746" s="8" t="s">
        <v>7623</v>
      </c>
      <c r="AT746" s="8" t="s">
        <v>7624</v>
      </c>
      <c r="AU746" s="8" t="s">
        <v>7600</v>
      </c>
      <c r="AV746" s="4" t="s">
        <v>7601</v>
      </c>
      <c r="AW746" s="8"/>
      <c r="AX746" s="8"/>
      <c r="AY746" s="8" t="s">
        <v>7610</v>
      </c>
      <c r="AZ746" s="4" t="s">
        <v>7617</v>
      </c>
      <c r="BA746" s="8" t="n">
        <v>1800</v>
      </c>
      <c r="BB746" s="8" t="s">
        <v>7618</v>
      </c>
      <c r="BC746" s="4" t="s">
        <v>7619</v>
      </c>
      <c r="BD746" s="8" t="s">
        <v>7625</v>
      </c>
      <c r="BE746" s="4" t="s">
        <v>7606</v>
      </c>
      <c r="BF746" s="8" t="s">
        <v>7607</v>
      </c>
      <c r="BG746" s="8" t="s">
        <v>7608</v>
      </c>
      <c r="BH746" s="4" t="s">
        <v>7609</v>
      </c>
      <c r="BI746" s="8" t="n">
        <v>16</v>
      </c>
      <c r="BJ746" s="8" t="s">
        <v>7602</v>
      </c>
      <c r="BK746" s="4" t="s">
        <v>7653</v>
      </c>
      <c r="BL746" s="8" t="s">
        <v>7602</v>
      </c>
      <c r="BM746" s="4" t="s">
        <v>7620</v>
      </c>
      <c r="BN746" s="8"/>
      <c r="BO746" s="8"/>
      <c r="BP746" s="8" t="s">
        <v>7610</v>
      </c>
      <c r="BQ746" s="8" t="str">
        <f aca="false">IF(A746="","",AT746)</f>
        <v>3歳</v>
      </c>
      <c r="BR746" s="8" t="str">
        <f aca="false">IF(A746="","",IF(BA746&lt;=1200,"～1200",IF(BA746&lt;=1500,"1300～1500",IF(BA746=1600,"1600",IF(BA746&lt;=1800,"1700～1800",IF(BA746&lt;=2000,"1900～2000","2100以上"))))))</f>
        <v>1700～1800</v>
      </c>
      <c r="BS746" s="8" t="str">
        <f aca="false">IF(A746="","",IF(AX746="G1","G1",IF(AX746="G2","G2",IF(AX746="G3","G3",IF(AX746="L","L","その他")))))</f>
        <v>その他</v>
      </c>
      <c r="BT746" s="8" t="str">
        <f aca="false">IF(A746="","",IF(BI746="","未結合",IF(D746=BI746,"一致","不一致")))</f>
        <v>一致</v>
      </c>
      <c r="BU746" s="8" t="str">
        <f aca="false">IF(A746="","",IF(BE746="牝馬限定","牝馬限定","その他"))</f>
        <v>その他</v>
      </c>
    </row>
    <row r="747" customFormat="false" ht="15.75" hidden="false" customHeight="false" outlineLevel="0" collapsed="false">
      <c r="A747" s="6" t="n">
        <v>46193</v>
      </c>
      <c r="B747" s="4" t="s">
        <v>4172</v>
      </c>
      <c r="C747" s="8" t="n">
        <v>5</v>
      </c>
      <c r="D747" s="8" t="n">
        <v>9</v>
      </c>
      <c r="E747" s="8" t="n">
        <v>8</v>
      </c>
      <c r="F747" s="8"/>
      <c r="G747" s="8" t="n">
        <v>37</v>
      </c>
      <c r="H747" s="8" t="n">
        <v>3</v>
      </c>
      <c r="I747" s="8"/>
      <c r="J747" s="8" t="n">
        <v>31</v>
      </c>
      <c r="K747" s="8" t="n">
        <v>1</v>
      </c>
      <c r="L747" s="8"/>
      <c r="M747" s="8" t="n">
        <v>27</v>
      </c>
      <c r="N747" s="8" t="n">
        <f aca="false">IF(A747="","",G747-J747)</f>
        <v>6</v>
      </c>
      <c r="O747" s="8" t="n">
        <f aca="false">IF(A747="","",J747-M747)</f>
        <v>4</v>
      </c>
      <c r="P747" s="8" t="n">
        <f aca="false">IF(A747="","",G747+J747)</f>
        <v>68</v>
      </c>
      <c r="Q747" s="8" t="str">
        <f aca="false">IF(A747="","",IF(AND(Y747&lt;&gt;"参考",G747&gt;=ルール設定!$B$2),"○",""))</f>
        <v/>
      </c>
      <c r="R747" s="8" t="str">
        <f aca="false">IF(A747="","",IF(AND(Y747&lt;&gt;"参考",G747&gt;=ルール設定!$B$3,N747&gt;=ルール設定!$B$4),"○",""))</f>
        <v/>
      </c>
      <c r="S747" s="8" t="str">
        <f aca="false">IF(A747="","",IF(AND(Y747&lt;&gt;"参考",G747&gt;=ルール設定!$B$5,J747&gt;=ルール設定!$B$6,O747&gt;=ルール設定!$B$7),"○",""))</f>
        <v/>
      </c>
      <c r="T747" s="8" t="n">
        <v>2</v>
      </c>
      <c r="U747" s="8" t="n">
        <v>4</v>
      </c>
      <c r="V747" s="8" t="str">
        <f aca="false">IF(A747="","",IF(AND(ISNUMBER(T747),ISNUMBER(U747)),IF(AND(T747&lt;=3,U747&lt;=3),"○","×"),""))</f>
        <v>×</v>
      </c>
      <c r="W747" s="8" t="n">
        <v>150</v>
      </c>
      <c r="X747" s="8"/>
      <c r="Y747" s="4" t="s">
        <v>7597</v>
      </c>
      <c r="Z747" s="4" t="s">
        <v>6501</v>
      </c>
      <c r="AA747" s="8" t="str">
        <v/>
      </c>
      <c r="AB747" s="8" t="str">
        <v/>
      </c>
      <c r="AC747" s="8" t="str">
        <v/>
      </c>
      <c r="AD747" s="8" t="str">
        <v/>
      </c>
      <c r="AE747" s="8" t="str">
        <v/>
      </c>
      <c r="AF747" s="8" t="str">
        <v/>
      </c>
      <c r="AG747" s="8" t="str">
        <v/>
      </c>
      <c r="AH747" s="8" t="str">
        <v/>
      </c>
      <c r="AI747" s="8" t="n">
        <v>10</v>
      </c>
      <c r="AJ747" s="8" t="str">
        <v>～59</v>
      </c>
      <c r="AK747" s="8" t="str">
        <v>5～9</v>
      </c>
      <c r="AL747" s="8" t="str">
        <v>10～19</v>
      </c>
      <c r="AM747" s="8" t="str">
        <v>～99</v>
      </c>
      <c r="AN747" s="8" t="str">
        <v>8～11</v>
      </c>
      <c r="AO747" s="8" t="str">
        <f aca="false">IF(A747="","",IF(COUNTIFS(全馬データ!$A$2:$A$50000,A747,全馬データ!$B$2:$B$50000,B747,全馬データ!$C$2:$C$50000,C747,全馬データ!$D$2:$D$50000,E747,全馬データ!$K$2:$K$50000,"&lt;&gt;")=0,"",SUMIFS(全馬データ!$K$2:$K$50000,全馬データ!$A$2:$A$50000,A747,全馬データ!$B$2:$B$50000,B747,全馬データ!$C$2:$C$50000,C747,全馬データ!$D$2:$D$50000,E747)))</f>
        <v/>
      </c>
      <c r="AP747" s="8" t="str">
        <f aca="false">IF(A747="","",IF(AO747="","欠損",IF(AO747&lt;=1.1,"1.0～1.1",IF(AO747&lt;1.3,"1.2",IF(AO747&lt;1.5,"1.3～1.4",IF(AO747&lt;2,"1.5～1.9","2.0以上"))))))</f>
        <v>欠損</v>
      </c>
      <c r="AQ747" s="8" t="str">
        <f aca="false">IF(A747="","",IF(ISNUMBER(SEARCH("2歳",Z747)),"2歳戦",IF(ISNUMBER(SEARCH("3歳未勝利",Z747)),"3歳未勝利",IF(ISNUMBER(SEARCH("未勝利",Z747)),"その他未勝利",IF(ISNUMBER(SEARCH("G1",Z747)),"G1",IF(ISNUMBER(SEARCH("G2",Z747)),"G2",IF(ISNUMBER(SEARCH("G3",Z747)),"G3",IF(ISNUMBER(SEARCH("古馬条件",Z747)),"古馬条件戦",IF(ISNUMBER(SEARCH("重賞",Z747)),"重賞","分類不能")))))))))</f>
        <v>分類不能</v>
      </c>
      <c r="AR747" s="8"/>
      <c r="AS747" s="8" t="s">
        <v>7598</v>
      </c>
      <c r="AT747" s="8" t="s">
        <v>7599</v>
      </c>
      <c r="AU747" s="8" t="s">
        <v>7615</v>
      </c>
      <c r="AV747" s="4" t="s">
        <v>7616</v>
      </c>
      <c r="AW747" s="8"/>
      <c r="AX747" s="8"/>
      <c r="AY747" s="8" t="s">
        <v>7602</v>
      </c>
      <c r="AZ747" s="4" t="s">
        <v>7603</v>
      </c>
      <c r="BA747" s="8" t="n">
        <v>1400</v>
      </c>
      <c r="BB747" s="8" t="s">
        <v>7659</v>
      </c>
      <c r="BC747" s="4" t="s">
        <v>7619</v>
      </c>
      <c r="BD747" s="8" t="s">
        <v>7625</v>
      </c>
      <c r="BE747" s="4" t="s">
        <v>7606</v>
      </c>
      <c r="BF747" s="8" t="s">
        <v>7607</v>
      </c>
      <c r="BG747" s="8" t="s">
        <v>7608</v>
      </c>
      <c r="BH747" s="4" t="s">
        <v>7609</v>
      </c>
      <c r="BI747" s="8" t="n">
        <v>9</v>
      </c>
      <c r="BJ747" s="8" t="s">
        <v>7602</v>
      </c>
      <c r="BK747" s="4" t="s">
        <v>7653</v>
      </c>
      <c r="BL747" s="8" t="s">
        <v>7602</v>
      </c>
      <c r="BM747" s="4" t="s">
        <v>7620</v>
      </c>
      <c r="BN747" s="8" t="s">
        <v>7631</v>
      </c>
      <c r="BO747" s="8" t="s">
        <v>7680</v>
      </c>
      <c r="BP747" s="8" t="s">
        <v>7610</v>
      </c>
      <c r="BQ747" s="8" t="str">
        <f aca="false">IF(A747="","",AT747)</f>
        <v>2歳</v>
      </c>
      <c r="BR747" s="8" t="str">
        <f aca="false">IF(A747="","",IF(BA747&lt;=1200,"～1200",IF(BA747&lt;=1500,"1300～1500",IF(BA747=1600,"1600",IF(BA747&lt;=1800,"1700～1800",IF(BA747&lt;=2000,"1900～2000","2100以上"))))))</f>
        <v>1300～1500</v>
      </c>
      <c r="BS747" s="8" t="str">
        <f aca="false">IF(A747="","",IF(AX747="G1","G1",IF(AX747="G2","G2",IF(AX747="G3","G3",IF(AX747="L","L","その他")))))</f>
        <v>その他</v>
      </c>
      <c r="BT747" s="8" t="str">
        <f aca="false">IF(A747="","",IF(BI747="","未結合",IF(D747=BI747,"一致","不一致")))</f>
        <v>一致</v>
      </c>
      <c r="BU747" s="8" t="str">
        <f aca="false">IF(A747="","",IF(BE747="牝馬限定","牝馬限定","その他"))</f>
        <v>その他</v>
      </c>
    </row>
    <row r="748" customFormat="false" ht="29.1" hidden="false" customHeight="false" outlineLevel="0" collapsed="false">
      <c r="A748" s="6" t="n">
        <v>46193</v>
      </c>
      <c r="B748" s="4" t="s">
        <v>4172</v>
      </c>
      <c r="C748" s="8" t="n">
        <v>7</v>
      </c>
      <c r="D748" s="8" t="n">
        <v>16</v>
      </c>
      <c r="E748" s="8" t="n">
        <v>5</v>
      </c>
      <c r="F748" s="8"/>
      <c r="G748" s="8" t="n">
        <v>66</v>
      </c>
      <c r="H748" s="8" t="n">
        <v>7</v>
      </c>
      <c r="I748" s="8"/>
      <c r="J748" s="8" t="n">
        <v>52</v>
      </c>
      <c r="K748" s="8" t="n">
        <v>2</v>
      </c>
      <c r="L748" s="8"/>
      <c r="M748" s="8" t="n">
        <v>34</v>
      </c>
      <c r="N748" s="8" t="n">
        <f aca="false">IF(A748="","",G748-J748)</f>
        <v>14</v>
      </c>
      <c r="O748" s="8" t="n">
        <f aca="false">IF(A748="","",J748-M748)</f>
        <v>18</v>
      </c>
      <c r="P748" s="8" t="n">
        <f aca="false">IF(A748="","",G748+J748)</f>
        <v>118</v>
      </c>
      <c r="Q748" s="8" t="str">
        <f aca="false">IF(A748="","",IF(AND(Y748&lt;&gt;"参考",G748&gt;=ルール設定!$B$2),"○",""))</f>
        <v/>
      </c>
      <c r="R748" s="8" t="str">
        <f aca="false">IF(A748="","",IF(AND(Y748&lt;&gt;"参考",G748&gt;=ルール設定!$B$3,N748&gt;=ルール設定!$B$4),"○",""))</f>
        <v/>
      </c>
      <c r="S748" s="8" t="str">
        <f aca="false">IF(A748="","",IF(AND(Y748&lt;&gt;"参考",G748&gt;=ルール設定!$B$5,J748&gt;=ルール設定!$B$6,O748&gt;=ルール設定!$B$7),"○",""))</f>
        <v/>
      </c>
      <c r="T748" s="8" t="n">
        <v>1</v>
      </c>
      <c r="U748" s="8" t="n">
        <v>4</v>
      </c>
      <c r="V748" s="8" t="str">
        <f aca="false">IF(A748="","",IF(AND(ISNUMBER(T748),ISNUMBER(U748)),IF(AND(T748&lt;=3,U748&lt;=3),"○","×"),""))</f>
        <v>×</v>
      </c>
      <c r="W748" s="8" t="n">
        <v>120</v>
      </c>
      <c r="X748" s="8"/>
      <c r="Y748" s="4" t="s">
        <v>7597</v>
      </c>
      <c r="Z748" s="9" t="s">
        <v>7907</v>
      </c>
      <c r="AA748" s="8" t="str">
        <v/>
      </c>
      <c r="AB748" s="8" t="str">
        <v/>
      </c>
      <c r="AC748" s="8" t="str">
        <v/>
      </c>
      <c r="AD748" s="8" t="str">
        <v/>
      </c>
      <c r="AE748" s="8" t="str">
        <v/>
      </c>
      <c r="AF748" s="8" t="str">
        <v/>
      </c>
      <c r="AG748" s="8" t="str">
        <v/>
      </c>
      <c r="AH748" s="8" t="str">
        <v/>
      </c>
      <c r="AI748" s="8" t="n">
        <v>32</v>
      </c>
      <c r="AJ748" s="8" t="str">
        <v>60～69</v>
      </c>
      <c r="AK748" s="8" t="str">
        <v>10～19</v>
      </c>
      <c r="AL748" s="8" t="str">
        <v>30～39</v>
      </c>
      <c r="AM748" s="8" t="str">
        <v>100～119</v>
      </c>
      <c r="AN748" s="8" t="str">
        <v>15以上</v>
      </c>
      <c r="AO748" s="8" t="str">
        <f aca="false">IF(A748="","",IF(COUNTIFS(全馬データ!$A$2:$A$50000,A748,全馬データ!$B$2:$B$50000,B748,全馬データ!$C$2:$C$50000,C748,全馬データ!$D$2:$D$50000,E748,全馬データ!$K$2:$K$50000,"&lt;&gt;")=0,"",SUMIFS(全馬データ!$K$2:$K$50000,全馬データ!$A$2:$A$50000,A748,全馬データ!$B$2:$B$50000,B748,全馬データ!$C$2:$C$50000,C748,全馬データ!$D$2:$D$50000,E748)))</f>
        <v/>
      </c>
      <c r="AP748" s="8" t="str">
        <f aca="false">IF(A748="","",IF(AO748="","欠損",IF(AO748&lt;=1.1,"1.0～1.1",IF(AO748&lt;1.3,"1.2",IF(AO748&lt;1.5,"1.3～1.4",IF(AO748&lt;2,"1.5～1.9","2.0以上"))))))</f>
        <v>欠損</v>
      </c>
      <c r="AQ748" s="8" t="str">
        <f aca="false">IF(A748="","",IF(ISNUMBER(SEARCH("2歳",Z748)),"2歳戦",IF(ISNUMBER(SEARCH("3歳未勝利",Z748)),"3歳未勝利",IF(ISNUMBER(SEARCH("未勝利",Z748)),"その他未勝利",IF(ISNUMBER(SEARCH("G1",Z748)),"G1",IF(ISNUMBER(SEARCH("G2",Z748)),"G2",IF(ISNUMBER(SEARCH("G3",Z748)),"G3",IF(ISNUMBER(SEARCH("古馬条件",Z748)),"古馬条件戦",IF(ISNUMBER(SEARCH("重賞",Z748)),"重賞","分類不能")))))))))</f>
        <v>分類不能</v>
      </c>
      <c r="AR748" s="8"/>
      <c r="AS748" s="8" t="s">
        <v>7626</v>
      </c>
      <c r="AT748" s="8" t="s">
        <v>7627</v>
      </c>
      <c r="AU748" s="8" t="s">
        <v>7628</v>
      </c>
      <c r="AV748" s="8" t="s">
        <v>7629</v>
      </c>
      <c r="AW748" s="8"/>
      <c r="AX748" s="8"/>
      <c r="AY748" s="8" t="s">
        <v>7602</v>
      </c>
      <c r="AZ748" s="4" t="s">
        <v>7603</v>
      </c>
      <c r="BA748" s="8" t="n">
        <v>2400</v>
      </c>
      <c r="BB748" s="8" t="s">
        <v>7659</v>
      </c>
      <c r="BC748" s="4" t="s">
        <v>7619</v>
      </c>
      <c r="BD748" s="8" t="s">
        <v>7630</v>
      </c>
      <c r="BE748" s="4" t="s">
        <v>7606</v>
      </c>
      <c r="BF748" s="8" t="s">
        <v>7607</v>
      </c>
      <c r="BG748" s="8" t="s">
        <v>7631</v>
      </c>
      <c r="BH748" s="4" t="s">
        <v>7632</v>
      </c>
      <c r="BI748" s="8" t="n">
        <v>16</v>
      </c>
      <c r="BJ748" s="8" t="s">
        <v>7602</v>
      </c>
      <c r="BK748" s="4" t="s">
        <v>7653</v>
      </c>
      <c r="BL748" s="8" t="s">
        <v>7610</v>
      </c>
      <c r="BM748" s="4" t="s">
        <v>7612</v>
      </c>
      <c r="BN748" s="8" t="s">
        <v>7631</v>
      </c>
      <c r="BO748" s="8" t="s">
        <v>7680</v>
      </c>
      <c r="BP748" s="8" t="s">
        <v>7610</v>
      </c>
      <c r="BQ748" s="8" t="str">
        <f aca="false">IF(A748="","",AT748)</f>
        <v>3歳以上</v>
      </c>
      <c r="BR748" s="8" t="str">
        <f aca="false">IF(A748="","",IF(BA748&lt;=1200,"～1200",IF(BA748&lt;=1500,"1300～1500",IF(BA748=1600,"1600",IF(BA748&lt;=1800,"1700～1800",IF(BA748&lt;=2000,"1900～2000","2100以上"))))))</f>
        <v>2100以上</v>
      </c>
      <c r="BS748" s="8" t="str">
        <f aca="false">IF(A748="","",IF(AX748="G1","G1",IF(AX748="G2","G2",IF(AX748="G3","G3",IF(AX748="L","L","その他")))))</f>
        <v>その他</v>
      </c>
      <c r="BT748" s="8" t="str">
        <f aca="false">IF(A748="","",IF(BI748="","未結合",IF(D748=BI748,"一致","不一致")))</f>
        <v>一致</v>
      </c>
      <c r="BU748" s="8" t="str">
        <f aca="false">IF(A748="","",IF(BE748="牝馬限定","牝馬限定","その他"))</f>
        <v>その他</v>
      </c>
    </row>
    <row r="749" customFormat="false" ht="15.75" hidden="false" customHeight="false" outlineLevel="0" collapsed="false">
      <c r="A749" s="6" t="n">
        <v>46193</v>
      </c>
      <c r="B749" s="4" t="s">
        <v>4172</v>
      </c>
      <c r="C749" s="8" t="n">
        <v>10</v>
      </c>
      <c r="D749" s="8" t="n">
        <v>18</v>
      </c>
      <c r="E749" s="8" t="n">
        <v>6</v>
      </c>
      <c r="F749" s="8"/>
      <c r="G749" s="8" t="n">
        <v>44</v>
      </c>
      <c r="H749" s="8" t="n">
        <v>10</v>
      </c>
      <c r="I749" s="8"/>
      <c r="J749" s="8" t="n">
        <v>34</v>
      </c>
      <c r="K749" s="8" t="n">
        <v>3</v>
      </c>
      <c r="L749" s="8"/>
      <c r="M749" s="8" t="n">
        <v>31</v>
      </c>
      <c r="N749" s="8" t="n">
        <f aca="false">IF(A749="","",G749-J749)</f>
        <v>10</v>
      </c>
      <c r="O749" s="8" t="n">
        <f aca="false">IF(A749="","",J749-M749)</f>
        <v>3</v>
      </c>
      <c r="P749" s="8" t="n">
        <f aca="false">IF(A749="","",G749+J749)</f>
        <v>78</v>
      </c>
      <c r="Q749" s="8" t="str">
        <f aca="false">IF(A749="","",IF(AND(Y749&lt;&gt;"参考",G749&gt;=ルール設定!$B$2),"○",""))</f>
        <v/>
      </c>
      <c r="R749" s="8" t="str">
        <f aca="false">IF(A749="","",IF(AND(Y749&lt;&gt;"参考",G749&gt;=ルール設定!$B$3,N749&gt;=ルール設定!$B$4),"○",""))</f>
        <v/>
      </c>
      <c r="S749" s="8" t="str">
        <f aca="false">IF(A749="","",IF(AND(Y749&lt;&gt;"参考",G749&gt;=ルール設定!$B$5,J749&gt;=ルール設定!$B$6,O749&gt;=ルール設定!$B$7),"○",""))</f>
        <v/>
      </c>
      <c r="T749" s="8" t="n">
        <v>1</v>
      </c>
      <c r="U749" s="8" t="n">
        <v>4</v>
      </c>
      <c r="V749" s="8" t="str">
        <f aca="false">IF(A749="","",IF(AND(ISNUMBER(T749),ISNUMBER(U749)),IF(AND(T749&lt;=3,U749&lt;=3),"○","×"),""))</f>
        <v>×</v>
      </c>
      <c r="W749" s="8" t="n">
        <v>260</v>
      </c>
      <c r="X749" s="8"/>
      <c r="Y749" s="4" t="s">
        <v>7597</v>
      </c>
      <c r="Z749" s="4" t="s">
        <v>6501</v>
      </c>
      <c r="AA749" s="8" t="str">
        <v/>
      </c>
      <c r="AB749" s="8" t="str">
        <v/>
      </c>
      <c r="AC749" s="8" t="str">
        <v/>
      </c>
      <c r="AD749" s="8" t="str">
        <v/>
      </c>
      <c r="AE749" s="8" t="str">
        <v/>
      </c>
      <c r="AF749" s="8" t="str">
        <v/>
      </c>
      <c r="AG749" s="8" t="str">
        <v/>
      </c>
      <c r="AH749" s="8" t="str">
        <v/>
      </c>
      <c r="AI749" s="8" t="n">
        <v>13</v>
      </c>
      <c r="AJ749" s="8" t="str">
        <v>～59</v>
      </c>
      <c r="AK749" s="8" t="str">
        <v>10～19</v>
      </c>
      <c r="AL749" s="8" t="str">
        <v>10～19</v>
      </c>
      <c r="AM749" s="8" t="str">
        <v>～99</v>
      </c>
      <c r="AN749" s="8" t="str">
        <v>15以上</v>
      </c>
      <c r="AO749" s="8" t="str">
        <f aca="false">IF(A749="","",IF(COUNTIFS(全馬データ!$A$2:$A$50000,A749,全馬データ!$B$2:$B$50000,B749,全馬データ!$C$2:$C$50000,C749,全馬データ!$D$2:$D$50000,E749,全馬データ!$K$2:$K$50000,"&lt;&gt;")=0,"",SUMIFS(全馬データ!$K$2:$K$50000,全馬データ!$A$2:$A$50000,A749,全馬データ!$B$2:$B$50000,B749,全馬データ!$C$2:$C$50000,C749,全馬データ!$D$2:$D$50000,E749)))</f>
        <v/>
      </c>
      <c r="AP749" s="8" t="str">
        <f aca="false">IF(A749="","",IF(AO749="","欠損",IF(AO749&lt;=1.1,"1.0～1.1",IF(AO749&lt;1.3,"1.2",IF(AO749&lt;1.5,"1.3～1.4",IF(AO749&lt;2,"1.5～1.9","2.0以上"))))))</f>
        <v>欠損</v>
      </c>
      <c r="AQ749" s="8" t="str">
        <f aca="false">IF(A749="","",IF(ISNUMBER(SEARCH("2歳",Z749)),"2歳戦",IF(ISNUMBER(SEARCH("3歳未勝利",Z749)),"3歳未勝利",IF(ISNUMBER(SEARCH("未勝利",Z749)),"その他未勝利",IF(ISNUMBER(SEARCH("G1",Z749)),"G1",IF(ISNUMBER(SEARCH("G2",Z749)),"G2",IF(ISNUMBER(SEARCH("G3",Z749)),"G3",IF(ISNUMBER(SEARCH("古馬条件",Z749)),"古馬条件戦",IF(ISNUMBER(SEARCH("重賞",Z749)),"重賞","分類不能")))))))))</f>
        <v>分類不能</v>
      </c>
      <c r="AR749" s="4" t="s">
        <v>7913</v>
      </c>
      <c r="AS749" s="8" t="s">
        <v>7626</v>
      </c>
      <c r="AT749" s="8" t="s">
        <v>7627</v>
      </c>
      <c r="AU749" s="8" t="s">
        <v>7639</v>
      </c>
      <c r="AV749" s="8" t="s">
        <v>7640</v>
      </c>
      <c r="AW749" s="8" t="s">
        <v>7636</v>
      </c>
      <c r="AX749" s="4" t="s">
        <v>7637</v>
      </c>
      <c r="AY749" s="8" t="s">
        <v>7602</v>
      </c>
      <c r="AZ749" s="4" t="s">
        <v>7603</v>
      </c>
      <c r="BA749" s="8" t="n">
        <v>2200</v>
      </c>
      <c r="BB749" s="8" t="s">
        <v>7701</v>
      </c>
      <c r="BC749" s="4" t="s">
        <v>7658</v>
      </c>
      <c r="BD749" s="8" t="s">
        <v>7605</v>
      </c>
      <c r="BE749" s="4" t="s">
        <v>7606</v>
      </c>
      <c r="BF749" s="8" t="s">
        <v>7607</v>
      </c>
      <c r="BG749" s="8" t="s">
        <v>7602</v>
      </c>
      <c r="BH749" s="4" t="s">
        <v>7667</v>
      </c>
      <c r="BI749" s="8" t="n">
        <v>18</v>
      </c>
      <c r="BJ749" s="8" t="s">
        <v>7602</v>
      </c>
      <c r="BK749" s="4" t="s">
        <v>7653</v>
      </c>
      <c r="BL749" s="8" t="s">
        <v>7602</v>
      </c>
      <c r="BM749" s="4" t="s">
        <v>7620</v>
      </c>
      <c r="BN749" s="8" t="s">
        <v>7631</v>
      </c>
      <c r="BO749" s="8" t="s">
        <v>7680</v>
      </c>
      <c r="BP749" s="8" t="s">
        <v>7610</v>
      </c>
      <c r="BQ749" s="8" t="str">
        <f aca="false">IF(A749="","",AT749)</f>
        <v>3歳以上</v>
      </c>
      <c r="BR749" s="8" t="str">
        <f aca="false">IF(A749="","",IF(BA749&lt;=1200,"～1200",IF(BA749&lt;=1500,"1300～1500",IF(BA749=1600,"1600",IF(BA749&lt;=1800,"1700～1800",IF(BA749&lt;=2000,"1900～2000","2100以上"))))))</f>
        <v>2100以上</v>
      </c>
      <c r="BS749" s="8" t="str">
        <f aca="false">IF(A749="","",IF(AX749="G1","G1",IF(AX749="G2","G2",IF(AX749="G3","G3",IF(AX749="L","L","その他")))))</f>
        <v>その他</v>
      </c>
      <c r="BT749" s="8" t="str">
        <f aca="false">IF(A749="","",IF(BI749="","未結合",IF(D749=BI749,"一致","不一致")))</f>
        <v>一致</v>
      </c>
      <c r="BU749" s="8" t="str">
        <f aca="false">IF(A749="","",IF(BE749="牝馬限定","牝馬限定","その他"))</f>
        <v>その他</v>
      </c>
    </row>
    <row r="750" customFormat="false" ht="29.1" hidden="false" customHeight="false" outlineLevel="0" collapsed="false">
      <c r="A750" s="6" t="n">
        <v>46193</v>
      </c>
      <c r="B750" s="4" t="s">
        <v>4172</v>
      </c>
      <c r="C750" s="8" t="n">
        <v>11</v>
      </c>
      <c r="D750" s="8" t="n">
        <v>15</v>
      </c>
      <c r="E750" s="8" t="n">
        <v>3</v>
      </c>
      <c r="F750" s="8"/>
      <c r="G750" s="8" t="n">
        <v>81</v>
      </c>
      <c r="H750" s="8" t="n">
        <v>11</v>
      </c>
      <c r="I750" s="8"/>
      <c r="J750" s="8" t="n">
        <v>41</v>
      </c>
      <c r="K750" s="8" t="n">
        <v>12</v>
      </c>
      <c r="L750" s="8"/>
      <c r="M750" s="8" t="n">
        <v>37</v>
      </c>
      <c r="N750" s="8" t="n">
        <f aca="false">IF(A750="","",G750-J750)</f>
        <v>40</v>
      </c>
      <c r="O750" s="8" t="n">
        <f aca="false">IF(A750="","",J750-M750)</f>
        <v>4</v>
      </c>
      <c r="P750" s="8" t="n">
        <f aca="false">IF(A750="","",G750+J750)</f>
        <v>122</v>
      </c>
      <c r="Q750" s="8" t="str">
        <f aca="false">IF(A750="","",IF(AND(Y750&lt;&gt;"参考",G750&gt;=ルール設定!$B$2),"○",""))</f>
        <v>○</v>
      </c>
      <c r="R750" s="8" t="str">
        <f aca="false">IF(A750="","",IF(AND(Y750&lt;&gt;"参考",G750&gt;=ルール設定!$B$3,N750&gt;=ルール設定!$B$4),"○",""))</f>
        <v>○</v>
      </c>
      <c r="S750" s="8" t="str">
        <f aca="false">IF(A750="","",IF(AND(Y750&lt;&gt;"参考",G750&gt;=ルール設定!$B$5,J750&gt;=ルール設定!$B$6,O750&gt;=ルール設定!$B$7),"○",""))</f>
        <v/>
      </c>
      <c r="T750" s="8" t="n">
        <v>1</v>
      </c>
      <c r="U750" s="8" t="n">
        <v>4</v>
      </c>
      <c r="V750" s="8" t="str">
        <f aca="false">IF(A750="","",IF(AND(ISNUMBER(T750),ISNUMBER(U750)),IF(AND(T750&lt;=3,U750&lt;=3),"○","×"),""))</f>
        <v>×</v>
      </c>
      <c r="W750" s="8" t="n">
        <v>130</v>
      </c>
      <c r="X750" s="8"/>
      <c r="Y750" s="4" t="s">
        <v>7597</v>
      </c>
      <c r="Z750" s="9" t="s">
        <v>7907</v>
      </c>
      <c r="AA750" s="8" t="str">
        <v/>
      </c>
      <c r="AB750" s="8" t="str">
        <v>○</v>
      </c>
      <c r="AC750" s="8" t="str">
        <v/>
      </c>
      <c r="AD750" s="8" t="str">
        <v>○</v>
      </c>
      <c r="AE750" s="8" t="str">
        <v/>
      </c>
      <c r="AF750" s="8" t="str">
        <v/>
      </c>
      <c r="AG750" s="8" t="str">
        <v>○</v>
      </c>
      <c r="AH750" s="8" t="str">
        <v/>
      </c>
      <c r="AI750" s="8" t="n">
        <v>44</v>
      </c>
      <c r="AJ750" s="8" t="str">
        <v>80～84</v>
      </c>
      <c r="AK750" s="8" t="str">
        <v>30以上</v>
      </c>
      <c r="AL750" s="8" t="str">
        <v>40以上</v>
      </c>
      <c r="AM750" s="8" t="str">
        <v>120～139</v>
      </c>
      <c r="AN750" s="8" t="str">
        <v>15以上</v>
      </c>
      <c r="AO750" s="8" t="str">
        <f aca="false">IF(A750="","",IF(COUNTIFS(全馬データ!$A$2:$A$50000,A750,全馬データ!$B$2:$B$50000,B750,全馬データ!$C$2:$C$50000,C750,全馬データ!$D$2:$D$50000,E750,全馬データ!$K$2:$K$50000,"&lt;&gt;")=0,"",SUMIFS(全馬データ!$K$2:$K$50000,全馬データ!$A$2:$A$50000,A750,全馬データ!$B$2:$B$50000,B750,全馬データ!$C$2:$C$50000,C750,全馬データ!$D$2:$D$50000,E750)))</f>
        <v/>
      </c>
      <c r="AP750" s="8" t="str">
        <f aca="false">IF(A750="","",IF(AO750="","欠損",IF(AO750&lt;=1.1,"1.0～1.1",IF(AO750&lt;1.3,"1.2",IF(AO750&lt;1.5,"1.3～1.4",IF(AO750&lt;2,"1.5～1.9","2.0以上"))))))</f>
        <v>欠損</v>
      </c>
      <c r="AQ750" s="8" t="str">
        <f aca="false">IF(A750="","",IF(ISNUMBER(SEARCH("2歳",Z750)),"2歳戦",IF(ISNUMBER(SEARCH("3歳未勝利",Z750)),"3歳未勝利",IF(ISNUMBER(SEARCH("未勝利",Z750)),"その他未勝利",IF(ISNUMBER(SEARCH("G1",Z750)),"G1",IF(ISNUMBER(SEARCH("G2",Z750)),"G2",IF(ISNUMBER(SEARCH("G3",Z750)),"G3",IF(ISNUMBER(SEARCH("古馬条件",Z750)),"古馬条件戦",IF(ISNUMBER(SEARCH("重賞",Z750)),"重賞","分類不能")))))))))</f>
        <v>分類不能</v>
      </c>
      <c r="AR750" s="4" t="s">
        <v>7914</v>
      </c>
      <c r="AS750" s="8" t="s">
        <v>7626</v>
      </c>
      <c r="AT750" s="8" t="s">
        <v>7627</v>
      </c>
      <c r="AU750" s="8" t="s">
        <v>7643</v>
      </c>
      <c r="AV750" s="4" t="s">
        <v>7644</v>
      </c>
      <c r="AW750" s="8" t="s">
        <v>7636</v>
      </c>
      <c r="AX750" s="4" t="s">
        <v>7637</v>
      </c>
      <c r="AY750" s="8" t="s">
        <v>7610</v>
      </c>
      <c r="AZ750" s="4" t="s">
        <v>7617</v>
      </c>
      <c r="BA750" s="8" t="n">
        <v>1400</v>
      </c>
      <c r="BB750" s="8" t="s">
        <v>7657</v>
      </c>
      <c r="BC750" s="4" t="s">
        <v>7658</v>
      </c>
      <c r="BD750" s="8" t="s">
        <v>7666</v>
      </c>
      <c r="BE750" s="4" t="s">
        <v>7606</v>
      </c>
      <c r="BF750" s="8" t="s">
        <v>7607</v>
      </c>
      <c r="BG750" s="8" t="s">
        <v>7610</v>
      </c>
      <c r="BH750" s="4" t="s">
        <v>7646</v>
      </c>
      <c r="BI750" s="8" t="n">
        <v>15</v>
      </c>
      <c r="BJ750" s="8" t="s">
        <v>7602</v>
      </c>
      <c r="BK750" s="4" t="s">
        <v>7653</v>
      </c>
      <c r="BL750" s="8" t="s">
        <v>7602</v>
      </c>
      <c r="BM750" s="4" t="s">
        <v>7620</v>
      </c>
      <c r="BN750" s="8"/>
      <c r="BO750" s="8"/>
      <c r="BP750" s="8" t="s">
        <v>7610</v>
      </c>
      <c r="BQ750" s="8" t="str">
        <f aca="false">IF(A750="","",AT750)</f>
        <v>3歳以上</v>
      </c>
      <c r="BR750" s="8" t="str">
        <f aca="false">IF(A750="","",IF(BA750&lt;=1200,"～1200",IF(BA750&lt;=1500,"1300～1500",IF(BA750=1600,"1600",IF(BA750&lt;=1800,"1700～1800",IF(BA750&lt;=2000,"1900～2000","2100以上"))))))</f>
        <v>1300～1500</v>
      </c>
      <c r="BS750" s="8" t="str">
        <f aca="false">IF(A750="","",IF(AX750="G1","G1",IF(AX750="G2","G2",IF(AX750="G3","G3",IF(AX750="L","L","その他")))))</f>
        <v>その他</v>
      </c>
      <c r="BT750" s="8" t="str">
        <f aca="false">IF(A750="","",IF(BI750="","未結合",IF(D750=BI750,"一致","不一致")))</f>
        <v>一致</v>
      </c>
      <c r="BU750" s="8" t="str">
        <f aca="false">IF(A750="","",IF(BE750="牝馬限定","牝馬限定","その他"))</f>
        <v>その他</v>
      </c>
    </row>
    <row r="751" customFormat="false" ht="29.1" hidden="false" customHeight="false" outlineLevel="0" collapsed="false">
      <c r="A751" s="6" t="n">
        <v>46194</v>
      </c>
      <c r="B751" s="4" t="s">
        <v>4473</v>
      </c>
      <c r="C751" s="8" t="n">
        <v>3</v>
      </c>
      <c r="D751" s="8" t="n">
        <v>16</v>
      </c>
      <c r="E751" s="8" t="n">
        <v>4</v>
      </c>
      <c r="F751" s="8"/>
      <c r="G751" s="8" t="n">
        <v>71</v>
      </c>
      <c r="H751" s="8" t="n">
        <v>3</v>
      </c>
      <c r="I751" s="8"/>
      <c r="J751" s="8" t="n">
        <v>47</v>
      </c>
      <c r="K751" s="8" t="n">
        <v>13</v>
      </c>
      <c r="L751" s="8"/>
      <c r="M751" s="8" t="n">
        <v>34</v>
      </c>
      <c r="N751" s="8" t="n">
        <f aca="false">IF(A751="","",G751-J751)</f>
        <v>24</v>
      </c>
      <c r="O751" s="8" t="n">
        <f aca="false">IF(A751="","",J751-M751)</f>
        <v>13</v>
      </c>
      <c r="P751" s="8" t="n">
        <f aca="false">IF(A751="","",G751+J751)</f>
        <v>118</v>
      </c>
      <c r="Q751" s="8" t="str">
        <f aca="false">IF(A751="","",IF(AND(Y751&lt;&gt;"参考",G751&gt;=ルール設定!$B$2),"○",""))</f>
        <v/>
      </c>
      <c r="R751" s="8" t="str">
        <f aca="false">IF(A751="","",IF(AND(Y751&lt;&gt;"参考",G751&gt;=ルール設定!$B$3,N751&gt;=ルール設定!$B$4),"○",""))</f>
        <v/>
      </c>
      <c r="S751" s="8" t="str">
        <f aca="false">IF(A751="","",IF(AND(Y751&lt;&gt;"参考",G751&gt;=ルール設定!$B$5,J751&gt;=ルール設定!$B$6,O751&gt;=ルール設定!$B$7),"○",""))</f>
        <v/>
      </c>
      <c r="T751" s="8" t="n">
        <v>4</v>
      </c>
      <c r="U751" s="8" t="n">
        <v>4</v>
      </c>
      <c r="V751" s="8" t="str">
        <f aca="false">IF(A751="","",IF(AND(ISNUMBER(T751),ISNUMBER(U751)),IF(AND(T751&lt;=3,U751&lt;=3),"○","×"),""))</f>
        <v>×</v>
      </c>
      <c r="W751" s="8"/>
      <c r="X751" s="8"/>
      <c r="Y751" s="4" t="s">
        <v>7597</v>
      </c>
      <c r="Z751" s="9" t="s">
        <v>7907</v>
      </c>
      <c r="AA751" s="8" t="str">
        <v/>
      </c>
      <c r="AB751" s="8" t="str">
        <v/>
      </c>
      <c r="AC751" s="8" t="str">
        <v/>
      </c>
      <c r="AD751" s="8" t="str">
        <v/>
      </c>
      <c r="AE751" s="8" t="str">
        <v/>
      </c>
      <c r="AF751" s="8" t="str">
        <v/>
      </c>
      <c r="AG751" s="8" t="str">
        <v/>
      </c>
      <c r="AH751" s="8" t="str">
        <v/>
      </c>
      <c r="AI751" s="8" t="n">
        <v>37</v>
      </c>
      <c r="AJ751" s="8" t="str">
        <v>70～74</v>
      </c>
      <c r="AK751" s="8" t="str">
        <v>20～29</v>
      </c>
      <c r="AL751" s="8" t="str">
        <v>30～39</v>
      </c>
      <c r="AM751" s="8" t="str">
        <v>100～119</v>
      </c>
      <c r="AN751" s="8" t="str">
        <v>15以上</v>
      </c>
      <c r="AO751" s="8" t="str">
        <f aca="false">IF(A751="","",IF(COUNTIFS(全馬データ!$A$2:$A$50000,A751,全馬データ!$B$2:$B$50000,B751,全馬データ!$C$2:$C$50000,C751,全馬データ!$D$2:$D$50000,E751,全馬データ!$K$2:$K$50000,"&lt;&gt;")=0,"",SUMIFS(全馬データ!$K$2:$K$50000,全馬データ!$A$2:$A$50000,A751,全馬データ!$B$2:$B$50000,B751,全馬データ!$C$2:$C$50000,C751,全馬データ!$D$2:$D$50000,E751)))</f>
        <v/>
      </c>
      <c r="AP751" s="8" t="str">
        <f aca="false">IF(A751="","",IF(AO751="","欠損",IF(AO751&lt;=1.1,"1.0～1.1",IF(AO751&lt;1.3,"1.2",IF(AO751&lt;1.5,"1.3～1.4",IF(AO751&lt;2,"1.5～1.9","2.0以上"))))))</f>
        <v>欠損</v>
      </c>
      <c r="AQ751" s="8" t="str">
        <f aca="false">IF(A751="","",IF(ISNUMBER(SEARCH("2歳",Z751)),"2歳戦",IF(ISNUMBER(SEARCH("3歳未勝利",Z751)),"3歳未勝利",IF(ISNUMBER(SEARCH("未勝利",Z751)),"その他未勝利",IF(ISNUMBER(SEARCH("G1",Z751)),"G1",IF(ISNUMBER(SEARCH("G2",Z751)),"G2",IF(ISNUMBER(SEARCH("G3",Z751)),"G3",IF(ISNUMBER(SEARCH("古馬条件",Z751)),"古馬条件戦",IF(ISNUMBER(SEARCH("重賞",Z751)),"重賞","分類不能")))))))))</f>
        <v>分類不能</v>
      </c>
      <c r="AR751" s="8"/>
      <c r="AS751" s="8" t="s">
        <v>7623</v>
      </c>
      <c r="AT751" s="8" t="s">
        <v>7624</v>
      </c>
      <c r="AU751" s="8" t="s">
        <v>7600</v>
      </c>
      <c r="AV751" s="4" t="s">
        <v>7601</v>
      </c>
      <c r="AW751" s="8"/>
      <c r="AX751" s="8"/>
      <c r="AY751" s="8" t="s">
        <v>7610</v>
      </c>
      <c r="AZ751" s="4" t="s">
        <v>7617</v>
      </c>
      <c r="BA751" s="8" t="n">
        <v>2100</v>
      </c>
      <c r="BB751" s="8" t="s">
        <v>7669</v>
      </c>
      <c r="BC751" s="4" t="s">
        <v>7662</v>
      </c>
      <c r="BD751" s="8" t="s">
        <v>7625</v>
      </c>
      <c r="BE751" s="4" t="s">
        <v>7606</v>
      </c>
      <c r="BF751" s="8" t="s">
        <v>7607</v>
      </c>
      <c r="BG751" s="8" t="s">
        <v>7608</v>
      </c>
      <c r="BH751" s="4" t="s">
        <v>7609</v>
      </c>
      <c r="BI751" s="8" t="n">
        <v>16</v>
      </c>
      <c r="BJ751" s="8" t="s">
        <v>7610</v>
      </c>
      <c r="BK751" s="4" t="s">
        <v>7611</v>
      </c>
      <c r="BL751" s="8" t="s">
        <v>7602</v>
      </c>
      <c r="BM751" s="4" t="s">
        <v>7620</v>
      </c>
      <c r="BN751" s="8"/>
      <c r="BO751" s="8"/>
      <c r="BP751" s="8" t="s">
        <v>7602</v>
      </c>
      <c r="BQ751" s="8" t="str">
        <f aca="false">IF(A751="","",AT751)</f>
        <v>3歳</v>
      </c>
      <c r="BR751" s="8" t="str">
        <f aca="false">IF(A751="","",IF(BA751&lt;=1200,"～1200",IF(BA751&lt;=1500,"1300～1500",IF(BA751=1600,"1600",IF(BA751&lt;=1800,"1700～1800",IF(BA751&lt;=2000,"1900～2000","2100以上"))))))</f>
        <v>2100以上</v>
      </c>
      <c r="BS751" s="8" t="str">
        <f aca="false">IF(A751="","",IF(AX751="G1","G1",IF(AX751="G2","G2",IF(AX751="G3","G3",IF(AX751="L","L","その他")))))</f>
        <v>その他</v>
      </c>
      <c r="BT751" s="8" t="str">
        <f aca="false">IF(A751="","",IF(BI751="","未結合",IF(D751=BI751,"一致","不一致")))</f>
        <v>一致</v>
      </c>
      <c r="BU751" s="8" t="str">
        <f aca="false">IF(A751="","",IF(BE751="牝馬限定","牝馬限定","その他"))</f>
        <v>その他</v>
      </c>
    </row>
    <row r="752" customFormat="false" ht="29.1" hidden="false" customHeight="false" outlineLevel="0" collapsed="false">
      <c r="A752" s="6" t="n">
        <v>46194</v>
      </c>
      <c r="B752" s="4" t="s">
        <v>4473</v>
      </c>
      <c r="C752" s="8" t="n">
        <v>7</v>
      </c>
      <c r="D752" s="8" t="n">
        <v>16</v>
      </c>
      <c r="E752" s="8" t="n">
        <v>5</v>
      </c>
      <c r="F752" s="8"/>
      <c r="G752" s="8" t="n">
        <v>62</v>
      </c>
      <c r="H752" s="8" t="n">
        <v>8</v>
      </c>
      <c r="I752" s="8"/>
      <c r="J752" s="8" t="n">
        <v>47</v>
      </c>
      <c r="K752" s="8" t="n">
        <v>6</v>
      </c>
      <c r="L752" s="8"/>
      <c r="M752" s="8" t="n">
        <v>34</v>
      </c>
      <c r="N752" s="8" t="n">
        <f aca="false">IF(A752="","",G752-J752)</f>
        <v>15</v>
      </c>
      <c r="O752" s="8" t="n">
        <f aca="false">IF(A752="","",J752-M752)</f>
        <v>13</v>
      </c>
      <c r="P752" s="8" t="n">
        <f aca="false">IF(A752="","",G752+J752)</f>
        <v>109</v>
      </c>
      <c r="Q752" s="8" t="str">
        <f aca="false">IF(A752="","",IF(AND(Y752&lt;&gt;"参考",G752&gt;=ルール設定!$B$2),"○",""))</f>
        <v/>
      </c>
      <c r="R752" s="8" t="str">
        <f aca="false">IF(A752="","",IF(AND(Y752&lt;&gt;"参考",G752&gt;=ルール設定!$B$3,N752&gt;=ルール設定!$B$4),"○",""))</f>
        <v/>
      </c>
      <c r="S752" s="8" t="str">
        <f aca="false">IF(A752="","",IF(AND(Y752&lt;&gt;"参考",G752&gt;=ルール設定!$B$5,J752&gt;=ルール設定!$B$6,O752&gt;=ルール設定!$B$7),"○",""))</f>
        <v/>
      </c>
      <c r="T752" s="8" t="n">
        <v>2</v>
      </c>
      <c r="U752" s="8" t="n">
        <v>3</v>
      </c>
      <c r="V752" s="8" t="str">
        <f aca="false">IF(A752="","",IF(AND(ISNUMBER(T752),ISNUMBER(U752)),IF(AND(T752&lt;=3,U752&lt;=3),"○","×"),""))</f>
        <v>○</v>
      </c>
      <c r="W752" s="8" t="n">
        <v>110</v>
      </c>
      <c r="X752" s="8" t="n">
        <v>520</v>
      </c>
      <c r="Y752" s="4" t="s">
        <v>7597</v>
      </c>
      <c r="Z752" s="9" t="s">
        <v>7907</v>
      </c>
      <c r="AA752" s="8" t="str">
        <v/>
      </c>
      <c r="AB752" s="8" t="str">
        <v/>
      </c>
      <c r="AC752" s="8" t="str">
        <v/>
      </c>
      <c r="AD752" s="8" t="str">
        <v/>
      </c>
      <c r="AE752" s="8" t="str">
        <v/>
      </c>
      <c r="AF752" s="8" t="str">
        <v/>
      </c>
      <c r="AG752" s="8" t="str">
        <v/>
      </c>
      <c r="AH752" s="8" t="str">
        <v/>
      </c>
      <c r="AI752" s="8" t="n">
        <v>28</v>
      </c>
      <c r="AJ752" s="8" t="str">
        <v>60～69</v>
      </c>
      <c r="AK752" s="8" t="str">
        <v>10～19</v>
      </c>
      <c r="AL752" s="8" t="str">
        <v>20～29</v>
      </c>
      <c r="AM752" s="8" t="str">
        <v>100～119</v>
      </c>
      <c r="AN752" s="8" t="str">
        <v>15以上</v>
      </c>
      <c r="AO752" s="8" t="str">
        <f aca="false">IF(A752="","",IF(COUNTIFS(全馬データ!$A$2:$A$50000,A752,全馬データ!$B$2:$B$50000,B752,全馬データ!$C$2:$C$50000,C752,全馬データ!$D$2:$D$50000,E752,全馬データ!$K$2:$K$50000,"&lt;&gt;")=0,"",SUMIFS(全馬データ!$K$2:$K$50000,全馬データ!$A$2:$A$50000,A752,全馬データ!$B$2:$B$50000,B752,全馬データ!$C$2:$C$50000,C752,全馬データ!$D$2:$D$50000,E752)))</f>
        <v/>
      </c>
      <c r="AP752" s="8" t="str">
        <f aca="false">IF(A752="","",IF(AO752="","欠損",IF(AO752&lt;=1.1,"1.0～1.1",IF(AO752&lt;1.3,"1.2",IF(AO752&lt;1.5,"1.3～1.4",IF(AO752&lt;2,"1.5～1.9","2.0以上"))))))</f>
        <v>欠損</v>
      </c>
      <c r="AQ752" s="8" t="str">
        <f aca="false">IF(A752="","",IF(ISNUMBER(SEARCH("2歳",Z752)),"2歳戦",IF(ISNUMBER(SEARCH("3歳未勝利",Z752)),"3歳未勝利",IF(ISNUMBER(SEARCH("未勝利",Z752)),"その他未勝利",IF(ISNUMBER(SEARCH("G1",Z752)),"G1",IF(ISNUMBER(SEARCH("G2",Z752)),"G2",IF(ISNUMBER(SEARCH("G3",Z752)),"G3",IF(ISNUMBER(SEARCH("古馬条件",Z752)),"古馬条件戦",IF(ISNUMBER(SEARCH("重賞",Z752)),"重賞","分類不能")))))))))</f>
        <v>分類不能</v>
      </c>
      <c r="AR752" s="8"/>
      <c r="AS752" s="8" t="s">
        <v>7626</v>
      </c>
      <c r="AT752" s="8" t="s">
        <v>7627</v>
      </c>
      <c r="AU752" s="8" t="s">
        <v>7628</v>
      </c>
      <c r="AV752" s="8" t="s">
        <v>7629</v>
      </c>
      <c r="AW752" s="8"/>
      <c r="AX752" s="8"/>
      <c r="AY752" s="8" t="s">
        <v>7610</v>
      </c>
      <c r="AZ752" s="4" t="s">
        <v>7617</v>
      </c>
      <c r="BA752" s="8" t="n">
        <v>1600</v>
      </c>
      <c r="BB752" s="8" t="s">
        <v>7701</v>
      </c>
      <c r="BC752" s="4" t="s">
        <v>7658</v>
      </c>
      <c r="BD752" s="8" t="s">
        <v>7621</v>
      </c>
      <c r="BE752" s="4" t="s">
        <v>7622</v>
      </c>
      <c r="BF752" s="8" t="s">
        <v>7602</v>
      </c>
      <c r="BG752" s="8" t="s">
        <v>7631</v>
      </c>
      <c r="BH752" s="4" t="s">
        <v>7632</v>
      </c>
      <c r="BI752" s="8" t="n">
        <v>16</v>
      </c>
      <c r="BJ752" s="8" t="s">
        <v>7610</v>
      </c>
      <c r="BK752" s="4" t="s">
        <v>7611</v>
      </c>
      <c r="BL752" s="8" t="s">
        <v>7602</v>
      </c>
      <c r="BM752" s="4" t="s">
        <v>7620</v>
      </c>
      <c r="BN752" s="8"/>
      <c r="BO752" s="8"/>
      <c r="BP752" s="8" t="s">
        <v>7602</v>
      </c>
      <c r="BQ752" s="8" t="str">
        <f aca="false">IF(A752="","",AT752)</f>
        <v>3歳以上</v>
      </c>
      <c r="BR752" s="8" t="str">
        <f aca="false">IF(A752="","",IF(BA752&lt;=1200,"～1200",IF(BA752&lt;=1500,"1300～1500",IF(BA752=1600,"1600",IF(BA752&lt;=1800,"1700～1800",IF(BA752&lt;=2000,"1900～2000","2100以上"))))))</f>
        <v>1600</v>
      </c>
      <c r="BS752" s="8" t="str">
        <f aca="false">IF(A752="","",IF(AX752="G1","G1",IF(AX752="G2","G2",IF(AX752="G3","G3",IF(AX752="L","L","その他")))))</f>
        <v>その他</v>
      </c>
      <c r="BT752" s="8" t="str">
        <f aca="false">IF(A752="","",IF(BI752="","未結合",IF(D752=BI752,"一致","不一致")))</f>
        <v>一致</v>
      </c>
      <c r="BU752" s="8" t="str">
        <f aca="false">IF(A752="","",IF(BE752="牝馬限定","牝馬限定","その他"))</f>
        <v>牝馬限定</v>
      </c>
    </row>
    <row r="753" customFormat="false" ht="29.1" hidden="false" customHeight="false" outlineLevel="0" collapsed="false">
      <c r="A753" s="6" t="n">
        <v>46194</v>
      </c>
      <c r="B753" s="4" t="s">
        <v>4473</v>
      </c>
      <c r="C753" s="8" t="n">
        <v>8</v>
      </c>
      <c r="D753" s="8" t="n">
        <v>16</v>
      </c>
      <c r="E753" s="8" t="n">
        <v>12</v>
      </c>
      <c r="F753" s="8"/>
      <c r="G753" s="8" t="n">
        <v>74</v>
      </c>
      <c r="H753" s="8" t="n">
        <v>3</v>
      </c>
      <c r="I753" s="8"/>
      <c r="J753" s="8" t="n">
        <v>62</v>
      </c>
      <c r="K753" s="8" t="n">
        <v>15</v>
      </c>
      <c r="L753" s="8"/>
      <c r="M753" s="8" t="n">
        <v>50</v>
      </c>
      <c r="N753" s="8" t="n">
        <f aca="false">IF(A753="","",G753-J753)</f>
        <v>12</v>
      </c>
      <c r="O753" s="8" t="n">
        <f aca="false">IF(A753="","",J753-M753)</f>
        <v>12</v>
      </c>
      <c r="P753" s="8" t="n">
        <f aca="false">IF(A753="","",G753+J753)</f>
        <v>136</v>
      </c>
      <c r="Q753" s="8" t="str">
        <f aca="false">IF(A753="","",IF(AND(Y753&lt;&gt;"参考",G753&gt;=ルール設定!$B$2),"○",""))</f>
        <v/>
      </c>
      <c r="R753" s="8" t="str">
        <f aca="false">IF(A753="","",IF(AND(Y753&lt;&gt;"参考",G753&gt;=ルール設定!$B$3,N753&gt;=ルール設定!$B$4),"○",""))</f>
        <v/>
      </c>
      <c r="S753" s="8" t="str">
        <f aca="false">IF(A753="","",IF(AND(Y753&lt;&gt;"参考",G753&gt;=ルール設定!$B$5,J753&gt;=ルール設定!$B$6,O753&gt;=ルール設定!$B$7),"○",""))</f>
        <v/>
      </c>
      <c r="T753" s="8" t="n">
        <v>4</v>
      </c>
      <c r="U753" s="8" t="n">
        <v>1</v>
      </c>
      <c r="V753" s="8" t="str">
        <f aca="false">IF(A753="","",IF(AND(ISNUMBER(T753),ISNUMBER(U753)),IF(AND(T753&lt;=3,U753&lt;=3),"○","×"),""))</f>
        <v>×</v>
      </c>
      <c r="W753" s="8"/>
      <c r="X753" s="8"/>
      <c r="Y753" s="4" t="s">
        <v>7597</v>
      </c>
      <c r="Z753" s="9" t="s">
        <v>7907</v>
      </c>
      <c r="AA753" s="8" t="str">
        <v/>
      </c>
      <c r="AB753" s="8" t="str">
        <v/>
      </c>
      <c r="AC753" s="8" t="str">
        <v/>
      </c>
      <c r="AD753" s="8" t="str">
        <v/>
      </c>
      <c r="AE753" s="8" t="str">
        <v/>
      </c>
      <c r="AF753" s="8" t="str">
        <v/>
      </c>
      <c r="AG753" s="8" t="str">
        <v/>
      </c>
      <c r="AH753" s="8" t="str">
        <v/>
      </c>
      <c r="AI753" s="8" t="n">
        <v>24</v>
      </c>
      <c r="AJ753" s="8" t="str">
        <v>70～74</v>
      </c>
      <c r="AK753" s="8" t="str">
        <v>10～19</v>
      </c>
      <c r="AL753" s="8" t="str">
        <v>20～29</v>
      </c>
      <c r="AM753" s="8" t="str">
        <v>120～139</v>
      </c>
      <c r="AN753" s="8" t="str">
        <v>15以上</v>
      </c>
      <c r="AO753" s="8" t="str">
        <f aca="false">IF(A753="","",IF(COUNTIFS(全馬データ!$A$2:$A$50000,A753,全馬データ!$B$2:$B$50000,B753,全馬データ!$C$2:$C$50000,C753,全馬データ!$D$2:$D$50000,E753,全馬データ!$K$2:$K$50000,"&lt;&gt;")=0,"",SUMIFS(全馬データ!$K$2:$K$50000,全馬データ!$A$2:$A$50000,A753,全馬データ!$B$2:$B$50000,B753,全馬データ!$C$2:$C$50000,C753,全馬データ!$D$2:$D$50000,E753)))</f>
        <v/>
      </c>
      <c r="AP753" s="8" t="str">
        <f aca="false">IF(A753="","",IF(AO753="","欠損",IF(AO753&lt;=1.1,"1.0～1.1",IF(AO753&lt;1.3,"1.2",IF(AO753&lt;1.5,"1.3～1.4",IF(AO753&lt;2,"1.5～1.9","2.0以上"))))))</f>
        <v>欠損</v>
      </c>
      <c r="AQ753" s="8" t="str">
        <f aca="false">IF(A753="","",IF(ISNUMBER(SEARCH("2歳",Z753)),"2歳戦",IF(ISNUMBER(SEARCH("3歳未勝利",Z753)),"3歳未勝利",IF(ISNUMBER(SEARCH("未勝利",Z753)),"その他未勝利",IF(ISNUMBER(SEARCH("G1",Z753)),"G1",IF(ISNUMBER(SEARCH("G2",Z753)),"G2",IF(ISNUMBER(SEARCH("G3",Z753)),"G3",IF(ISNUMBER(SEARCH("古馬条件",Z753)),"古馬条件戦",IF(ISNUMBER(SEARCH("重賞",Z753)),"重賞","分類不能")))))))))</f>
        <v>分類不能</v>
      </c>
      <c r="AR753" s="8"/>
      <c r="AS753" s="8" t="s">
        <v>7626</v>
      </c>
      <c r="AT753" s="8" t="s">
        <v>7627</v>
      </c>
      <c r="AU753" s="8" t="s">
        <v>7628</v>
      </c>
      <c r="AV753" s="8" t="s">
        <v>7629</v>
      </c>
      <c r="AW753" s="8"/>
      <c r="AX753" s="8"/>
      <c r="AY753" s="8" t="s">
        <v>7602</v>
      </c>
      <c r="AZ753" s="4" t="s">
        <v>7603</v>
      </c>
      <c r="BA753" s="8" t="n">
        <v>1600</v>
      </c>
      <c r="BB753" s="8" t="s">
        <v>7659</v>
      </c>
      <c r="BC753" s="4" t="s">
        <v>7619</v>
      </c>
      <c r="BD753" s="8" t="s">
        <v>7605</v>
      </c>
      <c r="BE753" s="4" t="s">
        <v>7606</v>
      </c>
      <c r="BF753" s="8" t="s">
        <v>7607</v>
      </c>
      <c r="BG753" s="8" t="s">
        <v>7631</v>
      </c>
      <c r="BH753" s="4" t="s">
        <v>7632</v>
      </c>
      <c r="BI753" s="8" t="n">
        <v>16</v>
      </c>
      <c r="BJ753" s="8" t="s">
        <v>7610</v>
      </c>
      <c r="BK753" s="4" t="s">
        <v>7611</v>
      </c>
      <c r="BL753" s="8" t="s">
        <v>7602</v>
      </c>
      <c r="BM753" s="4" t="s">
        <v>7620</v>
      </c>
      <c r="BN753" s="8" t="s">
        <v>7676</v>
      </c>
      <c r="BO753" s="8" t="s">
        <v>7778</v>
      </c>
      <c r="BP753" s="8" t="s">
        <v>7602</v>
      </c>
      <c r="BQ753" s="8" t="str">
        <f aca="false">IF(A753="","",AT753)</f>
        <v>3歳以上</v>
      </c>
      <c r="BR753" s="8" t="str">
        <f aca="false">IF(A753="","",IF(BA753&lt;=1200,"～1200",IF(BA753&lt;=1500,"1300～1500",IF(BA753=1600,"1600",IF(BA753&lt;=1800,"1700～1800",IF(BA753&lt;=2000,"1900～2000","2100以上"))))))</f>
        <v>1600</v>
      </c>
      <c r="BS753" s="8" t="str">
        <f aca="false">IF(A753="","",IF(AX753="G1","G1",IF(AX753="G2","G2",IF(AX753="G3","G3",IF(AX753="L","L","その他")))))</f>
        <v>その他</v>
      </c>
      <c r="BT753" s="8" t="str">
        <f aca="false">IF(A753="","",IF(BI753="","未結合",IF(D753=BI753,"一致","不一致")))</f>
        <v>一致</v>
      </c>
      <c r="BU753" s="8" t="str">
        <f aca="false">IF(A753="","",IF(BE753="牝馬限定","牝馬限定","その他"))</f>
        <v>その他</v>
      </c>
    </row>
    <row r="754" customFormat="false" ht="15.75" hidden="false" customHeight="false" outlineLevel="0" collapsed="false">
      <c r="A754" s="6" t="n">
        <v>46194</v>
      </c>
      <c r="B754" s="4" t="s">
        <v>4172</v>
      </c>
      <c r="C754" s="8" t="n">
        <v>1</v>
      </c>
      <c r="D754" s="8" t="n">
        <v>16</v>
      </c>
      <c r="E754" s="8" t="n">
        <v>1</v>
      </c>
      <c r="F754" s="8"/>
      <c r="G754" s="8" t="n">
        <v>74</v>
      </c>
      <c r="H754" s="8" t="n">
        <v>14</v>
      </c>
      <c r="I754" s="8"/>
      <c r="J754" s="8" t="n">
        <v>52</v>
      </c>
      <c r="K754" s="8" t="n">
        <v>3</v>
      </c>
      <c r="L754" s="8"/>
      <c r="M754" s="8" t="n">
        <v>34</v>
      </c>
      <c r="N754" s="8" t="n">
        <f aca="false">IF(A754="","",G754-J754)</f>
        <v>22</v>
      </c>
      <c r="O754" s="8" t="n">
        <f aca="false">IF(A754="","",J754-M754)</f>
        <v>18</v>
      </c>
      <c r="P754" s="8" t="n">
        <f aca="false">IF(A754="","",G754+J754)</f>
        <v>126</v>
      </c>
      <c r="Q754" s="8" t="str">
        <f aca="false">IF(A754="","",IF(AND(Y754&lt;&gt;"参考",G754&gt;=ルール設定!$B$2),"○",""))</f>
        <v/>
      </c>
      <c r="R754" s="8" t="str">
        <f aca="false">IF(A754="","",IF(AND(Y754&lt;&gt;"参考",G754&gt;=ルール設定!$B$3,N754&gt;=ルール設定!$B$4),"○",""))</f>
        <v/>
      </c>
      <c r="S754" s="8" t="str">
        <f aca="false">IF(A754="","",IF(AND(Y754&lt;&gt;"参考",G754&gt;=ルール設定!$B$5,J754&gt;=ルール設定!$B$6,O754&gt;=ルール設定!$B$7),"○",""))</f>
        <v/>
      </c>
      <c r="T754" s="8" t="n">
        <v>1</v>
      </c>
      <c r="U754" s="8" t="n">
        <v>4</v>
      </c>
      <c r="V754" s="8" t="str">
        <f aca="false">IF(A754="","",IF(AND(ISNUMBER(T754),ISNUMBER(U754)),IF(AND(T754&lt;=3,U754&lt;=3),"○","×"),""))</f>
        <v>×</v>
      </c>
      <c r="W754" s="8" t="n">
        <v>140</v>
      </c>
      <c r="X754" s="8"/>
      <c r="Y754" s="4" t="s">
        <v>7597</v>
      </c>
      <c r="Z754" s="4" t="s">
        <v>6501</v>
      </c>
      <c r="AA754" s="8" t="str">
        <v/>
      </c>
      <c r="AB754" s="8" t="str">
        <v/>
      </c>
      <c r="AC754" s="8" t="str">
        <v/>
      </c>
      <c r="AD754" s="8" t="str">
        <v/>
      </c>
      <c r="AE754" s="8" t="str">
        <v/>
      </c>
      <c r="AF754" s="8" t="str">
        <v/>
      </c>
      <c r="AG754" s="8" t="str">
        <v/>
      </c>
      <c r="AH754" s="8" t="str">
        <v/>
      </c>
      <c r="AI754" s="8" t="n">
        <v>40</v>
      </c>
      <c r="AJ754" s="8" t="str">
        <v>70～74</v>
      </c>
      <c r="AK754" s="8" t="str">
        <v>20～29</v>
      </c>
      <c r="AL754" s="8" t="str">
        <v>40以上</v>
      </c>
      <c r="AM754" s="8" t="str">
        <v>120～139</v>
      </c>
      <c r="AN754" s="8" t="str">
        <v>15以上</v>
      </c>
      <c r="AO754" s="8" t="str">
        <f aca="false">IF(A754="","",IF(COUNTIFS(全馬データ!$A$2:$A$50000,A754,全馬データ!$B$2:$B$50000,B754,全馬データ!$C$2:$C$50000,C754,全馬データ!$D$2:$D$50000,E754,全馬データ!$K$2:$K$50000,"&lt;&gt;")=0,"",SUMIFS(全馬データ!$K$2:$K$50000,全馬データ!$A$2:$A$50000,A754,全馬データ!$B$2:$B$50000,B754,全馬データ!$C$2:$C$50000,C754,全馬データ!$D$2:$D$50000,E754)))</f>
        <v/>
      </c>
      <c r="AP754" s="8" t="str">
        <f aca="false">IF(A754="","",IF(AO754="","欠損",IF(AO754&lt;=1.1,"1.0～1.1",IF(AO754&lt;1.3,"1.2",IF(AO754&lt;1.5,"1.3～1.4",IF(AO754&lt;2,"1.5～1.9","2.0以上"))))))</f>
        <v>欠損</v>
      </c>
      <c r="AQ754" s="8" t="str">
        <f aca="false">IF(A754="","",IF(ISNUMBER(SEARCH("2歳",Z754)),"2歳戦",IF(ISNUMBER(SEARCH("3歳未勝利",Z754)),"3歳未勝利",IF(ISNUMBER(SEARCH("未勝利",Z754)),"その他未勝利",IF(ISNUMBER(SEARCH("G1",Z754)),"G1",IF(ISNUMBER(SEARCH("G2",Z754)),"G2",IF(ISNUMBER(SEARCH("G3",Z754)),"G3",IF(ISNUMBER(SEARCH("古馬条件",Z754)),"古馬条件戦",IF(ISNUMBER(SEARCH("重賞",Z754)),"重賞","分類不能")))))))))</f>
        <v>分類不能</v>
      </c>
      <c r="AR754" s="8"/>
      <c r="AS754" s="8" t="s">
        <v>7623</v>
      </c>
      <c r="AT754" s="8" t="s">
        <v>7624</v>
      </c>
      <c r="AU754" s="8" t="s">
        <v>7600</v>
      </c>
      <c r="AV754" s="4" t="s">
        <v>7601</v>
      </c>
      <c r="AW754" s="8"/>
      <c r="AX754" s="8"/>
      <c r="AY754" s="8" t="s">
        <v>7610</v>
      </c>
      <c r="AZ754" s="4" t="s">
        <v>7617</v>
      </c>
      <c r="BA754" s="8" t="n">
        <v>1400</v>
      </c>
      <c r="BB754" s="8" t="s">
        <v>7661</v>
      </c>
      <c r="BC754" s="4" t="s">
        <v>7662</v>
      </c>
      <c r="BD754" s="8" t="s">
        <v>7625</v>
      </c>
      <c r="BE754" s="4" t="s">
        <v>7606</v>
      </c>
      <c r="BF754" s="8" t="s">
        <v>7607</v>
      </c>
      <c r="BG754" s="8" t="s">
        <v>7608</v>
      </c>
      <c r="BH754" s="4" t="s">
        <v>7609</v>
      </c>
      <c r="BI754" s="8" t="n">
        <v>16</v>
      </c>
      <c r="BJ754" s="8" t="s">
        <v>7602</v>
      </c>
      <c r="BK754" s="4" t="s">
        <v>7653</v>
      </c>
      <c r="BL754" s="8" t="s">
        <v>7602</v>
      </c>
      <c r="BM754" s="4" t="s">
        <v>7620</v>
      </c>
      <c r="BN754" s="8"/>
      <c r="BO754" s="8"/>
      <c r="BP754" s="8" t="s">
        <v>7610</v>
      </c>
      <c r="BQ754" s="8" t="str">
        <f aca="false">IF(A754="","",AT754)</f>
        <v>3歳</v>
      </c>
      <c r="BR754" s="8" t="str">
        <f aca="false">IF(A754="","",IF(BA754&lt;=1200,"～1200",IF(BA754&lt;=1500,"1300～1500",IF(BA754=1600,"1600",IF(BA754&lt;=1800,"1700～1800",IF(BA754&lt;=2000,"1900～2000","2100以上"))))))</f>
        <v>1300～1500</v>
      </c>
      <c r="BS754" s="8" t="str">
        <f aca="false">IF(A754="","",IF(AX754="G1","G1",IF(AX754="G2","G2",IF(AX754="G3","G3",IF(AX754="L","L","その他")))))</f>
        <v>その他</v>
      </c>
      <c r="BT754" s="8" t="str">
        <f aca="false">IF(A754="","",IF(BI754="","未結合",IF(D754=BI754,"一致","不一致")))</f>
        <v>一致</v>
      </c>
      <c r="BU754" s="8" t="str">
        <f aca="false">IF(A754="","",IF(BE754="牝馬限定","牝馬限定","その他"))</f>
        <v>その他</v>
      </c>
    </row>
    <row r="755" customFormat="false" ht="15.75" hidden="false" customHeight="false" outlineLevel="0" collapsed="false">
      <c r="A755" s="6" t="n">
        <f aca="false">DATE(2026,8,15)</f>
        <v>46249</v>
      </c>
      <c r="B755" s="4" t="s">
        <v>179</v>
      </c>
      <c r="C755" s="8" t="n">
        <v>4</v>
      </c>
      <c r="D755" s="8" t="n">
        <v>14</v>
      </c>
      <c r="E755" s="8" t="n">
        <v>14</v>
      </c>
      <c r="F755" s="4" t="s">
        <v>3979</v>
      </c>
      <c r="G755" s="8" t="n">
        <v>86</v>
      </c>
      <c r="H755" s="8" t="n">
        <v>12</v>
      </c>
      <c r="I755" s="4" t="s">
        <v>2086</v>
      </c>
      <c r="J755" s="8" t="n">
        <v>37</v>
      </c>
      <c r="K755" s="8" t="n">
        <v>2</v>
      </c>
      <c r="L755" s="4" t="s">
        <v>2818</v>
      </c>
      <c r="M755" s="8" t="n">
        <v>34</v>
      </c>
      <c r="N755" s="8" t="n">
        <f aca="false">IF(A755="","",G755-J755)</f>
        <v>49</v>
      </c>
      <c r="O755" s="8" t="n">
        <f aca="false">IF(A755="","",J755-M755)</f>
        <v>3</v>
      </c>
      <c r="P755" s="8" t="n">
        <f aca="false">IF(A755="","",G755+J755)</f>
        <v>123</v>
      </c>
      <c r="Q755" s="8" t="str">
        <f aca="false">IF(A755="","",IF(AND(Y755&lt;&gt;"参考",G755&gt;=ルール設定!$B$2),"○",""))</f>
        <v>○</v>
      </c>
      <c r="R755" s="8" t="str">
        <f aca="false">IF(A755="","",IF(AND(Y755&lt;&gt;"参考",G755&gt;=ルール設定!$B$3,N755&gt;=ルール設定!$B$4),"○",""))</f>
        <v>○</v>
      </c>
      <c r="S755" s="8" t="str">
        <f aca="false">IF(A755="","",IF(AND(Y755&lt;&gt;"参考",G755&gt;=ルール設定!$B$5,J755&gt;=ルール設定!$B$6,O755&gt;=ルール設定!$B$7),"○",""))</f>
        <v/>
      </c>
      <c r="T755" s="8" t="n">
        <v>1</v>
      </c>
      <c r="U755" s="8" t="n">
        <v>3</v>
      </c>
      <c r="V755" s="8" t="str">
        <f aca="false">IF(A755="","",IF(AND(ISNUMBER(T755),ISNUMBER(U755)),IF(AND(T755&lt;=3,U755&lt;=3),"○","×"),""))</f>
        <v>○</v>
      </c>
      <c r="W755" s="8" t="n">
        <v>110</v>
      </c>
      <c r="X755" s="8" t="n">
        <v>240</v>
      </c>
      <c r="Y755" s="4" t="s">
        <v>7915</v>
      </c>
      <c r="Z755" s="4" t="s">
        <v>7916</v>
      </c>
      <c r="AA755" s="8" t="str">
        <v>○</v>
      </c>
      <c r="AB755" s="8" t="str">
        <v>○</v>
      </c>
      <c r="AC755" s="8" t="str">
        <v/>
      </c>
      <c r="AD755" s="8" t="str">
        <v>○</v>
      </c>
      <c r="AE755" s="8" t="str">
        <v/>
      </c>
      <c r="AF755" s="8" t="str">
        <v/>
      </c>
      <c r="AG755" s="8" t="str">
        <v>○</v>
      </c>
      <c r="AH755" s="8" t="str">
        <v/>
      </c>
      <c r="AI755" s="8" t="n">
        <v>52</v>
      </c>
      <c r="AJ755" s="8" t="str">
        <v>85以上</v>
      </c>
      <c r="AK755" s="8" t="str">
        <v>30以上</v>
      </c>
      <c r="AL755" s="8" t="str">
        <v>40以上</v>
      </c>
      <c r="AM755" s="8" t="str">
        <v>120～139</v>
      </c>
      <c r="AN755" s="8" t="str">
        <v>12～14</v>
      </c>
      <c r="AO755" s="8" t="str">
        <f aca="false">IF(A755="","",IF(COUNTIFS(全馬データ!$A$2:$A$50000,A755,全馬データ!$B$2:$B$50000,B755,全馬データ!$C$2:$C$50000,C755,全馬データ!$D$2:$D$50000,E755,全馬データ!$K$2:$K$50000,"&lt;&gt;")=0,"",SUMIFS(全馬データ!$K$2:$K$50000,全馬データ!$A$2:$A$50000,A755,全馬データ!$B$2:$B$50000,B755,全馬データ!$C$2:$C$50000,C755,全馬データ!$D$2:$D$50000,E755)))</f>
        <v/>
      </c>
      <c r="AP755" s="8" t="str">
        <f aca="false">IF(A755="","",IF(AO755="","欠損",IF(AO755&lt;=1.1,"1.0～1.1",IF(AO755&lt;1.3,"1.2",IF(AO755&lt;1.5,"1.3～1.4",IF(AO755&lt;2,"1.5～1.9","2.0以上"))))))</f>
        <v>欠損</v>
      </c>
      <c r="AQ755" s="8" t="str">
        <f aca="false">IF(A755="","",IF(ISNUMBER(SEARCH("2歳",Z755)),"2歳戦",IF(ISNUMBER(SEARCH("3歳未勝利",Z755)),"3歳未勝利",IF(ISNUMBER(SEARCH("未勝利",Z755)),"その他未勝利",IF(ISNUMBER(SEARCH("G1",Z755)),"G1",IF(ISNUMBER(SEARCH("G2",Z755)),"G2",IF(ISNUMBER(SEARCH("G3",Z755)),"G3",IF(ISNUMBER(SEARCH("古馬条件",Z755)),"古馬条件戦",IF(ISNUMBER(SEARCH("重賞",Z755)),"重賞","分類不能")))))))))</f>
        <v>分類不能</v>
      </c>
      <c r="AR755" s="8"/>
      <c r="AS755" s="8" t="s">
        <v>7623</v>
      </c>
      <c r="AT755" s="8" t="s">
        <v>7624</v>
      </c>
      <c r="AU755" s="8" t="s">
        <v>7600</v>
      </c>
      <c r="AV755" s="4" t="s">
        <v>7601</v>
      </c>
      <c r="AW755" s="8"/>
      <c r="AX755" s="8"/>
      <c r="AY755" s="8" t="s">
        <v>7602</v>
      </c>
      <c r="AZ755" s="4" t="s">
        <v>7603</v>
      </c>
      <c r="BA755" s="8" t="n">
        <v>1400</v>
      </c>
      <c r="BB755" s="8" t="s">
        <v>7598</v>
      </c>
      <c r="BC755" s="4" t="s">
        <v>7604</v>
      </c>
      <c r="BD755" s="8" t="s">
        <v>7605</v>
      </c>
      <c r="BE755" s="4" t="s">
        <v>7606</v>
      </c>
      <c r="BF755" s="8" t="s">
        <v>7607</v>
      </c>
      <c r="BG755" s="8" t="s">
        <v>7608</v>
      </c>
      <c r="BH755" s="4" t="s">
        <v>7609</v>
      </c>
      <c r="BI755" s="8" t="n">
        <v>14</v>
      </c>
      <c r="BJ755" s="8" t="s">
        <v>7610</v>
      </c>
      <c r="BK755" s="4" t="s">
        <v>7611</v>
      </c>
      <c r="BL755" s="8" t="s">
        <v>7602</v>
      </c>
      <c r="BM755" s="4" t="s">
        <v>7620</v>
      </c>
      <c r="BN755" s="8" t="s">
        <v>7602</v>
      </c>
      <c r="BO755" s="8" t="s">
        <v>7613</v>
      </c>
      <c r="BP755" s="8" t="s">
        <v>7610</v>
      </c>
      <c r="BQ755" s="8" t="str">
        <f aca="false">IF(A755="","",AT755)</f>
        <v>3歳</v>
      </c>
      <c r="BR755" s="8" t="str">
        <f aca="false">IF(A755="","",IF(BA755&lt;=1200,"～1200",IF(BA755&lt;=1500,"1300～1500",IF(BA755=1600,"1600",IF(BA755&lt;=1800,"1700～1800",IF(BA755&lt;=2000,"1900～2000","2100以上"))))))</f>
        <v>1300～1500</v>
      </c>
      <c r="BS755" s="8" t="str">
        <f aca="false">IF(A755="","",IF(AX755="G1","G1",IF(AX755="G2","G2",IF(AX755="G3","G3",IF(AX755="L","L","その他")))))</f>
        <v>その他</v>
      </c>
      <c r="BT755" s="8" t="str">
        <f aca="false">IF(A755="","",IF(BI755="","未結合",IF(D755=BI755,"一致","不一致")))</f>
        <v>一致</v>
      </c>
      <c r="BU755" s="8" t="str">
        <f aca="false">IF(A755="","",IF(BE755="牝馬限定","牝馬限定","その他"))</f>
        <v>その他</v>
      </c>
    </row>
    <row r="756" customFormat="false" ht="15.75" hidden="false" customHeight="false" outlineLevel="0" collapsed="false">
      <c r="A756" s="6" t="n">
        <f aca="false">DATE(2026,8,15)</f>
        <v>46249</v>
      </c>
      <c r="B756" s="4" t="s">
        <v>13</v>
      </c>
      <c r="C756" s="8" t="n">
        <v>10</v>
      </c>
      <c r="D756" s="8" t="n">
        <v>15</v>
      </c>
      <c r="E756" s="8" t="n">
        <v>9</v>
      </c>
      <c r="F756" s="4" t="s">
        <v>670</v>
      </c>
      <c r="G756" s="8" t="n">
        <v>81</v>
      </c>
      <c r="H756" s="8" t="n">
        <v>13</v>
      </c>
      <c r="I756" s="4" t="s">
        <v>617</v>
      </c>
      <c r="J756" s="8" t="n">
        <v>44</v>
      </c>
      <c r="K756" s="8" t="n">
        <v>5</v>
      </c>
      <c r="L756" s="4" t="s">
        <v>4692</v>
      </c>
      <c r="M756" s="8" t="n">
        <v>29</v>
      </c>
      <c r="N756" s="8" t="n">
        <f aca="false">IF(A756="","",G756-J756)</f>
        <v>37</v>
      </c>
      <c r="O756" s="8" t="n">
        <f aca="false">IF(A756="","",J756-M756)</f>
        <v>15</v>
      </c>
      <c r="P756" s="8" t="n">
        <f aca="false">IF(A756="","",G756+J756)</f>
        <v>125</v>
      </c>
      <c r="Q756" s="8" t="str">
        <f aca="false">IF(A756="","",IF(AND(Y756&lt;&gt;"参考",G756&gt;=ルール設定!$B$2),"○",""))</f>
        <v>○</v>
      </c>
      <c r="R756" s="8" t="str">
        <f aca="false">IF(A756="","",IF(AND(Y756&lt;&gt;"参考",G756&gt;=ルール設定!$B$3,N756&gt;=ルール設定!$B$4),"○",""))</f>
        <v>○</v>
      </c>
      <c r="S756" s="8" t="str">
        <f aca="false">IF(A756="","",IF(AND(Y756&lt;&gt;"参考",G756&gt;=ルール設定!$B$5,J756&gt;=ルール設定!$B$6,O756&gt;=ルール設定!$B$7),"○",""))</f>
        <v/>
      </c>
      <c r="T756" s="8" t="n">
        <v>1</v>
      </c>
      <c r="U756" s="8" t="n">
        <v>4</v>
      </c>
      <c r="V756" s="8" t="str">
        <f aca="false">IF(A756="","",IF(AND(ISNUMBER(T756),ISNUMBER(U756)),IF(AND(T756&lt;=3,U756&lt;=3),"○","×"),""))</f>
        <v>×</v>
      </c>
      <c r="W756" s="8" t="n">
        <v>110</v>
      </c>
      <c r="X756" s="8"/>
      <c r="Y756" s="4" t="s">
        <v>7915</v>
      </c>
      <c r="Z756" s="4" t="s">
        <v>7917</v>
      </c>
      <c r="AA756" s="8" t="str">
        <v/>
      </c>
      <c r="AB756" s="8" t="str">
        <v>○</v>
      </c>
      <c r="AC756" s="8" t="str">
        <v/>
      </c>
      <c r="AD756" s="8" t="str">
        <v>○</v>
      </c>
      <c r="AE756" s="8" t="str">
        <v/>
      </c>
      <c r="AF756" s="8" t="str">
        <v/>
      </c>
      <c r="AG756" s="8" t="str">
        <v>○</v>
      </c>
      <c r="AH756" s="8" t="str">
        <v/>
      </c>
      <c r="AI756" s="8" t="n">
        <v>52</v>
      </c>
      <c r="AJ756" s="8" t="str">
        <v>80～84</v>
      </c>
      <c r="AK756" s="8" t="str">
        <v>30以上</v>
      </c>
      <c r="AL756" s="8" t="str">
        <v>40以上</v>
      </c>
      <c r="AM756" s="8" t="str">
        <v>120～139</v>
      </c>
      <c r="AN756" s="8" t="str">
        <v>15以上</v>
      </c>
      <c r="AO756" s="8" t="str">
        <f aca="false">IF(A756="","",IF(COUNTIFS(全馬データ!$A$2:$A$50000,A756,全馬データ!$B$2:$B$50000,B756,全馬データ!$C$2:$C$50000,C756,全馬データ!$D$2:$D$50000,E756,全馬データ!$K$2:$K$50000,"&lt;&gt;")=0,"",SUMIFS(全馬データ!$K$2:$K$50000,全馬データ!$A$2:$A$50000,A756,全馬データ!$B$2:$B$50000,B756,全馬データ!$C$2:$C$50000,C756,全馬データ!$D$2:$D$50000,E756)))</f>
        <v/>
      </c>
      <c r="AP756" s="8" t="str">
        <f aca="false">IF(A756="","",IF(AO756="","欠損",IF(AO756&lt;=1.1,"1.0～1.1",IF(AO756&lt;1.3,"1.2",IF(AO756&lt;1.5,"1.3～1.4",IF(AO756&lt;2,"1.5～1.9","2.0以上"))))))</f>
        <v>欠損</v>
      </c>
      <c r="AQ756" s="8" t="str">
        <f aca="false">IF(A756="","",IF(ISNUMBER(SEARCH("2歳",Z756)),"2歳戦",IF(ISNUMBER(SEARCH("3歳未勝利",Z756)),"3歳未勝利",IF(ISNUMBER(SEARCH("未勝利",Z756)),"その他未勝利",IF(ISNUMBER(SEARCH("G1",Z756)),"G1",IF(ISNUMBER(SEARCH("G2",Z756)),"G2",IF(ISNUMBER(SEARCH("G3",Z756)),"G3",IF(ISNUMBER(SEARCH("古馬条件",Z756)),"古馬条件戦",IF(ISNUMBER(SEARCH("重賞",Z756)),"重賞","分類不能")))))))))</f>
        <v>分類不能</v>
      </c>
      <c r="AR756" s="8"/>
      <c r="AS756" s="8" t="s">
        <v>7623</v>
      </c>
      <c r="AT756" s="8" t="s">
        <v>7624</v>
      </c>
      <c r="AU756" s="8" t="s">
        <v>7600</v>
      </c>
      <c r="AV756" s="4" t="s">
        <v>7601</v>
      </c>
      <c r="AW756" s="8"/>
      <c r="AX756" s="8"/>
      <c r="AY756" s="8" t="s">
        <v>7610</v>
      </c>
      <c r="AZ756" s="4" t="s">
        <v>7617</v>
      </c>
      <c r="BA756" s="8" t="n">
        <v>1800</v>
      </c>
      <c r="BB756" s="8" t="s">
        <v>7634</v>
      </c>
      <c r="BC756" s="4" t="s">
        <v>7604</v>
      </c>
      <c r="BD756" s="8" t="s">
        <v>7625</v>
      </c>
      <c r="BE756" s="4" t="s">
        <v>7606</v>
      </c>
      <c r="BF756" s="8" t="s">
        <v>7607</v>
      </c>
      <c r="BG756" s="8" t="s">
        <v>7608</v>
      </c>
      <c r="BH756" s="4" t="s">
        <v>7609</v>
      </c>
      <c r="BI756" s="8" t="n">
        <v>15</v>
      </c>
      <c r="BJ756" s="8" t="s">
        <v>7610</v>
      </c>
      <c r="BK756" s="4" t="s">
        <v>7611</v>
      </c>
      <c r="BL756" s="8" t="s">
        <v>7602</v>
      </c>
      <c r="BM756" s="4" t="s">
        <v>7620</v>
      </c>
      <c r="BN756" s="8"/>
      <c r="BO756" s="8"/>
      <c r="BP756" s="8" t="s">
        <v>7602</v>
      </c>
      <c r="BQ756" s="8" t="str">
        <f aca="false">IF(A756="","",AT756)</f>
        <v>3歳</v>
      </c>
      <c r="BR756" s="8" t="str">
        <f aca="false">IF(A756="","",IF(BA756&lt;=1200,"～1200",IF(BA756&lt;=1500,"1300～1500",IF(BA756=1600,"1600",IF(BA756&lt;=1800,"1700～1800",IF(BA756&lt;=2000,"1900～2000","2100以上"))))))</f>
        <v>1700～1800</v>
      </c>
      <c r="BS756" s="8" t="str">
        <f aca="false">IF(A756="","",IF(AX756="G1","G1",IF(AX756="G2","G2",IF(AX756="G3","G3",IF(AX756="L","L","その他")))))</f>
        <v>その他</v>
      </c>
      <c r="BT756" s="8" t="str">
        <f aca="false">IF(A756="","",IF(BI756="","未結合",IF(D756=BI756,"一致","不一致")))</f>
        <v>一致</v>
      </c>
      <c r="BU756" s="8" t="str">
        <f aca="false">IF(A756="","",IF(BE756="牝馬限定","牝馬限定","その他"))</f>
        <v>その他</v>
      </c>
    </row>
    <row r="757" customFormat="false" ht="15.75" hidden="false" customHeight="false" outlineLevel="0" collapsed="false">
      <c r="A757" s="6" t="n">
        <f aca="false">DATE(2026,8,15)</f>
        <v>46249</v>
      </c>
      <c r="B757" s="4" t="s">
        <v>179</v>
      </c>
      <c r="C757" s="8" t="n">
        <v>12</v>
      </c>
      <c r="D757" s="8" t="n">
        <v>16</v>
      </c>
      <c r="E757" s="8" t="n">
        <v>5</v>
      </c>
      <c r="F757" s="4" t="s">
        <v>3920</v>
      </c>
      <c r="G757" s="8" t="n">
        <v>81</v>
      </c>
      <c r="H757" s="8" t="n">
        <v>7</v>
      </c>
      <c r="I757" s="4" t="s">
        <v>3915</v>
      </c>
      <c r="J757" s="8" t="n">
        <v>52</v>
      </c>
      <c r="K757" s="8" t="n">
        <v>6</v>
      </c>
      <c r="L757" s="4" t="s">
        <v>3914</v>
      </c>
      <c r="M757" s="8" t="n">
        <v>39</v>
      </c>
      <c r="N757" s="8" t="n">
        <f aca="false">IF(A757="","",G757-J757)</f>
        <v>29</v>
      </c>
      <c r="O757" s="8" t="n">
        <f aca="false">IF(A757="","",J757-M757)</f>
        <v>13</v>
      </c>
      <c r="P757" s="8" t="n">
        <f aca="false">IF(A757="","",G757+J757)</f>
        <v>133</v>
      </c>
      <c r="Q757" s="8" t="str">
        <f aca="false">IF(A757="","",IF(AND(Y757&lt;&gt;"参考",G757&gt;=ルール設定!$B$2),"○",""))</f>
        <v>○</v>
      </c>
      <c r="R757" s="8" t="str">
        <f aca="false">IF(A757="","",IF(AND(Y757&lt;&gt;"参考",G757&gt;=ルール設定!$B$3,N757&gt;=ルール設定!$B$4),"○",""))</f>
        <v/>
      </c>
      <c r="S757" s="8" t="str">
        <f aca="false">IF(A757="","",IF(AND(Y757&lt;&gt;"参考",G757&gt;=ルール設定!$B$5,J757&gt;=ルール設定!$B$6,O757&gt;=ルール設定!$B$7),"○",""))</f>
        <v/>
      </c>
      <c r="T757" s="8" t="n">
        <v>2</v>
      </c>
      <c r="U757" s="8" t="n">
        <v>3</v>
      </c>
      <c r="V757" s="8" t="str">
        <f aca="false">IF(A757="","",IF(AND(ISNUMBER(T757),ISNUMBER(U757)),IF(AND(T757&lt;=3,U757&lt;=3),"○","×"),""))</f>
        <v>○</v>
      </c>
      <c r="W757" s="8" t="n">
        <v>130</v>
      </c>
      <c r="X757" s="8" t="n">
        <v>250</v>
      </c>
      <c r="Y757" s="4" t="s">
        <v>7915</v>
      </c>
      <c r="Z757" s="4" t="s">
        <v>7918</v>
      </c>
      <c r="AA757" s="8" t="str">
        <v/>
      </c>
      <c r="AB757" s="8" t="str">
        <v>○</v>
      </c>
      <c r="AC757" s="8" t="str">
        <v>○</v>
      </c>
      <c r="AD757" s="8" t="str">
        <v/>
      </c>
      <c r="AE757" s="8" t="str">
        <v/>
      </c>
      <c r="AF757" s="8" t="str">
        <v/>
      </c>
      <c r="AG757" s="8" t="str">
        <v>○</v>
      </c>
      <c r="AH757" s="8" t="str">
        <v/>
      </c>
      <c r="AI757" s="8" t="n">
        <v>42</v>
      </c>
      <c r="AJ757" s="8" t="str">
        <v>80～84</v>
      </c>
      <c r="AK757" s="8" t="str">
        <v>20～29</v>
      </c>
      <c r="AL757" s="8" t="str">
        <v>40以上</v>
      </c>
      <c r="AM757" s="8" t="str">
        <v>120～139</v>
      </c>
      <c r="AN757" s="8" t="str">
        <v>15以上</v>
      </c>
      <c r="AO757" s="8" t="str">
        <f aca="false">IF(A757="","",IF(COUNTIFS(全馬データ!$A$2:$A$50000,A757,全馬データ!$B$2:$B$50000,B757,全馬データ!$C$2:$C$50000,C757,全馬データ!$D$2:$D$50000,E757,全馬データ!$K$2:$K$50000,"&lt;&gt;")=0,"",SUMIFS(全馬データ!$K$2:$K$50000,全馬データ!$A$2:$A$50000,A757,全馬データ!$B$2:$B$50000,B757,全馬データ!$C$2:$C$50000,C757,全馬データ!$D$2:$D$50000,E757)))</f>
        <v/>
      </c>
      <c r="AP757" s="8" t="str">
        <f aca="false">IF(A757="","",IF(AO757="","欠損",IF(AO757&lt;=1.1,"1.0～1.1",IF(AO757&lt;1.3,"1.2",IF(AO757&lt;1.5,"1.3～1.4",IF(AO757&lt;2,"1.5～1.9","2.0以上"))))))</f>
        <v>欠損</v>
      </c>
      <c r="AQ757" s="8" t="str">
        <f aca="false">IF(A757="","",IF(ISNUMBER(SEARCH("2歳",Z757)),"2歳戦",IF(ISNUMBER(SEARCH("3歳未勝利",Z757)),"3歳未勝利",IF(ISNUMBER(SEARCH("未勝利",Z757)),"その他未勝利",IF(ISNUMBER(SEARCH("G1",Z757)),"G1",IF(ISNUMBER(SEARCH("G2",Z757)),"G2",IF(ISNUMBER(SEARCH("G3",Z757)),"G3",IF(ISNUMBER(SEARCH("古馬条件",Z757)),"古馬条件戦",IF(ISNUMBER(SEARCH("重賞",Z757)),"重賞","分類不能")))))))))</f>
        <v>分類不能</v>
      </c>
      <c r="AR757" s="8"/>
      <c r="AS757" s="8" t="s">
        <v>7623</v>
      </c>
      <c r="AT757" s="8" t="s">
        <v>7624</v>
      </c>
      <c r="AU757" s="8" t="s">
        <v>7600</v>
      </c>
      <c r="AV757" s="4" t="s">
        <v>7601</v>
      </c>
      <c r="AW757" s="8"/>
      <c r="AX757" s="8"/>
      <c r="AY757" s="8" t="s">
        <v>7610</v>
      </c>
      <c r="AZ757" s="4" t="s">
        <v>7617</v>
      </c>
      <c r="BA757" s="8" t="n">
        <v>1200</v>
      </c>
      <c r="BB757" s="8" t="s">
        <v>7634</v>
      </c>
      <c r="BC757" s="4" t="s">
        <v>7604</v>
      </c>
      <c r="BD757" s="8" t="s">
        <v>7625</v>
      </c>
      <c r="BE757" s="4" t="s">
        <v>7606</v>
      </c>
      <c r="BF757" s="8" t="s">
        <v>7607</v>
      </c>
      <c r="BG757" s="8" t="s">
        <v>7608</v>
      </c>
      <c r="BH757" s="4" t="s">
        <v>7609</v>
      </c>
      <c r="BI757" s="8" t="n">
        <v>16</v>
      </c>
      <c r="BJ757" s="8" t="s">
        <v>7610</v>
      </c>
      <c r="BK757" s="4" t="s">
        <v>7611</v>
      </c>
      <c r="BL757" s="8" t="s">
        <v>7602</v>
      </c>
      <c r="BM757" s="4" t="s">
        <v>7620</v>
      </c>
      <c r="BN757" s="8"/>
      <c r="BO757" s="8"/>
      <c r="BP757" s="8" t="s">
        <v>7610</v>
      </c>
      <c r="BQ757" s="8" t="str">
        <f aca="false">IF(A757="","",AT757)</f>
        <v>3歳</v>
      </c>
      <c r="BR757" s="8" t="str">
        <f aca="false">IF(A757="","",IF(BA757&lt;=1200,"～1200",IF(BA757&lt;=1500,"1300～1500",IF(BA757=1600,"1600",IF(BA757&lt;=1800,"1700～1800",IF(BA757&lt;=2000,"1900～2000","2100以上"))))))</f>
        <v>～1200</v>
      </c>
      <c r="BS757" s="8" t="str">
        <f aca="false">IF(A757="","",IF(AX757="G1","G1",IF(AX757="G2","G2",IF(AX757="G3","G3",IF(AX757="L","L","その他")))))</f>
        <v>その他</v>
      </c>
      <c r="BT757" s="8" t="str">
        <f aca="false">IF(A757="","",IF(BI757="","未結合",IF(D757=BI757,"一致","不一致")))</f>
        <v>一致</v>
      </c>
      <c r="BU757" s="8" t="str">
        <f aca="false">IF(A757="","",IF(BE757="牝馬限定","牝馬限定","その他"))</f>
        <v>その他</v>
      </c>
    </row>
    <row r="758" customFormat="false" ht="15.75" hidden="false" customHeight="false" outlineLevel="0" collapsed="false">
      <c r="A758" s="6" t="n">
        <f aca="false">DATE(2026,8,15)</f>
        <v>46249</v>
      </c>
      <c r="B758" s="4" t="s">
        <v>179</v>
      </c>
      <c r="C758" s="8" t="n">
        <v>1</v>
      </c>
      <c r="D758" s="8" t="n">
        <v>16</v>
      </c>
      <c r="E758" s="8" t="n">
        <v>1</v>
      </c>
      <c r="F758" s="4" t="s">
        <v>5029</v>
      </c>
      <c r="G758" s="8" t="n">
        <v>81</v>
      </c>
      <c r="H758" s="8" t="n">
        <v>15</v>
      </c>
      <c r="I758" s="4" t="s">
        <v>6559</v>
      </c>
      <c r="J758" s="8" t="n">
        <v>60</v>
      </c>
      <c r="K758" s="8" t="n">
        <v>7</v>
      </c>
      <c r="L758" s="4" t="s">
        <v>638</v>
      </c>
      <c r="M758" s="8" t="n">
        <v>41</v>
      </c>
      <c r="N758" s="8" t="n">
        <f aca="false">IF(A758="","",G758-J758)</f>
        <v>21</v>
      </c>
      <c r="O758" s="8" t="n">
        <f aca="false">IF(A758="","",J758-M758)</f>
        <v>19</v>
      </c>
      <c r="P758" s="8" t="n">
        <f aca="false">IF(A758="","",G758+J758)</f>
        <v>141</v>
      </c>
      <c r="Q758" s="8" t="str">
        <f aca="false">IF(A758="","",IF(AND(Y758&lt;&gt;"参考",G758&gt;=ルール設定!$B$2),"○",""))</f>
        <v>○</v>
      </c>
      <c r="R758" s="8" t="str">
        <f aca="false">IF(A758="","",IF(AND(Y758&lt;&gt;"参考",G758&gt;=ルール設定!$B$3,N758&gt;=ルール設定!$B$4),"○",""))</f>
        <v/>
      </c>
      <c r="S758" s="8" t="str">
        <f aca="false">IF(A758="","",IF(AND(Y758&lt;&gt;"参考",G758&gt;=ルール設定!$B$5,J758&gt;=ルール設定!$B$6,O758&gt;=ルール設定!$B$7),"○",""))</f>
        <v/>
      </c>
      <c r="T758" s="8" t="n">
        <v>4</v>
      </c>
      <c r="U758" s="8" t="n">
        <v>4</v>
      </c>
      <c r="V758" s="8" t="str">
        <f aca="false">IF(A758="","",IF(AND(ISNUMBER(T758),ISNUMBER(U758)),IF(AND(T758&lt;=3,U758&lt;=3),"○","×"),""))</f>
        <v>×</v>
      </c>
      <c r="W758" s="8"/>
      <c r="X758" s="8"/>
      <c r="Y758" s="4" t="s">
        <v>7915</v>
      </c>
      <c r="Z758" s="4" t="s">
        <v>7919</v>
      </c>
      <c r="AA758" s="8" t="str">
        <v/>
      </c>
      <c r="AB758" s="8" t="str">
        <v>○</v>
      </c>
      <c r="AC758" s="8" t="str">
        <v>○</v>
      </c>
      <c r="AD758" s="8" t="str">
        <v/>
      </c>
      <c r="AE758" s="8" t="str">
        <v/>
      </c>
      <c r="AF758" s="8" t="str">
        <v>○</v>
      </c>
      <c r="AG758" s="8" t="str">
        <v>○</v>
      </c>
      <c r="AH758" s="8" t="str">
        <v/>
      </c>
      <c r="AI758" s="8" t="n">
        <v>40</v>
      </c>
      <c r="AJ758" s="8" t="str">
        <v>80～84</v>
      </c>
      <c r="AK758" s="8" t="str">
        <v>20～29</v>
      </c>
      <c r="AL758" s="8" t="str">
        <v>40以上</v>
      </c>
      <c r="AM758" s="8" t="str">
        <v>140～159</v>
      </c>
      <c r="AN758" s="8" t="str">
        <v>15以上</v>
      </c>
      <c r="AO758" s="8" t="str">
        <f aca="false">IF(A758="","",IF(COUNTIFS(全馬データ!$A$2:$A$50000,A758,全馬データ!$B$2:$B$50000,B758,全馬データ!$C$2:$C$50000,C758,全馬データ!$D$2:$D$50000,E758,全馬データ!$K$2:$K$50000,"&lt;&gt;")=0,"",SUMIFS(全馬データ!$K$2:$K$50000,全馬データ!$A$2:$A$50000,A758,全馬データ!$B$2:$B$50000,B758,全馬データ!$C$2:$C$50000,C758,全馬データ!$D$2:$D$50000,E758)))</f>
        <v/>
      </c>
      <c r="AP758" s="8" t="str">
        <f aca="false">IF(A758="","",IF(AO758="","欠損",IF(AO758&lt;=1.1,"1.0～1.1",IF(AO758&lt;1.3,"1.2",IF(AO758&lt;1.5,"1.3～1.4",IF(AO758&lt;2,"1.5～1.9","2.0以上"))))))</f>
        <v>欠損</v>
      </c>
      <c r="AQ758" s="8" t="str">
        <f aca="false">IF(A758="","",IF(ISNUMBER(SEARCH("2歳",Z758)),"2歳戦",IF(ISNUMBER(SEARCH("3歳未勝利",Z758)),"3歳未勝利",IF(ISNUMBER(SEARCH("未勝利",Z758)),"その他未勝利",IF(ISNUMBER(SEARCH("G1",Z758)),"G1",IF(ISNUMBER(SEARCH("G2",Z758)),"G2",IF(ISNUMBER(SEARCH("G3",Z758)),"G3",IF(ISNUMBER(SEARCH("古馬条件",Z758)),"古馬条件戦",IF(ISNUMBER(SEARCH("重賞",Z758)),"重賞","分類不能")))))))))</f>
        <v>2歳戦</v>
      </c>
      <c r="AR758" s="8"/>
      <c r="AS758" s="8" t="s">
        <v>7598</v>
      </c>
      <c r="AT758" s="8" t="s">
        <v>7599</v>
      </c>
      <c r="AU758" s="8" t="s">
        <v>7600</v>
      </c>
      <c r="AV758" s="4" t="s">
        <v>7601</v>
      </c>
      <c r="AW758" s="8"/>
      <c r="AX758" s="8"/>
      <c r="AY758" s="8" t="s">
        <v>7610</v>
      </c>
      <c r="AZ758" s="4" t="s">
        <v>7617</v>
      </c>
      <c r="BA758" s="8" t="n">
        <v>1400</v>
      </c>
      <c r="BB758" s="8" t="s">
        <v>7598</v>
      </c>
      <c r="BC758" s="4" t="s">
        <v>7604</v>
      </c>
      <c r="BD758" s="8" t="s">
        <v>7605</v>
      </c>
      <c r="BE758" s="4" t="s">
        <v>7606</v>
      </c>
      <c r="BF758" s="8" t="s">
        <v>7607</v>
      </c>
      <c r="BG758" s="8" t="s">
        <v>7608</v>
      </c>
      <c r="BH758" s="4" t="s">
        <v>7609</v>
      </c>
      <c r="BI758" s="8" t="n">
        <v>16</v>
      </c>
      <c r="BJ758" s="8" t="s">
        <v>7610</v>
      </c>
      <c r="BK758" s="4" t="s">
        <v>7611</v>
      </c>
      <c r="BL758" s="8" t="s">
        <v>7602</v>
      </c>
      <c r="BM758" s="4" t="s">
        <v>7620</v>
      </c>
      <c r="BN758" s="8"/>
      <c r="BO758" s="8"/>
      <c r="BP758" s="8" t="s">
        <v>7610</v>
      </c>
      <c r="BQ758" s="8" t="str">
        <f aca="false">IF(A758="","",AT758)</f>
        <v>2歳</v>
      </c>
      <c r="BR758" s="8" t="str">
        <f aca="false">IF(A758="","",IF(BA758&lt;=1200,"～1200",IF(BA758&lt;=1500,"1300～1500",IF(BA758=1600,"1600",IF(BA758&lt;=1800,"1700～1800",IF(BA758&lt;=2000,"1900～2000","2100以上"))))))</f>
        <v>1300～1500</v>
      </c>
      <c r="BS758" s="8" t="str">
        <f aca="false">IF(A758="","",IF(AX758="G1","G1",IF(AX758="G2","G2",IF(AX758="G3","G3",IF(AX758="L","L","その他")))))</f>
        <v>その他</v>
      </c>
      <c r="BT758" s="8" t="str">
        <f aca="false">IF(A758="","",IF(BI758="","未結合",IF(D758=BI758,"一致","不一致")))</f>
        <v>一致</v>
      </c>
      <c r="BU758" s="8" t="str">
        <f aca="false">IF(A758="","",IF(BE758="牝馬限定","牝馬限定","その他"))</f>
        <v>その他</v>
      </c>
    </row>
    <row r="759" customFormat="false" ht="15.75" hidden="false" customHeight="false" outlineLevel="0" collapsed="false">
      <c r="A759" s="6" t="n">
        <f aca="false">DATE(2026,8,16)</f>
        <v>46250</v>
      </c>
      <c r="B759" s="4" t="s">
        <v>13</v>
      </c>
      <c r="C759" s="8" t="n">
        <v>5</v>
      </c>
      <c r="D759" s="8" t="n">
        <v>12</v>
      </c>
      <c r="E759" s="8" t="n">
        <v>6</v>
      </c>
      <c r="F759" s="4" t="s">
        <v>6802</v>
      </c>
      <c r="G759" s="8" t="n">
        <v>86</v>
      </c>
      <c r="H759" s="8" t="n">
        <v>10</v>
      </c>
      <c r="I759" s="4" t="s">
        <v>72</v>
      </c>
      <c r="J759" s="8" t="n">
        <v>62</v>
      </c>
      <c r="K759" s="8" t="n">
        <v>11</v>
      </c>
      <c r="L759" s="4" t="s">
        <v>5395</v>
      </c>
      <c r="M759" s="8" t="n">
        <v>47</v>
      </c>
      <c r="N759" s="8" t="n">
        <f aca="false">IF(A759="","",G759-J759)</f>
        <v>24</v>
      </c>
      <c r="O759" s="8" t="n">
        <f aca="false">IF(A759="","",J759-M759)</f>
        <v>15</v>
      </c>
      <c r="P759" s="8" t="n">
        <f aca="false">IF(A759="","",G759+J759)</f>
        <v>148</v>
      </c>
      <c r="Q759" s="8" t="str">
        <f aca="false">IF(A759="","",IF(AND(Y759&lt;&gt;"参考",G759&gt;=ルール設定!$B$2),"○",""))</f>
        <v>○</v>
      </c>
      <c r="R759" s="8" t="str">
        <f aca="false">IF(A759="","",IF(AND(Y759&lt;&gt;"参考",G759&gt;=ルール設定!$B$3,N759&gt;=ルール設定!$B$4),"○",""))</f>
        <v/>
      </c>
      <c r="S759" s="8" t="str">
        <f aca="false">IF(A759="","",IF(AND(Y759&lt;&gt;"参考",G759&gt;=ルール設定!$B$5,J759&gt;=ルール設定!$B$6,O759&gt;=ルール設定!$B$7),"○",""))</f>
        <v/>
      </c>
      <c r="T759" s="8" t="n">
        <v>4</v>
      </c>
      <c r="U759" s="8" t="n">
        <v>1</v>
      </c>
      <c r="V759" s="8" t="str">
        <f aca="false">IF(A759="","",IF(AND(ISNUMBER(T759),ISNUMBER(U759)),IF(AND(T759&lt;=3,U759&lt;=3),"○","×"),""))</f>
        <v>×</v>
      </c>
      <c r="W759" s="8"/>
      <c r="X759" s="8"/>
      <c r="Y759" s="4" t="s">
        <v>7915</v>
      </c>
      <c r="Z759" s="4" t="s">
        <v>7920</v>
      </c>
      <c r="AA759" s="8" t="str">
        <v>○</v>
      </c>
      <c r="AB759" s="8" t="str">
        <v>○</v>
      </c>
      <c r="AC759" s="8" t="str">
        <v>○</v>
      </c>
      <c r="AD759" s="8" t="str">
        <v/>
      </c>
      <c r="AE759" s="8" t="str">
        <v/>
      </c>
      <c r="AF759" s="8" t="str">
        <v>○</v>
      </c>
      <c r="AG759" s="8" t="str">
        <v>○</v>
      </c>
      <c r="AH759" s="8" t="str">
        <v/>
      </c>
      <c r="AI759" s="8" t="n">
        <v>39</v>
      </c>
      <c r="AJ759" s="8" t="str">
        <v>85以上</v>
      </c>
      <c r="AK759" s="8" t="str">
        <v>20～29</v>
      </c>
      <c r="AL759" s="8" t="str">
        <v>30～39</v>
      </c>
      <c r="AM759" s="8" t="str">
        <v>140～159</v>
      </c>
      <c r="AN759" s="8" t="str">
        <v>12～14</v>
      </c>
      <c r="AO759" s="8" t="str">
        <f aca="false">IF(A759="","",IF(COUNTIFS(全馬データ!$A$2:$A$50000,A759,全馬データ!$B$2:$B$50000,B759,全馬データ!$C$2:$C$50000,C759,全馬データ!$D$2:$D$50000,E759,全馬データ!$K$2:$K$50000,"&lt;&gt;")=0,"",SUMIFS(全馬データ!$K$2:$K$50000,全馬データ!$A$2:$A$50000,A759,全馬データ!$B$2:$B$50000,B759,全馬データ!$C$2:$C$50000,C759,全馬データ!$D$2:$D$50000,E759)))</f>
        <v/>
      </c>
      <c r="AP759" s="8" t="str">
        <f aca="false">IF(A759="","",IF(AO759="","欠損",IF(AO759&lt;=1.1,"1.0～1.1",IF(AO759&lt;1.3,"1.2",IF(AO759&lt;1.5,"1.3～1.4",IF(AO759&lt;2,"1.5～1.9","2.0以上"))))))</f>
        <v>欠損</v>
      </c>
      <c r="AQ759" s="8" t="str">
        <f aca="false">IF(A759="","",IF(ISNUMBER(SEARCH("2歳",Z759)),"2歳戦",IF(ISNUMBER(SEARCH("3歳未勝利",Z759)),"3歳未勝利",IF(ISNUMBER(SEARCH("未勝利",Z759)),"その他未勝利",IF(ISNUMBER(SEARCH("G1",Z759)),"G1",IF(ISNUMBER(SEARCH("G2",Z759)),"G2",IF(ISNUMBER(SEARCH("G3",Z759)),"G3",IF(ISNUMBER(SEARCH("古馬条件",Z759)),"古馬条件戦",IF(ISNUMBER(SEARCH("重賞",Z759)),"重賞","分類不能")))))))))</f>
        <v>分類不能</v>
      </c>
      <c r="AR759" s="8"/>
      <c r="AS759" s="8" t="s">
        <v>7626</v>
      </c>
      <c r="AT759" s="8" t="s">
        <v>7627</v>
      </c>
      <c r="AU759" s="8" t="s">
        <v>7628</v>
      </c>
      <c r="AV759" s="8" t="s">
        <v>7629</v>
      </c>
      <c r="AW759" s="8"/>
      <c r="AX759" s="8"/>
      <c r="AY759" s="8" t="s">
        <v>7602</v>
      </c>
      <c r="AZ759" s="4" t="s">
        <v>7603</v>
      </c>
      <c r="BA759" s="8" t="n">
        <v>1800</v>
      </c>
      <c r="BB759" s="8" t="s">
        <v>7598</v>
      </c>
      <c r="BC759" s="4" t="s">
        <v>7604</v>
      </c>
      <c r="BD759" s="8" t="s">
        <v>7605</v>
      </c>
      <c r="BE759" s="4" t="s">
        <v>7606</v>
      </c>
      <c r="BF759" s="8" t="s">
        <v>7607</v>
      </c>
      <c r="BG759" s="8" t="s">
        <v>7631</v>
      </c>
      <c r="BH759" s="4" t="s">
        <v>7632</v>
      </c>
      <c r="BI759" s="8" t="n">
        <v>12</v>
      </c>
      <c r="BJ759" s="8" t="s">
        <v>7610</v>
      </c>
      <c r="BK759" s="4" t="s">
        <v>7611</v>
      </c>
      <c r="BL759" s="8" t="s">
        <v>7610</v>
      </c>
      <c r="BM759" s="4" t="s">
        <v>7612</v>
      </c>
      <c r="BN759" s="8" t="s">
        <v>7602</v>
      </c>
      <c r="BO759" s="8" t="s">
        <v>7613</v>
      </c>
      <c r="BP759" s="8" t="s">
        <v>7602</v>
      </c>
      <c r="BQ759" s="8" t="str">
        <f aca="false">IF(A759="","",AT759)</f>
        <v>3歳以上</v>
      </c>
      <c r="BR759" s="8" t="str">
        <f aca="false">IF(A759="","",IF(BA759&lt;=1200,"～1200",IF(BA759&lt;=1500,"1300～1500",IF(BA759=1600,"1600",IF(BA759&lt;=1800,"1700～1800",IF(BA759&lt;=2000,"1900～2000","2100以上"))))))</f>
        <v>1700～1800</v>
      </c>
      <c r="BS759" s="8" t="str">
        <f aca="false">IF(A759="","",IF(AX759="G1","G1",IF(AX759="G2","G2",IF(AX759="G3","G3",IF(AX759="L","L","その他")))))</f>
        <v>その他</v>
      </c>
      <c r="BT759" s="8" t="str">
        <f aca="false">IF(A759="","",IF(BI759="","未結合",IF(D759=BI759,"一致","不一致")))</f>
        <v>一致</v>
      </c>
      <c r="BU759" s="8" t="str">
        <f aca="false">IF(A759="","",IF(BE759="牝馬限定","牝馬限定","その他"))</f>
        <v>その他</v>
      </c>
    </row>
    <row r="760" customFormat="false" ht="15.75" hidden="false" customHeight="false" outlineLevel="0" collapsed="false">
      <c r="A760" s="6" t="n">
        <f aca="false">DATE(2026,8,16)</f>
        <v>46250</v>
      </c>
      <c r="B760" s="4" t="s">
        <v>334</v>
      </c>
      <c r="C760" s="8" t="n">
        <v>12</v>
      </c>
      <c r="D760" s="8" t="n">
        <v>14</v>
      </c>
      <c r="E760" s="8" t="n">
        <v>2</v>
      </c>
      <c r="F760" s="4" t="s">
        <v>2964</v>
      </c>
      <c r="G760" s="8" t="n">
        <v>75</v>
      </c>
      <c r="H760" s="8" t="n">
        <v>12</v>
      </c>
      <c r="I760" s="4" t="s">
        <v>438</v>
      </c>
      <c r="J760" s="8" t="n">
        <v>34</v>
      </c>
      <c r="K760" s="8" t="n">
        <v>4</v>
      </c>
      <c r="L760" s="4" t="s">
        <v>1330</v>
      </c>
      <c r="M760" s="8" t="n">
        <v>25</v>
      </c>
      <c r="N760" s="8" t="n">
        <f aca="false">IF(A760="","",G760-J760)</f>
        <v>41</v>
      </c>
      <c r="O760" s="8" t="n">
        <f aca="false">IF(A760="","",J760-M760)</f>
        <v>9</v>
      </c>
      <c r="P760" s="8" t="n">
        <f aca="false">IF(A760="","",G760+J760)</f>
        <v>109</v>
      </c>
      <c r="Q760" s="8" t="str">
        <f aca="false">IF(A760="","",IF(AND(Y760&lt;&gt;"参考",G760&gt;=ルール設定!$B$2),"○",""))</f>
        <v/>
      </c>
      <c r="R760" s="8" t="str">
        <f aca="false">IF(A760="","",IF(AND(Y760&lt;&gt;"参考",G760&gt;=ルール設定!$B$3,N760&gt;=ルール設定!$B$4),"○",""))</f>
        <v>○</v>
      </c>
      <c r="S760" s="8" t="str">
        <f aca="false">IF(A760="","",IF(AND(Y760&lt;&gt;"参考",G760&gt;=ルール設定!$B$5,J760&gt;=ルール設定!$B$6,O760&gt;=ルール設定!$B$7),"○",""))</f>
        <v/>
      </c>
      <c r="T760" s="8" t="n">
        <v>1</v>
      </c>
      <c r="U760" s="8" t="n">
        <v>2</v>
      </c>
      <c r="V760" s="8" t="str">
        <f aca="false">IF(A760="","",IF(AND(ISNUMBER(T760),ISNUMBER(U760)),IF(AND(T760&lt;=3,U760&lt;=3),"○","×"),""))</f>
        <v>○</v>
      </c>
      <c r="W760" s="8" t="n">
        <v>110</v>
      </c>
      <c r="X760" s="8" t="n">
        <v>200</v>
      </c>
      <c r="Y760" s="4" t="s">
        <v>7915</v>
      </c>
      <c r="Z760" s="4" t="s">
        <v>7921</v>
      </c>
      <c r="AA760" s="8" t="str">
        <v/>
      </c>
      <c r="AB760" s="8" t="str">
        <v/>
      </c>
      <c r="AC760" s="8" t="str">
        <v/>
      </c>
      <c r="AD760" s="8" t="str">
        <v/>
      </c>
      <c r="AE760" s="8" t="str">
        <v>○</v>
      </c>
      <c r="AF760" s="8" t="str">
        <v/>
      </c>
      <c r="AG760" s="8" t="str">
        <v/>
      </c>
      <c r="AH760" s="8" t="str">
        <v/>
      </c>
      <c r="AI760" s="8" t="n">
        <v>50</v>
      </c>
      <c r="AJ760" s="8" t="str">
        <v>75～79</v>
      </c>
      <c r="AK760" s="8" t="str">
        <v>30以上</v>
      </c>
      <c r="AL760" s="8" t="str">
        <v>40以上</v>
      </c>
      <c r="AM760" s="8" t="str">
        <v>100～119</v>
      </c>
      <c r="AN760" s="8" t="str">
        <v>12～14</v>
      </c>
      <c r="AO760" s="8" t="str">
        <f aca="false">IF(A760="","",IF(COUNTIFS(全馬データ!$A$2:$A$50000,A760,全馬データ!$B$2:$B$50000,B760,全馬データ!$C$2:$C$50000,C760,全馬データ!$D$2:$D$50000,E760,全馬データ!$K$2:$K$50000,"&lt;&gt;")=0,"",SUMIFS(全馬データ!$K$2:$K$50000,全馬データ!$A$2:$A$50000,A760,全馬データ!$B$2:$B$50000,B760,全馬データ!$C$2:$C$50000,C760,全馬データ!$D$2:$D$50000,E760)))</f>
        <v/>
      </c>
      <c r="AP760" s="8" t="str">
        <f aca="false">IF(A760="","",IF(AO760="","欠損",IF(AO760&lt;=1.1,"1.0～1.1",IF(AO760&lt;1.3,"1.2",IF(AO760&lt;1.5,"1.3～1.4",IF(AO760&lt;2,"1.5～1.9","2.0以上"))))))</f>
        <v>欠損</v>
      </c>
      <c r="AQ760" s="8" t="str">
        <f aca="false">IF(A760="","",IF(ISNUMBER(SEARCH("2歳",Z760)),"2歳戦",IF(ISNUMBER(SEARCH("3歳未勝利",Z760)),"3歳未勝利",IF(ISNUMBER(SEARCH("未勝利",Z760)),"その他未勝利",IF(ISNUMBER(SEARCH("G1",Z760)),"G1",IF(ISNUMBER(SEARCH("G2",Z760)),"G2",IF(ISNUMBER(SEARCH("G3",Z760)),"G3",IF(ISNUMBER(SEARCH("古馬条件",Z760)),"古馬条件戦",IF(ISNUMBER(SEARCH("重賞",Z760)),"重賞","分類不能")))))))))</f>
        <v>分類不能</v>
      </c>
      <c r="AR760" s="4" t="s">
        <v>7922</v>
      </c>
      <c r="AS760" s="8" t="s">
        <v>7626</v>
      </c>
      <c r="AT760" s="8" t="s">
        <v>7627</v>
      </c>
      <c r="AU760" s="8" t="s">
        <v>7634</v>
      </c>
      <c r="AV760" s="8" t="s">
        <v>7635</v>
      </c>
      <c r="AW760" s="8" t="s">
        <v>7636</v>
      </c>
      <c r="AX760" s="4" t="s">
        <v>7637</v>
      </c>
      <c r="AY760" s="8" t="s">
        <v>7602</v>
      </c>
      <c r="AZ760" s="4" t="s">
        <v>7603</v>
      </c>
      <c r="BA760" s="8" t="n">
        <v>2600</v>
      </c>
      <c r="BB760" s="8" t="s">
        <v>7598</v>
      </c>
      <c r="BC760" s="4" t="s">
        <v>7604</v>
      </c>
      <c r="BD760" s="8" t="s">
        <v>7630</v>
      </c>
      <c r="BE760" s="4" t="s">
        <v>7606</v>
      </c>
      <c r="BF760" s="8" t="s">
        <v>7607</v>
      </c>
      <c r="BG760" s="8" t="s">
        <v>7631</v>
      </c>
      <c r="BH760" s="4" t="s">
        <v>7632</v>
      </c>
      <c r="BI760" s="8" t="n">
        <v>14</v>
      </c>
      <c r="BJ760" s="8" t="s">
        <v>7602</v>
      </c>
      <c r="BK760" s="4" t="s">
        <v>7653</v>
      </c>
      <c r="BL760" s="8" t="s">
        <v>7602</v>
      </c>
      <c r="BM760" s="4" t="s">
        <v>7620</v>
      </c>
      <c r="BN760" s="8" t="s">
        <v>7602</v>
      </c>
      <c r="BO760" s="8" t="s">
        <v>7613</v>
      </c>
      <c r="BP760" s="8" t="s">
        <v>7608</v>
      </c>
      <c r="BQ760" s="8" t="str">
        <f aca="false">IF(A760="","",AT760)</f>
        <v>3歳以上</v>
      </c>
      <c r="BR760" s="8" t="str">
        <f aca="false">IF(A760="","",IF(BA760&lt;=1200,"～1200",IF(BA760&lt;=1500,"1300～1500",IF(BA760=1600,"1600",IF(BA760&lt;=1800,"1700～1800",IF(BA760&lt;=2000,"1900～2000","2100以上"))))))</f>
        <v>2100以上</v>
      </c>
      <c r="BS760" s="8" t="str">
        <f aca="false">IF(A760="","",IF(AX760="G1","G1",IF(AX760="G2","G2",IF(AX760="G3","G3",IF(AX760="L","L","その他")))))</f>
        <v>その他</v>
      </c>
      <c r="BT760" s="8" t="str">
        <f aca="false">IF(A760="","",IF(BI760="","未結合",IF(D760=BI760,"一致","不一致")))</f>
        <v>一致</v>
      </c>
      <c r="BU760" s="8" t="str">
        <f aca="false">IF(A760="","",IF(BE760="牝馬限定","牝馬限定","その他"))</f>
        <v>その他</v>
      </c>
    </row>
    <row r="761" customFormat="false" ht="15.75" hidden="false" customHeight="false" outlineLevel="0" collapsed="false">
      <c r="A761" s="6" t="n">
        <f aca="false">DATE(2026,8,16)</f>
        <v>46250</v>
      </c>
      <c r="B761" s="4" t="s">
        <v>179</v>
      </c>
      <c r="C761" s="8" t="n">
        <v>8</v>
      </c>
      <c r="D761" s="8" t="n">
        <v>16</v>
      </c>
      <c r="E761" s="8" t="n">
        <v>6</v>
      </c>
      <c r="F761" s="4" t="s">
        <v>1199</v>
      </c>
      <c r="G761" s="8" t="n">
        <v>74</v>
      </c>
      <c r="H761" s="8" t="n">
        <v>10</v>
      </c>
      <c r="I761" s="4" t="s">
        <v>5499</v>
      </c>
      <c r="J761" s="8" t="n">
        <v>41</v>
      </c>
      <c r="K761" s="8" t="n">
        <v>16</v>
      </c>
      <c r="L761" s="4" t="s">
        <v>250</v>
      </c>
      <c r="M761" s="8" t="n">
        <v>37</v>
      </c>
      <c r="N761" s="8" t="n">
        <f aca="false">IF(A761="","",G761-J761)</f>
        <v>33</v>
      </c>
      <c r="O761" s="8" t="n">
        <f aca="false">IF(A761="","",J761-M761)</f>
        <v>4</v>
      </c>
      <c r="P761" s="8" t="n">
        <f aca="false">IF(A761="","",G761+J761)</f>
        <v>115</v>
      </c>
      <c r="Q761" s="8" t="str">
        <f aca="false">IF(A761="","",IF(AND(Y761&lt;&gt;"参考",G761&gt;=ルール設定!$B$2),"○",""))</f>
        <v/>
      </c>
      <c r="R761" s="8" t="str">
        <f aca="false">IF(A761="","",IF(AND(Y761&lt;&gt;"参考",G761&gt;=ルール設定!$B$3,N761&gt;=ルール設定!$B$4),"○",""))</f>
        <v>○</v>
      </c>
      <c r="S761" s="8" t="str">
        <f aca="false">IF(A761="","",IF(AND(Y761&lt;&gt;"参考",G761&gt;=ルール設定!$B$5,J761&gt;=ルール設定!$B$6,O761&gt;=ルール設定!$B$7),"○",""))</f>
        <v/>
      </c>
      <c r="T761" s="8" t="n">
        <v>2</v>
      </c>
      <c r="U761" s="8" t="n">
        <v>3</v>
      </c>
      <c r="V761" s="8" t="str">
        <f aca="false">IF(A761="","",IF(AND(ISNUMBER(T761),ISNUMBER(U761)),IF(AND(T761&lt;=3,U761&lt;=3),"○","×"),""))</f>
        <v>○</v>
      </c>
      <c r="W761" s="8" t="n">
        <v>170</v>
      </c>
      <c r="X761" s="8" t="n">
        <v>370</v>
      </c>
      <c r="Y761" s="4" t="s">
        <v>7915</v>
      </c>
      <c r="Z761" s="4" t="s">
        <v>7923</v>
      </c>
      <c r="AA761" s="8" t="str">
        <v/>
      </c>
      <c r="AB761" s="8" t="str">
        <v/>
      </c>
      <c r="AC761" s="8" t="str">
        <v/>
      </c>
      <c r="AD761" s="8" t="str">
        <v/>
      </c>
      <c r="AE761" s="8" t="str">
        <v>○</v>
      </c>
      <c r="AF761" s="8" t="str">
        <v/>
      </c>
      <c r="AG761" s="8" t="str">
        <v/>
      </c>
      <c r="AH761" s="8" t="str">
        <v/>
      </c>
      <c r="AI761" s="8" t="n">
        <v>37</v>
      </c>
      <c r="AJ761" s="8" t="str">
        <v>70～74</v>
      </c>
      <c r="AK761" s="8" t="str">
        <v>30以上</v>
      </c>
      <c r="AL761" s="8" t="str">
        <v>30～39</v>
      </c>
      <c r="AM761" s="8" t="str">
        <v>100～119</v>
      </c>
      <c r="AN761" s="8" t="str">
        <v>15以上</v>
      </c>
      <c r="AO761" s="8" t="str">
        <f aca="false">IF(A761="","",IF(COUNTIFS(全馬データ!$A$2:$A$50000,A761,全馬データ!$B$2:$B$50000,B761,全馬データ!$C$2:$C$50000,C761,全馬データ!$D$2:$D$50000,E761,全馬データ!$K$2:$K$50000,"&lt;&gt;")=0,"",SUMIFS(全馬データ!$K$2:$K$50000,全馬データ!$A$2:$A$50000,A761,全馬データ!$B$2:$B$50000,B761,全馬データ!$C$2:$C$50000,C761,全馬データ!$D$2:$D$50000,E761)))</f>
        <v/>
      </c>
      <c r="AP761" s="8" t="str">
        <f aca="false">IF(A761="","",IF(AO761="","欠損",IF(AO761&lt;=1.1,"1.0～1.1",IF(AO761&lt;1.3,"1.2",IF(AO761&lt;1.5,"1.3～1.4",IF(AO761&lt;2,"1.5～1.9","2.0以上"))))))</f>
        <v>欠損</v>
      </c>
      <c r="AQ761" s="8" t="str">
        <f aca="false">IF(A761="","",IF(ISNUMBER(SEARCH("2歳",Z761)),"2歳戦",IF(ISNUMBER(SEARCH("3歳未勝利",Z761)),"3歳未勝利",IF(ISNUMBER(SEARCH("未勝利",Z761)),"その他未勝利",IF(ISNUMBER(SEARCH("G1",Z761)),"G1",IF(ISNUMBER(SEARCH("G2",Z761)),"G2",IF(ISNUMBER(SEARCH("G3",Z761)),"G3",IF(ISNUMBER(SEARCH("古馬条件",Z761)),"古馬条件戦",IF(ISNUMBER(SEARCH("重賞",Z761)),"重賞","分類不能")))))))))</f>
        <v>分類不能</v>
      </c>
      <c r="AR761" s="4" t="s">
        <v>7924</v>
      </c>
      <c r="AS761" s="8" t="s">
        <v>7626</v>
      </c>
      <c r="AT761" s="8" t="s">
        <v>7627</v>
      </c>
      <c r="AU761" s="8" t="s">
        <v>7634</v>
      </c>
      <c r="AV761" s="8" t="s">
        <v>7635</v>
      </c>
      <c r="AW761" s="8" t="s">
        <v>7636</v>
      </c>
      <c r="AX761" s="4" t="s">
        <v>7637</v>
      </c>
      <c r="AY761" s="8" t="s">
        <v>7610</v>
      </c>
      <c r="AZ761" s="4" t="s">
        <v>7617</v>
      </c>
      <c r="BA761" s="8" t="n">
        <v>1400</v>
      </c>
      <c r="BB761" s="8" t="s">
        <v>7634</v>
      </c>
      <c r="BC761" s="4" t="s">
        <v>7604</v>
      </c>
      <c r="BD761" s="8" t="s">
        <v>7605</v>
      </c>
      <c r="BE761" s="4" t="s">
        <v>7606</v>
      </c>
      <c r="BF761" s="8" t="s">
        <v>7607</v>
      </c>
      <c r="BG761" s="8" t="s">
        <v>7631</v>
      </c>
      <c r="BH761" s="4" t="s">
        <v>7632</v>
      </c>
      <c r="BI761" s="8" t="n">
        <v>16</v>
      </c>
      <c r="BJ761" s="8" t="s">
        <v>7610</v>
      </c>
      <c r="BK761" s="4" t="s">
        <v>7611</v>
      </c>
      <c r="BL761" s="8" t="s">
        <v>7602</v>
      </c>
      <c r="BM761" s="4" t="s">
        <v>7620</v>
      </c>
      <c r="BN761" s="8"/>
      <c r="BO761" s="8"/>
      <c r="BP761" s="8" t="s">
        <v>7610</v>
      </c>
      <c r="BQ761" s="8" t="str">
        <f aca="false">IF(A761="","",AT761)</f>
        <v>3歳以上</v>
      </c>
      <c r="BR761" s="8" t="str">
        <f aca="false">IF(A761="","",IF(BA761&lt;=1200,"～1200",IF(BA761&lt;=1500,"1300～1500",IF(BA761=1600,"1600",IF(BA761&lt;=1800,"1700～1800",IF(BA761&lt;=2000,"1900～2000","2100以上"))))))</f>
        <v>1300～1500</v>
      </c>
      <c r="BS761" s="8" t="str">
        <f aca="false">IF(A761="","",IF(AX761="G1","G1",IF(AX761="G2","G2",IF(AX761="G3","G3",IF(AX761="L","L","その他")))))</f>
        <v>その他</v>
      </c>
      <c r="BT761" s="8" t="str">
        <f aca="false">IF(A761="","",IF(BI761="","未結合",IF(D761=BI761,"一致","不一致")))</f>
        <v>一致</v>
      </c>
      <c r="BU761" s="8" t="str">
        <f aca="false">IF(A761="","",IF(BE761="牝馬限定","牝馬限定","その他"))</f>
        <v>その他</v>
      </c>
    </row>
    <row r="762" customFormat="false" ht="15.75" hidden="false" customHeight="false" outlineLevel="0" collapsed="false">
      <c r="A762" s="6" t="n">
        <f aca="false">DATE(2026,8,16)</f>
        <v>46250</v>
      </c>
      <c r="B762" s="4" t="s">
        <v>334</v>
      </c>
      <c r="C762" s="8" t="n">
        <v>2</v>
      </c>
      <c r="D762" s="8" t="n">
        <v>8</v>
      </c>
      <c r="E762" s="8" t="n">
        <v>3</v>
      </c>
      <c r="F762" s="4" t="s">
        <v>6833</v>
      </c>
      <c r="G762" s="8" t="n">
        <v>81</v>
      </c>
      <c r="H762" s="8" t="n">
        <v>6</v>
      </c>
      <c r="I762" s="4" t="s">
        <v>1725</v>
      </c>
      <c r="J762" s="8" t="n">
        <v>58</v>
      </c>
      <c r="K762" s="8" t="n">
        <v>5</v>
      </c>
      <c r="L762" s="4" t="s">
        <v>1720</v>
      </c>
      <c r="M762" s="8" t="n">
        <v>31</v>
      </c>
      <c r="N762" s="8" t="n">
        <f aca="false">IF(A762="","",G762-J762)</f>
        <v>23</v>
      </c>
      <c r="O762" s="8" t="n">
        <f aca="false">IF(A762="","",J762-M762)</f>
        <v>27</v>
      </c>
      <c r="P762" s="8" t="n">
        <f aca="false">IF(A762="","",G762+J762)</f>
        <v>139</v>
      </c>
      <c r="Q762" s="8" t="str">
        <f aca="false">IF(A762="","",IF(AND(Y762&lt;&gt;"参考",G762&gt;=ルール設定!$B$2),"○",""))</f>
        <v>○</v>
      </c>
      <c r="R762" s="8" t="str">
        <f aca="false">IF(A762="","",IF(AND(Y762&lt;&gt;"参考",G762&gt;=ルール設定!$B$3,N762&gt;=ルール設定!$B$4),"○",""))</f>
        <v/>
      </c>
      <c r="S762" s="8" t="str">
        <f aca="false">IF(A762="","",IF(AND(Y762&lt;&gt;"参考",G762&gt;=ルール設定!$B$5,J762&gt;=ルール設定!$B$6,O762&gt;=ルール設定!$B$7),"○",""))</f>
        <v>○</v>
      </c>
      <c r="T762" s="8" t="n">
        <v>1</v>
      </c>
      <c r="U762" s="8" t="n">
        <v>4</v>
      </c>
      <c r="V762" s="8" t="str">
        <f aca="false">IF(A762="","",IF(AND(ISNUMBER(T762),ISNUMBER(U762)),IF(AND(T762&lt;=3,U762&lt;=3),"○","×"),""))</f>
        <v>×</v>
      </c>
      <c r="W762" s="8" t="n">
        <v>110</v>
      </c>
      <c r="X762" s="8"/>
      <c r="Y762" s="4" t="s">
        <v>7915</v>
      </c>
      <c r="Z762" s="4" t="s">
        <v>7925</v>
      </c>
      <c r="AA762" s="8" t="str">
        <v/>
      </c>
      <c r="AB762" s="8" t="str">
        <v>○</v>
      </c>
      <c r="AC762" s="8" t="str">
        <v>○</v>
      </c>
      <c r="AD762" s="8" t="str">
        <v/>
      </c>
      <c r="AE762" s="8" t="str">
        <v/>
      </c>
      <c r="AF762" s="8" t="str">
        <v/>
      </c>
      <c r="AG762" s="8" t="str">
        <v>○</v>
      </c>
      <c r="AH762" s="8" t="str">
        <v/>
      </c>
      <c r="AI762" s="8" t="n">
        <v>50</v>
      </c>
      <c r="AJ762" s="8" t="str">
        <v>80～84</v>
      </c>
      <c r="AK762" s="8" t="str">
        <v>20～29</v>
      </c>
      <c r="AL762" s="8" t="str">
        <v>40以上</v>
      </c>
      <c r="AM762" s="8" t="str">
        <v>120～139</v>
      </c>
      <c r="AN762" s="8" t="str">
        <v>8～11</v>
      </c>
      <c r="AO762" s="8" t="str">
        <f aca="false">IF(A762="","",IF(COUNTIFS(全馬データ!$A$2:$A$50000,A762,全馬データ!$B$2:$B$50000,B762,全馬データ!$C$2:$C$50000,C762,全馬データ!$D$2:$D$50000,E762,全馬データ!$K$2:$K$50000,"&lt;&gt;")=0,"",SUMIFS(全馬データ!$K$2:$K$50000,全馬データ!$A$2:$A$50000,A762,全馬データ!$B$2:$B$50000,B762,全馬データ!$C$2:$C$50000,C762,全馬データ!$D$2:$D$50000,E762)))</f>
        <v/>
      </c>
      <c r="AP762" s="8" t="str">
        <f aca="false">IF(A762="","",IF(AO762="","欠損",IF(AO762&lt;=1.1,"1.0～1.1",IF(AO762&lt;1.3,"1.2",IF(AO762&lt;1.5,"1.3～1.4",IF(AO762&lt;2,"1.5～1.9","2.0以上"))))))</f>
        <v>欠損</v>
      </c>
      <c r="AQ762" s="8" t="str">
        <f aca="false">IF(A762="","",IF(ISNUMBER(SEARCH("2歳",Z762)),"2歳戦",IF(ISNUMBER(SEARCH("3歳未勝利",Z762)),"3歳未勝利",IF(ISNUMBER(SEARCH("未勝利",Z762)),"その他未勝利",IF(ISNUMBER(SEARCH("G1",Z762)),"G1",IF(ISNUMBER(SEARCH("G2",Z762)),"G2",IF(ISNUMBER(SEARCH("G3",Z762)),"G3",IF(ISNUMBER(SEARCH("古馬条件",Z762)),"古馬条件戦",IF(ISNUMBER(SEARCH("重賞",Z762)),"重賞","分類不能")))))))))</f>
        <v>2歳戦</v>
      </c>
      <c r="AR762" s="8"/>
      <c r="AS762" s="8" t="s">
        <v>7598</v>
      </c>
      <c r="AT762" s="8" t="s">
        <v>7599</v>
      </c>
      <c r="AU762" s="8" t="s">
        <v>7600</v>
      </c>
      <c r="AV762" s="4" t="s">
        <v>7601</v>
      </c>
      <c r="AW762" s="8"/>
      <c r="AX762" s="8"/>
      <c r="AY762" s="8" t="s">
        <v>7602</v>
      </c>
      <c r="AZ762" s="4" t="s">
        <v>7603</v>
      </c>
      <c r="BA762" s="8" t="n">
        <v>1200</v>
      </c>
      <c r="BB762" s="8" t="s">
        <v>7598</v>
      </c>
      <c r="BC762" s="4" t="s">
        <v>7604</v>
      </c>
      <c r="BD762" s="8" t="s">
        <v>7605</v>
      </c>
      <c r="BE762" s="4" t="s">
        <v>7606</v>
      </c>
      <c r="BF762" s="8" t="s">
        <v>7607</v>
      </c>
      <c r="BG762" s="8" t="s">
        <v>7608</v>
      </c>
      <c r="BH762" s="4" t="s">
        <v>7609</v>
      </c>
      <c r="BI762" s="8" t="n">
        <v>8</v>
      </c>
      <c r="BJ762" s="8" t="s">
        <v>7602</v>
      </c>
      <c r="BK762" s="4" t="s">
        <v>7653</v>
      </c>
      <c r="BL762" s="8" t="s">
        <v>7602</v>
      </c>
      <c r="BM762" s="4" t="s">
        <v>7620</v>
      </c>
      <c r="BN762" s="8" t="s">
        <v>7602</v>
      </c>
      <c r="BO762" s="8" t="s">
        <v>7613</v>
      </c>
      <c r="BP762" s="8" t="s">
        <v>7608</v>
      </c>
      <c r="BQ762" s="8" t="str">
        <f aca="false">IF(A762="","",AT762)</f>
        <v>2歳</v>
      </c>
      <c r="BR762" s="8" t="str">
        <f aca="false">IF(A762="","",IF(BA762&lt;=1200,"～1200",IF(BA762&lt;=1500,"1300～1500",IF(BA762=1600,"1600",IF(BA762&lt;=1800,"1700～1800",IF(BA762&lt;=2000,"1900～2000","2100以上"))))))</f>
        <v>～1200</v>
      </c>
      <c r="BS762" s="8" t="str">
        <f aca="false">IF(A762="","",IF(AX762="G1","G1",IF(AX762="G2","G2",IF(AX762="G3","G3",IF(AX762="L","L","その他")))))</f>
        <v>その他</v>
      </c>
      <c r="BT762" s="8" t="str">
        <f aca="false">IF(A762="","",IF(BI762="","未結合",IF(D762=BI762,"一致","不一致")))</f>
        <v>一致</v>
      </c>
      <c r="BU762" s="8" t="str">
        <f aca="false">IF(A762="","",IF(BE762="牝馬限定","牝馬限定","その他"))</f>
        <v>その他</v>
      </c>
    </row>
    <row r="763" customFormat="false" ht="15.75" hidden="false" customHeight="false" outlineLevel="0" collapsed="false">
      <c r="A763" s="6" t="n">
        <f aca="false">DATE(2026,8,22)</f>
        <v>46256</v>
      </c>
      <c r="B763" s="4" t="s">
        <v>13</v>
      </c>
      <c r="C763" s="8" t="n">
        <v>1</v>
      </c>
      <c r="D763" s="8" t="n">
        <v>7</v>
      </c>
      <c r="E763" s="8" t="n">
        <v>5</v>
      </c>
      <c r="F763" s="4" t="s">
        <v>3702</v>
      </c>
      <c r="G763" s="8" t="n">
        <v>75</v>
      </c>
      <c r="H763" s="8" t="n">
        <v>1</v>
      </c>
      <c r="I763" s="8"/>
      <c r="J763" s="8" t="n">
        <v>67</v>
      </c>
      <c r="K763" s="8" t="n">
        <v>2</v>
      </c>
      <c r="L763" s="4" t="s">
        <v>3699</v>
      </c>
      <c r="M763" s="8" t="n">
        <v>60</v>
      </c>
      <c r="N763" s="8" t="n">
        <f aca="false">IF(A763="","",G763-J763)</f>
        <v>8</v>
      </c>
      <c r="O763" s="8" t="n">
        <f aca="false">IF(A763="","",J763-M763)</f>
        <v>7</v>
      </c>
      <c r="P763" s="8" t="n">
        <f aca="false">IF(A763="","",G763+J763)</f>
        <v>142</v>
      </c>
      <c r="Q763" s="8" t="str">
        <f aca="false">IF(A763="","",IF(AND(Y763&lt;&gt;"参考",G763&gt;=ルール設定!$B$2),"○",""))</f>
        <v/>
      </c>
      <c r="R763" s="8" t="str">
        <f aca="false">IF(A763="","",IF(AND(Y763&lt;&gt;"参考",G763&gt;=ルール設定!$B$3,N763&gt;=ルール設定!$B$4),"○",""))</f>
        <v/>
      </c>
      <c r="S763" s="8" t="str">
        <f aca="false">IF(A763="","",IF(AND(Y763&lt;&gt;"参考",G763&gt;=ルール設定!$B$5,J763&gt;=ルール設定!$B$6,O763&gt;=ルール設定!$B$7),"○",""))</f>
        <v/>
      </c>
      <c r="T763" s="8" t="n">
        <v>1</v>
      </c>
      <c r="U763" s="8" t="n">
        <v>4</v>
      </c>
      <c r="V763" s="8" t="str">
        <f aca="false">IF(A763="","",IF(AND(ISNUMBER(T763),ISNUMBER(U763)),IF(AND(T763&lt;=3,U763&lt;=3),"○","×"),""))</f>
        <v>×</v>
      </c>
      <c r="W763" s="8" t="n">
        <v>110</v>
      </c>
      <c r="X763" s="8"/>
      <c r="Y763" s="4" t="s">
        <v>7597</v>
      </c>
      <c r="Z763" s="8" t="s">
        <v>7926</v>
      </c>
      <c r="AA763" s="8" t="str">
        <v/>
      </c>
      <c r="AB763" s="8" t="str">
        <v/>
      </c>
      <c r="AC763" s="8" t="str">
        <v/>
      </c>
      <c r="AD763" s="8" t="str">
        <v/>
      </c>
      <c r="AE763" s="8" t="str">
        <v/>
      </c>
      <c r="AF763" s="8" t="str">
        <v/>
      </c>
      <c r="AG763" s="8" t="str">
        <v/>
      </c>
      <c r="AH763" s="8" t="str">
        <v/>
      </c>
      <c r="AI763" s="8" t="n">
        <v>15</v>
      </c>
      <c r="AJ763" s="8" t="str">
        <v>75～79</v>
      </c>
      <c r="AK763" s="8" t="str">
        <v>5～9</v>
      </c>
      <c r="AL763" s="8" t="str">
        <v>10～19</v>
      </c>
      <c r="AM763" s="8" t="str">
        <v>140～159</v>
      </c>
      <c r="AN763" s="8" t="str">
        <v>7以下</v>
      </c>
      <c r="AO763" s="8" t="str">
        <f aca="false">IF(A763="","",IF(COUNTIFS(全馬データ!$A$2:$A$50000,A763,全馬データ!$B$2:$B$50000,B763,全馬データ!$C$2:$C$50000,C763,全馬データ!$D$2:$D$50000,E763,全馬データ!$K$2:$K$50000,"&lt;&gt;")=0,"",SUMIFS(全馬データ!$K$2:$K$50000,全馬データ!$A$2:$A$50000,A763,全馬データ!$B$2:$B$50000,B763,全馬データ!$C$2:$C$50000,C763,全馬データ!$D$2:$D$50000,E763)))</f>
        <v/>
      </c>
      <c r="AP763" s="8" t="str">
        <f aca="false">IF(A763="","",IF(AO763="","欠損",IF(AO763&lt;=1.1,"1.0～1.1",IF(AO763&lt;1.3,"1.2",IF(AO763&lt;1.5,"1.3～1.4",IF(AO763&lt;2,"1.5～1.9","2.0以上"))))))</f>
        <v>欠損</v>
      </c>
      <c r="AQ763" s="8" t="str">
        <f aca="false">IF(A763="","",IF(ISNUMBER(SEARCH("2歳",Z763)),"2歳戦",IF(ISNUMBER(SEARCH("3歳未勝利",Z763)),"3歳未勝利",IF(ISNUMBER(SEARCH("未勝利",Z763)),"その他未勝利",IF(ISNUMBER(SEARCH("G1",Z763)),"G1",IF(ISNUMBER(SEARCH("G2",Z763)),"G2",IF(ISNUMBER(SEARCH("G3",Z763)),"G3",IF(ISNUMBER(SEARCH("古馬条件",Z763)),"古馬条件戦",IF(ISNUMBER(SEARCH("重賞",Z763)),"重賞","分類不能")))))))))</f>
        <v>分類不能</v>
      </c>
      <c r="AR763" s="8"/>
      <c r="AS763" s="8" t="s">
        <v>7598</v>
      </c>
      <c r="AT763" s="8" t="s">
        <v>7599</v>
      </c>
      <c r="AU763" s="8" t="s">
        <v>7600</v>
      </c>
      <c r="AV763" s="4" t="s">
        <v>7601</v>
      </c>
      <c r="AW763" s="8"/>
      <c r="AX763" s="8"/>
      <c r="AY763" s="8" t="s">
        <v>7602</v>
      </c>
      <c r="AZ763" s="4" t="s">
        <v>7603</v>
      </c>
      <c r="BA763" s="8" t="n">
        <v>1800</v>
      </c>
      <c r="BB763" s="8" t="s">
        <v>7634</v>
      </c>
      <c r="BC763" s="4" t="s">
        <v>7604</v>
      </c>
      <c r="BD763" s="8" t="s">
        <v>7625</v>
      </c>
      <c r="BE763" s="4" t="s">
        <v>7606</v>
      </c>
      <c r="BF763" s="8" t="s">
        <v>7607</v>
      </c>
      <c r="BG763" s="8" t="s">
        <v>7608</v>
      </c>
      <c r="BH763" s="4" t="s">
        <v>7609</v>
      </c>
      <c r="BI763" s="8" t="n">
        <v>7</v>
      </c>
      <c r="BJ763" s="8" t="s">
        <v>7610</v>
      </c>
      <c r="BK763" s="4" t="s">
        <v>7611</v>
      </c>
      <c r="BL763" s="8" t="s">
        <v>7610</v>
      </c>
      <c r="BM763" s="4" t="s">
        <v>7612</v>
      </c>
      <c r="BN763" s="8" t="s">
        <v>7602</v>
      </c>
      <c r="BO763" s="8" t="s">
        <v>7613</v>
      </c>
      <c r="BP763" s="8" t="s">
        <v>7602</v>
      </c>
      <c r="BQ763" s="8" t="str">
        <f aca="false">IF(A763="","",AT763)</f>
        <v>2歳</v>
      </c>
      <c r="BR763" s="8" t="str">
        <f aca="false">IF(A763="","",IF(BA763&lt;=1200,"～1200",IF(BA763&lt;=1500,"1300～1500",IF(BA763=1600,"1600",IF(BA763&lt;=1800,"1700～1800",IF(BA763&lt;=2000,"1900～2000","2100以上"))))))</f>
        <v>1700～1800</v>
      </c>
      <c r="BS763" s="8" t="str">
        <f aca="false">IF(A763="","",IF(AX763="G1","G1",IF(AX763="G2","G2",IF(AX763="G3","G3",IF(AX763="L","L","その他")))))</f>
        <v>その他</v>
      </c>
      <c r="BT763" s="8" t="str">
        <f aca="false">IF(A763="","",IF(BI763="","未結合",IF(D763=BI763,"一致","不一致")))</f>
        <v>一致</v>
      </c>
      <c r="BU763" s="8" t="str">
        <f aca="false">IF(A763="","",IF(BE763="牝馬限定","牝馬限定","その他"))</f>
        <v>その他</v>
      </c>
    </row>
    <row r="764" customFormat="false" ht="15.75" hidden="false" customHeight="false" outlineLevel="0" collapsed="false">
      <c r="A764" s="6" t="n">
        <f aca="false">DATE(2026,8,22)</f>
        <v>46256</v>
      </c>
      <c r="B764" s="4" t="s">
        <v>13</v>
      </c>
      <c r="C764" s="8" t="n">
        <v>2</v>
      </c>
      <c r="D764" s="8" t="n">
        <v>12</v>
      </c>
      <c r="E764" s="8" t="n">
        <v>10</v>
      </c>
      <c r="F764" s="4" t="s">
        <v>2739</v>
      </c>
      <c r="G764" s="8" t="n">
        <v>71</v>
      </c>
      <c r="H764" s="8" t="n">
        <v>5</v>
      </c>
      <c r="I764" s="8"/>
      <c r="J764" s="8" t="n">
        <v>56</v>
      </c>
      <c r="K764" s="8" t="n">
        <v>1</v>
      </c>
      <c r="L764" s="8"/>
      <c r="M764" s="8" t="n">
        <v>25</v>
      </c>
      <c r="N764" s="8" t="n">
        <f aca="false">IF(A764="","",G764-J764)</f>
        <v>15</v>
      </c>
      <c r="O764" s="8" t="n">
        <f aca="false">IF(A764="","",J764-M764)</f>
        <v>31</v>
      </c>
      <c r="P764" s="8" t="n">
        <f aca="false">IF(A764="","",G764+J764)</f>
        <v>127</v>
      </c>
      <c r="Q764" s="8" t="str">
        <f aca="false">IF(A764="","",IF(AND(Y764&lt;&gt;"参考",G764&gt;=ルール設定!$B$2),"○",""))</f>
        <v/>
      </c>
      <c r="R764" s="8" t="str">
        <f aca="false">IF(A764="","",IF(AND(Y764&lt;&gt;"参考",G764&gt;=ルール設定!$B$3,N764&gt;=ルール設定!$B$4),"○",""))</f>
        <v/>
      </c>
      <c r="S764" s="8" t="str">
        <f aca="false">IF(A764="","",IF(AND(Y764&lt;&gt;"参考",G764&gt;=ルール設定!$B$5,J764&gt;=ルール設定!$B$6,O764&gt;=ルール設定!$B$7),"○",""))</f>
        <v>○</v>
      </c>
      <c r="T764" s="8" t="n">
        <v>1</v>
      </c>
      <c r="U764" s="8" t="n">
        <v>4</v>
      </c>
      <c r="V764" s="8" t="str">
        <f aca="false">IF(A764="","",IF(AND(ISNUMBER(T764),ISNUMBER(U764)),IF(AND(T764&lt;=3,U764&lt;=3),"○","×"),""))</f>
        <v>×</v>
      </c>
      <c r="W764" s="8" t="n">
        <v>140</v>
      </c>
      <c r="X764" s="8"/>
      <c r="Y764" s="4" t="s">
        <v>7597</v>
      </c>
      <c r="Z764" s="8" t="s">
        <v>7927</v>
      </c>
      <c r="AA764" s="8" t="str">
        <v/>
      </c>
      <c r="AB764" s="8" t="str">
        <v/>
      </c>
      <c r="AC764" s="8" t="str">
        <v/>
      </c>
      <c r="AD764" s="8" t="str">
        <v/>
      </c>
      <c r="AE764" s="8" t="str">
        <v/>
      </c>
      <c r="AF764" s="8" t="str">
        <v/>
      </c>
      <c r="AG764" s="8" t="str">
        <v/>
      </c>
      <c r="AH764" s="8" t="str">
        <v/>
      </c>
      <c r="AI764" s="8" t="n">
        <v>46</v>
      </c>
      <c r="AJ764" s="8" t="str">
        <v>70～74</v>
      </c>
      <c r="AK764" s="8" t="str">
        <v>10～19</v>
      </c>
      <c r="AL764" s="8" t="str">
        <v>40以上</v>
      </c>
      <c r="AM764" s="8" t="str">
        <v>120～139</v>
      </c>
      <c r="AN764" s="8" t="str">
        <v>12～14</v>
      </c>
      <c r="AO764" s="8" t="str">
        <f aca="false">IF(A764="","",IF(COUNTIFS(全馬データ!$A$2:$A$50000,A764,全馬データ!$B$2:$B$50000,B764,全馬データ!$C$2:$C$50000,C764,全馬データ!$D$2:$D$50000,E764,全馬データ!$K$2:$K$50000,"&lt;&gt;")=0,"",SUMIFS(全馬データ!$K$2:$K$50000,全馬データ!$A$2:$A$50000,A764,全馬データ!$B$2:$B$50000,B764,全馬データ!$C$2:$C$50000,C764,全馬データ!$D$2:$D$50000,E764)))</f>
        <v/>
      </c>
      <c r="AP764" s="8" t="str">
        <f aca="false">IF(A764="","",IF(AO764="","欠損",IF(AO764&lt;=1.1,"1.0～1.1",IF(AO764&lt;1.3,"1.2",IF(AO764&lt;1.5,"1.3～1.4",IF(AO764&lt;2,"1.5～1.9","2.0以上"))))))</f>
        <v>欠損</v>
      </c>
      <c r="AQ764" s="8" t="str">
        <f aca="false">IF(A764="","",IF(ISNUMBER(SEARCH("2歳",Z764)),"2歳戦",IF(ISNUMBER(SEARCH("3歳未勝利",Z764)),"3歳未勝利",IF(ISNUMBER(SEARCH("未勝利",Z764)),"その他未勝利",IF(ISNUMBER(SEARCH("G1",Z764)),"G1",IF(ISNUMBER(SEARCH("G2",Z764)),"G2",IF(ISNUMBER(SEARCH("G3",Z764)),"G3",IF(ISNUMBER(SEARCH("古馬条件",Z764)),"古馬条件戦",IF(ISNUMBER(SEARCH("重賞",Z764)),"重賞","分類不能")))))))))</f>
        <v>分類不能</v>
      </c>
      <c r="AR764" s="8"/>
      <c r="AS764" s="8" t="s">
        <v>7598</v>
      </c>
      <c r="AT764" s="8" t="s">
        <v>7599</v>
      </c>
      <c r="AU764" s="8" t="s">
        <v>7600</v>
      </c>
      <c r="AV764" s="4" t="s">
        <v>7601</v>
      </c>
      <c r="AW764" s="8"/>
      <c r="AX764" s="8"/>
      <c r="AY764" s="8" t="s">
        <v>7610</v>
      </c>
      <c r="AZ764" s="4" t="s">
        <v>7617</v>
      </c>
      <c r="BA764" s="8" t="n">
        <v>1800</v>
      </c>
      <c r="BB764" s="8" t="s">
        <v>7634</v>
      </c>
      <c r="BC764" s="4" t="s">
        <v>7604</v>
      </c>
      <c r="BD764" s="8" t="s">
        <v>7605</v>
      </c>
      <c r="BE764" s="4" t="s">
        <v>7606</v>
      </c>
      <c r="BF764" s="8" t="s">
        <v>7607</v>
      </c>
      <c r="BG764" s="8" t="s">
        <v>7608</v>
      </c>
      <c r="BH764" s="4" t="s">
        <v>7609</v>
      </c>
      <c r="BI764" s="8" t="n">
        <v>12</v>
      </c>
      <c r="BJ764" s="8" t="s">
        <v>7610</v>
      </c>
      <c r="BK764" s="4" t="s">
        <v>7611</v>
      </c>
      <c r="BL764" s="8" t="s">
        <v>7602</v>
      </c>
      <c r="BM764" s="4" t="s">
        <v>7620</v>
      </c>
      <c r="BN764" s="8"/>
      <c r="BO764" s="8"/>
      <c r="BP764" s="8" t="s">
        <v>7602</v>
      </c>
      <c r="BQ764" s="8" t="str">
        <f aca="false">IF(A764="","",AT764)</f>
        <v>2歳</v>
      </c>
      <c r="BR764" s="8" t="str">
        <f aca="false">IF(A764="","",IF(BA764&lt;=1200,"～1200",IF(BA764&lt;=1500,"1300～1500",IF(BA764=1600,"1600",IF(BA764&lt;=1800,"1700～1800",IF(BA764&lt;=2000,"1900～2000","2100以上"))))))</f>
        <v>1700～1800</v>
      </c>
      <c r="BS764" s="8" t="str">
        <f aca="false">IF(A764="","",IF(AX764="G1","G1",IF(AX764="G2","G2",IF(AX764="G3","G3",IF(AX764="L","L","その他")))))</f>
        <v>その他</v>
      </c>
      <c r="BT764" s="8" t="str">
        <f aca="false">IF(A764="","",IF(BI764="","未結合",IF(D764=BI764,"一致","不一致")))</f>
        <v>一致</v>
      </c>
      <c r="BU764" s="8" t="str">
        <f aca="false">IF(A764="","",IF(BE764="牝馬限定","牝馬限定","その他"))</f>
        <v>その他</v>
      </c>
    </row>
    <row r="765" customFormat="false" ht="15.75" hidden="false" customHeight="false" outlineLevel="0" collapsed="false">
      <c r="A765" s="6" t="n">
        <f aca="false">DATE(2026,8,22)</f>
        <v>46256</v>
      </c>
      <c r="B765" s="4" t="s">
        <v>13</v>
      </c>
      <c r="C765" s="8" t="n">
        <v>3</v>
      </c>
      <c r="D765" s="8" t="n">
        <v>13</v>
      </c>
      <c r="E765" s="8" t="n">
        <v>1</v>
      </c>
      <c r="F765" s="8"/>
      <c r="G765" s="8" t="n">
        <v>37</v>
      </c>
      <c r="H765" s="8" t="n">
        <v>2</v>
      </c>
      <c r="I765" s="8"/>
      <c r="J765" s="8" t="n">
        <v>27</v>
      </c>
      <c r="K765" s="8" t="n">
        <v>5</v>
      </c>
      <c r="L765" s="8"/>
      <c r="M765" s="8" t="n">
        <v>27</v>
      </c>
      <c r="N765" s="8" t="n">
        <f aca="false">IF(A765="","",G765-J765)</f>
        <v>10</v>
      </c>
      <c r="O765" s="8" t="n">
        <f aca="false">IF(A765="","",J765-M765)</f>
        <v>0</v>
      </c>
      <c r="P765" s="8" t="n">
        <f aca="false">IF(A765="","",G765+J765)</f>
        <v>64</v>
      </c>
      <c r="Q765" s="8" t="str">
        <f aca="false">IF(A765="","",IF(AND(Y765&lt;&gt;"参考",G765&gt;=ルール設定!$B$2),"○",""))</f>
        <v/>
      </c>
      <c r="R765" s="8" t="str">
        <f aca="false">IF(A765="","",IF(AND(Y765&lt;&gt;"参考",G765&gt;=ルール設定!$B$3,N765&gt;=ルール設定!$B$4),"○",""))</f>
        <v/>
      </c>
      <c r="S765" s="8" t="str">
        <f aca="false">IF(A765="","",IF(AND(Y765&lt;&gt;"参考",G765&gt;=ルール設定!$B$5,J765&gt;=ルール設定!$B$6,O765&gt;=ルール設定!$B$7),"○",""))</f>
        <v/>
      </c>
      <c r="T765" s="8" t="n">
        <v>4</v>
      </c>
      <c r="U765" s="8" t="n">
        <v>4</v>
      </c>
      <c r="V765" s="8" t="str">
        <f aca="false">IF(A765="","",IF(AND(ISNUMBER(T765),ISNUMBER(U765)),IF(AND(T765&lt;=3,U765&lt;=3),"○","×"),""))</f>
        <v>×</v>
      </c>
      <c r="W765" s="8"/>
      <c r="X765" s="8"/>
      <c r="Y765" s="4" t="s">
        <v>7597</v>
      </c>
      <c r="Z765" s="8" t="s">
        <v>7928</v>
      </c>
      <c r="AA765" s="8" t="str">
        <v/>
      </c>
      <c r="AB765" s="8" t="str">
        <v/>
      </c>
      <c r="AC765" s="8" t="str">
        <v/>
      </c>
      <c r="AD765" s="8" t="str">
        <v/>
      </c>
      <c r="AE765" s="8" t="str">
        <v/>
      </c>
      <c r="AF765" s="8" t="str">
        <v/>
      </c>
      <c r="AG765" s="8" t="str">
        <v/>
      </c>
      <c r="AH765" s="8" t="str">
        <v/>
      </c>
      <c r="AI765" s="8" t="n">
        <v>10</v>
      </c>
      <c r="AJ765" s="8" t="str">
        <v>～59</v>
      </c>
      <c r="AK765" s="8" t="str">
        <v>10～19</v>
      </c>
      <c r="AL765" s="8" t="str">
        <v>10～19</v>
      </c>
      <c r="AM765" s="8" t="str">
        <v>～99</v>
      </c>
      <c r="AN765" s="8" t="str">
        <v>12～14</v>
      </c>
      <c r="AO765" s="8" t="str">
        <f aca="false">IF(A765="","",IF(COUNTIFS(全馬データ!$A$2:$A$50000,A765,全馬データ!$B$2:$B$50000,B765,全馬データ!$C$2:$C$50000,C765,全馬データ!$D$2:$D$50000,E765,全馬データ!$K$2:$K$50000,"&lt;&gt;")=0,"",SUMIFS(全馬データ!$K$2:$K$50000,全馬データ!$A$2:$A$50000,A765,全馬データ!$B$2:$B$50000,B765,全馬データ!$C$2:$C$50000,C765,全馬データ!$D$2:$D$50000,E765)))</f>
        <v/>
      </c>
      <c r="AP765" s="8" t="str">
        <f aca="false">IF(A765="","",IF(AO765="","欠損",IF(AO765&lt;=1.1,"1.0～1.1",IF(AO765&lt;1.3,"1.2",IF(AO765&lt;1.5,"1.3～1.4",IF(AO765&lt;2,"1.5～1.9","2.0以上"))))))</f>
        <v>欠損</v>
      </c>
      <c r="AQ765" s="8" t="str">
        <f aca="false">IF(A765="","",IF(ISNUMBER(SEARCH("2歳",Z765)),"2歳戦",IF(ISNUMBER(SEARCH("3歳未勝利",Z765)),"3歳未勝利",IF(ISNUMBER(SEARCH("未勝利",Z765)),"その他未勝利",IF(ISNUMBER(SEARCH("G1",Z765)),"G1",IF(ISNUMBER(SEARCH("G2",Z765)),"G2",IF(ISNUMBER(SEARCH("G3",Z765)),"G3",IF(ISNUMBER(SEARCH("古馬条件",Z765)),"古馬条件戦",IF(ISNUMBER(SEARCH("重賞",Z765)),"重賞","分類不能")))))))))</f>
        <v>分類不能</v>
      </c>
      <c r="AR765" s="8"/>
      <c r="AS765" s="8" t="s">
        <v>7598</v>
      </c>
      <c r="AT765" s="8" t="s">
        <v>7599</v>
      </c>
      <c r="AU765" s="8" t="s">
        <v>7615</v>
      </c>
      <c r="AV765" s="4" t="s">
        <v>7616</v>
      </c>
      <c r="AW765" s="8"/>
      <c r="AX765" s="8"/>
      <c r="AY765" s="8" t="s">
        <v>7602</v>
      </c>
      <c r="AZ765" s="4" t="s">
        <v>7603</v>
      </c>
      <c r="BA765" s="8" t="n">
        <v>1600</v>
      </c>
      <c r="BB765" s="8" t="s">
        <v>7634</v>
      </c>
      <c r="BC765" s="4" t="s">
        <v>7604</v>
      </c>
      <c r="BD765" s="8" t="s">
        <v>7605</v>
      </c>
      <c r="BE765" s="4" t="s">
        <v>7606</v>
      </c>
      <c r="BF765" s="8" t="s">
        <v>7607</v>
      </c>
      <c r="BG765" s="8" t="s">
        <v>7608</v>
      </c>
      <c r="BH765" s="4" t="s">
        <v>7609</v>
      </c>
      <c r="BI765" s="8" t="n">
        <v>13</v>
      </c>
      <c r="BJ765" s="8" t="s">
        <v>7610</v>
      </c>
      <c r="BK765" s="4" t="s">
        <v>7611</v>
      </c>
      <c r="BL765" s="8" t="s">
        <v>7610</v>
      </c>
      <c r="BM765" s="4" t="s">
        <v>7612</v>
      </c>
      <c r="BN765" s="8" t="s">
        <v>7602</v>
      </c>
      <c r="BO765" s="8" t="s">
        <v>7613</v>
      </c>
      <c r="BP765" s="8" t="s">
        <v>7602</v>
      </c>
      <c r="BQ765" s="8" t="str">
        <f aca="false">IF(A765="","",AT765)</f>
        <v>2歳</v>
      </c>
      <c r="BR765" s="8" t="str">
        <f aca="false">IF(A765="","",IF(BA765&lt;=1200,"～1200",IF(BA765&lt;=1500,"1300～1500",IF(BA765=1600,"1600",IF(BA765&lt;=1800,"1700～1800",IF(BA765&lt;=2000,"1900～2000","2100以上"))))))</f>
        <v>1600</v>
      </c>
      <c r="BS765" s="8" t="str">
        <f aca="false">IF(A765="","",IF(AX765="G1","G1",IF(AX765="G2","G2",IF(AX765="G3","G3",IF(AX765="L","L","その他")))))</f>
        <v>その他</v>
      </c>
      <c r="BT765" s="8" t="str">
        <f aca="false">IF(A765="","",IF(BI765="","未結合",IF(D765=BI765,"一致","不一致")))</f>
        <v>一致</v>
      </c>
      <c r="BU765" s="8" t="str">
        <f aca="false">IF(A765="","",IF(BE765="牝馬限定","牝馬限定","その他"))</f>
        <v>その他</v>
      </c>
    </row>
    <row r="766" customFormat="false" ht="15.75" hidden="false" customHeight="false" outlineLevel="0" collapsed="false">
      <c r="A766" s="6" t="n">
        <f aca="false">DATE(2026,8,22)</f>
        <v>46256</v>
      </c>
      <c r="B766" s="4" t="s">
        <v>13</v>
      </c>
      <c r="C766" s="8" t="n">
        <v>4</v>
      </c>
      <c r="D766" s="8" t="n">
        <v>15</v>
      </c>
      <c r="E766" s="8" t="n">
        <v>7</v>
      </c>
      <c r="F766" s="4" t="s">
        <v>2934</v>
      </c>
      <c r="G766" s="8" t="n">
        <v>62</v>
      </c>
      <c r="H766" s="8" t="n">
        <v>9</v>
      </c>
      <c r="I766" s="8"/>
      <c r="J766" s="8" t="n">
        <v>60</v>
      </c>
      <c r="K766" s="8" t="n">
        <v>3</v>
      </c>
      <c r="L766" s="8"/>
      <c r="M766" s="8" t="n">
        <v>41</v>
      </c>
      <c r="N766" s="8" t="n">
        <f aca="false">IF(A766="","",G766-J766)</f>
        <v>2</v>
      </c>
      <c r="O766" s="8" t="n">
        <f aca="false">IF(A766="","",J766-M766)</f>
        <v>19</v>
      </c>
      <c r="P766" s="8" t="n">
        <f aca="false">IF(A766="","",G766+J766)</f>
        <v>122</v>
      </c>
      <c r="Q766" s="8" t="str">
        <f aca="false">IF(A766="","",IF(AND(Y766&lt;&gt;"参考",G766&gt;=ルール設定!$B$2),"○",""))</f>
        <v/>
      </c>
      <c r="R766" s="8" t="str">
        <f aca="false">IF(A766="","",IF(AND(Y766&lt;&gt;"参考",G766&gt;=ルール設定!$B$3,N766&gt;=ルール設定!$B$4),"○",""))</f>
        <v/>
      </c>
      <c r="S766" s="8" t="str">
        <f aca="false">IF(A766="","",IF(AND(Y766&lt;&gt;"参考",G766&gt;=ルール設定!$B$5,J766&gt;=ルール設定!$B$6,O766&gt;=ルール設定!$B$7),"○",""))</f>
        <v/>
      </c>
      <c r="T766" s="8" t="n">
        <v>3</v>
      </c>
      <c r="U766" s="8" t="n">
        <v>4</v>
      </c>
      <c r="V766" s="8" t="str">
        <f aca="false">IF(A766="","",IF(AND(ISNUMBER(T766),ISNUMBER(U766)),IF(AND(T766&lt;=3,U766&lt;=3),"○","×"),""))</f>
        <v>×</v>
      </c>
      <c r="W766" s="8" t="n">
        <v>120</v>
      </c>
      <c r="X766" s="8"/>
      <c r="Y766" s="4" t="s">
        <v>7597</v>
      </c>
      <c r="Z766" s="8" t="s">
        <v>7929</v>
      </c>
      <c r="AA766" s="8" t="str">
        <v/>
      </c>
      <c r="AB766" s="8" t="str">
        <v/>
      </c>
      <c r="AC766" s="8" t="str">
        <v/>
      </c>
      <c r="AD766" s="8" t="str">
        <v/>
      </c>
      <c r="AE766" s="8" t="str">
        <v/>
      </c>
      <c r="AF766" s="8" t="str">
        <v/>
      </c>
      <c r="AG766" s="8" t="str">
        <v/>
      </c>
      <c r="AH766" s="8" t="str">
        <v/>
      </c>
      <c r="AI766" s="8" t="n">
        <v>21</v>
      </c>
      <c r="AJ766" s="8" t="str">
        <v>60～69</v>
      </c>
      <c r="AK766" s="8" t="str">
        <v>0～4</v>
      </c>
      <c r="AL766" s="8" t="str">
        <v>20～29</v>
      </c>
      <c r="AM766" s="8" t="str">
        <v>120～139</v>
      </c>
      <c r="AN766" s="8" t="str">
        <v>15以上</v>
      </c>
      <c r="AO766" s="8" t="str">
        <f aca="false">IF(A766="","",IF(COUNTIFS(全馬データ!$A$2:$A$50000,A766,全馬データ!$B$2:$B$50000,B766,全馬データ!$C$2:$C$50000,C766,全馬データ!$D$2:$D$50000,E766,全馬データ!$K$2:$K$50000,"&lt;&gt;")=0,"",SUMIFS(全馬データ!$K$2:$K$50000,全馬データ!$A$2:$A$50000,A766,全馬データ!$B$2:$B$50000,B766,全馬データ!$C$2:$C$50000,C766,全馬データ!$D$2:$D$50000,E766)))</f>
        <v/>
      </c>
      <c r="AP766" s="8" t="str">
        <f aca="false">IF(A766="","",IF(AO766="","欠損",IF(AO766&lt;=1.1,"1.0～1.1",IF(AO766&lt;1.3,"1.2",IF(AO766&lt;1.5,"1.3～1.4",IF(AO766&lt;2,"1.5～1.9","2.0以上"))))))</f>
        <v>欠損</v>
      </c>
      <c r="AQ766" s="8" t="str">
        <f aca="false">IF(A766="","",IF(ISNUMBER(SEARCH("2歳",Z766)),"2歳戦",IF(ISNUMBER(SEARCH("3歳未勝利",Z766)),"3歳未勝利",IF(ISNUMBER(SEARCH("未勝利",Z766)),"その他未勝利",IF(ISNUMBER(SEARCH("G1",Z766)),"G1",IF(ISNUMBER(SEARCH("G2",Z766)),"G2",IF(ISNUMBER(SEARCH("G3",Z766)),"G3",IF(ISNUMBER(SEARCH("古馬条件",Z766)),"古馬条件戦",IF(ISNUMBER(SEARCH("重賞",Z766)),"重賞","分類不能")))))))))</f>
        <v>分類不能</v>
      </c>
      <c r="AR766" s="8"/>
      <c r="AS766" s="8" t="s">
        <v>7623</v>
      </c>
      <c r="AT766" s="8" t="s">
        <v>7624</v>
      </c>
      <c r="AU766" s="8" t="s">
        <v>7600</v>
      </c>
      <c r="AV766" s="4" t="s">
        <v>7601</v>
      </c>
      <c r="AW766" s="8"/>
      <c r="AX766" s="8"/>
      <c r="AY766" s="8" t="s">
        <v>7610</v>
      </c>
      <c r="AZ766" s="4" t="s">
        <v>7617</v>
      </c>
      <c r="BA766" s="8" t="n">
        <v>1800</v>
      </c>
      <c r="BB766" s="8" t="s">
        <v>7634</v>
      </c>
      <c r="BC766" s="4" t="s">
        <v>7604</v>
      </c>
      <c r="BD766" s="8" t="s">
        <v>7621</v>
      </c>
      <c r="BE766" s="4" t="s">
        <v>7622</v>
      </c>
      <c r="BF766" s="8" t="s">
        <v>7602</v>
      </c>
      <c r="BG766" s="8" t="s">
        <v>7608</v>
      </c>
      <c r="BH766" s="4" t="s">
        <v>7609</v>
      </c>
      <c r="BI766" s="8" t="n">
        <v>15</v>
      </c>
      <c r="BJ766" s="8" t="s">
        <v>7610</v>
      </c>
      <c r="BK766" s="4" t="s">
        <v>7611</v>
      </c>
      <c r="BL766" s="8" t="s">
        <v>7602</v>
      </c>
      <c r="BM766" s="4" t="s">
        <v>7620</v>
      </c>
      <c r="BN766" s="8"/>
      <c r="BO766" s="8"/>
      <c r="BP766" s="8" t="s">
        <v>7602</v>
      </c>
      <c r="BQ766" s="8" t="str">
        <f aca="false">IF(A766="","",AT766)</f>
        <v>3歳</v>
      </c>
      <c r="BR766" s="8" t="str">
        <f aca="false">IF(A766="","",IF(BA766&lt;=1200,"～1200",IF(BA766&lt;=1500,"1300～1500",IF(BA766=1600,"1600",IF(BA766&lt;=1800,"1700～1800",IF(BA766&lt;=2000,"1900～2000","2100以上"))))))</f>
        <v>1700～1800</v>
      </c>
      <c r="BS766" s="8" t="str">
        <f aca="false">IF(A766="","",IF(AX766="G1","G1",IF(AX766="G2","G2",IF(AX766="G3","G3",IF(AX766="L","L","その他")))))</f>
        <v>その他</v>
      </c>
      <c r="BT766" s="8" t="str">
        <f aca="false">IF(A766="","",IF(BI766="","未結合",IF(D766=BI766,"一致","不一致")))</f>
        <v>一致</v>
      </c>
      <c r="BU766" s="8" t="str">
        <f aca="false">IF(A766="","",IF(BE766="牝馬限定","牝馬限定","その他"))</f>
        <v>牝馬限定</v>
      </c>
    </row>
    <row r="767" customFormat="false" ht="15.75" hidden="false" customHeight="false" outlineLevel="0" collapsed="false">
      <c r="A767" s="6" t="n">
        <f aca="false">DATE(2026,8,22)</f>
        <v>46256</v>
      </c>
      <c r="B767" s="4" t="s">
        <v>13</v>
      </c>
      <c r="C767" s="8" t="n">
        <v>5</v>
      </c>
      <c r="D767" s="8" t="n">
        <v>18</v>
      </c>
      <c r="E767" s="8" t="n">
        <v>3</v>
      </c>
      <c r="F767" s="8"/>
      <c r="G767" s="8" t="n">
        <v>60</v>
      </c>
      <c r="H767" s="8" t="n">
        <v>16</v>
      </c>
      <c r="I767" s="8"/>
      <c r="J767" s="8" t="n">
        <v>60</v>
      </c>
      <c r="K767" s="8" t="n">
        <v>9</v>
      </c>
      <c r="L767" s="4" t="s">
        <v>3022</v>
      </c>
      <c r="M767" s="8" t="n">
        <v>41</v>
      </c>
      <c r="N767" s="8" t="n">
        <f aca="false">IF(A767="","",G767-J767)</f>
        <v>0</v>
      </c>
      <c r="O767" s="8" t="n">
        <f aca="false">IF(A767="","",J767-M767)</f>
        <v>19</v>
      </c>
      <c r="P767" s="8" t="n">
        <f aca="false">IF(A767="","",G767+J767)</f>
        <v>120</v>
      </c>
      <c r="Q767" s="8" t="str">
        <f aca="false">IF(A767="","",IF(AND(Y767&lt;&gt;"参考",G767&gt;=ルール設定!$B$2),"○",""))</f>
        <v/>
      </c>
      <c r="R767" s="8" t="str">
        <f aca="false">IF(A767="","",IF(AND(Y767&lt;&gt;"参考",G767&gt;=ルール設定!$B$3,N767&gt;=ルール設定!$B$4),"○",""))</f>
        <v/>
      </c>
      <c r="S767" s="8" t="str">
        <f aca="false">IF(A767="","",IF(AND(Y767&lt;&gt;"参考",G767&gt;=ルール設定!$B$5,J767&gt;=ルール設定!$B$6,O767&gt;=ルール設定!$B$7),"○",""))</f>
        <v/>
      </c>
      <c r="T767" s="8" t="n">
        <v>4</v>
      </c>
      <c r="U767" s="8" t="n">
        <v>4</v>
      </c>
      <c r="V767" s="8" t="str">
        <f aca="false">IF(A767="","",IF(AND(ISNUMBER(T767),ISNUMBER(U767)),IF(AND(T767&lt;=3,U767&lt;=3),"○","×"),""))</f>
        <v>×</v>
      </c>
      <c r="W767" s="8"/>
      <c r="X767" s="8"/>
      <c r="Y767" s="4" t="s">
        <v>7597</v>
      </c>
      <c r="Z767" s="8" t="s">
        <v>7930</v>
      </c>
      <c r="AA767" s="8" t="str">
        <v/>
      </c>
      <c r="AB767" s="8" t="str">
        <v/>
      </c>
      <c r="AC767" s="8" t="str">
        <v/>
      </c>
      <c r="AD767" s="8" t="str">
        <v/>
      </c>
      <c r="AE767" s="8" t="str">
        <v/>
      </c>
      <c r="AF767" s="8" t="str">
        <v/>
      </c>
      <c r="AG767" s="8" t="str">
        <v/>
      </c>
      <c r="AH767" s="8" t="str">
        <v/>
      </c>
      <c r="AI767" s="8" t="n">
        <v>19</v>
      </c>
      <c r="AJ767" s="8" t="str">
        <v>60～69</v>
      </c>
      <c r="AK767" s="8" t="str">
        <v>0～4</v>
      </c>
      <c r="AL767" s="8" t="str">
        <v>10～19</v>
      </c>
      <c r="AM767" s="8" t="str">
        <v>120～139</v>
      </c>
      <c r="AN767" s="8" t="str">
        <v>15以上</v>
      </c>
      <c r="AO767" s="8" t="str">
        <f aca="false">IF(A767="","",IF(COUNTIFS(全馬データ!$A$2:$A$50000,A767,全馬データ!$B$2:$B$50000,B767,全馬データ!$C$2:$C$50000,C767,全馬データ!$D$2:$D$50000,E767,全馬データ!$K$2:$K$50000,"&lt;&gt;")=0,"",SUMIFS(全馬データ!$K$2:$K$50000,全馬データ!$A$2:$A$50000,A767,全馬データ!$B$2:$B$50000,B767,全馬データ!$C$2:$C$50000,C767,全馬データ!$D$2:$D$50000,E767)))</f>
        <v/>
      </c>
      <c r="AP767" s="8" t="str">
        <f aca="false">IF(A767="","",IF(AO767="","欠損",IF(AO767&lt;=1.1,"1.0～1.1",IF(AO767&lt;1.3,"1.2",IF(AO767&lt;1.5,"1.3～1.4",IF(AO767&lt;2,"1.5～1.9","2.0以上"))))))</f>
        <v>欠損</v>
      </c>
      <c r="AQ767" s="8" t="str">
        <f aca="false">IF(A767="","",IF(ISNUMBER(SEARCH("2歳",Z767)),"2歳戦",IF(ISNUMBER(SEARCH("3歳未勝利",Z767)),"3歳未勝利",IF(ISNUMBER(SEARCH("未勝利",Z767)),"その他未勝利",IF(ISNUMBER(SEARCH("G1",Z767)),"G1",IF(ISNUMBER(SEARCH("G2",Z767)),"G2",IF(ISNUMBER(SEARCH("G3",Z767)),"G3",IF(ISNUMBER(SEARCH("古馬条件",Z767)),"古馬条件戦",IF(ISNUMBER(SEARCH("重賞",Z767)),"重賞","分類不能")))))))))</f>
        <v>分類不能</v>
      </c>
      <c r="AR767" s="8"/>
      <c r="AS767" s="8" t="s">
        <v>7623</v>
      </c>
      <c r="AT767" s="8" t="s">
        <v>7624</v>
      </c>
      <c r="AU767" s="8" t="s">
        <v>7600</v>
      </c>
      <c r="AV767" s="4" t="s">
        <v>7601</v>
      </c>
      <c r="AW767" s="8"/>
      <c r="AX767" s="8"/>
      <c r="AY767" s="8" t="s">
        <v>7602</v>
      </c>
      <c r="AZ767" s="4" t="s">
        <v>7603</v>
      </c>
      <c r="BA767" s="8" t="n">
        <v>1600</v>
      </c>
      <c r="BB767" s="8" t="s">
        <v>7634</v>
      </c>
      <c r="BC767" s="4" t="s">
        <v>7604</v>
      </c>
      <c r="BD767" s="8" t="s">
        <v>7605</v>
      </c>
      <c r="BE767" s="4" t="s">
        <v>7606</v>
      </c>
      <c r="BF767" s="8" t="s">
        <v>7607</v>
      </c>
      <c r="BG767" s="8" t="s">
        <v>7608</v>
      </c>
      <c r="BH767" s="4" t="s">
        <v>7609</v>
      </c>
      <c r="BI767" s="8" t="n">
        <v>18</v>
      </c>
      <c r="BJ767" s="8" t="s">
        <v>7610</v>
      </c>
      <c r="BK767" s="4" t="s">
        <v>7611</v>
      </c>
      <c r="BL767" s="8" t="s">
        <v>7610</v>
      </c>
      <c r="BM767" s="4" t="s">
        <v>7612</v>
      </c>
      <c r="BN767" s="8" t="s">
        <v>7602</v>
      </c>
      <c r="BO767" s="8" t="s">
        <v>7613</v>
      </c>
      <c r="BP767" s="8" t="s">
        <v>7602</v>
      </c>
      <c r="BQ767" s="8" t="str">
        <f aca="false">IF(A767="","",AT767)</f>
        <v>3歳</v>
      </c>
      <c r="BR767" s="8" t="str">
        <f aca="false">IF(A767="","",IF(BA767&lt;=1200,"～1200",IF(BA767&lt;=1500,"1300～1500",IF(BA767=1600,"1600",IF(BA767&lt;=1800,"1700～1800",IF(BA767&lt;=2000,"1900～2000","2100以上"))))))</f>
        <v>1600</v>
      </c>
      <c r="BS767" s="8" t="str">
        <f aca="false">IF(A767="","",IF(AX767="G1","G1",IF(AX767="G2","G2",IF(AX767="G3","G3",IF(AX767="L","L","その他")))))</f>
        <v>その他</v>
      </c>
      <c r="BT767" s="8" t="str">
        <f aca="false">IF(A767="","",IF(BI767="","未結合",IF(D767=BI767,"一致","不一致")))</f>
        <v>一致</v>
      </c>
      <c r="BU767" s="8" t="str">
        <f aca="false">IF(A767="","",IF(BE767="牝馬限定","牝馬限定","その他"))</f>
        <v>その他</v>
      </c>
    </row>
    <row r="768" customFormat="false" ht="15.75" hidden="false" customHeight="false" outlineLevel="0" collapsed="false">
      <c r="A768" s="6" t="n">
        <f aca="false">DATE(2026,8,22)</f>
        <v>46256</v>
      </c>
      <c r="B768" s="4" t="s">
        <v>13</v>
      </c>
      <c r="C768" s="8" t="n">
        <v>6</v>
      </c>
      <c r="D768" s="8" t="n">
        <v>18</v>
      </c>
      <c r="E768" s="8" t="n">
        <v>10</v>
      </c>
      <c r="F768" s="4" t="s">
        <v>6051</v>
      </c>
      <c r="G768" s="8" t="n">
        <v>56</v>
      </c>
      <c r="H768" s="8" t="n">
        <v>1</v>
      </c>
      <c r="I768" s="4" t="s">
        <v>5871</v>
      </c>
      <c r="J768" s="8" t="n">
        <v>44</v>
      </c>
      <c r="K768" s="8" t="n">
        <v>2</v>
      </c>
      <c r="L768" s="8"/>
      <c r="M768" s="8" t="n">
        <v>44</v>
      </c>
      <c r="N768" s="8" t="n">
        <f aca="false">IF(A768="","",G768-J768)</f>
        <v>12</v>
      </c>
      <c r="O768" s="8" t="n">
        <f aca="false">IF(A768="","",J768-M768)</f>
        <v>0</v>
      </c>
      <c r="P768" s="8" t="n">
        <f aca="false">IF(A768="","",G768+J768)</f>
        <v>100</v>
      </c>
      <c r="Q768" s="8" t="str">
        <f aca="false">IF(A768="","",IF(AND(Y768&lt;&gt;"参考",G768&gt;=ルール設定!$B$2),"○",""))</f>
        <v/>
      </c>
      <c r="R768" s="8" t="str">
        <f aca="false">IF(A768="","",IF(AND(Y768&lt;&gt;"参考",G768&gt;=ルール設定!$B$3,N768&gt;=ルール設定!$B$4),"○",""))</f>
        <v/>
      </c>
      <c r="S768" s="8" t="str">
        <f aca="false">IF(A768="","",IF(AND(Y768&lt;&gt;"参考",G768&gt;=ルール設定!$B$5,J768&gt;=ルール設定!$B$6,O768&gt;=ルール設定!$B$7),"○",""))</f>
        <v/>
      </c>
      <c r="T768" s="8" t="n">
        <v>3</v>
      </c>
      <c r="U768" s="8" t="n">
        <v>2</v>
      </c>
      <c r="V768" s="8" t="str">
        <f aca="false">IF(A768="","",IF(AND(ISNUMBER(T768),ISNUMBER(U768)),IF(AND(T768&lt;=3,U768&lt;=3),"○","×"),""))</f>
        <v>○</v>
      </c>
      <c r="W768" s="8" t="n">
        <v>140</v>
      </c>
      <c r="X768" s="8" t="n">
        <v>270</v>
      </c>
      <c r="Y768" s="4" t="s">
        <v>7597</v>
      </c>
      <c r="Z768" s="8" t="s">
        <v>7931</v>
      </c>
      <c r="AA768" s="8" t="str">
        <v/>
      </c>
      <c r="AB768" s="8" t="str">
        <v/>
      </c>
      <c r="AC768" s="8" t="str">
        <v/>
      </c>
      <c r="AD768" s="8" t="str">
        <v/>
      </c>
      <c r="AE768" s="8" t="str">
        <v/>
      </c>
      <c r="AF768" s="8" t="str">
        <v/>
      </c>
      <c r="AG768" s="8" t="str">
        <v/>
      </c>
      <c r="AH768" s="8" t="str">
        <v/>
      </c>
      <c r="AI768" s="8" t="n">
        <v>12</v>
      </c>
      <c r="AJ768" s="8" t="str">
        <v>～59</v>
      </c>
      <c r="AK768" s="8" t="str">
        <v>10～19</v>
      </c>
      <c r="AL768" s="8" t="str">
        <v>10～19</v>
      </c>
      <c r="AM768" s="8" t="str">
        <v>100～119</v>
      </c>
      <c r="AN768" s="8" t="str">
        <v>15以上</v>
      </c>
      <c r="AO768" s="8" t="str">
        <f aca="false">IF(A768="","",IF(COUNTIFS(全馬データ!$A$2:$A$50000,A768,全馬データ!$B$2:$B$50000,B768,全馬データ!$C$2:$C$50000,C768,全馬データ!$D$2:$D$50000,E768,全馬データ!$K$2:$K$50000,"&lt;&gt;")=0,"",SUMIFS(全馬データ!$K$2:$K$50000,全馬データ!$A$2:$A$50000,A768,全馬データ!$B$2:$B$50000,B768,全馬データ!$C$2:$C$50000,C768,全馬データ!$D$2:$D$50000,E768)))</f>
        <v/>
      </c>
      <c r="AP768" s="8" t="str">
        <f aca="false">IF(A768="","",IF(AO768="","欠損",IF(AO768&lt;=1.1,"1.0～1.1",IF(AO768&lt;1.3,"1.2",IF(AO768&lt;1.5,"1.3～1.4",IF(AO768&lt;2,"1.5～1.9","2.0以上"))))))</f>
        <v>欠損</v>
      </c>
      <c r="AQ768" s="8" t="str">
        <f aca="false">IF(A768="","",IF(ISNUMBER(SEARCH("2歳",Z768)),"2歳戦",IF(ISNUMBER(SEARCH("3歳未勝利",Z768)),"3歳未勝利",IF(ISNUMBER(SEARCH("未勝利",Z768)),"その他未勝利",IF(ISNUMBER(SEARCH("G1",Z768)),"G1",IF(ISNUMBER(SEARCH("G2",Z768)),"G2",IF(ISNUMBER(SEARCH("G3",Z768)),"G3",IF(ISNUMBER(SEARCH("古馬条件",Z768)),"古馬条件戦",IF(ISNUMBER(SEARCH("重賞",Z768)),"重賞","分類不能")))))))))</f>
        <v>分類不能</v>
      </c>
      <c r="AR768" s="4" t="s">
        <v>7932</v>
      </c>
      <c r="AS768" s="8" t="s">
        <v>7626</v>
      </c>
      <c r="AT768" s="8" t="s">
        <v>7627</v>
      </c>
      <c r="AU768" s="8" t="s">
        <v>7639</v>
      </c>
      <c r="AV768" s="8" t="s">
        <v>7640</v>
      </c>
      <c r="AW768" s="8" t="s">
        <v>7636</v>
      </c>
      <c r="AX768" s="4" t="s">
        <v>7637</v>
      </c>
      <c r="AY768" s="8" t="s">
        <v>7602</v>
      </c>
      <c r="AZ768" s="4" t="s">
        <v>7603</v>
      </c>
      <c r="BA768" s="8" t="n">
        <v>1600</v>
      </c>
      <c r="BB768" s="8" t="s">
        <v>7634</v>
      </c>
      <c r="BC768" s="4" t="s">
        <v>7604</v>
      </c>
      <c r="BD768" s="8" t="s">
        <v>7605</v>
      </c>
      <c r="BE768" s="4" t="s">
        <v>7606</v>
      </c>
      <c r="BF768" s="8" t="s">
        <v>7607</v>
      </c>
      <c r="BG768" s="8" t="s">
        <v>7602</v>
      </c>
      <c r="BH768" s="4" t="s">
        <v>7667</v>
      </c>
      <c r="BI768" s="8" t="n">
        <v>18</v>
      </c>
      <c r="BJ768" s="8" t="s">
        <v>7610</v>
      </c>
      <c r="BK768" s="4" t="s">
        <v>7611</v>
      </c>
      <c r="BL768" s="8" t="s">
        <v>7610</v>
      </c>
      <c r="BM768" s="4" t="s">
        <v>7612</v>
      </c>
      <c r="BN768" s="8" t="s">
        <v>7602</v>
      </c>
      <c r="BO768" s="8" t="s">
        <v>7613</v>
      </c>
      <c r="BP768" s="8" t="s">
        <v>7602</v>
      </c>
      <c r="BQ768" s="8" t="str">
        <f aca="false">IF(A768="","",AT768)</f>
        <v>3歳以上</v>
      </c>
      <c r="BR768" s="8" t="str">
        <f aca="false">IF(A768="","",IF(BA768&lt;=1200,"～1200",IF(BA768&lt;=1500,"1300～1500",IF(BA768=1600,"1600",IF(BA768&lt;=1800,"1700～1800",IF(BA768&lt;=2000,"1900～2000","2100以上"))))))</f>
        <v>1600</v>
      </c>
      <c r="BS768" s="8" t="str">
        <f aca="false">IF(A768="","",IF(AX768="G1","G1",IF(AX768="G2","G2",IF(AX768="G3","G3",IF(AX768="L","L","その他")))))</f>
        <v>その他</v>
      </c>
      <c r="BT768" s="8" t="str">
        <f aca="false">IF(A768="","",IF(BI768="","未結合",IF(D768=BI768,"一致","不一致")))</f>
        <v>一致</v>
      </c>
      <c r="BU768" s="8" t="str">
        <f aca="false">IF(A768="","",IF(BE768="牝馬限定","牝馬限定","その他"))</f>
        <v>その他</v>
      </c>
    </row>
    <row r="769" customFormat="false" ht="15.75" hidden="false" customHeight="false" outlineLevel="0" collapsed="false">
      <c r="A769" s="6" t="n">
        <f aca="false">DATE(2026,8,22)</f>
        <v>46256</v>
      </c>
      <c r="B769" s="4" t="s">
        <v>13</v>
      </c>
      <c r="C769" s="8" t="n">
        <v>7</v>
      </c>
      <c r="D769" s="8" t="n">
        <v>18</v>
      </c>
      <c r="E769" s="8" t="n">
        <v>8</v>
      </c>
      <c r="F769" s="8"/>
      <c r="G769" s="8" t="n">
        <v>41</v>
      </c>
      <c r="H769" s="8" t="n">
        <v>6</v>
      </c>
      <c r="I769" s="8"/>
      <c r="J769" s="8" t="n">
        <v>37</v>
      </c>
      <c r="K769" s="8" t="n">
        <v>3</v>
      </c>
      <c r="L769" s="8"/>
      <c r="M769" s="8" t="n">
        <v>31</v>
      </c>
      <c r="N769" s="8" t="n">
        <f aca="false">IF(A769="","",G769-J769)</f>
        <v>4</v>
      </c>
      <c r="O769" s="8" t="n">
        <f aca="false">IF(A769="","",J769-M769)</f>
        <v>6</v>
      </c>
      <c r="P769" s="8" t="n">
        <f aca="false">IF(A769="","",G769+J769)</f>
        <v>78</v>
      </c>
      <c r="Q769" s="8" t="str">
        <f aca="false">IF(A769="","",IF(AND(Y769&lt;&gt;"参考",G769&gt;=ルール設定!$B$2),"○",""))</f>
        <v/>
      </c>
      <c r="R769" s="8" t="str">
        <f aca="false">IF(A769="","",IF(AND(Y769&lt;&gt;"参考",G769&gt;=ルール設定!$B$3,N769&gt;=ルール設定!$B$4),"○",""))</f>
        <v/>
      </c>
      <c r="S769" s="8" t="str">
        <f aca="false">IF(A769="","",IF(AND(Y769&lt;&gt;"参考",G769&gt;=ルール設定!$B$5,J769&gt;=ルール設定!$B$6,O769&gt;=ルール設定!$B$7),"○",""))</f>
        <v/>
      </c>
      <c r="T769" s="8" t="n">
        <v>4</v>
      </c>
      <c r="U769" s="8" t="n">
        <v>4</v>
      </c>
      <c r="V769" s="8" t="str">
        <f aca="false">IF(A769="","",IF(AND(ISNUMBER(T769),ISNUMBER(U769)),IF(AND(T769&lt;=3,U769&lt;=3),"○","×"),""))</f>
        <v>×</v>
      </c>
      <c r="W769" s="8"/>
      <c r="X769" s="8"/>
      <c r="Y769" s="4" t="s">
        <v>7597</v>
      </c>
      <c r="Z769" s="8" t="s">
        <v>7933</v>
      </c>
      <c r="AA769" s="8" t="str">
        <v/>
      </c>
      <c r="AB769" s="8" t="str">
        <v/>
      </c>
      <c r="AC769" s="8" t="str">
        <v/>
      </c>
      <c r="AD769" s="8" t="str">
        <v/>
      </c>
      <c r="AE769" s="8" t="str">
        <v/>
      </c>
      <c r="AF769" s="8" t="str">
        <v/>
      </c>
      <c r="AG769" s="8" t="str">
        <v/>
      </c>
      <c r="AH769" s="8" t="str">
        <v/>
      </c>
      <c r="AI769" s="8" t="n">
        <v>10</v>
      </c>
      <c r="AJ769" s="8" t="str">
        <v>～59</v>
      </c>
      <c r="AK769" s="8" t="str">
        <v>0～4</v>
      </c>
      <c r="AL769" s="8" t="str">
        <v>10～19</v>
      </c>
      <c r="AM769" s="8" t="str">
        <v>～99</v>
      </c>
      <c r="AN769" s="8" t="str">
        <v>15以上</v>
      </c>
      <c r="AO769" s="8" t="str">
        <f aca="false">IF(A769="","",IF(COUNTIFS(全馬データ!$A$2:$A$50000,A769,全馬データ!$B$2:$B$50000,B769,全馬データ!$C$2:$C$50000,C769,全馬データ!$D$2:$D$50000,E769,全馬データ!$K$2:$K$50000,"&lt;&gt;")=0,"",SUMIFS(全馬データ!$K$2:$K$50000,全馬データ!$A$2:$A$50000,A769,全馬データ!$B$2:$B$50000,B769,全馬データ!$C$2:$C$50000,C769,全馬データ!$D$2:$D$50000,E769)))</f>
        <v/>
      </c>
      <c r="AP769" s="8" t="str">
        <f aca="false">IF(A769="","",IF(AO769="","欠損",IF(AO769&lt;=1.1,"1.0～1.1",IF(AO769&lt;1.3,"1.2",IF(AO769&lt;1.5,"1.3～1.4",IF(AO769&lt;2,"1.5～1.9","2.0以上"))))))</f>
        <v>欠損</v>
      </c>
      <c r="AQ769" s="8" t="str">
        <f aca="false">IF(A769="","",IF(ISNUMBER(SEARCH("2歳",Z769)),"2歳戦",IF(ISNUMBER(SEARCH("3歳未勝利",Z769)),"3歳未勝利",IF(ISNUMBER(SEARCH("未勝利",Z769)),"その他未勝利",IF(ISNUMBER(SEARCH("G1",Z769)),"G1",IF(ISNUMBER(SEARCH("G2",Z769)),"G2",IF(ISNUMBER(SEARCH("G3",Z769)),"G3",IF(ISNUMBER(SEARCH("古馬条件",Z769)),"古馬条件戦",IF(ISNUMBER(SEARCH("重賞",Z769)),"重賞","分類不能")))))))))</f>
        <v>分類不能</v>
      </c>
      <c r="AR769" s="4" t="s">
        <v>7934</v>
      </c>
      <c r="AS769" s="8" t="s">
        <v>7626</v>
      </c>
      <c r="AT769" s="8" t="s">
        <v>7627</v>
      </c>
      <c r="AU769" s="8" t="s">
        <v>7643</v>
      </c>
      <c r="AV769" s="4" t="s">
        <v>7644</v>
      </c>
      <c r="AW769" s="8" t="s">
        <v>7676</v>
      </c>
      <c r="AX769" s="8" t="s">
        <v>7677</v>
      </c>
      <c r="AY769" s="8" t="s">
        <v>7602</v>
      </c>
      <c r="AZ769" s="4" t="s">
        <v>7603</v>
      </c>
      <c r="BA769" s="8" t="n">
        <v>1400</v>
      </c>
      <c r="BB769" s="8" t="s">
        <v>7634</v>
      </c>
      <c r="BC769" s="4" t="s">
        <v>7604</v>
      </c>
      <c r="BD769" s="8" t="s">
        <v>7666</v>
      </c>
      <c r="BE769" s="4" t="s">
        <v>7606</v>
      </c>
      <c r="BF769" s="8" t="s">
        <v>7607</v>
      </c>
      <c r="BG769" s="8" t="s">
        <v>7610</v>
      </c>
      <c r="BH769" s="4" t="s">
        <v>7646</v>
      </c>
      <c r="BI769" s="8" t="n">
        <v>18</v>
      </c>
      <c r="BJ769" s="8" t="s">
        <v>7610</v>
      </c>
      <c r="BK769" s="4" t="s">
        <v>7611</v>
      </c>
      <c r="BL769" s="8" t="s">
        <v>7602</v>
      </c>
      <c r="BM769" s="4" t="s">
        <v>7620</v>
      </c>
      <c r="BN769" s="8" t="s">
        <v>7602</v>
      </c>
      <c r="BO769" s="8" t="s">
        <v>7613</v>
      </c>
      <c r="BP769" s="8" t="s">
        <v>7602</v>
      </c>
      <c r="BQ769" s="8" t="str">
        <f aca="false">IF(A769="","",AT769)</f>
        <v>3歳以上</v>
      </c>
      <c r="BR769" s="8" t="str">
        <f aca="false">IF(A769="","",IF(BA769&lt;=1200,"～1200",IF(BA769&lt;=1500,"1300～1500",IF(BA769=1600,"1600",IF(BA769&lt;=1800,"1700～1800",IF(BA769&lt;=2000,"1900～2000","2100以上"))))))</f>
        <v>1300～1500</v>
      </c>
      <c r="BS769" s="8" t="str">
        <f aca="false">IF(A769="","",IF(AX769="G1","G1",IF(AX769="G2","G2",IF(AX769="G3","G3",IF(AX769="L","L","その他")))))</f>
        <v>L</v>
      </c>
      <c r="BT769" s="8" t="str">
        <f aca="false">IF(A769="","",IF(BI769="","未結合",IF(D769=BI769,"一致","不一致")))</f>
        <v>一致</v>
      </c>
      <c r="BU769" s="8" t="str">
        <f aca="false">IF(A769="","",IF(BE769="牝馬限定","牝馬限定","その他"))</f>
        <v>その他</v>
      </c>
    </row>
    <row r="770" customFormat="false" ht="15.75" hidden="false" customHeight="false" outlineLevel="0" collapsed="false">
      <c r="A770" s="6" t="n">
        <f aca="false">DATE(2026,8,22)</f>
        <v>46256</v>
      </c>
      <c r="B770" s="4" t="s">
        <v>13</v>
      </c>
      <c r="C770" s="8" t="n">
        <v>8</v>
      </c>
      <c r="D770" s="8" t="n">
        <v>15</v>
      </c>
      <c r="E770" s="8" t="n">
        <v>10</v>
      </c>
      <c r="F770" s="4" t="s">
        <v>3674</v>
      </c>
      <c r="G770" s="8" t="n">
        <v>74</v>
      </c>
      <c r="H770" s="8" t="n">
        <v>6</v>
      </c>
      <c r="I770" s="8"/>
      <c r="J770" s="8" t="n">
        <v>37</v>
      </c>
      <c r="K770" s="8" t="n">
        <v>14</v>
      </c>
      <c r="L770" s="8"/>
      <c r="M770" s="8" t="n">
        <v>37</v>
      </c>
      <c r="N770" s="8" t="n">
        <f aca="false">IF(A770="","",G770-J770)</f>
        <v>37</v>
      </c>
      <c r="O770" s="8" t="n">
        <f aca="false">IF(A770="","",J770-M770)</f>
        <v>0</v>
      </c>
      <c r="P770" s="8" t="n">
        <f aca="false">IF(A770="","",G770+J770)</f>
        <v>111</v>
      </c>
      <c r="Q770" s="8" t="str">
        <f aca="false">IF(A770="","",IF(AND(Y770&lt;&gt;"参考",G770&gt;=ルール設定!$B$2),"○",""))</f>
        <v/>
      </c>
      <c r="R770" s="8" t="str">
        <f aca="false">IF(A770="","",IF(AND(Y770&lt;&gt;"参考",G770&gt;=ルール設定!$B$3,N770&gt;=ルール設定!$B$4),"○",""))</f>
        <v>○</v>
      </c>
      <c r="S770" s="8" t="str">
        <f aca="false">IF(A770="","",IF(AND(Y770&lt;&gt;"参考",G770&gt;=ルール設定!$B$5,J770&gt;=ルール設定!$B$6,O770&gt;=ルール設定!$B$7),"○",""))</f>
        <v/>
      </c>
      <c r="T770" s="8" t="n">
        <v>1</v>
      </c>
      <c r="U770" s="8" t="n">
        <v>4</v>
      </c>
      <c r="V770" s="8" t="str">
        <f aca="false">IF(A770="","",IF(AND(ISNUMBER(T770),ISNUMBER(U770)),IF(AND(T770&lt;=3,U770&lt;=3),"○","×"),""))</f>
        <v>×</v>
      </c>
      <c r="W770" s="8" t="n">
        <v>110</v>
      </c>
      <c r="X770" s="8"/>
      <c r="Y770" s="4" t="s">
        <v>7597</v>
      </c>
      <c r="Z770" s="8" t="s">
        <v>7935</v>
      </c>
      <c r="AA770" s="8" t="str">
        <v/>
      </c>
      <c r="AB770" s="8" t="str">
        <v/>
      </c>
      <c r="AC770" s="8" t="str">
        <v/>
      </c>
      <c r="AD770" s="8" t="str">
        <v/>
      </c>
      <c r="AE770" s="8" t="str">
        <v>○</v>
      </c>
      <c r="AF770" s="8" t="str">
        <v/>
      </c>
      <c r="AG770" s="8" t="str">
        <v/>
      </c>
      <c r="AH770" s="8" t="str">
        <v/>
      </c>
      <c r="AI770" s="8" t="n">
        <v>37</v>
      </c>
      <c r="AJ770" s="8" t="str">
        <v>70～74</v>
      </c>
      <c r="AK770" s="8" t="str">
        <v>30以上</v>
      </c>
      <c r="AL770" s="8" t="str">
        <v>30～39</v>
      </c>
      <c r="AM770" s="8" t="str">
        <v>100～119</v>
      </c>
      <c r="AN770" s="8" t="str">
        <v>15以上</v>
      </c>
      <c r="AO770" s="8" t="str">
        <f aca="false">IF(A770="","",IF(COUNTIFS(全馬データ!$A$2:$A$50000,A770,全馬データ!$B$2:$B$50000,B770,全馬データ!$C$2:$C$50000,C770,全馬データ!$D$2:$D$50000,E770,全馬データ!$K$2:$K$50000,"&lt;&gt;")=0,"",SUMIFS(全馬データ!$K$2:$K$50000,全馬データ!$A$2:$A$50000,A770,全馬データ!$B$2:$B$50000,B770,全馬データ!$C$2:$C$50000,C770,全馬データ!$D$2:$D$50000,E770)))</f>
        <v/>
      </c>
      <c r="AP770" s="8" t="str">
        <f aca="false">IF(A770="","",IF(AO770="","欠損",IF(AO770&lt;=1.1,"1.0～1.1",IF(AO770&lt;1.3,"1.2",IF(AO770&lt;1.5,"1.3～1.4",IF(AO770&lt;2,"1.5～1.9","2.0以上"))))))</f>
        <v>欠損</v>
      </c>
      <c r="AQ770" s="8" t="str">
        <f aca="false">IF(A770="","",IF(ISNUMBER(SEARCH("2歳",Z770)),"2歳戦",IF(ISNUMBER(SEARCH("3歳未勝利",Z770)),"3歳未勝利",IF(ISNUMBER(SEARCH("未勝利",Z770)),"その他未勝利",IF(ISNUMBER(SEARCH("G1",Z770)),"G1",IF(ISNUMBER(SEARCH("G2",Z770)),"G2",IF(ISNUMBER(SEARCH("G3",Z770)),"G3",IF(ISNUMBER(SEARCH("古馬条件",Z770)),"古馬条件戦",IF(ISNUMBER(SEARCH("重賞",Z770)),"重賞","分類不能")))))))))</f>
        <v>分類不能</v>
      </c>
      <c r="AR770" s="4" t="s">
        <v>7936</v>
      </c>
      <c r="AS770" s="8" t="s">
        <v>7626</v>
      </c>
      <c r="AT770" s="8" t="s">
        <v>7627</v>
      </c>
      <c r="AU770" s="8" t="s">
        <v>7634</v>
      </c>
      <c r="AV770" s="8" t="s">
        <v>7635</v>
      </c>
      <c r="AW770" s="8" t="s">
        <v>7636</v>
      </c>
      <c r="AX770" s="4" t="s">
        <v>7637</v>
      </c>
      <c r="AY770" s="8" t="s">
        <v>7610</v>
      </c>
      <c r="AZ770" s="4" t="s">
        <v>7617</v>
      </c>
      <c r="BA770" s="8" t="n">
        <v>1200</v>
      </c>
      <c r="BB770" s="8" t="s">
        <v>7634</v>
      </c>
      <c r="BC770" s="4" t="s">
        <v>7604</v>
      </c>
      <c r="BD770" s="8" t="s">
        <v>7605</v>
      </c>
      <c r="BE770" s="4" t="s">
        <v>7606</v>
      </c>
      <c r="BF770" s="8" t="s">
        <v>7607</v>
      </c>
      <c r="BG770" s="8" t="s">
        <v>7631</v>
      </c>
      <c r="BH770" s="4" t="s">
        <v>7632</v>
      </c>
      <c r="BI770" s="8" t="n">
        <v>15</v>
      </c>
      <c r="BJ770" s="8" t="s">
        <v>7610</v>
      </c>
      <c r="BK770" s="4" t="s">
        <v>7611</v>
      </c>
      <c r="BL770" s="8" t="s">
        <v>7602</v>
      </c>
      <c r="BM770" s="4" t="s">
        <v>7620</v>
      </c>
      <c r="BN770" s="8"/>
      <c r="BO770" s="8"/>
      <c r="BP770" s="8" t="s">
        <v>7602</v>
      </c>
      <c r="BQ770" s="8" t="str">
        <f aca="false">IF(A770="","",AT770)</f>
        <v>3歳以上</v>
      </c>
      <c r="BR770" s="8" t="str">
        <f aca="false">IF(A770="","",IF(BA770&lt;=1200,"～1200",IF(BA770&lt;=1500,"1300～1500",IF(BA770=1600,"1600",IF(BA770&lt;=1800,"1700～1800",IF(BA770&lt;=2000,"1900～2000","2100以上"))))))</f>
        <v>～1200</v>
      </c>
      <c r="BS770" s="8" t="str">
        <f aca="false">IF(A770="","",IF(AX770="G1","G1",IF(AX770="G2","G2",IF(AX770="G3","G3",IF(AX770="L","L","その他")))))</f>
        <v>その他</v>
      </c>
      <c r="BT770" s="8" t="str">
        <f aca="false">IF(A770="","",IF(BI770="","未結合",IF(D770=BI770,"一致","不一致")))</f>
        <v>一致</v>
      </c>
      <c r="BU770" s="8" t="str">
        <f aca="false">IF(A770="","",IF(BE770="牝馬限定","牝馬限定","その他"))</f>
        <v>その他</v>
      </c>
    </row>
    <row r="771" customFormat="false" ht="15.75" hidden="false" customHeight="false" outlineLevel="0" collapsed="false">
      <c r="A771" s="6" t="n">
        <f aca="false">DATE(2026,8,22)</f>
        <v>46256</v>
      </c>
      <c r="B771" s="4" t="s">
        <v>13</v>
      </c>
      <c r="C771" s="8" t="n">
        <v>9</v>
      </c>
      <c r="D771" s="8" t="n">
        <v>15</v>
      </c>
      <c r="E771" s="8" t="n">
        <v>6</v>
      </c>
      <c r="F771" s="4" t="s">
        <v>3070</v>
      </c>
      <c r="G771" s="8" t="n">
        <v>56</v>
      </c>
      <c r="H771" s="8" t="n">
        <v>1</v>
      </c>
      <c r="I771" s="8"/>
      <c r="J771" s="8" t="n">
        <v>47</v>
      </c>
      <c r="K771" s="8" t="n">
        <v>14</v>
      </c>
      <c r="L771" s="8"/>
      <c r="M771" s="8" t="n">
        <v>47</v>
      </c>
      <c r="N771" s="8" t="n">
        <f aca="false">IF(A771="","",G771-J771)</f>
        <v>9</v>
      </c>
      <c r="O771" s="8" t="n">
        <f aca="false">IF(A771="","",J771-M771)</f>
        <v>0</v>
      </c>
      <c r="P771" s="8" t="n">
        <f aca="false">IF(A771="","",G771+J771)</f>
        <v>103</v>
      </c>
      <c r="Q771" s="8" t="str">
        <f aca="false">IF(A771="","",IF(AND(Y771&lt;&gt;"参考",G771&gt;=ルール設定!$B$2),"○",""))</f>
        <v/>
      </c>
      <c r="R771" s="8" t="str">
        <f aca="false">IF(A771="","",IF(AND(Y771&lt;&gt;"参考",G771&gt;=ルール設定!$B$3,N771&gt;=ルール設定!$B$4),"○",""))</f>
        <v/>
      </c>
      <c r="S771" s="8" t="str">
        <f aca="false">IF(A771="","",IF(AND(Y771&lt;&gt;"参考",G771&gt;=ルール設定!$B$5,J771&gt;=ルール設定!$B$6,O771&gt;=ルール設定!$B$7),"○",""))</f>
        <v/>
      </c>
      <c r="T771" s="8" t="n">
        <v>2</v>
      </c>
      <c r="U771" s="8" t="n">
        <v>4</v>
      </c>
      <c r="V771" s="8" t="str">
        <f aca="false">IF(A771="","",IF(AND(ISNUMBER(T771),ISNUMBER(U771)),IF(AND(T771&lt;=3,U771&lt;=3),"○","×"),""))</f>
        <v>×</v>
      </c>
      <c r="W771" s="8" t="n">
        <v>150</v>
      </c>
      <c r="X771" s="8"/>
      <c r="Y771" s="4" t="s">
        <v>7597</v>
      </c>
      <c r="Z771" s="8" t="s">
        <v>7937</v>
      </c>
      <c r="AA771" s="8" t="str">
        <v/>
      </c>
      <c r="AB771" s="8" t="str">
        <v/>
      </c>
      <c r="AC771" s="8" t="str">
        <v/>
      </c>
      <c r="AD771" s="8" t="str">
        <v/>
      </c>
      <c r="AE771" s="8" t="str">
        <v/>
      </c>
      <c r="AF771" s="8" t="str">
        <v/>
      </c>
      <c r="AG771" s="8" t="str">
        <v/>
      </c>
      <c r="AH771" s="8" t="str">
        <v/>
      </c>
      <c r="AI771" s="8" t="n">
        <v>9</v>
      </c>
      <c r="AJ771" s="8" t="str">
        <v>～59</v>
      </c>
      <c r="AK771" s="8" t="str">
        <v>5～9</v>
      </c>
      <c r="AL771" s="8" t="str">
        <v>0～9</v>
      </c>
      <c r="AM771" s="8" t="str">
        <v>100～119</v>
      </c>
      <c r="AN771" s="8" t="str">
        <v>15以上</v>
      </c>
      <c r="AO771" s="8" t="str">
        <f aca="false">IF(A771="","",IF(COUNTIFS(全馬データ!$A$2:$A$50000,A771,全馬データ!$B$2:$B$50000,B771,全馬データ!$C$2:$C$50000,C771,全馬データ!$D$2:$D$50000,E771,全馬データ!$K$2:$K$50000,"&lt;&gt;")=0,"",SUMIFS(全馬データ!$K$2:$K$50000,全馬データ!$A$2:$A$50000,A771,全馬データ!$B$2:$B$50000,B771,全馬データ!$C$2:$C$50000,C771,全馬データ!$D$2:$D$50000,E771)))</f>
        <v/>
      </c>
      <c r="AP771" s="8" t="str">
        <f aca="false">IF(A771="","",IF(AO771="","欠損",IF(AO771&lt;=1.1,"1.0～1.1",IF(AO771&lt;1.3,"1.2",IF(AO771&lt;1.5,"1.3～1.4",IF(AO771&lt;2,"1.5～1.9","2.0以上"))))))</f>
        <v>欠損</v>
      </c>
      <c r="AQ771" s="8" t="str">
        <f aca="false">IF(A771="","",IF(ISNUMBER(SEARCH("2歳",Z771)),"2歳戦",IF(ISNUMBER(SEARCH("3歳未勝利",Z771)),"3歳未勝利",IF(ISNUMBER(SEARCH("未勝利",Z771)),"その他未勝利",IF(ISNUMBER(SEARCH("G1",Z771)),"G1",IF(ISNUMBER(SEARCH("G2",Z771)),"G2",IF(ISNUMBER(SEARCH("G3",Z771)),"G3",IF(ISNUMBER(SEARCH("古馬条件",Z771)),"古馬条件戦",IF(ISNUMBER(SEARCH("重賞",Z771)),"重賞","分類不能")))))))))</f>
        <v>分類不能</v>
      </c>
      <c r="AR771" s="8"/>
      <c r="AS771" s="8" t="s">
        <v>7626</v>
      </c>
      <c r="AT771" s="8" t="s">
        <v>7627</v>
      </c>
      <c r="AU771" s="8" t="s">
        <v>7628</v>
      </c>
      <c r="AV771" s="8" t="s">
        <v>7629</v>
      </c>
      <c r="AW771" s="8"/>
      <c r="AX771" s="8"/>
      <c r="AY771" s="8" t="s">
        <v>7610</v>
      </c>
      <c r="AZ771" s="4" t="s">
        <v>7617</v>
      </c>
      <c r="BA771" s="8" t="n">
        <v>1800</v>
      </c>
      <c r="BB771" s="8" t="s">
        <v>7634</v>
      </c>
      <c r="BC771" s="4" t="s">
        <v>7604</v>
      </c>
      <c r="BD771" s="8" t="s">
        <v>7621</v>
      </c>
      <c r="BE771" s="4" t="s">
        <v>7622</v>
      </c>
      <c r="BF771" s="8" t="s">
        <v>7602</v>
      </c>
      <c r="BG771" s="8" t="s">
        <v>7631</v>
      </c>
      <c r="BH771" s="4" t="s">
        <v>7632</v>
      </c>
      <c r="BI771" s="8" t="n">
        <v>15</v>
      </c>
      <c r="BJ771" s="8" t="s">
        <v>7610</v>
      </c>
      <c r="BK771" s="4" t="s">
        <v>7611</v>
      </c>
      <c r="BL771" s="8" t="s">
        <v>7602</v>
      </c>
      <c r="BM771" s="4" t="s">
        <v>7620</v>
      </c>
      <c r="BN771" s="8"/>
      <c r="BO771" s="8"/>
      <c r="BP771" s="8" t="s">
        <v>7602</v>
      </c>
      <c r="BQ771" s="8" t="str">
        <f aca="false">IF(A771="","",AT771)</f>
        <v>3歳以上</v>
      </c>
      <c r="BR771" s="8" t="str">
        <f aca="false">IF(A771="","",IF(BA771&lt;=1200,"～1200",IF(BA771&lt;=1500,"1300～1500",IF(BA771=1600,"1600",IF(BA771&lt;=1800,"1700～1800",IF(BA771&lt;=2000,"1900～2000","2100以上"))))))</f>
        <v>1700～1800</v>
      </c>
      <c r="BS771" s="8" t="str">
        <f aca="false">IF(A771="","",IF(AX771="G1","G1",IF(AX771="G2","G2",IF(AX771="G3","G3",IF(AX771="L","L","その他")))))</f>
        <v>その他</v>
      </c>
      <c r="BT771" s="8" t="str">
        <f aca="false">IF(A771="","",IF(BI771="","未結合",IF(D771=BI771,"一致","不一致")))</f>
        <v>一致</v>
      </c>
      <c r="BU771" s="8" t="str">
        <f aca="false">IF(A771="","",IF(BE771="牝馬限定","牝馬限定","その他"))</f>
        <v>牝馬限定</v>
      </c>
    </row>
    <row r="772" customFormat="false" ht="15.75" hidden="false" customHeight="false" outlineLevel="0" collapsed="false">
      <c r="A772" s="6" t="n">
        <f aca="false">DATE(2026,8,22)</f>
        <v>46256</v>
      </c>
      <c r="B772" s="4" t="s">
        <v>13</v>
      </c>
      <c r="C772" s="8" t="n">
        <v>10</v>
      </c>
      <c r="D772" s="8" t="n">
        <v>15</v>
      </c>
      <c r="E772" s="8" t="n">
        <v>14</v>
      </c>
      <c r="F772" s="4" t="s">
        <v>6512</v>
      </c>
      <c r="G772" s="8" t="n">
        <v>65</v>
      </c>
      <c r="H772" s="8" t="n">
        <v>2</v>
      </c>
      <c r="I772" s="8"/>
      <c r="J772" s="8" t="n">
        <v>34</v>
      </c>
      <c r="K772" s="8" t="n">
        <v>13</v>
      </c>
      <c r="L772" s="8"/>
      <c r="M772" s="8" t="n">
        <v>34</v>
      </c>
      <c r="N772" s="8" t="n">
        <f aca="false">IF(A772="","",G772-J772)</f>
        <v>31</v>
      </c>
      <c r="O772" s="8" t="n">
        <f aca="false">IF(A772="","",J772-M772)</f>
        <v>0</v>
      </c>
      <c r="P772" s="8" t="n">
        <f aca="false">IF(A772="","",G772+J772)</f>
        <v>99</v>
      </c>
      <c r="Q772" s="8" t="str">
        <f aca="false">IF(A772="","",IF(AND(Y772&lt;&gt;"参考",G772&gt;=ルール設定!$B$2),"○",""))</f>
        <v/>
      </c>
      <c r="R772" s="8" t="str">
        <f aca="false">IF(A772="","",IF(AND(Y772&lt;&gt;"参考",G772&gt;=ルール設定!$B$3,N772&gt;=ルール設定!$B$4),"○",""))</f>
        <v/>
      </c>
      <c r="S772" s="8" t="str">
        <f aca="false">IF(A772="","",IF(AND(Y772&lt;&gt;"参考",G772&gt;=ルール設定!$B$5,J772&gt;=ルール設定!$B$6,O772&gt;=ルール設定!$B$7),"○",""))</f>
        <v/>
      </c>
      <c r="T772" s="8" t="n">
        <v>2</v>
      </c>
      <c r="U772" s="8" t="n">
        <v>4</v>
      </c>
      <c r="V772" s="8" t="str">
        <f aca="false">IF(A772="","",IF(AND(ISNUMBER(T772),ISNUMBER(U772)),IF(AND(T772&lt;=3,U772&lt;=3),"○","×"),""))</f>
        <v>×</v>
      </c>
      <c r="W772" s="8" t="n">
        <v>120</v>
      </c>
      <c r="X772" s="8"/>
      <c r="Y772" s="4" t="s">
        <v>7597</v>
      </c>
      <c r="Z772" s="8" t="s">
        <v>7938</v>
      </c>
      <c r="AA772" s="8" t="str">
        <v/>
      </c>
      <c r="AB772" s="8" t="str">
        <v/>
      </c>
      <c r="AC772" s="8" t="str">
        <v/>
      </c>
      <c r="AD772" s="8" t="str">
        <v/>
      </c>
      <c r="AE772" s="8" t="str">
        <v/>
      </c>
      <c r="AF772" s="8" t="str">
        <v/>
      </c>
      <c r="AG772" s="8" t="str">
        <v/>
      </c>
      <c r="AH772" s="8" t="str">
        <v/>
      </c>
      <c r="AI772" s="8" t="n">
        <v>31</v>
      </c>
      <c r="AJ772" s="8" t="str">
        <v>60～69</v>
      </c>
      <c r="AK772" s="8" t="str">
        <v>30以上</v>
      </c>
      <c r="AL772" s="8" t="str">
        <v>30～39</v>
      </c>
      <c r="AM772" s="8" t="str">
        <v>～99</v>
      </c>
      <c r="AN772" s="8" t="str">
        <v>15以上</v>
      </c>
      <c r="AO772" s="8" t="str">
        <f aca="false">IF(A772="","",IF(COUNTIFS(全馬データ!$A$2:$A$50000,A772,全馬データ!$B$2:$B$50000,B772,全馬データ!$C$2:$C$50000,C772,全馬データ!$D$2:$D$50000,E772,全馬データ!$K$2:$K$50000,"&lt;&gt;")=0,"",SUMIFS(全馬データ!$K$2:$K$50000,全馬データ!$A$2:$A$50000,A772,全馬データ!$B$2:$B$50000,B772,全馬データ!$C$2:$C$50000,C772,全馬データ!$D$2:$D$50000,E772)))</f>
        <v/>
      </c>
      <c r="AP772" s="8" t="str">
        <f aca="false">IF(A772="","",IF(AO772="","欠損",IF(AO772&lt;=1.1,"1.0～1.1",IF(AO772&lt;1.3,"1.2",IF(AO772&lt;1.5,"1.3～1.4",IF(AO772&lt;2,"1.5～1.9","2.0以上"))))))</f>
        <v>欠損</v>
      </c>
      <c r="AQ772" s="8" t="str">
        <f aca="false">IF(A772="","",IF(ISNUMBER(SEARCH("2歳",Z772)),"2歳戦",IF(ISNUMBER(SEARCH("3歳未勝利",Z772)),"3歳未勝利",IF(ISNUMBER(SEARCH("未勝利",Z772)),"その他未勝利",IF(ISNUMBER(SEARCH("G1",Z772)),"G1",IF(ISNUMBER(SEARCH("G2",Z772)),"G2",IF(ISNUMBER(SEARCH("G3",Z772)),"G3",IF(ISNUMBER(SEARCH("古馬条件",Z772)),"古馬条件戦",IF(ISNUMBER(SEARCH("重賞",Z772)),"重賞","分類不能")))))))))</f>
        <v>分類不能</v>
      </c>
      <c r="AR772" s="8"/>
      <c r="AS772" s="8" t="s">
        <v>7626</v>
      </c>
      <c r="AT772" s="8" t="s">
        <v>7627</v>
      </c>
      <c r="AU772" s="8" t="s">
        <v>7628</v>
      </c>
      <c r="AV772" s="8" t="s">
        <v>7629</v>
      </c>
      <c r="AW772" s="8"/>
      <c r="AX772" s="8"/>
      <c r="AY772" s="8" t="s">
        <v>7602</v>
      </c>
      <c r="AZ772" s="4" t="s">
        <v>7603</v>
      </c>
      <c r="BA772" s="8" t="n">
        <v>1600</v>
      </c>
      <c r="BB772" s="8" t="s">
        <v>7634</v>
      </c>
      <c r="BC772" s="4" t="s">
        <v>7604</v>
      </c>
      <c r="BD772" s="8" t="s">
        <v>7605</v>
      </c>
      <c r="BE772" s="4" t="s">
        <v>7606</v>
      </c>
      <c r="BF772" s="8" t="s">
        <v>7607</v>
      </c>
      <c r="BG772" s="8" t="s">
        <v>7631</v>
      </c>
      <c r="BH772" s="4" t="s">
        <v>7632</v>
      </c>
      <c r="BI772" s="8" t="n">
        <v>15</v>
      </c>
      <c r="BJ772" s="8" t="s">
        <v>7610</v>
      </c>
      <c r="BK772" s="4" t="s">
        <v>7611</v>
      </c>
      <c r="BL772" s="8" t="s">
        <v>7610</v>
      </c>
      <c r="BM772" s="4" t="s">
        <v>7612</v>
      </c>
      <c r="BN772" s="8" t="s">
        <v>7602</v>
      </c>
      <c r="BO772" s="8" t="s">
        <v>7613</v>
      </c>
      <c r="BP772" s="8" t="s">
        <v>7602</v>
      </c>
      <c r="BQ772" s="8" t="str">
        <f aca="false">IF(A772="","",AT772)</f>
        <v>3歳以上</v>
      </c>
      <c r="BR772" s="8" t="str">
        <f aca="false">IF(A772="","",IF(BA772&lt;=1200,"～1200",IF(BA772&lt;=1500,"1300～1500",IF(BA772=1600,"1600",IF(BA772&lt;=1800,"1700～1800",IF(BA772&lt;=2000,"1900～2000","2100以上"))))))</f>
        <v>1600</v>
      </c>
      <c r="BS772" s="8" t="str">
        <f aca="false">IF(A772="","",IF(AX772="G1","G1",IF(AX772="G2","G2",IF(AX772="G3","G3",IF(AX772="L","L","その他")))))</f>
        <v>その他</v>
      </c>
      <c r="BT772" s="8" t="str">
        <f aca="false">IF(A772="","",IF(BI772="","未結合",IF(D772=BI772,"一致","不一致")))</f>
        <v>一致</v>
      </c>
      <c r="BU772" s="8" t="str">
        <f aca="false">IF(A772="","",IF(BE772="牝馬限定","牝馬限定","その他"))</f>
        <v>その他</v>
      </c>
    </row>
    <row r="773" customFormat="false" ht="15.75" hidden="false" customHeight="false" outlineLevel="0" collapsed="false">
      <c r="A773" s="6" t="n">
        <f aca="false">DATE(2026,8,22)</f>
        <v>46256</v>
      </c>
      <c r="B773" s="4" t="s">
        <v>13</v>
      </c>
      <c r="C773" s="8" t="n">
        <v>11</v>
      </c>
      <c r="D773" s="8" t="n">
        <v>12</v>
      </c>
      <c r="E773" s="8" t="n">
        <v>3</v>
      </c>
      <c r="F773" s="4" t="s">
        <v>1406</v>
      </c>
      <c r="G773" s="8" t="n">
        <v>74</v>
      </c>
      <c r="H773" s="8" t="n">
        <v>8</v>
      </c>
      <c r="I773" s="8"/>
      <c r="J773" s="8" t="n">
        <v>44</v>
      </c>
      <c r="K773" s="8" t="n">
        <v>5</v>
      </c>
      <c r="L773" s="4" t="s">
        <v>4020</v>
      </c>
      <c r="M773" s="8" t="n">
        <v>37</v>
      </c>
      <c r="N773" s="8" t="n">
        <f aca="false">IF(A773="","",G773-J773)</f>
        <v>30</v>
      </c>
      <c r="O773" s="8" t="n">
        <f aca="false">IF(A773="","",J773-M773)</f>
        <v>7</v>
      </c>
      <c r="P773" s="8" t="n">
        <f aca="false">IF(A773="","",G773+J773)</f>
        <v>118</v>
      </c>
      <c r="Q773" s="8" t="str">
        <f aca="false">IF(A773="","",IF(AND(Y773&lt;&gt;"参考",G773&gt;=ルール設定!$B$2),"○",""))</f>
        <v/>
      </c>
      <c r="R773" s="8" t="str">
        <f aca="false">IF(A773="","",IF(AND(Y773&lt;&gt;"参考",G773&gt;=ルール設定!$B$3,N773&gt;=ルール設定!$B$4),"○",""))</f>
        <v>○</v>
      </c>
      <c r="S773" s="8" t="str">
        <f aca="false">IF(A773="","",IF(AND(Y773&lt;&gt;"参考",G773&gt;=ルール設定!$B$5,J773&gt;=ルール設定!$B$6,O773&gt;=ルール設定!$B$7),"○",""))</f>
        <v/>
      </c>
      <c r="T773" s="8" t="n">
        <v>3</v>
      </c>
      <c r="U773" s="8" t="n">
        <v>4</v>
      </c>
      <c r="V773" s="8" t="str">
        <f aca="false">IF(A773="","",IF(AND(ISNUMBER(T773),ISNUMBER(U773)),IF(AND(T773&lt;=3,U773&lt;=3),"○","×"),""))</f>
        <v>×</v>
      </c>
      <c r="W773" s="8" t="n">
        <v>110</v>
      </c>
      <c r="X773" s="8"/>
      <c r="Y773" s="4" t="s">
        <v>7597</v>
      </c>
      <c r="Z773" s="8" t="s">
        <v>7939</v>
      </c>
      <c r="AA773" s="8" t="str">
        <v/>
      </c>
      <c r="AB773" s="8" t="str">
        <v/>
      </c>
      <c r="AC773" s="8" t="str">
        <v/>
      </c>
      <c r="AD773" s="8" t="str">
        <v/>
      </c>
      <c r="AE773" s="8" t="str">
        <v>○</v>
      </c>
      <c r="AF773" s="8" t="str">
        <v/>
      </c>
      <c r="AG773" s="8" t="str">
        <v/>
      </c>
      <c r="AH773" s="8" t="str">
        <v/>
      </c>
      <c r="AI773" s="8" t="n">
        <v>37</v>
      </c>
      <c r="AJ773" s="8" t="str">
        <v>70～74</v>
      </c>
      <c r="AK773" s="8" t="str">
        <v>30以上</v>
      </c>
      <c r="AL773" s="8" t="str">
        <v>30～39</v>
      </c>
      <c r="AM773" s="8" t="str">
        <v>100～119</v>
      </c>
      <c r="AN773" s="8" t="str">
        <v>12～14</v>
      </c>
      <c r="AO773" s="8" t="str">
        <f aca="false">IF(A773="","",IF(COUNTIFS(全馬データ!$A$2:$A$50000,A773,全馬データ!$B$2:$B$50000,B773,全馬データ!$C$2:$C$50000,C773,全馬データ!$D$2:$D$50000,E773,全馬データ!$K$2:$K$50000,"&lt;&gt;")=0,"",SUMIFS(全馬データ!$K$2:$K$50000,全馬データ!$A$2:$A$50000,A773,全馬データ!$B$2:$B$50000,B773,全馬データ!$C$2:$C$50000,C773,全馬データ!$D$2:$D$50000,E773)))</f>
        <v/>
      </c>
      <c r="AP773" s="8" t="str">
        <f aca="false">IF(A773="","",IF(AO773="","欠損",IF(AO773&lt;=1.1,"1.0～1.1",IF(AO773&lt;1.3,"1.2",IF(AO773&lt;1.5,"1.3～1.4",IF(AO773&lt;2,"1.5～1.9","2.0以上"))))))</f>
        <v>欠損</v>
      </c>
      <c r="AQ773" s="8" t="str">
        <f aca="false">IF(A773="","",IF(ISNUMBER(SEARCH("2歳",Z773)),"2歳戦",IF(ISNUMBER(SEARCH("3歳未勝利",Z773)),"3歳未勝利",IF(ISNUMBER(SEARCH("未勝利",Z773)),"その他未勝利",IF(ISNUMBER(SEARCH("G1",Z773)),"G1",IF(ISNUMBER(SEARCH("G2",Z773)),"G2",IF(ISNUMBER(SEARCH("G3",Z773)),"G3",IF(ISNUMBER(SEARCH("古馬条件",Z773)),"古馬条件戦",IF(ISNUMBER(SEARCH("重賞",Z773)),"重賞","分類不能")))))))))</f>
        <v>分類不能</v>
      </c>
      <c r="AR773" s="8"/>
      <c r="AS773" s="8" t="s">
        <v>7623</v>
      </c>
      <c r="AT773" s="8" t="s">
        <v>7624</v>
      </c>
      <c r="AU773" s="8" t="s">
        <v>7600</v>
      </c>
      <c r="AV773" s="4" t="s">
        <v>7601</v>
      </c>
      <c r="AW773" s="8"/>
      <c r="AX773" s="8"/>
      <c r="AY773" s="8" t="s">
        <v>7602</v>
      </c>
      <c r="AZ773" s="4" t="s">
        <v>7603</v>
      </c>
      <c r="BA773" s="8" t="n">
        <v>2000</v>
      </c>
      <c r="BB773" s="8" t="s">
        <v>7634</v>
      </c>
      <c r="BC773" s="4" t="s">
        <v>7604</v>
      </c>
      <c r="BD773" s="8" t="s">
        <v>7605</v>
      </c>
      <c r="BE773" s="4" t="s">
        <v>7606</v>
      </c>
      <c r="BF773" s="8" t="s">
        <v>7607</v>
      </c>
      <c r="BG773" s="8" t="s">
        <v>7608</v>
      </c>
      <c r="BH773" s="4" t="s">
        <v>7609</v>
      </c>
      <c r="BI773" s="8" t="n">
        <v>12</v>
      </c>
      <c r="BJ773" s="8" t="s">
        <v>7610</v>
      </c>
      <c r="BK773" s="4" t="s">
        <v>7611</v>
      </c>
      <c r="BL773" s="8" t="s">
        <v>7602</v>
      </c>
      <c r="BM773" s="4" t="s">
        <v>7620</v>
      </c>
      <c r="BN773" s="8" t="s">
        <v>7602</v>
      </c>
      <c r="BO773" s="8" t="s">
        <v>7613</v>
      </c>
      <c r="BP773" s="8" t="s">
        <v>7602</v>
      </c>
      <c r="BQ773" s="8" t="str">
        <f aca="false">IF(A773="","",AT773)</f>
        <v>3歳</v>
      </c>
      <c r="BR773" s="8" t="str">
        <f aca="false">IF(A773="","",IF(BA773&lt;=1200,"～1200",IF(BA773&lt;=1500,"1300～1500",IF(BA773=1600,"1600",IF(BA773&lt;=1800,"1700～1800",IF(BA773&lt;=2000,"1900～2000","2100以上"))))))</f>
        <v>1900～2000</v>
      </c>
      <c r="BS773" s="8" t="str">
        <f aca="false">IF(A773="","",IF(AX773="G1","G1",IF(AX773="G2","G2",IF(AX773="G3","G3",IF(AX773="L","L","その他")))))</f>
        <v>その他</v>
      </c>
      <c r="BT773" s="8" t="str">
        <f aca="false">IF(A773="","",IF(BI773="","未結合",IF(D773=BI773,"一致","不一致")))</f>
        <v>一致</v>
      </c>
      <c r="BU773" s="8" t="str">
        <f aca="false">IF(A773="","",IF(BE773="牝馬限定","牝馬限定","その他"))</f>
        <v>その他</v>
      </c>
    </row>
    <row r="774" customFormat="false" ht="15.75" hidden="false" customHeight="false" outlineLevel="0" collapsed="false">
      <c r="A774" s="6" t="n">
        <f aca="false">DATE(2026,8,22)</f>
        <v>46256</v>
      </c>
      <c r="B774" s="4" t="s">
        <v>13</v>
      </c>
      <c r="C774" s="8" t="n">
        <v>12</v>
      </c>
      <c r="D774" s="8" t="n">
        <v>15</v>
      </c>
      <c r="E774" s="8" t="n">
        <v>10</v>
      </c>
      <c r="F774" s="4" t="s">
        <v>493</v>
      </c>
      <c r="G774" s="8" t="n">
        <v>67</v>
      </c>
      <c r="H774" s="8" t="n">
        <v>2</v>
      </c>
      <c r="I774" s="8"/>
      <c r="J774" s="8" t="n">
        <v>47</v>
      </c>
      <c r="K774" s="8" t="n">
        <v>12</v>
      </c>
      <c r="L774" s="4" t="s">
        <v>2336</v>
      </c>
      <c r="M774" s="8" t="n">
        <v>31</v>
      </c>
      <c r="N774" s="8" t="n">
        <f aca="false">IF(A774="","",G774-J774)</f>
        <v>20</v>
      </c>
      <c r="O774" s="8" t="n">
        <f aca="false">IF(A774="","",J774-M774)</f>
        <v>16</v>
      </c>
      <c r="P774" s="8" t="n">
        <f aca="false">IF(A774="","",G774+J774)</f>
        <v>114</v>
      </c>
      <c r="Q774" s="8" t="str">
        <f aca="false">IF(A774="","",IF(AND(Y774&lt;&gt;"参考",G774&gt;=ルール設定!$B$2),"○",""))</f>
        <v/>
      </c>
      <c r="R774" s="8" t="str">
        <f aca="false">IF(A774="","",IF(AND(Y774&lt;&gt;"参考",G774&gt;=ルール設定!$B$3,N774&gt;=ルール設定!$B$4),"○",""))</f>
        <v/>
      </c>
      <c r="S774" s="8" t="str">
        <f aca="false">IF(A774="","",IF(AND(Y774&lt;&gt;"参考",G774&gt;=ルール設定!$B$5,J774&gt;=ルール設定!$B$6,O774&gt;=ルール設定!$B$7),"○",""))</f>
        <v/>
      </c>
      <c r="T774" s="8" t="n">
        <v>1</v>
      </c>
      <c r="U774" s="8" t="n">
        <v>4</v>
      </c>
      <c r="V774" s="8" t="str">
        <f aca="false">IF(A774="","",IF(AND(ISNUMBER(T774),ISNUMBER(U774)),IF(AND(T774&lt;=3,U774&lt;=3),"○","×"),""))</f>
        <v>×</v>
      </c>
      <c r="W774" s="8" t="n">
        <v>110</v>
      </c>
      <c r="X774" s="8"/>
      <c r="Y774" s="4" t="s">
        <v>7597</v>
      </c>
      <c r="Z774" s="8" t="s">
        <v>7940</v>
      </c>
      <c r="AA774" s="8" t="str">
        <v/>
      </c>
      <c r="AB774" s="8" t="str">
        <v/>
      </c>
      <c r="AC774" s="8" t="str">
        <v/>
      </c>
      <c r="AD774" s="8" t="str">
        <v/>
      </c>
      <c r="AE774" s="8" t="str">
        <v/>
      </c>
      <c r="AF774" s="8" t="str">
        <v/>
      </c>
      <c r="AG774" s="8" t="str">
        <v/>
      </c>
      <c r="AH774" s="8" t="str">
        <v/>
      </c>
      <c r="AI774" s="8" t="n">
        <v>36</v>
      </c>
      <c r="AJ774" s="8" t="str">
        <v>60～69</v>
      </c>
      <c r="AK774" s="8" t="str">
        <v>20～29</v>
      </c>
      <c r="AL774" s="8" t="str">
        <v>30～39</v>
      </c>
      <c r="AM774" s="8" t="str">
        <v>100～119</v>
      </c>
      <c r="AN774" s="8" t="str">
        <v>15以上</v>
      </c>
      <c r="AO774" s="8" t="str">
        <f aca="false">IF(A774="","",IF(COUNTIFS(全馬データ!$A$2:$A$50000,A774,全馬データ!$B$2:$B$50000,B774,全馬データ!$C$2:$C$50000,C774,全馬データ!$D$2:$D$50000,E774,全馬データ!$K$2:$K$50000,"&lt;&gt;")=0,"",SUMIFS(全馬データ!$K$2:$K$50000,全馬データ!$A$2:$A$50000,A774,全馬データ!$B$2:$B$50000,B774,全馬データ!$C$2:$C$50000,C774,全馬データ!$D$2:$D$50000,E774)))</f>
        <v/>
      </c>
      <c r="AP774" s="8" t="str">
        <f aca="false">IF(A774="","",IF(AO774="","欠損",IF(AO774&lt;=1.1,"1.0～1.1",IF(AO774&lt;1.3,"1.2",IF(AO774&lt;1.5,"1.3～1.4",IF(AO774&lt;2,"1.5～1.9","2.0以上"))))))</f>
        <v>欠損</v>
      </c>
      <c r="AQ774" s="8" t="str">
        <f aca="false">IF(A774="","",IF(ISNUMBER(SEARCH("2歳",Z774)),"2歳戦",IF(ISNUMBER(SEARCH("3歳未勝利",Z774)),"3歳未勝利",IF(ISNUMBER(SEARCH("未勝利",Z774)),"その他未勝利",IF(ISNUMBER(SEARCH("G1",Z774)),"G1",IF(ISNUMBER(SEARCH("G2",Z774)),"G2",IF(ISNUMBER(SEARCH("G3",Z774)),"G3",IF(ISNUMBER(SEARCH("古馬条件",Z774)),"古馬条件戦",IF(ISNUMBER(SEARCH("重賞",Z774)),"重賞","分類不能")))))))))</f>
        <v>分類不能</v>
      </c>
      <c r="AR774" s="8"/>
      <c r="AS774" s="8" t="s">
        <v>7623</v>
      </c>
      <c r="AT774" s="8" t="s">
        <v>7624</v>
      </c>
      <c r="AU774" s="8" t="s">
        <v>7600</v>
      </c>
      <c r="AV774" s="4" t="s">
        <v>7601</v>
      </c>
      <c r="AW774" s="8"/>
      <c r="AX774" s="8"/>
      <c r="AY774" s="8" t="s">
        <v>7610</v>
      </c>
      <c r="AZ774" s="4" t="s">
        <v>7617</v>
      </c>
      <c r="BA774" s="8" t="n">
        <v>1200</v>
      </c>
      <c r="BB774" s="8" t="s">
        <v>7634</v>
      </c>
      <c r="BC774" s="4" t="s">
        <v>7604</v>
      </c>
      <c r="BD774" s="8" t="s">
        <v>7605</v>
      </c>
      <c r="BE774" s="4" t="s">
        <v>7606</v>
      </c>
      <c r="BF774" s="8" t="s">
        <v>7607</v>
      </c>
      <c r="BG774" s="8" t="s">
        <v>7608</v>
      </c>
      <c r="BH774" s="4" t="s">
        <v>7609</v>
      </c>
      <c r="BI774" s="8" t="n">
        <v>15</v>
      </c>
      <c r="BJ774" s="8" t="s">
        <v>7610</v>
      </c>
      <c r="BK774" s="4" t="s">
        <v>7611</v>
      </c>
      <c r="BL774" s="8" t="s">
        <v>7602</v>
      </c>
      <c r="BM774" s="4" t="s">
        <v>7620</v>
      </c>
      <c r="BN774" s="8"/>
      <c r="BO774" s="8"/>
      <c r="BP774" s="8" t="s">
        <v>7602</v>
      </c>
      <c r="BQ774" s="8" t="str">
        <f aca="false">IF(A774="","",AT774)</f>
        <v>3歳</v>
      </c>
      <c r="BR774" s="8" t="str">
        <f aca="false">IF(A774="","",IF(BA774&lt;=1200,"～1200",IF(BA774&lt;=1500,"1300～1500",IF(BA774=1600,"1600",IF(BA774&lt;=1800,"1700～1800",IF(BA774&lt;=2000,"1900～2000","2100以上"))))))</f>
        <v>～1200</v>
      </c>
      <c r="BS774" s="8" t="str">
        <f aca="false">IF(A774="","",IF(AX774="G1","G1",IF(AX774="G2","G2",IF(AX774="G3","G3",IF(AX774="L","L","その他")))))</f>
        <v>その他</v>
      </c>
      <c r="BT774" s="8" t="str">
        <f aca="false">IF(A774="","",IF(BI774="","未結合",IF(D774=BI774,"一致","不一致")))</f>
        <v>一致</v>
      </c>
      <c r="BU774" s="8" t="str">
        <f aca="false">IF(A774="","",IF(BE774="牝馬限定","牝馬限定","その他"))</f>
        <v>その他</v>
      </c>
    </row>
    <row r="775" customFormat="false" ht="15.75" hidden="false" customHeight="false" outlineLevel="0" collapsed="false">
      <c r="A775" s="6" t="n">
        <f aca="false">DATE(2026,8,22)</f>
        <v>46256</v>
      </c>
      <c r="B775" s="4" t="s">
        <v>179</v>
      </c>
      <c r="C775" s="8" t="n">
        <v>1</v>
      </c>
      <c r="D775" s="8" t="n">
        <v>9</v>
      </c>
      <c r="E775" s="8" t="n">
        <v>2</v>
      </c>
      <c r="F775" s="4" t="s">
        <v>633</v>
      </c>
      <c r="G775" s="8" t="n">
        <v>75</v>
      </c>
      <c r="H775" s="8" t="n">
        <v>3</v>
      </c>
      <c r="I775" s="8"/>
      <c r="J775" s="8" t="n">
        <v>65</v>
      </c>
      <c r="K775" s="8" t="n">
        <v>6</v>
      </c>
      <c r="L775" s="4" t="s">
        <v>6514</v>
      </c>
      <c r="M775" s="8" t="n">
        <v>60</v>
      </c>
      <c r="N775" s="8" t="n">
        <f aca="false">IF(A775="","",G775-J775)</f>
        <v>10</v>
      </c>
      <c r="O775" s="8" t="n">
        <f aca="false">IF(A775="","",J775-M775)</f>
        <v>5</v>
      </c>
      <c r="P775" s="8" t="n">
        <f aca="false">IF(A775="","",G775+J775)</f>
        <v>140</v>
      </c>
      <c r="Q775" s="8" t="str">
        <f aca="false">IF(A775="","",IF(AND(Y775&lt;&gt;"参考",G775&gt;=ルール設定!$B$2),"○",""))</f>
        <v/>
      </c>
      <c r="R775" s="8" t="str">
        <f aca="false">IF(A775="","",IF(AND(Y775&lt;&gt;"参考",G775&gt;=ルール設定!$B$3,N775&gt;=ルール設定!$B$4),"○",""))</f>
        <v/>
      </c>
      <c r="S775" s="8" t="str">
        <f aca="false">IF(A775="","",IF(AND(Y775&lt;&gt;"参考",G775&gt;=ルール設定!$B$5,J775&gt;=ルール設定!$B$6,O775&gt;=ルール設定!$B$7),"○",""))</f>
        <v/>
      </c>
      <c r="T775" s="8" t="n">
        <v>1</v>
      </c>
      <c r="U775" s="8" t="n">
        <v>4</v>
      </c>
      <c r="V775" s="8" t="str">
        <f aca="false">IF(A775="","",IF(AND(ISNUMBER(T775),ISNUMBER(U775)),IF(AND(T775&lt;=3,U775&lt;=3),"○","×"),""))</f>
        <v>×</v>
      </c>
      <c r="W775" s="8" t="n">
        <v>110</v>
      </c>
      <c r="X775" s="8"/>
      <c r="Y775" s="4" t="s">
        <v>7597</v>
      </c>
      <c r="Z775" s="8" t="s">
        <v>7941</v>
      </c>
      <c r="AA775" s="8" t="str">
        <v/>
      </c>
      <c r="AB775" s="8" t="str">
        <v/>
      </c>
      <c r="AC775" s="8" t="str">
        <v/>
      </c>
      <c r="AD775" s="8" t="str">
        <v/>
      </c>
      <c r="AE775" s="8" t="str">
        <v/>
      </c>
      <c r="AF775" s="8" t="str">
        <v/>
      </c>
      <c r="AG775" s="8" t="str">
        <v/>
      </c>
      <c r="AH775" s="8" t="str">
        <v/>
      </c>
      <c r="AI775" s="8" t="n">
        <v>15</v>
      </c>
      <c r="AJ775" s="8" t="str">
        <v>75～79</v>
      </c>
      <c r="AK775" s="8" t="str">
        <v>10～19</v>
      </c>
      <c r="AL775" s="8" t="str">
        <v>10～19</v>
      </c>
      <c r="AM775" s="8" t="str">
        <v>140～159</v>
      </c>
      <c r="AN775" s="8" t="str">
        <v>8～11</v>
      </c>
      <c r="AO775" s="8" t="str">
        <f aca="false">IF(A775="","",IF(COUNTIFS(全馬データ!$A$2:$A$50000,A775,全馬データ!$B$2:$B$50000,B775,全馬データ!$C$2:$C$50000,C775,全馬データ!$D$2:$D$50000,E775,全馬データ!$K$2:$K$50000,"&lt;&gt;")=0,"",SUMIFS(全馬データ!$K$2:$K$50000,全馬データ!$A$2:$A$50000,A775,全馬データ!$B$2:$B$50000,B775,全馬データ!$C$2:$C$50000,C775,全馬データ!$D$2:$D$50000,E775)))</f>
        <v/>
      </c>
      <c r="AP775" s="8" t="str">
        <f aca="false">IF(A775="","",IF(AO775="","欠損",IF(AO775&lt;=1.1,"1.0～1.1",IF(AO775&lt;1.3,"1.2",IF(AO775&lt;1.5,"1.3～1.4",IF(AO775&lt;2,"1.5～1.9","2.0以上"))))))</f>
        <v>欠損</v>
      </c>
      <c r="AQ775" s="8" t="str">
        <f aca="false">IF(A775="","",IF(ISNUMBER(SEARCH("2歳",Z775)),"2歳戦",IF(ISNUMBER(SEARCH("3歳未勝利",Z775)),"3歳未勝利",IF(ISNUMBER(SEARCH("未勝利",Z775)),"その他未勝利",IF(ISNUMBER(SEARCH("G1",Z775)),"G1",IF(ISNUMBER(SEARCH("G2",Z775)),"G2",IF(ISNUMBER(SEARCH("G3",Z775)),"G3",IF(ISNUMBER(SEARCH("古馬条件",Z775)),"古馬条件戦",IF(ISNUMBER(SEARCH("重賞",Z775)),"重賞","分類不能")))))))))</f>
        <v>分類不能</v>
      </c>
      <c r="AR775" s="8"/>
      <c r="AS775" s="8" t="s">
        <v>7598</v>
      </c>
      <c r="AT775" s="8" t="s">
        <v>7599</v>
      </c>
      <c r="AU775" s="8" t="s">
        <v>7600</v>
      </c>
      <c r="AV775" s="4" t="s">
        <v>7601</v>
      </c>
      <c r="AW775" s="8"/>
      <c r="AX775" s="8"/>
      <c r="AY775" s="8" t="s">
        <v>7602</v>
      </c>
      <c r="AZ775" s="4" t="s">
        <v>7603</v>
      </c>
      <c r="BA775" s="8" t="n">
        <v>1600</v>
      </c>
      <c r="BB775" s="8" t="s">
        <v>7634</v>
      </c>
      <c r="BC775" s="4" t="s">
        <v>7604</v>
      </c>
      <c r="BD775" s="8" t="s">
        <v>7605</v>
      </c>
      <c r="BE775" s="4" t="s">
        <v>7606</v>
      </c>
      <c r="BF775" s="8" t="s">
        <v>7607</v>
      </c>
      <c r="BG775" s="8" t="s">
        <v>7608</v>
      </c>
      <c r="BH775" s="4" t="s">
        <v>7609</v>
      </c>
      <c r="BI775" s="8" t="n">
        <v>9</v>
      </c>
      <c r="BJ775" s="8" t="s">
        <v>7610</v>
      </c>
      <c r="BK775" s="4" t="s">
        <v>7611</v>
      </c>
      <c r="BL775" s="8" t="s">
        <v>7602</v>
      </c>
      <c r="BM775" s="4" t="s">
        <v>7620</v>
      </c>
      <c r="BN775" s="8" t="s">
        <v>7631</v>
      </c>
      <c r="BO775" s="8" t="s">
        <v>7680</v>
      </c>
      <c r="BP775" s="8" t="s">
        <v>7610</v>
      </c>
      <c r="BQ775" s="8" t="str">
        <f aca="false">IF(A775="","",AT775)</f>
        <v>2歳</v>
      </c>
      <c r="BR775" s="8" t="str">
        <f aca="false">IF(A775="","",IF(BA775&lt;=1200,"～1200",IF(BA775&lt;=1500,"1300～1500",IF(BA775=1600,"1600",IF(BA775&lt;=1800,"1700～1800",IF(BA775&lt;=2000,"1900～2000","2100以上"))))))</f>
        <v>1600</v>
      </c>
      <c r="BS775" s="8" t="str">
        <f aca="false">IF(A775="","",IF(AX775="G1","G1",IF(AX775="G2","G2",IF(AX775="G3","G3",IF(AX775="L","L","その他")))))</f>
        <v>その他</v>
      </c>
      <c r="BT775" s="8" t="str">
        <f aca="false">IF(A775="","",IF(BI775="","未結合",IF(D775=BI775,"一致","不一致")))</f>
        <v>一致</v>
      </c>
      <c r="BU775" s="8" t="str">
        <f aca="false">IF(A775="","",IF(BE775="牝馬限定","牝馬限定","その他"))</f>
        <v>その他</v>
      </c>
    </row>
    <row r="776" customFormat="false" ht="15.75" hidden="false" customHeight="false" outlineLevel="0" collapsed="false">
      <c r="A776" s="6" t="n">
        <f aca="false">DATE(2026,8,22)</f>
        <v>46256</v>
      </c>
      <c r="B776" s="4" t="s">
        <v>179</v>
      </c>
      <c r="C776" s="8" t="n">
        <v>2</v>
      </c>
      <c r="D776" s="8" t="n">
        <v>10</v>
      </c>
      <c r="E776" s="8" t="n">
        <v>3</v>
      </c>
      <c r="F776" s="8"/>
      <c r="G776" s="8" t="n">
        <v>37</v>
      </c>
      <c r="H776" s="8" t="n">
        <v>6</v>
      </c>
      <c r="I776" s="8"/>
      <c r="J776" s="8" t="n">
        <v>37</v>
      </c>
      <c r="K776" s="8" t="n">
        <v>8</v>
      </c>
      <c r="L776" s="8"/>
      <c r="M776" s="8" t="n">
        <v>37</v>
      </c>
      <c r="N776" s="8" t="n">
        <f aca="false">IF(A776="","",G776-J776)</f>
        <v>0</v>
      </c>
      <c r="O776" s="8" t="n">
        <f aca="false">IF(A776="","",J776-M776)</f>
        <v>0</v>
      </c>
      <c r="P776" s="8" t="n">
        <f aca="false">IF(A776="","",G776+J776)</f>
        <v>74</v>
      </c>
      <c r="Q776" s="8" t="str">
        <f aca="false">IF(A776="","",IF(AND(Y776&lt;&gt;"参考",G776&gt;=ルール設定!$B$2),"○",""))</f>
        <v/>
      </c>
      <c r="R776" s="8" t="str">
        <f aca="false">IF(A776="","",IF(AND(Y776&lt;&gt;"参考",G776&gt;=ルール設定!$B$3,N776&gt;=ルール設定!$B$4),"○",""))</f>
        <v/>
      </c>
      <c r="S776" s="8" t="str">
        <f aca="false">IF(A776="","",IF(AND(Y776&lt;&gt;"参考",G776&gt;=ルール設定!$B$5,J776&gt;=ルール設定!$B$6,O776&gt;=ルール設定!$B$7),"○",""))</f>
        <v/>
      </c>
      <c r="T776" s="8" t="n">
        <v>4</v>
      </c>
      <c r="U776" s="8" t="n">
        <v>4</v>
      </c>
      <c r="V776" s="8" t="str">
        <f aca="false">IF(A776="","",IF(AND(ISNUMBER(T776),ISNUMBER(U776)),IF(AND(T776&lt;=3,U776&lt;=3),"○","×"),""))</f>
        <v>×</v>
      </c>
      <c r="W776" s="8"/>
      <c r="X776" s="8"/>
      <c r="Y776" s="4" t="s">
        <v>7597</v>
      </c>
      <c r="Z776" s="8" t="s">
        <v>7942</v>
      </c>
      <c r="AA776" s="8" t="str">
        <v/>
      </c>
      <c r="AB776" s="8" t="str">
        <v/>
      </c>
      <c r="AC776" s="8" t="str">
        <v/>
      </c>
      <c r="AD776" s="8" t="str">
        <v/>
      </c>
      <c r="AE776" s="8" t="str">
        <v/>
      </c>
      <c r="AF776" s="8" t="str">
        <v/>
      </c>
      <c r="AG776" s="8" t="str">
        <v/>
      </c>
      <c r="AH776" s="8" t="str">
        <v/>
      </c>
      <c r="AI776" s="8" t="n">
        <v>0</v>
      </c>
      <c r="AJ776" s="8" t="str">
        <v>～59</v>
      </c>
      <c r="AK776" s="8" t="str">
        <v>0～4</v>
      </c>
      <c r="AL776" s="8" t="str">
        <v>0～9</v>
      </c>
      <c r="AM776" s="8" t="str">
        <v>～99</v>
      </c>
      <c r="AN776" s="8" t="str">
        <v>8～11</v>
      </c>
      <c r="AO776" s="8" t="str">
        <f aca="false">IF(A776="","",IF(COUNTIFS(全馬データ!$A$2:$A$50000,A776,全馬データ!$B$2:$B$50000,B776,全馬データ!$C$2:$C$50000,C776,全馬データ!$D$2:$D$50000,E776,全馬データ!$K$2:$K$50000,"&lt;&gt;")=0,"",SUMIFS(全馬データ!$K$2:$K$50000,全馬データ!$A$2:$A$50000,A776,全馬データ!$B$2:$B$50000,B776,全馬データ!$C$2:$C$50000,C776,全馬データ!$D$2:$D$50000,E776)))</f>
        <v/>
      </c>
      <c r="AP776" s="8" t="str">
        <f aca="false">IF(A776="","",IF(AO776="","欠損",IF(AO776&lt;=1.1,"1.0～1.1",IF(AO776&lt;1.3,"1.2",IF(AO776&lt;1.5,"1.3～1.4",IF(AO776&lt;2,"1.5～1.9","2.0以上"))))))</f>
        <v>欠損</v>
      </c>
      <c r="AQ776" s="8" t="str">
        <f aca="false">IF(A776="","",IF(ISNUMBER(SEARCH("2歳",Z776)),"2歳戦",IF(ISNUMBER(SEARCH("3歳未勝利",Z776)),"3歳未勝利",IF(ISNUMBER(SEARCH("未勝利",Z776)),"その他未勝利",IF(ISNUMBER(SEARCH("G1",Z776)),"G1",IF(ISNUMBER(SEARCH("G2",Z776)),"G2",IF(ISNUMBER(SEARCH("G3",Z776)),"G3",IF(ISNUMBER(SEARCH("古馬条件",Z776)),"古馬条件戦",IF(ISNUMBER(SEARCH("重賞",Z776)),"重賞","分類不能")))))))))</f>
        <v>分類不能</v>
      </c>
      <c r="AR776" s="8"/>
      <c r="AS776" s="8" t="s">
        <v>7598</v>
      </c>
      <c r="AT776" s="8" t="s">
        <v>7599</v>
      </c>
      <c r="AU776" s="8" t="s">
        <v>7615</v>
      </c>
      <c r="AV776" s="4" t="s">
        <v>7616</v>
      </c>
      <c r="AW776" s="8"/>
      <c r="AX776" s="8"/>
      <c r="AY776" s="8" t="s">
        <v>7610</v>
      </c>
      <c r="AZ776" s="4" t="s">
        <v>7617</v>
      </c>
      <c r="BA776" s="8" t="n">
        <v>1800</v>
      </c>
      <c r="BB776" s="8" t="s">
        <v>7634</v>
      </c>
      <c r="BC776" s="4" t="s">
        <v>7604</v>
      </c>
      <c r="BD776" s="8" t="s">
        <v>7605</v>
      </c>
      <c r="BE776" s="4" t="s">
        <v>7606</v>
      </c>
      <c r="BF776" s="8" t="s">
        <v>7607</v>
      </c>
      <c r="BG776" s="8" t="s">
        <v>7608</v>
      </c>
      <c r="BH776" s="4" t="s">
        <v>7609</v>
      </c>
      <c r="BI776" s="8" t="n">
        <v>10</v>
      </c>
      <c r="BJ776" s="8" t="s">
        <v>7610</v>
      </c>
      <c r="BK776" s="4" t="s">
        <v>7611</v>
      </c>
      <c r="BL776" s="8" t="s">
        <v>7602</v>
      </c>
      <c r="BM776" s="4" t="s">
        <v>7620</v>
      </c>
      <c r="BN776" s="8"/>
      <c r="BO776" s="8"/>
      <c r="BP776" s="8" t="s">
        <v>7610</v>
      </c>
      <c r="BQ776" s="8" t="str">
        <f aca="false">IF(A776="","",AT776)</f>
        <v>2歳</v>
      </c>
      <c r="BR776" s="8" t="str">
        <f aca="false">IF(A776="","",IF(BA776&lt;=1200,"～1200",IF(BA776&lt;=1500,"1300～1500",IF(BA776=1600,"1600",IF(BA776&lt;=1800,"1700～1800",IF(BA776&lt;=2000,"1900～2000","2100以上"))))))</f>
        <v>1700～1800</v>
      </c>
      <c r="BS776" s="8" t="str">
        <f aca="false">IF(A776="","",IF(AX776="G1","G1",IF(AX776="G2","G2",IF(AX776="G3","G3",IF(AX776="L","L","その他")))))</f>
        <v>その他</v>
      </c>
      <c r="BT776" s="8" t="str">
        <f aca="false">IF(A776="","",IF(BI776="","未結合",IF(D776=BI776,"一致","不一致")))</f>
        <v>一致</v>
      </c>
      <c r="BU776" s="8" t="str">
        <f aca="false">IF(A776="","",IF(BE776="牝馬限定","牝馬限定","その他"))</f>
        <v>その他</v>
      </c>
    </row>
    <row r="777" customFormat="false" ht="15.75" hidden="false" customHeight="false" outlineLevel="0" collapsed="false">
      <c r="A777" s="6" t="n">
        <f aca="false">DATE(2026,8,22)</f>
        <v>46256</v>
      </c>
      <c r="B777" s="4" t="s">
        <v>179</v>
      </c>
      <c r="C777" s="8" t="n">
        <v>3</v>
      </c>
      <c r="D777" s="8" t="n">
        <v>8</v>
      </c>
      <c r="E777" s="8" t="n">
        <v>7</v>
      </c>
      <c r="F777" s="8"/>
      <c r="G777" s="8" t="n">
        <v>81</v>
      </c>
      <c r="H777" s="8" t="n">
        <v>3</v>
      </c>
      <c r="I777" s="4" t="s">
        <v>4827</v>
      </c>
      <c r="J777" s="8" t="n">
        <v>52</v>
      </c>
      <c r="K777" s="8" t="n">
        <v>2</v>
      </c>
      <c r="L777" s="4" t="s">
        <v>5406</v>
      </c>
      <c r="M777" s="8" t="n">
        <v>37</v>
      </c>
      <c r="N777" s="8" t="n">
        <f aca="false">IF(A777="","",G777-J777)</f>
        <v>29</v>
      </c>
      <c r="O777" s="8" t="n">
        <f aca="false">IF(A777="","",J777-M777)</f>
        <v>15</v>
      </c>
      <c r="P777" s="8" t="n">
        <f aca="false">IF(A777="","",G777+J777)</f>
        <v>133</v>
      </c>
      <c r="Q777" s="8" t="str">
        <f aca="false">IF(A777="","",IF(AND(Y777&lt;&gt;"参考",G777&gt;=ルール設定!$B$2),"○",""))</f>
        <v>○</v>
      </c>
      <c r="R777" s="8" t="str">
        <f aca="false">IF(A777="","",IF(AND(Y777&lt;&gt;"参考",G777&gt;=ルール設定!$B$3,N777&gt;=ルール設定!$B$4),"○",""))</f>
        <v/>
      </c>
      <c r="S777" s="8" t="str">
        <f aca="false">IF(A777="","",IF(AND(Y777&lt;&gt;"参考",G777&gt;=ルール設定!$B$5,J777&gt;=ルール設定!$B$6,O777&gt;=ルール設定!$B$7),"○",""))</f>
        <v/>
      </c>
      <c r="T777" s="8" t="n">
        <v>4</v>
      </c>
      <c r="U777" s="8" t="n">
        <v>3</v>
      </c>
      <c r="V777" s="8" t="str">
        <f aca="false">IF(A777="","",IF(AND(ISNUMBER(T777),ISNUMBER(U777)),IF(AND(T777&lt;=3,U777&lt;=3),"○","×"),""))</f>
        <v>×</v>
      </c>
      <c r="W777" s="8"/>
      <c r="X777" s="8"/>
      <c r="Y777" s="4" t="s">
        <v>7597</v>
      </c>
      <c r="Z777" s="8" t="s">
        <v>7943</v>
      </c>
      <c r="AA777" s="8" t="str">
        <v/>
      </c>
      <c r="AB777" s="8" t="str">
        <v>○</v>
      </c>
      <c r="AC777" s="8" t="str">
        <v>○</v>
      </c>
      <c r="AD777" s="8" t="str">
        <v/>
      </c>
      <c r="AE777" s="8" t="str">
        <v/>
      </c>
      <c r="AF777" s="8" t="str">
        <v/>
      </c>
      <c r="AG777" s="8" t="str">
        <v>○</v>
      </c>
      <c r="AH777" s="8" t="str">
        <v/>
      </c>
      <c r="AI777" s="8" t="n">
        <v>44</v>
      </c>
      <c r="AJ777" s="8" t="str">
        <v>80～84</v>
      </c>
      <c r="AK777" s="8" t="str">
        <v>20～29</v>
      </c>
      <c r="AL777" s="8" t="str">
        <v>40以上</v>
      </c>
      <c r="AM777" s="8" t="str">
        <v>120～139</v>
      </c>
      <c r="AN777" s="8" t="str">
        <v>8～11</v>
      </c>
      <c r="AO777" s="8" t="str">
        <f aca="false">IF(A777="","",IF(COUNTIFS(全馬データ!$A$2:$A$50000,A777,全馬データ!$B$2:$B$50000,B777,全馬データ!$C$2:$C$50000,C777,全馬データ!$D$2:$D$50000,E777,全馬データ!$K$2:$K$50000,"&lt;&gt;")=0,"",SUMIFS(全馬データ!$K$2:$K$50000,全馬データ!$A$2:$A$50000,A777,全馬データ!$B$2:$B$50000,B777,全馬データ!$C$2:$C$50000,C777,全馬データ!$D$2:$D$50000,E777)))</f>
        <v/>
      </c>
      <c r="AP777" s="8" t="str">
        <f aca="false">IF(A777="","",IF(AO777="","欠損",IF(AO777&lt;=1.1,"1.0～1.1",IF(AO777&lt;1.3,"1.2",IF(AO777&lt;1.5,"1.3～1.4",IF(AO777&lt;2,"1.5～1.9","2.0以上"))))))</f>
        <v>欠損</v>
      </c>
      <c r="AQ777" s="8" t="str">
        <f aca="false">IF(A777="","",IF(ISNUMBER(SEARCH("2歳",Z777)),"2歳戦",IF(ISNUMBER(SEARCH("3歳未勝利",Z777)),"3歳未勝利",IF(ISNUMBER(SEARCH("未勝利",Z777)),"その他未勝利",IF(ISNUMBER(SEARCH("G1",Z777)),"G1",IF(ISNUMBER(SEARCH("G2",Z777)),"G2",IF(ISNUMBER(SEARCH("G3",Z777)),"G3",IF(ISNUMBER(SEARCH("古馬条件",Z777)),"古馬条件戦",IF(ISNUMBER(SEARCH("重賞",Z777)),"重賞","分類不能")))))))))</f>
        <v>分類不能</v>
      </c>
      <c r="AR777" s="8"/>
      <c r="AS777" s="8" t="s">
        <v>7626</v>
      </c>
      <c r="AT777" s="8" t="s">
        <v>7627</v>
      </c>
      <c r="AU777" s="8" t="s">
        <v>7628</v>
      </c>
      <c r="AV777" s="8" t="s">
        <v>7629</v>
      </c>
      <c r="AW777" s="8"/>
      <c r="AX777" s="8"/>
      <c r="AY777" s="8" t="s">
        <v>7602</v>
      </c>
      <c r="AZ777" s="4" t="s">
        <v>7603</v>
      </c>
      <c r="BA777" s="8" t="n">
        <v>2200</v>
      </c>
      <c r="BB777" s="8" t="s">
        <v>7634</v>
      </c>
      <c r="BC777" s="4" t="s">
        <v>7604</v>
      </c>
      <c r="BD777" s="8" t="s">
        <v>7630</v>
      </c>
      <c r="BE777" s="4" t="s">
        <v>7606</v>
      </c>
      <c r="BF777" s="8" t="s">
        <v>7607</v>
      </c>
      <c r="BG777" s="8" t="s">
        <v>7631</v>
      </c>
      <c r="BH777" s="4" t="s">
        <v>7632</v>
      </c>
      <c r="BI777" s="8" t="n">
        <v>8</v>
      </c>
      <c r="BJ777" s="8" t="s">
        <v>7610</v>
      </c>
      <c r="BK777" s="4" t="s">
        <v>7611</v>
      </c>
      <c r="BL777" s="8" t="s">
        <v>7602</v>
      </c>
      <c r="BM777" s="4" t="s">
        <v>7620</v>
      </c>
      <c r="BN777" s="8" t="s">
        <v>7631</v>
      </c>
      <c r="BO777" s="8" t="s">
        <v>7680</v>
      </c>
      <c r="BP777" s="8" t="s">
        <v>7610</v>
      </c>
      <c r="BQ777" s="8" t="str">
        <f aca="false">IF(A777="","",AT777)</f>
        <v>3歳以上</v>
      </c>
      <c r="BR777" s="8" t="str">
        <f aca="false">IF(A777="","",IF(BA777&lt;=1200,"～1200",IF(BA777&lt;=1500,"1300～1500",IF(BA777=1600,"1600",IF(BA777&lt;=1800,"1700～1800",IF(BA777&lt;=2000,"1900～2000","2100以上"))))))</f>
        <v>2100以上</v>
      </c>
      <c r="BS777" s="8" t="str">
        <f aca="false">IF(A777="","",IF(AX777="G1","G1",IF(AX777="G2","G2",IF(AX777="G3","G3",IF(AX777="L","L","その他")))))</f>
        <v>その他</v>
      </c>
      <c r="BT777" s="8" t="str">
        <f aca="false">IF(A777="","",IF(BI777="","未結合",IF(D777=BI777,"一致","不一致")))</f>
        <v>一致</v>
      </c>
      <c r="BU777" s="8" t="str">
        <f aca="false">IF(A777="","",IF(BE777="牝馬限定","牝馬限定","その他"))</f>
        <v>その他</v>
      </c>
    </row>
    <row r="778" customFormat="false" ht="15.75" hidden="false" customHeight="false" outlineLevel="0" collapsed="false">
      <c r="A778" s="6" t="n">
        <f aca="false">DATE(2026,8,22)</f>
        <v>46256</v>
      </c>
      <c r="B778" s="4" t="s">
        <v>179</v>
      </c>
      <c r="C778" s="8" t="n">
        <v>4</v>
      </c>
      <c r="D778" s="8" t="n">
        <v>18</v>
      </c>
      <c r="E778" s="8" t="n">
        <v>17</v>
      </c>
      <c r="F778" s="8"/>
      <c r="G778" s="8" t="n">
        <v>47</v>
      </c>
      <c r="H778" s="8" t="n">
        <v>15</v>
      </c>
      <c r="I778" s="8"/>
      <c r="J778" s="8" t="n">
        <v>41</v>
      </c>
      <c r="K778" s="8" t="n">
        <v>1</v>
      </c>
      <c r="L778" s="8"/>
      <c r="M778" s="8" t="n">
        <v>31</v>
      </c>
      <c r="N778" s="8" t="n">
        <f aca="false">IF(A778="","",G778-J778)</f>
        <v>6</v>
      </c>
      <c r="O778" s="8" t="n">
        <f aca="false">IF(A778="","",J778-M778)</f>
        <v>10</v>
      </c>
      <c r="P778" s="8" t="n">
        <f aca="false">IF(A778="","",G778+J778)</f>
        <v>88</v>
      </c>
      <c r="Q778" s="8" t="str">
        <f aca="false">IF(A778="","",IF(AND(Y778&lt;&gt;"参考",G778&gt;=ルール設定!$B$2),"○",""))</f>
        <v/>
      </c>
      <c r="R778" s="8" t="str">
        <f aca="false">IF(A778="","",IF(AND(Y778&lt;&gt;"参考",G778&gt;=ルール設定!$B$3,N778&gt;=ルール設定!$B$4),"○",""))</f>
        <v/>
      </c>
      <c r="S778" s="8" t="str">
        <f aca="false">IF(A778="","",IF(AND(Y778&lt;&gt;"参考",G778&gt;=ルール設定!$B$5,J778&gt;=ルール設定!$B$6,O778&gt;=ルール設定!$B$7),"○",""))</f>
        <v/>
      </c>
      <c r="T778" s="8" t="n">
        <v>4</v>
      </c>
      <c r="U778" s="8" t="n">
        <v>4</v>
      </c>
      <c r="V778" s="8" t="str">
        <f aca="false">IF(A778="","",IF(AND(ISNUMBER(T778),ISNUMBER(U778)),IF(AND(T778&lt;=3,U778&lt;=3),"○","×"),""))</f>
        <v>×</v>
      </c>
      <c r="W778" s="8"/>
      <c r="X778" s="8"/>
      <c r="Y778" s="4" t="s">
        <v>7597</v>
      </c>
      <c r="Z778" s="8" t="s">
        <v>7944</v>
      </c>
      <c r="AA778" s="8" t="str">
        <v/>
      </c>
      <c r="AB778" s="8" t="str">
        <v/>
      </c>
      <c r="AC778" s="8" t="str">
        <v/>
      </c>
      <c r="AD778" s="8" t="str">
        <v/>
      </c>
      <c r="AE778" s="8" t="str">
        <v/>
      </c>
      <c r="AF778" s="8" t="str">
        <v/>
      </c>
      <c r="AG778" s="8" t="str">
        <v/>
      </c>
      <c r="AH778" s="8" t="str">
        <v/>
      </c>
      <c r="AI778" s="8" t="n">
        <v>16</v>
      </c>
      <c r="AJ778" s="8" t="str">
        <v>～59</v>
      </c>
      <c r="AK778" s="8" t="str">
        <v>5～9</v>
      </c>
      <c r="AL778" s="8" t="str">
        <v>10～19</v>
      </c>
      <c r="AM778" s="8" t="str">
        <v>～99</v>
      </c>
      <c r="AN778" s="8" t="str">
        <v>15以上</v>
      </c>
      <c r="AO778" s="8" t="str">
        <f aca="false">IF(A778="","",IF(COUNTIFS(全馬データ!$A$2:$A$50000,A778,全馬データ!$B$2:$B$50000,B778,全馬データ!$C$2:$C$50000,C778,全馬データ!$D$2:$D$50000,E778,全馬データ!$K$2:$K$50000,"&lt;&gt;")=0,"",SUMIFS(全馬データ!$K$2:$K$50000,全馬データ!$A$2:$A$50000,A778,全馬データ!$B$2:$B$50000,B778,全馬データ!$C$2:$C$50000,C778,全馬データ!$D$2:$D$50000,E778)))</f>
        <v/>
      </c>
      <c r="AP778" s="8" t="str">
        <f aca="false">IF(A778="","",IF(AO778="","欠損",IF(AO778&lt;=1.1,"1.0～1.1",IF(AO778&lt;1.3,"1.2",IF(AO778&lt;1.5,"1.3～1.4",IF(AO778&lt;2,"1.5～1.9","2.0以上"))))))</f>
        <v>欠損</v>
      </c>
      <c r="AQ778" s="8" t="str">
        <f aca="false">IF(A778="","",IF(ISNUMBER(SEARCH("2歳",Z778)),"2歳戦",IF(ISNUMBER(SEARCH("3歳未勝利",Z778)),"3歳未勝利",IF(ISNUMBER(SEARCH("未勝利",Z778)),"その他未勝利",IF(ISNUMBER(SEARCH("G1",Z778)),"G1",IF(ISNUMBER(SEARCH("G2",Z778)),"G2",IF(ISNUMBER(SEARCH("G3",Z778)),"G3",IF(ISNUMBER(SEARCH("古馬条件",Z778)),"古馬条件戦",IF(ISNUMBER(SEARCH("重賞",Z778)),"重賞","分類不能")))))))))</f>
        <v>分類不能</v>
      </c>
      <c r="AR778" s="8"/>
      <c r="AS778" s="8" t="s">
        <v>7623</v>
      </c>
      <c r="AT778" s="8" t="s">
        <v>7624</v>
      </c>
      <c r="AU778" s="8" t="s">
        <v>7600</v>
      </c>
      <c r="AV778" s="4" t="s">
        <v>7601</v>
      </c>
      <c r="AW778" s="8"/>
      <c r="AX778" s="8"/>
      <c r="AY778" s="8" t="s">
        <v>7602</v>
      </c>
      <c r="AZ778" s="4" t="s">
        <v>7603</v>
      </c>
      <c r="BA778" s="8" t="n">
        <v>2000</v>
      </c>
      <c r="BB778" s="8" t="s">
        <v>7634</v>
      </c>
      <c r="BC778" s="4" t="s">
        <v>7604</v>
      </c>
      <c r="BD778" s="8" t="s">
        <v>7605</v>
      </c>
      <c r="BE778" s="4" t="s">
        <v>7606</v>
      </c>
      <c r="BF778" s="8" t="s">
        <v>7607</v>
      </c>
      <c r="BG778" s="8" t="s">
        <v>7608</v>
      </c>
      <c r="BH778" s="4" t="s">
        <v>7609</v>
      </c>
      <c r="BI778" s="8" t="n">
        <v>18</v>
      </c>
      <c r="BJ778" s="8" t="s">
        <v>7610</v>
      </c>
      <c r="BK778" s="4" t="s">
        <v>7611</v>
      </c>
      <c r="BL778" s="8" t="s">
        <v>7602</v>
      </c>
      <c r="BM778" s="4" t="s">
        <v>7620</v>
      </c>
      <c r="BN778" s="8" t="s">
        <v>7631</v>
      </c>
      <c r="BO778" s="8" t="s">
        <v>7680</v>
      </c>
      <c r="BP778" s="8" t="s">
        <v>7610</v>
      </c>
      <c r="BQ778" s="8" t="str">
        <f aca="false">IF(A778="","",AT778)</f>
        <v>3歳</v>
      </c>
      <c r="BR778" s="8" t="str">
        <f aca="false">IF(A778="","",IF(BA778&lt;=1200,"～1200",IF(BA778&lt;=1500,"1300～1500",IF(BA778=1600,"1600",IF(BA778&lt;=1800,"1700～1800",IF(BA778&lt;=2000,"1900～2000","2100以上"))))))</f>
        <v>1900～2000</v>
      </c>
      <c r="BS778" s="8" t="str">
        <f aca="false">IF(A778="","",IF(AX778="G1","G1",IF(AX778="G2","G2",IF(AX778="G3","G3",IF(AX778="L","L","その他")))))</f>
        <v>その他</v>
      </c>
      <c r="BT778" s="8" t="str">
        <f aca="false">IF(A778="","",IF(BI778="","未結合",IF(D778=BI778,"一致","不一致")))</f>
        <v>一致</v>
      </c>
      <c r="BU778" s="8" t="str">
        <f aca="false">IF(A778="","",IF(BE778="牝馬限定","牝馬限定","その他"))</f>
        <v>その他</v>
      </c>
    </row>
    <row r="779" customFormat="false" ht="15.75" hidden="false" customHeight="false" outlineLevel="0" collapsed="false">
      <c r="A779" s="6" t="n">
        <f aca="false">DATE(2026,8,22)</f>
        <v>46256</v>
      </c>
      <c r="B779" s="4" t="s">
        <v>179</v>
      </c>
      <c r="C779" s="8" t="n">
        <v>5</v>
      </c>
      <c r="D779" s="8" t="n">
        <v>16</v>
      </c>
      <c r="E779" s="8" t="n">
        <v>10</v>
      </c>
      <c r="F779" s="4" t="s">
        <v>2445</v>
      </c>
      <c r="G779" s="8" t="n">
        <v>65</v>
      </c>
      <c r="H779" s="8" t="n">
        <v>12</v>
      </c>
      <c r="I779" s="8"/>
      <c r="J779" s="8" t="n">
        <v>39</v>
      </c>
      <c r="K779" s="8" t="n">
        <v>14</v>
      </c>
      <c r="L779" s="4" t="s">
        <v>2036</v>
      </c>
      <c r="M779" s="8" t="n">
        <v>39</v>
      </c>
      <c r="N779" s="8" t="n">
        <f aca="false">IF(A779="","",G779-J779)</f>
        <v>26</v>
      </c>
      <c r="O779" s="8" t="n">
        <f aca="false">IF(A779="","",J779-M779)</f>
        <v>0</v>
      </c>
      <c r="P779" s="8" t="n">
        <f aca="false">IF(A779="","",G779+J779)</f>
        <v>104</v>
      </c>
      <c r="Q779" s="8" t="str">
        <f aca="false">IF(A779="","",IF(AND(Y779&lt;&gt;"参考",G779&gt;=ルール設定!$B$2),"○",""))</f>
        <v/>
      </c>
      <c r="R779" s="8" t="str">
        <f aca="false">IF(A779="","",IF(AND(Y779&lt;&gt;"参考",G779&gt;=ルール設定!$B$3,N779&gt;=ルール設定!$B$4),"○",""))</f>
        <v/>
      </c>
      <c r="S779" s="8" t="str">
        <f aca="false">IF(A779="","",IF(AND(Y779&lt;&gt;"参考",G779&gt;=ルール設定!$B$5,J779&gt;=ルール設定!$B$6,O779&gt;=ルール設定!$B$7),"○",""))</f>
        <v/>
      </c>
      <c r="T779" s="8" t="n">
        <v>1</v>
      </c>
      <c r="U779" s="8" t="n">
        <v>4</v>
      </c>
      <c r="V779" s="8" t="str">
        <f aca="false">IF(A779="","",IF(AND(ISNUMBER(T779),ISNUMBER(U779)),IF(AND(T779&lt;=3,U779&lt;=3),"○","×"),""))</f>
        <v>×</v>
      </c>
      <c r="W779" s="8" t="n">
        <v>110</v>
      </c>
      <c r="X779" s="8"/>
      <c r="Y779" s="4" t="s">
        <v>7597</v>
      </c>
      <c r="Z779" s="8" t="s">
        <v>7945</v>
      </c>
      <c r="AA779" s="8" t="str">
        <v/>
      </c>
      <c r="AB779" s="8" t="str">
        <v/>
      </c>
      <c r="AC779" s="8" t="str">
        <v/>
      </c>
      <c r="AD779" s="8" t="str">
        <v/>
      </c>
      <c r="AE779" s="8" t="str">
        <v/>
      </c>
      <c r="AF779" s="8" t="str">
        <v/>
      </c>
      <c r="AG779" s="8" t="str">
        <v/>
      </c>
      <c r="AH779" s="8" t="str">
        <v/>
      </c>
      <c r="AI779" s="8" t="n">
        <v>26</v>
      </c>
      <c r="AJ779" s="8" t="str">
        <v>60～69</v>
      </c>
      <c r="AK779" s="8" t="str">
        <v>20～29</v>
      </c>
      <c r="AL779" s="8" t="str">
        <v>20～29</v>
      </c>
      <c r="AM779" s="8" t="str">
        <v>100～119</v>
      </c>
      <c r="AN779" s="8" t="str">
        <v>15以上</v>
      </c>
      <c r="AO779" s="8" t="str">
        <f aca="false">IF(A779="","",IF(COUNTIFS(全馬データ!$A$2:$A$50000,A779,全馬データ!$B$2:$B$50000,B779,全馬データ!$C$2:$C$50000,C779,全馬データ!$D$2:$D$50000,E779,全馬データ!$K$2:$K$50000,"&lt;&gt;")=0,"",SUMIFS(全馬データ!$K$2:$K$50000,全馬データ!$A$2:$A$50000,A779,全馬データ!$B$2:$B$50000,B779,全馬データ!$C$2:$C$50000,C779,全馬データ!$D$2:$D$50000,E779)))</f>
        <v/>
      </c>
      <c r="AP779" s="8" t="str">
        <f aca="false">IF(A779="","",IF(AO779="","欠損",IF(AO779&lt;=1.1,"1.0～1.1",IF(AO779&lt;1.3,"1.2",IF(AO779&lt;1.5,"1.3～1.4",IF(AO779&lt;2,"1.5～1.9","2.0以上"))))))</f>
        <v>欠損</v>
      </c>
      <c r="AQ779" s="8" t="str">
        <f aca="false">IF(A779="","",IF(ISNUMBER(SEARCH("2歳",Z779)),"2歳戦",IF(ISNUMBER(SEARCH("3歳未勝利",Z779)),"3歳未勝利",IF(ISNUMBER(SEARCH("未勝利",Z779)),"その他未勝利",IF(ISNUMBER(SEARCH("G1",Z779)),"G1",IF(ISNUMBER(SEARCH("G2",Z779)),"G2",IF(ISNUMBER(SEARCH("G3",Z779)),"G3",IF(ISNUMBER(SEARCH("古馬条件",Z779)),"古馬条件戦",IF(ISNUMBER(SEARCH("重賞",Z779)),"重賞","分類不能")))))))))</f>
        <v>分類不能</v>
      </c>
      <c r="AR779" s="8"/>
      <c r="AS779" s="8" t="s">
        <v>7623</v>
      </c>
      <c r="AT779" s="8" t="s">
        <v>7624</v>
      </c>
      <c r="AU779" s="8" t="s">
        <v>7600</v>
      </c>
      <c r="AV779" s="4" t="s">
        <v>7601</v>
      </c>
      <c r="AW779" s="8"/>
      <c r="AX779" s="8"/>
      <c r="AY779" s="8" t="s">
        <v>7610</v>
      </c>
      <c r="AZ779" s="4" t="s">
        <v>7617</v>
      </c>
      <c r="BA779" s="8" t="n">
        <v>1400</v>
      </c>
      <c r="BB779" s="8" t="s">
        <v>7634</v>
      </c>
      <c r="BC779" s="4" t="s">
        <v>7604</v>
      </c>
      <c r="BD779" s="8" t="s">
        <v>7621</v>
      </c>
      <c r="BE779" s="4" t="s">
        <v>7622</v>
      </c>
      <c r="BF779" s="8" t="s">
        <v>7602</v>
      </c>
      <c r="BG779" s="8" t="s">
        <v>7608</v>
      </c>
      <c r="BH779" s="4" t="s">
        <v>7609</v>
      </c>
      <c r="BI779" s="8" t="n">
        <v>16</v>
      </c>
      <c r="BJ779" s="8" t="s">
        <v>7610</v>
      </c>
      <c r="BK779" s="4" t="s">
        <v>7611</v>
      </c>
      <c r="BL779" s="8" t="s">
        <v>7602</v>
      </c>
      <c r="BM779" s="4" t="s">
        <v>7620</v>
      </c>
      <c r="BN779" s="8"/>
      <c r="BO779" s="8"/>
      <c r="BP779" s="8" t="s">
        <v>7610</v>
      </c>
      <c r="BQ779" s="8" t="str">
        <f aca="false">IF(A779="","",AT779)</f>
        <v>3歳</v>
      </c>
      <c r="BR779" s="8" t="str">
        <f aca="false">IF(A779="","",IF(BA779&lt;=1200,"～1200",IF(BA779&lt;=1500,"1300～1500",IF(BA779=1600,"1600",IF(BA779&lt;=1800,"1700～1800",IF(BA779&lt;=2000,"1900～2000","2100以上"))))))</f>
        <v>1300～1500</v>
      </c>
      <c r="BS779" s="8" t="str">
        <f aca="false">IF(A779="","",IF(AX779="G1","G1",IF(AX779="G2","G2",IF(AX779="G3","G3",IF(AX779="L","L","その他")))))</f>
        <v>その他</v>
      </c>
      <c r="BT779" s="8" t="str">
        <f aca="false">IF(A779="","",IF(BI779="","未結合",IF(D779=BI779,"一致","不一致")))</f>
        <v>一致</v>
      </c>
      <c r="BU779" s="8" t="str">
        <f aca="false">IF(A779="","",IF(BE779="牝馬限定","牝馬限定","その他"))</f>
        <v>牝馬限定</v>
      </c>
    </row>
    <row r="780" customFormat="false" ht="15.75" hidden="false" customHeight="false" outlineLevel="0" collapsed="false">
      <c r="A780" s="6" t="n">
        <f aca="false">DATE(2026,8,22)</f>
        <v>46256</v>
      </c>
      <c r="B780" s="4" t="s">
        <v>179</v>
      </c>
      <c r="C780" s="8" t="n">
        <v>6</v>
      </c>
      <c r="D780" s="8" t="n">
        <v>14</v>
      </c>
      <c r="E780" s="8" t="n">
        <v>12</v>
      </c>
      <c r="F780" s="4" t="s">
        <v>3650</v>
      </c>
      <c r="G780" s="8" t="n">
        <v>67</v>
      </c>
      <c r="H780" s="8" t="n">
        <v>9</v>
      </c>
      <c r="I780" s="4" t="s">
        <v>6518</v>
      </c>
      <c r="J780" s="8" t="n">
        <v>44</v>
      </c>
      <c r="K780" s="8" t="n">
        <v>5</v>
      </c>
      <c r="L780" s="8"/>
      <c r="M780" s="8" t="n">
        <v>39</v>
      </c>
      <c r="N780" s="8" t="n">
        <f aca="false">IF(A780="","",G780-J780)</f>
        <v>23</v>
      </c>
      <c r="O780" s="8" t="n">
        <f aca="false">IF(A780="","",J780-M780)</f>
        <v>5</v>
      </c>
      <c r="P780" s="8" t="n">
        <f aca="false">IF(A780="","",G780+J780)</f>
        <v>111</v>
      </c>
      <c r="Q780" s="8" t="str">
        <f aca="false">IF(A780="","",IF(AND(Y780&lt;&gt;"参考",G780&gt;=ルール設定!$B$2),"○",""))</f>
        <v/>
      </c>
      <c r="R780" s="8" t="str">
        <f aca="false">IF(A780="","",IF(AND(Y780&lt;&gt;"参考",G780&gt;=ルール設定!$B$3,N780&gt;=ルール設定!$B$4),"○",""))</f>
        <v/>
      </c>
      <c r="S780" s="8" t="str">
        <f aca="false">IF(A780="","",IF(AND(Y780&lt;&gt;"参考",G780&gt;=ルール設定!$B$5,J780&gt;=ルール設定!$B$6,O780&gt;=ルール設定!$B$7),"○",""))</f>
        <v/>
      </c>
      <c r="T780" s="8" t="n">
        <v>2</v>
      </c>
      <c r="U780" s="8" t="n">
        <v>1</v>
      </c>
      <c r="V780" s="8" t="str">
        <f aca="false">IF(A780="","",IF(AND(ISNUMBER(T780),ISNUMBER(U780)),IF(AND(T780&lt;=3,U780&lt;=3),"○","×"),""))</f>
        <v>○</v>
      </c>
      <c r="W780" s="8" t="n">
        <v>180</v>
      </c>
      <c r="X780" s="8" t="n">
        <v>760</v>
      </c>
      <c r="Y780" s="4" t="s">
        <v>7597</v>
      </c>
      <c r="Z780" s="8" t="s">
        <v>7946</v>
      </c>
      <c r="AA780" s="8" t="str">
        <v/>
      </c>
      <c r="AB780" s="8" t="str">
        <v/>
      </c>
      <c r="AC780" s="8" t="str">
        <v/>
      </c>
      <c r="AD780" s="8" t="str">
        <v/>
      </c>
      <c r="AE780" s="8" t="str">
        <v/>
      </c>
      <c r="AF780" s="8" t="str">
        <v/>
      </c>
      <c r="AG780" s="8" t="str">
        <v/>
      </c>
      <c r="AH780" s="8" t="str">
        <v/>
      </c>
      <c r="AI780" s="8" t="n">
        <v>28</v>
      </c>
      <c r="AJ780" s="8" t="str">
        <v>60～69</v>
      </c>
      <c r="AK780" s="8" t="str">
        <v>20～29</v>
      </c>
      <c r="AL780" s="8" t="str">
        <v>20～29</v>
      </c>
      <c r="AM780" s="8" t="str">
        <v>100～119</v>
      </c>
      <c r="AN780" s="8" t="str">
        <v>12～14</v>
      </c>
      <c r="AO780" s="8" t="str">
        <f aca="false">IF(A780="","",IF(COUNTIFS(全馬データ!$A$2:$A$50000,A780,全馬データ!$B$2:$B$50000,B780,全馬データ!$C$2:$C$50000,C780,全馬データ!$D$2:$D$50000,E780,全馬データ!$K$2:$K$50000,"&lt;&gt;")=0,"",SUMIFS(全馬データ!$K$2:$K$50000,全馬データ!$A$2:$A$50000,A780,全馬データ!$B$2:$B$50000,B780,全馬データ!$C$2:$C$50000,C780,全馬データ!$D$2:$D$50000,E780)))</f>
        <v/>
      </c>
      <c r="AP780" s="8" t="str">
        <f aca="false">IF(A780="","",IF(AO780="","欠損",IF(AO780&lt;=1.1,"1.0～1.1",IF(AO780&lt;1.3,"1.2",IF(AO780&lt;1.5,"1.3～1.4",IF(AO780&lt;2,"1.5～1.9","2.0以上"))))))</f>
        <v>欠損</v>
      </c>
      <c r="AQ780" s="8" t="str">
        <f aca="false">IF(A780="","",IF(ISNUMBER(SEARCH("2歳",Z780)),"2歳戦",IF(ISNUMBER(SEARCH("3歳未勝利",Z780)),"3歳未勝利",IF(ISNUMBER(SEARCH("未勝利",Z780)),"その他未勝利",IF(ISNUMBER(SEARCH("G1",Z780)),"G1",IF(ISNUMBER(SEARCH("G2",Z780)),"G2",IF(ISNUMBER(SEARCH("G3",Z780)),"G3",IF(ISNUMBER(SEARCH("古馬条件",Z780)),"古馬条件戦",IF(ISNUMBER(SEARCH("重賞",Z780)),"重賞","分類不能")))))))))</f>
        <v>分類不能</v>
      </c>
      <c r="AR780" s="4" t="s">
        <v>7947</v>
      </c>
      <c r="AS780" s="8" t="s">
        <v>7626</v>
      </c>
      <c r="AT780" s="8" t="s">
        <v>7627</v>
      </c>
      <c r="AU780" s="8" t="s">
        <v>7634</v>
      </c>
      <c r="AV780" s="8" t="s">
        <v>7635</v>
      </c>
      <c r="AW780" s="8" t="s">
        <v>7636</v>
      </c>
      <c r="AX780" s="4" t="s">
        <v>7637</v>
      </c>
      <c r="AY780" s="8" t="s">
        <v>7610</v>
      </c>
      <c r="AZ780" s="4" t="s">
        <v>7617</v>
      </c>
      <c r="BA780" s="8" t="n">
        <v>1800</v>
      </c>
      <c r="BB780" s="8" t="s">
        <v>7634</v>
      </c>
      <c r="BC780" s="4" t="s">
        <v>7604</v>
      </c>
      <c r="BD780" s="8" t="s">
        <v>7630</v>
      </c>
      <c r="BE780" s="4" t="s">
        <v>7606</v>
      </c>
      <c r="BF780" s="8" t="s">
        <v>7607</v>
      </c>
      <c r="BG780" s="8" t="s">
        <v>7631</v>
      </c>
      <c r="BH780" s="4" t="s">
        <v>7632</v>
      </c>
      <c r="BI780" s="8" t="n">
        <v>14</v>
      </c>
      <c r="BJ780" s="8" t="s">
        <v>7610</v>
      </c>
      <c r="BK780" s="4" t="s">
        <v>7611</v>
      </c>
      <c r="BL780" s="8" t="s">
        <v>7602</v>
      </c>
      <c r="BM780" s="4" t="s">
        <v>7620</v>
      </c>
      <c r="BN780" s="8"/>
      <c r="BO780" s="8"/>
      <c r="BP780" s="8" t="s">
        <v>7610</v>
      </c>
      <c r="BQ780" s="8" t="str">
        <f aca="false">IF(A780="","",AT780)</f>
        <v>3歳以上</v>
      </c>
      <c r="BR780" s="8" t="str">
        <f aca="false">IF(A780="","",IF(BA780&lt;=1200,"～1200",IF(BA780&lt;=1500,"1300～1500",IF(BA780=1600,"1600",IF(BA780&lt;=1800,"1700～1800",IF(BA780&lt;=2000,"1900～2000","2100以上"))))))</f>
        <v>1700～1800</v>
      </c>
      <c r="BS780" s="8" t="str">
        <f aca="false">IF(A780="","",IF(AX780="G1","G1",IF(AX780="G2","G2",IF(AX780="G3","G3",IF(AX780="L","L","その他")))))</f>
        <v>その他</v>
      </c>
      <c r="BT780" s="8" t="str">
        <f aca="false">IF(A780="","",IF(BI780="","未結合",IF(D780=BI780,"一致","不一致")))</f>
        <v>一致</v>
      </c>
      <c r="BU780" s="8" t="str">
        <f aca="false">IF(A780="","",IF(BE780="牝馬限定","牝馬限定","その他"))</f>
        <v>その他</v>
      </c>
    </row>
    <row r="781" customFormat="false" ht="15.75" hidden="false" customHeight="false" outlineLevel="0" collapsed="false">
      <c r="A781" s="6" t="n">
        <f aca="false">DATE(2026,8,22)</f>
        <v>46256</v>
      </c>
      <c r="B781" s="4" t="s">
        <v>179</v>
      </c>
      <c r="C781" s="8" t="n">
        <v>7</v>
      </c>
      <c r="D781" s="8" t="n">
        <v>16</v>
      </c>
      <c r="E781" s="8" t="n">
        <v>3</v>
      </c>
      <c r="F781" s="4" t="s">
        <v>3634</v>
      </c>
      <c r="G781" s="8" t="n">
        <v>66</v>
      </c>
      <c r="H781" s="8" t="n">
        <v>9</v>
      </c>
      <c r="I781" s="8"/>
      <c r="J781" s="8" t="n">
        <v>52</v>
      </c>
      <c r="K781" s="8" t="n">
        <v>4</v>
      </c>
      <c r="L781" s="8"/>
      <c r="M781" s="8" t="n">
        <v>31</v>
      </c>
      <c r="N781" s="8" t="n">
        <f aca="false">IF(A781="","",G781-J781)</f>
        <v>14</v>
      </c>
      <c r="O781" s="8" t="n">
        <f aca="false">IF(A781="","",J781-M781)</f>
        <v>21</v>
      </c>
      <c r="P781" s="8" t="n">
        <f aca="false">IF(A781="","",G781+J781)</f>
        <v>118</v>
      </c>
      <c r="Q781" s="8" t="str">
        <f aca="false">IF(A781="","",IF(AND(Y781&lt;&gt;"参考",G781&gt;=ルール設定!$B$2),"○",""))</f>
        <v/>
      </c>
      <c r="R781" s="8" t="str">
        <f aca="false">IF(A781="","",IF(AND(Y781&lt;&gt;"参考",G781&gt;=ルール設定!$B$3,N781&gt;=ルール設定!$B$4),"○",""))</f>
        <v/>
      </c>
      <c r="S781" s="8" t="str">
        <f aca="false">IF(A781="","",IF(AND(Y781&lt;&gt;"参考",G781&gt;=ルール設定!$B$5,J781&gt;=ルール設定!$B$6,O781&gt;=ルール設定!$B$7),"○",""))</f>
        <v>○</v>
      </c>
      <c r="T781" s="8" t="n">
        <v>1</v>
      </c>
      <c r="U781" s="8" t="n">
        <v>4</v>
      </c>
      <c r="V781" s="8" t="str">
        <f aca="false">IF(A781="","",IF(AND(ISNUMBER(T781),ISNUMBER(U781)),IF(AND(T781&lt;=3,U781&lt;=3),"○","×"),""))</f>
        <v>×</v>
      </c>
      <c r="W781" s="8" t="n">
        <v>150</v>
      </c>
      <c r="X781" s="8"/>
      <c r="Y781" s="4" t="s">
        <v>7597</v>
      </c>
      <c r="Z781" s="8" t="s">
        <v>7948</v>
      </c>
      <c r="AA781" s="8" t="str">
        <v/>
      </c>
      <c r="AB781" s="8" t="str">
        <v/>
      </c>
      <c r="AC781" s="8" t="str">
        <v/>
      </c>
      <c r="AD781" s="8" t="str">
        <v/>
      </c>
      <c r="AE781" s="8" t="str">
        <v/>
      </c>
      <c r="AF781" s="8" t="str">
        <v/>
      </c>
      <c r="AG781" s="8" t="str">
        <v/>
      </c>
      <c r="AH781" s="8" t="str">
        <v/>
      </c>
      <c r="AI781" s="8" t="n">
        <v>35</v>
      </c>
      <c r="AJ781" s="8" t="str">
        <v>60～69</v>
      </c>
      <c r="AK781" s="8" t="str">
        <v>10～19</v>
      </c>
      <c r="AL781" s="8" t="str">
        <v>30～39</v>
      </c>
      <c r="AM781" s="8" t="str">
        <v>100～119</v>
      </c>
      <c r="AN781" s="8" t="str">
        <v>15以上</v>
      </c>
      <c r="AO781" s="8" t="str">
        <f aca="false">IF(A781="","",IF(COUNTIFS(全馬データ!$A$2:$A$50000,A781,全馬データ!$B$2:$B$50000,B781,全馬データ!$C$2:$C$50000,C781,全馬データ!$D$2:$D$50000,E781,全馬データ!$K$2:$K$50000,"&lt;&gt;")=0,"",SUMIFS(全馬データ!$K$2:$K$50000,全馬データ!$A$2:$A$50000,A781,全馬データ!$B$2:$B$50000,B781,全馬データ!$C$2:$C$50000,C781,全馬データ!$D$2:$D$50000,E781)))</f>
        <v/>
      </c>
      <c r="AP781" s="8" t="str">
        <f aca="false">IF(A781="","",IF(AO781="","欠損",IF(AO781&lt;=1.1,"1.0～1.1",IF(AO781&lt;1.3,"1.2",IF(AO781&lt;1.5,"1.3～1.4",IF(AO781&lt;2,"1.5～1.9","2.0以上"))))))</f>
        <v>欠損</v>
      </c>
      <c r="AQ781" s="8" t="str">
        <f aca="false">IF(A781="","",IF(ISNUMBER(SEARCH("2歳",Z781)),"2歳戦",IF(ISNUMBER(SEARCH("3歳未勝利",Z781)),"3歳未勝利",IF(ISNUMBER(SEARCH("未勝利",Z781)),"その他未勝利",IF(ISNUMBER(SEARCH("G1",Z781)),"G1",IF(ISNUMBER(SEARCH("G2",Z781)),"G2",IF(ISNUMBER(SEARCH("G3",Z781)),"G3",IF(ISNUMBER(SEARCH("古馬条件",Z781)),"古馬条件戦",IF(ISNUMBER(SEARCH("重賞",Z781)),"重賞","分類不能")))))))))</f>
        <v>分類不能</v>
      </c>
      <c r="AR781" s="4" t="s">
        <v>7949</v>
      </c>
      <c r="AS781" s="8" t="s">
        <v>7626</v>
      </c>
      <c r="AT781" s="8" t="s">
        <v>7627</v>
      </c>
      <c r="AU781" s="8" t="s">
        <v>7639</v>
      </c>
      <c r="AV781" s="8" t="s">
        <v>7640</v>
      </c>
      <c r="AW781" s="8" t="s">
        <v>7636</v>
      </c>
      <c r="AX781" s="4" t="s">
        <v>7637</v>
      </c>
      <c r="AY781" s="8" t="s">
        <v>7610</v>
      </c>
      <c r="AZ781" s="4" t="s">
        <v>7617</v>
      </c>
      <c r="BA781" s="8" t="n">
        <v>1400</v>
      </c>
      <c r="BB781" s="8" t="s">
        <v>7634</v>
      </c>
      <c r="BC781" s="4" t="s">
        <v>7604</v>
      </c>
      <c r="BD781" s="8" t="s">
        <v>7630</v>
      </c>
      <c r="BE781" s="4" t="s">
        <v>7606</v>
      </c>
      <c r="BF781" s="8" t="s">
        <v>7607</v>
      </c>
      <c r="BG781" s="8" t="s">
        <v>7631</v>
      </c>
      <c r="BH781" s="4" t="s">
        <v>7632</v>
      </c>
      <c r="BI781" s="8" t="n">
        <v>16</v>
      </c>
      <c r="BJ781" s="8" t="s">
        <v>7610</v>
      </c>
      <c r="BK781" s="4" t="s">
        <v>7611</v>
      </c>
      <c r="BL781" s="8" t="s">
        <v>7602</v>
      </c>
      <c r="BM781" s="4" t="s">
        <v>7620</v>
      </c>
      <c r="BN781" s="8"/>
      <c r="BO781" s="8"/>
      <c r="BP781" s="8" t="s">
        <v>7610</v>
      </c>
      <c r="BQ781" s="8" t="str">
        <f aca="false">IF(A781="","",AT781)</f>
        <v>3歳以上</v>
      </c>
      <c r="BR781" s="8" t="str">
        <f aca="false">IF(A781="","",IF(BA781&lt;=1200,"～1200",IF(BA781&lt;=1500,"1300～1500",IF(BA781=1600,"1600",IF(BA781&lt;=1800,"1700～1800",IF(BA781&lt;=2000,"1900～2000","2100以上"))))))</f>
        <v>1300～1500</v>
      </c>
      <c r="BS781" s="8" t="str">
        <f aca="false">IF(A781="","",IF(AX781="G1","G1",IF(AX781="G2","G2",IF(AX781="G3","G3",IF(AX781="L","L","その他")))))</f>
        <v>その他</v>
      </c>
      <c r="BT781" s="8" t="str">
        <f aca="false">IF(A781="","",IF(BI781="","未結合",IF(D781=BI781,"一致","不一致")))</f>
        <v>一致</v>
      </c>
      <c r="BU781" s="8" t="str">
        <f aca="false">IF(A781="","",IF(BE781="牝馬限定","牝馬限定","その他"))</f>
        <v>その他</v>
      </c>
    </row>
    <row r="782" customFormat="false" ht="15.75" hidden="false" customHeight="false" outlineLevel="0" collapsed="false">
      <c r="A782" s="6" t="n">
        <f aca="false">DATE(2026,8,22)</f>
        <v>46256</v>
      </c>
      <c r="B782" s="4" t="s">
        <v>179</v>
      </c>
      <c r="C782" s="8" t="n">
        <v>8</v>
      </c>
      <c r="D782" s="8" t="n">
        <v>10</v>
      </c>
      <c r="E782" s="8" t="n">
        <v>4</v>
      </c>
      <c r="F782" s="4" t="s">
        <v>309</v>
      </c>
      <c r="G782" s="8" t="n">
        <v>74</v>
      </c>
      <c r="H782" s="8" t="n">
        <v>8</v>
      </c>
      <c r="I782" s="4" t="s">
        <v>5683</v>
      </c>
      <c r="J782" s="8" t="n">
        <v>66</v>
      </c>
      <c r="K782" s="8" t="n">
        <v>1</v>
      </c>
      <c r="L782" s="8"/>
      <c r="M782" s="8" t="n">
        <v>39</v>
      </c>
      <c r="N782" s="8" t="n">
        <f aca="false">IF(A782="","",G782-J782)</f>
        <v>8</v>
      </c>
      <c r="O782" s="8" t="n">
        <f aca="false">IF(A782="","",J782-M782)</f>
        <v>27</v>
      </c>
      <c r="P782" s="8" t="n">
        <f aca="false">IF(A782="","",G782+J782)</f>
        <v>140</v>
      </c>
      <c r="Q782" s="8" t="str">
        <f aca="false">IF(A782="","",IF(AND(Y782&lt;&gt;"参考",G782&gt;=ルール設定!$B$2),"○",""))</f>
        <v/>
      </c>
      <c r="R782" s="8" t="str">
        <f aca="false">IF(A782="","",IF(AND(Y782&lt;&gt;"参考",G782&gt;=ルール設定!$B$3,N782&gt;=ルール設定!$B$4),"○",""))</f>
        <v/>
      </c>
      <c r="S782" s="8" t="str">
        <f aca="false">IF(A782="","",IF(AND(Y782&lt;&gt;"参考",G782&gt;=ルール設定!$B$5,J782&gt;=ルール設定!$B$6,O782&gt;=ルール設定!$B$7),"○",""))</f>
        <v>○</v>
      </c>
      <c r="T782" s="8" t="n">
        <v>1</v>
      </c>
      <c r="U782" s="8" t="n">
        <v>2</v>
      </c>
      <c r="V782" s="8" t="str">
        <f aca="false">IF(A782="","",IF(AND(ISNUMBER(T782),ISNUMBER(U782)),IF(AND(T782&lt;=3,U782&lt;=3),"○","×"),""))</f>
        <v>○</v>
      </c>
      <c r="W782" s="8" t="n">
        <v>120</v>
      </c>
      <c r="X782" s="8" t="n">
        <v>190</v>
      </c>
      <c r="Y782" s="4" t="s">
        <v>7597</v>
      </c>
      <c r="Z782" s="8" t="s">
        <v>7950</v>
      </c>
      <c r="AA782" s="8" t="str">
        <v/>
      </c>
      <c r="AB782" s="8" t="str">
        <v/>
      </c>
      <c r="AC782" s="8" t="str">
        <v/>
      </c>
      <c r="AD782" s="8" t="str">
        <v/>
      </c>
      <c r="AE782" s="8" t="str">
        <v/>
      </c>
      <c r="AF782" s="8" t="str">
        <v/>
      </c>
      <c r="AG782" s="8" t="str">
        <v/>
      </c>
      <c r="AH782" s="8" t="str">
        <v/>
      </c>
      <c r="AI782" s="8" t="n">
        <v>35</v>
      </c>
      <c r="AJ782" s="8" t="str">
        <v>70～74</v>
      </c>
      <c r="AK782" s="8" t="str">
        <v>5～9</v>
      </c>
      <c r="AL782" s="8" t="str">
        <v>30～39</v>
      </c>
      <c r="AM782" s="8" t="str">
        <v>140～159</v>
      </c>
      <c r="AN782" s="8" t="str">
        <v>8～11</v>
      </c>
      <c r="AO782" s="8" t="str">
        <f aca="false">IF(A782="","",IF(COUNTIFS(全馬データ!$A$2:$A$50000,A782,全馬データ!$B$2:$B$50000,B782,全馬データ!$C$2:$C$50000,C782,全馬データ!$D$2:$D$50000,E782,全馬データ!$K$2:$K$50000,"&lt;&gt;")=0,"",SUMIFS(全馬データ!$K$2:$K$50000,全馬データ!$A$2:$A$50000,A782,全馬データ!$B$2:$B$50000,B782,全馬データ!$C$2:$C$50000,C782,全馬データ!$D$2:$D$50000,E782)))</f>
        <v/>
      </c>
      <c r="AP782" s="8" t="str">
        <f aca="false">IF(A782="","",IF(AO782="","欠損",IF(AO782&lt;=1.1,"1.0～1.1",IF(AO782&lt;1.3,"1.2",IF(AO782&lt;1.5,"1.3～1.4",IF(AO782&lt;2,"1.5～1.9","2.0以上"))))))</f>
        <v>欠損</v>
      </c>
      <c r="AQ782" s="8" t="str">
        <f aca="false">IF(A782="","",IF(ISNUMBER(SEARCH("2歳",Z782)),"2歳戦",IF(ISNUMBER(SEARCH("3歳未勝利",Z782)),"3歳未勝利",IF(ISNUMBER(SEARCH("未勝利",Z782)),"その他未勝利",IF(ISNUMBER(SEARCH("G1",Z782)),"G1",IF(ISNUMBER(SEARCH("G2",Z782)),"G2",IF(ISNUMBER(SEARCH("G3",Z782)),"G3",IF(ISNUMBER(SEARCH("古馬条件",Z782)),"古馬条件戦",IF(ISNUMBER(SEARCH("重賞",Z782)),"重賞","分類不能")))))))))</f>
        <v>分類不能</v>
      </c>
      <c r="AR782" s="4" t="s">
        <v>7951</v>
      </c>
      <c r="AS782" s="8" t="s">
        <v>7626</v>
      </c>
      <c r="AT782" s="8" t="s">
        <v>7627</v>
      </c>
      <c r="AU782" s="8" t="s">
        <v>7628</v>
      </c>
      <c r="AV782" s="8" t="s">
        <v>7629</v>
      </c>
      <c r="AW782" s="8" t="s">
        <v>7636</v>
      </c>
      <c r="AX782" s="4" t="s">
        <v>7637</v>
      </c>
      <c r="AY782" s="8" t="s">
        <v>7610</v>
      </c>
      <c r="AZ782" s="4" t="s">
        <v>7617</v>
      </c>
      <c r="BA782" s="8" t="n">
        <v>1900</v>
      </c>
      <c r="BB782" s="8" t="s">
        <v>7634</v>
      </c>
      <c r="BC782" s="4" t="s">
        <v>7604</v>
      </c>
      <c r="BD782" s="8" t="s">
        <v>7605</v>
      </c>
      <c r="BE782" s="4" t="s">
        <v>7606</v>
      </c>
      <c r="BF782" s="8" t="s">
        <v>7607</v>
      </c>
      <c r="BG782" s="8" t="s">
        <v>7631</v>
      </c>
      <c r="BH782" s="4" t="s">
        <v>7632</v>
      </c>
      <c r="BI782" s="8" t="n">
        <v>10</v>
      </c>
      <c r="BJ782" s="8" t="s">
        <v>7610</v>
      </c>
      <c r="BK782" s="4" t="s">
        <v>7611</v>
      </c>
      <c r="BL782" s="8" t="s">
        <v>7602</v>
      </c>
      <c r="BM782" s="4" t="s">
        <v>7620</v>
      </c>
      <c r="BN782" s="8"/>
      <c r="BO782" s="8"/>
      <c r="BP782" s="8" t="s">
        <v>7610</v>
      </c>
      <c r="BQ782" s="8" t="str">
        <f aca="false">IF(A782="","",AT782)</f>
        <v>3歳以上</v>
      </c>
      <c r="BR782" s="8" t="str">
        <f aca="false">IF(A782="","",IF(BA782&lt;=1200,"～1200",IF(BA782&lt;=1500,"1300～1500",IF(BA782=1600,"1600",IF(BA782&lt;=1800,"1700～1800",IF(BA782&lt;=2000,"1900～2000","2100以上"))))))</f>
        <v>1900～2000</v>
      </c>
      <c r="BS782" s="8" t="str">
        <f aca="false">IF(A782="","",IF(AX782="G1","G1",IF(AX782="G2","G2",IF(AX782="G3","G3",IF(AX782="L","L","その他")))))</f>
        <v>その他</v>
      </c>
      <c r="BT782" s="8" t="str">
        <f aca="false">IF(A782="","",IF(BI782="","未結合",IF(D782=BI782,"一致","不一致")))</f>
        <v>一致</v>
      </c>
      <c r="BU782" s="8" t="str">
        <f aca="false">IF(A782="","",IF(BE782="牝馬限定","牝馬限定","その他"))</f>
        <v>その他</v>
      </c>
    </row>
    <row r="783" customFormat="false" ht="15.75" hidden="false" customHeight="false" outlineLevel="0" collapsed="false">
      <c r="A783" s="6" t="n">
        <f aca="false">DATE(2026,8,22)</f>
        <v>46256</v>
      </c>
      <c r="B783" s="4" t="s">
        <v>179</v>
      </c>
      <c r="C783" s="8" t="n">
        <v>9</v>
      </c>
      <c r="D783" s="8" t="n">
        <v>6</v>
      </c>
      <c r="E783" s="8" t="n">
        <v>2</v>
      </c>
      <c r="F783" s="8"/>
      <c r="G783" s="8" t="n">
        <v>44</v>
      </c>
      <c r="H783" s="8" t="n">
        <v>3</v>
      </c>
      <c r="I783" s="8"/>
      <c r="J783" s="8" t="n">
        <v>44</v>
      </c>
      <c r="K783" s="8" t="n">
        <v>4</v>
      </c>
      <c r="L783" s="8"/>
      <c r="M783" s="8" t="n">
        <v>44</v>
      </c>
      <c r="N783" s="8" t="n">
        <f aca="false">IF(A783="","",G783-J783)</f>
        <v>0</v>
      </c>
      <c r="O783" s="8" t="n">
        <f aca="false">IF(A783="","",J783-M783)</f>
        <v>0</v>
      </c>
      <c r="P783" s="8" t="n">
        <f aca="false">IF(A783="","",G783+J783)</f>
        <v>88</v>
      </c>
      <c r="Q783" s="8" t="str">
        <f aca="false">IF(A783="","",IF(AND(Y783&lt;&gt;"参考",G783&gt;=ルール設定!$B$2),"○",""))</f>
        <v/>
      </c>
      <c r="R783" s="8" t="str">
        <f aca="false">IF(A783="","",IF(AND(Y783&lt;&gt;"参考",G783&gt;=ルール設定!$B$3,N783&gt;=ルール設定!$B$4),"○",""))</f>
        <v/>
      </c>
      <c r="S783" s="8" t="str">
        <f aca="false">IF(A783="","",IF(AND(Y783&lt;&gt;"参考",G783&gt;=ルール設定!$B$5,J783&gt;=ルール設定!$B$6,O783&gt;=ルール設定!$B$7),"○",""))</f>
        <v/>
      </c>
      <c r="T783" s="8" t="n">
        <v>4</v>
      </c>
      <c r="U783" s="8" t="n">
        <v>4</v>
      </c>
      <c r="V783" s="8" t="str">
        <f aca="false">IF(A783="","",IF(AND(ISNUMBER(T783),ISNUMBER(U783)),IF(AND(T783&lt;=3,U783&lt;=3),"○","×"),""))</f>
        <v>×</v>
      </c>
      <c r="W783" s="8"/>
      <c r="X783" s="8"/>
      <c r="Y783" s="4" t="s">
        <v>7597</v>
      </c>
      <c r="Z783" s="8" t="s">
        <v>7952</v>
      </c>
      <c r="AA783" s="8" t="str">
        <v/>
      </c>
      <c r="AB783" s="8" t="str">
        <v/>
      </c>
      <c r="AC783" s="8" t="str">
        <v/>
      </c>
      <c r="AD783" s="8" t="str">
        <v/>
      </c>
      <c r="AE783" s="8" t="str">
        <v/>
      </c>
      <c r="AF783" s="8" t="str">
        <v/>
      </c>
      <c r="AG783" s="8" t="str">
        <v/>
      </c>
      <c r="AH783" s="8" t="str">
        <v/>
      </c>
      <c r="AI783" s="8" t="n">
        <v>0</v>
      </c>
      <c r="AJ783" s="8" t="str">
        <v>～59</v>
      </c>
      <c r="AK783" s="8" t="str">
        <v>0～4</v>
      </c>
      <c r="AL783" s="8" t="str">
        <v>0～9</v>
      </c>
      <c r="AM783" s="8" t="str">
        <v>～99</v>
      </c>
      <c r="AN783" s="8" t="str">
        <v>7以下</v>
      </c>
      <c r="AO783" s="8" t="str">
        <f aca="false">IF(A783="","",IF(COUNTIFS(全馬データ!$A$2:$A$50000,A783,全馬データ!$B$2:$B$50000,B783,全馬データ!$C$2:$C$50000,C783,全馬データ!$D$2:$D$50000,E783,全馬データ!$K$2:$K$50000,"&lt;&gt;")=0,"",SUMIFS(全馬データ!$K$2:$K$50000,全馬データ!$A$2:$A$50000,A783,全馬データ!$B$2:$B$50000,B783,全馬データ!$C$2:$C$50000,C783,全馬データ!$D$2:$D$50000,E783)))</f>
        <v/>
      </c>
      <c r="AP783" s="8" t="str">
        <f aca="false">IF(A783="","",IF(AO783="","欠損",IF(AO783&lt;=1.1,"1.0～1.1",IF(AO783&lt;1.3,"1.2",IF(AO783&lt;1.5,"1.3～1.4",IF(AO783&lt;2,"1.5～1.9","2.0以上"))))))</f>
        <v>欠損</v>
      </c>
      <c r="AQ783" s="8" t="str">
        <f aca="false">IF(A783="","",IF(ISNUMBER(SEARCH("2歳",Z783)),"2歳戦",IF(ISNUMBER(SEARCH("3歳未勝利",Z783)),"3歳未勝利",IF(ISNUMBER(SEARCH("未勝利",Z783)),"その他未勝利",IF(ISNUMBER(SEARCH("G1",Z783)),"G1",IF(ISNUMBER(SEARCH("G2",Z783)),"G2",IF(ISNUMBER(SEARCH("G3",Z783)),"G3",IF(ISNUMBER(SEARCH("古馬条件",Z783)),"古馬条件戦",IF(ISNUMBER(SEARCH("重賞",Z783)),"重賞","分類不能")))))))))</f>
        <v>分類不能</v>
      </c>
      <c r="AR783" s="8"/>
      <c r="AS783" s="8" t="s">
        <v>7618</v>
      </c>
      <c r="AT783" s="4" t="s">
        <v>7642</v>
      </c>
      <c r="AU783" s="8" t="s">
        <v>7643</v>
      </c>
      <c r="AV783" s="4" t="s">
        <v>7644</v>
      </c>
      <c r="AW783" s="8"/>
      <c r="AX783" s="8"/>
      <c r="AY783" s="8" t="s">
        <v>7608</v>
      </c>
      <c r="AZ783" s="4" t="s">
        <v>7642</v>
      </c>
      <c r="BA783" s="8" t="n">
        <v>3330</v>
      </c>
      <c r="BB783" s="8" t="s">
        <v>7634</v>
      </c>
      <c r="BC783" s="4" t="s">
        <v>7604</v>
      </c>
      <c r="BD783" s="8" t="s">
        <v>7645</v>
      </c>
      <c r="BE783" s="4" t="s">
        <v>7606</v>
      </c>
      <c r="BF783" s="8" t="s">
        <v>7607</v>
      </c>
      <c r="BG783" s="8" t="s">
        <v>7610</v>
      </c>
      <c r="BH783" s="4" t="s">
        <v>7646</v>
      </c>
      <c r="BI783" s="8" t="n">
        <v>6</v>
      </c>
      <c r="BJ783" s="8" t="s">
        <v>7647</v>
      </c>
      <c r="BK783" s="4" t="s">
        <v>7648</v>
      </c>
      <c r="BL783" s="8" t="s">
        <v>7647</v>
      </c>
      <c r="BM783" s="4" t="s">
        <v>7648</v>
      </c>
      <c r="BN783" s="8"/>
      <c r="BO783" s="8"/>
      <c r="BP783" s="8" t="s">
        <v>7610</v>
      </c>
      <c r="BQ783" s="8" t="str">
        <f aca="false">IF(A783="","",AT783)</f>
        <v>障害</v>
      </c>
      <c r="BR783" s="8" t="str">
        <f aca="false">IF(A783="","",IF(BA783&lt;=1200,"～1200",IF(BA783&lt;=1500,"1300～1500",IF(BA783=1600,"1600",IF(BA783&lt;=1800,"1700～1800",IF(BA783&lt;=2000,"1900～2000","2100以上"))))))</f>
        <v>2100以上</v>
      </c>
      <c r="BS783" s="8" t="str">
        <f aca="false">IF(A783="","",IF(AX783="G1","G1",IF(AX783="G2","G2",IF(AX783="G3","G3",IF(AX783="L","L","その他")))))</f>
        <v>その他</v>
      </c>
      <c r="BT783" s="8" t="str">
        <f aca="false">IF(A783="","",IF(BI783="","未結合",IF(D783=BI783,"一致","不一致")))</f>
        <v>一致</v>
      </c>
      <c r="BU783" s="8" t="str">
        <f aca="false">IF(A783="","",IF(BE783="牝馬限定","牝馬限定","その他"))</f>
        <v>その他</v>
      </c>
    </row>
    <row r="784" customFormat="false" ht="15.75" hidden="false" customHeight="false" outlineLevel="0" collapsed="false">
      <c r="A784" s="6" t="n">
        <f aca="false">DATE(2026,8,22)</f>
        <v>46256</v>
      </c>
      <c r="B784" s="4" t="s">
        <v>179</v>
      </c>
      <c r="C784" s="8" t="n">
        <v>10</v>
      </c>
      <c r="D784" s="8" t="n">
        <v>12</v>
      </c>
      <c r="E784" s="8" t="n">
        <v>1</v>
      </c>
      <c r="F784" s="8"/>
      <c r="G784" s="8" t="n">
        <v>56</v>
      </c>
      <c r="H784" s="8" t="n">
        <v>3</v>
      </c>
      <c r="I784" s="4" t="s">
        <v>5537</v>
      </c>
      <c r="J784" s="8" t="n">
        <v>50</v>
      </c>
      <c r="K784" s="8" t="n">
        <v>7</v>
      </c>
      <c r="L784" s="8"/>
      <c r="M784" s="8" t="n">
        <v>39</v>
      </c>
      <c r="N784" s="8" t="n">
        <f aca="false">IF(A784="","",G784-J784)</f>
        <v>6</v>
      </c>
      <c r="O784" s="8" t="n">
        <f aca="false">IF(A784="","",J784-M784)</f>
        <v>11</v>
      </c>
      <c r="P784" s="8" t="n">
        <f aca="false">IF(A784="","",G784+J784)</f>
        <v>106</v>
      </c>
      <c r="Q784" s="8" t="str">
        <f aca="false">IF(A784="","",IF(AND(Y784&lt;&gt;"参考",G784&gt;=ルール設定!$B$2),"○",""))</f>
        <v/>
      </c>
      <c r="R784" s="8" t="str">
        <f aca="false">IF(A784="","",IF(AND(Y784&lt;&gt;"参考",G784&gt;=ルール設定!$B$3,N784&gt;=ルール設定!$B$4),"○",""))</f>
        <v/>
      </c>
      <c r="S784" s="8" t="str">
        <f aca="false">IF(A784="","",IF(AND(Y784&lt;&gt;"参考",G784&gt;=ルール設定!$B$5,J784&gt;=ルール設定!$B$6,O784&gt;=ルール設定!$B$7),"○",""))</f>
        <v/>
      </c>
      <c r="T784" s="8" t="n">
        <v>4</v>
      </c>
      <c r="U784" s="8" t="n">
        <v>1</v>
      </c>
      <c r="V784" s="8" t="str">
        <f aca="false">IF(A784="","",IF(AND(ISNUMBER(T784),ISNUMBER(U784)),IF(AND(T784&lt;=3,U784&lt;=3),"○","×"),""))</f>
        <v>×</v>
      </c>
      <c r="W784" s="8"/>
      <c r="X784" s="8"/>
      <c r="Y784" s="4" t="s">
        <v>7597</v>
      </c>
      <c r="Z784" s="8" t="s">
        <v>7953</v>
      </c>
      <c r="AA784" s="8" t="str">
        <v/>
      </c>
      <c r="AB784" s="8" t="str">
        <v/>
      </c>
      <c r="AC784" s="8" t="str">
        <v/>
      </c>
      <c r="AD784" s="8" t="str">
        <v/>
      </c>
      <c r="AE784" s="8" t="str">
        <v/>
      </c>
      <c r="AF784" s="8" t="str">
        <v/>
      </c>
      <c r="AG784" s="8" t="str">
        <v/>
      </c>
      <c r="AH784" s="8" t="str">
        <v/>
      </c>
      <c r="AI784" s="8" t="n">
        <v>17</v>
      </c>
      <c r="AJ784" s="8" t="str">
        <v>～59</v>
      </c>
      <c r="AK784" s="8" t="str">
        <v>5～9</v>
      </c>
      <c r="AL784" s="8" t="str">
        <v>10～19</v>
      </c>
      <c r="AM784" s="8" t="str">
        <v>100～119</v>
      </c>
      <c r="AN784" s="8" t="str">
        <v>12～14</v>
      </c>
      <c r="AO784" s="8" t="str">
        <f aca="false">IF(A784="","",IF(COUNTIFS(全馬データ!$A$2:$A$50000,A784,全馬データ!$B$2:$B$50000,B784,全馬データ!$C$2:$C$50000,C784,全馬データ!$D$2:$D$50000,E784,全馬データ!$K$2:$K$50000,"&lt;&gt;")=0,"",SUMIFS(全馬データ!$K$2:$K$50000,全馬データ!$A$2:$A$50000,A784,全馬データ!$B$2:$B$50000,B784,全馬データ!$C$2:$C$50000,C784,全馬データ!$D$2:$D$50000,E784)))</f>
        <v/>
      </c>
      <c r="AP784" s="8" t="str">
        <f aca="false">IF(A784="","",IF(AO784="","欠損",IF(AO784&lt;=1.1,"1.0～1.1",IF(AO784&lt;1.3,"1.2",IF(AO784&lt;1.5,"1.3～1.4",IF(AO784&lt;2,"1.5～1.9","2.0以上"))))))</f>
        <v>欠損</v>
      </c>
      <c r="AQ784" s="8" t="str">
        <f aca="false">IF(A784="","",IF(ISNUMBER(SEARCH("2歳",Z784)),"2歳戦",IF(ISNUMBER(SEARCH("3歳未勝利",Z784)),"3歳未勝利",IF(ISNUMBER(SEARCH("未勝利",Z784)),"その他未勝利",IF(ISNUMBER(SEARCH("G1",Z784)),"G1",IF(ISNUMBER(SEARCH("G2",Z784)),"G2",IF(ISNUMBER(SEARCH("G3",Z784)),"G3",IF(ISNUMBER(SEARCH("古馬条件",Z784)),"古馬条件戦",IF(ISNUMBER(SEARCH("重賞",Z784)),"重賞","分類不能")))))))))</f>
        <v>分類不能</v>
      </c>
      <c r="AR784" s="8"/>
      <c r="AS784" s="8" t="s">
        <v>7626</v>
      </c>
      <c r="AT784" s="8" t="s">
        <v>7627</v>
      </c>
      <c r="AU784" s="8" t="s">
        <v>7628</v>
      </c>
      <c r="AV784" s="8" t="s">
        <v>7629</v>
      </c>
      <c r="AW784" s="8"/>
      <c r="AX784" s="8"/>
      <c r="AY784" s="8" t="s">
        <v>7610</v>
      </c>
      <c r="AZ784" s="4" t="s">
        <v>7617</v>
      </c>
      <c r="BA784" s="8" t="n">
        <v>1800</v>
      </c>
      <c r="BB784" s="8" t="s">
        <v>7634</v>
      </c>
      <c r="BC784" s="4" t="s">
        <v>7604</v>
      </c>
      <c r="BD784" s="8" t="s">
        <v>7690</v>
      </c>
      <c r="BE784" s="4" t="s">
        <v>7606</v>
      </c>
      <c r="BF784" s="8" t="s">
        <v>7607</v>
      </c>
      <c r="BG784" s="8" t="s">
        <v>7631</v>
      </c>
      <c r="BH784" s="4" t="s">
        <v>7632</v>
      </c>
      <c r="BI784" s="8" t="n">
        <v>12</v>
      </c>
      <c r="BJ784" s="8" t="s">
        <v>7610</v>
      </c>
      <c r="BK784" s="4" t="s">
        <v>7611</v>
      </c>
      <c r="BL784" s="8" t="s">
        <v>7602</v>
      </c>
      <c r="BM784" s="4" t="s">
        <v>7620</v>
      </c>
      <c r="BN784" s="8"/>
      <c r="BO784" s="8"/>
      <c r="BP784" s="8" t="s">
        <v>7610</v>
      </c>
      <c r="BQ784" s="8" t="str">
        <f aca="false">IF(A784="","",AT784)</f>
        <v>3歳以上</v>
      </c>
      <c r="BR784" s="8" t="str">
        <f aca="false">IF(A784="","",IF(BA784&lt;=1200,"～1200",IF(BA784&lt;=1500,"1300～1500",IF(BA784=1600,"1600",IF(BA784&lt;=1800,"1700～1800",IF(BA784&lt;=2000,"1900～2000","2100以上"))))))</f>
        <v>1700～1800</v>
      </c>
      <c r="BS784" s="8" t="str">
        <f aca="false">IF(A784="","",IF(AX784="G1","G1",IF(AX784="G2","G2",IF(AX784="G3","G3",IF(AX784="L","L","その他")))))</f>
        <v>その他</v>
      </c>
      <c r="BT784" s="8" t="str">
        <f aca="false">IF(A784="","",IF(BI784="","未結合",IF(D784=BI784,"一致","不一致")))</f>
        <v>一致</v>
      </c>
      <c r="BU784" s="8" t="str">
        <f aca="false">IF(A784="","",IF(BE784="牝馬限定","牝馬限定","その他"))</f>
        <v>その他</v>
      </c>
    </row>
    <row r="785" customFormat="false" ht="15.75" hidden="false" customHeight="false" outlineLevel="0" collapsed="false">
      <c r="A785" s="6" t="n">
        <f aca="false">DATE(2026,8,22)</f>
        <v>46256</v>
      </c>
      <c r="B785" s="4" t="s">
        <v>179</v>
      </c>
      <c r="C785" s="8" t="n">
        <v>11</v>
      </c>
      <c r="D785" s="8" t="n">
        <v>16</v>
      </c>
      <c r="E785" s="8" t="n">
        <v>12</v>
      </c>
      <c r="F785" s="4" t="s">
        <v>6520</v>
      </c>
      <c r="G785" s="8" t="n">
        <v>56</v>
      </c>
      <c r="H785" s="8" t="n">
        <v>13</v>
      </c>
      <c r="I785" s="8"/>
      <c r="J785" s="8" t="n">
        <v>47</v>
      </c>
      <c r="K785" s="8" t="n">
        <v>3</v>
      </c>
      <c r="L785" s="8"/>
      <c r="M785" s="8" t="n">
        <v>44</v>
      </c>
      <c r="N785" s="8" t="n">
        <f aca="false">IF(A785="","",G785-J785)</f>
        <v>9</v>
      </c>
      <c r="O785" s="8" t="n">
        <f aca="false">IF(A785="","",J785-M785)</f>
        <v>3</v>
      </c>
      <c r="P785" s="8" t="n">
        <f aca="false">IF(A785="","",G785+J785)</f>
        <v>103</v>
      </c>
      <c r="Q785" s="8" t="str">
        <f aca="false">IF(A785="","",IF(AND(Y785&lt;&gt;"参考",G785&gt;=ルール設定!$B$2),"○",""))</f>
        <v/>
      </c>
      <c r="R785" s="8" t="str">
        <f aca="false">IF(A785="","",IF(AND(Y785&lt;&gt;"参考",G785&gt;=ルール設定!$B$3,N785&gt;=ルール設定!$B$4),"○",""))</f>
        <v/>
      </c>
      <c r="S785" s="8" t="str">
        <f aca="false">IF(A785="","",IF(AND(Y785&lt;&gt;"参考",G785&gt;=ルール設定!$B$5,J785&gt;=ルール設定!$B$6,O785&gt;=ルール設定!$B$7),"○",""))</f>
        <v/>
      </c>
      <c r="T785" s="8" t="n">
        <v>1</v>
      </c>
      <c r="U785" s="8" t="n">
        <v>4</v>
      </c>
      <c r="V785" s="8" t="str">
        <f aca="false">IF(A785="","",IF(AND(ISNUMBER(T785),ISNUMBER(U785)),IF(AND(T785&lt;=3,U785&lt;=3),"○","×"),""))</f>
        <v>×</v>
      </c>
      <c r="W785" s="8" t="n">
        <v>150</v>
      </c>
      <c r="X785" s="8"/>
      <c r="Y785" s="4" t="s">
        <v>7597</v>
      </c>
      <c r="Z785" s="8" t="s">
        <v>7954</v>
      </c>
      <c r="AA785" s="8" t="str">
        <v/>
      </c>
      <c r="AB785" s="8" t="str">
        <v/>
      </c>
      <c r="AC785" s="8" t="str">
        <v/>
      </c>
      <c r="AD785" s="8" t="str">
        <v/>
      </c>
      <c r="AE785" s="8" t="str">
        <v/>
      </c>
      <c r="AF785" s="8" t="str">
        <v/>
      </c>
      <c r="AG785" s="8" t="str">
        <v/>
      </c>
      <c r="AH785" s="8" t="str">
        <v/>
      </c>
      <c r="AI785" s="8" t="n">
        <v>12</v>
      </c>
      <c r="AJ785" s="8" t="str">
        <v>～59</v>
      </c>
      <c r="AK785" s="8" t="str">
        <v>5～9</v>
      </c>
      <c r="AL785" s="8" t="str">
        <v>10～19</v>
      </c>
      <c r="AM785" s="8" t="str">
        <v>100～119</v>
      </c>
      <c r="AN785" s="8" t="str">
        <v>15以上</v>
      </c>
      <c r="AO785" s="8" t="str">
        <f aca="false">IF(A785="","",IF(COUNTIFS(全馬データ!$A$2:$A$50000,A785,全馬データ!$B$2:$B$50000,B785,全馬データ!$C$2:$C$50000,C785,全馬データ!$D$2:$D$50000,E785,全馬データ!$K$2:$K$50000,"&lt;&gt;")=0,"",SUMIFS(全馬データ!$K$2:$K$50000,全馬データ!$A$2:$A$50000,A785,全馬データ!$B$2:$B$50000,B785,全馬データ!$C$2:$C$50000,C785,全馬データ!$D$2:$D$50000,E785)))</f>
        <v/>
      </c>
      <c r="AP785" s="8" t="str">
        <f aca="false">IF(A785="","",IF(AO785="","欠損",IF(AO785&lt;=1.1,"1.0～1.1",IF(AO785&lt;1.3,"1.2",IF(AO785&lt;1.5,"1.3～1.4",IF(AO785&lt;2,"1.5～1.9","2.0以上"))))))</f>
        <v>欠損</v>
      </c>
      <c r="AQ785" s="8" t="str">
        <f aca="false">IF(A785="","",IF(ISNUMBER(SEARCH("2歳",Z785)),"2歳戦",IF(ISNUMBER(SEARCH("3歳未勝利",Z785)),"3歳未勝利",IF(ISNUMBER(SEARCH("未勝利",Z785)),"その他未勝利",IF(ISNUMBER(SEARCH("G1",Z785)),"G1",IF(ISNUMBER(SEARCH("G2",Z785)),"G2",IF(ISNUMBER(SEARCH("G3",Z785)),"G3",IF(ISNUMBER(SEARCH("古馬条件",Z785)),"古馬条件戦",IF(ISNUMBER(SEARCH("重賞",Z785)),"重賞","分類不能")))))))))</f>
        <v>分類不能</v>
      </c>
      <c r="AR785" s="8"/>
      <c r="AS785" s="8" t="s">
        <v>7623</v>
      </c>
      <c r="AT785" s="8" t="s">
        <v>7624</v>
      </c>
      <c r="AU785" s="8" t="s">
        <v>7600</v>
      </c>
      <c r="AV785" s="4" t="s">
        <v>7601</v>
      </c>
      <c r="AW785" s="8"/>
      <c r="AX785" s="8"/>
      <c r="AY785" s="8" t="s">
        <v>7602</v>
      </c>
      <c r="AZ785" s="4" t="s">
        <v>7603</v>
      </c>
      <c r="BA785" s="8" t="n">
        <v>1600</v>
      </c>
      <c r="BB785" s="8" t="s">
        <v>7634</v>
      </c>
      <c r="BC785" s="4" t="s">
        <v>7604</v>
      </c>
      <c r="BD785" s="8" t="s">
        <v>7625</v>
      </c>
      <c r="BE785" s="4" t="s">
        <v>7606</v>
      </c>
      <c r="BF785" s="8" t="s">
        <v>7607</v>
      </c>
      <c r="BG785" s="8" t="s">
        <v>7608</v>
      </c>
      <c r="BH785" s="4" t="s">
        <v>7609</v>
      </c>
      <c r="BI785" s="8" t="n">
        <v>16</v>
      </c>
      <c r="BJ785" s="8" t="s">
        <v>7610</v>
      </c>
      <c r="BK785" s="4" t="s">
        <v>7611</v>
      </c>
      <c r="BL785" s="8" t="s">
        <v>7602</v>
      </c>
      <c r="BM785" s="4" t="s">
        <v>7620</v>
      </c>
      <c r="BN785" s="8" t="s">
        <v>7631</v>
      </c>
      <c r="BO785" s="8" t="s">
        <v>7680</v>
      </c>
      <c r="BP785" s="8" t="s">
        <v>7610</v>
      </c>
      <c r="BQ785" s="8" t="str">
        <f aca="false">IF(A785="","",AT785)</f>
        <v>3歳</v>
      </c>
      <c r="BR785" s="8" t="str">
        <f aca="false">IF(A785="","",IF(BA785&lt;=1200,"～1200",IF(BA785&lt;=1500,"1300～1500",IF(BA785=1600,"1600",IF(BA785&lt;=1800,"1700～1800",IF(BA785&lt;=2000,"1900～2000","2100以上"))))))</f>
        <v>1600</v>
      </c>
      <c r="BS785" s="8" t="str">
        <f aca="false">IF(A785="","",IF(AX785="G1","G1",IF(AX785="G2","G2",IF(AX785="G3","G3",IF(AX785="L","L","その他")))))</f>
        <v>その他</v>
      </c>
      <c r="BT785" s="8" t="str">
        <f aca="false">IF(A785="","",IF(BI785="","未結合",IF(D785=BI785,"一致","不一致")))</f>
        <v>一致</v>
      </c>
      <c r="BU785" s="8" t="str">
        <f aca="false">IF(A785="","",IF(BE785="牝馬限定","牝馬限定","その他"))</f>
        <v>その他</v>
      </c>
    </row>
    <row r="786" customFormat="false" ht="15.75" hidden="false" customHeight="false" outlineLevel="0" collapsed="false">
      <c r="A786" s="6" t="n">
        <f aca="false">DATE(2026,8,22)</f>
        <v>46256</v>
      </c>
      <c r="B786" s="4" t="s">
        <v>179</v>
      </c>
      <c r="C786" s="8" t="n">
        <v>12</v>
      </c>
      <c r="D786" s="8" t="n">
        <v>18</v>
      </c>
      <c r="E786" s="8" t="n">
        <v>11</v>
      </c>
      <c r="F786" s="4" t="s">
        <v>3422</v>
      </c>
      <c r="G786" s="8" t="n">
        <v>50</v>
      </c>
      <c r="H786" s="8" t="n">
        <v>9</v>
      </c>
      <c r="I786" s="8"/>
      <c r="J786" s="8" t="n">
        <v>47</v>
      </c>
      <c r="K786" s="8" t="n">
        <v>12</v>
      </c>
      <c r="L786" s="4" t="s">
        <v>776</v>
      </c>
      <c r="M786" s="8" t="n">
        <v>39</v>
      </c>
      <c r="N786" s="8" t="n">
        <f aca="false">IF(A786="","",G786-J786)</f>
        <v>3</v>
      </c>
      <c r="O786" s="8" t="n">
        <f aca="false">IF(A786="","",J786-M786)</f>
        <v>8</v>
      </c>
      <c r="P786" s="8" t="n">
        <f aca="false">IF(A786="","",G786+J786)</f>
        <v>97</v>
      </c>
      <c r="Q786" s="8" t="str">
        <f aca="false">IF(A786="","",IF(AND(Y786&lt;&gt;"参考",G786&gt;=ルール設定!$B$2),"○",""))</f>
        <v/>
      </c>
      <c r="R786" s="8" t="str">
        <f aca="false">IF(A786="","",IF(AND(Y786&lt;&gt;"参考",G786&gt;=ルール設定!$B$3,N786&gt;=ルール設定!$B$4),"○",""))</f>
        <v/>
      </c>
      <c r="S786" s="8" t="str">
        <f aca="false">IF(A786="","",IF(AND(Y786&lt;&gt;"参考",G786&gt;=ルール設定!$B$5,J786&gt;=ルール設定!$B$6,O786&gt;=ルール設定!$B$7),"○",""))</f>
        <v/>
      </c>
      <c r="T786" s="8" t="n">
        <v>2</v>
      </c>
      <c r="U786" s="8" t="n">
        <v>4</v>
      </c>
      <c r="V786" s="8" t="str">
        <f aca="false">IF(A786="","",IF(AND(ISNUMBER(T786),ISNUMBER(U786)),IF(AND(T786&lt;=3,U786&lt;=3),"○","×"),""))</f>
        <v>×</v>
      </c>
      <c r="W786" s="8" t="n">
        <v>190</v>
      </c>
      <c r="X786" s="8"/>
      <c r="Y786" s="4" t="s">
        <v>7597</v>
      </c>
      <c r="Z786" s="8" t="s">
        <v>7955</v>
      </c>
      <c r="AA786" s="8" t="str">
        <v/>
      </c>
      <c r="AB786" s="8" t="str">
        <v/>
      </c>
      <c r="AC786" s="8" t="str">
        <v/>
      </c>
      <c r="AD786" s="8" t="str">
        <v/>
      </c>
      <c r="AE786" s="8" t="str">
        <v/>
      </c>
      <c r="AF786" s="8" t="str">
        <v/>
      </c>
      <c r="AG786" s="8" t="str">
        <v/>
      </c>
      <c r="AH786" s="8" t="str">
        <v/>
      </c>
      <c r="AI786" s="8" t="n">
        <v>11</v>
      </c>
      <c r="AJ786" s="8" t="str">
        <v>～59</v>
      </c>
      <c r="AK786" s="8" t="str">
        <v>0～4</v>
      </c>
      <c r="AL786" s="8" t="str">
        <v>10～19</v>
      </c>
      <c r="AM786" s="8" t="str">
        <v>～99</v>
      </c>
      <c r="AN786" s="8" t="str">
        <v>15以上</v>
      </c>
      <c r="AO786" s="8" t="str">
        <f aca="false">IF(A786="","",IF(COUNTIFS(全馬データ!$A$2:$A$50000,A786,全馬データ!$B$2:$B$50000,B786,全馬データ!$C$2:$C$50000,C786,全馬データ!$D$2:$D$50000,E786,全馬データ!$K$2:$K$50000,"&lt;&gt;")=0,"",SUMIFS(全馬データ!$K$2:$K$50000,全馬データ!$A$2:$A$50000,A786,全馬データ!$B$2:$B$50000,B786,全馬データ!$C$2:$C$50000,C786,全馬データ!$D$2:$D$50000,E786)))</f>
        <v/>
      </c>
      <c r="AP786" s="8" t="str">
        <f aca="false">IF(A786="","",IF(AO786="","欠損",IF(AO786&lt;=1.1,"1.0～1.1",IF(AO786&lt;1.3,"1.2",IF(AO786&lt;1.5,"1.3～1.4",IF(AO786&lt;2,"1.5～1.9","2.0以上"))))))</f>
        <v>欠損</v>
      </c>
      <c r="AQ786" s="8" t="str">
        <f aca="false">IF(A786="","",IF(ISNUMBER(SEARCH("2歳",Z786)),"2歳戦",IF(ISNUMBER(SEARCH("3歳未勝利",Z786)),"3歳未勝利",IF(ISNUMBER(SEARCH("未勝利",Z786)),"その他未勝利",IF(ISNUMBER(SEARCH("G1",Z786)),"G1",IF(ISNUMBER(SEARCH("G2",Z786)),"G2",IF(ISNUMBER(SEARCH("G3",Z786)),"G3",IF(ISNUMBER(SEARCH("古馬条件",Z786)),"古馬条件戦",IF(ISNUMBER(SEARCH("重賞",Z786)),"重賞","分類不能")))))))))</f>
        <v>分類不能</v>
      </c>
      <c r="AR786" s="8"/>
      <c r="AS786" s="8" t="s">
        <v>7623</v>
      </c>
      <c r="AT786" s="8" t="s">
        <v>7624</v>
      </c>
      <c r="AU786" s="8" t="s">
        <v>7600</v>
      </c>
      <c r="AV786" s="4" t="s">
        <v>7601</v>
      </c>
      <c r="AW786" s="8"/>
      <c r="AX786" s="8"/>
      <c r="AY786" s="8" t="s">
        <v>7602</v>
      </c>
      <c r="AZ786" s="4" t="s">
        <v>7603</v>
      </c>
      <c r="BA786" s="8" t="n">
        <v>1200</v>
      </c>
      <c r="BB786" s="8" t="s">
        <v>7634</v>
      </c>
      <c r="BC786" s="4" t="s">
        <v>7604</v>
      </c>
      <c r="BD786" s="8" t="s">
        <v>7605</v>
      </c>
      <c r="BE786" s="4" t="s">
        <v>7606</v>
      </c>
      <c r="BF786" s="8" t="s">
        <v>7607</v>
      </c>
      <c r="BG786" s="8" t="s">
        <v>7608</v>
      </c>
      <c r="BH786" s="4" t="s">
        <v>7609</v>
      </c>
      <c r="BI786" s="8" t="n">
        <v>18</v>
      </c>
      <c r="BJ786" s="8" t="s">
        <v>7610</v>
      </c>
      <c r="BK786" s="4" t="s">
        <v>7611</v>
      </c>
      <c r="BL786" s="8" t="s">
        <v>7602</v>
      </c>
      <c r="BM786" s="4" t="s">
        <v>7620</v>
      </c>
      <c r="BN786" s="8" t="s">
        <v>7631</v>
      </c>
      <c r="BO786" s="8" t="s">
        <v>7680</v>
      </c>
      <c r="BP786" s="8" t="s">
        <v>7610</v>
      </c>
      <c r="BQ786" s="8" t="str">
        <f aca="false">IF(A786="","",AT786)</f>
        <v>3歳</v>
      </c>
      <c r="BR786" s="8" t="str">
        <f aca="false">IF(A786="","",IF(BA786&lt;=1200,"～1200",IF(BA786&lt;=1500,"1300～1500",IF(BA786=1600,"1600",IF(BA786&lt;=1800,"1700～1800",IF(BA786&lt;=2000,"1900～2000","2100以上"))))))</f>
        <v>～1200</v>
      </c>
      <c r="BS786" s="8" t="str">
        <f aca="false">IF(A786="","",IF(AX786="G1","G1",IF(AX786="G2","G2",IF(AX786="G3","G3",IF(AX786="L","L","その他")))))</f>
        <v>その他</v>
      </c>
      <c r="BT786" s="8" t="str">
        <f aca="false">IF(A786="","",IF(BI786="","未結合",IF(D786=BI786,"一致","不一致")))</f>
        <v>一致</v>
      </c>
      <c r="BU786" s="8" t="str">
        <f aca="false">IF(A786="","",IF(BE786="牝馬限定","牝馬限定","その他"))</f>
        <v>その他</v>
      </c>
    </row>
    <row r="787" customFormat="false" ht="15.75" hidden="false" customHeight="false" outlineLevel="0" collapsed="false">
      <c r="A787" s="6" t="n">
        <f aca="false">DATE(2026,8,22)</f>
        <v>46256</v>
      </c>
      <c r="B787" s="4" t="s">
        <v>334</v>
      </c>
      <c r="C787" s="8" t="n">
        <v>1</v>
      </c>
      <c r="D787" s="8" t="n">
        <v>12</v>
      </c>
      <c r="E787" s="8" t="n">
        <v>4</v>
      </c>
      <c r="F787" s="8"/>
      <c r="G787" s="8" t="n">
        <v>75</v>
      </c>
      <c r="H787" s="8" t="n">
        <v>7</v>
      </c>
      <c r="I787" s="4" t="s">
        <v>5151</v>
      </c>
      <c r="J787" s="8" t="n">
        <v>75</v>
      </c>
      <c r="K787" s="8" t="n">
        <v>2</v>
      </c>
      <c r="L787" s="8"/>
      <c r="M787" s="8" t="n">
        <v>15</v>
      </c>
      <c r="N787" s="8" t="n">
        <f aca="false">IF(A787="","",G787-J787)</f>
        <v>0</v>
      </c>
      <c r="O787" s="8" t="n">
        <f aca="false">IF(A787="","",J787-M787)</f>
        <v>60</v>
      </c>
      <c r="P787" s="8" t="n">
        <f aca="false">IF(A787="","",G787+J787)</f>
        <v>150</v>
      </c>
      <c r="Q787" s="8" t="str">
        <f aca="false">IF(A787="","",IF(AND(Y787&lt;&gt;"参考",G787&gt;=ルール設定!$B$2),"○",""))</f>
        <v/>
      </c>
      <c r="R787" s="8" t="str">
        <f aca="false">IF(A787="","",IF(AND(Y787&lt;&gt;"参考",G787&gt;=ルール設定!$B$3,N787&gt;=ルール設定!$B$4),"○",""))</f>
        <v/>
      </c>
      <c r="S787" s="8" t="str">
        <f aca="false">IF(A787="","",IF(AND(Y787&lt;&gt;"参考",G787&gt;=ルール設定!$B$5,J787&gt;=ルール設定!$B$6,O787&gt;=ルール設定!$B$7),"○",""))</f>
        <v>○</v>
      </c>
      <c r="T787" s="8" t="n">
        <v>4</v>
      </c>
      <c r="U787" s="8" t="n">
        <v>1</v>
      </c>
      <c r="V787" s="8" t="str">
        <f aca="false">IF(A787="","",IF(AND(ISNUMBER(T787),ISNUMBER(U787)),IF(AND(T787&lt;=3,U787&lt;=3),"○","×"),""))</f>
        <v>×</v>
      </c>
      <c r="W787" s="8"/>
      <c r="X787" s="8"/>
      <c r="Y787" s="4" t="s">
        <v>7597</v>
      </c>
      <c r="Z787" s="8" t="s">
        <v>7956</v>
      </c>
      <c r="AA787" s="8" t="str">
        <v/>
      </c>
      <c r="AB787" s="8" t="str">
        <v/>
      </c>
      <c r="AC787" s="8" t="str">
        <v/>
      </c>
      <c r="AD787" s="8" t="str">
        <v/>
      </c>
      <c r="AE787" s="8" t="str">
        <v/>
      </c>
      <c r="AF787" s="8" t="str">
        <v/>
      </c>
      <c r="AG787" s="8" t="str">
        <v/>
      </c>
      <c r="AH787" s="8" t="str">
        <v/>
      </c>
      <c r="AI787" s="8" t="n">
        <v>60</v>
      </c>
      <c r="AJ787" s="8" t="str">
        <v>75～79</v>
      </c>
      <c r="AK787" s="8" t="str">
        <v>0～4</v>
      </c>
      <c r="AL787" s="8" t="str">
        <v>40以上</v>
      </c>
      <c r="AM787" s="8" t="str">
        <v>140～159</v>
      </c>
      <c r="AN787" s="8" t="str">
        <v>12～14</v>
      </c>
      <c r="AO787" s="8" t="str">
        <f aca="false">IF(A787="","",IF(COUNTIFS(全馬データ!$A$2:$A$50000,A787,全馬データ!$B$2:$B$50000,B787,全馬データ!$C$2:$C$50000,C787,全馬データ!$D$2:$D$50000,E787,全馬データ!$K$2:$K$50000,"&lt;&gt;")=0,"",SUMIFS(全馬データ!$K$2:$K$50000,全馬データ!$A$2:$A$50000,A787,全馬データ!$B$2:$B$50000,B787,全馬データ!$C$2:$C$50000,C787,全馬データ!$D$2:$D$50000,E787)))</f>
        <v/>
      </c>
      <c r="AP787" s="8" t="str">
        <f aca="false">IF(A787="","",IF(AO787="","欠損",IF(AO787&lt;=1.1,"1.0～1.1",IF(AO787&lt;1.3,"1.2",IF(AO787&lt;1.5,"1.3～1.4",IF(AO787&lt;2,"1.5～1.9","2.0以上"))))))</f>
        <v>欠損</v>
      </c>
      <c r="AQ787" s="8" t="str">
        <f aca="false">IF(A787="","",IF(ISNUMBER(SEARCH("2歳",Z787)),"2歳戦",IF(ISNUMBER(SEARCH("3歳未勝利",Z787)),"3歳未勝利",IF(ISNUMBER(SEARCH("未勝利",Z787)),"その他未勝利",IF(ISNUMBER(SEARCH("G1",Z787)),"G1",IF(ISNUMBER(SEARCH("G2",Z787)),"G2",IF(ISNUMBER(SEARCH("G3",Z787)),"G3",IF(ISNUMBER(SEARCH("古馬条件",Z787)),"古馬条件戦",IF(ISNUMBER(SEARCH("重賞",Z787)),"重賞","分類不能")))))))))</f>
        <v>分類不能</v>
      </c>
      <c r="AR787" s="8"/>
      <c r="AS787" s="8" t="s">
        <v>7598</v>
      </c>
      <c r="AT787" s="8" t="s">
        <v>7599</v>
      </c>
      <c r="AU787" s="8" t="s">
        <v>7600</v>
      </c>
      <c r="AV787" s="4" t="s">
        <v>7601</v>
      </c>
      <c r="AW787" s="8"/>
      <c r="AX787" s="8"/>
      <c r="AY787" s="8" t="s">
        <v>7610</v>
      </c>
      <c r="AZ787" s="4" t="s">
        <v>7617</v>
      </c>
      <c r="BA787" s="8" t="n">
        <v>1700</v>
      </c>
      <c r="BB787" s="8" t="s">
        <v>7634</v>
      </c>
      <c r="BC787" s="4" t="s">
        <v>7604</v>
      </c>
      <c r="BD787" s="8" t="s">
        <v>7605</v>
      </c>
      <c r="BE787" s="4" t="s">
        <v>7606</v>
      </c>
      <c r="BF787" s="8" t="s">
        <v>7607</v>
      </c>
      <c r="BG787" s="8" t="s">
        <v>7608</v>
      </c>
      <c r="BH787" s="4" t="s">
        <v>7609</v>
      </c>
      <c r="BI787" s="8" t="n">
        <v>12</v>
      </c>
      <c r="BJ787" s="8" t="s">
        <v>7602</v>
      </c>
      <c r="BK787" s="4" t="s">
        <v>7653</v>
      </c>
      <c r="BL787" s="8" t="s">
        <v>7602</v>
      </c>
      <c r="BM787" s="4" t="s">
        <v>7620</v>
      </c>
      <c r="BN787" s="8"/>
      <c r="BO787" s="8"/>
      <c r="BP787" s="8" t="s">
        <v>7608</v>
      </c>
      <c r="BQ787" s="8" t="str">
        <f aca="false">IF(A787="","",AT787)</f>
        <v>2歳</v>
      </c>
      <c r="BR787" s="8" t="str">
        <f aca="false">IF(A787="","",IF(BA787&lt;=1200,"～1200",IF(BA787&lt;=1500,"1300～1500",IF(BA787=1600,"1600",IF(BA787&lt;=1800,"1700～1800",IF(BA787&lt;=2000,"1900～2000","2100以上"))))))</f>
        <v>1700～1800</v>
      </c>
      <c r="BS787" s="8" t="str">
        <f aca="false">IF(A787="","",IF(AX787="G1","G1",IF(AX787="G2","G2",IF(AX787="G3","G3",IF(AX787="L","L","その他")))))</f>
        <v>その他</v>
      </c>
      <c r="BT787" s="8" t="str">
        <f aca="false">IF(A787="","",IF(BI787="","未結合",IF(D787=BI787,"一致","不一致")))</f>
        <v>一致</v>
      </c>
      <c r="BU787" s="8" t="str">
        <f aca="false">IF(A787="","",IF(BE787="牝馬限定","牝馬限定","その他"))</f>
        <v>その他</v>
      </c>
    </row>
    <row r="788" customFormat="false" ht="15.75" hidden="false" customHeight="false" outlineLevel="0" collapsed="false">
      <c r="A788" s="6" t="n">
        <f aca="false">DATE(2026,8,22)</f>
        <v>46256</v>
      </c>
      <c r="B788" s="4" t="s">
        <v>334</v>
      </c>
      <c r="C788" s="8" t="n">
        <v>2</v>
      </c>
      <c r="D788" s="8" t="n">
        <v>6</v>
      </c>
      <c r="E788" s="8" t="n">
        <v>2</v>
      </c>
      <c r="F788" s="4" t="s">
        <v>1763</v>
      </c>
      <c r="G788" s="8" t="n">
        <v>71</v>
      </c>
      <c r="H788" s="8" t="n">
        <v>4</v>
      </c>
      <c r="I788" s="4" t="s">
        <v>3830</v>
      </c>
      <c r="J788" s="8" t="n">
        <v>67</v>
      </c>
      <c r="K788" s="8" t="n">
        <v>6</v>
      </c>
      <c r="L788" s="4" t="s">
        <v>1776</v>
      </c>
      <c r="M788" s="8" t="n">
        <v>39</v>
      </c>
      <c r="N788" s="8" t="n">
        <f aca="false">IF(A788="","",G788-J788)</f>
        <v>4</v>
      </c>
      <c r="O788" s="8" t="n">
        <f aca="false">IF(A788="","",J788-M788)</f>
        <v>28</v>
      </c>
      <c r="P788" s="8" t="n">
        <f aca="false">IF(A788="","",G788+J788)</f>
        <v>138</v>
      </c>
      <c r="Q788" s="8" t="str">
        <f aca="false">IF(A788="","",IF(AND(Y788&lt;&gt;"参考",G788&gt;=ルール設定!$B$2),"○",""))</f>
        <v/>
      </c>
      <c r="R788" s="8" t="str">
        <f aca="false">IF(A788="","",IF(AND(Y788&lt;&gt;"参考",G788&gt;=ルール設定!$B$3,N788&gt;=ルール設定!$B$4),"○",""))</f>
        <v/>
      </c>
      <c r="S788" s="8" t="str">
        <f aca="false">IF(A788="","",IF(AND(Y788&lt;&gt;"参考",G788&gt;=ルール設定!$B$5,J788&gt;=ルール設定!$B$6,O788&gt;=ルール設定!$B$7),"○",""))</f>
        <v>○</v>
      </c>
      <c r="T788" s="8" t="n">
        <v>2</v>
      </c>
      <c r="U788" s="8" t="n">
        <v>3</v>
      </c>
      <c r="V788" s="8" t="str">
        <f aca="false">IF(A788="","",IF(AND(ISNUMBER(T788),ISNUMBER(U788)),IF(AND(T788&lt;=3,U788&lt;=3),"○","×"),""))</f>
        <v>○</v>
      </c>
      <c r="W788" s="8" t="n">
        <v>110</v>
      </c>
      <c r="X788" s="8" t="n">
        <v>150</v>
      </c>
      <c r="Y788" s="4" t="s">
        <v>7597</v>
      </c>
      <c r="Z788" s="8" t="s">
        <v>7957</v>
      </c>
      <c r="AA788" s="8" t="str">
        <v/>
      </c>
      <c r="AB788" s="8" t="str">
        <v/>
      </c>
      <c r="AC788" s="8" t="str">
        <v/>
      </c>
      <c r="AD788" s="8" t="str">
        <v/>
      </c>
      <c r="AE788" s="8" t="str">
        <v/>
      </c>
      <c r="AF788" s="8" t="str">
        <v/>
      </c>
      <c r="AG788" s="8" t="str">
        <v/>
      </c>
      <c r="AH788" s="8" t="str">
        <v/>
      </c>
      <c r="AI788" s="8" t="n">
        <v>32</v>
      </c>
      <c r="AJ788" s="8" t="str">
        <v>70～74</v>
      </c>
      <c r="AK788" s="8" t="str">
        <v>0～4</v>
      </c>
      <c r="AL788" s="8" t="str">
        <v>30～39</v>
      </c>
      <c r="AM788" s="8" t="str">
        <v>120～139</v>
      </c>
      <c r="AN788" s="8" t="str">
        <v>7以下</v>
      </c>
      <c r="AO788" s="8" t="str">
        <f aca="false">IF(A788="","",IF(COUNTIFS(全馬データ!$A$2:$A$50000,A788,全馬データ!$B$2:$B$50000,B788,全馬データ!$C$2:$C$50000,C788,全馬データ!$D$2:$D$50000,E788,全馬データ!$K$2:$K$50000,"&lt;&gt;")=0,"",SUMIFS(全馬データ!$K$2:$K$50000,全馬データ!$A$2:$A$50000,A788,全馬データ!$B$2:$B$50000,B788,全馬データ!$C$2:$C$50000,C788,全馬データ!$D$2:$D$50000,E788)))</f>
        <v/>
      </c>
      <c r="AP788" s="8" t="str">
        <f aca="false">IF(A788="","",IF(AO788="","欠損",IF(AO788&lt;=1.1,"1.0～1.1",IF(AO788&lt;1.3,"1.2",IF(AO788&lt;1.5,"1.3～1.4",IF(AO788&lt;2,"1.5～1.9","2.0以上"))))))</f>
        <v>欠損</v>
      </c>
      <c r="AQ788" s="8" t="str">
        <f aca="false">IF(A788="","",IF(ISNUMBER(SEARCH("2歳",Z788)),"2歳戦",IF(ISNUMBER(SEARCH("3歳未勝利",Z788)),"3歳未勝利",IF(ISNUMBER(SEARCH("未勝利",Z788)),"その他未勝利",IF(ISNUMBER(SEARCH("G1",Z788)),"G1",IF(ISNUMBER(SEARCH("G2",Z788)),"G2",IF(ISNUMBER(SEARCH("G3",Z788)),"G3",IF(ISNUMBER(SEARCH("古馬条件",Z788)),"古馬条件戦",IF(ISNUMBER(SEARCH("重賞",Z788)),"重賞","分類不能")))))))))</f>
        <v>分類不能</v>
      </c>
      <c r="AR788" s="8"/>
      <c r="AS788" s="8" t="s">
        <v>7598</v>
      </c>
      <c r="AT788" s="8" t="s">
        <v>7599</v>
      </c>
      <c r="AU788" s="8" t="s">
        <v>7600</v>
      </c>
      <c r="AV788" s="4" t="s">
        <v>7601</v>
      </c>
      <c r="AW788" s="8"/>
      <c r="AX788" s="8"/>
      <c r="AY788" s="8" t="s">
        <v>7602</v>
      </c>
      <c r="AZ788" s="4" t="s">
        <v>7603</v>
      </c>
      <c r="BA788" s="8" t="n">
        <v>1800</v>
      </c>
      <c r="BB788" s="8" t="s">
        <v>7634</v>
      </c>
      <c r="BC788" s="4" t="s">
        <v>7604</v>
      </c>
      <c r="BD788" s="8" t="s">
        <v>7625</v>
      </c>
      <c r="BE788" s="4" t="s">
        <v>7606</v>
      </c>
      <c r="BF788" s="8" t="s">
        <v>7607</v>
      </c>
      <c r="BG788" s="8" t="s">
        <v>7608</v>
      </c>
      <c r="BH788" s="4" t="s">
        <v>7609</v>
      </c>
      <c r="BI788" s="8" t="n">
        <v>6</v>
      </c>
      <c r="BJ788" s="8" t="s">
        <v>7602</v>
      </c>
      <c r="BK788" s="4" t="s">
        <v>7653</v>
      </c>
      <c r="BL788" s="8" t="s">
        <v>7602</v>
      </c>
      <c r="BM788" s="4" t="s">
        <v>7620</v>
      </c>
      <c r="BN788" s="8" t="s">
        <v>7631</v>
      </c>
      <c r="BO788" s="8" t="s">
        <v>7680</v>
      </c>
      <c r="BP788" s="8" t="s">
        <v>7608</v>
      </c>
      <c r="BQ788" s="8" t="str">
        <f aca="false">IF(A788="","",AT788)</f>
        <v>2歳</v>
      </c>
      <c r="BR788" s="8" t="str">
        <f aca="false">IF(A788="","",IF(BA788&lt;=1200,"～1200",IF(BA788&lt;=1500,"1300～1500",IF(BA788=1600,"1600",IF(BA788&lt;=1800,"1700～1800",IF(BA788&lt;=2000,"1900～2000","2100以上"))))))</f>
        <v>1700～1800</v>
      </c>
      <c r="BS788" s="8" t="str">
        <f aca="false">IF(A788="","",IF(AX788="G1","G1",IF(AX788="G2","G2",IF(AX788="G3","G3",IF(AX788="L","L","その他")))))</f>
        <v>その他</v>
      </c>
      <c r="BT788" s="8" t="str">
        <f aca="false">IF(A788="","",IF(BI788="","未結合",IF(D788=BI788,"一致","不一致")))</f>
        <v>一致</v>
      </c>
      <c r="BU788" s="8" t="str">
        <f aca="false">IF(A788="","",IF(BE788="牝馬限定","牝馬限定","その他"))</f>
        <v>その他</v>
      </c>
    </row>
    <row r="789" customFormat="false" ht="15.75" hidden="false" customHeight="false" outlineLevel="0" collapsed="false">
      <c r="A789" s="6" t="n">
        <f aca="false">DATE(2026,8,22)</f>
        <v>46256</v>
      </c>
      <c r="B789" s="4" t="s">
        <v>334</v>
      </c>
      <c r="C789" s="8" t="n">
        <v>3</v>
      </c>
      <c r="D789" s="8" t="n">
        <v>14</v>
      </c>
      <c r="E789" s="8" t="n">
        <v>14</v>
      </c>
      <c r="F789" s="4" t="s">
        <v>5011</v>
      </c>
      <c r="G789" s="8" t="n">
        <v>81</v>
      </c>
      <c r="H789" s="8" t="n">
        <v>8</v>
      </c>
      <c r="I789" s="4" t="s">
        <v>1298</v>
      </c>
      <c r="J789" s="8" t="n">
        <v>71</v>
      </c>
      <c r="K789" s="8" t="n">
        <v>3</v>
      </c>
      <c r="L789" s="8"/>
      <c r="M789" s="8" t="n">
        <v>25</v>
      </c>
      <c r="N789" s="8" t="n">
        <f aca="false">IF(A789="","",G789-J789)</f>
        <v>10</v>
      </c>
      <c r="O789" s="8" t="n">
        <f aca="false">IF(A789="","",J789-M789)</f>
        <v>46</v>
      </c>
      <c r="P789" s="8" t="n">
        <f aca="false">IF(A789="","",G789+J789)</f>
        <v>152</v>
      </c>
      <c r="Q789" s="8" t="str">
        <f aca="false">IF(A789="","",IF(AND(Y789&lt;&gt;"参考",G789&gt;=ルール設定!$B$2),"○",""))</f>
        <v>○</v>
      </c>
      <c r="R789" s="8" t="str">
        <f aca="false">IF(A789="","",IF(AND(Y789&lt;&gt;"参考",G789&gt;=ルール設定!$B$3,N789&gt;=ルール設定!$B$4),"○",""))</f>
        <v/>
      </c>
      <c r="S789" s="8" t="str">
        <f aca="false">IF(A789="","",IF(AND(Y789&lt;&gt;"参考",G789&gt;=ルール設定!$B$5,J789&gt;=ルール設定!$B$6,O789&gt;=ルール設定!$B$7),"○",""))</f>
        <v>○</v>
      </c>
      <c r="T789" s="8" t="n">
        <v>1</v>
      </c>
      <c r="U789" s="8" t="n">
        <v>2</v>
      </c>
      <c r="V789" s="8" t="str">
        <f aca="false">IF(A789="","",IF(AND(ISNUMBER(T789),ISNUMBER(U789)),IF(AND(T789&lt;=3,U789&lt;=3),"○","×"),""))</f>
        <v>○</v>
      </c>
      <c r="W789" s="8" t="n">
        <v>110</v>
      </c>
      <c r="X789" s="8" t="n">
        <v>180</v>
      </c>
      <c r="Y789" s="4" t="s">
        <v>7597</v>
      </c>
      <c r="Z789" s="8" t="s">
        <v>7958</v>
      </c>
      <c r="AA789" s="8" t="str">
        <v/>
      </c>
      <c r="AB789" s="8" t="str">
        <v>○</v>
      </c>
      <c r="AC789" s="8" t="str">
        <v>○</v>
      </c>
      <c r="AD789" s="8" t="str">
        <v/>
      </c>
      <c r="AE789" s="8" t="str">
        <v/>
      </c>
      <c r="AF789" s="8" t="str">
        <v>○</v>
      </c>
      <c r="AG789" s="8" t="str">
        <v>○</v>
      </c>
      <c r="AH789" s="8" t="str">
        <v/>
      </c>
      <c r="AI789" s="8" t="n">
        <v>56</v>
      </c>
      <c r="AJ789" s="8" t="str">
        <v>80～84</v>
      </c>
      <c r="AK789" s="8" t="str">
        <v>10～19</v>
      </c>
      <c r="AL789" s="8" t="str">
        <v>40以上</v>
      </c>
      <c r="AM789" s="8" t="str">
        <v>140～159</v>
      </c>
      <c r="AN789" s="8" t="str">
        <v>12～14</v>
      </c>
      <c r="AO789" s="8" t="str">
        <f aca="false">IF(A789="","",IF(COUNTIFS(全馬データ!$A$2:$A$50000,A789,全馬データ!$B$2:$B$50000,B789,全馬データ!$C$2:$C$50000,C789,全馬データ!$D$2:$D$50000,E789,全馬データ!$K$2:$K$50000,"&lt;&gt;")=0,"",SUMIFS(全馬データ!$K$2:$K$50000,全馬データ!$A$2:$A$50000,A789,全馬データ!$B$2:$B$50000,B789,全馬データ!$C$2:$C$50000,C789,全馬データ!$D$2:$D$50000,E789)))</f>
        <v/>
      </c>
      <c r="AP789" s="8" t="str">
        <f aca="false">IF(A789="","",IF(AO789="","欠損",IF(AO789&lt;=1.1,"1.0～1.1",IF(AO789&lt;1.3,"1.2",IF(AO789&lt;1.5,"1.3～1.4",IF(AO789&lt;2,"1.5～1.9","2.0以上"))))))</f>
        <v>欠損</v>
      </c>
      <c r="AQ789" s="8" t="str">
        <f aca="false">IF(A789="","",IF(ISNUMBER(SEARCH("2歳",Z789)),"2歳戦",IF(ISNUMBER(SEARCH("3歳未勝利",Z789)),"3歳未勝利",IF(ISNUMBER(SEARCH("未勝利",Z789)),"その他未勝利",IF(ISNUMBER(SEARCH("G1",Z789)),"G1",IF(ISNUMBER(SEARCH("G2",Z789)),"G2",IF(ISNUMBER(SEARCH("G3",Z789)),"G3",IF(ISNUMBER(SEARCH("古馬条件",Z789)),"古馬条件戦",IF(ISNUMBER(SEARCH("重賞",Z789)),"重賞","分類不能")))))))))</f>
        <v>分類不能</v>
      </c>
      <c r="AR789" s="8"/>
      <c r="AS789" s="8" t="s">
        <v>7623</v>
      </c>
      <c r="AT789" s="8" t="s">
        <v>7624</v>
      </c>
      <c r="AU789" s="8" t="s">
        <v>7600</v>
      </c>
      <c r="AV789" s="4" t="s">
        <v>7601</v>
      </c>
      <c r="AW789" s="8"/>
      <c r="AX789" s="8"/>
      <c r="AY789" s="8" t="s">
        <v>7610</v>
      </c>
      <c r="AZ789" s="4" t="s">
        <v>7617</v>
      </c>
      <c r="BA789" s="8" t="n">
        <v>1700</v>
      </c>
      <c r="BB789" s="8" t="s">
        <v>7634</v>
      </c>
      <c r="BC789" s="4" t="s">
        <v>7604</v>
      </c>
      <c r="BD789" s="8" t="s">
        <v>7625</v>
      </c>
      <c r="BE789" s="4" t="s">
        <v>7606</v>
      </c>
      <c r="BF789" s="8" t="s">
        <v>7607</v>
      </c>
      <c r="BG789" s="8" t="s">
        <v>7608</v>
      </c>
      <c r="BH789" s="4" t="s">
        <v>7609</v>
      </c>
      <c r="BI789" s="8" t="n">
        <v>14</v>
      </c>
      <c r="BJ789" s="8" t="s">
        <v>7602</v>
      </c>
      <c r="BK789" s="4" t="s">
        <v>7653</v>
      </c>
      <c r="BL789" s="8" t="s">
        <v>7602</v>
      </c>
      <c r="BM789" s="4" t="s">
        <v>7620</v>
      </c>
      <c r="BN789" s="8"/>
      <c r="BO789" s="8"/>
      <c r="BP789" s="8" t="s">
        <v>7608</v>
      </c>
      <c r="BQ789" s="8" t="str">
        <f aca="false">IF(A789="","",AT789)</f>
        <v>3歳</v>
      </c>
      <c r="BR789" s="8" t="str">
        <f aca="false">IF(A789="","",IF(BA789&lt;=1200,"～1200",IF(BA789&lt;=1500,"1300～1500",IF(BA789=1600,"1600",IF(BA789&lt;=1800,"1700～1800",IF(BA789&lt;=2000,"1900～2000","2100以上"))))))</f>
        <v>1700～1800</v>
      </c>
      <c r="BS789" s="8" t="str">
        <f aca="false">IF(A789="","",IF(AX789="G1","G1",IF(AX789="G2","G2",IF(AX789="G3","G3",IF(AX789="L","L","その他")))))</f>
        <v>その他</v>
      </c>
      <c r="BT789" s="8" t="str">
        <f aca="false">IF(A789="","",IF(BI789="","未結合",IF(D789=BI789,"一致","不一致")))</f>
        <v>一致</v>
      </c>
      <c r="BU789" s="8" t="str">
        <f aca="false">IF(A789="","",IF(BE789="牝馬限定","牝馬限定","その他"))</f>
        <v>その他</v>
      </c>
    </row>
    <row r="790" customFormat="false" ht="15.75" hidden="false" customHeight="false" outlineLevel="0" collapsed="false">
      <c r="A790" s="6" t="n">
        <f aca="false">DATE(2026,8,22)</f>
        <v>46256</v>
      </c>
      <c r="B790" s="4" t="s">
        <v>334</v>
      </c>
      <c r="C790" s="8" t="n">
        <v>4</v>
      </c>
      <c r="D790" s="8" t="n">
        <v>16</v>
      </c>
      <c r="E790" s="8" t="n">
        <v>2</v>
      </c>
      <c r="F790" s="8"/>
      <c r="G790" s="8" t="n">
        <v>58</v>
      </c>
      <c r="H790" s="8" t="n">
        <v>1</v>
      </c>
      <c r="I790" s="8"/>
      <c r="J790" s="8" t="n">
        <v>56</v>
      </c>
      <c r="K790" s="8" t="n">
        <v>11</v>
      </c>
      <c r="L790" s="4" t="s">
        <v>390</v>
      </c>
      <c r="M790" s="8" t="n">
        <v>39</v>
      </c>
      <c r="N790" s="8" t="n">
        <f aca="false">IF(A790="","",G790-J790)</f>
        <v>2</v>
      </c>
      <c r="O790" s="8" t="n">
        <f aca="false">IF(A790="","",J790-M790)</f>
        <v>17</v>
      </c>
      <c r="P790" s="8" t="n">
        <f aca="false">IF(A790="","",G790+J790)</f>
        <v>114</v>
      </c>
      <c r="Q790" s="8" t="str">
        <f aca="false">IF(A790="","",IF(AND(Y790&lt;&gt;"参考",G790&gt;=ルール設定!$B$2),"○",""))</f>
        <v/>
      </c>
      <c r="R790" s="8" t="str">
        <f aca="false">IF(A790="","",IF(AND(Y790&lt;&gt;"参考",G790&gt;=ルール設定!$B$3,N790&gt;=ルール設定!$B$4),"○",""))</f>
        <v/>
      </c>
      <c r="S790" s="8" t="str">
        <f aca="false">IF(A790="","",IF(AND(Y790&lt;&gt;"参考",G790&gt;=ルール設定!$B$5,J790&gt;=ルール設定!$B$6,O790&gt;=ルール設定!$B$7),"○",""))</f>
        <v/>
      </c>
      <c r="T790" s="8" t="n">
        <v>4</v>
      </c>
      <c r="U790" s="8" t="n">
        <v>4</v>
      </c>
      <c r="V790" s="8" t="str">
        <f aca="false">IF(A790="","",IF(AND(ISNUMBER(T790),ISNUMBER(U790)),IF(AND(T790&lt;=3,U790&lt;=3),"○","×"),""))</f>
        <v>×</v>
      </c>
      <c r="W790" s="8"/>
      <c r="X790" s="8"/>
      <c r="Y790" s="4" t="s">
        <v>7597</v>
      </c>
      <c r="Z790" s="8" t="s">
        <v>7959</v>
      </c>
      <c r="AA790" s="8" t="str">
        <v/>
      </c>
      <c r="AB790" s="8" t="str">
        <v/>
      </c>
      <c r="AC790" s="8" t="str">
        <v/>
      </c>
      <c r="AD790" s="8" t="str">
        <v/>
      </c>
      <c r="AE790" s="8" t="str">
        <v/>
      </c>
      <c r="AF790" s="8" t="str">
        <v/>
      </c>
      <c r="AG790" s="8" t="str">
        <v/>
      </c>
      <c r="AH790" s="8" t="str">
        <v/>
      </c>
      <c r="AI790" s="8" t="n">
        <v>19</v>
      </c>
      <c r="AJ790" s="8" t="str">
        <v>～59</v>
      </c>
      <c r="AK790" s="8" t="str">
        <v>0～4</v>
      </c>
      <c r="AL790" s="8" t="str">
        <v>10～19</v>
      </c>
      <c r="AM790" s="8" t="str">
        <v>100～119</v>
      </c>
      <c r="AN790" s="8" t="str">
        <v>15以上</v>
      </c>
      <c r="AO790" s="8" t="str">
        <f aca="false">IF(A790="","",IF(COUNTIFS(全馬データ!$A$2:$A$50000,A790,全馬データ!$B$2:$B$50000,B790,全馬データ!$C$2:$C$50000,C790,全馬データ!$D$2:$D$50000,E790,全馬データ!$K$2:$K$50000,"&lt;&gt;")=0,"",SUMIFS(全馬データ!$K$2:$K$50000,全馬データ!$A$2:$A$50000,A790,全馬データ!$B$2:$B$50000,B790,全馬データ!$C$2:$C$50000,C790,全馬データ!$D$2:$D$50000,E790)))</f>
        <v/>
      </c>
      <c r="AP790" s="8" t="str">
        <f aca="false">IF(A790="","",IF(AO790="","欠損",IF(AO790&lt;=1.1,"1.0～1.1",IF(AO790&lt;1.3,"1.2",IF(AO790&lt;1.5,"1.3～1.4",IF(AO790&lt;2,"1.5～1.9","2.0以上"))))))</f>
        <v>欠損</v>
      </c>
      <c r="AQ790" s="8" t="str">
        <f aca="false">IF(A790="","",IF(ISNUMBER(SEARCH("2歳",Z790)),"2歳戦",IF(ISNUMBER(SEARCH("3歳未勝利",Z790)),"3歳未勝利",IF(ISNUMBER(SEARCH("未勝利",Z790)),"その他未勝利",IF(ISNUMBER(SEARCH("G1",Z790)),"G1",IF(ISNUMBER(SEARCH("G2",Z790)),"G2",IF(ISNUMBER(SEARCH("G3",Z790)),"G3",IF(ISNUMBER(SEARCH("古馬条件",Z790)),"古馬条件戦",IF(ISNUMBER(SEARCH("重賞",Z790)),"重賞","分類不能")))))))))</f>
        <v>分類不能</v>
      </c>
      <c r="AR790" s="8"/>
      <c r="AS790" s="8" t="s">
        <v>7623</v>
      </c>
      <c r="AT790" s="8" t="s">
        <v>7624</v>
      </c>
      <c r="AU790" s="8" t="s">
        <v>7600</v>
      </c>
      <c r="AV790" s="4" t="s">
        <v>7601</v>
      </c>
      <c r="AW790" s="8"/>
      <c r="AX790" s="8"/>
      <c r="AY790" s="8" t="s">
        <v>7602</v>
      </c>
      <c r="AZ790" s="4" t="s">
        <v>7603</v>
      </c>
      <c r="BA790" s="8" t="n">
        <v>2000</v>
      </c>
      <c r="BB790" s="8" t="s">
        <v>7634</v>
      </c>
      <c r="BC790" s="4" t="s">
        <v>7604</v>
      </c>
      <c r="BD790" s="8" t="s">
        <v>7625</v>
      </c>
      <c r="BE790" s="4" t="s">
        <v>7606</v>
      </c>
      <c r="BF790" s="8" t="s">
        <v>7607</v>
      </c>
      <c r="BG790" s="8" t="s">
        <v>7608</v>
      </c>
      <c r="BH790" s="4" t="s">
        <v>7609</v>
      </c>
      <c r="BI790" s="8" t="n">
        <v>16</v>
      </c>
      <c r="BJ790" s="8" t="s">
        <v>7602</v>
      </c>
      <c r="BK790" s="4" t="s">
        <v>7653</v>
      </c>
      <c r="BL790" s="8" t="s">
        <v>7602</v>
      </c>
      <c r="BM790" s="4" t="s">
        <v>7620</v>
      </c>
      <c r="BN790" s="8" t="s">
        <v>7631</v>
      </c>
      <c r="BO790" s="8" t="s">
        <v>7680</v>
      </c>
      <c r="BP790" s="8" t="s">
        <v>7608</v>
      </c>
      <c r="BQ790" s="8" t="str">
        <f aca="false">IF(A790="","",AT790)</f>
        <v>3歳</v>
      </c>
      <c r="BR790" s="8" t="str">
        <f aca="false">IF(A790="","",IF(BA790&lt;=1200,"～1200",IF(BA790&lt;=1500,"1300～1500",IF(BA790=1600,"1600",IF(BA790&lt;=1800,"1700～1800",IF(BA790&lt;=2000,"1900～2000","2100以上"))))))</f>
        <v>1900～2000</v>
      </c>
      <c r="BS790" s="8" t="str">
        <f aca="false">IF(A790="","",IF(AX790="G1","G1",IF(AX790="G2","G2",IF(AX790="G3","G3",IF(AX790="L","L","その他")))))</f>
        <v>その他</v>
      </c>
      <c r="BT790" s="8" t="str">
        <f aca="false">IF(A790="","",IF(BI790="","未結合",IF(D790=BI790,"一致","不一致")))</f>
        <v>一致</v>
      </c>
      <c r="BU790" s="8" t="str">
        <f aca="false">IF(A790="","",IF(BE790="牝馬限定","牝馬限定","その他"))</f>
        <v>その他</v>
      </c>
    </row>
    <row r="791" customFormat="false" ht="15.75" hidden="false" customHeight="false" outlineLevel="0" collapsed="false">
      <c r="A791" s="6" t="n">
        <f aca="false">DATE(2026,8,22)</f>
        <v>46256</v>
      </c>
      <c r="B791" s="4" t="s">
        <v>334</v>
      </c>
      <c r="C791" s="8" t="n">
        <v>5</v>
      </c>
      <c r="D791" s="8" t="n">
        <v>14</v>
      </c>
      <c r="E791" s="8" t="n">
        <v>3</v>
      </c>
      <c r="F791" s="8"/>
      <c r="G791" s="8" t="n">
        <v>27</v>
      </c>
      <c r="H791" s="8" t="n">
        <v>4</v>
      </c>
      <c r="I791" s="8"/>
      <c r="J791" s="8" t="n">
        <v>24</v>
      </c>
      <c r="K791" s="8" t="n">
        <v>13</v>
      </c>
      <c r="L791" s="8"/>
      <c r="M791" s="8" t="n">
        <v>24</v>
      </c>
      <c r="N791" s="8" t="n">
        <f aca="false">IF(A791="","",G791-J791)</f>
        <v>3</v>
      </c>
      <c r="O791" s="8" t="n">
        <f aca="false">IF(A791="","",J791-M791)</f>
        <v>0</v>
      </c>
      <c r="P791" s="8" t="n">
        <f aca="false">IF(A791="","",G791+J791)</f>
        <v>51</v>
      </c>
      <c r="Q791" s="8" t="str">
        <f aca="false">IF(A791="","",IF(AND(Y791&lt;&gt;"参考",G791&gt;=ルール設定!$B$2),"○",""))</f>
        <v/>
      </c>
      <c r="R791" s="8" t="str">
        <f aca="false">IF(A791="","",IF(AND(Y791&lt;&gt;"参考",G791&gt;=ルール設定!$B$3,N791&gt;=ルール設定!$B$4),"○",""))</f>
        <v/>
      </c>
      <c r="S791" s="8" t="str">
        <f aca="false">IF(A791="","",IF(AND(Y791&lt;&gt;"参考",G791&gt;=ルール設定!$B$5,J791&gt;=ルール設定!$B$6,O791&gt;=ルール設定!$B$7),"○",""))</f>
        <v/>
      </c>
      <c r="T791" s="8" t="n">
        <v>4</v>
      </c>
      <c r="U791" s="8" t="n">
        <v>4</v>
      </c>
      <c r="V791" s="8" t="str">
        <f aca="false">IF(A791="","",IF(AND(ISNUMBER(T791),ISNUMBER(U791)),IF(AND(T791&lt;=3,U791&lt;=3),"○","×"),""))</f>
        <v>×</v>
      </c>
      <c r="W791" s="8"/>
      <c r="X791" s="8"/>
      <c r="Y791" s="4" t="s">
        <v>7597</v>
      </c>
      <c r="Z791" s="8" t="s">
        <v>7960</v>
      </c>
      <c r="AA791" s="8" t="str">
        <v/>
      </c>
      <c r="AB791" s="8" t="str">
        <v/>
      </c>
      <c r="AC791" s="8" t="str">
        <v/>
      </c>
      <c r="AD791" s="8" t="str">
        <v/>
      </c>
      <c r="AE791" s="8" t="str">
        <v/>
      </c>
      <c r="AF791" s="8" t="str">
        <v/>
      </c>
      <c r="AG791" s="8" t="str">
        <v/>
      </c>
      <c r="AH791" s="8" t="str">
        <v/>
      </c>
      <c r="AI791" s="8" t="n">
        <v>3</v>
      </c>
      <c r="AJ791" s="8" t="str">
        <v>～59</v>
      </c>
      <c r="AK791" s="8" t="str">
        <v>0～4</v>
      </c>
      <c r="AL791" s="8" t="str">
        <v>0～9</v>
      </c>
      <c r="AM791" s="8" t="str">
        <v>～99</v>
      </c>
      <c r="AN791" s="8" t="str">
        <v>12～14</v>
      </c>
      <c r="AO791" s="8" t="str">
        <f aca="false">IF(A791="","",IF(COUNTIFS(全馬データ!$A$2:$A$50000,A791,全馬データ!$B$2:$B$50000,B791,全馬データ!$C$2:$C$50000,C791,全馬データ!$D$2:$D$50000,E791,全馬データ!$K$2:$K$50000,"&lt;&gt;")=0,"",SUMIFS(全馬データ!$K$2:$K$50000,全馬データ!$A$2:$A$50000,A791,全馬データ!$B$2:$B$50000,B791,全馬データ!$C$2:$C$50000,C791,全馬データ!$D$2:$D$50000,E791)))</f>
        <v/>
      </c>
      <c r="AP791" s="8" t="str">
        <f aca="false">IF(A791="","",IF(AO791="","欠損",IF(AO791&lt;=1.1,"1.0～1.1",IF(AO791&lt;1.3,"1.2",IF(AO791&lt;1.5,"1.3～1.4",IF(AO791&lt;2,"1.5～1.9","2.0以上"))))))</f>
        <v>欠損</v>
      </c>
      <c r="AQ791" s="8" t="str">
        <f aca="false">IF(A791="","",IF(ISNUMBER(SEARCH("2歳",Z791)),"2歳戦",IF(ISNUMBER(SEARCH("3歳未勝利",Z791)),"3歳未勝利",IF(ISNUMBER(SEARCH("未勝利",Z791)),"その他未勝利",IF(ISNUMBER(SEARCH("G1",Z791)),"G1",IF(ISNUMBER(SEARCH("G2",Z791)),"G2",IF(ISNUMBER(SEARCH("G3",Z791)),"G3",IF(ISNUMBER(SEARCH("古馬条件",Z791)),"古馬条件戦",IF(ISNUMBER(SEARCH("重賞",Z791)),"重賞","分類不能")))))))))</f>
        <v>分類不能</v>
      </c>
      <c r="AR791" s="8"/>
      <c r="AS791" s="8" t="s">
        <v>7598</v>
      </c>
      <c r="AT791" s="8" t="s">
        <v>7599</v>
      </c>
      <c r="AU791" s="8" t="s">
        <v>7615</v>
      </c>
      <c r="AV791" s="4" t="s">
        <v>7616</v>
      </c>
      <c r="AW791" s="8"/>
      <c r="AX791" s="8"/>
      <c r="AY791" s="8" t="s">
        <v>7602</v>
      </c>
      <c r="AZ791" s="4" t="s">
        <v>7603</v>
      </c>
      <c r="BA791" s="8" t="n">
        <v>1500</v>
      </c>
      <c r="BB791" s="8" t="s">
        <v>7634</v>
      </c>
      <c r="BC791" s="4" t="s">
        <v>7604</v>
      </c>
      <c r="BD791" s="8" t="s">
        <v>7625</v>
      </c>
      <c r="BE791" s="4" t="s">
        <v>7606</v>
      </c>
      <c r="BF791" s="8" t="s">
        <v>7607</v>
      </c>
      <c r="BG791" s="8" t="s">
        <v>7608</v>
      </c>
      <c r="BH791" s="4" t="s">
        <v>7609</v>
      </c>
      <c r="BI791" s="8" t="n">
        <v>14</v>
      </c>
      <c r="BJ791" s="8" t="s">
        <v>7602</v>
      </c>
      <c r="BK791" s="4" t="s">
        <v>7653</v>
      </c>
      <c r="BL791" s="8" t="s">
        <v>7602</v>
      </c>
      <c r="BM791" s="4" t="s">
        <v>7620</v>
      </c>
      <c r="BN791" s="8" t="s">
        <v>7631</v>
      </c>
      <c r="BO791" s="8" t="s">
        <v>7680</v>
      </c>
      <c r="BP791" s="8" t="s">
        <v>7608</v>
      </c>
      <c r="BQ791" s="8" t="str">
        <f aca="false">IF(A791="","",AT791)</f>
        <v>2歳</v>
      </c>
      <c r="BR791" s="8" t="str">
        <f aca="false">IF(A791="","",IF(BA791&lt;=1200,"～1200",IF(BA791&lt;=1500,"1300～1500",IF(BA791=1600,"1600",IF(BA791&lt;=1800,"1700～1800",IF(BA791&lt;=2000,"1900～2000","2100以上"))))))</f>
        <v>1300～1500</v>
      </c>
      <c r="BS791" s="8" t="str">
        <f aca="false">IF(A791="","",IF(AX791="G1","G1",IF(AX791="G2","G2",IF(AX791="G3","G3",IF(AX791="L","L","その他")))))</f>
        <v>その他</v>
      </c>
      <c r="BT791" s="8" t="str">
        <f aca="false">IF(A791="","",IF(BI791="","未結合",IF(D791=BI791,"一致","不一致")))</f>
        <v>一致</v>
      </c>
      <c r="BU791" s="8" t="str">
        <f aca="false">IF(A791="","",IF(BE791="牝馬限定","牝馬限定","その他"))</f>
        <v>その他</v>
      </c>
    </row>
    <row r="792" customFormat="false" ht="15.75" hidden="false" customHeight="false" outlineLevel="0" collapsed="false">
      <c r="A792" s="6" t="n">
        <f aca="false">DATE(2026,8,22)</f>
        <v>46256</v>
      </c>
      <c r="B792" s="4" t="s">
        <v>334</v>
      </c>
      <c r="C792" s="8" t="n">
        <v>6</v>
      </c>
      <c r="D792" s="8" t="n">
        <v>14</v>
      </c>
      <c r="E792" s="8" t="n">
        <v>9</v>
      </c>
      <c r="F792" s="8"/>
      <c r="G792" s="8" t="n">
        <v>65</v>
      </c>
      <c r="H792" s="8" t="n">
        <v>12</v>
      </c>
      <c r="I792" s="4" t="s">
        <v>1756</v>
      </c>
      <c r="J792" s="8" t="n">
        <v>41</v>
      </c>
      <c r="K792" s="8" t="n">
        <v>4</v>
      </c>
      <c r="L792" s="8"/>
      <c r="M792" s="8" t="n">
        <v>39</v>
      </c>
      <c r="N792" s="8" t="n">
        <f aca="false">IF(A792="","",G792-J792)</f>
        <v>24</v>
      </c>
      <c r="O792" s="8" t="n">
        <f aca="false">IF(A792="","",J792-M792)</f>
        <v>2</v>
      </c>
      <c r="P792" s="8" t="n">
        <f aca="false">IF(A792="","",G792+J792)</f>
        <v>106</v>
      </c>
      <c r="Q792" s="8" t="str">
        <f aca="false">IF(A792="","",IF(AND(Y792&lt;&gt;"参考",G792&gt;=ルール設定!$B$2),"○",""))</f>
        <v/>
      </c>
      <c r="R792" s="8" t="str">
        <f aca="false">IF(A792="","",IF(AND(Y792&lt;&gt;"参考",G792&gt;=ルール設定!$B$3,N792&gt;=ルール設定!$B$4),"○",""))</f>
        <v/>
      </c>
      <c r="S792" s="8" t="str">
        <f aca="false">IF(A792="","",IF(AND(Y792&lt;&gt;"参考",G792&gt;=ルール設定!$B$5,J792&gt;=ルール設定!$B$6,O792&gt;=ルール設定!$B$7),"○",""))</f>
        <v/>
      </c>
      <c r="T792" s="8" t="n">
        <v>4</v>
      </c>
      <c r="U792" s="8" t="n">
        <v>2</v>
      </c>
      <c r="V792" s="8" t="str">
        <f aca="false">IF(A792="","",IF(AND(ISNUMBER(T792),ISNUMBER(U792)),IF(AND(T792&lt;=3,U792&lt;=3),"○","×"),""))</f>
        <v>×</v>
      </c>
      <c r="W792" s="8"/>
      <c r="X792" s="8"/>
      <c r="Y792" s="4" t="s">
        <v>7597</v>
      </c>
      <c r="Z792" s="8" t="s">
        <v>7961</v>
      </c>
      <c r="AA792" s="8" t="str">
        <v/>
      </c>
      <c r="AB792" s="8" t="str">
        <v/>
      </c>
      <c r="AC792" s="8" t="str">
        <v/>
      </c>
      <c r="AD792" s="8" t="str">
        <v/>
      </c>
      <c r="AE792" s="8" t="str">
        <v/>
      </c>
      <c r="AF792" s="8" t="str">
        <v/>
      </c>
      <c r="AG792" s="8" t="str">
        <v/>
      </c>
      <c r="AH792" s="8" t="str">
        <v/>
      </c>
      <c r="AI792" s="8" t="n">
        <v>26</v>
      </c>
      <c r="AJ792" s="8" t="str">
        <v>60～69</v>
      </c>
      <c r="AK792" s="8" t="str">
        <v>20～29</v>
      </c>
      <c r="AL792" s="8" t="str">
        <v>20～29</v>
      </c>
      <c r="AM792" s="8" t="str">
        <v>100～119</v>
      </c>
      <c r="AN792" s="8" t="str">
        <v>12～14</v>
      </c>
      <c r="AO792" s="8" t="str">
        <f aca="false">IF(A792="","",IF(COUNTIFS(全馬データ!$A$2:$A$50000,A792,全馬データ!$B$2:$B$50000,B792,全馬データ!$C$2:$C$50000,C792,全馬データ!$D$2:$D$50000,E792,全馬データ!$K$2:$K$50000,"&lt;&gt;")=0,"",SUMIFS(全馬データ!$K$2:$K$50000,全馬データ!$A$2:$A$50000,A792,全馬データ!$B$2:$B$50000,B792,全馬データ!$C$2:$C$50000,C792,全馬データ!$D$2:$D$50000,E792)))</f>
        <v/>
      </c>
      <c r="AP792" s="8" t="str">
        <f aca="false">IF(A792="","",IF(AO792="","欠損",IF(AO792&lt;=1.1,"1.0～1.1",IF(AO792&lt;1.3,"1.2",IF(AO792&lt;1.5,"1.3～1.4",IF(AO792&lt;2,"1.5～1.9","2.0以上"))))))</f>
        <v>欠損</v>
      </c>
      <c r="AQ792" s="8" t="str">
        <f aca="false">IF(A792="","",IF(ISNUMBER(SEARCH("2歳",Z792)),"2歳戦",IF(ISNUMBER(SEARCH("3歳未勝利",Z792)),"3歳未勝利",IF(ISNUMBER(SEARCH("未勝利",Z792)),"その他未勝利",IF(ISNUMBER(SEARCH("G1",Z792)),"G1",IF(ISNUMBER(SEARCH("G2",Z792)),"G2",IF(ISNUMBER(SEARCH("G3",Z792)),"G3",IF(ISNUMBER(SEARCH("古馬条件",Z792)),"古馬条件戦",IF(ISNUMBER(SEARCH("重賞",Z792)),"重賞","分類不能")))))))))</f>
        <v>分類不能</v>
      </c>
      <c r="AR792" s="8"/>
      <c r="AS792" s="8" t="s">
        <v>7623</v>
      </c>
      <c r="AT792" s="8" t="s">
        <v>7624</v>
      </c>
      <c r="AU792" s="8" t="s">
        <v>7600</v>
      </c>
      <c r="AV792" s="4" t="s">
        <v>7601</v>
      </c>
      <c r="AW792" s="8"/>
      <c r="AX792" s="8"/>
      <c r="AY792" s="8" t="s">
        <v>7602</v>
      </c>
      <c r="AZ792" s="4" t="s">
        <v>7603</v>
      </c>
      <c r="BA792" s="8" t="n">
        <v>2600</v>
      </c>
      <c r="BB792" s="8" t="s">
        <v>7634</v>
      </c>
      <c r="BC792" s="4" t="s">
        <v>7604</v>
      </c>
      <c r="BD792" s="8" t="s">
        <v>7605</v>
      </c>
      <c r="BE792" s="4" t="s">
        <v>7606</v>
      </c>
      <c r="BF792" s="8" t="s">
        <v>7607</v>
      </c>
      <c r="BG792" s="8" t="s">
        <v>7608</v>
      </c>
      <c r="BH792" s="4" t="s">
        <v>7609</v>
      </c>
      <c r="BI792" s="8" t="n">
        <v>14</v>
      </c>
      <c r="BJ792" s="8" t="s">
        <v>7602</v>
      </c>
      <c r="BK792" s="4" t="s">
        <v>7653</v>
      </c>
      <c r="BL792" s="8" t="s">
        <v>7602</v>
      </c>
      <c r="BM792" s="4" t="s">
        <v>7620</v>
      </c>
      <c r="BN792" s="8" t="s">
        <v>7631</v>
      </c>
      <c r="BO792" s="8" t="s">
        <v>7680</v>
      </c>
      <c r="BP792" s="8" t="s">
        <v>7608</v>
      </c>
      <c r="BQ792" s="8" t="str">
        <f aca="false">IF(A792="","",AT792)</f>
        <v>3歳</v>
      </c>
      <c r="BR792" s="8" t="str">
        <f aca="false">IF(A792="","",IF(BA792&lt;=1200,"～1200",IF(BA792&lt;=1500,"1300～1500",IF(BA792=1600,"1600",IF(BA792&lt;=1800,"1700～1800",IF(BA792&lt;=2000,"1900～2000","2100以上"))))))</f>
        <v>2100以上</v>
      </c>
      <c r="BS792" s="8" t="str">
        <f aca="false">IF(A792="","",IF(AX792="G1","G1",IF(AX792="G2","G2",IF(AX792="G3","G3",IF(AX792="L","L","その他")))))</f>
        <v>その他</v>
      </c>
      <c r="BT792" s="8" t="str">
        <f aca="false">IF(A792="","",IF(BI792="","未結合",IF(D792=BI792,"一致","不一致")))</f>
        <v>一致</v>
      </c>
      <c r="BU792" s="8" t="str">
        <f aca="false">IF(A792="","",IF(BE792="牝馬限定","牝馬限定","その他"))</f>
        <v>その他</v>
      </c>
    </row>
    <row r="793" customFormat="false" ht="15.75" hidden="false" customHeight="false" outlineLevel="0" collapsed="false">
      <c r="A793" s="6" t="n">
        <f aca="false">DATE(2026,8,22)</f>
        <v>46256</v>
      </c>
      <c r="B793" s="4" t="s">
        <v>334</v>
      </c>
      <c r="C793" s="8" t="n">
        <v>7</v>
      </c>
      <c r="D793" s="8" t="n">
        <v>12</v>
      </c>
      <c r="E793" s="8" t="n">
        <v>4</v>
      </c>
      <c r="F793" s="8"/>
      <c r="G793" s="8" t="n">
        <v>65</v>
      </c>
      <c r="H793" s="8" t="n">
        <v>1</v>
      </c>
      <c r="I793" s="8"/>
      <c r="J793" s="8" t="n">
        <v>56</v>
      </c>
      <c r="K793" s="8" t="n">
        <v>7</v>
      </c>
      <c r="L793" s="4" t="s">
        <v>4445</v>
      </c>
      <c r="M793" s="8" t="n">
        <v>37</v>
      </c>
      <c r="N793" s="8" t="n">
        <f aca="false">IF(A793="","",G793-J793)</f>
        <v>9</v>
      </c>
      <c r="O793" s="8" t="n">
        <f aca="false">IF(A793="","",J793-M793)</f>
        <v>19</v>
      </c>
      <c r="P793" s="8" t="n">
        <f aca="false">IF(A793="","",G793+J793)</f>
        <v>121</v>
      </c>
      <c r="Q793" s="8" t="str">
        <f aca="false">IF(A793="","",IF(AND(Y793&lt;&gt;"参考",G793&gt;=ルール設定!$B$2),"○",""))</f>
        <v/>
      </c>
      <c r="R793" s="8" t="str">
        <f aca="false">IF(A793="","",IF(AND(Y793&lt;&gt;"参考",G793&gt;=ルール設定!$B$3,N793&gt;=ルール設定!$B$4),"○",""))</f>
        <v/>
      </c>
      <c r="S793" s="8" t="str">
        <f aca="false">IF(A793="","",IF(AND(Y793&lt;&gt;"参考",G793&gt;=ルール設定!$B$5,J793&gt;=ルール設定!$B$6,O793&gt;=ルール設定!$B$7),"○",""))</f>
        <v/>
      </c>
      <c r="T793" s="8" t="n">
        <v>4</v>
      </c>
      <c r="U793" s="8" t="n">
        <v>4</v>
      </c>
      <c r="V793" s="8" t="str">
        <f aca="false">IF(A793="","",IF(AND(ISNUMBER(T793),ISNUMBER(U793)),IF(AND(T793&lt;=3,U793&lt;=3),"○","×"),""))</f>
        <v>×</v>
      </c>
      <c r="W793" s="8"/>
      <c r="X793" s="8"/>
      <c r="Y793" s="4" t="s">
        <v>7597</v>
      </c>
      <c r="Z793" s="8" t="s">
        <v>7962</v>
      </c>
      <c r="AA793" s="8" t="str">
        <v/>
      </c>
      <c r="AB793" s="8" t="str">
        <v/>
      </c>
      <c r="AC793" s="8" t="str">
        <v/>
      </c>
      <c r="AD793" s="8" t="str">
        <v/>
      </c>
      <c r="AE793" s="8" t="str">
        <v/>
      </c>
      <c r="AF793" s="8" t="str">
        <v/>
      </c>
      <c r="AG793" s="8" t="str">
        <v/>
      </c>
      <c r="AH793" s="8" t="str">
        <v/>
      </c>
      <c r="AI793" s="8" t="n">
        <v>28</v>
      </c>
      <c r="AJ793" s="8" t="str">
        <v>60～69</v>
      </c>
      <c r="AK793" s="8" t="str">
        <v>5～9</v>
      </c>
      <c r="AL793" s="8" t="str">
        <v>20～29</v>
      </c>
      <c r="AM793" s="8" t="str">
        <v>120～139</v>
      </c>
      <c r="AN793" s="8" t="str">
        <v>12～14</v>
      </c>
      <c r="AO793" s="8" t="str">
        <f aca="false">IF(A793="","",IF(COUNTIFS(全馬データ!$A$2:$A$50000,A793,全馬データ!$B$2:$B$50000,B793,全馬データ!$C$2:$C$50000,C793,全馬データ!$D$2:$D$50000,E793,全馬データ!$K$2:$K$50000,"&lt;&gt;")=0,"",SUMIFS(全馬データ!$K$2:$K$50000,全馬データ!$A$2:$A$50000,A793,全馬データ!$B$2:$B$50000,B793,全馬データ!$C$2:$C$50000,C793,全馬データ!$D$2:$D$50000,E793)))</f>
        <v/>
      </c>
      <c r="AP793" s="8" t="str">
        <f aca="false">IF(A793="","",IF(AO793="","欠損",IF(AO793&lt;=1.1,"1.0～1.1",IF(AO793&lt;1.3,"1.2",IF(AO793&lt;1.5,"1.3～1.4",IF(AO793&lt;2,"1.5～1.9","2.0以上"))))))</f>
        <v>欠損</v>
      </c>
      <c r="AQ793" s="8" t="str">
        <f aca="false">IF(A793="","",IF(ISNUMBER(SEARCH("2歳",Z793)),"2歳戦",IF(ISNUMBER(SEARCH("3歳未勝利",Z793)),"3歳未勝利",IF(ISNUMBER(SEARCH("未勝利",Z793)),"その他未勝利",IF(ISNUMBER(SEARCH("G1",Z793)),"G1",IF(ISNUMBER(SEARCH("G2",Z793)),"G2",IF(ISNUMBER(SEARCH("G3",Z793)),"G3",IF(ISNUMBER(SEARCH("古馬条件",Z793)),"古馬条件戦",IF(ISNUMBER(SEARCH("重賞",Z793)),"重賞","分類不能")))))))))</f>
        <v>分類不能</v>
      </c>
      <c r="AR793" s="8"/>
      <c r="AS793" s="8" t="s">
        <v>7626</v>
      </c>
      <c r="AT793" s="8" t="s">
        <v>7627</v>
      </c>
      <c r="AU793" s="8" t="s">
        <v>7628</v>
      </c>
      <c r="AV793" s="8" t="s">
        <v>7629</v>
      </c>
      <c r="AW793" s="8"/>
      <c r="AX793" s="8"/>
      <c r="AY793" s="8" t="s">
        <v>7610</v>
      </c>
      <c r="AZ793" s="4" t="s">
        <v>7617</v>
      </c>
      <c r="BA793" s="8" t="n">
        <v>1000</v>
      </c>
      <c r="BB793" s="8" t="s">
        <v>7634</v>
      </c>
      <c r="BC793" s="4" t="s">
        <v>7604</v>
      </c>
      <c r="BD793" s="8" t="s">
        <v>7625</v>
      </c>
      <c r="BE793" s="4" t="s">
        <v>7606</v>
      </c>
      <c r="BF793" s="8" t="s">
        <v>7607</v>
      </c>
      <c r="BG793" s="8" t="s">
        <v>7631</v>
      </c>
      <c r="BH793" s="4" t="s">
        <v>7632</v>
      </c>
      <c r="BI793" s="8" t="n">
        <v>12</v>
      </c>
      <c r="BJ793" s="8" t="s">
        <v>7602</v>
      </c>
      <c r="BK793" s="4" t="s">
        <v>7653</v>
      </c>
      <c r="BL793" s="8" t="s">
        <v>7602</v>
      </c>
      <c r="BM793" s="4" t="s">
        <v>7620</v>
      </c>
      <c r="BN793" s="8"/>
      <c r="BO793" s="8"/>
      <c r="BP793" s="8" t="s">
        <v>7608</v>
      </c>
      <c r="BQ793" s="8" t="str">
        <f aca="false">IF(A793="","",AT793)</f>
        <v>3歳以上</v>
      </c>
      <c r="BR793" s="8" t="str">
        <f aca="false">IF(A793="","",IF(BA793&lt;=1200,"～1200",IF(BA793&lt;=1500,"1300～1500",IF(BA793=1600,"1600",IF(BA793&lt;=1800,"1700～1800",IF(BA793&lt;=2000,"1900～2000","2100以上"))))))</f>
        <v>～1200</v>
      </c>
      <c r="BS793" s="8" t="str">
        <f aca="false">IF(A793="","",IF(AX793="G1","G1",IF(AX793="G2","G2",IF(AX793="G3","G3",IF(AX793="L","L","その他")))))</f>
        <v>その他</v>
      </c>
      <c r="BT793" s="8" t="str">
        <f aca="false">IF(A793="","",IF(BI793="","未結合",IF(D793=BI793,"一致","不一致")))</f>
        <v>一致</v>
      </c>
      <c r="BU793" s="8" t="str">
        <f aca="false">IF(A793="","",IF(BE793="牝馬限定","牝馬限定","その他"))</f>
        <v>その他</v>
      </c>
    </row>
    <row r="794" customFormat="false" ht="15.75" hidden="false" customHeight="false" outlineLevel="0" collapsed="false">
      <c r="A794" s="6" t="n">
        <f aca="false">DATE(2026,8,22)</f>
        <v>46256</v>
      </c>
      <c r="B794" s="4" t="s">
        <v>334</v>
      </c>
      <c r="C794" s="8" t="n">
        <v>8</v>
      </c>
      <c r="D794" s="8" t="n">
        <v>10</v>
      </c>
      <c r="E794" s="8" t="n">
        <v>7</v>
      </c>
      <c r="F794" s="4" t="s">
        <v>3062</v>
      </c>
      <c r="G794" s="8" t="n">
        <v>60</v>
      </c>
      <c r="H794" s="8" t="n">
        <v>1</v>
      </c>
      <c r="I794" s="4" t="s">
        <v>875</v>
      </c>
      <c r="J794" s="8" t="n">
        <v>47</v>
      </c>
      <c r="K794" s="8" t="n">
        <v>3</v>
      </c>
      <c r="L794" s="8"/>
      <c r="M794" s="8" t="n">
        <v>41</v>
      </c>
      <c r="N794" s="8" t="n">
        <f aca="false">IF(A794="","",G794-J794)</f>
        <v>13</v>
      </c>
      <c r="O794" s="8" t="n">
        <f aca="false">IF(A794="","",J794-M794)</f>
        <v>6</v>
      </c>
      <c r="P794" s="8" t="n">
        <f aca="false">IF(A794="","",G794+J794)</f>
        <v>107</v>
      </c>
      <c r="Q794" s="8" t="str">
        <f aca="false">IF(A794="","",IF(AND(Y794&lt;&gt;"参考",G794&gt;=ルール設定!$B$2),"○",""))</f>
        <v/>
      </c>
      <c r="R794" s="8" t="str">
        <f aca="false">IF(A794="","",IF(AND(Y794&lt;&gt;"参考",G794&gt;=ルール設定!$B$3,N794&gt;=ルール設定!$B$4),"○",""))</f>
        <v/>
      </c>
      <c r="S794" s="8" t="str">
        <f aca="false">IF(A794="","",IF(AND(Y794&lt;&gt;"参考",G794&gt;=ルール設定!$B$5,J794&gt;=ルール設定!$B$6,O794&gt;=ルール設定!$B$7),"○",""))</f>
        <v/>
      </c>
      <c r="T794" s="8" t="n">
        <v>3</v>
      </c>
      <c r="U794" s="8" t="n">
        <v>1</v>
      </c>
      <c r="V794" s="8" t="str">
        <f aca="false">IF(A794="","",IF(AND(ISNUMBER(T794),ISNUMBER(U794)),IF(AND(T794&lt;=3,U794&lt;=3),"○","×"),""))</f>
        <v>○</v>
      </c>
      <c r="W794" s="8" t="n">
        <v>130</v>
      </c>
      <c r="X794" s="8" t="n">
        <v>240</v>
      </c>
      <c r="Y794" s="4" t="s">
        <v>7597</v>
      </c>
      <c r="Z794" s="8" t="s">
        <v>7963</v>
      </c>
      <c r="AA794" s="8" t="str">
        <v/>
      </c>
      <c r="AB794" s="8" t="str">
        <v/>
      </c>
      <c r="AC794" s="8" t="str">
        <v/>
      </c>
      <c r="AD794" s="8" t="str">
        <v/>
      </c>
      <c r="AE794" s="8" t="str">
        <v/>
      </c>
      <c r="AF794" s="8" t="str">
        <v/>
      </c>
      <c r="AG794" s="8" t="str">
        <v/>
      </c>
      <c r="AH794" s="8" t="str">
        <v/>
      </c>
      <c r="AI794" s="8" t="n">
        <v>19</v>
      </c>
      <c r="AJ794" s="8" t="str">
        <v>60～69</v>
      </c>
      <c r="AK794" s="8" t="str">
        <v>10～19</v>
      </c>
      <c r="AL794" s="8" t="str">
        <v>10～19</v>
      </c>
      <c r="AM794" s="8" t="str">
        <v>100～119</v>
      </c>
      <c r="AN794" s="8" t="str">
        <v>8～11</v>
      </c>
      <c r="AO794" s="8" t="str">
        <f aca="false">IF(A794="","",IF(COUNTIFS(全馬データ!$A$2:$A$50000,A794,全馬データ!$B$2:$B$50000,B794,全馬データ!$C$2:$C$50000,C794,全馬データ!$D$2:$D$50000,E794,全馬データ!$K$2:$K$50000,"&lt;&gt;")=0,"",SUMIFS(全馬データ!$K$2:$K$50000,全馬データ!$A$2:$A$50000,A794,全馬データ!$B$2:$B$50000,B794,全馬データ!$C$2:$C$50000,C794,全馬データ!$D$2:$D$50000,E794)))</f>
        <v/>
      </c>
      <c r="AP794" s="8" t="str">
        <f aca="false">IF(A794="","",IF(AO794="","欠損",IF(AO794&lt;=1.1,"1.0～1.1",IF(AO794&lt;1.3,"1.2",IF(AO794&lt;1.5,"1.3～1.4",IF(AO794&lt;2,"1.5～1.9","2.0以上"))))))</f>
        <v>欠損</v>
      </c>
      <c r="AQ794" s="8" t="str">
        <f aca="false">IF(A794="","",IF(ISNUMBER(SEARCH("2歳",Z794)),"2歳戦",IF(ISNUMBER(SEARCH("3歳未勝利",Z794)),"3歳未勝利",IF(ISNUMBER(SEARCH("未勝利",Z794)),"その他未勝利",IF(ISNUMBER(SEARCH("G1",Z794)),"G1",IF(ISNUMBER(SEARCH("G2",Z794)),"G2",IF(ISNUMBER(SEARCH("G3",Z794)),"G3",IF(ISNUMBER(SEARCH("古馬条件",Z794)),"古馬条件戦",IF(ISNUMBER(SEARCH("重賞",Z794)),"重賞","分類不能")))))))))</f>
        <v>分類不能</v>
      </c>
      <c r="AR794" s="8"/>
      <c r="AS794" s="8" t="s">
        <v>7626</v>
      </c>
      <c r="AT794" s="8" t="s">
        <v>7627</v>
      </c>
      <c r="AU794" s="8" t="s">
        <v>7628</v>
      </c>
      <c r="AV794" s="8" t="s">
        <v>7629</v>
      </c>
      <c r="AW794" s="8"/>
      <c r="AX794" s="8"/>
      <c r="AY794" s="8" t="s">
        <v>7610</v>
      </c>
      <c r="AZ794" s="4" t="s">
        <v>7617</v>
      </c>
      <c r="BA794" s="8" t="n">
        <v>1700</v>
      </c>
      <c r="BB794" s="8" t="s">
        <v>7634</v>
      </c>
      <c r="BC794" s="4" t="s">
        <v>7604</v>
      </c>
      <c r="BD794" s="8" t="s">
        <v>7621</v>
      </c>
      <c r="BE794" s="4" t="s">
        <v>7622</v>
      </c>
      <c r="BF794" s="8" t="s">
        <v>7602</v>
      </c>
      <c r="BG794" s="8" t="s">
        <v>7631</v>
      </c>
      <c r="BH794" s="4" t="s">
        <v>7632</v>
      </c>
      <c r="BI794" s="8" t="n">
        <v>10</v>
      </c>
      <c r="BJ794" s="8" t="s">
        <v>7602</v>
      </c>
      <c r="BK794" s="4" t="s">
        <v>7653</v>
      </c>
      <c r="BL794" s="8" t="s">
        <v>7602</v>
      </c>
      <c r="BM794" s="4" t="s">
        <v>7620</v>
      </c>
      <c r="BN794" s="8"/>
      <c r="BO794" s="8"/>
      <c r="BP794" s="8" t="s">
        <v>7608</v>
      </c>
      <c r="BQ794" s="8" t="str">
        <f aca="false">IF(A794="","",AT794)</f>
        <v>3歳以上</v>
      </c>
      <c r="BR794" s="8" t="str">
        <f aca="false">IF(A794="","",IF(BA794&lt;=1200,"～1200",IF(BA794&lt;=1500,"1300～1500",IF(BA794=1600,"1600",IF(BA794&lt;=1800,"1700～1800",IF(BA794&lt;=2000,"1900～2000","2100以上"))))))</f>
        <v>1700～1800</v>
      </c>
      <c r="BS794" s="8" t="str">
        <f aca="false">IF(A794="","",IF(AX794="G1","G1",IF(AX794="G2","G2",IF(AX794="G3","G3",IF(AX794="L","L","その他")))))</f>
        <v>その他</v>
      </c>
      <c r="BT794" s="8" t="str">
        <f aca="false">IF(A794="","",IF(BI794="","未結合",IF(D794=BI794,"一致","不一致")))</f>
        <v>一致</v>
      </c>
      <c r="BU794" s="8" t="str">
        <f aca="false">IF(A794="","",IF(BE794="牝馬限定","牝馬限定","その他"))</f>
        <v>牝馬限定</v>
      </c>
    </row>
    <row r="795" customFormat="false" ht="15.75" hidden="false" customHeight="false" outlineLevel="0" collapsed="false">
      <c r="A795" s="6" t="n">
        <f aca="false">DATE(2026,8,22)</f>
        <v>46256</v>
      </c>
      <c r="B795" s="4" t="s">
        <v>334</v>
      </c>
      <c r="C795" s="8" t="n">
        <v>9</v>
      </c>
      <c r="D795" s="8" t="n">
        <v>14</v>
      </c>
      <c r="E795" s="8" t="n">
        <v>7</v>
      </c>
      <c r="F795" s="4" t="s">
        <v>2215</v>
      </c>
      <c r="G795" s="8" t="n">
        <v>75</v>
      </c>
      <c r="H795" s="8" t="n">
        <v>6</v>
      </c>
      <c r="I795" s="4" t="s">
        <v>3836</v>
      </c>
      <c r="J795" s="8" t="n">
        <v>71</v>
      </c>
      <c r="K795" s="8" t="n">
        <v>13</v>
      </c>
      <c r="L795" s="8"/>
      <c r="M795" s="8" t="n">
        <v>34</v>
      </c>
      <c r="N795" s="8" t="n">
        <f aca="false">IF(A795="","",G795-J795)</f>
        <v>4</v>
      </c>
      <c r="O795" s="8" t="n">
        <f aca="false">IF(A795="","",J795-M795)</f>
        <v>37</v>
      </c>
      <c r="P795" s="8" t="n">
        <f aca="false">IF(A795="","",G795+J795)</f>
        <v>146</v>
      </c>
      <c r="Q795" s="8" t="str">
        <f aca="false">IF(A795="","",IF(AND(Y795&lt;&gt;"参考",G795&gt;=ルール設定!$B$2),"○",""))</f>
        <v/>
      </c>
      <c r="R795" s="8" t="str">
        <f aca="false">IF(A795="","",IF(AND(Y795&lt;&gt;"参考",G795&gt;=ルール設定!$B$3,N795&gt;=ルール設定!$B$4),"○",""))</f>
        <v/>
      </c>
      <c r="S795" s="8" t="str">
        <f aca="false">IF(A795="","",IF(AND(Y795&lt;&gt;"参考",G795&gt;=ルール設定!$B$5,J795&gt;=ルール設定!$B$6,O795&gt;=ルール設定!$B$7),"○",""))</f>
        <v>○</v>
      </c>
      <c r="T795" s="8" t="n">
        <v>2</v>
      </c>
      <c r="U795" s="8" t="n">
        <v>1</v>
      </c>
      <c r="V795" s="8" t="str">
        <f aca="false">IF(A795="","",IF(AND(ISNUMBER(T795),ISNUMBER(U795)),IF(AND(T795&lt;=3,U795&lt;=3),"○","×"),""))</f>
        <v>○</v>
      </c>
      <c r="W795" s="8" t="n">
        <v>120</v>
      </c>
      <c r="X795" s="8" t="n">
        <v>290</v>
      </c>
      <c r="Y795" s="4" t="s">
        <v>7597</v>
      </c>
      <c r="Z795" s="8" t="s">
        <v>7964</v>
      </c>
      <c r="AA795" s="8" t="str">
        <v/>
      </c>
      <c r="AB795" s="8" t="str">
        <v/>
      </c>
      <c r="AC795" s="8" t="str">
        <v/>
      </c>
      <c r="AD795" s="8" t="str">
        <v/>
      </c>
      <c r="AE795" s="8" t="str">
        <v/>
      </c>
      <c r="AF795" s="8" t="str">
        <v/>
      </c>
      <c r="AG795" s="8" t="str">
        <v/>
      </c>
      <c r="AH795" s="8" t="str">
        <v/>
      </c>
      <c r="AI795" s="8" t="n">
        <v>41</v>
      </c>
      <c r="AJ795" s="8" t="str">
        <v>75～79</v>
      </c>
      <c r="AK795" s="8" t="str">
        <v>0～4</v>
      </c>
      <c r="AL795" s="8" t="str">
        <v>40以上</v>
      </c>
      <c r="AM795" s="8" t="str">
        <v>140～159</v>
      </c>
      <c r="AN795" s="8" t="str">
        <v>12～14</v>
      </c>
      <c r="AO795" s="8" t="str">
        <f aca="false">IF(A795="","",IF(COUNTIFS(全馬データ!$A$2:$A$50000,A795,全馬データ!$B$2:$B$50000,B795,全馬データ!$C$2:$C$50000,C795,全馬データ!$D$2:$D$50000,E795,全馬データ!$K$2:$K$50000,"&lt;&gt;")=0,"",SUMIFS(全馬データ!$K$2:$K$50000,全馬データ!$A$2:$A$50000,A795,全馬データ!$B$2:$B$50000,B795,全馬データ!$C$2:$C$50000,C795,全馬データ!$D$2:$D$50000,E795)))</f>
        <v/>
      </c>
      <c r="AP795" s="8" t="str">
        <f aca="false">IF(A795="","",IF(AO795="","欠損",IF(AO795&lt;=1.1,"1.0～1.1",IF(AO795&lt;1.3,"1.2",IF(AO795&lt;1.5,"1.3～1.4",IF(AO795&lt;2,"1.5～1.9","2.0以上"))))))</f>
        <v>欠損</v>
      </c>
      <c r="AQ795" s="8" t="str">
        <f aca="false">IF(A795="","",IF(ISNUMBER(SEARCH("2歳",Z795)),"2歳戦",IF(ISNUMBER(SEARCH("3歳未勝利",Z795)),"3歳未勝利",IF(ISNUMBER(SEARCH("未勝利",Z795)),"その他未勝利",IF(ISNUMBER(SEARCH("G1",Z795)),"G1",IF(ISNUMBER(SEARCH("G2",Z795)),"G2",IF(ISNUMBER(SEARCH("G3",Z795)),"G3",IF(ISNUMBER(SEARCH("古馬条件",Z795)),"古馬条件戦",IF(ISNUMBER(SEARCH("重賞",Z795)),"重賞","分類不能")))))))))</f>
        <v>分類不能</v>
      </c>
      <c r="AR795" s="4" t="s">
        <v>7965</v>
      </c>
      <c r="AS795" s="8" t="s">
        <v>7598</v>
      </c>
      <c r="AT795" s="8" t="s">
        <v>7599</v>
      </c>
      <c r="AU795" s="8" t="s">
        <v>7643</v>
      </c>
      <c r="AV795" s="4" t="s">
        <v>7644</v>
      </c>
      <c r="AW795" s="8" t="s">
        <v>7636</v>
      </c>
      <c r="AX795" s="4" t="s">
        <v>7637</v>
      </c>
      <c r="AY795" s="8" t="s">
        <v>7602</v>
      </c>
      <c r="AZ795" s="4" t="s">
        <v>7603</v>
      </c>
      <c r="BA795" s="8" t="n">
        <v>1500</v>
      </c>
      <c r="BB795" s="8" t="s">
        <v>7634</v>
      </c>
      <c r="BC795" s="4" t="s">
        <v>7604</v>
      </c>
      <c r="BD795" s="8" t="s">
        <v>7666</v>
      </c>
      <c r="BE795" s="4" t="s">
        <v>7606</v>
      </c>
      <c r="BF795" s="8" t="s">
        <v>7607</v>
      </c>
      <c r="BG795" s="8" t="s">
        <v>7610</v>
      </c>
      <c r="BH795" s="4" t="s">
        <v>7646</v>
      </c>
      <c r="BI795" s="8" t="n">
        <v>14</v>
      </c>
      <c r="BJ795" s="8" t="s">
        <v>7602</v>
      </c>
      <c r="BK795" s="4" t="s">
        <v>7653</v>
      </c>
      <c r="BL795" s="8" t="s">
        <v>7602</v>
      </c>
      <c r="BM795" s="4" t="s">
        <v>7620</v>
      </c>
      <c r="BN795" s="8" t="s">
        <v>7631</v>
      </c>
      <c r="BO795" s="8" t="s">
        <v>7680</v>
      </c>
      <c r="BP795" s="8" t="s">
        <v>7608</v>
      </c>
      <c r="BQ795" s="8" t="str">
        <f aca="false">IF(A795="","",AT795)</f>
        <v>2歳</v>
      </c>
      <c r="BR795" s="8" t="str">
        <f aca="false">IF(A795="","",IF(BA795&lt;=1200,"～1200",IF(BA795&lt;=1500,"1300～1500",IF(BA795=1600,"1600",IF(BA795&lt;=1800,"1700～1800",IF(BA795&lt;=2000,"1900～2000","2100以上"))))))</f>
        <v>1300～1500</v>
      </c>
      <c r="BS795" s="8" t="str">
        <f aca="false">IF(A795="","",IF(AX795="G1","G1",IF(AX795="G2","G2",IF(AX795="G3","G3",IF(AX795="L","L","その他")))))</f>
        <v>その他</v>
      </c>
      <c r="BT795" s="8" t="str">
        <f aca="false">IF(A795="","",IF(BI795="","未結合",IF(D795=BI795,"一致","不一致")))</f>
        <v>一致</v>
      </c>
      <c r="BU795" s="8" t="str">
        <f aca="false">IF(A795="","",IF(BE795="牝馬限定","牝馬限定","その他"))</f>
        <v>その他</v>
      </c>
    </row>
    <row r="796" customFormat="false" ht="15.75" hidden="false" customHeight="false" outlineLevel="0" collapsed="false">
      <c r="A796" s="6" t="n">
        <f aca="false">DATE(2026,8,22)</f>
        <v>46256</v>
      </c>
      <c r="B796" s="4" t="s">
        <v>334</v>
      </c>
      <c r="C796" s="8" t="n">
        <v>10</v>
      </c>
      <c r="D796" s="8" t="n">
        <v>14</v>
      </c>
      <c r="E796" s="8" t="n">
        <v>3</v>
      </c>
      <c r="F796" s="8"/>
      <c r="G796" s="8" t="n">
        <v>34</v>
      </c>
      <c r="H796" s="8" t="n">
        <v>10</v>
      </c>
      <c r="I796" s="4" t="s">
        <v>2134</v>
      </c>
      <c r="J796" s="8" t="n">
        <v>34</v>
      </c>
      <c r="K796" s="8" t="n">
        <v>13</v>
      </c>
      <c r="L796" s="8"/>
      <c r="M796" s="8" t="n">
        <v>34</v>
      </c>
      <c r="N796" s="8" t="n">
        <f aca="false">IF(A796="","",G796-J796)</f>
        <v>0</v>
      </c>
      <c r="O796" s="8" t="n">
        <f aca="false">IF(A796="","",J796-M796)</f>
        <v>0</v>
      </c>
      <c r="P796" s="8" t="n">
        <f aca="false">IF(A796="","",G796+J796)</f>
        <v>68</v>
      </c>
      <c r="Q796" s="8" t="str">
        <f aca="false">IF(A796="","",IF(AND(Y796&lt;&gt;"参考",G796&gt;=ルール設定!$B$2),"○",""))</f>
        <v/>
      </c>
      <c r="R796" s="8" t="str">
        <f aca="false">IF(A796="","",IF(AND(Y796&lt;&gt;"参考",G796&gt;=ルール設定!$B$3,N796&gt;=ルール設定!$B$4),"○",""))</f>
        <v/>
      </c>
      <c r="S796" s="8" t="str">
        <f aca="false">IF(A796="","",IF(AND(Y796&lt;&gt;"参考",G796&gt;=ルール設定!$B$5,J796&gt;=ルール設定!$B$6,O796&gt;=ルール設定!$B$7),"○",""))</f>
        <v/>
      </c>
      <c r="T796" s="8" t="n">
        <v>4</v>
      </c>
      <c r="U796" s="8" t="n">
        <v>3</v>
      </c>
      <c r="V796" s="8" t="str">
        <f aca="false">IF(A796="","",IF(AND(ISNUMBER(T796),ISNUMBER(U796)),IF(AND(T796&lt;=3,U796&lt;=3),"○","×"),""))</f>
        <v>×</v>
      </c>
      <c r="W796" s="8"/>
      <c r="X796" s="8"/>
      <c r="Y796" s="4" t="s">
        <v>7597</v>
      </c>
      <c r="Z796" s="8" t="s">
        <v>7966</v>
      </c>
      <c r="AA796" s="8" t="str">
        <v/>
      </c>
      <c r="AB796" s="8" t="str">
        <v/>
      </c>
      <c r="AC796" s="8" t="str">
        <v/>
      </c>
      <c r="AD796" s="8" t="str">
        <v/>
      </c>
      <c r="AE796" s="8" t="str">
        <v/>
      </c>
      <c r="AF796" s="8" t="str">
        <v/>
      </c>
      <c r="AG796" s="8" t="str">
        <v/>
      </c>
      <c r="AH796" s="8" t="str">
        <v/>
      </c>
      <c r="AI796" s="8" t="n">
        <v>0</v>
      </c>
      <c r="AJ796" s="8" t="str">
        <v>～59</v>
      </c>
      <c r="AK796" s="8" t="str">
        <v>0～4</v>
      </c>
      <c r="AL796" s="8" t="str">
        <v>0～9</v>
      </c>
      <c r="AM796" s="8" t="str">
        <v>～99</v>
      </c>
      <c r="AN796" s="8" t="str">
        <v>12～14</v>
      </c>
      <c r="AO796" s="8" t="str">
        <f aca="false">IF(A796="","",IF(COUNTIFS(全馬データ!$A$2:$A$50000,A796,全馬データ!$B$2:$B$50000,B796,全馬データ!$C$2:$C$50000,C796,全馬データ!$D$2:$D$50000,E796,全馬データ!$K$2:$K$50000,"&lt;&gt;")=0,"",SUMIFS(全馬データ!$K$2:$K$50000,全馬データ!$A$2:$A$50000,A796,全馬データ!$B$2:$B$50000,B796,全馬データ!$C$2:$C$50000,C796,全馬データ!$D$2:$D$50000,E796)))</f>
        <v/>
      </c>
      <c r="AP796" s="8" t="str">
        <f aca="false">IF(A796="","",IF(AO796="","欠損",IF(AO796&lt;=1.1,"1.0～1.1",IF(AO796&lt;1.3,"1.2",IF(AO796&lt;1.5,"1.3～1.4",IF(AO796&lt;2,"1.5～1.9","2.0以上"))))))</f>
        <v>欠損</v>
      </c>
      <c r="AQ796" s="8" t="str">
        <f aca="false">IF(A796="","",IF(ISNUMBER(SEARCH("2歳",Z796)),"2歳戦",IF(ISNUMBER(SEARCH("3歳未勝利",Z796)),"3歳未勝利",IF(ISNUMBER(SEARCH("未勝利",Z796)),"その他未勝利",IF(ISNUMBER(SEARCH("G1",Z796)),"G1",IF(ISNUMBER(SEARCH("G2",Z796)),"G2",IF(ISNUMBER(SEARCH("G3",Z796)),"G3",IF(ISNUMBER(SEARCH("古馬条件",Z796)),"古馬条件戦",IF(ISNUMBER(SEARCH("重賞",Z796)),"重賞","分類不能")))))))))</f>
        <v>分類不能</v>
      </c>
      <c r="AR796" s="4" t="s">
        <v>7967</v>
      </c>
      <c r="AS796" s="8" t="s">
        <v>7626</v>
      </c>
      <c r="AT796" s="8" t="s">
        <v>7627</v>
      </c>
      <c r="AU796" s="8" t="s">
        <v>7634</v>
      </c>
      <c r="AV796" s="8" t="s">
        <v>7635</v>
      </c>
      <c r="AW796" s="8" t="s">
        <v>7636</v>
      </c>
      <c r="AX796" s="4" t="s">
        <v>7637</v>
      </c>
      <c r="AY796" s="8" t="s">
        <v>7602</v>
      </c>
      <c r="AZ796" s="4" t="s">
        <v>7603</v>
      </c>
      <c r="BA796" s="8" t="n">
        <v>1200</v>
      </c>
      <c r="BB796" s="8" t="s">
        <v>7634</v>
      </c>
      <c r="BC796" s="4" t="s">
        <v>7604</v>
      </c>
      <c r="BD796" s="8" t="s">
        <v>7605</v>
      </c>
      <c r="BE796" s="4" t="s">
        <v>7606</v>
      </c>
      <c r="BF796" s="8" t="s">
        <v>7607</v>
      </c>
      <c r="BG796" s="8" t="s">
        <v>7631</v>
      </c>
      <c r="BH796" s="4" t="s">
        <v>7632</v>
      </c>
      <c r="BI796" s="8" t="n">
        <v>14</v>
      </c>
      <c r="BJ796" s="8" t="s">
        <v>7602</v>
      </c>
      <c r="BK796" s="4" t="s">
        <v>7653</v>
      </c>
      <c r="BL796" s="8" t="s">
        <v>7602</v>
      </c>
      <c r="BM796" s="4" t="s">
        <v>7620</v>
      </c>
      <c r="BN796" s="8" t="s">
        <v>7631</v>
      </c>
      <c r="BO796" s="8" t="s">
        <v>7680</v>
      </c>
      <c r="BP796" s="8" t="s">
        <v>7608</v>
      </c>
      <c r="BQ796" s="8" t="str">
        <f aca="false">IF(A796="","",AT796)</f>
        <v>3歳以上</v>
      </c>
      <c r="BR796" s="8" t="str">
        <f aca="false">IF(A796="","",IF(BA796&lt;=1200,"～1200",IF(BA796&lt;=1500,"1300～1500",IF(BA796=1600,"1600",IF(BA796&lt;=1800,"1700～1800",IF(BA796&lt;=2000,"1900～2000","2100以上"))))))</f>
        <v>～1200</v>
      </c>
      <c r="BS796" s="8" t="str">
        <f aca="false">IF(A796="","",IF(AX796="G1","G1",IF(AX796="G2","G2",IF(AX796="G3","G3",IF(AX796="L","L","その他")))))</f>
        <v>その他</v>
      </c>
      <c r="BT796" s="8" t="str">
        <f aca="false">IF(A796="","",IF(BI796="","未結合",IF(D796=BI796,"一致","不一致")))</f>
        <v>一致</v>
      </c>
      <c r="BU796" s="8" t="str">
        <f aca="false">IF(A796="","",IF(BE796="牝馬限定","牝馬限定","その他"))</f>
        <v>その他</v>
      </c>
    </row>
    <row r="797" customFormat="false" ht="15.75" hidden="false" customHeight="false" outlineLevel="0" collapsed="false">
      <c r="A797" s="6" t="n">
        <f aca="false">DATE(2026,8,22)</f>
        <v>46256</v>
      </c>
      <c r="B797" s="4" t="s">
        <v>334</v>
      </c>
      <c r="C797" s="8" t="n">
        <v>11</v>
      </c>
      <c r="D797" s="8" t="n">
        <v>14</v>
      </c>
      <c r="E797" s="8" t="n">
        <v>10</v>
      </c>
      <c r="F797" s="8"/>
      <c r="G797" s="8" t="n">
        <v>50</v>
      </c>
      <c r="H797" s="8" t="n">
        <v>3</v>
      </c>
      <c r="I797" s="8"/>
      <c r="J797" s="8" t="n">
        <v>44</v>
      </c>
      <c r="K797" s="8" t="n">
        <v>14</v>
      </c>
      <c r="L797" s="4" t="s">
        <v>2264</v>
      </c>
      <c r="M797" s="8" t="n">
        <v>39</v>
      </c>
      <c r="N797" s="8" t="n">
        <f aca="false">IF(A797="","",G797-J797)</f>
        <v>6</v>
      </c>
      <c r="O797" s="8" t="n">
        <f aca="false">IF(A797="","",J797-M797)</f>
        <v>5</v>
      </c>
      <c r="P797" s="8" t="n">
        <f aca="false">IF(A797="","",G797+J797)</f>
        <v>94</v>
      </c>
      <c r="Q797" s="8" t="str">
        <f aca="false">IF(A797="","",IF(AND(Y797&lt;&gt;"参考",G797&gt;=ルール設定!$B$2),"○",""))</f>
        <v/>
      </c>
      <c r="R797" s="8" t="str">
        <f aca="false">IF(A797="","",IF(AND(Y797&lt;&gt;"参考",G797&gt;=ルール設定!$B$3,N797&gt;=ルール設定!$B$4),"○",""))</f>
        <v/>
      </c>
      <c r="S797" s="8" t="str">
        <f aca="false">IF(A797="","",IF(AND(Y797&lt;&gt;"参考",G797&gt;=ルール設定!$B$5,J797&gt;=ルール設定!$B$6,O797&gt;=ルール設定!$B$7),"○",""))</f>
        <v/>
      </c>
      <c r="T797" s="8" t="n">
        <v>4</v>
      </c>
      <c r="U797" s="8" t="n">
        <v>4</v>
      </c>
      <c r="V797" s="8" t="str">
        <f aca="false">IF(A797="","",IF(AND(ISNUMBER(T797),ISNUMBER(U797)),IF(AND(T797&lt;=3,U797&lt;=3),"○","×"),""))</f>
        <v>×</v>
      </c>
      <c r="W797" s="8"/>
      <c r="X797" s="8"/>
      <c r="Y797" s="4" t="s">
        <v>7597</v>
      </c>
      <c r="Z797" s="8" t="s">
        <v>7968</v>
      </c>
      <c r="AA797" s="8" t="str">
        <v/>
      </c>
      <c r="AB797" s="8" t="str">
        <v/>
      </c>
      <c r="AC797" s="8" t="str">
        <v/>
      </c>
      <c r="AD797" s="8" t="str">
        <v/>
      </c>
      <c r="AE797" s="8" t="str">
        <v/>
      </c>
      <c r="AF797" s="8" t="str">
        <v/>
      </c>
      <c r="AG797" s="8" t="str">
        <v/>
      </c>
      <c r="AH797" s="8" t="str">
        <v/>
      </c>
      <c r="AI797" s="8" t="n">
        <v>11</v>
      </c>
      <c r="AJ797" s="8" t="str">
        <v>～59</v>
      </c>
      <c r="AK797" s="8" t="str">
        <v>5～9</v>
      </c>
      <c r="AL797" s="8" t="str">
        <v>10～19</v>
      </c>
      <c r="AM797" s="8" t="str">
        <v>～99</v>
      </c>
      <c r="AN797" s="8" t="str">
        <v>12～14</v>
      </c>
      <c r="AO797" s="8" t="str">
        <f aca="false">IF(A797="","",IF(COUNTIFS(全馬データ!$A$2:$A$50000,A797,全馬データ!$B$2:$B$50000,B797,全馬データ!$C$2:$C$50000,C797,全馬データ!$D$2:$D$50000,E797,全馬データ!$K$2:$K$50000,"&lt;&gt;")=0,"",SUMIFS(全馬データ!$K$2:$K$50000,全馬データ!$A$2:$A$50000,A797,全馬データ!$B$2:$B$50000,B797,全馬データ!$C$2:$C$50000,C797,全馬データ!$D$2:$D$50000,E797)))</f>
        <v/>
      </c>
      <c r="AP797" s="8" t="str">
        <f aca="false">IF(A797="","",IF(AO797="","欠損",IF(AO797&lt;=1.1,"1.0～1.1",IF(AO797&lt;1.3,"1.2",IF(AO797&lt;1.5,"1.3～1.4",IF(AO797&lt;2,"1.5～1.9","2.0以上"))))))</f>
        <v>欠損</v>
      </c>
      <c r="AQ797" s="8" t="str">
        <f aca="false">IF(A797="","",IF(ISNUMBER(SEARCH("2歳",Z797)),"2歳戦",IF(ISNUMBER(SEARCH("3歳未勝利",Z797)),"3歳未勝利",IF(ISNUMBER(SEARCH("未勝利",Z797)),"その他未勝利",IF(ISNUMBER(SEARCH("G1",Z797)),"G1",IF(ISNUMBER(SEARCH("G2",Z797)),"G2",IF(ISNUMBER(SEARCH("G3",Z797)),"G3",IF(ISNUMBER(SEARCH("古馬条件",Z797)),"古馬条件戦",IF(ISNUMBER(SEARCH("重賞",Z797)),"重賞","分類不能")))))))))</f>
        <v>分類不能</v>
      </c>
      <c r="AR797" s="4" t="s">
        <v>7969</v>
      </c>
      <c r="AS797" s="8" t="s">
        <v>7626</v>
      </c>
      <c r="AT797" s="8" t="s">
        <v>7627</v>
      </c>
      <c r="AU797" s="8" t="s">
        <v>7639</v>
      </c>
      <c r="AV797" s="8" t="s">
        <v>7640</v>
      </c>
      <c r="AW797" s="8" t="s">
        <v>7636</v>
      </c>
      <c r="AX797" s="4" t="s">
        <v>7637</v>
      </c>
      <c r="AY797" s="8" t="s">
        <v>7602</v>
      </c>
      <c r="AZ797" s="4" t="s">
        <v>7603</v>
      </c>
      <c r="BA797" s="8" t="n">
        <v>2000</v>
      </c>
      <c r="BB797" s="8" t="s">
        <v>7634</v>
      </c>
      <c r="BC797" s="4" t="s">
        <v>7604</v>
      </c>
      <c r="BD797" s="8" t="s">
        <v>7605</v>
      </c>
      <c r="BE797" s="4" t="s">
        <v>7606</v>
      </c>
      <c r="BF797" s="8" t="s">
        <v>7607</v>
      </c>
      <c r="BG797" s="8" t="s">
        <v>7631</v>
      </c>
      <c r="BH797" s="4" t="s">
        <v>7632</v>
      </c>
      <c r="BI797" s="8" t="n">
        <v>14</v>
      </c>
      <c r="BJ797" s="8" t="s">
        <v>7602</v>
      </c>
      <c r="BK797" s="4" t="s">
        <v>7653</v>
      </c>
      <c r="BL797" s="8" t="s">
        <v>7602</v>
      </c>
      <c r="BM797" s="4" t="s">
        <v>7620</v>
      </c>
      <c r="BN797" s="8" t="s">
        <v>7631</v>
      </c>
      <c r="BO797" s="8" t="s">
        <v>7680</v>
      </c>
      <c r="BP797" s="8" t="s">
        <v>7608</v>
      </c>
      <c r="BQ797" s="8" t="str">
        <f aca="false">IF(A797="","",AT797)</f>
        <v>3歳以上</v>
      </c>
      <c r="BR797" s="8" t="str">
        <f aca="false">IF(A797="","",IF(BA797&lt;=1200,"～1200",IF(BA797&lt;=1500,"1300～1500",IF(BA797=1600,"1600",IF(BA797&lt;=1800,"1700～1800",IF(BA797&lt;=2000,"1900～2000","2100以上"))))))</f>
        <v>1900～2000</v>
      </c>
      <c r="BS797" s="8" t="str">
        <f aca="false">IF(A797="","",IF(AX797="G1","G1",IF(AX797="G2","G2",IF(AX797="G3","G3",IF(AX797="L","L","その他")))))</f>
        <v>その他</v>
      </c>
      <c r="BT797" s="8" t="str">
        <f aca="false">IF(A797="","",IF(BI797="","未結合",IF(D797=BI797,"一致","不一致")))</f>
        <v>一致</v>
      </c>
      <c r="BU797" s="8" t="str">
        <f aca="false">IF(A797="","",IF(BE797="牝馬限定","牝馬限定","その他"))</f>
        <v>その他</v>
      </c>
    </row>
    <row r="798" customFormat="false" ht="15.75" hidden="false" customHeight="false" outlineLevel="0" collapsed="false">
      <c r="A798" s="6" t="n">
        <f aca="false">DATE(2026,8,22)</f>
        <v>46256</v>
      </c>
      <c r="B798" s="4" t="s">
        <v>334</v>
      </c>
      <c r="C798" s="8" t="n">
        <v>12</v>
      </c>
      <c r="D798" s="8" t="n">
        <v>11</v>
      </c>
      <c r="E798" s="8" t="n">
        <v>1</v>
      </c>
      <c r="F798" s="8"/>
      <c r="G798" s="8" t="n">
        <v>52</v>
      </c>
      <c r="H798" s="8" t="n">
        <v>3</v>
      </c>
      <c r="I798" s="8"/>
      <c r="J798" s="8" t="n">
        <v>52</v>
      </c>
      <c r="K798" s="8" t="n">
        <v>4</v>
      </c>
      <c r="L798" s="4" t="s">
        <v>3852</v>
      </c>
      <c r="M798" s="8" t="n">
        <v>47</v>
      </c>
      <c r="N798" s="8" t="n">
        <f aca="false">IF(A798="","",G798-J798)</f>
        <v>0</v>
      </c>
      <c r="O798" s="8" t="n">
        <f aca="false">IF(A798="","",J798-M798)</f>
        <v>5</v>
      </c>
      <c r="P798" s="8" t="n">
        <f aca="false">IF(A798="","",G798+J798)</f>
        <v>104</v>
      </c>
      <c r="Q798" s="8" t="str">
        <f aca="false">IF(A798="","",IF(AND(Y798&lt;&gt;"参考",G798&gt;=ルール設定!$B$2),"○",""))</f>
        <v/>
      </c>
      <c r="R798" s="8" t="str">
        <f aca="false">IF(A798="","",IF(AND(Y798&lt;&gt;"参考",G798&gt;=ルール設定!$B$3,N798&gt;=ルール設定!$B$4),"○",""))</f>
        <v/>
      </c>
      <c r="S798" s="8" t="str">
        <f aca="false">IF(A798="","",IF(AND(Y798&lt;&gt;"参考",G798&gt;=ルール設定!$B$5,J798&gt;=ルール設定!$B$6,O798&gt;=ルール設定!$B$7),"○",""))</f>
        <v/>
      </c>
      <c r="T798" s="8" t="n">
        <v>4</v>
      </c>
      <c r="U798" s="8" t="n">
        <v>4</v>
      </c>
      <c r="V798" s="8" t="str">
        <f aca="false">IF(A798="","",IF(AND(ISNUMBER(T798),ISNUMBER(U798)),IF(AND(T798&lt;=3,U798&lt;=3),"○","×"),""))</f>
        <v>×</v>
      </c>
      <c r="W798" s="8"/>
      <c r="X798" s="8"/>
      <c r="Y798" s="4" t="s">
        <v>7597</v>
      </c>
      <c r="Z798" s="8" t="s">
        <v>7970</v>
      </c>
      <c r="AA798" s="8" t="str">
        <v/>
      </c>
      <c r="AB798" s="8" t="str">
        <v/>
      </c>
      <c r="AC798" s="8" t="str">
        <v/>
      </c>
      <c r="AD798" s="8" t="str">
        <v/>
      </c>
      <c r="AE798" s="8" t="str">
        <v/>
      </c>
      <c r="AF798" s="8" t="str">
        <v/>
      </c>
      <c r="AG798" s="8" t="str">
        <v/>
      </c>
      <c r="AH798" s="8" t="str">
        <v/>
      </c>
      <c r="AI798" s="8" t="n">
        <v>5</v>
      </c>
      <c r="AJ798" s="8" t="str">
        <v>～59</v>
      </c>
      <c r="AK798" s="8" t="str">
        <v>0～4</v>
      </c>
      <c r="AL798" s="8" t="str">
        <v>0～9</v>
      </c>
      <c r="AM798" s="8" t="str">
        <v>100～119</v>
      </c>
      <c r="AN798" s="8" t="str">
        <v>8～11</v>
      </c>
      <c r="AO798" s="8" t="str">
        <f aca="false">IF(A798="","",IF(COUNTIFS(全馬データ!$A$2:$A$50000,A798,全馬データ!$B$2:$B$50000,B798,全馬データ!$C$2:$C$50000,C798,全馬データ!$D$2:$D$50000,E798,全馬データ!$K$2:$K$50000,"&lt;&gt;")=0,"",SUMIFS(全馬データ!$K$2:$K$50000,全馬データ!$A$2:$A$50000,A798,全馬データ!$B$2:$B$50000,B798,全馬データ!$C$2:$C$50000,C798,全馬データ!$D$2:$D$50000,E798)))</f>
        <v/>
      </c>
      <c r="AP798" s="8" t="str">
        <f aca="false">IF(A798="","",IF(AO798="","欠損",IF(AO798&lt;=1.1,"1.0～1.1",IF(AO798&lt;1.3,"1.2",IF(AO798&lt;1.5,"1.3～1.4",IF(AO798&lt;2,"1.5～1.9","2.0以上"))))))</f>
        <v>欠損</v>
      </c>
      <c r="AQ798" s="8" t="str">
        <f aca="false">IF(A798="","",IF(ISNUMBER(SEARCH("2歳",Z798)),"2歳戦",IF(ISNUMBER(SEARCH("3歳未勝利",Z798)),"3歳未勝利",IF(ISNUMBER(SEARCH("未勝利",Z798)),"その他未勝利",IF(ISNUMBER(SEARCH("G1",Z798)),"G1",IF(ISNUMBER(SEARCH("G2",Z798)),"G2",IF(ISNUMBER(SEARCH("G3",Z798)),"G3",IF(ISNUMBER(SEARCH("古馬条件",Z798)),"古馬条件戦",IF(ISNUMBER(SEARCH("重賞",Z798)),"重賞","分類不能")))))))))</f>
        <v>分類不能</v>
      </c>
      <c r="AR798" s="4" t="s">
        <v>7971</v>
      </c>
      <c r="AS798" s="8" t="s">
        <v>7626</v>
      </c>
      <c r="AT798" s="8" t="s">
        <v>7627</v>
      </c>
      <c r="AU798" s="8" t="s">
        <v>7628</v>
      </c>
      <c r="AV798" s="8" t="s">
        <v>7629</v>
      </c>
      <c r="AW798" s="8" t="s">
        <v>7636</v>
      </c>
      <c r="AX798" s="4" t="s">
        <v>7637</v>
      </c>
      <c r="AY798" s="8" t="s">
        <v>7610</v>
      </c>
      <c r="AZ798" s="4" t="s">
        <v>7617</v>
      </c>
      <c r="BA798" s="8" t="n">
        <v>1700</v>
      </c>
      <c r="BB798" s="8" t="s">
        <v>7634</v>
      </c>
      <c r="BC798" s="4" t="s">
        <v>7604</v>
      </c>
      <c r="BD798" s="8" t="s">
        <v>7625</v>
      </c>
      <c r="BE798" s="4" t="s">
        <v>7606</v>
      </c>
      <c r="BF798" s="8" t="s">
        <v>7607</v>
      </c>
      <c r="BG798" s="8" t="s">
        <v>7631</v>
      </c>
      <c r="BH798" s="4" t="s">
        <v>7632</v>
      </c>
      <c r="BI798" s="8" t="n">
        <v>11</v>
      </c>
      <c r="BJ798" s="8" t="s">
        <v>7602</v>
      </c>
      <c r="BK798" s="4" t="s">
        <v>7653</v>
      </c>
      <c r="BL798" s="8" t="s">
        <v>7602</v>
      </c>
      <c r="BM798" s="4" t="s">
        <v>7620</v>
      </c>
      <c r="BN798" s="8"/>
      <c r="BO798" s="8"/>
      <c r="BP798" s="8" t="s">
        <v>7608</v>
      </c>
      <c r="BQ798" s="8" t="str">
        <f aca="false">IF(A798="","",AT798)</f>
        <v>3歳以上</v>
      </c>
      <c r="BR798" s="8" t="str">
        <f aca="false">IF(A798="","",IF(BA798&lt;=1200,"～1200",IF(BA798&lt;=1500,"1300～1500",IF(BA798=1600,"1600",IF(BA798&lt;=1800,"1700～1800",IF(BA798&lt;=2000,"1900～2000","2100以上"))))))</f>
        <v>1700～1800</v>
      </c>
      <c r="BS798" s="8" t="str">
        <f aca="false">IF(A798="","",IF(AX798="G1","G1",IF(AX798="G2","G2",IF(AX798="G3","G3",IF(AX798="L","L","その他")))))</f>
        <v>その他</v>
      </c>
      <c r="BT798" s="8" t="str">
        <f aca="false">IF(A798="","",IF(BI798="","未結合",IF(D798=BI798,"一致","不一致")))</f>
        <v>一致</v>
      </c>
      <c r="BU798" s="8" t="str">
        <f aca="false">IF(A798="","",IF(BE798="牝馬限定","牝馬限定","その他"))</f>
        <v>その他</v>
      </c>
    </row>
    <row r="799" customFormat="false" ht="15.75" hidden="false" customHeight="false" outlineLevel="0" collapsed="false">
      <c r="A799" s="6" t="n">
        <f aca="false">DATE(2026,8,23)</f>
        <v>46257</v>
      </c>
      <c r="B799" s="4" t="s">
        <v>13</v>
      </c>
      <c r="C799" s="8" t="n">
        <v>1</v>
      </c>
      <c r="D799" s="8" t="n">
        <v>12</v>
      </c>
      <c r="E799" s="8" t="n">
        <v>12</v>
      </c>
      <c r="F799" s="4" t="s">
        <v>3719</v>
      </c>
      <c r="G799" s="8" t="n">
        <v>86</v>
      </c>
      <c r="H799" s="8" t="n">
        <v>2</v>
      </c>
      <c r="I799" s="8"/>
      <c r="J799" s="8" t="n">
        <v>44</v>
      </c>
      <c r="K799" s="8" t="n">
        <v>6</v>
      </c>
      <c r="L799" s="8"/>
      <c r="M799" s="8" t="n">
        <v>39</v>
      </c>
      <c r="N799" s="8" t="n">
        <f aca="false">IF(A799="","",G799-J799)</f>
        <v>42</v>
      </c>
      <c r="O799" s="8" t="n">
        <f aca="false">IF(A799="","",J799-M799)</f>
        <v>5</v>
      </c>
      <c r="P799" s="8" t="n">
        <f aca="false">IF(A799="","",G799+J799)</f>
        <v>130</v>
      </c>
      <c r="Q799" s="8" t="str">
        <f aca="false">IF(A799="","",IF(AND(Y799&lt;&gt;"参考",G799&gt;=ルール設定!$B$2),"○",""))</f>
        <v>○</v>
      </c>
      <c r="R799" s="8" t="str">
        <f aca="false">IF(A799="","",IF(AND(Y799&lt;&gt;"参考",G799&gt;=ルール設定!$B$3,N799&gt;=ルール設定!$B$4),"○",""))</f>
        <v>○</v>
      </c>
      <c r="S799" s="8" t="str">
        <f aca="false">IF(A799="","",IF(AND(Y799&lt;&gt;"参考",G799&gt;=ルール設定!$B$5,J799&gt;=ルール設定!$B$6,O799&gt;=ルール設定!$B$7),"○",""))</f>
        <v/>
      </c>
      <c r="T799" s="8" t="n">
        <v>1</v>
      </c>
      <c r="U799" s="8" t="n">
        <v>4</v>
      </c>
      <c r="V799" s="8" t="str">
        <f aca="false">IF(A799="","",IF(AND(ISNUMBER(T799),ISNUMBER(U799)),IF(AND(T799&lt;=3,U799&lt;=3),"○","×"),""))</f>
        <v>×</v>
      </c>
      <c r="W799" s="8" t="n">
        <v>100</v>
      </c>
      <c r="X799" s="8"/>
      <c r="Y799" s="4" t="s">
        <v>7597</v>
      </c>
      <c r="Z799" s="8" t="s">
        <v>7972</v>
      </c>
      <c r="AA799" s="8" t="str">
        <v>○</v>
      </c>
      <c r="AB799" s="8" t="str">
        <v>○</v>
      </c>
      <c r="AC799" s="8" t="str">
        <v/>
      </c>
      <c r="AD799" s="8" t="str">
        <v>○</v>
      </c>
      <c r="AE799" s="8" t="str">
        <v/>
      </c>
      <c r="AF799" s="8" t="str">
        <v/>
      </c>
      <c r="AG799" s="8" t="str">
        <v>○</v>
      </c>
      <c r="AH799" s="8" t="str">
        <v/>
      </c>
      <c r="AI799" s="8" t="n">
        <v>47</v>
      </c>
      <c r="AJ799" s="8" t="str">
        <v>85以上</v>
      </c>
      <c r="AK799" s="8" t="str">
        <v>30以上</v>
      </c>
      <c r="AL799" s="8" t="str">
        <v>40以上</v>
      </c>
      <c r="AM799" s="8" t="str">
        <v>120～139</v>
      </c>
      <c r="AN799" s="8" t="str">
        <v>12～14</v>
      </c>
      <c r="AO799" s="8" t="str">
        <f aca="false">IF(A799="","",IF(COUNTIFS(全馬データ!$A$2:$A$50000,A799,全馬データ!$B$2:$B$50000,B799,全馬データ!$C$2:$C$50000,C799,全馬データ!$D$2:$D$50000,E799,全馬データ!$K$2:$K$50000,"&lt;&gt;")=0,"",SUMIFS(全馬データ!$K$2:$K$50000,全馬データ!$A$2:$A$50000,A799,全馬データ!$B$2:$B$50000,B799,全馬データ!$C$2:$C$50000,C799,全馬データ!$D$2:$D$50000,E799)))</f>
        <v/>
      </c>
      <c r="AP799" s="8" t="str">
        <f aca="false">IF(A799="","",IF(AO799="","欠損",IF(AO799&lt;=1.1,"1.0～1.1",IF(AO799&lt;1.3,"1.2",IF(AO799&lt;1.5,"1.3～1.4",IF(AO799&lt;2,"1.5～1.9","2.0以上"))))))</f>
        <v>欠損</v>
      </c>
      <c r="AQ799" s="8" t="str">
        <f aca="false">IF(A799="","",IF(ISNUMBER(SEARCH("2歳",Z799)),"2歳戦",IF(ISNUMBER(SEARCH("3歳未勝利",Z799)),"3歳未勝利",IF(ISNUMBER(SEARCH("未勝利",Z799)),"その他未勝利",IF(ISNUMBER(SEARCH("G1",Z799)),"G1",IF(ISNUMBER(SEARCH("G2",Z799)),"G2",IF(ISNUMBER(SEARCH("G3",Z799)),"G3",IF(ISNUMBER(SEARCH("古馬条件",Z799)),"古馬条件戦",IF(ISNUMBER(SEARCH("重賞",Z799)),"重賞","分類不能")))))))))</f>
        <v>分類不能</v>
      </c>
      <c r="AR799" s="8"/>
      <c r="AS799" s="8" t="s">
        <v>7598</v>
      </c>
      <c r="AT799" s="8" t="s">
        <v>7599</v>
      </c>
      <c r="AU799" s="8" t="s">
        <v>7600</v>
      </c>
      <c r="AV799" s="4" t="s">
        <v>7601</v>
      </c>
      <c r="AW799" s="8"/>
      <c r="AX799" s="8"/>
      <c r="AY799" s="8" t="s">
        <v>7602</v>
      </c>
      <c r="AZ799" s="4" t="s">
        <v>7603</v>
      </c>
      <c r="BA799" s="8" t="n">
        <v>1400</v>
      </c>
      <c r="BB799" s="8" t="s">
        <v>7634</v>
      </c>
      <c r="BC799" s="4" t="s">
        <v>7604</v>
      </c>
      <c r="BD799" s="8" t="s">
        <v>7605</v>
      </c>
      <c r="BE799" s="4" t="s">
        <v>7606</v>
      </c>
      <c r="BF799" s="8" t="s">
        <v>7607</v>
      </c>
      <c r="BG799" s="8" t="s">
        <v>7608</v>
      </c>
      <c r="BH799" s="4" t="s">
        <v>7609</v>
      </c>
      <c r="BI799" s="8" t="n">
        <v>12</v>
      </c>
      <c r="BJ799" s="8" t="s">
        <v>7610</v>
      </c>
      <c r="BK799" s="4" t="s">
        <v>7611</v>
      </c>
      <c r="BL799" s="8" t="s">
        <v>7602</v>
      </c>
      <c r="BM799" s="4" t="s">
        <v>7620</v>
      </c>
      <c r="BN799" s="8" t="s">
        <v>7602</v>
      </c>
      <c r="BO799" s="8" t="s">
        <v>7613</v>
      </c>
      <c r="BP799" s="8" t="s">
        <v>7602</v>
      </c>
      <c r="BQ799" s="8" t="str">
        <f aca="false">IF(A799="","",AT799)</f>
        <v>2歳</v>
      </c>
      <c r="BR799" s="8" t="str">
        <f aca="false">IF(A799="","",IF(BA799&lt;=1200,"～1200",IF(BA799&lt;=1500,"1300～1500",IF(BA799=1600,"1600",IF(BA799&lt;=1800,"1700～1800",IF(BA799&lt;=2000,"1900～2000","2100以上"))))))</f>
        <v>1300～1500</v>
      </c>
      <c r="BS799" s="8" t="str">
        <f aca="false">IF(A799="","",IF(AX799="G1","G1",IF(AX799="G2","G2",IF(AX799="G3","G3",IF(AX799="L","L","その他")))))</f>
        <v>その他</v>
      </c>
      <c r="BT799" s="8" t="str">
        <f aca="false">IF(A799="","",IF(BI799="","未結合",IF(D799=BI799,"一致","不一致")))</f>
        <v>一致</v>
      </c>
      <c r="BU799" s="8" t="str">
        <f aca="false">IF(A799="","",IF(BE799="牝馬限定","牝馬限定","その他"))</f>
        <v>その他</v>
      </c>
    </row>
    <row r="800" customFormat="false" ht="15.75" hidden="false" customHeight="false" outlineLevel="0" collapsed="false">
      <c r="A800" s="6" t="n">
        <f aca="false">DATE(2026,8,23)</f>
        <v>46257</v>
      </c>
      <c r="B800" s="4" t="s">
        <v>13</v>
      </c>
      <c r="C800" s="8" t="n">
        <v>2</v>
      </c>
      <c r="D800" s="8" t="n">
        <v>11</v>
      </c>
      <c r="E800" s="8" t="n">
        <v>1</v>
      </c>
      <c r="F800" s="8"/>
      <c r="G800" s="8" t="n">
        <v>74</v>
      </c>
      <c r="H800" s="8" t="n">
        <v>4</v>
      </c>
      <c r="I800" s="4" t="s">
        <v>6527</v>
      </c>
      <c r="J800" s="8" t="n">
        <v>24</v>
      </c>
      <c r="K800" s="8" t="n">
        <v>6</v>
      </c>
      <c r="L800" s="8"/>
      <c r="M800" s="8" t="n">
        <v>24</v>
      </c>
      <c r="N800" s="8" t="n">
        <f aca="false">IF(A800="","",G800-J800)</f>
        <v>50</v>
      </c>
      <c r="O800" s="8" t="n">
        <f aca="false">IF(A800="","",J800-M800)</f>
        <v>0</v>
      </c>
      <c r="P800" s="8" t="n">
        <f aca="false">IF(A800="","",G800+J800)</f>
        <v>98</v>
      </c>
      <c r="Q800" s="8" t="str">
        <f aca="false">IF(A800="","",IF(AND(Y800&lt;&gt;"参考",G800&gt;=ルール設定!$B$2),"○",""))</f>
        <v/>
      </c>
      <c r="R800" s="8" t="str">
        <f aca="false">IF(A800="","",IF(AND(Y800&lt;&gt;"参考",G800&gt;=ルール設定!$B$3,N800&gt;=ルール設定!$B$4),"○",""))</f>
        <v>○</v>
      </c>
      <c r="S800" s="8" t="str">
        <f aca="false">IF(A800="","",IF(AND(Y800&lt;&gt;"参考",G800&gt;=ルール設定!$B$5,J800&gt;=ルール設定!$B$6,O800&gt;=ルール設定!$B$7),"○",""))</f>
        <v/>
      </c>
      <c r="T800" s="8" t="n">
        <v>4</v>
      </c>
      <c r="U800" s="8" t="n">
        <v>3</v>
      </c>
      <c r="V800" s="8" t="str">
        <f aca="false">IF(A800="","",IF(AND(ISNUMBER(T800),ISNUMBER(U800)),IF(AND(T800&lt;=3,U800&lt;=3),"○","×"),""))</f>
        <v>×</v>
      </c>
      <c r="W800" s="8"/>
      <c r="X800" s="8"/>
      <c r="Y800" s="4" t="s">
        <v>7597</v>
      </c>
      <c r="Z800" s="8" t="s">
        <v>7973</v>
      </c>
      <c r="AA800" s="8" t="str">
        <v/>
      </c>
      <c r="AB800" s="8" t="str">
        <v/>
      </c>
      <c r="AC800" s="8" t="str">
        <v/>
      </c>
      <c r="AD800" s="8" t="str">
        <v/>
      </c>
      <c r="AE800" s="8" t="str">
        <v>○</v>
      </c>
      <c r="AF800" s="8" t="str">
        <v/>
      </c>
      <c r="AG800" s="8" t="str">
        <v/>
      </c>
      <c r="AH800" s="8" t="str">
        <v/>
      </c>
      <c r="AI800" s="8" t="n">
        <v>50</v>
      </c>
      <c r="AJ800" s="8" t="str">
        <v>70～74</v>
      </c>
      <c r="AK800" s="8" t="str">
        <v>30以上</v>
      </c>
      <c r="AL800" s="8" t="str">
        <v>40以上</v>
      </c>
      <c r="AM800" s="8" t="str">
        <v>～99</v>
      </c>
      <c r="AN800" s="8" t="str">
        <v>8～11</v>
      </c>
      <c r="AO800" s="8" t="str">
        <f aca="false">IF(A800="","",IF(COUNTIFS(全馬データ!$A$2:$A$50000,A800,全馬データ!$B$2:$B$50000,B800,全馬データ!$C$2:$C$50000,C800,全馬データ!$D$2:$D$50000,E800,全馬データ!$K$2:$K$50000,"&lt;&gt;")=0,"",SUMIFS(全馬データ!$K$2:$K$50000,全馬データ!$A$2:$A$50000,A800,全馬データ!$B$2:$B$50000,B800,全馬データ!$C$2:$C$50000,C800,全馬データ!$D$2:$D$50000,E800)))</f>
        <v/>
      </c>
      <c r="AP800" s="8" t="str">
        <f aca="false">IF(A800="","",IF(AO800="","欠損",IF(AO800&lt;=1.1,"1.0～1.1",IF(AO800&lt;1.3,"1.2",IF(AO800&lt;1.5,"1.3～1.4",IF(AO800&lt;2,"1.5～1.9","2.0以上"))))))</f>
        <v>欠損</v>
      </c>
      <c r="AQ800" s="8" t="str">
        <f aca="false">IF(A800="","",IF(ISNUMBER(SEARCH("2歳",Z800)),"2歳戦",IF(ISNUMBER(SEARCH("3歳未勝利",Z800)),"3歳未勝利",IF(ISNUMBER(SEARCH("未勝利",Z800)),"その他未勝利",IF(ISNUMBER(SEARCH("G1",Z800)),"G1",IF(ISNUMBER(SEARCH("G2",Z800)),"G2",IF(ISNUMBER(SEARCH("G3",Z800)),"G3",IF(ISNUMBER(SEARCH("古馬条件",Z800)),"古馬条件戦",IF(ISNUMBER(SEARCH("重賞",Z800)),"重賞","分類不能")))))))))</f>
        <v>分類不能</v>
      </c>
      <c r="AR800" s="8"/>
      <c r="AS800" s="8" t="s">
        <v>7598</v>
      </c>
      <c r="AT800" s="8" t="s">
        <v>7599</v>
      </c>
      <c r="AU800" s="8" t="s">
        <v>7615</v>
      </c>
      <c r="AV800" s="4" t="s">
        <v>7616</v>
      </c>
      <c r="AW800" s="8"/>
      <c r="AX800" s="8"/>
      <c r="AY800" s="8" t="s">
        <v>7602</v>
      </c>
      <c r="AZ800" s="4" t="s">
        <v>7603</v>
      </c>
      <c r="BA800" s="8" t="n">
        <v>2000</v>
      </c>
      <c r="BB800" s="8" t="s">
        <v>7634</v>
      </c>
      <c r="BC800" s="4" t="s">
        <v>7604</v>
      </c>
      <c r="BD800" s="8" t="s">
        <v>7605</v>
      </c>
      <c r="BE800" s="4" t="s">
        <v>7606</v>
      </c>
      <c r="BF800" s="8" t="s">
        <v>7607</v>
      </c>
      <c r="BG800" s="8" t="s">
        <v>7608</v>
      </c>
      <c r="BH800" s="4" t="s">
        <v>7609</v>
      </c>
      <c r="BI800" s="8" t="n">
        <v>11</v>
      </c>
      <c r="BJ800" s="8" t="s">
        <v>7610</v>
      </c>
      <c r="BK800" s="4" t="s">
        <v>7611</v>
      </c>
      <c r="BL800" s="8" t="s">
        <v>7602</v>
      </c>
      <c r="BM800" s="4" t="s">
        <v>7620</v>
      </c>
      <c r="BN800" s="8" t="s">
        <v>7602</v>
      </c>
      <c r="BO800" s="8" t="s">
        <v>7613</v>
      </c>
      <c r="BP800" s="8" t="s">
        <v>7602</v>
      </c>
      <c r="BQ800" s="8" t="str">
        <f aca="false">IF(A800="","",AT800)</f>
        <v>2歳</v>
      </c>
      <c r="BR800" s="8" t="str">
        <f aca="false">IF(A800="","",IF(BA800&lt;=1200,"～1200",IF(BA800&lt;=1500,"1300～1500",IF(BA800=1600,"1600",IF(BA800&lt;=1800,"1700～1800",IF(BA800&lt;=2000,"1900～2000","2100以上"))))))</f>
        <v>1900～2000</v>
      </c>
      <c r="BS800" s="8" t="str">
        <f aca="false">IF(A800="","",IF(AX800="G1","G1",IF(AX800="G2","G2",IF(AX800="G3","G3",IF(AX800="L","L","その他")))))</f>
        <v>その他</v>
      </c>
      <c r="BT800" s="8" t="str">
        <f aca="false">IF(A800="","",IF(BI800="","未結合",IF(D800=BI800,"一致","不一致")))</f>
        <v>一致</v>
      </c>
      <c r="BU800" s="8" t="str">
        <f aca="false">IF(A800="","",IF(BE800="牝馬限定","牝馬限定","その他"))</f>
        <v>その他</v>
      </c>
    </row>
    <row r="801" customFormat="false" ht="15.75" hidden="false" customHeight="false" outlineLevel="0" collapsed="false">
      <c r="A801" s="6" t="n">
        <f aca="false">DATE(2026,8,23)</f>
        <v>46257</v>
      </c>
      <c r="B801" s="4" t="s">
        <v>13</v>
      </c>
      <c r="C801" s="8" t="n">
        <v>3</v>
      </c>
      <c r="D801" s="8" t="n">
        <v>12</v>
      </c>
      <c r="E801" s="8" t="n">
        <v>9</v>
      </c>
      <c r="F801" s="8"/>
      <c r="G801" s="8" t="n">
        <v>37</v>
      </c>
      <c r="H801" s="8" t="n">
        <v>3</v>
      </c>
      <c r="I801" s="8"/>
      <c r="J801" s="8" t="n">
        <v>27</v>
      </c>
      <c r="K801" s="8" t="n">
        <v>6</v>
      </c>
      <c r="L801" s="8"/>
      <c r="M801" s="8" t="n">
        <v>24</v>
      </c>
      <c r="N801" s="8" t="n">
        <f aca="false">IF(A801="","",G801-J801)</f>
        <v>10</v>
      </c>
      <c r="O801" s="8" t="n">
        <f aca="false">IF(A801="","",J801-M801)</f>
        <v>3</v>
      </c>
      <c r="P801" s="8" t="n">
        <f aca="false">IF(A801="","",G801+J801)</f>
        <v>64</v>
      </c>
      <c r="Q801" s="8" t="str">
        <f aca="false">IF(A801="","",IF(AND(Y801&lt;&gt;"参考",G801&gt;=ルール設定!$B$2),"○",""))</f>
        <v/>
      </c>
      <c r="R801" s="8" t="str">
        <f aca="false">IF(A801="","",IF(AND(Y801&lt;&gt;"参考",G801&gt;=ルール設定!$B$3,N801&gt;=ルール設定!$B$4),"○",""))</f>
        <v/>
      </c>
      <c r="S801" s="8" t="str">
        <f aca="false">IF(A801="","",IF(AND(Y801&lt;&gt;"参考",G801&gt;=ルール設定!$B$5,J801&gt;=ルール設定!$B$6,O801&gt;=ルール設定!$B$7),"○",""))</f>
        <v/>
      </c>
      <c r="T801" s="8" t="n">
        <v>4</v>
      </c>
      <c r="U801" s="8" t="n">
        <v>4</v>
      </c>
      <c r="V801" s="8" t="str">
        <f aca="false">IF(A801="","",IF(AND(ISNUMBER(T801),ISNUMBER(U801)),IF(AND(T801&lt;=3,U801&lt;=3),"○","×"),""))</f>
        <v>×</v>
      </c>
      <c r="W801" s="8"/>
      <c r="X801" s="8"/>
      <c r="Y801" s="4" t="s">
        <v>7597</v>
      </c>
      <c r="Z801" s="8" t="s">
        <v>7974</v>
      </c>
      <c r="AA801" s="8" t="str">
        <v/>
      </c>
      <c r="AB801" s="8" t="str">
        <v/>
      </c>
      <c r="AC801" s="8" t="str">
        <v/>
      </c>
      <c r="AD801" s="8" t="str">
        <v/>
      </c>
      <c r="AE801" s="8" t="str">
        <v/>
      </c>
      <c r="AF801" s="8" t="str">
        <v/>
      </c>
      <c r="AG801" s="8" t="str">
        <v/>
      </c>
      <c r="AH801" s="8" t="str">
        <v/>
      </c>
      <c r="AI801" s="8" t="n">
        <v>13</v>
      </c>
      <c r="AJ801" s="8" t="str">
        <v>～59</v>
      </c>
      <c r="AK801" s="8" t="str">
        <v>10～19</v>
      </c>
      <c r="AL801" s="8" t="str">
        <v>10～19</v>
      </c>
      <c r="AM801" s="8" t="str">
        <v>～99</v>
      </c>
      <c r="AN801" s="8" t="str">
        <v>12～14</v>
      </c>
      <c r="AO801" s="8" t="str">
        <f aca="false">IF(A801="","",IF(COUNTIFS(全馬データ!$A$2:$A$50000,A801,全馬データ!$B$2:$B$50000,B801,全馬データ!$C$2:$C$50000,C801,全馬データ!$D$2:$D$50000,E801,全馬データ!$K$2:$K$50000,"&lt;&gt;")=0,"",SUMIFS(全馬データ!$K$2:$K$50000,全馬データ!$A$2:$A$50000,A801,全馬データ!$B$2:$B$50000,B801,全馬データ!$C$2:$C$50000,C801,全馬データ!$D$2:$D$50000,E801)))</f>
        <v/>
      </c>
      <c r="AP801" s="8" t="str">
        <f aca="false">IF(A801="","",IF(AO801="","欠損",IF(AO801&lt;=1.1,"1.0～1.1",IF(AO801&lt;1.3,"1.2",IF(AO801&lt;1.5,"1.3～1.4",IF(AO801&lt;2,"1.5～1.9","2.0以上"))))))</f>
        <v>欠損</v>
      </c>
      <c r="AQ801" s="8" t="str">
        <f aca="false">IF(A801="","",IF(ISNUMBER(SEARCH("2歳",Z801)),"2歳戦",IF(ISNUMBER(SEARCH("3歳未勝利",Z801)),"3歳未勝利",IF(ISNUMBER(SEARCH("未勝利",Z801)),"その他未勝利",IF(ISNUMBER(SEARCH("G1",Z801)),"G1",IF(ISNUMBER(SEARCH("G2",Z801)),"G2",IF(ISNUMBER(SEARCH("G3",Z801)),"G3",IF(ISNUMBER(SEARCH("古馬条件",Z801)),"古馬条件戦",IF(ISNUMBER(SEARCH("重賞",Z801)),"重賞","分類不能")))))))))</f>
        <v>分類不能</v>
      </c>
      <c r="AR801" s="8"/>
      <c r="AS801" s="8" t="s">
        <v>7598</v>
      </c>
      <c r="AT801" s="8" t="s">
        <v>7599</v>
      </c>
      <c r="AU801" s="8" t="s">
        <v>7615</v>
      </c>
      <c r="AV801" s="4" t="s">
        <v>7616</v>
      </c>
      <c r="AW801" s="8"/>
      <c r="AX801" s="8"/>
      <c r="AY801" s="8" t="s">
        <v>7602</v>
      </c>
      <c r="AZ801" s="4" t="s">
        <v>7603</v>
      </c>
      <c r="BA801" s="8" t="n">
        <v>1600</v>
      </c>
      <c r="BB801" s="8" t="s">
        <v>7634</v>
      </c>
      <c r="BC801" s="4" t="s">
        <v>7604</v>
      </c>
      <c r="BD801" s="8" t="s">
        <v>7621</v>
      </c>
      <c r="BE801" s="4" t="s">
        <v>7622</v>
      </c>
      <c r="BF801" s="8" t="s">
        <v>7602</v>
      </c>
      <c r="BG801" s="8" t="s">
        <v>7608</v>
      </c>
      <c r="BH801" s="4" t="s">
        <v>7609</v>
      </c>
      <c r="BI801" s="8" t="n">
        <v>12</v>
      </c>
      <c r="BJ801" s="8" t="s">
        <v>7610</v>
      </c>
      <c r="BK801" s="4" t="s">
        <v>7611</v>
      </c>
      <c r="BL801" s="8" t="s">
        <v>7610</v>
      </c>
      <c r="BM801" s="4" t="s">
        <v>7612</v>
      </c>
      <c r="BN801" s="8" t="s">
        <v>7602</v>
      </c>
      <c r="BO801" s="8" t="s">
        <v>7613</v>
      </c>
      <c r="BP801" s="8" t="s">
        <v>7602</v>
      </c>
      <c r="BQ801" s="8" t="str">
        <f aca="false">IF(A801="","",AT801)</f>
        <v>2歳</v>
      </c>
      <c r="BR801" s="8" t="str">
        <f aca="false">IF(A801="","",IF(BA801&lt;=1200,"～1200",IF(BA801&lt;=1500,"1300～1500",IF(BA801=1600,"1600",IF(BA801&lt;=1800,"1700～1800",IF(BA801&lt;=2000,"1900～2000","2100以上"))))))</f>
        <v>1600</v>
      </c>
      <c r="BS801" s="8" t="str">
        <f aca="false">IF(A801="","",IF(AX801="G1","G1",IF(AX801="G2","G2",IF(AX801="G3","G3",IF(AX801="L","L","その他")))))</f>
        <v>その他</v>
      </c>
      <c r="BT801" s="8" t="str">
        <f aca="false">IF(A801="","",IF(BI801="","未結合",IF(D801=BI801,"一致","不一致")))</f>
        <v>一致</v>
      </c>
      <c r="BU801" s="8" t="str">
        <f aca="false">IF(A801="","",IF(BE801="牝馬限定","牝馬限定","その他"))</f>
        <v>牝馬限定</v>
      </c>
    </row>
    <row r="802" customFormat="false" ht="15.75" hidden="false" customHeight="false" outlineLevel="0" collapsed="false">
      <c r="A802" s="6" t="n">
        <f aca="false">DATE(2026,8,23)</f>
        <v>46257</v>
      </c>
      <c r="B802" s="4" t="s">
        <v>13</v>
      </c>
      <c r="C802" s="8" t="n">
        <v>4</v>
      </c>
      <c r="D802" s="8" t="n">
        <v>15</v>
      </c>
      <c r="E802" s="8" t="n">
        <v>6</v>
      </c>
      <c r="F802" s="8"/>
      <c r="G802" s="8" t="n">
        <v>56</v>
      </c>
      <c r="H802" s="8" t="n">
        <v>7</v>
      </c>
      <c r="I802" s="4" t="s">
        <v>4896</v>
      </c>
      <c r="J802" s="8" t="n">
        <v>56</v>
      </c>
      <c r="K802" s="8" t="n">
        <v>10</v>
      </c>
      <c r="L802" s="8"/>
      <c r="M802" s="8" t="n">
        <v>52</v>
      </c>
      <c r="N802" s="8" t="n">
        <f aca="false">IF(A802="","",G802-J802)</f>
        <v>0</v>
      </c>
      <c r="O802" s="8" t="n">
        <f aca="false">IF(A802="","",J802-M802)</f>
        <v>4</v>
      </c>
      <c r="P802" s="8" t="n">
        <f aca="false">IF(A802="","",G802+J802)</f>
        <v>112</v>
      </c>
      <c r="Q802" s="8" t="str">
        <f aca="false">IF(A802="","",IF(AND(Y802&lt;&gt;"参考",G802&gt;=ルール設定!$B$2),"○",""))</f>
        <v/>
      </c>
      <c r="R802" s="8" t="str">
        <f aca="false">IF(A802="","",IF(AND(Y802&lt;&gt;"参考",G802&gt;=ルール設定!$B$3,N802&gt;=ルール設定!$B$4),"○",""))</f>
        <v/>
      </c>
      <c r="S802" s="8" t="str">
        <f aca="false">IF(A802="","",IF(AND(Y802&lt;&gt;"参考",G802&gt;=ルール設定!$B$5,J802&gt;=ルール設定!$B$6,O802&gt;=ルール設定!$B$7),"○",""))</f>
        <v/>
      </c>
      <c r="T802" s="8" t="n">
        <v>4</v>
      </c>
      <c r="U802" s="8" t="n">
        <v>2</v>
      </c>
      <c r="V802" s="8" t="str">
        <f aca="false">IF(A802="","",IF(AND(ISNUMBER(T802),ISNUMBER(U802)),IF(AND(T802&lt;=3,U802&lt;=3),"○","×"),""))</f>
        <v>×</v>
      </c>
      <c r="W802" s="8"/>
      <c r="X802" s="8"/>
      <c r="Y802" s="4" t="s">
        <v>7597</v>
      </c>
      <c r="Z802" s="8" t="s">
        <v>7975</v>
      </c>
      <c r="AA802" s="8" t="str">
        <v/>
      </c>
      <c r="AB802" s="8" t="str">
        <v/>
      </c>
      <c r="AC802" s="8" t="str">
        <v/>
      </c>
      <c r="AD802" s="8" t="str">
        <v/>
      </c>
      <c r="AE802" s="8" t="str">
        <v/>
      </c>
      <c r="AF802" s="8" t="str">
        <v/>
      </c>
      <c r="AG802" s="8" t="str">
        <v/>
      </c>
      <c r="AH802" s="8" t="str">
        <v/>
      </c>
      <c r="AI802" s="8" t="n">
        <v>4</v>
      </c>
      <c r="AJ802" s="8" t="str">
        <v>～59</v>
      </c>
      <c r="AK802" s="8" t="str">
        <v>0～4</v>
      </c>
      <c r="AL802" s="8" t="str">
        <v>0～9</v>
      </c>
      <c r="AM802" s="8" t="str">
        <v>100～119</v>
      </c>
      <c r="AN802" s="8" t="str">
        <v>15以上</v>
      </c>
      <c r="AO802" s="8" t="str">
        <f aca="false">IF(A802="","",IF(COUNTIFS(全馬データ!$A$2:$A$50000,A802,全馬データ!$B$2:$B$50000,B802,全馬データ!$C$2:$C$50000,C802,全馬データ!$D$2:$D$50000,E802,全馬データ!$K$2:$K$50000,"&lt;&gt;")=0,"",SUMIFS(全馬データ!$K$2:$K$50000,全馬データ!$A$2:$A$50000,A802,全馬データ!$B$2:$B$50000,B802,全馬データ!$C$2:$C$50000,C802,全馬データ!$D$2:$D$50000,E802)))</f>
        <v/>
      </c>
      <c r="AP802" s="8" t="str">
        <f aca="false">IF(A802="","",IF(AO802="","欠損",IF(AO802&lt;=1.1,"1.0～1.1",IF(AO802&lt;1.3,"1.2",IF(AO802&lt;1.5,"1.3～1.4",IF(AO802&lt;2,"1.5～1.9","2.0以上"))))))</f>
        <v>欠損</v>
      </c>
      <c r="AQ802" s="8" t="str">
        <f aca="false">IF(A802="","",IF(ISNUMBER(SEARCH("2歳",Z802)),"2歳戦",IF(ISNUMBER(SEARCH("3歳未勝利",Z802)),"3歳未勝利",IF(ISNUMBER(SEARCH("未勝利",Z802)),"その他未勝利",IF(ISNUMBER(SEARCH("G1",Z802)),"G1",IF(ISNUMBER(SEARCH("G2",Z802)),"G2",IF(ISNUMBER(SEARCH("G3",Z802)),"G3",IF(ISNUMBER(SEARCH("古馬条件",Z802)),"古馬条件戦",IF(ISNUMBER(SEARCH("重賞",Z802)),"重賞","分類不能")))))))))</f>
        <v>分類不能</v>
      </c>
      <c r="AR802" s="8"/>
      <c r="AS802" s="8" t="s">
        <v>7623</v>
      </c>
      <c r="AT802" s="8" t="s">
        <v>7624</v>
      </c>
      <c r="AU802" s="8" t="s">
        <v>7600</v>
      </c>
      <c r="AV802" s="4" t="s">
        <v>7601</v>
      </c>
      <c r="AW802" s="8"/>
      <c r="AX802" s="8"/>
      <c r="AY802" s="8" t="s">
        <v>7610</v>
      </c>
      <c r="AZ802" s="4" t="s">
        <v>7617</v>
      </c>
      <c r="BA802" s="8" t="n">
        <v>1200</v>
      </c>
      <c r="BB802" s="8" t="s">
        <v>7634</v>
      </c>
      <c r="BC802" s="4" t="s">
        <v>7604</v>
      </c>
      <c r="BD802" s="8" t="s">
        <v>7625</v>
      </c>
      <c r="BE802" s="4" t="s">
        <v>7606</v>
      </c>
      <c r="BF802" s="8" t="s">
        <v>7607</v>
      </c>
      <c r="BG802" s="8" t="s">
        <v>7608</v>
      </c>
      <c r="BH802" s="4" t="s">
        <v>7609</v>
      </c>
      <c r="BI802" s="8" t="n">
        <v>15</v>
      </c>
      <c r="BJ802" s="8" t="s">
        <v>7610</v>
      </c>
      <c r="BK802" s="4" t="s">
        <v>7611</v>
      </c>
      <c r="BL802" s="8" t="s">
        <v>7602</v>
      </c>
      <c r="BM802" s="4" t="s">
        <v>7620</v>
      </c>
      <c r="BN802" s="8"/>
      <c r="BO802" s="8"/>
      <c r="BP802" s="8" t="s">
        <v>7602</v>
      </c>
      <c r="BQ802" s="8" t="str">
        <f aca="false">IF(A802="","",AT802)</f>
        <v>3歳</v>
      </c>
      <c r="BR802" s="8" t="str">
        <f aca="false">IF(A802="","",IF(BA802&lt;=1200,"～1200",IF(BA802&lt;=1500,"1300～1500",IF(BA802=1600,"1600",IF(BA802&lt;=1800,"1700～1800",IF(BA802&lt;=2000,"1900～2000","2100以上"))))))</f>
        <v>～1200</v>
      </c>
      <c r="BS802" s="8" t="str">
        <f aca="false">IF(A802="","",IF(AX802="G1","G1",IF(AX802="G2","G2",IF(AX802="G3","G3",IF(AX802="L","L","その他")))))</f>
        <v>その他</v>
      </c>
      <c r="BT802" s="8" t="str">
        <f aca="false">IF(A802="","",IF(BI802="","未結合",IF(D802=BI802,"一致","不一致")))</f>
        <v>一致</v>
      </c>
      <c r="BU802" s="8" t="str">
        <f aca="false">IF(A802="","",IF(BE802="牝馬限定","牝馬限定","その他"))</f>
        <v>その他</v>
      </c>
    </row>
    <row r="803" customFormat="false" ht="15.75" hidden="false" customHeight="false" outlineLevel="0" collapsed="false">
      <c r="A803" s="6" t="n">
        <f aca="false">DATE(2026,8,23)</f>
        <v>46257</v>
      </c>
      <c r="B803" s="4" t="s">
        <v>13</v>
      </c>
      <c r="C803" s="8" t="n">
        <v>5</v>
      </c>
      <c r="D803" s="8" t="n">
        <v>18</v>
      </c>
      <c r="E803" s="8" t="n">
        <v>4</v>
      </c>
      <c r="F803" s="4" t="s">
        <v>4702</v>
      </c>
      <c r="G803" s="8" t="n">
        <v>60</v>
      </c>
      <c r="H803" s="8" t="n">
        <v>14</v>
      </c>
      <c r="I803" s="8"/>
      <c r="J803" s="8" t="n">
        <v>44</v>
      </c>
      <c r="K803" s="8" t="n">
        <v>2</v>
      </c>
      <c r="L803" s="8"/>
      <c r="M803" s="8" t="n">
        <v>34</v>
      </c>
      <c r="N803" s="8" t="n">
        <f aca="false">IF(A803="","",G803-J803)</f>
        <v>16</v>
      </c>
      <c r="O803" s="8" t="n">
        <f aca="false">IF(A803="","",J803-M803)</f>
        <v>10</v>
      </c>
      <c r="P803" s="8" t="n">
        <f aca="false">IF(A803="","",G803+J803)</f>
        <v>104</v>
      </c>
      <c r="Q803" s="8" t="str">
        <f aca="false">IF(A803="","",IF(AND(Y803&lt;&gt;"参考",G803&gt;=ルール設定!$B$2),"○",""))</f>
        <v/>
      </c>
      <c r="R803" s="8" t="str">
        <f aca="false">IF(A803="","",IF(AND(Y803&lt;&gt;"参考",G803&gt;=ルール設定!$B$3,N803&gt;=ルール設定!$B$4),"○",""))</f>
        <v/>
      </c>
      <c r="S803" s="8" t="str">
        <f aca="false">IF(A803="","",IF(AND(Y803&lt;&gt;"参考",G803&gt;=ルール設定!$B$5,J803&gt;=ルール設定!$B$6,O803&gt;=ルール設定!$B$7),"○",""))</f>
        <v/>
      </c>
      <c r="T803" s="8" t="n">
        <v>2</v>
      </c>
      <c r="U803" s="8" t="n">
        <v>4</v>
      </c>
      <c r="V803" s="8" t="str">
        <f aca="false">IF(A803="","",IF(AND(ISNUMBER(T803),ISNUMBER(U803)),IF(AND(T803&lt;=3,U803&lt;=3),"○","×"),""))</f>
        <v>×</v>
      </c>
      <c r="W803" s="8" t="n">
        <v>140</v>
      </c>
      <c r="X803" s="8"/>
      <c r="Y803" s="4" t="s">
        <v>7597</v>
      </c>
      <c r="Z803" s="8" t="s">
        <v>7976</v>
      </c>
      <c r="AA803" s="8" t="str">
        <v/>
      </c>
      <c r="AB803" s="8" t="str">
        <v/>
      </c>
      <c r="AC803" s="8" t="str">
        <v/>
      </c>
      <c r="AD803" s="8" t="str">
        <v/>
      </c>
      <c r="AE803" s="8" t="str">
        <v/>
      </c>
      <c r="AF803" s="8" t="str">
        <v/>
      </c>
      <c r="AG803" s="8" t="str">
        <v/>
      </c>
      <c r="AH803" s="8" t="str">
        <v/>
      </c>
      <c r="AI803" s="8" t="n">
        <v>26</v>
      </c>
      <c r="AJ803" s="8" t="str">
        <v>60～69</v>
      </c>
      <c r="AK803" s="8" t="str">
        <v>10～19</v>
      </c>
      <c r="AL803" s="8" t="str">
        <v>20～29</v>
      </c>
      <c r="AM803" s="8" t="str">
        <v>100～119</v>
      </c>
      <c r="AN803" s="8" t="str">
        <v>15以上</v>
      </c>
      <c r="AO803" s="8" t="str">
        <f aca="false">IF(A803="","",IF(COUNTIFS(全馬データ!$A$2:$A$50000,A803,全馬データ!$B$2:$B$50000,B803,全馬データ!$C$2:$C$50000,C803,全馬データ!$D$2:$D$50000,E803,全馬データ!$K$2:$K$50000,"&lt;&gt;")=0,"",SUMIFS(全馬データ!$K$2:$K$50000,全馬データ!$A$2:$A$50000,A803,全馬データ!$B$2:$B$50000,B803,全馬データ!$C$2:$C$50000,C803,全馬データ!$D$2:$D$50000,E803)))</f>
        <v/>
      </c>
      <c r="AP803" s="8" t="str">
        <f aca="false">IF(A803="","",IF(AO803="","欠損",IF(AO803&lt;=1.1,"1.0～1.1",IF(AO803&lt;1.3,"1.2",IF(AO803&lt;1.5,"1.3～1.4",IF(AO803&lt;2,"1.5～1.9","2.0以上"))))))</f>
        <v>欠損</v>
      </c>
      <c r="AQ803" s="8" t="str">
        <f aca="false">IF(A803="","",IF(ISNUMBER(SEARCH("2歳",Z803)),"2歳戦",IF(ISNUMBER(SEARCH("3歳未勝利",Z803)),"3歳未勝利",IF(ISNUMBER(SEARCH("未勝利",Z803)),"その他未勝利",IF(ISNUMBER(SEARCH("G1",Z803)),"G1",IF(ISNUMBER(SEARCH("G2",Z803)),"G2",IF(ISNUMBER(SEARCH("G3",Z803)),"G3",IF(ISNUMBER(SEARCH("古馬条件",Z803)),"古馬条件戦",IF(ISNUMBER(SEARCH("重賞",Z803)),"重賞","分類不能")))))))))</f>
        <v>分類不能</v>
      </c>
      <c r="AR803" s="8"/>
      <c r="AS803" s="8" t="s">
        <v>7623</v>
      </c>
      <c r="AT803" s="8" t="s">
        <v>7624</v>
      </c>
      <c r="AU803" s="8" t="s">
        <v>7600</v>
      </c>
      <c r="AV803" s="4" t="s">
        <v>7601</v>
      </c>
      <c r="AW803" s="8"/>
      <c r="AX803" s="8"/>
      <c r="AY803" s="8" t="s">
        <v>7602</v>
      </c>
      <c r="AZ803" s="4" t="s">
        <v>7603</v>
      </c>
      <c r="BA803" s="8" t="n">
        <v>1800</v>
      </c>
      <c r="BB803" s="8" t="s">
        <v>7634</v>
      </c>
      <c r="BC803" s="4" t="s">
        <v>7604</v>
      </c>
      <c r="BD803" s="8" t="s">
        <v>7621</v>
      </c>
      <c r="BE803" s="4" t="s">
        <v>7622</v>
      </c>
      <c r="BF803" s="8" t="s">
        <v>7602</v>
      </c>
      <c r="BG803" s="8" t="s">
        <v>7608</v>
      </c>
      <c r="BH803" s="4" t="s">
        <v>7609</v>
      </c>
      <c r="BI803" s="8" t="n">
        <v>18</v>
      </c>
      <c r="BJ803" s="8" t="s">
        <v>7610</v>
      </c>
      <c r="BK803" s="4" t="s">
        <v>7611</v>
      </c>
      <c r="BL803" s="8" t="s">
        <v>7610</v>
      </c>
      <c r="BM803" s="4" t="s">
        <v>7612</v>
      </c>
      <c r="BN803" s="8" t="s">
        <v>7602</v>
      </c>
      <c r="BO803" s="8" t="s">
        <v>7613</v>
      </c>
      <c r="BP803" s="8" t="s">
        <v>7602</v>
      </c>
      <c r="BQ803" s="8" t="str">
        <f aca="false">IF(A803="","",AT803)</f>
        <v>3歳</v>
      </c>
      <c r="BR803" s="8" t="str">
        <f aca="false">IF(A803="","",IF(BA803&lt;=1200,"～1200",IF(BA803&lt;=1500,"1300～1500",IF(BA803=1600,"1600",IF(BA803&lt;=1800,"1700～1800",IF(BA803&lt;=2000,"1900～2000","2100以上"))))))</f>
        <v>1700～1800</v>
      </c>
      <c r="BS803" s="8" t="str">
        <f aca="false">IF(A803="","",IF(AX803="G1","G1",IF(AX803="G2","G2",IF(AX803="G3","G3",IF(AX803="L","L","その他")))))</f>
        <v>その他</v>
      </c>
      <c r="BT803" s="8" t="str">
        <f aca="false">IF(A803="","",IF(BI803="","未結合",IF(D803=BI803,"一致","不一致")))</f>
        <v>一致</v>
      </c>
      <c r="BU803" s="8" t="str">
        <f aca="false">IF(A803="","",IF(BE803="牝馬限定","牝馬限定","その他"))</f>
        <v>牝馬限定</v>
      </c>
    </row>
    <row r="804" customFormat="false" ht="15.75" hidden="false" customHeight="false" outlineLevel="0" collapsed="false">
      <c r="A804" s="6" t="n">
        <f aca="false">DATE(2026,8,23)</f>
        <v>46257</v>
      </c>
      <c r="B804" s="4" t="s">
        <v>13</v>
      </c>
      <c r="C804" s="8" t="n">
        <v>6</v>
      </c>
      <c r="D804" s="8" t="n">
        <v>15</v>
      </c>
      <c r="E804" s="8" t="n">
        <v>7</v>
      </c>
      <c r="F804" s="4" t="s">
        <v>4031</v>
      </c>
      <c r="G804" s="8" t="n">
        <v>41</v>
      </c>
      <c r="H804" s="8" t="n">
        <v>14</v>
      </c>
      <c r="I804" s="4" t="s">
        <v>3757</v>
      </c>
      <c r="J804" s="8" t="n">
        <v>41</v>
      </c>
      <c r="K804" s="8" t="n">
        <v>8</v>
      </c>
      <c r="L804" s="8"/>
      <c r="M804" s="8" t="n">
        <v>39</v>
      </c>
      <c r="N804" s="8" t="n">
        <f aca="false">IF(A804="","",G804-J804)</f>
        <v>0</v>
      </c>
      <c r="O804" s="8" t="n">
        <f aca="false">IF(A804="","",J804-M804)</f>
        <v>2</v>
      </c>
      <c r="P804" s="8" t="n">
        <f aca="false">IF(A804="","",G804+J804)</f>
        <v>82</v>
      </c>
      <c r="Q804" s="8" t="str">
        <f aca="false">IF(A804="","",IF(AND(Y804&lt;&gt;"参考",G804&gt;=ルール設定!$B$2),"○",""))</f>
        <v/>
      </c>
      <c r="R804" s="8" t="str">
        <f aca="false">IF(A804="","",IF(AND(Y804&lt;&gt;"参考",G804&gt;=ルール設定!$B$3,N804&gt;=ルール設定!$B$4),"○",""))</f>
        <v/>
      </c>
      <c r="S804" s="8" t="str">
        <f aca="false">IF(A804="","",IF(AND(Y804&lt;&gt;"参考",G804&gt;=ルール設定!$B$5,J804&gt;=ルール設定!$B$6,O804&gt;=ルール設定!$B$7),"○",""))</f>
        <v/>
      </c>
      <c r="T804" s="8" t="n">
        <v>3</v>
      </c>
      <c r="U804" s="8" t="n">
        <v>2</v>
      </c>
      <c r="V804" s="8" t="str">
        <f aca="false">IF(A804="","",IF(AND(ISNUMBER(T804),ISNUMBER(U804)),IF(AND(T804&lt;=3,U804&lt;=3),"○","×"),""))</f>
        <v>○</v>
      </c>
      <c r="W804" s="8" t="n">
        <v>140</v>
      </c>
      <c r="X804" s="8" t="n">
        <v>340</v>
      </c>
      <c r="Y804" s="4" t="s">
        <v>7597</v>
      </c>
      <c r="Z804" s="8" t="s">
        <v>7977</v>
      </c>
      <c r="AA804" s="8" t="str">
        <v/>
      </c>
      <c r="AB804" s="8" t="str">
        <v/>
      </c>
      <c r="AC804" s="8" t="str">
        <v/>
      </c>
      <c r="AD804" s="8" t="str">
        <v/>
      </c>
      <c r="AE804" s="8" t="str">
        <v/>
      </c>
      <c r="AF804" s="8" t="str">
        <v/>
      </c>
      <c r="AG804" s="8" t="str">
        <v/>
      </c>
      <c r="AH804" s="8" t="str">
        <v/>
      </c>
      <c r="AI804" s="8" t="n">
        <v>2</v>
      </c>
      <c r="AJ804" s="8" t="str">
        <v>～59</v>
      </c>
      <c r="AK804" s="8" t="str">
        <v>0～4</v>
      </c>
      <c r="AL804" s="8" t="str">
        <v>0～9</v>
      </c>
      <c r="AM804" s="8" t="str">
        <v>～99</v>
      </c>
      <c r="AN804" s="8" t="str">
        <v>15以上</v>
      </c>
      <c r="AO804" s="8" t="str">
        <f aca="false">IF(A804="","",IF(COUNTIFS(全馬データ!$A$2:$A$50000,A804,全馬データ!$B$2:$B$50000,B804,全馬データ!$C$2:$C$50000,C804,全馬データ!$D$2:$D$50000,E804,全馬データ!$K$2:$K$50000,"&lt;&gt;")=0,"",SUMIFS(全馬データ!$K$2:$K$50000,全馬データ!$A$2:$A$50000,A804,全馬データ!$B$2:$B$50000,B804,全馬データ!$C$2:$C$50000,C804,全馬データ!$D$2:$D$50000,E804)))</f>
        <v/>
      </c>
      <c r="AP804" s="8" t="str">
        <f aca="false">IF(A804="","",IF(AO804="","欠損",IF(AO804&lt;=1.1,"1.0～1.1",IF(AO804&lt;1.3,"1.2",IF(AO804&lt;1.5,"1.3～1.4",IF(AO804&lt;2,"1.5～1.9","2.0以上"))))))</f>
        <v>欠損</v>
      </c>
      <c r="AQ804" s="8" t="str">
        <f aca="false">IF(A804="","",IF(ISNUMBER(SEARCH("2歳",Z804)),"2歳戦",IF(ISNUMBER(SEARCH("3歳未勝利",Z804)),"3歳未勝利",IF(ISNUMBER(SEARCH("未勝利",Z804)),"その他未勝利",IF(ISNUMBER(SEARCH("G1",Z804)),"G1",IF(ISNUMBER(SEARCH("G2",Z804)),"G2",IF(ISNUMBER(SEARCH("G3",Z804)),"G3",IF(ISNUMBER(SEARCH("古馬条件",Z804)),"古馬条件戦",IF(ISNUMBER(SEARCH("重賞",Z804)),"重賞","分類不能")))))))))</f>
        <v>分類不能</v>
      </c>
      <c r="AR804" s="4" t="s">
        <v>7978</v>
      </c>
      <c r="AS804" s="8" t="s">
        <v>7626</v>
      </c>
      <c r="AT804" s="8" t="s">
        <v>7627</v>
      </c>
      <c r="AU804" s="8" t="s">
        <v>7639</v>
      </c>
      <c r="AV804" s="8" t="s">
        <v>7640</v>
      </c>
      <c r="AW804" s="8" t="s">
        <v>7636</v>
      </c>
      <c r="AX804" s="4" t="s">
        <v>7637</v>
      </c>
      <c r="AY804" s="8" t="s">
        <v>7610</v>
      </c>
      <c r="AZ804" s="4" t="s">
        <v>7617</v>
      </c>
      <c r="BA804" s="8" t="n">
        <v>1800</v>
      </c>
      <c r="BB804" s="8" t="s">
        <v>7634</v>
      </c>
      <c r="BC804" s="4" t="s">
        <v>7604</v>
      </c>
      <c r="BD804" s="8" t="s">
        <v>7630</v>
      </c>
      <c r="BE804" s="4" t="s">
        <v>7606</v>
      </c>
      <c r="BF804" s="8" t="s">
        <v>7607</v>
      </c>
      <c r="BG804" s="8" t="s">
        <v>7631</v>
      </c>
      <c r="BH804" s="4" t="s">
        <v>7632</v>
      </c>
      <c r="BI804" s="8" t="n">
        <v>15</v>
      </c>
      <c r="BJ804" s="8" t="s">
        <v>7610</v>
      </c>
      <c r="BK804" s="4" t="s">
        <v>7611</v>
      </c>
      <c r="BL804" s="8" t="s">
        <v>7602</v>
      </c>
      <c r="BM804" s="4" t="s">
        <v>7620</v>
      </c>
      <c r="BN804" s="8"/>
      <c r="BO804" s="8"/>
      <c r="BP804" s="8" t="s">
        <v>7602</v>
      </c>
      <c r="BQ804" s="8" t="str">
        <f aca="false">IF(A804="","",AT804)</f>
        <v>3歳以上</v>
      </c>
      <c r="BR804" s="8" t="str">
        <f aca="false">IF(A804="","",IF(BA804&lt;=1200,"～1200",IF(BA804&lt;=1500,"1300～1500",IF(BA804=1600,"1600",IF(BA804&lt;=1800,"1700～1800",IF(BA804&lt;=2000,"1900～2000","2100以上"))))))</f>
        <v>1700～1800</v>
      </c>
      <c r="BS804" s="8" t="str">
        <f aca="false">IF(A804="","",IF(AX804="G1","G1",IF(AX804="G2","G2",IF(AX804="G3","G3",IF(AX804="L","L","その他")))))</f>
        <v>その他</v>
      </c>
      <c r="BT804" s="8" t="str">
        <f aca="false">IF(A804="","",IF(BI804="","未結合",IF(D804=BI804,"一致","不一致")))</f>
        <v>一致</v>
      </c>
      <c r="BU804" s="8" t="str">
        <f aca="false">IF(A804="","",IF(BE804="牝馬限定","牝馬限定","その他"))</f>
        <v>その他</v>
      </c>
    </row>
    <row r="805" customFormat="false" ht="15.75" hidden="false" customHeight="false" outlineLevel="0" collapsed="false">
      <c r="A805" s="6" t="n">
        <f aca="false">DATE(2026,8,23)</f>
        <v>46257</v>
      </c>
      <c r="B805" s="4" t="s">
        <v>13</v>
      </c>
      <c r="C805" s="8" t="n">
        <v>7</v>
      </c>
      <c r="D805" s="8" t="n">
        <v>10</v>
      </c>
      <c r="E805" s="8" t="n">
        <v>10</v>
      </c>
      <c r="F805" s="8"/>
      <c r="G805" s="8" t="n">
        <v>81</v>
      </c>
      <c r="H805" s="8" t="n">
        <v>2</v>
      </c>
      <c r="I805" s="4" t="s">
        <v>6535</v>
      </c>
      <c r="J805" s="8" t="n">
        <v>56</v>
      </c>
      <c r="K805" s="8" t="n">
        <v>3</v>
      </c>
      <c r="L805" s="4" t="s">
        <v>6536</v>
      </c>
      <c r="M805" s="8" t="n">
        <v>44</v>
      </c>
      <c r="N805" s="8" t="n">
        <f aca="false">IF(A805="","",G805-J805)</f>
        <v>25</v>
      </c>
      <c r="O805" s="8" t="n">
        <f aca="false">IF(A805="","",J805-M805)</f>
        <v>12</v>
      </c>
      <c r="P805" s="8" t="n">
        <f aca="false">IF(A805="","",G805+J805)</f>
        <v>137</v>
      </c>
      <c r="Q805" s="8" t="str">
        <f aca="false">IF(A805="","",IF(AND(Y805&lt;&gt;"参考",G805&gt;=ルール設定!$B$2),"○",""))</f>
        <v>○</v>
      </c>
      <c r="R805" s="8" t="str">
        <f aca="false">IF(A805="","",IF(AND(Y805&lt;&gt;"参考",G805&gt;=ルール設定!$B$3,N805&gt;=ルール設定!$B$4),"○",""))</f>
        <v/>
      </c>
      <c r="S805" s="8" t="str">
        <f aca="false">IF(A805="","",IF(AND(Y805&lt;&gt;"参考",G805&gt;=ルール設定!$B$5,J805&gt;=ルール設定!$B$6,O805&gt;=ルール設定!$B$7),"○",""))</f>
        <v/>
      </c>
      <c r="T805" s="8" t="n">
        <v>4</v>
      </c>
      <c r="U805" s="8" t="n">
        <v>1</v>
      </c>
      <c r="V805" s="8" t="str">
        <f aca="false">IF(A805="","",IF(AND(ISNUMBER(T805),ISNUMBER(U805)),IF(AND(T805&lt;=3,U805&lt;=3),"○","×"),""))</f>
        <v>×</v>
      </c>
      <c r="W805" s="8"/>
      <c r="X805" s="8"/>
      <c r="Y805" s="4" t="s">
        <v>7597</v>
      </c>
      <c r="Z805" s="8" t="s">
        <v>7979</v>
      </c>
      <c r="AA805" s="8" t="str">
        <v/>
      </c>
      <c r="AB805" s="8" t="str">
        <v>○</v>
      </c>
      <c r="AC805" s="8" t="str">
        <v>○</v>
      </c>
      <c r="AD805" s="8" t="str">
        <v/>
      </c>
      <c r="AE805" s="8" t="str">
        <v/>
      </c>
      <c r="AF805" s="8" t="str">
        <v/>
      </c>
      <c r="AG805" s="8" t="str">
        <v>○</v>
      </c>
      <c r="AH805" s="8" t="str">
        <v/>
      </c>
      <c r="AI805" s="8" t="n">
        <v>37</v>
      </c>
      <c r="AJ805" s="8" t="str">
        <v>80～84</v>
      </c>
      <c r="AK805" s="8" t="str">
        <v>20～29</v>
      </c>
      <c r="AL805" s="8" t="str">
        <v>30～39</v>
      </c>
      <c r="AM805" s="8" t="str">
        <v>120～139</v>
      </c>
      <c r="AN805" s="8" t="str">
        <v>8～11</v>
      </c>
      <c r="AO805" s="8" t="str">
        <f aca="false">IF(A805="","",IF(COUNTIFS(全馬データ!$A$2:$A$50000,A805,全馬データ!$B$2:$B$50000,B805,全馬データ!$C$2:$C$50000,C805,全馬データ!$D$2:$D$50000,E805,全馬データ!$K$2:$K$50000,"&lt;&gt;")=0,"",SUMIFS(全馬データ!$K$2:$K$50000,全馬データ!$A$2:$A$50000,A805,全馬データ!$B$2:$B$50000,B805,全馬データ!$C$2:$C$50000,C805,全馬データ!$D$2:$D$50000,E805)))</f>
        <v/>
      </c>
      <c r="AP805" s="8" t="str">
        <f aca="false">IF(A805="","",IF(AO805="","欠損",IF(AO805&lt;=1.1,"1.0～1.1",IF(AO805&lt;1.3,"1.2",IF(AO805&lt;1.5,"1.3～1.4",IF(AO805&lt;2,"1.5～1.9","2.0以上"))))))</f>
        <v>欠損</v>
      </c>
      <c r="AQ805" s="8" t="str">
        <f aca="false">IF(A805="","",IF(ISNUMBER(SEARCH("2歳",Z805)),"2歳戦",IF(ISNUMBER(SEARCH("3歳未勝利",Z805)),"3歳未勝利",IF(ISNUMBER(SEARCH("未勝利",Z805)),"その他未勝利",IF(ISNUMBER(SEARCH("G1",Z805)),"G1",IF(ISNUMBER(SEARCH("G2",Z805)),"G2",IF(ISNUMBER(SEARCH("G3",Z805)),"G3",IF(ISNUMBER(SEARCH("古馬条件",Z805)),"古馬条件戦",IF(ISNUMBER(SEARCH("重賞",Z805)),"重賞","分類不能")))))))))</f>
        <v>分類不能</v>
      </c>
      <c r="AR805" s="4" t="s">
        <v>7980</v>
      </c>
      <c r="AS805" s="8" t="s">
        <v>7598</v>
      </c>
      <c r="AT805" s="8" t="s">
        <v>7599</v>
      </c>
      <c r="AU805" s="8" t="s">
        <v>7643</v>
      </c>
      <c r="AV805" s="4" t="s">
        <v>7644</v>
      </c>
      <c r="AW805" s="8" t="s">
        <v>7608</v>
      </c>
      <c r="AX805" s="8" t="s">
        <v>7664</v>
      </c>
      <c r="AY805" s="8" t="s">
        <v>7602</v>
      </c>
      <c r="AZ805" s="4" t="s">
        <v>7603</v>
      </c>
      <c r="BA805" s="8" t="n">
        <v>1600</v>
      </c>
      <c r="BB805" s="8" t="s">
        <v>7634</v>
      </c>
      <c r="BC805" s="4" t="s">
        <v>7604</v>
      </c>
      <c r="BD805" s="8" t="s">
        <v>7666</v>
      </c>
      <c r="BE805" s="4" t="s">
        <v>7606</v>
      </c>
      <c r="BF805" s="8" t="s">
        <v>7607</v>
      </c>
      <c r="BG805" s="8" t="s">
        <v>7608</v>
      </c>
      <c r="BH805" s="4" t="s">
        <v>7609</v>
      </c>
      <c r="BI805" s="8" t="n">
        <v>10</v>
      </c>
      <c r="BJ805" s="8" t="s">
        <v>7610</v>
      </c>
      <c r="BK805" s="4" t="s">
        <v>7611</v>
      </c>
      <c r="BL805" s="8" t="s">
        <v>7610</v>
      </c>
      <c r="BM805" s="4" t="s">
        <v>7612</v>
      </c>
      <c r="BN805" s="8" t="s">
        <v>7602</v>
      </c>
      <c r="BO805" s="8" t="s">
        <v>7613</v>
      </c>
      <c r="BP805" s="8" t="s">
        <v>7602</v>
      </c>
      <c r="BQ805" s="8" t="str">
        <f aca="false">IF(A805="","",AT805)</f>
        <v>2歳</v>
      </c>
      <c r="BR805" s="8" t="str">
        <f aca="false">IF(A805="","",IF(BA805&lt;=1200,"～1200",IF(BA805&lt;=1500,"1300～1500",IF(BA805=1600,"1600",IF(BA805&lt;=1800,"1700～1800",IF(BA805&lt;=2000,"1900～2000","2100以上"))))))</f>
        <v>1600</v>
      </c>
      <c r="BS805" s="8" t="str">
        <f aca="false">IF(A805="","",IF(AX805="G1","G1",IF(AX805="G2","G2",IF(AX805="G3","G3",IF(AX805="L","L","その他")))))</f>
        <v>G3</v>
      </c>
      <c r="BT805" s="8" t="str">
        <f aca="false">IF(A805="","",IF(BI805="","未結合",IF(D805=BI805,"一致","不一致")))</f>
        <v>一致</v>
      </c>
      <c r="BU805" s="8" t="str">
        <f aca="false">IF(A805="","",IF(BE805="牝馬限定","牝馬限定","その他"))</f>
        <v>その他</v>
      </c>
    </row>
    <row r="806" customFormat="false" ht="15.75" hidden="false" customHeight="false" outlineLevel="0" collapsed="false">
      <c r="A806" s="6" t="n">
        <f aca="false">DATE(2026,8,23)</f>
        <v>46257</v>
      </c>
      <c r="B806" s="4" t="s">
        <v>13</v>
      </c>
      <c r="C806" s="8" t="n">
        <v>8</v>
      </c>
      <c r="D806" s="8" t="n">
        <v>12</v>
      </c>
      <c r="E806" s="8" t="n">
        <v>7</v>
      </c>
      <c r="F806" s="4" t="s">
        <v>3082</v>
      </c>
      <c r="G806" s="8" t="n">
        <v>50</v>
      </c>
      <c r="H806" s="8" t="n">
        <v>6</v>
      </c>
      <c r="I806" s="8"/>
      <c r="J806" s="8" t="n">
        <v>41</v>
      </c>
      <c r="K806" s="8" t="n">
        <v>8</v>
      </c>
      <c r="L806" s="4" t="s">
        <v>6537</v>
      </c>
      <c r="M806" s="8" t="n">
        <v>39</v>
      </c>
      <c r="N806" s="8" t="n">
        <f aca="false">IF(A806="","",G806-J806)</f>
        <v>9</v>
      </c>
      <c r="O806" s="8" t="n">
        <f aca="false">IF(A806="","",J806-M806)</f>
        <v>2</v>
      </c>
      <c r="P806" s="8" t="n">
        <f aca="false">IF(A806="","",G806+J806)</f>
        <v>91</v>
      </c>
      <c r="Q806" s="8" t="str">
        <f aca="false">IF(A806="","",IF(AND(Y806&lt;&gt;"参考",G806&gt;=ルール設定!$B$2),"○",""))</f>
        <v/>
      </c>
      <c r="R806" s="8" t="str">
        <f aca="false">IF(A806="","",IF(AND(Y806&lt;&gt;"参考",G806&gt;=ルール設定!$B$3,N806&gt;=ルール設定!$B$4),"○",""))</f>
        <v/>
      </c>
      <c r="S806" s="8" t="str">
        <f aca="false">IF(A806="","",IF(AND(Y806&lt;&gt;"参考",G806&gt;=ルール設定!$B$5,J806&gt;=ルール設定!$B$6,O806&gt;=ルール設定!$B$7),"○",""))</f>
        <v/>
      </c>
      <c r="T806" s="8" t="n">
        <v>2</v>
      </c>
      <c r="U806" s="8" t="n">
        <v>4</v>
      </c>
      <c r="V806" s="8" t="str">
        <f aca="false">IF(A806="","",IF(AND(ISNUMBER(T806),ISNUMBER(U806)),IF(AND(T806&lt;=3,U806&lt;=3),"○","×"),""))</f>
        <v>×</v>
      </c>
      <c r="W806" s="8" t="n">
        <v>180</v>
      </c>
      <c r="X806" s="8"/>
      <c r="Y806" s="4" t="s">
        <v>7597</v>
      </c>
      <c r="Z806" s="8" t="s">
        <v>7981</v>
      </c>
      <c r="AA806" s="8" t="str">
        <v/>
      </c>
      <c r="AB806" s="8" t="str">
        <v/>
      </c>
      <c r="AC806" s="8" t="str">
        <v/>
      </c>
      <c r="AD806" s="8" t="str">
        <v/>
      </c>
      <c r="AE806" s="8" t="str">
        <v/>
      </c>
      <c r="AF806" s="8" t="str">
        <v/>
      </c>
      <c r="AG806" s="8" t="str">
        <v/>
      </c>
      <c r="AH806" s="8" t="str">
        <v/>
      </c>
      <c r="AI806" s="8" t="n">
        <v>11</v>
      </c>
      <c r="AJ806" s="8" t="str">
        <v>～59</v>
      </c>
      <c r="AK806" s="8" t="str">
        <v>5～9</v>
      </c>
      <c r="AL806" s="8" t="str">
        <v>10～19</v>
      </c>
      <c r="AM806" s="8" t="str">
        <v>～99</v>
      </c>
      <c r="AN806" s="8" t="str">
        <v>12～14</v>
      </c>
      <c r="AO806" s="8" t="str">
        <f aca="false">IF(A806="","",IF(COUNTIFS(全馬データ!$A$2:$A$50000,A806,全馬データ!$B$2:$B$50000,B806,全馬データ!$C$2:$C$50000,C806,全馬データ!$D$2:$D$50000,E806,全馬データ!$K$2:$K$50000,"&lt;&gt;")=0,"",SUMIFS(全馬データ!$K$2:$K$50000,全馬データ!$A$2:$A$50000,A806,全馬データ!$B$2:$B$50000,B806,全馬データ!$C$2:$C$50000,C806,全馬データ!$D$2:$D$50000,E806)))</f>
        <v/>
      </c>
      <c r="AP806" s="8" t="str">
        <f aca="false">IF(A806="","",IF(AO806="","欠損",IF(AO806&lt;=1.1,"1.0～1.1",IF(AO806&lt;1.3,"1.2",IF(AO806&lt;1.5,"1.3～1.4",IF(AO806&lt;2,"1.5～1.9","2.0以上"))))))</f>
        <v>欠損</v>
      </c>
      <c r="AQ806" s="8" t="str">
        <f aca="false">IF(A806="","",IF(ISNUMBER(SEARCH("2歳",Z806)),"2歳戦",IF(ISNUMBER(SEARCH("3歳未勝利",Z806)),"3歳未勝利",IF(ISNUMBER(SEARCH("未勝利",Z806)),"その他未勝利",IF(ISNUMBER(SEARCH("G1",Z806)),"G1",IF(ISNUMBER(SEARCH("G2",Z806)),"G2",IF(ISNUMBER(SEARCH("G3",Z806)),"G3",IF(ISNUMBER(SEARCH("古馬条件",Z806)),"古馬条件戦",IF(ISNUMBER(SEARCH("重賞",Z806)),"重賞","分類不能")))))))))</f>
        <v>分類不能</v>
      </c>
      <c r="AR806" s="4" t="s">
        <v>7982</v>
      </c>
      <c r="AS806" s="8" t="s">
        <v>7626</v>
      </c>
      <c r="AT806" s="8" t="s">
        <v>7627</v>
      </c>
      <c r="AU806" s="8" t="s">
        <v>7634</v>
      </c>
      <c r="AV806" s="8" t="s">
        <v>7635</v>
      </c>
      <c r="AW806" s="8" t="s">
        <v>7636</v>
      </c>
      <c r="AX806" s="4" t="s">
        <v>7637</v>
      </c>
      <c r="AY806" s="8" t="s">
        <v>7602</v>
      </c>
      <c r="AZ806" s="4" t="s">
        <v>7603</v>
      </c>
      <c r="BA806" s="8" t="n">
        <v>1400</v>
      </c>
      <c r="BB806" s="8" t="s">
        <v>7634</v>
      </c>
      <c r="BC806" s="4" t="s">
        <v>7604</v>
      </c>
      <c r="BD806" s="8" t="s">
        <v>7630</v>
      </c>
      <c r="BE806" s="4" t="s">
        <v>7606</v>
      </c>
      <c r="BF806" s="8" t="s">
        <v>7607</v>
      </c>
      <c r="BG806" s="8" t="s">
        <v>7631</v>
      </c>
      <c r="BH806" s="4" t="s">
        <v>7632</v>
      </c>
      <c r="BI806" s="8" t="n">
        <v>12</v>
      </c>
      <c r="BJ806" s="8" t="s">
        <v>7610</v>
      </c>
      <c r="BK806" s="4" t="s">
        <v>7611</v>
      </c>
      <c r="BL806" s="8" t="s">
        <v>7602</v>
      </c>
      <c r="BM806" s="4" t="s">
        <v>7620</v>
      </c>
      <c r="BN806" s="8" t="s">
        <v>7602</v>
      </c>
      <c r="BO806" s="8" t="s">
        <v>7613</v>
      </c>
      <c r="BP806" s="8" t="s">
        <v>7602</v>
      </c>
      <c r="BQ806" s="8" t="str">
        <f aca="false">IF(A806="","",AT806)</f>
        <v>3歳以上</v>
      </c>
      <c r="BR806" s="8" t="str">
        <f aca="false">IF(A806="","",IF(BA806&lt;=1200,"～1200",IF(BA806&lt;=1500,"1300～1500",IF(BA806=1600,"1600",IF(BA806&lt;=1800,"1700～1800",IF(BA806&lt;=2000,"1900～2000","2100以上"))))))</f>
        <v>1300～1500</v>
      </c>
      <c r="BS806" s="8" t="str">
        <f aca="false">IF(A806="","",IF(AX806="G1","G1",IF(AX806="G2","G2",IF(AX806="G3","G3",IF(AX806="L","L","その他")))))</f>
        <v>その他</v>
      </c>
      <c r="BT806" s="8" t="str">
        <f aca="false">IF(A806="","",IF(BI806="","未結合",IF(D806=BI806,"一致","不一致")))</f>
        <v>一致</v>
      </c>
      <c r="BU806" s="8" t="str">
        <f aca="false">IF(A806="","",IF(BE806="牝馬限定","牝馬限定","その他"))</f>
        <v>その他</v>
      </c>
    </row>
    <row r="807" customFormat="false" ht="15.75" hidden="false" customHeight="false" outlineLevel="0" collapsed="false">
      <c r="A807" s="6" t="n">
        <f aca="false">DATE(2026,8,23)</f>
        <v>46257</v>
      </c>
      <c r="B807" s="4" t="s">
        <v>13</v>
      </c>
      <c r="C807" s="8" t="n">
        <v>9</v>
      </c>
      <c r="D807" s="8" t="n">
        <v>15</v>
      </c>
      <c r="E807" s="8" t="n">
        <v>15</v>
      </c>
      <c r="F807" s="4" t="s">
        <v>1087</v>
      </c>
      <c r="G807" s="8" t="n">
        <v>56</v>
      </c>
      <c r="H807" s="8" t="n">
        <v>8</v>
      </c>
      <c r="I807" s="8"/>
      <c r="J807" s="8" t="n">
        <v>44</v>
      </c>
      <c r="K807" s="8" t="n">
        <v>6</v>
      </c>
      <c r="L807" s="8"/>
      <c r="M807" s="8" t="n">
        <v>41</v>
      </c>
      <c r="N807" s="8" t="n">
        <f aca="false">IF(A807="","",G807-J807)</f>
        <v>12</v>
      </c>
      <c r="O807" s="8" t="n">
        <f aca="false">IF(A807="","",J807-M807)</f>
        <v>3</v>
      </c>
      <c r="P807" s="8" t="n">
        <f aca="false">IF(A807="","",G807+J807)</f>
        <v>100</v>
      </c>
      <c r="Q807" s="8" t="str">
        <f aca="false">IF(A807="","",IF(AND(Y807&lt;&gt;"参考",G807&gt;=ルール設定!$B$2),"○",""))</f>
        <v/>
      </c>
      <c r="R807" s="8" t="str">
        <f aca="false">IF(A807="","",IF(AND(Y807&lt;&gt;"参考",G807&gt;=ルール設定!$B$3,N807&gt;=ルール設定!$B$4),"○",""))</f>
        <v/>
      </c>
      <c r="S807" s="8" t="str">
        <f aca="false">IF(A807="","",IF(AND(Y807&lt;&gt;"参考",G807&gt;=ルール設定!$B$5,J807&gt;=ルール設定!$B$6,O807&gt;=ルール設定!$B$7),"○",""))</f>
        <v/>
      </c>
      <c r="T807" s="8" t="n">
        <v>1</v>
      </c>
      <c r="U807" s="8" t="n">
        <v>4</v>
      </c>
      <c r="V807" s="8" t="str">
        <f aca="false">IF(A807="","",IF(AND(ISNUMBER(T807),ISNUMBER(U807)),IF(AND(T807&lt;=3,U807&lt;=3),"○","×"),""))</f>
        <v>×</v>
      </c>
      <c r="W807" s="8" t="n">
        <v>160</v>
      </c>
      <c r="X807" s="8"/>
      <c r="Y807" s="4" t="s">
        <v>7597</v>
      </c>
      <c r="Z807" s="8" t="s">
        <v>7983</v>
      </c>
      <c r="AA807" s="8" t="str">
        <v/>
      </c>
      <c r="AB807" s="8" t="str">
        <v/>
      </c>
      <c r="AC807" s="8" t="str">
        <v/>
      </c>
      <c r="AD807" s="8" t="str">
        <v/>
      </c>
      <c r="AE807" s="8" t="str">
        <v/>
      </c>
      <c r="AF807" s="8" t="str">
        <v/>
      </c>
      <c r="AG807" s="8" t="str">
        <v/>
      </c>
      <c r="AH807" s="8" t="str">
        <v/>
      </c>
      <c r="AI807" s="8" t="n">
        <v>15</v>
      </c>
      <c r="AJ807" s="8" t="str">
        <v>～59</v>
      </c>
      <c r="AK807" s="8" t="str">
        <v>10～19</v>
      </c>
      <c r="AL807" s="8" t="str">
        <v>10～19</v>
      </c>
      <c r="AM807" s="8" t="str">
        <v>100～119</v>
      </c>
      <c r="AN807" s="8" t="str">
        <v>15以上</v>
      </c>
      <c r="AO807" s="8" t="str">
        <f aca="false">IF(A807="","",IF(COUNTIFS(全馬データ!$A$2:$A$50000,A807,全馬データ!$B$2:$B$50000,B807,全馬データ!$C$2:$C$50000,C807,全馬データ!$D$2:$D$50000,E807,全馬データ!$K$2:$K$50000,"&lt;&gt;")=0,"",SUMIFS(全馬データ!$K$2:$K$50000,全馬データ!$A$2:$A$50000,A807,全馬データ!$B$2:$B$50000,B807,全馬データ!$C$2:$C$50000,C807,全馬データ!$D$2:$D$50000,E807)))</f>
        <v/>
      </c>
      <c r="AP807" s="8" t="str">
        <f aca="false">IF(A807="","",IF(AO807="","欠損",IF(AO807&lt;=1.1,"1.0～1.1",IF(AO807&lt;1.3,"1.2",IF(AO807&lt;1.5,"1.3～1.4",IF(AO807&lt;2,"1.5～1.9","2.0以上"))))))</f>
        <v>欠損</v>
      </c>
      <c r="AQ807" s="8" t="str">
        <f aca="false">IF(A807="","",IF(ISNUMBER(SEARCH("2歳",Z807)),"2歳戦",IF(ISNUMBER(SEARCH("3歳未勝利",Z807)),"3歳未勝利",IF(ISNUMBER(SEARCH("未勝利",Z807)),"その他未勝利",IF(ISNUMBER(SEARCH("G1",Z807)),"G1",IF(ISNUMBER(SEARCH("G2",Z807)),"G2",IF(ISNUMBER(SEARCH("G3",Z807)),"G3",IF(ISNUMBER(SEARCH("古馬条件",Z807)),"古馬条件戦",IF(ISNUMBER(SEARCH("重賞",Z807)),"重賞","分類不能")))))))))</f>
        <v>分類不能</v>
      </c>
      <c r="AR807" s="8"/>
      <c r="AS807" s="8" t="s">
        <v>7626</v>
      </c>
      <c r="AT807" s="8" t="s">
        <v>7627</v>
      </c>
      <c r="AU807" s="8" t="s">
        <v>7628</v>
      </c>
      <c r="AV807" s="8" t="s">
        <v>7629</v>
      </c>
      <c r="AW807" s="8"/>
      <c r="AX807" s="8"/>
      <c r="AY807" s="8" t="s">
        <v>7610</v>
      </c>
      <c r="AZ807" s="4" t="s">
        <v>7617</v>
      </c>
      <c r="BA807" s="8" t="n">
        <v>1200</v>
      </c>
      <c r="BB807" s="8" t="s">
        <v>7634</v>
      </c>
      <c r="BC807" s="4" t="s">
        <v>7604</v>
      </c>
      <c r="BD807" s="8" t="s">
        <v>7605</v>
      </c>
      <c r="BE807" s="4" t="s">
        <v>7606</v>
      </c>
      <c r="BF807" s="8" t="s">
        <v>7607</v>
      </c>
      <c r="BG807" s="8" t="s">
        <v>7631</v>
      </c>
      <c r="BH807" s="4" t="s">
        <v>7632</v>
      </c>
      <c r="BI807" s="8" t="n">
        <v>15</v>
      </c>
      <c r="BJ807" s="8" t="s">
        <v>7610</v>
      </c>
      <c r="BK807" s="4" t="s">
        <v>7611</v>
      </c>
      <c r="BL807" s="8" t="s">
        <v>7602</v>
      </c>
      <c r="BM807" s="4" t="s">
        <v>7620</v>
      </c>
      <c r="BN807" s="8"/>
      <c r="BO807" s="8"/>
      <c r="BP807" s="8" t="s">
        <v>7602</v>
      </c>
      <c r="BQ807" s="8" t="str">
        <f aca="false">IF(A807="","",AT807)</f>
        <v>3歳以上</v>
      </c>
      <c r="BR807" s="8" t="str">
        <f aca="false">IF(A807="","",IF(BA807&lt;=1200,"～1200",IF(BA807&lt;=1500,"1300～1500",IF(BA807=1600,"1600",IF(BA807&lt;=1800,"1700～1800",IF(BA807&lt;=2000,"1900～2000","2100以上"))))))</f>
        <v>～1200</v>
      </c>
      <c r="BS807" s="8" t="str">
        <f aca="false">IF(A807="","",IF(AX807="G1","G1",IF(AX807="G2","G2",IF(AX807="G3","G3",IF(AX807="L","L","その他")))))</f>
        <v>その他</v>
      </c>
      <c r="BT807" s="8" t="str">
        <f aca="false">IF(A807="","",IF(BI807="","未結合",IF(D807=BI807,"一致","不一致")))</f>
        <v>一致</v>
      </c>
      <c r="BU807" s="8" t="str">
        <f aca="false">IF(A807="","",IF(BE807="牝馬限定","牝馬限定","その他"))</f>
        <v>その他</v>
      </c>
    </row>
    <row r="808" customFormat="false" ht="15.75" hidden="false" customHeight="false" outlineLevel="0" collapsed="false">
      <c r="A808" s="6" t="n">
        <f aca="false">DATE(2026,8,23)</f>
        <v>46257</v>
      </c>
      <c r="B808" s="4" t="s">
        <v>13</v>
      </c>
      <c r="C808" s="8" t="n">
        <v>10</v>
      </c>
      <c r="D808" s="8" t="n">
        <v>12</v>
      </c>
      <c r="E808" s="8" t="n">
        <v>3</v>
      </c>
      <c r="F808" s="4" t="s">
        <v>68</v>
      </c>
      <c r="G808" s="8" t="n">
        <v>60</v>
      </c>
      <c r="H808" s="8" t="n">
        <v>11</v>
      </c>
      <c r="I808" s="8"/>
      <c r="J808" s="8" t="n">
        <v>47</v>
      </c>
      <c r="K808" s="8" t="n">
        <v>4</v>
      </c>
      <c r="L808" s="4" t="s">
        <v>4063</v>
      </c>
      <c r="M808" s="8" t="n">
        <v>37</v>
      </c>
      <c r="N808" s="8" t="n">
        <f aca="false">IF(A808="","",G808-J808)</f>
        <v>13</v>
      </c>
      <c r="O808" s="8" t="n">
        <f aca="false">IF(A808="","",J808-M808)</f>
        <v>10</v>
      </c>
      <c r="P808" s="8" t="n">
        <f aca="false">IF(A808="","",G808+J808)</f>
        <v>107</v>
      </c>
      <c r="Q808" s="8" t="str">
        <f aca="false">IF(A808="","",IF(AND(Y808&lt;&gt;"参考",G808&gt;=ルール設定!$B$2),"○",""))</f>
        <v/>
      </c>
      <c r="R808" s="8" t="str">
        <f aca="false">IF(A808="","",IF(AND(Y808&lt;&gt;"参考",G808&gt;=ルール設定!$B$3,N808&gt;=ルール設定!$B$4),"○",""))</f>
        <v/>
      </c>
      <c r="S808" s="8" t="str">
        <f aca="false">IF(A808="","",IF(AND(Y808&lt;&gt;"参考",G808&gt;=ルール設定!$B$5,J808&gt;=ルール設定!$B$6,O808&gt;=ルール設定!$B$7),"○",""))</f>
        <v/>
      </c>
      <c r="T808" s="8" t="n">
        <v>3</v>
      </c>
      <c r="U808" s="8" t="n">
        <v>4</v>
      </c>
      <c r="V808" s="8" t="str">
        <f aca="false">IF(A808="","",IF(AND(ISNUMBER(T808),ISNUMBER(U808)),IF(AND(T808&lt;=3,U808&lt;=3),"○","×"),""))</f>
        <v>×</v>
      </c>
      <c r="W808" s="8" t="n">
        <v>120</v>
      </c>
      <c r="X808" s="8"/>
      <c r="Y808" s="4" t="s">
        <v>7597</v>
      </c>
      <c r="Z808" s="8" t="s">
        <v>7984</v>
      </c>
      <c r="AA808" s="8" t="str">
        <v/>
      </c>
      <c r="AB808" s="8" t="str">
        <v/>
      </c>
      <c r="AC808" s="8" t="str">
        <v/>
      </c>
      <c r="AD808" s="8" t="str">
        <v/>
      </c>
      <c r="AE808" s="8" t="str">
        <v/>
      </c>
      <c r="AF808" s="8" t="str">
        <v/>
      </c>
      <c r="AG808" s="8" t="str">
        <v/>
      </c>
      <c r="AH808" s="8" t="str">
        <v/>
      </c>
      <c r="AI808" s="8" t="n">
        <v>23</v>
      </c>
      <c r="AJ808" s="8" t="str">
        <v>60～69</v>
      </c>
      <c r="AK808" s="8" t="str">
        <v>10～19</v>
      </c>
      <c r="AL808" s="8" t="str">
        <v>20～29</v>
      </c>
      <c r="AM808" s="8" t="str">
        <v>100～119</v>
      </c>
      <c r="AN808" s="8" t="str">
        <v>12～14</v>
      </c>
      <c r="AO808" s="8" t="str">
        <f aca="false">IF(A808="","",IF(COUNTIFS(全馬データ!$A$2:$A$50000,A808,全馬データ!$B$2:$B$50000,B808,全馬データ!$C$2:$C$50000,C808,全馬データ!$D$2:$D$50000,E808,全馬データ!$K$2:$K$50000,"&lt;&gt;")=0,"",SUMIFS(全馬データ!$K$2:$K$50000,全馬データ!$A$2:$A$50000,A808,全馬データ!$B$2:$B$50000,B808,全馬データ!$C$2:$C$50000,C808,全馬データ!$D$2:$D$50000,E808)))</f>
        <v/>
      </c>
      <c r="AP808" s="8" t="str">
        <f aca="false">IF(A808="","",IF(AO808="","欠損",IF(AO808&lt;=1.1,"1.0～1.1",IF(AO808&lt;1.3,"1.2",IF(AO808&lt;1.5,"1.3～1.4",IF(AO808&lt;2,"1.5～1.9","2.0以上"))))))</f>
        <v>欠損</v>
      </c>
      <c r="AQ808" s="8" t="str">
        <f aca="false">IF(A808="","",IF(ISNUMBER(SEARCH("2歳",Z808)),"2歳戦",IF(ISNUMBER(SEARCH("3歳未勝利",Z808)),"3歳未勝利",IF(ISNUMBER(SEARCH("未勝利",Z808)),"その他未勝利",IF(ISNUMBER(SEARCH("G1",Z808)),"G1",IF(ISNUMBER(SEARCH("G2",Z808)),"G2",IF(ISNUMBER(SEARCH("G3",Z808)),"G3",IF(ISNUMBER(SEARCH("古馬条件",Z808)),"古馬条件戦",IF(ISNUMBER(SEARCH("重賞",Z808)),"重賞","分類不能")))))))))</f>
        <v>分類不能</v>
      </c>
      <c r="AR808" s="8"/>
      <c r="AS808" s="8" t="s">
        <v>7626</v>
      </c>
      <c r="AT808" s="8" t="s">
        <v>7627</v>
      </c>
      <c r="AU808" s="8" t="s">
        <v>7628</v>
      </c>
      <c r="AV808" s="8" t="s">
        <v>7629</v>
      </c>
      <c r="AW808" s="8"/>
      <c r="AX808" s="8"/>
      <c r="AY808" s="8" t="s">
        <v>7602</v>
      </c>
      <c r="AZ808" s="4" t="s">
        <v>7603</v>
      </c>
      <c r="BA808" s="8" t="n">
        <v>2000</v>
      </c>
      <c r="BB808" s="8" t="s">
        <v>7634</v>
      </c>
      <c r="BC808" s="4" t="s">
        <v>7604</v>
      </c>
      <c r="BD808" s="8" t="s">
        <v>7630</v>
      </c>
      <c r="BE808" s="4" t="s">
        <v>7606</v>
      </c>
      <c r="BF808" s="8" t="s">
        <v>7607</v>
      </c>
      <c r="BG808" s="8" t="s">
        <v>7631</v>
      </c>
      <c r="BH808" s="4" t="s">
        <v>7632</v>
      </c>
      <c r="BI808" s="8" t="n">
        <v>12</v>
      </c>
      <c r="BJ808" s="8" t="s">
        <v>7610</v>
      </c>
      <c r="BK808" s="4" t="s">
        <v>7611</v>
      </c>
      <c r="BL808" s="8" t="s">
        <v>7610</v>
      </c>
      <c r="BM808" s="4" t="s">
        <v>7612</v>
      </c>
      <c r="BN808" s="8" t="s">
        <v>7602</v>
      </c>
      <c r="BO808" s="8" t="s">
        <v>7613</v>
      </c>
      <c r="BP808" s="8" t="s">
        <v>7602</v>
      </c>
      <c r="BQ808" s="8" t="str">
        <f aca="false">IF(A808="","",AT808)</f>
        <v>3歳以上</v>
      </c>
      <c r="BR808" s="8" t="str">
        <f aca="false">IF(A808="","",IF(BA808&lt;=1200,"～1200",IF(BA808&lt;=1500,"1300～1500",IF(BA808=1600,"1600",IF(BA808&lt;=1800,"1700～1800",IF(BA808&lt;=2000,"1900～2000","2100以上"))))))</f>
        <v>1900～2000</v>
      </c>
      <c r="BS808" s="8" t="str">
        <f aca="false">IF(A808="","",IF(AX808="G1","G1",IF(AX808="G2","G2",IF(AX808="G3","G3",IF(AX808="L","L","その他")))))</f>
        <v>その他</v>
      </c>
      <c r="BT808" s="8" t="str">
        <f aca="false">IF(A808="","",IF(BI808="","未結合",IF(D808=BI808,"一致","不一致")))</f>
        <v>一致</v>
      </c>
      <c r="BU808" s="8" t="str">
        <f aca="false">IF(A808="","",IF(BE808="牝馬限定","牝馬限定","その他"))</f>
        <v>その他</v>
      </c>
    </row>
    <row r="809" customFormat="false" ht="15.75" hidden="false" customHeight="false" outlineLevel="0" collapsed="false">
      <c r="A809" s="6" t="n">
        <f aca="false">DATE(2026,8,23)</f>
        <v>46257</v>
      </c>
      <c r="B809" s="4" t="s">
        <v>13</v>
      </c>
      <c r="C809" s="8" t="n">
        <v>11</v>
      </c>
      <c r="D809" s="8" t="n">
        <v>17</v>
      </c>
      <c r="E809" s="8" t="n">
        <v>7</v>
      </c>
      <c r="F809" s="8"/>
      <c r="G809" s="8" t="n">
        <v>52</v>
      </c>
      <c r="H809" s="8" t="n">
        <v>17</v>
      </c>
      <c r="I809" s="8"/>
      <c r="J809" s="8" t="n">
        <v>41</v>
      </c>
      <c r="K809" s="8" t="n">
        <v>3</v>
      </c>
      <c r="L809" s="8"/>
      <c r="M809" s="8" t="n">
        <v>31</v>
      </c>
      <c r="N809" s="8" t="n">
        <f aca="false">IF(A809="","",G809-J809)</f>
        <v>11</v>
      </c>
      <c r="O809" s="8" t="n">
        <f aca="false">IF(A809="","",J809-M809)</f>
        <v>10</v>
      </c>
      <c r="P809" s="8" t="n">
        <f aca="false">IF(A809="","",G809+J809)</f>
        <v>93</v>
      </c>
      <c r="Q809" s="8" t="str">
        <f aca="false">IF(A809="","",IF(AND(Y809&lt;&gt;"参考",G809&gt;=ルール設定!$B$2),"○",""))</f>
        <v/>
      </c>
      <c r="R809" s="8" t="str">
        <f aca="false">IF(A809="","",IF(AND(Y809&lt;&gt;"参考",G809&gt;=ルール設定!$B$3,N809&gt;=ルール設定!$B$4),"○",""))</f>
        <v/>
      </c>
      <c r="S809" s="8" t="str">
        <f aca="false">IF(A809="","",IF(AND(Y809&lt;&gt;"参考",G809&gt;=ルール設定!$B$5,J809&gt;=ルール設定!$B$6,O809&gt;=ルール設定!$B$7),"○",""))</f>
        <v/>
      </c>
      <c r="T809" s="8" t="n">
        <v>4</v>
      </c>
      <c r="U809" s="8" t="n">
        <v>4</v>
      </c>
      <c r="V809" s="8" t="str">
        <f aca="false">IF(A809="","",IF(AND(ISNUMBER(T809),ISNUMBER(U809)),IF(AND(T809&lt;=3,U809&lt;=3),"○","×"),""))</f>
        <v>×</v>
      </c>
      <c r="W809" s="8"/>
      <c r="X809" s="8"/>
      <c r="Y809" s="4" t="s">
        <v>7597</v>
      </c>
      <c r="Z809" s="8" t="s">
        <v>7985</v>
      </c>
      <c r="AA809" s="8" t="str">
        <v/>
      </c>
      <c r="AB809" s="8" t="str">
        <v/>
      </c>
      <c r="AC809" s="8" t="str">
        <v/>
      </c>
      <c r="AD809" s="8" t="str">
        <v/>
      </c>
      <c r="AE809" s="8" t="str">
        <v/>
      </c>
      <c r="AF809" s="8" t="str">
        <v/>
      </c>
      <c r="AG809" s="8" t="str">
        <v/>
      </c>
      <c r="AH809" s="8" t="str">
        <v/>
      </c>
      <c r="AI809" s="8" t="n">
        <v>21</v>
      </c>
      <c r="AJ809" s="8" t="str">
        <v>～59</v>
      </c>
      <c r="AK809" s="8" t="str">
        <v>10～19</v>
      </c>
      <c r="AL809" s="8" t="str">
        <v>20～29</v>
      </c>
      <c r="AM809" s="8" t="str">
        <v>～99</v>
      </c>
      <c r="AN809" s="8" t="str">
        <v>15以上</v>
      </c>
      <c r="AO809" s="8" t="str">
        <f aca="false">IF(A809="","",IF(COUNTIFS(全馬データ!$A$2:$A$50000,A809,全馬データ!$B$2:$B$50000,B809,全馬データ!$C$2:$C$50000,C809,全馬データ!$D$2:$D$50000,E809,全馬データ!$K$2:$K$50000,"&lt;&gt;")=0,"",SUMIFS(全馬データ!$K$2:$K$50000,全馬データ!$A$2:$A$50000,A809,全馬データ!$B$2:$B$50000,B809,全馬データ!$C$2:$C$50000,C809,全馬データ!$D$2:$D$50000,E809)))</f>
        <v/>
      </c>
      <c r="AP809" s="8" t="str">
        <f aca="false">IF(A809="","",IF(AO809="","欠損",IF(AO809&lt;=1.1,"1.0～1.1",IF(AO809&lt;1.3,"1.2",IF(AO809&lt;1.5,"1.3～1.4",IF(AO809&lt;2,"1.5～1.9","2.0以上"))))))</f>
        <v>欠損</v>
      </c>
      <c r="AQ809" s="8" t="str">
        <f aca="false">IF(A809="","",IF(ISNUMBER(SEARCH("2歳",Z809)),"2歳戦",IF(ISNUMBER(SEARCH("3歳未勝利",Z809)),"3歳未勝利",IF(ISNUMBER(SEARCH("未勝利",Z809)),"その他未勝利",IF(ISNUMBER(SEARCH("G1",Z809)),"G1",IF(ISNUMBER(SEARCH("G2",Z809)),"G2",IF(ISNUMBER(SEARCH("G3",Z809)),"G3",IF(ISNUMBER(SEARCH("古馬条件",Z809)),"古馬条件戦",IF(ISNUMBER(SEARCH("重賞",Z809)),"重賞","分類不能")))))))))</f>
        <v>分類不能</v>
      </c>
      <c r="AR809" s="8"/>
      <c r="AS809" s="8" t="s">
        <v>7626</v>
      </c>
      <c r="AT809" s="8" t="s">
        <v>7627</v>
      </c>
      <c r="AU809" s="8" t="s">
        <v>7628</v>
      </c>
      <c r="AV809" s="8" t="s">
        <v>7629</v>
      </c>
      <c r="AW809" s="8"/>
      <c r="AX809" s="8"/>
      <c r="AY809" s="8" t="s">
        <v>7602</v>
      </c>
      <c r="AZ809" s="4" t="s">
        <v>7603</v>
      </c>
      <c r="BA809" s="8" t="n">
        <v>1000</v>
      </c>
      <c r="BB809" s="8" t="s">
        <v>7634</v>
      </c>
      <c r="BC809" s="4" t="s">
        <v>7604</v>
      </c>
      <c r="BD809" s="8" t="s">
        <v>7625</v>
      </c>
      <c r="BE809" s="4" t="s">
        <v>7606</v>
      </c>
      <c r="BF809" s="8" t="s">
        <v>7607</v>
      </c>
      <c r="BG809" s="8" t="s">
        <v>7631</v>
      </c>
      <c r="BH809" s="4" t="s">
        <v>7632</v>
      </c>
      <c r="BI809" s="8" t="n">
        <v>17</v>
      </c>
      <c r="BJ809" s="8" t="s">
        <v>7608</v>
      </c>
      <c r="BK809" s="4" t="s">
        <v>7649</v>
      </c>
      <c r="BL809" s="8" t="s">
        <v>7647</v>
      </c>
      <c r="BM809" s="4" t="s">
        <v>7648</v>
      </c>
      <c r="BN809" s="8" t="s">
        <v>7602</v>
      </c>
      <c r="BO809" s="8" t="s">
        <v>7613</v>
      </c>
      <c r="BP809" s="8" t="s">
        <v>7602</v>
      </c>
      <c r="BQ809" s="8" t="str">
        <f aca="false">IF(A809="","",AT809)</f>
        <v>3歳以上</v>
      </c>
      <c r="BR809" s="8" t="str">
        <f aca="false">IF(A809="","",IF(BA809&lt;=1200,"～1200",IF(BA809&lt;=1500,"1300～1500",IF(BA809=1600,"1600",IF(BA809&lt;=1800,"1700～1800",IF(BA809&lt;=2000,"1900～2000","2100以上"))))))</f>
        <v>～1200</v>
      </c>
      <c r="BS809" s="8" t="str">
        <f aca="false">IF(A809="","",IF(AX809="G1","G1",IF(AX809="G2","G2",IF(AX809="G3","G3",IF(AX809="L","L","その他")))))</f>
        <v>その他</v>
      </c>
      <c r="BT809" s="8" t="str">
        <f aca="false">IF(A809="","",IF(BI809="","未結合",IF(D809=BI809,"一致","不一致")))</f>
        <v>一致</v>
      </c>
      <c r="BU809" s="8" t="str">
        <f aca="false">IF(A809="","",IF(BE809="牝馬限定","牝馬限定","その他"))</f>
        <v>その他</v>
      </c>
    </row>
    <row r="810" customFormat="false" ht="15.75" hidden="false" customHeight="false" outlineLevel="0" collapsed="false">
      <c r="A810" s="6" t="n">
        <f aca="false">DATE(2026,8,23)</f>
        <v>46257</v>
      </c>
      <c r="B810" s="4" t="s">
        <v>13</v>
      </c>
      <c r="C810" s="8" t="n">
        <v>12</v>
      </c>
      <c r="D810" s="8" t="n">
        <v>12</v>
      </c>
      <c r="E810" s="8" t="n">
        <v>7</v>
      </c>
      <c r="F810" s="4" t="s">
        <v>2303</v>
      </c>
      <c r="G810" s="8" t="n">
        <v>86</v>
      </c>
      <c r="H810" s="8" t="n">
        <v>8</v>
      </c>
      <c r="I810" s="4" t="s">
        <v>5582</v>
      </c>
      <c r="J810" s="8" t="n">
        <v>71</v>
      </c>
      <c r="K810" s="8" t="n">
        <v>3</v>
      </c>
      <c r="L810" s="8"/>
      <c r="M810" s="8" t="n">
        <v>47</v>
      </c>
      <c r="N810" s="8" t="n">
        <f aca="false">IF(A810="","",G810-J810)</f>
        <v>15</v>
      </c>
      <c r="O810" s="8" t="n">
        <f aca="false">IF(A810="","",J810-M810)</f>
        <v>24</v>
      </c>
      <c r="P810" s="8" t="n">
        <f aca="false">IF(A810="","",G810+J810)</f>
        <v>157</v>
      </c>
      <c r="Q810" s="8" t="str">
        <f aca="false">IF(A810="","",IF(AND(Y810&lt;&gt;"参考",G810&gt;=ルール設定!$B$2),"○",""))</f>
        <v>○</v>
      </c>
      <c r="R810" s="8" t="str">
        <f aca="false">IF(A810="","",IF(AND(Y810&lt;&gt;"参考",G810&gt;=ルール設定!$B$3,N810&gt;=ルール設定!$B$4),"○",""))</f>
        <v/>
      </c>
      <c r="S810" s="8" t="str">
        <f aca="false">IF(A810="","",IF(AND(Y810&lt;&gt;"参考",G810&gt;=ルール設定!$B$5,J810&gt;=ルール設定!$B$6,O810&gt;=ルール設定!$B$7),"○",""))</f>
        <v>○</v>
      </c>
      <c r="T810" s="8" t="n">
        <v>1</v>
      </c>
      <c r="U810" s="8" t="n">
        <v>2</v>
      </c>
      <c r="V810" s="8" t="str">
        <f aca="false">IF(A810="","",IF(AND(ISNUMBER(T810),ISNUMBER(U810)),IF(AND(T810&lt;=3,U810&lt;=3),"○","×"),""))</f>
        <v>○</v>
      </c>
      <c r="W810" s="8" t="n">
        <v>110</v>
      </c>
      <c r="X810" s="8" t="n">
        <v>120</v>
      </c>
      <c r="Y810" s="4" t="s">
        <v>7597</v>
      </c>
      <c r="Z810" s="8" t="s">
        <v>7986</v>
      </c>
      <c r="AA810" s="8" t="str">
        <v>○</v>
      </c>
      <c r="AB810" s="8" t="str">
        <v>○</v>
      </c>
      <c r="AC810" s="8" t="str">
        <v>○</v>
      </c>
      <c r="AD810" s="8" t="str">
        <v/>
      </c>
      <c r="AE810" s="8" t="str">
        <v/>
      </c>
      <c r="AF810" s="8" t="str">
        <v>○</v>
      </c>
      <c r="AG810" s="8" t="str">
        <v>○</v>
      </c>
      <c r="AH810" s="8" t="str">
        <v/>
      </c>
      <c r="AI810" s="8" t="n">
        <v>39</v>
      </c>
      <c r="AJ810" s="8" t="str">
        <v>85以上</v>
      </c>
      <c r="AK810" s="8" t="str">
        <v>10～19</v>
      </c>
      <c r="AL810" s="8" t="str">
        <v>30～39</v>
      </c>
      <c r="AM810" s="8" t="str">
        <v>140～159</v>
      </c>
      <c r="AN810" s="8" t="str">
        <v>12～14</v>
      </c>
      <c r="AO810" s="8" t="str">
        <f aca="false">IF(A810="","",IF(COUNTIFS(全馬データ!$A$2:$A$50000,A810,全馬データ!$B$2:$B$50000,B810,全馬データ!$C$2:$C$50000,C810,全馬データ!$D$2:$D$50000,E810,全馬データ!$K$2:$K$50000,"&lt;&gt;")=0,"",SUMIFS(全馬データ!$K$2:$K$50000,全馬データ!$A$2:$A$50000,A810,全馬データ!$B$2:$B$50000,B810,全馬データ!$C$2:$C$50000,C810,全馬データ!$D$2:$D$50000,E810)))</f>
        <v/>
      </c>
      <c r="AP810" s="8" t="str">
        <f aca="false">IF(A810="","",IF(AO810="","欠損",IF(AO810&lt;=1.1,"1.0～1.1",IF(AO810&lt;1.3,"1.2",IF(AO810&lt;1.5,"1.3～1.4",IF(AO810&lt;2,"1.5～1.9","2.0以上"))))))</f>
        <v>欠損</v>
      </c>
      <c r="AQ810" s="8" t="str">
        <f aca="false">IF(A810="","",IF(ISNUMBER(SEARCH("2歳",Z810)),"2歳戦",IF(ISNUMBER(SEARCH("3歳未勝利",Z810)),"3歳未勝利",IF(ISNUMBER(SEARCH("未勝利",Z810)),"その他未勝利",IF(ISNUMBER(SEARCH("G1",Z810)),"G1",IF(ISNUMBER(SEARCH("G2",Z810)),"G2",IF(ISNUMBER(SEARCH("G3",Z810)),"G3",IF(ISNUMBER(SEARCH("古馬条件",Z810)),"古馬条件戦",IF(ISNUMBER(SEARCH("重賞",Z810)),"重賞","分類不能")))))))))</f>
        <v>分類不能</v>
      </c>
      <c r="AR810" s="8"/>
      <c r="AS810" s="8" t="s">
        <v>7623</v>
      </c>
      <c r="AT810" s="8" t="s">
        <v>7624</v>
      </c>
      <c r="AU810" s="8" t="s">
        <v>7600</v>
      </c>
      <c r="AV810" s="4" t="s">
        <v>7601</v>
      </c>
      <c r="AW810" s="8"/>
      <c r="AX810" s="8"/>
      <c r="AY810" s="8" t="s">
        <v>7610</v>
      </c>
      <c r="AZ810" s="4" t="s">
        <v>7617</v>
      </c>
      <c r="BA810" s="8" t="n">
        <v>1800</v>
      </c>
      <c r="BB810" s="8" t="s">
        <v>7634</v>
      </c>
      <c r="BC810" s="4" t="s">
        <v>7604</v>
      </c>
      <c r="BD810" s="8" t="s">
        <v>7625</v>
      </c>
      <c r="BE810" s="4" t="s">
        <v>7606</v>
      </c>
      <c r="BF810" s="8" t="s">
        <v>7607</v>
      </c>
      <c r="BG810" s="8" t="s">
        <v>7608</v>
      </c>
      <c r="BH810" s="4" t="s">
        <v>7609</v>
      </c>
      <c r="BI810" s="8" t="n">
        <v>12</v>
      </c>
      <c r="BJ810" s="8" t="s">
        <v>7610</v>
      </c>
      <c r="BK810" s="4" t="s">
        <v>7611</v>
      </c>
      <c r="BL810" s="8" t="s">
        <v>7602</v>
      </c>
      <c r="BM810" s="4" t="s">
        <v>7620</v>
      </c>
      <c r="BN810" s="8"/>
      <c r="BO810" s="8"/>
      <c r="BP810" s="8" t="s">
        <v>7602</v>
      </c>
      <c r="BQ810" s="8" t="str">
        <f aca="false">IF(A810="","",AT810)</f>
        <v>3歳</v>
      </c>
      <c r="BR810" s="8" t="str">
        <f aca="false">IF(A810="","",IF(BA810&lt;=1200,"～1200",IF(BA810&lt;=1500,"1300～1500",IF(BA810=1600,"1600",IF(BA810&lt;=1800,"1700～1800",IF(BA810&lt;=2000,"1900～2000","2100以上"))))))</f>
        <v>1700～1800</v>
      </c>
      <c r="BS810" s="8" t="str">
        <f aca="false">IF(A810="","",IF(AX810="G1","G1",IF(AX810="G2","G2",IF(AX810="G3","G3",IF(AX810="L","L","その他")))))</f>
        <v>その他</v>
      </c>
      <c r="BT810" s="8" t="str">
        <f aca="false">IF(A810="","",IF(BI810="","未結合",IF(D810=BI810,"一致","不一致")))</f>
        <v>一致</v>
      </c>
      <c r="BU810" s="8" t="str">
        <f aca="false">IF(A810="","",IF(BE810="牝馬限定","牝馬限定","その他"))</f>
        <v>その他</v>
      </c>
    </row>
    <row r="811" customFormat="false" ht="15.75" hidden="false" customHeight="false" outlineLevel="0" collapsed="false">
      <c r="A811" s="6" t="n">
        <f aca="false">DATE(2026,8,23)</f>
        <v>46257</v>
      </c>
      <c r="B811" s="4" t="s">
        <v>179</v>
      </c>
      <c r="C811" s="8" t="n">
        <v>1</v>
      </c>
      <c r="D811" s="8" t="n">
        <v>7</v>
      </c>
      <c r="E811" s="8" t="n">
        <v>5</v>
      </c>
      <c r="F811" s="4" t="s">
        <v>3586</v>
      </c>
      <c r="G811" s="8" t="n">
        <v>67</v>
      </c>
      <c r="H811" s="8" t="n">
        <v>4</v>
      </c>
      <c r="I811" s="4" t="s">
        <v>2852</v>
      </c>
      <c r="J811" s="8" t="n">
        <v>65</v>
      </c>
      <c r="K811" s="8" t="n">
        <v>1</v>
      </c>
      <c r="L811" s="8"/>
      <c r="M811" s="8" t="n">
        <v>39</v>
      </c>
      <c r="N811" s="8" t="n">
        <f aca="false">IF(A811="","",G811-J811)</f>
        <v>2</v>
      </c>
      <c r="O811" s="8" t="n">
        <f aca="false">IF(A811="","",J811-M811)</f>
        <v>26</v>
      </c>
      <c r="P811" s="8" t="n">
        <f aca="false">IF(A811="","",G811+J811)</f>
        <v>132</v>
      </c>
      <c r="Q811" s="8" t="str">
        <f aca="false">IF(A811="","",IF(AND(Y811&lt;&gt;"参考",G811&gt;=ルール設定!$B$2),"○",""))</f>
        <v/>
      </c>
      <c r="R811" s="8" t="str">
        <f aca="false">IF(A811="","",IF(AND(Y811&lt;&gt;"参考",G811&gt;=ルール設定!$B$3,N811&gt;=ルール設定!$B$4),"○",""))</f>
        <v/>
      </c>
      <c r="S811" s="8" t="str">
        <f aca="false">IF(A811="","",IF(AND(Y811&lt;&gt;"参考",G811&gt;=ルール設定!$B$5,J811&gt;=ルール設定!$B$6,O811&gt;=ルール設定!$B$7),"○",""))</f>
        <v>○</v>
      </c>
      <c r="T811" s="8" t="n">
        <v>1</v>
      </c>
      <c r="U811" s="8" t="n">
        <v>2</v>
      </c>
      <c r="V811" s="8" t="str">
        <f aca="false">IF(A811="","",IF(AND(ISNUMBER(T811),ISNUMBER(U811)),IF(AND(T811&lt;=3,U811&lt;=3),"○","×"),""))</f>
        <v>○</v>
      </c>
      <c r="W811" s="8" t="n">
        <v>110</v>
      </c>
      <c r="X811" s="8" t="n">
        <v>140</v>
      </c>
      <c r="Y811" s="4" t="s">
        <v>7597</v>
      </c>
      <c r="Z811" s="8" t="s">
        <v>7987</v>
      </c>
      <c r="AA811" s="8" t="str">
        <v/>
      </c>
      <c r="AB811" s="8" t="str">
        <v/>
      </c>
      <c r="AC811" s="8" t="str">
        <v/>
      </c>
      <c r="AD811" s="8" t="str">
        <v/>
      </c>
      <c r="AE811" s="8" t="str">
        <v/>
      </c>
      <c r="AF811" s="8" t="str">
        <v/>
      </c>
      <c r="AG811" s="8" t="str">
        <v/>
      </c>
      <c r="AH811" s="8" t="str">
        <v/>
      </c>
      <c r="AI811" s="8" t="n">
        <v>28</v>
      </c>
      <c r="AJ811" s="8" t="str">
        <v>60～69</v>
      </c>
      <c r="AK811" s="8" t="str">
        <v>0～4</v>
      </c>
      <c r="AL811" s="8" t="str">
        <v>20～29</v>
      </c>
      <c r="AM811" s="8" t="str">
        <v>120～139</v>
      </c>
      <c r="AN811" s="8" t="str">
        <v>7以下</v>
      </c>
      <c r="AO811" s="8" t="str">
        <f aca="false">IF(A811="","",IF(COUNTIFS(全馬データ!$A$2:$A$50000,A811,全馬データ!$B$2:$B$50000,B811,全馬データ!$C$2:$C$50000,C811,全馬データ!$D$2:$D$50000,E811,全馬データ!$K$2:$K$50000,"&lt;&gt;")=0,"",SUMIFS(全馬データ!$K$2:$K$50000,全馬データ!$A$2:$A$50000,A811,全馬データ!$B$2:$B$50000,B811,全馬データ!$C$2:$C$50000,C811,全馬データ!$D$2:$D$50000,E811)))</f>
        <v/>
      </c>
      <c r="AP811" s="8" t="str">
        <f aca="false">IF(A811="","",IF(AO811="","欠損",IF(AO811&lt;=1.1,"1.0～1.1",IF(AO811&lt;1.3,"1.2",IF(AO811&lt;1.5,"1.3～1.4",IF(AO811&lt;2,"1.5～1.9","2.0以上"))))))</f>
        <v>欠損</v>
      </c>
      <c r="AQ811" s="8" t="str">
        <f aca="false">IF(A811="","",IF(ISNUMBER(SEARCH("2歳",Z811)),"2歳戦",IF(ISNUMBER(SEARCH("3歳未勝利",Z811)),"3歳未勝利",IF(ISNUMBER(SEARCH("未勝利",Z811)),"その他未勝利",IF(ISNUMBER(SEARCH("G1",Z811)),"G1",IF(ISNUMBER(SEARCH("G2",Z811)),"G2",IF(ISNUMBER(SEARCH("G3",Z811)),"G3",IF(ISNUMBER(SEARCH("古馬条件",Z811)),"古馬条件戦",IF(ISNUMBER(SEARCH("重賞",Z811)),"重賞","分類不能")))))))))</f>
        <v>分類不能</v>
      </c>
      <c r="AR811" s="8"/>
      <c r="AS811" s="8" t="s">
        <v>7598</v>
      </c>
      <c r="AT811" s="8" t="s">
        <v>7599</v>
      </c>
      <c r="AU811" s="8" t="s">
        <v>7600</v>
      </c>
      <c r="AV811" s="4" t="s">
        <v>7601</v>
      </c>
      <c r="AW811" s="8"/>
      <c r="AX811" s="8"/>
      <c r="AY811" s="8" t="s">
        <v>7602</v>
      </c>
      <c r="AZ811" s="4" t="s">
        <v>7603</v>
      </c>
      <c r="BA811" s="8" t="n">
        <v>1400</v>
      </c>
      <c r="BB811" s="8" t="s">
        <v>7634</v>
      </c>
      <c r="BC811" s="4" t="s">
        <v>7604</v>
      </c>
      <c r="BD811" s="8" t="s">
        <v>7621</v>
      </c>
      <c r="BE811" s="4" t="s">
        <v>7622</v>
      </c>
      <c r="BF811" s="8" t="s">
        <v>7602</v>
      </c>
      <c r="BG811" s="8" t="s">
        <v>7608</v>
      </c>
      <c r="BH811" s="4" t="s">
        <v>7609</v>
      </c>
      <c r="BI811" s="8" t="n">
        <v>7</v>
      </c>
      <c r="BJ811" s="8" t="s">
        <v>7610</v>
      </c>
      <c r="BK811" s="4" t="s">
        <v>7611</v>
      </c>
      <c r="BL811" s="8" t="s">
        <v>7602</v>
      </c>
      <c r="BM811" s="4" t="s">
        <v>7620</v>
      </c>
      <c r="BN811" s="8" t="s">
        <v>7631</v>
      </c>
      <c r="BO811" s="8" t="s">
        <v>7680</v>
      </c>
      <c r="BP811" s="8" t="s">
        <v>7610</v>
      </c>
      <c r="BQ811" s="8" t="str">
        <f aca="false">IF(A811="","",AT811)</f>
        <v>2歳</v>
      </c>
      <c r="BR811" s="8" t="str">
        <f aca="false">IF(A811="","",IF(BA811&lt;=1200,"～1200",IF(BA811&lt;=1500,"1300～1500",IF(BA811=1600,"1600",IF(BA811&lt;=1800,"1700～1800",IF(BA811&lt;=2000,"1900～2000","2100以上"))))))</f>
        <v>1300～1500</v>
      </c>
      <c r="BS811" s="8" t="str">
        <f aca="false">IF(A811="","",IF(AX811="G1","G1",IF(AX811="G2","G2",IF(AX811="G3","G3",IF(AX811="L","L","その他")))))</f>
        <v>その他</v>
      </c>
      <c r="BT811" s="8" t="str">
        <f aca="false">IF(A811="","",IF(BI811="","未結合",IF(D811=BI811,"一致","不一致")))</f>
        <v>一致</v>
      </c>
      <c r="BU811" s="8" t="str">
        <f aca="false">IF(A811="","",IF(BE811="牝馬限定","牝馬限定","その他"))</f>
        <v>牝馬限定</v>
      </c>
    </row>
    <row r="812" customFormat="false" ht="15.75" hidden="false" customHeight="false" outlineLevel="0" collapsed="false">
      <c r="A812" s="6" t="n">
        <f aca="false">DATE(2026,8,23)</f>
        <v>46257</v>
      </c>
      <c r="B812" s="4" t="s">
        <v>179</v>
      </c>
      <c r="C812" s="8" t="n">
        <v>2</v>
      </c>
      <c r="D812" s="8" t="n">
        <v>8</v>
      </c>
      <c r="E812" s="8" t="n">
        <v>1</v>
      </c>
      <c r="F812" s="8"/>
      <c r="G812" s="8" t="n">
        <v>37</v>
      </c>
      <c r="H812" s="8" t="n">
        <v>2</v>
      </c>
      <c r="I812" s="4" t="s">
        <v>6539</v>
      </c>
      <c r="J812" s="8" t="n">
        <v>37</v>
      </c>
      <c r="K812" s="8" t="n">
        <v>5</v>
      </c>
      <c r="L812" s="8"/>
      <c r="M812" s="8" t="n">
        <v>27</v>
      </c>
      <c r="N812" s="8" t="n">
        <f aca="false">IF(A812="","",G812-J812)</f>
        <v>0</v>
      </c>
      <c r="O812" s="8" t="n">
        <f aca="false">IF(A812="","",J812-M812)</f>
        <v>10</v>
      </c>
      <c r="P812" s="8" t="n">
        <f aca="false">IF(A812="","",G812+J812)</f>
        <v>74</v>
      </c>
      <c r="Q812" s="8" t="str">
        <f aca="false">IF(A812="","",IF(AND(Y812&lt;&gt;"参考",G812&gt;=ルール設定!$B$2),"○",""))</f>
        <v/>
      </c>
      <c r="R812" s="8" t="str">
        <f aca="false">IF(A812="","",IF(AND(Y812&lt;&gt;"参考",G812&gt;=ルール設定!$B$3,N812&gt;=ルール設定!$B$4),"○",""))</f>
        <v/>
      </c>
      <c r="S812" s="8" t="str">
        <f aca="false">IF(A812="","",IF(AND(Y812&lt;&gt;"参考",G812&gt;=ルール設定!$B$5,J812&gt;=ルール設定!$B$6,O812&gt;=ルール設定!$B$7),"○",""))</f>
        <v/>
      </c>
      <c r="T812" s="8" t="n">
        <v>4</v>
      </c>
      <c r="U812" s="8" t="n">
        <v>1</v>
      </c>
      <c r="V812" s="8" t="str">
        <f aca="false">IF(A812="","",IF(AND(ISNUMBER(T812),ISNUMBER(U812)),IF(AND(T812&lt;=3,U812&lt;=3),"○","×"),""))</f>
        <v>×</v>
      </c>
      <c r="W812" s="8"/>
      <c r="X812" s="8"/>
      <c r="Y812" s="4" t="s">
        <v>7597</v>
      </c>
      <c r="Z812" s="8" t="s">
        <v>7988</v>
      </c>
      <c r="AA812" s="8" t="str">
        <v/>
      </c>
      <c r="AB812" s="8" t="str">
        <v/>
      </c>
      <c r="AC812" s="8" t="str">
        <v/>
      </c>
      <c r="AD812" s="8" t="str">
        <v/>
      </c>
      <c r="AE812" s="8" t="str">
        <v/>
      </c>
      <c r="AF812" s="8" t="str">
        <v/>
      </c>
      <c r="AG812" s="8" t="str">
        <v/>
      </c>
      <c r="AH812" s="8" t="str">
        <v/>
      </c>
      <c r="AI812" s="8" t="n">
        <v>10</v>
      </c>
      <c r="AJ812" s="8" t="str">
        <v>～59</v>
      </c>
      <c r="AK812" s="8" t="str">
        <v>0～4</v>
      </c>
      <c r="AL812" s="8" t="str">
        <v>10～19</v>
      </c>
      <c r="AM812" s="8" t="str">
        <v>～99</v>
      </c>
      <c r="AN812" s="8" t="str">
        <v>8～11</v>
      </c>
      <c r="AO812" s="8" t="str">
        <f aca="false">IF(A812="","",IF(COUNTIFS(全馬データ!$A$2:$A$50000,A812,全馬データ!$B$2:$B$50000,B812,全馬データ!$C$2:$C$50000,C812,全馬データ!$D$2:$D$50000,E812,全馬データ!$K$2:$K$50000,"&lt;&gt;")=0,"",SUMIFS(全馬データ!$K$2:$K$50000,全馬データ!$A$2:$A$50000,A812,全馬データ!$B$2:$B$50000,B812,全馬データ!$C$2:$C$50000,C812,全馬データ!$D$2:$D$50000,E812)))</f>
        <v/>
      </c>
      <c r="AP812" s="8" t="str">
        <f aca="false">IF(A812="","",IF(AO812="","欠損",IF(AO812&lt;=1.1,"1.0～1.1",IF(AO812&lt;1.3,"1.2",IF(AO812&lt;1.5,"1.3～1.4",IF(AO812&lt;2,"1.5～1.9","2.0以上"))))))</f>
        <v>欠損</v>
      </c>
      <c r="AQ812" s="8" t="str">
        <f aca="false">IF(A812="","",IF(ISNUMBER(SEARCH("2歳",Z812)),"2歳戦",IF(ISNUMBER(SEARCH("3歳未勝利",Z812)),"3歳未勝利",IF(ISNUMBER(SEARCH("未勝利",Z812)),"その他未勝利",IF(ISNUMBER(SEARCH("G1",Z812)),"G1",IF(ISNUMBER(SEARCH("G2",Z812)),"G2",IF(ISNUMBER(SEARCH("G3",Z812)),"G3",IF(ISNUMBER(SEARCH("古馬条件",Z812)),"古馬条件戦",IF(ISNUMBER(SEARCH("重賞",Z812)),"重賞","分類不能")))))))))</f>
        <v>分類不能</v>
      </c>
      <c r="AR812" s="8"/>
      <c r="AS812" s="8" t="s">
        <v>7598</v>
      </c>
      <c r="AT812" s="8" t="s">
        <v>7599</v>
      </c>
      <c r="AU812" s="8" t="s">
        <v>7615</v>
      </c>
      <c r="AV812" s="4" t="s">
        <v>7616</v>
      </c>
      <c r="AW812" s="8"/>
      <c r="AX812" s="8"/>
      <c r="AY812" s="8" t="s">
        <v>7602</v>
      </c>
      <c r="AZ812" s="4" t="s">
        <v>7603</v>
      </c>
      <c r="BA812" s="8" t="n">
        <v>2000</v>
      </c>
      <c r="BB812" s="8" t="s">
        <v>7634</v>
      </c>
      <c r="BC812" s="4" t="s">
        <v>7604</v>
      </c>
      <c r="BD812" s="8" t="s">
        <v>7625</v>
      </c>
      <c r="BE812" s="4" t="s">
        <v>7606</v>
      </c>
      <c r="BF812" s="8" t="s">
        <v>7607</v>
      </c>
      <c r="BG812" s="8" t="s">
        <v>7608</v>
      </c>
      <c r="BH812" s="4" t="s">
        <v>7609</v>
      </c>
      <c r="BI812" s="8" t="n">
        <v>8</v>
      </c>
      <c r="BJ812" s="8" t="s">
        <v>7610</v>
      </c>
      <c r="BK812" s="4" t="s">
        <v>7611</v>
      </c>
      <c r="BL812" s="8" t="s">
        <v>7602</v>
      </c>
      <c r="BM812" s="4" t="s">
        <v>7620</v>
      </c>
      <c r="BN812" s="8" t="s">
        <v>7631</v>
      </c>
      <c r="BO812" s="8" t="s">
        <v>7680</v>
      </c>
      <c r="BP812" s="8" t="s">
        <v>7610</v>
      </c>
      <c r="BQ812" s="8" t="str">
        <f aca="false">IF(A812="","",AT812)</f>
        <v>2歳</v>
      </c>
      <c r="BR812" s="8" t="str">
        <f aca="false">IF(A812="","",IF(BA812&lt;=1200,"～1200",IF(BA812&lt;=1500,"1300～1500",IF(BA812=1600,"1600",IF(BA812&lt;=1800,"1700～1800",IF(BA812&lt;=2000,"1900～2000","2100以上"))))))</f>
        <v>1900～2000</v>
      </c>
      <c r="BS812" s="8" t="str">
        <f aca="false">IF(A812="","",IF(AX812="G1","G1",IF(AX812="G2","G2",IF(AX812="G3","G3",IF(AX812="L","L","その他")))))</f>
        <v>その他</v>
      </c>
      <c r="BT812" s="8" t="str">
        <f aca="false">IF(A812="","",IF(BI812="","未結合",IF(D812=BI812,"一致","不一致")))</f>
        <v>一致</v>
      </c>
      <c r="BU812" s="8" t="str">
        <f aca="false">IF(A812="","",IF(BE812="牝馬限定","牝馬限定","その他"))</f>
        <v>その他</v>
      </c>
    </row>
    <row r="813" customFormat="false" ht="15.75" hidden="false" customHeight="false" outlineLevel="0" collapsed="false">
      <c r="A813" s="6" t="n">
        <f aca="false">DATE(2026,8,23)</f>
        <v>46257</v>
      </c>
      <c r="B813" s="4" t="s">
        <v>179</v>
      </c>
      <c r="C813" s="8" t="n">
        <v>3</v>
      </c>
      <c r="D813" s="8" t="n">
        <v>9</v>
      </c>
      <c r="E813" s="8" t="n">
        <v>7</v>
      </c>
      <c r="F813" s="8"/>
      <c r="G813" s="8" t="n">
        <v>37</v>
      </c>
      <c r="H813" s="8" t="n">
        <v>4</v>
      </c>
      <c r="I813" s="4" t="s">
        <v>6543</v>
      </c>
      <c r="J813" s="8" t="n">
        <v>31</v>
      </c>
      <c r="K813" s="8" t="n">
        <v>3</v>
      </c>
      <c r="L813" s="8"/>
      <c r="M813" s="8" t="n">
        <v>27</v>
      </c>
      <c r="N813" s="8" t="n">
        <f aca="false">IF(A813="","",G813-J813)</f>
        <v>6</v>
      </c>
      <c r="O813" s="8" t="n">
        <f aca="false">IF(A813="","",J813-M813)</f>
        <v>4</v>
      </c>
      <c r="P813" s="8" t="n">
        <f aca="false">IF(A813="","",G813+J813)</f>
        <v>68</v>
      </c>
      <c r="Q813" s="8" t="str">
        <f aca="false">IF(A813="","",IF(AND(Y813&lt;&gt;"参考",G813&gt;=ルール設定!$B$2),"○",""))</f>
        <v/>
      </c>
      <c r="R813" s="8" t="str">
        <f aca="false">IF(A813="","",IF(AND(Y813&lt;&gt;"参考",G813&gt;=ルール設定!$B$3,N813&gt;=ルール設定!$B$4),"○",""))</f>
        <v/>
      </c>
      <c r="S813" s="8" t="str">
        <f aca="false">IF(A813="","",IF(AND(Y813&lt;&gt;"参考",G813&gt;=ルール設定!$B$5,J813&gt;=ルール設定!$B$6,O813&gt;=ルール設定!$B$7),"○",""))</f>
        <v/>
      </c>
      <c r="T813" s="8" t="n">
        <v>4</v>
      </c>
      <c r="U813" s="8" t="n">
        <v>1</v>
      </c>
      <c r="V813" s="8" t="str">
        <f aca="false">IF(A813="","",IF(AND(ISNUMBER(T813),ISNUMBER(U813)),IF(AND(T813&lt;=3,U813&lt;=3),"○","×"),""))</f>
        <v>×</v>
      </c>
      <c r="W813" s="8"/>
      <c r="X813" s="8"/>
      <c r="Y813" s="4" t="s">
        <v>7597</v>
      </c>
      <c r="Z813" s="8" t="s">
        <v>7989</v>
      </c>
      <c r="AA813" s="8" t="str">
        <v/>
      </c>
      <c r="AB813" s="8" t="str">
        <v/>
      </c>
      <c r="AC813" s="8" t="str">
        <v/>
      </c>
      <c r="AD813" s="8" t="str">
        <v/>
      </c>
      <c r="AE813" s="8" t="str">
        <v/>
      </c>
      <c r="AF813" s="8" t="str">
        <v/>
      </c>
      <c r="AG813" s="8" t="str">
        <v/>
      </c>
      <c r="AH813" s="8" t="str">
        <v/>
      </c>
      <c r="AI813" s="8" t="n">
        <v>10</v>
      </c>
      <c r="AJ813" s="8" t="str">
        <v>～59</v>
      </c>
      <c r="AK813" s="8" t="str">
        <v>5～9</v>
      </c>
      <c r="AL813" s="8" t="str">
        <v>10～19</v>
      </c>
      <c r="AM813" s="8" t="str">
        <v>～99</v>
      </c>
      <c r="AN813" s="8" t="str">
        <v>8～11</v>
      </c>
      <c r="AO813" s="8" t="str">
        <f aca="false">IF(A813="","",IF(COUNTIFS(全馬データ!$A$2:$A$50000,A813,全馬データ!$B$2:$B$50000,B813,全馬データ!$C$2:$C$50000,C813,全馬データ!$D$2:$D$50000,E813,全馬データ!$K$2:$K$50000,"&lt;&gt;")=0,"",SUMIFS(全馬データ!$K$2:$K$50000,全馬データ!$A$2:$A$50000,A813,全馬データ!$B$2:$B$50000,B813,全馬データ!$C$2:$C$50000,C813,全馬データ!$D$2:$D$50000,E813)))</f>
        <v/>
      </c>
      <c r="AP813" s="8" t="str">
        <f aca="false">IF(A813="","",IF(AO813="","欠損",IF(AO813&lt;=1.1,"1.0～1.1",IF(AO813&lt;1.3,"1.2",IF(AO813&lt;1.5,"1.3～1.4",IF(AO813&lt;2,"1.5～1.9","2.0以上"))))))</f>
        <v>欠損</v>
      </c>
      <c r="AQ813" s="8" t="str">
        <f aca="false">IF(A813="","",IF(ISNUMBER(SEARCH("2歳",Z813)),"2歳戦",IF(ISNUMBER(SEARCH("3歳未勝利",Z813)),"3歳未勝利",IF(ISNUMBER(SEARCH("未勝利",Z813)),"その他未勝利",IF(ISNUMBER(SEARCH("G1",Z813)),"G1",IF(ISNUMBER(SEARCH("G2",Z813)),"G2",IF(ISNUMBER(SEARCH("G3",Z813)),"G3",IF(ISNUMBER(SEARCH("古馬条件",Z813)),"古馬条件戦",IF(ISNUMBER(SEARCH("重賞",Z813)),"重賞","分類不能")))))))))</f>
        <v>分類不能</v>
      </c>
      <c r="AR813" s="8"/>
      <c r="AS813" s="8" t="s">
        <v>7598</v>
      </c>
      <c r="AT813" s="8" t="s">
        <v>7599</v>
      </c>
      <c r="AU813" s="8" t="s">
        <v>7615</v>
      </c>
      <c r="AV813" s="4" t="s">
        <v>7616</v>
      </c>
      <c r="AW813" s="8"/>
      <c r="AX813" s="8"/>
      <c r="AY813" s="8" t="s">
        <v>7602</v>
      </c>
      <c r="AZ813" s="4" t="s">
        <v>7603</v>
      </c>
      <c r="BA813" s="8" t="n">
        <v>1400</v>
      </c>
      <c r="BB813" s="8" t="s">
        <v>7634</v>
      </c>
      <c r="BC813" s="4" t="s">
        <v>7604</v>
      </c>
      <c r="BD813" s="8" t="s">
        <v>7605</v>
      </c>
      <c r="BE813" s="4" t="s">
        <v>7606</v>
      </c>
      <c r="BF813" s="8" t="s">
        <v>7607</v>
      </c>
      <c r="BG813" s="8" t="s">
        <v>7608</v>
      </c>
      <c r="BH813" s="4" t="s">
        <v>7609</v>
      </c>
      <c r="BI813" s="8" t="n">
        <v>9</v>
      </c>
      <c r="BJ813" s="8" t="s">
        <v>7610</v>
      </c>
      <c r="BK813" s="4" t="s">
        <v>7611</v>
      </c>
      <c r="BL813" s="8" t="s">
        <v>7602</v>
      </c>
      <c r="BM813" s="4" t="s">
        <v>7620</v>
      </c>
      <c r="BN813" s="8" t="s">
        <v>7631</v>
      </c>
      <c r="BO813" s="8" t="s">
        <v>7680</v>
      </c>
      <c r="BP813" s="8" t="s">
        <v>7610</v>
      </c>
      <c r="BQ813" s="8" t="str">
        <f aca="false">IF(A813="","",AT813)</f>
        <v>2歳</v>
      </c>
      <c r="BR813" s="8" t="str">
        <f aca="false">IF(A813="","",IF(BA813&lt;=1200,"～1200",IF(BA813&lt;=1500,"1300～1500",IF(BA813=1600,"1600",IF(BA813&lt;=1800,"1700～1800",IF(BA813&lt;=2000,"1900～2000","2100以上"))))))</f>
        <v>1300～1500</v>
      </c>
      <c r="BS813" s="8" t="str">
        <f aca="false">IF(A813="","",IF(AX813="G1","G1",IF(AX813="G2","G2",IF(AX813="G3","G3",IF(AX813="L","L","その他")))))</f>
        <v>その他</v>
      </c>
      <c r="BT813" s="8" t="str">
        <f aca="false">IF(A813="","",IF(BI813="","未結合",IF(D813=BI813,"一致","不一致")))</f>
        <v>一致</v>
      </c>
      <c r="BU813" s="8" t="str">
        <f aca="false">IF(A813="","",IF(BE813="牝馬限定","牝馬限定","その他"))</f>
        <v>その他</v>
      </c>
    </row>
    <row r="814" customFormat="false" ht="15.75" hidden="false" customHeight="false" outlineLevel="0" collapsed="false">
      <c r="A814" s="6" t="n">
        <f aca="false">DATE(2026,8,23)</f>
        <v>46257</v>
      </c>
      <c r="B814" s="4" t="s">
        <v>179</v>
      </c>
      <c r="C814" s="8" t="n">
        <v>4</v>
      </c>
      <c r="D814" s="8" t="n">
        <v>15</v>
      </c>
      <c r="E814" s="8" t="n">
        <v>2</v>
      </c>
      <c r="F814" s="8"/>
      <c r="G814" s="8" t="n">
        <v>71</v>
      </c>
      <c r="H814" s="8" t="n">
        <v>12</v>
      </c>
      <c r="I814" s="8"/>
      <c r="J814" s="8" t="n">
        <v>50</v>
      </c>
      <c r="K814" s="8" t="n">
        <v>8</v>
      </c>
      <c r="L814" s="8"/>
      <c r="M814" s="8" t="n">
        <v>44</v>
      </c>
      <c r="N814" s="8" t="n">
        <f aca="false">IF(A814="","",G814-J814)</f>
        <v>21</v>
      </c>
      <c r="O814" s="8" t="n">
        <f aca="false">IF(A814="","",J814-M814)</f>
        <v>6</v>
      </c>
      <c r="P814" s="8" t="n">
        <f aca="false">IF(A814="","",G814+J814)</f>
        <v>121</v>
      </c>
      <c r="Q814" s="8" t="str">
        <f aca="false">IF(A814="","",IF(AND(Y814&lt;&gt;"参考",G814&gt;=ルール設定!$B$2),"○",""))</f>
        <v/>
      </c>
      <c r="R814" s="8" t="str">
        <f aca="false">IF(A814="","",IF(AND(Y814&lt;&gt;"参考",G814&gt;=ルール設定!$B$3,N814&gt;=ルール設定!$B$4),"○",""))</f>
        <v/>
      </c>
      <c r="S814" s="8" t="str">
        <f aca="false">IF(A814="","",IF(AND(Y814&lt;&gt;"参考",G814&gt;=ルール設定!$B$5,J814&gt;=ルール設定!$B$6,O814&gt;=ルール設定!$B$7),"○",""))</f>
        <v/>
      </c>
      <c r="T814" s="8" t="n">
        <v>4</v>
      </c>
      <c r="U814" s="8" t="n">
        <v>4</v>
      </c>
      <c r="V814" s="8" t="str">
        <f aca="false">IF(A814="","",IF(AND(ISNUMBER(T814),ISNUMBER(U814)),IF(AND(T814&lt;=3,U814&lt;=3),"○","×"),""))</f>
        <v>×</v>
      </c>
      <c r="W814" s="8"/>
      <c r="X814" s="8"/>
      <c r="Y814" s="4" t="s">
        <v>7597</v>
      </c>
      <c r="Z814" s="8" t="s">
        <v>7990</v>
      </c>
      <c r="AA814" s="8" t="str">
        <v/>
      </c>
      <c r="AB814" s="8" t="str">
        <v/>
      </c>
      <c r="AC814" s="8" t="str">
        <v/>
      </c>
      <c r="AD814" s="8" t="str">
        <v/>
      </c>
      <c r="AE814" s="8" t="str">
        <v/>
      </c>
      <c r="AF814" s="8" t="str">
        <v/>
      </c>
      <c r="AG814" s="8" t="str">
        <v/>
      </c>
      <c r="AH814" s="8" t="str">
        <v/>
      </c>
      <c r="AI814" s="8" t="n">
        <v>27</v>
      </c>
      <c r="AJ814" s="8" t="str">
        <v>70～74</v>
      </c>
      <c r="AK814" s="8" t="str">
        <v>20～29</v>
      </c>
      <c r="AL814" s="8" t="str">
        <v>20～29</v>
      </c>
      <c r="AM814" s="8" t="str">
        <v>120～139</v>
      </c>
      <c r="AN814" s="8" t="str">
        <v>15以上</v>
      </c>
      <c r="AO814" s="8" t="str">
        <f aca="false">IF(A814="","",IF(COUNTIFS(全馬データ!$A$2:$A$50000,A814,全馬データ!$B$2:$B$50000,B814,全馬データ!$C$2:$C$50000,C814,全馬データ!$D$2:$D$50000,E814,全馬データ!$K$2:$K$50000,"&lt;&gt;")=0,"",SUMIFS(全馬データ!$K$2:$K$50000,全馬データ!$A$2:$A$50000,A814,全馬データ!$B$2:$B$50000,B814,全馬データ!$C$2:$C$50000,C814,全馬データ!$D$2:$D$50000,E814)))</f>
        <v/>
      </c>
      <c r="AP814" s="8" t="str">
        <f aca="false">IF(A814="","",IF(AO814="","欠損",IF(AO814&lt;=1.1,"1.0～1.1",IF(AO814&lt;1.3,"1.2",IF(AO814&lt;1.5,"1.3～1.4",IF(AO814&lt;2,"1.5～1.9","2.0以上"))))))</f>
        <v>欠損</v>
      </c>
      <c r="AQ814" s="8" t="str">
        <f aca="false">IF(A814="","",IF(ISNUMBER(SEARCH("2歳",Z814)),"2歳戦",IF(ISNUMBER(SEARCH("3歳未勝利",Z814)),"3歳未勝利",IF(ISNUMBER(SEARCH("未勝利",Z814)),"その他未勝利",IF(ISNUMBER(SEARCH("G1",Z814)),"G1",IF(ISNUMBER(SEARCH("G2",Z814)),"G2",IF(ISNUMBER(SEARCH("G3",Z814)),"G3",IF(ISNUMBER(SEARCH("古馬条件",Z814)),"古馬条件戦",IF(ISNUMBER(SEARCH("重賞",Z814)),"重賞","分類不能")))))))))</f>
        <v>分類不能</v>
      </c>
      <c r="AR814" s="8"/>
      <c r="AS814" s="8" t="s">
        <v>7623</v>
      </c>
      <c r="AT814" s="8" t="s">
        <v>7624</v>
      </c>
      <c r="AU814" s="8" t="s">
        <v>7600</v>
      </c>
      <c r="AV814" s="4" t="s">
        <v>7601</v>
      </c>
      <c r="AW814" s="8"/>
      <c r="AX814" s="8"/>
      <c r="AY814" s="8" t="s">
        <v>7610</v>
      </c>
      <c r="AZ814" s="4" t="s">
        <v>7617</v>
      </c>
      <c r="BA814" s="8" t="n">
        <v>1900</v>
      </c>
      <c r="BB814" s="8" t="s">
        <v>7634</v>
      </c>
      <c r="BC814" s="4" t="s">
        <v>7604</v>
      </c>
      <c r="BD814" s="8" t="s">
        <v>7625</v>
      </c>
      <c r="BE814" s="4" t="s">
        <v>7606</v>
      </c>
      <c r="BF814" s="8" t="s">
        <v>7607</v>
      </c>
      <c r="BG814" s="8" t="s">
        <v>7608</v>
      </c>
      <c r="BH814" s="4" t="s">
        <v>7609</v>
      </c>
      <c r="BI814" s="8" t="n">
        <v>15</v>
      </c>
      <c r="BJ814" s="8" t="s">
        <v>7610</v>
      </c>
      <c r="BK814" s="4" t="s">
        <v>7611</v>
      </c>
      <c r="BL814" s="8" t="s">
        <v>7602</v>
      </c>
      <c r="BM814" s="4" t="s">
        <v>7620</v>
      </c>
      <c r="BN814" s="8"/>
      <c r="BO814" s="8"/>
      <c r="BP814" s="8" t="s">
        <v>7610</v>
      </c>
      <c r="BQ814" s="8" t="str">
        <f aca="false">IF(A814="","",AT814)</f>
        <v>3歳</v>
      </c>
      <c r="BR814" s="8" t="str">
        <f aca="false">IF(A814="","",IF(BA814&lt;=1200,"～1200",IF(BA814&lt;=1500,"1300～1500",IF(BA814=1600,"1600",IF(BA814&lt;=1800,"1700～1800",IF(BA814&lt;=2000,"1900～2000","2100以上"))))))</f>
        <v>1900～2000</v>
      </c>
      <c r="BS814" s="8" t="str">
        <f aca="false">IF(A814="","",IF(AX814="G1","G1",IF(AX814="G2","G2",IF(AX814="G3","G3",IF(AX814="L","L","その他")))))</f>
        <v>その他</v>
      </c>
      <c r="BT814" s="8" t="str">
        <f aca="false">IF(A814="","",IF(BI814="","未結合",IF(D814=BI814,"一致","不一致")))</f>
        <v>一致</v>
      </c>
      <c r="BU814" s="8" t="str">
        <f aca="false">IF(A814="","",IF(BE814="牝馬限定","牝馬限定","その他"))</f>
        <v>その他</v>
      </c>
    </row>
    <row r="815" customFormat="false" ht="15.75" hidden="false" customHeight="false" outlineLevel="0" collapsed="false">
      <c r="A815" s="6" t="n">
        <f aca="false">DATE(2026,8,23)</f>
        <v>46257</v>
      </c>
      <c r="B815" s="4" t="s">
        <v>179</v>
      </c>
      <c r="C815" s="8" t="n">
        <v>5</v>
      </c>
      <c r="D815" s="8" t="n">
        <v>11</v>
      </c>
      <c r="E815" s="8" t="n">
        <v>6</v>
      </c>
      <c r="F815" s="4" t="s">
        <v>3681</v>
      </c>
      <c r="G815" s="8" t="n">
        <v>60</v>
      </c>
      <c r="H815" s="8" t="n">
        <v>3</v>
      </c>
      <c r="I815" s="8"/>
      <c r="J815" s="8" t="n">
        <v>37</v>
      </c>
      <c r="K815" s="8" t="n">
        <v>11</v>
      </c>
      <c r="L815" s="4" t="s">
        <v>3677</v>
      </c>
      <c r="M815" s="8" t="n">
        <v>37</v>
      </c>
      <c r="N815" s="8" t="n">
        <f aca="false">IF(A815="","",G815-J815)</f>
        <v>23</v>
      </c>
      <c r="O815" s="8" t="n">
        <f aca="false">IF(A815="","",J815-M815)</f>
        <v>0</v>
      </c>
      <c r="P815" s="8" t="n">
        <f aca="false">IF(A815="","",G815+J815)</f>
        <v>97</v>
      </c>
      <c r="Q815" s="8" t="str">
        <f aca="false">IF(A815="","",IF(AND(Y815&lt;&gt;"参考",G815&gt;=ルール設定!$B$2),"○",""))</f>
        <v/>
      </c>
      <c r="R815" s="8" t="str">
        <f aca="false">IF(A815="","",IF(AND(Y815&lt;&gt;"参考",G815&gt;=ルール設定!$B$3,N815&gt;=ルール設定!$B$4),"○",""))</f>
        <v/>
      </c>
      <c r="S815" s="8" t="str">
        <f aca="false">IF(A815="","",IF(AND(Y815&lt;&gt;"参考",G815&gt;=ルール設定!$B$5,J815&gt;=ルール設定!$B$6,O815&gt;=ルール設定!$B$7),"○",""))</f>
        <v/>
      </c>
      <c r="T815" s="8" t="n">
        <v>3</v>
      </c>
      <c r="U815" s="8" t="n">
        <v>4</v>
      </c>
      <c r="V815" s="8" t="str">
        <f aca="false">IF(A815="","",IF(AND(ISNUMBER(T815),ISNUMBER(U815)),IF(AND(T815&lt;=3,U815&lt;=3),"○","×"),""))</f>
        <v>×</v>
      </c>
      <c r="W815" s="8" t="n">
        <v>110</v>
      </c>
      <c r="X815" s="8"/>
      <c r="Y815" s="4" t="s">
        <v>7597</v>
      </c>
      <c r="Z815" s="8" t="s">
        <v>7991</v>
      </c>
      <c r="AA815" s="8" t="str">
        <v/>
      </c>
      <c r="AB815" s="8" t="str">
        <v/>
      </c>
      <c r="AC815" s="8" t="str">
        <v/>
      </c>
      <c r="AD815" s="8" t="str">
        <v/>
      </c>
      <c r="AE815" s="8" t="str">
        <v/>
      </c>
      <c r="AF815" s="8" t="str">
        <v/>
      </c>
      <c r="AG815" s="8" t="str">
        <v/>
      </c>
      <c r="AH815" s="8" t="str">
        <v/>
      </c>
      <c r="AI815" s="8" t="n">
        <v>23</v>
      </c>
      <c r="AJ815" s="8" t="str">
        <v>60～69</v>
      </c>
      <c r="AK815" s="8" t="str">
        <v>20～29</v>
      </c>
      <c r="AL815" s="8" t="str">
        <v>20～29</v>
      </c>
      <c r="AM815" s="8" t="str">
        <v>～99</v>
      </c>
      <c r="AN815" s="8" t="str">
        <v>8～11</v>
      </c>
      <c r="AO815" s="8" t="str">
        <f aca="false">IF(A815="","",IF(COUNTIFS(全馬データ!$A$2:$A$50000,A815,全馬データ!$B$2:$B$50000,B815,全馬データ!$C$2:$C$50000,C815,全馬データ!$D$2:$D$50000,E815,全馬データ!$K$2:$K$50000,"&lt;&gt;")=0,"",SUMIFS(全馬データ!$K$2:$K$50000,全馬データ!$A$2:$A$50000,A815,全馬データ!$B$2:$B$50000,B815,全馬データ!$C$2:$C$50000,C815,全馬データ!$D$2:$D$50000,E815)))</f>
        <v/>
      </c>
      <c r="AP815" s="8" t="str">
        <f aca="false">IF(A815="","",IF(AO815="","欠損",IF(AO815&lt;=1.1,"1.0～1.1",IF(AO815&lt;1.3,"1.2",IF(AO815&lt;1.5,"1.3～1.4",IF(AO815&lt;2,"1.5～1.9","2.0以上"))))))</f>
        <v>欠損</v>
      </c>
      <c r="AQ815" s="8" t="str">
        <f aca="false">IF(A815="","",IF(ISNUMBER(SEARCH("2歳",Z815)),"2歳戦",IF(ISNUMBER(SEARCH("3歳未勝利",Z815)),"3歳未勝利",IF(ISNUMBER(SEARCH("未勝利",Z815)),"その他未勝利",IF(ISNUMBER(SEARCH("G1",Z815)),"G1",IF(ISNUMBER(SEARCH("G2",Z815)),"G2",IF(ISNUMBER(SEARCH("G3",Z815)),"G3",IF(ISNUMBER(SEARCH("古馬条件",Z815)),"古馬条件戦",IF(ISNUMBER(SEARCH("重賞",Z815)),"重賞","分類不能")))))))))</f>
        <v>分類不能</v>
      </c>
      <c r="AR815" s="8"/>
      <c r="AS815" s="8" t="s">
        <v>7626</v>
      </c>
      <c r="AT815" s="8" t="s">
        <v>7627</v>
      </c>
      <c r="AU815" s="8" t="s">
        <v>7628</v>
      </c>
      <c r="AV815" s="8" t="s">
        <v>7629</v>
      </c>
      <c r="AW815" s="8"/>
      <c r="AX815" s="8"/>
      <c r="AY815" s="8" t="s">
        <v>7602</v>
      </c>
      <c r="AZ815" s="4" t="s">
        <v>7603</v>
      </c>
      <c r="BA815" s="8" t="n">
        <v>2000</v>
      </c>
      <c r="BB815" s="8" t="s">
        <v>7634</v>
      </c>
      <c r="BC815" s="4" t="s">
        <v>7604</v>
      </c>
      <c r="BD815" s="8" t="s">
        <v>7621</v>
      </c>
      <c r="BE815" s="4" t="s">
        <v>7622</v>
      </c>
      <c r="BF815" s="8" t="s">
        <v>7602</v>
      </c>
      <c r="BG815" s="8" t="s">
        <v>7631</v>
      </c>
      <c r="BH815" s="4" t="s">
        <v>7632</v>
      </c>
      <c r="BI815" s="8" t="n">
        <v>11</v>
      </c>
      <c r="BJ815" s="8" t="s">
        <v>7610</v>
      </c>
      <c r="BK815" s="4" t="s">
        <v>7611</v>
      </c>
      <c r="BL815" s="8" t="s">
        <v>7602</v>
      </c>
      <c r="BM815" s="4" t="s">
        <v>7620</v>
      </c>
      <c r="BN815" s="8" t="s">
        <v>7631</v>
      </c>
      <c r="BO815" s="8" t="s">
        <v>7680</v>
      </c>
      <c r="BP815" s="8" t="s">
        <v>7610</v>
      </c>
      <c r="BQ815" s="8" t="str">
        <f aca="false">IF(A815="","",AT815)</f>
        <v>3歳以上</v>
      </c>
      <c r="BR815" s="8" t="str">
        <f aca="false">IF(A815="","",IF(BA815&lt;=1200,"～1200",IF(BA815&lt;=1500,"1300～1500",IF(BA815=1600,"1600",IF(BA815&lt;=1800,"1700～1800",IF(BA815&lt;=2000,"1900～2000","2100以上"))))))</f>
        <v>1900～2000</v>
      </c>
      <c r="BS815" s="8" t="str">
        <f aca="false">IF(A815="","",IF(AX815="G1","G1",IF(AX815="G2","G2",IF(AX815="G3","G3",IF(AX815="L","L","その他")))))</f>
        <v>その他</v>
      </c>
      <c r="BT815" s="8" t="str">
        <f aca="false">IF(A815="","",IF(BI815="","未結合",IF(D815=BI815,"一致","不一致")))</f>
        <v>一致</v>
      </c>
      <c r="BU815" s="8" t="str">
        <f aca="false">IF(A815="","",IF(BE815="牝馬限定","牝馬限定","その他"))</f>
        <v>牝馬限定</v>
      </c>
    </row>
    <row r="816" customFormat="false" ht="15.75" hidden="false" customHeight="false" outlineLevel="0" collapsed="false">
      <c r="A816" s="6" t="n">
        <f aca="false">DATE(2026,8,23)</f>
        <v>46257</v>
      </c>
      <c r="B816" s="4" t="s">
        <v>179</v>
      </c>
      <c r="C816" s="8" t="n">
        <v>6</v>
      </c>
      <c r="D816" s="8" t="n">
        <v>14</v>
      </c>
      <c r="E816" s="8" t="n">
        <v>3</v>
      </c>
      <c r="F816" s="4" t="s">
        <v>5872</v>
      </c>
      <c r="G816" s="8" t="n">
        <v>58</v>
      </c>
      <c r="H816" s="8" t="n">
        <v>10</v>
      </c>
      <c r="I816" s="8"/>
      <c r="J816" s="8" t="n">
        <v>44</v>
      </c>
      <c r="K816" s="8" t="n">
        <v>11</v>
      </c>
      <c r="L816" s="8"/>
      <c r="M816" s="8" t="n">
        <v>37</v>
      </c>
      <c r="N816" s="8" t="n">
        <f aca="false">IF(A816="","",G816-J816)</f>
        <v>14</v>
      </c>
      <c r="O816" s="8" t="n">
        <f aca="false">IF(A816="","",J816-M816)</f>
        <v>7</v>
      </c>
      <c r="P816" s="8" t="n">
        <f aca="false">IF(A816="","",G816+J816)</f>
        <v>102</v>
      </c>
      <c r="Q816" s="8" t="str">
        <f aca="false">IF(A816="","",IF(AND(Y816&lt;&gt;"参考",G816&gt;=ルール設定!$B$2),"○",""))</f>
        <v/>
      </c>
      <c r="R816" s="8" t="str">
        <f aca="false">IF(A816="","",IF(AND(Y816&lt;&gt;"参考",G816&gt;=ルール設定!$B$3,N816&gt;=ルール設定!$B$4),"○",""))</f>
        <v/>
      </c>
      <c r="S816" s="8" t="str">
        <f aca="false">IF(A816="","",IF(AND(Y816&lt;&gt;"参考",G816&gt;=ルール設定!$B$5,J816&gt;=ルール設定!$B$6,O816&gt;=ルール設定!$B$7),"○",""))</f>
        <v/>
      </c>
      <c r="T816" s="8" t="n">
        <v>2</v>
      </c>
      <c r="U816" s="8" t="n">
        <v>4</v>
      </c>
      <c r="V816" s="8" t="str">
        <f aca="false">IF(A816="","",IF(AND(ISNUMBER(T816),ISNUMBER(U816)),IF(AND(T816&lt;=3,U816&lt;=3),"○","×"),""))</f>
        <v>×</v>
      </c>
      <c r="W816" s="8" t="n">
        <v>210</v>
      </c>
      <c r="X816" s="8"/>
      <c r="Y816" s="4" t="s">
        <v>7597</v>
      </c>
      <c r="Z816" s="8" t="s">
        <v>7992</v>
      </c>
      <c r="AA816" s="8" t="str">
        <v/>
      </c>
      <c r="AB816" s="8" t="str">
        <v/>
      </c>
      <c r="AC816" s="8" t="str">
        <v/>
      </c>
      <c r="AD816" s="8" t="str">
        <v/>
      </c>
      <c r="AE816" s="8" t="str">
        <v/>
      </c>
      <c r="AF816" s="8" t="str">
        <v/>
      </c>
      <c r="AG816" s="8" t="str">
        <v/>
      </c>
      <c r="AH816" s="8" t="str">
        <v/>
      </c>
      <c r="AI816" s="8" t="n">
        <v>21</v>
      </c>
      <c r="AJ816" s="8" t="str">
        <v>～59</v>
      </c>
      <c r="AK816" s="8" t="str">
        <v>10～19</v>
      </c>
      <c r="AL816" s="8" t="str">
        <v>20～29</v>
      </c>
      <c r="AM816" s="8" t="str">
        <v>100～119</v>
      </c>
      <c r="AN816" s="8" t="str">
        <v>12～14</v>
      </c>
      <c r="AO816" s="8" t="str">
        <f aca="false">IF(A816="","",IF(COUNTIFS(全馬データ!$A$2:$A$50000,A816,全馬データ!$B$2:$B$50000,B816,全馬データ!$C$2:$C$50000,C816,全馬データ!$D$2:$D$50000,E816,全馬データ!$K$2:$K$50000,"&lt;&gt;")=0,"",SUMIFS(全馬データ!$K$2:$K$50000,全馬データ!$A$2:$A$50000,A816,全馬データ!$B$2:$B$50000,B816,全馬データ!$C$2:$C$50000,C816,全馬データ!$D$2:$D$50000,E816)))</f>
        <v/>
      </c>
      <c r="AP816" s="8" t="str">
        <f aca="false">IF(A816="","",IF(AO816="","欠損",IF(AO816&lt;=1.1,"1.0～1.1",IF(AO816&lt;1.3,"1.2",IF(AO816&lt;1.5,"1.3～1.4",IF(AO816&lt;2,"1.5～1.9","2.0以上"))))))</f>
        <v>欠損</v>
      </c>
      <c r="AQ816" s="8" t="str">
        <f aca="false">IF(A816="","",IF(ISNUMBER(SEARCH("2歳",Z816)),"2歳戦",IF(ISNUMBER(SEARCH("3歳未勝利",Z816)),"3歳未勝利",IF(ISNUMBER(SEARCH("未勝利",Z816)),"その他未勝利",IF(ISNUMBER(SEARCH("G1",Z816)),"G1",IF(ISNUMBER(SEARCH("G2",Z816)),"G2",IF(ISNUMBER(SEARCH("G3",Z816)),"G3",IF(ISNUMBER(SEARCH("古馬条件",Z816)),"古馬条件戦",IF(ISNUMBER(SEARCH("重賞",Z816)),"重賞","分類不能")))))))))</f>
        <v>分類不能</v>
      </c>
      <c r="AR816" s="4" t="s">
        <v>7993</v>
      </c>
      <c r="AS816" s="8" t="s">
        <v>7626</v>
      </c>
      <c r="AT816" s="8" t="s">
        <v>7627</v>
      </c>
      <c r="AU816" s="8" t="s">
        <v>7634</v>
      </c>
      <c r="AV816" s="8" t="s">
        <v>7635</v>
      </c>
      <c r="AW816" s="8" t="s">
        <v>7636</v>
      </c>
      <c r="AX816" s="4" t="s">
        <v>7637</v>
      </c>
      <c r="AY816" s="8" t="s">
        <v>7602</v>
      </c>
      <c r="AZ816" s="4" t="s">
        <v>7603</v>
      </c>
      <c r="BA816" s="8" t="n">
        <v>1600</v>
      </c>
      <c r="BB816" s="8" t="s">
        <v>7634</v>
      </c>
      <c r="BC816" s="4" t="s">
        <v>7604</v>
      </c>
      <c r="BD816" s="8" t="s">
        <v>7630</v>
      </c>
      <c r="BE816" s="4" t="s">
        <v>7606</v>
      </c>
      <c r="BF816" s="8" t="s">
        <v>7607</v>
      </c>
      <c r="BG816" s="8" t="s">
        <v>7631</v>
      </c>
      <c r="BH816" s="4" t="s">
        <v>7632</v>
      </c>
      <c r="BI816" s="8" t="n">
        <v>14</v>
      </c>
      <c r="BJ816" s="8" t="s">
        <v>7610</v>
      </c>
      <c r="BK816" s="4" t="s">
        <v>7611</v>
      </c>
      <c r="BL816" s="8" t="s">
        <v>7602</v>
      </c>
      <c r="BM816" s="4" t="s">
        <v>7620</v>
      </c>
      <c r="BN816" s="8" t="s">
        <v>7631</v>
      </c>
      <c r="BO816" s="8" t="s">
        <v>7680</v>
      </c>
      <c r="BP816" s="8" t="s">
        <v>7610</v>
      </c>
      <c r="BQ816" s="8" t="str">
        <f aca="false">IF(A816="","",AT816)</f>
        <v>3歳以上</v>
      </c>
      <c r="BR816" s="8" t="str">
        <f aca="false">IF(A816="","",IF(BA816&lt;=1200,"～1200",IF(BA816&lt;=1500,"1300～1500",IF(BA816=1600,"1600",IF(BA816&lt;=1800,"1700～1800",IF(BA816&lt;=2000,"1900～2000","2100以上"))))))</f>
        <v>1600</v>
      </c>
      <c r="BS816" s="8" t="str">
        <f aca="false">IF(A816="","",IF(AX816="G1","G1",IF(AX816="G2","G2",IF(AX816="G3","G3",IF(AX816="L","L","その他")))))</f>
        <v>その他</v>
      </c>
      <c r="BT816" s="8" t="str">
        <f aca="false">IF(A816="","",IF(BI816="","未結合",IF(D816=BI816,"一致","不一致")))</f>
        <v>一致</v>
      </c>
      <c r="BU816" s="8" t="str">
        <f aca="false">IF(A816="","",IF(BE816="牝馬限定","牝馬限定","その他"))</f>
        <v>その他</v>
      </c>
    </row>
    <row r="817" customFormat="false" ht="15.75" hidden="false" customHeight="false" outlineLevel="0" collapsed="false">
      <c r="A817" s="6" t="n">
        <f aca="false">DATE(2026,8,23)</f>
        <v>46257</v>
      </c>
      <c r="B817" s="4" t="s">
        <v>179</v>
      </c>
      <c r="C817" s="8" t="n">
        <v>7</v>
      </c>
      <c r="D817" s="8" t="n">
        <v>16</v>
      </c>
      <c r="E817" s="8" t="n">
        <v>2</v>
      </c>
      <c r="F817" s="8"/>
      <c r="G817" s="8" t="n">
        <v>47</v>
      </c>
      <c r="H817" s="8" t="n">
        <v>13</v>
      </c>
      <c r="I817" s="8"/>
      <c r="J817" s="8" t="n">
        <v>39</v>
      </c>
      <c r="K817" s="8" t="n">
        <v>1</v>
      </c>
      <c r="L817" s="4" t="s">
        <v>6547</v>
      </c>
      <c r="M817" s="8" t="n">
        <v>37</v>
      </c>
      <c r="N817" s="8" t="n">
        <f aca="false">IF(A817="","",G817-J817)</f>
        <v>8</v>
      </c>
      <c r="O817" s="8" t="n">
        <f aca="false">IF(A817="","",J817-M817)</f>
        <v>2</v>
      </c>
      <c r="P817" s="8" t="n">
        <f aca="false">IF(A817="","",G817+J817)</f>
        <v>86</v>
      </c>
      <c r="Q817" s="8" t="str">
        <f aca="false">IF(A817="","",IF(AND(Y817&lt;&gt;"参考",G817&gt;=ルール設定!$B$2),"○",""))</f>
        <v/>
      </c>
      <c r="R817" s="8" t="str">
        <f aca="false">IF(A817="","",IF(AND(Y817&lt;&gt;"参考",G817&gt;=ルール設定!$B$3,N817&gt;=ルール設定!$B$4),"○",""))</f>
        <v/>
      </c>
      <c r="S817" s="8" t="str">
        <f aca="false">IF(A817="","",IF(AND(Y817&lt;&gt;"参考",G817&gt;=ルール設定!$B$5,J817&gt;=ルール設定!$B$6,O817&gt;=ルール設定!$B$7),"○",""))</f>
        <v/>
      </c>
      <c r="T817" s="8" t="n">
        <v>4</v>
      </c>
      <c r="U817" s="8" t="n">
        <v>4</v>
      </c>
      <c r="V817" s="8" t="str">
        <f aca="false">IF(A817="","",IF(AND(ISNUMBER(T817),ISNUMBER(U817)),IF(AND(T817&lt;=3,U817&lt;=3),"○","×"),""))</f>
        <v>×</v>
      </c>
      <c r="W817" s="8"/>
      <c r="X817" s="8"/>
      <c r="Y817" s="4" t="s">
        <v>7597</v>
      </c>
      <c r="Z817" s="8" t="s">
        <v>7994</v>
      </c>
      <c r="AA817" s="8" t="str">
        <v/>
      </c>
      <c r="AB817" s="8" t="str">
        <v/>
      </c>
      <c r="AC817" s="8" t="str">
        <v/>
      </c>
      <c r="AD817" s="8" t="str">
        <v/>
      </c>
      <c r="AE817" s="8" t="str">
        <v/>
      </c>
      <c r="AF817" s="8" t="str">
        <v/>
      </c>
      <c r="AG817" s="8" t="str">
        <v/>
      </c>
      <c r="AH817" s="8" t="str">
        <v/>
      </c>
      <c r="AI817" s="8" t="n">
        <v>10</v>
      </c>
      <c r="AJ817" s="8" t="str">
        <v>～59</v>
      </c>
      <c r="AK817" s="8" t="str">
        <v>5～9</v>
      </c>
      <c r="AL817" s="8" t="str">
        <v>10～19</v>
      </c>
      <c r="AM817" s="8" t="str">
        <v>～99</v>
      </c>
      <c r="AN817" s="8" t="str">
        <v>15以上</v>
      </c>
      <c r="AO817" s="8" t="str">
        <f aca="false">IF(A817="","",IF(COUNTIFS(全馬データ!$A$2:$A$50000,A817,全馬データ!$B$2:$B$50000,B817,全馬データ!$C$2:$C$50000,C817,全馬データ!$D$2:$D$50000,E817,全馬データ!$K$2:$K$50000,"&lt;&gt;")=0,"",SUMIFS(全馬データ!$K$2:$K$50000,全馬データ!$A$2:$A$50000,A817,全馬データ!$B$2:$B$50000,B817,全馬データ!$C$2:$C$50000,C817,全馬データ!$D$2:$D$50000,E817)))</f>
        <v/>
      </c>
      <c r="AP817" s="8" t="str">
        <f aca="false">IF(A817="","",IF(AO817="","欠損",IF(AO817&lt;=1.1,"1.0～1.1",IF(AO817&lt;1.3,"1.2",IF(AO817&lt;1.5,"1.3～1.4",IF(AO817&lt;2,"1.5～1.9","2.0以上"))))))</f>
        <v>欠損</v>
      </c>
      <c r="AQ817" s="8" t="str">
        <f aca="false">IF(A817="","",IF(ISNUMBER(SEARCH("2歳",Z817)),"2歳戦",IF(ISNUMBER(SEARCH("3歳未勝利",Z817)),"3歳未勝利",IF(ISNUMBER(SEARCH("未勝利",Z817)),"その他未勝利",IF(ISNUMBER(SEARCH("G1",Z817)),"G1",IF(ISNUMBER(SEARCH("G2",Z817)),"G2",IF(ISNUMBER(SEARCH("G3",Z817)),"G3",IF(ISNUMBER(SEARCH("古馬条件",Z817)),"古馬条件戦",IF(ISNUMBER(SEARCH("重賞",Z817)),"重賞","分類不能")))))))))</f>
        <v>分類不能</v>
      </c>
      <c r="AR817" s="4" t="s">
        <v>7995</v>
      </c>
      <c r="AS817" s="8" t="s">
        <v>7626</v>
      </c>
      <c r="AT817" s="8" t="s">
        <v>7627</v>
      </c>
      <c r="AU817" s="8" t="s">
        <v>7643</v>
      </c>
      <c r="AV817" s="4" t="s">
        <v>7644</v>
      </c>
      <c r="AW817" s="8" t="s">
        <v>7636</v>
      </c>
      <c r="AX817" s="4" t="s">
        <v>7637</v>
      </c>
      <c r="AY817" s="8" t="s">
        <v>7610</v>
      </c>
      <c r="AZ817" s="4" t="s">
        <v>7617</v>
      </c>
      <c r="BA817" s="8" t="n">
        <v>1800</v>
      </c>
      <c r="BB817" s="8" t="s">
        <v>7634</v>
      </c>
      <c r="BC817" s="4" t="s">
        <v>7604</v>
      </c>
      <c r="BD817" s="8" t="s">
        <v>7666</v>
      </c>
      <c r="BE817" s="4" t="s">
        <v>7606</v>
      </c>
      <c r="BF817" s="8" t="s">
        <v>7607</v>
      </c>
      <c r="BG817" s="8" t="s">
        <v>7602</v>
      </c>
      <c r="BH817" s="4" t="s">
        <v>7667</v>
      </c>
      <c r="BI817" s="8" t="n">
        <v>16</v>
      </c>
      <c r="BJ817" s="8" t="s">
        <v>7610</v>
      </c>
      <c r="BK817" s="4" t="s">
        <v>7611</v>
      </c>
      <c r="BL817" s="8" t="s">
        <v>7602</v>
      </c>
      <c r="BM817" s="4" t="s">
        <v>7620</v>
      </c>
      <c r="BN817" s="8"/>
      <c r="BO817" s="8"/>
      <c r="BP817" s="8" t="s">
        <v>7610</v>
      </c>
      <c r="BQ817" s="8" t="str">
        <f aca="false">IF(A817="","",AT817)</f>
        <v>3歳以上</v>
      </c>
      <c r="BR817" s="8" t="str">
        <f aca="false">IF(A817="","",IF(BA817&lt;=1200,"～1200",IF(BA817&lt;=1500,"1300～1500",IF(BA817=1600,"1600",IF(BA817&lt;=1800,"1700～1800",IF(BA817&lt;=2000,"1900～2000","2100以上"))))))</f>
        <v>1700～1800</v>
      </c>
      <c r="BS817" s="8" t="str">
        <f aca="false">IF(A817="","",IF(AX817="G1","G1",IF(AX817="G2","G2",IF(AX817="G3","G3",IF(AX817="L","L","その他")))))</f>
        <v>その他</v>
      </c>
      <c r="BT817" s="8" t="str">
        <f aca="false">IF(A817="","",IF(BI817="","未結合",IF(D817=BI817,"一致","不一致")))</f>
        <v>一致</v>
      </c>
      <c r="BU817" s="8" t="str">
        <f aca="false">IF(A817="","",IF(BE817="牝馬限定","牝馬限定","その他"))</f>
        <v>その他</v>
      </c>
    </row>
    <row r="818" customFormat="false" ht="15.75" hidden="false" customHeight="false" outlineLevel="0" collapsed="false">
      <c r="A818" s="6" t="n">
        <f aca="false">DATE(2026,8,23)</f>
        <v>46257</v>
      </c>
      <c r="B818" s="4" t="s">
        <v>179</v>
      </c>
      <c r="C818" s="8" t="n">
        <v>8</v>
      </c>
      <c r="D818" s="8" t="n">
        <v>16</v>
      </c>
      <c r="E818" s="8" t="n">
        <v>16</v>
      </c>
      <c r="F818" s="8"/>
      <c r="G818" s="8" t="n">
        <v>58</v>
      </c>
      <c r="H818" s="8" t="n">
        <v>2</v>
      </c>
      <c r="I818" s="8"/>
      <c r="J818" s="8" t="n">
        <v>52</v>
      </c>
      <c r="K818" s="8" t="n">
        <v>12</v>
      </c>
      <c r="L818" s="4" t="s">
        <v>3666</v>
      </c>
      <c r="M818" s="8" t="n">
        <v>37</v>
      </c>
      <c r="N818" s="8" t="n">
        <f aca="false">IF(A818="","",G818-J818)</f>
        <v>6</v>
      </c>
      <c r="O818" s="8" t="n">
        <f aca="false">IF(A818="","",J818-M818)</f>
        <v>15</v>
      </c>
      <c r="P818" s="8" t="n">
        <f aca="false">IF(A818="","",G818+J818)</f>
        <v>110</v>
      </c>
      <c r="Q818" s="8" t="str">
        <f aca="false">IF(A818="","",IF(AND(Y818&lt;&gt;"参考",G818&gt;=ルール設定!$B$2),"○",""))</f>
        <v/>
      </c>
      <c r="R818" s="8" t="str">
        <f aca="false">IF(A818="","",IF(AND(Y818&lt;&gt;"参考",G818&gt;=ルール設定!$B$3,N818&gt;=ルール設定!$B$4),"○",""))</f>
        <v/>
      </c>
      <c r="S818" s="8" t="str">
        <f aca="false">IF(A818="","",IF(AND(Y818&lt;&gt;"参考",G818&gt;=ルール設定!$B$5,J818&gt;=ルール設定!$B$6,O818&gt;=ルール設定!$B$7),"○",""))</f>
        <v/>
      </c>
      <c r="T818" s="8" t="n">
        <v>4</v>
      </c>
      <c r="U818" s="8" t="n">
        <v>4</v>
      </c>
      <c r="V818" s="8" t="str">
        <f aca="false">IF(A818="","",IF(AND(ISNUMBER(T818),ISNUMBER(U818)),IF(AND(T818&lt;=3,U818&lt;=3),"○","×"),""))</f>
        <v>×</v>
      </c>
      <c r="W818" s="8"/>
      <c r="X818" s="8"/>
      <c r="Y818" s="4" t="s">
        <v>7597</v>
      </c>
      <c r="Z818" s="8" t="s">
        <v>7996</v>
      </c>
      <c r="AA818" s="8" t="str">
        <v/>
      </c>
      <c r="AB818" s="8" t="str">
        <v/>
      </c>
      <c r="AC818" s="8" t="str">
        <v/>
      </c>
      <c r="AD818" s="8" t="str">
        <v/>
      </c>
      <c r="AE818" s="8" t="str">
        <v/>
      </c>
      <c r="AF818" s="8" t="str">
        <v/>
      </c>
      <c r="AG818" s="8" t="str">
        <v/>
      </c>
      <c r="AH818" s="8" t="str">
        <v/>
      </c>
      <c r="AI818" s="8" t="n">
        <v>21</v>
      </c>
      <c r="AJ818" s="8" t="str">
        <v>～59</v>
      </c>
      <c r="AK818" s="8" t="str">
        <v>5～9</v>
      </c>
      <c r="AL818" s="8" t="str">
        <v>20～29</v>
      </c>
      <c r="AM818" s="8" t="str">
        <v>100～119</v>
      </c>
      <c r="AN818" s="8" t="str">
        <v>15以上</v>
      </c>
      <c r="AO818" s="8" t="str">
        <f aca="false">IF(A818="","",IF(COUNTIFS(全馬データ!$A$2:$A$50000,A818,全馬データ!$B$2:$B$50000,B818,全馬データ!$C$2:$C$50000,C818,全馬データ!$D$2:$D$50000,E818,全馬データ!$K$2:$K$50000,"&lt;&gt;")=0,"",SUMIFS(全馬データ!$K$2:$K$50000,全馬データ!$A$2:$A$50000,A818,全馬データ!$B$2:$B$50000,B818,全馬データ!$C$2:$C$50000,C818,全馬データ!$D$2:$D$50000,E818)))</f>
        <v/>
      </c>
      <c r="AP818" s="8" t="str">
        <f aca="false">IF(A818="","",IF(AO818="","欠損",IF(AO818&lt;=1.1,"1.0～1.1",IF(AO818&lt;1.3,"1.2",IF(AO818&lt;1.5,"1.3～1.4",IF(AO818&lt;2,"1.5～1.9","2.0以上"))))))</f>
        <v>欠損</v>
      </c>
      <c r="AQ818" s="8" t="str">
        <f aca="false">IF(A818="","",IF(ISNUMBER(SEARCH("2歳",Z818)),"2歳戦",IF(ISNUMBER(SEARCH("3歳未勝利",Z818)),"3歳未勝利",IF(ISNUMBER(SEARCH("未勝利",Z818)),"その他未勝利",IF(ISNUMBER(SEARCH("G1",Z818)),"G1",IF(ISNUMBER(SEARCH("G2",Z818)),"G2",IF(ISNUMBER(SEARCH("G3",Z818)),"G3",IF(ISNUMBER(SEARCH("古馬条件",Z818)),"古馬条件戦",IF(ISNUMBER(SEARCH("重賞",Z818)),"重賞","分類不能")))))))))</f>
        <v>分類不能</v>
      </c>
      <c r="AR818" s="4" t="s">
        <v>7997</v>
      </c>
      <c r="AS818" s="8" t="s">
        <v>7626</v>
      </c>
      <c r="AT818" s="8" t="s">
        <v>7627</v>
      </c>
      <c r="AU818" s="8" t="s">
        <v>7628</v>
      </c>
      <c r="AV818" s="8" t="s">
        <v>7629</v>
      </c>
      <c r="AW818" s="8" t="s">
        <v>7636</v>
      </c>
      <c r="AX818" s="4" t="s">
        <v>7637</v>
      </c>
      <c r="AY818" s="8" t="s">
        <v>7610</v>
      </c>
      <c r="AZ818" s="4" t="s">
        <v>7617</v>
      </c>
      <c r="BA818" s="8" t="n">
        <v>1200</v>
      </c>
      <c r="BB818" s="8" t="s">
        <v>7634</v>
      </c>
      <c r="BC818" s="4" t="s">
        <v>7604</v>
      </c>
      <c r="BD818" s="8" t="s">
        <v>7605</v>
      </c>
      <c r="BE818" s="4" t="s">
        <v>7606</v>
      </c>
      <c r="BF818" s="8" t="s">
        <v>7607</v>
      </c>
      <c r="BG818" s="8" t="s">
        <v>7631</v>
      </c>
      <c r="BH818" s="4" t="s">
        <v>7632</v>
      </c>
      <c r="BI818" s="8" t="n">
        <v>16</v>
      </c>
      <c r="BJ818" s="8" t="s">
        <v>7610</v>
      </c>
      <c r="BK818" s="4" t="s">
        <v>7611</v>
      </c>
      <c r="BL818" s="8" t="s">
        <v>7602</v>
      </c>
      <c r="BM818" s="4" t="s">
        <v>7620</v>
      </c>
      <c r="BN818" s="8"/>
      <c r="BO818" s="8"/>
      <c r="BP818" s="8" t="s">
        <v>7610</v>
      </c>
      <c r="BQ818" s="8" t="str">
        <f aca="false">IF(A818="","",AT818)</f>
        <v>3歳以上</v>
      </c>
      <c r="BR818" s="8" t="str">
        <f aca="false">IF(A818="","",IF(BA818&lt;=1200,"～1200",IF(BA818&lt;=1500,"1300～1500",IF(BA818=1600,"1600",IF(BA818&lt;=1800,"1700～1800",IF(BA818&lt;=2000,"1900～2000","2100以上"))))))</f>
        <v>～1200</v>
      </c>
      <c r="BS818" s="8" t="str">
        <f aca="false">IF(A818="","",IF(AX818="G1","G1",IF(AX818="G2","G2",IF(AX818="G3","G3",IF(AX818="L","L","その他")))))</f>
        <v>その他</v>
      </c>
      <c r="BT818" s="8" t="str">
        <f aca="false">IF(A818="","",IF(BI818="","未結合",IF(D818=BI818,"一致","不一致")))</f>
        <v>一致</v>
      </c>
      <c r="BU818" s="8" t="str">
        <f aca="false">IF(A818="","",IF(BE818="牝馬限定","牝馬限定","その他"))</f>
        <v>その他</v>
      </c>
    </row>
    <row r="819" customFormat="false" ht="15.75" hidden="false" customHeight="false" outlineLevel="0" collapsed="false">
      <c r="A819" s="6" t="n">
        <f aca="false">DATE(2026,8,23)</f>
        <v>46257</v>
      </c>
      <c r="B819" s="4" t="s">
        <v>179</v>
      </c>
      <c r="C819" s="8" t="n">
        <v>9</v>
      </c>
      <c r="D819" s="8" t="n">
        <v>8</v>
      </c>
      <c r="E819" s="8" t="n">
        <v>2</v>
      </c>
      <c r="F819" s="8"/>
      <c r="G819" s="8" t="n">
        <v>55</v>
      </c>
      <c r="H819" s="8" t="n">
        <v>3</v>
      </c>
      <c r="I819" s="4" t="s">
        <v>4784</v>
      </c>
      <c r="J819" s="8" t="n">
        <v>55</v>
      </c>
      <c r="K819" s="8" t="n">
        <v>4</v>
      </c>
      <c r="L819" s="8"/>
      <c r="M819" s="8" t="n">
        <v>55</v>
      </c>
      <c r="N819" s="8" t="n">
        <f aca="false">IF(A819="","",G819-J819)</f>
        <v>0</v>
      </c>
      <c r="O819" s="8" t="n">
        <f aca="false">IF(A819="","",J819-M819)</f>
        <v>0</v>
      </c>
      <c r="P819" s="8" t="n">
        <f aca="false">IF(A819="","",G819+J819)</f>
        <v>110</v>
      </c>
      <c r="Q819" s="8" t="str">
        <f aca="false">IF(A819="","",IF(AND(Y819&lt;&gt;"参考",G819&gt;=ルール設定!$B$2),"○",""))</f>
        <v/>
      </c>
      <c r="R819" s="8" t="str">
        <f aca="false">IF(A819="","",IF(AND(Y819&lt;&gt;"参考",G819&gt;=ルール設定!$B$3,N819&gt;=ルール設定!$B$4),"○",""))</f>
        <v/>
      </c>
      <c r="S819" s="8" t="str">
        <f aca="false">IF(A819="","",IF(AND(Y819&lt;&gt;"参考",G819&gt;=ルール設定!$B$5,J819&gt;=ルール設定!$B$6,O819&gt;=ルール設定!$B$7),"○",""))</f>
        <v/>
      </c>
      <c r="T819" s="8" t="n">
        <v>4</v>
      </c>
      <c r="U819" s="8" t="n">
        <v>1</v>
      </c>
      <c r="V819" s="8" t="str">
        <f aca="false">IF(A819="","",IF(AND(ISNUMBER(T819),ISNUMBER(U819)),IF(AND(T819&lt;=3,U819&lt;=3),"○","×"),""))</f>
        <v>×</v>
      </c>
      <c r="W819" s="8"/>
      <c r="X819" s="8"/>
      <c r="Y819" s="4" t="s">
        <v>7597</v>
      </c>
      <c r="Z819" s="8" t="s">
        <v>7998</v>
      </c>
      <c r="AA819" s="8" t="str">
        <v/>
      </c>
      <c r="AB819" s="8" t="str">
        <v/>
      </c>
      <c r="AC819" s="8" t="str">
        <v/>
      </c>
      <c r="AD819" s="8" t="str">
        <v/>
      </c>
      <c r="AE819" s="8" t="str">
        <v/>
      </c>
      <c r="AF819" s="8" t="str">
        <v/>
      </c>
      <c r="AG819" s="8" t="str">
        <v/>
      </c>
      <c r="AH819" s="8" t="str">
        <v/>
      </c>
      <c r="AI819" s="8" t="n">
        <v>0</v>
      </c>
      <c r="AJ819" s="8" t="str">
        <v>～59</v>
      </c>
      <c r="AK819" s="8" t="str">
        <v>0～4</v>
      </c>
      <c r="AL819" s="8" t="str">
        <v>0～9</v>
      </c>
      <c r="AM819" s="8" t="str">
        <v>100～119</v>
      </c>
      <c r="AN819" s="8" t="str">
        <v>8～11</v>
      </c>
      <c r="AO819" s="8" t="str">
        <f aca="false">IF(A819="","",IF(COUNTIFS(全馬データ!$A$2:$A$50000,A819,全馬データ!$B$2:$B$50000,B819,全馬データ!$C$2:$C$50000,C819,全馬データ!$D$2:$D$50000,E819,全馬データ!$K$2:$K$50000,"&lt;&gt;")=0,"",SUMIFS(全馬データ!$K$2:$K$50000,全馬データ!$A$2:$A$50000,A819,全馬データ!$B$2:$B$50000,B819,全馬データ!$C$2:$C$50000,C819,全馬データ!$D$2:$D$50000,E819)))</f>
        <v/>
      </c>
      <c r="AP819" s="8" t="str">
        <f aca="false">IF(A819="","",IF(AO819="","欠損",IF(AO819&lt;=1.1,"1.0～1.1",IF(AO819&lt;1.3,"1.2",IF(AO819&lt;1.5,"1.3～1.4",IF(AO819&lt;2,"1.5～1.9","2.0以上"))))))</f>
        <v>欠損</v>
      </c>
      <c r="AQ819" s="8" t="str">
        <f aca="false">IF(A819="","",IF(ISNUMBER(SEARCH("2歳",Z819)),"2歳戦",IF(ISNUMBER(SEARCH("3歳未勝利",Z819)),"3歳未勝利",IF(ISNUMBER(SEARCH("未勝利",Z819)),"その他未勝利",IF(ISNUMBER(SEARCH("G1",Z819)),"G1",IF(ISNUMBER(SEARCH("G2",Z819)),"G2",IF(ISNUMBER(SEARCH("G3",Z819)),"G3",IF(ISNUMBER(SEARCH("古馬条件",Z819)),"古馬条件戦",IF(ISNUMBER(SEARCH("重賞",Z819)),"重賞","分類不能")))))))))</f>
        <v>分類不能</v>
      </c>
      <c r="AR819" s="8"/>
      <c r="AS819" s="8" t="s">
        <v>7618</v>
      </c>
      <c r="AT819" s="4" t="s">
        <v>7642</v>
      </c>
      <c r="AU819" s="8" t="s">
        <v>7600</v>
      </c>
      <c r="AV819" s="4" t="s">
        <v>7601</v>
      </c>
      <c r="AW819" s="8"/>
      <c r="AX819" s="8"/>
      <c r="AY819" s="8" t="s">
        <v>7608</v>
      </c>
      <c r="AZ819" s="4" t="s">
        <v>7642</v>
      </c>
      <c r="BA819" s="8" t="n">
        <v>3000</v>
      </c>
      <c r="BB819" s="8" t="s">
        <v>7634</v>
      </c>
      <c r="BC819" s="4" t="s">
        <v>7604</v>
      </c>
      <c r="BD819" s="8" t="s">
        <v>7645</v>
      </c>
      <c r="BE819" s="4" t="s">
        <v>7606</v>
      </c>
      <c r="BF819" s="8" t="s">
        <v>7607</v>
      </c>
      <c r="BG819" s="8" t="s">
        <v>7631</v>
      </c>
      <c r="BH819" s="4" t="s">
        <v>7632</v>
      </c>
      <c r="BI819" s="8" t="n">
        <v>8</v>
      </c>
      <c r="BJ819" s="8" t="s">
        <v>7647</v>
      </c>
      <c r="BK819" s="4" t="s">
        <v>7648</v>
      </c>
      <c r="BL819" s="8" t="s">
        <v>7647</v>
      </c>
      <c r="BM819" s="4" t="s">
        <v>7648</v>
      </c>
      <c r="BN819" s="8"/>
      <c r="BO819" s="8"/>
      <c r="BP819" s="8" t="s">
        <v>7610</v>
      </c>
      <c r="BQ819" s="8" t="str">
        <f aca="false">IF(A819="","",AT819)</f>
        <v>障害</v>
      </c>
      <c r="BR819" s="8" t="str">
        <f aca="false">IF(A819="","",IF(BA819&lt;=1200,"～1200",IF(BA819&lt;=1500,"1300～1500",IF(BA819=1600,"1600",IF(BA819&lt;=1800,"1700～1800",IF(BA819&lt;=2000,"1900～2000","2100以上"))))))</f>
        <v>2100以上</v>
      </c>
      <c r="BS819" s="8" t="str">
        <f aca="false">IF(A819="","",IF(AX819="G1","G1",IF(AX819="G2","G2",IF(AX819="G3","G3",IF(AX819="L","L","その他")))))</f>
        <v>その他</v>
      </c>
      <c r="BT819" s="8" t="str">
        <f aca="false">IF(A819="","",IF(BI819="","未結合",IF(D819=BI819,"一致","不一致")))</f>
        <v>一致</v>
      </c>
      <c r="BU819" s="8" t="str">
        <f aca="false">IF(A819="","",IF(BE819="牝馬限定","牝馬限定","その他"))</f>
        <v>その他</v>
      </c>
    </row>
    <row r="820" customFormat="false" ht="15.75" hidden="false" customHeight="false" outlineLevel="0" collapsed="false">
      <c r="A820" s="6" t="n">
        <f aca="false">DATE(2026,8,23)</f>
        <v>46257</v>
      </c>
      <c r="B820" s="4" t="s">
        <v>179</v>
      </c>
      <c r="C820" s="8" t="n">
        <v>10</v>
      </c>
      <c r="D820" s="8" t="n">
        <v>14</v>
      </c>
      <c r="E820" s="8" t="n">
        <v>12</v>
      </c>
      <c r="F820" s="4" t="s">
        <v>3615</v>
      </c>
      <c r="G820" s="8" t="n">
        <v>75</v>
      </c>
      <c r="H820" s="8" t="n">
        <v>11</v>
      </c>
      <c r="I820" s="4" t="s">
        <v>333</v>
      </c>
      <c r="J820" s="8" t="n">
        <v>58</v>
      </c>
      <c r="K820" s="8" t="n">
        <v>13</v>
      </c>
      <c r="L820" s="8"/>
      <c r="M820" s="8" t="n">
        <v>37</v>
      </c>
      <c r="N820" s="8" t="n">
        <f aca="false">IF(A820="","",G820-J820)</f>
        <v>17</v>
      </c>
      <c r="O820" s="8" t="n">
        <f aca="false">IF(A820="","",J820-M820)</f>
        <v>21</v>
      </c>
      <c r="P820" s="8" t="n">
        <f aca="false">IF(A820="","",G820+J820)</f>
        <v>133</v>
      </c>
      <c r="Q820" s="8" t="str">
        <f aca="false">IF(A820="","",IF(AND(Y820&lt;&gt;"参考",G820&gt;=ルール設定!$B$2),"○",""))</f>
        <v/>
      </c>
      <c r="R820" s="8" t="str">
        <f aca="false">IF(A820="","",IF(AND(Y820&lt;&gt;"参考",G820&gt;=ルール設定!$B$3,N820&gt;=ルール設定!$B$4),"○",""))</f>
        <v/>
      </c>
      <c r="S820" s="8" t="str">
        <f aca="false">IF(A820="","",IF(AND(Y820&lt;&gt;"参考",G820&gt;=ルール設定!$B$5,J820&gt;=ルール設定!$B$6,O820&gt;=ルール設定!$B$7),"○",""))</f>
        <v>○</v>
      </c>
      <c r="T820" s="8" t="n">
        <v>1</v>
      </c>
      <c r="U820" s="8" t="n">
        <v>2</v>
      </c>
      <c r="V820" s="8" t="str">
        <f aca="false">IF(A820="","",IF(AND(ISNUMBER(T820),ISNUMBER(U820)),IF(AND(T820&lt;=3,U820&lt;=3),"○","×"),""))</f>
        <v>○</v>
      </c>
      <c r="W820" s="8" t="n">
        <v>110</v>
      </c>
      <c r="X820" s="8" t="n">
        <v>320</v>
      </c>
      <c r="Y820" s="4" t="s">
        <v>7597</v>
      </c>
      <c r="Z820" s="8" t="s">
        <v>7999</v>
      </c>
      <c r="AA820" s="8" t="str">
        <v/>
      </c>
      <c r="AB820" s="8" t="str">
        <v/>
      </c>
      <c r="AC820" s="8" t="str">
        <v/>
      </c>
      <c r="AD820" s="8" t="str">
        <v/>
      </c>
      <c r="AE820" s="8" t="str">
        <v/>
      </c>
      <c r="AF820" s="8" t="str">
        <v/>
      </c>
      <c r="AG820" s="8" t="str">
        <v/>
      </c>
      <c r="AH820" s="8" t="str">
        <v/>
      </c>
      <c r="AI820" s="8" t="n">
        <v>38</v>
      </c>
      <c r="AJ820" s="8" t="str">
        <v>75～79</v>
      </c>
      <c r="AK820" s="8" t="str">
        <v>10～19</v>
      </c>
      <c r="AL820" s="8" t="str">
        <v>30～39</v>
      </c>
      <c r="AM820" s="8" t="str">
        <v>120～139</v>
      </c>
      <c r="AN820" s="8" t="str">
        <v>12～14</v>
      </c>
      <c r="AO820" s="8" t="str">
        <f aca="false">IF(A820="","",IF(COUNTIFS(全馬データ!$A$2:$A$50000,A820,全馬データ!$B$2:$B$50000,B820,全馬データ!$C$2:$C$50000,C820,全馬データ!$D$2:$D$50000,E820,全馬データ!$K$2:$K$50000,"&lt;&gt;")=0,"",SUMIFS(全馬データ!$K$2:$K$50000,全馬データ!$A$2:$A$50000,A820,全馬データ!$B$2:$B$50000,B820,全馬データ!$C$2:$C$50000,C820,全馬データ!$D$2:$D$50000,E820)))</f>
        <v/>
      </c>
      <c r="AP820" s="8" t="str">
        <f aca="false">IF(A820="","",IF(AO820="","欠損",IF(AO820&lt;=1.1,"1.0～1.1",IF(AO820&lt;1.3,"1.2",IF(AO820&lt;1.5,"1.3～1.4",IF(AO820&lt;2,"1.5～1.9","2.0以上"))))))</f>
        <v>欠損</v>
      </c>
      <c r="AQ820" s="8" t="str">
        <f aca="false">IF(A820="","",IF(ISNUMBER(SEARCH("2歳",Z820)),"2歳戦",IF(ISNUMBER(SEARCH("3歳未勝利",Z820)),"3歳未勝利",IF(ISNUMBER(SEARCH("未勝利",Z820)),"その他未勝利",IF(ISNUMBER(SEARCH("G1",Z820)),"G1",IF(ISNUMBER(SEARCH("G2",Z820)),"G2",IF(ISNUMBER(SEARCH("G3",Z820)),"G3",IF(ISNUMBER(SEARCH("古馬条件",Z820)),"古馬条件戦",IF(ISNUMBER(SEARCH("重賞",Z820)),"重賞","分類不能")))))))))</f>
        <v>分類不能</v>
      </c>
      <c r="AR820" s="8"/>
      <c r="AS820" s="8" t="s">
        <v>7623</v>
      </c>
      <c r="AT820" s="8" t="s">
        <v>7624</v>
      </c>
      <c r="AU820" s="8" t="s">
        <v>7600</v>
      </c>
      <c r="AV820" s="4" t="s">
        <v>7601</v>
      </c>
      <c r="AW820" s="8"/>
      <c r="AX820" s="8"/>
      <c r="AY820" s="8" t="s">
        <v>7610</v>
      </c>
      <c r="AZ820" s="4" t="s">
        <v>7617</v>
      </c>
      <c r="BA820" s="8" t="n">
        <v>1800</v>
      </c>
      <c r="BB820" s="8" t="s">
        <v>7634</v>
      </c>
      <c r="BC820" s="4" t="s">
        <v>7604</v>
      </c>
      <c r="BD820" s="8" t="s">
        <v>7605</v>
      </c>
      <c r="BE820" s="4" t="s">
        <v>7606</v>
      </c>
      <c r="BF820" s="8" t="s">
        <v>7607</v>
      </c>
      <c r="BG820" s="8" t="s">
        <v>7608</v>
      </c>
      <c r="BH820" s="4" t="s">
        <v>7609</v>
      </c>
      <c r="BI820" s="8" t="n">
        <v>14</v>
      </c>
      <c r="BJ820" s="8" t="s">
        <v>7610</v>
      </c>
      <c r="BK820" s="4" t="s">
        <v>7611</v>
      </c>
      <c r="BL820" s="8" t="s">
        <v>7602</v>
      </c>
      <c r="BM820" s="4" t="s">
        <v>7620</v>
      </c>
      <c r="BN820" s="8"/>
      <c r="BO820" s="8"/>
      <c r="BP820" s="8" t="s">
        <v>7610</v>
      </c>
      <c r="BQ820" s="8" t="str">
        <f aca="false">IF(A820="","",AT820)</f>
        <v>3歳</v>
      </c>
      <c r="BR820" s="8" t="str">
        <f aca="false">IF(A820="","",IF(BA820&lt;=1200,"～1200",IF(BA820&lt;=1500,"1300～1500",IF(BA820=1600,"1600",IF(BA820&lt;=1800,"1700～1800",IF(BA820&lt;=2000,"1900～2000","2100以上"))))))</f>
        <v>1700～1800</v>
      </c>
      <c r="BS820" s="8" t="str">
        <f aca="false">IF(A820="","",IF(AX820="G1","G1",IF(AX820="G2","G2",IF(AX820="G3","G3",IF(AX820="L","L","その他")))))</f>
        <v>その他</v>
      </c>
      <c r="BT820" s="8" t="str">
        <f aca="false">IF(A820="","",IF(BI820="","未結合",IF(D820=BI820,"一致","不一致")))</f>
        <v>一致</v>
      </c>
      <c r="BU820" s="8" t="str">
        <f aca="false">IF(A820="","",IF(BE820="牝馬限定","牝馬限定","その他"))</f>
        <v>その他</v>
      </c>
    </row>
    <row r="821" customFormat="false" ht="15.75" hidden="false" customHeight="false" outlineLevel="0" collapsed="false">
      <c r="A821" s="6" t="n">
        <f aca="false">DATE(2026,8,23)</f>
        <v>46257</v>
      </c>
      <c r="B821" s="4" t="s">
        <v>179</v>
      </c>
      <c r="C821" s="8" t="n">
        <v>11</v>
      </c>
      <c r="D821" s="8" t="n">
        <v>17</v>
      </c>
      <c r="E821" s="8" t="n">
        <v>15</v>
      </c>
      <c r="F821" s="8"/>
      <c r="G821" s="8" t="n">
        <v>81</v>
      </c>
      <c r="H821" s="8" t="n">
        <v>4</v>
      </c>
      <c r="I821" s="4" t="s">
        <v>5841</v>
      </c>
      <c r="J821" s="8" t="n">
        <v>47</v>
      </c>
      <c r="K821" s="8" t="n">
        <v>9</v>
      </c>
      <c r="L821" s="4" t="s">
        <v>731</v>
      </c>
      <c r="M821" s="8" t="n">
        <v>47</v>
      </c>
      <c r="N821" s="8" t="n">
        <f aca="false">IF(A821="","",G821-J821)</f>
        <v>34</v>
      </c>
      <c r="O821" s="8" t="n">
        <f aca="false">IF(A821="","",J821-M821)</f>
        <v>0</v>
      </c>
      <c r="P821" s="8" t="n">
        <f aca="false">IF(A821="","",G821+J821)</f>
        <v>128</v>
      </c>
      <c r="Q821" s="8" t="str">
        <f aca="false">IF(A821="","",IF(AND(Y821&lt;&gt;"参考",G821&gt;=ルール設定!$B$2),"○",""))</f>
        <v>○</v>
      </c>
      <c r="R821" s="8" t="str">
        <f aca="false">IF(A821="","",IF(AND(Y821&lt;&gt;"参考",G821&gt;=ルール設定!$B$3,N821&gt;=ルール設定!$B$4),"○",""))</f>
        <v>○</v>
      </c>
      <c r="S821" s="8" t="str">
        <f aca="false">IF(A821="","",IF(AND(Y821&lt;&gt;"参考",G821&gt;=ルール設定!$B$5,J821&gt;=ルール設定!$B$6,O821&gt;=ルール設定!$B$7),"○",""))</f>
        <v/>
      </c>
      <c r="T821" s="8" t="n">
        <v>4</v>
      </c>
      <c r="U821" s="8" t="n">
        <v>1</v>
      </c>
      <c r="V821" s="8" t="str">
        <f aca="false">IF(A821="","",IF(AND(ISNUMBER(T821),ISNUMBER(U821)),IF(AND(T821&lt;=3,U821&lt;=3),"○","×"),""))</f>
        <v>×</v>
      </c>
      <c r="W821" s="8"/>
      <c r="X821" s="8"/>
      <c r="Y821" s="4" t="s">
        <v>7597</v>
      </c>
      <c r="Z821" s="8" t="s">
        <v>8000</v>
      </c>
      <c r="AA821" s="8" t="str">
        <v/>
      </c>
      <c r="AB821" s="8" t="str">
        <v>○</v>
      </c>
      <c r="AC821" s="8" t="str">
        <v/>
      </c>
      <c r="AD821" s="8" t="str">
        <v>○</v>
      </c>
      <c r="AE821" s="8" t="str">
        <v/>
      </c>
      <c r="AF821" s="8" t="str">
        <v/>
      </c>
      <c r="AG821" s="8" t="str">
        <v>○</v>
      </c>
      <c r="AH821" s="8" t="str">
        <v/>
      </c>
      <c r="AI821" s="8" t="n">
        <v>34</v>
      </c>
      <c r="AJ821" s="8" t="str">
        <v>80～84</v>
      </c>
      <c r="AK821" s="8" t="str">
        <v>30以上</v>
      </c>
      <c r="AL821" s="8" t="str">
        <v>30～39</v>
      </c>
      <c r="AM821" s="8" t="str">
        <v>120～139</v>
      </c>
      <c r="AN821" s="8" t="str">
        <v>15以上</v>
      </c>
      <c r="AO821" s="8" t="str">
        <f aca="false">IF(A821="","",IF(COUNTIFS(全馬データ!$A$2:$A$50000,A821,全馬データ!$B$2:$B$50000,B821,全馬データ!$C$2:$C$50000,C821,全馬データ!$D$2:$D$50000,E821,全馬データ!$K$2:$K$50000,"&lt;&gt;")=0,"",SUMIFS(全馬データ!$K$2:$K$50000,全馬データ!$A$2:$A$50000,A821,全馬データ!$B$2:$B$50000,B821,全馬データ!$C$2:$C$50000,C821,全馬データ!$D$2:$D$50000,E821)))</f>
        <v/>
      </c>
      <c r="AP821" s="8" t="str">
        <f aca="false">IF(A821="","",IF(AO821="","欠損",IF(AO821&lt;=1.1,"1.0～1.1",IF(AO821&lt;1.3,"1.2",IF(AO821&lt;1.5,"1.3～1.4",IF(AO821&lt;2,"1.5～1.9","2.0以上"))))))</f>
        <v>欠損</v>
      </c>
      <c r="AQ821" s="8" t="str">
        <f aca="false">IF(A821="","",IF(ISNUMBER(SEARCH("2歳",Z821)),"2歳戦",IF(ISNUMBER(SEARCH("3歳未勝利",Z821)),"3歳未勝利",IF(ISNUMBER(SEARCH("未勝利",Z821)),"その他未勝利",IF(ISNUMBER(SEARCH("G1",Z821)),"G1",IF(ISNUMBER(SEARCH("G2",Z821)),"G2",IF(ISNUMBER(SEARCH("G3",Z821)),"G3",IF(ISNUMBER(SEARCH("古馬条件",Z821)),"古馬条件戦",IF(ISNUMBER(SEARCH("重賞",Z821)),"重賞","分類不能")))))))))</f>
        <v>分類不能</v>
      </c>
      <c r="AR821" s="8"/>
      <c r="AS821" s="8" t="s">
        <v>7626</v>
      </c>
      <c r="AT821" s="8" t="s">
        <v>7627</v>
      </c>
      <c r="AU821" s="8" t="s">
        <v>7628</v>
      </c>
      <c r="AV821" s="8" t="s">
        <v>7629</v>
      </c>
      <c r="AW821" s="8"/>
      <c r="AX821" s="8"/>
      <c r="AY821" s="8" t="s">
        <v>7602</v>
      </c>
      <c r="AZ821" s="4" t="s">
        <v>7603</v>
      </c>
      <c r="BA821" s="8" t="n">
        <v>1400</v>
      </c>
      <c r="BB821" s="8" t="s">
        <v>7634</v>
      </c>
      <c r="BC821" s="4" t="s">
        <v>7604</v>
      </c>
      <c r="BD821" s="8" t="s">
        <v>7625</v>
      </c>
      <c r="BE821" s="4" t="s">
        <v>7606</v>
      </c>
      <c r="BF821" s="8" t="s">
        <v>7607</v>
      </c>
      <c r="BG821" s="8" t="s">
        <v>7631</v>
      </c>
      <c r="BH821" s="4" t="s">
        <v>7632</v>
      </c>
      <c r="BI821" s="8" t="n">
        <v>17</v>
      </c>
      <c r="BJ821" s="8" t="s">
        <v>7610</v>
      </c>
      <c r="BK821" s="4" t="s">
        <v>7611</v>
      </c>
      <c r="BL821" s="8" t="s">
        <v>7602</v>
      </c>
      <c r="BM821" s="4" t="s">
        <v>7620</v>
      </c>
      <c r="BN821" s="8" t="s">
        <v>7631</v>
      </c>
      <c r="BO821" s="8" t="s">
        <v>7680</v>
      </c>
      <c r="BP821" s="8" t="s">
        <v>7610</v>
      </c>
      <c r="BQ821" s="8" t="str">
        <f aca="false">IF(A821="","",AT821)</f>
        <v>3歳以上</v>
      </c>
      <c r="BR821" s="8" t="str">
        <f aca="false">IF(A821="","",IF(BA821&lt;=1200,"～1200",IF(BA821&lt;=1500,"1300～1500",IF(BA821=1600,"1600",IF(BA821&lt;=1800,"1700～1800",IF(BA821&lt;=2000,"1900～2000","2100以上"))))))</f>
        <v>1300～1500</v>
      </c>
      <c r="BS821" s="8" t="str">
        <f aca="false">IF(A821="","",IF(AX821="G1","G1",IF(AX821="G2","G2",IF(AX821="G3","G3",IF(AX821="L","L","その他")))))</f>
        <v>その他</v>
      </c>
      <c r="BT821" s="8" t="str">
        <f aca="false">IF(A821="","",IF(BI821="","未結合",IF(D821=BI821,"一致","不一致")))</f>
        <v>一致</v>
      </c>
      <c r="BU821" s="8" t="str">
        <f aca="false">IF(A821="","",IF(BE821="牝馬限定","牝馬限定","その他"))</f>
        <v>その他</v>
      </c>
    </row>
    <row r="822" customFormat="false" ht="15.75" hidden="false" customHeight="false" outlineLevel="0" collapsed="false">
      <c r="A822" s="6" t="n">
        <f aca="false">DATE(2026,8,23)</f>
        <v>46257</v>
      </c>
      <c r="B822" s="4" t="s">
        <v>179</v>
      </c>
      <c r="C822" s="8" t="n">
        <v>12</v>
      </c>
      <c r="D822" s="8" t="n">
        <v>16</v>
      </c>
      <c r="E822" s="8" t="n">
        <v>4</v>
      </c>
      <c r="F822" s="8"/>
      <c r="G822" s="8" t="n">
        <v>58</v>
      </c>
      <c r="H822" s="8" t="n">
        <v>14</v>
      </c>
      <c r="I822" s="8"/>
      <c r="J822" s="8" t="n">
        <v>47</v>
      </c>
      <c r="K822" s="8" t="n">
        <v>16</v>
      </c>
      <c r="L822" s="8"/>
      <c r="M822" s="8" t="n">
        <v>34</v>
      </c>
      <c r="N822" s="8" t="n">
        <f aca="false">IF(A822="","",G822-J822)</f>
        <v>11</v>
      </c>
      <c r="O822" s="8" t="n">
        <f aca="false">IF(A822="","",J822-M822)</f>
        <v>13</v>
      </c>
      <c r="P822" s="8" t="n">
        <f aca="false">IF(A822="","",G822+J822)</f>
        <v>105</v>
      </c>
      <c r="Q822" s="8" t="str">
        <f aca="false">IF(A822="","",IF(AND(Y822&lt;&gt;"参考",G822&gt;=ルール設定!$B$2),"○",""))</f>
        <v/>
      </c>
      <c r="R822" s="8" t="str">
        <f aca="false">IF(A822="","",IF(AND(Y822&lt;&gt;"参考",G822&gt;=ルール設定!$B$3,N822&gt;=ルール設定!$B$4),"○",""))</f>
        <v/>
      </c>
      <c r="S822" s="8" t="str">
        <f aca="false">IF(A822="","",IF(AND(Y822&lt;&gt;"参考",G822&gt;=ルール設定!$B$5,J822&gt;=ルール設定!$B$6,O822&gt;=ルール設定!$B$7),"○",""))</f>
        <v/>
      </c>
      <c r="T822" s="8" t="n">
        <v>4</v>
      </c>
      <c r="U822" s="8" t="n">
        <v>4</v>
      </c>
      <c r="V822" s="8" t="str">
        <f aca="false">IF(A822="","",IF(AND(ISNUMBER(T822),ISNUMBER(U822)),IF(AND(T822&lt;=3,U822&lt;=3),"○","×"),""))</f>
        <v>×</v>
      </c>
      <c r="W822" s="8"/>
      <c r="X822" s="8"/>
      <c r="Y822" s="4" t="s">
        <v>7597</v>
      </c>
      <c r="Z822" s="8" t="s">
        <v>8001</v>
      </c>
      <c r="AA822" s="8" t="str">
        <v/>
      </c>
      <c r="AB822" s="8" t="str">
        <v/>
      </c>
      <c r="AC822" s="8" t="str">
        <v/>
      </c>
      <c r="AD822" s="8" t="str">
        <v/>
      </c>
      <c r="AE822" s="8" t="str">
        <v/>
      </c>
      <c r="AF822" s="8" t="str">
        <v/>
      </c>
      <c r="AG822" s="8" t="str">
        <v/>
      </c>
      <c r="AH822" s="8" t="str">
        <v/>
      </c>
      <c r="AI822" s="8" t="n">
        <v>24</v>
      </c>
      <c r="AJ822" s="8" t="str">
        <v>～59</v>
      </c>
      <c r="AK822" s="8" t="str">
        <v>10～19</v>
      </c>
      <c r="AL822" s="8" t="str">
        <v>20～29</v>
      </c>
      <c r="AM822" s="8" t="str">
        <v>100～119</v>
      </c>
      <c r="AN822" s="8" t="str">
        <v>15以上</v>
      </c>
      <c r="AO822" s="8" t="str">
        <f aca="false">IF(A822="","",IF(COUNTIFS(全馬データ!$A$2:$A$50000,A822,全馬データ!$B$2:$B$50000,B822,全馬データ!$C$2:$C$50000,C822,全馬データ!$D$2:$D$50000,E822,全馬データ!$K$2:$K$50000,"&lt;&gt;")=0,"",SUMIFS(全馬データ!$K$2:$K$50000,全馬データ!$A$2:$A$50000,A822,全馬データ!$B$2:$B$50000,B822,全馬データ!$C$2:$C$50000,C822,全馬データ!$D$2:$D$50000,E822)))</f>
        <v/>
      </c>
      <c r="AP822" s="8" t="str">
        <f aca="false">IF(A822="","",IF(AO822="","欠損",IF(AO822&lt;=1.1,"1.0～1.1",IF(AO822&lt;1.3,"1.2",IF(AO822&lt;1.5,"1.3～1.4",IF(AO822&lt;2,"1.5～1.9","2.0以上"))))))</f>
        <v>欠損</v>
      </c>
      <c r="AQ822" s="8" t="str">
        <f aca="false">IF(A822="","",IF(ISNUMBER(SEARCH("2歳",Z822)),"2歳戦",IF(ISNUMBER(SEARCH("3歳未勝利",Z822)),"3歳未勝利",IF(ISNUMBER(SEARCH("未勝利",Z822)),"その他未勝利",IF(ISNUMBER(SEARCH("G1",Z822)),"G1",IF(ISNUMBER(SEARCH("G2",Z822)),"G2",IF(ISNUMBER(SEARCH("G3",Z822)),"G3",IF(ISNUMBER(SEARCH("古馬条件",Z822)),"古馬条件戦",IF(ISNUMBER(SEARCH("重賞",Z822)),"重賞","分類不能")))))))))</f>
        <v>分類不能</v>
      </c>
      <c r="AR822" s="8"/>
      <c r="AS822" s="8" t="s">
        <v>7623</v>
      </c>
      <c r="AT822" s="8" t="s">
        <v>7624</v>
      </c>
      <c r="AU822" s="8" t="s">
        <v>7600</v>
      </c>
      <c r="AV822" s="4" t="s">
        <v>7601</v>
      </c>
      <c r="AW822" s="8"/>
      <c r="AX822" s="8"/>
      <c r="AY822" s="8" t="s">
        <v>7610</v>
      </c>
      <c r="AZ822" s="4" t="s">
        <v>7617</v>
      </c>
      <c r="BA822" s="8" t="n">
        <v>1200</v>
      </c>
      <c r="BB822" s="8" t="s">
        <v>7634</v>
      </c>
      <c r="BC822" s="4" t="s">
        <v>7604</v>
      </c>
      <c r="BD822" s="8" t="s">
        <v>7625</v>
      </c>
      <c r="BE822" s="4" t="s">
        <v>7606</v>
      </c>
      <c r="BF822" s="8" t="s">
        <v>7607</v>
      </c>
      <c r="BG822" s="8" t="s">
        <v>7608</v>
      </c>
      <c r="BH822" s="4" t="s">
        <v>7609</v>
      </c>
      <c r="BI822" s="8" t="n">
        <v>16</v>
      </c>
      <c r="BJ822" s="8" t="s">
        <v>7610</v>
      </c>
      <c r="BK822" s="4" t="s">
        <v>7611</v>
      </c>
      <c r="BL822" s="8" t="s">
        <v>7602</v>
      </c>
      <c r="BM822" s="4" t="s">
        <v>7620</v>
      </c>
      <c r="BN822" s="8"/>
      <c r="BO822" s="8"/>
      <c r="BP822" s="8" t="s">
        <v>7610</v>
      </c>
      <c r="BQ822" s="8" t="str">
        <f aca="false">IF(A822="","",AT822)</f>
        <v>3歳</v>
      </c>
      <c r="BR822" s="8" t="str">
        <f aca="false">IF(A822="","",IF(BA822&lt;=1200,"～1200",IF(BA822&lt;=1500,"1300～1500",IF(BA822=1600,"1600",IF(BA822&lt;=1800,"1700～1800",IF(BA822&lt;=2000,"1900～2000","2100以上"))))))</f>
        <v>～1200</v>
      </c>
      <c r="BS822" s="8" t="str">
        <f aca="false">IF(A822="","",IF(AX822="G1","G1",IF(AX822="G2","G2",IF(AX822="G3","G3",IF(AX822="L","L","その他")))))</f>
        <v>その他</v>
      </c>
      <c r="BT822" s="8" t="str">
        <f aca="false">IF(A822="","",IF(BI822="","未結合",IF(D822=BI822,"一致","不一致")))</f>
        <v>一致</v>
      </c>
      <c r="BU822" s="8" t="str">
        <f aca="false">IF(A822="","",IF(BE822="牝馬限定","牝馬限定","その他"))</f>
        <v>その他</v>
      </c>
    </row>
    <row r="823" customFormat="false" ht="15.75" hidden="false" customHeight="false" outlineLevel="0" collapsed="false">
      <c r="A823" s="6" t="n">
        <f aca="false">DATE(2026,8,23)</f>
        <v>46257</v>
      </c>
      <c r="B823" s="4" t="s">
        <v>334</v>
      </c>
      <c r="C823" s="8" t="n">
        <v>1</v>
      </c>
      <c r="D823" s="8" t="n">
        <v>12</v>
      </c>
      <c r="E823" s="8" t="n">
        <v>3</v>
      </c>
      <c r="F823" s="4" t="s">
        <v>339</v>
      </c>
      <c r="G823" s="8" t="n">
        <v>71</v>
      </c>
      <c r="H823" s="8" t="n">
        <v>4</v>
      </c>
      <c r="I823" s="8"/>
      <c r="J823" s="8" t="n">
        <v>44</v>
      </c>
      <c r="K823" s="8" t="n">
        <v>12</v>
      </c>
      <c r="L823" s="4" t="s">
        <v>1121</v>
      </c>
      <c r="M823" s="8" t="n">
        <v>44</v>
      </c>
      <c r="N823" s="8" t="n">
        <f aca="false">IF(A823="","",G823-J823)</f>
        <v>27</v>
      </c>
      <c r="O823" s="8" t="n">
        <f aca="false">IF(A823="","",J823-M823)</f>
        <v>0</v>
      </c>
      <c r="P823" s="8" t="n">
        <f aca="false">IF(A823="","",G823+J823)</f>
        <v>115</v>
      </c>
      <c r="Q823" s="8" t="str">
        <f aca="false">IF(A823="","",IF(AND(Y823&lt;&gt;"参考",G823&gt;=ルール設定!$B$2),"○",""))</f>
        <v/>
      </c>
      <c r="R823" s="8" t="str">
        <f aca="false">IF(A823="","",IF(AND(Y823&lt;&gt;"参考",G823&gt;=ルール設定!$B$3,N823&gt;=ルール設定!$B$4),"○",""))</f>
        <v/>
      </c>
      <c r="S823" s="8" t="str">
        <f aca="false">IF(A823="","",IF(AND(Y823&lt;&gt;"参考",G823&gt;=ルール設定!$B$5,J823&gt;=ルール設定!$B$6,O823&gt;=ルール設定!$B$7),"○",""))</f>
        <v/>
      </c>
      <c r="T823" s="8" t="n">
        <v>2</v>
      </c>
      <c r="U823" s="8" t="n">
        <v>4</v>
      </c>
      <c r="V823" s="8" t="str">
        <f aca="false">IF(A823="","",IF(AND(ISNUMBER(T823),ISNUMBER(U823)),IF(AND(T823&lt;=3,U823&lt;=3),"○","×"),""))</f>
        <v>×</v>
      </c>
      <c r="W823" s="8" t="n">
        <v>110</v>
      </c>
      <c r="X823" s="8"/>
      <c r="Y823" s="4" t="s">
        <v>7597</v>
      </c>
      <c r="Z823" s="8" t="s">
        <v>8002</v>
      </c>
      <c r="AA823" s="8" t="str">
        <v/>
      </c>
      <c r="AB823" s="8" t="str">
        <v/>
      </c>
      <c r="AC823" s="8" t="str">
        <v/>
      </c>
      <c r="AD823" s="8" t="str">
        <v/>
      </c>
      <c r="AE823" s="8" t="str">
        <v/>
      </c>
      <c r="AF823" s="8" t="str">
        <v/>
      </c>
      <c r="AG823" s="8" t="str">
        <v/>
      </c>
      <c r="AH823" s="8" t="str">
        <v/>
      </c>
      <c r="AI823" s="8" t="n">
        <v>27</v>
      </c>
      <c r="AJ823" s="8" t="str">
        <v>70～74</v>
      </c>
      <c r="AK823" s="8" t="str">
        <v>20～29</v>
      </c>
      <c r="AL823" s="8" t="str">
        <v>20～29</v>
      </c>
      <c r="AM823" s="8" t="str">
        <v>100～119</v>
      </c>
      <c r="AN823" s="8" t="str">
        <v>12～14</v>
      </c>
      <c r="AO823" s="8" t="str">
        <f aca="false">IF(A823="","",IF(COUNTIFS(全馬データ!$A$2:$A$50000,A823,全馬データ!$B$2:$B$50000,B823,全馬データ!$C$2:$C$50000,C823,全馬データ!$D$2:$D$50000,E823,全馬データ!$K$2:$K$50000,"&lt;&gt;")=0,"",SUMIFS(全馬データ!$K$2:$K$50000,全馬データ!$A$2:$A$50000,A823,全馬データ!$B$2:$B$50000,B823,全馬データ!$C$2:$C$50000,C823,全馬データ!$D$2:$D$50000,E823)))</f>
        <v/>
      </c>
      <c r="AP823" s="8" t="str">
        <f aca="false">IF(A823="","",IF(AO823="","欠損",IF(AO823&lt;=1.1,"1.0～1.1",IF(AO823&lt;1.3,"1.2",IF(AO823&lt;1.5,"1.3～1.4",IF(AO823&lt;2,"1.5～1.9","2.0以上"))))))</f>
        <v>欠損</v>
      </c>
      <c r="AQ823" s="8" t="str">
        <f aca="false">IF(A823="","",IF(ISNUMBER(SEARCH("2歳",Z823)),"2歳戦",IF(ISNUMBER(SEARCH("3歳未勝利",Z823)),"3歳未勝利",IF(ISNUMBER(SEARCH("未勝利",Z823)),"その他未勝利",IF(ISNUMBER(SEARCH("G1",Z823)),"G1",IF(ISNUMBER(SEARCH("G2",Z823)),"G2",IF(ISNUMBER(SEARCH("G3",Z823)),"G3",IF(ISNUMBER(SEARCH("古馬条件",Z823)),"古馬条件戦",IF(ISNUMBER(SEARCH("重賞",Z823)),"重賞","分類不能")))))))))</f>
        <v>分類不能</v>
      </c>
      <c r="AR823" s="8"/>
      <c r="AS823" s="8" t="s">
        <v>7623</v>
      </c>
      <c r="AT823" s="8" t="s">
        <v>7624</v>
      </c>
      <c r="AU823" s="8" t="s">
        <v>7600</v>
      </c>
      <c r="AV823" s="4" t="s">
        <v>7601</v>
      </c>
      <c r="AW823" s="8"/>
      <c r="AX823" s="8"/>
      <c r="AY823" s="8" t="s">
        <v>7610</v>
      </c>
      <c r="AZ823" s="4" t="s">
        <v>7617</v>
      </c>
      <c r="BA823" s="8" t="n">
        <v>1000</v>
      </c>
      <c r="BB823" s="8" t="s">
        <v>7634</v>
      </c>
      <c r="BC823" s="4" t="s">
        <v>7604</v>
      </c>
      <c r="BD823" s="8" t="s">
        <v>7621</v>
      </c>
      <c r="BE823" s="4" t="s">
        <v>7622</v>
      </c>
      <c r="BF823" s="8" t="s">
        <v>7602</v>
      </c>
      <c r="BG823" s="8" t="s">
        <v>7608</v>
      </c>
      <c r="BH823" s="4" t="s">
        <v>7609</v>
      </c>
      <c r="BI823" s="8" t="n">
        <v>12</v>
      </c>
      <c r="BJ823" s="8" t="s">
        <v>7602</v>
      </c>
      <c r="BK823" s="4" t="s">
        <v>7653</v>
      </c>
      <c r="BL823" s="8" t="s">
        <v>7602</v>
      </c>
      <c r="BM823" s="4" t="s">
        <v>7620</v>
      </c>
      <c r="BN823" s="8"/>
      <c r="BO823" s="8"/>
      <c r="BP823" s="8" t="s">
        <v>7608</v>
      </c>
      <c r="BQ823" s="8" t="str">
        <f aca="false">IF(A823="","",AT823)</f>
        <v>3歳</v>
      </c>
      <c r="BR823" s="8" t="str">
        <f aca="false">IF(A823="","",IF(BA823&lt;=1200,"～1200",IF(BA823&lt;=1500,"1300～1500",IF(BA823=1600,"1600",IF(BA823&lt;=1800,"1700～1800",IF(BA823&lt;=2000,"1900～2000","2100以上"))))))</f>
        <v>～1200</v>
      </c>
      <c r="BS823" s="8" t="str">
        <f aca="false">IF(A823="","",IF(AX823="G1","G1",IF(AX823="G2","G2",IF(AX823="G3","G3",IF(AX823="L","L","その他")))))</f>
        <v>その他</v>
      </c>
      <c r="BT823" s="8" t="str">
        <f aca="false">IF(A823="","",IF(BI823="","未結合",IF(D823=BI823,"一致","不一致")))</f>
        <v>一致</v>
      </c>
      <c r="BU823" s="8" t="str">
        <f aca="false">IF(A823="","",IF(BE823="牝馬限定","牝馬限定","その他"))</f>
        <v>牝馬限定</v>
      </c>
    </row>
    <row r="824" customFormat="false" ht="15.75" hidden="false" customHeight="false" outlineLevel="0" collapsed="false">
      <c r="A824" s="6" t="n">
        <f aca="false">DATE(2026,8,23)</f>
        <v>46257</v>
      </c>
      <c r="B824" s="4" t="s">
        <v>334</v>
      </c>
      <c r="C824" s="8" t="n">
        <v>2</v>
      </c>
      <c r="D824" s="8" t="n">
        <v>12</v>
      </c>
      <c r="E824" s="8" t="n">
        <v>5</v>
      </c>
      <c r="F824" s="8"/>
      <c r="G824" s="8" t="n">
        <v>81</v>
      </c>
      <c r="H824" s="8" t="n">
        <v>1</v>
      </c>
      <c r="I824" s="4" t="s">
        <v>3983</v>
      </c>
      <c r="J824" s="8" t="n">
        <v>41</v>
      </c>
      <c r="K824" s="8" t="n">
        <v>12</v>
      </c>
      <c r="L824" s="4" t="s">
        <v>6549</v>
      </c>
      <c r="M824" s="8" t="n">
        <v>34</v>
      </c>
      <c r="N824" s="8" t="n">
        <f aca="false">IF(A824="","",G824-J824)</f>
        <v>40</v>
      </c>
      <c r="O824" s="8" t="n">
        <f aca="false">IF(A824="","",J824-M824)</f>
        <v>7</v>
      </c>
      <c r="P824" s="8" t="n">
        <f aca="false">IF(A824="","",G824+J824)</f>
        <v>122</v>
      </c>
      <c r="Q824" s="8" t="str">
        <f aca="false">IF(A824="","",IF(AND(Y824&lt;&gt;"参考",G824&gt;=ルール設定!$B$2),"○",""))</f>
        <v>○</v>
      </c>
      <c r="R824" s="8" t="str">
        <f aca="false">IF(A824="","",IF(AND(Y824&lt;&gt;"参考",G824&gt;=ルール設定!$B$3,N824&gt;=ルール設定!$B$4),"○",""))</f>
        <v>○</v>
      </c>
      <c r="S824" s="8" t="str">
        <f aca="false">IF(A824="","",IF(AND(Y824&lt;&gt;"参考",G824&gt;=ルール設定!$B$5,J824&gt;=ルール設定!$B$6,O824&gt;=ルール設定!$B$7),"○",""))</f>
        <v/>
      </c>
      <c r="T824" s="8" t="n">
        <v>4</v>
      </c>
      <c r="U824" s="8" t="n">
        <v>1</v>
      </c>
      <c r="V824" s="8" t="str">
        <f aca="false">IF(A824="","",IF(AND(ISNUMBER(T824),ISNUMBER(U824)),IF(AND(T824&lt;=3,U824&lt;=3),"○","×"),""))</f>
        <v>×</v>
      </c>
      <c r="W824" s="8"/>
      <c r="X824" s="8"/>
      <c r="Y824" s="4" t="s">
        <v>7597</v>
      </c>
      <c r="Z824" s="8" t="s">
        <v>8003</v>
      </c>
      <c r="AA824" s="8" t="str">
        <v/>
      </c>
      <c r="AB824" s="8" t="str">
        <v>○</v>
      </c>
      <c r="AC824" s="8" t="str">
        <v/>
      </c>
      <c r="AD824" s="8" t="str">
        <v>○</v>
      </c>
      <c r="AE824" s="8" t="str">
        <v/>
      </c>
      <c r="AF824" s="8" t="str">
        <v/>
      </c>
      <c r="AG824" s="8" t="str">
        <v>○</v>
      </c>
      <c r="AH824" s="8" t="str">
        <v/>
      </c>
      <c r="AI824" s="8" t="n">
        <v>47</v>
      </c>
      <c r="AJ824" s="8" t="str">
        <v>80～84</v>
      </c>
      <c r="AK824" s="8" t="str">
        <v>30以上</v>
      </c>
      <c r="AL824" s="8" t="str">
        <v>40以上</v>
      </c>
      <c r="AM824" s="8" t="str">
        <v>120～139</v>
      </c>
      <c r="AN824" s="8" t="str">
        <v>12～14</v>
      </c>
      <c r="AO824" s="8" t="str">
        <f aca="false">IF(A824="","",IF(COUNTIFS(全馬データ!$A$2:$A$50000,A824,全馬データ!$B$2:$B$50000,B824,全馬データ!$C$2:$C$50000,C824,全馬データ!$D$2:$D$50000,E824,全馬データ!$K$2:$K$50000,"&lt;&gt;")=0,"",SUMIFS(全馬データ!$K$2:$K$50000,全馬データ!$A$2:$A$50000,A824,全馬データ!$B$2:$B$50000,B824,全馬データ!$C$2:$C$50000,C824,全馬データ!$D$2:$D$50000,E824)))</f>
        <v/>
      </c>
      <c r="AP824" s="8" t="str">
        <f aca="false">IF(A824="","",IF(AO824="","欠損",IF(AO824&lt;=1.1,"1.0～1.1",IF(AO824&lt;1.3,"1.2",IF(AO824&lt;1.5,"1.3～1.4",IF(AO824&lt;2,"1.5～1.9","2.0以上"))))))</f>
        <v>欠損</v>
      </c>
      <c r="AQ824" s="8" t="str">
        <f aca="false">IF(A824="","",IF(ISNUMBER(SEARCH("2歳",Z824)),"2歳戦",IF(ISNUMBER(SEARCH("3歳未勝利",Z824)),"3歳未勝利",IF(ISNUMBER(SEARCH("未勝利",Z824)),"その他未勝利",IF(ISNUMBER(SEARCH("G1",Z824)),"G1",IF(ISNUMBER(SEARCH("G2",Z824)),"G2",IF(ISNUMBER(SEARCH("G3",Z824)),"G3",IF(ISNUMBER(SEARCH("古馬条件",Z824)),"古馬条件戦",IF(ISNUMBER(SEARCH("重賞",Z824)),"重賞","分類不能")))))))))</f>
        <v>分類不能</v>
      </c>
      <c r="AR824" s="8"/>
      <c r="AS824" s="8" t="s">
        <v>7598</v>
      </c>
      <c r="AT824" s="8" t="s">
        <v>7599</v>
      </c>
      <c r="AU824" s="8" t="s">
        <v>7600</v>
      </c>
      <c r="AV824" s="4" t="s">
        <v>7601</v>
      </c>
      <c r="AW824" s="8"/>
      <c r="AX824" s="8"/>
      <c r="AY824" s="8" t="s">
        <v>7602</v>
      </c>
      <c r="AZ824" s="4" t="s">
        <v>7603</v>
      </c>
      <c r="BA824" s="8" t="n">
        <v>1500</v>
      </c>
      <c r="BB824" s="8" t="s">
        <v>7634</v>
      </c>
      <c r="BC824" s="4" t="s">
        <v>7604</v>
      </c>
      <c r="BD824" s="8" t="s">
        <v>7605</v>
      </c>
      <c r="BE824" s="4" t="s">
        <v>7606</v>
      </c>
      <c r="BF824" s="8" t="s">
        <v>7607</v>
      </c>
      <c r="BG824" s="8" t="s">
        <v>7608</v>
      </c>
      <c r="BH824" s="4" t="s">
        <v>7609</v>
      </c>
      <c r="BI824" s="8" t="n">
        <v>12</v>
      </c>
      <c r="BJ824" s="8" t="s">
        <v>7602</v>
      </c>
      <c r="BK824" s="4" t="s">
        <v>7653</v>
      </c>
      <c r="BL824" s="8" t="s">
        <v>7602</v>
      </c>
      <c r="BM824" s="4" t="s">
        <v>7620</v>
      </c>
      <c r="BN824" s="8" t="s">
        <v>7631</v>
      </c>
      <c r="BO824" s="8" t="s">
        <v>7680</v>
      </c>
      <c r="BP824" s="8" t="s">
        <v>7608</v>
      </c>
      <c r="BQ824" s="8" t="str">
        <f aca="false">IF(A824="","",AT824)</f>
        <v>2歳</v>
      </c>
      <c r="BR824" s="8" t="str">
        <f aca="false">IF(A824="","",IF(BA824&lt;=1200,"～1200",IF(BA824&lt;=1500,"1300～1500",IF(BA824=1600,"1600",IF(BA824&lt;=1800,"1700～1800",IF(BA824&lt;=2000,"1900～2000","2100以上"))))))</f>
        <v>1300～1500</v>
      </c>
      <c r="BS824" s="8" t="str">
        <f aca="false">IF(A824="","",IF(AX824="G1","G1",IF(AX824="G2","G2",IF(AX824="G3","G3",IF(AX824="L","L","その他")))))</f>
        <v>その他</v>
      </c>
      <c r="BT824" s="8" t="str">
        <f aca="false">IF(A824="","",IF(BI824="","未結合",IF(D824=BI824,"一致","不一致")))</f>
        <v>一致</v>
      </c>
      <c r="BU824" s="8" t="str">
        <f aca="false">IF(A824="","",IF(BE824="牝馬限定","牝馬限定","その他"))</f>
        <v>その他</v>
      </c>
    </row>
    <row r="825" customFormat="false" ht="15.75" hidden="false" customHeight="false" outlineLevel="0" collapsed="false">
      <c r="A825" s="6" t="n">
        <f aca="false">DATE(2026,8,23)</f>
        <v>46257</v>
      </c>
      <c r="B825" s="4" t="s">
        <v>334</v>
      </c>
      <c r="C825" s="8" t="n">
        <v>3</v>
      </c>
      <c r="D825" s="8" t="n">
        <v>14</v>
      </c>
      <c r="E825" s="8" t="n">
        <v>7</v>
      </c>
      <c r="F825" s="8"/>
      <c r="G825" s="8" t="n">
        <v>65</v>
      </c>
      <c r="H825" s="8" t="n">
        <v>2</v>
      </c>
      <c r="I825" s="8"/>
      <c r="J825" s="8" t="n">
        <v>39</v>
      </c>
      <c r="K825" s="8" t="n">
        <v>13</v>
      </c>
      <c r="L825" s="4" t="s">
        <v>1478</v>
      </c>
      <c r="M825" s="8" t="n">
        <v>39</v>
      </c>
      <c r="N825" s="8" t="n">
        <f aca="false">IF(A825="","",G825-J825)</f>
        <v>26</v>
      </c>
      <c r="O825" s="8" t="n">
        <f aca="false">IF(A825="","",J825-M825)</f>
        <v>0</v>
      </c>
      <c r="P825" s="8" t="n">
        <f aca="false">IF(A825="","",G825+J825)</f>
        <v>104</v>
      </c>
      <c r="Q825" s="8" t="str">
        <f aca="false">IF(A825="","",IF(AND(Y825&lt;&gt;"参考",G825&gt;=ルール設定!$B$2),"○",""))</f>
        <v/>
      </c>
      <c r="R825" s="8" t="str">
        <f aca="false">IF(A825="","",IF(AND(Y825&lt;&gt;"参考",G825&gt;=ルール設定!$B$3,N825&gt;=ルール設定!$B$4),"○",""))</f>
        <v/>
      </c>
      <c r="S825" s="8" t="str">
        <f aca="false">IF(A825="","",IF(AND(Y825&lt;&gt;"参考",G825&gt;=ルール設定!$B$5,J825&gt;=ルール設定!$B$6,O825&gt;=ルール設定!$B$7),"○",""))</f>
        <v/>
      </c>
      <c r="T825" s="8" t="n">
        <v>4</v>
      </c>
      <c r="U825" s="8" t="n">
        <v>4</v>
      </c>
      <c r="V825" s="8" t="str">
        <f aca="false">IF(A825="","",IF(AND(ISNUMBER(T825),ISNUMBER(U825)),IF(AND(T825&lt;=3,U825&lt;=3),"○","×"),""))</f>
        <v>×</v>
      </c>
      <c r="W825" s="8"/>
      <c r="X825" s="8"/>
      <c r="Y825" s="4" t="s">
        <v>7597</v>
      </c>
      <c r="Z825" s="8" t="s">
        <v>8004</v>
      </c>
      <c r="AA825" s="8" t="str">
        <v/>
      </c>
      <c r="AB825" s="8" t="str">
        <v/>
      </c>
      <c r="AC825" s="8" t="str">
        <v/>
      </c>
      <c r="AD825" s="8" t="str">
        <v/>
      </c>
      <c r="AE825" s="8" t="str">
        <v/>
      </c>
      <c r="AF825" s="8" t="str">
        <v/>
      </c>
      <c r="AG825" s="8" t="str">
        <v/>
      </c>
      <c r="AH825" s="8" t="str">
        <v/>
      </c>
      <c r="AI825" s="8" t="n">
        <v>26</v>
      </c>
      <c r="AJ825" s="8" t="str">
        <v>60～69</v>
      </c>
      <c r="AK825" s="8" t="str">
        <v>20～29</v>
      </c>
      <c r="AL825" s="8" t="str">
        <v>20～29</v>
      </c>
      <c r="AM825" s="8" t="str">
        <v>100～119</v>
      </c>
      <c r="AN825" s="8" t="str">
        <v>12～14</v>
      </c>
      <c r="AO825" s="8" t="str">
        <f aca="false">IF(A825="","",IF(COUNTIFS(全馬データ!$A$2:$A$50000,A825,全馬データ!$B$2:$B$50000,B825,全馬データ!$C$2:$C$50000,C825,全馬データ!$D$2:$D$50000,E825,全馬データ!$K$2:$K$50000,"&lt;&gt;")=0,"",SUMIFS(全馬データ!$K$2:$K$50000,全馬データ!$A$2:$A$50000,A825,全馬データ!$B$2:$B$50000,B825,全馬データ!$C$2:$C$50000,C825,全馬データ!$D$2:$D$50000,E825)))</f>
        <v/>
      </c>
      <c r="AP825" s="8" t="str">
        <f aca="false">IF(A825="","",IF(AO825="","欠損",IF(AO825&lt;=1.1,"1.0～1.1",IF(AO825&lt;1.3,"1.2",IF(AO825&lt;1.5,"1.3～1.4",IF(AO825&lt;2,"1.5～1.9","2.0以上"))))))</f>
        <v>欠損</v>
      </c>
      <c r="AQ825" s="8" t="str">
        <f aca="false">IF(A825="","",IF(ISNUMBER(SEARCH("2歳",Z825)),"2歳戦",IF(ISNUMBER(SEARCH("3歳未勝利",Z825)),"3歳未勝利",IF(ISNUMBER(SEARCH("未勝利",Z825)),"その他未勝利",IF(ISNUMBER(SEARCH("G1",Z825)),"G1",IF(ISNUMBER(SEARCH("G2",Z825)),"G2",IF(ISNUMBER(SEARCH("G3",Z825)),"G3",IF(ISNUMBER(SEARCH("古馬条件",Z825)),"古馬条件戦",IF(ISNUMBER(SEARCH("重賞",Z825)),"重賞","分類不能")))))))))</f>
        <v>分類不能</v>
      </c>
      <c r="AR825" s="8"/>
      <c r="AS825" s="8" t="s">
        <v>7623</v>
      </c>
      <c r="AT825" s="8" t="s">
        <v>7624</v>
      </c>
      <c r="AU825" s="8" t="s">
        <v>7600</v>
      </c>
      <c r="AV825" s="4" t="s">
        <v>7601</v>
      </c>
      <c r="AW825" s="8"/>
      <c r="AX825" s="8"/>
      <c r="AY825" s="8" t="s">
        <v>7610</v>
      </c>
      <c r="AZ825" s="4" t="s">
        <v>7617</v>
      </c>
      <c r="BA825" s="8" t="n">
        <v>1700</v>
      </c>
      <c r="BB825" s="8" t="s">
        <v>7634</v>
      </c>
      <c r="BC825" s="4" t="s">
        <v>7604</v>
      </c>
      <c r="BD825" s="8" t="s">
        <v>7605</v>
      </c>
      <c r="BE825" s="4" t="s">
        <v>7606</v>
      </c>
      <c r="BF825" s="8" t="s">
        <v>7607</v>
      </c>
      <c r="BG825" s="8" t="s">
        <v>7608</v>
      </c>
      <c r="BH825" s="4" t="s">
        <v>7609</v>
      </c>
      <c r="BI825" s="8" t="n">
        <v>14</v>
      </c>
      <c r="BJ825" s="8" t="s">
        <v>7602</v>
      </c>
      <c r="BK825" s="4" t="s">
        <v>7653</v>
      </c>
      <c r="BL825" s="8" t="s">
        <v>7602</v>
      </c>
      <c r="BM825" s="4" t="s">
        <v>7620</v>
      </c>
      <c r="BN825" s="8"/>
      <c r="BO825" s="8"/>
      <c r="BP825" s="8" t="s">
        <v>7608</v>
      </c>
      <c r="BQ825" s="8" t="str">
        <f aca="false">IF(A825="","",AT825)</f>
        <v>3歳</v>
      </c>
      <c r="BR825" s="8" t="str">
        <f aca="false">IF(A825="","",IF(BA825&lt;=1200,"～1200",IF(BA825&lt;=1500,"1300～1500",IF(BA825=1600,"1600",IF(BA825&lt;=1800,"1700～1800",IF(BA825&lt;=2000,"1900～2000","2100以上"))))))</f>
        <v>1700～1800</v>
      </c>
      <c r="BS825" s="8" t="str">
        <f aca="false">IF(A825="","",IF(AX825="G1","G1",IF(AX825="G2","G2",IF(AX825="G3","G3",IF(AX825="L","L","その他")))))</f>
        <v>その他</v>
      </c>
      <c r="BT825" s="8" t="str">
        <f aca="false">IF(A825="","",IF(BI825="","未結合",IF(D825=BI825,"一致","不一致")))</f>
        <v>一致</v>
      </c>
      <c r="BU825" s="8" t="str">
        <f aca="false">IF(A825="","",IF(BE825="牝馬限定","牝馬限定","その他"))</f>
        <v>その他</v>
      </c>
    </row>
    <row r="826" customFormat="false" ht="15.75" hidden="false" customHeight="false" outlineLevel="0" collapsed="false">
      <c r="A826" s="6" t="n">
        <f aca="false">DATE(2026,8,23)</f>
        <v>46257</v>
      </c>
      <c r="B826" s="4" t="s">
        <v>334</v>
      </c>
      <c r="C826" s="8" t="n">
        <v>4</v>
      </c>
      <c r="D826" s="8" t="n">
        <v>16</v>
      </c>
      <c r="E826" s="8" t="n">
        <v>12</v>
      </c>
      <c r="F826" s="4" t="s">
        <v>1274</v>
      </c>
      <c r="G826" s="8" t="n">
        <v>41</v>
      </c>
      <c r="H826" s="8" t="n">
        <v>8</v>
      </c>
      <c r="I826" s="4" t="s">
        <v>4609</v>
      </c>
      <c r="J826" s="8" t="n">
        <v>39</v>
      </c>
      <c r="K826" s="8" t="n">
        <v>5</v>
      </c>
      <c r="L826" s="8"/>
      <c r="M826" s="8" t="n">
        <v>31</v>
      </c>
      <c r="N826" s="8" t="n">
        <f aca="false">IF(A826="","",G826-J826)</f>
        <v>2</v>
      </c>
      <c r="O826" s="8" t="n">
        <f aca="false">IF(A826="","",J826-M826)</f>
        <v>8</v>
      </c>
      <c r="P826" s="8" t="n">
        <f aca="false">IF(A826="","",G826+J826)</f>
        <v>80</v>
      </c>
      <c r="Q826" s="8" t="str">
        <f aca="false">IF(A826="","",IF(AND(Y826&lt;&gt;"参考",G826&gt;=ルール設定!$B$2),"○",""))</f>
        <v/>
      </c>
      <c r="R826" s="8" t="str">
        <f aca="false">IF(A826="","",IF(AND(Y826&lt;&gt;"参考",G826&gt;=ルール設定!$B$3,N826&gt;=ルール設定!$B$4),"○",""))</f>
        <v/>
      </c>
      <c r="S826" s="8" t="str">
        <f aca="false">IF(A826="","",IF(AND(Y826&lt;&gt;"参考",G826&gt;=ルール設定!$B$5,J826&gt;=ルール設定!$B$6,O826&gt;=ルール設定!$B$7),"○",""))</f>
        <v/>
      </c>
      <c r="T826" s="8" t="n">
        <v>1</v>
      </c>
      <c r="U826" s="8" t="n">
        <v>2</v>
      </c>
      <c r="V826" s="8" t="str">
        <f aca="false">IF(A826="","",IF(AND(ISNUMBER(T826),ISNUMBER(U826)),IF(AND(T826&lt;=3,U826&lt;=3),"○","×"),""))</f>
        <v>○</v>
      </c>
      <c r="W826" s="8" t="n">
        <v>150</v>
      </c>
      <c r="X826" s="8" t="n">
        <v>340</v>
      </c>
      <c r="Y826" s="4" t="s">
        <v>7597</v>
      </c>
      <c r="Z826" s="8" t="s">
        <v>8005</v>
      </c>
      <c r="AA826" s="8" t="str">
        <v/>
      </c>
      <c r="AB826" s="8" t="str">
        <v/>
      </c>
      <c r="AC826" s="8" t="str">
        <v/>
      </c>
      <c r="AD826" s="8" t="str">
        <v/>
      </c>
      <c r="AE826" s="8" t="str">
        <v/>
      </c>
      <c r="AF826" s="8" t="str">
        <v/>
      </c>
      <c r="AG826" s="8" t="str">
        <v/>
      </c>
      <c r="AH826" s="8" t="str">
        <v/>
      </c>
      <c r="AI826" s="8" t="n">
        <v>10</v>
      </c>
      <c r="AJ826" s="8" t="str">
        <v>～59</v>
      </c>
      <c r="AK826" s="8" t="str">
        <v>0～4</v>
      </c>
      <c r="AL826" s="8" t="str">
        <v>10～19</v>
      </c>
      <c r="AM826" s="8" t="str">
        <v>～99</v>
      </c>
      <c r="AN826" s="8" t="str">
        <v>15以上</v>
      </c>
      <c r="AO826" s="8" t="str">
        <f aca="false">IF(A826="","",IF(COUNTIFS(全馬データ!$A$2:$A$50000,A826,全馬データ!$B$2:$B$50000,B826,全馬データ!$C$2:$C$50000,C826,全馬データ!$D$2:$D$50000,E826,全馬データ!$K$2:$K$50000,"&lt;&gt;")=0,"",SUMIFS(全馬データ!$K$2:$K$50000,全馬データ!$A$2:$A$50000,A826,全馬データ!$B$2:$B$50000,B826,全馬データ!$C$2:$C$50000,C826,全馬データ!$D$2:$D$50000,E826)))</f>
        <v/>
      </c>
      <c r="AP826" s="8" t="str">
        <f aca="false">IF(A826="","",IF(AO826="","欠損",IF(AO826&lt;=1.1,"1.0～1.1",IF(AO826&lt;1.3,"1.2",IF(AO826&lt;1.5,"1.3～1.4",IF(AO826&lt;2,"1.5～1.9","2.0以上"))))))</f>
        <v>欠損</v>
      </c>
      <c r="AQ826" s="8" t="str">
        <f aca="false">IF(A826="","",IF(ISNUMBER(SEARCH("2歳",Z826)),"2歳戦",IF(ISNUMBER(SEARCH("3歳未勝利",Z826)),"3歳未勝利",IF(ISNUMBER(SEARCH("未勝利",Z826)),"その他未勝利",IF(ISNUMBER(SEARCH("G1",Z826)),"G1",IF(ISNUMBER(SEARCH("G2",Z826)),"G2",IF(ISNUMBER(SEARCH("G3",Z826)),"G3",IF(ISNUMBER(SEARCH("古馬条件",Z826)),"古馬条件戦",IF(ISNUMBER(SEARCH("重賞",Z826)),"重賞","分類不能")))))))))</f>
        <v>分類不能</v>
      </c>
      <c r="AR826" s="8"/>
      <c r="AS826" s="8" t="s">
        <v>7623</v>
      </c>
      <c r="AT826" s="8" t="s">
        <v>7624</v>
      </c>
      <c r="AU826" s="8" t="s">
        <v>7600</v>
      </c>
      <c r="AV826" s="4" t="s">
        <v>7601</v>
      </c>
      <c r="AW826" s="8"/>
      <c r="AX826" s="8"/>
      <c r="AY826" s="8" t="s">
        <v>7602</v>
      </c>
      <c r="AZ826" s="4" t="s">
        <v>7603</v>
      </c>
      <c r="BA826" s="8" t="n">
        <v>1200</v>
      </c>
      <c r="BB826" s="8" t="s">
        <v>7634</v>
      </c>
      <c r="BC826" s="4" t="s">
        <v>7604</v>
      </c>
      <c r="BD826" s="8" t="s">
        <v>7605</v>
      </c>
      <c r="BE826" s="4" t="s">
        <v>7606</v>
      </c>
      <c r="BF826" s="8" t="s">
        <v>7607</v>
      </c>
      <c r="BG826" s="8" t="s">
        <v>7608</v>
      </c>
      <c r="BH826" s="4" t="s">
        <v>7609</v>
      </c>
      <c r="BI826" s="8" t="n">
        <v>16</v>
      </c>
      <c r="BJ826" s="8" t="s">
        <v>7602</v>
      </c>
      <c r="BK826" s="4" t="s">
        <v>7653</v>
      </c>
      <c r="BL826" s="8" t="s">
        <v>7602</v>
      </c>
      <c r="BM826" s="4" t="s">
        <v>7620</v>
      </c>
      <c r="BN826" s="8" t="s">
        <v>7631</v>
      </c>
      <c r="BO826" s="8" t="s">
        <v>7680</v>
      </c>
      <c r="BP826" s="8" t="s">
        <v>7608</v>
      </c>
      <c r="BQ826" s="8" t="str">
        <f aca="false">IF(A826="","",AT826)</f>
        <v>3歳</v>
      </c>
      <c r="BR826" s="8" t="str">
        <f aca="false">IF(A826="","",IF(BA826&lt;=1200,"～1200",IF(BA826&lt;=1500,"1300～1500",IF(BA826=1600,"1600",IF(BA826&lt;=1800,"1700～1800",IF(BA826&lt;=2000,"1900～2000","2100以上"))))))</f>
        <v>～1200</v>
      </c>
      <c r="BS826" s="8" t="str">
        <f aca="false">IF(A826="","",IF(AX826="G1","G1",IF(AX826="G2","G2",IF(AX826="G3","G3",IF(AX826="L","L","その他")))))</f>
        <v>その他</v>
      </c>
      <c r="BT826" s="8" t="str">
        <f aca="false">IF(A826="","",IF(BI826="","未結合",IF(D826=BI826,"一致","不一致")))</f>
        <v>一致</v>
      </c>
      <c r="BU826" s="8" t="str">
        <f aca="false">IF(A826="","",IF(BE826="牝馬限定","牝馬限定","その他"))</f>
        <v>その他</v>
      </c>
    </row>
    <row r="827" customFormat="false" ht="15.75" hidden="false" customHeight="false" outlineLevel="0" collapsed="false">
      <c r="A827" s="6" t="n">
        <f aca="false">DATE(2026,8,23)</f>
        <v>46257</v>
      </c>
      <c r="B827" s="4" t="s">
        <v>334</v>
      </c>
      <c r="C827" s="8" t="n">
        <v>5</v>
      </c>
      <c r="D827" s="8" t="n">
        <v>7</v>
      </c>
      <c r="E827" s="8" t="n">
        <v>3</v>
      </c>
      <c r="F827" s="4" t="s">
        <v>6552</v>
      </c>
      <c r="G827" s="8" t="n">
        <v>37</v>
      </c>
      <c r="H827" s="8" t="n">
        <v>7</v>
      </c>
      <c r="I827" s="8"/>
      <c r="J827" s="8" t="n">
        <v>31</v>
      </c>
      <c r="K827" s="8" t="n">
        <v>2</v>
      </c>
      <c r="L827" s="4" t="s">
        <v>6551</v>
      </c>
      <c r="M827" s="8" t="n">
        <v>24</v>
      </c>
      <c r="N827" s="8" t="n">
        <f aca="false">IF(A827="","",G827-J827)</f>
        <v>6</v>
      </c>
      <c r="O827" s="8" t="n">
        <f aca="false">IF(A827="","",J827-M827)</f>
        <v>7</v>
      </c>
      <c r="P827" s="8" t="n">
        <f aca="false">IF(A827="","",G827+J827)</f>
        <v>68</v>
      </c>
      <c r="Q827" s="8" t="str">
        <f aca="false">IF(A827="","",IF(AND(Y827&lt;&gt;"参考",G827&gt;=ルール設定!$B$2),"○",""))</f>
        <v/>
      </c>
      <c r="R827" s="8" t="str">
        <f aca="false">IF(A827="","",IF(AND(Y827&lt;&gt;"参考",G827&gt;=ルール設定!$B$3,N827&gt;=ルール設定!$B$4),"○",""))</f>
        <v/>
      </c>
      <c r="S827" s="8" t="str">
        <f aca="false">IF(A827="","",IF(AND(Y827&lt;&gt;"参考",G827&gt;=ルール設定!$B$5,J827&gt;=ルール設定!$B$6,O827&gt;=ルール設定!$B$7),"○",""))</f>
        <v/>
      </c>
      <c r="T827" s="8" t="n">
        <v>1</v>
      </c>
      <c r="U827" s="8" t="n">
        <v>4</v>
      </c>
      <c r="V827" s="8" t="str">
        <f aca="false">IF(A827="","",IF(AND(ISNUMBER(T827),ISNUMBER(U827)),IF(AND(T827&lt;=3,U827&lt;=3),"○","×"),""))</f>
        <v>×</v>
      </c>
      <c r="W827" s="8" t="n">
        <v>170</v>
      </c>
      <c r="X827" s="8"/>
      <c r="Y827" s="4" t="s">
        <v>7597</v>
      </c>
      <c r="Z827" s="8" t="s">
        <v>8006</v>
      </c>
      <c r="AA827" s="8" t="str">
        <v/>
      </c>
      <c r="AB827" s="8" t="str">
        <v/>
      </c>
      <c r="AC827" s="8" t="str">
        <v/>
      </c>
      <c r="AD827" s="8" t="str">
        <v/>
      </c>
      <c r="AE827" s="8" t="str">
        <v/>
      </c>
      <c r="AF827" s="8" t="str">
        <v/>
      </c>
      <c r="AG827" s="8" t="str">
        <v/>
      </c>
      <c r="AH827" s="8" t="str">
        <v/>
      </c>
      <c r="AI827" s="8" t="n">
        <v>13</v>
      </c>
      <c r="AJ827" s="8" t="str">
        <v>～59</v>
      </c>
      <c r="AK827" s="8" t="str">
        <v>5～9</v>
      </c>
      <c r="AL827" s="8" t="str">
        <v>10～19</v>
      </c>
      <c r="AM827" s="8" t="str">
        <v>～99</v>
      </c>
      <c r="AN827" s="8" t="str">
        <v>7以下</v>
      </c>
      <c r="AO827" s="8" t="str">
        <f aca="false">IF(A827="","",IF(COUNTIFS(全馬データ!$A$2:$A$50000,A827,全馬データ!$B$2:$B$50000,B827,全馬データ!$C$2:$C$50000,C827,全馬データ!$D$2:$D$50000,E827,全馬データ!$K$2:$K$50000,"&lt;&gt;")=0,"",SUMIFS(全馬データ!$K$2:$K$50000,全馬データ!$A$2:$A$50000,A827,全馬データ!$B$2:$B$50000,B827,全馬データ!$C$2:$C$50000,C827,全馬データ!$D$2:$D$50000,E827)))</f>
        <v/>
      </c>
      <c r="AP827" s="8" t="str">
        <f aca="false">IF(A827="","",IF(AO827="","欠損",IF(AO827&lt;=1.1,"1.0～1.1",IF(AO827&lt;1.3,"1.2",IF(AO827&lt;1.5,"1.3～1.4",IF(AO827&lt;2,"1.5～1.9","2.0以上"))))))</f>
        <v>欠損</v>
      </c>
      <c r="AQ827" s="8" t="str">
        <f aca="false">IF(A827="","",IF(ISNUMBER(SEARCH("2歳",Z827)),"2歳戦",IF(ISNUMBER(SEARCH("3歳未勝利",Z827)),"3歳未勝利",IF(ISNUMBER(SEARCH("未勝利",Z827)),"その他未勝利",IF(ISNUMBER(SEARCH("G1",Z827)),"G1",IF(ISNUMBER(SEARCH("G2",Z827)),"G2",IF(ISNUMBER(SEARCH("G3",Z827)),"G3",IF(ISNUMBER(SEARCH("古馬条件",Z827)),"古馬条件戦",IF(ISNUMBER(SEARCH("重賞",Z827)),"重賞","分類不能")))))))))</f>
        <v>分類不能</v>
      </c>
      <c r="AR827" s="8"/>
      <c r="AS827" s="8" t="s">
        <v>7598</v>
      </c>
      <c r="AT827" s="8" t="s">
        <v>7599</v>
      </c>
      <c r="AU827" s="8" t="s">
        <v>7615</v>
      </c>
      <c r="AV827" s="4" t="s">
        <v>7616</v>
      </c>
      <c r="AW827" s="8"/>
      <c r="AX827" s="8"/>
      <c r="AY827" s="8" t="s">
        <v>7602</v>
      </c>
      <c r="AZ827" s="4" t="s">
        <v>7603</v>
      </c>
      <c r="BA827" s="8" t="n">
        <v>2000</v>
      </c>
      <c r="BB827" s="8" t="s">
        <v>7634</v>
      </c>
      <c r="BC827" s="4" t="s">
        <v>7604</v>
      </c>
      <c r="BD827" s="8" t="s">
        <v>7605</v>
      </c>
      <c r="BE827" s="4" t="s">
        <v>7606</v>
      </c>
      <c r="BF827" s="8" t="s">
        <v>7607</v>
      </c>
      <c r="BG827" s="8" t="s">
        <v>7608</v>
      </c>
      <c r="BH827" s="4" t="s">
        <v>7609</v>
      </c>
      <c r="BI827" s="8" t="n">
        <v>7</v>
      </c>
      <c r="BJ827" s="8" t="s">
        <v>7602</v>
      </c>
      <c r="BK827" s="4" t="s">
        <v>7653</v>
      </c>
      <c r="BL827" s="8" t="s">
        <v>7602</v>
      </c>
      <c r="BM827" s="4" t="s">
        <v>7620</v>
      </c>
      <c r="BN827" s="8" t="s">
        <v>7631</v>
      </c>
      <c r="BO827" s="8" t="s">
        <v>7680</v>
      </c>
      <c r="BP827" s="8" t="s">
        <v>7608</v>
      </c>
      <c r="BQ827" s="8" t="str">
        <f aca="false">IF(A827="","",AT827)</f>
        <v>2歳</v>
      </c>
      <c r="BR827" s="8" t="str">
        <f aca="false">IF(A827="","",IF(BA827&lt;=1200,"～1200",IF(BA827&lt;=1500,"1300～1500",IF(BA827=1600,"1600",IF(BA827&lt;=1800,"1700～1800",IF(BA827&lt;=2000,"1900～2000","2100以上"))))))</f>
        <v>1900～2000</v>
      </c>
      <c r="BS827" s="8" t="str">
        <f aca="false">IF(A827="","",IF(AX827="G1","G1",IF(AX827="G2","G2",IF(AX827="G3","G3",IF(AX827="L","L","その他")))))</f>
        <v>その他</v>
      </c>
      <c r="BT827" s="8" t="str">
        <f aca="false">IF(A827="","",IF(BI827="","未結合",IF(D827=BI827,"一致","不一致")))</f>
        <v>一致</v>
      </c>
      <c r="BU827" s="8" t="str">
        <f aca="false">IF(A827="","",IF(BE827="牝馬限定","牝馬限定","その他"))</f>
        <v>その他</v>
      </c>
    </row>
    <row r="828" customFormat="false" ht="15.75" hidden="false" customHeight="false" outlineLevel="0" collapsed="false">
      <c r="A828" s="6" t="n">
        <f aca="false">DATE(2026,8,23)</f>
        <v>46257</v>
      </c>
      <c r="B828" s="4" t="s">
        <v>334</v>
      </c>
      <c r="C828" s="8" t="n">
        <v>6</v>
      </c>
      <c r="D828" s="8" t="n">
        <v>14</v>
      </c>
      <c r="E828" s="8" t="n">
        <v>2</v>
      </c>
      <c r="F828" s="4" t="s">
        <v>3862</v>
      </c>
      <c r="G828" s="8" t="n">
        <v>67</v>
      </c>
      <c r="H828" s="8" t="n">
        <v>4</v>
      </c>
      <c r="I828" s="8"/>
      <c r="J828" s="8" t="n">
        <v>60</v>
      </c>
      <c r="K828" s="8" t="n">
        <v>6</v>
      </c>
      <c r="L828" s="8"/>
      <c r="M828" s="8" t="n">
        <v>58</v>
      </c>
      <c r="N828" s="8" t="n">
        <f aca="false">IF(A828="","",G828-J828)</f>
        <v>7</v>
      </c>
      <c r="O828" s="8" t="n">
        <f aca="false">IF(A828="","",J828-M828)</f>
        <v>2</v>
      </c>
      <c r="P828" s="8" t="n">
        <f aca="false">IF(A828="","",G828+J828)</f>
        <v>127</v>
      </c>
      <c r="Q828" s="8" t="str">
        <f aca="false">IF(A828="","",IF(AND(Y828&lt;&gt;"参考",G828&gt;=ルール設定!$B$2),"○",""))</f>
        <v/>
      </c>
      <c r="R828" s="8" t="str">
        <f aca="false">IF(A828="","",IF(AND(Y828&lt;&gt;"参考",G828&gt;=ルール設定!$B$3,N828&gt;=ルール設定!$B$4),"○",""))</f>
        <v/>
      </c>
      <c r="S828" s="8" t="str">
        <f aca="false">IF(A828="","",IF(AND(Y828&lt;&gt;"参考",G828&gt;=ルール設定!$B$5,J828&gt;=ルール設定!$B$6,O828&gt;=ルール設定!$B$7),"○",""))</f>
        <v/>
      </c>
      <c r="T828" s="8" t="n">
        <v>2</v>
      </c>
      <c r="U828" s="8" t="n">
        <v>4</v>
      </c>
      <c r="V828" s="8" t="str">
        <f aca="false">IF(A828="","",IF(AND(ISNUMBER(T828),ISNUMBER(U828)),IF(AND(T828&lt;=3,U828&lt;=3),"○","×"),""))</f>
        <v>×</v>
      </c>
      <c r="W828" s="8" t="n">
        <v>160</v>
      </c>
      <c r="X828" s="8"/>
      <c r="Y828" s="4" t="s">
        <v>7597</v>
      </c>
      <c r="Z828" s="8" t="s">
        <v>8007</v>
      </c>
      <c r="AA828" s="8" t="str">
        <v/>
      </c>
      <c r="AB828" s="8" t="str">
        <v/>
      </c>
      <c r="AC828" s="8" t="str">
        <v/>
      </c>
      <c r="AD828" s="8" t="str">
        <v/>
      </c>
      <c r="AE828" s="8" t="str">
        <v/>
      </c>
      <c r="AF828" s="8" t="str">
        <v/>
      </c>
      <c r="AG828" s="8" t="str">
        <v/>
      </c>
      <c r="AH828" s="8" t="str">
        <v/>
      </c>
      <c r="AI828" s="8" t="n">
        <v>9</v>
      </c>
      <c r="AJ828" s="8" t="str">
        <v>60～69</v>
      </c>
      <c r="AK828" s="8" t="str">
        <v>5～9</v>
      </c>
      <c r="AL828" s="8" t="str">
        <v>0～9</v>
      </c>
      <c r="AM828" s="8" t="str">
        <v>120～139</v>
      </c>
      <c r="AN828" s="8" t="str">
        <v>12～14</v>
      </c>
      <c r="AO828" s="8" t="str">
        <f aca="false">IF(A828="","",IF(COUNTIFS(全馬データ!$A$2:$A$50000,A828,全馬データ!$B$2:$B$50000,B828,全馬データ!$C$2:$C$50000,C828,全馬データ!$D$2:$D$50000,E828,全馬データ!$K$2:$K$50000,"&lt;&gt;")=0,"",SUMIFS(全馬データ!$K$2:$K$50000,全馬データ!$A$2:$A$50000,A828,全馬データ!$B$2:$B$50000,B828,全馬データ!$C$2:$C$50000,C828,全馬データ!$D$2:$D$50000,E828)))</f>
        <v/>
      </c>
      <c r="AP828" s="8" t="str">
        <f aca="false">IF(A828="","",IF(AO828="","欠損",IF(AO828&lt;=1.1,"1.0～1.1",IF(AO828&lt;1.3,"1.2",IF(AO828&lt;1.5,"1.3～1.4",IF(AO828&lt;2,"1.5～1.9","2.0以上"))))))</f>
        <v>欠損</v>
      </c>
      <c r="AQ828" s="8" t="str">
        <f aca="false">IF(A828="","",IF(ISNUMBER(SEARCH("2歳",Z828)),"2歳戦",IF(ISNUMBER(SEARCH("3歳未勝利",Z828)),"3歳未勝利",IF(ISNUMBER(SEARCH("未勝利",Z828)),"その他未勝利",IF(ISNUMBER(SEARCH("G1",Z828)),"G1",IF(ISNUMBER(SEARCH("G2",Z828)),"G2",IF(ISNUMBER(SEARCH("G3",Z828)),"G3",IF(ISNUMBER(SEARCH("古馬条件",Z828)),"古馬条件戦",IF(ISNUMBER(SEARCH("重賞",Z828)),"重賞","分類不能")))))))))</f>
        <v>分類不能</v>
      </c>
      <c r="AR828" s="8"/>
      <c r="AS828" s="8" t="s">
        <v>7626</v>
      </c>
      <c r="AT828" s="8" t="s">
        <v>7627</v>
      </c>
      <c r="AU828" s="8" t="s">
        <v>7628</v>
      </c>
      <c r="AV828" s="8" t="s">
        <v>7629</v>
      </c>
      <c r="AW828" s="8"/>
      <c r="AX828" s="8"/>
      <c r="AY828" s="8" t="s">
        <v>7602</v>
      </c>
      <c r="AZ828" s="4" t="s">
        <v>7603</v>
      </c>
      <c r="BA828" s="8" t="n">
        <v>1500</v>
      </c>
      <c r="BB828" s="8" t="s">
        <v>7634</v>
      </c>
      <c r="BC828" s="4" t="s">
        <v>7604</v>
      </c>
      <c r="BD828" s="8" t="s">
        <v>7625</v>
      </c>
      <c r="BE828" s="4" t="s">
        <v>7606</v>
      </c>
      <c r="BF828" s="8" t="s">
        <v>7607</v>
      </c>
      <c r="BG828" s="8" t="s">
        <v>7631</v>
      </c>
      <c r="BH828" s="4" t="s">
        <v>7632</v>
      </c>
      <c r="BI828" s="8" t="n">
        <v>14</v>
      </c>
      <c r="BJ828" s="8" t="s">
        <v>7602</v>
      </c>
      <c r="BK828" s="4" t="s">
        <v>7653</v>
      </c>
      <c r="BL828" s="8" t="s">
        <v>7602</v>
      </c>
      <c r="BM828" s="4" t="s">
        <v>7620</v>
      </c>
      <c r="BN828" s="8" t="s">
        <v>7631</v>
      </c>
      <c r="BO828" s="8" t="s">
        <v>7680</v>
      </c>
      <c r="BP828" s="8" t="s">
        <v>7608</v>
      </c>
      <c r="BQ828" s="8" t="str">
        <f aca="false">IF(A828="","",AT828)</f>
        <v>3歳以上</v>
      </c>
      <c r="BR828" s="8" t="str">
        <f aca="false">IF(A828="","",IF(BA828&lt;=1200,"～1200",IF(BA828&lt;=1500,"1300～1500",IF(BA828=1600,"1600",IF(BA828&lt;=1800,"1700～1800",IF(BA828&lt;=2000,"1900～2000","2100以上"))))))</f>
        <v>1300～1500</v>
      </c>
      <c r="BS828" s="8" t="str">
        <f aca="false">IF(A828="","",IF(AX828="G1","G1",IF(AX828="G2","G2",IF(AX828="G3","G3",IF(AX828="L","L","その他")))))</f>
        <v>その他</v>
      </c>
      <c r="BT828" s="8" t="str">
        <f aca="false">IF(A828="","",IF(BI828="","未結合",IF(D828=BI828,"一致","不一致")))</f>
        <v>一致</v>
      </c>
      <c r="BU828" s="8" t="str">
        <f aca="false">IF(A828="","",IF(BE828="牝馬限定","牝馬限定","その他"))</f>
        <v>その他</v>
      </c>
    </row>
    <row r="829" customFormat="false" ht="15.75" hidden="false" customHeight="false" outlineLevel="0" collapsed="false">
      <c r="A829" s="6" t="n">
        <f aca="false">DATE(2026,8,23)</f>
        <v>46257</v>
      </c>
      <c r="B829" s="4" t="s">
        <v>334</v>
      </c>
      <c r="C829" s="8" t="n">
        <v>7</v>
      </c>
      <c r="D829" s="8" t="n">
        <v>11</v>
      </c>
      <c r="E829" s="8" t="n">
        <v>10</v>
      </c>
      <c r="F829" s="4" t="s">
        <v>2634</v>
      </c>
      <c r="G829" s="8" t="n">
        <v>50</v>
      </c>
      <c r="H829" s="8" t="n">
        <v>5</v>
      </c>
      <c r="I829" s="4" t="s">
        <v>4129</v>
      </c>
      <c r="J829" s="8" t="n">
        <v>44</v>
      </c>
      <c r="K829" s="8" t="n">
        <v>8</v>
      </c>
      <c r="L829" s="8"/>
      <c r="M829" s="8" t="n">
        <v>39</v>
      </c>
      <c r="N829" s="8" t="n">
        <f aca="false">IF(A829="","",G829-J829)</f>
        <v>6</v>
      </c>
      <c r="O829" s="8" t="n">
        <f aca="false">IF(A829="","",J829-M829)</f>
        <v>5</v>
      </c>
      <c r="P829" s="8" t="n">
        <f aca="false">IF(A829="","",G829+J829)</f>
        <v>94</v>
      </c>
      <c r="Q829" s="8" t="str">
        <f aca="false">IF(A829="","",IF(AND(Y829&lt;&gt;"参考",G829&gt;=ルール設定!$B$2),"○",""))</f>
        <v/>
      </c>
      <c r="R829" s="8" t="str">
        <f aca="false">IF(A829="","",IF(AND(Y829&lt;&gt;"参考",G829&gt;=ルール設定!$B$3,N829&gt;=ルール設定!$B$4),"○",""))</f>
        <v/>
      </c>
      <c r="S829" s="8" t="str">
        <f aca="false">IF(A829="","",IF(AND(Y829&lt;&gt;"参考",G829&gt;=ルール設定!$B$5,J829&gt;=ルール設定!$B$6,O829&gt;=ルール設定!$B$7),"○",""))</f>
        <v/>
      </c>
      <c r="T829" s="8" t="n">
        <v>2</v>
      </c>
      <c r="U829" s="8" t="n">
        <v>1</v>
      </c>
      <c r="V829" s="8" t="str">
        <f aca="false">IF(A829="","",IF(AND(ISNUMBER(T829),ISNUMBER(U829)),IF(AND(T829&lt;=3,U829&lt;=3),"○","×"),""))</f>
        <v>○</v>
      </c>
      <c r="W829" s="8" t="n">
        <v>150</v>
      </c>
      <c r="X829" s="8" t="n">
        <v>750</v>
      </c>
      <c r="Y829" s="4" t="s">
        <v>7597</v>
      </c>
      <c r="Z829" s="8" t="s">
        <v>8008</v>
      </c>
      <c r="AA829" s="8" t="str">
        <v/>
      </c>
      <c r="AB829" s="8" t="str">
        <v/>
      </c>
      <c r="AC829" s="8" t="str">
        <v/>
      </c>
      <c r="AD829" s="8" t="str">
        <v/>
      </c>
      <c r="AE829" s="8" t="str">
        <v/>
      </c>
      <c r="AF829" s="8" t="str">
        <v/>
      </c>
      <c r="AG829" s="8" t="str">
        <v/>
      </c>
      <c r="AH829" s="8" t="str">
        <v/>
      </c>
      <c r="AI829" s="8" t="n">
        <v>11</v>
      </c>
      <c r="AJ829" s="8" t="str">
        <v>～59</v>
      </c>
      <c r="AK829" s="8" t="str">
        <v>5～9</v>
      </c>
      <c r="AL829" s="8" t="str">
        <v>10～19</v>
      </c>
      <c r="AM829" s="8" t="str">
        <v>～99</v>
      </c>
      <c r="AN829" s="8" t="str">
        <v>8～11</v>
      </c>
      <c r="AO829" s="8" t="str">
        <f aca="false">IF(A829="","",IF(COUNTIFS(全馬データ!$A$2:$A$50000,A829,全馬データ!$B$2:$B$50000,B829,全馬データ!$C$2:$C$50000,C829,全馬データ!$D$2:$D$50000,E829,全馬データ!$K$2:$K$50000,"&lt;&gt;")=0,"",SUMIFS(全馬データ!$K$2:$K$50000,全馬データ!$A$2:$A$50000,A829,全馬データ!$B$2:$B$50000,B829,全馬データ!$C$2:$C$50000,C829,全馬データ!$D$2:$D$50000,E829)))</f>
        <v/>
      </c>
      <c r="AP829" s="8" t="str">
        <f aca="false">IF(A829="","",IF(AO829="","欠損",IF(AO829&lt;=1.1,"1.0～1.1",IF(AO829&lt;1.3,"1.2",IF(AO829&lt;1.5,"1.3～1.4",IF(AO829&lt;2,"1.5～1.9","2.0以上"))))))</f>
        <v>欠損</v>
      </c>
      <c r="AQ829" s="8" t="str">
        <f aca="false">IF(A829="","",IF(ISNUMBER(SEARCH("2歳",Z829)),"2歳戦",IF(ISNUMBER(SEARCH("3歳未勝利",Z829)),"3歳未勝利",IF(ISNUMBER(SEARCH("未勝利",Z829)),"その他未勝利",IF(ISNUMBER(SEARCH("G1",Z829)),"G1",IF(ISNUMBER(SEARCH("G2",Z829)),"G2",IF(ISNUMBER(SEARCH("G3",Z829)),"G3",IF(ISNUMBER(SEARCH("古馬条件",Z829)),"古馬条件戦",IF(ISNUMBER(SEARCH("重賞",Z829)),"重賞","分類不能")))))))))</f>
        <v>分類不能</v>
      </c>
      <c r="AR829" s="8"/>
      <c r="AS829" s="8" t="s">
        <v>7626</v>
      </c>
      <c r="AT829" s="8" t="s">
        <v>7627</v>
      </c>
      <c r="AU829" s="8" t="s">
        <v>7628</v>
      </c>
      <c r="AV829" s="8" t="s">
        <v>7629</v>
      </c>
      <c r="AW829" s="8"/>
      <c r="AX829" s="8"/>
      <c r="AY829" s="8" t="s">
        <v>7610</v>
      </c>
      <c r="AZ829" s="4" t="s">
        <v>7617</v>
      </c>
      <c r="BA829" s="8" t="n">
        <v>2400</v>
      </c>
      <c r="BB829" s="8" t="s">
        <v>7634</v>
      </c>
      <c r="BC829" s="4" t="s">
        <v>7604</v>
      </c>
      <c r="BD829" s="8" t="s">
        <v>7605</v>
      </c>
      <c r="BE829" s="4" t="s">
        <v>7606</v>
      </c>
      <c r="BF829" s="8" t="s">
        <v>7607</v>
      </c>
      <c r="BG829" s="8" t="s">
        <v>7631</v>
      </c>
      <c r="BH829" s="4" t="s">
        <v>7632</v>
      </c>
      <c r="BI829" s="8" t="n">
        <v>11</v>
      </c>
      <c r="BJ829" s="8" t="s">
        <v>7602</v>
      </c>
      <c r="BK829" s="4" t="s">
        <v>7653</v>
      </c>
      <c r="BL829" s="8" t="s">
        <v>7602</v>
      </c>
      <c r="BM829" s="4" t="s">
        <v>7620</v>
      </c>
      <c r="BN829" s="8"/>
      <c r="BO829" s="8"/>
      <c r="BP829" s="8" t="s">
        <v>7608</v>
      </c>
      <c r="BQ829" s="8" t="str">
        <f aca="false">IF(A829="","",AT829)</f>
        <v>3歳以上</v>
      </c>
      <c r="BR829" s="8" t="str">
        <f aca="false">IF(A829="","",IF(BA829&lt;=1200,"～1200",IF(BA829&lt;=1500,"1300～1500",IF(BA829=1600,"1600",IF(BA829&lt;=1800,"1700～1800",IF(BA829&lt;=2000,"1900～2000","2100以上"))))))</f>
        <v>2100以上</v>
      </c>
      <c r="BS829" s="8" t="str">
        <f aca="false">IF(A829="","",IF(AX829="G1","G1",IF(AX829="G2","G2",IF(AX829="G3","G3",IF(AX829="L","L","その他")))))</f>
        <v>その他</v>
      </c>
      <c r="BT829" s="8" t="str">
        <f aca="false">IF(A829="","",IF(BI829="","未結合",IF(D829=BI829,"一致","不一致")))</f>
        <v>一致</v>
      </c>
      <c r="BU829" s="8" t="str">
        <f aca="false">IF(A829="","",IF(BE829="牝馬限定","牝馬限定","その他"))</f>
        <v>その他</v>
      </c>
    </row>
    <row r="830" customFormat="false" ht="15.75" hidden="false" customHeight="false" outlineLevel="0" collapsed="false">
      <c r="A830" s="6" t="n">
        <f aca="false">DATE(2026,8,23)</f>
        <v>46257</v>
      </c>
      <c r="B830" s="4" t="s">
        <v>334</v>
      </c>
      <c r="C830" s="8" t="n">
        <v>8</v>
      </c>
      <c r="D830" s="8" t="n">
        <v>11</v>
      </c>
      <c r="E830" s="8" t="n">
        <v>9</v>
      </c>
      <c r="F830" s="4" t="s">
        <v>1342</v>
      </c>
      <c r="G830" s="8" t="n">
        <v>66</v>
      </c>
      <c r="H830" s="8" t="n">
        <v>1</v>
      </c>
      <c r="I830" s="8"/>
      <c r="J830" s="8" t="n">
        <v>41</v>
      </c>
      <c r="K830" s="8" t="n">
        <v>8</v>
      </c>
      <c r="L830" s="4" t="s">
        <v>3858</v>
      </c>
      <c r="M830" s="8" t="n">
        <v>41</v>
      </c>
      <c r="N830" s="8" t="n">
        <f aca="false">IF(A830="","",G830-J830)</f>
        <v>25</v>
      </c>
      <c r="O830" s="8" t="n">
        <f aca="false">IF(A830="","",J830-M830)</f>
        <v>0</v>
      </c>
      <c r="P830" s="8" t="n">
        <f aca="false">IF(A830="","",G830+J830)</f>
        <v>107</v>
      </c>
      <c r="Q830" s="8" t="str">
        <f aca="false">IF(A830="","",IF(AND(Y830&lt;&gt;"参考",G830&gt;=ルール設定!$B$2),"○",""))</f>
        <v/>
      </c>
      <c r="R830" s="8" t="str">
        <f aca="false">IF(A830="","",IF(AND(Y830&lt;&gt;"参考",G830&gt;=ルール設定!$B$3,N830&gt;=ルール設定!$B$4),"○",""))</f>
        <v/>
      </c>
      <c r="S830" s="8" t="str">
        <f aca="false">IF(A830="","",IF(AND(Y830&lt;&gt;"参考",G830&gt;=ルール設定!$B$5,J830&gt;=ルール設定!$B$6,O830&gt;=ルール設定!$B$7),"○",""))</f>
        <v/>
      </c>
      <c r="T830" s="8" t="n">
        <v>2</v>
      </c>
      <c r="U830" s="8" t="n">
        <v>4</v>
      </c>
      <c r="V830" s="8" t="str">
        <f aca="false">IF(A830="","",IF(AND(ISNUMBER(T830),ISNUMBER(U830)),IF(AND(T830&lt;=3,U830&lt;=3),"○","×"),""))</f>
        <v>×</v>
      </c>
      <c r="W830" s="8" t="n">
        <v>120</v>
      </c>
      <c r="X830" s="8"/>
      <c r="Y830" s="4" t="s">
        <v>7597</v>
      </c>
      <c r="Z830" s="8" t="s">
        <v>8009</v>
      </c>
      <c r="AA830" s="8" t="str">
        <v/>
      </c>
      <c r="AB830" s="8" t="str">
        <v/>
      </c>
      <c r="AC830" s="8" t="str">
        <v/>
      </c>
      <c r="AD830" s="8" t="str">
        <v/>
      </c>
      <c r="AE830" s="8" t="str">
        <v/>
      </c>
      <c r="AF830" s="8" t="str">
        <v/>
      </c>
      <c r="AG830" s="8" t="str">
        <v/>
      </c>
      <c r="AH830" s="8" t="str">
        <v/>
      </c>
      <c r="AI830" s="8" t="n">
        <v>25</v>
      </c>
      <c r="AJ830" s="8" t="str">
        <v>60～69</v>
      </c>
      <c r="AK830" s="8" t="str">
        <v>20～29</v>
      </c>
      <c r="AL830" s="8" t="str">
        <v>20～29</v>
      </c>
      <c r="AM830" s="8" t="str">
        <v>100～119</v>
      </c>
      <c r="AN830" s="8" t="str">
        <v>8～11</v>
      </c>
      <c r="AO830" s="8" t="str">
        <f aca="false">IF(A830="","",IF(COUNTIFS(全馬データ!$A$2:$A$50000,A830,全馬データ!$B$2:$B$50000,B830,全馬データ!$C$2:$C$50000,C830,全馬データ!$D$2:$D$50000,E830,全馬データ!$K$2:$K$50000,"&lt;&gt;")=0,"",SUMIFS(全馬データ!$K$2:$K$50000,全馬データ!$A$2:$A$50000,A830,全馬データ!$B$2:$B$50000,B830,全馬データ!$C$2:$C$50000,C830,全馬データ!$D$2:$D$50000,E830)))</f>
        <v/>
      </c>
      <c r="AP830" s="8" t="str">
        <f aca="false">IF(A830="","",IF(AO830="","欠損",IF(AO830&lt;=1.1,"1.0～1.1",IF(AO830&lt;1.3,"1.2",IF(AO830&lt;1.5,"1.3～1.4",IF(AO830&lt;2,"1.5～1.9","2.0以上"))))))</f>
        <v>欠損</v>
      </c>
      <c r="AQ830" s="8" t="str">
        <f aca="false">IF(A830="","",IF(ISNUMBER(SEARCH("2歳",Z830)),"2歳戦",IF(ISNUMBER(SEARCH("3歳未勝利",Z830)),"3歳未勝利",IF(ISNUMBER(SEARCH("未勝利",Z830)),"その他未勝利",IF(ISNUMBER(SEARCH("G1",Z830)),"G1",IF(ISNUMBER(SEARCH("G2",Z830)),"G2",IF(ISNUMBER(SEARCH("G3",Z830)),"G3",IF(ISNUMBER(SEARCH("古馬条件",Z830)),"古馬条件戦",IF(ISNUMBER(SEARCH("重賞",Z830)),"重賞","分類不能")))))))))</f>
        <v>分類不能</v>
      </c>
      <c r="AR830" s="8"/>
      <c r="AS830" s="8" t="s">
        <v>7626</v>
      </c>
      <c r="AT830" s="8" t="s">
        <v>7627</v>
      </c>
      <c r="AU830" s="8" t="s">
        <v>7628</v>
      </c>
      <c r="AV830" s="8" t="s">
        <v>7629</v>
      </c>
      <c r="AW830" s="8"/>
      <c r="AX830" s="8"/>
      <c r="AY830" s="8" t="s">
        <v>7602</v>
      </c>
      <c r="AZ830" s="4" t="s">
        <v>7603</v>
      </c>
      <c r="BA830" s="8" t="n">
        <v>1800</v>
      </c>
      <c r="BB830" s="8" t="s">
        <v>7634</v>
      </c>
      <c r="BC830" s="4" t="s">
        <v>7604</v>
      </c>
      <c r="BD830" s="8" t="s">
        <v>7625</v>
      </c>
      <c r="BE830" s="4" t="s">
        <v>7606</v>
      </c>
      <c r="BF830" s="8" t="s">
        <v>7607</v>
      </c>
      <c r="BG830" s="8" t="s">
        <v>7631</v>
      </c>
      <c r="BH830" s="4" t="s">
        <v>7632</v>
      </c>
      <c r="BI830" s="8" t="n">
        <v>11</v>
      </c>
      <c r="BJ830" s="8" t="s">
        <v>7602</v>
      </c>
      <c r="BK830" s="4" t="s">
        <v>7653</v>
      </c>
      <c r="BL830" s="8" t="s">
        <v>7602</v>
      </c>
      <c r="BM830" s="4" t="s">
        <v>7620</v>
      </c>
      <c r="BN830" s="8" t="s">
        <v>7631</v>
      </c>
      <c r="BO830" s="8" t="s">
        <v>7680</v>
      </c>
      <c r="BP830" s="8" t="s">
        <v>7608</v>
      </c>
      <c r="BQ830" s="8" t="str">
        <f aca="false">IF(A830="","",AT830)</f>
        <v>3歳以上</v>
      </c>
      <c r="BR830" s="8" t="str">
        <f aca="false">IF(A830="","",IF(BA830&lt;=1200,"～1200",IF(BA830&lt;=1500,"1300～1500",IF(BA830=1600,"1600",IF(BA830&lt;=1800,"1700～1800",IF(BA830&lt;=2000,"1900～2000","2100以上"))))))</f>
        <v>1700～1800</v>
      </c>
      <c r="BS830" s="8" t="str">
        <f aca="false">IF(A830="","",IF(AX830="G1","G1",IF(AX830="G2","G2",IF(AX830="G3","G3",IF(AX830="L","L","その他")))))</f>
        <v>その他</v>
      </c>
      <c r="BT830" s="8" t="str">
        <f aca="false">IF(A830="","",IF(BI830="","未結合",IF(D830=BI830,"一致","不一致")))</f>
        <v>一致</v>
      </c>
      <c r="BU830" s="8" t="str">
        <f aca="false">IF(A830="","",IF(BE830="牝馬限定","牝馬限定","その他"))</f>
        <v>その他</v>
      </c>
    </row>
    <row r="831" customFormat="false" ht="15.75" hidden="false" customHeight="false" outlineLevel="0" collapsed="false">
      <c r="A831" s="6" t="n">
        <f aca="false">DATE(2026,8,23)</f>
        <v>46257</v>
      </c>
      <c r="B831" s="4" t="s">
        <v>334</v>
      </c>
      <c r="C831" s="8" t="n">
        <v>9</v>
      </c>
      <c r="D831" s="8" t="n">
        <v>13</v>
      </c>
      <c r="E831" s="8" t="n">
        <v>2</v>
      </c>
      <c r="F831" s="4" t="s">
        <v>2243</v>
      </c>
      <c r="G831" s="8" t="n">
        <v>52</v>
      </c>
      <c r="H831" s="8" t="n">
        <v>5</v>
      </c>
      <c r="I831" s="8"/>
      <c r="J831" s="8" t="n">
        <v>41</v>
      </c>
      <c r="K831" s="8" t="n">
        <v>9</v>
      </c>
      <c r="L831" s="8"/>
      <c r="M831" s="8" t="n">
        <v>39</v>
      </c>
      <c r="N831" s="8" t="n">
        <f aca="false">IF(A831="","",G831-J831)</f>
        <v>11</v>
      </c>
      <c r="O831" s="8" t="n">
        <f aca="false">IF(A831="","",J831-M831)</f>
        <v>2</v>
      </c>
      <c r="P831" s="8" t="n">
        <f aca="false">IF(A831="","",G831+J831)</f>
        <v>93</v>
      </c>
      <c r="Q831" s="8" t="str">
        <f aca="false">IF(A831="","",IF(AND(Y831&lt;&gt;"参考",G831&gt;=ルール設定!$B$2),"○",""))</f>
        <v/>
      </c>
      <c r="R831" s="8" t="str">
        <f aca="false">IF(A831="","",IF(AND(Y831&lt;&gt;"参考",G831&gt;=ルール設定!$B$3,N831&gt;=ルール設定!$B$4),"○",""))</f>
        <v/>
      </c>
      <c r="S831" s="8" t="str">
        <f aca="false">IF(A831="","",IF(AND(Y831&lt;&gt;"参考",G831&gt;=ルール設定!$B$5,J831&gt;=ルール設定!$B$6,O831&gt;=ルール設定!$B$7),"○",""))</f>
        <v/>
      </c>
      <c r="T831" s="8" t="n">
        <v>2</v>
      </c>
      <c r="U831" s="8" t="n">
        <v>4</v>
      </c>
      <c r="V831" s="8" t="str">
        <f aca="false">IF(A831="","",IF(AND(ISNUMBER(T831),ISNUMBER(U831)),IF(AND(T831&lt;=3,U831&lt;=3),"○","×"),""))</f>
        <v>×</v>
      </c>
      <c r="W831" s="8" t="n">
        <v>240</v>
      </c>
      <c r="X831" s="8"/>
      <c r="Y831" s="4" t="s">
        <v>7597</v>
      </c>
      <c r="Z831" s="8" t="s">
        <v>8010</v>
      </c>
      <c r="AA831" s="8" t="str">
        <v/>
      </c>
      <c r="AB831" s="8" t="str">
        <v/>
      </c>
      <c r="AC831" s="8" t="str">
        <v/>
      </c>
      <c r="AD831" s="8" t="str">
        <v/>
      </c>
      <c r="AE831" s="8" t="str">
        <v/>
      </c>
      <c r="AF831" s="8" t="str">
        <v/>
      </c>
      <c r="AG831" s="8" t="str">
        <v/>
      </c>
      <c r="AH831" s="8" t="str">
        <v/>
      </c>
      <c r="AI831" s="8" t="n">
        <v>13</v>
      </c>
      <c r="AJ831" s="8" t="str">
        <v>～59</v>
      </c>
      <c r="AK831" s="8" t="str">
        <v>10～19</v>
      </c>
      <c r="AL831" s="8" t="str">
        <v>10～19</v>
      </c>
      <c r="AM831" s="8" t="str">
        <v>～99</v>
      </c>
      <c r="AN831" s="8" t="str">
        <v>12～14</v>
      </c>
      <c r="AO831" s="8" t="str">
        <f aca="false">IF(A831="","",IF(COUNTIFS(全馬データ!$A$2:$A$50000,A831,全馬データ!$B$2:$B$50000,B831,全馬データ!$C$2:$C$50000,C831,全馬データ!$D$2:$D$50000,E831,全馬データ!$K$2:$K$50000,"&lt;&gt;")=0,"",SUMIFS(全馬データ!$K$2:$K$50000,全馬データ!$A$2:$A$50000,A831,全馬データ!$B$2:$B$50000,B831,全馬データ!$C$2:$C$50000,C831,全馬データ!$D$2:$D$50000,E831)))</f>
        <v/>
      </c>
      <c r="AP831" s="8" t="str">
        <f aca="false">IF(A831="","",IF(AO831="","欠損",IF(AO831&lt;=1.1,"1.0～1.1",IF(AO831&lt;1.3,"1.2",IF(AO831&lt;1.5,"1.3～1.4",IF(AO831&lt;2,"1.5～1.9","2.0以上"))))))</f>
        <v>欠損</v>
      </c>
      <c r="AQ831" s="8" t="str">
        <f aca="false">IF(A831="","",IF(ISNUMBER(SEARCH("2歳",Z831)),"2歳戦",IF(ISNUMBER(SEARCH("3歳未勝利",Z831)),"3歳未勝利",IF(ISNUMBER(SEARCH("未勝利",Z831)),"その他未勝利",IF(ISNUMBER(SEARCH("G1",Z831)),"G1",IF(ISNUMBER(SEARCH("G2",Z831)),"G2",IF(ISNUMBER(SEARCH("G3",Z831)),"G3",IF(ISNUMBER(SEARCH("古馬条件",Z831)),"古馬条件戦",IF(ISNUMBER(SEARCH("重賞",Z831)),"重賞","分類不能")))))))))</f>
        <v>分類不能</v>
      </c>
      <c r="AR831" s="4" t="s">
        <v>8011</v>
      </c>
      <c r="AS831" s="8" t="s">
        <v>7626</v>
      </c>
      <c r="AT831" s="8" t="s">
        <v>7627</v>
      </c>
      <c r="AU831" s="8" t="s">
        <v>7628</v>
      </c>
      <c r="AV831" s="8" t="s">
        <v>7629</v>
      </c>
      <c r="AW831" s="8" t="s">
        <v>7636</v>
      </c>
      <c r="AX831" s="4" t="s">
        <v>7637</v>
      </c>
      <c r="AY831" s="8" t="s">
        <v>7602</v>
      </c>
      <c r="AZ831" s="4" t="s">
        <v>7603</v>
      </c>
      <c r="BA831" s="8" t="n">
        <v>2000</v>
      </c>
      <c r="BB831" s="8" t="s">
        <v>7634</v>
      </c>
      <c r="BC831" s="4" t="s">
        <v>7604</v>
      </c>
      <c r="BD831" s="8" t="s">
        <v>7605</v>
      </c>
      <c r="BE831" s="4" t="s">
        <v>7606</v>
      </c>
      <c r="BF831" s="8" t="s">
        <v>7607</v>
      </c>
      <c r="BG831" s="8" t="s">
        <v>7631</v>
      </c>
      <c r="BH831" s="4" t="s">
        <v>7632</v>
      </c>
      <c r="BI831" s="8" t="n">
        <v>13</v>
      </c>
      <c r="BJ831" s="8" t="s">
        <v>7602</v>
      </c>
      <c r="BK831" s="4" t="s">
        <v>7653</v>
      </c>
      <c r="BL831" s="8" t="s">
        <v>7602</v>
      </c>
      <c r="BM831" s="4" t="s">
        <v>7620</v>
      </c>
      <c r="BN831" s="8" t="s">
        <v>7631</v>
      </c>
      <c r="BO831" s="8" t="s">
        <v>7680</v>
      </c>
      <c r="BP831" s="8" t="s">
        <v>7608</v>
      </c>
      <c r="BQ831" s="8" t="str">
        <f aca="false">IF(A831="","",AT831)</f>
        <v>3歳以上</v>
      </c>
      <c r="BR831" s="8" t="str">
        <f aca="false">IF(A831="","",IF(BA831&lt;=1200,"～1200",IF(BA831&lt;=1500,"1300～1500",IF(BA831=1600,"1600",IF(BA831&lt;=1800,"1700～1800",IF(BA831&lt;=2000,"1900～2000","2100以上"))))))</f>
        <v>1900～2000</v>
      </c>
      <c r="BS831" s="8" t="str">
        <f aca="false">IF(A831="","",IF(AX831="G1","G1",IF(AX831="G2","G2",IF(AX831="G3","G3",IF(AX831="L","L","その他")))))</f>
        <v>その他</v>
      </c>
      <c r="BT831" s="8" t="str">
        <f aca="false">IF(A831="","",IF(BI831="","未結合",IF(D831=BI831,"一致","不一致")))</f>
        <v>一致</v>
      </c>
      <c r="BU831" s="8" t="str">
        <f aca="false">IF(A831="","",IF(BE831="牝馬限定","牝馬限定","その他"))</f>
        <v>その他</v>
      </c>
    </row>
    <row r="832" customFormat="false" ht="15.75" hidden="false" customHeight="false" outlineLevel="0" collapsed="false">
      <c r="A832" s="6" t="n">
        <f aca="false">DATE(2026,8,23)</f>
        <v>46257</v>
      </c>
      <c r="B832" s="4" t="s">
        <v>334</v>
      </c>
      <c r="C832" s="8" t="n">
        <v>10</v>
      </c>
      <c r="D832" s="8" t="n">
        <v>14</v>
      </c>
      <c r="E832" s="8" t="n">
        <v>3</v>
      </c>
      <c r="F832" s="8"/>
      <c r="G832" s="8" t="n">
        <v>41</v>
      </c>
      <c r="H832" s="8" t="n">
        <v>1</v>
      </c>
      <c r="I832" s="4" t="s">
        <v>5793</v>
      </c>
      <c r="J832" s="8" t="n">
        <v>37</v>
      </c>
      <c r="K832" s="8" t="n">
        <v>7</v>
      </c>
      <c r="L832" s="8"/>
      <c r="M832" s="8" t="n">
        <v>29</v>
      </c>
      <c r="N832" s="8" t="n">
        <f aca="false">IF(A832="","",G832-J832)</f>
        <v>4</v>
      </c>
      <c r="O832" s="8" t="n">
        <f aca="false">IF(A832="","",J832-M832)</f>
        <v>8</v>
      </c>
      <c r="P832" s="8" t="n">
        <f aca="false">IF(A832="","",G832+J832)</f>
        <v>78</v>
      </c>
      <c r="Q832" s="8" t="str">
        <f aca="false">IF(A832="","",IF(AND(Y832&lt;&gt;"参考",G832&gt;=ルール設定!$B$2),"○",""))</f>
        <v/>
      </c>
      <c r="R832" s="8" t="str">
        <f aca="false">IF(A832="","",IF(AND(Y832&lt;&gt;"参考",G832&gt;=ルール設定!$B$3,N832&gt;=ルール設定!$B$4),"○",""))</f>
        <v/>
      </c>
      <c r="S832" s="8" t="str">
        <f aca="false">IF(A832="","",IF(AND(Y832&lt;&gt;"参考",G832&gt;=ルール設定!$B$5,J832&gt;=ルール設定!$B$6,O832&gt;=ルール設定!$B$7),"○",""))</f>
        <v/>
      </c>
      <c r="T832" s="8" t="n">
        <v>4</v>
      </c>
      <c r="U832" s="8" t="n">
        <v>2</v>
      </c>
      <c r="V832" s="8" t="str">
        <f aca="false">IF(A832="","",IF(AND(ISNUMBER(T832),ISNUMBER(U832)),IF(AND(T832&lt;=3,U832&lt;=3),"○","×"),""))</f>
        <v>×</v>
      </c>
      <c r="W832" s="8"/>
      <c r="X832" s="8"/>
      <c r="Y832" s="4" t="s">
        <v>7597</v>
      </c>
      <c r="Z832" s="8" t="s">
        <v>8012</v>
      </c>
      <c r="AA832" s="8" t="str">
        <v/>
      </c>
      <c r="AB832" s="8" t="str">
        <v/>
      </c>
      <c r="AC832" s="8" t="str">
        <v/>
      </c>
      <c r="AD832" s="8" t="str">
        <v/>
      </c>
      <c r="AE832" s="8" t="str">
        <v/>
      </c>
      <c r="AF832" s="8" t="str">
        <v/>
      </c>
      <c r="AG832" s="8" t="str">
        <v/>
      </c>
      <c r="AH832" s="8" t="str">
        <v/>
      </c>
      <c r="AI832" s="8" t="n">
        <v>12</v>
      </c>
      <c r="AJ832" s="8" t="str">
        <v>～59</v>
      </c>
      <c r="AK832" s="8" t="str">
        <v>0～4</v>
      </c>
      <c r="AL832" s="8" t="str">
        <v>10～19</v>
      </c>
      <c r="AM832" s="8" t="str">
        <v>～99</v>
      </c>
      <c r="AN832" s="8" t="str">
        <v>12～14</v>
      </c>
      <c r="AO832" s="8" t="str">
        <f aca="false">IF(A832="","",IF(COUNTIFS(全馬データ!$A$2:$A$50000,A832,全馬データ!$B$2:$B$50000,B832,全馬データ!$C$2:$C$50000,C832,全馬データ!$D$2:$D$50000,E832,全馬データ!$K$2:$K$50000,"&lt;&gt;")=0,"",SUMIFS(全馬データ!$K$2:$K$50000,全馬データ!$A$2:$A$50000,A832,全馬データ!$B$2:$B$50000,B832,全馬データ!$C$2:$C$50000,C832,全馬データ!$D$2:$D$50000,E832)))</f>
        <v/>
      </c>
      <c r="AP832" s="8" t="str">
        <f aca="false">IF(A832="","",IF(AO832="","欠損",IF(AO832&lt;=1.1,"1.0～1.1",IF(AO832&lt;1.3,"1.2",IF(AO832&lt;1.5,"1.3～1.4",IF(AO832&lt;2,"1.5～1.9","2.0以上"))))))</f>
        <v>欠損</v>
      </c>
      <c r="AQ832" s="8" t="str">
        <f aca="false">IF(A832="","",IF(ISNUMBER(SEARCH("2歳",Z832)),"2歳戦",IF(ISNUMBER(SEARCH("3歳未勝利",Z832)),"3歳未勝利",IF(ISNUMBER(SEARCH("未勝利",Z832)),"その他未勝利",IF(ISNUMBER(SEARCH("G1",Z832)),"G1",IF(ISNUMBER(SEARCH("G2",Z832)),"G2",IF(ISNUMBER(SEARCH("G3",Z832)),"G3",IF(ISNUMBER(SEARCH("古馬条件",Z832)),"古馬条件戦",IF(ISNUMBER(SEARCH("重賞",Z832)),"重賞","分類不能")))))))))</f>
        <v>分類不能</v>
      </c>
      <c r="AR832" s="4" t="s">
        <v>8013</v>
      </c>
      <c r="AS832" s="8" t="s">
        <v>7626</v>
      </c>
      <c r="AT832" s="8" t="s">
        <v>7627</v>
      </c>
      <c r="AU832" s="8" t="s">
        <v>7634</v>
      </c>
      <c r="AV832" s="8" t="s">
        <v>7635</v>
      </c>
      <c r="AW832" s="8" t="s">
        <v>7636</v>
      </c>
      <c r="AX832" s="4" t="s">
        <v>7637</v>
      </c>
      <c r="AY832" s="8" t="s">
        <v>7610</v>
      </c>
      <c r="AZ832" s="4" t="s">
        <v>7617</v>
      </c>
      <c r="BA832" s="8" t="n">
        <v>1700</v>
      </c>
      <c r="BB832" s="8" t="s">
        <v>7634</v>
      </c>
      <c r="BC832" s="4" t="s">
        <v>7604</v>
      </c>
      <c r="BD832" s="8" t="s">
        <v>7605</v>
      </c>
      <c r="BE832" s="4" t="s">
        <v>7606</v>
      </c>
      <c r="BF832" s="8" t="s">
        <v>7607</v>
      </c>
      <c r="BG832" s="8" t="s">
        <v>7631</v>
      </c>
      <c r="BH832" s="4" t="s">
        <v>7632</v>
      </c>
      <c r="BI832" s="8" t="n">
        <v>14</v>
      </c>
      <c r="BJ832" s="8" t="s">
        <v>7602</v>
      </c>
      <c r="BK832" s="4" t="s">
        <v>7653</v>
      </c>
      <c r="BL832" s="8" t="s">
        <v>7602</v>
      </c>
      <c r="BM832" s="4" t="s">
        <v>7620</v>
      </c>
      <c r="BN832" s="8"/>
      <c r="BO832" s="8"/>
      <c r="BP832" s="8" t="s">
        <v>7608</v>
      </c>
      <c r="BQ832" s="8" t="str">
        <f aca="false">IF(A832="","",AT832)</f>
        <v>3歳以上</v>
      </c>
      <c r="BR832" s="8" t="str">
        <f aca="false">IF(A832="","",IF(BA832&lt;=1200,"～1200",IF(BA832&lt;=1500,"1300～1500",IF(BA832=1600,"1600",IF(BA832&lt;=1800,"1700～1800",IF(BA832&lt;=2000,"1900～2000","2100以上"))))))</f>
        <v>1700～1800</v>
      </c>
      <c r="BS832" s="8" t="str">
        <f aca="false">IF(A832="","",IF(AX832="G1","G1",IF(AX832="G2","G2",IF(AX832="G3","G3",IF(AX832="L","L","その他")))))</f>
        <v>その他</v>
      </c>
      <c r="BT832" s="8" t="str">
        <f aca="false">IF(A832="","",IF(BI832="","未結合",IF(D832=BI832,"一致","不一致")))</f>
        <v>一致</v>
      </c>
      <c r="BU832" s="8" t="str">
        <f aca="false">IF(A832="","",IF(BE832="牝馬限定","牝馬限定","その他"))</f>
        <v>その他</v>
      </c>
    </row>
    <row r="833" customFormat="false" ht="15.75" hidden="false" customHeight="false" outlineLevel="0" collapsed="false">
      <c r="A833" s="6" t="n">
        <f aca="false">DATE(2026,8,23)</f>
        <v>46257</v>
      </c>
      <c r="B833" s="4" t="s">
        <v>334</v>
      </c>
      <c r="C833" s="8" t="n">
        <v>11</v>
      </c>
      <c r="D833" s="8" t="n">
        <v>16</v>
      </c>
      <c r="E833" s="8" t="n">
        <v>3</v>
      </c>
      <c r="F833" s="4" t="s">
        <v>4770</v>
      </c>
      <c r="G833" s="8" t="n">
        <v>71</v>
      </c>
      <c r="H833" s="8" t="n">
        <v>8</v>
      </c>
      <c r="I833" s="4" t="s">
        <v>6555</v>
      </c>
      <c r="J833" s="8" t="n">
        <v>37</v>
      </c>
      <c r="K833" s="8" t="n">
        <v>4</v>
      </c>
      <c r="L833" s="8"/>
      <c r="M833" s="8" t="n">
        <v>34</v>
      </c>
      <c r="N833" s="8" t="n">
        <f aca="false">IF(A833="","",G833-J833)</f>
        <v>34</v>
      </c>
      <c r="O833" s="8" t="n">
        <f aca="false">IF(A833="","",J833-M833)</f>
        <v>3</v>
      </c>
      <c r="P833" s="8" t="n">
        <f aca="false">IF(A833="","",G833+J833)</f>
        <v>108</v>
      </c>
      <c r="Q833" s="8" t="str">
        <f aca="false">IF(A833="","",IF(AND(Y833&lt;&gt;"参考",G833&gt;=ルール設定!$B$2),"○",""))</f>
        <v/>
      </c>
      <c r="R833" s="8" t="str">
        <f aca="false">IF(A833="","",IF(AND(Y833&lt;&gt;"参考",G833&gt;=ルール設定!$B$3,N833&gt;=ルール設定!$B$4),"○",""))</f>
        <v>○</v>
      </c>
      <c r="S833" s="8" t="str">
        <f aca="false">IF(A833="","",IF(AND(Y833&lt;&gt;"参考",G833&gt;=ルール設定!$B$5,J833&gt;=ルール設定!$B$6,O833&gt;=ルール設定!$B$7),"○",""))</f>
        <v/>
      </c>
      <c r="T833" s="8" t="n">
        <v>2</v>
      </c>
      <c r="U833" s="8" t="n">
        <v>3</v>
      </c>
      <c r="V833" s="8" t="str">
        <f aca="false">IF(A833="","",IF(AND(ISNUMBER(T833),ISNUMBER(U833)),IF(AND(T833&lt;=3,U833&lt;=3),"○","×"),""))</f>
        <v>○</v>
      </c>
      <c r="W833" s="8" t="n">
        <v>110</v>
      </c>
      <c r="X833" s="8" t="n">
        <v>480</v>
      </c>
      <c r="Y833" s="4" t="s">
        <v>7597</v>
      </c>
      <c r="Z833" s="8" t="s">
        <v>8014</v>
      </c>
      <c r="AA833" s="8" t="str">
        <v/>
      </c>
      <c r="AB833" s="8" t="str">
        <v/>
      </c>
      <c r="AC833" s="8" t="str">
        <v/>
      </c>
      <c r="AD833" s="8" t="str">
        <v/>
      </c>
      <c r="AE833" s="8" t="str">
        <v>○</v>
      </c>
      <c r="AF833" s="8" t="str">
        <v/>
      </c>
      <c r="AG833" s="8" t="str">
        <v/>
      </c>
      <c r="AH833" s="8" t="str">
        <v/>
      </c>
      <c r="AI833" s="8" t="n">
        <v>37</v>
      </c>
      <c r="AJ833" s="8" t="str">
        <v>70～74</v>
      </c>
      <c r="AK833" s="8" t="str">
        <v>30以上</v>
      </c>
      <c r="AL833" s="8" t="str">
        <v>30～39</v>
      </c>
      <c r="AM833" s="8" t="str">
        <v>100～119</v>
      </c>
      <c r="AN833" s="8" t="str">
        <v>15以上</v>
      </c>
      <c r="AO833" s="8" t="str">
        <f aca="false">IF(A833="","",IF(COUNTIFS(全馬データ!$A$2:$A$50000,A833,全馬データ!$B$2:$B$50000,B833,全馬データ!$C$2:$C$50000,C833,全馬データ!$D$2:$D$50000,E833,全馬データ!$K$2:$K$50000,"&lt;&gt;")=0,"",SUMIFS(全馬データ!$K$2:$K$50000,全馬データ!$A$2:$A$50000,A833,全馬データ!$B$2:$B$50000,B833,全馬データ!$C$2:$C$50000,C833,全馬データ!$D$2:$D$50000,E833)))</f>
        <v/>
      </c>
      <c r="AP833" s="8" t="str">
        <f aca="false">IF(A833="","",IF(AO833="","欠損",IF(AO833&lt;=1.1,"1.0～1.1",IF(AO833&lt;1.3,"1.2",IF(AO833&lt;1.5,"1.3～1.4",IF(AO833&lt;2,"1.5～1.9","2.0以上"))))))</f>
        <v>欠損</v>
      </c>
      <c r="AQ833" s="8" t="str">
        <f aca="false">IF(A833="","",IF(ISNUMBER(SEARCH("2歳",Z833)),"2歳戦",IF(ISNUMBER(SEARCH("3歳未勝利",Z833)),"3歳未勝利",IF(ISNUMBER(SEARCH("未勝利",Z833)),"その他未勝利",IF(ISNUMBER(SEARCH("G1",Z833)),"G1",IF(ISNUMBER(SEARCH("G2",Z833)),"G2",IF(ISNUMBER(SEARCH("G3",Z833)),"G3",IF(ISNUMBER(SEARCH("古馬条件",Z833)),"古馬条件戦",IF(ISNUMBER(SEARCH("重賞",Z833)),"重賞","分類不能")))))))))</f>
        <v>分類不能</v>
      </c>
      <c r="AR833" s="4" t="s">
        <v>8015</v>
      </c>
      <c r="AS833" s="8" t="s">
        <v>7626</v>
      </c>
      <c r="AT833" s="8" t="s">
        <v>7627</v>
      </c>
      <c r="AU833" s="8" t="s">
        <v>7643</v>
      </c>
      <c r="AV833" s="4" t="s">
        <v>7644</v>
      </c>
      <c r="AW833" s="8" t="s">
        <v>7608</v>
      </c>
      <c r="AX833" s="8" t="s">
        <v>7664</v>
      </c>
      <c r="AY833" s="8" t="s">
        <v>7602</v>
      </c>
      <c r="AZ833" s="4" t="s">
        <v>7603</v>
      </c>
      <c r="BA833" s="8" t="n">
        <v>1200</v>
      </c>
      <c r="BB833" s="8" t="s">
        <v>7634</v>
      </c>
      <c r="BC833" s="4" t="s">
        <v>7604</v>
      </c>
      <c r="BD833" s="8" t="s">
        <v>7672</v>
      </c>
      <c r="BE833" s="4" t="s">
        <v>7606</v>
      </c>
      <c r="BF833" s="8" t="s">
        <v>7607</v>
      </c>
      <c r="BG833" s="8" t="s">
        <v>7610</v>
      </c>
      <c r="BH833" s="4" t="s">
        <v>7646</v>
      </c>
      <c r="BI833" s="8" t="n">
        <v>16</v>
      </c>
      <c r="BJ833" s="8" t="s">
        <v>7602</v>
      </c>
      <c r="BK833" s="4" t="s">
        <v>7653</v>
      </c>
      <c r="BL833" s="8" t="s">
        <v>7602</v>
      </c>
      <c r="BM833" s="4" t="s">
        <v>7620</v>
      </c>
      <c r="BN833" s="8" t="s">
        <v>7631</v>
      </c>
      <c r="BO833" s="8" t="s">
        <v>7680</v>
      </c>
      <c r="BP833" s="8" t="s">
        <v>7608</v>
      </c>
      <c r="BQ833" s="8" t="str">
        <f aca="false">IF(A833="","",AT833)</f>
        <v>3歳以上</v>
      </c>
      <c r="BR833" s="8" t="str">
        <f aca="false">IF(A833="","",IF(BA833&lt;=1200,"～1200",IF(BA833&lt;=1500,"1300～1500",IF(BA833=1600,"1600",IF(BA833&lt;=1800,"1700～1800",IF(BA833&lt;=2000,"1900～2000","2100以上"))))))</f>
        <v>～1200</v>
      </c>
      <c r="BS833" s="8" t="str">
        <f aca="false">IF(A833="","",IF(AX833="G1","G1",IF(AX833="G2","G2",IF(AX833="G3","G3",IF(AX833="L","L","その他")))))</f>
        <v>G3</v>
      </c>
      <c r="BT833" s="8" t="str">
        <f aca="false">IF(A833="","",IF(BI833="","未結合",IF(D833=BI833,"一致","不一致")))</f>
        <v>一致</v>
      </c>
      <c r="BU833" s="8" t="str">
        <f aca="false">IF(A833="","",IF(BE833="牝馬限定","牝馬限定","その他"))</f>
        <v>その他</v>
      </c>
    </row>
    <row r="834" customFormat="false" ht="15.75" hidden="false" customHeight="false" outlineLevel="0" collapsed="false">
      <c r="A834" s="6" t="n">
        <f aca="false">DATE(2026,8,23)</f>
        <v>46257</v>
      </c>
      <c r="B834" s="4" t="s">
        <v>334</v>
      </c>
      <c r="C834" s="8" t="n">
        <v>12</v>
      </c>
      <c r="D834" s="8" t="n">
        <v>14</v>
      </c>
      <c r="E834" s="8" t="n">
        <v>14</v>
      </c>
      <c r="F834" s="4" t="s">
        <v>3093</v>
      </c>
      <c r="G834" s="8" t="n">
        <v>47</v>
      </c>
      <c r="H834" s="8" t="n">
        <v>12</v>
      </c>
      <c r="I834" s="4" t="s">
        <v>3827</v>
      </c>
      <c r="J834" s="8" t="n">
        <v>37</v>
      </c>
      <c r="K834" s="8" t="n">
        <v>9</v>
      </c>
      <c r="L834" s="8"/>
      <c r="M834" s="8" t="n">
        <v>34</v>
      </c>
      <c r="N834" s="8" t="n">
        <f aca="false">IF(A834="","",G834-J834)</f>
        <v>10</v>
      </c>
      <c r="O834" s="8" t="n">
        <f aca="false">IF(A834="","",J834-M834)</f>
        <v>3</v>
      </c>
      <c r="P834" s="8" t="n">
        <f aca="false">IF(A834="","",G834+J834)</f>
        <v>84</v>
      </c>
      <c r="Q834" s="8" t="str">
        <f aca="false">IF(A834="","",IF(AND(Y834&lt;&gt;"参考",G834&gt;=ルール設定!$B$2),"○",""))</f>
        <v/>
      </c>
      <c r="R834" s="8" t="str">
        <f aca="false">IF(A834="","",IF(AND(Y834&lt;&gt;"参考",G834&gt;=ルール設定!$B$3,N834&gt;=ルール設定!$B$4),"○",""))</f>
        <v/>
      </c>
      <c r="S834" s="8" t="str">
        <f aca="false">IF(A834="","",IF(AND(Y834&lt;&gt;"参考",G834&gt;=ルール設定!$B$5,J834&gt;=ルール設定!$B$6,O834&gt;=ルール設定!$B$7),"○",""))</f>
        <v/>
      </c>
      <c r="T834" s="8" t="n">
        <v>3</v>
      </c>
      <c r="U834" s="8" t="n">
        <v>1</v>
      </c>
      <c r="V834" s="8" t="str">
        <f aca="false">IF(A834="","",IF(AND(ISNUMBER(T834),ISNUMBER(U834)),IF(AND(T834&lt;=3,U834&lt;=3),"○","×"),""))</f>
        <v>○</v>
      </c>
      <c r="W834" s="8" t="n">
        <v>260</v>
      </c>
      <c r="X834" s="8" t="n">
        <v>760</v>
      </c>
      <c r="Y834" s="4" t="s">
        <v>7597</v>
      </c>
      <c r="Z834" s="8" t="s">
        <v>8016</v>
      </c>
      <c r="AA834" s="8" t="str">
        <v/>
      </c>
      <c r="AB834" s="8" t="str">
        <v/>
      </c>
      <c r="AC834" s="8" t="str">
        <v/>
      </c>
      <c r="AD834" s="8" t="str">
        <v/>
      </c>
      <c r="AE834" s="8" t="str">
        <v/>
      </c>
      <c r="AF834" s="8" t="str">
        <v/>
      </c>
      <c r="AG834" s="8" t="str">
        <v/>
      </c>
      <c r="AH834" s="8" t="str">
        <v/>
      </c>
      <c r="AI834" s="8" t="n">
        <v>13</v>
      </c>
      <c r="AJ834" s="8" t="str">
        <v>～59</v>
      </c>
      <c r="AK834" s="8" t="str">
        <v>10～19</v>
      </c>
      <c r="AL834" s="8" t="str">
        <v>10～19</v>
      </c>
      <c r="AM834" s="8" t="str">
        <v>～99</v>
      </c>
      <c r="AN834" s="8" t="str">
        <v>12～14</v>
      </c>
      <c r="AO834" s="8" t="str">
        <f aca="false">IF(A834="","",IF(COUNTIFS(全馬データ!$A$2:$A$50000,A834,全馬データ!$B$2:$B$50000,B834,全馬データ!$C$2:$C$50000,C834,全馬データ!$D$2:$D$50000,E834,全馬データ!$K$2:$K$50000,"&lt;&gt;")=0,"",SUMIFS(全馬データ!$K$2:$K$50000,全馬データ!$A$2:$A$50000,A834,全馬データ!$B$2:$B$50000,B834,全馬データ!$C$2:$C$50000,C834,全馬データ!$D$2:$D$50000,E834)))</f>
        <v/>
      </c>
      <c r="AP834" s="8" t="str">
        <f aca="false">IF(A834="","",IF(AO834="","欠損",IF(AO834&lt;=1.1,"1.0～1.1",IF(AO834&lt;1.3,"1.2",IF(AO834&lt;1.5,"1.3～1.4",IF(AO834&lt;2,"1.5～1.9","2.0以上"))))))</f>
        <v>欠損</v>
      </c>
      <c r="AQ834" s="8" t="str">
        <f aca="false">IF(A834="","",IF(ISNUMBER(SEARCH("2歳",Z834)),"2歳戦",IF(ISNUMBER(SEARCH("3歳未勝利",Z834)),"3歳未勝利",IF(ISNUMBER(SEARCH("未勝利",Z834)),"その他未勝利",IF(ISNUMBER(SEARCH("G1",Z834)),"G1",IF(ISNUMBER(SEARCH("G2",Z834)),"G2",IF(ISNUMBER(SEARCH("G3",Z834)),"G3",IF(ISNUMBER(SEARCH("古馬条件",Z834)),"古馬条件戦",IF(ISNUMBER(SEARCH("重賞",Z834)),"重賞","分類不能")))))))))</f>
        <v>分類不能</v>
      </c>
      <c r="AR834" s="4" t="s">
        <v>8017</v>
      </c>
      <c r="AS834" s="8" t="s">
        <v>7626</v>
      </c>
      <c r="AT834" s="8" t="s">
        <v>7627</v>
      </c>
      <c r="AU834" s="8" t="s">
        <v>7634</v>
      </c>
      <c r="AV834" s="8" t="s">
        <v>7635</v>
      </c>
      <c r="AW834" s="8" t="s">
        <v>7636</v>
      </c>
      <c r="AX834" s="4" t="s">
        <v>7637</v>
      </c>
      <c r="AY834" s="8" t="s">
        <v>7602</v>
      </c>
      <c r="AZ834" s="4" t="s">
        <v>7603</v>
      </c>
      <c r="BA834" s="8" t="n">
        <v>1800</v>
      </c>
      <c r="BB834" s="8" t="s">
        <v>7634</v>
      </c>
      <c r="BC834" s="4" t="s">
        <v>7604</v>
      </c>
      <c r="BD834" s="8" t="s">
        <v>7605</v>
      </c>
      <c r="BE834" s="4" t="s">
        <v>7606</v>
      </c>
      <c r="BF834" s="8" t="s">
        <v>7607</v>
      </c>
      <c r="BG834" s="8" t="s">
        <v>7631</v>
      </c>
      <c r="BH834" s="4" t="s">
        <v>7632</v>
      </c>
      <c r="BI834" s="8" t="n">
        <v>14</v>
      </c>
      <c r="BJ834" s="8" t="s">
        <v>7602</v>
      </c>
      <c r="BK834" s="4" t="s">
        <v>7653</v>
      </c>
      <c r="BL834" s="8" t="s">
        <v>7602</v>
      </c>
      <c r="BM834" s="4" t="s">
        <v>7620</v>
      </c>
      <c r="BN834" s="8" t="s">
        <v>7631</v>
      </c>
      <c r="BO834" s="8" t="s">
        <v>7680</v>
      </c>
      <c r="BP834" s="8" t="s">
        <v>7608</v>
      </c>
      <c r="BQ834" s="8" t="str">
        <f aca="false">IF(A834="","",AT834)</f>
        <v>3歳以上</v>
      </c>
      <c r="BR834" s="8" t="str">
        <f aca="false">IF(A834="","",IF(BA834&lt;=1200,"～1200",IF(BA834&lt;=1500,"1300～1500",IF(BA834=1600,"1600",IF(BA834&lt;=1800,"1700～1800",IF(BA834&lt;=2000,"1900～2000","2100以上"))))))</f>
        <v>1700～1800</v>
      </c>
      <c r="BS834" s="8" t="str">
        <f aca="false">IF(A834="","",IF(AX834="G1","G1",IF(AX834="G2","G2",IF(AX834="G3","G3",IF(AX834="L","L","その他")))))</f>
        <v>その他</v>
      </c>
      <c r="BT834" s="8" t="str">
        <f aca="false">IF(A834="","",IF(BI834="","未結合",IF(D834=BI834,"一致","不一致")))</f>
        <v>一致</v>
      </c>
      <c r="BU834" s="8" t="str">
        <f aca="false">IF(A834="","",IF(BE834="牝馬限定","牝馬限定","その他"))</f>
        <v>その他</v>
      </c>
    </row>
    <row r="835" customFormat="false" ht="15.75" hidden="false" customHeight="false" outlineLevel="0" collapsed="false">
      <c r="A835" s="6" t="n">
        <f aca="false">DATE(2026,8,15)</f>
        <v>46249</v>
      </c>
      <c r="B835" s="4" t="s">
        <v>179</v>
      </c>
      <c r="C835" s="8" t="n">
        <v>2</v>
      </c>
      <c r="D835" s="8" t="n">
        <v>15</v>
      </c>
      <c r="E835" s="8" t="n">
        <v>7</v>
      </c>
      <c r="F835" s="4" t="s">
        <v>3813</v>
      </c>
      <c r="G835" s="8" t="n">
        <v>44</v>
      </c>
      <c r="H835" s="8" t="n">
        <v>14</v>
      </c>
      <c r="I835" s="4" t="s">
        <v>3973</v>
      </c>
      <c r="J835" s="8" t="n">
        <v>39</v>
      </c>
      <c r="K835" s="8" t="n">
        <v>9</v>
      </c>
      <c r="L835" s="4" t="s">
        <v>3422</v>
      </c>
      <c r="M835" s="8" t="n">
        <v>37</v>
      </c>
      <c r="N835" s="8" t="n">
        <f aca="false">IF(A835="","",G835-J835)</f>
        <v>5</v>
      </c>
      <c r="O835" s="8" t="n">
        <f aca="false">IF(A835="","",J835-M835)</f>
        <v>2</v>
      </c>
      <c r="P835" s="8" t="n">
        <f aca="false">IF(A835="","",G835+J835)</f>
        <v>83</v>
      </c>
      <c r="Q835" s="8" t="str">
        <f aca="false">IF(A835="","",IF(AND(Y835&lt;&gt;"参考",G835&gt;=ルール設定!$B$2),"○",""))</f>
        <v/>
      </c>
      <c r="R835" s="8" t="str">
        <f aca="false">IF(A835="","",IF(AND(Y835&lt;&gt;"参考",G835&gt;=ルール設定!$B$3,N835&gt;=ルール設定!$B$4),"○",""))</f>
        <v/>
      </c>
      <c r="S835" s="8" t="str">
        <f aca="false">IF(A835="","",IF(AND(Y835&lt;&gt;"参考",G835&gt;=ルール設定!$B$5,J835&gt;=ルール設定!$B$6,O835&gt;=ルール設定!$B$7),"○",""))</f>
        <v/>
      </c>
      <c r="T835" s="8" t="n">
        <v>1</v>
      </c>
      <c r="U835" s="8" t="n">
        <v>4</v>
      </c>
      <c r="V835" s="8" t="str">
        <f aca="false">IF(A835="","",IF(AND(ISNUMBER(T835),ISNUMBER(U835)),IF(AND(T835&lt;=3,U835&lt;=3),"○","×"),""))</f>
        <v>×</v>
      </c>
      <c r="W835" s="8" t="n">
        <v>150</v>
      </c>
      <c r="X835" s="8"/>
      <c r="Y835" s="4" t="s">
        <v>7597</v>
      </c>
      <c r="Z835" s="8" t="s">
        <v>8018</v>
      </c>
      <c r="AA835" s="8" t="str">
        <v/>
      </c>
      <c r="AB835" s="8" t="str">
        <v/>
      </c>
      <c r="AC835" s="8" t="str">
        <v/>
      </c>
      <c r="AD835" s="8" t="str">
        <v/>
      </c>
      <c r="AE835" s="8" t="str">
        <v/>
      </c>
      <c r="AF835" s="8" t="str">
        <v/>
      </c>
      <c r="AG835" s="8" t="str">
        <v/>
      </c>
      <c r="AH835" s="8" t="str">
        <v/>
      </c>
      <c r="AI835" s="8" t="n">
        <v>7</v>
      </c>
      <c r="AJ835" s="8" t="str">
        <v>～59</v>
      </c>
      <c r="AK835" s="8" t="str">
        <v>5～9</v>
      </c>
      <c r="AL835" s="8" t="str">
        <v>0～9</v>
      </c>
      <c r="AM835" s="8" t="str">
        <v>～99</v>
      </c>
      <c r="AN835" s="8" t="str">
        <v>15以上</v>
      </c>
      <c r="AO835" s="8" t="str">
        <f aca="false">IF(A835="","",IF(COUNTIFS(全馬データ!$A$2:$A$50000,A835,全馬データ!$B$2:$B$50000,B835,全馬データ!$C$2:$C$50000,C835,全馬データ!$D$2:$D$50000,E835,全馬データ!$K$2:$K$50000,"&lt;&gt;")=0,"",SUMIFS(全馬データ!$K$2:$K$50000,全馬データ!$A$2:$A$50000,A835,全馬データ!$B$2:$B$50000,B835,全馬データ!$C$2:$C$50000,C835,全馬データ!$D$2:$D$50000,E835)))</f>
        <v/>
      </c>
      <c r="AP835" s="8" t="str">
        <f aca="false">IF(A835="","",IF(AO835="","欠損",IF(AO835&lt;=1.1,"1.0～1.1",IF(AO835&lt;1.3,"1.2",IF(AO835&lt;1.5,"1.3～1.4",IF(AO835&lt;2,"1.5～1.9","2.0以上"))))))</f>
        <v>欠損</v>
      </c>
      <c r="AQ835" s="8" t="str">
        <f aca="false">IF(A835="","",IF(ISNUMBER(SEARCH("2歳",Z835)),"2歳戦",IF(ISNUMBER(SEARCH("3歳未勝利",Z835)),"3歳未勝利",IF(ISNUMBER(SEARCH("未勝利",Z835)),"その他未勝利",IF(ISNUMBER(SEARCH("G1",Z835)),"G1",IF(ISNUMBER(SEARCH("G2",Z835)),"G2",IF(ISNUMBER(SEARCH("G3",Z835)),"G3",IF(ISNUMBER(SEARCH("古馬条件",Z835)),"古馬条件戦",IF(ISNUMBER(SEARCH("重賞",Z835)),"重賞","分類不能")))))))))</f>
        <v>分類不能</v>
      </c>
      <c r="AR835" s="8"/>
      <c r="AS835" s="8" t="s">
        <v>7623</v>
      </c>
      <c r="AT835" s="8" t="s">
        <v>7624</v>
      </c>
      <c r="AU835" s="8" t="s">
        <v>7600</v>
      </c>
      <c r="AV835" s="4" t="s">
        <v>7601</v>
      </c>
      <c r="AW835" s="8"/>
      <c r="AX835" s="8"/>
      <c r="AY835" s="8" t="s">
        <v>7602</v>
      </c>
      <c r="AZ835" s="4" t="s">
        <v>7603</v>
      </c>
      <c r="BA835" s="8" t="n">
        <v>1400</v>
      </c>
      <c r="BB835" s="8" t="s">
        <v>7598</v>
      </c>
      <c r="BC835" s="4" t="s">
        <v>7604</v>
      </c>
      <c r="BD835" s="8" t="s">
        <v>7605</v>
      </c>
      <c r="BE835" s="4" t="s">
        <v>7606</v>
      </c>
      <c r="BF835" s="8" t="s">
        <v>7607</v>
      </c>
      <c r="BG835" s="8" t="s">
        <v>7608</v>
      </c>
      <c r="BH835" s="4" t="s">
        <v>7609</v>
      </c>
      <c r="BI835" s="8" t="n">
        <v>15</v>
      </c>
      <c r="BJ835" s="8" t="s">
        <v>7610</v>
      </c>
      <c r="BK835" s="4" t="s">
        <v>7611</v>
      </c>
      <c r="BL835" s="8" t="s">
        <v>7602</v>
      </c>
      <c r="BM835" s="4" t="s">
        <v>7620</v>
      </c>
      <c r="BN835" s="8" t="s">
        <v>7602</v>
      </c>
      <c r="BO835" s="8" t="s">
        <v>7613</v>
      </c>
      <c r="BP835" s="8" t="s">
        <v>7610</v>
      </c>
      <c r="BQ835" s="8" t="str">
        <f aca="false">IF(A835="","",AT835)</f>
        <v>3歳</v>
      </c>
      <c r="BR835" s="8" t="str">
        <f aca="false">IF(A835="","",IF(BA835&lt;=1200,"～1200",IF(BA835&lt;=1500,"1300～1500",IF(BA835=1600,"1600",IF(BA835&lt;=1800,"1700～1800",IF(BA835&lt;=2000,"1900～2000","2100以上"))))))</f>
        <v>1300～1500</v>
      </c>
      <c r="BS835" s="8" t="str">
        <f aca="false">IF(A835="","",IF(AX835="G1","G1",IF(AX835="G2","G2",IF(AX835="G3","G3",IF(AX835="L","L","その他")))))</f>
        <v>その他</v>
      </c>
      <c r="BT835" s="8" t="str">
        <f aca="false">IF(A835="","",IF(BI835="","未結合",IF(D835=BI835,"一致","不一致")))</f>
        <v>一致</v>
      </c>
      <c r="BU835" s="8" t="str">
        <f aca="false">IF(A835="","",IF(BE835="牝馬限定","牝馬限定","その他"))</f>
        <v>その他</v>
      </c>
    </row>
    <row r="836" customFormat="false" ht="15.75" hidden="false" customHeight="false" outlineLevel="0" collapsed="false">
      <c r="A836" s="6" t="n">
        <f aca="false">DATE(2026,8,15)</f>
        <v>46249</v>
      </c>
      <c r="B836" s="4" t="s">
        <v>179</v>
      </c>
      <c r="C836" s="8" t="n">
        <v>3</v>
      </c>
      <c r="D836" s="8" t="n">
        <v>7</v>
      </c>
      <c r="E836" s="8" t="n">
        <v>4</v>
      </c>
      <c r="F836" s="4" t="s">
        <v>6567</v>
      </c>
      <c r="G836" s="8" t="n">
        <v>37</v>
      </c>
      <c r="H836" s="8" t="n">
        <v>6</v>
      </c>
      <c r="I836" s="4" t="s">
        <v>6569</v>
      </c>
      <c r="J836" s="8" t="n">
        <v>37</v>
      </c>
      <c r="K836" s="8" t="n">
        <v>3</v>
      </c>
      <c r="L836" s="4" t="s">
        <v>6566</v>
      </c>
      <c r="M836" s="8" t="n">
        <v>27</v>
      </c>
      <c r="N836" s="8" t="n">
        <f aca="false">IF(A836="","",G836-J836)</f>
        <v>0</v>
      </c>
      <c r="O836" s="8" t="n">
        <f aca="false">IF(A836="","",J836-M836)</f>
        <v>10</v>
      </c>
      <c r="P836" s="8" t="n">
        <f aca="false">IF(A836="","",G836+J836)</f>
        <v>74</v>
      </c>
      <c r="Q836" s="8" t="str">
        <f aca="false">IF(A836="","",IF(AND(Y836&lt;&gt;"参考",G836&gt;=ルール設定!$B$2),"○",""))</f>
        <v/>
      </c>
      <c r="R836" s="8" t="str">
        <f aca="false">IF(A836="","",IF(AND(Y836&lt;&gt;"参考",G836&gt;=ルール設定!$B$3,N836&gt;=ルール設定!$B$4),"○",""))</f>
        <v/>
      </c>
      <c r="S836" s="8" t="str">
        <f aca="false">IF(A836="","",IF(AND(Y836&lt;&gt;"参考",G836&gt;=ルール設定!$B$5,J836&gt;=ルール設定!$B$6,O836&gt;=ルール設定!$B$7),"○",""))</f>
        <v/>
      </c>
      <c r="T836" s="8" t="n">
        <v>4</v>
      </c>
      <c r="U836" s="8" t="n">
        <v>2</v>
      </c>
      <c r="V836" s="8" t="str">
        <f aca="false">IF(A836="","",IF(AND(ISNUMBER(T836),ISNUMBER(U836)),IF(AND(T836&lt;=3,U836&lt;=3),"○","×"),""))</f>
        <v>×</v>
      </c>
      <c r="W836" s="8"/>
      <c r="X836" s="8"/>
      <c r="Y836" s="4" t="s">
        <v>7597</v>
      </c>
      <c r="Z836" s="8" t="s">
        <v>8019</v>
      </c>
      <c r="AA836" s="8" t="str">
        <v/>
      </c>
      <c r="AB836" s="8" t="str">
        <v/>
      </c>
      <c r="AC836" s="8" t="str">
        <v/>
      </c>
      <c r="AD836" s="8" t="str">
        <v/>
      </c>
      <c r="AE836" s="8" t="str">
        <v/>
      </c>
      <c r="AF836" s="8" t="str">
        <v/>
      </c>
      <c r="AG836" s="8" t="str">
        <v/>
      </c>
      <c r="AH836" s="8" t="str">
        <v/>
      </c>
      <c r="AI836" s="8" t="n">
        <v>10</v>
      </c>
      <c r="AJ836" s="8" t="str">
        <v>～59</v>
      </c>
      <c r="AK836" s="8" t="str">
        <v>0～4</v>
      </c>
      <c r="AL836" s="8" t="str">
        <v>10～19</v>
      </c>
      <c r="AM836" s="8" t="str">
        <v>～99</v>
      </c>
      <c r="AN836" s="8" t="str">
        <v>7以下</v>
      </c>
      <c r="AO836" s="8" t="str">
        <f aca="false">IF(A836="","",IF(COUNTIFS(全馬データ!$A$2:$A$50000,A836,全馬データ!$B$2:$B$50000,B836,全馬データ!$C$2:$C$50000,C836,全馬データ!$D$2:$D$50000,E836,全馬データ!$K$2:$K$50000,"&lt;&gt;")=0,"",SUMIFS(全馬データ!$K$2:$K$50000,全馬データ!$A$2:$A$50000,A836,全馬データ!$B$2:$B$50000,B836,全馬データ!$C$2:$C$50000,C836,全馬データ!$D$2:$D$50000,E836)))</f>
        <v/>
      </c>
      <c r="AP836" s="8" t="str">
        <f aca="false">IF(A836="","",IF(AO836="","欠損",IF(AO836&lt;=1.1,"1.0～1.1",IF(AO836&lt;1.3,"1.2",IF(AO836&lt;1.5,"1.3～1.4",IF(AO836&lt;2,"1.5～1.9","2.0以上"))))))</f>
        <v>欠損</v>
      </c>
      <c r="AQ836" s="8" t="str">
        <f aca="false">IF(A836="","",IF(ISNUMBER(SEARCH("2歳",Z836)),"2歳戦",IF(ISNUMBER(SEARCH("3歳未勝利",Z836)),"3歳未勝利",IF(ISNUMBER(SEARCH("未勝利",Z836)),"その他未勝利",IF(ISNUMBER(SEARCH("G1",Z836)),"G1",IF(ISNUMBER(SEARCH("G2",Z836)),"G2",IF(ISNUMBER(SEARCH("G3",Z836)),"G3",IF(ISNUMBER(SEARCH("古馬条件",Z836)),"古馬条件戦",IF(ISNUMBER(SEARCH("重賞",Z836)),"重賞","分類不能")))))))))</f>
        <v>分類不能</v>
      </c>
      <c r="AR836" s="8"/>
      <c r="AS836" s="8" t="s">
        <v>7598</v>
      </c>
      <c r="AT836" s="8" t="s">
        <v>7599</v>
      </c>
      <c r="AU836" s="8" t="s">
        <v>7615</v>
      </c>
      <c r="AV836" s="4" t="s">
        <v>7616</v>
      </c>
      <c r="AW836" s="8"/>
      <c r="AX836" s="8"/>
      <c r="AY836" s="8" t="s">
        <v>7602</v>
      </c>
      <c r="AZ836" s="4" t="s">
        <v>7603</v>
      </c>
      <c r="BA836" s="8" t="n">
        <v>1200</v>
      </c>
      <c r="BB836" s="8" t="s">
        <v>7598</v>
      </c>
      <c r="BC836" s="4" t="s">
        <v>7604</v>
      </c>
      <c r="BD836" s="8" t="s">
        <v>7605</v>
      </c>
      <c r="BE836" s="4" t="s">
        <v>7606</v>
      </c>
      <c r="BF836" s="8" t="s">
        <v>7607</v>
      </c>
      <c r="BG836" s="8" t="s">
        <v>7608</v>
      </c>
      <c r="BH836" s="4" t="s">
        <v>7609</v>
      </c>
      <c r="BI836" s="8" t="n">
        <v>7</v>
      </c>
      <c r="BJ836" s="8" t="s">
        <v>7610</v>
      </c>
      <c r="BK836" s="4" t="s">
        <v>7611</v>
      </c>
      <c r="BL836" s="8" t="s">
        <v>7602</v>
      </c>
      <c r="BM836" s="4" t="s">
        <v>7620</v>
      </c>
      <c r="BN836" s="8" t="s">
        <v>7602</v>
      </c>
      <c r="BO836" s="8" t="s">
        <v>7613</v>
      </c>
      <c r="BP836" s="8" t="s">
        <v>7610</v>
      </c>
      <c r="BQ836" s="8" t="str">
        <f aca="false">IF(A836="","",AT836)</f>
        <v>2歳</v>
      </c>
      <c r="BR836" s="8" t="str">
        <f aca="false">IF(A836="","",IF(BA836&lt;=1200,"～1200",IF(BA836&lt;=1500,"1300～1500",IF(BA836=1600,"1600",IF(BA836&lt;=1800,"1700～1800",IF(BA836&lt;=2000,"1900～2000","2100以上"))))))</f>
        <v>～1200</v>
      </c>
      <c r="BS836" s="8" t="str">
        <f aca="false">IF(A836="","",IF(AX836="G1","G1",IF(AX836="G2","G2",IF(AX836="G3","G3",IF(AX836="L","L","その他")))))</f>
        <v>その他</v>
      </c>
      <c r="BT836" s="8" t="str">
        <f aca="false">IF(A836="","",IF(BI836="","未結合",IF(D836=BI836,"一致","不一致")))</f>
        <v>一致</v>
      </c>
      <c r="BU836" s="8" t="str">
        <f aca="false">IF(A836="","",IF(BE836="牝馬限定","牝馬限定","その他"))</f>
        <v>その他</v>
      </c>
    </row>
    <row r="837" customFormat="false" ht="15.75" hidden="false" customHeight="false" outlineLevel="0" collapsed="false">
      <c r="A837" s="6" t="n">
        <f aca="false">DATE(2026,8,15)</f>
        <v>46249</v>
      </c>
      <c r="B837" s="4" t="s">
        <v>179</v>
      </c>
      <c r="C837" s="8" t="n">
        <v>5</v>
      </c>
      <c r="D837" s="8" t="n">
        <v>16</v>
      </c>
      <c r="E837" s="8" t="n">
        <v>6</v>
      </c>
      <c r="F837" s="4" t="s">
        <v>1597</v>
      </c>
      <c r="G837" s="8" t="n">
        <v>56</v>
      </c>
      <c r="H837" s="8" t="n">
        <v>2</v>
      </c>
      <c r="I837" s="4" t="s">
        <v>6573</v>
      </c>
      <c r="J837" s="8" t="n">
        <v>37</v>
      </c>
      <c r="K837" s="8" t="n">
        <v>7</v>
      </c>
      <c r="L837" s="4" t="s">
        <v>2841</v>
      </c>
      <c r="M837" s="8" t="n">
        <v>37</v>
      </c>
      <c r="N837" s="8" t="n">
        <f aca="false">IF(A837="","",G837-J837)</f>
        <v>19</v>
      </c>
      <c r="O837" s="8" t="n">
        <f aca="false">IF(A837="","",J837-M837)</f>
        <v>0</v>
      </c>
      <c r="P837" s="8" t="n">
        <f aca="false">IF(A837="","",G837+J837)</f>
        <v>93</v>
      </c>
      <c r="Q837" s="8" t="str">
        <f aca="false">IF(A837="","",IF(AND(Y837&lt;&gt;"参考",G837&gt;=ルール設定!$B$2),"○",""))</f>
        <v/>
      </c>
      <c r="R837" s="8" t="str">
        <f aca="false">IF(A837="","",IF(AND(Y837&lt;&gt;"参考",G837&gt;=ルール設定!$B$3,N837&gt;=ルール設定!$B$4),"○",""))</f>
        <v/>
      </c>
      <c r="S837" s="8" t="str">
        <f aca="false">IF(A837="","",IF(AND(Y837&lt;&gt;"参考",G837&gt;=ルール設定!$B$5,J837&gt;=ルール設定!$B$6,O837&gt;=ルール設定!$B$7),"○",""))</f>
        <v/>
      </c>
      <c r="T837" s="8" t="n">
        <v>1</v>
      </c>
      <c r="U837" s="8" t="n">
        <v>4</v>
      </c>
      <c r="V837" s="8" t="str">
        <f aca="false">IF(A837="","",IF(AND(ISNUMBER(T837),ISNUMBER(U837)),IF(AND(T837&lt;=3,U837&lt;=3),"○","×"),""))</f>
        <v>×</v>
      </c>
      <c r="W837" s="8" t="n">
        <v>160</v>
      </c>
      <c r="X837" s="8"/>
      <c r="Y837" s="4" t="s">
        <v>7597</v>
      </c>
      <c r="Z837" s="8" t="s">
        <v>8020</v>
      </c>
      <c r="AA837" s="8" t="str">
        <v/>
      </c>
      <c r="AB837" s="8" t="str">
        <v/>
      </c>
      <c r="AC837" s="8" t="str">
        <v/>
      </c>
      <c r="AD837" s="8" t="str">
        <v/>
      </c>
      <c r="AE837" s="8" t="str">
        <v/>
      </c>
      <c r="AF837" s="8" t="str">
        <v/>
      </c>
      <c r="AG837" s="8" t="str">
        <v/>
      </c>
      <c r="AH837" s="8" t="str">
        <v/>
      </c>
      <c r="AI837" s="8" t="n">
        <v>19</v>
      </c>
      <c r="AJ837" s="8" t="str">
        <v>～59</v>
      </c>
      <c r="AK837" s="8" t="str">
        <v>10～19</v>
      </c>
      <c r="AL837" s="8" t="str">
        <v>10～19</v>
      </c>
      <c r="AM837" s="8" t="str">
        <v>～99</v>
      </c>
      <c r="AN837" s="8" t="str">
        <v>15以上</v>
      </c>
      <c r="AO837" s="8" t="str">
        <f aca="false">IF(A837="","",IF(COUNTIFS(全馬データ!$A$2:$A$50000,A837,全馬データ!$B$2:$B$50000,B837,全馬データ!$C$2:$C$50000,C837,全馬データ!$D$2:$D$50000,E837,全馬データ!$K$2:$K$50000,"&lt;&gt;")=0,"",SUMIFS(全馬データ!$K$2:$K$50000,全馬データ!$A$2:$A$50000,A837,全馬データ!$B$2:$B$50000,B837,全馬データ!$C$2:$C$50000,C837,全馬データ!$D$2:$D$50000,E837)))</f>
        <v/>
      </c>
      <c r="AP837" s="8" t="str">
        <f aca="false">IF(A837="","",IF(AO837="","欠損",IF(AO837&lt;=1.1,"1.0～1.1",IF(AO837&lt;1.3,"1.2",IF(AO837&lt;1.5,"1.3～1.4",IF(AO837&lt;2,"1.5～1.9","2.0以上"))))))</f>
        <v>欠損</v>
      </c>
      <c r="AQ837" s="8" t="str">
        <f aca="false">IF(A837="","",IF(ISNUMBER(SEARCH("2歳",Z837)),"2歳戦",IF(ISNUMBER(SEARCH("3歳未勝利",Z837)),"3歳未勝利",IF(ISNUMBER(SEARCH("未勝利",Z837)),"その他未勝利",IF(ISNUMBER(SEARCH("G1",Z837)),"G1",IF(ISNUMBER(SEARCH("G2",Z837)),"G2",IF(ISNUMBER(SEARCH("G3",Z837)),"G3",IF(ISNUMBER(SEARCH("古馬条件",Z837)),"古馬条件戦",IF(ISNUMBER(SEARCH("重賞",Z837)),"重賞","分類不能")))))))))</f>
        <v>分類不能</v>
      </c>
      <c r="AR837" s="8"/>
      <c r="AS837" s="8" t="s">
        <v>7623</v>
      </c>
      <c r="AT837" s="8" t="s">
        <v>7624</v>
      </c>
      <c r="AU837" s="8" t="s">
        <v>7600</v>
      </c>
      <c r="AV837" s="4" t="s">
        <v>7601</v>
      </c>
      <c r="AW837" s="8"/>
      <c r="AX837" s="8"/>
      <c r="AY837" s="8" t="s">
        <v>7610</v>
      </c>
      <c r="AZ837" s="4" t="s">
        <v>7617</v>
      </c>
      <c r="BA837" s="8" t="n">
        <v>1800</v>
      </c>
      <c r="BB837" s="8" t="s">
        <v>7598</v>
      </c>
      <c r="BC837" s="4" t="s">
        <v>7604</v>
      </c>
      <c r="BD837" s="8" t="s">
        <v>7621</v>
      </c>
      <c r="BE837" s="4" t="s">
        <v>7622</v>
      </c>
      <c r="BF837" s="8" t="s">
        <v>7602</v>
      </c>
      <c r="BG837" s="8" t="s">
        <v>7608</v>
      </c>
      <c r="BH837" s="4" t="s">
        <v>7609</v>
      </c>
      <c r="BI837" s="8" t="n">
        <v>16</v>
      </c>
      <c r="BJ837" s="8" t="s">
        <v>7610</v>
      </c>
      <c r="BK837" s="4" t="s">
        <v>7611</v>
      </c>
      <c r="BL837" s="8" t="s">
        <v>7602</v>
      </c>
      <c r="BM837" s="4" t="s">
        <v>7620</v>
      </c>
      <c r="BN837" s="8"/>
      <c r="BO837" s="8"/>
      <c r="BP837" s="8" t="s">
        <v>7610</v>
      </c>
      <c r="BQ837" s="8" t="str">
        <f aca="false">IF(A837="","",AT837)</f>
        <v>3歳</v>
      </c>
      <c r="BR837" s="8" t="str">
        <f aca="false">IF(A837="","",IF(BA837&lt;=1200,"～1200",IF(BA837&lt;=1500,"1300～1500",IF(BA837=1600,"1600",IF(BA837&lt;=1800,"1700～1800",IF(BA837&lt;=2000,"1900～2000","2100以上"))))))</f>
        <v>1700～1800</v>
      </c>
      <c r="BS837" s="8" t="str">
        <f aca="false">IF(A837="","",IF(AX837="G1","G1",IF(AX837="G2","G2",IF(AX837="G3","G3",IF(AX837="L","L","その他")))))</f>
        <v>その他</v>
      </c>
      <c r="BT837" s="8" t="str">
        <f aca="false">IF(A837="","",IF(BI837="","未結合",IF(D837=BI837,"一致","不一致")))</f>
        <v>一致</v>
      </c>
      <c r="BU837" s="8" t="str">
        <f aca="false">IF(A837="","",IF(BE837="牝馬限定","牝馬限定","その他"))</f>
        <v>牝馬限定</v>
      </c>
    </row>
    <row r="838" customFormat="false" ht="15.75" hidden="false" customHeight="false" outlineLevel="0" collapsed="false">
      <c r="A838" s="6" t="n">
        <f aca="false">DATE(2026,8,15)</f>
        <v>46249</v>
      </c>
      <c r="B838" s="4" t="s">
        <v>179</v>
      </c>
      <c r="C838" s="8" t="n">
        <v>6</v>
      </c>
      <c r="D838" s="8" t="n">
        <v>11</v>
      </c>
      <c r="E838" s="8" t="n">
        <v>10</v>
      </c>
      <c r="F838" s="4" t="s">
        <v>5971</v>
      </c>
      <c r="G838" s="8" t="n">
        <v>44</v>
      </c>
      <c r="H838" s="8" t="n">
        <v>4</v>
      </c>
      <c r="I838" s="4" t="s">
        <v>5679</v>
      </c>
      <c r="J838" s="8" t="n">
        <v>41</v>
      </c>
      <c r="K838" s="8" t="n">
        <v>1</v>
      </c>
      <c r="L838" s="4" t="s">
        <v>6580</v>
      </c>
      <c r="M838" s="8" t="n">
        <v>37</v>
      </c>
      <c r="N838" s="8" t="n">
        <f aca="false">IF(A838="","",G838-J838)</f>
        <v>3</v>
      </c>
      <c r="O838" s="8" t="n">
        <f aca="false">IF(A838="","",J838-M838)</f>
        <v>4</v>
      </c>
      <c r="P838" s="8" t="n">
        <f aca="false">IF(A838="","",G838+J838)</f>
        <v>85</v>
      </c>
      <c r="Q838" s="8" t="str">
        <f aca="false">IF(A838="","",IF(AND(Y838&lt;&gt;"参考",G838&gt;=ルール設定!$B$2),"○",""))</f>
        <v/>
      </c>
      <c r="R838" s="8" t="str">
        <f aca="false">IF(A838="","",IF(AND(Y838&lt;&gt;"参考",G838&gt;=ルール設定!$B$3,N838&gt;=ルール設定!$B$4),"○",""))</f>
        <v/>
      </c>
      <c r="S838" s="8" t="str">
        <f aca="false">IF(A838="","",IF(AND(Y838&lt;&gt;"参考",G838&gt;=ルール設定!$B$5,J838&gt;=ルール設定!$B$6,O838&gt;=ルール設定!$B$7),"○",""))</f>
        <v/>
      </c>
      <c r="T838" s="8" t="n">
        <v>1</v>
      </c>
      <c r="U838" s="8" t="n">
        <v>4</v>
      </c>
      <c r="V838" s="8" t="str">
        <f aca="false">IF(A838="","",IF(AND(ISNUMBER(T838),ISNUMBER(U838)),IF(AND(T838&lt;=3,U838&lt;=3),"○","×"),""))</f>
        <v>×</v>
      </c>
      <c r="W838" s="8" t="n">
        <v>150</v>
      </c>
      <c r="X838" s="8"/>
      <c r="Y838" s="4" t="s">
        <v>7597</v>
      </c>
      <c r="Z838" s="8" t="s">
        <v>8021</v>
      </c>
      <c r="AA838" s="8" t="str">
        <v/>
      </c>
      <c r="AB838" s="8" t="str">
        <v/>
      </c>
      <c r="AC838" s="8" t="str">
        <v/>
      </c>
      <c r="AD838" s="8" t="str">
        <v/>
      </c>
      <c r="AE838" s="8" t="str">
        <v/>
      </c>
      <c r="AF838" s="8" t="str">
        <v/>
      </c>
      <c r="AG838" s="8" t="str">
        <v/>
      </c>
      <c r="AH838" s="8" t="str">
        <v/>
      </c>
      <c r="AI838" s="8" t="n">
        <v>7</v>
      </c>
      <c r="AJ838" s="8" t="str">
        <v>～59</v>
      </c>
      <c r="AK838" s="8" t="str">
        <v>0～4</v>
      </c>
      <c r="AL838" s="8" t="str">
        <v>0～9</v>
      </c>
      <c r="AM838" s="8" t="str">
        <v>～99</v>
      </c>
      <c r="AN838" s="8" t="str">
        <v>8～11</v>
      </c>
      <c r="AO838" s="8" t="str">
        <f aca="false">IF(A838="","",IF(COUNTIFS(全馬データ!$A$2:$A$50000,A838,全馬データ!$B$2:$B$50000,B838,全馬データ!$C$2:$C$50000,C838,全馬データ!$D$2:$D$50000,E838,全馬データ!$K$2:$K$50000,"&lt;&gt;")=0,"",SUMIFS(全馬データ!$K$2:$K$50000,全馬データ!$A$2:$A$50000,A838,全馬データ!$B$2:$B$50000,B838,全馬データ!$C$2:$C$50000,C838,全馬データ!$D$2:$D$50000,E838)))</f>
        <v/>
      </c>
      <c r="AP838" s="8" t="str">
        <f aca="false">IF(A838="","",IF(AO838="","欠損",IF(AO838&lt;=1.1,"1.0～1.1",IF(AO838&lt;1.3,"1.2",IF(AO838&lt;1.5,"1.3～1.4",IF(AO838&lt;2,"1.5～1.9","2.0以上"))))))</f>
        <v>欠損</v>
      </c>
      <c r="AQ838" s="8" t="str">
        <f aca="false">IF(A838="","",IF(ISNUMBER(SEARCH("2歳",Z838)),"2歳戦",IF(ISNUMBER(SEARCH("3歳未勝利",Z838)),"3歳未勝利",IF(ISNUMBER(SEARCH("未勝利",Z838)),"その他未勝利",IF(ISNUMBER(SEARCH("G1",Z838)),"G1",IF(ISNUMBER(SEARCH("G2",Z838)),"G2",IF(ISNUMBER(SEARCH("G3",Z838)),"G3",IF(ISNUMBER(SEARCH("古馬条件",Z838)),"古馬条件戦",IF(ISNUMBER(SEARCH("重賞",Z838)),"重賞","分類不能")))))))))</f>
        <v>分類不能</v>
      </c>
      <c r="AR838" s="4" t="s">
        <v>8022</v>
      </c>
      <c r="AS838" s="8" t="s">
        <v>7626</v>
      </c>
      <c r="AT838" s="8" t="s">
        <v>7627</v>
      </c>
      <c r="AU838" s="8" t="s">
        <v>7634</v>
      </c>
      <c r="AV838" s="8" t="s">
        <v>7635</v>
      </c>
      <c r="AW838" s="8" t="s">
        <v>7636</v>
      </c>
      <c r="AX838" s="4" t="s">
        <v>7637</v>
      </c>
      <c r="AY838" s="8" t="s">
        <v>7602</v>
      </c>
      <c r="AZ838" s="4" t="s">
        <v>7603</v>
      </c>
      <c r="BA838" s="8" t="n">
        <v>1200</v>
      </c>
      <c r="BB838" s="8" t="s">
        <v>7598</v>
      </c>
      <c r="BC838" s="4" t="s">
        <v>7604</v>
      </c>
      <c r="BD838" s="8" t="s">
        <v>7630</v>
      </c>
      <c r="BE838" s="4" t="s">
        <v>7606</v>
      </c>
      <c r="BF838" s="8" t="s">
        <v>7607</v>
      </c>
      <c r="BG838" s="8" t="s">
        <v>7631</v>
      </c>
      <c r="BH838" s="4" t="s">
        <v>7632</v>
      </c>
      <c r="BI838" s="8" t="n">
        <v>11</v>
      </c>
      <c r="BJ838" s="8" t="s">
        <v>7610</v>
      </c>
      <c r="BK838" s="4" t="s">
        <v>7611</v>
      </c>
      <c r="BL838" s="8" t="s">
        <v>7602</v>
      </c>
      <c r="BM838" s="4" t="s">
        <v>7620</v>
      </c>
      <c r="BN838" s="8" t="s">
        <v>7602</v>
      </c>
      <c r="BO838" s="8" t="s">
        <v>7613</v>
      </c>
      <c r="BP838" s="8" t="s">
        <v>7610</v>
      </c>
      <c r="BQ838" s="8" t="str">
        <f aca="false">IF(A838="","",AT838)</f>
        <v>3歳以上</v>
      </c>
      <c r="BR838" s="8" t="str">
        <f aca="false">IF(A838="","",IF(BA838&lt;=1200,"～1200",IF(BA838&lt;=1500,"1300～1500",IF(BA838=1600,"1600",IF(BA838&lt;=1800,"1700～1800",IF(BA838&lt;=2000,"1900～2000","2100以上"))))))</f>
        <v>～1200</v>
      </c>
      <c r="BS838" s="8" t="str">
        <f aca="false">IF(A838="","",IF(AX838="G1","G1",IF(AX838="G2","G2",IF(AX838="G3","G3",IF(AX838="L","L","その他")))))</f>
        <v>その他</v>
      </c>
      <c r="BT838" s="8" t="str">
        <f aca="false">IF(A838="","",IF(BI838="","未結合",IF(D838=BI838,"一致","不一致")))</f>
        <v>一致</v>
      </c>
      <c r="BU838" s="8" t="str">
        <f aca="false">IF(A838="","",IF(BE838="牝馬限定","牝馬限定","その他"))</f>
        <v>その他</v>
      </c>
    </row>
    <row r="839" customFormat="false" ht="15.75" hidden="false" customHeight="false" outlineLevel="0" collapsed="false">
      <c r="A839" s="6" t="n">
        <f aca="false">DATE(2026,8,15)</f>
        <v>46249</v>
      </c>
      <c r="B839" s="4" t="s">
        <v>179</v>
      </c>
      <c r="C839" s="8" t="n">
        <v>7</v>
      </c>
      <c r="D839" s="8" t="n">
        <v>8</v>
      </c>
      <c r="E839" s="8" t="n">
        <v>5</v>
      </c>
      <c r="F839" s="4" t="s">
        <v>4656</v>
      </c>
      <c r="G839" s="8" t="n">
        <v>62</v>
      </c>
      <c r="H839" s="8" t="n">
        <v>7</v>
      </c>
      <c r="I839" s="4" t="s">
        <v>4348</v>
      </c>
      <c r="J839" s="8" t="n">
        <v>60</v>
      </c>
      <c r="K839" s="8" t="n">
        <v>6</v>
      </c>
      <c r="L839" s="4" t="s">
        <v>5488</v>
      </c>
      <c r="M839" s="8" t="n">
        <v>37</v>
      </c>
      <c r="N839" s="8" t="n">
        <f aca="false">IF(A839="","",G839-J839)</f>
        <v>2</v>
      </c>
      <c r="O839" s="8" t="n">
        <f aca="false">IF(A839="","",J839-M839)</f>
        <v>23</v>
      </c>
      <c r="P839" s="8" t="n">
        <f aca="false">IF(A839="","",G839+J839)</f>
        <v>122</v>
      </c>
      <c r="Q839" s="8" t="str">
        <f aca="false">IF(A839="","",IF(AND(Y839&lt;&gt;"参考",G839&gt;=ルール設定!$B$2),"○",""))</f>
        <v/>
      </c>
      <c r="R839" s="8" t="str">
        <f aca="false">IF(A839="","",IF(AND(Y839&lt;&gt;"参考",G839&gt;=ルール設定!$B$3,N839&gt;=ルール設定!$B$4),"○",""))</f>
        <v/>
      </c>
      <c r="S839" s="8" t="str">
        <f aca="false">IF(A839="","",IF(AND(Y839&lt;&gt;"参考",G839&gt;=ルール設定!$B$5,J839&gt;=ルール設定!$B$6,O839&gt;=ルール設定!$B$7),"○",""))</f>
        <v>○</v>
      </c>
      <c r="T839" s="8" t="n">
        <v>1</v>
      </c>
      <c r="U839" s="8" t="n">
        <v>4</v>
      </c>
      <c r="V839" s="8" t="str">
        <f aca="false">IF(A839="","",IF(AND(ISNUMBER(T839),ISNUMBER(U839)),IF(AND(T839&lt;=3,U839&lt;=3),"○","×"),""))</f>
        <v>×</v>
      </c>
      <c r="W839" s="8" t="n">
        <v>140</v>
      </c>
      <c r="X839" s="8"/>
      <c r="Y839" s="4" t="s">
        <v>7597</v>
      </c>
      <c r="Z839" s="8" t="s">
        <v>8023</v>
      </c>
      <c r="AA839" s="8" t="str">
        <v/>
      </c>
      <c r="AB839" s="8" t="str">
        <v/>
      </c>
      <c r="AC839" s="8" t="str">
        <v/>
      </c>
      <c r="AD839" s="8" t="str">
        <v/>
      </c>
      <c r="AE839" s="8" t="str">
        <v/>
      </c>
      <c r="AF839" s="8" t="str">
        <v/>
      </c>
      <c r="AG839" s="8" t="str">
        <v/>
      </c>
      <c r="AH839" s="8" t="str">
        <v/>
      </c>
      <c r="AI839" s="8" t="n">
        <v>25</v>
      </c>
      <c r="AJ839" s="8" t="str">
        <v>60～69</v>
      </c>
      <c r="AK839" s="8" t="str">
        <v>0～4</v>
      </c>
      <c r="AL839" s="8" t="str">
        <v>20～29</v>
      </c>
      <c r="AM839" s="8" t="str">
        <v>120～139</v>
      </c>
      <c r="AN839" s="8" t="str">
        <v>8～11</v>
      </c>
      <c r="AO839" s="8" t="str">
        <f aca="false">IF(A839="","",IF(COUNTIFS(全馬データ!$A$2:$A$50000,A839,全馬データ!$B$2:$B$50000,B839,全馬データ!$C$2:$C$50000,C839,全馬データ!$D$2:$D$50000,E839,全馬データ!$K$2:$K$50000,"&lt;&gt;")=0,"",SUMIFS(全馬データ!$K$2:$K$50000,全馬データ!$A$2:$A$50000,A839,全馬データ!$B$2:$B$50000,B839,全馬データ!$C$2:$C$50000,C839,全馬データ!$D$2:$D$50000,E839)))</f>
        <v/>
      </c>
      <c r="AP839" s="8" t="str">
        <f aca="false">IF(A839="","",IF(AO839="","欠損",IF(AO839&lt;=1.1,"1.0～1.1",IF(AO839&lt;1.3,"1.2",IF(AO839&lt;1.5,"1.3～1.4",IF(AO839&lt;2,"1.5～1.9","2.0以上"))))))</f>
        <v>欠損</v>
      </c>
      <c r="AQ839" s="8" t="str">
        <f aca="false">IF(A839="","",IF(ISNUMBER(SEARCH("2歳",Z839)),"2歳戦",IF(ISNUMBER(SEARCH("3歳未勝利",Z839)),"3歳未勝利",IF(ISNUMBER(SEARCH("未勝利",Z839)),"その他未勝利",IF(ISNUMBER(SEARCH("G1",Z839)),"G1",IF(ISNUMBER(SEARCH("G2",Z839)),"G2",IF(ISNUMBER(SEARCH("G3",Z839)),"G3",IF(ISNUMBER(SEARCH("古馬条件",Z839)),"古馬条件戦",IF(ISNUMBER(SEARCH("重賞",Z839)),"重賞","分類不能")))))))))</f>
        <v>分類不能</v>
      </c>
      <c r="AR839" s="4" t="s">
        <v>8024</v>
      </c>
      <c r="AS839" s="8" t="s">
        <v>7626</v>
      </c>
      <c r="AT839" s="8" t="s">
        <v>7627</v>
      </c>
      <c r="AU839" s="8" t="s">
        <v>7639</v>
      </c>
      <c r="AV839" s="8" t="s">
        <v>7640</v>
      </c>
      <c r="AW839" s="8" t="s">
        <v>7636</v>
      </c>
      <c r="AX839" s="4" t="s">
        <v>7637</v>
      </c>
      <c r="AY839" s="8" t="s">
        <v>7602</v>
      </c>
      <c r="AZ839" s="4" t="s">
        <v>7603</v>
      </c>
      <c r="BA839" s="8" t="n">
        <v>2000</v>
      </c>
      <c r="BB839" s="8" t="s">
        <v>7598</v>
      </c>
      <c r="BC839" s="4" t="s">
        <v>7604</v>
      </c>
      <c r="BD839" s="8" t="s">
        <v>7605</v>
      </c>
      <c r="BE839" s="4" t="s">
        <v>7606</v>
      </c>
      <c r="BF839" s="8" t="s">
        <v>7607</v>
      </c>
      <c r="BG839" s="8" t="s">
        <v>7602</v>
      </c>
      <c r="BH839" s="4" t="s">
        <v>7667</v>
      </c>
      <c r="BI839" s="8" t="n">
        <v>8</v>
      </c>
      <c r="BJ839" s="8" t="s">
        <v>7610</v>
      </c>
      <c r="BK839" s="4" t="s">
        <v>7611</v>
      </c>
      <c r="BL839" s="8" t="s">
        <v>7602</v>
      </c>
      <c r="BM839" s="4" t="s">
        <v>7620</v>
      </c>
      <c r="BN839" s="8" t="s">
        <v>7602</v>
      </c>
      <c r="BO839" s="8" t="s">
        <v>7613</v>
      </c>
      <c r="BP839" s="8" t="s">
        <v>7610</v>
      </c>
      <c r="BQ839" s="8" t="str">
        <f aca="false">IF(A839="","",AT839)</f>
        <v>3歳以上</v>
      </c>
      <c r="BR839" s="8" t="str">
        <f aca="false">IF(A839="","",IF(BA839&lt;=1200,"～1200",IF(BA839&lt;=1500,"1300～1500",IF(BA839=1600,"1600",IF(BA839&lt;=1800,"1700～1800",IF(BA839&lt;=2000,"1900～2000","2100以上"))))))</f>
        <v>1900～2000</v>
      </c>
      <c r="BS839" s="8" t="str">
        <f aca="false">IF(A839="","",IF(AX839="G1","G1",IF(AX839="G2","G2",IF(AX839="G3","G3",IF(AX839="L","L","その他")))))</f>
        <v>その他</v>
      </c>
      <c r="BT839" s="8" t="str">
        <f aca="false">IF(A839="","",IF(BI839="","未結合",IF(D839=BI839,"一致","不一致")))</f>
        <v>一致</v>
      </c>
      <c r="BU839" s="8" t="str">
        <f aca="false">IF(A839="","",IF(BE839="牝馬限定","牝馬限定","その他"))</f>
        <v>その他</v>
      </c>
    </row>
    <row r="840" customFormat="false" ht="15.75" hidden="false" customHeight="false" outlineLevel="0" collapsed="false">
      <c r="A840" s="6" t="n">
        <f aca="false">DATE(2026,8,15)</f>
        <v>46249</v>
      </c>
      <c r="B840" s="4" t="s">
        <v>179</v>
      </c>
      <c r="C840" s="8" t="n">
        <v>8</v>
      </c>
      <c r="D840" s="8" t="n">
        <v>10</v>
      </c>
      <c r="E840" s="8" t="n">
        <v>1</v>
      </c>
      <c r="F840" s="4" t="s">
        <v>6587</v>
      </c>
      <c r="G840" s="8" t="n">
        <v>71</v>
      </c>
      <c r="H840" s="8" t="n">
        <v>8</v>
      </c>
      <c r="I840" s="4" t="s">
        <v>5260</v>
      </c>
      <c r="J840" s="8" t="n">
        <v>65</v>
      </c>
      <c r="K840" s="8" t="n">
        <v>7</v>
      </c>
      <c r="L840" s="4" t="s">
        <v>2875</v>
      </c>
      <c r="M840" s="8" t="n">
        <v>52</v>
      </c>
      <c r="N840" s="8" t="n">
        <f aca="false">IF(A840="","",G840-J840)</f>
        <v>6</v>
      </c>
      <c r="O840" s="8" t="n">
        <f aca="false">IF(A840="","",J840-M840)</f>
        <v>13</v>
      </c>
      <c r="P840" s="8" t="n">
        <f aca="false">IF(A840="","",G840+J840)</f>
        <v>136</v>
      </c>
      <c r="Q840" s="8" t="str">
        <f aca="false">IF(A840="","",IF(AND(Y840&lt;&gt;"参考",G840&gt;=ルール設定!$B$2),"○",""))</f>
        <v/>
      </c>
      <c r="R840" s="8" t="str">
        <f aca="false">IF(A840="","",IF(AND(Y840&lt;&gt;"参考",G840&gt;=ルール設定!$B$3,N840&gt;=ルール設定!$B$4),"○",""))</f>
        <v/>
      </c>
      <c r="S840" s="8" t="str">
        <f aca="false">IF(A840="","",IF(AND(Y840&lt;&gt;"参考",G840&gt;=ルール設定!$B$5,J840&gt;=ルール設定!$B$6,O840&gt;=ルール設定!$B$7),"○",""))</f>
        <v/>
      </c>
      <c r="T840" s="8" t="n">
        <v>2</v>
      </c>
      <c r="U840" s="8" t="n">
        <v>1</v>
      </c>
      <c r="V840" s="8" t="str">
        <f aca="false">IF(A840="","",IF(AND(ISNUMBER(T840),ISNUMBER(U840)),IF(AND(T840&lt;=3,U840&lt;=3),"○","×"),""))</f>
        <v>○</v>
      </c>
      <c r="W840" s="8" t="n">
        <v>110</v>
      </c>
      <c r="X840" s="8" t="n">
        <v>170</v>
      </c>
      <c r="Y840" s="4" t="s">
        <v>7597</v>
      </c>
      <c r="Z840" s="8" t="s">
        <v>8025</v>
      </c>
      <c r="AA840" s="8" t="str">
        <v/>
      </c>
      <c r="AB840" s="8" t="str">
        <v/>
      </c>
      <c r="AC840" s="8" t="str">
        <v/>
      </c>
      <c r="AD840" s="8" t="str">
        <v/>
      </c>
      <c r="AE840" s="8" t="str">
        <v/>
      </c>
      <c r="AF840" s="8" t="str">
        <v/>
      </c>
      <c r="AG840" s="8" t="str">
        <v/>
      </c>
      <c r="AH840" s="8" t="str">
        <v/>
      </c>
      <c r="AI840" s="8" t="n">
        <v>19</v>
      </c>
      <c r="AJ840" s="8" t="str">
        <v>70～74</v>
      </c>
      <c r="AK840" s="8" t="str">
        <v>5～9</v>
      </c>
      <c r="AL840" s="8" t="str">
        <v>10～19</v>
      </c>
      <c r="AM840" s="8" t="str">
        <v>120～139</v>
      </c>
      <c r="AN840" s="8" t="str">
        <v>8～11</v>
      </c>
      <c r="AO840" s="8" t="str">
        <f aca="false">IF(A840="","",IF(COUNTIFS(全馬データ!$A$2:$A$50000,A840,全馬データ!$B$2:$B$50000,B840,全馬データ!$C$2:$C$50000,C840,全馬データ!$D$2:$D$50000,E840,全馬データ!$K$2:$K$50000,"&lt;&gt;")=0,"",SUMIFS(全馬データ!$K$2:$K$50000,全馬データ!$A$2:$A$50000,A840,全馬データ!$B$2:$B$50000,B840,全馬データ!$C$2:$C$50000,C840,全馬データ!$D$2:$D$50000,E840)))</f>
        <v/>
      </c>
      <c r="AP840" s="8" t="str">
        <f aca="false">IF(A840="","",IF(AO840="","欠損",IF(AO840&lt;=1.1,"1.0～1.1",IF(AO840&lt;1.3,"1.2",IF(AO840&lt;1.5,"1.3～1.4",IF(AO840&lt;2,"1.5～1.9","2.0以上"))))))</f>
        <v>欠損</v>
      </c>
      <c r="AQ840" s="8" t="str">
        <f aca="false">IF(A840="","",IF(ISNUMBER(SEARCH("2歳",Z840)),"2歳戦",IF(ISNUMBER(SEARCH("3歳未勝利",Z840)),"3歳未勝利",IF(ISNUMBER(SEARCH("未勝利",Z840)),"その他未勝利",IF(ISNUMBER(SEARCH("G1",Z840)),"G1",IF(ISNUMBER(SEARCH("G2",Z840)),"G2",IF(ISNUMBER(SEARCH("G3",Z840)),"G3",IF(ISNUMBER(SEARCH("古馬条件",Z840)),"古馬条件戦",IF(ISNUMBER(SEARCH("重賞",Z840)),"重賞","分類不能")))))))))</f>
        <v>分類不能</v>
      </c>
      <c r="AR840" s="4" t="s">
        <v>8026</v>
      </c>
      <c r="AS840" s="8" t="s">
        <v>7626</v>
      </c>
      <c r="AT840" s="8" t="s">
        <v>7627</v>
      </c>
      <c r="AU840" s="8" t="s">
        <v>7628</v>
      </c>
      <c r="AV840" s="8" t="s">
        <v>7629</v>
      </c>
      <c r="AW840" s="8" t="s">
        <v>7636</v>
      </c>
      <c r="AX840" s="4" t="s">
        <v>7637</v>
      </c>
      <c r="AY840" s="8" t="s">
        <v>7602</v>
      </c>
      <c r="AZ840" s="4" t="s">
        <v>7603</v>
      </c>
      <c r="BA840" s="8" t="n">
        <v>2000</v>
      </c>
      <c r="BB840" s="8" t="s">
        <v>7598</v>
      </c>
      <c r="BC840" s="4" t="s">
        <v>7604</v>
      </c>
      <c r="BD840" s="8" t="s">
        <v>7690</v>
      </c>
      <c r="BE840" s="4" t="s">
        <v>7606</v>
      </c>
      <c r="BF840" s="8" t="s">
        <v>7607</v>
      </c>
      <c r="BG840" s="8" t="s">
        <v>7631</v>
      </c>
      <c r="BH840" s="4" t="s">
        <v>7632</v>
      </c>
      <c r="BI840" s="8" t="n">
        <v>10</v>
      </c>
      <c r="BJ840" s="8" t="s">
        <v>7610</v>
      </c>
      <c r="BK840" s="4" t="s">
        <v>7611</v>
      </c>
      <c r="BL840" s="8" t="s">
        <v>7602</v>
      </c>
      <c r="BM840" s="4" t="s">
        <v>7620</v>
      </c>
      <c r="BN840" s="8" t="s">
        <v>7602</v>
      </c>
      <c r="BO840" s="8" t="s">
        <v>7613</v>
      </c>
      <c r="BP840" s="8" t="s">
        <v>7610</v>
      </c>
      <c r="BQ840" s="8" t="str">
        <f aca="false">IF(A840="","",AT840)</f>
        <v>3歳以上</v>
      </c>
      <c r="BR840" s="8" t="str">
        <f aca="false">IF(A840="","",IF(BA840&lt;=1200,"～1200",IF(BA840&lt;=1500,"1300～1500",IF(BA840=1600,"1600",IF(BA840&lt;=1800,"1700～1800",IF(BA840&lt;=2000,"1900～2000","2100以上"))))))</f>
        <v>1900～2000</v>
      </c>
      <c r="BS840" s="8" t="str">
        <f aca="false">IF(A840="","",IF(AX840="G1","G1",IF(AX840="G2","G2",IF(AX840="G3","G3",IF(AX840="L","L","その他")))))</f>
        <v>その他</v>
      </c>
      <c r="BT840" s="8" t="str">
        <f aca="false">IF(A840="","",IF(BI840="","未結合",IF(D840=BI840,"一致","不一致")))</f>
        <v>一致</v>
      </c>
      <c r="BU840" s="8" t="str">
        <f aca="false">IF(A840="","",IF(BE840="牝馬限定","牝馬限定","その他"))</f>
        <v>その他</v>
      </c>
    </row>
    <row r="841" customFormat="false" ht="15.75" hidden="false" customHeight="false" outlineLevel="0" collapsed="false">
      <c r="A841" s="6" t="n">
        <f aca="false">DATE(2026,8,15)</f>
        <v>46249</v>
      </c>
      <c r="B841" s="4" t="s">
        <v>179</v>
      </c>
      <c r="C841" s="8" t="n">
        <v>9</v>
      </c>
      <c r="D841" s="8" t="n">
        <v>16</v>
      </c>
      <c r="E841" s="8" t="n">
        <v>10</v>
      </c>
      <c r="F841" s="4" t="s">
        <v>6595</v>
      </c>
      <c r="G841" s="8" t="n">
        <v>62</v>
      </c>
      <c r="H841" s="8" t="n">
        <v>3</v>
      </c>
      <c r="I841" s="4" t="s">
        <v>4640</v>
      </c>
      <c r="J841" s="8" t="n">
        <v>50</v>
      </c>
      <c r="K841" s="8" t="n">
        <v>15</v>
      </c>
      <c r="L841" s="4" t="s">
        <v>1235</v>
      </c>
      <c r="M841" s="8" t="n">
        <v>39</v>
      </c>
      <c r="N841" s="8" t="n">
        <f aca="false">IF(A841="","",G841-J841)</f>
        <v>12</v>
      </c>
      <c r="O841" s="8" t="n">
        <f aca="false">IF(A841="","",J841-M841)</f>
        <v>11</v>
      </c>
      <c r="P841" s="8" t="n">
        <f aca="false">IF(A841="","",G841+J841)</f>
        <v>112</v>
      </c>
      <c r="Q841" s="8" t="str">
        <f aca="false">IF(A841="","",IF(AND(Y841&lt;&gt;"参考",G841&gt;=ルール設定!$B$2),"○",""))</f>
        <v/>
      </c>
      <c r="R841" s="8" t="str">
        <f aca="false">IF(A841="","",IF(AND(Y841&lt;&gt;"参考",G841&gt;=ルール設定!$B$3,N841&gt;=ルール設定!$B$4),"○",""))</f>
        <v/>
      </c>
      <c r="S841" s="8" t="str">
        <f aca="false">IF(A841="","",IF(AND(Y841&lt;&gt;"参考",G841&gt;=ルール設定!$B$5,J841&gt;=ルール設定!$B$6,O841&gt;=ルール設定!$B$7),"○",""))</f>
        <v/>
      </c>
      <c r="T841" s="8" t="n">
        <v>4</v>
      </c>
      <c r="U841" s="8" t="n">
        <v>4</v>
      </c>
      <c r="V841" s="8" t="str">
        <f aca="false">IF(A841="","",IF(AND(ISNUMBER(T841),ISNUMBER(U841)),IF(AND(T841&lt;=3,U841&lt;=3),"○","×"),""))</f>
        <v>×</v>
      </c>
      <c r="W841" s="8"/>
      <c r="X841" s="8"/>
      <c r="Y841" s="4" t="s">
        <v>7597</v>
      </c>
      <c r="Z841" s="8" t="s">
        <v>8027</v>
      </c>
      <c r="AA841" s="8" t="str">
        <v/>
      </c>
      <c r="AB841" s="8" t="str">
        <v/>
      </c>
      <c r="AC841" s="8" t="str">
        <v/>
      </c>
      <c r="AD841" s="8" t="str">
        <v/>
      </c>
      <c r="AE841" s="8" t="str">
        <v/>
      </c>
      <c r="AF841" s="8" t="str">
        <v/>
      </c>
      <c r="AG841" s="8" t="str">
        <v/>
      </c>
      <c r="AH841" s="8" t="str">
        <v/>
      </c>
      <c r="AI841" s="8" t="n">
        <v>23</v>
      </c>
      <c r="AJ841" s="8" t="str">
        <v>60～69</v>
      </c>
      <c r="AK841" s="8" t="str">
        <v>10～19</v>
      </c>
      <c r="AL841" s="8" t="str">
        <v>20～29</v>
      </c>
      <c r="AM841" s="8" t="str">
        <v>100～119</v>
      </c>
      <c r="AN841" s="8" t="str">
        <v>15以上</v>
      </c>
      <c r="AO841" s="8" t="str">
        <f aca="false">IF(A841="","",IF(COUNTIFS(全馬データ!$A$2:$A$50000,A841,全馬データ!$B$2:$B$50000,B841,全馬データ!$C$2:$C$50000,C841,全馬データ!$D$2:$D$50000,E841,全馬データ!$K$2:$K$50000,"&lt;&gt;")=0,"",SUMIFS(全馬データ!$K$2:$K$50000,全馬データ!$A$2:$A$50000,A841,全馬データ!$B$2:$B$50000,B841,全馬データ!$C$2:$C$50000,C841,全馬データ!$D$2:$D$50000,E841)))</f>
        <v/>
      </c>
      <c r="AP841" s="8" t="str">
        <f aca="false">IF(A841="","",IF(AO841="","欠損",IF(AO841&lt;=1.1,"1.0～1.1",IF(AO841&lt;1.3,"1.2",IF(AO841&lt;1.5,"1.3～1.4",IF(AO841&lt;2,"1.5～1.9","2.0以上"))))))</f>
        <v>欠損</v>
      </c>
      <c r="AQ841" s="8" t="str">
        <f aca="false">IF(A841="","",IF(ISNUMBER(SEARCH("2歳",Z841)),"2歳戦",IF(ISNUMBER(SEARCH("3歳未勝利",Z841)),"3歳未勝利",IF(ISNUMBER(SEARCH("未勝利",Z841)),"その他未勝利",IF(ISNUMBER(SEARCH("G1",Z841)),"G1",IF(ISNUMBER(SEARCH("G2",Z841)),"G2",IF(ISNUMBER(SEARCH("G3",Z841)),"G3",IF(ISNUMBER(SEARCH("古馬条件",Z841)),"古馬条件戦",IF(ISNUMBER(SEARCH("重賞",Z841)),"重賞","分類不能")))))))))</f>
        <v>分類不能</v>
      </c>
      <c r="AR841" s="8"/>
      <c r="AS841" s="8" t="s">
        <v>7626</v>
      </c>
      <c r="AT841" s="8" t="s">
        <v>7627</v>
      </c>
      <c r="AU841" s="8" t="s">
        <v>7628</v>
      </c>
      <c r="AV841" s="8" t="s">
        <v>7629</v>
      </c>
      <c r="AW841" s="8"/>
      <c r="AX841" s="8"/>
      <c r="AY841" s="8" t="s">
        <v>7610</v>
      </c>
      <c r="AZ841" s="4" t="s">
        <v>7617</v>
      </c>
      <c r="BA841" s="8" t="n">
        <v>1800</v>
      </c>
      <c r="BB841" s="8" t="s">
        <v>7634</v>
      </c>
      <c r="BC841" s="4" t="s">
        <v>7604</v>
      </c>
      <c r="BD841" s="8" t="s">
        <v>7605</v>
      </c>
      <c r="BE841" s="4" t="s">
        <v>7606</v>
      </c>
      <c r="BF841" s="8" t="s">
        <v>7607</v>
      </c>
      <c r="BG841" s="8" t="s">
        <v>7631</v>
      </c>
      <c r="BH841" s="4" t="s">
        <v>7632</v>
      </c>
      <c r="BI841" s="8" t="n">
        <v>16</v>
      </c>
      <c r="BJ841" s="8" t="s">
        <v>7610</v>
      </c>
      <c r="BK841" s="4" t="s">
        <v>7611</v>
      </c>
      <c r="BL841" s="8" t="s">
        <v>7602</v>
      </c>
      <c r="BM841" s="4" t="s">
        <v>7620</v>
      </c>
      <c r="BN841" s="8"/>
      <c r="BO841" s="8"/>
      <c r="BP841" s="8" t="s">
        <v>7610</v>
      </c>
      <c r="BQ841" s="8" t="str">
        <f aca="false">IF(A841="","",AT841)</f>
        <v>3歳以上</v>
      </c>
      <c r="BR841" s="8" t="str">
        <f aca="false">IF(A841="","",IF(BA841&lt;=1200,"～1200",IF(BA841&lt;=1500,"1300～1500",IF(BA841=1600,"1600",IF(BA841&lt;=1800,"1700～1800",IF(BA841&lt;=2000,"1900～2000","2100以上"))))))</f>
        <v>1700～1800</v>
      </c>
      <c r="BS841" s="8" t="str">
        <f aca="false">IF(A841="","",IF(AX841="G1","G1",IF(AX841="G2","G2",IF(AX841="G3","G3",IF(AX841="L","L","その他")))))</f>
        <v>その他</v>
      </c>
      <c r="BT841" s="8" t="str">
        <f aca="false">IF(A841="","",IF(BI841="","未結合",IF(D841=BI841,"一致","不一致")))</f>
        <v>一致</v>
      </c>
      <c r="BU841" s="8" t="str">
        <f aca="false">IF(A841="","",IF(BE841="牝馬限定","牝馬限定","その他"))</f>
        <v>その他</v>
      </c>
    </row>
    <row r="842" customFormat="false" ht="15.75" hidden="false" customHeight="false" outlineLevel="0" collapsed="false">
      <c r="A842" s="6" t="n">
        <f aca="false">DATE(2026,8,15)</f>
        <v>46249</v>
      </c>
      <c r="B842" s="4" t="s">
        <v>179</v>
      </c>
      <c r="C842" s="8" t="n">
        <v>10</v>
      </c>
      <c r="D842" s="8" t="n">
        <v>16</v>
      </c>
      <c r="E842" s="8" t="n">
        <v>10</v>
      </c>
      <c r="F842" s="4" t="s">
        <v>743</v>
      </c>
      <c r="G842" s="8" t="n">
        <v>58</v>
      </c>
      <c r="H842" s="8" t="n">
        <v>11</v>
      </c>
      <c r="I842" s="4" t="s">
        <v>4177</v>
      </c>
      <c r="J842" s="8" t="n">
        <v>47</v>
      </c>
      <c r="K842" s="8" t="n">
        <v>14</v>
      </c>
      <c r="L842" s="4" t="s">
        <v>1228</v>
      </c>
      <c r="M842" s="8" t="n">
        <v>44</v>
      </c>
      <c r="N842" s="8" t="n">
        <f aca="false">IF(A842="","",G842-J842)</f>
        <v>11</v>
      </c>
      <c r="O842" s="8" t="n">
        <f aca="false">IF(A842="","",J842-M842)</f>
        <v>3</v>
      </c>
      <c r="P842" s="8" t="n">
        <f aca="false">IF(A842="","",G842+J842)</f>
        <v>105</v>
      </c>
      <c r="Q842" s="8" t="str">
        <f aca="false">IF(A842="","",IF(AND(Y842&lt;&gt;"参考",G842&gt;=ルール設定!$B$2),"○",""))</f>
        <v/>
      </c>
      <c r="R842" s="8" t="str">
        <f aca="false">IF(A842="","",IF(AND(Y842&lt;&gt;"参考",G842&gt;=ルール設定!$B$3,N842&gt;=ルール設定!$B$4),"○",""))</f>
        <v/>
      </c>
      <c r="S842" s="8" t="str">
        <f aca="false">IF(A842="","",IF(AND(Y842&lt;&gt;"参考",G842&gt;=ルール設定!$B$5,J842&gt;=ルール設定!$B$6,O842&gt;=ルール設定!$B$7),"○",""))</f>
        <v/>
      </c>
      <c r="T842" s="8" t="n">
        <v>4</v>
      </c>
      <c r="U842" s="8" t="n">
        <v>4</v>
      </c>
      <c r="V842" s="8" t="str">
        <f aca="false">IF(A842="","",IF(AND(ISNUMBER(T842),ISNUMBER(U842)),IF(AND(T842&lt;=3,U842&lt;=3),"○","×"),""))</f>
        <v>×</v>
      </c>
      <c r="W842" s="8"/>
      <c r="X842" s="8"/>
      <c r="Y842" s="4" t="s">
        <v>7597</v>
      </c>
      <c r="Z842" s="8" t="s">
        <v>8028</v>
      </c>
      <c r="AA842" s="8" t="str">
        <v/>
      </c>
      <c r="AB842" s="8" t="str">
        <v/>
      </c>
      <c r="AC842" s="8" t="str">
        <v/>
      </c>
      <c r="AD842" s="8" t="str">
        <v/>
      </c>
      <c r="AE842" s="8" t="str">
        <v/>
      </c>
      <c r="AF842" s="8" t="str">
        <v/>
      </c>
      <c r="AG842" s="8" t="str">
        <v/>
      </c>
      <c r="AH842" s="8" t="str">
        <v/>
      </c>
      <c r="AI842" s="8" t="n">
        <v>14</v>
      </c>
      <c r="AJ842" s="8" t="str">
        <v>～59</v>
      </c>
      <c r="AK842" s="8" t="str">
        <v>10～19</v>
      </c>
      <c r="AL842" s="8" t="str">
        <v>10～19</v>
      </c>
      <c r="AM842" s="8" t="str">
        <v>100～119</v>
      </c>
      <c r="AN842" s="8" t="str">
        <v>15以上</v>
      </c>
      <c r="AO842" s="8" t="str">
        <f aca="false">IF(A842="","",IF(COUNTIFS(全馬データ!$A$2:$A$50000,A842,全馬データ!$B$2:$B$50000,B842,全馬データ!$C$2:$C$50000,C842,全馬データ!$D$2:$D$50000,E842,全馬データ!$K$2:$K$50000,"&lt;&gt;")=0,"",SUMIFS(全馬データ!$K$2:$K$50000,全馬データ!$A$2:$A$50000,A842,全馬データ!$B$2:$B$50000,B842,全馬データ!$C$2:$C$50000,C842,全馬データ!$D$2:$D$50000,E842)))</f>
        <v/>
      </c>
      <c r="AP842" s="8" t="str">
        <f aca="false">IF(A842="","",IF(AO842="","欠損",IF(AO842&lt;=1.1,"1.0～1.1",IF(AO842&lt;1.3,"1.2",IF(AO842&lt;1.5,"1.3～1.4",IF(AO842&lt;2,"1.5～1.9","2.0以上"))))))</f>
        <v>欠損</v>
      </c>
      <c r="AQ842" s="8" t="str">
        <f aca="false">IF(A842="","",IF(ISNUMBER(SEARCH("2歳",Z842)),"2歳戦",IF(ISNUMBER(SEARCH("3歳未勝利",Z842)),"3歳未勝利",IF(ISNUMBER(SEARCH("未勝利",Z842)),"その他未勝利",IF(ISNUMBER(SEARCH("G1",Z842)),"G1",IF(ISNUMBER(SEARCH("G2",Z842)),"G2",IF(ISNUMBER(SEARCH("G3",Z842)),"G3",IF(ISNUMBER(SEARCH("古馬条件",Z842)),"古馬条件戦",IF(ISNUMBER(SEARCH("重賞",Z842)),"重賞","分類不能")))))))))</f>
        <v>分類不能</v>
      </c>
      <c r="AR842" s="8"/>
      <c r="AS842" s="8" t="s">
        <v>7626</v>
      </c>
      <c r="AT842" s="8" t="s">
        <v>7627</v>
      </c>
      <c r="AU842" s="8" t="s">
        <v>7628</v>
      </c>
      <c r="AV842" s="8" t="s">
        <v>7629</v>
      </c>
      <c r="AW842" s="8"/>
      <c r="AX842" s="8"/>
      <c r="AY842" s="8" t="s">
        <v>7610</v>
      </c>
      <c r="AZ842" s="4" t="s">
        <v>7617</v>
      </c>
      <c r="BA842" s="8" t="n">
        <v>1400</v>
      </c>
      <c r="BB842" s="8" t="s">
        <v>7634</v>
      </c>
      <c r="BC842" s="4" t="s">
        <v>7604</v>
      </c>
      <c r="BD842" s="8" t="s">
        <v>7605</v>
      </c>
      <c r="BE842" s="4" t="s">
        <v>7606</v>
      </c>
      <c r="BF842" s="8" t="s">
        <v>7607</v>
      </c>
      <c r="BG842" s="8" t="s">
        <v>7631</v>
      </c>
      <c r="BH842" s="4" t="s">
        <v>7632</v>
      </c>
      <c r="BI842" s="8" t="n">
        <v>16</v>
      </c>
      <c r="BJ842" s="8" t="s">
        <v>7610</v>
      </c>
      <c r="BK842" s="4" t="s">
        <v>7611</v>
      </c>
      <c r="BL842" s="8" t="s">
        <v>7602</v>
      </c>
      <c r="BM842" s="4" t="s">
        <v>7620</v>
      </c>
      <c r="BN842" s="8"/>
      <c r="BO842" s="8"/>
      <c r="BP842" s="8" t="s">
        <v>7610</v>
      </c>
      <c r="BQ842" s="8" t="str">
        <f aca="false">IF(A842="","",AT842)</f>
        <v>3歳以上</v>
      </c>
      <c r="BR842" s="8" t="str">
        <f aca="false">IF(A842="","",IF(BA842&lt;=1200,"～1200",IF(BA842&lt;=1500,"1300～1500",IF(BA842=1600,"1600",IF(BA842&lt;=1800,"1700～1800",IF(BA842&lt;=2000,"1900～2000","2100以上"))))))</f>
        <v>1300～1500</v>
      </c>
      <c r="BS842" s="8" t="str">
        <f aca="false">IF(A842="","",IF(AX842="G1","G1",IF(AX842="G2","G2",IF(AX842="G3","G3",IF(AX842="L","L","その他")))))</f>
        <v>その他</v>
      </c>
      <c r="BT842" s="8" t="str">
        <f aca="false">IF(A842="","",IF(BI842="","未結合",IF(D842=BI842,"一致","不一致")))</f>
        <v>一致</v>
      </c>
      <c r="BU842" s="8" t="str">
        <f aca="false">IF(A842="","",IF(BE842="牝馬限定","牝馬限定","その他"))</f>
        <v>その他</v>
      </c>
    </row>
    <row r="843" customFormat="false" ht="15.75" hidden="false" customHeight="false" outlineLevel="0" collapsed="false">
      <c r="A843" s="6" t="n">
        <f aca="false">DATE(2026,8,15)</f>
        <v>46249</v>
      </c>
      <c r="B843" s="4" t="s">
        <v>179</v>
      </c>
      <c r="C843" s="8" t="n">
        <v>11</v>
      </c>
      <c r="D843" s="8" t="n">
        <v>15</v>
      </c>
      <c r="E843" s="8" t="n">
        <v>1</v>
      </c>
      <c r="F843" s="4" t="s">
        <v>6605</v>
      </c>
      <c r="G843" s="8" t="n">
        <v>60</v>
      </c>
      <c r="H843" s="8" t="n">
        <v>13</v>
      </c>
      <c r="I843" s="4" t="s">
        <v>6412</v>
      </c>
      <c r="J843" s="8" t="n">
        <v>41</v>
      </c>
      <c r="K843" s="8" t="n">
        <v>3</v>
      </c>
      <c r="L843" s="4" t="s">
        <v>6606</v>
      </c>
      <c r="M843" s="8" t="n">
        <v>39</v>
      </c>
      <c r="N843" s="8" t="n">
        <f aca="false">IF(A843="","",G843-J843)</f>
        <v>19</v>
      </c>
      <c r="O843" s="8" t="n">
        <f aca="false">IF(A843="","",J843-M843)</f>
        <v>2</v>
      </c>
      <c r="P843" s="8" t="n">
        <f aca="false">IF(A843="","",G843+J843)</f>
        <v>101</v>
      </c>
      <c r="Q843" s="8" t="str">
        <f aca="false">IF(A843="","",IF(AND(Y843&lt;&gt;"参考",G843&gt;=ルール設定!$B$2),"○",""))</f>
        <v/>
      </c>
      <c r="R843" s="8" t="str">
        <f aca="false">IF(A843="","",IF(AND(Y843&lt;&gt;"参考",G843&gt;=ルール設定!$B$3,N843&gt;=ルール設定!$B$4),"○",""))</f>
        <v/>
      </c>
      <c r="S843" s="8" t="str">
        <f aca="false">IF(A843="","",IF(AND(Y843&lt;&gt;"参考",G843&gt;=ルール設定!$B$5,J843&gt;=ルール設定!$B$6,O843&gt;=ルール設定!$B$7),"○",""))</f>
        <v/>
      </c>
      <c r="T843" s="8" t="n">
        <v>4</v>
      </c>
      <c r="U843" s="8" t="n">
        <v>4</v>
      </c>
      <c r="V843" s="8" t="str">
        <f aca="false">IF(A843="","",IF(AND(ISNUMBER(T843),ISNUMBER(U843)),IF(AND(T843&lt;=3,U843&lt;=3),"○","×"),""))</f>
        <v>×</v>
      </c>
      <c r="W843" s="8"/>
      <c r="X843" s="8"/>
      <c r="Y843" s="4" t="s">
        <v>7597</v>
      </c>
      <c r="Z843" s="8" t="s">
        <v>8029</v>
      </c>
      <c r="AA843" s="8" t="str">
        <v/>
      </c>
      <c r="AB843" s="8" t="str">
        <v/>
      </c>
      <c r="AC843" s="8" t="str">
        <v/>
      </c>
      <c r="AD843" s="8" t="str">
        <v/>
      </c>
      <c r="AE843" s="8" t="str">
        <v/>
      </c>
      <c r="AF843" s="8" t="str">
        <v/>
      </c>
      <c r="AG843" s="8" t="str">
        <v/>
      </c>
      <c r="AH843" s="8" t="str">
        <v/>
      </c>
      <c r="AI843" s="8" t="n">
        <v>21</v>
      </c>
      <c r="AJ843" s="8" t="str">
        <v>60～69</v>
      </c>
      <c r="AK843" s="8" t="str">
        <v>10～19</v>
      </c>
      <c r="AL843" s="8" t="str">
        <v>20～29</v>
      </c>
      <c r="AM843" s="8" t="str">
        <v>100～119</v>
      </c>
      <c r="AN843" s="8" t="str">
        <v>15以上</v>
      </c>
      <c r="AO843" s="8" t="str">
        <f aca="false">IF(A843="","",IF(COUNTIFS(全馬データ!$A$2:$A$50000,A843,全馬データ!$B$2:$B$50000,B843,全馬データ!$C$2:$C$50000,C843,全馬データ!$D$2:$D$50000,E843,全馬データ!$K$2:$K$50000,"&lt;&gt;")=0,"",SUMIFS(全馬データ!$K$2:$K$50000,全馬データ!$A$2:$A$50000,A843,全馬データ!$B$2:$B$50000,B843,全馬データ!$C$2:$C$50000,C843,全馬データ!$D$2:$D$50000,E843)))</f>
        <v/>
      </c>
      <c r="AP843" s="8" t="str">
        <f aca="false">IF(A843="","",IF(AO843="","欠損",IF(AO843&lt;=1.1,"1.0～1.1",IF(AO843&lt;1.3,"1.2",IF(AO843&lt;1.5,"1.3～1.4",IF(AO843&lt;2,"1.5～1.9","2.0以上"))))))</f>
        <v>欠損</v>
      </c>
      <c r="AQ843" s="8" t="str">
        <f aca="false">IF(A843="","",IF(ISNUMBER(SEARCH("2歳",Z843)),"2歳戦",IF(ISNUMBER(SEARCH("3歳未勝利",Z843)),"3歳未勝利",IF(ISNUMBER(SEARCH("未勝利",Z843)),"その他未勝利",IF(ISNUMBER(SEARCH("G1",Z843)),"G1",IF(ISNUMBER(SEARCH("G2",Z843)),"G2",IF(ISNUMBER(SEARCH("G3",Z843)),"G3",IF(ISNUMBER(SEARCH("古馬条件",Z843)),"古馬条件戦",IF(ISNUMBER(SEARCH("重賞",Z843)),"重賞","分類不能")))))))))</f>
        <v>分類不能</v>
      </c>
      <c r="AR843" s="8"/>
      <c r="AS843" s="8" t="s">
        <v>7626</v>
      </c>
      <c r="AT843" s="8" t="s">
        <v>7627</v>
      </c>
      <c r="AU843" s="8" t="s">
        <v>7628</v>
      </c>
      <c r="AV843" s="8" t="s">
        <v>7629</v>
      </c>
      <c r="AW843" s="8"/>
      <c r="AX843" s="8"/>
      <c r="AY843" s="8" t="s">
        <v>7602</v>
      </c>
      <c r="AZ843" s="4" t="s">
        <v>7603</v>
      </c>
      <c r="BA843" s="8" t="n">
        <v>1600</v>
      </c>
      <c r="BB843" s="8" t="s">
        <v>7598</v>
      </c>
      <c r="BC843" s="4" t="s">
        <v>7604</v>
      </c>
      <c r="BD843" s="8" t="s">
        <v>7625</v>
      </c>
      <c r="BE843" s="4" t="s">
        <v>7606</v>
      </c>
      <c r="BF843" s="8" t="s">
        <v>7607</v>
      </c>
      <c r="BG843" s="8" t="s">
        <v>7631</v>
      </c>
      <c r="BH843" s="4" t="s">
        <v>7632</v>
      </c>
      <c r="BI843" s="8" t="n">
        <v>15</v>
      </c>
      <c r="BJ843" s="8" t="s">
        <v>7610</v>
      </c>
      <c r="BK843" s="4" t="s">
        <v>7611</v>
      </c>
      <c r="BL843" s="8" t="s">
        <v>7602</v>
      </c>
      <c r="BM843" s="4" t="s">
        <v>7620</v>
      </c>
      <c r="BN843" s="8" t="s">
        <v>7602</v>
      </c>
      <c r="BO843" s="8" t="s">
        <v>7613</v>
      </c>
      <c r="BP843" s="8" t="s">
        <v>7610</v>
      </c>
      <c r="BQ843" s="8" t="str">
        <f aca="false">IF(A843="","",AT843)</f>
        <v>3歳以上</v>
      </c>
      <c r="BR843" s="8" t="str">
        <f aca="false">IF(A843="","",IF(BA843&lt;=1200,"～1200",IF(BA843&lt;=1500,"1300～1500",IF(BA843=1600,"1600",IF(BA843&lt;=1800,"1700～1800",IF(BA843&lt;=2000,"1900～2000","2100以上"))))))</f>
        <v>1600</v>
      </c>
      <c r="BS843" s="8" t="str">
        <f aca="false">IF(A843="","",IF(AX843="G1","G1",IF(AX843="G2","G2",IF(AX843="G3","G3",IF(AX843="L","L","その他")))))</f>
        <v>その他</v>
      </c>
      <c r="BT843" s="8" t="str">
        <f aca="false">IF(A843="","",IF(BI843="","未結合",IF(D843=BI843,"一致","不一致")))</f>
        <v>一致</v>
      </c>
      <c r="BU843" s="8" t="str">
        <f aca="false">IF(A843="","",IF(BE843="牝馬限定","牝馬限定","その他"))</f>
        <v>その他</v>
      </c>
    </row>
    <row r="844" customFormat="false" ht="15.75" hidden="false" customHeight="false" outlineLevel="0" collapsed="false">
      <c r="A844" s="6" t="n">
        <f aca="false">DATE(2026,8,15)</f>
        <v>46249</v>
      </c>
      <c r="B844" s="4" t="s">
        <v>13</v>
      </c>
      <c r="C844" s="8" t="n">
        <v>1</v>
      </c>
      <c r="D844" s="8" t="n">
        <v>9</v>
      </c>
      <c r="E844" s="8" t="n">
        <v>3</v>
      </c>
      <c r="F844" s="4" t="s">
        <v>16</v>
      </c>
      <c r="G844" s="8" t="n">
        <v>71</v>
      </c>
      <c r="H844" s="8" t="n">
        <v>4</v>
      </c>
      <c r="I844" s="4" t="s">
        <v>6613</v>
      </c>
      <c r="J844" s="8" t="n">
        <v>67</v>
      </c>
      <c r="K844" s="8" t="n">
        <v>6</v>
      </c>
      <c r="L844" s="4" t="s">
        <v>6614</v>
      </c>
      <c r="M844" s="8" t="n">
        <v>39</v>
      </c>
      <c r="N844" s="8" t="n">
        <f aca="false">IF(A844="","",G844-J844)</f>
        <v>4</v>
      </c>
      <c r="O844" s="8" t="n">
        <f aca="false">IF(A844="","",J844-M844)</f>
        <v>28</v>
      </c>
      <c r="P844" s="8" t="n">
        <f aca="false">IF(A844="","",G844+J844)</f>
        <v>138</v>
      </c>
      <c r="Q844" s="8" t="str">
        <f aca="false">IF(A844="","",IF(AND(Y844&lt;&gt;"参考",G844&gt;=ルール設定!$B$2),"○",""))</f>
        <v/>
      </c>
      <c r="R844" s="8" t="str">
        <f aca="false">IF(A844="","",IF(AND(Y844&lt;&gt;"参考",G844&gt;=ルール設定!$B$3,N844&gt;=ルール設定!$B$4),"○",""))</f>
        <v/>
      </c>
      <c r="S844" s="8" t="str">
        <f aca="false">IF(A844="","",IF(AND(Y844&lt;&gt;"参考",G844&gt;=ルール設定!$B$5,J844&gt;=ルール設定!$B$6,O844&gt;=ルール設定!$B$7),"○",""))</f>
        <v>○</v>
      </c>
      <c r="T844" s="8" t="n">
        <v>1</v>
      </c>
      <c r="U844" s="8" t="n">
        <v>4</v>
      </c>
      <c r="V844" s="8" t="str">
        <f aca="false">IF(A844="","",IF(AND(ISNUMBER(T844),ISNUMBER(U844)),IF(AND(T844&lt;=3,U844&lt;=3),"○","×"),""))</f>
        <v>×</v>
      </c>
      <c r="W844" s="8" t="n">
        <v>120</v>
      </c>
      <c r="X844" s="8"/>
      <c r="Y844" s="4" t="s">
        <v>7597</v>
      </c>
      <c r="Z844" s="8" t="s">
        <v>8030</v>
      </c>
      <c r="AA844" s="8" t="str">
        <v/>
      </c>
      <c r="AB844" s="8" t="str">
        <v/>
      </c>
      <c r="AC844" s="8" t="str">
        <v/>
      </c>
      <c r="AD844" s="8" t="str">
        <v/>
      </c>
      <c r="AE844" s="8" t="str">
        <v/>
      </c>
      <c r="AF844" s="8" t="str">
        <v/>
      </c>
      <c r="AG844" s="8" t="str">
        <v/>
      </c>
      <c r="AH844" s="8" t="str">
        <v/>
      </c>
      <c r="AI844" s="8" t="n">
        <v>32</v>
      </c>
      <c r="AJ844" s="8" t="str">
        <v>70～74</v>
      </c>
      <c r="AK844" s="8" t="str">
        <v>0～4</v>
      </c>
      <c r="AL844" s="8" t="str">
        <v>30～39</v>
      </c>
      <c r="AM844" s="8" t="str">
        <v>120～139</v>
      </c>
      <c r="AN844" s="8" t="str">
        <v>8～11</v>
      </c>
      <c r="AO844" s="8" t="str">
        <f aca="false">IF(A844="","",IF(COUNTIFS(全馬データ!$A$2:$A$50000,A844,全馬データ!$B$2:$B$50000,B844,全馬データ!$C$2:$C$50000,C844,全馬データ!$D$2:$D$50000,E844,全馬データ!$K$2:$K$50000,"&lt;&gt;")=0,"",SUMIFS(全馬データ!$K$2:$K$50000,全馬データ!$A$2:$A$50000,A844,全馬データ!$B$2:$B$50000,B844,全馬データ!$C$2:$C$50000,C844,全馬データ!$D$2:$D$50000,E844)))</f>
        <v/>
      </c>
      <c r="AP844" s="8" t="str">
        <f aca="false">IF(A844="","",IF(AO844="","欠損",IF(AO844&lt;=1.1,"1.0～1.1",IF(AO844&lt;1.3,"1.2",IF(AO844&lt;1.5,"1.3～1.4",IF(AO844&lt;2,"1.5～1.9","2.0以上"))))))</f>
        <v>欠損</v>
      </c>
      <c r="AQ844" s="8" t="str">
        <f aca="false">IF(A844="","",IF(ISNUMBER(SEARCH("2歳",Z844)),"2歳戦",IF(ISNUMBER(SEARCH("3歳未勝利",Z844)),"3歳未勝利",IF(ISNUMBER(SEARCH("未勝利",Z844)),"その他未勝利",IF(ISNUMBER(SEARCH("G1",Z844)),"G1",IF(ISNUMBER(SEARCH("G2",Z844)),"G2",IF(ISNUMBER(SEARCH("G3",Z844)),"G3",IF(ISNUMBER(SEARCH("古馬条件",Z844)),"古馬条件戦",IF(ISNUMBER(SEARCH("重賞",Z844)),"重賞","分類不能")))))))))</f>
        <v>分類不能</v>
      </c>
      <c r="AR844" s="8"/>
      <c r="AS844" s="8" t="s">
        <v>7598</v>
      </c>
      <c r="AT844" s="8" t="s">
        <v>7599</v>
      </c>
      <c r="AU844" s="8" t="s">
        <v>7600</v>
      </c>
      <c r="AV844" s="4" t="s">
        <v>7601</v>
      </c>
      <c r="AW844" s="8"/>
      <c r="AX844" s="8"/>
      <c r="AY844" s="8" t="s">
        <v>7602</v>
      </c>
      <c r="AZ844" s="4" t="s">
        <v>7603</v>
      </c>
      <c r="BA844" s="8" t="n">
        <v>1800</v>
      </c>
      <c r="BB844" s="8" t="s">
        <v>7598</v>
      </c>
      <c r="BC844" s="4" t="s">
        <v>7604</v>
      </c>
      <c r="BD844" s="8" t="s">
        <v>7605</v>
      </c>
      <c r="BE844" s="4" t="s">
        <v>7606</v>
      </c>
      <c r="BF844" s="8" t="s">
        <v>7607</v>
      </c>
      <c r="BG844" s="8" t="s">
        <v>7608</v>
      </c>
      <c r="BH844" s="4" t="s">
        <v>7609</v>
      </c>
      <c r="BI844" s="8" t="n">
        <v>9</v>
      </c>
      <c r="BJ844" s="8" t="s">
        <v>7610</v>
      </c>
      <c r="BK844" s="4" t="s">
        <v>7611</v>
      </c>
      <c r="BL844" s="8" t="s">
        <v>7610</v>
      </c>
      <c r="BM844" s="4" t="s">
        <v>7612</v>
      </c>
      <c r="BN844" s="8" t="s">
        <v>7602</v>
      </c>
      <c r="BO844" s="8" t="s">
        <v>7613</v>
      </c>
      <c r="BP844" s="8" t="s">
        <v>7602</v>
      </c>
      <c r="BQ844" s="8" t="str">
        <f aca="false">IF(A844="","",AT844)</f>
        <v>2歳</v>
      </c>
      <c r="BR844" s="8" t="str">
        <f aca="false">IF(A844="","",IF(BA844&lt;=1200,"～1200",IF(BA844&lt;=1500,"1300～1500",IF(BA844=1600,"1600",IF(BA844&lt;=1800,"1700～1800",IF(BA844&lt;=2000,"1900～2000","2100以上"))))))</f>
        <v>1700～1800</v>
      </c>
      <c r="BS844" s="8" t="str">
        <f aca="false">IF(A844="","",IF(AX844="G1","G1",IF(AX844="G2","G2",IF(AX844="G3","G3",IF(AX844="L","L","その他")))))</f>
        <v>その他</v>
      </c>
      <c r="BT844" s="8" t="str">
        <f aca="false">IF(A844="","",IF(BI844="","未結合",IF(D844=BI844,"一致","不一致")))</f>
        <v>一致</v>
      </c>
      <c r="BU844" s="8" t="str">
        <f aca="false">IF(A844="","",IF(BE844="牝馬限定","牝馬限定","その他"))</f>
        <v>その他</v>
      </c>
    </row>
    <row r="845" customFormat="false" ht="15.75" hidden="false" customHeight="false" outlineLevel="0" collapsed="false">
      <c r="A845" s="6" t="n">
        <f aca="false">DATE(2026,8,15)</f>
        <v>46249</v>
      </c>
      <c r="B845" s="4" t="s">
        <v>13</v>
      </c>
      <c r="C845" s="8" t="n">
        <v>2</v>
      </c>
      <c r="D845" s="8" t="n">
        <v>15</v>
      </c>
      <c r="E845" s="8" t="n">
        <v>9</v>
      </c>
      <c r="F845" s="4" t="s">
        <v>6623</v>
      </c>
      <c r="G845" s="8" t="n">
        <v>31</v>
      </c>
      <c r="H845" s="8" t="n">
        <v>5</v>
      </c>
      <c r="I845" s="4" t="s">
        <v>6619</v>
      </c>
      <c r="J845" s="8" t="n">
        <v>24</v>
      </c>
      <c r="K845" s="8" t="n">
        <v>14</v>
      </c>
      <c r="L845" s="4" t="s">
        <v>6628</v>
      </c>
      <c r="M845" s="8" t="n">
        <v>24</v>
      </c>
      <c r="N845" s="8" t="n">
        <f aca="false">IF(A845="","",G845-J845)</f>
        <v>7</v>
      </c>
      <c r="O845" s="8" t="n">
        <f aca="false">IF(A845="","",J845-M845)</f>
        <v>0</v>
      </c>
      <c r="P845" s="8" t="n">
        <f aca="false">IF(A845="","",G845+J845)</f>
        <v>55</v>
      </c>
      <c r="Q845" s="8" t="str">
        <f aca="false">IF(A845="","",IF(AND(Y845&lt;&gt;"参考",G845&gt;=ルール設定!$B$2),"○",""))</f>
        <v/>
      </c>
      <c r="R845" s="8" t="str">
        <f aca="false">IF(A845="","",IF(AND(Y845&lt;&gt;"参考",G845&gt;=ルール設定!$B$3,N845&gt;=ルール設定!$B$4),"○",""))</f>
        <v/>
      </c>
      <c r="S845" s="8" t="str">
        <f aca="false">IF(A845="","",IF(AND(Y845&lt;&gt;"参考",G845&gt;=ルール設定!$B$5,J845&gt;=ルール設定!$B$6,O845&gt;=ルール設定!$B$7),"○",""))</f>
        <v/>
      </c>
      <c r="T845" s="8" t="n">
        <v>4</v>
      </c>
      <c r="U845" s="8" t="n">
        <v>4</v>
      </c>
      <c r="V845" s="8" t="str">
        <f aca="false">IF(A845="","",IF(AND(ISNUMBER(T845),ISNUMBER(U845)),IF(AND(T845&lt;=3,U845&lt;=3),"○","×"),""))</f>
        <v>×</v>
      </c>
      <c r="W845" s="8"/>
      <c r="X845" s="8"/>
      <c r="Y845" s="4" t="s">
        <v>7597</v>
      </c>
      <c r="Z845" s="8" t="s">
        <v>8031</v>
      </c>
      <c r="AA845" s="8" t="str">
        <v/>
      </c>
      <c r="AB845" s="8" t="str">
        <v/>
      </c>
      <c r="AC845" s="8" t="str">
        <v/>
      </c>
      <c r="AD845" s="8" t="str">
        <v/>
      </c>
      <c r="AE845" s="8" t="str">
        <v/>
      </c>
      <c r="AF845" s="8" t="str">
        <v/>
      </c>
      <c r="AG845" s="8" t="str">
        <v/>
      </c>
      <c r="AH845" s="8" t="str">
        <v/>
      </c>
      <c r="AI845" s="8" t="n">
        <v>7</v>
      </c>
      <c r="AJ845" s="8" t="str">
        <v>～59</v>
      </c>
      <c r="AK845" s="8" t="str">
        <v>5～9</v>
      </c>
      <c r="AL845" s="8" t="str">
        <v>0～9</v>
      </c>
      <c r="AM845" s="8" t="str">
        <v>～99</v>
      </c>
      <c r="AN845" s="8" t="str">
        <v>15以上</v>
      </c>
      <c r="AO845" s="8" t="str">
        <f aca="false">IF(A845="","",IF(COUNTIFS(全馬データ!$A$2:$A$50000,A845,全馬データ!$B$2:$B$50000,B845,全馬データ!$C$2:$C$50000,C845,全馬データ!$D$2:$D$50000,E845,全馬データ!$K$2:$K$50000,"&lt;&gt;")=0,"",SUMIFS(全馬データ!$K$2:$K$50000,全馬データ!$A$2:$A$50000,A845,全馬データ!$B$2:$B$50000,B845,全馬データ!$C$2:$C$50000,C845,全馬データ!$D$2:$D$50000,E845)))</f>
        <v/>
      </c>
      <c r="AP845" s="8" t="str">
        <f aca="false">IF(A845="","",IF(AO845="","欠損",IF(AO845&lt;=1.1,"1.0～1.1",IF(AO845&lt;1.3,"1.2",IF(AO845&lt;1.5,"1.3～1.4",IF(AO845&lt;2,"1.5～1.9","2.0以上"))))))</f>
        <v>欠損</v>
      </c>
      <c r="AQ845" s="8" t="str">
        <f aca="false">IF(A845="","",IF(ISNUMBER(SEARCH("2歳",Z845)),"2歳戦",IF(ISNUMBER(SEARCH("3歳未勝利",Z845)),"3歳未勝利",IF(ISNUMBER(SEARCH("未勝利",Z845)),"その他未勝利",IF(ISNUMBER(SEARCH("G1",Z845)),"G1",IF(ISNUMBER(SEARCH("G2",Z845)),"G2",IF(ISNUMBER(SEARCH("G3",Z845)),"G3",IF(ISNUMBER(SEARCH("古馬条件",Z845)),"古馬条件戦",IF(ISNUMBER(SEARCH("重賞",Z845)),"重賞","分類不能")))))))))</f>
        <v>分類不能</v>
      </c>
      <c r="AR845" s="8"/>
      <c r="AS845" s="8" t="s">
        <v>7598</v>
      </c>
      <c r="AT845" s="8" t="s">
        <v>7599</v>
      </c>
      <c r="AU845" s="8" t="s">
        <v>7615</v>
      </c>
      <c r="AV845" s="4" t="s">
        <v>7616</v>
      </c>
      <c r="AW845" s="8"/>
      <c r="AX845" s="8"/>
      <c r="AY845" s="8" t="s">
        <v>7602</v>
      </c>
      <c r="AZ845" s="4" t="s">
        <v>7603</v>
      </c>
      <c r="BA845" s="8" t="n">
        <v>1400</v>
      </c>
      <c r="BB845" s="8" t="s">
        <v>7598</v>
      </c>
      <c r="BC845" s="4" t="s">
        <v>7604</v>
      </c>
      <c r="BD845" s="8" t="s">
        <v>7621</v>
      </c>
      <c r="BE845" s="4" t="s">
        <v>7622</v>
      </c>
      <c r="BF845" s="8" t="s">
        <v>7602</v>
      </c>
      <c r="BG845" s="8" t="s">
        <v>7608</v>
      </c>
      <c r="BH845" s="4" t="s">
        <v>7609</v>
      </c>
      <c r="BI845" s="8" t="n">
        <v>15</v>
      </c>
      <c r="BJ845" s="8" t="s">
        <v>7610</v>
      </c>
      <c r="BK845" s="4" t="s">
        <v>7611</v>
      </c>
      <c r="BL845" s="8" t="s">
        <v>7602</v>
      </c>
      <c r="BM845" s="4" t="s">
        <v>7620</v>
      </c>
      <c r="BN845" s="8" t="s">
        <v>7602</v>
      </c>
      <c r="BO845" s="8" t="s">
        <v>7613</v>
      </c>
      <c r="BP845" s="8" t="s">
        <v>7602</v>
      </c>
      <c r="BQ845" s="8" t="str">
        <f aca="false">IF(A845="","",AT845)</f>
        <v>2歳</v>
      </c>
      <c r="BR845" s="8" t="str">
        <f aca="false">IF(A845="","",IF(BA845&lt;=1200,"～1200",IF(BA845&lt;=1500,"1300～1500",IF(BA845=1600,"1600",IF(BA845&lt;=1800,"1700～1800",IF(BA845&lt;=2000,"1900～2000","2100以上"))))))</f>
        <v>1300～1500</v>
      </c>
      <c r="BS845" s="8" t="str">
        <f aca="false">IF(A845="","",IF(AX845="G1","G1",IF(AX845="G2","G2",IF(AX845="G3","G3",IF(AX845="L","L","その他")))))</f>
        <v>その他</v>
      </c>
      <c r="BT845" s="8" t="str">
        <f aca="false">IF(A845="","",IF(BI845="","未結合",IF(D845=BI845,"一致","不一致")))</f>
        <v>一致</v>
      </c>
      <c r="BU845" s="8" t="str">
        <f aca="false">IF(A845="","",IF(BE845="牝馬限定","牝馬限定","その他"))</f>
        <v>牝馬限定</v>
      </c>
    </row>
    <row r="846" customFormat="false" ht="15.75" hidden="false" customHeight="false" outlineLevel="0" collapsed="false">
      <c r="A846" s="6" t="n">
        <f aca="false">DATE(2026,8,15)</f>
        <v>46249</v>
      </c>
      <c r="B846" s="4" t="s">
        <v>13</v>
      </c>
      <c r="C846" s="8" t="n">
        <v>3</v>
      </c>
      <c r="D846" s="8" t="n">
        <v>12</v>
      </c>
      <c r="E846" s="8" t="n">
        <v>2</v>
      </c>
      <c r="F846" s="4" t="s">
        <v>6631</v>
      </c>
      <c r="G846" s="8" t="n">
        <v>37</v>
      </c>
      <c r="H846" s="8" t="n">
        <v>8</v>
      </c>
      <c r="I846" s="4" t="s">
        <v>6637</v>
      </c>
      <c r="J846" s="8" t="n">
        <v>37</v>
      </c>
      <c r="K846" s="8" t="n">
        <v>10</v>
      </c>
      <c r="L846" s="4" t="s">
        <v>6639</v>
      </c>
      <c r="M846" s="8" t="n">
        <v>31</v>
      </c>
      <c r="N846" s="8" t="n">
        <f aca="false">IF(A846="","",G846-J846)</f>
        <v>0</v>
      </c>
      <c r="O846" s="8" t="n">
        <f aca="false">IF(A846="","",J846-M846)</f>
        <v>6</v>
      </c>
      <c r="P846" s="8" t="n">
        <f aca="false">IF(A846="","",G846+J846)</f>
        <v>74</v>
      </c>
      <c r="Q846" s="8" t="str">
        <f aca="false">IF(A846="","",IF(AND(Y846&lt;&gt;"参考",G846&gt;=ルール設定!$B$2),"○",""))</f>
        <v/>
      </c>
      <c r="R846" s="8" t="str">
        <f aca="false">IF(A846="","",IF(AND(Y846&lt;&gt;"参考",G846&gt;=ルール設定!$B$3,N846&gt;=ルール設定!$B$4),"○",""))</f>
        <v/>
      </c>
      <c r="S846" s="8" t="str">
        <f aca="false">IF(A846="","",IF(AND(Y846&lt;&gt;"参考",G846&gt;=ルール設定!$B$5,J846&gt;=ルール設定!$B$6,O846&gt;=ルール設定!$B$7),"○",""))</f>
        <v/>
      </c>
      <c r="T846" s="8" t="n">
        <v>4</v>
      </c>
      <c r="U846" s="8" t="n">
        <v>3</v>
      </c>
      <c r="V846" s="8" t="str">
        <f aca="false">IF(A846="","",IF(AND(ISNUMBER(T846),ISNUMBER(U846)),IF(AND(T846&lt;=3,U846&lt;=3),"○","×"),""))</f>
        <v>×</v>
      </c>
      <c r="W846" s="8"/>
      <c r="X846" s="8"/>
      <c r="Y846" s="4" t="s">
        <v>7597</v>
      </c>
      <c r="Z846" s="8" t="s">
        <v>8032</v>
      </c>
      <c r="AA846" s="8" t="str">
        <v/>
      </c>
      <c r="AB846" s="8" t="str">
        <v/>
      </c>
      <c r="AC846" s="8" t="str">
        <v/>
      </c>
      <c r="AD846" s="8" t="str">
        <v/>
      </c>
      <c r="AE846" s="8" t="str">
        <v/>
      </c>
      <c r="AF846" s="8" t="str">
        <v/>
      </c>
      <c r="AG846" s="8" t="str">
        <v/>
      </c>
      <c r="AH846" s="8" t="str">
        <v/>
      </c>
      <c r="AI846" s="8" t="n">
        <v>6</v>
      </c>
      <c r="AJ846" s="8" t="str">
        <v>～59</v>
      </c>
      <c r="AK846" s="8" t="str">
        <v>0～4</v>
      </c>
      <c r="AL846" s="8" t="str">
        <v>0～9</v>
      </c>
      <c r="AM846" s="8" t="str">
        <v>～99</v>
      </c>
      <c r="AN846" s="8" t="str">
        <v>12～14</v>
      </c>
      <c r="AO846" s="8" t="str">
        <f aca="false">IF(A846="","",IF(COUNTIFS(全馬データ!$A$2:$A$50000,A846,全馬データ!$B$2:$B$50000,B846,全馬データ!$C$2:$C$50000,C846,全馬データ!$D$2:$D$50000,E846,全馬データ!$K$2:$K$50000,"&lt;&gt;")=0,"",SUMIFS(全馬データ!$K$2:$K$50000,全馬データ!$A$2:$A$50000,A846,全馬データ!$B$2:$B$50000,B846,全馬データ!$C$2:$C$50000,C846,全馬データ!$D$2:$D$50000,E846)))</f>
        <v/>
      </c>
      <c r="AP846" s="8" t="str">
        <f aca="false">IF(A846="","",IF(AO846="","欠損",IF(AO846&lt;=1.1,"1.0～1.1",IF(AO846&lt;1.3,"1.2",IF(AO846&lt;1.5,"1.3～1.4",IF(AO846&lt;2,"1.5～1.9","2.0以上"))))))</f>
        <v>欠損</v>
      </c>
      <c r="AQ846" s="8" t="str">
        <f aca="false">IF(A846="","",IF(ISNUMBER(SEARCH("2歳",Z846)),"2歳戦",IF(ISNUMBER(SEARCH("3歳未勝利",Z846)),"3歳未勝利",IF(ISNUMBER(SEARCH("未勝利",Z846)),"その他未勝利",IF(ISNUMBER(SEARCH("G1",Z846)),"G1",IF(ISNUMBER(SEARCH("G2",Z846)),"G2",IF(ISNUMBER(SEARCH("G3",Z846)),"G3",IF(ISNUMBER(SEARCH("古馬条件",Z846)),"古馬条件戦",IF(ISNUMBER(SEARCH("重賞",Z846)),"重賞","分類不能")))))))))</f>
        <v>分類不能</v>
      </c>
      <c r="AR846" s="8"/>
      <c r="AS846" s="8" t="s">
        <v>7598</v>
      </c>
      <c r="AT846" s="8" t="s">
        <v>7599</v>
      </c>
      <c r="AU846" s="8" t="s">
        <v>7615</v>
      </c>
      <c r="AV846" s="4" t="s">
        <v>7616</v>
      </c>
      <c r="AW846" s="8"/>
      <c r="AX846" s="8"/>
      <c r="AY846" s="8" t="s">
        <v>7602</v>
      </c>
      <c r="AZ846" s="4" t="s">
        <v>7603</v>
      </c>
      <c r="BA846" s="8" t="n">
        <v>1800</v>
      </c>
      <c r="BB846" s="8" t="s">
        <v>7598</v>
      </c>
      <c r="BC846" s="4" t="s">
        <v>7604</v>
      </c>
      <c r="BD846" s="8" t="s">
        <v>7605</v>
      </c>
      <c r="BE846" s="4" t="s">
        <v>7606</v>
      </c>
      <c r="BF846" s="8" t="s">
        <v>7607</v>
      </c>
      <c r="BG846" s="8" t="s">
        <v>7608</v>
      </c>
      <c r="BH846" s="4" t="s">
        <v>7609</v>
      </c>
      <c r="BI846" s="8" t="n">
        <v>12</v>
      </c>
      <c r="BJ846" s="8" t="s">
        <v>7610</v>
      </c>
      <c r="BK846" s="4" t="s">
        <v>7611</v>
      </c>
      <c r="BL846" s="8" t="s">
        <v>7610</v>
      </c>
      <c r="BM846" s="4" t="s">
        <v>7612</v>
      </c>
      <c r="BN846" s="8" t="s">
        <v>7602</v>
      </c>
      <c r="BO846" s="8" t="s">
        <v>7613</v>
      </c>
      <c r="BP846" s="8" t="s">
        <v>7602</v>
      </c>
      <c r="BQ846" s="8" t="str">
        <f aca="false">IF(A846="","",AT846)</f>
        <v>2歳</v>
      </c>
      <c r="BR846" s="8" t="str">
        <f aca="false">IF(A846="","",IF(BA846&lt;=1200,"～1200",IF(BA846&lt;=1500,"1300～1500",IF(BA846=1600,"1600",IF(BA846&lt;=1800,"1700～1800",IF(BA846&lt;=2000,"1900～2000","2100以上"))))))</f>
        <v>1700～1800</v>
      </c>
      <c r="BS846" s="8" t="str">
        <f aca="false">IF(A846="","",IF(AX846="G1","G1",IF(AX846="G2","G2",IF(AX846="G3","G3",IF(AX846="L","L","その他")))))</f>
        <v>その他</v>
      </c>
      <c r="BT846" s="8" t="str">
        <f aca="false">IF(A846="","",IF(BI846="","未結合",IF(D846=BI846,"一致","不一致")))</f>
        <v>一致</v>
      </c>
      <c r="BU846" s="8" t="str">
        <f aca="false">IF(A846="","",IF(BE846="牝馬限定","牝馬限定","その他"))</f>
        <v>その他</v>
      </c>
    </row>
    <row r="847" customFormat="false" ht="15.75" hidden="false" customHeight="false" outlineLevel="0" collapsed="false">
      <c r="A847" s="6" t="n">
        <f aca="false">DATE(2026,8,15)</f>
        <v>46249</v>
      </c>
      <c r="B847" s="4" t="s">
        <v>13</v>
      </c>
      <c r="C847" s="8" t="n">
        <v>4</v>
      </c>
      <c r="D847" s="8" t="n">
        <v>15</v>
      </c>
      <c r="E847" s="8" t="n">
        <v>12</v>
      </c>
      <c r="F847" s="4" t="s">
        <v>3735</v>
      </c>
      <c r="G847" s="8" t="n">
        <v>60</v>
      </c>
      <c r="H847" s="8" t="n">
        <v>8</v>
      </c>
      <c r="I847" s="4" t="s">
        <v>944</v>
      </c>
      <c r="J847" s="8" t="n">
        <v>44</v>
      </c>
      <c r="K847" s="8" t="n">
        <v>15</v>
      </c>
      <c r="L847" s="4" t="s">
        <v>6648</v>
      </c>
      <c r="M847" s="8" t="n">
        <v>44</v>
      </c>
      <c r="N847" s="8" t="n">
        <f aca="false">IF(A847="","",G847-J847)</f>
        <v>16</v>
      </c>
      <c r="O847" s="8" t="n">
        <f aca="false">IF(A847="","",J847-M847)</f>
        <v>0</v>
      </c>
      <c r="P847" s="8" t="n">
        <f aca="false">IF(A847="","",G847+J847)</f>
        <v>104</v>
      </c>
      <c r="Q847" s="8" t="str">
        <f aca="false">IF(A847="","",IF(AND(Y847&lt;&gt;"参考",G847&gt;=ルール設定!$B$2),"○",""))</f>
        <v/>
      </c>
      <c r="R847" s="8" t="str">
        <f aca="false">IF(A847="","",IF(AND(Y847&lt;&gt;"参考",G847&gt;=ルール設定!$B$3,N847&gt;=ルール設定!$B$4),"○",""))</f>
        <v/>
      </c>
      <c r="S847" s="8" t="str">
        <f aca="false">IF(A847="","",IF(AND(Y847&lt;&gt;"参考",G847&gt;=ルール設定!$B$5,J847&gt;=ルール設定!$B$6,O847&gt;=ルール設定!$B$7),"○",""))</f>
        <v/>
      </c>
      <c r="T847" s="8" t="n">
        <v>1</v>
      </c>
      <c r="U847" s="8" t="n">
        <v>4</v>
      </c>
      <c r="V847" s="8" t="str">
        <f aca="false">IF(A847="","",IF(AND(ISNUMBER(T847),ISNUMBER(U847)),IF(AND(T847&lt;=3,U847&lt;=3),"○","×"),""))</f>
        <v>×</v>
      </c>
      <c r="W847" s="8" t="n">
        <v>130</v>
      </c>
      <c r="X847" s="8"/>
      <c r="Y847" s="4" t="s">
        <v>7597</v>
      </c>
      <c r="Z847" s="8" t="s">
        <v>8033</v>
      </c>
      <c r="AA847" s="8" t="str">
        <v/>
      </c>
      <c r="AB847" s="8" t="str">
        <v/>
      </c>
      <c r="AC847" s="8" t="str">
        <v/>
      </c>
      <c r="AD847" s="8" t="str">
        <v/>
      </c>
      <c r="AE847" s="8" t="str">
        <v/>
      </c>
      <c r="AF847" s="8" t="str">
        <v/>
      </c>
      <c r="AG847" s="8" t="str">
        <v/>
      </c>
      <c r="AH847" s="8" t="str">
        <v/>
      </c>
      <c r="AI847" s="8" t="n">
        <v>16</v>
      </c>
      <c r="AJ847" s="8" t="str">
        <v>60～69</v>
      </c>
      <c r="AK847" s="8" t="str">
        <v>10～19</v>
      </c>
      <c r="AL847" s="8" t="str">
        <v>10～19</v>
      </c>
      <c r="AM847" s="8" t="str">
        <v>100～119</v>
      </c>
      <c r="AN847" s="8" t="str">
        <v>15以上</v>
      </c>
      <c r="AO847" s="8" t="str">
        <f aca="false">IF(A847="","",IF(COUNTIFS(全馬データ!$A$2:$A$50000,A847,全馬データ!$B$2:$B$50000,B847,全馬データ!$C$2:$C$50000,C847,全馬データ!$D$2:$D$50000,E847,全馬データ!$K$2:$K$50000,"&lt;&gt;")=0,"",SUMIFS(全馬データ!$K$2:$K$50000,全馬データ!$A$2:$A$50000,A847,全馬データ!$B$2:$B$50000,B847,全馬データ!$C$2:$C$50000,C847,全馬データ!$D$2:$D$50000,E847)))</f>
        <v/>
      </c>
      <c r="AP847" s="8" t="str">
        <f aca="false">IF(A847="","",IF(AO847="","欠損",IF(AO847&lt;=1.1,"1.0～1.1",IF(AO847&lt;1.3,"1.2",IF(AO847&lt;1.5,"1.3～1.4",IF(AO847&lt;2,"1.5～1.9","2.0以上"))))))</f>
        <v>欠損</v>
      </c>
      <c r="AQ847" s="8" t="str">
        <f aca="false">IF(A847="","",IF(ISNUMBER(SEARCH("2歳",Z847)),"2歳戦",IF(ISNUMBER(SEARCH("3歳未勝利",Z847)),"3歳未勝利",IF(ISNUMBER(SEARCH("未勝利",Z847)),"その他未勝利",IF(ISNUMBER(SEARCH("G1",Z847)),"G1",IF(ISNUMBER(SEARCH("G2",Z847)),"G2",IF(ISNUMBER(SEARCH("G3",Z847)),"G3",IF(ISNUMBER(SEARCH("古馬条件",Z847)),"古馬条件戦",IF(ISNUMBER(SEARCH("重賞",Z847)),"重賞","分類不能")))))))))</f>
        <v>分類不能</v>
      </c>
      <c r="AR847" s="8"/>
      <c r="AS847" s="8" t="s">
        <v>7623</v>
      </c>
      <c r="AT847" s="8" t="s">
        <v>7624</v>
      </c>
      <c r="AU847" s="8" t="s">
        <v>7600</v>
      </c>
      <c r="AV847" s="4" t="s">
        <v>7601</v>
      </c>
      <c r="AW847" s="8"/>
      <c r="AX847" s="8"/>
      <c r="AY847" s="8" t="s">
        <v>7610</v>
      </c>
      <c r="AZ847" s="4" t="s">
        <v>7617</v>
      </c>
      <c r="BA847" s="8" t="n">
        <v>1200</v>
      </c>
      <c r="BB847" s="8" t="s">
        <v>7598</v>
      </c>
      <c r="BC847" s="4" t="s">
        <v>7604</v>
      </c>
      <c r="BD847" s="8" t="s">
        <v>7625</v>
      </c>
      <c r="BE847" s="4" t="s">
        <v>7606</v>
      </c>
      <c r="BF847" s="8" t="s">
        <v>7607</v>
      </c>
      <c r="BG847" s="8" t="s">
        <v>7608</v>
      </c>
      <c r="BH847" s="4" t="s">
        <v>7609</v>
      </c>
      <c r="BI847" s="8" t="n">
        <v>15</v>
      </c>
      <c r="BJ847" s="8" t="s">
        <v>7610</v>
      </c>
      <c r="BK847" s="4" t="s">
        <v>7611</v>
      </c>
      <c r="BL847" s="8" t="s">
        <v>7602</v>
      </c>
      <c r="BM847" s="4" t="s">
        <v>7620</v>
      </c>
      <c r="BN847" s="8"/>
      <c r="BO847" s="8"/>
      <c r="BP847" s="8" t="s">
        <v>7602</v>
      </c>
      <c r="BQ847" s="8" t="str">
        <f aca="false">IF(A847="","",AT847)</f>
        <v>3歳</v>
      </c>
      <c r="BR847" s="8" t="str">
        <f aca="false">IF(A847="","",IF(BA847&lt;=1200,"～1200",IF(BA847&lt;=1500,"1300～1500",IF(BA847=1600,"1600",IF(BA847&lt;=1800,"1700～1800",IF(BA847&lt;=2000,"1900～2000","2100以上"))))))</f>
        <v>～1200</v>
      </c>
      <c r="BS847" s="8" t="str">
        <f aca="false">IF(A847="","",IF(AX847="G1","G1",IF(AX847="G2","G2",IF(AX847="G3","G3",IF(AX847="L","L","その他")))))</f>
        <v>その他</v>
      </c>
      <c r="BT847" s="8" t="str">
        <f aca="false">IF(A847="","",IF(BI847="","未結合",IF(D847=BI847,"一致","不一致")))</f>
        <v>一致</v>
      </c>
      <c r="BU847" s="8" t="str">
        <f aca="false">IF(A847="","",IF(BE847="牝馬限定","牝馬限定","その他"))</f>
        <v>その他</v>
      </c>
    </row>
    <row r="848" customFormat="false" ht="15.75" hidden="false" customHeight="false" outlineLevel="0" collapsed="false">
      <c r="A848" s="6" t="n">
        <f aca="false">DATE(2026,8,15)</f>
        <v>46249</v>
      </c>
      <c r="B848" s="4" t="s">
        <v>13</v>
      </c>
      <c r="C848" s="8" t="n">
        <v>5</v>
      </c>
      <c r="D848" s="8" t="n">
        <v>18</v>
      </c>
      <c r="E848" s="8" t="n">
        <v>4</v>
      </c>
      <c r="F848" s="4" t="s">
        <v>5192</v>
      </c>
      <c r="G848" s="8" t="n">
        <v>47</v>
      </c>
      <c r="H848" s="8" t="n">
        <v>15</v>
      </c>
      <c r="I848" s="4" t="s">
        <v>5843</v>
      </c>
      <c r="J848" s="8" t="n">
        <v>47</v>
      </c>
      <c r="K848" s="8" t="n">
        <v>5</v>
      </c>
      <c r="L848" s="4" t="s">
        <v>4728</v>
      </c>
      <c r="M848" s="8" t="n">
        <v>39</v>
      </c>
      <c r="N848" s="8" t="n">
        <f aca="false">IF(A848="","",G848-J848)</f>
        <v>0</v>
      </c>
      <c r="O848" s="8" t="n">
        <f aca="false">IF(A848="","",J848-M848)</f>
        <v>8</v>
      </c>
      <c r="P848" s="8" t="n">
        <f aca="false">IF(A848="","",G848+J848)</f>
        <v>94</v>
      </c>
      <c r="Q848" s="8" t="str">
        <f aca="false">IF(A848="","",IF(AND(Y848&lt;&gt;"参考",G848&gt;=ルール設定!$B$2),"○",""))</f>
        <v/>
      </c>
      <c r="R848" s="8" t="str">
        <f aca="false">IF(A848="","",IF(AND(Y848&lt;&gt;"参考",G848&gt;=ルール設定!$B$3,N848&gt;=ルール設定!$B$4),"○",""))</f>
        <v/>
      </c>
      <c r="S848" s="8" t="str">
        <f aca="false">IF(A848="","",IF(AND(Y848&lt;&gt;"参考",G848&gt;=ルール設定!$B$5,J848&gt;=ルール設定!$B$6,O848&gt;=ルール設定!$B$7),"○",""))</f>
        <v/>
      </c>
      <c r="T848" s="8" t="n">
        <v>1</v>
      </c>
      <c r="U848" s="8" t="n">
        <v>2</v>
      </c>
      <c r="V848" s="8" t="str">
        <f aca="false">IF(A848="","",IF(AND(ISNUMBER(T848),ISNUMBER(U848)),IF(AND(T848&lt;=3,U848&lt;=3),"○","×"),""))</f>
        <v>○</v>
      </c>
      <c r="W848" s="8" t="n">
        <v>220</v>
      </c>
      <c r="X848" s="8" t="n">
        <v>530</v>
      </c>
      <c r="Y848" s="4" t="s">
        <v>7597</v>
      </c>
      <c r="Z848" s="8" t="s">
        <v>8034</v>
      </c>
      <c r="AA848" s="8" t="str">
        <v/>
      </c>
      <c r="AB848" s="8" t="str">
        <v/>
      </c>
      <c r="AC848" s="8" t="str">
        <v/>
      </c>
      <c r="AD848" s="8" t="str">
        <v/>
      </c>
      <c r="AE848" s="8" t="str">
        <v/>
      </c>
      <c r="AF848" s="8" t="str">
        <v/>
      </c>
      <c r="AG848" s="8" t="str">
        <v/>
      </c>
      <c r="AH848" s="8" t="str">
        <v/>
      </c>
      <c r="AI848" s="8" t="n">
        <v>8</v>
      </c>
      <c r="AJ848" s="8" t="str">
        <v>～59</v>
      </c>
      <c r="AK848" s="8" t="str">
        <v>0～4</v>
      </c>
      <c r="AL848" s="8" t="str">
        <v>0～9</v>
      </c>
      <c r="AM848" s="8" t="str">
        <v>～99</v>
      </c>
      <c r="AN848" s="8" t="str">
        <v>15以上</v>
      </c>
      <c r="AO848" s="8" t="str">
        <f aca="false">IF(A848="","",IF(COUNTIFS(全馬データ!$A$2:$A$50000,A848,全馬データ!$B$2:$B$50000,B848,全馬データ!$C$2:$C$50000,C848,全馬データ!$D$2:$D$50000,E848,全馬データ!$K$2:$K$50000,"&lt;&gt;")=0,"",SUMIFS(全馬データ!$K$2:$K$50000,全馬データ!$A$2:$A$50000,A848,全馬データ!$B$2:$B$50000,B848,全馬データ!$C$2:$C$50000,C848,全馬データ!$D$2:$D$50000,E848)))</f>
        <v/>
      </c>
      <c r="AP848" s="8" t="str">
        <f aca="false">IF(A848="","",IF(AO848="","欠損",IF(AO848&lt;=1.1,"1.0～1.1",IF(AO848&lt;1.3,"1.2",IF(AO848&lt;1.5,"1.3～1.4",IF(AO848&lt;2,"1.5～1.9","2.0以上"))))))</f>
        <v>欠損</v>
      </c>
      <c r="AQ848" s="8" t="str">
        <f aca="false">IF(A848="","",IF(ISNUMBER(SEARCH("2歳",Z848)),"2歳戦",IF(ISNUMBER(SEARCH("3歳未勝利",Z848)),"3歳未勝利",IF(ISNUMBER(SEARCH("未勝利",Z848)),"その他未勝利",IF(ISNUMBER(SEARCH("G1",Z848)),"G1",IF(ISNUMBER(SEARCH("G2",Z848)),"G2",IF(ISNUMBER(SEARCH("G3",Z848)),"G3",IF(ISNUMBER(SEARCH("古馬条件",Z848)),"古馬条件戦",IF(ISNUMBER(SEARCH("重賞",Z848)),"重賞","分類不能")))))))))</f>
        <v>分類不能</v>
      </c>
      <c r="AR848" s="8"/>
      <c r="AS848" s="8" t="s">
        <v>7626</v>
      </c>
      <c r="AT848" s="8" t="s">
        <v>7627</v>
      </c>
      <c r="AU848" s="8" t="s">
        <v>7628</v>
      </c>
      <c r="AV848" s="8" t="s">
        <v>7629</v>
      </c>
      <c r="AW848" s="8"/>
      <c r="AX848" s="8"/>
      <c r="AY848" s="8" t="s">
        <v>7602</v>
      </c>
      <c r="AZ848" s="4" t="s">
        <v>7603</v>
      </c>
      <c r="BA848" s="8" t="n">
        <v>1400</v>
      </c>
      <c r="BB848" s="8" t="s">
        <v>7598</v>
      </c>
      <c r="BC848" s="4" t="s">
        <v>7604</v>
      </c>
      <c r="BD848" s="8" t="s">
        <v>7625</v>
      </c>
      <c r="BE848" s="4" t="s">
        <v>7606</v>
      </c>
      <c r="BF848" s="8" t="s">
        <v>7607</v>
      </c>
      <c r="BG848" s="8" t="s">
        <v>7631</v>
      </c>
      <c r="BH848" s="4" t="s">
        <v>7632</v>
      </c>
      <c r="BI848" s="8" t="n">
        <v>18</v>
      </c>
      <c r="BJ848" s="8" t="s">
        <v>7610</v>
      </c>
      <c r="BK848" s="4" t="s">
        <v>7611</v>
      </c>
      <c r="BL848" s="8" t="s">
        <v>7602</v>
      </c>
      <c r="BM848" s="4" t="s">
        <v>7620</v>
      </c>
      <c r="BN848" s="8" t="s">
        <v>7602</v>
      </c>
      <c r="BO848" s="8" t="s">
        <v>7613</v>
      </c>
      <c r="BP848" s="8" t="s">
        <v>7602</v>
      </c>
      <c r="BQ848" s="8" t="str">
        <f aca="false">IF(A848="","",AT848)</f>
        <v>3歳以上</v>
      </c>
      <c r="BR848" s="8" t="str">
        <f aca="false">IF(A848="","",IF(BA848&lt;=1200,"～1200",IF(BA848&lt;=1500,"1300～1500",IF(BA848=1600,"1600",IF(BA848&lt;=1800,"1700～1800",IF(BA848&lt;=2000,"1900～2000","2100以上"))))))</f>
        <v>1300～1500</v>
      </c>
      <c r="BS848" s="8" t="str">
        <f aca="false">IF(A848="","",IF(AX848="G1","G1",IF(AX848="G2","G2",IF(AX848="G3","G3",IF(AX848="L","L","その他")))))</f>
        <v>その他</v>
      </c>
      <c r="BT848" s="8" t="str">
        <f aca="false">IF(A848="","",IF(BI848="","未結合",IF(D848=BI848,"一致","不一致")))</f>
        <v>一致</v>
      </c>
      <c r="BU848" s="8" t="str">
        <f aca="false">IF(A848="","",IF(BE848="牝馬限定","牝馬限定","その他"))</f>
        <v>その他</v>
      </c>
    </row>
    <row r="849" customFormat="false" ht="15.75" hidden="false" customHeight="false" outlineLevel="0" collapsed="false">
      <c r="A849" s="6" t="n">
        <f aca="false">DATE(2026,8,15)</f>
        <v>46249</v>
      </c>
      <c r="B849" s="4" t="s">
        <v>13</v>
      </c>
      <c r="C849" s="8" t="n">
        <v>6</v>
      </c>
      <c r="D849" s="8" t="n">
        <v>14</v>
      </c>
      <c r="E849" s="8" t="n">
        <v>6</v>
      </c>
      <c r="F849" s="4" t="s">
        <v>6433</v>
      </c>
      <c r="G849" s="8" t="n">
        <v>66</v>
      </c>
      <c r="H849" s="8" t="n">
        <v>12</v>
      </c>
      <c r="I849" s="4" t="s">
        <v>6655</v>
      </c>
      <c r="J849" s="8" t="n">
        <v>66</v>
      </c>
      <c r="K849" s="8" t="n">
        <v>5</v>
      </c>
      <c r="L849" s="4" t="s">
        <v>280</v>
      </c>
      <c r="M849" s="8" t="n">
        <v>52</v>
      </c>
      <c r="N849" s="8" t="n">
        <f aca="false">IF(A849="","",G849-J849)</f>
        <v>0</v>
      </c>
      <c r="O849" s="8" t="n">
        <f aca="false">IF(A849="","",J849-M849)</f>
        <v>14</v>
      </c>
      <c r="P849" s="8" t="n">
        <f aca="false">IF(A849="","",G849+J849)</f>
        <v>132</v>
      </c>
      <c r="Q849" s="8" t="str">
        <f aca="false">IF(A849="","",IF(AND(Y849&lt;&gt;"参考",G849&gt;=ルール設定!$B$2),"○",""))</f>
        <v/>
      </c>
      <c r="R849" s="8" t="str">
        <f aca="false">IF(A849="","",IF(AND(Y849&lt;&gt;"参考",G849&gt;=ルール設定!$B$3,N849&gt;=ルール設定!$B$4),"○",""))</f>
        <v/>
      </c>
      <c r="S849" s="8" t="str">
        <f aca="false">IF(A849="","",IF(AND(Y849&lt;&gt;"参考",G849&gt;=ルール設定!$B$5,J849&gt;=ルール設定!$B$6,O849&gt;=ルール設定!$B$7),"○",""))</f>
        <v/>
      </c>
      <c r="T849" s="8" t="n">
        <v>4</v>
      </c>
      <c r="U849" s="8" t="n">
        <v>2</v>
      </c>
      <c r="V849" s="8" t="str">
        <f aca="false">IF(A849="","",IF(AND(ISNUMBER(T849),ISNUMBER(U849)),IF(AND(T849&lt;=3,U849&lt;=3),"○","×"),""))</f>
        <v>×</v>
      </c>
      <c r="W849" s="8"/>
      <c r="X849" s="8"/>
      <c r="Y849" s="4" t="s">
        <v>7597</v>
      </c>
      <c r="Z849" s="8" t="s">
        <v>8035</v>
      </c>
      <c r="AA849" s="8" t="str">
        <v/>
      </c>
      <c r="AB849" s="8" t="str">
        <v/>
      </c>
      <c r="AC849" s="8" t="str">
        <v/>
      </c>
      <c r="AD849" s="8" t="str">
        <v/>
      </c>
      <c r="AE849" s="8" t="str">
        <v/>
      </c>
      <c r="AF849" s="8" t="str">
        <v/>
      </c>
      <c r="AG849" s="8" t="str">
        <v/>
      </c>
      <c r="AH849" s="8" t="str">
        <v/>
      </c>
      <c r="AI849" s="8" t="n">
        <v>14</v>
      </c>
      <c r="AJ849" s="8" t="str">
        <v>60～69</v>
      </c>
      <c r="AK849" s="8" t="str">
        <v>0～4</v>
      </c>
      <c r="AL849" s="8" t="str">
        <v>10～19</v>
      </c>
      <c r="AM849" s="8" t="str">
        <v>120～139</v>
      </c>
      <c r="AN849" s="8" t="str">
        <v>12～14</v>
      </c>
      <c r="AO849" s="8" t="str">
        <f aca="false">IF(A849="","",IF(COUNTIFS(全馬データ!$A$2:$A$50000,A849,全馬データ!$B$2:$B$50000,B849,全馬データ!$C$2:$C$50000,C849,全馬データ!$D$2:$D$50000,E849,全馬データ!$K$2:$K$50000,"&lt;&gt;")=0,"",SUMIFS(全馬データ!$K$2:$K$50000,全馬データ!$A$2:$A$50000,A849,全馬データ!$B$2:$B$50000,B849,全馬データ!$C$2:$C$50000,C849,全馬データ!$D$2:$D$50000,E849)))</f>
        <v/>
      </c>
      <c r="AP849" s="8" t="str">
        <f aca="false">IF(A849="","",IF(AO849="","欠損",IF(AO849&lt;=1.1,"1.0～1.1",IF(AO849&lt;1.3,"1.2",IF(AO849&lt;1.5,"1.3～1.4",IF(AO849&lt;2,"1.5～1.9","2.0以上"))))))</f>
        <v>欠損</v>
      </c>
      <c r="AQ849" s="8" t="str">
        <f aca="false">IF(A849="","",IF(ISNUMBER(SEARCH("2歳",Z849)),"2歳戦",IF(ISNUMBER(SEARCH("3歳未勝利",Z849)),"3歳未勝利",IF(ISNUMBER(SEARCH("未勝利",Z849)),"その他未勝利",IF(ISNUMBER(SEARCH("G1",Z849)),"G1",IF(ISNUMBER(SEARCH("G2",Z849)),"G2",IF(ISNUMBER(SEARCH("G3",Z849)),"G3",IF(ISNUMBER(SEARCH("古馬条件",Z849)),"古馬条件戦",IF(ISNUMBER(SEARCH("重賞",Z849)),"重賞","分類不能")))))))))</f>
        <v>分類不能</v>
      </c>
      <c r="AR849" s="4" t="s">
        <v>8036</v>
      </c>
      <c r="AS849" s="8" t="s">
        <v>7626</v>
      </c>
      <c r="AT849" s="8" t="s">
        <v>7627</v>
      </c>
      <c r="AU849" s="8" t="s">
        <v>7634</v>
      </c>
      <c r="AV849" s="8" t="s">
        <v>7635</v>
      </c>
      <c r="AW849" s="8" t="s">
        <v>7636</v>
      </c>
      <c r="AX849" s="4" t="s">
        <v>7637</v>
      </c>
      <c r="AY849" s="8" t="s">
        <v>7602</v>
      </c>
      <c r="AZ849" s="4" t="s">
        <v>7603</v>
      </c>
      <c r="BA849" s="8" t="n">
        <v>2200</v>
      </c>
      <c r="BB849" s="8" t="s">
        <v>7598</v>
      </c>
      <c r="BC849" s="4" t="s">
        <v>7604</v>
      </c>
      <c r="BD849" s="8" t="s">
        <v>7630</v>
      </c>
      <c r="BE849" s="4" t="s">
        <v>7606</v>
      </c>
      <c r="BF849" s="8" t="s">
        <v>7607</v>
      </c>
      <c r="BG849" s="8" t="s">
        <v>7631</v>
      </c>
      <c r="BH849" s="4" t="s">
        <v>7632</v>
      </c>
      <c r="BI849" s="8" t="n">
        <v>14</v>
      </c>
      <c r="BJ849" s="8" t="s">
        <v>7610</v>
      </c>
      <c r="BK849" s="4" t="s">
        <v>7611</v>
      </c>
      <c r="BL849" s="8" t="s">
        <v>7602</v>
      </c>
      <c r="BM849" s="4" t="s">
        <v>7620</v>
      </c>
      <c r="BN849" s="8" t="s">
        <v>7602</v>
      </c>
      <c r="BO849" s="8" t="s">
        <v>7613</v>
      </c>
      <c r="BP849" s="8" t="s">
        <v>7602</v>
      </c>
      <c r="BQ849" s="8" t="str">
        <f aca="false">IF(A849="","",AT849)</f>
        <v>3歳以上</v>
      </c>
      <c r="BR849" s="8" t="str">
        <f aca="false">IF(A849="","",IF(BA849&lt;=1200,"～1200",IF(BA849&lt;=1500,"1300～1500",IF(BA849=1600,"1600",IF(BA849&lt;=1800,"1700～1800",IF(BA849&lt;=2000,"1900～2000","2100以上"))))))</f>
        <v>2100以上</v>
      </c>
      <c r="BS849" s="8" t="str">
        <f aca="false">IF(A849="","",IF(AX849="G1","G1",IF(AX849="G2","G2",IF(AX849="G3","G3",IF(AX849="L","L","その他")))))</f>
        <v>その他</v>
      </c>
      <c r="BT849" s="8" t="str">
        <f aca="false">IF(A849="","",IF(BI849="","未結合",IF(D849=BI849,"一致","不一致")))</f>
        <v>一致</v>
      </c>
      <c r="BU849" s="8" t="str">
        <f aca="false">IF(A849="","",IF(BE849="牝馬限定","牝馬限定","その他"))</f>
        <v>その他</v>
      </c>
    </row>
    <row r="850" customFormat="false" ht="15.75" hidden="false" customHeight="false" outlineLevel="0" collapsed="false">
      <c r="A850" s="6" t="n">
        <f aca="false">DATE(2026,8,15)</f>
        <v>46249</v>
      </c>
      <c r="B850" s="4" t="s">
        <v>13</v>
      </c>
      <c r="C850" s="8" t="n">
        <v>7</v>
      </c>
      <c r="D850" s="8" t="n">
        <v>15</v>
      </c>
      <c r="E850" s="8" t="n">
        <v>6</v>
      </c>
      <c r="F850" s="4" t="s">
        <v>5712</v>
      </c>
      <c r="G850" s="8" t="n">
        <v>47</v>
      </c>
      <c r="H850" s="8" t="n">
        <v>15</v>
      </c>
      <c r="I850" s="4" t="s">
        <v>2793</v>
      </c>
      <c r="J850" s="8" t="n">
        <v>44</v>
      </c>
      <c r="K850" s="8" t="n">
        <v>1</v>
      </c>
      <c r="L850" s="4" t="s">
        <v>4331</v>
      </c>
      <c r="M850" s="8" t="n">
        <v>34</v>
      </c>
      <c r="N850" s="8" t="n">
        <f aca="false">IF(A850="","",G850-J850)</f>
        <v>3</v>
      </c>
      <c r="O850" s="8" t="n">
        <f aca="false">IF(A850="","",J850-M850)</f>
        <v>10</v>
      </c>
      <c r="P850" s="8" t="n">
        <f aca="false">IF(A850="","",G850+J850)</f>
        <v>91</v>
      </c>
      <c r="Q850" s="8" t="str">
        <f aca="false">IF(A850="","",IF(AND(Y850&lt;&gt;"参考",G850&gt;=ルール設定!$B$2),"○",""))</f>
        <v/>
      </c>
      <c r="R850" s="8" t="str">
        <f aca="false">IF(A850="","",IF(AND(Y850&lt;&gt;"参考",G850&gt;=ルール設定!$B$3,N850&gt;=ルール設定!$B$4),"○",""))</f>
        <v/>
      </c>
      <c r="S850" s="8" t="str">
        <f aca="false">IF(A850="","",IF(AND(Y850&lt;&gt;"参考",G850&gt;=ルール設定!$B$5,J850&gt;=ルール設定!$B$6,O850&gt;=ルール設定!$B$7),"○",""))</f>
        <v/>
      </c>
      <c r="T850" s="8" t="n">
        <v>4</v>
      </c>
      <c r="U850" s="8" t="n">
        <v>4</v>
      </c>
      <c r="V850" s="8" t="str">
        <f aca="false">IF(A850="","",IF(AND(ISNUMBER(T850),ISNUMBER(U850)),IF(AND(T850&lt;=3,U850&lt;=3),"○","×"),""))</f>
        <v>×</v>
      </c>
      <c r="W850" s="8"/>
      <c r="X850" s="8"/>
      <c r="Y850" s="4" t="s">
        <v>7597</v>
      </c>
      <c r="Z850" s="8" t="s">
        <v>8037</v>
      </c>
      <c r="AA850" s="8" t="str">
        <v/>
      </c>
      <c r="AB850" s="8" t="str">
        <v/>
      </c>
      <c r="AC850" s="8" t="str">
        <v/>
      </c>
      <c r="AD850" s="8" t="str">
        <v/>
      </c>
      <c r="AE850" s="8" t="str">
        <v/>
      </c>
      <c r="AF850" s="8" t="str">
        <v/>
      </c>
      <c r="AG850" s="8" t="str">
        <v/>
      </c>
      <c r="AH850" s="8" t="str">
        <v/>
      </c>
      <c r="AI850" s="8" t="n">
        <v>13</v>
      </c>
      <c r="AJ850" s="8" t="str">
        <v>～59</v>
      </c>
      <c r="AK850" s="8" t="str">
        <v>0～4</v>
      </c>
      <c r="AL850" s="8" t="str">
        <v>10～19</v>
      </c>
      <c r="AM850" s="8" t="str">
        <v>～99</v>
      </c>
      <c r="AN850" s="8" t="str">
        <v>15以上</v>
      </c>
      <c r="AO850" s="8" t="str">
        <f aca="false">IF(A850="","",IF(COUNTIFS(全馬データ!$A$2:$A$50000,A850,全馬データ!$B$2:$B$50000,B850,全馬データ!$C$2:$C$50000,C850,全馬データ!$D$2:$D$50000,E850,全馬データ!$K$2:$K$50000,"&lt;&gt;")=0,"",SUMIFS(全馬データ!$K$2:$K$50000,全馬データ!$A$2:$A$50000,A850,全馬データ!$B$2:$B$50000,B850,全馬データ!$C$2:$C$50000,C850,全馬データ!$D$2:$D$50000,E850)))</f>
        <v/>
      </c>
      <c r="AP850" s="8" t="str">
        <f aca="false">IF(A850="","",IF(AO850="","欠損",IF(AO850&lt;=1.1,"1.0～1.1",IF(AO850&lt;1.3,"1.2",IF(AO850&lt;1.5,"1.3～1.4",IF(AO850&lt;2,"1.5～1.9","2.0以上"))))))</f>
        <v>欠損</v>
      </c>
      <c r="AQ850" s="8" t="str">
        <f aca="false">IF(A850="","",IF(ISNUMBER(SEARCH("2歳",Z850)),"2歳戦",IF(ISNUMBER(SEARCH("3歳未勝利",Z850)),"3歳未勝利",IF(ISNUMBER(SEARCH("未勝利",Z850)),"その他未勝利",IF(ISNUMBER(SEARCH("G1",Z850)),"G1",IF(ISNUMBER(SEARCH("G2",Z850)),"G2",IF(ISNUMBER(SEARCH("G3",Z850)),"G3",IF(ISNUMBER(SEARCH("古馬条件",Z850)),"古馬条件戦",IF(ISNUMBER(SEARCH("重賞",Z850)),"重賞","分類不能")))))))))</f>
        <v>分類不能</v>
      </c>
      <c r="AR850" s="4" t="s">
        <v>8038</v>
      </c>
      <c r="AS850" s="8" t="s">
        <v>7626</v>
      </c>
      <c r="AT850" s="8" t="s">
        <v>7627</v>
      </c>
      <c r="AU850" s="8" t="s">
        <v>7639</v>
      </c>
      <c r="AV850" s="8" t="s">
        <v>7640</v>
      </c>
      <c r="AW850" s="8" t="s">
        <v>7636</v>
      </c>
      <c r="AX850" s="4" t="s">
        <v>7637</v>
      </c>
      <c r="AY850" s="8" t="s">
        <v>7610</v>
      </c>
      <c r="AZ850" s="4" t="s">
        <v>7617</v>
      </c>
      <c r="BA850" s="8" t="n">
        <v>1200</v>
      </c>
      <c r="BB850" s="8" t="s">
        <v>7634</v>
      </c>
      <c r="BC850" s="4" t="s">
        <v>7604</v>
      </c>
      <c r="BD850" s="8" t="s">
        <v>7630</v>
      </c>
      <c r="BE850" s="4" t="s">
        <v>7606</v>
      </c>
      <c r="BF850" s="8" t="s">
        <v>7607</v>
      </c>
      <c r="BG850" s="8" t="s">
        <v>7631</v>
      </c>
      <c r="BH850" s="4" t="s">
        <v>7632</v>
      </c>
      <c r="BI850" s="8" t="n">
        <v>15</v>
      </c>
      <c r="BJ850" s="8" t="s">
        <v>7610</v>
      </c>
      <c r="BK850" s="4" t="s">
        <v>7611</v>
      </c>
      <c r="BL850" s="8" t="s">
        <v>7602</v>
      </c>
      <c r="BM850" s="4" t="s">
        <v>7620</v>
      </c>
      <c r="BN850" s="8"/>
      <c r="BO850" s="8"/>
      <c r="BP850" s="8" t="s">
        <v>7602</v>
      </c>
      <c r="BQ850" s="8" t="str">
        <f aca="false">IF(A850="","",AT850)</f>
        <v>3歳以上</v>
      </c>
      <c r="BR850" s="8" t="str">
        <f aca="false">IF(A850="","",IF(BA850&lt;=1200,"～1200",IF(BA850&lt;=1500,"1300～1500",IF(BA850=1600,"1600",IF(BA850&lt;=1800,"1700～1800",IF(BA850&lt;=2000,"1900～2000","2100以上"))))))</f>
        <v>～1200</v>
      </c>
      <c r="BS850" s="8" t="str">
        <f aca="false">IF(A850="","",IF(AX850="G1","G1",IF(AX850="G2","G2",IF(AX850="G3","G3",IF(AX850="L","L","その他")))))</f>
        <v>その他</v>
      </c>
      <c r="BT850" s="8" t="str">
        <f aca="false">IF(A850="","",IF(BI850="","未結合",IF(D850=BI850,"一致","不一致")))</f>
        <v>一致</v>
      </c>
      <c r="BU850" s="8" t="str">
        <f aca="false">IF(A850="","",IF(BE850="牝馬限定","牝馬限定","その他"))</f>
        <v>その他</v>
      </c>
    </row>
    <row r="851" customFormat="false" ht="15.75" hidden="false" customHeight="false" outlineLevel="0" collapsed="false">
      <c r="A851" s="6" t="n">
        <f aca="false">DATE(2026,8,15)</f>
        <v>46249</v>
      </c>
      <c r="B851" s="4" t="s">
        <v>13</v>
      </c>
      <c r="C851" s="8" t="n">
        <v>8</v>
      </c>
      <c r="D851" s="8" t="n">
        <v>15</v>
      </c>
      <c r="E851" s="8" t="n">
        <v>9</v>
      </c>
      <c r="F851" s="4" t="s">
        <v>5171</v>
      </c>
      <c r="G851" s="8" t="n">
        <v>67</v>
      </c>
      <c r="H851" s="8" t="n">
        <v>8</v>
      </c>
      <c r="I851" s="4" t="s">
        <v>116</v>
      </c>
      <c r="J851" s="8" t="n">
        <v>56</v>
      </c>
      <c r="K851" s="8" t="n">
        <v>6</v>
      </c>
      <c r="L851" s="4" t="s">
        <v>6664</v>
      </c>
      <c r="M851" s="8" t="n">
        <v>44</v>
      </c>
      <c r="N851" s="8" t="n">
        <f aca="false">IF(A851="","",G851-J851)</f>
        <v>11</v>
      </c>
      <c r="O851" s="8" t="n">
        <f aca="false">IF(A851="","",J851-M851)</f>
        <v>12</v>
      </c>
      <c r="P851" s="8" t="n">
        <f aca="false">IF(A851="","",G851+J851)</f>
        <v>123</v>
      </c>
      <c r="Q851" s="8" t="str">
        <f aca="false">IF(A851="","",IF(AND(Y851&lt;&gt;"参考",G851&gt;=ルール設定!$B$2),"○",""))</f>
        <v/>
      </c>
      <c r="R851" s="8" t="str">
        <f aca="false">IF(A851="","",IF(AND(Y851&lt;&gt;"参考",G851&gt;=ルール設定!$B$3,N851&gt;=ルール設定!$B$4),"○",""))</f>
        <v/>
      </c>
      <c r="S851" s="8" t="str">
        <f aca="false">IF(A851="","",IF(AND(Y851&lt;&gt;"参考",G851&gt;=ルール設定!$B$5,J851&gt;=ルール設定!$B$6,O851&gt;=ルール設定!$B$7),"○",""))</f>
        <v/>
      </c>
      <c r="T851" s="8" t="n">
        <v>1</v>
      </c>
      <c r="U851" s="8" t="n">
        <v>4</v>
      </c>
      <c r="V851" s="8" t="str">
        <f aca="false">IF(A851="","",IF(AND(ISNUMBER(T851),ISNUMBER(U851)),IF(AND(T851&lt;=3,U851&lt;=3),"○","×"),""))</f>
        <v>×</v>
      </c>
      <c r="W851" s="8" t="n">
        <v>110</v>
      </c>
      <c r="X851" s="8"/>
      <c r="Y851" s="4" t="s">
        <v>7597</v>
      </c>
      <c r="Z851" s="8" t="s">
        <v>8039</v>
      </c>
      <c r="AA851" s="8" t="str">
        <v/>
      </c>
      <c r="AB851" s="8" t="str">
        <v/>
      </c>
      <c r="AC851" s="8" t="str">
        <v/>
      </c>
      <c r="AD851" s="8" t="str">
        <v/>
      </c>
      <c r="AE851" s="8" t="str">
        <v/>
      </c>
      <c r="AF851" s="8" t="str">
        <v/>
      </c>
      <c r="AG851" s="8" t="str">
        <v/>
      </c>
      <c r="AH851" s="8" t="str">
        <v/>
      </c>
      <c r="AI851" s="8" t="n">
        <v>23</v>
      </c>
      <c r="AJ851" s="8" t="str">
        <v>60～69</v>
      </c>
      <c r="AK851" s="8" t="str">
        <v>10～19</v>
      </c>
      <c r="AL851" s="8" t="str">
        <v>20～29</v>
      </c>
      <c r="AM851" s="8" t="str">
        <v>120～139</v>
      </c>
      <c r="AN851" s="8" t="str">
        <v>15以上</v>
      </c>
      <c r="AO851" s="8" t="str">
        <f aca="false">IF(A851="","",IF(COUNTIFS(全馬データ!$A$2:$A$50000,A851,全馬データ!$B$2:$B$50000,B851,全馬データ!$C$2:$C$50000,C851,全馬データ!$D$2:$D$50000,E851,全馬データ!$K$2:$K$50000,"&lt;&gt;")=0,"",SUMIFS(全馬データ!$K$2:$K$50000,全馬データ!$A$2:$A$50000,A851,全馬データ!$B$2:$B$50000,B851,全馬データ!$C$2:$C$50000,C851,全馬データ!$D$2:$D$50000,E851)))</f>
        <v/>
      </c>
      <c r="AP851" s="8" t="str">
        <f aca="false">IF(A851="","",IF(AO851="","欠損",IF(AO851&lt;=1.1,"1.0～1.1",IF(AO851&lt;1.3,"1.2",IF(AO851&lt;1.5,"1.3～1.4",IF(AO851&lt;2,"1.5～1.9","2.0以上"))))))</f>
        <v>欠損</v>
      </c>
      <c r="AQ851" s="8" t="str">
        <f aca="false">IF(A851="","",IF(ISNUMBER(SEARCH("2歳",Z851)),"2歳戦",IF(ISNUMBER(SEARCH("3歳未勝利",Z851)),"3歳未勝利",IF(ISNUMBER(SEARCH("未勝利",Z851)),"その他未勝利",IF(ISNUMBER(SEARCH("G1",Z851)),"G1",IF(ISNUMBER(SEARCH("G2",Z851)),"G2",IF(ISNUMBER(SEARCH("G3",Z851)),"G3",IF(ISNUMBER(SEARCH("古馬条件",Z851)),"古馬条件戦",IF(ISNUMBER(SEARCH("重賞",Z851)),"重賞","分類不能")))))))))</f>
        <v>分類不能</v>
      </c>
      <c r="AR851" s="4" t="s">
        <v>8040</v>
      </c>
      <c r="AS851" s="8" t="s">
        <v>7626</v>
      </c>
      <c r="AT851" s="8" t="s">
        <v>7627</v>
      </c>
      <c r="AU851" s="8" t="s">
        <v>7628</v>
      </c>
      <c r="AV851" s="8" t="s">
        <v>7629</v>
      </c>
      <c r="AW851" s="8" t="s">
        <v>7636</v>
      </c>
      <c r="AX851" s="4" t="s">
        <v>7637</v>
      </c>
      <c r="AY851" s="8" t="s">
        <v>7610</v>
      </c>
      <c r="AZ851" s="4" t="s">
        <v>7617</v>
      </c>
      <c r="BA851" s="8" t="n">
        <v>1800</v>
      </c>
      <c r="BB851" s="8" t="s">
        <v>7634</v>
      </c>
      <c r="BC851" s="4" t="s">
        <v>7604</v>
      </c>
      <c r="BD851" s="8" t="s">
        <v>7630</v>
      </c>
      <c r="BE851" s="4" t="s">
        <v>7606</v>
      </c>
      <c r="BF851" s="8" t="s">
        <v>7607</v>
      </c>
      <c r="BG851" s="8" t="s">
        <v>7631</v>
      </c>
      <c r="BH851" s="4" t="s">
        <v>7632</v>
      </c>
      <c r="BI851" s="8" t="n">
        <v>15</v>
      </c>
      <c r="BJ851" s="8" t="s">
        <v>7610</v>
      </c>
      <c r="BK851" s="4" t="s">
        <v>7611</v>
      </c>
      <c r="BL851" s="8" t="s">
        <v>7602</v>
      </c>
      <c r="BM851" s="4" t="s">
        <v>7620</v>
      </c>
      <c r="BN851" s="8"/>
      <c r="BO851" s="8"/>
      <c r="BP851" s="8" t="s">
        <v>7602</v>
      </c>
      <c r="BQ851" s="8" t="str">
        <f aca="false">IF(A851="","",AT851)</f>
        <v>3歳以上</v>
      </c>
      <c r="BR851" s="8" t="str">
        <f aca="false">IF(A851="","",IF(BA851&lt;=1200,"～1200",IF(BA851&lt;=1500,"1300～1500",IF(BA851=1600,"1600",IF(BA851&lt;=1800,"1700～1800",IF(BA851&lt;=2000,"1900～2000","2100以上"))))))</f>
        <v>1700～1800</v>
      </c>
      <c r="BS851" s="8" t="str">
        <f aca="false">IF(A851="","",IF(AX851="G1","G1",IF(AX851="G2","G2",IF(AX851="G3","G3",IF(AX851="L","L","その他")))))</f>
        <v>その他</v>
      </c>
      <c r="BT851" s="8" t="str">
        <f aca="false">IF(A851="","",IF(BI851="","未結合",IF(D851=BI851,"一致","不一致")))</f>
        <v>一致</v>
      </c>
      <c r="BU851" s="8" t="str">
        <f aca="false">IF(A851="","",IF(BE851="牝馬限定","牝馬限定","その他"))</f>
        <v>その他</v>
      </c>
    </row>
    <row r="852" customFormat="false" ht="15.75" hidden="false" customHeight="false" outlineLevel="0" collapsed="false">
      <c r="A852" s="6" t="n">
        <f aca="false">DATE(2026,8,15)</f>
        <v>46249</v>
      </c>
      <c r="B852" s="4" t="s">
        <v>13</v>
      </c>
      <c r="C852" s="8" t="n">
        <v>9</v>
      </c>
      <c r="D852" s="8" t="n">
        <v>11</v>
      </c>
      <c r="E852" s="8" t="n">
        <v>4</v>
      </c>
      <c r="F852" s="4" t="s">
        <v>4907</v>
      </c>
      <c r="G852" s="8" t="n">
        <v>55</v>
      </c>
      <c r="H852" s="8" t="n">
        <v>6</v>
      </c>
      <c r="I852" s="4" t="s">
        <v>6669</v>
      </c>
      <c r="J852" s="8" t="n">
        <v>44</v>
      </c>
      <c r="K852" s="8" t="n">
        <v>1</v>
      </c>
      <c r="L852" s="4" t="s">
        <v>1876</v>
      </c>
      <c r="M852" s="8" t="n">
        <v>37</v>
      </c>
      <c r="N852" s="8" t="n">
        <f aca="false">IF(A852="","",G852-J852)</f>
        <v>11</v>
      </c>
      <c r="O852" s="8" t="n">
        <f aca="false">IF(A852="","",J852-M852)</f>
        <v>7</v>
      </c>
      <c r="P852" s="8" t="n">
        <f aca="false">IF(A852="","",G852+J852)</f>
        <v>99</v>
      </c>
      <c r="Q852" s="8" t="str">
        <f aca="false">IF(A852="","",IF(AND(Y852&lt;&gt;"参考",G852&gt;=ルール設定!$B$2),"○",""))</f>
        <v/>
      </c>
      <c r="R852" s="8" t="str">
        <f aca="false">IF(A852="","",IF(AND(Y852&lt;&gt;"参考",G852&gt;=ルール設定!$B$3,N852&gt;=ルール設定!$B$4),"○",""))</f>
        <v/>
      </c>
      <c r="S852" s="8" t="str">
        <f aca="false">IF(A852="","",IF(AND(Y852&lt;&gt;"参考",G852&gt;=ルール設定!$B$5,J852&gt;=ルール設定!$B$6,O852&gt;=ルール設定!$B$7),"○",""))</f>
        <v/>
      </c>
      <c r="T852" s="8" t="n">
        <v>4</v>
      </c>
      <c r="U852" s="8" t="n">
        <v>3</v>
      </c>
      <c r="V852" s="8" t="str">
        <f aca="false">IF(A852="","",IF(AND(ISNUMBER(T852),ISNUMBER(U852)),IF(AND(T852&lt;=3,U852&lt;=3),"○","×"),""))</f>
        <v>×</v>
      </c>
      <c r="W852" s="8"/>
      <c r="X852" s="8"/>
      <c r="Y852" s="4" t="s">
        <v>7597</v>
      </c>
      <c r="Z852" s="8" t="s">
        <v>8041</v>
      </c>
      <c r="AA852" s="8" t="str">
        <v/>
      </c>
      <c r="AB852" s="8" t="str">
        <v/>
      </c>
      <c r="AC852" s="8" t="str">
        <v/>
      </c>
      <c r="AD852" s="8" t="str">
        <v/>
      </c>
      <c r="AE852" s="8" t="str">
        <v/>
      </c>
      <c r="AF852" s="8" t="str">
        <v/>
      </c>
      <c r="AG852" s="8" t="str">
        <v/>
      </c>
      <c r="AH852" s="8" t="str">
        <v/>
      </c>
      <c r="AI852" s="8" t="n">
        <v>18</v>
      </c>
      <c r="AJ852" s="8" t="str">
        <v>～59</v>
      </c>
      <c r="AK852" s="8" t="str">
        <v>10～19</v>
      </c>
      <c r="AL852" s="8" t="str">
        <v>10～19</v>
      </c>
      <c r="AM852" s="8" t="str">
        <v>～99</v>
      </c>
      <c r="AN852" s="8" t="str">
        <v>8～11</v>
      </c>
      <c r="AO852" s="8" t="str">
        <f aca="false">IF(A852="","",IF(COUNTIFS(全馬データ!$A$2:$A$50000,A852,全馬データ!$B$2:$B$50000,B852,全馬データ!$C$2:$C$50000,C852,全馬データ!$D$2:$D$50000,E852,全馬データ!$K$2:$K$50000,"&lt;&gt;")=0,"",SUMIFS(全馬データ!$K$2:$K$50000,全馬データ!$A$2:$A$50000,A852,全馬データ!$B$2:$B$50000,B852,全馬データ!$C$2:$C$50000,C852,全馬データ!$D$2:$D$50000,E852)))</f>
        <v/>
      </c>
      <c r="AP852" s="8" t="str">
        <f aca="false">IF(A852="","",IF(AO852="","欠損",IF(AO852&lt;=1.1,"1.0～1.1",IF(AO852&lt;1.3,"1.2",IF(AO852&lt;1.5,"1.3～1.4",IF(AO852&lt;2,"1.5～1.9","2.0以上"))))))</f>
        <v>欠損</v>
      </c>
      <c r="AQ852" s="8" t="str">
        <f aca="false">IF(A852="","",IF(ISNUMBER(SEARCH("2歳",Z852)),"2歳戦",IF(ISNUMBER(SEARCH("3歳未勝利",Z852)),"3歳未勝利",IF(ISNUMBER(SEARCH("未勝利",Z852)),"その他未勝利",IF(ISNUMBER(SEARCH("G1",Z852)),"G1",IF(ISNUMBER(SEARCH("G2",Z852)),"G2",IF(ISNUMBER(SEARCH("G3",Z852)),"G3",IF(ISNUMBER(SEARCH("古馬条件",Z852)),"古馬条件戦",IF(ISNUMBER(SEARCH("重賞",Z852)),"重賞","分類不能")))))))))</f>
        <v>分類不能</v>
      </c>
      <c r="AR852" s="4" t="s">
        <v>8042</v>
      </c>
      <c r="AS852" s="8" t="s">
        <v>7618</v>
      </c>
      <c r="AT852" s="4" t="s">
        <v>7642</v>
      </c>
      <c r="AU852" s="8" t="s">
        <v>7643</v>
      </c>
      <c r="AV852" s="4" t="s">
        <v>7644</v>
      </c>
      <c r="AW852" s="8" t="s">
        <v>7608</v>
      </c>
      <c r="AX852" s="8" t="s">
        <v>7664</v>
      </c>
      <c r="AY852" s="8" t="s">
        <v>7608</v>
      </c>
      <c r="AZ852" s="4" t="s">
        <v>7642</v>
      </c>
      <c r="BA852" s="8" t="n">
        <v>3250</v>
      </c>
      <c r="BB852" s="8" t="s">
        <v>7634</v>
      </c>
      <c r="BC852" s="4" t="s">
        <v>7604</v>
      </c>
      <c r="BD852" s="8" t="s">
        <v>7645</v>
      </c>
      <c r="BE852" s="4" t="s">
        <v>7606</v>
      </c>
      <c r="BF852" s="8" t="s">
        <v>7607</v>
      </c>
      <c r="BG852" s="8" t="s">
        <v>7610</v>
      </c>
      <c r="BH852" s="4" t="s">
        <v>7646</v>
      </c>
      <c r="BI852" s="8" t="n">
        <v>11</v>
      </c>
      <c r="BJ852" s="8" t="s">
        <v>7647</v>
      </c>
      <c r="BK852" s="4" t="s">
        <v>7648</v>
      </c>
      <c r="BL852" s="8" t="s">
        <v>7647</v>
      </c>
      <c r="BM852" s="4" t="s">
        <v>7648</v>
      </c>
      <c r="BN852" s="8"/>
      <c r="BO852" s="8"/>
      <c r="BP852" s="8" t="s">
        <v>7602</v>
      </c>
      <c r="BQ852" s="8" t="str">
        <f aca="false">IF(A852="","",AT852)</f>
        <v>障害</v>
      </c>
      <c r="BR852" s="8" t="str">
        <f aca="false">IF(A852="","",IF(BA852&lt;=1200,"～1200",IF(BA852&lt;=1500,"1300～1500",IF(BA852=1600,"1600",IF(BA852&lt;=1800,"1700～1800",IF(BA852&lt;=2000,"1900～2000","2100以上"))))))</f>
        <v>2100以上</v>
      </c>
      <c r="BS852" s="8" t="str">
        <f aca="false">IF(A852="","",IF(AX852="G1","G1",IF(AX852="G2","G2",IF(AX852="G3","G3",IF(AX852="L","L","その他")))))</f>
        <v>G3</v>
      </c>
      <c r="BT852" s="8" t="str">
        <f aca="false">IF(A852="","",IF(BI852="","未結合",IF(D852=BI852,"一致","不一致")))</f>
        <v>一致</v>
      </c>
      <c r="BU852" s="8" t="str">
        <f aca="false">IF(A852="","",IF(BE852="牝馬限定","牝馬限定","その他"))</f>
        <v>その他</v>
      </c>
    </row>
    <row r="853" customFormat="false" ht="15.75" hidden="false" customHeight="false" outlineLevel="0" collapsed="false">
      <c r="A853" s="6" t="n">
        <f aca="false">DATE(2026,8,15)</f>
        <v>46249</v>
      </c>
      <c r="B853" s="4" t="s">
        <v>13</v>
      </c>
      <c r="C853" s="8" t="n">
        <v>11</v>
      </c>
      <c r="D853" s="8" t="n">
        <v>18</v>
      </c>
      <c r="E853" s="8" t="n">
        <v>2</v>
      </c>
      <c r="F853" s="4" t="s">
        <v>6308</v>
      </c>
      <c r="G853" s="8" t="n">
        <v>58</v>
      </c>
      <c r="H853" s="8" t="n">
        <v>18</v>
      </c>
      <c r="I853" s="4" t="s">
        <v>965</v>
      </c>
      <c r="J853" s="8" t="n">
        <v>50</v>
      </c>
      <c r="K853" s="8" t="n">
        <v>11</v>
      </c>
      <c r="L853" s="4" t="s">
        <v>6675</v>
      </c>
      <c r="M853" s="8" t="n">
        <v>29</v>
      </c>
      <c r="N853" s="8" t="n">
        <f aca="false">IF(A853="","",G853-J853)</f>
        <v>8</v>
      </c>
      <c r="O853" s="8" t="n">
        <f aca="false">IF(A853="","",J853-M853)</f>
        <v>21</v>
      </c>
      <c r="P853" s="8" t="n">
        <f aca="false">IF(A853="","",G853+J853)</f>
        <v>108</v>
      </c>
      <c r="Q853" s="8" t="str">
        <f aca="false">IF(A853="","",IF(AND(Y853&lt;&gt;"参考",G853&gt;=ルール設定!$B$2),"○",""))</f>
        <v/>
      </c>
      <c r="R853" s="8" t="str">
        <f aca="false">IF(A853="","",IF(AND(Y853&lt;&gt;"参考",G853&gt;=ルール設定!$B$3,N853&gt;=ルール設定!$B$4),"○",""))</f>
        <v/>
      </c>
      <c r="S853" s="8" t="str">
        <f aca="false">IF(A853="","",IF(AND(Y853&lt;&gt;"参考",G853&gt;=ルール設定!$B$5,J853&gt;=ルール設定!$B$6,O853&gt;=ルール設定!$B$7),"○",""))</f>
        <v/>
      </c>
      <c r="T853" s="8" t="n">
        <v>4</v>
      </c>
      <c r="U853" s="8" t="n">
        <v>3</v>
      </c>
      <c r="V853" s="8" t="str">
        <f aca="false">IF(A853="","",IF(AND(ISNUMBER(T853),ISNUMBER(U853)),IF(AND(T853&lt;=3,U853&lt;=3),"○","×"),""))</f>
        <v>×</v>
      </c>
      <c r="W853" s="8"/>
      <c r="X853" s="8"/>
      <c r="Y853" s="4" t="s">
        <v>7597</v>
      </c>
      <c r="Z853" s="8" t="s">
        <v>8043</v>
      </c>
      <c r="AA853" s="8" t="str">
        <v/>
      </c>
      <c r="AB853" s="8" t="str">
        <v/>
      </c>
      <c r="AC853" s="8" t="str">
        <v/>
      </c>
      <c r="AD853" s="8" t="str">
        <v/>
      </c>
      <c r="AE853" s="8" t="str">
        <v/>
      </c>
      <c r="AF853" s="8" t="str">
        <v/>
      </c>
      <c r="AG853" s="8" t="str">
        <v/>
      </c>
      <c r="AH853" s="8" t="str">
        <v/>
      </c>
      <c r="AI853" s="8" t="n">
        <v>29</v>
      </c>
      <c r="AJ853" s="8" t="str">
        <v>～59</v>
      </c>
      <c r="AK853" s="8" t="str">
        <v>5～9</v>
      </c>
      <c r="AL853" s="8" t="str">
        <v>20～29</v>
      </c>
      <c r="AM853" s="8" t="str">
        <v>100～119</v>
      </c>
      <c r="AN853" s="8" t="str">
        <v>15以上</v>
      </c>
      <c r="AO853" s="8" t="str">
        <f aca="false">IF(A853="","",IF(COUNTIFS(全馬データ!$A$2:$A$50000,A853,全馬データ!$B$2:$B$50000,B853,全馬データ!$C$2:$C$50000,C853,全馬データ!$D$2:$D$50000,E853,全馬データ!$K$2:$K$50000,"&lt;&gt;")=0,"",SUMIFS(全馬データ!$K$2:$K$50000,全馬データ!$A$2:$A$50000,A853,全馬データ!$B$2:$B$50000,B853,全馬データ!$C$2:$C$50000,C853,全馬データ!$D$2:$D$50000,E853)))</f>
        <v/>
      </c>
      <c r="AP853" s="8" t="str">
        <f aca="false">IF(A853="","",IF(AO853="","欠損",IF(AO853&lt;=1.1,"1.0～1.1",IF(AO853&lt;1.3,"1.2",IF(AO853&lt;1.5,"1.3～1.4",IF(AO853&lt;2,"1.5～1.9","2.0以上"))))))</f>
        <v>欠損</v>
      </c>
      <c r="AQ853" s="8" t="str">
        <f aca="false">IF(A853="","",IF(ISNUMBER(SEARCH("2歳",Z853)),"2歳戦",IF(ISNUMBER(SEARCH("3歳未勝利",Z853)),"3歳未勝利",IF(ISNUMBER(SEARCH("未勝利",Z853)),"その他未勝利",IF(ISNUMBER(SEARCH("G1",Z853)),"G1",IF(ISNUMBER(SEARCH("G2",Z853)),"G2",IF(ISNUMBER(SEARCH("G3",Z853)),"G3",IF(ISNUMBER(SEARCH("古馬条件",Z853)),"古馬条件戦",IF(ISNUMBER(SEARCH("重賞",Z853)),"重賞","分類不能")))))))))</f>
        <v>分類不能</v>
      </c>
      <c r="AR853" s="8"/>
      <c r="AS853" s="8" t="s">
        <v>7623</v>
      </c>
      <c r="AT853" s="8" t="s">
        <v>7624</v>
      </c>
      <c r="AU853" s="8" t="s">
        <v>7600</v>
      </c>
      <c r="AV853" s="4" t="s">
        <v>7601</v>
      </c>
      <c r="AW853" s="8"/>
      <c r="AX853" s="8"/>
      <c r="AY853" s="8" t="s">
        <v>7602</v>
      </c>
      <c r="AZ853" s="4" t="s">
        <v>7603</v>
      </c>
      <c r="BA853" s="8" t="n">
        <v>1000</v>
      </c>
      <c r="BB853" s="8" t="s">
        <v>7598</v>
      </c>
      <c r="BC853" s="4" t="s">
        <v>7604</v>
      </c>
      <c r="BD853" s="8" t="s">
        <v>7605</v>
      </c>
      <c r="BE853" s="4" t="s">
        <v>7606</v>
      </c>
      <c r="BF853" s="8" t="s">
        <v>7607</v>
      </c>
      <c r="BG853" s="8" t="s">
        <v>7608</v>
      </c>
      <c r="BH853" s="4" t="s">
        <v>7609</v>
      </c>
      <c r="BI853" s="8" t="n">
        <v>18</v>
      </c>
      <c r="BJ853" s="8" t="s">
        <v>7608</v>
      </c>
      <c r="BK853" s="4" t="s">
        <v>7649</v>
      </c>
      <c r="BL853" s="8" t="s">
        <v>7647</v>
      </c>
      <c r="BM853" s="4" t="s">
        <v>7648</v>
      </c>
      <c r="BN853" s="8" t="s">
        <v>7602</v>
      </c>
      <c r="BO853" s="8" t="s">
        <v>7613</v>
      </c>
      <c r="BP853" s="8" t="s">
        <v>7602</v>
      </c>
      <c r="BQ853" s="8" t="str">
        <f aca="false">IF(A853="","",AT853)</f>
        <v>3歳</v>
      </c>
      <c r="BR853" s="8" t="str">
        <f aca="false">IF(A853="","",IF(BA853&lt;=1200,"～1200",IF(BA853&lt;=1500,"1300～1500",IF(BA853=1600,"1600",IF(BA853&lt;=1800,"1700～1800",IF(BA853&lt;=2000,"1900～2000","2100以上"))))))</f>
        <v>～1200</v>
      </c>
      <c r="BS853" s="8" t="str">
        <f aca="false">IF(A853="","",IF(AX853="G1","G1",IF(AX853="G2","G2",IF(AX853="G3","G3",IF(AX853="L","L","その他")))))</f>
        <v>その他</v>
      </c>
      <c r="BT853" s="8" t="str">
        <f aca="false">IF(A853="","",IF(BI853="","未結合",IF(D853=BI853,"一致","不一致")))</f>
        <v>一致</v>
      </c>
      <c r="BU853" s="8" t="str">
        <f aca="false">IF(A853="","",IF(BE853="牝馬限定","牝馬限定","その他"))</f>
        <v>その他</v>
      </c>
    </row>
    <row r="854" customFormat="false" ht="15.75" hidden="false" customHeight="false" outlineLevel="0" collapsed="false">
      <c r="A854" s="6" t="n">
        <f aca="false">DATE(2026,8,15)</f>
        <v>46249</v>
      </c>
      <c r="B854" s="4" t="s">
        <v>13</v>
      </c>
      <c r="C854" s="8" t="n">
        <v>12</v>
      </c>
      <c r="D854" s="8" t="n">
        <v>18</v>
      </c>
      <c r="E854" s="8" t="n">
        <v>15</v>
      </c>
      <c r="F854" s="4" t="s">
        <v>1404</v>
      </c>
      <c r="G854" s="8" t="n">
        <v>52</v>
      </c>
      <c r="H854" s="8" t="n">
        <v>13</v>
      </c>
      <c r="I854" s="4" t="s">
        <v>1001</v>
      </c>
      <c r="J854" s="8" t="n">
        <v>41</v>
      </c>
      <c r="K854" s="8" t="n">
        <v>8</v>
      </c>
      <c r="L854" s="4" t="s">
        <v>4089</v>
      </c>
      <c r="M854" s="8" t="n">
        <v>29</v>
      </c>
      <c r="N854" s="8" t="n">
        <f aca="false">IF(A854="","",G854-J854)</f>
        <v>11</v>
      </c>
      <c r="O854" s="8" t="n">
        <f aca="false">IF(A854="","",J854-M854)</f>
        <v>12</v>
      </c>
      <c r="P854" s="8" t="n">
        <f aca="false">IF(A854="","",G854+J854)</f>
        <v>93</v>
      </c>
      <c r="Q854" s="8" t="str">
        <f aca="false">IF(A854="","",IF(AND(Y854&lt;&gt;"参考",G854&gt;=ルール設定!$B$2),"○",""))</f>
        <v/>
      </c>
      <c r="R854" s="8" t="str">
        <f aca="false">IF(A854="","",IF(AND(Y854&lt;&gt;"参考",G854&gt;=ルール設定!$B$3,N854&gt;=ルール設定!$B$4),"○",""))</f>
        <v/>
      </c>
      <c r="S854" s="8" t="str">
        <f aca="false">IF(A854="","",IF(AND(Y854&lt;&gt;"参考",G854&gt;=ルール設定!$B$5,J854&gt;=ルール設定!$B$6,O854&gt;=ルール設定!$B$7),"○",""))</f>
        <v/>
      </c>
      <c r="T854" s="8" t="n">
        <v>4</v>
      </c>
      <c r="U854" s="8" t="n">
        <v>2</v>
      </c>
      <c r="V854" s="8" t="str">
        <f aca="false">IF(A854="","",IF(AND(ISNUMBER(T854),ISNUMBER(U854)),IF(AND(T854&lt;=3,U854&lt;=3),"○","×"),""))</f>
        <v>×</v>
      </c>
      <c r="W854" s="8"/>
      <c r="X854" s="8"/>
      <c r="Y854" s="4" t="s">
        <v>7597</v>
      </c>
      <c r="Z854" s="8" t="s">
        <v>8044</v>
      </c>
      <c r="AA854" s="8" t="str">
        <v/>
      </c>
      <c r="AB854" s="8" t="str">
        <v/>
      </c>
      <c r="AC854" s="8" t="str">
        <v/>
      </c>
      <c r="AD854" s="8" t="str">
        <v/>
      </c>
      <c r="AE854" s="8" t="str">
        <v/>
      </c>
      <c r="AF854" s="8" t="str">
        <v/>
      </c>
      <c r="AG854" s="8" t="str">
        <v/>
      </c>
      <c r="AH854" s="8" t="str">
        <v/>
      </c>
      <c r="AI854" s="8" t="n">
        <v>23</v>
      </c>
      <c r="AJ854" s="8" t="str">
        <v>～59</v>
      </c>
      <c r="AK854" s="8" t="str">
        <v>10～19</v>
      </c>
      <c r="AL854" s="8" t="str">
        <v>20～29</v>
      </c>
      <c r="AM854" s="8" t="str">
        <v>～99</v>
      </c>
      <c r="AN854" s="8" t="str">
        <v>15以上</v>
      </c>
      <c r="AO854" s="8" t="str">
        <f aca="false">IF(A854="","",IF(COUNTIFS(全馬データ!$A$2:$A$50000,A854,全馬データ!$B$2:$B$50000,B854,全馬データ!$C$2:$C$50000,C854,全馬データ!$D$2:$D$50000,E854,全馬データ!$K$2:$K$50000,"&lt;&gt;")=0,"",SUMIFS(全馬データ!$K$2:$K$50000,全馬データ!$A$2:$A$50000,A854,全馬データ!$B$2:$B$50000,B854,全馬データ!$C$2:$C$50000,C854,全馬データ!$D$2:$D$50000,E854)))</f>
        <v/>
      </c>
      <c r="AP854" s="8" t="str">
        <f aca="false">IF(A854="","",IF(AO854="","欠損",IF(AO854&lt;=1.1,"1.0～1.1",IF(AO854&lt;1.3,"1.2",IF(AO854&lt;1.5,"1.3～1.4",IF(AO854&lt;2,"1.5～1.9","2.0以上"))))))</f>
        <v>欠損</v>
      </c>
      <c r="AQ854" s="8" t="str">
        <f aca="false">IF(A854="","",IF(ISNUMBER(SEARCH("2歳",Z854)),"2歳戦",IF(ISNUMBER(SEARCH("3歳未勝利",Z854)),"3歳未勝利",IF(ISNUMBER(SEARCH("未勝利",Z854)),"その他未勝利",IF(ISNUMBER(SEARCH("G1",Z854)),"G1",IF(ISNUMBER(SEARCH("G2",Z854)),"G2",IF(ISNUMBER(SEARCH("G3",Z854)),"G3",IF(ISNUMBER(SEARCH("古馬条件",Z854)),"古馬条件戦",IF(ISNUMBER(SEARCH("重賞",Z854)),"重賞","分類不能")))))))))</f>
        <v>分類不能</v>
      </c>
      <c r="AR854" s="8"/>
      <c r="AS854" s="8" t="s">
        <v>7623</v>
      </c>
      <c r="AT854" s="8" t="s">
        <v>7624</v>
      </c>
      <c r="AU854" s="8" t="s">
        <v>7600</v>
      </c>
      <c r="AV854" s="4" t="s">
        <v>7601</v>
      </c>
      <c r="AW854" s="8"/>
      <c r="AX854" s="8"/>
      <c r="AY854" s="8" t="s">
        <v>7602</v>
      </c>
      <c r="AZ854" s="4" t="s">
        <v>7603</v>
      </c>
      <c r="BA854" s="8" t="n">
        <v>2000</v>
      </c>
      <c r="BB854" s="8" t="s">
        <v>7598</v>
      </c>
      <c r="BC854" s="4" t="s">
        <v>7604</v>
      </c>
      <c r="BD854" s="8" t="s">
        <v>7605</v>
      </c>
      <c r="BE854" s="4" t="s">
        <v>7606</v>
      </c>
      <c r="BF854" s="8" t="s">
        <v>7607</v>
      </c>
      <c r="BG854" s="8" t="s">
        <v>7608</v>
      </c>
      <c r="BH854" s="4" t="s">
        <v>7609</v>
      </c>
      <c r="BI854" s="8" t="n">
        <v>18</v>
      </c>
      <c r="BJ854" s="8" t="s">
        <v>7610</v>
      </c>
      <c r="BK854" s="4" t="s">
        <v>7611</v>
      </c>
      <c r="BL854" s="8" t="s">
        <v>7602</v>
      </c>
      <c r="BM854" s="4" t="s">
        <v>7620</v>
      </c>
      <c r="BN854" s="8" t="s">
        <v>7602</v>
      </c>
      <c r="BO854" s="8" t="s">
        <v>7613</v>
      </c>
      <c r="BP854" s="8" t="s">
        <v>7602</v>
      </c>
      <c r="BQ854" s="8" t="str">
        <f aca="false">IF(A854="","",AT854)</f>
        <v>3歳</v>
      </c>
      <c r="BR854" s="8" t="str">
        <f aca="false">IF(A854="","",IF(BA854&lt;=1200,"～1200",IF(BA854&lt;=1500,"1300～1500",IF(BA854=1600,"1600",IF(BA854&lt;=1800,"1700～1800",IF(BA854&lt;=2000,"1900～2000","2100以上"))))))</f>
        <v>1900～2000</v>
      </c>
      <c r="BS854" s="8" t="str">
        <f aca="false">IF(A854="","",IF(AX854="G1","G1",IF(AX854="G2","G2",IF(AX854="G3","G3",IF(AX854="L","L","その他")))))</f>
        <v>その他</v>
      </c>
      <c r="BT854" s="8" t="str">
        <f aca="false">IF(A854="","",IF(BI854="","未結合",IF(D854=BI854,"一致","不一致")))</f>
        <v>一致</v>
      </c>
      <c r="BU854" s="8" t="str">
        <f aca="false">IF(A854="","",IF(BE854="牝馬限定","牝馬限定","その他"))</f>
        <v>その他</v>
      </c>
    </row>
    <row r="855" customFormat="false" ht="15.75" hidden="false" customHeight="false" outlineLevel="0" collapsed="false">
      <c r="A855" s="6" t="n">
        <f aca="false">DATE(2026,8,15)</f>
        <v>46249</v>
      </c>
      <c r="B855" s="4" t="s">
        <v>334</v>
      </c>
      <c r="C855" s="8" t="n">
        <v>1</v>
      </c>
      <c r="D855" s="8" t="n">
        <v>14</v>
      </c>
      <c r="E855" s="8" t="n">
        <v>3</v>
      </c>
      <c r="F855" s="4" t="s">
        <v>830</v>
      </c>
      <c r="G855" s="8" t="n">
        <v>58</v>
      </c>
      <c r="H855" s="8" t="n">
        <v>6</v>
      </c>
      <c r="I855" s="4" t="s">
        <v>2184</v>
      </c>
      <c r="J855" s="8" t="n">
        <v>56</v>
      </c>
      <c r="K855" s="8" t="n">
        <v>12</v>
      </c>
      <c r="L855" s="4" t="s">
        <v>1285</v>
      </c>
      <c r="M855" s="8" t="n">
        <v>41</v>
      </c>
      <c r="N855" s="8" t="n">
        <f aca="false">IF(A855="","",G855-J855)</f>
        <v>2</v>
      </c>
      <c r="O855" s="8" t="n">
        <f aca="false">IF(A855="","",J855-M855)</f>
        <v>15</v>
      </c>
      <c r="P855" s="8" t="n">
        <f aca="false">IF(A855="","",G855+J855)</f>
        <v>114</v>
      </c>
      <c r="Q855" s="8" t="str">
        <f aca="false">IF(A855="","",IF(AND(Y855&lt;&gt;"参考",G855&gt;=ルール設定!$B$2),"○",""))</f>
        <v/>
      </c>
      <c r="R855" s="8" t="str">
        <f aca="false">IF(A855="","",IF(AND(Y855&lt;&gt;"参考",G855&gt;=ルール設定!$B$3,N855&gt;=ルール設定!$B$4),"○",""))</f>
        <v/>
      </c>
      <c r="S855" s="8" t="str">
        <f aca="false">IF(A855="","",IF(AND(Y855&lt;&gt;"参考",G855&gt;=ルール設定!$B$5,J855&gt;=ルール設定!$B$6,O855&gt;=ルール設定!$B$7),"○",""))</f>
        <v/>
      </c>
      <c r="T855" s="8" t="n">
        <v>1</v>
      </c>
      <c r="U855" s="8" t="n">
        <v>4</v>
      </c>
      <c r="V855" s="8" t="str">
        <f aca="false">IF(A855="","",IF(AND(ISNUMBER(T855),ISNUMBER(U855)),IF(AND(T855&lt;=3,U855&lt;=3),"○","×"),""))</f>
        <v>×</v>
      </c>
      <c r="W855" s="8" t="n">
        <v>130</v>
      </c>
      <c r="X855" s="8"/>
      <c r="Y855" s="4" t="s">
        <v>7597</v>
      </c>
      <c r="Z855" s="8" t="s">
        <v>8045</v>
      </c>
      <c r="AA855" s="8" t="str">
        <v/>
      </c>
      <c r="AB855" s="8" t="str">
        <v/>
      </c>
      <c r="AC855" s="8" t="str">
        <v/>
      </c>
      <c r="AD855" s="8" t="str">
        <v/>
      </c>
      <c r="AE855" s="8" t="str">
        <v/>
      </c>
      <c r="AF855" s="8" t="str">
        <v/>
      </c>
      <c r="AG855" s="8" t="str">
        <v/>
      </c>
      <c r="AH855" s="8" t="str">
        <v/>
      </c>
      <c r="AI855" s="8" t="n">
        <v>17</v>
      </c>
      <c r="AJ855" s="8" t="str">
        <v>～59</v>
      </c>
      <c r="AK855" s="8" t="str">
        <v>0～4</v>
      </c>
      <c r="AL855" s="8" t="str">
        <v>10～19</v>
      </c>
      <c r="AM855" s="8" t="str">
        <v>100～119</v>
      </c>
      <c r="AN855" s="8" t="str">
        <v>12～14</v>
      </c>
      <c r="AO855" s="8" t="str">
        <f aca="false">IF(A855="","",IF(COUNTIFS(全馬データ!$A$2:$A$50000,A855,全馬データ!$B$2:$B$50000,B855,全馬データ!$C$2:$C$50000,C855,全馬データ!$D$2:$D$50000,E855,全馬データ!$K$2:$K$50000,"&lt;&gt;")=0,"",SUMIFS(全馬データ!$K$2:$K$50000,全馬データ!$A$2:$A$50000,A855,全馬データ!$B$2:$B$50000,B855,全馬データ!$C$2:$C$50000,C855,全馬データ!$D$2:$D$50000,E855)))</f>
        <v/>
      </c>
      <c r="AP855" s="8" t="str">
        <f aca="false">IF(A855="","",IF(AO855="","欠損",IF(AO855&lt;=1.1,"1.0～1.1",IF(AO855&lt;1.3,"1.2",IF(AO855&lt;1.5,"1.3～1.4",IF(AO855&lt;2,"1.5～1.9","2.0以上"))))))</f>
        <v>欠損</v>
      </c>
      <c r="AQ855" s="8" t="str">
        <f aca="false">IF(A855="","",IF(ISNUMBER(SEARCH("2歳",Z855)),"2歳戦",IF(ISNUMBER(SEARCH("3歳未勝利",Z855)),"3歳未勝利",IF(ISNUMBER(SEARCH("未勝利",Z855)),"その他未勝利",IF(ISNUMBER(SEARCH("G1",Z855)),"G1",IF(ISNUMBER(SEARCH("G2",Z855)),"G2",IF(ISNUMBER(SEARCH("G3",Z855)),"G3",IF(ISNUMBER(SEARCH("古馬条件",Z855)),"古馬条件戦",IF(ISNUMBER(SEARCH("重賞",Z855)),"重賞","分類不能")))))))))</f>
        <v>分類不能</v>
      </c>
      <c r="AR855" s="8"/>
      <c r="AS855" s="8" t="s">
        <v>7623</v>
      </c>
      <c r="AT855" s="8" t="s">
        <v>7624</v>
      </c>
      <c r="AU855" s="8" t="s">
        <v>7600</v>
      </c>
      <c r="AV855" s="4" t="s">
        <v>7601</v>
      </c>
      <c r="AW855" s="8"/>
      <c r="AX855" s="8"/>
      <c r="AY855" s="8" t="s">
        <v>7610</v>
      </c>
      <c r="AZ855" s="4" t="s">
        <v>7617</v>
      </c>
      <c r="BA855" s="8" t="n">
        <v>1700</v>
      </c>
      <c r="BB855" s="8" t="s">
        <v>7598</v>
      </c>
      <c r="BC855" s="4" t="s">
        <v>7604</v>
      </c>
      <c r="BD855" s="8" t="s">
        <v>7625</v>
      </c>
      <c r="BE855" s="4" t="s">
        <v>7606</v>
      </c>
      <c r="BF855" s="8" t="s">
        <v>7607</v>
      </c>
      <c r="BG855" s="8" t="s">
        <v>7608</v>
      </c>
      <c r="BH855" s="4" t="s">
        <v>7609</v>
      </c>
      <c r="BI855" s="8" t="n">
        <v>14</v>
      </c>
      <c r="BJ855" s="8" t="s">
        <v>7602</v>
      </c>
      <c r="BK855" s="4" t="s">
        <v>7653</v>
      </c>
      <c r="BL855" s="8" t="s">
        <v>7602</v>
      </c>
      <c r="BM855" s="4" t="s">
        <v>7620</v>
      </c>
      <c r="BN855" s="8"/>
      <c r="BO855" s="8"/>
      <c r="BP855" s="8" t="s">
        <v>7608</v>
      </c>
      <c r="BQ855" s="8" t="str">
        <f aca="false">IF(A855="","",AT855)</f>
        <v>3歳</v>
      </c>
      <c r="BR855" s="8" t="str">
        <f aca="false">IF(A855="","",IF(BA855&lt;=1200,"～1200",IF(BA855&lt;=1500,"1300～1500",IF(BA855=1600,"1600",IF(BA855&lt;=1800,"1700～1800",IF(BA855&lt;=2000,"1900～2000","2100以上"))))))</f>
        <v>1700～1800</v>
      </c>
      <c r="BS855" s="8" t="str">
        <f aca="false">IF(A855="","",IF(AX855="G1","G1",IF(AX855="G2","G2",IF(AX855="G3","G3",IF(AX855="L","L","その他")))))</f>
        <v>その他</v>
      </c>
      <c r="BT855" s="8" t="str">
        <f aca="false">IF(A855="","",IF(BI855="","未結合",IF(D855=BI855,"一致","不一致")))</f>
        <v>一致</v>
      </c>
      <c r="BU855" s="8" t="str">
        <f aca="false">IF(A855="","",IF(BE855="牝馬限定","牝馬限定","その他"))</f>
        <v>その他</v>
      </c>
    </row>
    <row r="856" customFormat="false" ht="15.75" hidden="false" customHeight="false" outlineLevel="0" collapsed="false">
      <c r="A856" s="6" t="n">
        <f aca="false">DATE(2026,8,15)</f>
        <v>46249</v>
      </c>
      <c r="B856" s="4" t="s">
        <v>334</v>
      </c>
      <c r="C856" s="8" t="n">
        <v>2</v>
      </c>
      <c r="D856" s="8" t="n">
        <v>10</v>
      </c>
      <c r="E856" s="8" t="n">
        <v>3</v>
      </c>
      <c r="F856" s="4" t="s">
        <v>1243</v>
      </c>
      <c r="G856" s="8" t="n">
        <v>75</v>
      </c>
      <c r="H856" s="8" t="n">
        <v>9</v>
      </c>
      <c r="I856" s="4" t="s">
        <v>839</v>
      </c>
      <c r="J856" s="8" t="n">
        <v>58</v>
      </c>
      <c r="K856" s="8" t="n">
        <v>2</v>
      </c>
      <c r="L856" s="4" t="s">
        <v>6682</v>
      </c>
      <c r="M856" s="8" t="n">
        <v>52</v>
      </c>
      <c r="N856" s="8" t="n">
        <f aca="false">IF(A856="","",G856-J856)</f>
        <v>17</v>
      </c>
      <c r="O856" s="8" t="n">
        <f aca="false">IF(A856="","",J856-M856)</f>
        <v>6</v>
      </c>
      <c r="P856" s="8" t="n">
        <f aca="false">IF(A856="","",G856+J856)</f>
        <v>133</v>
      </c>
      <c r="Q856" s="8" t="str">
        <f aca="false">IF(A856="","",IF(AND(Y856&lt;&gt;"参考",G856&gt;=ルール設定!$B$2),"○",""))</f>
        <v/>
      </c>
      <c r="R856" s="8" t="str">
        <f aca="false">IF(A856="","",IF(AND(Y856&lt;&gt;"参考",G856&gt;=ルール設定!$B$3,N856&gt;=ルール設定!$B$4),"○",""))</f>
        <v/>
      </c>
      <c r="S856" s="8" t="str">
        <f aca="false">IF(A856="","",IF(AND(Y856&lt;&gt;"参考",G856&gt;=ルール設定!$B$5,J856&gt;=ルール設定!$B$6,O856&gt;=ルール設定!$B$7),"○",""))</f>
        <v/>
      </c>
      <c r="T856" s="8" t="n">
        <v>4</v>
      </c>
      <c r="U856" s="8" t="n">
        <v>1</v>
      </c>
      <c r="V856" s="8" t="str">
        <f aca="false">IF(A856="","",IF(AND(ISNUMBER(T856),ISNUMBER(U856)),IF(AND(T856&lt;=3,U856&lt;=3),"○","×"),""))</f>
        <v>×</v>
      </c>
      <c r="W856" s="8"/>
      <c r="X856" s="8"/>
      <c r="Y856" s="4" t="s">
        <v>7597</v>
      </c>
      <c r="Z856" s="8" t="s">
        <v>8046</v>
      </c>
      <c r="AA856" s="8" t="str">
        <v/>
      </c>
      <c r="AB856" s="8" t="str">
        <v/>
      </c>
      <c r="AC856" s="8" t="str">
        <v/>
      </c>
      <c r="AD856" s="8" t="str">
        <v/>
      </c>
      <c r="AE856" s="8" t="str">
        <v/>
      </c>
      <c r="AF856" s="8" t="str">
        <v/>
      </c>
      <c r="AG856" s="8" t="str">
        <v/>
      </c>
      <c r="AH856" s="8" t="str">
        <v/>
      </c>
      <c r="AI856" s="8" t="n">
        <v>23</v>
      </c>
      <c r="AJ856" s="8" t="str">
        <v>75～79</v>
      </c>
      <c r="AK856" s="8" t="str">
        <v>10～19</v>
      </c>
      <c r="AL856" s="8" t="str">
        <v>20～29</v>
      </c>
      <c r="AM856" s="8" t="str">
        <v>120～139</v>
      </c>
      <c r="AN856" s="8" t="str">
        <v>8～11</v>
      </c>
      <c r="AO856" s="8" t="str">
        <f aca="false">IF(A856="","",IF(COUNTIFS(全馬データ!$A$2:$A$50000,A856,全馬データ!$B$2:$B$50000,B856,全馬データ!$C$2:$C$50000,C856,全馬データ!$D$2:$D$50000,E856,全馬データ!$K$2:$K$50000,"&lt;&gt;")=0,"",SUMIFS(全馬データ!$K$2:$K$50000,全馬データ!$A$2:$A$50000,A856,全馬データ!$B$2:$B$50000,B856,全馬データ!$C$2:$C$50000,C856,全馬データ!$D$2:$D$50000,E856)))</f>
        <v/>
      </c>
      <c r="AP856" s="8" t="str">
        <f aca="false">IF(A856="","",IF(AO856="","欠損",IF(AO856&lt;=1.1,"1.0～1.1",IF(AO856&lt;1.3,"1.2",IF(AO856&lt;1.5,"1.3～1.4",IF(AO856&lt;2,"1.5～1.9","2.0以上"))))))</f>
        <v>欠損</v>
      </c>
      <c r="AQ856" s="8" t="str">
        <f aca="false">IF(A856="","",IF(ISNUMBER(SEARCH("2歳",Z856)),"2歳戦",IF(ISNUMBER(SEARCH("3歳未勝利",Z856)),"3歳未勝利",IF(ISNUMBER(SEARCH("未勝利",Z856)),"その他未勝利",IF(ISNUMBER(SEARCH("G1",Z856)),"G1",IF(ISNUMBER(SEARCH("G2",Z856)),"G2",IF(ISNUMBER(SEARCH("G3",Z856)),"G3",IF(ISNUMBER(SEARCH("古馬条件",Z856)),"古馬条件戦",IF(ISNUMBER(SEARCH("重賞",Z856)),"重賞","分類不能")))))))))</f>
        <v>分類不能</v>
      </c>
      <c r="AR856" s="8"/>
      <c r="AS856" s="8" t="s">
        <v>7598</v>
      </c>
      <c r="AT856" s="8" t="s">
        <v>7599</v>
      </c>
      <c r="AU856" s="8" t="s">
        <v>7600</v>
      </c>
      <c r="AV856" s="4" t="s">
        <v>7601</v>
      </c>
      <c r="AW856" s="8"/>
      <c r="AX856" s="8"/>
      <c r="AY856" s="8" t="s">
        <v>7602</v>
      </c>
      <c r="AZ856" s="4" t="s">
        <v>7603</v>
      </c>
      <c r="BA856" s="8" t="n">
        <v>1800</v>
      </c>
      <c r="BB856" s="8" t="s">
        <v>7598</v>
      </c>
      <c r="BC856" s="4" t="s">
        <v>7604</v>
      </c>
      <c r="BD856" s="8" t="s">
        <v>7605</v>
      </c>
      <c r="BE856" s="4" t="s">
        <v>7606</v>
      </c>
      <c r="BF856" s="8" t="s">
        <v>7607</v>
      </c>
      <c r="BG856" s="8" t="s">
        <v>7608</v>
      </c>
      <c r="BH856" s="4" t="s">
        <v>7609</v>
      </c>
      <c r="BI856" s="8" t="n">
        <v>10</v>
      </c>
      <c r="BJ856" s="8" t="s">
        <v>7602</v>
      </c>
      <c r="BK856" s="4" t="s">
        <v>7653</v>
      </c>
      <c r="BL856" s="8" t="s">
        <v>7602</v>
      </c>
      <c r="BM856" s="4" t="s">
        <v>7620</v>
      </c>
      <c r="BN856" s="8" t="s">
        <v>7602</v>
      </c>
      <c r="BO856" s="8" t="s">
        <v>7613</v>
      </c>
      <c r="BP856" s="8" t="s">
        <v>7608</v>
      </c>
      <c r="BQ856" s="8" t="str">
        <f aca="false">IF(A856="","",AT856)</f>
        <v>2歳</v>
      </c>
      <c r="BR856" s="8" t="str">
        <f aca="false">IF(A856="","",IF(BA856&lt;=1200,"～1200",IF(BA856&lt;=1500,"1300～1500",IF(BA856=1600,"1600",IF(BA856&lt;=1800,"1700～1800",IF(BA856&lt;=2000,"1900～2000","2100以上"))))))</f>
        <v>1700～1800</v>
      </c>
      <c r="BS856" s="8" t="str">
        <f aca="false">IF(A856="","",IF(AX856="G1","G1",IF(AX856="G2","G2",IF(AX856="G3","G3",IF(AX856="L","L","その他")))))</f>
        <v>その他</v>
      </c>
      <c r="BT856" s="8" t="str">
        <f aca="false">IF(A856="","",IF(BI856="","未結合",IF(D856=BI856,"一致","不一致")))</f>
        <v>一致</v>
      </c>
      <c r="BU856" s="8" t="str">
        <f aca="false">IF(A856="","",IF(BE856="牝馬限定","牝馬限定","その他"))</f>
        <v>その他</v>
      </c>
    </row>
    <row r="857" customFormat="false" ht="15.75" hidden="false" customHeight="false" outlineLevel="0" collapsed="false">
      <c r="A857" s="6" t="n">
        <f aca="false">DATE(2026,8,15)</f>
        <v>46249</v>
      </c>
      <c r="B857" s="4" t="s">
        <v>334</v>
      </c>
      <c r="C857" s="8" t="n">
        <v>3</v>
      </c>
      <c r="D857" s="8" t="n">
        <v>12</v>
      </c>
      <c r="E857" s="8" t="n">
        <v>6</v>
      </c>
      <c r="F857" s="4" t="s">
        <v>6684</v>
      </c>
      <c r="G857" s="8" t="n">
        <v>62</v>
      </c>
      <c r="H857" s="8" t="n">
        <v>12</v>
      </c>
      <c r="I857" s="4" t="s">
        <v>2342</v>
      </c>
      <c r="J857" s="8" t="n">
        <v>58</v>
      </c>
      <c r="K857" s="8" t="n">
        <v>10</v>
      </c>
      <c r="L857" s="4" t="s">
        <v>3034</v>
      </c>
      <c r="M857" s="8" t="n">
        <v>56</v>
      </c>
      <c r="N857" s="8" t="n">
        <f aca="false">IF(A857="","",G857-J857)</f>
        <v>4</v>
      </c>
      <c r="O857" s="8" t="n">
        <f aca="false">IF(A857="","",J857-M857)</f>
        <v>2</v>
      </c>
      <c r="P857" s="8" t="n">
        <f aca="false">IF(A857="","",G857+J857)</f>
        <v>120</v>
      </c>
      <c r="Q857" s="8" t="str">
        <f aca="false">IF(A857="","",IF(AND(Y857&lt;&gt;"参考",G857&gt;=ルール設定!$B$2),"○",""))</f>
        <v/>
      </c>
      <c r="R857" s="8" t="str">
        <f aca="false">IF(A857="","",IF(AND(Y857&lt;&gt;"参考",G857&gt;=ルール設定!$B$3,N857&gt;=ルール設定!$B$4),"○",""))</f>
        <v/>
      </c>
      <c r="S857" s="8" t="str">
        <f aca="false">IF(A857="","",IF(AND(Y857&lt;&gt;"参考",G857&gt;=ルール設定!$B$5,J857&gt;=ルール設定!$B$6,O857&gt;=ルール設定!$B$7),"○",""))</f>
        <v/>
      </c>
      <c r="T857" s="8" t="n">
        <v>4</v>
      </c>
      <c r="U857" s="8" t="n">
        <v>4</v>
      </c>
      <c r="V857" s="8" t="str">
        <f aca="false">IF(A857="","",IF(AND(ISNUMBER(T857),ISNUMBER(U857)),IF(AND(T857&lt;=3,U857&lt;=3),"○","×"),""))</f>
        <v>×</v>
      </c>
      <c r="W857" s="8"/>
      <c r="X857" s="8"/>
      <c r="Y857" s="4" t="s">
        <v>7597</v>
      </c>
      <c r="Z857" s="8" t="s">
        <v>8047</v>
      </c>
      <c r="AA857" s="8" t="str">
        <v/>
      </c>
      <c r="AB857" s="8" t="str">
        <v/>
      </c>
      <c r="AC857" s="8" t="str">
        <v/>
      </c>
      <c r="AD857" s="8" t="str">
        <v/>
      </c>
      <c r="AE857" s="8" t="str">
        <v/>
      </c>
      <c r="AF857" s="8" t="str">
        <v/>
      </c>
      <c r="AG857" s="8" t="str">
        <v/>
      </c>
      <c r="AH857" s="8" t="str">
        <v/>
      </c>
      <c r="AI857" s="8" t="n">
        <v>6</v>
      </c>
      <c r="AJ857" s="8" t="str">
        <v>60～69</v>
      </c>
      <c r="AK857" s="8" t="str">
        <v>0～4</v>
      </c>
      <c r="AL857" s="8" t="str">
        <v>0～9</v>
      </c>
      <c r="AM857" s="8" t="str">
        <v>120～139</v>
      </c>
      <c r="AN857" s="8" t="str">
        <v>12～14</v>
      </c>
      <c r="AO857" s="8" t="str">
        <f aca="false">IF(A857="","",IF(COUNTIFS(全馬データ!$A$2:$A$50000,A857,全馬データ!$B$2:$B$50000,B857,全馬データ!$C$2:$C$50000,C857,全馬データ!$D$2:$D$50000,E857,全馬データ!$K$2:$K$50000,"&lt;&gt;")=0,"",SUMIFS(全馬データ!$K$2:$K$50000,全馬データ!$A$2:$A$50000,A857,全馬データ!$B$2:$B$50000,B857,全馬データ!$C$2:$C$50000,C857,全馬データ!$D$2:$D$50000,E857)))</f>
        <v/>
      </c>
      <c r="AP857" s="8" t="str">
        <f aca="false">IF(A857="","",IF(AO857="","欠損",IF(AO857&lt;=1.1,"1.0～1.1",IF(AO857&lt;1.3,"1.2",IF(AO857&lt;1.5,"1.3～1.4",IF(AO857&lt;2,"1.5～1.9","2.0以上"))))))</f>
        <v>欠損</v>
      </c>
      <c r="AQ857" s="8" t="str">
        <f aca="false">IF(A857="","",IF(ISNUMBER(SEARCH("2歳",Z857)),"2歳戦",IF(ISNUMBER(SEARCH("3歳未勝利",Z857)),"3歳未勝利",IF(ISNUMBER(SEARCH("未勝利",Z857)),"その他未勝利",IF(ISNUMBER(SEARCH("G1",Z857)),"G1",IF(ISNUMBER(SEARCH("G2",Z857)),"G2",IF(ISNUMBER(SEARCH("G3",Z857)),"G3",IF(ISNUMBER(SEARCH("古馬条件",Z857)),"古馬条件戦",IF(ISNUMBER(SEARCH("重賞",Z857)),"重賞","分類不能")))))))))</f>
        <v>分類不能</v>
      </c>
      <c r="AR857" s="8"/>
      <c r="AS857" s="8" t="s">
        <v>7623</v>
      </c>
      <c r="AT857" s="8" t="s">
        <v>7624</v>
      </c>
      <c r="AU857" s="8" t="s">
        <v>7600</v>
      </c>
      <c r="AV857" s="4" t="s">
        <v>7601</v>
      </c>
      <c r="AW857" s="8"/>
      <c r="AX857" s="8"/>
      <c r="AY857" s="8" t="s">
        <v>7610</v>
      </c>
      <c r="AZ857" s="4" t="s">
        <v>7617</v>
      </c>
      <c r="BA857" s="8" t="n">
        <v>1000</v>
      </c>
      <c r="BB857" s="8" t="s">
        <v>7598</v>
      </c>
      <c r="BC857" s="4" t="s">
        <v>7604</v>
      </c>
      <c r="BD857" s="8" t="s">
        <v>7625</v>
      </c>
      <c r="BE857" s="4" t="s">
        <v>7606</v>
      </c>
      <c r="BF857" s="8" t="s">
        <v>7607</v>
      </c>
      <c r="BG857" s="8" t="s">
        <v>7608</v>
      </c>
      <c r="BH857" s="4" t="s">
        <v>7609</v>
      </c>
      <c r="BI857" s="8" t="n">
        <v>12</v>
      </c>
      <c r="BJ857" s="8" t="s">
        <v>7602</v>
      </c>
      <c r="BK857" s="4" t="s">
        <v>7653</v>
      </c>
      <c r="BL857" s="8" t="s">
        <v>7602</v>
      </c>
      <c r="BM857" s="4" t="s">
        <v>7620</v>
      </c>
      <c r="BN857" s="8"/>
      <c r="BO857" s="8"/>
      <c r="BP857" s="8" t="s">
        <v>7608</v>
      </c>
      <c r="BQ857" s="8" t="str">
        <f aca="false">IF(A857="","",AT857)</f>
        <v>3歳</v>
      </c>
      <c r="BR857" s="8" t="str">
        <f aca="false">IF(A857="","",IF(BA857&lt;=1200,"～1200",IF(BA857&lt;=1500,"1300～1500",IF(BA857=1600,"1600",IF(BA857&lt;=1800,"1700～1800",IF(BA857&lt;=2000,"1900～2000","2100以上"))))))</f>
        <v>～1200</v>
      </c>
      <c r="BS857" s="8" t="str">
        <f aca="false">IF(A857="","",IF(AX857="G1","G1",IF(AX857="G2","G2",IF(AX857="G3","G3",IF(AX857="L","L","その他")))))</f>
        <v>その他</v>
      </c>
      <c r="BT857" s="8" t="str">
        <f aca="false">IF(A857="","",IF(BI857="","未結合",IF(D857=BI857,"一致","不一致")))</f>
        <v>一致</v>
      </c>
      <c r="BU857" s="8" t="str">
        <f aca="false">IF(A857="","",IF(BE857="牝馬限定","牝馬限定","その他"))</f>
        <v>その他</v>
      </c>
    </row>
    <row r="858" customFormat="false" ht="15.75" hidden="false" customHeight="false" outlineLevel="0" collapsed="false">
      <c r="A858" s="6" t="n">
        <f aca="false">DATE(2026,8,15)</f>
        <v>46249</v>
      </c>
      <c r="B858" s="4" t="s">
        <v>334</v>
      </c>
      <c r="C858" s="8" t="n">
        <v>4</v>
      </c>
      <c r="D858" s="8" t="n">
        <v>12</v>
      </c>
      <c r="E858" s="8" t="n">
        <v>6</v>
      </c>
      <c r="F858" s="4" t="s">
        <v>1261</v>
      </c>
      <c r="G858" s="8" t="n">
        <v>71</v>
      </c>
      <c r="H858" s="8" t="n">
        <v>3</v>
      </c>
      <c r="I858" s="4" t="s">
        <v>1268</v>
      </c>
      <c r="J858" s="8" t="n">
        <v>62</v>
      </c>
      <c r="K858" s="8" t="n">
        <v>1</v>
      </c>
      <c r="L858" s="4" t="s">
        <v>1259</v>
      </c>
      <c r="M858" s="8" t="n">
        <v>56</v>
      </c>
      <c r="N858" s="8" t="n">
        <f aca="false">IF(A858="","",G858-J858)</f>
        <v>9</v>
      </c>
      <c r="O858" s="8" t="n">
        <f aca="false">IF(A858="","",J858-M858)</f>
        <v>6</v>
      </c>
      <c r="P858" s="8" t="n">
        <f aca="false">IF(A858="","",G858+J858)</f>
        <v>133</v>
      </c>
      <c r="Q858" s="8" t="str">
        <f aca="false">IF(A858="","",IF(AND(Y858&lt;&gt;"参考",G858&gt;=ルール設定!$B$2),"○",""))</f>
        <v/>
      </c>
      <c r="R858" s="8" t="str">
        <f aca="false">IF(A858="","",IF(AND(Y858&lt;&gt;"参考",G858&gt;=ルール設定!$B$3,N858&gt;=ルール設定!$B$4),"○",""))</f>
        <v/>
      </c>
      <c r="S858" s="8" t="str">
        <f aca="false">IF(A858="","",IF(AND(Y858&lt;&gt;"参考",G858&gt;=ルール設定!$B$5,J858&gt;=ルール設定!$B$6,O858&gt;=ルール設定!$B$7),"○",""))</f>
        <v/>
      </c>
      <c r="T858" s="8" t="n">
        <v>4</v>
      </c>
      <c r="U858" s="8" t="n">
        <v>2</v>
      </c>
      <c r="V858" s="8" t="str">
        <f aca="false">IF(A858="","",IF(AND(ISNUMBER(T858),ISNUMBER(U858)),IF(AND(T858&lt;=3,U858&lt;=3),"○","×"),""))</f>
        <v>×</v>
      </c>
      <c r="W858" s="8"/>
      <c r="X858" s="8"/>
      <c r="Y858" s="4" t="s">
        <v>7597</v>
      </c>
      <c r="Z858" s="8" t="s">
        <v>8048</v>
      </c>
      <c r="AA858" s="8" t="str">
        <v/>
      </c>
      <c r="AB858" s="8" t="str">
        <v/>
      </c>
      <c r="AC858" s="8" t="str">
        <v/>
      </c>
      <c r="AD858" s="8" t="str">
        <v/>
      </c>
      <c r="AE858" s="8" t="str">
        <v/>
      </c>
      <c r="AF858" s="8" t="str">
        <v/>
      </c>
      <c r="AG858" s="8" t="str">
        <v/>
      </c>
      <c r="AH858" s="8" t="str">
        <v/>
      </c>
      <c r="AI858" s="8" t="n">
        <v>15</v>
      </c>
      <c r="AJ858" s="8" t="str">
        <v>70～74</v>
      </c>
      <c r="AK858" s="8" t="str">
        <v>5～9</v>
      </c>
      <c r="AL858" s="8" t="str">
        <v>10～19</v>
      </c>
      <c r="AM858" s="8" t="str">
        <v>120～139</v>
      </c>
      <c r="AN858" s="8" t="str">
        <v>12～14</v>
      </c>
      <c r="AO858" s="8" t="str">
        <f aca="false">IF(A858="","",IF(COUNTIFS(全馬データ!$A$2:$A$50000,A858,全馬データ!$B$2:$B$50000,B858,全馬データ!$C$2:$C$50000,C858,全馬データ!$D$2:$D$50000,E858,全馬データ!$K$2:$K$50000,"&lt;&gt;")=0,"",SUMIFS(全馬データ!$K$2:$K$50000,全馬データ!$A$2:$A$50000,A858,全馬データ!$B$2:$B$50000,B858,全馬データ!$C$2:$C$50000,C858,全馬データ!$D$2:$D$50000,E858)))</f>
        <v/>
      </c>
      <c r="AP858" s="8" t="str">
        <f aca="false">IF(A858="","",IF(AO858="","欠損",IF(AO858&lt;=1.1,"1.0～1.1",IF(AO858&lt;1.3,"1.2",IF(AO858&lt;1.5,"1.3～1.4",IF(AO858&lt;2,"1.5～1.9","2.0以上"))))))</f>
        <v>欠損</v>
      </c>
      <c r="AQ858" s="8" t="str">
        <f aca="false">IF(A858="","",IF(ISNUMBER(SEARCH("2歳",Z858)),"2歳戦",IF(ISNUMBER(SEARCH("3歳未勝利",Z858)),"3歳未勝利",IF(ISNUMBER(SEARCH("未勝利",Z858)),"その他未勝利",IF(ISNUMBER(SEARCH("G1",Z858)),"G1",IF(ISNUMBER(SEARCH("G2",Z858)),"G2",IF(ISNUMBER(SEARCH("G3",Z858)),"G3",IF(ISNUMBER(SEARCH("古馬条件",Z858)),"古馬条件戦",IF(ISNUMBER(SEARCH("重賞",Z858)),"重賞","分類不能")))))))))</f>
        <v>分類不能</v>
      </c>
      <c r="AR858" s="8"/>
      <c r="AS858" s="8" t="s">
        <v>7623</v>
      </c>
      <c r="AT858" s="8" t="s">
        <v>7624</v>
      </c>
      <c r="AU858" s="8" t="s">
        <v>7600</v>
      </c>
      <c r="AV858" s="4" t="s">
        <v>7601</v>
      </c>
      <c r="AW858" s="8"/>
      <c r="AX858" s="8"/>
      <c r="AY858" s="8" t="s">
        <v>7610</v>
      </c>
      <c r="AZ858" s="4" t="s">
        <v>7617</v>
      </c>
      <c r="BA858" s="8" t="n">
        <v>2400</v>
      </c>
      <c r="BB858" s="8" t="s">
        <v>7598</v>
      </c>
      <c r="BC858" s="4" t="s">
        <v>7604</v>
      </c>
      <c r="BD858" s="8" t="s">
        <v>7605</v>
      </c>
      <c r="BE858" s="4" t="s">
        <v>7606</v>
      </c>
      <c r="BF858" s="8" t="s">
        <v>7607</v>
      </c>
      <c r="BG858" s="8" t="s">
        <v>7608</v>
      </c>
      <c r="BH858" s="4" t="s">
        <v>7609</v>
      </c>
      <c r="BI858" s="8" t="n">
        <v>12</v>
      </c>
      <c r="BJ858" s="8" t="s">
        <v>7602</v>
      </c>
      <c r="BK858" s="4" t="s">
        <v>7653</v>
      </c>
      <c r="BL858" s="8" t="s">
        <v>7602</v>
      </c>
      <c r="BM858" s="4" t="s">
        <v>7620</v>
      </c>
      <c r="BN858" s="8"/>
      <c r="BO858" s="8"/>
      <c r="BP858" s="8" t="s">
        <v>7608</v>
      </c>
      <c r="BQ858" s="8" t="str">
        <f aca="false">IF(A858="","",AT858)</f>
        <v>3歳</v>
      </c>
      <c r="BR858" s="8" t="str">
        <f aca="false">IF(A858="","",IF(BA858&lt;=1200,"～1200",IF(BA858&lt;=1500,"1300～1500",IF(BA858=1600,"1600",IF(BA858&lt;=1800,"1700～1800",IF(BA858&lt;=2000,"1900～2000","2100以上"))))))</f>
        <v>2100以上</v>
      </c>
      <c r="BS858" s="8" t="str">
        <f aca="false">IF(A858="","",IF(AX858="G1","G1",IF(AX858="G2","G2",IF(AX858="G3","G3",IF(AX858="L","L","その他")))))</f>
        <v>その他</v>
      </c>
      <c r="BT858" s="8" t="str">
        <f aca="false">IF(A858="","",IF(BI858="","未結合",IF(D858=BI858,"一致","不一致")))</f>
        <v>一致</v>
      </c>
      <c r="BU858" s="8" t="str">
        <f aca="false">IF(A858="","",IF(BE858="牝馬限定","牝馬限定","その他"))</f>
        <v>その他</v>
      </c>
    </row>
    <row r="859" customFormat="false" ht="15.75" hidden="false" customHeight="false" outlineLevel="0" collapsed="false">
      <c r="A859" s="6" t="n">
        <f aca="false">DATE(2026,8,15)</f>
        <v>46249</v>
      </c>
      <c r="B859" s="4" t="s">
        <v>334</v>
      </c>
      <c r="C859" s="8" t="n">
        <v>5</v>
      </c>
      <c r="D859" s="8" t="n">
        <v>12</v>
      </c>
      <c r="E859" s="8" t="n">
        <v>5</v>
      </c>
      <c r="F859" s="4" t="s">
        <v>6690</v>
      </c>
      <c r="G859" s="8" t="n">
        <v>37</v>
      </c>
      <c r="H859" s="8" t="n">
        <v>1</v>
      </c>
      <c r="I859" s="4" t="s">
        <v>6686</v>
      </c>
      <c r="J859" s="8" t="n">
        <v>27</v>
      </c>
      <c r="K859" s="8" t="n">
        <v>7</v>
      </c>
      <c r="L859" s="4" t="s">
        <v>6692</v>
      </c>
      <c r="M859" s="8" t="n">
        <v>27</v>
      </c>
      <c r="N859" s="8" t="n">
        <f aca="false">IF(A859="","",G859-J859)</f>
        <v>10</v>
      </c>
      <c r="O859" s="8" t="n">
        <f aca="false">IF(A859="","",J859-M859)</f>
        <v>0</v>
      </c>
      <c r="P859" s="8" t="n">
        <f aca="false">IF(A859="","",G859+J859)</f>
        <v>64</v>
      </c>
      <c r="Q859" s="8" t="str">
        <f aca="false">IF(A859="","",IF(AND(Y859&lt;&gt;"参考",G859&gt;=ルール設定!$B$2),"○",""))</f>
        <v/>
      </c>
      <c r="R859" s="8" t="str">
        <f aca="false">IF(A859="","",IF(AND(Y859&lt;&gt;"参考",G859&gt;=ルール設定!$B$3,N859&gt;=ルール設定!$B$4),"○",""))</f>
        <v/>
      </c>
      <c r="S859" s="8" t="str">
        <f aca="false">IF(A859="","",IF(AND(Y859&lt;&gt;"参考",G859&gt;=ルール設定!$B$5,J859&gt;=ルール設定!$B$6,O859&gt;=ルール設定!$B$7),"○",""))</f>
        <v/>
      </c>
      <c r="T859" s="8" t="n">
        <v>1</v>
      </c>
      <c r="U859" s="8" t="n">
        <v>2</v>
      </c>
      <c r="V859" s="8" t="str">
        <f aca="false">IF(A859="","",IF(AND(ISNUMBER(T859),ISNUMBER(U859)),IF(AND(T859&lt;=3,U859&lt;=3),"○","×"),""))</f>
        <v>○</v>
      </c>
      <c r="W859" s="8" t="n">
        <v>130</v>
      </c>
      <c r="X859" s="8" t="n">
        <v>270</v>
      </c>
      <c r="Y859" s="4" t="s">
        <v>7597</v>
      </c>
      <c r="Z859" s="8" t="s">
        <v>8049</v>
      </c>
      <c r="AA859" s="8" t="str">
        <v/>
      </c>
      <c r="AB859" s="8" t="str">
        <v/>
      </c>
      <c r="AC859" s="8" t="str">
        <v/>
      </c>
      <c r="AD859" s="8" t="str">
        <v/>
      </c>
      <c r="AE859" s="8" t="str">
        <v/>
      </c>
      <c r="AF859" s="8" t="str">
        <v/>
      </c>
      <c r="AG859" s="8" t="str">
        <v/>
      </c>
      <c r="AH859" s="8" t="str">
        <v/>
      </c>
      <c r="AI859" s="8" t="n">
        <v>10</v>
      </c>
      <c r="AJ859" s="8" t="str">
        <v>～59</v>
      </c>
      <c r="AK859" s="8" t="str">
        <v>10～19</v>
      </c>
      <c r="AL859" s="8" t="str">
        <v>10～19</v>
      </c>
      <c r="AM859" s="8" t="str">
        <v>～99</v>
      </c>
      <c r="AN859" s="8" t="str">
        <v>12～14</v>
      </c>
      <c r="AO859" s="8" t="str">
        <f aca="false">IF(A859="","",IF(COUNTIFS(全馬データ!$A$2:$A$50000,A859,全馬データ!$B$2:$B$50000,B859,全馬データ!$C$2:$C$50000,C859,全馬データ!$D$2:$D$50000,E859,全馬データ!$K$2:$K$50000,"&lt;&gt;")=0,"",SUMIFS(全馬データ!$K$2:$K$50000,全馬データ!$A$2:$A$50000,A859,全馬データ!$B$2:$B$50000,B859,全馬データ!$C$2:$C$50000,C859,全馬データ!$D$2:$D$50000,E859)))</f>
        <v/>
      </c>
      <c r="AP859" s="8" t="str">
        <f aca="false">IF(A859="","",IF(AO859="","欠損",IF(AO859&lt;=1.1,"1.0～1.1",IF(AO859&lt;1.3,"1.2",IF(AO859&lt;1.5,"1.3～1.4",IF(AO859&lt;2,"1.5～1.9","2.0以上"))))))</f>
        <v>欠損</v>
      </c>
      <c r="AQ859" s="8" t="str">
        <f aca="false">IF(A859="","",IF(ISNUMBER(SEARCH("2歳",Z859)),"2歳戦",IF(ISNUMBER(SEARCH("3歳未勝利",Z859)),"3歳未勝利",IF(ISNUMBER(SEARCH("未勝利",Z859)),"その他未勝利",IF(ISNUMBER(SEARCH("G1",Z859)),"G1",IF(ISNUMBER(SEARCH("G2",Z859)),"G2",IF(ISNUMBER(SEARCH("G3",Z859)),"G3",IF(ISNUMBER(SEARCH("古馬条件",Z859)),"古馬条件戦",IF(ISNUMBER(SEARCH("重賞",Z859)),"重賞","分類不能")))))))))</f>
        <v>分類不能</v>
      </c>
      <c r="AR859" s="8"/>
      <c r="AS859" s="8" t="s">
        <v>7598</v>
      </c>
      <c r="AT859" s="8" t="s">
        <v>7599</v>
      </c>
      <c r="AU859" s="8" t="s">
        <v>7615</v>
      </c>
      <c r="AV859" s="4" t="s">
        <v>7616</v>
      </c>
      <c r="AW859" s="8"/>
      <c r="AX859" s="8"/>
      <c r="AY859" s="8" t="s">
        <v>7602</v>
      </c>
      <c r="AZ859" s="4" t="s">
        <v>7603</v>
      </c>
      <c r="BA859" s="8" t="n">
        <v>1200</v>
      </c>
      <c r="BB859" s="8" t="s">
        <v>7598</v>
      </c>
      <c r="BC859" s="4" t="s">
        <v>7604</v>
      </c>
      <c r="BD859" s="8" t="s">
        <v>7605</v>
      </c>
      <c r="BE859" s="4" t="s">
        <v>7606</v>
      </c>
      <c r="BF859" s="8" t="s">
        <v>7607</v>
      </c>
      <c r="BG859" s="8" t="s">
        <v>7608</v>
      </c>
      <c r="BH859" s="4" t="s">
        <v>7609</v>
      </c>
      <c r="BI859" s="8" t="n">
        <v>12</v>
      </c>
      <c r="BJ859" s="8" t="s">
        <v>7602</v>
      </c>
      <c r="BK859" s="4" t="s">
        <v>7653</v>
      </c>
      <c r="BL859" s="8" t="s">
        <v>7602</v>
      </c>
      <c r="BM859" s="4" t="s">
        <v>7620</v>
      </c>
      <c r="BN859" s="8" t="s">
        <v>7602</v>
      </c>
      <c r="BO859" s="8" t="s">
        <v>7613</v>
      </c>
      <c r="BP859" s="8" t="s">
        <v>7608</v>
      </c>
      <c r="BQ859" s="8" t="str">
        <f aca="false">IF(A859="","",AT859)</f>
        <v>2歳</v>
      </c>
      <c r="BR859" s="8" t="str">
        <f aca="false">IF(A859="","",IF(BA859&lt;=1200,"～1200",IF(BA859&lt;=1500,"1300～1500",IF(BA859=1600,"1600",IF(BA859&lt;=1800,"1700～1800",IF(BA859&lt;=2000,"1900～2000","2100以上"))))))</f>
        <v>～1200</v>
      </c>
      <c r="BS859" s="8" t="str">
        <f aca="false">IF(A859="","",IF(AX859="G1","G1",IF(AX859="G2","G2",IF(AX859="G3","G3",IF(AX859="L","L","その他")))))</f>
        <v>その他</v>
      </c>
      <c r="BT859" s="8" t="str">
        <f aca="false">IF(A859="","",IF(BI859="","未結合",IF(D859=BI859,"一致","不一致")))</f>
        <v>一致</v>
      </c>
      <c r="BU859" s="8" t="str">
        <f aca="false">IF(A859="","",IF(BE859="牝馬限定","牝馬限定","その他"))</f>
        <v>その他</v>
      </c>
    </row>
    <row r="860" customFormat="false" ht="15.75" hidden="false" customHeight="false" outlineLevel="0" collapsed="false">
      <c r="A860" s="6" t="n">
        <f aca="false">DATE(2026,8,15)</f>
        <v>46249</v>
      </c>
      <c r="B860" s="4" t="s">
        <v>334</v>
      </c>
      <c r="C860" s="8" t="n">
        <v>6</v>
      </c>
      <c r="D860" s="8" t="n">
        <v>14</v>
      </c>
      <c r="E860" s="8" t="n">
        <v>10</v>
      </c>
      <c r="F860" s="4" t="s">
        <v>6700</v>
      </c>
      <c r="G860" s="8" t="n">
        <v>47</v>
      </c>
      <c r="H860" s="8" t="n">
        <v>7</v>
      </c>
      <c r="I860" s="4" t="s">
        <v>364</v>
      </c>
      <c r="J860" s="8" t="n">
        <v>44</v>
      </c>
      <c r="K860" s="8" t="n">
        <v>9</v>
      </c>
      <c r="L860" s="4" t="s">
        <v>1419</v>
      </c>
      <c r="M860" s="8" t="n">
        <v>37</v>
      </c>
      <c r="N860" s="8" t="n">
        <f aca="false">IF(A860="","",G860-J860)</f>
        <v>3</v>
      </c>
      <c r="O860" s="8" t="n">
        <f aca="false">IF(A860="","",J860-M860)</f>
        <v>7</v>
      </c>
      <c r="P860" s="8" t="n">
        <f aca="false">IF(A860="","",G860+J860)</f>
        <v>91</v>
      </c>
      <c r="Q860" s="8" t="str">
        <f aca="false">IF(A860="","",IF(AND(Y860&lt;&gt;"参考",G860&gt;=ルール設定!$B$2),"○",""))</f>
        <v/>
      </c>
      <c r="R860" s="8" t="str">
        <f aca="false">IF(A860="","",IF(AND(Y860&lt;&gt;"参考",G860&gt;=ルール設定!$B$3,N860&gt;=ルール設定!$B$4),"○",""))</f>
        <v/>
      </c>
      <c r="S860" s="8" t="str">
        <f aca="false">IF(A860="","",IF(AND(Y860&lt;&gt;"参考",G860&gt;=ルール設定!$B$5,J860&gt;=ルール設定!$B$6,O860&gt;=ルール設定!$B$7),"○",""))</f>
        <v/>
      </c>
      <c r="T860" s="8" t="n">
        <v>4</v>
      </c>
      <c r="U860" s="8" t="n">
        <v>1</v>
      </c>
      <c r="V860" s="8" t="str">
        <f aca="false">IF(A860="","",IF(AND(ISNUMBER(T860),ISNUMBER(U860)),IF(AND(T860&lt;=3,U860&lt;=3),"○","×"),""))</f>
        <v>×</v>
      </c>
      <c r="W860" s="8"/>
      <c r="X860" s="8"/>
      <c r="Y860" s="4" t="s">
        <v>7597</v>
      </c>
      <c r="Z860" s="8" t="s">
        <v>8050</v>
      </c>
      <c r="AA860" s="8" t="str">
        <v/>
      </c>
      <c r="AB860" s="8" t="str">
        <v/>
      </c>
      <c r="AC860" s="8" t="str">
        <v/>
      </c>
      <c r="AD860" s="8" t="str">
        <v/>
      </c>
      <c r="AE860" s="8" t="str">
        <v/>
      </c>
      <c r="AF860" s="8" t="str">
        <v/>
      </c>
      <c r="AG860" s="8" t="str">
        <v/>
      </c>
      <c r="AH860" s="8" t="str">
        <v/>
      </c>
      <c r="AI860" s="8" t="n">
        <v>10</v>
      </c>
      <c r="AJ860" s="8" t="str">
        <v>～59</v>
      </c>
      <c r="AK860" s="8" t="str">
        <v>0～4</v>
      </c>
      <c r="AL860" s="8" t="str">
        <v>10～19</v>
      </c>
      <c r="AM860" s="8" t="str">
        <v>～99</v>
      </c>
      <c r="AN860" s="8" t="str">
        <v>12～14</v>
      </c>
      <c r="AO860" s="8" t="str">
        <f aca="false">IF(A860="","",IF(COUNTIFS(全馬データ!$A$2:$A$50000,A860,全馬データ!$B$2:$B$50000,B860,全馬データ!$C$2:$C$50000,C860,全馬データ!$D$2:$D$50000,E860,全馬データ!$K$2:$K$50000,"&lt;&gt;")=0,"",SUMIFS(全馬データ!$K$2:$K$50000,全馬データ!$A$2:$A$50000,A860,全馬データ!$B$2:$B$50000,B860,全馬データ!$C$2:$C$50000,C860,全馬データ!$D$2:$D$50000,E860)))</f>
        <v/>
      </c>
      <c r="AP860" s="8" t="str">
        <f aca="false">IF(A860="","",IF(AO860="","欠損",IF(AO860&lt;=1.1,"1.0～1.1",IF(AO860&lt;1.3,"1.2",IF(AO860&lt;1.5,"1.3～1.4",IF(AO860&lt;2,"1.5～1.9","2.0以上"))))))</f>
        <v>欠損</v>
      </c>
      <c r="AQ860" s="8" t="str">
        <f aca="false">IF(A860="","",IF(ISNUMBER(SEARCH("2歳",Z860)),"2歳戦",IF(ISNUMBER(SEARCH("3歳未勝利",Z860)),"3歳未勝利",IF(ISNUMBER(SEARCH("未勝利",Z860)),"その他未勝利",IF(ISNUMBER(SEARCH("G1",Z860)),"G1",IF(ISNUMBER(SEARCH("G2",Z860)),"G2",IF(ISNUMBER(SEARCH("G3",Z860)),"G3",IF(ISNUMBER(SEARCH("古馬条件",Z860)),"古馬条件戦",IF(ISNUMBER(SEARCH("重賞",Z860)),"重賞","分類不能")))))))))</f>
        <v>分類不能</v>
      </c>
      <c r="AR860" s="8"/>
      <c r="AS860" s="8" t="s">
        <v>7623</v>
      </c>
      <c r="AT860" s="8" t="s">
        <v>7624</v>
      </c>
      <c r="AU860" s="8" t="s">
        <v>7600</v>
      </c>
      <c r="AV860" s="4" t="s">
        <v>7601</v>
      </c>
      <c r="AW860" s="8"/>
      <c r="AX860" s="8"/>
      <c r="AY860" s="8" t="s">
        <v>7602</v>
      </c>
      <c r="AZ860" s="4" t="s">
        <v>7603</v>
      </c>
      <c r="BA860" s="8" t="n">
        <v>1500</v>
      </c>
      <c r="BB860" s="8" t="s">
        <v>7598</v>
      </c>
      <c r="BC860" s="4" t="s">
        <v>7604</v>
      </c>
      <c r="BD860" s="8" t="s">
        <v>7605</v>
      </c>
      <c r="BE860" s="4" t="s">
        <v>7606</v>
      </c>
      <c r="BF860" s="8" t="s">
        <v>7607</v>
      </c>
      <c r="BG860" s="8" t="s">
        <v>7608</v>
      </c>
      <c r="BH860" s="4" t="s">
        <v>7609</v>
      </c>
      <c r="BI860" s="8" t="n">
        <v>14</v>
      </c>
      <c r="BJ860" s="8" t="s">
        <v>7602</v>
      </c>
      <c r="BK860" s="4" t="s">
        <v>7653</v>
      </c>
      <c r="BL860" s="8" t="s">
        <v>7602</v>
      </c>
      <c r="BM860" s="4" t="s">
        <v>7620</v>
      </c>
      <c r="BN860" s="8" t="s">
        <v>7602</v>
      </c>
      <c r="BO860" s="8" t="s">
        <v>7613</v>
      </c>
      <c r="BP860" s="8" t="s">
        <v>7608</v>
      </c>
      <c r="BQ860" s="8" t="str">
        <f aca="false">IF(A860="","",AT860)</f>
        <v>3歳</v>
      </c>
      <c r="BR860" s="8" t="str">
        <f aca="false">IF(A860="","",IF(BA860&lt;=1200,"～1200",IF(BA860&lt;=1500,"1300～1500",IF(BA860=1600,"1600",IF(BA860&lt;=1800,"1700～1800",IF(BA860&lt;=2000,"1900～2000","2100以上"))))))</f>
        <v>1300～1500</v>
      </c>
      <c r="BS860" s="8" t="str">
        <f aca="false">IF(A860="","",IF(AX860="G1","G1",IF(AX860="G2","G2",IF(AX860="G3","G3",IF(AX860="L","L","その他")))))</f>
        <v>その他</v>
      </c>
      <c r="BT860" s="8" t="str">
        <f aca="false">IF(A860="","",IF(BI860="","未結合",IF(D860=BI860,"一致","不一致")))</f>
        <v>一致</v>
      </c>
      <c r="BU860" s="8" t="str">
        <f aca="false">IF(A860="","",IF(BE860="牝馬限定","牝馬限定","その他"))</f>
        <v>その他</v>
      </c>
    </row>
    <row r="861" customFormat="false" ht="15.75" hidden="false" customHeight="false" outlineLevel="0" collapsed="false">
      <c r="A861" s="6" t="n">
        <f aca="false">DATE(2026,8,15)</f>
        <v>46249</v>
      </c>
      <c r="B861" s="4" t="s">
        <v>334</v>
      </c>
      <c r="C861" s="8" t="n">
        <v>7</v>
      </c>
      <c r="D861" s="8" t="n">
        <v>15</v>
      </c>
      <c r="E861" s="8" t="n">
        <v>9</v>
      </c>
      <c r="F861" s="4" t="s">
        <v>6702</v>
      </c>
      <c r="G861" s="8" t="n">
        <v>56</v>
      </c>
      <c r="H861" s="8" t="n">
        <v>6</v>
      </c>
      <c r="I861" s="4" t="s">
        <v>2247</v>
      </c>
      <c r="J861" s="8" t="n">
        <v>47</v>
      </c>
      <c r="K861" s="8" t="n">
        <v>1</v>
      </c>
      <c r="L861" s="4" t="s">
        <v>4253</v>
      </c>
      <c r="M861" s="8" t="n">
        <v>44</v>
      </c>
      <c r="N861" s="8" t="n">
        <f aca="false">IF(A861="","",G861-J861)</f>
        <v>9</v>
      </c>
      <c r="O861" s="8" t="n">
        <f aca="false">IF(A861="","",J861-M861)</f>
        <v>3</v>
      </c>
      <c r="P861" s="8" t="n">
        <f aca="false">IF(A861="","",G861+J861)</f>
        <v>103</v>
      </c>
      <c r="Q861" s="8" t="str">
        <f aca="false">IF(A861="","",IF(AND(Y861&lt;&gt;"参考",G861&gt;=ルール設定!$B$2),"○",""))</f>
        <v/>
      </c>
      <c r="R861" s="8" t="str">
        <f aca="false">IF(A861="","",IF(AND(Y861&lt;&gt;"参考",G861&gt;=ルール設定!$B$3,N861&gt;=ルール設定!$B$4),"○",""))</f>
        <v/>
      </c>
      <c r="S861" s="8" t="str">
        <f aca="false">IF(A861="","",IF(AND(Y861&lt;&gt;"参考",G861&gt;=ルール設定!$B$5,J861&gt;=ルール設定!$B$6,O861&gt;=ルール設定!$B$7),"○",""))</f>
        <v/>
      </c>
      <c r="T861" s="8" t="n">
        <v>3</v>
      </c>
      <c r="U861" s="8" t="n">
        <v>4</v>
      </c>
      <c r="V861" s="8" t="str">
        <f aca="false">IF(A861="","",IF(AND(ISNUMBER(T861),ISNUMBER(U861)),IF(AND(T861&lt;=3,U861&lt;=3),"○","×"),""))</f>
        <v>×</v>
      </c>
      <c r="W861" s="8" t="n">
        <v>180</v>
      </c>
      <c r="X861" s="8"/>
      <c r="Y861" s="4" t="s">
        <v>7597</v>
      </c>
      <c r="Z861" s="8" t="s">
        <v>8051</v>
      </c>
      <c r="AA861" s="8" t="str">
        <v/>
      </c>
      <c r="AB861" s="8" t="str">
        <v/>
      </c>
      <c r="AC861" s="8" t="str">
        <v/>
      </c>
      <c r="AD861" s="8" t="str">
        <v/>
      </c>
      <c r="AE861" s="8" t="str">
        <v/>
      </c>
      <c r="AF861" s="8" t="str">
        <v/>
      </c>
      <c r="AG861" s="8" t="str">
        <v/>
      </c>
      <c r="AH861" s="8" t="str">
        <v/>
      </c>
      <c r="AI861" s="8" t="n">
        <v>12</v>
      </c>
      <c r="AJ861" s="8" t="str">
        <v>～59</v>
      </c>
      <c r="AK861" s="8" t="str">
        <v>5～9</v>
      </c>
      <c r="AL861" s="8" t="str">
        <v>10～19</v>
      </c>
      <c r="AM861" s="8" t="str">
        <v>100～119</v>
      </c>
      <c r="AN861" s="8" t="str">
        <v>15以上</v>
      </c>
      <c r="AO861" s="8" t="str">
        <f aca="false">IF(A861="","",IF(COUNTIFS(全馬データ!$A$2:$A$50000,A861,全馬データ!$B$2:$B$50000,B861,全馬データ!$C$2:$C$50000,C861,全馬データ!$D$2:$D$50000,E861,全馬データ!$K$2:$K$50000,"&lt;&gt;")=0,"",SUMIFS(全馬データ!$K$2:$K$50000,全馬データ!$A$2:$A$50000,A861,全馬データ!$B$2:$B$50000,B861,全馬データ!$C$2:$C$50000,C861,全馬データ!$D$2:$D$50000,E861)))</f>
        <v/>
      </c>
      <c r="AP861" s="8" t="str">
        <f aca="false">IF(A861="","",IF(AO861="","欠損",IF(AO861&lt;=1.1,"1.0～1.1",IF(AO861&lt;1.3,"1.2",IF(AO861&lt;1.5,"1.3～1.4",IF(AO861&lt;2,"1.5～1.9","2.0以上"))))))</f>
        <v>欠損</v>
      </c>
      <c r="AQ861" s="8" t="str">
        <f aca="false">IF(A861="","",IF(ISNUMBER(SEARCH("2歳",Z861)),"2歳戦",IF(ISNUMBER(SEARCH("3歳未勝利",Z861)),"3歳未勝利",IF(ISNUMBER(SEARCH("未勝利",Z861)),"その他未勝利",IF(ISNUMBER(SEARCH("G1",Z861)),"G1",IF(ISNUMBER(SEARCH("G2",Z861)),"G2",IF(ISNUMBER(SEARCH("G3",Z861)),"G3",IF(ISNUMBER(SEARCH("古馬条件",Z861)),"古馬条件戦",IF(ISNUMBER(SEARCH("重賞",Z861)),"重賞","分類不能")))))))))</f>
        <v>分類不能</v>
      </c>
      <c r="AR861" s="8"/>
      <c r="AS861" s="8" t="s">
        <v>7626</v>
      </c>
      <c r="AT861" s="8" t="s">
        <v>7627</v>
      </c>
      <c r="AU861" s="8" t="s">
        <v>7628</v>
      </c>
      <c r="AV861" s="8" t="s">
        <v>7629</v>
      </c>
      <c r="AW861" s="8"/>
      <c r="AX861" s="8"/>
      <c r="AY861" s="8" t="s">
        <v>7602</v>
      </c>
      <c r="AZ861" s="4" t="s">
        <v>7603</v>
      </c>
      <c r="BA861" s="8" t="n">
        <v>2000</v>
      </c>
      <c r="BB861" s="8" t="s">
        <v>7598</v>
      </c>
      <c r="BC861" s="4" t="s">
        <v>7604</v>
      </c>
      <c r="BD861" s="8" t="s">
        <v>7621</v>
      </c>
      <c r="BE861" s="4" t="s">
        <v>7622</v>
      </c>
      <c r="BF861" s="8" t="s">
        <v>7602</v>
      </c>
      <c r="BG861" s="8" t="s">
        <v>7631</v>
      </c>
      <c r="BH861" s="4" t="s">
        <v>7632</v>
      </c>
      <c r="BI861" s="8" t="n">
        <v>15</v>
      </c>
      <c r="BJ861" s="8" t="s">
        <v>7602</v>
      </c>
      <c r="BK861" s="4" t="s">
        <v>7653</v>
      </c>
      <c r="BL861" s="8" t="s">
        <v>7602</v>
      </c>
      <c r="BM861" s="4" t="s">
        <v>7620</v>
      </c>
      <c r="BN861" s="8" t="s">
        <v>7602</v>
      </c>
      <c r="BO861" s="8" t="s">
        <v>7613</v>
      </c>
      <c r="BP861" s="8" t="s">
        <v>7608</v>
      </c>
      <c r="BQ861" s="8" t="str">
        <f aca="false">IF(A861="","",AT861)</f>
        <v>3歳以上</v>
      </c>
      <c r="BR861" s="8" t="str">
        <f aca="false">IF(A861="","",IF(BA861&lt;=1200,"～1200",IF(BA861&lt;=1500,"1300～1500",IF(BA861=1600,"1600",IF(BA861&lt;=1800,"1700～1800",IF(BA861&lt;=2000,"1900～2000","2100以上"))))))</f>
        <v>1900～2000</v>
      </c>
      <c r="BS861" s="8" t="str">
        <f aca="false">IF(A861="","",IF(AX861="G1","G1",IF(AX861="G2","G2",IF(AX861="G3","G3",IF(AX861="L","L","その他")))))</f>
        <v>その他</v>
      </c>
      <c r="BT861" s="8" t="str">
        <f aca="false">IF(A861="","",IF(BI861="","未結合",IF(D861=BI861,"一致","不一致")))</f>
        <v>一致</v>
      </c>
      <c r="BU861" s="8" t="str">
        <f aca="false">IF(A861="","",IF(BE861="牝馬限定","牝馬限定","その他"))</f>
        <v>牝馬限定</v>
      </c>
    </row>
    <row r="862" customFormat="false" ht="15.75" hidden="false" customHeight="false" outlineLevel="0" collapsed="false">
      <c r="A862" s="6" t="n">
        <f aca="false">DATE(2026,8,15)</f>
        <v>46249</v>
      </c>
      <c r="B862" s="4" t="s">
        <v>334</v>
      </c>
      <c r="C862" s="8" t="n">
        <v>8</v>
      </c>
      <c r="D862" s="8" t="n">
        <v>11</v>
      </c>
      <c r="E862" s="8" t="n">
        <v>9</v>
      </c>
      <c r="F862" s="4" t="s">
        <v>4141</v>
      </c>
      <c r="G862" s="8" t="n">
        <v>56</v>
      </c>
      <c r="H862" s="8" t="n">
        <v>10</v>
      </c>
      <c r="I862" s="4" t="s">
        <v>5852</v>
      </c>
      <c r="J862" s="8" t="n">
        <v>50</v>
      </c>
      <c r="K862" s="8" t="n">
        <v>3</v>
      </c>
      <c r="L862" s="4" t="s">
        <v>415</v>
      </c>
      <c r="M862" s="8" t="n">
        <v>44</v>
      </c>
      <c r="N862" s="8" t="n">
        <f aca="false">IF(A862="","",G862-J862)</f>
        <v>6</v>
      </c>
      <c r="O862" s="8" t="n">
        <f aca="false">IF(A862="","",J862-M862)</f>
        <v>6</v>
      </c>
      <c r="P862" s="8" t="n">
        <f aca="false">IF(A862="","",G862+J862)</f>
        <v>106</v>
      </c>
      <c r="Q862" s="8" t="str">
        <f aca="false">IF(A862="","",IF(AND(Y862&lt;&gt;"参考",G862&gt;=ルール設定!$B$2),"○",""))</f>
        <v/>
      </c>
      <c r="R862" s="8" t="str">
        <f aca="false">IF(A862="","",IF(AND(Y862&lt;&gt;"参考",G862&gt;=ルール設定!$B$3,N862&gt;=ルール設定!$B$4),"○",""))</f>
        <v/>
      </c>
      <c r="S862" s="8" t="str">
        <f aca="false">IF(A862="","",IF(AND(Y862&lt;&gt;"参考",G862&gt;=ルール設定!$B$5,J862&gt;=ルール設定!$B$6,O862&gt;=ルール設定!$B$7),"○",""))</f>
        <v/>
      </c>
      <c r="T862" s="8" t="n">
        <v>1</v>
      </c>
      <c r="U862" s="8" t="n">
        <v>3</v>
      </c>
      <c r="V862" s="8" t="str">
        <f aca="false">IF(A862="","",IF(AND(ISNUMBER(T862),ISNUMBER(U862)),IF(AND(T862&lt;=3,U862&lt;=3),"○","×"),""))</f>
        <v>○</v>
      </c>
      <c r="W862" s="8" t="n">
        <v>130</v>
      </c>
      <c r="X862" s="8" t="n">
        <v>290</v>
      </c>
      <c r="Y862" s="4" t="s">
        <v>7597</v>
      </c>
      <c r="Z862" s="8" t="s">
        <v>8052</v>
      </c>
      <c r="AA862" s="8" t="str">
        <v/>
      </c>
      <c r="AB862" s="8" t="str">
        <v/>
      </c>
      <c r="AC862" s="8" t="str">
        <v/>
      </c>
      <c r="AD862" s="8" t="str">
        <v/>
      </c>
      <c r="AE862" s="8" t="str">
        <v/>
      </c>
      <c r="AF862" s="8" t="str">
        <v/>
      </c>
      <c r="AG862" s="8" t="str">
        <v/>
      </c>
      <c r="AH862" s="8" t="str">
        <v/>
      </c>
      <c r="AI862" s="8" t="n">
        <v>12</v>
      </c>
      <c r="AJ862" s="8" t="str">
        <v>～59</v>
      </c>
      <c r="AK862" s="8" t="str">
        <v>5～9</v>
      </c>
      <c r="AL862" s="8" t="str">
        <v>10～19</v>
      </c>
      <c r="AM862" s="8" t="str">
        <v>100～119</v>
      </c>
      <c r="AN862" s="8" t="str">
        <v>8～11</v>
      </c>
      <c r="AO862" s="8" t="str">
        <f aca="false">IF(A862="","",IF(COUNTIFS(全馬データ!$A$2:$A$50000,A862,全馬データ!$B$2:$B$50000,B862,全馬データ!$C$2:$C$50000,C862,全馬データ!$D$2:$D$50000,E862,全馬データ!$K$2:$K$50000,"&lt;&gt;")=0,"",SUMIFS(全馬データ!$K$2:$K$50000,全馬データ!$A$2:$A$50000,A862,全馬データ!$B$2:$B$50000,B862,全馬データ!$C$2:$C$50000,C862,全馬データ!$D$2:$D$50000,E862)))</f>
        <v/>
      </c>
      <c r="AP862" s="8" t="str">
        <f aca="false">IF(A862="","",IF(AO862="","欠損",IF(AO862&lt;=1.1,"1.0～1.1",IF(AO862&lt;1.3,"1.2",IF(AO862&lt;1.5,"1.3～1.4",IF(AO862&lt;2,"1.5～1.9","2.0以上"))))))</f>
        <v>欠損</v>
      </c>
      <c r="AQ862" s="8" t="str">
        <f aca="false">IF(A862="","",IF(ISNUMBER(SEARCH("2歳",Z862)),"2歳戦",IF(ISNUMBER(SEARCH("3歳未勝利",Z862)),"3歳未勝利",IF(ISNUMBER(SEARCH("未勝利",Z862)),"その他未勝利",IF(ISNUMBER(SEARCH("G1",Z862)),"G1",IF(ISNUMBER(SEARCH("G2",Z862)),"G2",IF(ISNUMBER(SEARCH("G3",Z862)),"G3",IF(ISNUMBER(SEARCH("古馬条件",Z862)),"古馬条件戦",IF(ISNUMBER(SEARCH("重賞",Z862)),"重賞","分類不能")))))))))</f>
        <v>分類不能</v>
      </c>
      <c r="AR862" s="8"/>
      <c r="AS862" s="8" t="s">
        <v>7626</v>
      </c>
      <c r="AT862" s="8" t="s">
        <v>7627</v>
      </c>
      <c r="AU862" s="8" t="s">
        <v>7628</v>
      </c>
      <c r="AV862" s="8" t="s">
        <v>7629</v>
      </c>
      <c r="AW862" s="8"/>
      <c r="AX862" s="8"/>
      <c r="AY862" s="8" t="s">
        <v>7610</v>
      </c>
      <c r="AZ862" s="4" t="s">
        <v>7617</v>
      </c>
      <c r="BA862" s="8" t="n">
        <v>1700</v>
      </c>
      <c r="BB862" s="8" t="s">
        <v>7598</v>
      </c>
      <c r="BC862" s="4" t="s">
        <v>7604</v>
      </c>
      <c r="BD862" s="8" t="s">
        <v>7625</v>
      </c>
      <c r="BE862" s="4" t="s">
        <v>7606</v>
      </c>
      <c r="BF862" s="8" t="s">
        <v>7607</v>
      </c>
      <c r="BG862" s="8" t="s">
        <v>7631</v>
      </c>
      <c r="BH862" s="4" t="s">
        <v>7632</v>
      </c>
      <c r="BI862" s="8" t="n">
        <v>11</v>
      </c>
      <c r="BJ862" s="8" t="s">
        <v>7602</v>
      </c>
      <c r="BK862" s="4" t="s">
        <v>7653</v>
      </c>
      <c r="BL862" s="8" t="s">
        <v>7602</v>
      </c>
      <c r="BM862" s="4" t="s">
        <v>7620</v>
      </c>
      <c r="BN862" s="8"/>
      <c r="BO862" s="8"/>
      <c r="BP862" s="8" t="s">
        <v>7608</v>
      </c>
      <c r="BQ862" s="8" t="str">
        <f aca="false">IF(A862="","",AT862)</f>
        <v>3歳以上</v>
      </c>
      <c r="BR862" s="8" t="str">
        <f aca="false">IF(A862="","",IF(BA862&lt;=1200,"～1200",IF(BA862&lt;=1500,"1300～1500",IF(BA862=1600,"1600",IF(BA862&lt;=1800,"1700～1800",IF(BA862&lt;=2000,"1900～2000","2100以上"))))))</f>
        <v>1700～1800</v>
      </c>
      <c r="BS862" s="8" t="str">
        <f aca="false">IF(A862="","",IF(AX862="G1","G1",IF(AX862="G2","G2",IF(AX862="G3","G3",IF(AX862="L","L","その他")))))</f>
        <v>その他</v>
      </c>
      <c r="BT862" s="8" t="str">
        <f aca="false">IF(A862="","",IF(BI862="","未結合",IF(D862=BI862,"一致","不一致")))</f>
        <v>一致</v>
      </c>
      <c r="BU862" s="8" t="str">
        <f aca="false">IF(A862="","",IF(BE862="牝馬限定","牝馬限定","その他"))</f>
        <v>その他</v>
      </c>
    </row>
    <row r="863" customFormat="false" ht="15.75" hidden="false" customHeight="false" outlineLevel="0" collapsed="false">
      <c r="A863" s="6" t="n">
        <f aca="false">DATE(2026,8,15)</f>
        <v>46249</v>
      </c>
      <c r="B863" s="4" t="s">
        <v>334</v>
      </c>
      <c r="C863" s="8" t="n">
        <v>9</v>
      </c>
      <c r="D863" s="8" t="n">
        <v>8</v>
      </c>
      <c r="E863" s="8" t="n">
        <v>8</v>
      </c>
      <c r="F863" s="4" t="s">
        <v>2602</v>
      </c>
      <c r="G863" s="8" t="n">
        <v>65</v>
      </c>
      <c r="H863" s="8" t="n">
        <v>3</v>
      </c>
      <c r="I863" s="4" t="s">
        <v>6709</v>
      </c>
      <c r="J863" s="8" t="n">
        <v>52</v>
      </c>
      <c r="K863" s="8" t="n">
        <v>7</v>
      </c>
      <c r="L863" s="4" t="s">
        <v>3351</v>
      </c>
      <c r="M863" s="8" t="n">
        <v>47</v>
      </c>
      <c r="N863" s="8" t="n">
        <f aca="false">IF(A863="","",G863-J863)</f>
        <v>13</v>
      </c>
      <c r="O863" s="8" t="n">
        <f aca="false">IF(A863="","",J863-M863)</f>
        <v>5</v>
      </c>
      <c r="P863" s="8" t="n">
        <f aca="false">IF(A863="","",G863+J863)</f>
        <v>117</v>
      </c>
      <c r="Q863" s="8" t="str">
        <f aca="false">IF(A863="","",IF(AND(Y863&lt;&gt;"参考",G863&gt;=ルール設定!$B$2),"○",""))</f>
        <v/>
      </c>
      <c r="R863" s="8" t="str">
        <f aca="false">IF(A863="","",IF(AND(Y863&lt;&gt;"参考",G863&gt;=ルール設定!$B$3,N863&gt;=ルール設定!$B$4),"○",""))</f>
        <v/>
      </c>
      <c r="S863" s="8" t="str">
        <f aca="false">IF(A863="","",IF(AND(Y863&lt;&gt;"参考",G863&gt;=ルール設定!$B$5,J863&gt;=ルール設定!$B$6,O863&gt;=ルール設定!$B$7),"○",""))</f>
        <v/>
      </c>
      <c r="T863" s="8" t="n">
        <v>1</v>
      </c>
      <c r="U863" s="8" t="n">
        <v>4</v>
      </c>
      <c r="V863" s="8" t="str">
        <f aca="false">IF(A863="","",IF(AND(ISNUMBER(T863),ISNUMBER(U863)),IF(AND(T863&lt;=3,U863&lt;=3),"○","×"),""))</f>
        <v>×</v>
      </c>
      <c r="W863" s="8" t="n">
        <v>120</v>
      </c>
      <c r="X863" s="8"/>
      <c r="Y863" s="4" t="s">
        <v>7597</v>
      </c>
      <c r="Z863" s="8" t="s">
        <v>8053</v>
      </c>
      <c r="AA863" s="8" t="str">
        <v/>
      </c>
      <c r="AB863" s="8" t="str">
        <v/>
      </c>
      <c r="AC863" s="8" t="str">
        <v/>
      </c>
      <c r="AD863" s="8" t="str">
        <v/>
      </c>
      <c r="AE863" s="8" t="str">
        <v/>
      </c>
      <c r="AF863" s="8" t="str">
        <v/>
      </c>
      <c r="AG863" s="8" t="str">
        <v/>
      </c>
      <c r="AH863" s="8" t="str">
        <v/>
      </c>
      <c r="AI863" s="8" t="n">
        <v>18</v>
      </c>
      <c r="AJ863" s="8" t="str">
        <v>60～69</v>
      </c>
      <c r="AK863" s="8" t="str">
        <v>10～19</v>
      </c>
      <c r="AL863" s="8" t="str">
        <v>10～19</v>
      </c>
      <c r="AM863" s="8" t="str">
        <v>100～119</v>
      </c>
      <c r="AN863" s="8" t="str">
        <v>8～11</v>
      </c>
      <c r="AO863" s="8" t="str">
        <f aca="false">IF(A863="","",IF(COUNTIFS(全馬データ!$A$2:$A$50000,A863,全馬データ!$B$2:$B$50000,B863,全馬データ!$C$2:$C$50000,C863,全馬データ!$D$2:$D$50000,E863,全馬データ!$K$2:$K$50000,"&lt;&gt;")=0,"",SUMIFS(全馬データ!$K$2:$K$50000,全馬データ!$A$2:$A$50000,A863,全馬データ!$B$2:$B$50000,B863,全馬データ!$C$2:$C$50000,C863,全馬データ!$D$2:$D$50000,E863)))</f>
        <v/>
      </c>
      <c r="AP863" s="8" t="str">
        <f aca="false">IF(A863="","",IF(AO863="","欠損",IF(AO863&lt;=1.1,"1.0～1.1",IF(AO863&lt;1.3,"1.2",IF(AO863&lt;1.5,"1.3～1.4",IF(AO863&lt;2,"1.5～1.9","2.0以上"))))))</f>
        <v>欠損</v>
      </c>
      <c r="AQ863" s="8" t="str">
        <f aca="false">IF(A863="","",IF(ISNUMBER(SEARCH("2歳",Z863)),"2歳戦",IF(ISNUMBER(SEARCH("3歳未勝利",Z863)),"3歳未勝利",IF(ISNUMBER(SEARCH("未勝利",Z863)),"その他未勝利",IF(ISNUMBER(SEARCH("G1",Z863)),"G1",IF(ISNUMBER(SEARCH("G2",Z863)),"G2",IF(ISNUMBER(SEARCH("G3",Z863)),"G3",IF(ISNUMBER(SEARCH("古馬条件",Z863)),"古馬条件戦",IF(ISNUMBER(SEARCH("重賞",Z863)),"重賞","分類不能")))))))))</f>
        <v>分類不能</v>
      </c>
      <c r="AR863" s="4" t="s">
        <v>8054</v>
      </c>
      <c r="AS863" s="8" t="s">
        <v>7598</v>
      </c>
      <c r="AT863" s="8" t="s">
        <v>7599</v>
      </c>
      <c r="AU863" s="8" t="s">
        <v>7643</v>
      </c>
      <c r="AV863" s="4" t="s">
        <v>7644</v>
      </c>
      <c r="AW863" s="8" t="s">
        <v>7636</v>
      </c>
      <c r="AX863" s="4" t="s">
        <v>7637</v>
      </c>
      <c r="AY863" s="8" t="s">
        <v>7602</v>
      </c>
      <c r="AZ863" s="4" t="s">
        <v>7603</v>
      </c>
      <c r="BA863" s="8" t="n">
        <v>1800</v>
      </c>
      <c r="BB863" s="8" t="s">
        <v>7598</v>
      </c>
      <c r="BC863" s="4" t="s">
        <v>7604</v>
      </c>
      <c r="BD863" s="8" t="s">
        <v>7666</v>
      </c>
      <c r="BE863" s="4" t="s">
        <v>7606</v>
      </c>
      <c r="BF863" s="8" t="s">
        <v>7607</v>
      </c>
      <c r="BG863" s="8" t="s">
        <v>7610</v>
      </c>
      <c r="BH863" s="4" t="s">
        <v>7646</v>
      </c>
      <c r="BI863" s="8" t="n">
        <v>8</v>
      </c>
      <c r="BJ863" s="8" t="s">
        <v>7602</v>
      </c>
      <c r="BK863" s="4" t="s">
        <v>7653</v>
      </c>
      <c r="BL863" s="8" t="s">
        <v>7602</v>
      </c>
      <c r="BM863" s="4" t="s">
        <v>7620</v>
      </c>
      <c r="BN863" s="8" t="s">
        <v>7602</v>
      </c>
      <c r="BO863" s="8" t="s">
        <v>7613</v>
      </c>
      <c r="BP863" s="8" t="s">
        <v>7608</v>
      </c>
      <c r="BQ863" s="8" t="str">
        <f aca="false">IF(A863="","",AT863)</f>
        <v>2歳</v>
      </c>
      <c r="BR863" s="8" t="str">
        <f aca="false">IF(A863="","",IF(BA863&lt;=1200,"～1200",IF(BA863&lt;=1500,"1300～1500",IF(BA863=1600,"1600",IF(BA863&lt;=1800,"1700～1800",IF(BA863&lt;=2000,"1900～2000","2100以上"))))))</f>
        <v>1700～1800</v>
      </c>
      <c r="BS863" s="8" t="str">
        <f aca="false">IF(A863="","",IF(AX863="G1","G1",IF(AX863="G2","G2",IF(AX863="G3","G3",IF(AX863="L","L","その他")))))</f>
        <v>その他</v>
      </c>
      <c r="BT863" s="8" t="str">
        <f aca="false">IF(A863="","",IF(BI863="","未結合",IF(D863=BI863,"一致","不一致")))</f>
        <v>一致</v>
      </c>
      <c r="BU863" s="8" t="str">
        <f aca="false">IF(A863="","",IF(BE863="牝馬限定","牝馬限定","その他"))</f>
        <v>その他</v>
      </c>
    </row>
    <row r="864" customFormat="false" ht="15.75" hidden="false" customHeight="false" outlineLevel="0" collapsed="false">
      <c r="A864" s="6" t="n">
        <f aca="false">DATE(2026,8,15)</f>
        <v>46249</v>
      </c>
      <c r="B864" s="4" t="s">
        <v>334</v>
      </c>
      <c r="C864" s="8" t="n">
        <v>10</v>
      </c>
      <c r="D864" s="8" t="n">
        <v>16</v>
      </c>
      <c r="E864" s="8" t="n">
        <v>12</v>
      </c>
      <c r="F864" s="4" t="s">
        <v>3293</v>
      </c>
      <c r="G864" s="8" t="n">
        <v>47</v>
      </c>
      <c r="H864" s="8" t="n">
        <v>11</v>
      </c>
      <c r="I864" s="4" t="s">
        <v>1028</v>
      </c>
      <c r="J864" s="8" t="n">
        <v>29</v>
      </c>
      <c r="K864" s="8" t="n">
        <v>7</v>
      </c>
      <c r="L864" s="4" t="s">
        <v>5412</v>
      </c>
      <c r="M864" s="8" t="n">
        <v>25</v>
      </c>
      <c r="N864" s="8" t="n">
        <f aca="false">IF(A864="","",G864-J864)</f>
        <v>18</v>
      </c>
      <c r="O864" s="8" t="n">
        <f aca="false">IF(A864="","",J864-M864)</f>
        <v>4</v>
      </c>
      <c r="P864" s="8" t="n">
        <f aca="false">IF(A864="","",G864+J864)</f>
        <v>76</v>
      </c>
      <c r="Q864" s="8" t="str">
        <f aca="false">IF(A864="","",IF(AND(Y864&lt;&gt;"参考",G864&gt;=ルール設定!$B$2),"○",""))</f>
        <v/>
      </c>
      <c r="R864" s="8" t="str">
        <f aca="false">IF(A864="","",IF(AND(Y864&lt;&gt;"参考",G864&gt;=ルール設定!$B$3,N864&gt;=ルール設定!$B$4),"○",""))</f>
        <v/>
      </c>
      <c r="S864" s="8" t="str">
        <f aca="false">IF(A864="","",IF(AND(Y864&lt;&gt;"参考",G864&gt;=ルール設定!$B$5,J864&gt;=ルール設定!$B$6,O864&gt;=ルール設定!$B$7),"○",""))</f>
        <v/>
      </c>
      <c r="T864" s="8" t="n">
        <v>1</v>
      </c>
      <c r="U864" s="8" t="n">
        <v>4</v>
      </c>
      <c r="V864" s="8" t="str">
        <f aca="false">IF(A864="","",IF(AND(ISNUMBER(T864),ISNUMBER(U864)),IF(AND(T864&lt;=3,U864&lt;=3),"○","×"),""))</f>
        <v>×</v>
      </c>
      <c r="W864" s="8" t="n">
        <v>110</v>
      </c>
      <c r="X864" s="8"/>
      <c r="Y864" s="4" t="s">
        <v>7597</v>
      </c>
      <c r="Z864" s="8" t="s">
        <v>8055</v>
      </c>
      <c r="AA864" s="8" t="str">
        <v/>
      </c>
      <c r="AB864" s="8" t="str">
        <v/>
      </c>
      <c r="AC864" s="8" t="str">
        <v/>
      </c>
      <c r="AD864" s="8" t="str">
        <v/>
      </c>
      <c r="AE864" s="8" t="str">
        <v/>
      </c>
      <c r="AF864" s="8" t="str">
        <v/>
      </c>
      <c r="AG864" s="8" t="str">
        <v/>
      </c>
      <c r="AH864" s="8" t="str">
        <v/>
      </c>
      <c r="AI864" s="8" t="n">
        <v>22</v>
      </c>
      <c r="AJ864" s="8" t="str">
        <v>～59</v>
      </c>
      <c r="AK864" s="8" t="str">
        <v>10～19</v>
      </c>
      <c r="AL864" s="8" t="str">
        <v>20～29</v>
      </c>
      <c r="AM864" s="8" t="str">
        <v>～99</v>
      </c>
      <c r="AN864" s="8" t="str">
        <v>15以上</v>
      </c>
      <c r="AO864" s="8" t="str">
        <f aca="false">IF(A864="","",IF(COUNTIFS(全馬データ!$A$2:$A$50000,A864,全馬データ!$B$2:$B$50000,B864,全馬データ!$C$2:$C$50000,C864,全馬データ!$D$2:$D$50000,E864,全馬データ!$K$2:$K$50000,"&lt;&gt;")=0,"",SUMIFS(全馬データ!$K$2:$K$50000,全馬データ!$A$2:$A$50000,A864,全馬データ!$B$2:$B$50000,B864,全馬データ!$C$2:$C$50000,C864,全馬データ!$D$2:$D$50000,E864)))</f>
        <v/>
      </c>
      <c r="AP864" s="8" t="str">
        <f aca="false">IF(A864="","",IF(AO864="","欠損",IF(AO864&lt;=1.1,"1.0～1.1",IF(AO864&lt;1.3,"1.2",IF(AO864&lt;1.5,"1.3～1.4",IF(AO864&lt;2,"1.5～1.9","2.0以上"))))))</f>
        <v>欠損</v>
      </c>
      <c r="AQ864" s="8" t="str">
        <f aca="false">IF(A864="","",IF(ISNUMBER(SEARCH("2歳",Z864)),"2歳戦",IF(ISNUMBER(SEARCH("3歳未勝利",Z864)),"3歳未勝利",IF(ISNUMBER(SEARCH("未勝利",Z864)),"その他未勝利",IF(ISNUMBER(SEARCH("G1",Z864)),"G1",IF(ISNUMBER(SEARCH("G2",Z864)),"G2",IF(ISNUMBER(SEARCH("G3",Z864)),"G3",IF(ISNUMBER(SEARCH("古馬条件",Z864)),"古馬条件戦",IF(ISNUMBER(SEARCH("重賞",Z864)),"重賞","分類不能")))))))))</f>
        <v>分類不能</v>
      </c>
      <c r="AR864" s="4" t="s">
        <v>8056</v>
      </c>
      <c r="AS864" s="8" t="s">
        <v>7626</v>
      </c>
      <c r="AT864" s="8" t="s">
        <v>7627</v>
      </c>
      <c r="AU864" s="8" t="s">
        <v>7634</v>
      </c>
      <c r="AV864" s="8" t="s">
        <v>7635</v>
      </c>
      <c r="AW864" s="8" t="s">
        <v>7636</v>
      </c>
      <c r="AX864" s="4" t="s">
        <v>7637</v>
      </c>
      <c r="AY864" s="8" t="s">
        <v>7602</v>
      </c>
      <c r="AZ864" s="4" t="s">
        <v>7603</v>
      </c>
      <c r="BA864" s="8" t="n">
        <v>1200</v>
      </c>
      <c r="BB864" s="8" t="s">
        <v>7598</v>
      </c>
      <c r="BC864" s="4" t="s">
        <v>7604</v>
      </c>
      <c r="BD864" s="8" t="s">
        <v>7621</v>
      </c>
      <c r="BE864" s="4" t="s">
        <v>7622</v>
      </c>
      <c r="BF864" s="8" t="s">
        <v>7602</v>
      </c>
      <c r="BG864" s="8" t="s">
        <v>7631</v>
      </c>
      <c r="BH864" s="4" t="s">
        <v>7632</v>
      </c>
      <c r="BI864" s="8" t="n">
        <v>16</v>
      </c>
      <c r="BJ864" s="8" t="s">
        <v>7602</v>
      </c>
      <c r="BK864" s="4" t="s">
        <v>7653</v>
      </c>
      <c r="BL864" s="8" t="s">
        <v>7602</v>
      </c>
      <c r="BM864" s="4" t="s">
        <v>7620</v>
      </c>
      <c r="BN864" s="8" t="s">
        <v>7602</v>
      </c>
      <c r="BO864" s="8" t="s">
        <v>7613</v>
      </c>
      <c r="BP864" s="8" t="s">
        <v>7608</v>
      </c>
      <c r="BQ864" s="8" t="str">
        <f aca="false">IF(A864="","",AT864)</f>
        <v>3歳以上</v>
      </c>
      <c r="BR864" s="8" t="str">
        <f aca="false">IF(A864="","",IF(BA864&lt;=1200,"～1200",IF(BA864&lt;=1500,"1300～1500",IF(BA864=1600,"1600",IF(BA864&lt;=1800,"1700～1800",IF(BA864&lt;=2000,"1900～2000","2100以上"))))))</f>
        <v>～1200</v>
      </c>
      <c r="BS864" s="8" t="str">
        <f aca="false">IF(A864="","",IF(AX864="G1","G1",IF(AX864="G2","G2",IF(AX864="G3","G3",IF(AX864="L","L","その他")))))</f>
        <v>その他</v>
      </c>
      <c r="BT864" s="8" t="str">
        <f aca="false">IF(A864="","",IF(BI864="","未結合",IF(D864=BI864,"一致","不一致")))</f>
        <v>一致</v>
      </c>
      <c r="BU864" s="8" t="str">
        <f aca="false">IF(A864="","",IF(BE864="牝馬限定","牝馬限定","その他"))</f>
        <v>牝馬限定</v>
      </c>
    </row>
    <row r="865" customFormat="false" ht="15.75" hidden="false" customHeight="false" outlineLevel="0" collapsed="false">
      <c r="A865" s="6" t="n">
        <f aca="false">DATE(2026,8,15)</f>
        <v>46249</v>
      </c>
      <c r="B865" s="4" t="s">
        <v>334</v>
      </c>
      <c r="C865" s="8" t="n">
        <v>11</v>
      </c>
      <c r="D865" s="8" t="n">
        <v>14</v>
      </c>
      <c r="E865" s="8" t="n">
        <v>11</v>
      </c>
      <c r="F865" s="4" t="s">
        <v>3397</v>
      </c>
      <c r="G865" s="8" t="n">
        <v>52</v>
      </c>
      <c r="H865" s="8" t="n">
        <v>1</v>
      </c>
      <c r="I865" s="4" t="s">
        <v>1681</v>
      </c>
      <c r="J865" s="8" t="n">
        <v>41</v>
      </c>
      <c r="K865" s="8" t="n">
        <v>7</v>
      </c>
      <c r="L865" s="4" t="s">
        <v>6715</v>
      </c>
      <c r="M865" s="8" t="n">
        <v>39</v>
      </c>
      <c r="N865" s="8" t="n">
        <f aca="false">IF(A865="","",G865-J865)</f>
        <v>11</v>
      </c>
      <c r="O865" s="8" t="n">
        <f aca="false">IF(A865="","",J865-M865)</f>
        <v>2</v>
      </c>
      <c r="P865" s="8" t="n">
        <f aca="false">IF(A865="","",G865+J865)</f>
        <v>93</v>
      </c>
      <c r="Q865" s="8" t="str">
        <f aca="false">IF(A865="","",IF(AND(Y865&lt;&gt;"参考",G865&gt;=ルール設定!$B$2),"○",""))</f>
        <v/>
      </c>
      <c r="R865" s="8" t="str">
        <f aca="false">IF(A865="","",IF(AND(Y865&lt;&gt;"参考",G865&gt;=ルール設定!$B$3,N865&gt;=ルール設定!$B$4),"○",""))</f>
        <v/>
      </c>
      <c r="S865" s="8" t="str">
        <f aca="false">IF(A865="","",IF(AND(Y865&lt;&gt;"参考",G865&gt;=ルール設定!$B$5,J865&gt;=ルール設定!$B$6,O865&gt;=ルール設定!$B$7),"○",""))</f>
        <v/>
      </c>
      <c r="T865" s="8" t="n">
        <v>1</v>
      </c>
      <c r="U865" s="8" t="n">
        <v>4</v>
      </c>
      <c r="V865" s="8" t="str">
        <f aca="false">IF(A865="","",IF(AND(ISNUMBER(T865),ISNUMBER(U865)),IF(AND(T865&lt;=3,U865&lt;=3),"○","×"),""))</f>
        <v>×</v>
      </c>
      <c r="W865" s="8" t="n">
        <v>150</v>
      </c>
      <c r="X865" s="8"/>
      <c r="Y865" s="4" t="s">
        <v>7597</v>
      </c>
      <c r="Z865" s="8" t="s">
        <v>8057</v>
      </c>
      <c r="AA865" s="8" t="str">
        <v/>
      </c>
      <c r="AB865" s="8" t="str">
        <v/>
      </c>
      <c r="AC865" s="8" t="str">
        <v/>
      </c>
      <c r="AD865" s="8" t="str">
        <v/>
      </c>
      <c r="AE865" s="8" t="str">
        <v/>
      </c>
      <c r="AF865" s="8" t="str">
        <v/>
      </c>
      <c r="AG865" s="8" t="str">
        <v/>
      </c>
      <c r="AH865" s="8" t="str">
        <v/>
      </c>
      <c r="AI865" s="8" t="n">
        <v>13</v>
      </c>
      <c r="AJ865" s="8" t="str">
        <v>～59</v>
      </c>
      <c r="AK865" s="8" t="str">
        <v>10～19</v>
      </c>
      <c r="AL865" s="8" t="str">
        <v>10～19</v>
      </c>
      <c r="AM865" s="8" t="str">
        <v>～99</v>
      </c>
      <c r="AN865" s="8" t="str">
        <v>12～14</v>
      </c>
      <c r="AO865" s="8" t="str">
        <f aca="false">IF(A865="","",IF(COUNTIFS(全馬データ!$A$2:$A$50000,A865,全馬データ!$B$2:$B$50000,B865,全馬データ!$C$2:$C$50000,C865,全馬データ!$D$2:$D$50000,E865,全馬データ!$K$2:$K$50000,"&lt;&gt;")=0,"",SUMIFS(全馬データ!$K$2:$K$50000,全馬データ!$A$2:$A$50000,A865,全馬データ!$B$2:$B$50000,B865,全馬データ!$C$2:$C$50000,C865,全馬データ!$D$2:$D$50000,E865)))</f>
        <v/>
      </c>
      <c r="AP865" s="8" t="str">
        <f aca="false">IF(A865="","",IF(AO865="","欠損",IF(AO865&lt;=1.1,"1.0～1.1",IF(AO865&lt;1.3,"1.2",IF(AO865&lt;1.5,"1.3～1.4",IF(AO865&lt;2,"1.5～1.9","2.0以上"))))))</f>
        <v>欠損</v>
      </c>
      <c r="AQ865" s="8" t="str">
        <f aca="false">IF(A865="","",IF(ISNUMBER(SEARCH("2歳",Z865)),"2歳戦",IF(ISNUMBER(SEARCH("3歳未勝利",Z865)),"3歳未勝利",IF(ISNUMBER(SEARCH("未勝利",Z865)),"その他未勝利",IF(ISNUMBER(SEARCH("G1",Z865)),"G1",IF(ISNUMBER(SEARCH("G2",Z865)),"G2",IF(ISNUMBER(SEARCH("G3",Z865)),"G3",IF(ISNUMBER(SEARCH("古馬条件",Z865)),"古馬条件戦",IF(ISNUMBER(SEARCH("重賞",Z865)),"重賞","分類不能")))))))))</f>
        <v>分類不能</v>
      </c>
      <c r="AR865" s="4" t="s">
        <v>8058</v>
      </c>
      <c r="AS865" s="8" t="s">
        <v>7626</v>
      </c>
      <c r="AT865" s="8" t="s">
        <v>7627</v>
      </c>
      <c r="AU865" s="8" t="s">
        <v>7639</v>
      </c>
      <c r="AV865" s="8" t="s">
        <v>7640</v>
      </c>
      <c r="AW865" s="8" t="s">
        <v>7636</v>
      </c>
      <c r="AX865" s="4" t="s">
        <v>7637</v>
      </c>
      <c r="AY865" s="8" t="s">
        <v>7610</v>
      </c>
      <c r="AZ865" s="4" t="s">
        <v>7617</v>
      </c>
      <c r="BA865" s="8" t="n">
        <v>1700</v>
      </c>
      <c r="BB865" s="8" t="s">
        <v>7598</v>
      </c>
      <c r="BC865" s="4" t="s">
        <v>7604</v>
      </c>
      <c r="BD865" s="8" t="s">
        <v>7605</v>
      </c>
      <c r="BE865" s="4" t="s">
        <v>7606</v>
      </c>
      <c r="BF865" s="8" t="s">
        <v>7607</v>
      </c>
      <c r="BG865" s="8" t="s">
        <v>7602</v>
      </c>
      <c r="BH865" s="4" t="s">
        <v>7667</v>
      </c>
      <c r="BI865" s="8" t="n">
        <v>14</v>
      </c>
      <c r="BJ865" s="8" t="s">
        <v>7602</v>
      </c>
      <c r="BK865" s="4" t="s">
        <v>7653</v>
      </c>
      <c r="BL865" s="8" t="s">
        <v>7602</v>
      </c>
      <c r="BM865" s="4" t="s">
        <v>7620</v>
      </c>
      <c r="BN865" s="8"/>
      <c r="BO865" s="8"/>
      <c r="BP865" s="8" t="s">
        <v>7608</v>
      </c>
      <c r="BQ865" s="8" t="str">
        <f aca="false">IF(A865="","",AT865)</f>
        <v>3歳以上</v>
      </c>
      <c r="BR865" s="8" t="str">
        <f aca="false">IF(A865="","",IF(BA865&lt;=1200,"～1200",IF(BA865&lt;=1500,"1300～1500",IF(BA865=1600,"1600",IF(BA865&lt;=1800,"1700～1800",IF(BA865&lt;=2000,"1900～2000","2100以上"))))))</f>
        <v>1700～1800</v>
      </c>
      <c r="BS865" s="8" t="str">
        <f aca="false">IF(A865="","",IF(AX865="G1","G1",IF(AX865="G2","G2",IF(AX865="G3","G3",IF(AX865="L","L","その他")))))</f>
        <v>その他</v>
      </c>
      <c r="BT865" s="8" t="str">
        <f aca="false">IF(A865="","",IF(BI865="","未結合",IF(D865=BI865,"一致","不一致")))</f>
        <v>一致</v>
      </c>
      <c r="BU865" s="8" t="str">
        <f aca="false">IF(A865="","",IF(BE865="牝馬限定","牝馬限定","その他"))</f>
        <v>その他</v>
      </c>
    </row>
    <row r="866" customFormat="false" ht="15.75" hidden="false" customHeight="false" outlineLevel="0" collapsed="false">
      <c r="A866" s="6" t="n">
        <f aca="false">DATE(2026,8,15)</f>
        <v>46249</v>
      </c>
      <c r="B866" s="4" t="s">
        <v>334</v>
      </c>
      <c r="C866" s="8" t="n">
        <v>12</v>
      </c>
      <c r="D866" s="8" t="n">
        <v>14</v>
      </c>
      <c r="E866" s="8" t="n">
        <v>12</v>
      </c>
      <c r="F866" s="4" t="s">
        <v>1329</v>
      </c>
      <c r="G866" s="8" t="n">
        <v>56</v>
      </c>
      <c r="H866" s="8" t="n">
        <v>9</v>
      </c>
      <c r="I866" s="4" t="s">
        <v>6720</v>
      </c>
      <c r="J866" s="8" t="n">
        <v>50</v>
      </c>
      <c r="K866" s="8" t="n">
        <v>5</v>
      </c>
      <c r="L866" s="4" t="s">
        <v>6717</v>
      </c>
      <c r="M866" s="8" t="n">
        <v>44</v>
      </c>
      <c r="N866" s="8" t="n">
        <f aca="false">IF(A866="","",G866-J866)</f>
        <v>6</v>
      </c>
      <c r="O866" s="8" t="n">
        <f aca="false">IF(A866="","",J866-M866)</f>
        <v>6</v>
      </c>
      <c r="P866" s="8" t="n">
        <f aca="false">IF(A866="","",G866+J866)</f>
        <v>106</v>
      </c>
      <c r="Q866" s="8" t="str">
        <f aca="false">IF(A866="","",IF(AND(Y866&lt;&gt;"参考",G866&gt;=ルール設定!$B$2),"○",""))</f>
        <v/>
      </c>
      <c r="R866" s="8" t="str">
        <f aca="false">IF(A866="","",IF(AND(Y866&lt;&gt;"参考",G866&gt;=ルール設定!$B$3,N866&gt;=ルール設定!$B$4),"○",""))</f>
        <v/>
      </c>
      <c r="S866" s="8" t="str">
        <f aca="false">IF(A866="","",IF(AND(Y866&lt;&gt;"参考",G866&gt;=ルール設定!$B$5,J866&gt;=ルール設定!$B$6,O866&gt;=ルール設定!$B$7),"○",""))</f>
        <v/>
      </c>
      <c r="T866" s="8" t="n">
        <v>2</v>
      </c>
      <c r="U866" s="8" t="n">
        <v>1</v>
      </c>
      <c r="V866" s="8" t="str">
        <f aca="false">IF(A866="","",IF(AND(ISNUMBER(T866),ISNUMBER(U866)),IF(AND(T866&lt;=3,U866&lt;=3),"○","×"),""))</f>
        <v>○</v>
      </c>
      <c r="W866" s="8" t="n">
        <v>120</v>
      </c>
      <c r="X866" s="8" t="n">
        <v>170</v>
      </c>
      <c r="Y866" s="4" t="s">
        <v>7597</v>
      </c>
      <c r="Z866" s="8" t="s">
        <v>8059</v>
      </c>
      <c r="AA866" s="8" t="str">
        <v/>
      </c>
      <c r="AB866" s="8" t="str">
        <v/>
      </c>
      <c r="AC866" s="8" t="str">
        <v/>
      </c>
      <c r="AD866" s="8" t="str">
        <v/>
      </c>
      <c r="AE866" s="8" t="str">
        <v/>
      </c>
      <c r="AF866" s="8" t="str">
        <v/>
      </c>
      <c r="AG866" s="8" t="str">
        <v/>
      </c>
      <c r="AH866" s="8" t="str">
        <v/>
      </c>
      <c r="AI866" s="8" t="n">
        <v>12</v>
      </c>
      <c r="AJ866" s="8" t="str">
        <v>～59</v>
      </c>
      <c r="AK866" s="8" t="str">
        <v>5～9</v>
      </c>
      <c r="AL866" s="8" t="str">
        <v>10～19</v>
      </c>
      <c r="AM866" s="8" t="str">
        <v>100～119</v>
      </c>
      <c r="AN866" s="8" t="str">
        <v>12～14</v>
      </c>
      <c r="AO866" s="8" t="str">
        <f aca="false">IF(A866="","",IF(COUNTIFS(全馬データ!$A$2:$A$50000,A866,全馬データ!$B$2:$B$50000,B866,全馬データ!$C$2:$C$50000,C866,全馬データ!$D$2:$D$50000,E866,全馬データ!$K$2:$K$50000,"&lt;&gt;")=0,"",SUMIFS(全馬データ!$K$2:$K$50000,全馬データ!$A$2:$A$50000,A866,全馬データ!$B$2:$B$50000,B866,全馬データ!$C$2:$C$50000,C866,全馬データ!$D$2:$D$50000,E866)))</f>
        <v/>
      </c>
      <c r="AP866" s="8" t="str">
        <f aca="false">IF(A866="","",IF(AO866="","欠損",IF(AO866&lt;=1.1,"1.0～1.1",IF(AO866&lt;1.3,"1.2",IF(AO866&lt;1.5,"1.3～1.4",IF(AO866&lt;2,"1.5～1.9","2.0以上"))))))</f>
        <v>欠損</v>
      </c>
      <c r="AQ866" s="8" t="str">
        <f aca="false">IF(A866="","",IF(ISNUMBER(SEARCH("2歳",Z866)),"2歳戦",IF(ISNUMBER(SEARCH("3歳未勝利",Z866)),"3歳未勝利",IF(ISNUMBER(SEARCH("未勝利",Z866)),"その他未勝利",IF(ISNUMBER(SEARCH("G1",Z866)),"G1",IF(ISNUMBER(SEARCH("G2",Z866)),"G2",IF(ISNUMBER(SEARCH("G3",Z866)),"G3",IF(ISNUMBER(SEARCH("古馬条件",Z866)),"古馬条件戦",IF(ISNUMBER(SEARCH("重賞",Z866)),"重賞","分類不能")))))))))</f>
        <v>分類不能</v>
      </c>
      <c r="AR866" s="4" t="s">
        <v>8060</v>
      </c>
      <c r="AS866" s="8" t="s">
        <v>7626</v>
      </c>
      <c r="AT866" s="8" t="s">
        <v>7627</v>
      </c>
      <c r="AU866" s="8" t="s">
        <v>7628</v>
      </c>
      <c r="AV866" s="8" t="s">
        <v>7629</v>
      </c>
      <c r="AW866" s="8" t="s">
        <v>7636</v>
      </c>
      <c r="AX866" s="4" t="s">
        <v>7637</v>
      </c>
      <c r="AY866" s="8" t="s">
        <v>7602</v>
      </c>
      <c r="AZ866" s="4" t="s">
        <v>7603</v>
      </c>
      <c r="BA866" s="8" t="n">
        <v>2600</v>
      </c>
      <c r="BB866" s="8" t="s">
        <v>7598</v>
      </c>
      <c r="BC866" s="4" t="s">
        <v>7604</v>
      </c>
      <c r="BD866" s="8" t="s">
        <v>7690</v>
      </c>
      <c r="BE866" s="4" t="s">
        <v>7606</v>
      </c>
      <c r="BF866" s="8" t="s">
        <v>7607</v>
      </c>
      <c r="BG866" s="8" t="s">
        <v>7631</v>
      </c>
      <c r="BH866" s="4" t="s">
        <v>7632</v>
      </c>
      <c r="BI866" s="8" t="n">
        <v>14</v>
      </c>
      <c r="BJ866" s="8" t="s">
        <v>7602</v>
      </c>
      <c r="BK866" s="4" t="s">
        <v>7653</v>
      </c>
      <c r="BL866" s="8" t="s">
        <v>7602</v>
      </c>
      <c r="BM866" s="4" t="s">
        <v>7620</v>
      </c>
      <c r="BN866" s="8" t="s">
        <v>7602</v>
      </c>
      <c r="BO866" s="8" t="s">
        <v>7613</v>
      </c>
      <c r="BP866" s="8" t="s">
        <v>7608</v>
      </c>
      <c r="BQ866" s="8" t="str">
        <f aca="false">IF(A866="","",AT866)</f>
        <v>3歳以上</v>
      </c>
      <c r="BR866" s="8" t="str">
        <f aca="false">IF(A866="","",IF(BA866&lt;=1200,"～1200",IF(BA866&lt;=1500,"1300～1500",IF(BA866=1600,"1600",IF(BA866&lt;=1800,"1700～1800",IF(BA866&lt;=2000,"1900～2000","2100以上"))))))</f>
        <v>2100以上</v>
      </c>
      <c r="BS866" s="8" t="str">
        <f aca="false">IF(A866="","",IF(AX866="G1","G1",IF(AX866="G2","G2",IF(AX866="G3","G3",IF(AX866="L","L","その他")))))</f>
        <v>その他</v>
      </c>
      <c r="BT866" s="8" t="str">
        <f aca="false">IF(A866="","",IF(BI866="","未結合",IF(D866=BI866,"一致","不一致")))</f>
        <v>一致</v>
      </c>
      <c r="BU866" s="8" t="str">
        <f aca="false">IF(A866="","",IF(BE866="牝馬限定","牝馬限定","その他"))</f>
        <v>その他</v>
      </c>
    </row>
    <row r="867" customFormat="false" ht="15.75" hidden="false" customHeight="false" outlineLevel="0" collapsed="false">
      <c r="A867" s="6" t="n">
        <f aca="false">DATE(2026,8,16)</f>
        <v>46250</v>
      </c>
      <c r="B867" s="4" t="s">
        <v>179</v>
      </c>
      <c r="C867" s="8" t="n">
        <v>1</v>
      </c>
      <c r="D867" s="8" t="n">
        <v>10</v>
      </c>
      <c r="E867" s="8" t="n">
        <v>9</v>
      </c>
      <c r="F867" s="4" t="s">
        <v>2492</v>
      </c>
      <c r="G867" s="8" t="n">
        <v>58</v>
      </c>
      <c r="H867" s="8" t="n">
        <v>5</v>
      </c>
      <c r="I867" s="4" t="s">
        <v>2027</v>
      </c>
      <c r="J867" s="8" t="n">
        <v>50</v>
      </c>
      <c r="K867" s="8" t="n">
        <v>2</v>
      </c>
      <c r="L867" s="4" t="s">
        <v>3462</v>
      </c>
      <c r="M867" s="8" t="n">
        <v>41</v>
      </c>
      <c r="N867" s="8" t="n">
        <f aca="false">IF(A867="","",G867-J867)</f>
        <v>8</v>
      </c>
      <c r="O867" s="8" t="n">
        <f aca="false">IF(A867="","",J867-M867)</f>
        <v>9</v>
      </c>
      <c r="P867" s="8" t="n">
        <f aca="false">IF(A867="","",G867+J867)</f>
        <v>108</v>
      </c>
      <c r="Q867" s="8" t="str">
        <f aca="false">IF(A867="","",IF(AND(Y867&lt;&gt;"参考",G867&gt;=ルール設定!$B$2),"○",""))</f>
        <v/>
      </c>
      <c r="R867" s="8" t="str">
        <f aca="false">IF(A867="","",IF(AND(Y867&lt;&gt;"参考",G867&gt;=ルール設定!$B$3,N867&gt;=ルール設定!$B$4),"○",""))</f>
        <v/>
      </c>
      <c r="S867" s="8" t="str">
        <f aca="false">IF(A867="","",IF(AND(Y867&lt;&gt;"参考",G867&gt;=ルール設定!$B$5,J867&gt;=ルール設定!$B$6,O867&gt;=ルール設定!$B$7),"○",""))</f>
        <v/>
      </c>
      <c r="T867" s="8" t="n">
        <v>4</v>
      </c>
      <c r="U867" s="8" t="n">
        <v>2</v>
      </c>
      <c r="V867" s="8" t="str">
        <f aca="false">IF(A867="","",IF(AND(ISNUMBER(T867),ISNUMBER(U867)),IF(AND(T867&lt;=3,U867&lt;=3),"○","×"),""))</f>
        <v>×</v>
      </c>
      <c r="W867" s="8"/>
      <c r="X867" s="8"/>
      <c r="Y867" s="4" t="s">
        <v>7597</v>
      </c>
      <c r="Z867" s="8" t="s">
        <v>8061</v>
      </c>
      <c r="AA867" s="8" t="str">
        <v/>
      </c>
      <c r="AB867" s="8" t="str">
        <v/>
      </c>
      <c r="AC867" s="8" t="str">
        <v/>
      </c>
      <c r="AD867" s="8" t="str">
        <v/>
      </c>
      <c r="AE867" s="8" t="str">
        <v/>
      </c>
      <c r="AF867" s="8" t="str">
        <v/>
      </c>
      <c r="AG867" s="8" t="str">
        <v/>
      </c>
      <c r="AH867" s="8" t="str">
        <v/>
      </c>
      <c r="AI867" s="8" t="n">
        <v>17</v>
      </c>
      <c r="AJ867" s="8" t="str">
        <v>～59</v>
      </c>
      <c r="AK867" s="8" t="str">
        <v>5～9</v>
      </c>
      <c r="AL867" s="8" t="str">
        <v>10～19</v>
      </c>
      <c r="AM867" s="8" t="str">
        <v>100～119</v>
      </c>
      <c r="AN867" s="8" t="str">
        <v>8～11</v>
      </c>
      <c r="AO867" s="8" t="str">
        <f aca="false">IF(A867="","",IF(COUNTIFS(全馬データ!$A$2:$A$50000,A867,全馬データ!$B$2:$B$50000,B867,全馬データ!$C$2:$C$50000,C867,全馬データ!$D$2:$D$50000,E867,全馬データ!$K$2:$K$50000,"&lt;&gt;")=0,"",SUMIFS(全馬データ!$K$2:$K$50000,全馬データ!$A$2:$A$50000,A867,全馬データ!$B$2:$B$50000,B867,全馬データ!$C$2:$C$50000,C867,全馬データ!$D$2:$D$50000,E867)))</f>
        <v/>
      </c>
      <c r="AP867" s="8" t="str">
        <f aca="false">IF(A867="","",IF(AO867="","欠損",IF(AO867&lt;=1.1,"1.0～1.1",IF(AO867&lt;1.3,"1.2",IF(AO867&lt;1.5,"1.3～1.4",IF(AO867&lt;2,"1.5～1.9","2.0以上"))))))</f>
        <v>欠損</v>
      </c>
      <c r="AQ867" s="8" t="str">
        <f aca="false">IF(A867="","",IF(ISNUMBER(SEARCH("2歳",Z867)),"2歳戦",IF(ISNUMBER(SEARCH("3歳未勝利",Z867)),"3歳未勝利",IF(ISNUMBER(SEARCH("未勝利",Z867)),"その他未勝利",IF(ISNUMBER(SEARCH("G1",Z867)),"G1",IF(ISNUMBER(SEARCH("G2",Z867)),"G2",IF(ISNUMBER(SEARCH("G3",Z867)),"G3",IF(ISNUMBER(SEARCH("古馬条件",Z867)),"古馬条件戦",IF(ISNUMBER(SEARCH("重賞",Z867)),"重賞","分類不能")))))))))</f>
        <v>分類不能</v>
      </c>
      <c r="AR867" s="8"/>
      <c r="AS867" s="8" t="s">
        <v>7598</v>
      </c>
      <c r="AT867" s="8" t="s">
        <v>7599</v>
      </c>
      <c r="AU867" s="8" t="s">
        <v>7600</v>
      </c>
      <c r="AV867" s="4" t="s">
        <v>7601</v>
      </c>
      <c r="AW867" s="8"/>
      <c r="AX867" s="8"/>
      <c r="AY867" s="8" t="s">
        <v>7602</v>
      </c>
      <c r="AZ867" s="4" t="s">
        <v>7603</v>
      </c>
      <c r="BA867" s="8" t="n">
        <v>1200</v>
      </c>
      <c r="BB867" s="8" t="s">
        <v>7598</v>
      </c>
      <c r="BC867" s="4" t="s">
        <v>7604</v>
      </c>
      <c r="BD867" s="8" t="s">
        <v>7605</v>
      </c>
      <c r="BE867" s="4" t="s">
        <v>7606</v>
      </c>
      <c r="BF867" s="8" t="s">
        <v>7607</v>
      </c>
      <c r="BG867" s="8" t="s">
        <v>7608</v>
      </c>
      <c r="BH867" s="4" t="s">
        <v>7609</v>
      </c>
      <c r="BI867" s="8" t="n">
        <v>10</v>
      </c>
      <c r="BJ867" s="8" t="s">
        <v>7610</v>
      </c>
      <c r="BK867" s="4" t="s">
        <v>7611</v>
      </c>
      <c r="BL867" s="8" t="s">
        <v>7602</v>
      </c>
      <c r="BM867" s="4" t="s">
        <v>7620</v>
      </c>
      <c r="BN867" s="8" t="s">
        <v>7602</v>
      </c>
      <c r="BO867" s="8" t="s">
        <v>7613</v>
      </c>
      <c r="BP867" s="8" t="s">
        <v>7610</v>
      </c>
      <c r="BQ867" s="8" t="str">
        <f aca="false">IF(A867="","",AT867)</f>
        <v>2歳</v>
      </c>
      <c r="BR867" s="8" t="str">
        <f aca="false">IF(A867="","",IF(BA867&lt;=1200,"～1200",IF(BA867&lt;=1500,"1300～1500",IF(BA867=1600,"1600",IF(BA867&lt;=1800,"1700～1800",IF(BA867&lt;=2000,"1900～2000","2100以上"))))))</f>
        <v>～1200</v>
      </c>
      <c r="BS867" s="8" t="str">
        <f aca="false">IF(A867="","",IF(AX867="G1","G1",IF(AX867="G2","G2",IF(AX867="G3","G3",IF(AX867="L","L","その他")))))</f>
        <v>その他</v>
      </c>
      <c r="BT867" s="8" t="str">
        <f aca="false">IF(A867="","",IF(BI867="","未結合",IF(D867=BI867,"一致","不一致")))</f>
        <v>一致</v>
      </c>
      <c r="BU867" s="8" t="str">
        <f aca="false">IF(A867="","",IF(BE867="牝馬限定","牝馬限定","その他"))</f>
        <v>その他</v>
      </c>
    </row>
    <row r="868" customFormat="false" ht="15.75" hidden="false" customHeight="false" outlineLevel="0" collapsed="false">
      <c r="A868" s="6" t="n">
        <f aca="false">DATE(2026,8,16)</f>
        <v>46250</v>
      </c>
      <c r="B868" s="4" t="s">
        <v>179</v>
      </c>
      <c r="C868" s="8" t="n">
        <v>2</v>
      </c>
      <c r="D868" s="8" t="n">
        <v>12</v>
      </c>
      <c r="E868" s="8" t="n">
        <v>9</v>
      </c>
      <c r="F868" s="4" t="s">
        <v>6732</v>
      </c>
      <c r="G868" s="8" t="n">
        <v>37</v>
      </c>
      <c r="H868" s="8" t="n">
        <v>11</v>
      </c>
      <c r="I868" s="4" t="s">
        <v>6734</v>
      </c>
      <c r="J868" s="8" t="n">
        <v>37</v>
      </c>
      <c r="K868" s="8" t="n">
        <v>7</v>
      </c>
      <c r="L868" s="4" t="s">
        <v>6730</v>
      </c>
      <c r="M868" s="8" t="n">
        <v>31</v>
      </c>
      <c r="N868" s="8" t="n">
        <f aca="false">IF(A868="","",G868-J868)</f>
        <v>0</v>
      </c>
      <c r="O868" s="8" t="n">
        <f aca="false">IF(A868="","",J868-M868)</f>
        <v>6</v>
      </c>
      <c r="P868" s="8" t="n">
        <f aca="false">IF(A868="","",G868+J868)</f>
        <v>74</v>
      </c>
      <c r="Q868" s="8" t="str">
        <f aca="false">IF(A868="","",IF(AND(Y868&lt;&gt;"参考",G868&gt;=ルール設定!$B$2),"○",""))</f>
        <v/>
      </c>
      <c r="R868" s="8" t="str">
        <f aca="false">IF(A868="","",IF(AND(Y868&lt;&gt;"参考",G868&gt;=ルール設定!$B$3,N868&gt;=ルール設定!$B$4),"○",""))</f>
        <v/>
      </c>
      <c r="S868" s="8" t="str">
        <f aca="false">IF(A868="","",IF(AND(Y868&lt;&gt;"参考",G868&gt;=ルール設定!$B$5,J868&gt;=ルール設定!$B$6,O868&gt;=ルール設定!$B$7),"○",""))</f>
        <v/>
      </c>
      <c r="T868" s="8" t="n">
        <v>4</v>
      </c>
      <c r="U868" s="8" t="n">
        <v>4</v>
      </c>
      <c r="V868" s="8" t="str">
        <f aca="false">IF(A868="","",IF(AND(ISNUMBER(T868),ISNUMBER(U868)),IF(AND(T868&lt;=3,U868&lt;=3),"○","×"),""))</f>
        <v>×</v>
      </c>
      <c r="W868" s="8"/>
      <c r="X868" s="8"/>
      <c r="Y868" s="4" t="s">
        <v>7597</v>
      </c>
      <c r="Z868" s="8" t="s">
        <v>8062</v>
      </c>
      <c r="AA868" s="8" t="str">
        <v/>
      </c>
      <c r="AB868" s="8" t="str">
        <v/>
      </c>
      <c r="AC868" s="8" t="str">
        <v/>
      </c>
      <c r="AD868" s="8" t="str">
        <v/>
      </c>
      <c r="AE868" s="8" t="str">
        <v/>
      </c>
      <c r="AF868" s="8" t="str">
        <v/>
      </c>
      <c r="AG868" s="8" t="str">
        <v/>
      </c>
      <c r="AH868" s="8" t="str">
        <v/>
      </c>
      <c r="AI868" s="8" t="n">
        <v>6</v>
      </c>
      <c r="AJ868" s="8" t="str">
        <v>～59</v>
      </c>
      <c r="AK868" s="8" t="str">
        <v>0～4</v>
      </c>
      <c r="AL868" s="8" t="str">
        <v>0～9</v>
      </c>
      <c r="AM868" s="8" t="str">
        <v>～99</v>
      </c>
      <c r="AN868" s="8" t="str">
        <v>12～14</v>
      </c>
      <c r="AO868" s="8" t="str">
        <f aca="false">IF(A868="","",IF(COUNTIFS(全馬データ!$A$2:$A$50000,A868,全馬データ!$B$2:$B$50000,B868,全馬データ!$C$2:$C$50000,C868,全馬データ!$D$2:$D$50000,E868,全馬データ!$K$2:$K$50000,"&lt;&gt;")=0,"",SUMIFS(全馬データ!$K$2:$K$50000,全馬データ!$A$2:$A$50000,A868,全馬データ!$B$2:$B$50000,B868,全馬データ!$C$2:$C$50000,C868,全馬データ!$D$2:$D$50000,E868)))</f>
        <v/>
      </c>
      <c r="AP868" s="8" t="str">
        <f aca="false">IF(A868="","",IF(AO868="","欠損",IF(AO868&lt;=1.1,"1.0～1.1",IF(AO868&lt;1.3,"1.2",IF(AO868&lt;1.5,"1.3～1.4",IF(AO868&lt;2,"1.5～1.9","2.0以上"))))))</f>
        <v>欠損</v>
      </c>
      <c r="AQ868" s="8" t="str">
        <f aca="false">IF(A868="","",IF(ISNUMBER(SEARCH("2歳",Z868)),"2歳戦",IF(ISNUMBER(SEARCH("3歳未勝利",Z868)),"3歳未勝利",IF(ISNUMBER(SEARCH("未勝利",Z868)),"その他未勝利",IF(ISNUMBER(SEARCH("G1",Z868)),"G1",IF(ISNUMBER(SEARCH("G2",Z868)),"G2",IF(ISNUMBER(SEARCH("G3",Z868)),"G3",IF(ISNUMBER(SEARCH("古馬条件",Z868)),"古馬条件戦",IF(ISNUMBER(SEARCH("重賞",Z868)),"重賞","分類不能")))))))))</f>
        <v>分類不能</v>
      </c>
      <c r="AR868" s="8"/>
      <c r="AS868" s="8" t="s">
        <v>7598</v>
      </c>
      <c r="AT868" s="8" t="s">
        <v>7599</v>
      </c>
      <c r="AU868" s="8" t="s">
        <v>7615</v>
      </c>
      <c r="AV868" s="4" t="s">
        <v>7616</v>
      </c>
      <c r="AW868" s="8"/>
      <c r="AX868" s="8"/>
      <c r="AY868" s="8" t="s">
        <v>7610</v>
      </c>
      <c r="AZ868" s="4" t="s">
        <v>7617</v>
      </c>
      <c r="BA868" s="8" t="n">
        <v>1400</v>
      </c>
      <c r="BB868" s="8" t="s">
        <v>7634</v>
      </c>
      <c r="BC868" s="4" t="s">
        <v>7604</v>
      </c>
      <c r="BD868" s="8" t="s">
        <v>7605</v>
      </c>
      <c r="BE868" s="4" t="s">
        <v>7606</v>
      </c>
      <c r="BF868" s="8" t="s">
        <v>7607</v>
      </c>
      <c r="BG868" s="8" t="s">
        <v>7608</v>
      </c>
      <c r="BH868" s="4" t="s">
        <v>7609</v>
      </c>
      <c r="BI868" s="8" t="n">
        <v>12</v>
      </c>
      <c r="BJ868" s="8" t="s">
        <v>7610</v>
      </c>
      <c r="BK868" s="4" t="s">
        <v>7611</v>
      </c>
      <c r="BL868" s="8" t="s">
        <v>7602</v>
      </c>
      <c r="BM868" s="4" t="s">
        <v>7620</v>
      </c>
      <c r="BN868" s="8"/>
      <c r="BO868" s="8"/>
      <c r="BP868" s="8" t="s">
        <v>7610</v>
      </c>
      <c r="BQ868" s="8" t="str">
        <f aca="false">IF(A868="","",AT868)</f>
        <v>2歳</v>
      </c>
      <c r="BR868" s="8" t="str">
        <f aca="false">IF(A868="","",IF(BA868&lt;=1200,"～1200",IF(BA868&lt;=1500,"1300～1500",IF(BA868=1600,"1600",IF(BA868&lt;=1800,"1700～1800",IF(BA868&lt;=2000,"1900～2000","2100以上"))))))</f>
        <v>1300～1500</v>
      </c>
      <c r="BS868" s="8" t="str">
        <f aca="false">IF(A868="","",IF(AX868="G1","G1",IF(AX868="G2","G2",IF(AX868="G3","G3",IF(AX868="L","L","その他")))))</f>
        <v>その他</v>
      </c>
      <c r="BT868" s="8" t="str">
        <f aca="false">IF(A868="","",IF(BI868="","未結合",IF(D868=BI868,"一致","不一致")))</f>
        <v>一致</v>
      </c>
      <c r="BU868" s="8" t="str">
        <f aca="false">IF(A868="","",IF(BE868="牝馬限定","牝馬限定","その他"))</f>
        <v>その他</v>
      </c>
    </row>
    <row r="869" customFormat="false" ht="15.75" hidden="false" customHeight="false" outlineLevel="0" collapsed="false">
      <c r="A869" s="6" t="n">
        <f aca="false">DATE(2026,8,16)</f>
        <v>46250</v>
      </c>
      <c r="B869" s="4" t="s">
        <v>179</v>
      </c>
      <c r="C869" s="8" t="n">
        <v>3</v>
      </c>
      <c r="D869" s="8" t="n">
        <v>8</v>
      </c>
      <c r="E869" s="8" t="n">
        <v>3</v>
      </c>
      <c r="F869" s="4" t="s">
        <v>6738</v>
      </c>
      <c r="G869" s="8" t="n">
        <v>37</v>
      </c>
      <c r="H869" s="8" t="n">
        <v>7</v>
      </c>
      <c r="I869" s="4" t="s">
        <v>6742</v>
      </c>
      <c r="J869" s="8" t="n">
        <v>31</v>
      </c>
      <c r="K869" s="8" t="n">
        <v>1</v>
      </c>
      <c r="L869" s="4" t="s">
        <v>6736</v>
      </c>
      <c r="M869" s="8" t="n">
        <v>27</v>
      </c>
      <c r="N869" s="8" t="n">
        <f aca="false">IF(A869="","",G869-J869)</f>
        <v>6</v>
      </c>
      <c r="O869" s="8" t="n">
        <f aca="false">IF(A869="","",J869-M869)</f>
        <v>4</v>
      </c>
      <c r="P869" s="8" t="n">
        <f aca="false">IF(A869="","",G869+J869)</f>
        <v>68</v>
      </c>
      <c r="Q869" s="8" t="str">
        <f aca="false">IF(A869="","",IF(AND(Y869&lt;&gt;"参考",G869&gt;=ルール設定!$B$2),"○",""))</f>
        <v/>
      </c>
      <c r="R869" s="8" t="str">
        <f aca="false">IF(A869="","",IF(AND(Y869&lt;&gt;"参考",G869&gt;=ルール設定!$B$3,N869&gt;=ルール設定!$B$4),"○",""))</f>
        <v/>
      </c>
      <c r="S869" s="8" t="str">
        <f aca="false">IF(A869="","",IF(AND(Y869&lt;&gt;"参考",G869&gt;=ルール設定!$B$5,J869&gt;=ルール設定!$B$6,O869&gt;=ルール設定!$B$7),"○",""))</f>
        <v/>
      </c>
      <c r="T869" s="8" t="n">
        <v>4</v>
      </c>
      <c r="U869" s="8" t="n">
        <v>3</v>
      </c>
      <c r="V869" s="8" t="str">
        <f aca="false">IF(A869="","",IF(AND(ISNUMBER(T869),ISNUMBER(U869)),IF(AND(T869&lt;=3,U869&lt;=3),"○","×"),""))</f>
        <v>×</v>
      </c>
      <c r="W869" s="8"/>
      <c r="X869" s="8"/>
      <c r="Y869" s="4" t="s">
        <v>7597</v>
      </c>
      <c r="Z869" s="8" t="s">
        <v>8063</v>
      </c>
      <c r="AA869" s="8" t="str">
        <v/>
      </c>
      <c r="AB869" s="8" t="str">
        <v/>
      </c>
      <c r="AC869" s="8" t="str">
        <v/>
      </c>
      <c r="AD869" s="8" t="str">
        <v/>
      </c>
      <c r="AE869" s="8" t="str">
        <v/>
      </c>
      <c r="AF869" s="8" t="str">
        <v/>
      </c>
      <c r="AG869" s="8" t="str">
        <v/>
      </c>
      <c r="AH869" s="8" t="str">
        <v/>
      </c>
      <c r="AI869" s="8" t="n">
        <v>10</v>
      </c>
      <c r="AJ869" s="8" t="str">
        <v>～59</v>
      </c>
      <c r="AK869" s="8" t="str">
        <v>5～9</v>
      </c>
      <c r="AL869" s="8" t="str">
        <v>10～19</v>
      </c>
      <c r="AM869" s="8" t="str">
        <v>～99</v>
      </c>
      <c r="AN869" s="8" t="str">
        <v>8～11</v>
      </c>
      <c r="AO869" s="8" t="str">
        <f aca="false">IF(A869="","",IF(COUNTIFS(全馬データ!$A$2:$A$50000,A869,全馬データ!$B$2:$B$50000,B869,全馬データ!$C$2:$C$50000,C869,全馬データ!$D$2:$D$50000,E869,全馬データ!$K$2:$K$50000,"&lt;&gt;")=0,"",SUMIFS(全馬データ!$K$2:$K$50000,全馬データ!$A$2:$A$50000,A869,全馬データ!$B$2:$B$50000,B869,全馬データ!$C$2:$C$50000,C869,全馬データ!$D$2:$D$50000,E869)))</f>
        <v/>
      </c>
      <c r="AP869" s="8" t="str">
        <f aca="false">IF(A869="","",IF(AO869="","欠損",IF(AO869&lt;=1.1,"1.0～1.1",IF(AO869&lt;1.3,"1.2",IF(AO869&lt;1.5,"1.3～1.4",IF(AO869&lt;2,"1.5～1.9","2.0以上"))))))</f>
        <v>欠損</v>
      </c>
      <c r="AQ869" s="8" t="str">
        <f aca="false">IF(A869="","",IF(ISNUMBER(SEARCH("2歳",Z869)),"2歳戦",IF(ISNUMBER(SEARCH("3歳未勝利",Z869)),"3歳未勝利",IF(ISNUMBER(SEARCH("未勝利",Z869)),"その他未勝利",IF(ISNUMBER(SEARCH("G1",Z869)),"G1",IF(ISNUMBER(SEARCH("G2",Z869)),"G2",IF(ISNUMBER(SEARCH("G3",Z869)),"G3",IF(ISNUMBER(SEARCH("古馬条件",Z869)),"古馬条件戦",IF(ISNUMBER(SEARCH("重賞",Z869)),"重賞","分類不能")))))))))</f>
        <v>分類不能</v>
      </c>
      <c r="AR869" s="8"/>
      <c r="AS869" s="8" t="s">
        <v>7598</v>
      </c>
      <c r="AT869" s="8" t="s">
        <v>7599</v>
      </c>
      <c r="AU869" s="8" t="s">
        <v>7615</v>
      </c>
      <c r="AV869" s="4" t="s">
        <v>7616</v>
      </c>
      <c r="AW869" s="8"/>
      <c r="AX869" s="8"/>
      <c r="AY869" s="8" t="s">
        <v>7602</v>
      </c>
      <c r="AZ869" s="4" t="s">
        <v>7603</v>
      </c>
      <c r="BA869" s="8" t="n">
        <v>1600</v>
      </c>
      <c r="BB869" s="8" t="s">
        <v>7598</v>
      </c>
      <c r="BC869" s="4" t="s">
        <v>7604</v>
      </c>
      <c r="BD869" s="8" t="s">
        <v>7625</v>
      </c>
      <c r="BE869" s="4" t="s">
        <v>7606</v>
      </c>
      <c r="BF869" s="8" t="s">
        <v>7607</v>
      </c>
      <c r="BG869" s="8" t="s">
        <v>7608</v>
      </c>
      <c r="BH869" s="4" t="s">
        <v>7609</v>
      </c>
      <c r="BI869" s="8" t="n">
        <v>8</v>
      </c>
      <c r="BJ869" s="8" t="s">
        <v>7610</v>
      </c>
      <c r="BK869" s="4" t="s">
        <v>7611</v>
      </c>
      <c r="BL869" s="8" t="s">
        <v>7602</v>
      </c>
      <c r="BM869" s="4" t="s">
        <v>7620</v>
      </c>
      <c r="BN869" s="8" t="s">
        <v>7602</v>
      </c>
      <c r="BO869" s="8" t="s">
        <v>7613</v>
      </c>
      <c r="BP869" s="8" t="s">
        <v>7610</v>
      </c>
      <c r="BQ869" s="8" t="str">
        <f aca="false">IF(A869="","",AT869)</f>
        <v>2歳</v>
      </c>
      <c r="BR869" s="8" t="str">
        <f aca="false">IF(A869="","",IF(BA869&lt;=1200,"～1200",IF(BA869&lt;=1500,"1300～1500",IF(BA869=1600,"1600",IF(BA869&lt;=1800,"1700～1800",IF(BA869&lt;=2000,"1900～2000","2100以上"))))))</f>
        <v>1600</v>
      </c>
      <c r="BS869" s="8" t="str">
        <f aca="false">IF(A869="","",IF(AX869="G1","G1",IF(AX869="G2","G2",IF(AX869="G3","G3",IF(AX869="L","L","その他")))))</f>
        <v>その他</v>
      </c>
      <c r="BT869" s="8" t="str">
        <f aca="false">IF(A869="","",IF(BI869="","未結合",IF(D869=BI869,"一致","不一致")))</f>
        <v>一致</v>
      </c>
      <c r="BU869" s="8" t="str">
        <f aca="false">IF(A869="","",IF(BE869="牝馬限定","牝馬限定","その他"))</f>
        <v>その他</v>
      </c>
    </row>
    <row r="870" customFormat="false" ht="15.75" hidden="false" customHeight="false" outlineLevel="0" collapsed="false">
      <c r="A870" s="6" t="n">
        <f aca="false">DATE(2026,8,16)</f>
        <v>46250</v>
      </c>
      <c r="B870" s="4" t="s">
        <v>179</v>
      </c>
      <c r="C870" s="8" t="n">
        <v>4</v>
      </c>
      <c r="D870" s="8" t="n">
        <v>18</v>
      </c>
      <c r="E870" s="8" t="n">
        <v>18</v>
      </c>
      <c r="F870" s="4" t="s">
        <v>1602</v>
      </c>
      <c r="G870" s="8" t="n">
        <v>67</v>
      </c>
      <c r="H870" s="8" t="n">
        <v>2</v>
      </c>
      <c r="I870" s="4" t="s">
        <v>207</v>
      </c>
      <c r="J870" s="8" t="n">
        <v>41</v>
      </c>
      <c r="K870" s="8" t="n">
        <v>3</v>
      </c>
      <c r="L870" s="4" t="s">
        <v>6744</v>
      </c>
      <c r="M870" s="8" t="n">
        <v>39</v>
      </c>
      <c r="N870" s="8" t="n">
        <f aca="false">IF(A870="","",G870-J870)</f>
        <v>26</v>
      </c>
      <c r="O870" s="8" t="n">
        <f aca="false">IF(A870="","",J870-M870)</f>
        <v>2</v>
      </c>
      <c r="P870" s="8" t="n">
        <f aca="false">IF(A870="","",G870+J870)</f>
        <v>108</v>
      </c>
      <c r="Q870" s="8" t="str">
        <f aca="false">IF(A870="","",IF(AND(Y870&lt;&gt;"参考",G870&gt;=ルール設定!$B$2),"○",""))</f>
        <v/>
      </c>
      <c r="R870" s="8" t="str">
        <f aca="false">IF(A870="","",IF(AND(Y870&lt;&gt;"参考",G870&gt;=ルール設定!$B$3,N870&gt;=ルール設定!$B$4),"○",""))</f>
        <v/>
      </c>
      <c r="S870" s="8" t="str">
        <f aca="false">IF(A870="","",IF(AND(Y870&lt;&gt;"参考",G870&gt;=ルール設定!$B$5,J870&gt;=ルール設定!$B$6,O870&gt;=ルール設定!$B$7),"○",""))</f>
        <v/>
      </c>
      <c r="T870" s="8" t="n">
        <v>4</v>
      </c>
      <c r="U870" s="8" t="n">
        <v>4</v>
      </c>
      <c r="V870" s="8" t="str">
        <f aca="false">IF(A870="","",IF(AND(ISNUMBER(T870),ISNUMBER(U870)),IF(AND(T870&lt;=3,U870&lt;=3),"○","×"),""))</f>
        <v>×</v>
      </c>
      <c r="W870" s="8"/>
      <c r="X870" s="8"/>
      <c r="Y870" s="4" t="s">
        <v>7597</v>
      </c>
      <c r="Z870" s="8" t="s">
        <v>8064</v>
      </c>
      <c r="AA870" s="8" t="str">
        <v/>
      </c>
      <c r="AB870" s="8" t="str">
        <v/>
      </c>
      <c r="AC870" s="8" t="str">
        <v/>
      </c>
      <c r="AD870" s="8" t="str">
        <v/>
      </c>
      <c r="AE870" s="8" t="str">
        <v/>
      </c>
      <c r="AF870" s="8" t="str">
        <v/>
      </c>
      <c r="AG870" s="8" t="str">
        <v/>
      </c>
      <c r="AH870" s="8" t="str">
        <v/>
      </c>
      <c r="AI870" s="8" t="n">
        <v>28</v>
      </c>
      <c r="AJ870" s="8" t="str">
        <v>60～69</v>
      </c>
      <c r="AK870" s="8" t="str">
        <v>20～29</v>
      </c>
      <c r="AL870" s="8" t="str">
        <v>20～29</v>
      </c>
      <c r="AM870" s="8" t="str">
        <v>100～119</v>
      </c>
      <c r="AN870" s="8" t="str">
        <v>15以上</v>
      </c>
      <c r="AO870" s="8" t="str">
        <f aca="false">IF(A870="","",IF(COUNTIFS(全馬データ!$A$2:$A$50000,A870,全馬データ!$B$2:$B$50000,B870,全馬データ!$C$2:$C$50000,C870,全馬データ!$D$2:$D$50000,E870,全馬データ!$K$2:$K$50000,"&lt;&gt;")=0,"",SUMIFS(全馬データ!$K$2:$K$50000,全馬データ!$A$2:$A$50000,A870,全馬データ!$B$2:$B$50000,B870,全馬データ!$C$2:$C$50000,C870,全馬データ!$D$2:$D$50000,E870)))</f>
        <v/>
      </c>
      <c r="AP870" s="8" t="str">
        <f aca="false">IF(A870="","",IF(AO870="","欠損",IF(AO870&lt;=1.1,"1.0～1.1",IF(AO870&lt;1.3,"1.2",IF(AO870&lt;1.5,"1.3～1.4",IF(AO870&lt;2,"1.5～1.9","2.0以上"))))))</f>
        <v>欠損</v>
      </c>
      <c r="AQ870" s="8" t="str">
        <f aca="false">IF(A870="","",IF(ISNUMBER(SEARCH("2歳",Z870)),"2歳戦",IF(ISNUMBER(SEARCH("3歳未勝利",Z870)),"3歳未勝利",IF(ISNUMBER(SEARCH("未勝利",Z870)),"その他未勝利",IF(ISNUMBER(SEARCH("G1",Z870)),"G1",IF(ISNUMBER(SEARCH("G2",Z870)),"G2",IF(ISNUMBER(SEARCH("G3",Z870)),"G3",IF(ISNUMBER(SEARCH("古馬条件",Z870)),"古馬条件戦",IF(ISNUMBER(SEARCH("重賞",Z870)),"重賞","分類不能")))))))))</f>
        <v>分類不能</v>
      </c>
      <c r="AR870" s="8"/>
      <c r="AS870" s="8" t="s">
        <v>7623</v>
      </c>
      <c r="AT870" s="8" t="s">
        <v>7624</v>
      </c>
      <c r="AU870" s="8" t="s">
        <v>7600</v>
      </c>
      <c r="AV870" s="4" t="s">
        <v>7601</v>
      </c>
      <c r="AW870" s="8"/>
      <c r="AX870" s="8"/>
      <c r="AY870" s="8" t="s">
        <v>7602</v>
      </c>
      <c r="AZ870" s="4" t="s">
        <v>7603</v>
      </c>
      <c r="BA870" s="8" t="n">
        <v>2000</v>
      </c>
      <c r="BB870" s="8" t="s">
        <v>7598</v>
      </c>
      <c r="BC870" s="4" t="s">
        <v>7604</v>
      </c>
      <c r="BD870" s="8" t="s">
        <v>7625</v>
      </c>
      <c r="BE870" s="4" t="s">
        <v>7606</v>
      </c>
      <c r="BF870" s="8" t="s">
        <v>7607</v>
      </c>
      <c r="BG870" s="8" t="s">
        <v>7608</v>
      </c>
      <c r="BH870" s="4" t="s">
        <v>7609</v>
      </c>
      <c r="BI870" s="8" t="n">
        <v>18</v>
      </c>
      <c r="BJ870" s="8" t="s">
        <v>7610</v>
      </c>
      <c r="BK870" s="4" t="s">
        <v>7611</v>
      </c>
      <c r="BL870" s="8" t="s">
        <v>7602</v>
      </c>
      <c r="BM870" s="4" t="s">
        <v>7620</v>
      </c>
      <c r="BN870" s="8" t="s">
        <v>7602</v>
      </c>
      <c r="BO870" s="8" t="s">
        <v>7613</v>
      </c>
      <c r="BP870" s="8" t="s">
        <v>7610</v>
      </c>
      <c r="BQ870" s="8" t="str">
        <f aca="false">IF(A870="","",AT870)</f>
        <v>3歳</v>
      </c>
      <c r="BR870" s="8" t="str">
        <f aca="false">IF(A870="","",IF(BA870&lt;=1200,"～1200",IF(BA870&lt;=1500,"1300～1500",IF(BA870=1600,"1600",IF(BA870&lt;=1800,"1700～1800",IF(BA870&lt;=2000,"1900～2000","2100以上"))))))</f>
        <v>1900～2000</v>
      </c>
      <c r="BS870" s="8" t="str">
        <f aca="false">IF(A870="","",IF(AX870="G1","G1",IF(AX870="G2","G2",IF(AX870="G3","G3",IF(AX870="L","L","その他")))))</f>
        <v>その他</v>
      </c>
      <c r="BT870" s="8" t="str">
        <f aca="false">IF(A870="","",IF(BI870="","未結合",IF(D870=BI870,"一致","不一致")))</f>
        <v>一致</v>
      </c>
      <c r="BU870" s="8" t="str">
        <f aca="false">IF(A870="","",IF(BE870="牝馬限定","牝馬限定","その他"))</f>
        <v>その他</v>
      </c>
    </row>
    <row r="871" customFormat="false" ht="15.75" hidden="false" customHeight="false" outlineLevel="0" collapsed="false">
      <c r="A871" s="6" t="n">
        <f aca="false">DATE(2026,8,16)</f>
        <v>46250</v>
      </c>
      <c r="B871" s="4" t="s">
        <v>179</v>
      </c>
      <c r="C871" s="8" t="n">
        <v>5</v>
      </c>
      <c r="D871" s="8" t="n">
        <v>16</v>
      </c>
      <c r="E871" s="8" t="n">
        <v>11</v>
      </c>
      <c r="F871" s="4" t="s">
        <v>686</v>
      </c>
      <c r="G871" s="8" t="n">
        <v>60</v>
      </c>
      <c r="H871" s="8" t="n">
        <v>15</v>
      </c>
      <c r="I871" s="4" t="s">
        <v>1155</v>
      </c>
      <c r="J871" s="8" t="n">
        <v>58</v>
      </c>
      <c r="K871" s="8" t="n">
        <v>2</v>
      </c>
      <c r="L871" s="4" t="s">
        <v>685</v>
      </c>
      <c r="M871" s="8" t="n">
        <v>52</v>
      </c>
      <c r="N871" s="8" t="n">
        <f aca="false">IF(A871="","",G871-J871)</f>
        <v>2</v>
      </c>
      <c r="O871" s="8" t="n">
        <f aca="false">IF(A871="","",J871-M871)</f>
        <v>6</v>
      </c>
      <c r="P871" s="8" t="n">
        <f aca="false">IF(A871="","",G871+J871)</f>
        <v>118</v>
      </c>
      <c r="Q871" s="8" t="str">
        <f aca="false">IF(A871="","",IF(AND(Y871&lt;&gt;"参考",G871&gt;=ルール設定!$B$2),"○",""))</f>
        <v/>
      </c>
      <c r="R871" s="8" t="str">
        <f aca="false">IF(A871="","",IF(AND(Y871&lt;&gt;"参考",G871&gt;=ルール設定!$B$3,N871&gt;=ルール設定!$B$4),"○",""))</f>
        <v/>
      </c>
      <c r="S871" s="8" t="str">
        <f aca="false">IF(A871="","",IF(AND(Y871&lt;&gt;"参考",G871&gt;=ルール設定!$B$5,J871&gt;=ルール設定!$B$6,O871&gt;=ルール設定!$B$7),"○",""))</f>
        <v/>
      </c>
      <c r="T871" s="8" t="n">
        <v>3</v>
      </c>
      <c r="U871" s="8" t="n">
        <v>4</v>
      </c>
      <c r="V871" s="8" t="str">
        <f aca="false">IF(A871="","",IF(AND(ISNUMBER(T871),ISNUMBER(U871)),IF(AND(T871&lt;=3,U871&lt;=3),"○","×"),""))</f>
        <v>×</v>
      </c>
      <c r="W871" s="8" t="n">
        <v>160</v>
      </c>
      <c r="X871" s="8"/>
      <c r="Y871" s="4" t="s">
        <v>7597</v>
      </c>
      <c r="Z871" s="8" t="s">
        <v>8065</v>
      </c>
      <c r="AA871" s="8" t="str">
        <v/>
      </c>
      <c r="AB871" s="8" t="str">
        <v/>
      </c>
      <c r="AC871" s="8" t="str">
        <v/>
      </c>
      <c r="AD871" s="8" t="str">
        <v/>
      </c>
      <c r="AE871" s="8" t="str">
        <v/>
      </c>
      <c r="AF871" s="8" t="str">
        <v/>
      </c>
      <c r="AG871" s="8" t="str">
        <v/>
      </c>
      <c r="AH871" s="8" t="str">
        <v/>
      </c>
      <c r="AI871" s="8" t="n">
        <v>8</v>
      </c>
      <c r="AJ871" s="8" t="str">
        <v>60～69</v>
      </c>
      <c r="AK871" s="8" t="str">
        <v>0～4</v>
      </c>
      <c r="AL871" s="8" t="str">
        <v>0～9</v>
      </c>
      <c r="AM871" s="8" t="str">
        <v>100～119</v>
      </c>
      <c r="AN871" s="8" t="str">
        <v>15以上</v>
      </c>
      <c r="AO871" s="8" t="str">
        <f aca="false">IF(A871="","",IF(COUNTIFS(全馬データ!$A$2:$A$50000,A871,全馬データ!$B$2:$B$50000,B871,全馬データ!$C$2:$C$50000,C871,全馬データ!$D$2:$D$50000,E871,全馬データ!$K$2:$K$50000,"&lt;&gt;")=0,"",SUMIFS(全馬データ!$K$2:$K$50000,全馬データ!$A$2:$A$50000,A871,全馬データ!$B$2:$B$50000,B871,全馬データ!$C$2:$C$50000,C871,全馬データ!$D$2:$D$50000,E871)))</f>
        <v/>
      </c>
      <c r="AP871" s="8" t="str">
        <f aca="false">IF(A871="","",IF(AO871="","欠損",IF(AO871&lt;=1.1,"1.0～1.1",IF(AO871&lt;1.3,"1.2",IF(AO871&lt;1.5,"1.3～1.4",IF(AO871&lt;2,"1.5～1.9","2.0以上"))))))</f>
        <v>欠損</v>
      </c>
      <c r="AQ871" s="8" t="str">
        <f aca="false">IF(A871="","",IF(ISNUMBER(SEARCH("2歳",Z871)),"2歳戦",IF(ISNUMBER(SEARCH("3歳未勝利",Z871)),"3歳未勝利",IF(ISNUMBER(SEARCH("未勝利",Z871)),"その他未勝利",IF(ISNUMBER(SEARCH("G1",Z871)),"G1",IF(ISNUMBER(SEARCH("G2",Z871)),"G2",IF(ISNUMBER(SEARCH("G3",Z871)),"G3",IF(ISNUMBER(SEARCH("古馬条件",Z871)),"古馬条件戦",IF(ISNUMBER(SEARCH("重賞",Z871)),"重賞","分類不能")))))))))</f>
        <v>分類不能</v>
      </c>
      <c r="AR871" s="8"/>
      <c r="AS871" s="8" t="s">
        <v>7623</v>
      </c>
      <c r="AT871" s="8" t="s">
        <v>7624</v>
      </c>
      <c r="AU871" s="8" t="s">
        <v>7600</v>
      </c>
      <c r="AV871" s="4" t="s">
        <v>7601</v>
      </c>
      <c r="AW871" s="8"/>
      <c r="AX871" s="8"/>
      <c r="AY871" s="8" t="s">
        <v>7610</v>
      </c>
      <c r="AZ871" s="4" t="s">
        <v>7617</v>
      </c>
      <c r="BA871" s="8" t="n">
        <v>1400</v>
      </c>
      <c r="BB871" s="8" t="s">
        <v>7634</v>
      </c>
      <c r="BC871" s="4" t="s">
        <v>7604</v>
      </c>
      <c r="BD871" s="8" t="s">
        <v>7605</v>
      </c>
      <c r="BE871" s="4" t="s">
        <v>7606</v>
      </c>
      <c r="BF871" s="8" t="s">
        <v>7607</v>
      </c>
      <c r="BG871" s="8" t="s">
        <v>7608</v>
      </c>
      <c r="BH871" s="4" t="s">
        <v>7609</v>
      </c>
      <c r="BI871" s="8" t="n">
        <v>16</v>
      </c>
      <c r="BJ871" s="8" t="s">
        <v>7610</v>
      </c>
      <c r="BK871" s="4" t="s">
        <v>7611</v>
      </c>
      <c r="BL871" s="8" t="s">
        <v>7602</v>
      </c>
      <c r="BM871" s="4" t="s">
        <v>7620</v>
      </c>
      <c r="BN871" s="8"/>
      <c r="BO871" s="8"/>
      <c r="BP871" s="8" t="s">
        <v>7610</v>
      </c>
      <c r="BQ871" s="8" t="str">
        <f aca="false">IF(A871="","",AT871)</f>
        <v>3歳</v>
      </c>
      <c r="BR871" s="8" t="str">
        <f aca="false">IF(A871="","",IF(BA871&lt;=1200,"～1200",IF(BA871&lt;=1500,"1300～1500",IF(BA871=1600,"1600",IF(BA871&lt;=1800,"1700～1800",IF(BA871&lt;=2000,"1900～2000","2100以上"))))))</f>
        <v>1300～1500</v>
      </c>
      <c r="BS871" s="8" t="str">
        <f aca="false">IF(A871="","",IF(AX871="G1","G1",IF(AX871="G2","G2",IF(AX871="G3","G3",IF(AX871="L","L","その他")))))</f>
        <v>その他</v>
      </c>
      <c r="BT871" s="8" t="str">
        <f aca="false">IF(A871="","",IF(BI871="","未結合",IF(D871=BI871,"一致","不一致")))</f>
        <v>一致</v>
      </c>
      <c r="BU871" s="8" t="str">
        <f aca="false">IF(A871="","",IF(BE871="牝馬限定","牝馬限定","その他"))</f>
        <v>その他</v>
      </c>
    </row>
    <row r="872" customFormat="false" ht="15.75" hidden="false" customHeight="false" outlineLevel="0" collapsed="false">
      <c r="A872" s="6" t="n">
        <f aca="false">DATE(2026,8,16)</f>
        <v>46250</v>
      </c>
      <c r="B872" s="4" t="s">
        <v>179</v>
      </c>
      <c r="C872" s="8" t="n">
        <v>6</v>
      </c>
      <c r="D872" s="8" t="n">
        <v>7</v>
      </c>
      <c r="E872" s="8" t="n">
        <v>2</v>
      </c>
      <c r="F872" s="4" t="s">
        <v>4188</v>
      </c>
      <c r="G872" s="8" t="n">
        <v>67</v>
      </c>
      <c r="H872" s="8" t="n">
        <v>6</v>
      </c>
      <c r="I872" s="4" t="s">
        <v>6135</v>
      </c>
      <c r="J872" s="8" t="n">
        <v>50</v>
      </c>
      <c r="K872" s="8" t="n">
        <v>1</v>
      </c>
      <c r="L872" s="4" t="s">
        <v>6755</v>
      </c>
      <c r="M872" s="8" t="n">
        <v>39</v>
      </c>
      <c r="N872" s="8" t="n">
        <f aca="false">IF(A872="","",G872-J872)</f>
        <v>17</v>
      </c>
      <c r="O872" s="8" t="n">
        <f aca="false">IF(A872="","",J872-M872)</f>
        <v>11</v>
      </c>
      <c r="P872" s="8" t="n">
        <f aca="false">IF(A872="","",G872+J872)</f>
        <v>117</v>
      </c>
      <c r="Q872" s="8" t="str">
        <f aca="false">IF(A872="","",IF(AND(Y872&lt;&gt;"参考",G872&gt;=ルール設定!$B$2),"○",""))</f>
        <v/>
      </c>
      <c r="R872" s="8" t="str">
        <f aca="false">IF(A872="","",IF(AND(Y872&lt;&gt;"参考",G872&gt;=ルール設定!$B$3,N872&gt;=ルール設定!$B$4),"○",""))</f>
        <v/>
      </c>
      <c r="S872" s="8" t="str">
        <f aca="false">IF(A872="","",IF(AND(Y872&lt;&gt;"参考",G872&gt;=ルール設定!$B$5,J872&gt;=ルール設定!$B$6,O872&gt;=ルール設定!$B$7),"○",""))</f>
        <v/>
      </c>
      <c r="T872" s="8" t="n">
        <v>4</v>
      </c>
      <c r="U872" s="8" t="n">
        <v>1</v>
      </c>
      <c r="V872" s="8" t="str">
        <f aca="false">IF(A872="","",IF(AND(ISNUMBER(T872),ISNUMBER(U872)),IF(AND(T872&lt;=3,U872&lt;=3),"○","×"),""))</f>
        <v>×</v>
      </c>
      <c r="W872" s="8"/>
      <c r="X872" s="8"/>
      <c r="Y872" s="4" t="s">
        <v>7597</v>
      </c>
      <c r="Z872" s="8" t="s">
        <v>8066</v>
      </c>
      <c r="AA872" s="8" t="str">
        <v/>
      </c>
      <c r="AB872" s="8" t="str">
        <v/>
      </c>
      <c r="AC872" s="8" t="str">
        <v/>
      </c>
      <c r="AD872" s="8" t="str">
        <v/>
      </c>
      <c r="AE872" s="8" t="str">
        <v/>
      </c>
      <c r="AF872" s="8" t="str">
        <v/>
      </c>
      <c r="AG872" s="8" t="str">
        <v/>
      </c>
      <c r="AH872" s="8" t="str">
        <v/>
      </c>
      <c r="AI872" s="8" t="n">
        <v>28</v>
      </c>
      <c r="AJ872" s="8" t="str">
        <v>60～69</v>
      </c>
      <c r="AK872" s="8" t="str">
        <v>10～19</v>
      </c>
      <c r="AL872" s="8" t="str">
        <v>20～29</v>
      </c>
      <c r="AM872" s="8" t="str">
        <v>100～119</v>
      </c>
      <c r="AN872" s="8" t="str">
        <v>7以下</v>
      </c>
      <c r="AO872" s="8" t="str">
        <f aca="false">IF(A872="","",IF(COUNTIFS(全馬データ!$A$2:$A$50000,A872,全馬データ!$B$2:$B$50000,B872,全馬データ!$C$2:$C$50000,C872,全馬データ!$D$2:$D$50000,E872,全馬データ!$K$2:$K$50000,"&lt;&gt;")=0,"",SUMIFS(全馬データ!$K$2:$K$50000,全馬データ!$A$2:$A$50000,A872,全馬データ!$B$2:$B$50000,B872,全馬データ!$C$2:$C$50000,C872,全馬データ!$D$2:$D$50000,E872)))</f>
        <v/>
      </c>
      <c r="AP872" s="8" t="str">
        <f aca="false">IF(A872="","",IF(AO872="","欠損",IF(AO872&lt;=1.1,"1.0～1.1",IF(AO872&lt;1.3,"1.2",IF(AO872&lt;1.5,"1.3～1.4",IF(AO872&lt;2,"1.5～1.9","2.0以上"))))))</f>
        <v>欠損</v>
      </c>
      <c r="AQ872" s="8" t="str">
        <f aca="false">IF(A872="","",IF(ISNUMBER(SEARCH("2歳",Z872)),"2歳戦",IF(ISNUMBER(SEARCH("3歳未勝利",Z872)),"3歳未勝利",IF(ISNUMBER(SEARCH("未勝利",Z872)),"その他未勝利",IF(ISNUMBER(SEARCH("G1",Z872)),"G1",IF(ISNUMBER(SEARCH("G2",Z872)),"G2",IF(ISNUMBER(SEARCH("G3",Z872)),"G3",IF(ISNUMBER(SEARCH("古馬条件",Z872)),"古馬条件戦",IF(ISNUMBER(SEARCH("重賞",Z872)),"重賞","分類不能")))))))))</f>
        <v>分類不能</v>
      </c>
      <c r="AR872" s="4" t="s">
        <v>8067</v>
      </c>
      <c r="AS872" s="8" t="s">
        <v>7626</v>
      </c>
      <c r="AT872" s="8" t="s">
        <v>7627</v>
      </c>
      <c r="AU872" s="8" t="s">
        <v>7634</v>
      </c>
      <c r="AV872" s="8" t="s">
        <v>7635</v>
      </c>
      <c r="AW872" s="8" t="s">
        <v>7636</v>
      </c>
      <c r="AX872" s="4" t="s">
        <v>7637</v>
      </c>
      <c r="AY872" s="8" t="s">
        <v>7602</v>
      </c>
      <c r="AZ872" s="4" t="s">
        <v>7603</v>
      </c>
      <c r="BA872" s="8" t="n">
        <v>2000</v>
      </c>
      <c r="BB872" s="8" t="s">
        <v>7598</v>
      </c>
      <c r="BC872" s="4" t="s">
        <v>7604</v>
      </c>
      <c r="BD872" s="8" t="s">
        <v>7621</v>
      </c>
      <c r="BE872" s="4" t="s">
        <v>7622</v>
      </c>
      <c r="BF872" s="8" t="s">
        <v>7602</v>
      </c>
      <c r="BG872" s="8" t="s">
        <v>7631</v>
      </c>
      <c r="BH872" s="4" t="s">
        <v>7632</v>
      </c>
      <c r="BI872" s="8" t="n">
        <v>7</v>
      </c>
      <c r="BJ872" s="8" t="s">
        <v>7610</v>
      </c>
      <c r="BK872" s="4" t="s">
        <v>7611</v>
      </c>
      <c r="BL872" s="8" t="s">
        <v>7602</v>
      </c>
      <c r="BM872" s="4" t="s">
        <v>7620</v>
      </c>
      <c r="BN872" s="8" t="s">
        <v>7602</v>
      </c>
      <c r="BO872" s="8" t="s">
        <v>7613</v>
      </c>
      <c r="BP872" s="8" t="s">
        <v>7610</v>
      </c>
      <c r="BQ872" s="8" t="str">
        <f aca="false">IF(A872="","",AT872)</f>
        <v>3歳以上</v>
      </c>
      <c r="BR872" s="8" t="str">
        <f aca="false">IF(A872="","",IF(BA872&lt;=1200,"～1200",IF(BA872&lt;=1500,"1300～1500",IF(BA872=1600,"1600",IF(BA872&lt;=1800,"1700～1800",IF(BA872&lt;=2000,"1900～2000","2100以上"))))))</f>
        <v>1900～2000</v>
      </c>
      <c r="BS872" s="8" t="str">
        <f aca="false">IF(A872="","",IF(AX872="G1","G1",IF(AX872="G2","G2",IF(AX872="G3","G3",IF(AX872="L","L","その他")))))</f>
        <v>その他</v>
      </c>
      <c r="BT872" s="8" t="str">
        <f aca="false">IF(A872="","",IF(BI872="","未結合",IF(D872=BI872,"一致","不一致")))</f>
        <v>一致</v>
      </c>
      <c r="BU872" s="8" t="str">
        <f aca="false">IF(A872="","",IF(BE872="牝馬限定","牝馬限定","その他"))</f>
        <v>牝馬限定</v>
      </c>
    </row>
    <row r="873" customFormat="false" ht="15.75" hidden="false" customHeight="false" outlineLevel="0" collapsed="false">
      <c r="A873" s="6" t="n">
        <f aca="false">DATE(2026,8,16)</f>
        <v>46250</v>
      </c>
      <c r="B873" s="4" t="s">
        <v>179</v>
      </c>
      <c r="C873" s="8" t="n">
        <v>7</v>
      </c>
      <c r="D873" s="8" t="n">
        <v>16</v>
      </c>
      <c r="E873" s="8" t="n">
        <v>12</v>
      </c>
      <c r="F873" s="4" t="s">
        <v>6761</v>
      </c>
      <c r="G873" s="8" t="n">
        <v>50</v>
      </c>
      <c r="H873" s="8" t="n">
        <v>7</v>
      </c>
      <c r="I873" s="4" t="s">
        <v>4969</v>
      </c>
      <c r="J873" s="8" t="n">
        <v>44</v>
      </c>
      <c r="K873" s="8" t="n">
        <v>5</v>
      </c>
      <c r="L873" s="4" t="s">
        <v>4215</v>
      </c>
      <c r="M873" s="8" t="n">
        <v>41</v>
      </c>
      <c r="N873" s="8" t="n">
        <f aca="false">IF(A873="","",G873-J873)</f>
        <v>6</v>
      </c>
      <c r="O873" s="8" t="n">
        <f aca="false">IF(A873="","",J873-M873)</f>
        <v>3</v>
      </c>
      <c r="P873" s="8" t="n">
        <f aca="false">IF(A873="","",G873+J873)</f>
        <v>94</v>
      </c>
      <c r="Q873" s="8" t="str">
        <f aca="false">IF(A873="","",IF(AND(Y873&lt;&gt;"参考",G873&gt;=ルール設定!$B$2),"○",""))</f>
        <v/>
      </c>
      <c r="R873" s="8" t="str">
        <f aca="false">IF(A873="","",IF(AND(Y873&lt;&gt;"参考",G873&gt;=ルール設定!$B$3,N873&gt;=ルール設定!$B$4),"○",""))</f>
        <v/>
      </c>
      <c r="S873" s="8" t="str">
        <f aca="false">IF(A873="","",IF(AND(Y873&lt;&gt;"参考",G873&gt;=ルール設定!$B$5,J873&gt;=ルール設定!$B$6,O873&gt;=ルール設定!$B$7),"○",""))</f>
        <v/>
      </c>
      <c r="T873" s="8" t="n">
        <v>3</v>
      </c>
      <c r="U873" s="8" t="n">
        <v>4</v>
      </c>
      <c r="V873" s="8" t="str">
        <f aca="false">IF(A873="","",IF(AND(ISNUMBER(T873),ISNUMBER(U873)),IF(AND(T873&lt;=3,U873&lt;=3),"○","×"),""))</f>
        <v>×</v>
      </c>
      <c r="W873" s="8" t="n">
        <v>150</v>
      </c>
      <c r="X873" s="8"/>
      <c r="Y873" s="4" t="s">
        <v>7597</v>
      </c>
      <c r="Z873" s="8" t="s">
        <v>8068</v>
      </c>
      <c r="AA873" s="8" t="str">
        <v/>
      </c>
      <c r="AB873" s="8" t="str">
        <v/>
      </c>
      <c r="AC873" s="8" t="str">
        <v/>
      </c>
      <c r="AD873" s="8" t="str">
        <v/>
      </c>
      <c r="AE873" s="8" t="str">
        <v/>
      </c>
      <c r="AF873" s="8" t="str">
        <v/>
      </c>
      <c r="AG873" s="8" t="str">
        <v/>
      </c>
      <c r="AH873" s="8" t="str">
        <v/>
      </c>
      <c r="AI873" s="8" t="n">
        <v>9</v>
      </c>
      <c r="AJ873" s="8" t="str">
        <v>～59</v>
      </c>
      <c r="AK873" s="8" t="str">
        <v>5～9</v>
      </c>
      <c r="AL873" s="8" t="str">
        <v>0～9</v>
      </c>
      <c r="AM873" s="8" t="str">
        <v>～99</v>
      </c>
      <c r="AN873" s="8" t="str">
        <v>15以上</v>
      </c>
      <c r="AO873" s="8" t="str">
        <f aca="false">IF(A873="","",IF(COUNTIFS(全馬データ!$A$2:$A$50000,A873,全馬データ!$B$2:$B$50000,B873,全馬データ!$C$2:$C$50000,C873,全馬データ!$D$2:$D$50000,E873,全馬データ!$K$2:$K$50000,"&lt;&gt;")=0,"",SUMIFS(全馬データ!$K$2:$K$50000,全馬データ!$A$2:$A$50000,A873,全馬データ!$B$2:$B$50000,B873,全馬データ!$C$2:$C$50000,C873,全馬データ!$D$2:$D$50000,E873)))</f>
        <v/>
      </c>
      <c r="AP873" s="8" t="str">
        <f aca="false">IF(A873="","",IF(AO873="","欠損",IF(AO873&lt;=1.1,"1.0～1.1",IF(AO873&lt;1.3,"1.2",IF(AO873&lt;1.5,"1.3～1.4",IF(AO873&lt;2,"1.5～1.9","2.0以上"))))))</f>
        <v>欠損</v>
      </c>
      <c r="AQ873" s="8" t="str">
        <f aca="false">IF(A873="","",IF(ISNUMBER(SEARCH("2歳",Z873)),"2歳戦",IF(ISNUMBER(SEARCH("3歳未勝利",Z873)),"3歳未勝利",IF(ISNUMBER(SEARCH("未勝利",Z873)),"その他未勝利",IF(ISNUMBER(SEARCH("G1",Z873)),"G1",IF(ISNUMBER(SEARCH("G2",Z873)),"G2",IF(ISNUMBER(SEARCH("G3",Z873)),"G3",IF(ISNUMBER(SEARCH("古馬条件",Z873)),"古馬条件戦",IF(ISNUMBER(SEARCH("重賞",Z873)),"重賞","分類不能")))))))))</f>
        <v>分類不能</v>
      </c>
      <c r="AR873" s="4" t="s">
        <v>8069</v>
      </c>
      <c r="AS873" s="8" t="s">
        <v>7626</v>
      </c>
      <c r="AT873" s="8" t="s">
        <v>7627</v>
      </c>
      <c r="AU873" s="8" t="s">
        <v>7643</v>
      </c>
      <c r="AV873" s="4" t="s">
        <v>7644</v>
      </c>
      <c r="AW873" s="8" t="s">
        <v>7608</v>
      </c>
      <c r="AX873" s="8" t="s">
        <v>7664</v>
      </c>
      <c r="AY873" s="8" t="s">
        <v>7602</v>
      </c>
      <c r="AZ873" s="4" t="s">
        <v>7603</v>
      </c>
      <c r="BA873" s="8" t="n">
        <v>1600</v>
      </c>
      <c r="BB873" s="8" t="s">
        <v>7598</v>
      </c>
      <c r="BC873" s="4" t="s">
        <v>7604</v>
      </c>
      <c r="BD873" s="8" t="s">
        <v>7666</v>
      </c>
      <c r="BE873" s="4" t="s">
        <v>7606</v>
      </c>
      <c r="BF873" s="8" t="s">
        <v>7607</v>
      </c>
      <c r="BG873" s="8" t="s">
        <v>7610</v>
      </c>
      <c r="BH873" s="4" t="s">
        <v>7646</v>
      </c>
      <c r="BI873" s="8" t="n">
        <v>16</v>
      </c>
      <c r="BJ873" s="8" t="s">
        <v>7610</v>
      </c>
      <c r="BK873" s="4" t="s">
        <v>7611</v>
      </c>
      <c r="BL873" s="8" t="s">
        <v>7602</v>
      </c>
      <c r="BM873" s="4" t="s">
        <v>7620</v>
      </c>
      <c r="BN873" s="8" t="s">
        <v>7602</v>
      </c>
      <c r="BO873" s="8" t="s">
        <v>7613</v>
      </c>
      <c r="BP873" s="8" t="s">
        <v>7610</v>
      </c>
      <c r="BQ873" s="8" t="str">
        <f aca="false">IF(A873="","",AT873)</f>
        <v>3歳以上</v>
      </c>
      <c r="BR873" s="8" t="str">
        <f aca="false">IF(A873="","",IF(BA873&lt;=1200,"～1200",IF(BA873&lt;=1500,"1300～1500",IF(BA873=1600,"1600",IF(BA873&lt;=1800,"1700～1800",IF(BA873&lt;=2000,"1900～2000","2100以上"))))))</f>
        <v>1600</v>
      </c>
      <c r="BS873" s="8" t="str">
        <f aca="false">IF(A873="","",IF(AX873="G1","G1",IF(AX873="G2","G2",IF(AX873="G3","G3",IF(AX873="L","L","その他")))))</f>
        <v>G3</v>
      </c>
      <c r="BT873" s="8" t="str">
        <f aca="false">IF(A873="","",IF(BI873="","未結合",IF(D873=BI873,"一致","不一致")))</f>
        <v>一致</v>
      </c>
      <c r="BU873" s="8" t="str">
        <f aca="false">IF(A873="","",IF(BE873="牝馬限定","牝馬限定","その他"))</f>
        <v>その他</v>
      </c>
    </row>
    <row r="874" customFormat="false" ht="15.75" hidden="false" customHeight="false" outlineLevel="0" collapsed="false">
      <c r="A874" s="6" t="n">
        <f aca="false">DATE(2026,8,16)</f>
        <v>46250</v>
      </c>
      <c r="B874" s="4" t="s">
        <v>179</v>
      </c>
      <c r="C874" s="8" t="n">
        <v>9</v>
      </c>
      <c r="D874" s="8" t="n">
        <v>18</v>
      </c>
      <c r="E874" s="8" t="n">
        <v>3</v>
      </c>
      <c r="F874" s="4" t="s">
        <v>2458</v>
      </c>
      <c r="G874" s="8" t="n">
        <v>47</v>
      </c>
      <c r="H874" s="8" t="n">
        <v>6</v>
      </c>
      <c r="I874" s="4" t="s">
        <v>654</v>
      </c>
      <c r="J874" s="8" t="n">
        <v>44</v>
      </c>
      <c r="K874" s="8" t="n">
        <v>14</v>
      </c>
      <c r="L874" s="4" t="s">
        <v>653</v>
      </c>
      <c r="M874" s="8" t="n">
        <v>44</v>
      </c>
      <c r="N874" s="8" t="n">
        <f aca="false">IF(A874="","",G874-J874)</f>
        <v>3</v>
      </c>
      <c r="O874" s="8" t="n">
        <f aca="false">IF(A874="","",J874-M874)</f>
        <v>0</v>
      </c>
      <c r="P874" s="8" t="n">
        <f aca="false">IF(A874="","",G874+J874)</f>
        <v>91</v>
      </c>
      <c r="Q874" s="8" t="str">
        <f aca="false">IF(A874="","",IF(AND(Y874&lt;&gt;"参考",G874&gt;=ルール設定!$B$2),"○",""))</f>
        <v/>
      </c>
      <c r="R874" s="8" t="str">
        <f aca="false">IF(A874="","",IF(AND(Y874&lt;&gt;"参考",G874&gt;=ルール設定!$B$3,N874&gt;=ルール設定!$B$4),"○",""))</f>
        <v/>
      </c>
      <c r="S874" s="8" t="str">
        <f aca="false">IF(A874="","",IF(AND(Y874&lt;&gt;"参考",G874&gt;=ルール設定!$B$5,J874&gt;=ルール設定!$B$6,O874&gt;=ルール設定!$B$7),"○",""))</f>
        <v/>
      </c>
      <c r="T874" s="8" t="n">
        <v>1</v>
      </c>
      <c r="U874" s="8" t="n">
        <v>4</v>
      </c>
      <c r="V874" s="8" t="str">
        <f aca="false">IF(A874="","",IF(AND(ISNUMBER(T874),ISNUMBER(U874)),IF(AND(T874&lt;=3,U874&lt;=3),"○","×"),""))</f>
        <v>×</v>
      </c>
      <c r="W874" s="8" t="n">
        <v>160</v>
      </c>
      <c r="X874" s="8"/>
      <c r="Y874" s="4" t="s">
        <v>7597</v>
      </c>
      <c r="Z874" s="8" t="s">
        <v>8070</v>
      </c>
      <c r="AA874" s="8" t="str">
        <v/>
      </c>
      <c r="AB874" s="8" t="str">
        <v/>
      </c>
      <c r="AC874" s="8" t="str">
        <v/>
      </c>
      <c r="AD874" s="8" t="str">
        <v/>
      </c>
      <c r="AE874" s="8" t="str">
        <v/>
      </c>
      <c r="AF874" s="8" t="str">
        <v/>
      </c>
      <c r="AG874" s="8" t="str">
        <v/>
      </c>
      <c r="AH874" s="8" t="str">
        <v/>
      </c>
      <c r="AI874" s="8" t="n">
        <v>3</v>
      </c>
      <c r="AJ874" s="8" t="str">
        <v>～59</v>
      </c>
      <c r="AK874" s="8" t="str">
        <v>0～4</v>
      </c>
      <c r="AL874" s="8" t="str">
        <v>0～9</v>
      </c>
      <c r="AM874" s="8" t="str">
        <v>～99</v>
      </c>
      <c r="AN874" s="8" t="str">
        <v>15以上</v>
      </c>
      <c r="AO874" s="8" t="str">
        <f aca="false">IF(A874="","",IF(COUNTIFS(全馬データ!$A$2:$A$50000,A874,全馬データ!$B$2:$B$50000,B874,全馬データ!$C$2:$C$50000,C874,全馬データ!$D$2:$D$50000,E874,全馬データ!$K$2:$K$50000,"&lt;&gt;")=0,"",SUMIFS(全馬データ!$K$2:$K$50000,全馬データ!$A$2:$A$50000,A874,全馬データ!$B$2:$B$50000,B874,全馬データ!$C$2:$C$50000,C874,全馬データ!$D$2:$D$50000,E874)))</f>
        <v/>
      </c>
      <c r="AP874" s="8" t="str">
        <f aca="false">IF(A874="","",IF(AO874="","欠損",IF(AO874&lt;=1.1,"1.0～1.1",IF(AO874&lt;1.3,"1.2",IF(AO874&lt;1.5,"1.3～1.4",IF(AO874&lt;2,"1.5～1.9","2.0以上"))))))</f>
        <v>欠損</v>
      </c>
      <c r="AQ874" s="8" t="str">
        <f aca="false">IF(A874="","",IF(ISNUMBER(SEARCH("2歳",Z874)),"2歳戦",IF(ISNUMBER(SEARCH("3歳未勝利",Z874)),"3歳未勝利",IF(ISNUMBER(SEARCH("未勝利",Z874)),"その他未勝利",IF(ISNUMBER(SEARCH("G1",Z874)),"G1",IF(ISNUMBER(SEARCH("G2",Z874)),"G2",IF(ISNUMBER(SEARCH("G3",Z874)),"G3",IF(ISNUMBER(SEARCH("古馬条件",Z874)),"古馬条件戦",IF(ISNUMBER(SEARCH("重賞",Z874)),"重賞","分類不能")))))))))</f>
        <v>分類不能</v>
      </c>
      <c r="AR874" s="8"/>
      <c r="AS874" s="8" t="s">
        <v>7623</v>
      </c>
      <c r="AT874" s="8" t="s">
        <v>7624</v>
      </c>
      <c r="AU874" s="8" t="s">
        <v>7600</v>
      </c>
      <c r="AV874" s="4" t="s">
        <v>7601</v>
      </c>
      <c r="AW874" s="8"/>
      <c r="AX874" s="8"/>
      <c r="AY874" s="8" t="s">
        <v>7602</v>
      </c>
      <c r="AZ874" s="4" t="s">
        <v>7603</v>
      </c>
      <c r="BA874" s="8" t="n">
        <v>2200</v>
      </c>
      <c r="BB874" s="8" t="s">
        <v>7598</v>
      </c>
      <c r="BC874" s="4" t="s">
        <v>7604</v>
      </c>
      <c r="BD874" s="8" t="s">
        <v>7605</v>
      </c>
      <c r="BE874" s="4" t="s">
        <v>7606</v>
      </c>
      <c r="BF874" s="8" t="s">
        <v>7607</v>
      </c>
      <c r="BG874" s="8" t="s">
        <v>7608</v>
      </c>
      <c r="BH874" s="4" t="s">
        <v>7609</v>
      </c>
      <c r="BI874" s="8" t="n">
        <v>18</v>
      </c>
      <c r="BJ874" s="8" t="s">
        <v>7610</v>
      </c>
      <c r="BK874" s="4" t="s">
        <v>7611</v>
      </c>
      <c r="BL874" s="8" t="s">
        <v>7602</v>
      </c>
      <c r="BM874" s="4" t="s">
        <v>7620</v>
      </c>
      <c r="BN874" s="8" t="s">
        <v>7602</v>
      </c>
      <c r="BO874" s="8" t="s">
        <v>7613</v>
      </c>
      <c r="BP874" s="8" t="s">
        <v>7610</v>
      </c>
      <c r="BQ874" s="8" t="str">
        <f aca="false">IF(A874="","",AT874)</f>
        <v>3歳</v>
      </c>
      <c r="BR874" s="8" t="str">
        <f aca="false">IF(A874="","",IF(BA874&lt;=1200,"～1200",IF(BA874&lt;=1500,"1300～1500",IF(BA874=1600,"1600",IF(BA874&lt;=1800,"1700～1800",IF(BA874&lt;=2000,"1900～2000","2100以上"))))))</f>
        <v>2100以上</v>
      </c>
      <c r="BS874" s="8" t="str">
        <f aca="false">IF(A874="","",IF(AX874="G1","G1",IF(AX874="G2","G2",IF(AX874="G3","G3",IF(AX874="L","L","その他")))))</f>
        <v>その他</v>
      </c>
      <c r="BT874" s="8" t="str">
        <f aca="false">IF(A874="","",IF(BI874="","未結合",IF(D874=BI874,"一致","不一致")))</f>
        <v>一致</v>
      </c>
      <c r="BU874" s="8" t="str">
        <f aca="false">IF(A874="","",IF(BE874="牝馬限定","牝馬限定","その他"))</f>
        <v>その他</v>
      </c>
    </row>
    <row r="875" customFormat="false" ht="15.75" hidden="false" customHeight="false" outlineLevel="0" collapsed="false">
      <c r="A875" s="6" t="n">
        <f aca="false">DATE(2026,8,16)</f>
        <v>46250</v>
      </c>
      <c r="B875" s="4" t="s">
        <v>179</v>
      </c>
      <c r="C875" s="8" t="n">
        <v>10</v>
      </c>
      <c r="D875" s="8" t="n">
        <v>16</v>
      </c>
      <c r="E875" s="8" t="n">
        <v>4</v>
      </c>
      <c r="F875" s="4" t="s">
        <v>6771</v>
      </c>
      <c r="G875" s="8" t="n">
        <v>66</v>
      </c>
      <c r="H875" s="8" t="n">
        <v>14</v>
      </c>
      <c r="I875" s="4" t="s">
        <v>4818</v>
      </c>
      <c r="J875" s="8" t="n">
        <v>47</v>
      </c>
      <c r="K875" s="8" t="n">
        <v>5</v>
      </c>
      <c r="L875" s="4" t="s">
        <v>4397</v>
      </c>
      <c r="M875" s="8" t="n">
        <v>29</v>
      </c>
      <c r="N875" s="8" t="n">
        <f aca="false">IF(A875="","",G875-J875)</f>
        <v>19</v>
      </c>
      <c r="O875" s="8" t="n">
        <f aca="false">IF(A875="","",J875-M875)</f>
        <v>18</v>
      </c>
      <c r="P875" s="8" t="n">
        <f aca="false">IF(A875="","",G875+J875)</f>
        <v>113</v>
      </c>
      <c r="Q875" s="8" t="str">
        <f aca="false">IF(A875="","",IF(AND(Y875&lt;&gt;"参考",G875&gt;=ルール設定!$B$2),"○",""))</f>
        <v/>
      </c>
      <c r="R875" s="8" t="str">
        <f aca="false">IF(A875="","",IF(AND(Y875&lt;&gt;"参考",G875&gt;=ルール設定!$B$3,N875&gt;=ルール設定!$B$4),"○",""))</f>
        <v/>
      </c>
      <c r="S875" s="8" t="str">
        <f aca="false">IF(A875="","",IF(AND(Y875&lt;&gt;"参考",G875&gt;=ルール設定!$B$5,J875&gt;=ルール設定!$B$6,O875&gt;=ルール設定!$B$7),"○",""))</f>
        <v/>
      </c>
      <c r="T875" s="8" t="n">
        <v>4</v>
      </c>
      <c r="U875" s="8" t="n">
        <v>4</v>
      </c>
      <c r="V875" s="8" t="str">
        <f aca="false">IF(A875="","",IF(AND(ISNUMBER(T875),ISNUMBER(U875)),IF(AND(T875&lt;=3,U875&lt;=3),"○","×"),""))</f>
        <v>×</v>
      </c>
      <c r="W875" s="8"/>
      <c r="X875" s="8"/>
      <c r="Y875" s="4" t="s">
        <v>7597</v>
      </c>
      <c r="Z875" s="8" t="s">
        <v>8071</v>
      </c>
      <c r="AA875" s="8" t="str">
        <v/>
      </c>
      <c r="AB875" s="8" t="str">
        <v/>
      </c>
      <c r="AC875" s="8" t="str">
        <v/>
      </c>
      <c r="AD875" s="8" t="str">
        <v/>
      </c>
      <c r="AE875" s="8" t="str">
        <v/>
      </c>
      <c r="AF875" s="8" t="str">
        <v/>
      </c>
      <c r="AG875" s="8" t="str">
        <v/>
      </c>
      <c r="AH875" s="8" t="str">
        <v/>
      </c>
      <c r="AI875" s="8" t="n">
        <v>37</v>
      </c>
      <c r="AJ875" s="8" t="str">
        <v>60～69</v>
      </c>
      <c r="AK875" s="8" t="str">
        <v>10～19</v>
      </c>
      <c r="AL875" s="8" t="str">
        <v>30～39</v>
      </c>
      <c r="AM875" s="8" t="str">
        <v>100～119</v>
      </c>
      <c r="AN875" s="8" t="str">
        <v>15以上</v>
      </c>
      <c r="AO875" s="8" t="str">
        <f aca="false">IF(A875="","",IF(COUNTIFS(全馬データ!$A$2:$A$50000,A875,全馬データ!$B$2:$B$50000,B875,全馬データ!$C$2:$C$50000,C875,全馬データ!$D$2:$D$50000,E875,全馬データ!$K$2:$K$50000,"&lt;&gt;")=0,"",SUMIFS(全馬データ!$K$2:$K$50000,全馬データ!$A$2:$A$50000,A875,全馬データ!$B$2:$B$50000,B875,全馬データ!$C$2:$C$50000,C875,全馬データ!$D$2:$D$50000,E875)))</f>
        <v/>
      </c>
      <c r="AP875" s="8" t="str">
        <f aca="false">IF(A875="","",IF(AO875="","欠損",IF(AO875&lt;=1.1,"1.0～1.1",IF(AO875&lt;1.3,"1.2",IF(AO875&lt;1.5,"1.3～1.4",IF(AO875&lt;2,"1.5～1.9","2.0以上"))))))</f>
        <v>欠損</v>
      </c>
      <c r="AQ875" s="8" t="str">
        <f aca="false">IF(A875="","",IF(ISNUMBER(SEARCH("2歳",Z875)),"2歳戦",IF(ISNUMBER(SEARCH("3歳未勝利",Z875)),"3歳未勝利",IF(ISNUMBER(SEARCH("未勝利",Z875)),"その他未勝利",IF(ISNUMBER(SEARCH("G1",Z875)),"G1",IF(ISNUMBER(SEARCH("G2",Z875)),"G2",IF(ISNUMBER(SEARCH("G3",Z875)),"G3",IF(ISNUMBER(SEARCH("古馬条件",Z875)),"古馬条件戦",IF(ISNUMBER(SEARCH("重賞",Z875)),"重賞","分類不能")))))))))</f>
        <v>分類不能</v>
      </c>
      <c r="AR875" s="8"/>
      <c r="AS875" s="8" t="s">
        <v>7626</v>
      </c>
      <c r="AT875" s="8" t="s">
        <v>7627</v>
      </c>
      <c r="AU875" s="8" t="s">
        <v>7628</v>
      </c>
      <c r="AV875" s="8" t="s">
        <v>7629</v>
      </c>
      <c r="AW875" s="8"/>
      <c r="AX875" s="8"/>
      <c r="AY875" s="8" t="s">
        <v>7610</v>
      </c>
      <c r="AZ875" s="4" t="s">
        <v>7617</v>
      </c>
      <c r="BA875" s="8" t="n">
        <v>1800</v>
      </c>
      <c r="BB875" s="8" t="s">
        <v>7634</v>
      </c>
      <c r="BC875" s="4" t="s">
        <v>7604</v>
      </c>
      <c r="BD875" s="8" t="s">
        <v>7621</v>
      </c>
      <c r="BE875" s="4" t="s">
        <v>7622</v>
      </c>
      <c r="BF875" s="8" t="s">
        <v>7602</v>
      </c>
      <c r="BG875" s="8" t="s">
        <v>7631</v>
      </c>
      <c r="BH875" s="4" t="s">
        <v>7632</v>
      </c>
      <c r="BI875" s="8" t="n">
        <v>16</v>
      </c>
      <c r="BJ875" s="8" t="s">
        <v>7610</v>
      </c>
      <c r="BK875" s="4" t="s">
        <v>7611</v>
      </c>
      <c r="BL875" s="8" t="s">
        <v>7602</v>
      </c>
      <c r="BM875" s="4" t="s">
        <v>7620</v>
      </c>
      <c r="BN875" s="8"/>
      <c r="BO875" s="8"/>
      <c r="BP875" s="8" t="s">
        <v>7610</v>
      </c>
      <c r="BQ875" s="8" t="str">
        <f aca="false">IF(A875="","",AT875)</f>
        <v>3歳以上</v>
      </c>
      <c r="BR875" s="8" t="str">
        <f aca="false">IF(A875="","",IF(BA875&lt;=1200,"～1200",IF(BA875&lt;=1500,"1300～1500",IF(BA875=1600,"1600",IF(BA875&lt;=1800,"1700～1800",IF(BA875&lt;=2000,"1900～2000","2100以上"))))))</f>
        <v>1700～1800</v>
      </c>
      <c r="BS875" s="8" t="str">
        <f aca="false">IF(A875="","",IF(AX875="G1","G1",IF(AX875="G2","G2",IF(AX875="G3","G3",IF(AX875="L","L","その他")))))</f>
        <v>その他</v>
      </c>
      <c r="BT875" s="8" t="str">
        <f aca="false">IF(A875="","",IF(BI875="","未結合",IF(D875=BI875,"一致","不一致")))</f>
        <v>一致</v>
      </c>
      <c r="BU875" s="8" t="str">
        <f aca="false">IF(A875="","",IF(BE875="牝馬限定","牝馬限定","その他"))</f>
        <v>牝馬限定</v>
      </c>
    </row>
    <row r="876" customFormat="false" ht="15.75" hidden="false" customHeight="false" outlineLevel="0" collapsed="false">
      <c r="A876" s="6" t="n">
        <f aca="false">DATE(2026,8,16)</f>
        <v>46250</v>
      </c>
      <c r="B876" s="4" t="s">
        <v>179</v>
      </c>
      <c r="C876" s="8" t="n">
        <v>11</v>
      </c>
      <c r="D876" s="8" t="n">
        <v>16</v>
      </c>
      <c r="E876" s="8" t="n">
        <v>7</v>
      </c>
      <c r="F876" s="4" t="s">
        <v>727</v>
      </c>
      <c r="G876" s="8" t="n">
        <v>67</v>
      </c>
      <c r="H876" s="8" t="n">
        <v>13</v>
      </c>
      <c r="I876" s="4" t="s">
        <v>729</v>
      </c>
      <c r="J876" s="8" t="n">
        <v>39</v>
      </c>
      <c r="K876" s="8" t="n">
        <v>2</v>
      </c>
      <c r="L876" s="4" t="s">
        <v>726</v>
      </c>
      <c r="M876" s="8" t="n">
        <v>31</v>
      </c>
      <c r="N876" s="8" t="n">
        <f aca="false">IF(A876="","",G876-J876)</f>
        <v>28</v>
      </c>
      <c r="O876" s="8" t="n">
        <f aca="false">IF(A876="","",J876-M876)</f>
        <v>8</v>
      </c>
      <c r="P876" s="8" t="n">
        <f aca="false">IF(A876="","",G876+J876)</f>
        <v>106</v>
      </c>
      <c r="Q876" s="8" t="str">
        <f aca="false">IF(A876="","",IF(AND(Y876&lt;&gt;"参考",G876&gt;=ルール設定!$B$2),"○",""))</f>
        <v/>
      </c>
      <c r="R876" s="8" t="str">
        <f aca="false">IF(A876="","",IF(AND(Y876&lt;&gt;"参考",G876&gt;=ルール設定!$B$3,N876&gt;=ルール設定!$B$4),"○",""))</f>
        <v/>
      </c>
      <c r="S876" s="8" t="str">
        <f aca="false">IF(A876="","",IF(AND(Y876&lt;&gt;"参考",G876&gt;=ルール設定!$B$5,J876&gt;=ルール設定!$B$6,O876&gt;=ルール設定!$B$7),"○",""))</f>
        <v/>
      </c>
      <c r="T876" s="8" t="n">
        <v>4</v>
      </c>
      <c r="U876" s="8" t="n">
        <v>4</v>
      </c>
      <c r="V876" s="8" t="str">
        <f aca="false">IF(A876="","",IF(AND(ISNUMBER(T876),ISNUMBER(U876)),IF(AND(T876&lt;=3,U876&lt;=3),"○","×"),""))</f>
        <v>×</v>
      </c>
      <c r="W876" s="8"/>
      <c r="X876" s="8"/>
      <c r="Y876" s="4" t="s">
        <v>7597</v>
      </c>
      <c r="Z876" s="8" t="s">
        <v>8072</v>
      </c>
      <c r="AA876" s="8" t="str">
        <v/>
      </c>
      <c r="AB876" s="8" t="str">
        <v/>
      </c>
      <c r="AC876" s="8" t="str">
        <v/>
      </c>
      <c r="AD876" s="8" t="str">
        <v/>
      </c>
      <c r="AE876" s="8" t="str">
        <v/>
      </c>
      <c r="AF876" s="8" t="str">
        <v/>
      </c>
      <c r="AG876" s="8" t="str">
        <v/>
      </c>
      <c r="AH876" s="8" t="str">
        <v/>
      </c>
      <c r="AI876" s="8" t="n">
        <v>36</v>
      </c>
      <c r="AJ876" s="8" t="str">
        <v>60～69</v>
      </c>
      <c r="AK876" s="8" t="str">
        <v>20～29</v>
      </c>
      <c r="AL876" s="8" t="str">
        <v>30～39</v>
      </c>
      <c r="AM876" s="8" t="str">
        <v>100～119</v>
      </c>
      <c r="AN876" s="8" t="str">
        <v>15以上</v>
      </c>
      <c r="AO876" s="8" t="str">
        <f aca="false">IF(A876="","",IF(COUNTIFS(全馬データ!$A$2:$A$50000,A876,全馬データ!$B$2:$B$50000,B876,全馬データ!$C$2:$C$50000,C876,全馬データ!$D$2:$D$50000,E876,全馬データ!$K$2:$K$50000,"&lt;&gt;")=0,"",SUMIFS(全馬データ!$K$2:$K$50000,全馬データ!$A$2:$A$50000,A876,全馬データ!$B$2:$B$50000,B876,全馬データ!$C$2:$C$50000,C876,全馬データ!$D$2:$D$50000,E876)))</f>
        <v/>
      </c>
      <c r="AP876" s="8" t="str">
        <f aca="false">IF(A876="","",IF(AO876="","欠損",IF(AO876&lt;=1.1,"1.0～1.1",IF(AO876&lt;1.3,"1.2",IF(AO876&lt;1.5,"1.3～1.4",IF(AO876&lt;2,"1.5～1.9","2.0以上"))))))</f>
        <v>欠損</v>
      </c>
      <c r="AQ876" s="8" t="str">
        <f aca="false">IF(A876="","",IF(ISNUMBER(SEARCH("2歳",Z876)),"2歳戦",IF(ISNUMBER(SEARCH("3歳未勝利",Z876)),"3歳未勝利",IF(ISNUMBER(SEARCH("未勝利",Z876)),"その他未勝利",IF(ISNUMBER(SEARCH("G1",Z876)),"G1",IF(ISNUMBER(SEARCH("G2",Z876)),"G2",IF(ISNUMBER(SEARCH("G3",Z876)),"G3",IF(ISNUMBER(SEARCH("古馬条件",Z876)),"古馬条件戦",IF(ISNUMBER(SEARCH("重賞",Z876)),"重賞","分類不能")))))))))</f>
        <v>分類不能</v>
      </c>
      <c r="AR876" s="8"/>
      <c r="AS876" s="8" t="s">
        <v>7626</v>
      </c>
      <c r="AT876" s="8" t="s">
        <v>7627</v>
      </c>
      <c r="AU876" s="8" t="s">
        <v>7628</v>
      </c>
      <c r="AV876" s="8" t="s">
        <v>7629</v>
      </c>
      <c r="AW876" s="8"/>
      <c r="AX876" s="8"/>
      <c r="AY876" s="8" t="s">
        <v>7602</v>
      </c>
      <c r="AZ876" s="4" t="s">
        <v>7603</v>
      </c>
      <c r="BA876" s="8" t="n">
        <v>1400</v>
      </c>
      <c r="BB876" s="8" t="s">
        <v>7598</v>
      </c>
      <c r="BC876" s="4" t="s">
        <v>7604</v>
      </c>
      <c r="BD876" s="8" t="s">
        <v>7605</v>
      </c>
      <c r="BE876" s="4" t="s">
        <v>7606</v>
      </c>
      <c r="BF876" s="8" t="s">
        <v>7607</v>
      </c>
      <c r="BG876" s="8" t="s">
        <v>7631</v>
      </c>
      <c r="BH876" s="4" t="s">
        <v>7632</v>
      </c>
      <c r="BI876" s="8" t="n">
        <v>16</v>
      </c>
      <c r="BJ876" s="8" t="s">
        <v>7610</v>
      </c>
      <c r="BK876" s="4" t="s">
        <v>7611</v>
      </c>
      <c r="BL876" s="8" t="s">
        <v>7602</v>
      </c>
      <c r="BM876" s="4" t="s">
        <v>7620</v>
      </c>
      <c r="BN876" s="8" t="s">
        <v>7602</v>
      </c>
      <c r="BO876" s="8" t="s">
        <v>7613</v>
      </c>
      <c r="BP876" s="8" t="s">
        <v>7610</v>
      </c>
      <c r="BQ876" s="8" t="str">
        <f aca="false">IF(A876="","",AT876)</f>
        <v>3歳以上</v>
      </c>
      <c r="BR876" s="8" t="str">
        <f aca="false">IF(A876="","",IF(BA876&lt;=1200,"～1200",IF(BA876&lt;=1500,"1300～1500",IF(BA876=1600,"1600",IF(BA876&lt;=1800,"1700～1800",IF(BA876&lt;=2000,"1900～2000","2100以上"))))))</f>
        <v>1300～1500</v>
      </c>
      <c r="BS876" s="8" t="str">
        <f aca="false">IF(A876="","",IF(AX876="G1","G1",IF(AX876="G2","G2",IF(AX876="G3","G3",IF(AX876="L","L","その他")))))</f>
        <v>その他</v>
      </c>
      <c r="BT876" s="8" t="str">
        <f aca="false">IF(A876="","",IF(BI876="","未結合",IF(D876=BI876,"一致","不一致")))</f>
        <v>一致</v>
      </c>
      <c r="BU876" s="8" t="str">
        <f aca="false">IF(A876="","",IF(BE876="牝馬限定","牝馬限定","その他"))</f>
        <v>その他</v>
      </c>
    </row>
    <row r="877" customFormat="false" ht="15.75" hidden="false" customHeight="false" outlineLevel="0" collapsed="false">
      <c r="A877" s="6" t="n">
        <f aca="false">DATE(2026,8,16)</f>
        <v>46250</v>
      </c>
      <c r="B877" s="4" t="s">
        <v>179</v>
      </c>
      <c r="C877" s="8" t="n">
        <v>12</v>
      </c>
      <c r="D877" s="8" t="n">
        <v>16</v>
      </c>
      <c r="E877" s="8" t="n">
        <v>13</v>
      </c>
      <c r="F877" s="4" t="s">
        <v>657</v>
      </c>
      <c r="G877" s="8" t="n">
        <v>75</v>
      </c>
      <c r="H877" s="8" t="n">
        <v>8</v>
      </c>
      <c r="I877" s="4" t="s">
        <v>6777</v>
      </c>
      <c r="J877" s="8" t="n">
        <v>65</v>
      </c>
      <c r="K877" s="8" t="n">
        <v>11</v>
      </c>
      <c r="L877" s="4" t="s">
        <v>2062</v>
      </c>
      <c r="M877" s="8" t="n">
        <v>41</v>
      </c>
      <c r="N877" s="8" t="n">
        <f aca="false">IF(A877="","",G877-J877)</f>
        <v>10</v>
      </c>
      <c r="O877" s="8" t="n">
        <f aca="false">IF(A877="","",J877-M877)</f>
        <v>24</v>
      </c>
      <c r="P877" s="8" t="n">
        <f aca="false">IF(A877="","",G877+J877)</f>
        <v>140</v>
      </c>
      <c r="Q877" s="8" t="str">
        <f aca="false">IF(A877="","",IF(AND(Y877&lt;&gt;"参考",G877&gt;=ルール設定!$B$2),"○",""))</f>
        <v/>
      </c>
      <c r="R877" s="8" t="str">
        <f aca="false">IF(A877="","",IF(AND(Y877&lt;&gt;"参考",G877&gt;=ルール設定!$B$3,N877&gt;=ルール設定!$B$4),"○",""))</f>
        <v/>
      </c>
      <c r="S877" s="8" t="str">
        <f aca="false">IF(A877="","",IF(AND(Y877&lt;&gt;"参考",G877&gt;=ルール設定!$B$5,J877&gt;=ルール設定!$B$6,O877&gt;=ルール設定!$B$7),"○",""))</f>
        <v>○</v>
      </c>
      <c r="T877" s="8" t="n">
        <v>1</v>
      </c>
      <c r="U877" s="8" t="n">
        <v>4</v>
      </c>
      <c r="V877" s="8" t="str">
        <f aca="false">IF(A877="","",IF(AND(ISNUMBER(T877),ISNUMBER(U877)),IF(AND(T877&lt;=3,U877&lt;=3),"○","×"),""))</f>
        <v>×</v>
      </c>
      <c r="W877" s="8" t="n">
        <v>140</v>
      </c>
      <c r="X877" s="8"/>
      <c r="Y877" s="4" t="s">
        <v>7597</v>
      </c>
      <c r="Z877" s="8" t="s">
        <v>8073</v>
      </c>
      <c r="AA877" s="8" t="str">
        <v/>
      </c>
      <c r="AB877" s="8" t="str">
        <v/>
      </c>
      <c r="AC877" s="8" t="str">
        <v/>
      </c>
      <c r="AD877" s="8" t="str">
        <v/>
      </c>
      <c r="AE877" s="8" t="str">
        <v/>
      </c>
      <c r="AF877" s="8" t="str">
        <v/>
      </c>
      <c r="AG877" s="8" t="str">
        <v/>
      </c>
      <c r="AH877" s="8" t="str">
        <v/>
      </c>
      <c r="AI877" s="8" t="n">
        <v>34</v>
      </c>
      <c r="AJ877" s="8" t="str">
        <v>75～79</v>
      </c>
      <c r="AK877" s="8" t="str">
        <v>10～19</v>
      </c>
      <c r="AL877" s="8" t="str">
        <v>30～39</v>
      </c>
      <c r="AM877" s="8" t="str">
        <v>140～159</v>
      </c>
      <c r="AN877" s="8" t="str">
        <v>15以上</v>
      </c>
      <c r="AO877" s="8" t="str">
        <f aca="false">IF(A877="","",IF(COUNTIFS(全馬データ!$A$2:$A$50000,A877,全馬データ!$B$2:$B$50000,B877,全馬データ!$C$2:$C$50000,C877,全馬データ!$D$2:$D$50000,E877,全馬データ!$K$2:$K$50000,"&lt;&gt;")=0,"",SUMIFS(全馬データ!$K$2:$K$50000,全馬データ!$A$2:$A$50000,A877,全馬データ!$B$2:$B$50000,B877,全馬データ!$C$2:$C$50000,C877,全馬データ!$D$2:$D$50000,E877)))</f>
        <v/>
      </c>
      <c r="AP877" s="8" t="str">
        <f aca="false">IF(A877="","",IF(AO877="","欠損",IF(AO877&lt;=1.1,"1.0～1.1",IF(AO877&lt;1.3,"1.2",IF(AO877&lt;1.5,"1.3～1.4",IF(AO877&lt;2,"1.5～1.9","2.0以上"))))))</f>
        <v>欠損</v>
      </c>
      <c r="AQ877" s="8" t="str">
        <f aca="false">IF(A877="","",IF(ISNUMBER(SEARCH("2歳",Z877)),"2歳戦",IF(ISNUMBER(SEARCH("3歳未勝利",Z877)),"3歳未勝利",IF(ISNUMBER(SEARCH("未勝利",Z877)),"その他未勝利",IF(ISNUMBER(SEARCH("G1",Z877)),"G1",IF(ISNUMBER(SEARCH("G2",Z877)),"G2",IF(ISNUMBER(SEARCH("G3",Z877)),"G3",IF(ISNUMBER(SEARCH("古馬条件",Z877)),"古馬条件戦",IF(ISNUMBER(SEARCH("重賞",Z877)),"重賞","分類不能")))))))))</f>
        <v>分類不能</v>
      </c>
      <c r="AR877" s="8"/>
      <c r="AS877" s="8" t="s">
        <v>7623</v>
      </c>
      <c r="AT877" s="8" t="s">
        <v>7624</v>
      </c>
      <c r="AU877" s="8" t="s">
        <v>7600</v>
      </c>
      <c r="AV877" s="4" t="s">
        <v>7601</v>
      </c>
      <c r="AW877" s="8"/>
      <c r="AX877" s="8"/>
      <c r="AY877" s="8" t="s">
        <v>7610</v>
      </c>
      <c r="AZ877" s="4" t="s">
        <v>7617</v>
      </c>
      <c r="BA877" s="8" t="n">
        <v>1800</v>
      </c>
      <c r="BB877" s="8" t="s">
        <v>7634</v>
      </c>
      <c r="BC877" s="4" t="s">
        <v>7604</v>
      </c>
      <c r="BD877" s="8" t="s">
        <v>7625</v>
      </c>
      <c r="BE877" s="4" t="s">
        <v>7606</v>
      </c>
      <c r="BF877" s="8" t="s">
        <v>7607</v>
      </c>
      <c r="BG877" s="8" t="s">
        <v>7608</v>
      </c>
      <c r="BH877" s="4" t="s">
        <v>7609</v>
      </c>
      <c r="BI877" s="8" t="n">
        <v>16</v>
      </c>
      <c r="BJ877" s="8" t="s">
        <v>7610</v>
      </c>
      <c r="BK877" s="4" t="s">
        <v>7611</v>
      </c>
      <c r="BL877" s="8" t="s">
        <v>7602</v>
      </c>
      <c r="BM877" s="4" t="s">
        <v>7620</v>
      </c>
      <c r="BN877" s="8"/>
      <c r="BO877" s="8"/>
      <c r="BP877" s="8" t="s">
        <v>7610</v>
      </c>
      <c r="BQ877" s="8" t="str">
        <f aca="false">IF(A877="","",AT877)</f>
        <v>3歳</v>
      </c>
      <c r="BR877" s="8" t="str">
        <f aca="false">IF(A877="","",IF(BA877&lt;=1200,"～1200",IF(BA877&lt;=1500,"1300～1500",IF(BA877=1600,"1600",IF(BA877&lt;=1800,"1700～1800",IF(BA877&lt;=2000,"1900～2000","2100以上"))))))</f>
        <v>1700～1800</v>
      </c>
      <c r="BS877" s="8" t="str">
        <f aca="false">IF(A877="","",IF(AX877="G1","G1",IF(AX877="G2","G2",IF(AX877="G3","G3",IF(AX877="L","L","その他")))))</f>
        <v>その他</v>
      </c>
      <c r="BT877" s="8" t="str">
        <f aca="false">IF(A877="","",IF(BI877="","未結合",IF(D877=BI877,"一致","不一致")))</f>
        <v>一致</v>
      </c>
      <c r="BU877" s="8" t="str">
        <f aca="false">IF(A877="","",IF(BE877="牝馬限定","牝馬限定","その他"))</f>
        <v>その他</v>
      </c>
    </row>
    <row r="878" customFormat="false" ht="15.75" hidden="false" customHeight="false" outlineLevel="0" collapsed="false">
      <c r="A878" s="6" t="n">
        <f aca="false">DATE(2026,8,16)</f>
        <v>46250</v>
      </c>
      <c r="B878" s="4" t="s">
        <v>13</v>
      </c>
      <c r="C878" s="8" t="n">
        <v>1</v>
      </c>
      <c r="D878" s="8" t="n">
        <v>13</v>
      </c>
      <c r="E878" s="8" t="n">
        <v>8</v>
      </c>
      <c r="F878" s="4" t="s">
        <v>6782</v>
      </c>
      <c r="G878" s="8" t="n">
        <v>66</v>
      </c>
      <c r="H878" s="8" t="n">
        <v>4</v>
      </c>
      <c r="I878" s="4" t="s">
        <v>6781</v>
      </c>
      <c r="J878" s="8" t="n">
        <v>47</v>
      </c>
      <c r="K878" s="8" t="n">
        <v>9</v>
      </c>
      <c r="L878" s="4" t="s">
        <v>924</v>
      </c>
      <c r="M878" s="8" t="n">
        <v>31</v>
      </c>
      <c r="N878" s="8" t="n">
        <f aca="false">IF(A878="","",G878-J878)</f>
        <v>19</v>
      </c>
      <c r="O878" s="8" t="n">
        <f aca="false">IF(A878="","",J878-M878)</f>
        <v>16</v>
      </c>
      <c r="P878" s="8" t="n">
        <f aca="false">IF(A878="","",G878+J878)</f>
        <v>113</v>
      </c>
      <c r="Q878" s="8" t="str">
        <f aca="false">IF(A878="","",IF(AND(Y878&lt;&gt;"参考",G878&gt;=ルール設定!$B$2),"○",""))</f>
        <v/>
      </c>
      <c r="R878" s="8" t="str">
        <f aca="false">IF(A878="","",IF(AND(Y878&lt;&gt;"参考",G878&gt;=ルール設定!$B$3,N878&gt;=ルール設定!$B$4),"○",""))</f>
        <v/>
      </c>
      <c r="S878" s="8" t="str">
        <f aca="false">IF(A878="","",IF(AND(Y878&lt;&gt;"参考",G878&gt;=ルール設定!$B$5,J878&gt;=ルール設定!$B$6,O878&gt;=ルール設定!$B$7),"○",""))</f>
        <v/>
      </c>
      <c r="T878" s="8" t="n">
        <v>3</v>
      </c>
      <c r="U878" s="8" t="n">
        <v>2</v>
      </c>
      <c r="V878" s="8" t="str">
        <f aca="false">IF(A878="","",IF(AND(ISNUMBER(T878),ISNUMBER(U878)),IF(AND(T878&lt;=3,U878&lt;=3),"○","×"),""))</f>
        <v>○</v>
      </c>
      <c r="W878" s="8" t="n">
        <v>100</v>
      </c>
      <c r="X878" s="8" t="n">
        <v>280</v>
      </c>
      <c r="Y878" s="4" t="s">
        <v>7597</v>
      </c>
      <c r="Z878" s="8" t="s">
        <v>8074</v>
      </c>
      <c r="AA878" s="8" t="str">
        <v/>
      </c>
      <c r="AB878" s="8" t="str">
        <v/>
      </c>
      <c r="AC878" s="8" t="str">
        <v/>
      </c>
      <c r="AD878" s="8" t="str">
        <v/>
      </c>
      <c r="AE878" s="8" t="str">
        <v/>
      </c>
      <c r="AF878" s="8" t="str">
        <v/>
      </c>
      <c r="AG878" s="8" t="str">
        <v/>
      </c>
      <c r="AH878" s="8" t="str">
        <v/>
      </c>
      <c r="AI878" s="8" t="n">
        <v>35</v>
      </c>
      <c r="AJ878" s="8" t="str">
        <v>60～69</v>
      </c>
      <c r="AK878" s="8" t="str">
        <v>10～19</v>
      </c>
      <c r="AL878" s="8" t="str">
        <v>30～39</v>
      </c>
      <c r="AM878" s="8" t="str">
        <v>100～119</v>
      </c>
      <c r="AN878" s="8" t="str">
        <v>12～14</v>
      </c>
      <c r="AO878" s="8" t="str">
        <f aca="false">IF(A878="","",IF(COUNTIFS(全馬データ!$A$2:$A$50000,A878,全馬データ!$B$2:$B$50000,B878,全馬データ!$C$2:$C$50000,C878,全馬データ!$D$2:$D$50000,E878,全馬データ!$K$2:$K$50000,"&lt;&gt;")=0,"",SUMIFS(全馬データ!$K$2:$K$50000,全馬データ!$A$2:$A$50000,A878,全馬データ!$B$2:$B$50000,B878,全馬データ!$C$2:$C$50000,C878,全馬データ!$D$2:$D$50000,E878)))</f>
        <v/>
      </c>
      <c r="AP878" s="8" t="str">
        <f aca="false">IF(A878="","",IF(AO878="","欠損",IF(AO878&lt;=1.1,"1.0～1.1",IF(AO878&lt;1.3,"1.2",IF(AO878&lt;1.5,"1.3～1.4",IF(AO878&lt;2,"1.5～1.9","2.0以上"))))))</f>
        <v>欠損</v>
      </c>
      <c r="AQ878" s="8" t="str">
        <f aca="false">IF(A878="","",IF(ISNUMBER(SEARCH("2歳",Z878)),"2歳戦",IF(ISNUMBER(SEARCH("3歳未勝利",Z878)),"3歳未勝利",IF(ISNUMBER(SEARCH("未勝利",Z878)),"その他未勝利",IF(ISNUMBER(SEARCH("G1",Z878)),"G1",IF(ISNUMBER(SEARCH("G2",Z878)),"G2",IF(ISNUMBER(SEARCH("G3",Z878)),"G3",IF(ISNUMBER(SEARCH("古馬条件",Z878)),"古馬条件戦",IF(ISNUMBER(SEARCH("重賞",Z878)),"重賞","分類不能")))))))))</f>
        <v>分類不能</v>
      </c>
      <c r="AR878" s="8"/>
      <c r="AS878" s="8" t="s">
        <v>7598</v>
      </c>
      <c r="AT878" s="8" t="s">
        <v>7599</v>
      </c>
      <c r="AU878" s="8" t="s">
        <v>7600</v>
      </c>
      <c r="AV878" s="4" t="s">
        <v>7601</v>
      </c>
      <c r="AW878" s="8"/>
      <c r="AX878" s="8"/>
      <c r="AY878" s="8" t="s">
        <v>7602</v>
      </c>
      <c r="AZ878" s="4" t="s">
        <v>7603</v>
      </c>
      <c r="BA878" s="8" t="n">
        <v>1600</v>
      </c>
      <c r="BB878" s="8" t="s">
        <v>7598</v>
      </c>
      <c r="BC878" s="4" t="s">
        <v>7604</v>
      </c>
      <c r="BD878" s="8" t="s">
        <v>7621</v>
      </c>
      <c r="BE878" s="4" t="s">
        <v>7622</v>
      </c>
      <c r="BF878" s="8" t="s">
        <v>7602</v>
      </c>
      <c r="BG878" s="8" t="s">
        <v>7608</v>
      </c>
      <c r="BH878" s="4" t="s">
        <v>7609</v>
      </c>
      <c r="BI878" s="8" t="n">
        <v>13</v>
      </c>
      <c r="BJ878" s="8" t="s">
        <v>7610</v>
      </c>
      <c r="BK878" s="4" t="s">
        <v>7611</v>
      </c>
      <c r="BL878" s="8" t="s">
        <v>7610</v>
      </c>
      <c r="BM878" s="4" t="s">
        <v>7612</v>
      </c>
      <c r="BN878" s="8" t="s">
        <v>7602</v>
      </c>
      <c r="BO878" s="8" t="s">
        <v>7613</v>
      </c>
      <c r="BP878" s="8" t="s">
        <v>7602</v>
      </c>
      <c r="BQ878" s="8" t="str">
        <f aca="false">IF(A878="","",AT878)</f>
        <v>2歳</v>
      </c>
      <c r="BR878" s="8" t="str">
        <f aca="false">IF(A878="","",IF(BA878&lt;=1200,"～1200",IF(BA878&lt;=1500,"1300～1500",IF(BA878=1600,"1600",IF(BA878&lt;=1800,"1700～1800",IF(BA878&lt;=2000,"1900～2000","2100以上"))))))</f>
        <v>1600</v>
      </c>
      <c r="BS878" s="8" t="str">
        <f aca="false">IF(A878="","",IF(AX878="G1","G1",IF(AX878="G2","G2",IF(AX878="G3","G3",IF(AX878="L","L","その他")))))</f>
        <v>その他</v>
      </c>
      <c r="BT878" s="8" t="str">
        <f aca="false">IF(A878="","",IF(BI878="","未結合",IF(D878=BI878,"一致","不一致")))</f>
        <v>一致</v>
      </c>
      <c r="BU878" s="8" t="str">
        <f aca="false">IF(A878="","",IF(BE878="牝馬限定","牝馬限定","その他"))</f>
        <v>牝馬限定</v>
      </c>
    </row>
    <row r="879" customFormat="false" ht="15.75" hidden="false" customHeight="false" outlineLevel="0" collapsed="false">
      <c r="A879" s="6" t="n">
        <f aca="false">DATE(2026,8,16)</f>
        <v>46250</v>
      </c>
      <c r="B879" s="4" t="s">
        <v>13</v>
      </c>
      <c r="C879" s="8" t="n">
        <v>2</v>
      </c>
      <c r="D879" s="8" t="n">
        <v>17</v>
      </c>
      <c r="E879" s="8" t="n">
        <v>15</v>
      </c>
      <c r="F879" s="4" t="s">
        <v>4889</v>
      </c>
      <c r="G879" s="8" t="n">
        <v>60</v>
      </c>
      <c r="H879" s="8" t="n">
        <v>5</v>
      </c>
      <c r="I879" s="4" t="s">
        <v>1012</v>
      </c>
      <c r="J879" s="8" t="n">
        <v>41</v>
      </c>
      <c r="K879" s="8" t="n">
        <v>14</v>
      </c>
      <c r="L879" s="4" t="s">
        <v>2752</v>
      </c>
      <c r="M879" s="8" t="n">
        <v>34</v>
      </c>
      <c r="N879" s="8" t="n">
        <f aca="false">IF(A879="","",G879-J879)</f>
        <v>19</v>
      </c>
      <c r="O879" s="8" t="n">
        <f aca="false">IF(A879="","",J879-M879)</f>
        <v>7</v>
      </c>
      <c r="P879" s="8" t="n">
        <f aca="false">IF(A879="","",G879+J879)</f>
        <v>101</v>
      </c>
      <c r="Q879" s="8" t="str">
        <f aca="false">IF(A879="","",IF(AND(Y879&lt;&gt;"参考",G879&gt;=ルール設定!$B$2),"○",""))</f>
        <v/>
      </c>
      <c r="R879" s="8" t="str">
        <f aca="false">IF(A879="","",IF(AND(Y879&lt;&gt;"参考",G879&gt;=ルール設定!$B$3,N879&gt;=ルール設定!$B$4),"○",""))</f>
        <v/>
      </c>
      <c r="S879" s="8" t="str">
        <f aca="false">IF(A879="","",IF(AND(Y879&lt;&gt;"参考",G879&gt;=ルール設定!$B$5,J879&gt;=ルール設定!$B$6,O879&gt;=ルール設定!$B$7),"○",""))</f>
        <v/>
      </c>
      <c r="T879" s="8" t="n">
        <v>2</v>
      </c>
      <c r="U879" s="8" t="n">
        <v>1</v>
      </c>
      <c r="V879" s="8" t="str">
        <f aca="false">IF(A879="","",IF(AND(ISNUMBER(T879),ISNUMBER(U879)),IF(AND(T879&lt;=3,U879&lt;=3),"○","×"),""))</f>
        <v>○</v>
      </c>
      <c r="W879" s="8" t="n">
        <v>130</v>
      </c>
      <c r="X879" s="8" t="n">
        <v>380</v>
      </c>
      <c r="Y879" s="4" t="s">
        <v>7597</v>
      </c>
      <c r="Z879" s="8" t="s">
        <v>8075</v>
      </c>
      <c r="AA879" s="8" t="str">
        <v/>
      </c>
      <c r="AB879" s="8" t="str">
        <v/>
      </c>
      <c r="AC879" s="8" t="str">
        <v/>
      </c>
      <c r="AD879" s="8" t="str">
        <v/>
      </c>
      <c r="AE879" s="8" t="str">
        <v/>
      </c>
      <c r="AF879" s="8" t="str">
        <v/>
      </c>
      <c r="AG879" s="8" t="str">
        <v/>
      </c>
      <c r="AH879" s="8" t="str">
        <v/>
      </c>
      <c r="AI879" s="8" t="n">
        <v>26</v>
      </c>
      <c r="AJ879" s="8" t="str">
        <v>60～69</v>
      </c>
      <c r="AK879" s="8" t="str">
        <v>10～19</v>
      </c>
      <c r="AL879" s="8" t="str">
        <v>20～29</v>
      </c>
      <c r="AM879" s="8" t="str">
        <v>100～119</v>
      </c>
      <c r="AN879" s="8" t="str">
        <v>15以上</v>
      </c>
      <c r="AO879" s="8" t="str">
        <f aca="false">IF(A879="","",IF(COUNTIFS(全馬データ!$A$2:$A$50000,A879,全馬データ!$B$2:$B$50000,B879,全馬データ!$C$2:$C$50000,C879,全馬データ!$D$2:$D$50000,E879,全馬データ!$K$2:$K$50000,"&lt;&gt;")=0,"",SUMIFS(全馬データ!$K$2:$K$50000,全馬データ!$A$2:$A$50000,A879,全馬データ!$B$2:$B$50000,B879,全馬データ!$C$2:$C$50000,C879,全馬データ!$D$2:$D$50000,E879)))</f>
        <v/>
      </c>
      <c r="AP879" s="8" t="str">
        <f aca="false">IF(A879="","",IF(AO879="","欠損",IF(AO879&lt;=1.1,"1.0～1.1",IF(AO879&lt;1.3,"1.2",IF(AO879&lt;1.5,"1.3～1.4",IF(AO879&lt;2,"1.5～1.9","2.0以上"))))))</f>
        <v>欠損</v>
      </c>
      <c r="AQ879" s="8" t="str">
        <f aca="false">IF(A879="","",IF(ISNUMBER(SEARCH("2歳",Z879)),"2歳戦",IF(ISNUMBER(SEARCH("3歳未勝利",Z879)),"3歳未勝利",IF(ISNUMBER(SEARCH("未勝利",Z879)),"その他未勝利",IF(ISNUMBER(SEARCH("G1",Z879)),"G1",IF(ISNUMBER(SEARCH("G2",Z879)),"G2",IF(ISNUMBER(SEARCH("G3",Z879)),"G3",IF(ISNUMBER(SEARCH("古馬条件",Z879)),"古馬条件戦",IF(ISNUMBER(SEARCH("重賞",Z879)),"重賞","分類不能")))))))))</f>
        <v>分類不能</v>
      </c>
      <c r="AR879" s="8"/>
      <c r="AS879" s="8" t="s">
        <v>7623</v>
      </c>
      <c r="AT879" s="8" t="s">
        <v>7624</v>
      </c>
      <c r="AU879" s="8" t="s">
        <v>7600</v>
      </c>
      <c r="AV879" s="4" t="s">
        <v>7601</v>
      </c>
      <c r="AW879" s="8"/>
      <c r="AX879" s="8"/>
      <c r="AY879" s="8" t="s">
        <v>7602</v>
      </c>
      <c r="AZ879" s="4" t="s">
        <v>7603</v>
      </c>
      <c r="BA879" s="8" t="n">
        <v>2400</v>
      </c>
      <c r="BB879" s="8" t="s">
        <v>7598</v>
      </c>
      <c r="BC879" s="4" t="s">
        <v>7604</v>
      </c>
      <c r="BD879" s="8" t="s">
        <v>7625</v>
      </c>
      <c r="BE879" s="4" t="s">
        <v>7606</v>
      </c>
      <c r="BF879" s="8" t="s">
        <v>7607</v>
      </c>
      <c r="BG879" s="8" t="s">
        <v>7608</v>
      </c>
      <c r="BH879" s="4" t="s">
        <v>7609</v>
      </c>
      <c r="BI879" s="8" t="n">
        <v>17</v>
      </c>
      <c r="BJ879" s="8" t="s">
        <v>7610</v>
      </c>
      <c r="BK879" s="4" t="s">
        <v>7611</v>
      </c>
      <c r="BL879" s="8" t="s">
        <v>7602</v>
      </c>
      <c r="BM879" s="4" t="s">
        <v>7620</v>
      </c>
      <c r="BN879" s="8" t="s">
        <v>7602</v>
      </c>
      <c r="BO879" s="8" t="s">
        <v>7613</v>
      </c>
      <c r="BP879" s="8" t="s">
        <v>7602</v>
      </c>
      <c r="BQ879" s="8" t="str">
        <f aca="false">IF(A879="","",AT879)</f>
        <v>3歳</v>
      </c>
      <c r="BR879" s="8" t="str">
        <f aca="false">IF(A879="","",IF(BA879&lt;=1200,"～1200",IF(BA879&lt;=1500,"1300～1500",IF(BA879=1600,"1600",IF(BA879&lt;=1800,"1700～1800",IF(BA879&lt;=2000,"1900～2000","2100以上"))))))</f>
        <v>2100以上</v>
      </c>
      <c r="BS879" s="8" t="str">
        <f aca="false">IF(A879="","",IF(AX879="G1","G1",IF(AX879="G2","G2",IF(AX879="G3","G3",IF(AX879="L","L","その他")))))</f>
        <v>その他</v>
      </c>
      <c r="BT879" s="8" t="str">
        <f aca="false">IF(A879="","",IF(BI879="","未結合",IF(D879=BI879,"一致","不一致")))</f>
        <v>一致</v>
      </c>
      <c r="BU879" s="8" t="str">
        <f aca="false">IF(A879="","",IF(BE879="牝馬限定","牝馬限定","その他"))</f>
        <v>その他</v>
      </c>
    </row>
    <row r="880" customFormat="false" ht="15.75" hidden="false" customHeight="false" outlineLevel="0" collapsed="false">
      <c r="A880" s="6" t="n">
        <f aca="false">DATE(2026,8,16)</f>
        <v>46250</v>
      </c>
      <c r="B880" s="4" t="s">
        <v>13</v>
      </c>
      <c r="C880" s="8" t="n">
        <v>3</v>
      </c>
      <c r="D880" s="8" t="n">
        <v>15</v>
      </c>
      <c r="E880" s="8" t="n">
        <v>6</v>
      </c>
      <c r="F880" s="4" t="s">
        <v>32</v>
      </c>
      <c r="G880" s="8" t="n">
        <v>67</v>
      </c>
      <c r="H880" s="8" t="n">
        <v>7</v>
      </c>
      <c r="I880" s="4" t="s">
        <v>5155</v>
      </c>
      <c r="J880" s="8" t="n">
        <v>39</v>
      </c>
      <c r="K880" s="8" t="n">
        <v>8</v>
      </c>
      <c r="L880" s="4" t="s">
        <v>786</v>
      </c>
      <c r="M880" s="8" t="n">
        <v>37</v>
      </c>
      <c r="N880" s="8" t="n">
        <f aca="false">IF(A880="","",G880-J880)</f>
        <v>28</v>
      </c>
      <c r="O880" s="8" t="n">
        <f aca="false">IF(A880="","",J880-M880)</f>
        <v>2</v>
      </c>
      <c r="P880" s="8" t="n">
        <f aca="false">IF(A880="","",G880+J880)</f>
        <v>106</v>
      </c>
      <c r="Q880" s="8" t="str">
        <f aca="false">IF(A880="","",IF(AND(Y880&lt;&gt;"参考",G880&gt;=ルール設定!$B$2),"○",""))</f>
        <v/>
      </c>
      <c r="R880" s="8" t="str">
        <f aca="false">IF(A880="","",IF(AND(Y880&lt;&gt;"参考",G880&gt;=ルール設定!$B$3,N880&gt;=ルール設定!$B$4),"○",""))</f>
        <v/>
      </c>
      <c r="S880" s="8" t="str">
        <f aca="false">IF(A880="","",IF(AND(Y880&lt;&gt;"参考",G880&gt;=ルール設定!$B$5,J880&gt;=ルール設定!$B$6,O880&gt;=ルール設定!$B$7),"○",""))</f>
        <v/>
      </c>
      <c r="T880" s="8" t="n">
        <v>4</v>
      </c>
      <c r="U880" s="8" t="n">
        <v>4</v>
      </c>
      <c r="V880" s="8" t="str">
        <f aca="false">IF(A880="","",IF(AND(ISNUMBER(T880),ISNUMBER(U880)),IF(AND(T880&lt;=3,U880&lt;=3),"○","×"),""))</f>
        <v>×</v>
      </c>
      <c r="W880" s="8"/>
      <c r="X880" s="8"/>
      <c r="Y880" s="4" t="s">
        <v>7597</v>
      </c>
      <c r="Z880" s="8" t="s">
        <v>8076</v>
      </c>
      <c r="AA880" s="8" t="str">
        <v/>
      </c>
      <c r="AB880" s="8" t="str">
        <v/>
      </c>
      <c r="AC880" s="8" t="str">
        <v/>
      </c>
      <c r="AD880" s="8" t="str">
        <v/>
      </c>
      <c r="AE880" s="8" t="str">
        <v/>
      </c>
      <c r="AF880" s="8" t="str">
        <v/>
      </c>
      <c r="AG880" s="8" t="str">
        <v/>
      </c>
      <c r="AH880" s="8" t="str">
        <v/>
      </c>
      <c r="AI880" s="8" t="n">
        <v>30</v>
      </c>
      <c r="AJ880" s="8" t="str">
        <v>60～69</v>
      </c>
      <c r="AK880" s="8" t="str">
        <v>20～29</v>
      </c>
      <c r="AL880" s="8" t="str">
        <v>30～39</v>
      </c>
      <c r="AM880" s="8" t="str">
        <v>100～119</v>
      </c>
      <c r="AN880" s="8" t="str">
        <v>15以上</v>
      </c>
      <c r="AO880" s="8" t="str">
        <f aca="false">IF(A880="","",IF(COUNTIFS(全馬データ!$A$2:$A$50000,A880,全馬データ!$B$2:$B$50000,B880,全馬データ!$C$2:$C$50000,C880,全馬データ!$D$2:$D$50000,E880,全馬データ!$K$2:$K$50000,"&lt;&gt;")=0,"",SUMIFS(全馬データ!$K$2:$K$50000,全馬データ!$A$2:$A$50000,A880,全馬データ!$B$2:$B$50000,B880,全馬データ!$C$2:$C$50000,C880,全馬データ!$D$2:$D$50000,E880)))</f>
        <v/>
      </c>
      <c r="AP880" s="8" t="str">
        <f aca="false">IF(A880="","",IF(AO880="","欠損",IF(AO880&lt;=1.1,"1.0～1.1",IF(AO880&lt;1.3,"1.2",IF(AO880&lt;1.5,"1.3～1.4",IF(AO880&lt;2,"1.5～1.9","2.0以上"))))))</f>
        <v>欠損</v>
      </c>
      <c r="AQ880" s="8" t="str">
        <f aca="false">IF(A880="","",IF(ISNUMBER(SEARCH("2歳",Z880)),"2歳戦",IF(ISNUMBER(SEARCH("3歳未勝利",Z880)),"3歳未勝利",IF(ISNUMBER(SEARCH("未勝利",Z880)),"その他未勝利",IF(ISNUMBER(SEARCH("G1",Z880)),"G1",IF(ISNUMBER(SEARCH("G2",Z880)),"G2",IF(ISNUMBER(SEARCH("G3",Z880)),"G3",IF(ISNUMBER(SEARCH("古馬条件",Z880)),"古馬条件戦",IF(ISNUMBER(SEARCH("重賞",Z880)),"重賞","分類不能")))))))))</f>
        <v>分類不能</v>
      </c>
      <c r="AR880" s="8"/>
      <c r="AS880" s="8" t="s">
        <v>7598</v>
      </c>
      <c r="AT880" s="8" t="s">
        <v>7599</v>
      </c>
      <c r="AU880" s="8" t="s">
        <v>7600</v>
      </c>
      <c r="AV880" s="4" t="s">
        <v>7601</v>
      </c>
      <c r="AW880" s="8"/>
      <c r="AX880" s="8"/>
      <c r="AY880" s="8" t="s">
        <v>7610</v>
      </c>
      <c r="AZ880" s="4" t="s">
        <v>7617</v>
      </c>
      <c r="BA880" s="8" t="n">
        <v>1200</v>
      </c>
      <c r="BB880" s="8" t="s">
        <v>7598</v>
      </c>
      <c r="BC880" s="4" t="s">
        <v>7604</v>
      </c>
      <c r="BD880" s="8" t="s">
        <v>7605</v>
      </c>
      <c r="BE880" s="4" t="s">
        <v>7606</v>
      </c>
      <c r="BF880" s="8" t="s">
        <v>7607</v>
      </c>
      <c r="BG880" s="8" t="s">
        <v>7608</v>
      </c>
      <c r="BH880" s="4" t="s">
        <v>7609</v>
      </c>
      <c r="BI880" s="8" t="n">
        <v>15</v>
      </c>
      <c r="BJ880" s="8" t="s">
        <v>7610</v>
      </c>
      <c r="BK880" s="4" t="s">
        <v>7611</v>
      </c>
      <c r="BL880" s="8" t="s">
        <v>7602</v>
      </c>
      <c r="BM880" s="4" t="s">
        <v>7620</v>
      </c>
      <c r="BN880" s="8"/>
      <c r="BO880" s="8"/>
      <c r="BP880" s="8" t="s">
        <v>7602</v>
      </c>
      <c r="BQ880" s="8" t="str">
        <f aca="false">IF(A880="","",AT880)</f>
        <v>2歳</v>
      </c>
      <c r="BR880" s="8" t="str">
        <f aca="false">IF(A880="","",IF(BA880&lt;=1200,"～1200",IF(BA880&lt;=1500,"1300～1500",IF(BA880=1600,"1600",IF(BA880&lt;=1800,"1700～1800",IF(BA880&lt;=2000,"1900～2000","2100以上"))))))</f>
        <v>～1200</v>
      </c>
      <c r="BS880" s="8" t="str">
        <f aca="false">IF(A880="","",IF(AX880="G1","G1",IF(AX880="G2","G2",IF(AX880="G3","G3",IF(AX880="L","L","その他")))))</f>
        <v>その他</v>
      </c>
      <c r="BT880" s="8" t="str">
        <f aca="false">IF(A880="","",IF(BI880="","未結合",IF(D880=BI880,"一致","不一致")))</f>
        <v>一致</v>
      </c>
      <c r="BU880" s="8" t="str">
        <f aca="false">IF(A880="","",IF(BE880="牝馬限定","牝馬限定","その他"))</f>
        <v>その他</v>
      </c>
    </row>
    <row r="881" customFormat="false" ht="15.75" hidden="false" customHeight="false" outlineLevel="0" collapsed="false">
      <c r="A881" s="6" t="n">
        <f aca="false">DATE(2026,8,16)</f>
        <v>46250</v>
      </c>
      <c r="B881" s="4" t="s">
        <v>13</v>
      </c>
      <c r="C881" s="8" t="n">
        <v>4</v>
      </c>
      <c r="D881" s="8" t="n">
        <v>13</v>
      </c>
      <c r="E881" s="8" t="n">
        <v>11</v>
      </c>
      <c r="F881" s="4" t="s">
        <v>6798</v>
      </c>
      <c r="G881" s="8" t="n">
        <v>37</v>
      </c>
      <c r="H881" s="8" t="n">
        <v>4</v>
      </c>
      <c r="I881" s="4" t="s">
        <v>6791</v>
      </c>
      <c r="J881" s="8" t="n">
        <v>27</v>
      </c>
      <c r="K881" s="8" t="n">
        <v>10</v>
      </c>
      <c r="L881" s="4" t="s">
        <v>6797</v>
      </c>
      <c r="M881" s="8" t="n">
        <v>27</v>
      </c>
      <c r="N881" s="8" t="n">
        <f aca="false">IF(A881="","",G881-J881)</f>
        <v>10</v>
      </c>
      <c r="O881" s="8" t="n">
        <f aca="false">IF(A881="","",J881-M881)</f>
        <v>0</v>
      </c>
      <c r="P881" s="8" t="n">
        <f aca="false">IF(A881="","",G881+J881)</f>
        <v>64</v>
      </c>
      <c r="Q881" s="8" t="str">
        <f aca="false">IF(A881="","",IF(AND(Y881&lt;&gt;"参考",G881&gt;=ルール設定!$B$2),"○",""))</f>
        <v/>
      </c>
      <c r="R881" s="8" t="str">
        <f aca="false">IF(A881="","",IF(AND(Y881&lt;&gt;"参考",G881&gt;=ルール設定!$B$3,N881&gt;=ルール設定!$B$4),"○",""))</f>
        <v/>
      </c>
      <c r="S881" s="8" t="str">
        <f aca="false">IF(A881="","",IF(AND(Y881&lt;&gt;"参考",G881&gt;=ルール設定!$B$5,J881&gt;=ルール設定!$B$6,O881&gt;=ルール設定!$B$7),"○",""))</f>
        <v/>
      </c>
      <c r="T881" s="8" t="n">
        <v>4</v>
      </c>
      <c r="U881" s="8" t="n">
        <v>2</v>
      </c>
      <c r="V881" s="8" t="str">
        <f aca="false">IF(A881="","",IF(AND(ISNUMBER(T881),ISNUMBER(U881)),IF(AND(T881&lt;=3,U881&lt;=3),"○","×"),""))</f>
        <v>×</v>
      </c>
      <c r="W881" s="8"/>
      <c r="X881" s="8"/>
      <c r="Y881" s="4" t="s">
        <v>7597</v>
      </c>
      <c r="Z881" s="8" t="s">
        <v>8077</v>
      </c>
      <c r="AA881" s="8" t="str">
        <v/>
      </c>
      <c r="AB881" s="8" t="str">
        <v/>
      </c>
      <c r="AC881" s="8" t="str">
        <v/>
      </c>
      <c r="AD881" s="8" t="str">
        <v/>
      </c>
      <c r="AE881" s="8" t="str">
        <v/>
      </c>
      <c r="AF881" s="8" t="str">
        <v/>
      </c>
      <c r="AG881" s="8" t="str">
        <v/>
      </c>
      <c r="AH881" s="8" t="str">
        <v/>
      </c>
      <c r="AI881" s="8" t="n">
        <v>10</v>
      </c>
      <c r="AJ881" s="8" t="str">
        <v>～59</v>
      </c>
      <c r="AK881" s="8" t="str">
        <v>10～19</v>
      </c>
      <c r="AL881" s="8" t="str">
        <v>10～19</v>
      </c>
      <c r="AM881" s="8" t="str">
        <v>～99</v>
      </c>
      <c r="AN881" s="8" t="str">
        <v>12～14</v>
      </c>
      <c r="AO881" s="8" t="str">
        <f aca="false">IF(A881="","",IF(COUNTIFS(全馬データ!$A$2:$A$50000,A881,全馬データ!$B$2:$B$50000,B881,全馬データ!$C$2:$C$50000,C881,全馬データ!$D$2:$D$50000,E881,全馬データ!$K$2:$K$50000,"&lt;&gt;")=0,"",SUMIFS(全馬データ!$K$2:$K$50000,全馬データ!$A$2:$A$50000,A881,全馬データ!$B$2:$B$50000,B881,全馬データ!$C$2:$C$50000,C881,全馬データ!$D$2:$D$50000,E881)))</f>
        <v/>
      </c>
      <c r="AP881" s="8" t="str">
        <f aca="false">IF(A881="","",IF(AO881="","欠損",IF(AO881&lt;=1.1,"1.0～1.1",IF(AO881&lt;1.3,"1.2",IF(AO881&lt;1.5,"1.3～1.4",IF(AO881&lt;2,"1.5～1.9","2.0以上"))))))</f>
        <v>欠損</v>
      </c>
      <c r="AQ881" s="8" t="str">
        <f aca="false">IF(A881="","",IF(ISNUMBER(SEARCH("2歳",Z881)),"2歳戦",IF(ISNUMBER(SEARCH("3歳未勝利",Z881)),"3歳未勝利",IF(ISNUMBER(SEARCH("未勝利",Z881)),"その他未勝利",IF(ISNUMBER(SEARCH("G1",Z881)),"G1",IF(ISNUMBER(SEARCH("G2",Z881)),"G2",IF(ISNUMBER(SEARCH("G3",Z881)),"G3",IF(ISNUMBER(SEARCH("古馬条件",Z881)),"古馬条件戦",IF(ISNUMBER(SEARCH("重賞",Z881)),"重賞","分類不能")))))))))</f>
        <v>分類不能</v>
      </c>
      <c r="AR881" s="8"/>
      <c r="AS881" s="8" t="s">
        <v>7598</v>
      </c>
      <c r="AT881" s="8" t="s">
        <v>7599</v>
      </c>
      <c r="AU881" s="8" t="s">
        <v>7615</v>
      </c>
      <c r="AV881" s="4" t="s">
        <v>7616</v>
      </c>
      <c r="AW881" s="8"/>
      <c r="AX881" s="8"/>
      <c r="AY881" s="8" t="s">
        <v>7602</v>
      </c>
      <c r="AZ881" s="4" t="s">
        <v>7603</v>
      </c>
      <c r="BA881" s="8" t="n">
        <v>1600</v>
      </c>
      <c r="BB881" s="8" t="s">
        <v>7598</v>
      </c>
      <c r="BC881" s="4" t="s">
        <v>7604</v>
      </c>
      <c r="BD881" s="8" t="s">
        <v>7625</v>
      </c>
      <c r="BE881" s="4" t="s">
        <v>7606</v>
      </c>
      <c r="BF881" s="8" t="s">
        <v>7607</v>
      </c>
      <c r="BG881" s="8" t="s">
        <v>7608</v>
      </c>
      <c r="BH881" s="4" t="s">
        <v>7609</v>
      </c>
      <c r="BI881" s="8" t="n">
        <v>13</v>
      </c>
      <c r="BJ881" s="8" t="s">
        <v>7610</v>
      </c>
      <c r="BK881" s="4" t="s">
        <v>7611</v>
      </c>
      <c r="BL881" s="8" t="s">
        <v>7610</v>
      </c>
      <c r="BM881" s="4" t="s">
        <v>7612</v>
      </c>
      <c r="BN881" s="8" t="s">
        <v>7602</v>
      </c>
      <c r="BO881" s="8" t="s">
        <v>7613</v>
      </c>
      <c r="BP881" s="8" t="s">
        <v>7602</v>
      </c>
      <c r="BQ881" s="8" t="str">
        <f aca="false">IF(A881="","",AT881)</f>
        <v>2歳</v>
      </c>
      <c r="BR881" s="8" t="str">
        <f aca="false">IF(A881="","",IF(BA881&lt;=1200,"～1200",IF(BA881&lt;=1500,"1300～1500",IF(BA881=1600,"1600",IF(BA881&lt;=1800,"1700～1800",IF(BA881&lt;=2000,"1900～2000","2100以上"))))))</f>
        <v>1600</v>
      </c>
      <c r="BS881" s="8" t="str">
        <f aca="false">IF(A881="","",IF(AX881="G1","G1",IF(AX881="G2","G2",IF(AX881="G3","G3",IF(AX881="L","L","その他")))))</f>
        <v>その他</v>
      </c>
      <c r="BT881" s="8" t="str">
        <f aca="false">IF(A881="","",IF(BI881="","未結合",IF(D881=BI881,"一致","不一致")))</f>
        <v>一致</v>
      </c>
      <c r="BU881" s="8" t="str">
        <f aca="false">IF(A881="","",IF(BE881="牝馬限定","牝馬限定","その他"))</f>
        <v>その他</v>
      </c>
    </row>
    <row r="882" customFormat="false" ht="15.75" hidden="false" customHeight="false" outlineLevel="0" collapsed="false">
      <c r="A882" s="6" t="n">
        <f aca="false">DATE(2026,8,16)</f>
        <v>46250</v>
      </c>
      <c r="B882" s="4" t="s">
        <v>13</v>
      </c>
      <c r="C882" s="8" t="n">
        <v>6</v>
      </c>
      <c r="D882" s="8" t="n">
        <v>13</v>
      </c>
      <c r="E882" s="8" t="n">
        <v>8</v>
      </c>
      <c r="F882" s="4" t="s">
        <v>4048</v>
      </c>
      <c r="G882" s="8" t="n">
        <v>66</v>
      </c>
      <c r="H882" s="8" t="n">
        <v>6</v>
      </c>
      <c r="I882" s="4" t="s">
        <v>1220</v>
      </c>
      <c r="J882" s="8" t="n">
        <v>60</v>
      </c>
      <c r="K882" s="8" t="n">
        <v>5</v>
      </c>
      <c r="L882" s="4" t="s">
        <v>2981</v>
      </c>
      <c r="M882" s="8" t="n">
        <v>29</v>
      </c>
      <c r="N882" s="8" t="n">
        <f aca="false">IF(A882="","",G882-J882)</f>
        <v>6</v>
      </c>
      <c r="O882" s="8" t="n">
        <f aca="false">IF(A882="","",J882-M882)</f>
        <v>31</v>
      </c>
      <c r="P882" s="8" t="n">
        <f aca="false">IF(A882="","",G882+J882)</f>
        <v>126</v>
      </c>
      <c r="Q882" s="8" t="str">
        <f aca="false">IF(A882="","",IF(AND(Y882&lt;&gt;"参考",G882&gt;=ルール設定!$B$2),"○",""))</f>
        <v/>
      </c>
      <c r="R882" s="8" t="str">
        <f aca="false">IF(A882="","",IF(AND(Y882&lt;&gt;"参考",G882&gt;=ルール設定!$B$3,N882&gt;=ルール設定!$B$4),"○",""))</f>
        <v/>
      </c>
      <c r="S882" s="8" t="str">
        <f aca="false">IF(A882="","",IF(AND(Y882&lt;&gt;"参考",G882&gt;=ルール設定!$B$5,J882&gt;=ルール設定!$B$6,O882&gt;=ルール設定!$B$7),"○",""))</f>
        <v>○</v>
      </c>
      <c r="T882" s="8" t="n">
        <v>1</v>
      </c>
      <c r="U882" s="8" t="n">
        <v>4</v>
      </c>
      <c r="V882" s="8" t="str">
        <f aca="false">IF(A882="","",IF(AND(ISNUMBER(T882),ISNUMBER(U882)),IF(AND(T882&lt;=3,U882&lt;=3),"○","×"),""))</f>
        <v>×</v>
      </c>
      <c r="W882" s="8" t="n">
        <v>110</v>
      </c>
      <c r="X882" s="8"/>
      <c r="Y882" s="4" t="s">
        <v>7597</v>
      </c>
      <c r="Z882" s="8" t="s">
        <v>8078</v>
      </c>
      <c r="AA882" s="8" t="str">
        <v/>
      </c>
      <c r="AB882" s="8" t="str">
        <v/>
      </c>
      <c r="AC882" s="8" t="str">
        <v/>
      </c>
      <c r="AD882" s="8" t="str">
        <v/>
      </c>
      <c r="AE882" s="8" t="str">
        <v/>
      </c>
      <c r="AF882" s="8" t="str">
        <v/>
      </c>
      <c r="AG882" s="8" t="str">
        <v/>
      </c>
      <c r="AH882" s="8" t="str">
        <v/>
      </c>
      <c r="AI882" s="8" t="n">
        <v>37</v>
      </c>
      <c r="AJ882" s="8" t="str">
        <v>60～69</v>
      </c>
      <c r="AK882" s="8" t="str">
        <v>5～9</v>
      </c>
      <c r="AL882" s="8" t="str">
        <v>30～39</v>
      </c>
      <c r="AM882" s="8" t="str">
        <v>120～139</v>
      </c>
      <c r="AN882" s="8" t="str">
        <v>12～14</v>
      </c>
      <c r="AO882" s="8" t="str">
        <f aca="false">IF(A882="","",IF(COUNTIFS(全馬データ!$A$2:$A$50000,A882,全馬データ!$B$2:$B$50000,B882,全馬データ!$C$2:$C$50000,C882,全馬データ!$D$2:$D$50000,E882,全馬データ!$K$2:$K$50000,"&lt;&gt;")=0,"",SUMIFS(全馬データ!$K$2:$K$50000,全馬データ!$A$2:$A$50000,A882,全馬データ!$B$2:$B$50000,B882,全馬データ!$C$2:$C$50000,C882,全馬データ!$D$2:$D$50000,E882)))</f>
        <v/>
      </c>
      <c r="AP882" s="8" t="str">
        <f aca="false">IF(A882="","",IF(AO882="","欠損",IF(AO882&lt;=1.1,"1.0～1.1",IF(AO882&lt;1.3,"1.2",IF(AO882&lt;1.5,"1.3～1.4",IF(AO882&lt;2,"1.5～1.9","2.0以上"))))))</f>
        <v>欠損</v>
      </c>
      <c r="AQ882" s="8" t="str">
        <f aca="false">IF(A882="","",IF(ISNUMBER(SEARCH("2歳",Z882)),"2歳戦",IF(ISNUMBER(SEARCH("3歳未勝利",Z882)),"3歳未勝利",IF(ISNUMBER(SEARCH("未勝利",Z882)),"その他未勝利",IF(ISNUMBER(SEARCH("G1",Z882)),"G1",IF(ISNUMBER(SEARCH("G2",Z882)),"G2",IF(ISNUMBER(SEARCH("G3",Z882)),"G3",IF(ISNUMBER(SEARCH("古馬条件",Z882)),"古馬条件戦",IF(ISNUMBER(SEARCH("重賞",Z882)),"重賞","分類不能")))))))))</f>
        <v>分類不能</v>
      </c>
      <c r="AR882" s="4" t="s">
        <v>8079</v>
      </c>
      <c r="AS882" s="8" t="s">
        <v>7626</v>
      </c>
      <c r="AT882" s="8" t="s">
        <v>7627</v>
      </c>
      <c r="AU882" s="8" t="s">
        <v>7639</v>
      </c>
      <c r="AV882" s="8" t="s">
        <v>7640</v>
      </c>
      <c r="AW882" s="8" t="s">
        <v>7636</v>
      </c>
      <c r="AX882" s="4" t="s">
        <v>7637</v>
      </c>
      <c r="AY882" s="8" t="s">
        <v>7602</v>
      </c>
      <c r="AZ882" s="4" t="s">
        <v>7603</v>
      </c>
      <c r="BA882" s="8" t="n">
        <v>1000</v>
      </c>
      <c r="BB882" s="8" t="s">
        <v>7598</v>
      </c>
      <c r="BC882" s="4" t="s">
        <v>7604</v>
      </c>
      <c r="BD882" s="8" t="s">
        <v>7630</v>
      </c>
      <c r="BE882" s="4" t="s">
        <v>7606</v>
      </c>
      <c r="BF882" s="8" t="s">
        <v>7607</v>
      </c>
      <c r="BG882" s="8" t="s">
        <v>7631</v>
      </c>
      <c r="BH882" s="4" t="s">
        <v>7632</v>
      </c>
      <c r="BI882" s="8" t="n">
        <v>13</v>
      </c>
      <c r="BJ882" s="8" t="s">
        <v>7608</v>
      </c>
      <c r="BK882" s="4" t="s">
        <v>7649</v>
      </c>
      <c r="BL882" s="8" t="s">
        <v>7647</v>
      </c>
      <c r="BM882" s="4" t="s">
        <v>7648</v>
      </c>
      <c r="BN882" s="8" t="s">
        <v>7602</v>
      </c>
      <c r="BO882" s="8" t="s">
        <v>7613</v>
      </c>
      <c r="BP882" s="8" t="s">
        <v>7602</v>
      </c>
      <c r="BQ882" s="8" t="str">
        <f aca="false">IF(A882="","",AT882)</f>
        <v>3歳以上</v>
      </c>
      <c r="BR882" s="8" t="str">
        <f aca="false">IF(A882="","",IF(BA882&lt;=1200,"～1200",IF(BA882&lt;=1500,"1300～1500",IF(BA882=1600,"1600",IF(BA882&lt;=1800,"1700～1800",IF(BA882&lt;=2000,"1900～2000","2100以上"))))))</f>
        <v>～1200</v>
      </c>
      <c r="BS882" s="8" t="str">
        <f aca="false">IF(A882="","",IF(AX882="G1","G1",IF(AX882="G2","G2",IF(AX882="G3","G3",IF(AX882="L","L","その他")))))</f>
        <v>その他</v>
      </c>
      <c r="BT882" s="8" t="str">
        <f aca="false">IF(A882="","",IF(BI882="","未結合",IF(D882=BI882,"一致","不一致")))</f>
        <v>一致</v>
      </c>
      <c r="BU882" s="8" t="str">
        <f aca="false">IF(A882="","",IF(BE882="牝馬限定","牝馬限定","その他"))</f>
        <v>その他</v>
      </c>
    </row>
    <row r="883" customFormat="false" ht="15.75" hidden="false" customHeight="false" outlineLevel="0" collapsed="false">
      <c r="A883" s="6" t="n">
        <f aca="false">DATE(2026,8,16)</f>
        <v>46250</v>
      </c>
      <c r="B883" s="4" t="s">
        <v>13</v>
      </c>
      <c r="C883" s="8" t="n">
        <v>7</v>
      </c>
      <c r="D883" s="8" t="n">
        <v>15</v>
      </c>
      <c r="E883" s="8" t="n">
        <v>2</v>
      </c>
      <c r="F883" s="4" t="s">
        <v>1537</v>
      </c>
      <c r="G883" s="8" t="n">
        <v>52</v>
      </c>
      <c r="H883" s="8" t="n">
        <v>5</v>
      </c>
      <c r="I883" s="4" t="s">
        <v>4866</v>
      </c>
      <c r="J883" s="8" t="n">
        <v>52</v>
      </c>
      <c r="K883" s="8" t="n">
        <v>7</v>
      </c>
      <c r="L883" s="4" t="s">
        <v>6809</v>
      </c>
      <c r="M883" s="8" t="n">
        <v>31</v>
      </c>
      <c r="N883" s="8" t="n">
        <f aca="false">IF(A883="","",G883-J883)</f>
        <v>0</v>
      </c>
      <c r="O883" s="8" t="n">
        <f aca="false">IF(A883="","",J883-M883)</f>
        <v>21</v>
      </c>
      <c r="P883" s="8" t="n">
        <f aca="false">IF(A883="","",G883+J883)</f>
        <v>104</v>
      </c>
      <c r="Q883" s="8" t="str">
        <f aca="false">IF(A883="","",IF(AND(Y883&lt;&gt;"参考",G883&gt;=ルール設定!$B$2),"○",""))</f>
        <v/>
      </c>
      <c r="R883" s="8" t="str">
        <f aca="false">IF(A883="","",IF(AND(Y883&lt;&gt;"参考",G883&gt;=ルール設定!$B$3,N883&gt;=ルール設定!$B$4),"○",""))</f>
        <v/>
      </c>
      <c r="S883" s="8" t="str">
        <f aca="false">IF(A883="","",IF(AND(Y883&lt;&gt;"参考",G883&gt;=ルール設定!$B$5,J883&gt;=ルール設定!$B$6,O883&gt;=ルール設定!$B$7),"○",""))</f>
        <v/>
      </c>
      <c r="T883" s="8" t="n">
        <v>4</v>
      </c>
      <c r="U883" s="8" t="n">
        <v>4</v>
      </c>
      <c r="V883" s="8" t="str">
        <f aca="false">IF(A883="","",IF(AND(ISNUMBER(T883),ISNUMBER(U883)),IF(AND(T883&lt;=3,U883&lt;=3),"○","×"),""))</f>
        <v>×</v>
      </c>
      <c r="W883" s="8"/>
      <c r="X883" s="8"/>
      <c r="Y883" s="4" t="s">
        <v>7597</v>
      </c>
      <c r="Z883" s="8" t="s">
        <v>8080</v>
      </c>
      <c r="AA883" s="8" t="str">
        <v/>
      </c>
      <c r="AB883" s="8" t="str">
        <v/>
      </c>
      <c r="AC883" s="8" t="str">
        <v/>
      </c>
      <c r="AD883" s="8" t="str">
        <v/>
      </c>
      <c r="AE883" s="8" t="str">
        <v/>
      </c>
      <c r="AF883" s="8" t="str">
        <v/>
      </c>
      <c r="AG883" s="8" t="str">
        <v/>
      </c>
      <c r="AH883" s="8" t="str">
        <v/>
      </c>
      <c r="AI883" s="8" t="n">
        <v>21</v>
      </c>
      <c r="AJ883" s="8" t="str">
        <v>～59</v>
      </c>
      <c r="AK883" s="8" t="str">
        <v>0～4</v>
      </c>
      <c r="AL883" s="8" t="str">
        <v>20～29</v>
      </c>
      <c r="AM883" s="8" t="str">
        <v>100～119</v>
      </c>
      <c r="AN883" s="8" t="str">
        <v>15以上</v>
      </c>
      <c r="AO883" s="8" t="str">
        <f aca="false">IF(A883="","",IF(COUNTIFS(全馬データ!$A$2:$A$50000,A883,全馬データ!$B$2:$B$50000,B883,全馬データ!$C$2:$C$50000,C883,全馬データ!$D$2:$D$50000,E883,全馬データ!$K$2:$K$50000,"&lt;&gt;")=0,"",SUMIFS(全馬データ!$K$2:$K$50000,全馬データ!$A$2:$A$50000,A883,全馬データ!$B$2:$B$50000,B883,全馬データ!$C$2:$C$50000,C883,全馬データ!$D$2:$D$50000,E883)))</f>
        <v/>
      </c>
      <c r="AP883" s="8" t="str">
        <f aca="false">IF(A883="","",IF(AO883="","欠損",IF(AO883&lt;=1.1,"1.0～1.1",IF(AO883&lt;1.3,"1.2",IF(AO883&lt;1.5,"1.3～1.4",IF(AO883&lt;2,"1.5～1.9","2.0以上"))))))</f>
        <v>欠損</v>
      </c>
      <c r="AQ883" s="8" t="str">
        <f aca="false">IF(A883="","",IF(ISNUMBER(SEARCH("2歳",Z883)),"2歳戦",IF(ISNUMBER(SEARCH("3歳未勝利",Z883)),"3歳未勝利",IF(ISNUMBER(SEARCH("未勝利",Z883)),"その他未勝利",IF(ISNUMBER(SEARCH("G1",Z883)),"G1",IF(ISNUMBER(SEARCH("G2",Z883)),"G2",IF(ISNUMBER(SEARCH("G3",Z883)),"G3",IF(ISNUMBER(SEARCH("古馬条件",Z883)),"古馬条件戦",IF(ISNUMBER(SEARCH("重賞",Z883)),"重賞","分類不能")))))))))</f>
        <v>分類不能</v>
      </c>
      <c r="AR883" s="4" t="s">
        <v>8081</v>
      </c>
      <c r="AS883" s="8" t="s">
        <v>7626</v>
      </c>
      <c r="AT883" s="8" t="s">
        <v>7627</v>
      </c>
      <c r="AU883" s="8" t="s">
        <v>7643</v>
      </c>
      <c r="AV883" s="4" t="s">
        <v>7644</v>
      </c>
      <c r="AW883" s="8" t="s">
        <v>7636</v>
      </c>
      <c r="AX883" s="4" t="s">
        <v>7637</v>
      </c>
      <c r="AY883" s="8" t="s">
        <v>7610</v>
      </c>
      <c r="AZ883" s="4" t="s">
        <v>7617</v>
      </c>
      <c r="BA883" s="8" t="n">
        <v>1200</v>
      </c>
      <c r="BB883" s="8" t="s">
        <v>7598</v>
      </c>
      <c r="BC883" s="4" t="s">
        <v>7604</v>
      </c>
      <c r="BD883" s="8" t="s">
        <v>7666</v>
      </c>
      <c r="BE883" s="4" t="s">
        <v>7606</v>
      </c>
      <c r="BF883" s="8" t="s">
        <v>7607</v>
      </c>
      <c r="BG883" s="8" t="s">
        <v>7602</v>
      </c>
      <c r="BH883" s="4" t="s">
        <v>7667</v>
      </c>
      <c r="BI883" s="8" t="n">
        <v>15</v>
      </c>
      <c r="BJ883" s="8" t="s">
        <v>7610</v>
      </c>
      <c r="BK883" s="4" t="s">
        <v>7611</v>
      </c>
      <c r="BL883" s="8" t="s">
        <v>7602</v>
      </c>
      <c r="BM883" s="4" t="s">
        <v>7620</v>
      </c>
      <c r="BN883" s="8"/>
      <c r="BO883" s="8"/>
      <c r="BP883" s="8" t="s">
        <v>7602</v>
      </c>
      <c r="BQ883" s="8" t="str">
        <f aca="false">IF(A883="","",AT883)</f>
        <v>3歳以上</v>
      </c>
      <c r="BR883" s="8" t="str">
        <f aca="false">IF(A883="","",IF(BA883&lt;=1200,"～1200",IF(BA883&lt;=1500,"1300～1500",IF(BA883=1600,"1600",IF(BA883&lt;=1800,"1700～1800",IF(BA883&lt;=2000,"1900～2000","2100以上"))))))</f>
        <v>～1200</v>
      </c>
      <c r="BS883" s="8" t="str">
        <f aca="false">IF(A883="","",IF(AX883="G1","G1",IF(AX883="G2","G2",IF(AX883="G3","G3",IF(AX883="L","L","その他")))))</f>
        <v>その他</v>
      </c>
      <c r="BT883" s="8" t="str">
        <f aca="false">IF(A883="","",IF(BI883="","未結合",IF(D883=BI883,"一致","不一致")))</f>
        <v>一致</v>
      </c>
      <c r="BU883" s="8" t="str">
        <f aca="false">IF(A883="","",IF(BE883="牝馬限定","牝馬限定","その他"))</f>
        <v>その他</v>
      </c>
    </row>
    <row r="884" customFormat="false" ht="15.75" hidden="false" customHeight="false" outlineLevel="0" collapsed="false">
      <c r="A884" s="6" t="n">
        <f aca="false">DATE(2026,8,16)</f>
        <v>46250</v>
      </c>
      <c r="B884" s="4" t="s">
        <v>13</v>
      </c>
      <c r="C884" s="8" t="n">
        <v>8</v>
      </c>
      <c r="D884" s="8" t="n">
        <v>13</v>
      </c>
      <c r="E884" s="8" t="n">
        <v>2</v>
      </c>
      <c r="F884" s="4" t="s">
        <v>4032</v>
      </c>
      <c r="G884" s="8" t="n">
        <v>44</v>
      </c>
      <c r="H884" s="8" t="n">
        <v>12</v>
      </c>
      <c r="I884" s="4" t="s">
        <v>6814</v>
      </c>
      <c r="J884" s="8" t="n">
        <v>37</v>
      </c>
      <c r="K884" s="8" t="n">
        <v>5</v>
      </c>
      <c r="L884" s="4" t="s">
        <v>4336</v>
      </c>
      <c r="M884" s="8" t="n">
        <v>34</v>
      </c>
      <c r="N884" s="8" t="n">
        <f aca="false">IF(A884="","",G884-J884)</f>
        <v>7</v>
      </c>
      <c r="O884" s="8" t="n">
        <f aca="false">IF(A884="","",J884-M884)</f>
        <v>3</v>
      </c>
      <c r="P884" s="8" t="n">
        <f aca="false">IF(A884="","",G884+J884)</f>
        <v>81</v>
      </c>
      <c r="Q884" s="8" t="str">
        <f aca="false">IF(A884="","",IF(AND(Y884&lt;&gt;"参考",G884&gt;=ルール設定!$B$2),"○",""))</f>
        <v/>
      </c>
      <c r="R884" s="8" t="str">
        <f aca="false">IF(A884="","",IF(AND(Y884&lt;&gt;"参考",G884&gt;=ルール設定!$B$3,N884&gt;=ルール設定!$B$4),"○",""))</f>
        <v/>
      </c>
      <c r="S884" s="8" t="str">
        <f aca="false">IF(A884="","",IF(AND(Y884&lt;&gt;"参考",G884&gt;=ルール設定!$B$5,J884&gt;=ルール設定!$B$6,O884&gt;=ルール設定!$B$7),"○",""))</f>
        <v/>
      </c>
      <c r="T884" s="8" t="n">
        <v>4</v>
      </c>
      <c r="U884" s="8" t="n">
        <v>4</v>
      </c>
      <c r="V884" s="8" t="str">
        <f aca="false">IF(A884="","",IF(AND(ISNUMBER(T884),ISNUMBER(U884)),IF(AND(T884&lt;=3,U884&lt;=3),"○","×"),""))</f>
        <v>×</v>
      </c>
      <c r="W884" s="8"/>
      <c r="X884" s="8"/>
      <c r="Y884" s="4" t="s">
        <v>7597</v>
      </c>
      <c r="Z884" s="8" t="s">
        <v>8082</v>
      </c>
      <c r="AA884" s="8" t="str">
        <v/>
      </c>
      <c r="AB884" s="8" t="str">
        <v/>
      </c>
      <c r="AC884" s="8" t="str">
        <v/>
      </c>
      <c r="AD884" s="8" t="str">
        <v/>
      </c>
      <c r="AE884" s="8" t="str">
        <v/>
      </c>
      <c r="AF884" s="8" t="str">
        <v/>
      </c>
      <c r="AG884" s="8" t="str">
        <v/>
      </c>
      <c r="AH884" s="8" t="str">
        <v/>
      </c>
      <c r="AI884" s="8" t="n">
        <v>10</v>
      </c>
      <c r="AJ884" s="8" t="str">
        <v>～59</v>
      </c>
      <c r="AK884" s="8" t="str">
        <v>5～9</v>
      </c>
      <c r="AL884" s="8" t="str">
        <v>10～19</v>
      </c>
      <c r="AM884" s="8" t="str">
        <v>～99</v>
      </c>
      <c r="AN884" s="8" t="str">
        <v>12～14</v>
      </c>
      <c r="AO884" s="8" t="str">
        <f aca="false">IF(A884="","",IF(COUNTIFS(全馬データ!$A$2:$A$50000,A884,全馬データ!$B$2:$B$50000,B884,全馬データ!$C$2:$C$50000,C884,全馬データ!$D$2:$D$50000,E884,全馬データ!$K$2:$K$50000,"&lt;&gt;")=0,"",SUMIFS(全馬データ!$K$2:$K$50000,全馬データ!$A$2:$A$50000,A884,全馬データ!$B$2:$B$50000,B884,全馬データ!$C$2:$C$50000,C884,全馬データ!$D$2:$D$50000,E884)))</f>
        <v/>
      </c>
      <c r="AP884" s="8" t="str">
        <f aca="false">IF(A884="","",IF(AO884="","欠損",IF(AO884&lt;=1.1,"1.0～1.1",IF(AO884&lt;1.3,"1.2",IF(AO884&lt;1.5,"1.3～1.4",IF(AO884&lt;2,"1.5～1.9","2.0以上"))))))</f>
        <v>欠損</v>
      </c>
      <c r="AQ884" s="8" t="str">
        <f aca="false">IF(A884="","",IF(ISNUMBER(SEARCH("2歳",Z884)),"2歳戦",IF(ISNUMBER(SEARCH("3歳未勝利",Z884)),"3歳未勝利",IF(ISNUMBER(SEARCH("未勝利",Z884)),"その他未勝利",IF(ISNUMBER(SEARCH("G1",Z884)),"G1",IF(ISNUMBER(SEARCH("G2",Z884)),"G2",IF(ISNUMBER(SEARCH("G3",Z884)),"G3",IF(ISNUMBER(SEARCH("古馬条件",Z884)),"古馬条件戦",IF(ISNUMBER(SEARCH("重賞",Z884)),"重賞","分類不能")))))))))</f>
        <v>分類不能</v>
      </c>
      <c r="AR884" s="4" t="s">
        <v>8083</v>
      </c>
      <c r="AS884" s="8" t="s">
        <v>7626</v>
      </c>
      <c r="AT884" s="8" t="s">
        <v>7627</v>
      </c>
      <c r="AU884" s="8" t="s">
        <v>7634</v>
      </c>
      <c r="AV884" s="8" t="s">
        <v>7635</v>
      </c>
      <c r="AW884" s="8" t="s">
        <v>7636</v>
      </c>
      <c r="AX884" s="4" t="s">
        <v>7637</v>
      </c>
      <c r="AY884" s="8" t="s">
        <v>7610</v>
      </c>
      <c r="AZ884" s="4" t="s">
        <v>7617</v>
      </c>
      <c r="BA884" s="8" t="n">
        <v>1800</v>
      </c>
      <c r="BB884" s="8" t="s">
        <v>7598</v>
      </c>
      <c r="BC884" s="4" t="s">
        <v>7604</v>
      </c>
      <c r="BD884" s="8" t="s">
        <v>7605</v>
      </c>
      <c r="BE884" s="4" t="s">
        <v>7606</v>
      </c>
      <c r="BF884" s="8" t="s">
        <v>7607</v>
      </c>
      <c r="BG884" s="8" t="s">
        <v>7631</v>
      </c>
      <c r="BH884" s="4" t="s">
        <v>7632</v>
      </c>
      <c r="BI884" s="8" t="n">
        <v>13</v>
      </c>
      <c r="BJ884" s="8" t="s">
        <v>7610</v>
      </c>
      <c r="BK884" s="4" t="s">
        <v>7611</v>
      </c>
      <c r="BL884" s="8" t="s">
        <v>7602</v>
      </c>
      <c r="BM884" s="4" t="s">
        <v>7620</v>
      </c>
      <c r="BN884" s="8"/>
      <c r="BO884" s="8"/>
      <c r="BP884" s="8" t="s">
        <v>7602</v>
      </c>
      <c r="BQ884" s="8" t="str">
        <f aca="false">IF(A884="","",AT884)</f>
        <v>3歳以上</v>
      </c>
      <c r="BR884" s="8" t="str">
        <f aca="false">IF(A884="","",IF(BA884&lt;=1200,"～1200",IF(BA884&lt;=1500,"1300～1500",IF(BA884=1600,"1600",IF(BA884&lt;=1800,"1700～1800",IF(BA884&lt;=2000,"1900～2000","2100以上"))))))</f>
        <v>1700～1800</v>
      </c>
      <c r="BS884" s="8" t="str">
        <f aca="false">IF(A884="","",IF(AX884="G1","G1",IF(AX884="G2","G2",IF(AX884="G3","G3",IF(AX884="L","L","その他")))))</f>
        <v>その他</v>
      </c>
      <c r="BT884" s="8" t="str">
        <f aca="false">IF(A884="","",IF(BI884="","未結合",IF(D884=BI884,"一致","不一致")))</f>
        <v>一致</v>
      </c>
      <c r="BU884" s="8" t="str">
        <f aca="false">IF(A884="","",IF(BE884="牝馬限定","牝馬限定","その他"))</f>
        <v>その他</v>
      </c>
    </row>
    <row r="885" customFormat="false" ht="15.75" hidden="false" customHeight="false" outlineLevel="0" collapsed="false">
      <c r="A885" s="6" t="n">
        <f aca="false">DATE(2026,8,16)</f>
        <v>46250</v>
      </c>
      <c r="B885" s="4" t="s">
        <v>13</v>
      </c>
      <c r="C885" s="8" t="n">
        <v>9</v>
      </c>
      <c r="D885" s="8" t="n">
        <v>12</v>
      </c>
      <c r="E885" s="8" t="n">
        <v>2</v>
      </c>
      <c r="F885" s="4" t="s">
        <v>1563</v>
      </c>
      <c r="G885" s="8" t="n">
        <v>55</v>
      </c>
      <c r="H885" s="8" t="n">
        <v>4</v>
      </c>
      <c r="I885" s="4" t="s">
        <v>1097</v>
      </c>
      <c r="J885" s="8" t="n">
        <v>44</v>
      </c>
      <c r="K885" s="8" t="n">
        <v>5</v>
      </c>
      <c r="L885" s="4" t="s">
        <v>6816</v>
      </c>
      <c r="M885" s="8" t="n">
        <v>44</v>
      </c>
      <c r="N885" s="8" t="n">
        <f aca="false">IF(A885="","",G885-J885)</f>
        <v>11</v>
      </c>
      <c r="O885" s="8" t="n">
        <f aca="false">IF(A885="","",J885-M885)</f>
        <v>0</v>
      </c>
      <c r="P885" s="8" t="n">
        <f aca="false">IF(A885="","",G885+J885)</f>
        <v>99</v>
      </c>
      <c r="Q885" s="8" t="str">
        <f aca="false">IF(A885="","",IF(AND(Y885&lt;&gt;"参考",G885&gt;=ルール設定!$B$2),"○",""))</f>
        <v/>
      </c>
      <c r="R885" s="8" t="str">
        <f aca="false">IF(A885="","",IF(AND(Y885&lt;&gt;"参考",G885&gt;=ルール設定!$B$3,N885&gt;=ルール設定!$B$4),"○",""))</f>
        <v/>
      </c>
      <c r="S885" s="8" t="str">
        <f aca="false">IF(A885="","",IF(AND(Y885&lt;&gt;"参考",G885&gt;=ルール設定!$B$5,J885&gt;=ルール設定!$B$6,O885&gt;=ルール設定!$B$7),"○",""))</f>
        <v/>
      </c>
      <c r="T885" s="8" t="n">
        <v>4</v>
      </c>
      <c r="U885" s="8" t="n">
        <v>2</v>
      </c>
      <c r="V885" s="8" t="str">
        <f aca="false">IF(A885="","",IF(AND(ISNUMBER(T885),ISNUMBER(U885)),IF(AND(T885&lt;=3,U885&lt;=3),"○","×"),""))</f>
        <v>×</v>
      </c>
      <c r="W885" s="8"/>
      <c r="X885" s="8"/>
      <c r="Y885" s="4" t="s">
        <v>7597</v>
      </c>
      <c r="Z885" s="8" t="s">
        <v>8084</v>
      </c>
      <c r="AA885" s="8" t="str">
        <v/>
      </c>
      <c r="AB885" s="8" t="str">
        <v/>
      </c>
      <c r="AC885" s="8" t="str">
        <v/>
      </c>
      <c r="AD885" s="8" t="str">
        <v/>
      </c>
      <c r="AE885" s="8" t="str">
        <v/>
      </c>
      <c r="AF885" s="8" t="str">
        <v/>
      </c>
      <c r="AG885" s="8" t="str">
        <v/>
      </c>
      <c r="AH885" s="8" t="str">
        <v/>
      </c>
      <c r="AI885" s="8" t="n">
        <v>11</v>
      </c>
      <c r="AJ885" s="8" t="str">
        <v>～59</v>
      </c>
      <c r="AK885" s="8" t="str">
        <v>10～19</v>
      </c>
      <c r="AL885" s="8" t="str">
        <v>10～19</v>
      </c>
      <c r="AM885" s="8" t="str">
        <v>～99</v>
      </c>
      <c r="AN885" s="8" t="str">
        <v>12～14</v>
      </c>
      <c r="AO885" s="8" t="str">
        <f aca="false">IF(A885="","",IF(COUNTIFS(全馬データ!$A$2:$A$50000,A885,全馬データ!$B$2:$B$50000,B885,全馬データ!$C$2:$C$50000,C885,全馬データ!$D$2:$D$50000,E885,全馬データ!$K$2:$K$50000,"&lt;&gt;")=0,"",SUMIFS(全馬データ!$K$2:$K$50000,全馬データ!$A$2:$A$50000,A885,全馬データ!$B$2:$B$50000,B885,全馬データ!$C$2:$C$50000,C885,全馬データ!$D$2:$D$50000,E885)))</f>
        <v/>
      </c>
      <c r="AP885" s="8" t="str">
        <f aca="false">IF(A885="","",IF(AO885="","欠損",IF(AO885&lt;=1.1,"1.0～1.1",IF(AO885&lt;1.3,"1.2",IF(AO885&lt;1.5,"1.3～1.4",IF(AO885&lt;2,"1.5～1.9","2.0以上"))))))</f>
        <v>欠損</v>
      </c>
      <c r="AQ885" s="8" t="str">
        <f aca="false">IF(A885="","",IF(ISNUMBER(SEARCH("2歳",Z885)),"2歳戦",IF(ISNUMBER(SEARCH("3歳未勝利",Z885)),"3歳未勝利",IF(ISNUMBER(SEARCH("未勝利",Z885)),"その他未勝利",IF(ISNUMBER(SEARCH("G1",Z885)),"G1",IF(ISNUMBER(SEARCH("G2",Z885)),"G2",IF(ISNUMBER(SEARCH("G3",Z885)),"G3",IF(ISNUMBER(SEARCH("古馬条件",Z885)),"古馬条件戦",IF(ISNUMBER(SEARCH("重賞",Z885)),"重賞","分類不能")))))))))</f>
        <v>分類不能</v>
      </c>
      <c r="AR885" s="8"/>
      <c r="AS885" s="8" t="s">
        <v>7618</v>
      </c>
      <c r="AT885" s="4" t="s">
        <v>7642</v>
      </c>
      <c r="AU885" s="8" t="s">
        <v>7600</v>
      </c>
      <c r="AV885" s="4" t="s">
        <v>7601</v>
      </c>
      <c r="AW885" s="8"/>
      <c r="AX885" s="8"/>
      <c r="AY885" s="8" t="s">
        <v>7608</v>
      </c>
      <c r="AZ885" s="4" t="s">
        <v>7642</v>
      </c>
      <c r="BA885" s="8" t="n">
        <v>2850</v>
      </c>
      <c r="BB885" s="8" t="s">
        <v>7634</v>
      </c>
      <c r="BC885" s="4" t="s">
        <v>7604</v>
      </c>
      <c r="BD885" s="8" t="s">
        <v>7645</v>
      </c>
      <c r="BE885" s="4" t="s">
        <v>7606</v>
      </c>
      <c r="BF885" s="8" t="s">
        <v>7607</v>
      </c>
      <c r="BG885" s="8" t="s">
        <v>7631</v>
      </c>
      <c r="BH885" s="4" t="s">
        <v>7632</v>
      </c>
      <c r="BI885" s="8" t="n">
        <v>12</v>
      </c>
      <c r="BJ885" s="8" t="s">
        <v>7647</v>
      </c>
      <c r="BK885" s="4" t="s">
        <v>7648</v>
      </c>
      <c r="BL885" s="8" t="s">
        <v>7647</v>
      </c>
      <c r="BM885" s="4" t="s">
        <v>7648</v>
      </c>
      <c r="BN885" s="8"/>
      <c r="BO885" s="8"/>
      <c r="BP885" s="8" t="s">
        <v>7602</v>
      </c>
      <c r="BQ885" s="8" t="str">
        <f aca="false">IF(A885="","",AT885)</f>
        <v>障害</v>
      </c>
      <c r="BR885" s="8" t="str">
        <f aca="false">IF(A885="","",IF(BA885&lt;=1200,"～1200",IF(BA885&lt;=1500,"1300～1500",IF(BA885=1600,"1600",IF(BA885&lt;=1800,"1700～1800",IF(BA885&lt;=2000,"1900～2000","2100以上"))))))</f>
        <v>2100以上</v>
      </c>
      <c r="BS885" s="8" t="str">
        <f aca="false">IF(A885="","",IF(AX885="G1","G1",IF(AX885="G2","G2",IF(AX885="G3","G3",IF(AX885="L","L","その他")))))</f>
        <v>その他</v>
      </c>
      <c r="BT885" s="8" t="str">
        <f aca="false">IF(A885="","",IF(BI885="","未結合",IF(D885=BI885,"一致","不一致")))</f>
        <v>一致</v>
      </c>
      <c r="BU885" s="8" t="str">
        <f aca="false">IF(A885="","",IF(BE885="牝馬限定","牝馬限定","その他"))</f>
        <v>その他</v>
      </c>
    </row>
    <row r="886" customFormat="false" ht="15.75" hidden="false" customHeight="false" outlineLevel="0" collapsed="false">
      <c r="A886" s="6" t="n">
        <f aca="false">DATE(2026,8,16)</f>
        <v>46250</v>
      </c>
      <c r="B886" s="4" t="s">
        <v>13</v>
      </c>
      <c r="C886" s="8" t="n">
        <v>10</v>
      </c>
      <c r="D886" s="8" t="n">
        <v>15</v>
      </c>
      <c r="E886" s="8" t="n">
        <v>13</v>
      </c>
      <c r="F886" s="4" t="s">
        <v>1426</v>
      </c>
      <c r="G886" s="8" t="n">
        <v>58</v>
      </c>
      <c r="H886" s="8" t="n">
        <v>10</v>
      </c>
      <c r="I886" s="4" t="s">
        <v>2934</v>
      </c>
      <c r="J886" s="8" t="n">
        <v>56</v>
      </c>
      <c r="K886" s="8" t="n">
        <v>15</v>
      </c>
      <c r="L886" s="4" t="s">
        <v>6823</v>
      </c>
      <c r="M886" s="8" t="n">
        <v>56</v>
      </c>
      <c r="N886" s="8" t="n">
        <f aca="false">IF(A886="","",G886-J886)</f>
        <v>2</v>
      </c>
      <c r="O886" s="8" t="n">
        <f aca="false">IF(A886="","",J886-M886)</f>
        <v>0</v>
      </c>
      <c r="P886" s="8" t="n">
        <f aca="false">IF(A886="","",G886+J886)</f>
        <v>114</v>
      </c>
      <c r="Q886" s="8" t="str">
        <f aca="false">IF(A886="","",IF(AND(Y886&lt;&gt;"参考",G886&gt;=ルール設定!$B$2),"○",""))</f>
        <v/>
      </c>
      <c r="R886" s="8" t="str">
        <f aca="false">IF(A886="","",IF(AND(Y886&lt;&gt;"参考",G886&gt;=ルール設定!$B$3,N886&gt;=ルール設定!$B$4),"○",""))</f>
        <v/>
      </c>
      <c r="S886" s="8" t="str">
        <f aca="false">IF(A886="","",IF(AND(Y886&lt;&gt;"参考",G886&gt;=ルール設定!$B$5,J886&gt;=ルール設定!$B$6,O886&gt;=ルール設定!$B$7),"○",""))</f>
        <v/>
      </c>
      <c r="T886" s="8" t="n">
        <v>3</v>
      </c>
      <c r="U886" s="8" t="n">
        <v>2</v>
      </c>
      <c r="V886" s="8" t="str">
        <f aca="false">IF(A886="","",IF(AND(ISNUMBER(T886),ISNUMBER(U886)),IF(AND(T886&lt;=3,U886&lt;=3),"○","×"),""))</f>
        <v>○</v>
      </c>
      <c r="W886" s="8" t="n">
        <v>160</v>
      </c>
      <c r="X886" s="8" t="n">
        <v>300</v>
      </c>
      <c r="Y886" s="4" t="s">
        <v>7597</v>
      </c>
      <c r="Z886" s="8" t="s">
        <v>8085</v>
      </c>
      <c r="AA886" s="8" t="str">
        <v/>
      </c>
      <c r="AB886" s="8" t="str">
        <v/>
      </c>
      <c r="AC886" s="8" t="str">
        <v/>
      </c>
      <c r="AD886" s="8" t="str">
        <v/>
      </c>
      <c r="AE886" s="8" t="str">
        <v/>
      </c>
      <c r="AF886" s="8" t="str">
        <v/>
      </c>
      <c r="AG886" s="8" t="str">
        <v/>
      </c>
      <c r="AH886" s="8" t="str">
        <v/>
      </c>
      <c r="AI886" s="8" t="n">
        <v>2</v>
      </c>
      <c r="AJ886" s="8" t="str">
        <v>～59</v>
      </c>
      <c r="AK886" s="8" t="str">
        <v>0～4</v>
      </c>
      <c r="AL886" s="8" t="str">
        <v>0～9</v>
      </c>
      <c r="AM886" s="8" t="str">
        <v>100～119</v>
      </c>
      <c r="AN886" s="8" t="str">
        <v>15以上</v>
      </c>
      <c r="AO886" s="8" t="str">
        <f aca="false">IF(A886="","",IF(COUNTIFS(全馬データ!$A$2:$A$50000,A886,全馬データ!$B$2:$B$50000,B886,全馬データ!$C$2:$C$50000,C886,全馬データ!$D$2:$D$50000,E886,全馬データ!$K$2:$K$50000,"&lt;&gt;")=0,"",SUMIFS(全馬データ!$K$2:$K$50000,全馬データ!$A$2:$A$50000,A886,全馬データ!$B$2:$B$50000,B886,全馬データ!$C$2:$C$50000,C886,全馬データ!$D$2:$D$50000,E886)))</f>
        <v/>
      </c>
      <c r="AP886" s="8" t="str">
        <f aca="false">IF(A886="","",IF(AO886="","欠損",IF(AO886&lt;=1.1,"1.0～1.1",IF(AO886&lt;1.3,"1.2",IF(AO886&lt;1.5,"1.3～1.4",IF(AO886&lt;2,"1.5～1.9","2.0以上"))))))</f>
        <v>欠損</v>
      </c>
      <c r="AQ886" s="8" t="str">
        <f aca="false">IF(A886="","",IF(ISNUMBER(SEARCH("2歳",Z886)),"2歳戦",IF(ISNUMBER(SEARCH("3歳未勝利",Z886)),"3歳未勝利",IF(ISNUMBER(SEARCH("未勝利",Z886)),"その他未勝利",IF(ISNUMBER(SEARCH("G1",Z886)),"G1",IF(ISNUMBER(SEARCH("G2",Z886)),"G2",IF(ISNUMBER(SEARCH("G3",Z886)),"G3",IF(ISNUMBER(SEARCH("古馬条件",Z886)),"古馬条件戦",IF(ISNUMBER(SEARCH("重賞",Z886)),"重賞","分類不能")))))))))</f>
        <v>分類不能</v>
      </c>
      <c r="AR886" s="8"/>
      <c r="AS886" s="8" t="s">
        <v>7623</v>
      </c>
      <c r="AT886" s="8" t="s">
        <v>7624</v>
      </c>
      <c r="AU886" s="8" t="s">
        <v>7600</v>
      </c>
      <c r="AV886" s="4" t="s">
        <v>7601</v>
      </c>
      <c r="AW886" s="8"/>
      <c r="AX886" s="8"/>
      <c r="AY886" s="8" t="s">
        <v>7610</v>
      </c>
      <c r="AZ886" s="4" t="s">
        <v>7617</v>
      </c>
      <c r="BA886" s="8" t="n">
        <v>1800</v>
      </c>
      <c r="BB886" s="8" t="s">
        <v>7598</v>
      </c>
      <c r="BC886" s="4" t="s">
        <v>7604</v>
      </c>
      <c r="BD886" s="8" t="s">
        <v>7621</v>
      </c>
      <c r="BE886" s="4" t="s">
        <v>7622</v>
      </c>
      <c r="BF886" s="8" t="s">
        <v>7602</v>
      </c>
      <c r="BG886" s="8" t="s">
        <v>7608</v>
      </c>
      <c r="BH886" s="4" t="s">
        <v>7609</v>
      </c>
      <c r="BI886" s="8" t="n">
        <v>15</v>
      </c>
      <c r="BJ886" s="8" t="s">
        <v>7610</v>
      </c>
      <c r="BK886" s="4" t="s">
        <v>7611</v>
      </c>
      <c r="BL886" s="8" t="s">
        <v>7602</v>
      </c>
      <c r="BM886" s="4" t="s">
        <v>7620</v>
      </c>
      <c r="BN886" s="8"/>
      <c r="BO886" s="8"/>
      <c r="BP886" s="8" t="s">
        <v>7602</v>
      </c>
      <c r="BQ886" s="8" t="str">
        <f aca="false">IF(A886="","",AT886)</f>
        <v>3歳</v>
      </c>
      <c r="BR886" s="8" t="str">
        <f aca="false">IF(A886="","",IF(BA886&lt;=1200,"～1200",IF(BA886&lt;=1500,"1300～1500",IF(BA886=1600,"1600",IF(BA886&lt;=1800,"1700～1800",IF(BA886&lt;=2000,"1900～2000","2100以上"))))))</f>
        <v>1700～1800</v>
      </c>
      <c r="BS886" s="8" t="str">
        <f aca="false">IF(A886="","",IF(AX886="G1","G1",IF(AX886="G2","G2",IF(AX886="G3","G3",IF(AX886="L","L","その他")))))</f>
        <v>その他</v>
      </c>
      <c r="BT886" s="8" t="str">
        <f aca="false">IF(A886="","",IF(BI886="","未結合",IF(D886=BI886,"一致","不一致")))</f>
        <v>一致</v>
      </c>
      <c r="BU886" s="8" t="str">
        <f aca="false">IF(A886="","",IF(BE886="牝馬限定","牝馬限定","その他"))</f>
        <v>牝馬限定</v>
      </c>
    </row>
    <row r="887" customFormat="false" ht="15.75" hidden="false" customHeight="false" outlineLevel="0" collapsed="false">
      <c r="A887" s="6" t="n">
        <f aca="false">DATE(2026,8,16)</f>
        <v>46250</v>
      </c>
      <c r="B887" s="4" t="s">
        <v>13</v>
      </c>
      <c r="C887" s="8" t="n">
        <v>11</v>
      </c>
      <c r="D887" s="8" t="n">
        <v>9</v>
      </c>
      <c r="E887" s="8" t="n">
        <v>9</v>
      </c>
      <c r="F887" s="4" t="s">
        <v>5610</v>
      </c>
      <c r="G887" s="8" t="n">
        <v>65</v>
      </c>
      <c r="H887" s="8" t="n">
        <v>2</v>
      </c>
      <c r="I887" s="4" t="s">
        <v>5611</v>
      </c>
      <c r="J887" s="8" t="n">
        <v>52</v>
      </c>
      <c r="K887" s="8" t="n">
        <v>1</v>
      </c>
      <c r="L887" s="4" t="s">
        <v>6824</v>
      </c>
      <c r="M887" s="8" t="n">
        <v>50</v>
      </c>
      <c r="N887" s="8" t="n">
        <f aca="false">IF(A887="","",G887-J887)</f>
        <v>13</v>
      </c>
      <c r="O887" s="8" t="n">
        <f aca="false">IF(A887="","",J887-M887)</f>
        <v>2</v>
      </c>
      <c r="P887" s="8" t="n">
        <f aca="false">IF(A887="","",G887+J887)</f>
        <v>117</v>
      </c>
      <c r="Q887" s="8" t="str">
        <f aca="false">IF(A887="","",IF(AND(Y887&lt;&gt;"参考",G887&gt;=ルール設定!$B$2),"○",""))</f>
        <v/>
      </c>
      <c r="R887" s="8" t="str">
        <f aca="false">IF(A887="","",IF(AND(Y887&lt;&gt;"参考",G887&gt;=ルール設定!$B$3,N887&gt;=ルール設定!$B$4),"○",""))</f>
        <v/>
      </c>
      <c r="S887" s="8" t="str">
        <f aca="false">IF(A887="","",IF(AND(Y887&lt;&gt;"参考",G887&gt;=ルール設定!$B$5,J887&gt;=ルール設定!$B$6,O887&gt;=ルール設定!$B$7),"○",""))</f>
        <v/>
      </c>
      <c r="T887" s="8" t="n">
        <v>2</v>
      </c>
      <c r="U887" s="8" t="n">
        <v>4</v>
      </c>
      <c r="V887" s="8" t="str">
        <f aca="false">IF(A887="","",IF(AND(ISNUMBER(T887),ISNUMBER(U887)),IF(AND(T887&lt;=3,U887&lt;=3),"○","×"),""))</f>
        <v>×</v>
      </c>
      <c r="W887" s="8" t="n">
        <v>160</v>
      </c>
      <c r="X887" s="8"/>
      <c r="Y887" s="4" t="s">
        <v>7597</v>
      </c>
      <c r="Z887" s="8" t="s">
        <v>8086</v>
      </c>
      <c r="AA887" s="8" t="str">
        <v/>
      </c>
      <c r="AB887" s="8" t="str">
        <v/>
      </c>
      <c r="AC887" s="8" t="str">
        <v/>
      </c>
      <c r="AD887" s="8" t="str">
        <v/>
      </c>
      <c r="AE887" s="8" t="str">
        <v/>
      </c>
      <c r="AF887" s="8" t="str">
        <v/>
      </c>
      <c r="AG887" s="8" t="str">
        <v/>
      </c>
      <c r="AH887" s="8" t="str">
        <v/>
      </c>
      <c r="AI887" s="8" t="n">
        <v>15</v>
      </c>
      <c r="AJ887" s="8" t="str">
        <v>60～69</v>
      </c>
      <c r="AK887" s="8" t="str">
        <v>10～19</v>
      </c>
      <c r="AL887" s="8" t="str">
        <v>10～19</v>
      </c>
      <c r="AM887" s="8" t="str">
        <v>100～119</v>
      </c>
      <c r="AN887" s="8" t="str">
        <v>8～11</v>
      </c>
      <c r="AO887" s="8" t="str">
        <f aca="false">IF(A887="","",IF(COUNTIFS(全馬データ!$A$2:$A$50000,A887,全馬データ!$B$2:$B$50000,B887,全馬データ!$C$2:$C$50000,C887,全馬データ!$D$2:$D$50000,E887,全馬データ!$K$2:$K$50000,"&lt;&gt;")=0,"",SUMIFS(全馬データ!$K$2:$K$50000,全馬データ!$A$2:$A$50000,A887,全馬データ!$B$2:$B$50000,B887,全馬データ!$C$2:$C$50000,C887,全馬データ!$D$2:$D$50000,E887)))</f>
        <v/>
      </c>
      <c r="AP887" s="8" t="str">
        <f aca="false">IF(A887="","",IF(AO887="","欠損",IF(AO887&lt;=1.1,"1.0～1.1",IF(AO887&lt;1.3,"1.2",IF(AO887&lt;1.5,"1.3～1.4",IF(AO887&lt;2,"1.5～1.9","2.0以上"))))))</f>
        <v>欠損</v>
      </c>
      <c r="AQ887" s="8" t="str">
        <f aca="false">IF(A887="","",IF(ISNUMBER(SEARCH("2歳",Z887)),"2歳戦",IF(ISNUMBER(SEARCH("3歳未勝利",Z887)),"3歳未勝利",IF(ISNUMBER(SEARCH("未勝利",Z887)),"その他未勝利",IF(ISNUMBER(SEARCH("G1",Z887)),"G1",IF(ISNUMBER(SEARCH("G2",Z887)),"G2",IF(ISNUMBER(SEARCH("G3",Z887)),"G3",IF(ISNUMBER(SEARCH("古馬条件",Z887)),"古馬条件戦",IF(ISNUMBER(SEARCH("重賞",Z887)),"重賞","分類不能")))))))))</f>
        <v>分類不能</v>
      </c>
      <c r="AR887" s="8"/>
      <c r="AS887" s="8" t="s">
        <v>7626</v>
      </c>
      <c r="AT887" s="8" t="s">
        <v>7627</v>
      </c>
      <c r="AU887" s="8" t="s">
        <v>7628</v>
      </c>
      <c r="AV887" s="8" t="s">
        <v>7629</v>
      </c>
      <c r="AW887" s="8"/>
      <c r="AX887" s="8"/>
      <c r="AY887" s="8" t="s">
        <v>7602</v>
      </c>
      <c r="AZ887" s="4" t="s">
        <v>7603</v>
      </c>
      <c r="BA887" s="8" t="n">
        <v>2400</v>
      </c>
      <c r="BB887" s="8" t="s">
        <v>7598</v>
      </c>
      <c r="BC887" s="4" t="s">
        <v>7604</v>
      </c>
      <c r="BD887" s="8" t="s">
        <v>7625</v>
      </c>
      <c r="BE887" s="4" t="s">
        <v>7606</v>
      </c>
      <c r="BF887" s="8" t="s">
        <v>7607</v>
      </c>
      <c r="BG887" s="8" t="s">
        <v>7631</v>
      </c>
      <c r="BH887" s="4" t="s">
        <v>7632</v>
      </c>
      <c r="BI887" s="8" t="n">
        <v>9</v>
      </c>
      <c r="BJ887" s="8" t="s">
        <v>7610</v>
      </c>
      <c r="BK887" s="4" t="s">
        <v>7611</v>
      </c>
      <c r="BL887" s="8" t="s">
        <v>7602</v>
      </c>
      <c r="BM887" s="4" t="s">
        <v>7620</v>
      </c>
      <c r="BN887" s="8" t="s">
        <v>7602</v>
      </c>
      <c r="BO887" s="8" t="s">
        <v>7613</v>
      </c>
      <c r="BP887" s="8" t="s">
        <v>7602</v>
      </c>
      <c r="BQ887" s="8" t="str">
        <f aca="false">IF(A887="","",AT887)</f>
        <v>3歳以上</v>
      </c>
      <c r="BR887" s="8" t="str">
        <f aca="false">IF(A887="","",IF(BA887&lt;=1200,"～1200",IF(BA887&lt;=1500,"1300～1500",IF(BA887=1600,"1600",IF(BA887&lt;=1800,"1700～1800",IF(BA887&lt;=2000,"1900～2000","2100以上"))))))</f>
        <v>2100以上</v>
      </c>
      <c r="BS887" s="8" t="str">
        <f aca="false">IF(A887="","",IF(AX887="G1","G1",IF(AX887="G2","G2",IF(AX887="G3","G3",IF(AX887="L","L","その他")))))</f>
        <v>その他</v>
      </c>
      <c r="BT887" s="8" t="str">
        <f aca="false">IF(A887="","",IF(BI887="","未結合",IF(D887=BI887,"一致","不一致")))</f>
        <v>一致</v>
      </c>
      <c r="BU887" s="8" t="str">
        <f aca="false">IF(A887="","",IF(BE887="牝馬限定","牝馬限定","その他"))</f>
        <v>その他</v>
      </c>
    </row>
    <row r="888" customFormat="false" ht="15.75" hidden="false" customHeight="false" outlineLevel="0" collapsed="false">
      <c r="A888" s="6" t="n">
        <f aca="false">DATE(2026,8,16)</f>
        <v>46250</v>
      </c>
      <c r="B888" s="4" t="s">
        <v>13</v>
      </c>
      <c r="C888" s="8" t="n">
        <v>12</v>
      </c>
      <c r="D888" s="8" t="n">
        <v>15</v>
      </c>
      <c r="E888" s="8" t="n">
        <v>11</v>
      </c>
      <c r="F888" s="4" t="s">
        <v>594</v>
      </c>
      <c r="G888" s="8" t="n">
        <v>60</v>
      </c>
      <c r="H888" s="8" t="n">
        <v>13</v>
      </c>
      <c r="I888" s="4" t="s">
        <v>3789</v>
      </c>
      <c r="J888" s="8" t="n">
        <v>56</v>
      </c>
      <c r="K888" s="8" t="n">
        <v>10</v>
      </c>
      <c r="L888" s="4" t="s">
        <v>6829</v>
      </c>
      <c r="M888" s="8" t="n">
        <v>41</v>
      </c>
      <c r="N888" s="8" t="n">
        <f aca="false">IF(A888="","",G888-J888)</f>
        <v>4</v>
      </c>
      <c r="O888" s="8" t="n">
        <f aca="false">IF(A888="","",J888-M888)</f>
        <v>15</v>
      </c>
      <c r="P888" s="8" t="n">
        <f aca="false">IF(A888="","",G888+J888)</f>
        <v>116</v>
      </c>
      <c r="Q888" s="8" t="str">
        <f aca="false">IF(A888="","",IF(AND(Y888&lt;&gt;"参考",G888&gt;=ルール設定!$B$2),"○",""))</f>
        <v/>
      </c>
      <c r="R888" s="8" t="str">
        <f aca="false">IF(A888="","",IF(AND(Y888&lt;&gt;"参考",G888&gt;=ルール設定!$B$3,N888&gt;=ルール設定!$B$4),"○",""))</f>
        <v/>
      </c>
      <c r="S888" s="8" t="str">
        <f aca="false">IF(A888="","",IF(AND(Y888&lt;&gt;"参考",G888&gt;=ルール設定!$B$5,J888&gt;=ルール設定!$B$6,O888&gt;=ルール設定!$B$7),"○",""))</f>
        <v/>
      </c>
      <c r="T888" s="8" t="n">
        <v>2</v>
      </c>
      <c r="U888" s="8" t="n">
        <v>1</v>
      </c>
      <c r="V888" s="8" t="str">
        <f aca="false">IF(A888="","",IF(AND(ISNUMBER(T888),ISNUMBER(U888)),IF(AND(T888&lt;=3,U888&lt;=3),"○","×"),""))</f>
        <v>○</v>
      </c>
      <c r="W888" s="8" t="n">
        <v>160</v>
      </c>
      <c r="X888" s="8" t="n">
        <v>310</v>
      </c>
      <c r="Y888" s="4" t="s">
        <v>7597</v>
      </c>
      <c r="Z888" s="8" t="s">
        <v>8087</v>
      </c>
      <c r="AA888" s="8" t="str">
        <v/>
      </c>
      <c r="AB888" s="8" t="str">
        <v/>
      </c>
      <c r="AC888" s="8" t="str">
        <v/>
      </c>
      <c r="AD888" s="8" t="str">
        <v/>
      </c>
      <c r="AE888" s="8" t="str">
        <v/>
      </c>
      <c r="AF888" s="8" t="str">
        <v/>
      </c>
      <c r="AG888" s="8" t="str">
        <v/>
      </c>
      <c r="AH888" s="8" t="str">
        <v/>
      </c>
      <c r="AI888" s="8" t="n">
        <v>19</v>
      </c>
      <c r="AJ888" s="8" t="str">
        <v>60～69</v>
      </c>
      <c r="AK888" s="8" t="str">
        <v>0～4</v>
      </c>
      <c r="AL888" s="8" t="str">
        <v>10～19</v>
      </c>
      <c r="AM888" s="8" t="str">
        <v>100～119</v>
      </c>
      <c r="AN888" s="8" t="str">
        <v>15以上</v>
      </c>
      <c r="AO888" s="8" t="str">
        <f aca="false">IF(A888="","",IF(COUNTIFS(全馬データ!$A$2:$A$50000,A888,全馬データ!$B$2:$B$50000,B888,全馬データ!$C$2:$C$50000,C888,全馬データ!$D$2:$D$50000,E888,全馬データ!$K$2:$K$50000,"&lt;&gt;")=0,"",SUMIFS(全馬データ!$K$2:$K$50000,全馬データ!$A$2:$A$50000,A888,全馬データ!$B$2:$B$50000,B888,全馬データ!$C$2:$C$50000,C888,全馬データ!$D$2:$D$50000,E888)))</f>
        <v/>
      </c>
      <c r="AP888" s="8" t="str">
        <f aca="false">IF(A888="","",IF(AO888="","欠損",IF(AO888&lt;=1.1,"1.0～1.1",IF(AO888&lt;1.3,"1.2",IF(AO888&lt;1.5,"1.3～1.4",IF(AO888&lt;2,"1.5～1.9","2.0以上"))))))</f>
        <v>欠損</v>
      </c>
      <c r="AQ888" s="8" t="str">
        <f aca="false">IF(A888="","",IF(ISNUMBER(SEARCH("2歳",Z888)),"2歳戦",IF(ISNUMBER(SEARCH("3歳未勝利",Z888)),"3歳未勝利",IF(ISNUMBER(SEARCH("未勝利",Z888)),"その他未勝利",IF(ISNUMBER(SEARCH("G1",Z888)),"G1",IF(ISNUMBER(SEARCH("G2",Z888)),"G2",IF(ISNUMBER(SEARCH("G3",Z888)),"G3",IF(ISNUMBER(SEARCH("古馬条件",Z888)),"古馬条件戦",IF(ISNUMBER(SEARCH("重賞",Z888)),"重賞","分類不能")))))))))</f>
        <v>分類不能</v>
      </c>
      <c r="AR888" s="8"/>
      <c r="AS888" s="8" t="s">
        <v>7623</v>
      </c>
      <c r="AT888" s="8" t="s">
        <v>7624</v>
      </c>
      <c r="AU888" s="8" t="s">
        <v>7600</v>
      </c>
      <c r="AV888" s="4" t="s">
        <v>7601</v>
      </c>
      <c r="AW888" s="8"/>
      <c r="AX888" s="8"/>
      <c r="AY888" s="8" t="s">
        <v>7610</v>
      </c>
      <c r="AZ888" s="4" t="s">
        <v>7617</v>
      </c>
      <c r="BA888" s="8" t="n">
        <v>1800</v>
      </c>
      <c r="BB888" s="8" t="s">
        <v>7598</v>
      </c>
      <c r="BC888" s="4" t="s">
        <v>7604</v>
      </c>
      <c r="BD888" s="8" t="s">
        <v>7605</v>
      </c>
      <c r="BE888" s="4" t="s">
        <v>7606</v>
      </c>
      <c r="BF888" s="8" t="s">
        <v>7607</v>
      </c>
      <c r="BG888" s="8" t="s">
        <v>7608</v>
      </c>
      <c r="BH888" s="4" t="s">
        <v>7609</v>
      </c>
      <c r="BI888" s="8" t="n">
        <v>15</v>
      </c>
      <c r="BJ888" s="8" t="s">
        <v>7610</v>
      </c>
      <c r="BK888" s="4" t="s">
        <v>7611</v>
      </c>
      <c r="BL888" s="8" t="s">
        <v>7602</v>
      </c>
      <c r="BM888" s="4" t="s">
        <v>7620</v>
      </c>
      <c r="BN888" s="8"/>
      <c r="BO888" s="8"/>
      <c r="BP888" s="8" t="s">
        <v>7602</v>
      </c>
      <c r="BQ888" s="8" t="str">
        <f aca="false">IF(A888="","",AT888)</f>
        <v>3歳</v>
      </c>
      <c r="BR888" s="8" t="str">
        <f aca="false">IF(A888="","",IF(BA888&lt;=1200,"～1200",IF(BA888&lt;=1500,"1300～1500",IF(BA888=1600,"1600",IF(BA888&lt;=1800,"1700～1800",IF(BA888&lt;=2000,"1900～2000","2100以上"))))))</f>
        <v>1700～1800</v>
      </c>
      <c r="BS888" s="8" t="str">
        <f aca="false">IF(A888="","",IF(AX888="G1","G1",IF(AX888="G2","G2",IF(AX888="G3","G3",IF(AX888="L","L","その他")))))</f>
        <v>その他</v>
      </c>
      <c r="BT888" s="8" t="str">
        <f aca="false">IF(A888="","",IF(BI888="","未結合",IF(D888=BI888,"一致","不一致")))</f>
        <v>一致</v>
      </c>
      <c r="BU888" s="8" t="str">
        <f aca="false">IF(A888="","",IF(BE888="牝馬限定","牝馬限定","その他"))</f>
        <v>その他</v>
      </c>
    </row>
    <row r="889" customFormat="false" ht="15.75" hidden="false" customHeight="false" outlineLevel="0" collapsed="false">
      <c r="A889" s="6" t="n">
        <f aca="false">DATE(2026,8,16)</f>
        <v>46250</v>
      </c>
      <c r="B889" s="4" t="s">
        <v>334</v>
      </c>
      <c r="C889" s="8" t="n">
        <v>1</v>
      </c>
      <c r="D889" s="8" t="n">
        <v>14</v>
      </c>
      <c r="E889" s="8" t="n">
        <v>5</v>
      </c>
      <c r="F889" s="4" t="s">
        <v>1738</v>
      </c>
      <c r="G889" s="8" t="n">
        <v>58</v>
      </c>
      <c r="H889" s="8" t="n">
        <v>10</v>
      </c>
      <c r="I889" s="4" t="s">
        <v>802</v>
      </c>
      <c r="J889" s="8" t="n">
        <v>58</v>
      </c>
      <c r="K889" s="8" t="n">
        <v>13</v>
      </c>
      <c r="L889" s="4" t="s">
        <v>2954</v>
      </c>
      <c r="M889" s="8" t="n">
        <v>52</v>
      </c>
      <c r="N889" s="8" t="n">
        <f aca="false">IF(A889="","",G889-J889)</f>
        <v>0</v>
      </c>
      <c r="O889" s="8" t="n">
        <f aca="false">IF(A889="","",J889-M889)</f>
        <v>6</v>
      </c>
      <c r="P889" s="8" t="n">
        <f aca="false">IF(A889="","",G889+J889)</f>
        <v>116</v>
      </c>
      <c r="Q889" s="8" t="str">
        <f aca="false">IF(A889="","",IF(AND(Y889&lt;&gt;"参考",G889&gt;=ルール設定!$B$2),"○",""))</f>
        <v/>
      </c>
      <c r="R889" s="8" t="str">
        <f aca="false">IF(A889="","",IF(AND(Y889&lt;&gt;"参考",G889&gt;=ルール設定!$B$3,N889&gt;=ルール設定!$B$4),"○",""))</f>
        <v/>
      </c>
      <c r="S889" s="8" t="str">
        <f aca="false">IF(A889="","",IF(AND(Y889&lt;&gt;"参考",G889&gt;=ルール設定!$B$5,J889&gt;=ルール設定!$B$6,O889&gt;=ルール設定!$B$7),"○",""))</f>
        <v/>
      </c>
      <c r="T889" s="8" t="n">
        <v>4</v>
      </c>
      <c r="U889" s="8" t="n">
        <v>1</v>
      </c>
      <c r="V889" s="8" t="str">
        <f aca="false">IF(A889="","",IF(AND(ISNUMBER(T889),ISNUMBER(U889)),IF(AND(T889&lt;=3,U889&lt;=3),"○","×"),""))</f>
        <v>×</v>
      </c>
      <c r="W889" s="8"/>
      <c r="X889" s="8"/>
      <c r="Y889" s="4" t="s">
        <v>7597</v>
      </c>
      <c r="Z889" s="8" t="s">
        <v>8088</v>
      </c>
      <c r="AA889" s="8" t="str">
        <v/>
      </c>
      <c r="AB889" s="8" t="str">
        <v/>
      </c>
      <c r="AC889" s="8" t="str">
        <v/>
      </c>
      <c r="AD889" s="8" t="str">
        <v/>
      </c>
      <c r="AE889" s="8" t="str">
        <v/>
      </c>
      <c r="AF889" s="8" t="str">
        <v/>
      </c>
      <c r="AG889" s="8" t="str">
        <v/>
      </c>
      <c r="AH889" s="8" t="str">
        <v/>
      </c>
      <c r="AI889" s="8" t="n">
        <v>6</v>
      </c>
      <c r="AJ889" s="8" t="str">
        <v>～59</v>
      </c>
      <c r="AK889" s="8" t="str">
        <v>0～4</v>
      </c>
      <c r="AL889" s="8" t="str">
        <v>0～9</v>
      </c>
      <c r="AM889" s="8" t="str">
        <v>100～119</v>
      </c>
      <c r="AN889" s="8" t="str">
        <v>12～14</v>
      </c>
      <c r="AO889" s="8" t="str">
        <f aca="false">IF(A889="","",IF(COUNTIFS(全馬データ!$A$2:$A$50000,A889,全馬データ!$B$2:$B$50000,B889,全馬データ!$C$2:$C$50000,C889,全馬データ!$D$2:$D$50000,E889,全馬データ!$K$2:$K$50000,"&lt;&gt;")=0,"",SUMIFS(全馬データ!$K$2:$K$50000,全馬データ!$A$2:$A$50000,A889,全馬データ!$B$2:$B$50000,B889,全馬データ!$C$2:$C$50000,C889,全馬データ!$D$2:$D$50000,E889)))</f>
        <v/>
      </c>
      <c r="AP889" s="8" t="str">
        <f aca="false">IF(A889="","",IF(AO889="","欠損",IF(AO889&lt;=1.1,"1.0～1.1",IF(AO889&lt;1.3,"1.2",IF(AO889&lt;1.5,"1.3～1.4",IF(AO889&lt;2,"1.5～1.9","2.0以上"))))))</f>
        <v>欠損</v>
      </c>
      <c r="AQ889" s="8" t="str">
        <f aca="false">IF(A889="","",IF(ISNUMBER(SEARCH("2歳",Z889)),"2歳戦",IF(ISNUMBER(SEARCH("3歳未勝利",Z889)),"3歳未勝利",IF(ISNUMBER(SEARCH("未勝利",Z889)),"その他未勝利",IF(ISNUMBER(SEARCH("G1",Z889)),"G1",IF(ISNUMBER(SEARCH("G2",Z889)),"G2",IF(ISNUMBER(SEARCH("G3",Z889)),"G3",IF(ISNUMBER(SEARCH("古馬条件",Z889)),"古馬条件戦",IF(ISNUMBER(SEARCH("重賞",Z889)),"重賞","分類不能")))))))))</f>
        <v>分類不能</v>
      </c>
      <c r="AR889" s="8"/>
      <c r="AS889" s="8" t="s">
        <v>7623</v>
      </c>
      <c r="AT889" s="8" t="s">
        <v>7624</v>
      </c>
      <c r="AU889" s="8" t="s">
        <v>7600</v>
      </c>
      <c r="AV889" s="4" t="s">
        <v>7601</v>
      </c>
      <c r="AW889" s="8"/>
      <c r="AX889" s="8"/>
      <c r="AY889" s="8" t="s">
        <v>7610</v>
      </c>
      <c r="AZ889" s="4" t="s">
        <v>7617</v>
      </c>
      <c r="BA889" s="8" t="n">
        <v>1700</v>
      </c>
      <c r="BB889" s="8" t="s">
        <v>7598</v>
      </c>
      <c r="BC889" s="4" t="s">
        <v>7604</v>
      </c>
      <c r="BD889" s="8" t="s">
        <v>7621</v>
      </c>
      <c r="BE889" s="4" t="s">
        <v>7622</v>
      </c>
      <c r="BF889" s="8" t="s">
        <v>7602</v>
      </c>
      <c r="BG889" s="8" t="s">
        <v>7608</v>
      </c>
      <c r="BH889" s="4" t="s">
        <v>7609</v>
      </c>
      <c r="BI889" s="8" t="n">
        <v>14</v>
      </c>
      <c r="BJ889" s="8" t="s">
        <v>7602</v>
      </c>
      <c r="BK889" s="4" t="s">
        <v>7653</v>
      </c>
      <c r="BL889" s="8" t="s">
        <v>7602</v>
      </c>
      <c r="BM889" s="4" t="s">
        <v>7620</v>
      </c>
      <c r="BN889" s="8"/>
      <c r="BO889" s="8"/>
      <c r="BP889" s="8" t="s">
        <v>7608</v>
      </c>
      <c r="BQ889" s="8" t="str">
        <f aca="false">IF(A889="","",AT889)</f>
        <v>3歳</v>
      </c>
      <c r="BR889" s="8" t="str">
        <f aca="false">IF(A889="","",IF(BA889&lt;=1200,"～1200",IF(BA889&lt;=1500,"1300～1500",IF(BA889=1600,"1600",IF(BA889&lt;=1800,"1700～1800",IF(BA889&lt;=2000,"1900～2000","2100以上"))))))</f>
        <v>1700～1800</v>
      </c>
      <c r="BS889" s="8" t="str">
        <f aca="false">IF(A889="","",IF(AX889="G1","G1",IF(AX889="G2","G2",IF(AX889="G3","G3",IF(AX889="L","L","その他")))))</f>
        <v>その他</v>
      </c>
      <c r="BT889" s="8" t="str">
        <f aca="false">IF(A889="","",IF(BI889="","未結合",IF(D889=BI889,"一致","不一致")))</f>
        <v>一致</v>
      </c>
      <c r="BU889" s="8" t="str">
        <f aca="false">IF(A889="","",IF(BE889="牝馬限定","牝馬限定","その他"))</f>
        <v>牝馬限定</v>
      </c>
    </row>
    <row r="890" customFormat="false" ht="15.75" hidden="false" customHeight="false" outlineLevel="0" collapsed="false">
      <c r="A890" s="6" t="n">
        <f aca="false">DATE(2026,8,16)</f>
        <v>46250</v>
      </c>
      <c r="B890" s="4" t="s">
        <v>334</v>
      </c>
      <c r="C890" s="8" t="n">
        <v>3</v>
      </c>
      <c r="D890" s="8" t="n">
        <v>14</v>
      </c>
      <c r="E890" s="8" t="n">
        <v>10</v>
      </c>
      <c r="F890" s="4" t="s">
        <v>906</v>
      </c>
      <c r="G890" s="8" t="n">
        <v>62</v>
      </c>
      <c r="H890" s="8" t="n">
        <v>6</v>
      </c>
      <c r="I890" s="4" t="s">
        <v>6834</v>
      </c>
      <c r="J890" s="8" t="n">
        <v>41</v>
      </c>
      <c r="K890" s="8" t="n">
        <v>5</v>
      </c>
      <c r="L890" s="4" t="s">
        <v>3860</v>
      </c>
      <c r="M890" s="8" t="n">
        <v>39</v>
      </c>
      <c r="N890" s="8" t="n">
        <f aca="false">IF(A890="","",G890-J890)</f>
        <v>21</v>
      </c>
      <c r="O890" s="8" t="n">
        <f aca="false">IF(A890="","",J890-M890)</f>
        <v>2</v>
      </c>
      <c r="P890" s="8" t="n">
        <f aca="false">IF(A890="","",G890+J890)</f>
        <v>103</v>
      </c>
      <c r="Q890" s="8" t="str">
        <f aca="false">IF(A890="","",IF(AND(Y890&lt;&gt;"参考",G890&gt;=ルール設定!$B$2),"○",""))</f>
        <v/>
      </c>
      <c r="R890" s="8" t="str">
        <f aca="false">IF(A890="","",IF(AND(Y890&lt;&gt;"参考",G890&gt;=ルール設定!$B$3,N890&gt;=ルール設定!$B$4),"○",""))</f>
        <v/>
      </c>
      <c r="S890" s="8" t="str">
        <f aca="false">IF(A890="","",IF(AND(Y890&lt;&gt;"参考",G890&gt;=ルール設定!$B$5,J890&gt;=ルール設定!$B$6,O890&gt;=ルール設定!$B$7),"○",""))</f>
        <v/>
      </c>
      <c r="T890" s="8" t="n">
        <v>3</v>
      </c>
      <c r="U890" s="8" t="n">
        <v>4</v>
      </c>
      <c r="V890" s="8" t="str">
        <f aca="false">IF(A890="","",IF(AND(ISNUMBER(T890),ISNUMBER(U890)),IF(AND(T890&lt;=3,U890&lt;=3),"○","×"),""))</f>
        <v>×</v>
      </c>
      <c r="W890" s="8" t="n">
        <v>190</v>
      </c>
      <c r="X890" s="8"/>
      <c r="Y890" s="4" t="s">
        <v>7597</v>
      </c>
      <c r="Z890" s="8" t="s">
        <v>8089</v>
      </c>
      <c r="AA890" s="8" t="str">
        <v/>
      </c>
      <c r="AB890" s="8" t="str">
        <v/>
      </c>
      <c r="AC890" s="8" t="str">
        <v/>
      </c>
      <c r="AD890" s="8" t="str">
        <v/>
      </c>
      <c r="AE890" s="8" t="str">
        <v/>
      </c>
      <c r="AF890" s="8" t="str">
        <v/>
      </c>
      <c r="AG890" s="8" t="str">
        <v/>
      </c>
      <c r="AH890" s="8" t="str">
        <v/>
      </c>
      <c r="AI890" s="8" t="n">
        <v>23</v>
      </c>
      <c r="AJ890" s="8" t="str">
        <v>60～69</v>
      </c>
      <c r="AK890" s="8" t="str">
        <v>20～29</v>
      </c>
      <c r="AL890" s="8" t="str">
        <v>20～29</v>
      </c>
      <c r="AM890" s="8" t="str">
        <v>100～119</v>
      </c>
      <c r="AN890" s="8" t="str">
        <v>12～14</v>
      </c>
      <c r="AO890" s="8" t="str">
        <f aca="false">IF(A890="","",IF(COUNTIFS(全馬データ!$A$2:$A$50000,A890,全馬データ!$B$2:$B$50000,B890,全馬データ!$C$2:$C$50000,C890,全馬データ!$D$2:$D$50000,E890,全馬データ!$K$2:$K$50000,"&lt;&gt;")=0,"",SUMIFS(全馬データ!$K$2:$K$50000,全馬データ!$A$2:$A$50000,A890,全馬データ!$B$2:$B$50000,B890,全馬データ!$C$2:$C$50000,C890,全馬データ!$D$2:$D$50000,E890)))</f>
        <v/>
      </c>
      <c r="AP890" s="8" t="str">
        <f aca="false">IF(A890="","",IF(AO890="","欠損",IF(AO890&lt;=1.1,"1.0～1.1",IF(AO890&lt;1.3,"1.2",IF(AO890&lt;1.5,"1.3～1.4",IF(AO890&lt;2,"1.5～1.9","2.0以上"))))))</f>
        <v>欠損</v>
      </c>
      <c r="AQ890" s="8" t="str">
        <f aca="false">IF(A890="","",IF(ISNUMBER(SEARCH("2歳",Z890)),"2歳戦",IF(ISNUMBER(SEARCH("3歳未勝利",Z890)),"3歳未勝利",IF(ISNUMBER(SEARCH("未勝利",Z890)),"その他未勝利",IF(ISNUMBER(SEARCH("G1",Z890)),"G1",IF(ISNUMBER(SEARCH("G2",Z890)),"G2",IF(ISNUMBER(SEARCH("G3",Z890)),"G3",IF(ISNUMBER(SEARCH("古馬条件",Z890)),"古馬条件戦",IF(ISNUMBER(SEARCH("重賞",Z890)),"重賞","分類不能")))))))))</f>
        <v>分類不能</v>
      </c>
      <c r="AR890" s="8"/>
      <c r="AS890" s="8" t="s">
        <v>7626</v>
      </c>
      <c r="AT890" s="8" t="s">
        <v>7627</v>
      </c>
      <c r="AU890" s="8" t="s">
        <v>7628</v>
      </c>
      <c r="AV890" s="8" t="s">
        <v>7629</v>
      </c>
      <c r="AW890" s="8"/>
      <c r="AX890" s="8"/>
      <c r="AY890" s="8" t="s">
        <v>7602</v>
      </c>
      <c r="AZ890" s="4" t="s">
        <v>7603</v>
      </c>
      <c r="BA890" s="8" t="n">
        <v>1800</v>
      </c>
      <c r="BB890" s="8" t="s">
        <v>7598</v>
      </c>
      <c r="BC890" s="4" t="s">
        <v>7604</v>
      </c>
      <c r="BD890" s="8" t="s">
        <v>7605</v>
      </c>
      <c r="BE890" s="4" t="s">
        <v>7606</v>
      </c>
      <c r="BF890" s="8" t="s">
        <v>7607</v>
      </c>
      <c r="BG890" s="8" t="s">
        <v>7631</v>
      </c>
      <c r="BH890" s="4" t="s">
        <v>7632</v>
      </c>
      <c r="BI890" s="8" t="n">
        <v>14</v>
      </c>
      <c r="BJ890" s="8" t="s">
        <v>7602</v>
      </c>
      <c r="BK890" s="4" t="s">
        <v>7653</v>
      </c>
      <c r="BL890" s="8" t="s">
        <v>7602</v>
      </c>
      <c r="BM890" s="4" t="s">
        <v>7620</v>
      </c>
      <c r="BN890" s="8" t="s">
        <v>7602</v>
      </c>
      <c r="BO890" s="8" t="s">
        <v>7613</v>
      </c>
      <c r="BP890" s="8" t="s">
        <v>7608</v>
      </c>
      <c r="BQ890" s="8" t="str">
        <f aca="false">IF(A890="","",AT890)</f>
        <v>3歳以上</v>
      </c>
      <c r="BR890" s="8" t="str">
        <f aca="false">IF(A890="","",IF(BA890&lt;=1200,"～1200",IF(BA890&lt;=1500,"1300～1500",IF(BA890=1600,"1600",IF(BA890&lt;=1800,"1700～1800",IF(BA890&lt;=2000,"1900～2000","2100以上"))))))</f>
        <v>1700～1800</v>
      </c>
      <c r="BS890" s="8" t="str">
        <f aca="false">IF(A890="","",IF(AX890="G1","G1",IF(AX890="G2","G2",IF(AX890="G3","G3",IF(AX890="L","L","その他")))))</f>
        <v>その他</v>
      </c>
      <c r="BT890" s="8" t="str">
        <f aca="false">IF(A890="","",IF(BI890="","未結合",IF(D890=BI890,"一致","不一致")))</f>
        <v>一致</v>
      </c>
      <c r="BU890" s="8" t="str">
        <f aca="false">IF(A890="","",IF(BE890="牝馬限定","牝馬限定","その他"))</f>
        <v>その他</v>
      </c>
    </row>
    <row r="891" customFormat="false" ht="15.75" hidden="false" customHeight="false" outlineLevel="0" collapsed="false">
      <c r="A891" s="6" t="n">
        <f aca="false">DATE(2026,8,16)</f>
        <v>46250</v>
      </c>
      <c r="B891" s="4" t="s">
        <v>334</v>
      </c>
      <c r="C891" s="8" t="n">
        <v>4</v>
      </c>
      <c r="D891" s="8" t="n">
        <v>14</v>
      </c>
      <c r="E891" s="8" t="n">
        <v>4</v>
      </c>
      <c r="F891" s="4" t="s">
        <v>827</v>
      </c>
      <c r="G891" s="8" t="n">
        <v>44</v>
      </c>
      <c r="H891" s="8" t="n">
        <v>12</v>
      </c>
      <c r="I891" s="4" t="s">
        <v>1293</v>
      </c>
      <c r="J891" s="8" t="n">
        <v>44</v>
      </c>
      <c r="K891" s="8" t="n">
        <v>1</v>
      </c>
      <c r="L891" s="4" t="s">
        <v>363</v>
      </c>
      <c r="M891" s="8" t="n">
        <v>41</v>
      </c>
      <c r="N891" s="8" t="n">
        <f aca="false">IF(A891="","",G891-J891)</f>
        <v>0</v>
      </c>
      <c r="O891" s="8" t="n">
        <f aca="false">IF(A891="","",J891-M891)</f>
        <v>3</v>
      </c>
      <c r="P891" s="8" t="n">
        <f aca="false">IF(A891="","",G891+J891)</f>
        <v>88</v>
      </c>
      <c r="Q891" s="8" t="str">
        <f aca="false">IF(A891="","",IF(AND(Y891&lt;&gt;"参考",G891&gt;=ルール設定!$B$2),"○",""))</f>
        <v/>
      </c>
      <c r="R891" s="8" t="str">
        <f aca="false">IF(A891="","",IF(AND(Y891&lt;&gt;"参考",G891&gt;=ルール設定!$B$3,N891&gt;=ルール設定!$B$4),"○",""))</f>
        <v/>
      </c>
      <c r="S891" s="8" t="str">
        <f aca="false">IF(A891="","",IF(AND(Y891&lt;&gt;"参考",G891&gt;=ルール設定!$B$5,J891&gt;=ルール設定!$B$6,O891&gt;=ルール設定!$B$7),"○",""))</f>
        <v/>
      </c>
      <c r="T891" s="8" t="n">
        <v>4</v>
      </c>
      <c r="U891" s="8" t="n">
        <v>3</v>
      </c>
      <c r="V891" s="8" t="str">
        <f aca="false">IF(A891="","",IF(AND(ISNUMBER(T891),ISNUMBER(U891)),IF(AND(T891&lt;=3,U891&lt;=3),"○","×"),""))</f>
        <v>×</v>
      </c>
      <c r="W891" s="8"/>
      <c r="X891" s="8"/>
      <c r="Y891" s="4" t="s">
        <v>7597</v>
      </c>
      <c r="Z891" s="8" t="s">
        <v>8090</v>
      </c>
      <c r="AA891" s="8" t="str">
        <v/>
      </c>
      <c r="AB891" s="8" t="str">
        <v/>
      </c>
      <c r="AC891" s="8" t="str">
        <v/>
      </c>
      <c r="AD891" s="8" t="str">
        <v/>
      </c>
      <c r="AE891" s="8" t="str">
        <v/>
      </c>
      <c r="AF891" s="8" t="str">
        <v/>
      </c>
      <c r="AG891" s="8" t="str">
        <v/>
      </c>
      <c r="AH891" s="8" t="str">
        <v/>
      </c>
      <c r="AI891" s="8" t="n">
        <v>3</v>
      </c>
      <c r="AJ891" s="8" t="str">
        <v>～59</v>
      </c>
      <c r="AK891" s="8" t="str">
        <v>0～4</v>
      </c>
      <c r="AL891" s="8" t="str">
        <v>0～9</v>
      </c>
      <c r="AM891" s="8" t="str">
        <v>～99</v>
      </c>
      <c r="AN891" s="8" t="str">
        <v>12～14</v>
      </c>
      <c r="AO891" s="8" t="str">
        <f aca="false">IF(A891="","",IF(COUNTIFS(全馬データ!$A$2:$A$50000,A891,全馬データ!$B$2:$B$50000,B891,全馬データ!$C$2:$C$50000,C891,全馬データ!$D$2:$D$50000,E891,全馬データ!$K$2:$K$50000,"&lt;&gt;")=0,"",SUMIFS(全馬データ!$K$2:$K$50000,全馬データ!$A$2:$A$50000,A891,全馬データ!$B$2:$B$50000,B891,全馬データ!$C$2:$C$50000,C891,全馬データ!$D$2:$D$50000,E891)))</f>
        <v/>
      </c>
      <c r="AP891" s="8" t="str">
        <f aca="false">IF(A891="","",IF(AO891="","欠損",IF(AO891&lt;=1.1,"1.0～1.1",IF(AO891&lt;1.3,"1.2",IF(AO891&lt;1.5,"1.3～1.4",IF(AO891&lt;2,"1.5～1.9","2.0以上"))))))</f>
        <v>欠損</v>
      </c>
      <c r="AQ891" s="8" t="str">
        <f aca="false">IF(A891="","",IF(ISNUMBER(SEARCH("2歳",Z891)),"2歳戦",IF(ISNUMBER(SEARCH("3歳未勝利",Z891)),"3歳未勝利",IF(ISNUMBER(SEARCH("未勝利",Z891)),"その他未勝利",IF(ISNUMBER(SEARCH("G1",Z891)),"G1",IF(ISNUMBER(SEARCH("G2",Z891)),"G2",IF(ISNUMBER(SEARCH("G3",Z891)),"G3",IF(ISNUMBER(SEARCH("古馬条件",Z891)),"古馬条件戦",IF(ISNUMBER(SEARCH("重賞",Z891)),"重賞","分類不能")))))))))</f>
        <v>分類不能</v>
      </c>
      <c r="AR891" s="8"/>
      <c r="AS891" s="8" t="s">
        <v>7623</v>
      </c>
      <c r="AT891" s="8" t="s">
        <v>7624</v>
      </c>
      <c r="AU891" s="8" t="s">
        <v>7600</v>
      </c>
      <c r="AV891" s="4" t="s">
        <v>7601</v>
      </c>
      <c r="AW891" s="8"/>
      <c r="AX891" s="8"/>
      <c r="AY891" s="8" t="s">
        <v>7610</v>
      </c>
      <c r="AZ891" s="4" t="s">
        <v>7617</v>
      </c>
      <c r="BA891" s="8" t="n">
        <v>1700</v>
      </c>
      <c r="BB891" s="8" t="s">
        <v>7598</v>
      </c>
      <c r="BC891" s="4" t="s">
        <v>7604</v>
      </c>
      <c r="BD891" s="8" t="s">
        <v>7625</v>
      </c>
      <c r="BE891" s="4" t="s">
        <v>7606</v>
      </c>
      <c r="BF891" s="8" t="s">
        <v>7607</v>
      </c>
      <c r="BG891" s="8" t="s">
        <v>7608</v>
      </c>
      <c r="BH891" s="4" t="s">
        <v>7609</v>
      </c>
      <c r="BI891" s="8" t="n">
        <v>14</v>
      </c>
      <c r="BJ891" s="8" t="s">
        <v>7602</v>
      </c>
      <c r="BK891" s="4" t="s">
        <v>7653</v>
      </c>
      <c r="BL891" s="8" t="s">
        <v>7602</v>
      </c>
      <c r="BM891" s="4" t="s">
        <v>7620</v>
      </c>
      <c r="BN891" s="8"/>
      <c r="BO891" s="8"/>
      <c r="BP891" s="8" t="s">
        <v>7608</v>
      </c>
      <c r="BQ891" s="8" t="str">
        <f aca="false">IF(A891="","",AT891)</f>
        <v>3歳</v>
      </c>
      <c r="BR891" s="8" t="str">
        <f aca="false">IF(A891="","",IF(BA891&lt;=1200,"～1200",IF(BA891&lt;=1500,"1300～1500",IF(BA891=1600,"1600",IF(BA891&lt;=1800,"1700～1800",IF(BA891&lt;=2000,"1900～2000","2100以上"))))))</f>
        <v>1700～1800</v>
      </c>
      <c r="BS891" s="8" t="str">
        <f aca="false">IF(A891="","",IF(AX891="G1","G1",IF(AX891="G2","G2",IF(AX891="G3","G3",IF(AX891="L","L","その他")))))</f>
        <v>その他</v>
      </c>
      <c r="BT891" s="8" t="str">
        <f aca="false">IF(A891="","",IF(BI891="","未結合",IF(D891=BI891,"一致","不一致")))</f>
        <v>一致</v>
      </c>
      <c r="BU891" s="8" t="str">
        <f aca="false">IF(A891="","",IF(BE891="牝馬限定","牝馬限定","その他"))</f>
        <v>その他</v>
      </c>
    </row>
    <row r="892" customFormat="false" ht="15.75" hidden="false" customHeight="false" outlineLevel="0" collapsed="false">
      <c r="A892" s="6" t="n">
        <f aca="false">DATE(2026,8,16)</f>
        <v>46250</v>
      </c>
      <c r="B892" s="4" t="s">
        <v>334</v>
      </c>
      <c r="C892" s="8" t="n">
        <v>5</v>
      </c>
      <c r="D892" s="8" t="n">
        <v>12</v>
      </c>
      <c r="E892" s="8" t="n">
        <v>11</v>
      </c>
      <c r="F892" s="4" t="s">
        <v>6848</v>
      </c>
      <c r="G892" s="8" t="n">
        <v>37</v>
      </c>
      <c r="H892" s="8" t="n">
        <v>8</v>
      </c>
      <c r="I892" s="4" t="s">
        <v>6845</v>
      </c>
      <c r="J892" s="8" t="n">
        <v>31</v>
      </c>
      <c r="K892" s="8" t="n">
        <v>1</v>
      </c>
      <c r="L892" s="4" t="s">
        <v>6838</v>
      </c>
      <c r="M892" s="8" t="n">
        <v>24</v>
      </c>
      <c r="N892" s="8" t="n">
        <f aca="false">IF(A892="","",G892-J892)</f>
        <v>6</v>
      </c>
      <c r="O892" s="8" t="n">
        <f aca="false">IF(A892="","",J892-M892)</f>
        <v>7</v>
      </c>
      <c r="P892" s="8" t="n">
        <f aca="false">IF(A892="","",G892+J892)</f>
        <v>68</v>
      </c>
      <c r="Q892" s="8" t="str">
        <f aca="false">IF(A892="","",IF(AND(Y892&lt;&gt;"参考",G892&gt;=ルール設定!$B$2),"○",""))</f>
        <v/>
      </c>
      <c r="R892" s="8" t="str">
        <f aca="false">IF(A892="","",IF(AND(Y892&lt;&gt;"参考",G892&gt;=ルール設定!$B$3,N892&gt;=ルール設定!$B$4),"○",""))</f>
        <v/>
      </c>
      <c r="S892" s="8" t="str">
        <f aca="false">IF(A892="","",IF(AND(Y892&lt;&gt;"参考",G892&gt;=ルール設定!$B$5,J892&gt;=ルール設定!$B$6,O892&gt;=ルール設定!$B$7),"○",""))</f>
        <v/>
      </c>
      <c r="T892" s="8" t="n">
        <v>2</v>
      </c>
      <c r="U892" s="8" t="n">
        <v>4</v>
      </c>
      <c r="V892" s="8" t="str">
        <f aca="false">IF(A892="","",IF(AND(ISNUMBER(T892),ISNUMBER(U892)),IF(AND(T892&lt;=3,U892&lt;=3),"○","×"),""))</f>
        <v>×</v>
      </c>
      <c r="W892" s="8" t="n">
        <v>130</v>
      </c>
      <c r="X892" s="8"/>
      <c r="Y892" s="4" t="s">
        <v>7597</v>
      </c>
      <c r="Z892" s="8" t="s">
        <v>8091</v>
      </c>
      <c r="AA892" s="8" t="str">
        <v/>
      </c>
      <c r="AB892" s="8" t="str">
        <v/>
      </c>
      <c r="AC892" s="8" t="str">
        <v/>
      </c>
      <c r="AD892" s="8" t="str">
        <v/>
      </c>
      <c r="AE892" s="8" t="str">
        <v/>
      </c>
      <c r="AF892" s="8" t="str">
        <v/>
      </c>
      <c r="AG892" s="8" t="str">
        <v/>
      </c>
      <c r="AH892" s="8" t="str">
        <v/>
      </c>
      <c r="AI892" s="8" t="n">
        <v>13</v>
      </c>
      <c r="AJ892" s="8" t="str">
        <v>～59</v>
      </c>
      <c r="AK892" s="8" t="str">
        <v>5～9</v>
      </c>
      <c r="AL892" s="8" t="str">
        <v>10～19</v>
      </c>
      <c r="AM892" s="8" t="str">
        <v>～99</v>
      </c>
      <c r="AN892" s="8" t="str">
        <v>12～14</v>
      </c>
      <c r="AO892" s="8" t="str">
        <f aca="false">IF(A892="","",IF(COUNTIFS(全馬データ!$A$2:$A$50000,A892,全馬データ!$B$2:$B$50000,B892,全馬データ!$C$2:$C$50000,C892,全馬データ!$D$2:$D$50000,E892,全馬データ!$K$2:$K$50000,"&lt;&gt;")=0,"",SUMIFS(全馬データ!$K$2:$K$50000,全馬データ!$A$2:$A$50000,A892,全馬データ!$B$2:$B$50000,B892,全馬データ!$C$2:$C$50000,C892,全馬データ!$D$2:$D$50000,E892)))</f>
        <v/>
      </c>
      <c r="AP892" s="8" t="str">
        <f aca="false">IF(A892="","",IF(AO892="","欠損",IF(AO892&lt;=1.1,"1.0～1.1",IF(AO892&lt;1.3,"1.2",IF(AO892&lt;1.5,"1.3～1.4",IF(AO892&lt;2,"1.5～1.9","2.0以上"))))))</f>
        <v>欠損</v>
      </c>
      <c r="AQ892" s="8" t="str">
        <f aca="false">IF(A892="","",IF(ISNUMBER(SEARCH("2歳",Z892)),"2歳戦",IF(ISNUMBER(SEARCH("3歳未勝利",Z892)),"3歳未勝利",IF(ISNUMBER(SEARCH("未勝利",Z892)),"その他未勝利",IF(ISNUMBER(SEARCH("G1",Z892)),"G1",IF(ISNUMBER(SEARCH("G2",Z892)),"G2",IF(ISNUMBER(SEARCH("G3",Z892)),"G3",IF(ISNUMBER(SEARCH("古馬条件",Z892)),"古馬条件戦",IF(ISNUMBER(SEARCH("重賞",Z892)),"重賞","分類不能")))))))))</f>
        <v>分類不能</v>
      </c>
      <c r="AR892" s="8"/>
      <c r="AS892" s="8" t="s">
        <v>7598</v>
      </c>
      <c r="AT892" s="8" t="s">
        <v>7599</v>
      </c>
      <c r="AU892" s="8" t="s">
        <v>7615</v>
      </c>
      <c r="AV892" s="4" t="s">
        <v>7616</v>
      </c>
      <c r="AW892" s="8"/>
      <c r="AX892" s="8"/>
      <c r="AY892" s="8" t="s">
        <v>7602</v>
      </c>
      <c r="AZ892" s="4" t="s">
        <v>7603</v>
      </c>
      <c r="BA892" s="8" t="n">
        <v>1800</v>
      </c>
      <c r="BB892" s="8" t="s">
        <v>7598</v>
      </c>
      <c r="BC892" s="4" t="s">
        <v>7604</v>
      </c>
      <c r="BD892" s="8" t="s">
        <v>7625</v>
      </c>
      <c r="BE892" s="4" t="s">
        <v>7606</v>
      </c>
      <c r="BF892" s="8" t="s">
        <v>7607</v>
      </c>
      <c r="BG892" s="8" t="s">
        <v>7608</v>
      </c>
      <c r="BH892" s="4" t="s">
        <v>7609</v>
      </c>
      <c r="BI892" s="8" t="n">
        <v>12</v>
      </c>
      <c r="BJ892" s="8" t="s">
        <v>7602</v>
      </c>
      <c r="BK892" s="4" t="s">
        <v>7653</v>
      </c>
      <c r="BL892" s="8" t="s">
        <v>7602</v>
      </c>
      <c r="BM892" s="4" t="s">
        <v>7620</v>
      </c>
      <c r="BN892" s="8" t="s">
        <v>7602</v>
      </c>
      <c r="BO892" s="8" t="s">
        <v>7613</v>
      </c>
      <c r="BP892" s="8" t="s">
        <v>7608</v>
      </c>
      <c r="BQ892" s="8" t="str">
        <f aca="false">IF(A892="","",AT892)</f>
        <v>2歳</v>
      </c>
      <c r="BR892" s="8" t="str">
        <f aca="false">IF(A892="","",IF(BA892&lt;=1200,"～1200",IF(BA892&lt;=1500,"1300～1500",IF(BA892=1600,"1600",IF(BA892&lt;=1800,"1700～1800",IF(BA892&lt;=2000,"1900～2000","2100以上"))))))</f>
        <v>1700～1800</v>
      </c>
      <c r="BS892" s="8" t="str">
        <f aca="false">IF(A892="","",IF(AX892="G1","G1",IF(AX892="G2","G2",IF(AX892="G3","G3",IF(AX892="L","L","その他")))))</f>
        <v>その他</v>
      </c>
      <c r="BT892" s="8" t="str">
        <f aca="false">IF(A892="","",IF(BI892="","未結合",IF(D892=BI892,"一致","不一致")))</f>
        <v>一致</v>
      </c>
      <c r="BU892" s="8" t="str">
        <f aca="false">IF(A892="","",IF(BE892="牝馬限定","牝馬限定","その他"))</f>
        <v>その他</v>
      </c>
    </row>
    <row r="893" customFormat="false" ht="15.75" hidden="false" customHeight="false" outlineLevel="0" collapsed="false">
      <c r="A893" s="6" t="n">
        <f aca="false">DATE(2026,8,16)</f>
        <v>46250</v>
      </c>
      <c r="B893" s="4" t="s">
        <v>334</v>
      </c>
      <c r="C893" s="8" t="n">
        <v>6</v>
      </c>
      <c r="D893" s="8" t="n">
        <v>12</v>
      </c>
      <c r="E893" s="8" t="n">
        <v>10</v>
      </c>
      <c r="F893" s="4" t="s">
        <v>1657</v>
      </c>
      <c r="G893" s="8" t="n">
        <v>60</v>
      </c>
      <c r="H893" s="8" t="n">
        <v>4</v>
      </c>
      <c r="I893" s="4" t="s">
        <v>526</v>
      </c>
      <c r="J893" s="8" t="n">
        <v>52</v>
      </c>
      <c r="K893" s="8" t="n">
        <v>8</v>
      </c>
      <c r="L893" s="4" t="s">
        <v>860</v>
      </c>
      <c r="M893" s="8" t="n">
        <v>39</v>
      </c>
      <c r="N893" s="8" t="n">
        <f aca="false">IF(A893="","",G893-J893)</f>
        <v>8</v>
      </c>
      <c r="O893" s="8" t="n">
        <f aca="false">IF(A893="","",J893-M893)</f>
        <v>13</v>
      </c>
      <c r="P893" s="8" t="n">
        <f aca="false">IF(A893="","",G893+J893)</f>
        <v>112</v>
      </c>
      <c r="Q893" s="8" t="str">
        <f aca="false">IF(A893="","",IF(AND(Y893&lt;&gt;"参考",G893&gt;=ルール設定!$B$2),"○",""))</f>
        <v/>
      </c>
      <c r="R893" s="8" t="str">
        <f aca="false">IF(A893="","",IF(AND(Y893&lt;&gt;"参考",G893&gt;=ルール設定!$B$3,N893&gt;=ルール設定!$B$4),"○",""))</f>
        <v/>
      </c>
      <c r="S893" s="8" t="str">
        <f aca="false">IF(A893="","",IF(AND(Y893&lt;&gt;"参考",G893&gt;=ルール設定!$B$5,J893&gt;=ルール設定!$B$6,O893&gt;=ルール設定!$B$7),"○",""))</f>
        <v/>
      </c>
      <c r="T893" s="8" t="n">
        <v>3</v>
      </c>
      <c r="U893" s="8" t="n">
        <v>2</v>
      </c>
      <c r="V893" s="8" t="str">
        <f aca="false">IF(A893="","",IF(AND(ISNUMBER(T893),ISNUMBER(U893)),IF(AND(T893&lt;=3,U893&lt;=3),"○","×"),""))</f>
        <v>○</v>
      </c>
      <c r="W893" s="8" t="n">
        <v>200</v>
      </c>
      <c r="X893" s="8" t="n">
        <v>610</v>
      </c>
      <c r="Y893" s="4" t="s">
        <v>7597</v>
      </c>
      <c r="Z893" s="8" t="s">
        <v>8092</v>
      </c>
      <c r="AA893" s="8" t="str">
        <v/>
      </c>
      <c r="AB893" s="8" t="str">
        <v/>
      </c>
      <c r="AC893" s="8" t="str">
        <v/>
      </c>
      <c r="AD893" s="8" t="str">
        <v/>
      </c>
      <c r="AE893" s="8" t="str">
        <v/>
      </c>
      <c r="AF893" s="8" t="str">
        <v/>
      </c>
      <c r="AG893" s="8" t="str">
        <v/>
      </c>
      <c r="AH893" s="8" t="str">
        <v/>
      </c>
      <c r="AI893" s="8" t="n">
        <v>21</v>
      </c>
      <c r="AJ893" s="8" t="str">
        <v>60～69</v>
      </c>
      <c r="AK893" s="8" t="str">
        <v>5～9</v>
      </c>
      <c r="AL893" s="8" t="str">
        <v>20～29</v>
      </c>
      <c r="AM893" s="8" t="str">
        <v>100～119</v>
      </c>
      <c r="AN893" s="8" t="str">
        <v>12～14</v>
      </c>
      <c r="AO893" s="8" t="str">
        <f aca="false">IF(A893="","",IF(COUNTIFS(全馬データ!$A$2:$A$50000,A893,全馬データ!$B$2:$B$50000,B893,全馬データ!$C$2:$C$50000,C893,全馬データ!$D$2:$D$50000,E893,全馬データ!$K$2:$K$50000,"&lt;&gt;")=0,"",SUMIFS(全馬データ!$K$2:$K$50000,全馬データ!$A$2:$A$50000,A893,全馬データ!$B$2:$B$50000,B893,全馬データ!$C$2:$C$50000,C893,全馬データ!$D$2:$D$50000,E893)))</f>
        <v/>
      </c>
      <c r="AP893" s="8" t="str">
        <f aca="false">IF(A893="","",IF(AO893="","欠損",IF(AO893&lt;=1.1,"1.0～1.1",IF(AO893&lt;1.3,"1.2",IF(AO893&lt;1.5,"1.3～1.4",IF(AO893&lt;2,"1.5～1.9","2.0以上"))))))</f>
        <v>欠損</v>
      </c>
      <c r="AQ893" s="8" t="str">
        <f aca="false">IF(A893="","",IF(ISNUMBER(SEARCH("2歳",Z893)),"2歳戦",IF(ISNUMBER(SEARCH("3歳未勝利",Z893)),"3歳未勝利",IF(ISNUMBER(SEARCH("未勝利",Z893)),"その他未勝利",IF(ISNUMBER(SEARCH("G1",Z893)),"G1",IF(ISNUMBER(SEARCH("G2",Z893)),"G2",IF(ISNUMBER(SEARCH("G3",Z893)),"G3",IF(ISNUMBER(SEARCH("古馬条件",Z893)),"古馬条件戦",IF(ISNUMBER(SEARCH("重賞",Z893)),"重賞","分類不能")))))))))</f>
        <v>分類不能</v>
      </c>
      <c r="AR893" s="8"/>
      <c r="AS893" s="8" t="s">
        <v>7626</v>
      </c>
      <c r="AT893" s="8" t="s">
        <v>7627</v>
      </c>
      <c r="AU893" s="8" t="s">
        <v>7628</v>
      </c>
      <c r="AV893" s="8" t="s">
        <v>7629</v>
      </c>
      <c r="AW893" s="8"/>
      <c r="AX893" s="8"/>
      <c r="AY893" s="8" t="s">
        <v>7610</v>
      </c>
      <c r="AZ893" s="4" t="s">
        <v>7617</v>
      </c>
      <c r="BA893" s="8" t="n">
        <v>1000</v>
      </c>
      <c r="BB893" s="8" t="s">
        <v>7598</v>
      </c>
      <c r="BC893" s="4" t="s">
        <v>7604</v>
      </c>
      <c r="BD893" s="8" t="s">
        <v>7625</v>
      </c>
      <c r="BE893" s="4" t="s">
        <v>7606</v>
      </c>
      <c r="BF893" s="8" t="s">
        <v>7607</v>
      </c>
      <c r="BG893" s="8" t="s">
        <v>7631</v>
      </c>
      <c r="BH893" s="4" t="s">
        <v>7632</v>
      </c>
      <c r="BI893" s="8" t="n">
        <v>12</v>
      </c>
      <c r="BJ893" s="8" t="s">
        <v>7602</v>
      </c>
      <c r="BK893" s="4" t="s">
        <v>7653</v>
      </c>
      <c r="BL893" s="8" t="s">
        <v>7602</v>
      </c>
      <c r="BM893" s="4" t="s">
        <v>7620</v>
      </c>
      <c r="BN893" s="8"/>
      <c r="BO893" s="8"/>
      <c r="BP893" s="8" t="s">
        <v>7608</v>
      </c>
      <c r="BQ893" s="8" t="str">
        <f aca="false">IF(A893="","",AT893)</f>
        <v>3歳以上</v>
      </c>
      <c r="BR893" s="8" t="str">
        <f aca="false">IF(A893="","",IF(BA893&lt;=1200,"～1200",IF(BA893&lt;=1500,"1300～1500",IF(BA893=1600,"1600",IF(BA893&lt;=1800,"1700～1800",IF(BA893&lt;=2000,"1900～2000","2100以上"))))))</f>
        <v>～1200</v>
      </c>
      <c r="BS893" s="8" t="str">
        <f aca="false">IF(A893="","",IF(AX893="G1","G1",IF(AX893="G2","G2",IF(AX893="G3","G3",IF(AX893="L","L","その他")))))</f>
        <v>その他</v>
      </c>
      <c r="BT893" s="8" t="str">
        <f aca="false">IF(A893="","",IF(BI893="","未結合",IF(D893=BI893,"一致","不一致")))</f>
        <v>一致</v>
      </c>
      <c r="BU893" s="8" t="str">
        <f aca="false">IF(A893="","",IF(BE893="牝馬限定","牝馬限定","その他"))</f>
        <v>その他</v>
      </c>
    </row>
    <row r="894" customFormat="false" ht="15.75" hidden="false" customHeight="false" outlineLevel="0" collapsed="false">
      <c r="A894" s="6" t="n">
        <f aca="false">DATE(2026,8,16)</f>
        <v>46250</v>
      </c>
      <c r="B894" s="4" t="s">
        <v>334</v>
      </c>
      <c r="C894" s="8" t="n">
        <v>7</v>
      </c>
      <c r="D894" s="8" t="n">
        <v>16</v>
      </c>
      <c r="E894" s="8" t="n">
        <v>16</v>
      </c>
      <c r="F894" s="4" t="s">
        <v>618</v>
      </c>
      <c r="G894" s="8" t="n">
        <v>56</v>
      </c>
      <c r="H894" s="8" t="n">
        <v>6</v>
      </c>
      <c r="I894" s="4" t="s">
        <v>855</v>
      </c>
      <c r="J894" s="8" t="n">
        <v>41</v>
      </c>
      <c r="K894" s="8" t="n">
        <v>7</v>
      </c>
      <c r="L894" s="4" t="s">
        <v>1760</v>
      </c>
      <c r="M894" s="8" t="n">
        <v>41</v>
      </c>
      <c r="N894" s="8" t="n">
        <f aca="false">IF(A894="","",G894-J894)</f>
        <v>15</v>
      </c>
      <c r="O894" s="8" t="n">
        <f aca="false">IF(A894="","",J894-M894)</f>
        <v>0</v>
      </c>
      <c r="P894" s="8" t="n">
        <f aca="false">IF(A894="","",G894+J894)</f>
        <v>97</v>
      </c>
      <c r="Q894" s="8" t="str">
        <f aca="false">IF(A894="","",IF(AND(Y894&lt;&gt;"参考",G894&gt;=ルール設定!$B$2),"○",""))</f>
        <v/>
      </c>
      <c r="R894" s="8" t="str">
        <f aca="false">IF(A894="","",IF(AND(Y894&lt;&gt;"参考",G894&gt;=ルール設定!$B$3,N894&gt;=ルール設定!$B$4),"○",""))</f>
        <v/>
      </c>
      <c r="S894" s="8" t="str">
        <f aca="false">IF(A894="","",IF(AND(Y894&lt;&gt;"参考",G894&gt;=ルール設定!$B$5,J894&gt;=ルール設定!$B$6,O894&gt;=ルール設定!$B$7),"○",""))</f>
        <v/>
      </c>
      <c r="T894" s="8" t="n">
        <v>4</v>
      </c>
      <c r="U894" s="8" t="n">
        <v>4</v>
      </c>
      <c r="V894" s="8" t="str">
        <f aca="false">IF(A894="","",IF(AND(ISNUMBER(T894),ISNUMBER(U894)),IF(AND(T894&lt;=3,U894&lt;=3),"○","×"),""))</f>
        <v>×</v>
      </c>
      <c r="W894" s="8"/>
      <c r="X894" s="8"/>
      <c r="Y894" s="4" t="s">
        <v>7597</v>
      </c>
      <c r="Z894" s="8" t="s">
        <v>8093</v>
      </c>
      <c r="AA894" s="8" t="str">
        <v/>
      </c>
      <c r="AB894" s="8" t="str">
        <v/>
      </c>
      <c r="AC894" s="8" t="str">
        <v/>
      </c>
      <c r="AD894" s="8" t="str">
        <v/>
      </c>
      <c r="AE894" s="8" t="str">
        <v/>
      </c>
      <c r="AF894" s="8" t="str">
        <v/>
      </c>
      <c r="AG894" s="8" t="str">
        <v/>
      </c>
      <c r="AH894" s="8" t="str">
        <v/>
      </c>
      <c r="AI894" s="8" t="n">
        <v>15</v>
      </c>
      <c r="AJ894" s="8" t="str">
        <v>～59</v>
      </c>
      <c r="AK894" s="8" t="str">
        <v>10～19</v>
      </c>
      <c r="AL894" s="8" t="str">
        <v>10～19</v>
      </c>
      <c r="AM894" s="8" t="str">
        <v>～99</v>
      </c>
      <c r="AN894" s="8" t="str">
        <v>15以上</v>
      </c>
      <c r="AO894" s="8" t="str">
        <f aca="false">IF(A894="","",IF(COUNTIFS(全馬データ!$A$2:$A$50000,A894,全馬データ!$B$2:$B$50000,B894,全馬データ!$C$2:$C$50000,C894,全馬データ!$D$2:$D$50000,E894,全馬データ!$K$2:$K$50000,"&lt;&gt;")=0,"",SUMIFS(全馬データ!$K$2:$K$50000,全馬データ!$A$2:$A$50000,A894,全馬データ!$B$2:$B$50000,B894,全馬データ!$C$2:$C$50000,C894,全馬データ!$D$2:$D$50000,E894)))</f>
        <v/>
      </c>
      <c r="AP894" s="8" t="str">
        <f aca="false">IF(A894="","",IF(AO894="","欠損",IF(AO894&lt;=1.1,"1.0～1.1",IF(AO894&lt;1.3,"1.2",IF(AO894&lt;1.5,"1.3～1.4",IF(AO894&lt;2,"1.5～1.9","2.0以上"))))))</f>
        <v>欠損</v>
      </c>
      <c r="AQ894" s="8" t="str">
        <f aca="false">IF(A894="","",IF(ISNUMBER(SEARCH("2歳",Z894)),"2歳戦",IF(ISNUMBER(SEARCH("3歳未勝利",Z894)),"3歳未勝利",IF(ISNUMBER(SEARCH("未勝利",Z894)),"その他未勝利",IF(ISNUMBER(SEARCH("G1",Z894)),"G1",IF(ISNUMBER(SEARCH("G2",Z894)),"G2",IF(ISNUMBER(SEARCH("G3",Z894)),"G3",IF(ISNUMBER(SEARCH("古馬条件",Z894)),"古馬条件戦",IF(ISNUMBER(SEARCH("重賞",Z894)),"重賞","分類不能")))))))))</f>
        <v>分類不能</v>
      </c>
      <c r="AR894" s="8"/>
      <c r="AS894" s="8" t="s">
        <v>7623</v>
      </c>
      <c r="AT894" s="8" t="s">
        <v>7624</v>
      </c>
      <c r="AU894" s="8" t="s">
        <v>7600</v>
      </c>
      <c r="AV894" s="4" t="s">
        <v>7601</v>
      </c>
      <c r="AW894" s="8"/>
      <c r="AX894" s="8"/>
      <c r="AY894" s="8" t="s">
        <v>7602</v>
      </c>
      <c r="AZ894" s="4" t="s">
        <v>7603</v>
      </c>
      <c r="BA894" s="8" t="n">
        <v>2000</v>
      </c>
      <c r="BB894" s="8" t="s">
        <v>7598</v>
      </c>
      <c r="BC894" s="4" t="s">
        <v>7604</v>
      </c>
      <c r="BD894" s="8" t="s">
        <v>7605</v>
      </c>
      <c r="BE894" s="4" t="s">
        <v>7606</v>
      </c>
      <c r="BF894" s="8" t="s">
        <v>7607</v>
      </c>
      <c r="BG894" s="8" t="s">
        <v>7608</v>
      </c>
      <c r="BH894" s="4" t="s">
        <v>7609</v>
      </c>
      <c r="BI894" s="8" t="n">
        <v>16</v>
      </c>
      <c r="BJ894" s="8" t="s">
        <v>7602</v>
      </c>
      <c r="BK894" s="4" t="s">
        <v>7653</v>
      </c>
      <c r="BL894" s="8" t="s">
        <v>7602</v>
      </c>
      <c r="BM894" s="4" t="s">
        <v>7620</v>
      </c>
      <c r="BN894" s="8" t="s">
        <v>7602</v>
      </c>
      <c r="BO894" s="8" t="s">
        <v>7613</v>
      </c>
      <c r="BP894" s="8" t="s">
        <v>7608</v>
      </c>
      <c r="BQ894" s="8" t="str">
        <f aca="false">IF(A894="","",AT894)</f>
        <v>3歳</v>
      </c>
      <c r="BR894" s="8" t="str">
        <f aca="false">IF(A894="","",IF(BA894&lt;=1200,"～1200",IF(BA894&lt;=1500,"1300～1500",IF(BA894=1600,"1600",IF(BA894&lt;=1800,"1700～1800",IF(BA894&lt;=2000,"1900～2000","2100以上"))))))</f>
        <v>1900～2000</v>
      </c>
      <c r="BS894" s="8" t="str">
        <f aca="false">IF(A894="","",IF(AX894="G1","G1",IF(AX894="G2","G2",IF(AX894="G3","G3",IF(AX894="L","L","その他")))))</f>
        <v>その他</v>
      </c>
      <c r="BT894" s="8" t="str">
        <f aca="false">IF(A894="","",IF(BI894="","未結合",IF(D894=BI894,"一致","不一致")))</f>
        <v>一致</v>
      </c>
      <c r="BU894" s="8" t="str">
        <f aca="false">IF(A894="","",IF(BE894="牝馬限定","牝馬限定","その他"))</f>
        <v>その他</v>
      </c>
    </row>
    <row r="895" customFormat="false" ht="15.75" hidden="false" customHeight="false" outlineLevel="0" collapsed="false">
      <c r="A895" s="6" t="n">
        <f aca="false">DATE(2026,8,16)</f>
        <v>46250</v>
      </c>
      <c r="B895" s="4" t="s">
        <v>334</v>
      </c>
      <c r="C895" s="8" t="n">
        <v>8</v>
      </c>
      <c r="D895" s="8" t="n">
        <v>11</v>
      </c>
      <c r="E895" s="8" t="n">
        <v>7</v>
      </c>
      <c r="F895" s="4" t="s">
        <v>6858</v>
      </c>
      <c r="G895" s="8" t="n">
        <v>67</v>
      </c>
      <c r="H895" s="8" t="n">
        <v>10</v>
      </c>
      <c r="I895" s="4" t="s">
        <v>414</v>
      </c>
      <c r="J895" s="8" t="n">
        <v>56</v>
      </c>
      <c r="K895" s="8" t="n">
        <v>2</v>
      </c>
      <c r="L895" s="4" t="s">
        <v>6856</v>
      </c>
      <c r="M895" s="8" t="n">
        <v>47</v>
      </c>
      <c r="N895" s="8" t="n">
        <f aca="false">IF(A895="","",G895-J895)</f>
        <v>11</v>
      </c>
      <c r="O895" s="8" t="n">
        <f aca="false">IF(A895="","",J895-M895)</f>
        <v>9</v>
      </c>
      <c r="P895" s="8" t="n">
        <f aca="false">IF(A895="","",G895+J895)</f>
        <v>123</v>
      </c>
      <c r="Q895" s="8" t="str">
        <f aca="false">IF(A895="","",IF(AND(Y895&lt;&gt;"参考",G895&gt;=ルール設定!$B$2),"○",""))</f>
        <v/>
      </c>
      <c r="R895" s="8" t="str">
        <f aca="false">IF(A895="","",IF(AND(Y895&lt;&gt;"参考",G895&gt;=ルール設定!$B$3,N895&gt;=ルール設定!$B$4),"○",""))</f>
        <v/>
      </c>
      <c r="S895" s="8" t="str">
        <f aca="false">IF(A895="","",IF(AND(Y895&lt;&gt;"参考",G895&gt;=ルール設定!$B$5,J895&gt;=ルール設定!$B$6,O895&gt;=ルール設定!$B$7),"○",""))</f>
        <v/>
      </c>
      <c r="T895" s="8" t="n">
        <v>1</v>
      </c>
      <c r="U895" s="8" t="n">
        <v>4</v>
      </c>
      <c r="V895" s="8" t="str">
        <f aca="false">IF(A895="","",IF(AND(ISNUMBER(T895),ISNUMBER(U895)),IF(AND(T895&lt;=3,U895&lt;=3),"○","×"),""))</f>
        <v>×</v>
      </c>
      <c r="W895" s="8" t="n">
        <v>130</v>
      </c>
      <c r="X895" s="8"/>
      <c r="Y895" s="4" t="s">
        <v>7597</v>
      </c>
      <c r="Z895" s="8" t="s">
        <v>8094</v>
      </c>
      <c r="AA895" s="8" t="str">
        <v/>
      </c>
      <c r="AB895" s="8" t="str">
        <v/>
      </c>
      <c r="AC895" s="8" t="str">
        <v/>
      </c>
      <c r="AD895" s="8" t="str">
        <v/>
      </c>
      <c r="AE895" s="8" t="str">
        <v/>
      </c>
      <c r="AF895" s="8" t="str">
        <v/>
      </c>
      <c r="AG895" s="8" t="str">
        <v/>
      </c>
      <c r="AH895" s="8" t="str">
        <v/>
      </c>
      <c r="AI895" s="8" t="n">
        <v>20</v>
      </c>
      <c r="AJ895" s="8" t="str">
        <v>60～69</v>
      </c>
      <c r="AK895" s="8" t="str">
        <v>10～19</v>
      </c>
      <c r="AL895" s="8" t="str">
        <v>20～29</v>
      </c>
      <c r="AM895" s="8" t="str">
        <v>120～139</v>
      </c>
      <c r="AN895" s="8" t="str">
        <v>8～11</v>
      </c>
      <c r="AO895" s="8" t="str">
        <f aca="false">IF(A895="","",IF(COUNTIFS(全馬データ!$A$2:$A$50000,A895,全馬データ!$B$2:$B$50000,B895,全馬データ!$C$2:$C$50000,C895,全馬データ!$D$2:$D$50000,E895,全馬データ!$K$2:$K$50000,"&lt;&gt;")=0,"",SUMIFS(全馬データ!$K$2:$K$50000,全馬データ!$A$2:$A$50000,A895,全馬データ!$B$2:$B$50000,B895,全馬データ!$C$2:$C$50000,C895,全馬データ!$D$2:$D$50000,E895)))</f>
        <v/>
      </c>
      <c r="AP895" s="8" t="str">
        <f aca="false">IF(A895="","",IF(AO895="","欠損",IF(AO895&lt;=1.1,"1.0～1.1",IF(AO895&lt;1.3,"1.2",IF(AO895&lt;1.5,"1.3～1.4",IF(AO895&lt;2,"1.5～1.9","2.0以上"))))))</f>
        <v>欠損</v>
      </c>
      <c r="AQ895" s="8" t="str">
        <f aca="false">IF(A895="","",IF(ISNUMBER(SEARCH("2歳",Z895)),"2歳戦",IF(ISNUMBER(SEARCH("3歳未勝利",Z895)),"3歳未勝利",IF(ISNUMBER(SEARCH("未勝利",Z895)),"その他未勝利",IF(ISNUMBER(SEARCH("G1",Z895)),"G1",IF(ISNUMBER(SEARCH("G2",Z895)),"G2",IF(ISNUMBER(SEARCH("G3",Z895)),"G3",IF(ISNUMBER(SEARCH("古馬条件",Z895)),"古馬条件戦",IF(ISNUMBER(SEARCH("重賞",Z895)),"重賞","分類不能")))))))))</f>
        <v>分類不能</v>
      </c>
      <c r="AR895" s="8"/>
      <c r="AS895" s="8" t="s">
        <v>7626</v>
      </c>
      <c r="AT895" s="8" t="s">
        <v>7627</v>
      </c>
      <c r="AU895" s="8" t="s">
        <v>7628</v>
      </c>
      <c r="AV895" s="8" t="s">
        <v>7629</v>
      </c>
      <c r="AW895" s="8"/>
      <c r="AX895" s="8"/>
      <c r="AY895" s="8" t="s">
        <v>7610</v>
      </c>
      <c r="AZ895" s="4" t="s">
        <v>7617</v>
      </c>
      <c r="BA895" s="8" t="n">
        <v>1700</v>
      </c>
      <c r="BB895" s="8" t="s">
        <v>7598</v>
      </c>
      <c r="BC895" s="4" t="s">
        <v>7604</v>
      </c>
      <c r="BD895" s="8" t="s">
        <v>7630</v>
      </c>
      <c r="BE895" s="4" t="s">
        <v>7606</v>
      </c>
      <c r="BF895" s="8" t="s">
        <v>7607</v>
      </c>
      <c r="BG895" s="8" t="s">
        <v>7631</v>
      </c>
      <c r="BH895" s="4" t="s">
        <v>7632</v>
      </c>
      <c r="BI895" s="8" t="n">
        <v>11</v>
      </c>
      <c r="BJ895" s="8" t="s">
        <v>7602</v>
      </c>
      <c r="BK895" s="4" t="s">
        <v>7653</v>
      </c>
      <c r="BL895" s="8" t="s">
        <v>7602</v>
      </c>
      <c r="BM895" s="4" t="s">
        <v>7620</v>
      </c>
      <c r="BN895" s="8"/>
      <c r="BO895" s="8"/>
      <c r="BP895" s="8" t="s">
        <v>7608</v>
      </c>
      <c r="BQ895" s="8" t="str">
        <f aca="false">IF(A895="","",AT895)</f>
        <v>3歳以上</v>
      </c>
      <c r="BR895" s="8" t="str">
        <f aca="false">IF(A895="","",IF(BA895&lt;=1200,"～1200",IF(BA895&lt;=1500,"1300～1500",IF(BA895=1600,"1600",IF(BA895&lt;=1800,"1700～1800",IF(BA895&lt;=2000,"1900～2000","2100以上"))))))</f>
        <v>1700～1800</v>
      </c>
      <c r="BS895" s="8" t="str">
        <f aca="false">IF(A895="","",IF(AX895="G1","G1",IF(AX895="G2","G2",IF(AX895="G3","G3",IF(AX895="L","L","その他")))))</f>
        <v>その他</v>
      </c>
      <c r="BT895" s="8" t="str">
        <f aca="false">IF(A895="","",IF(BI895="","未結合",IF(D895=BI895,"一致","不一致")))</f>
        <v>一致</v>
      </c>
      <c r="BU895" s="8" t="str">
        <f aca="false">IF(A895="","",IF(BE895="牝馬限定","牝馬限定","その他"))</f>
        <v>その他</v>
      </c>
    </row>
    <row r="896" customFormat="false" ht="15.75" hidden="false" customHeight="false" outlineLevel="0" collapsed="false">
      <c r="A896" s="6" t="n">
        <f aca="false">DATE(2026,8,16)</f>
        <v>46250</v>
      </c>
      <c r="B896" s="4" t="s">
        <v>334</v>
      </c>
      <c r="C896" s="8" t="n">
        <v>9</v>
      </c>
      <c r="D896" s="8" t="n">
        <v>16</v>
      </c>
      <c r="E896" s="8" t="n">
        <v>3</v>
      </c>
      <c r="F896" s="4" t="s">
        <v>1379</v>
      </c>
      <c r="G896" s="8" t="n">
        <v>44</v>
      </c>
      <c r="H896" s="8" t="n">
        <v>5</v>
      </c>
      <c r="I896" s="4" t="s">
        <v>396</v>
      </c>
      <c r="J896" s="8" t="n">
        <v>39</v>
      </c>
      <c r="K896" s="8" t="n">
        <v>15</v>
      </c>
      <c r="L896" s="4" t="s">
        <v>3534</v>
      </c>
      <c r="M896" s="8" t="n">
        <v>39</v>
      </c>
      <c r="N896" s="8" t="n">
        <f aca="false">IF(A896="","",G896-J896)</f>
        <v>5</v>
      </c>
      <c r="O896" s="8" t="n">
        <f aca="false">IF(A896="","",J896-M896)</f>
        <v>0</v>
      </c>
      <c r="P896" s="8" t="n">
        <f aca="false">IF(A896="","",G896+J896)</f>
        <v>83</v>
      </c>
      <c r="Q896" s="8" t="str">
        <f aca="false">IF(A896="","",IF(AND(Y896&lt;&gt;"参考",G896&gt;=ルール設定!$B$2),"○",""))</f>
        <v/>
      </c>
      <c r="R896" s="8" t="str">
        <f aca="false">IF(A896="","",IF(AND(Y896&lt;&gt;"参考",G896&gt;=ルール設定!$B$3,N896&gt;=ルール設定!$B$4),"○",""))</f>
        <v/>
      </c>
      <c r="S896" s="8" t="str">
        <f aca="false">IF(A896="","",IF(AND(Y896&lt;&gt;"参考",G896&gt;=ルール設定!$B$5,J896&gt;=ルール設定!$B$6,O896&gt;=ルール設定!$B$7),"○",""))</f>
        <v/>
      </c>
      <c r="T896" s="8" t="n">
        <v>4</v>
      </c>
      <c r="U896" s="8" t="n">
        <v>4</v>
      </c>
      <c r="V896" s="8" t="str">
        <f aca="false">IF(A896="","",IF(AND(ISNUMBER(T896),ISNUMBER(U896)),IF(AND(T896&lt;=3,U896&lt;=3),"○","×"),""))</f>
        <v>×</v>
      </c>
      <c r="W896" s="8"/>
      <c r="X896" s="8"/>
      <c r="Y896" s="4" t="s">
        <v>7597</v>
      </c>
      <c r="Z896" s="8" t="s">
        <v>8095</v>
      </c>
      <c r="AA896" s="8" t="str">
        <v/>
      </c>
      <c r="AB896" s="8" t="str">
        <v/>
      </c>
      <c r="AC896" s="8" t="str">
        <v/>
      </c>
      <c r="AD896" s="8" t="str">
        <v/>
      </c>
      <c r="AE896" s="8" t="str">
        <v/>
      </c>
      <c r="AF896" s="8" t="str">
        <v/>
      </c>
      <c r="AG896" s="8" t="str">
        <v/>
      </c>
      <c r="AH896" s="8" t="str">
        <v/>
      </c>
      <c r="AI896" s="8" t="n">
        <v>5</v>
      </c>
      <c r="AJ896" s="8" t="str">
        <v>～59</v>
      </c>
      <c r="AK896" s="8" t="str">
        <v>5～9</v>
      </c>
      <c r="AL896" s="8" t="str">
        <v>0～9</v>
      </c>
      <c r="AM896" s="8" t="str">
        <v>～99</v>
      </c>
      <c r="AN896" s="8" t="str">
        <v>15以上</v>
      </c>
      <c r="AO896" s="8" t="str">
        <f aca="false">IF(A896="","",IF(COUNTIFS(全馬データ!$A$2:$A$50000,A896,全馬データ!$B$2:$B$50000,B896,全馬データ!$C$2:$C$50000,C896,全馬データ!$D$2:$D$50000,E896,全馬データ!$K$2:$K$50000,"&lt;&gt;")=0,"",SUMIFS(全馬データ!$K$2:$K$50000,全馬データ!$A$2:$A$50000,A896,全馬データ!$B$2:$B$50000,B896,全馬データ!$C$2:$C$50000,C896,全馬データ!$D$2:$D$50000,E896)))</f>
        <v/>
      </c>
      <c r="AP896" s="8" t="str">
        <f aca="false">IF(A896="","",IF(AO896="","欠損",IF(AO896&lt;=1.1,"1.0～1.1",IF(AO896&lt;1.3,"1.2",IF(AO896&lt;1.5,"1.3～1.4",IF(AO896&lt;2,"1.5～1.9","2.0以上"))))))</f>
        <v>欠損</v>
      </c>
      <c r="AQ896" s="8" t="str">
        <f aca="false">IF(A896="","",IF(ISNUMBER(SEARCH("2歳",Z896)),"2歳戦",IF(ISNUMBER(SEARCH("3歳未勝利",Z896)),"3歳未勝利",IF(ISNUMBER(SEARCH("未勝利",Z896)),"その他未勝利",IF(ISNUMBER(SEARCH("G1",Z896)),"G1",IF(ISNUMBER(SEARCH("G2",Z896)),"G2",IF(ISNUMBER(SEARCH("G3",Z896)),"G3",IF(ISNUMBER(SEARCH("古馬条件",Z896)),"古馬条件戦",IF(ISNUMBER(SEARCH("重賞",Z896)),"重賞","分類不能")))))))))</f>
        <v>分類不能</v>
      </c>
      <c r="AR896" s="4" t="s">
        <v>8096</v>
      </c>
      <c r="AS896" s="8" t="s">
        <v>7626</v>
      </c>
      <c r="AT896" s="8" t="s">
        <v>7627</v>
      </c>
      <c r="AU896" s="8" t="s">
        <v>7628</v>
      </c>
      <c r="AV896" s="8" t="s">
        <v>7629</v>
      </c>
      <c r="AW896" s="8" t="s">
        <v>7636</v>
      </c>
      <c r="AX896" s="4" t="s">
        <v>7637</v>
      </c>
      <c r="AY896" s="8" t="s">
        <v>7602</v>
      </c>
      <c r="AZ896" s="4" t="s">
        <v>7603</v>
      </c>
      <c r="BA896" s="8" t="n">
        <v>1200</v>
      </c>
      <c r="BB896" s="8" t="s">
        <v>7598</v>
      </c>
      <c r="BC896" s="4" t="s">
        <v>7604</v>
      </c>
      <c r="BD896" s="8" t="s">
        <v>7630</v>
      </c>
      <c r="BE896" s="4" t="s">
        <v>7606</v>
      </c>
      <c r="BF896" s="8" t="s">
        <v>7607</v>
      </c>
      <c r="BG896" s="8" t="s">
        <v>7631</v>
      </c>
      <c r="BH896" s="4" t="s">
        <v>7632</v>
      </c>
      <c r="BI896" s="8" t="n">
        <v>16</v>
      </c>
      <c r="BJ896" s="8" t="s">
        <v>7602</v>
      </c>
      <c r="BK896" s="4" t="s">
        <v>7653</v>
      </c>
      <c r="BL896" s="8" t="s">
        <v>7602</v>
      </c>
      <c r="BM896" s="4" t="s">
        <v>7620</v>
      </c>
      <c r="BN896" s="8" t="s">
        <v>7602</v>
      </c>
      <c r="BO896" s="8" t="s">
        <v>7613</v>
      </c>
      <c r="BP896" s="8" t="s">
        <v>7608</v>
      </c>
      <c r="BQ896" s="8" t="str">
        <f aca="false">IF(A896="","",AT896)</f>
        <v>3歳以上</v>
      </c>
      <c r="BR896" s="8" t="str">
        <f aca="false">IF(A896="","",IF(BA896&lt;=1200,"～1200",IF(BA896&lt;=1500,"1300～1500",IF(BA896=1600,"1600",IF(BA896&lt;=1800,"1700～1800",IF(BA896&lt;=2000,"1900～2000","2100以上"))))))</f>
        <v>～1200</v>
      </c>
      <c r="BS896" s="8" t="str">
        <f aca="false">IF(A896="","",IF(AX896="G1","G1",IF(AX896="G2","G2",IF(AX896="G3","G3",IF(AX896="L","L","その他")))))</f>
        <v>その他</v>
      </c>
      <c r="BT896" s="8" t="str">
        <f aca="false">IF(A896="","",IF(BI896="","未結合",IF(D896=BI896,"一致","不一致")))</f>
        <v>一致</v>
      </c>
      <c r="BU896" s="8" t="str">
        <f aca="false">IF(A896="","",IF(BE896="牝馬限定","牝馬限定","その他"))</f>
        <v>その他</v>
      </c>
    </row>
    <row r="897" customFormat="false" ht="15.75" hidden="false" customHeight="false" outlineLevel="0" collapsed="false">
      <c r="A897" s="6" t="n">
        <f aca="false">DATE(2026,8,16)</f>
        <v>46250</v>
      </c>
      <c r="B897" s="4" t="s">
        <v>334</v>
      </c>
      <c r="C897" s="8" t="n">
        <v>10</v>
      </c>
      <c r="D897" s="8" t="n">
        <v>12</v>
      </c>
      <c r="E897" s="8" t="n">
        <v>10</v>
      </c>
      <c r="F897" s="4" t="s">
        <v>2900</v>
      </c>
      <c r="G897" s="8" t="n">
        <v>58</v>
      </c>
      <c r="H897" s="8" t="n">
        <v>7</v>
      </c>
      <c r="I897" s="4" t="s">
        <v>4333</v>
      </c>
      <c r="J897" s="8" t="n">
        <v>56</v>
      </c>
      <c r="K897" s="8" t="n">
        <v>2</v>
      </c>
      <c r="L897" s="4" t="s">
        <v>2654</v>
      </c>
      <c r="M897" s="8" t="n">
        <v>39</v>
      </c>
      <c r="N897" s="8" t="n">
        <f aca="false">IF(A897="","",G897-J897)</f>
        <v>2</v>
      </c>
      <c r="O897" s="8" t="n">
        <f aca="false">IF(A897="","",J897-M897)</f>
        <v>17</v>
      </c>
      <c r="P897" s="8" t="n">
        <f aca="false">IF(A897="","",G897+J897)</f>
        <v>114</v>
      </c>
      <c r="Q897" s="8" t="str">
        <f aca="false">IF(A897="","",IF(AND(Y897&lt;&gt;"参考",G897&gt;=ルール設定!$B$2),"○",""))</f>
        <v/>
      </c>
      <c r="R897" s="8" t="str">
        <f aca="false">IF(A897="","",IF(AND(Y897&lt;&gt;"参考",G897&gt;=ルール設定!$B$3,N897&gt;=ルール設定!$B$4),"○",""))</f>
        <v/>
      </c>
      <c r="S897" s="8" t="str">
        <f aca="false">IF(A897="","",IF(AND(Y897&lt;&gt;"参考",G897&gt;=ルール設定!$B$5,J897&gt;=ルール設定!$B$6,O897&gt;=ルール設定!$B$7),"○",""))</f>
        <v/>
      </c>
      <c r="T897" s="8" t="n">
        <v>2</v>
      </c>
      <c r="U897" s="8" t="n">
        <v>4</v>
      </c>
      <c r="V897" s="8" t="str">
        <f aca="false">IF(A897="","",IF(AND(ISNUMBER(T897),ISNUMBER(U897)),IF(AND(T897&lt;=3,U897&lt;=3),"○","×"),""))</f>
        <v>×</v>
      </c>
      <c r="W897" s="8" t="n">
        <v>160</v>
      </c>
      <c r="X897" s="8"/>
      <c r="Y897" s="4" t="s">
        <v>7597</v>
      </c>
      <c r="Z897" s="8" t="s">
        <v>8097</v>
      </c>
      <c r="AA897" s="8" t="str">
        <v/>
      </c>
      <c r="AB897" s="8" t="str">
        <v/>
      </c>
      <c r="AC897" s="8" t="str">
        <v/>
      </c>
      <c r="AD897" s="8" t="str">
        <v/>
      </c>
      <c r="AE897" s="8" t="str">
        <v/>
      </c>
      <c r="AF897" s="8" t="str">
        <v/>
      </c>
      <c r="AG897" s="8" t="str">
        <v/>
      </c>
      <c r="AH897" s="8" t="str">
        <v/>
      </c>
      <c r="AI897" s="8" t="n">
        <v>19</v>
      </c>
      <c r="AJ897" s="8" t="str">
        <v>～59</v>
      </c>
      <c r="AK897" s="8" t="str">
        <v>0～4</v>
      </c>
      <c r="AL897" s="8" t="str">
        <v>10～19</v>
      </c>
      <c r="AM897" s="8" t="str">
        <v>100～119</v>
      </c>
      <c r="AN897" s="8" t="str">
        <v>12～14</v>
      </c>
      <c r="AO897" s="8" t="str">
        <f aca="false">IF(A897="","",IF(COUNTIFS(全馬データ!$A$2:$A$50000,A897,全馬データ!$B$2:$B$50000,B897,全馬データ!$C$2:$C$50000,C897,全馬データ!$D$2:$D$50000,E897,全馬データ!$K$2:$K$50000,"&lt;&gt;")=0,"",SUMIFS(全馬データ!$K$2:$K$50000,全馬データ!$A$2:$A$50000,A897,全馬データ!$B$2:$B$50000,B897,全馬データ!$C$2:$C$50000,C897,全馬データ!$D$2:$D$50000,E897)))</f>
        <v/>
      </c>
      <c r="AP897" s="8" t="str">
        <f aca="false">IF(A897="","",IF(AO897="","欠損",IF(AO897&lt;=1.1,"1.0～1.1",IF(AO897&lt;1.3,"1.2",IF(AO897&lt;1.5,"1.3～1.4",IF(AO897&lt;2,"1.5～1.9","2.0以上"))))))</f>
        <v>欠損</v>
      </c>
      <c r="AQ897" s="8" t="str">
        <f aca="false">IF(A897="","",IF(ISNUMBER(SEARCH("2歳",Z897)),"2歳戦",IF(ISNUMBER(SEARCH("3歳未勝利",Z897)),"3歳未勝利",IF(ISNUMBER(SEARCH("未勝利",Z897)),"その他未勝利",IF(ISNUMBER(SEARCH("G1",Z897)),"G1",IF(ISNUMBER(SEARCH("G2",Z897)),"G2",IF(ISNUMBER(SEARCH("G3",Z897)),"G3",IF(ISNUMBER(SEARCH("古馬条件",Z897)),"古馬条件戦",IF(ISNUMBER(SEARCH("重賞",Z897)),"重賞","分類不能")))))))))</f>
        <v>分類不能</v>
      </c>
      <c r="AR897" s="4" t="s">
        <v>8098</v>
      </c>
      <c r="AS897" s="8" t="s">
        <v>7626</v>
      </c>
      <c r="AT897" s="8" t="s">
        <v>7627</v>
      </c>
      <c r="AU897" s="8" t="s">
        <v>7634</v>
      </c>
      <c r="AV897" s="8" t="s">
        <v>7635</v>
      </c>
      <c r="AW897" s="8" t="s">
        <v>7636</v>
      </c>
      <c r="AX897" s="4" t="s">
        <v>7637</v>
      </c>
      <c r="AY897" s="8" t="s">
        <v>7610</v>
      </c>
      <c r="AZ897" s="4" t="s">
        <v>7617</v>
      </c>
      <c r="BA897" s="8" t="n">
        <v>1000</v>
      </c>
      <c r="BB897" s="8" t="s">
        <v>7598</v>
      </c>
      <c r="BC897" s="4" t="s">
        <v>7604</v>
      </c>
      <c r="BD897" s="8" t="s">
        <v>7605</v>
      </c>
      <c r="BE897" s="4" t="s">
        <v>7606</v>
      </c>
      <c r="BF897" s="8" t="s">
        <v>7607</v>
      </c>
      <c r="BG897" s="8" t="s">
        <v>7631</v>
      </c>
      <c r="BH897" s="4" t="s">
        <v>7632</v>
      </c>
      <c r="BI897" s="8" t="n">
        <v>12</v>
      </c>
      <c r="BJ897" s="8" t="s">
        <v>7602</v>
      </c>
      <c r="BK897" s="4" t="s">
        <v>7653</v>
      </c>
      <c r="BL897" s="8" t="s">
        <v>7602</v>
      </c>
      <c r="BM897" s="4" t="s">
        <v>7620</v>
      </c>
      <c r="BN897" s="8"/>
      <c r="BO897" s="8"/>
      <c r="BP897" s="8" t="s">
        <v>7608</v>
      </c>
      <c r="BQ897" s="8" t="str">
        <f aca="false">IF(A897="","",AT897)</f>
        <v>3歳以上</v>
      </c>
      <c r="BR897" s="8" t="str">
        <f aca="false">IF(A897="","",IF(BA897&lt;=1200,"～1200",IF(BA897&lt;=1500,"1300～1500",IF(BA897=1600,"1600",IF(BA897&lt;=1800,"1700～1800",IF(BA897&lt;=2000,"1900～2000","2100以上"))))))</f>
        <v>～1200</v>
      </c>
      <c r="BS897" s="8" t="str">
        <f aca="false">IF(A897="","",IF(AX897="G1","G1",IF(AX897="G2","G2",IF(AX897="G3","G3",IF(AX897="L","L","その他")))))</f>
        <v>その他</v>
      </c>
      <c r="BT897" s="8" t="str">
        <f aca="false">IF(A897="","",IF(BI897="","未結合",IF(D897=BI897,"一致","不一致")))</f>
        <v>一致</v>
      </c>
      <c r="BU897" s="8" t="str">
        <f aca="false">IF(A897="","",IF(BE897="牝馬限定","牝馬限定","その他"))</f>
        <v>その他</v>
      </c>
    </row>
    <row r="898" customFormat="false" ht="15.75" hidden="false" customHeight="false" outlineLevel="0" collapsed="false">
      <c r="A898" s="6" t="n">
        <f aca="false">DATE(2026,8,16)</f>
        <v>46250</v>
      </c>
      <c r="B898" s="4" t="s">
        <v>334</v>
      </c>
      <c r="C898" s="8" t="n">
        <v>11</v>
      </c>
      <c r="D898" s="8" t="n">
        <v>16</v>
      </c>
      <c r="E898" s="8" t="n">
        <v>10</v>
      </c>
      <c r="F898" s="4" t="s">
        <v>6869</v>
      </c>
      <c r="G898" s="8" t="n">
        <v>56</v>
      </c>
      <c r="H898" s="8" t="n">
        <v>6</v>
      </c>
      <c r="I898" s="4" t="s">
        <v>6866</v>
      </c>
      <c r="J898" s="8" t="n">
        <v>47</v>
      </c>
      <c r="K898" s="8" t="n">
        <v>7</v>
      </c>
      <c r="L898" s="4" t="s">
        <v>6867</v>
      </c>
      <c r="M898" s="8" t="n">
        <v>41</v>
      </c>
      <c r="N898" s="8" t="n">
        <f aca="false">IF(A898="","",G898-J898)</f>
        <v>9</v>
      </c>
      <c r="O898" s="8" t="n">
        <f aca="false">IF(A898="","",J898-M898)</f>
        <v>6</v>
      </c>
      <c r="P898" s="8" t="n">
        <f aca="false">IF(A898="","",G898+J898)</f>
        <v>103</v>
      </c>
      <c r="Q898" s="8" t="str">
        <f aca="false">IF(A898="","",IF(AND(Y898&lt;&gt;"参考",G898&gt;=ルール設定!$B$2),"○",""))</f>
        <v/>
      </c>
      <c r="R898" s="8" t="str">
        <f aca="false">IF(A898="","",IF(AND(Y898&lt;&gt;"参考",G898&gt;=ルール設定!$B$3,N898&gt;=ルール設定!$B$4),"○",""))</f>
        <v/>
      </c>
      <c r="S898" s="8" t="str">
        <f aca="false">IF(A898="","",IF(AND(Y898&lt;&gt;"参考",G898&gt;=ルール設定!$B$5,J898&gt;=ルール設定!$B$6,O898&gt;=ルール設定!$B$7),"○",""))</f>
        <v/>
      </c>
      <c r="T898" s="8" t="n">
        <v>4</v>
      </c>
      <c r="U898" s="8" t="n">
        <v>4</v>
      </c>
      <c r="V898" s="8" t="str">
        <f aca="false">IF(A898="","",IF(AND(ISNUMBER(T898),ISNUMBER(U898)),IF(AND(T898&lt;=3,U898&lt;=3),"○","×"),""))</f>
        <v>×</v>
      </c>
      <c r="W898" s="8"/>
      <c r="X898" s="8"/>
      <c r="Y898" s="4" t="s">
        <v>7597</v>
      </c>
      <c r="Z898" s="8" t="s">
        <v>8099</v>
      </c>
      <c r="AA898" s="8" t="str">
        <v/>
      </c>
      <c r="AB898" s="8" t="str">
        <v/>
      </c>
      <c r="AC898" s="8" t="str">
        <v/>
      </c>
      <c r="AD898" s="8" t="str">
        <v/>
      </c>
      <c r="AE898" s="8" t="str">
        <v/>
      </c>
      <c r="AF898" s="8" t="str">
        <v/>
      </c>
      <c r="AG898" s="8" t="str">
        <v/>
      </c>
      <c r="AH898" s="8" t="str">
        <v/>
      </c>
      <c r="AI898" s="8" t="n">
        <v>15</v>
      </c>
      <c r="AJ898" s="8" t="str">
        <v>～59</v>
      </c>
      <c r="AK898" s="8" t="str">
        <v>5～9</v>
      </c>
      <c r="AL898" s="8" t="str">
        <v>10～19</v>
      </c>
      <c r="AM898" s="8" t="str">
        <v>100～119</v>
      </c>
      <c r="AN898" s="8" t="str">
        <v>15以上</v>
      </c>
      <c r="AO898" s="8" t="str">
        <f aca="false">IF(A898="","",IF(COUNTIFS(全馬データ!$A$2:$A$50000,A898,全馬データ!$B$2:$B$50000,B898,全馬データ!$C$2:$C$50000,C898,全馬データ!$D$2:$D$50000,E898,全馬データ!$K$2:$K$50000,"&lt;&gt;")=0,"",SUMIFS(全馬データ!$K$2:$K$50000,全馬データ!$A$2:$A$50000,A898,全馬データ!$B$2:$B$50000,B898,全馬データ!$C$2:$C$50000,C898,全馬データ!$D$2:$D$50000,E898)))</f>
        <v/>
      </c>
      <c r="AP898" s="8" t="str">
        <f aca="false">IF(A898="","",IF(AO898="","欠損",IF(AO898&lt;=1.1,"1.0～1.1",IF(AO898&lt;1.3,"1.2",IF(AO898&lt;1.5,"1.3～1.4",IF(AO898&lt;2,"1.5～1.9","2.0以上"))))))</f>
        <v>欠損</v>
      </c>
      <c r="AQ898" s="8" t="str">
        <f aca="false">IF(A898="","",IF(ISNUMBER(SEARCH("2歳",Z898)),"2歳戦",IF(ISNUMBER(SEARCH("3歳未勝利",Z898)),"3歳未勝利",IF(ISNUMBER(SEARCH("未勝利",Z898)),"その他未勝利",IF(ISNUMBER(SEARCH("G1",Z898)),"G1",IF(ISNUMBER(SEARCH("G2",Z898)),"G2",IF(ISNUMBER(SEARCH("G3",Z898)),"G3",IF(ISNUMBER(SEARCH("古馬条件",Z898)),"古馬条件戦",IF(ISNUMBER(SEARCH("重賞",Z898)),"重賞","分類不能")))))))))</f>
        <v>分類不能</v>
      </c>
      <c r="AR898" s="4" t="s">
        <v>8100</v>
      </c>
      <c r="AS898" s="8" t="s">
        <v>7626</v>
      </c>
      <c r="AT898" s="8" t="s">
        <v>7627</v>
      </c>
      <c r="AU898" s="8" t="s">
        <v>7643</v>
      </c>
      <c r="AV898" s="4" t="s">
        <v>7644</v>
      </c>
      <c r="AW898" s="8" t="s">
        <v>7610</v>
      </c>
      <c r="AX898" s="8" t="s">
        <v>7881</v>
      </c>
      <c r="AY898" s="8" t="s">
        <v>7602</v>
      </c>
      <c r="AZ898" s="4" t="s">
        <v>7603</v>
      </c>
      <c r="BA898" s="8" t="n">
        <v>2000</v>
      </c>
      <c r="BB898" s="8" t="s">
        <v>7598</v>
      </c>
      <c r="BC898" s="4" t="s">
        <v>7604</v>
      </c>
      <c r="BD898" s="8" t="s">
        <v>7666</v>
      </c>
      <c r="BE898" s="4" t="s">
        <v>7606</v>
      </c>
      <c r="BF898" s="8" t="s">
        <v>7607</v>
      </c>
      <c r="BG898" s="8" t="s">
        <v>7631</v>
      </c>
      <c r="BH898" s="4" t="s">
        <v>7632</v>
      </c>
      <c r="BI898" s="8" t="n">
        <v>16</v>
      </c>
      <c r="BJ898" s="8" t="s">
        <v>7602</v>
      </c>
      <c r="BK898" s="4" t="s">
        <v>7653</v>
      </c>
      <c r="BL898" s="8" t="s">
        <v>7602</v>
      </c>
      <c r="BM898" s="4" t="s">
        <v>7620</v>
      </c>
      <c r="BN898" s="8" t="s">
        <v>7602</v>
      </c>
      <c r="BO898" s="8" t="s">
        <v>7613</v>
      </c>
      <c r="BP898" s="8" t="s">
        <v>7608</v>
      </c>
      <c r="BQ898" s="8" t="str">
        <f aca="false">IF(A898="","",AT898)</f>
        <v>3歳以上</v>
      </c>
      <c r="BR898" s="8" t="str">
        <f aca="false">IF(A898="","",IF(BA898&lt;=1200,"～1200",IF(BA898&lt;=1500,"1300～1500",IF(BA898=1600,"1600",IF(BA898&lt;=1800,"1700～1800",IF(BA898&lt;=2000,"1900～2000","2100以上"))))))</f>
        <v>1900～2000</v>
      </c>
      <c r="BS898" s="8" t="str">
        <f aca="false">IF(A898="","",IF(AX898="G1","G1",IF(AX898="G2","G2",IF(AX898="G3","G3",IF(AX898="L","L","その他")))))</f>
        <v>G2</v>
      </c>
      <c r="BT898" s="8" t="str">
        <f aca="false">IF(A898="","",IF(BI898="","未結合",IF(D898=BI898,"一致","不一致")))</f>
        <v>一致</v>
      </c>
      <c r="BU898" s="8" t="str">
        <f aca="false">IF(A898="","",IF(BE898="牝馬限定","牝馬限定","その他"))</f>
        <v>その他</v>
      </c>
    </row>
    <row r="899" customFormat="false" ht="15.75" hidden="false" customHeight="false" outlineLevel="0" collapsed="false">
      <c r="A899" s="6" t="n">
        <f aca="false">DATE(2026,8,1)</f>
        <v>46235</v>
      </c>
      <c r="B899" s="4" t="s">
        <v>334</v>
      </c>
      <c r="C899" s="8" t="n">
        <v>1</v>
      </c>
      <c r="D899" s="8" t="n">
        <v>12</v>
      </c>
      <c r="E899" s="8" t="n">
        <v>11</v>
      </c>
      <c r="F899" s="4" t="s">
        <v>1729</v>
      </c>
      <c r="G899" s="8" t="n">
        <v>60</v>
      </c>
      <c r="H899" s="8" t="n">
        <v>3</v>
      </c>
      <c r="I899" s="4" t="s">
        <v>2451</v>
      </c>
      <c r="J899" s="8" t="n">
        <v>56</v>
      </c>
      <c r="K899" s="8" t="n">
        <v>7</v>
      </c>
      <c r="L899" s="4" t="s">
        <v>1252</v>
      </c>
      <c r="M899" s="8" t="n">
        <v>47</v>
      </c>
      <c r="N899" s="8" t="n">
        <f aca="false">IF(A899="","",G899-J899)</f>
        <v>4</v>
      </c>
      <c r="O899" s="8" t="n">
        <f aca="false">IF(A899="","",J899-M899)</f>
        <v>9</v>
      </c>
      <c r="P899" s="8" t="n">
        <f aca="false">IF(A899="","",G899+J899)</f>
        <v>116</v>
      </c>
      <c r="Q899" s="8" t="str">
        <f aca="false">IF(A899="","",IF(AND(Y899&lt;&gt;"参考",G899&gt;=ルール設定!$B$2),"○",""))</f>
        <v/>
      </c>
      <c r="R899" s="8" t="str">
        <f aca="false">IF(A899="","",IF(AND(Y899&lt;&gt;"参考",G899&gt;=ルール設定!$B$3,N899&gt;=ルール設定!$B$4),"○",""))</f>
        <v/>
      </c>
      <c r="S899" s="8" t="str">
        <f aca="false">IF(A899="","",IF(AND(Y899&lt;&gt;"参考",G899&gt;=ルール設定!$B$5,J899&gt;=ルール設定!$B$6,O899&gt;=ルール設定!$B$7),"○",""))</f>
        <v/>
      </c>
      <c r="T899" s="8" t="n">
        <v>4</v>
      </c>
      <c r="U899" s="8" t="n">
        <v>3</v>
      </c>
      <c r="V899" s="8" t="str">
        <f aca="false">IF(A899="","",IF(AND(ISNUMBER(T899),ISNUMBER(U899)),IF(AND(T899&lt;=3,U899&lt;=3),"○","×"),""))</f>
        <v>×</v>
      </c>
      <c r="W899" s="8"/>
      <c r="X899" s="8"/>
      <c r="Y899" s="4" t="s">
        <v>7597</v>
      </c>
      <c r="Z899" s="4" t="s">
        <v>8101</v>
      </c>
      <c r="AA899" s="8" t="str">
        <v/>
      </c>
      <c r="AB899" s="8" t="str">
        <v/>
      </c>
      <c r="AC899" s="8" t="str">
        <v/>
      </c>
      <c r="AD899" s="8" t="str">
        <v/>
      </c>
      <c r="AE899" s="8" t="str">
        <v/>
      </c>
      <c r="AF899" s="8" t="str">
        <v/>
      </c>
      <c r="AG899" s="8" t="str">
        <v/>
      </c>
      <c r="AH899" s="8" t="str">
        <v/>
      </c>
      <c r="AI899" s="8" t="n">
        <v>13</v>
      </c>
      <c r="AJ899" s="8" t="str">
        <v>60～69</v>
      </c>
      <c r="AK899" s="8" t="str">
        <v>0～4</v>
      </c>
      <c r="AL899" s="8" t="str">
        <v>10～19</v>
      </c>
      <c r="AM899" s="8" t="str">
        <v>100～119</v>
      </c>
      <c r="AN899" s="8" t="str">
        <v>12～14</v>
      </c>
      <c r="AO899" s="8" t="str">
        <f aca="false">IF(A899="","",IF(COUNTIFS(全馬データ!$A$2:$A$50000,A899,全馬データ!$B$2:$B$50000,B899,全馬データ!$C$2:$C$50000,C899,全馬データ!$D$2:$D$50000,E899,全馬データ!$K$2:$K$50000,"&lt;&gt;")=0,"",SUMIFS(全馬データ!$K$2:$K$50000,全馬データ!$A$2:$A$50000,A899,全馬データ!$B$2:$B$50000,B899,全馬データ!$C$2:$C$50000,C899,全馬データ!$D$2:$D$50000,E899)))</f>
        <v/>
      </c>
      <c r="AP899" s="8" t="str">
        <f aca="false">IF(A899="","",IF(AO899="","欠損",IF(AO899&lt;=1.1,"1.0～1.1",IF(AO899&lt;1.3,"1.2",IF(AO899&lt;1.5,"1.3～1.4",IF(AO899&lt;2,"1.5～1.9","2.0以上"))))))</f>
        <v>欠損</v>
      </c>
      <c r="AQ899" s="8" t="str">
        <f aca="false">IF(A899="","",IF(ISNUMBER(SEARCH("2歳",Z899)),"2歳戦",IF(ISNUMBER(SEARCH("3歳未勝利",Z899)),"3歳未勝利",IF(ISNUMBER(SEARCH("未勝利",Z899)),"その他未勝利",IF(ISNUMBER(SEARCH("G1",Z899)),"G1",IF(ISNUMBER(SEARCH("G2",Z899)),"G2",IF(ISNUMBER(SEARCH("G3",Z899)),"G3",IF(ISNUMBER(SEARCH("古馬条件",Z899)),"古馬条件戦",IF(ISNUMBER(SEARCH("重賞",Z899)),"重賞","分類不能")))))))))</f>
        <v>分類不能</v>
      </c>
      <c r="AR899" s="8"/>
      <c r="AS899" s="8" t="s">
        <v>7623</v>
      </c>
      <c r="AT899" s="8" t="s">
        <v>7624</v>
      </c>
      <c r="AU899" s="8" t="s">
        <v>7600</v>
      </c>
      <c r="AV899" s="4" t="s">
        <v>7601</v>
      </c>
      <c r="AW899" s="8"/>
      <c r="AX899" s="8"/>
      <c r="AY899" s="8" t="s">
        <v>7610</v>
      </c>
      <c r="AZ899" s="4" t="s">
        <v>7617</v>
      </c>
      <c r="BA899" s="8" t="n">
        <v>1000</v>
      </c>
      <c r="BB899" s="8" t="s">
        <v>7659</v>
      </c>
      <c r="BC899" s="4" t="s">
        <v>7619</v>
      </c>
      <c r="BD899" s="8" t="s">
        <v>7625</v>
      </c>
      <c r="BE899" s="4" t="s">
        <v>7606</v>
      </c>
      <c r="BF899" s="8" t="s">
        <v>7607</v>
      </c>
      <c r="BG899" s="8" t="s">
        <v>7608</v>
      </c>
      <c r="BH899" s="4" t="s">
        <v>7609</v>
      </c>
      <c r="BI899" s="8" t="n">
        <v>12</v>
      </c>
      <c r="BJ899" s="8" t="s">
        <v>7602</v>
      </c>
      <c r="BK899" s="4" t="s">
        <v>7653</v>
      </c>
      <c r="BL899" s="8" t="s">
        <v>7602</v>
      </c>
      <c r="BM899" s="4" t="s">
        <v>7620</v>
      </c>
      <c r="BN899" s="8"/>
      <c r="BO899" s="8"/>
      <c r="BP899" s="8" t="s">
        <v>7608</v>
      </c>
      <c r="BQ899" s="8" t="str">
        <f aca="false">IF(A899="","",AT899)</f>
        <v>3歳</v>
      </c>
      <c r="BR899" s="8" t="str">
        <f aca="false">IF(A899="","",IF(BA899&lt;=1200,"～1200",IF(BA899&lt;=1500,"1300～1500",IF(BA899=1600,"1600",IF(BA899&lt;=1800,"1700～1800",IF(BA899&lt;=2000,"1900～2000","2100以上"))))))</f>
        <v>～1200</v>
      </c>
      <c r="BS899" s="8" t="str">
        <f aca="false">IF(A899="","",IF(AX899="G1","G1",IF(AX899="G2","G2",IF(AX899="G3","G3",IF(AX899="L","L","その他")))))</f>
        <v>その他</v>
      </c>
      <c r="BT899" s="8" t="str">
        <f aca="false">IF(A899="","",IF(BI899="","未結合",IF(D899=BI899,"一致","不一致")))</f>
        <v>一致</v>
      </c>
      <c r="BU899" s="8" t="str">
        <f aca="false">IF(A899="","",IF(BE899="牝馬限定","牝馬限定","その他"))</f>
        <v>その他</v>
      </c>
    </row>
    <row r="900" customFormat="false" ht="15.75" hidden="false" customHeight="false" outlineLevel="0" collapsed="false">
      <c r="A900" s="6" t="n">
        <f aca="false">DATE(2026,8,1)</f>
        <v>46235</v>
      </c>
      <c r="B900" s="4" t="s">
        <v>334</v>
      </c>
      <c r="C900" s="8" t="n">
        <v>2</v>
      </c>
      <c r="D900" s="8" t="n">
        <v>9</v>
      </c>
      <c r="E900" s="8" t="n">
        <v>2</v>
      </c>
      <c r="F900" s="4" t="s">
        <v>1898</v>
      </c>
      <c r="G900" s="8" t="n">
        <v>58</v>
      </c>
      <c r="H900" s="8" t="n">
        <v>4</v>
      </c>
      <c r="I900" s="4" t="s">
        <v>2605</v>
      </c>
      <c r="J900" s="8" t="n">
        <v>47</v>
      </c>
      <c r="K900" s="8" t="n">
        <v>9</v>
      </c>
      <c r="L900" s="4" t="s">
        <v>2607</v>
      </c>
      <c r="M900" s="8" t="n">
        <v>39</v>
      </c>
      <c r="N900" s="8" t="n">
        <f aca="false">IF(A900="","",G900-J900)</f>
        <v>11</v>
      </c>
      <c r="O900" s="8" t="n">
        <f aca="false">IF(A900="","",J900-M900)</f>
        <v>8</v>
      </c>
      <c r="P900" s="8" t="n">
        <f aca="false">IF(A900="","",G900+J900)</f>
        <v>105</v>
      </c>
      <c r="Q900" s="8" t="str">
        <f aca="false">IF(A900="","",IF(AND(Y900&lt;&gt;"参考",G900&gt;=ルール設定!$B$2),"○",""))</f>
        <v/>
      </c>
      <c r="R900" s="8" t="str">
        <f aca="false">IF(A900="","",IF(AND(Y900&lt;&gt;"参考",G900&gt;=ルール設定!$B$3,N900&gt;=ルール設定!$B$4),"○",""))</f>
        <v/>
      </c>
      <c r="S900" s="8" t="str">
        <f aca="false">IF(A900="","",IF(AND(Y900&lt;&gt;"参考",G900&gt;=ルール設定!$B$5,J900&gt;=ルール設定!$B$6,O900&gt;=ルール設定!$B$7),"○",""))</f>
        <v/>
      </c>
      <c r="T900" s="8" t="n">
        <v>3</v>
      </c>
      <c r="U900" s="8" t="n">
        <v>2</v>
      </c>
      <c r="V900" s="8" t="str">
        <f aca="false">IF(A900="","",IF(AND(ISNUMBER(T900),ISNUMBER(U900)),IF(AND(T900&lt;=3,U900&lt;=3),"○","×"),""))</f>
        <v>○</v>
      </c>
      <c r="W900" s="8" t="n">
        <v>140</v>
      </c>
      <c r="X900" s="8"/>
      <c r="Y900" s="4" t="s">
        <v>7597</v>
      </c>
      <c r="Z900" s="4" t="s">
        <v>8101</v>
      </c>
      <c r="AA900" s="8" t="str">
        <v/>
      </c>
      <c r="AB900" s="8" t="str">
        <v/>
      </c>
      <c r="AC900" s="8" t="str">
        <v/>
      </c>
      <c r="AD900" s="8" t="str">
        <v/>
      </c>
      <c r="AE900" s="8" t="str">
        <v/>
      </c>
      <c r="AF900" s="8" t="str">
        <v/>
      </c>
      <c r="AG900" s="8" t="str">
        <v/>
      </c>
      <c r="AH900" s="8" t="str">
        <v/>
      </c>
      <c r="AI900" s="8" t="n">
        <v>19</v>
      </c>
      <c r="AJ900" s="8" t="str">
        <v>～59</v>
      </c>
      <c r="AK900" s="8" t="str">
        <v>10～19</v>
      </c>
      <c r="AL900" s="8" t="str">
        <v>10～19</v>
      </c>
      <c r="AM900" s="8" t="str">
        <v>100～119</v>
      </c>
      <c r="AN900" s="8" t="str">
        <v>8～11</v>
      </c>
      <c r="AO900" s="8" t="str">
        <f aca="false">IF(A900="","",IF(COUNTIFS(全馬データ!$A$2:$A$50000,A900,全馬データ!$B$2:$B$50000,B900,全馬データ!$C$2:$C$50000,C900,全馬データ!$D$2:$D$50000,E900,全馬データ!$K$2:$K$50000,"&lt;&gt;")=0,"",SUMIFS(全馬データ!$K$2:$K$50000,全馬データ!$A$2:$A$50000,A900,全馬データ!$B$2:$B$50000,B900,全馬データ!$C$2:$C$50000,C900,全馬データ!$D$2:$D$50000,E900)))</f>
        <v/>
      </c>
      <c r="AP900" s="8" t="str">
        <f aca="false">IF(A900="","",IF(AO900="","欠損",IF(AO900&lt;=1.1,"1.0～1.1",IF(AO900&lt;1.3,"1.2",IF(AO900&lt;1.5,"1.3～1.4",IF(AO900&lt;2,"1.5～1.9","2.0以上"))))))</f>
        <v>欠損</v>
      </c>
      <c r="AQ900" s="8" t="str">
        <f aca="false">IF(A900="","",IF(ISNUMBER(SEARCH("2歳",Z900)),"2歳戦",IF(ISNUMBER(SEARCH("3歳未勝利",Z900)),"3歳未勝利",IF(ISNUMBER(SEARCH("未勝利",Z900)),"その他未勝利",IF(ISNUMBER(SEARCH("G1",Z900)),"G1",IF(ISNUMBER(SEARCH("G2",Z900)),"G2",IF(ISNUMBER(SEARCH("G3",Z900)),"G3",IF(ISNUMBER(SEARCH("古馬条件",Z900)),"古馬条件戦",IF(ISNUMBER(SEARCH("重賞",Z900)),"重賞","分類不能")))))))))</f>
        <v>分類不能</v>
      </c>
      <c r="AR900" s="8"/>
      <c r="AS900" s="8" t="s">
        <v>7598</v>
      </c>
      <c r="AT900" s="8" t="s">
        <v>7599</v>
      </c>
      <c r="AU900" s="8" t="s">
        <v>7600</v>
      </c>
      <c r="AV900" s="4" t="s">
        <v>7601</v>
      </c>
      <c r="AW900" s="8"/>
      <c r="AX900" s="8"/>
      <c r="AY900" s="8" t="s">
        <v>7602</v>
      </c>
      <c r="AZ900" s="4" t="s">
        <v>7603</v>
      </c>
      <c r="BA900" s="8" t="n">
        <v>1800</v>
      </c>
      <c r="BB900" s="8" t="s">
        <v>7659</v>
      </c>
      <c r="BC900" s="4" t="s">
        <v>7619</v>
      </c>
      <c r="BD900" s="8" t="s">
        <v>7605</v>
      </c>
      <c r="BE900" s="4" t="s">
        <v>7606</v>
      </c>
      <c r="BF900" s="8" t="s">
        <v>7607</v>
      </c>
      <c r="BG900" s="8" t="s">
        <v>7608</v>
      </c>
      <c r="BH900" s="4" t="s">
        <v>7609</v>
      </c>
      <c r="BI900" s="8" t="n">
        <v>9</v>
      </c>
      <c r="BJ900" s="8" t="s">
        <v>7602</v>
      </c>
      <c r="BK900" s="4" t="s">
        <v>7653</v>
      </c>
      <c r="BL900" s="8" t="s">
        <v>7602</v>
      </c>
      <c r="BM900" s="4" t="s">
        <v>7620</v>
      </c>
      <c r="BN900" s="8" t="s">
        <v>7602</v>
      </c>
      <c r="BO900" s="8" t="s">
        <v>7613</v>
      </c>
      <c r="BP900" s="8" t="s">
        <v>7608</v>
      </c>
      <c r="BQ900" s="8" t="str">
        <f aca="false">IF(A900="","",AT900)</f>
        <v>2歳</v>
      </c>
      <c r="BR900" s="8" t="str">
        <f aca="false">IF(A900="","",IF(BA900&lt;=1200,"～1200",IF(BA900&lt;=1500,"1300～1500",IF(BA900=1600,"1600",IF(BA900&lt;=1800,"1700～1800",IF(BA900&lt;=2000,"1900～2000","2100以上"))))))</f>
        <v>1700～1800</v>
      </c>
      <c r="BS900" s="8" t="str">
        <f aca="false">IF(A900="","",IF(AX900="G1","G1",IF(AX900="G2","G2",IF(AX900="G3","G3",IF(AX900="L","L","その他")))))</f>
        <v>その他</v>
      </c>
      <c r="BT900" s="8" t="str">
        <f aca="false">IF(A900="","",IF(BI900="","未結合",IF(D900=BI900,"一致","不一致")))</f>
        <v>一致</v>
      </c>
      <c r="BU900" s="8" t="str">
        <f aca="false">IF(A900="","",IF(BE900="牝馬限定","牝馬限定","その他"))</f>
        <v>その他</v>
      </c>
    </row>
    <row r="901" customFormat="false" ht="15.75" hidden="false" customHeight="false" outlineLevel="0" collapsed="false">
      <c r="A901" s="6" t="n">
        <f aca="false">DATE(2026,8,1)</f>
        <v>46235</v>
      </c>
      <c r="B901" s="4" t="s">
        <v>334</v>
      </c>
      <c r="C901" s="8" t="n">
        <v>3</v>
      </c>
      <c r="D901" s="8" t="n">
        <v>11</v>
      </c>
      <c r="E901" s="8" t="n">
        <v>8</v>
      </c>
      <c r="F901" s="4" t="s">
        <v>1146</v>
      </c>
      <c r="G901" s="8" t="n">
        <v>71</v>
      </c>
      <c r="H901" s="8" t="n">
        <v>11</v>
      </c>
      <c r="I901" s="4" t="s">
        <v>1286</v>
      </c>
      <c r="J901" s="8" t="n">
        <v>52</v>
      </c>
      <c r="K901" s="8" t="n">
        <v>6</v>
      </c>
      <c r="L901" s="4" t="s">
        <v>2579</v>
      </c>
      <c r="M901" s="8" t="n">
        <v>47</v>
      </c>
      <c r="N901" s="8" t="n">
        <f aca="false">IF(A901="","",G901-J901)</f>
        <v>19</v>
      </c>
      <c r="O901" s="8" t="n">
        <f aca="false">IF(A901="","",J901-M901)</f>
        <v>5</v>
      </c>
      <c r="P901" s="8" t="n">
        <f aca="false">IF(A901="","",G901+J901)</f>
        <v>123</v>
      </c>
      <c r="Q901" s="8" t="str">
        <f aca="false">IF(A901="","",IF(AND(Y901&lt;&gt;"参考",G901&gt;=ルール設定!$B$2),"○",""))</f>
        <v/>
      </c>
      <c r="R901" s="8" t="str">
        <f aca="false">IF(A901="","",IF(AND(Y901&lt;&gt;"参考",G901&gt;=ルール設定!$B$3,N901&gt;=ルール設定!$B$4),"○",""))</f>
        <v/>
      </c>
      <c r="S901" s="8" t="str">
        <f aca="false">IF(A901="","",IF(AND(Y901&lt;&gt;"参考",G901&gt;=ルール設定!$B$5,J901&gt;=ルール設定!$B$6,O901&gt;=ルール設定!$B$7),"○",""))</f>
        <v/>
      </c>
      <c r="T901" s="8" t="n">
        <v>1</v>
      </c>
      <c r="U901" s="8" t="n">
        <v>2</v>
      </c>
      <c r="V901" s="8" t="str">
        <f aca="false">IF(A901="","",IF(AND(ISNUMBER(T901),ISNUMBER(U901)),IF(AND(T901&lt;=3,U901&lt;=3),"○","×"),""))</f>
        <v>○</v>
      </c>
      <c r="W901" s="8" t="n">
        <v>170</v>
      </c>
      <c r="X901" s="8"/>
      <c r="Y901" s="4" t="s">
        <v>7597</v>
      </c>
      <c r="Z901" s="4" t="s">
        <v>8101</v>
      </c>
      <c r="AA901" s="8" t="str">
        <v/>
      </c>
      <c r="AB901" s="8" t="str">
        <v/>
      </c>
      <c r="AC901" s="8" t="str">
        <v/>
      </c>
      <c r="AD901" s="8" t="str">
        <v/>
      </c>
      <c r="AE901" s="8" t="str">
        <v/>
      </c>
      <c r="AF901" s="8" t="str">
        <v/>
      </c>
      <c r="AG901" s="8" t="str">
        <v/>
      </c>
      <c r="AH901" s="8" t="str">
        <v/>
      </c>
      <c r="AI901" s="8" t="n">
        <v>24</v>
      </c>
      <c r="AJ901" s="8" t="str">
        <v>70～74</v>
      </c>
      <c r="AK901" s="8" t="str">
        <v>10～19</v>
      </c>
      <c r="AL901" s="8" t="str">
        <v>20～29</v>
      </c>
      <c r="AM901" s="8" t="str">
        <v>120～139</v>
      </c>
      <c r="AN901" s="8" t="str">
        <v>8～11</v>
      </c>
      <c r="AO901" s="8" t="str">
        <f aca="false">IF(A901="","",IF(COUNTIFS(全馬データ!$A$2:$A$50000,A901,全馬データ!$B$2:$B$50000,B901,全馬データ!$C$2:$C$50000,C901,全馬データ!$D$2:$D$50000,E901,全馬データ!$K$2:$K$50000,"&lt;&gt;")=0,"",SUMIFS(全馬データ!$K$2:$K$50000,全馬データ!$A$2:$A$50000,A901,全馬データ!$B$2:$B$50000,B901,全馬データ!$C$2:$C$50000,C901,全馬データ!$D$2:$D$50000,E901)))</f>
        <v/>
      </c>
      <c r="AP901" s="8" t="str">
        <f aca="false">IF(A901="","",IF(AO901="","欠損",IF(AO901&lt;=1.1,"1.0～1.1",IF(AO901&lt;1.3,"1.2",IF(AO901&lt;1.5,"1.3～1.4",IF(AO901&lt;2,"1.5～1.9","2.0以上"))))))</f>
        <v>欠損</v>
      </c>
      <c r="AQ901" s="8" t="str">
        <f aca="false">IF(A901="","",IF(ISNUMBER(SEARCH("2歳",Z901)),"2歳戦",IF(ISNUMBER(SEARCH("3歳未勝利",Z901)),"3歳未勝利",IF(ISNUMBER(SEARCH("未勝利",Z901)),"その他未勝利",IF(ISNUMBER(SEARCH("G1",Z901)),"G1",IF(ISNUMBER(SEARCH("G2",Z901)),"G2",IF(ISNUMBER(SEARCH("G3",Z901)),"G3",IF(ISNUMBER(SEARCH("古馬条件",Z901)),"古馬条件戦",IF(ISNUMBER(SEARCH("重賞",Z901)),"重賞","分類不能")))))))))</f>
        <v>分類不能</v>
      </c>
      <c r="AR901" s="8"/>
      <c r="AS901" s="8" t="s">
        <v>7623</v>
      </c>
      <c r="AT901" s="8" t="s">
        <v>7624</v>
      </c>
      <c r="AU901" s="8" t="s">
        <v>7600</v>
      </c>
      <c r="AV901" s="4" t="s">
        <v>7601</v>
      </c>
      <c r="AW901" s="8"/>
      <c r="AX901" s="8"/>
      <c r="AY901" s="8" t="s">
        <v>7610</v>
      </c>
      <c r="AZ901" s="4" t="s">
        <v>7617</v>
      </c>
      <c r="BA901" s="8" t="n">
        <v>1700</v>
      </c>
      <c r="BB901" s="8" t="s">
        <v>7659</v>
      </c>
      <c r="BC901" s="4" t="s">
        <v>7619</v>
      </c>
      <c r="BD901" s="8" t="s">
        <v>7625</v>
      </c>
      <c r="BE901" s="4" t="s">
        <v>7606</v>
      </c>
      <c r="BF901" s="8" t="s">
        <v>7607</v>
      </c>
      <c r="BG901" s="8" t="s">
        <v>7608</v>
      </c>
      <c r="BH901" s="4" t="s">
        <v>7609</v>
      </c>
      <c r="BI901" s="8" t="n">
        <v>11</v>
      </c>
      <c r="BJ901" s="8" t="s">
        <v>7602</v>
      </c>
      <c r="BK901" s="4" t="s">
        <v>7653</v>
      </c>
      <c r="BL901" s="8" t="s">
        <v>7602</v>
      </c>
      <c r="BM901" s="4" t="s">
        <v>7620</v>
      </c>
      <c r="BN901" s="8"/>
      <c r="BO901" s="8"/>
      <c r="BP901" s="8" t="s">
        <v>7608</v>
      </c>
      <c r="BQ901" s="8" t="str">
        <f aca="false">IF(A901="","",AT901)</f>
        <v>3歳</v>
      </c>
      <c r="BR901" s="8" t="str">
        <f aca="false">IF(A901="","",IF(BA901&lt;=1200,"～1200",IF(BA901&lt;=1500,"1300～1500",IF(BA901=1600,"1600",IF(BA901&lt;=1800,"1700～1800",IF(BA901&lt;=2000,"1900～2000","2100以上"))))))</f>
        <v>1700～1800</v>
      </c>
      <c r="BS901" s="8" t="str">
        <f aca="false">IF(A901="","",IF(AX901="G1","G1",IF(AX901="G2","G2",IF(AX901="G3","G3",IF(AX901="L","L","その他")))))</f>
        <v>その他</v>
      </c>
      <c r="BT901" s="8" t="str">
        <f aca="false">IF(A901="","",IF(BI901="","未結合",IF(D901=BI901,"一致","不一致")))</f>
        <v>一致</v>
      </c>
      <c r="BU901" s="8" t="str">
        <f aca="false">IF(A901="","",IF(BE901="牝馬限定","牝馬限定","その他"))</f>
        <v>その他</v>
      </c>
    </row>
    <row r="902" customFormat="false" ht="15.75" hidden="false" customHeight="false" outlineLevel="0" collapsed="false">
      <c r="A902" s="6" t="n">
        <f aca="false">DATE(2026,8,1)</f>
        <v>46235</v>
      </c>
      <c r="B902" s="4" t="s">
        <v>334</v>
      </c>
      <c r="C902" s="8" t="n">
        <v>4</v>
      </c>
      <c r="D902" s="8" t="n">
        <v>11</v>
      </c>
      <c r="E902" s="8" t="n">
        <v>1</v>
      </c>
      <c r="F902" s="4" t="s">
        <v>2227</v>
      </c>
      <c r="G902" s="8" t="n">
        <v>50</v>
      </c>
      <c r="H902" s="8" t="n">
        <v>11</v>
      </c>
      <c r="I902" s="4" t="s">
        <v>1338</v>
      </c>
      <c r="J902" s="8" t="n">
        <v>47</v>
      </c>
      <c r="K902" s="8" t="n">
        <v>2</v>
      </c>
      <c r="L902" s="4" t="s">
        <v>3823</v>
      </c>
      <c r="M902" s="8" t="n">
        <v>34</v>
      </c>
      <c r="N902" s="8" t="n">
        <f aca="false">IF(A902="","",G902-J902)</f>
        <v>3</v>
      </c>
      <c r="O902" s="8" t="n">
        <f aca="false">IF(A902="","",J902-M902)</f>
        <v>13</v>
      </c>
      <c r="P902" s="8" t="n">
        <f aca="false">IF(A902="","",G902+J902)</f>
        <v>97</v>
      </c>
      <c r="Q902" s="8" t="str">
        <f aca="false">IF(A902="","",IF(AND(Y902&lt;&gt;"参考",G902&gt;=ルール設定!$B$2),"○",""))</f>
        <v/>
      </c>
      <c r="R902" s="8" t="str">
        <f aca="false">IF(A902="","",IF(AND(Y902&lt;&gt;"参考",G902&gt;=ルール設定!$B$3,N902&gt;=ルール設定!$B$4),"○",""))</f>
        <v/>
      </c>
      <c r="S902" s="8" t="str">
        <f aca="false">IF(A902="","",IF(AND(Y902&lt;&gt;"参考",G902&gt;=ルール設定!$B$5,J902&gt;=ルール設定!$B$6,O902&gt;=ルール設定!$B$7),"○",""))</f>
        <v/>
      </c>
      <c r="T902" s="8" t="n">
        <v>2</v>
      </c>
      <c r="U902" s="8" t="n">
        <v>3</v>
      </c>
      <c r="V902" s="8" t="str">
        <f aca="false">IF(A902="","",IF(AND(ISNUMBER(T902),ISNUMBER(U902)),IF(AND(T902&lt;=3,U902&lt;=3),"○","×"),""))</f>
        <v>○</v>
      </c>
      <c r="W902" s="8" t="n">
        <v>110</v>
      </c>
      <c r="X902" s="8"/>
      <c r="Y902" s="4" t="s">
        <v>7597</v>
      </c>
      <c r="Z902" s="4" t="s">
        <v>8101</v>
      </c>
      <c r="AA902" s="8" t="str">
        <v/>
      </c>
      <c r="AB902" s="8" t="str">
        <v/>
      </c>
      <c r="AC902" s="8" t="str">
        <v/>
      </c>
      <c r="AD902" s="8" t="str">
        <v/>
      </c>
      <c r="AE902" s="8" t="str">
        <v/>
      </c>
      <c r="AF902" s="8" t="str">
        <v/>
      </c>
      <c r="AG902" s="8" t="str">
        <v/>
      </c>
      <c r="AH902" s="8" t="str">
        <v/>
      </c>
      <c r="AI902" s="8" t="n">
        <v>16</v>
      </c>
      <c r="AJ902" s="8" t="str">
        <v>～59</v>
      </c>
      <c r="AK902" s="8" t="str">
        <v>0～4</v>
      </c>
      <c r="AL902" s="8" t="str">
        <v>10～19</v>
      </c>
      <c r="AM902" s="8" t="str">
        <v>～99</v>
      </c>
      <c r="AN902" s="8" t="str">
        <v>8～11</v>
      </c>
      <c r="AO902" s="8" t="str">
        <f aca="false">IF(A902="","",IF(COUNTIFS(全馬データ!$A$2:$A$50000,A902,全馬データ!$B$2:$B$50000,B902,全馬データ!$C$2:$C$50000,C902,全馬データ!$D$2:$D$50000,E902,全馬データ!$K$2:$K$50000,"&lt;&gt;")=0,"",SUMIFS(全馬データ!$K$2:$K$50000,全馬データ!$A$2:$A$50000,A902,全馬データ!$B$2:$B$50000,B902,全馬データ!$C$2:$C$50000,C902,全馬データ!$D$2:$D$50000,E902)))</f>
        <v/>
      </c>
      <c r="AP902" s="8" t="str">
        <f aca="false">IF(A902="","",IF(AO902="","欠損",IF(AO902&lt;=1.1,"1.0～1.1",IF(AO902&lt;1.3,"1.2",IF(AO902&lt;1.5,"1.3～1.4",IF(AO902&lt;2,"1.5～1.9","2.0以上"))))))</f>
        <v>欠損</v>
      </c>
      <c r="AQ902" s="8" t="str">
        <f aca="false">IF(A902="","",IF(ISNUMBER(SEARCH("2歳",Z902)),"2歳戦",IF(ISNUMBER(SEARCH("3歳未勝利",Z902)),"3歳未勝利",IF(ISNUMBER(SEARCH("未勝利",Z902)),"その他未勝利",IF(ISNUMBER(SEARCH("G1",Z902)),"G1",IF(ISNUMBER(SEARCH("G2",Z902)),"G2",IF(ISNUMBER(SEARCH("G3",Z902)),"G3",IF(ISNUMBER(SEARCH("古馬条件",Z902)),"古馬条件戦",IF(ISNUMBER(SEARCH("重賞",Z902)),"重賞","分類不能")))))))))</f>
        <v>分類不能</v>
      </c>
      <c r="AR902" s="8"/>
      <c r="AS902" s="8" t="s">
        <v>7626</v>
      </c>
      <c r="AT902" s="8" t="s">
        <v>7627</v>
      </c>
      <c r="AU902" s="8" t="s">
        <v>7628</v>
      </c>
      <c r="AV902" s="8" t="s">
        <v>7629</v>
      </c>
      <c r="AW902" s="8"/>
      <c r="AX902" s="8"/>
      <c r="AY902" s="8" t="s">
        <v>7602</v>
      </c>
      <c r="AZ902" s="4" t="s">
        <v>7603</v>
      </c>
      <c r="BA902" s="8" t="n">
        <v>1800</v>
      </c>
      <c r="BB902" s="8" t="s">
        <v>7659</v>
      </c>
      <c r="BC902" s="4" t="s">
        <v>7619</v>
      </c>
      <c r="BD902" s="8" t="s">
        <v>7625</v>
      </c>
      <c r="BE902" s="4" t="s">
        <v>7606</v>
      </c>
      <c r="BF902" s="8" t="s">
        <v>7607</v>
      </c>
      <c r="BG902" s="8" t="s">
        <v>7631</v>
      </c>
      <c r="BH902" s="4" t="s">
        <v>7632</v>
      </c>
      <c r="BI902" s="8" t="n">
        <v>11</v>
      </c>
      <c r="BJ902" s="8" t="s">
        <v>7602</v>
      </c>
      <c r="BK902" s="4" t="s">
        <v>7653</v>
      </c>
      <c r="BL902" s="8" t="s">
        <v>7602</v>
      </c>
      <c r="BM902" s="4" t="s">
        <v>7620</v>
      </c>
      <c r="BN902" s="8" t="s">
        <v>7602</v>
      </c>
      <c r="BO902" s="8" t="s">
        <v>7613</v>
      </c>
      <c r="BP902" s="8" t="s">
        <v>7608</v>
      </c>
      <c r="BQ902" s="8" t="str">
        <f aca="false">IF(A902="","",AT902)</f>
        <v>3歳以上</v>
      </c>
      <c r="BR902" s="8" t="str">
        <f aca="false">IF(A902="","",IF(BA902&lt;=1200,"～1200",IF(BA902&lt;=1500,"1300～1500",IF(BA902=1600,"1600",IF(BA902&lt;=1800,"1700～1800",IF(BA902&lt;=2000,"1900～2000","2100以上"))))))</f>
        <v>1700～1800</v>
      </c>
      <c r="BS902" s="8" t="str">
        <f aca="false">IF(A902="","",IF(AX902="G1","G1",IF(AX902="G2","G2",IF(AX902="G3","G3",IF(AX902="L","L","その他")))))</f>
        <v>その他</v>
      </c>
      <c r="BT902" s="8" t="str">
        <f aca="false">IF(A902="","",IF(BI902="","未結合",IF(D902=BI902,"一致","不一致")))</f>
        <v>一致</v>
      </c>
      <c r="BU902" s="8" t="str">
        <f aca="false">IF(A902="","",IF(BE902="牝馬限定","牝馬限定","その他"))</f>
        <v>その他</v>
      </c>
    </row>
    <row r="903" customFormat="false" ht="15.75" hidden="false" customHeight="false" outlineLevel="0" collapsed="false">
      <c r="A903" s="6" t="n">
        <f aca="false">DATE(2026,8,1)</f>
        <v>46235</v>
      </c>
      <c r="B903" s="4" t="s">
        <v>334</v>
      </c>
      <c r="C903" s="8" t="n">
        <v>5</v>
      </c>
      <c r="D903" s="8" t="n">
        <v>13</v>
      </c>
      <c r="E903" s="8" t="n">
        <v>4</v>
      </c>
      <c r="F903" s="4" t="s">
        <v>3833</v>
      </c>
      <c r="G903" s="8" t="n">
        <v>31</v>
      </c>
      <c r="H903" s="8" t="n">
        <v>5</v>
      </c>
      <c r="I903" s="4" t="s">
        <v>3834</v>
      </c>
      <c r="J903" s="8" t="n">
        <v>31</v>
      </c>
      <c r="K903" s="8" t="n">
        <v>1</v>
      </c>
      <c r="L903" s="4" t="s">
        <v>3830</v>
      </c>
      <c r="M903" s="8" t="n">
        <v>27</v>
      </c>
      <c r="N903" s="8" t="n">
        <f aca="false">IF(A903="","",G903-J903)</f>
        <v>0</v>
      </c>
      <c r="O903" s="8" t="n">
        <f aca="false">IF(A903="","",J903-M903)</f>
        <v>4</v>
      </c>
      <c r="P903" s="8" t="n">
        <f aca="false">IF(A903="","",G903+J903)</f>
        <v>62</v>
      </c>
      <c r="Q903" s="8" t="str">
        <f aca="false">IF(A903="","",IF(AND(Y903&lt;&gt;"参考",G903&gt;=ルール設定!$B$2),"○",""))</f>
        <v/>
      </c>
      <c r="R903" s="8" t="str">
        <f aca="false">IF(A903="","",IF(AND(Y903&lt;&gt;"参考",G903&gt;=ルール設定!$B$3,N903&gt;=ルール設定!$B$4),"○",""))</f>
        <v/>
      </c>
      <c r="S903" s="8" t="str">
        <f aca="false">IF(A903="","",IF(AND(Y903&lt;&gt;"参考",G903&gt;=ルール設定!$B$5,J903&gt;=ルール設定!$B$6,O903&gt;=ルール設定!$B$7),"○",""))</f>
        <v/>
      </c>
      <c r="T903" s="8" t="n">
        <v>4</v>
      </c>
      <c r="U903" s="8" t="n">
        <v>2</v>
      </c>
      <c r="V903" s="8" t="str">
        <f aca="false">IF(A903="","",IF(AND(ISNUMBER(T903),ISNUMBER(U903)),IF(AND(T903&lt;=3,U903&lt;=3),"○","×"),""))</f>
        <v>×</v>
      </c>
      <c r="W903" s="8"/>
      <c r="X903" s="8"/>
      <c r="Y903" s="4" t="s">
        <v>7597</v>
      </c>
      <c r="Z903" s="4" t="s">
        <v>8101</v>
      </c>
      <c r="AA903" s="8" t="str">
        <v/>
      </c>
      <c r="AB903" s="8" t="str">
        <v/>
      </c>
      <c r="AC903" s="8" t="str">
        <v/>
      </c>
      <c r="AD903" s="8" t="str">
        <v/>
      </c>
      <c r="AE903" s="8" t="str">
        <v/>
      </c>
      <c r="AF903" s="8" t="str">
        <v/>
      </c>
      <c r="AG903" s="8" t="str">
        <v/>
      </c>
      <c r="AH903" s="8" t="str">
        <v/>
      </c>
      <c r="AI903" s="8" t="n">
        <v>4</v>
      </c>
      <c r="AJ903" s="8" t="str">
        <v>～59</v>
      </c>
      <c r="AK903" s="8" t="str">
        <v>0～4</v>
      </c>
      <c r="AL903" s="8" t="str">
        <v>0～9</v>
      </c>
      <c r="AM903" s="8" t="str">
        <v>～99</v>
      </c>
      <c r="AN903" s="8" t="str">
        <v>12～14</v>
      </c>
      <c r="AO903" s="8" t="str">
        <f aca="false">IF(A903="","",IF(COUNTIFS(全馬データ!$A$2:$A$50000,A903,全馬データ!$B$2:$B$50000,B903,全馬データ!$C$2:$C$50000,C903,全馬データ!$D$2:$D$50000,E903,全馬データ!$K$2:$K$50000,"&lt;&gt;")=0,"",SUMIFS(全馬データ!$K$2:$K$50000,全馬データ!$A$2:$A$50000,A903,全馬データ!$B$2:$B$50000,B903,全馬データ!$C$2:$C$50000,C903,全馬データ!$D$2:$D$50000,E903)))</f>
        <v/>
      </c>
      <c r="AP903" s="8" t="str">
        <f aca="false">IF(A903="","",IF(AO903="","欠損",IF(AO903&lt;=1.1,"1.0～1.1",IF(AO903&lt;1.3,"1.2",IF(AO903&lt;1.5,"1.3～1.4",IF(AO903&lt;2,"1.5～1.9","2.0以上"))))))</f>
        <v>欠損</v>
      </c>
      <c r="AQ903" s="8" t="str">
        <f aca="false">IF(A903="","",IF(ISNUMBER(SEARCH("2歳",Z903)),"2歳戦",IF(ISNUMBER(SEARCH("3歳未勝利",Z903)),"3歳未勝利",IF(ISNUMBER(SEARCH("未勝利",Z903)),"その他未勝利",IF(ISNUMBER(SEARCH("G1",Z903)),"G1",IF(ISNUMBER(SEARCH("G2",Z903)),"G2",IF(ISNUMBER(SEARCH("G3",Z903)),"G3",IF(ISNUMBER(SEARCH("古馬条件",Z903)),"古馬条件戦",IF(ISNUMBER(SEARCH("重賞",Z903)),"重賞","分類不能")))))))))</f>
        <v>分類不能</v>
      </c>
      <c r="AR903" s="8"/>
      <c r="AS903" s="8" t="s">
        <v>7598</v>
      </c>
      <c r="AT903" s="8" t="s">
        <v>7599</v>
      </c>
      <c r="AU903" s="8" t="s">
        <v>7615</v>
      </c>
      <c r="AV903" s="4" t="s">
        <v>7616</v>
      </c>
      <c r="AW903" s="8"/>
      <c r="AX903" s="8"/>
      <c r="AY903" s="8" t="s">
        <v>7602</v>
      </c>
      <c r="AZ903" s="4" t="s">
        <v>7603</v>
      </c>
      <c r="BA903" s="8" t="n">
        <v>1500</v>
      </c>
      <c r="BB903" s="8" t="s">
        <v>7659</v>
      </c>
      <c r="BC903" s="4" t="s">
        <v>7619</v>
      </c>
      <c r="BD903" s="8" t="s">
        <v>7605</v>
      </c>
      <c r="BE903" s="4" t="s">
        <v>7606</v>
      </c>
      <c r="BF903" s="8" t="s">
        <v>7607</v>
      </c>
      <c r="BG903" s="8" t="s">
        <v>7608</v>
      </c>
      <c r="BH903" s="4" t="s">
        <v>7609</v>
      </c>
      <c r="BI903" s="8" t="n">
        <v>13</v>
      </c>
      <c r="BJ903" s="8" t="s">
        <v>7602</v>
      </c>
      <c r="BK903" s="4" t="s">
        <v>7653</v>
      </c>
      <c r="BL903" s="8" t="s">
        <v>7602</v>
      </c>
      <c r="BM903" s="4" t="s">
        <v>7620</v>
      </c>
      <c r="BN903" s="8" t="s">
        <v>7602</v>
      </c>
      <c r="BO903" s="8" t="s">
        <v>7613</v>
      </c>
      <c r="BP903" s="8" t="s">
        <v>7608</v>
      </c>
      <c r="BQ903" s="8" t="str">
        <f aca="false">IF(A903="","",AT903)</f>
        <v>2歳</v>
      </c>
      <c r="BR903" s="8" t="str">
        <f aca="false">IF(A903="","",IF(BA903&lt;=1200,"～1200",IF(BA903&lt;=1500,"1300～1500",IF(BA903=1600,"1600",IF(BA903&lt;=1800,"1700～1800",IF(BA903&lt;=2000,"1900～2000","2100以上"))))))</f>
        <v>1300～1500</v>
      </c>
      <c r="BS903" s="8" t="str">
        <f aca="false">IF(A903="","",IF(AX903="G1","G1",IF(AX903="G2","G2",IF(AX903="G3","G3",IF(AX903="L","L","その他")))))</f>
        <v>その他</v>
      </c>
      <c r="BT903" s="8" t="str">
        <f aca="false">IF(A903="","",IF(BI903="","未結合",IF(D903=BI903,"一致","不一致")))</f>
        <v>一致</v>
      </c>
      <c r="BU903" s="8" t="str">
        <f aca="false">IF(A903="","",IF(BE903="牝馬限定","牝馬限定","その他"))</f>
        <v>その他</v>
      </c>
    </row>
    <row r="904" customFormat="false" ht="15.75" hidden="false" customHeight="false" outlineLevel="0" collapsed="false">
      <c r="A904" s="6" t="n">
        <f aca="false">DATE(2026,8,1)</f>
        <v>46235</v>
      </c>
      <c r="B904" s="4" t="s">
        <v>334</v>
      </c>
      <c r="C904" s="8" t="n">
        <v>6</v>
      </c>
      <c r="D904" s="8" t="n">
        <v>9</v>
      </c>
      <c r="E904" s="8" t="n">
        <v>4</v>
      </c>
      <c r="F904" s="4" t="s">
        <v>400</v>
      </c>
      <c r="G904" s="8" t="n">
        <v>62</v>
      </c>
      <c r="H904" s="8" t="n">
        <v>8</v>
      </c>
      <c r="I904" s="4" t="s">
        <v>3844</v>
      </c>
      <c r="J904" s="8" t="n">
        <v>39</v>
      </c>
      <c r="K904" s="8" t="n">
        <v>1</v>
      </c>
      <c r="L904" s="4" t="s">
        <v>3843</v>
      </c>
      <c r="M904" s="8" t="n">
        <v>31</v>
      </c>
      <c r="N904" s="8" t="n">
        <f aca="false">IF(A904="","",G904-J904)</f>
        <v>23</v>
      </c>
      <c r="O904" s="8" t="n">
        <f aca="false">IF(A904="","",J904-M904)</f>
        <v>8</v>
      </c>
      <c r="P904" s="8" t="n">
        <f aca="false">IF(A904="","",G904+J904)</f>
        <v>101</v>
      </c>
      <c r="Q904" s="8" t="str">
        <f aca="false">IF(A904="","",IF(AND(Y904&lt;&gt;"参考",G904&gt;=ルール設定!$B$2),"○",""))</f>
        <v/>
      </c>
      <c r="R904" s="8" t="str">
        <f aca="false">IF(A904="","",IF(AND(Y904&lt;&gt;"参考",G904&gt;=ルール設定!$B$3,N904&gt;=ルール設定!$B$4),"○",""))</f>
        <v/>
      </c>
      <c r="S904" s="8" t="str">
        <f aca="false">IF(A904="","",IF(AND(Y904&lt;&gt;"参考",G904&gt;=ルール設定!$B$5,J904&gt;=ルール設定!$B$6,O904&gt;=ルール設定!$B$7),"○",""))</f>
        <v/>
      </c>
      <c r="T904" s="8" t="n">
        <v>3</v>
      </c>
      <c r="U904" s="8" t="n">
        <v>1</v>
      </c>
      <c r="V904" s="8" t="str">
        <f aca="false">IF(A904="","",IF(AND(ISNUMBER(T904),ISNUMBER(U904)),IF(AND(T904&lt;=3,U904&lt;=3),"○","×"),""))</f>
        <v>○</v>
      </c>
      <c r="W904" s="8" t="n">
        <v>150</v>
      </c>
      <c r="X904" s="8"/>
      <c r="Y904" s="4" t="s">
        <v>7597</v>
      </c>
      <c r="Z904" s="4" t="s">
        <v>8101</v>
      </c>
      <c r="AA904" s="8" t="str">
        <v/>
      </c>
      <c r="AB904" s="8" t="str">
        <v/>
      </c>
      <c r="AC904" s="8" t="str">
        <v/>
      </c>
      <c r="AD904" s="8" t="str">
        <v/>
      </c>
      <c r="AE904" s="8" t="str">
        <v/>
      </c>
      <c r="AF904" s="8" t="str">
        <v/>
      </c>
      <c r="AG904" s="8" t="str">
        <v/>
      </c>
      <c r="AH904" s="8" t="str">
        <v/>
      </c>
      <c r="AI904" s="8" t="n">
        <v>31</v>
      </c>
      <c r="AJ904" s="8" t="str">
        <v>60～69</v>
      </c>
      <c r="AK904" s="8" t="str">
        <v>20～29</v>
      </c>
      <c r="AL904" s="8" t="str">
        <v>30～39</v>
      </c>
      <c r="AM904" s="8" t="str">
        <v>100～119</v>
      </c>
      <c r="AN904" s="8" t="str">
        <v>8～11</v>
      </c>
      <c r="AO904" s="8" t="str">
        <f aca="false">IF(A904="","",IF(COUNTIFS(全馬データ!$A$2:$A$50000,A904,全馬データ!$B$2:$B$50000,B904,全馬データ!$C$2:$C$50000,C904,全馬データ!$D$2:$D$50000,E904,全馬データ!$K$2:$K$50000,"&lt;&gt;")=0,"",SUMIFS(全馬データ!$K$2:$K$50000,全馬データ!$A$2:$A$50000,A904,全馬データ!$B$2:$B$50000,B904,全馬データ!$C$2:$C$50000,C904,全馬データ!$D$2:$D$50000,E904)))</f>
        <v/>
      </c>
      <c r="AP904" s="8" t="str">
        <f aca="false">IF(A904="","",IF(AO904="","欠損",IF(AO904&lt;=1.1,"1.0～1.1",IF(AO904&lt;1.3,"1.2",IF(AO904&lt;1.5,"1.3～1.4",IF(AO904&lt;2,"1.5～1.9","2.0以上"))))))</f>
        <v>欠損</v>
      </c>
      <c r="AQ904" s="8" t="str">
        <f aca="false">IF(A904="","",IF(ISNUMBER(SEARCH("2歳",Z904)),"2歳戦",IF(ISNUMBER(SEARCH("3歳未勝利",Z904)),"3歳未勝利",IF(ISNUMBER(SEARCH("未勝利",Z904)),"その他未勝利",IF(ISNUMBER(SEARCH("G1",Z904)),"G1",IF(ISNUMBER(SEARCH("G2",Z904)),"G2",IF(ISNUMBER(SEARCH("G3",Z904)),"G3",IF(ISNUMBER(SEARCH("古馬条件",Z904)),"古馬条件戦",IF(ISNUMBER(SEARCH("重賞",Z904)),"重賞","分類不能")))))))))</f>
        <v>分類不能</v>
      </c>
      <c r="AR904" s="8"/>
      <c r="AS904" s="8" t="s">
        <v>7626</v>
      </c>
      <c r="AT904" s="8" t="s">
        <v>7627</v>
      </c>
      <c r="AU904" s="8" t="s">
        <v>7628</v>
      </c>
      <c r="AV904" s="8" t="s">
        <v>7629</v>
      </c>
      <c r="AW904" s="8"/>
      <c r="AX904" s="8"/>
      <c r="AY904" s="8" t="s">
        <v>7610</v>
      </c>
      <c r="AZ904" s="4" t="s">
        <v>7617</v>
      </c>
      <c r="BA904" s="8" t="n">
        <v>1000</v>
      </c>
      <c r="BB904" s="8" t="s">
        <v>7659</v>
      </c>
      <c r="BC904" s="4" t="s">
        <v>7619</v>
      </c>
      <c r="BD904" s="8" t="s">
        <v>7621</v>
      </c>
      <c r="BE904" s="4" t="s">
        <v>7622</v>
      </c>
      <c r="BF904" s="8" t="s">
        <v>7602</v>
      </c>
      <c r="BG904" s="8" t="s">
        <v>7631</v>
      </c>
      <c r="BH904" s="4" t="s">
        <v>7632</v>
      </c>
      <c r="BI904" s="8" t="n">
        <v>9</v>
      </c>
      <c r="BJ904" s="8" t="s">
        <v>7602</v>
      </c>
      <c r="BK904" s="4" t="s">
        <v>7653</v>
      </c>
      <c r="BL904" s="8" t="s">
        <v>7602</v>
      </c>
      <c r="BM904" s="4" t="s">
        <v>7620</v>
      </c>
      <c r="BN904" s="8"/>
      <c r="BO904" s="8"/>
      <c r="BP904" s="8" t="s">
        <v>7608</v>
      </c>
      <c r="BQ904" s="8" t="str">
        <f aca="false">IF(A904="","",AT904)</f>
        <v>3歳以上</v>
      </c>
      <c r="BR904" s="8" t="str">
        <f aca="false">IF(A904="","",IF(BA904&lt;=1200,"～1200",IF(BA904&lt;=1500,"1300～1500",IF(BA904=1600,"1600",IF(BA904&lt;=1800,"1700～1800",IF(BA904&lt;=2000,"1900～2000","2100以上"))))))</f>
        <v>～1200</v>
      </c>
      <c r="BS904" s="8" t="str">
        <f aca="false">IF(A904="","",IF(AX904="G1","G1",IF(AX904="G2","G2",IF(AX904="G3","G3",IF(AX904="L","L","その他")))))</f>
        <v>その他</v>
      </c>
      <c r="BT904" s="8" t="str">
        <f aca="false">IF(A904="","",IF(BI904="","未結合",IF(D904=BI904,"一致","不一致")))</f>
        <v>一致</v>
      </c>
      <c r="BU904" s="8" t="str">
        <f aca="false">IF(A904="","",IF(BE904="牝馬限定","牝馬限定","その他"))</f>
        <v>牝馬限定</v>
      </c>
    </row>
    <row r="905" customFormat="false" ht="15.75" hidden="false" customHeight="false" outlineLevel="0" collapsed="false">
      <c r="A905" s="6" t="n">
        <f aca="false">DATE(2026,8,1)</f>
        <v>46235</v>
      </c>
      <c r="B905" s="4" t="s">
        <v>334</v>
      </c>
      <c r="C905" s="8" t="n">
        <v>7</v>
      </c>
      <c r="D905" s="8" t="n">
        <v>12</v>
      </c>
      <c r="E905" s="8" t="n">
        <v>10</v>
      </c>
      <c r="F905" s="4" t="s">
        <v>2926</v>
      </c>
      <c r="G905" s="8" t="n">
        <v>94</v>
      </c>
      <c r="H905" s="8" t="n">
        <v>3</v>
      </c>
      <c r="I905" s="4" t="s">
        <v>3846</v>
      </c>
      <c r="J905" s="8" t="n">
        <v>39</v>
      </c>
      <c r="K905" s="8" t="n">
        <v>5</v>
      </c>
      <c r="L905" s="4" t="s">
        <v>2572</v>
      </c>
      <c r="M905" s="8" t="n">
        <v>37</v>
      </c>
      <c r="N905" s="8" t="n">
        <f aca="false">IF(A905="","",G905-J905)</f>
        <v>55</v>
      </c>
      <c r="O905" s="8" t="n">
        <f aca="false">IF(A905="","",J905-M905)</f>
        <v>2</v>
      </c>
      <c r="P905" s="8" t="n">
        <f aca="false">IF(A905="","",G905+J905)</f>
        <v>133</v>
      </c>
      <c r="Q905" s="8" t="str">
        <f aca="false">IF(A905="","",IF(AND(Y905&lt;&gt;"参考",G905&gt;=ルール設定!$B$2),"○",""))</f>
        <v>○</v>
      </c>
      <c r="R905" s="8" t="str">
        <f aca="false">IF(A905="","",IF(AND(Y905&lt;&gt;"参考",G905&gt;=ルール設定!$B$3,N905&gt;=ルール設定!$B$4),"○",""))</f>
        <v>○</v>
      </c>
      <c r="S905" s="8" t="str">
        <f aca="false">IF(A905="","",IF(AND(Y905&lt;&gt;"参考",G905&gt;=ルール設定!$B$5,J905&gt;=ルール設定!$B$6,O905&gt;=ルール設定!$B$7),"○",""))</f>
        <v/>
      </c>
      <c r="T905" s="8" t="n">
        <v>4</v>
      </c>
      <c r="U905" s="8" t="n">
        <v>1</v>
      </c>
      <c r="V905" s="8" t="str">
        <f aca="false">IF(A905="","",IF(AND(ISNUMBER(T905),ISNUMBER(U905)),IF(AND(T905&lt;=3,U905&lt;=3),"○","×"),""))</f>
        <v>×</v>
      </c>
      <c r="W905" s="8"/>
      <c r="X905" s="8"/>
      <c r="Y905" s="4" t="s">
        <v>7597</v>
      </c>
      <c r="Z905" s="4" t="s">
        <v>8101</v>
      </c>
      <c r="AA905" s="8" t="str">
        <v>○</v>
      </c>
      <c r="AB905" s="8" t="str">
        <v>○</v>
      </c>
      <c r="AC905" s="8" t="str">
        <v/>
      </c>
      <c r="AD905" s="8" t="str">
        <v>○</v>
      </c>
      <c r="AE905" s="8" t="str">
        <v/>
      </c>
      <c r="AF905" s="8" t="str">
        <v/>
      </c>
      <c r="AG905" s="8" t="str">
        <v>○</v>
      </c>
      <c r="AH905" s="8" t="str">
        <v/>
      </c>
      <c r="AI905" s="8" t="n">
        <v>57</v>
      </c>
      <c r="AJ905" s="8" t="str">
        <v>85以上</v>
      </c>
      <c r="AK905" s="8" t="str">
        <v>30以上</v>
      </c>
      <c r="AL905" s="8" t="str">
        <v>40以上</v>
      </c>
      <c r="AM905" s="8" t="str">
        <v>120～139</v>
      </c>
      <c r="AN905" s="8" t="str">
        <v>12～14</v>
      </c>
      <c r="AO905" s="8" t="str">
        <f aca="false">IF(A905="","",IF(COUNTIFS(全馬データ!$A$2:$A$50000,A905,全馬データ!$B$2:$B$50000,B905,全馬データ!$C$2:$C$50000,C905,全馬データ!$D$2:$D$50000,E905,全馬データ!$K$2:$K$50000,"&lt;&gt;")=0,"",SUMIFS(全馬データ!$K$2:$K$50000,全馬データ!$A$2:$A$50000,A905,全馬データ!$B$2:$B$50000,B905,全馬データ!$C$2:$C$50000,C905,全馬データ!$D$2:$D$50000,E905)))</f>
        <v/>
      </c>
      <c r="AP905" s="8" t="str">
        <f aca="false">IF(A905="","",IF(AO905="","欠損",IF(AO905&lt;=1.1,"1.0～1.1",IF(AO905&lt;1.3,"1.2",IF(AO905&lt;1.5,"1.3～1.4",IF(AO905&lt;2,"1.5～1.9","2.0以上"))))))</f>
        <v>欠損</v>
      </c>
      <c r="AQ905" s="8" t="str">
        <f aca="false">IF(A905="","",IF(ISNUMBER(SEARCH("2歳",Z905)),"2歳戦",IF(ISNUMBER(SEARCH("3歳未勝利",Z905)),"3歳未勝利",IF(ISNUMBER(SEARCH("未勝利",Z905)),"その他未勝利",IF(ISNUMBER(SEARCH("G1",Z905)),"G1",IF(ISNUMBER(SEARCH("G2",Z905)),"G2",IF(ISNUMBER(SEARCH("G3",Z905)),"G3",IF(ISNUMBER(SEARCH("古馬条件",Z905)),"古馬条件戦",IF(ISNUMBER(SEARCH("重賞",Z905)),"重賞","分類不能")))))))))</f>
        <v>分類不能</v>
      </c>
      <c r="AR905" s="8"/>
      <c r="AS905" s="8" t="s">
        <v>7623</v>
      </c>
      <c r="AT905" s="8" t="s">
        <v>7624</v>
      </c>
      <c r="AU905" s="8" t="s">
        <v>7600</v>
      </c>
      <c r="AV905" s="4" t="s">
        <v>7601</v>
      </c>
      <c r="AW905" s="8"/>
      <c r="AX905" s="8"/>
      <c r="AY905" s="8" t="s">
        <v>7602</v>
      </c>
      <c r="AZ905" s="4" t="s">
        <v>7603</v>
      </c>
      <c r="BA905" s="8" t="n">
        <v>1800</v>
      </c>
      <c r="BB905" s="8" t="s">
        <v>7659</v>
      </c>
      <c r="BC905" s="4" t="s">
        <v>7619</v>
      </c>
      <c r="BD905" s="8" t="s">
        <v>7625</v>
      </c>
      <c r="BE905" s="4" t="s">
        <v>7606</v>
      </c>
      <c r="BF905" s="8" t="s">
        <v>7607</v>
      </c>
      <c r="BG905" s="8" t="s">
        <v>7608</v>
      </c>
      <c r="BH905" s="4" t="s">
        <v>7609</v>
      </c>
      <c r="BI905" s="8" t="n">
        <v>12</v>
      </c>
      <c r="BJ905" s="8" t="s">
        <v>7602</v>
      </c>
      <c r="BK905" s="4" t="s">
        <v>7653</v>
      </c>
      <c r="BL905" s="8" t="s">
        <v>7602</v>
      </c>
      <c r="BM905" s="4" t="s">
        <v>7620</v>
      </c>
      <c r="BN905" s="8" t="s">
        <v>7602</v>
      </c>
      <c r="BO905" s="8" t="s">
        <v>7613</v>
      </c>
      <c r="BP905" s="8" t="s">
        <v>7608</v>
      </c>
      <c r="BQ905" s="8" t="str">
        <f aca="false">IF(A905="","",AT905)</f>
        <v>3歳</v>
      </c>
      <c r="BR905" s="8" t="str">
        <f aca="false">IF(A905="","",IF(BA905&lt;=1200,"～1200",IF(BA905&lt;=1500,"1300～1500",IF(BA905=1600,"1600",IF(BA905&lt;=1800,"1700～1800",IF(BA905&lt;=2000,"1900～2000","2100以上"))))))</f>
        <v>1700～1800</v>
      </c>
      <c r="BS905" s="8" t="str">
        <f aca="false">IF(A905="","",IF(AX905="G1","G1",IF(AX905="G2","G2",IF(AX905="G3","G3",IF(AX905="L","L","その他")))))</f>
        <v>その他</v>
      </c>
      <c r="BT905" s="8" t="str">
        <f aca="false">IF(A905="","",IF(BI905="","未結合",IF(D905=BI905,"一致","不一致")))</f>
        <v>一致</v>
      </c>
      <c r="BU905" s="8" t="str">
        <f aca="false">IF(A905="","",IF(BE905="牝馬限定","牝馬限定","その他"))</f>
        <v>その他</v>
      </c>
    </row>
    <row r="906" customFormat="false" ht="15.75" hidden="false" customHeight="false" outlineLevel="0" collapsed="false">
      <c r="A906" s="6" t="n">
        <f aca="false">DATE(2026,8,1)</f>
        <v>46235</v>
      </c>
      <c r="B906" s="4" t="s">
        <v>334</v>
      </c>
      <c r="C906" s="8" t="n">
        <v>8</v>
      </c>
      <c r="D906" s="8" t="n">
        <v>11</v>
      </c>
      <c r="E906" s="8" t="n">
        <v>4</v>
      </c>
      <c r="F906" s="4" t="s">
        <v>3850</v>
      </c>
      <c r="G906" s="8" t="n">
        <v>66</v>
      </c>
      <c r="H906" s="8" t="n">
        <v>11</v>
      </c>
      <c r="I906" s="4" t="s">
        <v>3854</v>
      </c>
      <c r="J906" s="8" t="n">
        <v>39</v>
      </c>
      <c r="K906" s="8" t="n">
        <v>8</v>
      </c>
      <c r="L906" s="4" t="s">
        <v>3852</v>
      </c>
      <c r="M906" s="8" t="n">
        <v>37</v>
      </c>
      <c r="N906" s="8" t="n">
        <f aca="false">IF(A906="","",G906-J906)</f>
        <v>27</v>
      </c>
      <c r="O906" s="8" t="n">
        <f aca="false">IF(A906="","",J906-M906)</f>
        <v>2</v>
      </c>
      <c r="P906" s="8" t="n">
        <f aca="false">IF(A906="","",G906+J906)</f>
        <v>105</v>
      </c>
      <c r="Q906" s="8" t="str">
        <f aca="false">IF(A906="","",IF(AND(Y906&lt;&gt;"参考",G906&gt;=ルール設定!$B$2),"○",""))</f>
        <v/>
      </c>
      <c r="R906" s="8" t="str">
        <f aca="false">IF(A906="","",IF(AND(Y906&lt;&gt;"参考",G906&gt;=ルール設定!$B$3,N906&gt;=ルール設定!$B$4),"○",""))</f>
        <v/>
      </c>
      <c r="S906" s="8" t="str">
        <f aca="false">IF(A906="","",IF(AND(Y906&lt;&gt;"参考",G906&gt;=ルール設定!$B$5,J906&gt;=ルール設定!$B$6,O906&gt;=ルール設定!$B$7),"○",""))</f>
        <v/>
      </c>
      <c r="T906" s="8" t="n">
        <v>1</v>
      </c>
      <c r="U906" s="8" t="n">
        <v>4</v>
      </c>
      <c r="V906" s="8" t="str">
        <f aca="false">IF(A906="","",IF(AND(ISNUMBER(T906),ISNUMBER(U906)),IF(AND(T906&lt;=3,U906&lt;=3),"○","×"),""))</f>
        <v>×</v>
      </c>
      <c r="W906" s="8" t="n">
        <v>110</v>
      </c>
      <c r="X906" s="8"/>
      <c r="Y906" s="4" t="s">
        <v>7597</v>
      </c>
      <c r="Z906" s="4" t="s">
        <v>8101</v>
      </c>
      <c r="AA906" s="8" t="str">
        <v/>
      </c>
      <c r="AB906" s="8" t="str">
        <v/>
      </c>
      <c r="AC906" s="8" t="str">
        <v/>
      </c>
      <c r="AD906" s="8" t="str">
        <v/>
      </c>
      <c r="AE906" s="8" t="str">
        <v/>
      </c>
      <c r="AF906" s="8" t="str">
        <v/>
      </c>
      <c r="AG906" s="8" t="str">
        <v/>
      </c>
      <c r="AH906" s="8" t="str">
        <v/>
      </c>
      <c r="AI906" s="8" t="n">
        <v>29</v>
      </c>
      <c r="AJ906" s="8" t="str">
        <v>60～69</v>
      </c>
      <c r="AK906" s="8" t="str">
        <v>20～29</v>
      </c>
      <c r="AL906" s="8" t="str">
        <v>20～29</v>
      </c>
      <c r="AM906" s="8" t="str">
        <v>100～119</v>
      </c>
      <c r="AN906" s="8" t="str">
        <v>8～11</v>
      </c>
      <c r="AO906" s="8" t="str">
        <f aca="false">IF(A906="","",IF(COUNTIFS(全馬データ!$A$2:$A$50000,A906,全馬データ!$B$2:$B$50000,B906,全馬データ!$C$2:$C$50000,C906,全馬データ!$D$2:$D$50000,E906,全馬データ!$K$2:$K$50000,"&lt;&gt;")=0,"",SUMIFS(全馬データ!$K$2:$K$50000,全馬データ!$A$2:$A$50000,A906,全馬データ!$B$2:$B$50000,B906,全馬データ!$C$2:$C$50000,C906,全馬データ!$D$2:$D$50000,E906)))</f>
        <v/>
      </c>
      <c r="AP906" s="8" t="str">
        <f aca="false">IF(A906="","",IF(AO906="","欠損",IF(AO906&lt;=1.1,"1.0～1.1",IF(AO906&lt;1.3,"1.2",IF(AO906&lt;1.5,"1.3～1.4",IF(AO906&lt;2,"1.5～1.9","2.0以上"))))))</f>
        <v>欠損</v>
      </c>
      <c r="AQ906" s="8" t="str">
        <f aca="false">IF(A906="","",IF(ISNUMBER(SEARCH("2歳",Z906)),"2歳戦",IF(ISNUMBER(SEARCH("3歳未勝利",Z906)),"3歳未勝利",IF(ISNUMBER(SEARCH("未勝利",Z906)),"その他未勝利",IF(ISNUMBER(SEARCH("G1",Z906)),"G1",IF(ISNUMBER(SEARCH("G2",Z906)),"G2",IF(ISNUMBER(SEARCH("G3",Z906)),"G3",IF(ISNUMBER(SEARCH("古馬条件",Z906)),"古馬条件戦",IF(ISNUMBER(SEARCH("重賞",Z906)),"重賞","分類不能")))))))))</f>
        <v>分類不能</v>
      </c>
      <c r="AR906" s="8"/>
      <c r="AS906" s="8" t="s">
        <v>7626</v>
      </c>
      <c r="AT906" s="8" t="s">
        <v>7627</v>
      </c>
      <c r="AU906" s="8" t="s">
        <v>7628</v>
      </c>
      <c r="AV906" s="8" t="s">
        <v>7629</v>
      </c>
      <c r="AW906" s="8"/>
      <c r="AX906" s="8"/>
      <c r="AY906" s="8" t="s">
        <v>7610</v>
      </c>
      <c r="AZ906" s="4" t="s">
        <v>7617</v>
      </c>
      <c r="BA906" s="8" t="n">
        <v>1700</v>
      </c>
      <c r="BB906" s="8" t="s">
        <v>7659</v>
      </c>
      <c r="BC906" s="4" t="s">
        <v>7619</v>
      </c>
      <c r="BD906" s="8" t="s">
        <v>7625</v>
      </c>
      <c r="BE906" s="4" t="s">
        <v>7606</v>
      </c>
      <c r="BF906" s="8" t="s">
        <v>7607</v>
      </c>
      <c r="BG906" s="8" t="s">
        <v>7631</v>
      </c>
      <c r="BH906" s="4" t="s">
        <v>7632</v>
      </c>
      <c r="BI906" s="8" t="n">
        <v>11</v>
      </c>
      <c r="BJ906" s="8" t="s">
        <v>7602</v>
      </c>
      <c r="BK906" s="4" t="s">
        <v>7653</v>
      </c>
      <c r="BL906" s="8" t="s">
        <v>7602</v>
      </c>
      <c r="BM906" s="4" t="s">
        <v>7620</v>
      </c>
      <c r="BN906" s="8"/>
      <c r="BO906" s="8"/>
      <c r="BP906" s="8" t="s">
        <v>7608</v>
      </c>
      <c r="BQ906" s="8" t="str">
        <f aca="false">IF(A906="","",AT906)</f>
        <v>3歳以上</v>
      </c>
      <c r="BR906" s="8" t="str">
        <f aca="false">IF(A906="","",IF(BA906&lt;=1200,"～1200",IF(BA906&lt;=1500,"1300～1500",IF(BA906=1600,"1600",IF(BA906&lt;=1800,"1700～1800",IF(BA906&lt;=2000,"1900～2000","2100以上"))))))</f>
        <v>1700～1800</v>
      </c>
      <c r="BS906" s="8" t="str">
        <f aca="false">IF(A906="","",IF(AX906="G1","G1",IF(AX906="G2","G2",IF(AX906="G3","G3",IF(AX906="L","L","その他")))))</f>
        <v>その他</v>
      </c>
      <c r="BT906" s="8" t="str">
        <f aca="false">IF(A906="","",IF(BI906="","未結合",IF(D906=BI906,"一致","不一致")))</f>
        <v>一致</v>
      </c>
      <c r="BU906" s="8" t="str">
        <f aca="false">IF(A906="","",IF(BE906="牝馬限定","牝馬限定","その他"))</f>
        <v>その他</v>
      </c>
    </row>
    <row r="907" customFormat="false" ht="15.75" hidden="false" customHeight="false" outlineLevel="0" collapsed="false">
      <c r="A907" s="6" t="n">
        <f aca="false">DATE(2026,8,1)</f>
        <v>46235</v>
      </c>
      <c r="B907" s="4" t="s">
        <v>334</v>
      </c>
      <c r="C907" s="8" t="n">
        <v>9</v>
      </c>
      <c r="D907" s="8" t="n">
        <v>7</v>
      </c>
      <c r="E907" s="8" t="n">
        <v>6</v>
      </c>
      <c r="F907" s="4" t="s">
        <v>3856</v>
      </c>
      <c r="G907" s="8" t="n">
        <v>67</v>
      </c>
      <c r="H907" s="8" t="n">
        <v>2</v>
      </c>
      <c r="I907" s="4" t="s">
        <v>2640</v>
      </c>
      <c r="J907" s="8" t="n">
        <v>60</v>
      </c>
      <c r="K907" s="8" t="n">
        <v>7</v>
      </c>
      <c r="L907" s="4" t="s">
        <v>2642</v>
      </c>
      <c r="M907" s="8" t="n">
        <v>47</v>
      </c>
      <c r="N907" s="8" t="n">
        <f aca="false">IF(A907="","",G907-J907)</f>
        <v>7</v>
      </c>
      <c r="O907" s="8" t="n">
        <f aca="false">IF(A907="","",J907-M907)</f>
        <v>13</v>
      </c>
      <c r="P907" s="8" t="n">
        <f aca="false">IF(A907="","",G907+J907)</f>
        <v>127</v>
      </c>
      <c r="Q907" s="8" t="str">
        <f aca="false">IF(A907="","",IF(AND(Y907&lt;&gt;"参考",G907&gt;=ルール設定!$B$2),"○",""))</f>
        <v/>
      </c>
      <c r="R907" s="8" t="str">
        <f aca="false">IF(A907="","",IF(AND(Y907&lt;&gt;"参考",G907&gt;=ルール設定!$B$3,N907&gt;=ルール設定!$B$4),"○",""))</f>
        <v/>
      </c>
      <c r="S907" s="8" t="str">
        <f aca="false">IF(A907="","",IF(AND(Y907&lt;&gt;"参考",G907&gt;=ルール設定!$B$5,J907&gt;=ルール設定!$B$6,O907&gt;=ルール設定!$B$7),"○",""))</f>
        <v/>
      </c>
      <c r="T907" s="8" t="n">
        <v>4</v>
      </c>
      <c r="U907" s="8" t="n">
        <v>4</v>
      </c>
      <c r="V907" s="8" t="str">
        <f aca="false">IF(A907="","",IF(AND(ISNUMBER(T907),ISNUMBER(U907)),IF(AND(T907&lt;=3,U907&lt;=3),"○","×"),""))</f>
        <v>×</v>
      </c>
      <c r="W907" s="8"/>
      <c r="X907" s="8"/>
      <c r="Y907" s="4" t="s">
        <v>7597</v>
      </c>
      <c r="Z907" s="4" t="s">
        <v>8101</v>
      </c>
      <c r="AA907" s="8" t="str">
        <v/>
      </c>
      <c r="AB907" s="8" t="str">
        <v/>
      </c>
      <c r="AC907" s="8" t="str">
        <v/>
      </c>
      <c r="AD907" s="8" t="str">
        <v/>
      </c>
      <c r="AE907" s="8" t="str">
        <v/>
      </c>
      <c r="AF907" s="8" t="str">
        <v/>
      </c>
      <c r="AG907" s="8" t="str">
        <v/>
      </c>
      <c r="AH907" s="8" t="str">
        <v/>
      </c>
      <c r="AI907" s="8" t="n">
        <v>20</v>
      </c>
      <c r="AJ907" s="8" t="str">
        <v>60～69</v>
      </c>
      <c r="AK907" s="8" t="str">
        <v>5～9</v>
      </c>
      <c r="AL907" s="8" t="str">
        <v>20～29</v>
      </c>
      <c r="AM907" s="8" t="str">
        <v>120～139</v>
      </c>
      <c r="AN907" s="8" t="str">
        <v>7以下</v>
      </c>
      <c r="AO907" s="8" t="str">
        <f aca="false">IF(A907="","",IF(COUNTIFS(全馬データ!$A$2:$A$50000,A907,全馬データ!$B$2:$B$50000,B907,全馬データ!$C$2:$C$50000,C907,全馬データ!$D$2:$D$50000,E907,全馬データ!$K$2:$K$50000,"&lt;&gt;")=0,"",SUMIFS(全馬データ!$K$2:$K$50000,全馬データ!$A$2:$A$50000,A907,全馬データ!$B$2:$B$50000,B907,全馬データ!$C$2:$C$50000,C907,全馬データ!$D$2:$D$50000,E907)))</f>
        <v/>
      </c>
      <c r="AP907" s="8" t="str">
        <f aca="false">IF(A907="","",IF(AO907="","欠損",IF(AO907&lt;=1.1,"1.0～1.1",IF(AO907&lt;1.3,"1.2",IF(AO907&lt;1.5,"1.3～1.4",IF(AO907&lt;2,"1.5～1.9","2.0以上"))))))</f>
        <v>欠損</v>
      </c>
      <c r="AQ907" s="8" t="str">
        <f aca="false">IF(A907="","",IF(ISNUMBER(SEARCH("2歳",Z907)),"2歳戦",IF(ISNUMBER(SEARCH("3歳未勝利",Z907)),"3歳未勝利",IF(ISNUMBER(SEARCH("未勝利",Z907)),"その他未勝利",IF(ISNUMBER(SEARCH("G1",Z907)),"G1",IF(ISNUMBER(SEARCH("G2",Z907)),"G2",IF(ISNUMBER(SEARCH("G3",Z907)),"G3",IF(ISNUMBER(SEARCH("古馬条件",Z907)),"古馬条件戦",IF(ISNUMBER(SEARCH("重賞",Z907)),"重賞","分類不能")))))))))</f>
        <v>分類不能</v>
      </c>
      <c r="AR907" s="4" t="s">
        <v>8102</v>
      </c>
      <c r="AS907" s="8" t="s">
        <v>7626</v>
      </c>
      <c r="AT907" s="8" t="s">
        <v>7627</v>
      </c>
      <c r="AU907" s="8" t="s">
        <v>7634</v>
      </c>
      <c r="AV907" s="8" t="s">
        <v>7635</v>
      </c>
      <c r="AW907" s="8" t="s">
        <v>7636</v>
      </c>
      <c r="AX907" s="4" t="s">
        <v>7637</v>
      </c>
      <c r="AY907" s="8" t="s">
        <v>7602</v>
      </c>
      <c r="AZ907" s="4" t="s">
        <v>7603</v>
      </c>
      <c r="BA907" s="8" t="n">
        <v>1800</v>
      </c>
      <c r="BB907" s="8" t="s">
        <v>7659</v>
      </c>
      <c r="BC907" s="4" t="s">
        <v>7619</v>
      </c>
      <c r="BD907" s="8" t="s">
        <v>7630</v>
      </c>
      <c r="BE907" s="4" t="s">
        <v>7606</v>
      </c>
      <c r="BF907" s="8" t="s">
        <v>7607</v>
      </c>
      <c r="BG907" s="8" t="s">
        <v>7631</v>
      </c>
      <c r="BH907" s="4" t="s">
        <v>7632</v>
      </c>
      <c r="BI907" s="8" t="n">
        <v>7</v>
      </c>
      <c r="BJ907" s="8" t="s">
        <v>7602</v>
      </c>
      <c r="BK907" s="4" t="s">
        <v>7653</v>
      </c>
      <c r="BL907" s="8" t="s">
        <v>7602</v>
      </c>
      <c r="BM907" s="4" t="s">
        <v>7620</v>
      </c>
      <c r="BN907" s="8" t="s">
        <v>7602</v>
      </c>
      <c r="BO907" s="8" t="s">
        <v>7613</v>
      </c>
      <c r="BP907" s="8" t="s">
        <v>7608</v>
      </c>
      <c r="BQ907" s="8" t="str">
        <f aca="false">IF(A907="","",AT907)</f>
        <v>3歳以上</v>
      </c>
      <c r="BR907" s="8" t="str">
        <f aca="false">IF(A907="","",IF(BA907&lt;=1200,"～1200",IF(BA907&lt;=1500,"1300～1500",IF(BA907=1600,"1600",IF(BA907&lt;=1800,"1700～1800",IF(BA907&lt;=2000,"1900～2000","2100以上"))))))</f>
        <v>1700～1800</v>
      </c>
      <c r="BS907" s="8" t="str">
        <f aca="false">IF(A907="","",IF(AX907="G1","G1",IF(AX907="G2","G2",IF(AX907="G3","G3",IF(AX907="L","L","その他")))))</f>
        <v>その他</v>
      </c>
      <c r="BT907" s="8" t="str">
        <f aca="false">IF(A907="","",IF(BI907="","未結合",IF(D907=BI907,"一致","不一致")))</f>
        <v>一致</v>
      </c>
      <c r="BU907" s="8" t="str">
        <f aca="false">IF(A907="","",IF(BE907="牝馬限定","牝馬限定","その他"))</f>
        <v>その他</v>
      </c>
    </row>
    <row r="908" customFormat="false" ht="15.75" hidden="false" customHeight="false" outlineLevel="0" collapsed="false">
      <c r="A908" s="6" t="n">
        <f aca="false">DATE(2026,8,1)</f>
        <v>46235</v>
      </c>
      <c r="B908" s="4" t="s">
        <v>334</v>
      </c>
      <c r="C908" s="8" t="n">
        <v>10</v>
      </c>
      <c r="D908" s="8" t="n">
        <v>14</v>
      </c>
      <c r="E908" s="8" t="n">
        <v>1</v>
      </c>
      <c r="F908" s="4" t="s">
        <v>3857</v>
      </c>
      <c r="G908" s="8" t="n">
        <v>56</v>
      </c>
      <c r="H908" s="8" t="n">
        <v>8</v>
      </c>
      <c r="I908" s="4" t="s">
        <v>3862</v>
      </c>
      <c r="J908" s="8" t="n">
        <v>52</v>
      </c>
      <c r="K908" s="8" t="n">
        <v>3</v>
      </c>
      <c r="L908" s="4" t="s">
        <v>3858</v>
      </c>
      <c r="M908" s="8" t="n">
        <v>44</v>
      </c>
      <c r="N908" s="8" t="n">
        <f aca="false">IF(A908="","",G908-J908)</f>
        <v>4</v>
      </c>
      <c r="O908" s="8" t="n">
        <f aca="false">IF(A908="","",J908-M908)</f>
        <v>8</v>
      </c>
      <c r="P908" s="8" t="n">
        <f aca="false">IF(A908="","",G908+J908)</f>
        <v>108</v>
      </c>
      <c r="Q908" s="8" t="str">
        <f aca="false">IF(A908="","",IF(AND(Y908&lt;&gt;"参考",G908&gt;=ルール設定!$B$2),"○",""))</f>
        <v/>
      </c>
      <c r="R908" s="8" t="str">
        <f aca="false">IF(A908="","",IF(AND(Y908&lt;&gt;"参考",G908&gt;=ルール設定!$B$3,N908&gt;=ルール設定!$B$4),"○",""))</f>
        <v/>
      </c>
      <c r="S908" s="8" t="str">
        <f aca="false">IF(A908="","",IF(AND(Y908&lt;&gt;"参考",G908&gt;=ルール設定!$B$5,J908&gt;=ルール設定!$B$6,O908&gt;=ルール設定!$B$7),"○",""))</f>
        <v/>
      </c>
      <c r="T908" s="8" t="n">
        <v>1</v>
      </c>
      <c r="U908" s="8" t="n">
        <v>2</v>
      </c>
      <c r="V908" s="8" t="str">
        <f aca="false">IF(A908="","",IF(AND(ISNUMBER(T908),ISNUMBER(U908)),IF(AND(T908&lt;=3,U908&lt;=3),"○","×"),""))</f>
        <v>○</v>
      </c>
      <c r="W908" s="8" t="n">
        <v>140</v>
      </c>
      <c r="X908" s="8"/>
      <c r="Y908" s="4" t="s">
        <v>7597</v>
      </c>
      <c r="Z908" s="4" t="s">
        <v>8101</v>
      </c>
      <c r="AA908" s="8" t="str">
        <v/>
      </c>
      <c r="AB908" s="8" t="str">
        <v/>
      </c>
      <c r="AC908" s="8" t="str">
        <v/>
      </c>
      <c r="AD908" s="8" t="str">
        <v/>
      </c>
      <c r="AE908" s="8" t="str">
        <v/>
      </c>
      <c r="AF908" s="8" t="str">
        <v/>
      </c>
      <c r="AG908" s="8" t="str">
        <v/>
      </c>
      <c r="AH908" s="8" t="str">
        <v/>
      </c>
      <c r="AI908" s="8" t="n">
        <v>12</v>
      </c>
      <c r="AJ908" s="8" t="str">
        <v>～59</v>
      </c>
      <c r="AK908" s="8" t="str">
        <v>0～4</v>
      </c>
      <c r="AL908" s="8" t="str">
        <v>10～19</v>
      </c>
      <c r="AM908" s="8" t="str">
        <v>100～119</v>
      </c>
      <c r="AN908" s="8" t="str">
        <v>12～14</v>
      </c>
      <c r="AO908" s="8" t="str">
        <f aca="false">IF(A908="","",IF(COUNTIFS(全馬データ!$A$2:$A$50000,A908,全馬データ!$B$2:$B$50000,B908,全馬データ!$C$2:$C$50000,C908,全馬データ!$D$2:$D$50000,E908,全馬データ!$K$2:$K$50000,"&lt;&gt;")=0,"",SUMIFS(全馬データ!$K$2:$K$50000,全馬データ!$A$2:$A$50000,A908,全馬データ!$B$2:$B$50000,B908,全馬データ!$C$2:$C$50000,C908,全馬データ!$D$2:$D$50000,E908)))</f>
        <v/>
      </c>
      <c r="AP908" s="8" t="str">
        <f aca="false">IF(A908="","",IF(AO908="","欠損",IF(AO908&lt;=1.1,"1.0～1.1",IF(AO908&lt;1.3,"1.2",IF(AO908&lt;1.5,"1.3～1.4",IF(AO908&lt;2,"1.5～1.9","2.0以上"))))))</f>
        <v>欠損</v>
      </c>
      <c r="AQ908" s="8" t="str">
        <f aca="false">IF(A908="","",IF(ISNUMBER(SEARCH("2歳",Z908)),"2歳戦",IF(ISNUMBER(SEARCH("3歳未勝利",Z908)),"3歳未勝利",IF(ISNUMBER(SEARCH("未勝利",Z908)),"その他未勝利",IF(ISNUMBER(SEARCH("G1",Z908)),"G1",IF(ISNUMBER(SEARCH("G2",Z908)),"G2",IF(ISNUMBER(SEARCH("G3",Z908)),"G3",IF(ISNUMBER(SEARCH("古馬条件",Z908)),"古馬条件戦",IF(ISNUMBER(SEARCH("重賞",Z908)),"重賞","分類不能")))))))))</f>
        <v>分類不能</v>
      </c>
      <c r="AR908" s="8"/>
      <c r="AS908" s="8" t="s">
        <v>7626</v>
      </c>
      <c r="AT908" s="8" t="s">
        <v>7627</v>
      </c>
      <c r="AU908" s="8" t="s">
        <v>7628</v>
      </c>
      <c r="AV908" s="8" t="s">
        <v>7629</v>
      </c>
      <c r="AW908" s="8"/>
      <c r="AX908" s="8"/>
      <c r="AY908" s="8" t="s">
        <v>7602</v>
      </c>
      <c r="AZ908" s="4" t="s">
        <v>7603</v>
      </c>
      <c r="BA908" s="8" t="n">
        <v>1500</v>
      </c>
      <c r="BB908" s="8" t="s">
        <v>7659</v>
      </c>
      <c r="BC908" s="4" t="s">
        <v>7619</v>
      </c>
      <c r="BD908" s="8" t="s">
        <v>7621</v>
      </c>
      <c r="BE908" s="4" t="s">
        <v>7622</v>
      </c>
      <c r="BF908" s="8" t="s">
        <v>7602</v>
      </c>
      <c r="BG908" s="8" t="s">
        <v>7631</v>
      </c>
      <c r="BH908" s="4" t="s">
        <v>7632</v>
      </c>
      <c r="BI908" s="8" t="n">
        <v>14</v>
      </c>
      <c r="BJ908" s="8" t="s">
        <v>7602</v>
      </c>
      <c r="BK908" s="4" t="s">
        <v>7653</v>
      </c>
      <c r="BL908" s="8" t="s">
        <v>7602</v>
      </c>
      <c r="BM908" s="4" t="s">
        <v>7620</v>
      </c>
      <c r="BN908" s="8" t="s">
        <v>7602</v>
      </c>
      <c r="BO908" s="8" t="s">
        <v>7613</v>
      </c>
      <c r="BP908" s="8" t="s">
        <v>7608</v>
      </c>
      <c r="BQ908" s="8" t="str">
        <f aca="false">IF(A908="","",AT908)</f>
        <v>3歳以上</v>
      </c>
      <c r="BR908" s="8" t="str">
        <f aca="false">IF(A908="","",IF(BA908&lt;=1200,"～1200",IF(BA908&lt;=1500,"1300～1500",IF(BA908=1600,"1600",IF(BA908&lt;=1800,"1700～1800",IF(BA908&lt;=2000,"1900～2000","2100以上"))))))</f>
        <v>1300～1500</v>
      </c>
      <c r="BS908" s="8" t="str">
        <f aca="false">IF(A908="","",IF(AX908="G1","G1",IF(AX908="G2","G2",IF(AX908="G3","G3",IF(AX908="L","L","その他")))))</f>
        <v>その他</v>
      </c>
      <c r="BT908" s="8" t="str">
        <f aca="false">IF(A908="","",IF(BI908="","未結合",IF(D908=BI908,"一致","不一致")))</f>
        <v>一致</v>
      </c>
      <c r="BU908" s="8" t="str">
        <f aca="false">IF(A908="","",IF(BE908="牝馬限定","牝馬限定","その他"))</f>
        <v>牝馬限定</v>
      </c>
    </row>
    <row r="909" customFormat="false" ht="15.75" hidden="false" customHeight="false" outlineLevel="0" collapsed="false">
      <c r="A909" s="6" t="n">
        <f aca="false">DATE(2026,8,1)</f>
        <v>46235</v>
      </c>
      <c r="B909" s="4" t="s">
        <v>334</v>
      </c>
      <c r="C909" s="8" t="n">
        <v>11</v>
      </c>
      <c r="D909" s="8" t="n">
        <v>16</v>
      </c>
      <c r="E909" s="8" t="n">
        <v>8</v>
      </c>
      <c r="F909" s="4" t="s">
        <v>3871</v>
      </c>
      <c r="G909" s="8" t="n">
        <v>47</v>
      </c>
      <c r="H909" s="8" t="n">
        <v>12</v>
      </c>
      <c r="I909" s="4" t="s">
        <v>3304</v>
      </c>
      <c r="J909" s="8" t="n">
        <v>47</v>
      </c>
      <c r="K909" s="8" t="n">
        <v>7</v>
      </c>
      <c r="L909" s="4" t="s">
        <v>3870</v>
      </c>
      <c r="M909" s="8" t="n">
        <v>39</v>
      </c>
      <c r="N909" s="8" t="n">
        <f aca="false">IF(A909="","",G909-J909)</f>
        <v>0</v>
      </c>
      <c r="O909" s="8" t="n">
        <f aca="false">IF(A909="","",J909-M909)</f>
        <v>8</v>
      </c>
      <c r="P909" s="8" t="n">
        <f aca="false">IF(A909="","",G909+J909)</f>
        <v>94</v>
      </c>
      <c r="Q909" s="8" t="str">
        <f aca="false">IF(A909="","",IF(AND(Y909&lt;&gt;"参考",G909&gt;=ルール設定!$B$2),"○",""))</f>
        <v/>
      </c>
      <c r="R909" s="8" t="str">
        <f aca="false">IF(A909="","",IF(AND(Y909&lt;&gt;"参考",G909&gt;=ルール設定!$B$3,N909&gt;=ルール設定!$B$4),"○",""))</f>
        <v/>
      </c>
      <c r="S909" s="8" t="str">
        <f aca="false">IF(A909="","",IF(AND(Y909&lt;&gt;"参考",G909&gt;=ルール設定!$B$5,J909&gt;=ルール設定!$B$6,O909&gt;=ルール設定!$B$7),"○",""))</f>
        <v/>
      </c>
      <c r="T909" s="8" t="n">
        <v>4</v>
      </c>
      <c r="U909" s="8" t="n">
        <v>2</v>
      </c>
      <c r="V909" s="8" t="str">
        <f aca="false">IF(A909="","",IF(AND(ISNUMBER(T909),ISNUMBER(U909)),IF(AND(T909&lt;=3,U909&lt;=3),"○","×"),""))</f>
        <v>×</v>
      </c>
      <c r="W909" s="8"/>
      <c r="X909" s="8"/>
      <c r="Y909" s="4" t="s">
        <v>7597</v>
      </c>
      <c r="Z909" s="4" t="s">
        <v>8101</v>
      </c>
      <c r="AA909" s="8" t="str">
        <v/>
      </c>
      <c r="AB909" s="8" t="str">
        <v/>
      </c>
      <c r="AC909" s="8" t="str">
        <v/>
      </c>
      <c r="AD909" s="8" t="str">
        <v/>
      </c>
      <c r="AE909" s="8" t="str">
        <v/>
      </c>
      <c r="AF909" s="8" t="str">
        <v/>
      </c>
      <c r="AG909" s="8" t="str">
        <v/>
      </c>
      <c r="AH909" s="8" t="str">
        <v/>
      </c>
      <c r="AI909" s="8" t="n">
        <v>8</v>
      </c>
      <c r="AJ909" s="8" t="str">
        <v>～59</v>
      </c>
      <c r="AK909" s="8" t="str">
        <v>0～4</v>
      </c>
      <c r="AL909" s="8" t="str">
        <v>0～9</v>
      </c>
      <c r="AM909" s="8" t="str">
        <v>～99</v>
      </c>
      <c r="AN909" s="8" t="str">
        <v>15以上</v>
      </c>
      <c r="AO909" s="8" t="str">
        <f aca="false">IF(A909="","",IF(COUNTIFS(全馬データ!$A$2:$A$50000,A909,全馬データ!$B$2:$B$50000,B909,全馬データ!$C$2:$C$50000,C909,全馬データ!$D$2:$D$50000,E909,全馬データ!$K$2:$K$50000,"&lt;&gt;")=0,"",SUMIFS(全馬データ!$K$2:$K$50000,全馬データ!$A$2:$A$50000,A909,全馬データ!$B$2:$B$50000,B909,全馬データ!$C$2:$C$50000,C909,全馬データ!$D$2:$D$50000,E909)))</f>
        <v/>
      </c>
      <c r="AP909" s="8" t="str">
        <f aca="false">IF(A909="","",IF(AO909="","欠損",IF(AO909&lt;=1.1,"1.0～1.1",IF(AO909&lt;1.3,"1.2",IF(AO909&lt;1.5,"1.3～1.4",IF(AO909&lt;2,"1.5～1.9","2.0以上"))))))</f>
        <v>欠損</v>
      </c>
      <c r="AQ909" s="8" t="str">
        <f aca="false">IF(A909="","",IF(ISNUMBER(SEARCH("2歳",Z909)),"2歳戦",IF(ISNUMBER(SEARCH("3歳未勝利",Z909)),"3歳未勝利",IF(ISNUMBER(SEARCH("未勝利",Z909)),"その他未勝利",IF(ISNUMBER(SEARCH("G1",Z909)),"G1",IF(ISNUMBER(SEARCH("G2",Z909)),"G2",IF(ISNUMBER(SEARCH("G3",Z909)),"G3",IF(ISNUMBER(SEARCH("古馬条件",Z909)),"古馬条件戦",IF(ISNUMBER(SEARCH("重賞",Z909)),"重賞","分類不能")))))))))</f>
        <v>分類不能</v>
      </c>
      <c r="AR909" s="4" t="s">
        <v>8103</v>
      </c>
      <c r="AS909" s="8" t="s">
        <v>7626</v>
      </c>
      <c r="AT909" s="8" t="s">
        <v>7627</v>
      </c>
      <c r="AU909" s="8" t="s">
        <v>7639</v>
      </c>
      <c r="AV909" s="8" t="s">
        <v>7640</v>
      </c>
      <c r="AW909" s="8" t="s">
        <v>7636</v>
      </c>
      <c r="AX909" s="4" t="s">
        <v>7637</v>
      </c>
      <c r="AY909" s="8" t="s">
        <v>7602</v>
      </c>
      <c r="AZ909" s="4" t="s">
        <v>7603</v>
      </c>
      <c r="BA909" s="8" t="n">
        <v>2000</v>
      </c>
      <c r="BB909" s="8" t="s">
        <v>7659</v>
      </c>
      <c r="BC909" s="4" t="s">
        <v>7619</v>
      </c>
      <c r="BD909" s="8" t="s">
        <v>7605</v>
      </c>
      <c r="BE909" s="4" t="s">
        <v>7606</v>
      </c>
      <c r="BF909" s="8" t="s">
        <v>7607</v>
      </c>
      <c r="BG909" s="8" t="s">
        <v>7602</v>
      </c>
      <c r="BH909" s="4" t="s">
        <v>7667</v>
      </c>
      <c r="BI909" s="8" t="n">
        <v>16</v>
      </c>
      <c r="BJ909" s="8" t="s">
        <v>7602</v>
      </c>
      <c r="BK909" s="4" t="s">
        <v>7653</v>
      </c>
      <c r="BL909" s="8" t="s">
        <v>7602</v>
      </c>
      <c r="BM909" s="4" t="s">
        <v>7620</v>
      </c>
      <c r="BN909" s="8" t="s">
        <v>7602</v>
      </c>
      <c r="BO909" s="8" t="s">
        <v>7613</v>
      </c>
      <c r="BP909" s="8" t="s">
        <v>7608</v>
      </c>
      <c r="BQ909" s="8" t="str">
        <f aca="false">IF(A909="","",AT909)</f>
        <v>3歳以上</v>
      </c>
      <c r="BR909" s="8" t="str">
        <f aca="false">IF(A909="","",IF(BA909&lt;=1200,"～1200",IF(BA909&lt;=1500,"1300～1500",IF(BA909=1600,"1600",IF(BA909&lt;=1800,"1700～1800",IF(BA909&lt;=2000,"1900～2000","2100以上"))))))</f>
        <v>1900～2000</v>
      </c>
      <c r="BS909" s="8" t="str">
        <f aca="false">IF(A909="","",IF(AX909="G1","G1",IF(AX909="G2","G2",IF(AX909="G3","G3",IF(AX909="L","L","その他")))))</f>
        <v>その他</v>
      </c>
      <c r="BT909" s="8" t="str">
        <f aca="false">IF(A909="","",IF(BI909="","未結合",IF(D909=BI909,"一致","不一致")))</f>
        <v>一致</v>
      </c>
      <c r="BU909" s="8" t="str">
        <f aca="false">IF(A909="","",IF(BE909="牝馬限定","牝馬限定","その他"))</f>
        <v>その他</v>
      </c>
    </row>
    <row r="910" customFormat="false" ht="15.75" hidden="false" customHeight="false" outlineLevel="0" collapsed="false">
      <c r="A910" s="6" t="n">
        <f aca="false">DATE(2026,8,1)</f>
        <v>46235</v>
      </c>
      <c r="B910" s="4" t="s">
        <v>334</v>
      </c>
      <c r="C910" s="8" t="n">
        <v>12</v>
      </c>
      <c r="D910" s="8" t="n">
        <v>8</v>
      </c>
      <c r="E910" s="8" t="n">
        <v>7</v>
      </c>
      <c r="F910" s="4" t="s">
        <v>3546</v>
      </c>
      <c r="G910" s="8" t="n">
        <v>56</v>
      </c>
      <c r="H910" s="8" t="n">
        <v>3</v>
      </c>
      <c r="I910" s="4" t="s">
        <v>2975</v>
      </c>
      <c r="J910" s="8" t="n">
        <v>52</v>
      </c>
      <c r="K910" s="8" t="n">
        <v>1</v>
      </c>
      <c r="L910" s="4" t="s">
        <v>3527</v>
      </c>
      <c r="M910" s="8" t="n">
        <v>31</v>
      </c>
      <c r="N910" s="8" t="n">
        <f aca="false">IF(A910="","",G910-J910)</f>
        <v>4</v>
      </c>
      <c r="O910" s="8" t="n">
        <f aca="false">IF(A910="","",J910-M910)</f>
        <v>21</v>
      </c>
      <c r="P910" s="8" t="n">
        <f aca="false">IF(A910="","",G910+J910)</f>
        <v>108</v>
      </c>
      <c r="Q910" s="8" t="str">
        <f aca="false">IF(A910="","",IF(AND(Y910&lt;&gt;"参考",G910&gt;=ルール設定!$B$2),"○",""))</f>
        <v/>
      </c>
      <c r="R910" s="8" t="str">
        <f aca="false">IF(A910="","",IF(AND(Y910&lt;&gt;"参考",G910&gt;=ルール設定!$B$3,N910&gt;=ルール設定!$B$4),"○",""))</f>
        <v/>
      </c>
      <c r="S910" s="8" t="str">
        <f aca="false">IF(A910="","",IF(AND(Y910&lt;&gt;"参考",G910&gt;=ルール設定!$B$5,J910&gt;=ルール設定!$B$6,O910&gt;=ルール設定!$B$7),"○",""))</f>
        <v/>
      </c>
      <c r="T910" s="8" t="n">
        <v>4</v>
      </c>
      <c r="U910" s="8" t="n">
        <v>2</v>
      </c>
      <c r="V910" s="8" t="str">
        <f aca="false">IF(A910="","",IF(AND(ISNUMBER(T910),ISNUMBER(U910)),IF(AND(T910&lt;=3,U910&lt;=3),"○","×"),""))</f>
        <v>×</v>
      </c>
      <c r="W910" s="8"/>
      <c r="X910" s="8"/>
      <c r="Y910" s="4" t="s">
        <v>7597</v>
      </c>
      <c r="Z910" s="4" t="s">
        <v>8101</v>
      </c>
      <c r="AA910" s="8" t="str">
        <v/>
      </c>
      <c r="AB910" s="8" t="str">
        <v/>
      </c>
      <c r="AC910" s="8" t="str">
        <v/>
      </c>
      <c r="AD910" s="8" t="str">
        <v/>
      </c>
      <c r="AE910" s="8" t="str">
        <v/>
      </c>
      <c r="AF910" s="8" t="str">
        <v/>
      </c>
      <c r="AG910" s="8" t="str">
        <v/>
      </c>
      <c r="AH910" s="8" t="str">
        <v/>
      </c>
      <c r="AI910" s="8" t="n">
        <v>25</v>
      </c>
      <c r="AJ910" s="8" t="str">
        <v>～59</v>
      </c>
      <c r="AK910" s="8" t="str">
        <v>0～4</v>
      </c>
      <c r="AL910" s="8" t="str">
        <v>20～29</v>
      </c>
      <c r="AM910" s="8" t="str">
        <v>100～119</v>
      </c>
      <c r="AN910" s="8" t="str">
        <v>8～11</v>
      </c>
      <c r="AO910" s="8" t="str">
        <f aca="false">IF(A910="","",IF(COUNTIFS(全馬データ!$A$2:$A$50000,A910,全馬データ!$B$2:$B$50000,B910,全馬データ!$C$2:$C$50000,C910,全馬データ!$D$2:$D$50000,E910,全馬データ!$K$2:$K$50000,"&lt;&gt;")=0,"",SUMIFS(全馬データ!$K$2:$K$50000,全馬データ!$A$2:$A$50000,A910,全馬データ!$B$2:$B$50000,B910,全馬データ!$C$2:$C$50000,C910,全馬データ!$D$2:$D$50000,E910)))</f>
        <v/>
      </c>
      <c r="AP910" s="8" t="str">
        <f aca="false">IF(A910="","",IF(AO910="","欠損",IF(AO910&lt;=1.1,"1.0～1.1",IF(AO910&lt;1.3,"1.2",IF(AO910&lt;1.5,"1.3～1.4",IF(AO910&lt;2,"1.5～1.9","2.0以上"))))))</f>
        <v>欠損</v>
      </c>
      <c r="AQ910" s="8" t="str">
        <f aca="false">IF(A910="","",IF(ISNUMBER(SEARCH("2歳",Z910)),"2歳戦",IF(ISNUMBER(SEARCH("3歳未勝利",Z910)),"3歳未勝利",IF(ISNUMBER(SEARCH("未勝利",Z910)),"その他未勝利",IF(ISNUMBER(SEARCH("G1",Z910)),"G1",IF(ISNUMBER(SEARCH("G2",Z910)),"G2",IF(ISNUMBER(SEARCH("G3",Z910)),"G3",IF(ISNUMBER(SEARCH("古馬条件",Z910)),"古馬条件戦",IF(ISNUMBER(SEARCH("重賞",Z910)),"重賞","分類不能")))))))))</f>
        <v>分類不能</v>
      </c>
      <c r="AR910" s="4" t="s">
        <v>8104</v>
      </c>
      <c r="AS910" s="8" t="s">
        <v>7626</v>
      </c>
      <c r="AT910" s="8" t="s">
        <v>7627</v>
      </c>
      <c r="AU910" s="8" t="s">
        <v>7634</v>
      </c>
      <c r="AV910" s="8" t="s">
        <v>7635</v>
      </c>
      <c r="AW910" s="8" t="s">
        <v>7636</v>
      </c>
      <c r="AX910" s="4" t="s">
        <v>7637</v>
      </c>
      <c r="AY910" s="8" t="s">
        <v>7610</v>
      </c>
      <c r="AZ910" s="4" t="s">
        <v>7617</v>
      </c>
      <c r="BA910" s="8" t="n">
        <v>1700</v>
      </c>
      <c r="BB910" s="8" t="s">
        <v>7618</v>
      </c>
      <c r="BC910" s="4" t="s">
        <v>7619</v>
      </c>
      <c r="BD910" s="8" t="s">
        <v>7621</v>
      </c>
      <c r="BE910" s="4" t="s">
        <v>7622</v>
      </c>
      <c r="BF910" s="8" t="s">
        <v>7602</v>
      </c>
      <c r="BG910" s="8" t="s">
        <v>7631</v>
      </c>
      <c r="BH910" s="4" t="s">
        <v>7632</v>
      </c>
      <c r="BI910" s="8" t="n">
        <v>8</v>
      </c>
      <c r="BJ910" s="8" t="s">
        <v>7602</v>
      </c>
      <c r="BK910" s="4" t="s">
        <v>7653</v>
      </c>
      <c r="BL910" s="8" t="s">
        <v>7602</v>
      </c>
      <c r="BM910" s="4" t="s">
        <v>7620</v>
      </c>
      <c r="BN910" s="8"/>
      <c r="BO910" s="8"/>
      <c r="BP910" s="8" t="s">
        <v>7608</v>
      </c>
      <c r="BQ910" s="8" t="str">
        <f aca="false">IF(A910="","",AT910)</f>
        <v>3歳以上</v>
      </c>
      <c r="BR910" s="8" t="str">
        <f aca="false">IF(A910="","",IF(BA910&lt;=1200,"～1200",IF(BA910&lt;=1500,"1300～1500",IF(BA910=1600,"1600",IF(BA910&lt;=1800,"1700～1800",IF(BA910&lt;=2000,"1900～2000","2100以上"))))))</f>
        <v>1700～1800</v>
      </c>
      <c r="BS910" s="8" t="str">
        <f aca="false">IF(A910="","",IF(AX910="G1","G1",IF(AX910="G2","G2",IF(AX910="G3","G3",IF(AX910="L","L","その他")))))</f>
        <v>その他</v>
      </c>
      <c r="BT910" s="8" t="str">
        <f aca="false">IF(A910="","",IF(BI910="","未結合",IF(D910=BI910,"一致","不一致")))</f>
        <v>一致</v>
      </c>
      <c r="BU910" s="8" t="str">
        <f aca="false">IF(A910="","",IF(BE910="牝馬限定","牝馬限定","その他"))</f>
        <v>牝馬限定</v>
      </c>
    </row>
    <row r="911" customFormat="false" ht="15.75" hidden="false" customHeight="false" outlineLevel="0" collapsed="false">
      <c r="A911" s="6" t="n">
        <f aca="false">DATE(2026,8,1)</f>
        <v>46235</v>
      </c>
      <c r="B911" s="4" t="s">
        <v>13</v>
      </c>
      <c r="C911" s="8" t="n">
        <v>1</v>
      </c>
      <c r="D911" s="8" t="n">
        <v>11</v>
      </c>
      <c r="E911" s="8" t="n">
        <v>1</v>
      </c>
      <c r="F911" s="4" t="s">
        <v>1930</v>
      </c>
      <c r="G911" s="8" t="n">
        <v>60</v>
      </c>
      <c r="H911" s="8" t="n">
        <v>10</v>
      </c>
      <c r="I911" s="4" t="s">
        <v>3056</v>
      </c>
      <c r="J911" s="8" t="n">
        <v>60</v>
      </c>
      <c r="K911" s="8" t="n">
        <v>2</v>
      </c>
      <c r="L911" s="4" t="s">
        <v>1464</v>
      </c>
      <c r="M911" s="8" t="n">
        <v>31</v>
      </c>
      <c r="N911" s="8" t="n">
        <f aca="false">IF(A911="","",G911-J911)</f>
        <v>0</v>
      </c>
      <c r="O911" s="8" t="n">
        <f aca="false">IF(A911="","",J911-M911)</f>
        <v>29</v>
      </c>
      <c r="P911" s="8" t="n">
        <f aca="false">IF(A911="","",G911+J911)</f>
        <v>120</v>
      </c>
      <c r="Q911" s="8" t="str">
        <f aca="false">IF(A911="","",IF(AND(Y911&lt;&gt;"参考",G911&gt;=ルール設定!$B$2),"○",""))</f>
        <v/>
      </c>
      <c r="R911" s="8" t="str">
        <f aca="false">IF(A911="","",IF(AND(Y911&lt;&gt;"参考",G911&gt;=ルール設定!$B$3,N911&gt;=ルール設定!$B$4),"○",""))</f>
        <v/>
      </c>
      <c r="S911" s="8" t="str">
        <f aca="false">IF(A911="","",IF(AND(Y911&lt;&gt;"参考",G911&gt;=ルール設定!$B$5,J911&gt;=ルール設定!$B$6,O911&gt;=ルール設定!$B$7),"○",""))</f>
        <v>○</v>
      </c>
      <c r="T911" s="8" t="n">
        <v>4</v>
      </c>
      <c r="U911" s="8" t="n">
        <v>1</v>
      </c>
      <c r="V911" s="8" t="str">
        <f aca="false">IF(A911="","",IF(AND(ISNUMBER(T911),ISNUMBER(U911)),IF(AND(T911&lt;=3,U911&lt;=3),"○","×"),""))</f>
        <v>×</v>
      </c>
      <c r="W911" s="8"/>
      <c r="X911" s="8"/>
      <c r="Y911" s="4" t="s">
        <v>7597</v>
      </c>
      <c r="Z911" s="4" t="s">
        <v>8101</v>
      </c>
      <c r="AA911" s="8" t="str">
        <v/>
      </c>
      <c r="AB911" s="8" t="str">
        <v/>
      </c>
      <c r="AC911" s="8" t="str">
        <v/>
      </c>
      <c r="AD911" s="8" t="str">
        <v/>
      </c>
      <c r="AE911" s="8" t="str">
        <v/>
      </c>
      <c r="AF911" s="8" t="str">
        <v/>
      </c>
      <c r="AG911" s="8" t="str">
        <v/>
      </c>
      <c r="AH911" s="8" t="str">
        <v/>
      </c>
      <c r="AI911" s="8" t="n">
        <v>29</v>
      </c>
      <c r="AJ911" s="8" t="str">
        <v>60～69</v>
      </c>
      <c r="AK911" s="8" t="str">
        <v>0～4</v>
      </c>
      <c r="AL911" s="8" t="str">
        <v>20～29</v>
      </c>
      <c r="AM911" s="8" t="str">
        <v>120～139</v>
      </c>
      <c r="AN911" s="8" t="str">
        <v>8～11</v>
      </c>
      <c r="AO911" s="8" t="str">
        <f aca="false">IF(A911="","",IF(COUNTIFS(全馬データ!$A$2:$A$50000,A911,全馬データ!$B$2:$B$50000,B911,全馬データ!$C$2:$C$50000,C911,全馬データ!$D$2:$D$50000,E911,全馬データ!$K$2:$K$50000,"&lt;&gt;")=0,"",SUMIFS(全馬データ!$K$2:$K$50000,全馬データ!$A$2:$A$50000,A911,全馬データ!$B$2:$B$50000,B911,全馬データ!$C$2:$C$50000,C911,全馬データ!$D$2:$D$50000,E911)))</f>
        <v/>
      </c>
      <c r="AP911" s="8" t="str">
        <f aca="false">IF(A911="","",IF(AO911="","欠損",IF(AO911&lt;=1.1,"1.0～1.1",IF(AO911&lt;1.3,"1.2",IF(AO911&lt;1.5,"1.3～1.4",IF(AO911&lt;2,"1.5～1.9","2.0以上"))))))</f>
        <v>欠損</v>
      </c>
      <c r="AQ911" s="8" t="str">
        <f aca="false">IF(A911="","",IF(ISNUMBER(SEARCH("2歳",Z911)),"2歳戦",IF(ISNUMBER(SEARCH("3歳未勝利",Z911)),"3歳未勝利",IF(ISNUMBER(SEARCH("未勝利",Z911)),"その他未勝利",IF(ISNUMBER(SEARCH("G1",Z911)),"G1",IF(ISNUMBER(SEARCH("G2",Z911)),"G2",IF(ISNUMBER(SEARCH("G3",Z911)),"G3",IF(ISNUMBER(SEARCH("古馬条件",Z911)),"古馬条件戦",IF(ISNUMBER(SEARCH("重賞",Z911)),"重賞","分類不能")))))))))</f>
        <v>分類不能</v>
      </c>
      <c r="AR911" s="8"/>
      <c r="AS911" s="8" t="s">
        <v>7598</v>
      </c>
      <c r="AT911" s="8" t="s">
        <v>7599</v>
      </c>
      <c r="AU911" s="8" t="s">
        <v>7600</v>
      </c>
      <c r="AV911" s="4" t="s">
        <v>7601</v>
      </c>
      <c r="AW911" s="8"/>
      <c r="AX911" s="8"/>
      <c r="AY911" s="8" t="s">
        <v>7602</v>
      </c>
      <c r="AZ911" s="4" t="s">
        <v>7603</v>
      </c>
      <c r="BA911" s="8" t="n">
        <v>1000</v>
      </c>
      <c r="BB911" s="8" t="s">
        <v>7598</v>
      </c>
      <c r="BC911" s="4" t="s">
        <v>7604</v>
      </c>
      <c r="BD911" s="8" t="s">
        <v>7625</v>
      </c>
      <c r="BE911" s="4" t="s">
        <v>7606</v>
      </c>
      <c r="BF911" s="8" t="s">
        <v>7607</v>
      </c>
      <c r="BG911" s="8" t="s">
        <v>7608</v>
      </c>
      <c r="BH911" s="4" t="s">
        <v>7609</v>
      </c>
      <c r="BI911" s="8" t="n">
        <v>11</v>
      </c>
      <c r="BJ911" s="8" t="s">
        <v>7608</v>
      </c>
      <c r="BK911" s="4" t="s">
        <v>7649</v>
      </c>
      <c r="BL911" s="8" t="s">
        <v>7647</v>
      </c>
      <c r="BM911" s="4" t="s">
        <v>7648</v>
      </c>
      <c r="BN911" s="8" t="s">
        <v>7602</v>
      </c>
      <c r="BO911" s="8" t="s">
        <v>7613</v>
      </c>
      <c r="BP911" s="8" t="s">
        <v>7602</v>
      </c>
      <c r="BQ911" s="8" t="str">
        <f aca="false">IF(A911="","",AT911)</f>
        <v>2歳</v>
      </c>
      <c r="BR911" s="8" t="str">
        <f aca="false">IF(A911="","",IF(BA911&lt;=1200,"～1200",IF(BA911&lt;=1500,"1300～1500",IF(BA911=1600,"1600",IF(BA911&lt;=1800,"1700～1800",IF(BA911&lt;=2000,"1900～2000","2100以上"))))))</f>
        <v>～1200</v>
      </c>
      <c r="BS911" s="8" t="str">
        <f aca="false">IF(A911="","",IF(AX911="G1","G1",IF(AX911="G2","G2",IF(AX911="G3","G3",IF(AX911="L","L","その他")))))</f>
        <v>その他</v>
      </c>
      <c r="BT911" s="8" t="str">
        <f aca="false">IF(A911="","",IF(BI911="","未結合",IF(D911=BI911,"一致","不一致")))</f>
        <v>一致</v>
      </c>
      <c r="BU911" s="8" t="str">
        <f aca="false">IF(A911="","",IF(BE911="牝馬限定","牝馬限定","その他"))</f>
        <v>その他</v>
      </c>
    </row>
    <row r="912" customFormat="false" ht="15.75" hidden="false" customHeight="false" outlineLevel="0" collapsed="false">
      <c r="A912" s="6" t="n">
        <f aca="false">DATE(2026,8,1)</f>
        <v>46235</v>
      </c>
      <c r="B912" s="4" t="s">
        <v>13</v>
      </c>
      <c r="C912" s="8" t="n">
        <v>2</v>
      </c>
      <c r="D912" s="8" t="n">
        <v>8</v>
      </c>
      <c r="E912" s="8" t="n">
        <v>2</v>
      </c>
      <c r="F912" s="4" t="s">
        <v>3700</v>
      </c>
      <c r="G912" s="8" t="n">
        <v>37</v>
      </c>
      <c r="H912" s="8" t="n">
        <v>3</v>
      </c>
      <c r="I912" s="4" t="s">
        <v>3701</v>
      </c>
      <c r="J912" s="8" t="n">
        <v>37</v>
      </c>
      <c r="K912" s="8" t="n">
        <v>6</v>
      </c>
      <c r="L912" s="4" t="s">
        <v>3704</v>
      </c>
      <c r="M912" s="8" t="n">
        <v>24</v>
      </c>
      <c r="N912" s="8" t="n">
        <f aca="false">IF(A912="","",G912-J912)</f>
        <v>0</v>
      </c>
      <c r="O912" s="8" t="n">
        <f aca="false">IF(A912="","",J912-M912)</f>
        <v>13</v>
      </c>
      <c r="P912" s="8" t="n">
        <f aca="false">IF(A912="","",G912+J912)</f>
        <v>74</v>
      </c>
      <c r="Q912" s="8" t="str">
        <f aca="false">IF(A912="","",IF(AND(Y912&lt;&gt;"参考",G912&gt;=ルール設定!$B$2),"○",""))</f>
        <v/>
      </c>
      <c r="R912" s="8" t="str">
        <f aca="false">IF(A912="","",IF(AND(Y912&lt;&gt;"参考",G912&gt;=ルール設定!$B$3,N912&gt;=ルール設定!$B$4),"○",""))</f>
        <v/>
      </c>
      <c r="S912" s="8" t="str">
        <f aca="false">IF(A912="","",IF(AND(Y912&lt;&gt;"参考",G912&gt;=ルール設定!$B$5,J912&gt;=ルール設定!$B$6,O912&gt;=ルール設定!$B$7),"○",""))</f>
        <v/>
      </c>
      <c r="T912" s="8" t="n">
        <v>3</v>
      </c>
      <c r="U912" s="8" t="n">
        <v>1</v>
      </c>
      <c r="V912" s="8" t="str">
        <f aca="false">IF(A912="","",IF(AND(ISNUMBER(T912),ISNUMBER(U912)),IF(AND(T912&lt;=3,U912&lt;=3),"○","×"),""))</f>
        <v>○</v>
      </c>
      <c r="W912" s="8" t="n">
        <v>120</v>
      </c>
      <c r="X912" s="8"/>
      <c r="Y912" s="4" t="s">
        <v>7597</v>
      </c>
      <c r="Z912" s="4" t="s">
        <v>8101</v>
      </c>
      <c r="AA912" s="8" t="str">
        <v/>
      </c>
      <c r="AB912" s="8" t="str">
        <v/>
      </c>
      <c r="AC912" s="8" t="str">
        <v/>
      </c>
      <c r="AD912" s="8" t="str">
        <v/>
      </c>
      <c r="AE912" s="8" t="str">
        <v/>
      </c>
      <c r="AF912" s="8" t="str">
        <v/>
      </c>
      <c r="AG912" s="8" t="str">
        <v/>
      </c>
      <c r="AH912" s="8" t="str">
        <v/>
      </c>
      <c r="AI912" s="8" t="n">
        <v>13</v>
      </c>
      <c r="AJ912" s="8" t="str">
        <v>～59</v>
      </c>
      <c r="AK912" s="8" t="str">
        <v>0～4</v>
      </c>
      <c r="AL912" s="8" t="str">
        <v>10～19</v>
      </c>
      <c r="AM912" s="8" t="str">
        <v>～99</v>
      </c>
      <c r="AN912" s="8" t="str">
        <v>8～11</v>
      </c>
      <c r="AO912" s="8" t="str">
        <f aca="false">IF(A912="","",IF(COUNTIFS(全馬データ!$A$2:$A$50000,A912,全馬データ!$B$2:$B$50000,B912,全馬データ!$C$2:$C$50000,C912,全馬データ!$D$2:$D$50000,E912,全馬データ!$K$2:$K$50000,"&lt;&gt;")=0,"",SUMIFS(全馬データ!$K$2:$K$50000,全馬データ!$A$2:$A$50000,A912,全馬データ!$B$2:$B$50000,B912,全馬データ!$C$2:$C$50000,C912,全馬データ!$D$2:$D$50000,E912)))</f>
        <v/>
      </c>
      <c r="AP912" s="8" t="str">
        <f aca="false">IF(A912="","",IF(AO912="","欠損",IF(AO912&lt;=1.1,"1.0～1.1",IF(AO912&lt;1.3,"1.2",IF(AO912&lt;1.5,"1.3～1.4",IF(AO912&lt;2,"1.5～1.9","2.0以上"))))))</f>
        <v>欠損</v>
      </c>
      <c r="AQ912" s="8" t="str">
        <f aca="false">IF(A912="","",IF(ISNUMBER(SEARCH("2歳",Z912)),"2歳戦",IF(ISNUMBER(SEARCH("3歳未勝利",Z912)),"3歳未勝利",IF(ISNUMBER(SEARCH("未勝利",Z912)),"その他未勝利",IF(ISNUMBER(SEARCH("G1",Z912)),"G1",IF(ISNUMBER(SEARCH("G2",Z912)),"G2",IF(ISNUMBER(SEARCH("G3",Z912)),"G3",IF(ISNUMBER(SEARCH("古馬条件",Z912)),"古馬条件戦",IF(ISNUMBER(SEARCH("重賞",Z912)),"重賞","分類不能")))))))))</f>
        <v>分類不能</v>
      </c>
      <c r="AR912" s="8"/>
      <c r="AS912" s="8" t="s">
        <v>7598</v>
      </c>
      <c r="AT912" s="8" t="s">
        <v>7599</v>
      </c>
      <c r="AU912" s="8" t="s">
        <v>7615</v>
      </c>
      <c r="AV912" s="4" t="s">
        <v>7616</v>
      </c>
      <c r="AW912" s="8"/>
      <c r="AX912" s="8"/>
      <c r="AY912" s="8" t="s">
        <v>7602</v>
      </c>
      <c r="AZ912" s="4" t="s">
        <v>7603</v>
      </c>
      <c r="BA912" s="8" t="n">
        <v>1800</v>
      </c>
      <c r="BB912" s="8" t="s">
        <v>7598</v>
      </c>
      <c r="BC912" s="4" t="s">
        <v>7604</v>
      </c>
      <c r="BD912" s="8" t="s">
        <v>7605</v>
      </c>
      <c r="BE912" s="4" t="s">
        <v>7606</v>
      </c>
      <c r="BF912" s="8" t="s">
        <v>7607</v>
      </c>
      <c r="BG912" s="8" t="s">
        <v>7608</v>
      </c>
      <c r="BH912" s="4" t="s">
        <v>7609</v>
      </c>
      <c r="BI912" s="8" t="n">
        <v>8</v>
      </c>
      <c r="BJ912" s="8" t="s">
        <v>7610</v>
      </c>
      <c r="BK912" s="4" t="s">
        <v>7611</v>
      </c>
      <c r="BL912" s="8" t="s">
        <v>7610</v>
      </c>
      <c r="BM912" s="4" t="s">
        <v>7612</v>
      </c>
      <c r="BN912" s="8" t="s">
        <v>7602</v>
      </c>
      <c r="BO912" s="8" t="s">
        <v>7613</v>
      </c>
      <c r="BP912" s="8" t="s">
        <v>7602</v>
      </c>
      <c r="BQ912" s="8" t="str">
        <f aca="false">IF(A912="","",AT912)</f>
        <v>2歳</v>
      </c>
      <c r="BR912" s="8" t="str">
        <f aca="false">IF(A912="","",IF(BA912&lt;=1200,"～1200",IF(BA912&lt;=1500,"1300～1500",IF(BA912=1600,"1600",IF(BA912&lt;=1800,"1700～1800",IF(BA912&lt;=2000,"1900～2000","2100以上"))))))</f>
        <v>1700～1800</v>
      </c>
      <c r="BS912" s="8" t="str">
        <f aca="false">IF(A912="","",IF(AX912="G1","G1",IF(AX912="G2","G2",IF(AX912="G3","G3",IF(AX912="L","L","その他")))))</f>
        <v>その他</v>
      </c>
      <c r="BT912" s="8" t="str">
        <f aca="false">IF(A912="","",IF(BI912="","未結合",IF(D912=BI912,"一致","不一致")))</f>
        <v>一致</v>
      </c>
      <c r="BU912" s="8" t="str">
        <f aca="false">IF(A912="","",IF(BE912="牝馬限定","牝馬限定","その他"))</f>
        <v>その他</v>
      </c>
    </row>
    <row r="913" customFormat="false" ht="15.75" hidden="false" customHeight="false" outlineLevel="0" collapsed="false">
      <c r="A913" s="6" t="n">
        <f aca="false">DATE(2026,8,1)</f>
        <v>46235</v>
      </c>
      <c r="B913" s="4" t="s">
        <v>13</v>
      </c>
      <c r="C913" s="8" t="n">
        <v>3</v>
      </c>
      <c r="D913" s="8" t="n">
        <v>18</v>
      </c>
      <c r="E913" s="8" t="n">
        <v>18</v>
      </c>
      <c r="F913" s="4" t="s">
        <v>3724</v>
      </c>
      <c r="G913" s="8" t="n">
        <v>37</v>
      </c>
      <c r="H913" s="8" t="n">
        <v>6</v>
      </c>
      <c r="I913" s="4" t="s">
        <v>3712</v>
      </c>
      <c r="J913" s="8" t="n">
        <v>31</v>
      </c>
      <c r="K913" s="8" t="n">
        <v>12</v>
      </c>
      <c r="L913" s="4" t="s">
        <v>3718</v>
      </c>
      <c r="M913" s="8" t="n">
        <v>27</v>
      </c>
      <c r="N913" s="8" t="n">
        <f aca="false">IF(A913="","",G913-J913)</f>
        <v>6</v>
      </c>
      <c r="O913" s="8" t="n">
        <f aca="false">IF(A913="","",J913-M913)</f>
        <v>4</v>
      </c>
      <c r="P913" s="8" t="n">
        <f aca="false">IF(A913="","",G913+J913)</f>
        <v>68</v>
      </c>
      <c r="Q913" s="8" t="str">
        <f aca="false">IF(A913="","",IF(AND(Y913&lt;&gt;"参考",G913&gt;=ルール設定!$B$2),"○",""))</f>
        <v/>
      </c>
      <c r="R913" s="8" t="str">
        <f aca="false">IF(A913="","",IF(AND(Y913&lt;&gt;"参考",G913&gt;=ルール設定!$B$3,N913&gt;=ルール設定!$B$4),"○",""))</f>
        <v/>
      </c>
      <c r="S913" s="8" t="str">
        <f aca="false">IF(A913="","",IF(AND(Y913&lt;&gt;"参考",G913&gt;=ルール設定!$B$5,J913&gt;=ルール設定!$B$6,O913&gt;=ルール設定!$B$7),"○",""))</f>
        <v/>
      </c>
      <c r="T913" s="8" t="n">
        <v>4</v>
      </c>
      <c r="U913" s="8" t="n">
        <v>3</v>
      </c>
      <c r="V913" s="8" t="str">
        <f aca="false">IF(A913="","",IF(AND(ISNUMBER(T913),ISNUMBER(U913)),IF(AND(T913&lt;=3,U913&lt;=3),"○","×"),""))</f>
        <v>×</v>
      </c>
      <c r="W913" s="8"/>
      <c r="X913" s="8"/>
      <c r="Y913" s="4" t="s">
        <v>7597</v>
      </c>
      <c r="Z913" s="4" t="s">
        <v>8101</v>
      </c>
      <c r="AA913" s="8" t="str">
        <v/>
      </c>
      <c r="AB913" s="8" t="str">
        <v/>
      </c>
      <c r="AC913" s="8" t="str">
        <v/>
      </c>
      <c r="AD913" s="8" t="str">
        <v/>
      </c>
      <c r="AE913" s="8" t="str">
        <v/>
      </c>
      <c r="AF913" s="8" t="str">
        <v/>
      </c>
      <c r="AG913" s="8" t="str">
        <v/>
      </c>
      <c r="AH913" s="8" t="str">
        <v/>
      </c>
      <c r="AI913" s="8" t="n">
        <v>10</v>
      </c>
      <c r="AJ913" s="8" t="str">
        <v>～59</v>
      </c>
      <c r="AK913" s="8" t="str">
        <v>5～9</v>
      </c>
      <c r="AL913" s="8" t="str">
        <v>10～19</v>
      </c>
      <c r="AM913" s="8" t="str">
        <v>～99</v>
      </c>
      <c r="AN913" s="8" t="str">
        <v>15以上</v>
      </c>
      <c r="AO913" s="8" t="str">
        <f aca="false">IF(A913="","",IF(COUNTIFS(全馬データ!$A$2:$A$50000,A913,全馬データ!$B$2:$B$50000,B913,全馬データ!$C$2:$C$50000,C913,全馬データ!$D$2:$D$50000,E913,全馬データ!$K$2:$K$50000,"&lt;&gt;")=0,"",SUMIFS(全馬データ!$K$2:$K$50000,全馬データ!$A$2:$A$50000,A913,全馬データ!$B$2:$B$50000,B913,全馬データ!$C$2:$C$50000,C913,全馬データ!$D$2:$D$50000,E913)))</f>
        <v/>
      </c>
      <c r="AP913" s="8" t="str">
        <f aca="false">IF(A913="","",IF(AO913="","欠損",IF(AO913&lt;=1.1,"1.0～1.1",IF(AO913&lt;1.3,"1.2",IF(AO913&lt;1.5,"1.3～1.4",IF(AO913&lt;2,"1.5～1.9","2.0以上"))))))</f>
        <v>欠損</v>
      </c>
      <c r="AQ913" s="8" t="str">
        <f aca="false">IF(A913="","",IF(ISNUMBER(SEARCH("2歳",Z913)),"2歳戦",IF(ISNUMBER(SEARCH("3歳未勝利",Z913)),"3歳未勝利",IF(ISNUMBER(SEARCH("未勝利",Z913)),"その他未勝利",IF(ISNUMBER(SEARCH("G1",Z913)),"G1",IF(ISNUMBER(SEARCH("G2",Z913)),"G2",IF(ISNUMBER(SEARCH("G3",Z913)),"G3",IF(ISNUMBER(SEARCH("古馬条件",Z913)),"古馬条件戦",IF(ISNUMBER(SEARCH("重賞",Z913)),"重賞","分類不能")))))))))</f>
        <v>分類不能</v>
      </c>
      <c r="AR913" s="8"/>
      <c r="AS913" s="8" t="s">
        <v>7598</v>
      </c>
      <c r="AT913" s="8" t="s">
        <v>7599</v>
      </c>
      <c r="AU913" s="8" t="s">
        <v>7615</v>
      </c>
      <c r="AV913" s="4" t="s">
        <v>7616</v>
      </c>
      <c r="AW913" s="8"/>
      <c r="AX913" s="8"/>
      <c r="AY913" s="8" t="s">
        <v>7602</v>
      </c>
      <c r="AZ913" s="4" t="s">
        <v>7603</v>
      </c>
      <c r="BA913" s="8" t="n">
        <v>1400</v>
      </c>
      <c r="BB913" s="8" t="s">
        <v>7598</v>
      </c>
      <c r="BC913" s="4" t="s">
        <v>7604</v>
      </c>
      <c r="BD913" s="8" t="s">
        <v>7605</v>
      </c>
      <c r="BE913" s="4" t="s">
        <v>7606</v>
      </c>
      <c r="BF913" s="8" t="s">
        <v>7607</v>
      </c>
      <c r="BG913" s="8" t="s">
        <v>7608</v>
      </c>
      <c r="BH913" s="4" t="s">
        <v>7609</v>
      </c>
      <c r="BI913" s="8" t="n">
        <v>18</v>
      </c>
      <c r="BJ913" s="8" t="s">
        <v>7610</v>
      </c>
      <c r="BK913" s="4" t="s">
        <v>7611</v>
      </c>
      <c r="BL913" s="8" t="s">
        <v>7602</v>
      </c>
      <c r="BM913" s="4" t="s">
        <v>7620</v>
      </c>
      <c r="BN913" s="8" t="s">
        <v>7602</v>
      </c>
      <c r="BO913" s="8" t="s">
        <v>7613</v>
      </c>
      <c r="BP913" s="8" t="s">
        <v>7602</v>
      </c>
      <c r="BQ913" s="8" t="str">
        <f aca="false">IF(A913="","",AT913)</f>
        <v>2歳</v>
      </c>
      <c r="BR913" s="8" t="str">
        <f aca="false">IF(A913="","",IF(BA913&lt;=1200,"～1200",IF(BA913&lt;=1500,"1300～1500",IF(BA913=1600,"1600",IF(BA913&lt;=1800,"1700～1800",IF(BA913&lt;=2000,"1900～2000","2100以上"))))))</f>
        <v>1300～1500</v>
      </c>
      <c r="BS913" s="8" t="str">
        <f aca="false">IF(A913="","",IF(AX913="G1","G1",IF(AX913="G2","G2",IF(AX913="G3","G3",IF(AX913="L","L","その他")))))</f>
        <v>その他</v>
      </c>
      <c r="BT913" s="8" t="str">
        <f aca="false">IF(A913="","",IF(BI913="","未結合",IF(D913=BI913,"一致","不一致")))</f>
        <v>一致</v>
      </c>
      <c r="BU913" s="8" t="str">
        <f aca="false">IF(A913="","",IF(BE913="牝馬限定","牝馬限定","その他"))</f>
        <v>その他</v>
      </c>
    </row>
    <row r="914" customFormat="false" ht="15.75" hidden="false" customHeight="false" outlineLevel="0" collapsed="false">
      <c r="A914" s="6" t="n">
        <f aca="false">DATE(2026,8,1)</f>
        <v>46235</v>
      </c>
      <c r="B914" s="4" t="s">
        <v>13</v>
      </c>
      <c r="C914" s="8" t="n">
        <v>4</v>
      </c>
      <c r="D914" s="8" t="n">
        <v>15</v>
      </c>
      <c r="E914" s="8" t="n">
        <v>3</v>
      </c>
      <c r="F914" s="4" t="s">
        <v>1430</v>
      </c>
      <c r="G914" s="8" t="n">
        <v>67</v>
      </c>
      <c r="H914" s="8" t="n">
        <v>6</v>
      </c>
      <c r="I914" s="4" t="s">
        <v>1884</v>
      </c>
      <c r="J914" s="8" t="n">
        <v>60</v>
      </c>
      <c r="K914" s="8" t="n">
        <v>15</v>
      </c>
      <c r="L914" s="4" t="s">
        <v>3733</v>
      </c>
      <c r="M914" s="8" t="n">
        <v>50</v>
      </c>
      <c r="N914" s="8" t="n">
        <f aca="false">IF(A914="","",G914-J914)</f>
        <v>7</v>
      </c>
      <c r="O914" s="8" t="n">
        <f aca="false">IF(A914="","",J914-M914)</f>
        <v>10</v>
      </c>
      <c r="P914" s="8" t="n">
        <f aca="false">IF(A914="","",G914+J914)</f>
        <v>127</v>
      </c>
      <c r="Q914" s="8" t="str">
        <f aca="false">IF(A914="","",IF(AND(Y914&lt;&gt;"参考",G914&gt;=ルール設定!$B$2),"○",""))</f>
        <v/>
      </c>
      <c r="R914" s="8" t="str">
        <f aca="false">IF(A914="","",IF(AND(Y914&lt;&gt;"参考",G914&gt;=ルール設定!$B$3,N914&gt;=ルール設定!$B$4),"○",""))</f>
        <v/>
      </c>
      <c r="S914" s="8" t="str">
        <f aca="false">IF(A914="","",IF(AND(Y914&lt;&gt;"参考",G914&gt;=ルール設定!$B$5,J914&gt;=ルール設定!$B$6,O914&gt;=ルール設定!$B$7),"○",""))</f>
        <v/>
      </c>
      <c r="T914" s="8" t="n">
        <v>4</v>
      </c>
      <c r="U914" s="8" t="n">
        <v>1</v>
      </c>
      <c r="V914" s="8" t="str">
        <f aca="false">IF(A914="","",IF(AND(ISNUMBER(T914),ISNUMBER(U914)),IF(AND(T914&lt;=3,U914&lt;=3),"○","×"),""))</f>
        <v>×</v>
      </c>
      <c r="W914" s="8"/>
      <c r="X914" s="8"/>
      <c r="Y914" s="4" t="s">
        <v>7597</v>
      </c>
      <c r="Z914" s="4" t="s">
        <v>8101</v>
      </c>
      <c r="AA914" s="8" t="str">
        <v/>
      </c>
      <c r="AB914" s="8" t="str">
        <v/>
      </c>
      <c r="AC914" s="8" t="str">
        <v/>
      </c>
      <c r="AD914" s="8" t="str">
        <v/>
      </c>
      <c r="AE914" s="8" t="str">
        <v/>
      </c>
      <c r="AF914" s="8" t="str">
        <v/>
      </c>
      <c r="AG914" s="8" t="str">
        <v/>
      </c>
      <c r="AH914" s="8" t="str">
        <v/>
      </c>
      <c r="AI914" s="8" t="n">
        <v>17</v>
      </c>
      <c r="AJ914" s="8" t="str">
        <v>60～69</v>
      </c>
      <c r="AK914" s="8" t="str">
        <v>5～9</v>
      </c>
      <c r="AL914" s="8" t="str">
        <v>10～19</v>
      </c>
      <c r="AM914" s="8" t="str">
        <v>120～139</v>
      </c>
      <c r="AN914" s="8" t="str">
        <v>15以上</v>
      </c>
      <c r="AO914" s="8" t="str">
        <f aca="false">IF(A914="","",IF(COUNTIFS(全馬データ!$A$2:$A$50000,A914,全馬データ!$B$2:$B$50000,B914,全馬データ!$C$2:$C$50000,C914,全馬データ!$D$2:$D$50000,E914,全馬データ!$K$2:$K$50000,"&lt;&gt;")=0,"",SUMIFS(全馬データ!$K$2:$K$50000,全馬データ!$A$2:$A$50000,A914,全馬データ!$B$2:$B$50000,B914,全馬データ!$C$2:$C$50000,C914,全馬データ!$D$2:$D$50000,E914)))</f>
        <v/>
      </c>
      <c r="AP914" s="8" t="str">
        <f aca="false">IF(A914="","",IF(AO914="","欠損",IF(AO914&lt;=1.1,"1.0～1.1",IF(AO914&lt;1.3,"1.2",IF(AO914&lt;1.5,"1.3～1.4",IF(AO914&lt;2,"1.5～1.9","2.0以上"))))))</f>
        <v>欠損</v>
      </c>
      <c r="AQ914" s="8" t="str">
        <f aca="false">IF(A914="","",IF(ISNUMBER(SEARCH("2歳",Z914)),"2歳戦",IF(ISNUMBER(SEARCH("3歳未勝利",Z914)),"3歳未勝利",IF(ISNUMBER(SEARCH("未勝利",Z914)),"その他未勝利",IF(ISNUMBER(SEARCH("G1",Z914)),"G1",IF(ISNUMBER(SEARCH("G2",Z914)),"G2",IF(ISNUMBER(SEARCH("G3",Z914)),"G3",IF(ISNUMBER(SEARCH("古馬条件",Z914)),"古馬条件戦",IF(ISNUMBER(SEARCH("重賞",Z914)),"重賞","分類不能")))))))))</f>
        <v>分類不能</v>
      </c>
      <c r="AR914" s="8"/>
      <c r="AS914" s="8" t="s">
        <v>7623</v>
      </c>
      <c r="AT914" s="8" t="s">
        <v>7624</v>
      </c>
      <c r="AU914" s="8" t="s">
        <v>7600</v>
      </c>
      <c r="AV914" s="4" t="s">
        <v>7601</v>
      </c>
      <c r="AW914" s="8"/>
      <c r="AX914" s="8"/>
      <c r="AY914" s="8" t="s">
        <v>7610</v>
      </c>
      <c r="AZ914" s="4" t="s">
        <v>7617</v>
      </c>
      <c r="BA914" s="8" t="n">
        <v>1800</v>
      </c>
      <c r="BB914" s="8" t="s">
        <v>7618</v>
      </c>
      <c r="BC914" s="4" t="s">
        <v>7619</v>
      </c>
      <c r="BD914" s="8" t="s">
        <v>7621</v>
      </c>
      <c r="BE914" s="4" t="s">
        <v>7622</v>
      </c>
      <c r="BF914" s="8" t="s">
        <v>7602</v>
      </c>
      <c r="BG914" s="8" t="s">
        <v>7608</v>
      </c>
      <c r="BH914" s="4" t="s">
        <v>7609</v>
      </c>
      <c r="BI914" s="8" t="n">
        <v>15</v>
      </c>
      <c r="BJ914" s="8" t="s">
        <v>7610</v>
      </c>
      <c r="BK914" s="4" t="s">
        <v>7611</v>
      </c>
      <c r="BL914" s="8" t="s">
        <v>7602</v>
      </c>
      <c r="BM914" s="4" t="s">
        <v>7620</v>
      </c>
      <c r="BN914" s="8"/>
      <c r="BO914" s="8"/>
      <c r="BP914" s="8" t="s">
        <v>7602</v>
      </c>
      <c r="BQ914" s="8" t="str">
        <f aca="false">IF(A914="","",AT914)</f>
        <v>3歳</v>
      </c>
      <c r="BR914" s="8" t="str">
        <f aca="false">IF(A914="","",IF(BA914&lt;=1200,"～1200",IF(BA914&lt;=1500,"1300～1500",IF(BA914=1600,"1600",IF(BA914&lt;=1800,"1700～1800",IF(BA914&lt;=2000,"1900～2000","2100以上"))))))</f>
        <v>1700～1800</v>
      </c>
      <c r="BS914" s="8" t="str">
        <f aca="false">IF(A914="","",IF(AX914="G1","G1",IF(AX914="G2","G2",IF(AX914="G3","G3",IF(AX914="L","L","その他")))))</f>
        <v>その他</v>
      </c>
      <c r="BT914" s="8" t="str">
        <f aca="false">IF(A914="","",IF(BI914="","未結合",IF(D914=BI914,"一致","不一致")))</f>
        <v>一致</v>
      </c>
      <c r="BU914" s="8" t="str">
        <f aca="false">IF(A914="","",IF(BE914="牝馬限定","牝馬限定","その他"))</f>
        <v>牝馬限定</v>
      </c>
    </row>
    <row r="915" customFormat="false" ht="15.75" hidden="false" customHeight="false" outlineLevel="0" collapsed="false">
      <c r="A915" s="6" t="n">
        <f aca="false">DATE(2026,8,1)</f>
        <v>46235</v>
      </c>
      <c r="B915" s="4" t="s">
        <v>13</v>
      </c>
      <c r="C915" s="8" t="n">
        <v>5</v>
      </c>
      <c r="D915" s="8" t="n">
        <v>15</v>
      </c>
      <c r="E915" s="8" t="n">
        <v>6</v>
      </c>
      <c r="F915" s="4" t="s">
        <v>3039</v>
      </c>
      <c r="G915" s="8" t="n">
        <v>56</v>
      </c>
      <c r="H915" s="8" t="n">
        <v>2</v>
      </c>
      <c r="I915" s="4" t="s">
        <v>3735</v>
      </c>
      <c r="J915" s="8" t="n">
        <v>50</v>
      </c>
      <c r="K915" s="8" t="n">
        <v>12</v>
      </c>
      <c r="L915" s="4" t="s">
        <v>3743</v>
      </c>
      <c r="M915" s="8" t="n">
        <v>50</v>
      </c>
      <c r="N915" s="8" t="n">
        <f aca="false">IF(A915="","",G915-J915)</f>
        <v>6</v>
      </c>
      <c r="O915" s="8" t="n">
        <f aca="false">IF(A915="","",J915-M915)</f>
        <v>0</v>
      </c>
      <c r="P915" s="8" t="n">
        <f aca="false">IF(A915="","",G915+J915)</f>
        <v>106</v>
      </c>
      <c r="Q915" s="8" t="str">
        <f aca="false">IF(A915="","",IF(AND(Y915&lt;&gt;"参考",G915&gt;=ルール設定!$B$2),"○",""))</f>
        <v/>
      </c>
      <c r="R915" s="8" t="str">
        <f aca="false">IF(A915="","",IF(AND(Y915&lt;&gt;"参考",G915&gt;=ルール設定!$B$3,N915&gt;=ルール設定!$B$4),"○",""))</f>
        <v/>
      </c>
      <c r="S915" s="8" t="str">
        <f aca="false">IF(A915="","",IF(AND(Y915&lt;&gt;"参考",G915&gt;=ルール設定!$B$5,J915&gt;=ルール設定!$B$6,O915&gt;=ルール設定!$B$7),"○",""))</f>
        <v/>
      </c>
      <c r="T915" s="8" t="n">
        <v>1</v>
      </c>
      <c r="U915" s="8" t="n">
        <v>3</v>
      </c>
      <c r="V915" s="8" t="str">
        <f aca="false">IF(A915="","",IF(AND(ISNUMBER(T915),ISNUMBER(U915)),IF(AND(T915&lt;=3,U915&lt;=3),"○","×"),""))</f>
        <v>○</v>
      </c>
      <c r="W915" s="8" t="n">
        <v>210</v>
      </c>
      <c r="X915" s="8"/>
      <c r="Y915" s="4" t="s">
        <v>7597</v>
      </c>
      <c r="Z915" s="4" t="s">
        <v>8101</v>
      </c>
      <c r="AA915" s="8" t="str">
        <v/>
      </c>
      <c r="AB915" s="8" t="str">
        <v/>
      </c>
      <c r="AC915" s="8" t="str">
        <v/>
      </c>
      <c r="AD915" s="8" t="str">
        <v/>
      </c>
      <c r="AE915" s="8" t="str">
        <v/>
      </c>
      <c r="AF915" s="8" t="str">
        <v/>
      </c>
      <c r="AG915" s="8" t="str">
        <v/>
      </c>
      <c r="AH915" s="8" t="str">
        <v/>
      </c>
      <c r="AI915" s="8" t="n">
        <v>6</v>
      </c>
      <c r="AJ915" s="8" t="str">
        <v>～59</v>
      </c>
      <c r="AK915" s="8" t="str">
        <v>5～9</v>
      </c>
      <c r="AL915" s="8" t="str">
        <v>0～9</v>
      </c>
      <c r="AM915" s="8" t="str">
        <v>100～119</v>
      </c>
      <c r="AN915" s="8" t="str">
        <v>15以上</v>
      </c>
      <c r="AO915" s="8" t="str">
        <f aca="false">IF(A915="","",IF(COUNTIFS(全馬データ!$A$2:$A$50000,A915,全馬データ!$B$2:$B$50000,B915,全馬データ!$C$2:$C$50000,C915,全馬データ!$D$2:$D$50000,E915,全馬データ!$K$2:$K$50000,"&lt;&gt;")=0,"",SUMIFS(全馬データ!$K$2:$K$50000,全馬データ!$A$2:$A$50000,A915,全馬データ!$B$2:$B$50000,B915,全馬データ!$C$2:$C$50000,C915,全馬データ!$D$2:$D$50000,E915)))</f>
        <v/>
      </c>
      <c r="AP915" s="8" t="str">
        <f aca="false">IF(A915="","",IF(AO915="","欠損",IF(AO915&lt;=1.1,"1.0～1.1",IF(AO915&lt;1.3,"1.2",IF(AO915&lt;1.5,"1.3～1.4",IF(AO915&lt;2,"1.5～1.9","2.0以上"))))))</f>
        <v>欠損</v>
      </c>
      <c r="AQ915" s="8" t="str">
        <f aca="false">IF(A915="","",IF(ISNUMBER(SEARCH("2歳",Z915)),"2歳戦",IF(ISNUMBER(SEARCH("3歳未勝利",Z915)),"3歳未勝利",IF(ISNUMBER(SEARCH("未勝利",Z915)),"その他未勝利",IF(ISNUMBER(SEARCH("G1",Z915)),"G1",IF(ISNUMBER(SEARCH("G2",Z915)),"G2",IF(ISNUMBER(SEARCH("G3",Z915)),"G3",IF(ISNUMBER(SEARCH("古馬条件",Z915)),"古馬条件戦",IF(ISNUMBER(SEARCH("重賞",Z915)),"重賞","分類不能")))))))))</f>
        <v>分類不能</v>
      </c>
      <c r="AR915" s="8"/>
      <c r="AS915" s="8" t="s">
        <v>7623</v>
      </c>
      <c r="AT915" s="8" t="s">
        <v>7624</v>
      </c>
      <c r="AU915" s="8" t="s">
        <v>7600</v>
      </c>
      <c r="AV915" s="4" t="s">
        <v>7601</v>
      </c>
      <c r="AW915" s="8"/>
      <c r="AX915" s="8"/>
      <c r="AY915" s="8" t="s">
        <v>7610</v>
      </c>
      <c r="AZ915" s="4" t="s">
        <v>7617</v>
      </c>
      <c r="BA915" s="8" t="n">
        <v>1200</v>
      </c>
      <c r="BB915" s="8" t="s">
        <v>7618</v>
      </c>
      <c r="BC915" s="4" t="s">
        <v>7619</v>
      </c>
      <c r="BD915" s="8" t="s">
        <v>7625</v>
      </c>
      <c r="BE915" s="4" t="s">
        <v>7606</v>
      </c>
      <c r="BF915" s="8" t="s">
        <v>7607</v>
      </c>
      <c r="BG915" s="8" t="s">
        <v>7608</v>
      </c>
      <c r="BH915" s="4" t="s">
        <v>7609</v>
      </c>
      <c r="BI915" s="8" t="n">
        <v>15</v>
      </c>
      <c r="BJ915" s="8" t="s">
        <v>7610</v>
      </c>
      <c r="BK915" s="4" t="s">
        <v>7611</v>
      </c>
      <c r="BL915" s="8" t="s">
        <v>7602</v>
      </c>
      <c r="BM915" s="4" t="s">
        <v>7620</v>
      </c>
      <c r="BN915" s="8"/>
      <c r="BO915" s="8"/>
      <c r="BP915" s="8" t="s">
        <v>7602</v>
      </c>
      <c r="BQ915" s="8" t="str">
        <f aca="false">IF(A915="","",AT915)</f>
        <v>3歳</v>
      </c>
      <c r="BR915" s="8" t="str">
        <f aca="false">IF(A915="","",IF(BA915&lt;=1200,"～1200",IF(BA915&lt;=1500,"1300～1500",IF(BA915=1600,"1600",IF(BA915&lt;=1800,"1700～1800",IF(BA915&lt;=2000,"1900～2000","2100以上"))))))</f>
        <v>～1200</v>
      </c>
      <c r="BS915" s="8" t="str">
        <f aca="false">IF(A915="","",IF(AX915="G1","G1",IF(AX915="G2","G2",IF(AX915="G3","G3",IF(AX915="L","L","その他")))))</f>
        <v>その他</v>
      </c>
      <c r="BT915" s="8" t="str">
        <f aca="false">IF(A915="","",IF(BI915="","未結合",IF(D915=BI915,"一致","不一致")))</f>
        <v>一致</v>
      </c>
      <c r="BU915" s="8" t="str">
        <f aca="false">IF(A915="","",IF(BE915="牝馬限定","牝馬限定","その他"))</f>
        <v>その他</v>
      </c>
    </row>
    <row r="916" customFormat="false" ht="15.75" hidden="false" customHeight="false" outlineLevel="0" collapsed="false">
      <c r="A916" s="6" t="n">
        <f aca="false">DATE(2026,8,1)</f>
        <v>46235</v>
      </c>
      <c r="B916" s="4" t="s">
        <v>13</v>
      </c>
      <c r="C916" s="8" t="n">
        <v>6</v>
      </c>
      <c r="D916" s="8" t="n">
        <v>12</v>
      </c>
      <c r="E916" s="8" t="n">
        <v>10</v>
      </c>
      <c r="F916" s="4" t="s">
        <v>3753</v>
      </c>
      <c r="G916" s="8" t="n">
        <v>62</v>
      </c>
      <c r="H916" s="8" t="n">
        <v>3</v>
      </c>
      <c r="I916" s="4" t="s">
        <v>3747</v>
      </c>
      <c r="J916" s="8" t="n">
        <v>44</v>
      </c>
      <c r="K916" s="8" t="n">
        <v>6</v>
      </c>
      <c r="L916" s="4" t="s">
        <v>3750</v>
      </c>
      <c r="M916" s="8" t="n">
        <v>37</v>
      </c>
      <c r="N916" s="8" t="n">
        <f aca="false">IF(A916="","",G916-J916)</f>
        <v>18</v>
      </c>
      <c r="O916" s="8" t="n">
        <f aca="false">IF(A916="","",J916-M916)</f>
        <v>7</v>
      </c>
      <c r="P916" s="8" t="n">
        <f aca="false">IF(A916="","",G916+J916)</f>
        <v>106</v>
      </c>
      <c r="Q916" s="8" t="str">
        <f aca="false">IF(A916="","",IF(AND(Y916&lt;&gt;"参考",G916&gt;=ルール設定!$B$2),"○",""))</f>
        <v/>
      </c>
      <c r="R916" s="8" t="str">
        <f aca="false">IF(A916="","",IF(AND(Y916&lt;&gt;"参考",G916&gt;=ルール設定!$B$3,N916&gt;=ルール設定!$B$4),"○",""))</f>
        <v/>
      </c>
      <c r="S916" s="8" t="str">
        <f aca="false">IF(A916="","",IF(AND(Y916&lt;&gt;"参考",G916&gt;=ルール設定!$B$5,J916&gt;=ルール設定!$B$6,O916&gt;=ルール設定!$B$7),"○",""))</f>
        <v/>
      </c>
      <c r="T916" s="8" t="n">
        <v>2</v>
      </c>
      <c r="U916" s="8" t="n">
        <v>4</v>
      </c>
      <c r="V916" s="8" t="str">
        <f aca="false">IF(A916="","",IF(AND(ISNUMBER(T916),ISNUMBER(U916)),IF(AND(T916&lt;=3,U916&lt;=3),"○","×"),""))</f>
        <v>×</v>
      </c>
      <c r="W916" s="8" t="n">
        <v>120</v>
      </c>
      <c r="X916" s="8"/>
      <c r="Y916" s="4" t="s">
        <v>7597</v>
      </c>
      <c r="Z916" s="4" t="s">
        <v>8101</v>
      </c>
      <c r="AA916" s="8" t="str">
        <v/>
      </c>
      <c r="AB916" s="8" t="str">
        <v/>
      </c>
      <c r="AC916" s="8" t="str">
        <v/>
      </c>
      <c r="AD916" s="8" t="str">
        <v/>
      </c>
      <c r="AE916" s="8" t="str">
        <v/>
      </c>
      <c r="AF916" s="8" t="str">
        <v/>
      </c>
      <c r="AG916" s="8" t="str">
        <v/>
      </c>
      <c r="AH916" s="8" t="str">
        <v/>
      </c>
      <c r="AI916" s="8" t="n">
        <v>25</v>
      </c>
      <c r="AJ916" s="8" t="str">
        <v>60～69</v>
      </c>
      <c r="AK916" s="8" t="str">
        <v>10～19</v>
      </c>
      <c r="AL916" s="8" t="str">
        <v>20～29</v>
      </c>
      <c r="AM916" s="8" t="str">
        <v>100～119</v>
      </c>
      <c r="AN916" s="8" t="str">
        <v>12～14</v>
      </c>
      <c r="AO916" s="8" t="str">
        <f aca="false">IF(A916="","",IF(COUNTIFS(全馬データ!$A$2:$A$50000,A916,全馬データ!$B$2:$B$50000,B916,全馬データ!$C$2:$C$50000,C916,全馬データ!$D$2:$D$50000,E916,全馬データ!$K$2:$K$50000,"&lt;&gt;")=0,"",SUMIFS(全馬データ!$K$2:$K$50000,全馬データ!$A$2:$A$50000,A916,全馬データ!$B$2:$B$50000,B916,全馬データ!$C$2:$C$50000,C916,全馬データ!$D$2:$D$50000,E916)))</f>
        <v/>
      </c>
      <c r="AP916" s="8" t="str">
        <f aca="false">IF(A916="","",IF(AO916="","欠損",IF(AO916&lt;=1.1,"1.0～1.1",IF(AO916&lt;1.3,"1.2",IF(AO916&lt;1.5,"1.3～1.4",IF(AO916&lt;2,"1.5～1.9","2.0以上"))))))</f>
        <v>欠損</v>
      </c>
      <c r="AQ916" s="8" t="str">
        <f aca="false">IF(A916="","",IF(ISNUMBER(SEARCH("2歳",Z916)),"2歳戦",IF(ISNUMBER(SEARCH("3歳未勝利",Z916)),"3歳未勝利",IF(ISNUMBER(SEARCH("未勝利",Z916)),"その他未勝利",IF(ISNUMBER(SEARCH("G1",Z916)),"G1",IF(ISNUMBER(SEARCH("G2",Z916)),"G2",IF(ISNUMBER(SEARCH("G3",Z916)),"G3",IF(ISNUMBER(SEARCH("古馬条件",Z916)),"古馬条件戦",IF(ISNUMBER(SEARCH("重賞",Z916)),"重賞","分類不能")))))))))</f>
        <v>分類不能</v>
      </c>
      <c r="AR916" s="4" t="s">
        <v>8105</v>
      </c>
      <c r="AS916" s="8" t="s">
        <v>7626</v>
      </c>
      <c r="AT916" s="8" t="s">
        <v>7627</v>
      </c>
      <c r="AU916" s="8" t="s">
        <v>7634</v>
      </c>
      <c r="AV916" s="8" t="s">
        <v>7635</v>
      </c>
      <c r="AW916" s="8" t="s">
        <v>7636</v>
      </c>
      <c r="AX916" s="4" t="s">
        <v>7637</v>
      </c>
      <c r="AY916" s="8" t="s">
        <v>7602</v>
      </c>
      <c r="AZ916" s="4" t="s">
        <v>7603</v>
      </c>
      <c r="BA916" s="8" t="n">
        <v>1800</v>
      </c>
      <c r="BB916" s="8" t="s">
        <v>7598</v>
      </c>
      <c r="BC916" s="4" t="s">
        <v>7604</v>
      </c>
      <c r="BD916" s="8" t="s">
        <v>7605</v>
      </c>
      <c r="BE916" s="4" t="s">
        <v>7606</v>
      </c>
      <c r="BF916" s="8" t="s">
        <v>7607</v>
      </c>
      <c r="BG916" s="8" t="s">
        <v>7631</v>
      </c>
      <c r="BH916" s="4" t="s">
        <v>7632</v>
      </c>
      <c r="BI916" s="8" t="n">
        <v>12</v>
      </c>
      <c r="BJ916" s="8" t="s">
        <v>7610</v>
      </c>
      <c r="BK916" s="4" t="s">
        <v>7611</v>
      </c>
      <c r="BL916" s="8" t="s">
        <v>7610</v>
      </c>
      <c r="BM916" s="4" t="s">
        <v>7612</v>
      </c>
      <c r="BN916" s="8" t="s">
        <v>7602</v>
      </c>
      <c r="BO916" s="8" t="s">
        <v>7613</v>
      </c>
      <c r="BP916" s="8" t="s">
        <v>7602</v>
      </c>
      <c r="BQ916" s="8" t="str">
        <f aca="false">IF(A916="","",AT916)</f>
        <v>3歳以上</v>
      </c>
      <c r="BR916" s="8" t="str">
        <f aca="false">IF(A916="","",IF(BA916&lt;=1200,"～1200",IF(BA916&lt;=1500,"1300～1500",IF(BA916=1600,"1600",IF(BA916&lt;=1800,"1700～1800",IF(BA916&lt;=2000,"1900～2000","2100以上"))))))</f>
        <v>1700～1800</v>
      </c>
      <c r="BS916" s="8" t="str">
        <f aca="false">IF(A916="","",IF(AX916="G1","G1",IF(AX916="G2","G2",IF(AX916="G3","G3",IF(AX916="L","L","その他")))))</f>
        <v>その他</v>
      </c>
      <c r="BT916" s="8" t="str">
        <f aca="false">IF(A916="","",IF(BI916="","未結合",IF(D916=BI916,"一致","不一致")))</f>
        <v>一致</v>
      </c>
      <c r="BU916" s="8" t="str">
        <f aca="false">IF(A916="","",IF(BE916="牝馬限定","牝馬限定","その他"))</f>
        <v>その他</v>
      </c>
    </row>
    <row r="917" customFormat="false" ht="15.75" hidden="false" customHeight="false" outlineLevel="0" collapsed="false">
      <c r="A917" s="6" t="n">
        <f aca="false">DATE(2026,8,1)</f>
        <v>46235</v>
      </c>
      <c r="B917" s="4" t="s">
        <v>13</v>
      </c>
      <c r="C917" s="8" t="n">
        <v>7</v>
      </c>
      <c r="D917" s="8" t="n">
        <v>15</v>
      </c>
      <c r="E917" s="8" t="n">
        <v>6</v>
      </c>
      <c r="F917" s="4" t="s">
        <v>3761</v>
      </c>
      <c r="G917" s="8" t="n">
        <v>52</v>
      </c>
      <c r="H917" s="8" t="n">
        <v>11</v>
      </c>
      <c r="I917" s="4" t="s">
        <v>3764</v>
      </c>
      <c r="J917" s="8" t="n">
        <v>39</v>
      </c>
      <c r="K917" s="8" t="n">
        <v>14</v>
      </c>
      <c r="L917" s="4" t="s">
        <v>3767</v>
      </c>
      <c r="M917" s="8" t="n">
        <v>37</v>
      </c>
      <c r="N917" s="8" t="n">
        <f aca="false">IF(A917="","",G917-J917)</f>
        <v>13</v>
      </c>
      <c r="O917" s="8" t="n">
        <f aca="false">IF(A917="","",J917-M917)</f>
        <v>2</v>
      </c>
      <c r="P917" s="8" t="n">
        <f aca="false">IF(A917="","",G917+J917)</f>
        <v>91</v>
      </c>
      <c r="Q917" s="8" t="str">
        <f aca="false">IF(A917="","",IF(AND(Y917&lt;&gt;"参考",G917&gt;=ルール設定!$B$2),"○",""))</f>
        <v/>
      </c>
      <c r="R917" s="8" t="str">
        <f aca="false">IF(A917="","",IF(AND(Y917&lt;&gt;"参考",G917&gt;=ルール設定!$B$3,N917&gt;=ルール設定!$B$4),"○",""))</f>
        <v/>
      </c>
      <c r="S917" s="8" t="str">
        <f aca="false">IF(A917="","",IF(AND(Y917&lt;&gt;"参考",G917&gt;=ルール設定!$B$5,J917&gt;=ルール設定!$B$6,O917&gt;=ルール設定!$B$7),"○",""))</f>
        <v/>
      </c>
      <c r="T917" s="8" t="n">
        <v>4</v>
      </c>
      <c r="U917" s="8" t="n">
        <v>1</v>
      </c>
      <c r="V917" s="8" t="str">
        <f aca="false">IF(A917="","",IF(AND(ISNUMBER(T917),ISNUMBER(U917)),IF(AND(T917&lt;=3,U917&lt;=3),"○","×"),""))</f>
        <v>×</v>
      </c>
      <c r="W917" s="8"/>
      <c r="X917" s="8"/>
      <c r="Y917" s="4" t="s">
        <v>7597</v>
      </c>
      <c r="Z917" s="4" t="s">
        <v>8101</v>
      </c>
      <c r="AA917" s="8" t="str">
        <v/>
      </c>
      <c r="AB917" s="8" t="str">
        <v/>
      </c>
      <c r="AC917" s="8" t="str">
        <v/>
      </c>
      <c r="AD917" s="8" t="str">
        <v/>
      </c>
      <c r="AE917" s="8" t="str">
        <v/>
      </c>
      <c r="AF917" s="8" t="str">
        <v/>
      </c>
      <c r="AG917" s="8" t="str">
        <v/>
      </c>
      <c r="AH917" s="8" t="str">
        <v/>
      </c>
      <c r="AI917" s="8" t="n">
        <v>15</v>
      </c>
      <c r="AJ917" s="8" t="str">
        <v>～59</v>
      </c>
      <c r="AK917" s="8" t="str">
        <v>10～19</v>
      </c>
      <c r="AL917" s="8" t="str">
        <v>10～19</v>
      </c>
      <c r="AM917" s="8" t="str">
        <v>～99</v>
      </c>
      <c r="AN917" s="8" t="str">
        <v>15以上</v>
      </c>
      <c r="AO917" s="8" t="str">
        <f aca="false">IF(A917="","",IF(COUNTIFS(全馬データ!$A$2:$A$50000,A917,全馬データ!$B$2:$B$50000,B917,全馬データ!$C$2:$C$50000,C917,全馬データ!$D$2:$D$50000,E917,全馬データ!$K$2:$K$50000,"&lt;&gt;")=0,"",SUMIFS(全馬データ!$K$2:$K$50000,全馬データ!$A$2:$A$50000,A917,全馬データ!$B$2:$B$50000,B917,全馬データ!$C$2:$C$50000,C917,全馬データ!$D$2:$D$50000,E917)))</f>
        <v/>
      </c>
      <c r="AP917" s="8" t="str">
        <f aca="false">IF(A917="","",IF(AO917="","欠損",IF(AO917&lt;=1.1,"1.0～1.1",IF(AO917&lt;1.3,"1.2",IF(AO917&lt;1.5,"1.3～1.4",IF(AO917&lt;2,"1.5～1.9","2.0以上"))))))</f>
        <v>欠損</v>
      </c>
      <c r="AQ917" s="8" t="str">
        <f aca="false">IF(A917="","",IF(ISNUMBER(SEARCH("2歳",Z917)),"2歳戦",IF(ISNUMBER(SEARCH("3歳未勝利",Z917)),"3歳未勝利",IF(ISNUMBER(SEARCH("未勝利",Z917)),"その他未勝利",IF(ISNUMBER(SEARCH("G1",Z917)),"G1",IF(ISNUMBER(SEARCH("G2",Z917)),"G2",IF(ISNUMBER(SEARCH("G3",Z917)),"G3",IF(ISNUMBER(SEARCH("古馬条件",Z917)),"古馬条件戦",IF(ISNUMBER(SEARCH("重賞",Z917)),"重賞","分類不能")))))))))</f>
        <v>分類不能</v>
      </c>
      <c r="AR917" s="4" t="s">
        <v>8106</v>
      </c>
      <c r="AS917" s="8" t="s">
        <v>7626</v>
      </c>
      <c r="AT917" s="8" t="s">
        <v>7627</v>
      </c>
      <c r="AU917" s="8" t="s">
        <v>7639</v>
      </c>
      <c r="AV917" s="8" t="s">
        <v>7640</v>
      </c>
      <c r="AW917" s="8" t="s">
        <v>7636</v>
      </c>
      <c r="AX917" s="4" t="s">
        <v>7637</v>
      </c>
      <c r="AY917" s="8" t="s">
        <v>7610</v>
      </c>
      <c r="AZ917" s="4" t="s">
        <v>7617</v>
      </c>
      <c r="BA917" s="8" t="n">
        <v>1800</v>
      </c>
      <c r="BB917" s="8" t="s">
        <v>7618</v>
      </c>
      <c r="BC917" s="4" t="s">
        <v>7619</v>
      </c>
      <c r="BD917" s="8" t="s">
        <v>7605</v>
      </c>
      <c r="BE917" s="4" t="s">
        <v>7606</v>
      </c>
      <c r="BF917" s="8" t="s">
        <v>7607</v>
      </c>
      <c r="BG917" s="8" t="s">
        <v>7602</v>
      </c>
      <c r="BH917" s="4" t="s">
        <v>7667</v>
      </c>
      <c r="BI917" s="8" t="n">
        <v>15</v>
      </c>
      <c r="BJ917" s="8" t="s">
        <v>7610</v>
      </c>
      <c r="BK917" s="4" t="s">
        <v>7611</v>
      </c>
      <c r="BL917" s="8" t="s">
        <v>7602</v>
      </c>
      <c r="BM917" s="4" t="s">
        <v>7620</v>
      </c>
      <c r="BN917" s="8"/>
      <c r="BO917" s="8"/>
      <c r="BP917" s="8" t="s">
        <v>7602</v>
      </c>
      <c r="BQ917" s="8" t="str">
        <f aca="false">IF(A917="","",AT917)</f>
        <v>3歳以上</v>
      </c>
      <c r="BR917" s="8" t="str">
        <f aca="false">IF(A917="","",IF(BA917&lt;=1200,"～1200",IF(BA917&lt;=1500,"1300～1500",IF(BA917=1600,"1600",IF(BA917&lt;=1800,"1700～1800",IF(BA917&lt;=2000,"1900～2000","2100以上"))))))</f>
        <v>1700～1800</v>
      </c>
      <c r="BS917" s="8" t="str">
        <f aca="false">IF(A917="","",IF(AX917="G1","G1",IF(AX917="G2","G2",IF(AX917="G3","G3",IF(AX917="L","L","その他")))))</f>
        <v>その他</v>
      </c>
      <c r="BT917" s="8" t="str">
        <f aca="false">IF(A917="","",IF(BI917="","未結合",IF(D917=BI917,"一致","不一致")))</f>
        <v>一致</v>
      </c>
      <c r="BU917" s="8" t="str">
        <f aca="false">IF(A917="","",IF(BE917="牝馬限定","牝馬限定","その他"))</f>
        <v>その他</v>
      </c>
    </row>
    <row r="918" customFormat="false" ht="15.75" hidden="false" customHeight="false" outlineLevel="0" collapsed="false">
      <c r="A918" s="6" t="n">
        <f aca="false">DATE(2026,8,1)</f>
        <v>46235</v>
      </c>
      <c r="B918" s="4" t="s">
        <v>13</v>
      </c>
      <c r="C918" s="8" t="n">
        <v>8</v>
      </c>
      <c r="D918" s="8" t="n">
        <v>13</v>
      </c>
      <c r="E918" s="8" t="n">
        <v>11</v>
      </c>
      <c r="F918" s="4" t="s">
        <v>3773</v>
      </c>
      <c r="G918" s="8" t="n">
        <v>75</v>
      </c>
      <c r="H918" s="8" t="n">
        <v>10</v>
      </c>
      <c r="I918" s="4" t="s">
        <v>1483</v>
      </c>
      <c r="J918" s="8" t="n">
        <v>41</v>
      </c>
      <c r="K918" s="8" t="n">
        <v>7</v>
      </c>
      <c r="L918" s="4" t="s">
        <v>3772</v>
      </c>
      <c r="M918" s="8" t="n">
        <v>37</v>
      </c>
      <c r="N918" s="8" t="n">
        <f aca="false">IF(A918="","",G918-J918)</f>
        <v>34</v>
      </c>
      <c r="O918" s="8" t="n">
        <f aca="false">IF(A918="","",J918-M918)</f>
        <v>4</v>
      </c>
      <c r="P918" s="8" t="n">
        <f aca="false">IF(A918="","",G918+J918)</f>
        <v>116</v>
      </c>
      <c r="Q918" s="8" t="str">
        <f aca="false">IF(A918="","",IF(AND(Y918&lt;&gt;"参考",G918&gt;=ルール設定!$B$2),"○",""))</f>
        <v/>
      </c>
      <c r="R918" s="8" t="str">
        <f aca="false">IF(A918="","",IF(AND(Y918&lt;&gt;"参考",G918&gt;=ルール設定!$B$3,N918&gt;=ルール設定!$B$4),"○",""))</f>
        <v>○</v>
      </c>
      <c r="S918" s="8" t="str">
        <f aca="false">IF(A918="","",IF(AND(Y918&lt;&gt;"参考",G918&gt;=ルール設定!$B$5,J918&gt;=ルール設定!$B$6,O918&gt;=ルール設定!$B$7),"○",""))</f>
        <v/>
      </c>
      <c r="T918" s="8" t="n">
        <v>3</v>
      </c>
      <c r="U918" s="8" t="n">
        <v>1</v>
      </c>
      <c r="V918" s="8" t="str">
        <f aca="false">IF(A918="","",IF(AND(ISNUMBER(T918),ISNUMBER(U918)),IF(AND(T918&lt;=3,U918&lt;=3),"○","×"),""))</f>
        <v>○</v>
      </c>
      <c r="W918" s="8" t="n">
        <v>110</v>
      </c>
      <c r="X918" s="8"/>
      <c r="Y918" s="4" t="s">
        <v>7597</v>
      </c>
      <c r="Z918" s="4" t="s">
        <v>8101</v>
      </c>
      <c r="AA918" s="8" t="str">
        <v/>
      </c>
      <c r="AB918" s="8" t="str">
        <v/>
      </c>
      <c r="AC918" s="8" t="str">
        <v/>
      </c>
      <c r="AD918" s="8" t="str">
        <v/>
      </c>
      <c r="AE918" s="8" t="str">
        <v>○</v>
      </c>
      <c r="AF918" s="8" t="str">
        <v/>
      </c>
      <c r="AG918" s="8" t="str">
        <v/>
      </c>
      <c r="AH918" s="8" t="str">
        <v/>
      </c>
      <c r="AI918" s="8" t="n">
        <v>38</v>
      </c>
      <c r="AJ918" s="8" t="str">
        <v>75～79</v>
      </c>
      <c r="AK918" s="8" t="str">
        <v>30以上</v>
      </c>
      <c r="AL918" s="8" t="str">
        <v>30～39</v>
      </c>
      <c r="AM918" s="8" t="str">
        <v>100～119</v>
      </c>
      <c r="AN918" s="8" t="str">
        <v>12～14</v>
      </c>
      <c r="AO918" s="8" t="str">
        <f aca="false">IF(A918="","",IF(COUNTIFS(全馬データ!$A$2:$A$50000,A918,全馬データ!$B$2:$B$50000,B918,全馬データ!$C$2:$C$50000,C918,全馬データ!$D$2:$D$50000,E918,全馬データ!$K$2:$K$50000,"&lt;&gt;")=0,"",SUMIFS(全馬データ!$K$2:$K$50000,全馬データ!$A$2:$A$50000,A918,全馬データ!$B$2:$B$50000,B918,全馬データ!$C$2:$C$50000,C918,全馬データ!$D$2:$D$50000,E918)))</f>
        <v/>
      </c>
      <c r="AP918" s="8" t="str">
        <f aca="false">IF(A918="","",IF(AO918="","欠損",IF(AO918&lt;=1.1,"1.0～1.1",IF(AO918&lt;1.3,"1.2",IF(AO918&lt;1.5,"1.3～1.4",IF(AO918&lt;2,"1.5～1.9","2.0以上"))))))</f>
        <v>欠損</v>
      </c>
      <c r="AQ918" s="8" t="str">
        <f aca="false">IF(A918="","",IF(ISNUMBER(SEARCH("2歳",Z918)),"2歳戦",IF(ISNUMBER(SEARCH("3歳未勝利",Z918)),"3歳未勝利",IF(ISNUMBER(SEARCH("未勝利",Z918)),"その他未勝利",IF(ISNUMBER(SEARCH("G1",Z918)),"G1",IF(ISNUMBER(SEARCH("G2",Z918)),"G2",IF(ISNUMBER(SEARCH("G3",Z918)),"G3",IF(ISNUMBER(SEARCH("古馬条件",Z918)),"古馬条件戦",IF(ISNUMBER(SEARCH("重賞",Z918)),"重賞","分類不能")))))))))</f>
        <v>分類不能</v>
      </c>
      <c r="AR918" s="4" t="s">
        <v>8107</v>
      </c>
      <c r="AS918" s="8" t="s">
        <v>7626</v>
      </c>
      <c r="AT918" s="8" t="s">
        <v>7627</v>
      </c>
      <c r="AU918" s="8" t="s">
        <v>7628</v>
      </c>
      <c r="AV918" s="8" t="s">
        <v>7629</v>
      </c>
      <c r="AW918" s="8" t="s">
        <v>7636</v>
      </c>
      <c r="AX918" s="4" t="s">
        <v>7637</v>
      </c>
      <c r="AY918" s="8" t="s">
        <v>7602</v>
      </c>
      <c r="AZ918" s="4" t="s">
        <v>7603</v>
      </c>
      <c r="BA918" s="8" t="n">
        <v>2200</v>
      </c>
      <c r="BB918" s="8" t="s">
        <v>7598</v>
      </c>
      <c r="BC918" s="4" t="s">
        <v>7604</v>
      </c>
      <c r="BD918" s="8" t="s">
        <v>7630</v>
      </c>
      <c r="BE918" s="4" t="s">
        <v>7606</v>
      </c>
      <c r="BF918" s="8" t="s">
        <v>7607</v>
      </c>
      <c r="BG918" s="8" t="s">
        <v>7631</v>
      </c>
      <c r="BH918" s="4" t="s">
        <v>7632</v>
      </c>
      <c r="BI918" s="8" t="n">
        <v>13</v>
      </c>
      <c r="BJ918" s="8" t="s">
        <v>7610</v>
      </c>
      <c r="BK918" s="4" t="s">
        <v>7611</v>
      </c>
      <c r="BL918" s="8" t="s">
        <v>7602</v>
      </c>
      <c r="BM918" s="4" t="s">
        <v>7620</v>
      </c>
      <c r="BN918" s="8" t="s">
        <v>7602</v>
      </c>
      <c r="BO918" s="8" t="s">
        <v>7613</v>
      </c>
      <c r="BP918" s="8" t="s">
        <v>7602</v>
      </c>
      <c r="BQ918" s="8" t="str">
        <f aca="false">IF(A918="","",AT918)</f>
        <v>3歳以上</v>
      </c>
      <c r="BR918" s="8" t="str">
        <f aca="false">IF(A918="","",IF(BA918&lt;=1200,"～1200",IF(BA918&lt;=1500,"1300～1500",IF(BA918=1600,"1600",IF(BA918&lt;=1800,"1700～1800",IF(BA918&lt;=2000,"1900～2000","2100以上"))))))</f>
        <v>2100以上</v>
      </c>
      <c r="BS918" s="8" t="str">
        <f aca="false">IF(A918="","",IF(AX918="G1","G1",IF(AX918="G2","G2",IF(AX918="G3","G3",IF(AX918="L","L","その他")))))</f>
        <v>その他</v>
      </c>
      <c r="BT918" s="8" t="str">
        <f aca="false">IF(A918="","",IF(BI918="","未結合",IF(D918=BI918,"一致","不一致")))</f>
        <v>一致</v>
      </c>
      <c r="BU918" s="8" t="str">
        <f aca="false">IF(A918="","",IF(BE918="牝馬限定","牝馬限定","その他"))</f>
        <v>その他</v>
      </c>
    </row>
    <row r="919" customFormat="false" ht="15.75" hidden="false" customHeight="false" outlineLevel="0" collapsed="false">
      <c r="A919" s="6" t="n">
        <f aca="false">DATE(2026,8,1)</f>
        <v>46235</v>
      </c>
      <c r="B919" s="4" t="s">
        <v>13</v>
      </c>
      <c r="C919" s="8" t="n">
        <v>9</v>
      </c>
      <c r="D919" s="8" t="n">
        <v>15</v>
      </c>
      <c r="E919" s="8" t="n">
        <v>10</v>
      </c>
      <c r="F919" s="4" t="s">
        <v>3784</v>
      </c>
      <c r="G919" s="8" t="n">
        <v>71</v>
      </c>
      <c r="H919" s="8" t="n">
        <v>3</v>
      </c>
      <c r="I919" s="4" t="s">
        <v>3777</v>
      </c>
      <c r="J919" s="8" t="n">
        <v>50</v>
      </c>
      <c r="K919" s="8" t="n">
        <v>1</v>
      </c>
      <c r="L919" s="4" t="s">
        <v>3775</v>
      </c>
      <c r="M919" s="8" t="n">
        <v>41</v>
      </c>
      <c r="N919" s="8" t="n">
        <f aca="false">IF(A919="","",G919-J919)</f>
        <v>21</v>
      </c>
      <c r="O919" s="8" t="n">
        <f aca="false">IF(A919="","",J919-M919)</f>
        <v>9</v>
      </c>
      <c r="P919" s="8" t="n">
        <f aca="false">IF(A919="","",G919+J919)</f>
        <v>121</v>
      </c>
      <c r="Q919" s="8" t="str">
        <f aca="false">IF(A919="","",IF(AND(Y919&lt;&gt;"参考",G919&gt;=ルール設定!$B$2),"○",""))</f>
        <v/>
      </c>
      <c r="R919" s="8" t="str">
        <f aca="false">IF(A919="","",IF(AND(Y919&lt;&gt;"参考",G919&gt;=ルール設定!$B$3,N919&gt;=ルール設定!$B$4),"○",""))</f>
        <v/>
      </c>
      <c r="S919" s="8" t="str">
        <f aca="false">IF(A919="","",IF(AND(Y919&lt;&gt;"参考",G919&gt;=ルール設定!$B$5,J919&gt;=ルール設定!$B$6,O919&gt;=ルール設定!$B$7),"○",""))</f>
        <v/>
      </c>
      <c r="T919" s="8" t="n">
        <v>4</v>
      </c>
      <c r="U919" s="8" t="n">
        <v>3</v>
      </c>
      <c r="V919" s="8" t="str">
        <f aca="false">IF(A919="","",IF(AND(ISNUMBER(T919),ISNUMBER(U919)),IF(AND(T919&lt;=3,U919&lt;=3),"○","×"),""))</f>
        <v>×</v>
      </c>
      <c r="W919" s="8"/>
      <c r="X919" s="8"/>
      <c r="Y919" s="4" t="s">
        <v>7597</v>
      </c>
      <c r="Z919" s="4" t="s">
        <v>8101</v>
      </c>
      <c r="AA919" s="8" t="str">
        <v/>
      </c>
      <c r="AB919" s="8" t="str">
        <v/>
      </c>
      <c r="AC919" s="8" t="str">
        <v/>
      </c>
      <c r="AD919" s="8" t="str">
        <v/>
      </c>
      <c r="AE919" s="8" t="str">
        <v/>
      </c>
      <c r="AF919" s="8" t="str">
        <v/>
      </c>
      <c r="AG919" s="8" t="str">
        <v/>
      </c>
      <c r="AH919" s="8" t="str">
        <v/>
      </c>
      <c r="AI919" s="8" t="n">
        <v>30</v>
      </c>
      <c r="AJ919" s="8" t="str">
        <v>70～74</v>
      </c>
      <c r="AK919" s="8" t="str">
        <v>20～29</v>
      </c>
      <c r="AL919" s="8" t="str">
        <v>30～39</v>
      </c>
      <c r="AM919" s="8" t="str">
        <v>120～139</v>
      </c>
      <c r="AN919" s="8" t="str">
        <v>15以上</v>
      </c>
      <c r="AO919" s="8" t="str">
        <f aca="false">IF(A919="","",IF(COUNTIFS(全馬データ!$A$2:$A$50000,A919,全馬データ!$B$2:$B$50000,B919,全馬データ!$C$2:$C$50000,C919,全馬データ!$D$2:$D$50000,E919,全馬データ!$K$2:$K$50000,"&lt;&gt;")=0,"",SUMIFS(全馬データ!$K$2:$K$50000,全馬データ!$A$2:$A$50000,A919,全馬データ!$B$2:$B$50000,B919,全馬データ!$C$2:$C$50000,C919,全馬データ!$D$2:$D$50000,E919)))</f>
        <v/>
      </c>
      <c r="AP919" s="8" t="str">
        <f aca="false">IF(A919="","",IF(AO919="","欠損",IF(AO919&lt;=1.1,"1.0～1.1",IF(AO919&lt;1.3,"1.2",IF(AO919&lt;1.5,"1.3～1.4",IF(AO919&lt;2,"1.5～1.9","2.0以上"))))))</f>
        <v>欠損</v>
      </c>
      <c r="AQ919" s="8" t="str">
        <f aca="false">IF(A919="","",IF(ISNUMBER(SEARCH("2歳",Z919)),"2歳戦",IF(ISNUMBER(SEARCH("3歳未勝利",Z919)),"3歳未勝利",IF(ISNUMBER(SEARCH("未勝利",Z919)),"その他未勝利",IF(ISNUMBER(SEARCH("G1",Z919)),"G1",IF(ISNUMBER(SEARCH("G2",Z919)),"G2",IF(ISNUMBER(SEARCH("G3",Z919)),"G3",IF(ISNUMBER(SEARCH("古馬条件",Z919)),"古馬条件戦",IF(ISNUMBER(SEARCH("重賞",Z919)),"重賞","分類不能")))))))))</f>
        <v>分類不能</v>
      </c>
      <c r="AR919" s="8"/>
      <c r="AS919" s="8" t="s">
        <v>7626</v>
      </c>
      <c r="AT919" s="8" t="s">
        <v>7627</v>
      </c>
      <c r="AU919" s="8" t="s">
        <v>7628</v>
      </c>
      <c r="AV919" s="8" t="s">
        <v>7629</v>
      </c>
      <c r="AW919" s="8"/>
      <c r="AX919" s="8"/>
      <c r="AY919" s="8" t="s">
        <v>7610</v>
      </c>
      <c r="AZ919" s="4" t="s">
        <v>7617</v>
      </c>
      <c r="BA919" s="8" t="n">
        <v>1200</v>
      </c>
      <c r="BB919" s="8" t="s">
        <v>7618</v>
      </c>
      <c r="BC919" s="4" t="s">
        <v>7619</v>
      </c>
      <c r="BD919" s="8" t="s">
        <v>7605</v>
      </c>
      <c r="BE919" s="4" t="s">
        <v>7606</v>
      </c>
      <c r="BF919" s="8" t="s">
        <v>7607</v>
      </c>
      <c r="BG919" s="8" t="s">
        <v>7631</v>
      </c>
      <c r="BH919" s="4" t="s">
        <v>7632</v>
      </c>
      <c r="BI919" s="8" t="n">
        <v>15</v>
      </c>
      <c r="BJ919" s="8" t="s">
        <v>7610</v>
      </c>
      <c r="BK919" s="4" t="s">
        <v>7611</v>
      </c>
      <c r="BL919" s="8" t="s">
        <v>7602</v>
      </c>
      <c r="BM919" s="4" t="s">
        <v>7620</v>
      </c>
      <c r="BN919" s="8"/>
      <c r="BO919" s="8"/>
      <c r="BP919" s="8" t="s">
        <v>7602</v>
      </c>
      <c r="BQ919" s="8" t="str">
        <f aca="false">IF(A919="","",AT919)</f>
        <v>3歳以上</v>
      </c>
      <c r="BR919" s="8" t="str">
        <f aca="false">IF(A919="","",IF(BA919&lt;=1200,"～1200",IF(BA919&lt;=1500,"1300～1500",IF(BA919=1600,"1600",IF(BA919&lt;=1800,"1700～1800",IF(BA919&lt;=2000,"1900～2000","2100以上"))))))</f>
        <v>～1200</v>
      </c>
      <c r="BS919" s="8" t="str">
        <f aca="false">IF(A919="","",IF(AX919="G1","G1",IF(AX919="G2","G2",IF(AX919="G3","G3",IF(AX919="L","L","その他")))))</f>
        <v>その他</v>
      </c>
      <c r="BT919" s="8" t="str">
        <f aca="false">IF(A919="","",IF(BI919="","未結合",IF(D919=BI919,"一致","不一致")))</f>
        <v>一致</v>
      </c>
      <c r="BU919" s="8" t="str">
        <f aca="false">IF(A919="","",IF(BE919="牝馬限定","牝馬限定","その他"))</f>
        <v>その他</v>
      </c>
    </row>
    <row r="920" customFormat="false" ht="15.75" hidden="false" customHeight="false" outlineLevel="0" collapsed="false">
      <c r="A920" s="6" t="n">
        <f aca="false">DATE(2026,8,1)</f>
        <v>46235</v>
      </c>
      <c r="B920" s="4" t="s">
        <v>13</v>
      </c>
      <c r="C920" s="8" t="n">
        <v>10</v>
      </c>
      <c r="D920" s="8" t="n">
        <v>15</v>
      </c>
      <c r="E920" s="8" t="n">
        <v>13</v>
      </c>
      <c r="F920" s="4" t="s">
        <v>1911</v>
      </c>
      <c r="G920" s="8" t="n">
        <v>81</v>
      </c>
      <c r="H920" s="8" t="n">
        <v>5</v>
      </c>
      <c r="I920" s="4" t="s">
        <v>1908</v>
      </c>
      <c r="J920" s="8" t="n">
        <v>62</v>
      </c>
      <c r="K920" s="8" t="n">
        <v>1</v>
      </c>
      <c r="L920" s="4" t="s">
        <v>3789</v>
      </c>
      <c r="M920" s="8" t="n">
        <v>20</v>
      </c>
      <c r="N920" s="8" t="n">
        <f aca="false">IF(A920="","",G920-J920)</f>
        <v>19</v>
      </c>
      <c r="O920" s="8" t="n">
        <f aca="false">IF(A920="","",J920-M920)</f>
        <v>42</v>
      </c>
      <c r="P920" s="8" t="n">
        <f aca="false">IF(A920="","",G920+J920)</f>
        <v>143</v>
      </c>
      <c r="Q920" s="8" t="str">
        <f aca="false">IF(A920="","",IF(AND(Y920&lt;&gt;"参考",G920&gt;=ルール設定!$B$2),"○",""))</f>
        <v>○</v>
      </c>
      <c r="R920" s="8" t="str">
        <f aca="false">IF(A920="","",IF(AND(Y920&lt;&gt;"参考",G920&gt;=ルール設定!$B$3,N920&gt;=ルール設定!$B$4),"○",""))</f>
        <v/>
      </c>
      <c r="S920" s="8" t="str">
        <f aca="false">IF(A920="","",IF(AND(Y920&lt;&gt;"参考",G920&gt;=ルール設定!$B$5,J920&gt;=ルール設定!$B$6,O920&gt;=ルール設定!$B$7),"○",""))</f>
        <v>○</v>
      </c>
      <c r="T920" s="8" t="n">
        <v>3</v>
      </c>
      <c r="U920" s="8" t="n">
        <v>4</v>
      </c>
      <c r="V920" s="8" t="str">
        <f aca="false">IF(A920="","",IF(AND(ISNUMBER(T920),ISNUMBER(U920)),IF(AND(T920&lt;=3,U920&lt;=3),"○","×"),""))</f>
        <v>×</v>
      </c>
      <c r="W920" s="8" t="n">
        <v>110</v>
      </c>
      <c r="X920" s="8"/>
      <c r="Y920" s="4" t="s">
        <v>7597</v>
      </c>
      <c r="Z920" s="4" t="s">
        <v>8101</v>
      </c>
      <c r="AA920" s="8" t="str">
        <v/>
      </c>
      <c r="AB920" s="8" t="str">
        <v>○</v>
      </c>
      <c r="AC920" s="8" t="str">
        <v>○</v>
      </c>
      <c r="AD920" s="8" t="str">
        <v/>
      </c>
      <c r="AE920" s="8" t="str">
        <v/>
      </c>
      <c r="AF920" s="8" t="str">
        <v>○</v>
      </c>
      <c r="AG920" s="8" t="str">
        <v>○</v>
      </c>
      <c r="AH920" s="8" t="str">
        <v/>
      </c>
      <c r="AI920" s="8" t="n">
        <v>61</v>
      </c>
      <c r="AJ920" s="8" t="str">
        <v>80～84</v>
      </c>
      <c r="AK920" s="8" t="str">
        <v>10～19</v>
      </c>
      <c r="AL920" s="8" t="str">
        <v>40以上</v>
      </c>
      <c r="AM920" s="8" t="str">
        <v>140～159</v>
      </c>
      <c r="AN920" s="8" t="str">
        <v>15以上</v>
      </c>
      <c r="AO920" s="8" t="str">
        <f aca="false">IF(A920="","",IF(COUNTIFS(全馬データ!$A$2:$A$50000,A920,全馬データ!$B$2:$B$50000,B920,全馬データ!$C$2:$C$50000,C920,全馬データ!$D$2:$D$50000,E920,全馬データ!$K$2:$K$50000,"&lt;&gt;")=0,"",SUMIFS(全馬データ!$K$2:$K$50000,全馬データ!$A$2:$A$50000,A920,全馬データ!$B$2:$B$50000,B920,全馬データ!$C$2:$C$50000,C920,全馬データ!$D$2:$D$50000,E920)))</f>
        <v/>
      </c>
      <c r="AP920" s="8" t="str">
        <f aca="false">IF(A920="","",IF(AO920="","欠損",IF(AO920&lt;=1.1,"1.0～1.1",IF(AO920&lt;1.3,"1.2",IF(AO920&lt;1.5,"1.3～1.4",IF(AO920&lt;2,"1.5～1.9","2.0以上"))))))</f>
        <v>欠損</v>
      </c>
      <c r="AQ920" s="8" t="str">
        <f aca="false">IF(A920="","",IF(ISNUMBER(SEARCH("2歳",Z920)),"2歳戦",IF(ISNUMBER(SEARCH("3歳未勝利",Z920)),"3歳未勝利",IF(ISNUMBER(SEARCH("未勝利",Z920)),"その他未勝利",IF(ISNUMBER(SEARCH("G1",Z920)),"G1",IF(ISNUMBER(SEARCH("G2",Z920)),"G2",IF(ISNUMBER(SEARCH("G3",Z920)),"G3",IF(ISNUMBER(SEARCH("古馬条件",Z920)),"古馬条件戦",IF(ISNUMBER(SEARCH("重賞",Z920)),"重賞","分類不能")))))))))</f>
        <v>分類不能</v>
      </c>
      <c r="AR920" s="8"/>
      <c r="AS920" s="8" t="s">
        <v>7623</v>
      </c>
      <c r="AT920" s="8" t="s">
        <v>7624</v>
      </c>
      <c r="AU920" s="8" t="s">
        <v>7600</v>
      </c>
      <c r="AV920" s="4" t="s">
        <v>7601</v>
      </c>
      <c r="AW920" s="8"/>
      <c r="AX920" s="8"/>
      <c r="AY920" s="8" t="s">
        <v>7610</v>
      </c>
      <c r="AZ920" s="4" t="s">
        <v>7617</v>
      </c>
      <c r="BA920" s="8" t="n">
        <v>1800</v>
      </c>
      <c r="BB920" s="8" t="s">
        <v>7618</v>
      </c>
      <c r="BC920" s="4" t="s">
        <v>7619</v>
      </c>
      <c r="BD920" s="8" t="s">
        <v>7605</v>
      </c>
      <c r="BE920" s="4" t="s">
        <v>7606</v>
      </c>
      <c r="BF920" s="8" t="s">
        <v>7607</v>
      </c>
      <c r="BG920" s="8" t="s">
        <v>7608</v>
      </c>
      <c r="BH920" s="4" t="s">
        <v>7609</v>
      </c>
      <c r="BI920" s="8" t="n">
        <v>15</v>
      </c>
      <c r="BJ920" s="8" t="s">
        <v>7610</v>
      </c>
      <c r="BK920" s="4" t="s">
        <v>7611</v>
      </c>
      <c r="BL920" s="8" t="s">
        <v>7602</v>
      </c>
      <c r="BM920" s="4" t="s">
        <v>7620</v>
      </c>
      <c r="BN920" s="8"/>
      <c r="BO920" s="8"/>
      <c r="BP920" s="8" t="s">
        <v>7602</v>
      </c>
      <c r="BQ920" s="8" t="str">
        <f aca="false">IF(A920="","",AT920)</f>
        <v>3歳</v>
      </c>
      <c r="BR920" s="8" t="str">
        <f aca="false">IF(A920="","",IF(BA920&lt;=1200,"～1200",IF(BA920&lt;=1500,"1300～1500",IF(BA920=1600,"1600",IF(BA920&lt;=1800,"1700～1800",IF(BA920&lt;=2000,"1900～2000","2100以上"))))))</f>
        <v>1700～1800</v>
      </c>
      <c r="BS920" s="8" t="str">
        <f aca="false">IF(A920="","",IF(AX920="G1","G1",IF(AX920="G2","G2",IF(AX920="G3","G3",IF(AX920="L","L","その他")))))</f>
        <v>その他</v>
      </c>
      <c r="BT920" s="8" t="str">
        <f aca="false">IF(A920="","",IF(BI920="","未結合",IF(D920=BI920,"一致","不一致")))</f>
        <v>一致</v>
      </c>
      <c r="BU920" s="8" t="str">
        <f aca="false">IF(A920="","",IF(BE920="牝馬限定","牝馬限定","その他"))</f>
        <v>その他</v>
      </c>
    </row>
    <row r="921" customFormat="false" ht="15.75" hidden="false" customHeight="false" outlineLevel="0" collapsed="false">
      <c r="A921" s="6" t="n">
        <f aca="false">DATE(2026,8,1)</f>
        <v>46235</v>
      </c>
      <c r="B921" s="4" t="s">
        <v>13</v>
      </c>
      <c r="C921" s="8" t="n">
        <v>11</v>
      </c>
      <c r="D921" s="8" t="n">
        <v>18</v>
      </c>
      <c r="E921" s="8" t="n">
        <v>11</v>
      </c>
      <c r="F921" s="4" t="s">
        <v>1406</v>
      </c>
      <c r="G921" s="8" t="n">
        <v>52</v>
      </c>
      <c r="H921" s="8" t="n">
        <v>5</v>
      </c>
      <c r="I921" s="4" t="s">
        <v>2313</v>
      </c>
      <c r="J921" s="8" t="n">
        <v>41</v>
      </c>
      <c r="K921" s="8" t="n">
        <v>1</v>
      </c>
      <c r="L921" s="4" t="s">
        <v>3798</v>
      </c>
      <c r="M921" s="8" t="n">
        <v>31</v>
      </c>
      <c r="N921" s="8" t="n">
        <f aca="false">IF(A921="","",G921-J921)</f>
        <v>11</v>
      </c>
      <c r="O921" s="8" t="n">
        <f aca="false">IF(A921="","",J921-M921)</f>
        <v>10</v>
      </c>
      <c r="P921" s="8" t="n">
        <f aca="false">IF(A921="","",G921+J921)</f>
        <v>93</v>
      </c>
      <c r="Q921" s="8" t="str">
        <f aca="false">IF(A921="","",IF(AND(Y921&lt;&gt;"参考",G921&gt;=ルール設定!$B$2),"○",""))</f>
        <v/>
      </c>
      <c r="R921" s="8" t="str">
        <f aca="false">IF(A921="","",IF(AND(Y921&lt;&gt;"参考",G921&gt;=ルール設定!$B$3,N921&gt;=ルール設定!$B$4),"○",""))</f>
        <v/>
      </c>
      <c r="S921" s="8" t="str">
        <f aca="false">IF(A921="","",IF(AND(Y921&lt;&gt;"参考",G921&gt;=ルール設定!$B$5,J921&gt;=ルール設定!$B$6,O921&gt;=ルール設定!$B$7),"○",""))</f>
        <v/>
      </c>
      <c r="T921" s="8" t="n">
        <v>2</v>
      </c>
      <c r="U921" s="8" t="n">
        <v>3</v>
      </c>
      <c r="V921" s="8" t="str">
        <f aca="false">IF(A921="","",IF(AND(ISNUMBER(T921),ISNUMBER(U921)),IF(AND(T921&lt;=3,U921&lt;=3),"○","×"),""))</f>
        <v>○</v>
      </c>
      <c r="W921" s="8" t="n">
        <v>140</v>
      </c>
      <c r="X921" s="8"/>
      <c r="Y921" s="4" t="s">
        <v>7597</v>
      </c>
      <c r="Z921" s="4" t="s">
        <v>8101</v>
      </c>
      <c r="AA921" s="8" t="str">
        <v/>
      </c>
      <c r="AB921" s="8" t="str">
        <v/>
      </c>
      <c r="AC921" s="8" t="str">
        <v/>
      </c>
      <c r="AD921" s="8" t="str">
        <v/>
      </c>
      <c r="AE921" s="8" t="str">
        <v/>
      </c>
      <c r="AF921" s="8" t="str">
        <v/>
      </c>
      <c r="AG921" s="8" t="str">
        <v/>
      </c>
      <c r="AH921" s="8" t="str">
        <v/>
      </c>
      <c r="AI921" s="8" t="n">
        <v>21</v>
      </c>
      <c r="AJ921" s="8" t="str">
        <v>～59</v>
      </c>
      <c r="AK921" s="8" t="str">
        <v>10～19</v>
      </c>
      <c r="AL921" s="8" t="str">
        <v>20～29</v>
      </c>
      <c r="AM921" s="8" t="str">
        <v>～99</v>
      </c>
      <c r="AN921" s="8" t="str">
        <v>15以上</v>
      </c>
      <c r="AO921" s="8" t="str">
        <f aca="false">IF(A921="","",IF(COUNTIFS(全馬データ!$A$2:$A$50000,A921,全馬データ!$B$2:$B$50000,B921,全馬データ!$C$2:$C$50000,C921,全馬データ!$D$2:$D$50000,E921,全馬データ!$K$2:$K$50000,"&lt;&gt;")=0,"",SUMIFS(全馬データ!$K$2:$K$50000,全馬データ!$A$2:$A$50000,A921,全馬データ!$B$2:$B$50000,B921,全馬データ!$C$2:$C$50000,C921,全馬データ!$D$2:$D$50000,E921)))</f>
        <v/>
      </c>
      <c r="AP921" s="8" t="str">
        <f aca="false">IF(A921="","",IF(AO921="","欠損",IF(AO921&lt;=1.1,"1.0～1.1",IF(AO921&lt;1.3,"1.2",IF(AO921&lt;1.5,"1.3～1.4",IF(AO921&lt;2,"1.5～1.9","2.0以上"))))))</f>
        <v>欠損</v>
      </c>
      <c r="AQ921" s="8" t="str">
        <f aca="false">IF(A921="","",IF(ISNUMBER(SEARCH("2歳",Z921)),"2歳戦",IF(ISNUMBER(SEARCH("3歳未勝利",Z921)),"3歳未勝利",IF(ISNUMBER(SEARCH("未勝利",Z921)),"その他未勝利",IF(ISNUMBER(SEARCH("G1",Z921)),"G1",IF(ISNUMBER(SEARCH("G2",Z921)),"G2",IF(ISNUMBER(SEARCH("G3",Z921)),"G3",IF(ISNUMBER(SEARCH("古馬条件",Z921)),"古馬条件戦",IF(ISNUMBER(SEARCH("重賞",Z921)),"重賞","分類不能")))))))))</f>
        <v>分類不能</v>
      </c>
      <c r="AR921" s="8"/>
      <c r="AS921" s="8" t="s">
        <v>7623</v>
      </c>
      <c r="AT921" s="8" t="s">
        <v>7624</v>
      </c>
      <c r="AU921" s="8" t="s">
        <v>7600</v>
      </c>
      <c r="AV921" s="4" t="s">
        <v>7601</v>
      </c>
      <c r="AW921" s="8"/>
      <c r="AX921" s="8"/>
      <c r="AY921" s="8" t="s">
        <v>7602</v>
      </c>
      <c r="AZ921" s="4" t="s">
        <v>7603</v>
      </c>
      <c r="BA921" s="8" t="n">
        <v>2000</v>
      </c>
      <c r="BB921" s="8" t="s">
        <v>7598</v>
      </c>
      <c r="BC921" s="4" t="s">
        <v>7604</v>
      </c>
      <c r="BD921" s="8" t="s">
        <v>7621</v>
      </c>
      <c r="BE921" s="4" t="s">
        <v>7622</v>
      </c>
      <c r="BF921" s="8" t="s">
        <v>7602</v>
      </c>
      <c r="BG921" s="8" t="s">
        <v>7608</v>
      </c>
      <c r="BH921" s="4" t="s">
        <v>7609</v>
      </c>
      <c r="BI921" s="8" t="n">
        <v>18</v>
      </c>
      <c r="BJ921" s="8" t="s">
        <v>7610</v>
      </c>
      <c r="BK921" s="4" t="s">
        <v>7611</v>
      </c>
      <c r="BL921" s="8" t="s">
        <v>7602</v>
      </c>
      <c r="BM921" s="4" t="s">
        <v>7620</v>
      </c>
      <c r="BN921" s="8" t="s">
        <v>7602</v>
      </c>
      <c r="BO921" s="8" t="s">
        <v>7613</v>
      </c>
      <c r="BP921" s="8" t="s">
        <v>7602</v>
      </c>
      <c r="BQ921" s="8" t="str">
        <f aca="false">IF(A921="","",AT921)</f>
        <v>3歳</v>
      </c>
      <c r="BR921" s="8" t="str">
        <f aca="false">IF(A921="","",IF(BA921&lt;=1200,"～1200",IF(BA921&lt;=1500,"1300～1500",IF(BA921=1600,"1600",IF(BA921&lt;=1800,"1700～1800",IF(BA921&lt;=2000,"1900～2000","2100以上"))))))</f>
        <v>1900～2000</v>
      </c>
      <c r="BS921" s="8" t="str">
        <f aca="false">IF(A921="","",IF(AX921="G1","G1",IF(AX921="G2","G2",IF(AX921="G3","G3",IF(AX921="L","L","その他")))))</f>
        <v>その他</v>
      </c>
      <c r="BT921" s="8" t="str">
        <f aca="false">IF(A921="","",IF(BI921="","未結合",IF(D921=BI921,"一致","不一致")))</f>
        <v>一致</v>
      </c>
      <c r="BU921" s="8" t="str">
        <f aca="false">IF(A921="","",IF(BE921="牝馬限定","牝馬限定","その他"))</f>
        <v>牝馬限定</v>
      </c>
    </row>
    <row r="922" customFormat="false" ht="15.75" hidden="false" customHeight="false" outlineLevel="0" collapsed="false">
      <c r="A922" s="6" t="n">
        <f aca="false">DATE(2026,8,1)</f>
        <v>46235</v>
      </c>
      <c r="B922" s="4" t="s">
        <v>13</v>
      </c>
      <c r="C922" s="8" t="n">
        <v>12</v>
      </c>
      <c r="D922" s="8" t="n">
        <v>17</v>
      </c>
      <c r="E922" s="8" t="n">
        <v>6</v>
      </c>
      <c r="F922" s="4" t="s">
        <v>2372</v>
      </c>
      <c r="G922" s="8" t="n">
        <v>47</v>
      </c>
      <c r="H922" s="8" t="n">
        <v>8</v>
      </c>
      <c r="I922" s="4" t="s">
        <v>3810</v>
      </c>
      <c r="J922" s="8" t="n">
        <v>41</v>
      </c>
      <c r="K922" s="8" t="n">
        <v>2</v>
      </c>
      <c r="L922" s="4" t="s">
        <v>3809</v>
      </c>
      <c r="M922" s="8" t="n">
        <v>37</v>
      </c>
      <c r="N922" s="8" t="n">
        <f aca="false">IF(A922="","",G922-J922)</f>
        <v>6</v>
      </c>
      <c r="O922" s="8" t="n">
        <f aca="false">IF(A922="","",J922-M922)</f>
        <v>4</v>
      </c>
      <c r="P922" s="8" t="n">
        <f aca="false">IF(A922="","",G922+J922)</f>
        <v>88</v>
      </c>
      <c r="Q922" s="8" t="str">
        <f aca="false">IF(A922="","",IF(AND(Y922&lt;&gt;"参考",G922&gt;=ルール設定!$B$2),"○",""))</f>
        <v/>
      </c>
      <c r="R922" s="8" t="str">
        <f aca="false">IF(A922="","",IF(AND(Y922&lt;&gt;"参考",G922&gt;=ルール設定!$B$3,N922&gt;=ルール設定!$B$4),"○",""))</f>
        <v/>
      </c>
      <c r="S922" s="8" t="str">
        <f aca="false">IF(A922="","",IF(AND(Y922&lt;&gt;"参考",G922&gt;=ルール設定!$B$5,J922&gt;=ルール設定!$B$6,O922&gt;=ルール設定!$B$7),"○",""))</f>
        <v/>
      </c>
      <c r="T922" s="8" t="n">
        <v>2</v>
      </c>
      <c r="U922" s="8" t="n">
        <v>3</v>
      </c>
      <c r="V922" s="8" t="str">
        <f aca="false">IF(A922="","",IF(AND(ISNUMBER(T922),ISNUMBER(U922)),IF(AND(T922&lt;=3,U922&lt;=3),"○","×"),""))</f>
        <v>○</v>
      </c>
      <c r="W922" s="8" t="n">
        <v>310</v>
      </c>
      <c r="X922" s="8"/>
      <c r="Y922" s="4" t="s">
        <v>7597</v>
      </c>
      <c r="Z922" s="4" t="s">
        <v>8101</v>
      </c>
      <c r="AA922" s="8" t="str">
        <v/>
      </c>
      <c r="AB922" s="8" t="str">
        <v/>
      </c>
      <c r="AC922" s="8" t="str">
        <v/>
      </c>
      <c r="AD922" s="8" t="str">
        <v/>
      </c>
      <c r="AE922" s="8" t="str">
        <v/>
      </c>
      <c r="AF922" s="8" t="str">
        <v/>
      </c>
      <c r="AG922" s="8" t="str">
        <v/>
      </c>
      <c r="AH922" s="8" t="str">
        <v/>
      </c>
      <c r="AI922" s="8" t="n">
        <v>10</v>
      </c>
      <c r="AJ922" s="8" t="str">
        <v>～59</v>
      </c>
      <c r="AK922" s="8" t="str">
        <v>5～9</v>
      </c>
      <c r="AL922" s="8" t="str">
        <v>10～19</v>
      </c>
      <c r="AM922" s="8" t="str">
        <v>～99</v>
      </c>
      <c r="AN922" s="8" t="str">
        <v>15以上</v>
      </c>
      <c r="AO922" s="8" t="str">
        <f aca="false">IF(A922="","",IF(COUNTIFS(全馬データ!$A$2:$A$50000,A922,全馬データ!$B$2:$B$50000,B922,全馬データ!$C$2:$C$50000,C922,全馬データ!$D$2:$D$50000,E922,全馬データ!$K$2:$K$50000,"&lt;&gt;")=0,"",SUMIFS(全馬データ!$K$2:$K$50000,全馬データ!$A$2:$A$50000,A922,全馬データ!$B$2:$B$50000,B922,全馬データ!$C$2:$C$50000,C922,全馬データ!$D$2:$D$50000,E922)))</f>
        <v/>
      </c>
      <c r="AP922" s="8" t="str">
        <f aca="false">IF(A922="","",IF(AO922="","欠損",IF(AO922&lt;=1.1,"1.0～1.1",IF(AO922&lt;1.3,"1.2",IF(AO922&lt;1.5,"1.3～1.4",IF(AO922&lt;2,"1.5～1.9","2.0以上"))))))</f>
        <v>欠損</v>
      </c>
      <c r="AQ922" s="8" t="str">
        <f aca="false">IF(A922="","",IF(ISNUMBER(SEARCH("2歳",Z922)),"2歳戦",IF(ISNUMBER(SEARCH("3歳未勝利",Z922)),"3歳未勝利",IF(ISNUMBER(SEARCH("未勝利",Z922)),"その他未勝利",IF(ISNUMBER(SEARCH("G1",Z922)),"G1",IF(ISNUMBER(SEARCH("G2",Z922)),"G2",IF(ISNUMBER(SEARCH("G3",Z922)),"G3",IF(ISNUMBER(SEARCH("古馬条件",Z922)),"古馬条件戦",IF(ISNUMBER(SEARCH("重賞",Z922)),"重賞","分類不能")))))))))</f>
        <v>分類不能</v>
      </c>
      <c r="AR922" s="8"/>
      <c r="AS922" s="8" t="s">
        <v>7626</v>
      </c>
      <c r="AT922" s="8" t="s">
        <v>7627</v>
      </c>
      <c r="AU922" s="8" t="s">
        <v>7628</v>
      </c>
      <c r="AV922" s="8" t="s">
        <v>7629</v>
      </c>
      <c r="AW922" s="8"/>
      <c r="AX922" s="8"/>
      <c r="AY922" s="8" t="s">
        <v>7602</v>
      </c>
      <c r="AZ922" s="4" t="s">
        <v>7603</v>
      </c>
      <c r="BA922" s="8" t="n">
        <v>1200</v>
      </c>
      <c r="BB922" s="8" t="s">
        <v>7598</v>
      </c>
      <c r="BC922" s="4" t="s">
        <v>7604</v>
      </c>
      <c r="BD922" s="8" t="s">
        <v>7605</v>
      </c>
      <c r="BE922" s="4" t="s">
        <v>7606</v>
      </c>
      <c r="BF922" s="8" t="s">
        <v>7607</v>
      </c>
      <c r="BG922" s="8" t="s">
        <v>7631</v>
      </c>
      <c r="BH922" s="4" t="s">
        <v>7632</v>
      </c>
      <c r="BI922" s="8" t="n">
        <v>17</v>
      </c>
      <c r="BJ922" s="8" t="s">
        <v>7610</v>
      </c>
      <c r="BK922" s="4" t="s">
        <v>7611</v>
      </c>
      <c r="BL922" s="8" t="s">
        <v>7602</v>
      </c>
      <c r="BM922" s="4" t="s">
        <v>7620</v>
      </c>
      <c r="BN922" s="8" t="s">
        <v>7602</v>
      </c>
      <c r="BO922" s="8" t="s">
        <v>7613</v>
      </c>
      <c r="BP922" s="8" t="s">
        <v>7602</v>
      </c>
      <c r="BQ922" s="8" t="str">
        <f aca="false">IF(A922="","",AT922)</f>
        <v>3歳以上</v>
      </c>
      <c r="BR922" s="8" t="str">
        <f aca="false">IF(A922="","",IF(BA922&lt;=1200,"～1200",IF(BA922&lt;=1500,"1300～1500",IF(BA922=1600,"1600",IF(BA922&lt;=1800,"1700～1800",IF(BA922&lt;=2000,"1900～2000","2100以上"))))))</f>
        <v>～1200</v>
      </c>
      <c r="BS922" s="8" t="str">
        <f aca="false">IF(A922="","",IF(AX922="G1","G1",IF(AX922="G2","G2",IF(AX922="G3","G3",IF(AX922="L","L","その他")))))</f>
        <v>その他</v>
      </c>
      <c r="BT922" s="8" t="str">
        <f aca="false">IF(A922="","",IF(BI922="","未結合",IF(D922=BI922,"一致","不一致")))</f>
        <v>一致</v>
      </c>
      <c r="BU922" s="8" t="str">
        <f aca="false">IF(A922="","",IF(BE922="牝馬限定","牝馬限定","その他"))</f>
        <v>その他</v>
      </c>
    </row>
    <row r="923" customFormat="false" ht="15.75" hidden="false" customHeight="false" outlineLevel="0" collapsed="false">
      <c r="A923" s="6" t="n">
        <f aca="false">DATE(2026,8,1)</f>
        <v>46235</v>
      </c>
      <c r="B923" s="4" t="s">
        <v>179</v>
      </c>
      <c r="C923" s="8" t="n">
        <v>1</v>
      </c>
      <c r="D923" s="8" t="n">
        <v>10</v>
      </c>
      <c r="E923" s="8" t="n">
        <v>3</v>
      </c>
      <c r="F923" s="4" t="s">
        <v>3578</v>
      </c>
      <c r="G923" s="8" t="n">
        <v>65</v>
      </c>
      <c r="H923" s="8" t="n">
        <v>8</v>
      </c>
      <c r="I923" s="4" t="s">
        <v>2480</v>
      </c>
      <c r="J923" s="8" t="n">
        <v>37</v>
      </c>
      <c r="K923" s="8" t="n">
        <v>7</v>
      </c>
      <c r="L923" s="4" t="s">
        <v>3172</v>
      </c>
      <c r="M923" s="8" t="n">
        <v>34</v>
      </c>
      <c r="N923" s="8" t="n">
        <f aca="false">IF(A923="","",G923-J923)</f>
        <v>28</v>
      </c>
      <c r="O923" s="8" t="n">
        <f aca="false">IF(A923="","",J923-M923)</f>
        <v>3</v>
      </c>
      <c r="P923" s="8" t="n">
        <f aca="false">IF(A923="","",G923+J923)</f>
        <v>102</v>
      </c>
      <c r="Q923" s="8" t="str">
        <f aca="false">IF(A923="","",IF(AND(Y923&lt;&gt;"参考",G923&gt;=ルール設定!$B$2),"○",""))</f>
        <v/>
      </c>
      <c r="R923" s="8" t="str">
        <f aca="false">IF(A923="","",IF(AND(Y923&lt;&gt;"参考",G923&gt;=ルール設定!$B$3,N923&gt;=ルール設定!$B$4),"○",""))</f>
        <v/>
      </c>
      <c r="S923" s="8" t="str">
        <f aca="false">IF(A923="","",IF(AND(Y923&lt;&gt;"参考",G923&gt;=ルール設定!$B$5,J923&gt;=ルール設定!$B$6,O923&gt;=ルール設定!$B$7),"○",""))</f>
        <v/>
      </c>
      <c r="T923" s="8" t="n">
        <v>4</v>
      </c>
      <c r="U923" s="8" t="n">
        <v>2</v>
      </c>
      <c r="V923" s="8" t="str">
        <f aca="false">IF(A923="","",IF(AND(ISNUMBER(T923),ISNUMBER(U923)),IF(AND(T923&lt;=3,U923&lt;=3),"○","×"),""))</f>
        <v>×</v>
      </c>
      <c r="W923" s="8"/>
      <c r="X923" s="8"/>
      <c r="Y923" s="4" t="s">
        <v>7597</v>
      </c>
      <c r="Z923" s="4" t="s">
        <v>8101</v>
      </c>
      <c r="AA923" s="8" t="str">
        <v/>
      </c>
      <c r="AB923" s="8" t="str">
        <v/>
      </c>
      <c r="AC923" s="8" t="str">
        <v/>
      </c>
      <c r="AD923" s="8" t="str">
        <v/>
      </c>
      <c r="AE923" s="8" t="str">
        <v/>
      </c>
      <c r="AF923" s="8" t="str">
        <v/>
      </c>
      <c r="AG923" s="8" t="str">
        <v/>
      </c>
      <c r="AH923" s="8" t="str">
        <v/>
      </c>
      <c r="AI923" s="8" t="n">
        <v>31</v>
      </c>
      <c r="AJ923" s="8" t="str">
        <v>60～69</v>
      </c>
      <c r="AK923" s="8" t="str">
        <v>20～29</v>
      </c>
      <c r="AL923" s="8" t="str">
        <v>30～39</v>
      </c>
      <c r="AM923" s="8" t="str">
        <v>100～119</v>
      </c>
      <c r="AN923" s="8" t="str">
        <v>8～11</v>
      </c>
      <c r="AO923" s="8" t="str">
        <f aca="false">IF(A923="","",IF(COUNTIFS(全馬データ!$A$2:$A$50000,A923,全馬データ!$B$2:$B$50000,B923,全馬データ!$C$2:$C$50000,C923,全馬データ!$D$2:$D$50000,E923,全馬データ!$K$2:$K$50000,"&lt;&gt;")=0,"",SUMIFS(全馬データ!$K$2:$K$50000,全馬データ!$A$2:$A$50000,A923,全馬データ!$B$2:$B$50000,B923,全馬データ!$C$2:$C$50000,C923,全馬データ!$D$2:$D$50000,E923)))</f>
        <v/>
      </c>
      <c r="AP923" s="8" t="str">
        <f aca="false">IF(A923="","",IF(AO923="","欠損",IF(AO923&lt;=1.1,"1.0～1.1",IF(AO923&lt;1.3,"1.2",IF(AO923&lt;1.5,"1.3～1.4",IF(AO923&lt;2,"1.5～1.9","2.0以上"))))))</f>
        <v>欠損</v>
      </c>
      <c r="AQ923" s="8" t="str">
        <f aca="false">IF(A923="","",IF(ISNUMBER(SEARCH("2歳",Z923)),"2歳戦",IF(ISNUMBER(SEARCH("3歳未勝利",Z923)),"3歳未勝利",IF(ISNUMBER(SEARCH("未勝利",Z923)),"その他未勝利",IF(ISNUMBER(SEARCH("G1",Z923)),"G1",IF(ISNUMBER(SEARCH("G2",Z923)),"G2",IF(ISNUMBER(SEARCH("G3",Z923)),"G3",IF(ISNUMBER(SEARCH("古馬条件",Z923)),"古馬条件戦",IF(ISNUMBER(SEARCH("重賞",Z923)),"重賞","分類不能")))))))))</f>
        <v>分類不能</v>
      </c>
      <c r="AR923" s="8"/>
      <c r="AS923" s="8" t="s">
        <v>7598</v>
      </c>
      <c r="AT923" s="8" t="s">
        <v>7599</v>
      </c>
      <c r="AU923" s="8" t="s">
        <v>7600</v>
      </c>
      <c r="AV923" s="4" t="s">
        <v>7601</v>
      </c>
      <c r="AW923" s="8"/>
      <c r="AX923" s="8"/>
      <c r="AY923" s="8" t="s">
        <v>7602</v>
      </c>
      <c r="AZ923" s="4" t="s">
        <v>7603</v>
      </c>
      <c r="BA923" s="8" t="n">
        <v>2000</v>
      </c>
      <c r="BB923" s="8" t="s">
        <v>7598</v>
      </c>
      <c r="BC923" s="4" t="s">
        <v>7604</v>
      </c>
      <c r="BD923" s="8" t="s">
        <v>7605</v>
      </c>
      <c r="BE923" s="4" t="s">
        <v>7606</v>
      </c>
      <c r="BF923" s="8" t="s">
        <v>7607</v>
      </c>
      <c r="BG923" s="8" t="s">
        <v>7608</v>
      </c>
      <c r="BH923" s="4" t="s">
        <v>7609</v>
      </c>
      <c r="BI923" s="8" t="n">
        <v>10</v>
      </c>
      <c r="BJ923" s="8" t="s">
        <v>7610</v>
      </c>
      <c r="BK923" s="4" t="s">
        <v>7611</v>
      </c>
      <c r="BL923" s="8" t="s">
        <v>7602</v>
      </c>
      <c r="BM923" s="4" t="s">
        <v>7620</v>
      </c>
      <c r="BN923" s="8" t="s">
        <v>7602</v>
      </c>
      <c r="BO923" s="8" t="s">
        <v>7613</v>
      </c>
      <c r="BP923" s="8" t="s">
        <v>7610</v>
      </c>
      <c r="BQ923" s="8" t="str">
        <f aca="false">IF(A923="","",AT923)</f>
        <v>2歳</v>
      </c>
      <c r="BR923" s="8" t="str">
        <f aca="false">IF(A923="","",IF(BA923&lt;=1200,"～1200",IF(BA923&lt;=1500,"1300～1500",IF(BA923=1600,"1600",IF(BA923&lt;=1800,"1700～1800",IF(BA923&lt;=2000,"1900～2000","2100以上"))))))</f>
        <v>1900～2000</v>
      </c>
      <c r="BS923" s="8" t="str">
        <f aca="false">IF(A923="","",IF(AX923="G1","G1",IF(AX923="G2","G2",IF(AX923="G3","G3",IF(AX923="L","L","その他")))))</f>
        <v>その他</v>
      </c>
      <c r="BT923" s="8" t="str">
        <f aca="false">IF(A923="","",IF(BI923="","未結合",IF(D923=BI923,"一致","不一致")))</f>
        <v>一致</v>
      </c>
      <c r="BU923" s="8" t="str">
        <f aca="false">IF(A923="","",IF(BE923="牝馬限定","牝馬限定","その他"))</f>
        <v>その他</v>
      </c>
    </row>
    <row r="924" customFormat="false" ht="15.75" hidden="false" customHeight="false" outlineLevel="0" collapsed="false">
      <c r="A924" s="6" t="n">
        <f aca="false">DATE(2026,8,1)</f>
        <v>46235</v>
      </c>
      <c r="B924" s="4" t="s">
        <v>179</v>
      </c>
      <c r="C924" s="8" t="n">
        <v>2</v>
      </c>
      <c r="D924" s="8" t="n">
        <v>13</v>
      </c>
      <c r="E924" s="8" t="n">
        <v>13</v>
      </c>
      <c r="F924" s="4" t="s">
        <v>3593</v>
      </c>
      <c r="G924" s="8" t="n">
        <v>31</v>
      </c>
      <c r="H924" s="8" t="n">
        <v>10</v>
      </c>
      <c r="I924" s="4" t="s">
        <v>3590</v>
      </c>
      <c r="J924" s="8" t="n">
        <v>27</v>
      </c>
      <c r="K924" s="8" t="n">
        <v>7</v>
      </c>
      <c r="L924" s="4" t="s">
        <v>3587</v>
      </c>
      <c r="M924" s="8" t="n">
        <v>24</v>
      </c>
      <c r="N924" s="8" t="n">
        <f aca="false">IF(A924="","",G924-J924)</f>
        <v>4</v>
      </c>
      <c r="O924" s="8" t="n">
        <f aca="false">IF(A924="","",J924-M924)</f>
        <v>3</v>
      </c>
      <c r="P924" s="8" t="n">
        <f aca="false">IF(A924="","",G924+J924)</f>
        <v>58</v>
      </c>
      <c r="Q924" s="8" t="str">
        <f aca="false">IF(A924="","",IF(AND(Y924&lt;&gt;"参考",G924&gt;=ルール設定!$B$2),"○",""))</f>
        <v/>
      </c>
      <c r="R924" s="8" t="str">
        <f aca="false">IF(A924="","",IF(AND(Y924&lt;&gt;"参考",G924&gt;=ルール設定!$B$3,N924&gt;=ルール設定!$B$4),"○",""))</f>
        <v/>
      </c>
      <c r="S924" s="8" t="str">
        <f aca="false">IF(A924="","",IF(AND(Y924&lt;&gt;"参考",G924&gt;=ルール設定!$B$5,J924&gt;=ルール設定!$B$6,O924&gt;=ルール設定!$B$7),"○",""))</f>
        <v/>
      </c>
      <c r="T924" s="8" t="n">
        <v>2</v>
      </c>
      <c r="U924" s="8" t="n">
        <v>4</v>
      </c>
      <c r="V924" s="8" t="str">
        <f aca="false">IF(A924="","",IF(AND(ISNUMBER(T924),ISNUMBER(U924)),IF(AND(T924&lt;=3,U924&lt;=3),"○","×"),""))</f>
        <v>×</v>
      </c>
      <c r="W924" s="8" t="n">
        <v>130</v>
      </c>
      <c r="X924" s="8"/>
      <c r="Y924" s="4" t="s">
        <v>7597</v>
      </c>
      <c r="Z924" s="4" t="s">
        <v>8101</v>
      </c>
      <c r="AA924" s="8" t="str">
        <v/>
      </c>
      <c r="AB924" s="8" t="str">
        <v/>
      </c>
      <c r="AC924" s="8" t="str">
        <v/>
      </c>
      <c r="AD924" s="8" t="str">
        <v/>
      </c>
      <c r="AE924" s="8" t="str">
        <v/>
      </c>
      <c r="AF924" s="8" t="str">
        <v/>
      </c>
      <c r="AG924" s="8" t="str">
        <v/>
      </c>
      <c r="AH924" s="8" t="str">
        <v/>
      </c>
      <c r="AI924" s="8" t="n">
        <v>7</v>
      </c>
      <c r="AJ924" s="8" t="str">
        <v>～59</v>
      </c>
      <c r="AK924" s="8" t="str">
        <v>0～4</v>
      </c>
      <c r="AL924" s="8" t="str">
        <v>0～9</v>
      </c>
      <c r="AM924" s="8" t="str">
        <v>～99</v>
      </c>
      <c r="AN924" s="8" t="str">
        <v>12～14</v>
      </c>
      <c r="AO924" s="8" t="str">
        <f aca="false">IF(A924="","",IF(COUNTIFS(全馬データ!$A$2:$A$50000,A924,全馬データ!$B$2:$B$50000,B924,全馬データ!$C$2:$C$50000,C924,全馬データ!$D$2:$D$50000,E924,全馬データ!$K$2:$K$50000,"&lt;&gt;")=0,"",SUMIFS(全馬データ!$K$2:$K$50000,全馬データ!$A$2:$A$50000,A924,全馬データ!$B$2:$B$50000,B924,全馬データ!$C$2:$C$50000,C924,全馬データ!$D$2:$D$50000,E924)))</f>
        <v/>
      </c>
      <c r="AP924" s="8" t="str">
        <f aca="false">IF(A924="","",IF(AO924="","欠損",IF(AO924&lt;=1.1,"1.0～1.1",IF(AO924&lt;1.3,"1.2",IF(AO924&lt;1.5,"1.3～1.4",IF(AO924&lt;2,"1.5～1.9","2.0以上"))))))</f>
        <v>欠損</v>
      </c>
      <c r="AQ924" s="8" t="str">
        <f aca="false">IF(A924="","",IF(ISNUMBER(SEARCH("2歳",Z924)),"2歳戦",IF(ISNUMBER(SEARCH("3歳未勝利",Z924)),"3歳未勝利",IF(ISNUMBER(SEARCH("未勝利",Z924)),"その他未勝利",IF(ISNUMBER(SEARCH("G1",Z924)),"G1",IF(ISNUMBER(SEARCH("G2",Z924)),"G2",IF(ISNUMBER(SEARCH("G3",Z924)),"G3",IF(ISNUMBER(SEARCH("古馬条件",Z924)),"古馬条件戦",IF(ISNUMBER(SEARCH("重賞",Z924)),"重賞","分類不能")))))))))</f>
        <v>分類不能</v>
      </c>
      <c r="AR924" s="8"/>
      <c r="AS924" s="8" t="s">
        <v>7598</v>
      </c>
      <c r="AT924" s="8" t="s">
        <v>7599</v>
      </c>
      <c r="AU924" s="8" t="s">
        <v>7615</v>
      </c>
      <c r="AV924" s="4" t="s">
        <v>7616</v>
      </c>
      <c r="AW924" s="8"/>
      <c r="AX924" s="8"/>
      <c r="AY924" s="8" t="s">
        <v>7602</v>
      </c>
      <c r="AZ924" s="4" t="s">
        <v>7603</v>
      </c>
      <c r="BA924" s="8" t="n">
        <v>1400</v>
      </c>
      <c r="BB924" s="8" t="s">
        <v>7598</v>
      </c>
      <c r="BC924" s="4" t="s">
        <v>7604</v>
      </c>
      <c r="BD924" s="8" t="s">
        <v>7621</v>
      </c>
      <c r="BE924" s="4" t="s">
        <v>7622</v>
      </c>
      <c r="BF924" s="8" t="s">
        <v>7602</v>
      </c>
      <c r="BG924" s="8" t="s">
        <v>7608</v>
      </c>
      <c r="BH924" s="4" t="s">
        <v>7609</v>
      </c>
      <c r="BI924" s="8" t="n">
        <v>13</v>
      </c>
      <c r="BJ924" s="8" t="s">
        <v>7610</v>
      </c>
      <c r="BK924" s="4" t="s">
        <v>7611</v>
      </c>
      <c r="BL924" s="8" t="s">
        <v>7602</v>
      </c>
      <c r="BM924" s="4" t="s">
        <v>7620</v>
      </c>
      <c r="BN924" s="8" t="s">
        <v>7602</v>
      </c>
      <c r="BO924" s="8" t="s">
        <v>7613</v>
      </c>
      <c r="BP924" s="8" t="s">
        <v>7610</v>
      </c>
      <c r="BQ924" s="8" t="str">
        <f aca="false">IF(A924="","",AT924)</f>
        <v>2歳</v>
      </c>
      <c r="BR924" s="8" t="str">
        <f aca="false">IF(A924="","",IF(BA924&lt;=1200,"～1200",IF(BA924&lt;=1500,"1300～1500",IF(BA924=1600,"1600",IF(BA924&lt;=1800,"1700～1800",IF(BA924&lt;=2000,"1900～2000","2100以上"))))))</f>
        <v>1300～1500</v>
      </c>
      <c r="BS924" s="8" t="str">
        <f aca="false">IF(A924="","",IF(AX924="G1","G1",IF(AX924="G2","G2",IF(AX924="G3","G3",IF(AX924="L","L","その他")))))</f>
        <v>その他</v>
      </c>
      <c r="BT924" s="8" t="str">
        <f aca="false">IF(A924="","",IF(BI924="","未結合",IF(D924=BI924,"一致","不一致")))</f>
        <v>一致</v>
      </c>
      <c r="BU924" s="8" t="str">
        <f aca="false">IF(A924="","",IF(BE924="牝馬限定","牝馬限定","その他"))</f>
        <v>牝馬限定</v>
      </c>
    </row>
    <row r="925" customFormat="false" ht="15.75" hidden="false" customHeight="false" outlineLevel="0" collapsed="false">
      <c r="A925" s="6" t="n">
        <f aca="false">DATE(2026,8,1)</f>
        <v>46235</v>
      </c>
      <c r="B925" s="4" t="s">
        <v>179</v>
      </c>
      <c r="C925" s="8" t="n">
        <v>3</v>
      </c>
      <c r="D925" s="8" t="n">
        <v>16</v>
      </c>
      <c r="E925" s="8" t="n">
        <v>11</v>
      </c>
      <c r="F925" s="4" t="s">
        <v>2460</v>
      </c>
      <c r="G925" s="8" t="n">
        <v>86</v>
      </c>
      <c r="H925" s="8" t="n">
        <v>7</v>
      </c>
      <c r="I925" s="4" t="s">
        <v>3595</v>
      </c>
      <c r="J925" s="8" t="n">
        <v>34</v>
      </c>
      <c r="K925" s="8" t="n">
        <v>10</v>
      </c>
      <c r="L925" s="4" t="s">
        <v>2838</v>
      </c>
      <c r="M925" s="8" t="n">
        <v>31</v>
      </c>
      <c r="N925" s="8" t="n">
        <f aca="false">IF(A925="","",G925-J925)</f>
        <v>52</v>
      </c>
      <c r="O925" s="8" t="n">
        <f aca="false">IF(A925="","",J925-M925)</f>
        <v>3</v>
      </c>
      <c r="P925" s="8" t="n">
        <f aca="false">IF(A925="","",G925+J925)</f>
        <v>120</v>
      </c>
      <c r="Q925" s="8" t="str">
        <f aca="false">IF(A925="","",IF(AND(Y925&lt;&gt;"参考",G925&gt;=ルール設定!$B$2),"○",""))</f>
        <v>○</v>
      </c>
      <c r="R925" s="8" t="str">
        <f aca="false">IF(A925="","",IF(AND(Y925&lt;&gt;"参考",G925&gt;=ルール設定!$B$3,N925&gt;=ルール設定!$B$4),"○",""))</f>
        <v>○</v>
      </c>
      <c r="S925" s="8" t="str">
        <f aca="false">IF(A925="","",IF(AND(Y925&lt;&gt;"参考",G925&gt;=ルール設定!$B$5,J925&gt;=ルール設定!$B$6,O925&gt;=ルール設定!$B$7),"○",""))</f>
        <v/>
      </c>
      <c r="T925" s="8" t="n">
        <v>1</v>
      </c>
      <c r="U925" s="8" t="n">
        <v>4</v>
      </c>
      <c r="V925" s="8" t="str">
        <f aca="false">IF(A925="","",IF(AND(ISNUMBER(T925),ISNUMBER(U925)),IF(AND(T925&lt;=3,U925&lt;=3),"○","×"),""))</f>
        <v>×</v>
      </c>
      <c r="W925" s="8" t="n">
        <v>110</v>
      </c>
      <c r="X925" s="8"/>
      <c r="Y925" s="4" t="s">
        <v>7597</v>
      </c>
      <c r="Z925" s="4" t="s">
        <v>8101</v>
      </c>
      <c r="AA925" s="8" t="str">
        <v>○</v>
      </c>
      <c r="AB925" s="8" t="str">
        <v>○</v>
      </c>
      <c r="AC925" s="8" t="str">
        <v/>
      </c>
      <c r="AD925" s="8" t="str">
        <v>○</v>
      </c>
      <c r="AE925" s="8" t="str">
        <v/>
      </c>
      <c r="AF925" s="8" t="str">
        <v/>
      </c>
      <c r="AG925" s="8" t="str">
        <v>○</v>
      </c>
      <c r="AH925" s="8" t="str">
        <v/>
      </c>
      <c r="AI925" s="8" t="n">
        <v>55</v>
      </c>
      <c r="AJ925" s="8" t="str">
        <v>85以上</v>
      </c>
      <c r="AK925" s="8" t="str">
        <v>30以上</v>
      </c>
      <c r="AL925" s="8" t="str">
        <v>40以上</v>
      </c>
      <c r="AM925" s="8" t="str">
        <v>120～139</v>
      </c>
      <c r="AN925" s="8" t="str">
        <v>15以上</v>
      </c>
      <c r="AO925" s="8" t="str">
        <f aca="false">IF(A925="","",IF(COUNTIFS(全馬データ!$A$2:$A$50000,A925,全馬データ!$B$2:$B$50000,B925,全馬データ!$C$2:$C$50000,C925,全馬データ!$D$2:$D$50000,E925,全馬データ!$K$2:$K$50000,"&lt;&gt;")=0,"",SUMIFS(全馬データ!$K$2:$K$50000,全馬データ!$A$2:$A$50000,A925,全馬データ!$B$2:$B$50000,B925,全馬データ!$C$2:$C$50000,C925,全馬データ!$D$2:$D$50000,E925)))</f>
        <v/>
      </c>
      <c r="AP925" s="8" t="str">
        <f aca="false">IF(A925="","",IF(AO925="","欠損",IF(AO925&lt;=1.1,"1.0～1.1",IF(AO925&lt;1.3,"1.2",IF(AO925&lt;1.5,"1.3～1.4",IF(AO925&lt;2,"1.5～1.9","2.0以上"))))))</f>
        <v>欠損</v>
      </c>
      <c r="AQ925" s="8" t="str">
        <f aca="false">IF(A925="","",IF(ISNUMBER(SEARCH("2歳",Z925)),"2歳戦",IF(ISNUMBER(SEARCH("3歳未勝利",Z925)),"3歳未勝利",IF(ISNUMBER(SEARCH("未勝利",Z925)),"その他未勝利",IF(ISNUMBER(SEARCH("G1",Z925)),"G1",IF(ISNUMBER(SEARCH("G2",Z925)),"G2",IF(ISNUMBER(SEARCH("G3",Z925)),"G3",IF(ISNUMBER(SEARCH("古馬条件",Z925)),"古馬条件戦",IF(ISNUMBER(SEARCH("重賞",Z925)),"重賞","分類不能")))))))))</f>
        <v>分類不能</v>
      </c>
      <c r="AR925" s="8"/>
      <c r="AS925" s="8" t="s">
        <v>7623</v>
      </c>
      <c r="AT925" s="8" t="s">
        <v>7624</v>
      </c>
      <c r="AU925" s="8" t="s">
        <v>7600</v>
      </c>
      <c r="AV925" s="4" t="s">
        <v>7601</v>
      </c>
      <c r="AW925" s="8"/>
      <c r="AX925" s="8"/>
      <c r="AY925" s="8" t="s">
        <v>7602</v>
      </c>
      <c r="AZ925" s="4" t="s">
        <v>7603</v>
      </c>
      <c r="BA925" s="8" t="n">
        <v>2000</v>
      </c>
      <c r="BB925" s="8" t="s">
        <v>7598</v>
      </c>
      <c r="BC925" s="4" t="s">
        <v>7604</v>
      </c>
      <c r="BD925" s="8" t="s">
        <v>7605</v>
      </c>
      <c r="BE925" s="4" t="s">
        <v>7606</v>
      </c>
      <c r="BF925" s="8" t="s">
        <v>7607</v>
      </c>
      <c r="BG925" s="8" t="s">
        <v>7608</v>
      </c>
      <c r="BH925" s="4" t="s">
        <v>7609</v>
      </c>
      <c r="BI925" s="8" t="n">
        <v>16</v>
      </c>
      <c r="BJ925" s="8" t="s">
        <v>7610</v>
      </c>
      <c r="BK925" s="4" t="s">
        <v>7611</v>
      </c>
      <c r="BL925" s="8" t="s">
        <v>7602</v>
      </c>
      <c r="BM925" s="4" t="s">
        <v>7620</v>
      </c>
      <c r="BN925" s="8" t="s">
        <v>7602</v>
      </c>
      <c r="BO925" s="8" t="s">
        <v>7613</v>
      </c>
      <c r="BP925" s="8" t="s">
        <v>7610</v>
      </c>
      <c r="BQ925" s="8" t="str">
        <f aca="false">IF(A925="","",AT925)</f>
        <v>3歳</v>
      </c>
      <c r="BR925" s="8" t="str">
        <f aca="false">IF(A925="","",IF(BA925&lt;=1200,"～1200",IF(BA925&lt;=1500,"1300～1500",IF(BA925=1600,"1600",IF(BA925&lt;=1800,"1700～1800",IF(BA925&lt;=2000,"1900～2000","2100以上"))))))</f>
        <v>1900～2000</v>
      </c>
      <c r="BS925" s="8" t="str">
        <f aca="false">IF(A925="","",IF(AX925="G1","G1",IF(AX925="G2","G2",IF(AX925="G3","G3",IF(AX925="L","L","その他")))))</f>
        <v>その他</v>
      </c>
      <c r="BT925" s="8" t="str">
        <f aca="false">IF(A925="","",IF(BI925="","未結合",IF(D925=BI925,"一致","不一致")))</f>
        <v>一致</v>
      </c>
      <c r="BU925" s="8" t="str">
        <f aca="false">IF(A925="","",IF(BE925="牝馬限定","牝馬限定","その他"))</f>
        <v>その他</v>
      </c>
    </row>
    <row r="926" customFormat="false" ht="15.75" hidden="false" customHeight="false" outlineLevel="0" collapsed="false">
      <c r="A926" s="6" t="n">
        <f aca="false">DATE(2026,8,1)</f>
        <v>46235</v>
      </c>
      <c r="B926" s="4" t="s">
        <v>179</v>
      </c>
      <c r="C926" s="8" t="n">
        <v>4</v>
      </c>
      <c r="D926" s="8" t="n">
        <v>16</v>
      </c>
      <c r="E926" s="8" t="n">
        <v>9</v>
      </c>
      <c r="F926" s="4" t="s">
        <v>3604</v>
      </c>
      <c r="G926" s="8" t="n">
        <v>66</v>
      </c>
      <c r="H926" s="8" t="n">
        <v>3</v>
      </c>
      <c r="I926" s="4" t="s">
        <v>1590</v>
      </c>
      <c r="J926" s="8" t="n">
        <v>41</v>
      </c>
      <c r="K926" s="8" t="n">
        <v>14</v>
      </c>
      <c r="L926" s="4" t="s">
        <v>1589</v>
      </c>
      <c r="M926" s="8" t="n">
        <v>41</v>
      </c>
      <c r="N926" s="8" t="n">
        <f aca="false">IF(A926="","",G926-J926)</f>
        <v>25</v>
      </c>
      <c r="O926" s="8" t="n">
        <f aca="false">IF(A926="","",J926-M926)</f>
        <v>0</v>
      </c>
      <c r="P926" s="8" t="n">
        <f aca="false">IF(A926="","",G926+J926)</f>
        <v>107</v>
      </c>
      <c r="Q926" s="8" t="str">
        <f aca="false">IF(A926="","",IF(AND(Y926&lt;&gt;"参考",G926&gt;=ルール設定!$B$2),"○",""))</f>
        <v/>
      </c>
      <c r="R926" s="8" t="str">
        <f aca="false">IF(A926="","",IF(AND(Y926&lt;&gt;"参考",G926&gt;=ルール設定!$B$3,N926&gt;=ルール設定!$B$4),"○",""))</f>
        <v/>
      </c>
      <c r="S926" s="8" t="str">
        <f aca="false">IF(A926="","",IF(AND(Y926&lt;&gt;"参考",G926&gt;=ルール設定!$B$5,J926&gt;=ルール設定!$B$6,O926&gt;=ルール設定!$B$7),"○",""))</f>
        <v/>
      </c>
      <c r="T926" s="8" t="n">
        <v>1</v>
      </c>
      <c r="U926" s="8" t="n">
        <v>4</v>
      </c>
      <c r="V926" s="8" t="str">
        <f aca="false">IF(A926="","",IF(AND(ISNUMBER(T926),ISNUMBER(U926)),IF(AND(T926&lt;=3,U926&lt;=3),"○","×"),""))</f>
        <v>×</v>
      </c>
      <c r="W926" s="8" t="n">
        <v>160</v>
      </c>
      <c r="X926" s="8"/>
      <c r="Y926" s="4" t="s">
        <v>7597</v>
      </c>
      <c r="Z926" s="4" t="s">
        <v>8101</v>
      </c>
      <c r="AA926" s="8" t="str">
        <v/>
      </c>
      <c r="AB926" s="8" t="str">
        <v/>
      </c>
      <c r="AC926" s="8" t="str">
        <v/>
      </c>
      <c r="AD926" s="8" t="str">
        <v/>
      </c>
      <c r="AE926" s="8" t="str">
        <v/>
      </c>
      <c r="AF926" s="8" t="str">
        <v/>
      </c>
      <c r="AG926" s="8" t="str">
        <v/>
      </c>
      <c r="AH926" s="8" t="str">
        <v/>
      </c>
      <c r="AI926" s="8" t="n">
        <v>25</v>
      </c>
      <c r="AJ926" s="8" t="str">
        <v>60～69</v>
      </c>
      <c r="AK926" s="8" t="str">
        <v>20～29</v>
      </c>
      <c r="AL926" s="8" t="str">
        <v>20～29</v>
      </c>
      <c r="AM926" s="8" t="str">
        <v>100～119</v>
      </c>
      <c r="AN926" s="8" t="str">
        <v>15以上</v>
      </c>
      <c r="AO926" s="8" t="str">
        <f aca="false">IF(A926="","",IF(COUNTIFS(全馬データ!$A$2:$A$50000,A926,全馬データ!$B$2:$B$50000,B926,全馬データ!$C$2:$C$50000,C926,全馬データ!$D$2:$D$50000,E926,全馬データ!$K$2:$K$50000,"&lt;&gt;")=0,"",SUMIFS(全馬データ!$K$2:$K$50000,全馬データ!$A$2:$A$50000,A926,全馬データ!$B$2:$B$50000,B926,全馬データ!$C$2:$C$50000,C926,全馬データ!$D$2:$D$50000,E926)))</f>
        <v/>
      </c>
      <c r="AP926" s="8" t="str">
        <f aca="false">IF(A926="","",IF(AO926="","欠損",IF(AO926&lt;=1.1,"1.0～1.1",IF(AO926&lt;1.3,"1.2",IF(AO926&lt;1.5,"1.3～1.4",IF(AO926&lt;2,"1.5～1.9","2.0以上"))))))</f>
        <v>欠損</v>
      </c>
      <c r="AQ926" s="8" t="str">
        <f aca="false">IF(A926="","",IF(ISNUMBER(SEARCH("2歳",Z926)),"2歳戦",IF(ISNUMBER(SEARCH("3歳未勝利",Z926)),"3歳未勝利",IF(ISNUMBER(SEARCH("未勝利",Z926)),"その他未勝利",IF(ISNUMBER(SEARCH("G1",Z926)),"G1",IF(ISNUMBER(SEARCH("G2",Z926)),"G2",IF(ISNUMBER(SEARCH("G3",Z926)),"G3",IF(ISNUMBER(SEARCH("古馬条件",Z926)),"古馬条件戦",IF(ISNUMBER(SEARCH("重賞",Z926)),"重賞","分類不能")))))))))</f>
        <v>分類不能</v>
      </c>
      <c r="AR926" s="8"/>
      <c r="AS926" s="8" t="s">
        <v>7623</v>
      </c>
      <c r="AT926" s="8" t="s">
        <v>7624</v>
      </c>
      <c r="AU926" s="8" t="s">
        <v>7600</v>
      </c>
      <c r="AV926" s="4" t="s">
        <v>7601</v>
      </c>
      <c r="AW926" s="8"/>
      <c r="AX926" s="8"/>
      <c r="AY926" s="8" t="s">
        <v>7610</v>
      </c>
      <c r="AZ926" s="4" t="s">
        <v>7617</v>
      </c>
      <c r="BA926" s="8" t="n">
        <v>1800</v>
      </c>
      <c r="BB926" s="8" t="s">
        <v>7634</v>
      </c>
      <c r="BC926" s="4" t="s">
        <v>7604</v>
      </c>
      <c r="BD926" s="8" t="s">
        <v>7621</v>
      </c>
      <c r="BE926" s="4" t="s">
        <v>7622</v>
      </c>
      <c r="BF926" s="8" t="s">
        <v>7602</v>
      </c>
      <c r="BG926" s="8" t="s">
        <v>7608</v>
      </c>
      <c r="BH926" s="4" t="s">
        <v>7609</v>
      </c>
      <c r="BI926" s="8" t="n">
        <v>16</v>
      </c>
      <c r="BJ926" s="8" t="s">
        <v>7610</v>
      </c>
      <c r="BK926" s="4" t="s">
        <v>7611</v>
      </c>
      <c r="BL926" s="8" t="s">
        <v>7602</v>
      </c>
      <c r="BM926" s="4" t="s">
        <v>7620</v>
      </c>
      <c r="BN926" s="8"/>
      <c r="BO926" s="8"/>
      <c r="BP926" s="8" t="s">
        <v>7610</v>
      </c>
      <c r="BQ926" s="8" t="str">
        <f aca="false">IF(A926="","",AT926)</f>
        <v>3歳</v>
      </c>
      <c r="BR926" s="8" t="str">
        <f aca="false">IF(A926="","",IF(BA926&lt;=1200,"～1200",IF(BA926&lt;=1500,"1300～1500",IF(BA926=1600,"1600",IF(BA926&lt;=1800,"1700～1800",IF(BA926&lt;=2000,"1900～2000","2100以上"))))))</f>
        <v>1700～1800</v>
      </c>
      <c r="BS926" s="8" t="str">
        <f aca="false">IF(A926="","",IF(AX926="G1","G1",IF(AX926="G2","G2",IF(AX926="G3","G3",IF(AX926="L","L","その他")))))</f>
        <v>その他</v>
      </c>
      <c r="BT926" s="8" t="str">
        <f aca="false">IF(A926="","",IF(BI926="","未結合",IF(D926=BI926,"一致","不一致")))</f>
        <v>一致</v>
      </c>
      <c r="BU926" s="8" t="str">
        <f aca="false">IF(A926="","",IF(BE926="牝馬限定","牝馬限定","その他"))</f>
        <v>牝馬限定</v>
      </c>
    </row>
    <row r="927" customFormat="false" ht="15.75" hidden="false" customHeight="false" outlineLevel="0" collapsed="false">
      <c r="A927" s="6" t="n">
        <f aca="false">DATE(2026,8,1)</f>
        <v>46235</v>
      </c>
      <c r="B927" s="4" t="s">
        <v>179</v>
      </c>
      <c r="C927" s="8" t="n">
        <v>5</v>
      </c>
      <c r="D927" s="8" t="n">
        <v>16</v>
      </c>
      <c r="E927" s="8" t="n">
        <v>9</v>
      </c>
      <c r="F927" s="4" t="s">
        <v>3615</v>
      </c>
      <c r="G927" s="8" t="n">
        <v>65</v>
      </c>
      <c r="H927" s="8" t="n">
        <v>1</v>
      </c>
      <c r="I927" s="4" t="s">
        <v>2058</v>
      </c>
      <c r="J927" s="8" t="n">
        <v>58</v>
      </c>
      <c r="K927" s="8" t="n">
        <v>2</v>
      </c>
      <c r="L927" s="4" t="s">
        <v>2062</v>
      </c>
      <c r="M927" s="8" t="n">
        <v>52</v>
      </c>
      <c r="N927" s="8" t="n">
        <f aca="false">IF(A927="","",G927-J927)</f>
        <v>7</v>
      </c>
      <c r="O927" s="8" t="n">
        <f aca="false">IF(A927="","",J927-M927)</f>
        <v>6</v>
      </c>
      <c r="P927" s="8" t="n">
        <f aca="false">IF(A927="","",G927+J927)</f>
        <v>123</v>
      </c>
      <c r="Q927" s="8" t="str">
        <f aca="false">IF(A927="","",IF(AND(Y927&lt;&gt;"参考",G927&gt;=ルール設定!$B$2),"○",""))</f>
        <v/>
      </c>
      <c r="R927" s="8" t="str">
        <f aca="false">IF(A927="","",IF(AND(Y927&lt;&gt;"参考",G927&gt;=ルール設定!$B$3,N927&gt;=ルール設定!$B$4),"○",""))</f>
        <v/>
      </c>
      <c r="S927" s="8" t="str">
        <f aca="false">IF(A927="","",IF(AND(Y927&lt;&gt;"参考",G927&gt;=ルール設定!$B$5,J927&gt;=ルール設定!$B$6,O927&gt;=ルール設定!$B$7),"○",""))</f>
        <v/>
      </c>
      <c r="T927" s="8" t="n">
        <v>2</v>
      </c>
      <c r="U927" s="8" t="n">
        <v>4</v>
      </c>
      <c r="V927" s="8" t="str">
        <f aca="false">IF(A927="","",IF(AND(ISNUMBER(T927),ISNUMBER(U927)),IF(AND(T927&lt;=3,U927&lt;=3),"○","×"),""))</f>
        <v>×</v>
      </c>
      <c r="W927" s="8" t="n">
        <v>130</v>
      </c>
      <c r="X927" s="8"/>
      <c r="Y927" s="4" t="s">
        <v>7597</v>
      </c>
      <c r="Z927" s="4" t="s">
        <v>8101</v>
      </c>
      <c r="AA927" s="8" t="str">
        <v/>
      </c>
      <c r="AB927" s="8" t="str">
        <v/>
      </c>
      <c r="AC927" s="8" t="str">
        <v/>
      </c>
      <c r="AD927" s="8" t="str">
        <v/>
      </c>
      <c r="AE927" s="8" t="str">
        <v/>
      </c>
      <c r="AF927" s="8" t="str">
        <v/>
      </c>
      <c r="AG927" s="8" t="str">
        <v/>
      </c>
      <c r="AH927" s="8" t="str">
        <v/>
      </c>
      <c r="AI927" s="8" t="n">
        <v>13</v>
      </c>
      <c r="AJ927" s="8" t="str">
        <v>60～69</v>
      </c>
      <c r="AK927" s="8" t="str">
        <v>5～9</v>
      </c>
      <c r="AL927" s="8" t="str">
        <v>10～19</v>
      </c>
      <c r="AM927" s="8" t="str">
        <v>120～139</v>
      </c>
      <c r="AN927" s="8" t="str">
        <v>15以上</v>
      </c>
      <c r="AO927" s="8" t="str">
        <f aca="false">IF(A927="","",IF(COUNTIFS(全馬データ!$A$2:$A$50000,A927,全馬データ!$B$2:$B$50000,B927,全馬データ!$C$2:$C$50000,C927,全馬データ!$D$2:$D$50000,E927,全馬データ!$K$2:$K$50000,"&lt;&gt;")=0,"",SUMIFS(全馬データ!$K$2:$K$50000,全馬データ!$A$2:$A$50000,A927,全馬データ!$B$2:$B$50000,B927,全馬データ!$C$2:$C$50000,C927,全馬データ!$D$2:$D$50000,E927)))</f>
        <v/>
      </c>
      <c r="AP927" s="8" t="str">
        <f aca="false">IF(A927="","",IF(AO927="","欠損",IF(AO927&lt;=1.1,"1.0～1.1",IF(AO927&lt;1.3,"1.2",IF(AO927&lt;1.5,"1.3～1.4",IF(AO927&lt;2,"1.5～1.9","2.0以上"))))))</f>
        <v>欠損</v>
      </c>
      <c r="AQ927" s="8" t="str">
        <f aca="false">IF(A927="","",IF(ISNUMBER(SEARCH("2歳",Z927)),"2歳戦",IF(ISNUMBER(SEARCH("3歳未勝利",Z927)),"3歳未勝利",IF(ISNUMBER(SEARCH("未勝利",Z927)),"その他未勝利",IF(ISNUMBER(SEARCH("G1",Z927)),"G1",IF(ISNUMBER(SEARCH("G2",Z927)),"G2",IF(ISNUMBER(SEARCH("G3",Z927)),"G3",IF(ISNUMBER(SEARCH("古馬条件",Z927)),"古馬条件戦",IF(ISNUMBER(SEARCH("重賞",Z927)),"重賞","分類不能")))))))))</f>
        <v>分類不能</v>
      </c>
      <c r="AR927" s="8"/>
      <c r="AS927" s="8" t="s">
        <v>7623</v>
      </c>
      <c r="AT927" s="8" t="s">
        <v>7624</v>
      </c>
      <c r="AU927" s="8" t="s">
        <v>7600</v>
      </c>
      <c r="AV927" s="4" t="s">
        <v>7601</v>
      </c>
      <c r="AW927" s="8"/>
      <c r="AX927" s="8"/>
      <c r="AY927" s="8" t="s">
        <v>7610</v>
      </c>
      <c r="AZ927" s="4" t="s">
        <v>7617</v>
      </c>
      <c r="BA927" s="8" t="n">
        <v>1800</v>
      </c>
      <c r="BB927" s="8" t="s">
        <v>7634</v>
      </c>
      <c r="BC927" s="4" t="s">
        <v>7604</v>
      </c>
      <c r="BD927" s="8" t="s">
        <v>7625</v>
      </c>
      <c r="BE927" s="4" t="s">
        <v>7606</v>
      </c>
      <c r="BF927" s="8" t="s">
        <v>7607</v>
      </c>
      <c r="BG927" s="8" t="s">
        <v>7608</v>
      </c>
      <c r="BH927" s="4" t="s">
        <v>7609</v>
      </c>
      <c r="BI927" s="8" t="n">
        <v>16</v>
      </c>
      <c r="BJ927" s="8" t="s">
        <v>7610</v>
      </c>
      <c r="BK927" s="4" t="s">
        <v>7611</v>
      </c>
      <c r="BL927" s="8" t="s">
        <v>7602</v>
      </c>
      <c r="BM927" s="4" t="s">
        <v>7620</v>
      </c>
      <c r="BN927" s="8"/>
      <c r="BO927" s="8"/>
      <c r="BP927" s="8" t="s">
        <v>7610</v>
      </c>
      <c r="BQ927" s="8" t="str">
        <f aca="false">IF(A927="","",AT927)</f>
        <v>3歳</v>
      </c>
      <c r="BR927" s="8" t="str">
        <f aca="false">IF(A927="","",IF(BA927&lt;=1200,"～1200",IF(BA927&lt;=1500,"1300～1500",IF(BA927=1600,"1600",IF(BA927&lt;=1800,"1700～1800",IF(BA927&lt;=2000,"1900～2000","2100以上"))))))</f>
        <v>1700～1800</v>
      </c>
      <c r="BS927" s="8" t="str">
        <f aca="false">IF(A927="","",IF(AX927="G1","G1",IF(AX927="G2","G2",IF(AX927="G3","G3",IF(AX927="L","L","その他")))))</f>
        <v>その他</v>
      </c>
      <c r="BT927" s="8" t="str">
        <f aca="false">IF(A927="","",IF(BI927="","未結合",IF(D927=BI927,"一致","不一致")))</f>
        <v>一致</v>
      </c>
      <c r="BU927" s="8" t="str">
        <f aca="false">IF(A927="","",IF(BE927="牝馬限定","牝馬限定","その他"))</f>
        <v>その他</v>
      </c>
    </row>
    <row r="928" customFormat="false" ht="15.75" hidden="false" customHeight="false" outlineLevel="0" collapsed="false">
      <c r="A928" s="6" t="n">
        <f aca="false">DATE(2026,8,1)</f>
        <v>46235</v>
      </c>
      <c r="B928" s="4" t="s">
        <v>179</v>
      </c>
      <c r="C928" s="8" t="n">
        <v>6</v>
      </c>
      <c r="D928" s="8" t="n">
        <v>16</v>
      </c>
      <c r="E928" s="8" t="n">
        <v>3</v>
      </c>
      <c r="F928" s="4" t="s">
        <v>3624</v>
      </c>
      <c r="G928" s="8" t="n">
        <v>86</v>
      </c>
      <c r="H928" s="8" t="n">
        <v>8</v>
      </c>
      <c r="I928" s="4" t="s">
        <v>3629</v>
      </c>
      <c r="J928" s="8" t="n">
        <v>52</v>
      </c>
      <c r="K928" s="8" t="n">
        <v>13</v>
      </c>
      <c r="L928" s="4" t="s">
        <v>3634</v>
      </c>
      <c r="M928" s="8" t="n">
        <v>37</v>
      </c>
      <c r="N928" s="8" t="n">
        <f aca="false">IF(A928="","",G928-J928)</f>
        <v>34</v>
      </c>
      <c r="O928" s="8" t="n">
        <f aca="false">IF(A928="","",J928-M928)</f>
        <v>15</v>
      </c>
      <c r="P928" s="8" t="n">
        <f aca="false">IF(A928="","",G928+J928)</f>
        <v>138</v>
      </c>
      <c r="Q928" s="8" t="str">
        <f aca="false">IF(A928="","",IF(AND(Y928&lt;&gt;"参考",G928&gt;=ルール設定!$B$2),"○",""))</f>
        <v>○</v>
      </c>
      <c r="R928" s="8" t="str">
        <f aca="false">IF(A928="","",IF(AND(Y928&lt;&gt;"参考",G928&gt;=ルール設定!$B$3,N928&gt;=ルール設定!$B$4),"○",""))</f>
        <v>○</v>
      </c>
      <c r="S928" s="8" t="str">
        <f aca="false">IF(A928="","",IF(AND(Y928&lt;&gt;"参考",G928&gt;=ルール設定!$B$5,J928&gt;=ルール設定!$B$6,O928&gt;=ルール設定!$B$7),"○",""))</f>
        <v/>
      </c>
      <c r="T928" s="8" t="n">
        <v>1</v>
      </c>
      <c r="U928" s="8" t="n">
        <v>3</v>
      </c>
      <c r="V928" s="8" t="str">
        <f aca="false">IF(A928="","",IF(AND(ISNUMBER(T928),ISNUMBER(U928)),IF(AND(T928&lt;=3,U928&lt;=3),"○","×"),""))</f>
        <v>○</v>
      </c>
      <c r="W928" s="8" t="n">
        <v>110</v>
      </c>
      <c r="X928" s="8"/>
      <c r="Y928" s="4" t="s">
        <v>7597</v>
      </c>
      <c r="Z928" s="4" t="s">
        <v>8101</v>
      </c>
      <c r="AA928" s="8" t="str">
        <v>○</v>
      </c>
      <c r="AB928" s="8" t="str">
        <v>○</v>
      </c>
      <c r="AC928" s="8" t="str">
        <v/>
      </c>
      <c r="AD928" s="8" t="str">
        <v>○</v>
      </c>
      <c r="AE928" s="8" t="str">
        <v/>
      </c>
      <c r="AF928" s="8" t="str">
        <v/>
      </c>
      <c r="AG928" s="8" t="str">
        <v>○</v>
      </c>
      <c r="AH928" s="8" t="str">
        <v/>
      </c>
      <c r="AI928" s="8" t="n">
        <v>49</v>
      </c>
      <c r="AJ928" s="8" t="str">
        <v>85以上</v>
      </c>
      <c r="AK928" s="8" t="str">
        <v>30以上</v>
      </c>
      <c r="AL928" s="8" t="str">
        <v>40以上</v>
      </c>
      <c r="AM928" s="8" t="str">
        <v>120～139</v>
      </c>
      <c r="AN928" s="8" t="str">
        <v>15以上</v>
      </c>
      <c r="AO928" s="8" t="str">
        <f aca="false">IF(A928="","",IF(COUNTIFS(全馬データ!$A$2:$A$50000,A928,全馬データ!$B$2:$B$50000,B928,全馬データ!$C$2:$C$50000,C928,全馬データ!$D$2:$D$50000,E928,全馬データ!$K$2:$K$50000,"&lt;&gt;")=0,"",SUMIFS(全馬データ!$K$2:$K$50000,全馬データ!$A$2:$A$50000,A928,全馬データ!$B$2:$B$50000,B928,全馬データ!$C$2:$C$50000,C928,全馬データ!$D$2:$D$50000,E928)))</f>
        <v/>
      </c>
      <c r="AP928" s="8" t="str">
        <f aca="false">IF(A928="","",IF(AO928="","欠損",IF(AO928&lt;=1.1,"1.0～1.1",IF(AO928&lt;1.3,"1.2",IF(AO928&lt;1.5,"1.3～1.4",IF(AO928&lt;2,"1.5～1.9","2.0以上"))))))</f>
        <v>欠損</v>
      </c>
      <c r="AQ928" s="8" t="str">
        <f aca="false">IF(A928="","",IF(ISNUMBER(SEARCH("2歳",Z928)),"2歳戦",IF(ISNUMBER(SEARCH("3歳未勝利",Z928)),"3歳未勝利",IF(ISNUMBER(SEARCH("未勝利",Z928)),"その他未勝利",IF(ISNUMBER(SEARCH("G1",Z928)),"G1",IF(ISNUMBER(SEARCH("G2",Z928)),"G2",IF(ISNUMBER(SEARCH("G3",Z928)),"G3",IF(ISNUMBER(SEARCH("古馬条件",Z928)),"古馬条件戦",IF(ISNUMBER(SEARCH("重賞",Z928)),"重賞","分類不能")))))))))</f>
        <v>分類不能</v>
      </c>
      <c r="AR928" s="4" t="s">
        <v>8108</v>
      </c>
      <c r="AS928" s="8" t="s">
        <v>7626</v>
      </c>
      <c r="AT928" s="8" t="s">
        <v>7627</v>
      </c>
      <c r="AU928" s="8" t="s">
        <v>7639</v>
      </c>
      <c r="AV928" s="8" t="s">
        <v>7640</v>
      </c>
      <c r="AW928" s="8" t="s">
        <v>7636</v>
      </c>
      <c r="AX928" s="4" t="s">
        <v>7637</v>
      </c>
      <c r="AY928" s="8" t="s">
        <v>7610</v>
      </c>
      <c r="AZ928" s="4" t="s">
        <v>7617</v>
      </c>
      <c r="BA928" s="8" t="n">
        <v>1400</v>
      </c>
      <c r="BB928" s="8" t="s">
        <v>7634</v>
      </c>
      <c r="BC928" s="4" t="s">
        <v>7604</v>
      </c>
      <c r="BD928" s="8" t="s">
        <v>7630</v>
      </c>
      <c r="BE928" s="4" t="s">
        <v>7606</v>
      </c>
      <c r="BF928" s="8" t="s">
        <v>7607</v>
      </c>
      <c r="BG928" s="8" t="s">
        <v>7631</v>
      </c>
      <c r="BH928" s="4" t="s">
        <v>7632</v>
      </c>
      <c r="BI928" s="8" t="n">
        <v>16</v>
      </c>
      <c r="BJ928" s="8" t="s">
        <v>7610</v>
      </c>
      <c r="BK928" s="4" t="s">
        <v>7611</v>
      </c>
      <c r="BL928" s="8" t="s">
        <v>7602</v>
      </c>
      <c r="BM928" s="4" t="s">
        <v>7620</v>
      </c>
      <c r="BN928" s="8"/>
      <c r="BO928" s="8"/>
      <c r="BP928" s="8" t="s">
        <v>7610</v>
      </c>
      <c r="BQ928" s="8" t="str">
        <f aca="false">IF(A928="","",AT928)</f>
        <v>3歳以上</v>
      </c>
      <c r="BR928" s="8" t="str">
        <f aca="false">IF(A928="","",IF(BA928&lt;=1200,"～1200",IF(BA928&lt;=1500,"1300～1500",IF(BA928=1600,"1600",IF(BA928&lt;=1800,"1700～1800",IF(BA928&lt;=2000,"1900～2000","2100以上"))))))</f>
        <v>1300～1500</v>
      </c>
      <c r="BS928" s="8" t="str">
        <f aca="false">IF(A928="","",IF(AX928="G1","G1",IF(AX928="G2","G2",IF(AX928="G3","G3",IF(AX928="L","L","その他")))))</f>
        <v>その他</v>
      </c>
      <c r="BT928" s="8" t="str">
        <f aca="false">IF(A928="","",IF(BI928="","未結合",IF(D928=BI928,"一致","不一致")))</f>
        <v>一致</v>
      </c>
      <c r="BU928" s="8" t="str">
        <f aca="false">IF(A928="","",IF(BE928="牝馬限定","牝馬限定","その他"))</f>
        <v>その他</v>
      </c>
    </row>
    <row r="929" customFormat="false" ht="15.75" hidden="false" customHeight="false" outlineLevel="0" collapsed="false">
      <c r="A929" s="6" t="n">
        <f aca="false">DATE(2026,8,1)</f>
        <v>46235</v>
      </c>
      <c r="B929" s="4" t="s">
        <v>179</v>
      </c>
      <c r="C929" s="8" t="n">
        <v>7</v>
      </c>
      <c r="D929" s="8" t="n">
        <v>11</v>
      </c>
      <c r="E929" s="8" t="n">
        <v>2</v>
      </c>
      <c r="F929" s="4" t="s">
        <v>3639</v>
      </c>
      <c r="G929" s="8" t="n">
        <v>44</v>
      </c>
      <c r="H929" s="8" t="n">
        <v>3</v>
      </c>
      <c r="I929" s="4" t="s">
        <v>3640</v>
      </c>
      <c r="J929" s="8" t="n">
        <v>35</v>
      </c>
      <c r="K929" s="8" t="n">
        <v>8</v>
      </c>
      <c r="L929" s="4" t="s">
        <v>3644</v>
      </c>
      <c r="M929" s="8" t="n">
        <v>34</v>
      </c>
      <c r="N929" s="8" t="n">
        <f aca="false">IF(A929="","",G929-J929)</f>
        <v>9</v>
      </c>
      <c r="O929" s="8" t="n">
        <f aca="false">IF(A929="","",J929-M929)</f>
        <v>1</v>
      </c>
      <c r="P929" s="8" t="n">
        <f aca="false">IF(A929="","",G929+J929)</f>
        <v>79</v>
      </c>
      <c r="Q929" s="8" t="str">
        <f aca="false">IF(A929="","",IF(AND(Y929&lt;&gt;"参考",G929&gt;=ルール設定!$B$2),"○",""))</f>
        <v/>
      </c>
      <c r="R929" s="8" t="str">
        <f aca="false">IF(A929="","",IF(AND(Y929&lt;&gt;"参考",G929&gt;=ルール設定!$B$3,N929&gt;=ルール設定!$B$4),"○",""))</f>
        <v/>
      </c>
      <c r="S929" s="8" t="str">
        <f aca="false">IF(A929="","",IF(AND(Y929&lt;&gt;"参考",G929&gt;=ルール設定!$B$5,J929&gt;=ルール設定!$B$6,O929&gt;=ルール設定!$B$7),"○",""))</f>
        <v/>
      </c>
      <c r="T929" s="8" t="n">
        <v>4</v>
      </c>
      <c r="U929" s="8" t="n">
        <v>4</v>
      </c>
      <c r="V929" s="8" t="str">
        <f aca="false">IF(A929="","",IF(AND(ISNUMBER(T929),ISNUMBER(U929)),IF(AND(T929&lt;=3,U929&lt;=3),"○","×"),""))</f>
        <v>×</v>
      </c>
      <c r="W929" s="8"/>
      <c r="X929" s="8"/>
      <c r="Y929" s="4" t="s">
        <v>7597</v>
      </c>
      <c r="Z929" s="4" t="s">
        <v>8101</v>
      </c>
      <c r="AA929" s="8" t="str">
        <v/>
      </c>
      <c r="AB929" s="8" t="str">
        <v/>
      </c>
      <c r="AC929" s="8" t="str">
        <v/>
      </c>
      <c r="AD929" s="8" t="str">
        <v/>
      </c>
      <c r="AE929" s="8" t="str">
        <v/>
      </c>
      <c r="AF929" s="8" t="str">
        <v/>
      </c>
      <c r="AG929" s="8" t="str">
        <v/>
      </c>
      <c r="AH929" s="8" t="str">
        <v/>
      </c>
      <c r="AI929" s="8" t="n">
        <v>10</v>
      </c>
      <c r="AJ929" s="8" t="str">
        <v>～59</v>
      </c>
      <c r="AK929" s="8" t="str">
        <v>5～9</v>
      </c>
      <c r="AL929" s="8" t="str">
        <v>10～19</v>
      </c>
      <c r="AM929" s="8" t="str">
        <v>～99</v>
      </c>
      <c r="AN929" s="8" t="str">
        <v>8～11</v>
      </c>
      <c r="AO929" s="8" t="str">
        <f aca="false">IF(A929="","",IF(COUNTIFS(全馬データ!$A$2:$A$50000,A929,全馬データ!$B$2:$B$50000,B929,全馬データ!$C$2:$C$50000,C929,全馬データ!$D$2:$D$50000,E929,全馬データ!$K$2:$K$50000,"&lt;&gt;")=0,"",SUMIFS(全馬データ!$K$2:$K$50000,全馬データ!$A$2:$A$50000,A929,全馬データ!$B$2:$B$50000,B929,全馬データ!$C$2:$C$50000,C929,全馬データ!$D$2:$D$50000,E929)))</f>
        <v/>
      </c>
      <c r="AP929" s="8" t="str">
        <f aca="false">IF(A929="","",IF(AO929="","欠損",IF(AO929&lt;=1.1,"1.0～1.1",IF(AO929&lt;1.3,"1.2",IF(AO929&lt;1.5,"1.3～1.4",IF(AO929&lt;2,"1.5～1.9","2.0以上"))))))</f>
        <v>欠損</v>
      </c>
      <c r="AQ929" s="8" t="str">
        <f aca="false">IF(A929="","",IF(ISNUMBER(SEARCH("2歳",Z929)),"2歳戦",IF(ISNUMBER(SEARCH("3歳未勝利",Z929)),"3歳未勝利",IF(ISNUMBER(SEARCH("未勝利",Z929)),"その他未勝利",IF(ISNUMBER(SEARCH("G1",Z929)),"G1",IF(ISNUMBER(SEARCH("G2",Z929)),"G2",IF(ISNUMBER(SEARCH("G3",Z929)),"G3",IF(ISNUMBER(SEARCH("古馬条件",Z929)),"古馬条件戦",IF(ISNUMBER(SEARCH("重賞",Z929)),"重賞","分類不能")))))))))</f>
        <v>分類不能</v>
      </c>
      <c r="AR929" s="4" t="s">
        <v>8109</v>
      </c>
      <c r="AS929" s="8" t="s">
        <v>7626</v>
      </c>
      <c r="AT929" s="8" t="s">
        <v>7627</v>
      </c>
      <c r="AU929" s="8" t="s">
        <v>7639</v>
      </c>
      <c r="AV929" s="8" t="s">
        <v>7640</v>
      </c>
      <c r="AW929" s="8" t="s">
        <v>7636</v>
      </c>
      <c r="AX929" s="4" t="s">
        <v>7637</v>
      </c>
      <c r="AY929" s="8" t="s">
        <v>7602</v>
      </c>
      <c r="AZ929" s="4" t="s">
        <v>7603</v>
      </c>
      <c r="BA929" s="8" t="n">
        <v>1600</v>
      </c>
      <c r="BB929" s="8" t="s">
        <v>7598</v>
      </c>
      <c r="BC929" s="4" t="s">
        <v>7604</v>
      </c>
      <c r="BD929" s="8" t="s">
        <v>7605</v>
      </c>
      <c r="BE929" s="4" t="s">
        <v>7606</v>
      </c>
      <c r="BF929" s="8" t="s">
        <v>7607</v>
      </c>
      <c r="BG929" s="8" t="s">
        <v>7602</v>
      </c>
      <c r="BH929" s="4" t="s">
        <v>7667</v>
      </c>
      <c r="BI929" s="8" t="n">
        <v>11</v>
      </c>
      <c r="BJ929" s="8" t="s">
        <v>7610</v>
      </c>
      <c r="BK929" s="4" t="s">
        <v>7611</v>
      </c>
      <c r="BL929" s="8" t="s">
        <v>7602</v>
      </c>
      <c r="BM929" s="4" t="s">
        <v>7620</v>
      </c>
      <c r="BN929" s="8" t="s">
        <v>7602</v>
      </c>
      <c r="BO929" s="8" t="s">
        <v>7613</v>
      </c>
      <c r="BP929" s="8" t="s">
        <v>7610</v>
      </c>
      <c r="BQ929" s="8" t="str">
        <f aca="false">IF(A929="","",AT929)</f>
        <v>3歳以上</v>
      </c>
      <c r="BR929" s="8" t="str">
        <f aca="false">IF(A929="","",IF(BA929&lt;=1200,"～1200",IF(BA929&lt;=1500,"1300～1500",IF(BA929=1600,"1600",IF(BA929&lt;=1800,"1700～1800",IF(BA929&lt;=2000,"1900～2000","2100以上"))))))</f>
        <v>1600</v>
      </c>
      <c r="BS929" s="8" t="str">
        <f aca="false">IF(A929="","",IF(AX929="G1","G1",IF(AX929="G2","G2",IF(AX929="G3","G3",IF(AX929="L","L","その他")))))</f>
        <v>その他</v>
      </c>
      <c r="BT929" s="8" t="str">
        <f aca="false">IF(A929="","",IF(BI929="","未結合",IF(D929=BI929,"一致","不一致")))</f>
        <v>一致</v>
      </c>
      <c r="BU929" s="8" t="str">
        <f aca="false">IF(A929="","",IF(BE929="牝馬限定","牝馬限定","その他"))</f>
        <v>その他</v>
      </c>
    </row>
    <row r="930" customFormat="false" ht="15.75" hidden="false" customHeight="false" outlineLevel="0" collapsed="false">
      <c r="A930" s="6" t="n">
        <f aca="false">DATE(2026,8,1)</f>
        <v>46235</v>
      </c>
      <c r="B930" s="4" t="s">
        <v>179</v>
      </c>
      <c r="C930" s="8" t="n">
        <v>8</v>
      </c>
      <c r="D930" s="8" t="n">
        <v>13</v>
      </c>
      <c r="E930" s="8" t="n">
        <v>10</v>
      </c>
      <c r="F930" s="4" t="s">
        <v>3652</v>
      </c>
      <c r="G930" s="8" t="n">
        <v>74</v>
      </c>
      <c r="H930" s="8" t="n">
        <v>4</v>
      </c>
      <c r="I930" s="4" t="s">
        <v>3648</v>
      </c>
      <c r="J930" s="8" t="n">
        <v>47</v>
      </c>
      <c r="K930" s="8" t="n">
        <v>8</v>
      </c>
      <c r="L930" s="4" t="s">
        <v>3650</v>
      </c>
      <c r="M930" s="8" t="n">
        <v>41</v>
      </c>
      <c r="N930" s="8" t="n">
        <f aca="false">IF(A930="","",G930-J930)</f>
        <v>27</v>
      </c>
      <c r="O930" s="8" t="n">
        <f aca="false">IF(A930="","",J930-M930)</f>
        <v>6</v>
      </c>
      <c r="P930" s="8" t="n">
        <f aca="false">IF(A930="","",G930+J930)</f>
        <v>121</v>
      </c>
      <c r="Q930" s="8" t="str">
        <f aca="false">IF(A930="","",IF(AND(Y930&lt;&gt;"参考",G930&gt;=ルール設定!$B$2),"○",""))</f>
        <v/>
      </c>
      <c r="R930" s="8" t="str">
        <f aca="false">IF(A930="","",IF(AND(Y930&lt;&gt;"参考",G930&gt;=ルール設定!$B$3,N930&gt;=ルール設定!$B$4),"○",""))</f>
        <v/>
      </c>
      <c r="S930" s="8" t="str">
        <f aca="false">IF(A930="","",IF(AND(Y930&lt;&gt;"参考",G930&gt;=ルール設定!$B$5,J930&gt;=ルール設定!$B$6,O930&gt;=ルール設定!$B$7),"○",""))</f>
        <v/>
      </c>
      <c r="T930" s="8" t="n">
        <v>1</v>
      </c>
      <c r="U930" s="8" t="n">
        <v>3</v>
      </c>
      <c r="V930" s="8" t="str">
        <f aca="false">IF(A930="","",IF(AND(ISNUMBER(T930),ISNUMBER(U930)),IF(AND(T930&lt;=3,U930&lt;=3),"○","×"),""))</f>
        <v>○</v>
      </c>
      <c r="W930" s="8" t="n">
        <v>100</v>
      </c>
      <c r="X930" s="8"/>
      <c r="Y930" s="4" t="s">
        <v>7597</v>
      </c>
      <c r="Z930" s="4" t="s">
        <v>8101</v>
      </c>
      <c r="AA930" s="8" t="str">
        <v/>
      </c>
      <c r="AB930" s="8" t="str">
        <v/>
      </c>
      <c r="AC930" s="8" t="str">
        <v/>
      </c>
      <c r="AD930" s="8" t="str">
        <v/>
      </c>
      <c r="AE930" s="8" t="str">
        <v/>
      </c>
      <c r="AF930" s="8" t="str">
        <v/>
      </c>
      <c r="AG930" s="8" t="str">
        <v/>
      </c>
      <c r="AH930" s="8" t="str">
        <v/>
      </c>
      <c r="AI930" s="8" t="n">
        <v>33</v>
      </c>
      <c r="AJ930" s="8" t="str">
        <v>70～74</v>
      </c>
      <c r="AK930" s="8" t="str">
        <v>20～29</v>
      </c>
      <c r="AL930" s="8" t="str">
        <v>30～39</v>
      </c>
      <c r="AM930" s="8" t="str">
        <v>120～139</v>
      </c>
      <c r="AN930" s="8" t="str">
        <v>12～14</v>
      </c>
      <c r="AO930" s="8" t="str">
        <f aca="false">IF(A930="","",IF(COUNTIFS(全馬データ!$A$2:$A$50000,A930,全馬データ!$B$2:$B$50000,B930,全馬データ!$C$2:$C$50000,C930,全馬データ!$D$2:$D$50000,E930,全馬データ!$K$2:$K$50000,"&lt;&gt;")=0,"",SUMIFS(全馬データ!$K$2:$K$50000,全馬データ!$A$2:$A$50000,A930,全馬データ!$B$2:$B$50000,B930,全馬データ!$C$2:$C$50000,C930,全馬データ!$D$2:$D$50000,E930)))</f>
        <v/>
      </c>
      <c r="AP930" s="8" t="str">
        <f aca="false">IF(A930="","",IF(AO930="","欠損",IF(AO930&lt;=1.1,"1.0～1.1",IF(AO930&lt;1.3,"1.2",IF(AO930&lt;1.5,"1.3～1.4",IF(AO930&lt;2,"1.5～1.9","2.0以上"))))))</f>
        <v>欠損</v>
      </c>
      <c r="AQ930" s="8" t="str">
        <f aca="false">IF(A930="","",IF(ISNUMBER(SEARCH("2歳",Z930)),"2歳戦",IF(ISNUMBER(SEARCH("3歳未勝利",Z930)),"3歳未勝利",IF(ISNUMBER(SEARCH("未勝利",Z930)),"その他未勝利",IF(ISNUMBER(SEARCH("G1",Z930)),"G1",IF(ISNUMBER(SEARCH("G2",Z930)),"G2",IF(ISNUMBER(SEARCH("G3",Z930)),"G3",IF(ISNUMBER(SEARCH("古馬条件",Z930)),"古馬条件戦",IF(ISNUMBER(SEARCH("重賞",Z930)),"重賞","分類不能")))))))))</f>
        <v>分類不能</v>
      </c>
      <c r="AR930" s="4" t="s">
        <v>8110</v>
      </c>
      <c r="AS930" s="8" t="s">
        <v>7626</v>
      </c>
      <c r="AT930" s="8" t="s">
        <v>7627</v>
      </c>
      <c r="AU930" s="8" t="s">
        <v>7634</v>
      </c>
      <c r="AV930" s="8" t="s">
        <v>7635</v>
      </c>
      <c r="AW930" s="8" t="s">
        <v>7636</v>
      </c>
      <c r="AX930" s="4" t="s">
        <v>7637</v>
      </c>
      <c r="AY930" s="8" t="s">
        <v>7610</v>
      </c>
      <c r="AZ930" s="4" t="s">
        <v>7617</v>
      </c>
      <c r="BA930" s="8" t="n">
        <v>1800</v>
      </c>
      <c r="BB930" s="8" t="s">
        <v>7634</v>
      </c>
      <c r="BC930" s="4" t="s">
        <v>7604</v>
      </c>
      <c r="BD930" s="8" t="s">
        <v>7625</v>
      </c>
      <c r="BE930" s="4" t="s">
        <v>7606</v>
      </c>
      <c r="BF930" s="8" t="s">
        <v>7607</v>
      </c>
      <c r="BG930" s="8" t="s">
        <v>7631</v>
      </c>
      <c r="BH930" s="4" t="s">
        <v>7632</v>
      </c>
      <c r="BI930" s="8" t="n">
        <v>13</v>
      </c>
      <c r="BJ930" s="8" t="s">
        <v>7610</v>
      </c>
      <c r="BK930" s="4" t="s">
        <v>7611</v>
      </c>
      <c r="BL930" s="8" t="s">
        <v>7602</v>
      </c>
      <c r="BM930" s="4" t="s">
        <v>7620</v>
      </c>
      <c r="BN930" s="8"/>
      <c r="BO930" s="8"/>
      <c r="BP930" s="8" t="s">
        <v>7610</v>
      </c>
      <c r="BQ930" s="8" t="str">
        <f aca="false">IF(A930="","",AT930)</f>
        <v>3歳以上</v>
      </c>
      <c r="BR930" s="8" t="str">
        <f aca="false">IF(A930="","",IF(BA930&lt;=1200,"～1200",IF(BA930&lt;=1500,"1300～1500",IF(BA930=1600,"1600",IF(BA930&lt;=1800,"1700～1800",IF(BA930&lt;=2000,"1900～2000","2100以上"))))))</f>
        <v>1700～1800</v>
      </c>
      <c r="BS930" s="8" t="str">
        <f aca="false">IF(A930="","",IF(AX930="G1","G1",IF(AX930="G2","G2",IF(AX930="G3","G3",IF(AX930="L","L","その他")))))</f>
        <v>その他</v>
      </c>
      <c r="BT930" s="8" t="str">
        <f aca="false">IF(A930="","",IF(BI930="","未結合",IF(D930=BI930,"一致","不一致")))</f>
        <v>一致</v>
      </c>
      <c r="BU930" s="8" t="str">
        <f aca="false">IF(A930="","",IF(BE930="牝馬限定","牝馬限定","その他"))</f>
        <v>その他</v>
      </c>
    </row>
    <row r="931" customFormat="false" ht="15.75" hidden="false" customHeight="false" outlineLevel="0" collapsed="false">
      <c r="A931" s="6" t="n">
        <f aca="false">DATE(2026,8,1)</f>
        <v>46235</v>
      </c>
      <c r="B931" s="4" t="s">
        <v>179</v>
      </c>
      <c r="C931" s="8" t="n">
        <v>9</v>
      </c>
      <c r="D931" s="8" t="n">
        <v>11</v>
      </c>
      <c r="E931" s="8" t="n">
        <v>3</v>
      </c>
      <c r="F931" s="4" t="s">
        <v>2808</v>
      </c>
      <c r="G931" s="8" t="n">
        <v>55</v>
      </c>
      <c r="H931" s="8" t="n">
        <v>7</v>
      </c>
      <c r="I931" s="4" t="s">
        <v>3658</v>
      </c>
      <c r="J931" s="8" t="n">
        <v>55</v>
      </c>
      <c r="K931" s="8" t="n">
        <v>8</v>
      </c>
      <c r="L931" s="4" t="s">
        <v>3659</v>
      </c>
      <c r="M931" s="8" t="n">
        <v>44</v>
      </c>
      <c r="N931" s="8" t="n">
        <f aca="false">IF(A931="","",G931-J931)</f>
        <v>0</v>
      </c>
      <c r="O931" s="8" t="n">
        <f aca="false">IF(A931="","",J931-M931)</f>
        <v>11</v>
      </c>
      <c r="P931" s="8" t="n">
        <f aca="false">IF(A931="","",G931+J931)</f>
        <v>110</v>
      </c>
      <c r="Q931" s="8" t="str">
        <f aca="false">IF(A931="","",IF(AND(Y931&lt;&gt;"参考",G931&gt;=ルール設定!$B$2),"○",""))</f>
        <v/>
      </c>
      <c r="R931" s="8" t="str">
        <f aca="false">IF(A931="","",IF(AND(Y931&lt;&gt;"参考",G931&gt;=ルール設定!$B$3,N931&gt;=ルール設定!$B$4),"○",""))</f>
        <v/>
      </c>
      <c r="S931" s="8" t="str">
        <f aca="false">IF(A931="","",IF(AND(Y931&lt;&gt;"参考",G931&gt;=ルール設定!$B$5,J931&gt;=ルール設定!$B$6,O931&gt;=ルール設定!$B$7),"○",""))</f>
        <v/>
      </c>
      <c r="T931" s="8" t="n">
        <v>4</v>
      </c>
      <c r="U931" s="8" t="n">
        <v>1</v>
      </c>
      <c r="V931" s="8" t="str">
        <f aca="false">IF(A931="","",IF(AND(ISNUMBER(T931),ISNUMBER(U931)),IF(AND(T931&lt;=3,U931&lt;=3),"○","×"),""))</f>
        <v>×</v>
      </c>
      <c r="W931" s="8"/>
      <c r="X931" s="8"/>
      <c r="Y931" s="4" t="s">
        <v>7597</v>
      </c>
      <c r="Z931" s="4" t="s">
        <v>8101</v>
      </c>
      <c r="AA931" s="8" t="str">
        <v/>
      </c>
      <c r="AB931" s="8" t="str">
        <v/>
      </c>
      <c r="AC931" s="8" t="str">
        <v/>
      </c>
      <c r="AD931" s="8" t="str">
        <v/>
      </c>
      <c r="AE931" s="8" t="str">
        <v/>
      </c>
      <c r="AF931" s="8" t="str">
        <v/>
      </c>
      <c r="AG931" s="8" t="str">
        <v/>
      </c>
      <c r="AH931" s="8" t="str">
        <v/>
      </c>
      <c r="AI931" s="8" t="n">
        <v>11</v>
      </c>
      <c r="AJ931" s="8" t="str">
        <v>～59</v>
      </c>
      <c r="AK931" s="8" t="str">
        <v>0～4</v>
      </c>
      <c r="AL931" s="8" t="str">
        <v>10～19</v>
      </c>
      <c r="AM931" s="8" t="str">
        <v>100～119</v>
      </c>
      <c r="AN931" s="8" t="str">
        <v>8～11</v>
      </c>
      <c r="AO931" s="8" t="str">
        <f aca="false">IF(A931="","",IF(COUNTIFS(全馬データ!$A$2:$A$50000,A931,全馬データ!$B$2:$B$50000,B931,全馬データ!$C$2:$C$50000,C931,全馬データ!$D$2:$D$50000,E931,全馬データ!$K$2:$K$50000,"&lt;&gt;")=0,"",SUMIFS(全馬データ!$K$2:$K$50000,全馬データ!$A$2:$A$50000,A931,全馬データ!$B$2:$B$50000,B931,全馬データ!$C$2:$C$50000,C931,全馬データ!$D$2:$D$50000,E931)))</f>
        <v/>
      </c>
      <c r="AP931" s="8" t="str">
        <f aca="false">IF(A931="","",IF(AO931="","欠損",IF(AO931&lt;=1.1,"1.0～1.1",IF(AO931&lt;1.3,"1.2",IF(AO931&lt;1.5,"1.3～1.4",IF(AO931&lt;2,"1.5～1.9","2.0以上"))))))</f>
        <v>欠損</v>
      </c>
      <c r="AQ931" s="8" t="str">
        <f aca="false">IF(A931="","",IF(ISNUMBER(SEARCH("2歳",Z931)),"2歳戦",IF(ISNUMBER(SEARCH("3歳未勝利",Z931)),"3歳未勝利",IF(ISNUMBER(SEARCH("未勝利",Z931)),"その他未勝利",IF(ISNUMBER(SEARCH("G1",Z931)),"G1",IF(ISNUMBER(SEARCH("G2",Z931)),"G2",IF(ISNUMBER(SEARCH("G3",Z931)),"G3",IF(ISNUMBER(SEARCH("古馬条件",Z931)),"古馬条件戦",IF(ISNUMBER(SEARCH("重賞",Z931)),"重賞","分類不能")))))))))</f>
        <v>分類不能</v>
      </c>
      <c r="AR931" s="8"/>
      <c r="AS931" s="8" t="s">
        <v>7618</v>
      </c>
      <c r="AT931" s="4" t="s">
        <v>7642</v>
      </c>
      <c r="AU931" s="8" t="s">
        <v>7600</v>
      </c>
      <c r="AV931" s="4" t="s">
        <v>7601</v>
      </c>
      <c r="AW931" s="8"/>
      <c r="AX931" s="8"/>
      <c r="AY931" s="8" t="s">
        <v>7608</v>
      </c>
      <c r="AZ931" s="4" t="s">
        <v>7642</v>
      </c>
      <c r="BA931" s="8" t="n">
        <v>3000</v>
      </c>
      <c r="BB931" s="8" t="s">
        <v>7634</v>
      </c>
      <c r="BC931" s="4" t="s">
        <v>7604</v>
      </c>
      <c r="BD931" s="8" t="s">
        <v>7645</v>
      </c>
      <c r="BE931" s="4" t="s">
        <v>7606</v>
      </c>
      <c r="BF931" s="8" t="s">
        <v>7607</v>
      </c>
      <c r="BG931" s="8" t="s">
        <v>7631</v>
      </c>
      <c r="BH931" s="4" t="s">
        <v>7632</v>
      </c>
      <c r="BI931" s="8" t="n">
        <v>11</v>
      </c>
      <c r="BJ931" s="8" t="s">
        <v>7647</v>
      </c>
      <c r="BK931" s="4" t="s">
        <v>7648</v>
      </c>
      <c r="BL931" s="8" t="s">
        <v>7647</v>
      </c>
      <c r="BM931" s="4" t="s">
        <v>7648</v>
      </c>
      <c r="BN931" s="8"/>
      <c r="BO931" s="8"/>
      <c r="BP931" s="8" t="s">
        <v>7610</v>
      </c>
      <c r="BQ931" s="8" t="str">
        <f aca="false">IF(A931="","",AT931)</f>
        <v>障害</v>
      </c>
      <c r="BR931" s="8" t="str">
        <f aca="false">IF(A931="","",IF(BA931&lt;=1200,"～1200",IF(BA931&lt;=1500,"1300～1500",IF(BA931=1600,"1600",IF(BA931&lt;=1800,"1700～1800",IF(BA931&lt;=2000,"1900～2000","2100以上"))))))</f>
        <v>2100以上</v>
      </c>
      <c r="BS931" s="8" t="str">
        <f aca="false">IF(A931="","",IF(AX931="G1","G1",IF(AX931="G2","G2",IF(AX931="G3","G3",IF(AX931="L","L","その他")))))</f>
        <v>その他</v>
      </c>
      <c r="BT931" s="8" t="str">
        <f aca="false">IF(A931="","",IF(BI931="","未結合",IF(D931=BI931,"一致","不一致")))</f>
        <v>一致</v>
      </c>
      <c r="BU931" s="8" t="str">
        <f aca="false">IF(A931="","",IF(BE931="牝馬限定","牝馬限定","その他"))</f>
        <v>その他</v>
      </c>
    </row>
    <row r="932" customFormat="false" ht="15.75" hidden="false" customHeight="false" outlineLevel="0" collapsed="false">
      <c r="A932" s="6" t="n">
        <f aca="false">DATE(2026,8,1)</f>
        <v>46235</v>
      </c>
      <c r="B932" s="4" t="s">
        <v>179</v>
      </c>
      <c r="C932" s="8" t="n">
        <v>10</v>
      </c>
      <c r="D932" s="8" t="n">
        <v>16</v>
      </c>
      <c r="E932" s="8" t="n">
        <v>14</v>
      </c>
      <c r="F932" s="4" t="s">
        <v>3674</v>
      </c>
      <c r="G932" s="8" t="n">
        <v>60</v>
      </c>
      <c r="H932" s="8" t="n">
        <v>2</v>
      </c>
      <c r="I932" s="4" t="s">
        <v>3664</v>
      </c>
      <c r="J932" s="8" t="n">
        <v>47</v>
      </c>
      <c r="K932" s="8" t="n">
        <v>11</v>
      </c>
      <c r="L932" s="4" t="s">
        <v>2550</v>
      </c>
      <c r="M932" s="8" t="n">
        <v>29</v>
      </c>
      <c r="N932" s="8" t="n">
        <f aca="false">IF(A932="","",G932-J932)</f>
        <v>13</v>
      </c>
      <c r="O932" s="8" t="n">
        <f aca="false">IF(A932="","",J932-M932)</f>
        <v>18</v>
      </c>
      <c r="P932" s="8" t="n">
        <f aca="false">IF(A932="","",G932+J932)</f>
        <v>107</v>
      </c>
      <c r="Q932" s="8" t="str">
        <f aca="false">IF(A932="","",IF(AND(Y932&lt;&gt;"参考",G932&gt;=ルール設定!$B$2),"○",""))</f>
        <v/>
      </c>
      <c r="R932" s="8" t="str">
        <f aca="false">IF(A932="","",IF(AND(Y932&lt;&gt;"参考",G932&gt;=ルール設定!$B$3,N932&gt;=ルール設定!$B$4),"○",""))</f>
        <v/>
      </c>
      <c r="S932" s="8" t="str">
        <f aca="false">IF(A932="","",IF(AND(Y932&lt;&gt;"参考",G932&gt;=ルール設定!$B$5,J932&gt;=ルール設定!$B$6,O932&gt;=ルール設定!$B$7),"○",""))</f>
        <v/>
      </c>
      <c r="T932" s="8" t="n">
        <v>1</v>
      </c>
      <c r="U932" s="8" t="n">
        <v>4</v>
      </c>
      <c r="V932" s="8" t="str">
        <f aca="false">IF(A932="","",IF(AND(ISNUMBER(T932),ISNUMBER(U932)),IF(AND(T932&lt;=3,U932&lt;=3),"○","×"),""))</f>
        <v>×</v>
      </c>
      <c r="W932" s="8" t="n">
        <v>120</v>
      </c>
      <c r="X932" s="8"/>
      <c r="Y932" s="4" t="s">
        <v>7597</v>
      </c>
      <c r="Z932" s="4" t="s">
        <v>8101</v>
      </c>
      <c r="AA932" s="8" t="str">
        <v/>
      </c>
      <c r="AB932" s="8" t="str">
        <v/>
      </c>
      <c r="AC932" s="8" t="str">
        <v/>
      </c>
      <c r="AD932" s="8" t="str">
        <v/>
      </c>
      <c r="AE932" s="8" t="str">
        <v/>
      </c>
      <c r="AF932" s="8" t="str">
        <v/>
      </c>
      <c r="AG932" s="8" t="str">
        <v/>
      </c>
      <c r="AH932" s="8" t="str">
        <v/>
      </c>
      <c r="AI932" s="8" t="n">
        <v>31</v>
      </c>
      <c r="AJ932" s="8" t="str">
        <v>60～69</v>
      </c>
      <c r="AK932" s="8" t="str">
        <v>10～19</v>
      </c>
      <c r="AL932" s="8" t="str">
        <v>30～39</v>
      </c>
      <c r="AM932" s="8" t="str">
        <v>100～119</v>
      </c>
      <c r="AN932" s="8" t="str">
        <v>15以上</v>
      </c>
      <c r="AO932" s="8" t="str">
        <f aca="false">IF(A932="","",IF(COUNTIFS(全馬データ!$A$2:$A$50000,A932,全馬データ!$B$2:$B$50000,B932,全馬データ!$C$2:$C$50000,C932,全馬データ!$D$2:$D$50000,E932,全馬データ!$K$2:$K$50000,"&lt;&gt;")=0,"",SUMIFS(全馬データ!$K$2:$K$50000,全馬データ!$A$2:$A$50000,A932,全馬データ!$B$2:$B$50000,B932,全馬データ!$C$2:$C$50000,C932,全馬データ!$D$2:$D$50000,E932)))</f>
        <v/>
      </c>
      <c r="AP932" s="8" t="str">
        <f aca="false">IF(A932="","",IF(AO932="","欠損",IF(AO932&lt;=1.1,"1.0～1.1",IF(AO932&lt;1.3,"1.2",IF(AO932&lt;1.5,"1.3～1.4",IF(AO932&lt;2,"1.5～1.9","2.0以上"))))))</f>
        <v>欠損</v>
      </c>
      <c r="AQ932" s="8" t="str">
        <f aca="false">IF(A932="","",IF(ISNUMBER(SEARCH("2歳",Z932)),"2歳戦",IF(ISNUMBER(SEARCH("3歳未勝利",Z932)),"3歳未勝利",IF(ISNUMBER(SEARCH("未勝利",Z932)),"その他未勝利",IF(ISNUMBER(SEARCH("G1",Z932)),"G1",IF(ISNUMBER(SEARCH("G2",Z932)),"G2",IF(ISNUMBER(SEARCH("G3",Z932)),"G3",IF(ISNUMBER(SEARCH("古馬条件",Z932)),"古馬条件戦",IF(ISNUMBER(SEARCH("重賞",Z932)),"重賞","分類不能")))))))))</f>
        <v>分類不能</v>
      </c>
      <c r="AR932" s="8"/>
      <c r="AS932" s="8" t="s">
        <v>7626</v>
      </c>
      <c r="AT932" s="8" t="s">
        <v>7627</v>
      </c>
      <c r="AU932" s="8" t="s">
        <v>7628</v>
      </c>
      <c r="AV932" s="8" t="s">
        <v>7629</v>
      </c>
      <c r="AW932" s="8"/>
      <c r="AX932" s="8"/>
      <c r="AY932" s="8" t="s">
        <v>7610</v>
      </c>
      <c r="AZ932" s="4" t="s">
        <v>7617</v>
      </c>
      <c r="BA932" s="8" t="n">
        <v>1200</v>
      </c>
      <c r="BB932" s="8" t="s">
        <v>7634</v>
      </c>
      <c r="BC932" s="4" t="s">
        <v>7604</v>
      </c>
      <c r="BD932" s="8" t="s">
        <v>7625</v>
      </c>
      <c r="BE932" s="4" t="s">
        <v>7606</v>
      </c>
      <c r="BF932" s="8" t="s">
        <v>7607</v>
      </c>
      <c r="BG932" s="8" t="s">
        <v>7631</v>
      </c>
      <c r="BH932" s="4" t="s">
        <v>7632</v>
      </c>
      <c r="BI932" s="8" t="n">
        <v>16</v>
      </c>
      <c r="BJ932" s="8" t="s">
        <v>7610</v>
      </c>
      <c r="BK932" s="4" t="s">
        <v>7611</v>
      </c>
      <c r="BL932" s="8" t="s">
        <v>7602</v>
      </c>
      <c r="BM932" s="4" t="s">
        <v>7620</v>
      </c>
      <c r="BN932" s="8"/>
      <c r="BO932" s="8"/>
      <c r="BP932" s="8" t="s">
        <v>7610</v>
      </c>
      <c r="BQ932" s="8" t="str">
        <f aca="false">IF(A932="","",AT932)</f>
        <v>3歳以上</v>
      </c>
      <c r="BR932" s="8" t="str">
        <f aca="false">IF(A932="","",IF(BA932&lt;=1200,"～1200",IF(BA932&lt;=1500,"1300～1500",IF(BA932=1600,"1600",IF(BA932&lt;=1800,"1700～1800",IF(BA932&lt;=2000,"1900～2000","2100以上"))))))</f>
        <v>～1200</v>
      </c>
      <c r="BS932" s="8" t="str">
        <f aca="false">IF(A932="","",IF(AX932="G1","G1",IF(AX932="G2","G2",IF(AX932="G3","G3",IF(AX932="L","L","その他")))))</f>
        <v>その他</v>
      </c>
      <c r="BT932" s="8" t="str">
        <f aca="false">IF(A932="","",IF(BI932="","未結合",IF(D932=BI932,"一致","不一致")))</f>
        <v>一致</v>
      </c>
      <c r="BU932" s="8" t="str">
        <f aca="false">IF(A932="","",IF(BE932="牝馬限定","牝馬限定","その他"))</f>
        <v>その他</v>
      </c>
    </row>
    <row r="933" customFormat="false" ht="15.75" hidden="false" customHeight="false" outlineLevel="0" collapsed="false">
      <c r="A933" s="6" t="n">
        <f aca="false">DATE(2026,8,1)</f>
        <v>46235</v>
      </c>
      <c r="B933" s="4" t="s">
        <v>179</v>
      </c>
      <c r="C933" s="8" t="n">
        <v>11</v>
      </c>
      <c r="D933" s="8" t="n">
        <v>9</v>
      </c>
      <c r="E933" s="8" t="n">
        <v>7</v>
      </c>
      <c r="F933" s="4" t="s">
        <v>3683</v>
      </c>
      <c r="G933" s="8" t="n">
        <v>55</v>
      </c>
      <c r="H933" s="8" t="n">
        <v>2</v>
      </c>
      <c r="I933" s="4" t="s">
        <v>3678</v>
      </c>
      <c r="J933" s="8" t="n">
        <v>39</v>
      </c>
      <c r="K933" s="8" t="n">
        <v>5</v>
      </c>
      <c r="L933" s="4" t="s">
        <v>3681</v>
      </c>
      <c r="M933" s="8" t="n">
        <v>37</v>
      </c>
      <c r="N933" s="8" t="n">
        <f aca="false">IF(A933="","",G933-J933)</f>
        <v>16</v>
      </c>
      <c r="O933" s="8" t="n">
        <f aca="false">IF(A933="","",J933-M933)</f>
        <v>2</v>
      </c>
      <c r="P933" s="8" t="n">
        <f aca="false">IF(A933="","",G933+J933)</f>
        <v>94</v>
      </c>
      <c r="Q933" s="8" t="str">
        <f aca="false">IF(A933="","",IF(AND(Y933&lt;&gt;"参考",G933&gt;=ルール設定!$B$2),"○",""))</f>
        <v/>
      </c>
      <c r="R933" s="8" t="str">
        <f aca="false">IF(A933="","",IF(AND(Y933&lt;&gt;"参考",G933&gt;=ルール設定!$B$3,N933&gt;=ルール設定!$B$4),"○",""))</f>
        <v/>
      </c>
      <c r="S933" s="8" t="str">
        <f aca="false">IF(A933="","",IF(AND(Y933&lt;&gt;"参考",G933&gt;=ルール設定!$B$5,J933&gt;=ルール設定!$B$6,O933&gt;=ルール設定!$B$7),"○",""))</f>
        <v/>
      </c>
      <c r="T933" s="8" t="n">
        <v>3</v>
      </c>
      <c r="U933" s="8" t="n">
        <v>4</v>
      </c>
      <c r="V933" s="8" t="str">
        <f aca="false">IF(A933="","",IF(AND(ISNUMBER(T933),ISNUMBER(U933)),IF(AND(T933&lt;=3,U933&lt;=3),"○","×"),""))</f>
        <v>×</v>
      </c>
      <c r="W933" s="8" t="n">
        <v>110</v>
      </c>
      <c r="X933" s="8"/>
      <c r="Y933" s="4" t="s">
        <v>7597</v>
      </c>
      <c r="Z933" s="4" t="s">
        <v>8101</v>
      </c>
      <c r="AA933" s="8" t="str">
        <v/>
      </c>
      <c r="AB933" s="8" t="str">
        <v/>
      </c>
      <c r="AC933" s="8" t="str">
        <v/>
      </c>
      <c r="AD933" s="8" t="str">
        <v/>
      </c>
      <c r="AE933" s="8" t="str">
        <v/>
      </c>
      <c r="AF933" s="8" t="str">
        <v/>
      </c>
      <c r="AG933" s="8" t="str">
        <v/>
      </c>
      <c r="AH933" s="8" t="str">
        <v/>
      </c>
      <c r="AI933" s="8" t="n">
        <v>18</v>
      </c>
      <c r="AJ933" s="8" t="str">
        <v>～59</v>
      </c>
      <c r="AK933" s="8" t="str">
        <v>10～19</v>
      </c>
      <c r="AL933" s="8" t="str">
        <v>10～19</v>
      </c>
      <c r="AM933" s="8" t="str">
        <v>～99</v>
      </c>
      <c r="AN933" s="8" t="str">
        <v>8～11</v>
      </c>
      <c r="AO933" s="8" t="str">
        <f aca="false">IF(A933="","",IF(COUNTIFS(全馬データ!$A$2:$A$50000,A933,全馬データ!$B$2:$B$50000,B933,全馬データ!$C$2:$C$50000,C933,全馬データ!$D$2:$D$50000,E933,全馬データ!$K$2:$K$50000,"&lt;&gt;")=0,"",SUMIFS(全馬データ!$K$2:$K$50000,全馬データ!$A$2:$A$50000,A933,全馬データ!$B$2:$B$50000,B933,全馬データ!$C$2:$C$50000,C933,全馬データ!$D$2:$D$50000,E933)))</f>
        <v/>
      </c>
      <c r="AP933" s="8" t="str">
        <f aca="false">IF(A933="","",IF(AO933="","欠損",IF(AO933&lt;=1.1,"1.0～1.1",IF(AO933&lt;1.3,"1.2",IF(AO933&lt;1.5,"1.3～1.4",IF(AO933&lt;2,"1.5～1.9","2.0以上"))))))</f>
        <v>欠損</v>
      </c>
      <c r="AQ933" s="8" t="str">
        <f aca="false">IF(A933="","",IF(ISNUMBER(SEARCH("2歳",Z933)),"2歳戦",IF(ISNUMBER(SEARCH("3歳未勝利",Z933)),"3歳未勝利",IF(ISNUMBER(SEARCH("未勝利",Z933)),"その他未勝利",IF(ISNUMBER(SEARCH("G1",Z933)),"G1",IF(ISNUMBER(SEARCH("G2",Z933)),"G2",IF(ISNUMBER(SEARCH("G3",Z933)),"G3",IF(ISNUMBER(SEARCH("古馬条件",Z933)),"古馬条件戦",IF(ISNUMBER(SEARCH("重賞",Z933)),"重賞","分類不能")))))))))</f>
        <v>分類不能</v>
      </c>
      <c r="AR933" s="8"/>
      <c r="AS933" s="8" t="s">
        <v>7626</v>
      </c>
      <c r="AT933" s="8" t="s">
        <v>7627</v>
      </c>
      <c r="AU933" s="8" t="s">
        <v>7628</v>
      </c>
      <c r="AV933" s="8" t="s">
        <v>7629</v>
      </c>
      <c r="AW933" s="8"/>
      <c r="AX933" s="8"/>
      <c r="AY933" s="8" t="s">
        <v>7602</v>
      </c>
      <c r="AZ933" s="4" t="s">
        <v>7603</v>
      </c>
      <c r="BA933" s="8" t="n">
        <v>2000</v>
      </c>
      <c r="BB933" s="8" t="s">
        <v>7598</v>
      </c>
      <c r="BC933" s="4" t="s">
        <v>7604</v>
      </c>
      <c r="BD933" s="8" t="s">
        <v>7621</v>
      </c>
      <c r="BE933" s="4" t="s">
        <v>7622</v>
      </c>
      <c r="BF933" s="8" t="s">
        <v>7602</v>
      </c>
      <c r="BG933" s="8" t="s">
        <v>7631</v>
      </c>
      <c r="BH933" s="4" t="s">
        <v>7632</v>
      </c>
      <c r="BI933" s="8" t="n">
        <v>9</v>
      </c>
      <c r="BJ933" s="8" t="s">
        <v>7610</v>
      </c>
      <c r="BK933" s="4" t="s">
        <v>7611</v>
      </c>
      <c r="BL933" s="8" t="s">
        <v>7602</v>
      </c>
      <c r="BM933" s="4" t="s">
        <v>7620</v>
      </c>
      <c r="BN933" s="8" t="s">
        <v>7602</v>
      </c>
      <c r="BO933" s="8" t="s">
        <v>7613</v>
      </c>
      <c r="BP933" s="8" t="s">
        <v>7610</v>
      </c>
      <c r="BQ933" s="8" t="str">
        <f aca="false">IF(A933="","",AT933)</f>
        <v>3歳以上</v>
      </c>
      <c r="BR933" s="8" t="str">
        <f aca="false">IF(A933="","",IF(BA933&lt;=1200,"～1200",IF(BA933&lt;=1500,"1300～1500",IF(BA933=1600,"1600",IF(BA933&lt;=1800,"1700～1800",IF(BA933&lt;=2000,"1900～2000","2100以上"))))))</f>
        <v>1900～2000</v>
      </c>
      <c r="BS933" s="8" t="str">
        <f aca="false">IF(A933="","",IF(AX933="G1","G1",IF(AX933="G2","G2",IF(AX933="G3","G3",IF(AX933="L","L","その他")))))</f>
        <v>その他</v>
      </c>
      <c r="BT933" s="8" t="str">
        <f aca="false">IF(A933="","",IF(BI933="","未結合",IF(D933=BI933,"一致","不一致")))</f>
        <v>一致</v>
      </c>
      <c r="BU933" s="8" t="str">
        <f aca="false">IF(A933="","",IF(BE933="牝馬限定","牝馬限定","その他"))</f>
        <v>牝馬限定</v>
      </c>
    </row>
    <row r="934" customFormat="false" ht="15.75" hidden="false" customHeight="false" outlineLevel="0" collapsed="false">
      <c r="A934" s="6" t="n">
        <f aca="false">DATE(2026,8,1)</f>
        <v>46235</v>
      </c>
      <c r="B934" s="4" t="s">
        <v>179</v>
      </c>
      <c r="C934" s="8" t="n">
        <v>12</v>
      </c>
      <c r="D934" s="8" t="n">
        <v>11</v>
      </c>
      <c r="E934" s="8" t="n">
        <v>1</v>
      </c>
      <c r="F934" s="4" t="s">
        <v>3686</v>
      </c>
      <c r="G934" s="8" t="n">
        <v>52</v>
      </c>
      <c r="H934" s="8" t="n">
        <v>6</v>
      </c>
      <c r="I934" s="4" t="s">
        <v>3690</v>
      </c>
      <c r="J934" s="8" t="n">
        <v>47</v>
      </c>
      <c r="K934" s="8" t="n">
        <v>4</v>
      </c>
      <c r="L934" s="4" t="s">
        <v>3688</v>
      </c>
      <c r="M934" s="8" t="n">
        <v>39</v>
      </c>
      <c r="N934" s="8" t="n">
        <f aca="false">IF(A934="","",G934-J934)</f>
        <v>5</v>
      </c>
      <c r="O934" s="8" t="n">
        <f aca="false">IF(A934="","",J934-M934)</f>
        <v>8</v>
      </c>
      <c r="P934" s="8" t="n">
        <f aca="false">IF(A934="","",G934+J934)</f>
        <v>99</v>
      </c>
      <c r="Q934" s="8" t="str">
        <f aca="false">IF(A934="","",IF(AND(Y934&lt;&gt;"参考",G934&gt;=ルール設定!$B$2),"○",""))</f>
        <v/>
      </c>
      <c r="R934" s="8" t="str">
        <f aca="false">IF(A934="","",IF(AND(Y934&lt;&gt;"参考",G934&gt;=ルール設定!$B$3,N934&gt;=ルール設定!$B$4),"○",""))</f>
        <v/>
      </c>
      <c r="S934" s="8" t="str">
        <f aca="false">IF(A934="","",IF(AND(Y934&lt;&gt;"参考",G934&gt;=ルール設定!$B$5,J934&gt;=ルール設定!$B$6,O934&gt;=ルール設定!$B$7),"○",""))</f>
        <v/>
      </c>
      <c r="T934" s="8" t="n">
        <v>1</v>
      </c>
      <c r="U934" s="8" t="n">
        <v>2</v>
      </c>
      <c r="V934" s="8" t="str">
        <f aca="false">IF(A934="","",IF(AND(ISNUMBER(T934),ISNUMBER(U934)),IF(AND(T934&lt;=3,U934&lt;=3),"○","×"),""))</f>
        <v>○</v>
      </c>
      <c r="W934" s="8" t="n">
        <v>170</v>
      </c>
      <c r="X934" s="8"/>
      <c r="Y934" s="4" t="s">
        <v>7597</v>
      </c>
      <c r="Z934" s="4" t="s">
        <v>8101</v>
      </c>
      <c r="AA934" s="8" t="str">
        <v/>
      </c>
      <c r="AB934" s="8" t="str">
        <v/>
      </c>
      <c r="AC934" s="8" t="str">
        <v/>
      </c>
      <c r="AD934" s="8" t="str">
        <v/>
      </c>
      <c r="AE934" s="8" t="str">
        <v/>
      </c>
      <c r="AF934" s="8" t="str">
        <v/>
      </c>
      <c r="AG934" s="8" t="str">
        <v/>
      </c>
      <c r="AH934" s="8" t="str">
        <v/>
      </c>
      <c r="AI934" s="8" t="n">
        <v>13</v>
      </c>
      <c r="AJ934" s="8" t="str">
        <v>～59</v>
      </c>
      <c r="AK934" s="8" t="str">
        <v>5～9</v>
      </c>
      <c r="AL934" s="8" t="str">
        <v>10～19</v>
      </c>
      <c r="AM934" s="8" t="str">
        <v>～99</v>
      </c>
      <c r="AN934" s="8" t="str">
        <v>8～11</v>
      </c>
      <c r="AO934" s="8" t="str">
        <f aca="false">IF(A934="","",IF(COUNTIFS(全馬データ!$A$2:$A$50000,A934,全馬データ!$B$2:$B$50000,B934,全馬データ!$C$2:$C$50000,C934,全馬データ!$D$2:$D$50000,E934,全馬データ!$K$2:$K$50000,"&lt;&gt;")=0,"",SUMIFS(全馬データ!$K$2:$K$50000,全馬データ!$A$2:$A$50000,A934,全馬データ!$B$2:$B$50000,B934,全馬データ!$C$2:$C$50000,C934,全馬データ!$D$2:$D$50000,E934)))</f>
        <v/>
      </c>
      <c r="AP934" s="8" t="str">
        <f aca="false">IF(A934="","",IF(AO934="","欠損",IF(AO934&lt;=1.1,"1.0～1.1",IF(AO934&lt;1.3,"1.2",IF(AO934&lt;1.5,"1.3～1.4",IF(AO934&lt;2,"1.5～1.9","2.0以上"))))))</f>
        <v>欠損</v>
      </c>
      <c r="AQ934" s="8" t="str">
        <f aca="false">IF(A934="","",IF(ISNUMBER(SEARCH("2歳",Z934)),"2歳戦",IF(ISNUMBER(SEARCH("3歳未勝利",Z934)),"3歳未勝利",IF(ISNUMBER(SEARCH("未勝利",Z934)),"その他未勝利",IF(ISNUMBER(SEARCH("G1",Z934)),"G1",IF(ISNUMBER(SEARCH("G2",Z934)),"G2",IF(ISNUMBER(SEARCH("G3",Z934)),"G3",IF(ISNUMBER(SEARCH("古馬条件",Z934)),"古馬条件戦",IF(ISNUMBER(SEARCH("重賞",Z934)),"重賞","分類不能")))))))))</f>
        <v>分類不能</v>
      </c>
      <c r="AR934" s="8"/>
      <c r="AS934" s="8" t="s">
        <v>7626</v>
      </c>
      <c r="AT934" s="8" t="s">
        <v>7627</v>
      </c>
      <c r="AU934" s="8" t="s">
        <v>7628</v>
      </c>
      <c r="AV934" s="8" t="s">
        <v>7629</v>
      </c>
      <c r="AW934" s="8"/>
      <c r="AX934" s="8"/>
      <c r="AY934" s="8" t="s">
        <v>7602</v>
      </c>
      <c r="AZ934" s="4" t="s">
        <v>7603</v>
      </c>
      <c r="BA934" s="8" t="n">
        <v>1600</v>
      </c>
      <c r="BB934" s="8" t="s">
        <v>7598</v>
      </c>
      <c r="BC934" s="4" t="s">
        <v>7604</v>
      </c>
      <c r="BD934" s="8" t="s">
        <v>7605</v>
      </c>
      <c r="BE934" s="4" t="s">
        <v>7606</v>
      </c>
      <c r="BF934" s="8" t="s">
        <v>7607</v>
      </c>
      <c r="BG934" s="8" t="s">
        <v>7631</v>
      </c>
      <c r="BH934" s="4" t="s">
        <v>7632</v>
      </c>
      <c r="BI934" s="8" t="n">
        <v>11</v>
      </c>
      <c r="BJ934" s="8" t="s">
        <v>7610</v>
      </c>
      <c r="BK934" s="4" t="s">
        <v>7611</v>
      </c>
      <c r="BL934" s="8" t="s">
        <v>7602</v>
      </c>
      <c r="BM934" s="4" t="s">
        <v>7620</v>
      </c>
      <c r="BN934" s="8" t="s">
        <v>7602</v>
      </c>
      <c r="BO934" s="8" t="s">
        <v>7613</v>
      </c>
      <c r="BP934" s="8" t="s">
        <v>7610</v>
      </c>
      <c r="BQ934" s="8" t="str">
        <f aca="false">IF(A934="","",AT934)</f>
        <v>3歳以上</v>
      </c>
      <c r="BR934" s="8" t="str">
        <f aca="false">IF(A934="","",IF(BA934&lt;=1200,"～1200",IF(BA934&lt;=1500,"1300～1500",IF(BA934=1600,"1600",IF(BA934&lt;=1800,"1700～1800",IF(BA934&lt;=2000,"1900～2000","2100以上"))))))</f>
        <v>1600</v>
      </c>
      <c r="BS934" s="8" t="str">
        <f aca="false">IF(A934="","",IF(AX934="G1","G1",IF(AX934="G2","G2",IF(AX934="G3","G3",IF(AX934="L","L","その他")))))</f>
        <v>その他</v>
      </c>
      <c r="BT934" s="8" t="str">
        <f aca="false">IF(A934="","",IF(BI934="","未結合",IF(D934=BI934,"一致","不一致")))</f>
        <v>一致</v>
      </c>
      <c r="BU934" s="8" t="str">
        <f aca="false">IF(A934="","",IF(BE934="牝馬限定","牝馬限定","その他"))</f>
        <v>その他</v>
      </c>
    </row>
    <row r="935" customFormat="false" ht="15.75" hidden="false" customHeight="false" outlineLevel="0" collapsed="false">
      <c r="A935" s="6" t="n">
        <f aca="false">DATE(2026,8,8)</f>
        <v>46242</v>
      </c>
      <c r="B935" s="4" t="s">
        <v>179</v>
      </c>
      <c r="C935" s="8" t="n">
        <v>1</v>
      </c>
      <c r="D935" s="8" t="n">
        <v>9</v>
      </c>
      <c r="E935" s="8" t="n">
        <v>9</v>
      </c>
      <c r="F935" s="4" t="s">
        <v>4914</v>
      </c>
      <c r="G935" s="8" t="n">
        <v>71</v>
      </c>
      <c r="H935" s="8" t="n">
        <v>1</v>
      </c>
      <c r="I935" s="4" t="s">
        <v>1616</v>
      </c>
      <c r="J935" s="8" t="n">
        <v>52</v>
      </c>
      <c r="K935" s="8" t="n">
        <v>4</v>
      </c>
      <c r="L935" s="4" t="s">
        <v>2482</v>
      </c>
      <c r="M935" s="8" t="n">
        <v>58</v>
      </c>
      <c r="N935" s="8" t="n">
        <f aca="false">IF(A935="","",G935-J935)</f>
        <v>19</v>
      </c>
      <c r="O935" s="8" t="n">
        <f aca="false">IF(A935="","",J935-M935)</f>
        <v>-6</v>
      </c>
      <c r="P935" s="8" t="n">
        <f aca="false">IF(A935="","",G935+J935)</f>
        <v>123</v>
      </c>
      <c r="Q935" s="8" t="str">
        <f aca="false">IF(A935="","",IF(AND(Y935&lt;&gt;"参考",G935&gt;=ルール設定!$B$2),"○",""))</f>
        <v/>
      </c>
      <c r="R935" s="8" t="str">
        <f aca="false">IF(A935="","",IF(AND(Y935&lt;&gt;"参考",G935&gt;=ルール設定!$B$3,N935&gt;=ルール設定!$B$4),"○",""))</f>
        <v/>
      </c>
      <c r="S935" s="8" t="str">
        <f aca="false">IF(A935="","",IF(AND(Y935&lt;&gt;"参考",G935&gt;=ルール設定!$B$5,J935&gt;=ルール設定!$B$6,O935&gt;=ルール設定!$B$7),"○",""))</f>
        <v/>
      </c>
      <c r="T935" s="8" t="n">
        <v>1</v>
      </c>
      <c r="U935" s="8" t="n">
        <v>2</v>
      </c>
      <c r="V935" s="8" t="str">
        <f aca="false">IF(A935="","",IF(AND(ISNUMBER(T935),ISNUMBER(U935)),IF(AND(T935&lt;=3,U935&lt;=3),"○","×"),""))</f>
        <v>○</v>
      </c>
      <c r="W935" s="8" t="n">
        <v>100</v>
      </c>
      <c r="X935" s="8" t="n">
        <v>170</v>
      </c>
      <c r="Y935" s="4" t="s">
        <v>7597</v>
      </c>
      <c r="Z935" s="8" t="s">
        <v>8111</v>
      </c>
      <c r="AA935" s="8" t="str">
        <v/>
      </c>
      <c r="AB935" s="8" t="str">
        <v/>
      </c>
      <c r="AC935" s="8" t="str">
        <v/>
      </c>
      <c r="AD935" s="8" t="str">
        <v/>
      </c>
      <c r="AE935" s="8" t="str">
        <v/>
      </c>
      <c r="AF935" s="8" t="str">
        <v/>
      </c>
      <c r="AG935" s="8" t="str">
        <v/>
      </c>
      <c r="AH935" s="8" t="str">
        <v/>
      </c>
      <c r="AI935" s="8" t="n">
        <v>13</v>
      </c>
      <c r="AJ935" s="8" t="str">
        <v>70～74</v>
      </c>
      <c r="AK935" s="8" t="str">
        <v>10～19</v>
      </c>
      <c r="AL935" s="8" t="str">
        <v>10～19</v>
      </c>
      <c r="AM935" s="8" t="str">
        <v>120～139</v>
      </c>
      <c r="AN935" s="8" t="str">
        <v>8～11</v>
      </c>
      <c r="AO935" s="8" t="str">
        <f aca="false">IF(A935="","",IF(COUNTIFS(全馬データ!$A$2:$A$50000,A935,全馬データ!$B$2:$B$50000,B935,全馬データ!$C$2:$C$50000,C935,全馬データ!$D$2:$D$50000,E935,全馬データ!$K$2:$K$50000,"&lt;&gt;")=0,"",SUMIFS(全馬データ!$K$2:$K$50000,全馬データ!$A$2:$A$50000,A935,全馬データ!$B$2:$B$50000,B935,全馬データ!$C$2:$C$50000,C935,全馬データ!$D$2:$D$50000,E935)))</f>
        <v/>
      </c>
      <c r="AP935" s="8" t="str">
        <f aca="false">IF(A935="","",IF(AO935="","欠損",IF(AO935&lt;=1.1,"1.0～1.1",IF(AO935&lt;1.3,"1.2",IF(AO935&lt;1.5,"1.3～1.4",IF(AO935&lt;2,"1.5～1.9","2.0以上"))))))</f>
        <v>欠損</v>
      </c>
      <c r="AQ935" s="8" t="str">
        <f aca="false">IF(A935="","",IF(ISNUMBER(SEARCH("2歳",Z935)),"2歳戦",IF(ISNUMBER(SEARCH("3歳未勝利",Z935)),"3歳未勝利",IF(ISNUMBER(SEARCH("未勝利",Z935)),"その他未勝利",IF(ISNUMBER(SEARCH("G1",Z935)),"G1",IF(ISNUMBER(SEARCH("G2",Z935)),"G2",IF(ISNUMBER(SEARCH("G3",Z935)),"G3",IF(ISNUMBER(SEARCH("古馬条件",Z935)),"古馬条件戦",IF(ISNUMBER(SEARCH("重賞",Z935)),"重賞","分類不能")))))))))</f>
        <v>分類不能</v>
      </c>
      <c r="AR935" s="8"/>
      <c r="AS935" s="8" t="s">
        <v>7598</v>
      </c>
      <c r="AT935" s="8" t="s">
        <v>7599</v>
      </c>
      <c r="AU935" s="8" t="s">
        <v>7600</v>
      </c>
      <c r="AV935" s="4" t="s">
        <v>7601</v>
      </c>
      <c r="AW935" s="8"/>
      <c r="AX935" s="8"/>
      <c r="AY935" s="8" t="s">
        <v>7602</v>
      </c>
      <c r="AZ935" s="4" t="s">
        <v>7603</v>
      </c>
      <c r="BA935" s="8" t="n">
        <v>1600</v>
      </c>
      <c r="BB935" s="8" t="s">
        <v>7598</v>
      </c>
      <c r="BC935" s="4" t="s">
        <v>7604</v>
      </c>
      <c r="BD935" s="8" t="s">
        <v>7605</v>
      </c>
      <c r="BE935" s="4" t="s">
        <v>7606</v>
      </c>
      <c r="BF935" s="8" t="s">
        <v>7607</v>
      </c>
      <c r="BG935" s="8" t="s">
        <v>7608</v>
      </c>
      <c r="BH935" s="4" t="s">
        <v>7609</v>
      </c>
      <c r="BI935" s="8" t="n">
        <v>9</v>
      </c>
      <c r="BJ935" s="8" t="s">
        <v>7610</v>
      </c>
      <c r="BK935" s="4" t="s">
        <v>7611</v>
      </c>
      <c r="BL935" s="8" t="s">
        <v>7602</v>
      </c>
      <c r="BM935" s="4" t="s">
        <v>7620</v>
      </c>
      <c r="BN935" s="8" t="s">
        <v>7602</v>
      </c>
      <c r="BO935" s="8" t="s">
        <v>7613</v>
      </c>
      <c r="BP935" s="8" t="s">
        <v>7610</v>
      </c>
      <c r="BQ935" s="8" t="str">
        <f aca="false">IF(A935="","",AT935)</f>
        <v>2歳</v>
      </c>
      <c r="BR935" s="8" t="str">
        <f aca="false">IF(A935="","",IF(BA935&lt;=1200,"～1200",IF(BA935&lt;=1500,"1300～1500",IF(BA935=1600,"1600",IF(BA935&lt;=1800,"1700～1800",IF(BA935&lt;=2000,"1900～2000","2100以上"))))))</f>
        <v>1600</v>
      </c>
      <c r="BS935" s="8" t="str">
        <f aca="false">IF(A935="","",IF(AX935="G1","G1",IF(AX935="G2","G2",IF(AX935="G3","G3",IF(AX935="L","L","その他")))))</f>
        <v>その他</v>
      </c>
      <c r="BT935" s="8" t="str">
        <f aca="false">IF(A935="","",IF(BI935="","未結合",IF(D935=BI935,"一致","不一致")))</f>
        <v>一致</v>
      </c>
      <c r="BU935" s="8" t="str">
        <f aca="false">IF(A935="","",IF(BE935="牝馬限定","牝馬限定","その他"))</f>
        <v>その他</v>
      </c>
    </row>
    <row r="936" customFormat="false" ht="15.75" hidden="false" customHeight="false" outlineLevel="0" collapsed="false">
      <c r="A936" s="6" t="n">
        <f aca="false">DATE(2026,8,8)</f>
        <v>46242</v>
      </c>
      <c r="B936" s="4" t="s">
        <v>179</v>
      </c>
      <c r="C936" s="8" t="n">
        <v>2</v>
      </c>
      <c r="D936" s="8" t="n">
        <v>7</v>
      </c>
      <c r="E936" s="8" t="n">
        <v>3</v>
      </c>
      <c r="F936" s="4" t="s">
        <v>6872</v>
      </c>
      <c r="G936" s="8" t="n">
        <v>37</v>
      </c>
      <c r="H936" s="8" t="n">
        <v>2</v>
      </c>
      <c r="I936" s="4" t="s">
        <v>6873</v>
      </c>
      <c r="J936" s="8" t="n">
        <v>24</v>
      </c>
      <c r="K936" s="8" t="n">
        <v>7</v>
      </c>
      <c r="L936" s="8"/>
      <c r="M936" s="8" t="n">
        <v>24</v>
      </c>
      <c r="N936" s="8" t="n">
        <f aca="false">IF(A936="","",G936-J936)</f>
        <v>13</v>
      </c>
      <c r="O936" s="8" t="n">
        <f aca="false">IF(A936="","",J936-M936)</f>
        <v>0</v>
      </c>
      <c r="P936" s="8" t="n">
        <f aca="false">IF(A936="","",G936+J936)</f>
        <v>61</v>
      </c>
      <c r="Q936" s="8" t="str">
        <f aca="false">IF(A936="","",IF(AND(Y936&lt;&gt;"参考",G936&gt;=ルール設定!$B$2),"○",""))</f>
        <v/>
      </c>
      <c r="R936" s="8" t="str">
        <f aca="false">IF(A936="","",IF(AND(Y936&lt;&gt;"参考",G936&gt;=ルール設定!$B$3,N936&gt;=ルール設定!$B$4),"○",""))</f>
        <v/>
      </c>
      <c r="S936" s="8" t="str">
        <f aca="false">IF(A936="","",IF(AND(Y936&lt;&gt;"参考",G936&gt;=ルール設定!$B$5,J936&gt;=ルール設定!$B$6,O936&gt;=ルール設定!$B$7),"○",""))</f>
        <v/>
      </c>
      <c r="T936" s="8" t="n">
        <v>1</v>
      </c>
      <c r="U936" s="8" t="n">
        <v>2</v>
      </c>
      <c r="V936" s="8" t="str">
        <f aca="false">IF(A936="","",IF(AND(ISNUMBER(T936),ISNUMBER(U936)),IF(AND(T936&lt;=3,U936&lt;=3),"○","×"),""))</f>
        <v>○</v>
      </c>
      <c r="W936" s="8" t="n">
        <v>180</v>
      </c>
      <c r="X936" s="8" t="n">
        <v>450</v>
      </c>
      <c r="Y936" s="4" t="s">
        <v>7597</v>
      </c>
      <c r="Z936" s="8" t="s">
        <v>8111</v>
      </c>
      <c r="AA936" s="8" t="str">
        <v/>
      </c>
      <c r="AB936" s="8" t="str">
        <v/>
      </c>
      <c r="AC936" s="8" t="str">
        <v/>
      </c>
      <c r="AD936" s="8" t="str">
        <v/>
      </c>
      <c r="AE936" s="8" t="str">
        <v/>
      </c>
      <c r="AF936" s="8" t="str">
        <v/>
      </c>
      <c r="AG936" s="8" t="str">
        <v/>
      </c>
      <c r="AH936" s="8" t="str">
        <v/>
      </c>
      <c r="AI936" s="8" t="n">
        <v>13</v>
      </c>
      <c r="AJ936" s="8" t="str">
        <v>～59</v>
      </c>
      <c r="AK936" s="8" t="str">
        <v>10～19</v>
      </c>
      <c r="AL936" s="8" t="str">
        <v>10～19</v>
      </c>
      <c r="AM936" s="8" t="str">
        <v>～99</v>
      </c>
      <c r="AN936" s="8" t="str">
        <v>7以下</v>
      </c>
      <c r="AO936" s="8" t="str">
        <f aca="false">IF(A936="","",IF(COUNTIFS(全馬データ!$A$2:$A$50000,A936,全馬データ!$B$2:$B$50000,B936,全馬データ!$C$2:$C$50000,C936,全馬データ!$D$2:$D$50000,E936,全馬データ!$K$2:$K$50000,"&lt;&gt;")=0,"",SUMIFS(全馬データ!$K$2:$K$50000,全馬データ!$A$2:$A$50000,A936,全馬データ!$B$2:$B$50000,B936,全馬データ!$C$2:$C$50000,C936,全馬データ!$D$2:$D$50000,E936)))</f>
        <v/>
      </c>
      <c r="AP936" s="8" t="str">
        <f aca="false">IF(A936="","",IF(AO936="","欠損",IF(AO936&lt;=1.1,"1.0～1.1",IF(AO936&lt;1.3,"1.2",IF(AO936&lt;1.5,"1.3～1.4",IF(AO936&lt;2,"1.5～1.9","2.0以上"))))))</f>
        <v>欠損</v>
      </c>
      <c r="AQ936" s="8" t="str">
        <f aca="false">IF(A936="","",IF(ISNUMBER(SEARCH("2歳",Z936)),"2歳戦",IF(ISNUMBER(SEARCH("3歳未勝利",Z936)),"3歳未勝利",IF(ISNUMBER(SEARCH("未勝利",Z936)),"その他未勝利",IF(ISNUMBER(SEARCH("G1",Z936)),"G1",IF(ISNUMBER(SEARCH("G2",Z936)),"G2",IF(ISNUMBER(SEARCH("G3",Z936)),"G3",IF(ISNUMBER(SEARCH("古馬条件",Z936)),"古馬条件戦",IF(ISNUMBER(SEARCH("重賞",Z936)),"重賞","分類不能")))))))))</f>
        <v>分類不能</v>
      </c>
      <c r="AR936" s="8"/>
      <c r="AS936" s="8" t="s">
        <v>7598</v>
      </c>
      <c r="AT936" s="8" t="s">
        <v>7599</v>
      </c>
      <c r="AU936" s="8" t="s">
        <v>7615</v>
      </c>
      <c r="AV936" s="4" t="s">
        <v>7616</v>
      </c>
      <c r="AW936" s="8"/>
      <c r="AX936" s="8"/>
      <c r="AY936" s="8" t="s">
        <v>7602</v>
      </c>
      <c r="AZ936" s="4" t="s">
        <v>7603</v>
      </c>
      <c r="BA936" s="8" t="n">
        <v>1400</v>
      </c>
      <c r="BB936" s="8" t="s">
        <v>7598</v>
      </c>
      <c r="BC936" s="4" t="s">
        <v>7604</v>
      </c>
      <c r="BD936" s="8" t="s">
        <v>7605</v>
      </c>
      <c r="BE936" s="4" t="s">
        <v>7606</v>
      </c>
      <c r="BF936" s="8" t="s">
        <v>7607</v>
      </c>
      <c r="BG936" s="8" t="s">
        <v>7608</v>
      </c>
      <c r="BH936" s="4" t="s">
        <v>7609</v>
      </c>
      <c r="BI936" s="8" t="n">
        <v>7</v>
      </c>
      <c r="BJ936" s="8" t="s">
        <v>7610</v>
      </c>
      <c r="BK936" s="4" t="s">
        <v>7611</v>
      </c>
      <c r="BL936" s="8" t="s">
        <v>7602</v>
      </c>
      <c r="BM936" s="4" t="s">
        <v>7620</v>
      </c>
      <c r="BN936" s="8" t="s">
        <v>7602</v>
      </c>
      <c r="BO936" s="8" t="s">
        <v>7613</v>
      </c>
      <c r="BP936" s="8" t="s">
        <v>7610</v>
      </c>
      <c r="BQ936" s="8" t="str">
        <f aca="false">IF(A936="","",AT936)</f>
        <v>2歳</v>
      </c>
      <c r="BR936" s="8" t="str">
        <f aca="false">IF(A936="","",IF(BA936&lt;=1200,"～1200",IF(BA936&lt;=1500,"1300～1500",IF(BA936=1600,"1600",IF(BA936&lt;=1800,"1700～1800",IF(BA936&lt;=2000,"1900～2000","2100以上"))))))</f>
        <v>1300～1500</v>
      </c>
      <c r="BS936" s="8" t="str">
        <f aca="false">IF(A936="","",IF(AX936="G1","G1",IF(AX936="G2","G2",IF(AX936="G3","G3",IF(AX936="L","L","その他")))))</f>
        <v>その他</v>
      </c>
      <c r="BT936" s="8" t="str">
        <f aca="false">IF(A936="","",IF(BI936="","未結合",IF(D936=BI936,"一致","不一致")))</f>
        <v>一致</v>
      </c>
      <c r="BU936" s="8" t="str">
        <f aca="false">IF(A936="","",IF(BE936="牝馬限定","牝馬限定","その他"))</f>
        <v>その他</v>
      </c>
    </row>
    <row r="937" customFormat="false" ht="15.75" hidden="false" customHeight="false" outlineLevel="0" collapsed="false">
      <c r="A937" s="6" t="n">
        <f aca="false">DATE(2026,8,8)</f>
        <v>46242</v>
      </c>
      <c r="B937" s="4" t="s">
        <v>179</v>
      </c>
      <c r="C937" s="8" t="n">
        <v>3</v>
      </c>
      <c r="D937" s="8" t="n">
        <v>16</v>
      </c>
      <c r="E937" s="8" t="n">
        <v>8</v>
      </c>
      <c r="F937" s="4" t="s">
        <v>2445</v>
      </c>
      <c r="G937" s="8" t="n">
        <v>58</v>
      </c>
      <c r="H937" s="8" t="n">
        <v>9</v>
      </c>
      <c r="I937" s="8"/>
      <c r="J937" s="8" t="n">
        <v>39</v>
      </c>
      <c r="K937" s="8" t="n">
        <v>10</v>
      </c>
      <c r="L937" s="4" t="s">
        <v>4577</v>
      </c>
      <c r="M937" s="8" t="n">
        <v>44</v>
      </c>
      <c r="N937" s="8" t="n">
        <f aca="false">IF(A937="","",G937-J937)</f>
        <v>19</v>
      </c>
      <c r="O937" s="8" t="n">
        <f aca="false">IF(A937="","",J937-M937)</f>
        <v>-5</v>
      </c>
      <c r="P937" s="8" t="n">
        <f aca="false">IF(A937="","",G937+J937)</f>
        <v>97</v>
      </c>
      <c r="Q937" s="8" t="str">
        <f aca="false">IF(A937="","",IF(AND(Y937&lt;&gt;"参考",G937&gt;=ルール設定!$B$2),"○",""))</f>
        <v/>
      </c>
      <c r="R937" s="8" t="str">
        <f aca="false">IF(A937="","",IF(AND(Y937&lt;&gt;"参考",G937&gt;=ルール設定!$B$3,N937&gt;=ルール設定!$B$4),"○",""))</f>
        <v/>
      </c>
      <c r="S937" s="8" t="str">
        <f aca="false">IF(A937="","",IF(AND(Y937&lt;&gt;"参考",G937&gt;=ルール設定!$B$5,J937&gt;=ルール設定!$B$6,O937&gt;=ルール設定!$B$7),"○",""))</f>
        <v/>
      </c>
      <c r="T937" s="8" t="n">
        <v>2</v>
      </c>
      <c r="U937" s="8" t="n">
        <v>4</v>
      </c>
      <c r="V937" s="8" t="str">
        <f aca="false">IF(A937="","",IF(AND(ISNUMBER(T937),ISNUMBER(U937)),IF(AND(T937&lt;=3,U937&lt;=3),"○","×"),""))</f>
        <v>×</v>
      </c>
      <c r="W937" s="8" t="n">
        <v>110</v>
      </c>
      <c r="X937" s="8"/>
      <c r="Y937" s="4" t="s">
        <v>7597</v>
      </c>
      <c r="Z937" s="8" t="s">
        <v>8111</v>
      </c>
      <c r="AA937" s="8" t="str">
        <v/>
      </c>
      <c r="AB937" s="8" t="str">
        <v/>
      </c>
      <c r="AC937" s="8" t="str">
        <v/>
      </c>
      <c r="AD937" s="8" t="str">
        <v/>
      </c>
      <c r="AE937" s="8" t="str">
        <v/>
      </c>
      <c r="AF937" s="8" t="str">
        <v/>
      </c>
      <c r="AG937" s="8" t="str">
        <v/>
      </c>
      <c r="AH937" s="8" t="str">
        <v/>
      </c>
      <c r="AI937" s="8" t="n">
        <v>14</v>
      </c>
      <c r="AJ937" s="8" t="str">
        <v>～59</v>
      </c>
      <c r="AK937" s="8" t="str">
        <v>10～19</v>
      </c>
      <c r="AL937" s="8" t="str">
        <v>10～19</v>
      </c>
      <c r="AM937" s="8" t="str">
        <v>～99</v>
      </c>
      <c r="AN937" s="8" t="str">
        <v>15以上</v>
      </c>
      <c r="AO937" s="8" t="str">
        <f aca="false">IF(A937="","",IF(COUNTIFS(全馬データ!$A$2:$A$50000,A937,全馬データ!$B$2:$B$50000,B937,全馬データ!$C$2:$C$50000,C937,全馬データ!$D$2:$D$50000,E937,全馬データ!$K$2:$K$50000,"&lt;&gt;")=0,"",SUMIFS(全馬データ!$K$2:$K$50000,全馬データ!$A$2:$A$50000,A937,全馬データ!$B$2:$B$50000,B937,全馬データ!$C$2:$C$50000,C937,全馬データ!$D$2:$D$50000,E937)))</f>
        <v/>
      </c>
      <c r="AP937" s="8" t="str">
        <f aca="false">IF(A937="","",IF(AO937="","欠損",IF(AO937&lt;=1.1,"1.0～1.1",IF(AO937&lt;1.3,"1.2",IF(AO937&lt;1.5,"1.3～1.4",IF(AO937&lt;2,"1.5～1.9","2.0以上"))))))</f>
        <v>欠損</v>
      </c>
      <c r="AQ937" s="8" t="str">
        <f aca="false">IF(A937="","",IF(ISNUMBER(SEARCH("2歳",Z937)),"2歳戦",IF(ISNUMBER(SEARCH("3歳未勝利",Z937)),"3歳未勝利",IF(ISNUMBER(SEARCH("未勝利",Z937)),"その他未勝利",IF(ISNUMBER(SEARCH("G1",Z937)),"G1",IF(ISNUMBER(SEARCH("G2",Z937)),"G2",IF(ISNUMBER(SEARCH("G3",Z937)),"G3",IF(ISNUMBER(SEARCH("古馬条件",Z937)),"古馬条件戦",IF(ISNUMBER(SEARCH("重賞",Z937)),"重賞","分類不能")))))))))</f>
        <v>分類不能</v>
      </c>
      <c r="AR937" s="8"/>
      <c r="AS937" s="8" t="s">
        <v>7623</v>
      </c>
      <c r="AT937" s="8" t="s">
        <v>7624</v>
      </c>
      <c r="AU937" s="8" t="s">
        <v>7600</v>
      </c>
      <c r="AV937" s="4" t="s">
        <v>7601</v>
      </c>
      <c r="AW937" s="8"/>
      <c r="AX937" s="8"/>
      <c r="AY937" s="8" t="s">
        <v>7610</v>
      </c>
      <c r="AZ937" s="4" t="s">
        <v>7617</v>
      </c>
      <c r="BA937" s="8" t="n">
        <v>1400</v>
      </c>
      <c r="BB937" s="8" t="s">
        <v>7634</v>
      </c>
      <c r="BC937" s="4" t="s">
        <v>7604</v>
      </c>
      <c r="BD937" s="8" t="s">
        <v>7621</v>
      </c>
      <c r="BE937" s="4" t="s">
        <v>7622</v>
      </c>
      <c r="BF937" s="8" t="s">
        <v>7602</v>
      </c>
      <c r="BG937" s="8" t="s">
        <v>7608</v>
      </c>
      <c r="BH937" s="4" t="s">
        <v>7609</v>
      </c>
      <c r="BI937" s="8" t="n">
        <v>16</v>
      </c>
      <c r="BJ937" s="8" t="s">
        <v>7610</v>
      </c>
      <c r="BK937" s="4" t="s">
        <v>7611</v>
      </c>
      <c r="BL937" s="8" t="s">
        <v>7602</v>
      </c>
      <c r="BM937" s="4" t="s">
        <v>7620</v>
      </c>
      <c r="BN937" s="8"/>
      <c r="BO937" s="8"/>
      <c r="BP937" s="8" t="s">
        <v>7610</v>
      </c>
      <c r="BQ937" s="8" t="str">
        <f aca="false">IF(A937="","",AT937)</f>
        <v>3歳</v>
      </c>
      <c r="BR937" s="8" t="str">
        <f aca="false">IF(A937="","",IF(BA937&lt;=1200,"～1200",IF(BA937&lt;=1500,"1300～1500",IF(BA937=1600,"1600",IF(BA937&lt;=1800,"1700～1800",IF(BA937&lt;=2000,"1900～2000","2100以上"))))))</f>
        <v>1300～1500</v>
      </c>
      <c r="BS937" s="8" t="str">
        <f aca="false">IF(A937="","",IF(AX937="G1","G1",IF(AX937="G2","G2",IF(AX937="G3","G3",IF(AX937="L","L","その他")))))</f>
        <v>その他</v>
      </c>
      <c r="BT937" s="8" t="str">
        <f aca="false">IF(A937="","",IF(BI937="","未結合",IF(D937=BI937,"一致","不一致")))</f>
        <v>一致</v>
      </c>
      <c r="BU937" s="8" t="str">
        <f aca="false">IF(A937="","",IF(BE937="牝馬限定","牝馬限定","その他"))</f>
        <v>牝馬限定</v>
      </c>
    </row>
    <row r="938" customFormat="false" ht="15.75" hidden="false" customHeight="false" outlineLevel="0" collapsed="false">
      <c r="A938" s="6" t="n">
        <f aca="false">DATE(2026,8,8)</f>
        <v>46242</v>
      </c>
      <c r="B938" s="4" t="s">
        <v>179</v>
      </c>
      <c r="C938" s="8" t="n">
        <v>4</v>
      </c>
      <c r="D938" s="8" t="n">
        <v>16</v>
      </c>
      <c r="E938" s="8" t="n">
        <v>5</v>
      </c>
      <c r="F938" s="4" t="s">
        <v>4996</v>
      </c>
      <c r="G938" s="8" t="n">
        <v>50</v>
      </c>
      <c r="H938" s="8" t="n">
        <v>6</v>
      </c>
      <c r="I938" s="8"/>
      <c r="J938" s="8" t="n">
        <v>41</v>
      </c>
      <c r="K938" s="8" t="n">
        <v>12</v>
      </c>
      <c r="L938" s="8"/>
      <c r="M938" s="8" t="n">
        <v>41</v>
      </c>
      <c r="N938" s="8" t="n">
        <f aca="false">IF(A938="","",G938-J938)</f>
        <v>9</v>
      </c>
      <c r="O938" s="8" t="n">
        <f aca="false">IF(A938="","",J938-M938)</f>
        <v>0</v>
      </c>
      <c r="P938" s="8" t="n">
        <f aca="false">IF(A938="","",G938+J938)</f>
        <v>91</v>
      </c>
      <c r="Q938" s="8" t="str">
        <f aca="false">IF(A938="","",IF(AND(Y938&lt;&gt;"参考",G938&gt;=ルール設定!$B$2),"○",""))</f>
        <v/>
      </c>
      <c r="R938" s="8" t="str">
        <f aca="false">IF(A938="","",IF(AND(Y938&lt;&gt;"参考",G938&gt;=ルール設定!$B$3,N938&gt;=ルール設定!$B$4),"○",""))</f>
        <v/>
      </c>
      <c r="S938" s="8" t="str">
        <f aca="false">IF(A938="","",IF(AND(Y938&lt;&gt;"参考",G938&gt;=ルール設定!$B$5,J938&gt;=ルール設定!$B$6,O938&gt;=ルール設定!$B$7),"○",""))</f>
        <v/>
      </c>
      <c r="T938" s="8" t="n">
        <v>1</v>
      </c>
      <c r="U938" s="8" t="n">
        <v>4</v>
      </c>
      <c r="V938" s="8" t="str">
        <f aca="false">IF(A938="","",IF(AND(ISNUMBER(T938),ISNUMBER(U938)),IF(AND(T938&lt;=3,U938&lt;=3),"○","×"),""))</f>
        <v>×</v>
      </c>
      <c r="W938" s="8" t="n">
        <v>190</v>
      </c>
      <c r="X938" s="8"/>
      <c r="Y938" s="4" t="s">
        <v>7597</v>
      </c>
      <c r="Z938" s="8" t="s">
        <v>8111</v>
      </c>
      <c r="AA938" s="8" t="str">
        <v/>
      </c>
      <c r="AB938" s="8" t="str">
        <v/>
      </c>
      <c r="AC938" s="8" t="str">
        <v/>
      </c>
      <c r="AD938" s="8" t="str">
        <v/>
      </c>
      <c r="AE938" s="8" t="str">
        <v/>
      </c>
      <c r="AF938" s="8" t="str">
        <v/>
      </c>
      <c r="AG938" s="8" t="str">
        <v/>
      </c>
      <c r="AH938" s="8" t="str">
        <v/>
      </c>
      <c r="AI938" s="8" t="n">
        <v>9</v>
      </c>
      <c r="AJ938" s="8" t="str">
        <v>～59</v>
      </c>
      <c r="AK938" s="8" t="str">
        <v>5～9</v>
      </c>
      <c r="AL938" s="8" t="str">
        <v>0～9</v>
      </c>
      <c r="AM938" s="8" t="str">
        <v>～99</v>
      </c>
      <c r="AN938" s="8" t="str">
        <v>15以上</v>
      </c>
      <c r="AO938" s="8" t="str">
        <f aca="false">IF(A938="","",IF(COUNTIFS(全馬データ!$A$2:$A$50000,A938,全馬データ!$B$2:$B$50000,B938,全馬データ!$C$2:$C$50000,C938,全馬データ!$D$2:$D$50000,E938,全馬データ!$K$2:$K$50000,"&lt;&gt;")=0,"",SUMIFS(全馬データ!$K$2:$K$50000,全馬データ!$A$2:$A$50000,A938,全馬データ!$B$2:$B$50000,B938,全馬データ!$C$2:$C$50000,C938,全馬データ!$D$2:$D$50000,E938)))</f>
        <v/>
      </c>
      <c r="AP938" s="8" t="str">
        <f aca="false">IF(A938="","",IF(AO938="","欠損",IF(AO938&lt;=1.1,"1.0～1.1",IF(AO938&lt;1.3,"1.2",IF(AO938&lt;1.5,"1.3～1.4",IF(AO938&lt;2,"1.5～1.9","2.0以上"))))))</f>
        <v>欠損</v>
      </c>
      <c r="AQ938" s="8" t="str">
        <f aca="false">IF(A938="","",IF(ISNUMBER(SEARCH("2歳",Z938)),"2歳戦",IF(ISNUMBER(SEARCH("3歳未勝利",Z938)),"3歳未勝利",IF(ISNUMBER(SEARCH("未勝利",Z938)),"その他未勝利",IF(ISNUMBER(SEARCH("G1",Z938)),"G1",IF(ISNUMBER(SEARCH("G2",Z938)),"G2",IF(ISNUMBER(SEARCH("G3",Z938)),"G3",IF(ISNUMBER(SEARCH("古馬条件",Z938)),"古馬条件戦",IF(ISNUMBER(SEARCH("重賞",Z938)),"重賞","分類不能")))))))))</f>
        <v>分類不能</v>
      </c>
      <c r="AR938" s="8"/>
      <c r="AS938" s="8" t="s">
        <v>7623</v>
      </c>
      <c r="AT938" s="8" t="s">
        <v>7624</v>
      </c>
      <c r="AU938" s="8" t="s">
        <v>7600</v>
      </c>
      <c r="AV938" s="4" t="s">
        <v>7601</v>
      </c>
      <c r="AW938" s="8"/>
      <c r="AX938" s="8"/>
      <c r="AY938" s="8" t="s">
        <v>7610</v>
      </c>
      <c r="AZ938" s="4" t="s">
        <v>7617</v>
      </c>
      <c r="BA938" s="8" t="n">
        <v>1900</v>
      </c>
      <c r="BB938" s="8" t="s">
        <v>7634</v>
      </c>
      <c r="BC938" s="4" t="s">
        <v>7604</v>
      </c>
      <c r="BD938" s="8" t="s">
        <v>7605</v>
      </c>
      <c r="BE938" s="4" t="s">
        <v>7606</v>
      </c>
      <c r="BF938" s="8" t="s">
        <v>7607</v>
      </c>
      <c r="BG938" s="8" t="s">
        <v>7608</v>
      </c>
      <c r="BH938" s="4" t="s">
        <v>7609</v>
      </c>
      <c r="BI938" s="8" t="n">
        <v>16</v>
      </c>
      <c r="BJ938" s="8" t="s">
        <v>7610</v>
      </c>
      <c r="BK938" s="4" t="s">
        <v>7611</v>
      </c>
      <c r="BL938" s="8" t="s">
        <v>7602</v>
      </c>
      <c r="BM938" s="4" t="s">
        <v>7620</v>
      </c>
      <c r="BN938" s="8"/>
      <c r="BO938" s="8"/>
      <c r="BP938" s="8" t="s">
        <v>7610</v>
      </c>
      <c r="BQ938" s="8" t="str">
        <f aca="false">IF(A938="","",AT938)</f>
        <v>3歳</v>
      </c>
      <c r="BR938" s="8" t="str">
        <f aca="false">IF(A938="","",IF(BA938&lt;=1200,"～1200",IF(BA938&lt;=1500,"1300～1500",IF(BA938=1600,"1600",IF(BA938&lt;=1800,"1700～1800",IF(BA938&lt;=2000,"1900～2000","2100以上"))))))</f>
        <v>1900～2000</v>
      </c>
      <c r="BS938" s="8" t="str">
        <f aca="false">IF(A938="","",IF(AX938="G1","G1",IF(AX938="G2","G2",IF(AX938="G3","G3",IF(AX938="L","L","その他")))))</f>
        <v>その他</v>
      </c>
      <c r="BT938" s="8" t="str">
        <f aca="false">IF(A938="","",IF(BI938="","未結合",IF(D938=BI938,"一致","不一致")))</f>
        <v>一致</v>
      </c>
      <c r="BU938" s="8" t="str">
        <f aca="false">IF(A938="","",IF(BE938="牝馬限定","牝馬限定","その他"))</f>
        <v>その他</v>
      </c>
    </row>
    <row r="939" customFormat="false" ht="15.75" hidden="false" customHeight="false" outlineLevel="0" collapsed="false">
      <c r="A939" s="6" t="n">
        <f aca="false">DATE(2026,8,8)</f>
        <v>46242</v>
      </c>
      <c r="B939" s="4" t="s">
        <v>179</v>
      </c>
      <c r="C939" s="8" t="n">
        <v>6</v>
      </c>
      <c r="D939" s="8" t="n">
        <v>11</v>
      </c>
      <c r="E939" s="8" t="n">
        <v>11</v>
      </c>
      <c r="F939" s="8"/>
      <c r="G939" s="8" t="n">
        <v>60</v>
      </c>
      <c r="H939" s="8" t="n">
        <v>8</v>
      </c>
      <c r="I939" s="4" t="s">
        <v>5942</v>
      </c>
      <c r="J939" s="8" t="n">
        <v>34</v>
      </c>
      <c r="K939" s="8" t="n">
        <v>2</v>
      </c>
      <c r="L939" s="8"/>
      <c r="M939" s="8" t="n">
        <v>39</v>
      </c>
      <c r="N939" s="8" t="n">
        <f aca="false">IF(A939="","",G939-J939)</f>
        <v>26</v>
      </c>
      <c r="O939" s="8" t="n">
        <f aca="false">IF(A939="","",J939-M939)</f>
        <v>-5</v>
      </c>
      <c r="P939" s="8" t="n">
        <f aca="false">IF(A939="","",G939+J939)</f>
        <v>94</v>
      </c>
      <c r="Q939" s="8" t="str">
        <f aca="false">IF(A939="","",IF(AND(Y939&lt;&gt;"参考",G939&gt;=ルール設定!$B$2),"○",""))</f>
        <v/>
      </c>
      <c r="R939" s="8" t="str">
        <f aca="false">IF(A939="","",IF(AND(Y939&lt;&gt;"参考",G939&gt;=ルール設定!$B$3,N939&gt;=ルール設定!$B$4),"○",""))</f>
        <v/>
      </c>
      <c r="S939" s="8" t="str">
        <f aca="false">IF(A939="","",IF(AND(Y939&lt;&gt;"参考",G939&gt;=ルール設定!$B$5,J939&gt;=ルール設定!$B$6,O939&gt;=ルール設定!$B$7),"○",""))</f>
        <v/>
      </c>
      <c r="T939" s="8" t="n">
        <v>4</v>
      </c>
      <c r="U939" s="8" t="n">
        <v>2</v>
      </c>
      <c r="V939" s="8" t="str">
        <f aca="false">IF(A939="","",IF(AND(ISNUMBER(T939),ISNUMBER(U939)),IF(AND(T939&lt;=3,U939&lt;=3),"○","×"),""))</f>
        <v>×</v>
      </c>
      <c r="W939" s="8"/>
      <c r="X939" s="8"/>
      <c r="Y939" s="4" t="s">
        <v>7597</v>
      </c>
      <c r="Z939" s="8" t="s">
        <v>8111</v>
      </c>
      <c r="AA939" s="8" t="str">
        <v/>
      </c>
      <c r="AB939" s="8" t="str">
        <v/>
      </c>
      <c r="AC939" s="8" t="str">
        <v/>
      </c>
      <c r="AD939" s="8" t="str">
        <v/>
      </c>
      <c r="AE939" s="8" t="str">
        <v/>
      </c>
      <c r="AF939" s="8" t="str">
        <v/>
      </c>
      <c r="AG939" s="8" t="str">
        <v/>
      </c>
      <c r="AH939" s="8" t="str">
        <v/>
      </c>
      <c r="AI939" s="8" t="n">
        <v>21</v>
      </c>
      <c r="AJ939" s="8" t="str">
        <v>60～69</v>
      </c>
      <c r="AK939" s="8" t="str">
        <v>20～29</v>
      </c>
      <c r="AL939" s="8" t="str">
        <v>20～29</v>
      </c>
      <c r="AM939" s="8" t="str">
        <v>～99</v>
      </c>
      <c r="AN939" s="8" t="str">
        <v>8～11</v>
      </c>
      <c r="AO939" s="8" t="str">
        <f aca="false">IF(A939="","",IF(COUNTIFS(全馬データ!$A$2:$A$50000,A939,全馬データ!$B$2:$B$50000,B939,全馬データ!$C$2:$C$50000,C939,全馬データ!$D$2:$D$50000,E939,全馬データ!$K$2:$K$50000,"&lt;&gt;")=0,"",SUMIFS(全馬データ!$K$2:$K$50000,全馬データ!$A$2:$A$50000,A939,全馬データ!$B$2:$B$50000,B939,全馬データ!$C$2:$C$50000,C939,全馬データ!$D$2:$D$50000,E939)))</f>
        <v/>
      </c>
      <c r="AP939" s="8" t="str">
        <f aca="false">IF(A939="","",IF(AO939="","欠損",IF(AO939&lt;=1.1,"1.0～1.1",IF(AO939&lt;1.3,"1.2",IF(AO939&lt;1.5,"1.3～1.4",IF(AO939&lt;2,"1.5～1.9","2.0以上"))))))</f>
        <v>欠損</v>
      </c>
      <c r="AQ939" s="8" t="str">
        <f aca="false">IF(A939="","",IF(ISNUMBER(SEARCH("2歳",Z939)),"2歳戦",IF(ISNUMBER(SEARCH("3歳未勝利",Z939)),"3歳未勝利",IF(ISNUMBER(SEARCH("未勝利",Z939)),"その他未勝利",IF(ISNUMBER(SEARCH("G1",Z939)),"G1",IF(ISNUMBER(SEARCH("G2",Z939)),"G2",IF(ISNUMBER(SEARCH("G3",Z939)),"G3",IF(ISNUMBER(SEARCH("古馬条件",Z939)),"古馬条件戦",IF(ISNUMBER(SEARCH("重賞",Z939)),"重賞","分類不能")))))))))</f>
        <v>分類不能</v>
      </c>
      <c r="AR939" s="4" t="s">
        <v>8112</v>
      </c>
      <c r="AS939" s="8" t="s">
        <v>7626</v>
      </c>
      <c r="AT939" s="8" t="s">
        <v>7627</v>
      </c>
      <c r="AU939" s="8" t="s">
        <v>7634</v>
      </c>
      <c r="AV939" s="8" t="s">
        <v>7635</v>
      </c>
      <c r="AW939" s="8" t="s">
        <v>7636</v>
      </c>
      <c r="AX939" s="4" t="s">
        <v>7637</v>
      </c>
      <c r="AY939" s="8" t="s">
        <v>7602</v>
      </c>
      <c r="AZ939" s="4" t="s">
        <v>7603</v>
      </c>
      <c r="BA939" s="8" t="n">
        <v>1600</v>
      </c>
      <c r="BB939" s="8" t="s">
        <v>7598</v>
      </c>
      <c r="BC939" s="4" t="s">
        <v>7604</v>
      </c>
      <c r="BD939" s="8" t="s">
        <v>7605</v>
      </c>
      <c r="BE939" s="4" t="s">
        <v>7606</v>
      </c>
      <c r="BF939" s="8" t="s">
        <v>7607</v>
      </c>
      <c r="BG939" s="8" t="s">
        <v>7631</v>
      </c>
      <c r="BH939" s="4" t="s">
        <v>7632</v>
      </c>
      <c r="BI939" s="8" t="n">
        <v>11</v>
      </c>
      <c r="BJ939" s="8" t="s">
        <v>7610</v>
      </c>
      <c r="BK939" s="4" t="s">
        <v>7611</v>
      </c>
      <c r="BL939" s="8" t="s">
        <v>7602</v>
      </c>
      <c r="BM939" s="4" t="s">
        <v>7620</v>
      </c>
      <c r="BN939" s="8" t="s">
        <v>7602</v>
      </c>
      <c r="BO939" s="8" t="s">
        <v>7613</v>
      </c>
      <c r="BP939" s="8" t="s">
        <v>7610</v>
      </c>
      <c r="BQ939" s="8" t="str">
        <f aca="false">IF(A939="","",AT939)</f>
        <v>3歳以上</v>
      </c>
      <c r="BR939" s="8" t="str">
        <f aca="false">IF(A939="","",IF(BA939&lt;=1200,"～1200",IF(BA939&lt;=1500,"1300～1500",IF(BA939=1600,"1600",IF(BA939&lt;=1800,"1700～1800",IF(BA939&lt;=2000,"1900～2000","2100以上"))))))</f>
        <v>1600</v>
      </c>
      <c r="BS939" s="8" t="str">
        <f aca="false">IF(A939="","",IF(AX939="G1","G1",IF(AX939="G2","G2",IF(AX939="G3","G3",IF(AX939="L","L","その他")))))</f>
        <v>その他</v>
      </c>
      <c r="BT939" s="8" t="str">
        <f aca="false">IF(A939="","",IF(BI939="","未結合",IF(D939=BI939,"一致","不一致")))</f>
        <v>一致</v>
      </c>
      <c r="BU939" s="8" t="str">
        <f aca="false">IF(A939="","",IF(BE939="牝馬限定","牝馬限定","その他"))</f>
        <v>その他</v>
      </c>
    </row>
    <row r="940" customFormat="false" ht="15.75" hidden="false" customHeight="false" outlineLevel="0" collapsed="false">
      <c r="A940" s="6" t="n">
        <f aca="false">DATE(2026,8,8)</f>
        <v>46242</v>
      </c>
      <c r="B940" s="4" t="s">
        <v>179</v>
      </c>
      <c r="C940" s="8" t="n">
        <v>7</v>
      </c>
      <c r="D940" s="8" t="n">
        <v>8</v>
      </c>
      <c r="E940" s="8" t="n">
        <v>3</v>
      </c>
      <c r="F940" s="4" t="s">
        <v>4411</v>
      </c>
      <c r="G940" s="8" t="n">
        <v>75</v>
      </c>
      <c r="H940" s="8" t="n">
        <v>7</v>
      </c>
      <c r="I940" s="8"/>
      <c r="J940" s="8" t="n">
        <v>52</v>
      </c>
      <c r="K940" s="8" t="n">
        <v>1</v>
      </c>
      <c r="L940" s="8"/>
      <c r="M940" s="8" t="n">
        <v>56</v>
      </c>
      <c r="N940" s="8" t="n">
        <f aca="false">IF(A940="","",G940-J940)</f>
        <v>23</v>
      </c>
      <c r="O940" s="8" t="n">
        <f aca="false">IF(A940="","",J940-M940)</f>
        <v>-4</v>
      </c>
      <c r="P940" s="8" t="n">
        <f aca="false">IF(A940="","",G940+J940)</f>
        <v>127</v>
      </c>
      <c r="Q940" s="8" t="str">
        <f aca="false">IF(A940="","",IF(AND(Y940&lt;&gt;"参考",G940&gt;=ルール設定!$B$2),"○",""))</f>
        <v/>
      </c>
      <c r="R940" s="8" t="str">
        <f aca="false">IF(A940="","",IF(AND(Y940&lt;&gt;"参考",G940&gt;=ルール設定!$B$3,N940&gt;=ルール設定!$B$4),"○",""))</f>
        <v/>
      </c>
      <c r="S940" s="8" t="str">
        <f aca="false">IF(A940="","",IF(AND(Y940&lt;&gt;"参考",G940&gt;=ルール設定!$B$5,J940&gt;=ルール設定!$B$6,O940&gt;=ルール設定!$B$7),"○",""))</f>
        <v/>
      </c>
      <c r="T940" s="8" t="n">
        <v>1</v>
      </c>
      <c r="U940" s="8" t="n">
        <v>4</v>
      </c>
      <c r="V940" s="8" t="str">
        <f aca="false">IF(A940="","",IF(AND(ISNUMBER(T940),ISNUMBER(U940)),IF(AND(T940&lt;=3,U940&lt;=3),"○","×"),""))</f>
        <v>×</v>
      </c>
      <c r="W940" s="8" t="n">
        <v>160</v>
      </c>
      <c r="X940" s="8"/>
      <c r="Y940" s="4" t="s">
        <v>7597</v>
      </c>
      <c r="Z940" s="8" t="s">
        <v>8111</v>
      </c>
      <c r="AA940" s="8" t="str">
        <v/>
      </c>
      <c r="AB940" s="8" t="str">
        <v/>
      </c>
      <c r="AC940" s="8" t="str">
        <v/>
      </c>
      <c r="AD940" s="8" t="str">
        <v/>
      </c>
      <c r="AE940" s="8" t="str">
        <v/>
      </c>
      <c r="AF940" s="8" t="str">
        <v/>
      </c>
      <c r="AG940" s="8" t="str">
        <v/>
      </c>
      <c r="AH940" s="8" t="str">
        <v/>
      </c>
      <c r="AI940" s="8" t="n">
        <v>19</v>
      </c>
      <c r="AJ940" s="8" t="str">
        <v>75～79</v>
      </c>
      <c r="AK940" s="8" t="str">
        <v>20～29</v>
      </c>
      <c r="AL940" s="8" t="str">
        <v>10～19</v>
      </c>
      <c r="AM940" s="8" t="str">
        <v>120～139</v>
      </c>
      <c r="AN940" s="8" t="str">
        <v>8～11</v>
      </c>
      <c r="AO940" s="8" t="str">
        <f aca="false">IF(A940="","",IF(COUNTIFS(全馬データ!$A$2:$A$50000,A940,全馬データ!$B$2:$B$50000,B940,全馬データ!$C$2:$C$50000,C940,全馬データ!$D$2:$D$50000,E940,全馬データ!$K$2:$K$50000,"&lt;&gt;")=0,"",SUMIFS(全馬データ!$K$2:$K$50000,全馬データ!$A$2:$A$50000,A940,全馬データ!$B$2:$B$50000,B940,全馬データ!$C$2:$C$50000,C940,全馬データ!$D$2:$D$50000,E940)))</f>
        <v/>
      </c>
      <c r="AP940" s="8" t="str">
        <f aca="false">IF(A940="","",IF(AO940="","欠損",IF(AO940&lt;=1.1,"1.0～1.1",IF(AO940&lt;1.3,"1.2",IF(AO940&lt;1.5,"1.3～1.4",IF(AO940&lt;2,"1.5～1.9","2.0以上"))))))</f>
        <v>欠損</v>
      </c>
      <c r="AQ940" s="8" t="str">
        <f aca="false">IF(A940="","",IF(ISNUMBER(SEARCH("2歳",Z940)),"2歳戦",IF(ISNUMBER(SEARCH("3歳未勝利",Z940)),"3歳未勝利",IF(ISNUMBER(SEARCH("未勝利",Z940)),"その他未勝利",IF(ISNUMBER(SEARCH("G1",Z940)),"G1",IF(ISNUMBER(SEARCH("G2",Z940)),"G2",IF(ISNUMBER(SEARCH("G3",Z940)),"G3",IF(ISNUMBER(SEARCH("古馬条件",Z940)),"古馬条件戦",IF(ISNUMBER(SEARCH("重賞",Z940)),"重賞","分類不能")))))))))</f>
        <v>分類不能</v>
      </c>
      <c r="AR940" s="4" t="s">
        <v>8113</v>
      </c>
      <c r="AS940" s="8" t="s">
        <v>7626</v>
      </c>
      <c r="AT940" s="8" t="s">
        <v>7627</v>
      </c>
      <c r="AU940" s="8" t="s">
        <v>7639</v>
      </c>
      <c r="AV940" s="8" t="s">
        <v>7640</v>
      </c>
      <c r="AW940" s="8" t="s">
        <v>7636</v>
      </c>
      <c r="AX940" s="4" t="s">
        <v>7637</v>
      </c>
      <c r="AY940" s="8" t="s">
        <v>7610</v>
      </c>
      <c r="AZ940" s="4" t="s">
        <v>7617</v>
      </c>
      <c r="BA940" s="8" t="n">
        <v>1800</v>
      </c>
      <c r="BB940" s="8" t="s">
        <v>7634</v>
      </c>
      <c r="BC940" s="4" t="s">
        <v>7604</v>
      </c>
      <c r="BD940" s="8" t="s">
        <v>7630</v>
      </c>
      <c r="BE940" s="4" t="s">
        <v>7606</v>
      </c>
      <c r="BF940" s="8" t="s">
        <v>7607</v>
      </c>
      <c r="BG940" s="8" t="s">
        <v>7631</v>
      </c>
      <c r="BH940" s="4" t="s">
        <v>7632</v>
      </c>
      <c r="BI940" s="8" t="n">
        <v>8</v>
      </c>
      <c r="BJ940" s="8" t="s">
        <v>7610</v>
      </c>
      <c r="BK940" s="4" t="s">
        <v>7611</v>
      </c>
      <c r="BL940" s="8" t="s">
        <v>7602</v>
      </c>
      <c r="BM940" s="4" t="s">
        <v>7620</v>
      </c>
      <c r="BN940" s="8"/>
      <c r="BO940" s="8"/>
      <c r="BP940" s="8" t="s">
        <v>7610</v>
      </c>
      <c r="BQ940" s="8" t="str">
        <f aca="false">IF(A940="","",AT940)</f>
        <v>3歳以上</v>
      </c>
      <c r="BR940" s="8" t="str">
        <f aca="false">IF(A940="","",IF(BA940&lt;=1200,"～1200",IF(BA940&lt;=1500,"1300～1500",IF(BA940=1600,"1600",IF(BA940&lt;=1800,"1700～1800",IF(BA940&lt;=2000,"1900～2000","2100以上"))))))</f>
        <v>1700～1800</v>
      </c>
      <c r="BS940" s="8" t="str">
        <f aca="false">IF(A940="","",IF(AX940="G1","G1",IF(AX940="G2","G2",IF(AX940="G3","G3",IF(AX940="L","L","その他")))))</f>
        <v>その他</v>
      </c>
      <c r="BT940" s="8" t="str">
        <f aca="false">IF(A940="","",IF(BI940="","未結合",IF(D940=BI940,"一致","不一致")))</f>
        <v>一致</v>
      </c>
      <c r="BU940" s="8" t="str">
        <f aca="false">IF(A940="","",IF(BE940="牝馬限定","牝馬限定","その他"))</f>
        <v>その他</v>
      </c>
    </row>
    <row r="941" customFormat="false" ht="15.75" hidden="false" customHeight="false" outlineLevel="0" collapsed="false">
      <c r="A941" s="6" t="n">
        <f aca="false">DATE(2026,8,8)</f>
        <v>46242</v>
      </c>
      <c r="B941" s="4" t="s">
        <v>179</v>
      </c>
      <c r="C941" s="8" t="n">
        <v>8</v>
      </c>
      <c r="D941" s="8" t="n">
        <v>12</v>
      </c>
      <c r="E941" s="8" t="n">
        <v>9</v>
      </c>
      <c r="F941" s="4" t="s">
        <v>4819</v>
      </c>
      <c r="G941" s="8" t="n">
        <v>86</v>
      </c>
      <c r="H941" s="8" t="n">
        <v>5</v>
      </c>
      <c r="I941" s="8"/>
      <c r="J941" s="8" t="n">
        <v>31</v>
      </c>
      <c r="K941" s="8" t="n">
        <v>6</v>
      </c>
      <c r="L941" s="8"/>
      <c r="M941" s="8" t="n">
        <v>31</v>
      </c>
      <c r="N941" s="8" t="n">
        <f aca="false">IF(A941="","",G941-J941)</f>
        <v>55</v>
      </c>
      <c r="O941" s="8" t="n">
        <f aca="false">IF(A941="","",J941-M941)</f>
        <v>0</v>
      </c>
      <c r="P941" s="8" t="n">
        <f aca="false">IF(A941="","",G941+J941)</f>
        <v>117</v>
      </c>
      <c r="Q941" s="8" t="str">
        <f aca="false">IF(A941="","",IF(AND(Y941&lt;&gt;"参考",G941&gt;=ルール設定!$B$2),"○",""))</f>
        <v>○</v>
      </c>
      <c r="R941" s="8" t="str">
        <f aca="false">IF(A941="","",IF(AND(Y941&lt;&gt;"参考",G941&gt;=ルール設定!$B$3,N941&gt;=ルール設定!$B$4),"○",""))</f>
        <v>○</v>
      </c>
      <c r="S941" s="8" t="str">
        <f aca="false">IF(A941="","",IF(AND(Y941&lt;&gt;"参考",G941&gt;=ルール設定!$B$5,J941&gt;=ルール設定!$B$6,O941&gt;=ルール設定!$B$7),"○",""))</f>
        <v/>
      </c>
      <c r="T941" s="8" t="n">
        <v>1</v>
      </c>
      <c r="U941" s="8" t="n">
        <v>4</v>
      </c>
      <c r="V941" s="8" t="str">
        <f aca="false">IF(A941="","",IF(AND(ISNUMBER(T941),ISNUMBER(U941)),IF(AND(T941&lt;=3,U941&lt;=3),"○","×"),""))</f>
        <v>×</v>
      </c>
      <c r="W941" s="8" t="n">
        <v>110</v>
      </c>
      <c r="X941" s="8"/>
      <c r="Y941" s="4" t="s">
        <v>7597</v>
      </c>
      <c r="Z941" s="8" t="s">
        <v>8111</v>
      </c>
      <c r="AA941" s="8" t="str">
        <v>○</v>
      </c>
      <c r="AB941" s="8" t="str">
        <v>○</v>
      </c>
      <c r="AC941" s="8" t="str">
        <v/>
      </c>
      <c r="AD941" s="8" t="str">
        <v>○</v>
      </c>
      <c r="AE941" s="8" t="str">
        <v/>
      </c>
      <c r="AF941" s="8" t="str">
        <v/>
      </c>
      <c r="AG941" s="8" t="str">
        <v>○</v>
      </c>
      <c r="AH941" s="8" t="str">
        <v/>
      </c>
      <c r="AI941" s="8" t="n">
        <v>55</v>
      </c>
      <c r="AJ941" s="8" t="str">
        <v>85以上</v>
      </c>
      <c r="AK941" s="8" t="str">
        <v>30以上</v>
      </c>
      <c r="AL941" s="8" t="str">
        <v>40以上</v>
      </c>
      <c r="AM941" s="8" t="str">
        <v>100～119</v>
      </c>
      <c r="AN941" s="8" t="str">
        <v>12～14</v>
      </c>
      <c r="AO941" s="8" t="str">
        <f aca="false">IF(A941="","",IF(COUNTIFS(全馬データ!$A$2:$A$50000,A941,全馬データ!$B$2:$B$50000,B941,全馬データ!$C$2:$C$50000,C941,全馬データ!$D$2:$D$50000,E941,全馬データ!$K$2:$K$50000,"&lt;&gt;")=0,"",SUMIFS(全馬データ!$K$2:$K$50000,全馬データ!$A$2:$A$50000,A941,全馬データ!$B$2:$B$50000,B941,全馬データ!$C$2:$C$50000,C941,全馬データ!$D$2:$D$50000,E941)))</f>
        <v/>
      </c>
      <c r="AP941" s="8" t="str">
        <f aca="false">IF(A941="","",IF(AO941="","欠損",IF(AO941&lt;=1.1,"1.0～1.1",IF(AO941&lt;1.3,"1.2",IF(AO941&lt;1.5,"1.3～1.4",IF(AO941&lt;2,"1.5～1.9","2.0以上"))))))</f>
        <v>欠損</v>
      </c>
      <c r="AQ941" s="8" t="str">
        <f aca="false">IF(A941="","",IF(ISNUMBER(SEARCH("2歳",Z941)),"2歳戦",IF(ISNUMBER(SEARCH("3歳未勝利",Z941)),"3歳未勝利",IF(ISNUMBER(SEARCH("未勝利",Z941)),"その他未勝利",IF(ISNUMBER(SEARCH("G1",Z941)),"G1",IF(ISNUMBER(SEARCH("G2",Z941)),"G2",IF(ISNUMBER(SEARCH("G3",Z941)),"G3",IF(ISNUMBER(SEARCH("古馬条件",Z941)),"古馬条件戦",IF(ISNUMBER(SEARCH("重賞",Z941)),"重賞","分類不能")))))))))</f>
        <v>分類不能</v>
      </c>
      <c r="AR941" s="4" t="s">
        <v>8114</v>
      </c>
      <c r="AS941" s="8" t="s">
        <v>7626</v>
      </c>
      <c r="AT941" s="8" t="s">
        <v>7627</v>
      </c>
      <c r="AU941" s="8" t="s">
        <v>7628</v>
      </c>
      <c r="AV941" s="8" t="s">
        <v>7629</v>
      </c>
      <c r="AW941" s="8" t="s">
        <v>7636</v>
      </c>
      <c r="AX941" s="4" t="s">
        <v>7637</v>
      </c>
      <c r="AY941" s="8" t="s">
        <v>7610</v>
      </c>
      <c r="AZ941" s="4" t="s">
        <v>7617</v>
      </c>
      <c r="BA941" s="8" t="n">
        <v>1800</v>
      </c>
      <c r="BB941" s="8" t="s">
        <v>7634</v>
      </c>
      <c r="BC941" s="4" t="s">
        <v>7604</v>
      </c>
      <c r="BD941" s="8" t="s">
        <v>7625</v>
      </c>
      <c r="BE941" s="4" t="s">
        <v>7606</v>
      </c>
      <c r="BF941" s="8" t="s">
        <v>7607</v>
      </c>
      <c r="BG941" s="8" t="s">
        <v>7631</v>
      </c>
      <c r="BH941" s="4" t="s">
        <v>7632</v>
      </c>
      <c r="BI941" s="8" t="n">
        <v>12</v>
      </c>
      <c r="BJ941" s="8" t="s">
        <v>7610</v>
      </c>
      <c r="BK941" s="4" t="s">
        <v>7611</v>
      </c>
      <c r="BL941" s="8" t="s">
        <v>7602</v>
      </c>
      <c r="BM941" s="4" t="s">
        <v>7620</v>
      </c>
      <c r="BN941" s="8"/>
      <c r="BO941" s="8"/>
      <c r="BP941" s="8" t="s">
        <v>7610</v>
      </c>
      <c r="BQ941" s="8" t="str">
        <f aca="false">IF(A941="","",AT941)</f>
        <v>3歳以上</v>
      </c>
      <c r="BR941" s="8" t="str">
        <f aca="false">IF(A941="","",IF(BA941&lt;=1200,"～1200",IF(BA941&lt;=1500,"1300～1500",IF(BA941=1600,"1600",IF(BA941&lt;=1800,"1700～1800",IF(BA941&lt;=2000,"1900～2000","2100以上"))))))</f>
        <v>1700～1800</v>
      </c>
      <c r="BS941" s="8" t="str">
        <f aca="false">IF(A941="","",IF(AX941="G1","G1",IF(AX941="G2","G2",IF(AX941="G3","G3",IF(AX941="L","L","その他")))))</f>
        <v>その他</v>
      </c>
      <c r="BT941" s="8" t="str">
        <f aca="false">IF(A941="","",IF(BI941="","未結合",IF(D941=BI941,"一致","不一致")))</f>
        <v>一致</v>
      </c>
      <c r="BU941" s="8" t="str">
        <f aca="false">IF(A941="","",IF(BE941="牝馬限定","牝馬限定","その他"))</f>
        <v>その他</v>
      </c>
    </row>
    <row r="942" customFormat="false" ht="15.75" hidden="false" customHeight="false" outlineLevel="0" collapsed="false">
      <c r="A942" s="6" t="n">
        <f aca="false">DATE(2026,8,8)</f>
        <v>46242</v>
      </c>
      <c r="B942" s="4" t="s">
        <v>179</v>
      </c>
      <c r="C942" s="8" t="n">
        <v>9</v>
      </c>
      <c r="D942" s="8" t="n">
        <v>10</v>
      </c>
      <c r="E942" s="8" t="n">
        <v>7</v>
      </c>
      <c r="F942" s="8"/>
      <c r="G942" s="8" t="n">
        <v>55</v>
      </c>
      <c r="H942" s="8" t="n">
        <v>3</v>
      </c>
      <c r="I942" s="4" t="s">
        <v>1880</v>
      </c>
      <c r="J942" s="8" t="n">
        <v>37</v>
      </c>
      <c r="K942" s="8" t="n">
        <v>9</v>
      </c>
      <c r="L942" s="8"/>
      <c r="M942" s="8" t="n">
        <v>37</v>
      </c>
      <c r="N942" s="8" t="n">
        <f aca="false">IF(A942="","",G942-J942)</f>
        <v>18</v>
      </c>
      <c r="O942" s="8" t="n">
        <f aca="false">IF(A942="","",J942-M942)</f>
        <v>0</v>
      </c>
      <c r="P942" s="8" t="n">
        <f aca="false">IF(A942="","",G942+J942)</f>
        <v>92</v>
      </c>
      <c r="Q942" s="8" t="str">
        <f aca="false">IF(A942="","",IF(AND(Y942&lt;&gt;"参考",G942&gt;=ルール設定!$B$2),"○",""))</f>
        <v/>
      </c>
      <c r="R942" s="8" t="str">
        <f aca="false">IF(A942="","",IF(AND(Y942&lt;&gt;"参考",G942&gt;=ルール設定!$B$3,N942&gt;=ルール設定!$B$4),"○",""))</f>
        <v/>
      </c>
      <c r="S942" s="8" t="str">
        <f aca="false">IF(A942="","",IF(AND(Y942&lt;&gt;"参考",G942&gt;=ルール設定!$B$5,J942&gt;=ルール設定!$B$6,O942&gt;=ルール設定!$B$7),"○",""))</f>
        <v/>
      </c>
      <c r="T942" s="8" t="n">
        <v>4</v>
      </c>
      <c r="U942" s="8" t="n">
        <v>1</v>
      </c>
      <c r="V942" s="8" t="str">
        <f aca="false">IF(A942="","",IF(AND(ISNUMBER(T942),ISNUMBER(U942)),IF(AND(T942&lt;=3,U942&lt;=3),"○","×"),""))</f>
        <v>×</v>
      </c>
      <c r="W942" s="8"/>
      <c r="X942" s="8"/>
      <c r="Y942" s="4" t="s">
        <v>7597</v>
      </c>
      <c r="Z942" s="8" t="s">
        <v>8111</v>
      </c>
      <c r="AA942" s="8" t="str">
        <v/>
      </c>
      <c r="AB942" s="8" t="str">
        <v/>
      </c>
      <c r="AC942" s="8" t="str">
        <v/>
      </c>
      <c r="AD942" s="8" t="str">
        <v/>
      </c>
      <c r="AE942" s="8" t="str">
        <v/>
      </c>
      <c r="AF942" s="8" t="str">
        <v/>
      </c>
      <c r="AG942" s="8" t="str">
        <v/>
      </c>
      <c r="AH942" s="8" t="str">
        <v/>
      </c>
      <c r="AI942" s="8" t="n">
        <v>18</v>
      </c>
      <c r="AJ942" s="8" t="str">
        <v>～59</v>
      </c>
      <c r="AK942" s="8" t="str">
        <v>10～19</v>
      </c>
      <c r="AL942" s="8" t="str">
        <v>10～19</v>
      </c>
      <c r="AM942" s="8" t="str">
        <v>～99</v>
      </c>
      <c r="AN942" s="8" t="str">
        <v>8～11</v>
      </c>
      <c r="AO942" s="8" t="str">
        <f aca="false">IF(A942="","",IF(COUNTIFS(全馬データ!$A$2:$A$50000,A942,全馬データ!$B$2:$B$50000,B942,全馬データ!$C$2:$C$50000,C942,全馬データ!$D$2:$D$50000,E942,全馬データ!$K$2:$K$50000,"&lt;&gt;")=0,"",SUMIFS(全馬データ!$K$2:$K$50000,全馬データ!$A$2:$A$50000,A942,全馬データ!$B$2:$B$50000,B942,全馬データ!$C$2:$C$50000,C942,全馬データ!$D$2:$D$50000,E942)))</f>
        <v/>
      </c>
      <c r="AP942" s="8" t="str">
        <f aca="false">IF(A942="","",IF(AO942="","欠損",IF(AO942&lt;=1.1,"1.0～1.1",IF(AO942&lt;1.3,"1.2",IF(AO942&lt;1.5,"1.3～1.4",IF(AO942&lt;2,"1.5～1.9","2.0以上"))))))</f>
        <v>欠損</v>
      </c>
      <c r="AQ942" s="8" t="str">
        <f aca="false">IF(A942="","",IF(ISNUMBER(SEARCH("2歳",Z942)),"2歳戦",IF(ISNUMBER(SEARCH("3歳未勝利",Z942)),"3歳未勝利",IF(ISNUMBER(SEARCH("未勝利",Z942)),"その他未勝利",IF(ISNUMBER(SEARCH("G1",Z942)),"G1",IF(ISNUMBER(SEARCH("G2",Z942)),"G2",IF(ISNUMBER(SEARCH("G3",Z942)),"G3",IF(ISNUMBER(SEARCH("古馬条件",Z942)),"古馬条件戦",IF(ISNUMBER(SEARCH("重賞",Z942)),"重賞","分類不能")))))))))</f>
        <v>分類不能</v>
      </c>
      <c r="AR942" s="8"/>
      <c r="AS942" s="8" t="s">
        <v>7618</v>
      </c>
      <c r="AT942" s="4" t="s">
        <v>7642</v>
      </c>
      <c r="AU942" s="8" t="s">
        <v>7643</v>
      </c>
      <c r="AV942" s="4" t="s">
        <v>7644</v>
      </c>
      <c r="AW942" s="8"/>
      <c r="AX942" s="8"/>
      <c r="AY942" s="8" t="s">
        <v>7608</v>
      </c>
      <c r="AZ942" s="4" t="s">
        <v>7642</v>
      </c>
      <c r="BA942" s="8" t="n">
        <v>3000</v>
      </c>
      <c r="BB942" s="8" t="s">
        <v>7634</v>
      </c>
      <c r="BC942" s="4" t="s">
        <v>7604</v>
      </c>
      <c r="BD942" s="8" t="s">
        <v>7645</v>
      </c>
      <c r="BE942" s="4" t="s">
        <v>7606</v>
      </c>
      <c r="BF942" s="8" t="s">
        <v>7607</v>
      </c>
      <c r="BG942" s="8" t="s">
        <v>7610</v>
      </c>
      <c r="BH942" s="4" t="s">
        <v>7646</v>
      </c>
      <c r="BI942" s="8" t="n">
        <v>10</v>
      </c>
      <c r="BJ942" s="8" t="s">
        <v>7647</v>
      </c>
      <c r="BK942" s="4" t="s">
        <v>7648</v>
      </c>
      <c r="BL942" s="8" t="s">
        <v>7647</v>
      </c>
      <c r="BM942" s="4" t="s">
        <v>7648</v>
      </c>
      <c r="BN942" s="8"/>
      <c r="BO942" s="8"/>
      <c r="BP942" s="8" t="s">
        <v>7610</v>
      </c>
      <c r="BQ942" s="8" t="str">
        <f aca="false">IF(A942="","",AT942)</f>
        <v>障害</v>
      </c>
      <c r="BR942" s="8" t="str">
        <f aca="false">IF(A942="","",IF(BA942&lt;=1200,"～1200",IF(BA942&lt;=1500,"1300～1500",IF(BA942=1600,"1600",IF(BA942&lt;=1800,"1700～1800",IF(BA942&lt;=2000,"1900～2000","2100以上"))))))</f>
        <v>2100以上</v>
      </c>
      <c r="BS942" s="8" t="str">
        <f aca="false">IF(A942="","",IF(AX942="G1","G1",IF(AX942="G2","G2",IF(AX942="G3","G3",IF(AX942="L","L","その他")))))</f>
        <v>その他</v>
      </c>
      <c r="BT942" s="8" t="str">
        <f aca="false">IF(A942="","",IF(BI942="","未結合",IF(D942=BI942,"一致","不一致")))</f>
        <v>一致</v>
      </c>
      <c r="BU942" s="8" t="str">
        <f aca="false">IF(A942="","",IF(BE942="牝馬限定","牝馬限定","その他"))</f>
        <v>その他</v>
      </c>
    </row>
    <row r="943" customFormat="false" ht="15.75" hidden="false" customHeight="false" outlineLevel="0" collapsed="false">
      <c r="A943" s="6" t="n">
        <f aca="false">DATE(2026,8,8)</f>
        <v>46242</v>
      </c>
      <c r="B943" s="4" t="s">
        <v>179</v>
      </c>
      <c r="C943" s="8" t="n">
        <v>10</v>
      </c>
      <c r="D943" s="8" t="n">
        <v>16</v>
      </c>
      <c r="E943" s="8" t="n">
        <v>4</v>
      </c>
      <c r="F943" s="4" t="s">
        <v>4992</v>
      </c>
      <c r="G943" s="8" t="n">
        <v>56</v>
      </c>
      <c r="H943" s="8" t="n">
        <v>16</v>
      </c>
      <c r="I943" s="4" t="s">
        <v>4987</v>
      </c>
      <c r="J943" s="8" t="n">
        <v>44</v>
      </c>
      <c r="K943" s="8" t="n">
        <v>14</v>
      </c>
      <c r="L943" s="8"/>
      <c r="M943" s="8" t="n">
        <v>50</v>
      </c>
      <c r="N943" s="8" t="n">
        <f aca="false">IF(A943="","",G943-J943)</f>
        <v>12</v>
      </c>
      <c r="O943" s="8" t="n">
        <f aca="false">IF(A943="","",J943-M943)</f>
        <v>-6</v>
      </c>
      <c r="P943" s="8" t="n">
        <f aca="false">IF(A943="","",G943+J943)</f>
        <v>100</v>
      </c>
      <c r="Q943" s="8" t="str">
        <f aca="false">IF(A943="","",IF(AND(Y943&lt;&gt;"参考",G943&gt;=ルール設定!$B$2),"○",""))</f>
        <v/>
      </c>
      <c r="R943" s="8" t="str">
        <f aca="false">IF(A943="","",IF(AND(Y943&lt;&gt;"参考",G943&gt;=ルール設定!$B$3,N943&gt;=ルール設定!$B$4),"○",""))</f>
        <v/>
      </c>
      <c r="S943" s="8" t="str">
        <f aca="false">IF(A943="","",IF(AND(Y943&lt;&gt;"参考",G943&gt;=ルール設定!$B$5,J943&gt;=ルール設定!$B$6,O943&gt;=ルール設定!$B$7),"○",""))</f>
        <v/>
      </c>
      <c r="T943" s="8" t="n">
        <v>2</v>
      </c>
      <c r="U943" s="8" t="n">
        <v>3</v>
      </c>
      <c r="V943" s="8" t="str">
        <f aca="false">IF(A943="","",IF(AND(ISNUMBER(T943),ISNUMBER(U943)),IF(AND(T943&lt;=3,U943&lt;=3),"○","×"),""))</f>
        <v>○</v>
      </c>
      <c r="W943" s="8" t="n">
        <v>150</v>
      </c>
      <c r="X943" s="8" t="n">
        <v>410</v>
      </c>
      <c r="Y943" s="4" t="s">
        <v>7597</v>
      </c>
      <c r="Z943" s="8" t="s">
        <v>8111</v>
      </c>
      <c r="AA943" s="8" t="str">
        <v/>
      </c>
      <c r="AB943" s="8" t="str">
        <v/>
      </c>
      <c r="AC943" s="8" t="str">
        <v/>
      </c>
      <c r="AD943" s="8" t="str">
        <v/>
      </c>
      <c r="AE943" s="8" t="str">
        <v/>
      </c>
      <c r="AF943" s="8" t="str">
        <v/>
      </c>
      <c r="AG943" s="8" t="str">
        <v/>
      </c>
      <c r="AH943" s="8" t="str">
        <v/>
      </c>
      <c r="AI943" s="8" t="n">
        <v>6</v>
      </c>
      <c r="AJ943" s="8" t="str">
        <v>～59</v>
      </c>
      <c r="AK943" s="8" t="str">
        <v>10～19</v>
      </c>
      <c r="AL943" s="8" t="str">
        <v>0～9</v>
      </c>
      <c r="AM943" s="8" t="str">
        <v>100～119</v>
      </c>
      <c r="AN943" s="8" t="str">
        <v>15以上</v>
      </c>
      <c r="AO943" s="8" t="str">
        <f aca="false">IF(A943="","",IF(COUNTIFS(全馬データ!$A$2:$A$50000,A943,全馬データ!$B$2:$B$50000,B943,全馬データ!$C$2:$C$50000,C943,全馬データ!$D$2:$D$50000,E943,全馬データ!$K$2:$K$50000,"&lt;&gt;")=0,"",SUMIFS(全馬データ!$K$2:$K$50000,全馬データ!$A$2:$A$50000,A943,全馬データ!$B$2:$B$50000,B943,全馬データ!$C$2:$C$50000,C943,全馬データ!$D$2:$D$50000,E943)))</f>
        <v/>
      </c>
      <c r="AP943" s="8" t="str">
        <f aca="false">IF(A943="","",IF(AO943="","欠損",IF(AO943&lt;=1.1,"1.0～1.1",IF(AO943&lt;1.3,"1.2",IF(AO943&lt;1.5,"1.3～1.4",IF(AO943&lt;2,"1.5～1.9","2.0以上"))))))</f>
        <v>欠損</v>
      </c>
      <c r="AQ943" s="8" t="str">
        <f aca="false">IF(A943="","",IF(ISNUMBER(SEARCH("2歳",Z943)),"2歳戦",IF(ISNUMBER(SEARCH("3歳未勝利",Z943)),"3歳未勝利",IF(ISNUMBER(SEARCH("未勝利",Z943)),"その他未勝利",IF(ISNUMBER(SEARCH("G1",Z943)),"G1",IF(ISNUMBER(SEARCH("G2",Z943)),"G2",IF(ISNUMBER(SEARCH("G3",Z943)),"G3",IF(ISNUMBER(SEARCH("古馬条件",Z943)),"古馬条件戦",IF(ISNUMBER(SEARCH("重賞",Z943)),"重賞","分類不能")))))))))</f>
        <v>分類不能</v>
      </c>
      <c r="AR943" s="8"/>
      <c r="AS943" s="8" t="s">
        <v>7623</v>
      </c>
      <c r="AT943" s="8" t="s">
        <v>7624</v>
      </c>
      <c r="AU943" s="8" t="s">
        <v>7600</v>
      </c>
      <c r="AV943" s="4" t="s">
        <v>7601</v>
      </c>
      <c r="AW943" s="8"/>
      <c r="AX943" s="8"/>
      <c r="AY943" s="8" t="s">
        <v>7610</v>
      </c>
      <c r="AZ943" s="4" t="s">
        <v>7617</v>
      </c>
      <c r="BA943" s="8" t="n">
        <v>1200</v>
      </c>
      <c r="BB943" s="8" t="s">
        <v>7634</v>
      </c>
      <c r="BC943" s="4" t="s">
        <v>7604</v>
      </c>
      <c r="BD943" s="8" t="s">
        <v>7605</v>
      </c>
      <c r="BE943" s="4" t="s">
        <v>7606</v>
      </c>
      <c r="BF943" s="8" t="s">
        <v>7607</v>
      </c>
      <c r="BG943" s="8" t="s">
        <v>7608</v>
      </c>
      <c r="BH943" s="4" t="s">
        <v>7609</v>
      </c>
      <c r="BI943" s="8" t="n">
        <v>16</v>
      </c>
      <c r="BJ943" s="8" t="s">
        <v>7610</v>
      </c>
      <c r="BK943" s="4" t="s">
        <v>7611</v>
      </c>
      <c r="BL943" s="8" t="s">
        <v>7602</v>
      </c>
      <c r="BM943" s="4" t="s">
        <v>7620</v>
      </c>
      <c r="BN943" s="8"/>
      <c r="BO943" s="8"/>
      <c r="BP943" s="8" t="s">
        <v>7610</v>
      </c>
      <c r="BQ943" s="8" t="str">
        <f aca="false">IF(A943="","",AT943)</f>
        <v>3歳</v>
      </c>
      <c r="BR943" s="8" t="str">
        <f aca="false">IF(A943="","",IF(BA943&lt;=1200,"～1200",IF(BA943&lt;=1500,"1300～1500",IF(BA943=1600,"1600",IF(BA943&lt;=1800,"1700～1800",IF(BA943&lt;=2000,"1900～2000","2100以上"))))))</f>
        <v>～1200</v>
      </c>
      <c r="BS943" s="8" t="str">
        <f aca="false">IF(A943="","",IF(AX943="G1","G1",IF(AX943="G2","G2",IF(AX943="G3","G3",IF(AX943="L","L","その他")))))</f>
        <v>その他</v>
      </c>
      <c r="BT943" s="8" t="str">
        <f aca="false">IF(A943="","",IF(BI943="","未結合",IF(D943=BI943,"一致","不一致")))</f>
        <v>一致</v>
      </c>
      <c r="BU943" s="8" t="str">
        <f aca="false">IF(A943="","",IF(BE943="牝馬限定","牝馬限定","その他"))</f>
        <v>その他</v>
      </c>
    </row>
    <row r="944" customFormat="false" ht="15.75" hidden="false" customHeight="false" outlineLevel="0" collapsed="false">
      <c r="A944" s="6" t="n">
        <f aca="false">DATE(2026,8,8)</f>
        <v>46242</v>
      </c>
      <c r="B944" s="4" t="s">
        <v>179</v>
      </c>
      <c r="C944" s="8" t="n">
        <v>11</v>
      </c>
      <c r="D944" s="8" t="n">
        <v>12</v>
      </c>
      <c r="E944" s="8" t="n">
        <v>4</v>
      </c>
      <c r="F944" s="4" t="s">
        <v>6878</v>
      </c>
      <c r="G944" s="8" t="n">
        <v>74</v>
      </c>
      <c r="H944" s="8" t="n">
        <v>9</v>
      </c>
      <c r="I944" s="4" t="s">
        <v>5775</v>
      </c>
      <c r="J944" s="8" t="n">
        <v>34</v>
      </c>
      <c r="K944" s="8" t="n">
        <v>12</v>
      </c>
      <c r="L944" s="8"/>
      <c r="M944" s="8" t="n">
        <v>52</v>
      </c>
      <c r="N944" s="8" t="n">
        <f aca="false">IF(A944="","",G944-J944)</f>
        <v>40</v>
      </c>
      <c r="O944" s="8" t="n">
        <f aca="false">IF(A944="","",J944-M944)</f>
        <v>-18</v>
      </c>
      <c r="P944" s="8" t="n">
        <f aca="false">IF(A944="","",G944+J944)</f>
        <v>108</v>
      </c>
      <c r="Q944" s="8" t="str">
        <f aca="false">IF(A944="","",IF(AND(Y944&lt;&gt;"参考",G944&gt;=ルール設定!$B$2),"○",""))</f>
        <v/>
      </c>
      <c r="R944" s="8" t="str">
        <f aca="false">IF(A944="","",IF(AND(Y944&lt;&gt;"参考",G944&gt;=ルール設定!$B$3,N944&gt;=ルール設定!$B$4),"○",""))</f>
        <v>○</v>
      </c>
      <c r="S944" s="8" t="str">
        <f aca="false">IF(A944="","",IF(AND(Y944&lt;&gt;"参考",G944&gt;=ルール設定!$B$5,J944&gt;=ルール設定!$B$6,O944&gt;=ルール設定!$B$7),"○",""))</f>
        <v/>
      </c>
      <c r="T944" s="8" t="n">
        <v>1</v>
      </c>
      <c r="U944" s="8" t="n">
        <v>3</v>
      </c>
      <c r="V944" s="8" t="str">
        <f aca="false">IF(A944="","",IF(AND(ISNUMBER(T944),ISNUMBER(U944)),IF(AND(T944&lt;=3,U944&lt;=3),"○","×"),""))</f>
        <v>○</v>
      </c>
      <c r="W944" s="8" t="n">
        <v>110</v>
      </c>
      <c r="X944" s="8" t="n">
        <v>330</v>
      </c>
      <c r="Y944" s="4" t="s">
        <v>7597</v>
      </c>
      <c r="Z944" s="8" t="s">
        <v>8111</v>
      </c>
      <c r="AA944" s="8" t="str">
        <v/>
      </c>
      <c r="AB944" s="8" t="str">
        <v/>
      </c>
      <c r="AC944" s="8" t="str">
        <v/>
      </c>
      <c r="AD944" s="8" t="str">
        <v/>
      </c>
      <c r="AE944" s="8" t="str">
        <v>○</v>
      </c>
      <c r="AF944" s="8" t="str">
        <v/>
      </c>
      <c r="AG944" s="8" t="str">
        <v/>
      </c>
      <c r="AH944" s="8" t="str">
        <v/>
      </c>
      <c r="AI944" s="8" t="n">
        <v>22</v>
      </c>
      <c r="AJ944" s="8" t="str">
        <v>70～74</v>
      </c>
      <c r="AK944" s="8" t="str">
        <v>30以上</v>
      </c>
      <c r="AL944" s="8" t="str">
        <v>20～29</v>
      </c>
      <c r="AM944" s="8" t="str">
        <v>100～119</v>
      </c>
      <c r="AN944" s="8" t="str">
        <v>12～14</v>
      </c>
      <c r="AO944" s="8" t="str">
        <f aca="false">IF(A944="","",IF(COUNTIFS(全馬データ!$A$2:$A$50000,A944,全馬データ!$B$2:$B$50000,B944,全馬データ!$C$2:$C$50000,C944,全馬データ!$D$2:$D$50000,E944,全馬データ!$K$2:$K$50000,"&lt;&gt;")=0,"",SUMIFS(全馬データ!$K$2:$K$50000,全馬データ!$A$2:$A$50000,A944,全馬データ!$B$2:$B$50000,B944,全馬データ!$C$2:$C$50000,C944,全馬データ!$D$2:$D$50000,E944)))</f>
        <v/>
      </c>
      <c r="AP944" s="8" t="str">
        <f aca="false">IF(A944="","",IF(AO944="","欠損",IF(AO944&lt;=1.1,"1.0～1.1",IF(AO944&lt;1.3,"1.2",IF(AO944&lt;1.5,"1.3～1.4",IF(AO944&lt;2,"1.5～1.9","2.0以上"))))))</f>
        <v>欠損</v>
      </c>
      <c r="AQ944" s="8" t="str">
        <f aca="false">IF(A944="","",IF(ISNUMBER(SEARCH("2歳",Z944)),"2歳戦",IF(ISNUMBER(SEARCH("3歳未勝利",Z944)),"3歳未勝利",IF(ISNUMBER(SEARCH("未勝利",Z944)),"その他未勝利",IF(ISNUMBER(SEARCH("G1",Z944)),"G1",IF(ISNUMBER(SEARCH("G2",Z944)),"G2",IF(ISNUMBER(SEARCH("G3",Z944)),"G3",IF(ISNUMBER(SEARCH("古馬条件",Z944)),"古馬条件戦",IF(ISNUMBER(SEARCH("重賞",Z944)),"重賞","分類不能")))))))))</f>
        <v>分類不能</v>
      </c>
      <c r="AR944" s="8"/>
      <c r="AS944" s="8" t="s">
        <v>7626</v>
      </c>
      <c r="AT944" s="8" t="s">
        <v>7627</v>
      </c>
      <c r="AU944" s="8" t="s">
        <v>7628</v>
      </c>
      <c r="AV944" s="8" t="s">
        <v>7629</v>
      </c>
      <c r="AW944" s="8"/>
      <c r="AX944" s="8"/>
      <c r="AY944" s="8" t="s">
        <v>7602</v>
      </c>
      <c r="AZ944" s="4" t="s">
        <v>7603</v>
      </c>
      <c r="BA944" s="8" t="n">
        <v>1600</v>
      </c>
      <c r="BB944" s="8" t="s">
        <v>7598</v>
      </c>
      <c r="BC944" s="4" t="s">
        <v>7604</v>
      </c>
      <c r="BD944" s="8" t="s">
        <v>7625</v>
      </c>
      <c r="BE944" s="4" t="s">
        <v>7606</v>
      </c>
      <c r="BF944" s="8" t="s">
        <v>7607</v>
      </c>
      <c r="BG944" s="8" t="s">
        <v>7631</v>
      </c>
      <c r="BH944" s="4" t="s">
        <v>7632</v>
      </c>
      <c r="BI944" s="8" t="n">
        <v>12</v>
      </c>
      <c r="BJ944" s="8" t="s">
        <v>7610</v>
      </c>
      <c r="BK944" s="4" t="s">
        <v>7611</v>
      </c>
      <c r="BL944" s="8" t="s">
        <v>7602</v>
      </c>
      <c r="BM944" s="4" t="s">
        <v>7620</v>
      </c>
      <c r="BN944" s="8" t="s">
        <v>7602</v>
      </c>
      <c r="BO944" s="8" t="s">
        <v>7613</v>
      </c>
      <c r="BP944" s="8" t="s">
        <v>7610</v>
      </c>
      <c r="BQ944" s="8" t="str">
        <f aca="false">IF(A944="","",AT944)</f>
        <v>3歳以上</v>
      </c>
      <c r="BR944" s="8" t="str">
        <f aca="false">IF(A944="","",IF(BA944&lt;=1200,"～1200",IF(BA944&lt;=1500,"1300～1500",IF(BA944=1600,"1600",IF(BA944&lt;=1800,"1700～1800",IF(BA944&lt;=2000,"1900～2000","2100以上"))))))</f>
        <v>1600</v>
      </c>
      <c r="BS944" s="8" t="str">
        <f aca="false">IF(A944="","",IF(AX944="G1","G1",IF(AX944="G2","G2",IF(AX944="G3","G3",IF(AX944="L","L","その他")))))</f>
        <v>その他</v>
      </c>
      <c r="BT944" s="8" t="str">
        <f aca="false">IF(A944="","",IF(BI944="","未結合",IF(D944=BI944,"一致","不一致")))</f>
        <v>一致</v>
      </c>
      <c r="BU944" s="8" t="str">
        <f aca="false">IF(A944="","",IF(BE944="牝馬限定","牝馬限定","その他"))</f>
        <v>その他</v>
      </c>
    </row>
    <row r="945" customFormat="false" ht="15.75" hidden="false" customHeight="false" outlineLevel="0" collapsed="false">
      <c r="A945" s="6" t="n">
        <f aca="false">DATE(2026,8,8)</f>
        <v>46242</v>
      </c>
      <c r="B945" s="4" t="s">
        <v>179</v>
      </c>
      <c r="C945" s="8" t="n">
        <v>12</v>
      </c>
      <c r="D945" s="8" t="n">
        <v>18</v>
      </c>
      <c r="E945" s="8" t="n">
        <v>12</v>
      </c>
      <c r="F945" s="8"/>
      <c r="G945" s="8" t="n">
        <v>52</v>
      </c>
      <c r="H945" s="8" t="n">
        <v>15</v>
      </c>
      <c r="I945" s="4" t="s">
        <v>5909</v>
      </c>
      <c r="J945" s="8" t="n">
        <v>37</v>
      </c>
      <c r="K945" s="8" t="n">
        <v>5</v>
      </c>
      <c r="L945" s="8"/>
      <c r="M945" s="8" t="n">
        <v>47</v>
      </c>
      <c r="N945" s="8" t="n">
        <f aca="false">IF(A945="","",G945-J945)</f>
        <v>15</v>
      </c>
      <c r="O945" s="8" t="n">
        <f aca="false">IF(A945="","",J945-M945)</f>
        <v>-10</v>
      </c>
      <c r="P945" s="8" t="n">
        <f aca="false">IF(A945="","",G945+J945)</f>
        <v>89</v>
      </c>
      <c r="Q945" s="8" t="str">
        <f aca="false">IF(A945="","",IF(AND(Y945&lt;&gt;"参考",G945&gt;=ルール設定!$B$2),"○",""))</f>
        <v/>
      </c>
      <c r="R945" s="8" t="str">
        <f aca="false">IF(A945="","",IF(AND(Y945&lt;&gt;"参考",G945&gt;=ルール設定!$B$3,N945&gt;=ルール設定!$B$4),"○",""))</f>
        <v/>
      </c>
      <c r="S945" s="8" t="str">
        <f aca="false">IF(A945="","",IF(AND(Y945&lt;&gt;"参考",G945&gt;=ルール設定!$B$5,J945&gt;=ルール設定!$B$6,O945&gt;=ルール設定!$B$7),"○",""))</f>
        <v/>
      </c>
      <c r="T945" s="8" t="n">
        <v>4</v>
      </c>
      <c r="U945" s="8" t="n">
        <v>1</v>
      </c>
      <c r="V945" s="8" t="str">
        <f aca="false">IF(A945="","",IF(AND(ISNUMBER(T945),ISNUMBER(U945)),IF(AND(T945&lt;=3,U945&lt;=3),"○","×"),""))</f>
        <v>×</v>
      </c>
      <c r="W945" s="8"/>
      <c r="X945" s="8"/>
      <c r="Y945" s="4" t="s">
        <v>7597</v>
      </c>
      <c r="Z945" s="8" t="s">
        <v>8111</v>
      </c>
      <c r="AA945" s="8" t="str">
        <v/>
      </c>
      <c r="AB945" s="8" t="str">
        <v/>
      </c>
      <c r="AC945" s="8" t="str">
        <v/>
      </c>
      <c r="AD945" s="8" t="str">
        <v/>
      </c>
      <c r="AE945" s="8" t="str">
        <v/>
      </c>
      <c r="AF945" s="8" t="str">
        <v/>
      </c>
      <c r="AG945" s="8" t="str">
        <v/>
      </c>
      <c r="AH945" s="8" t="str">
        <v/>
      </c>
      <c r="AI945" s="8" t="n">
        <v>5</v>
      </c>
      <c r="AJ945" s="8" t="str">
        <v>～59</v>
      </c>
      <c r="AK945" s="8" t="str">
        <v>10～19</v>
      </c>
      <c r="AL945" s="8" t="str">
        <v>0～9</v>
      </c>
      <c r="AM945" s="8" t="str">
        <v>～99</v>
      </c>
      <c r="AN945" s="8" t="str">
        <v>15以上</v>
      </c>
      <c r="AO945" s="8" t="str">
        <f aca="false">IF(A945="","",IF(COUNTIFS(全馬データ!$A$2:$A$50000,A945,全馬データ!$B$2:$B$50000,B945,全馬データ!$C$2:$C$50000,C945,全馬データ!$D$2:$D$50000,E945,全馬データ!$K$2:$K$50000,"&lt;&gt;")=0,"",SUMIFS(全馬データ!$K$2:$K$50000,全馬データ!$A$2:$A$50000,A945,全馬データ!$B$2:$B$50000,B945,全馬データ!$C$2:$C$50000,C945,全馬データ!$D$2:$D$50000,E945)))</f>
        <v/>
      </c>
      <c r="AP945" s="8" t="str">
        <f aca="false">IF(A945="","",IF(AO945="","欠損",IF(AO945&lt;=1.1,"1.0～1.1",IF(AO945&lt;1.3,"1.2",IF(AO945&lt;1.5,"1.3～1.4",IF(AO945&lt;2,"1.5～1.9","2.0以上"))))))</f>
        <v>欠損</v>
      </c>
      <c r="AQ945" s="8" t="str">
        <f aca="false">IF(A945="","",IF(ISNUMBER(SEARCH("2歳",Z945)),"2歳戦",IF(ISNUMBER(SEARCH("3歳未勝利",Z945)),"3歳未勝利",IF(ISNUMBER(SEARCH("未勝利",Z945)),"その他未勝利",IF(ISNUMBER(SEARCH("G1",Z945)),"G1",IF(ISNUMBER(SEARCH("G2",Z945)),"G2",IF(ISNUMBER(SEARCH("G3",Z945)),"G3",IF(ISNUMBER(SEARCH("古馬条件",Z945)),"古馬条件戦",IF(ISNUMBER(SEARCH("重賞",Z945)),"重賞","分類不能")))))))))</f>
        <v>分類不能</v>
      </c>
      <c r="AR945" s="8"/>
      <c r="AS945" s="8" t="s">
        <v>7623</v>
      </c>
      <c r="AT945" s="8" t="s">
        <v>7624</v>
      </c>
      <c r="AU945" s="8" t="s">
        <v>7600</v>
      </c>
      <c r="AV945" s="4" t="s">
        <v>7601</v>
      </c>
      <c r="AW945" s="8"/>
      <c r="AX945" s="8"/>
      <c r="AY945" s="8" t="s">
        <v>7602</v>
      </c>
      <c r="AZ945" s="4" t="s">
        <v>7603</v>
      </c>
      <c r="BA945" s="8" t="n">
        <v>1400</v>
      </c>
      <c r="BB945" s="8" t="s">
        <v>7598</v>
      </c>
      <c r="BC945" s="4" t="s">
        <v>7604</v>
      </c>
      <c r="BD945" s="8" t="s">
        <v>7621</v>
      </c>
      <c r="BE945" s="4" t="s">
        <v>7622</v>
      </c>
      <c r="BF945" s="8" t="s">
        <v>7602</v>
      </c>
      <c r="BG945" s="8" t="s">
        <v>7608</v>
      </c>
      <c r="BH945" s="4" t="s">
        <v>7609</v>
      </c>
      <c r="BI945" s="8" t="n">
        <v>18</v>
      </c>
      <c r="BJ945" s="8" t="s">
        <v>7610</v>
      </c>
      <c r="BK945" s="4" t="s">
        <v>7611</v>
      </c>
      <c r="BL945" s="8" t="s">
        <v>7602</v>
      </c>
      <c r="BM945" s="4" t="s">
        <v>7620</v>
      </c>
      <c r="BN945" s="8" t="s">
        <v>7602</v>
      </c>
      <c r="BO945" s="8" t="s">
        <v>7613</v>
      </c>
      <c r="BP945" s="8" t="s">
        <v>7610</v>
      </c>
      <c r="BQ945" s="8" t="str">
        <f aca="false">IF(A945="","",AT945)</f>
        <v>3歳</v>
      </c>
      <c r="BR945" s="8" t="str">
        <f aca="false">IF(A945="","",IF(BA945&lt;=1200,"～1200",IF(BA945&lt;=1500,"1300～1500",IF(BA945=1600,"1600",IF(BA945&lt;=1800,"1700～1800",IF(BA945&lt;=2000,"1900～2000","2100以上"))))))</f>
        <v>1300～1500</v>
      </c>
      <c r="BS945" s="8" t="str">
        <f aca="false">IF(A945="","",IF(AX945="G1","G1",IF(AX945="G2","G2",IF(AX945="G3","G3",IF(AX945="L","L","その他")))))</f>
        <v>その他</v>
      </c>
      <c r="BT945" s="8" t="str">
        <f aca="false">IF(A945="","",IF(BI945="","未結合",IF(D945=BI945,"一致","不一致")))</f>
        <v>一致</v>
      </c>
      <c r="BU945" s="8" t="str">
        <f aca="false">IF(A945="","",IF(BE945="牝馬限定","牝馬限定","その他"))</f>
        <v>牝馬限定</v>
      </c>
    </row>
    <row r="946" customFormat="false" ht="15.75" hidden="false" customHeight="false" outlineLevel="0" collapsed="false">
      <c r="A946" s="6" t="n">
        <f aca="false">DATE(2026,8,8)</f>
        <v>46242</v>
      </c>
      <c r="B946" s="4" t="s">
        <v>13</v>
      </c>
      <c r="C946" s="8" t="n">
        <v>1</v>
      </c>
      <c r="D946" s="8" t="n">
        <v>13</v>
      </c>
      <c r="E946" s="8" t="n">
        <v>13</v>
      </c>
      <c r="F946" s="4" t="s">
        <v>1455</v>
      </c>
      <c r="G946" s="8" t="n">
        <v>67</v>
      </c>
      <c r="H946" s="8" t="n">
        <v>5</v>
      </c>
      <c r="I946" s="8"/>
      <c r="J946" s="8" t="n">
        <v>31</v>
      </c>
      <c r="K946" s="8" t="n">
        <v>8</v>
      </c>
      <c r="L946" s="4" t="s">
        <v>1459</v>
      </c>
      <c r="M946" s="8" t="n">
        <v>41</v>
      </c>
      <c r="N946" s="8" t="n">
        <f aca="false">IF(A946="","",G946-J946)</f>
        <v>36</v>
      </c>
      <c r="O946" s="8" t="n">
        <f aca="false">IF(A946="","",J946-M946)</f>
        <v>-10</v>
      </c>
      <c r="P946" s="8" t="n">
        <f aca="false">IF(A946="","",G946+J946)</f>
        <v>98</v>
      </c>
      <c r="Q946" s="8" t="str">
        <f aca="false">IF(A946="","",IF(AND(Y946&lt;&gt;"参考",G946&gt;=ルール設定!$B$2),"○",""))</f>
        <v/>
      </c>
      <c r="R946" s="8" t="str">
        <f aca="false">IF(A946="","",IF(AND(Y946&lt;&gt;"参考",G946&gt;=ルール設定!$B$3,N946&gt;=ルール設定!$B$4),"○",""))</f>
        <v/>
      </c>
      <c r="S946" s="8" t="str">
        <f aca="false">IF(A946="","",IF(AND(Y946&lt;&gt;"参考",G946&gt;=ルール設定!$B$5,J946&gt;=ルール設定!$B$6,O946&gt;=ルール設定!$B$7),"○",""))</f>
        <v/>
      </c>
      <c r="T946" s="8" t="n">
        <v>1</v>
      </c>
      <c r="U946" s="8" t="n">
        <v>4</v>
      </c>
      <c r="V946" s="8" t="str">
        <f aca="false">IF(A946="","",IF(AND(ISNUMBER(T946),ISNUMBER(U946)),IF(AND(T946&lt;=3,U946&lt;=3),"○","×"),""))</f>
        <v>×</v>
      </c>
      <c r="W946" s="8" t="n">
        <v>110</v>
      </c>
      <c r="X946" s="8"/>
      <c r="Y946" s="4" t="s">
        <v>7597</v>
      </c>
      <c r="Z946" s="8" t="s">
        <v>8111</v>
      </c>
      <c r="AA946" s="8" t="str">
        <v/>
      </c>
      <c r="AB946" s="8" t="str">
        <v/>
      </c>
      <c r="AC946" s="8" t="str">
        <v/>
      </c>
      <c r="AD946" s="8" t="str">
        <v/>
      </c>
      <c r="AE946" s="8" t="str">
        <v/>
      </c>
      <c r="AF946" s="8" t="str">
        <v/>
      </c>
      <c r="AG946" s="8" t="str">
        <v/>
      </c>
      <c r="AH946" s="8" t="str">
        <v/>
      </c>
      <c r="AI946" s="8" t="n">
        <v>26</v>
      </c>
      <c r="AJ946" s="8" t="str">
        <v>60～69</v>
      </c>
      <c r="AK946" s="8" t="str">
        <v>30以上</v>
      </c>
      <c r="AL946" s="8" t="str">
        <v>20～29</v>
      </c>
      <c r="AM946" s="8" t="str">
        <v>～99</v>
      </c>
      <c r="AN946" s="8" t="str">
        <v>12～14</v>
      </c>
      <c r="AO946" s="8" t="str">
        <f aca="false">IF(A946="","",IF(COUNTIFS(全馬データ!$A$2:$A$50000,A946,全馬データ!$B$2:$B$50000,B946,全馬データ!$C$2:$C$50000,C946,全馬データ!$D$2:$D$50000,E946,全馬データ!$K$2:$K$50000,"&lt;&gt;")=0,"",SUMIFS(全馬データ!$K$2:$K$50000,全馬データ!$A$2:$A$50000,A946,全馬データ!$B$2:$B$50000,B946,全馬データ!$C$2:$C$50000,C946,全馬データ!$D$2:$D$50000,E946)))</f>
        <v/>
      </c>
      <c r="AP946" s="8" t="str">
        <f aca="false">IF(A946="","",IF(AO946="","欠損",IF(AO946&lt;=1.1,"1.0～1.1",IF(AO946&lt;1.3,"1.2",IF(AO946&lt;1.5,"1.3～1.4",IF(AO946&lt;2,"1.5～1.9","2.0以上"))))))</f>
        <v>欠損</v>
      </c>
      <c r="AQ946" s="8" t="str">
        <f aca="false">IF(A946="","",IF(ISNUMBER(SEARCH("2歳",Z946)),"2歳戦",IF(ISNUMBER(SEARCH("3歳未勝利",Z946)),"3歳未勝利",IF(ISNUMBER(SEARCH("未勝利",Z946)),"その他未勝利",IF(ISNUMBER(SEARCH("G1",Z946)),"G1",IF(ISNUMBER(SEARCH("G2",Z946)),"G2",IF(ISNUMBER(SEARCH("G3",Z946)),"G3",IF(ISNUMBER(SEARCH("古馬条件",Z946)),"古馬条件戦",IF(ISNUMBER(SEARCH("重賞",Z946)),"重賞","分類不能")))))))))</f>
        <v>分類不能</v>
      </c>
      <c r="AR946" s="8"/>
      <c r="AS946" s="8" t="s">
        <v>7598</v>
      </c>
      <c r="AT946" s="8" t="s">
        <v>7599</v>
      </c>
      <c r="AU946" s="8" t="s">
        <v>7600</v>
      </c>
      <c r="AV946" s="4" t="s">
        <v>7601</v>
      </c>
      <c r="AW946" s="8"/>
      <c r="AX946" s="8"/>
      <c r="AY946" s="8" t="s">
        <v>7602</v>
      </c>
      <c r="AZ946" s="4" t="s">
        <v>7603</v>
      </c>
      <c r="BA946" s="8" t="n">
        <v>1400</v>
      </c>
      <c r="BB946" s="8" t="s">
        <v>7598</v>
      </c>
      <c r="BC946" s="4" t="s">
        <v>7604</v>
      </c>
      <c r="BD946" s="8" t="s">
        <v>7605</v>
      </c>
      <c r="BE946" s="4" t="s">
        <v>7606</v>
      </c>
      <c r="BF946" s="8" t="s">
        <v>7607</v>
      </c>
      <c r="BG946" s="8" t="s">
        <v>7608</v>
      </c>
      <c r="BH946" s="4" t="s">
        <v>7609</v>
      </c>
      <c r="BI946" s="8" t="n">
        <v>13</v>
      </c>
      <c r="BJ946" s="8" t="s">
        <v>7610</v>
      </c>
      <c r="BK946" s="4" t="s">
        <v>7611</v>
      </c>
      <c r="BL946" s="8" t="s">
        <v>7602</v>
      </c>
      <c r="BM946" s="4" t="s">
        <v>7620</v>
      </c>
      <c r="BN946" s="8" t="s">
        <v>7602</v>
      </c>
      <c r="BO946" s="8" t="s">
        <v>7613</v>
      </c>
      <c r="BP946" s="8" t="s">
        <v>7602</v>
      </c>
      <c r="BQ946" s="8" t="str">
        <f aca="false">IF(A946="","",AT946)</f>
        <v>2歳</v>
      </c>
      <c r="BR946" s="8" t="str">
        <f aca="false">IF(A946="","",IF(BA946&lt;=1200,"～1200",IF(BA946&lt;=1500,"1300～1500",IF(BA946=1600,"1600",IF(BA946&lt;=1800,"1700～1800",IF(BA946&lt;=2000,"1900～2000","2100以上"))))))</f>
        <v>1300～1500</v>
      </c>
      <c r="BS946" s="8" t="str">
        <f aca="false">IF(A946="","",IF(AX946="G1","G1",IF(AX946="G2","G2",IF(AX946="G3","G3",IF(AX946="L","L","その他")))))</f>
        <v>その他</v>
      </c>
      <c r="BT946" s="8" t="str">
        <f aca="false">IF(A946="","",IF(BI946="","未結合",IF(D946=BI946,"一致","不一致")))</f>
        <v>一致</v>
      </c>
      <c r="BU946" s="8" t="str">
        <f aca="false">IF(A946="","",IF(BE946="牝馬限定","牝馬限定","その他"))</f>
        <v>その他</v>
      </c>
    </row>
    <row r="947" customFormat="false" ht="15.75" hidden="false" customHeight="false" outlineLevel="0" collapsed="false">
      <c r="A947" s="6" t="n">
        <f aca="false">DATE(2026,8,8)</f>
        <v>46242</v>
      </c>
      <c r="B947" s="4" t="s">
        <v>13</v>
      </c>
      <c r="C947" s="8" t="n">
        <v>2</v>
      </c>
      <c r="D947" s="8" t="n">
        <v>10</v>
      </c>
      <c r="E947" s="8" t="n">
        <v>3</v>
      </c>
      <c r="F947" s="4" t="s">
        <v>6880</v>
      </c>
      <c r="G947" s="8" t="n">
        <v>44</v>
      </c>
      <c r="H947" s="8" t="n">
        <v>2</v>
      </c>
      <c r="I947" s="8"/>
      <c r="J947" s="8" t="n">
        <v>27</v>
      </c>
      <c r="K947" s="8" t="n">
        <v>4</v>
      </c>
      <c r="L947" s="8"/>
      <c r="M947" s="8" t="n">
        <v>27</v>
      </c>
      <c r="N947" s="8" t="n">
        <f aca="false">IF(A947="","",G947-J947)</f>
        <v>17</v>
      </c>
      <c r="O947" s="8" t="n">
        <f aca="false">IF(A947="","",J947-M947)</f>
        <v>0</v>
      </c>
      <c r="P947" s="8" t="n">
        <f aca="false">IF(A947="","",G947+J947)</f>
        <v>71</v>
      </c>
      <c r="Q947" s="8" t="str">
        <f aca="false">IF(A947="","",IF(AND(Y947&lt;&gt;"参考",G947&gt;=ルール設定!$B$2),"○",""))</f>
        <v/>
      </c>
      <c r="R947" s="8" t="str">
        <f aca="false">IF(A947="","",IF(AND(Y947&lt;&gt;"参考",G947&gt;=ルール設定!$B$3,N947&gt;=ルール設定!$B$4),"○",""))</f>
        <v/>
      </c>
      <c r="S947" s="8" t="str">
        <f aca="false">IF(A947="","",IF(AND(Y947&lt;&gt;"参考",G947&gt;=ルール設定!$B$5,J947&gt;=ルール設定!$B$6,O947&gt;=ルール設定!$B$7),"○",""))</f>
        <v/>
      </c>
      <c r="T947" s="8" t="n">
        <v>1</v>
      </c>
      <c r="U947" s="8" t="n">
        <v>4</v>
      </c>
      <c r="V947" s="8" t="str">
        <f aca="false">IF(A947="","",IF(AND(ISNUMBER(T947),ISNUMBER(U947)),IF(AND(T947&lt;=3,U947&lt;=3),"○","×"),""))</f>
        <v>×</v>
      </c>
      <c r="W947" s="8" t="n">
        <v>110</v>
      </c>
      <c r="X947" s="8"/>
      <c r="Y947" s="4" t="s">
        <v>7597</v>
      </c>
      <c r="Z947" s="8" t="s">
        <v>8111</v>
      </c>
      <c r="AA947" s="8" t="str">
        <v/>
      </c>
      <c r="AB947" s="8" t="str">
        <v/>
      </c>
      <c r="AC947" s="8" t="str">
        <v/>
      </c>
      <c r="AD947" s="8" t="str">
        <v/>
      </c>
      <c r="AE947" s="8" t="str">
        <v/>
      </c>
      <c r="AF947" s="8" t="str">
        <v/>
      </c>
      <c r="AG947" s="8" t="str">
        <v/>
      </c>
      <c r="AH947" s="8" t="str">
        <v/>
      </c>
      <c r="AI947" s="8" t="n">
        <v>17</v>
      </c>
      <c r="AJ947" s="8" t="str">
        <v>～59</v>
      </c>
      <c r="AK947" s="8" t="str">
        <v>10～19</v>
      </c>
      <c r="AL947" s="8" t="str">
        <v>10～19</v>
      </c>
      <c r="AM947" s="8" t="str">
        <v>～99</v>
      </c>
      <c r="AN947" s="8" t="str">
        <v>8～11</v>
      </c>
      <c r="AO947" s="8" t="str">
        <f aca="false">IF(A947="","",IF(COUNTIFS(全馬データ!$A$2:$A$50000,A947,全馬データ!$B$2:$B$50000,B947,全馬データ!$C$2:$C$50000,C947,全馬データ!$D$2:$D$50000,E947,全馬データ!$K$2:$K$50000,"&lt;&gt;")=0,"",SUMIFS(全馬データ!$K$2:$K$50000,全馬データ!$A$2:$A$50000,A947,全馬データ!$B$2:$B$50000,B947,全馬データ!$C$2:$C$50000,C947,全馬データ!$D$2:$D$50000,E947)))</f>
        <v/>
      </c>
      <c r="AP947" s="8" t="str">
        <f aca="false">IF(A947="","",IF(AO947="","欠損",IF(AO947&lt;=1.1,"1.0～1.1",IF(AO947&lt;1.3,"1.2",IF(AO947&lt;1.5,"1.3～1.4",IF(AO947&lt;2,"1.5～1.9","2.0以上"))))))</f>
        <v>欠損</v>
      </c>
      <c r="AQ947" s="8" t="str">
        <f aca="false">IF(A947="","",IF(ISNUMBER(SEARCH("2歳",Z947)),"2歳戦",IF(ISNUMBER(SEARCH("3歳未勝利",Z947)),"3歳未勝利",IF(ISNUMBER(SEARCH("未勝利",Z947)),"その他未勝利",IF(ISNUMBER(SEARCH("G1",Z947)),"G1",IF(ISNUMBER(SEARCH("G2",Z947)),"G2",IF(ISNUMBER(SEARCH("G3",Z947)),"G3",IF(ISNUMBER(SEARCH("古馬条件",Z947)),"古馬条件戦",IF(ISNUMBER(SEARCH("重賞",Z947)),"重賞","分類不能")))))))))</f>
        <v>分類不能</v>
      </c>
      <c r="AR947" s="8"/>
      <c r="AS947" s="8" t="s">
        <v>7598</v>
      </c>
      <c r="AT947" s="8" t="s">
        <v>7599</v>
      </c>
      <c r="AU947" s="8" t="s">
        <v>7615</v>
      </c>
      <c r="AV947" s="4" t="s">
        <v>7616</v>
      </c>
      <c r="AW947" s="8"/>
      <c r="AX947" s="8"/>
      <c r="AY947" s="8" t="s">
        <v>7610</v>
      </c>
      <c r="AZ947" s="4" t="s">
        <v>7617</v>
      </c>
      <c r="BA947" s="8" t="n">
        <v>1200</v>
      </c>
      <c r="BB947" s="8" t="s">
        <v>7634</v>
      </c>
      <c r="BC947" s="4" t="s">
        <v>7604</v>
      </c>
      <c r="BD947" s="8" t="s">
        <v>7605</v>
      </c>
      <c r="BE947" s="4" t="s">
        <v>7606</v>
      </c>
      <c r="BF947" s="8" t="s">
        <v>7607</v>
      </c>
      <c r="BG947" s="8" t="s">
        <v>7608</v>
      </c>
      <c r="BH947" s="4" t="s">
        <v>7609</v>
      </c>
      <c r="BI947" s="8" t="n">
        <v>10</v>
      </c>
      <c r="BJ947" s="8" t="s">
        <v>7610</v>
      </c>
      <c r="BK947" s="4" t="s">
        <v>7611</v>
      </c>
      <c r="BL947" s="8" t="s">
        <v>7602</v>
      </c>
      <c r="BM947" s="4" t="s">
        <v>7620</v>
      </c>
      <c r="BN947" s="8"/>
      <c r="BO947" s="8"/>
      <c r="BP947" s="8" t="s">
        <v>7602</v>
      </c>
      <c r="BQ947" s="8" t="str">
        <f aca="false">IF(A947="","",AT947)</f>
        <v>2歳</v>
      </c>
      <c r="BR947" s="8" t="str">
        <f aca="false">IF(A947="","",IF(BA947&lt;=1200,"～1200",IF(BA947&lt;=1500,"1300～1500",IF(BA947=1600,"1600",IF(BA947&lt;=1800,"1700～1800",IF(BA947&lt;=2000,"1900～2000","2100以上"))))))</f>
        <v>～1200</v>
      </c>
      <c r="BS947" s="8" t="str">
        <f aca="false">IF(A947="","",IF(AX947="G1","G1",IF(AX947="G2","G2",IF(AX947="G3","G3",IF(AX947="L","L","その他")))))</f>
        <v>その他</v>
      </c>
      <c r="BT947" s="8" t="str">
        <f aca="false">IF(A947="","",IF(BI947="","未結合",IF(D947=BI947,"一致","不一致")))</f>
        <v>一致</v>
      </c>
      <c r="BU947" s="8" t="str">
        <f aca="false">IF(A947="","",IF(BE947="牝馬限定","牝馬限定","その他"))</f>
        <v>その他</v>
      </c>
    </row>
    <row r="948" customFormat="false" ht="15.75" hidden="false" customHeight="false" outlineLevel="0" collapsed="false">
      <c r="A948" s="6" t="n">
        <f aca="false">DATE(2026,8,8)</f>
        <v>46242</v>
      </c>
      <c r="B948" s="4" t="s">
        <v>13</v>
      </c>
      <c r="C948" s="8" t="n">
        <v>3</v>
      </c>
      <c r="D948" s="8" t="n">
        <v>12</v>
      </c>
      <c r="E948" s="8" t="n">
        <v>7</v>
      </c>
      <c r="F948" s="8"/>
      <c r="G948" s="8" t="n">
        <v>37</v>
      </c>
      <c r="H948" s="8" t="n">
        <v>4</v>
      </c>
      <c r="I948" s="8"/>
      <c r="J948" s="8" t="n">
        <v>27</v>
      </c>
      <c r="K948" s="8" t="n">
        <v>10</v>
      </c>
      <c r="L948" s="8"/>
      <c r="M948" s="8" t="n">
        <v>27</v>
      </c>
      <c r="N948" s="8" t="n">
        <f aca="false">IF(A948="","",G948-J948)</f>
        <v>10</v>
      </c>
      <c r="O948" s="8" t="n">
        <f aca="false">IF(A948="","",J948-M948)</f>
        <v>0</v>
      </c>
      <c r="P948" s="8" t="n">
        <f aca="false">IF(A948="","",G948+J948)</f>
        <v>64</v>
      </c>
      <c r="Q948" s="8" t="str">
        <f aca="false">IF(A948="","",IF(AND(Y948&lt;&gt;"参考",G948&gt;=ルール設定!$B$2),"○",""))</f>
        <v/>
      </c>
      <c r="R948" s="8" t="str">
        <f aca="false">IF(A948="","",IF(AND(Y948&lt;&gt;"参考",G948&gt;=ルール設定!$B$3,N948&gt;=ルール設定!$B$4),"○",""))</f>
        <v/>
      </c>
      <c r="S948" s="8" t="str">
        <f aca="false">IF(A948="","",IF(AND(Y948&lt;&gt;"参考",G948&gt;=ルール設定!$B$5,J948&gt;=ルール設定!$B$6,O948&gt;=ルール設定!$B$7),"○",""))</f>
        <v/>
      </c>
      <c r="T948" s="8" t="n">
        <v>4</v>
      </c>
      <c r="U948" s="8" t="n">
        <v>4</v>
      </c>
      <c r="V948" s="8" t="str">
        <f aca="false">IF(A948="","",IF(AND(ISNUMBER(T948),ISNUMBER(U948)),IF(AND(T948&lt;=3,U948&lt;=3),"○","×"),""))</f>
        <v>×</v>
      </c>
      <c r="W948" s="8"/>
      <c r="X948" s="8"/>
      <c r="Y948" s="4" t="s">
        <v>7597</v>
      </c>
      <c r="Z948" s="8" t="s">
        <v>8111</v>
      </c>
      <c r="AA948" s="8" t="str">
        <v/>
      </c>
      <c r="AB948" s="8" t="str">
        <v/>
      </c>
      <c r="AC948" s="8" t="str">
        <v/>
      </c>
      <c r="AD948" s="8" t="str">
        <v/>
      </c>
      <c r="AE948" s="8" t="str">
        <v/>
      </c>
      <c r="AF948" s="8" t="str">
        <v/>
      </c>
      <c r="AG948" s="8" t="str">
        <v/>
      </c>
      <c r="AH948" s="8" t="str">
        <v/>
      </c>
      <c r="AI948" s="8" t="n">
        <v>10</v>
      </c>
      <c r="AJ948" s="8" t="str">
        <v>～59</v>
      </c>
      <c r="AK948" s="8" t="str">
        <v>10～19</v>
      </c>
      <c r="AL948" s="8" t="str">
        <v>10～19</v>
      </c>
      <c r="AM948" s="8" t="str">
        <v>～99</v>
      </c>
      <c r="AN948" s="8" t="str">
        <v>12～14</v>
      </c>
      <c r="AO948" s="8" t="str">
        <f aca="false">IF(A948="","",IF(COUNTIFS(全馬データ!$A$2:$A$50000,A948,全馬データ!$B$2:$B$50000,B948,全馬データ!$C$2:$C$50000,C948,全馬データ!$D$2:$D$50000,E948,全馬データ!$K$2:$K$50000,"&lt;&gt;")=0,"",SUMIFS(全馬データ!$K$2:$K$50000,全馬データ!$A$2:$A$50000,A948,全馬データ!$B$2:$B$50000,B948,全馬データ!$C$2:$C$50000,C948,全馬データ!$D$2:$D$50000,E948)))</f>
        <v/>
      </c>
      <c r="AP948" s="8" t="str">
        <f aca="false">IF(A948="","",IF(AO948="","欠損",IF(AO948&lt;=1.1,"1.0～1.1",IF(AO948&lt;1.3,"1.2",IF(AO948&lt;1.5,"1.3～1.4",IF(AO948&lt;2,"1.5～1.9","2.0以上"))))))</f>
        <v>欠損</v>
      </c>
      <c r="AQ948" s="8" t="str">
        <f aca="false">IF(A948="","",IF(ISNUMBER(SEARCH("2歳",Z948)),"2歳戦",IF(ISNUMBER(SEARCH("3歳未勝利",Z948)),"3歳未勝利",IF(ISNUMBER(SEARCH("未勝利",Z948)),"その他未勝利",IF(ISNUMBER(SEARCH("G1",Z948)),"G1",IF(ISNUMBER(SEARCH("G2",Z948)),"G2",IF(ISNUMBER(SEARCH("G3",Z948)),"G3",IF(ISNUMBER(SEARCH("古馬条件",Z948)),"古馬条件戦",IF(ISNUMBER(SEARCH("重賞",Z948)),"重賞","分類不能")))))))))</f>
        <v>分類不能</v>
      </c>
      <c r="AR948" s="8"/>
      <c r="AS948" s="8" t="s">
        <v>7598</v>
      </c>
      <c r="AT948" s="8" t="s">
        <v>7599</v>
      </c>
      <c r="AU948" s="8" t="s">
        <v>7615</v>
      </c>
      <c r="AV948" s="4" t="s">
        <v>7616</v>
      </c>
      <c r="AW948" s="8"/>
      <c r="AX948" s="8"/>
      <c r="AY948" s="8" t="s">
        <v>7602</v>
      </c>
      <c r="AZ948" s="4" t="s">
        <v>7603</v>
      </c>
      <c r="BA948" s="8" t="n">
        <v>1800</v>
      </c>
      <c r="BB948" s="8" t="s">
        <v>7598</v>
      </c>
      <c r="BC948" s="4" t="s">
        <v>7604</v>
      </c>
      <c r="BD948" s="8" t="s">
        <v>7625</v>
      </c>
      <c r="BE948" s="4" t="s">
        <v>7606</v>
      </c>
      <c r="BF948" s="8" t="s">
        <v>7607</v>
      </c>
      <c r="BG948" s="8" t="s">
        <v>7608</v>
      </c>
      <c r="BH948" s="4" t="s">
        <v>7609</v>
      </c>
      <c r="BI948" s="8" t="n">
        <v>12</v>
      </c>
      <c r="BJ948" s="8" t="s">
        <v>7610</v>
      </c>
      <c r="BK948" s="4" t="s">
        <v>7611</v>
      </c>
      <c r="BL948" s="8" t="s">
        <v>7610</v>
      </c>
      <c r="BM948" s="4" t="s">
        <v>7612</v>
      </c>
      <c r="BN948" s="8" t="s">
        <v>7602</v>
      </c>
      <c r="BO948" s="8" t="s">
        <v>7613</v>
      </c>
      <c r="BP948" s="8" t="s">
        <v>7602</v>
      </c>
      <c r="BQ948" s="8" t="str">
        <f aca="false">IF(A948="","",AT948)</f>
        <v>2歳</v>
      </c>
      <c r="BR948" s="8" t="str">
        <f aca="false">IF(A948="","",IF(BA948&lt;=1200,"～1200",IF(BA948&lt;=1500,"1300～1500",IF(BA948=1600,"1600",IF(BA948&lt;=1800,"1700～1800",IF(BA948&lt;=2000,"1900～2000","2100以上"))))))</f>
        <v>1700～1800</v>
      </c>
      <c r="BS948" s="8" t="str">
        <f aca="false">IF(A948="","",IF(AX948="G1","G1",IF(AX948="G2","G2",IF(AX948="G3","G3",IF(AX948="L","L","その他")))))</f>
        <v>その他</v>
      </c>
      <c r="BT948" s="8" t="str">
        <f aca="false">IF(A948="","",IF(BI948="","未結合",IF(D948=BI948,"一致","不一致")))</f>
        <v>一致</v>
      </c>
      <c r="BU948" s="8" t="str">
        <f aca="false">IF(A948="","",IF(BE948="牝馬限定","牝馬限定","その他"))</f>
        <v>その他</v>
      </c>
    </row>
    <row r="949" customFormat="false" ht="15.75" hidden="false" customHeight="false" outlineLevel="0" collapsed="false">
      <c r="A949" s="6" t="n">
        <f aca="false">DATE(2026,8,8)</f>
        <v>46242</v>
      </c>
      <c r="B949" s="4" t="s">
        <v>13</v>
      </c>
      <c r="C949" s="8" t="n">
        <v>4</v>
      </c>
      <c r="D949" s="8" t="n">
        <v>15</v>
      </c>
      <c r="E949" s="8" t="n">
        <v>3</v>
      </c>
      <c r="F949" s="8"/>
      <c r="G949" s="8" t="n">
        <v>62</v>
      </c>
      <c r="H949" s="8" t="n">
        <v>8</v>
      </c>
      <c r="I949" s="8"/>
      <c r="J949" s="8" t="n">
        <v>41</v>
      </c>
      <c r="K949" s="8" t="n">
        <v>10</v>
      </c>
      <c r="L949" s="8"/>
      <c r="M949" s="8" t="n">
        <v>50</v>
      </c>
      <c r="N949" s="8" t="n">
        <f aca="false">IF(A949="","",G949-J949)</f>
        <v>21</v>
      </c>
      <c r="O949" s="8" t="n">
        <f aca="false">IF(A949="","",J949-M949)</f>
        <v>-9</v>
      </c>
      <c r="P949" s="8" t="n">
        <f aca="false">IF(A949="","",G949+J949)</f>
        <v>103</v>
      </c>
      <c r="Q949" s="8" t="str">
        <f aca="false">IF(A949="","",IF(AND(Y949&lt;&gt;"参考",G949&gt;=ルール設定!$B$2),"○",""))</f>
        <v/>
      </c>
      <c r="R949" s="8" t="str">
        <f aca="false">IF(A949="","",IF(AND(Y949&lt;&gt;"参考",G949&gt;=ルール設定!$B$3,N949&gt;=ルール設定!$B$4),"○",""))</f>
        <v/>
      </c>
      <c r="S949" s="8" t="str">
        <f aca="false">IF(A949="","",IF(AND(Y949&lt;&gt;"参考",G949&gt;=ルール設定!$B$5,J949&gt;=ルール設定!$B$6,O949&gt;=ルール設定!$B$7),"○",""))</f>
        <v/>
      </c>
      <c r="T949" s="8" t="n">
        <v>4</v>
      </c>
      <c r="U949" s="8" t="n">
        <v>4</v>
      </c>
      <c r="V949" s="8" t="str">
        <f aca="false">IF(A949="","",IF(AND(ISNUMBER(T949),ISNUMBER(U949)),IF(AND(T949&lt;=3,U949&lt;=3),"○","×"),""))</f>
        <v>×</v>
      </c>
      <c r="W949" s="8"/>
      <c r="X949" s="8"/>
      <c r="Y949" s="4" t="s">
        <v>7597</v>
      </c>
      <c r="Z949" s="8" t="s">
        <v>8111</v>
      </c>
      <c r="AA949" s="8" t="str">
        <v/>
      </c>
      <c r="AB949" s="8" t="str">
        <v/>
      </c>
      <c r="AC949" s="8" t="str">
        <v/>
      </c>
      <c r="AD949" s="8" t="str">
        <v/>
      </c>
      <c r="AE949" s="8" t="str">
        <v/>
      </c>
      <c r="AF949" s="8" t="str">
        <v/>
      </c>
      <c r="AG949" s="8" t="str">
        <v/>
      </c>
      <c r="AH949" s="8" t="str">
        <v/>
      </c>
      <c r="AI949" s="8" t="n">
        <v>12</v>
      </c>
      <c r="AJ949" s="8" t="str">
        <v>60～69</v>
      </c>
      <c r="AK949" s="8" t="str">
        <v>20～29</v>
      </c>
      <c r="AL949" s="8" t="str">
        <v>10～19</v>
      </c>
      <c r="AM949" s="8" t="str">
        <v>100～119</v>
      </c>
      <c r="AN949" s="8" t="str">
        <v>15以上</v>
      </c>
      <c r="AO949" s="8" t="str">
        <f aca="false">IF(A949="","",IF(COUNTIFS(全馬データ!$A$2:$A$50000,A949,全馬データ!$B$2:$B$50000,B949,全馬データ!$C$2:$C$50000,C949,全馬データ!$D$2:$D$50000,E949,全馬データ!$K$2:$K$50000,"&lt;&gt;")=0,"",SUMIFS(全馬データ!$K$2:$K$50000,全馬データ!$A$2:$A$50000,A949,全馬データ!$B$2:$B$50000,B949,全馬データ!$C$2:$C$50000,C949,全馬データ!$D$2:$D$50000,E949)))</f>
        <v/>
      </c>
      <c r="AP949" s="8" t="str">
        <f aca="false">IF(A949="","",IF(AO949="","欠損",IF(AO949&lt;=1.1,"1.0～1.1",IF(AO949&lt;1.3,"1.2",IF(AO949&lt;1.5,"1.3～1.4",IF(AO949&lt;2,"1.5～1.9","2.0以上"))))))</f>
        <v>欠損</v>
      </c>
      <c r="AQ949" s="8" t="str">
        <f aca="false">IF(A949="","",IF(ISNUMBER(SEARCH("2歳",Z949)),"2歳戦",IF(ISNUMBER(SEARCH("3歳未勝利",Z949)),"3歳未勝利",IF(ISNUMBER(SEARCH("未勝利",Z949)),"その他未勝利",IF(ISNUMBER(SEARCH("G1",Z949)),"G1",IF(ISNUMBER(SEARCH("G2",Z949)),"G2",IF(ISNUMBER(SEARCH("G3",Z949)),"G3",IF(ISNUMBER(SEARCH("古馬条件",Z949)),"古馬条件戦",IF(ISNUMBER(SEARCH("重賞",Z949)),"重賞","分類不能")))))))))</f>
        <v>分類不能</v>
      </c>
      <c r="AR949" s="8"/>
      <c r="AS949" s="8" t="s">
        <v>7623</v>
      </c>
      <c r="AT949" s="8" t="s">
        <v>7624</v>
      </c>
      <c r="AU949" s="8" t="s">
        <v>7600</v>
      </c>
      <c r="AV949" s="4" t="s">
        <v>7601</v>
      </c>
      <c r="AW949" s="8"/>
      <c r="AX949" s="8"/>
      <c r="AY949" s="8" t="s">
        <v>7610</v>
      </c>
      <c r="AZ949" s="4" t="s">
        <v>7617</v>
      </c>
      <c r="BA949" s="8" t="n">
        <v>1200</v>
      </c>
      <c r="BB949" s="8" t="s">
        <v>7634</v>
      </c>
      <c r="BC949" s="4" t="s">
        <v>7604</v>
      </c>
      <c r="BD949" s="8" t="s">
        <v>7605</v>
      </c>
      <c r="BE949" s="4" t="s">
        <v>7606</v>
      </c>
      <c r="BF949" s="8" t="s">
        <v>7607</v>
      </c>
      <c r="BG949" s="8" t="s">
        <v>7608</v>
      </c>
      <c r="BH949" s="4" t="s">
        <v>7609</v>
      </c>
      <c r="BI949" s="8" t="n">
        <v>15</v>
      </c>
      <c r="BJ949" s="8" t="s">
        <v>7610</v>
      </c>
      <c r="BK949" s="4" t="s">
        <v>7611</v>
      </c>
      <c r="BL949" s="8" t="s">
        <v>7602</v>
      </c>
      <c r="BM949" s="4" t="s">
        <v>7620</v>
      </c>
      <c r="BN949" s="8"/>
      <c r="BO949" s="8"/>
      <c r="BP949" s="8" t="s">
        <v>7602</v>
      </c>
      <c r="BQ949" s="8" t="str">
        <f aca="false">IF(A949="","",AT949)</f>
        <v>3歳</v>
      </c>
      <c r="BR949" s="8" t="str">
        <f aca="false">IF(A949="","",IF(BA949&lt;=1200,"～1200",IF(BA949&lt;=1500,"1300～1500",IF(BA949=1600,"1600",IF(BA949&lt;=1800,"1700～1800",IF(BA949&lt;=2000,"1900～2000","2100以上"))))))</f>
        <v>～1200</v>
      </c>
      <c r="BS949" s="8" t="str">
        <f aca="false">IF(A949="","",IF(AX949="G1","G1",IF(AX949="G2","G2",IF(AX949="G3","G3",IF(AX949="L","L","その他")))))</f>
        <v>その他</v>
      </c>
      <c r="BT949" s="8" t="str">
        <f aca="false">IF(A949="","",IF(BI949="","未結合",IF(D949=BI949,"一致","不一致")))</f>
        <v>一致</v>
      </c>
      <c r="BU949" s="8" t="str">
        <f aca="false">IF(A949="","",IF(BE949="牝馬限定","牝馬限定","その他"))</f>
        <v>その他</v>
      </c>
    </row>
    <row r="950" customFormat="false" ht="15.75" hidden="false" customHeight="false" outlineLevel="0" collapsed="false">
      <c r="A950" s="6" t="n">
        <f aca="false">DATE(2026,8,8)</f>
        <v>46242</v>
      </c>
      <c r="B950" s="4" t="s">
        <v>13</v>
      </c>
      <c r="C950" s="8" t="n">
        <v>5</v>
      </c>
      <c r="D950" s="8" t="n">
        <v>15</v>
      </c>
      <c r="E950" s="8" t="n">
        <v>11</v>
      </c>
      <c r="F950" s="4" t="s">
        <v>1000</v>
      </c>
      <c r="G950" s="8" t="n">
        <v>65</v>
      </c>
      <c r="H950" s="8" t="n">
        <v>4</v>
      </c>
      <c r="I950" s="8"/>
      <c r="J950" s="8" t="n">
        <v>39</v>
      </c>
      <c r="K950" s="8" t="n">
        <v>14</v>
      </c>
      <c r="L950" s="8"/>
      <c r="M950" s="8" t="n">
        <v>39</v>
      </c>
      <c r="N950" s="8" t="n">
        <f aca="false">IF(A950="","",G950-J950)</f>
        <v>26</v>
      </c>
      <c r="O950" s="8" t="n">
        <f aca="false">IF(A950="","",J950-M950)</f>
        <v>0</v>
      </c>
      <c r="P950" s="8" t="n">
        <f aca="false">IF(A950="","",G950+J950)</f>
        <v>104</v>
      </c>
      <c r="Q950" s="8" t="str">
        <f aca="false">IF(A950="","",IF(AND(Y950&lt;&gt;"参考",G950&gt;=ルール設定!$B$2),"○",""))</f>
        <v/>
      </c>
      <c r="R950" s="8" t="str">
        <f aca="false">IF(A950="","",IF(AND(Y950&lt;&gt;"参考",G950&gt;=ルール設定!$B$3,N950&gt;=ルール設定!$B$4),"○",""))</f>
        <v/>
      </c>
      <c r="S950" s="8" t="str">
        <f aca="false">IF(A950="","",IF(AND(Y950&lt;&gt;"参考",G950&gt;=ルール設定!$B$5,J950&gt;=ルール設定!$B$6,O950&gt;=ルール設定!$B$7),"○",""))</f>
        <v/>
      </c>
      <c r="T950" s="8" t="n">
        <v>1</v>
      </c>
      <c r="U950" s="8" t="n">
        <v>4</v>
      </c>
      <c r="V950" s="8" t="str">
        <f aca="false">IF(A950="","",IF(AND(ISNUMBER(T950),ISNUMBER(U950)),IF(AND(T950&lt;=3,U950&lt;=3),"○","×"),""))</f>
        <v>×</v>
      </c>
      <c r="W950" s="8" t="n">
        <v>110</v>
      </c>
      <c r="X950" s="8"/>
      <c r="Y950" s="4" t="s">
        <v>7597</v>
      </c>
      <c r="Z950" s="8" t="s">
        <v>8111</v>
      </c>
      <c r="AA950" s="8" t="str">
        <v/>
      </c>
      <c r="AB950" s="8" t="str">
        <v/>
      </c>
      <c r="AC950" s="8" t="str">
        <v/>
      </c>
      <c r="AD950" s="8" t="str">
        <v/>
      </c>
      <c r="AE950" s="8" t="str">
        <v/>
      </c>
      <c r="AF950" s="8" t="str">
        <v/>
      </c>
      <c r="AG950" s="8" t="str">
        <v/>
      </c>
      <c r="AH950" s="8" t="str">
        <v/>
      </c>
      <c r="AI950" s="8" t="n">
        <v>26</v>
      </c>
      <c r="AJ950" s="8" t="str">
        <v>60～69</v>
      </c>
      <c r="AK950" s="8" t="str">
        <v>20～29</v>
      </c>
      <c r="AL950" s="8" t="str">
        <v>20～29</v>
      </c>
      <c r="AM950" s="8" t="str">
        <v>100～119</v>
      </c>
      <c r="AN950" s="8" t="str">
        <v>15以上</v>
      </c>
      <c r="AO950" s="8" t="str">
        <f aca="false">IF(A950="","",IF(COUNTIFS(全馬データ!$A$2:$A$50000,A950,全馬データ!$B$2:$B$50000,B950,全馬データ!$C$2:$C$50000,C950,全馬データ!$D$2:$D$50000,E950,全馬データ!$K$2:$K$50000,"&lt;&gt;")=0,"",SUMIFS(全馬データ!$K$2:$K$50000,全馬データ!$A$2:$A$50000,A950,全馬データ!$B$2:$B$50000,B950,全馬データ!$C$2:$C$50000,C950,全馬データ!$D$2:$D$50000,E950)))</f>
        <v/>
      </c>
      <c r="AP950" s="8" t="str">
        <f aca="false">IF(A950="","",IF(AO950="","欠損",IF(AO950&lt;=1.1,"1.0～1.1",IF(AO950&lt;1.3,"1.2",IF(AO950&lt;1.5,"1.3～1.4",IF(AO950&lt;2,"1.5～1.9","2.0以上"))))))</f>
        <v>欠損</v>
      </c>
      <c r="AQ950" s="8" t="str">
        <f aca="false">IF(A950="","",IF(ISNUMBER(SEARCH("2歳",Z950)),"2歳戦",IF(ISNUMBER(SEARCH("3歳未勝利",Z950)),"3歳未勝利",IF(ISNUMBER(SEARCH("未勝利",Z950)),"その他未勝利",IF(ISNUMBER(SEARCH("G1",Z950)),"G1",IF(ISNUMBER(SEARCH("G2",Z950)),"G2",IF(ISNUMBER(SEARCH("G3",Z950)),"G3",IF(ISNUMBER(SEARCH("古馬条件",Z950)),"古馬条件戦",IF(ISNUMBER(SEARCH("重賞",Z950)),"重賞","分類不能")))))))))</f>
        <v>分類不能</v>
      </c>
      <c r="AR950" s="8"/>
      <c r="AS950" s="8" t="s">
        <v>7623</v>
      </c>
      <c r="AT950" s="8" t="s">
        <v>7624</v>
      </c>
      <c r="AU950" s="8" t="s">
        <v>7600</v>
      </c>
      <c r="AV950" s="4" t="s">
        <v>7601</v>
      </c>
      <c r="AW950" s="8"/>
      <c r="AX950" s="8"/>
      <c r="AY950" s="8" t="s">
        <v>7610</v>
      </c>
      <c r="AZ950" s="4" t="s">
        <v>7617</v>
      </c>
      <c r="BA950" s="8" t="n">
        <v>1800</v>
      </c>
      <c r="BB950" s="8" t="s">
        <v>7634</v>
      </c>
      <c r="BC950" s="4" t="s">
        <v>7604</v>
      </c>
      <c r="BD950" s="8" t="s">
        <v>7625</v>
      </c>
      <c r="BE950" s="4" t="s">
        <v>7606</v>
      </c>
      <c r="BF950" s="8" t="s">
        <v>7607</v>
      </c>
      <c r="BG950" s="8" t="s">
        <v>7608</v>
      </c>
      <c r="BH950" s="4" t="s">
        <v>7609</v>
      </c>
      <c r="BI950" s="8" t="n">
        <v>15</v>
      </c>
      <c r="BJ950" s="8" t="s">
        <v>7610</v>
      </c>
      <c r="BK950" s="4" t="s">
        <v>7611</v>
      </c>
      <c r="BL950" s="8" t="s">
        <v>7602</v>
      </c>
      <c r="BM950" s="4" t="s">
        <v>7620</v>
      </c>
      <c r="BN950" s="8"/>
      <c r="BO950" s="8"/>
      <c r="BP950" s="8" t="s">
        <v>7602</v>
      </c>
      <c r="BQ950" s="8" t="str">
        <f aca="false">IF(A950="","",AT950)</f>
        <v>3歳</v>
      </c>
      <c r="BR950" s="8" t="str">
        <f aca="false">IF(A950="","",IF(BA950&lt;=1200,"～1200",IF(BA950&lt;=1500,"1300～1500",IF(BA950=1600,"1600",IF(BA950&lt;=1800,"1700～1800",IF(BA950&lt;=2000,"1900～2000","2100以上"))))))</f>
        <v>1700～1800</v>
      </c>
      <c r="BS950" s="8" t="str">
        <f aca="false">IF(A950="","",IF(AX950="G1","G1",IF(AX950="G2","G2",IF(AX950="G3","G3",IF(AX950="L","L","その他")))))</f>
        <v>その他</v>
      </c>
      <c r="BT950" s="8" t="str">
        <f aca="false">IF(A950="","",IF(BI950="","未結合",IF(D950=BI950,"一致","不一致")))</f>
        <v>一致</v>
      </c>
      <c r="BU950" s="8" t="str">
        <f aca="false">IF(A950="","",IF(BE950="牝馬限定","牝馬限定","その他"))</f>
        <v>その他</v>
      </c>
    </row>
    <row r="951" customFormat="false" ht="15.75" hidden="false" customHeight="false" outlineLevel="0" collapsed="false">
      <c r="A951" s="6" t="n">
        <f aca="false">DATE(2026,8,8)</f>
        <v>46242</v>
      </c>
      <c r="B951" s="4" t="s">
        <v>13</v>
      </c>
      <c r="C951" s="8" t="n">
        <v>7</v>
      </c>
      <c r="D951" s="8" t="n">
        <v>16</v>
      </c>
      <c r="E951" s="8" t="n">
        <v>6</v>
      </c>
      <c r="F951" s="4" t="s">
        <v>6888</v>
      </c>
      <c r="G951" s="8" t="n">
        <v>44</v>
      </c>
      <c r="H951" s="8" t="n">
        <v>7</v>
      </c>
      <c r="I951" s="8"/>
      <c r="J951" s="8" t="n">
        <v>37</v>
      </c>
      <c r="K951" s="8" t="n">
        <v>1</v>
      </c>
      <c r="L951" s="8"/>
      <c r="M951" s="8" t="n">
        <v>39</v>
      </c>
      <c r="N951" s="8" t="n">
        <f aca="false">IF(A951="","",G951-J951)</f>
        <v>7</v>
      </c>
      <c r="O951" s="8" t="n">
        <f aca="false">IF(A951="","",J951-M951)</f>
        <v>-2</v>
      </c>
      <c r="P951" s="8" t="n">
        <f aca="false">IF(A951="","",G951+J951)</f>
        <v>81</v>
      </c>
      <c r="Q951" s="8" t="str">
        <f aca="false">IF(A951="","",IF(AND(Y951&lt;&gt;"参考",G951&gt;=ルール設定!$B$2),"○",""))</f>
        <v/>
      </c>
      <c r="R951" s="8" t="str">
        <f aca="false">IF(A951="","",IF(AND(Y951&lt;&gt;"参考",G951&gt;=ルール設定!$B$3,N951&gt;=ルール設定!$B$4),"○",""))</f>
        <v/>
      </c>
      <c r="S951" s="8" t="str">
        <f aca="false">IF(A951="","",IF(AND(Y951&lt;&gt;"参考",G951&gt;=ルール設定!$B$5,J951&gt;=ルール設定!$B$6,O951&gt;=ルール設定!$B$7),"○",""))</f>
        <v/>
      </c>
      <c r="T951" s="8" t="n">
        <v>3</v>
      </c>
      <c r="U951" s="8" t="n">
        <v>4</v>
      </c>
      <c r="V951" s="8" t="str">
        <f aca="false">IF(A951="","",IF(AND(ISNUMBER(T951),ISNUMBER(U951)),IF(AND(T951&lt;=3,U951&lt;=3),"○","×"),""))</f>
        <v>×</v>
      </c>
      <c r="W951" s="8" t="n">
        <v>300</v>
      </c>
      <c r="X951" s="8"/>
      <c r="Y951" s="4" t="s">
        <v>7597</v>
      </c>
      <c r="Z951" s="8" t="s">
        <v>8111</v>
      </c>
      <c r="AA951" s="8" t="str">
        <v/>
      </c>
      <c r="AB951" s="8" t="str">
        <v/>
      </c>
      <c r="AC951" s="8" t="str">
        <v/>
      </c>
      <c r="AD951" s="8" t="str">
        <v/>
      </c>
      <c r="AE951" s="8" t="str">
        <v/>
      </c>
      <c r="AF951" s="8" t="str">
        <v/>
      </c>
      <c r="AG951" s="8" t="str">
        <v/>
      </c>
      <c r="AH951" s="8" t="str">
        <v/>
      </c>
      <c r="AI951" s="8" t="n">
        <v>5</v>
      </c>
      <c r="AJ951" s="8" t="str">
        <v>～59</v>
      </c>
      <c r="AK951" s="8" t="str">
        <v>5～9</v>
      </c>
      <c r="AL951" s="8" t="str">
        <v>0～9</v>
      </c>
      <c r="AM951" s="8" t="str">
        <v>～99</v>
      </c>
      <c r="AN951" s="8" t="str">
        <v>15以上</v>
      </c>
      <c r="AO951" s="8" t="str">
        <f aca="false">IF(A951="","",IF(COUNTIFS(全馬データ!$A$2:$A$50000,A951,全馬データ!$B$2:$B$50000,B951,全馬データ!$C$2:$C$50000,C951,全馬データ!$D$2:$D$50000,E951,全馬データ!$K$2:$K$50000,"&lt;&gt;")=0,"",SUMIFS(全馬データ!$K$2:$K$50000,全馬データ!$A$2:$A$50000,A951,全馬データ!$B$2:$B$50000,B951,全馬データ!$C$2:$C$50000,C951,全馬データ!$D$2:$D$50000,E951)))</f>
        <v/>
      </c>
      <c r="AP951" s="8" t="str">
        <f aca="false">IF(A951="","",IF(AO951="","欠損",IF(AO951&lt;=1.1,"1.0～1.1",IF(AO951&lt;1.3,"1.2",IF(AO951&lt;1.5,"1.3～1.4",IF(AO951&lt;2,"1.5～1.9","2.0以上"))))))</f>
        <v>欠損</v>
      </c>
      <c r="AQ951" s="8" t="str">
        <f aca="false">IF(A951="","",IF(ISNUMBER(SEARCH("2歳",Z951)),"2歳戦",IF(ISNUMBER(SEARCH("3歳未勝利",Z951)),"3歳未勝利",IF(ISNUMBER(SEARCH("未勝利",Z951)),"その他未勝利",IF(ISNUMBER(SEARCH("G1",Z951)),"G1",IF(ISNUMBER(SEARCH("G2",Z951)),"G2",IF(ISNUMBER(SEARCH("G3",Z951)),"G3",IF(ISNUMBER(SEARCH("古馬条件",Z951)),"古馬条件戦",IF(ISNUMBER(SEARCH("重賞",Z951)),"重賞","分類不能")))))))))</f>
        <v>分類不能</v>
      </c>
      <c r="AR951" s="4" t="s">
        <v>8115</v>
      </c>
      <c r="AS951" s="8" t="s">
        <v>7626</v>
      </c>
      <c r="AT951" s="8" t="s">
        <v>7627</v>
      </c>
      <c r="AU951" s="8" t="s">
        <v>7643</v>
      </c>
      <c r="AV951" s="4" t="s">
        <v>7644</v>
      </c>
      <c r="AW951" s="8" t="s">
        <v>7636</v>
      </c>
      <c r="AX951" s="4" t="s">
        <v>7637</v>
      </c>
      <c r="AY951" s="8" t="s">
        <v>7602</v>
      </c>
      <c r="AZ951" s="4" t="s">
        <v>7603</v>
      </c>
      <c r="BA951" s="8" t="n">
        <v>1800</v>
      </c>
      <c r="BB951" s="8" t="s">
        <v>7598</v>
      </c>
      <c r="BC951" s="4" t="s">
        <v>7604</v>
      </c>
      <c r="BD951" s="8" t="s">
        <v>7666</v>
      </c>
      <c r="BE951" s="4" t="s">
        <v>7606</v>
      </c>
      <c r="BF951" s="8" t="s">
        <v>7607</v>
      </c>
      <c r="BG951" s="8" t="s">
        <v>7602</v>
      </c>
      <c r="BH951" s="4" t="s">
        <v>7667</v>
      </c>
      <c r="BI951" s="8" t="n">
        <v>16</v>
      </c>
      <c r="BJ951" s="8" t="s">
        <v>7610</v>
      </c>
      <c r="BK951" s="4" t="s">
        <v>7611</v>
      </c>
      <c r="BL951" s="8" t="s">
        <v>7610</v>
      </c>
      <c r="BM951" s="4" t="s">
        <v>7612</v>
      </c>
      <c r="BN951" s="8" t="s">
        <v>7602</v>
      </c>
      <c r="BO951" s="8" t="s">
        <v>7613</v>
      </c>
      <c r="BP951" s="8" t="s">
        <v>7602</v>
      </c>
      <c r="BQ951" s="8" t="str">
        <f aca="false">IF(A951="","",AT951)</f>
        <v>3歳以上</v>
      </c>
      <c r="BR951" s="8" t="str">
        <f aca="false">IF(A951="","",IF(BA951&lt;=1200,"～1200",IF(BA951&lt;=1500,"1300～1500",IF(BA951=1600,"1600",IF(BA951&lt;=1800,"1700～1800",IF(BA951&lt;=2000,"1900～2000","2100以上"))))))</f>
        <v>1700～1800</v>
      </c>
      <c r="BS951" s="8" t="str">
        <f aca="false">IF(A951="","",IF(AX951="G1","G1",IF(AX951="G2","G2",IF(AX951="G3","G3",IF(AX951="L","L","その他")))))</f>
        <v>その他</v>
      </c>
      <c r="BT951" s="8" t="str">
        <f aca="false">IF(A951="","",IF(BI951="","未結合",IF(D951=BI951,"一致","不一致")))</f>
        <v>一致</v>
      </c>
      <c r="BU951" s="8" t="str">
        <f aca="false">IF(A951="","",IF(BE951="牝馬限定","牝馬限定","その他"))</f>
        <v>その他</v>
      </c>
    </row>
    <row r="952" customFormat="false" ht="15.75" hidden="false" customHeight="false" outlineLevel="0" collapsed="false">
      <c r="A952" s="6" t="n">
        <f aca="false">DATE(2026,8,8)</f>
        <v>46242</v>
      </c>
      <c r="B952" s="4" t="s">
        <v>13</v>
      </c>
      <c r="C952" s="8" t="n">
        <v>9</v>
      </c>
      <c r="D952" s="8" t="n">
        <v>15</v>
      </c>
      <c r="E952" s="8" t="n">
        <v>3</v>
      </c>
      <c r="F952" s="8"/>
      <c r="G952" s="8" t="n">
        <v>52</v>
      </c>
      <c r="H952" s="8" t="n">
        <v>9</v>
      </c>
      <c r="I952" s="4" t="s">
        <v>6890</v>
      </c>
      <c r="J952" s="8" t="n">
        <v>39</v>
      </c>
      <c r="K952" s="8" t="n">
        <v>4</v>
      </c>
      <c r="L952" s="4" t="s">
        <v>4518</v>
      </c>
      <c r="M952" s="8" t="n">
        <v>41</v>
      </c>
      <c r="N952" s="8" t="n">
        <f aca="false">IF(A952="","",G952-J952)</f>
        <v>13</v>
      </c>
      <c r="O952" s="8" t="n">
        <f aca="false">IF(A952="","",J952-M952)</f>
        <v>-2</v>
      </c>
      <c r="P952" s="8" t="n">
        <f aca="false">IF(A952="","",G952+J952)</f>
        <v>91</v>
      </c>
      <c r="Q952" s="8" t="str">
        <f aca="false">IF(A952="","",IF(AND(Y952&lt;&gt;"参考",G952&gt;=ルール設定!$B$2),"○",""))</f>
        <v/>
      </c>
      <c r="R952" s="8" t="str">
        <f aca="false">IF(A952="","",IF(AND(Y952&lt;&gt;"参考",G952&gt;=ルール設定!$B$3,N952&gt;=ルール設定!$B$4),"○",""))</f>
        <v/>
      </c>
      <c r="S952" s="8" t="str">
        <f aca="false">IF(A952="","",IF(AND(Y952&lt;&gt;"参考",G952&gt;=ルール設定!$B$5,J952&gt;=ルール設定!$B$6,O952&gt;=ルール設定!$B$7),"○",""))</f>
        <v/>
      </c>
      <c r="T952" s="8" t="n">
        <v>4</v>
      </c>
      <c r="U952" s="8" t="n">
        <v>2</v>
      </c>
      <c r="V952" s="8" t="str">
        <f aca="false">IF(A952="","",IF(AND(ISNUMBER(T952),ISNUMBER(U952)),IF(AND(T952&lt;=3,U952&lt;=3),"○","×"),""))</f>
        <v>×</v>
      </c>
      <c r="W952" s="8"/>
      <c r="X952" s="8"/>
      <c r="Y952" s="4" t="s">
        <v>7597</v>
      </c>
      <c r="Z952" s="8" t="s">
        <v>8111</v>
      </c>
      <c r="AA952" s="8" t="str">
        <v/>
      </c>
      <c r="AB952" s="8" t="str">
        <v/>
      </c>
      <c r="AC952" s="8" t="str">
        <v/>
      </c>
      <c r="AD952" s="8" t="str">
        <v/>
      </c>
      <c r="AE952" s="8" t="str">
        <v/>
      </c>
      <c r="AF952" s="8" t="str">
        <v/>
      </c>
      <c r="AG952" s="8" t="str">
        <v/>
      </c>
      <c r="AH952" s="8" t="str">
        <v/>
      </c>
      <c r="AI952" s="8" t="n">
        <v>11</v>
      </c>
      <c r="AJ952" s="8" t="str">
        <v>～59</v>
      </c>
      <c r="AK952" s="8" t="str">
        <v>10～19</v>
      </c>
      <c r="AL952" s="8" t="str">
        <v>10～19</v>
      </c>
      <c r="AM952" s="8" t="str">
        <v>～99</v>
      </c>
      <c r="AN952" s="8" t="str">
        <v>15以上</v>
      </c>
      <c r="AO952" s="8" t="str">
        <f aca="false">IF(A952="","",IF(COUNTIFS(全馬データ!$A$2:$A$50000,A952,全馬データ!$B$2:$B$50000,B952,全馬データ!$C$2:$C$50000,C952,全馬データ!$D$2:$D$50000,E952,全馬データ!$K$2:$K$50000,"&lt;&gt;")=0,"",SUMIFS(全馬データ!$K$2:$K$50000,全馬データ!$A$2:$A$50000,A952,全馬データ!$B$2:$B$50000,B952,全馬データ!$C$2:$C$50000,C952,全馬データ!$D$2:$D$50000,E952)))</f>
        <v/>
      </c>
      <c r="AP952" s="8" t="str">
        <f aca="false">IF(A952="","",IF(AO952="","欠損",IF(AO952&lt;=1.1,"1.0～1.1",IF(AO952&lt;1.3,"1.2",IF(AO952&lt;1.5,"1.3～1.4",IF(AO952&lt;2,"1.5～1.9","2.0以上"))))))</f>
        <v>欠損</v>
      </c>
      <c r="AQ952" s="8" t="str">
        <f aca="false">IF(A952="","",IF(ISNUMBER(SEARCH("2歳",Z952)),"2歳戦",IF(ISNUMBER(SEARCH("3歳未勝利",Z952)),"3歳未勝利",IF(ISNUMBER(SEARCH("未勝利",Z952)),"その他未勝利",IF(ISNUMBER(SEARCH("G1",Z952)),"G1",IF(ISNUMBER(SEARCH("G2",Z952)),"G2",IF(ISNUMBER(SEARCH("G3",Z952)),"G3",IF(ISNUMBER(SEARCH("古馬条件",Z952)),"古馬条件戦",IF(ISNUMBER(SEARCH("重賞",Z952)),"重賞","分類不能")))))))))</f>
        <v>分類不能</v>
      </c>
      <c r="AR952" s="8"/>
      <c r="AS952" s="8" t="s">
        <v>7626</v>
      </c>
      <c r="AT952" s="8" t="s">
        <v>7627</v>
      </c>
      <c r="AU952" s="8" t="s">
        <v>7628</v>
      </c>
      <c r="AV952" s="8" t="s">
        <v>7629</v>
      </c>
      <c r="AW952" s="8"/>
      <c r="AX952" s="8"/>
      <c r="AY952" s="8" t="s">
        <v>7610</v>
      </c>
      <c r="AZ952" s="4" t="s">
        <v>7617</v>
      </c>
      <c r="BA952" s="8" t="n">
        <v>1800</v>
      </c>
      <c r="BB952" s="8" t="s">
        <v>7634</v>
      </c>
      <c r="BC952" s="4" t="s">
        <v>7604</v>
      </c>
      <c r="BD952" s="8" t="s">
        <v>7621</v>
      </c>
      <c r="BE952" s="4" t="s">
        <v>7622</v>
      </c>
      <c r="BF952" s="8" t="s">
        <v>7602</v>
      </c>
      <c r="BG952" s="8" t="s">
        <v>7631</v>
      </c>
      <c r="BH952" s="4" t="s">
        <v>7632</v>
      </c>
      <c r="BI952" s="8" t="n">
        <v>15</v>
      </c>
      <c r="BJ952" s="8" t="s">
        <v>7610</v>
      </c>
      <c r="BK952" s="4" t="s">
        <v>7611</v>
      </c>
      <c r="BL952" s="8" t="s">
        <v>7602</v>
      </c>
      <c r="BM952" s="4" t="s">
        <v>7620</v>
      </c>
      <c r="BN952" s="8"/>
      <c r="BO952" s="8"/>
      <c r="BP952" s="8" t="s">
        <v>7602</v>
      </c>
      <c r="BQ952" s="8" t="str">
        <f aca="false">IF(A952="","",AT952)</f>
        <v>3歳以上</v>
      </c>
      <c r="BR952" s="8" t="str">
        <f aca="false">IF(A952="","",IF(BA952&lt;=1200,"～1200",IF(BA952&lt;=1500,"1300～1500",IF(BA952=1600,"1600",IF(BA952&lt;=1800,"1700～1800",IF(BA952&lt;=2000,"1900～2000","2100以上"))))))</f>
        <v>1700～1800</v>
      </c>
      <c r="BS952" s="8" t="str">
        <f aca="false">IF(A952="","",IF(AX952="G1","G1",IF(AX952="G2","G2",IF(AX952="G3","G3",IF(AX952="L","L","その他")))))</f>
        <v>その他</v>
      </c>
      <c r="BT952" s="8" t="str">
        <f aca="false">IF(A952="","",IF(BI952="","未結合",IF(D952=BI952,"一致","不一致")))</f>
        <v>一致</v>
      </c>
      <c r="BU952" s="8" t="str">
        <f aca="false">IF(A952="","",IF(BE952="牝馬限定","牝馬限定","その他"))</f>
        <v>牝馬限定</v>
      </c>
    </row>
    <row r="953" customFormat="false" ht="15.75" hidden="false" customHeight="false" outlineLevel="0" collapsed="false">
      <c r="A953" s="6" t="n">
        <f aca="false">DATE(2026,8,8)</f>
        <v>46242</v>
      </c>
      <c r="B953" s="4" t="s">
        <v>13</v>
      </c>
      <c r="C953" s="8" t="n">
        <v>10</v>
      </c>
      <c r="D953" s="8" t="n">
        <v>13</v>
      </c>
      <c r="E953" s="8" t="n">
        <v>1</v>
      </c>
      <c r="F953" s="4" t="s">
        <v>6892</v>
      </c>
      <c r="G953" s="8" t="n">
        <v>74</v>
      </c>
      <c r="H953" s="8" t="n">
        <v>4</v>
      </c>
      <c r="I953" s="4" t="s">
        <v>6893</v>
      </c>
      <c r="J953" s="8" t="n">
        <v>74</v>
      </c>
      <c r="K953" s="8" t="n">
        <v>2</v>
      </c>
      <c r="L953" s="4" t="s">
        <v>6190</v>
      </c>
      <c r="M953" s="8" t="n">
        <v>39</v>
      </c>
      <c r="N953" s="8" t="n">
        <f aca="false">IF(A953="","",G953-J953)</f>
        <v>0</v>
      </c>
      <c r="O953" s="8" t="n">
        <f aca="false">IF(A953="","",J953-M953)</f>
        <v>35</v>
      </c>
      <c r="P953" s="8" t="n">
        <f aca="false">IF(A953="","",G953+J953)</f>
        <v>148</v>
      </c>
      <c r="Q953" s="8" t="str">
        <f aca="false">IF(A953="","",IF(AND(Y953&lt;&gt;"参考",G953&gt;=ルール設定!$B$2),"○",""))</f>
        <v/>
      </c>
      <c r="R953" s="8" t="str">
        <f aca="false">IF(A953="","",IF(AND(Y953&lt;&gt;"参考",G953&gt;=ルール設定!$B$3,N953&gt;=ルール設定!$B$4),"○",""))</f>
        <v/>
      </c>
      <c r="S953" s="8" t="str">
        <f aca="false">IF(A953="","",IF(AND(Y953&lt;&gt;"参考",G953&gt;=ルール設定!$B$5,J953&gt;=ルール設定!$B$6,O953&gt;=ルール設定!$B$7),"○",""))</f>
        <v>○</v>
      </c>
      <c r="T953" s="8" t="n">
        <v>3</v>
      </c>
      <c r="U953" s="8" t="n">
        <v>2</v>
      </c>
      <c r="V953" s="8" t="str">
        <f aca="false">IF(A953="","",IF(AND(ISNUMBER(T953),ISNUMBER(U953)),IF(AND(T953&lt;=3,U953&lt;=3),"○","×"),""))</f>
        <v>○</v>
      </c>
      <c r="W953" s="8" t="n">
        <v>110</v>
      </c>
      <c r="X953" s="8" t="n">
        <v>170</v>
      </c>
      <c r="Y953" s="4" t="s">
        <v>7597</v>
      </c>
      <c r="Z953" s="8" t="s">
        <v>8111</v>
      </c>
      <c r="AA953" s="8" t="str">
        <v/>
      </c>
      <c r="AB953" s="8" t="str">
        <v/>
      </c>
      <c r="AC953" s="8" t="str">
        <v/>
      </c>
      <c r="AD953" s="8" t="str">
        <v/>
      </c>
      <c r="AE953" s="8" t="str">
        <v/>
      </c>
      <c r="AF953" s="8" t="str">
        <v/>
      </c>
      <c r="AG953" s="8" t="str">
        <v/>
      </c>
      <c r="AH953" s="8" t="str">
        <v/>
      </c>
      <c r="AI953" s="8" t="n">
        <v>35</v>
      </c>
      <c r="AJ953" s="8" t="str">
        <v>70～74</v>
      </c>
      <c r="AK953" s="8" t="str">
        <v>0～4</v>
      </c>
      <c r="AL953" s="8" t="str">
        <v>30～39</v>
      </c>
      <c r="AM953" s="8" t="str">
        <v>140～159</v>
      </c>
      <c r="AN953" s="8" t="str">
        <v>12～14</v>
      </c>
      <c r="AO953" s="8" t="str">
        <f aca="false">IF(A953="","",IF(COUNTIFS(全馬データ!$A$2:$A$50000,A953,全馬データ!$B$2:$B$50000,B953,全馬データ!$C$2:$C$50000,C953,全馬データ!$D$2:$D$50000,E953,全馬データ!$K$2:$K$50000,"&lt;&gt;")=0,"",SUMIFS(全馬データ!$K$2:$K$50000,全馬データ!$A$2:$A$50000,A953,全馬データ!$B$2:$B$50000,B953,全馬データ!$C$2:$C$50000,C953,全馬データ!$D$2:$D$50000,E953)))</f>
        <v/>
      </c>
      <c r="AP953" s="8" t="str">
        <f aca="false">IF(A953="","",IF(AO953="","欠損",IF(AO953&lt;=1.1,"1.0～1.1",IF(AO953&lt;1.3,"1.2",IF(AO953&lt;1.5,"1.3～1.4",IF(AO953&lt;2,"1.5～1.9","2.0以上"))))))</f>
        <v>欠損</v>
      </c>
      <c r="AQ953" s="8" t="str">
        <f aca="false">IF(A953="","",IF(ISNUMBER(SEARCH("2歳",Z953)),"2歳戦",IF(ISNUMBER(SEARCH("3歳未勝利",Z953)),"3歳未勝利",IF(ISNUMBER(SEARCH("未勝利",Z953)),"その他未勝利",IF(ISNUMBER(SEARCH("G1",Z953)),"G1",IF(ISNUMBER(SEARCH("G2",Z953)),"G2",IF(ISNUMBER(SEARCH("G3",Z953)),"G3",IF(ISNUMBER(SEARCH("古馬条件",Z953)),"古馬条件戦",IF(ISNUMBER(SEARCH("重賞",Z953)),"重賞","分類不能")))))))))</f>
        <v>分類不能</v>
      </c>
      <c r="AR953" s="8"/>
      <c r="AS953" s="8" t="s">
        <v>7626</v>
      </c>
      <c r="AT953" s="8" t="s">
        <v>7627</v>
      </c>
      <c r="AU953" s="8" t="s">
        <v>7628</v>
      </c>
      <c r="AV953" s="8" t="s">
        <v>7629</v>
      </c>
      <c r="AW953" s="8"/>
      <c r="AX953" s="8"/>
      <c r="AY953" s="8" t="s">
        <v>7602</v>
      </c>
      <c r="AZ953" s="4" t="s">
        <v>7603</v>
      </c>
      <c r="BA953" s="8" t="n">
        <v>1600</v>
      </c>
      <c r="BB953" s="8" t="s">
        <v>7598</v>
      </c>
      <c r="BC953" s="4" t="s">
        <v>7604</v>
      </c>
      <c r="BD953" s="8" t="s">
        <v>7630</v>
      </c>
      <c r="BE953" s="4" t="s">
        <v>7606</v>
      </c>
      <c r="BF953" s="8" t="s">
        <v>7607</v>
      </c>
      <c r="BG953" s="8" t="s">
        <v>7631</v>
      </c>
      <c r="BH953" s="4" t="s">
        <v>7632</v>
      </c>
      <c r="BI953" s="8" t="n">
        <v>13</v>
      </c>
      <c r="BJ953" s="8" t="s">
        <v>7610</v>
      </c>
      <c r="BK953" s="4" t="s">
        <v>7611</v>
      </c>
      <c r="BL953" s="8" t="s">
        <v>7610</v>
      </c>
      <c r="BM953" s="4" t="s">
        <v>7612</v>
      </c>
      <c r="BN953" s="8" t="s">
        <v>7602</v>
      </c>
      <c r="BO953" s="8" t="s">
        <v>7613</v>
      </c>
      <c r="BP953" s="8" t="s">
        <v>7602</v>
      </c>
      <c r="BQ953" s="8" t="str">
        <f aca="false">IF(A953="","",AT953)</f>
        <v>3歳以上</v>
      </c>
      <c r="BR953" s="8" t="str">
        <f aca="false">IF(A953="","",IF(BA953&lt;=1200,"～1200",IF(BA953&lt;=1500,"1300～1500",IF(BA953=1600,"1600",IF(BA953&lt;=1800,"1700～1800",IF(BA953&lt;=2000,"1900～2000","2100以上"))))))</f>
        <v>1600</v>
      </c>
      <c r="BS953" s="8" t="str">
        <f aca="false">IF(A953="","",IF(AX953="G1","G1",IF(AX953="G2","G2",IF(AX953="G3","G3",IF(AX953="L","L","その他")))))</f>
        <v>その他</v>
      </c>
      <c r="BT953" s="8" t="str">
        <f aca="false">IF(A953="","",IF(BI953="","未結合",IF(D953=BI953,"一致","不一致")))</f>
        <v>一致</v>
      </c>
      <c r="BU953" s="8" t="str">
        <f aca="false">IF(A953="","",IF(BE953="牝馬限定","牝馬限定","その他"))</f>
        <v>その他</v>
      </c>
    </row>
    <row r="954" customFormat="false" ht="15.75" hidden="false" customHeight="false" outlineLevel="0" collapsed="false">
      <c r="A954" s="6" t="n">
        <f aca="false">DATE(2026,8,8)</f>
        <v>46242</v>
      </c>
      <c r="B954" s="4" t="s">
        <v>13</v>
      </c>
      <c r="C954" s="8" t="n">
        <v>11</v>
      </c>
      <c r="D954" s="8" t="n">
        <v>18</v>
      </c>
      <c r="E954" s="8" t="n">
        <v>5</v>
      </c>
      <c r="F954" s="8"/>
      <c r="G954" s="8" t="n">
        <v>56</v>
      </c>
      <c r="H954" s="8" t="n">
        <v>13</v>
      </c>
      <c r="I954" s="4" t="s">
        <v>1027</v>
      </c>
      <c r="J954" s="8" t="n">
        <v>37</v>
      </c>
      <c r="K954" s="8" t="n">
        <v>14</v>
      </c>
      <c r="L954" s="8"/>
      <c r="M954" s="8" t="n">
        <v>44</v>
      </c>
      <c r="N954" s="8" t="n">
        <f aca="false">IF(A954="","",G954-J954)</f>
        <v>19</v>
      </c>
      <c r="O954" s="8" t="n">
        <f aca="false">IF(A954="","",J954-M954)</f>
        <v>-7</v>
      </c>
      <c r="P954" s="8" t="n">
        <f aca="false">IF(A954="","",G954+J954)</f>
        <v>93</v>
      </c>
      <c r="Q954" s="8" t="str">
        <f aca="false">IF(A954="","",IF(AND(Y954&lt;&gt;"参考",G954&gt;=ルール設定!$B$2),"○",""))</f>
        <v/>
      </c>
      <c r="R954" s="8" t="str">
        <f aca="false">IF(A954="","",IF(AND(Y954&lt;&gt;"参考",G954&gt;=ルール設定!$B$3,N954&gt;=ルール設定!$B$4),"○",""))</f>
        <v/>
      </c>
      <c r="S954" s="8" t="str">
        <f aca="false">IF(A954="","",IF(AND(Y954&lt;&gt;"参考",G954&gt;=ルール設定!$B$5,J954&gt;=ルール設定!$B$6,O954&gt;=ルール設定!$B$7),"○",""))</f>
        <v/>
      </c>
      <c r="T954" s="8" t="n">
        <v>4</v>
      </c>
      <c r="U954" s="8" t="n">
        <v>3</v>
      </c>
      <c r="V954" s="8" t="str">
        <f aca="false">IF(A954="","",IF(AND(ISNUMBER(T954),ISNUMBER(U954)),IF(AND(T954&lt;=3,U954&lt;=3),"○","×"),""))</f>
        <v>×</v>
      </c>
      <c r="W954" s="8"/>
      <c r="X954" s="8"/>
      <c r="Y954" s="4" t="s">
        <v>7597</v>
      </c>
      <c r="Z954" s="8" t="s">
        <v>8111</v>
      </c>
      <c r="AA954" s="8" t="str">
        <v/>
      </c>
      <c r="AB954" s="8" t="str">
        <v/>
      </c>
      <c r="AC954" s="8" t="str">
        <v/>
      </c>
      <c r="AD954" s="8" t="str">
        <v/>
      </c>
      <c r="AE954" s="8" t="str">
        <v/>
      </c>
      <c r="AF954" s="8" t="str">
        <v/>
      </c>
      <c r="AG954" s="8" t="str">
        <v/>
      </c>
      <c r="AH954" s="8" t="str">
        <v/>
      </c>
      <c r="AI954" s="8" t="n">
        <v>12</v>
      </c>
      <c r="AJ954" s="8" t="str">
        <v>～59</v>
      </c>
      <c r="AK954" s="8" t="str">
        <v>10～19</v>
      </c>
      <c r="AL954" s="8" t="str">
        <v>10～19</v>
      </c>
      <c r="AM954" s="8" t="str">
        <v>～99</v>
      </c>
      <c r="AN954" s="8" t="str">
        <v>15以上</v>
      </c>
      <c r="AO954" s="8" t="str">
        <f aca="false">IF(A954="","",IF(COUNTIFS(全馬データ!$A$2:$A$50000,A954,全馬データ!$B$2:$B$50000,B954,全馬データ!$C$2:$C$50000,C954,全馬データ!$D$2:$D$50000,E954,全馬データ!$K$2:$K$50000,"&lt;&gt;")=0,"",SUMIFS(全馬データ!$K$2:$K$50000,全馬データ!$A$2:$A$50000,A954,全馬データ!$B$2:$B$50000,B954,全馬データ!$C$2:$C$50000,C954,全馬データ!$D$2:$D$50000,E954)))</f>
        <v/>
      </c>
      <c r="AP954" s="8" t="str">
        <f aca="false">IF(A954="","",IF(AO954="","欠損",IF(AO954&lt;=1.1,"1.0～1.1",IF(AO954&lt;1.3,"1.2",IF(AO954&lt;1.5,"1.3～1.4",IF(AO954&lt;2,"1.5～1.9","2.0以上"))))))</f>
        <v>欠損</v>
      </c>
      <c r="AQ954" s="8" t="str">
        <f aca="false">IF(A954="","",IF(ISNUMBER(SEARCH("2歳",Z954)),"2歳戦",IF(ISNUMBER(SEARCH("3歳未勝利",Z954)),"3歳未勝利",IF(ISNUMBER(SEARCH("未勝利",Z954)),"その他未勝利",IF(ISNUMBER(SEARCH("G1",Z954)),"G1",IF(ISNUMBER(SEARCH("G2",Z954)),"G2",IF(ISNUMBER(SEARCH("G3",Z954)),"G3",IF(ISNUMBER(SEARCH("古馬条件",Z954)),"古馬条件戦",IF(ISNUMBER(SEARCH("重賞",Z954)),"重賞","分類不能")))))))))</f>
        <v>分類不能</v>
      </c>
      <c r="AR954" s="8"/>
      <c r="AS954" s="8" t="s">
        <v>7626</v>
      </c>
      <c r="AT954" s="8" t="s">
        <v>7627</v>
      </c>
      <c r="AU954" s="8" t="s">
        <v>7628</v>
      </c>
      <c r="AV954" s="8" t="s">
        <v>7629</v>
      </c>
      <c r="AW954" s="8"/>
      <c r="AX954" s="8"/>
      <c r="AY954" s="8" t="s">
        <v>7602</v>
      </c>
      <c r="AZ954" s="4" t="s">
        <v>7603</v>
      </c>
      <c r="BA954" s="8" t="n">
        <v>1000</v>
      </c>
      <c r="BB954" s="8" t="s">
        <v>7598</v>
      </c>
      <c r="BC954" s="4" t="s">
        <v>7604</v>
      </c>
      <c r="BD954" s="8" t="s">
        <v>7605</v>
      </c>
      <c r="BE954" s="4" t="s">
        <v>7606</v>
      </c>
      <c r="BF954" s="8" t="s">
        <v>7607</v>
      </c>
      <c r="BG954" s="8" t="s">
        <v>7631</v>
      </c>
      <c r="BH954" s="4" t="s">
        <v>7632</v>
      </c>
      <c r="BI954" s="8" t="n">
        <v>18</v>
      </c>
      <c r="BJ954" s="8" t="s">
        <v>7608</v>
      </c>
      <c r="BK954" s="4" t="s">
        <v>7649</v>
      </c>
      <c r="BL954" s="8" t="s">
        <v>7647</v>
      </c>
      <c r="BM954" s="4" t="s">
        <v>7648</v>
      </c>
      <c r="BN954" s="8" t="s">
        <v>7602</v>
      </c>
      <c r="BO954" s="8" t="s">
        <v>7613</v>
      </c>
      <c r="BP954" s="8" t="s">
        <v>7602</v>
      </c>
      <c r="BQ954" s="8" t="str">
        <f aca="false">IF(A954="","",AT954)</f>
        <v>3歳以上</v>
      </c>
      <c r="BR954" s="8" t="str">
        <f aca="false">IF(A954="","",IF(BA954&lt;=1200,"～1200",IF(BA954&lt;=1500,"1300～1500",IF(BA954=1600,"1600",IF(BA954&lt;=1800,"1700～1800",IF(BA954&lt;=2000,"1900～2000","2100以上"))))))</f>
        <v>～1200</v>
      </c>
      <c r="BS954" s="8" t="str">
        <f aca="false">IF(A954="","",IF(AX954="G1","G1",IF(AX954="G2","G2",IF(AX954="G3","G3",IF(AX954="L","L","その他")))))</f>
        <v>その他</v>
      </c>
      <c r="BT954" s="8" t="str">
        <f aca="false">IF(A954="","",IF(BI954="","未結合",IF(D954=BI954,"一致","不一致")))</f>
        <v>一致</v>
      </c>
      <c r="BU954" s="8" t="str">
        <f aca="false">IF(A954="","",IF(BE954="牝馬限定","牝馬限定","その他"))</f>
        <v>その他</v>
      </c>
    </row>
    <row r="955" customFormat="false" ht="15.75" hidden="false" customHeight="false" outlineLevel="0" collapsed="false">
      <c r="A955" s="6" t="n">
        <f aca="false">DATE(2026,8,8)</f>
        <v>46242</v>
      </c>
      <c r="B955" s="4" t="s">
        <v>13</v>
      </c>
      <c r="C955" s="8" t="n">
        <v>12</v>
      </c>
      <c r="D955" s="8" t="n">
        <v>16</v>
      </c>
      <c r="E955" s="8" t="n">
        <v>3</v>
      </c>
      <c r="F955" s="4" t="s">
        <v>1013</v>
      </c>
      <c r="G955" s="8" t="n">
        <v>60</v>
      </c>
      <c r="H955" s="8" t="n">
        <v>14</v>
      </c>
      <c r="I955" s="8"/>
      <c r="J955" s="8" t="n">
        <v>37</v>
      </c>
      <c r="K955" s="8" t="n">
        <v>8</v>
      </c>
      <c r="L955" s="4" t="s">
        <v>6894</v>
      </c>
      <c r="M955" s="8" t="n">
        <v>56</v>
      </c>
      <c r="N955" s="8" t="n">
        <f aca="false">IF(A955="","",G955-J955)</f>
        <v>23</v>
      </c>
      <c r="O955" s="8" t="n">
        <f aca="false">IF(A955="","",J955-M955)</f>
        <v>-19</v>
      </c>
      <c r="P955" s="8" t="n">
        <f aca="false">IF(A955="","",G955+J955)</f>
        <v>97</v>
      </c>
      <c r="Q955" s="8" t="str">
        <f aca="false">IF(A955="","",IF(AND(Y955&lt;&gt;"参考",G955&gt;=ルール設定!$B$2),"○",""))</f>
        <v/>
      </c>
      <c r="R955" s="8" t="str">
        <f aca="false">IF(A955="","",IF(AND(Y955&lt;&gt;"参考",G955&gt;=ルール設定!$B$3,N955&gt;=ルール設定!$B$4),"○",""))</f>
        <v/>
      </c>
      <c r="S955" s="8" t="str">
        <f aca="false">IF(A955="","",IF(AND(Y955&lt;&gt;"参考",G955&gt;=ルール設定!$B$5,J955&gt;=ルール設定!$B$6,O955&gt;=ルール設定!$B$7),"○",""))</f>
        <v/>
      </c>
      <c r="T955" s="8" t="n">
        <v>1</v>
      </c>
      <c r="U955" s="8" t="n">
        <v>4</v>
      </c>
      <c r="V955" s="8" t="str">
        <f aca="false">IF(A955="","",IF(AND(ISNUMBER(T955),ISNUMBER(U955)),IF(AND(T955&lt;=3,U955&lt;=3),"○","×"),""))</f>
        <v>×</v>
      </c>
      <c r="W955" s="8" t="n">
        <v>170</v>
      </c>
      <c r="X955" s="8"/>
      <c r="Y955" s="4" t="s">
        <v>7597</v>
      </c>
      <c r="Z955" s="8" t="s">
        <v>8111</v>
      </c>
      <c r="AA955" s="8" t="str">
        <v/>
      </c>
      <c r="AB955" s="8" t="str">
        <v/>
      </c>
      <c r="AC955" s="8" t="str">
        <v/>
      </c>
      <c r="AD955" s="8" t="str">
        <v/>
      </c>
      <c r="AE955" s="8" t="str">
        <v/>
      </c>
      <c r="AF955" s="8" t="str">
        <v/>
      </c>
      <c r="AG955" s="8" t="str">
        <v/>
      </c>
      <c r="AH955" s="8" t="str">
        <v/>
      </c>
      <c r="AI955" s="8" t="n">
        <v>4</v>
      </c>
      <c r="AJ955" s="8" t="str">
        <v>60～69</v>
      </c>
      <c r="AK955" s="8" t="str">
        <v>20～29</v>
      </c>
      <c r="AL955" s="8" t="str">
        <v>0～9</v>
      </c>
      <c r="AM955" s="8" t="str">
        <v>～99</v>
      </c>
      <c r="AN955" s="8" t="str">
        <v>15以上</v>
      </c>
      <c r="AO955" s="8" t="str">
        <f aca="false">IF(A955="","",IF(COUNTIFS(全馬データ!$A$2:$A$50000,A955,全馬データ!$B$2:$B$50000,B955,全馬データ!$C$2:$C$50000,C955,全馬データ!$D$2:$D$50000,E955,全馬データ!$K$2:$K$50000,"&lt;&gt;")=0,"",SUMIFS(全馬データ!$K$2:$K$50000,全馬データ!$A$2:$A$50000,A955,全馬データ!$B$2:$B$50000,B955,全馬データ!$C$2:$C$50000,C955,全馬データ!$D$2:$D$50000,E955)))</f>
        <v/>
      </c>
      <c r="AP955" s="8" t="str">
        <f aca="false">IF(A955="","",IF(AO955="","欠損",IF(AO955&lt;=1.1,"1.0～1.1",IF(AO955&lt;1.3,"1.2",IF(AO955&lt;1.5,"1.3～1.4",IF(AO955&lt;2,"1.5～1.9","2.0以上"))))))</f>
        <v>欠損</v>
      </c>
      <c r="AQ955" s="8" t="str">
        <f aca="false">IF(A955="","",IF(ISNUMBER(SEARCH("2歳",Z955)),"2歳戦",IF(ISNUMBER(SEARCH("3歳未勝利",Z955)),"3歳未勝利",IF(ISNUMBER(SEARCH("未勝利",Z955)),"その他未勝利",IF(ISNUMBER(SEARCH("G1",Z955)),"G1",IF(ISNUMBER(SEARCH("G2",Z955)),"G2",IF(ISNUMBER(SEARCH("G3",Z955)),"G3",IF(ISNUMBER(SEARCH("古馬条件",Z955)),"古馬条件戦",IF(ISNUMBER(SEARCH("重賞",Z955)),"重賞","分類不能")))))))))</f>
        <v>分類不能</v>
      </c>
      <c r="AR955" s="8"/>
      <c r="AS955" s="8" t="s">
        <v>7623</v>
      </c>
      <c r="AT955" s="8" t="s">
        <v>7624</v>
      </c>
      <c r="AU955" s="8" t="s">
        <v>7600</v>
      </c>
      <c r="AV955" s="4" t="s">
        <v>7601</v>
      </c>
      <c r="AW955" s="8"/>
      <c r="AX955" s="8"/>
      <c r="AY955" s="8" t="s">
        <v>7602</v>
      </c>
      <c r="AZ955" s="4" t="s">
        <v>7603</v>
      </c>
      <c r="BA955" s="8" t="n">
        <v>2000</v>
      </c>
      <c r="BB955" s="8" t="s">
        <v>7598</v>
      </c>
      <c r="BC955" s="4" t="s">
        <v>7604</v>
      </c>
      <c r="BD955" s="8" t="s">
        <v>7625</v>
      </c>
      <c r="BE955" s="4" t="s">
        <v>7606</v>
      </c>
      <c r="BF955" s="8" t="s">
        <v>7607</v>
      </c>
      <c r="BG955" s="8" t="s">
        <v>7608</v>
      </c>
      <c r="BH955" s="4" t="s">
        <v>7609</v>
      </c>
      <c r="BI955" s="8" t="n">
        <v>16</v>
      </c>
      <c r="BJ955" s="8" t="s">
        <v>7610</v>
      </c>
      <c r="BK955" s="4" t="s">
        <v>7611</v>
      </c>
      <c r="BL955" s="8" t="s">
        <v>7602</v>
      </c>
      <c r="BM955" s="4" t="s">
        <v>7620</v>
      </c>
      <c r="BN955" s="8" t="s">
        <v>7602</v>
      </c>
      <c r="BO955" s="8" t="s">
        <v>7613</v>
      </c>
      <c r="BP955" s="8" t="s">
        <v>7602</v>
      </c>
      <c r="BQ955" s="8" t="str">
        <f aca="false">IF(A955="","",AT955)</f>
        <v>3歳</v>
      </c>
      <c r="BR955" s="8" t="str">
        <f aca="false">IF(A955="","",IF(BA955&lt;=1200,"～1200",IF(BA955&lt;=1500,"1300～1500",IF(BA955=1600,"1600",IF(BA955&lt;=1800,"1700～1800",IF(BA955&lt;=2000,"1900～2000","2100以上"))))))</f>
        <v>1900～2000</v>
      </c>
      <c r="BS955" s="8" t="str">
        <f aca="false">IF(A955="","",IF(AX955="G1","G1",IF(AX955="G2","G2",IF(AX955="G3","G3",IF(AX955="L","L","その他")))))</f>
        <v>その他</v>
      </c>
      <c r="BT955" s="8" t="str">
        <f aca="false">IF(A955="","",IF(BI955="","未結合",IF(D955=BI955,"一致","不一致")))</f>
        <v>一致</v>
      </c>
      <c r="BU955" s="8" t="str">
        <f aca="false">IF(A955="","",IF(BE955="牝馬限定","牝馬限定","その他"))</f>
        <v>その他</v>
      </c>
    </row>
    <row r="956" customFormat="false" ht="15.75" hidden="false" customHeight="false" outlineLevel="0" collapsed="false">
      <c r="A956" s="6" t="n">
        <f aca="false">DATE(2026,8,8)</f>
        <v>46242</v>
      </c>
      <c r="B956" s="4" t="s">
        <v>334</v>
      </c>
      <c r="C956" s="8" t="n">
        <v>1</v>
      </c>
      <c r="D956" s="8" t="n">
        <v>14</v>
      </c>
      <c r="E956" s="8" t="n">
        <v>6</v>
      </c>
      <c r="F956" s="4" t="s">
        <v>801</v>
      </c>
      <c r="G956" s="8" t="n">
        <v>66</v>
      </c>
      <c r="H956" s="8" t="n">
        <v>9</v>
      </c>
      <c r="I956" s="8"/>
      <c r="J956" s="8" t="n">
        <v>44</v>
      </c>
      <c r="K956" s="8" t="n">
        <v>14</v>
      </c>
      <c r="L956" s="8"/>
      <c r="M956" s="8" t="n">
        <v>56</v>
      </c>
      <c r="N956" s="8" t="n">
        <f aca="false">IF(A956="","",G956-J956)</f>
        <v>22</v>
      </c>
      <c r="O956" s="8" t="n">
        <f aca="false">IF(A956="","",J956-M956)</f>
        <v>-12</v>
      </c>
      <c r="P956" s="8" t="n">
        <f aca="false">IF(A956="","",G956+J956)</f>
        <v>110</v>
      </c>
      <c r="Q956" s="8" t="str">
        <f aca="false">IF(A956="","",IF(AND(Y956&lt;&gt;"参考",G956&gt;=ルール設定!$B$2),"○",""))</f>
        <v/>
      </c>
      <c r="R956" s="8" t="str">
        <f aca="false">IF(A956="","",IF(AND(Y956&lt;&gt;"参考",G956&gt;=ルール設定!$B$3,N956&gt;=ルール設定!$B$4),"○",""))</f>
        <v/>
      </c>
      <c r="S956" s="8" t="str">
        <f aca="false">IF(A956="","",IF(AND(Y956&lt;&gt;"参考",G956&gt;=ルール設定!$B$5,J956&gt;=ルール設定!$B$6,O956&gt;=ルール設定!$B$7),"○",""))</f>
        <v/>
      </c>
      <c r="T956" s="8" t="n">
        <v>1</v>
      </c>
      <c r="U956" s="8" t="n">
        <v>4</v>
      </c>
      <c r="V956" s="8" t="str">
        <f aca="false">IF(A956="","",IF(AND(ISNUMBER(T956),ISNUMBER(U956)),IF(AND(T956&lt;=3,U956&lt;=3),"○","×"),""))</f>
        <v>×</v>
      </c>
      <c r="W956" s="8" t="n">
        <v>130</v>
      </c>
      <c r="X956" s="8"/>
      <c r="Y956" s="4" t="s">
        <v>7597</v>
      </c>
      <c r="Z956" s="8" t="s">
        <v>8111</v>
      </c>
      <c r="AA956" s="8" t="str">
        <v/>
      </c>
      <c r="AB956" s="8" t="str">
        <v/>
      </c>
      <c r="AC956" s="8" t="str">
        <v/>
      </c>
      <c r="AD956" s="8" t="str">
        <v/>
      </c>
      <c r="AE956" s="8" t="str">
        <v/>
      </c>
      <c r="AF956" s="8" t="str">
        <v/>
      </c>
      <c r="AG956" s="8" t="str">
        <v/>
      </c>
      <c r="AH956" s="8" t="str">
        <v/>
      </c>
      <c r="AI956" s="8" t="n">
        <v>10</v>
      </c>
      <c r="AJ956" s="8" t="str">
        <v>60～69</v>
      </c>
      <c r="AK956" s="8" t="str">
        <v>20～29</v>
      </c>
      <c r="AL956" s="8" t="str">
        <v>10～19</v>
      </c>
      <c r="AM956" s="8" t="str">
        <v>100～119</v>
      </c>
      <c r="AN956" s="8" t="str">
        <v>12～14</v>
      </c>
      <c r="AO956" s="8" t="str">
        <f aca="false">IF(A956="","",IF(COUNTIFS(全馬データ!$A$2:$A$50000,A956,全馬データ!$B$2:$B$50000,B956,全馬データ!$C$2:$C$50000,C956,全馬データ!$D$2:$D$50000,E956,全馬データ!$K$2:$K$50000,"&lt;&gt;")=0,"",SUMIFS(全馬データ!$K$2:$K$50000,全馬データ!$A$2:$A$50000,A956,全馬データ!$B$2:$B$50000,B956,全馬データ!$C$2:$C$50000,C956,全馬データ!$D$2:$D$50000,E956)))</f>
        <v/>
      </c>
      <c r="AP956" s="8" t="str">
        <f aca="false">IF(A956="","",IF(AO956="","欠損",IF(AO956&lt;=1.1,"1.0～1.1",IF(AO956&lt;1.3,"1.2",IF(AO956&lt;1.5,"1.3～1.4",IF(AO956&lt;2,"1.5～1.9","2.0以上"))))))</f>
        <v>欠損</v>
      </c>
      <c r="AQ956" s="8" t="str">
        <f aca="false">IF(A956="","",IF(ISNUMBER(SEARCH("2歳",Z956)),"2歳戦",IF(ISNUMBER(SEARCH("3歳未勝利",Z956)),"3歳未勝利",IF(ISNUMBER(SEARCH("未勝利",Z956)),"その他未勝利",IF(ISNUMBER(SEARCH("G1",Z956)),"G1",IF(ISNUMBER(SEARCH("G2",Z956)),"G2",IF(ISNUMBER(SEARCH("G3",Z956)),"G3",IF(ISNUMBER(SEARCH("古馬条件",Z956)),"古馬条件戦",IF(ISNUMBER(SEARCH("重賞",Z956)),"重賞","分類不能")))))))))</f>
        <v>分類不能</v>
      </c>
      <c r="AR956" s="8"/>
      <c r="AS956" s="8" t="s">
        <v>7623</v>
      </c>
      <c r="AT956" s="8" t="s">
        <v>7624</v>
      </c>
      <c r="AU956" s="8" t="s">
        <v>7600</v>
      </c>
      <c r="AV956" s="4" t="s">
        <v>7601</v>
      </c>
      <c r="AW956" s="8"/>
      <c r="AX956" s="8"/>
      <c r="AY956" s="8" t="s">
        <v>7610</v>
      </c>
      <c r="AZ956" s="4" t="s">
        <v>7617</v>
      </c>
      <c r="BA956" s="8" t="n">
        <v>1700</v>
      </c>
      <c r="BB956" s="8" t="s">
        <v>7598</v>
      </c>
      <c r="BC956" s="4" t="s">
        <v>7604</v>
      </c>
      <c r="BD956" s="8" t="s">
        <v>7621</v>
      </c>
      <c r="BE956" s="4" t="s">
        <v>7622</v>
      </c>
      <c r="BF956" s="8" t="s">
        <v>7602</v>
      </c>
      <c r="BG956" s="8" t="s">
        <v>7608</v>
      </c>
      <c r="BH956" s="4" t="s">
        <v>7609</v>
      </c>
      <c r="BI956" s="8" t="n">
        <v>14</v>
      </c>
      <c r="BJ956" s="8" t="s">
        <v>7602</v>
      </c>
      <c r="BK956" s="4" t="s">
        <v>7653</v>
      </c>
      <c r="BL956" s="8" t="s">
        <v>7602</v>
      </c>
      <c r="BM956" s="4" t="s">
        <v>7620</v>
      </c>
      <c r="BN956" s="8"/>
      <c r="BO956" s="8"/>
      <c r="BP956" s="8" t="s">
        <v>7608</v>
      </c>
      <c r="BQ956" s="8" t="str">
        <f aca="false">IF(A956="","",AT956)</f>
        <v>3歳</v>
      </c>
      <c r="BR956" s="8" t="str">
        <f aca="false">IF(A956="","",IF(BA956&lt;=1200,"～1200",IF(BA956&lt;=1500,"1300～1500",IF(BA956=1600,"1600",IF(BA956&lt;=1800,"1700～1800",IF(BA956&lt;=2000,"1900～2000","2100以上"))))))</f>
        <v>1700～1800</v>
      </c>
      <c r="BS956" s="8" t="str">
        <f aca="false">IF(A956="","",IF(AX956="G1","G1",IF(AX956="G2","G2",IF(AX956="G3","G3",IF(AX956="L","L","その他")))))</f>
        <v>その他</v>
      </c>
      <c r="BT956" s="8" t="str">
        <f aca="false">IF(A956="","",IF(BI956="","未結合",IF(D956=BI956,"一致","不一致")))</f>
        <v>一致</v>
      </c>
      <c r="BU956" s="8" t="str">
        <f aca="false">IF(A956="","",IF(BE956="牝馬限定","牝馬限定","その他"))</f>
        <v>牝馬限定</v>
      </c>
    </row>
    <row r="957" customFormat="false" ht="15.75" hidden="false" customHeight="false" outlineLevel="0" collapsed="false">
      <c r="A957" s="6" t="n">
        <f aca="false">DATE(2026,8,8)</f>
        <v>46242</v>
      </c>
      <c r="B957" s="4" t="s">
        <v>334</v>
      </c>
      <c r="C957" s="8" t="n">
        <v>2</v>
      </c>
      <c r="D957" s="8" t="n">
        <v>13</v>
      </c>
      <c r="E957" s="8" t="n">
        <v>9</v>
      </c>
      <c r="F957" s="8"/>
      <c r="G957" s="8" t="n">
        <v>47</v>
      </c>
      <c r="H957" s="8" t="n">
        <v>2</v>
      </c>
      <c r="I957" s="8"/>
      <c r="J957" s="8" t="n">
        <v>37</v>
      </c>
      <c r="K957" s="8" t="n">
        <v>7</v>
      </c>
      <c r="L957" s="4" t="s">
        <v>3246</v>
      </c>
      <c r="M957" s="8" t="n">
        <v>39</v>
      </c>
      <c r="N957" s="8" t="n">
        <f aca="false">IF(A957="","",G957-J957)</f>
        <v>10</v>
      </c>
      <c r="O957" s="8" t="n">
        <f aca="false">IF(A957="","",J957-M957)</f>
        <v>-2</v>
      </c>
      <c r="P957" s="8" t="n">
        <f aca="false">IF(A957="","",G957+J957)</f>
        <v>84</v>
      </c>
      <c r="Q957" s="8" t="str">
        <f aca="false">IF(A957="","",IF(AND(Y957&lt;&gt;"参考",G957&gt;=ルール設定!$B$2),"○",""))</f>
        <v/>
      </c>
      <c r="R957" s="8" t="str">
        <f aca="false">IF(A957="","",IF(AND(Y957&lt;&gt;"参考",G957&gt;=ルール設定!$B$3,N957&gt;=ルール設定!$B$4),"○",""))</f>
        <v/>
      </c>
      <c r="S957" s="8" t="str">
        <f aca="false">IF(A957="","",IF(AND(Y957&lt;&gt;"参考",G957&gt;=ルール設定!$B$5,J957&gt;=ルール設定!$B$6,O957&gt;=ルール設定!$B$7),"○",""))</f>
        <v/>
      </c>
      <c r="T957" s="8" t="n">
        <v>4</v>
      </c>
      <c r="U957" s="8" t="n">
        <v>4</v>
      </c>
      <c r="V957" s="8" t="str">
        <f aca="false">IF(A957="","",IF(AND(ISNUMBER(T957),ISNUMBER(U957)),IF(AND(T957&lt;=3,U957&lt;=3),"○","×"),""))</f>
        <v>×</v>
      </c>
      <c r="W957" s="8"/>
      <c r="X957" s="8"/>
      <c r="Y957" s="4" t="s">
        <v>7597</v>
      </c>
      <c r="Z957" s="8" t="s">
        <v>8111</v>
      </c>
      <c r="AA957" s="8" t="str">
        <v/>
      </c>
      <c r="AB957" s="8" t="str">
        <v/>
      </c>
      <c r="AC957" s="8" t="str">
        <v/>
      </c>
      <c r="AD957" s="8" t="str">
        <v/>
      </c>
      <c r="AE957" s="8" t="str">
        <v/>
      </c>
      <c r="AF957" s="8" t="str">
        <v/>
      </c>
      <c r="AG957" s="8" t="str">
        <v/>
      </c>
      <c r="AH957" s="8" t="str">
        <v/>
      </c>
      <c r="AI957" s="8" t="n">
        <v>8</v>
      </c>
      <c r="AJ957" s="8" t="str">
        <v>～59</v>
      </c>
      <c r="AK957" s="8" t="str">
        <v>10～19</v>
      </c>
      <c r="AL957" s="8" t="str">
        <v>0～9</v>
      </c>
      <c r="AM957" s="8" t="str">
        <v>～99</v>
      </c>
      <c r="AN957" s="8" t="str">
        <v>12～14</v>
      </c>
      <c r="AO957" s="8" t="str">
        <f aca="false">IF(A957="","",IF(COUNTIFS(全馬データ!$A$2:$A$50000,A957,全馬データ!$B$2:$B$50000,B957,全馬データ!$C$2:$C$50000,C957,全馬データ!$D$2:$D$50000,E957,全馬データ!$K$2:$K$50000,"&lt;&gt;")=0,"",SUMIFS(全馬データ!$K$2:$K$50000,全馬データ!$A$2:$A$50000,A957,全馬データ!$B$2:$B$50000,B957,全馬データ!$C$2:$C$50000,C957,全馬データ!$D$2:$D$50000,E957)))</f>
        <v/>
      </c>
      <c r="AP957" s="8" t="str">
        <f aca="false">IF(A957="","",IF(AO957="","欠損",IF(AO957&lt;=1.1,"1.0～1.1",IF(AO957&lt;1.3,"1.2",IF(AO957&lt;1.5,"1.3～1.4",IF(AO957&lt;2,"1.5～1.9","2.0以上"))))))</f>
        <v>欠損</v>
      </c>
      <c r="AQ957" s="8" t="str">
        <f aca="false">IF(A957="","",IF(ISNUMBER(SEARCH("2歳",Z957)),"2歳戦",IF(ISNUMBER(SEARCH("3歳未勝利",Z957)),"3歳未勝利",IF(ISNUMBER(SEARCH("未勝利",Z957)),"その他未勝利",IF(ISNUMBER(SEARCH("G1",Z957)),"G1",IF(ISNUMBER(SEARCH("G2",Z957)),"G2",IF(ISNUMBER(SEARCH("G3",Z957)),"G3",IF(ISNUMBER(SEARCH("古馬条件",Z957)),"古馬条件戦",IF(ISNUMBER(SEARCH("重賞",Z957)),"重賞","分類不能")))))))))</f>
        <v>分類不能</v>
      </c>
      <c r="AR957" s="8"/>
      <c r="AS957" s="8" t="s">
        <v>7598</v>
      </c>
      <c r="AT957" s="8" t="s">
        <v>7599</v>
      </c>
      <c r="AU957" s="8" t="s">
        <v>7600</v>
      </c>
      <c r="AV957" s="4" t="s">
        <v>7601</v>
      </c>
      <c r="AW957" s="8"/>
      <c r="AX957" s="8"/>
      <c r="AY957" s="8" t="s">
        <v>7602</v>
      </c>
      <c r="AZ957" s="4" t="s">
        <v>7603</v>
      </c>
      <c r="BA957" s="8" t="n">
        <v>1500</v>
      </c>
      <c r="BB957" s="8" t="s">
        <v>7659</v>
      </c>
      <c r="BC957" s="4" t="s">
        <v>7619</v>
      </c>
      <c r="BD957" s="8" t="s">
        <v>7605</v>
      </c>
      <c r="BE957" s="4" t="s">
        <v>7606</v>
      </c>
      <c r="BF957" s="8" t="s">
        <v>7607</v>
      </c>
      <c r="BG957" s="8" t="s">
        <v>7608</v>
      </c>
      <c r="BH957" s="4" t="s">
        <v>7609</v>
      </c>
      <c r="BI957" s="8" t="n">
        <v>13</v>
      </c>
      <c r="BJ957" s="8" t="s">
        <v>7602</v>
      </c>
      <c r="BK957" s="4" t="s">
        <v>7653</v>
      </c>
      <c r="BL957" s="8" t="s">
        <v>7602</v>
      </c>
      <c r="BM957" s="4" t="s">
        <v>7620</v>
      </c>
      <c r="BN957" s="8" t="s">
        <v>7602</v>
      </c>
      <c r="BO957" s="8" t="s">
        <v>7613</v>
      </c>
      <c r="BP957" s="8" t="s">
        <v>7608</v>
      </c>
      <c r="BQ957" s="8" t="str">
        <f aca="false">IF(A957="","",AT957)</f>
        <v>2歳</v>
      </c>
      <c r="BR957" s="8" t="str">
        <f aca="false">IF(A957="","",IF(BA957&lt;=1200,"～1200",IF(BA957&lt;=1500,"1300～1500",IF(BA957=1600,"1600",IF(BA957&lt;=1800,"1700～1800",IF(BA957&lt;=2000,"1900～2000","2100以上"))))))</f>
        <v>1300～1500</v>
      </c>
      <c r="BS957" s="8" t="str">
        <f aca="false">IF(A957="","",IF(AX957="G1","G1",IF(AX957="G2","G2",IF(AX957="G3","G3",IF(AX957="L","L","その他")))))</f>
        <v>その他</v>
      </c>
      <c r="BT957" s="8" t="str">
        <f aca="false">IF(A957="","",IF(BI957="","未結合",IF(D957=BI957,"一致","不一致")))</f>
        <v>一致</v>
      </c>
      <c r="BU957" s="8" t="str">
        <f aca="false">IF(A957="","",IF(BE957="牝馬限定","牝馬限定","その他"))</f>
        <v>その他</v>
      </c>
    </row>
    <row r="958" customFormat="false" ht="15.75" hidden="false" customHeight="false" outlineLevel="0" collapsed="false">
      <c r="A958" s="6" t="n">
        <f aca="false">DATE(2026,8,8)</f>
        <v>46242</v>
      </c>
      <c r="B958" s="4" t="s">
        <v>334</v>
      </c>
      <c r="C958" s="8" t="n">
        <v>3</v>
      </c>
      <c r="D958" s="8" t="n">
        <v>14</v>
      </c>
      <c r="E958" s="8" t="n">
        <v>13</v>
      </c>
      <c r="F958" s="8"/>
      <c r="G958" s="8" t="n">
        <v>58</v>
      </c>
      <c r="H958" s="8" t="n">
        <v>6</v>
      </c>
      <c r="I958" s="8"/>
      <c r="J958" s="8" t="n">
        <v>41</v>
      </c>
      <c r="K958" s="8" t="n">
        <v>4</v>
      </c>
      <c r="L958" s="8"/>
      <c r="M958" s="8" t="n">
        <v>52</v>
      </c>
      <c r="N958" s="8" t="n">
        <f aca="false">IF(A958="","",G958-J958)</f>
        <v>17</v>
      </c>
      <c r="O958" s="8" t="n">
        <f aca="false">IF(A958="","",J958-M958)</f>
        <v>-11</v>
      </c>
      <c r="P958" s="8" t="n">
        <f aca="false">IF(A958="","",G958+J958)</f>
        <v>99</v>
      </c>
      <c r="Q958" s="8" t="str">
        <f aca="false">IF(A958="","",IF(AND(Y958&lt;&gt;"参考",G958&gt;=ルール設定!$B$2),"○",""))</f>
        <v/>
      </c>
      <c r="R958" s="8" t="str">
        <f aca="false">IF(A958="","",IF(AND(Y958&lt;&gt;"参考",G958&gt;=ルール設定!$B$3,N958&gt;=ルール設定!$B$4),"○",""))</f>
        <v/>
      </c>
      <c r="S958" s="8" t="str">
        <f aca="false">IF(A958="","",IF(AND(Y958&lt;&gt;"参考",G958&gt;=ルール設定!$B$5,J958&gt;=ルール設定!$B$6,O958&gt;=ルール設定!$B$7),"○",""))</f>
        <v/>
      </c>
      <c r="T958" s="8" t="n">
        <v>4</v>
      </c>
      <c r="U958" s="8" t="n">
        <v>4</v>
      </c>
      <c r="V958" s="8" t="str">
        <f aca="false">IF(A958="","",IF(AND(ISNUMBER(T958),ISNUMBER(U958)),IF(AND(T958&lt;=3,U958&lt;=3),"○","×"),""))</f>
        <v>×</v>
      </c>
      <c r="W958" s="8"/>
      <c r="X958" s="8"/>
      <c r="Y958" s="4" t="s">
        <v>7597</v>
      </c>
      <c r="Z958" s="8" t="s">
        <v>8111</v>
      </c>
      <c r="AA958" s="8" t="str">
        <v/>
      </c>
      <c r="AB958" s="8" t="str">
        <v/>
      </c>
      <c r="AC958" s="8" t="str">
        <v/>
      </c>
      <c r="AD958" s="8" t="str">
        <v/>
      </c>
      <c r="AE958" s="8" t="str">
        <v/>
      </c>
      <c r="AF958" s="8" t="str">
        <v/>
      </c>
      <c r="AG958" s="8" t="str">
        <v/>
      </c>
      <c r="AH958" s="8" t="str">
        <v/>
      </c>
      <c r="AI958" s="8" t="n">
        <v>6</v>
      </c>
      <c r="AJ958" s="8" t="str">
        <v>～59</v>
      </c>
      <c r="AK958" s="8" t="str">
        <v>10～19</v>
      </c>
      <c r="AL958" s="8" t="str">
        <v>0～9</v>
      </c>
      <c r="AM958" s="8" t="str">
        <v>～99</v>
      </c>
      <c r="AN958" s="8" t="str">
        <v>12～14</v>
      </c>
      <c r="AO958" s="8" t="str">
        <f aca="false">IF(A958="","",IF(COUNTIFS(全馬データ!$A$2:$A$50000,A958,全馬データ!$B$2:$B$50000,B958,全馬データ!$C$2:$C$50000,C958,全馬データ!$D$2:$D$50000,E958,全馬データ!$K$2:$K$50000,"&lt;&gt;")=0,"",SUMIFS(全馬データ!$K$2:$K$50000,全馬データ!$A$2:$A$50000,A958,全馬データ!$B$2:$B$50000,B958,全馬データ!$C$2:$C$50000,C958,全馬データ!$D$2:$D$50000,E958)))</f>
        <v/>
      </c>
      <c r="AP958" s="8" t="str">
        <f aca="false">IF(A958="","",IF(AO958="","欠損",IF(AO958&lt;=1.1,"1.0～1.1",IF(AO958&lt;1.3,"1.2",IF(AO958&lt;1.5,"1.3～1.4",IF(AO958&lt;2,"1.5～1.9","2.0以上"))))))</f>
        <v>欠損</v>
      </c>
      <c r="AQ958" s="8" t="str">
        <f aca="false">IF(A958="","",IF(ISNUMBER(SEARCH("2歳",Z958)),"2歳戦",IF(ISNUMBER(SEARCH("3歳未勝利",Z958)),"3歳未勝利",IF(ISNUMBER(SEARCH("未勝利",Z958)),"その他未勝利",IF(ISNUMBER(SEARCH("G1",Z958)),"G1",IF(ISNUMBER(SEARCH("G2",Z958)),"G2",IF(ISNUMBER(SEARCH("G3",Z958)),"G3",IF(ISNUMBER(SEARCH("古馬条件",Z958)),"古馬条件戦",IF(ISNUMBER(SEARCH("重賞",Z958)),"重賞","分類不能")))))))))</f>
        <v>分類不能</v>
      </c>
      <c r="AR958" s="8"/>
      <c r="AS958" s="8" t="s">
        <v>7623</v>
      </c>
      <c r="AT958" s="8" t="s">
        <v>7624</v>
      </c>
      <c r="AU958" s="8" t="s">
        <v>7600</v>
      </c>
      <c r="AV958" s="4" t="s">
        <v>7601</v>
      </c>
      <c r="AW958" s="8"/>
      <c r="AX958" s="8"/>
      <c r="AY958" s="8" t="s">
        <v>7610</v>
      </c>
      <c r="AZ958" s="4" t="s">
        <v>7617</v>
      </c>
      <c r="BA958" s="8" t="n">
        <v>1700</v>
      </c>
      <c r="BB958" s="8" t="s">
        <v>7618</v>
      </c>
      <c r="BC958" s="4" t="s">
        <v>7619</v>
      </c>
      <c r="BD958" s="8" t="s">
        <v>7625</v>
      </c>
      <c r="BE958" s="4" t="s">
        <v>7606</v>
      </c>
      <c r="BF958" s="8" t="s">
        <v>7607</v>
      </c>
      <c r="BG958" s="8" t="s">
        <v>7608</v>
      </c>
      <c r="BH958" s="4" t="s">
        <v>7609</v>
      </c>
      <c r="BI958" s="8" t="n">
        <v>14</v>
      </c>
      <c r="BJ958" s="8" t="s">
        <v>7602</v>
      </c>
      <c r="BK958" s="4" t="s">
        <v>7653</v>
      </c>
      <c r="BL958" s="8" t="s">
        <v>7602</v>
      </c>
      <c r="BM958" s="4" t="s">
        <v>7620</v>
      </c>
      <c r="BN958" s="8"/>
      <c r="BO958" s="8"/>
      <c r="BP958" s="8" t="s">
        <v>7608</v>
      </c>
      <c r="BQ958" s="8" t="str">
        <f aca="false">IF(A958="","",AT958)</f>
        <v>3歳</v>
      </c>
      <c r="BR958" s="8" t="str">
        <f aca="false">IF(A958="","",IF(BA958&lt;=1200,"～1200",IF(BA958&lt;=1500,"1300～1500",IF(BA958=1600,"1600",IF(BA958&lt;=1800,"1700～1800",IF(BA958&lt;=2000,"1900～2000","2100以上"))))))</f>
        <v>1700～1800</v>
      </c>
      <c r="BS958" s="8" t="str">
        <f aca="false">IF(A958="","",IF(AX958="G1","G1",IF(AX958="G2","G2",IF(AX958="G3","G3",IF(AX958="L","L","その他")))))</f>
        <v>その他</v>
      </c>
      <c r="BT958" s="8" t="str">
        <f aca="false">IF(A958="","",IF(BI958="","未結合",IF(D958=BI958,"一致","不一致")))</f>
        <v>一致</v>
      </c>
      <c r="BU958" s="8" t="str">
        <f aca="false">IF(A958="","",IF(BE958="牝馬限定","牝馬限定","その他"))</f>
        <v>その他</v>
      </c>
    </row>
    <row r="959" customFormat="false" ht="15.75" hidden="false" customHeight="false" outlineLevel="0" collapsed="false">
      <c r="A959" s="6" t="n">
        <f aca="false">DATE(2026,8,8)</f>
        <v>46242</v>
      </c>
      <c r="B959" s="4" t="s">
        <v>334</v>
      </c>
      <c r="C959" s="8" t="n">
        <v>4</v>
      </c>
      <c r="D959" s="8" t="n">
        <v>14</v>
      </c>
      <c r="E959" s="8" t="n">
        <v>10</v>
      </c>
      <c r="F959" s="8"/>
      <c r="G959" s="8" t="n">
        <v>50</v>
      </c>
      <c r="H959" s="8" t="n">
        <v>2</v>
      </c>
      <c r="I959" s="4" t="s">
        <v>6897</v>
      </c>
      <c r="J959" s="8" t="n">
        <v>41</v>
      </c>
      <c r="K959" s="8" t="n">
        <v>4</v>
      </c>
      <c r="L959" s="4" t="s">
        <v>870</v>
      </c>
      <c r="M959" s="8" t="n">
        <v>41</v>
      </c>
      <c r="N959" s="8" t="n">
        <f aca="false">IF(A959="","",G959-J959)</f>
        <v>9</v>
      </c>
      <c r="O959" s="8" t="n">
        <f aca="false">IF(A959="","",J959-M959)</f>
        <v>0</v>
      </c>
      <c r="P959" s="8" t="n">
        <f aca="false">IF(A959="","",G959+J959)</f>
        <v>91</v>
      </c>
      <c r="Q959" s="8" t="str">
        <f aca="false">IF(A959="","",IF(AND(Y959&lt;&gt;"参考",G959&gt;=ルール設定!$B$2),"○",""))</f>
        <v/>
      </c>
      <c r="R959" s="8" t="str">
        <f aca="false">IF(A959="","",IF(AND(Y959&lt;&gt;"参考",G959&gt;=ルール設定!$B$3,N959&gt;=ルール設定!$B$4),"○",""))</f>
        <v/>
      </c>
      <c r="S959" s="8" t="str">
        <f aca="false">IF(A959="","",IF(AND(Y959&lt;&gt;"参考",G959&gt;=ルール設定!$B$5,J959&gt;=ルール設定!$B$6,O959&gt;=ルール設定!$B$7),"○",""))</f>
        <v/>
      </c>
      <c r="T959" s="8" t="n">
        <v>4</v>
      </c>
      <c r="U959" s="8" t="n">
        <v>3</v>
      </c>
      <c r="V959" s="8" t="str">
        <f aca="false">IF(A959="","",IF(AND(ISNUMBER(T959),ISNUMBER(U959)),IF(AND(T959&lt;=3,U959&lt;=3),"○","×"),""))</f>
        <v>×</v>
      </c>
      <c r="W959" s="8"/>
      <c r="X959" s="8"/>
      <c r="Y959" s="4" t="s">
        <v>7597</v>
      </c>
      <c r="Z959" s="8" t="s">
        <v>8111</v>
      </c>
      <c r="AA959" s="8" t="str">
        <v/>
      </c>
      <c r="AB959" s="8" t="str">
        <v/>
      </c>
      <c r="AC959" s="8" t="str">
        <v/>
      </c>
      <c r="AD959" s="8" t="str">
        <v/>
      </c>
      <c r="AE959" s="8" t="str">
        <v/>
      </c>
      <c r="AF959" s="8" t="str">
        <v/>
      </c>
      <c r="AG959" s="8" t="str">
        <v/>
      </c>
      <c r="AH959" s="8" t="str">
        <v/>
      </c>
      <c r="AI959" s="8" t="n">
        <v>9</v>
      </c>
      <c r="AJ959" s="8" t="str">
        <v>～59</v>
      </c>
      <c r="AK959" s="8" t="str">
        <v>5～9</v>
      </c>
      <c r="AL959" s="8" t="str">
        <v>0～9</v>
      </c>
      <c r="AM959" s="8" t="str">
        <v>～99</v>
      </c>
      <c r="AN959" s="8" t="str">
        <v>12～14</v>
      </c>
      <c r="AO959" s="8" t="str">
        <f aca="false">IF(A959="","",IF(COUNTIFS(全馬データ!$A$2:$A$50000,A959,全馬データ!$B$2:$B$50000,B959,全馬データ!$C$2:$C$50000,C959,全馬データ!$D$2:$D$50000,E959,全馬データ!$K$2:$K$50000,"&lt;&gt;")=0,"",SUMIFS(全馬データ!$K$2:$K$50000,全馬データ!$A$2:$A$50000,A959,全馬データ!$B$2:$B$50000,B959,全馬データ!$C$2:$C$50000,C959,全馬データ!$D$2:$D$50000,E959)))</f>
        <v/>
      </c>
      <c r="AP959" s="8" t="str">
        <f aca="false">IF(A959="","",IF(AO959="","欠損",IF(AO959&lt;=1.1,"1.0～1.1",IF(AO959&lt;1.3,"1.2",IF(AO959&lt;1.5,"1.3～1.4",IF(AO959&lt;2,"1.5～1.9","2.0以上"))))))</f>
        <v>欠損</v>
      </c>
      <c r="AQ959" s="8" t="str">
        <f aca="false">IF(A959="","",IF(ISNUMBER(SEARCH("2歳",Z959)),"2歳戦",IF(ISNUMBER(SEARCH("3歳未勝利",Z959)),"3歳未勝利",IF(ISNUMBER(SEARCH("未勝利",Z959)),"その他未勝利",IF(ISNUMBER(SEARCH("G1",Z959)),"G1",IF(ISNUMBER(SEARCH("G2",Z959)),"G2",IF(ISNUMBER(SEARCH("G3",Z959)),"G3",IF(ISNUMBER(SEARCH("古馬条件",Z959)),"古馬条件戦",IF(ISNUMBER(SEARCH("重賞",Z959)),"重賞","分類不能")))))))))</f>
        <v>分類不能</v>
      </c>
      <c r="AR959" s="8"/>
      <c r="AS959" s="8" t="s">
        <v>7626</v>
      </c>
      <c r="AT959" s="8" t="s">
        <v>7627</v>
      </c>
      <c r="AU959" s="8" t="s">
        <v>7628</v>
      </c>
      <c r="AV959" s="8" t="s">
        <v>7629</v>
      </c>
      <c r="AW959" s="8"/>
      <c r="AX959" s="8"/>
      <c r="AY959" s="8" t="s">
        <v>7602</v>
      </c>
      <c r="AZ959" s="4" t="s">
        <v>7603</v>
      </c>
      <c r="BA959" s="8" t="n">
        <v>1500</v>
      </c>
      <c r="BB959" s="8" t="s">
        <v>7659</v>
      </c>
      <c r="BC959" s="4" t="s">
        <v>7619</v>
      </c>
      <c r="BD959" s="8" t="s">
        <v>7605</v>
      </c>
      <c r="BE959" s="4" t="s">
        <v>7606</v>
      </c>
      <c r="BF959" s="8" t="s">
        <v>7607</v>
      </c>
      <c r="BG959" s="8" t="s">
        <v>7631</v>
      </c>
      <c r="BH959" s="4" t="s">
        <v>7632</v>
      </c>
      <c r="BI959" s="8" t="n">
        <v>14</v>
      </c>
      <c r="BJ959" s="8" t="s">
        <v>7602</v>
      </c>
      <c r="BK959" s="4" t="s">
        <v>7653</v>
      </c>
      <c r="BL959" s="8" t="s">
        <v>7602</v>
      </c>
      <c r="BM959" s="4" t="s">
        <v>7620</v>
      </c>
      <c r="BN959" s="8" t="s">
        <v>7602</v>
      </c>
      <c r="BO959" s="8" t="s">
        <v>7613</v>
      </c>
      <c r="BP959" s="8" t="s">
        <v>7608</v>
      </c>
      <c r="BQ959" s="8" t="str">
        <f aca="false">IF(A959="","",AT959)</f>
        <v>3歳以上</v>
      </c>
      <c r="BR959" s="8" t="str">
        <f aca="false">IF(A959="","",IF(BA959&lt;=1200,"～1200",IF(BA959&lt;=1500,"1300～1500",IF(BA959=1600,"1600",IF(BA959&lt;=1800,"1700～1800",IF(BA959&lt;=2000,"1900～2000","2100以上"))))))</f>
        <v>1300～1500</v>
      </c>
      <c r="BS959" s="8" t="str">
        <f aca="false">IF(A959="","",IF(AX959="G1","G1",IF(AX959="G2","G2",IF(AX959="G3","G3",IF(AX959="L","L","その他")))))</f>
        <v>その他</v>
      </c>
      <c r="BT959" s="8" t="str">
        <f aca="false">IF(A959="","",IF(BI959="","未結合",IF(D959=BI959,"一致","不一致")))</f>
        <v>一致</v>
      </c>
      <c r="BU959" s="8" t="str">
        <f aca="false">IF(A959="","",IF(BE959="牝馬限定","牝馬限定","その他"))</f>
        <v>その他</v>
      </c>
    </row>
    <row r="960" customFormat="false" ht="15.75" hidden="false" customHeight="false" outlineLevel="0" collapsed="false">
      <c r="A960" s="6" t="n">
        <f aca="false">DATE(2026,8,8)</f>
        <v>46242</v>
      </c>
      <c r="B960" s="4" t="s">
        <v>334</v>
      </c>
      <c r="C960" s="8" t="n">
        <v>5</v>
      </c>
      <c r="D960" s="8" t="n">
        <v>12</v>
      </c>
      <c r="E960" s="8" t="n">
        <v>2</v>
      </c>
      <c r="F960" s="8"/>
      <c r="G960" s="8" t="n">
        <v>37</v>
      </c>
      <c r="H960" s="8" t="n">
        <v>6</v>
      </c>
      <c r="I960" s="4" t="s">
        <v>6899</v>
      </c>
      <c r="J960" s="8" t="n">
        <v>27</v>
      </c>
      <c r="K960" s="8" t="n">
        <v>7</v>
      </c>
      <c r="L960" s="8"/>
      <c r="M960" s="8" t="n">
        <v>31</v>
      </c>
      <c r="N960" s="8" t="n">
        <f aca="false">IF(A960="","",G960-J960)</f>
        <v>10</v>
      </c>
      <c r="O960" s="8" t="n">
        <f aca="false">IF(A960="","",J960-M960)</f>
        <v>-4</v>
      </c>
      <c r="P960" s="8" t="n">
        <f aca="false">IF(A960="","",G960+J960)</f>
        <v>64</v>
      </c>
      <c r="Q960" s="8" t="str">
        <f aca="false">IF(A960="","",IF(AND(Y960&lt;&gt;"参考",G960&gt;=ルール設定!$B$2),"○",""))</f>
        <v/>
      </c>
      <c r="R960" s="8" t="str">
        <f aca="false">IF(A960="","",IF(AND(Y960&lt;&gt;"参考",G960&gt;=ルール設定!$B$3,N960&gt;=ルール設定!$B$4),"○",""))</f>
        <v/>
      </c>
      <c r="S960" s="8" t="str">
        <f aca="false">IF(A960="","",IF(AND(Y960&lt;&gt;"参考",G960&gt;=ルール設定!$B$5,J960&gt;=ルール設定!$B$6,O960&gt;=ルール設定!$B$7),"○",""))</f>
        <v/>
      </c>
      <c r="T960" s="8" t="n">
        <v>4</v>
      </c>
      <c r="U960" s="8" t="n">
        <v>2</v>
      </c>
      <c r="V960" s="8" t="str">
        <f aca="false">IF(A960="","",IF(AND(ISNUMBER(T960),ISNUMBER(U960)),IF(AND(T960&lt;=3,U960&lt;=3),"○","×"),""))</f>
        <v>×</v>
      </c>
      <c r="W960" s="8"/>
      <c r="X960" s="8"/>
      <c r="Y960" s="4" t="s">
        <v>7597</v>
      </c>
      <c r="Z960" s="8" t="s">
        <v>8111</v>
      </c>
      <c r="AA960" s="8" t="str">
        <v/>
      </c>
      <c r="AB960" s="8" t="str">
        <v/>
      </c>
      <c r="AC960" s="8" t="str">
        <v/>
      </c>
      <c r="AD960" s="8" t="str">
        <v/>
      </c>
      <c r="AE960" s="8" t="str">
        <v/>
      </c>
      <c r="AF960" s="8" t="str">
        <v/>
      </c>
      <c r="AG960" s="8" t="str">
        <v/>
      </c>
      <c r="AH960" s="8" t="str">
        <v/>
      </c>
      <c r="AI960" s="8" t="n">
        <v>6</v>
      </c>
      <c r="AJ960" s="8" t="str">
        <v>～59</v>
      </c>
      <c r="AK960" s="8" t="str">
        <v>10～19</v>
      </c>
      <c r="AL960" s="8" t="str">
        <v>0～9</v>
      </c>
      <c r="AM960" s="8" t="str">
        <v>～99</v>
      </c>
      <c r="AN960" s="8" t="str">
        <v>12～14</v>
      </c>
      <c r="AO960" s="8" t="str">
        <f aca="false">IF(A960="","",IF(COUNTIFS(全馬データ!$A$2:$A$50000,A960,全馬データ!$B$2:$B$50000,B960,全馬データ!$C$2:$C$50000,C960,全馬データ!$D$2:$D$50000,E960,全馬データ!$K$2:$K$50000,"&lt;&gt;")=0,"",SUMIFS(全馬データ!$K$2:$K$50000,全馬データ!$A$2:$A$50000,A960,全馬データ!$B$2:$B$50000,B960,全馬データ!$C$2:$C$50000,C960,全馬データ!$D$2:$D$50000,E960)))</f>
        <v/>
      </c>
      <c r="AP960" s="8" t="str">
        <f aca="false">IF(A960="","",IF(AO960="","欠損",IF(AO960&lt;=1.1,"1.0～1.1",IF(AO960&lt;1.3,"1.2",IF(AO960&lt;1.5,"1.3～1.4",IF(AO960&lt;2,"1.5～1.9","2.0以上"))))))</f>
        <v>欠損</v>
      </c>
      <c r="AQ960" s="8" t="str">
        <f aca="false">IF(A960="","",IF(ISNUMBER(SEARCH("2歳",Z960)),"2歳戦",IF(ISNUMBER(SEARCH("3歳未勝利",Z960)),"3歳未勝利",IF(ISNUMBER(SEARCH("未勝利",Z960)),"その他未勝利",IF(ISNUMBER(SEARCH("G1",Z960)),"G1",IF(ISNUMBER(SEARCH("G2",Z960)),"G2",IF(ISNUMBER(SEARCH("G3",Z960)),"G3",IF(ISNUMBER(SEARCH("古馬条件",Z960)),"古馬条件戦",IF(ISNUMBER(SEARCH("重賞",Z960)),"重賞","分類不能")))))))))</f>
        <v>分類不能</v>
      </c>
      <c r="AR960" s="8"/>
      <c r="AS960" s="8" t="s">
        <v>7598</v>
      </c>
      <c r="AT960" s="8" t="s">
        <v>7599</v>
      </c>
      <c r="AU960" s="8" t="s">
        <v>7615</v>
      </c>
      <c r="AV960" s="4" t="s">
        <v>7616</v>
      </c>
      <c r="AW960" s="8"/>
      <c r="AX960" s="8"/>
      <c r="AY960" s="8" t="s">
        <v>7602</v>
      </c>
      <c r="AZ960" s="4" t="s">
        <v>7603</v>
      </c>
      <c r="BA960" s="8" t="n">
        <v>1800</v>
      </c>
      <c r="BB960" s="8" t="s">
        <v>7659</v>
      </c>
      <c r="BC960" s="4" t="s">
        <v>7619</v>
      </c>
      <c r="BD960" s="8" t="s">
        <v>7605</v>
      </c>
      <c r="BE960" s="4" t="s">
        <v>7606</v>
      </c>
      <c r="BF960" s="8" t="s">
        <v>7607</v>
      </c>
      <c r="BG960" s="8" t="s">
        <v>7608</v>
      </c>
      <c r="BH960" s="4" t="s">
        <v>7609</v>
      </c>
      <c r="BI960" s="8" t="n">
        <v>12</v>
      </c>
      <c r="BJ960" s="8" t="s">
        <v>7602</v>
      </c>
      <c r="BK960" s="4" t="s">
        <v>7653</v>
      </c>
      <c r="BL960" s="8" t="s">
        <v>7602</v>
      </c>
      <c r="BM960" s="4" t="s">
        <v>7620</v>
      </c>
      <c r="BN960" s="8" t="s">
        <v>7602</v>
      </c>
      <c r="BO960" s="8" t="s">
        <v>7613</v>
      </c>
      <c r="BP960" s="8" t="s">
        <v>7608</v>
      </c>
      <c r="BQ960" s="8" t="str">
        <f aca="false">IF(A960="","",AT960)</f>
        <v>2歳</v>
      </c>
      <c r="BR960" s="8" t="str">
        <f aca="false">IF(A960="","",IF(BA960&lt;=1200,"～1200",IF(BA960&lt;=1500,"1300～1500",IF(BA960=1600,"1600",IF(BA960&lt;=1800,"1700～1800",IF(BA960&lt;=2000,"1900～2000","2100以上"))))))</f>
        <v>1700～1800</v>
      </c>
      <c r="BS960" s="8" t="str">
        <f aca="false">IF(A960="","",IF(AX960="G1","G1",IF(AX960="G2","G2",IF(AX960="G3","G3",IF(AX960="L","L","その他")))))</f>
        <v>その他</v>
      </c>
      <c r="BT960" s="8" t="str">
        <f aca="false">IF(A960="","",IF(BI960="","未結合",IF(D960=BI960,"一致","不一致")))</f>
        <v>一致</v>
      </c>
      <c r="BU960" s="8" t="str">
        <f aca="false">IF(A960="","",IF(BE960="牝馬限定","牝馬限定","その他"))</f>
        <v>その他</v>
      </c>
    </row>
    <row r="961" customFormat="false" ht="15.75" hidden="false" customHeight="false" outlineLevel="0" collapsed="false">
      <c r="A961" s="6" t="n">
        <f aca="false">DATE(2026,8,8)</f>
        <v>46242</v>
      </c>
      <c r="B961" s="4" t="s">
        <v>334</v>
      </c>
      <c r="C961" s="8" t="n">
        <v>6</v>
      </c>
      <c r="D961" s="8" t="n">
        <v>16</v>
      </c>
      <c r="E961" s="8" t="n">
        <v>12</v>
      </c>
      <c r="F961" s="4" t="s">
        <v>1752</v>
      </c>
      <c r="G961" s="8" t="n">
        <v>58</v>
      </c>
      <c r="H961" s="8" t="n">
        <v>11</v>
      </c>
      <c r="I961" s="4" t="s">
        <v>851</v>
      </c>
      <c r="J961" s="8" t="n">
        <v>47</v>
      </c>
      <c r="K961" s="8" t="n">
        <v>4</v>
      </c>
      <c r="L961" s="4" t="s">
        <v>3140</v>
      </c>
      <c r="M961" s="8" t="n">
        <v>52</v>
      </c>
      <c r="N961" s="8" t="n">
        <f aca="false">IF(A961="","",G961-J961)</f>
        <v>11</v>
      </c>
      <c r="O961" s="8" t="n">
        <f aca="false">IF(A961="","",J961-M961)</f>
        <v>-5</v>
      </c>
      <c r="P961" s="8" t="n">
        <f aca="false">IF(A961="","",G961+J961)</f>
        <v>105</v>
      </c>
      <c r="Q961" s="8" t="str">
        <f aca="false">IF(A961="","",IF(AND(Y961&lt;&gt;"参考",G961&gt;=ルール設定!$B$2),"○",""))</f>
        <v/>
      </c>
      <c r="R961" s="8" t="str">
        <f aca="false">IF(A961="","",IF(AND(Y961&lt;&gt;"参考",G961&gt;=ルール設定!$B$3,N961&gt;=ルール設定!$B$4),"○",""))</f>
        <v/>
      </c>
      <c r="S961" s="8" t="str">
        <f aca="false">IF(A961="","",IF(AND(Y961&lt;&gt;"参考",G961&gt;=ルール設定!$B$5,J961&gt;=ルール設定!$B$6,O961&gt;=ルール設定!$B$7),"○",""))</f>
        <v/>
      </c>
      <c r="T961" s="8" t="n">
        <v>1</v>
      </c>
      <c r="U961" s="8" t="n">
        <v>2</v>
      </c>
      <c r="V961" s="8" t="str">
        <f aca="false">IF(A961="","",IF(AND(ISNUMBER(T961),ISNUMBER(U961)),IF(AND(T961&lt;=3,U961&lt;=3),"○","×"),""))</f>
        <v>○</v>
      </c>
      <c r="W961" s="8" t="n">
        <v>140</v>
      </c>
      <c r="X961" s="8" t="n">
        <v>300</v>
      </c>
      <c r="Y961" s="4" t="s">
        <v>7597</v>
      </c>
      <c r="Z961" s="8" t="s">
        <v>8111</v>
      </c>
      <c r="AA961" s="8" t="str">
        <v/>
      </c>
      <c r="AB961" s="8" t="str">
        <v/>
      </c>
      <c r="AC961" s="8" t="str">
        <v/>
      </c>
      <c r="AD961" s="8" t="str">
        <v/>
      </c>
      <c r="AE961" s="8" t="str">
        <v/>
      </c>
      <c r="AF961" s="8" t="str">
        <v/>
      </c>
      <c r="AG961" s="8" t="str">
        <v/>
      </c>
      <c r="AH961" s="8" t="str">
        <v/>
      </c>
      <c r="AI961" s="8" t="n">
        <v>6</v>
      </c>
      <c r="AJ961" s="8" t="str">
        <v>～59</v>
      </c>
      <c r="AK961" s="8" t="str">
        <v>10～19</v>
      </c>
      <c r="AL961" s="8" t="str">
        <v>0～9</v>
      </c>
      <c r="AM961" s="8" t="str">
        <v>100～119</v>
      </c>
      <c r="AN961" s="8" t="str">
        <v>15以上</v>
      </c>
      <c r="AO961" s="8" t="str">
        <f aca="false">IF(A961="","",IF(COUNTIFS(全馬データ!$A$2:$A$50000,A961,全馬データ!$B$2:$B$50000,B961,全馬データ!$C$2:$C$50000,C961,全馬データ!$D$2:$D$50000,E961,全馬データ!$K$2:$K$50000,"&lt;&gt;")=0,"",SUMIFS(全馬データ!$K$2:$K$50000,全馬データ!$A$2:$A$50000,A961,全馬データ!$B$2:$B$50000,B961,全馬データ!$C$2:$C$50000,C961,全馬データ!$D$2:$D$50000,E961)))</f>
        <v/>
      </c>
      <c r="AP961" s="8" t="str">
        <f aca="false">IF(A961="","",IF(AO961="","欠損",IF(AO961&lt;=1.1,"1.0～1.1",IF(AO961&lt;1.3,"1.2",IF(AO961&lt;1.5,"1.3～1.4",IF(AO961&lt;2,"1.5～1.9","2.0以上"))))))</f>
        <v>欠損</v>
      </c>
      <c r="AQ961" s="8" t="str">
        <f aca="false">IF(A961="","",IF(ISNUMBER(SEARCH("2歳",Z961)),"2歳戦",IF(ISNUMBER(SEARCH("3歳未勝利",Z961)),"3歳未勝利",IF(ISNUMBER(SEARCH("未勝利",Z961)),"その他未勝利",IF(ISNUMBER(SEARCH("G1",Z961)),"G1",IF(ISNUMBER(SEARCH("G2",Z961)),"G2",IF(ISNUMBER(SEARCH("G3",Z961)),"G3",IF(ISNUMBER(SEARCH("古馬条件",Z961)),"古馬条件戦",IF(ISNUMBER(SEARCH("重賞",Z961)),"重賞","分類不能")))))))))</f>
        <v>分類不能</v>
      </c>
      <c r="AR961" s="8"/>
      <c r="AS961" s="8" t="s">
        <v>7623</v>
      </c>
      <c r="AT961" s="8" t="s">
        <v>7624</v>
      </c>
      <c r="AU961" s="8" t="s">
        <v>7600</v>
      </c>
      <c r="AV961" s="4" t="s">
        <v>7601</v>
      </c>
      <c r="AW961" s="8"/>
      <c r="AX961" s="8"/>
      <c r="AY961" s="8" t="s">
        <v>7602</v>
      </c>
      <c r="AZ961" s="4" t="s">
        <v>7603</v>
      </c>
      <c r="BA961" s="8" t="n">
        <v>2000</v>
      </c>
      <c r="BB961" s="8" t="s">
        <v>7659</v>
      </c>
      <c r="BC961" s="4" t="s">
        <v>7619</v>
      </c>
      <c r="BD961" s="8" t="s">
        <v>7621</v>
      </c>
      <c r="BE961" s="4" t="s">
        <v>7622</v>
      </c>
      <c r="BF961" s="8" t="s">
        <v>7602</v>
      </c>
      <c r="BG961" s="8" t="s">
        <v>7608</v>
      </c>
      <c r="BH961" s="4" t="s">
        <v>7609</v>
      </c>
      <c r="BI961" s="8" t="n">
        <v>16</v>
      </c>
      <c r="BJ961" s="8" t="s">
        <v>7602</v>
      </c>
      <c r="BK961" s="4" t="s">
        <v>7653</v>
      </c>
      <c r="BL961" s="8" t="s">
        <v>7602</v>
      </c>
      <c r="BM961" s="4" t="s">
        <v>7620</v>
      </c>
      <c r="BN961" s="8" t="s">
        <v>7602</v>
      </c>
      <c r="BO961" s="8" t="s">
        <v>7613</v>
      </c>
      <c r="BP961" s="8" t="s">
        <v>7608</v>
      </c>
      <c r="BQ961" s="8" t="str">
        <f aca="false">IF(A961="","",AT961)</f>
        <v>3歳</v>
      </c>
      <c r="BR961" s="8" t="str">
        <f aca="false">IF(A961="","",IF(BA961&lt;=1200,"～1200",IF(BA961&lt;=1500,"1300～1500",IF(BA961=1600,"1600",IF(BA961&lt;=1800,"1700～1800",IF(BA961&lt;=2000,"1900～2000","2100以上"))))))</f>
        <v>1900～2000</v>
      </c>
      <c r="BS961" s="8" t="str">
        <f aca="false">IF(A961="","",IF(AX961="G1","G1",IF(AX961="G2","G2",IF(AX961="G3","G3",IF(AX961="L","L","その他")))))</f>
        <v>その他</v>
      </c>
      <c r="BT961" s="8" t="str">
        <f aca="false">IF(A961="","",IF(BI961="","未結合",IF(D961=BI961,"一致","不一致")))</f>
        <v>一致</v>
      </c>
      <c r="BU961" s="8" t="str">
        <f aca="false">IF(A961="","",IF(BE961="牝馬限定","牝馬限定","その他"))</f>
        <v>牝馬限定</v>
      </c>
    </row>
    <row r="962" customFormat="false" ht="15.75" hidden="false" customHeight="false" outlineLevel="0" collapsed="false">
      <c r="A962" s="6" t="n">
        <f aca="false">DATE(2026,8,8)</f>
        <v>46242</v>
      </c>
      <c r="B962" s="4" t="s">
        <v>334</v>
      </c>
      <c r="C962" s="8" t="n">
        <v>7</v>
      </c>
      <c r="D962" s="8" t="n">
        <v>12</v>
      </c>
      <c r="E962" s="8" t="n">
        <v>4</v>
      </c>
      <c r="F962" s="4" t="s">
        <v>859</v>
      </c>
      <c r="G962" s="8" t="n">
        <v>58</v>
      </c>
      <c r="H962" s="8" t="n">
        <v>7</v>
      </c>
      <c r="I962" s="8"/>
      <c r="J962" s="8" t="n">
        <v>47</v>
      </c>
      <c r="K962" s="8" t="n">
        <v>2</v>
      </c>
      <c r="L962" s="8"/>
      <c r="M962" s="8" t="n">
        <v>56</v>
      </c>
      <c r="N962" s="8" t="n">
        <f aca="false">IF(A962="","",G962-J962)</f>
        <v>11</v>
      </c>
      <c r="O962" s="8" t="n">
        <f aca="false">IF(A962="","",J962-M962)</f>
        <v>-9</v>
      </c>
      <c r="P962" s="8" t="n">
        <f aca="false">IF(A962="","",G962+J962)</f>
        <v>105</v>
      </c>
      <c r="Q962" s="8" t="str">
        <f aca="false">IF(A962="","",IF(AND(Y962&lt;&gt;"参考",G962&gt;=ルール設定!$B$2),"○",""))</f>
        <v/>
      </c>
      <c r="R962" s="8" t="str">
        <f aca="false">IF(A962="","",IF(AND(Y962&lt;&gt;"参考",G962&gt;=ルール設定!$B$3,N962&gt;=ルール設定!$B$4),"○",""))</f>
        <v/>
      </c>
      <c r="S962" s="8" t="str">
        <f aca="false">IF(A962="","",IF(AND(Y962&lt;&gt;"参考",G962&gt;=ルール設定!$B$5,J962&gt;=ルール設定!$B$6,O962&gt;=ルール設定!$B$7),"○",""))</f>
        <v/>
      </c>
      <c r="T962" s="8" t="n">
        <v>3</v>
      </c>
      <c r="U962" s="8" t="n">
        <v>4</v>
      </c>
      <c r="V962" s="8" t="str">
        <f aca="false">IF(A962="","",IF(AND(ISNUMBER(T962),ISNUMBER(U962)),IF(AND(T962&lt;=3,U962&lt;=3),"○","×"),""))</f>
        <v>×</v>
      </c>
      <c r="W962" s="8" t="n">
        <v>280</v>
      </c>
      <c r="X962" s="8"/>
      <c r="Y962" s="4" t="s">
        <v>7597</v>
      </c>
      <c r="Z962" s="8" t="s">
        <v>8111</v>
      </c>
      <c r="AA962" s="8" t="str">
        <v/>
      </c>
      <c r="AB962" s="8" t="str">
        <v/>
      </c>
      <c r="AC962" s="8" t="str">
        <v/>
      </c>
      <c r="AD962" s="8" t="str">
        <v/>
      </c>
      <c r="AE962" s="8" t="str">
        <v/>
      </c>
      <c r="AF962" s="8" t="str">
        <v/>
      </c>
      <c r="AG962" s="8" t="str">
        <v/>
      </c>
      <c r="AH962" s="8" t="str">
        <v/>
      </c>
      <c r="AI962" s="8" t="n">
        <v>2</v>
      </c>
      <c r="AJ962" s="8" t="str">
        <v>～59</v>
      </c>
      <c r="AK962" s="8" t="str">
        <v>10～19</v>
      </c>
      <c r="AL962" s="8" t="str">
        <v>0～9</v>
      </c>
      <c r="AM962" s="8" t="str">
        <v>100～119</v>
      </c>
      <c r="AN962" s="8" t="str">
        <v>12～14</v>
      </c>
      <c r="AO962" s="8" t="str">
        <f aca="false">IF(A962="","",IF(COUNTIFS(全馬データ!$A$2:$A$50000,A962,全馬データ!$B$2:$B$50000,B962,全馬データ!$C$2:$C$50000,C962,全馬データ!$D$2:$D$50000,E962,全馬データ!$K$2:$K$50000,"&lt;&gt;")=0,"",SUMIFS(全馬データ!$K$2:$K$50000,全馬データ!$A$2:$A$50000,A962,全馬データ!$B$2:$B$50000,B962,全馬データ!$C$2:$C$50000,C962,全馬データ!$D$2:$D$50000,E962)))</f>
        <v/>
      </c>
      <c r="AP962" s="8" t="str">
        <f aca="false">IF(A962="","",IF(AO962="","欠損",IF(AO962&lt;=1.1,"1.0～1.1",IF(AO962&lt;1.3,"1.2",IF(AO962&lt;1.5,"1.3～1.4",IF(AO962&lt;2,"1.5～1.9","2.0以上"))))))</f>
        <v>欠損</v>
      </c>
      <c r="AQ962" s="8" t="str">
        <f aca="false">IF(A962="","",IF(ISNUMBER(SEARCH("2歳",Z962)),"2歳戦",IF(ISNUMBER(SEARCH("3歳未勝利",Z962)),"3歳未勝利",IF(ISNUMBER(SEARCH("未勝利",Z962)),"その他未勝利",IF(ISNUMBER(SEARCH("G1",Z962)),"G1",IF(ISNUMBER(SEARCH("G2",Z962)),"G2",IF(ISNUMBER(SEARCH("G3",Z962)),"G3",IF(ISNUMBER(SEARCH("古馬条件",Z962)),"古馬条件戦",IF(ISNUMBER(SEARCH("重賞",Z962)),"重賞","分類不能")))))))))</f>
        <v>分類不能</v>
      </c>
      <c r="AR962" s="8"/>
      <c r="AS962" s="8" t="s">
        <v>7626</v>
      </c>
      <c r="AT962" s="8" t="s">
        <v>7627</v>
      </c>
      <c r="AU962" s="8" t="s">
        <v>7628</v>
      </c>
      <c r="AV962" s="8" t="s">
        <v>7629</v>
      </c>
      <c r="AW962" s="8"/>
      <c r="AX962" s="8"/>
      <c r="AY962" s="8" t="s">
        <v>7610</v>
      </c>
      <c r="AZ962" s="4" t="s">
        <v>7617</v>
      </c>
      <c r="BA962" s="8" t="n">
        <v>1000</v>
      </c>
      <c r="BB962" s="8" t="s">
        <v>7618</v>
      </c>
      <c r="BC962" s="4" t="s">
        <v>7619</v>
      </c>
      <c r="BD962" s="8" t="s">
        <v>7605</v>
      </c>
      <c r="BE962" s="4" t="s">
        <v>7606</v>
      </c>
      <c r="BF962" s="8" t="s">
        <v>7607</v>
      </c>
      <c r="BG962" s="8" t="s">
        <v>7631</v>
      </c>
      <c r="BH962" s="4" t="s">
        <v>7632</v>
      </c>
      <c r="BI962" s="8" t="n">
        <v>12</v>
      </c>
      <c r="BJ962" s="8" t="s">
        <v>7602</v>
      </c>
      <c r="BK962" s="4" t="s">
        <v>7653</v>
      </c>
      <c r="BL962" s="8" t="s">
        <v>7602</v>
      </c>
      <c r="BM962" s="4" t="s">
        <v>7620</v>
      </c>
      <c r="BN962" s="8"/>
      <c r="BO962" s="8"/>
      <c r="BP962" s="8" t="s">
        <v>7608</v>
      </c>
      <c r="BQ962" s="8" t="str">
        <f aca="false">IF(A962="","",AT962)</f>
        <v>3歳以上</v>
      </c>
      <c r="BR962" s="8" t="str">
        <f aca="false">IF(A962="","",IF(BA962&lt;=1200,"～1200",IF(BA962&lt;=1500,"1300～1500",IF(BA962=1600,"1600",IF(BA962&lt;=1800,"1700～1800",IF(BA962&lt;=2000,"1900～2000","2100以上"))))))</f>
        <v>～1200</v>
      </c>
      <c r="BS962" s="8" t="str">
        <f aca="false">IF(A962="","",IF(AX962="G1","G1",IF(AX962="G2","G2",IF(AX962="G3","G3",IF(AX962="L","L","その他")))))</f>
        <v>その他</v>
      </c>
      <c r="BT962" s="8" t="str">
        <f aca="false">IF(A962="","",IF(BI962="","未結合",IF(D962=BI962,"一致","不一致")))</f>
        <v>一致</v>
      </c>
      <c r="BU962" s="8" t="str">
        <f aca="false">IF(A962="","",IF(BE962="牝馬限定","牝馬限定","その他"))</f>
        <v>その他</v>
      </c>
    </row>
    <row r="963" customFormat="false" ht="15.75" hidden="false" customHeight="false" outlineLevel="0" collapsed="false">
      <c r="A963" s="6" t="n">
        <f aca="false">DATE(2026,8,8)</f>
        <v>46242</v>
      </c>
      <c r="B963" s="4" t="s">
        <v>334</v>
      </c>
      <c r="C963" s="8" t="n">
        <v>8</v>
      </c>
      <c r="D963" s="8" t="n">
        <v>16</v>
      </c>
      <c r="E963" s="8" t="n">
        <v>13</v>
      </c>
      <c r="F963" s="8"/>
      <c r="G963" s="8" t="n">
        <v>47</v>
      </c>
      <c r="H963" s="8" t="n">
        <v>8</v>
      </c>
      <c r="I963" s="8"/>
      <c r="J963" s="8" t="n">
        <v>41</v>
      </c>
      <c r="K963" s="8" t="n">
        <v>3</v>
      </c>
      <c r="L963" s="8"/>
      <c r="M963" s="8" t="n">
        <v>44</v>
      </c>
      <c r="N963" s="8" t="n">
        <f aca="false">IF(A963="","",G963-J963)</f>
        <v>6</v>
      </c>
      <c r="O963" s="8" t="n">
        <f aca="false">IF(A963="","",J963-M963)</f>
        <v>-3</v>
      </c>
      <c r="P963" s="8" t="n">
        <f aca="false">IF(A963="","",G963+J963)</f>
        <v>88</v>
      </c>
      <c r="Q963" s="8" t="str">
        <f aca="false">IF(A963="","",IF(AND(Y963&lt;&gt;"参考",G963&gt;=ルール設定!$B$2),"○",""))</f>
        <v/>
      </c>
      <c r="R963" s="8" t="str">
        <f aca="false">IF(A963="","",IF(AND(Y963&lt;&gt;"参考",G963&gt;=ルール設定!$B$3,N963&gt;=ルール設定!$B$4),"○",""))</f>
        <v/>
      </c>
      <c r="S963" s="8" t="str">
        <f aca="false">IF(A963="","",IF(AND(Y963&lt;&gt;"参考",G963&gt;=ルール設定!$B$5,J963&gt;=ルール設定!$B$6,O963&gt;=ルール設定!$B$7),"○",""))</f>
        <v/>
      </c>
      <c r="T963" s="8" t="n">
        <v>4</v>
      </c>
      <c r="U963" s="8" t="n">
        <v>4</v>
      </c>
      <c r="V963" s="8" t="str">
        <f aca="false">IF(A963="","",IF(AND(ISNUMBER(T963),ISNUMBER(U963)),IF(AND(T963&lt;=3,U963&lt;=3),"○","×"),""))</f>
        <v>×</v>
      </c>
      <c r="W963" s="8"/>
      <c r="X963" s="8"/>
      <c r="Y963" s="4" t="s">
        <v>7597</v>
      </c>
      <c r="Z963" s="8" t="s">
        <v>8111</v>
      </c>
      <c r="AA963" s="8" t="str">
        <v/>
      </c>
      <c r="AB963" s="8" t="str">
        <v/>
      </c>
      <c r="AC963" s="8" t="str">
        <v/>
      </c>
      <c r="AD963" s="8" t="str">
        <v/>
      </c>
      <c r="AE963" s="8" t="str">
        <v/>
      </c>
      <c r="AF963" s="8" t="str">
        <v/>
      </c>
      <c r="AG963" s="8" t="str">
        <v/>
      </c>
      <c r="AH963" s="8" t="str">
        <v/>
      </c>
      <c r="AI963" s="8" t="n">
        <v>3</v>
      </c>
      <c r="AJ963" s="8" t="str">
        <v>～59</v>
      </c>
      <c r="AK963" s="8" t="str">
        <v>5～9</v>
      </c>
      <c r="AL963" s="8" t="str">
        <v>0～9</v>
      </c>
      <c r="AM963" s="8" t="str">
        <v>～99</v>
      </c>
      <c r="AN963" s="8" t="str">
        <v>15以上</v>
      </c>
      <c r="AO963" s="8" t="str">
        <f aca="false">IF(A963="","",IF(COUNTIFS(全馬データ!$A$2:$A$50000,A963,全馬データ!$B$2:$B$50000,B963,全馬データ!$C$2:$C$50000,C963,全馬データ!$D$2:$D$50000,E963,全馬データ!$K$2:$K$50000,"&lt;&gt;")=0,"",SUMIFS(全馬データ!$K$2:$K$50000,全馬データ!$A$2:$A$50000,A963,全馬データ!$B$2:$B$50000,B963,全馬データ!$C$2:$C$50000,C963,全馬データ!$D$2:$D$50000,E963)))</f>
        <v/>
      </c>
      <c r="AP963" s="8" t="str">
        <f aca="false">IF(A963="","",IF(AO963="","欠損",IF(AO963&lt;=1.1,"1.0～1.1",IF(AO963&lt;1.3,"1.2",IF(AO963&lt;1.5,"1.3～1.4",IF(AO963&lt;2,"1.5～1.9","2.0以上"))))))</f>
        <v>欠損</v>
      </c>
      <c r="AQ963" s="8" t="str">
        <f aca="false">IF(A963="","",IF(ISNUMBER(SEARCH("2歳",Z963)),"2歳戦",IF(ISNUMBER(SEARCH("3歳未勝利",Z963)),"3歳未勝利",IF(ISNUMBER(SEARCH("未勝利",Z963)),"その他未勝利",IF(ISNUMBER(SEARCH("G1",Z963)),"G1",IF(ISNUMBER(SEARCH("G2",Z963)),"G2",IF(ISNUMBER(SEARCH("G3",Z963)),"G3",IF(ISNUMBER(SEARCH("古馬条件",Z963)),"古馬条件戦",IF(ISNUMBER(SEARCH("重賞",Z963)),"重賞","分類不能")))))))))</f>
        <v>分類不能</v>
      </c>
      <c r="AR963" s="8"/>
      <c r="AS963" s="8" t="s">
        <v>7623</v>
      </c>
      <c r="AT963" s="8" t="s">
        <v>7624</v>
      </c>
      <c r="AU963" s="8" t="s">
        <v>7600</v>
      </c>
      <c r="AV963" s="4" t="s">
        <v>7601</v>
      </c>
      <c r="AW963" s="8"/>
      <c r="AX963" s="8"/>
      <c r="AY963" s="8" t="s">
        <v>7602</v>
      </c>
      <c r="AZ963" s="4" t="s">
        <v>7603</v>
      </c>
      <c r="BA963" s="8" t="n">
        <v>1200</v>
      </c>
      <c r="BB963" s="8" t="s">
        <v>7659</v>
      </c>
      <c r="BC963" s="4" t="s">
        <v>7619</v>
      </c>
      <c r="BD963" s="8" t="s">
        <v>7605</v>
      </c>
      <c r="BE963" s="4" t="s">
        <v>7606</v>
      </c>
      <c r="BF963" s="8" t="s">
        <v>7607</v>
      </c>
      <c r="BG963" s="8" t="s">
        <v>7608</v>
      </c>
      <c r="BH963" s="4" t="s">
        <v>7609</v>
      </c>
      <c r="BI963" s="8" t="n">
        <v>16</v>
      </c>
      <c r="BJ963" s="8" t="s">
        <v>7602</v>
      </c>
      <c r="BK963" s="4" t="s">
        <v>7653</v>
      </c>
      <c r="BL963" s="8" t="s">
        <v>7602</v>
      </c>
      <c r="BM963" s="4" t="s">
        <v>7620</v>
      </c>
      <c r="BN963" s="8" t="s">
        <v>7602</v>
      </c>
      <c r="BO963" s="8" t="s">
        <v>7613</v>
      </c>
      <c r="BP963" s="8" t="s">
        <v>7608</v>
      </c>
      <c r="BQ963" s="8" t="str">
        <f aca="false">IF(A963="","",AT963)</f>
        <v>3歳</v>
      </c>
      <c r="BR963" s="8" t="str">
        <f aca="false">IF(A963="","",IF(BA963&lt;=1200,"～1200",IF(BA963&lt;=1500,"1300～1500",IF(BA963=1600,"1600",IF(BA963&lt;=1800,"1700～1800",IF(BA963&lt;=2000,"1900～2000","2100以上"))))))</f>
        <v>～1200</v>
      </c>
      <c r="BS963" s="8" t="str">
        <f aca="false">IF(A963="","",IF(AX963="G1","G1",IF(AX963="G2","G2",IF(AX963="G3","G3",IF(AX963="L","L","その他")))))</f>
        <v>その他</v>
      </c>
      <c r="BT963" s="8" t="str">
        <f aca="false">IF(A963="","",IF(BI963="","未結合",IF(D963=BI963,"一致","不一致")))</f>
        <v>一致</v>
      </c>
      <c r="BU963" s="8" t="str">
        <f aca="false">IF(A963="","",IF(BE963="牝馬限定","牝馬限定","その他"))</f>
        <v>その他</v>
      </c>
    </row>
    <row r="964" customFormat="false" ht="15.75" hidden="false" customHeight="false" outlineLevel="0" collapsed="false">
      <c r="A964" s="6" t="n">
        <f aca="false">DATE(2026,8,8)</f>
        <v>46242</v>
      </c>
      <c r="B964" s="4" t="s">
        <v>334</v>
      </c>
      <c r="C964" s="8" t="n">
        <v>9</v>
      </c>
      <c r="D964" s="8" t="n">
        <v>14</v>
      </c>
      <c r="E964" s="8" t="n">
        <v>4</v>
      </c>
      <c r="F964" s="8"/>
      <c r="G964" s="8" t="n">
        <v>60</v>
      </c>
      <c r="H964" s="8" t="n">
        <v>5</v>
      </c>
      <c r="I964" s="8"/>
      <c r="J964" s="8" t="n">
        <v>34</v>
      </c>
      <c r="K964" s="8" t="n">
        <v>14</v>
      </c>
      <c r="L964" s="4" t="s">
        <v>880</v>
      </c>
      <c r="M964" s="8" t="n">
        <v>44</v>
      </c>
      <c r="N964" s="8" t="n">
        <f aca="false">IF(A964="","",G964-J964)</f>
        <v>26</v>
      </c>
      <c r="O964" s="8" t="n">
        <f aca="false">IF(A964="","",J964-M964)</f>
        <v>-10</v>
      </c>
      <c r="P964" s="8" t="n">
        <f aca="false">IF(A964="","",G964+J964)</f>
        <v>94</v>
      </c>
      <c r="Q964" s="8" t="str">
        <f aca="false">IF(A964="","",IF(AND(Y964&lt;&gt;"参考",G964&gt;=ルール設定!$B$2),"○",""))</f>
        <v/>
      </c>
      <c r="R964" s="8" t="str">
        <f aca="false">IF(A964="","",IF(AND(Y964&lt;&gt;"参考",G964&gt;=ルール設定!$B$3,N964&gt;=ルール設定!$B$4),"○",""))</f>
        <v/>
      </c>
      <c r="S964" s="8" t="str">
        <f aca="false">IF(A964="","",IF(AND(Y964&lt;&gt;"参考",G964&gt;=ルール設定!$B$5,J964&gt;=ルール設定!$B$6,O964&gt;=ルール設定!$B$7),"○",""))</f>
        <v/>
      </c>
      <c r="T964" s="8" t="n">
        <v>4</v>
      </c>
      <c r="U964" s="8" t="n">
        <v>4</v>
      </c>
      <c r="V964" s="8" t="str">
        <f aca="false">IF(A964="","",IF(AND(ISNUMBER(T964),ISNUMBER(U964)),IF(AND(T964&lt;=3,U964&lt;=3),"○","×"),""))</f>
        <v>×</v>
      </c>
      <c r="W964" s="8"/>
      <c r="X964" s="8"/>
      <c r="Y964" s="4" t="s">
        <v>7597</v>
      </c>
      <c r="Z964" s="8" t="s">
        <v>8111</v>
      </c>
      <c r="AA964" s="8" t="str">
        <v/>
      </c>
      <c r="AB964" s="8" t="str">
        <v/>
      </c>
      <c r="AC964" s="8" t="str">
        <v/>
      </c>
      <c r="AD964" s="8" t="str">
        <v/>
      </c>
      <c r="AE964" s="8" t="str">
        <v/>
      </c>
      <c r="AF964" s="8" t="str">
        <v/>
      </c>
      <c r="AG964" s="8" t="str">
        <v/>
      </c>
      <c r="AH964" s="8" t="str">
        <v/>
      </c>
      <c r="AI964" s="8" t="n">
        <v>16</v>
      </c>
      <c r="AJ964" s="8" t="str">
        <v>60～69</v>
      </c>
      <c r="AK964" s="8" t="str">
        <v>20～29</v>
      </c>
      <c r="AL964" s="8" t="str">
        <v>10～19</v>
      </c>
      <c r="AM964" s="8" t="str">
        <v>～99</v>
      </c>
      <c r="AN964" s="8" t="str">
        <v>12～14</v>
      </c>
      <c r="AO964" s="8" t="str">
        <f aca="false">IF(A964="","",IF(COUNTIFS(全馬データ!$A$2:$A$50000,A964,全馬データ!$B$2:$B$50000,B964,全馬データ!$C$2:$C$50000,C964,全馬データ!$D$2:$D$50000,E964,全馬データ!$K$2:$K$50000,"&lt;&gt;")=0,"",SUMIFS(全馬データ!$K$2:$K$50000,全馬データ!$A$2:$A$50000,A964,全馬データ!$B$2:$B$50000,B964,全馬データ!$C$2:$C$50000,C964,全馬データ!$D$2:$D$50000,E964)))</f>
        <v/>
      </c>
      <c r="AP964" s="8" t="str">
        <f aca="false">IF(A964="","",IF(AO964="","欠損",IF(AO964&lt;=1.1,"1.0～1.1",IF(AO964&lt;1.3,"1.2",IF(AO964&lt;1.5,"1.3～1.4",IF(AO964&lt;2,"1.5～1.9","2.0以上"))))))</f>
        <v>欠損</v>
      </c>
      <c r="AQ964" s="8" t="str">
        <f aca="false">IF(A964="","",IF(ISNUMBER(SEARCH("2歳",Z964)),"2歳戦",IF(ISNUMBER(SEARCH("3歳未勝利",Z964)),"3歳未勝利",IF(ISNUMBER(SEARCH("未勝利",Z964)),"その他未勝利",IF(ISNUMBER(SEARCH("G1",Z964)),"G1",IF(ISNUMBER(SEARCH("G2",Z964)),"G2",IF(ISNUMBER(SEARCH("G3",Z964)),"G3",IF(ISNUMBER(SEARCH("古馬条件",Z964)),"古馬条件戦",IF(ISNUMBER(SEARCH("重賞",Z964)),"重賞","分類不能")))))))))</f>
        <v>分類不能</v>
      </c>
      <c r="AR964" s="8"/>
      <c r="AS964" s="8" t="s">
        <v>7626</v>
      </c>
      <c r="AT964" s="8" t="s">
        <v>7627</v>
      </c>
      <c r="AU964" s="8" t="s">
        <v>7628</v>
      </c>
      <c r="AV964" s="8" t="s">
        <v>7629</v>
      </c>
      <c r="AW964" s="8"/>
      <c r="AX964" s="8"/>
      <c r="AY964" s="8" t="s">
        <v>7610</v>
      </c>
      <c r="AZ964" s="4" t="s">
        <v>7617</v>
      </c>
      <c r="BA964" s="8" t="n">
        <v>1700</v>
      </c>
      <c r="BB964" s="8" t="s">
        <v>7618</v>
      </c>
      <c r="BC964" s="4" t="s">
        <v>7619</v>
      </c>
      <c r="BD964" s="8" t="s">
        <v>7621</v>
      </c>
      <c r="BE964" s="4" t="s">
        <v>7622</v>
      </c>
      <c r="BF964" s="8" t="s">
        <v>7602</v>
      </c>
      <c r="BG964" s="8" t="s">
        <v>7631</v>
      </c>
      <c r="BH964" s="4" t="s">
        <v>7632</v>
      </c>
      <c r="BI964" s="8" t="n">
        <v>14</v>
      </c>
      <c r="BJ964" s="8" t="s">
        <v>7602</v>
      </c>
      <c r="BK964" s="4" t="s">
        <v>7653</v>
      </c>
      <c r="BL964" s="8" t="s">
        <v>7602</v>
      </c>
      <c r="BM964" s="4" t="s">
        <v>7620</v>
      </c>
      <c r="BN964" s="8"/>
      <c r="BO964" s="8"/>
      <c r="BP964" s="8" t="s">
        <v>7608</v>
      </c>
      <c r="BQ964" s="8" t="str">
        <f aca="false">IF(A964="","",AT964)</f>
        <v>3歳以上</v>
      </c>
      <c r="BR964" s="8" t="str">
        <f aca="false">IF(A964="","",IF(BA964&lt;=1200,"～1200",IF(BA964&lt;=1500,"1300～1500",IF(BA964=1600,"1600",IF(BA964&lt;=1800,"1700～1800",IF(BA964&lt;=2000,"1900～2000","2100以上"))))))</f>
        <v>1700～1800</v>
      </c>
      <c r="BS964" s="8" t="str">
        <f aca="false">IF(A964="","",IF(AX964="G1","G1",IF(AX964="G2","G2",IF(AX964="G3","G3",IF(AX964="L","L","その他")))))</f>
        <v>その他</v>
      </c>
      <c r="BT964" s="8" t="str">
        <f aca="false">IF(A964="","",IF(BI964="","未結合",IF(D964=BI964,"一致","不一致")))</f>
        <v>一致</v>
      </c>
      <c r="BU964" s="8" t="str">
        <f aca="false">IF(A964="","",IF(BE964="牝馬限定","牝馬限定","その他"))</f>
        <v>牝馬限定</v>
      </c>
    </row>
    <row r="965" customFormat="false" ht="15.75" hidden="false" customHeight="false" outlineLevel="0" collapsed="false">
      <c r="A965" s="6" t="n">
        <f aca="false">DATE(2026,8,8)</f>
        <v>46242</v>
      </c>
      <c r="B965" s="4" t="s">
        <v>334</v>
      </c>
      <c r="C965" s="8" t="n">
        <v>10</v>
      </c>
      <c r="D965" s="8" t="n">
        <v>8</v>
      </c>
      <c r="E965" s="8" t="n">
        <v>7</v>
      </c>
      <c r="F965" s="8"/>
      <c r="G965" s="8" t="n">
        <v>58</v>
      </c>
      <c r="H965" s="8" t="n">
        <v>4</v>
      </c>
      <c r="I965" s="8"/>
      <c r="J965" s="8" t="n">
        <v>44</v>
      </c>
      <c r="K965" s="8" t="n">
        <v>8</v>
      </c>
      <c r="L965" s="4" t="s">
        <v>4742</v>
      </c>
      <c r="M965" s="8" t="n">
        <v>50</v>
      </c>
      <c r="N965" s="8" t="n">
        <f aca="false">IF(A965="","",G965-J965)</f>
        <v>14</v>
      </c>
      <c r="O965" s="8" t="n">
        <f aca="false">IF(A965="","",J965-M965)</f>
        <v>-6</v>
      </c>
      <c r="P965" s="8" t="n">
        <f aca="false">IF(A965="","",G965+J965)</f>
        <v>102</v>
      </c>
      <c r="Q965" s="8" t="str">
        <f aca="false">IF(A965="","",IF(AND(Y965&lt;&gt;"参考",G965&gt;=ルール設定!$B$2),"○",""))</f>
        <v/>
      </c>
      <c r="R965" s="8" t="str">
        <f aca="false">IF(A965="","",IF(AND(Y965&lt;&gt;"参考",G965&gt;=ルール設定!$B$3,N965&gt;=ルール設定!$B$4),"○",""))</f>
        <v/>
      </c>
      <c r="S965" s="8" t="str">
        <f aca="false">IF(A965="","",IF(AND(Y965&lt;&gt;"参考",G965&gt;=ルール設定!$B$5,J965&gt;=ルール設定!$B$6,O965&gt;=ルール設定!$B$7),"○",""))</f>
        <v/>
      </c>
      <c r="T965" s="8" t="n">
        <v>4</v>
      </c>
      <c r="U965" s="8" t="n">
        <v>4</v>
      </c>
      <c r="V965" s="8" t="str">
        <f aca="false">IF(A965="","",IF(AND(ISNUMBER(T965),ISNUMBER(U965)),IF(AND(T965&lt;=3,U965&lt;=3),"○","×"),""))</f>
        <v>×</v>
      </c>
      <c r="W965" s="8"/>
      <c r="X965" s="8"/>
      <c r="Y965" s="4" t="s">
        <v>7597</v>
      </c>
      <c r="Z965" s="8" t="s">
        <v>8111</v>
      </c>
      <c r="AA965" s="8" t="str">
        <v/>
      </c>
      <c r="AB965" s="8" t="str">
        <v/>
      </c>
      <c r="AC965" s="8" t="str">
        <v/>
      </c>
      <c r="AD965" s="8" t="str">
        <v/>
      </c>
      <c r="AE965" s="8" t="str">
        <v/>
      </c>
      <c r="AF965" s="8" t="str">
        <v/>
      </c>
      <c r="AG965" s="8" t="str">
        <v/>
      </c>
      <c r="AH965" s="8" t="str">
        <v/>
      </c>
      <c r="AI965" s="8" t="n">
        <v>8</v>
      </c>
      <c r="AJ965" s="8" t="str">
        <v>～59</v>
      </c>
      <c r="AK965" s="8" t="str">
        <v>10～19</v>
      </c>
      <c r="AL965" s="8" t="str">
        <v>0～9</v>
      </c>
      <c r="AM965" s="8" t="str">
        <v>100～119</v>
      </c>
      <c r="AN965" s="8" t="str">
        <v>8～11</v>
      </c>
      <c r="AO965" s="8" t="str">
        <f aca="false">IF(A965="","",IF(COUNTIFS(全馬データ!$A$2:$A$50000,A965,全馬データ!$B$2:$B$50000,B965,全馬データ!$C$2:$C$50000,C965,全馬データ!$D$2:$D$50000,E965,全馬データ!$K$2:$K$50000,"&lt;&gt;")=0,"",SUMIFS(全馬データ!$K$2:$K$50000,全馬データ!$A$2:$A$50000,A965,全馬データ!$B$2:$B$50000,B965,全馬データ!$C$2:$C$50000,C965,全馬データ!$D$2:$D$50000,E965)))</f>
        <v/>
      </c>
      <c r="AP965" s="8" t="str">
        <f aca="false">IF(A965="","",IF(AO965="","欠損",IF(AO965&lt;=1.1,"1.0～1.1",IF(AO965&lt;1.3,"1.2",IF(AO965&lt;1.5,"1.3～1.4",IF(AO965&lt;2,"1.5～1.9","2.0以上"))))))</f>
        <v>欠損</v>
      </c>
      <c r="AQ965" s="8" t="str">
        <f aca="false">IF(A965="","",IF(ISNUMBER(SEARCH("2歳",Z965)),"2歳戦",IF(ISNUMBER(SEARCH("3歳未勝利",Z965)),"3歳未勝利",IF(ISNUMBER(SEARCH("未勝利",Z965)),"その他未勝利",IF(ISNUMBER(SEARCH("G1",Z965)),"G1",IF(ISNUMBER(SEARCH("G2",Z965)),"G2",IF(ISNUMBER(SEARCH("G3",Z965)),"G3",IF(ISNUMBER(SEARCH("古馬条件",Z965)),"古馬条件戦",IF(ISNUMBER(SEARCH("重賞",Z965)),"重賞","分類不能")))))))))</f>
        <v>分類不能</v>
      </c>
      <c r="AR965" s="4" t="s">
        <v>8116</v>
      </c>
      <c r="AS965" s="8" t="s">
        <v>7626</v>
      </c>
      <c r="AT965" s="8" t="s">
        <v>7627</v>
      </c>
      <c r="AU965" s="8" t="s">
        <v>7634</v>
      </c>
      <c r="AV965" s="8" t="s">
        <v>7635</v>
      </c>
      <c r="AW965" s="8" t="s">
        <v>7636</v>
      </c>
      <c r="AX965" s="4" t="s">
        <v>7637</v>
      </c>
      <c r="AY965" s="8" t="s">
        <v>7602</v>
      </c>
      <c r="AZ965" s="4" t="s">
        <v>7603</v>
      </c>
      <c r="BA965" s="8" t="n">
        <v>2000</v>
      </c>
      <c r="BB965" s="8" t="s">
        <v>7659</v>
      </c>
      <c r="BC965" s="4" t="s">
        <v>7619</v>
      </c>
      <c r="BD965" s="8" t="s">
        <v>7605</v>
      </c>
      <c r="BE965" s="4" t="s">
        <v>7606</v>
      </c>
      <c r="BF965" s="8" t="s">
        <v>7607</v>
      </c>
      <c r="BG965" s="8" t="s">
        <v>7631</v>
      </c>
      <c r="BH965" s="4" t="s">
        <v>7632</v>
      </c>
      <c r="BI965" s="8" t="n">
        <v>8</v>
      </c>
      <c r="BJ965" s="8" t="s">
        <v>7602</v>
      </c>
      <c r="BK965" s="4" t="s">
        <v>7653</v>
      </c>
      <c r="BL965" s="8" t="s">
        <v>7602</v>
      </c>
      <c r="BM965" s="4" t="s">
        <v>7620</v>
      </c>
      <c r="BN965" s="8" t="s">
        <v>7602</v>
      </c>
      <c r="BO965" s="8" t="s">
        <v>7613</v>
      </c>
      <c r="BP965" s="8" t="s">
        <v>7608</v>
      </c>
      <c r="BQ965" s="8" t="str">
        <f aca="false">IF(A965="","",AT965)</f>
        <v>3歳以上</v>
      </c>
      <c r="BR965" s="8" t="str">
        <f aca="false">IF(A965="","",IF(BA965&lt;=1200,"～1200",IF(BA965&lt;=1500,"1300～1500",IF(BA965=1600,"1600",IF(BA965&lt;=1800,"1700～1800",IF(BA965&lt;=2000,"1900～2000","2100以上"))))))</f>
        <v>1900～2000</v>
      </c>
      <c r="BS965" s="8" t="str">
        <f aca="false">IF(A965="","",IF(AX965="G1","G1",IF(AX965="G2","G2",IF(AX965="G3","G3",IF(AX965="L","L","その他")))))</f>
        <v>その他</v>
      </c>
      <c r="BT965" s="8" t="str">
        <f aca="false">IF(A965="","",IF(BI965="","未結合",IF(D965=BI965,"一致","不一致")))</f>
        <v>一致</v>
      </c>
      <c r="BU965" s="8" t="str">
        <f aca="false">IF(A965="","",IF(BE965="牝馬限定","牝馬限定","その他"))</f>
        <v>その他</v>
      </c>
    </row>
    <row r="966" customFormat="false" ht="15.75" hidden="false" customHeight="false" outlineLevel="0" collapsed="false">
      <c r="A966" s="6" t="n">
        <f aca="false">DATE(2026,8,8)</f>
        <v>46242</v>
      </c>
      <c r="B966" s="4" t="s">
        <v>334</v>
      </c>
      <c r="C966" s="8" t="n">
        <v>12</v>
      </c>
      <c r="D966" s="8" t="n">
        <v>13</v>
      </c>
      <c r="E966" s="8" t="n">
        <v>11</v>
      </c>
      <c r="F966" s="4" t="s">
        <v>81</v>
      </c>
      <c r="G966" s="8" t="n">
        <v>60</v>
      </c>
      <c r="H966" s="8" t="n">
        <v>1</v>
      </c>
      <c r="I966" s="8"/>
      <c r="J966" s="8" t="n">
        <v>39</v>
      </c>
      <c r="K966" s="8" t="n">
        <v>10</v>
      </c>
      <c r="L966" s="4" t="s">
        <v>5411</v>
      </c>
      <c r="M966" s="8" t="n">
        <v>47</v>
      </c>
      <c r="N966" s="8" t="n">
        <f aca="false">IF(A966="","",G966-J966)</f>
        <v>21</v>
      </c>
      <c r="O966" s="8" t="n">
        <f aca="false">IF(A966="","",J966-M966)</f>
        <v>-8</v>
      </c>
      <c r="P966" s="8" t="n">
        <f aca="false">IF(A966="","",G966+J966)</f>
        <v>99</v>
      </c>
      <c r="Q966" s="8" t="str">
        <f aca="false">IF(A966="","",IF(AND(Y966&lt;&gt;"参考",G966&gt;=ルール設定!$B$2),"○",""))</f>
        <v/>
      </c>
      <c r="R966" s="8" t="str">
        <f aca="false">IF(A966="","",IF(AND(Y966&lt;&gt;"参考",G966&gt;=ルール設定!$B$3,N966&gt;=ルール設定!$B$4),"○",""))</f>
        <v/>
      </c>
      <c r="S966" s="8" t="str">
        <f aca="false">IF(A966="","",IF(AND(Y966&lt;&gt;"参考",G966&gt;=ルール設定!$B$5,J966&gt;=ルール設定!$B$6,O966&gt;=ルール設定!$B$7),"○",""))</f>
        <v/>
      </c>
      <c r="T966" s="8" t="n">
        <v>2</v>
      </c>
      <c r="U966" s="8" t="n">
        <v>4</v>
      </c>
      <c r="V966" s="8" t="str">
        <f aca="false">IF(A966="","",IF(AND(ISNUMBER(T966),ISNUMBER(U966)),IF(AND(T966&lt;=3,U966&lt;=3),"○","×"),""))</f>
        <v>×</v>
      </c>
      <c r="W966" s="8" t="n">
        <v>140</v>
      </c>
      <c r="X966" s="8"/>
      <c r="Y966" s="4" t="s">
        <v>7597</v>
      </c>
      <c r="Z966" s="8" t="s">
        <v>8111</v>
      </c>
      <c r="AA966" s="8" t="str">
        <v/>
      </c>
      <c r="AB966" s="8" t="str">
        <v/>
      </c>
      <c r="AC966" s="8" t="str">
        <v/>
      </c>
      <c r="AD966" s="8" t="str">
        <v/>
      </c>
      <c r="AE966" s="8" t="str">
        <v/>
      </c>
      <c r="AF966" s="8" t="str">
        <v/>
      </c>
      <c r="AG966" s="8" t="str">
        <v/>
      </c>
      <c r="AH966" s="8" t="str">
        <v/>
      </c>
      <c r="AI966" s="8" t="n">
        <v>13</v>
      </c>
      <c r="AJ966" s="8" t="str">
        <v>60～69</v>
      </c>
      <c r="AK966" s="8" t="str">
        <v>20～29</v>
      </c>
      <c r="AL966" s="8" t="str">
        <v>10～19</v>
      </c>
      <c r="AM966" s="8" t="str">
        <v>～99</v>
      </c>
      <c r="AN966" s="8" t="str">
        <v>12～14</v>
      </c>
      <c r="AO966" s="8" t="str">
        <f aca="false">IF(A966="","",IF(COUNTIFS(全馬データ!$A$2:$A$50000,A966,全馬データ!$B$2:$B$50000,B966,全馬データ!$C$2:$C$50000,C966,全馬データ!$D$2:$D$50000,E966,全馬データ!$K$2:$K$50000,"&lt;&gt;")=0,"",SUMIFS(全馬データ!$K$2:$K$50000,全馬データ!$A$2:$A$50000,A966,全馬データ!$B$2:$B$50000,B966,全馬データ!$C$2:$C$50000,C966,全馬データ!$D$2:$D$50000,E966)))</f>
        <v/>
      </c>
      <c r="AP966" s="8" t="str">
        <f aca="false">IF(A966="","",IF(AO966="","欠損",IF(AO966&lt;=1.1,"1.0～1.1",IF(AO966&lt;1.3,"1.2",IF(AO966&lt;1.5,"1.3～1.4",IF(AO966&lt;2,"1.5～1.9","2.0以上"))))))</f>
        <v>欠損</v>
      </c>
      <c r="AQ966" s="8" t="str">
        <f aca="false">IF(A966="","",IF(ISNUMBER(SEARCH("2歳",Z966)),"2歳戦",IF(ISNUMBER(SEARCH("3歳未勝利",Z966)),"3歳未勝利",IF(ISNUMBER(SEARCH("未勝利",Z966)),"その他未勝利",IF(ISNUMBER(SEARCH("G1",Z966)),"G1",IF(ISNUMBER(SEARCH("G2",Z966)),"G2",IF(ISNUMBER(SEARCH("G3",Z966)),"G3",IF(ISNUMBER(SEARCH("古馬条件",Z966)),"古馬条件戦",IF(ISNUMBER(SEARCH("重賞",Z966)),"重賞","分類不能")))))))))</f>
        <v>分類不能</v>
      </c>
      <c r="AR966" s="4" t="s">
        <v>8117</v>
      </c>
      <c r="AS966" s="8" t="s">
        <v>7626</v>
      </c>
      <c r="AT966" s="8" t="s">
        <v>7627</v>
      </c>
      <c r="AU966" s="8" t="s">
        <v>7634</v>
      </c>
      <c r="AV966" s="8" t="s">
        <v>7635</v>
      </c>
      <c r="AW966" s="8" t="s">
        <v>7636</v>
      </c>
      <c r="AX966" s="4" t="s">
        <v>7637</v>
      </c>
      <c r="AY966" s="8" t="s">
        <v>7602</v>
      </c>
      <c r="AZ966" s="4" t="s">
        <v>7603</v>
      </c>
      <c r="BA966" s="8" t="n">
        <v>1500</v>
      </c>
      <c r="BB966" s="8" t="s">
        <v>7659</v>
      </c>
      <c r="BC966" s="4" t="s">
        <v>7619</v>
      </c>
      <c r="BD966" s="8" t="s">
        <v>7630</v>
      </c>
      <c r="BE966" s="4" t="s">
        <v>7606</v>
      </c>
      <c r="BF966" s="8" t="s">
        <v>7607</v>
      </c>
      <c r="BG966" s="8" t="s">
        <v>7631</v>
      </c>
      <c r="BH966" s="4" t="s">
        <v>7632</v>
      </c>
      <c r="BI966" s="8" t="n">
        <v>13</v>
      </c>
      <c r="BJ966" s="8" t="s">
        <v>7602</v>
      </c>
      <c r="BK966" s="4" t="s">
        <v>7653</v>
      </c>
      <c r="BL966" s="8" t="s">
        <v>7602</v>
      </c>
      <c r="BM966" s="4" t="s">
        <v>7620</v>
      </c>
      <c r="BN966" s="8" t="s">
        <v>7602</v>
      </c>
      <c r="BO966" s="8" t="s">
        <v>7613</v>
      </c>
      <c r="BP966" s="8" t="s">
        <v>7608</v>
      </c>
      <c r="BQ966" s="8" t="str">
        <f aca="false">IF(A966="","",AT966)</f>
        <v>3歳以上</v>
      </c>
      <c r="BR966" s="8" t="str">
        <f aca="false">IF(A966="","",IF(BA966&lt;=1200,"～1200",IF(BA966&lt;=1500,"1300～1500",IF(BA966=1600,"1600",IF(BA966&lt;=1800,"1700～1800",IF(BA966&lt;=2000,"1900～2000","2100以上"))))))</f>
        <v>1300～1500</v>
      </c>
      <c r="BS966" s="8" t="str">
        <f aca="false">IF(A966="","",IF(AX966="G1","G1",IF(AX966="G2","G2",IF(AX966="G3","G3",IF(AX966="L","L","その他")))))</f>
        <v>その他</v>
      </c>
      <c r="BT966" s="8" t="str">
        <f aca="false">IF(A966="","",IF(BI966="","未結合",IF(D966=BI966,"一致","不一致")))</f>
        <v>一致</v>
      </c>
      <c r="BU966" s="8" t="str">
        <f aca="false">IF(A966="","",IF(BE966="牝馬限定","牝馬限定","その他"))</f>
        <v>その他</v>
      </c>
    </row>
    <row r="967" customFormat="false" ht="15.75" hidden="false" customHeight="false" outlineLevel="0" collapsed="false">
      <c r="A967" s="6" t="n">
        <f aca="false">DATE(2026,8,9)</f>
        <v>46243</v>
      </c>
      <c r="B967" s="4" t="s">
        <v>179</v>
      </c>
      <c r="C967" s="8" t="n">
        <v>1</v>
      </c>
      <c r="D967" s="8" t="n">
        <v>16</v>
      </c>
      <c r="E967" s="8" t="n">
        <v>3</v>
      </c>
      <c r="F967" s="8"/>
      <c r="G967" s="8" t="n">
        <v>66</v>
      </c>
      <c r="H967" s="8" t="n">
        <v>9</v>
      </c>
      <c r="I967" s="8"/>
      <c r="J967" s="8" t="n">
        <v>29</v>
      </c>
      <c r="K967" s="8" t="n">
        <v>14</v>
      </c>
      <c r="L967" s="4" t="s">
        <v>213</v>
      </c>
      <c r="M967" s="8" t="n">
        <v>29</v>
      </c>
      <c r="N967" s="8" t="n">
        <f aca="false">IF(A967="","",G967-J967)</f>
        <v>37</v>
      </c>
      <c r="O967" s="8" t="n">
        <f aca="false">IF(A967="","",J967-M967)</f>
        <v>0</v>
      </c>
      <c r="P967" s="8" t="n">
        <f aca="false">IF(A967="","",G967+J967)</f>
        <v>95</v>
      </c>
      <c r="Q967" s="8" t="str">
        <f aca="false">IF(A967="","",IF(AND(Y967&lt;&gt;"参考",G967&gt;=ルール設定!$B$2),"○",""))</f>
        <v/>
      </c>
      <c r="R967" s="8" t="str">
        <f aca="false">IF(A967="","",IF(AND(Y967&lt;&gt;"参考",G967&gt;=ルール設定!$B$3,N967&gt;=ルール設定!$B$4),"○",""))</f>
        <v/>
      </c>
      <c r="S967" s="8" t="str">
        <f aca="false">IF(A967="","",IF(AND(Y967&lt;&gt;"参考",G967&gt;=ルール設定!$B$5,J967&gt;=ルール設定!$B$6,O967&gt;=ルール設定!$B$7),"○",""))</f>
        <v/>
      </c>
      <c r="T967" s="8" t="n">
        <v>4</v>
      </c>
      <c r="U967" s="8" t="n">
        <v>4</v>
      </c>
      <c r="V967" s="8" t="str">
        <f aca="false">IF(A967="","",IF(AND(ISNUMBER(T967),ISNUMBER(U967)),IF(AND(T967&lt;=3,U967&lt;=3),"○","×"),""))</f>
        <v>×</v>
      </c>
      <c r="W967" s="8"/>
      <c r="X967" s="8"/>
      <c r="Y967" s="4" t="s">
        <v>7597</v>
      </c>
      <c r="Z967" s="8" t="s">
        <v>8111</v>
      </c>
      <c r="AA967" s="8" t="str">
        <v/>
      </c>
      <c r="AB967" s="8" t="str">
        <v/>
      </c>
      <c r="AC967" s="8" t="str">
        <v/>
      </c>
      <c r="AD967" s="8" t="str">
        <v/>
      </c>
      <c r="AE967" s="8" t="str">
        <v/>
      </c>
      <c r="AF967" s="8" t="str">
        <v/>
      </c>
      <c r="AG967" s="8" t="str">
        <v/>
      </c>
      <c r="AH967" s="8" t="str">
        <v/>
      </c>
      <c r="AI967" s="8" t="n">
        <v>37</v>
      </c>
      <c r="AJ967" s="8" t="str">
        <v>60～69</v>
      </c>
      <c r="AK967" s="8" t="str">
        <v>30以上</v>
      </c>
      <c r="AL967" s="8" t="str">
        <v>30～39</v>
      </c>
      <c r="AM967" s="8" t="str">
        <v>～99</v>
      </c>
      <c r="AN967" s="8" t="str">
        <v>15以上</v>
      </c>
      <c r="AO967" s="8" t="str">
        <f aca="false">IF(A967="","",IF(COUNTIFS(全馬データ!$A$2:$A$50000,A967,全馬データ!$B$2:$B$50000,B967,全馬データ!$C$2:$C$50000,C967,全馬データ!$D$2:$D$50000,E967,全馬データ!$K$2:$K$50000,"&lt;&gt;")=0,"",SUMIFS(全馬データ!$K$2:$K$50000,全馬データ!$A$2:$A$50000,A967,全馬データ!$B$2:$B$50000,B967,全馬データ!$C$2:$C$50000,C967,全馬データ!$D$2:$D$50000,E967)))</f>
        <v/>
      </c>
      <c r="AP967" s="8" t="str">
        <f aca="false">IF(A967="","",IF(AO967="","欠損",IF(AO967&lt;=1.1,"1.0～1.1",IF(AO967&lt;1.3,"1.2",IF(AO967&lt;1.5,"1.3～1.4",IF(AO967&lt;2,"1.5～1.9","2.0以上"))))))</f>
        <v>欠損</v>
      </c>
      <c r="AQ967" s="8" t="str">
        <f aca="false">IF(A967="","",IF(ISNUMBER(SEARCH("2歳",Z967)),"2歳戦",IF(ISNUMBER(SEARCH("3歳未勝利",Z967)),"3歳未勝利",IF(ISNUMBER(SEARCH("未勝利",Z967)),"その他未勝利",IF(ISNUMBER(SEARCH("G1",Z967)),"G1",IF(ISNUMBER(SEARCH("G2",Z967)),"G2",IF(ISNUMBER(SEARCH("G3",Z967)),"G3",IF(ISNUMBER(SEARCH("古馬条件",Z967)),"古馬条件戦",IF(ISNUMBER(SEARCH("重賞",Z967)),"重賞","分類不能")))))))))</f>
        <v>分類不能</v>
      </c>
      <c r="AR967" s="8"/>
      <c r="AS967" s="8" t="s">
        <v>7623</v>
      </c>
      <c r="AT967" s="8" t="s">
        <v>7624</v>
      </c>
      <c r="AU967" s="8" t="s">
        <v>7600</v>
      </c>
      <c r="AV967" s="4" t="s">
        <v>7601</v>
      </c>
      <c r="AW967" s="8"/>
      <c r="AX967" s="8"/>
      <c r="AY967" s="8" t="s">
        <v>7602</v>
      </c>
      <c r="AZ967" s="4" t="s">
        <v>7603</v>
      </c>
      <c r="BA967" s="8" t="n">
        <v>2000</v>
      </c>
      <c r="BB967" s="8" t="s">
        <v>7598</v>
      </c>
      <c r="BC967" s="4" t="s">
        <v>7604</v>
      </c>
      <c r="BD967" s="8" t="s">
        <v>7625</v>
      </c>
      <c r="BE967" s="4" t="s">
        <v>7606</v>
      </c>
      <c r="BF967" s="8" t="s">
        <v>7607</v>
      </c>
      <c r="BG967" s="8" t="s">
        <v>7608</v>
      </c>
      <c r="BH967" s="4" t="s">
        <v>7609</v>
      </c>
      <c r="BI967" s="8" t="n">
        <v>16</v>
      </c>
      <c r="BJ967" s="8" t="s">
        <v>7610</v>
      </c>
      <c r="BK967" s="4" t="s">
        <v>7611</v>
      </c>
      <c r="BL967" s="8" t="s">
        <v>7602</v>
      </c>
      <c r="BM967" s="4" t="s">
        <v>7620</v>
      </c>
      <c r="BN967" s="8" t="s">
        <v>7602</v>
      </c>
      <c r="BO967" s="8" t="s">
        <v>7613</v>
      </c>
      <c r="BP967" s="8" t="s">
        <v>7610</v>
      </c>
      <c r="BQ967" s="8" t="str">
        <f aca="false">IF(A967="","",AT967)</f>
        <v>3歳</v>
      </c>
      <c r="BR967" s="8" t="str">
        <f aca="false">IF(A967="","",IF(BA967&lt;=1200,"～1200",IF(BA967&lt;=1500,"1300～1500",IF(BA967=1600,"1600",IF(BA967&lt;=1800,"1700～1800",IF(BA967&lt;=2000,"1900～2000","2100以上"))))))</f>
        <v>1900～2000</v>
      </c>
      <c r="BS967" s="8" t="str">
        <f aca="false">IF(A967="","",IF(AX967="G1","G1",IF(AX967="G2","G2",IF(AX967="G3","G3",IF(AX967="L","L","その他")))))</f>
        <v>その他</v>
      </c>
      <c r="BT967" s="8" t="str">
        <f aca="false">IF(A967="","",IF(BI967="","未結合",IF(D967=BI967,"一致","不一致")))</f>
        <v>一致</v>
      </c>
      <c r="BU967" s="8" t="str">
        <f aca="false">IF(A967="","",IF(BE967="牝馬限定","牝馬限定","その他"))</f>
        <v>その他</v>
      </c>
    </row>
    <row r="968" customFormat="false" ht="15.75" hidden="false" customHeight="false" outlineLevel="0" collapsed="false">
      <c r="A968" s="6" t="n">
        <f aca="false">DATE(2026,8,9)</f>
        <v>46243</v>
      </c>
      <c r="B968" s="4" t="s">
        <v>179</v>
      </c>
      <c r="C968" s="8" t="n">
        <v>2</v>
      </c>
      <c r="D968" s="8" t="n">
        <v>9</v>
      </c>
      <c r="E968" s="8" t="n">
        <v>2</v>
      </c>
      <c r="F968" s="4" t="s">
        <v>6905</v>
      </c>
      <c r="G968" s="8" t="n">
        <v>37</v>
      </c>
      <c r="H968" s="8" t="n">
        <v>6</v>
      </c>
      <c r="I968" s="8"/>
      <c r="J968" s="8" t="n">
        <v>31</v>
      </c>
      <c r="K968" s="8" t="n">
        <v>9</v>
      </c>
      <c r="L968" s="8"/>
      <c r="M968" s="8" t="n">
        <v>31</v>
      </c>
      <c r="N968" s="8" t="n">
        <f aca="false">IF(A968="","",G968-J968)</f>
        <v>6</v>
      </c>
      <c r="O968" s="8" t="n">
        <f aca="false">IF(A968="","",J968-M968)</f>
        <v>0</v>
      </c>
      <c r="P968" s="8" t="n">
        <f aca="false">IF(A968="","",G968+J968)</f>
        <v>68</v>
      </c>
      <c r="Q968" s="8" t="str">
        <f aca="false">IF(A968="","",IF(AND(Y968&lt;&gt;"参考",G968&gt;=ルール設定!$B$2),"○",""))</f>
        <v/>
      </c>
      <c r="R968" s="8" t="str">
        <f aca="false">IF(A968="","",IF(AND(Y968&lt;&gt;"参考",G968&gt;=ルール設定!$B$3,N968&gt;=ルール設定!$B$4),"○",""))</f>
        <v/>
      </c>
      <c r="S968" s="8" t="str">
        <f aca="false">IF(A968="","",IF(AND(Y968&lt;&gt;"参考",G968&gt;=ルール設定!$B$5,J968&gt;=ルール設定!$B$6,O968&gt;=ルール設定!$B$7),"○",""))</f>
        <v/>
      </c>
      <c r="T968" s="8" t="n">
        <v>1</v>
      </c>
      <c r="U968" s="8" t="n">
        <v>4</v>
      </c>
      <c r="V968" s="8" t="str">
        <f aca="false">IF(A968="","",IF(AND(ISNUMBER(T968),ISNUMBER(U968)),IF(AND(T968&lt;=3,U968&lt;=3),"○","×"),""))</f>
        <v>×</v>
      </c>
      <c r="W968" s="8" t="n">
        <v>120</v>
      </c>
      <c r="X968" s="8"/>
      <c r="Y968" s="4" t="s">
        <v>7597</v>
      </c>
      <c r="Z968" s="8" t="s">
        <v>8111</v>
      </c>
      <c r="AA968" s="8" t="str">
        <v/>
      </c>
      <c r="AB968" s="8" t="str">
        <v/>
      </c>
      <c r="AC968" s="8" t="str">
        <v/>
      </c>
      <c r="AD968" s="8" t="str">
        <v/>
      </c>
      <c r="AE968" s="8" t="str">
        <v/>
      </c>
      <c r="AF968" s="8" t="str">
        <v/>
      </c>
      <c r="AG968" s="8" t="str">
        <v/>
      </c>
      <c r="AH968" s="8" t="str">
        <v/>
      </c>
      <c r="AI968" s="8" t="n">
        <v>6</v>
      </c>
      <c r="AJ968" s="8" t="str">
        <v>～59</v>
      </c>
      <c r="AK968" s="8" t="str">
        <v>5～9</v>
      </c>
      <c r="AL968" s="8" t="str">
        <v>0～9</v>
      </c>
      <c r="AM968" s="8" t="str">
        <v>～99</v>
      </c>
      <c r="AN968" s="8" t="str">
        <v>8～11</v>
      </c>
      <c r="AO968" s="8" t="str">
        <f aca="false">IF(A968="","",IF(COUNTIFS(全馬データ!$A$2:$A$50000,A968,全馬データ!$B$2:$B$50000,B968,全馬データ!$C$2:$C$50000,C968,全馬データ!$D$2:$D$50000,E968,全馬データ!$K$2:$K$50000,"&lt;&gt;")=0,"",SUMIFS(全馬データ!$K$2:$K$50000,全馬データ!$A$2:$A$50000,A968,全馬データ!$B$2:$B$50000,B968,全馬データ!$C$2:$C$50000,C968,全馬データ!$D$2:$D$50000,E968)))</f>
        <v/>
      </c>
      <c r="AP968" s="8" t="str">
        <f aca="false">IF(A968="","",IF(AO968="","欠損",IF(AO968&lt;=1.1,"1.0～1.1",IF(AO968&lt;1.3,"1.2",IF(AO968&lt;1.5,"1.3～1.4",IF(AO968&lt;2,"1.5～1.9","2.0以上"))))))</f>
        <v>欠損</v>
      </c>
      <c r="AQ968" s="8" t="str">
        <f aca="false">IF(A968="","",IF(ISNUMBER(SEARCH("2歳",Z968)),"2歳戦",IF(ISNUMBER(SEARCH("3歳未勝利",Z968)),"3歳未勝利",IF(ISNUMBER(SEARCH("未勝利",Z968)),"その他未勝利",IF(ISNUMBER(SEARCH("G1",Z968)),"G1",IF(ISNUMBER(SEARCH("G2",Z968)),"G2",IF(ISNUMBER(SEARCH("G3",Z968)),"G3",IF(ISNUMBER(SEARCH("古馬条件",Z968)),"古馬条件戦",IF(ISNUMBER(SEARCH("重賞",Z968)),"重賞","分類不能")))))))))</f>
        <v>分類不能</v>
      </c>
      <c r="AR968" s="8"/>
      <c r="AS968" s="8" t="s">
        <v>7598</v>
      </c>
      <c r="AT968" s="8" t="s">
        <v>7599</v>
      </c>
      <c r="AU968" s="8" t="s">
        <v>7615</v>
      </c>
      <c r="AV968" s="4" t="s">
        <v>7616</v>
      </c>
      <c r="AW968" s="8"/>
      <c r="AX968" s="8"/>
      <c r="AY968" s="8" t="s">
        <v>7602</v>
      </c>
      <c r="AZ968" s="4" t="s">
        <v>7603</v>
      </c>
      <c r="BA968" s="8" t="n">
        <v>1600</v>
      </c>
      <c r="BB968" s="8" t="s">
        <v>7598</v>
      </c>
      <c r="BC968" s="4" t="s">
        <v>7604</v>
      </c>
      <c r="BD968" s="8" t="s">
        <v>7621</v>
      </c>
      <c r="BE968" s="4" t="s">
        <v>7622</v>
      </c>
      <c r="BF968" s="8" t="s">
        <v>7602</v>
      </c>
      <c r="BG968" s="8" t="s">
        <v>7608</v>
      </c>
      <c r="BH968" s="4" t="s">
        <v>7609</v>
      </c>
      <c r="BI968" s="8" t="n">
        <v>9</v>
      </c>
      <c r="BJ968" s="8" t="s">
        <v>7610</v>
      </c>
      <c r="BK968" s="4" t="s">
        <v>7611</v>
      </c>
      <c r="BL968" s="8" t="s">
        <v>7602</v>
      </c>
      <c r="BM968" s="4" t="s">
        <v>7620</v>
      </c>
      <c r="BN968" s="8" t="s">
        <v>7602</v>
      </c>
      <c r="BO968" s="8" t="s">
        <v>7613</v>
      </c>
      <c r="BP968" s="8" t="s">
        <v>7610</v>
      </c>
      <c r="BQ968" s="8" t="str">
        <f aca="false">IF(A968="","",AT968)</f>
        <v>2歳</v>
      </c>
      <c r="BR968" s="8" t="str">
        <f aca="false">IF(A968="","",IF(BA968&lt;=1200,"～1200",IF(BA968&lt;=1500,"1300～1500",IF(BA968=1600,"1600",IF(BA968&lt;=1800,"1700～1800",IF(BA968&lt;=2000,"1900～2000","2100以上"))))))</f>
        <v>1600</v>
      </c>
      <c r="BS968" s="8" t="str">
        <f aca="false">IF(A968="","",IF(AX968="G1","G1",IF(AX968="G2","G2",IF(AX968="G3","G3",IF(AX968="L","L","その他")))))</f>
        <v>その他</v>
      </c>
      <c r="BT968" s="8" t="str">
        <f aca="false">IF(A968="","",IF(BI968="","未結合",IF(D968=BI968,"一致","不一致")))</f>
        <v>一致</v>
      </c>
      <c r="BU968" s="8" t="str">
        <f aca="false">IF(A968="","",IF(BE968="牝馬限定","牝馬限定","その他"))</f>
        <v>牝馬限定</v>
      </c>
    </row>
    <row r="969" customFormat="false" ht="15.75" hidden="false" customHeight="false" outlineLevel="0" collapsed="false">
      <c r="A969" s="6" t="n">
        <f aca="false">DATE(2026,8,9)</f>
        <v>46243</v>
      </c>
      <c r="B969" s="4" t="s">
        <v>179</v>
      </c>
      <c r="C969" s="8" t="n">
        <v>3</v>
      </c>
      <c r="D969" s="8" t="n">
        <v>8</v>
      </c>
      <c r="E969" s="8" t="n">
        <v>2</v>
      </c>
      <c r="F969" s="4" t="s">
        <v>6908</v>
      </c>
      <c r="G969" s="8" t="n">
        <v>37</v>
      </c>
      <c r="H969" s="8" t="n">
        <v>3</v>
      </c>
      <c r="I969" s="8"/>
      <c r="J969" s="8" t="n">
        <v>24</v>
      </c>
      <c r="K969" s="8" t="n">
        <v>7</v>
      </c>
      <c r="L969" s="4" t="s">
        <v>6909</v>
      </c>
      <c r="M969" s="8" t="n">
        <v>24</v>
      </c>
      <c r="N969" s="8" t="n">
        <f aca="false">IF(A969="","",G969-J969)</f>
        <v>13</v>
      </c>
      <c r="O969" s="8" t="n">
        <f aca="false">IF(A969="","",J969-M969)</f>
        <v>0</v>
      </c>
      <c r="P969" s="8" t="n">
        <f aca="false">IF(A969="","",G969+J969)</f>
        <v>61</v>
      </c>
      <c r="Q969" s="8" t="str">
        <f aca="false">IF(A969="","",IF(AND(Y969&lt;&gt;"参考",G969&gt;=ルール設定!$B$2),"○",""))</f>
        <v/>
      </c>
      <c r="R969" s="8" t="str">
        <f aca="false">IF(A969="","",IF(AND(Y969&lt;&gt;"参考",G969&gt;=ルール設定!$B$3,N969&gt;=ルール設定!$B$4),"○",""))</f>
        <v/>
      </c>
      <c r="S969" s="8" t="str">
        <f aca="false">IF(A969="","",IF(AND(Y969&lt;&gt;"参考",G969&gt;=ルール設定!$B$5,J969&gt;=ルール設定!$B$6,O969&gt;=ルール設定!$B$7),"○",""))</f>
        <v/>
      </c>
      <c r="T969" s="8" t="n">
        <v>2</v>
      </c>
      <c r="U969" s="8" t="n">
        <v>4</v>
      </c>
      <c r="V969" s="8" t="str">
        <f aca="false">IF(A969="","",IF(AND(ISNUMBER(T969),ISNUMBER(U969)),IF(AND(T969&lt;=3,U969&lt;=3),"○","×"),""))</f>
        <v>×</v>
      </c>
      <c r="W969" s="8" t="n">
        <v>100</v>
      </c>
      <c r="X969" s="8"/>
      <c r="Y969" s="4" t="s">
        <v>7597</v>
      </c>
      <c r="Z969" s="8" t="s">
        <v>8111</v>
      </c>
      <c r="AA969" s="8" t="str">
        <v/>
      </c>
      <c r="AB969" s="8" t="str">
        <v/>
      </c>
      <c r="AC969" s="8" t="str">
        <v/>
      </c>
      <c r="AD969" s="8" t="str">
        <v/>
      </c>
      <c r="AE969" s="8" t="str">
        <v/>
      </c>
      <c r="AF969" s="8" t="str">
        <v/>
      </c>
      <c r="AG969" s="8" t="str">
        <v/>
      </c>
      <c r="AH969" s="8" t="str">
        <v/>
      </c>
      <c r="AI969" s="8" t="n">
        <v>13</v>
      </c>
      <c r="AJ969" s="8" t="str">
        <v>～59</v>
      </c>
      <c r="AK969" s="8" t="str">
        <v>10～19</v>
      </c>
      <c r="AL969" s="8" t="str">
        <v>10～19</v>
      </c>
      <c r="AM969" s="8" t="str">
        <v>～99</v>
      </c>
      <c r="AN969" s="8" t="str">
        <v>8～11</v>
      </c>
      <c r="AO969" s="8" t="str">
        <f aca="false">IF(A969="","",IF(COUNTIFS(全馬データ!$A$2:$A$50000,A969,全馬データ!$B$2:$B$50000,B969,全馬データ!$C$2:$C$50000,C969,全馬データ!$D$2:$D$50000,E969,全馬データ!$K$2:$K$50000,"&lt;&gt;")=0,"",SUMIFS(全馬データ!$K$2:$K$50000,全馬データ!$A$2:$A$50000,A969,全馬データ!$B$2:$B$50000,B969,全馬データ!$C$2:$C$50000,C969,全馬データ!$D$2:$D$50000,E969)))</f>
        <v/>
      </c>
      <c r="AP969" s="8" t="str">
        <f aca="false">IF(A969="","",IF(AO969="","欠損",IF(AO969&lt;=1.1,"1.0～1.1",IF(AO969&lt;1.3,"1.2",IF(AO969&lt;1.5,"1.3～1.4",IF(AO969&lt;2,"1.5～1.9","2.0以上"))))))</f>
        <v>欠損</v>
      </c>
      <c r="AQ969" s="8" t="str">
        <f aca="false">IF(A969="","",IF(ISNUMBER(SEARCH("2歳",Z969)),"2歳戦",IF(ISNUMBER(SEARCH("3歳未勝利",Z969)),"3歳未勝利",IF(ISNUMBER(SEARCH("未勝利",Z969)),"その他未勝利",IF(ISNUMBER(SEARCH("G1",Z969)),"G1",IF(ISNUMBER(SEARCH("G2",Z969)),"G2",IF(ISNUMBER(SEARCH("G3",Z969)),"G3",IF(ISNUMBER(SEARCH("古馬条件",Z969)),"古馬条件戦",IF(ISNUMBER(SEARCH("重賞",Z969)),"重賞","分類不能")))))))))</f>
        <v>分類不能</v>
      </c>
      <c r="AR969" s="8"/>
      <c r="AS969" s="8" t="s">
        <v>7598</v>
      </c>
      <c r="AT969" s="8" t="s">
        <v>7599</v>
      </c>
      <c r="AU969" s="8" t="s">
        <v>7615</v>
      </c>
      <c r="AV969" s="4" t="s">
        <v>7616</v>
      </c>
      <c r="AW969" s="8"/>
      <c r="AX969" s="8"/>
      <c r="AY969" s="8" t="s">
        <v>7602</v>
      </c>
      <c r="AZ969" s="4" t="s">
        <v>7603</v>
      </c>
      <c r="BA969" s="8" t="n">
        <v>2000</v>
      </c>
      <c r="BB969" s="8" t="s">
        <v>7598</v>
      </c>
      <c r="BC969" s="4" t="s">
        <v>7604</v>
      </c>
      <c r="BD969" s="8" t="s">
        <v>7605</v>
      </c>
      <c r="BE969" s="4" t="s">
        <v>7606</v>
      </c>
      <c r="BF969" s="8" t="s">
        <v>7607</v>
      </c>
      <c r="BG969" s="8" t="s">
        <v>7608</v>
      </c>
      <c r="BH969" s="4" t="s">
        <v>7609</v>
      </c>
      <c r="BI969" s="8" t="n">
        <v>8</v>
      </c>
      <c r="BJ969" s="8" t="s">
        <v>7610</v>
      </c>
      <c r="BK969" s="4" t="s">
        <v>7611</v>
      </c>
      <c r="BL969" s="8" t="s">
        <v>7602</v>
      </c>
      <c r="BM969" s="4" t="s">
        <v>7620</v>
      </c>
      <c r="BN969" s="8" t="s">
        <v>7602</v>
      </c>
      <c r="BO969" s="8" t="s">
        <v>7613</v>
      </c>
      <c r="BP969" s="8" t="s">
        <v>7610</v>
      </c>
      <c r="BQ969" s="8" t="str">
        <f aca="false">IF(A969="","",AT969)</f>
        <v>2歳</v>
      </c>
      <c r="BR969" s="8" t="str">
        <f aca="false">IF(A969="","",IF(BA969&lt;=1200,"～1200",IF(BA969&lt;=1500,"1300～1500",IF(BA969=1600,"1600",IF(BA969&lt;=1800,"1700～1800",IF(BA969&lt;=2000,"1900～2000","2100以上"))))))</f>
        <v>1900～2000</v>
      </c>
      <c r="BS969" s="8" t="str">
        <f aca="false">IF(A969="","",IF(AX969="G1","G1",IF(AX969="G2","G2",IF(AX969="G3","G3",IF(AX969="L","L","その他")))))</f>
        <v>その他</v>
      </c>
      <c r="BT969" s="8" t="str">
        <f aca="false">IF(A969="","",IF(BI969="","未結合",IF(D969=BI969,"一致","不一致")))</f>
        <v>一致</v>
      </c>
      <c r="BU969" s="8" t="str">
        <f aca="false">IF(A969="","",IF(BE969="牝馬限定","牝馬限定","その他"))</f>
        <v>その他</v>
      </c>
    </row>
    <row r="970" customFormat="false" ht="15.75" hidden="false" customHeight="false" outlineLevel="0" collapsed="false">
      <c r="A970" s="6" t="n">
        <f aca="false">DATE(2026,8,9)</f>
        <v>46243</v>
      </c>
      <c r="B970" s="4" t="s">
        <v>179</v>
      </c>
      <c r="C970" s="8" t="n">
        <v>4</v>
      </c>
      <c r="D970" s="8" t="n">
        <v>16</v>
      </c>
      <c r="E970" s="8" t="n">
        <v>4</v>
      </c>
      <c r="F970" s="8"/>
      <c r="G970" s="8" t="n">
        <v>75</v>
      </c>
      <c r="H970" s="8" t="n">
        <v>13</v>
      </c>
      <c r="I970" s="4" t="s">
        <v>6911</v>
      </c>
      <c r="J970" s="8" t="n">
        <v>66</v>
      </c>
      <c r="K970" s="8" t="n">
        <v>6</v>
      </c>
      <c r="L970" s="4" t="s">
        <v>1610</v>
      </c>
      <c r="M970" s="8" t="n">
        <v>71</v>
      </c>
      <c r="N970" s="8" t="n">
        <f aca="false">IF(A970="","",G970-J970)</f>
        <v>9</v>
      </c>
      <c r="O970" s="8" t="n">
        <f aca="false">IF(A970="","",J970-M970)</f>
        <v>-5</v>
      </c>
      <c r="P970" s="8" t="n">
        <f aca="false">IF(A970="","",G970+J970)</f>
        <v>141</v>
      </c>
      <c r="Q970" s="8" t="str">
        <f aca="false">IF(A970="","",IF(AND(Y970&lt;&gt;"参考",G970&gt;=ルール設定!$B$2),"○",""))</f>
        <v/>
      </c>
      <c r="R970" s="8" t="str">
        <f aca="false">IF(A970="","",IF(AND(Y970&lt;&gt;"参考",G970&gt;=ルール設定!$B$3,N970&gt;=ルール設定!$B$4),"○",""))</f>
        <v/>
      </c>
      <c r="S970" s="8" t="str">
        <f aca="false">IF(A970="","",IF(AND(Y970&lt;&gt;"参考",G970&gt;=ルール設定!$B$5,J970&gt;=ルール設定!$B$6,O970&gt;=ルール設定!$B$7),"○",""))</f>
        <v/>
      </c>
      <c r="T970" s="8" t="n">
        <v>4</v>
      </c>
      <c r="U970" s="8" t="n">
        <v>1</v>
      </c>
      <c r="V970" s="8" t="str">
        <f aca="false">IF(A970="","",IF(AND(ISNUMBER(T970),ISNUMBER(U970)),IF(AND(T970&lt;=3,U970&lt;=3),"○","×"),""))</f>
        <v>×</v>
      </c>
      <c r="W970" s="8"/>
      <c r="X970" s="8"/>
      <c r="Y970" s="4" t="s">
        <v>7597</v>
      </c>
      <c r="Z970" s="8" t="s">
        <v>8111</v>
      </c>
      <c r="AA970" s="8" t="str">
        <v/>
      </c>
      <c r="AB970" s="8" t="str">
        <v/>
      </c>
      <c r="AC970" s="8" t="str">
        <v/>
      </c>
      <c r="AD970" s="8" t="str">
        <v/>
      </c>
      <c r="AE970" s="8" t="str">
        <v/>
      </c>
      <c r="AF970" s="8" t="str">
        <v/>
      </c>
      <c r="AG970" s="8" t="str">
        <v/>
      </c>
      <c r="AH970" s="8" t="str">
        <v/>
      </c>
      <c r="AI970" s="8" t="n">
        <v>4</v>
      </c>
      <c r="AJ970" s="8" t="str">
        <v>75～79</v>
      </c>
      <c r="AK970" s="8" t="str">
        <v>5～9</v>
      </c>
      <c r="AL970" s="8" t="str">
        <v>0～9</v>
      </c>
      <c r="AM970" s="8" t="str">
        <v>140～159</v>
      </c>
      <c r="AN970" s="8" t="str">
        <v>15以上</v>
      </c>
      <c r="AO970" s="8" t="str">
        <f aca="false">IF(A970="","",IF(COUNTIFS(全馬データ!$A$2:$A$50000,A970,全馬データ!$B$2:$B$50000,B970,全馬データ!$C$2:$C$50000,C970,全馬データ!$D$2:$D$50000,E970,全馬データ!$K$2:$K$50000,"&lt;&gt;")=0,"",SUMIFS(全馬データ!$K$2:$K$50000,全馬データ!$A$2:$A$50000,A970,全馬データ!$B$2:$B$50000,B970,全馬データ!$C$2:$C$50000,C970,全馬データ!$D$2:$D$50000,E970)))</f>
        <v/>
      </c>
      <c r="AP970" s="8" t="str">
        <f aca="false">IF(A970="","",IF(AO970="","欠損",IF(AO970&lt;=1.1,"1.0～1.1",IF(AO970&lt;1.3,"1.2",IF(AO970&lt;1.5,"1.3～1.4",IF(AO970&lt;2,"1.5～1.9","2.0以上"))))))</f>
        <v>欠損</v>
      </c>
      <c r="AQ970" s="8" t="str">
        <f aca="false">IF(A970="","",IF(ISNUMBER(SEARCH("2歳",Z970)),"2歳戦",IF(ISNUMBER(SEARCH("3歳未勝利",Z970)),"3歳未勝利",IF(ISNUMBER(SEARCH("未勝利",Z970)),"その他未勝利",IF(ISNUMBER(SEARCH("G1",Z970)),"G1",IF(ISNUMBER(SEARCH("G2",Z970)),"G2",IF(ISNUMBER(SEARCH("G3",Z970)),"G3",IF(ISNUMBER(SEARCH("古馬条件",Z970)),"古馬条件戦",IF(ISNUMBER(SEARCH("重賞",Z970)),"重賞","分類不能")))))))))</f>
        <v>分類不能</v>
      </c>
      <c r="AR970" s="8"/>
      <c r="AS970" s="8" t="s">
        <v>7623</v>
      </c>
      <c r="AT970" s="8" t="s">
        <v>7624</v>
      </c>
      <c r="AU970" s="8" t="s">
        <v>7600</v>
      </c>
      <c r="AV970" s="4" t="s">
        <v>7601</v>
      </c>
      <c r="AW970" s="8"/>
      <c r="AX970" s="8"/>
      <c r="AY970" s="8" t="s">
        <v>7610</v>
      </c>
      <c r="AZ970" s="4" t="s">
        <v>7617</v>
      </c>
      <c r="BA970" s="8" t="n">
        <v>1800</v>
      </c>
      <c r="BB970" s="8" t="s">
        <v>7634</v>
      </c>
      <c r="BC970" s="4" t="s">
        <v>7604</v>
      </c>
      <c r="BD970" s="8" t="s">
        <v>7625</v>
      </c>
      <c r="BE970" s="4" t="s">
        <v>7606</v>
      </c>
      <c r="BF970" s="8" t="s">
        <v>7607</v>
      </c>
      <c r="BG970" s="8" t="s">
        <v>7608</v>
      </c>
      <c r="BH970" s="4" t="s">
        <v>7609</v>
      </c>
      <c r="BI970" s="8" t="n">
        <v>16</v>
      </c>
      <c r="BJ970" s="8" t="s">
        <v>7610</v>
      </c>
      <c r="BK970" s="4" t="s">
        <v>7611</v>
      </c>
      <c r="BL970" s="8" t="s">
        <v>7602</v>
      </c>
      <c r="BM970" s="4" t="s">
        <v>7620</v>
      </c>
      <c r="BN970" s="8"/>
      <c r="BO970" s="8"/>
      <c r="BP970" s="8" t="s">
        <v>7610</v>
      </c>
      <c r="BQ970" s="8" t="str">
        <f aca="false">IF(A970="","",AT970)</f>
        <v>3歳</v>
      </c>
      <c r="BR970" s="8" t="str">
        <f aca="false">IF(A970="","",IF(BA970&lt;=1200,"～1200",IF(BA970&lt;=1500,"1300～1500",IF(BA970=1600,"1600",IF(BA970&lt;=1800,"1700～1800",IF(BA970&lt;=2000,"1900～2000","2100以上"))))))</f>
        <v>1700～1800</v>
      </c>
      <c r="BS970" s="8" t="str">
        <f aca="false">IF(A970="","",IF(AX970="G1","G1",IF(AX970="G2","G2",IF(AX970="G3","G3",IF(AX970="L","L","その他")))))</f>
        <v>その他</v>
      </c>
      <c r="BT970" s="8" t="str">
        <f aca="false">IF(A970="","",IF(BI970="","未結合",IF(D970=BI970,"一致","不一致")))</f>
        <v>一致</v>
      </c>
      <c r="BU970" s="8" t="str">
        <f aca="false">IF(A970="","",IF(BE970="牝馬限定","牝馬限定","その他"))</f>
        <v>その他</v>
      </c>
    </row>
    <row r="971" customFormat="false" ht="15.75" hidden="false" customHeight="false" outlineLevel="0" collapsed="false">
      <c r="A971" s="6" t="n">
        <f aca="false">DATE(2026,8,9)</f>
        <v>46243</v>
      </c>
      <c r="B971" s="4" t="s">
        <v>179</v>
      </c>
      <c r="C971" s="8" t="n">
        <v>5</v>
      </c>
      <c r="D971" s="8" t="n">
        <v>16</v>
      </c>
      <c r="E971" s="8" t="n">
        <v>12</v>
      </c>
      <c r="F971" s="8"/>
      <c r="G971" s="8" t="n">
        <v>62</v>
      </c>
      <c r="H971" s="8" t="n">
        <v>4</v>
      </c>
      <c r="I971" s="8"/>
      <c r="J971" s="8" t="n">
        <v>41</v>
      </c>
      <c r="K971" s="8" t="n">
        <v>14</v>
      </c>
      <c r="L971" s="4" t="s">
        <v>677</v>
      </c>
      <c r="M971" s="8" t="n">
        <v>56</v>
      </c>
      <c r="N971" s="8" t="n">
        <f aca="false">IF(A971="","",G971-J971)</f>
        <v>21</v>
      </c>
      <c r="O971" s="8" t="n">
        <f aca="false">IF(A971="","",J971-M971)</f>
        <v>-15</v>
      </c>
      <c r="P971" s="8" t="n">
        <f aca="false">IF(A971="","",G971+J971)</f>
        <v>103</v>
      </c>
      <c r="Q971" s="8" t="str">
        <f aca="false">IF(A971="","",IF(AND(Y971&lt;&gt;"参考",G971&gt;=ルール設定!$B$2),"○",""))</f>
        <v/>
      </c>
      <c r="R971" s="8" t="str">
        <f aca="false">IF(A971="","",IF(AND(Y971&lt;&gt;"参考",G971&gt;=ルール設定!$B$3,N971&gt;=ルール設定!$B$4),"○",""))</f>
        <v/>
      </c>
      <c r="S971" s="8" t="str">
        <f aca="false">IF(A971="","",IF(AND(Y971&lt;&gt;"参考",G971&gt;=ルール設定!$B$5,J971&gt;=ルール設定!$B$6,O971&gt;=ルール設定!$B$7),"○",""))</f>
        <v/>
      </c>
      <c r="T971" s="8" t="n">
        <v>4</v>
      </c>
      <c r="U971" s="8" t="n">
        <v>4</v>
      </c>
      <c r="V971" s="8" t="str">
        <f aca="false">IF(A971="","",IF(AND(ISNUMBER(T971),ISNUMBER(U971)),IF(AND(T971&lt;=3,U971&lt;=3),"○","×"),""))</f>
        <v>×</v>
      </c>
      <c r="W971" s="8"/>
      <c r="X971" s="8"/>
      <c r="Y971" s="4" t="s">
        <v>7597</v>
      </c>
      <c r="Z971" s="8" t="s">
        <v>8111</v>
      </c>
      <c r="AA971" s="8" t="str">
        <v/>
      </c>
      <c r="AB971" s="8" t="str">
        <v/>
      </c>
      <c r="AC971" s="8" t="str">
        <v/>
      </c>
      <c r="AD971" s="8" t="str">
        <v/>
      </c>
      <c r="AE971" s="8" t="str">
        <v/>
      </c>
      <c r="AF971" s="8" t="str">
        <v/>
      </c>
      <c r="AG971" s="8" t="str">
        <v/>
      </c>
      <c r="AH971" s="8" t="str">
        <v/>
      </c>
      <c r="AI971" s="8" t="n">
        <v>6</v>
      </c>
      <c r="AJ971" s="8" t="str">
        <v>60～69</v>
      </c>
      <c r="AK971" s="8" t="str">
        <v>20～29</v>
      </c>
      <c r="AL971" s="8" t="str">
        <v>0～9</v>
      </c>
      <c r="AM971" s="8" t="str">
        <v>100～119</v>
      </c>
      <c r="AN971" s="8" t="str">
        <v>15以上</v>
      </c>
      <c r="AO971" s="8" t="str">
        <f aca="false">IF(A971="","",IF(COUNTIFS(全馬データ!$A$2:$A$50000,A971,全馬データ!$B$2:$B$50000,B971,全馬データ!$C$2:$C$50000,C971,全馬データ!$D$2:$D$50000,E971,全馬データ!$K$2:$K$50000,"&lt;&gt;")=0,"",SUMIFS(全馬データ!$K$2:$K$50000,全馬データ!$A$2:$A$50000,A971,全馬データ!$B$2:$B$50000,B971,全馬データ!$C$2:$C$50000,C971,全馬データ!$D$2:$D$50000,E971)))</f>
        <v/>
      </c>
      <c r="AP971" s="8" t="str">
        <f aca="false">IF(A971="","",IF(AO971="","欠損",IF(AO971&lt;=1.1,"1.0～1.1",IF(AO971&lt;1.3,"1.2",IF(AO971&lt;1.5,"1.3～1.4",IF(AO971&lt;2,"1.5～1.9","2.0以上"))))))</f>
        <v>欠損</v>
      </c>
      <c r="AQ971" s="8" t="str">
        <f aca="false">IF(A971="","",IF(ISNUMBER(SEARCH("2歳",Z971)),"2歳戦",IF(ISNUMBER(SEARCH("3歳未勝利",Z971)),"3歳未勝利",IF(ISNUMBER(SEARCH("未勝利",Z971)),"その他未勝利",IF(ISNUMBER(SEARCH("G1",Z971)),"G1",IF(ISNUMBER(SEARCH("G2",Z971)),"G2",IF(ISNUMBER(SEARCH("G3",Z971)),"G3",IF(ISNUMBER(SEARCH("古馬条件",Z971)),"古馬条件戦",IF(ISNUMBER(SEARCH("重賞",Z971)),"重賞","分類不能")))))))))</f>
        <v>分類不能</v>
      </c>
      <c r="AR971" s="8"/>
      <c r="AS971" s="8" t="s">
        <v>7626</v>
      </c>
      <c r="AT971" s="8" t="s">
        <v>7627</v>
      </c>
      <c r="AU971" s="8" t="s">
        <v>7628</v>
      </c>
      <c r="AV971" s="8" t="s">
        <v>7629</v>
      </c>
      <c r="AW971" s="8"/>
      <c r="AX971" s="8"/>
      <c r="AY971" s="8" t="s">
        <v>7610</v>
      </c>
      <c r="AZ971" s="4" t="s">
        <v>7617</v>
      </c>
      <c r="BA971" s="8" t="n">
        <v>1400</v>
      </c>
      <c r="BB971" s="8" t="s">
        <v>7634</v>
      </c>
      <c r="BC971" s="4" t="s">
        <v>7604</v>
      </c>
      <c r="BD971" s="8" t="s">
        <v>7625</v>
      </c>
      <c r="BE971" s="4" t="s">
        <v>7606</v>
      </c>
      <c r="BF971" s="8" t="s">
        <v>7607</v>
      </c>
      <c r="BG971" s="8" t="s">
        <v>7631</v>
      </c>
      <c r="BH971" s="4" t="s">
        <v>7632</v>
      </c>
      <c r="BI971" s="8" t="n">
        <v>16</v>
      </c>
      <c r="BJ971" s="8" t="s">
        <v>7610</v>
      </c>
      <c r="BK971" s="4" t="s">
        <v>7611</v>
      </c>
      <c r="BL971" s="8" t="s">
        <v>7602</v>
      </c>
      <c r="BM971" s="4" t="s">
        <v>7620</v>
      </c>
      <c r="BN971" s="8"/>
      <c r="BO971" s="8"/>
      <c r="BP971" s="8" t="s">
        <v>7610</v>
      </c>
      <c r="BQ971" s="8" t="str">
        <f aca="false">IF(A971="","",AT971)</f>
        <v>3歳以上</v>
      </c>
      <c r="BR971" s="8" t="str">
        <f aca="false">IF(A971="","",IF(BA971&lt;=1200,"～1200",IF(BA971&lt;=1500,"1300～1500",IF(BA971=1600,"1600",IF(BA971&lt;=1800,"1700～1800",IF(BA971&lt;=2000,"1900～2000","2100以上"))))))</f>
        <v>1300～1500</v>
      </c>
      <c r="BS971" s="8" t="str">
        <f aca="false">IF(A971="","",IF(AX971="G1","G1",IF(AX971="G2","G2",IF(AX971="G3","G3",IF(AX971="L","L","その他")))))</f>
        <v>その他</v>
      </c>
      <c r="BT971" s="8" t="str">
        <f aca="false">IF(A971="","",IF(BI971="","未結合",IF(D971=BI971,"一致","不一致")))</f>
        <v>一致</v>
      </c>
      <c r="BU971" s="8" t="str">
        <f aca="false">IF(A971="","",IF(BE971="牝馬限定","牝馬限定","その他"))</f>
        <v>その他</v>
      </c>
    </row>
    <row r="972" customFormat="false" ht="15.75" hidden="false" customHeight="false" outlineLevel="0" collapsed="false">
      <c r="A972" s="6" t="n">
        <f aca="false">DATE(2026,8,9)</f>
        <v>46243</v>
      </c>
      <c r="B972" s="4" t="s">
        <v>179</v>
      </c>
      <c r="C972" s="8" t="n">
        <v>6</v>
      </c>
      <c r="D972" s="8" t="n">
        <v>7</v>
      </c>
      <c r="E972" s="8" t="n">
        <v>3</v>
      </c>
      <c r="F972" s="8"/>
      <c r="G972" s="8" t="n">
        <v>74</v>
      </c>
      <c r="H972" s="8" t="n">
        <v>2</v>
      </c>
      <c r="I972" s="4" t="s">
        <v>3196</v>
      </c>
      <c r="J972" s="8" t="n">
        <v>56</v>
      </c>
      <c r="K972" s="8" t="n">
        <v>5</v>
      </c>
      <c r="L972" s="4" t="s">
        <v>4191</v>
      </c>
      <c r="M972" s="8" t="n">
        <v>58</v>
      </c>
      <c r="N972" s="8" t="n">
        <f aca="false">IF(A972="","",G972-J972)</f>
        <v>18</v>
      </c>
      <c r="O972" s="8" t="n">
        <f aca="false">IF(A972="","",J972-M972)</f>
        <v>-2</v>
      </c>
      <c r="P972" s="8" t="n">
        <f aca="false">IF(A972="","",G972+J972)</f>
        <v>130</v>
      </c>
      <c r="Q972" s="8" t="str">
        <f aca="false">IF(A972="","",IF(AND(Y972&lt;&gt;"参考",G972&gt;=ルール設定!$B$2),"○",""))</f>
        <v/>
      </c>
      <c r="R972" s="8" t="str">
        <f aca="false">IF(A972="","",IF(AND(Y972&lt;&gt;"参考",G972&gt;=ルール設定!$B$3,N972&gt;=ルール設定!$B$4),"○",""))</f>
        <v/>
      </c>
      <c r="S972" s="8" t="str">
        <f aca="false">IF(A972="","",IF(AND(Y972&lt;&gt;"参考",G972&gt;=ルール設定!$B$5,J972&gt;=ルール設定!$B$6,O972&gt;=ルール設定!$B$7),"○",""))</f>
        <v/>
      </c>
      <c r="T972" s="8" t="n">
        <v>4</v>
      </c>
      <c r="U972" s="8" t="n">
        <v>2</v>
      </c>
      <c r="V972" s="8" t="str">
        <f aca="false">IF(A972="","",IF(AND(ISNUMBER(T972),ISNUMBER(U972)),IF(AND(T972&lt;=3,U972&lt;=3),"○","×"),""))</f>
        <v>×</v>
      </c>
      <c r="W972" s="8"/>
      <c r="X972" s="8"/>
      <c r="Y972" s="4" t="s">
        <v>7597</v>
      </c>
      <c r="Z972" s="8" t="s">
        <v>8111</v>
      </c>
      <c r="AA972" s="8" t="str">
        <v/>
      </c>
      <c r="AB972" s="8" t="str">
        <v/>
      </c>
      <c r="AC972" s="8" t="str">
        <v/>
      </c>
      <c r="AD972" s="8" t="str">
        <v/>
      </c>
      <c r="AE972" s="8" t="str">
        <v/>
      </c>
      <c r="AF972" s="8" t="str">
        <v/>
      </c>
      <c r="AG972" s="8" t="str">
        <v/>
      </c>
      <c r="AH972" s="8" t="str">
        <v/>
      </c>
      <c r="AI972" s="8" t="n">
        <v>16</v>
      </c>
      <c r="AJ972" s="8" t="str">
        <v>70～74</v>
      </c>
      <c r="AK972" s="8" t="str">
        <v>10～19</v>
      </c>
      <c r="AL972" s="8" t="str">
        <v>10～19</v>
      </c>
      <c r="AM972" s="8" t="str">
        <v>120～139</v>
      </c>
      <c r="AN972" s="8" t="str">
        <v>7以下</v>
      </c>
      <c r="AO972" s="8" t="str">
        <f aca="false">IF(A972="","",IF(COUNTIFS(全馬データ!$A$2:$A$50000,A972,全馬データ!$B$2:$B$50000,B972,全馬データ!$C$2:$C$50000,C972,全馬データ!$D$2:$D$50000,E972,全馬データ!$K$2:$K$50000,"&lt;&gt;")=0,"",SUMIFS(全馬データ!$K$2:$K$50000,全馬データ!$A$2:$A$50000,A972,全馬データ!$B$2:$B$50000,B972,全馬データ!$C$2:$C$50000,C972,全馬データ!$D$2:$D$50000,E972)))</f>
        <v/>
      </c>
      <c r="AP972" s="8" t="str">
        <f aca="false">IF(A972="","",IF(AO972="","欠損",IF(AO972&lt;=1.1,"1.0～1.1",IF(AO972&lt;1.3,"1.2",IF(AO972&lt;1.5,"1.3～1.4",IF(AO972&lt;2,"1.5～1.9","2.0以上"))))))</f>
        <v>欠損</v>
      </c>
      <c r="AQ972" s="8" t="str">
        <f aca="false">IF(A972="","",IF(ISNUMBER(SEARCH("2歳",Z972)),"2歳戦",IF(ISNUMBER(SEARCH("3歳未勝利",Z972)),"3歳未勝利",IF(ISNUMBER(SEARCH("未勝利",Z972)),"その他未勝利",IF(ISNUMBER(SEARCH("G1",Z972)),"G1",IF(ISNUMBER(SEARCH("G2",Z972)),"G2",IF(ISNUMBER(SEARCH("G3",Z972)),"G3",IF(ISNUMBER(SEARCH("古馬条件",Z972)),"古馬条件戦",IF(ISNUMBER(SEARCH("重賞",Z972)),"重賞","分類不能")))))))))</f>
        <v>分類不能</v>
      </c>
      <c r="AR972" s="4" t="s">
        <v>8118</v>
      </c>
      <c r="AS972" s="8" t="s">
        <v>7626</v>
      </c>
      <c r="AT972" s="8" t="s">
        <v>7627</v>
      </c>
      <c r="AU972" s="8" t="s">
        <v>7634</v>
      </c>
      <c r="AV972" s="8" t="s">
        <v>7635</v>
      </c>
      <c r="AW972" s="8" t="s">
        <v>7636</v>
      </c>
      <c r="AX972" s="4" t="s">
        <v>7637</v>
      </c>
      <c r="AY972" s="8" t="s">
        <v>7602</v>
      </c>
      <c r="AZ972" s="4" t="s">
        <v>7603</v>
      </c>
      <c r="BA972" s="8" t="n">
        <v>2000</v>
      </c>
      <c r="BB972" s="8" t="s">
        <v>7598</v>
      </c>
      <c r="BC972" s="4" t="s">
        <v>7604</v>
      </c>
      <c r="BD972" s="8" t="s">
        <v>7630</v>
      </c>
      <c r="BE972" s="4" t="s">
        <v>7606</v>
      </c>
      <c r="BF972" s="8" t="s">
        <v>7607</v>
      </c>
      <c r="BG972" s="8" t="s">
        <v>7631</v>
      </c>
      <c r="BH972" s="4" t="s">
        <v>7632</v>
      </c>
      <c r="BI972" s="8" t="n">
        <v>7</v>
      </c>
      <c r="BJ972" s="8" t="s">
        <v>7610</v>
      </c>
      <c r="BK972" s="4" t="s">
        <v>7611</v>
      </c>
      <c r="BL972" s="8" t="s">
        <v>7602</v>
      </c>
      <c r="BM972" s="4" t="s">
        <v>7620</v>
      </c>
      <c r="BN972" s="8" t="s">
        <v>7602</v>
      </c>
      <c r="BO972" s="8" t="s">
        <v>7613</v>
      </c>
      <c r="BP972" s="8" t="s">
        <v>7610</v>
      </c>
      <c r="BQ972" s="8" t="str">
        <f aca="false">IF(A972="","",AT972)</f>
        <v>3歳以上</v>
      </c>
      <c r="BR972" s="8" t="str">
        <f aca="false">IF(A972="","",IF(BA972&lt;=1200,"～1200",IF(BA972&lt;=1500,"1300～1500",IF(BA972=1600,"1600",IF(BA972&lt;=1800,"1700～1800",IF(BA972&lt;=2000,"1900～2000","2100以上"))))))</f>
        <v>1900～2000</v>
      </c>
      <c r="BS972" s="8" t="str">
        <f aca="false">IF(A972="","",IF(AX972="G1","G1",IF(AX972="G2","G2",IF(AX972="G3","G3",IF(AX972="L","L","その他")))))</f>
        <v>その他</v>
      </c>
      <c r="BT972" s="8" t="str">
        <f aca="false">IF(A972="","",IF(BI972="","未結合",IF(D972=BI972,"一致","不一致")))</f>
        <v>一致</v>
      </c>
      <c r="BU972" s="8" t="str">
        <f aca="false">IF(A972="","",IF(BE972="牝馬限定","牝馬限定","その他"))</f>
        <v>その他</v>
      </c>
    </row>
    <row r="973" customFormat="false" ht="15.75" hidden="false" customHeight="false" outlineLevel="0" collapsed="false">
      <c r="A973" s="6" t="n">
        <f aca="false">DATE(2026,8,9)</f>
        <v>46243</v>
      </c>
      <c r="B973" s="4" t="s">
        <v>179</v>
      </c>
      <c r="C973" s="8" t="n">
        <v>7</v>
      </c>
      <c r="D973" s="8" t="n">
        <v>18</v>
      </c>
      <c r="E973" s="8" t="n">
        <v>14</v>
      </c>
      <c r="F973" s="8"/>
      <c r="G973" s="8" t="n">
        <v>56</v>
      </c>
      <c r="H973" s="8" t="n">
        <v>7</v>
      </c>
      <c r="I973" s="8"/>
      <c r="J973" s="8" t="n">
        <v>47</v>
      </c>
      <c r="K973" s="8" t="n">
        <v>3</v>
      </c>
      <c r="L973" s="4" t="s">
        <v>5111</v>
      </c>
      <c r="M973" s="8" t="n">
        <v>52</v>
      </c>
      <c r="N973" s="8" t="n">
        <f aca="false">IF(A973="","",G973-J973)</f>
        <v>9</v>
      </c>
      <c r="O973" s="8" t="n">
        <f aca="false">IF(A973="","",J973-M973)</f>
        <v>-5</v>
      </c>
      <c r="P973" s="8" t="n">
        <f aca="false">IF(A973="","",G973+J973)</f>
        <v>103</v>
      </c>
      <c r="Q973" s="8" t="str">
        <f aca="false">IF(A973="","",IF(AND(Y973&lt;&gt;"参考",G973&gt;=ルール設定!$B$2),"○",""))</f>
        <v/>
      </c>
      <c r="R973" s="8" t="str">
        <f aca="false">IF(A973="","",IF(AND(Y973&lt;&gt;"参考",G973&gt;=ルール設定!$B$3,N973&gt;=ルール設定!$B$4),"○",""))</f>
        <v/>
      </c>
      <c r="S973" s="8" t="str">
        <f aca="false">IF(A973="","",IF(AND(Y973&lt;&gt;"参考",G973&gt;=ルール設定!$B$5,J973&gt;=ルール設定!$B$6,O973&gt;=ルール設定!$B$7),"○",""))</f>
        <v/>
      </c>
      <c r="T973" s="8" t="n">
        <v>4</v>
      </c>
      <c r="U973" s="8" t="n">
        <v>4</v>
      </c>
      <c r="V973" s="8" t="str">
        <f aca="false">IF(A973="","",IF(AND(ISNUMBER(T973),ISNUMBER(U973)),IF(AND(T973&lt;=3,U973&lt;=3),"○","×"),""))</f>
        <v>×</v>
      </c>
      <c r="W973" s="8"/>
      <c r="X973" s="8"/>
      <c r="Y973" s="4" t="s">
        <v>7597</v>
      </c>
      <c r="Z973" s="8" t="s">
        <v>8111</v>
      </c>
      <c r="AA973" s="8" t="str">
        <v/>
      </c>
      <c r="AB973" s="8" t="str">
        <v/>
      </c>
      <c r="AC973" s="8" t="str">
        <v/>
      </c>
      <c r="AD973" s="8" t="str">
        <v/>
      </c>
      <c r="AE973" s="8" t="str">
        <v/>
      </c>
      <c r="AF973" s="8" t="str">
        <v/>
      </c>
      <c r="AG973" s="8" t="str">
        <v/>
      </c>
      <c r="AH973" s="8" t="str">
        <v/>
      </c>
      <c r="AI973" s="8" t="n">
        <v>4</v>
      </c>
      <c r="AJ973" s="8" t="str">
        <v>～59</v>
      </c>
      <c r="AK973" s="8" t="str">
        <v>5～9</v>
      </c>
      <c r="AL973" s="8" t="str">
        <v>0～9</v>
      </c>
      <c r="AM973" s="8" t="str">
        <v>100～119</v>
      </c>
      <c r="AN973" s="8" t="str">
        <v>15以上</v>
      </c>
      <c r="AO973" s="8" t="str">
        <f aca="false">IF(A973="","",IF(COUNTIFS(全馬データ!$A$2:$A$50000,A973,全馬データ!$B$2:$B$50000,B973,全馬データ!$C$2:$C$50000,C973,全馬データ!$D$2:$D$50000,E973,全馬データ!$K$2:$K$50000,"&lt;&gt;")=0,"",SUMIFS(全馬データ!$K$2:$K$50000,全馬データ!$A$2:$A$50000,A973,全馬データ!$B$2:$B$50000,B973,全馬データ!$C$2:$C$50000,C973,全馬データ!$D$2:$D$50000,E973)))</f>
        <v/>
      </c>
      <c r="AP973" s="8" t="str">
        <f aca="false">IF(A973="","",IF(AO973="","欠損",IF(AO973&lt;=1.1,"1.0～1.1",IF(AO973&lt;1.3,"1.2",IF(AO973&lt;1.5,"1.3～1.4",IF(AO973&lt;2,"1.5～1.9","2.0以上"))))))</f>
        <v>欠損</v>
      </c>
      <c r="AQ973" s="8" t="str">
        <f aca="false">IF(A973="","",IF(ISNUMBER(SEARCH("2歳",Z973)),"2歳戦",IF(ISNUMBER(SEARCH("3歳未勝利",Z973)),"3歳未勝利",IF(ISNUMBER(SEARCH("未勝利",Z973)),"その他未勝利",IF(ISNUMBER(SEARCH("G1",Z973)),"G1",IF(ISNUMBER(SEARCH("G2",Z973)),"G2",IF(ISNUMBER(SEARCH("G3",Z973)),"G3",IF(ISNUMBER(SEARCH("古馬条件",Z973)),"古馬条件戦",IF(ISNUMBER(SEARCH("重賞",Z973)),"重賞","分類不能")))))))))</f>
        <v>分類不能</v>
      </c>
      <c r="AR973" s="4" t="s">
        <v>8119</v>
      </c>
      <c r="AS973" s="8" t="s">
        <v>7626</v>
      </c>
      <c r="AT973" s="8" t="s">
        <v>7627</v>
      </c>
      <c r="AU973" s="8" t="s">
        <v>7643</v>
      </c>
      <c r="AV973" s="4" t="s">
        <v>7644</v>
      </c>
      <c r="AW973" s="8" t="s">
        <v>7608</v>
      </c>
      <c r="AX973" s="8" t="s">
        <v>7664</v>
      </c>
      <c r="AY973" s="8" t="s">
        <v>7602</v>
      </c>
      <c r="AZ973" s="4" t="s">
        <v>7603</v>
      </c>
      <c r="BA973" s="8" t="n">
        <v>1200</v>
      </c>
      <c r="BB973" s="8" t="s">
        <v>7598</v>
      </c>
      <c r="BC973" s="4" t="s">
        <v>7604</v>
      </c>
      <c r="BD973" s="8" t="s">
        <v>7666</v>
      </c>
      <c r="BE973" s="4" t="s">
        <v>7606</v>
      </c>
      <c r="BF973" s="8" t="s">
        <v>7607</v>
      </c>
      <c r="BG973" s="8" t="s">
        <v>7602</v>
      </c>
      <c r="BH973" s="4" t="s">
        <v>7667</v>
      </c>
      <c r="BI973" s="8" t="n">
        <v>18</v>
      </c>
      <c r="BJ973" s="8" t="s">
        <v>7610</v>
      </c>
      <c r="BK973" s="4" t="s">
        <v>7611</v>
      </c>
      <c r="BL973" s="8" t="s">
        <v>7602</v>
      </c>
      <c r="BM973" s="4" t="s">
        <v>7620</v>
      </c>
      <c r="BN973" s="8" t="s">
        <v>7602</v>
      </c>
      <c r="BO973" s="8" t="s">
        <v>7613</v>
      </c>
      <c r="BP973" s="8" t="s">
        <v>7610</v>
      </c>
      <c r="BQ973" s="8" t="str">
        <f aca="false">IF(A973="","",AT973)</f>
        <v>3歳以上</v>
      </c>
      <c r="BR973" s="8" t="str">
        <f aca="false">IF(A973="","",IF(BA973&lt;=1200,"～1200",IF(BA973&lt;=1500,"1300～1500",IF(BA973=1600,"1600",IF(BA973&lt;=1800,"1700～1800",IF(BA973&lt;=2000,"1900～2000","2100以上"))))))</f>
        <v>～1200</v>
      </c>
      <c r="BS973" s="8" t="str">
        <f aca="false">IF(A973="","",IF(AX973="G1","G1",IF(AX973="G2","G2",IF(AX973="G3","G3",IF(AX973="L","L","その他")))))</f>
        <v>G3</v>
      </c>
      <c r="BT973" s="8" t="str">
        <f aca="false">IF(A973="","",IF(BI973="","未結合",IF(D973=BI973,"一致","不一致")))</f>
        <v>一致</v>
      </c>
      <c r="BU973" s="8" t="str">
        <f aca="false">IF(A973="","",IF(BE973="牝馬限定","牝馬限定","その他"))</f>
        <v>その他</v>
      </c>
    </row>
    <row r="974" customFormat="false" ht="15.75" hidden="false" customHeight="false" outlineLevel="0" collapsed="false">
      <c r="A974" s="6" t="n">
        <f aca="false">DATE(2026,8,9)</f>
        <v>46243</v>
      </c>
      <c r="B974" s="4" t="s">
        <v>179</v>
      </c>
      <c r="C974" s="8" t="n">
        <v>8</v>
      </c>
      <c r="D974" s="8" t="n">
        <v>11</v>
      </c>
      <c r="E974" s="8" t="n">
        <v>11</v>
      </c>
      <c r="F974" s="4" t="s">
        <v>4781</v>
      </c>
      <c r="G974" s="8" t="n">
        <v>62</v>
      </c>
      <c r="H974" s="8" t="n">
        <v>4</v>
      </c>
      <c r="I974" s="4" t="s">
        <v>565</v>
      </c>
      <c r="J974" s="8" t="n">
        <v>41</v>
      </c>
      <c r="K974" s="8" t="n">
        <v>5</v>
      </c>
      <c r="L974" s="8"/>
      <c r="M974" s="8" t="n">
        <v>50</v>
      </c>
      <c r="N974" s="8" t="n">
        <f aca="false">IF(A974="","",G974-J974)</f>
        <v>21</v>
      </c>
      <c r="O974" s="8" t="n">
        <f aca="false">IF(A974="","",J974-M974)</f>
        <v>-9</v>
      </c>
      <c r="P974" s="8" t="n">
        <f aca="false">IF(A974="","",G974+J974)</f>
        <v>103</v>
      </c>
      <c r="Q974" s="8" t="str">
        <f aca="false">IF(A974="","",IF(AND(Y974&lt;&gt;"参考",G974&gt;=ルール設定!$B$2),"○",""))</f>
        <v/>
      </c>
      <c r="R974" s="8" t="str">
        <f aca="false">IF(A974="","",IF(AND(Y974&lt;&gt;"参考",G974&gt;=ルール設定!$B$3,N974&gt;=ルール設定!$B$4),"○",""))</f>
        <v/>
      </c>
      <c r="S974" s="8" t="str">
        <f aca="false">IF(A974="","",IF(AND(Y974&lt;&gt;"参考",G974&gt;=ルール設定!$B$5,J974&gt;=ルール設定!$B$6,O974&gt;=ルール設定!$B$7),"○",""))</f>
        <v/>
      </c>
      <c r="T974" s="8" t="n">
        <v>1</v>
      </c>
      <c r="U974" s="8" t="n">
        <v>2</v>
      </c>
      <c r="V974" s="8" t="str">
        <f aca="false">IF(A974="","",IF(AND(ISNUMBER(T974),ISNUMBER(U974)),IF(AND(T974&lt;=3,U974&lt;=3),"○","×"),""))</f>
        <v>○</v>
      </c>
      <c r="W974" s="8" t="n">
        <v>110</v>
      </c>
      <c r="X974" s="8" t="n">
        <v>210</v>
      </c>
      <c r="Y974" s="4" t="s">
        <v>7597</v>
      </c>
      <c r="Z974" s="8" t="s">
        <v>8111</v>
      </c>
      <c r="AA974" s="8" t="str">
        <v/>
      </c>
      <c r="AB974" s="8" t="str">
        <v/>
      </c>
      <c r="AC974" s="8" t="str">
        <v/>
      </c>
      <c r="AD974" s="8" t="str">
        <v/>
      </c>
      <c r="AE974" s="8" t="str">
        <v/>
      </c>
      <c r="AF974" s="8" t="str">
        <v/>
      </c>
      <c r="AG974" s="8" t="str">
        <v/>
      </c>
      <c r="AH974" s="8" t="str">
        <v/>
      </c>
      <c r="AI974" s="8" t="n">
        <v>12</v>
      </c>
      <c r="AJ974" s="8" t="str">
        <v>60～69</v>
      </c>
      <c r="AK974" s="8" t="str">
        <v>20～29</v>
      </c>
      <c r="AL974" s="8" t="str">
        <v>10～19</v>
      </c>
      <c r="AM974" s="8" t="str">
        <v>100～119</v>
      </c>
      <c r="AN974" s="8" t="str">
        <v>8～11</v>
      </c>
      <c r="AO974" s="8" t="str">
        <f aca="false">IF(A974="","",IF(COUNTIFS(全馬データ!$A$2:$A$50000,A974,全馬データ!$B$2:$B$50000,B974,全馬データ!$C$2:$C$50000,C974,全馬データ!$D$2:$D$50000,E974,全馬データ!$K$2:$K$50000,"&lt;&gt;")=0,"",SUMIFS(全馬データ!$K$2:$K$50000,全馬データ!$A$2:$A$50000,A974,全馬データ!$B$2:$B$50000,B974,全馬データ!$C$2:$C$50000,C974,全馬データ!$D$2:$D$50000,E974)))</f>
        <v/>
      </c>
      <c r="AP974" s="8" t="str">
        <f aca="false">IF(A974="","",IF(AO974="","欠損",IF(AO974&lt;=1.1,"1.0～1.1",IF(AO974&lt;1.3,"1.2",IF(AO974&lt;1.5,"1.3～1.4",IF(AO974&lt;2,"1.5～1.9","2.0以上"))))))</f>
        <v>欠損</v>
      </c>
      <c r="AQ974" s="8" t="str">
        <f aca="false">IF(A974="","",IF(ISNUMBER(SEARCH("2歳",Z974)),"2歳戦",IF(ISNUMBER(SEARCH("3歳未勝利",Z974)),"3歳未勝利",IF(ISNUMBER(SEARCH("未勝利",Z974)),"その他未勝利",IF(ISNUMBER(SEARCH("G1",Z974)),"G1",IF(ISNUMBER(SEARCH("G2",Z974)),"G2",IF(ISNUMBER(SEARCH("G3",Z974)),"G3",IF(ISNUMBER(SEARCH("古馬条件",Z974)),"古馬条件戦",IF(ISNUMBER(SEARCH("重賞",Z974)),"重賞","分類不能")))))))))</f>
        <v>分類不能</v>
      </c>
      <c r="AR974" s="4" t="s">
        <v>8120</v>
      </c>
      <c r="AS974" s="8" t="s">
        <v>7626</v>
      </c>
      <c r="AT974" s="8" t="s">
        <v>7627</v>
      </c>
      <c r="AU974" s="8" t="s">
        <v>7634</v>
      </c>
      <c r="AV974" s="8" t="s">
        <v>7635</v>
      </c>
      <c r="AW974" s="8" t="s">
        <v>7636</v>
      </c>
      <c r="AX974" s="4" t="s">
        <v>7637</v>
      </c>
      <c r="AY974" s="8" t="s">
        <v>7610</v>
      </c>
      <c r="AZ974" s="4" t="s">
        <v>7617</v>
      </c>
      <c r="BA974" s="8" t="n">
        <v>1800</v>
      </c>
      <c r="BB974" s="8" t="s">
        <v>7634</v>
      </c>
      <c r="BC974" s="4" t="s">
        <v>7604</v>
      </c>
      <c r="BD974" s="8" t="s">
        <v>7605</v>
      </c>
      <c r="BE974" s="4" t="s">
        <v>7606</v>
      </c>
      <c r="BF974" s="8" t="s">
        <v>7607</v>
      </c>
      <c r="BG974" s="8" t="s">
        <v>7631</v>
      </c>
      <c r="BH974" s="4" t="s">
        <v>7632</v>
      </c>
      <c r="BI974" s="8" t="n">
        <v>11</v>
      </c>
      <c r="BJ974" s="8" t="s">
        <v>7610</v>
      </c>
      <c r="BK974" s="4" t="s">
        <v>7611</v>
      </c>
      <c r="BL974" s="8" t="s">
        <v>7602</v>
      </c>
      <c r="BM974" s="4" t="s">
        <v>7620</v>
      </c>
      <c r="BN974" s="8"/>
      <c r="BO974" s="8"/>
      <c r="BP974" s="8" t="s">
        <v>7610</v>
      </c>
      <c r="BQ974" s="8" t="str">
        <f aca="false">IF(A974="","",AT974)</f>
        <v>3歳以上</v>
      </c>
      <c r="BR974" s="8" t="str">
        <f aca="false">IF(A974="","",IF(BA974&lt;=1200,"～1200",IF(BA974&lt;=1500,"1300～1500",IF(BA974=1600,"1600",IF(BA974&lt;=1800,"1700～1800",IF(BA974&lt;=2000,"1900～2000","2100以上"))))))</f>
        <v>1700～1800</v>
      </c>
      <c r="BS974" s="8" t="str">
        <f aca="false">IF(A974="","",IF(AX974="G1","G1",IF(AX974="G2","G2",IF(AX974="G3","G3",IF(AX974="L","L","その他")))))</f>
        <v>その他</v>
      </c>
      <c r="BT974" s="8" t="str">
        <f aca="false">IF(A974="","",IF(BI974="","未結合",IF(D974=BI974,"一致","不一致")))</f>
        <v>一致</v>
      </c>
      <c r="BU974" s="8" t="str">
        <f aca="false">IF(A974="","",IF(BE974="牝馬限定","牝馬限定","その他"))</f>
        <v>その他</v>
      </c>
    </row>
    <row r="975" customFormat="false" ht="15.75" hidden="false" customHeight="false" outlineLevel="0" collapsed="false">
      <c r="A975" s="6" t="n">
        <f aca="false">DATE(2026,8,9)</f>
        <v>46243</v>
      </c>
      <c r="B975" s="4" t="s">
        <v>179</v>
      </c>
      <c r="C975" s="8" t="n">
        <v>9</v>
      </c>
      <c r="D975" s="8" t="n">
        <v>13</v>
      </c>
      <c r="E975" s="8" t="n">
        <v>4</v>
      </c>
      <c r="F975" s="8"/>
      <c r="G975" s="8" t="n">
        <v>55</v>
      </c>
      <c r="H975" s="8" t="n">
        <v>5</v>
      </c>
      <c r="I975" s="4" t="s">
        <v>1562</v>
      </c>
      <c r="J975" s="8" t="n">
        <v>55</v>
      </c>
      <c r="K975" s="8" t="n">
        <v>13</v>
      </c>
      <c r="L975" s="8"/>
      <c r="M975" s="8" t="n">
        <v>37</v>
      </c>
      <c r="N975" s="8" t="n">
        <f aca="false">IF(A975="","",G975-J975)</f>
        <v>0</v>
      </c>
      <c r="O975" s="8" t="n">
        <f aca="false">IF(A975="","",J975-M975)</f>
        <v>18</v>
      </c>
      <c r="P975" s="8" t="n">
        <f aca="false">IF(A975="","",G975+J975)</f>
        <v>110</v>
      </c>
      <c r="Q975" s="8" t="str">
        <f aca="false">IF(A975="","",IF(AND(Y975&lt;&gt;"参考",G975&gt;=ルール設定!$B$2),"○",""))</f>
        <v/>
      </c>
      <c r="R975" s="8" t="str">
        <f aca="false">IF(A975="","",IF(AND(Y975&lt;&gt;"参考",G975&gt;=ルール設定!$B$3,N975&gt;=ルール設定!$B$4),"○",""))</f>
        <v/>
      </c>
      <c r="S975" s="8" t="str">
        <f aca="false">IF(A975="","",IF(AND(Y975&lt;&gt;"参考",G975&gt;=ルール設定!$B$5,J975&gt;=ルール設定!$B$6,O975&gt;=ルール設定!$B$7),"○",""))</f>
        <v/>
      </c>
      <c r="T975" s="8" t="n">
        <v>4</v>
      </c>
      <c r="U975" s="8" t="n">
        <v>1</v>
      </c>
      <c r="V975" s="8" t="str">
        <f aca="false">IF(A975="","",IF(AND(ISNUMBER(T975),ISNUMBER(U975)),IF(AND(T975&lt;=3,U975&lt;=3),"○","×"),""))</f>
        <v>×</v>
      </c>
      <c r="W975" s="8"/>
      <c r="X975" s="8"/>
      <c r="Y975" s="4" t="s">
        <v>7597</v>
      </c>
      <c r="Z975" s="8" t="s">
        <v>8111</v>
      </c>
      <c r="AA975" s="8" t="str">
        <v/>
      </c>
      <c r="AB975" s="8" t="str">
        <v/>
      </c>
      <c r="AC975" s="8" t="str">
        <v/>
      </c>
      <c r="AD975" s="8" t="str">
        <v/>
      </c>
      <c r="AE975" s="8" t="str">
        <v/>
      </c>
      <c r="AF975" s="8" t="str">
        <v/>
      </c>
      <c r="AG975" s="8" t="str">
        <v/>
      </c>
      <c r="AH975" s="8" t="str">
        <v/>
      </c>
      <c r="AI975" s="8" t="n">
        <v>18</v>
      </c>
      <c r="AJ975" s="8" t="str">
        <v>～59</v>
      </c>
      <c r="AK975" s="8" t="str">
        <v>0～4</v>
      </c>
      <c r="AL975" s="8" t="str">
        <v>10～19</v>
      </c>
      <c r="AM975" s="8" t="str">
        <v>100～119</v>
      </c>
      <c r="AN975" s="8" t="str">
        <v>12～14</v>
      </c>
      <c r="AO975" s="8" t="str">
        <f aca="false">IF(A975="","",IF(COUNTIFS(全馬データ!$A$2:$A$50000,A975,全馬データ!$B$2:$B$50000,B975,全馬データ!$C$2:$C$50000,C975,全馬データ!$D$2:$D$50000,E975,全馬データ!$K$2:$K$50000,"&lt;&gt;")=0,"",SUMIFS(全馬データ!$K$2:$K$50000,全馬データ!$A$2:$A$50000,A975,全馬データ!$B$2:$B$50000,B975,全馬データ!$C$2:$C$50000,C975,全馬データ!$D$2:$D$50000,E975)))</f>
        <v/>
      </c>
      <c r="AP975" s="8" t="str">
        <f aca="false">IF(A975="","",IF(AO975="","欠損",IF(AO975&lt;=1.1,"1.0～1.1",IF(AO975&lt;1.3,"1.2",IF(AO975&lt;1.5,"1.3～1.4",IF(AO975&lt;2,"1.5～1.9","2.0以上"))))))</f>
        <v>欠損</v>
      </c>
      <c r="AQ975" s="8" t="str">
        <f aca="false">IF(A975="","",IF(ISNUMBER(SEARCH("2歳",Z975)),"2歳戦",IF(ISNUMBER(SEARCH("3歳未勝利",Z975)),"3歳未勝利",IF(ISNUMBER(SEARCH("未勝利",Z975)),"その他未勝利",IF(ISNUMBER(SEARCH("G1",Z975)),"G1",IF(ISNUMBER(SEARCH("G2",Z975)),"G2",IF(ISNUMBER(SEARCH("G3",Z975)),"G3",IF(ISNUMBER(SEARCH("古馬条件",Z975)),"古馬条件戦",IF(ISNUMBER(SEARCH("重賞",Z975)),"重賞","分類不能")))))))))</f>
        <v>分類不能</v>
      </c>
      <c r="AR975" s="8"/>
      <c r="AS975" s="8" t="s">
        <v>7618</v>
      </c>
      <c r="AT975" s="4" t="s">
        <v>7642</v>
      </c>
      <c r="AU975" s="8" t="s">
        <v>7600</v>
      </c>
      <c r="AV975" s="4" t="s">
        <v>7601</v>
      </c>
      <c r="AW975" s="8"/>
      <c r="AX975" s="8"/>
      <c r="AY975" s="8" t="s">
        <v>7608</v>
      </c>
      <c r="AZ975" s="4" t="s">
        <v>7642</v>
      </c>
      <c r="BA975" s="8" t="n">
        <v>3000</v>
      </c>
      <c r="BB975" s="8" t="s">
        <v>7634</v>
      </c>
      <c r="BC975" s="4" t="s">
        <v>7604</v>
      </c>
      <c r="BD975" s="8" t="s">
        <v>7645</v>
      </c>
      <c r="BE975" s="4" t="s">
        <v>7606</v>
      </c>
      <c r="BF975" s="8" t="s">
        <v>7607</v>
      </c>
      <c r="BG975" s="8" t="s">
        <v>7631</v>
      </c>
      <c r="BH975" s="4" t="s">
        <v>7632</v>
      </c>
      <c r="BI975" s="8" t="n">
        <v>13</v>
      </c>
      <c r="BJ975" s="8" t="s">
        <v>7647</v>
      </c>
      <c r="BK975" s="4" t="s">
        <v>7648</v>
      </c>
      <c r="BL975" s="8" t="s">
        <v>7647</v>
      </c>
      <c r="BM975" s="4" t="s">
        <v>7648</v>
      </c>
      <c r="BN975" s="8"/>
      <c r="BO975" s="8"/>
      <c r="BP975" s="8" t="s">
        <v>7610</v>
      </c>
      <c r="BQ975" s="8" t="str">
        <f aca="false">IF(A975="","",AT975)</f>
        <v>障害</v>
      </c>
      <c r="BR975" s="8" t="str">
        <f aca="false">IF(A975="","",IF(BA975&lt;=1200,"～1200",IF(BA975&lt;=1500,"1300～1500",IF(BA975=1600,"1600",IF(BA975&lt;=1800,"1700～1800",IF(BA975&lt;=2000,"1900～2000","2100以上"))))))</f>
        <v>2100以上</v>
      </c>
      <c r="BS975" s="8" t="str">
        <f aca="false">IF(A975="","",IF(AX975="G1","G1",IF(AX975="G2","G2",IF(AX975="G3","G3",IF(AX975="L","L","その他")))))</f>
        <v>その他</v>
      </c>
      <c r="BT975" s="8" t="str">
        <f aca="false">IF(A975="","",IF(BI975="","未結合",IF(D975=BI975,"一致","不一致")))</f>
        <v>一致</v>
      </c>
      <c r="BU975" s="8" t="str">
        <f aca="false">IF(A975="","",IF(BE975="牝馬限定","牝馬限定","その他"))</f>
        <v>その他</v>
      </c>
    </row>
    <row r="976" customFormat="false" ht="15.75" hidden="false" customHeight="false" outlineLevel="0" collapsed="false">
      <c r="A976" s="6" t="n">
        <f aca="false">DATE(2026,8,9)</f>
        <v>46243</v>
      </c>
      <c r="B976" s="4" t="s">
        <v>179</v>
      </c>
      <c r="C976" s="8" t="n">
        <v>10</v>
      </c>
      <c r="D976" s="8" t="n">
        <v>16</v>
      </c>
      <c r="E976" s="8" t="n">
        <v>2</v>
      </c>
      <c r="F976" s="4" t="s">
        <v>5282</v>
      </c>
      <c r="G976" s="8" t="n">
        <v>50</v>
      </c>
      <c r="H976" s="8" t="n">
        <v>11</v>
      </c>
      <c r="I976" s="4" t="s">
        <v>1656</v>
      </c>
      <c r="J976" s="8" t="n">
        <v>34</v>
      </c>
      <c r="K976" s="8" t="n">
        <v>10</v>
      </c>
      <c r="L976" s="8"/>
      <c r="M976" s="8" t="n">
        <v>47</v>
      </c>
      <c r="N976" s="8" t="n">
        <f aca="false">IF(A976="","",G976-J976)</f>
        <v>16</v>
      </c>
      <c r="O976" s="8" t="n">
        <f aca="false">IF(A976="","",J976-M976)</f>
        <v>-13</v>
      </c>
      <c r="P976" s="8" t="n">
        <f aca="false">IF(A976="","",G976+J976)</f>
        <v>84</v>
      </c>
      <c r="Q976" s="8" t="str">
        <f aca="false">IF(A976="","",IF(AND(Y976&lt;&gt;"参考",G976&gt;=ルール設定!$B$2),"○",""))</f>
        <v/>
      </c>
      <c r="R976" s="8" t="str">
        <f aca="false">IF(A976="","",IF(AND(Y976&lt;&gt;"参考",G976&gt;=ルール設定!$B$3,N976&gt;=ルール設定!$B$4),"○",""))</f>
        <v/>
      </c>
      <c r="S976" s="8" t="str">
        <f aca="false">IF(A976="","",IF(AND(Y976&lt;&gt;"参考",G976&gt;=ルール設定!$B$5,J976&gt;=ルール設定!$B$6,O976&gt;=ルール設定!$B$7),"○",""))</f>
        <v/>
      </c>
      <c r="T976" s="8" t="n">
        <v>3</v>
      </c>
      <c r="U976" s="8" t="n">
        <v>2</v>
      </c>
      <c r="V976" s="8" t="str">
        <f aca="false">IF(A976="","",IF(AND(ISNUMBER(T976),ISNUMBER(U976)),IF(AND(T976&lt;=3,U976&lt;=3),"○","×"),""))</f>
        <v>○</v>
      </c>
      <c r="W976" s="8" t="n">
        <v>150</v>
      </c>
      <c r="X976" s="8" t="n">
        <v>580</v>
      </c>
      <c r="Y976" s="4" t="s">
        <v>7597</v>
      </c>
      <c r="Z976" s="8" t="s">
        <v>8111</v>
      </c>
      <c r="AA976" s="8" t="str">
        <v/>
      </c>
      <c r="AB976" s="8" t="str">
        <v/>
      </c>
      <c r="AC976" s="8" t="str">
        <v/>
      </c>
      <c r="AD976" s="8" t="str">
        <v/>
      </c>
      <c r="AE976" s="8" t="str">
        <v/>
      </c>
      <c r="AF976" s="8" t="str">
        <v/>
      </c>
      <c r="AG976" s="8" t="str">
        <v/>
      </c>
      <c r="AH976" s="8" t="str">
        <v/>
      </c>
      <c r="AI976" s="8" t="n">
        <v>3</v>
      </c>
      <c r="AJ976" s="8" t="str">
        <v>～59</v>
      </c>
      <c r="AK976" s="8" t="str">
        <v>10～19</v>
      </c>
      <c r="AL976" s="8" t="str">
        <v>0～9</v>
      </c>
      <c r="AM976" s="8" t="str">
        <v>～99</v>
      </c>
      <c r="AN976" s="8" t="str">
        <v>15以上</v>
      </c>
      <c r="AO976" s="8" t="str">
        <f aca="false">IF(A976="","",IF(COUNTIFS(全馬データ!$A$2:$A$50000,A976,全馬データ!$B$2:$B$50000,B976,全馬データ!$C$2:$C$50000,C976,全馬データ!$D$2:$D$50000,E976,全馬データ!$K$2:$K$50000,"&lt;&gt;")=0,"",SUMIFS(全馬データ!$K$2:$K$50000,全馬データ!$A$2:$A$50000,A976,全馬データ!$B$2:$B$50000,B976,全馬データ!$C$2:$C$50000,C976,全馬データ!$D$2:$D$50000,E976)))</f>
        <v/>
      </c>
      <c r="AP976" s="8" t="str">
        <f aca="false">IF(A976="","",IF(AO976="","欠損",IF(AO976&lt;=1.1,"1.0～1.1",IF(AO976&lt;1.3,"1.2",IF(AO976&lt;1.5,"1.3～1.4",IF(AO976&lt;2,"1.5～1.9","2.0以上"))))))</f>
        <v>欠損</v>
      </c>
      <c r="AQ976" s="8" t="str">
        <f aca="false">IF(A976="","",IF(ISNUMBER(SEARCH("2歳",Z976)),"2歳戦",IF(ISNUMBER(SEARCH("3歳未勝利",Z976)),"3歳未勝利",IF(ISNUMBER(SEARCH("未勝利",Z976)),"その他未勝利",IF(ISNUMBER(SEARCH("G1",Z976)),"G1",IF(ISNUMBER(SEARCH("G2",Z976)),"G2",IF(ISNUMBER(SEARCH("G3",Z976)),"G3",IF(ISNUMBER(SEARCH("古馬条件",Z976)),"古馬条件戦",IF(ISNUMBER(SEARCH("重賞",Z976)),"重賞","分類不能")))))))))</f>
        <v>分類不能</v>
      </c>
      <c r="AR976" s="8"/>
      <c r="AS976" s="8" t="s">
        <v>7626</v>
      </c>
      <c r="AT976" s="8" t="s">
        <v>7627</v>
      </c>
      <c r="AU976" s="8" t="s">
        <v>7628</v>
      </c>
      <c r="AV976" s="8" t="s">
        <v>7629</v>
      </c>
      <c r="AW976" s="8"/>
      <c r="AX976" s="8"/>
      <c r="AY976" s="8" t="s">
        <v>7610</v>
      </c>
      <c r="AZ976" s="4" t="s">
        <v>7617</v>
      </c>
      <c r="BA976" s="8" t="n">
        <v>1200</v>
      </c>
      <c r="BB976" s="8" t="s">
        <v>7634</v>
      </c>
      <c r="BC976" s="4" t="s">
        <v>7604</v>
      </c>
      <c r="BD976" s="8" t="s">
        <v>7605</v>
      </c>
      <c r="BE976" s="4" t="s">
        <v>7606</v>
      </c>
      <c r="BF976" s="8" t="s">
        <v>7607</v>
      </c>
      <c r="BG976" s="8" t="s">
        <v>7631</v>
      </c>
      <c r="BH976" s="4" t="s">
        <v>7632</v>
      </c>
      <c r="BI976" s="8" t="n">
        <v>16</v>
      </c>
      <c r="BJ976" s="8" t="s">
        <v>7610</v>
      </c>
      <c r="BK976" s="4" t="s">
        <v>7611</v>
      </c>
      <c r="BL976" s="8" t="s">
        <v>7602</v>
      </c>
      <c r="BM976" s="4" t="s">
        <v>7620</v>
      </c>
      <c r="BN976" s="8"/>
      <c r="BO976" s="8"/>
      <c r="BP976" s="8" t="s">
        <v>7610</v>
      </c>
      <c r="BQ976" s="8" t="str">
        <f aca="false">IF(A976="","",AT976)</f>
        <v>3歳以上</v>
      </c>
      <c r="BR976" s="8" t="str">
        <f aca="false">IF(A976="","",IF(BA976&lt;=1200,"～1200",IF(BA976&lt;=1500,"1300～1500",IF(BA976=1600,"1600",IF(BA976&lt;=1800,"1700～1800",IF(BA976&lt;=2000,"1900～2000","2100以上"))))))</f>
        <v>～1200</v>
      </c>
      <c r="BS976" s="8" t="str">
        <f aca="false">IF(A976="","",IF(AX976="G1","G1",IF(AX976="G2","G2",IF(AX976="G3","G3",IF(AX976="L","L","その他")))))</f>
        <v>その他</v>
      </c>
      <c r="BT976" s="8" t="str">
        <f aca="false">IF(A976="","",IF(BI976="","未結合",IF(D976=BI976,"一致","不一致")))</f>
        <v>一致</v>
      </c>
      <c r="BU976" s="8" t="str">
        <f aca="false">IF(A976="","",IF(BE976="牝馬限定","牝馬限定","その他"))</f>
        <v>その他</v>
      </c>
    </row>
    <row r="977" customFormat="false" ht="15.75" hidden="false" customHeight="false" outlineLevel="0" collapsed="false">
      <c r="A977" s="6" t="n">
        <f aca="false">DATE(2026,8,9)</f>
        <v>46243</v>
      </c>
      <c r="B977" s="4" t="s">
        <v>179</v>
      </c>
      <c r="C977" s="8" t="n">
        <v>11</v>
      </c>
      <c r="D977" s="8" t="n">
        <v>18</v>
      </c>
      <c r="E977" s="8" t="n">
        <v>9</v>
      </c>
      <c r="F977" s="8"/>
      <c r="G977" s="8" t="n">
        <v>47</v>
      </c>
      <c r="H977" s="8" t="n">
        <v>15</v>
      </c>
      <c r="I977" s="8"/>
      <c r="J977" s="8" t="n">
        <v>47</v>
      </c>
      <c r="K977" s="8" t="n">
        <v>14</v>
      </c>
      <c r="L977" s="8"/>
      <c r="M977" s="8" t="n">
        <v>44</v>
      </c>
      <c r="N977" s="8" t="n">
        <f aca="false">IF(A977="","",G977-J977)</f>
        <v>0</v>
      </c>
      <c r="O977" s="8" t="n">
        <f aca="false">IF(A977="","",J977-M977)</f>
        <v>3</v>
      </c>
      <c r="P977" s="8" t="n">
        <f aca="false">IF(A977="","",G977+J977)</f>
        <v>94</v>
      </c>
      <c r="Q977" s="8" t="str">
        <f aca="false">IF(A977="","",IF(AND(Y977&lt;&gt;"参考",G977&gt;=ルール設定!$B$2),"○",""))</f>
        <v/>
      </c>
      <c r="R977" s="8" t="str">
        <f aca="false">IF(A977="","",IF(AND(Y977&lt;&gt;"参考",G977&gt;=ルール設定!$B$3,N977&gt;=ルール設定!$B$4),"○",""))</f>
        <v/>
      </c>
      <c r="S977" s="8" t="str">
        <f aca="false">IF(A977="","",IF(AND(Y977&lt;&gt;"参考",G977&gt;=ルール設定!$B$5,J977&gt;=ルール設定!$B$6,O977&gt;=ルール設定!$B$7),"○",""))</f>
        <v/>
      </c>
      <c r="T977" s="8" t="n">
        <v>4</v>
      </c>
      <c r="U977" s="8" t="n">
        <v>4</v>
      </c>
      <c r="V977" s="8" t="str">
        <f aca="false">IF(A977="","",IF(AND(ISNUMBER(T977),ISNUMBER(U977)),IF(AND(T977&lt;=3,U977&lt;=3),"○","×"),""))</f>
        <v>×</v>
      </c>
      <c r="W977" s="8"/>
      <c r="X977" s="8"/>
      <c r="Y977" s="4" t="s">
        <v>7597</v>
      </c>
      <c r="Z977" s="8" t="s">
        <v>8111</v>
      </c>
      <c r="AA977" s="8" t="str">
        <v/>
      </c>
      <c r="AB977" s="8" t="str">
        <v/>
      </c>
      <c r="AC977" s="8" t="str">
        <v/>
      </c>
      <c r="AD977" s="8" t="str">
        <v/>
      </c>
      <c r="AE977" s="8" t="str">
        <v/>
      </c>
      <c r="AF977" s="8" t="str">
        <v/>
      </c>
      <c r="AG977" s="8" t="str">
        <v/>
      </c>
      <c r="AH977" s="8" t="str">
        <v/>
      </c>
      <c r="AI977" s="8" t="n">
        <v>3</v>
      </c>
      <c r="AJ977" s="8" t="str">
        <v>～59</v>
      </c>
      <c r="AK977" s="8" t="str">
        <v>0～4</v>
      </c>
      <c r="AL977" s="8" t="str">
        <v>0～9</v>
      </c>
      <c r="AM977" s="8" t="str">
        <v>～99</v>
      </c>
      <c r="AN977" s="8" t="str">
        <v>15以上</v>
      </c>
      <c r="AO977" s="8" t="str">
        <f aca="false">IF(A977="","",IF(COUNTIFS(全馬データ!$A$2:$A$50000,A977,全馬データ!$B$2:$B$50000,B977,全馬データ!$C$2:$C$50000,C977,全馬データ!$D$2:$D$50000,E977,全馬データ!$K$2:$K$50000,"&lt;&gt;")=0,"",SUMIFS(全馬データ!$K$2:$K$50000,全馬データ!$A$2:$A$50000,A977,全馬データ!$B$2:$B$50000,B977,全馬データ!$C$2:$C$50000,C977,全馬データ!$D$2:$D$50000,E977)))</f>
        <v/>
      </c>
      <c r="AP977" s="8" t="str">
        <f aca="false">IF(A977="","",IF(AO977="","欠損",IF(AO977&lt;=1.1,"1.0～1.1",IF(AO977&lt;1.3,"1.2",IF(AO977&lt;1.5,"1.3～1.4",IF(AO977&lt;2,"1.5～1.9","2.0以上"))))))</f>
        <v>欠損</v>
      </c>
      <c r="AQ977" s="8" t="str">
        <f aca="false">IF(A977="","",IF(ISNUMBER(SEARCH("2歳",Z977)),"2歳戦",IF(ISNUMBER(SEARCH("3歳未勝利",Z977)),"3歳未勝利",IF(ISNUMBER(SEARCH("未勝利",Z977)),"その他未勝利",IF(ISNUMBER(SEARCH("G1",Z977)),"G1",IF(ISNUMBER(SEARCH("G2",Z977)),"G2",IF(ISNUMBER(SEARCH("G3",Z977)),"G3",IF(ISNUMBER(SEARCH("古馬条件",Z977)),"古馬条件戦",IF(ISNUMBER(SEARCH("重賞",Z977)),"重賞","分類不能")))))))))</f>
        <v>分類不能</v>
      </c>
      <c r="AR977" s="8"/>
      <c r="AS977" s="8" t="s">
        <v>7626</v>
      </c>
      <c r="AT977" s="8" t="s">
        <v>7627</v>
      </c>
      <c r="AU977" s="8" t="s">
        <v>7628</v>
      </c>
      <c r="AV977" s="8" t="s">
        <v>7629</v>
      </c>
      <c r="AW977" s="8"/>
      <c r="AX977" s="8"/>
      <c r="AY977" s="8" t="s">
        <v>7602</v>
      </c>
      <c r="AZ977" s="4" t="s">
        <v>7603</v>
      </c>
      <c r="BA977" s="8" t="n">
        <v>1200</v>
      </c>
      <c r="BB977" s="8" t="s">
        <v>7598</v>
      </c>
      <c r="BC977" s="4" t="s">
        <v>7604</v>
      </c>
      <c r="BD977" s="8" t="s">
        <v>7605</v>
      </c>
      <c r="BE977" s="4" t="s">
        <v>7606</v>
      </c>
      <c r="BF977" s="8" t="s">
        <v>7607</v>
      </c>
      <c r="BG977" s="8" t="s">
        <v>7631</v>
      </c>
      <c r="BH977" s="4" t="s">
        <v>7632</v>
      </c>
      <c r="BI977" s="8" t="n">
        <v>18</v>
      </c>
      <c r="BJ977" s="8" t="s">
        <v>7610</v>
      </c>
      <c r="BK977" s="4" t="s">
        <v>7611</v>
      </c>
      <c r="BL977" s="8" t="s">
        <v>7602</v>
      </c>
      <c r="BM977" s="4" t="s">
        <v>7620</v>
      </c>
      <c r="BN977" s="8" t="s">
        <v>7602</v>
      </c>
      <c r="BO977" s="8" t="s">
        <v>7613</v>
      </c>
      <c r="BP977" s="8" t="s">
        <v>7610</v>
      </c>
      <c r="BQ977" s="8" t="str">
        <f aca="false">IF(A977="","",AT977)</f>
        <v>3歳以上</v>
      </c>
      <c r="BR977" s="8" t="str">
        <f aca="false">IF(A977="","",IF(BA977&lt;=1200,"～1200",IF(BA977&lt;=1500,"1300～1500",IF(BA977=1600,"1600",IF(BA977&lt;=1800,"1700～1800",IF(BA977&lt;=2000,"1900～2000","2100以上"))))))</f>
        <v>～1200</v>
      </c>
      <c r="BS977" s="8" t="str">
        <f aca="false">IF(A977="","",IF(AX977="G1","G1",IF(AX977="G2","G2",IF(AX977="G3","G3",IF(AX977="L","L","その他")))))</f>
        <v>その他</v>
      </c>
      <c r="BT977" s="8" t="str">
        <f aca="false">IF(A977="","",IF(BI977="","未結合",IF(D977=BI977,"一致","不一致")))</f>
        <v>一致</v>
      </c>
      <c r="BU977" s="8" t="str">
        <f aca="false">IF(A977="","",IF(BE977="牝馬限定","牝馬限定","その他"))</f>
        <v>その他</v>
      </c>
    </row>
    <row r="978" customFormat="false" ht="15.75" hidden="false" customHeight="false" outlineLevel="0" collapsed="false">
      <c r="A978" s="6" t="n">
        <f aca="false">DATE(2026,8,9)</f>
        <v>46243</v>
      </c>
      <c r="B978" s="4" t="s">
        <v>179</v>
      </c>
      <c r="C978" s="8" t="n">
        <v>12</v>
      </c>
      <c r="D978" s="8" t="n">
        <v>16</v>
      </c>
      <c r="E978" s="8" t="n">
        <v>13</v>
      </c>
      <c r="F978" s="4" t="s">
        <v>321</v>
      </c>
      <c r="G978" s="8" t="n">
        <v>58</v>
      </c>
      <c r="H978" s="8" t="n">
        <v>9</v>
      </c>
      <c r="I978" s="8"/>
      <c r="J978" s="8" t="n">
        <v>37</v>
      </c>
      <c r="K978" s="8" t="n">
        <v>7</v>
      </c>
      <c r="L978" s="8"/>
      <c r="M978" s="8" t="n">
        <v>44</v>
      </c>
      <c r="N978" s="8" t="n">
        <f aca="false">IF(A978="","",G978-J978)</f>
        <v>21</v>
      </c>
      <c r="O978" s="8" t="n">
        <f aca="false">IF(A978="","",J978-M978)</f>
        <v>-7</v>
      </c>
      <c r="P978" s="8" t="n">
        <f aca="false">IF(A978="","",G978+J978)</f>
        <v>95</v>
      </c>
      <c r="Q978" s="8" t="str">
        <f aca="false">IF(A978="","",IF(AND(Y978&lt;&gt;"参考",G978&gt;=ルール設定!$B$2),"○",""))</f>
        <v/>
      </c>
      <c r="R978" s="8" t="str">
        <f aca="false">IF(A978="","",IF(AND(Y978&lt;&gt;"参考",G978&gt;=ルール設定!$B$3,N978&gt;=ルール設定!$B$4),"○",""))</f>
        <v/>
      </c>
      <c r="S978" s="8" t="str">
        <f aca="false">IF(A978="","",IF(AND(Y978&lt;&gt;"参考",G978&gt;=ルール設定!$B$5,J978&gt;=ルール設定!$B$6,O978&gt;=ルール設定!$B$7),"○",""))</f>
        <v/>
      </c>
      <c r="T978" s="8" t="n">
        <v>2</v>
      </c>
      <c r="U978" s="8" t="n">
        <v>4</v>
      </c>
      <c r="V978" s="8" t="str">
        <f aca="false">IF(A978="","",IF(AND(ISNUMBER(T978),ISNUMBER(U978)),IF(AND(T978&lt;=3,U978&lt;=3),"○","×"),""))</f>
        <v>×</v>
      </c>
      <c r="W978" s="8" t="n">
        <v>120</v>
      </c>
      <c r="X978" s="8"/>
      <c r="Y978" s="4" t="s">
        <v>7597</v>
      </c>
      <c r="Z978" s="8" t="s">
        <v>8111</v>
      </c>
      <c r="AA978" s="8" t="str">
        <v/>
      </c>
      <c r="AB978" s="8" t="str">
        <v/>
      </c>
      <c r="AC978" s="8" t="str">
        <v/>
      </c>
      <c r="AD978" s="8" t="str">
        <v/>
      </c>
      <c r="AE978" s="8" t="str">
        <v/>
      </c>
      <c r="AF978" s="8" t="str">
        <v/>
      </c>
      <c r="AG978" s="8" t="str">
        <v/>
      </c>
      <c r="AH978" s="8" t="str">
        <v/>
      </c>
      <c r="AI978" s="8" t="n">
        <v>14</v>
      </c>
      <c r="AJ978" s="8" t="str">
        <v>～59</v>
      </c>
      <c r="AK978" s="8" t="str">
        <v>20～29</v>
      </c>
      <c r="AL978" s="8" t="str">
        <v>10～19</v>
      </c>
      <c r="AM978" s="8" t="str">
        <v>～99</v>
      </c>
      <c r="AN978" s="8" t="str">
        <v>15以上</v>
      </c>
      <c r="AO978" s="8" t="str">
        <f aca="false">IF(A978="","",IF(COUNTIFS(全馬データ!$A$2:$A$50000,A978,全馬データ!$B$2:$B$50000,B978,全馬データ!$C$2:$C$50000,C978,全馬データ!$D$2:$D$50000,E978,全馬データ!$K$2:$K$50000,"&lt;&gt;")=0,"",SUMIFS(全馬データ!$K$2:$K$50000,全馬データ!$A$2:$A$50000,A978,全馬データ!$B$2:$B$50000,B978,全馬データ!$C$2:$C$50000,C978,全馬データ!$D$2:$D$50000,E978)))</f>
        <v/>
      </c>
      <c r="AP978" s="8" t="str">
        <f aca="false">IF(A978="","",IF(AO978="","欠損",IF(AO978&lt;=1.1,"1.0～1.1",IF(AO978&lt;1.3,"1.2",IF(AO978&lt;1.5,"1.3～1.4",IF(AO978&lt;2,"1.5～1.9","2.0以上"))))))</f>
        <v>欠損</v>
      </c>
      <c r="AQ978" s="8" t="str">
        <f aca="false">IF(A978="","",IF(ISNUMBER(SEARCH("2歳",Z978)),"2歳戦",IF(ISNUMBER(SEARCH("3歳未勝利",Z978)),"3歳未勝利",IF(ISNUMBER(SEARCH("未勝利",Z978)),"その他未勝利",IF(ISNUMBER(SEARCH("G1",Z978)),"G1",IF(ISNUMBER(SEARCH("G2",Z978)),"G2",IF(ISNUMBER(SEARCH("G3",Z978)),"G3",IF(ISNUMBER(SEARCH("古馬条件",Z978)),"古馬条件戦",IF(ISNUMBER(SEARCH("重賞",Z978)),"重賞","分類不能")))))))))</f>
        <v>分類不能</v>
      </c>
      <c r="AR978" s="8"/>
      <c r="AS978" s="8" t="s">
        <v>7623</v>
      </c>
      <c r="AT978" s="8" t="s">
        <v>7624</v>
      </c>
      <c r="AU978" s="8" t="s">
        <v>7600</v>
      </c>
      <c r="AV978" s="4" t="s">
        <v>7601</v>
      </c>
      <c r="AW978" s="8"/>
      <c r="AX978" s="8"/>
      <c r="AY978" s="8" t="s">
        <v>7602</v>
      </c>
      <c r="AZ978" s="4" t="s">
        <v>7603</v>
      </c>
      <c r="BA978" s="8" t="n">
        <v>1600</v>
      </c>
      <c r="BB978" s="8" t="s">
        <v>7598</v>
      </c>
      <c r="BC978" s="4" t="s">
        <v>7604</v>
      </c>
      <c r="BD978" s="8" t="s">
        <v>7605</v>
      </c>
      <c r="BE978" s="4" t="s">
        <v>7606</v>
      </c>
      <c r="BF978" s="8" t="s">
        <v>7607</v>
      </c>
      <c r="BG978" s="8" t="s">
        <v>7608</v>
      </c>
      <c r="BH978" s="4" t="s">
        <v>7609</v>
      </c>
      <c r="BI978" s="8" t="n">
        <v>16</v>
      </c>
      <c r="BJ978" s="8" t="s">
        <v>7610</v>
      </c>
      <c r="BK978" s="4" t="s">
        <v>7611</v>
      </c>
      <c r="BL978" s="8" t="s">
        <v>7602</v>
      </c>
      <c r="BM978" s="4" t="s">
        <v>7620</v>
      </c>
      <c r="BN978" s="8" t="s">
        <v>7602</v>
      </c>
      <c r="BO978" s="8" t="s">
        <v>7613</v>
      </c>
      <c r="BP978" s="8" t="s">
        <v>7610</v>
      </c>
      <c r="BQ978" s="8" t="str">
        <f aca="false">IF(A978="","",AT978)</f>
        <v>3歳</v>
      </c>
      <c r="BR978" s="8" t="str">
        <f aca="false">IF(A978="","",IF(BA978&lt;=1200,"～1200",IF(BA978&lt;=1500,"1300～1500",IF(BA978=1600,"1600",IF(BA978&lt;=1800,"1700～1800",IF(BA978&lt;=2000,"1900～2000","2100以上"))))))</f>
        <v>1600</v>
      </c>
      <c r="BS978" s="8" t="str">
        <f aca="false">IF(A978="","",IF(AX978="G1","G1",IF(AX978="G2","G2",IF(AX978="G3","G3",IF(AX978="L","L","その他")))))</f>
        <v>その他</v>
      </c>
      <c r="BT978" s="8" t="str">
        <f aca="false">IF(A978="","",IF(BI978="","未結合",IF(D978=BI978,"一致","不一致")))</f>
        <v>一致</v>
      </c>
      <c r="BU978" s="8" t="str">
        <f aca="false">IF(A978="","",IF(BE978="牝馬限定","牝馬限定","その他"))</f>
        <v>その他</v>
      </c>
    </row>
    <row r="979" customFormat="false" ht="15.75" hidden="false" customHeight="false" outlineLevel="0" collapsed="false">
      <c r="A979" s="6" t="n">
        <f aca="false">DATE(2026,8,9)</f>
        <v>46243</v>
      </c>
      <c r="B979" s="4" t="s">
        <v>13</v>
      </c>
      <c r="C979" s="8" t="n">
        <v>1</v>
      </c>
      <c r="D979" s="8" t="n">
        <v>16</v>
      </c>
      <c r="E979" s="8" t="n">
        <v>8</v>
      </c>
      <c r="F979" s="4" t="s">
        <v>6915</v>
      </c>
      <c r="G979" s="8" t="n">
        <v>41</v>
      </c>
      <c r="H979" s="8" t="n">
        <v>6</v>
      </c>
      <c r="I979" s="8"/>
      <c r="J979" s="8" t="n">
        <v>39</v>
      </c>
      <c r="K979" s="8" t="n">
        <v>11</v>
      </c>
      <c r="L979" s="4" t="s">
        <v>1901</v>
      </c>
      <c r="M979" s="8" t="n">
        <v>39</v>
      </c>
      <c r="N979" s="8" t="n">
        <f aca="false">IF(A979="","",G979-J979)</f>
        <v>2</v>
      </c>
      <c r="O979" s="8" t="n">
        <f aca="false">IF(A979="","",J979-M979)</f>
        <v>0</v>
      </c>
      <c r="P979" s="8" t="n">
        <f aca="false">IF(A979="","",G979+J979)</f>
        <v>80</v>
      </c>
      <c r="Q979" s="8" t="str">
        <f aca="false">IF(A979="","",IF(AND(Y979&lt;&gt;"参考",G979&gt;=ルール設定!$B$2),"○",""))</f>
        <v/>
      </c>
      <c r="R979" s="8" t="str">
        <f aca="false">IF(A979="","",IF(AND(Y979&lt;&gt;"参考",G979&gt;=ルール設定!$B$3,N979&gt;=ルール設定!$B$4),"○",""))</f>
        <v/>
      </c>
      <c r="S979" s="8" t="str">
        <f aca="false">IF(A979="","",IF(AND(Y979&lt;&gt;"参考",G979&gt;=ルール設定!$B$5,J979&gt;=ルール設定!$B$6,O979&gt;=ルール設定!$B$7),"○",""))</f>
        <v/>
      </c>
      <c r="T979" s="8" t="n">
        <v>1</v>
      </c>
      <c r="U979" s="8" t="n">
        <v>4</v>
      </c>
      <c r="V979" s="8" t="str">
        <f aca="false">IF(A979="","",IF(AND(ISNUMBER(T979),ISNUMBER(U979)),IF(AND(T979&lt;=3,U979&lt;=3),"○","×"),""))</f>
        <v>×</v>
      </c>
      <c r="W979" s="8" t="n">
        <v>130</v>
      </c>
      <c r="X979" s="8"/>
      <c r="Y979" s="4" t="s">
        <v>7597</v>
      </c>
      <c r="Z979" s="8" t="s">
        <v>8111</v>
      </c>
      <c r="AA979" s="8" t="str">
        <v/>
      </c>
      <c r="AB979" s="8" t="str">
        <v/>
      </c>
      <c r="AC979" s="8" t="str">
        <v/>
      </c>
      <c r="AD979" s="8" t="str">
        <v/>
      </c>
      <c r="AE979" s="8" t="str">
        <v/>
      </c>
      <c r="AF979" s="8" t="str">
        <v/>
      </c>
      <c r="AG979" s="8" t="str">
        <v/>
      </c>
      <c r="AH979" s="8" t="str">
        <v/>
      </c>
      <c r="AI979" s="8" t="n">
        <v>2</v>
      </c>
      <c r="AJ979" s="8" t="str">
        <v>～59</v>
      </c>
      <c r="AK979" s="8" t="str">
        <v>0～4</v>
      </c>
      <c r="AL979" s="8" t="str">
        <v>0～9</v>
      </c>
      <c r="AM979" s="8" t="str">
        <v>～99</v>
      </c>
      <c r="AN979" s="8" t="str">
        <v>15以上</v>
      </c>
      <c r="AO979" s="8" t="str">
        <f aca="false">IF(A979="","",IF(COUNTIFS(全馬データ!$A$2:$A$50000,A979,全馬データ!$B$2:$B$50000,B979,全馬データ!$C$2:$C$50000,C979,全馬データ!$D$2:$D$50000,E979,全馬データ!$K$2:$K$50000,"&lt;&gt;")=0,"",SUMIFS(全馬データ!$K$2:$K$50000,全馬データ!$A$2:$A$50000,A979,全馬データ!$B$2:$B$50000,B979,全馬データ!$C$2:$C$50000,C979,全馬データ!$D$2:$D$50000,E979)))</f>
        <v/>
      </c>
      <c r="AP979" s="8" t="str">
        <f aca="false">IF(A979="","",IF(AO979="","欠損",IF(AO979&lt;=1.1,"1.0～1.1",IF(AO979&lt;1.3,"1.2",IF(AO979&lt;1.5,"1.3～1.4",IF(AO979&lt;2,"1.5～1.9","2.0以上"))))))</f>
        <v>欠損</v>
      </c>
      <c r="AQ979" s="8" t="str">
        <f aca="false">IF(A979="","",IF(ISNUMBER(SEARCH("2歳",Z979)),"2歳戦",IF(ISNUMBER(SEARCH("3歳未勝利",Z979)),"3歳未勝利",IF(ISNUMBER(SEARCH("未勝利",Z979)),"その他未勝利",IF(ISNUMBER(SEARCH("G1",Z979)),"G1",IF(ISNUMBER(SEARCH("G2",Z979)),"G2",IF(ISNUMBER(SEARCH("G3",Z979)),"G3",IF(ISNUMBER(SEARCH("古馬条件",Z979)),"古馬条件戦",IF(ISNUMBER(SEARCH("重賞",Z979)),"重賞","分類不能")))))))))</f>
        <v>分類不能</v>
      </c>
      <c r="AR979" s="8"/>
      <c r="AS979" s="8" t="s">
        <v>7598</v>
      </c>
      <c r="AT979" s="8" t="s">
        <v>7599</v>
      </c>
      <c r="AU979" s="8" t="s">
        <v>7600</v>
      </c>
      <c r="AV979" s="4" t="s">
        <v>7601</v>
      </c>
      <c r="AW979" s="8"/>
      <c r="AX979" s="8"/>
      <c r="AY979" s="8" t="s">
        <v>7602</v>
      </c>
      <c r="AZ979" s="4" t="s">
        <v>7603</v>
      </c>
      <c r="BA979" s="8" t="n">
        <v>2000</v>
      </c>
      <c r="BB979" s="8" t="s">
        <v>7598</v>
      </c>
      <c r="BC979" s="4" t="s">
        <v>7604</v>
      </c>
      <c r="BD979" s="8" t="s">
        <v>7625</v>
      </c>
      <c r="BE979" s="4" t="s">
        <v>7606</v>
      </c>
      <c r="BF979" s="8" t="s">
        <v>7607</v>
      </c>
      <c r="BG979" s="8" t="s">
        <v>7608</v>
      </c>
      <c r="BH979" s="4" t="s">
        <v>7609</v>
      </c>
      <c r="BI979" s="8" t="n">
        <v>16</v>
      </c>
      <c r="BJ979" s="8" t="s">
        <v>7610</v>
      </c>
      <c r="BK979" s="4" t="s">
        <v>7611</v>
      </c>
      <c r="BL979" s="8" t="s">
        <v>7602</v>
      </c>
      <c r="BM979" s="4" t="s">
        <v>7620</v>
      </c>
      <c r="BN979" s="8" t="s">
        <v>7602</v>
      </c>
      <c r="BO979" s="8" t="s">
        <v>7613</v>
      </c>
      <c r="BP979" s="8" t="s">
        <v>7602</v>
      </c>
      <c r="BQ979" s="8" t="str">
        <f aca="false">IF(A979="","",AT979)</f>
        <v>2歳</v>
      </c>
      <c r="BR979" s="8" t="str">
        <f aca="false">IF(A979="","",IF(BA979&lt;=1200,"～1200",IF(BA979&lt;=1500,"1300～1500",IF(BA979=1600,"1600",IF(BA979&lt;=1800,"1700～1800",IF(BA979&lt;=2000,"1900～2000","2100以上"))))))</f>
        <v>1900～2000</v>
      </c>
      <c r="BS979" s="8" t="str">
        <f aca="false">IF(A979="","",IF(AX979="G1","G1",IF(AX979="G2","G2",IF(AX979="G3","G3",IF(AX979="L","L","その他")))))</f>
        <v>その他</v>
      </c>
      <c r="BT979" s="8" t="str">
        <f aca="false">IF(A979="","",IF(BI979="","未結合",IF(D979=BI979,"一致","不一致")))</f>
        <v>一致</v>
      </c>
      <c r="BU979" s="8" t="str">
        <f aca="false">IF(A979="","",IF(BE979="牝馬限定","牝馬限定","その他"))</f>
        <v>その他</v>
      </c>
    </row>
    <row r="980" customFormat="false" ht="15.75" hidden="false" customHeight="false" outlineLevel="0" collapsed="false">
      <c r="A980" s="6" t="n">
        <f aca="false">DATE(2026,8,9)</f>
        <v>46243</v>
      </c>
      <c r="B980" s="4" t="s">
        <v>13</v>
      </c>
      <c r="C980" s="8" t="n">
        <v>2</v>
      </c>
      <c r="D980" s="8" t="n">
        <v>11</v>
      </c>
      <c r="E980" s="8" t="n">
        <v>4</v>
      </c>
      <c r="F980" s="8"/>
      <c r="G980" s="8" t="n">
        <v>31</v>
      </c>
      <c r="H980" s="8" t="n">
        <v>1</v>
      </c>
      <c r="I980" s="8"/>
      <c r="J980" s="8" t="n">
        <v>24</v>
      </c>
      <c r="K980" s="8" t="n">
        <v>10</v>
      </c>
      <c r="L980" s="8"/>
      <c r="M980" s="8" t="n">
        <v>24</v>
      </c>
      <c r="N980" s="8" t="n">
        <f aca="false">IF(A980="","",G980-J980)</f>
        <v>7</v>
      </c>
      <c r="O980" s="8" t="n">
        <f aca="false">IF(A980="","",J980-M980)</f>
        <v>0</v>
      </c>
      <c r="P980" s="8" t="n">
        <f aca="false">IF(A980="","",G980+J980)</f>
        <v>55</v>
      </c>
      <c r="Q980" s="8" t="str">
        <f aca="false">IF(A980="","",IF(AND(Y980&lt;&gt;"参考",G980&gt;=ルール設定!$B$2),"○",""))</f>
        <v/>
      </c>
      <c r="R980" s="8" t="str">
        <f aca="false">IF(A980="","",IF(AND(Y980&lt;&gt;"参考",G980&gt;=ルール設定!$B$3,N980&gt;=ルール設定!$B$4),"○",""))</f>
        <v/>
      </c>
      <c r="S980" s="8" t="str">
        <f aca="false">IF(A980="","",IF(AND(Y980&lt;&gt;"参考",G980&gt;=ルール設定!$B$5,J980&gt;=ルール設定!$B$6,O980&gt;=ルール設定!$B$7),"○",""))</f>
        <v/>
      </c>
      <c r="T980" s="8" t="n">
        <v>4</v>
      </c>
      <c r="U980" s="8" t="n">
        <v>4</v>
      </c>
      <c r="V980" s="8" t="str">
        <f aca="false">IF(A980="","",IF(AND(ISNUMBER(T980),ISNUMBER(U980)),IF(AND(T980&lt;=3,U980&lt;=3),"○","×"),""))</f>
        <v>×</v>
      </c>
      <c r="W980" s="8"/>
      <c r="X980" s="8"/>
      <c r="Y980" s="4" t="s">
        <v>7597</v>
      </c>
      <c r="Z980" s="8" t="s">
        <v>8111</v>
      </c>
      <c r="AA980" s="8" t="str">
        <v/>
      </c>
      <c r="AB980" s="8" t="str">
        <v/>
      </c>
      <c r="AC980" s="8" t="str">
        <v/>
      </c>
      <c r="AD980" s="8" t="str">
        <v/>
      </c>
      <c r="AE980" s="8" t="str">
        <v/>
      </c>
      <c r="AF980" s="8" t="str">
        <v/>
      </c>
      <c r="AG980" s="8" t="str">
        <v/>
      </c>
      <c r="AH980" s="8" t="str">
        <v/>
      </c>
      <c r="AI980" s="8" t="n">
        <v>7</v>
      </c>
      <c r="AJ980" s="8" t="str">
        <v>～59</v>
      </c>
      <c r="AK980" s="8" t="str">
        <v>5～9</v>
      </c>
      <c r="AL980" s="8" t="str">
        <v>0～9</v>
      </c>
      <c r="AM980" s="8" t="str">
        <v>～99</v>
      </c>
      <c r="AN980" s="8" t="str">
        <v>8～11</v>
      </c>
      <c r="AO980" s="8" t="str">
        <f aca="false">IF(A980="","",IF(COUNTIFS(全馬データ!$A$2:$A$50000,A980,全馬データ!$B$2:$B$50000,B980,全馬データ!$C$2:$C$50000,C980,全馬データ!$D$2:$D$50000,E980,全馬データ!$K$2:$K$50000,"&lt;&gt;")=0,"",SUMIFS(全馬データ!$K$2:$K$50000,全馬データ!$A$2:$A$50000,A980,全馬データ!$B$2:$B$50000,B980,全馬データ!$C$2:$C$50000,C980,全馬データ!$D$2:$D$50000,E980)))</f>
        <v/>
      </c>
      <c r="AP980" s="8" t="str">
        <f aca="false">IF(A980="","",IF(AO980="","欠損",IF(AO980&lt;=1.1,"1.0～1.1",IF(AO980&lt;1.3,"1.2",IF(AO980&lt;1.5,"1.3～1.4",IF(AO980&lt;2,"1.5～1.9","2.0以上"))))))</f>
        <v>欠損</v>
      </c>
      <c r="AQ980" s="8" t="str">
        <f aca="false">IF(A980="","",IF(ISNUMBER(SEARCH("2歳",Z980)),"2歳戦",IF(ISNUMBER(SEARCH("3歳未勝利",Z980)),"3歳未勝利",IF(ISNUMBER(SEARCH("未勝利",Z980)),"その他未勝利",IF(ISNUMBER(SEARCH("G1",Z980)),"G1",IF(ISNUMBER(SEARCH("G2",Z980)),"G2",IF(ISNUMBER(SEARCH("G3",Z980)),"G3",IF(ISNUMBER(SEARCH("古馬条件",Z980)),"古馬条件戦",IF(ISNUMBER(SEARCH("重賞",Z980)),"重賞","分類不能")))))))))</f>
        <v>分類不能</v>
      </c>
      <c r="AR980" s="8"/>
      <c r="AS980" s="8" t="s">
        <v>7598</v>
      </c>
      <c r="AT980" s="8" t="s">
        <v>7599</v>
      </c>
      <c r="AU980" s="8" t="s">
        <v>7615</v>
      </c>
      <c r="AV980" s="4" t="s">
        <v>7616</v>
      </c>
      <c r="AW980" s="8"/>
      <c r="AX980" s="8"/>
      <c r="AY980" s="8" t="s">
        <v>7602</v>
      </c>
      <c r="AZ980" s="4" t="s">
        <v>7603</v>
      </c>
      <c r="BA980" s="8" t="n">
        <v>1200</v>
      </c>
      <c r="BB980" s="8" t="s">
        <v>7598</v>
      </c>
      <c r="BC980" s="4" t="s">
        <v>7604</v>
      </c>
      <c r="BD980" s="8" t="s">
        <v>7605</v>
      </c>
      <c r="BE980" s="4" t="s">
        <v>7606</v>
      </c>
      <c r="BF980" s="8" t="s">
        <v>7607</v>
      </c>
      <c r="BG980" s="8" t="s">
        <v>7608</v>
      </c>
      <c r="BH980" s="4" t="s">
        <v>7609</v>
      </c>
      <c r="BI980" s="8" t="n">
        <v>11</v>
      </c>
      <c r="BJ980" s="8" t="s">
        <v>7610</v>
      </c>
      <c r="BK980" s="4" t="s">
        <v>7611</v>
      </c>
      <c r="BL980" s="8" t="s">
        <v>7602</v>
      </c>
      <c r="BM980" s="4" t="s">
        <v>7620</v>
      </c>
      <c r="BN980" s="8" t="s">
        <v>7602</v>
      </c>
      <c r="BO980" s="8" t="s">
        <v>7613</v>
      </c>
      <c r="BP980" s="8" t="s">
        <v>7602</v>
      </c>
      <c r="BQ980" s="8" t="str">
        <f aca="false">IF(A980="","",AT980)</f>
        <v>2歳</v>
      </c>
      <c r="BR980" s="8" t="str">
        <f aca="false">IF(A980="","",IF(BA980&lt;=1200,"～1200",IF(BA980&lt;=1500,"1300～1500",IF(BA980=1600,"1600",IF(BA980&lt;=1800,"1700～1800",IF(BA980&lt;=2000,"1900～2000","2100以上"))))))</f>
        <v>～1200</v>
      </c>
      <c r="BS980" s="8" t="str">
        <f aca="false">IF(A980="","",IF(AX980="G1","G1",IF(AX980="G2","G2",IF(AX980="G3","G3",IF(AX980="L","L","その他")))))</f>
        <v>その他</v>
      </c>
      <c r="BT980" s="8" t="str">
        <f aca="false">IF(A980="","",IF(BI980="","未結合",IF(D980=BI980,"一致","不一致")))</f>
        <v>一致</v>
      </c>
      <c r="BU980" s="8" t="str">
        <f aca="false">IF(A980="","",IF(BE980="牝馬限定","牝馬限定","その他"))</f>
        <v>その他</v>
      </c>
    </row>
    <row r="981" customFormat="false" ht="15.75" hidden="false" customHeight="false" outlineLevel="0" collapsed="false">
      <c r="A981" s="6" t="n">
        <f aca="false">DATE(2026,8,9)</f>
        <v>46243</v>
      </c>
      <c r="B981" s="4" t="s">
        <v>13</v>
      </c>
      <c r="C981" s="8" t="n">
        <v>3</v>
      </c>
      <c r="D981" s="8" t="n">
        <v>15</v>
      </c>
      <c r="E981" s="8" t="n">
        <v>12</v>
      </c>
      <c r="F981" s="8"/>
      <c r="G981" s="8" t="n">
        <v>58</v>
      </c>
      <c r="H981" s="8" t="n">
        <v>1</v>
      </c>
      <c r="I981" s="4" t="s">
        <v>498</v>
      </c>
      <c r="J981" s="8" t="n">
        <v>44</v>
      </c>
      <c r="K981" s="8" t="n">
        <v>4</v>
      </c>
      <c r="L981" s="8"/>
      <c r="M981" s="8" t="n">
        <v>44</v>
      </c>
      <c r="N981" s="8" t="n">
        <f aca="false">IF(A981="","",G981-J981)</f>
        <v>14</v>
      </c>
      <c r="O981" s="8" t="n">
        <f aca="false">IF(A981="","",J981-M981)</f>
        <v>0</v>
      </c>
      <c r="P981" s="8" t="n">
        <f aca="false">IF(A981="","",G981+J981)</f>
        <v>102</v>
      </c>
      <c r="Q981" s="8" t="str">
        <f aca="false">IF(A981="","",IF(AND(Y981&lt;&gt;"参考",G981&gt;=ルール設定!$B$2),"○",""))</f>
        <v/>
      </c>
      <c r="R981" s="8" t="str">
        <f aca="false">IF(A981="","",IF(AND(Y981&lt;&gt;"参考",G981&gt;=ルール設定!$B$3,N981&gt;=ルール設定!$B$4),"○",""))</f>
        <v/>
      </c>
      <c r="S981" s="8" t="str">
        <f aca="false">IF(A981="","",IF(AND(Y981&lt;&gt;"参考",G981&gt;=ルール設定!$B$5,J981&gt;=ルール設定!$B$6,O981&gt;=ルール設定!$B$7),"○",""))</f>
        <v/>
      </c>
      <c r="T981" s="8" t="n">
        <v>4</v>
      </c>
      <c r="U981" s="8" t="n">
        <v>2</v>
      </c>
      <c r="V981" s="8" t="str">
        <f aca="false">IF(A981="","",IF(AND(ISNUMBER(T981),ISNUMBER(U981)),IF(AND(T981&lt;=3,U981&lt;=3),"○","×"),""))</f>
        <v>×</v>
      </c>
      <c r="W981" s="8"/>
      <c r="X981" s="8"/>
      <c r="Y981" s="4" t="s">
        <v>7597</v>
      </c>
      <c r="Z981" s="8" t="s">
        <v>8111</v>
      </c>
      <c r="AA981" s="8" t="str">
        <v/>
      </c>
      <c r="AB981" s="8" t="str">
        <v/>
      </c>
      <c r="AC981" s="8" t="str">
        <v/>
      </c>
      <c r="AD981" s="8" t="str">
        <v/>
      </c>
      <c r="AE981" s="8" t="str">
        <v/>
      </c>
      <c r="AF981" s="8" t="str">
        <v/>
      </c>
      <c r="AG981" s="8" t="str">
        <v/>
      </c>
      <c r="AH981" s="8" t="str">
        <v/>
      </c>
      <c r="AI981" s="8" t="n">
        <v>14</v>
      </c>
      <c r="AJ981" s="8" t="str">
        <v>～59</v>
      </c>
      <c r="AK981" s="8" t="str">
        <v>10～19</v>
      </c>
      <c r="AL981" s="8" t="str">
        <v>10～19</v>
      </c>
      <c r="AM981" s="8" t="str">
        <v>100～119</v>
      </c>
      <c r="AN981" s="8" t="str">
        <v>15以上</v>
      </c>
      <c r="AO981" s="8" t="str">
        <f aca="false">IF(A981="","",IF(COUNTIFS(全馬データ!$A$2:$A$50000,A981,全馬データ!$B$2:$B$50000,B981,全馬データ!$C$2:$C$50000,C981,全馬データ!$D$2:$D$50000,E981,全馬データ!$K$2:$K$50000,"&lt;&gt;")=0,"",SUMIFS(全馬データ!$K$2:$K$50000,全馬データ!$A$2:$A$50000,A981,全馬データ!$B$2:$B$50000,B981,全馬データ!$C$2:$C$50000,C981,全馬データ!$D$2:$D$50000,E981)))</f>
        <v/>
      </c>
      <c r="AP981" s="8" t="str">
        <f aca="false">IF(A981="","",IF(AO981="","欠損",IF(AO981&lt;=1.1,"1.0～1.1",IF(AO981&lt;1.3,"1.2",IF(AO981&lt;1.5,"1.3～1.4",IF(AO981&lt;2,"1.5～1.9","2.0以上"))))))</f>
        <v>欠損</v>
      </c>
      <c r="AQ981" s="8" t="str">
        <f aca="false">IF(A981="","",IF(ISNUMBER(SEARCH("2歳",Z981)),"2歳戦",IF(ISNUMBER(SEARCH("3歳未勝利",Z981)),"3歳未勝利",IF(ISNUMBER(SEARCH("未勝利",Z981)),"その他未勝利",IF(ISNUMBER(SEARCH("G1",Z981)),"G1",IF(ISNUMBER(SEARCH("G2",Z981)),"G2",IF(ISNUMBER(SEARCH("G3",Z981)),"G3",IF(ISNUMBER(SEARCH("古馬条件",Z981)),"古馬条件戦",IF(ISNUMBER(SEARCH("重賞",Z981)),"重賞","分類不能")))))))))</f>
        <v>分類不能</v>
      </c>
      <c r="AR981" s="8"/>
      <c r="AS981" s="8" t="s">
        <v>7623</v>
      </c>
      <c r="AT981" s="8" t="s">
        <v>7624</v>
      </c>
      <c r="AU981" s="8" t="s">
        <v>7600</v>
      </c>
      <c r="AV981" s="4" t="s">
        <v>7601</v>
      </c>
      <c r="AW981" s="8"/>
      <c r="AX981" s="8"/>
      <c r="AY981" s="8" t="s">
        <v>7610</v>
      </c>
      <c r="AZ981" s="4" t="s">
        <v>7617</v>
      </c>
      <c r="BA981" s="8" t="n">
        <v>1200</v>
      </c>
      <c r="BB981" s="8" t="s">
        <v>7598</v>
      </c>
      <c r="BC981" s="4" t="s">
        <v>7604</v>
      </c>
      <c r="BD981" s="8" t="s">
        <v>7621</v>
      </c>
      <c r="BE981" s="4" t="s">
        <v>7622</v>
      </c>
      <c r="BF981" s="8" t="s">
        <v>7602</v>
      </c>
      <c r="BG981" s="8" t="s">
        <v>7608</v>
      </c>
      <c r="BH981" s="4" t="s">
        <v>7609</v>
      </c>
      <c r="BI981" s="8" t="n">
        <v>15</v>
      </c>
      <c r="BJ981" s="8" t="s">
        <v>7610</v>
      </c>
      <c r="BK981" s="4" t="s">
        <v>7611</v>
      </c>
      <c r="BL981" s="8" t="s">
        <v>7602</v>
      </c>
      <c r="BM981" s="4" t="s">
        <v>7620</v>
      </c>
      <c r="BN981" s="8"/>
      <c r="BO981" s="8"/>
      <c r="BP981" s="8" t="s">
        <v>7602</v>
      </c>
      <c r="BQ981" s="8" t="str">
        <f aca="false">IF(A981="","",AT981)</f>
        <v>3歳</v>
      </c>
      <c r="BR981" s="8" t="str">
        <f aca="false">IF(A981="","",IF(BA981&lt;=1200,"～1200",IF(BA981&lt;=1500,"1300～1500",IF(BA981=1600,"1600",IF(BA981&lt;=1800,"1700～1800",IF(BA981&lt;=2000,"1900～2000","2100以上"))))))</f>
        <v>～1200</v>
      </c>
      <c r="BS981" s="8" t="str">
        <f aca="false">IF(A981="","",IF(AX981="G1","G1",IF(AX981="G2","G2",IF(AX981="G3","G3",IF(AX981="L","L","その他")))))</f>
        <v>その他</v>
      </c>
      <c r="BT981" s="8" t="str">
        <f aca="false">IF(A981="","",IF(BI981="","未結合",IF(D981=BI981,"一致","不一致")))</f>
        <v>一致</v>
      </c>
      <c r="BU981" s="8" t="str">
        <f aca="false">IF(A981="","",IF(BE981="牝馬限定","牝馬限定","その他"))</f>
        <v>牝馬限定</v>
      </c>
    </row>
    <row r="982" customFormat="false" ht="15.75" hidden="false" customHeight="false" outlineLevel="0" collapsed="false">
      <c r="A982" s="6" t="n">
        <f aca="false">DATE(2026,8,9)</f>
        <v>46243</v>
      </c>
      <c r="B982" s="4" t="s">
        <v>13</v>
      </c>
      <c r="C982" s="8" t="n">
        <v>4</v>
      </c>
      <c r="D982" s="8" t="n">
        <v>15</v>
      </c>
      <c r="E982" s="8" t="n">
        <v>12</v>
      </c>
      <c r="F982" s="4" t="s">
        <v>2303</v>
      </c>
      <c r="G982" s="8" t="n">
        <v>81</v>
      </c>
      <c r="H982" s="8" t="n">
        <v>8</v>
      </c>
      <c r="I982" s="4" t="s">
        <v>990</v>
      </c>
      <c r="J982" s="8" t="n">
        <v>39</v>
      </c>
      <c r="K982" s="8" t="n">
        <v>10</v>
      </c>
      <c r="L982" s="4" t="s">
        <v>6001</v>
      </c>
      <c r="M982" s="8" t="n">
        <v>67</v>
      </c>
      <c r="N982" s="8" t="n">
        <f aca="false">IF(A982="","",G982-J982)</f>
        <v>42</v>
      </c>
      <c r="O982" s="8" t="n">
        <f aca="false">IF(A982="","",J982-M982)</f>
        <v>-28</v>
      </c>
      <c r="P982" s="8" t="n">
        <f aca="false">IF(A982="","",G982+J982)</f>
        <v>120</v>
      </c>
      <c r="Q982" s="8" t="str">
        <f aca="false">IF(A982="","",IF(AND(Y982&lt;&gt;"参考",G982&gt;=ルール設定!$B$2),"○",""))</f>
        <v>○</v>
      </c>
      <c r="R982" s="8" t="str">
        <f aca="false">IF(A982="","",IF(AND(Y982&lt;&gt;"参考",G982&gt;=ルール設定!$B$3,N982&gt;=ルール設定!$B$4),"○",""))</f>
        <v>○</v>
      </c>
      <c r="S982" s="8" t="str">
        <f aca="false">IF(A982="","",IF(AND(Y982&lt;&gt;"参考",G982&gt;=ルール設定!$B$5,J982&gt;=ルール設定!$B$6,O982&gt;=ルール設定!$B$7),"○",""))</f>
        <v/>
      </c>
      <c r="T982" s="8" t="n">
        <v>2</v>
      </c>
      <c r="U982" s="8" t="n">
        <v>3</v>
      </c>
      <c r="V982" s="8" t="str">
        <f aca="false">IF(A982="","",IF(AND(ISNUMBER(T982),ISNUMBER(U982)),IF(AND(T982&lt;=3,U982&lt;=3),"○","×"),""))</f>
        <v>○</v>
      </c>
      <c r="W982" s="8" t="n">
        <v>110</v>
      </c>
      <c r="X982" s="8" t="n">
        <v>250</v>
      </c>
      <c r="Y982" s="4" t="s">
        <v>7597</v>
      </c>
      <c r="Z982" s="8" t="s">
        <v>8111</v>
      </c>
      <c r="AA982" s="8" t="str">
        <v/>
      </c>
      <c r="AB982" s="8" t="str">
        <v>○</v>
      </c>
      <c r="AC982" s="8" t="str">
        <v/>
      </c>
      <c r="AD982" s="8" t="str">
        <v>○</v>
      </c>
      <c r="AE982" s="8" t="str">
        <v/>
      </c>
      <c r="AF982" s="8" t="str">
        <v/>
      </c>
      <c r="AG982" s="8" t="str">
        <v/>
      </c>
      <c r="AH982" s="8" t="str">
        <v/>
      </c>
      <c r="AI982" s="8" t="n">
        <v>14</v>
      </c>
      <c r="AJ982" s="8" t="str">
        <v>80～84</v>
      </c>
      <c r="AK982" s="8" t="str">
        <v>30以上</v>
      </c>
      <c r="AL982" s="8" t="str">
        <v>10～19</v>
      </c>
      <c r="AM982" s="8" t="str">
        <v>120～139</v>
      </c>
      <c r="AN982" s="8" t="str">
        <v>15以上</v>
      </c>
      <c r="AO982" s="8" t="str">
        <f aca="false">IF(A982="","",IF(COUNTIFS(全馬データ!$A$2:$A$50000,A982,全馬データ!$B$2:$B$50000,B982,全馬データ!$C$2:$C$50000,C982,全馬データ!$D$2:$D$50000,E982,全馬データ!$K$2:$K$50000,"&lt;&gt;")=0,"",SUMIFS(全馬データ!$K$2:$K$50000,全馬データ!$A$2:$A$50000,A982,全馬データ!$B$2:$B$50000,B982,全馬データ!$C$2:$C$50000,C982,全馬データ!$D$2:$D$50000,E982)))</f>
        <v/>
      </c>
      <c r="AP982" s="8" t="str">
        <f aca="false">IF(A982="","",IF(AO982="","欠損",IF(AO982&lt;=1.1,"1.0～1.1",IF(AO982&lt;1.3,"1.2",IF(AO982&lt;1.5,"1.3～1.4",IF(AO982&lt;2,"1.5～1.9","2.0以上"))))))</f>
        <v>欠損</v>
      </c>
      <c r="AQ982" s="8" t="str">
        <f aca="false">IF(A982="","",IF(ISNUMBER(SEARCH("2歳",Z982)),"2歳戦",IF(ISNUMBER(SEARCH("3歳未勝利",Z982)),"3歳未勝利",IF(ISNUMBER(SEARCH("未勝利",Z982)),"その他未勝利",IF(ISNUMBER(SEARCH("G1",Z982)),"G1",IF(ISNUMBER(SEARCH("G2",Z982)),"G2",IF(ISNUMBER(SEARCH("G3",Z982)),"G3",IF(ISNUMBER(SEARCH("古馬条件",Z982)),"古馬条件戦",IF(ISNUMBER(SEARCH("重賞",Z982)),"重賞","分類不能")))))))))</f>
        <v>分類不能</v>
      </c>
      <c r="AR982" s="8"/>
      <c r="AS982" s="8" t="s">
        <v>7623</v>
      </c>
      <c r="AT982" s="8" t="s">
        <v>7624</v>
      </c>
      <c r="AU982" s="8" t="s">
        <v>7600</v>
      </c>
      <c r="AV982" s="4" t="s">
        <v>7601</v>
      </c>
      <c r="AW982" s="8"/>
      <c r="AX982" s="8"/>
      <c r="AY982" s="8" t="s">
        <v>7610</v>
      </c>
      <c r="AZ982" s="4" t="s">
        <v>7617</v>
      </c>
      <c r="BA982" s="8" t="n">
        <v>1800</v>
      </c>
      <c r="BB982" s="8" t="s">
        <v>7598</v>
      </c>
      <c r="BC982" s="4" t="s">
        <v>7604</v>
      </c>
      <c r="BD982" s="8" t="s">
        <v>7605</v>
      </c>
      <c r="BE982" s="4" t="s">
        <v>7606</v>
      </c>
      <c r="BF982" s="8" t="s">
        <v>7607</v>
      </c>
      <c r="BG982" s="8" t="s">
        <v>7608</v>
      </c>
      <c r="BH982" s="4" t="s">
        <v>7609</v>
      </c>
      <c r="BI982" s="8" t="n">
        <v>15</v>
      </c>
      <c r="BJ982" s="8" t="s">
        <v>7610</v>
      </c>
      <c r="BK982" s="4" t="s">
        <v>7611</v>
      </c>
      <c r="BL982" s="8" t="s">
        <v>7602</v>
      </c>
      <c r="BM982" s="4" t="s">
        <v>7620</v>
      </c>
      <c r="BN982" s="8"/>
      <c r="BO982" s="8"/>
      <c r="BP982" s="8" t="s">
        <v>7602</v>
      </c>
      <c r="BQ982" s="8" t="str">
        <f aca="false">IF(A982="","",AT982)</f>
        <v>3歳</v>
      </c>
      <c r="BR982" s="8" t="str">
        <f aca="false">IF(A982="","",IF(BA982&lt;=1200,"～1200",IF(BA982&lt;=1500,"1300～1500",IF(BA982=1600,"1600",IF(BA982&lt;=1800,"1700～1800",IF(BA982&lt;=2000,"1900～2000","2100以上"))))))</f>
        <v>1700～1800</v>
      </c>
      <c r="BS982" s="8" t="str">
        <f aca="false">IF(A982="","",IF(AX982="G1","G1",IF(AX982="G2","G2",IF(AX982="G3","G3",IF(AX982="L","L","その他")))))</f>
        <v>その他</v>
      </c>
      <c r="BT982" s="8" t="str">
        <f aca="false">IF(A982="","",IF(BI982="","未結合",IF(D982=BI982,"一致","不一致")))</f>
        <v>一致</v>
      </c>
      <c r="BU982" s="8" t="str">
        <f aca="false">IF(A982="","",IF(BE982="牝馬限定","牝馬限定","その他"))</f>
        <v>その他</v>
      </c>
    </row>
    <row r="983" customFormat="false" ht="15.75" hidden="false" customHeight="false" outlineLevel="0" collapsed="false">
      <c r="A983" s="6" t="n">
        <f aca="false">DATE(2026,8,9)</f>
        <v>46243</v>
      </c>
      <c r="B983" s="4" t="s">
        <v>13</v>
      </c>
      <c r="C983" s="8" t="n">
        <v>5</v>
      </c>
      <c r="D983" s="8" t="n">
        <v>15</v>
      </c>
      <c r="E983" s="8" t="n">
        <v>9</v>
      </c>
      <c r="F983" s="8"/>
      <c r="G983" s="8" t="n">
        <v>62</v>
      </c>
      <c r="H983" s="8" t="n">
        <v>2</v>
      </c>
      <c r="I983" s="8"/>
      <c r="J983" s="8" t="n">
        <v>50</v>
      </c>
      <c r="K983" s="8" t="n">
        <v>12</v>
      </c>
      <c r="L983" s="8"/>
      <c r="M983" s="8" t="n">
        <v>56</v>
      </c>
      <c r="N983" s="8" t="n">
        <f aca="false">IF(A983="","",G983-J983)</f>
        <v>12</v>
      </c>
      <c r="O983" s="8" t="n">
        <f aca="false">IF(A983="","",J983-M983)</f>
        <v>-6</v>
      </c>
      <c r="P983" s="8" t="n">
        <f aca="false">IF(A983="","",G983+J983)</f>
        <v>112</v>
      </c>
      <c r="Q983" s="8" t="str">
        <f aca="false">IF(A983="","",IF(AND(Y983&lt;&gt;"参考",G983&gt;=ルール設定!$B$2),"○",""))</f>
        <v/>
      </c>
      <c r="R983" s="8" t="str">
        <f aca="false">IF(A983="","",IF(AND(Y983&lt;&gt;"参考",G983&gt;=ルール設定!$B$3,N983&gt;=ルール設定!$B$4),"○",""))</f>
        <v/>
      </c>
      <c r="S983" s="8" t="str">
        <f aca="false">IF(A983="","",IF(AND(Y983&lt;&gt;"参考",G983&gt;=ルール設定!$B$5,J983&gt;=ルール設定!$B$6,O983&gt;=ルール設定!$B$7),"○",""))</f>
        <v/>
      </c>
      <c r="T983" s="8" t="n">
        <v>4</v>
      </c>
      <c r="U983" s="8" t="n">
        <v>4</v>
      </c>
      <c r="V983" s="8" t="str">
        <f aca="false">IF(A983="","",IF(AND(ISNUMBER(T983),ISNUMBER(U983)),IF(AND(T983&lt;=3,U983&lt;=3),"○","×"),""))</f>
        <v>×</v>
      </c>
      <c r="W983" s="8"/>
      <c r="X983" s="8"/>
      <c r="Y983" s="4" t="s">
        <v>7597</v>
      </c>
      <c r="Z983" s="8" t="s">
        <v>8111</v>
      </c>
      <c r="AA983" s="8" t="str">
        <v/>
      </c>
      <c r="AB983" s="8" t="str">
        <v/>
      </c>
      <c r="AC983" s="8" t="str">
        <v/>
      </c>
      <c r="AD983" s="8" t="str">
        <v/>
      </c>
      <c r="AE983" s="8" t="str">
        <v/>
      </c>
      <c r="AF983" s="8" t="str">
        <v/>
      </c>
      <c r="AG983" s="8" t="str">
        <v/>
      </c>
      <c r="AH983" s="8" t="str">
        <v/>
      </c>
      <c r="AI983" s="8" t="n">
        <v>6</v>
      </c>
      <c r="AJ983" s="8" t="str">
        <v>60～69</v>
      </c>
      <c r="AK983" s="8" t="str">
        <v>10～19</v>
      </c>
      <c r="AL983" s="8" t="str">
        <v>0～9</v>
      </c>
      <c r="AM983" s="8" t="str">
        <v>100～119</v>
      </c>
      <c r="AN983" s="8" t="str">
        <v>15以上</v>
      </c>
      <c r="AO983" s="8" t="str">
        <f aca="false">IF(A983="","",IF(COUNTIFS(全馬データ!$A$2:$A$50000,A983,全馬データ!$B$2:$B$50000,B983,全馬データ!$C$2:$C$50000,C983,全馬データ!$D$2:$D$50000,E983,全馬データ!$K$2:$K$50000,"&lt;&gt;")=0,"",SUMIFS(全馬データ!$K$2:$K$50000,全馬データ!$A$2:$A$50000,A983,全馬データ!$B$2:$B$50000,B983,全馬データ!$C$2:$C$50000,C983,全馬データ!$D$2:$D$50000,E983)))</f>
        <v/>
      </c>
      <c r="AP983" s="8" t="str">
        <f aca="false">IF(A983="","",IF(AO983="","欠損",IF(AO983&lt;=1.1,"1.0～1.1",IF(AO983&lt;1.3,"1.2",IF(AO983&lt;1.5,"1.3～1.4",IF(AO983&lt;2,"1.5～1.9","2.0以上"))))))</f>
        <v>欠損</v>
      </c>
      <c r="AQ983" s="8" t="str">
        <f aca="false">IF(A983="","",IF(ISNUMBER(SEARCH("2歳",Z983)),"2歳戦",IF(ISNUMBER(SEARCH("3歳未勝利",Z983)),"3歳未勝利",IF(ISNUMBER(SEARCH("未勝利",Z983)),"その他未勝利",IF(ISNUMBER(SEARCH("G1",Z983)),"G1",IF(ISNUMBER(SEARCH("G2",Z983)),"G2",IF(ISNUMBER(SEARCH("G3",Z983)),"G3",IF(ISNUMBER(SEARCH("古馬条件",Z983)),"古馬条件戦",IF(ISNUMBER(SEARCH("重賞",Z983)),"重賞","分類不能")))))))))</f>
        <v>分類不能</v>
      </c>
      <c r="AR983" s="8"/>
      <c r="AS983" s="8" t="s">
        <v>7626</v>
      </c>
      <c r="AT983" s="8" t="s">
        <v>7627</v>
      </c>
      <c r="AU983" s="8" t="s">
        <v>7628</v>
      </c>
      <c r="AV983" s="8" t="s">
        <v>7629</v>
      </c>
      <c r="AW983" s="8"/>
      <c r="AX983" s="8"/>
      <c r="AY983" s="8" t="s">
        <v>7610</v>
      </c>
      <c r="AZ983" s="4" t="s">
        <v>7617</v>
      </c>
      <c r="BA983" s="8" t="n">
        <v>1200</v>
      </c>
      <c r="BB983" s="8" t="s">
        <v>7598</v>
      </c>
      <c r="BC983" s="4" t="s">
        <v>7604</v>
      </c>
      <c r="BD983" s="8" t="s">
        <v>7605</v>
      </c>
      <c r="BE983" s="4" t="s">
        <v>7606</v>
      </c>
      <c r="BF983" s="8" t="s">
        <v>7607</v>
      </c>
      <c r="BG983" s="8" t="s">
        <v>7631</v>
      </c>
      <c r="BH983" s="4" t="s">
        <v>7632</v>
      </c>
      <c r="BI983" s="8" t="n">
        <v>15</v>
      </c>
      <c r="BJ983" s="8" t="s">
        <v>7610</v>
      </c>
      <c r="BK983" s="4" t="s">
        <v>7611</v>
      </c>
      <c r="BL983" s="8" t="s">
        <v>7602</v>
      </c>
      <c r="BM983" s="4" t="s">
        <v>7620</v>
      </c>
      <c r="BN983" s="8"/>
      <c r="BO983" s="8"/>
      <c r="BP983" s="8" t="s">
        <v>7602</v>
      </c>
      <c r="BQ983" s="8" t="str">
        <f aca="false">IF(A983="","",AT983)</f>
        <v>3歳以上</v>
      </c>
      <c r="BR983" s="8" t="str">
        <f aca="false">IF(A983="","",IF(BA983&lt;=1200,"～1200",IF(BA983&lt;=1500,"1300～1500",IF(BA983=1600,"1600",IF(BA983&lt;=1800,"1700～1800",IF(BA983&lt;=2000,"1900～2000","2100以上"))))))</f>
        <v>～1200</v>
      </c>
      <c r="BS983" s="8" t="str">
        <f aca="false">IF(A983="","",IF(AX983="G1","G1",IF(AX983="G2","G2",IF(AX983="G3","G3",IF(AX983="L","L","その他")))))</f>
        <v>その他</v>
      </c>
      <c r="BT983" s="8" t="str">
        <f aca="false">IF(A983="","",IF(BI983="","未結合",IF(D983=BI983,"一致","不一致")))</f>
        <v>一致</v>
      </c>
      <c r="BU983" s="8" t="str">
        <f aca="false">IF(A983="","",IF(BE983="牝馬限定","牝馬限定","その他"))</f>
        <v>その他</v>
      </c>
    </row>
    <row r="984" customFormat="false" ht="15.75" hidden="false" customHeight="false" outlineLevel="0" collapsed="false">
      <c r="A984" s="6" t="n">
        <f aca="false">DATE(2026,8,9)</f>
        <v>46243</v>
      </c>
      <c r="B984" s="4" t="s">
        <v>13</v>
      </c>
      <c r="C984" s="8" t="n">
        <v>6</v>
      </c>
      <c r="D984" s="8" t="n">
        <v>13</v>
      </c>
      <c r="E984" s="8" t="n">
        <v>1</v>
      </c>
      <c r="F984" s="4" t="s">
        <v>6058</v>
      </c>
      <c r="G984" s="8" t="n">
        <v>62</v>
      </c>
      <c r="H984" s="8" t="n">
        <v>3</v>
      </c>
      <c r="I984" s="4" t="s">
        <v>6922</v>
      </c>
      <c r="J984" s="8" t="n">
        <v>37</v>
      </c>
      <c r="K984" s="8" t="n">
        <v>11</v>
      </c>
      <c r="L984" s="8"/>
      <c r="M984" s="8" t="n">
        <v>37</v>
      </c>
      <c r="N984" s="8" t="n">
        <f aca="false">IF(A984="","",G984-J984)</f>
        <v>25</v>
      </c>
      <c r="O984" s="8" t="n">
        <f aca="false">IF(A984="","",J984-M984)</f>
        <v>0</v>
      </c>
      <c r="P984" s="8" t="n">
        <f aca="false">IF(A984="","",G984+J984)</f>
        <v>99</v>
      </c>
      <c r="Q984" s="8" t="str">
        <f aca="false">IF(A984="","",IF(AND(Y984&lt;&gt;"参考",G984&gt;=ルール設定!$B$2),"○",""))</f>
        <v/>
      </c>
      <c r="R984" s="8" t="str">
        <f aca="false">IF(A984="","",IF(AND(Y984&lt;&gt;"参考",G984&gt;=ルール設定!$B$3,N984&gt;=ルール設定!$B$4),"○",""))</f>
        <v/>
      </c>
      <c r="S984" s="8" t="str">
        <f aca="false">IF(A984="","",IF(AND(Y984&lt;&gt;"参考",G984&gt;=ルール設定!$B$5,J984&gt;=ルール設定!$B$6,O984&gt;=ルール設定!$B$7),"○",""))</f>
        <v/>
      </c>
      <c r="T984" s="8" t="n">
        <v>1</v>
      </c>
      <c r="U984" s="8" t="n">
        <v>2</v>
      </c>
      <c r="V984" s="8" t="str">
        <f aca="false">IF(A984="","",IF(AND(ISNUMBER(T984),ISNUMBER(U984)),IF(AND(T984&lt;=3,U984&lt;=3),"○","×"),""))</f>
        <v>○</v>
      </c>
      <c r="W984" s="8" t="n">
        <v>110</v>
      </c>
      <c r="X984" s="8" t="n">
        <v>240</v>
      </c>
      <c r="Y984" s="4" t="s">
        <v>7597</v>
      </c>
      <c r="Z984" s="8" t="s">
        <v>8111</v>
      </c>
      <c r="AA984" s="8" t="str">
        <v/>
      </c>
      <c r="AB984" s="8" t="str">
        <v/>
      </c>
      <c r="AC984" s="8" t="str">
        <v/>
      </c>
      <c r="AD984" s="8" t="str">
        <v/>
      </c>
      <c r="AE984" s="8" t="str">
        <v/>
      </c>
      <c r="AF984" s="8" t="str">
        <v/>
      </c>
      <c r="AG984" s="8" t="str">
        <v/>
      </c>
      <c r="AH984" s="8" t="str">
        <v/>
      </c>
      <c r="AI984" s="8" t="n">
        <v>25</v>
      </c>
      <c r="AJ984" s="8" t="str">
        <v>60～69</v>
      </c>
      <c r="AK984" s="8" t="str">
        <v>20～29</v>
      </c>
      <c r="AL984" s="8" t="str">
        <v>20～29</v>
      </c>
      <c r="AM984" s="8" t="str">
        <v>～99</v>
      </c>
      <c r="AN984" s="8" t="str">
        <v>12～14</v>
      </c>
      <c r="AO984" s="8" t="str">
        <f aca="false">IF(A984="","",IF(COUNTIFS(全馬データ!$A$2:$A$50000,A984,全馬データ!$B$2:$B$50000,B984,全馬データ!$C$2:$C$50000,C984,全馬データ!$D$2:$D$50000,E984,全馬データ!$K$2:$K$50000,"&lt;&gt;")=0,"",SUMIFS(全馬データ!$K$2:$K$50000,全馬データ!$A$2:$A$50000,A984,全馬データ!$B$2:$B$50000,B984,全馬データ!$C$2:$C$50000,C984,全馬データ!$D$2:$D$50000,E984)))</f>
        <v/>
      </c>
      <c r="AP984" s="8" t="str">
        <f aca="false">IF(A984="","",IF(AO984="","欠損",IF(AO984&lt;=1.1,"1.0～1.1",IF(AO984&lt;1.3,"1.2",IF(AO984&lt;1.5,"1.3～1.4",IF(AO984&lt;2,"1.5～1.9","2.0以上"))))))</f>
        <v>欠損</v>
      </c>
      <c r="AQ984" s="8" t="str">
        <f aca="false">IF(A984="","",IF(ISNUMBER(SEARCH("2歳",Z984)),"2歳戦",IF(ISNUMBER(SEARCH("3歳未勝利",Z984)),"3歳未勝利",IF(ISNUMBER(SEARCH("未勝利",Z984)),"その他未勝利",IF(ISNUMBER(SEARCH("G1",Z984)),"G1",IF(ISNUMBER(SEARCH("G2",Z984)),"G2",IF(ISNUMBER(SEARCH("G3",Z984)),"G3",IF(ISNUMBER(SEARCH("古馬条件",Z984)),"古馬条件戦",IF(ISNUMBER(SEARCH("重賞",Z984)),"重賞","分類不能")))))))))</f>
        <v>分類不能</v>
      </c>
      <c r="AR984" s="4" t="s">
        <v>8121</v>
      </c>
      <c r="AS984" s="8" t="s">
        <v>7626</v>
      </c>
      <c r="AT984" s="8" t="s">
        <v>7627</v>
      </c>
      <c r="AU984" s="8" t="s">
        <v>7639</v>
      </c>
      <c r="AV984" s="8" t="s">
        <v>7640</v>
      </c>
      <c r="AW984" s="8" t="s">
        <v>7636</v>
      </c>
      <c r="AX984" s="4" t="s">
        <v>7637</v>
      </c>
      <c r="AY984" s="8" t="s">
        <v>7602</v>
      </c>
      <c r="AZ984" s="4" t="s">
        <v>7603</v>
      </c>
      <c r="BA984" s="8" t="n">
        <v>1800</v>
      </c>
      <c r="BB984" s="8" t="s">
        <v>7598</v>
      </c>
      <c r="BC984" s="4" t="s">
        <v>7604</v>
      </c>
      <c r="BD984" s="8" t="s">
        <v>7630</v>
      </c>
      <c r="BE984" s="4" t="s">
        <v>7606</v>
      </c>
      <c r="BF984" s="8" t="s">
        <v>7607</v>
      </c>
      <c r="BG984" s="8" t="s">
        <v>7631</v>
      </c>
      <c r="BH984" s="4" t="s">
        <v>7632</v>
      </c>
      <c r="BI984" s="8" t="n">
        <v>13</v>
      </c>
      <c r="BJ984" s="8" t="s">
        <v>7610</v>
      </c>
      <c r="BK984" s="4" t="s">
        <v>7611</v>
      </c>
      <c r="BL984" s="8" t="s">
        <v>7610</v>
      </c>
      <c r="BM984" s="4" t="s">
        <v>7612</v>
      </c>
      <c r="BN984" s="8" t="s">
        <v>7602</v>
      </c>
      <c r="BO984" s="8" t="s">
        <v>7613</v>
      </c>
      <c r="BP984" s="8" t="s">
        <v>7602</v>
      </c>
      <c r="BQ984" s="8" t="str">
        <f aca="false">IF(A984="","",AT984)</f>
        <v>3歳以上</v>
      </c>
      <c r="BR984" s="8" t="str">
        <f aca="false">IF(A984="","",IF(BA984&lt;=1200,"～1200",IF(BA984&lt;=1500,"1300～1500",IF(BA984=1600,"1600",IF(BA984&lt;=1800,"1700～1800",IF(BA984&lt;=2000,"1900～2000","2100以上"))))))</f>
        <v>1700～1800</v>
      </c>
      <c r="BS984" s="8" t="str">
        <f aca="false">IF(A984="","",IF(AX984="G1","G1",IF(AX984="G2","G2",IF(AX984="G3","G3",IF(AX984="L","L","その他")))))</f>
        <v>その他</v>
      </c>
      <c r="BT984" s="8" t="str">
        <f aca="false">IF(A984="","",IF(BI984="","未結合",IF(D984=BI984,"一致","不一致")))</f>
        <v>一致</v>
      </c>
      <c r="BU984" s="8" t="str">
        <f aca="false">IF(A984="","",IF(BE984="牝馬限定","牝馬限定","その他"))</f>
        <v>その他</v>
      </c>
    </row>
    <row r="985" customFormat="false" ht="15.75" hidden="false" customHeight="false" outlineLevel="0" collapsed="false">
      <c r="A985" s="6" t="n">
        <f aca="false">DATE(2026,8,9)</f>
        <v>46243</v>
      </c>
      <c r="B985" s="4" t="s">
        <v>13</v>
      </c>
      <c r="C985" s="8" t="n">
        <v>7</v>
      </c>
      <c r="D985" s="8" t="n">
        <v>12</v>
      </c>
      <c r="E985" s="8" t="n">
        <v>6</v>
      </c>
      <c r="F985" s="8"/>
      <c r="G985" s="8" t="n">
        <v>52</v>
      </c>
      <c r="H985" s="8" t="n">
        <v>9</v>
      </c>
      <c r="I985" s="8"/>
      <c r="J985" s="8" t="n">
        <v>52</v>
      </c>
      <c r="K985" s="8" t="n">
        <v>5</v>
      </c>
      <c r="L985" s="8"/>
      <c r="M985" s="8" t="n">
        <v>47</v>
      </c>
      <c r="N985" s="8" t="n">
        <f aca="false">IF(A985="","",G985-J985)</f>
        <v>0</v>
      </c>
      <c r="O985" s="8" t="n">
        <f aca="false">IF(A985="","",J985-M985)</f>
        <v>5</v>
      </c>
      <c r="P985" s="8" t="n">
        <f aca="false">IF(A985="","",G985+J985)</f>
        <v>104</v>
      </c>
      <c r="Q985" s="8" t="str">
        <f aca="false">IF(A985="","",IF(AND(Y985&lt;&gt;"参考",G985&gt;=ルール設定!$B$2),"○",""))</f>
        <v/>
      </c>
      <c r="R985" s="8" t="str">
        <f aca="false">IF(A985="","",IF(AND(Y985&lt;&gt;"参考",G985&gt;=ルール設定!$B$3,N985&gt;=ルール設定!$B$4),"○",""))</f>
        <v/>
      </c>
      <c r="S985" s="8" t="str">
        <f aca="false">IF(A985="","",IF(AND(Y985&lt;&gt;"参考",G985&gt;=ルール設定!$B$5,J985&gt;=ルール設定!$B$6,O985&gt;=ルール設定!$B$7),"○",""))</f>
        <v/>
      </c>
      <c r="T985" s="8" t="n">
        <v>4</v>
      </c>
      <c r="U985" s="8" t="n">
        <v>4</v>
      </c>
      <c r="V985" s="8" t="str">
        <f aca="false">IF(A985="","",IF(AND(ISNUMBER(T985),ISNUMBER(U985)),IF(AND(T985&lt;=3,U985&lt;=3),"○","×"),""))</f>
        <v>×</v>
      </c>
      <c r="W985" s="8"/>
      <c r="X985" s="8"/>
      <c r="Y985" s="4" t="s">
        <v>7597</v>
      </c>
      <c r="Z985" s="8" t="s">
        <v>8111</v>
      </c>
      <c r="AA985" s="8" t="str">
        <v/>
      </c>
      <c r="AB985" s="8" t="str">
        <v/>
      </c>
      <c r="AC985" s="8" t="str">
        <v/>
      </c>
      <c r="AD985" s="8" t="str">
        <v/>
      </c>
      <c r="AE985" s="8" t="str">
        <v/>
      </c>
      <c r="AF985" s="8" t="str">
        <v/>
      </c>
      <c r="AG985" s="8" t="str">
        <v/>
      </c>
      <c r="AH985" s="8" t="str">
        <v/>
      </c>
      <c r="AI985" s="8" t="n">
        <v>5</v>
      </c>
      <c r="AJ985" s="8" t="str">
        <v>～59</v>
      </c>
      <c r="AK985" s="8" t="str">
        <v>0～4</v>
      </c>
      <c r="AL985" s="8" t="str">
        <v>0～9</v>
      </c>
      <c r="AM985" s="8" t="str">
        <v>100～119</v>
      </c>
      <c r="AN985" s="8" t="str">
        <v>12～14</v>
      </c>
      <c r="AO985" s="8" t="str">
        <f aca="false">IF(A985="","",IF(COUNTIFS(全馬データ!$A$2:$A$50000,A985,全馬データ!$B$2:$B$50000,B985,全馬データ!$C$2:$C$50000,C985,全馬データ!$D$2:$D$50000,E985,全馬データ!$K$2:$K$50000,"&lt;&gt;")=0,"",SUMIFS(全馬データ!$K$2:$K$50000,全馬データ!$A$2:$A$50000,A985,全馬データ!$B$2:$B$50000,B985,全馬データ!$C$2:$C$50000,C985,全馬データ!$D$2:$D$50000,E985)))</f>
        <v/>
      </c>
      <c r="AP985" s="8" t="str">
        <f aca="false">IF(A985="","",IF(AO985="","欠損",IF(AO985&lt;=1.1,"1.0～1.1",IF(AO985&lt;1.3,"1.2",IF(AO985&lt;1.5,"1.3～1.4",IF(AO985&lt;2,"1.5～1.9","2.0以上"))))))</f>
        <v>欠損</v>
      </c>
      <c r="AQ985" s="8" t="str">
        <f aca="false">IF(A985="","",IF(ISNUMBER(SEARCH("2歳",Z985)),"2歳戦",IF(ISNUMBER(SEARCH("3歳未勝利",Z985)),"3歳未勝利",IF(ISNUMBER(SEARCH("未勝利",Z985)),"その他未勝利",IF(ISNUMBER(SEARCH("G1",Z985)),"G1",IF(ISNUMBER(SEARCH("G2",Z985)),"G2",IF(ISNUMBER(SEARCH("G3",Z985)),"G3",IF(ISNUMBER(SEARCH("古馬条件",Z985)),"古馬条件戦",IF(ISNUMBER(SEARCH("重賞",Z985)),"重賞","分類不能")))))))))</f>
        <v>分類不能</v>
      </c>
      <c r="AR985" s="4" t="s">
        <v>8122</v>
      </c>
      <c r="AS985" s="8" t="s">
        <v>7623</v>
      </c>
      <c r="AT985" s="8" t="s">
        <v>7624</v>
      </c>
      <c r="AU985" s="8" t="s">
        <v>7643</v>
      </c>
      <c r="AV985" s="4" t="s">
        <v>7644</v>
      </c>
      <c r="AW985" s="8" t="s">
        <v>7608</v>
      </c>
      <c r="AX985" s="8" t="s">
        <v>7664</v>
      </c>
      <c r="AY985" s="8" t="s">
        <v>7610</v>
      </c>
      <c r="AZ985" s="4" t="s">
        <v>7617</v>
      </c>
      <c r="BA985" s="8" t="n">
        <v>1800</v>
      </c>
      <c r="BB985" s="8" t="s">
        <v>7598</v>
      </c>
      <c r="BC985" s="4" t="s">
        <v>7604</v>
      </c>
      <c r="BD985" s="8" t="s">
        <v>7672</v>
      </c>
      <c r="BE985" s="4" t="s">
        <v>7606</v>
      </c>
      <c r="BF985" s="8" t="s">
        <v>7607</v>
      </c>
      <c r="BG985" s="8" t="s">
        <v>7608</v>
      </c>
      <c r="BH985" s="4" t="s">
        <v>7609</v>
      </c>
      <c r="BI985" s="8" t="n">
        <v>12</v>
      </c>
      <c r="BJ985" s="8" t="s">
        <v>7610</v>
      </c>
      <c r="BK985" s="4" t="s">
        <v>7611</v>
      </c>
      <c r="BL985" s="8" t="s">
        <v>7602</v>
      </c>
      <c r="BM985" s="4" t="s">
        <v>7620</v>
      </c>
      <c r="BN985" s="8"/>
      <c r="BO985" s="8"/>
      <c r="BP985" s="8" t="s">
        <v>7602</v>
      </c>
      <c r="BQ985" s="8" t="str">
        <f aca="false">IF(A985="","",AT985)</f>
        <v>3歳</v>
      </c>
      <c r="BR985" s="8" t="str">
        <f aca="false">IF(A985="","",IF(BA985&lt;=1200,"～1200",IF(BA985&lt;=1500,"1300～1500",IF(BA985=1600,"1600",IF(BA985&lt;=1800,"1700～1800",IF(BA985&lt;=2000,"1900～2000","2100以上"))))))</f>
        <v>1700～1800</v>
      </c>
      <c r="BS985" s="8" t="str">
        <f aca="false">IF(A985="","",IF(AX985="G1","G1",IF(AX985="G2","G2",IF(AX985="G3","G3",IF(AX985="L","L","その他")))))</f>
        <v>G3</v>
      </c>
      <c r="BT985" s="8" t="str">
        <f aca="false">IF(A985="","",IF(BI985="","未結合",IF(D985=BI985,"一致","不一致")))</f>
        <v>一致</v>
      </c>
      <c r="BU985" s="8" t="str">
        <f aca="false">IF(A985="","",IF(BE985="牝馬限定","牝馬限定","その他"))</f>
        <v>その他</v>
      </c>
    </row>
    <row r="986" customFormat="false" ht="15.75" hidden="false" customHeight="false" outlineLevel="0" collapsed="false">
      <c r="A986" s="6" t="n">
        <f aca="false">DATE(2026,8,9)</f>
        <v>46243</v>
      </c>
      <c r="B986" s="4" t="s">
        <v>13</v>
      </c>
      <c r="C986" s="8" t="n">
        <v>8</v>
      </c>
      <c r="D986" s="8" t="n">
        <v>17</v>
      </c>
      <c r="E986" s="8" t="n">
        <v>11</v>
      </c>
      <c r="F986" s="4" t="s">
        <v>5562</v>
      </c>
      <c r="G986" s="8" t="n">
        <v>60</v>
      </c>
      <c r="H986" s="8" t="n">
        <v>8</v>
      </c>
      <c r="I986" s="4" t="s">
        <v>5550</v>
      </c>
      <c r="J986" s="8" t="n">
        <v>29</v>
      </c>
      <c r="K986" s="8" t="n">
        <v>13</v>
      </c>
      <c r="L986" s="8"/>
      <c r="M986" s="8" t="n">
        <v>44</v>
      </c>
      <c r="N986" s="8" t="n">
        <f aca="false">IF(A986="","",G986-J986)</f>
        <v>31</v>
      </c>
      <c r="O986" s="8" t="n">
        <f aca="false">IF(A986="","",J986-M986)</f>
        <v>-15</v>
      </c>
      <c r="P986" s="8" t="n">
        <f aca="false">IF(A986="","",G986+J986)</f>
        <v>89</v>
      </c>
      <c r="Q986" s="8" t="str">
        <f aca="false">IF(A986="","",IF(AND(Y986&lt;&gt;"参考",G986&gt;=ルール設定!$B$2),"○",""))</f>
        <v/>
      </c>
      <c r="R986" s="8" t="str">
        <f aca="false">IF(A986="","",IF(AND(Y986&lt;&gt;"参考",G986&gt;=ルール設定!$B$3,N986&gt;=ルール設定!$B$4),"○",""))</f>
        <v/>
      </c>
      <c r="S986" s="8" t="str">
        <f aca="false">IF(A986="","",IF(AND(Y986&lt;&gt;"参考",G986&gt;=ルール設定!$B$5,J986&gt;=ルール設定!$B$6,O986&gt;=ルール設定!$B$7),"○",""))</f>
        <v/>
      </c>
      <c r="T986" s="8" t="n">
        <v>2</v>
      </c>
      <c r="U986" s="8" t="n">
        <v>3</v>
      </c>
      <c r="V986" s="8" t="str">
        <f aca="false">IF(A986="","",IF(AND(ISNUMBER(T986),ISNUMBER(U986)),IF(AND(T986&lt;=3,U986&lt;=3),"○","×"),""))</f>
        <v>○</v>
      </c>
      <c r="W986" s="8" t="n">
        <v>130</v>
      </c>
      <c r="X986" s="8" t="n">
        <v>460</v>
      </c>
      <c r="Y986" s="4" t="s">
        <v>7597</v>
      </c>
      <c r="Z986" s="8" t="s">
        <v>8111</v>
      </c>
      <c r="AA986" s="8" t="str">
        <v/>
      </c>
      <c r="AB986" s="8" t="str">
        <v/>
      </c>
      <c r="AC986" s="8" t="str">
        <v/>
      </c>
      <c r="AD986" s="8" t="str">
        <v/>
      </c>
      <c r="AE986" s="8" t="str">
        <v/>
      </c>
      <c r="AF986" s="8" t="str">
        <v/>
      </c>
      <c r="AG986" s="8" t="str">
        <v/>
      </c>
      <c r="AH986" s="8" t="str">
        <v/>
      </c>
      <c r="AI986" s="8" t="n">
        <v>16</v>
      </c>
      <c r="AJ986" s="8" t="str">
        <v>60～69</v>
      </c>
      <c r="AK986" s="8" t="str">
        <v>30以上</v>
      </c>
      <c r="AL986" s="8" t="str">
        <v>10～19</v>
      </c>
      <c r="AM986" s="8" t="str">
        <v>～99</v>
      </c>
      <c r="AN986" s="8" t="str">
        <v>15以上</v>
      </c>
      <c r="AO986" s="8" t="str">
        <f aca="false">IF(A986="","",IF(COUNTIFS(全馬データ!$A$2:$A$50000,A986,全馬データ!$B$2:$B$50000,B986,全馬データ!$C$2:$C$50000,C986,全馬データ!$D$2:$D$50000,E986,全馬データ!$K$2:$K$50000,"&lt;&gt;")=0,"",SUMIFS(全馬データ!$K$2:$K$50000,全馬データ!$A$2:$A$50000,A986,全馬データ!$B$2:$B$50000,B986,全馬データ!$C$2:$C$50000,C986,全馬データ!$D$2:$D$50000,E986)))</f>
        <v/>
      </c>
      <c r="AP986" s="8" t="str">
        <f aca="false">IF(A986="","",IF(AO986="","欠損",IF(AO986&lt;=1.1,"1.0～1.1",IF(AO986&lt;1.3,"1.2",IF(AO986&lt;1.5,"1.3～1.4",IF(AO986&lt;2,"1.5～1.9","2.0以上"))))))</f>
        <v>欠損</v>
      </c>
      <c r="AQ986" s="8" t="str">
        <f aca="false">IF(A986="","",IF(ISNUMBER(SEARCH("2歳",Z986)),"2歳戦",IF(ISNUMBER(SEARCH("3歳未勝利",Z986)),"3歳未勝利",IF(ISNUMBER(SEARCH("未勝利",Z986)),"その他未勝利",IF(ISNUMBER(SEARCH("G1",Z986)),"G1",IF(ISNUMBER(SEARCH("G2",Z986)),"G2",IF(ISNUMBER(SEARCH("G3",Z986)),"G3",IF(ISNUMBER(SEARCH("古馬条件",Z986)),"古馬条件戦",IF(ISNUMBER(SEARCH("重賞",Z986)),"重賞","分類不能")))))))))</f>
        <v>分類不能</v>
      </c>
      <c r="AR986" s="4" t="s">
        <v>8123</v>
      </c>
      <c r="AS986" s="8" t="s">
        <v>7626</v>
      </c>
      <c r="AT986" s="8" t="s">
        <v>7627</v>
      </c>
      <c r="AU986" s="8" t="s">
        <v>7634</v>
      </c>
      <c r="AV986" s="8" t="s">
        <v>7635</v>
      </c>
      <c r="AW986" s="8" t="s">
        <v>7636</v>
      </c>
      <c r="AX986" s="4" t="s">
        <v>7637</v>
      </c>
      <c r="AY986" s="8" t="s">
        <v>7602</v>
      </c>
      <c r="AZ986" s="4" t="s">
        <v>7603</v>
      </c>
      <c r="BA986" s="8" t="n">
        <v>1000</v>
      </c>
      <c r="BB986" s="8" t="s">
        <v>7598</v>
      </c>
      <c r="BC986" s="4" t="s">
        <v>7604</v>
      </c>
      <c r="BD986" s="8" t="s">
        <v>7605</v>
      </c>
      <c r="BE986" s="4" t="s">
        <v>7606</v>
      </c>
      <c r="BF986" s="8" t="s">
        <v>7607</v>
      </c>
      <c r="BG986" s="8" t="s">
        <v>7631</v>
      </c>
      <c r="BH986" s="4" t="s">
        <v>7632</v>
      </c>
      <c r="BI986" s="8" t="n">
        <v>17</v>
      </c>
      <c r="BJ986" s="8" t="s">
        <v>7608</v>
      </c>
      <c r="BK986" s="4" t="s">
        <v>7649</v>
      </c>
      <c r="BL986" s="8" t="s">
        <v>7647</v>
      </c>
      <c r="BM986" s="4" t="s">
        <v>7648</v>
      </c>
      <c r="BN986" s="8" t="s">
        <v>7602</v>
      </c>
      <c r="BO986" s="8" t="s">
        <v>7613</v>
      </c>
      <c r="BP986" s="8" t="s">
        <v>7602</v>
      </c>
      <c r="BQ986" s="8" t="str">
        <f aca="false">IF(A986="","",AT986)</f>
        <v>3歳以上</v>
      </c>
      <c r="BR986" s="8" t="str">
        <f aca="false">IF(A986="","",IF(BA986&lt;=1200,"～1200",IF(BA986&lt;=1500,"1300～1500",IF(BA986=1600,"1600",IF(BA986&lt;=1800,"1700～1800",IF(BA986&lt;=2000,"1900～2000","2100以上"))))))</f>
        <v>～1200</v>
      </c>
      <c r="BS986" s="8" t="str">
        <f aca="false">IF(A986="","",IF(AX986="G1","G1",IF(AX986="G2","G2",IF(AX986="G3","G3",IF(AX986="L","L","その他")))))</f>
        <v>その他</v>
      </c>
      <c r="BT986" s="8" t="str">
        <f aca="false">IF(A986="","",IF(BI986="","未結合",IF(D986=BI986,"一致","不一致")))</f>
        <v>一致</v>
      </c>
      <c r="BU986" s="8" t="str">
        <f aca="false">IF(A986="","",IF(BE986="牝馬限定","牝馬限定","その他"))</f>
        <v>その他</v>
      </c>
    </row>
    <row r="987" customFormat="false" ht="15.75" hidden="false" customHeight="false" outlineLevel="0" collapsed="false">
      <c r="A987" s="6" t="n">
        <f aca="false">DATE(2026,8,9)</f>
        <v>46243</v>
      </c>
      <c r="B987" s="4" t="s">
        <v>13</v>
      </c>
      <c r="C987" s="8" t="n">
        <v>9</v>
      </c>
      <c r="D987" s="8" t="n">
        <v>15</v>
      </c>
      <c r="E987" s="8" t="n">
        <v>14</v>
      </c>
      <c r="F987" s="8"/>
      <c r="G987" s="8" t="n">
        <v>65</v>
      </c>
      <c r="H987" s="8" t="n">
        <v>8</v>
      </c>
      <c r="I987" s="8"/>
      <c r="J987" s="8" t="n">
        <v>31</v>
      </c>
      <c r="K987" s="8" t="n">
        <v>5</v>
      </c>
      <c r="L987" s="4" t="s">
        <v>5981</v>
      </c>
      <c r="M987" s="8" t="n">
        <v>37</v>
      </c>
      <c r="N987" s="8" t="n">
        <f aca="false">IF(A987="","",G987-J987)</f>
        <v>34</v>
      </c>
      <c r="O987" s="8" t="n">
        <f aca="false">IF(A987="","",J987-M987)</f>
        <v>-6</v>
      </c>
      <c r="P987" s="8" t="n">
        <f aca="false">IF(A987="","",G987+J987)</f>
        <v>96</v>
      </c>
      <c r="Q987" s="8" t="str">
        <f aca="false">IF(A987="","",IF(AND(Y987&lt;&gt;"参考",G987&gt;=ルール設定!$B$2),"○",""))</f>
        <v/>
      </c>
      <c r="R987" s="8" t="str">
        <f aca="false">IF(A987="","",IF(AND(Y987&lt;&gt;"参考",G987&gt;=ルール設定!$B$3,N987&gt;=ルール設定!$B$4),"○",""))</f>
        <v/>
      </c>
      <c r="S987" s="8" t="str">
        <f aca="false">IF(A987="","",IF(AND(Y987&lt;&gt;"参考",G987&gt;=ルール設定!$B$5,J987&gt;=ルール設定!$B$6,O987&gt;=ルール設定!$B$7),"○",""))</f>
        <v/>
      </c>
      <c r="T987" s="8" t="n">
        <v>4</v>
      </c>
      <c r="U987" s="8" t="n">
        <v>4</v>
      </c>
      <c r="V987" s="8" t="str">
        <f aca="false">IF(A987="","",IF(AND(ISNUMBER(T987),ISNUMBER(U987)),IF(AND(T987&lt;=3,U987&lt;=3),"○","×"),""))</f>
        <v>×</v>
      </c>
      <c r="W987" s="8"/>
      <c r="X987" s="8"/>
      <c r="Y987" s="4" t="s">
        <v>7597</v>
      </c>
      <c r="Z987" s="8" t="s">
        <v>8111</v>
      </c>
      <c r="AA987" s="8" t="str">
        <v/>
      </c>
      <c r="AB987" s="8" t="str">
        <v/>
      </c>
      <c r="AC987" s="8" t="str">
        <v/>
      </c>
      <c r="AD987" s="8" t="str">
        <v/>
      </c>
      <c r="AE987" s="8" t="str">
        <v/>
      </c>
      <c r="AF987" s="8" t="str">
        <v/>
      </c>
      <c r="AG987" s="8" t="str">
        <v/>
      </c>
      <c r="AH987" s="8" t="str">
        <v/>
      </c>
      <c r="AI987" s="8" t="n">
        <v>28</v>
      </c>
      <c r="AJ987" s="8" t="str">
        <v>60～69</v>
      </c>
      <c r="AK987" s="8" t="str">
        <v>30以上</v>
      </c>
      <c r="AL987" s="8" t="str">
        <v>20～29</v>
      </c>
      <c r="AM987" s="8" t="str">
        <v>～99</v>
      </c>
      <c r="AN987" s="8" t="str">
        <v>15以上</v>
      </c>
      <c r="AO987" s="8" t="str">
        <f aca="false">IF(A987="","",IF(COUNTIFS(全馬データ!$A$2:$A$50000,A987,全馬データ!$B$2:$B$50000,B987,全馬データ!$C$2:$C$50000,C987,全馬データ!$D$2:$D$50000,E987,全馬データ!$K$2:$K$50000,"&lt;&gt;")=0,"",SUMIFS(全馬データ!$K$2:$K$50000,全馬データ!$A$2:$A$50000,A987,全馬データ!$B$2:$B$50000,B987,全馬データ!$C$2:$C$50000,C987,全馬データ!$D$2:$D$50000,E987)))</f>
        <v/>
      </c>
      <c r="AP987" s="8" t="str">
        <f aca="false">IF(A987="","",IF(AO987="","欠損",IF(AO987&lt;=1.1,"1.0～1.1",IF(AO987&lt;1.3,"1.2",IF(AO987&lt;1.5,"1.3～1.4",IF(AO987&lt;2,"1.5～1.9","2.0以上"))))))</f>
        <v>欠損</v>
      </c>
      <c r="AQ987" s="8" t="str">
        <f aca="false">IF(A987="","",IF(ISNUMBER(SEARCH("2歳",Z987)),"2歳戦",IF(ISNUMBER(SEARCH("3歳未勝利",Z987)),"3歳未勝利",IF(ISNUMBER(SEARCH("未勝利",Z987)),"その他未勝利",IF(ISNUMBER(SEARCH("G1",Z987)),"G1",IF(ISNUMBER(SEARCH("G2",Z987)),"G2",IF(ISNUMBER(SEARCH("G3",Z987)),"G3",IF(ISNUMBER(SEARCH("古馬条件",Z987)),"古馬条件戦",IF(ISNUMBER(SEARCH("重賞",Z987)),"重賞","分類不能")))))))))</f>
        <v>分類不能</v>
      </c>
      <c r="AR987" s="8"/>
      <c r="AS987" s="8" t="s">
        <v>7626</v>
      </c>
      <c r="AT987" s="8" t="s">
        <v>7627</v>
      </c>
      <c r="AU987" s="8" t="s">
        <v>7634</v>
      </c>
      <c r="AV987" s="8" t="s">
        <v>7635</v>
      </c>
      <c r="AW987" s="8"/>
      <c r="AX987" s="8"/>
      <c r="AY987" s="8" t="s">
        <v>7610</v>
      </c>
      <c r="AZ987" s="4" t="s">
        <v>7617</v>
      </c>
      <c r="BA987" s="8" t="n">
        <v>1200</v>
      </c>
      <c r="BB987" s="8" t="s">
        <v>7598</v>
      </c>
      <c r="BC987" s="4" t="s">
        <v>7604</v>
      </c>
      <c r="BD987" s="8" t="s">
        <v>7605</v>
      </c>
      <c r="BE987" s="4" t="s">
        <v>7606</v>
      </c>
      <c r="BF987" s="8" t="s">
        <v>7607</v>
      </c>
      <c r="BG987" s="8" t="s">
        <v>7631</v>
      </c>
      <c r="BH987" s="4" t="s">
        <v>7632</v>
      </c>
      <c r="BI987" s="8" t="n">
        <v>15</v>
      </c>
      <c r="BJ987" s="8" t="s">
        <v>7610</v>
      </c>
      <c r="BK987" s="4" t="s">
        <v>7611</v>
      </c>
      <c r="BL987" s="8" t="s">
        <v>7602</v>
      </c>
      <c r="BM987" s="4" t="s">
        <v>7620</v>
      </c>
      <c r="BN987" s="8"/>
      <c r="BO987" s="8"/>
      <c r="BP987" s="8" t="s">
        <v>7602</v>
      </c>
      <c r="BQ987" s="8" t="str">
        <f aca="false">IF(A987="","",AT987)</f>
        <v>3歳以上</v>
      </c>
      <c r="BR987" s="8" t="str">
        <f aca="false">IF(A987="","",IF(BA987&lt;=1200,"～1200",IF(BA987&lt;=1500,"1300～1500",IF(BA987=1600,"1600",IF(BA987&lt;=1800,"1700～1800",IF(BA987&lt;=2000,"1900～2000","2100以上"))))))</f>
        <v>～1200</v>
      </c>
      <c r="BS987" s="8" t="str">
        <f aca="false">IF(A987="","",IF(AX987="G1","G1",IF(AX987="G2","G2",IF(AX987="G3","G3",IF(AX987="L","L","その他")))))</f>
        <v>その他</v>
      </c>
      <c r="BT987" s="8" t="str">
        <f aca="false">IF(A987="","",IF(BI987="","未結合",IF(D987=BI987,"一致","不一致")))</f>
        <v>一致</v>
      </c>
      <c r="BU987" s="8" t="str">
        <f aca="false">IF(A987="","",IF(BE987="牝馬限定","牝馬限定","その他"))</f>
        <v>その他</v>
      </c>
    </row>
    <row r="988" customFormat="false" ht="15.75" hidden="false" customHeight="false" outlineLevel="0" collapsed="false">
      <c r="A988" s="6" t="n">
        <f aca="false">DATE(2026,8,9)</f>
        <v>46243</v>
      </c>
      <c r="B988" s="4" t="s">
        <v>13</v>
      </c>
      <c r="C988" s="8" t="n">
        <v>10</v>
      </c>
      <c r="D988" s="8" t="n">
        <v>7</v>
      </c>
      <c r="E988" s="8" t="n">
        <v>7</v>
      </c>
      <c r="F988" s="4" t="s">
        <v>4538</v>
      </c>
      <c r="G988" s="8" t="n">
        <v>75</v>
      </c>
      <c r="H988" s="8" t="n">
        <v>6</v>
      </c>
      <c r="I988" s="4" t="s">
        <v>5557</v>
      </c>
      <c r="J988" s="8" t="n">
        <v>34</v>
      </c>
      <c r="K988" s="8" t="n">
        <v>5</v>
      </c>
      <c r="L988" s="4" t="s">
        <v>6927</v>
      </c>
      <c r="M988" s="8" t="n">
        <v>67</v>
      </c>
      <c r="N988" s="8" t="n">
        <f aca="false">IF(A988="","",G988-J988)</f>
        <v>41</v>
      </c>
      <c r="O988" s="8" t="n">
        <f aca="false">IF(A988="","",J988-M988)</f>
        <v>-33</v>
      </c>
      <c r="P988" s="8" t="n">
        <f aca="false">IF(A988="","",G988+J988)</f>
        <v>109</v>
      </c>
      <c r="Q988" s="8" t="str">
        <f aca="false">IF(A988="","",IF(AND(Y988&lt;&gt;"参考",G988&gt;=ルール設定!$B$2),"○",""))</f>
        <v/>
      </c>
      <c r="R988" s="8" t="str">
        <f aca="false">IF(A988="","",IF(AND(Y988&lt;&gt;"参考",G988&gt;=ルール設定!$B$3,N988&gt;=ルール設定!$B$4),"○",""))</f>
        <v>○</v>
      </c>
      <c r="S988" s="8" t="str">
        <f aca="false">IF(A988="","",IF(AND(Y988&lt;&gt;"参考",G988&gt;=ルール設定!$B$5,J988&gt;=ルール設定!$B$6,O988&gt;=ルール設定!$B$7),"○",""))</f>
        <v/>
      </c>
      <c r="T988" s="8" t="n">
        <v>2</v>
      </c>
      <c r="U988" s="8" t="n">
        <v>3</v>
      </c>
      <c r="V988" s="8" t="str">
        <f aca="false">IF(A988="","",IF(AND(ISNUMBER(T988),ISNUMBER(U988)),IF(AND(T988&lt;=3,U988&lt;=3),"○","×"),""))</f>
        <v>○</v>
      </c>
      <c r="W988" s="8" t="n">
        <v>110</v>
      </c>
      <c r="X988" s="8" t="n">
        <v>240</v>
      </c>
      <c r="Y988" s="4" t="s">
        <v>7597</v>
      </c>
      <c r="Z988" s="8" t="s">
        <v>8111</v>
      </c>
      <c r="AA988" s="8" t="str">
        <v/>
      </c>
      <c r="AB988" s="8" t="str">
        <v/>
      </c>
      <c r="AC988" s="8" t="str">
        <v/>
      </c>
      <c r="AD988" s="8" t="str">
        <v/>
      </c>
      <c r="AE988" s="8" t="str">
        <v>○</v>
      </c>
      <c r="AF988" s="8" t="str">
        <v/>
      </c>
      <c r="AG988" s="8" t="str">
        <v/>
      </c>
      <c r="AH988" s="8" t="str">
        <v/>
      </c>
      <c r="AI988" s="8" t="n">
        <v>8</v>
      </c>
      <c r="AJ988" s="8" t="str">
        <v>75～79</v>
      </c>
      <c r="AK988" s="8" t="str">
        <v>30以上</v>
      </c>
      <c r="AL988" s="8" t="str">
        <v>0～9</v>
      </c>
      <c r="AM988" s="8" t="str">
        <v>100～119</v>
      </c>
      <c r="AN988" s="8" t="str">
        <v>7以下</v>
      </c>
      <c r="AO988" s="8" t="str">
        <f aca="false">IF(A988="","",IF(COUNTIFS(全馬データ!$A$2:$A$50000,A988,全馬データ!$B$2:$B$50000,B988,全馬データ!$C$2:$C$50000,C988,全馬データ!$D$2:$D$50000,E988,全馬データ!$K$2:$K$50000,"&lt;&gt;")=0,"",SUMIFS(全馬データ!$K$2:$K$50000,全馬データ!$A$2:$A$50000,A988,全馬データ!$B$2:$B$50000,B988,全馬データ!$C$2:$C$50000,C988,全馬データ!$D$2:$D$50000,E988)))</f>
        <v/>
      </c>
      <c r="AP988" s="8" t="str">
        <f aca="false">IF(A988="","",IF(AO988="","欠損",IF(AO988&lt;=1.1,"1.0～1.1",IF(AO988&lt;1.3,"1.2",IF(AO988&lt;1.5,"1.3～1.4",IF(AO988&lt;2,"1.5～1.9","2.0以上"))))))</f>
        <v>欠損</v>
      </c>
      <c r="AQ988" s="8" t="str">
        <f aca="false">IF(A988="","",IF(ISNUMBER(SEARCH("2歳",Z988)),"2歳戦",IF(ISNUMBER(SEARCH("3歳未勝利",Z988)),"3歳未勝利",IF(ISNUMBER(SEARCH("未勝利",Z988)),"その他未勝利",IF(ISNUMBER(SEARCH("G1",Z988)),"G1",IF(ISNUMBER(SEARCH("G2",Z988)),"G2",IF(ISNUMBER(SEARCH("G3",Z988)),"G3",IF(ISNUMBER(SEARCH("古馬条件",Z988)),"古馬条件戦",IF(ISNUMBER(SEARCH("重賞",Z988)),"重賞","分類不能")))))))))</f>
        <v>分類不能</v>
      </c>
      <c r="AR988" s="8"/>
      <c r="AS988" s="8" t="s">
        <v>7626</v>
      </c>
      <c r="AT988" s="8" t="s">
        <v>7627</v>
      </c>
      <c r="AU988" s="8" t="s">
        <v>7628</v>
      </c>
      <c r="AV988" s="8" t="s">
        <v>7629</v>
      </c>
      <c r="AW988" s="8"/>
      <c r="AX988" s="8"/>
      <c r="AY988" s="8" t="s">
        <v>7602</v>
      </c>
      <c r="AZ988" s="4" t="s">
        <v>7603</v>
      </c>
      <c r="BA988" s="8" t="n">
        <v>2000</v>
      </c>
      <c r="BB988" s="8" t="s">
        <v>7598</v>
      </c>
      <c r="BC988" s="4" t="s">
        <v>7604</v>
      </c>
      <c r="BD988" s="8" t="s">
        <v>7625</v>
      </c>
      <c r="BE988" s="4" t="s">
        <v>7606</v>
      </c>
      <c r="BF988" s="8" t="s">
        <v>7607</v>
      </c>
      <c r="BG988" s="8" t="s">
        <v>7631</v>
      </c>
      <c r="BH988" s="4" t="s">
        <v>7632</v>
      </c>
      <c r="BI988" s="8" t="n">
        <v>7</v>
      </c>
      <c r="BJ988" s="8" t="s">
        <v>7610</v>
      </c>
      <c r="BK988" s="4" t="s">
        <v>7611</v>
      </c>
      <c r="BL988" s="8" t="s">
        <v>7610</v>
      </c>
      <c r="BM988" s="4" t="s">
        <v>7612</v>
      </c>
      <c r="BN988" s="8" t="s">
        <v>7602</v>
      </c>
      <c r="BO988" s="8" t="s">
        <v>7613</v>
      </c>
      <c r="BP988" s="8" t="s">
        <v>7602</v>
      </c>
      <c r="BQ988" s="8" t="str">
        <f aca="false">IF(A988="","",AT988)</f>
        <v>3歳以上</v>
      </c>
      <c r="BR988" s="8" t="str">
        <f aca="false">IF(A988="","",IF(BA988&lt;=1200,"～1200",IF(BA988&lt;=1500,"1300～1500",IF(BA988=1600,"1600",IF(BA988&lt;=1800,"1700～1800",IF(BA988&lt;=2000,"1900～2000","2100以上"))))))</f>
        <v>1900～2000</v>
      </c>
      <c r="BS988" s="8" t="str">
        <f aca="false">IF(A988="","",IF(AX988="G1","G1",IF(AX988="G2","G2",IF(AX988="G3","G3",IF(AX988="L","L","その他")))))</f>
        <v>その他</v>
      </c>
      <c r="BT988" s="8" t="str">
        <f aca="false">IF(A988="","",IF(BI988="","未結合",IF(D988=BI988,"一致","不一致")))</f>
        <v>一致</v>
      </c>
      <c r="BU988" s="8" t="str">
        <f aca="false">IF(A988="","",IF(BE988="牝馬限定","牝馬限定","その他"))</f>
        <v>その他</v>
      </c>
    </row>
    <row r="989" customFormat="false" ht="15.75" hidden="false" customHeight="false" outlineLevel="0" collapsed="false">
      <c r="A989" s="6" t="n">
        <f aca="false">DATE(2026,8,9)</f>
        <v>46243</v>
      </c>
      <c r="B989" s="4" t="s">
        <v>13</v>
      </c>
      <c r="C989" s="8" t="n">
        <v>11</v>
      </c>
      <c r="D989" s="8" t="n">
        <v>18</v>
      </c>
      <c r="E989" s="8" t="n">
        <v>3</v>
      </c>
      <c r="F989" s="4" t="s">
        <v>4702</v>
      </c>
      <c r="G989" s="8" t="n">
        <v>52</v>
      </c>
      <c r="H989" s="8" t="n">
        <v>4</v>
      </c>
      <c r="I989" s="8"/>
      <c r="J989" s="8" t="n">
        <v>41</v>
      </c>
      <c r="K989" s="8" t="n">
        <v>16</v>
      </c>
      <c r="L989" s="8"/>
      <c r="M989" s="8" t="n">
        <v>44</v>
      </c>
      <c r="N989" s="8" t="n">
        <f aca="false">IF(A989="","",G989-J989)</f>
        <v>11</v>
      </c>
      <c r="O989" s="8" t="n">
        <f aca="false">IF(A989="","",J989-M989)</f>
        <v>-3</v>
      </c>
      <c r="P989" s="8" t="n">
        <f aca="false">IF(A989="","",G989+J989)</f>
        <v>93</v>
      </c>
      <c r="Q989" s="8" t="str">
        <f aca="false">IF(A989="","",IF(AND(Y989&lt;&gt;"参考",G989&gt;=ルール設定!$B$2),"○",""))</f>
        <v/>
      </c>
      <c r="R989" s="8" t="str">
        <f aca="false">IF(A989="","",IF(AND(Y989&lt;&gt;"参考",G989&gt;=ルール設定!$B$3,N989&gt;=ルール設定!$B$4),"○",""))</f>
        <v/>
      </c>
      <c r="S989" s="8" t="str">
        <f aca="false">IF(A989="","",IF(AND(Y989&lt;&gt;"参考",G989&gt;=ルール設定!$B$5,J989&gt;=ルール設定!$B$6,O989&gt;=ルール設定!$B$7),"○",""))</f>
        <v/>
      </c>
      <c r="T989" s="8" t="n">
        <v>3</v>
      </c>
      <c r="U989" s="8" t="n">
        <v>4</v>
      </c>
      <c r="V989" s="8" t="str">
        <f aca="false">IF(A989="","",IF(AND(ISNUMBER(T989),ISNUMBER(U989)),IF(AND(T989&lt;=3,U989&lt;=3),"○","×"),""))</f>
        <v>×</v>
      </c>
      <c r="W989" s="8" t="n">
        <v>130</v>
      </c>
      <c r="X989" s="8"/>
      <c r="Y989" s="4" t="s">
        <v>7597</v>
      </c>
      <c r="Z989" s="8" t="s">
        <v>8111</v>
      </c>
      <c r="AA989" s="8" t="str">
        <v/>
      </c>
      <c r="AB989" s="8" t="str">
        <v/>
      </c>
      <c r="AC989" s="8" t="str">
        <v/>
      </c>
      <c r="AD989" s="8" t="str">
        <v/>
      </c>
      <c r="AE989" s="8" t="str">
        <v/>
      </c>
      <c r="AF989" s="8" t="str">
        <v/>
      </c>
      <c r="AG989" s="8" t="str">
        <v/>
      </c>
      <c r="AH989" s="8" t="str">
        <v/>
      </c>
      <c r="AI989" s="8" t="n">
        <v>8</v>
      </c>
      <c r="AJ989" s="8" t="str">
        <v>～59</v>
      </c>
      <c r="AK989" s="8" t="str">
        <v>10～19</v>
      </c>
      <c r="AL989" s="8" t="str">
        <v>0～9</v>
      </c>
      <c r="AM989" s="8" t="str">
        <v>～99</v>
      </c>
      <c r="AN989" s="8" t="str">
        <v>15以上</v>
      </c>
      <c r="AO989" s="8" t="str">
        <f aca="false">IF(A989="","",IF(COUNTIFS(全馬データ!$A$2:$A$50000,A989,全馬データ!$B$2:$B$50000,B989,全馬データ!$C$2:$C$50000,C989,全馬データ!$D$2:$D$50000,E989,全馬データ!$K$2:$K$50000,"&lt;&gt;")=0,"",SUMIFS(全馬データ!$K$2:$K$50000,全馬データ!$A$2:$A$50000,A989,全馬データ!$B$2:$B$50000,B989,全馬データ!$C$2:$C$50000,C989,全馬データ!$D$2:$D$50000,E989)))</f>
        <v/>
      </c>
      <c r="AP989" s="8" t="str">
        <f aca="false">IF(A989="","",IF(AO989="","欠損",IF(AO989&lt;=1.1,"1.0～1.1",IF(AO989&lt;1.3,"1.2",IF(AO989&lt;1.5,"1.3～1.4",IF(AO989&lt;2,"1.5～1.9","2.0以上"))))))</f>
        <v>欠損</v>
      </c>
      <c r="AQ989" s="8" t="str">
        <f aca="false">IF(A989="","",IF(ISNUMBER(SEARCH("2歳",Z989)),"2歳戦",IF(ISNUMBER(SEARCH("3歳未勝利",Z989)),"3歳未勝利",IF(ISNUMBER(SEARCH("未勝利",Z989)),"その他未勝利",IF(ISNUMBER(SEARCH("G1",Z989)),"G1",IF(ISNUMBER(SEARCH("G2",Z989)),"G2",IF(ISNUMBER(SEARCH("G3",Z989)),"G3",IF(ISNUMBER(SEARCH("古馬条件",Z989)),"古馬条件戦",IF(ISNUMBER(SEARCH("重賞",Z989)),"重賞","分類不能")))))))))</f>
        <v>分類不能</v>
      </c>
      <c r="AR989" s="8"/>
      <c r="AS989" s="8" t="s">
        <v>7623</v>
      </c>
      <c r="AT989" s="8" t="s">
        <v>7624</v>
      </c>
      <c r="AU989" s="8" t="s">
        <v>7600</v>
      </c>
      <c r="AV989" s="4" t="s">
        <v>7601</v>
      </c>
      <c r="AW989" s="8"/>
      <c r="AX989" s="8"/>
      <c r="AY989" s="8" t="s">
        <v>7602</v>
      </c>
      <c r="AZ989" s="4" t="s">
        <v>7603</v>
      </c>
      <c r="BA989" s="8" t="n">
        <v>1600</v>
      </c>
      <c r="BB989" s="8" t="s">
        <v>7598</v>
      </c>
      <c r="BC989" s="4" t="s">
        <v>7604</v>
      </c>
      <c r="BD989" s="8" t="s">
        <v>7621</v>
      </c>
      <c r="BE989" s="4" t="s">
        <v>7622</v>
      </c>
      <c r="BF989" s="8" t="s">
        <v>7602</v>
      </c>
      <c r="BG989" s="8" t="s">
        <v>7608</v>
      </c>
      <c r="BH989" s="4" t="s">
        <v>7609</v>
      </c>
      <c r="BI989" s="8" t="n">
        <v>18</v>
      </c>
      <c r="BJ989" s="8" t="s">
        <v>7610</v>
      </c>
      <c r="BK989" s="4" t="s">
        <v>7611</v>
      </c>
      <c r="BL989" s="8" t="s">
        <v>7610</v>
      </c>
      <c r="BM989" s="4" t="s">
        <v>7612</v>
      </c>
      <c r="BN989" s="8" t="s">
        <v>7602</v>
      </c>
      <c r="BO989" s="8" t="s">
        <v>7613</v>
      </c>
      <c r="BP989" s="8" t="s">
        <v>7602</v>
      </c>
      <c r="BQ989" s="8" t="str">
        <f aca="false">IF(A989="","",AT989)</f>
        <v>3歳</v>
      </c>
      <c r="BR989" s="8" t="str">
        <f aca="false">IF(A989="","",IF(BA989&lt;=1200,"～1200",IF(BA989&lt;=1500,"1300～1500",IF(BA989=1600,"1600",IF(BA989&lt;=1800,"1700～1800",IF(BA989&lt;=2000,"1900～2000","2100以上"))))))</f>
        <v>1600</v>
      </c>
      <c r="BS989" s="8" t="str">
        <f aca="false">IF(A989="","",IF(AX989="G1","G1",IF(AX989="G2","G2",IF(AX989="G3","G3",IF(AX989="L","L","その他")))))</f>
        <v>その他</v>
      </c>
      <c r="BT989" s="8" t="str">
        <f aca="false">IF(A989="","",IF(BI989="","未結合",IF(D989=BI989,"一致","不一致")))</f>
        <v>一致</v>
      </c>
      <c r="BU989" s="8" t="str">
        <f aca="false">IF(A989="","",IF(BE989="牝馬限定","牝馬限定","その他"))</f>
        <v>牝馬限定</v>
      </c>
    </row>
    <row r="990" customFormat="false" ht="15.75" hidden="false" customHeight="false" outlineLevel="0" collapsed="false">
      <c r="A990" s="6" t="n">
        <f aca="false">DATE(2026,8,9)</f>
        <v>46243</v>
      </c>
      <c r="B990" s="4" t="s">
        <v>13</v>
      </c>
      <c r="C990" s="8" t="n">
        <v>12</v>
      </c>
      <c r="D990" s="8" t="n">
        <v>18</v>
      </c>
      <c r="E990" s="8" t="n">
        <v>15</v>
      </c>
      <c r="F990" s="4" t="s">
        <v>2617</v>
      </c>
      <c r="G990" s="8" t="n">
        <v>58</v>
      </c>
      <c r="H990" s="8" t="n">
        <v>10</v>
      </c>
      <c r="I990" s="8"/>
      <c r="J990" s="8" t="n">
        <v>37</v>
      </c>
      <c r="K990" s="8" t="n">
        <v>16</v>
      </c>
      <c r="L990" s="8"/>
      <c r="M990" s="8" t="n">
        <v>37</v>
      </c>
      <c r="N990" s="8" t="n">
        <f aca="false">IF(A990="","",G990-J990)</f>
        <v>21</v>
      </c>
      <c r="O990" s="8" t="n">
        <f aca="false">IF(A990="","",J990-M990)</f>
        <v>0</v>
      </c>
      <c r="P990" s="8" t="n">
        <f aca="false">IF(A990="","",G990+J990)</f>
        <v>95</v>
      </c>
      <c r="Q990" s="8" t="str">
        <f aca="false">IF(A990="","",IF(AND(Y990&lt;&gt;"参考",G990&gt;=ルール設定!$B$2),"○",""))</f>
        <v/>
      </c>
      <c r="R990" s="8" t="str">
        <f aca="false">IF(A990="","",IF(AND(Y990&lt;&gt;"参考",G990&gt;=ルール設定!$B$3,N990&gt;=ルール設定!$B$4),"○",""))</f>
        <v/>
      </c>
      <c r="S990" s="8" t="str">
        <f aca="false">IF(A990="","",IF(AND(Y990&lt;&gt;"参考",G990&gt;=ルール設定!$B$5,J990&gt;=ルール設定!$B$6,O990&gt;=ルール設定!$B$7),"○",""))</f>
        <v/>
      </c>
      <c r="T990" s="8" t="n">
        <v>3</v>
      </c>
      <c r="U990" s="8" t="n">
        <v>4</v>
      </c>
      <c r="V990" s="8" t="str">
        <f aca="false">IF(A990="","",IF(AND(ISNUMBER(T990),ISNUMBER(U990)),IF(AND(T990&lt;=3,U990&lt;=3),"○","×"),""))</f>
        <v>×</v>
      </c>
      <c r="W990" s="8" t="n">
        <v>190</v>
      </c>
      <c r="X990" s="8"/>
      <c r="Y990" s="4" t="s">
        <v>7597</v>
      </c>
      <c r="Z990" s="8" t="s">
        <v>8111</v>
      </c>
      <c r="AA990" s="8" t="str">
        <v/>
      </c>
      <c r="AB990" s="8" t="str">
        <v/>
      </c>
      <c r="AC990" s="8" t="str">
        <v/>
      </c>
      <c r="AD990" s="8" t="str">
        <v/>
      </c>
      <c r="AE990" s="8" t="str">
        <v/>
      </c>
      <c r="AF990" s="8" t="str">
        <v/>
      </c>
      <c r="AG990" s="8" t="str">
        <v/>
      </c>
      <c r="AH990" s="8" t="str">
        <v/>
      </c>
      <c r="AI990" s="8" t="n">
        <v>21</v>
      </c>
      <c r="AJ990" s="8" t="str">
        <v>～59</v>
      </c>
      <c r="AK990" s="8" t="str">
        <v>20～29</v>
      </c>
      <c r="AL990" s="8" t="str">
        <v>20～29</v>
      </c>
      <c r="AM990" s="8" t="str">
        <v>～99</v>
      </c>
      <c r="AN990" s="8" t="str">
        <v>15以上</v>
      </c>
      <c r="AO990" s="8" t="str">
        <f aca="false">IF(A990="","",IF(COUNTIFS(全馬データ!$A$2:$A$50000,A990,全馬データ!$B$2:$B$50000,B990,全馬データ!$C$2:$C$50000,C990,全馬データ!$D$2:$D$50000,E990,全馬データ!$K$2:$K$50000,"&lt;&gt;")=0,"",SUMIFS(全馬データ!$K$2:$K$50000,全馬データ!$A$2:$A$50000,A990,全馬データ!$B$2:$B$50000,B990,全馬データ!$C$2:$C$50000,C990,全馬データ!$D$2:$D$50000,E990)))</f>
        <v/>
      </c>
      <c r="AP990" s="8" t="str">
        <f aca="false">IF(A990="","",IF(AO990="","欠損",IF(AO990&lt;=1.1,"1.0～1.1",IF(AO990&lt;1.3,"1.2",IF(AO990&lt;1.5,"1.3～1.4",IF(AO990&lt;2,"1.5～1.9","2.0以上"))))))</f>
        <v>欠損</v>
      </c>
      <c r="AQ990" s="8" t="str">
        <f aca="false">IF(A990="","",IF(ISNUMBER(SEARCH("2歳",Z990)),"2歳戦",IF(ISNUMBER(SEARCH("3歳未勝利",Z990)),"3歳未勝利",IF(ISNUMBER(SEARCH("未勝利",Z990)),"その他未勝利",IF(ISNUMBER(SEARCH("G1",Z990)),"G1",IF(ISNUMBER(SEARCH("G2",Z990)),"G2",IF(ISNUMBER(SEARCH("G3",Z990)),"G3",IF(ISNUMBER(SEARCH("古馬条件",Z990)),"古馬条件戦",IF(ISNUMBER(SEARCH("重賞",Z990)),"重賞","分類不能")))))))))</f>
        <v>分類不能</v>
      </c>
      <c r="AR990" s="8"/>
      <c r="AS990" s="8" t="s">
        <v>7623</v>
      </c>
      <c r="AT990" s="8" t="s">
        <v>7624</v>
      </c>
      <c r="AU990" s="8" t="s">
        <v>7600</v>
      </c>
      <c r="AV990" s="4" t="s">
        <v>7601</v>
      </c>
      <c r="AW990" s="8"/>
      <c r="AX990" s="8"/>
      <c r="AY990" s="8" t="s">
        <v>7602</v>
      </c>
      <c r="AZ990" s="4" t="s">
        <v>7603</v>
      </c>
      <c r="BA990" s="8" t="n">
        <v>1200</v>
      </c>
      <c r="BB990" s="8" t="s">
        <v>7598</v>
      </c>
      <c r="BC990" s="4" t="s">
        <v>7604</v>
      </c>
      <c r="BD990" s="8" t="s">
        <v>7605</v>
      </c>
      <c r="BE990" s="4" t="s">
        <v>7606</v>
      </c>
      <c r="BF990" s="8" t="s">
        <v>7607</v>
      </c>
      <c r="BG990" s="8" t="s">
        <v>7608</v>
      </c>
      <c r="BH990" s="4" t="s">
        <v>7609</v>
      </c>
      <c r="BI990" s="8" t="n">
        <v>18</v>
      </c>
      <c r="BJ990" s="8" t="s">
        <v>7610</v>
      </c>
      <c r="BK990" s="4" t="s">
        <v>7611</v>
      </c>
      <c r="BL990" s="8" t="s">
        <v>7602</v>
      </c>
      <c r="BM990" s="4" t="s">
        <v>7620</v>
      </c>
      <c r="BN990" s="8" t="s">
        <v>7602</v>
      </c>
      <c r="BO990" s="8" t="s">
        <v>7613</v>
      </c>
      <c r="BP990" s="8" t="s">
        <v>7602</v>
      </c>
      <c r="BQ990" s="8" t="str">
        <f aca="false">IF(A990="","",AT990)</f>
        <v>3歳</v>
      </c>
      <c r="BR990" s="8" t="str">
        <f aca="false">IF(A990="","",IF(BA990&lt;=1200,"～1200",IF(BA990&lt;=1500,"1300～1500",IF(BA990=1600,"1600",IF(BA990&lt;=1800,"1700～1800",IF(BA990&lt;=2000,"1900～2000","2100以上"))))))</f>
        <v>～1200</v>
      </c>
      <c r="BS990" s="8" t="str">
        <f aca="false">IF(A990="","",IF(AX990="G1","G1",IF(AX990="G2","G2",IF(AX990="G3","G3",IF(AX990="L","L","その他")))))</f>
        <v>その他</v>
      </c>
      <c r="BT990" s="8" t="str">
        <f aca="false">IF(A990="","",IF(BI990="","未結合",IF(D990=BI990,"一致","不一致")))</f>
        <v>一致</v>
      </c>
      <c r="BU990" s="8" t="str">
        <f aca="false">IF(A990="","",IF(BE990="牝馬限定","牝馬限定","その他"))</f>
        <v>その他</v>
      </c>
    </row>
    <row r="991" customFormat="false" ht="15.75" hidden="false" customHeight="false" outlineLevel="0" collapsed="false">
      <c r="A991" s="6" t="n">
        <f aca="false">DATE(2026,8,9)</f>
        <v>46243</v>
      </c>
      <c r="B991" s="4" t="s">
        <v>334</v>
      </c>
      <c r="C991" s="8" t="n">
        <v>1</v>
      </c>
      <c r="D991" s="8" t="n">
        <v>12</v>
      </c>
      <c r="E991" s="8" t="n">
        <v>12</v>
      </c>
      <c r="F991" s="4" t="s">
        <v>1775</v>
      </c>
      <c r="G991" s="8" t="n">
        <v>62</v>
      </c>
      <c r="H991" s="8" t="n">
        <v>10</v>
      </c>
      <c r="I991" s="4" t="s">
        <v>5146</v>
      </c>
      <c r="J991" s="8" t="n">
        <v>41</v>
      </c>
      <c r="K991" s="8" t="n">
        <v>3</v>
      </c>
      <c r="L991" s="8"/>
      <c r="M991" s="8" t="n">
        <v>50</v>
      </c>
      <c r="N991" s="8" t="n">
        <f aca="false">IF(A991="","",G991-J991)</f>
        <v>21</v>
      </c>
      <c r="O991" s="8" t="n">
        <f aca="false">IF(A991="","",J991-M991)</f>
        <v>-9</v>
      </c>
      <c r="P991" s="8" t="n">
        <f aca="false">IF(A991="","",G991+J991)</f>
        <v>103</v>
      </c>
      <c r="Q991" s="8" t="str">
        <f aca="false">IF(A991="","",IF(AND(Y991&lt;&gt;"参考",G991&gt;=ルール設定!$B$2),"○",""))</f>
        <v/>
      </c>
      <c r="R991" s="8" t="str">
        <f aca="false">IF(A991="","",IF(AND(Y991&lt;&gt;"参考",G991&gt;=ルール設定!$B$3,N991&gt;=ルール設定!$B$4),"○",""))</f>
        <v/>
      </c>
      <c r="S991" s="8" t="str">
        <f aca="false">IF(A991="","",IF(AND(Y991&lt;&gt;"参考",G991&gt;=ルール設定!$B$5,J991&gt;=ルール設定!$B$6,O991&gt;=ルール設定!$B$7),"○",""))</f>
        <v/>
      </c>
      <c r="T991" s="8" t="n">
        <v>2</v>
      </c>
      <c r="U991" s="8" t="n">
        <v>1</v>
      </c>
      <c r="V991" s="8" t="str">
        <f aca="false">IF(A991="","",IF(AND(ISNUMBER(T991),ISNUMBER(U991)),IF(AND(T991&lt;=3,U991&lt;=3),"○","×"),""))</f>
        <v>○</v>
      </c>
      <c r="W991" s="8" t="n">
        <v>110</v>
      </c>
      <c r="X991" s="8" t="n">
        <v>300</v>
      </c>
      <c r="Y991" s="4" t="s">
        <v>7597</v>
      </c>
      <c r="Z991" s="8" t="s">
        <v>8111</v>
      </c>
      <c r="AA991" s="8" t="str">
        <v/>
      </c>
      <c r="AB991" s="8" t="str">
        <v/>
      </c>
      <c r="AC991" s="8" t="str">
        <v/>
      </c>
      <c r="AD991" s="8" t="str">
        <v/>
      </c>
      <c r="AE991" s="8" t="str">
        <v/>
      </c>
      <c r="AF991" s="8" t="str">
        <v/>
      </c>
      <c r="AG991" s="8" t="str">
        <v/>
      </c>
      <c r="AH991" s="8" t="str">
        <v/>
      </c>
      <c r="AI991" s="8" t="n">
        <v>12</v>
      </c>
      <c r="AJ991" s="8" t="str">
        <v>60～69</v>
      </c>
      <c r="AK991" s="8" t="str">
        <v>20～29</v>
      </c>
      <c r="AL991" s="8" t="str">
        <v>10～19</v>
      </c>
      <c r="AM991" s="8" t="str">
        <v>100～119</v>
      </c>
      <c r="AN991" s="8" t="str">
        <v>12～14</v>
      </c>
      <c r="AO991" s="8" t="str">
        <f aca="false">IF(A991="","",IF(COUNTIFS(全馬データ!$A$2:$A$50000,A991,全馬データ!$B$2:$B$50000,B991,全馬データ!$C$2:$C$50000,C991,全馬データ!$D$2:$D$50000,E991,全馬データ!$K$2:$K$50000,"&lt;&gt;")=0,"",SUMIFS(全馬データ!$K$2:$K$50000,全馬データ!$A$2:$A$50000,A991,全馬データ!$B$2:$B$50000,B991,全馬データ!$C$2:$C$50000,C991,全馬データ!$D$2:$D$50000,E991)))</f>
        <v/>
      </c>
      <c r="AP991" s="8" t="str">
        <f aca="false">IF(A991="","",IF(AO991="","欠損",IF(AO991&lt;=1.1,"1.0～1.1",IF(AO991&lt;1.3,"1.2",IF(AO991&lt;1.5,"1.3～1.4",IF(AO991&lt;2,"1.5～1.9","2.0以上"))))))</f>
        <v>欠損</v>
      </c>
      <c r="AQ991" s="8" t="str">
        <f aca="false">IF(A991="","",IF(ISNUMBER(SEARCH("2歳",Z991)),"2歳戦",IF(ISNUMBER(SEARCH("3歳未勝利",Z991)),"3歳未勝利",IF(ISNUMBER(SEARCH("未勝利",Z991)),"その他未勝利",IF(ISNUMBER(SEARCH("G1",Z991)),"G1",IF(ISNUMBER(SEARCH("G2",Z991)),"G2",IF(ISNUMBER(SEARCH("G3",Z991)),"G3",IF(ISNUMBER(SEARCH("古馬条件",Z991)),"古馬条件戦",IF(ISNUMBER(SEARCH("重賞",Z991)),"重賞","分類不能")))))))))</f>
        <v>分類不能</v>
      </c>
      <c r="AR991" s="8"/>
      <c r="AS991" s="8" t="s">
        <v>7598</v>
      </c>
      <c r="AT991" s="8" t="s">
        <v>7599</v>
      </c>
      <c r="AU991" s="8" t="s">
        <v>7600</v>
      </c>
      <c r="AV991" s="4" t="s">
        <v>7601</v>
      </c>
      <c r="AW991" s="8"/>
      <c r="AX991" s="8"/>
      <c r="AY991" s="8" t="s">
        <v>7610</v>
      </c>
      <c r="AZ991" s="4" t="s">
        <v>7617</v>
      </c>
      <c r="BA991" s="8" t="n">
        <v>1700</v>
      </c>
      <c r="BB991" s="8" t="s">
        <v>7598</v>
      </c>
      <c r="BC991" s="4" t="s">
        <v>7604</v>
      </c>
      <c r="BD991" s="8" t="s">
        <v>7605</v>
      </c>
      <c r="BE991" s="4" t="s">
        <v>7606</v>
      </c>
      <c r="BF991" s="8" t="s">
        <v>7607</v>
      </c>
      <c r="BG991" s="8" t="s">
        <v>7608</v>
      </c>
      <c r="BH991" s="4" t="s">
        <v>7609</v>
      </c>
      <c r="BI991" s="8" t="n">
        <v>12</v>
      </c>
      <c r="BJ991" s="8" t="s">
        <v>7602</v>
      </c>
      <c r="BK991" s="4" t="s">
        <v>7653</v>
      </c>
      <c r="BL991" s="8" t="s">
        <v>7602</v>
      </c>
      <c r="BM991" s="4" t="s">
        <v>7620</v>
      </c>
      <c r="BN991" s="8"/>
      <c r="BO991" s="8"/>
      <c r="BP991" s="8" t="s">
        <v>7608</v>
      </c>
      <c r="BQ991" s="8" t="str">
        <f aca="false">IF(A991="","",AT991)</f>
        <v>2歳</v>
      </c>
      <c r="BR991" s="8" t="str">
        <f aca="false">IF(A991="","",IF(BA991&lt;=1200,"～1200",IF(BA991&lt;=1500,"1300～1500",IF(BA991=1600,"1600",IF(BA991&lt;=1800,"1700～1800",IF(BA991&lt;=2000,"1900～2000","2100以上"))))))</f>
        <v>1700～1800</v>
      </c>
      <c r="BS991" s="8" t="str">
        <f aca="false">IF(A991="","",IF(AX991="G1","G1",IF(AX991="G2","G2",IF(AX991="G3","G3",IF(AX991="L","L","その他")))))</f>
        <v>その他</v>
      </c>
      <c r="BT991" s="8" t="str">
        <f aca="false">IF(A991="","",IF(BI991="","未結合",IF(D991=BI991,"一致","不一致")))</f>
        <v>一致</v>
      </c>
      <c r="BU991" s="8" t="str">
        <f aca="false">IF(A991="","",IF(BE991="牝馬限定","牝馬限定","その他"))</f>
        <v>その他</v>
      </c>
    </row>
    <row r="992" customFormat="false" ht="15.75" hidden="false" customHeight="false" outlineLevel="0" collapsed="false">
      <c r="A992" s="6" t="n">
        <f aca="false">DATE(2026,8,9)</f>
        <v>46243</v>
      </c>
      <c r="B992" s="4" t="s">
        <v>334</v>
      </c>
      <c r="C992" s="8" t="n">
        <v>2</v>
      </c>
      <c r="D992" s="8" t="n">
        <v>12</v>
      </c>
      <c r="E992" s="8" t="n">
        <v>5</v>
      </c>
      <c r="F992" s="4" t="s">
        <v>2560</v>
      </c>
      <c r="G992" s="8" t="n">
        <v>60</v>
      </c>
      <c r="H992" s="8" t="n">
        <v>6</v>
      </c>
      <c r="I992" s="8"/>
      <c r="J992" s="8" t="n">
        <v>44</v>
      </c>
      <c r="K992" s="8" t="n">
        <v>9</v>
      </c>
      <c r="L992" s="4" t="s">
        <v>2561</v>
      </c>
      <c r="M992" s="8" t="n">
        <v>47</v>
      </c>
      <c r="N992" s="8" t="n">
        <f aca="false">IF(A992="","",G992-J992)</f>
        <v>16</v>
      </c>
      <c r="O992" s="8" t="n">
        <f aca="false">IF(A992="","",J992-M992)</f>
        <v>-3</v>
      </c>
      <c r="P992" s="8" t="n">
        <f aca="false">IF(A992="","",G992+J992)</f>
        <v>104</v>
      </c>
      <c r="Q992" s="8" t="str">
        <f aca="false">IF(A992="","",IF(AND(Y992&lt;&gt;"参考",G992&gt;=ルール設定!$B$2),"○",""))</f>
        <v/>
      </c>
      <c r="R992" s="8" t="str">
        <f aca="false">IF(A992="","",IF(AND(Y992&lt;&gt;"参考",G992&gt;=ルール設定!$B$3,N992&gt;=ルール設定!$B$4),"○",""))</f>
        <v/>
      </c>
      <c r="S992" s="8" t="str">
        <f aca="false">IF(A992="","",IF(AND(Y992&lt;&gt;"参考",G992&gt;=ルール設定!$B$5,J992&gt;=ルール設定!$B$6,O992&gt;=ルール設定!$B$7),"○",""))</f>
        <v/>
      </c>
      <c r="T992" s="8" t="n">
        <v>1</v>
      </c>
      <c r="U992" s="8" t="n">
        <v>4</v>
      </c>
      <c r="V992" s="8" t="str">
        <f aca="false">IF(A992="","",IF(AND(ISNUMBER(T992),ISNUMBER(U992)),IF(AND(T992&lt;=3,U992&lt;=3),"○","×"),""))</f>
        <v>×</v>
      </c>
      <c r="W992" s="8" t="n">
        <v>110</v>
      </c>
      <c r="X992" s="8"/>
      <c r="Y992" s="4" t="s">
        <v>7597</v>
      </c>
      <c r="Z992" s="8" t="s">
        <v>8111</v>
      </c>
      <c r="AA992" s="8" t="str">
        <v/>
      </c>
      <c r="AB992" s="8" t="str">
        <v/>
      </c>
      <c r="AC992" s="8" t="str">
        <v/>
      </c>
      <c r="AD992" s="8" t="str">
        <v/>
      </c>
      <c r="AE992" s="8" t="str">
        <v/>
      </c>
      <c r="AF992" s="8" t="str">
        <v/>
      </c>
      <c r="AG992" s="8" t="str">
        <v/>
      </c>
      <c r="AH992" s="8" t="str">
        <v/>
      </c>
      <c r="AI992" s="8" t="n">
        <v>13</v>
      </c>
      <c r="AJ992" s="8" t="str">
        <v>60～69</v>
      </c>
      <c r="AK992" s="8" t="str">
        <v>10～19</v>
      </c>
      <c r="AL992" s="8" t="str">
        <v>10～19</v>
      </c>
      <c r="AM992" s="8" t="str">
        <v>100～119</v>
      </c>
      <c r="AN992" s="8" t="str">
        <v>12～14</v>
      </c>
      <c r="AO992" s="8" t="str">
        <f aca="false">IF(A992="","",IF(COUNTIFS(全馬データ!$A$2:$A$50000,A992,全馬データ!$B$2:$B$50000,B992,全馬データ!$C$2:$C$50000,C992,全馬データ!$D$2:$D$50000,E992,全馬データ!$K$2:$K$50000,"&lt;&gt;")=0,"",SUMIFS(全馬データ!$K$2:$K$50000,全馬データ!$A$2:$A$50000,A992,全馬データ!$B$2:$B$50000,B992,全馬データ!$C$2:$C$50000,C992,全馬データ!$D$2:$D$50000,E992)))</f>
        <v/>
      </c>
      <c r="AP992" s="8" t="str">
        <f aca="false">IF(A992="","",IF(AO992="","欠損",IF(AO992&lt;=1.1,"1.0～1.1",IF(AO992&lt;1.3,"1.2",IF(AO992&lt;1.5,"1.3～1.4",IF(AO992&lt;2,"1.5～1.9","2.0以上"))))))</f>
        <v>欠損</v>
      </c>
      <c r="AQ992" s="8" t="str">
        <f aca="false">IF(A992="","",IF(ISNUMBER(SEARCH("2歳",Z992)),"2歳戦",IF(ISNUMBER(SEARCH("3歳未勝利",Z992)),"3歳未勝利",IF(ISNUMBER(SEARCH("未勝利",Z992)),"その他未勝利",IF(ISNUMBER(SEARCH("G1",Z992)),"G1",IF(ISNUMBER(SEARCH("G2",Z992)),"G2",IF(ISNUMBER(SEARCH("G3",Z992)),"G3",IF(ISNUMBER(SEARCH("古馬条件",Z992)),"古馬条件戦",IF(ISNUMBER(SEARCH("重賞",Z992)),"重賞","分類不能")))))))))</f>
        <v>分類不能</v>
      </c>
      <c r="AR992" s="8"/>
      <c r="AS992" s="8" t="s">
        <v>7623</v>
      </c>
      <c r="AT992" s="8" t="s">
        <v>7624</v>
      </c>
      <c r="AU992" s="8" t="s">
        <v>7600</v>
      </c>
      <c r="AV992" s="4" t="s">
        <v>7601</v>
      </c>
      <c r="AW992" s="8"/>
      <c r="AX992" s="8"/>
      <c r="AY992" s="8" t="s">
        <v>7610</v>
      </c>
      <c r="AZ992" s="4" t="s">
        <v>7617</v>
      </c>
      <c r="BA992" s="8" t="n">
        <v>1000</v>
      </c>
      <c r="BB992" s="8" t="s">
        <v>7598</v>
      </c>
      <c r="BC992" s="4" t="s">
        <v>7604</v>
      </c>
      <c r="BD992" s="8" t="s">
        <v>7605</v>
      </c>
      <c r="BE992" s="4" t="s">
        <v>7606</v>
      </c>
      <c r="BF992" s="8" t="s">
        <v>7607</v>
      </c>
      <c r="BG992" s="8" t="s">
        <v>7608</v>
      </c>
      <c r="BH992" s="4" t="s">
        <v>7609</v>
      </c>
      <c r="BI992" s="8" t="n">
        <v>12</v>
      </c>
      <c r="BJ992" s="8" t="s">
        <v>7602</v>
      </c>
      <c r="BK992" s="4" t="s">
        <v>7653</v>
      </c>
      <c r="BL992" s="8" t="s">
        <v>7602</v>
      </c>
      <c r="BM992" s="4" t="s">
        <v>7620</v>
      </c>
      <c r="BN992" s="8"/>
      <c r="BO992" s="8"/>
      <c r="BP992" s="8" t="s">
        <v>7608</v>
      </c>
      <c r="BQ992" s="8" t="str">
        <f aca="false">IF(A992="","",AT992)</f>
        <v>3歳</v>
      </c>
      <c r="BR992" s="8" t="str">
        <f aca="false">IF(A992="","",IF(BA992&lt;=1200,"～1200",IF(BA992&lt;=1500,"1300～1500",IF(BA992=1600,"1600",IF(BA992&lt;=1800,"1700～1800",IF(BA992&lt;=2000,"1900～2000","2100以上"))))))</f>
        <v>～1200</v>
      </c>
      <c r="BS992" s="8" t="str">
        <f aca="false">IF(A992="","",IF(AX992="G1","G1",IF(AX992="G2","G2",IF(AX992="G3","G3",IF(AX992="L","L","その他")))))</f>
        <v>その他</v>
      </c>
      <c r="BT992" s="8" t="str">
        <f aca="false">IF(A992="","",IF(BI992="","未結合",IF(D992=BI992,"一致","不一致")))</f>
        <v>一致</v>
      </c>
      <c r="BU992" s="8" t="str">
        <f aca="false">IF(A992="","",IF(BE992="牝馬限定","牝馬限定","その他"))</f>
        <v>その他</v>
      </c>
    </row>
    <row r="993" customFormat="false" ht="15.75" hidden="false" customHeight="false" outlineLevel="0" collapsed="false">
      <c r="A993" s="6" t="n">
        <f aca="false">DATE(2026,8,9)</f>
        <v>46243</v>
      </c>
      <c r="B993" s="4" t="s">
        <v>334</v>
      </c>
      <c r="C993" s="8" t="n">
        <v>3</v>
      </c>
      <c r="D993" s="8" t="n">
        <v>10</v>
      </c>
      <c r="E993" s="8" t="n">
        <v>4</v>
      </c>
      <c r="F993" s="4" t="s">
        <v>6127</v>
      </c>
      <c r="G993" s="8" t="n">
        <v>58</v>
      </c>
      <c r="H993" s="8" t="n">
        <v>5</v>
      </c>
      <c r="I993" s="8"/>
      <c r="J993" s="8" t="n">
        <v>39</v>
      </c>
      <c r="K993" s="8" t="n">
        <v>6</v>
      </c>
      <c r="L993" s="8"/>
      <c r="M993" s="8" t="n">
        <v>41</v>
      </c>
      <c r="N993" s="8" t="n">
        <f aca="false">IF(A993="","",G993-J993)</f>
        <v>19</v>
      </c>
      <c r="O993" s="8" t="n">
        <f aca="false">IF(A993="","",J993-M993)</f>
        <v>-2</v>
      </c>
      <c r="P993" s="8" t="n">
        <f aca="false">IF(A993="","",G993+J993)</f>
        <v>97</v>
      </c>
      <c r="Q993" s="8" t="str">
        <f aca="false">IF(A993="","",IF(AND(Y993&lt;&gt;"参考",G993&gt;=ルール設定!$B$2),"○",""))</f>
        <v/>
      </c>
      <c r="R993" s="8" t="str">
        <f aca="false">IF(A993="","",IF(AND(Y993&lt;&gt;"参考",G993&gt;=ルール設定!$B$3,N993&gt;=ルール設定!$B$4),"○",""))</f>
        <v/>
      </c>
      <c r="S993" s="8" t="str">
        <f aca="false">IF(A993="","",IF(AND(Y993&lt;&gt;"参考",G993&gt;=ルール設定!$B$5,J993&gt;=ルール設定!$B$6,O993&gt;=ルール設定!$B$7),"○",""))</f>
        <v/>
      </c>
      <c r="T993" s="8" t="n">
        <v>1</v>
      </c>
      <c r="U993" s="8" t="n">
        <v>4</v>
      </c>
      <c r="V993" s="8" t="str">
        <f aca="false">IF(A993="","",IF(AND(ISNUMBER(T993),ISNUMBER(U993)),IF(AND(T993&lt;=3,U993&lt;=3),"○","×"),""))</f>
        <v>×</v>
      </c>
      <c r="W993" s="8" t="n">
        <v>160</v>
      </c>
      <c r="X993" s="8"/>
      <c r="Y993" s="4" t="s">
        <v>7597</v>
      </c>
      <c r="Z993" s="8" t="s">
        <v>8111</v>
      </c>
      <c r="AA993" s="8" t="str">
        <v/>
      </c>
      <c r="AB993" s="8" t="str">
        <v/>
      </c>
      <c r="AC993" s="8" t="str">
        <v/>
      </c>
      <c r="AD993" s="8" t="str">
        <v/>
      </c>
      <c r="AE993" s="8" t="str">
        <v/>
      </c>
      <c r="AF993" s="8" t="str">
        <v/>
      </c>
      <c r="AG993" s="8" t="str">
        <v/>
      </c>
      <c r="AH993" s="8" t="str">
        <v/>
      </c>
      <c r="AI993" s="8" t="n">
        <v>17</v>
      </c>
      <c r="AJ993" s="8" t="str">
        <v>～59</v>
      </c>
      <c r="AK993" s="8" t="str">
        <v>10～19</v>
      </c>
      <c r="AL993" s="8" t="str">
        <v>10～19</v>
      </c>
      <c r="AM993" s="8" t="str">
        <v>～99</v>
      </c>
      <c r="AN993" s="8" t="str">
        <v>8～11</v>
      </c>
      <c r="AO993" s="8" t="str">
        <f aca="false">IF(A993="","",IF(COUNTIFS(全馬データ!$A$2:$A$50000,A993,全馬データ!$B$2:$B$50000,B993,全馬データ!$C$2:$C$50000,C993,全馬データ!$D$2:$D$50000,E993,全馬データ!$K$2:$K$50000,"&lt;&gt;")=0,"",SUMIFS(全馬データ!$K$2:$K$50000,全馬データ!$A$2:$A$50000,A993,全馬データ!$B$2:$B$50000,B993,全馬データ!$C$2:$C$50000,C993,全馬データ!$D$2:$D$50000,E993)))</f>
        <v/>
      </c>
      <c r="AP993" s="8" t="str">
        <f aca="false">IF(A993="","",IF(AO993="","欠損",IF(AO993&lt;=1.1,"1.0～1.1",IF(AO993&lt;1.3,"1.2",IF(AO993&lt;1.5,"1.3～1.4",IF(AO993&lt;2,"1.5～1.9","2.0以上"))))))</f>
        <v>欠損</v>
      </c>
      <c r="AQ993" s="8" t="str">
        <f aca="false">IF(A993="","",IF(ISNUMBER(SEARCH("2歳",Z993)),"2歳戦",IF(ISNUMBER(SEARCH("3歳未勝利",Z993)),"3歳未勝利",IF(ISNUMBER(SEARCH("未勝利",Z993)),"その他未勝利",IF(ISNUMBER(SEARCH("G1",Z993)),"G1",IF(ISNUMBER(SEARCH("G2",Z993)),"G2",IF(ISNUMBER(SEARCH("G3",Z993)),"G3",IF(ISNUMBER(SEARCH("古馬条件",Z993)),"古馬条件戦",IF(ISNUMBER(SEARCH("重賞",Z993)),"重賞","分類不能")))))))))</f>
        <v>分類不能</v>
      </c>
      <c r="AR993" s="8"/>
      <c r="AS993" s="8" t="s">
        <v>7626</v>
      </c>
      <c r="AT993" s="8" t="s">
        <v>7627</v>
      </c>
      <c r="AU993" s="8" t="s">
        <v>7628</v>
      </c>
      <c r="AV993" s="8" t="s">
        <v>7629</v>
      </c>
      <c r="AW993" s="8"/>
      <c r="AX993" s="8"/>
      <c r="AY993" s="8" t="s">
        <v>7602</v>
      </c>
      <c r="AZ993" s="4" t="s">
        <v>7603</v>
      </c>
      <c r="BA993" s="8" t="n">
        <v>2000</v>
      </c>
      <c r="BB993" s="8" t="s">
        <v>7598</v>
      </c>
      <c r="BC993" s="4" t="s">
        <v>7604</v>
      </c>
      <c r="BD993" s="8" t="s">
        <v>7625</v>
      </c>
      <c r="BE993" s="4" t="s">
        <v>7606</v>
      </c>
      <c r="BF993" s="8" t="s">
        <v>7607</v>
      </c>
      <c r="BG993" s="8" t="s">
        <v>7631</v>
      </c>
      <c r="BH993" s="4" t="s">
        <v>7632</v>
      </c>
      <c r="BI993" s="8" t="n">
        <v>10</v>
      </c>
      <c r="BJ993" s="8" t="s">
        <v>7602</v>
      </c>
      <c r="BK993" s="4" t="s">
        <v>7653</v>
      </c>
      <c r="BL993" s="8" t="s">
        <v>7602</v>
      </c>
      <c r="BM993" s="4" t="s">
        <v>7620</v>
      </c>
      <c r="BN993" s="8" t="s">
        <v>7602</v>
      </c>
      <c r="BO993" s="8" t="s">
        <v>7613</v>
      </c>
      <c r="BP993" s="8" t="s">
        <v>7608</v>
      </c>
      <c r="BQ993" s="8" t="str">
        <f aca="false">IF(A993="","",AT993)</f>
        <v>3歳以上</v>
      </c>
      <c r="BR993" s="8" t="str">
        <f aca="false">IF(A993="","",IF(BA993&lt;=1200,"～1200",IF(BA993&lt;=1500,"1300～1500",IF(BA993=1600,"1600",IF(BA993&lt;=1800,"1700～1800",IF(BA993&lt;=2000,"1900～2000","2100以上"))))))</f>
        <v>1900～2000</v>
      </c>
      <c r="BS993" s="8" t="str">
        <f aca="false">IF(A993="","",IF(AX993="G1","G1",IF(AX993="G2","G2",IF(AX993="G3","G3",IF(AX993="L","L","その他")))))</f>
        <v>その他</v>
      </c>
      <c r="BT993" s="8" t="str">
        <f aca="false">IF(A993="","",IF(BI993="","未結合",IF(D993=BI993,"一致","不一致")))</f>
        <v>一致</v>
      </c>
      <c r="BU993" s="8" t="str">
        <f aca="false">IF(A993="","",IF(BE993="牝馬限定","牝馬限定","その他"))</f>
        <v>その他</v>
      </c>
    </row>
    <row r="994" customFormat="false" ht="15.75" hidden="false" customHeight="false" outlineLevel="0" collapsed="false">
      <c r="A994" s="6" t="n">
        <f aca="false">DATE(2026,8,9)</f>
        <v>46243</v>
      </c>
      <c r="B994" s="4" t="s">
        <v>334</v>
      </c>
      <c r="C994" s="8" t="n">
        <v>4</v>
      </c>
      <c r="D994" s="8" t="n">
        <v>14</v>
      </c>
      <c r="E994" s="8" t="n">
        <v>6</v>
      </c>
      <c r="F994" s="4" t="s">
        <v>1298</v>
      </c>
      <c r="G994" s="8" t="n">
        <v>58</v>
      </c>
      <c r="H994" s="8" t="n">
        <v>8</v>
      </c>
      <c r="I994" s="8"/>
      <c r="J994" s="8" t="n">
        <v>37</v>
      </c>
      <c r="K994" s="8" t="n">
        <v>10</v>
      </c>
      <c r="L994" s="4" t="s">
        <v>1286</v>
      </c>
      <c r="M994" s="8" t="n">
        <v>56</v>
      </c>
      <c r="N994" s="8" t="n">
        <f aca="false">IF(A994="","",G994-J994)</f>
        <v>21</v>
      </c>
      <c r="O994" s="8" t="n">
        <f aca="false">IF(A994="","",J994-M994)</f>
        <v>-19</v>
      </c>
      <c r="P994" s="8" t="n">
        <f aca="false">IF(A994="","",G994+J994)</f>
        <v>95</v>
      </c>
      <c r="Q994" s="8" t="str">
        <f aca="false">IF(A994="","",IF(AND(Y994&lt;&gt;"参考",G994&gt;=ルール設定!$B$2),"○",""))</f>
        <v/>
      </c>
      <c r="R994" s="8" t="str">
        <f aca="false">IF(A994="","",IF(AND(Y994&lt;&gt;"参考",G994&gt;=ルール設定!$B$3,N994&gt;=ルール設定!$B$4),"○",""))</f>
        <v/>
      </c>
      <c r="S994" s="8" t="str">
        <f aca="false">IF(A994="","",IF(AND(Y994&lt;&gt;"参考",G994&gt;=ルール設定!$B$5,J994&gt;=ルール設定!$B$6,O994&gt;=ルール設定!$B$7),"○",""))</f>
        <v/>
      </c>
      <c r="T994" s="8" t="n">
        <v>2</v>
      </c>
      <c r="U994" s="8" t="n">
        <v>4</v>
      </c>
      <c r="V994" s="8" t="str">
        <f aca="false">IF(A994="","",IF(AND(ISNUMBER(T994),ISNUMBER(U994)),IF(AND(T994&lt;=3,U994&lt;=3),"○","×"),""))</f>
        <v>×</v>
      </c>
      <c r="W994" s="8" t="n">
        <v>210</v>
      </c>
      <c r="X994" s="8"/>
      <c r="Y994" s="4" t="s">
        <v>7597</v>
      </c>
      <c r="Z994" s="8" t="s">
        <v>8111</v>
      </c>
      <c r="AA994" s="8" t="str">
        <v/>
      </c>
      <c r="AB994" s="8" t="str">
        <v/>
      </c>
      <c r="AC994" s="8" t="str">
        <v/>
      </c>
      <c r="AD994" s="8" t="str">
        <v/>
      </c>
      <c r="AE994" s="8" t="str">
        <v/>
      </c>
      <c r="AF994" s="8" t="str">
        <v/>
      </c>
      <c r="AG994" s="8" t="str">
        <v/>
      </c>
      <c r="AH994" s="8" t="str">
        <v/>
      </c>
      <c r="AI994" s="8" t="n">
        <v>2</v>
      </c>
      <c r="AJ994" s="8" t="str">
        <v>～59</v>
      </c>
      <c r="AK994" s="8" t="str">
        <v>20～29</v>
      </c>
      <c r="AL994" s="8" t="str">
        <v>0～9</v>
      </c>
      <c r="AM994" s="8" t="str">
        <v>～99</v>
      </c>
      <c r="AN994" s="8" t="str">
        <v>12～14</v>
      </c>
      <c r="AO994" s="8" t="str">
        <f aca="false">IF(A994="","",IF(COUNTIFS(全馬データ!$A$2:$A$50000,A994,全馬データ!$B$2:$B$50000,B994,全馬データ!$C$2:$C$50000,C994,全馬データ!$D$2:$D$50000,E994,全馬データ!$K$2:$K$50000,"&lt;&gt;")=0,"",SUMIFS(全馬データ!$K$2:$K$50000,全馬データ!$A$2:$A$50000,A994,全馬データ!$B$2:$B$50000,B994,全馬データ!$C$2:$C$50000,C994,全馬データ!$D$2:$D$50000,E994)))</f>
        <v/>
      </c>
      <c r="AP994" s="8" t="str">
        <f aca="false">IF(A994="","",IF(AO994="","欠損",IF(AO994&lt;=1.1,"1.0～1.1",IF(AO994&lt;1.3,"1.2",IF(AO994&lt;1.5,"1.3～1.4",IF(AO994&lt;2,"1.5～1.9","2.0以上"))))))</f>
        <v>欠損</v>
      </c>
      <c r="AQ994" s="8" t="str">
        <f aca="false">IF(A994="","",IF(ISNUMBER(SEARCH("2歳",Z994)),"2歳戦",IF(ISNUMBER(SEARCH("3歳未勝利",Z994)),"3歳未勝利",IF(ISNUMBER(SEARCH("未勝利",Z994)),"その他未勝利",IF(ISNUMBER(SEARCH("G1",Z994)),"G1",IF(ISNUMBER(SEARCH("G2",Z994)),"G2",IF(ISNUMBER(SEARCH("G3",Z994)),"G3",IF(ISNUMBER(SEARCH("古馬条件",Z994)),"古馬条件戦",IF(ISNUMBER(SEARCH("重賞",Z994)),"重賞","分類不能")))))))))</f>
        <v>分類不能</v>
      </c>
      <c r="AR994" s="8"/>
      <c r="AS994" s="8" t="s">
        <v>7623</v>
      </c>
      <c r="AT994" s="8" t="s">
        <v>7624</v>
      </c>
      <c r="AU994" s="8" t="s">
        <v>7600</v>
      </c>
      <c r="AV994" s="4" t="s">
        <v>7601</v>
      </c>
      <c r="AW994" s="8"/>
      <c r="AX994" s="8"/>
      <c r="AY994" s="8" t="s">
        <v>7610</v>
      </c>
      <c r="AZ994" s="4" t="s">
        <v>7617</v>
      </c>
      <c r="BA994" s="8" t="n">
        <v>1700</v>
      </c>
      <c r="BB994" s="8" t="s">
        <v>7598</v>
      </c>
      <c r="BC994" s="4" t="s">
        <v>7604</v>
      </c>
      <c r="BD994" s="8" t="s">
        <v>7625</v>
      </c>
      <c r="BE994" s="4" t="s">
        <v>7606</v>
      </c>
      <c r="BF994" s="8" t="s">
        <v>7607</v>
      </c>
      <c r="BG994" s="8" t="s">
        <v>7608</v>
      </c>
      <c r="BH994" s="4" t="s">
        <v>7609</v>
      </c>
      <c r="BI994" s="8" t="n">
        <v>14</v>
      </c>
      <c r="BJ994" s="8" t="s">
        <v>7602</v>
      </c>
      <c r="BK994" s="4" t="s">
        <v>7653</v>
      </c>
      <c r="BL994" s="8" t="s">
        <v>7602</v>
      </c>
      <c r="BM994" s="4" t="s">
        <v>7620</v>
      </c>
      <c r="BN994" s="8"/>
      <c r="BO994" s="8"/>
      <c r="BP994" s="8" t="s">
        <v>7608</v>
      </c>
      <c r="BQ994" s="8" t="str">
        <f aca="false">IF(A994="","",AT994)</f>
        <v>3歳</v>
      </c>
      <c r="BR994" s="8" t="str">
        <f aca="false">IF(A994="","",IF(BA994&lt;=1200,"～1200",IF(BA994&lt;=1500,"1300～1500",IF(BA994=1600,"1600",IF(BA994&lt;=1800,"1700～1800",IF(BA994&lt;=2000,"1900～2000","2100以上"))))))</f>
        <v>1700～1800</v>
      </c>
      <c r="BS994" s="8" t="str">
        <f aca="false">IF(A994="","",IF(AX994="G1","G1",IF(AX994="G2","G2",IF(AX994="G3","G3",IF(AX994="L","L","その他")))))</f>
        <v>その他</v>
      </c>
      <c r="BT994" s="8" t="str">
        <f aca="false">IF(A994="","",IF(BI994="","未結合",IF(D994=BI994,"一致","不一致")))</f>
        <v>一致</v>
      </c>
      <c r="BU994" s="8" t="str">
        <f aca="false">IF(A994="","",IF(BE994="牝馬限定","牝馬限定","その他"))</f>
        <v>その他</v>
      </c>
    </row>
    <row r="995" customFormat="false" ht="15.75" hidden="false" customHeight="false" outlineLevel="0" collapsed="false">
      <c r="A995" s="6" t="n">
        <f aca="false">DATE(2026,8,9)</f>
        <v>46243</v>
      </c>
      <c r="B995" s="4" t="s">
        <v>334</v>
      </c>
      <c r="C995" s="8" t="n">
        <v>5</v>
      </c>
      <c r="D995" s="8" t="n">
        <v>13</v>
      </c>
      <c r="E995" s="8" t="n">
        <v>11</v>
      </c>
      <c r="F995" s="4" t="s">
        <v>6928</v>
      </c>
      <c r="G995" s="8" t="n">
        <v>31</v>
      </c>
      <c r="H995" s="8" t="n">
        <v>2</v>
      </c>
      <c r="I995" s="8"/>
      <c r="J995" s="8" t="n">
        <v>24</v>
      </c>
      <c r="K995" s="8" t="n">
        <v>6</v>
      </c>
      <c r="L995" s="8"/>
      <c r="M995" s="8" t="n">
        <v>24</v>
      </c>
      <c r="N995" s="8" t="n">
        <f aca="false">IF(A995="","",G995-J995)</f>
        <v>7</v>
      </c>
      <c r="O995" s="8" t="n">
        <f aca="false">IF(A995="","",J995-M995)</f>
        <v>0</v>
      </c>
      <c r="P995" s="8" t="n">
        <f aca="false">IF(A995="","",G995+J995)</f>
        <v>55</v>
      </c>
      <c r="Q995" s="8" t="str">
        <f aca="false">IF(A995="","",IF(AND(Y995&lt;&gt;"参考",G995&gt;=ルール設定!$B$2),"○",""))</f>
        <v/>
      </c>
      <c r="R995" s="8" t="str">
        <f aca="false">IF(A995="","",IF(AND(Y995&lt;&gt;"参考",G995&gt;=ルール設定!$B$3,N995&gt;=ルール設定!$B$4),"○",""))</f>
        <v/>
      </c>
      <c r="S995" s="8" t="str">
        <f aca="false">IF(A995="","",IF(AND(Y995&lt;&gt;"参考",G995&gt;=ルール設定!$B$5,J995&gt;=ルール設定!$B$6,O995&gt;=ルール設定!$B$7),"○",""))</f>
        <v/>
      </c>
      <c r="T995" s="8" t="n">
        <v>1</v>
      </c>
      <c r="U995" s="8" t="n">
        <v>4</v>
      </c>
      <c r="V995" s="8" t="str">
        <f aca="false">IF(A995="","",IF(AND(ISNUMBER(T995),ISNUMBER(U995)),IF(AND(T995&lt;=3,U995&lt;=3),"○","×"),""))</f>
        <v>×</v>
      </c>
      <c r="W995" s="8" t="n">
        <v>120</v>
      </c>
      <c r="X995" s="8"/>
      <c r="Y995" s="4" t="s">
        <v>7597</v>
      </c>
      <c r="Z995" s="8" t="s">
        <v>8111</v>
      </c>
      <c r="AA995" s="8" t="str">
        <v/>
      </c>
      <c r="AB995" s="8" t="str">
        <v/>
      </c>
      <c r="AC995" s="8" t="str">
        <v/>
      </c>
      <c r="AD995" s="8" t="str">
        <v/>
      </c>
      <c r="AE995" s="8" t="str">
        <v/>
      </c>
      <c r="AF995" s="8" t="str">
        <v/>
      </c>
      <c r="AG995" s="8" t="str">
        <v/>
      </c>
      <c r="AH995" s="8" t="str">
        <v/>
      </c>
      <c r="AI995" s="8" t="n">
        <v>7</v>
      </c>
      <c r="AJ995" s="8" t="str">
        <v>～59</v>
      </c>
      <c r="AK995" s="8" t="str">
        <v>5～9</v>
      </c>
      <c r="AL995" s="8" t="str">
        <v>0～9</v>
      </c>
      <c r="AM995" s="8" t="str">
        <v>～99</v>
      </c>
      <c r="AN995" s="8" t="str">
        <v>12～14</v>
      </c>
      <c r="AO995" s="8" t="str">
        <f aca="false">IF(A995="","",IF(COUNTIFS(全馬データ!$A$2:$A$50000,A995,全馬データ!$B$2:$B$50000,B995,全馬データ!$C$2:$C$50000,C995,全馬データ!$D$2:$D$50000,E995,全馬データ!$K$2:$K$50000,"&lt;&gt;")=0,"",SUMIFS(全馬データ!$K$2:$K$50000,全馬データ!$A$2:$A$50000,A995,全馬データ!$B$2:$B$50000,B995,全馬データ!$C$2:$C$50000,C995,全馬データ!$D$2:$D$50000,E995)))</f>
        <v/>
      </c>
      <c r="AP995" s="8" t="str">
        <f aca="false">IF(A995="","",IF(AO995="","欠損",IF(AO995&lt;=1.1,"1.0～1.1",IF(AO995&lt;1.3,"1.2",IF(AO995&lt;1.5,"1.3～1.4",IF(AO995&lt;2,"1.5～1.9","2.0以上"))))))</f>
        <v>欠損</v>
      </c>
      <c r="AQ995" s="8" t="str">
        <f aca="false">IF(A995="","",IF(ISNUMBER(SEARCH("2歳",Z995)),"2歳戦",IF(ISNUMBER(SEARCH("3歳未勝利",Z995)),"3歳未勝利",IF(ISNUMBER(SEARCH("未勝利",Z995)),"その他未勝利",IF(ISNUMBER(SEARCH("G1",Z995)),"G1",IF(ISNUMBER(SEARCH("G2",Z995)),"G2",IF(ISNUMBER(SEARCH("G3",Z995)),"G3",IF(ISNUMBER(SEARCH("古馬条件",Z995)),"古馬条件戦",IF(ISNUMBER(SEARCH("重賞",Z995)),"重賞","分類不能")))))))))</f>
        <v>分類不能</v>
      </c>
      <c r="AR995" s="8"/>
      <c r="AS995" s="8" t="s">
        <v>7598</v>
      </c>
      <c r="AT995" s="8" t="s">
        <v>7599</v>
      </c>
      <c r="AU995" s="8" t="s">
        <v>7615</v>
      </c>
      <c r="AV995" s="4" t="s">
        <v>7616</v>
      </c>
      <c r="AW995" s="8"/>
      <c r="AX995" s="8"/>
      <c r="AY995" s="8" t="s">
        <v>7602</v>
      </c>
      <c r="AZ995" s="4" t="s">
        <v>7603</v>
      </c>
      <c r="BA995" s="8" t="n">
        <v>1500</v>
      </c>
      <c r="BB995" s="8" t="s">
        <v>7598</v>
      </c>
      <c r="BC995" s="4" t="s">
        <v>7604</v>
      </c>
      <c r="BD995" s="8" t="s">
        <v>7621</v>
      </c>
      <c r="BE995" s="4" t="s">
        <v>7622</v>
      </c>
      <c r="BF995" s="8" t="s">
        <v>7602</v>
      </c>
      <c r="BG995" s="8" t="s">
        <v>7608</v>
      </c>
      <c r="BH995" s="4" t="s">
        <v>7609</v>
      </c>
      <c r="BI995" s="8" t="n">
        <v>13</v>
      </c>
      <c r="BJ995" s="8" t="s">
        <v>7602</v>
      </c>
      <c r="BK995" s="4" t="s">
        <v>7653</v>
      </c>
      <c r="BL995" s="8" t="s">
        <v>7602</v>
      </c>
      <c r="BM995" s="4" t="s">
        <v>7620</v>
      </c>
      <c r="BN995" s="8" t="s">
        <v>7602</v>
      </c>
      <c r="BO995" s="8" t="s">
        <v>7613</v>
      </c>
      <c r="BP995" s="8" t="s">
        <v>7608</v>
      </c>
      <c r="BQ995" s="8" t="str">
        <f aca="false">IF(A995="","",AT995)</f>
        <v>2歳</v>
      </c>
      <c r="BR995" s="8" t="str">
        <f aca="false">IF(A995="","",IF(BA995&lt;=1200,"～1200",IF(BA995&lt;=1500,"1300～1500",IF(BA995=1600,"1600",IF(BA995&lt;=1800,"1700～1800",IF(BA995&lt;=2000,"1900～2000","2100以上"))))))</f>
        <v>1300～1500</v>
      </c>
      <c r="BS995" s="8" t="str">
        <f aca="false">IF(A995="","",IF(AX995="G1","G1",IF(AX995="G2","G2",IF(AX995="G3","G3",IF(AX995="L","L","その他")))))</f>
        <v>その他</v>
      </c>
      <c r="BT995" s="8" t="str">
        <f aca="false">IF(A995="","",IF(BI995="","未結合",IF(D995=BI995,"一致","不一致")))</f>
        <v>一致</v>
      </c>
      <c r="BU995" s="8" t="str">
        <f aca="false">IF(A995="","",IF(BE995="牝馬限定","牝馬限定","その他"))</f>
        <v>牝馬限定</v>
      </c>
    </row>
    <row r="996" customFormat="false" ht="15.75" hidden="false" customHeight="false" outlineLevel="0" collapsed="false">
      <c r="A996" s="6" t="n">
        <f aca="false">DATE(2026,8,9)</f>
        <v>46243</v>
      </c>
      <c r="B996" s="4" t="s">
        <v>334</v>
      </c>
      <c r="C996" s="8" t="n">
        <v>6</v>
      </c>
      <c r="D996" s="8" t="n">
        <v>14</v>
      </c>
      <c r="E996" s="8" t="n">
        <v>10</v>
      </c>
      <c r="F996" s="4" t="s">
        <v>2834</v>
      </c>
      <c r="G996" s="8" t="n">
        <v>56</v>
      </c>
      <c r="H996" s="8" t="n">
        <v>12</v>
      </c>
      <c r="I996" s="8"/>
      <c r="J996" s="8" t="n">
        <v>39</v>
      </c>
      <c r="K996" s="8" t="n">
        <v>14</v>
      </c>
      <c r="L996" s="8"/>
      <c r="M996" s="8" t="n">
        <v>39</v>
      </c>
      <c r="N996" s="8" t="n">
        <f aca="false">IF(A996="","",G996-J996)</f>
        <v>17</v>
      </c>
      <c r="O996" s="8" t="n">
        <f aca="false">IF(A996="","",J996-M996)</f>
        <v>0</v>
      </c>
      <c r="P996" s="8" t="n">
        <f aca="false">IF(A996="","",G996+J996)</f>
        <v>95</v>
      </c>
      <c r="Q996" s="8" t="str">
        <f aca="false">IF(A996="","",IF(AND(Y996&lt;&gt;"参考",G996&gt;=ルール設定!$B$2),"○",""))</f>
        <v/>
      </c>
      <c r="R996" s="8" t="str">
        <f aca="false">IF(A996="","",IF(AND(Y996&lt;&gt;"参考",G996&gt;=ルール設定!$B$3,N996&gt;=ルール設定!$B$4),"○",""))</f>
        <v/>
      </c>
      <c r="S996" s="8" t="str">
        <f aca="false">IF(A996="","",IF(AND(Y996&lt;&gt;"参考",G996&gt;=ルール設定!$B$5,J996&gt;=ルール設定!$B$6,O996&gt;=ルール設定!$B$7),"○",""))</f>
        <v/>
      </c>
      <c r="T996" s="8" t="n">
        <v>2</v>
      </c>
      <c r="U996" s="8" t="n">
        <v>4</v>
      </c>
      <c r="V996" s="8" t="str">
        <f aca="false">IF(A996="","",IF(AND(ISNUMBER(T996),ISNUMBER(U996)),IF(AND(T996&lt;=3,U996&lt;=3),"○","×"),""))</f>
        <v>×</v>
      </c>
      <c r="W996" s="8" t="n">
        <v>240</v>
      </c>
      <c r="X996" s="8"/>
      <c r="Y996" s="4" t="s">
        <v>7597</v>
      </c>
      <c r="Z996" s="8" t="s">
        <v>8111</v>
      </c>
      <c r="AA996" s="8" t="str">
        <v/>
      </c>
      <c r="AB996" s="8" t="str">
        <v/>
      </c>
      <c r="AC996" s="8" t="str">
        <v/>
      </c>
      <c r="AD996" s="8" t="str">
        <v/>
      </c>
      <c r="AE996" s="8" t="str">
        <v/>
      </c>
      <c r="AF996" s="8" t="str">
        <v/>
      </c>
      <c r="AG996" s="8" t="str">
        <v/>
      </c>
      <c r="AH996" s="8" t="str">
        <v/>
      </c>
      <c r="AI996" s="8" t="n">
        <v>17</v>
      </c>
      <c r="AJ996" s="8" t="str">
        <v>～59</v>
      </c>
      <c r="AK996" s="8" t="str">
        <v>10～19</v>
      </c>
      <c r="AL996" s="8" t="str">
        <v>10～19</v>
      </c>
      <c r="AM996" s="8" t="str">
        <v>～99</v>
      </c>
      <c r="AN996" s="8" t="str">
        <v>12～14</v>
      </c>
      <c r="AO996" s="8" t="str">
        <f aca="false">IF(A996="","",IF(COUNTIFS(全馬データ!$A$2:$A$50000,A996,全馬データ!$B$2:$B$50000,B996,全馬データ!$C$2:$C$50000,C996,全馬データ!$D$2:$D$50000,E996,全馬データ!$K$2:$K$50000,"&lt;&gt;")=0,"",SUMIFS(全馬データ!$K$2:$K$50000,全馬データ!$A$2:$A$50000,A996,全馬データ!$B$2:$B$50000,B996,全馬データ!$C$2:$C$50000,C996,全馬データ!$D$2:$D$50000,E996)))</f>
        <v/>
      </c>
      <c r="AP996" s="8" t="str">
        <f aca="false">IF(A996="","",IF(AO996="","欠損",IF(AO996&lt;=1.1,"1.0～1.1",IF(AO996&lt;1.3,"1.2",IF(AO996&lt;1.5,"1.3～1.4",IF(AO996&lt;2,"1.5～1.9","2.0以上"))))))</f>
        <v>欠損</v>
      </c>
      <c r="AQ996" s="8" t="str">
        <f aca="false">IF(A996="","",IF(ISNUMBER(SEARCH("2歳",Z996)),"2歳戦",IF(ISNUMBER(SEARCH("3歳未勝利",Z996)),"3歳未勝利",IF(ISNUMBER(SEARCH("未勝利",Z996)),"その他未勝利",IF(ISNUMBER(SEARCH("G1",Z996)),"G1",IF(ISNUMBER(SEARCH("G2",Z996)),"G2",IF(ISNUMBER(SEARCH("G3",Z996)),"G3",IF(ISNUMBER(SEARCH("古馬条件",Z996)),"古馬条件戦",IF(ISNUMBER(SEARCH("重賞",Z996)),"重賞","分類不能")))))))))</f>
        <v>分類不能</v>
      </c>
      <c r="AR996" s="8"/>
      <c r="AS996" s="8" t="s">
        <v>7623</v>
      </c>
      <c r="AT996" s="8" t="s">
        <v>7624</v>
      </c>
      <c r="AU996" s="8" t="s">
        <v>7600</v>
      </c>
      <c r="AV996" s="4" t="s">
        <v>7601</v>
      </c>
      <c r="AW996" s="8"/>
      <c r="AX996" s="8"/>
      <c r="AY996" s="8" t="s">
        <v>7602</v>
      </c>
      <c r="AZ996" s="4" t="s">
        <v>7603</v>
      </c>
      <c r="BA996" s="8" t="n">
        <v>2600</v>
      </c>
      <c r="BB996" s="8" t="s">
        <v>7598</v>
      </c>
      <c r="BC996" s="4" t="s">
        <v>7604</v>
      </c>
      <c r="BD996" s="8" t="s">
        <v>7605</v>
      </c>
      <c r="BE996" s="4" t="s">
        <v>7606</v>
      </c>
      <c r="BF996" s="8" t="s">
        <v>7607</v>
      </c>
      <c r="BG996" s="8" t="s">
        <v>7608</v>
      </c>
      <c r="BH996" s="4" t="s">
        <v>7609</v>
      </c>
      <c r="BI996" s="8" t="n">
        <v>14</v>
      </c>
      <c r="BJ996" s="8" t="s">
        <v>7602</v>
      </c>
      <c r="BK996" s="4" t="s">
        <v>7653</v>
      </c>
      <c r="BL996" s="8" t="s">
        <v>7602</v>
      </c>
      <c r="BM996" s="4" t="s">
        <v>7620</v>
      </c>
      <c r="BN996" s="8" t="s">
        <v>7602</v>
      </c>
      <c r="BO996" s="8" t="s">
        <v>7613</v>
      </c>
      <c r="BP996" s="8" t="s">
        <v>7608</v>
      </c>
      <c r="BQ996" s="8" t="str">
        <f aca="false">IF(A996="","",AT996)</f>
        <v>3歳</v>
      </c>
      <c r="BR996" s="8" t="str">
        <f aca="false">IF(A996="","",IF(BA996&lt;=1200,"～1200",IF(BA996&lt;=1500,"1300～1500",IF(BA996=1600,"1600",IF(BA996&lt;=1800,"1700～1800",IF(BA996&lt;=2000,"1900～2000","2100以上"))))))</f>
        <v>2100以上</v>
      </c>
      <c r="BS996" s="8" t="str">
        <f aca="false">IF(A996="","",IF(AX996="G1","G1",IF(AX996="G2","G2",IF(AX996="G3","G3",IF(AX996="L","L","その他")))))</f>
        <v>その他</v>
      </c>
      <c r="BT996" s="8" t="str">
        <f aca="false">IF(A996="","",IF(BI996="","未結合",IF(D996=BI996,"一致","不一致")))</f>
        <v>一致</v>
      </c>
      <c r="BU996" s="8" t="str">
        <f aca="false">IF(A996="","",IF(BE996="牝馬限定","牝馬限定","その他"))</f>
        <v>その他</v>
      </c>
    </row>
    <row r="997" customFormat="false" ht="15.75" hidden="false" customHeight="false" outlineLevel="0" collapsed="false">
      <c r="A997" s="6" t="n">
        <f aca="false">DATE(2026,8,9)</f>
        <v>46243</v>
      </c>
      <c r="B997" s="4" t="s">
        <v>334</v>
      </c>
      <c r="C997" s="8" t="n">
        <v>7</v>
      </c>
      <c r="D997" s="8" t="n">
        <v>16</v>
      </c>
      <c r="E997" s="8" t="n">
        <v>4</v>
      </c>
      <c r="F997" s="4" t="s">
        <v>1300</v>
      </c>
      <c r="G997" s="8" t="n">
        <v>71</v>
      </c>
      <c r="H997" s="8" t="n">
        <v>3</v>
      </c>
      <c r="I997" s="4" t="s">
        <v>5093</v>
      </c>
      <c r="J997" s="8" t="n">
        <v>39</v>
      </c>
      <c r="K997" s="8" t="n">
        <v>7</v>
      </c>
      <c r="L997" s="4" t="s">
        <v>2930</v>
      </c>
      <c r="M997" s="8" t="n">
        <v>39</v>
      </c>
      <c r="N997" s="8" t="n">
        <f aca="false">IF(A997="","",G997-J997)</f>
        <v>32</v>
      </c>
      <c r="O997" s="8" t="n">
        <f aca="false">IF(A997="","",J997-M997)</f>
        <v>0</v>
      </c>
      <c r="P997" s="8" t="n">
        <f aca="false">IF(A997="","",G997+J997)</f>
        <v>110</v>
      </c>
      <c r="Q997" s="8" t="str">
        <f aca="false">IF(A997="","",IF(AND(Y997&lt;&gt;"参考",G997&gt;=ルール設定!$B$2),"○",""))</f>
        <v/>
      </c>
      <c r="R997" s="8" t="str">
        <f aca="false">IF(A997="","",IF(AND(Y997&lt;&gt;"参考",G997&gt;=ルール設定!$B$3,N997&gt;=ルール設定!$B$4),"○",""))</f>
        <v>○</v>
      </c>
      <c r="S997" s="8" t="str">
        <f aca="false">IF(A997="","",IF(AND(Y997&lt;&gt;"参考",G997&gt;=ルール設定!$B$5,J997&gt;=ルール設定!$B$6,O997&gt;=ルール設定!$B$7),"○",""))</f>
        <v/>
      </c>
      <c r="T997" s="8" t="n">
        <v>1</v>
      </c>
      <c r="U997" s="8" t="n">
        <v>2</v>
      </c>
      <c r="V997" s="8" t="str">
        <f aca="false">IF(A997="","",IF(AND(ISNUMBER(T997),ISNUMBER(U997)),IF(AND(T997&lt;=3,U997&lt;=3),"○","×"),""))</f>
        <v>○</v>
      </c>
      <c r="W997" s="8" t="n">
        <v>110</v>
      </c>
      <c r="X997" s="8" t="n">
        <v>250</v>
      </c>
      <c r="Y997" s="4" t="s">
        <v>7597</v>
      </c>
      <c r="Z997" s="8" t="s">
        <v>8111</v>
      </c>
      <c r="AA997" s="8" t="str">
        <v/>
      </c>
      <c r="AB997" s="8" t="str">
        <v/>
      </c>
      <c r="AC997" s="8" t="str">
        <v/>
      </c>
      <c r="AD997" s="8" t="str">
        <v/>
      </c>
      <c r="AE997" s="8" t="str">
        <v>○</v>
      </c>
      <c r="AF997" s="8" t="str">
        <v/>
      </c>
      <c r="AG997" s="8" t="str">
        <v/>
      </c>
      <c r="AH997" s="8" t="str">
        <v/>
      </c>
      <c r="AI997" s="8" t="n">
        <v>32</v>
      </c>
      <c r="AJ997" s="8" t="str">
        <v>70～74</v>
      </c>
      <c r="AK997" s="8" t="str">
        <v>30以上</v>
      </c>
      <c r="AL997" s="8" t="str">
        <v>30～39</v>
      </c>
      <c r="AM997" s="8" t="str">
        <v>100～119</v>
      </c>
      <c r="AN997" s="8" t="str">
        <v>15以上</v>
      </c>
      <c r="AO997" s="8" t="str">
        <f aca="false">IF(A997="","",IF(COUNTIFS(全馬データ!$A$2:$A$50000,A997,全馬データ!$B$2:$B$50000,B997,全馬データ!$C$2:$C$50000,C997,全馬データ!$D$2:$D$50000,E997,全馬データ!$K$2:$K$50000,"&lt;&gt;")=0,"",SUMIFS(全馬データ!$K$2:$K$50000,全馬データ!$A$2:$A$50000,A997,全馬データ!$B$2:$B$50000,B997,全馬データ!$C$2:$C$50000,C997,全馬データ!$D$2:$D$50000,E997)))</f>
        <v/>
      </c>
      <c r="AP997" s="8" t="str">
        <f aca="false">IF(A997="","",IF(AO997="","欠損",IF(AO997&lt;=1.1,"1.0～1.1",IF(AO997&lt;1.3,"1.2",IF(AO997&lt;1.5,"1.3～1.4",IF(AO997&lt;2,"1.5～1.9","2.0以上"))))))</f>
        <v>欠損</v>
      </c>
      <c r="AQ997" s="8" t="str">
        <f aca="false">IF(A997="","",IF(ISNUMBER(SEARCH("2歳",Z997)),"2歳戦",IF(ISNUMBER(SEARCH("3歳未勝利",Z997)),"3歳未勝利",IF(ISNUMBER(SEARCH("未勝利",Z997)),"その他未勝利",IF(ISNUMBER(SEARCH("G1",Z997)),"G1",IF(ISNUMBER(SEARCH("G2",Z997)),"G2",IF(ISNUMBER(SEARCH("G3",Z997)),"G3",IF(ISNUMBER(SEARCH("古馬条件",Z997)),"古馬条件戦",IF(ISNUMBER(SEARCH("重賞",Z997)),"重賞","分類不能")))))))))</f>
        <v>分類不能</v>
      </c>
      <c r="AR997" s="8"/>
      <c r="AS997" s="8" t="s">
        <v>7623</v>
      </c>
      <c r="AT997" s="8" t="s">
        <v>7624</v>
      </c>
      <c r="AU997" s="8" t="s">
        <v>7600</v>
      </c>
      <c r="AV997" s="4" t="s">
        <v>7601</v>
      </c>
      <c r="AW997" s="8"/>
      <c r="AX997" s="8"/>
      <c r="AY997" s="8" t="s">
        <v>7602</v>
      </c>
      <c r="AZ997" s="4" t="s">
        <v>7603</v>
      </c>
      <c r="BA997" s="8" t="n">
        <v>2000</v>
      </c>
      <c r="BB997" s="8" t="s">
        <v>7598</v>
      </c>
      <c r="BC997" s="4" t="s">
        <v>7604</v>
      </c>
      <c r="BD997" s="8" t="s">
        <v>7625</v>
      </c>
      <c r="BE997" s="4" t="s">
        <v>7606</v>
      </c>
      <c r="BF997" s="8" t="s">
        <v>7607</v>
      </c>
      <c r="BG997" s="8" t="s">
        <v>7608</v>
      </c>
      <c r="BH997" s="4" t="s">
        <v>7609</v>
      </c>
      <c r="BI997" s="8" t="n">
        <v>16</v>
      </c>
      <c r="BJ997" s="8" t="s">
        <v>7602</v>
      </c>
      <c r="BK997" s="4" t="s">
        <v>7653</v>
      </c>
      <c r="BL997" s="8" t="s">
        <v>7602</v>
      </c>
      <c r="BM997" s="4" t="s">
        <v>7620</v>
      </c>
      <c r="BN997" s="8" t="s">
        <v>7602</v>
      </c>
      <c r="BO997" s="8" t="s">
        <v>7613</v>
      </c>
      <c r="BP997" s="8" t="s">
        <v>7608</v>
      </c>
      <c r="BQ997" s="8" t="str">
        <f aca="false">IF(A997="","",AT997)</f>
        <v>3歳</v>
      </c>
      <c r="BR997" s="8" t="str">
        <f aca="false">IF(A997="","",IF(BA997&lt;=1200,"～1200",IF(BA997&lt;=1500,"1300～1500",IF(BA997=1600,"1600",IF(BA997&lt;=1800,"1700～1800",IF(BA997&lt;=2000,"1900～2000","2100以上"))))))</f>
        <v>1900～2000</v>
      </c>
      <c r="BS997" s="8" t="str">
        <f aca="false">IF(A997="","",IF(AX997="G1","G1",IF(AX997="G2","G2",IF(AX997="G3","G3",IF(AX997="L","L","その他")))))</f>
        <v>その他</v>
      </c>
      <c r="BT997" s="8" t="str">
        <f aca="false">IF(A997="","",IF(BI997="","未結合",IF(D997=BI997,"一致","不一致")))</f>
        <v>一致</v>
      </c>
      <c r="BU997" s="8" t="str">
        <f aca="false">IF(A997="","",IF(BE997="牝馬限定","牝馬限定","その他"))</f>
        <v>その他</v>
      </c>
    </row>
    <row r="998" customFormat="false" ht="15.75" hidden="false" customHeight="false" outlineLevel="0" collapsed="false">
      <c r="A998" s="6" t="n">
        <f aca="false">DATE(2026,8,9)</f>
        <v>46243</v>
      </c>
      <c r="B998" s="4" t="s">
        <v>334</v>
      </c>
      <c r="C998" s="8" t="n">
        <v>8</v>
      </c>
      <c r="D998" s="8" t="n">
        <v>14</v>
      </c>
      <c r="E998" s="8" t="n">
        <v>12</v>
      </c>
      <c r="F998" s="4" t="s">
        <v>5793</v>
      </c>
      <c r="G998" s="8" t="n">
        <v>62</v>
      </c>
      <c r="H998" s="8" t="n">
        <v>6</v>
      </c>
      <c r="I998" s="8"/>
      <c r="J998" s="8" t="n">
        <v>56</v>
      </c>
      <c r="K998" s="8" t="n">
        <v>8</v>
      </c>
      <c r="L998" s="4" t="s">
        <v>2234</v>
      </c>
      <c r="M998" s="8" t="n">
        <v>56</v>
      </c>
      <c r="N998" s="8" t="n">
        <f aca="false">IF(A998="","",G998-J998)</f>
        <v>6</v>
      </c>
      <c r="O998" s="8" t="n">
        <f aca="false">IF(A998="","",J998-M998)</f>
        <v>0</v>
      </c>
      <c r="P998" s="8" t="n">
        <f aca="false">IF(A998="","",G998+J998)</f>
        <v>118</v>
      </c>
      <c r="Q998" s="8" t="str">
        <f aca="false">IF(A998="","",IF(AND(Y998&lt;&gt;"参考",G998&gt;=ルール設定!$B$2),"○",""))</f>
        <v/>
      </c>
      <c r="R998" s="8" t="str">
        <f aca="false">IF(A998="","",IF(AND(Y998&lt;&gt;"参考",G998&gt;=ルール設定!$B$3,N998&gt;=ルール設定!$B$4),"○",""))</f>
        <v/>
      </c>
      <c r="S998" s="8" t="str">
        <f aca="false">IF(A998="","",IF(AND(Y998&lt;&gt;"参考",G998&gt;=ルール設定!$B$5,J998&gt;=ルール設定!$B$6,O998&gt;=ルール設定!$B$7),"○",""))</f>
        <v/>
      </c>
      <c r="T998" s="8" t="n">
        <v>1</v>
      </c>
      <c r="U998" s="8" t="n">
        <v>4</v>
      </c>
      <c r="V998" s="8" t="str">
        <f aca="false">IF(A998="","",IF(AND(ISNUMBER(T998),ISNUMBER(U998)),IF(AND(T998&lt;=3,U998&lt;=3),"○","×"),""))</f>
        <v>×</v>
      </c>
      <c r="W998" s="8" t="n">
        <v>150</v>
      </c>
      <c r="X998" s="8"/>
      <c r="Y998" s="4" t="s">
        <v>7597</v>
      </c>
      <c r="Z998" s="8" t="s">
        <v>8111</v>
      </c>
      <c r="AA998" s="8" t="str">
        <v/>
      </c>
      <c r="AB998" s="8" t="str">
        <v/>
      </c>
      <c r="AC998" s="8" t="str">
        <v/>
      </c>
      <c r="AD998" s="8" t="str">
        <v/>
      </c>
      <c r="AE998" s="8" t="str">
        <v/>
      </c>
      <c r="AF998" s="8" t="str">
        <v/>
      </c>
      <c r="AG998" s="8" t="str">
        <v/>
      </c>
      <c r="AH998" s="8" t="str">
        <v/>
      </c>
      <c r="AI998" s="8" t="n">
        <v>6</v>
      </c>
      <c r="AJ998" s="8" t="str">
        <v>60～69</v>
      </c>
      <c r="AK998" s="8" t="str">
        <v>5～9</v>
      </c>
      <c r="AL998" s="8" t="str">
        <v>0～9</v>
      </c>
      <c r="AM998" s="8" t="str">
        <v>100～119</v>
      </c>
      <c r="AN998" s="8" t="str">
        <v>12～14</v>
      </c>
      <c r="AO998" s="8" t="str">
        <f aca="false">IF(A998="","",IF(COUNTIFS(全馬データ!$A$2:$A$50000,A998,全馬データ!$B$2:$B$50000,B998,全馬データ!$C$2:$C$50000,C998,全馬データ!$D$2:$D$50000,E998,全馬データ!$K$2:$K$50000,"&lt;&gt;")=0,"",SUMIFS(全馬データ!$K$2:$K$50000,全馬データ!$A$2:$A$50000,A998,全馬データ!$B$2:$B$50000,B998,全馬データ!$C$2:$C$50000,C998,全馬データ!$D$2:$D$50000,E998)))</f>
        <v/>
      </c>
      <c r="AP998" s="8" t="str">
        <f aca="false">IF(A998="","",IF(AO998="","欠損",IF(AO998&lt;=1.1,"1.0～1.1",IF(AO998&lt;1.3,"1.2",IF(AO998&lt;1.5,"1.3～1.4",IF(AO998&lt;2,"1.5～1.9","2.0以上"))))))</f>
        <v>欠損</v>
      </c>
      <c r="AQ998" s="8" t="str">
        <f aca="false">IF(A998="","",IF(ISNUMBER(SEARCH("2歳",Z998)),"2歳戦",IF(ISNUMBER(SEARCH("3歳未勝利",Z998)),"3歳未勝利",IF(ISNUMBER(SEARCH("未勝利",Z998)),"その他未勝利",IF(ISNUMBER(SEARCH("G1",Z998)),"G1",IF(ISNUMBER(SEARCH("G2",Z998)),"G2",IF(ISNUMBER(SEARCH("G3",Z998)),"G3",IF(ISNUMBER(SEARCH("古馬条件",Z998)),"古馬条件戦",IF(ISNUMBER(SEARCH("重賞",Z998)),"重賞","分類不能")))))))))</f>
        <v>分類不能</v>
      </c>
      <c r="AR998" s="8"/>
      <c r="AS998" s="8" t="s">
        <v>7626</v>
      </c>
      <c r="AT998" s="8" t="s">
        <v>7627</v>
      </c>
      <c r="AU998" s="8" t="s">
        <v>7628</v>
      </c>
      <c r="AV998" s="8" t="s">
        <v>7629</v>
      </c>
      <c r="AW998" s="8"/>
      <c r="AX998" s="8"/>
      <c r="AY998" s="8" t="s">
        <v>7610</v>
      </c>
      <c r="AZ998" s="4" t="s">
        <v>7617</v>
      </c>
      <c r="BA998" s="8" t="n">
        <v>1700</v>
      </c>
      <c r="BB998" s="8" t="s">
        <v>7598</v>
      </c>
      <c r="BC998" s="4" t="s">
        <v>7604</v>
      </c>
      <c r="BD998" s="8" t="s">
        <v>7625</v>
      </c>
      <c r="BE998" s="4" t="s">
        <v>7606</v>
      </c>
      <c r="BF998" s="8" t="s">
        <v>7607</v>
      </c>
      <c r="BG998" s="8" t="s">
        <v>7631</v>
      </c>
      <c r="BH998" s="4" t="s">
        <v>7632</v>
      </c>
      <c r="BI998" s="8" t="n">
        <v>14</v>
      </c>
      <c r="BJ998" s="8" t="s">
        <v>7602</v>
      </c>
      <c r="BK998" s="4" t="s">
        <v>7653</v>
      </c>
      <c r="BL998" s="8" t="s">
        <v>7602</v>
      </c>
      <c r="BM998" s="4" t="s">
        <v>7620</v>
      </c>
      <c r="BN998" s="8"/>
      <c r="BO998" s="8"/>
      <c r="BP998" s="8" t="s">
        <v>7608</v>
      </c>
      <c r="BQ998" s="8" t="str">
        <f aca="false">IF(A998="","",AT998)</f>
        <v>3歳以上</v>
      </c>
      <c r="BR998" s="8" t="str">
        <f aca="false">IF(A998="","",IF(BA998&lt;=1200,"～1200",IF(BA998&lt;=1500,"1300～1500",IF(BA998=1600,"1600",IF(BA998&lt;=1800,"1700～1800",IF(BA998&lt;=2000,"1900～2000","2100以上"))))))</f>
        <v>1700～1800</v>
      </c>
      <c r="BS998" s="8" t="str">
        <f aca="false">IF(A998="","",IF(AX998="G1","G1",IF(AX998="G2","G2",IF(AX998="G3","G3",IF(AX998="L","L","その他")))))</f>
        <v>その他</v>
      </c>
      <c r="BT998" s="8" t="str">
        <f aca="false">IF(A998="","",IF(BI998="","未結合",IF(D998=BI998,"一致","不一致")))</f>
        <v>一致</v>
      </c>
      <c r="BU998" s="8" t="str">
        <f aca="false">IF(A998="","",IF(BE998="牝馬限定","牝馬限定","その他"))</f>
        <v>その他</v>
      </c>
    </row>
    <row r="999" customFormat="false" ht="15.75" hidden="false" customHeight="false" outlineLevel="0" collapsed="false">
      <c r="A999" s="6" t="n">
        <f aca="false">DATE(2026,8,9)</f>
        <v>46243</v>
      </c>
      <c r="B999" s="4" t="s">
        <v>334</v>
      </c>
      <c r="C999" s="8" t="n">
        <v>9</v>
      </c>
      <c r="D999" s="8" t="n">
        <v>16</v>
      </c>
      <c r="E999" s="8" t="n">
        <v>8</v>
      </c>
      <c r="F999" s="8"/>
      <c r="G999" s="8" t="n">
        <v>58</v>
      </c>
      <c r="H999" s="8" t="n">
        <v>11</v>
      </c>
      <c r="I999" s="4" t="s">
        <v>5548</v>
      </c>
      <c r="J999" s="8" t="n">
        <v>41</v>
      </c>
      <c r="K999" s="8" t="n">
        <v>2</v>
      </c>
      <c r="L999" s="8"/>
      <c r="M999" s="8" t="n">
        <v>52</v>
      </c>
      <c r="N999" s="8" t="n">
        <f aca="false">IF(A999="","",G999-J999)</f>
        <v>17</v>
      </c>
      <c r="O999" s="8" t="n">
        <f aca="false">IF(A999="","",J999-M999)</f>
        <v>-11</v>
      </c>
      <c r="P999" s="8" t="n">
        <f aca="false">IF(A999="","",G999+J999)</f>
        <v>99</v>
      </c>
      <c r="Q999" s="8" t="str">
        <f aca="false">IF(A999="","",IF(AND(Y999&lt;&gt;"参考",G999&gt;=ルール設定!$B$2),"○",""))</f>
        <v/>
      </c>
      <c r="R999" s="8" t="str">
        <f aca="false">IF(A999="","",IF(AND(Y999&lt;&gt;"参考",G999&gt;=ルール設定!$B$3,N999&gt;=ルール設定!$B$4),"○",""))</f>
        <v/>
      </c>
      <c r="S999" s="8" t="str">
        <f aca="false">IF(A999="","",IF(AND(Y999&lt;&gt;"参考",G999&gt;=ルール設定!$B$5,J999&gt;=ルール設定!$B$6,O999&gt;=ルール設定!$B$7),"○",""))</f>
        <v/>
      </c>
      <c r="T999" s="8" t="n">
        <v>4</v>
      </c>
      <c r="U999" s="8" t="n">
        <v>2</v>
      </c>
      <c r="V999" s="8" t="str">
        <f aca="false">IF(A999="","",IF(AND(ISNUMBER(T999),ISNUMBER(U999)),IF(AND(T999&lt;=3,U999&lt;=3),"○","×"),""))</f>
        <v>×</v>
      </c>
      <c r="W999" s="8"/>
      <c r="X999" s="8"/>
      <c r="Y999" s="4" t="s">
        <v>7597</v>
      </c>
      <c r="Z999" s="8" t="s">
        <v>8111</v>
      </c>
      <c r="AA999" s="8" t="str">
        <v/>
      </c>
      <c r="AB999" s="8" t="str">
        <v/>
      </c>
      <c r="AC999" s="8" t="str">
        <v/>
      </c>
      <c r="AD999" s="8" t="str">
        <v/>
      </c>
      <c r="AE999" s="8" t="str">
        <v/>
      </c>
      <c r="AF999" s="8" t="str">
        <v/>
      </c>
      <c r="AG999" s="8" t="str">
        <v/>
      </c>
      <c r="AH999" s="8" t="str">
        <v/>
      </c>
      <c r="AI999" s="8" t="n">
        <v>6</v>
      </c>
      <c r="AJ999" s="8" t="str">
        <v>～59</v>
      </c>
      <c r="AK999" s="8" t="str">
        <v>10～19</v>
      </c>
      <c r="AL999" s="8" t="str">
        <v>0～9</v>
      </c>
      <c r="AM999" s="8" t="str">
        <v>～99</v>
      </c>
      <c r="AN999" s="8" t="str">
        <v>15以上</v>
      </c>
      <c r="AO999" s="8" t="str">
        <f aca="false">IF(A999="","",IF(COUNTIFS(全馬データ!$A$2:$A$50000,A999,全馬データ!$B$2:$B$50000,B999,全馬データ!$C$2:$C$50000,C999,全馬データ!$D$2:$D$50000,E999,全馬データ!$K$2:$K$50000,"&lt;&gt;")=0,"",SUMIFS(全馬データ!$K$2:$K$50000,全馬データ!$A$2:$A$50000,A999,全馬データ!$B$2:$B$50000,B999,全馬データ!$C$2:$C$50000,C999,全馬データ!$D$2:$D$50000,E999)))</f>
        <v/>
      </c>
      <c r="AP999" s="8" t="str">
        <f aca="false">IF(A999="","",IF(AO999="","欠損",IF(AO999&lt;=1.1,"1.0～1.1",IF(AO999&lt;1.3,"1.2",IF(AO999&lt;1.5,"1.3～1.4",IF(AO999&lt;2,"1.5～1.9","2.0以上"))))))</f>
        <v>欠損</v>
      </c>
      <c r="AQ999" s="8" t="str">
        <f aca="false">IF(A999="","",IF(ISNUMBER(SEARCH("2歳",Z999)),"2歳戦",IF(ISNUMBER(SEARCH("3歳未勝利",Z999)),"3歳未勝利",IF(ISNUMBER(SEARCH("未勝利",Z999)),"その他未勝利",IF(ISNUMBER(SEARCH("G1",Z999)),"G1",IF(ISNUMBER(SEARCH("G2",Z999)),"G2",IF(ISNUMBER(SEARCH("G3",Z999)),"G3",IF(ISNUMBER(SEARCH("古馬条件",Z999)),"古馬条件戦",IF(ISNUMBER(SEARCH("重賞",Z999)),"重賞","分類不能")))))))))</f>
        <v>分類不能</v>
      </c>
      <c r="AR999" s="8"/>
      <c r="AS999" s="8" t="s">
        <v>7626</v>
      </c>
      <c r="AT999" s="8" t="s">
        <v>7627</v>
      </c>
      <c r="AU999" s="8" t="s">
        <v>7628</v>
      </c>
      <c r="AV999" s="8" t="s">
        <v>7629</v>
      </c>
      <c r="AW999" s="8"/>
      <c r="AX999" s="8"/>
      <c r="AY999" s="8" t="s">
        <v>7602</v>
      </c>
      <c r="AZ999" s="4" t="s">
        <v>7603</v>
      </c>
      <c r="BA999" s="8" t="n">
        <v>1200</v>
      </c>
      <c r="BB999" s="8" t="s">
        <v>7598</v>
      </c>
      <c r="BC999" s="4" t="s">
        <v>7604</v>
      </c>
      <c r="BD999" s="8" t="s">
        <v>7621</v>
      </c>
      <c r="BE999" s="4" t="s">
        <v>7622</v>
      </c>
      <c r="BF999" s="8" t="s">
        <v>7602</v>
      </c>
      <c r="BG999" s="8" t="s">
        <v>7631</v>
      </c>
      <c r="BH999" s="4" t="s">
        <v>7632</v>
      </c>
      <c r="BI999" s="8" t="n">
        <v>16</v>
      </c>
      <c r="BJ999" s="8" t="s">
        <v>7602</v>
      </c>
      <c r="BK999" s="4" t="s">
        <v>7653</v>
      </c>
      <c r="BL999" s="8" t="s">
        <v>7602</v>
      </c>
      <c r="BM999" s="4" t="s">
        <v>7620</v>
      </c>
      <c r="BN999" s="8" t="s">
        <v>7602</v>
      </c>
      <c r="BO999" s="8" t="s">
        <v>7613</v>
      </c>
      <c r="BP999" s="8" t="s">
        <v>7608</v>
      </c>
      <c r="BQ999" s="8" t="str">
        <f aca="false">IF(A999="","",AT999)</f>
        <v>3歳以上</v>
      </c>
      <c r="BR999" s="8" t="str">
        <f aca="false">IF(A999="","",IF(BA999&lt;=1200,"～1200",IF(BA999&lt;=1500,"1300～1500",IF(BA999=1600,"1600",IF(BA999&lt;=1800,"1700～1800",IF(BA999&lt;=2000,"1900～2000","2100以上"))))))</f>
        <v>～1200</v>
      </c>
      <c r="BS999" s="8" t="str">
        <f aca="false">IF(A999="","",IF(AX999="G1","G1",IF(AX999="G2","G2",IF(AX999="G3","G3",IF(AX999="L","L","その他")))))</f>
        <v>その他</v>
      </c>
      <c r="BT999" s="8" t="str">
        <f aca="false">IF(A999="","",IF(BI999="","未結合",IF(D999=BI999,"一致","不一致")))</f>
        <v>一致</v>
      </c>
      <c r="BU999" s="8" t="str">
        <f aca="false">IF(A999="","",IF(BE999="牝馬限定","牝馬限定","その他"))</f>
        <v>牝馬限定</v>
      </c>
    </row>
    <row r="1000" customFormat="false" ht="15.75" hidden="false" customHeight="false" outlineLevel="0" collapsed="false">
      <c r="A1000" s="6" t="n">
        <f aca="false">DATE(2026,8,9)</f>
        <v>46243</v>
      </c>
      <c r="B1000" s="4" t="s">
        <v>334</v>
      </c>
      <c r="C1000" s="8" t="n">
        <v>10</v>
      </c>
      <c r="D1000" s="8" t="n">
        <v>14</v>
      </c>
      <c r="E1000" s="8" t="n">
        <v>13</v>
      </c>
      <c r="F1000" s="4" t="s">
        <v>1840</v>
      </c>
      <c r="G1000" s="8" t="n">
        <v>67</v>
      </c>
      <c r="H1000" s="8" t="n">
        <v>3</v>
      </c>
      <c r="I1000" s="4" t="s">
        <v>1842</v>
      </c>
      <c r="J1000" s="8" t="n">
        <v>44</v>
      </c>
      <c r="K1000" s="8" t="n">
        <v>8</v>
      </c>
      <c r="L1000" s="4" t="s">
        <v>462</v>
      </c>
      <c r="M1000" s="8" t="n">
        <v>60</v>
      </c>
      <c r="N1000" s="8" t="n">
        <f aca="false">IF(A1000="","",G1000-J1000)</f>
        <v>23</v>
      </c>
      <c r="O1000" s="8" t="n">
        <f aca="false">IF(A1000="","",J1000-M1000)</f>
        <v>-16</v>
      </c>
      <c r="P1000" s="8" t="n">
        <f aca="false">IF(A1000="","",G1000+J1000)</f>
        <v>111</v>
      </c>
      <c r="Q1000" s="8" t="str">
        <f aca="false">IF(A1000="","",IF(AND(Y1000&lt;&gt;"参考",G1000&gt;=ルール設定!$B$2),"○",""))</f>
        <v/>
      </c>
      <c r="R1000" s="8" t="str">
        <f aca="false">IF(A1000="","",IF(AND(Y1000&lt;&gt;"参考",G1000&gt;=ルール設定!$B$3,N1000&gt;=ルール設定!$B$4),"○",""))</f>
        <v/>
      </c>
      <c r="S1000" s="8" t="str">
        <f aca="false">IF(A1000="","",IF(AND(Y1000&lt;&gt;"参考",G1000&gt;=ルール設定!$B$5,J1000&gt;=ルール設定!$B$6,O1000&gt;=ルール設定!$B$7),"○",""))</f>
        <v/>
      </c>
      <c r="T1000" s="8" t="n">
        <v>2</v>
      </c>
      <c r="U1000" s="8" t="n">
        <v>1</v>
      </c>
      <c r="V1000" s="8" t="str">
        <f aca="false">IF(A1000="","",IF(AND(ISNUMBER(T1000),ISNUMBER(U1000)),IF(AND(T1000&lt;=3,U1000&lt;=3),"○","×"),""))</f>
        <v>○</v>
      </c>
      <c r="W1000" s="8" t="n">
        <v>110</v>
      </c>
      <c r="X1000" s="8" t="n">
        <v>430</v>
      </c>
      <c r="Y1000" s="4" t="s">
        <v>7597</v>
      </c>
      <c r="Z1000" s="8" t="s">
        <v>8111</v>
      </c>
      <c r="AA1000" s="8" t="str">
        <v/>
      </c>
      <c r="AB1000" s="8" t="str">
        <v/>
      </c>
      <c r="AC1000" s="8" t="str">
        <v/>
      </c>
      <c r="AD1000" s="8" t="str">
        <v/>
      </c>
      <c r="AE1000" s="8" t="str">
        <v/>
      </c>
      <c r="AF1000" s="8" t="str">
        <v/>
      </c>
      <c r="AG1000" s="8" t="str">
        <v/>
      </c>
      <c r="AH1000" s="8" t="str">
        <v/>
      </c>
      <c r="AI1000" s="8" t="n">
        <v>7</v>
      </c>
      <c r="AJ1000" s="8" t="str">
        <v>60～69</v>
      </c>
      <c r="AK1000" s="8" t="str">
        <v>20～29</v>
      </c>
      <c r="AL1000" s="8" t="str">
        <v>0～9</v>
      </c>
      <c r="AM1000" s="8" t="str">
        <v>100～119</v>
      </c>
      <c r="AN1000" s="8" t="str">
        <v>12～14</v>
      </c>
      <c r="AO1000" s="8" t="str">
        <f aca="false">IF(A1000="","",IF(COUNTIFS(全馬データ!$A$2:$A$50000,A1000,全馬データ!$B$2:$B$50000,B1000,全馬データ!$C$2:$C$50000,C1000,全馬データ!$D$2:$D$50000,E1000,全馬データ!$K$2:$K$50000,"&lt;&gt;")=0,"",SUMIFS(全馬データ!$K$2:$K$50000,全馬データ!$A$2:$A$50000,A1000,全馬データ!$B$2:$B$50000,B1000,全馬データ!$C$2:$C$50000,C1000,全馬データ!$D$2:$D$50000,E1000)))</f>
        <v/>
      </c>
      <c r="AP1000" s="8" t="str">
        <f aca="false">IF(A1000="","",IF(AO1000="","欠損",IF(AO1000&lt;=1.1,"1.0～1.1",IF(AO1000&lt;1.3,"1.2",IF(AO1000&lt;1.5,"1.3～1.4",IF(AO1000&lt;2,"1.5～1.9","2.0以上"))))))</f>
        <v>欠損</v>
      </c>
      <c r="AQ1000" s="8" t="str">
        <f aca="false">IF(A1000="","",IF(ISNUMBER(SEARCH("2歳",Z1000)),"2歳戦",IF(ISNUMBER(SEARCH("3歳未勝利",Z1000)),"3歳未勝利",IF(ISNUMBER(SEARCH("未勝利",Z1000)),"その他未勝利",IF(ISNUMBER(SEARCH("G1",Z1000)),"G1",IF(ISNUMBER(SEARCH("G2",Z1000)),"G2",IF(ISNUMBER(SEARCH("G3",Z1000)),"G3",IF(ISNUMBER(SEARCH("古馬条件",Z1000)),"古馬条件戦",IF(ISNUMBER(SEARCH("重賞",Z1000)),"重賞","分類不能")))))))))</f>
        <v>分類不能</v>
      </c>
      <c r="AR1000" s="4" t="s">
        <v>8124</v>
      </c>
      <c r="AS1000" s="8" t="s">
        <v>7626</v>
      </c>
      <c r="AT1000" s="8" t="s">
        <v>7627</v>
      </c>
      <c r="AU1000" s="8" t="s">
        <v>7634</v>
      </c>
      <c r="AV1000" s="8" t="s">
        <v>7635</v>
      </c>
      <c r="AW1000" s="8" t="s">
        <v>7636</v>
      </c>
      <c r="AX1000" s="4" t="s">
        <v>7637</v>
      </c>
      <c r="AY1000" s="8" t="s">
        <v>7610</v>
      </c>
      <c r="AZ1000" s="4" t="s">
        <v>7617</v>
      </c>
      <c r="BA1000" s="8" t="n">
        <v>1700</v>
      </c>
      <c r="BB1000" s="8" t="s">
        <v>7598</v>
      </c>
      <c r="BC1000" s="4" t="s">
        <v>7604</v>
      </c>
      <c r="BD1000" s="8" t="s">
        <v>7605</v>
      </c>
      <c r="BE1000" s="4" t="s">
        <v>7606</v>
      </c>
      <c r="BF1000" s="8" t="s">
        <v>7607</v>
      </c>
      <c r="BG1000" s="8" t="s">
        <v>7602</v>
      </c>
      <c r="BH1000" s="4" t="s">
        <v>7667</v>
      </c>
      <c r="BI1000" s="8" t="n">
        <v>14</v>
      </c>
      <c r="BJ1000" s="8" t="s">
        <v>7602</v>
      </c>
      <c r="BK1000" s="4" t="s">
        <v>7653</v>
      </c>
      <c r="BL1000" s="8" t="s">
        <v>7602</v>
      </c>
      <c r="BM1000" s="4" t="s">
        <v>7620</v>
      </c>
      <c r="BN1000" s="8"/>
      <c r="BO1000" s="8"/>
      <c r="BP1000" s="8" t="s">
        <v>7608</v>
      </c>
      <c r="BQ1000" s="8" t="str">
        <f aca="false">IF(A1000="","",AT1000)</f>
        <v>3歳以上</v>
      </c>
      <c r="BR1000" s="8" t="str">
        <f aca="false">IF(A1000="","",IF(BA1000&lt;=1200,"～1200",IF(BA1000&lt;=1500,"1300～1500",IF(BA1000=1600,"1600",IF(BA1000&lt;=1800,"1700～1800",IF(BA1000&lt;=2000,"1900～2000","2100以上"))))))</f>
        <v>1700～1800</v>
      </c>
      <c r="BS1000" s="8" t="str">
        <f aca="false">IF(A1000="","",IF(AX1000="G1","G1",IF(AX1000="G2","G2",IF(AX1000="G3","G3",IF(AX1000="L","L","その他")))))</f>
        <v>その他</v>
      </c>
      <c r="BT1000" s="8" t="str">
        <f aca="false">IF(A1000="","",IF(BI1000="","未結合",IF(D1000=BI1000,"一致","不一致")))</f>
        <v>一致</v>
      </c>
      <c r="BU1000" s="8" t="str">
        <f aca="false">IF(A1000="","",IF(BE1000="牝馬限定","牝馬限定","その他"))</f>
        <v>その他</v>
      </c>
    </row>
    <row r="1001" customFormat="false" ht="15.75" hidden="false" customHeight="false" outlineLevel="0" collapsed="false">
      <c r="A1001" s="6" t="n">
        <f aca="false">DATE(2026,8,9)</f>
        <v>46243</v>
      </c>
      <c r="B1001" s="4" t="s">
        <v>334</v>
      </c>
      <c r="C1001" s="8" t="n">
        <v>11</v>
      </c>
      <c r="D1001" s="8" t="n">
        <v>16</v>
      </c>
      <c r="E1001" s="8" t="n">
        <v>10</v>
      </c>
      <c r="F1001" s="4" t="s">
        <v>4465</v>
      </c>
      <c r="G1001" s="8" t="n">
        <v>47</v>
      </c>
      <c r="H1001" s="8" t="n">
        <v>13</v>
      </c>
      <c r="I1001" s="4" t="s">
        <v>5116</v>
      </c>
      <c r="J1001" s="8" t="n">
        <v>39</v>
      </c>
      <c r="K1001" s="8" t="n">
        <v>3</v>
      </c>
      <c r="L1001" s="8"/>
      <c r="M1001" s="8" t="n">
        <v>41</v>
      </c>
      <c r="N1001" s="8" t="n">
        <f aca="false">IF(A1001="","",G1001-J1001)</f>
        <v>8</v>
      </c>
      <c r="O1001" s="8" t="n">
        <f aca="false">IF(A1001="","",J1001-M1001)</f>
        <v>-2</v>
      </c>
      <c r="P1001" s="8" t="n">
        <f aca="false">IF(A1001="","",G1001+J1001)</f>
        <v>86</v>
      </c>
      <c r="Q1001" s="8" t="str">
        <f aca="false">IF(A1001="","",IF(AND(Y1001&lt;&gt;"参考",G1001&gt;=ルール設定!$B$2),"○",""))</f>
        <v/>
      </c>
      <c r="R1001" s="8" t="str">
        <f aca="false">IF(A1001="","",IF(AND(Y1001&lt;&gt;"参考",G1001&gt;=ルール設定!$B$3,N1001&gt;=ルール設定!$B$4),"○",""))</f>
        <v/>
      </c>
      <c r="S1001" s="8" t="str">
        <f aca="false">IF(A1001="","",IF(AND(Y1001&lt;&gt;"参考",G1001&gt;=ルール設定!$B$5,J1001&gt;=ルール設定!$B$6,O1001&gt;=ルール設定!$B$7),"○",""))</f>
        <v/>
      </c>
      <c r="T1001" s="8" t="n">
        <v>1</v>
      </c>
      <c r="U1001" s="8" t="n">
        <v>2</v>
      </c>
      <c r="V1001" s="8" t="str">
        <f aca="false">IF(A1001="","",IF(AND(ISNUMBER(T1001),ISNUMBER(U1001)),IF(AND(T1001&lt;=3,U1001&lt;=3),"○","×"),""))</f>
        <v>○</v>
      </c>
      <c r="W1001" s="8" t="n">
        <v>170</v>
      </c>
      <c r="X1001" s="8" t="n">
        <v>440</v>
      </c>
      <c r="Y1001" s="4" t="s">
        <v>7597</v>
      </c>
      <c r="Z1001" s="8" t="s">
        <v>8111</v>
      </c>
      <c r="AA1001" s="8" t="str">
        <v/>
      </c>
      <c r="AB1001" s="8" t="str">
        <v/>
      </c>
      <c r="AC1001" s="8" t="str">
        <v/>
      </c>
      <c r="AD1001" s="8" t="str">
        <v/>
      </c>
      <c r="AE1001" s="8" t="str">
        <v/>
      </c>
      <c r="AF1001" s="8" t="str">
        <v/>
      </c>
      <c r="AG1001" s="8" t="str">
        <v/>
      </c>
      <c r="AH1001" s="8" t="str">
        <v/>
      </c>
      <c r="AI1001" s="8" t="n">
        <v>6</v>
      </c>
      <c r="AJ1001" s="8" t="str">
        <v>～59</v>
      </c>
      <c r="AK1001" s="8" t="str">
        <v>5～9</v>
      </c>
      <c r="AL1001" s="8" t="str">
        <v>0～9</v>
      </c>
      <c r="AM1001" s="8" t="str">
        <v>～99</v>
      </c>
      <c r="AN1001" s="8" t="str">
        <v>15以上</v>
      </c>
      <c r="AO1001" s="8" t="str">
        <f aca="false">IF(A1001="","",IF(COUNTIFS(全馬データ!$A$2:$A$50000,A1001,全馬データ!$B$2:$B$50000,B1001,全馬データ!$C$2:$C$50000,C1001,全馬データ!$D$2:$D$50000,E1001,全馬データ!$K$2:$K$50000,"&lt;&gt;")=0,"",SUMIFS(全馬データ!$K$2:$K$50000,全馬データ!$A$2:$A$50000,A1001,全馬データ!$B$2:$B$50000,B1001,全馬データ!$C$2:$C$50000,C1001,全馬データ!$D$2:$D$50000,E1001)))</f>
        <v/>
      </c>
      <c r="AP1001" s="8" t="str">
        <f aca="false">IF(A1001="","",IF(AO1001="","欠損",IF(AO1001&lt;=1.1,"1.0～1.1",IF(AO1001&lt;1.3,"1.2",IF(AO1001&lt;1.5,"1.3～1.4",IF(AO1001&lt;2,"1.5～1.9","2.0以上"))))))</f>
        <v>欠損</v>
      </c>
      <c r="AQ1001" s="8" t="str">
        <f aca="false">IF(A1001="","",IF(ISNUMBER(SEARCH("2歳",Z1001)),"2歳戦",IF(ISNUMBER(SEARCH("3歳未勝利",Z1001)),"3歳未勝利",IF(ISNUMBER(SEARCH("未勝利",Z1001)),"その他未勝利",IF(ISNUMBER(SEARCH("G1",Z1001)),"G1",IF(ISNUMBER(SEARCH("G2",Z1001)),"G2",IF(ISNUMBER(SEARCH("G3",Z1001)),"G3",IF(ISNUMBER(SEARCH("古馬条件",Z1001)),"古馬条件戦",IF(ISNUMBER(SEARCH("重賞",Z1001)),"重賞","分類不能")))))))))</f>
        <v>分類不能</v>
      </c>
      <c r="AR1001" s="4" t="s">
        <v>8125</v>
      </c>
      <c r="AS1001" s="8" t="s">
        <v>7626</v>
      </c>
      <c r="AT1001" s="8" t="s">
        <v>7627</v>
      </c>
      <c r="AU1001" s="8" t="s">
        <v>7643</v>
      </c>
      <c r="AV1001" s="4" t="s">
        <v>7644</v>
      </c>
      <c r="AW1001" s="8" t="s">
        <v>7636</v>
      </c>
      <c r="AX1001" s="4" t="s">
        <v>7637</v>
      </c>
      <c r="AY1001" s="8" t="s">
        <v>7602</v>
      </c>
      <c r="AZ1001" s="4" t="s">
        <v>7603</v>
      </c>
      <c r="BA1001" s="8" t="n">
        <v>1200</v>
      </c>
      <c r="BB1001" s="8" t="s">
        <v>7598</v>
      </c>
      <c r="BC1001" s="4" t="s">
        <v>7604</v>
      </c>
      <c r="BD1001" s="8" t="s">
        <v>7666</v>
      </c>
      <c r="BE1001" s="4" t="s">
        <v>7606</v>
      </c>
      <c r="BF1001" s="8" t="s">
        <v>7607</v>
      </c>
      <c r="BG1001" s="8" t="s">
        <v>7610</v>
      </c>
      <c r="BH1001" s="4" t="s">
        <v>7646</v>
      </c>
      <c r="BI1001" s="8" t="n">
        <v>16</v>
      </c>
      <c r="BJ1001" s="8" t="s">
        <v>7602</v>
      </c>
      <c r="BK1001" s="4" t="s">
        <v>7653</v>
      </c>
      <c r="BL1001" s="8" t="s">
        <v>7602</v>
      </c>
      <c r="BM1001" s="4" t="s">
        <v>7620</v>
      </c>
      <c r="BN1001" s="8" t="s">
        <v>7602</v>
      </c>
      <c r="BO1001" s="8" t="s">
        <v>7613</v>
      </c>
      <c r="BP1001" s="8" t="s">
        <v>7608</v>
      </c>
      <c r="BQ1001" s="8" t="str">
        <f aca="false">IF(A1001="","",AT1001)</f>
        <v>3歳以上</v>
      </c>
      <c r="BR1001" s="8" t="str">
        <f aca="false">IF(A1001="","",IF(BA1001&lt;=1200,"～1200",IF(BA1001&lt;=1500,"1300～1500",IF(BA1001=1600,"1600",IF(BA1001&lt;=1800,"1700～1800",IF(BA1001&lt;=2000,"1900～2000","2100以上"))))))</f>
        <v>～1200</v>
      </c>
      <c r="BS1001" s="8" t="str">
        <f aca="false">IF(A1001="","",IF(AX1001="G1","G1",IF(AX1001="G2","G2",IF(AX1001="G3","G3",IF(AX1001="L","L","その他")))))</f>
        <v>その他</v>
      </c>
      <c r="BT1001" s="8" t="str">
        <f aca="false">IF(A1001="","",IF(BI1001="","未結合",IF(D1001=BI1001,"一致","不一致")))</f>
        <v>一致</v>
      </c>
      <c r="BU1001" s="8" t="str">
        <f aca="false">IF(A1001="","",IF(BE1001="牝馬限定","牝馬限定","その他"))</f>
        <v>その他</v>
      </c>
    </row>
    <row r="1002" customFormat="false" ht="15.75" hidden="false" customHeight="false" outlineLevel="0" collapsed="false">
      <c r="A1002" s="6" t="n">
        <f aca="false">DATE(2026,8,9)</f>
        <v>46243</v>
      </c>
      <c r="B1002" s="4" t="s">
        <v>334</v>
      </c>
      <c r="C1002" s="8" t="n">
        <v>12</v>
      </c>
      <c r="D1002" s="8" t="n">
        <v>8</v>
      </c>
      <c r="E1002" s="8" t="n">
        <v>1</v>
      </c>
      <c r="F1002" s="4" t="s">
        <v>1342</v>
      </c>
      <c r="G1002" s="8" t="n">
        <v>74</v>
      </c>
      <c r="H1002" s="8" t="n">
        <v>7</v>
      </c>
      <c r="I1002" s="8"/>
      <c r="J1002" s="8" t="n">
        <v>52</v>
      </c>
      <c r="K1002" s="8" t="n">
        <v>8</v>
      </c>
      <c r="L1002" s="8"/>
      <c r="M1002" s="8" t="n">
        <v>52</v>
      </c>
      <c r="N1002" s="8" t="n">
        <f aca="false">IF(A1002="","",G1002-J1002)</f>
        <v>22</v>
      </c>
      <c r="O1002" s="8" t="n">
        <f aca="false">IF(A1002="","",J1002-M1002)</f>
        <v>0</v>
      </c>
      <c r="P1002" s="8" t="n">
        <f aca="false">IF(A1002="","",G1002+J1002)</f>
        <v>126</v>
      </c>
      <c r="Q1002" s="8" t="str">
        <f aca="false">IF(A1002="","",IF(AND(Y1002&lt;&gt;"参考",G1002&gt;=ルール設定!$B$2),"○",""))</f>
        <v/>
      </c>
      <c r="R1002" s="8" t="str">
        <f aca="false">IF(A1002="","",IF(AND(Y1002&lt;&gt;"参考",G1002&gt;=ルール設定!$B$3,N1002&gt;=ルール設定!$B$4),"○",""))</f>
        <v/>
      </c>
      <c r="S1002" s="8" t="str">
        <f aca="false">IF(A1002="","",IF(AND(Y1002&lt;&gt;"参考",G1002&gt;=ルール設定!$B$5,J1002&gt;=ルール設定!$B$6,O1002&gt;=ルール設定!$B$7),"○",""))</f>
        <v/>
      </c>
      <c r="T1002" s="8" t="n">
        <v>3</v>
      </c>
      <c r="U1002" s="8" t="n">
        <v>4</v>
      </c>
      <c r="V1002" s="8" t="str">
        <f aca="false">IF(A1002="","",IF(AND(ISNUMBER(T1002),ISNUMBER(U1002)),IF(AND(T1002&lt;=3,U1002&lt;=3),"○","×"),""))</f>
        <v>×</v>
      </c>
      <c r="W1002" s="8" t="n">
        <v>170</v>
      </c>
      <c r="X1002" s="8"/>
      <c r="Y1002" s="4" t="s">
        <v>7597</v>
      </c>
      <c r="Z1002" s="8" t="s">
        <v>8111</v>
      </c>
      <c r="AA1002" s="8" t="str">
        <v/>
      </c>
      <c r="AB1002" s="8" t="str">
        <v/>
      </c>
      <c r="AC1002" s="8" t="str">
        <v/>
      </c>
      <c r="AD1002" s="8" t="str">
        <v/>
      </c>
      <c r="AE1002" s="8" t="str">
        <v/>
      </c>
      <c r="AF1002" s="8" t="str">
        <v/>
      </c>
      <c r="AG1002" s="8" t="str">
        <v/>
      </c>
      <c r="AH1002" s="8" t="str">
        <v/>
      </c>
      <c r="AI1002" s="8" t="n">
        <v>22</v>
      </c>
      <c r="AJ1002" s="8" t="str">
        <v>70～74</v>
      </c>
      <c r="AK1002" s="8" t="str">
        <v>20～29</v>
      </c>
      <c r="AL1002" s="8" t="str">
        <v>20～29</v>
      </c>
      <c r="AM1002" s="8" t="str">
        <v>120～139</v>
      </c>
      <c r="AN1002" s="8" t="str">
        <v>8～11</v>
      </c>
      <c r="AO1002" s="8" t="str">
        <f aca="false">IF(A1002="","",IF(COUNTIFS(全馬データ!$A$2:$A$50000,A1002,全馬データ!$B$2:$B$50000,B1002,全馬データ!$C$2:$C$50000,C1002,全馬データ!$D$2:$D$50000,E1002,全馬データ!$K$2:$K$50000,"&lt;&gt;")=0,"",SUMIFS(全馬データ!$K$2:$K$50000,全馬データ!$A$2:$A$50000,A1002,全馬データ!$B$2:$B$50000,B1002,全馬データ!$C$2:$C$50000,C1002,全馬データ!$D$2:$D$50000,E1002)))</f>
        <v/>
      </c>
      <c r="AP1002" s="8" t="str">
        <f aca="false">IF(A1002="","",IF(AO1002="","欠損",IF(AO1002&lt;=1.1,"1.0～1.1",IF(AO1002&lt;1.3,"1.2",IF(AO1002&lt;1.5,"1.3～1.4",IF(AO1002&lt;2,"1.5～1.9","2.0以上"))))))</f>
        <v>欠損</v>
      </c>
      <c r="AQ1002" s="8" t="str">
        <f aca="false">IF(A1002="","",IF(ISNUMBER(SEARCH("2歳",Z1002)),"2歳戦",IF(ISNUMBER(SEARCH("3歳未勝利",Z1002)),"3歳未勝利",IF(ISNUMBER(SEARCH("未勝利",Z1002)),"その他未勝利",IF(ISNUMBER(SEARCH("G1",Z1002)),"G1",IF(ISNUMBER(SEARCH("G2",Z1002)),"G2",IF(ISNUMBER(SEARCH("G3",Z1002)),"G3",IF(ISNUMBER(SEARCH("古馬条件",Z1002)),"古馬条件戦",IF(ISNUMBER(SEARCH("重賞",Z1002)),"重賞","分類不能")))))))))</f>
        <v>分類不能</v>
      </c>
      <c r="AR1002" s="4" t="s">
        <v>8126</v>
      </c>
      <c r="AS1002" s="8" t="s">
        <v>7626</v>
      </c>
      <c r="AT1002" s="8" t="s">
        <v>7627</v>
      </c>
      <c r="AU1002" s="8" t="s">
        <v>7628</v>
      </c>
      <c r="AV1002" s="8" t="s">
        <v>7629</v>
      </c>
      <c r="AW1002" s="8" t="s">
        <v>7636</v>
      </c>
      <c r="AX1002" s="4" t="s">
        <v>7637</v>
      </c>
      <c r="AY1002" s="8" t="s">
        <v>7602</v>
      </c>
      <c r="AZ1002" s="4" t="s">
        <v>7603</v>
      </c>
      <c r="BA1002" s="8" t="n">
        <v>1800</v>
      </c>
      <c r="BB1002" s="8" t="s">
        <v>7598</v>
      </c>
      <c r="BC1002" s="4" t="s">
        <v>7604</v>
      </c>
      <c r="BD1002" s="8" t="s">
        <v>7690</v>
      </c>
      <c r="BE1002" s="4" t="s">
        <v>7606</v>
      </c>
      <c r="BF1002" s="8" t="s">
        <v>7607</v>
      </c>
      <c r="BG1002" s="8" t="s">
        <v>7631</v>
      </c>
      <c r="BH1002" s="4" t="s">
        <v>7632</v>
      </c>
      <c r="BI1002" s="8" t="n">
        <v>8</v>
      </c>
      <c r="BJ1002" s="8" t="s">
        <v>7602</v>
      </c>
      <c r="BK1002" s="4" t="s">
        <v>7653</v>
      </c>
      <c r="BL1002" s="8" t="s">
        <v>7602</v>
      </c>
      <c r="BM1002" s="4" t="s">
        <v>7620</v>
      </c>
      <c r="BN1002" s="8" t="s">
        <v>7602</v>
      </c>
      <c r="BO1002" s="8" t="s">
        <v>7613</v>
      </c>
      <c r="BP1002" s="8" t="s">
        <v>7608</v>
      </c>
      <c r="BQ1002" s="8" t="str">
        <f aca="false">IF(A1002="","",AT1002)</f>
        <v>3歳以上</v>
      </c>
      <c r="BR1002" s="8" t="str">
        <f aca="false">IF(A1002="","",IF(BA1002&lt;=1200,"～1200",IF(BA1002&lt;=1500,"1300～1500",IF(BA1002=1600,"1600",IF(BA1002&lt;=1800,"1700～1800",IF(BA1002&lt;=2000,"1900～2000","2100以上"))))))</f>
        <v>1700～1800</v>
      </c>
      <c r="BS1002" s="8" t="str">
        <f aca="false">IF(A1002="","",IF(AX1002="G1","G1",IF(AX1002="G2","G2",IF(AX1002="G3","G3",IF(AX1002="L","L","その他")))))</f>
        <v>その他</v>
      </c>
      <c r="BT1002" s="8" t="str">
        <f aca="false">IF(A1002="","",IF(BI1002="","未結合",IF(D1002=BI1002,"一致","不一致")))</f>
        <v>一致</v>
      </c>
      <c r="BU1002" s="8" t="str">
        <f aca="false">IF(A1002="","",IF(BE1002="牝馬限定","牝馬限定","その他"))</f>
        <v>その他</v>
      </c>
    </row>
    <row r="1003" customFormat="false" ht="15.75" hidden="false" customHeight="false" outlineLevel="0" collapsed="false">
      <c r="A1003" s="6" t="n">
        <f aca="false">DATE(2026,5,9)</f>
        <v>46151</v>
      </c>
      <c r="B1003" s="4" t="s">
        <v>5435</v>
      </c>
      <c r="C1003" s="8" t="n">
        <v>1</v>
      </c>
      <c r="D1003" s="8" t="n">
        <v>16</v>
      </c>
      <c r="E1003" s="8" t="n">
        <v>10</v>
      </c>
      <c r="F1003" s="4" t="s">
        <v>748</v>
      </c>
      <c r="G1003" s="8" t="n">
        <v>60</v>
      </c>
      <c r="H1003" s="8" t="n">
        <v>5</v>
      </c>
      <c r="I1003" s="4" t="s">
        <v>1149</v>
      </c>
      <c r="J1003" s="8" t="n">
        <v>47</v>
      </c>
      <c r="K1003" s="8" t="n">
        <v>7</v>
      </c>
      <c r="L1003" s="4" t="s">
        <v>1729</v>
      </c>
      <c r="M1003" s="8" t="n">
        <v>47</v>
      </c>
      <c r="N1003" s="8" t="n">
        <f aca="false">IF(A1003="","",G1003-J1003)</f>
        <v>13</v>
      </c>
      <c r="O1003" s="8" t="n">
        <f aca="false">IF(A1003="","",J1003-M1003)</f>
        <v>0</v>
      </c>
      <c r="P1003" s="8" t="n">
        <f aca="false">IF(A1003="","",G1003+J1003)</f>
        <v>107</v>
      </c>
      <c r="Q1003" s="8" t="str">
        <f aca="false">IF(A1003="","",IF(AND(Y1003&lt;&gt;"参考",G1003&gt;=ルール設定!$B$2),"○",""))</f>
        <v/>
      </c>
      <c r="R1003" s="8" t="str">
        <f aca="false">IF(A1003="","",IF(AND(Y1003&lt;&gt;"参考",G1003&gt;=ルール設定!$B$3,N1003&gt;=ルール設定!$B$4),"○",""))</f>
        <v/>
      </c>
      <c r="S1003" s="8" t="str">
        <f aca="false">IF(A1003="","",IF(AND(Y1003&lt;&gt;"参考",G1003&gt;=ルール設定!$B$5,J1003&gt;=ルール設定!$B$6,O1003&gt;=ルール設定!$B$7),"○",""))</f>
        <v/>
      </c>
      <c r="T1003" s="8" t="n">
        <v>4</v>
      </c>
      <c r="U1003" s="8" t="n">
        <v>4</v>
      </c>
      <c r="V1003" s="8" t="str">
        <f aca="false">IF(A1003="","",IF(AND(ISNUMBER(T1003),ISNUMBER(U1003)),IF(AND(T1003&lt;=3,U1003&lt;=3),"○","×"),""))</f>
        <v>×</v>
      </c>
      <c r="W1003" s="8"/>
      <c r="X1003" s="8"/>
      <c r="Y1003" s="4" t="s">
        <v>7597</v>
      </c>
      <c r="Z1003" s="8" t="s">
        <v>8111</v>
      </c>
      <c r="AA1003" s="8" t="str">
        <v/>
      </c>
      <c r="AB1003" s="8" t="str">
        <v/>
      </c>
      <c r="AC1003" s="8" t="str">
        <v/>
      </c>
      <c r="AD1003" s="8" t="str">
        <v/>
      </c>
      <c r="AE1003" s="8" t="str">
        <v/>
      </c>
      <c r="AF1003" s="8" t="str">
        <v/>
      </c>
      <c r="AG1003" s="8" t="str">
        <v/>
      </c>
      <c r="AH1003" s="8" t="str">
        <v/>
      </c>
      <c r="AI1003" s="8" t="n">
        <v>13</v>
      </c>
      <c r="AJ1003" s="8" t="str">
        <v>60～69</v>
      </c>
      <c r="AK1003" s="8" t="str">
        <v>10～19</v>
      </c>
      <c r="AL1003" s="8" t="str">
        <v>10～19</v>
      </c>
      <c r="AM1003" s="8" t="str">
        <v>100～119</v>
      </c>
      <c r="AN1003" s="8" t="str">
        <v>15以上</v>
      </c>
      <c r="AO1003" s="8" t="str">
        <f aca="false">IF(A1003="","",IF(COUNTIFS(全馬データ!$A$2:$A$50000,A1003,全馬データ!$B$2:$B$50000,B1003,全馬データ!$C$2:$C$50000,C1003,全馬データ!$D$2:$D$50000,E1003,全馬データ!$K$2:$K$50000,"&lt;&gt;")=0,"",SUMIFS(全馬データ!$K$2:$K$50000,全馬データ!$A$2:$A$50000,A1003,全馬データ!$B$2:$B$50000,B1003,全馬データ!$C$2:$C$50000,C1003,全馬データ!$D$2:$D$50000,E1003)))</f>
        <v/>
      </c>
      <c r="AP1003" s="8" t="str">
        <f aca="false">IF(A1003="","",IF(AO1003="","欠損",IF(AO1003&lt;=1.1,"1.0～1.1",IF(AO1003&lt;1.3,"1.2",IF(AO1003&lt;1.5,"1.3～1.4",IF(AO1003&lt;2,"1.5～1.9","2.0以上"))))))</f>
        <v>欠損</v>
      </c>
      <c r="AQ1003" s="8" t="str">
        <f aca="false">IF(A1003="","",IF(ISNUMBER(SEARCH("2歳",Z1003)),"2歳戦",IF(ISNUMBER(SEARCH("3歳未勝利",Z1003)),"3歳未勝利",IF(ISNUMBER(SEARCH("未勝利",Z1003)),"その他未勝利",IF(ISNUMBER(SEARCH("G1",Z1003)),"G1",IF(ISNUMBER(SEARCH("G2",Z1003)),"G2",IF(ISNUMBER(SEARCH("G3",Z1003)),"G3",IF(ISNUMBER(SEARCH("古馬条件",Z1003)),"古馬条件戦",IF(ISNUMBER(SEARCH("重賞",Z1003)),"重賞","分類不能")))))))))</f>
        <v>分類不能</v>
      </c>
      <c r="AR1003" s="8"/>
      <c r="AS1003" s="8" t="s">
        <v>7623</v>
      </c>
      <c r="AT1003" s="8" t="s">
        <v>7624</v>
      </c>
      <c r="AU1003" s="8" t="s">
        <v>7600</v>
      </c>
      <c r="AV1003" s="4" t="s">
        <v>7601</v>
      </c>
      <c r="AW1003" s="8"/>
      <c r="AX1003" s="8"/>
      <c r="AY1003" s="8" t="s">
        <v>7610</v>
      </c>
      <c r="AZ1003" s="4" t="s">
        <v>7617</v>
      </c>
      <c r="BA1003" s="8" t="n">
        <v>1400</v>
      </c>
      <c r="BB1003" s="8" t="s">
        <v>7634</v>
      </c>
      <c r="BC1003" s="4" t="s">
        <v>7604</v>
      </c>
      <c r="BD1003" s="8" t="s">
        <v>7625</v>
      </c>
      <c r="BE1003" s="4" t="s">
        <v>7606</v>
      </c>
      <c r="BF1003" s="8" t="s">
        <v>7607</v>
      </c>
      <c r="BG1003" s="8" t="s">
        <v>7608</v>
      </c>
      <c r="BH1003" s="4" t="s">
        <v>7609</v>
      </c>
      <c r="BI1003" s="8" t="n">
        <v>16</v>
      </c>
      <c r="BJ1003" s="8" t="s">
        <v>7602</v>
      </c>
      <c r="BK1003" s="4" t="s">
        <v>7653</v>
      </c>
      <c r="BL1003" s="8" t="s">
        <v>7602</v>
      </c>
      <c r="BM1003" s="4" t="s">
        <v>7620</v>
      </c>
      <c r="BN1003" s="8"/>
      <c r="BO1003" s="8"/>
      <c r="BP1003" s="8" t="s">
        <v>7610</v>
      </c>
      <c r="BQ1003" s="8" t="str">
        <f aca="false">IF(A1003="","",AT1003)</f>
        <v>3歳</v>
      </c>
      <c r="BR1003" s="8" t="str">
        <f aca="false">IF(A1003="","",IF(BA1003&lt;=1200,"～1200",IF(BA1003&lt;=1500,"1300～1500",IF(BA1003=1600,"1600",IF(BA1003&lt;=1800,"1700～1800",IF(BA1003&lt;=2000,"1900～2000","2100以上"))))))</f>
        <v>1300～1500</v>
      </c>
      <c r="BS1003" s="8" t="str">
        <f aca="false">IF(A1003="","",IF(AX1003="G1","G1",IF(AX1003="G2","G2",IF(AX1003="G3","G3",IF(AX1003="L","L","その他")))))</f>
        <v>その他</v>
      </c>
      <c r="BT1003" s="8" t="str">
        <f aca="false">IF(A1003="","",IF(BI1003="","未結合",IF(D1003=BI1003,"一致","不一致")))</f>
        <v>一致</v>
      </c>
      <c r="BU1003" s="8" t="str">
        <f aca="false">IF(A1003="","",IF(BE1003="牝馬限定","牝馬限定","その他"))</f>
        <v>その他</v>
      </c>
    </row>
    <row r="1004" customFormat="false" ht="15.75" hidden="false" customHeight="false" outlineLevel="0" collapsed="false">
      <c r="A1004" s="6" t="n">
        <f aca="false">DATE(2026,5,9)</f>
        <v>46151</v>
      </c>
      <c r="B1004" s="4" t="s">
        <v>5435</v>
      </c>
      <c r="C1004" s="8" t="n">
        <v>2</v>
      </c>
      <c r="D1004" s="8" t="n">
        <v>15</v>
      </c>
      <c r="E1004" s="8" t="n">
        <v>4</v>
      </c>
      <c r="F1004" s="4" t="s">
        <v>359</v>
      </c>
      <c r="G1004" s="8" t="n">
        <v>47</v>
      </c>
      <c r="H1004" s="8" t="n">
        <v>9</v>
      </c>
      <c r="I1004" s="4" t="s">
        <v>3610</v>
      </c>
      <c r="J1004" s="8" t="n">
        <v>39</v>
      </c>
      <c r="K1004" s="8" t="n">
        <v>5</v>
      </c>
      <c r="L1004" s="4" t="s">
        <v>4868</v>
      </c>
      <c r="M1004" s="8" t="n">
        <v>37</v>
      </c>
      <c r="N1004" s="8" t="n">
        <f aca="false">IF(A1004="","",G1004-J1004)</f>
        <v>8</v>
      </c>
      <c r="O1004" s="8" t="n">
        <f aca="false">IF(A1004="","",J1004-M1004)</f>
        <v>2</v>
      </c>
      <c r="P1004" s="8" t="n">
        <f aca="false">IF(A1004="","",G1004+J1004)</f>
        <v>86</v>
      </c>
      <c r="Q1004" s="8" t="str">
        <f aca="false">IF(A1004="","",IF(AND(Y1004&lt;&gt;"参考",G1004&gt;=ルール設定!$B$2),"○",""))</f>
        <v/>
      </c>
      <c r="R1004" s="8" t="str">
        <f aca="false">IF(A1004="","",IF(AND(Y1004&lt;&gt;"参考",G1004&gt;=ルール設定!$B$3,N1004&gt;=ルール設定!$B$4),"○",""))</f>
        <v/>
      </c>
      <c r="S1004" s="8" t="str">
        <f aca="false">IF(A1004="","",IF(AND(Y1004&lt;&gt;"参考",G1004&gt;=ルール設定!$B$5,J1004&gt;=ルール設定!$B$6,O1004&gt;=ルール設定!$B$7),"○",""))</f>
        <v/>
      </c>
      <c r="T1004" s="8" t="n">
        <v>4</v>
      </c>
      <c r="U1004" s="8" t="n">
        <v>2</v>
      </c>
      <c r="V1004" s="8" t="str">
        <f aca="false">IF(A1004="","",IF(AND(ISNUMBER(T1004),ISNUMBER(U1004)),IF(AND(T1004&lt;=3,U1004&lt;=3),"○","×"),""))</f>
        <v>×</v>
      </c>
      <c r="W1004" s="8"/>
      <c r="X1004" s="8"/>
      <c r="Y1004" s="4" t="s">
        <v>7597</v>
      </c>
      <c r="Z1004" s="8" t="s">
        <v>8111</v>
      </c>
      <c r="AA1004" s="8" t="str">
        <v/>
      </c>
      <c r="AB1004" s="8" t="str">
        <v/>
      </c>
      <c r="AC1004" s="8" t="str">
        <v/>
      </c>
      <c r="AD1004" s="8" t="str">
        <v/>
      </c>
      <c r="AE1004" s="8" t="str">
        <v/>
      </c>
      <c r="AF1004" s="8" t="str">
        <v/>
      </c>
      <c r="AG1004" s="8" t="str">
        <v/>
      </c>
      <c r="AH1004" s="8" t="str">
        <v/>
      </c>
      <c r="AI1004" s="8" t="n">
        <v>10</v>
      </c>
      <c r="AJ1004" s="8" t="str">
        <v>～59</v>
      </c>
      <c r="AK1004" s="8" t="str">
        <v>5～9</v>
      </c>
      <c r="AL1004" s="8" t="str">
        <v>10～19</v>
      </c>
      <c r="AM1004" s="8" t="str">
        <v>～99</v>
      </c>
      <c r="AN1004" s="8" t="str">
        <v>15以上</v>
      </c>
      <c r="AO1004" s="8" t="str">
        <f aca="false">IF(A1004="","",IF(COUNTIFS(全馬データ!$A$2:$A$50000,A1004,全馬データ!$B$2:$B$50000,B1004,全馬データ!$C$2:$C$50000,C1004,全馬データ!$D$2:$D$50000,E1004,全馬データ!$K$2:$K$50000,"&lt;&gt;")=0,"",SUMIFS(全馬データ!$K$2:$K$50000,全馬データ!$A$2:$A$50000,A1004,全馬データ!$B$2:$B$50000,B1004,全馬データ!$C$2:$C$50000,C1004,全馬データ!$D$2:$D$50000,E1004)))</f>
        <v/>
      </c>
      <c r="AP1004" s="8" t="str">
        <f aca="false">IF(A1004="","",IF(AO1004="","欠損",IF(AO1004&lt;=1.1,"1.0～1.1",IF(AO1004&lt;1.3,"1.2",IF(AO1004&lt;1.5,"1.3～1.4",IF(AO1004&lt;2,"1.5～1.9","2.0以上"))))))</f>
        <v>欠損</v>
      </c>
      <c r="AQ1004" s="8" t="str">
        <f aca="false">IF(A1004="","",IF(ISNUMBER(SEARCH("2歳",Z1004)),"2歳戦",IF(ISNUMBER(SEARCH("3歳未勝利",Z1004)),"3歳未勝利",IF(ISNUMBER(SEARCH("未勝利",Z1004)),"その他未勝利",IF(ISNUMBER(SEARCH("G1",Z1004)),"G1",IF(ISNUMBER(SEARCH("G2",Z1004)),"G2",IF(ISNUMBER(SEARCH("G3",Z1004)),"G3",IF(ISNUMBER(SEARCH("古馬条件",Z1004)),"古馬条件戦",IF(ISNUMBER(SEARCH("重賞",Z1004)),"重賞","分類不能")))))))))</f>
        <v>分類不能</v>
      </c>
      <c r="AR1004" s="8"/>
      <c r="AS1004" s="8" t="s">
        <v>7623</v>
      </c>
      <c r="AT1004" s="8" t="s">
        <v>7624</v>
      </c>
      <c r="AU1004" s="8" t="s">
        <v>7600</v>
      </c>
      <c r="AV1004" s="4" t="s">
        <v>7601</v>
      </c>
      <c r="AW1004" s="8"/>
      <c r="AX1004" s="8"/>
      <c r="AY1004" s="8" t="s">
        <v>7610</v>
      </c>
      <c r="AZ1004" s="4" t="s">
        <v>7617</v>
      </c>
      <c r="BA1004" s="8" t="n">
        <v>1800</v>
      </c>
      <c r="BB1004" s="8" t="s">
        <v>7634</v>
      </c>
      <c r="BC1004" s="4" t="s">
        <v>7604</v>
      </c>
      <c r="BD1004" s="8" t="s">
        <v>7625</v>
      </c>
      <c r="BE1004" s="4" t="s">
        <v>7606</v>
      </c>
      <c r="BF1004" s="8" t="s">
        <v>7607</v>
      </c>
      <c r="BG1004" s="8" t="s">
        <v>7608</v>
      </c>
      <c r="BH1004" s="4" t="s">
        <v>7609</v>
      </c>
      <c r="BI1004" s="8" t="n">
        <v>15</v>
      </c>
      <c r="BJ1004" s="8" t="s">
        <v>7602</v>
      </c>
      <c r="BK1004" s="4" t="s">
        <v>7653</v>
      </c>
      <c r="BL1004" s="8" t="s">
        <v>7602</v>
      </c>
      <c r="BM1004" s="4" t="s">
        <v>7620</v>
      </c>
      <c r="BN1004" s="8"/>
      <c r="BO1004" s="8"/>
      <c r="BP1004" s="8" t="s">
        <v>7610</v>
      </c>
      <c r="BQ1004" s="8" t="str">
        <f aca="false">IF(A1004="","",AT1004)</f>
        <v>3歳</v>
      </c>
      <c r="BR1004" s="8" t="str">
        <f aca="false">IF(A1004="","",IF(BA1004&lt;=1200,"～1200",IF(BA1004&lt;=1500,"1300～1500",IF(BA1004=1600,"1600",IF(BA1004&lt;=1800,"1700～1800",IF(BA1004&lt;=2000,"1900～2000","2100以上"))))))</f>
        <v>1700～1800</v>
      </c>
      <c r="BS1004" s="8" t="str">
        <f aca="false">IF(A1004="","",IF(AX1004="G1","G1",IF(AX1004="G2","G2",IF(AX1004="G3","G3",IF(AX1004="L","L","その他")))))</f>
        <v>その他</v>
      </c>
      <c r="BT1004" s="8" t="str">
        <f aca="false">IF(A1004="","",IF(BI1004="","未結合",IF(D1004=BI1004,"一致","不一致")))</f>
        <v>一致</v>
      </c>
      <c r="BU1004" s="8" t="str">
        <f aca="false">IF(A1004="","",IF(BE1004="牝馬限定","牝馬限定","その他"))</f>
        <v>その他</v>
      </c>
    </row>
    <row r="1005" customFormat="false" ht="15.75" hidden="false" customHeight="false" outlineLevel="0" collapsed="false">
      <c r="A1005" s="6" t="n">
        <f aca="false">DATE(2026,5,9)</f>
        <v>46151</v>
      </c>
      <c r="B1005" s="4" t="s">
        <v>5435</v>
      </c>
      <c r="C1005" s="8" t="n">
        <v>3</v>
      </c>
      <c r="D1005" s="8" t="n">
        <v>17</v>
      </c>
      <c r="E1005" s="8" t="n">
        <v>3</v>
      </c>
      <c r="F1005" s="4" t="s">
        <v>3979</v>
      </c>
      <c r="G1005" s="8" t="n">
        <v>71</v>
      </c>
      <c r="H1005" s="8" t="n">
        <v>6</v>
      </c>
      <c r="I1005" s="4" t="s">
        <v>776</v>
      </c>
      <c r="J1005" s="8" t="n">
        <v>41</v>
      </c>
      <c r="K1005" s="8" t="n">
        <v>15</v>
      </c>
      <c r="L1005" s="4" t="s">
        <v>816</v>
      </c>
      <c r="M1005" s="8" t="n">
        <v>31</v>
      </c>
      <c r="N1005" s="8" t="n">
        <f aca="false">IF(A1005="","",G1005-J1005)</f>
        <v>30</v>
      </c>
      <c r="O1005" s="8" t="n">
        <f aca="false">IF(A1005="","",J1005-M1005)</f>
        <v>10</v>
      </c>
      <c r="P1005" s="8" t="n">
        <f aca="false">IF(A1005="","",G1005+J1005)</f>
        <v>112</v>
      </c>
      <c r="Q1005" s="8" t="str">
        <f aca="false">IF(A1005="","",IF(AND(Y1005&lt;&gt;"参考",G1005&gt;=ルール設定!$B$2),"○",""))</f>
        <v/>
      </c>
      <c r="R1005" s="8" t="str">
        <f aca="false">IF(A1005="","",IF(AND(Y1005&lt;&gt;"参考",G1005&gt;=ルール設定!$B$3,N1005&gt;=ルール設定!$B$4),"○",""))</f>
        <v>○</v>
      </c>
      <c r="S1005" s="8" t="str">
        <f aca="false">IF(A1005="","",IF(AND(Y1005&lt;&gt;"参考",G1005&gt;=ルール設定!$B$5,J1005&gt;=ルール設定!$B$6,O1005&gt;=ルール設定!$B$7),"○",""))</f>
        <v/>
      </c>
      <c r="T1005" s="8" t="n">
        <v>3</v>
      </c>
      <c r="U1005" s="8" t="n">
        <v>2</v>
      </c>
      <c r="V1005" s="8" t="str">
        <f aca="false">IF(A1005="","",IF(AND(ISNUMBER(T1005),ISNUMBER(U1005)),IF(AND(T1005&lt;=3,U1005&lt;=3),"○","×"),""))</f>
        <v>○</v>
      </c>
      <c r="W1005" s="8" t="n">
        <v>110</v>
      </c>
      <c r="X1005" s="8" t="n">
        <v>150</v>
      </c>
      <c r="Y1005" s="4" t="s">
        <v>7597</v>
      </c>
      <c r="Z1005" s="8" t="s">
        <v>8111</v>
      </c>
      <c r="AA1005" s="8" t="str">
        <v/>
      </c>
      <c r="AB1005" s="8" t="str">
        <v/>
      </c>
      <c r="AC1005" s="8" t="str">
        <v/>
      </c>
      <c r="AD1005" s="8" t="str">
        <v/>
      </c>
      <c r="AE1005" s="8" t="str">
        <v>○</v>
      </c>
      <c r="AF1005" s="8" t="str">
        <v/>
      </c>
      <c r="AG1005" s="8" t="str">
        <v/>
      </c>
      <c r="AH1005" s="8" t="str">
        <v/>
      </c>
      <c r="AI1005" s="8" t="n">
        <v>40</v>
      </c>
      <c r="AJ1005" s="8" t="str">
        <v>70～74</v>
      </c>
      <c r="AK1005" s="8" t="str">
        <v>30以上</v>
      </c>
      <c r="AL1005" s="8" t="str">
        <v>40以上</v>
      </c>
      <c r="AM1005" s="8" t="str">
        <v>100～119</v>
      </c>
      <c r="AN1005" s="8" t="str">
        <v>15以上</v>
      </c>
      <c r="AO1005" s="8" t="str">
        <f aca="false">IF(A1005="","",IF(COUNTIFS(全馬データ!$A$2:$A$50000,A1005,全馬データ!$B$2:$B$50000,B1005,全馬データ!$C$2:$C$50000,C1005,全馬データ!$D$2:$D$50000,E1005,全馬データ!$K$2:$K$50000,"&lt;&gt;")=0,"",SUMIFS(全馬データ!$K$2:$K$50000,全馬データ!$A$2:$A$50000,A1005,全馬データ!$B$2:$B$50000,B1005,全馬データ!$C$2:$C$50000,C1005,全馬データ!$D$2:$D$50000,E1005)))</f>
        <v/>
      </c>
      <c r="AP1005" s="8" t="str">
        <f aca="false">IF(A1005="","",IF(AO1005="","欠損",IF(AO1005&lt;=1.1,"1.0～1.1",IF(AO1005&lt;1.3,"1.2",IF(AO1005&lt;1.5,"1.3～1.4",IF(AO1005&lt;2,"1.5～1.9","2.0以上"))))))</f>
        <v>欠損</v>
      </c>
      <c r="AQ1005" s="8" t="str">
        <f aca="false">IF(A1005="","",IF(ISNUMBER(SEARCH("2歳",Z1005)),"2歳戦",IF(ISNUMBER(SEARCH("3歳未勝利",Z1005)),"3歳未勝利",IF(ISNUMBER(SEARCH("未勝利",Z1005)),"その他未勝利",IF(ISNUMBER(SEARCH("G1",Z1005)),"G1",IF(ISNUMBER(SEARCH("G2",Z1005)),"G2",IF(ISNUMBER(SEARCH("G3",Z1005)),"G3",IF(ISNUMBER(SEARCH("古馬条件",Z1005)),"古馬条件戦",IF(ISNUMBER(SEARCH("重賞",Z1005)),"重賞","分類不能")))))))))</f>
        <v>分類不能</v>
      </c>
      <c r="AR1005" s="8"/>
      <c r="AS1005" s="8" t="s">
        <v>7623</v>
      </c>
      <c r="AT1005" s="8" t="s">
        <v>7624</v>
      </c>
      <c r="AU1005" s="8" t="s">
        <v>7600</v>
      </c>
      <c r="AV1005" s="4" t="s">
        <v>7601</v>
      </c>
      <c r="AW1005" s="8"/>
      <c r="AX1005" s="8"/>
      <c r="AY1005" s="8" t="s">
        <v>7602</v>
      </c>
      <c r="AZ1005" s="4" t="s">
        <v>7603</v>
      </c>
      <c r="BA1005" s="8" t="n">
        <v>1400</v>
      </c>
      <c r="BB1005" s="8" t="s">
        <v>7598</v>
      </c>
      <c r="BC1005" s="4" t="s">
        <v>7604</v>
      </c>
      <c r="BD1005" s="8" t="s">
        <v>7625</v>
      </c>
      <c r="BE1005" s="4" t="s">
        <v>7606</v>
      </c>
      <c r="BF1005" s="8" t="s">
        <v>7607</v>
      </c>
      <c r="BG1005" s="8" t="s">
        <v>7608</v>
      </c>
      <c r="BH1005" s="4" t="s">
        <v>7609</v>
      </c>
      <c r="BI1005" s="8" t="n">
        <v>17</v>
      </c>
      <c r="BJ1005" s="8" t="s">
        <v>7602</v>
      </c>
      <c r="BK1005" s="4" t="s">
        <v>7653</v>
      </c>
      <c r="BL1005" s="8" t="s">
        <v>7602</v>
      </c>
      <c r="BM1005" s="4" t="s">
        <v>7620</v>
      </c>
      <c r="BN1005" s="8" t="s">
        <v>7636</v>
      </c>
      <c r="BO1005" s="8" t="s">
        <v>7804</v>
      </c>
      <c r="BP1005" s="8" t="s">
        <v>7610</v>
      </c>
      <c r="BQ1005" s="8" t="str">
        <f aca="false">IF(A1005="","",AT1005)</f>
        <v>3歳</v>
      </c>
      <c r="BR1005" s="8" t="str">
        <f aca="false">IF(A1005="","",IF(BA1005&lt;=1200,"～1200",IF(BA1005&lt;=1500,"1300～1500",IF(BA1005=1600,"1600",IF(BA1005&lt;=1800,"1700～1800",IF(BA1005&lt;=2000,"1900～2000","2100以上"))))))</f>
        <v>1300～1500</v>
      </c>
      <c r="BS1005" s="8" t="str">
        <f aca="false">IF(A1005="","",IF(AX1005="G1","G1",IF(AX1005="G2","G2",IF(AX1005="G3","G3",IF(AX1005="L","L","その他")))))</f>
        <v>その他</v>
      </c>
      <c r="BT1005" s="8" t="str">
        <f aca="false">IF(A1005="","",IF(BI1005="","未結合",IF(D1005=BI1005,"一致","不一致")))</f>
        <v>一致</v>
      </c>
      <c r="BU1005" s="8" t="str">
        <f aca="false">IF(A1005="","",IF(BE1005="牝馬限定","牝馬限定","その他"))</f>
        <v>その他</v>
      </c>
    </row>
    <row r="1006" customFormat="false" ht="15.75" hidden="false" customHeight="false" outlineLevel="0" collapsed="false">
      <c r="A1006" s="6" t="n">
        <f aca="false">DATE(2026,5,9)</f>
        <v>46151</v>
      </c>
      <c r="B1006" s="4" t="s">
        <v>5435</v>
      </c>
      <c r="C1006" s="8" t="n">
        <v>4</v>
      </c>
      <c r="D1006" s="8" t="n">
        <v>15</v>
      </c>
      <c r="E1006" s="8" t="n">
        <v>10</v>
      </c>
      <c r="F1006" s="4" t="s">
        <v>3149</v>
      </c>
      <c r="G1006" s="8" t="n">
        <v>52</v>
      </c>
      <c r="H1006" s="8" t="n">
        <v>13</v>
      </c>
      <c r="I1006" s="4" t="s">
        <v>211</v>
      </c>
      <c r="J1006" s="8" t="n">
        <v>47</v>
      </c>
      <c r="K1006" s="8" t="n">
        <v>14</v>
      </c>
      <c r="L1006" s="4" t="s">
        <v>6947</v>
      </c>
      <c r="M1006" s="8" t="n">
        <v>39</v>
      </c>
      <c r="N1006" s="8" t="n">
        <f aca="false">IF(A1006="","",G1006-J1006)</f>
        <v>5</v>
      </c>
      <c r="O1006" s="8" t="n">
        <f aca="false">IF(A1006="","",J1006-M1006)</f>
        <v>8</v>
      </c>
      <c r="P1006" s="8" t="n">
        <f aca="false">IF(A1006="","",G1006+J1006)</f>
        <v>99</v>
      </c>
      <c r="Q1006" s="8" t="str">
        <f aca="false">IF(A1006="","",IF(AND(Y1006&lt;&gt;"参考",G1006&gt;=ルール設定!$B$2),"○",""))</f>
        <v/>
      </c>
      <c r="R1006" s="8" t="str">
        <f aca="false">IF(A1006="","",IF(AND(Y1006&lt;&gt;"参考",G1006&gt;=ルール設定!$B$3,N1006&gt;=ルール設定!$B$4),"○",""))</f>
        <v/>
      </c>
      <c r="S1006" s="8" t="str">
        <f aca="false">IF(A1006="","",IF(AND(Y1006&lt;&gt;"参考",G1006&gt;=ルール設定!$B$5,J1006&gt;=ルール設定!$B$6,O1006&gt;=ルール設定!$B$7),"○",""))</f>
        <v/>
      </c>
      <c r="T1006" s="8" t="n">
        <v>4</v>
      </c>
      <c r="U1006" s="8" t="n">
        <v>3</v>
      </c>
      <c r="V1006" s="8" t="str">
        <f aca="false">IF(A1006="","",IF(AND(ISNUMBER(T1006),ISNUMBER(U1006)),IF(AND(T1006&lt;=3,U1006&lt;=3),"○","×"),""))</f>
        <v>×</v>
      </c>
      <c r="W1006" s="8"/>
      <c r="X1006" s="8"/>
      <c r="Y1006" s="4" t="s">
        <v>7597</v>
      </c>
      <c r="Z1006" s="8" t="s">
        <v>8111</v>
      </c>
      <c r="AA1006" s="8" t="str">
        <v/>
      </c>
      <c r="AB1006" s="8" t="str">
        <v/>
      </c>
      <c r="AC1006" s="8" t="str">
        <v/>
      </c>
      <c r="AD1006" s="8" t="str">
        <v/>
      </c>
      <c r="AE1006" s="8" t="str">
        <v/>
      </c>
      <c r="AF1006" s="8" t="str">
        <v/>
      </c>
      <c r="AG1006" s="8" t="str">
        <v/>
      </c>
      <c r="AH1006" s="8" t="str">
        <v/>
      </c>
      <c r="AI1006" s="8" t="n">
        <v>13</v>
      </c>
      <c r="AJ1006" s="8" t="str">
        <v>～59</v>
      </c>
      <c r="AK1006" s="8" t="str">
        <v>5～9</v>
      </c>
      <c r="AL1006" s="8" t="str">
        <v>10～19</v>
      </c>
      <c r="AM1006" s="8" t="str">
        <v>～99</v>
      </c>
      <c r="AN1006" s="8" t="str">
        <v>15以上</v>
      </c>
      <c r="AO1006" s="8" t="str">
        <f aca="false">IF(A1006="","",IF(COUNTIFS(全馬データ!$A$2:$A$50000,A1006,全馬データ!$B$2:$B$50000,B1006,全馬データ!$C$2:$C$50000,C1006,全馬データ!$D$2:$D$50000,E1006,全馬データ!$K$2:$K$50000,"&lt;&gt;")=0,"",SUMIFS(全馬データ!$K$2:$K$50000,全馬データ!$A$2:$A$50000,A1006,全馬データ!$B$2:$B$50000,B1006,全馬データ!$C$2:$C$50000,C1006,全馬データ!$D$2:$D$50000,E1006)))</f>
        <v/>
      </c>
      <c r="AP1006" s="8" t="str">
        <f aca="false">IF(A1006="","",IF(AO1006="","欠損",IF(AO1006&lt;=1.1,"1.0～1.1",IF(AO1006&lt;1.3,"1.2",IF(AO1006&lt;1.5,"1.3～1.4",IF(AO1006&lt;2,"1.5～1.9","2.0以上"))))))</f>
        <v>欠損</v>
      </c>
      <c r="AQ1006" s="8" t="str">
        <f aca="false">IF(A1006="","",IF(ISNUMBER(SEARCH("2歳",Z1006)),"2歳戦",IF(ISNUMBER(SEARCH("3歳未勝利",Z1006)),"3歳未勝利",IF(ISNUMBER(SEARCH("未勝利",Z1006)),"その他未勝利",IF(ISNUMBER(SEARCH("G1",Z1006)),"G1",IF(ISNUMBER(SEARCH("G2",Z1006)),"G2",IF(ISNUMBER(SEARCH("G3",Z1006)),"G3",IF(ISNUMBER(SEARCH("古馬条件",Z1006)),"古馬条件戦",IF(ISNUMBER(SEARCH("重賞",Z1006)),"重賞","分類不能")))))))))</f>
        <v>分類不能</v>
      </c>
      <c r="AR1006" s="8"/>
      <c r="AS1006" s="8" t="s">
        <v>7623</v>
      </c>
      <c r="AT1006" s="8" t="s">
        <v>7624</v>
      </c>
      <c r="AU1006" s="8" t="s">
        <v>7600</v>
      </c>
      <c r="AV1006" s="4" t="s">
        <v>7601</v>
      </c>
      <c r="AW1006" s="8"/>
      <c r="AX1006" s="8"/>
      <c r="AY1006" s="8" t="s">
        <v>7602</v>
      </c>
      <c r="AZ1006" s="4" t="s">
        <v>7603</v>
      </c>
      <c r="BA1006" s="8" t="n">
        <v>2000</v>
      </c>
      <c r="BB1006" s="8" t="s">
        <v>7598</v>
      </c>
      <c r="BC1006" s="4" t="s">
        <v>7604</v>
      </c>
      <c r="BD1006" s="8" t="s">
        <v>7621</v>
      </c>
      <c r="BE1006" s="4" t="s">
        <v>7622</v>
      </c>
      <c r="BF1006" s="8" t="s">
        <v>7602</v>
      </c>
      <c r="BG1006" s="8" t="s">
        <v>7608</v>
      </c>
      <c r="BH1006" s="4" t="s">
        <v>7609</v>
      </c>
      <c r="BI1006" s="8" t="n">
        <v>15</v>
      </c>
      <c r="BJ1006" s="8" t="s">
        <v>7602</v>
      </c>
      <c r="BK1006" s="4" t="s">
        <v>7653</v>
      </c>
      <c r="BL1006" s="8" t="s">
        <v>7602</v>
      </c>
      <c r="BM1006" s="4" t="s">
        <v>7620</v>
      </c>
      <c r="BN1006" s="8" t="s">
        <v>7636</v>
      </c>
      <c r="BO1006" s="8" t="s">
        <v>7804</v>
      </c>
      <c r="BP1006" s="8" t="s">
        <v>7610</v>
      </c>
      <c r="BQ1006" s="8" t="str">
        <f aca="false">IF(A1006="","",AT1006)</f>
        <v>3歳</v>
      </c>
      <c r="BR1006" s="8" t="str">
        <f aca="false">IF(A1006="","",IF(BA1006&lt;=1200,"～1200",IF(BA1006&lt;=1500,"1300～1500",IF(BA1006=1600,"1600",IF(BA1006&lt;=1800,"1700～1800",IF(BA1006&lt;=2000,"1900～2000","2100以上"))))))</f>
        <v>1900～2000</v>
      </c>
      <c r="BS1006" s="8" t="str">
        <f aca="false">IF(A1006="","",IF(AX1006="G1","G1",IF(AX1006="G2","G2",IF(AX1006="G3","G3",IF(AX1006="L","L","その他")))))</f>
        <v>その他</v>
      </c>
      <c r="BT1006" s="8" t="str">
        <f aca="false">IF(A1006="","",IF(BI1006="","未結合",IF(D1006=BI1006,"一致","不一致")))</f>
        <v>一致</v>
      </c>
      <c r="BU1006" s="8" t="str">
        <f aca="false">IF(A1006="","",IF(BE1006="牝馬限定","牝馬限定","その他"))</f>
        <v>牝馬限定</v>
      </c>
    </row>
    <row r="1007" customFormat="false" ht="15.75" hidden="false" customHeight="false" outlineLevel="0" collapsed="false">
      <c r="A1007" s="6" t="n">
        <f aca="false">DATE(2026,5,9)</f>
        <v>46151</v>
      </c>
      <c r="B1007" s="4" t="s">
        <v>5435</v>
      </c>
      <c r="C1007" s="8" t="n">
        <v>5</v>
      </c>
      <c r="D1007" s="8" t="n">
        <v>8</v>
      </c>
      <c r="E1007" s="8" t="n">
        <v>7</v>
      </c>
      <c r="F1007" s="4" t="s">
        <v>3403</v>
      </c>
      <c r="G1007" s="8" t="n">
        <v>67</v>
      </c>
      <c r="H1007" s="8" t="n">
        <v>5</v>
      </c>
      <c r="I1007" s="4" t="s">
        <v>6586</v>
      </c>
      <c r="J1007" s="8" t="n">
        <v>44</v>
      </c>
      <c r="K1007" s="8" t="n">
        <v>6</v>
      </c>
      <c r="L1007" s="4" t="s">
        <v>6952</v>
      </c>
      <c r="M1007" s="8" t="n">
        <v>41</v>
      </c>
      <c r="N1007" s="8" t="n">
        <f aca="false">IF(A1007="","",G1007-J1007)</f>
        <v>23</v>
      </c>
      <c r="O1007" s="8" t="n">
        <f aca="false">IF(A1007="","",J1007-M1007)</f>
        <v>3</v>
      </c>
      <c r="P1007" s="8" t="n">
        <f aca="false">IF(A1007="","",G1007+J1007)</f>
        <v>111</v>
      </c>
      <c r="Q1007" s="8" t="str">
        <f aca="false">IF(A1007="","",IF(AND(Y1007&lt;&gt;"参考",G1007&gt;=ルール設定!$B$2),"○",""))</f>
        <v/>
      </c>
      <c r="R1007" s="8" t="str">
        <f aca="false">IF(A1007="","",IF(AND(Y1007&lt;&gt;"参考",G1007&gt;=ルール設定!$B$3,N1007&gt;=ルール設定!$B$4),"○",""))</f>
        <v/>
      </c>
      <c r="S1007" s="8" t="str">
        <f aca="false">IF(A1007="","",IF(AND(Y1007&lt;&gt;"参考",G1007&gt;=ルール設定!$B$5,J1007&gt;=ルール設定!$B$6,O1007&gt;=ルール設定!$B$7),"○",""))</f>
        <v/>
      </c>
      <c r="T1007" s="8" t="n">
        <v>1</v>
      </c>
      <c r="U1007" s="8" t="n">
        <v>4</v>
      </c>
      <c r="V1007" s="8" t="str">
        <f aca="false">IF(A1007="","",IF(AND(ISNUMBER(T1007),ISNUMBER(U1007)),IF(AND(T1007&lt;=3,U1007&lt;=3),"○","×"),""))</f>
        <v>×</v>
      </c>
      <c r="W1007" s="8" t="n">
        <v>110</v>
      </c>
      <c r="X1007" s="8"/>
      <c r="Y1007" s="4" t="s">
        <v>7597</v>
      </c>
      <c r="Z1007" s="8" t="s">
        <v>8111</v>
      </c>
      <c r="AA1007" s="8" t="str">
        <v/>
      </c>
      <c r="AB1007" s="8" t="str">
        <v/>
      </c>
      <c r="AC1007" s="8" t="str">
        <v/>
      </c>
      <c r="AD1007" s="8" t="str">
        <v/>
      </c>
      <c r="AE1007" s="8" t="str">
        <v/>
      </c>
      <c r="AF1007" s="8" t="str">
        <v/>
      </c>
      <c r="AG1007" s="8" t="str">
        <v/>
      </c>
      <c r="AH1007" s="8" t="str">
        <v/>
      </c>
      <c r="AI1007" s="8" t="n">
        <v>26</v>
      </c>
      <c r="AJ1007" s="8" t="str">
        <v>60～69</v>
      </c>
      <c r="AK1007" s="8" t="str">
        <v>20～29</v>
      </c>
      <c r="AL1007" s="8" t="str">
        <v>20～29</v>
      </c>
      <c r="AM1007" s="8" t="str">
        <v>100～119</v>
      </c>
      <c r="AN1007" s="8" t="str">
        <v>8～11</v>
      </c>
      <c r="AO1007" s="8" t="str">
        <f aca="false">IF(A1007="","",IF(COUNTIFS(全馬データ!$A$2:$A$50000,A1007,全馬データ!$B$2:$B$50000,B1007,全馬データ!$C$2:$C$50000,C1007,全馬データ!$D$2:$D$50000,E1007,全馬データ!$K$2:$K$50000,"&lt;&gt;")=0,"",SUMIFS(全馬データ!$K$2:$K$50000,全馬データ!$A$2:$A$50000,A1007,全馬データ!$B$2:$B$50000,B1007,全馬データ!$C$2:$C$50000,C1007,全馬データ!$D$2:$D$50000,E1007)))</f>
        <v/>
      </c>
      <c r="AP1007" s="8" t="str">
        <f aca="false">IF(A1007="","",IF(AO1007="","欠損",IF(AO1007&lt;=1.1,"1.0～1.1",IF(AO1007&lt;1.3,"1.2",IF(AO1007&lt;1.5,"1.3～1.4",IF(AO1007&lt;2,"1.5～1.9","2.0以上"))))))</f>
        <v>欠損</v>
      </c>
      <c r="AQ1007" s="8" t="str">
        <f aca="false">IF(A1007="","",IF(ISNUMBER(SEARCH("2歳",Z1007)),"2歳戦",IF(ISNUMBER(SEARCH("3歳未勝利",Z1007)),"3歳未勝利",IF(ISNUMBER(SEARCH("未勝利",Z1007)),"その他未勝利",IF(ISNUMBER(SEARCH("G1",Z1007)),"G1",IF(ISNUMBER(SEARCH("G2",Z1007)),"G2",IF(ISNUMBER(SEARCH("G3",Z1007)),"G3",IF(ISNUMBER(SEARCH("古馬条件",Z1007)),"古馬条件戦",IF(ISNUMBER(SEARCH("重賞",Z1007)),"重賞","分類不能")))))))))</f>
        <v>分類不能</v>
      </c>
      <c r="AR1007" s="8"/>
      <c r="AS1007" s="8" t="s">
        <v>7623</v>
      </c>
      <c r="AT1007" s="8" t="s">
        <v>7624</v>
      </c>
      <c r="AU1007" s="8" t="s">
        <v>7628</v>
      </c>
      <c r="AV1007" s="8" t="s">
        <v>7629</v>
      </c>
      <c r="AW1007" s="8"/>
      <c r="AX1007" s="8"/>
      <c r="AY1007" s="8" t="s">
        <v>7602</v>
      </c>
      <c r="AZ1007" s="4" t="s">
        <v>7603</v>
      </c>
      <c r="BA1007" s="8" t="n">
        <v>1600</v>
      </c>
      <c r="BB1007" s="8" t="s">
        <v>7598</v>
      </c>
      <c r="BC1007" s="4" t="s">
        <v>7604</v>
      </c>
      <c r="BD1007" s="8" t="s">
        <v>7630</v>
      </c>
      <c r="BE1007" s="4" t="s">
        <v>7606</v>
      </c>
      <c r="BF1007" s="8" t="s">
        <v>7607</v>
      </c>
      <c r="BG1007" s="8" t="s">
        <v>7608</v>
      </c>
      <c r="BH1007" s="4" t="s">
        <v>7609</v>
      </c>
      <c r="BI1007" s="8" t="n">
        <v>8</v>
      </c>
      <c r="BJ1007" s="8" t="s">
        <v>7602</v>
      </c>
      <c r="BK1007" s="4" t="s">
        <v>7653</v>
      </c>
      <c r="BL1007" s="8" t="s">
        <v>7602</v>
      </c>
      <c r="BM1007" s="4" t="s">
        <v>7620</v>
      </c>
      <c r="BN1007" s="8" t="s">
        <v>7636</v>
      </c>
      <c r="BO1007" s="8" t="s">
        <v>7804</v>
      </c>
      <c r="BP1007" s="8" t="s">
        <v>7610</v>
      </c>
      <c r="BQ1007" s="8" t="str">
        <f aca="false">IF(A1007="","",AT1007)</f>
        <v>3歳</v>
      </c>
      <c r="BR1007" s="8" t="str">
        <f aca="false">IF(A1007="","",IF(BA1007&lt;=1200,"～1200",IF(BA1007&lt;=1500,"1300～1500",IF(BA1007=1600,"1600",IF(BA1007&lt;=1800,"1700～1800",IF(BA1007&lt;=2000,"1900～2000","2100以上"))))))</f>
        <v>1600</v>
      </c>
      <c r="BS1007" s="8" t="str">
        <f aca="false">IF(A1007="","",IF(AX1007="G1","G1",IF(AX1007="G2","G2",IF(AX1007="G3","G3",IF(AX1007="L","L","その他")))))</f>
        <v>その他</v>
      </c>
      <c r="BT1007" s="8" t="str">
        <f aca="false">IF(A1007="","",IF(BI1007="","未結合",IF(D1007=BI1007,"一致","不一致")))</f>
        <v>一致</v>
      </c>
      <c r="BU1007" s="8" t="str">
        <f aca="false">IF(A1007="","",IF(BE1007="牝馬限定","牝馬限定","その他"))</f>
        <v>その他</v>
      </c>
    </row>
    <row r="1008" customFormat="false" ht="15.75" hidden="false" customHeight="false" outlineLevel="0" collapsed="false">
      <c r="A1008" s="6" t="n">
        <f aca="false">DATE(2026,5,9)</f>
        <v>46151</v>
      </c>
      <c r="B1008" s="4" t="s">
        <v>5435</v>
      </c>
      <c r="C1008" s="8" t="n">
        <v>6</v>
      </c>
      <c r="D1008" s="8" t="n">
        <v>16</v>
      </c>
      <c r="E1008" s="8" t="n">
        <v>4</v>
      </c>
      <c r="F1008" s="4" t="s">
        <v>526</v>
      </c>
      <c r="G1008" s="8" t="n">
        <v>52</v>
      </c>
      <c r="H1008" s="8" t="n">
        <v>7</v>
      </c>
      <c r="I1008" s="4" t="s">
        <v>2655</v>
      </c>
      <c r="J1008" s="8" t="n">
        <v>44</v>
      </c>
      <c r="K1008" s="8" t="n">
        <v>13</v>
      </c>
      <c r="L1008" s="4" t="s">
        <v>6954</v>
      </c>
      <c r="M1008" s="8" t="n">
        <v>41</v>
      </c>
      <c r="N1008" s="8" t="n">
        <f aca="false">IF(A1008="","",G1008-J1008)</f>
        <v>8</v>
      </c>
      <c r="O1008" s="8" t="n">
        <f aca="false">IF(A1008="","",J1008-M1008)</f>
        <v>3</v>
      </c>
      <c r="P1008" s="8" t="n">
        <f aca="false">IF(A1008="","",G1008+J1008)</f>
        <v>96</v>
      </c>
      <c r="Q1008" s="8" t="str">
        <f aca="false">IF(A1008="","",IF(AND(Y1008&lt;&gt;"参考",G1008&gt;=ルール設定!$B$2),"○",""))</f>
        <v/>
      </c>
      <c r="R1008" s="8" t="str">
        <f aca="false">IF(A1008="","",IF(AND(Y1008&lt;&gt;"参考",G1008&gt;=ルール設定!$B$3,N1008&gt;=ルール設定!$B$4),"○",""))</f>
        <v/>
      </c>
      <c r="S1008" s="8" t="str">
        <f aca="false">IF(A1008="","",IF(AND(Y1008&lt;&gt;"参考",G1008&gt;=ルール設定!$B$5,J1008&gt;=ルール設定!$B$6,O1008&gt;=ルール設定!$B$7),"○",""))</f>
        <v/>
      </c>
      <c r="T1008" s="8" t="n">
        <v>4</v>
      </c>
      <c r="U1008" s="8" t="n">
        <v>2</v>
      </c>
      <c r="V1008" s="8" t="str">
        <f aca="false">IF(A1008="","",IF(AND(ISNUMBER(T1008),ISNUMBER(U1008)),IF(AND(T1008&lt;=3,U1008&lt;=3),"○","×"),""))</f>
        <v>×</v>
      </c>
      <c r="W1008" s="8"/>
      <c r="X1008" s="8"/>
      <c r="Y1008" s="4" t="s">
        <v>7597</v>
      </c>
      <c r="Z1008" s="8" t="s">
        <v>8111</v>
      </c>
      <c r="AA1008" s="8" t="str">
        <v/>
      </c>
      <c r="AB1008" s="8" t="str">
        <v/>
      </c>
      <c r="AC1008" s="8" t="str">
        <v/>
      </c>
      <c r="AD1008" s="8" t="str">
        <v/>
      </c>
      <c r="AE1008" s="8" t="str">
        <v/>
      </c>
      <c r="AF1008" s="8" t="str">
        <v/>
      </c>
      <c r="AG1008" s="8" t="str">
        <v/>
      </c>
      <c r="AH1008" s="8" t="str">
        <v/>
      </c>
      <c r="AI1008" s="8" t="n">
        <v>11</v>
      </c>
      <c r="AJ1008" s="8" t="str">
        <v>～59</v>
      </c>
      <c r="AK1008" s="8" t="str">
        <v>5～9</v>
      </c>
      <c r="AL1008" s="8" t="str">
        <v>10～19</v>
      </c>
      <c r="AM1008" s="8" t="str">
        <v>～99</v>
      </c>
      <c r="AN1008" s="8" t="str">
        <v>15以上</v>
      </c>
      <c r="AO1008" s="8" t="str">
        <f aca="false">IF(A1008="","",IF(COUNTIFS(全馬データ!$A$2:$A$50000,A1008,全馬データ!$B$2:$B$50000,B1008,全馬データ!$C$2:$C$50000,C1008,全馬データ!$D$2:$D$50000,E1008,全馬データ!$K$2:$K$50000,"&lt;&gt;")=0,"",SUMIFS(全馬データ!$K$2:$K$50000,全馬データ!$A$2:$A$50000,A1008,全馬データ!$B$2:$B$50000,B1008,全馬データ!$C$2:$C$50000,C1008,全馬データ!$D$2:$D$50000,E1008)))</f>
        <v/>
      </c>
      <c r="AP1008" s="8" t="str">
        <f aca="false">IF(A1008="","",IF(AO1008="","欠損",IF(AO1008&lt;=1.1,"1.0～1.1",IF(AO1008&lt;1.3,"1.2",IF(AO1008&lt;1.5,"1.3～1.4",IF(AO1008&lt;2,"1.5～1.9","2.0以上"))))))</f>
        <v>欠損</v>
      </c>
      <c r="AQ1008" s="8" t="str">
        <f aca="false">IF(A1008="","",IF(ISNUMBER(SEARCH("2歳",Z1008)),"2歳戦",IF(ISNUMBER(SEARCH("3歳未勝利",Z1008)),"3歳未勝利",IF(ISNUMBER(SEARCH("未勝利",Z1008)),"その他未勝利",IF(ISNUMBER(SEARCH("G1",Z1008)),"G1",IF(ISNUMBER(SEARCH("G2",Z1008)),"G2",IF(ISNUMBER(SEARCH("G3",Z1008)),"G3",IF(ISNUMBER(SEARCH("古馬条件",Z1008)),"古馬条件戦",IF(ISNUMBER(SEARCH("重賞",Z1008)),"重賞","分類不能")))))))))</f>
        <v>分類不能</v>
      </c>
      <c r="AR1008" s="8"/>
      <c r="AS1008" s="8" t="s">
        <v>7623</v>
      </c>
      <c r="AT1008" s="8" t="s">
        <v>7624</v>
      </c>
      <c r="AU1008" s="8" t="s">
        <v>7628</v>
      </c>
      <c r="AV1008" s="8" t="s">
        <v>7629</v>
      </c>
      <c r="AW1008" s="8"/>
      <c r="AX1008" s="8"/>
      <c r="AY1008" s="8" t="s">
        <v>7610</v>
      </c>
      <c r="AZ1008" s="4" t="s">
        <v>7617</v>
      </c>
      <c r="BA1008" s="8" t="n">
        <v>1200</v>
      </c>
      <c r="BB1008" s="8" t="s">
        <v>7634</v>
      </c>
      <c r="BC1008" s="4" t="s">
        <v>7604</v>
      </c>
      <c r="BD1008" s="8" t="s">
        <v>7605</v>
      </c>
      <c r="BE1008" s="4" t="s">
        <v>7606</v>
      </c>
      <c r="BF1008" s="8" t="s">
        <v>7607</v>
      </c>
      <c r="BG1008" s="8" t="s">
        <v>7608</v>
      </c>
      <c r="BH1008" s="4" t="s">
        <v>7609</v>
      </c>
      <c r="BI1008" s="8" t="n">
        <v>16</v>
      </c>
      <c r="BJ1008" s="8" t="s">
        <v>7602</v>
      </c>
      <c r="BK1008" s="4" t="s">
        <v>7653</v>
      </c>
      <c r="BL1008" s="8" t="s">
        <v>7602</v>
      </c>
      <c r="BM1008" s="4" t="s">
        <v>7620</v>
      </c>
      <c r="BN1008" s="8"/>
      <c r="BO1008" s="8"/>
      <c r="BP1008" s="8" t="s">
        <v>7610</v>
      </c>
      <c r="BQ1008" s="8" t="str">
        <f aca="false">IF(A1008="","",AT1008)</f>
        <v>3歳</v>
      </c>
      <c r="BR1008" s="8" t="str">
        <f aca="false">IF(A1008="","",IF(BA1008&lt;=1200,"～1200",IF(BA1008&lt;=1500,"1300～1500",IF(BA1008=1600,"1600",IF(BA1008&lt;=1800,"1700～1800",IF(BA1008&lt;=2000,"1900～2000","2100以上"))))))</f>
        <v>～1200</v>
      </c>
      <c r="BS1008" s="8" t="str">
        <f aca="false">IF(A1008="","",IF(AX1008="G1","G1",IF(AX1008="G2","G2",IF(AX1008="G3","G3",IF(AX1008="L","L","その他")))))</f>
        <v>その他</v>
      </c>
      <c r="BT1008" s="8" t="str">
        <f aca="false">IF(A1008="","",IF(BI1008="","未結合",IF(D1008=BI1008,"一致","不一致")))</f>
        <v>一致</v>
      </c>
      <c r="BU1008" s="8" t="str">
        <f aca="false">IF(A1008="","",IF(BE1008="牝馬限定","牝馬限定","その他"))</f>
        <v>その他</v>
      </c>
    </row>
    <row r="1009" customFormat="false" ht="15.75" hidden="false" customHeight="false" outlineLevel="0" collapsed="false">
      <c r="A1009" s="6" t="n">
        <f aca="false">DATE(2026,5,9)</f>
        <v>46151</v>
      </c>
      <c r="B1009" s="4" t="s">
        <v>5435</v>
      </c>
      <c r="C1009" s="8" t="n">
        <v>7</v>
      </c>
      <c r="D1009" s="8" t="n">
        <v>11</v>
      </c>
      <c r="E1009" s="8" t="n">
        <v>11</v>
      </c>
      <c r="F1009" s="4" t="s">
        <v>4875</v>
      </c>
      <c r="G1009" s="8" t="n">
        <v>66</v>
      </c>
      <c r="H1009" s="8" t="n">
        <v>5</v>
      </c>
      <c r="I1009" s="4" t="s">
        <v>302</v>
      </c>
      <c r="J1009" s="8" t="n">
        <v>58</v>
      </c>
      <c r="K1009" s="8" t="n">
        <v>3</v>
      </c>
      <c r="L1009" s="4" t="s">
        <v>3498</v>
      </c>
      <c r="M1009" s="8" t="n">
        <v>23</v>
      </c>
      <c r="N1009" s="8" t="n">
        <f aca="false">IF(A1009="","",G1009-J1009)</f>
        <v>8</v>
      </c>
      <c r="O1009" s="8" t="n">
        <f aca="false">IF(A1009="","",J1009-M1009)</f>
        <v>35</v>
      </c>
      <c r="P1009" s="8" t="n">
        <f aca="false">IF(A1009="","",G1009+J1009)</f>
        <v>124</v>
      </c>
      <c r="Q1009" s="8" t="str">
        <f aca="false">IF(A1009="","",IF(AND(Y1009&lt;&gt;"参考",G1009&gt;=ルール設定!$B$2),"○",""))</f>
        <v/>
      </c>
      <c r="R1009" s="8" t="str">
        <f aca="false">IF(A1009="","",IF(AND(Y1009&lt;&gt;"参考",G1009&gt;=ルール設定!$B$3,N1009&gt;=ルール設定!$B$4),"○",""))</f>
        <v/>
      </c>
      <c r="S1009" s="8" t="str">
        <f aca="false">IF(A1009="","",IF(AND(Y1009&lt;&gt;"参考",G1009&gt;=ルール設定!$B$5,J1009&gt;=ルール設定!$B$6,O1009&gt;=ルール設定!$B$7),"○",""))</f>
        <v>○</v>
      </c>
      <c r="T1009" s="8" t="n">
        <v>3</v>
      </c>
      <c r="U1009" s="8" t="n">
        <v>4</v>
      </c>
      <c r="V1009" s="8" t="str">
        <f aca="false">IF(A1009="","",IF(AND(ISNUMBER(T1009),ISNUMBER(U1009)),IF(AND(T1009&lt;=3,U1009&lt;=3),"○","×"),""))</f>
        <v>×</v>
      </c>
      <c r="W1009" s="8" t="n">
        <v>110</v>
      </c>
      <c r="X1009" s="8"/>
      <c r="Y1009" s="4" t="s">
        <v>7597</v>
      </c>
      <c r="Z1009" s="8" t="s">
        <v>8111</v>
      </c>
      <c r="AA1009" s="8" t="str">
        <v/>
      </c>
      <c r="AB1009" s="8" t="str">
        <v/>
      </c>
      <c r="AC1009" s="8" t="str">
        <v/>
      </c>
      <c r="AD1009" s="8" t="str">
        <v/>
      </c>
      <c r="AE1009" s="8" t="str">
        <v/>
      </c>
      <c r="AF1009" s="8" t="str">
        <v/>
      </c>
      <c r="AG1009" s="8" t="str">
        <v/>
      </c>
      <c r="AH1009" s="8" t="str">
        <v/>
      </c>
      <c r="AI1009" s="8" t="n">
        <v>43</v>
      </c>
      <c r="AJ1009" s="8" t="str">
        <v>60～69</v>
      </c>
      <c r="AK1009" s="8" t="str">
        <v>5～9</v>
      </c>
      <c r="AL1009" s="8" t="str">
        <v>40以上</v>
      </c>
      <c r="AM1009" s="8" t="str">
        <v>120～139</v>
      </c>
      <c r="AN1009" s="8" t="str">
        <v>8～11</v>
      </c>
      <c r="AO1009" s="8" t="str">
        <f aca="false">IF(A1009="","",IF(COUNTIFS(全馬データ!$A$2:$A$50000,A1009,全馬データ!$B$2:$B$50000,B1009,全馬データ!$C$2:$C$50000,C1009,全馬データ!$D$2:$D$50000,E1009,全馬データ!$K$2:$K$50000,"&lt;&gt;")=0,"",SUMIFS(全馬データ!$K$2:$K$50000,全馬データ!$A$2:$A$50000,A1009,全馬データ!$B$2:$B$50000,B1009,全馬データ!$C$2:$C$50000,C1009,全馬データ!$D$2:$D$50000,E1009)))</f>
        <v/>
      </c>
      <c r="AP1009" s="8" t="str">
        <f aca="false">IF(A1009="","",IF(AO1009="","欠損",IF(AO1009&lt;=1.1,"1.0～1.1",IF(AO1009&lt;1.3,"1.2",IF(AO1009&lt;1.5,"1.3～1.4",IF(AO1009&lt;2,"1.5～1.9","2.0以上"))))))</f>
        <v>欠損</v>
      </c>
      <c r="AQ1009" s="8" t="str">
        <f aca="false">IF(A1009="","",IF(ISNUMBER(SEARCH("2歳",Z1009)),"2歳戦",IF(ISNUMBER(SEARCH("3歳未勝利",Z1009)),"3歳未勝利",IF(ISNUMBER(SEARCH("未勝利",Z1009)),"その他未勝利",IF(ISNUMBER(SEARCH("G1",Z1009)),"G1",IF(ISNUMBER(SEARCH("G2",Z1009)),"G2",IF(ISNUMBER(SEARCH("G3",Z1009)),"G3",IF(ISNUMBER(SEARCH("古馬条件",Z1009)),"古馬条件戦",IF(ISNUMBER(SEARCH("重賞",Z1009)),"重賞","分類不能")))))))))</f>
        <v>分類不能</v>
      </c>
      <c r="AR1009" s="8"/>
      <c r="AS1009" s="8" t="s">
        <v>7842</v>
      </c>
      <c r="AT1009" s="8" t="s">
        <v>7843</v>
      </c>
      <c r="AU1009" s="8" t="s">
        <v>7628</v>
      </c>
      <c r="AV1009" s="8" t="s">
        <v>7629</v>
      </c>
      <c r="AW1009" s="8"/>
      <c r="AX1009" s="8"/>
      <c r="AY1009" s="8" t="s">
        <v>7610</v>
      </c>
      <c r="AZ1009" s="4" t="s">
        <v>7617</v>
      </c>
      <c r="BA1009" s="8" t="n">
        <v>1900</v>
      </c>
      <c r="BB1009" s="8" t="s">
        <v>7634</v>
      </c>
      <c r="BC1009" s="4" t="s">
        <v>7604</v>
      </c>
      <c r="BD1009" s="8" t="s">
        <v>7605</v>
      </c>
      <c r="BE1009" s="4" t="s">
        <v>7606</v>
      </c>
      <c r="BF1009" s="8" t="s">
        <v>7607</v>
      </c>
      <c r="BG1009" s="8" t="s">
        <v>7631</v>
      </c>
      <c r="BH1009" s="4" t="s">
        <v>7632</v>
      </c>
      <c r="BI1009" s="8" t="n">
        <v>11</v>
      </c>
      <c r="BJ1009" s="8" t="s">
        <v>7602</v>
      </c>
      <c r="BK1009" s="4" t="s">
        <v>7653</v>
      </c>
      <c r="BL1009" s="8" t="s">
        <v>7602</v>
      </c>
      <c r="BM1009" s="4" t="s">
        <v>7620</v>
      </c>
      <c r="BN1009" s="8"/>
      <c r="BO1009" s="8"/>
      <c r="BP1009" s="8" t="s">
        <v>7610</v>
      </c>
      <c r="BQ1009" s="8" t="str">
        <f aca="false">IF(A1009="","",AT1009)</f>
        <v>4歳以上</v>
      </c>
      <c r="BR1009" s="8" t="str">
        <f aca="false">IF(A1009="","",IF(BA1009&lt;=1200,"～1200",IF(BA1009&lt;=1500,"1300～1500",IF(BA1009=1600,"1600",IF(BA1009&lt;=1800,"1700～1800",IF(BA1009&lt;=2000,"1900～2000","2100以上"))))))</f>
        <v>1900～2000</v>
      </c>
      <c r="BS1009" s="8" t="str">
        <f aca="false">IF(A1009="","",IF(AX1009="G1","G1",IF(AX1009="G2","G2",IF(AX1009="G3","G3",IF(AX1009="L","L","その他")))))</f>
        <v>その他</v>
      </c>
      <c r="BT1009" s="8" t="str">
        <f aca="false">IF(A1009="","",IF(BI1009="","未結合",IF(D1009=BI1009,"一致","不一致")))</f>
        <v>一致</v>
      </c>
      <c r="BU1009" s="8" t="str">
        <f aca="false">IF(A1009="","",IF(BE1009="牝馬限定","牝馬限定","その他"))</f>
        <v>その他</v>
      </c>
    </row>
    <row r="1010" customFormat="false" ht="15.75" hidden="false" customHeight="false" outlineLevel="0" collapsed="false">
      <c r="A1010" s="6" t="n">
        <f aca="false">DATE(2026,5,9)</f>
        <v>46151</v>
      </c>
      <c r="B1010" s="4" t="s">
        <v>5435</v>
      </c>
      <c r="C1010" s="8" t="n">
        <v>8</v>
      </c>
      <c r="D1010" s="8" t="n">
        <v>16</v>
      </c>
      <c r="E1010" s="8" t="n">
        <v>1</v>
      </c>
      <c r="F1010" s="4" t="s">
        <v>5726</v>
      </c>
      <c r="G1010" s="8" t="n">
        <v>74</v>
      </c>
      <c r="H1010" s="8" t="n">
        <v>15</v>
      </c>
      <c r="I1010" s="4" t="s">
        <v>286</v>
      </c>
      <c r="J1010" s="8" t="n">
        <v>50</v>
      </c>
      <c r="K1010" s="8" t="n">
        <v>4</v>
      </c>
      <c r="L1010" s="4" t="s">
        <v>2626</v>
      </c>
      <c r="M1010" s="8" t="n">
        <v>39</v>
      </c>
      <c r="N1010" s="8" t="n">
        <f aca="false">IF(A1010="","",G1010-J1010)</f>
        <v>24</v>
      </c>
      <c r="O1010" s="8" t="n">
        <f aca="false">IF(A1010="","",J1010-M1010)</f>
        <v>11</v>
      </c>
      <c r="P1010" s="8" t="n">
        <f aca="false">IF(A1010="","",G1010+J1010)</f>
        <v>124</v>
      </c>
      <c r="Q1010" s="8" t="str">
        <f aca="false">IF(A1010="","",IF(AND(Y1010&lt;&gt;"参考",G1010&gt;=ルール設定!$B$2),"○",""))</f>
        <v/>
      </c>
      <c r="R1010" s="8" t="str">
        <f aca="false">IF(A1010="","",IF(AND(Y1010&lt;&gt;"参考",G1010&gt;=ルール設定!$B$3,N1010&gt;=ルール設定!$B$4),"○",""))</f>
        <v/>
      </c>
      <c r="S1010" s="8" t="str">
        <f aca="false">IF(A1010="","",IF(AND(Y1010&lt;&gt;"参考",G1010&gt;=ルール設定!$B$5,J1010&gt;=ルール設定!$B$6,O1010&gt;=ルール設定!$B$7),"○",""))</f>
        <v/>
      </c>
      <c r="T1010" s="8" t="n">
        <v>2</v>
      </c>
      <c r="U1010" s="8" t="n">
        <v>4</v>
      </c>
      <c r="V1010" s="8" t="str">
        <f aca="false">IF(A1010="","",IF(AND(ISNUMBER(T1010),ISNUMBER(U1010)),IF(AND(T1010&lt;=3,U1010&lt;=3),"○","×"),""))</f>
        <v>×</v>
      </c>
      <c r="W1010" s="8" t="n">
        <v>150</v>
      </c>
      <c r="X1010" s="8"/>
      <c r="Y1010" s="4" t="s">
        <v>7597</v>
      </c>
      <c r="Z1010" s="8" t="s">
        <v>8111</v>
      </c>
      <c r="AA1010" s="8" t="str">
        <v/>
      </c>
      <c r="AB1010" s="8" t="str">
        <v/>
      </c>
      <c r="AC1010" s="8" t="str">
        <v/>
      </c>
      <c r="AD1010" s="8" t="str">
        <v/>
      </c>
      <c r="AE1010" s="8" t="str">
        <v/>
      </c>
      <c r="AF1010" s="8" t="str">
        <v/>
      </c>
      <c r="AG1010" s="8" t="str">
        <v/>
      </c>
      <c r="AH1010" s="8" t="str">
        <v/>
      </c>
      <c r="AI1010" s="8" t="n">
        <v>35</v>
      </c>
      <c r="AJ1010" s="8" t="str">
        <v>70～74</v>
      </c>
      <c r="AK1010" s="8" t="str">
        <v>20～29</v>
      </c>
      <c r="AL1010" s="8" t="str">
        <v>30～39</v>
      </c>
      <c r="AM1010" s="8" t="str">
        <v>120～139</v>
      </c>
      <c r="AN1010" s="8" t="str">
        <v>15以上</v>
      </c>
      <c r="AO1010" s="8" t="str">
        <f aca="false">IF(A1010="","",IF(COUNTIFS(全馬データ!$A$2:$A$50000,A1010,全馬データ!$B$2:$B$50000,B1010,全馬データ!$C$2:$C$50000,C1010,全馬データ!$D$2:$D$50000,E1010,全馬データ!$K$2:$K$50000,"&lt;&gt;")=0,"",SUMIFS(全馬データ!$K$2:$K$50000,全馬データ!$A$2:$A$50000,A1010,全馬データ!$B$2:$B$50000,B1010,全馬データ!$C$2:$C$50000,C1010,全馬データ!$D$2:$D$50000,E1010)))</f>
        <v/>
      </c>
      <c r="AP1010" s="8" t="str">
        <f aca="false">IF(A1010="","",IF(AO1010="","欠損",IF(AO1010&lt;=1.1,"1.0～1.1",IF(AO1010&lt;1.3,"1.2",IF(AO1010&lt;1.5,"1.3～1.4",IF(AO1010&lt;2,"1.5～1.9","2.0以上"))))))</f>
        <v>欠損</v>
      </c>
      <c r="AQ1010" s="8" t="str">
        <f aca="false">IF(A1010="","",IF(ISNUMBER(SEARCH("2歳",Z1010)),"2歳戦",IF(ISNUMBER(SEARCH("3歳未勝利",Z1010)),"3歳未勝利",IF(ISNUMBER(SEARCH("未勝利",Z1010)),"その他未勝利",IF(ISNUMBER(SEARCH("G1",Z1010)),"G1",IF(ISNUMBER(SEARCH("G2",Z1010)),"G2",IF(ISNUMBER(SEARCH("G3",Z1010)),"G3",IF(ISNUMBER(SEARCH("古馬条件",Z1010)),"古馬条件戦",IF(ISNUMBER(SEARCH("重賞",Z1010)),"重賞","分類不能")))))))))</f>
        <v>分類不能</v>
      </c>
      <c r="AR1010" s="8"/>
      <c r="AS1010" s="8" t="s">
        <v>7842</v>
      </c>
      <c r="AT1010" s="8" t="s">
        <v>7843</v>
      </c>
      <c r="AU1010" s="8" t="s">
        <v>7628</v>
      </c>
      <c r="AV1010" s="8" t="s">
        <v>7629</v>
      </c>
      <c r="AW1010" s="8"/>
      <c r="AX1010" s="8"/>
      <c r="AY1010" s="8" t="s">
        <v>7610</v>
      </c>
      <c r="AZ1010" s="4" t="s">
        <v>7617</v>
      </c>
      <c r="BA1010" s="8" t="n">
        <v>1400</v>
      </c>
      <c r="BB1010" s="8" t="s">
        <v>7634</v>
      </c>
      <c r="BC1010" s="4" t="s">
        <v>7604</v>
      </c>
      <c r="BD1010" s="8" t="s">
        <v>7621</v>
      </c>
      <c r="BE1010" s="4" t="s">
        <v>7622</v>
      </c>
      <c r="BF1010" s="8" t="s">
        <v>7602</v>
      </c>
      <c r="BG1010" s="8" t="s">
        <v>7631</v>
      </c>
      <c r="BH1010" s="4" t="s">
        <v>7632</v>
      </c>
      <c r="BI1010" s="8" t="n">
        <v>16</v>
      </c>
      <c r="BJ1010" s="8" t="s">
        <v>7602</v>
      </c>
      <c r="BK1010" s="4" t="s">
        <v>7653</v>
      </c>
      <c r="BL1010" s="8" t="s">
        <v>7602</v>
      </c>
      <c r="BM1010" s="4" t="s">
        <v>7620</v>
      </c>
      <c r="BN1010" s="8"/>
      <c r="BO1010" s="8"/>
      <c r="BP1010" s="8" t="s">
        <v>7610</v>
      </c>
      <c r="BQ1010" s="8" t="str">
        <f aca="false">IF(A1010="","",AT1010)</f>
        <v>4歳以上</v>
      </c>
      <c r="BR1010" s="8" t="str">
        <f aca="false">IF(A1010="","",IF(BA1010&lt;=1200,"～1200",IF(BA1010&lt;=1500,"1300～1500",IF(BA1010=1600,"1600",IF(BA1010&lt;=1800,"1700～1800",IF(BA1010&lt;=2000,"1900～2000","2100以上"))))))</f>
        <v>1300～1500</v>
      </c>
      <c r="BS1010" s="8" t="str">
        <f aca="false">IF(A1010="","",IF(AX1010="G1","G1",IF(AX1010="G2","G2",IF(AX1010="G3","G3",IF(AX1010="L","L","その他")))))</f>
        <v>その他</v>
      </c>
      <c r="BT1010" s="8" t="str">
        <f aca="false">IF(A1010="","",IF(BI1010="","未結合",IF(D1010=BI1010,"一致","不一致")))</f>
        <v>一致</v>
      </c>
      <c r="BU1010" s="8" t="str">
        <f aca="false">IF(A1010="","",IF(BE1010="牝馬限定","牝馬限定","その他"))</f>
        <v>牝馬限定</v>
      </c>
    </row>
    <row r="1011" customFormat="false" ht="15.75" hidden="false" customHeight="false" outlineLevel="0" collapsed="false">
      <c r="A1011" s="6" t="n">
        <f aca="false">DATE(2026,5,9)</f>
        <v>46151</v>
      </c>
      <c r="B1011" s="4" t="s">
        <v>5435</v>
      </c>
      <c r="C1011" s="8" t="n">
        <v>9</v>
      </c>
      <c r="D1011" s="8" t="n">
        <v>11</v>
      </c>
      <c r="E1011" s="8" t="n">
        <v>7</v>
      </c>
      <c r="F1011" s="4" t="s">
        <v>6964</v>
      </c>
      <c r="G1011" s="8" t="n">
        <v>60</v>
      </c>
      <c r="H1011" s="8" t="n">
        <v>6</v>
      </c>
      <c r="I1011" s="4" t="s">
        <v>5502</v>
      </c>
      <c r="J1011" s="8" t="n">
        <v>56</v>
      </c>
      <c r="K1011" s="8" t="n">
        <v>3</v>
      </c>
      <c r="L1011" s="4" t="s">
        <v>5870</v>
      </c>
      <c r="M1011" s="8" t="n">
        <v>39</v>
      </c>
      <c r="N1011" s="8" t="n">
        <f aca="false">IF(A1011="","",G1011-J1011)</f>
        <v>4</v>
      </c>
      <c r="O1011" s="8" t="n">
        <f aca="false">IF(A1011="","",J1011-M1011)</f>
        <v>17</v>
      </c>
      <c r="P1011" s="8" t="n">
        <f aca="false">IF(A1011="","",G1011+J1011)</f>
        <v>116</v>
      </c>
      <c r="Q1011" s="8" t="str">
        <f aca="false">IF(A1011="","",IF(AND(Y1011&lt;&gt;"参考",G1011&gt;=ルール設定!$B$2),"○",""))</f>
        <v/>
      </c>
      <c r="R1011" s="8" t="str">
        <f aca="false">IF(A1011="","",IF(AND(Y1011&lt;&gt;"参考",G1011&gt;=ルール設定!$B$3,N1011&gt;=ルール設定!$B$4),"○",""))</f>
        <v/>
      </c>
      <c r="S1011" s="8" t="str">
        <f aca="false">IF(A1011="","",IF(AND(Y1011&lt;&gt;"参考",G1011&gt;=ルール設定!$B$5,J1011&gt;=ルール設定!$B$6,O1011&gt;=ルール設定!$B$7),"○",""))</f>
        <v/>
      </c>
      <c r="T1011" s="8" t="n">
        <v>1</v>
      </c>
      <c r="U1011" s="8" t="n">
        <v>4</v>
      </c>
      <c r="V1011" s="8" t="str">
        <f aca="false">IF(A1011="","",IF(AND(ISNUMBER(T1011),ISNUMBER(U1011)),IF(AND(T1011&lt;=3,U1011&lt;=3),"○","×"),""))</f>
        <v>×</v>
      </c>
      <c r="W1011" s="8" t="n">
        <v>130</v>
      </c>
      <c r="X1011" s="8"/>
      <c r="Y1011" s="4" t="s">
        <v>7597</v>
      </c>
      <c r="Z1011" s="8" t="s">
        <v>8111</v>
      </c>
      <c r="AA1011" s="8" t="str">
        <v/>
      </c>
      <c r="AB1011" s="8" t="str">
        <v/>
      </c>
      <c r="AC1011" s="8" t="str">
        <v/>
      </c>
      <c r="AD1011" s="8" t="str">
        <v/>
      </c>
      <c r="AE1011" s="8" t="str">
        <v/>
      </c>
      <c r="AF1011" s="8" t="str">
        <v/>
      </c>
      <c r="AG1011" s="8" t="str">
        <v/>
      </c>
      <c r="AH1011" s="8" t="str">
        <v/>
      </c>
      <c r="AI1011" s="8" t="n">
        <v>21</v>
      </c>
      <c r="AJ1011" s="8" t="str">
        <v>60～69</v>
      </c>
      <c r="AK1011" s="8" t="str">
        <v>0～4</v>
      </c>
      <c r="AL1011" s="8" t="str">
        <v>20～29</v>
      </c>
      <c r="AM1011" s="8" t="str">
        <v>100～119</v>
      </c>
      <c r="AN1011" s="8" t="str">
        <v>8～11</v>
      </c>
      <c r="AO1011" s="8" t="str">
        <f aca="false">IF(A1011="","",IF(COUNTIFS(全馬データ!$A$2:$A$50000,A1011,全馬データ!$B$2:$B$50000,B1011,全馬データ!$C$2:$C$50000,C1011,全馬データ!$D$2:$D$50000,E1011,全馬データ!$K$2:$K$50000,"&lt;&gt;")=0,"",SUMIFS(全馬データ!$K$2:$K$50000,全馬データ!$A$2:$A$50000,A1011,全馬データ!$B$2:$B$50000,B1011,全馬データ!$C$2:$C$50000,C1011,全馬データ!$D$2:$D$50000,E1011)))</f>
        <v/>
      </c>
      <c r="AP1011" s="8" t="str">
        <f aca="false">IF(A1011="","",IF(AO1011="","欠損",IF(AO1011&lt;=1.1,"1.0～1.1",IF(AO1011&lt;1.3,"1.2",IF(AO1011&lt;1.5,"1.3～1.4",IF(AO1011&lt;2,"1.5～1.9","2.0以上"))))))</f>
        <v>欠損</v>
      </c>
      <c r="AQ1011" s="8" t="str">
        <f aca="false">IF(A1011="","",IF(ISNUMBER(SEARCH("2歳",Z1011)),"2歳戦",IF(ISNUMBER(SEARCH("3歳未勝利",Z1011)),"3歳未勝利",IF(ISNUMBER(SEARCH("未勝利",Z1011)),"その他未勝利",IF(ISNUMBER(SEARCH("G1",Z1011)),"G1",IF(ISNUMBER(SEARCH("G2",Z1011)),"G2",IF(ISNUMBER(SEARCH("G3",Z1011)),"G3",IF(ISNUMBER(SEARCH("古馬条件",Z1011)),"古馬条件戦",IF(ISNUMBER(SEARCH("重賞",Z1011)),"重賞","分類不能")))))))))</f>
        <v>分類不能</v>
      </c>
      <c r="AR1011" s="4" t="s">
        <v>8127</v>
      </c>
      <c r="AS1011" s="8" t="s">
        <v>7842</v>
      </c>
      <c r="AT1011" s="8" t="s">
        <v>7843</v>
      </c>
      <c r="AU1011" s="8" t="s">
        <v>7634</v>
      </c>
      <c r="AV1011" s="8" t="s">
        <v>7635</v>
      </c>
      <c r="AW1011" s="8" t="s">
        <v>7636</v>
      </c>
      <c r="AX1011" s="4" t="s">
        <v>7637</v>
      </c>
      <c r="AY1011" s="8" t="s">
        <v>7602</v>
      </c>
      <c r="AZ1011" s="4" t="s">
        <v>7603</v>
      </c>
      <c r="BA1011" s="8" t="n">
        <v>1600</v>
      </c>
      <c r="BB1011" s="8" t="s">
        <v>7598</v>
      </c>
      <c r="BC1011" s="4" t="s">
        <v>7604</v>
      </c>
      <c r="BD1011" s="8" t="s">
        <v>7605</v>
      </c>
      <c r="BE1011" s="4" t="s">
        <v>7606</v>
      </c>
      <c r="BF1011" s="8" t="s">
        <v>7607</v>
      </c>
      <c r="BG1011" s="8" t="s">
        <v>7631</v>
      </c>
      <c r="BH1011" s="4" t="s">
        <v>7632</v>
      </c>
      <c r="BI1011" s="8" t="n">
        <v>11</v>
      </c>
      <c r="BJ1011" s="8" t="s">
        <v>7602</v>
      </c>
      <c r="BK1011" s="4" t="s">
        <v>7653</v>
      </c>
      <c r="BL1011" s="8" t="s">
        <v>7610</v>
      </c>
      <c r="BM1011" s="4" t="s">
        <v>7612</v>
      </c>
      <c r="BN1011" s="8" t="s">
        <v>7636</v>
      </c>
      <c r="BO1011" s="8" t="s">
        <v>7804</v>
      </c>
      <c r="BP1011" s="8" t="s">
        <v>7610</v>
      </c>
      <c r="BQ1011" s="8" t="str">
        <f aca="false">IF(A1011="","",AT1011)</f>
        <v>4歳以上</v>
      </c>
      <c r="BR1011" s="8" t="str">
        <f aca="false">IF(A1011="","",IF(BA1011&lt;=1200,"～1200",IF(BA1011&lt;=1500,"1300～1500",IF(BA1011=1600,"1600",IF(BA1011&lt;=1800,"1700～1800",IF(BA1011&lt;=2000,"1900～2000","2100以上"))))))</f>
        <v>1600</v>
      </c>
      <c r="BS1011" s="8" t="str">
        <f aca="false">IF(A1011="","",IF(AX1011="G1","G1",IF(AX1011="G2","G2",IF(AX1011="G3","G3",IF(AX1011="L","L","その他")))))</f>
        <v>その他</v>
      </c>
      <c r="BT1011" s="8" t="str">
        <f aca="false">IF(A1011="","",IF(BI1011="","未結合",IF(D1011=BI1011,"一致","不一致")))</f>
        <v>一致</v>
      </c>
      <c r="BU1011" s="8" t="str">
        <f aca="false">IF(A1011="","",IF(BE1011="牝馬限定","牝馬限定","その他"))</f>
        <v>その他</v>
      </c>
    </row>
    <row r="1012" customFormat="false" ht="15.75" hidden="false" customHeight="false" outlineLevel="0" collapsed="false">
      <c r="A1012" s="6" t="n">
        <f aca="false">DATE(2026,5,9)</f>
        <v>46151</v>
      </c>
      <c r="B1012" s="4" t="s">
        <v>5435</v>
      </c>
      <c r="C1012" s="8" t="n">
        <v>10</v>
      </c>
      <c r="D1012" s="8" t="n">
        <v>8</v>
      </c>
      <c r="E1012" s="8" t="n">
        <v>2</v>
      </c>
      <c r="F1012" s="4" t="s">
        <v>5052</v>
      </c>
      <c r="G1012" s="8" t="n">
        <v>60</v>
      </c>
      <c r="H1012" s="8" t="n">
        <v>5</v>
      </c>
      <c r="I1012" s="4" t="s">
        <v>6968</v>
      </c>
      <c r="J1012" s="8" t="n">
        <v>58</v>
      </c>
      <c r="K1012" s="8" t="n">
        <v>3</v>
      </c>
      <c r="L1012" s="4" t="s">
        <v>2906</v>
      </c>
      <c r="M1012" s="8" t="n">
        <v>41</v>
      </c>
      <c r="N1012" s="8" t="n">
        <f aca="false">IF(A1012="","",G1012-J1012)</f>
        <v>2</v>
      </c>
      <c r="O1012" s="8" t="n">
        <f aca="false">IF(A1012="","",J1012-M1012)</f>
        <v>17</v>
      </c>
      <c r="P1012" s="8" t="n">
        <f aca="false">IF(A1012="","",G1012+J1012)</f>
        <v>118</v>
      </c>
      <c r="Q1012" s="8" t="str">
        <f aca="false">IF(A1012="","",IF(AND(Y1012&lt;&gt;"参考",G1012&gt;=ルール設定!$B$2),"○",""))</f>
        <v/>
      </c>
      <c r="R1012" s="8" t="str">
        <f aca="false">IF(A1012="","",IF(AND(Y1012&lt;&gt;"参考",G1012&gt;=ルール設定!$B$3,N1012&gt;=ルール設定!$B$4),"○",""))</f>
        <v/>
      </c>
      <c r="S1012" s="8" t="str">
        <f aca="false">IF(A1012="","",IF(AND(Y1012&lt;&gt;"参考",G1012&gt;=ルール設定!$B$5,J1012&gt;=ルール設定!$B$6,O1012&gt;=ルール設定!$B$7),"○",""))</f>
        <v/>
      </c>
      <c r="T1012" s="8" t="n">
        <v>2</v>
      </c>
      <c r="U1012" s="8" t="n">
        <v>3</v>
      </c>
      <c r="V1012" s="8" t="str">
        <f aca="false">IF(A1012="","",IF(AND(ISNUMBER(T1012),ISNUMBER(U1012)),IF(AND(T1012&lt;=3,U1012&lt;=3),"○","×"),""))</f>
        <v>○</v>
      </c>
      <c r="W1012" s="8" t="n">
        <v>110</v>
      </c>
      <c r="X1012" s="8" t="n">
        <v>160</v>
      </c>
      <c r="Y1012" s="4" t="s">
        <v>7597</v>
      </c>
      <c r="Z1012" s="8" t="s">
        <v>8111</v>
      </c>
      <c r="AA1012" s="8" t="str">
        <v/>
      </c>
      <c r="AB1012" s="8" t="str">
        <v/>
      </c>
      <c r="AC1012" s="8" t="str">
        <v/>
      </c>
      <c r="AD1012" s="8" t="str">
        <v/>
      </c>
      <c r="AE1012" s="8" t="str">
        <v/>
      </c>
      <c r="AF1012" s="8" t="str">
        <v/>
      </c>
      <c r="AG1012" s="8" t="str">
        <v/>
      </c>
      <c r="AH1012" s="8" t="str">
        <v/>
      </c>
      <c r="AI1012" s="8" t="n">
        <v>19</v>
      </c>
      <c r="AJ1012" s="8" t="str">
        <v>60～69</v>
      </c>
      <c r="AK1012" s="8" t="str">
        <v>0～4</v>
      </c>
      <c r="AL1012" s="8" t="str">
        <v>10～19</v>
      </c>
      <c r="AM1012" s="8" t="str">
        <v>100～119</v>
      </c>
      <c r="AN1012" s="8" t="str">
        <v>8～11</v>
      </c>
      <c r="AO1012" s="8" t="str">
        <f aca="false">IF(A1012="","",IF(COUNTIFS(全馬データ!$A$2:$A$50000,A1012,全馬データ!$B$2:$B$50000,B1012,全馬データ!$C$2:$C$50000,C1012,全馬データ!$D$2:$D$50000,E1012,全馬データ!$K$2:$K$50000,"&lt;&gt;")=0,"",SUMIFS(全馬データ!$K$2:$K$50000,全馬データ!$A$2:$A$50000,A1012,全馬データ!$B$2:$B$50000,B1012,全馬データ!$C$2:$C$50000,C1012,全馬データ!$D$2:$D$50000,E1012)))</f>
        <v/>
      </c>
      <c r="AP1012" s="8" t="str">
        <f aca="false">IF(A1012="","",IF(AO1012="","欠損",IF(AO1012&lt;=1.1,"1.0～1.1",IF(AO1012&lt;1.3,"1.2",IF(AO1012&lt;1.5,"1.3～1.4",IF(AO1012&lt;2,"1.5～1.9","2.0以上"))))))</f>
        <v>欠損</v>
      </c>
      <c r="AQ1012" s="8" t="str">
        <f aca="false">IF(A1012="","",IF(ISNUMBER(SEARCH("2歳",Z1012)),"2歳戦",IF(ISNUMBER(SEARCH("3歳未勝利",Z1012)),"3歳未勝利",IF(ISNUMBER(SEARCH("未勝利",Z1012)),"その他未勝利",IF(ISNUMBER(SEARCH("G1",Z1012)),"G1",IF(ISNUMBER(SEARCH("G2",Z1012)),"G2",IF(ISNUMBER(SEARCH("G3",Z1012)),"G3",IF(ISNUMBER(SEARCH("古馬条件",Z1012)),"古馬条件戦",IF(ISNUMBER(SEARCH("重賞",Z1012)),"重賞","分類不能")))))))))</f>
        <v>分類不能</v>
      </c>
      <c r="AR1012" s="4" t="s">
        <v>8128</v>
      </c>
      <c r="AS1012" s="8" t="s">
        <v>7842</v>
      </c>
      <c r="AT1012" s="8" t="s">
        <v>7843</v>
      </c>
      <c r="AU1012" s="8" t="s">
        <v>7634</v>
      </c>
      <c r="AV1012" s="8" t="s">
        <v>7635</v>
      </c>
      <c r="AW1012" s="8" t="s">
        <v>7636</v>
      </c>
      <c r="AX1012" s="4" t="s">
        <v>7637</v>
      </c>
      <c r="AY1012" s="8" t="s">
        <v>7602</v>
      </c>
      <c r="AZ1012" s="4" t="s">
        <v>7603</v>
      </c>
      <c r="BA1012" s="8" t="n">
        <v>2000</v>
      </c>
      <c r="BB1012" s="8" t="s">
        <v>7598</v>
      </c>
      <c r="BC1012" s="4" t="s">
        <v>7604</v>
      </c>
      <c r="BD1012" s="8" t="s">
        <v>7630</v>
      </c>
      <c r="BE1012" s="4" t="s">
        <v>7606</v>
      </c>
      <c r="BF1012" s="8" t="s">
        <v>7607</v>
      </c>
      <c r="BG1012" s="8" t="s">
        <v>7631</v>
      </c>
      <c r="BH1012" s="4" t="s">
        <v>7632</v>
      </c>
      <c r="BI1012" s="8" t="n">
        <v>8</v>
      </c>
      <c r="BJ1012" s="8" t="s">
        <v>7602</v>
      </c>
      <c r="BK1012" s="4" t="s">
        <v>7653</v>
      </c>
      <c r="BL1012" s="8" t="s">
        <v>7602</v>
      </c>
      <c r="BM1012" s="4" t="s">
        <v>7620</v>
      </c>
      <c r="BN1012" s="8" t="s">
        <v>7636</v>
      </c>
      <c r="BO1012" s="8" t="s">
        <v>7804</v>
      </c>
      <c r="BP1012" s="8" t="s">
        <v>7610</v>
      </c>
      <c r="BQ1012" s="8" t="str">
        <f aca="false">IF(A1012="","",AT1012)</f>
        <v>4歳以上</v>
      </c>
      <c r="BR1012" s="8" t="str">
        <f aca="false">IF(A1012="","",IF(BA1012&lt;=1200,"～1200",IF(BA1012&lt;=1500,"1300～1500",IF(BA1012=1600,"1600",IF(BA1012&lt;=1800,"1700～1800",IF(BA1012&lt;=2000,"1900～2000","2100以上"))))))</f>
        <v>1900～2000</v>
      </c>
      <c r="BS1012" s="8" t="str">
        <f aca="false">IF(A1012="","",IF(AX1012="G1","G1",IF(AX1012="G2","G2",IF(AX1012="G3","G3",IF(AX1012="L","L","その他")))))</f>
        <v>その他</v>
      </c>
      <c r="BT1012" s="8" t="str">
        <f aca="false">IF(A1012="","",IF(BI1012="","未結合",IF(D1012=BI1012,"一致","不一致")))</f>
        <v>一致</v>
      </c>
      <c r="BU1012" s="8" t="str">
        <f aca="false">IF(A1012="","",IF(BE1012="牝馬限定","牝馬限定","その他"))</f>
        <v>その他</v>
      </c>
    </row>
    <row r="1013" customFormat="false" ht="15.75" hidden="false" customHeight="false" outlineLevel="0" collapsed="false">
      <c r="A1013" s="6" t="n">
        <f aca="false">DATE(2026,5,9)</f>
        <v>46151</v>
      </c>
      <c r="B1013" s="4" t="s">
        <v>5435</v>
      </c>
      <c r="C1013" s="8" t="n">
        <v>11</v>
      </c>
      <c r="D1013" s="8" t="n">
        <v>16</v>
      </c>
      <c r="E1013" s="8" t="n">
        <v>15</v>
      </c>
      <c r="F1013" s="4" t="s">
        <v>6970</v>
      </c>
      <c r="G1013" s="8" t="n">
        <v>58</v>
      </c>
      <c r="H1013" s="8" t="n">
        <v>1</v>
      </c>
      <c r="I1013" s="4" t="s">
        <v>1329</v>
      </c>
      <c r="J1013" s="8" t="n">
        <v>39</v>
      </c>
      <c r="K1013" s="8" t="n">
        <v>10</v>
      </c>
      <c r="L1013" s="4" t="s">
        <v>688</v>
      </c>
      <c r="M1013" s="8" t="n">
        <v>37</v>
      </c>
      <c r="N1013" s="8" t="n">
        <f aca="false">IF(A1013="","",G1013-J1013)</f>
        <v>19</v>
      </c>
      <c r="O1013" s="8" t="n">
        <f aca="false">IF(A1013="","",J1013-M1013)</f>
        <v>2</v>
      </c>
      <c r="P1013" s="8" t="n">
        <f aca="false">IF(A1013="","",G1013+J1013)</f>
        <v>97</v>
      </c>
      <c r="Q1013" s="8" t="str">
        <f aca="false">IF(A1013="","",IF(AND(Y1013&lt;&gt;"参考",G1013&gt;=ルール設定!$B$2),"○",""))</f>
        <v/>
      </c>
      <c r="R1013" s="8" t="str">
        <f aca="false">IF(A1013="","",IF(AND(Y1013&lt;&gt;"参考",G1013&gt;=ルール設定!$B$3,N1013&gt;=ルール設定!$B$4),"○",""))</f>
        <v/>
      </c>
      <c r="S1013" s="8" t="str">
        <f aca="false">IF(A1013="","",IF(AND(Y1013&lt;&gt;"参考",G1013&gt;=ルール設定!$B$5,J1013&gt;=ルール設定!$B$6,O1013&gt;=ルール設定!$B$7),"○",""))</f>
        <v/>
      </c>
      <c r="T1013" s="8" t="n">
        <v>2</v>
      </c>
      <c r="U1013" s="8" t="n">
        <v>4</v>
      </c>
      <c r="V1013" s="8" t="str">
        <f aca="false">IF(A1013="","",IF(AND(ISNUMBER(T1013),ISNUMBER(U1013)),IF(AND(T1013&lt;=3,U1013&lt;=3),"○","×"),""))</f>
        <v>×</v>
      </c>
      <c r="W1013" s="8" t="n">
        <v>120</v>
      </c>
      <c r="X1013" s="8"/>
      <c r="Y1013" s="4" t="s">
        <v>7597</v>
      </c>
      <c r="Z1013" s="8" t="s">
        <v>8111</v>
      </c>
      <c r="AA1013" s="8" t="str">
        <v/>
      </c>
      <c r="AB1013" s="8" t="str">
        <v/>
      </c>
      <c r="AC1013" s="8" t="str">
        <v/>
      </c>
      <c r="AD1013" s="8" t="str">
        <v/>
      </c>
      <c r="AE1013" s="8" t="str">
        <v/>
      </c>
      <c r="AF1013" s="8" t="str">
        <v/>
      </c>
      <c r="AG1013" s="8" t="str">
        <v/>
      </c>
      <c r="AH1013" s="8" t="str">
        <v/>
      </c>
      <c r="AI1013" s="8" t="n">
        <v>21</v>
      </c>
      <c r="AJ1013" s="8" t="str">
        <v>～59</v>
      </c>
      <c r="AK1013" s="8" t="str">
        <v>10～19</v>
      </c>
      <c r="AL1013" s="8" t="str">
        <v>20～29</v>
      </c>
      <c r="AM1013" s="8" t="str">
        <v>～99</v>
      </c>
      <c r="AN1013" s="8" t="str">
        <v>15以上</v>
      </c>
      <c r="AO1013" s="8" t="str">
        <f aca="false">IF(A1013="","",IF(COUNTIFS(全馬データ!$A$2:$A$50000,A1013,全馬データ!$B$2:$B$50000,B1013,全馬データ!$C$2:$C$50000,C1013,全馬データ!$D$2:$D$50000,E1013,全馬データ!$K$2:$K$50000,"&lt;&gt;")=0,"",SUMIFS(全馬データ!$K$2:$K$50000,全馬データ!$A$2:$A$50000,A1013,全馬データ!$B$2:$B$50000,B1013,全馬データ!$C$2:$C$50000,C1013,全馬データ!$D$2:$D$50000,E1013)))</f>
        <v/>
      </c>
      <c r="AP1013" s="8" t="str">
        <f aca="false">IF(A1013="","",IF(AO1013="","欠損",IF(AO1013&lt;=1.1,"1.0～1.1",IF(AO1013&lt;1.3,"1.2",IF(AO1013&lt;1.5,"1.3～1.4",IF(AO1013&lt;2,"1.5～1.9","2.0以上"))))))</f>
        <v>欠損</v>
      </c>
      <c r="AQ1013" s="8" t="str">
        <f aca="false">IF(A1013="","",IF(ISNUMBER(SEARCH("2歳",Z1013)),"2歳戦",IF(ISNUMBER(SEARCH("3歳未勝利",Z1013)),"3歳未勝利",IF(ISNUMBER(SEARCH("未勝利",Z1013)),"その他未勝利",IF(ISNUMBER(SEARCH("G1",Z1013)),"G1",IF(ISNUMBER(SEARCH("G2",Z1013)),"G2",IF(ISNUMBER(SEARCH("G3",Z1013)),"G3",IF(ISNUMBER(SEARCH("古馬条件",Z1013)),"古馬条件戦",IF(ISNUMBER(SEARCH("重賞",Z1013)),"重賞","分類不能")))))))))</f>
        <v>分類不能</v>
      </c>
      <c r="AR1013" s="4" t="s">
        <v>8129</v>
      </c>
      <c r="AS1013" s="8" t="s">
        <v>7623</v>
      </c>
      <c r="AT1013" s="8" t="s">
        <v>7624</v>
      </c>
      <c r="AU1013" s="8" t="s">
        <v>7643</v>
      </c>
      <c r="AV1013" s="4" t="s">
        <v>7644</v>
      </c>
      <c r="AW1013" s="8" t="s">
        <v>7610</v>
      </c>
      <c r="AX1013" s="8" t="s">
        <v>7881</v>
      </c>
      <c r="AY1013" s="8" t="s">
        <v>7602</v>
      </c>
      <c r="AZ1013" s="4" t="s">
        <v>7603</v>
      </c>
      <c r="BA1013" s="8" t="n">
        <v>2200</v>
      </c>
      <c r="BB1013" s="8" t="s">
        <v>7598</v>
      </c>
      <c r="BC1013" s="4" t="s">
        <v>7604</v>
      </c>
      <c r="BD1013" s="8" t="s">
        <v>7672</v>
      </c>
      <c r="BE1013" s="4" t="s">
        <v>7606</v>
      </c>
      <c r="BF1013" s="8" t="s">
        <v>7607</v>
      </c>
      <c r="BG1013" s="8" t="s">
        <v>7608</v>
      </c>
      <c r="BH1013" s="4" t="s">
        <v>7609</v>
      </c>
      <c r="BI1013" s="8" t="n">
        <v>16</v>
      </c>
      <c r="BJ1013" s="8" t="s">
        <v>7602</v>
      </c>
      <c r="BK1013" s="4" t="s">
        <v>7653</v>
      </c>
      <c r="BL1013" s="8" t="s">
        <v>7610</v>
      </c>
      <c r="BM1013" s="4" t="s">
        <v>7612</v>
      </c>
      <c r="BN1013" s="8" t="s">
        <v>7636</v>
      </c>
      <c r="BO1013" s="8" t="s">
        <v>7804</v>
      </c>
      <c r="BP1013" s="8" t="s">
        <v>7610</v>
      </c>
      <c r="BQ1013" s="8" t="str">
        <f aca="false">IF(A1013="","",AT1013)</f>
        <v>3歳</v>
      </c>
      <c r="BR1013" s="8" t="str">
        <f aca="false">IF(A1013="","",IF(BA1013&lt;=1200,"～1200",IF(BA1013&lt;=1500,"1300～1500",IF(BA1013=1600,"1600",IF(BA1013&lt;=1800,"1700～1800",IF(BA1013&lt;=2000,"1900～2000","2100以上"))))))</f>
        <v>2100以上</v>
      </c>
      <c r="BS1013" s="8" t="str">
        <f aca="false">IF(A1013="","",IF(AX1013="G1","G1",IF(AX1013="G2","G2",IF(AX1013="G3","G3",IF(AX1013="L","L","その他")))))</f>
        <v>G2</v>
      </c>
      <c r="BT1013" s="8" t="str">
        <f aca="false">IF(A1013="","",IF(BI1013="","未結合",IF(D1013=BI1013,"一致","不一致")))</f>
        <v>一致</v>
      </c>
      <c r="BU1013" s="8" t="str">
        <f aca="false">IF(A1013="","",IF(BE1013="牝馬限定","牝馬限定","その他"))</f>
        <v>その他</v>
      </c>
    </row>
    <row r="1014" customFormat="false" ht="15.75" hidden="false" customHeight="false" outlineLevel="0" collapsed="false">
      <c r="A1014" s="6" t="n">
        <f aca="false">DATE(2026,5,9)</f>
        <v>46151</v>
      </c>
      <c r="B1014" s="4" t="s">
        <v>5435</v>
      </c>
      <c r="C1014" s="8" t="n">
        <v>12</v>
      </c>
      <c r="D1014" s="8" t="n">
        <v>13</v>
      </c>
      <c r="E1014" s="8" t="n">
        <v>8</v>
      </c>
      <c r="F1014" s="4" t="s">
        <v>5963</v>
      </c>
      <c r="G1014" s="8" t="n">
        <v>52</v>
      </c>
      <c r="H1014" s="8" t="n">
        <v>7</v>
      </c>
      <c r="I1014" s="4" t="s">
        <v>6139</v>
      </c>
      <c r="J1014" s="8" t="n">
        <v>41</v>
      </c>
      <c r="K1014" s="8" t="n">
        <v>13</v>
      </c>
      <c r="L1014" s="4" t="s">
        <v>1686</v>
      </c>
      <c r="M1014" s="8" t="n">
        <v>29</v>
      </c>
      <c r="N1014" s="8" t="n">
        <f aca="false">IF(A1014="","",G1014-J1014)</f>
        <v>11</v>
      </c>
      <c r="O1014" s="8" t="n">
        <f aca="false">IF(A1014="","",J1014-M1014)</f>
        <v>12</v>
      </c>
      <c r="P1014" s="8" t="n">
        <f aca="false">IF(A1014="","",G1014+J1014)</f>
        <v>93</v>
      </c>
      <c r="Q1014" s="8" t="str">
        <f aca="false">IF(A1014="","",IF(AND(Y1014&lt;&gt;"参考",G1014&gt;=ルール設定!$B$2),"○",""))</f>
        <v/>
      </c>
      <c r="R1014" s="8" t="str">
        <f aca="false">IF(A1014="","",IF(AND(Y1014&lt;&gt;"参考",G1014&gt;=ルール設定!$B$3,N1014&gt;=ルール設定!$B$4),"○",""))</f>
        <v/>
      </c>
      <c r="S1014" s="8" t="str">
        <f aca="false">IF(A1014="","",IF(AND(Y1014&lt;&gt;"参考",G1014&gt;=ルール設定!$B$5,J1014&gt;=ルール設定!$B$6,O1014&gt;=ルール設定!$B$7),"○",""))</f>
        <v/>
      </c>
      <c r="T1014" s="8" t="n">
        <v>1</v>
      </c>
      <c r="U1014" s="8" t="n">
        <v>4</v>
      </c>
      <c r="V1014" s="8" t="str">
        <f aca="false">IF(A1014="","",IF(AND(ISNUMBER(T1014),ISNUMBER(U1014)),IF(AND(T1014&lt;=3,U1014&lt;=3),"○","×"),""))</f>
        <v>×</v>
      </c>
      <c r="W1014" s="8" t="n">
        <v>170</v>
      </c>
      <c r="X1014" s="8"/>
      <c r="Y1014" s="4" t="s">
        <v>7597</v>
      </c>
      <c r="Z1014" s="8" t="s">
        <v>8111</v>
      </c>
      <c r="AA1014" s="8" t="str">
        <v/>
      </c>
      <c r="AB1014" s="8" t="str">
        <v/>
      </c>
      <c r="AC1014" s="8" t="str">
        <v/>
      </c>
      <c r="AD1014" s="8" t="str">
        <v/>
      </c>
      <c r="AE1014" s="8" t="str">
        <v/>
      </c>
      <c r="AF1014" s="8" t="str">
        <v/>
      </c>
      <c r="AG1014" s="8" t="str">
        <v/>
      </c>
      <c r="AH1014" s="8" t="str">
        <v/>
      </c>
      <c r="AI1014" s="8" t="n">
        <v>23</v>
      </c>
      <c r="AJ1014" s="8" t="str">
        <v>～59</v>
      </c>
      <c r="AK1014" s="8" t="str">
        <v>10～19</v>
      </c>
      <c r="AL1014" s="8" t="str">
        <v>20～29</v>
      </c>
      <c r="AM1014" s="8" t="str">
        <v>～99</v>
      </c>
      <c r="AN1014" s="8" t="str">
        <v>12～14</v>
      </c>
      <c r="AO1014" s="8" t="str">
        <f aca="false">IF(A1014="","",IF(COUNTIFS(全馬データ!$A$2:$A$50000,A1014,全馬データ!$B$2:$B$50000,B1014,全馬データ!$C$2:$C$50000,C1014,全馬データ!$D$2:$D$50000,E1014,全馬データ!$K$2:$K$50000,"&lt;&gt;")=0,"",SUMIFS(全馬データ!$K$2:$K$50000,全馬データ!$A$2:$A$50000,A1014,全馬データ!$B$2:$B$50000,B1014,全馬データ!$C$2:$C$50000,C1014,全馬データ!$D$2:$D$50000,E1014)))</f>
        <v/>
      </c>
      <c r="AP1014" s="8" t="str">
        <f aca="false">IF(A1014="","",IF(AO1014="","欠損",IF(AO1014&lt;=1.1,"1.0～1.1",IF(AO1014&lt;1.3,"1.2",IF(AO1014&lt;1.5,"1.3～1.4",IF(AO1014&lt;2,"1.5～1.9","2.0以上"))))))</f>
        <v>欠損</v>
      </c>
      <c r="AQ1014" s="8" t="str">
        <f aca="false">IF(A1014="","",IF(ISNUMBER(SEARCH("2歳",Z1014)),"2歳戦",IF(ISNUMBER(SEARCH("3歳未勝利",Z1014)),"3歳未勝利",IF(ISNUMBER(SEARCH("未勝利",Z1014)),"その他未勝利",IF(ISNUMBER(SEARCH("G1",Z1014)),"G1",IF(ISNUMBER(SEARCH("G2",Z1014)),"G2",IF(ISNUMBER(SEARCH("G3",Z1014)),"G3",IF(ISNUMBER(SEARCH("古馬条件",Z1014)),"古馬条件戦",IF(ISNUMBER(SEARCH("重賞",Z1014)),"重賞","分類不能")))))))))</f>
        <v>分類不能</v>
      </c>
      <c r="AR1014" s="8"/>
      <c r="AS1014" s="8" t="s">
        <v>7842</v>
      </c>
      <c r="AT1014" s="8" t="s">
        <v>7843</v>
      </c>
      <c r="AU1014" s="8" t="s">
        <v>7634</v>
      </c>
      <c r="AV1014" s="8" t="s">
        <v>7635</v>
      </c>
      <c r="AW1014" s="8"/>
      <c r="AX1014" s="8"/>
      <c r="AY1014" s="8" t="s">
        <v>7610</v>
      </c>
      <c r="AZ1014" s="4" t="s">
        <v>7617</v>
      </c>
      <c r="BA1014" s="8" t="n">
        <v>1800</v>
      </c>
      <c r="BB1014" s="8" t="s">
        <v>7634</v>
      </c>
      <c r="BC1014" s="4" t="s">
        <v>7604</v>
      </c>
      <c r="BD1014" s="8" t="s">
        <v>7605</v>
      </c>
      <c r="BE1014" s="4" t="s">
        <v>7606</v>
      </c>
      <c r="BF1014" s="8" t="s">
        <v>7607</v>
      </c>
      <c r="BG1014" s="8" t="s">
        <v>7631</v>
      </c>
      <c r="BH1014" s="4" t="s">
        <v>7632</v>
      </c>
      <c r="BI1014" s="8" t="n">
        <v>13</v>
      </c>
      <c r="BJ1014" s="8" t="s">
        <v>7602</v>
      </c>
      <c r="BK1014" s="4" t="s">
        <v>7653</v>
      </c>
      <c r="BL1014" s="8" t="s">
        <v>7602</v>
      </c>
      <c r="BM1014" s="4" t="s">
        <v>7620</v>
      </c>
      <c r="BN1014" s="8"/>
      <c r="BO1014" s="8"/>
      <c r="BP1014" s="8" t="s">
        <v>7610</v>
      </c>
      <c r="BQ1014" s="8" t="str">
        <f aca="false">IF(A1014="","",AT1014)</f>
        <v>4歳以上</v>
      </c>
      <c r="BR1014" s="8" t="str">
        <f aca="false">IF(A1014="","",IF(BA1014&lt;=1200,"～1200",IF(BA1014&lt;=1500,"1300～1500",IF(BA1014=1600,"1600",IF(BA1014&lt;=1800,"1700～1800",IF(BA1014&lt;=2000,"1900～2000","2100以上"))))))</f>
        <v>1700～1800</v>
      </c>
      <c r="BS1014" s="8" t="str">
        <f aca="false">IF(A1014="","",IF(AX1014="G1","G1",IF(AX1014="G2","G2",IF(AX1014="G3","G3",IF(AX1014="L","L","その他")))))</f>
        <v>その他</v>
      </c>
      <c r="BT1014" s="8" t="str">
        <f aca="false">IF(A1014="","",IF(BI1014="","未結合",IF(D1014=BI1014,"一致","不一致")))</f>
        <v>一致</v>
      </c>
      <c r="BU1014" s="8" t="str">
        <f aca="false">IF(A1014="","",IF(BE1014="牝馬限定","牝馬限定","その他"))</f>
        <v>その他</v>
      </c>
    </row>
    <row r="1015" customFormat="false" ht="15.75" hidden="false" customHeight="false" outlineLevel="0" collapsed="false">
      <c r="A1015" s="6" t="n">
        <f aca="false">DATE(2026,5,9)</f>
        <v>46151</v>
      </c>
      <c r="B1015" s="4" t="s">
        <v>13</v>
      </c>
      <c r="C1015" s="8" t="n">
        <v>1</v>
      </c>
      <c r="D1015" s="8" t="n">
        <v>13</v>
      </c>
      <c r="E1015" s="8" t="n">
        <v>6</v>
      </c>
      <c r="F1015" s="4" t="s">
        <v>579</v>
      </c>
      <c r="G1015" s="8" t="n">
        <v>55</v>
      </c>
      <c r="H1015" s="8" t="n">
        <v>11</v>
      </c>
      <c r="I1015" s="4" t="s">
        <v>6978</v>
      </c>
      <c r="J1015" s="8" t="n">
        <v>55</v>
      </c>
      <c r="K1015" s="8" t="n">
        <v>2</v>
      </c>
      <c r="L1015" s="4" t="s">
        <v>6979</v>
      </c>
      <c r="M1015" s="8" t="n">
        <v>37</v>
      </c>
      <c r="N1015" s="8" t="n">
        <f aca="false">IF(A1015="","",G1015-J1015)</f>
        <v>0</v>
      </c>
      <c r="O1015" s="8" t="n">
        <f aca="false">IF(A1015="","",J1015-M1015)</f>
        <v>18</v>
      </c>
      <c r="P1015" s="8" t="n">
        <f aca="false">IF(A1015="","",G1015+J1015)</f>
        <v>110</v>
      </c>
      <c r="Q1015" s="8" t="str">
        <f aca="false">IF(A1015="","",IF(AND(Y1015&lt;&gt;"参考",G1015&gt;=ルール設定!$B$2),"○",""))</f>
        <v/>
      </c>
      <c r="R1015" s="8" t="str">
        <f aca="false">IF(A1015="","",IF(AND(Y1015&lt;&gt;"参考",G1015&gt;=ルール設定!$B$3,N1015&gt;=ルール設定!$B$4),"○",""))</f>
        <v/>
      </c>
      <c r="S1015" s="8" t="str">
        <f aca="false">IF(A1015="","",IF(AND(Y1015&lt;&gt;"参考",G1015&gt;=ルール設定!$B$5,J1015&gt;=ルール設定!$B$6,O1015&gt;=ルール設定!$B$7),"○",""))</f>
        <v/>
      </c>
      <c r="T1015" s="8" t="n">
        <v>4</v>
      </c>
      <c r="U1015" s="8" t="n">
        <v>4</v>
      </c>
      <c r="V1015" s="8" t="str">
        <f aca="false">IF(A1015="","",IF(AND(ISNUMBER(T1015),ISNUMBER(U1015)),IF(AND(T1015&lt;=3,U1015&lt;=3),"○","×"),""))</f>
        <v>×</v>
      </c>
      <c r="W1015" s="8"/>
      <c r="X1015" s="8"/>
      <c r="Y1015" s="4" t="s">
        <v>7597</v>
      </c>
      <c r="Z1015" s="8" t="s">
        <v>8111</v>
      </c>
      <c r="AA1015" s="8" t="str">
        <v/>
      </c>
      <c r="AB1015" s="8" t="str">
        <v/>
      </c>
      <c r="AC1015" s="8" t="str">
        <v/>
      </c>
      <c r="AD1015" s="8" t="str">
        <v/>
      </c>
      <c r="AE1015" s="8" t="str">
        <v/>
      </c>
      <c r="AF1015" s="8" t="str">
        <v/>
      </c>
      <c r="AG1015" s="8" t="str">
        <v/>
      </c>
      <c r="AH1015" s="8" t="str">
        <v/>
      </c>
      <c r="AI1015" s="8" t="n">
        <v>18</v>
      </c>
      <c r="AJ1015" s="8" t="str">
        <v>～59</v>
      </c>
      <c r="AK1015" s="8" t="str">
        <v>0～4</v>
      </c>
      <c r="AL1015" s="8" t="str">
        <v>10～19</v>
      </c>
      <c r="AM1015" s="8" t="str">
        <v>100～119</v>
      </c>
      <c r="AN1015" s="8" t="str">
        <v>12～14</v>
      </c>
      <c r="AO1015" s="8" t="str">
        <f aca="false">IF(A1015="","",IF(COUNTIFS(全馬データ!$A$2:$A$50000,A1015,全馬データ!$B$2:$B$50000,B1015,全馬データ!$C$2:$C$50000,C1015,全馬データ!$D$2:$D$50000,E1015,全馬データ!$K$2:$K$50000,"&lt;&gt;")=0,"",SUMIFS(全馬データ!$K$2:$K$50000,全馬データ!$A$2:$A$50000,A1015,全馬データ!$B$2:$B$50000,B1015,全馬データ!$C$2:$C$50000,C1015,全馬データ!$D$2:$D$50000,E1015)))</f>
        <v/>
      </c>
      <c r="AP1015" s="8" t="str">
        <f aca="false">IF(A1015="","",IF(AO1015="","欠損",IF(AO1015&lt;=1.1,"1.0～1.1",IF(AO1015&lt;1.3,"1.2",IF(AO1015&lt;1.5,"1.3～1.4",IF(AO1015&lt;2,"1.5～1.9","2.0以上"))))))</f>
        <v>欠損</v>
      </c>
      <c r="AQ1015" s="8" t="str">
        <f aca="false">IF(A1015="","",IF(ISNUMBER(SEARCH("2歳",Z1015)),"2歳戦",IF(ISNUMBER(SEARCH("3歳未勝利",Z1015)),"3歳未勝利",IF(ISNUMBER(SEARCH("未勝利",Z1015)),"その他未勝利",IF(ISNUMBER(SEARCH("G1",Z1015)),"G1",IF(ISNUMBER(SEARCH("G2",Z1015)),"G2",IF(ISNUMBER(SEARCH("G3",Z1015)),"G3",IF(ISNUMBER(SEARCH("古馬条件",Z1015)),"古馬条件戦",IF(ISNUMBER(SEARCH("重賞",Z1015)),"重賞","分類不能")))))))))</f>
        <v>分類不能</v>
      </c>
      <c r="AR1015" s="8"/>
      <c r="AS1015" s="8" t="s">
        <v>7618</v>
      </c>
      <c r="AT1015" s="4" t="s">
        <v>7642</v>
      </c>
      <c r="AU1015" s="8" t="s">
        <v>7600</v>
      </c>
      <c r="AV1015" s="4" t="s">
        <v>7601</v>
      </c>
      <c r="AW1015" s="8"/>
      <c r="AX1015" s="8"/>
      <c r="AY1015" s="8" t="s">
        <v>7608</v>
      </c>
      <c r="AZ1015" s="4" t="s">
        <v>7642</v>
      </c>
      <c r="BA1015" s="8" t="n">
        <v>2890</v>
      </c>
      <c r="BB1015" s="8" t="s">
        <v>7618</v>
      </c>
      <c r="BC1015" s="4" t="s">
        <v>7619</v>
      </c>
      <c r="BD1015" s="8" t="s">
        <v>7645</v>
      </c>
      <c r="BE1015" s="4" t="s">
        <v>7606</v>
      </c>
      <c r="BF1015" s="8" t="s">
        <v>7607</v>
      </c>
      <c r="BG1015" s="8" t="s">
        <v>7631</v>
      </c>
      <c r="BH1015" s="4" t="s">
        <v>7632</v>
      </c>
      <c r="BI1015" s="8" t="n">
        <v>13</v>
      </c>
      <c r="BJ1015" s="8" t="s">
        <v>7647</v>
      </c>
      <c r="BK1015" s="4" t="s">
        <v>7648</v>
      </c>
      <c r="BL1015" s="8" t="s">
        <v>7647</v>
      </c>
      <c r="BM1015" s="4" t="s">
        <v>7648</v>
      </c>
      <c r="BN1015" s="8"/>
      <c r="BO1015" s="8"/>
      <c r="BP1015" s="8" t="s">
        <v>7608</v>
      </c>
      <c r="BQ1015" s="8" t="str">
        <f aca="false">IF(A1015="","",AT1015)</f>
        <v>障害</v>
      </c>
      <c r="BR1015" s="8" t="str">
        <f aca="false">IF(A1015="","",IF(BA1015&lt;=1200,"～1200",IF(BA1015&lt;=1500,"1300～1500",IF(BA1015=1600,"1600",IF(BA1015&lt;=1800,"1700～1800",IF(BA1015&lt;=2000,"1900～2000","2100以上"))))))</f>
        <v>2100以上</v>
      </c>
      <c r="BS1015" s="8" t="str">
        <f aca="false">IF(A1015="","",IF(AX1015="G1","G1",IF(AX1015="G2","G2",IF(AX1015="G3","G3",IF(AX1015="L","L","その他")))))</f>
        <v>その他</v>
      </c>
      <c r="BT1015" s="8" t="str">
        <f aca="false">IF(A1015="","",IF(BI1015="","未結合",IF(D1015=BI1015,"一致","不一致")))</f>
        <v>一致</v>
      </c>
      <c r="BU1015" s="8" t="str">
        <f aca="false">IF(A1015="","",IF(BE1015="牝馬限定","牝馬限定","その他"))</f>
        <v>その他</v>
      </c>
    </row>
    <row r="1016" customFormat="false" ht="15.75" hidden="false" customHeight="false" outlineLevel="0" collapsed="false">
      <c r="A1016" s="6" t="n">
        <f aca="false">DATE(2026,5,9)</f>
        <v>46151</v>
      </c>
      <c r="B1016" s="4" t="s">
        <v>13</v>
      </c>
      <c r="C1016" s="8" t="n">
        <v>2</v>
      </c>
      <c r="D1016" s="8" t="n">
        <v>10</v>
      </c>
      <c r="E1016" s="8" t="n">
        <v>3</v>
      </c>
      <c r="F1016" s="4" t="s">
        <v>6664</v>
      </c>
      <c r="G1016" s="8" t="n">
        <v>81</v>
      </c>
      <c r="H1016" s="8" t="n">
        <v>2</v>
      </c>
      <c r="I1016" s="4" t="s">
        <v>1914</v>
      </c>
      <c r="J1016" s="8" t="n">
        <v>60</v>
      </c>
      <c r="K1016" s="8" t="n">
        <v>8</v>
      </c>
      <c r="L1016" s="4" t="s">
        <v>4234</v>
      </c>
      <c r="M1016" s="8" t="n">
        <v>47</v>
      </c>
      <c r="N1016" s="8" t="n">
        <f aca="false">IF(A1016="","",G1016-J1016)</f>
        <v>21</v>
      </c>
      <c r="O1016" s="8" t="n">
        <f aca="false">IF(A1016="","",J1016-M1016)</f>
        <v>13</v>
      </c>
      <c r="P1016" s="8" t="n">
        <f aca="false">IF(A1016="","",G1016+J1016)</f>
        <v>141</v>
      </c>
      <c r="Q1016" s="8" t="str">
        <f aca="false">IF(A1016="","",IF(AND(Y1016&lt;&gt;"参考",G1016&gt;=ルール設定!$B$2),"○",""))</f>
        <v>○</v>
      </c>
      <c r="R1016" s="8" t="str">
        <f aca="false">IF(A1016="","",IF(AND(Y1016&lt;&gt;"参考",G1016&gt;=ルール設定!$B$3,N1016&gt;=ルール設定!$B$4),"○",""))</f>
        <v/>
      </c>
      <c r="S1016" s="8" t="str">
        <f aca="false">IF(A1016="","",IF(AND(Y1016&lt;&gt;"参考",G1016&gt;=ルール設定!$B$5,J1016&gt;=ルール設定!$B$6,O1016&gt;=ルール設定!$B$7),"○",""))</f>
        <v/>
      </c>
      <c r="T1016" s="8" t="n">
        <v>1</v>
      </c>
      <c r="U1016" s="8" t="n">
        <v>2</v>
      </c>
      <c r="V1016" s="8" t="str">
        <f aca="false">IF(A1016="","",IF(AND(ISNUMBER(T1016),ISNUMBER(U1016)),IF(AND(T1016&lt;=3,U1016&lt;=3),"○","×"),""))</f>
        <v>○</v>
      </c>
      <c r="W1016" s="8" t="n">
        <v>110</v>
      </c>
      <c r="X1016" s="8" t="n">
        <v>410</v>
      </c>
      <c r="Y1016" s="4" t="s">
        <v>7597</v>
      </c>
      <c r="Z1016" s="8" t="s">
        <v>8111</v>
      </c>
      <c r="AA1016" s="8" t="str">
        <v/>
      </c>
      <c r="AB1016" s="8" t="str">
        <v>○</v>
      </c>
      <c r="AC1016" s="8" t="str">
        <v>○</v>
      </c>
      <c r="AD1016" s="8" t="str">
        <v/>
      </c>
      <c r="AE1016" s="8" t="str">
        <v/>
      </c>
      <c r="AF1016" s="8" t="str">
        <v>○</v>
      </c>
      <c r="AG1016" s="8" t="str">
        <v>○</v>
      </c>
      <c r="AH1016" s="8" t="str">
        <v/>
      </c>
      <c r="AI1016" s="8" t="n">
        <v>34</v>
      </c>
      <c r="AJ1016" s="8" t="str">
        <v>80～84</v>
      </c>
      <c r="AK1016" s="8" t="str">
        <v>20～29</v>
      </c>
      <c r="AL1016" s="8" t="str">
        <v>30～39</v>
      </c>
      <c r="AM1016" s="8" t="str">
        <v>140～159</v>
      </c>
      <c r="AN1016" s="8" t="str">
        <v>8～11</v>
      </c>
      <c r="AO1016" s="8" t="str">
        <f aca="false">IF(A1016="","",IF(COUNTIFS(全馬データ!$A$2:$A$50000,A1016,全馬データ!$B$2:$B$50000,B1016,全馬データ!$C$2:$C$50000,C1016,全馬データ!$D$2:$D$50000,E1016,全馬データ!$K$2:$K$50000,"&lt;&gt;")=0,"",SUMIFS(全馬データ!$K$2:$K$50000,全馬データ!$A$2:$A$50000,A1016,全馬データ!$B$2:$B$50000,B1016,全馬データ!$C$2:$C$50000,C1016,全馬データ!$D$2:$D$50000,E1016)))</f>
        <v/>
      </c>
      <c r="AP1016" s="8" t="str">
        <f aca="false">IF(A1016="","",IF(AO1016="","欠損",IF(AO1016&lt;=1.1,"1.0～1.1",IF(AO1016&lt;1.3,"1.2",IF(AO1016&lt;1.5,"1.3～1.4",IF(AO1016&lt;2,"1.5～1.9","2.0以上"))))))</f>
        <v>欠損</v>
      </c>
      <c r="AQ1016" s="8" t="str">
        <f aca="false">IF(A1016="","",IF(ISNUMBER(SEARCH("2歳",Z1016)),"2歳戦",IF(ISNUMBER(SEARCH("3歳未勝利",Z1016)),"3歳未勝利",IF(ISNUMBER(SEARCH("未勝利",Z1016)),"その他未勝利",IF(ISNUMBER(SEARCH("G1",Z1016)),"G1",IF(ISNUMBER(SEARCH("G2",Z1016)),"G2",IF(ISNUMBER(SEARCH("G3",Z1016)),"G3",IF(ISNUMBER(SEARCH("古馬条件",Z1016)),"古馬条件戦",IF(ISNUMBER(SEARCH("重賞",Z1016)),"重賞","分類不能")))))))))</f>
        <v>分類不能</v>
      </c>
      <c r="AR1016" s="8"/>
      <c r="AS1016" s="8" t="s">
        <v>7623</v>
      </c>
      <c r="AT1016" s="8" t="s">
        <v>7624</v>
      </c>
      <c r="AU1016" s="8" t="s">
        <v>7600</v>
      </c>
      <c r="AV1016" s="4" t="s">
        <v>7601</v>
      </c>
      <c r="AW1016" s="8"/>
      <c r="AX1016" s="8"/>
      <c r="AY1016" s="8" t="s">
        <v>7610</v>
      </c>
      <c r="AZ1016" s="4" t="s">
        <v>7617</v>
      </c>
      <c r="BA1016" s="8" t="n">
        <v>1800</v>
      </c>
      <c r="BB1016" s="8" t="s">
        <v>7618</v>
      </c>
      <c r="BC1016" s="4" t="s">
        <v>7619</v>
      </c>
      <c r="BD1016" s="8" t="s">
        <v>7625</v>
      </c>
      <c r="BE1016" s="4" t="s">
        <v>7606</v>
      </c>
      <c r="BF1016" s="8" t="s">
        <v>7607</v>
      </c>
      <c r="BG1016" s="8" t="s">
        <v>7608</v>
      </c>
      <c r="BH1016" s="4" t="s">
        <v>7609</v>
      </c>
      <c r="BI1016" s="8" t="n">
        <v>10</v>
      </c>
      <c r="BJ1016" s="8" t="s">
        <v>7610</v>
      </c>
      <c r="BK1016" s="4" t="s">
        <v>7611</v>
      </c>
      <c r="BL1016" s="8" t="s">
        <v>7602</v>
      </c>
      <c r="BM1016" s="4" t="s">
        <v>7620</v>
      </c>
      <c r="BN1016" s="8"/>
      <c r="BO1016" s="8"/>
      <c r="BP1016" s="8" t="s">
        <v>7608</v>
      </c>
      <c r="BQ1016" s="8" t="str">
        <f aca="false">IF(A1016="","",AT1016)</f>
        <v>3歳</v>
      </c>
      <c r="BR1016" s="8" t="str">
        <f aca="false">IF(A1016="","",IF(BA1016&lt;=1200,"～1200",IF(BA1016&lt;=1500,"1300～1500",IF(BA1016=1600,"1600",IF(BA1016&lt;=1800,"1700～1800",IF(BA1016&lt;=2000,"1900～2000","2100以上"))))))</f>
        <v>1700～1800</v>
      </c>
      <c r="BS1016" s="8" t="str">
        <f aca="false">IF(A1016="","",IF(AX1016="G1","G1",IF(AX1016="G2","G2",IF(AX1016="G3","G3",IF(AX1016="L","L","その他")))))</f>
        <v>その他</v>
      </c>
      <c r="BT1016" s="8" t="str">
        <f aca="false">IF(A1016="","",IF(BI1016="","未結合",IF(D1016=BI1016,"一致","不一致")))</f>
        <v>一致</v>
      </c>
      <c r="BU1016" s="8" t="str">
        <f aca="false">IF(A1016="","",IF(BE1016="牝馬限定","牝馬限定","その他"))</f>
        <v>その他</v>
      </c>
    </row>
    <row r="1017" customFormat="false" ht="15.75" hidden="false" customHeight="false" outlineLevel="0" collapsed="false">
      <c r="A1017" s="6" t="n">
        <f aca="false">DATE(2026,5,9)</f>
        <v>46151</v>
      </c>
      <c r="B1017" s="4" t="s">
        <v>13</v>
      </c>
      <c r="C1017" s="8" t="n">
        <v>3</v>
      </c>
      <c r="D1017" s="8" t="n">
        <v>15</v>
      </c>
      <c r="E1017" s="8" t="n">
        <v>9</v>
      </c>
      <c r="F1017" s="4" t="s">
        <v>50</v>
      </c>
      <c r="G1017" s="8" t="n">
        <v>50</v>
      </c>
      <c r="H1017" s="8" t="n">
        <v>12</v>
      </c>
      <c r="I1017" s="4" t="s">
        <v>3913</v>
      </c>
      <c r="J1017" s="8" t="n">
        <v>44</v>
      </c>
      <c r="K1017" s="8" t="n">
        <v>10</v>
      </c>
      <c r="L1017" s="4" t="s">
        <v>498</v>
      </c>
      <c r="M1017" s="8" t="n">
        <v>41</v>
      </c>
      <c r="N1017" s="8" t="n">
        <f aca="false">IF(A1017="","",G1017-J1017)</f>
        <v>6</v>
      </c>
      <c r="O1017" s="8" t="n">
        <f aca="false">IF(A1017="","",J1017-M1017)</f>
        <v>3</v>
      </c>
      <c r="P1017" s="8" t="n">
        <f aca="false">IF(A1017="","",G1017+J1017)</f>
        <v>94</v>
      </c>
      <c r="Q1017" s="8" t="str">
        <f aca="false">IF(A1017="","",IF(AND(Y1017&lt;&gt;"参考",G1017&gt;=ルール設定!$B$2),"○",""))</f>
        <v/>
      </c>
      <c r="R1017" s="8" t="str">
        <f aca="false">IF(A1017="","",IF(AND(Y1017&lt;&gt;"参考",G1017&gt;=ルール設定!$B$3,N1017&gt;=ルール設定!$B$4),"○",""))</f>
        <v/>
      </c>
      <c r="S1017" s="8" t="str">
        <f aca="false">IF(A1017="","",IF(AND(Y1017&lt;&gt;"参考",G1017&gt;=ルール設定!$B$5,J1017&gt;=ルール設定!$B$6,O1017&gt;=ルール設定!$B$7),"○",""))</f>
        <v/>
      </c>
      <c r="T1017" s="8" t="n">
        <v>4</v>
      </c>
      <c r="U1017" s="8" t="n">
        <v>4</v>
      </c>
      <c r="V1017" s="8" t="str">
        <f aca="false">IF(A1017="","",IF(AND(ISNUMBER(T1017),ISNUMBER(U1017)),IF(AND(T1017&lt;=3,U1017&lt;=3),"○","×"),""))</f>
        <v>×</v>
      </c>
      <c r="W1017" s="8"/>
      <c r="X1017" s="8"/>
      <c r="Y1017" s="4" t="s">
        <v>7597</v>
      </c>
      <c r="Z1017" s="8" t="s">
        <v>8111</v>
      </c>
      <c r="AA1017" s="8" t="str">
        <v/>
      </c>
      <c r="AB1017" s="8" t="str">
        <v/>
      </c>
      <c r="AC1017" s="8" t="str">
        <v/>
      </c>
      <c r="AD1017" s="8" t="str">
        <v/>
      </c>
      <c r="AE1017" s="8" t="str">
        <v/>
      </c>
      <c r="AF1017" s="8" t="str">
        <v/>
      </c>
      <c r="AG1017" s="8" t="str">
        <v/>
      </c>
      <c r="AH1017" s="8" t="str">
        <v/>
      </c>
      <c r="AI1017" s="8" t="n">
        <v>9</v>
      </c>
      <c r="AJ1017" s="8" t="str">
        <v>～59</v>
      </c>
      <c r="AK1017" s="8" t="str">
        <v>5～9</v>
      </c>
      <c r="AL1017" s="8" t="str">
        <v>0～9</v>
      </c>
      <c r="AM1017" s="8" t="str">
        <v>～99</v>
      </c>
      <c r="AN1017" s="8" t="str">
        <v>15以上</v>
      </c>
      <c r="AO1017" s="8" t="str">
        <f aca="false">IF(A1017="","",IF(COUNTIFS(全馬データ!$A$2:$A$50000,A1017,全馬データ!$B$2:$B$50000,B1017,全馬データ!$C$2:$C$50000,C1017,全馬データ!$D$2:$D$50000,E1017,全馬データ!$K$2:$K$50000,"&lt;&gt;")=0,"",SUMIFS(全馬データ!$K$2:$K$50000,全馬データ!$A$2:$A$50000,A1017,全馬データ!$B$2:$B$50000,B1017,全馬データ!$C$2:$C$50000,C1017,全馬データ!$D$2:$D$50000,E1017)))</f>
        <v/>
      </c>
      <c r="AP1017" s="8" t="str">
        <f aca="false">IF(A1017="","",IF(AO1017="","欠損",IF(AO1017&lt;=1.1,"1.0～1.1",IF(AO1017&lt;1.3,"1.2",IF(AO1017&lt;1.5,"1.3～1.4",IF(AO1017&lt;2,"1.5～1.9","2.0以上"))))))</f>
        <v>欠損</v>
      </c>
      <c r="AQ1017" s="8" t="str">
        <f aca="false">IF(A1017="","",IF(ISNUMBER(SEARCH("2歳",Z1017)),"2歳戦",IF(ISNUMBER(SEARCH("3歳未勝利",Z1017)),"3歳未勝利",IF(ISNUMBER(SEARCH("未勝利",Z1017)),"その他未勝利",IF(ISNUMBER(SEARCH("G1",Z1017)),"G1",IF(ISNUMBER(SEARCH("G2",Z1017)),"G2",IF(ISNUMBER(SEARCH("G3",Z1017)),"G3",IF(ISNUMBER(SEARCH("古馬条件",Z1017)),"古馬条件戦",IF(ISNUMBER(SEARCH("重賞",Z1017)),"重賞","分類不能")))))))))</f>
        <v>分類不能</v>
      </c>
      <c r="AR1017" s="8"/>
      <c r="AS1017" s="8" t="s">
        <v>7623</v>
      </c>
      <c r="AT1017" s="8" t="s">
        <v>7624</v>
      </c>
      <c r="AU1017" s="8" t="s">
        <v>7600</v>
      </c>
      <c r="AV1017" s="4" t="s">
        <v>7601</v>
      </c>
      <c r="AW1017" s="8"/>
      <c r="AX1017" s="8"/>
      <c r="AY1017" s="8" t="s">
        <v>7610</v>
      </c>
      <c r="AZ1017" s="4" t="s">
        <v>7617</v>
      </c>
      <c r="BA1017" s="8" t="n">
        <v>1200</v>
      </c>
      <c r="BB1017" s="8" t="s">
        <v>7618</v>
      </c>
      <c r="BC1017" s="4" t="s">
        <v>7619</v>
      </c>
      <c r="BD1017" s="8" t="s">
        <v>7621</v>
      </c>
      <c r="BE1017" s="4" t="s">
        <v>7622</v>
      </c>
      <c r="BF1017" s="8" t="s">
        <v>7602</v>
      </c>
      <c r="BG1017" s="8" t="s">
        <v>7608</v>
      </c>
      <c r="BH1017" s="4" t="s">
        <v>7609</v>
      </c>
      <c r="BI1017" s="8" t="n">
        <v>15</v>
      </c>
      <c r="BJ1017" s="8" t="s">
        <v>7610</v>
      </c>
      <c r="BK1017" s="4" t="s">
        <v>7611</v>
      </c>
      <c r="BL1017" s="8" t="s">
        <v>7602</v>
      </c>
      <c r="BM1017" s="4" t="s">
        <v>7620</v>
      </c>
      <c r="BN1017" s="8"/>
      <c r="BO1017" s="8"/>
      <c r="BP1017" s="8" t="s">
        <v>7608</v>
      </c>
      <c r="BQ1017" s="8" t="str">
        <f aca="false">IF(A1017="","",AT1017)</f>
        <v>3歳</v>
      </c>
      <c r="BR1017" s="8" t="str">
        <f aca="false">IF(A1017="","",IF(BA1017&lt;=1200,"～1200",IF(BA1017&lt;=1500,"1300～1500",IF(BA1017=1600,"1600",IF(BA1017&lt;=1800,"1700～1800",IF(BA1017&lt;=2000,"1900～2000","2100以上"))))))</f>
        <v>～1200</v>
      </c>
      <c r="BS1017" s="8" t="str">
        <f aca="false">IF(A1017="","",IF(AX1017="G1","G1",IF(AX1017="G2","G2",IF(AX1017="G3","G3",IF(AX1017="L","L","その他")))))</f>
        <v>その他</v>
      </c>
      <c r="BT1017" s="8" t="str">
        <f aca="false">IF(A1017="","",IF(BI1017="","未結合",IF(D1017=BI1017,"一致","不一致")))</f>
        <v>一致</v>
      </c>
      <c r="BU1017" s="8" t="str">
        <f aca="false">IF(A1017="","",IF(BE1017="牝馬限定","牝馬限定","その他"))</f>
        <v>牝馬限定</v>
      </c>
    </row>
    <row r="1018" customFormat="false" ht="15.75" hidden="false" customHeight="false" outlineLevel="0" collapsed="false">
      <c r="A1018" s="6" t="n">
        <f aca="false">DATE(2026,5,9)</f>
        <v>46151</v>
      </c>
      <c r="B1018" s="4" t="s">
        <v>13</v>
      </c>
      <c r="C1018" s="8" t="n">
        <v>4</v>
      </c>
      <c r="D1018" s="8" t="n">
        <v>11</v>
      </c>
      <c r="E1018" s="8" t="n">
        <v>7</v>
      </c>
      <c r="F1018" s="4" t="s">
        <v>4909</v>
      </c>
      <c r="G1018" s="8" t="n">
        <v>55</v>
      </c>
      <c r="H1018" s="8" t="n">
        <v>2</v>
      </c>
      <c r="I1018" s="4" t="s">
        <v>6988</v>
      </c>
      <c r="J1018" s="8" t="n">
        <v>44</v>
      </c>
      <c r="K1018" s="8" t="n">
        <v>3</v>
      </c>
      <c r="L1018" s="4" t="s">
        <v>6989</v>
      </c>
      <c r="M1018" s="8" t="n">
        <v>44</v>
      </c>
      <c r="N1018" s="8" t="n">
        <f aca="false">IF(A1018="","",G1018-J1018)</f>
        <v>11</v>
      </c>
      <c r="O1018" s="8" t="n">
        <f aca="false">IF(A1018="","",J1018-M1018)</f>
        <v>0</v>
      </c>
      <c r="P1018" s="8" t="n">
        <f aca="false">IF(A1018="","",G1018+J1018)</f>
        <v>99</v>
      </c>
      <c r="Q1018" s="8" t="str">
        <f aca="false">IF(A1018="","",IF(AND(Y1018&lt;&gt;"参考",G1018&gt;=ルール設定!$B$2),"○",""))</f>
        <v/>
      </c>
      <c r="R1018" s="8" t="str">
        <f aca="false">IF(A1018="","",IF(AND(Y1018&lt;&gt;"参考",G1018&gt;=ルール設定!$B$3,N1018&gt;=ルール設定!$B$4),"○",""))</f>
        <v/>
      </c>
      <c r="S1018" s="8" t="str">
        <f aca="false">IF(A1018="","",IF(AND(Y1018&lt;&gt;"参考",G1018&gt;=ルール設定!$B$5,J1018&gt;=ルール設定!$B$6,O1018&gt;=ルール設定!$B$7),"○",""))</f>
        <v/>
      </c>
      <c r="T1018" s="8" t="n">
        <v>2</v>
      </c>
      <c r="U1018" s="8" t="n">
        <v>3</v>
      </c>
      <c r="V1018" s="8" t="str">
        <f aca="false">IF(A1018="","",IF(AND(ISNUMBER(T1018),ISNUMBER(U1018)),IF(AND(T1018&lt;=3,U1018&lt;=3),"○","×"),""))</f>
        <v>○</v>
      </c>
      <c r="W1018" s="8" t="n">
        <v>120</v>
      </c>
      <c r="X1018" s="8" t="n">
        <v>280</v>
      </c>
      <c r="Y1018" s="4" t="s">
        <v>7597</v>
      </c>
      <c r="Z1018" s="8" t="s">
        <v>8111</v>
      </c>
      <c r="AA1018" s="8" t="str">
        <v/>
      </c>
      <c r="AB1018" s="8" t="str">
        <v/>
      </c>
      <c r="AC1018" s="8" t="str">
        <v/>
      </c>
      <c r="AD1018" s="8" t="str">
        <v/>
      </c>
      <c r="AE1018" s="8" t="str">
        <v/>
      </c>
      <c r="AF1018" s="8" t="str">
        <v/>
      </c>
      <c r="AG1018" s="8" t="str">
        <v/>
      </c>
      <c r="AH1018" s="8" t="str">
        <v/>
      </c>
      <c r="AI1018" s="8" t="n">
        <v>11</v>
      </c>
      <c r="AJ1018" s="8" t="str">
        <v>～59</v>
      </c>
      <c r="AK1018" s="8" t="str">
        <v>10～19</v>
      </c>
      <c r="AL1018" s="8" t="str">
        <v>10～19</v>
      </c>
      <c r="AM1018" s="8" t="str">
        <v>～99</v>
      </c>
      <c r="AN1018" s="8" t="str">
        <v>8～11</v>
      </c>
      <c r="AO1018" s="8" t="str">
        <f aca="false">IF(A1018="","",IF(COUNTIFS(全馬データ!$A$2:$A$50000,A1018,全馬データ!$B$2:$B$50000,B1018,全馬データ!$C$2:$C$50000,C1018,全馬データ!$D$2:$D$50000,E1018,全馬データ!$K$2:$K$50000,"&lt;&gt;")=0,"",SUMIFS(全馬データ!$K$2:$K$50000,全馬データ!$A$2:$A$50000,A1018,全馬データ!$B$2:$B$50000,B1018,全馬データ!$C$2:$C$50000,C1018,全馬データ!$D$2:$D$50000,E1018)))</f>
        <v/>
      </c>
      <c r="AP1018" s="8" t="str">
        <f aca="false">IF(A1018="","",IF(AO1018="","欠損",IF(AO1018&lt;=1.1,"1.0～1.1",IF(AO1018&lt;1.3,"1.2",IF(AO1018&lt;1.5,"1.3～1.4",IF(AO1018&lt;2,"1.5～1.9","2.0以上"))))))</f>
        <v>欠損</v>
      </c>
      <c r="AQ1018" s="8" t="str">
        <f aca="false">IF(A1018="","",IF(ISNUMBER(SEARCH("2歳",Z1018)),"2歳戦",IF(ISNUMBER(SEARCH("3歳未勝利",Z1018)),"3歳未勝利",IF(ISNUMBER(SEARCH("未勝利",Z1018)),"その他未勝利",IF(ISNUMBER(SEARCH("G1",Z1018)),"G1",IF(ISNUMBER(SEARCH("G2",Z1018)),"G2",IF(ISNUMBER(SEARCH("G3",Z1018)),"G3",IF(ISNUMBER(SEARCH("古馬条件",Z1018)),"古馬条件戦",IF(ISNUMBER(SEARCH("重賞",Z1018)),"重賞","分類不能")))))))))</f>
        <v>分類不能</v>
      </c>
      <c r="AR1018" s="8"/>
      <c r="AS1018" s="8" t="s">
        <v>7618</v>
      </c>
      <c r="AT1018" s="4" t="s">
        <v>7642</v>
      </c>
      <c r="AU1018" s="8" t="s">
        <v>7643</v>
      </c>
      <c r="AV1018" s="4" t="s">
        <v>7644</v>
      </c>
      <c r="AW1018" s="8"/>
      <c r="AX1018" s="8"/>
      <c r="AY1018" s="8" t="s">
        <v>7608</v>
      </c>
      <c r="AZ1018" s="4" t="s">
        <v>7642</v>
      </c>
      <c r="BA1018" s="8" t="n">
        <v>2890</v>
      </c>
      <c r="BB1018" s="8" t="s">
        <v>7618</v>
      </c>
      <c r="BC1018" s="4" t="s">
        <v>7619</v>
      </c>
      <c r="BD1018" s="8" t="s">
        <v>7645</v>
      </c>
      <c r="BE1018" s="4" t="s">
        <v>7606</v>
      </c>
      <c r="BF1018" s="8" t="s">
        <v>7607</v>
      </c>
      <c r="BG1018" s="8" t="s">
        <v>7610</v>
      </c>
      <c r="BH1018" s="4" t="s">
        <v>7646</v>
      </c>
      <c r="BI1018" s="8" t="n">
        <v>11</v>
      </c>
      <c r="BJ1018" s="8" t="s">
        <v>7647</v>
      </c>
      <c r="BK1018" s="4" t="s">
        <v>7648</v>
      </c>
      <c r="BL1018" s="8" t="s">
        <v>7647</v>
      </c>
      <c r="BM1018" s="4" t="s">
        <v>7648</v>
      </c>
      <c r="BN1018" s="8"/>
      <c r="BO1018" s="8"/>
      <c r="BP1018" s="8" t="s">
        <v>7608</v>
      </c>
      <c r="BQ1018" s="8" t="str">
        <f aca="false">IF(A1018="","",AT1018)</f>
        <v>障害</v>
      </c>
      <c r="BR1018" s="8" t="str">
        <f aca="false">IF(A1018="","",IF(BA1018&lt;=1200,"～1200",IF(BA1018&lt;=1500,"1300～1500",IF(BA1018=1600,"1600",IF(BA1018&lt;=1800,"1700～1800",IF(BA1018&lt;=2000,"1900～2000","2100以上"))))))</f>
        <v>2100以上</v>
      </c>
      <c r="BS1018" s="8" t="str">
        <f aca="false">IF(A1018="","",IF(AX1018="G1","G1",IF(AX1018="G2","G2",IF(AX1018="G3","G3",IF(AX1018="L","L","その他")))))</f>
        <v>その他</v>
      </c>
      <c r="BT1018" s="8" t="str">
        <f aca="false">IF(A1018="","",IF(BI1018="","未結合",IF(D1018=BI1018,"一致","不一致")))</f>
        <v>一致</v>
      </c>
      <c r="BU1018" s="8" t="str">
        <f aca="false">IF(A1018="","",IF(BE1018="牝馬限定","牝馬限定","その他"))</f>
        <v>その他</v>
      </c>
    </row>
    <row r="1019" customFormat="false" ht="15.75" hidden="false" customHeight="false" outlineLevel="0" collapsed="false">
      <c r="A1019" s="6" t="n">
        <f aca="false">DATE(2026,5,9)</f>
        <v>46151</v>
      </c>
      <c r="B1019" s="4" t="s">
        <v>13</v>
      </c>
      <c r="C1019" s="8" t="n">
        <v>5</v>
      </c>
      <c r="D1019" s="8" t="n">
        <v>16</v>
      </c>
      <c r="E1019" s="8" t="n">
        <v>16</v>
      </c>
      <c r="F1019" s="4" t="s">
        <v>5730</v>
      </c>
      <c r="G1019" s="8" t="n">
        <v>56</v>
      </c>
      <c r="H1019" s="8" t="n">
        <v>8</v>
      </c>
      <c r="I1019" s="4" t="s">
        <v>3001</v>
      </c>
      <c r="J1019" s="8" t="n">
        <v>37</v>
      </c>
      <c r="K1019" s="8" t="n">
        <v>12</v>
      </c>
      <c r="L1019" s="4" t="s">
        <v>3425</v>
      </c>
      <c r="M1019" s="8" t="n">
        <v>37</v>
      </c>
      <c r="N1019" s="8" t="n">
        <f aca="false">IF(A1019="","",G1019-J1019)</f>
        <v>19</v>
      </c>
      <c r="O1019" s="8" t="n">
        <f aca="false">IF(A1019="","",J1019-M1019)</f>
        <v>0</v>
      </c>
      <c r="P1019" s="8" t="n">
        <f aca="false">IF(A1019="","",G1019+J1019)</f>
        <v>93</v>
      </c>
      <c r="Q1019" s="8" t="str">
        <f aca="false">IF(A1019="","",IF(AND(Y1019&lt;&gt;"参考",G1019&gt;=ルール設定!$B$2),"○",""))</f>
        <v/>
      </c>
      <c r="R1019" s="8" t="str">
        <f aca="false">IF(A1019="","",IF(AND(Y1019&lt;&gt;"参考",G1019&gt;=ルール設定!$B$3,N1019&gt;=ルール設定!$B$4),"○",""))</f>
        <v/>
      </c>
      <c r="S1019" s="8" t="str">
        <f aca="false">IF(A1019="","",IF(AND(Y1019&lt;&gt;"参考",G1019&gt;=ルール設定!$B$5,J1019&gt;=ルール設定!$B$6,O1019&gt;=ルール設定!$B$7),"○",""))</f>
        <v/>
      </c>
      <c r="T1019" s="8" t="n">
        <v>3</v>
      </c>
      <c r="U1019" s="8" t="n">
        <v>4</v>
      </c>
      <c r="V1019" s="8" t="str">
        <f aca="false">IF(A1019="","",IF(AND(ISNUMBER(T1019),ISNUMBER(U1019)),IF(AND(T1019&lt;=3,U1019&lt;=3),"○","×"),""))</f>
        <v>×</v>
      </c>
      <c r="W1019" s="8" t="n">
        <v>160</v>
      </c>
      <c r="X1019" s="8"/>
      <c r="Y1019" s="4" t="s">
        <v>7597</v>
      </c>
      <c r="Z1019" s="8" t="s">
        <v>8111</v>
      </c>
      <c r="AA1019" s="8" t="str">
        <v/>
      </c>
      <c r="AB1019" s="8" t="str">
        <v/>
      </c>
      <c r="AC1019" s="8" t="str">
        <v/>
      </c>
      <c r="AD1019" s="8" t="str">
        <v/>
      </c>
      <c r="AE1019" s="8" t="str">
        <v/>
      </c>
      <c r="AF1019" s="8" t="str">
        <v/>
      </c>
      <c r="AG1019" s="8" t="str">
        <v/>
      </c>
      <c r="AH1019" s="8" t="str">
        <v/>
      </c>
      <c r="AI1019" s="8" t="n">
        <v>19</v>
      </c>
      <c r="AJ1019" s="8" t="str">
        <v>～59</v>
      </c>
      <c r="AK1019" s="8" t="str">
        <v>10～19</v>
      </c>
      <c r="AL1019" s="8" t="str">
        <v>10～19</v>
      </c>
      <c r="AM1019" s="8" t="str">
        <v>～99</v>
      </c>
      <c r="AN1019" s="8" t="str">
        <v>15以上</v>
      </c>
      <c r="AO1019" s="8" t="str">
        <f aca="false">IF(A1019="","",IF(COUNTIFS(全馬データ!$A$2:$A$50000,A1019,全馬データ!$B$2:$B$50000,B1019,全馬データ!$C$2:$C$50000,C1019,全馬データ!$D$2:$D$50000,E1019,全馬データ!$K$2:$K$50000,"&lt;&gt;")=0,"",SUMIFS(全馬データ!$K$2:$K$50000,全馬データ!$A$2:$A$50000,A1019,全馬データ!$B$2:$B$50000,B1019,全馬データ!$C$2:$C$50000,C1019,全馬データ!$D$2:$D$50000,E1019)))</f>
        <v/>
      </c>
      <c r="AP1019" s="8" t="str">
        <f aca="false">IF(A1019="","",IF(AO1019="","欠損",IF(AO1019&lt;=1.1,"1.0～1.1",IF(AO1019&lt;1.3,"1.2",IF(AO1019&lt;1.5,"1.3～1.4",IF(AO1019&lt;2,"1.5～1.9","2.0以上"))))))</f>
        <v>欠損</v>
      </c>
      <c r="AQ1019" s="8" t="str">
        <f aca="false">IF(A1019="","",IF(ISNUMBER(SEARCH("2歳",Z1019)),"2歳戦",IF(ISNUMBER(SEARCH("3歳未勝利",Z1019)),"3歳未勝利",IF(ISNUMBER(SEARCH("未勝利",Z1019)),"その他未勝利",IF(ISNUMBER(SEARCH("G1",Z1019)),"G1",IF(ISNUMBER(SEARCH("G2",Z1019)),"G2",IF(ISNUMBER(SEARCH("G3",Z1019)),"G3",IF(ISNUMBER(SEARCH("古馬条件",Z1019)),"古馬条件戦",IF(ISNUMBER(SEARCH("重賞",Z1019)),"重賞","分類不能")))))))))</f>
        <v>分類不能</v>
      </c>
      <c r="AR1019" s="8"/>
      <c r="AS1019" s="8" t="s">
        <v>7623</v>
      </c>
      <c r="AT1019" s="8" t="s">
        <v>7624</v>
      </c>
      <c r="AU1019" s="8" t="s">
        <v>7600</v>
      </c>
      <c r="AV1019" s="4" t="s">
        <v>7601</v>
      </c>
      <c r="AW1019" s="8"/>
      <c r="AX1019" s="8"/>
      <c r="AY1019" s="8" t="s">
        <v>7602</v>
      </c>
      <c r="AZ1019" s="4" t="s">
        <v>7603</v>
      </c>
      <c r="BA1019" s="8" t="n">
        <v>1200</v>
      </c>
      <c r="BB1019" s="8" t="s">
        <v>7634</v>
      </c>
      <c r="BC1019" s="4" t="s">
        <v>7604</v>
      </c>
      <c r="BD1019" s="8" t="s">
        <v>7852</v>
      </c>
      <c r="BE1019" s="4" t="s">
        <v>7606</v>
      </c>
      <c r="BF1019" s="8" t="s">
        <v>7607</v>
      </c>
      <c r="BG1019" s="8" t="s">
        <v>7608</v>
      </c>
      <c r="BH1019" s="4" t="s">
        <v>7609</v>
      </c>
      <c r="BI1019" s="8" t="n">
        <v>16</v>
      </c>
      <c r="BJ1019" s="8" t="s">
        <v>7610</v>
      </c>
      <c r="BK1019" s="4" t="s">
        <v>7611</v>
      </c>
      <c r="BL1019" s="8" t="s">
        <v>7602</v>
      </c>
      <c r="BM1019" s="4" t="s">
        <v>7620</v>
      </c>
      <c r="BN1019" s="8" t="s">
        <v>7631</v>
      </c>
      <c r="BO1019" s="8" t="s">
        <v>7680</v>
      </c>
      <c r="BP1019" s="8" t="s">
        <v>7608</v>
      </c>
      <c r="BQ1019" s="8" t="str">
        <f aca="false">IF(A1019="","",AT1019)</f>
        <v>3歳</v>
      </c>
      <c r="BR1019" s="8" t="str">
        <f aca="false">IF(A1019="","",IF(BA1019&lt;=1200,"～1200",IF(BA1019&lt;=1500,"1300～1500",IF(BA1019=1600,"1600",IF(BA1019&lt;=1800,"1700～1800",IF(BA1019&lt;=2000,"1900～2000","2100以上"))))))</f>
        <v>～1200</v>
      </c>
      <c r="BS1019" s="8" t="str">
        <f aca="false">IF(A1019="","",IF(AX1019="G1","G1",IF(AX1019="G2","G2",IF(AX1019="G3","G3",IF(AX1019="L","L","その他")))))</f>
        <v>その他</v>
      </c>
      <c r="BT1019" s="8" t="str">
        <f aca="false">IF(A1019="","",IF(BI1019="","未結合",IF(D1019=BI1019,"一致","不一致")))</f>
        <v>一致</v>
      </c>
      <c r="BU1019" s="8" t="str">
        <f aca="false">IF(A1019="","",IF(BE1019="牝馬限定","牝馬限定","その他"))</f>
        <v>その他</v>
      </c>
    </row>
    <row r="1020" customFormat="false" ht="15.75" hidden="false" customHeight="false" outlineLevel="0" collapsed="false">
      <c r="A1020" s="6" t="n">
        <f aca="false">DATE(2026,5,9)</f>
        <v>46151</v>
      </c>
      <c r="B1020" s="4" t="s">
        <v>13</v>
      </c>
      <c r="C1020" s="8" t="n">
        <v>6</v>
      </c>
      <c r="D1020" s="8" t="n">
        <v>16</v>
      </c>
      <c r="E1020" s="8" t="n">
        <v>9</v>
      </c>
      <c r="F1020" s="4" t="s">
        <v>4321</v>
      </c>
      <c r="G1020" s="8" t="n">
        <v>65</v>
      </c>
      <c r="H1020" s="8" t="n">
        <v>13</v>
      </c>
      <c r="I1020" s="4" t="s">
        <v>1607</v>
      </c>
      <c r="J1020" s="8" t="n">
        <v>60</v>
      </c>
      <c r="K1020" s="8" t="n">
        <v>14</v>
      </c>
      <c r="L1020" s="4" t="s">
        <v>1760</v>
      </c>
      <c r="M1020" s="8" t="n">
        <v>37</v>
      </c>
      <c r="N1020" s="8" t="n">
        <f aca="false">IF(A1020="","",G1020-J1020)</f>
        <v>5</v>
      </c>
      <c r="O1020" s="8" t="n">
        <f aca="false">IF(A1020="","",J1020-M1020)</f>
        <v>23</v>
      </c>
      <c r="P1020" s="8" t="n">
        <f aca="false">IF(A1020="","",G1020+J1020)</f>
        <v>125</v>
      </c>
      <c r="Q1020" s="8" t="str">
        <f aca="false">IF(A1020="","",IF(AND(Y1020&lt;&gt;"参考",G1020&gt;=ルール設定!$B$2),"○",""))</f>
        <v/>
      </c>
      <c r="R1020" s="8" t="str">
        <f aca="false">IF(A1020="","",IF(AND(Y1020&lt;&gt;"参考",G1020&gt;=ルール設定!$B$3,N1020&gt;=ルール設定!$B$4),"○",""))</f>
        <v/>
      </c>
      <c r="S1020" s="8" t="str">
        <f aca="false">IF(A1020="","",IF(AND(Y1020&lt;&gt;"参考",G1020&gt;=ルール設定!$B$5,J1020&gt;=ルール設定!$B$6,O1020&gt;=ルール設定!$B$7),"○",""))</f>
        <v>○</v>
      </c>
      <c r="T1020" s="8" t="n">
        <v>2</v>
      </c>
      <c r="U1020" s="8" t="n">
        <v>4</v>
      </c>
      <c r="V1020" s="8" t="str">
        <f aca="false">IF(A1020="","",IF(AND(ISNUMBER(T1020),ISNUMBER(U1020)),IF(AND(T1020&lt;=3,U1020&lt;=3),"○","×"),""))</f>
        <v>×</v>
      </c>
      <c r="W1020" s="8" t="n">
        <v>160</v>
      </c>
      <c r="X1020" s="8"/>
      <c r="Y1020" s="4" t="s">
        <v>7597</v>
      </c>
      <c r="Z1020" s="8" t="s">
        <v>8111</v>
      </c>
      <c r="AA1020" s="8" t="str">
        <v/>
      </c>
      <c r="AB1020" s="8" t="str">
        <v/>
      </c>
      <c r="AC1020" s="8" t="str">
        <v/>
      </c>
      <c r="AD1020" s="8" t="str">
        <v/>
      </c>
      <c r="AE1020" s="8" t="str">
        <v/>
      </c>
      <c r="AF1020" s="8" t="str">
        <v/>
      </c>
      <c r="AG1020" s="8" t="str">
        <v/>
      </c>
      <c r="AH1020" s="8" t="str">
        <v/>
      </c>
      <c r="AI1020" s="8" t="n">
        <v>28</v>
      </c>
      <c r="AJ1020" s="8" t="str">
        <v>60～69</v>
      </c>
      <c r="AK1020" s="8" t="str">
        <v>5～9</v>
      </c>
      <c r="AL1020" s="8" t="str">
        <v>20～29</v>
      </c>
      <c r="AM1020" s="8" t="str">
        <v>120～139</v>
      </c>
      <c r="AN1020" s="8" t="str">
        <v>15以上</v>
      </c>
      <c r="AO1020" s="8" t="str">
        <f aca="false">IF(A1020="","",IF(COUNTIFS(全馬データ!$A$2:$A$50000,A1020,全馬データ!$B$2:$B$50000,B1020,全馬データ!$C$2:$C$50000,C1020,全馬データ!$D$2:$D$50000,E1020,全馬データ!$K$2:$K$50000,"&lt;&gt;")=0,"",SUMIFS(全馬データ!$K$2:$K$50000,全馬データ!$A$2:$A$50000,A1020,全馬データ!$B$2:$B$50000,B1020,全馬データ!$C$2:$C$50000,C1020,全馬データ!$D$2:$D$50000,E1020)))</f>
        <v/>
      </c>
      <c r="AP1020" s="8" t="str">
        <f aca="false">IF(A1020="","",IF(AO1020="","欠損",IF(AO1020&lt;=1.1,"1.0～1.1",IF(AO1020&lt;1.3,"1.2",IF(AO1020&lt;1.5,"1.3～1.4",IF(AO1020&lt;2,"1.5～1.9","2.0以上"))))))</f>
        <v>欠損</v>
      </c>
      <c r="AQ1020" s="8" t="str">
        <f aca="false">IF(A1020="","",IF(ISNUMBER(SEARCH("2歳",Z1020)),"2歳戦",IF(ISNUMBER(SEARCH("3歳未勝利",Z1020)),"3歳未勝利",IF(ISNUMBER(SEARCH("未勝利",Z1020)),"その他未勝利",IF(ISNUMBER(SEARCH("G1",Z1020)),"G1",IF(ISNUMBER(SEARCH("G2",Z1020)),"G2",IF(ISNUMBER(SEARCH("G3",Z1020)),"G3",IF(ISNUMBER(SEARCH("古馬条件",Z1020)),"古馬条件戦",IF(ISNUMBER(SEARCH("重賞",Z1020)),"重賞","分類不能")))))))))</f>
        <v>分類不能</v>
      </c>
      <c r="AR1020" s="8"/>
      <c r="AS1020" s="8" t="s">
        <v>7623</v>
      </c>
      <c r="AT1020" s="8" t="s">
        <v>7624</v>
      </c>
      <c r="AU1020" s="8" t="s">
        <v>7600</v>
      </c>
      <c r="AV1020" s="4" t="s">
        <v>7601</v>
      </c>
      <c r="AW1020" s="8"/>
      <c r="AX1020" s="8"/>
      <c r="AY1020" s="8" t="s">
        <v>7602</v>
      </c>
      <c r="AZ1020" s="4" t="s">
        <v>7603</v>
      </c>
      <c r="BA1020" s="8" t="n">
        <v>2000</v>
      </c>
      <c r="BB1020" s="8" t="s">
        <v>7634</v>
      </c>
      <c r="BC1020" s="4" t="s">
        <v>7604</v>
      </c>
      <c r="BD1020" s="8" t="s">
        <v>7605</v>
      </c>
      <c r="BE1020" s="4" t="s">
        <v>7606</v>
      </c>
      <c r="BF1020" s="8" t="s">
        <v>7607</v>
      </c>
      <c r="BG1020" s="8" t="s">
        <v>7608</v>
      </c>
      <c r="BH1020" s="4" t="s">
        <v>7609</v>
      </c>
      <c r="BI1020" s="8" t="n">
        <v>16</v>
      </c>
      <c r="BJ1020" s="8" t="s">
        <v>7610</v>
      </c>
      <c r="BK1020" s="4" t="s">
        <v>7611</v>
      </c>
      <c r="BL1020" s="8" t="s">
        <v>7602</v>
      </c>
      <c r="BM1020" s="4" t="s">
        <v>7620</v>
      </c>
      <c r="BN1020" s="8" t="s">
        <v>7631</v>
      </c>
      <c r="BO1020" s="8" t="s">
        <v>7680</v>
      </c>
      <c r="BP1020" s="8" t="s">
        <v>7608</v>
      </c>
      <c r="BQ1020" s="8" t="str">
        <f aca="false">IF(A1020="","",AT1020)</f>
        <v>3歳</v>
      </c>
      <c r="BR1020" s="8" t="str">
        <f aca="false">IF(A1020="","",IF(BA1020&lt;=1200,"～1200",IF(BA1020&lt;=1500,"1300～1500",IF(BA1020=1600,"1600",IF(BA1020&lt;=1800,"1700～1800",IF(BA1020&lt;=2000,"1900～2000","2100以上"))))))</f>
        <v>1900～2000</v>
      </c>
      <c r="BS1020" s="8" t="str">
        <f aca="false">IF(A1020="","",IF(AX1020="G1","G1",IF(AX1020="G2","G2",IF(AX1020="G3","G3",IF(AX1020="L","L","その他")))))</f>
        <v>その他</v>
      </c>
      <c r="BT1020" s="8" t="str">
        <f aca="false">IF(A1020="","",IF(BI1020="","未結合",IF(D1020=BI1020,"一致","不一致")))</f>
        <v>一致</v>
      </c>
      <c r="BU1020" s="8" t="str">
        <f aca="false">IF(A1020="","",IF(BE1020="牝馬限定","牝馬限定","その他"))</f>
        <v>その他</v>
      </c>
    </row>
    <row r="1021" customFormat="false" ht="15.75" hidden="false" customHeight="false" outlineLevel="0" collapsed="false">
      <c r="A1021" s="6" t="n">
        <f aca="false">DATE(2026,5,9)</f>
        <v>46151</v>
      </c>
      <c r="B1021" s="4" t="s">
        <v>13</v>
      </c>
      <c r="C1021" s="8" t="n">
        <v>7</v>
      </c>
      <c r="D1021" s="8" t="n">
        <v>15</v>
      </c>
      <c r="E1021" s="8" t="n">
        <v>12</v>
      </c>
      <c r="F1021" s="4" t="s">
        <v>2416</v>
      </c>
      <c r="G1021" s="8" t="n">
        <v>58</v>
      </c>
      <c r="H1021" s="8" t="n">
        <v>7</v>
      </c>
      <c r="I1021" s="4" t="s">
        <v>5763</v>
      </c>
      <c r="J1021" s="8" t="n">
        <v>34</v>
      </c>
      <c r="K1021" s="8" t="n">
        <v>14</v>
      </c>
      <c r="L1021" s="4" t="s">
        <v>6497</v>
      </c>
      <c r="M1021" s="8" t="n">
        <v>34</v>
      </c>
      <c r="N1021" s="8" t="n">
        <f aca="false">IF(A1021="","",G1021-J1021)</f>
        <v>24</v>
      </c>
      <c r="O1021" s="8" t="n">
        <f aca="false">IF(A1021="","",J1021-M1021)</f>
        <v>0</v>
      </c>
      <c r="P1021" s="8" t="n">
        <f aca="false">IF(A1021="","",G1021+J1021)</f>
        <v>92</v>
      </c>
      <c r="Q1021" s="8" t="str">
        <f aca="false">IF(A1021="","",IF(AND(Y1021&lt;&gt;"参考",G1021&gt;=ルール設定!$B$2),"○",""))</f>
        <v/>
      </c>
      <c r="R1021" s="8" t="str">
        <f aca="false">IF(A1021="","",IF(AND(Y1021&lt;&gt;"参考",G1021&gt;=ルール設定!$B$3,N1021&gt;=ルール設定!$B$4),"○",""))</f>
        <v/>
      </c>
      <c r="S1021" s="8" t="str">
        <f aca="false">IF(A1021="","",IF(AND(Y1021&lt;&gt;"参考",G1021&gt;=ルール設定!$B$5,J1021&gt;=ルール設定!$B$6,O1021&gt;=ルール設定!$B$7),"○",""))</f>
        <v/>
      </c>
      <c r="T1021" s="8" t="n">
        <v>1</v>
      </c>
      <c r="U1021" s="8" t="n">
        <v>3</v>
      </c>
      <c r="V1021" s="8" t="str">
        <f aca="false">IF(A1021="","",IF(AND(ISNUMBER(T1021),ISNUMBER(U1021)),IF(AND(T1021&lt;=3,U1021&lt;=3),"○","×"),""))</f>
        <v>○</v>
      </c>
      <c r="W1021" s="8" t="n">
        <v>120</v>
      </c>
      <c r="X1021" s="8" t="n">
        <v>510</v>
      </c>
      <c r="Y1021" s="4" t="s">
        <v>7597</v>
      </c>
      <c r="Z1021" s="8" t="s">
        <v>8111</v>
      </c>
      <c r="AA1021" s="8" t="str">
        <v/>
      </c>
      <c r="AB1021" s="8" t="str">
        <v/>
      </c>
      <c r="AC1021" s="8" t="str">
        <v/>
      </c>
      <c r="AD1021" s="8" t="str">
        <v/>
      </c>
      <c r="AE1021" s="8" t="str">
        <v/>
      </c>
      <c r="AF1021" s="8" t="str">
        <v/>
      </c>
      <c r="AG1021" s="8" t="str">
        <v/>
      </c>
      <c r="AH1021" s="8" t="str">
        <v/>
      </c>
      <c r="AI1021" s="8" t="n">
        <v>24</v>
      </c>
      <c r="AJ1021" s="8" t="str">
        <v>～59</v>
      </c>
      <c r="AK1021" s="8" t="str">
        <v>20～29</v>
      </c>
      <c r="AL1021" s="8" t="str">
        <v>20～29</v>
      </c>
      <c r="AM1021" s="8" t="str">
        <v>～99</v>
      </c>
      <c r="AN1021" s="8" t="str">
        <v>15以上</v>
      </c>
      <c r="AO1021" s="8" t="str">
        <f aca="false">IF(A1021="","",IF(COUNTIFS(全馬データ!$A$2:$A$50000,A1021,全馬データ!$B$2:$B$50000,B1021,全馬データ!$C$2:$C$50000,C1021,全馬データ!$D$2:$D$50000,E1021,全馬データ!$K$2:$K$50000,"&lt;&gt;")=0,"",SUMIFS(全馬データ!$K$2:$K$50000,全馬データ!$A$2:$A$50000,A1021,全馬データ!$B$2:$B$50000,B1021,全馬データ!$C$2:$C$50000,C1021,全馬データ!$D$2:$D$50000,E1021)))</f>
        <v/>
      </c>
      <c r="AP1021" s="8" t="str">
        <f aca="false">IF(A1021="","",IF(AO1021="","欠損",IF(AO1021&lt;=1.1,"1.0～1.1",IF(AO1021&lt;1.3,"1.2",IF(AO1021&lt;1.5,"1.3～1.4",IF(AO1021&lt;2,"1.5～1.9","2.0以上"))))))</f>
        <v>欠損</v>
      </c>
      <c r="AQ1021" s="8" t="str">
        <f aca="false">IF(A1021="","",IF(ISNUMBER(SEARCH("2歳",Z1021)),"2歳戦",IF(ISNUMBER(SEARCH("3歳未勝利",Z1021)),"3歳未勝利",IF(ISNUMBER(SEARCH("未勝利",Z1021)),"その他未勝利",IF(ISNUMBER(SEARCH("G1",Z1021)),"G1",IF(ISNUMBER(SEARCH("G2",Z1021)),"G2",IF(ISNUMBER(SEARCH("G3",Z1021)),"G3",IF(ISNUMBER(SEARCH("古馬条件",Z1021)),"古馬条件戦",IF(ISNUMBER(SEARCH("重賞",Z1021)),"重賞","分類不能")))))))))</f>
        <v>分類不能</v>
      </c>
      <c r="AR1021" s="8"/>
      <c r="AS1021" s="8" t="s">
        <v>7842</v>
      </c>
      <c r="AT1021" s="8" t="s">
        <v>7843</v>
      </c>
      <c r="AU1021" s="8" t="s">
        <v>7628</v>
      </c>
      <c r="AV1021" s="8" t="s">
        <v>7629</v>
      </c>
      <c r="AW1021" s="8"/>
      <c r="AX1021" s="8"/>
      <c r="AY1021" s="8" t="s">
        <v>7610</v>
      </c>
      <c r="AZ1021" s="4" t="s">
        <v>7617</v>
      </c>
      <c r="BA1021" s="8" t="n">
        <v>1200</v>
      </c>
      <c r="BB1021" s="8" t="s">
        <v>7618</v>
      </c>
      <c r="BC1021" s="4" t="s">
        <v>7619</v>
      </c>
      <c r="BD1021" s="8" t="s">
        <v>7605</v>
      </c>
      <c r="BE1021" s="4" t="s">
        <v>7606</v>
      </c>
      <c r="BF1021" s="8" t="s">
        <v>7607</v>
      </c>
      <c r="BG1021" s="8" t="s">
        <v>7631</v>
      </c>
      <c r="BH1021" s="4" t="s">
        <v>7632</v>
      </c>
      <c r="BI1021" s="8" t="n">
        <v>15</v>
      </c>
      <c r="BJ1021" s="8" t="s">
        <v>7610</v>
      </c>
      <c r="BK1021" s="4" t="s">
        <v>7611</v>
      </c>
      <c r="BL1021" s="8" t="s">
        <v>7602</v>
      </c>
      <c r="BM1021" s="4" t="s">
        <v>7620</v>
      </c>
      <c r="BN1021" s="8"/>
      <c r="BO1021" s="8"/>
      <c r="BP1021" s="8" t="s">
        <v>7608</v>
      </c>
      <c r="BQ1021" s="8" t="str">
        <f aca="false">IF(A1021="","",AT1021)</f>
        <v>4歳以上</v>
      </c>
      <c r="BR1021" s="8" t="str">
        <f aca="false">IF(A1021="","",IF(BA1021&lt;=1200,"～1200",IF(BA1021&lt;=1500,"1300～1500",IF(BA1021=1600,"1600",IF(BA1021&lt;=1800,"1700～1800",IF(BA1021&lt;=2000,"1900～2000","2100以上"))))))</f>
        <v>～1200</v>
      </c>
      <c r="BS1021" s="8" t="str">
        <f aca="false">IF(A1021="","",IF(AX1021="G1","G1",IF(AX1021="G2","G2",IF(AX1021="G3","G3",IF(AX1021="L","L","その他")))))</f>
        <v>その他</v>
      </c>
      <c r="BT1021" s="8" t="str">
        <f aca="false">IF(A1021="","",IF(BI1021="","未結合",IF(D1021=BI1021,"一致","不一致")))</f>
        <v>一致</v>
      </c>
      <c r="BU1021" s="8" t="str">
        <f aca="false">IF(A1021="","",IF(BE1021="牝馬限定","牝馬限定","その他"))</f>
        <v>その他</v>
      </c>
    </row>
    <row r="1022" customFormat="false" ht="15.75" hidden="false" customHeight="false" outlineLevel="0" collapsed="false">
      <c r="A1022" s="6" t="n">
        <f aca="false">DATE(2026,5,9)</f>
        <v>46151</v>
      </c>
      <c r="B1022" s="4" t="s">
        <v>13</v>
      </c>
      <c r="C1022" s="8" t="n">
        <v>8</v>
      </c>
      <c r="D1022" s="8" t="n">
        <v>15</v>
      </c>
      <c r="E1022" s="8" t="n">
        <v>10</v>
      </c>
      <c r="F1022" s="4" t="s">
        <v>3069</v>
      </c>
      <c r="G1022" s="8" t="n">
        <v>65</v>
      </c>
      <c r="H1022" s="8" t="n">
        <v>2</v>
      </c>
      <c r="I1022" s="4" t="s">
        <v>1797</v>
      </c>
      <c r="J1022" s="8" t="n">
        <v>34</v>
      </c>
      <c r="K1022" s="8" t="n">
        <v>3</v>
      </c>
      <c r="L1022" s="4" t="s">
        <v>568</v>
      </c>
      <c r="M1022" s="8" t="n">
        <v>31</v>
      </c>
      <c r="N1022" s="8" t="n">
        <f aca="false">IF(A1022="","",G1022-J1022)</f>
        <v>31</v>
      </c>
      <c r="O1022" s="8" t="n">
        <f aca="false">IF(A1022="","",J1022-M1022)</f>
        <v>3</v>
      </c>
      <c r="P1022" s="8" t="n">
        <f aca="false">IF(A1022="","",G1022+J1022)</f>
        <v>99</v>
      </c>
      <c r="Q1022" s="8" t="str">
        <f aca="false">IF(A1022="","",IF(AND(Y1022&lt;&gt;"参考",G1022&gt;=ルール設定!$B$2),"○",""))</f>
        <v/>
      </c>
      <c r="R1022" s="8" t="str">
        <f aca="false">IF(A1022="","",IF(AND(Y1022&lt;&gt;"参考",G1022&gt;=ルール設定!$B$3,N1022&gt;=ルール設定!$B$4),"○",""))</f>
        <v/>
      </c>
      <c r="S1022" s="8" t="str">
        <f aca="false">IF(A1022="","",IF(AND(Y1022&lt;&gt;"参考",G1022&gt;=ルール設定!$B$5,J1022&gt;=ルール設定!$B$6,O1022&gt;=ルール設定!$B$7),"○",""))</f>
        <v/>
      </c>
      <c r="T1022" s="8" t="n">
        <v>4</v>
      </c>
      <c r="U1022" s="8" t="n">
        <v>3</v>
      </c>
      <c r="V1022" s="8" t="str">
        <f aca="false">IF(A1022="","",IF(AND(ISNUMBER(T1022),ISNUMBER(U1022)),IF(AND(T1022&lt;=3,U1022&lt;=3),"○","×"),""))</f>
        <v>×</v>
      </c>
      <c r="W1022" s="8"/>
      <c r="X1022" s="8"/>
      <c r="Y1022" s="4" t="s">
        <v>7597</v>
      </c>
      <c r="Z1022" s="8" t="s">
        <v>8111</v>
      </c>
      <c r="AA1022" s="8" t="str">
        <v/>
      </c>
      <c r="AB1022" s="8" t="str">
        <v/>
      </c>
      <c r="AC1022" s="8" t="str">
        <v/>
      </c>
      <c r="AD1022" s="8" t="str">
        <v/>
      </c>
      <c r="AE1022" s="8" t="str">
        <v/>
      </c>
      <c r="AF1022" s="8" t="str">
        <v/>
      </c>
      <c r="AG1022" s="8" t="str">
        <v/>
      </c>
      <c r="AH1022" s="8" t="str">
        <v/>
      </c>
      <c r="AI1022" s="8" t="n">
        <v>34</v>
      </c>
      <c r="AJ1022" s="8" t="str">
        <v>60～69</v>
      </c>
      <c r="AK1022" s="8" t="str">
        <v>30以上</v>
      </c>
      <c r="AL1022" s="8" t="str">
        <v>30～39</v>
      </c>
      <c r="AM1022" s="8" t="str">
        <v>～99</v>
      </c>
      <c r="AN1022" s="8" t="str">
        <v>15以上</v>
      </c>
      <c r="AO1022" s="8" t="str">
        <f aca="false">IF(A1022="","",IF(COUNTIFS(全馬データ!$A$2:$A$50000,A1022,全馬データ!$B$2:$B$50000,B1022,全馬データ!$C$2:$C$50000,C1022,全馬データ!$D$2:$D$50000,E1022,全馬データ!$K$2:$K$50000,"&lt;&gt;")=0,"",SUMIFS(全馬データ!$K$2:$K$50000,全馬データ!$A$2:$A$50000,A1022,全馬データ!$B$2:$B$50000,B1022,全馬データ!$C$2:$C$50000,C1022,全馬データ!$D$2:$D$50000,E1022)))</f>
        <v/>
      </c>
      <c r="AP1022" s="8" t="str">
        <f aca="false">IF(A1022="","",IF(AO1022="","欠損",IF(AO1022&lt;=1.1,"1.0～1.1",IF(AO1022&lt;1.3,"1.2",IF(AO1022&lt;1.5,"1.3～1.4",IF(AO1022&lt;2,"1.5～1.9","2.0以上"))))))</f>
        <v>欠損</v>
      </c>
      <c r="AQ1022" s="8" t="str">
        <f aca="false">IF(A1022="","",IF(ISNUMBER(SEARCH("2歳",Z1022)),"2歳戦",IF(ISNUMBER(SEARCH("3歳未勝利",Z1022)),"3歳未勝利",IF(ISNUMBER(SEARCH("未勝利",Z1022)),"その他未勝利",IF(ISNUMBER(SEARCH("G1",Z1022)),"G1",IF(ISNUMBER(SEARCH("G2",Z1022)),"G2",IF(ISNUMBER(SEARCH("G3",Z1022)),"G3",IF(ISNUMBER(SEARCH("古馬条件",Z1022)),"古馬条件戦",IF(ISNUMBER(SEARCH("重賞",Z1022)),"重賞","分類不能")))))))))</f>
        <v>分類不能</v>
      </c>
      <c r="AR1022" s="8"/>
      <c r="AS1022" s="8" t="s">
        <v>7842</v>
      </c>
      <c r="AT1022" s="8" t="s">
        <v>7843</v>
      </c>
      <c r="AU1022" s="8" t="s">
        <v>7628</v>
      </c>
      <c r="AV1022" s="8" t="s">
        <v>7629</v>
      </c>
      <c r="AW1022" s="8"/>
      <c r="AX1022" s="8"/>
      <c r="AY1022" s="8" t="s">
        <v>7610</v>
      </c>
      <c r="AZ1022" s="4" t="s">
        <v>7617</v>
      </c>
      <c r="BA1022" s="8" t="n">
        <v>1800</v>
      </c>
      <c r="BB1022" s="8" t="s">
        <v>7618</v>
      </c>
      <c r="BC1022" s="4" t="s">
        <v>7619</v>
      </c>
      <c r="BD1022" s="8" t="s">
        <v>7621</v>
      </c>
      <c r="BE1022" s="4" t="s">
        <v>7622</v>
      </c>
      <c r="BF1022" s="8" t="s">
        <v>7602</v>
      </c>
      <c r="BG1022" s="8" t="s">
        <v>7631</v>
      </c>
      <c r="BH1022" s="4" t="s">
        <v>7632</v>
      </c>
      <c r="BI1022" s="8" t="n">
        <v>15</v>
      </c>
      <c r="BJ1022" s="8" t="s">
        <v>7610</v>
      </c>
      <c r="BK1022" s="4" t="s">
        <v>7611</v>
      </c>
      <c r="BL1022" s="8" t="s">
        <v>7602</v>
      </c>
      <c r="BM1022" s="4" t="s">
        <v>7620</v>
      </c>
      <c r="BN1022" s="8"/>
      <c r="BO1022" s="8"/>
      <c r="BP1022" s="8" t="s">
        <v>7608</v>
      </c>
      <c r="BQ1022" s="8" t="str">
        <f aca="false">IF(A1022="","",AT1022)</f>
        <v>4歳以上</v>
      </c>
      <c r="BR1022" s="8" t="str">
        <f aca="false">IF(A1022="","",IF(BA1022&lt;=1200,"～1200",IF(BA1022&lt;=1500,"1300～1500",IF(BA1022=1600,"1600",IF(BA1022&lt;=1800,"1700～1800",IF(BA1022&lt;=2000,"1900～2000","2100以上"))))))</f>
        <v>1700～1800</v>
      </c>
      <c r="BS1022" s="8" t="str">
        <f aca="false">IF(A1022="","",IF(AX1022="G1","G1",IF(AX1022="G2","G2",IF(AX1022="G3","G3",IF(AX1022="L","L","その他")))))</f>
        <v>その他</v>
      </c>
      <c r="BT1022" s="8" t="str">
        <f aca="false">IF(A1022="","",IF(BI1022="","未結合",IF(D1022=BI1022,"一致","不一致")))</f>
        <v>一致</v>
      </c>
      <c r="BU1022" s="8" t="str">
        <f aca="false">IF(A1022="","",IF(BE1022="牝馬限定","牝馬限定","その他"))</f>
        <v>牝馬限定</v>
      </c>
    </row>
    <row r="1023" customFormat="false" ht="15.75" hidden="false" customHeight="false" outlineLevel="0" collapsed="false">
      <c r="A1023" s="6" t="n">
        <f aca="false">DATE(2026,5,9)</f>
        <v>46151</v>
      </c>
      <c r="B1023" s="4" t="s">
        <v>13</v>
      </c>
      <c r="C1023" s="8" t="n">
        <v>9</v>
      </c>
      <c r="D1023" s="8" t="n">
        <v>14</v>
      </c>
      <c r="E1023" s="8" t="n">
        <v>8</v>
      </c>
      <c r="F1023" s="4" t="s">
        <v>7007</v>
      </c>
      <c r="G1023" s="8" t="n">
        <v>71</v>
      </c>
      <c r="H1023" s="8" t="n">
        <v>13</v>
      </c>
      <c r="I1023" s="4" t="s">
        <v>5548</v>
      </c>
      <c r="J1023" s="8" t="n">
        <v>44</v>
      </c>
      <c r="K1023" s="8" t="n">
        <v>9</v>
      </c>
      <c r="L1023" s="4" t="s">
        <v>2889</v>
      </c>
      <c r="M1023" s="8" t="n">
        <v>34</v>
      </c>
      <c r="N1023" s="8" t="n">
        <f aca="false">IF(A1023="","",G1023-J1023)</f>
        <v>27</v>
      </c>
      <c r="O1023" s="8" t="n">
        <f aca="false">IF(A1023="","",J1023-M1023)</f>
        <v>10</v>
      </c>
      <c r="P1023" s="8" t="n">
        <f aca="false">IF(A1023="","",G1023+J1023)</f>
        <v>115</v>
      </c>
      <c r="Q1023" s="8" t="str">
        <f aca="false">IF(A1023="","",IF(AND(Y1023&lt;&gt;"参考",G1023&gt;=ルール設定!$B$2),"○",""))</f>
        <v/>
      </c>
      <c r="R1023" s="8" t="str">
        <f aca="false">IF(A1023="","",IF(AND(Y1023&lt;&gt;"参考",G1023&gt;=ルール設定!$B$3,N1023&gt;=ルール設定!$B$4),"○",""))</f>
        <v/>
      </c>
      <c r="S1023" s="8" t="str">
        <f aca="false">IF(A1023="","",IF(AND(Y1023&lt;&gt;"参考",G1023&gt;=ルール設定!$B$5,J1023&gt;=ルール設定!$B$6,O1023&gt;=ルール設定!$B$7),"○",""))</f>
        <v/>
      </c>
      <c r="T1023" s="8" t="n">
        <v>3</v>
      </c>
      <c r="U1023" s="8" t="n">
        <v>4</v>
      </c>
      <c r="V1023" s="8" t="str">
        <f aca="false">IF(A1023="","",IF(AND(ISNUMBER(T1023),ISNUMBER(U1023)),IF(AND(T1023&lt;=3,U1023&lt;=3),"○","×"),""))</f>
        <v>×</v>
      </c>
      <c r="W1023" s="8" t="n">
        <v>140</v>
      </c>
      <c r="X1023" s="8"/>
      <c r="Y1023" s="4" t="s">
        <v>7597</v>
      </c>
      <c r="Z1023" s="8" t="s">
        <v>8111</v>
      </c>
      <c r="AA1023" s="8" t="str">
        <v/>
      </c>
      <c r="AB1023" s="8" t="str">
        <v/>
      </c>
      <c r="AC1023" s="8" t="str">
        <v/>
      </c>
      <c r="AD1023" s="8" t="str">
        <v/>
      </c>
      <c r="AE1023" s="8" t="str">
        <v/>
      </c>
      <c r="AF1023" s="8" t="str">
        <v/>
      </c>
      <c r="AG1023" s="8" t="str">
        <v/>
      </c>
      <c r="AH1023" s="8" t="str">
        <v/>
      </c>
      <c r="AI1023" s="8" t="n">
        <v>37</v>
      </c>
      <c r="AJ1023" s="8" t="str">
        <v>70～74</v>
      </c>
      <c r="AK1023" s="8" t="str">
        <v>20～29</v>
      </c>
      <c r="AL1023" s="8" t="str">
        <v>30～39</v>
      </c>
      <c r="AM1023" s="8" t="str">
        <v>100～119</v>
      </c>
      <c r="AN1023" s="8" t="str">
        <v>12～14</v>
      </c>
      <c r="AO1023" s="8" t="str">
        <f aca="false">IF(A1023="","",IF(COUNTIFS(全馬データ!$A$2:$A$50000,A1023,全馬データ!$B$2:$B$50000,B1023,全馬データ!$C$2:$C$50000,C1023,全馬データ!$D$2:$D$50000,E1023,全馬データ!$K$2:$K$50000,"&lt;&gt;")=0,"",SUMIFS(全馬データ!$K$2:$K$50000,全馬データ!$A$2:$A$50000,A1023,全馬データ!$B$2:$B$50000,B1023,全馬データ!$C$2:$C$50000,C1023,全馬データ!$D$2:$D$50000,E1023)))</f>
        <v/>
      </c>
      <c r="AP1023" s="8" t="str">
        <f aca="false">IF(A1023="","",IF(AO1023="","欠損",IF(AO1023&lt;=1.1,"1.0～1.1",IF(AO1023&lt;1.3,"1.2",IF(AO1023&lt;1.5,"1.3～1.4",IF(AO1023&lt;2,"1.5～1.9","2.0以上"))))))</f>
        <v>欠損</v>
      </c>
      <c r="AQ1023" s="8" t="str">
        <f aca="false">IF(A1023="","",IF(ISNUMBER(SEARCH("2歳",Z1023)),"2歳戦",IF(ISNUMBER(SEARCH("3歳未勝利",Z1023)),"3歳未勝利",IF(ISNUMBER(SEARCH("未勝利",Z1023)),"その他未勝利",IF(ISNUMBER(SEARCH("G1",Z1023)),"G1",IF(ISNUMBER(SEARCH("G2",Z1023)),"G2",IF(ISNUMBER(SEARCH("G3",Z1023)),"G3",IF(ISNUMBER(SEARCH("古馬条件",Z1023)),"古馬条件戦",IF(ISNUMBER(SEARCH("重賞",Z1023)),"重賞","分類不能")))))))))</f>
        <v>分類不能</v>
      </c>
      <c r="AR1023" s="4" t="s">
        <v>8130</v>
      </c>
      <c r="AS1023" s="8" t="s">
        <v>7623</v>
      </c>
      <c r="AT1023" s="8" t="s">
        <v>7624</v>
      </c>
      <c r="AU1023" s="8" t="s">
        <v>7628</v>
      </c>
      <c r="AV1023" s="8" t="s">
        <v>7629</v>
      </c>
      <c r="AW1023" s="8" t="s">
        <v>7636</v>
      </c>
      <c r="AX1023" s="4" t="s">
        <v>7637</v>
      </c>
      <c r="AY1023" s="8" t="s">
        <v>7602</v>
      </c>
      <c r="AZ1023" s="4" t="s">
        <v>7603</v>
      </c>
      <c r="BA1023" s="8" t="n">
        <v>1200</v>
      </c>
      <c r="BB1023" s="8" t="s">
        <v>7634</v>
      </c>
      <c r="BC1023" s="4" t="s">
        <v>7604</v>
      </c>
      <c r="BD1023" s="8" t="s">
        <v>7630</v>
      </c>
      <c r="BE1023" s="4" t="s">
        <v>7606</v>
      </c>
      <c r="BF1023" s="8" t="s">
        <v>7607</v>
      </c>
      <c r="BG1023" s="8" t="s">
        <v>7608</v>
      </c>
      <c r="BH1023" s="4" t="s">
        <v>7609</v>
      </c>
      <c r="BI1023" s="8" t="n">
        <v>14</v>
      </c>
      <c r="BJ1023" s="8" t="s">
        <v>7610</v>
      </c>
      <c r="BK1023" s="4" t="s">
        <v>7611</v>
      </c>
      <c r="BL1023" s="8" t="s">
        <v>7602</v>
      </c>
      <c r="BM1023" s="4" t="s">
        <v>7620</v>
      </c>
      <c r="BN1023" s="8" t="s">
        <v>7631</v>
      </c>
      <c r="BO1023" s="8" t="s">
        <v>7680</v>
      </c>
      <c r="BP1023" s="8" t="s">
        <v>7608</v>
      </c>
      <c r="BQ1023" s="8" t="str">
        <f aca="false">IF(A1023="","",AT1023)</f>
        <v>3歳</v>
      </c>
      <c r="BR1023" s="8" t="str">
        <f aca="false">IF(A1023="","",IF(BA1023&lt;=1200,"～1200",IF(BA1023&lt;=1500,"1300～1500",IF(BA1023=1600,"1600",IF(BA1023&lt;=1800,"1700～1800",IF(BA1023&lt;=2000,"1900～2000","2100以上"))))))</f>
        <v>～1200</v>
      </c>
      <c r="BS1023" s="8" t="str">
        <f aca="false">IF(A1023="","",IF(AX1023="G1","G1",IF(AX1023="G2","G2",IF(AX1023="G3","G3",IF(AX1023="L","L","その他")))))</f>
        <v>その他</v>
      </c>
      <c r="BT1023" s="8" t="str">
        <f aca="false">IF(A1023="","",IF(BI1023="","未結合",IF(D1023=BI1023,"一致","不一致")))</f>
        <v>一致</v>
      </c>
      <c r="BU1023" s="8" t="str">
        <f aca="false">IF(A1023="","",IF(BE1023="牝馬限定","牝馬限定","その他"))</f>
        <v>その他</v>
      </c>
    </row>
    <row r="1024" customFormat="false" ht="15.75" hidden="false" customHeight="false" outlineLevel="0" collapsed="false">
      <c r="A1024" s="6" t="n">
        <f aca="false">DATE(2026,5,9)</f>
        <v>46151</v>
      </c>
      <c r="B1024" s="4" t="s">
        <v>13</v>
      </c>
      <c r="C1024" s="8" t="n">
        <v>10</v>
      </c>
      <c r="D1024" s="8" t="n">
        <v>13</v>
      </c>
      <c r="E1024" s="8" t="n">
        <v>3</v>
      </c>
      <c r="F1024" s="4" t="s">
        <v>7010</v>
      </c>
      <c r="G1024" s="8" t="n">
        <v>50</v>
      </c>
      <c r="H1024" s="8" t="n">
        <v>5</v>
      </c>
      <c r="I1024" s="4" t="s">
        <v>5551</v>
      </c>
      <c r="J1024" s="8" t="n">
        <v>47</v>
      </c>
      <c r="K1024" s="8" t="n">
        <v>1</v>
      </c>
      <c r="L1024" s="4" t="s">
        <v>1484</v>
      </c>
      <c r="M1024" s="8" t="n">
        <v>34</v>
      </c>
      <c r="N1024" s="8" t="n">
        <f aca="false">IF(A1024="","",G1024-J1024)</f>
        <v>3</v>
      </c>
      <c r="O1024" s="8" t="n">
        <f aca="false">IF(A1024="","",J1024-M1024)</f>
        <v>13</v>
      </c>
      <c r="P1024" s="8" t="n">
        <f aca="false">IF(A1024="","",G1024+J1024)</f>
        <v>97</v>
      </c>
      <c r="Q1024" s="8" t="str">
        <f aca="false">IF(A1024="","",IF(AND(Y1024&lt;&gt;"参考",G1024&gt;=ルール設定!$B$2),"○",""))</f>
        <v/>
      </c>
      <c r="R1024" s="8" t="str">
        <f aca="false">IF(A1024="","",IF(AND(Y1024&lt;&gt;"参考",G1024&gt;=ルール設定!$B$3,N1024&gt;=ルール設定!$B$4),"○",""))</f>
        <v/>
      </c>
      <c r="S1024" s="8" t="str">
        <f aca="false">IF(A1024="","",IF(AND(Y1024&lt;&gt;"参考",G1024&gt;=ルール設定!$B$5,J1024&gt;=ルール設定!$B$6,O1024&gt;=ルール設定!$B$7),"○",""))</f>
        <v/>
      </c>
      <c r="T1024" s="8" t="n">
        <v>1</v>
      </c>
      <c r="U1024" s="8" t="n">
        <v>4</v>
      </c>
      <c r="V1024" s="8" t="str">
        <f aca="false">IF(A1024="","",IF(AND(ISNUMBER(T1024),ISNUMBER(U1024)),IF(AND(T1024&lt;=3,U1024&lt;=3),"○","×"),""))</f>
        <v>×</v>
      </c>
      <c r="W1024" s="8" t="n">
        <v>230</v>
      </c>
      <c r="X1024" s="8"/>
      <c r="Y1024" s="4" t="s">
        <v>7597</v>
      </c>
      <c r="Z1024" s="8" t="s">
        <v>8111</v>
      </c>
      <c r="AA1024" s="8" t="str">
        <v/>
      </c>
      <c r="AB1024" s="8" t="str">
        <v/>
      </c>
      <c r="AC1024" s="8" t="str">
        <v/>
      </c>
      <c r="AD1024" s="8" t="str">
        <v/>
      </c>
      <c r="AE1024" s="8" t="str">
        <v/>
      </c>
      <c r="AF1024" s="8" t="str">
        <v/>
      </c>
      <c r="AG1024" s="8" t="str">
        <v/>
      </c>
      <c r="AH1024" s="8" t="str">
        <v/>
      </c>
      <c r="AI1024" s="8" t="n">
        <v>16</v>
      </c>
      <c r="AJ1024" s="8" t="str">
        <v>～59</v>
      </c>
      <c r="AK1024" s="8" t="str">
        <v>0～4</v>
      </c>
      <c r="AL1024" s="8" t="str">
        <v>10～19</v>
      </c>
      <c r="AM1024" s="8" t="str">
        <v>～99</v>
      </c>
      <c r="AN1024" s="8" t="str">
        <v>12～14</v>
      </c>
      <c r="AO1024" s="8" t="str">
        <f aca="false">IF(A1024="","",IF(COUNTIFS(全馬データ!$A$2:$A$50000,A1024,全馬データ!$B$2:$B$50000,B1024,全馬データ!$C$2:$C$50000,C1024,全馬データ!$D$2:$D$50000,E1024,全馬データ!$K$2:$K$50000,"&lt;&gt;")=0,"",SUMIFS(全馬データ!$K$2:$K$50000,全馬データ!$A$2:$A$50000,A1024,全馬データ!$B$2:$B$50000,B1024,全馬データ!$C$2:$C$50000,C1024,全馬データ!$D$2:$D$50000,E1024)))</f>
        <v/>
      </c>
      <c r="AP1024" s="8" t="str">
        <f aca="false">IF(A1024="","",IF(AO1024="","欠損",IF(AO1024&lt;=1.1,"1.0～1.1",IF(AO1024&lt;1.3,"1.2",IF(AO1024&lt;1.5,"1.3～1.4",IF(AO1024&lt;2,"1.5～1.9","2.0以上"))))))</f>
        <v>欠損</v>
      </c>
      <c r="AQ1024" s="8" t="str">
        <f aca="false">IF(A1024="","",IF(ISNUMBER(SEARCH("2歳",Z1024)),"2歳戦",IF(ISNUMBER(SEARCH("3歳未勝利",Z1024)),"3歳未勝利",IF(ISNUMBER(SEARCH("未勝利",Z1024)),"その他未勝利",IF(ISNUMBER(SEARCH("G1",Z1024)),"G1",IF(ISNUMBER(SEARCH("G2",Z1024)),"G2",IF(ISNUMBER(SEARCH("G3",Z1024)),"G3",IF(ISNUMBER(SEARCH("古馬条件",Z1024)),"古馬条件戦",IF(ISNUMBER(SEARCH("重賞",Z1024)),"重賞","分類不能")))))))))</f>
        <v>分類不能</v>
      </c>
      <c r="AR1024" s="4" t="s">
        <v>8131</v>
      </c>
      <c r="AS1024" s="8" t="s">
        <v>7842</v>
      </c>
      <c r="AT1024" s="8" t="s">
        <v>7843</v>
      </c>
      <c r="AU1024" s="8" t="s">
        <v>7628</v>
      </c>
      <c r="AV1024" s="8" t="s">
        <v>7629</v>
      </c>
      <c r="AW1024" s="8" t="s">
        <v>7636</v>
      </c>
      <c r="AX1024" s="4" t="s">
        <v>7637</v>
      </c>
      <c r="AY1024" s="8" t="s">
        <v>7602</v>
      </c>
      <c r="AZ1024" s="4" t="s">
        <v>7603</v>
      </c>
      <c r="BA1024" s="8" t="n">
        <v>1800</v>
      </c>
      <c r="BB1024" s="8" t="s">
        <v>7634</v>
      </c>
      <c r="BC1024" s="4" t="s">
        <v>7604</v>
      </c>
      <c r="BD1024" s="8" t="s">
        <v>7605</v>
      </c>
      <c r="BE1024" s="4" t="s">
        <v>7606</v>
      </c>
      <c r="BF1024" s="8" t="s">
        <v>7607</v>
      </c>
      <c r="BG1024" s="8" t="s">
        <v>7631</v>
      </c>
      <c r="BH1024" s="4" t="s">
        <v>7632</v>
      </c>
      <c r="BI1024" s="8" t="n">
        <v>13</v>
      </c>
      <c r="BJ1024" s="8" t="s">
        <v>7610</v>
      </c>
      <c r="BK1024" s="4" t="s">
        <v>7611</v>
      </c>
      <c r="BL1024" s="8" t="s">
        <v>7610</v>
      </c>
      <c r="BM1024" s="4" t="s">
        <v>7612</v>
      </c>
      <c r="BN1024" s="8" t="s">
        <v>7631</v>
      </c>
      <c r="BO1024" s="8" t="s">
        <v>7680</v>
      </c>
      <c r="BP1024" s="8" t="s">
        <v>7608</v>
      </c>
      <c r="BQ1024" s="8" t="str">
        <f aca="false">IF(A1024="","",AT1024)</f>
        <v>4歳以上</v>
      </c>
      <c r="BR1024" s="8" t="str">
        <f aca="false">IF(A1024="","",IF(BA1024&lt;=1200,"～1200",IF(BA1024&lt;=1500,"1300～1500",IF(BA1024=1600,"1600",IF(BA1024&lt;=1800,"1700～1800",IF(BA1024&lt;=2000,"1900～2000","2100以上"))))))</f>
        <v>1700～1800</v>
      </c>
      <c r="BS1024" s="8" t="str">
        <f aca="false">IF(A1024="","",IF(AX1024="G1","G1",IF(AX1024="G2","G2",IF(AX1024="G3","G3",IF(AX1024="L","L","その他")))))</f>
        <v>その他</v>
      </c>
      <c r="BT1024" s="8" t="str">
        <f aca="false">IF(A1024="","",IF(BI1024="","未結合",IF(D1024=BI1024,"一致","不一致")))</f>
        <v>一致</v>
      </c>
      <c r="BU1024" s="8" t="str">
        <f aca="false">IF(A1024="","",IF(BE1024="牝馬限定","牝馬限定","その他"))</f>
        <v>その他</v>
      </c>
    </row>
    <row r="1025" customFormat="false" ht="15.75" hidden="false" customHeight="false" outlineLevel="0" collapsed="false">
      <c r="A1025" s="6" t="n">
        <f aca="false">DATE(2026,5,9)</f>
        <v>46151</v>
      </c>
      <c r="B1025" s="4" t="s">
        <v>13</v>
      </c>
      <c r="C1025" s="8" t="n">
        <v>11</v>
      </c>
      <c r="D1025" s="8" t="n">
        <v>16</v>
      </c>
      <c r="E1025" s="8" t="n">
        <v>1</v>
      </c>
      <c r="F1025" s="4" t="s">
        <v>7012</v>
      </c>
      <c r="G1025" s="8" t="n">
        <v>44</v>
      </c>
      <c r="H1025" s="8" t="n">
        <v>5</v>
      </c>
      <c r="I1025" s="4" t="s">
        <v>2000</v>
      </c>
      <c r="J1025" s="8" t="n">
        <v>37</v>
      </c>
      <c r="K1025" s="8" t="n">
        <v>8</v>
      </c>
      <c r="L1025" s="4" t="s">
        <v>1222</v>
      </c>
      <c r="M1025" s="8" t="n">
        <v>37</v>
      </c>
      <c r="N1025" s="8" t="n">
        <f aca="false">IF(A1025="","",G1025-J1025)</f>
        <v>7</v>
      </c>
      <c r="O1025" s="8" t="n">
        <f aca="false">IF(A1025="","",J1025-M1025)</f>
        <v>0</v>
      </c>
      <c r="P1025" s="8" t="n">
        <f aca="false">IF(A1025="","",G1025+J1025)</f>
        <v>81</v>
      </c>
      <c r="Q1025" s="8" t="str">
        <f aca="false">IF(A1025="","",IF(AND(Y1025&lt;&gt;"参考",G1025&gt;=ルール設定!$B$2),"○",""))</f>
        <v/>
      </c>
      <c r="R1025" s="8" t="str">
        <f aca="false">IF(A1025="","",IF(AND(Y1025&lt;&gt;"参考",G1025&gt;=ルール設定!$B$3,N1025&gt;=ルール設定!$B$4),"○",""))</f>
        <v/>
      </c>
      <c r="S1025" s="8" t="str">
        <f aca="false">IF(A1025="","",IF(AND(Y1025&lt;&gt;"参考",G1025&gt;=ルール設定!$B$5,J1025&gt;=ルール設定!$B$6,O1025&gt;=ルール設定!$B$7),"○",""))</f>
        <v/>
      </c>
      <c r="T1025" s="8" t="n">
        <v>4</v>
      </c>
      <c r="U1025" s="8" t="n">
        <v>4</v>
      </c>
      <c r="V1025" s="8" t="str">
        <f aca="false">IF(A1025="","",IF(AND(ISNUMBER(T1025),ISNUMBER(U1025)),IF(AND(T1025&lt;=3,U1025&lt;=3),"○","×"),""))</f>
        <v>×</v>
      </c>
      <c r="W1025" s="8"/>
      <c r="X1025" s="8"/>
      <c r="Y1025" s="4" t="s">
        <v>7597</v>
      </c>
      <c r="Z1025" s="8" t="s">
        <v>8111</v>
      </c>
      <c r="AA1025" s="8" t="str">
        <v/>
      </c>
      <c r="AB1025" s="8" t="str">
        <v/>
      </c>
      <c r="AC1025" s="8" t="str">
        <v/>
      </c>
      <c r="AD1025" s="8" t="str">
        <v/>
      </c>
      <c r="AE1025" s="8" t="str">
        <v/>
      </c>
      <c r="AF1025" s="8" t="str">
        <v/>
      </c>
      <c r="AG1025" s="8" t="str">
        <v/>
      </c>
      <c r="AH1025" s="8" t="str">
        <v/>
      </c>
      <c r="AI1025" s="8" t="n">
        <v>7</v>
      </c>
      <c r="AJ1025" s="8" t="str">
        <v>～59</v>
      </c>
      <c r="AK1025" s="8" t="str">
        <v>5～9</v>
      </c>
      <c r="AL1025" s="8" t="str">
        <v>0～9</v>
      </c>
      <c r="AM1025" s="8" t="str">
        <v>～99</v>
      </c>
      <c r="AN1025" s="8" t="str">
        <v>15以上</v>
      </c>
      <c r="AO1025" s="8" t="str">
        <f aca="false">IF(A1025="","",IF(COUNTIFS(全馬データ!$A$2:$A$50000,A1025,全馬データ!$B$2:$B$50000,B1025,全馬データ!$C$2:$C$50000,C1025,全馬データ!$D$2:$D$50000,E1025,全馬データ!$K$2:$K$50000,"&lt;&gt;")=0,"",SUMIFS(全馬データ!$K$2:$K$50000,全馬データ!$A$2:$A$50000,A1025,全馬データ!$B$2:$B$50000,B1025,全馬データ!$C$2:$C$50000,C1025,全馬データ!$D$2:$D$50000,E1025)))</f>
        <v/>
      </c>
      <c r="AP1025" s="8" t="str">
        <f aca="false">IF(A1025="","",IF(AO1025="","欠損",IF(AO1025&lt;=1.1,"1.0～1.1",IF(AO1025&lt;1.3,"1.2",IF(AO1025&lt;1.5,"1.3～1.4",IF(AO1025&lt;2,"1.5～1.9","2.0以上"))))))</f>
        <v>欠損</v>
      </c>
      <c r="AQ1025" s="8" t="str">
        <f aca="false">IF(A1025="","",IF(ISNUMBER(SEARCH("2歳",Z1025)),"2歳戦",IF(ISNUMBER(SEARCH("3歳未勝利",Z1025)),"3歳未勝利",IF(ISNUMBER(SEARCH("未勝利",Z1025)),"その他未勝利",IF(ISNUMBER(SEARCH("G1",Z1025)),"G1",IF(ISNUMBER(SEARCH("G2",Z1025)),"G2",IF(ISNUMBER(SEARCH("G3",Z1025)),"G3",IF(ISNUMBER(SEARCH("古馬条件",Z1025)),"古馬条件戦",IF(ISNUMBER(SEARCH("重賞",Z1025)),"重賞","分類不能")))))))))</f>
        <v>分類不能</v>
      </c>
      <c r="AR1025" s="4" t="s">
        <v>8132</v>
      </c>
      <c r="AS1025" s="8" t="s">
        <v>7842</v>
      </c>
      <c r="AT1025" s="8" t="s">
        <v>7843</v>
      </c>
      <c r="AU1025" s="8" t="s">
        <v>7639</v>
      </c>
      <c r="AV1025" s="8" t="s">
        <v>7640</v>
      </c>
      <c r="AW1025" s="8" t="s">
        <v>7636</v>
      </c>
      <c r="AX1025" s="4" t="s">
        <v>7637</v>
      </c>
      <c r="AY1025" s="8" t="s">
        <v>7602</v>
      </c>
      <c r="AZ1025" s="4" t="s">
        <v>7603</v>
      </c>
      <c r="BA1025" s="8" t="n">
        <v>1000</v>
      </c>
      <c r="BB1025" s="8" t="s">
        <v>7623</v>
      </c>
      <c r="BC1025" s="4" t="s">
        <v>7604</v>
      </c>
      <c r="BD1025" s="8" t="s">
        <v>7630</v>
      </c>
      <c r="BE1025" s="4" t="s">
        <v>7606</v>
      </c>
      <c r="BF1025" s="8" t="s">
        <v>7607</v>
      </c>
      <c r="BG1025" s="8" t="s">
        <v>7631</v>
      </c>
      <c r="BH1025" s="4" t="s">
        <v>7632</v>
      </c>
      <c r="BI1025" s="8" t="n">
        <v>16</v>
      </c>
      <c r="BJ1025" s="8" t="s">
        <v>7608</v>
      </c>
      <c r="BK1025" s="4" t="s">
        <v>7649</v>
      </c>
      <c r="BL1025" s="8" t="s">
        <v>7647</v>
      </c>
      <c r="BM1025" s="4" t="s">
        <v>7648</v>
      </c>
      <c r="BN1025" s="8" t="s">
        <v>7631</v>
      </c>
      <c r="BO1025" s="8" t="s">
        <v>7680</v>
      </c>
      <c r="BP1025" s="8" t="s">
        <v>7608</v>
      </c>
      <c r="BQ1025" s="8" t="str">
        <f aca="false">IF(A1025="","",AT1025)</f>
        <v>4歳以上</v>
      </c>
      <c r="BR1025" s="8" t="str">
        <f aca="false">IF(A1025="","",IF(BA1025&lt;=1200,"～1200",IF(BA1025&lt;=1500,"1300～1500",IF(BA1025=1600,"1600",IF(BA1025&lt;=1800,"1700～1800",IF(BA1025&lt;=2000,"1900～2000","2100以上"))))))</f>
        <v>～1200</v>
      </c>
      <c r="BS1025" s="8" t="str">
        <f aca="false">IF(A1025="","",IF(AX1025="G1","G1",IF(AX1025="G2","G2",IF(AX1025="G3","G3",IF(AX1025="L","L","その他")))))</f>
        <v>その他</v>
      </c>
      <c r="BT1025" s="8" t="str">
        <f aca="false">IF(A1025="","",IF(BI1025="","未結合",IF(D1025=BI1025,"一致","不一致")))</f>
        <v>一致</v>
      </c>
      <c r="BU1025" s="8" t="str">
        <f aca="false">IF(A1025="","",IF(BE1025="牝馬限定","牝馬限定","その他"))</f>
        <v>その他</v>
      </c>
    </row>
    <row r="1026" customFormat="false" ht="15.75" hidden="false" customHeight="false" outlineLevel="0" collapsed="false">
      <c r="A1026" s="6" t="n">
        <f aca="false">DATE(2026,5,9)</f>
        <v>46151</v>
      </c>
      <c r="B1026" s="4" t="s">
        <v>13</v>
      </c>
      <c r="C1026" s="8" t="n">
        <v>12</v>
      </c>
      <c r="D1026" s="8" t="n">
        <v>12</v>
      </c>
      <c r="E1026" s="8" t="n">
        <v>11</v>
      </c>
      <c r="F1026" s="4" t="s">
        <v>461</v>
      </c>
      <c r="G1026" s="8" t="n">
        <v>67</v>
      </c>
      <c r="H1026" s="8" t="n">
        <v>8</v>
      </c>
      <c r="I1026" s="4" t="s">
        <v>2124</v>
      </c>
      <c r="J1026" s="8" t="n">
        <v>41</v>
      </c>
      <c r="K1026" s="8" t="n">
        <v>2</v>
      </c>
      <c r="L1026" s="4" t="s">
        <v>7014</v>
      </c>
      <c r="M1026" s="8" t="n">
        <v>39</v>
      </c>
      <c r="N1026" s="8" t="n">
        <f aca="false">IF(A1026="","",G1026-J1026)</f>
        <v>26</v>
      </c>
      <c r="O1026" s="8" t="n">
        <f aca="false">IF(A1026="","",J1026-M1026)</f>
        <v>2</v>
      </c>
      <c r="P1026" s="8" t="n">
        <f aca="false">IF(A1026="","",G1026+J1026)</f>
        <v>108</v>
      </c>
      <c r="Q1026" s="8" t="str">
        <f aca="false">IF(A1026="","",IF(AND(Y1026&lt;&gt;"参考",G1026&gt;=ルール設定!$B$2),"○",""))</f>
        <v/>
      </c>
      <c r="R1026" s="8" t="str">
        <f aca="false">IF(A1026="","",IF(AND(Y1026&lt;&gt;"参考",G1026&gt;=ルール設定!$B$3,N1026&gt;=ルール設定!$B$4),"○",""))</f>
        <v/>
      </c>
      <c r="S1026" s="8" t="str">
        <f aca="false">IF(A1026="","",IF(AND(Y1026&lt;&gt;"参考",G1026&gt;=ルール設定!$B$5,J1026&gt;=ルール設定!$B$6,O1026&gt;=ルール設定!$B$7),"○",""))</f>
        <v/>
      </c>
      <c r="T1026" s="8" t="n">
        <v>1</v>
      </c>
      <c r="U1026" s="8" t="n">
        <v>2</v>
      </c>
      <c r="V1026" s="8" t="str">
        <f aca="false">IF(A1026="","",IF(AND(ISNUMBER(T1026),ISNUMBER(U1026)),IF(AND(T1026&lt;=3,U1026&lt;=3),"○","×"),""))</f>
        <v>○</v>
      </c>
      <c r="W1026" s="8" t="n">
        <v>110</v>
      </c>
      <c r="X1026" s="8" t="n">
        <v>280</v>
      </c>
      <c r="Y1026" s="4" t="s">
        <v>7597</v>
      </c>
      <c r="Z1026" s="8" t="s">
        <v>8111</v>
      </c>
      <c r="AA1026" s="8" t="str">
        <v/>
      </c>
      <c r="AB1026" s="8" t="str">
        <v/>
      </c>
      <c r="AC1026" s="8" t="str">
        <v/>
      </c>
      <c r="AD1026" s="8" t="str">
        <v/>
      </c>
      <c r="AE1026" s="8" t="str">
        <v/>
      </c>
      <c r="AF1026" s="8" t="str">
        <v/>
      </c>
      <c r="AG1026" s="8" t="str">
        <v/>
      </c>
      <c r="AH1026" s="8" t="str">
        <v/>
      </c>
      <c r="AI1026" s="8" t="n">
        <v>28</v>
      </c>
      <c r="AJ1026" s="8" t="str">
        <v>60～69</v>
      </c>
      <c r="AK1026" s="8" t="str">
        <v>20～29</v>
      </c>
      <c r="AL1026" s="8" t="str">
        <v>20～29</v>
      </c>
      <c r="AM1026" s="8" t="str">
        <v>100～119</v>
      </c>
      <c r="AN1026" s="8" t="str">
        <v>12～14</v>
      </c>
      <c r="AO1026" s="8" t="str">
        <f aca="false">IF(A1026="","",IF(COUNTIFS(全馬データ!$A$2:$A$50000,A1026,全馬データ!$B$2:$B$50000,B1026,全馬データ!$C$2:$C$50000,C1026,全馬データ!$D$2:$D$50000,E1026,全馬データ!$K$2:$K$50000,"&lt;&gt;")=0,"",SUMIFS(全馬データ!$K$2:$K$50000,全馬データ!$A$2:$A$50000,A1026,全馬データ!$B$2:$B$50000,B1026,全馬データ!$C$2:$C$50000,C1026,全馬データ!$D$2:$D$50000,E1026)))</f>
        <v/>
      </c>
      <c r="AP1026" s="8" t="str">
        <f aca="false">IF(A1026="","",IF(AO1026="","欠損",IF(AO1026&lt;=1.1,"1.0～1.1",IF(AO1026&lt;1.3,"1.2",IF(AO1026&lt;1.5,"1.3～1.4",IF(AO1026&lt;2,"1.5～1.9","2.0以上"))))))</f>
        <v>欠損</v>
      </c>
      <c r="AQ1026" s="8" t="str">
        <f aca="false">IF(A1026="","",IF(ISNUMBER(SEARCH("2歳",Z1026)),"2歳戦",IF(ISNUMBER(SEARCH("3歳未勝利",Z1026)),"3歳未勝利",IF(ISNUMBER(SEARCH("未勝利",Z1026)),"その他未勝利",IF(ISNUMBER(SEARCH("G1",Z1026)),"G1",IF(ISNUMBER(SEARCH("G2",Z1026)),"G2",IF(ISNUMBER(SEARCH("G3",Z1026)),"G3",IF(ISNUMBER(SEARCH("古馬条件",Z1026)),"古馬条件戦",IF(ISNUMBER(SEARCH("重賞",Z1026)),"重賞","分類不能")))))))))</f>
        <v>分類不能</v>
      </c>
      <c r="AR1026" s="8"/>
      <c r="AS1026" s="8" t="s">
        <v>7842</v>
      </c>
      <c r="AT1026" s="8" t="s">
        <v>7843</v>
      </c>
      <c r="AU1026" s="8" t="s">
        <v>7628</v>
      </c>
      <c r="AV1026" s="8" t="s">
        <v>7629</v>
      </c>
      <c r="AW1026" s="8"/>
      <c r="AX1026" s="8"/>
      <c r="AY1026" s="8" t="s">
        <v>7610</v>
      </c>
      <c r="AZ1026" s="4" t="s">
        <v>7617</v>
      </c>
      <c r="BA1026" s="8" t="n">
        <v>1800</v>
      </c>
      <c r="BB1026" s="8" t="s">
        <v>7618</v>
      </c>
      <c r="BC1026" s="4" t="s">
        <v>7619</v>
      </c>
      <c r="BD1026" s="8" t="s">
        <v>7625</v>
      </c>
      <c r="BE1026" s="4" t="s">
        <v>7606</v>
      </c>
      <c r="BF1026" s="8" t="s">
        <v>7607</v>
      </c>
      <c r="BG1026" s="8" t="s">
        <v>7631</v>
      </c>
      <c r="BH1026" s="4" t="s">
        <v>7632</v>
      </c>
      <c r="BI1026" s="8" t="n">
        <v>12</v>
      </c>
      <c r="BJ1026" s="8" t="s">
        <v>7610</v>
      </c>
      <c r="BK1026" s="4" t="s">
        <v>7611</v>
      </c>
      <c r="BL1026" s="8" t="s">
        <v>7602</v>
      </c>
      <c r="BM1026" s="4" t="s">
        <v>7620</v>
      </c>
      <c r="BN1026" s="8"/>
      <c r="BO1026" s="8"/>
      <c r="BP1026" s="8" t="s">
        <v>7608</v>
      </c>
      <c r="BQ1026" s="8" t="str">
        <f aca="false">IF(A1026="","",AT1026)</f>
        <v>4歳以上</v>
      </c>
      <c r="BR1026" s="8" t="str">
        <f aca="false">IF(A1026="","",IF(BA1026&lt;=1200,"～1200",IF(BA1026&lt;=1500,"1300～1500",IF(BA1026=1600,"1600",IF(BA1026&lt;=1800,"1700～1800",IF(BA1026&lt;=2000,"1900～2000","2100以上"))))))</f>
        <v>1700～1800</v>
      </c>
      <c r="BS1026" s="8" t="str">
        <f aca="false">IF(A1026="","",IF(AX1026="G1","G1",IF(AX1026="G2","G2",IF(AX1026="G3","G3",IF(AX1026="L","L","その他")))))</f>
        <v>その他</v>
      </c>
      <c r="BT1026" s="8" t="str">
        <f aca="false">IF(A1026="","",IF(BI1026="","未結合",IF(D1026=BI1026,"一致","不一致")))</f>
        <v>一致</v>
      </c>
      <c r="BU1026" s="8" t="str">
        <f aca="false">IF(A1026="","",IF(BE1026="牝馬限定","牝馬限定","その他"))</f>
        <v>その他</v>
      </c>
    </row>
    <row r="1027" customFormat="false" ht="15.75" hidden="false" customHeight="false" outlineLevel="0" collapsed="false">
      <c r="A1027" s="6" t="n">
        <f aca="false">DATE(2026,5,9)</f>
        <v>46151</v>
      </c>
      <c r="B1027" s="4" t="s">
        <v>4473</v>
      </c>
      <c r="C1027" s="8" t="n">
        <v>1</v>
      </c>
      <c r="D1027" s="8" t="n">
        <v>16</v>
      </c>
      <c r="E1027" s="8" t="n">
        <v>16</v>
      </c>
      <c r="F1027" s="4" t="s">
        <v>3034</v>
      </c>
      <c r="G1027" s="8" t="n">
        <v>67</v>
      </c>
      <c r="H1027" s="8" t="n">
        <v>14</v>
      </c>
      <c r="I1027" s="4" t="s">
        <v>529</v>
      </c>
      <c r="J1027" s="8" t="n">
        <v>44</v>
      </c>
      <c r="K1027" s="8" t="n">
        <v>8</v>
      </c>
      <c r="L1027" s="4" t="s">
        <v>3036</v>
      </c>
      <c r="M1027" s="8" t="n">
        <v>39</v>
      </c>
      <c r="N1027" s="8" t="n">
        <f aca="false">IF(A1027="","",G1027-J1027)</f>
        <v>23</v>
      </c>
      <c r="O1027" s="8" t="n">
        <f aca="false">IF(A1027="","",J1027-M1027)</f>
        <v>5</v>
      </c>
      <c r="P1027" s="8" t="n">
        <f aca="false">IF(A1027="","",G1027+J1027)</f>
        <v>111</v>
      </c>
      <c r="Q1027" s="8" t="str">
        <f aca="false">IF(A1027="","",IF(AND(Y1027&lt;&gt;"参考",G1027&gt;=ルール設定!$B$2),"○",""))</f>
        <v/>
      </c>
      <c r="R1027" s="8" t="str">
        <f aca="false">IF(A1027="","",IF(AND(Y1027&lt;&gt;"参考",G1027&gt;=ルール設定!$B$3,N1027&gt;=ルール設定!$B$4),"○",""))</f>
        <v/>
      </c>
      <c r="S1027" s="8" t="str">
        <f aca="false">IF(A1027="","",IF(AND(Y1027&lt;&gt;"参考",G1027&gt;=ルール設定!$B$5,J1027&gt;=ルール設定!$B$6,O1027&gt;=ルール設定!$B$7),"○",""))</f>
        <v/>
      </c>
      <c r="T1027" s="8" t="n">
        <v>2</v>
      </c>
      <c r="U1027" s="8" t="n">
        <v>1</v>
      </c>
      <c r="V1027" s="8" t="str">
        <f aca="false">IF(A1027="","",IF(AND(ISNUMBER(T1027),ISNUMBER(U1027)),IF(AND(T1027&lt;=3,U1027&lt;=3),"○","×"),""))</f>
        <v>○</v>
      </c>
      <c r="W1027" s="8" t="n">
        <v>110</v>
      </c>
      <c r="X1027" s="8" t="n">
        <v>250</v>
      </c>
      <c r="Y1027" s="4" t="s">
        <v>7597</v>
      </c>
      <c r="Z1027" s="8" t="s">
        <v>8111</v>
      </c>
      <c r="AA1027" s="8" t="str">
        <v/>
      </c>
      <c r="AB1027" s="8" t="str">
        <v/>
      </c>
      <c r="AC1027" s="8" t="str">
        <v/>
      </c>
      <c r="AD1027" s="8" t="str">
        <v/>
      </c>
      <c r="AE1027" s="8" t="str">
        <v/>
      </c>
      <c r="AF1027" s="8" t="str">
        <v/>
      </c>
      <c r="AG1027" s="8" t="str">
        <v/>
      </c>
      <c r="AH1027" s="8" t="str">
        <v/>
      </c>
      <c r="AI1027" s="8" t="n">
        <v>28</v>
      </c>
      <c r="AJ1027" s="8" t="str">
        <v>60～69</v>
      </c>
      <c r="AK1027" s="8" t="str">
        <v>20～29</v>
      </c>
      <c r="AL1027" s="8" t="str">
        <v>20～29</v>
      </c>
      <c r="AM1027" s="8" t="str">
        <v>100～119</v>
      </c>
      <c r="AN1027" s="8" t="str">
        <v>15以上</v>
      </c>
      <c r="AO1027" s="8" t="str">
        <f aca="false">IF(A1027="","",IF(COUNTIFS(全馬データ!$A$2:$A$50000,A1027,全馬データ!$B$2:$B$50000,B1027,全馬データ!$C$2:$C$50000,C1027,全馬データ!$D$2:$D$50000,E1027,全馬データ!$K$2:$K$50000,"&lt;&gt;")=0,"",SUMIFS(全馬データ!$K$2:$K$50000,全馬データ!$A$2:$A$50000,A1027,全馬データ!$B$2:$B$50000,B1027,全馬データ!$C$2:$C$50000,C1027,全馬データ!$D$2:$D$50000,E1027)))</f>
        <v/>
      </c>
      <c r="AP1027" s="8" t="str">
        <f aca="false">IF(A1027="","",IF(AO1027="","欠損",IF(AO1027&lt;=1.1,"1.0～1.1",IF(AO1027&lt;1.3,"1.2",IF(AO1027&lt;1.5,"1.3～1.4",IF(AO1027&lt;2,"1.5～1.9","2.0以上"))))))</f>
        <v>欠損</v>
      </c>
      <c r="AQ1027" s="8" t="str">
        <f aca="false">IF(A1027="","",IF(ISNUMBER(SEARCH("2歳",Z1027)),"2歳戦",IF(ISNUMBER(SEARCH("3歳未勝利",Z1027)),"3歳未勝利",IF(ISNUMBER(SEARCH("未勝利",Z1027)),"その他未勝利",IF(ISNUMBER(SEARCH("G1",Z1027)),"G1",IF(ISNUMBER(SEARCH("G2",Z1027)),"G2",IF(ISNUMBER(SEARCH("G3",Z1027)),"G3",IF(ISNUMBER(SEARCH("古馬条件",Z1027)),"古馬条件戦",IF(ISNUMBER(SEARCH("重賞",Z1027)),"重賞","分類不能")))))))))</f>
        <v>分類不能</v>
      </c>
      <c r="AR1027" s="8"/>
      <c r="AS1027" s="8" t="s">
        <v>7623</v>
      </c>
      <c r="AT1027" s="8" t="s">
        <v>7624</v>
      </c>
      <c r="AU1027" s="8" t="s">
        <v>7600</v>
      </c>
      <c r="AV1027" s="4" t="s">
        <v>7601</v>
      </c>
      <c r="AW1027" s="8"/>
      <c r="AX1027" s="8"/>
      <c r="AY1027" s="8" t="s">
        <v>7610</v>
      </c>
      <c r="AZ1027" s="4" t="s">
        <v>7617</v>
      </c>
      <c r="BA1027" s="8" t="n">
        <v>1300</v>
      </c>
      <c r="BB1027" s="8" t="s">
        <v>7598</v>
      </c>
      <c r="BC1027" s="4" t="s">
        <v>7604</v>
      </c>
      <c r="BD1027" s="8" t="s">
        <v>7625</v>
      </c>
      <c r="BE1027" s="4" t="s">
        <v>7606</v>
      </c>
      <c r="BF1027" s="8" t="s">
        <v>7607</v>
      </c>
      <c r="BG1027" s="8" t="s">
        <v>7608</v>
      </c>
      <c r="BH1027" s="4" t="s">
        <v>7609</v>
      </c>
      <c r="BI1027" s="8" t="n">
        <v>16</v>
      </c>
      <c r="BJ1027" s="8" t="s">
        <v>7610</v>
      </c>
      <c r="BK1027" s="4" t="s">
        <v>7611</v>
      </c>
      <c r="BL1027" s="8" t="s">
        <v>7602</v>
      </c>
      <c r="BM1027" s="4" t="s">
        <v>7620</v>
      </c>
      <c r="BN1027" s="8"/>
      <c r="BO1027" s="8"/>
      <c r="BP1027" s="8" t="s">
        <v>7602</v>
      </c>
      <c r="BQ1027" s="8" t="str">
        <f aca="false">IF(A1027="","",AT1027)</f>
        <v>3歳</v>
      </c>
      <c r="BR1027" s="8" t="str">
        <f aca="false">IF(A1027="","",IF(BA1027&lt;=1200,"～1200",IF(BA1027&lt;=1500,"1300～1500",IF(BA1027=1600,"1600",IF(BA1027&lt;=1800,"1700～1800",IF(BA1027&lt;=2000,"1900～2000","2100以上"))))))</f>
        <v>1300～1500</v>
      </c>
      <c r="BS1027" s="8" t="str">
        <f aca="false">IF(A1027="","",IF(AX1027="G1","G1",IF(AX1027="G2","G2",IF(AX1027="G3","G3",IF(AX1027="L","L","その他")))))</f>
        <v>その他</v>
      </c>
      <c r="BT1027" s="8" t="str">
        <f aca="false">IF(A1027="","",IF(BI1027="","未結合",IF(D1027=BI1027,"一致","不一致")))</f>
        <v>一致</v>
      </c>
      <c r="BU1027" s="8" t="str">
        <f aca="false">IF(A1027="","",IF(BE1027="牝馬限定","牝馬限定","その他"))</f>
        <v>その他</v>
      </c>
    </row>
    <row r="1028" customFormat="false" ht="15.75" hidden="false" customHeight="false" outlineLevel="0" collapsed="false">
      <c r="A1028" s="6" t="n">
        <f aca="false">DATE(2026,5,9)</f>
        <v>46151</v>
      </c>
      <c r="B1028" s="4" t="s">
        <v>4473</v>
      </c>
      <c r="C1028" s="8" t="n">
        <v>2</v>
      </c>
      <c r="D1028" s="8" t="n">
        <v>11</v>
      </c>
      <c r="E1028" s="8" t="n">
        <v>3</v>
      </c>
      <c r="F1028" s="4" t="s">
        <v>1736</v>
      </c>
      <c r="G1028" s="8" t="n">
        <v>56</v>
      </c>
      <c r="H1028" s="8" t="n">
        <v>10</v>
      </c>
      <c r="I1028" s="4" t="s">
        <v>6745</v>
      </c>
      <c r="J1028" s="8" t="n">
        <v>47</v>
      </c>
      <c r="K1028" s="8" t="n">
        <v>8</v>
      </c>
      <c r="L1028" s="4" t="s">
        <v>7024</v>
      </c>
      <c r="M1028" s="8" t="n">
        <v>41</v>
      </c>
      <c r="N1028" s="8" t="n">
        <f aca="false">IF(A1028="","",G1028-J1028)</f>
        <v>9</v>
      </c>
      <c r="O1028" s="8" t="n">
        <f aca="false">IF(A1028="","",J1028-M1028)</f>
        <v>6</v>
      </c>
      <c r="P1028" s="8" t="n">
        <f aca="false">IF(A1028="","",G1028+J1028)</f>
        <v>103</v>
      </c>
      <c r="Q1028" s="8" t="str">
        <f aca="false">IF(A1028="","",IF(AND(Y1028&lt;&gt;"参考",G1028&gt;=ルール設定!$B$2),"○",""))</f>
        <v/>
      </c>
      <c r="R1028" s="8" t="str">
        <f aca="false">IF(A1028="","",IF(AND(Y1028&lt;&gt;"参考",G1028&gt;=ルール設定!$B$3,N1028&gt;=ルール設定!$B$4),"○",""))</f>
        <v/>
      </c>
      <c r="S1028" s="8" t="str">
        <f aca="false">IF(A1028="","",IF(AND(Y1028&lt;&gt;"参考",G1028&gt;=ルール設定!$B$5,J1028&gt;=ルール設定!$B$6,O1028&gt;=ルール設定!$B$7),"○",""))</f>
        <v/>
      </c>
      <c r="T1028" s="8" t="n">
        <v>4</v>
      </c>
      <c r="U1028" s="8" t="n">
        <v>4</v>
      </c>
      <c r="V1028" s="8" t="str">
        <f aca="false">IF(A1028="","",IF(AND(ISNUMBER(T1028),ISNUMBER(U1028)),IF(AND(T1028&lt;=3,U1028&lt;=3),"○","×"),""))</f>
        <v>×</v>
      </c>
      <c r="W1028" s="8"/>
      <c r="X1028" s="8"/>
      <c r="Y1028" s="4" t="s">
        <v>7597</v>
      </c>
      <c r="Z1028" s="8" t="s">
        <v>8111</v>
      </c>
      <c r="AA1028" s="8" t="str">
        <v/>
      </c>
      <c r="AB1028" s="8" t="str">
        <v/>
      </c>
      <c r="AC1028" s="8" t="str">
        <v/>
      </c>
      <c r="AD1028" s="8" t="str">
        <v/>
      </c>
      <c r="AE1028" s="8" t="str">
        <v/>
      </c>
      <c r="AF1028" s="8" t="str">
        <v/>
      </c>
      <c r="AG1028" s="8" t="str">
        <v/>
      </c>
      <c r="AH1028" s="8" t="str">
        <v/>
      </c>
      <c r="AI1028" s="8" t="n">
        <v>15</v>
      </c>
      <c r="AJ1028" s="8" t="str">
        <v>～59</v>
      </c>
      <c r="AK1028" s="8" t="str">
        <v>5～9</v>
      </c>
      <c r="AL1028" s="8" t="str">
        <v>10～19</v>
      </c>
      <c r="AM1028" s="8" t="str">
        <v>100～119</v>
      </c>
      <c r="AN1028" s="8" t="str">
        <v>8～11</v>
      </c>
      <c r="AO1028" s="8" t="str">
        <f aca="false">IF(A1028="","",IF(COUNTIFS(全馬データ!$A$2:$A$50000,A1028,全馬データ!$B$2:$B$50000,B1028,全馬データ!$C$2:$C$50000,C1028,全馬データ!$D$2:$D$50000,E1028,全馬データ!$K$2:$K$50000,"&lt;&gt;")=0,"",SUMIFS(全馬データ!$K$2:$K$50000,全馬データ!$A$2:$A$50000,A1028,全馬データ!$B$2:$B$50000,B1028,全馬データ!$C$2:$C$50000,C1028,全馬データ!$D$2:$D$50000,E1028)))</f>
        <v/>
      </c>
      <c r="AP1028" s="8" t="str">
        <f aca="false">IF(A1028="","",IF(AO1028="","欠損",IF(AO1028&lt;=1.1,"1.0～1.1",IF(AO1028&lt;1.3,"1.2",IF(AO1028&lt;1.5,"1.3～1.4",IF(AO1028&lt;2,"1.5～1.9","2.0以上"))))))</f>
        <v>欠損</v>
      </c>
      <c r="AQ1028" s="8" t="str">
        <f aca="false">IF(A1028="","",IF(ISNUMBER(SEARCH("2歳",Z1028)),"2歳戦",IF(ISNUMBER(SEARCH("3歳未勝利",Z1028)),"3歳未勝利",IF(ISNUMBER(SEARCH("未勝利",Z1028)),"その他未勝利",IF(ISNUMBER(SEARCH("G1",Z1028)),"G1",IF(ISNUMBER(SEARCH("G2",Z1028)),"G2",IF(ISNUMBER(SEARCH("G3",Z1028)),"G3",IF(ISNUMBER(SEARCH("古馬条件",Z1028)),"古馬条件戦",IF(ISNUMBER(SEARCH("重賞",Z1028)),"重賞","分類不能")))))))))</f>
        <v>分類不能</v>
      </c>
      <c r="AR1028" s="8"/>
      <c r="AS1028" s="8" t="s">
        <v>7623</v>
      </c>
      <c r="AT1028" s="8" t="s">
        <v>7624</v>
      </c>
      <c r="AU1028" s="8" t="s">
        <v>7600</v>
      </c>
      <c r="AV1028" s="4" t="s">
        <v>7601</v>
      </c>
      <c r="AW1028" s="8"/>
      <c r="AX1028" s="8"/>
      <c r="AY1028" s="8" t="s">
        <v>7610</v>
      </c>
      <c r="AZ1028" s="4" t="s">
        <v>7617</v>
      </c>
      <c r="BA1028" s="8" t="n">
        <v>2100</v>
      </c>
      <c r="BB1028" s="8" t="s">
        <v>7598</v>
      </c>
      <c r="BC1028" s="4" t="s">
        <v>7604</v>
      </c>
      <c r="BD1028" s="8" t="s">
        <v>7625</v>
      </c>
      <c r="BE1028" s="4" t="s">
        <v>7606</v>
      </c>
      <c r="BF1028" s="8" t="s">
        <v>7607</v>
      </c>
      <c r="BG1028" s="8" t="s">
        <v>7608</v>
      </c>
      <c r="BH1028" s="4" t="s">
        <v>7609</v>
      </c>
      <c r="BI1028" s="8" t="n">
        <v>11</v>
      </c>
      <c r="BJ1028" s="8" t="s">
        <v>7610</v>
      </c>
      <c r="BK1028" s="4" t="s">
        <v>7611</v>
      </c>
      <c r="BL1028" s="8" t="s">
        <v>7602</v>
      </c>
      <c r="BM1028" s="4" t="s">
        <v>7620</v>
      </c>
      <c r="BN1028" s="8"/>
      <c r="BO1028" s="8"/>
      <c r="BP1028" s="8" t="s">
        <v>7602</v>
      </c>
      <c r="BQ1028" s="8" t="str">
        <f aca="false">IF(A1028="","",AT1028)</f>
        <v>3歳</v>
      </c>
      <c r="BR1028" s="8" t="str">
        <f aca="false">IF(A1028="","",IF(BA1028&lt;=1200,"～1200",IF(BA1028&lt;=1500,"1300～1500",IF(BA1028=1600,"1600",IF(BA1028&lt;=1800,"1700～1800",IF(BA1028&lt;=2000,"1900～2000","2100以上"))))))</f>
        <v>2100以上</v>
      </c>
      <c r="BS1028" s="8" t="str">
        <f aca="false">IF(A1028="","",IF(AX1028="G1","G1",IF(AX1028="G2","G2",IF(AX1028="G3","G3",IF(AX1028="L","L","その他")))))</f>
        <v>その他</v>
      </c>
      <c r="BT1028" s="8" t="str">
        <f aca="false">IF(A1028="","",IF(BI1028="","未結合",IF(D1028=BI1028,"一致","不一致")))</f>
        <v>一致</v>
      </c>
      <c r="BU1028" s="8" t="str">
        <f aca="false">IF(A1028="","",IF(BE1028="牝馬限定","牝馬限定","その他"))</f>
        <v>その他</v>
      </c>
    </row>
    <row r="1029" customFormat="false" ht="15.75" hidden="false" customHeight="false" outlineLevel="0" collapsed="false">
      <c r="A1029" s="6" t="n">
        <f aca="false">DATE(2026,5,9)</f>
        <v>46151</v>
      </c>
      <c r="B1029" s="4" t="s">
        <v>4473</v>
      </c>
      <c r="C1029" s="8" t="n">
        <v>3</v>
      </c>
      <c r="D1029" s="8" t="n">
        <v>16</v>
      </c>
      <c r="E1029" s="8" t="n">
        <v>9</v>
      </c>
      <c r="F1029" s="4" t="s">
        <v>5582</v>
      </c>
      <c r="G1029" s="8" t="n">
        <v>67</v>
      </c>
      <c r="H1029" s="8" t="n">
        <v>13</v>
      </c>
      <c r="I1029" s="4" t="s">
        <v>6667</v>
      </c>
      <c r="J1029" s="8" t="n">
        <v>66</v>
      </c>
      <c r="K1029" s="8" t="n">
        <v>16</v>
      </c>
      <c r="L1029" s="4" t="s">
        <v>3354</v>
      </c>
      <c r="M1029" s="8" t="n">
        <v>44</v>
      </c>
      <c r="N1029" s="8" t="n">
        <f aca="false">IF(A1029="","",G1029-J1029)</f>
        <v>1</v>
      </c>
      <c r="O1029" s="8" t="n">
        <f aca="false">IF(A1029="","",J1029-M1029)</f>
        <v>22</v>
      </c>
      <c r="P1029" s="8" t="n">
        <f aca="false">IF(A1029="","",G1029+J1029)</f>
        <v>133</v>
      </c>
      <c r="Q1029" s="8" t="str">
        <f aca="false">IF(A1029="","",IF(AND(Y1029&lt;&gt;"参考",G1029&gt;=ルール設定!$B$2),"○",""))</f>
        <v/>
      </c>
      <c r="R1029" s="8" t="str">
        <f aca="false">IF(A1029="","",IF(AND(Y1029&lt;&gt;"参考",G1029&gt;=ルール設定!$B$3,N1029&gt;=ルール設定!$B$4),"○",""))</f>
        <v/>
      </c>
      <c r="S1029" s="8" t="str">
        <f aca="false">IF(A1029="","",IF(AND(Y1029&lt;&gt;"参考",G1029&gt;=ルール設定!$B$5,J1029&gt;=ルール設定!$B$6,O1029&gt;=ルール設定!$B$7),"○",""))</f>
        <v>○</v>
      </c>
      <c r="T1029" s="8" t="n">
        <v>3</v>
      </c>
      <c r="U1029" s="8" t="n">
        <v>1</v>
      </c>
      <c r="V1029" s="8" t="str">
        <f aca="false">IF(A1029="","",IF(AND(ISNUMBER(T1029),ISNUMBER(U1029)),IF(AND(T1029&lt;=3,U1029&lt;=3),"○","×"),""))</f>
        <v>○</v>
      </c>
      <c r="W1029" s="8" t="n">
        <v>110</v>
      </c>
      <c r="X1029" s="8" t="n">
        <v>190</v>
      </c>
      <c r="Y1029" s="4" t="s">
        <v>7597</v>
      </c>
      <c r="Z1029" s="8" t="s">
        <v>8111</v>
      </c>
      <c r="AA1029" s="8" t="str">
        <v/>
      </c>
      <c r="AB1029" s="8" t="str">
        <v/>
      </c>
      <c r="AC1029" s="8" t="str">
        <v/>
      </c>
      <c r="AD1029" s="8" t="str">
        <v/>
      </c>
      <c r="AE1029" s="8" t="str">
        <v/>
      </c>
      <c r="AF1029" s="8" t="str">
        <v/>
      </c>
      <c r="AG1029" s="8" t="str">
        <v/>
      </c>
      <c r="AH1029" s="8" t="str">
        <v/>
      </c>
      <c r="AI1029" s="8" t="n">
        <v>23</v>
      </c>
      <c r="AJ1029" s="8" t="str">
        <v>60～69</v>
      </c>
      <c r="AK1029" s="8" t="str">
        <v>0～4</v>
      </c>
      <c r="AL1029" s="8" t="str">
        <v>20～29</v>
      </c>
      <c r="AM1029" s="8" t="str">
        <v>120～139</v>
      </c>
      <c r="AN1029" s="8" t="str">
        <v>15以上</v>
      </c>
      <c r="AO1029" s="8" t="str">
        <f aca="false">IF(A1029="","",IF(COUNTIFS(全馬データ!$A$2:$A$50000,A1029,全馬データ!$B$2:$B$50000,B1029,全馬データ!$C$2:$C$50000,C1029,全馬データ!$D$2:$D$50000,E1029,全馬データ!$K$2:$K$50000,"&lt;&gt;")=0,"",SUMIFS(全馬データ!$K$2:$K$50000,全馬データ!$A$2:$A$50000,A1029,全馬データ!$B$2:$B$50000,B1029,全馬データ!$C$2:$C$50000,C1029,全馬データ!$D$2:$D$50000,E1029)))</f>
        <v/>
      </c>
      <c r="AP1029" s="8" t="str">
        <f aca="false">IF(A1029="","",IF(AO1029="","欠損",IF(AO1029&lt;=1.1,"1.0～1.1",IF(AO1029&lt;1.3,"1.2",IF(AO1029&lt;1.5,"1.3～1.4",IF(AO1029&lt;2,"1.5～1.9","2.0以上"))))))</f>
        <v>欠損</v>
      </c>
      <c r="AQ1029" s="8" t="str">
        <f aca="false">IF(A1029="","",IF(ISNUMBER(SEARCH("2歳",Z1029)),"2歳戦",IF(ISNUMBER(SEARCH("3歳未勝利",Z1029)),"3歳未勝利",IF(ISNUMBER(SEARCH("未勝利",Z1029)),"その他未勝利",IF(ISNUMBER(SEARCH("G1",Z1029)),"G1",IF(ISNUMBER(SEARCH("G2",Z1029)),"G2",IF(ISNUMBER(SEARCH("G3",Z1029)),"G3",IF(ISNUMBER(SEARCH("古馬条件",Z1029)),"古馬条件戦",IF(ISNUMBER(SEARCH("重賞",Z1029)),"重賞","分類不能")))))))))</f>
        <v>分類不能</v>
      </c>
      <c r="AR1029" s="8"/>
      <c r="AS1029" s="8" t="s">
        <v>7623</v>
      </c>
      <c r="AT1029" s="8" t="s">
        <v>7624</v>
      </c>
      <c r="AU1029" s="8" t="s">
        <v>7600</v>
      </c>
      <c r="AV1029" s="4" t="s">
        <v>7601</v>
      </c>
      <c r="AW1029" s="8"/>
      <c r="AX1029" s="8"/>
      <c r="AY1029" s="8" t="s">
        <v>7610</v>
      </c>
      <c r="AZ1029" s="4" t="s">
        <v>7617</v>
      </c>
      <c r="BA1029" s="8" t="n">
        <v>1600</v>
      </c>
      <c r="BB1029" s="8" t="s">
        <v>7598</v>
      </c>
      <c r="BC1029" s="4" t="s">
        <v>7604</v>
      </c>
      <c r="BD1029" s="8" t="s">
        <v>7625</v>
      </c>
      <c r="BE1029" s="4" t="s">
        <v>7606</v>
      </c>
      <c r="BF1029" s="8" t="s">
        <v>7607</v>
      </c>
      <c r="BG1029" s="8" t="s">
        <v>7608</v>
      </c>
      <c r="BH1029" s="4" t="s">
        <v>7609</v>
      </c>
      <c r="BI1029" s="8" t="n">
        <v>16</v>
      </c>
      <c r="BJ1029" s="8" t="s">
        <v>7610</v>
      </c>
      <c r="BK1029" s="4" t="s">
        <v>7611</v>
      </c>
      <c r="BL1029" s="8" t="s">
        <v>7602</v>
      </c>
      <c r="BM1029" s="4" t="s">
        <v>7620</v>
      </c>
      <c r="BN1029" s="8"/>
      <c r="BO1029" s="8"/>
      <c r="BP1029" s="8" t="s">
        <v>7602</v>
      </c>
      <c r="BQ1029" s="8" t="str">
        <f aca="false">IF(A1029="","",AT1029)</f>
        <v>3歳</v>
      </c>
      <c r="BR1029" s="8" t="str">
        <f aca="false">IF(A1029="","",IF(BA1029&lt;=1200,"～1200",IF(BA1029&lt;=1500,"1300～1500",IF(BA1029=1600,"1600",IF(BA1029&lt;=1800,"1700～1800",IF(BA1029&lt;=2000,"1900～2000","2100以上"))))))</f>
        <v>1600</v>
      </c>
      <c r="BS1029" s="8" t="str">
        <f aca="false">IF(A1029="","",IF(AX1029="G1","G1",IF(AX1029="G2","G2",IF(AX1029="G3","G3",IF(AX1029="L","L","その他")))))</f>
        <v>その他</v>
      </c>
      <c r="BT1029" s="8" t="str">
        <f aca="false">IF(A1029="","",IF(BI1029="","未結合",IF(D1029=BI1029,"一致","不一致")))</f>
        <v>一致</v>
      </c>
      <c r="BU1029" s="8" t="str">
        <f aca="false">IF(A1029="","",IF(BE1029="牝馬限定","牝馬限定","その他"))</f>
        <v>その他</v>
      </c>
    </row>
    <row r="1030" customFormat="false" ht="15.75" hidden="false" customHeight="false" outlineLevel="0" collapsed="false">
      <c r="A1030" s="6" t="n">
        <f aca="false">DATE(2026,5,9)</f>
        <v>46151</v>
      </c>
      <c r="B1030" s="4" t="s">
        <v>4473</v>
      </c>
      <c r="C1030" s="8" t="n">
        <v>4</v>
      </c>
      <c r="D1030" s="8" t="n">
        <v>12</v>
      </c>
      <c r="E1030" s="8" t="n">
        <v>4</v>
      </c>
      <c r="F1030" s="4" t="s">
        <v>4532</v>
      </c>
      <c r="G1030" s="8" t="n">
        <v>74</v>
      </c>
      <c r="H1030" s="8" t="n">
        <v>6</v>
      </c>
      <c r="I1030" s="4" t="s">
        <v>7033</v>
      </c>
      <c r="J1030" s="8" t="n">
        <v>60</v>
      </c>
      <c r="K1030" s="8" t="n">
        <v>10</v>
      </c>
      <c r="L1030" s="4" t="s">
        <v>4095</v>
      </c>
      <c r="M1030" s="8" t="n">
        <v>29</v>
      </c>
      <c r="N1030" s="8" t="n">
        <f aca="false">IF(A1030="","",G1030-J1030)</f>
        <v>14</v>
      </c>
      <c r="O1030" s="8" t="n">
        <f aca="false">IF(A1030="","",J1030-M1030)</f>
        <v>31</v>
      </c>
      <c r="P1030" s="8" t="n">
        <f aca="false">IF(A1030="","",G1030+J1030)</f>
        <v>134</v>
      </c>
      <c r="Q1030" s="8" t="str">
        <f aca="false">IF(A1030="","",IF(AND(Y1030&lt;&gt;"参考",G1030&gt;=ルール設定!$B$2),"○",""))</f>
        <v/>
      </c>
      <c r="R1030" s="8" t="str">
        <f aca="false">IF(A1030="","",IF(AND(Y1030&lt;&gt;"参考",G1030&gt;=ルール設定!$B$3,N1030&gt;=ルール設定!$B$4),"○",""))</f>
        <v/>
      </c>
      <c r="S1030" s="8" t="str">
        <f aca="false">IF(A1030="","",IF(AND(Y1030&lt;&gt;"参考",G1030&gt;=ルール設定!$B$5,J1030&gt;=ルール設定!$B$6,O1030&gt;=ルール設定!$B$7),"○",""))</f>
        <v>○</v>
      </c>
      <c r="T1030" s="8" t="n">
        <v>1</v>
      </c>
      <c r="U1030" s="8" t="n">
        <v>3</v>
      </c>
      <c r="V1030" s="8" t="str">
        <f aca="false">IF(A1030="","",IF(AND(ISNUMBER(T1030),ISNUMBER(U1030)),IF(AND(T1030&lt;=3,U1030&lt;=3),"○","×"),""))</f>
        <v>○</v>
      </c>
      <c r="W1030" s="8" t="n">
        <v>110</v>
      </c>
      <c r="X1030" s="8" t="n">
        <v>160</v>
      </c>
      <c r="Y1030" s="4" t="s">
        <v>7597</v>
      </c>
      <c r="Z1030" s="8" t="s">
        <v>8111</v>
      </c>
      <c r="AA1030" s="8" t="str">
        <v/>
      </c>
      <c r="AB1030" s="8" t="str">
        <v/>
      </c>
      <c r="AC1030" s="8" t="str">
        <v/>
      </c>
      <c r="AD1030" s="8" t="str">
        <v/>
      </c>
      <c r="AE1030" s="8" t="str">
        <v/>
      </c>
      <c r="AF1030" s="8" t="str">
        <v/>
      </c>
      <c r="AG1030" s="8" t="str">
        <v/>
      </c>
      <c r="AH1030" s="8" t="str">
        <v/>
      </c>
      <c r="AI1030" s="8" t="n">
        <v>45</v>
      </c>
      <c r="AJ1030" s="8" t="str">
        <v>70～74</v>
      </c>
      <c r="AK1030" s="8" t="str">
        <v>10～19</v>
      </c>
      <c r="AL1030" s="8" t="str">
        <v>40以上</v>
      </c>
      <c r="AM1030" s="8" t="str">
        <v>120～139</v>
      </c>
      <c r="AN1030" s="8" t="str">
        <v>12～14</v>
      </c>
      <c r="AO1030" s="8" t="str">
        <f aca="false">IF(A1030="","",IF(COUNTIFS(全馬データ!$A$2:$A$50000,A1030,全馬データ!$B$2:$B$50000,B1030,全馬データ!$C$2:$C$50000,C1030,全馬データ!$D$2:$D$50000,E1030,全馬データ!$K$2:$K$50000,"&lt;&gt;")=0,"",SUMIFS(全馬データ!$K$2:$K$50000,全馬データ!$A$2:$A$50000,A1030,全馬データ!$B$2:$B$50000,B1030,全馬データ!$C$2:$C$50000,C1030,全馬データ!$D$2:$D$50000,E1030)))</f>
        <v/>
      </c>
      <c r="AP1030" s="8" t="str">
        <f aca="false">IF(A1030="","",IF(AO1030="","欠損",IF(AO1030&lt;=1.1,"1.0～1.1",IF(AO1030&lt;1.3,"1.2",IF(AO1030&lt;1.5,"1.3～1.4",IF(AO1030&lt;2,"1.5～1.9","2.0以上"))))))</f>
        <v>欠損</v>
      </c>
      <c r="AQ1030" s="8" t="str">
        <f aca="false">IF(A1030="","",IF(ISNUMBER(SEARCH("2歳",Z1030)),"2歳戦",IF(ISNUMBER(SEARCH("3歳未勝利",Z1030)),"3歳未勝利",IF(ISNUMBER(SEARCH("未勝利",Z1030)),"その他未勝利",IF(ISNUMBER(SEARCH("G1",Z1030)),"G1",IF(ISNUMBER(SEARCH("G2",Z1030)),"G2",IF(ISNUMBER(SEARCH("G3",Z1030)),"G3",IF(ISNUMBER(SEARCH("古馬条件",Z1030)),"古馬条件戦",IF(ISNUMBER(SEARCH("重賞",Z1030)),"重賞","分類不能")))))))))</f>
        <v>分類不能</v>
      </c>
      <c r="AR1030" s="8"/>
      <c r="AS1030" s="8" t="s">
        <v>7623</v>
      </c>
      <c r="AT1030" s="8" t="s">
        <v>7624</v>
      </c>
      <c r="AU1030" s="8" t="s">
        <v>7600</v>
      </c>
      <c r="AV1030" s="4" t="s">
        <v>7601</v>
      </c>
      <c r="AW1030" s="8"/>
      <c r="AX1030" s="8"/>
      <c r="AY1030" s="8" t="s">
        <v>7602</v>
      </c>
      <c r="AZ1030" s="4" t="s">
        <v>7603</v>
      </c>
      <c r="BA1030" s="8" t="n">
        <v>2400</v>
      </c>
      <c r="BB1030" s="8" t="s">
        <v>7598</v>
      </c>
      <c r="BC1030" s="4" t="s">
        <v>7604</v>
      </c>
      <c r="BD1030" s="8" t="s">
        <v>7625</v>
      </c>
      <c r="BE1030" s="4" t="s">
        <v>7606</v>
      </c>
      <c r="BF1030" s="8" t="s">
        <v>7607</v>
      </c>
      <c r="BG1030" s="8" t="s">
        <v>7608</v>
      </c>
      <c r="BH1030" s="4" t="s">
        <v>7609</v>
      </c>
      <c r="BI1030" s="8" t="n">
        <v>12</v>
      </c>
      <c r="BJ1030" s="8" t="s">
        <v>7610</v>
      </c>
      <c r="BK1030" s="4" t="s">
        <v>7611</v>
      </c>
      <c r="BL1030" s="8" t="s">
        <v>7602</v>
      </c>
      <c r="BM1030" s="4" t="s">
        <v>7620</v>
      </c>
      <c r="BN1030" s="8" t="s">
        <v>7602</v>
      </c>
      <c r="BO1030" s="8" t="s">
        <v>7613</v>
      </c>
      <c r="BP1030" s="8" t="s">
        <v>7602</v>
      </c>
      <c r="BQ1030" s="8" t="str">
        <f aca="false">IF(A1030="","",AT1030)</f>
        <v>3歳</v>
      </c>
      <c r="BR1030" s="8" t="str">
        <f aca="false">IF(A1030="","",IF(BA1030&lt;=1200,"～1200",IF(BA1030&lt;=1500,"1300～1500",IF(BA1030=1600,"1600",IF(BA1030&lt;=1800,"1700～1800",IF(BA1030&lt;=2000,"1900～2000","2100以上"))))))</f>
        <v>2100以上</v>
      </c>
      <c r="BS1030" s="8" t="str">
        <f aca="false">IF(A1030="","",IF(AX1030="G1","G1",IF(AX1030="G2","G2",IF(AX1030="G3","G3",IF(AX1030="L","L","その他")))))</f>
        <v>その他</v>
      </c>
      <c r="BT1030" s="8" t="str">
        <f aca="false">IF(A1030="","",IF(BI1030="","未結合",IF(D1030=BI1030,"一致","不一致")))</f>
        <v>一致</v>
      </c>
      <c r="BU1030" s="8" t="str">
        <f aca="false">IF(A1030="","",IF(BE1030="牝馬限定","牝馬限定","その他"))</f>
        <v>その他</v>
      </c>
    </row>
    <row r="1031" customFormat="false" ht="15.75" hidden="false" customHeight="false" outlineLevel="0" collapsed="false">
      <c r="A1031" s="6" t="n">
        <f aca="false">DATE(2026,5,9)</f>
        <v>46151</v>
      </c>
      <c r="B1031" s="4" t="s">
        <v>4473</v>
      </c>
      <c r="C1031" s="8" t="n">
        <v>5</v>
      </c>
      <c r="D1031" s="8" t="n">
        <v>18</v>
      </c>
      <c r="E1031" s="8" t="n">
        <v>9</v>
      </c>
      <c r="F1031" s="4" t="s">
        <v>1412</v>
      </c>
      <c r="G1031" s="8" t="n">
        <v>67</v>
      </c>
      <c r="H1031" s="8" t="n">
        <v>1</v>
      </c>
      <c r="I1031" s="4" t="s">
        <v>1290</v>
      </c>
      <c r="J1031" s="8" t="n">
        <v>47</v>
      </c>
      <c r="K1031" s="8" t="n">
        <v>11</v>
      </c>
      <c r="L1031" s="4" t="s">
        <v>173</v>
      </c>
      <c r="M1031" s="8" t="n">
        <v>47</v>
      </c>
      <c r="N1031" s="8" t="n">
        <f aca="false">IF(A1031="","",G1031-J1031)</f>
        <v>20</v>
      </c>
      <c r="O1031" s="8" t="n">
        <f aca="false">IF(A1031="","",J1031-M1031)</f>
        <v>0</v>
      </c>
      <c r="P1031" s="8" t="n">
        <f aca="false">IF(A1031="","",G1031+J1031)</f>
        <v>114</v>
      </c>
      <c r="Q1031" s="8" t="str">
        <f aca="false">IF(A1031="","",IF(AND(Y1031&lt;&gt;"参考",G1031&gt;=ルール設定!$B$2),"○",""))</f>
        <v/>
      </c>
      <c r="R1031" s="8" t="str">
        <f aca="false">IF(A1031="","",IF(AND(Y1031&lt;&gt;"参考",G1031&gt;=ルール設定!$B$3,N1031&gt;=ルール設定!$B$4),"○",""))</f>
        <v/>
      </c>
      <c r="S1031" s="8" t="str">
        <f aca="false">IF(A1031="","",IF(AND(Y1031&lt;&gt;"参考",G1031&gt;=ルール設定!$B$5,J1031&gt;=ルール設定!$B$6,O1031&gt;=ルール設定!$B$7),"○",""))</f>
        <v/>
      </c>
      <c r="T1031" s="8" t="n">
        <v>4</v>
      </c>
      <c r="U1031" s="8" t="n">
        <v>4</v>
      </c>
      <c r="V1031" s="8" t="str">
        <f aca="false">IF(A1031="","",IF(AND(ISNUMBER(T1031),ISNUMBER(U1031)),IF(AND(T1031&lt;=3,U1031&lt;=3),"○","×"),""))</f>
        <v>×</v>
      </c>
      <c r="W1031" s="8"/>
      <c r="X1031" s="8"/>
      <c r="Y1031" s="4" t="s">
        <v>7597</v>
      </c>
      <c r="Z1031" s="8" t="s">
        <v>8111</v>
      </c>
      <c r="AA1031" s="8" t="str">
        <v/>
      </c>
      <c r="AB1031" s="8" t="str">
        <v/>
      </c>
      <c r="AC1031" s="8" t="str">
        <v/>
      </c>
      <c r="AD1031" s="8" t="str">
        <v/>
      </c>
      <c r="AE1031" s="8" t="str">
        <v/>
      </c>
      <c r="AF1031" s="8" t="str">
        <v/>
      </c>
      <c r="AG1031" s="8" t="str">
        <v/>
      </c>
      <c r="AH1031" s="8" t="str">
        <v/>
      </c>
      <c r="AI1031" s="8" t="n">
        <v>20</v>
      </c>
      <c r="AJ1031" s="8" t="str">
        <v>60～69</v>
      </c>
      <c r="AK1031" s="8" t="str">
        <v>20～29</v>
      </c>
      <c r="AL1031" s="8" t="str">
        <v>20～29</v>
      </c>
      <c r="AM1031" s="8" t="str">
        <v>100～119</v>
      </c>
      <c r="AN1031" s="8" t="str">
        <v>15以上</v>
      </c>
      <c r="AO1031" s="8" t="str">
        <f aca="false">IF(A1031="","",IF(COUNTIFS(全馬データ!$A$2:$A$50000,A1031,全馬データ!$B$2:$B$50000,B1031,全馬データ!$C$2:$C$50000,C1031,全馬データ!$D$2:$D$50000,E1031,全馬データ!$K$2:$K$50000,"&lt;&gt;")=0,"",SUMIFS(全馬データ!$K$2:$K$50000,全馬データ!$A$2:$A$50000,A1031,全馬データ!$B$2:$B$50000,B1031,全馬データ!$C$2:$C$50000,C1031,全馬データ!$D$2:$D$50000,E1031)))</f>
        <v/>
      </c>
      <c r="AP1031" s="8" t="str">
        <f aca="false">IF(A1031="","",IF(AO1031="","欠損",IF(AO1031&lt;=1.1,"1.0～1.1",IF(AO1031&lt;1.3,"1.2",IF(AO1031&lt;1.5,"1.3～1.4",IF(AO1031&lt;2,"1.5～1.9","2.0以上"))))))</f>
        <v>欠損</v>
      </c>
      <c r="AQ1031" s="8" t="str">
        <f aca="false">IF(A1031="","",IF(ISNUMBER(SEARCH("2歳",Z1031)),"2歳戦",IF(ISNUMBER(SEARCH("3歳未勝利",Z1031)),"3歳未勝利",IF(ISNUMBER(SEARCH("未勝利",Z1031)),"その他未勝利",IF(ISNUMBER(SEARCH("G1",Z1031)),"G1",IF(ISNUMBER(SEARCH("G2",Z1031)),"G2",IF(ISNUMBER(SEARCH("G3",Z1031)),"G3",IF(ISNUMBER(SEARCH("古馬条件",Z1031)),"古馬条件戦",IF(ISNUMBER(SEARCH("重賞",Z1031)),"重賞","分類不能")))))))))</f>
        <v>分類不能</v>
      </c>
      <c r="AR1031" s="8"/>
      <c r="AS1031" s="8" t="s">
        <v>7623</v>
      </c>
      <c r="AT1031" s="8" t="s">
        <v>7624</v>
      </c>
      <c r="AU1031" s="8" t="s">
        <v>7600</v>
      </c>
      <c r="AV1031" s="4" t="s">
        <v>7601</v>
      </c>
      <c r="AW1031" s="8"/>
      <c r="AX1031" s="8"/>
      <c r="AY1031" s="8" t="s">
        <v>7602</v>
      </c>
      <c r="AZ1031" s="4" t="s">
        <v>7603</v>
      </c>
      <c r="BA1031" s="8" t="n">
        <v>1400</v>
      </c>
      <c r="BB1031" s="8" t="s">
        <v>7598</v>
      </c>
      <c r="BC1031" s="4" t="s">
        <v>7604</v>
      </c>
      <c r="BD1031" s="8" t="s">
        <v>7625</v>
      </c>
      <c r="BE1031" s="4" t="s">
        <v>7606</v>
      </c>
      <c r="BF1031" s="8" t="s">
        <v>7607</v>
      </c>
      <c r="BG1031" s="8" t="s">
        <v>7608</v>
      </c>
      <c r="BH1031" s="4" t="s">
        <v>7609</v>
      </c>
      <c r="BI1031" s="8" t="n">
        <v>18</v>
      </c>
      <c r="BJ1031" s="8" t="s">
        <v>7610</v>
      </c>
      <c r="BK1031" s="4" t="s">
        <v>7611</v>
      </c>
      <c r="BL1031" s="8" t="s">
        <v>7602</v>
      </c>
      <c r="BM1031" s="4" t="s">
        <v>7620</v>
      </c>
      <c r="BN1031" s="8" t="s">
        <v>7602</v>
      </c>
      <c r="BO1031" s="8" t="s">
        <v>7613</v>
      </c>
      <c r="BP1031" s="8" t="s">
        <v>7602</v>
      </c>
      <c r="BQ1031" s="8" t="str">
        <f aca="false">IF(A1031="","",AT1031)</f>
        <v>3歳</v>
      </c>
      <c r="BR1031" s="8" t="str">
        <f aca="false">IF(A1031="","",IF(BA1031&lt;=1200,"～1200",IF(BA1031&lt;=1500,"1300～1500",IF(BA1031=1600,"1600",IF(BA1031&lt;=1800,"1700～1800",IF(BA1031&lt;=2000,"1900～2000","2100以上"))))))</f>
        <v>1300～1500</v>
      </c>
      <c r="BS1031" s="8" t="str">
        <f aca="false">IF(A1031="","",IF(AX1031="G1","G1",IF(AX1031="G2","G2",IF(AX1031="G3","G3",IF(AX1031="L","L","その他")))))</f>
        <v>その他</v>
      </c>
      <c r="BT1031" s="8" t="str">
        <f aca="false">IF(A1031="","",IF(BI1031="","未結合",IF(D1031=BI1031,"一致","不一致")))</f>
        <v>一致</v>
      </c>
      <c r="BU1031" s="8" t="str">
        <f aca="false">IF(A1031="","",IF(BE1031="牝馬限定","牝馬限定","その他"))</f>
        <v>その他</v>
      </c>
    </row>
    <row r="1032" customFormat="false" ht="15.75" hidden="false" customHeight="false" outlineLevel="0" collapsed="false">
      <c r="A1032" s="6" t="n">
        <f aca="false">DATE(2026,5,9)</f>
        <v>46151</v>
      </c>
      <c r="B1032" s="4" t="s">
        <v>4473</v>
      </c>
      <c r="C1032" s="8" t="n">
        <v>6</v>
      </c>
      <c r="D1032" s="8" t="n">
        <v>12</v>
      </c>
      <c r="E1032" s="8" t="n">
        <v>7</v>
      </c>
      <c r="F1032" s="4" t="s">
        <v>5048</v>
      </c>
      <c r="G1032" s="8" t="n">
        <v>60</v>
      </c>
      <c r="H1032" s="8" t="n">
        <v>10</v>
      </c>
      <c r="I1032" s="4" t="s">
        <v>863</v>
      </c>
      <c r="J1032" s="8" t="n">
        <v>50</v>
      </c>
      <c r="K1032" s="8" t="n">
        <v>8</v>
      </c>
      <c r="L1032" s="4" t="s">
        <v>1342</v>
      </c>
      <c r="M1032" s="8" t="n">
        <v>47</v>
      </c>
      <c r="N1032" s="8" t="n">
        <f aca="false">IF(A1032="","",G1032-J1032)</f>
        <v>10</v>
      </c>
      <c r="O1032" s="8" t="n">
        <f aca="false">IF(A1032="","",J1032-M1032)</f>
        <v>3</v>
      </c>
      <c r="P1032" s="8" t="n">
        <f aca="false">IF(A1032="","",G1032+J1032)</f>
        <v>110</v>
      </c>
      <c r="Q1032" s="8" t="str">
        <f aca="false">IF(A1032="","",IF(AND(Y1032&lt;&gt;"参考",G1032&gt;=ルール設定!$B$2),"○",""))</f>
        <v/>
      </c>
      <c r="R1032" s="8" t="str">
        <f aca="false">IF(A1032="","",IF(AND(Y1032&lt;&gt;"参考",G1032&gt;=ルール設定!$B$3,N1032&gt;=ルール設定!$B$4),"○",""))</f>
        <v/>
      </c>
      <c r="S1032" s="8" t="str">
        <f aca="false">IF(A1032="","",IF(AND(Y1032&lt;&gt;"参考",G1032&gt;=ルール設定!$B$5,J1032&gt;=ルール設定!$B$6,O1032&gt;=ルール設定!$B$7),"○",""))</f>
        <v/>
      </c>
      <c r="T1032" s="8" t="n">
        <v>4</v>
      </c>
      <c r="U1032" s="8" t="n">
        <v>4</v>
      </c>
      <c r="V1032" s="8" t="str">
        <f aca="false">IF(A1032="","",IF(AND(ISNUMBER(T1032),ISNUMBER(U1032)),IF(AND(T1032&lt;=3,U1032&lt;=3),"○","×"),""))</f>
        <v>×</v>
      </c>
      <c r="W1032" s="8"/>
      <c r="X1032" s="8"/>
      <c r="Y1032" s="4" t="s">
        <v>7597</v>
      </c>
      <c r="Z1032" s="8" t="s">
        <v>8111</v>
      </c>
      <c r="AA1032" s="8" t="str">
        <v/>
      </c>
      <c r="AB1032" s="8" t="str">
        <v/>
      </c>
      <c r="AC1032" s="8" t="str">
        <v/>
      </c>
      <c r="AD1032" s="8" t="str">
        <v/>
      </c>
      <c r="AE1032" s="8" t="str">
        <v/>
      </c>
      <c r="AF1032" s="8" t="str">
        <v/>
      </c>
      <c r="AG1032" s="8" t="str">
        <v/>
      </c>
      <c r="AH1032" s="8" t="str">
        <v/>
      </c>
      <c r="AI1032" s="8" t="n">
        <v>13</v>
      </c>
      <c r="AJ1032" s="8" t="str">
        <v>60～69</v>
      </c>
      <c r="AK1032" s="8" t="str">
        <v>10～19</v>
      </c>
      <c r="AL1032" s="8" t="str">
        <v>10～19</v>
      </c>
      <c r="AM1032" s="8" t="str">
        <v>100～119</v>
      </c>
      <c r="AN1032" s="8" t="str">
        <v>12～14</v>
      </c>
      <c r="AO1032" s="8" t="str">
        <f aca="false">IF(A1032="","",IF(COUNTIFS(全馬データ!$A$2:$A$50000,A1032,全馬データ!$B$2:$B$50000,B1032,全馬データ!$C$2:$C$50000,C1032,全馬データ!$D$2:$D$50000,E1032,全馬データ!$K$2:$K$50000,"&lt;&gt;")=0,"",SUMIFS(全馬データ!$K$2:$K$50000,全馬データ!$A$2:$A$50000,A1032,全馬データ!$B$2:$B$50000,B1032,全馬データ!$C$2:$C$50000,C1032,全馬データ!$D$2:$D$50000,E1032)))</f>
        <v/>
      </c>
      <c r="AP1032" s="8" t="str">
        <f aca="false">IF(A1032="","",IF(AO1032="","欠損",IF(AO1032&lt;=1.1,"1.0～1.1",IF(AO1032&lt;1.3,"1.2",IF(AO1032&lt;1.5,"1.3～1.4",IF(AO1032&lt;2,"1.5～1.9","2.0以上"))))))</f>
        <v>欠損</v>
      </c>
      <c r="AQ1032" s="8" t="str">
        <f aca="false">IF(A1032="","",IF(ISNUMBER(SEARCH("2歳",Z1032)),"2歳戦",IF(ISNUMBER(SEARCH("3歳未勝利",Z1032)),"3歳未勝利",IF(ISNUMBER(SEARCH("未勝利",Z1032)),"その他未勝利",IF(ISNUMBER(SEARCH("G1",Z1032)),"G1",IF(ISNUMBER(SEARCH("G2",Z1032)),"G2",IF(ISNUMBER(SEARCH("G3",Z1032)),"G3",IF(ISNUMBER(SEARCH("古馬条件",Z1032)),"古馬条件戦",IF(ISNUMBER(SEARCH("重賞",Z1032)),"重賞","分類不能")))))))))</f>
        <v>分類不能</v>
      </c>
      <c r="AR1032" s="8"/>
      <c r="AS1032" s="8" t="s">
        <v>7623</v>
      </c>
      <c r="AT1032" s="8" t="s">
        <v>7624</v>
      </c>
      <c r="AU1032" s="8" t="s">
        <v>7628</v>
      </c>
      <c r="AV1032" s="8" t="s">
        <v>7629</v>
      </c>
      <c r="AW1032" s="8"/>
      <c r="AX1032" s="8"/>
      <c r="AY1032" s="8" t="s">
        <v>7602</v>
      </c>
      <c r="AZ1032" s="4" t="s">
        <v>7603</v>
      </c>
      <c r="BA1032" s="8" t="n">
        <v>1800</v>
      </c>
      <c r="BB1032" s="8" t="s">
        <v>7598</v>
      </c>
      <c r="BC1032" s="4" t="s">
        <v>7604</v>
      </c>
      <c r="BD1032" s="8" t="s">
        <v>7630</v>
      </c>
      <c r="BE1032" s="4" t="s">
        <v>7606</v>
      </c>
      <c r="BF1032" s="8" t="s">
        <v>7607</v>
      </c>
      <c r="BG1032" s="8" t="s">
        <v>7608</v>
      </c>
      <c r="BH1032" s="4" t="s">
        <v>7609</v>
      </c>
      <c r="BI1032" s="8" t="n">
        <v>12</v>
      </c>
      <c r="BJ1032" s="8" t="s">
        <v>7610</v>
      </c>
      <c r="BK1032" s="4" t="s">
        <v>7611</v>
      </c>
      <c r="BL1032" s="8" t="s">
        <v>7602</v>
      </c>
      <c r="BM1032" s="4" t="s">
        <v>7620</v>
      </c>
      <c r="BN1032" s="8" t="s">
        <v>7602</v>
      </c>
      <c r="BO1032" s="8" t="s">
        <v>7613</v>
      </c>
      <c r="BP1032" s="8" t="s">
        <v>7602</v>
      </c>
      <c r="BQ1032" s="8" t="str">
        <f aca="false">IF(A1032="","",AT1032)</f>
        <v>3歳</v>
      </c>
      <c r="BR1032" s="8" t="str">
        <f aca="false">IF(A1032="","",IF(BA1032&lt;=1200,"～1200",IF(BA1032&lt;=1500,"1300～1500",IF(BA1032=1600,"1600",IF(BA1032&lt;=1800,"1700～1800",IF(BA1032&lt;=2000,"1900～2000","2100以上"))))))</f>
        <v>1700～1800</v>
      </c>
      <c r="BS1032" s="8" t="str">
        <f aca="false">IF(A1032="","",IF(AX1032="G1","G1",IF(AX1032="G2","G2",IF(AX1032="G3","G3",IF(AX1032="L","L","その他")))))</f>
        <v>その他</v>
      </c>
      <c r="BT1032" s="8" t="str">
        <f aca="false">IF(A1032="","",IF(BI1032="","未結合",IF(D1032=BI1032,"一致","不一致")))</f>
        <v>一致</v>
      </c>
      <c r="BU1032" s="8" t="str">
        <f aca="false">IF(A1032="","",IF(BE1032="牝馬限定","牝馬限定","その他"))</f>
        <v>その他</v>
      </c>
    </row>
    <row r="1033" customFormat="false" ht="15.75" hidden="false" customHeight="false" outlineLevel="0" collapsed="false">
      <c r="A1033" s="6" t="n">
        <f aca="false">DATE(2026,5,9)</f>
        <v>46151</v>
      </c>
      <c r="B1033" s="4" t="s">
        <v>4473</v>
      </c>
      <c r="C1033" s="8" t="n">
        <v>7</v>
      </c>
      <c r="D1033" s="8" t="n">
        <v>14</v>
      </c>
      <c r="E1033" s="8" t="n">
        <v>3</v>
      </c>
      <c r="F1033" s="4" t="s">
        <v>7047</v>
      </c>
      <c r="G1033" s="8" t="n">
        <v>71</v>
      </c>
      <c r="H1033" s="8" t="n">
        <v>14</v>
      </c>
      <c r="I1033" s="4" t="s">
        <v>5793</v>
      </c>
      <c r="J1033" s="8" t="n">
        <v>60</v>
      </c>
      <c r="K1033" s="8" t="n">
        <v>9</v>
      </c>
      <c r="L1033" s="4" t="s">
        <v>7048</v>
      </c>
      <c r="M1033" s="8" t="n">
        <v>31</v>
      </c>
      <c r="N1033" s="8" t="n">
        <f aca="false">IF(A1033="","",G1033-J1033)</f>
        <v>11</v>
      </c>
      <c r="O1033" s="8" t="n">
        <f aca="false">IF(A1033="","",J1033-M1033)</f>
        <v>29</v>
      </c>
      <c r="P1033" s="8" t="n">
        <f aca="false">IF(A1033="","",G1033+J1033)</f>
        <v>131</v>
      </c>
      <c r="Q1033" s="8" t="str">
        <f aca="false">IF(A1033="","",IF(AND(Y1033&lt;&gt;"参考",G1033&gt;=ルール設定!$B$2),"○",""))</f>
        <v/>
      </c>
      <c r="R1033" s="8" t="str">
        <f aca="false">IF(A1033="","",IF(AND(Y1033&lt;&gt;"参考",G1033&gt;=ルール設定!$B$3,N1033&gt;=ルール設定!$B$4),"○",""))</f>
        <v/>
      </c>
      <c r="S1033" s="8" t="str">
        <f aca="false">IF(A1033="","",IF(AND(Y1033&lt;&gt;"参考",G1033&gt;=ルール設定!$B$5,J1033&gt;=ルール設定!$B$6,O1033&gt;=ルール設定!$B$7),"○",""))</f>
        <v>○</v>
      </c>
      <c r="T1033" s="8" t="n">
        <v>4</v>
      </c>
      <c r="U1033" s="8" t="n">
        <v>2</v>
      </c>
      <c r="V1033" s="8" t="str">
        <f aca="false">IF(A1033="","",IF(AND(ISNUMBER(T1033),ISNUMBER(U1033)),IF(AND(T1033&lt;=3,U1033&lt;=3),"○","×"),""))</f>
        <v>×</v>
      </c>
      <c r="W1033" s="8"/>
      <c r="X1033" s="8"/>
      <c r="Y1033" s="4" t="s">
        <v>7597</v>
      </c>
      <c r="Z1033" s="8" t="s">
        <v>8111</v>
      </c>
      <c r="AA1033" s="8" t="str">
        <v/>
      </c>
      <c r="AB1033" s="8" t="str">
        <v/>
      </c>
      <c r="AC1033" s="8" t="str">
        <v/>
      </c>
      <c r="AD1033" s="8" t="str">
        <v/>
      </c>
      <c r="AE1033" s="8" t="str">
        <v/>
      </c>
      <c r="AF1033" s="8" t="str">
        <v/>
      </c>
      <c r="AG1033" s="8" t="str">
        <v/>
      </c>
      <c r="AH1033" s="8" t="str">
        <v/>
      </c>
      <c r="AI1033" s="8" t="n">
        <v>40</v>
      </c>
      <c r="AJ1033" s="8" t="str">
        <v>70～74</v>
      </c>
      <c r="AK1033" s="8" t="str">
        <v>10～19</v>
      </c>
      <c r="AL1033" s="8" t="str">
        <v>40以上</v>
      </c>
      <c r="AM1033" s="8" t="str">
        <v>120～139</v>
      </c>
      <c r="AN1033" s="8" t="str">
        <v>12～14</v>
      </c>
      <c r="AO1033" s="8" t="str">
        <f aca="false">IF(A1033="","",IF(COUNTIFS(全馬データ!$A$2:$A$50000,A1033,全馬データ!$B$2:$B$50000,B1033,全馬データ!$C$2:$C$50000,C1033,全馬データ!$D$2:$D$50000,E1033,全馬データ!$K$2:$K$50000,"&lt;&gt;")=0,"",SUMIFS(全馬データ!$K$2:$K$50000,全馬データ!$A$2:$A$50000,A1033,全馬データ!$B$2:$B$50000,B1033,全馬データ!$C$2:$C$50000,C1033,全馬データ!$D$2:$D$50000,E1033)))</f>
        <v/>
      </c>
      <c r="AP1033" s="8" t="str">
        <f aca="false">IF(A1033="","",IF(AO1033="","欠損",IF(AO1033&lt;=1.1,"1.0～1.1",IF(AO1033&lt;1.3,"1.2",IF(AO1033&lt;1.5,"1.3～1.4",IF(AO1033&lt;2,"1.5～1.9","2.0以上"))))))</f>
        <v>欠損</v>
      </c>
      <c r="AQ1033" s="8" t="str">
        <f aca="false">IF(A1033="","",IF(ISNUMBER(SEARCH("2歳",Z1033)),"2歳戦",IF(ISNUMBER(SEARCH("3歳未勝利",Z1033)),"3歳未勝利",IF(ISNUMBER(SEARCH("未勝利",Z1033)),"その他未勝利",IF(ISNUMBER(SEARCH("G1",Z1033)),"G1",IF(ISNUMBER(SEARCH("G2",Z1033)),"G2",IF(ISNUMBER(SEARCH("G3",Z1033)),"G3",IF(ISNUMBER(SEARCH("古馬条件",Z1033)),"古馬条件戦",IF(ISNUMBER(SEARCH("重賞",Z1033)),"重賞","分類不能")))))))))</f>
        <v>分類不能</v>
      </c>
      <c r="AR1033" s="8"/>
      <c r="AS1033" s="8" t="s">
        <v>7842</v>
      </c>
      <c r="AT1033" s="8" t="s">
        <v>7843</v>
      </c>
      <c r="AU1033" s="8" t="s">
        <v>7628</v>
      </c>
      <c r="AV1033" s="8" t="s">
        <v>7629</v>
      </c>
      <c r="AW1033" s="8"/>
      <c r="AX1033" s="8"/>
      <c r="AY1033" s="8" t="s">
        <v>7610</v>
      </c>
      <c r="AZ1033" s="4" t="s">
        <v>7617</v>
      </c>
      <c r="BA1033" s="8" t="n">
        <v>2100</v>
      </c>
      <c r="BB1033" s="8" t="s">
        <v>7598</v>
      </c>
      <c r="BC1033" s="4" t="s">
        <v>7604</v>
      </c>
      <c r="BD1033" s="8" t="s">
        <v>7605</v>
      </c>
      <c r="BE1033" s="4" t="s">
        <v>7606</v>
      </c>
      <c r="BF1033" s="8" t="s">
        <v>7607</v>
      </c>
      <c r="BG1033" s="8" t="s">
        <v>7631</v>
      </c>
      <c r="BH1033" s="4" t="s">
        <v>7632</v>
      </c>
      <c r="BI1033" s="8" t="n">
        <v>14</v>
      </c>
      <c r="BJ1033" s="8" t="s">
        <v>7610</v>
      </c>
      <c r="BK1033" s="4" t="s">
        <v>7611</v>
      </c>
      <c r="BL1033" s="8" t="s">
        <v>7602</v>
      </c>
      <c r="BM1033" s="4" t="s">
        <v>7620</v>
      </c>
      <c r="BN1033" s="8"/>
      <c r="BO1033" s="8"/>
      <c r="BP1033" s="8" t="s">
        <v>7602</v>
      </c>
      <c r="BQ1033" s="8" t="str">
        <f aca="false">IF(A1033="","",AT1033)</f>
        <v>4歳以上</v>
      </c>
      <c r="BR1033" s="8" t="str">
        <f aca="false">IF(A1033="","",IF(BA1033&lt;=1200,"～1200",IF(BA1033&lt;=1500,"1300～1500",IF(BA1033=1600,"1600",IF(BA1033&lt;=1800,"1700～1800",IF(BA1033&lt;=2000,"1900～2000","2100以上"))))))</f>
        <v>2100以上</v>
      </c>
      <c r="BS1033" s="8" t="str">
        <f aca="false">IF(A1033="","",IF(AX1033="G1","G1",IF(AX1033="G2","G2",IF(AX1033="G3","G3",IF(AX1033="L","L","その他")))))</f>
        <v>その他</v>
      </c>
      <c r="BT1033" s="8" t="str">
        <f aca="false">IF(A1033="","",IF(BI1033="","未結合",IF(D1033=BI1033,"一致","不一致")))</f>
        <v>一致</v>
      </c>
      <c r="BU1033" s="8" t="str">
        <f aca="false">IF(A1033="","",IF(BE1033="牝馬限定","牝馬限定","その他"))</f>
        <v>その他</v>
      </c>
    </row>
    <row r="1034" customFormat="false" ht="15.75" hidden="false" customHeight="false" outlineLevel="0" collapsed="false">
      <c r="A1034" s="6" t="n">
        <f aca="false">DATE(2026,5,9)</f>
        <v>46151</v>
      </c>
      <c r="B1034" s="4" t="s">
        <v>4473</v>
      </c>
      <c r="C1034" s="8" t="n">
        <v>8</v>
      </c>
      <c r="D1034" s="8" t="n">
        <v>8</v>
      </c>
      <c r="E1034" s="8" t="n">
        <v>6</v>
      </c>
      <c r="F1034" s="4" t="s">
        <v>4191</v>
      </c>
      <c r="G1034" s="8" t="n">
        <v>81</v>
      </c>
      <c r="H1034" s="8" t="n">
        <v>2</v>
      </c>
      <c r="I1034" s="4" t="s">
        <v>7055</v>
      </c>
      <c r="J1034" s="8" t="n">
        <v>62</v>
      </c>
      <c r="K1034" s="8" t="n">
        <v>8</v>
      </c>
      <c r="L1034" s="4" t="s">
        <v>7056</v>
      </c>
      <c r="M1034" s="8" t="n">
        <v>34</v>
      </c>
      <c r="N1034" s="8" t="n">
        <f aca="false">IF(A1034="","",G1034-J1034)</f>
        <v>19</v>
      </c>
      <c r="O1034" s="8" t="n">
        <f aca="false">IF(A1034="","",J1034-M1034)</f>
        <v>28</v>
      </c>
      <c r="P1034" s="8" t="n">
        <f aca="false">IF(A1034="","",G1034+J1034)</f>
        <v>143</v>
      </c>
      <c r="Q1034" s="8" t="str">
        <f aca="false">IF(A1034="","",IF(AND(Y1034&lt;&gt;"参考",G1034&gt;=ルール設定!$B$2),"○",""))</f>
        <v>○</v>
      </c>
      <c r="R1034" s="8" t="str">
        <f aca="false">IF(A1034="","",IF(AND(Y1034&lt;&gt;"参考",G1034&gt;=ルール設定!$B$3,N1034&gt;=ルール設定!$B$4),"○",""))</f>
        <v/>
      </c>
      <c r="S1034" s="8" t="str">
        <f aca="false">IF(A1034="","",IF(AND(Y1034&lt;&gt;"参考",G1034&gt;=ルール設定!$B$5,J1034&gt;=ルール設定!$B$6,O1034&gt;=ルール設定!$B$7),"○",""))</f>
        <v>○</v>
      </c>
      <c r="T1034" s="8" t="n">
        <v>3</v>
      </c>
      <c r="U1034" s="8" t="n">
        <v>2</v>
      </c>
      <c r="V1034" s="8" t="str">
        <f aca="false">IF(A1034="","",IF(AND(ISNUMBER(T1034),ISNUMBER(U1034)),IF(AND(T1034&lt;=3,U1034&lt;=3),"○","×"),""))</f>
        <v>○</v>
      </c>
      <c r="W1034" s="8" t="n">
        <v>100</v>
      </c>
      <c r="X1034" s="8" t="n">
        <v>110</v>
      </c>
      <c r="Y1034" s="4" t="s">
        <v>7597</v>
      </c>
      <c r="Z1034" s="8" t="s">
        <v>8111</v>
      </c>
      <c r="AA1034" s="8" t="str">
        <v/>
      </c>
      <c r="AB1034" s="8" t="str">
        <v>○</v>
      </c>
      <c r="AC1034" s="8" t="str">
        <v>○</v>
      </c>
      <c r="AD1034" s="8" t="str">
        <v/>
      </c>
      <c r="AE1034" s="8" t="str">
        <v/>
      </c>
      <c r="AF1034" s="8" t="str">
        <v>○</v>
      </c>
      <c r="AG1034" s="8" t="str">
        <v>○</v>
      </c>
      <c r="AH1034" s="8" t="str">
        <v/>
      </c>
      <c r="AI1034" s="8" t="n">
        <v>47</v>
      </c>
      <c r="AJ1034" s="8" t="str">
        <v>80～84</v>
      </c>
      <c r="AK1034" s="8" t="str">
        <v>10～19</v>
      </c>
      <c r="AL1034" s="8" t="str">
        <v>40以上</v>
      </c>
      <c r="AM1034" s="8" t="str">
        <v>140～159</v>
      </c>
      <c r="AN1034" s="8" t="str">
        <v>8～11</v>
      </c>
      <c r="AO1034" s="8" t="str">
        <f aca="false">IF(A1034="","",IF(COUNTIFS(全馬データ!$A$2:$A$50000,A1034,全馬データ!$B$2:$B$50000,B1034,全馬データ!$C$2:$C$50000,C1034,全馬データ!$D$2:$D$50000,E1034,全馬データ!$K$2:$K$50000,"&lt;&gt;")=0,"",SUMIFS(全馬データ!$K$2:$K$50000,全馬データ!$A$2:$A$50000,A1034,全馬データ!$B$2:$B$50000,B1034,全馬データ!$C$2:$C$50000,C1034,全馬データ!$D$2:$D$50000,E1034)))</f>
        <v/>
      </c>
      <c r="AP1034" s="8" t="str">
        <f aca="false">IF(A1034="","",IF(AO1034="","欠損",IF(AO1034&lt;=1.1,"1.0～1.1",IF(AO1034&lt;1.3,"1.2",IF(AO1034&lt;1.5,"1.3～1.4",IF(AO1034&lt;2,"1.5～1.9","2.0以上"))))))</f>
        <v>欠損</v>
      </c>
      <c r="AQ1034" s="8" t="str">
        <f aca="false">IF(A1034="","",IF(ISNUMBER(SEARCH("2歳",Z1034)),"2歳戦",IF(ISNUMBER(SEARCH("3歳未勝利",Z1034)),"3歳未勝利",IF(ISNUMBER(SEARCH("未勝利",Z1034)),"その他未勝利",IF(ISNUMBER(SEARCH("G1",Z1034)),"G1",IF(ISNUMBER(SEARCH("G2",Z1034)),"G2",IF(ISNUMBER(SEARCH("G3",Z1034)),"G3",IF(ISNUMBER(SEARCH("古馬条件",Z1034)),"古馬条件戦",IF(ISNUMBER(SEARCH("重賞",Z1034)),"重賞","分類不能")))))))))</f>
        <v>分類不能</v>
      </c>
      <c r="AR1034" s="8"/>
      <c r="AS1034" s="8" t="s">
        <v>7842</v>
      </c>
      <c r="AT1034" s="8" t="s">
        <v>7843</v>
      </c>
      <c r="AU1034" s="8" t="s">
        <v>7634</v>
      </c>
      <c r="AV1034" s="8" t="s">
        <v>7635</v>
      </c>
      <c r="AW1034" s="8"/>
      <c r="AX1034" s="8"/>
      <c r="AY1034" s="8" t="s">
        <v>7602</v>
      </c>
      <c r="AZ1034" s="4" t="s">
        <v>7603</v>
      </c>
      <c r="BA1034" s="8" t="n">
        <v>2000</v>
      </c>
      <c r="BB1034" s="8" t="s">
        <v>7598</v>
      </c>
      <c r="BC1034" s="4" t="s">
        <v>7604</v>
      </c>
      <c r="BD1034" s="8" t="s">
        <v>7630</v>
      </c>
      <c r="BE1034" s="4" t="s">
        <v>7606</v>
      </c>
      <c r="BF1034" s="8" t="s">
        <v>7607</v>
      </c>
      <c r="BG1034" s="8" t="s">
        <v>7631</v>
      </c>
      <c r="BH1034" s="4" t="s">
        <v>7632</v>
      </c>
      <c r="BI1034" s="8" t="n">
        <v>8</v>
      </c>
      <c r="BJ1034" s="8" t="s">
        <v>7610</v>
      </c>
      <c r="BK1034" s="4" t="s">
        <v>7611</v>
      </c>
      <c r="BL1034" s="8" t="s">
        <v>7602</v>
      </c>
      <c r="BM1034" s="4" t="s">
        <v>7620</v>
      </c>
      <c r="BN1034" s="8" t="s">
        <v>7602</v>
      </c>
      <c r="BO1034" s="8" t="s">
        <v>7613</v>
      </c>
      <c r="BP1034" s="8" t="s">
        <v>7602</v>
      </c>
      <c r="BQ1034" s="8" t="str">
        <f aca="false">IF(A1034="","",AT1034)</f>
        <v>4歳以上</v>
      </c>
      <c r="BR1034" s="8" t="str">
        <f aca="false">IF(A1034="","",IF(BA1034&lt;=1200,"～1200",IF(BA1034&lt;=1500,"1300～1500",IF(BA1034=1600,"1600",IF(BA1034&lt;=1800,"1700～1800",IF(BA1034&lt;=2000,"1900～2000","2100以上"))))))</f>
        <v>1900～2000</v>
      </c>
      <c r="BS1034" s="8" t="str">
        <f aca="false">IF(A1034="","",IF(AX1034="G1","G1",IF(AX1034="G2","G2",IF(AX1034="G3","G3",IF(AX1034="L","L","その他")))))</f>
        <v>その他</v>
      </c>
      <c r="BT1034" s="8" t="str">
        <f aca="false">IF(A1034="","",IF(BI1034="","未結合",IF(D1034=BI1034,"一致","不一致")))</f>
        <v>一致</v>
      </c>
      <c r="BU1034" s="8" t="str">
        <f aca="false">IF(A1034="","",IF(BE1034="牝馬限定","牝馬限定","その他"))</f>
        <v>その他</v>
      </c>
    </row>
    <row r="1035" customFormat="false" ht="15.75" hidden="false" customHeight="false" outlineLevel="0" collapsed="false">
      <c r="A1035" s="6" t="n">
        <f aca="false">DATE(2026,5,9)</f>
        <v>46151</v>
      </c>
      <c r="B1035" s="4" t="s">
        <v>4473</v>
      </c>
      <c r="C1035" s="8" t="n">
        <v>9</v>
      </c>
      <c r="D1035" s="8" t="n">
        <v>12</v>
      </c>
      <c r="E1035" s="8" t="n">
        <v>2</v>
      </c>
      <c r="F1035" s="4" t="s">
        <v>5294</v>
      </c>
      <c r="G1035" s="8" t="n">
        <v>50</v>
      </c>
      <c r="H1035" s="8" t="n">
        <v>7</v>
      </c>
      <c r="I1035" s="4" t="s">
        <v>547</v>
      </c>
      <c r="J1035" s="8" t="n">
        <v>50</v>
      </c>
      <c r="K1035" s="8" t="n">
        <v>8</v>
      </c>
      <c r="L1035" s="4" t="s">
        <v>5296</v>
      </c>
      <c r="M1035" s="8" t="n">
        <v>41</v>
      </c>
      <c r="N1035" s="8" t="n">
        <f aca="false">IF(A1035="","",G1035-J1035)</f>
        <v>0</v>
      </c>
      <c r="O1035" s="8" t="n">
        <f aca="false">IF(A1035="","",J1035-M1035)</f>
        <v>9</v>
      </c>
      <c r="P1035" s="8" t="n">
        <f aca="false">IF(A1035="","",G1035+J1035)</f>
        <v>100</v>
      </c>
      <c r="Q1035" s="8" t="str">
        <f aca="false">IF(A1035="","",IF(AND(Y1035&lt;&gt;"参考",G1035&gt;=ルール設定!$B$2),"○",""))</f>
        <v/>
      </c>
      <c r="R1035" s="8" t="str">
        <f aca="false">IF(A1035="","",IF(AND(Y1035&lt;&gt;"参考",G1035&gt;=ルール設定!$B$3,N1035&gt;=ルール設定!$B$4),"○",""))</f>
        <v/>
      </c>
      <c r="S1035" s="8" t="str">
        <f aca="false">IF(A1035="","",IF(AND(Y1035&lt;&gt;"参考",G1035&gt;=ルール設定!$B$5,J1035&gt;=ルール設定!$B$6,O1035&gt;=ルール設定!$B$7),"○",""))</f>
        <v/>
      </c>
      <c r="T1035" s="8" t="n">
        <v>4</v>
      </c>
      <c r="U1035" s="8" t="n">
        <v>1</v>
      </c>
      <c r="V1035" s="8" t="str">
        <f aca="false">IF(A1035="","",IF(AND(ISNUMBER(T1035),ISNUMBER(U1035)),IF(AND(T1035&lt;=3,U1035&lt;=3),"○","×"),""))</f>
        <v>×</v>
      </c>
      <c r="W1035" s="8"/>
      <c r="X1035" s="8"/>
      <c r="Y1035" s="4" t="s">
        <v>7597</v>
      </c>
      <c r="Z1035" s="8" t="s">
        <v>8111</v>
      </c>
      <c r="AA1035" s="8" t="str">
        <v/>
      </c>
      <c r="AB1035" s="8" t="str">
        <v/>
      </c>
      <c r="AC1035" s="8" t="str">
        <v/>
      </c>
      <c r="AD1035" s="8" t="str">
        <v/>
      </c>
      <c r="AE1035" s="8" t="str">
        <v/>
      </c>
      <c r="AF1035" s="8" t="str">
        <v/>
      </c>
      <c r="AG1035" s="8" t="str">
        <v/>
      </c>
      <c r="AH1035" s="8" t="str">
        <v/>
      </c>
      <c r="AI1035" s="8" t="n">
        <v>9</v>
      </c>
      <c r="AJ1035" s="8" t="str">
        <v>～59</v>
      </c>
      <c r="AK1035" s="8" t="str">
        <v>0～4</v>
      </c>
      <c r="AL1035" s="8" t="str">
        <v>0～9</v>
      </c>
      <c r="AM1035" s="8" t="str">
        <v>100～119</v>
      </c>
      <c r="AN1035" s="8" t="str">
        <v>12～14</v>
      </c>
      <c r="AO1035" s="8" t="str">
        <f aca="false">IF(A1035="","",IF(COUNTIFS(全馬データ!$A$2:$A$50000,A1035,全馬データ!$B$2:$B$50000,B1035,全馬データ!$C$2:$C$50000,C1035,全馬データ!$D$2:$D$50000,E1035,全馬データ!$K$2:$K$50000,"&lt;&gt;")=0,"",SUMIFS(全馬データ!$K$2:$K$50000,全馬データ!$A$2:$A$50000,A1035,全馬データ!$B$2:$B$50000,B1035,全馬データ!$C$2:$C$50000,C1035,全馬データ!$D$2:$D$50000,E1035)))</f>
        <v/>
      </c>
      <c r="AP1035" s="8" t="str">
        <f aca="false">IF(A1035="","",IF(AO1035="","欠損",IF(AO1035&lt;=1.1,"1.0～1.1",IF(AO1035&lt;1.3,"1.2",IF(AO1035&lt;1.5,"1.3～1.4",IF(AO1035&lt;2,"1.5～1.9","2.0以上"))))))</f>
        <v>欠損</v>
      </c>
      <c r="AQ1035" s="8" t="str">
        <f aca="false">IF(A1035="","",IF(ISNUMBER(SEARCH("2歳",Z1035)),"2歳戦",IF(ISNUMBER(SEARCH("3歳未勝利",Z1035)),"3歳未勝利",IF(ISNUMBER(SEARCH("未勝利",Z1035)),"その他未勝利",IF(ISNUMBER(SEARCH("G1",Z1035)),"G1",IF(ISNUMBER(SEARCH("G2",Z1035)),"G2",IF(ISNUMBER(SEARCH("G3",Z1035)),"G3",IF(ISNUMBER(SEARCH("古馬条件",Z1035)),"古馬条件戦",IF(ISNUMBER(SEARCH("重賞",Z1035)),"重賞","分類不能")))))))))</f>
        <v>分類不能</v>
      </c>
      <c r="AR1035" s="4" t="s">
        <v>8133</v>
      </c>
      <c r="AS1035" s="8" t="s">
        <v>7842</v>
      </c>
      <c r="AT1035" s="8" t="s">
        <v>7843</v>
      </c>
      <c r="AU1035" s="8" t="s">
        <v>7639</v>
      </c>
      <c r="AV1035" s="8" t="s">
        <v>7640</v>
      </c>
      <c r="AW1035" s="8" t="s">
        <v>7636</v>
      </c>
      <c r="AX1035" s="4" t="s">
        <v>7637</v>
      </c>
      <c r="AY1035" s="8" t="s">
        <v>7602</v>
      </c>
      <c r="AZ1035" s="4" t="s">
        <v>7603</v>
      </c>
      <c r="BA1035" s="8" t="n">
        <v>1600</v>
      </c>
      <c r="BB1035" s="8" t="s">
        <v>7598</v>
      </c>
      <c r="BC1035" s="4" t="s">
        <v>7604</v>
      </c>
      <c r="BD1035" s="8" t="s">
        <v>7630</v>
      </c>
      <c r="BE1035" s="4" t="s">
        <v>7606</v>
      </c>
      <c r="BF1035" s="8" t="s">
        <v>7607</v>
      </c>
      <c r="BG1035" s="8" t="s">
        <v>7631</v>
      </c>
      <c r="BH1035" s="4" t="s">
        <v>7632</v>
      </c>
      <c r="BI1035" s="8" t="n">
        <v>12</v>
      </c>
      <c r="BJ1035" s="8" t="s">
        <v>7610</v>
      </c>
      <c r="BK1035" s="4" t="s">
        <v>7611</v>
      </c>
      <c r="BL1035" s="8" t="s">
        <v>7602</v>
      </c>
      <c r="BM1035" s="4" t="s">
        <v>7620</v>
      </c>
      <c r="BN1035" s="8" t="s">
        <v>7602</v>
      </c>
      <c r="BO1035" s="8" t="s">
        <v>7613</v>
      </c>
      <c r="BP1035" s="8" t="s">
        <v>7602</v>
      </c>
      <c r="BQ1035" s="8" t="str">
        <f aca="false">IF(A1035="","",AT1035)</f>
        <v>4歳以上</v>
      </c>
      <c r="BR1035" s="8" t="str">
        <f aca="false">IF(A1035="","",IF(BA1035&lt;=1200,"～1200",IF(BA1035&lt;=1500,"1300～1500",IF(BA1035=1600,"1600",IF(BA1035&lt;=1800,"1700～1800",IF(BA1035&lt;=2000,"1900～2000","2100以上"))))))</f>
        <v>1600</v>
      </c>
      <c r="BS1035" s="8" t="str">
        <f aca="false">IF(A1035="","",IF(AX1035="G1","G1",IF(AX1035="G2","G2",IF(AX1035="G3","G3",IF(AX1035="L","L","その他")))))</f>
        <v>その他</v>
      </c>
      <c r="BT1035" s="8" t="str">
        <f aca="false">IF(A1035="","",IF(BI1035="","未結合",IF(D1035=BI1035,"一致","不一致")))</f>
        <v>一致</v>
      </c>
      <c r="BU1035" s="8" t="str">
        <f aca="false">IF(A1035="","",IF(BE1035="牝馬限定","牝馬限定","その他"))</f>
        <v>その他</v>
      </c>
    </row>
    <row r="1036" customFormat="false" ht="15.75" hidden="false" customHeight="false" outlineLevel="0" collapsed="false">
      <c r="A1036" s="6" t="n">
        <f aca="false">DATE(2026,5,9)</f>
        <v>46151</v>
      </c>
      <c r="B1036" s="4" t="s">
        <v>4473</v>
      </c>
      <c r="C1036" s="8" t="n">
        <v>10</v>
      </c>
      <c r="D1036" s="8" t="n">
        <v>15</v>
      </c>
      <c r="E1036" s="8" t="n">
        <v>10</v>
      </c>
      <c r="F1036" s="4" t="s">
        <v>7062</v>
      </c>
      <c r="G1036" s="8" t="n">
        <v>60</v>
      </c>
      <c r="H1036" s="8" t="n">
        <v>4</v>
      </c>
      <c r="I1036" s="4" t="s">
        <v>4328</v>
      </c>
      <c r="J1036" s="8" t="n">
        <v>56</v>
      </c>
      <c r="K1036" s="8" t="n">
        <v>2</v>
      </c>
      <c r="L1036" s="4" t="s">
        <v>4779</v>
      </c>
      <c r="M1036" s="8" t="n">
        <v>47</v>
      </c>
      <c r="N1036" s="8" t="n">
        <f aca="false">IF(A1036="","",G1036-J1036)</f>
        <v>4</v>
      </c>
      <c r="O1036" s="8" t="n">
        <f aca="false">IF(A1036="","",J1036-M1036)</f>
        <v>9</v>
      </c>
      <c r="P1036" s="8" t="n">
        <f aca="false">IF(A1036="","",G1036+J1036)</f>
        <v>116</v>
      </c>
      <c r="Q1036" s="8" t="str">
        <f aca="false">IF(A1036="","",IF(AND(Y1036&lt;&gt;"参考",G1036&gt;=ルール設定!$B$2),"○",""))</f>
        <v/>
      </c>
      <c r="R1036" s="8" t="str">
        <f aca="false">IF(A1036="","",IF(AND(Y1036&lt;&gt;"参考",G1036&gt;=ルール設定!$B$3,N1036&gt;=ルール設定!$B$4),"○",""))</f>
        <v/>
      </c>
      <c r="S1036" s="8" t="str">
        <f aca="false">IF(A1036="","",IF(AND(Y1036&lt;&gt;"参考",G1036&gt;=ルール設定!$B$5,J1036&gt;=ルール設定!$B$6,O1036&gt;=ルール設定!$B$7),"○",""))</f>
        <v/>
      </c>
      <c r="T1036" s="8" t="n">
        <v>1</v>
      </c>
      <c r="U1036" s="8" t="n">
        <v>3</v>
      </c>
      <c r="V1036" s="8" t="str">
        <f aca="false">IF(A1036="","",IF(AND(ISNUMBER(T1036),ISNUMBER(U1036)),IF(AND(T1036&lt;=3,U1036&lt;=3),"○","×"),""))</f>
        <v>○</v>
      </c>
      <c r="W1036" s="8" t="n">
        <v>120</v>
      </c>
      <c r="X1036" s="8" t="n">
        <v>640</v>
      </c>
      <c r="Y1036" s="4" t="s">
        <v>7597</v>
      </c>
      <c r="Z1036" s="8" t="s">
        <v>8111</v>
      </c>
      <c r="AA1036" s="8" t="str">
        <v/>
      </c>
      <c r="AB1036" s="8" t="str">
        <v/>
      </c>
      <c r="AC1036" s="8" t="str">
        <v/>
      </c>
      <c r="AD1036" s="8" t="str">
        <v/>
      </c>
      <c r="AE1036" s="8" t="str">
        <v/>
      </c>
      <c r="AF1036" s="8" t="str">
        <v/>
      </c>
      <c r="AG1036" s="8" t="str">
        <v/>
      </c>
      <c r="AH1036" s="8" t="str">
        <v/>
      </c>
      <c r="AI1036" s="8" t="n">
        <v>13</v>
      </c>
      <c r="AJ1036" s="8" t="str">
        <v>60～69</v>
      </c>
      <c r="AK1036" s="8" t="str">
        <v>0～4</v>
      </c>
      <c r="AL1036" s="8" t="str">
        <v>10～19</v>
      </c>
      <c r="AM1036" s="8" t="str">
        <v>100～119</v>
      </c>
      <c r="AN1036" s="8" t="str">
        <v>15以上</v>
      </c>
      <c r="AO1036" s="8" t="str">
        <f aca="false">IF(A1036="","",IF(COUNTIFS(全馬データ!$A$2:$A$50000,A1036,全馬データ!$B$2:$B$50000,B1036,全馬データ!$C$2:$C$50000,C1036,全馬データ!$D$2:$D$50000,E1036,全馬データ!$K$2:$K$50000,"&lt;&gt;")=0,"",SUMIFS(全馬データ!$K$2:$K$50000,全馬データ!$A$2:$A$50000,A1036,全馬データ!$B$2:$B$50000,B1036,全馬データ!$C$2:$C$50000,C1036,全馬データ!$D$2:$D$50000,E1036)))</f>
        <v/>
      </c>
      <c r="AP1036" s="8" t="str">
        <f aca="false">IF(A1036="","",IF(AO1036="","欠損",IF(AO1036&lt;=1.1,"1.0～1.1",IF(AO1036&lt;1.3,"1.2",IF(AO1036&lt;1.5,"1.3～1.4",IF(AO1036&lt;2,"1.5～1.9","2.0以上"))))))</f>
        <v>欠損</v>
      </c>
      <c r="AQ1036" s="8" t="str">
        <f aca="false">IF(A1036="","",IF(ISNUMBER(SEARCH("2歳",Z1036)),"2歳戦",IF(ISNUMBER(SEARCH("3歳未勝利",Z1036)),"3歳未勝利",IF(ISNUMBER(SEARCH("未勝利",Z1036)),"その他未勝利",IF(ISNUMBER(SEARCH("G1",Z1036)),"G1",IF(ISNUMBER(SEARCH("G2",Z1036)),"G2",IF(ISNUMBER(SEARCH("G3",Z1036)),"G3",IF(ISNUMBER(SEARCH("古馬条件",Z1036)),"古馬条件戦",IF(ISNUMBER(SEARCH("重賞",Z1036)),"重賞","分類不能")))))))))</f>
        <v>分類不能</v>
      </c>
      <c r="AR1036" s="4" t="s">
        <v>8134</v>
      </c>
      <c r="AS1036" s="8" t="s">
        <v>7623</v>
      </c>
      <c r="AT1036" s="8" t="s">
        <v>7624</v>
      </c>
      <c r="AU1036" s="8" t="s">
        <v>7643</v>
      </c>
      <c r="AV1036" s="4" t="s">
        <v>7644</v>
      </c>
      <c r="AW1036" s="8" t="s">
        <v>7636</v>
      </c>
      <c r="AX1036" s="4" t="s">
        <v>7637</v>
      </c>
      <c r="AY1036" s="8" t="s">
        <v>7610</v>
      </c>
      <c r="AZ1036" s="4" t="s">
        <v>7617</v>
      </c>
      <c r="BA1036" s="8" t="n">
        <v>1600</v>
      </c>
      <c r="BB1036" s="8" t="s">
        <v>7598</v>
      </c>
      <c r="BC1036" s="4" t="s">
        <v>7604</v>
      </c>
      <c r="BD1036" s="8" t="s">
        <v>7666</v>
      </c>
      <c r="BE1036" s="4" t="s">
        <v>7606</v>
      </c>
      <c r="BF1036" s="8" t="s">
        <v>7607</v>
      </c>
      <c r="BG1036" s="8" t="s">
        <v>7610</v>
      </c>
      <c r="BH1036" s="4" t="s">
        <v>7646</v>
      </c>
      <c r="BI1036" s="8" t="n">
        <v>15</v>
      </c>
      <c r="BJ1036" s="8" t="s">
        <v>7610</v>
      </c>
      <c r="BK1036" s="4" t="s">
        <v>7611</v>
      </c>
      <c r="BL1036" s="8" t="s">
        <v>7602</v>
      </c>
      <c r="BM1036" s="4" t="s">
        <v>7620</v>
      </c>
      <c r="BN1036" s="8"/>
      <c r="BO1036" s="8"/>
      <c r="BP1036" s="8" t="s">
        <v>7602</v>
      </c>
      <c r="BQ1036" s="8" t="str">
        <f aca="false">IF(A1036="","",AT1036)</f>
        <v>3歳</v>
      </c>
      <c r="BR1036" s="8" t="str">
        <f aca="false">IF(A1036="","",IF(BA1036&lt;=1200,"～1200",IF(BA1036&lt;=1500,"1300～1500",IF(BA1036=1600,"1600",IF(BA1036&lt;=1800,"1700～1800",IF(BA1036&lt;=2000,"1900～2000","2100以上"))))))</f>
        <v>1600</v>
      </c>
      <c r="BS1036" s="8" t="str">
        <f aca="false">IF(A1036="","",IF(AX1036="G1","G1",IF(AX1036="G2","G2",IF(AX1036="G3","G3",IF(AX1036="L","L","その他")))))</f>
        <v>その他</v>
      </c>
      <c r="BT1036" s="8" t="str">
        <f aca="false">IF(A1036="","",IF(BI1036="","未結合",IF(D1036=BI1036,"一致","不一致")))</f>
        <v>一致</v>
      </c>
      <c r="BU1036" s="8" t="str">
        <f aca="false">IF(A1036="","",IF(BE1036="牝馬限定","牝馬限定","その他"))</f>
        <v>その他</v>
      </c>
    </row>
    <row r="1037" customFormat="false" ht="15.75" hidden="false" customHeight="false" outlineLevel="0" collapsed="false">
      <c r="A1037" s="6" t="n">
        <f aca="false">DATE(2026,5,9)</f>
        <v>46151</v>
      </c>
      <c r="B1037" s="4" t="s">
        <v>4473</v>
      </c>
      <c r="C1037" s="8" t="n">
        <v>11</v>
      </c>
      <c r="D1037" s="8" t="n">
        <v>17</v>
      </c>
      <c r="E1037" s="8" t="n">
        <v>14</v>
      </c>
      <c r="F1037" s="4" t="s">
        <v>6868</v>
      </c>
      <c r="G1037" s="8" t="n">
        <v>56</v>
      </c>
      <c r="H1037" s="8" t="n">
        <v>11</v>
      </c>
      <c r="I1037" s="4" t="s">
        <v>4771</v>
      </c>
      <c r="J1037" s="8" t="n">
        <v>47</v>
      </c>
      <c r="K1037" s="8" t="n">
        <v>2</v>
      </c>
      <c r="L1037" s="4" t="s">
        <v>7068</v>
      </c>
      <c r="M1037" s="8" t="n">
        <v>37</v>
      </c>
      <c r="N1037" s="8" t="n">
        <f aca="false">IF(A1037="","",G1037-J1037)</f>
        <v>9</v>
      </c>
      <c r="O1037" s="8" t="n">
        <f aca="false">IF(A1037="","",J1037-M1037)</f>
        <v>10</v>
      </c>
      <c r="P1037" s="8" t="n">
        <f aca="false">IF(A1037="","",G1037+J1037)</f>
        <v>103</v>
      </c>
      <c r="Q1037" s="8" t="str">
        <f aca="false">IF(A1037="","",IF(AND(Y1037&lt;&gt;"参考",G1037&gt;=ルール設定!$B$2),"○",""))</f>
        <v/>
      </c>
      <c r="R1037" s="8" t="str">
        <f aca="false">IF(A1037="","",IF(AND(Y1037&lt;&gt;"参考",G1037&gt;=ルール設定!$B$3,N1037&gt;=ルール設定!$B$4),"○",""))</f>
        <v/>
      </c>
      <c r="S1037" s="8" t="str">
        <f aca="false">IF(A1037="","",IF(AND(Y1037&lt;&gt;"参考",G1037&gt;=ルール設定!$B$5,J1037&gt;=ルール設定!$B$6,O1037&gt;=ルール設定!$B$7),"○",""))</f>
        <v/>
      </c>
      <c r="T1037" s="8" t="n">
        <v>4</v>
      </c>
      <c r="U1037" s="8" t="n">
        <v>1</v>
      </c>
      <c r="V1037" s="8" t="str">
        <f aca="false">IF(A1037="","",IF(AND(ISNUMBER(T1037),ISNUMBER(U1037)),IF(AND(T1037&lt;=3,U1037&lt;=3),"○","×"),""))</f>
        <v>×</v>
      </c>
      <c r="W1037" s="8"/>
      <c r="X1037" s="8"/>
      <c r="Y1037" s="4" t="s">
        <v>7597</v>
      </c>
      <c r="Z1037" s="8" t="s">
        <v>8111</v>
      </c>
      <c r="AA1037" s="8" t="str">
        <v/>
      </c>
      <c r="AB1037" s="8" t="str">
        <v/>
      </c>
      <c r="AC1037" s="8" t="str">
        <v/>
      </c>
      <c r="AD1037" s="8" t="str">
        <v/>
      </c>
      <c r="AE1037" s="8" t="str">
        <v/>
      </c>
      <c r="AF1037" s="8" t="str">
        <v/>
      </c>
      <c r="AG1037" s="8" t="str">
        <v/>
      </c>
      <c r="AH1037" s="8" t="str">
        <v/>
      </c>
      <c r="AI1037" s="8" t="n">
        <v>19</v>
      </c>
      <c r="AJ1037" s="8" t="str">
        <v>～59</v>
      </c>
      <c r="AK1037" s="8" t="str">
        <v>5～9</v>
      </c>
      <c r="AL1037" s="8" t="str">
        <v>10～19</v>
      </c>
      <c r="AM1037" s="8" t="str">
        <v>100～119</v>
      </c>
      <c r="AN1037" s="8" t="str">
        <v>15以上</v>
      </c>
      <c r="AO1037" s="8" t="str">
        <f aca="false">IF(A1037="","",IF(COUNTIFS(全馬データ!$A$2:$A$50000,A1037,全馬データ!$B$2:$B$50000,B1037,全馬データ!$C$2:$C$50000,C1037,全馬データ!$D$2:$D$50000,E1037,全馬データ!$K$2:$K$50000,"&lt;&gt;")=0,"",SUMIFS(全馬データ!$K$2:$K$50000,全馬データ!$A$2:$A$50000,A1037,全馬データ!$B$2:$B$50000,B1037,全馬データ!$C$2:$C$50000,C1037,全馬データ!$D$2:$D$50000,E1037)))</f>
        <v/>
      </c>
      <c r="AP1037" s="8" t="str">
        <f aca="false">IF(A1037="","",IF(AO1037="","欠損",IF(AO1037&lt;=1.1,"1.0～1.1",IF(AO1037&lt;1.3,"1.2",IF(AO1037&lt;1.5,"1.3～1.4",IF(AO1037&lt;2,"1.5～1.9","2.0以上"))))))</f>
        <v>欠損</v>
      </c>
      <c r="AQ1037" s="8" t="str">
        <f aca="false">IF(A1037="","",IF(ISNUMBER(SEARCH("2歳",Z1037)),"2歳戦",IF(ISNUMBER(SEARCH("3歳未勝利",Z1037)),"3歳未勝利",IF(ISNUMBER(SEARCH("未勝利",Z1037)),"その他未勝利",IF(ISNUMBER(SEARCH("G1",Z1037)),"G1",IF(ISNUMBER(SEARCH("G2",Z1037)),"G2",IF(ISNUMBER(SEARCH("G3",Z1037)),"G3",IF(ISNUMBER(SEARCH("古馬条件",Z1037)),"古馬条件戦",IF(ISNUMBER(SEARCH("重賞",Z1037)),"重賞","分類不能")))))))))</f>
        <v>分類不能</v>
      </c>
      <c r="AR1037" s="4" t="s">
        <v>8135</v>
      </c>
      <c r="AS1037" s="8" t="s">
        <v>7842</v>
      </c>
      <c r="AT1037" s="8" t="s">
        <v>7843</v>
      </c>
      <c r="AU1037" s="8" t="s">
        <v>7643</v>
      </c>
      <c r="AV1037" s="4" t="s">
        <v>7644</v>
      </c>
      <c r="AW1037" s="8" t="s">
        <v>7608</v>
      </c>
      <c r="AX1037" s="8" t="s">
        <v>7664</v>
      </c>
      <c r="AY1037" s="8" t="s">
        <v>7602</v>
      </c>
      <c r="AZ1037" s="4" t="s">
        <v>7603</v>
      </c>
      <c r="BA1037" s="8" t="n">
        <v>1800</v>
      </c>
      <c r="BB1037" s="8" t="s">
        <v>7598</v>
      </c>
      <c r="BC1037" s="4" t="s">
        <v>7604</v>
      </c>
      <c r="BD1037" s="8" t="s">
        <v>7666</v>
      </c>
      <c r="BE1037" s="4" t="s">
        <v>7606</v>
      </c>
      <c r="BF1037" s="8" t="s">
        <v>7607</v>
      </c>
      <c r="BG1037" s="8" t="s">
        <v>7610</v>
      </c>
      <c r="BH1037" s="4" t="s">
        <v>7646</v>
      </c>
      <c r="BI1037" s="8" t="n">
        <v>17</v>
      </c>
      <c r="BJ1037" s="8" t="s">
        <v>7610</v>
      </c>
      <c r="BK1037" s="4" t="s">
        <v>7611</v>
      </c>
      <c r="BL1037" s="8" t="s">
        <v>7602</v>
      </c>
      <c r="BM1037" s="4" t="s">
        <v>7620</v>
      </c>
      <c r="BN1037" s="8" t="s">
        <v>7602</v>
      </c>
      <c r="BO1037" s="8" t="s">
        <v>7613</v>
      </c>
      <c r="BP1037" s="8" t="s">
        <v>7602</v>
      </c>
      <c r="BQ1037" s="8" t="str">
        <f aca="false">IF(A1037="","",AT1037)</f>
        <v>4歳以上</v>
      </c>
      <c r="BR1037" s="8" t="str">
        <f aca="false">IF(A1037="","",IF(BA1037&lt;=1200,"～1200",IF(BA1037&lt;=1500,"1300～1500",IF(BA1037=1600,"1600",IF(BA1037&lt;=1800,"1700～1800",IF(BA1037&lt;=2000,"1900～2000","2100以上"))))))</f>
        <v>1700～1800</v>
      </c>
      <c r="BS1037" s="8" t="str">
        <f aca="false">IF(A1037="","",IF(AX1037="G1","G1",IF(AX1037="G2","G2",IF(AX1037="G3","G3",IF(AX1037="L","L","その他")))))</f>
        <v>G3</v>
      </c>
      <c r="BT1037" s="8" t="str">
        <f aca="false">IF(A1037="","",IF(BI1037="","未結合",IF(D1037=BI1037,"一致","不一致")))</f>
        <v>一致</v>
      </c>
      <c r="BU1037" s="8" t="str">
        <f aca="false">IF(A1037="","",IF(BE1037="牝馬限定","牝馬限定","その他"))</f>
        <v>その他</v>
      </c>
    </row>
    <row r="1038" customFormat="false" ht="15.75" hidden="false" customHeight="false" outlineLevel="0" collapsed="false">
      <c r="A1038" s="6" t="n">
        <f aca="false">DATE(2026,5,9)</f>
        <v>46151</v>
      </c>
      <c r="B1038" s="4" t="s">
        <v>4473</v>
      </c>
      <c r="C1038" s="8" t="n">
        <v>12</v>
      </c>
      <c r="D1038" s="8" t="n">
        <v>16</v>
      </c>
      <c r="E1038" s="8" t="n">
        <v>3</v>
      </c>
      <c r="F1038" s="4" t="s">
        <v>4553</v>
      </c>
      <c r="G1038" s="8" t="n">
        <v>58</v>
      </c>
      <c r="H1038" s="8" t="n">
        <v>8</v>
      </c>
      <c r="I1038" s="4" t="s">
        <v>1206</v>
      </c>
      <c r="J1038" s="8" t="n">
        <v>52</v>
      </c>
      <c r="K1038" s="8" t="n">
        <v>11</v>
      </c>
      <c r="L1038" s="4" t="s">
        <v>3210</v>
      </c>
      <c r="M1038" s="8" t="n">
        <v>37</v>
      </c>
      <c r="N1038" s="8" t="n">
        <f aca="false">IF(A1038="","",G1038-J1038)</f>
        <v>6</v>
      </c>
      <c r="O1038" s="8" t="n">
        <f aca="false">IF(A1038="","",J1038-M1038)</f>
        <v>15</v>
      </c>
      <c r="P1038" s="8" t="n">
        <f aca="false">IF(A1038="","",G1038+J1038)</f>
        <v>110</v>
      </c>
      <c r="Q1038" s="8" t="str">
        <f aca="false">IF(A1038="","",IF(AND(Y1038&lt;&gt;"参考",G1038&gt;=ルール設定!$B$2),"○",""))</f>
        <v/>
      </c>
      <c r="R1038" s="8" t="str">
        <f aca="false">IF(A1038="","",IF(AND(Y1038&lt;&gt;"参考",G1038&gt;=ルール設定!$B$3,N1038&gt;=ルール設定!$B$4),"○",""))</f>
        <v/>
      </c>
      <c r="S1038" s="8" t="str">
        <f aca="false">IF(A1038="","",IF(AND(Y1038&lt;&gt;"参考",G1038&gt;=ルール設定!$B$5,J1038&gt;=ルール設定!$B$6,O1038&gt;=ルール設定!$B$7),"○",""))</f>
        <v/>
      </c>
      <c r="T1038" s="8" t="n">
        <v>1</v>
      </c>
      <c r="U1038" s="8" t="n">
        <v>4</v>
      </c>
      <c r="V1038" s="8" t="str">
        <f aca="false">IF(A1038="","",IF(AND(ISNUMBER(T1038),ISNUMBER(U1038)),IF(AND(T1038&lt;=3,U1038&lt;=3),"○","×"),""))</f>
        <v>×</v>
      </c>
      <c r="W1038" s="8" t="n">
        <v>130</v>
      </c>
      <c r="X1038" s="8"/>
      <c r="Y1038" s="4" t="s">
        <v>7597</v>
      </c>
      <c r="Z1038" s="8" t="s">
        <v>8111</v>
      </c>
      <c r="AA1038" s="8" t="str">
        <v/>
      </c>
      <c r="AB1038" s="8" t="str">
        <v/>
      </c>
      <c r="AC1038" s="8" t="str">
        <v/>
      </c>
      <c r="AD1038" s="8" t="str">
        <v/>
      </c>
      <c r="AE1038" s="8" t="str">
        <v/>
      </c>
      <c r="AF1038" s="8" t="str">
        <v/>
      </c>
      <c r="AG1038" s="8" t="str">
        <v/>
      </c>
      <c r="AH1038" s="8" t="str">
        <v/>
      </c>
      <c r="AI1038" s="8" t="n">
        <v>21</v>
      </c>
      <c r="AJ1038" s="8" t="str">
        <v>～59</v>
      </c>
      <c r="AK1038" s="8" t="str">
        <v>5～9</v>
      </c>
      <c r="AL1038" s="8" t="str">
        <v>20～29</v>
      </c>
      <c r="AM1038" s="8" t="str">
        <v>100～119</v>
      </c>
      <c r="AN1038" s="8" t="str">
        <v>15以上</v>
      </c>
      <c r="AO1038" s="8" t="str">
        <f aca="false">IF(A1038="","",IF(COUNTIFS(全馬データ!$A$2:$A$50000,A1038,全馬データ!$B$2:$B$50000,B1038,全馬データ!$C$2:$C$50000,C1038,全馬データ!$D$2:$D$50000,E1038,全馬データ!$K$2:$K$50000,"&lt;&gt;")=0,"",SUMIFS(全馬データ!$K$2:$K$50000,全馬データ!$A$2:$A$50000,A1038,全馬データ!$B$2:$B$50000,B1038,全馬データ!$C$2:$C$50000,C1038,全馬データ!$D$2:$D$50000,E1038)))</f>
        <v/>
      </c>
      <c r="AP1038" s="8" t="str">
        <f aca="false">IF(A1038="","",IF(AO1038="","欠損",IF(AO1038&lt;=1.1,"1.0～1.1",IF(AO1038&lt;1.3,"1.2",IF(AO1038&lt;1.5,"1.3～1.4",IF(AO1038&lt;2,"1.5～1.9","2.0以上"))))))</f>
        <v>欠損</v>
      </c>
      <c r="AQ1038" s="8" t="str">
        <f aca="false">IF(A1038="","",IF(ISNUMBER(SEARCH("2歳",Z1038)),"2歳戦",IF(ISNUMBER(SEARCH("3歳未勝利",Z1038)),"3歳未勝利",IF(ISNUMBER(SEARCH("未勝利",Z1038)),"その他未勝利",IF(ISNUMBER(SEARCH("G1",Z1038)),"G1",IF(ISNUMBER(SEARCH("G2",Z1038)),"G2",IF(ISNUMBER(SEARCH("G3",Z1038)),"G3",IF(ISNUMBER(SEARCH("古馬条件",Z1038)),"古馬条件戦",IF(ISNUMBER(SEARCH("重賞",Z1038)),"重賞","分類不能")))))))))</f>
        <v>分類不能</v>
      </c>
      <c r="AR1038" s="8"/>
      <c r="AS1038" s="8" t="s">
        <v>7842</v>
      </c>
      <c r="AT1038" s="8" t="s">
        <v>7843</v>
      </c>
      <c r="AU1038" s="8" t="s">
        <v>7634</v>
      </c>
      <c r="AV1038" s="8" t="s">
        <v>7635</v>
      </c>
      <c r="AW1038" s="8"/>
      <c r="AX1038" s="8"/>
      <c r="AY1038" s="8" t="s">
        <v>7610</v>
      </c>
      <c r="AZ1038" s="4" t="s">
        <v>7617</v>
      </c>
      <c r="BA1038" s="8" t="n">
        <v>1400</v>
      </c>
      <c r="BB1038" s="8" t="s">
        <v>7598</v>
      </c>
      <c r="BC1038" s="4" t="s">
        <v>7604</v>
      </c>
      <c r="BD1038" s="8" t="s">
        <v>7621</v>
      </c>
      <c r="BE1038" s="4" t="s">
        <v>7622</v>
      </c>
      <c r="BF1038" s="8" t="s">
        <v>7602</v>
      </c>
      <c r="BG1038" s="8" t="s">
        <v>7631</v>
      </c>
      <c r="BH1038" s="4" t="s">
        <v>7632</v>
      </c>
      <c r="BI1038" s="8" t="n">
        <v>16</v>
      </c>
      <c r="BJ1038" s="8" t="s">
        <v>7610</v>
      </c>
      <c r="BK1038" s="4" t="s">
        <v>7611</v>
      </c>
      <c r="BL1038" s="8" t="s">
        <v>7602</v>
      </c>
      <c r="BM1038" s="4" t="s">
        <v>7620</v>
      </c>
      <c r="BN1038" s="8"/>
      <c r="BO1038" s="8"/>
      <c r="BP1038" s="8" t="s">
        <v>7602</v>
      </c>
      <c r="BQ1038" s="8" t="str">
        <f aca="false">IF(A1038="","",AT1038)</f>
        <v>4歳以上</v>
      </c>
      <c r="BR1038" s="8" t="str">
        <f aca="false">IF(A1038="","",IF(BA1038&lt;=1200,"～1200",IF(BA1038&lt;=1500,"1300～1500",IF(BA1038=1600,"1600",IF(BA1038&lt;=1800,"1700～1800",IF(BA1038&lt;=2000,"1900～2000","2100以上"))))))</f>
        <v>1300～1500</v>
      </c>
      <c r="BS1038" s="8" t="str">
        <f aca="false">IF(A1038="","",IF(AX1038="G1","G1",IF(AX1038="G2","G2",IF(AX1038="G3","G3",IF(AX1038="L","L","その他")))))</f>
        <v>その他</v>
      </c>
      <c r="BT1038" s="8" t="str">
        <f aca="false">IF(A1038="","",IF(BI1038="","未結合",IF(D1038=BI1038,"一致","不一致")))</f>
        <v>一致</v>
      </c>
      <c r="BU1038" s="8" t="str">
        <f aca="false">IF(A1038="","",IF(BE1038="牝馬限定","牝馬限定","その他"))</f>
        <v>牝馬限定</v>
      </c>
    </row>
    <row r="1039" customFormat="false" ht="15.75" hidden="false" customHeight="false" outlineLevel="0" collapsed="false">
      <c r="A1039" s="6" t="n">
        <f aca="false">DATE(2026,5,10)</f>
        <v>46152</v>
      </c>
      <c r="B1039" s="4" t="s">
        <v>5435</v>
      </c>
      <c r="C1039" s="8" t="n">
        <v>1</v>
      </c>
      <c r="D1039" s="8" t="n">
        <v>11</v>
      </c>
      <c r="E1039" s="8" t="n">
        <v>7</v>
      </c>
      <c r="F1039" s="4" t="s">
        <v>4823</v>
      </c>
      <c r="G1039" s="8" t="n">
        <v>81</v>
      </c>
      <c r="H1039" s="8" t="n">
        <v>8</v>
      </c>
      <c r="I1039" s="4" t="s">
        <v>1596</v>
      </c>
      <c r="J1039" s="8" t="n">
        <v>56</v>
      </c>
      <c r="K1039" s="8" t="n">
        <v>3</v>
      </c>
      <c r="L1039" s="4" t="s">
        <v>1589</v>
      </c>
      <c r="M1039" s="8" t="n">
        <v>50</v>
      </c>
      <c r="N1039" s="8" t="n">
        <f aca="false">IF(A1039="","",G1039-J1039)</f>
        <v>25</v>
      </c>
      <c r="O1039" s="8" t="n">
        <f aca="false">IF(A1039="","",J1039-M1039)</f>
        <v>6</v>
      </c>
      <c r="P1039" s="8" t="n">
        <f aca="false">IF(A1039="","",G1039+J1039)</f>
        <v>137</v>
      </c>
      <c r="Q1039" s="8" t="str">
        <f aca="false">IF(A1039="","",IF(AND(Y1039&lt;&gt;"参考",G1039&gt;=ルール設定!$B$2),"○",""))</f>
        <v>○</v>
      </c>
      <c r="R1039" s="8" t="str">
        <f aca="false">IF(A1039="","",IF(AND(Y1039&lt;&gt;"参考",G1039&gt;=ルール設定!$B$3,N1039&gt;=ルール設定!$B$4),"○",""))</f>
        <v/>
      </c>
      <c r="S1039" s="8" t="str">
        <f aca="false">IF(A1039="","",IF(AND(Y1039&lt;&gt;"参考",G1039&gt;=ルール設定!$B$5,J1039&gt;=ルール設定!$B$6,O1039&gt;=ルール設定!$B$7),"○",""))</f>
        <v/>
      </c>
      <c r="T1039" s="8" t="n">
        <v>1</v>
      </c>
      <c r="U1039" s="8" t="n">
        <v>4</v>
      </c>
      <c r="V1039" s="8" t="str">
        <f aca="false">IF(A1039="","",IF(AND(ISNUMBER(T1039),ISNUMBER(U1039)),IF(AND(T1039&lt;=3,U1039&lt;=3),"○","×"),""))</f>
        <v>×</v>
      </c>
      <c r="W1039" s="8" t="n">
        <v>110</v>
      </c>
      <c r="X1039" s="8"/>
      <c r="Y1039" s="4" t="s">
        <v>7597</v>
      </c>
      <c r="Z1039" s="8" t="s">
        <v>8111</v>
      </c>
      <c r="AA1039" s="8" t="str">
        <v/>
      </c>
      <c r="AB1039" s="8" t="str">
        <v>○</v>
      </c>
      <c r="AC1039" s="8" t="str">
        <v>○</v>
      </c>
      <c r="AD1039" s="8" t="str">
        <v/>
      </c>
      <c r="AE1039" s="8" t="str">
        <v/>
      </c>
      <c r="AF1039" s="8" t="str">
        <v/>
      </c>
      <c r="AG1039" s="8" t="str">
        <v>○</v>
      </c>
      <c r="AH1039" s="8" t="str">
        <v/>
      </c>
      <c r="AI1039" s="8" t="n">
        <v>31</v>
      </c>
      <c r="AJ1039" s="8" t="str">
        <v>80～84</v>
      </c>
      <c r="AK1039" s="8" t="str">
        <v>20～29</v>
      </c>
      <c r="AL1039" s="8" t="str">
        <v>30～39</v>
      </c>
      <c r="AM1039" s="8" t="str">
        <v>120～139</v>
      </c>
      <c r="AN1039" s="8" t="str">
        <v>8～11</v>
      </c>
      <c r="AO1039" s="8" t="str">
        <f aca="false">IF(A1039="","",IF(COUNTIFS(全馬データ!$A$2:$A$50000,A1039,全馬データ!$B$2:$B$50000,B1039,全馬データ!$C$2:$C$50000,C1039,全馬データ!$D$2:$D$50000,E1039,全馬データ!$K$2:$K$50000,"&lt;&gt;")=0,"",SUMIFS(全馬データ!$K$2:$K$50000,全馬データ!$A$2:$A$50000,A1039,全馬データ!$B$2:$B$50000,B1039,全馬データ!$C$2:$C$50000,C1039,全馬データ!$D$2:$D$50000,E1039)))</f>
        <v/>
      </c>
      <c r="AP1039" s="8" t="str">
        <f aca="false">IF(A1039="","",IF(AO1039="","欠損",IF(AO1039&lt;=1.1,"1.0～1.1",IF(AO1039&lt;1.3,"1.2",IF(AO1039&lt;1.5,"1.3～1.4",IF(AO1039&lt;2,"1.5～1.9","2.0以上"))))))</f>
        <v>欠損</v>
      </c>
      <c r="AQ1039" s="8" t="str">
        <f aca="false">IF(A1039="","",IF(ISNUMBER(SEARCH("2歳",Z1039)),"2歳戦",IF(ISNUMBER(SEARCH("3歳未勝利",Z1039)),"3歳未勝利",IF(ISNUMBER(SEARCH("未勝利",Z1039)),"その他未勝利",IF(ISNUMBER(SEARCH("G1",Z1039)),"G1",IF(ISNUMBER(SEARCH("G2",Z1039)),"G2",IF(ISNUMBER(SEARCH("G3",Z1039)),"G3",IF(ISNUMBER(SEARCH("古馬条件",Z1039)),"古馬条件戦",IF(ISNUMBER(SEARCH("重賞",Z1039)),"重賞","分類不能")))))))))</f>
        <v>分類不能</v>
      </c>
      <c r="AR1039" s="8"/>
      <c r="AS1039" s="8" t="s">
        <v>7623</v>
      </c>
      <c r="AT1039" s="8" t="s">
        <v>7624</v>
      </c>
      <c r="AU1039" s="8" t="s">
        <v>7600</v>
      </c>
      <c r="AV1039" s="4" t="s">
        <v>7601</v>
      </c>
      <c r="AW1039" s="8"/>
      <c r="AX1039" s="8"/>
      <c r="AY1039" s="8" t="s">
        <v>7610</v>
      </c>
      <c r="AZ1039" s="4" t="s">
        <v>7617</v>
      </c>
      <c r="BA1039" s="8" t="n">
        <v>1800</v>
      </c>
      <c r="BB1039" s="8" t="s">
        <v>7598</v>
      </c>
      <c r="BC1039" s="4" t="s">
        <v>7604</v>
      </c>
      <c r="BD1039" s="8" t="s">
        <v>7621</v>
      </c>
      <c r="BE1039" s="4" t="s">
        <v>7622</v>
      </c>
      <c r="BF1039" s="8" t="s">
        <v>7602</v>
      </c>
      <c r="BG1039" s="8" t="s">
        <v>7608</v>
      </c>
      <c r="BH1039" s="4" t="s">
        <v>7609</v>
      </c>
      <c r="BI1039" s="8" t="n">
        <v>11</v>
      </c>
      <c r="BJ1039" s="8" t="s">
        <v>7602</v>
      </c>
      <c r="BK1039" s="4" t="s">
        <v>7653</v>
      </c>
      <c r="BL1039" s="8" t="s">
        <v>7602</v>
      </c>
      <c r="BM1039" s="4" t="s">
        <v>7620</v>
      </c>
      <c r="BN1039" s="8"/>
      <c r="BO1039" s="8"/>
      <c r="BP1039" s="8" t="s">
        <v>7610</v>
      </c>
      <c r="BQ1039" s="8" t="str">
        <f aca="false">IF(A1039="","",AT1039)</f>
        <v>3歳</v>
      </c>
      <c r="BR1039" s="8" t="str">
        <f aca="false">IF(A1039="","",IF(BA1039&lt;=1200,"～1200",IF(BA1039&lt;=1500,"1300～1500",IF(BA1039=1600,"1600",IF(BA1039&lt;=1800,"1700～1800",IF(BA1039&lt;=2000,"1900～2000","2100以上"))))))</f>
        <v>1700～1800</v>
      </c>
      <c r="BS1039" s="8" t="str">
        <f aca="false">IF(A1039="","",IF(AX1039="G1","G1",IF(AX1039="G2","G2",IF(AX1039="G3","G3",IF(AX1039="L","L","その他")))))</f>
        <v>その他</v>
      </c>
      <c r="BT1039" s="8" t="str">
        <f aca="false">IF(A1039="","",IF(BI1039="","未結合",IF(D1039=BI1039,"一致","不一致")))</f>
        <v>一致</v>
      </c>
      <c r="BU1039" s="8" t="str">
        <f aca="false">IF(A1039="","",IF(BE1039="牝馬限定","牝馬限定","その他"))</f>
        <v>牝馬限定</v>
      </c>
    </row>
    <row r="1040" customFormat="false" ht="15.75" hidden="false" customHeight="false" outlineLevel="0" collapsed="false">
      <c r="A1040" s="6" t="n">
        <f aca="false">DATE(2026,5,10)</f>
        <v>46152</v>
      </c>
      <c r="B1040" s="4" t="s">
        <v>5435</v>
      </c>
      <c r="C1040" s="8" t="n">
        <v>2</v>
      </c>
      <c r="D1040" s="8" t="n">
        <v>16</v>
      </c>
      <c r="E1040" s="8" t="n">
        <v>6</v>
      </c>
      <c r="F1040" s="4" t="s">
        <v>7081</v>
      </c>
      <c r="G1040" s="8" t="n">
        <v>62</v>
      </c>
      <c r="H1040" s="8" t="n">
        <v>2</v>
      </c>
      <c r="I1040" s="4" t="s">
        <v>1116</v>
      </c>
      <c r="J1040" s="8" t="n">
        <v>56</v>
      </c>
      <c r="K1040" s="8" t="n">
        <v>5</v>
      </c>
      <c r="L1040" s="4" t="s">
        <v>5437</v>
      </c>
      <c r="M1040" s="8" t="n">
        <v>47</v>
      </c>
      <c r="N1040" s="8" t="n">
        <f aca="false">IF(A1040="","",G1040-J1040)</f>
        <v>6</v>
      </c>
      <c r="O1040" s="8" t="n">
        <f aca="false">IF(A1040="","",J1040-M1040)</f>
        <v>9</v>
      </c>
      <c r="P1040" s="8" t="n">
        <f aca="false">IF(A1040="","",G1040+J1040)</f>
        <v>118</v>
      </c>
      <c r="Q1040" s="8" t="str">
        <f aca="false">IF(A1040="","",IF(AND(Y1040&lt;&gt;"参考",G1040&gt;=ルール設定!$B$2),"○",""))</f>
        <v/>
      </c>
      <c r="R1040" s="8" t="str">
        <f aca="false">IF(A1040="","",IF(AND(Y1040&lt;&gt;"参考",G1040&gt;=ルール設定!$B$3,N1040&gt;=ルール設定!$B$4),"○",""))</f>
        <v/>
      </c>
      <c r="S1040" s="8" t="str">
        <f aca="false">IF(A1040="","",IF(AND(Y1040&lt;&gt;"参考",G1040&gt;=ルール設定!$B$5,J1040&gt;=ルール設定!$B$6,O1040&gt;=ルール設定!$B$7),"○",""))</f>
        <v/>
      </c>
      <c r="T1040" s="8" t="n">
        <v>4</v>
      </c>
      <c r="U1040" s="8" t="n">
        <v>2</v>
      </c>
      <c r="V1040" s="8" t="str">
        <f aca="false">IF(A1040="","",IF(AND(ISNUMBER(T1040),ISNUMBER(U1040)),IF(AND(T1040&lt;=3,U1040&lt;=3),"○","×"),""))</f>
        <v>×</v>
      </c>
      <c r="W1040" s="8"/>
      <c r="X1040" s="8"/>
      <c r="Y1040" s="4" t="s">
        <v>7597</v>
      </c>
      <c r="Z1040" s="8" t="s">
        <v>8111</v>
      </c>
      <c r="AA1040" s="8" t="str">
        <v/>
      </c>
      <c r="AB1040" s="8" t="str">
        <v/>
      </c>
      <c r="AC1040" s="8" t="str">
        <v/>
      </c>
      <c r="AD1040" s="8" t="str">
        <v/>
      </c>
      <c r="AE1040" s="8" t="str">
        <v/>
      </c>
      <c r="AF1040" s="8" t="str">
        <v/>
      </c>
      <c r="AG1040" s="8" t="str">
        <v/>
      </c>
      <c r="AH1040" s="8" t="str">
        <v/>
      </c>
      <c r="AI1040" s="8" t="n">
        <v>15</v>
      </c>
      <c r="AJ1040" s="8" t="str">
        <v>60～69</v>
      </c>
      <c r="AK1040" s="8" t="str">
        <v>5～9</v>
      </c>
      <c r="AL1040" s="8" t="str">
        <v>10～19</v>
      </c>
      <c r="AM1040" s="8" t="str">
        <v>100～119</v>
      </c>
      <c r="AN1040" s="8" t="str">
        <v>15以上</v>
      </c>
      <c r="AO1040" s="8" t="str">
        <f aca="false">IF(A1040="","",IF(COUNTIFS(全馬データ!$A$2:$A$50000,A1040,全馬データ!$B$2:$B$50000,B1040,全馬データ!$C$2:$C$50000,C1040,全馬データ!$D$2:$D$50000,E1040,全馬データ!$K$2:$K$50000,"&lt;&gt;")=0,"",SUMIFS(全馬データ!$K$2:$K$50000,全馬データ!$A$2:$A$50000,A1040,全馬データ!$B$2:$B$50000,B1040,全馬データ!$C$2:$C$50000,C1040,全馬データ!$D$2:$D$50000,E1040)))</f>
        <v/>
      </c>
      <c r="AP1040" s="8" t="str">
        <f aca="false">IF(A1040="","",IF(AO1040="","欠損",IF(AO1040&lt;=1.1,"1.0～1.1",IF(AO1040&lt;1.3,"1.2",IF(AO1040&lt;1.5,"1.3～1.4",IF(AO1040&lt;2,"1.5～1.9","2.0以上"))))))</f>
        <v>欠損</v>
      </c>
      <c r="AQ1040" s="8" t="str">
        <f aca="false">IF(A1040="","",IF(ISNUMBER(SEARCH("2歳",Z1040)),"2歳戦",IF(ISNUMBER(SEARCH("3歳未勝利",Z1040)),"3歳未勝利",IF(ISNUMBER(SEARCH("未勝利",Z1040)),"その他未勝利",IF(ISNUMBER(SEARCH("G1",Z1040)),"G1",IF(ISNUMBER(SEARCH("G2",Z1040)),"G2",IF(ISNUMBER(SEARCH("G3",Z1040)),"G3",IF(ISNUMBER(SEARCH("古馬条件",Z1040)),"古馬条件戦",IF(ISNUMBER(SEARCH("重賞",Z1040)),"重賞","分類不能")))))))))</f>
        <v>分類不能</v>
      </c>
      <c r="AR1040" s="8"/>
      <c r="AS1040" s="8" t="s">
        <v>7623</v>
      </c>
      <c r="AT1040" s="8" t="s">
        <v>7624</v>
      </c>
      <c r="AU1040" s="8" t="s">
        <v>7600</v>
      </c>
      <c r="AV1040" s="4" t="s">
        <v>7601</v>
      </c>
      <c r="AW1040" s="8"/>
      <c r="AX1040" s="8"/>
      <c r="AY1040" s="8" t="s">
        <v>7610</v>
      </c>
      <c r="AZ1040" s="4" t="s">
        <v>7617</v>
      </c>
      <c r="BA1040" s="8" t="n">
        <v>1200</v>
      </c>
      <c r="BB1040" s="8" t="s">
        <v>7598</v>
      </c>
      <c r="BC1040" s="4" t="s">
        <v>7604</v>
      </c>
      <c r="BD1040" s="8" t="s">
        <v>7605</v>
      </c>
      <c r="BE1040" s="4" t="s">
        <v>7606</v>
      </c>
      <c r="BF1040" s="8" t="s">
        <v>7607</v>
      </c>
      <c r="BG1040" s="8" t="s">
        <v>7608</v>
      </c>
      <c r="BH1040" s="4" t="s">
        <v>7609</v>
      </c>
      <c r="BI1040" s="8" t="n">
        <v>16</v>
      </c>
      <c r="BJ1040" s="8" t="s">
        <v>7602</v>
      </c>
      <c r="BK1040" s="4" t="s">
        <v>7653</v>
      </c>
      <c r="BL1040" s="8" t="s">
        <v>7602</v>
      </c>
      <c r="BM1040" s="4" t="s">
        <v>7620</v>
      </c>
      <c r="BN1040" s="8"/>
      <c r="BO1040" s="8"/>
      <c r="BP1040" s="8" t="s">
        <v>7610</v>
      </c>
      <c r="BQ1040" s="8" t="str">
        <f aca="false">IF(A1040="","",AT1040)</f>
        <v>3歳</v>
      </c>
      <c r="BR1040" s="8" t="str">
        <f aca="false">IF(A1040="","",IF(BA1040&lt;=1200,"～1200",IF(BA1040&lt;=1500,"1300～1500",IF(BA1040=1600,"1600",IF(BA1040&lt;=1800,"1700～1800",IF(BA1040&lt;=2000,"1900～2000","2100以上"))))))</f>
        <v>～1200</v>
      </c>
      <c r="BS1040" s="8" t="str">
        <f aca="false">IF(A1040="","",IF(AX1040="G1","G1",IF(AX1040="G2","G2",IF(AX1040="G3","G3",IF(AX1040="L","L","その他")))))</f>
        <v>その他</v>
      </c>
      <c r="BT1040" s="8" t="str">
        <f aca="false">IF(A1040="","",IF(BI1040="","未結合",IF(D1040=BI1040,"一致","不一致")))</f>
        <v>一致</v>
      </c>
      <c r="BU1040" s="8" t="str">
        <f aca="false">IF(A1040="","",IF(BE1040="牝馬限定","牝馬限定","その他"))</f>
        <v>その他</v>
      </c>
    </row>
    <row r="1041" customFormat="false" ht="15.75" hidden="false" customHeight="false" outlineLevel="0" collapsed="false">
      <c r="A1041" s="6" t="n">
        <f aca="false">DATE(2026,5,10)</f>
        <v>46152</v>
      </c>
      <c r="B1041" s="4" t="s">
        <v>5435</v>
      </c>
      <c r="C1041" s="8" t="n">
        <v>3</v>
      </c>
      <c r="D1041" s="8" t="n">
        <v>12</v>
      </c>
      <c r="E1041" s="8" t="n">
        <v>1</v>
      </c>
      <c r="F1041" s="4" t="s">
        <v>5328</v>
      </c>
      <c r="G1041" s="8" t="n">
        <v>86</v>
      </c>
      <c r="H1041" s="8" t="n">
        <v>11</v>
      </c>
      <c r="I1041" s="4" t="s">
        <v>2635</v>
      </c>
      <c r="J1041" s="8" t="n">
        <v>52</v>
      </c>
      <c r="K1041" s="8" t="n">
        <v>6</v>
      </c>
      <c r="L1041" s="4" t="s">
        <v>2063</v>
      </c>
      <c r="M1041" s="8" t="n">
        <v>23</v>
      </c>
      <c r="N1041" s="8" t="n">
        <f aca="false">IF(A1041="","",G1041-J1041)</f>
        <v>34</v>
      </c>
      <c r="O1041" s="8" t="n">
        <f aca="false">IF(A1041="","",J1041-M1041)</f>
        <v>29</v>
      </c>
      <c r="P1041" s="8" t="n">
        <f aca="false">IF(A1041="","",G1041+J1041)</f>
        <v>138</v>
      </c>
      <c r="Q1041" s="8" t="str">
        <f aca="false">IF(A1041="","",IF(AND(Y1041&lt;&gt;"参考",G1041&gt;=ルール設定!$B$2),"○",""))</f>
        <v>○</v>
      </c>
      <c r="R1041" s="8" t="str">
        <f aca="false">IF(A1041="","",IF(AND(Y1041&lt;&gt;"参考",G1041&gt;=ルール設定!$B$3,N1041&gt;=ルール設定!$B$4),"○",""))</f>
        <v>○</v>
      </c>
      <c r="S1041" s="8" t="str">
        <f aca="false">IF(A1041="","",IF(AND(Y1041&lt;&gt;"参考",G1041&gt;=ルール設定!$B$5,J1041&gt;=ルール設定!$B$6,O1041&gt;=ルール設定!$B$7),"○",""))</f>
        <v>○</v>
      </c>
      <c r="T1041" s="8" t="n">
        <v>4</v>
      </c>
      <c r="U1041" s="8" t="n">
        <v>4</v>
      </c>
      <c r="V1041" s="8" t="str">
        <f aca="false">IF(A1041="","",IF(AND(ISNUMBER(T1041),ISNUMBER(U1041)),IF(AND(T1041&lt;=3,U1041&lt;=3),"○","×"),""))</f>
        <v>×</v>
      </c>
      <c r="W1041" s="8"/>
      <c r="X1041" s="8"/>
      <c r="Y1041" s="4" t="s">
        <v>7597</v>
      </c>
      <c r="Z1041" s="8" t="s">
        <v>8111</v>
      </c>
      <c r="AA1041" s="8" t="str">
        <v>○</v>
      </c>
      <c r="AB1041" s="8" t="str">
        <v>○</v>
      </c>
      <c r="AC1041" s="8" t="str">
        <v/>
      </c>
      <c r="AD1041" s="8" t="str">
        <v>○</v>
      </c>
      <c r="AE1041" s="8" t="str">
        <v/>
      </c>
      <c r="AF1041" s="8" t="str">
        <v/>
      </c>
      <c r="AG1041" s="8" t="str">
        <v>○</v>
      </c>
      <c r="AH1041" s="8" t="str">
        <v/>
      </c>
      <c r="AI1041" s="8" t="n">
        <v>63</v>
      </c>
      <c r="AJ1041" s="8" t="str">
        <v>85以上</v>
      </c>
      <c r="AK1041" s="8" t="str">
        <v>30以上</v>
      </c>
      <c r="AL1041" s="8" t="str">
        <v>40以上</v>
      </c>
      <c r="AM1041" s="8" t="str">
        <v>120～139</v>
      </c>
      <c r="AN1041" s="8" t="str">
        <v>12～14</v>
      </c>
      <c r="AO1041" s="8" t="str">
        <f aca="false">IF(A1041="","",IF(COUNTIFS(全馬データ!$A$2:$A$50000,A1041,全馬データ!$B$2:$B$50000,B1041,全馬データ!$C$2:$C$50000,C1041,全馬データ!$D$2:$D$50000,E1041,全馬データ!$K$2:$K$50000,"&lt;&gt;")=0,"",SUMIFS(全馬データ!$K$2:$K$50000,全馬データ!$A$2:$A$50000,A1041,全馬データ!$B$2:$B$50000,B1041,全馬データ!$C$2:$C$50000,C1041,全馬データ!$D$2:$D$50000,E1041)))</f>
        <v/>
      </c>
      <c r="AP1041" s="8" t="str">
        <f aca="false">IF(A1041="","",IF(AO1041="","欠損",IF(AO1041&lt;=1.1,"1.0～1.1",IF(AO1041&lt;1.3,"1.2",IF(AO1041&lt;1.5,"1.3～1.4",IF(AO1041&lt;2,"1.5～1.9","2.0以上"))))))</f>
        <v>欠損</v>
      </c>
      <c r="AQ1041" s="8" t="str">
        <f aca="false">IF(A1041="","",IF(ISNUMBER(SEARCH("2歳",Z1041)),"2歳戦",IF(ISNUMBER(SEARCH("3歳未勝利",Z1041)),"3歳未勝利",IF(ISNUMBER(SEARCH("未勝利",Z1041)),"その他未勝利",IF(ISNUMBER(SEARCH("G1",Z1041)),"G1",IF(ISNUMBER(SEARCH("G2",Z1041)),"G2",IF(ISNUMBER(SEARCH("G3",Z1041)),"G3",IF(ISNUMBER(SEARCH("古馬条件",Z1041)),"古馬条件戦",IF(ISNUMBER(SEARCH("重賞",Z1041)),"重賞","分類不能")))))))))</f>
        <v>分類不能</v>
      </c>
      <c r="AR1041" s="8"/>
      <c r="AS1041" s="8" t="s">
        <v>7623</v>
      </c>
      <c r="AT1041" s="8" t="s">
        <v>7624</v>
      </c>
      <c r="AU1041" s="8" t="s">
        <v>7600</v>
      </c>
      <c r="AV1041" s="4" t="s">
        <v>7601</v>
      </c>
      <c r="AW1041" s="8"/>
      <c r="AX1041" s="8"/>
      <c r="AY1041" s="8" t="s">
        <v>7610</v>
      </c>
      <c r="AZ1041" s="4" t="s">
        <v>7617</v>
      </c>
      <c r="BA1041" s="8" t="n">
        <v>1900</v>
      </c>
      <c r="BB1041" s="8" t="s">
        <v>7598</v>
      </c>
      <c r="BC1041" s="4" t="s">
        <v>7604</v>
      </c>
      <c r="BD1041" s="8" t="s">
        <v>7625</v>
      </c>
      <c r="BE1041" s="4" t="s">
        <v>7606</v>
      </c>
      <c r="BF1041" s="8" t="s">
        <v>7607</v>
      </c>
      <c r="BG1041" s="8" t="s">
        <v>7608</v>
      </c>
      <c r="BH1041" s="4" t="s">
        <v>7609</v>
      </c>
      <c r="BI1041" s="8" t="n">
        <v>12</v>
      </c>
      <c r="BJ1041" s="8" t="s">
        <v>7602</v>
      </c>
      <c r="BK1041" s="4" t="s">
        <v>7653</v>
      </c>
      <c r="BL1041" s="8" t="s">
        <v>7602</v>
      </c>
      <c r="BM1041" s="4" t="s">
        <v>7620</v>
      </c>
      <c r="BN1041" s="8"/>
      <c r="BO1041" s="8"/>
      <c r="BP1041" s="8" t="s">
        <v>7610</v>
      </c>
      <c r="BQ1041" s="8" t="str">
        <f aca="false">IF(A1041="","",AT1041)</f>
        <v>3歳</v>
      </c>
      <c r="BR1041" s="8" t="str">
        <f aca="false">IF(A1041="","",IF(BA1041&lt;=1200,"～1200",IF(BA1041&lt;=1500,"1300～1500",IF(BA1041=1600,"1600",IF(BA1041&lt;=1800,"1700～1800",IF(BA1041&lt;=2000,"1900～2000","2100以上"))))))</f>
        <v>1900～2000</v>
      </c>
      <c r="BS1041" s="8" t="str">
        <f aca="false">IF(A1041="","",IF(AX1041="G1","G1",IF(AX1041="G2","G2",IF(AX1041="G3","G3",IF(AX1041="L","L","その他")))))</f>
        <v>その他</v>
      </c>
      <c r="BT1041" s="8" t="str">
        <f aca="false">IF(A1041="","",IF(BI1041="","未結合",IF(D1041=BI1041,"一致","不一致")))</f>
        <v>一致</v>
      </c>
      <c r="BU1041" s="8" t="str">
        <f aca="false">IF(A1041="","",IF(BE1041="牝馬限定","牝馬限定","その他"))</f>
        <v>その他</v>
      </c>
    </row>
    <row r="1042" customFormat="false" ht="15.75" hidden="false" customHeight="false" outlineLevel="0" collapsed="false">
      <c r="A1042" s="6" t="n">
        <f aca="false">DATE(2026,5,10)</f>
        <v>46152</v>
      </c>
      <c r="B1042" s="4" t="s">
        <v>5435</v>
      </c>
      <c r="C1042" s="8" t="n">
        <v>4</v>
      </c>
      <c r="D1042" s="8" t="n">
        <v>17</v>
      </c>
      <c r="E1042" s="8" t="n">
        <v>16</v>
      </c>
      <c r="F1042" s="4" t="s">
        <v>321</v>
      </c>
      <c r="G1042" s="8" t="n">
        <v>74</v>
      </c>
      <c r="H1042" s="8" t="n">
        <v>9</v>
      </c>
      <c r="I1042" s="4" t="s">
        <v>386</v>
      </c>
      <c r="J1042" s="8" t="n">
        <v>39</v>
      </c>
      <c r="K1042" s="8" t="n">
        <v>1</v>
      </c>
      <c r="L1042" s="4" t="s">
        <v>3691</v>
      </c>
      <c r="M1042" s="8" t="n">
        <v>29</v>
      </c>
      <c r="N1042" s="8" t="n">
        <f aca="false">IF(A1042="","",G1042-J1042)</f>
        <v>35</v>
      </c>
      <c r="O1042" s="8" t="n">
        <f aca="false">IF(A1042="","",J1042-M1042)</f>
        <v>10</v>
      </c>
      <c r="P1042" s="8" t="n">
        <f aca="false">IF(A1042="","",G1042+J1042)</f>
        <v>113</v>
      </c>
      <c r="Q1042" s="8" t="str">
        <f aca="false">IF(A1042="","",IF(AND(Y1042&lt;&gt;"参考",G1042&gt;=ルール設定!$B$2),"○",""))</f>
        <v/>
      </c>
      <c r="R1042" s="8" t="str">
        <f aca="false">IF(A1042="","",IF(AND(Y1042&lt;&gt;"参考",G1042&gt;=ルール設定!$B$3,N1042&gt;=ルール設定!$B$4),"○",""))</f>
        <v>○</v>
      </c>
      <c r="S1042" s="8" t="str">
        <f aca="false">IF(A1042="","",IF(AND(Y1042&lt;&gt;"参考",G1042&gt;=ルール設定!$B$5,J1042&gt;=ルール設定!$B$6,O1042&gt;=ルール設定!$B$7),"○",""))</f>
        <v/>
      </c>
      <c r="T1042" s="8" t="n">
        <v>4</v>
      </c>
      <c r="U1042" s="8" t="n">
        <v>4</v>
      </c>
      <c r="V1042" s="8" t="str">
        <f aca="false">IF(A1042="","",IF(AND(ISNUMBER(T1042),ISNUMBER(U1042)),IF(AND(T1042&lt;=3,U1042&lt;=3),"○","×"),""))</f>
        <v>×</v>
      </c>
      <c r="W1042" s="8"/>
      <c r="X1042" s="8"/>
      <c r="Y1042" s="4" t="s">
        <v>7597</v>
      </c>
      <c r="Z1042" s="8" t="s">
        <v>8111</v>
      </c>
      <c r="AA1042" s="8" t="str">
        <v/>
      </c>
      <c r="AB1042" s="8" t="str">
        <v/>
      </c>
      <c r="AC1042" s="8" t="str">
        <v/>
      </c>
      <c r="AD1042" s="8" t="str">
        <v/>
      </c>
      <c r="AE1042" s="8" t="str">
        <v>○</v>
      </c>
      <c r="AF1042" s="8" t="str">
        <v/>
      </c>
      <c r="AG1042" s="8" t="str">
        <v/>
      </c>
      <c r="AH1042" s="8" t="str">
        <v/>
      </c>
      <c r="AI1042" s="8" t="n">
        <v>45</v>
      </c>
      <c r="AJ1042" s="8" t="str">
        <v>70～74</v>
      </c>
      <c r="AK1042" s="8" t="str">
        <v>30以上</v>
      </c>
      <c r="AL1042" s="8" t="str">
        <v>40以上</v>
      </c>
      <c r="AM1042" s="8" t="str">
        <v>100～119</v>
      </c>
      <c r="AN1042" s="8" t="str">
        <v>15以上</v>
      </c>
      <c r="AO1042" s="8" t="str">
        <f aca="false">IF(A1042="","",IF(COUNTIFS(全馬データ!$A$2:$A$50000,A1042,全馬データ!$B$2:$B$50000,B1042,全馬データ!$C$2:$C$50000,C1042,全馬データ!$D$2:$D$50000,E1042,全馬データ!$K$2:$K$50000,"&lt;&gt;")=0,"",SUMIFS(全馬データ!$K$2:$K$50000,全馬データ!$A$2:$A$50000,A1042,全馬データ!$B$2:$B$50000,B1042,全馬データ!$C$2:$C$50000,C1042,全馬データ!$D$2:$D$50000,E1042)))</f>
        <v/>
      </c>
      <c r="AP1042" s="8" t="str">
        <f aca="false">IF(A1042="","",IF(AO1042="","欠損",IF(AO1042&lt;=1.1,"1.0～1.1",IF(AO1042&lt;1.3,"1.2",IF(AO1042&lt;1.5,"1.3～1.4",IF(AO1042&lt;2,"1.5～1.9","2.0以上"))))))</f>
        <v>欠損</v>
      </c>
      <c r="AQ1042" s="8" t="str">
        <f aca="false">IF(A1042="","",IF(ISNUMBER(SEARCH("2歳",Z1042)),"2歳戦",IF(ISNUMBER(SEARCH("3歳未勝利",Z1042)),"3歳未勝利",IF(ISNUMBER(SEARCH("未勝利",Z1042)),"その他未勝利",IF(ISNUMBER(SEARCH("G1",Z1042)),"G1",IF(ISNUMBER(SEARCH("G2",Z1042)),"G2",IF(ISNUMBER(SEARCH("G3",Z1042)),"G3",IF(ISNUMBER(SEARCH("古馬条件",Z1042)),"古馬条件戦",IF(ISNUMBER(SEARCH("重賞",Z1042)),"重賞","分類不能")))))))))</f>
        <v>分類不能</v>
      </c>
      <c r="AR1042" s="8"/>
      <c r="AS1042" s="8" t="s">
        <v>7623</v>
      </c>
      <c r="AT1042" s="8" t="s">
        <v>7624</v>
      </c>
      <c r="AU1042" s="8" t="s">
        <v>7600</v>
      </c>
      <c r="AV1042" s="4" t="s">
        <v>7601</v>
      </c>
      <c r="AW1042" s="8"/>
      <c r="AX1042" s="8"/>
      <c r="AY1042" s="8" t="s">
        <v>7602</v>
      </c>
      <c r="AZ1042" s="4" t="s">
        <v>7603</v>
      </c>
      <c r="BA1042" s="8" t="n">
        <v>1600</v>
      </c>
      <c r="BB1042" s="8" t="s">
        <v>7598</v>
      </c>
      <c r="BC1042" s="4" t="s">
        <v>7604</v>
      </c>
      <c r="BD1042" s="8" t="s">
        <v>7605</v>
      </c>
      <c r="BE1042" s="4" t="s">
        <v>7606</v>
      </c>
      <c r="BF1042" s="8" t="s">
        <v>7607</v>
      </c>
      <c r="BG1042" s="8" t="s">
        <v>7608</v>
      </c>
      <c r="BH1042" s="4" t="s">
        <v>7609</v>
      </c>
      <c r="BI1042" s="8" t="n">
        <v>17</v>
      </c>
      <c r="BJ1042" s="8" t="s">
        <v>7602</v>
      </c>
      <c r="BK1042" s="4" t="s">
        <v>7653</v>
      </c>
      <c r="BL1042" s="8" t="s">
        <v>7602</v>
      </c>
      <c r="BM1042" s="4" t="s">
        <v>7620</v>
      </c>
      <c r="BN1042" s="8" t="s">
        <v>7636</v>
      </c>
      <c r="BO1042" s="8" t="s">
        <v>7804</v>
      </c>
      <c r="BP1042" s="8" t="s">
        <v>7610</v>
      </c>
      <c r="BQ1042" s="8" t="str">
        <f aca="false">IF(A1042="","",AT1042)</f>
        <v>3歳</v>
      </c>
      <c r="BR1042" s="8" t="str">
        <f aca="false">IF(A1042="","",IF(BA1042&lt;=1200,"～1200",IF(BA1042&lt;=1500,"1300～1500",IF(BA1042=1600,"1600",IF(BA1042&lt;=1800,"1700～1800",IF(BA1042&lt;=2000,"1900～2000","2100以上"))))))</f>
        <v>1600</v>
      </c>
      <c r="BS1042" s="8" t="str">
        <f aca="false">IF(A1042="","",IF(AX1042="G1","G1",IF(AX1042="G2","G2",IF(AX1042="G3","G3",IF(AX1042="L","L","その他")))))</f>
        <v>その他</v>
      </c>
      <c r="BT1042" s="8" t="str">
        <f aca="false">IF(A1042="","",IF(BI1042="","未結合",IF(D1042=BI1042,"一致","不一致")))</f>
        <v>一致</v>
      </c>
      <c r="BU1042" s="8" t="str">
        <f aca="false">IF(A1042="","",IF(BE1042="牝馬限定","牝馬限定","その他"))</f>
        <v>その他</v>
      </c>
    </row>
    <row r="1043" customFormat="false" ht="15.75" hidden="false" customHeight="false" outlineLevel="0" collapsed="false">
      <c r="A1043" s="6" t="n">
        <f aca="false">DATE(2026,5,10)</f>
        <v>46152</v>
      </c>
      <c r="B1043" s="4" t="s">
        <v>5435</v>
      </c>
      <c r="C1043" s="8" t="n">
        <v>5</v>
      </c>
      <c r="D1043" s="8" t="n">
        <v>13</v>
      </c>
      <c r="E1043" s="8" t="n">
        <v>8</v>
      </c>
      <c r="F1043" s="4" t="s">
        <v>1625</v>
      </c>
      <c r="G1043" s="8" t="n">
        <v>71</v>
      </c>
      <c r="H1043" s="8" t="n">
        <v>9</v>
      </c>
      <c r="I1043" s="4" t="s">
        <v>278</v>
      </c>
      <c r="J1043" s="8" t="n">
        <v>44</v>
      </c>
      <c r="K1043" s="8" t="n">
        <v>10</v>
      </c>
      <c r="L1043" s="4" t="s">
        <v>215</v>
      </c>
      <c r="M1043" s="8" t="n">
        <v>29</v>
      </c>
      <c r="N1043" s="8" t="n">
        <f aca="false">IF(A1043="","",G1043-J1043)</f>
        <v>27</v>
      </c>
      <c r="O1043" s="8" t="n">
        <f aca="false">IF(A1043="","",J1043-M1043)</f>
        <v>15</v>
      </c>
      <c r="P1043" s="8" t="n">
        <f aca="false">IF(A1043="","",G1043+J1043)</f>
        <v>115</v>
      </c>
      <c r="Q1043" s="8" t="str">
        <f aca="false">IF(A1043="","",IF(AND(Y1043&lt;&gt;"参考",G1043&gt;=ルール設定!$B$2),"○",""))</f>
        <v/>
      </c>
      <c r="R1043" s="8" t="str">
        <f aca="false">IF(A1043="","",IF(AND(Y1043&lt;&gt;"参考",G1043&gt;=ルール設定!$B$3,N1043&gt;=ルール設定!$B$4),"○",""))</f>
        <v/>
      </c>
      <c r="S1043" s="8" t="str">
        <f aca="false">IF(A1043="","",IF(AND(Y1043&lt;&gt;"参考",G1043&gt;=ルール設定!$B$5,J1043&gt;=ルール設定!$B$6,O1043&gt;=ルール設定!$B$7),"○",""))</f>
        <v/>
      </c>
      <c r="T1043" s="8" t="n">
        <v>2</v>
      </c>
      <c r="U1043" s="8" t="n">
        <v>1</v>
      </c>
      <c r="V1043" s="8" t="str">
        <f aca="false">IF(A1043="","",IF(AND(ISNUMBER(T1043),ISNUMBER(U1043)),IF(AND(T1043&lt;=3,U1043&lt;=3),"○","×"),""))</f>
        <v>○</v>
      </c>
      <c r="W1043" s="8" t="n">
        <v>110</v>
      </c>
      <c r="X1043" s="8" t="n">
        <v>220</v>
      </c>
      <c r="Y1043" s="4" t="s">
        <v>7597</v>
      </c>
      <c r="Z1043" s="8" t="s">
        <v>8111</v>
      </c>
      <c r="AA1043" s="8" t="str">
        <v/>
      </c>
      <c r="AB1043" s="8" t="str">
        <v/>
      </c>
      <c r="AC1043" s="8" t="str">
        <v/>
      </c>
      <c r="AD1043" s="8" t="str">
        <v/>
      </c>
      <c r="AE1043" s="8" t="str">
        <v/>
      </c>
      <c r="AF1043" s="8" t="str">
        <v/>
      </c>
      <c r="AG1043" s="8" t="str">
        <v/>
      </c>
      <c r="AH1043" s="8" t="str">
        <v/>
      </c>
      <c r="AI1043" s="8" t="n">
        <v>42</v>
      </c>
      <c r="AJ1043" s="8" t="str">
        <v>70～74</v>
      </c>
      <c r="AK1043" s="8" t="str">
        <v>20～29</v>
      </c>
      <c r="AL1043" s="8" t="str">
        <v>40以上</v>
      </c>
      <c r="AM1043" s="8" t="str">
        <v>100～119</v>
      </c>
      <c r="AN1043" s="8" t="str">
        <v>12～14</v>
      </c>
      <c r="AO1043" s="8" t="str">
        <f aca="false">IF(A1043="","",IF(COUNTIFS(全馬データ!$A$2:$A$50000,A1043,全馬データ!$B$2:$B$50000,B1043,全馬データ!$C$2:$C$50000,C1043,全馬データ!$D$2:$D$50000,E1043,全馬データ!$K$2:$K$50000,"&lt;&gt;")=0,"",SUMIFS(全馬データ!$K$2:$K$50000,全馬データ!$A$2:$A$50000,A1043,全馬データ!$B$2:$B$50000,B1043,全馬データ!$C$2:$C$50000,C1043,全馬データ!$D$2:$D$50000,E1043)))</f>
        <v/>
      </c>
      <c r="AP1043" s="8" t="str">
        <f aca="false">IF(A1043="","",IF(AO1043="","欠損",IF(AO1043&lt;=1.1,"1.0～1.1",IF(AO1043&lt;1.3,"1.2",IF(AO1043&lt;1.5,"1.3～1.4",IF(AO1043&lt;2,"1.5～1.9","2.0以上"))))))</f>
        <v>欠損</v>
      </c>
      <c r="AQ1043" s="8" t="str">
        <f aca="false">IF(A1043="","",IF(ISNUMBER(SEARCH("2歳",Z1043)),"2歳戦",IF(ISNUMBER(SEARCH("3歳未勝利",Z1043)),"3歳未勝利",IF(ISNUMBER(SEARCH("未勝利",Z1043)),"その他未勝利",IF(ISNUMBER(SEARCH("G1",Z1043)),"G1",IF(ISNUMBER(SEARCH("G2",Z1043)),"G2",IF(ISNUMBER(SEARCH("G3",Z1043)),"G3",IF(ISNUMBER(SEARCH("古馬条件",Z1043)),"古馬条件戦",IF(ISNUMBER(SEARCH("重賞",Z1043)),"重賞","分類不能")))))))))</f>
        <v>分類不能</v>
      </c>
      <c r="AR1043" s="8"/>
      <c r="AS1043" s="8" t="s">
        <v>7623</v>
      </c>
      <c r="AT1043" s="8" t="s">
        <v>7624</v>
      </c>
      <c r="AU1043" s="8" t="s">
        <v>7600</v>
      </c>
      <c r="AV1043" s="4" t="s">
        <v>7601</v>
      </c>
      <c r="AW1043" s="8"/>
      <c r="AX1043" s="8"/>
      <c r="AY1043" s="8" t="s">
        <v>7602</v>
      </c>
      <c r="AZ1043" s="4" t="s">
        <v>7603</v>
      </c>
      <c r="BA1043" s="8" t="n">
        <v>2000</v>
      </c>
      <c r="BB1043" s="8" t="s">
        <v>7598</v>
      </c>
      <c r="BC1043" s="4" t="s">
        <v>7604</v>
      </c>
      <c r="BD1043" s="8" t="s">
        <v>7625</v>
      </c>
      <c r="BE1043" s="4" t="s">
        <v>7606</v>
      </c>
      <c r="BF1043" s="8" t="s">
        <v>7607</v>
      </c>
      <c r="BG1043" s="8" t="s">
        <v>7608</v>
      </c>
      <c r="BH1043" s="4" t="s">
        <v>7609</v>
      </c>
      <c r="BI1043" s="8" t="n">
        <v>13</v>
      </c>
      <c r="BJ1043" s="8" t="s">
        <v>7602</v>
      </c>
      <c r="BK1043" s="4" t="s">
        <v>7653</v>
      </c>
      <c r="BL1043" s="8" t="s">
        <v>7602</v>
      </c>
      <c r="BM1043" s="4" t="s">
        <v>7620</v>
      </c>
      <c r="BN1043" s="8" t="s">
        <v>7636</v>
      </c>
      <c r="BO1043" s="8" t="s">
        <v>7804</v>
      </c>
      <c r="BP1043" s="8" t="s">
        <v>7610</v>
      </c>
      <c r="BQ1043" s="8" t="str">
        <f aca="false">IF(A1043="","",AT1043)</f>
        <v>3歳</v>
      </c>
      <c r="BR1043" s="8" t="str">
        <f aca="false">IF(A1043="","",IF(BA1043&lt;=1200,"～1200",IF(BA1043&lt;=1500,"1300～1500",IF(BA1043=1600,"1600",IF(BA1043&lt;=1800,"1700～1800",IF(BA1043&lt;=2000,"1900～2000","2100以上"))))))</f>
        <v>1900～2000</v>
      </c>
      <c r="BS1043" s="8" t="str">
        <f aca="false">IF(A1043="","",IF(AX1043="G1","G1",IF(AX1043="G2","G2",IF(AX1043="G3","G3",IF(AX1043="L","L","その他")))))</f>
        <v>その他</v>
      </c>
      <c r="BT1043" s="8" t="str">
        <f aca="false">IF(A1043="","",IF(BI1043="","未結合",IF(D1043=BI1043,"一致","不一致")))</f>
        <v>一致</v>
      </c>
      <c r="BU1043" s="8" t="str">
        <f aca="false">IF(A1043="","",IF(BE1043="牝馬限定","牝馬限定","その他"))</f>
        <v>その他</v>
      </c>
    </row>
    <row r="1044" customFormat="false" ht="15.75" hidden="false" customHeight="false" outlineLevel="0" collapsed="false">
      <c r="A1044" s="6" t="n">
        <f aca="false">DATE(2026,5,10)</f>
        <v>46152</v>
      </c>
      <c r="B1044" s="4" t="s">
        <v>5435</v>
      </c>
      <c r="C1044" s="8" t="n">
        <v>6</v>
      </c>
      <c r="D1044" s="8" t="n">
        <v>10</v>
      </c>
      <c r="E1044" s="8" t="n">
        <v>6</v>
      </c>
      <c r="F1044" s="4" t="s">
        <v>7095</v>
      </c>
      <c r="G1044" s="8" t="n">
        <v>50</v>
      </c>
      <c r="H1044" s="8" t="n">
        <v>2</v>
      </c>
      <c r="I1044" s="4" t="s">
        <v>914</v>
      </c>
      <c r="J1044" s="8" t="n">
        <v>47</v>
      </c>
      <c r="K1044" s="8" t="n">
        <v>5</v>
      </c>
      <c r="L1044" s="4" t="s">
        <v>6127</v>
      </c>
      <c r="M1044" s="8" t="n">
        <v>47</v>
      </c>
      <c r="N1044" s="8" t="n">
        <f aca="false">IF(A1044="","",G1044-J1044)</f>
        <v>3</v>
      </c>
      <c r="O1044" s="8" t="n">
        <f aca="false">IF(A1044="","",J1044-M1044)</f>
        <v>0</v>
      </c>
      <c r="P1044" s="8" t="n">
        <f aca="false">IF(A1044="","",G1044+J1044)</f>
        <v>97</v>
      </c>
      <c r="Q1044" s="8" t="str">
        <f aca="false">IF(A1044="","",IF(AND(Y1044&lt;&gt;"参考",G1044&gt;=ルール設定!$B$2),"○",""))</f>
        <v/>
      </c>
      <c r="R1044" s="8" t="str">
        <f aca="false">IF(A1044="","",IF(AND(Y1044&lt;&gt;"参考",G1044&gt;=ルール設定!$B$3,N1044&gt;=ルール設定!$B$4),"○",""))</f>
        <v/>
      </c>
      <c r="S1044" s="8" t="str">
        <f aca="false">IF(A1044="","",IF(AND(Y1044&lt;&gt;"参考",G1044&gt;=ルール設定!$B$5,J1044&gt;=ルール設定!$B$6,O1044&gt;=ルール設定!$B$7),"○",""))</f>
        <v/>
      </c>
      <c r="T1044" s="8" t="n">
        <v>2</v>
      </c>
      <c r="U1044" s="8" t="n">
        <v>4</v>
      </c>
      <c r="V1044" s="8" t="str">
        <f aca="false">IF(A1044="","",IF(AND(ISNUMBER(T1044),ISNUMBER(U1044)),IF(AND(T1044&lt;=3,U1044&lt;=3),"○","×"),""))</f>
        <v>×</v>
      </c>
      <c r="W1044" s="8" t="n">
        <v>220</v>
      </c>
      <c r="X1044" s="8"/>
      <c r="Y1044" s="4" t="s">
        <v>7597</v>
      </c>
      <c r="Z1044" s="8" t="s">
        <v>8111</v>
      </c>
      <c r="AA1044" s="8" t="str">
        <v/>
      </c>
      <c r="AB1044" s="8" t="str">
        <v/>
      </c>
      <c r="AC1044" s="8" t="str">
        <v/>
      </c>
      <c r="AD1044" s="8" t="str">
        <v/>
      </c>
      <c r="AE1044" s="8" t="str">
        <v/>
      </c>
      <c r="AF1044" s="8" t="str">
        <v/>
      </c>
      <c r="AG1044" s="8" t="str">
        <v/>
      </c>
      <c r="AH1044" s="8" t="str">
        <v/>
      </c>
      <c r="AI1044" s="8" t="n">
        <v>3</v>
      </c>
      <c r="AJ1044" s="8" t="str">
        <v>～59</v>
      </c>
      <c r="AK1044" s="8" t="str">
        <v>0～4</v>
      </c>
      <c r="AL1044" s="8" t="str">
        <v>0～9</v>
      </c>
      <c r="AM1044" s="8" t="str">
        <v>～99</v>
      </c>
      <c r="AN1044" s="8" t="str">
        <v>8～11</v>
      </c>
      <c r="AO1044" s="8" t="str">
        <f aca="false">IF(A1044="","",IF(COUNTIFS(全馬データ!$A$2:$A$50000,A1044,全馬データ!$B$2:$B$50000,B1044,全馬データ!$C$2:$C$50000,C1044,全馬データ!$D$2:$D$50000,E1044,全馬データ!$K$2:$K$50000,"&lt;&gt;")=0,"",SUMIFS(全馬データ!$K$2:$K$50000,全馬データ!$A$2:$A$50000,A1044,全馬データ!$B$2:$B$50000,B1044,全馬データ!$C$2:$C$50000,C1044,全馬データ!$D$2:$D$50000,E1044)))</f>
        <v/>
      </c>
      <c r="AP1044" s="8" t="str">
        <f aca="false">IF(A1044="","",IF(AO1044="","欠損",IF(AO1044&lt;=1.1,"1.0～1.1",IF(AO1044&lt;1.3,"1.2",IF(AO1044&lt;1.5,"1.3～1.4",IF(AO1044&lt;2,"1.5～1.9","2.0以上"))))))</f>
        <v>欠損</v>
      </c>
      <c r="AQ1044" s="8" t="str">
        <f aca="false">IF(A1044="","",IF(ISNUMBER(SEARCH("2歳",Z1044)),"2歳戦",IF(ISNUMBER(SEARCH("3歳未勝利",Z1044)),"3歳未勝利",IF(ISNUMBER(SEARCH("未勝利",Z1044)),"その他未勝利",IF(ISNUMBER(SEARCH("G1",Z1044)),"G1",IF(ISNUMBER(SEARCH("G2",Z1044)),"G2",IF(ISNUMBER(SEARCH("G3",Z1044)),"G3",IF(ISNUMBER(SEARCH("古馬条件",Z1044)),"古馬条件戦",IF(ISNUMBER(SEARCH("重賞",Z1044)),"重賞","分類不能")))))))))</f>
        <v>分類不能</v>
      </c>
      <c r="AR1044" s="8"/>
      <c r="AS1044" s="8" t="s">
        <v>7842</v>
      </c>
      <c r="AT1044" s="8" t="s">
        <v>7843</v>
      </c>
      <c r="AU1044" s="8" t="s">
        <v>7628</v>
      </c>
      <c r="AV1044" s="8" t="s">
        <v>7629</v>
      </c>
      <c r="AW1044" s="8"/>
      <c r="AX1044" s="8"/>
      <c r="AY1044" s="8" t="s">
        <v>7602</v>
      </c>
      <c r="AZ1044" s="4" t="s">
        <v>7603</v>
      </c>
      <c r="BA1044" s="8" t="n">
        <v>2200</v>
      </c>
      <c r="BB1044" s="8" t="s">
        <v>7598</v>
      </c>
      <c r="BC1044" s="4" t="s">
        <v>7604</v>
      </c>
      <c r="BD1044" s="8" t="s">
        <v>7605</v>
      </c>
      <c r="BE1044" s="4" t="s">
        <v>7606</v>
      </c>
      <c r="BF1044" s="8" t="s">
        <v>7607</v>
      </c>
      <c r="BG1044" s="8" t="s">
        <v>7631</v>
      </c>
      <c r="BH1044" s="4" t="s">
        <v>7632</v>
      </c>
      <c r="BI1044" s="8" t="n">
        <v>10</v>
      </c>
      <c r="BJ1044" s="8" t="s">
        <v>7602</v>
      </c>
      <c r="BK1044" s="4" t="s">
        <v>7653</v>
      </c>
      <c r="BL1044" s="8" t="s">
        <v>7610</v>
      </c>
      <c r="BM1044" s="4" t="s">
        <v>7612</v>
      </c>
      <c r="BN1044" s="8" t="s">
        <v>7636</v>
      </c>
      <c r="BO1044" s="8" t="s">
        <v>7804</v>
      </c>
      <c r="BP1044" s="8" t="s">
        <v>7610</v>
      </c>
      <c r="BQ1044" s="8" t="str">
        <f aca="false">IF(A1044="","",AT1044)</f>
        <v>4歳以上</v>
      </c>
      <c r="BR1044" s="8" t="str">
        <f aca="false">IF(A1044="","",IF(BA1044&lt;=1200,"～1200",IF(BA1044&lt;=1500,"1300～1500",IF(BA1044=1600,"1600",IF(BA1044&lt;=1800,"1700～1800",IF(BA1044&lt;=2000,"1900～2000","2100以上"))))))</f>
        <v>2100以上</v>
      </c>
      <c r="BS1044" s="8" t="str">
        <f aca="false">IF(A1044="","",IF(AX1044="G1","G1",IF(AX1044="G2","G2",IF(AX1044="G3","G3",IF(AX1044="L","L","その他")))))</f>
        <v>その他</v>
      </c>
      <c r="BT1044" s="8" t="str">
        <f aca="false">IF(A1044="","",IF(BI1044="","未結合",IF(D1044=BI1044,"一致","不一致")))</f>
        <v>一致</v>
      </c>
      <c r="BU1044" s="8" t="str">
        <f aca="false">IF(A1044="","",IF(BE1044="牝馬限定","牝馬限定","その他"))</f>
        <v>その他</v>
      </c>
    </row>
    <row r="1045" customFormat="false" ht="15.75" hidden="false" customHeight="false" outlineLevel="0" collapsed="false">
      <c r="A1045" s="6" t="n">
        <f aca="false">DATE(2026,5,10)</f>
        <v>46152</v>
      </c>
      <c r="B1045" s="4" t="s">
        <v>5435</v>
      </c>
      <c r="C1045" s="8" t="n">
        <v>7</v>
      </c>
      <c r="D1045" s="8" t="n">
        <v>12</v>
      </c>
      <c r="E1045" s="8" t="n">
        <v>6</v>
      </c>
      <c r="F1045" s="4" t="s">
        <v>7099</v>
      </c>
      <c r="G1045" s="8" t="n">
        <v>71</v>
      </c>
      <c r="H1045" s="8" t="n">
        <v>1</v>
      </c>
      <c r="I1045" s="4" t="s">
        <v>4398</v>
      </c>
      <c r="J1045" s="8" t="n">
        <v>60</v>
      </c>
      <c r="K1045" s="8" t="n">
        <v>11</v>
      </c>
      <c r="L1045" s="4" t="s">
        <v>6771</v>
      </c>
      <c r="M1045" s="8" t="n">
        <v>50</v>
      </c>
      <c r="N1045" s="8" t="n">
        <f aca="false">IF(A1045="","",G1045-J1045)</f>
        <v>11</v>
      </c>
      <c r="O1045" s="8" t="n">
        <f aca="false">IF(A1045="","",J1045-M1045)</f>
        <v>10</v>
      </c>
      <c r="P1045" s="8" t="n">
        <f aca="false">IF(A1045="","",G1045+J1045)</f>
        <v>131</v>
      </c>
      <c r="Q1045" s="8" t="str">
        <f aca="false">IF(A1045="","",IF(AND(Y1045&lt;&gt;"参考",G1045&gt;=ルール設定!$B$2),"○",""))</f>
        <v/>
      </c>
      <c r="R1045" s="8" t="str">
        <f aca="false">IF(A1045="","",IF(AND(Y1045&lt;&gt;"参考",G1045&gt;=ルール設定!$B$3,N1045&gt;=ルール設定!$B$4),"○",""))</f>
        <v/>
      </c>
      <c r="S1045" s="8" t="str">
        <f aca="false">IF(A1045="","",IF(AND(Y1045&lt;&gt;"参考",G1045&gt;=ルール設定!$B$5,J1045&gt;=ルール設定!$B$6,O1045&gt;=ルール設定!$B$7),"○",""))</f>
        <v/>
      </c>
      <c r="T1045" s="8" t="n">
        <v>2</v>
      </c>
      <c r="U1045" s="8" t="n">
        <v>3</v>
      </c>
      <c r="V1045" s="8" t="str">
        <f aca="false">IF(A1045="","",IF(AND(ISNUMBER(T1045),ISNUMBER(U1045)),IF(AND(T1045&lt;=3,U1045&lt;=3),"○","×"),""))</f>
        <v>○</v>
      </c>
      <c r="W1045" s="8" t="n">
        <v>120</v>
      </c>
      <c r="X1045" s="8" t="n">
        <v>200</v>
      </c>
      <c r="Y1045" s="4" t="s">
        <v>7597</v>
      </c>
      <c r="Z1045" s="8" t="s">
        <v>8111</v>
      </c>
      <c r="AA1045" s="8" t="str">
        <v/>
      </c>
      <c r="AB1045" s="8" t="str">
        <v/>
      </c>
      <c r="AC1045" s="8" t="str">
        <v/>
      </c>
      <c r="AD1045" s="8" t="str">
        <v/>
      </c>
      <c r="AE1045" s="8" t="str">
        <v/>
      </c>
      <c r="AF1045" s="8" t="str">
        <v/>
      </c>
      <c r="AG1045" s="8" t="str">
        <v/>
      </c>
      <c r="AH1045" s="8" t="str">
        <v/>
      </c>
      <c r="AI1045" s="8" t="n">
        <v>21</v>
      </c>
      <c r="AJ1045" s="8" t="str">
        <v>70～74</v>
      </c>
      <c r="AK1045" s="8" t="str">
        <v>10～19</v>
      </c>
      <c r="AL1045" s="8" t="str">
        <v>20～29</v>
      </c>
      <c r="AM1045" s="8" t="str">
        <v>120～139</v>
      </c>
      <c r="AN1045" s="8" t="str">
        <v>12～14</v>
      </c>
      <c r="AO1045" s="8" t="str">
        <f aca="false">IF(A1045="","",IF(COUNTIFS(全馬データ!$A$2:$A$50000,A1045,全馬データ!$B$2:$B$50000,B1045,全馬データ!$C$2:$C$50000,C1045,全馬データ!$D$2:$D$50000,E1045,全馬データ!$K$2:$K$50000,"&lt;&gt;")=0,"",SUMIFS(全馬データ!$K$2:$K$50000,全馬データ!$A$2:$A$50000,A1045,全馬データ!$B$2:$B$50000,B1045,全馬データ!$C$2:$C$50000,C1045,全馬データ!$D$2:$D$50000,E1045)))</f>
        <v/>
      </c>
      <c r="AP1045" s="8" t="str">
        <f aca="false">IF(A1045="","",IF(AO1045="","欠損",IF(AO1045&lt;=1.1,"1.0～1.1",IF(AO1045&lt;1.3,"1.2",IF(AO1045&lt;1.5,"1.3～1.4",IF(AO1045&lt;2,"1.5～1.9","2.0以上"))))))</f>
        <v>欠損</v>
      </c>
      <c r="AQ1045" s="8" t="str">
        <f aca="false">IF(A1045="","",IF(ISNUMBER(SEARCH("2歳",Z1045)),"2歳戦",IF(ISNUMBER(SEARCH("3歳未勝利",Z1045)),"3歳未勝利",IF(ISNUMBER(SEARCH("未勝利",Z1045)),"その他未勝利",IF(ISNUMBER(SEARCH("G1",Z1045)),"G1",IF(ISNUMBER(SEARCH("G2",Z1045)),"G2",IF(ISNUMBER(SEARCH("G3",Z1045)),"G3",IF(ISNUMBER(SEARCH("古馬条件",Z1045)),"古馬条件戦",IF(ISNUMBER(SEARCH("重賞",Z1045)),"重賞","分類不能")))))))))</f>
        <v>分類不能</v>
      </c>
      <c r="AR1045" s="8"/>
      <c r="AS1045" s="8" t="s">
        <v>7623</v>
      </c>
      <c r="AT1045" s="8" t="s">
        <v>7624</v>
      </c>
      <c r="AU1045" s="8" t="s">
        <v>7628</v>
      </c>
      <c r="AV1045" s="8" t="s">
        <v>7629</v>
      </c>
      <c r="AW1045" s="8"/>
      <c r="AX1045" s="8"/>
      <c r="AY1045" s="8" t="s">
        <v>7610</v>
      </c>
      <c r="AZ1045" s="4" t="s">
        <v>7617</v>
      </c>
      <c r="BA1045" s="8" t="n">
        <v>1800</v>
      </c>
      <c r="BB1045" s="8" t="s">
        <v>7598</v>
      </c>
      <c r="BC1045" s="4" t="s">
        <v>7604</v>
      </c>
      <c r="BD1045" s="8" t="s">
        <v>7621</v>
      </c>
      <c r="BE1045" s="4" t="s">
        <v>7622</v>
      </c>
      <c r="BF1045" s="8" t="s">
        <v>7602</v>
      </c>
      <c r="BG1045" s="8" t="s">
        <v>7608</v>
      </c>
      <c r="BH1045" s="4" t="s">
        <v>7609</v>
      </c>
      <c r="BI1045" s="8" t="n">
        <v>12</v>
      </c>
      <c r="BJ1045" s="8" t="s">
        <v>7602</v>
      </c>
      <c r="BK1045" s="4" t="s">
        <v>7653</v>
      </c>
      <c r="BL1045" s="8" t="s">
        <v>7602</v>
      </c>
      <c r="BM1045" s="4" t="s">
        <v>7620</v>
      </c>
      <c r="BN1045" s="8"/>
      <c r="BO1045" s="8"/>
      <c r="BP1045" s="8" t="s">
        <v>7610</v>
      </c>
      <c r="BQ1045" s="8" t="str">
        <f aca="false">IF(A1045="","",AT1045)</f>
        <v>3歳</v>
      </c>
      <c r="BR1045" s="8" t="str">
        <f aca="false">IF(A1045="","",IF(BA1045&lt;=1200,"～1200",IF(BA1045&lt;=1500,"1300～1500",IF(BA1045=1600,"1600",IF(BA1045&lt;=1800,"1700～1800",IF(BA1045&lt;=2000,"1900～2000","2100以上"))))))</f>
        <v>1700～1800</v>
      </c>
      <c r="BS1045" s="8" t="str">
        <f aca="false">IF(A1045="","",IF(AX1045="G1","G1",IF(AX1045="G2","G2",IF(AX1045="G3","G3",IF(AX1045="L","L","その他")))))</f>
        <v>その他</v>
      </c>
      <c r="BT1045" s="8" t="str">
        <f aca="false">IF(A1045="","",IF(BI1045="","未結合",IF(D1045=BI1045,"一致","不一致")))</f>
        <v>一致</v>
      </c>
      <c r="BU1045" s="8" t="str">
        <f aca="false">IF(A1045="","",IF(BE1045="牝馬限定","牝馬限定","その他"))</f>
        <v>牝馬限定</v>
      </c>
    </row>
    <row r="1046" customFormat="false" ht="15.75" hidden="false" customHeight="false" outlineLevel="0" collapsed="false">
      <c r="A1046" s="6" t="n">
        <f aca="false">DATE(2026,5,10)</f>
        <v>46152</v>
      </c>
      <c r="B1046" s="4" t="s">
        <v>5435</v>
      </c>
      <c r="C1046" s="8" t="n">
        <v>8</v>
      </c>
      <c r="D1046" s="8" t="n">
        <v>12</v>
      </c>
      <c r="E1046" s="8" t="n">
        <v>1</v>
      </c>
      <c r="F1046" s="4" t="s">
        <v>406</v>
      </c>
      <c r="G1046" s="8" t="n">
        <v>62</v>
      </c>
      <c r="H1046" s="8" t="n">
        <v>12</v>
      </c>
      <c r="I1046" s="4" t="s">
        <v>7101</v>
      </c>
      <c r="J1046" s="8" t="n">
        <v>47</v>
      </c>
      <c r="K1046" s="8" t="n">
        <v>2</v>
      </c>
      <c r="L1046" s="4" t="s">
        <v>5692</v>
      </c>
      <c r="M1046" s="8" t="n">
        <v>44</v>
      </c>
      <c r="N1046" s="8" t="n">
        <f aca="false">IF(A1046="","",G1046-J1046)</f>
        <v>15</v>
      </c>
      <c r="O1046" s="8" t="n">
        <f aca="false">IF(A1046="","",J1046-M1046)</f>
        <v>3</v>
      </c>
      <c r="P1046" s="8" t="n">
        <f aca="false">IF(A1046="","",G1046+J1046)</f>
        <v>109</v>
      </c>
      <c r="Q1046" s="8" t="str">
        <f aca="false">IF(A1046="","",IF(AND(Y1046&lt;&gt;"参考",G1046&gt;=ルール設定!$B$2),"○",""))</f>
        <v/>
      </c>
      <c r="R1046" s="8" t="str">
        <f aca="false">IF(A1046="","",IF(AND(Y1046&lt;&gt;"参考",G1046&gt;=ルール設定!$B$3,N1046&gt;=ルール設定!$B$4),"○",""))</f>
        <v/>
      </c>
      <c r="S1046" s="8" t="str">
        <f aca="false">IF(A1046="","",IF(AND(Y1046&lt;&gt;"参考",G1046&gt;=ルール設定!$B$5,J1046&gt;=ルール設定!$B$6,O1046&gt;=ルール設定!$B$7),"○",""))</f>
        <v/>
      </c>
      <c r="T1046" s="8" t="n">
        <v>2</v>
      </c>
      <c r="U1046" s="8" t="n">
        <v>1</v>
      </c>
      <c r="V1046" s="8" t="str">
        <f aca="false">IF(A1046="","",IF(AND(ISNUMBER(T1046),ISNUMBER(U1046)),IF(AND(T1046&lt;=3,U1046&lt;=3),"○","×"),""))</f>
        <v>○</v>
      </c>
      <c r="W1046" s="8" t="n">
        <v>150</v>
      </c>
      <c r="X1046" s="8" t="n">
        <v>280</v>
      </c>
      <c r="Y1046" s="4" t="s">
        <v>7597</v>
      </c>
      <c r="Z1046" s="8" t="s">
        <v>8111</v>
      </c>
      <c r="AA1046" s="8" t="str">
        <v/>
      </c>
      <c r="AB1046" s="8" t="str">
        <v/>
      </c>
      <c r="AC1046" s="8" t="str">
        <v/>
      </c>
      <c r="AD1046" s="8" t="str">
        <v/>
      </c>
      <c r="AE1046" s="8" t="str">
        <v/>
      </c>
      <c r="AF1046" s="8" t="str">
        <v/>
      </c>
      <c r="AG1046" s="8" t="str">
        <v/>
      </c>
      <c r="AH1046" s="8" t="str">
        <v/>
      </c>
      <c r="AI1046" s="8" t="n">
        <v>18</v>
      </c>
      <c r="AJ1046" s="8" t="str">
        <v>60～69</v>
      </c>
      <c r="AK1046" s="8" t="str">
        <v>10～19</v>
      </c>
      <c r="AL1046" s="8" t="str">
        <v>10～19</v>
      </c>
      <c r="AM1046" s="8" t="str">
        <v>100～119</v>
      </c>
      <c r="AN1046" s="8" t="str">
        <v>12～14</v>
      </c>
      <c r="AO1046" s="8" t="str">
        <f aca="false">IF(A1046="","",IF(COUNTIFS(全馬データ!$A$2:$A$50000,A1046,全馬データ!$B$2:$B$50000,B1046,全馬データ!$C$2:$C$50000,C1046,全馬データ!$D$2:$D$50000,E1046,全馬データ!$K$2:$K$50000,"&lt;&gt;")=0,"",SUMIFS(全馬データ!$K$2:$K$50000,全馬データ!$A$2:$A$50000,A1046,全馬データ!$B$2:$B$50000,B1046,全馬データ!$C$2:$C$50000,C1046,全馬データ!$D$2:$D$50000,E1046)))</f>
        <v/>
      </c>
      <c r="AP1046" s="8" t="str">
        <f aca="false">IF(A1046="","",IF(AO1046="","欠損",IF(AO1046&lt;=1.1,"1.0～1.1",IF(AO1046&lt;1.3,"1.2",IF(AO1046&lt;1.5,"1.3～1.4",IF(AO1046&lt;2,"1.5～1.9","2.0以上"))))))</f>
        <v>欠損</v>
      </c>
      <c r="AQ1046" s="8" t="str">
        <f aca="false">IF(A1046="","",IF(ISNUMBER(SEARCH("2歳",Z1046)),"2歳戦",IF(ISNUMBER(SEARCH("3歳未勝利",Z1046)),"3歳未勝利",IF(ISNUMBER(SEARCH("未勝利",Z1046)),"その他未勝利",IF(ISNUMBER(SEARCH("G1",Z1046)),"G1",IF(ISNUMBER(SEARCH("G2",Z1046)),"G2",IF(ISNUMBER(SEARCH("G3",Z1046)),"G3",IF(ISNUMBER(SEARCH("古馬条件",Z1046)),"古馬条件戦",IF(ISNUMBER(SEARCH("重賞",Z1046)),"重賞","分類不能")))))))))</f>
        <v>分類不能</v>
      </c>
      <c r="AR1046" s="8"/>
      <c r="AS1046" s="8" t="s">
        <v>7842</v>
      </c>
      <c r="AT1046" s="8" t="s">
        <v>7843</v>
      </c>
      <c r="AU1046" s="8" t="s">
        <v>7628</v>
      </c>
      <c r="AV1046" s="8" t="s">
        <v>7629</v>
      </c>
      <c r="AW1046" s="8"/>
      <c r="AX1046" s="8"/>
      <c r="AY1046" s="8" t="s">
        <v>7602</v>
      </c>
      <c r="AZ1046" s="4" t="s">
        <v>7603</v>
      </c>
      <c r="BA1046" s="8" t="n">
        <v>1200</v>
      </c>
      <c r="BB1046" s="8" t="s">
        <v>7598</v>
      </c>
      <c r="BC1046" s="4" t="s">
        <v>7604</v>
      </c>
      <c r="BD1046" s="8" t="s">
        <v>7605</v>
      </c>
      <c r="BE1046" s="4" t="s">
        <v>7606</v>
      </c>
      <c r="BF1046" s="8" t="s">
        <v>7607</v>
      </c>
      <c r="BG1046" s="8" t="s">
        <v>7631</v>
      </c>
      <c r="BH1046" s="4" t="s">
        <v>7632</v>
      </c>
      <c r="BI1046" s="8" t="n">
        <v>12</v>
      </c>
      <c r="BJ1046" s="8" t="s">
        <v>7602</v>
      </c>
      <c r="BK1046" s="4" t="s">
        <v>7653</v>
      </c>
      <c r="BL1046" s="8" t="s">
        <v>7602</v>
      </c>
      <c r="BM1046" s="4" t="s">
        <v>7620</v>
      </c>
      <c r="BN1046" s="8" t="s">
        <v>7636</v>
      </c>
      <c r="BO1046" s="8" t="s">
        <v>7804</v>
      </c>
      <c r="BP1046" s="8" t="s">
        <v>7610</v>
      </c>
      <c r="BQ1046" s="8" t="str">
        <f aca="false">IF(A1046="","",AT1046)</f>
        <v>4歳以上</v>
      </c>
      <c r="BR1046" s="8" t="str">
        <f aca="false">IF(A1046="","",IF(BA1046&lt;=1200,"～1200",IF(BA1046&lt;=1500,"1300～1500",IF(BA1046=1600,"1600",IF(BA1046&lt;=1800,"1700～1800",IF(BA1046&lt;=2000,"1900～2000","2100以上"))))))</f>
        <v>～1200</v>
      </c>
      <c r="BS1046" s="8" t="str">
        <f aca="false">IF(A1046="","",IF(AX1046="G1","G1",IF(AX1046="G2","G2",IF(AX1046="G3","G3",IF(AX1046="L","L","その他")))))</f>
        <v>その他</v>
      </c>
      <c r="BT1046" s="8" t="str">
        <f aca="false">IF(A1046="","",IF(BI1046="","未結合",IF(D1046=BI1046,"一致","不一致")))</f>
        <v>一致</v>
      </c>
      <c r="BU1046" s="8" t="str">
        <f aca="false">IF(A1046="","",IF(BE1046="牝馬限定","牝馬限定","その他"))</f>
        <v>その他</v>
      </c>
    </row>
    <row r="1047" customFormat="false" ht="15.75" hidden="false" customHeight="false" outlineLevel="0" collapsed="false">
      <c r="A1047" s="6" t="n">
        <f aca="false">DATE(2026,5,10)</f>
        <v>46152</v>
      </c>
      <c r="B1047" s="4" t="s">
        <v>5435</v>
      </c>
      <c r="C1047" s="8" t="n">
        <v>9</v>
      </c>
      <c r="D1047" s="8" t="n">
        <v>13</v>
      </c>
      <c r="E1047" s="8" t="n">
        <v>13</v>
      </c>
      <c r="F1047" s="4" t="s">
        <v>5202</v>
      </c>
      <c r="G1047" s="8" t="n">
        <v>65</v>
      </c>
      <c r="H1047" s="8" t="n">
        <v>6</v>
      </c>
      <c r="I1047" s="4" t="s">
        <v>895</v>
      </c>
      <c r="J1047" s="8" t="n">
        <v>44</v>
      </c>
      <c r="K1047" s="8" t="n">
        <v>2</v>
      </c>
      <c r="L1047" s="4" t="s">
        <v>3876</v>
      </c>
      <c r="M1047" s="8" t="n">
        <v>29</v>
      </c>
      <c r="N1047" s="8" t="n">
        <f aca="false">IF(A1047="","",G1047-J1047)</f>
        <v>21</v>
      </c>
      <c r="O1047" s="8" t="n">
        <f aca="false">IF(A1047="","",J1047-M1047)</f>
        <v>15</v>
      </c>
      <c r="P1047" s="8" t="n">
        <f aca="false">IF(A1047="","",G1047+J1047)</f>
        <v>109</v>
      </c>
      <c r="Q1047" s="8" t="str">
        <f aca="false">IF(A1047="","",IF(AND(Y1047&lt;&gt;"参考",G1047&gt;=ルール設定!$B$2),"○",""))</f>
        <v/>
      </c>
      <c r="R1047" s="8" t="str">
        <f aca="false">IF(A1047="","",IF(AND(Y1047&lt;&gt;"参考",G1047&gt;=ルール設定!$B$3,N1047&gt;=ルール設定!$B$4),"○",""))</f>
        <v/>
      </c>
      <c r="S1047" s="8" t="str">
        <f aca="false">IF(A1047="","",IF(AND(Y1047&lt;&gt;"参考",G1047&gt;=ルール設定!$B$5,J1047&gt;=ルール設定!$B$6,O1047&gt;=ルール設定!$B$7),"○",""))</f>
        <v/>
      </c>
      <c r="T1047" s="8" t="n">
        <v>3</v>
      </c>
      <c r="U1047" s="8" t="n">
        <v>1</v>
      </c>
      <c r="V1047" s="8" t="str">
        <f aca="false">IF(A1047="","",IF(AND(ISNUMBER(T1047),ISNUMBER(U1047)),IF(AND(T1047&lt;=3,U1047&lt;=3),"○","×"),""))</f>
        <v>○</v>
      </c>
      <c r="W1047" s="8" t="n">
        <v>140</v>
      </c>
      <c r="X1047" s="8" t="n">
        <v>190</v>
      </c>
      <c r="Y1047" s="4" t="s">
        <v>7597</v>
      </c>
      <c r="Z1047" s="8" t="s">
        <v>8111</v>
      </c>
      <c r="AA1047" s="8" t="str">
        <v/>
      </c>
      <c r="AB1047" s="8" t="str">
        <v/>
      </c>
      <c r="AC1047" s="8" t="str">
        <v/>
      </c>
      <c r="AD1047" s="8" t="str">
        <v/>
      </c>
      <c r="AE1047" s="8" t="str">
        <v/>
      </c>
      <c r="AF1047" s="8" t="str">
        <v/>
      </c>
      <c r="AG1047" s="8" t="str">
        <v/>
      </c>
      <c r="AH1047" s="8" t="str">
        <v/>
      </c>
      <c r="AI1047" s="8" t="n">
        <v>36</v>
      </c>
      <c r="AJ1047" s="8" t="str">
        <v>60～69</v>
      </c>
      <c r="AK1047" s="8" t="str">
        <v>20～29</v>
      </c>
      <c r="AL1047" s="8" t="str">
        <v>30～39</v>
      </c>
      <c r="AM1047" s="8" t="str">
        <v>100～119</v>
      </c>
      <c r="AN1047" s="8" t="str">
        <v>12～14</v>
      </c>
      <c r="AO1047" s="8" t="str">
        <f aca="false">IF(A1047="","",IF(COUNTIFS(全馬データ!$A$2:$A$50000,A1047,全馬データ!$B$2:$B$50000,B1047,全馬データ!$C$2:$C$50000,C1047,全馬データ!$D$2:$D$50000,E1047,全馬データ!$K$2:$K$50000,"&lt;&gt;")=0,"",SUMIFS(全馬データ!$K$2:$K$50000,全馬データ!$A$2:$A$50000,A1047,全馬データ!$B$2:$B$50000,B1047,全馬データ!$C$2:$C$50000,C1047,全馬データ!$D$2:$D$50000,E1047)))</f>
        <v/>
      </c>
      <c r="AP1047" s="8" t="str">
        <f aca="false">IF(A1047="","",IF(AO1047="","欠損",IF(AO1047&lt;=1.1,"1.0～1.1",IF(AO1047&lt;1.3,"1.2",IF(AO1047&lt;1.5,"1.3～1.4",IF(AO1047&lt;2,"1.5～1.9","2.0以上"))))))</f>
        <v>欠損</v>
      </c>
      <c r="AQ1047" s="8" t="str">
        <f aca="false">IF(A1047="","",IF(ISNUMBER(SEARCH("2歳",Z1047)),"2歳戦",IF(ISNUMBER(SEARCH("3歳未勝利",Z1047)),"3歳未勝利",IF(ISNUMBER(SEARCH("未勝利",Z1047)),"その他未勝利",IF(ISNUMBER(SEARCH("G1",Z1047)),"G1",IF(ISNUMBER(SEARCH("G2",Z1047)),"G2",IF(ISNUMBER(SEARCH("G3",Z1047)),"G3",IF(ISNUMBER(SEARCH("古馬条件",Z1047)),"古馬条件戦",IF(ISNUMBER(SEARCH("重賞",Z1047)),"重賞","分類不能")))))))))</f>
        <v>分類不能</v>
      </c>
      <c r="AR1047" s="4" t="s">
        <v>8136</v>
      </c>
      <c r="AS1047" s="8" t="s">
        <v>7842</v>
      </c>
      <c r="AT1047" s="8" t="s">
        <v>7843</v>
      </c>
      <c r="AU1047" s="8" t="s">
        <v>7639</v>
      </c>
      <c r="AV1047" s="8" t="s">
        <v>7640</v>
      </c>
      <c r="AW1047" s="8" t="s">
        <v>7636</v>
      </c>
      <c r="AX1047" s="4" t="s">
        <v>7637</v>
      </c>
      <c r="AY1047" s="8" t="s">
        <v>7602</v>
      </c>
      <c r="AZ1047" s="4" t="s">
        <v>7603</v>
      </c>
      <c r="BA1047" s="8" t="n">
        <v>2400</v>
      </c>
      <c r="BB1047" s="8" t="s">
        <v>7598</v>
      </c>
      <c r="BC1047" s="4" t="s">
        <v>7604</v>
      </c>
      <c r="BD1047" s="8" t="s">
        <v>7605</v>
      </c>
      <c r="BE1047" s="4" t="s">
        <v>7606</v>
      </c>
      <c r="BF1047" s="8" t="s">
        <v>7607</v>
      </c>
      <c r="BG1047" s="8" t="s">
        <v>7602</v>
      </c>
      <c r="BH1047" s="4" t="s">
        <v>7667</v>
      </c>
      <c r="BI1047" s="8" t="n">
        <v>13</v>
      </c>
      <c r="BJ1047" s="8" t="s">
        <v>7602</v>
      </c>
      <c r="BK1047" s="4" t="s">
        <v>7653</v>
      </c>
      <c r="BL1047" s="8" t="s">
        <v>7610</v>
      </c>
      <c r="BM1047" s="4" t="s">
        <v>7612</v>
      </c>
      <c r="BN1047" s="8" t="s">
        <v>7636</v>
      </c>
      <c r="BO1047" s="8" t="s">
        <v>7804</v>
      </c>
      <c r="BP1047" s="8" t="s">
        <v>7610</v>
      </c>
      <c r="BQ1047" s="8" t="str">
        <f aca="false">IF(A1047="","",AT1047)</f>
        <v>4歳以上</v>
      </c>
      <c r="BR1047" s="8" t="str">
        <f aca="false">IF(A1047="","",IF(BA1047&lt;=1200,"～1200",IF(BA1047&lt;=1500,"1300～1500",IF(BA1047=1600,"1600",IF(BA1047&lt;=1800,"1700～1800",IF(BA1047&lt;=2000,"1900～2000","2100以上"))))))</f>
        <v>2100以上</v>
      </c>
      <c r="BS1047" s="8" t="str">
        <f aca="false">IF(A1047="","",IF(AX1047="G1","G1",IF(AX1047="G2","G2",IF(AX1047="G3","G3",IF(AX1047="L","L","その他")))))</f>
        <v>その他</v>
      </c>
      <c r="BT1047" s="8" t="str">
        <f aca="false">IF(A1047="","",IF(BI1047="","未結合",IF(D1047=BI1047,"一致","不一致")))</f>
        <v>一致</v>
      </c>
      <c r="BU1047" s="8" t="str">
        <f aca="false">IF(A1047="","",IF(BE1047="牝馬限定","牝馬限定","その他"))</f>
        <v>その他</v>
      </c>
    </row>
    <row r="1048" customFormat="false" ht="15.75" hidden="false" customHeight="false" outlineLevel="0" collapsed="false">
      <c r="A1048" s="6" t="n">
        <f aca="false">DATE(2026,5,10)</f>
        <v>46152</v>
      </c>
      <c r="B1048" s="4" t="s">
        <v>5435</v>
      </c>
      <c r="C1048" s="8" t="n">
        <v>10</v>
      </c>
      <c r="D1048" s="8" t="n">
        <v>11</v>
      </c>
      <c r="E1048" s="8" t="n">
        <v>4</v>
      </c>
      <c r="F1048" s="4" t="s">
        <v>7112</v>
      </c>
      <c r="G1048" s="8" t="n">
        <v>67</v>
      </c>
      <c r="H1048" s="8" t="n">
        <v>5</v>
      </c>
      <c r="I1048" s="4" t="s">
        <v>3411</v>
      </c>
      <c r="J1048" s="8" t="n">
        <v>52</v>
      </c>
      <c r="K1048" s="8" t="n">
        <v>6</v>
      </c>
      <c r="L1048" s="4" t="s">
        <v>5971</v>
      </c>
      <c r="M1048" s="8" t="n">
        <v>47</v>
      </c>
      <c r="N1048" s="8" t="n">
        <f aca="false">IF(A1048="","",G1048-J1048)</f>
        <v>15</v>
      </c>
      <c r="O1048" s="8" t="n">
        <f aca="false">IF(A1048="","",J1048-M1048)</f>
        <v>5</v>
      </c>
      <c r="P1048" s="8" t="n">
        <f aca="false">IF(A1048="","",G1048+J1048)</f>
        <v>119</v>
      </c>
      <c r="Q1048" s="8" t="str">
        <f aca="false">IF(A1048="","",IF(AND(Y1048&lt;&gt;"参考",G1048&gt;=ルール設定!$B$2),"○",""))</f>
        <v/>
      </c>
      <c r="R1048" s="8" t="str">
        <f aca="false">IF(A1048="","",IF(AND(Y1048&lt;&gt;"参考",G1048&gt;=ルール設定!$B$3,N1048&gt;=ルール設定!$B$4),"○",""))</f>
        <v/>
      </c>
      <c r="S1048" s="8" t="str">
        <f aca="false">IF(A1048="","",IF(AND(Y1048&lt;&gt;"参考",G1048&gt;=ルール設定!$B$5,J1048&gt;=ルール設定!$B$6,O1048&gt;=ルール設定!$B$7),"○",""))</f>
        <v/>
      </c>
      <c r="T1048" s="8" t="n">
        <v>1</v>
      </c>
      <c r="U1048" s="8" t="n">
        <v>3</v>
      </c>
      <c r="V1048" s="8" t="str">
        <f aca="false">IF(A1048="","",IF(AND(ISNUMBER(T1048),ISNUMBER(U1048)),IF(AND(T1048&lt;=3,U1048&lt;=3),"○","×"),""))</f>
        <v>○</v>
      </c>
      <c r="W1048" s="8" t="n">
        <v>110</v>
      </c>
      <c r="X1048" s="8" t="n">
        <v>170</v>
      </c>
      <c r="Y1048" s="4" t="s">
        <v>7597</v>
      </c>
      <c r="Z1048" s="8" t="s">
        <v>8111</v>
      </c>
      <c r="AA1048" s="8" t="str">
        <v/>
      </c>
      <c r="AB1048" s="8" t="str">
        <v/>
      </c>
      <c r="AC1048" s="8" t="str">
        <v/>
      </c>
      <c r="AD1048" s="8" t="str">
        <v/>
      </c>
      <c r="AE1048" s="8" t="str">
        <v/>
      </c>
      <c r="AF1048" s="8" t="str">
        <v/>
      </c>
      <c r="AG1048" s="8" t="str">
        <v/>
      </c>
      <c r="AH1048" s="8" t="str">
        <v/>
      </c>
      <c r="AI1048" s="8" t="n">
        <v>20</v>
      </c>
      <c r="AJ1048" s="8" t="str">
        <v>60～69</v>
      </c>
      <c r="AK1048" s="8" t="str">
        <v>10～19</v>
      </c>
      <c r="AL1048" s="8" t="str">
        <v>20～29</v>
      </c>
      <c r="AM1048" s="8" t="str">
        <v>100～119</v>
      </c>
      <c r="AN1048" s="8" t="str">
        <v>8～11</v>
      </c>
      <c r="AO1048" s="8" t="str">
        <f aca="false">IF(A1048="","",IF(COUNTIFS(全馬データ!$A$2:$A$50000,A1048,全馬データ!$B$2:$B$50000,B1048,全馬データ!$C$2:$C$50000,C1048,全馬データ!$D$2:$D$50000,E1048,全馬データ!$K$2:$K$50000,"&lt;&gt;")=0,"",SUMIFS(全馬データ!$K$2:$K$50000,全馬データ!$A$2:$A$50000,A1048,全馬データ!$B$2:$B$50000,B1048,全馬データ!$C$2:$C$50000,C1048,全馬データ!$D$2:$D$50000,E1048)))</f>
        <v/>
      </c>
      <c r="AP1048" s="8" t="str">
        <f aca="false">IF(A1048="","",IF(AO1048="","欠損",IF(AO1048&lt;=1.1,"1.0～1.1",IF(AO1048&lt;1.3,"1.2",IF(AO1048&lt;1.5,"1.3～1.4",IF(AO1048&lt;2,"1.5～1.9","2.0以上"))))))</f>
        <v>欠損</v>
      </c>
      <c r="AQ1048" s="8" t="str">
        <f aca="false">IF(A1048="","",IF(ISNUMBER(SEARCH("2歳",Z1048)),"2歳戦",IF(ISNUMBER(SEARCH("3歳未勝利",Z1048)),"3歳未勝利",IF(ISNUMBER(SEARCH("未勝利",Z1048)),"その他未勝利",IF(ISNUMBER(SEARCH("G1",Z1048)),"G1",IF(ISNUMBER(SEARCH("G2",Z1048)),"G2",IF(ISNUMBER(SEARCH("G3",Z1048)),"G3",IF(ISNUMBER(SEARCH("古馬条件",Z1048)),"古馬条件戦",IF(ISNUMBER(SEARCH("重賞",Z1048)),"重賞","分類不能")))))))))</f>
        <v>分類不能</v>
      </c>
      <c r="AR1048" s="4" t="s">
        <v>8137</v>
      </c>
      <c r="AS1048" s="8" t="s">
        <v>7623</v>
      </c>
      <c r="AT1048" s="8" t="s">
        <v>7624</v>
      </c>
      <c r="AU1048" s="8" t="s">
        <v>7643</v>
      </c>
      <c r="AV1048" s="4" t="s">
        <v>7644</v>
      </c>
      <c r="AW1048" s="8" t="s">
        <v>7676</v>
      </c>
      <c r="AX1048" s="8" t="s">
        <v>7677</v>
      </c>
      <c r="AY1048" s="8" t="s">
        <v>7602</v>
      </c>
      <c r="AZ1048" s="4" t="s">
        <v>7603</v>
      </c>
      <c r="BA1048" s="8" t="n">
        <v>1400</v>
      </c>
      <c r="BB1048" s="8" t="s">
        <v>7598</v>
      </c>
      <c r="BC1048" s="4" t="s">
        <v>7604</v>
      </c>
      <c r="BD1048" s="8" t="s">
        <v>7666</v>
      </c>
      <c r="BE1048" s="4" t="s">
        <v>7606</v>
      </c>
      <c r="BF1048" s="8" t="s">
        <v>7607</v>
      </c>
      <c r="BG1048" s="8" t="s">
        <v>7610</v>
      </c>
      <c r="BH1048" s="4" t="s">
        <v>7646</v>
      </c>
      <c r="BI1048" s="8" t="n">
        <v>11</v>
      </c>
      <c r="BJ1048" s="8" t="s">
        <v>7602</v>
      </c>
      <c r="BK1048" s="4" t="s">
        <v>7653</v>
      </c>
      <c r="BL1048" s="8" t="s">
        <v>7610</v>
      </c>
      <c r="BM1048" s="4" t="s">
        <v>7612</v>
      </c>
      <c r="BN1048" s="8" t="s">
        <v>7636</v>
      </c>
      <c r="BO1048" s="8" t="s">
        <v>7804</v>
      </c>
      <c r="BP1048" s="8" t="s">
        <v>7610</v>
      </c>
      <c r="BQ1048" s="8" t="str">
        <f aca="false">IF(A1048="","",AT1048)</f>
        <v>3歳</v>
      </c>
      <c r="BR1048" s="8" t="str">
        <f aca="false">IF(A1048="","",IF(BA1048&lt;=1200,"～1200",IF(BA1048&lt;=1500,"1300～1500",IF(BA1048=1600,"1600",IF(BA1048&lt;=1800,"1700～1800",IF(BA1048&lt;=2000,"1900～2000","2100以上"))))))</f>
        <v>1300～1500</v>
      </c>
      <c r="BS1048" s="8" t="str">
        <f aca="false">IF(A1048="","",IF(AX1048="G1","G1",IF(AX1048="G2","G2",IF(AX1048="G3","G3",IF(AX1048="L","L","その他")))))</f>
        <v>L</v>
      </c>
      <c r="BT1048" s="8" t="str">
        <f aca="false">IF(A1048="","",IF(BI1048="","未結合",IF(D1048=BI1048,"一致","不一致")))</f>
        <v>一致</v>
      </c>
      <c r="BU1048" s="8" t="str">
        <f aca="false">IF(A1048="","",IF(BE1048="牝馬限定","牝馬限定","その他"))</f>
        <v>その他</v>
      </c>
    </row>
    <row r="1049" customFormat="false" ht="15.75" hidden="false" customHeight="false" outlineLevel="0" collapsed="false">
      <c r="A1049" s="6" t="n">
        <f aca="false">DATE(2026,5,10)</f>
        <v>46152</v>
      </c>
      <c r="B1049" s="4" t="s">
        <v>5435</v>
      </c>
      <c r="C1049" s="8" t="n">
        <v>11</v>
      </c>
      <c r="D1049" s="8" t="n">
        <v>16</v>
      </c>
      <c r="E1049" s="8" t="n">
        <v>10</v>
      </c>
      <c r="F1049" s="4" t="s">
        <v>5069</v>
      </c>
      <c r="G1049" s="8" t="n">
        <v>62</v>
      </c>
      <c r="H1049" s="8" t="n">
        <v>4</v>
      </c>
      <c r="I1049" s="4" t="s">
        <v>7115</v>
      </c>
      <c r="J1049" s="8" t="n">
        <v>41</v>
      </c>
      <c r="K1049" s="8" t="n">
        <v>16</v>
      </c>
      <c r="L1049" s="4" t="s">
        <v>7116</v>
      </c>
      <c r="M1049" s="8" t="n">
        <v>37</v>
      </c>
      <c r="N1049" s="8" t="n">
        <f aca="false">IF(A1049="","",G1049-J1049)</f>
        <v>21</v>
      </c>
      <c r="O1049" s="8" t="n">
        <f aca="false">IF(A1049="","",J1049-M1049)</f>
        <v>4</v>
      </c>
      <c r="P1049" s="8" t="n">
        <f aca="false">IF(A1049="","",G1049+J1049)</f>
        <v>103</v>
      </c>
      <c r="Q1049" s="8" t="str">
        <f aca="false">IF(A1049="","",IF(AND(Y1049&lt;&gt;"参考",G1049&gt;=ルール設定!$B$2),"○",""))</f>
        <v/>
      </c>
      <c r="R1049" s="8" t="str">
        <f aca="false">IF(A1049="","",IF(AND(Y1049&lt;&gt;"参考",G1049&gt;=ルール設定!$B$3,N1049&gt;=ルール設定!$B$4),"○",""))</f>
        <v/>
      </c>
      <c r="S1049" s="8" t="str">
        <f aca="false">IF(A1049="","",IF(AND(Y1049&lt;&gt;"参考",G1049&gt;=ルール設定!$B$5,J1049&gt;=ルール設定!$B$6,O1049&gt;=ルール設定!$B$7),"○",""))</f>
        <v/>
      </c>
      <c r="T1049" s="8" t="n">
        <v>2</v>
      </c>
      <c r="U1049" s="8" t="n">
        <v>1</v>
      </c>
      <c r="V1049" s="8" t="str">
        <f aca="false">IF(A1049="","",IF(AND(ISNUMBER(T1049),ISNUMBER(U1049)),IF(AND(T1049&lt;=3,U1049&lt;=3),"○","×"),""))</f>
        <v>○</v>
      </c>
      <c r="W1049" s="8" t="n">
        <v>110</v>
      </c>
      <c r="X1049" s="8" t="n">
        <v>190</v>
      </c>
      <c r="Y1049" s="4" t="s">
        <v>7597</v>
      </c>
      <c r="Z1049" s="8" t="s">
        <v>8111</v>
      </c>
      <c r="AA1049" s="8" t="str">
        <v/>
      </c>
      <c r="AB1049" s="8" t="str">
        <v/>
      </c>
      <c r="AC1049" s="8" t="str">
        <v/>
      </c>
      <c r="AD1049" s="8" t="str">
        <v/>
      </c>
      <c r="AE1049" s="8" t="str">
        <v/>
      </c>
      <c r="AF1049" s="8" t="str">
        <v/>
      </c>
      <c r="AG1049" s="8" t="str">
        <v/>
      </c>
      <c r="AH1049" s="8" t="str">
        <v/>
      </c>
      <c r="AI1049" s="8" t="n">
        <v>25</v>
      </c>
      <c r="AJ1049" s="8" t="str">
        <v>60～69</v>
      </c>
      <c r="AK1049" s="8" t="str">
        <v>20～29</v>
      </c>
      <c r="AL1049" s="8" t="str">
        <v>20～29</v>
      </c>
      <c r="AM1049" s="8" t="str">
        <v>100～119</v>
      </c>
      <c r="AN1049" s="8" t="str">
        <v>15以上</v>
      </c>
      <c r="AO1049" s="8" t="str">
        <f aca="false">IF(A1049="","",IF(COUNTIFS(全馬データ!$A$2:$A$50000,A1049,全馬データ!$B$2:$B$50000,B1049,全馬データ!$C$2:$C$50000,C1049,全馬データ!$D$2:$D$50000,E1049,全馬データ!$K$2:$K$50000,"&lt;&gt;")=0,"",SUMIFS(全馬データ!$K$2:$K$50000,全馬データ!$A$2:$A$50000,A1049,全馬データ!$B$2:$B$50000,B1049,全馬データ!$C$2:$C$50000,C1049,全馬データ!$D$2:$D$50000,E1049)))</f>
        <v/>
      </c>
      <c r="AP1049" s="8" t="str">
        <f aca="false">IF(A1049="","",IF(AO1049="","欠損",IF(AO1049&lt;=1.1,"1.0～1.1",IF(AO1049&lt;1.3,"1.2",IF(AO1049&lt;1.5,"1.3～1.4",IF(AO1049&lt;2,"1.5～1.9","2.0以上"))))))</f>
        <v>欠損</v>
      </c>
      <c r="AQ1049" s="8" t="str">
        <f aca="false">IF(A1049="","",IF(ISNUMBER(SEARCH("2歳",Z1049)),"2歳戦",IF(ISNUMBER(SEARCH("3歳未勝利",Z1049)),"3歳未勝利",IF(ISNUMBER(SEARCH("未勝利",Z1049)),"その他未勝利",IF(ISNUMBER(SEARCH("G1",Z1049)),"G1",IF(ISNUMBER(SEARCH("G2",Z1049)),"G2",IF(ISNUMBER(SEARCH("G3",Z1049)),"G3",IF(ISNUMBER(SEARCH("古馬条件",Z1049)),"古馬条件戦",IF(ISNUMBER(SEARCH("重賞",Z1049)),"重賞","分類不能")))))))))</f>
        <v>分類不能</v>
      </c>
      <c r="AR1049" s="4" t="s">
        <v>8138</v>
      </c>
      <c r="AS1049" s="8" t="s">
        <v>7842</v>
      </c>
      <c r="AT1049" s="8" t="s">
        <v>7843</v>
      </c>
      <c r="AU1049" s="8" t="s">
        <v>7643</v>
      </c>
      <c r="AV1049" s="4" t="s">
        <v>7644</v>
      </c>
      <c r="AW1049" s="8" t="s">
        <v>7636</v>
      </c>
      <c r="AX1049" s="4" t="s">
        <v>7637</v>
      </c>
      <c r="AY1049" s="8" t="s">
        <v>7610</v>
      </c>
      <c r="AZ1049" s="4" t="s">
        <v>7617</v>
      </c>
      <c r="BA1049" s="8" t="n">
        <v>1800</v>
      </c>
      <c r="BB1049" s="8" t="s">
        <v>7598</v>
      </c>
      <c r="BC1049" s="4" t="s">
        <v>7604</v>
      </c>
      <c r="BD1049" s="8" t="s">
        <v>7666</v>
      </c>
      <c r="BE1049" s="4" t="s">
        <v>7606</v>
      </c>
      <c r="BF1049" s="8" t="s">
        <v>7607</v>
      </c>
      <c r="BG1049" s="8" t="s">
        <v>7610</v>
      </c>
      <c r="BH1049" s="4" t="s">
        <v>7646</v>
      </c>
      <c r="BI1049" s="8" t="n">
        <v>16</v>
      </c>
      <c r="BJ1049" s="8" t="s">
        <v>7602</v>
      </c>
      <c r="BK1049" s="4" t="s">
        <v>7653</v>
      </c>
      <c r="BL1049" s="8" t="s">
        <v>7602</v>
      </c>
      <c r="BM1049" s="4" t="s">
        <v>7620</v>
      </c>
      <c r="BN1049" s="8"/>
      <c r="BO1049" s="8"/>
      <c r="BP1049" s="8" t="s">
        <v>7610</v>
      </c>
      <c r="BQ1049" s="8" t="str">
        <f aca="false">IF(A1049="","",AT1049)</f>
        <v>4歳以上</v>
      </c>
      <c r="BR1049" s="8" t="str">
        <f aca="false">IF(A1049="","",IF(BA1049&lt;=1200,"～1200",IF(BA1049&lt;=1500,"1300～1500",IF(BA1049=1600,"1600",IF(BA1049&lt;=1800,"1700～1800",IF(BA1049&lt;=2000,"1900～2000","2100以上"))))))</f>
        <v>1700～1800</v>
      </c>
      <c r="BS1049" s="8" t="str">
        <f aca="false">IF(A1049="","",IF(AX1049="G1","G1",IF(AX1049="G2","G2",IF(AX1049="G3","G3",IF(AX1049="L","L","その他")))))</f>
        <v>その他</v>
      </c>
      <c r="BT1049" s="8" t="str">
        <f aca="false">IF(A1049="","",IF(BI1049="","未結合",IF(D1049=BI1049,"一致","不一致")))</f>
        <v>一致</v>
      </c>
      <c r="BU1049" s="8" t="str">
        <f aca="false">IF(A1049="","",IF(BE1049="牝馬限定","牝馬限定","その他"))</f>
        <v>その他</v>
      </c>
    </row>
    <row r="1050" customFormat="false" ht="15.75" hidden="false" customHeight="false" outlineLevel="0" collapsed="false">
      <c r="A1050" s="6" t="n">
        <f aca="false">DATE(2026,5,10)</f>
        <v>46152</v>
      </c>
      <c r="B1050" s="4" t="s">
        <v>5435</v>
      </c>
      <c r="C1050" s="8" t="n">
        <v>12</v>
      </c>
      <c r="D1050" s="8" t="n">
        <v>14</v>
      </c>
      <c r="E1050" s="8" t="n">
        <v>11</v>
      </c>
      <c r="F1050" s="4" t="s">
        <v>5500</v>
      </c>
      <c r="G1050" s="8" t="n">
        <v>50</v>
      </c>
      <c r="H1050" s="8" t="n">
        <v>10</v>
      </c>
      <c r="I1050" s="4" t="s">
        <v>3098</v>
      </c>
      <c r="J1050" s="8" t="n">
        <v>39</v>
      </c>
      <c r="K1050" s="8" t="n">
        <v>2</v>
      </c>
      <c r="L1050" s="4" t="s">
        <v>6766</v>
      </c>
      <c r="M1050" s="8" t="n">
        <v>31</v>
      </c>
      <c r="N1050" s="8" t="n">
        <f aca="false">IF(A1050="","",G1050-J1050)</f>
        <v>11</v>
      </c>
      <c r="O1050" s="8" t="n">
        <f aca="false">IF(A1050="","",J1050-M1050)</f>
        <v>8</v>
      </c>
      <c r="P1050" s="8" t="n">
        <f aca="false">IF(A1050="","",G1050+J1050)</f>
        <v>89</v>
      </c>
      <c r="Q1050" s="8" t="str">
        <f aca="false">IF(A1050="","",IF(AND(Y1050&lt;&gt;"参考",G1050&gt;=ルール設定!$B$2),"○",""))</f>
        <v/>
      </c>
      <c r="R1050" s="8" t="str">
        <f aca="false">IF(A1050="","",IF(AND(Y1050&lt;&gt;"参考",G1050&gt;=ルール設定!$B$3,N1050&gt;=ルール設定!$B$4),"○",""))</f>
        <v/>
      </c>
      <c r="S1050" s="8" t="str">
        <f aca="false">IF(A1050="","",IF(AND(Y1050&lt;&gt;"参考",G1050&gt;=ルール設定!$B$5,J1050&gt;=ルール設定!$B$6,O1050&gt;=ルール設定!$B$7),"○",""))</f>
        <v/>
      </c>
      <c r="T1050" s="8" t="n">
        <v>4</v>
      </c>
      <c r="U1050" s="8" t="n">
        <v>4</v>
      </c>
      <c r="V1050" s="8" t="str">
        <f aca="false">IF(A1050="","",IF(AND(ISNUMBER(T1050),ISNUMBER(U1050)),IF(AND(T1050&lt;=3,U1050&lt;=3),"○","×"),""))</f>
        <v>×</v>
      </c>
      <c r="W1050" s="8"/>
      <c r="X1050" s="8"/>
      <c r="Y1050" s="4" t="s">
        <v>7597</v>
      </c>
      <c r="Z1050" s="8" t="s">
        <v>8111</v>
      </c>
      <c r="AA1050" s="8" t="str">
        <v/>
      </c>
      <c r="AB1050" s="8" t="str">
        <v/>
      </c>
      <c r="AC1050" s="8" t="str">
        <v/>
      </c>
      <c r="AD1050" s="8" t="str">
        <v/>
      </c>
      <c r="AE1050" s="8" t="str">
        <v/>
      </c>
      <c r="AF1050" s="8" t="str">
        <v/>
      </c>
      <c r="AG1050" s="8" t="str">
        <v/>
      </c>
      <c r="AH1050" s="8" t="str">
        <v/>
      </c>
      <c r="AI1050" s="8" t="n">
        <v>19</v>
      </c>
      <c r="AJ1050" s="8" t="str">
        <v>～59</v>
      </c>
      <c r="AK1050" s="8" t="str">
        <v>10～19</v>
      </c>
      <c r="AL1050" s="8" t="str">
        <v>10～19</v>
      </c>
      <c r="AM1050" s="8" t="str">
        <v>～99</v>
      </c>
      <c r="AN1050" s="8" t="str">
        <v>12～14</v>
      </c>
      <c r="AO1050" s="8" t="str">
        <f aca="false">IF(A1050="","",IF(COUNTIFS(全馬データ!$A$2:$A$50000,A1050,全馬データ!$B$2:$B$50000,B1050,全馬データ!$C$2:$C$50000,C1050,全馬データ!$D$2:$D$50000,E1050,全馬データ!$K$2:$K$50000,"&lt;&gt;")=0,"",SUMIFS(全馬データ!$K$2:$K$50000,全馬データ!$A$2:$A$50000,A1050,全馬データ!$B$2:$B$50000,B1050,全馬データ!$C$2:$C$50000,C1050,全馬データ!$D$2:$D$50000,E1050)))</f>
        <v/>
      </c>
      <c r="AP1050" s="8" t="str">
        <f aca="false">IF(A1050="","",IF(AO1050="","欠損",IF(AO1050&lt;=1.1,"1.0～1.1",IF(AO1050&lt;1.3,"1.2",IF(AO1050&lt;1.5,"1.3～1.4",IF(AO1050&lt;2,"1.5～1.9","2.0以上"))))))</f>
        <v>欠損</v>
      </c>
      <c r="AQ1050" s="8" t="str">
        <f aca="false">IF(A1050="","",IF(ISNUMBER(SEARCH("2歳",Z1050)),"2歳戦",IF(ISNUMBER(SEARCH("3歳未勝利",Z1050)),"3歳未勝利",IF(ISNUMBER(SEARCH("未勝利",Z1050)),"その他未勝利",IF(ISNUMBER(SEARCH("G1",Z1050)),"G1",IF(ISNUMBER(SEARCH("G2",Z1050)),"G2",IF(ISNUMBER(SEARCH("G3",Z1050)),"G3",IF(ISNUMBER(SEARCH("古馬条件",Z1050)),"古馬条件戦",IF(ISNUMBER(SEARCH("重賞",Z1050)),"重賞","分類不能")))))))))</f>
        <v>分類不能</v>
      </c>
      <c r="AR1050" s="8"/>
      <c r="AS1050" s="8" t="s">
        <v>7842</v>
      </c>
      <c r="AT1050" s="8" t="s">
        <v>7843</v>
      </c>
      <c r="AU1050" s="8" t="s">
        <v>7634</v>
      </c>
      <c r="AV1050" s="8" t="s">
        <v>7635</v>
      </c>
      <c r="AW1050" s="8"/>
      <c r="AX1050" s="8"/>
      <c r="AY1050" s="8" t="s">
        <v>7610</v>
      </c>
      <c r="AZ1050" s="4" t="s">
        <v>7617</v>
      </c>
      <c r="BA1050" s="8" t="n">
        <v>1400</v>
      </c>
      <c r="BB1050" s="8" t="s">
        <v>7598</v>
      </c>
      <c r="BC1050" s="4" t="s">
        <v>7604</v>
      </c>
      <c r="BD1050" s="8" t="s">
        <v>7605</v>
      </c>
      <c r="BE1050" s="4" t="s">
        <v>7606</v>
      </c>
      <c r="BF1050" s="8" t="s">
        <v>7607</v>
      </c>
      <c r="BG1050" s="8" t="s">
        <v>7631</v>
      </c>
      <c r="BH1050" s="4" t="s">
        <v>7632</v>
      </c>
      <c r="BI1050" s="8" t="n">
        <v>14</v>
      </c>
      <c r="BJ1050" s="8" t="s">
        <v>7602</v>
      </c>
      <c r="BK1050" s="4" t="s">
        <v>7653</v>
      </c>
      <c r="BL1050" s="8" t="s">
        <v>7602</v>
      </c>
      <c r="BM1050" s="4" t="s">
        <v>7620</v>
      </c>
      <c r="BN1050" s="8"/>
      <c r="BO1050" s="8"/>
      <c r="BP1050" s="8" t="s">
        <v>7610</v>
      </c>
      <c r="BQ1050" s="8" t="str">
        <f aca="false">IF(A1050="","",AT1050)</f>
        <v>4歳以上</v>
      </c>
      <c r="BR1050" s="8" t="str">
        <f aca="false">IF(A1050="","",IF(BA1050&lt;=1200,"～1200",IF(BA1050&lt;=1500,"1300～1500",IF(BA1050=1600,"1600",IF(BA1050&lt;=1800,"1700～1800",IF(BA1050&lt;=2000,"1900～2000","2100以上"))))))</f>
        <v>1300～1500</v>
      </c>
      <c r="BS1050" s="8" t="str">
        <f aca="false">IF(A1050="","",IF(AX1050="G1","G1",IF(AX1050="G2","G2",IF(AX1050="G3","G3",IF(AX1050="L","L","その他")))))</f>
        <v>その他</v>
      </c>
      <c r="BT1050" s="8" t="str">
        <f aca="false">IF(A1050="","",IF(BI1050="","未結合",IF(D1050=BI1050,"一致","不一致")))</f>
        <v>一致</v>
      </c>
      <c r="BU1050" s="8" t="str">
        <f aca="false">IF(A1050="","",IF(BE1050="牝馬限定","牝馬限定","その他"))</f>
        <v>その他</v>
      </c>
    </row>
    <row r="1051" customFormat="false" ht="15.75" hidden="false" customHeight="false" outlineLevel="0" collapsed="false">
      <c r="A1051" s="6" t="n">
        <f aca="false">DATE(2026,5,10)</f>
        <v>46152</v>
      </c>
      <c r="B1051" s="4" t="s">
        <v>13</v>
      </c>
      <c r="C1051" s="8" t="n">
        <v>1</v>
      </c>
      <c r="D1051" s="8" t="n">
        <v>15</v>
      </c>
      <c r="E1051" s="8" t="n">
        <v>13</v>
      </c>
      <c r="F1051" s="4" t="s">
        <v>5682</v>
      </c>
      <c r="G1051" s="8" t="n">
        <v>56</v>
      </c>
      <c r="H1051" s="8" t="n">
        <v>3</v>
      </c>
      <c r="I1051" s="4" t="s">
        <v>7124</v>
      </c>
      <c r="J1051" s="8" t="n">
        <v>34</v>
      </c>
      <c r="K1051" s="8" t="n">
        <v>8</v>
      </c>
      <c r="L1051" s="4" t="s">
        <v>1740</v>
      </c>
      <c r="M1051" s="8" t="n">
        <v>34</v>
      </c>
      <c r="N1051" s="8" t="n">
        <f aca="false">IF(A1051="","",G1051-J1051)</f>
        <v>22</v>
      </c>
      <c r="O1051" s="8" t="n">
        <f aca="false">IF(A1051="","",J1051-M1051)</f>
        <v>0</v>
      </c>
      <c r="P1051" s="8" t="n">
        <f aca="false">IF(A1051="","",G1051+J1051)</f>
        <v>90</v>
      </c>
      <c r="Q1051" s="8" t="str">
        <f aca="false">IF(A1051="","",IF(AND(Y1051&lt;&gt;"参考",G1051&gt;=ルール設定!$B$2),"○",""))</f>
        <v/>
      </c>
      <c r="R1051" s="8" t="str">
        <f aca="false">IF(A1051="","",IF(AND(Y1051&lt;&gt;"参考",G1051&gt;=ルール設定!$B$3,N1051&gt;=ルール設定!$B$4),"○",""))</f>
        <v/>
      </c>
      <c r="S1051" s="8" t="str">
        <f aca="false">IF(A1051="","",IF(AND(Y1051&lt;&gt;"参考",G1051&gt;=ルール設定!$B$5,J1051&gt;=ルール設定!$B$6,O1051&gt;=ルール設定!$B$7),"○",""))</f>
        <v/>
      </c>
      <c r="T1051" s="8" t="n">
        <v>1</v>
      </c>
      <c r="U1051" s="8" t="n">
        <v>3</v>
      </c>
      <c r="V1051" s="8" t="str">
        <f aca="false">IF(A1051="","",IF(AND(ISNUMBER(T1051),ISNUMBER(U1051)),IF(AND(T1051&lt;=3,U1051&lt;=3),"○","×"),""))</f>
        <v>○</v>
      </c>
      <c r="W1051" s="8" t="n">
        <v>110</v>
      </c>
      <c r="X1051" s="8" t="n">
        <v>240</v>
      </c>
      <c r="Y1051" s="4" t="s">
        <v>7597</v>
      </c>
      <c r="Z1051" s="8" t="s">
        <v>8111</v>
      </c>
      <c r="AA1051" s="8" t="str">
        <v/>
      </c>
      <c r="AB1051" s="8" t="str">
        <v/>
      </c>
      <c r="AC1051" s="8" t="str">
        <v/>
      </c>
      <c r="AD1051" s="8" t="str">
        <v/>
      </c>
      <c r="AE1051" s="8" t="str">
        <v/>
      </c>
      <c r="AF1051" s="8" t="str">
        <v/>
      </c>
      <c r="AG1051" s="8" t="str">
        <v/>
      </c>
      <c r="AH1051" s="8" t="str">
        <v/>
      </c>
      <c r="AI1051" s="8" t="n">
        <v>22</v>
      </c>
      <c r="AJ1051" s="8" t="str">
        <v>～59</v>
      </c>
      <c r="AK1051" s="8" t="str">
        <v>20～29</v>
      </c>
      <c r="AL1051" s="8" t="str">
        <v>20～29</v>
      </c>
      <c r="AM1051" s="8" t="str">
        <v>～99</v>
      </c>
      <c r="AN1051" s="8" t="str">
        <v>15以上</v>
      </c>
      <c r="AO1051" s="8" t="str">
        <f aca="false">IF(A1051="","",IF(COUNTIFS(全馬データ!$A$2:$A$50000,A1051,全馬データ!$B$2:$B$50000,B1051,全馬データ!$C$2:$C$50000,C1051,全馬データ!$D$2:$D$50000,E1051,全馬データ!$K$2:$K$50000,"&lt;&gt;")=0,"",SUMIFS(全馬データ!$K$2:$K$50000,全馬データ!$A$2:$A$50000,A1051,全馬データ!$B$2:$B$50000,B1051,全馬データ!$C$2:$C$50000,C1051,全馬データ!$D$2:$D$50000,E1051)))</f>
        <v/>
      </c>
      <c r="AP1051" s="8" t="str">
        <f aca="false">IF(A1051="","",IF(AO1051="","欠損",IF(AO1051&lt;=1.1,"1.0～1.1",IF(AO1051&lt;1.3,"1.2",IF(AO1051&lt;1.5,"1.3～1.4",IF(AO1051&lt;2,"1.5～1.9","2.0以上"))))))</f>
        <v>欠損</v>
      </c>
      <c r="AQ1051" s="8" t="str">
        <f aca="false">IF(A1051="","",IF(ISNUMBER(SEARCH("2歳",Z1051)),"2歳戦",IF(ISNUMBER(SEARCH("3歳未勝利",Z1051)),"3歳未勝利",IF(ISNUMBER(SEARCH("未勝利",Z1051)),"その他未勝利",IF(ISNUMBER(SEARCH("G1",Z1051)),"G1",IF(ISNUMBER(SEARCH("G2",Z1051)),"G2",IF(ISNUMBER(SEARCH("G3",Z1051)),"G3",IF(ISNUMBER(SEARCH("古馬条件",Z1051)),"古馬条件戦",IF(ISNUMBER(SEARCH("重賞",Z1051)),"重賞","分類不能")))))))))</f>
        <v>分類不能</v>
      </c>
      <c r="AR1051" s="8"/>
      <c r="AS1051" s="8" t="s">
        <v>7623</v>
      </c>
      <c r="AT1051" s="8" t="s">
        <v>7624</v>
      </c>
      <c r="AU1051" s="8" t="s">
        <v>7600</v>
      </c>
      <c r="AV1051" s="4" t="s">
        <v>7601</v>
      </c>
      <c r="AW1051" s="8"/>
      <c r="AX1051" s="8"/>
      <c r="AY1051" s="8" t="s">
        <v>7610</v>
      </c>
      <c r="AZ1051" s="4" t="s">
        <v>7617</v>
      </c>
      <c r="BA1051" s="8" t="n">
        <v>1800</v>
      </c>
      <c r="BB1051" s="8" t="s">
        <v>7634</v>
      </c>
      <c r="BC1051" s="4" t="s">
        <v>7604</v>
      </c>
      <c r="BD1051" s="8" t="s">
        <v>7621</v>
      </c>
      <c r="BE1051" s="4" t="s">
        <v>7622</v>
      </c>
      <c r="BF1051" s="8" t="s">
        <v>7602</v>
      </c>
      <c r="BG1051" s="8" t="s">
        <v>7608</v>
      </c>
      <c r="BH1051" s="4" t="s">
        <v>7609</v>
      </c>
      <c r="BI1051" s="8" t="n">
        <v>15</v>
      </c>
      <c r="BJ1051" s="8" t="s">
        <v>7610</v>
      </c>
      <c r="BK1051" s="4" t="s">
        <v>7611</v>
      </c>
      <c r="BL1051" s="8" t="s">
        <v>7602</v>
      </c>
      <c r="BM1051" s="4" t="s">
        <v>7620</v>
      </c>
      <c r="BN1051" s="8"/>
      <c r="BO1051" s="8"/>
      <c r="BP1051" s="8" t="s">
        <v>7608</v>
      </c>
      <c r="BQ1051" s="8" t="str">
        <f aca="false">IF(A1051="","",AT1051)</f>
        <v>3歳</v>
      </c>
      <c r="BR1051" s="8" t="str">
        <f aca="false">IF(A1051="","",IF(BA1051&lt;=1200,"～1200",IF(BA1051&lt;=1500,"1300～1500",IF(BA1051=1600,"1600",IF(BA1051&lt;=1800,"1700～1800",IF(BA1051&lt;=2000,"1900～2000","2100以上"))))))</f>
        <v>1700～1800</v>
      </c>
      <c r="BS1051" s="8" t="str">
        <f aca="false">IF(A1051="","",IF(AX1051="G1","G1",IF(AX1051="G2","G2",IF(AX1051="G3","G3",IF(AX1051="L","L","その他")))))</f>
        <v>その他</v>
      </c>
      <c r="BT1051" s="8" t="str">
        <f aca="false">IF(A1051="","",IF(BI1051="","未結合",IF(D1051=BI1051,"一致","不一致")))</f>
        <v>一致</v>
      </c>
      <c r="BU1051" s="8" t="str">
        <f aca="false">IF(A1051="","",IF(BE1051="牝馬限定","牝馬限定","その他"))</f>
        <v>牝馬限定</v>
      </c>
    </row>
    <row r="1052" customFormat="false" ht="15.75" hidden="false" customHeight="false" outlineLevel="0" collapsed="false">
      <c r="A1052" s="6" t="n">
        <f aca="false">DATE(2026,5,10)</f>
        <v>46152</v>
      </c>
      <c r="B1052" s="4" t="s">
        <v>13</v>
      </c>
      <c r="C1052" s="8" t="n">
        <v>2</v>
      </c>
      <c r="D1052" s="8" t="n">
        <v>15</v>
      </c>
      <c r="E1052" s="8" t="n">
        <v>5</v>
      </c>
      <c r="F1052" s="4" t="s">
        <v>1252</v>
      </c>
      <c r="G1052" s="8" t="n">
        <v>56</v>
      </c>
      <c r="H1052" s="8" t="n">
        <v>3</v>
      </c>
      <c r="I1052" s="4" t="s">
        <v>4494</v>
      </c>
      <c r="J1052" s="8" t="n">
        <v>50</v>
      </c>
      <c r="K1052" s="8" t="n">
        <v>4</v>
      </c>
      <c r="L1052" s="4" t="s">
        <v>53</v>
      </c>
      <c r="M1052" s="8" t="n">
        <v>34</v>
      </c>
      <c r="N1052" s="8" t="n">
        <f aca="false">IF(A1052="","",G1052-J1052)</f>
        <v>6</v>
      </c>
      <c r="O1052" s="8" t="n">
        <f aca="false">IF(A1052="","",J1052-M1052)</f>
        <v>16</v>
      </c>
      <c r="P1052" s="8" t="n">
        <f aca="false">IF(A1052="","",G1052+J1052)</f>
        <v>106</v>
      </c>
      <c r="Q1052" s="8" t="str">
        <f aca="false">IF(A1052="","",IF(AND(Y1052&lt;&gt;"参考",G1052&gt;=ルール設定!$B$2),"○",""))</f>
        <v/>
      </c>
      <c r="R1052" s="8" t="str">
        <f aca="false">IF(A1052="","",IF(AND(Y1052&lt;&gt;"参考",G1052&gt;=ルール設定!$B$3,N1052&gt;=ルール設定!$B$4),"○",""))</f>
        <v/>
      </c>
      <c r="S1052" s="8" t="str">
        <f aca="false">IF(A1052="","",IF(AND(Y1052&lt;&gt;"参考",G1052&gt;=ルール設定!$B$5,J1052&gt;=ルール設定!$B$6,O1052&gt;=ルール設定!$B$7),"○",""))</f>
        <v/>
      </c>
      <c r="T1052" s="8" t="n">
        <v>4</v>
      </c>
      <c r="U1052" s="8" t="n">
        <v>4</v>
      </c>
      <c r="V1052" s="8" t="str">
        <f aca="false">IF(A1052="","",IF(AND(ISNUMBER(T1052),ISNUMBER(U1052)),IF(AND(T1052&lt;=3,U1052&lt;=3),"○","×"),""))</f>
        <v>×</v>
      </c>
      <c r="W1052" s="8"/>
      <c r="X1052" s="8"/>
      <c r="Y1052" s="4" t="s">
        <v>7597</v>
      </c>
      <c r="Z1052" s="8" t="s">
        <v>8111</v>
      </c>
      <c r="AA1052" s="8" t="str">
        <v/>
      </c>
      <c r="AB1052" s="8" t="str">
        <v/>
      </c>
      <c r="AC1052" s="8" t="str">
        <v/>
      </c>
      <c r="AD1052" s="8" t="str">
        <v/>
      </c>
      <c r="AE1052" s="8" t="str">
        <v/>
      </c>
      <c r="AF1052" s="8" t="str">
        <v/>
      </c>
      <c r="AG1052" s="8" t="str">
        <v/>
      </c>
      <c r="AH1052" s="8" t="str">
        <v/>
      </c>
      <c r="AI1052" s="8" t="n">
        <v>22</v>
      </c>
      <c r="AJ1052" s="8" t="str">
        <v>～59</v>
      </c>
      <c r="AK1052" s="8" t="str">
        <v>5～9</v>
      </c>
      <c r="AL1052" s="8" t="str">
        <v>20～29</v>
      </c>
      <c r="AM1052" s="8" t="str">
        <v>100～119</v>
      </c>
      <c r="AN1052" s="8" t="str">
        <v>15以上</v>
      </c>
      <c r="AO1052" s="8" t="str">
        <f aca="false">IF(A1052="","",IF(COUNTIFS(全馬データ!$A$2:$A$50000,A1052,全馬データ!$B$2:$B$50000,B1052,全馬データ!$C$2:$C$50000,C1052,全馬データ!$D$2:$D$50000,E1052,全馬データ!$K$2:$K$50000,"&lt;&gt;")=0,"",SUMIFS(全馬データ!$K$2:$K$50000,全馬データ!$A$2:$A$50000,A1052,全馬データ!$B$2:$B$50000,B1052,全馬データ!$C$2:$C$50000,C1052,全馬データ!$D$2:$D$50000,E1052)))</f>
        <v/>
      </c>
      <c r="AP1052" s="8" t="str">
        <f aca="false">IF(A1052="","",IF(AO1052="","欠損",IF(AO1052&lt;=1.1,"1.0～1.1",IF(AO1052&lt;1.3,"1.2",IF(AO1052&lt;1.5,"1.3～1.4",IF(AO1052&lt;2,"1.5～1.9","2.0以上"))))))</f>
        <v>欠損</v>
      </c>
      <c r="AQ1052" s="8" t="str">
        <f aca="false">IF(A1052="","",IF(ISNUMBER(SEARCH("2歳",Z1052)),"2歳戦",IF(ISNUMBER(SEARCH("3歳未勝利",Z1052)),"3歳未勝利",IF(ISNUMBER(SEARCH("未勝利",Z1052)),"その他未勝利",IF(ISNUMBER(SEARCH("G1",Z1052)),"G1",IF(ISNUMBER(SEARCH("G2",Z1052)),"G2",IF(ISNUMBER(SEARCH("G3",Z1052)),"G3",IF(ISNUMBER(SEARCH("古馬条件",Z1052)),"古馬条件戦",IF(ISNUMBER(SEARCH("重賞",Z1052)),"重賞","分類不能")))))))))</f>
        <v>分類不能</v>
      </c>
      <c r="AR1052" s="8"/>
      <c r="AS1052" s="8" t="s">
        <v>7623</v>
      </c>
      <c r="AT1052" s="8" t="s">
        <v>7624</v>
      </c>
      <c r="AU1052" s="8" t="s">
        <v>7600</v>
      </c>
      <c r="AV1052" s="4" t="s">
        <v>7601</v>
      </c>
      <c r="AW1052" s="8"/>
      <c r="AX1052" s="8"/>
      <c r="AY1052" s="8" t="s">
        <v>7610</v>
      </c>
      <c r="AZ1052" s="4" t="s">
        <v>7617</v>
      </c>
      <c r="BA1052" s="8" t="n">
        <v>1200</v>
      </c>
      <c r="BB1052" s="8" t="s">
        <v>7634</v>
      </c>
      <c r="BC1052" s="4" t="s">
        <v>7604</v>
      </c>
      <c r="BD1052" s="8" t="s">
        <v>7625</v>
      </c>
      <c r="BE1052" s="4" t="s">
        <v>7606</v>
      </c>
      <c r="BF1052" s="8" t="s">
        <v>7607</v>
      </c>
      <c r="BG1052" s="8" t="s">
        <v>7608</v>
      </c>
      <c r="BH1052" s="4" t="s">
        <v>7609</v>
      </c>
      <c r="BI1052" s="8" t="n">
        <v>15</v>
      </c>
      <c r="BJ1052" s="8" t="s">
        <v>7610</v>
      </c>
      <c r="BK1052" s="4" t="s">
        <v>7611</v>
      </c>
      <c r="BL1052" s="8" t="s">
        <v>7602</v>
      </c>
      <c r="BM1052" s="4" t="s">
        <v>7620</v>
      </c>
      <c r="BN1052" s="8"/>
      <c r="BO1052" s="8"/>
      <c r="BP1052" s="8" t="s">
        <v>7608</v>
      </c>
      <c r="BQ1052" s="8" t="str">
        <f aca="false">IF(A1052="","",AT1052)</f>
        <v>3歳</v>
      </c>
      <c r="BR1052" s="8" t="str">
        <f aca="false">IF(A1052="","",IF(BA1052&lt;=1200,"～1200",IF(BA1052&lt;=1500,"1300～1500",IF(BA1052=1600,"1600",IF(BA1052&lt;=1800,"1700～1800",IF(BA1052&lt;=2000,"1900～2000","2100以上"))))))</f>
        <v>～1200</v>
      </c>
      <c r="BS1052" s="8" t="str">
        <f aca="false">IF(A1052="","",IF(AX1052="G1","G1",IF(AX1052="G2","G2",IF(AX1052="G3","G3",IF(AX1052="L","L","その他")))))</f>
        <v>その他</v>
      </c>
      <c r="BT1052" s="8" t="str">
        <f aca="false">IF(A1052="","",IF(BI1052="","未結合",IF(D1052=BI1052,"一致","不一致")))</f>
        <v>一致</v>
      </c>
      <c r="BU1052" s="8" t="str">
        <f aca="false">IF(A1052="","",IF(BE1052="牝馬限定","牝馬限定","その他"))</f>
        <v>その他</v>
      </c>
    </row>
    <row r="1053" customFormat="false" ht="15.75" hidden="false" customHeight="false" outlineLevel="0" collapsed="false">
      <c r="A1053" s="6" t="n">
        <f aca="false">DATE(2026,5,10)</f>
        <v>46152</v>
      </c>
      <c r="B1053" s="4" t="s">
        <v>13</v>
      </c>
      <c r="C1053" s="8" t="n">
        <v>3</v>
      </c>
      <c r="D1053" s="8" t="n">
        <v>15</v>
      </c>
      <c r="E1053" s="8" t="n">
        <v>1</v>
      </c>
      <c r="F1053" s="4" t="s">
        <v>5744</v>
      </c>
      <c r="G1053" s="8" t="n">
        <v>71</v>
      </c>
      <c r="H1053" s="8" t="n">
        <v>2</v>
      </c>
      <c r="I1053" s="4" t="s">
        <v>5739</v>
      </c>
      <c r="J1053" s="8" t="n">
        <v>58</v>
      </c>
      <c r="K1053" s="8" t="n">
        <v>5</v>
      </c>
      <c r="L1053" s="4" t="s">
        <v>1316</v>
      </c>
      <c r="M1053" s="8" t="n">
        <v>37</v>
      </c>
      <c r="N1053" s="8" t="n">
        <f aca="false">IF(A1053="","",G1053-J1053)</f>
        <v>13</v>
      </c>
      <c r="O1053" s="8" t="n">
        <f aca="false">IF(A1053="","",J1053-M1053)</f>
        <v>21</v>
      </c>
      <c r="P1053" s="8" t="n">
        <f aca="false">IF(A1053="","",G1053+J1053)</f>
        <v>129</v>
      </c>
      <c r="Q1053" s="8" t="str">
        <f aca="false">IF(A1053="","",IF(AND(Y1053&lt;&gt;"参考",G1053&gt;=ルール設定!$B$2),"○",""))</f>
        <v/>
      </c>
      <c r="R1053" s="8" t="str">
        <f aca="false">IF(A1053="","",IF(AND(Y1053&lt;&gt;"参考",G1053&gt;=ルール設定!$B$3,N1053&gt;=ルール設定!$B$4),"○",""))</f>
        <v/>
      </c>
      <c r="S1053" s="8" t="str">
        <f aca="false">IF(A1053="","",IF(AND(Y1053&lt;&gt;"参考",G1053&gt;=ルール設定!$B$5,J1053&gt;=ルール設定!$B$6,O1053&gt;=ルール設定!$B$7),"○",""))</f>
        <v>○</v>
      </c>
      <c r="T1053" s="8" t="n">
        <v>2</v>
      </c>
      <c r="U1053" s="8" t="n">
        <v>3</v>
      </c>
      <c r="V1053" s="8" t="str">
        <f aca="false">IF(A1053="","",IF(AND(ISNUMBER(T1053),ISNUMBER(U1053)),IF(AND(T1053&lt;=3,U1053&lt;=3),"○","×"),""))</f>
        <v>○</v>
      </c>
      <c r="W1053" s="8" t="n">
        <v>110</v>
      </c>
      <c r="X1053" s="8" t="n">
        <v>160</v>
      </c>
      <c r="Y1053" s="4" t="s">
        <v>7597</v>
      </c>
      <c r="Z1053" s="8" t="s">
        <v>8111</v>
      </c>
      <c r="AA1053" s="8" t="str">
        <v/>
      </c>
      <c r="AB1053" s="8" t="str">
        <v/>
      </c>
      <c r="AC1053" s="8" t="str">
        <v/>
      </c>
      <c r="AD1053" s="8" t="str">
        <v/>
      </c>
      <c r="AE1053" s="8" t="str">
        <v/>
      </c>
      <c r="AF1053" s="8" t="str">
        <v/>
      </c>
      <c r="AG1053" s="8" t="str">
        <v/>
      </c>
      <c r="AH1053" s="8" t="str">
        <v/>
      </c>
      <c r="AI1053" s="8" t="n">
        <v>34</v>
      </c>
      <c r="AJ1053" s="8" t="str">
        <v>70～74</v>
      </c>
      <c r="AK1053" s="8" t="str">
        <v>10～19</v>
      </c>
      <c r="AL1053" s="8" t="str">
        <v>30～39</v>
      </c>
      <c r="AM1053" s="8" t="str">
        <v>120～139</v>
      </c>
      <c r="AN1053" s="8" t="str">
        <v>15以上</v>
      </c>
      <c r="AO1053" s="8" t="str">
        <f aca="false">IF(A1053="","",IF(COUNTIFS(全馬データ!$A$2:$A$50000,A1053,全馬データ!$B$2:$B$50000,B1053,全馬データ!$C$2:$C$50000,C1053,全馬データ!$D$2:$D$50000,E1053,全馬データ!$K$2:$K$50000,"&lt;&gt;")=0,"",SUMIFS(全馬データ!$K$2:$K$50000,全馬データ!$A$2:$A$50000,A1053,全馬データ!$B$2:$B$50000,B1053,全馬データ!$C$2:$C$50000,C1053,全馬データ!$D$2:$D$50000,E1053)))</f>
        <v/>
      </c>
      <c r="AP1053" s="8" t="str">
        <f aca="false">IF(A1053="","",IF(AO1053="","欠損",IF(AO1053&lt;=1.1,"1.0～1.1",IF(AO1053&lt;1.3,"1.2",IF(AO1053&lt;1.5,"1.3～1.4",IF(AO1053&lt;2,"1.5～1.9","2.0以上"))))))</f>
        <v>欠損</v>
      </c>
      <c r="AQ1053" s="8" t="str">
        <f aca="false">IF(A1053="","",IF(ISNUMBER(SEARCH("2歳",Z1053)),"2歳戦",IF(ISNUMBER(SEARCH("3歳未勝利",Z1053)),"3歳未勝利",IF(ISNUMBER(SEARCH("未勝利",Z1053)),"その他未勝利",IF(ISNUMBER(SEARCH("G1",Z1053)),"G1",IF(ISNUMBER(SEARCH("G2",Z1053)),"G2",IF(ISNUMBER(SEARCH("G3",Z1053)),"G3",IF(ISNUMBER(SEARCH("古馬条件",Z1053)),"古馬条件戦",IF(ISNUMBER(SEARCH("重賞",Z1053)),"重賞","分類不能")))))))))</f>
        <v>分類不能</v>
      </c>
      <c r="AR1053" s="8"/>
      <c r="AS1053" s="8" t="s">
        <v>7623</v>
      </c>
      <c r="AT1053" s="8" t="s">
        <v>7624</v>
      </c>
      <c r="AU1053" s="8" t="s">
        <v>7600</v>
      </c>
      <c r="AV1053" s="4" t="s">
        <v>7601</v>
      </c>
      <c r="AW1053" s="8"/>
      <c r="AX1053" s="8"/>
      <c r="AY1053" s="8" t="s">
        <v>7610</v>
      </c>
      <c r="AZ1053" s="4" t="s">
        <v>7617</v>
      </c>
      <c r="BA1053" s="8" t="n">
        <v>1800</v>
      </c>
      <c r="BB1053" s="8" t="s">
        <v>7634</v>
      </c>
      <c r="BC1053" s="4" t="s">
        <v>7604</v>
      </c>
      <c r="BD1053" s="8" t="s">
        <v>7605</v>
      </c>
      <c r="BE1053" s="4" t="s">
        <v>7606</v>
      </c>
      <c r="BF1053" s="8" t="s">
        <v>7607</v>
      </c>
      <c r="BG1053" s="8" t="s">
        <v>7608</v>
      </c>
      <c r="BH1053" s="4" t="s">
        <v>7609</v>
      </c>
      <c r="BI1053" s="8" t="n">
        <v>15</v>
      </c>
      <c r="BJ1053" s="8" t="s">
        <v>7610</v>
      </c>
      <c r="BK1053" s="4" t="s">
        <v>7611</v>
      </c>
      <c r="BL1053" s="8" t="s">
        <v>7602</v>
      </c>
      <c r="BM1053" s="4" t="s">
        <v>7620</v>
      </c>
      <c r="BN1053" s="8"/>
      <c r="BO1053" s="8"/>
      <c r="BP1053" s="8" t="s">
        <v>7608</v>
      </c>
      <c r="BQ1053" s="8" t="str">
        <f aca="false">IF(A1053="","",AT1053)</f>
        <v>3歳</v>
      </c>
      <c r="BR1053" s="8" t="str">
        <f aca="false">IF(A1053="","",IF(BA1053&lt;=1200,"～1200",IF(BA1053&lt;=1500,"1300～1500",IF(BA1053=1600,"1600",IF(BA1053&lt;=1800,"1700～1800",IF(BA1053&lt;=2000,"1900～2000","2100以上"))))))</f>
        <v>1700～1800</v>
      </c>
      <c r="BS1053" s="8" t="str">
        <f aca="false">IF(A1053="","",IF(AX1053="G1","G1",IF(AX1053="G2","G2",IF(AX1053="G3","G3",IF(AX1053="L","L","その他")))))</f>
        <v>その他</v>
      </c>
      <c r="BT1053" s="8" t="str">
        <f aca="false">IF(A1053="","",IF(BI1053="","未結合",IF(D1053=BI1053,"一致","不一致")))</f>
        <v>一致</v>
      </c>
      <c r="BU1053" s="8" t="str">
        <f aca="false">IF(A1053="","",IF(BE1053="牝馬限定","牝馬限定","その他"))</f>
        <v>その他</v>
      </c>
    </row>
    <row r="1054" customFormat="false" ht="15.75" hidden="false" customHeight="false" outlineLevel="0" collapsed="false">
      <c r="A1054" s="6" t="n">
        <f aca="false">DATE(2026,5,10)</f>
        <v>46152</v>
      </c>
      <c r="B1054" s="4" t="s">
        <v>13</v>
      </c>
      <c r="C1054" s="8" t="n">
        <v>4</v>
      </c>
      <c r="D1054" s="8" t="n">
        <v>12</v>
      </c>
      <c r="E1054" s="8" t="n">
        <v>1</v>
      </c>
      <c r="F1054" s="4" t="s">
        <v>5825</v>
      </c>
      <c r="G1054" s="8" t="n">
        <v>55</v>
      </c>
      <c r="H1054" s="8" t="n">
        <v>8</v>
      </c>
      <c r="I1054" s="4" t="s">
        <v>3135</v>
      </c>
      <c r="J1054" s="8" t="n">
        <v>55</v>
      </c>
      <c r="K1054" s="8" t="n">
        <v>5</v>
      </c>
      <c r="L1054" s="4" t="s">
        <v>7140</v>
      </c>
      <c r="M1054" s="8" t="n">
        <v>37</v>
      </c>
      <c r="N1054" s="8" t="n">
        <f aca="false">IF(A1054="","",G1054-J1054)</f>
        <v>0</v>
      </c>
      <c r="O1054" s="8" t="n">
        <f aca="false">IF(A1054="","",J1054-M1054)</f>
        <v>18</v>
      </c>
      <c r="P1054" s="8" t="n">
        <f aca="false">IF(A1054="","",G1054+J1054)</f>
        <v>110</v>
      </c>
      <c r="Q1054" s="8" t="str">
        <f aca="false">IF(A1054="","",IF(AND(Y1054&lt;&gt;"参考",G1054&gt;=ルール設定!$B$2),"○",""))</f>
        <v/>
      </c>
      <c r="R1054" s="8" t="str">
        <f aca="false">IF(A1054="","",IF(AND(Y1054&lt;&gt;"参考",G1054&gt;=ルール設定!$B$3,N1054&gt;=ルール設定!$B$4),"○",""))</f>
        <v/>
      </c>
      <c r="S1054" s="8" t="str">
        <f aca="false">IF(A1054="","",IF(AND(Y1054&lt;&gt;"参考",G1054&gt;=ルール設定!$B$5,J1054&gt;=ルール設定!$B$6,O1054&gt;=ルール設定!$B$7),"○",""))</f>
        <v/>
      </c>
      <c r="T1054" s="8" t="n">
        <v>4</v>
      </c>
      <c r="U1054" s="8" t="n">
        <v>3</v>
      </c>
      <c r="V1054" s="8" t="str">
        <f aca="false">IF(A1054="","",IF(AND(ISNUMBER(T1054),ISNUMBER(U1054)),IF(AND(T1054&lt;=3,U1054&lt;=3),"○","×"),""))</f>
        <v>×</v>
      </c>
      <c r="W1054" s="8"/>
      <c r="X1054" s="8"/>
      <c r="Y1054" s="4" t="s">
        <v>7597</v>
      </c>
      <c r="Z1054" s="8" t="s">
        <v>8111</v>
      </c>
      <c r="AA1054" s="8" t="str">
        <v/>
      </c>
      <c r="AB1054" s="8" t="str">
        <v/>
      </c>
      <c r="AC1054" s="8" t="str">
        <v/>
      </c>
      <c r="AD1054" s="8" t="str">
        <v/>
      </c>
      <c r="AE1054" s="8" t="str">
        <v/>
      </c>
      <c r="AF1054" s="8" t="str">
        <v/>
      </c>
      <c r="AG1054" s="8" t="str">
        <v/>
      </c>
      <c r="AH1054" s="8" t="str">
        <v/>
      </c>
      <c r="AI1054" s="8" t="n">
        <v>18</v>
      </c>
      <c r="AJ1054" s="8" t="str">
        <v>～59</v>
      </c>
      <c r="AK1054" s="8" t="str">
        <v>0～4</v>
      </c>
      <c r="AL1054" s="8" t="str">
        <v>10～19</v>
      </c>
      <c r="AM1054" s="8" t="str">
        <v>100～119</v>
      </c>
      <c r="AN1054" s="8" t="str">
        <v>12～14</v>
      </c>
      <c r="AO1054" s="8" t="str">
        <f aca="false">IF(A1054="","",IF(COUNTIFS(全馬データ!$A$2:$A$50000,A1054,全馬データ!$B$2:$B$50000,B1054,全馬データ!$C$2:$C$50000,C1054,全馬データ!$D$2:$D$50000,E1054,全馬データ!$K$2:$K$50000,"&lt;&gt;")=0,"",SUMIFS(全馬データ!$K$2:$K$50000,全馬データ!$A$2:$A$50000,A1054,全馬データ!$B$2:$B$50000,B1054,全馬データ!$C$2:$C$50000,C1054,全馬データ!$D$2:$D$50000,E1054)))</f>
        <v/>
      </c>
      <c r="AP1054" s="8" t="str">
        <f aca="false">IF(A1054="","",IF(AO1054="","欠損",IF(AO1054&lt;=1.1,"1.0～1.1",IF(AO1054&lt;1.3,"1.2",IF(AO1054&lt;1.5,"1.3～1.4",IF(AO1054&lt;2,"1.5～1.9","2.0以上"))))))</f>
        <v>欠損</v>
      </c>
      <c r="AQ1054" s="8" t="str">
        <f aca="false">IF(A1054="","",IF(ISNUMBER(SEARCH("2歳",Z1054)),"2歳戦",IF(ISNUMBER(SEARCH("3歳未勝利",Z1054)),"3歳未勝利",IF(ISNUMBER(SEARCH("未勝利",Z1054)),"その他未勝利",IF(ISNUMBER(SEARCH("G1",Z1054)),"G1",IF(ISNUMBER(SEARCH("G2",Z1054)),"G2",IF(ISNUMBER(SEARCH("G3",Z1054)),"G3",IF(ISNUMBER(SEARCH("古馬条件",Z1054)),"古馬条件戦",IF(ISNUMBER(SEARCH("重賞",Z1054)),"重賞","分類不能")))))))))</f>
        <v>分類不能</v>
      </c>
      <c r="AR1054" s="8"/>
      <c r="AS1054" s="8" t="s">
        <v>7618</v>
      </c>
      <c r="AT1054" s="4" t="s">
        <v>7642</v>
      </c>
      <c r="AU1054" s="8" t="s">
        <v>7600</v>
      </c>
      <c r="AV1054" s="4" t="s">
        <v>7601</v>
      </c>
      <c r="AW1054" s="8"/>
      <c r="AX1054" s="8"/>
      <c r="AY1054" s="8" t="s">
        <v>7608</v>
      </c>
      <c r="AZ1054" s="4" t="s">
        <v>7642</v>
      </c>
      <c r="BA1054" s="8" t="n">
        <v>2890</v>
      </c>
      <c r="BB1054" s="8" t="s">
        <v>7634</v>
      </c>
      <c r="BC1054" s="4" t="s">
        <v>7604</v>
      </c>
      <c r="BD1054" s="8" t="s">
        <v>7696</v>
      </c>
      <c r="BE1054" s="4" t="s">
        <v>7606</v>
      </c>
      <c r="BF1054" s="8" t="s">
        <v>7607</v>
      </c>
      <c r="BG1054" s="8" t="s">
        <v>7631</v>
      </c>
      <c r="BH1054" s="4" t="s">
        <v>7632</v>
      </c>
      <c r="BI1054" s="8" t="n">
        <v>12</v>
      </c>
      <c r="BJ1054" s="8" t="s">
        <v>7647</v>
      </c>
      <c r="BK1054" s="4" t="s">
        <v>7648</v>
      </c>
      <c r="BL1054" s="8" t="s">
        <v>7647</v>
      </c>
      <c r="BM1054" s="4" t="s">
        <v>7648</v>
      </c>
      <c r="BN1054" s="8"/>
      <c r="BO1054" s="8"/>
      <c r="BP1054" s="8" t="s">
        <v>7608</v>
      </c>
      <c r="BQ1054" s="8" t="str">
        <f aca="false">IF(A1054="","",AT1054)</f>
        <v>障害</v>
      </c>
      <c r="BR1054" s="8" t="str">
        <f aca="false">IF(A1054="","",IF(BA1054&lt;=1200,"～1200",IF(BA1054&lt;=1500,"1300～1500",IF(BA1054=1600,"1600",IF(BA1054&lt;=1800,"1700～1800",IF(BA1054&lt;=2000,"1900～2000","2100以上"))))))</f>
        <v>2100以上</v>
      </c>
      <c r="BS1054" s="8" t="str">
        <f aca="false">IF(A1054="","",IF(AX1054="G1","G1",IF(AX1054="G2","G2",IF(AX1054="G3","G3",IF(AX1054="L","L","その他")))))</f>
        <v>その他</v>
      </c>
      <c r="BT1054" s="8" t="str">
        <f aca="false">IF(A1054="","",IF(BI1054="","未結合",IF(D1054=BI1054,"一致","不一致")))</f>
        <v>一致</v>
      </c>
      <c r="BU1054" s="8" t="str">
        <f aca="false">IF(A1054="","",IF(BE1054="牝馬限定","牝馬限定","その他"))</f>
        <v>その他</v>
      </c>
    </row>
    <row r="1055" customFormat="false" ht="15.75" hidden="false" customHeight="false" outlineLevel="0" collapsed="false">
      <c r="A1055" s="6" t="n">
        <f aca="false">DATE(2026,5,10)</f>
        <v>46152</v>
      </c>
      <c r="B1055" s="4" t="s">
        <v>13</v>
      </c>
      <c r="C1055" s="8" t="n">
        <v>5</v>
      </c>
      <c r="D1055" s="8" t="n">
        <v>16</v>
      </c>
      <c r="E1055" s="8" t="n">
        <v>11</v>
      </c>
      <c r="F1055" s="4" t="s">
        <v>647</v>
      </c>
      <c r="G1055" s="8" t="n">
        <v>56</v>
      </c>
      <c r="H1055" s="8" t="n">
        <v>12</v>
      </c>
      <c r="I1055" s="4" t="s">
        <v>4060</v>
      </c>
      <c r="J1055" s="8" t="n">
        <v>47</v>
      </c>
      <c r="K1055" s="8" t="n">
        <v>2</v>
      </c>
      <c r="L1055" s="4" t="s">
        <v>7143</v>
      </c>
      <c r="M1055" s="8" t="n">
        <v>25</v>
      </c>
      <c r="N1055" s="8" t="n">
        <f aca="false">IF(A1055="","",G1055-J1055)</f>
        <v>9</v>
      </c>
      <c r="O1055" s="8" t="n">
        <f aca="false">IF(A1055="","",J1055-M1055)</f>
        <v>22</v>
      </c>
      <c r="P1055" s="8" t="n">
        <f aca="false">IF(A1055="","",G1055+J1055)</f>
        <v>103</v>
      </c>
      <c r="Q1055" s="8" t="str">
        <f aca="false">IF(A1055="","",IF(AND(Y1055&lt;&gt;"参考",G1055&gt;=ルール設定!$B$2),"○",""))</f>
        <v/>
      </c>
      <c r="R1055" s="8" t="str">
        <f aca="false">IF(A1055="","",IF(AND(Y1055&lt;&gt;"参考",G1055&gt;=ルール設定!$B$3,N1055&gt;=ルール設定!$B$4),"○",""))</f>
        <v/>
      </c>
      <c r="S1055" s="8" t="str">
        <f aca="false">IF(A1055="","",IF(AND(Y1055&lt;&gt;"参考",G1055&gt;=ルール設定!$B$5,J1055&gt;=ルール設定!$B$6,O1055&gt;=ルール設定!$B$7),"○",""))</f>
        <v/>
      </c>
      <c r="T1055" s="8" t="n">
        <v>4</v>
      </c>
      <c r="U1055" s="8" t="n">
        <v>1</v>
      </c>
      <c r="V1055" s="8" t="str">
        <f aca="false">IF(A1055="","",IF(AND(ISNUMBER(T1055),ISNUMBER(U1055)),IF(AND(T1055&lt;=3,U1055&lt;=3),"○","×"),""))</f>
        <v>×</v>
      </c>
      <c r="W1055" s="8"/>
      <c r="X1055" s="8"/>
      <c r="Y1055" s="4" t="s">
        <v>7597</v>
      </c>
      <c r="Z1055" s="8" t="s">
        <v>8111</v>
      </c>
      <c r="AA1055" s="8" t="str">
        <v/>
      </c>
      <c r="AB1055" s="8" t="str">
        <v/>
      </c>
      <c r="AC1055" s="8" t="str">
        <v/>
      </c>
      <c r="AD1055" s="8" t="str">
        <v/>
      </c>
      <c r="AE1055" s="8" t="str">
        <v/>
      </c>
      <c r="AF1055" s="8" t="str">
        <v/>
      </c>
      <c r="AG1055" s="8" t="str">
        <v/>
      </c>
      <c r="AH1055" s="8" t="str">
        <v/>
      </c>
      <c r="AI1055" s="8" t="n">
        <v>31</v>
      </c>
      <c r="AJ1055" s="8" t="str">
        <v>～59</v>
      </c>
      <c r="AK1055" s="8" t="str">
        <v>5～9</v>
      </c>
      <c r="AL1055" s="8" t="str">
        <v>30～39</v>
      </c>
      <c r="AM1055" s="8" t="str">
        <v>100～119</v>
      </c>
      <c r="AN1055" s="8" t="str">
        <v>15以上</v>
      </c>
      <c r="AO1055" s="8" t="str">
        <f aca="false">IF(A1055="","",IF(COUNTIFS(全馬データ!$A$2:$A$50000,A1055,全馬データ!$B$2:$B$50000,B1055,全馬データ!$C$2:$C$50000,C1055,全馬データ!$D$2:$D$50000,E1055,全馬データ!$K$2:$K$50000,"&lt;&gt;")=0,"",SUMIFS(全馬データ!$K$2:$K$50000,全馬データ!$A$2:$A$50000,A1055,全馬データ!$B$2:$B$50000,B1055,全馬データ!$C$2:$C$50000,C1055,全馬データ!$D$2:$D$50000,E1055)))</f>
        <v/>
      </c>
      <c r="AP1055" s="8" t="str">
        <f aca="false">IF(A1055="","",IF(AO1055="","欠損",IF(AO1055&lt;=1.1,"1.0～1.1",IF(AO1055&lt;1.3,"1.2",IF(AO1055&lt;1.5,"1.3～1.4",IF(AO1055&lt;2,"1.5～1.9","2.0以上"))))))</f>
        <v>欠損</v>
      </c>
      <c r="AQ1055" s="8" t="str">
        <f aca="false">IF(A1055="","",IF(ISNUMBER(SEARCH("2歳",Z1055)),"2歳戦",IF(ISNUMBER(SEARCH("3歳未勝利",Z1055)),"3歳未勝利",IF(ISNUMBER(SEARCH("未勝利",Z1055)),"その他未勝利",IF(ISNUMBER(SEARCH("G1",Z1055)),"G1",IF(ISNUMBER(SEARCH("G2",Z1055)),"G2",IF(ISNUMBER(SEARCH("G3",Z1055)),"G3",IF(ISNUMBER(SEARCH("古馬条件",Z1055)),"古馬条件戦",IF(ISNUMBER(SEARCH("重賞",Z1055)),"重賞","分類不能")))))))))</f>
        <v>分類不能</v>
      </c>
      <c r="AR1055" s="8"/>
      <c r="AS1055" s="8" t="s">
        <v>7623</v>
      </c>
      <c r="AT1055" s="8" t="s">
        <v>7624</v>
      </c>
      <c r="AU1055" s="8" t="s">
        <v>7600</v>
      </c>
      <c r="AV1055" s="4" t="s">
        <v>7601</v>
      </c>
      <c r="AW1055" s="8"/>
      <c r="AX1055" s="8"/>
      <c r="AY1055" s="8" t="s">
        <v>7602</v>
      </c>
      <c r="AZ1055" s="4" t="s">
        <v>7603</v>
      </c>
      <c r="BA1055" s="8" t="n">
        <v>1800</v>
      </c>
      <c r="BB1055" s="8" t="s">
        <v>7634</v>
      </c>
      <c r="BC1055" s="4" t="s">
        <v>7604</v>
      </c>
      <c r="BD1055" s="8" t="s">
        <v>7621</v>
      </c>
      <c r="BE1055" s="4" t="s">
        <v>7622</v>
      </c>
      <c r="BF1055" s="8" t="s">
        <v>7602</v>
      </c>
      <c r="BG1055" s="8" t="s">
        <v>7608</v>
      </c>
      <c r="BH1055" s="4" t="s">
        <v>7609</v>
      </c>
      <c r="BI1055" s="8" t="n">
        <v>16</v>
      </c>
      <c r="BJ1055" s="8" t="s">
        <v>7610</v>
      </c>
      <c r="BK1055" s="4" t="s">
        <v>7611</v>
      </c>
      <c r="BL1055" s="8" t="s">
        <v>7610</v>
      </c>
      <c r="BM1055" s="4" t="s">
        <v>7612</v>
      </c>
      <c r="BN1055" s="8" t="s">
        <v>7631</v>
      </c>
      <c r="BO1055" s="8" t="s">
        <v>7680</v>
      </c>
      <c r="BP1055" s="8" t="s">
        <v>7608</v>
      </c>
      <c r="BQ1055" s="8" t="str">
        <f aca="false">IF(A1055="","",AT1055)</f>
        <v>3歳</v>
      </c>
      <c r="BR1055" s="8" t="str">
        <f aca="false">IF(A1055="","",IF(BA1055&lt;=1200,"～1200",IF(BA1055&lt;=1500,"1300～1500",IF(BA1055=1600,"1600",IF(BA1055&lt;=1800,"1700～1800",IF(BA1055&lt;=2000,"1900～2000","2100以上"))))))</f>
        <v>1700～1800</v>
      </c>
      <c r="BS1055" s="8" t="str">
        <f aca="false">IF(A1055="","",IF(AX1055="G1","G1",IF(AX1055="G2","G2",IF(AX1055="G3","G3",IF(AX1055="L","L","その他")))))</f>
        <v>その他</v>
      </c>
      <c r="BT1055" s="8" t="str">
        <f aca="false">IF(A1055="","",IF(BI1055="","未結合",IF(D1055=BI1055,"一致","不一致")))</f>
        <v>一致</v>
      </c>
      <c r="BU1055" s="8" t="str">
        <f aca="false">IF(A1055="","",IF(BE1055="牝馬限定","牝馬限定","その他"))</f>
        <v>牝馬限定</v>
      </c>
    </row>
    <row r="1056" customFormat="false" ht="15.75" hidden="false" customHeight="false" outlineLevel="0" collapsed="false">
      <c r="A1056" s="6" t="n">
        <f aca="false">DATE(2026,5,10)</f>
        <v>46152</v>
      </c>
      <c r="B1056" s="4" t="s">
        <v>13</v>
      </c>
      <c r="C1056" s="8" t="n">
        <v>6</v>
      </c>
      <c r="D1056" s="8" t="n">
        <v>16</v>
      </c>
      <c r="E1056" s="8" t="n">
        <v>7</v>
      </c>
      <c r="F1056" s="4" t="s">
        <v>6308</v>
      </c>
      <c r="G1056" s="8" t="n">
        <v>62</v>
      </c>
      <c r="H1056" s="8" t="n">
        <v>10</v>
      </c>
      <c r="I1056" s="4" t="s">
        <v>7150</v>
      </c>
      <c r="J1056" s="8" t="n">
        <v>39</v>
      </c>
      <c r="K1056" s="8" t="n">
        <v>11</v>
      </c>
      <c r="L1056" s="4" t="s">
        <v>7151</v>
      </c>
      <c r="M1056" s="8" t="n">
        <v>37</v>
      </c>
      <c r="N1056" s="8" t="n">
        <f aca="false">IF(A1056="","",G1056-J1056)</f>
        <v>23</v>
      </c>
      <c r="O1056" s="8" t="n">
        <f aca="false">IF(A1056="","",J1056-M1056)</f>
        <v>2</v>
      </c>
      <c r="P1056" s="8" t="n">
        <f aca="false">IF(A1056="","",G1056+J1056)</f>
        <v>101</v>
      </c>
      <c r="Q1056" s="8" t="str">
        <f aca="false">IF(A1056="","",IF(AND(Y1056&lt;&gt;"参考",G1056&gt;=ルール設定!$B$2),"○",""))</f>
        <v/>
      </c>
      <c r="R1056" s="8" t="str">
        <f aca="false">IF(A1056="","",IF(AND(Y1056&lt;&gt;"参考",G1056&gt;=ルール設定!$B$3,N1056&gt;=ルール設定!$B$4),"○",""))</f>
        <v/>
      </c>
      <c r="S1056" s="8" t="str">
        <f aca="false">IF(A1056="","",IF(AND(Y1056&lt;&gt;"参考",G1056&gt;=ルール設定!$B$5,J1056&gt;=ルール設定!$B$6,O1056&gt;=ルール設定!$B$7),"○",""))</f>
        <v/>
      </c>
      <c r="T1056" s="8" t="n">
        <v>2</v>
      </c>
      <c r="U1056" s="8" t="n">
        <v>1</v>
      </c>
      <c r="V1056" s="8" t="str">
        <f aca="false">IF(A1056="","",IF(AND(ISNUMBER(T1056),ISNUMBER(U1056)),IF(AND(T1056&lt;=3,U1056&lt;=3),"○","×"),""))</f>
        <v>○</v>
      </c>
      <c r="W1056" s="8" t="n">
        <v>160</v>
      </c>
      <c r="X1056" s="8" t="n">
        <v>670</v>
      </c>
      <c r="Y1056" s="4" t="s">
        <v>7597</v>
      </c>
      <c r="Z1056" s="8" t="s">
        <v>8111</v>
      </c>
      <c r="AA1056" s="8" t="str">
        <v/>
      </c>
      <c r="AB1056" s="8" t="str">
        <v/>
      </c>
      <c r="AC1056" s="8" t="str">
        <v/>
      </c>
      <c r="AD1056" s="8" t="str">
        <v/>
      </c>
      <c r="AE1056" s="8" t="str">
        <v/>
      </c>
      <c r="AF1056" s="8" t="str">
        <v/>
      </c>
      <c r="AG1056" s="8" t="str">
        <v/>
      </c>
      <c r="AH1056" s="8" t="str">
        <v/>
      </c>
      <c r="AI1056" s="8" t="n">
        <v>25</v>
      </c>
      <c r="AJ1056" s="8" t="str">
        <v>60～69</v>
      </c>
      <c r="AK1056" s="8" t="str">
        <v>20～29</v>
      </c>
      <c r="AL1056" s="8" t="str">
        <v>20～29</v>
      </c>
      <c r="AM1056" s="8" t="str">
        <v>100～119</v>
      </c>
      <c r="AN1056" s="8" t="str">
        <v>15以上</v>
      </c>
      <c r="AO1056" s="8" t="str">
        <f aca="false">IF(A1056="","",IF(COUNTIFS(全馬データ!$A$2:$A$50000,A1056,全馬データ!$B$2:$B$50000,B1056,全馬データ!$C$2:$C$50000,C1056,全馬データ!$D$2:$D$50000,E1056,全馬データ!$K$2:$K$50000,"&lt;&gt;")=0,"",SUMIFS(全馬データ!$K$2:$K$50000,全馬データ!$A$2:$A$50000,A1056,全馬データ!$B$2:$B$50000,B1056,全馬データ!$C$2:$C$50000,C1056,全馬データ!$D$2:$D$50000,E1056)))</f>
        <v/>
      </c>
      <c r="AP1056" s="8" t="str">
        <f aca="false">IF(A1056="","",IF(AO1056="","欠損",IF(AO1056&lt;=1.1,"1.0～1.1",IF(AO1056&lt;1.3,"1.2",IF(AO1056&lt;1.5,"1.3～1.4",IF(AO1056&lt;2,"1.5～1.9","2.0以上"))))))</f>
        <v>欠損</v>
      </c>
      <c r="AQ1056" s="8" t="str">
        <f aca="false">IF(A1056="","",IF(ISNUMBER(SEARCH("2歳",Z1056)),"2歳戦",IF(ISNUMBER(SEARCH("3歳未勝利",Z1056)),"3歳未勝利",IF(ISNUMBER(SEARCH("未勝利",Z1056)),"その他未勝利",IF(ISNUMBER(SEARCH("G1",Z1056)),"G1",IF(ISNUMBER(SEARCH("G2",Z1056)),"G2",IF(ISNUMBER(SEARCH("G3",Z1056)),"G3",IF(ISNUMBER(SEARCH("古馬条件",Z1056)),"古馬条件戦",IF(ISNUMBER(SEARCH("重賞",Z1056)),"重賞","分類不能")))))))))</f>
        <v>分類不能</v>
      </c>
      <c r="AR1056" s="8"/>
      <c r="AS1056" s="8" t="s">
        <v>7623</v>
      </c>
      <c r="AT1056" s="8" t="s">
        <v>7624</v>
      </c>
      <c r="AU1056" s="8" t="s">
        <v>7600</v>
      </c>
      <c r="AV1056" s="4" t="s">
        <v>7601</v>
      </c>
      <c r="AW1056" s="8"/>
      <c r="AX1056" s="8"/>
      <c r="AY1056" s="8" t="s">
        <v>7602</v>
      </c>
      <c r="AZ1056" s="4" t="s">
        <v>7603</v>
      </c>
      <c r="BA1056" s="8" t="n">
        <v>1000</v>
      </c>
      <c r="BB1056" s="8" t="s">
        <v>7634</v>
      </c>
      <c r="BC1056" s="4" t="s">
        <v>7604</v>
      </c>
      <c r="BD1056" s="8" t="s">
        <v>7605</v>
      </c>
      <c r="BE1056" s="4" t="s">
        <v>7606</v>
      </c>
      <c r="BF1056" s="8" t="s">
        <v>7607</v>
      </c>
      <c r="BG1056" s="8" t="s">
        <v>7608</v>
      </c>
      <c r="BH1056" s="4" t="s">
        <v>7609</v>
      </c>
      <c r="BI1056" s="8" t="n">
        <v>16</v>
      </c>
      <c r="BJ1056" s="8" t="s">
        <v>7608</v>
      </c>
      <c r="BK1056" s="4" t="s">
        <v>7649</v>
      </c>
      <c r="BL1056" s="8" t="s">
        <v>7647</v>
      </c>
      <c r="BM1056" s="4" t="s">
        <v>7648</v>
      </c>
      <c r="BN1056" s="8" t="s">
        <v>7631</v>
      </c>
      <c r="BO1056" s="8" t="s">
        <v>7680</v>
      </c>
      <c r="BP1056" s="8" t="s">
        <v>7608</v>
      </c>
      <c r="BQ1056" s="8" t="str">
        <f aca="false">IF(A1056="","",AT1056)</f>
        <v>3歳</v>
      </c>
      <c r="BR1056" s="8" t="str">
        <f aca="false">IF(A1056="","",IF(BA1056&lt;=1200,"～1200",IF(BA1056&lt;=1500,"1300～1500",IF(BA1056=1600,"1600",IF(BA1056&lt;=1800,"1700～1800",IF(BA1056&lt;=2000,"1900～2000","2100以上"))))))</f>
        <v>～1200</v>
      </c>
      <c r="BS1056" s="8" t="str">
        <f aca="false">IF(A1056="","",IF(AX1056="G1","G1",IF(AX1056="G2","G2",IF(AX1056="G3","G3",IF(AX1056="L","L","その他")))))</f>
        <v>その他</v>
      </c>
      <c r="BT1056" s="8" t="str">
        <f aca="false">IF(A1056="","",IF(BI1056="","未結合",IF(D1056=BI1056,"一致","不一致")))</f>
        <v>一致</v>
      </c>
      <c r="BU1056" s="8" t="str">
        <f aca="false">IF(A1056="","",IF(BE1056="牝馬限定","牝馬限定","その他"))</f>
        <v>その他</v>
      </c>
    </row>
    <row r="1057" customFormat="false" ht="15.75" hidden="false" customHeight="false" outlineLevel="0" collapsed="false">
      <c r="A1057" s="6" t="n">
        <f aca="false">DATE(2026,5,10)</f>
        <v>46152</v>
      </c>
      <c r="B1057" s="4" t="s">
        <v>13</v>
      </c>
      <c r="C1057" s="8" t="n">
        <v>7</v>
      </c>
      <c r="D1057" s="8" t="n">
        <v>15</v>
      </c>
      <c r="E1057" s="8" t="n">
        <v>15</v>
      </c>
      <c r="F1057" s="4" t="s">
        <v>4668</v>
      </c>
      <c r="G1057" s="8" t="n">
        <v>65</v>
      </c>
      <c r="H1057" s="8" t="n">
        <v>3</v>
      </c>
      <c r="I1057" s="4" t="s">
        <v>7158</v>
      </c>
      <c r="J1057" s="8" t="n">
        <v>37</v>
      </c>
      <c r="K1057" s="8" t="n">
        <v>7</v>
      </c>
      <c r="L1057" s="4" t="s">
        <v>1657</v>
      </c>
      <c r="M1057" s="8" t="n">
        <v>29</v>
      </c>
      <c r="N1057" s="8" t="n">
        <f aca="false">IF(A1057="","",G1057-J1057)</f>
        <v>28</v>
      </c>
      <c r="O1057" s="8" t="n">
        <f aca="false">IF(A1057="","",J1057-M1057)</f>
        <v>8</v>
      </c>
      <c r="P1057" s="8" t="n">
        <f aca="false">IF(A1057="","",G1057+J1057)</f>
        <v>102</v>
      </c>
      <c r="Q1057" s="8" t="str">
        <f aca="false">IF(A1057="","",IF(AND(Y1057&lt;&gt;"参考",G1057&gt;=ルール設定!$B$2),"○",""))</f>
        <v/>
      </c>
      <c r="R1057" s="8" t="str">
        <f aca="false">IF(A1057="","",IF(AND(Y1057&lt;&gt;"参考",G1057&gt;=ルール設定!$B$3,N1057&gt;=ルール設定!$B$4),"○",""))</f>
        <v/>
      </c>
      <c r="S1057" s="8" t="str">
        <f aca="false">IF(A1057="","",IF(AND(Y1057&lt;&gt;"参考",G1057&gt;=ルール設定!$B$5,J1057&gt;=ルール設定!$B$6,O1057&gt;=ルール設定!$B$7),"○",""))</f>
        <v/>
      </c>
      <c r="T1057" s="8" t="n">
        <v>4</v>
      </c>
      <c r="U1057" s="8" t="n">
        <v>4</v>
      </c>
      <c r="V1057" s="8" t="str">
        <f aca="false">IF(A1057="","",IF(AND(ISNUMBER(T1057),ISNUMBER(U1057)),IF(AND(T1057&lt;=3,U1057&lt;=3),"○","×"),""))</f>
        <v>×</v>
      </c>
      <c r="W1057" s="8" t="n">
        <v>150</v>
      </c>
      <c r="X1057" s="8"/>
      <c r="Y1057" s="4" t="s">
        <v>7597</v>
      </c>
      <c r="Z1057" s="8" t="s">
        <v>8111</v>
      </c>
      <c r="AA1057" s="8" t="str">
        <v/>
      </c>
      <c r="AB1057" s="8" t="str">
        <v/>
      </c>
      <c r="AC1057" s="8" t="str">
        <v/>
      </c>
      <c r="AD1057" s="8" t="str">
        <v/>
      </c>
      <c r="AE1057" s="8" t="str">
        <v/>
      </c>
      <c r="AF1057" s="8" t="str">
        <v/>
      </c>
      <c r="AG1057" s="8" t="str">
        <v/>
      </c>
      <c r="AH1057" s="8" t="str">
        <v/>
      </c>
      <c r="AI1057" s="8" t="n">
        <v>36</v>
      </c>
      <c r="AJ1057" s="8" t="str">
        <v>60～69</v>
      </c>
      <c r="AK1057" s="8" t="str">
        <v>20～29</v>
      </c>
      <c r="AL1057" s="8" t="str">
        <v>30～39</v>
      </c>
      <c r="AM1057" s="8" t="str">
        <v>100～119</v>
      </c>
      <c r="AN1057" s="8" t="str">
        <v>15以上</v>
      </c>
      <c r="AO1057" s="8" t="str">
        <f aca="false">IF(A1057="","",IF(COUNTIFS(全馬データ!$A$2:$A$50000,A1057,全馬データ!$B$2:$B$50000,B1057,全馬データ!$C$2:$C$50000,C1057,全馬データ!$D$2:$D$50000,E1057,全馬データ!$K$2:$K$50000,"&lt;&gt;")=0,"",SUMIFS(全馬データ!$K$2:$K$50000,全馬データ!$A$2:$A$50000,A1057,全馬データ!$B$2:$B$50000,B1057,全馬データ!$C$2:$C$50000,C1057,全馬データ!$D$2:$D$50000,E1057)))</f>
        <v/>
      </c>
      <c r="AP1057" s="8" t="str">
        <f aca="false">IF(A1057="","",IF(AO1057="","欠損",IF(AO1057&lt;=1.1,"1.0～1.1",IF(AO1057&lt;1.3,"1.2",IF(AO1057&lt;1.5,"1.3～1.4",IF(AO1057&lt;2,"1.5～1.9","2.0以上"))))))</f>
        <v>欠損</v>
      </c>
      <c r="AQ1057" s="8" t="str">
        <f aca="false">IF(A1057="","",IF(ISNUMBER(SEARCH("2歳",Z1057)),"2歳戦",IF(ISNUMBER(SEARCH("3歳未勝利",Z1057)),"3歳未勝利",IF(ISNUMBER(SEARCH("未勝利",Z1057)),"その他未勝利",IF(ISNUMBER(SEARCH("G1",Z1057)),"G1",IF(ISNUMBER(SEARCH("G2",Z1057)),"G2",IF(ISNUMBER(SEARCH("G3",Z1057)),"G3",IF(ISNUMBER(SEARCH("古馬条件",Z1057)),"古馬条件戦",IF(ISNUMBER(SEARCH("重賞",Z1057)),"重賞","分類不能")))))))))</f>
        <v>分類不能</v>
      </c>
      <c r="AR1057" s="8"/>
      <c r="AS1057" s="8" t="s">
        <v>7842</v>
      </c>
      <c r="AT1057" s="8" t="s">
        <v>7843</v>
      </c>
      <c r="AU1057" s="8" t="s">
        <v>7628</v>
      </c>
      <c r="AV1057" s="8" t="s">
        <v>7629</v>
      </c>
      <c r="AW1057" s="8"/>
      <c r="AX1057" s="8"/>
      <c r="AY1057" s="8" t="s">
        <v>7610</v>
      </c>
      <c r="AZ1057" s="4" t="s">
        <v>7617</v>
      </c>
      <c r="BA1057" s="8" t="n">
        <v>1200</v>
      </c>
      <c r="BB1057" s="8" t="s">
        <v>7634</v>
      </c>
      <c r="BC1057" s="4" t="s">
        <v>7604</v>
      </c>
      <c r="BD1057" s="8" t="s">
        <v>7852</v>
      </c>
      <c r="BE1057" s="4" t="s">
        <v>7606</v>
      </c>
      <c r="BF1057" s="8" t="s">
        <v>7607</v>
      </c>
      <c r="BG1057" s="8" t="s">
        <v>7631</v>
      </c>
      <c r="BH1057" s="4" t="s">
        <v>7632</v>
      </c>
      <c r="BI1057" s="8" t="n">
        <v>15</v>
      </c>
      <c r="BJ1057" s="8" t="s">
        <v>7610</v>
      </c>
      <c r="BK1057" s="4" t="s">
        <v>7611</v>
      </c>
      <c r="BL1057" s="8" t="s">
        <v>7602</v>
      </c>
      <c r="BM1057" s="4" t="s">
        <v>7620</v>
      </c>
      <c r="BN1057" s="8"/>
      <c r="BO1057" s="8"/>
      <c r="BP1057" s="8" t="s">
        <v>7608</v>
      </c>
      <c r="BQ1057" s="8" t="str">
        <f aca="false">IF(A1057="","",AT1057)</f>
        <v>4歳以上</v>
      </c>
      <c r="BR1057" s="8" t="str">
        <f aca="false">IF(A1057="","",IF(BA1057&lt;=1200,"～1200",IF(BA1057&lt;=1500,"1300～1500",IF(BA1057=1600,"1600",IF(BA1057&lt;=1800,"1700～1800",IF(BA1057&lt;=2000,"1900～2000","2100以上"))))))</f>
        <v>～1200</v>
      </c>
      <c r="BS1057" s="8" t="str">
        <f aca="false">IF(A1057="","",IF(AX1057="G1","G1",IF(AX1057="G2","G2",IF(AX1057="G3","G3",IF(AX1057="L","L","その他")))))</f>
        <v>その他</v>
      </c>
      <c r="BT1057" s="8" t="str">
        <f aca="false">IF(A1057="","",IF(BI1057="","未結合",IF(D1057=BI1057,"一致","不一致")))</f>
        <v>一致</v>
      </c>
      <c r="BU1057" s="8" t="str">
        <f aca="false">IF(A1057="","",IF(BE1057="牝馬限定","牝馬限定","その他"))</f>
        <v>その他</v>
      </c>
    </row>
    <row r="1058" customFormat="false" ht="15.75" hidden="false" customHeight="false" outlineLevel="0" collapsed="false">
      <c r="A1058" s="6" t="n">
        <f aca="false">DATE(2026,5,10)</f>
        <v>46152</v>
      </c>
      <c r="B1058" s="4" t="s">
        <v>13</v>
      </c>
      <c r="C1058" s="8" t="n">
        <v>8</v>
      </c>
      <c r="D1058" s="8" t="n">
        <v>15</v>
      </c>
      <c r="E1058" s="8" t="n">
        <v>12</v>
      </c>
      <c r="F1058" s="4" t="s">
        <v>5723</v>
      </c>
      <c r="G1058" s="8" t="n">
        <v>65</v>
      </c>
      <c r="H1058" s="8" t="n">
        <v>1</v>
      </c>
      <c r="I1058" s="4" t="s">
        <v>7165</v>
      </c>
      <c r="J1058" s="8" t="n">
        <v>41</v>
      </c>
      <c r="K1058" s="8" t="n">
        <v>3</v>
      </c>
      <c r="L1058" s="4" t="s">
        <v>1662</v>
      </c>
      <c r="M1058" s="8" t="n">
        <v>37</v>
      </c>
      <c r="N1058" s="8" t="n">
        <f aca="false">IF(A1058="","",G1058-J1058)</f>
        <v>24</v>
      </c>
      <c r="O1058" s="8" t="n">
        <f aca="false">IF(A1058="","",J1058-M1058)</f>
        <v>4</v>
      </c>
      <c r="P1058" s="8" t="n">
        <f aca="false">IF(A1058="","",G1058+J1058)</f>
        <v>106</v>
      </c>
      <c r="Q1058" s="8" t="str">
        <f aca="false">IF(A1058="","",IF(AND(Y1058&lt;&gt;"参考",G1058&gt;=ルール設定!$B$2),"○",""))</f>
        <v/>
      </c>
      <c r="R1058" s="8" t="str">
        <f aca="false">IF(A1058="","",IF(AND(Y1058&lt;&gt;"参考",G1058&gt;=ルール設定!$B$3,N1058&gt;=ルール設定!$B$4),"○",""))</f>
        <v/>
      </c>
      <c r="S1058" s="8" t="str">
        <f aca="false">IF(A1058="","",IF(AND(Y1058&lt;&gt;"参考",G1058&gt;=ルール設定!$B$5,J1058&gt;=ルール設定!$B$6,O1058&gt;=ルール設定!$B$7),"○",""))</f>
        <v/>
      </c>
      <c r="T1058" s="8" t="n">
        <v>3</v>
      </c>
      <c r="U1058" s="8" t="n">
        <v>4</v>
      </c>
      <c r="V1058" s="8" t="str">
        <f aca="false">IF(A1058="","",IF(AND(ISNUMBER(T1058),ISNUMBER(U1058)),IF(AND(T1058&lt;=3,U1058&lt;=3),"○","×"),""))</f>
        <v>×</v>
      </c>
      <c r="W1058" s="8" t="n">
        <v>170</v>
      </c>
      <c r="X1058" s="8"/>
      <c r="Y1058" s="4" t="s">
        <v>7597</v>
      </c>
      <c r="Z1058" s="8" t="s">
        <v>8111</v>
      </c>
      <c r="AA1058" s="8" t="str">
        <v/>
      </c>
      <c r="AB1058" s="8" t="str">
        <v/>
      </c>
      <c r="AC1058" s="8" t="str">
        <v/>
      </c>
      <c r="AD1058" s="8" t="str">
        <v/>
      </c>
      <c r="AE1058" s="8" t="str">
        <v/>
      </c>
      <c r="AF1058" s="8" t="str">
        <v/>
      </c>
      <c r="AG1058" s="8" t="str">
        <v/>
      </c>
      <c r="AH1058" s="8" t="str">
        <v/>
      </c>
      <c r="AI1058" s="8" t="n">
        <v>28</v>
      </c>
      <c r="AJ1058" s="8" t="str">
        <v>60～69</v>
      </c>
      <c r="AK1058" s="8" t="str">
        <v>20～29</v>
      </c>
      <c r="AL1058" s="8" t="str">
        <v>20～29</v>
      </c>
      <c r="AM1058" s="8" t="str">
        <v>100～119</v>
      </c>
      <c r="AN1058" s="8" t="str">
        <v>15以上</v>
      </c>
      <c r="AO1058" s="8" t="str">
        <f aca="false">IF(A1058="","",IF(COUNTIFS(全馬データ!$A$2:$A$50000,A1058,全馬データ!$B$2:$B$50000,B1058,全馬データ!$C$2:$C$50000,C1058,全馬データ!$D$2:$D$50000,E1058,全馬データ!$K$2:$K$50000,"&lt;&gt;")=0,"",SUMIFS(全馬データ!$K$2:$K$50000,全馬データ!$A$2:$A$50000,A1058,全馬データ!$B$2:$B$50000,B1058,全馬データ!$C$2:$C$50000,C1058,全馬データ!$D$2:$D$50000,E1058)))</f>
        <v/>
      </c>
      <c r="AP1058" s="8" t="str">
        <f aca="false">IF(A1058="","",IF(AO1058="","欠損",IF(AO1058&lt;=1.1,"1.0～1.1",IF(AO1058&lt;1.3,"1.2",IF(AO1058&lt;1.5,"1.3～1.4",IF(AO1058&lt;2,"1.5～1.9","2.0以上"))))))</f>
        <v>欠損</v>
      </c>
      <c r="AQ1058" s="8" t="str">
        <f aca="false">IF(A1058="","",IF(ISNUMBER(SEARCH("2歳",Z1058)),"2歳戦",IF(ISNUMBER(SEARCH("3歳未勝利",Z1058)),"3歳未勝利",IF(ISNUMBER(SEARCH("未勝利",Z1058)),"その他未勝利",IF(ISNUMBER(SEARCH("G1",Z1058)),"G1",IF(ISNUMBER(SEARCH("G2",Z1058)),"G2",IF(ISNUMBER(SEARCH("G3",Z1058)),"G3",IF(ISNUMBER(SEARCH("古馬条件",Z1058)),"古馬条件戦",IF(ISNUMBER(SEARCH("重賞",Z1058)),"重賞","分類不能")))))))))</f>
        <v>分類不能</v>
      </c>
      <c r="AR1058" s="8"/>
      <c r="AS1058" s="8" t="s">
        <v>7842</v>
      </c>
      <c r="AT1058" s="8" t="s">
        <v>7843</v>
      </c>
      <c r="AU1058" s="8" t="s">
        <v>7628</v>
      </c>
      <c r="AV1058" s="8" t="s">
        <v>7629</v>
      </c>
      <c r="AW1058" s="8"/>
      <c r="AX1058" s="8"/>
      <c r="AY1058" s="8" t="s">
        <v>7610</v>
      </c>
      <c r="AZ1058" s="4" t="s">
        <v>7617</v>
      </c>
      <c r="BA1058" s="8" t="n">
        <v>1200</v>
      </c>
      <c r="BB1058" s="8" t="s">
        <v>7634</v>
      </c>
      <c r="BC1058" s="4" t="s">
        <v>7604</v>
      </c>
      <c r="BD1058" s="8" t="s">
        <v>7621</v>
      </c>
      <c r="BE1058" s="4" t="s">
        <v>7622</v>
      </c>
      <c r="BF1058" s="8" t="s">
        <v>7602</v>
      </c>
      <c r="BG1058" s="8" t="s">
        <v>7631</v>
      </c>
      <c r="BH1058" s="4" t="s">
        <v>7632</v>
      </c>
      <c r="BI1058" s="8" t="n">
        <v>15</v>
      </c>
      <c r="BJ1058" s="8" t="s">
        <v>7610</v>
      </c>
      <c r="BK1058" s="4" t="s">
        <v>7611</v>
      </c>
      <c r="BL1058" s="8" t="s">
        <v>7602</v>
      </c>
      <c r="BM1058" s="4" t="s">
        <v>7620</v>
      </c>
      <c r="BN1058" s="8"/>
      <c r="BO1058" s="8"/>
      <c r="BP1058" s="8" t="s">
        <v>7608</v>
      </c>
      <c r="BQ1058" s="8" t="str">
        <f aca="false">IF(A1058="","",AT1058)</f>
        <v>4歳以上</v>
      </c>
      <c r="BR1058" s="8" t="str">
        <f aca="false">IF(A1058="","",IF(BA1058&lt;=1200,"～1200",IF(BA1058&lt;=1500,"1300～1500",IF(BA1058=1600,"1600",IF(BA1058&lt;=1800,"1700～1800",IF(BA1058&lt;=2000,"1900～2000","2100以上"))))))</f>
        <v>～1200</v>
      </c>
      <c r="BS1058" s="8" t="str">
        <f aca="false">IF(A1058="","",IF(AX1058="G1","G1",IF(AX1058="G2","G2",IF(AX1058="G3","G3",IF(AX1058="L","L","その他")))))</f>
        <v>その他</v>
      </c>
      <c r="BT1058" s="8" t="str">
        <f aca="false">IF(A1058="","",IF(BI1058="","未結合",IF(D1058=BI1058,"一致","不一致")))</f>
        <v>一致</v>
      </c>
      <c r="BU1058" s="8" t="str">
        <f aca="false">IF(A1058="","",IF(BE1058="牝馬限定","牝馬限定","その他"))</f>
        <v>牝馬限定</v>
      </c>
    </row>
    <row r="1059" customFormat="false" ht="15.75" hidden="false" customHeight="false" outlineLevel="0" collapsed="false">
      <c r="A1059" s="6" t="n">
        <f aca="false">DATE(2026,5,10)</f>
        <v>46152</v>
      </c>
      <c r="B1059" s="4" t="s">
        <v>13</v>
      </c>
      <c r="C1059" s="8" t="n">
        <v>9</v>
      </c>
      <c r="D1059" s="8" t="n">
        <v>14</v>
      </c>
      <c r="E1059" s="8" t="n">
        <v>12</v>
      </c>
      <c r="F1059" s="4" t="s">
        <v>1971</v>
      </c>
      <c r="G1059" s="8" t="n">
        <v>56</v>
      </c>
      <c r="H1059" s="8" t="n">
        <v>10</v>
      </c>
      <c r="I1059" s="4" t="s">
        <v>115</v>
      </c>
      <c r="J1059" s="8" t="n">
        <v>47</v>
      </c>
      <c r="K1059" s="8" t="n">
        <v>3</v>
      </c>
      <c r="L1059" s="4" t="s">
        <v>2130</v>
      </c>
      <c r="M1059" s="8" t="n">
        <v>37</v>
      </c>
      <c r="N1059" s="8" t="n">
        <f aca="false">IF(A1059="","",G1059-J1059)</f>
        <v>9</v>
      </c>
      <c r="O1059" s="8" t="n">
        <f aca="false">IF(A1059="","",J1059-M1059)</f>
        <v>10</v>
      </c>
      <c r="P1059" s="8" t="n">
        <f aca="false">IF(A1059="","",G1059+J1059)</f>
        <v>103</v>
      </c>
      <c r="Q1059" s="8" t="str">
        <f aca="false">IF(A1059="","",IF(AND(Y1059&lt;&gt;"参考",G1059&gt;=ルール設定!$B$2),"○",""))</f>
        <v/>
      </c>
      <c r="R1059" s="8" t="str">
        <f aca="false">IF(A1059="","",IF(AND(Y1059&lt;&gt;"参考",G1059&gt;=ルール設定!$B$3,N1059&gt;=ルール設定!$B$4),"○",""))</f>
        <v/>
      </c>
      <c r="S1059" s="8" t="str">
        <f aca="false">IF(A1059="","",IF(AND(Y1059&lt;&gt;"参考",G1059&gt;=ルール設定!$B$5,J1059&gt;=ルール設定!$B$6,O1059&gt;=ルール設定!$B$7),"○",""))</f>
        <v/>
      </c>
      <c r="T1059" s="8" t="n">
        <v>1</v>
      </c>
      <c r="U1059" s="8" t="n">
        <v>4</v>
      </c>
      <c r="V1059" s="8" t="str">
        <f aca="false">IF(A1059="","",IF(AND(ISNUMBER(T1059),ISNUMBER(U1059)),IF(AND(T1059&lt;=3,U1059&lt;=3),"○","×"),""))</f>
        <v>×</v>
      </c>
      <c r="W1059" s="8" t="n">
        <v>210</v>
      </c>
      <c r="X1059" s="8"/>
      <c r="Y1059" s="4" t="s">
        <v>7597</v>
      </c>
      <c r="Z1059" s="8" t="s">
        <v>8111</v>
      </c>
      <c r="AA1059" s="8" t="str">
        <v/>
      </c>
      <c r="AB1059" s="8" t="str">
        <v/>
      </c>
      <c r="AC1059" s="8" t="str">
        <v/>
      </c>
      <c r="AD1059" s="8" t="str">
        <v/>
      </c>
      <c r="AE1059" s="8" t="str">
        <v/>
      </c>
      <c r="AF1059" s="8" t="str">
        <v/>
      </c>
      <c r="AG1059" s="8" t="str">
        <v/>
      </c>
      <c r="AH1059" s="8" t="str">
        <v/>
      </c>
      <c r="AI1059" s="8" t="n">
        <v>19</v>
      </c>
      <c r="AJ1059" s="8" t="str">
        <v>～59</v>
      </c>
      <c r="AK1059" s="8" t="str">
        <v>5～9</v>
      </c>
      <c r="AL1059" s="8" t="str">
        <v>10～19</v>
      </c>
      <c r="AM1059" s="8" t="str">
        <v>100～119</v>
      </c>
      <c r="AN1059" s="8" t="str">
        <v>12～14</v>
      </c>
      <c r="AO1059" s="8" t="str">
        <f aca="false">IF(A1059="","",IF(COUNTIFS(全馬データ!$A$2:$A$50000,A1059,全馬データ!$B$2:$B$50000,B1059,全馬データ!$C$2:$C$50000,C1059,全馬データ!$D$2:$D$50000,E1059,全馬データ!$K$2:$K$50000,"&lt;&gt;")=0,"",SUMIFS(全馬データ!$K$2:$K$50000,全馬データ!$A$2:$A$50000,A1059,全馬データ!$B$2:$B$50000,B1059,全馬データ!$C$2:$C$50000,C1059,全馬データ!$D$2:$D$50000,E1059)))</f>
        <v/>
      </c>
      <c r="AP1059" s="8" t="str">
        <f aca="false">IF(A1059="","",IF(AO1059="","欠損",IF(AO1059&lt;=1.1,"1.0～1.1",IF(AO1059&lt;1.3,"1.2",IF(AO1059&lt;1.5,"1.3～1.4",IF(AO1059&lt;2,"1.5～1.9","2.0以上"))))))</f>
        <v>欠損</v>
      </c>
      <c r="AQ1059" s="8" t="str">
        <f aca="false">IF(A1059="","",IF(ISNUMBER(SEARCH("2歳",Z1059)),"2歳戦",IF(ISNUMBER(SEARCH("3歳未勝利",Z1059)),"3歳未勝利",IF(ISNUMBER(SEARCH("未勝利",Z1059)),"その他未勝利",IF(ISNUMBER(SEARCH("G1",Z1059)),"G1",IF(ISNUMBER(SEARCH("G2",Z1059)),"G2",IF(ISNUMBER(SEARCH("G3",Z1059)),"G3",IF(ISNUMBER(SEARCH("古馬条件",Z1059)),"古馬条件戦",IF(ISNUMBER(SEARCH("重賞",Z1059)),"重賞","分類不能")))))))))</f>
        <v>分類不能</v>
      </c>
      <c r="AR1059" s="4" t="s">
        <v>8139</v>
      </c>
      <c r="AS1059" s="8" t="s">
        <v>7842</v>
      </c>
      <c r="AT1059" s="8" t="s">
        <v>7843</v>
      </c>
      <c r="AU1059" s="8" t="s">
        <v>7628</v>
      </c>
      <c r="AV1059" s="8" t="s">
        <v>7629</v>
      </c>
      <c r="AW1059" s="8" t="s">
        <v>7636</v>
      </c>
      <c r="AX1059" s="4" t="s">
        <v>7637</v>
      </c>
      <c r="AY1059" s="8" t="s">
        <v>7602</v>
      </c>
      <c r="AZ1059" s="4" t="s">
        <v>7603</v>
      </c>
      <c r="BA1059" s="8" t="n">
        <v>2400</v>
      </c>
      <c r="BB1059" s="8" t="s">
        <v>7634</v>
      </c>
      <c r="BC1059" s="4" t="s">
        <v>7604</v>
      </c>
      <c r="BD1059" s="8" t="s">
        <v>7625</v>
      </c>
      <c r="BE1059" s="4" t="s">
        <v>7606</v>
      </c>
      <c r="BF1059" s="8" t="s">
        <v>7607</v>
      </c>
      <c r="BG1059" s="8" t="s">
        <v>7631</v>
      </c>
      <c r="BH1059" s="4" t="s">
        <v>7632</v>
      </c>
      <c r="BI1059" s="8" t="n">
        <v>14</v>
      </c>
      <c r="BJ1059" s="8" t="s">
        <v>7610</v>
      </c>
      <c r="BK1059" s="4" t="s">
        <v>7611</v>
      </c>
      <c r="BL1059" s="8" t="s">
        <v>7602</v>
      </c>
      <c r="BM1059" s="4" t="s">
        <v>7620</v>
      </c>
      <c r="BN1059" s="8" t="s">
        <v>7631</v>
      </c>
      <c r="BO1059" s="8" t="s">
        <v>7680</v>
      </c>
      <c r="BP1059" s="8" t="s">
        <v>7608</v>
      </c>
      <c r="BQ1059" s="8" t="str">
        <f aca="false">IF(A1059="","",AT1059)</f>
        <v>4歳以上</v>
      </c>
      <c r="BR1059" s="8" t="str">
        <f aca="false">IF(A1059="","",IF(BA1059&lt;=1200,"～1200",IF(BA1059&lt;=1500,"1300～1500",IF(BA1059=1600,"1600",IF(BA1059&lt;=1800,"1700～1800",IF(BA1059&lt;=2000,"1900～2000","2100以上"))))))</f>
        <v>2100以上</v>
      </c>
      <c r="BS1059" s="8" t="str">
        <f aca="false">IF(A1059="","",IF(AX1059="G1","G1",IF(AX1059="G2","G2",IF(AX1059="G3","G3",IF(AX1059="L","L","その他")))))</f>
        <v>その他</v>
      </c>
      <c r="BT1059" s="8" t="str">
        <f aca="false">IF(A1059="","",IF(BI1059="","未結合",IF(D1059=BI1059,"一致","不一致")))</f>
        <v>一致</v>
      </c>
      <c r="BU1059" s="8" t="str">
        <f aca="false">IF(A1059="","",IF(BE1059="牝馬限定","牝馬限定","その他"))</f>
        <v>その他</v>
      </c>
    </row>
    <row r="1060" customFormat="false" ht="15.75" hidden="false" customHeight="false" outlineLevel="0" collapsed="false">
      <c r="A1060" s="6" t="n">
        <f aca="false">DATE(2026,5,10)</f>
        <v>46152</v>
      </c>
      <c r="B1060" s="4" t="s">
        <v>13</v>
      </c>
      <c r="C1060" s="8" t="n">
        <v>10</v>
      </c>
      <c r="D1060" s="8" t="n">
        <v>14</v>
      </c>
      <c r="E1060" s="8" t="n">
        <v>5</v>
      </c>
      <c r="F1060" s="4" t="s">
        <v>4952</v>
      </c>
      <c r="G1060" s="8" t="n">
        <v>65</v>
      </c>
      <c r="H1060" s="8" t="n">
        <v>3</v>
      </c>
      <c r="I1060" s="4" t="s">
        <v>4040</v>
      </c>
      <c r="J1060" s="8" t="n">
        <v>47</v>
      </c>
      <c r="K1060" s="8" t="n">
        <v>11</v>
      </c>
      <c r="L1060" s="4" t="s">
        <v>5965</v>
      </c>
      <c r="M1060" s="8" t="n">
        <v>31</v>
      </c>
      <c r="N1060" s="8" t="n">
        <f aca="false">IF(A1060="","",G1060-J1060)</f>
        <v>18</v>
      </c>
      <c r="O1060" s="8" t="n">
        <f aca="false">IF(A1060="","",J1060-M1060)</f>
        <v>16</v>
      </c>
      <c r="P1060" s="8" t="n">
        <f aca="false">IF(A1060="","",G1060+J1060)</f>
        <v>112</v>
      </c>
      <c r="Q1060" s="8" t="str">
        <f aca="false">IF(A1060="","",IF(AND(Y1060&lt;&gt;"参考",G1060&gt;=ルール設定!$B$2),"○",""))</f>
        <v/>
      </c>
      <c r="R1060" s="8" t="str">
        <f aca="false">IF(A1060="","",IF(AND(Y1060&lt;&gt;"参考",G1060&gt;=ルール設定!$B$3,N1060&gt;=ルール設定!$B$4),"○",""))</f>
        <v/>
      </c>
      <c r="S1060" s="8" t="str">
        <f aca="false">IF(A1060="","",IF(AND(Y1060&lt;&gt;"参考",G1060&gt;=ルール設定!$B$5,J1060&gt;=ルール設定!$B$6,O1060&gt;=ルール設定!$B$7),"○",""))</f>
        <v/>
      </c>
      <c r="T1060" s="8" t="n">
        <v>4</v>
      </c>
      <c r="U1060" s="8" t="n">
        <v>2</v>
      </c>
      <c r="V1060" s="8" t="str">
        <f aca="false">IF(A1060="","",IF(AND(ISNUMBER(T1060),ISNUMBER(U1060)),IF(AND(T1060&lt;=3,U1060&lt;=3),"○","×"),""))</f>
        <v>×</v>
      </c>
      <c r="W1060" s="8"/>
      <c r="X1060" s="8"/>
      <c r="Y1060" s="4" t="s">
        <v>7597</v>
      </c>
      <c r="Z1060" s="8" t="s">
        <v>8111</v>
      </c>
      <c r="AA1060" s="8" t="str">
        <v/>
      </c>
      <c r="AB1060" s="8" t="str">
        <v/>
      </c>
      <c r="AC1060" s="8" t="str">
        <v/>
      </c>
      <c r="AD1060" s="8" t="str">
        <v/>
      </c>
      <c r="AE1060" s="8" t="str">
        <v/>
      </c>
      <c r="AF1060" s="8" t="str">
        <v/>
      </c>
      <c r="AG1060" s="8" t="str">
        <v/>
      </c>
      <c r="AH1060" s="8" t="str">
        <v/>
      </c>
      <c r="AI1060" s="8" t="n">
        <v>34</v>
      </c>
      <c r="AJ1060" s="8" t="str">
        <v>60～69</v>
      </c>
      <c r="AK1060" s="8" t="str">
        <v>10～19</v>
      </c>
      <c r="AL1060" s="8" t="str">
        <v>30～39</v>
      </c>
      <c r="AM1060" s="8" t="str">
        <v>100～119</v>
      </c>
      <c r="AN1060" s="8" t="str">
        <v>12～14</v>
      </c>
      <c r="AO1060" s="8" t="str">
        <f aca="false">IF(A1060="","",IF(COUNTIFS(全馬データ!$A$2:$A$50000,A1060,全馬データ!$B$2:$B$50000,B1060,全馬データ!$C$2:$C$50000,C1060,全馬データ!$D$2:$D$50000,E1060,全馬データ!$K$2:$K$50000,"&lt;&gt;")=0,"",SUMIFS(全馬データ!$K$2:$K$50000,全馬データ!$A$2:$A$50000,A1060,全馬データ!$B$2:$B$50000,B1060,全馬データ!$C$2:$C$50000,C1060,全馬データ!$D$2:$D$50000,E1060)))</f>
        <v/>
      </c>
      <c r="AP1060" s="8" t="str">
        <f aca="false">IF(A1060="","",IF(AO1060="","欠損",IF(AO1060&lt;=1.1,"1.0～1.1",IF(AO1060&lt;1.3,"1.2",IF(AO1060&lt;1.5,"1.3～1.4",IF(AO1060&lt;2,"1.5～1.9","2.0以上"))))))</f>
        <v>欠損</v>
      </c>
      <c r="AQ1060" s="8" t="str">
        <f aca="false">IF(A1060="","",IF(ISNUMBER(SEARCH("2歳",Z1060)),"2歳戦",IF(ISNUMBER(SEARCH("3歳未勝利",Z1060)),"3歳未勝利",IF(ISNUMBER(SEARCH("未勝利",Z1060)),"その他未勝利",IF(ISNUMBER(SEARCH("G1",Z1060)),"G1",IF(ISNUMBER(SEARCH("G2",Z1060)),"G2",IF(ISNUMBER(SEARCH("G3",Z1060)),"G3",IF(ISNUMBER(SEARCH("古馬条件",Z1060)),"古馬条件戦",IF(ISNUMBER(SEARCH("重賞",Z1060)),"重賞","分類不能")))))))))</f>
        <v>分類不能</v>
      </c>
      <c r="AR1060" s="4" t="s">
        <v>8140</v>
      </c>
      <c r="AS1060" s="8" t="s">
        <v>7842</v>
      </c>
      <c r="AT1060" s="8" t="s">
        <v>7843</v>
      </c>
      <c r="AU1060" s="8" t="s">
        <v>7634</v>
      </c>
      <c r="AV1060" s="8" t="s">
        <v>7635</v>
      </c>
      <c r="AW1060" s="8" t="s">
        <v>7636</v>
      </c>
      <c r="AX1060" s="4" t="s">
        <v>7637</v>
      </c>
      <c r="AY1060" s="8" t="s">
        <v>7610</v>
      </c>
      <c r="AZ1060" s="4" t="s">
        <v>7617</v>
      </c>
      <c r="BA1060" s="8" t="n">
        <v>1800</v>
      </c>
      <c r="BB1060" s="8" t="s">
        <v>7634</v>
      </c>
      <c r="BC1060" s="4" t="s">
        <v>7604</v>
      </c>
      <c r="BD1060" s="8" t="s">
        <v>7625</v>
      </c>
      <c r="BE1060" s="4" t="s">
        <v>7606</v>
      </c>
      <c r="BF1060" s="8" t="s">
        <v>7607</v>
      </c>
      <c r="BG1060" s="8" t="s">
        <v>7602</v>
      </c>
      <c r="BH1060" s="4" t="s">
        <v>7667</v>
      </c>
      <c r="BI1060" s="8" t="n">
        <v>14</v>
      </c>
      <c r="BJ1060" s="8" t="s">
        <v>7610</v>
      </c>
      <c r="BK1060" s="4" t="s">
        <v>7611</v>
      </c>
      <c r="BL1060" s="8" t="s">
        <v>7602</v>
      </c>
      <c r="BM1060" s="4" t="s">
        <v>7620</v>
      </c>
      <c r="BN1060" s="8"/>
      <c r="BO1060" s="8"/>
      <c r="BP1060" s="8" t="s">
        <v>7608</v>
      </c>
      <c r="BQ1060" s="8" t="str">
        <f aca="false">IF(A1060="","",AT1060)</f>
        <v>4歳以上</v>
      </c>
      <c r="BR1060" s="8" t="str">
        <f aca="false">IF(A1060="","",IF(BA1060&lt;=1200,"～1200",IF(BA1060&lt;=1500,"1300～1500",IF(BA1060=1600,"1600",IF(BA1060&lt;=1800,"1700～1800",IF(BA1060&lt;=2000,"1900～2000","2100以上"))))))</f>
        <v>1700～1800</v>
      </c>
      <c r="BS1060" s="8" t="str">
        <f aca="false">IF(A1060="","",IF(AX1060="G1","G1",IF(AX1060="G2","G2",IF(AX1060="G3","G3",IF(AX1060="L","L","その他")))))</f>
        <v>その他</v>
      </c>
      <c r="BT1060" s="8" t="str">
        <f aca="false">IF(A1060="","",IF(BI1060="","未結合",IF(D1060=BI1060,"一致","不一致")))</f>
        <v>一致</v>
      </c>
      <c r="BU1060" s="8" t="str">
        <f aca="false">IF(A1060="","",IF(BE1060="牝馬限定","牝馬限定","その他"))</f>
        <v>その他</v>
      </c>
    </row>
    <row r="1061" customFormat="false" ht="15.75" hidden="false" customHeight="false" outlineLevel="0" collapsed="false">
      <c r="A1061" s="6" t="n">
        <f aca="false">DATE(2026,5,10)</f>
        <v>46152</v>
      </c>
      <c r="B1061" s="4" t="s">
        <v>13</v>
      </c>
      <c r="C1061" s="8" t="n">
        <v>11</v>
      </c>
      <c r="D1061" s="8" t="n">
        <v>14</v>
      </c>
      <c r="E1061" s="8" t="n">
        <v>11</v>
      </c>
      <c r="F1061" s="4" t="s">
        <v>554</v>
      </c>
      <c r="G1061" s="8" t="n">
        <v>62</v>
      </c>
      <c r="H1061" s="8" t="n">
        <v>5</v>
      </c>
      <c r="I1061" s="4" t="s">
        <v>5214</v>
      </c>
      <c r="J1061" s="8" t="n">
        <v>34</v>
      </c>
      <c r="K1061" s="8" t="n">
        <v>6</v>
      </c>
      <c r="L1061" s="4" t="s">
        <v>5220</v>
      </c>
      <c r="M1061" s="8" t="n">
        <v>34</v>
      </c>
      <c r="N1061" s="8" t="n">
        <f aca="false">IF(A1061="","",G1061-J1061)</f>
        <v>28</v>
      </c>
      <c r="O1061" s="8" t="n">
        <f aca="false">IF(A1061="","",J1061-M1061)</f>
        <v>0</v>
      </c>
      <c r="P1061" s="8" t="n">
        <f aca="false">IF(A1061="","",G1061+J1061)</f>
        <v>96</v>
      </c>
      <c r="Q1061" s="8" t="str">
        <f aca="false">IF(A1061="","",IF(AND(Y1061&lt;&gt;"参考",G1061&gt;=ルール設定!$B$2),"○",""))</f>
        <v/>
      </c>
      <c r="R1061" s="8" t="str">
        <f aca="false">IF(A1061="","",IF(AND(Y1061&lt;&gt;"参考",G1061&gt;=ルール設定!$B$3,N1061&gt;=ルール設定!$B$4),"○",""))</f>
        <v/>
      </c>
      <c r="S1061" s="8" t="str">
        <f aca="false">IF(A1061="","",IF(AND(Y1061&lt;&gt;"参考",G1061&gt;=ルール設定!$B$5,J1061&gt;=ルール設定!$B$6,O1061&gt;=ルール設定!$B$7),"○",""))</f>
        <v/>
      </c>
      <c r="T1061" s="8" t="n">
        <v>4</v>
      </c>
      <c r="U1061" s="8" t="n">
        <v>4</v>
      </c>
      <c r="V1061" s="8" t="str">
        <f aca="false">IF(A1061="","",IF(AND(ISNUMBER(T1061),ISNUMBER(U1061)),IF(AND(T1061&lt;=3,U1061&lt;=3),"○","×"),""))</f>
        <v>×</v>
      </c>
      <c r="W1061" s="8"/>
      <c r="X1061" s="8"/>
      <c r="Y1061" s="4" t="s">
        <v>7597</v>
      </c>
      <c r="Z1061" s="8" t="s">
        <v>8111</v>
      </c>
      <c r="AA1061" s="8" t="str">
        <v/>
      </c>
      <c r="AB1061" s="8" t="str">
        <v/>
      </c>
      <c r="AC1061" s="8" t="str">
        <v/>
      </c>
      <c r="AD1061" s="8" t="str">
        <v/>
      </c>
      <c r="AE1061" s="8" t="str">
        <v/>
      </c>
      <c r="AF1061" s="8" t="str">
        <v/>
      </c>
      <c r="AG1061" s="8" t="str">
        <v/>
      </c>
      <c r="AH1061" s="8" t="str">
        <v/>
      </c>
      <c r="AI1061" s="8" t="n">
        <v>28</v>
      </c>
      <c r="AJ1061" s="8" t="str">
        <v>60～69</v>
      </c>
      <c r="AK1061" s="8" t="str">
        <v>20～29</v>
      </c>
      <c r="AL1061" s="8" t="str">
        <v>20～29</v>
      </c>
      <c r="AM1061" s="8" t="str">
        <v>～99</v>
      </c>
      <c r="AN1061" s="8" t="str">
        <v>12～14</v>
      </c>
      <c r="AO1061" s="8" t="str">
        <f aca="false">IF(A1061="","",IF(COUNTIFS(全馬データ!$A$2:$A$50000,A1061,全馬データ!$B$2:$B$50000,B1061,全馬データ!$C$2:$C$50000,C1061,全馬データ!$D$2:$D$50000,E1061,全馬データ!$K$2:$K$50000,"&lt;&gt;")=0,"",SUMIFS(全馬データ!$K$2:$K$50000,全馬データ!$A$2:$A$50000,A1061,全馬データ!$B$2:$B$50000,B1061,全馬データ!$C$2:$C$50000,C1061,全馬データ!$D$2:$D$50000,E1061)))</f>
        <v/>
      </c>
      <c r="AP1061" s="8" t="str">
        <f aca="false">IF(A1061="","",IF(AO1061="","欠損",IF(AO1061&lt;=1.1,"1.0～1.1",IF(AO1061&lt;1.3,"1.2",IF(AO1061&lt;1.5,"1.3～1.4",IF(AO1061&lt;2,"1.5～1.9","2.0以上"))))))</f>
        <v>欠損</v>
      </c>
      <c r="AQ1061" s="8" t="str">
        <f aca="false">IF(A1061="","",IF(ISNUMBER(SEARCH("2歳",Z1061)),"2歳戦",IF(ISNUMBER(SEARCH("3歳未勝利",Z1061)),"3歳未勝利",IF(ISNUMBER(SEARCH("未勝利",Z1061)),"その他未勝利",IF(ISNUMBER(SEARCH("G1",Z1061)),"G1",IF(ISNUMBER(SEARCH("G2",Z1061)),"G2",IF(ISNUMBER(SEARCH("G3",Z1061)),"G3",IF(ISNUMBER(SEARCH("古馬条件",Z1061)),"古馬条件戦",IF(ISNUMBER(SEARCH("重賞",Z1061)),"重賞","分類不能")))))))))</f>
        <v>分類不能</v>
      </c>
      <c r="AR1061" s="4" t="s">
        <v>8141</v>
      </c>
      <c r="AS1061" s="8" t="s">
        <v>7842</v>
      </c>
      <c r="AT1061" s="8" t="s">
        <v>7843</v>
      </c>
      <c r="AU1061" s="8" t="s">
        <v>7643</v>
      </c>
      <c r="AV1061" s="4" t="s">
        <v>7644</v>
      </c>
      <c r="AW1061" s="8" t="s">
        <v>7676</v>
      </c>
      <c r="AX1061" s="8" t="s">
        <v>7677</v>
      </c>
      <c r="AY1061" s="8" t="s">
        <v>7602</v>
      </c>
      <c r="AZ1061" s="4" t="s">
        <v>7603</v>
      </c>
      <c r="BA1061" s="8" t="n">
        <v>1400</v>
      </c>
      <c r="BB1061" s="8" t="s">
        <v>7634</v>
      </c>
      <c r="BC1061" s="4" t="s">
        <v>7604</v>
      </c>
      <c r="BD1061" s="8" t="s">
        <v>7666</v>
      </c>
      <c r="BE1061" s="4" t="s">
        <v>7606</v>
      </c>
      <c r="BF1061" s="8" t="s">
        <v>7607</v>
      </c>
      <c r="BG1061" s="8" t="s">
        <v>7610</v>
      </c>
      <c r="BH1061" s="4" t="s">
        <v>7646</v>
      </c>
      <c r="BI1061" s="8" t="n">
        <v>14</v>
      </c>
      <c r="BJ1061" s="8" t="s">
        <v>7610</v>
      </c>
      <c r="BK1061" s="4" t="s">
        <v>7611</v>
      </c>
      <c r="BL1061" s="8" t="s">
        <v>7602</v>
      </c>
      <c r="BM1061" s="4" t="s">
        <v>7620</v>
      </c>
      <c r="BN1061" s="8" t="s">
        <v>7631</v>
      </c>
      <c r="BO1061" s="8" t="s">
        <v>7680</v>
      </c>
      <c r="BP1061" s="8" t="s">
        <v>7608</v>
      </c>
      <c r="BQ1061" s="8" t="str">
        <f aca="false">IF(A1061="","",AT1061)</f>
        <v>4歳以上</v>
      </c>
      <c r="BR1061" s="8" t="str">
        <f aca="false">IF(A1061="","",IF(BA1061&lt;=1200,"～1200",IF(BA1061&lt;=1500,"1300～1500",IF(BA1061=1600,"1600",IF(BA1061&lt;=1800,"1700～1800",IF(BA1061&lt;=2000,"1900～2000","2100以上"))))))</f>
        <v>1300～1500</v>
      </c>
      <c r="BS1061" s="8" t="str">
        <f aca="false">IF(A1061="","",IF(AX1061="G1","G1",IF(AX1061="G2","G2",IF(AX1061="G3","G3",IF(AX1061="L","L","その他")))))</f>
        <v>L</v>
      </c>
      <c r="BT1061" s="8" t="str">
        <f aca="false">IF(A1061="","",IF(BI1061="","未結合",IF(D1061=BI1061,"一致","不一致")))</f>
        <v>一致</v>
      </c>
      <c r="BU1061" s="8" t="str">
        <f aca="false">IF(A1061="","",IF(BE1061="牝馬限定","牝馬限定","その他"))</f>
        <v>その他</v>
      </c>
    </row>
    <row r="1062" customFormat="false" ht="15.75" hidden="false" customHeight="false" outlineLevel="0" collapsed="false">
      <c r="A1062" s="6" t="n">
        <f aca="false">DATE(2026,5,10)</f>
        <v>46152</v>
      </c>
      <c r="B1062" s="4" t="s">
        <v>13</v>
      </c>
      <c r="C1062" s="8" t="n">
        <v>12</v>
      </c>
      <c r="D1062" s="8" t="n">
        <v>13</v>
      </c>
      <c r="E1062" s="8" t="n">
        <v>10</v>
      </c>
      <c r="F1062" s="4" t="s">
        <v>2554</v>
      </c>
      <c r="G1062" s="8" t="n">
        <v>56</v>
      </c>
      <c r="H1062" s="8" t="n">
        <v>12</v>
      </c>
      <c r="I1062" s="4" t="s">
        <v>7180</v>
      </c>
      <c r="J1062" s="8" t="n">
        <v>50</v>
      </c>
      <c r="K1062" s="8" t="n">
        <v>1</v>
      </c>
      <c r="L1062" s="4" t="s">
        <v>4841</v>
      </c>
      <c r="M1062" s="8" t="n">
        <v>41</v>
      </c>
      <c r="N1062" s="8" t="n">
        <f aca="false">IF(A1062="","",G1062-J1062)</f>
        <v>6</v>
      </c>
      <c r="O1062" s="8" t="n">
        <f aca="false">IF(A1062="","",J1062-M1062)</f>
        <v>9</v>
      </c>
      <c r="P1062" s="8" t="n">
        <f aca="false">IF(A1062="","",G1062+J1062)</f>
        <v>106</v>
      </c>
      <c r="Q1062" s="8" t="str">
        <f aca="false">IF(A1062="","",IF(AND(Y1062&lt;&gt;"参考",G1062&gt;=ルール設定!$B$2),"○",""))</f>
        <v/>
      </c>
      <c r="R1062" s="8" t="str">
        <f aca="false">IF(A1062="","",IF(AND(Y1062&lt;&gt;"参考",G1062&gt;=ルール設定!$B$3,N1062&gt;=ルール設定!$B$4),"○",""))</f>
        <v/>
      </c>
      <c r="S1062" s="8" t="str">
        <f aca="false">IF(A1062="","",IF(AND(Y1062&lt;&gt;"参考",G1062&gt;=ルール設定!$B$5,J1062&gt;=ルール設定!$B$6,O1062&gt;=ルール設定!$B$7),"○",""))</f>
        <v/>
      </c>
      <c r="T1062" s="8" t="n">
        <v>3</v>
      </c>
      <c r="U1062" s="8" t="n">
        <v>2</v>
      </c>
      <c r="V1062" s="8" t="str">
        <f aca="false">IF(A1062="","",IF(AND(ISNUMBER(T1062),ISNUMBER(U1062)),IF(AND(T1062&lt;=3,U1062&lt;=3),"○","×"),""))</f>
        <v>○</v>
      </c>
      <c r="W1062" s="8" t="n">
        <v>140</v>
      </c>
      <c r="X1062" s="8" t="n">
        <v>370</v>
      </c>
      <c r="Y1062" s="4" t="s">
        <v>7597</v>
      </c>
      <c r="Z1062" s="8" t="s">
        <v>8111</v>
      </c>
      <c r="AA1062" s="8" t="str">
        <v/>
      </c>
      <c r="AB1062" s="8" t="str">
        <v/>
      </c>
      <c r="AC1062" s="8" t="str">
        <v/>
      </c>
      <c r="AD1062" s="8" t="str">
        <v/>
      </c>
      <c r="AE1062" s="8" t="str">
        <v/>
      </c>
      <c r="AF1062" s="8" t="str">
        <v/>
      </c>
      <c r="AG1062" s="8" t="str">
        <v/>
      </c>
      <c r="AH1062" s="8" t="str">
        <v/>
      </c>
      <c r="AI1062" s="8" t="n">
        <v>15</v>
      </c>
      <c r="AJ1062" s="8" t="str">
        <v>～59</v>
      </c>
      <c r="AK1062" s="8" t="str">
        <v>5～9</v>
      </c>
      <c r="AL1062" s="8" t="str">
        <v>10～19</v>
      </c>
      <c r="AM1062" s="8" t="str">
        <v>100～119</v>
      </c>
      <c r="AN1062" s="8" t="str">
        <v>12～14</v>
      </c>
      <c r="AO1062" s="8" t="str">
        <f aca="false">IF(A1062="","",IF(COUNTIFS(全馬データ!$A$2:$A$50000,A1062,全馬データ!$B$2:$B$50000,B1062,全馬データ!$C$2:$C$50000,C1062,全馬データ!$D$2:$D$50000,E1062,全馬データ!$K$2:$K$50000,"&lt;&gt;")=0,"",SUMIFS(全馬データ!$K$2:$K$50000,全馬データ!$A$2:$A$50000,A1062,全馬データ!$B$2:$B$50000,B1062,全馬データ!$C$2:$C$50000,C1062,全馬データ!$D$2:$D$50000,E1062)))</f>
        <v/>
      </c>
      <c r="AP1062" s="8" t="str">
        <f aca="false">IF(A1062="","",IF(AO1062="","欠損",IF(AO1062&lt;=1.1,"1.0～1.1",IF(AO1062&lt;1.3,"1.2",IF(AO1062&lt;1.5,"1.3～1.4",IF(AO1062&lt;2,"1.5～1.9","2.0以上"))))))</f>
        <v>欠損</v>
      </c>
      <c r="AQ1062" s="8" t="str">
        <f aca="false">IF(A1062="","",IF(ISNUMBER(SEARCH("2歳",Z1062)),"2歳戦",IF(ISNUMBER(SEARCH("3歳未勝利",Z1062)),"3歳未勝利",IF(ISNUMBER(SEARCH("未勝利",Z1062)),"その他未勝利",IF(ISNUMBER(SEARCH("G1",Z1062)),"G1",IF(ISNUMBER(SEARCH("G2",Z1062)),"G2",IF(ISNUMBER(SEARCH("G3",Z1062)),"G3",IF(ISNUMBER(SEARCH("古馬条件",Z1062)),"古馬条件戦",IF(ISNUMBER(SEARCH("重賞",Z1062)),"重賞","分類不能")))))))))</f>
        <v>分類不能</v>
      </c>
      <c r="AR1062" s="8"/>
      <c r="AS1062" s="8" t="s">
        <v>7842</v>
      </c>
      <c r="AT1062" s="8" t="s">
        <v>7843</v>
      </c>
      <c r="AU1062" s="8" t="s">
        <v>7628</v>
      </c>
      <c r="AV1062" s="8" t="s">
        <v>7629</v>
      </c>
      <c r="AW1062" s="8"/>
      <c r="AX1062" s="8"/>
      <c r="AY1062" s="8" t="s">
        <v>7602</v>
      </c>
      <c r="AZ1062" s="4" t="s">
        <v>7603</v>
      </c>
      <c r="BA1062" s="8" t="n">
        <v>1200</v>
      </c>
      <c r="BB1062" s="8" t="s">
        <v>7634</v>
      </c>
      <c r="BC1062" s="4" t="s">
        <v>7604</v>
      </c>
      <c r="BD1062" s="8" t="s">
        <v>7625</v>
      </c>
      <c r="BE1062" s="4" t="s">
        <v>7606</v>
      </c>
      <c r="BF1062" s="8" t="s">
        <v>7607</v>
      </c>
      <c r="BG1062" s="8" t="s">
        <v>7631</v>
      </c>
      <c r="BH1062" s="4" t="s">
        <v>7632</v>
      </c>
      <c r="BI1062" s="8" t="n">
        <v>13</v>
      </c>
      <c r="BJ1062" s="8" t="s">
        <v>7610</v>
      </c>
      <c r="BK1062" s="4" t="s">
        <v>7611</v>
      </c>
      <c r="BL1062" s="8" t="s">
        <v>7602</v>
      </c>
      <c r="BM1062" s="4" t="s">
        <v>7620</v>
      </c>
      <c r="BN1062" s="8" t="s">
        <v>7631</v>
      </c>
      <c r="BO1062" s="8" t="s">
        <v>7680</v>
      </c>
      <c r="BP1062" s="8" t="s">
        <v>7608</v>
      </c>
      <c r="BQ1062" s="8" t="str">
        <f aca="false">IF(A1062="","",AT1062)</f>
        <v>4歳以上</v>
      </c>
      <c r="BR1062" s="8" t="str">
        <f aca="false">IF(A1062="","",IF(BA1062&lt;=1200,"～1200",IF(BA1062&lt;=1500,"1300～1500",IF(BA1062=1600,"1600",IF(BA1062&lt;=1800,"1700～1800",IF(BA1062&lt;=2000,"1900～2000","2100以上"))))))</f>
        <v>～1200</v>
      </c>
      <c r="BS1062" s="8" t="str">
        <f aca="false">IF(A1062="","",IF(AX1062="G1","G1",IF(AX1062="G2","G2",IF(AX1062="G3","G3",IF(AX1062="L","L","その他")))))</f>
        <v>その他</v>
      </c>
      <c r="BT1062" s="8" t="str">
        <f aca="false">IF(A1062="","",IF(BI1062="","未結合",IF(D1062=BI1062,"一致","不一致")))</f>
        <v>一致</v>
      </c>
      <c r="BU1062" s="8" t="str">
        <f aca="false">IF(A1062="","",IF(BE1062="牝馬限定","牝馬限定","その他"))</f>
        <v>その他</v>
      </c>
    </row>
    <row r="1063" customFormat="false" ht="15.75" hidden="false" customHeight="false" outlineLevel="0" collapsed="false">
      <c r="A1063" s="6" t="n">
        <f aca="false">DATE(2026,5,10)</f>
        <v>46152</v>
      </c>
      <c r="B1063" s="4" t="s">
        <v>4473</v>
      </c>
      <c r="C1063" s="8" t="n">
        <v>1</v>
      </c>
      <c r="D1063" s="8" t="n">
        <v>16</v>
      </c>
      <c r="E1063" s="8" t="n">
        <v>3</v>
      </c>
      <c r="F1063" s="4" t="s">
        <v>137</v>
      </c>
      <c r="G1063" s="8" t="n">
        <v>58</v>
      </c>
      <c r="H1063" s="8" t="n">
        <v>2</v>
      </c>
      <c r="I1063" s="4" t="s">
        <v>142</v>
      </c>
      <c r="J1063" s="8" t="n">
        <v>34</v>
      </c>
      <c r="K1063" s="8" t="n">
        <v>16</v>
      </c>
      <c r="L1063" s="4" t="s">
        <v>5990</v>
      </c>
      <c r="M1063" s="8" t="n">
        <v>31</v>
      </c>
      <c r="N1063" s="8" t="n">
        <f aca="false">IF(A1063="","",G1063-J1063)</f>
        <v>24</v>
      </c>
      <c r="O1063" s="8" t="n">
        <f aca="false">IF(A1063="","",J1063-M1063)</f>
        <v>3</v>
      </c>
      <c r="P1063" s="8" t="n">
        <f aca="false">IF(A1063="","",G1063+J1063)</f>
        <v>92</v>
      </c>
      <c r="Q1063" s="8" t="str">
        <f aca="false">IF(A1063="","",IF(AND(Y1063&lt;&gt;"参考",G1063&gt;=ルール設定!$B$2),"○",""))</f>
        <v/>
      </c>
      <c r="R1063" s="8" t="str">
        <f aca="false">IF(A1063="","",IF(AND(Y1063&lt;&gt;"参考",G1063&gt;=ルール設定!$B$3,N1063&gt;=ルール設定!$B$4),"○",""))</f>
        <v/>
      </c>
      <c r="S1063" s="8" t="str">
        <f aca="false">IF(A1063="","",IF(AND(Y1063&lt;&gt;"参考",G1063&gt;=ルール設定!$B$5,J1063&gt;=ルール設定!$B$6,O1063&gt;=ルール設定!$B$7),"○",""))</f>
        <v/>
      </c>
      <c r="T1063" s="8" t="n">
        <v>4</v>
      </c>
      <c r="U1063" s="8" t="n">
        <v>2</v>
      </c>
      <c r="V1063" s="8" t="str">
        <f aca="false">IF(A1063="","",IF(AND(ISNUMBER(T1063),ISNUMBER(U1063)),IF(AND(T1063&lt;=3,U1063&lt;=3),"○","×"),""))</f>
        <v>×</v>
      </c>
      <c r="W1063" s="8"/>
      <c r="X1063" s="8"/>
      <c r="Y1063" s="4" t="s">
        <v>7597</v>
      </c>
      <c r="Z1063" s="8" t="s">
        <v>8111</v>
      </c>
      <c r="AA1063" s="8" t="str">
        <v/>
      </c>
      <c r="AB1063" s="8" t="str">
        <v/>
      </c>
      <c r="AC1063" s="8" t="str">
        <v/>
      </c>
      <c r="AD1063" s="8" t="str">
        <v/>
      </c>
      <c r="AE1063" s="8" t="str">
        <v/>
      </c>
      <c r="AF1063" s="8" t="str">
        <v/>
      </c>
      <c r="AG1063" s="8" t="str">
        <v/>
      </c>
      <c r="AH1063" s="8" t="str">
        <v/>
      </c>
      <c r="AI1063" s="8" t="n">
        <v>27</v>
      </c>
      <c r="AJ1063" s="8" t="str">
        <v>～59</v>
      </c>
      <c r="AK1063" s="8" t="str">
        <v>20～29</v>
      </c>
      <c r="AL1063" s="8" t="str">
        <v>20～29</v>
      </c>
      <c r="AM1063" s="8" t="str">
        <v>～99</v>
      </c>
      <c r="AN1063" s="8" t="str">
        <v>15以上</v>
      </c>
      <c r="AO1063" s="8" t="str">
        <f aca="false">IF(A1063="","",IF(COUNTIFS(全馬データ!$A$2:$A$50000,A1063,全馬データ!$B$2:$B$50000,B1063,全馬データ!$C$2:$C$50000,C1063,全馬データ!$D$2:$D$50000,E1063,全馬データ!$K$2:$K$50000,"&lt;&gt;")=0,"",SUMIFS(全馬データ!$K$2:$K$50000,全馬データ!$A$2:$A$50000,A1063,全馬データ!$B$2:$B$50000,B1063,全馬データ!$C$2:$C$50000,C1063,全馬データ!$D$2:$D$50000,E1063)))</f>
        <v/>
      </c>
      <c r="AP1063" s="8" t="str">
        <f aca="false">IF(A1063="","",IF(AO1063="","欠損",IF(AO1063&lt;=1.1,"1.0～1.1",IF(AO1063&lt;1.3,"1.2",IF(AO1063&lt;1.5,"1.3～1.4",IF(AO1063&lt;2,"1.5～1.9","2.0以上"))))))</f>
        <v>欠損</v>
      </c>
      <c r="AQ1063" s="8" t="str">
        <f aca="false">IF(A1063="","",IF(ISNUMBER(SEARCH("2歳",Z1063)),"2歳戦",IF(ISNUMBER(SEARCH("3歳未勝利",Z1063)),"3歳未勝利",IF(ISNUMBER(SEARCH("未勝利",Z1063)),"その他未勝利",IF(ISNUMBER(SEARCH("G1",Z1063)),"G1",IF(ISNUMBER(SEARCH("G2",Z1063)),"G2",IF(ISNUMBER(SEARCH("G3",Z1063)),"G3",IF(ISNUMBER(SEARCH("古馬条件",Z1063)),"古馬条件戦",IF(ISNUMBER(SEARCH("重賞",Z1063)),"重賞","分類不能")))))))))</f>
        <v>分類不能</v>
      </c>
      <c r="AR1063" s="8"/>
      <c r="AS1063" s="8" t="s">
        <v>7623</v>
      </c>
      <c r="AT1063" s="8" t="s">
        <v>7624</v>
      </c>
      <c r="AU1063" s="8" t="s">
        <v>7600</v>
      </c>
      <c r="AV1063" s="4" t="s">
        <v>7601</v>
      </c>
      <c r="AW1063" s="8"/>
      <c r="AX1063" s="8"/>
      <c r="AY1063" s="8" t="s">
        <v>7610</v>
      </c>
      <c r="AZ1063" s="4" t="s">
        <v>7617</v>
      </c>
      <c r="BA1063" s="8" t="n">
        <v>1600</v>
      </c>
      <c r="BB1063" s="8" t="s">
        <v>7634</v>
      </c>
      <c r="BC1063" s="4" t="s">
        <v>7604</v>
      </c>
      <c r="BD1063" s="8" t="s">
        <v>7621</v>
      </c>
      <c r="BE1063" s="4" t="s">
        <v>7622</v>
      </c>
      <c r="BF1063" s="8" t="s">
        <v>7602</v>
      </c>
      <c r="BG1063" s="8" t="s">
        <v>7608</v>
      </c>
      <c r="BH1063" s="4" t="s">
        <v>7609</v>
      </c>
      <c r="BI1063" s="8" t="n">
        <v>16</v>
      </c>
      <c r="BJ1063" s="8" t="s">
        <v>7610</v>
      </c>
      <c r="BK1063" s="4" t="s">
        <v>7611</v>
      </c>
      <c r="BL1063" s="8" t="s">
        <v>7602</v>
      </c>
      <c r="BM1063" s="4" t="s">
        <v>7620</v>
      </c>
      <c r="BN1063" s="8"/>
      <c r="BO1063" s="8"/>
      <c r="BP1063" s="8" t="s">
        <v>7602</v>
      </c>
      <c r="BQ1063" s="8" t="str">
        <f aca="false">IF(A1063="","",AT1063)</f>
        <v>3歳</v>
      </c>
      <c r="BR1063" s="8" t="str">
        <f aca="false">IF(A1063="","",IF(BA1063&lt;=1200,"～1200",IF(BA1063&lt;=1500,"1300～1500",IF(BA1063=1600,"1600",IF(BA1063&lt;=1800,"1700～1800",IF(BA1063&lt;=2000,"1900～2000","2100以上"))))))</f>
        <v>1600</v>
      </c>
      <c r="BS1063" s="8" t="str">
        <f aca="false">IF(A1063="","",IF(AX1063="G1","G1",IF(AX1063="G2","G2",IF(AX1063="G3","G3",IF(AX1063="L","L","その他")))))</f>
        <v>その他</v>
      </c>
      <c r="BT1063" s="8" t="str">
        <f aca="false">IF(A1063="","",IF(BI1063="","未結合",IF(D1063=BI1063,"一致","不一致")))</f>
        <v>一致</v>
      </c>
      <c r="BU1063" s="8" t="str">
        <f aca="false">IF(A1063="","",IF(BE1063="牝馬限定","牝馬限定","その他"))</f>
        <v>牝馬限定</v>
      </c>
    </row>
    <row r="1064" customFormat="false" ht="15.75" hidden="false" customHeight="false" outlineLevel="0" collapsed="false">
      <c r="A1064" s="6" t="n">
        <f aca="false">DATE(2026,5,10)</f>
        <v>46152</v>
      </c>
      <c r="B1064" s="4" t="s">
        <v>4473</v>
      </c>
      <c r="C1064" s="8" t="n">
        <v>2</v>
      </c>
      <c r="D1064" s="8" t="n">
        <v>16</v>
      </c>
      <c r="E1064" s="8" t="n">
        <v>16</v>
      </c>
      <c r="F1064" s="4" t="s">
        <v>7187</v>
      </c>
      <c r="G1064" s="8" t="n">
        <v>71</v>
      </c>
      <c r="H1064" s="8" t="n">
        <v>7</v>
      </c>
      <c r="I1064" s="4" t="s">
        <v>7188</v>
      </c>
      <c r="J1064" s="8" t="n">
        <v>56</v>
      </c>
      <c r="K1064" s="8" t="n">
        <v>2</v>
      </c>
      <c r="L1064" s="4" t="s">
        <v>3743</v>
      </c>
      <c r="M1064" s="8" t="n">
        <v>29</v>
      </c>
      <c r="N1064" s="8" t="n">
        <f aca="false">IF(A1064="","",G1064-J1064)</f>
        <v>15</v>
      </c>
      <c r="O1064" s="8" t="n">
        <f aca="false">IF(A1064="","",J1064-M1064)</f>
        <v>27</v>
      </c>
      <c r="P1064" s="8" t="n">
        <f aca="false">IF(A1064="","",G1064+J1064)</f>
        <v>127</v>
      </c>
      <c r="Q1064" s="8" t="str">
        <f aca="false">IF(A1064="","",IF(AND(Y1064&lt;&gt;"参考",G1064&gt;=ルール設定!$B$2),"○",""))</f>
        <v/>
      </c>
      <c r="R1064" s="8" t="str">
        <f aca="false">IF(A1064="","",IF(AND(Y1064&lt;&gt;"参考",G1064&gt;=ルール設定!$B$3,N1064&gt;=ルール設定!$B$4),"○",""))</f>
        <v/>
      </c>
      <c r="S1064" s="8" t="str">
        <f aca="false">IF(A1064="","",IF(AND(Y1064&lt;&gt;"参考",G1064&gt;=ルール設定!$B$5,J1064&gt;=ルール設定!$B$6,O1064&gt;=ルール設定!$B$7),"○",""))</f>
        <v>○</v>
      </c>
      <c r="T1064" s="8" t="n">
        <v>4</v>
      </c>
      <c r="U1064" s="8" t="n">
        <v>1</v>
      </c>
      <c r="V1064" s="8" t="str">
        <f aca="false">IF(A1064="","",IF(AND(ISNUMBER(T1064),ISNUMBER(U1064)),IF(AND(T1064&lt;=3,U1064&lt;=3),"○","×"),""))</f>
        <v>×</v>
      </c>
      <c r="W1064" s="8"/>
      <c r="X1064" s="8"/>
      <c r="Y1064" s="4" t="s">
        <v>7597</v>
      </c>
      <c r="Z1064" s="8" t="s">
        <v>8111</v>
      </c>
      <c r="AA1064" s="8" t="str">
        <v/>
      </c>
      <c r="AB1064" s="8" t="str">
        <v/>
      </c>
      <c r="AC1064" s="8" t="str">
        <v/>
      </c>
      <c r="AD1064" s="8" t="str">
        <v/>
      </c>
      <c r="AE1064" s="8" t="str">
        <v/>
      </c>
      <c r="AF1064" s="8" t="str">
        <v/>
      </c>
      <c r="AG1064" s="8" t="str">
        <v/>
      </c>
      <c r="AH1064" s="8" t="str">
        <v/>
      </c>
      <c r="AI1064" s="8" t="n">
        <v>42</v>
      </c>
      <c r="AJ1064" s="8" t="str">
        <v>70～74</v>
      </c>
      <c r="AK1064" s="8" t="str">
        <v>10～19</v>
      </c>
      <c r="AL1064" s="8" t="str">
        <v>40以上</v>
      </c>
      <c r="AM1064" s="8" t="str">
        <v>120～139</v>
      </c>
      <c r="AN1064" s="8" t="str">
        <v>15以上</v>
      </c>
      <c r="AO1064" s="8" t="str">
        <f aca="false">IF(A1064="","",IF(COUNTIFS(全馬データ!$A$2:$A$50000,A1064,全馬データ!$B$2:$B$50000,B1064,全馬データ!$C$2:$C$50000,C1064,全馬データ!$D$2:$D$50000,E1064,全馬データ!$K$2:$K$50000,"&lt;&gt;")=0,"",SUMIFS(全馬データ!$K$2:$K$50000,全馬データ!$A$2:$A$50000,A1064,全馬データ!$B$2:$B$50000,B1064,全馬データ!$C$2:$C$50000,C1064,全馬データ!$D$2:$D$50000,E1064)))</f>
        <v/>
      </c>
      <c r="AP1064" s="8" t="str">
        <f aca="false">IF(A1064="","",IF(AO1064="","欠損",IF(AO1064&lt;=1.1,"1.0～1.1",IF(AO1064&lt;1.3,"1.2",IF(AO1064&lt;1.5,"1.3～1.4",IF(AO1064&lt;2,"1.5～1.9","2.0以上"))))))</f>
        <v>欠損</v>
      </c>
      <c r="AQ1064" s="8" t="str">
        <f aca="false">IF(A1064="","",IF(ISNUMBER(SEARCH("2歳",Z1064)),"2歳戦",IF(ISNUMBER(SEARCH("3歳未勝利",Z1064)),"3歳未勝利",IF(ISNUMBER(SEARCH("未勝利",Z1064)),"その他未勝利",IF(ISNUMBER(SEARCH("G1",Z1064)),"G1",IF(ISNUMBER(SEARCH("G2",Z1064)),"G2",IF(ISNUMBER(SEARCH("G3",Z1064)),"G3",IF(ISNUMBER(SEARCH("古馬条件",Z1064)),"古馬条件戦",IF(ISNUMBER(SEARCH("重賞",Z1064)),"重賞","分類不能")))))))))</f>
        <v>分類不能</v>
      </c>
      <c r="AR1064" s="8"/>
      <c r="AS1064" s="8" t="s">
        <v>7623</v>
      </c>
      <c r="AT1064" s="8" t="s">
        <v>7624</v>
      </c>
      <c r="AU1064" s="8" t="s">
        <v>7600</v>
      </c>
      <c r="AV1064" s="4" t="s">
        <v>7601</v>
      </c>
      <c r="AW1064" s="8"/>
      <c r="AX1064" s="8"/>
      <c r="AY1064" s="8" t="s">
        <v>7610</v>
      </c>
      <c r="AZ1064" s="4" t="s">
        <v>7617</v>
      </c>
      <c r="BA1064" s="8" t="n">
        <v>1400</v>
      </c>
      <c r="BB1064" s="8" t="s">
        <v>7634</v>
      </c>
      <c r="BC1064" s="4" t="s">
        <v>7604</v>
      </c>
      <c r="BD1064" s="8" t="s">
        <v>7605</v>
      </c>
      <c r="BE1064" s="4" t="s">
        <v>7606</v>
      </c>
      <c r="BF1064" s="8" t="s">
        <v>7607</v>
      </c>
      <c r="BG1064" s="8" t="s">
        <v>7608</v>
      </c>
      <c r="BH1064" s="4" t="s">
        <v>7609</v>
      </c>
      <c r="BI1064" s="8" t="n">
        <v>16</v>
      </c>
      <c r="BJ1064" s="8" t="s">
        <v>7610</v>
      </c>
      <c r="BK1064" s="4" t="s">
        <v>7611</v>
      </c>
      <c r="BL1064" s="8" t="s">
        <v>7602</v>
      </c>
      <c r="BM1064" s="4" t="s">
        <v>7620</v>
      </c>
      <c r="BN1064" s="8"/>
      <c r="BO1064" s="8"/>
      <c r="BP1064" s="8" t="s">
        <v>7602</v>
      </c>
      <c r="BQ1064" s="8" t="str">
        <f aca="false">IF(A1064="","",AT1064)</f>
        <v>3歳</v>
      </c>
      <c r="BR1064" s="8" t="str">
        <f aca="false">IF(A1064="","",IF(BA1064&lt;=1200,"～1200",IF(BA1064&lt;=1500,"1300～1500",IF(BA1064=1600,"1600",IF(BA1064&lt;=1800,"1700～1800",IF(BA1064&lt;=2000,"1900～2000","2100以上"))))))</f>
        <v>1300～1500</v>
      </c>
      <c r="BS1064" s="8" t="str">
        <f aca="false">IF(A1064="","",IF(AX1064="G1","G1",IF(AX1064="G2","G2",IF(AX1064="G3","G3",IF(AX1064="L","L","その他")))))</f>
        <v>その他</v>
      </c>
      <c r="BT1064" s="8" t="str">
        <f aca="false">IF(A1064="","",IF(BI1064="","未結合",IF(D1064=BI1064,"一致","不一致")))</f>
        <v>一致</v>
      </c>
      <c r="BU1064" s="8" t="str">
        <f aca="false">IF(A1064="","",IF(BE1064="牝馬限定","牝馬限定","その他"))</f>
        <v>その他</v>
      </c>
    </row>
    <row r="1065" customFormat="false" ht="15.75" hidden="false" customHeight="false" outlineLevel="0" collapsed="false">
      <c r="A1065" s="6" t="n">
        <f aca="false">DATE(2026,5,10)</f>
        <v>46152</v>
      </c>
      <c r="B1065" s="4" t="s">
        <v>4473</v>
      </c>
      <c r="C1065" s="8" t="n">
        <v>3</v>
      </c>
      <c r="D1065" s="8" t="n">
        <v>18</v>
      </c>
      <c r="E1065" s="8" t="n">
        <v>10</v>
      </c>
      <c r="F1065" s="4" t="s">
        <v>2211</v>
      </c>
      <c r="G1065" s="8" t="n">
        <v>65</v>
      </c>
      <c r="H1065" s="8" t="n">
        <v>6</v>
      </c>
      <c r="I1065" s="4" t="s">
        <v>2369</v>
      </c>
      <c r="J1065" s="8" t="n">
        <v>52</v>
      </c>
      <c r="K1065" s="8" t="n">
        <v>2</v>
      </c>
      <c r="L1065" s="4" t="s">
        <v>368</v>
      </c>
      <c r="M1065" s="8" t="n">
        <v>39</v>
      </c>
      <c r="N1065" s="8" t="n">
        <f aca="false">IF(A1065="","",G1065-J1065)</f>
        <v>13</v>
      </c>
      <c r="O1065" s="8" t="n">
        <f aca="false">IF(A1065="","",J1065-M1065)</f>
        <v>13</v>
      </c>
      <c r="P1065" s="8" t="n">
        <f aca="false">IF(A1065="","",G1065+J1065)</f>
        <v>117</v>
      </c>
      <c r="Q1065" s="8" t="str">
        <f aca="false">IF(A1065="","",IF(AND(Y1065&lt;&gt;"参考",G1065&gt;=ルール設定!$B$2),"○",""))</f>
        <v/>
      </c>
      <c r="R1065" s="8" t="str">
        <f aca="false">IF(A1065="","",IF(AND(Y1065&lt;&gt;"参考",G1065&gt;=ルール設定!$B$3,N1065&gt;=ルール設定!$B$4),"○",""))</f>
        <v/>
      </c>
      <c r="S1065" s="8" t="str">
        <f aca="false">IF(A1065="","",IF(AND(Y1065&lt;&gt;"参考",G1065&gt;=ルール設定!$B$5,J1065&gt;=ルール設定!$B$6,O1065&gt;=ルール設定!$B$7),"○",""))</f>
        <v/>
      </c>
      <c r="T1065" s="8" t="n">
        <v>2</v>
      </c>
      <c r="U1065" s="8" t="n">
        <v>4</v>
      </c>
      <c r="V1065" s="8" t="str">
        <f aca="false">IF(A1065="","",IF(AND(ISNUMBER(T1065),ISNUMBER(U1065)),IF(AND(T1065&lt;=3,U1065&lt;=3),"○","×"),""))</f>
        <v>×</v>
      </c>
      <c r="W1065" s="8" t="n">
        <v>170</v>
      </c>
      <c r="X1065" s="8"/>
      <c r="Y1065" s="4" t="s">
        <v>7597</v>
      </c>
      <c r="Z1065" s="8" t="s">
        <v>8111</v>
      </c>
      <c r="AA1065" s="8" t="str">
        <v/>
      </c>
      <c r="AB1065" s="8" t="str">
        <v/>
      </c>
      <c r="AC1065" s="8" t="str">
        <v/>
      </c>
      <c r="AD1065" s="8" t="str">
        <v/>
      </c>
      <c r="AE1065" s="8" t="str">
        <v/>
      </c>
      <c r="AF1065" s="8" t="str">
        <v/>
      </c>
      <c r="AG1065" s="8" t="str">
        <v/>
      </c>
      <c r="AH1065" s="8" t="str">
        <v/>
      </c>
      <c r="AI1065" s="8" t="n">
        <v>26</v>
      </c>
      <c r="AJ1065" s="8" t="str">
        <v>60～69</v>
      </c>
      <c r="AK1065" s="8" t="str">
        <v>10～19</v>
      </c>
      <c r="AL1065" s="8" t="str">
        <v>20～29</v>
      </c>
      <c r="AM1065" s="8" t="str">
        <v>100～119</v>
      </c>
      <c r="AN1065" s="8" t="str">
        <v>15以上</v>
      </c>
      <c r="AO1065" s="8" t="str">
        <f aca="false">IF(A1065="","",IF(COUNTIFS(全馬データ!$A$2:$A$50000,A1065,全馬データ!$B$2:$B$50000,B1065,全馬データ!$C$2:$C$50000,C1065,全馬データ!$D$2:$D$50000,E1065,全馬データ!$K$2:$K$50000,"&lt;&gt;")=0,"",SUMIFS(全馬データ!$K$2:$K$50000,全馬データ!$A$2:$A$50000,A1065,全馬データ!$B$2:$B$50000,B1065,全馬データ!$C$2:$C$50000,C1065,全馬データ!$D$2:$D$50000,E1065)))</f>
        <v/>
      </c>
      <c r="AP1065" s="8" t="str">
        <f aca="false">IF(A1065="","",IF(AO1065="","欠損",IF(AO1065&lt;=1.1,"1.0～1.1",IF(AO1065&lt;1.3,"1.2",IF(AO1065&lt;1.5,"1.3～1.4",IF(AO1065&lt;2,"1.5～1.9","2.0以上"))))))</f>
        <v>欠損</v>
      </c>
      <c r="AQ1065" s="8" t="str">
        <f aca="false">IF(A1065="","",IF(ISNUMBER(SEARCH("2歳",Z1065)),"2歳戦",IF(ISNUMBER(SEARCH("3歳未勝利",Z1065)),"3歳未勝利",IF(ISNUMBER(SEARCH("未勝利",Z1065)),"その他未勝利",IF(ISNUMBER(SEARCH("G1",Z1065)),"G1",IF(ISNUMBER(SEARCH("G2",Z1065)),"G2",IF(ISNUMBER(SEARCH("G3",Z1065)),"G3",IF(ISNUMBER(SEARCH("古馬条件",Z1065)),"古馬条件戦",IF(ISNUMBER(SEARCH("重賞",Z1065)),"重賞","分類不能")))))))))</f>
        <v>分類不能</v>
      </c>
      <c r="AR1065" s="8"/>
      <c r="AS1065" s="8" t="s">
        <v>7623</v>
      </c>
      <c r="AT1065" s="8" t="s">
        <v>7624</v>
      </c>
      <c r="AU1065" s="8" t="s">
        <v>7600</v>
      </c>
      <c r="AV1065" s="4" t="s">
        <v>7601</v>
      </c>
      <c r="AW1065" s="8"/>
      <c r="AX1065" s="8"/>
      <c r="AY1065" s="8" t="s">
        <v>7602</v>
      </c>
      <c r="AZ1065" s="4" t="s">
        <v>7603</v>
      </c>
      <c r="BA1065" s="8" t="n">
        <v>1600</v>
      </c>
      <c r="BB1065" s="8" t="s">
        <v>7598</v>
      </c>
      <c r="BC1065" s="4" t="s">
        <v>7604</v>
      </c>
      <c r="BD1065" s="8" t="s">
        <v>7605</v>
      </c>
      <c r="BE1065" s="4" t="s">
        <v>7606</v>
      </c>
      <c r="BF1065" s="8" t="s">
        <v>7607</v>
      </c>
      <c r="BG1065" s="8" t="s">
        <v>7608</v>
      </c>
      <c r="BH1065" s="4" t="s">
        <v>7609</v>
      </c>
      <c r="BI1065" s="8" t="n">
        <v>18</v>
      </c>
      <c r="BJ1065" s="8" t="s">
        <v>7610</v>
      </c>
      <c r="BK1065" s="4" t="s">
        <v>7611</v>
      </c>
      <c r="BL1065" s="8" t="s">
        <v>7602</v>
      </c>
      <c r="BM1065" s="4" t="s">
        <v>7620</v>
      </c>
      <c r="BN1065" s="8" t="s">
        <v>7602</v>
      </c>
      <c r="BO1065" s="8" t="s">
        <v>7613</v>
      </c>
      <c r="BP1065" s="8" t="s">
        <v>7602</v>
      </c>
      <c r="BQ1065" s="8" t="str">
        <f aca="false">IF(A1065="","",AT1065)</f>
        <v>3歳</v>
      </c>
      <c r="BR1065" s="8" t="str">
        <f aca="false">IF(A1065="","",IF(BA1065&lt;=1200,"～1200",IF(BA1065&lt;=1500,"1300～1500",IF(BA1065=1600,"1600",IF(BA1065&lt;=1800,"1700～1800",IF(BA1065&lt;=2000,"1900～2000","2100以上"))))))</f>
        <v>1600</v>
      </c>
      <c r="BS1065" s="8" t="str">
        <f aca="false">IF(A1065="","",IF(AX1065="G1","G1",IF(AX1065="G2","G2",IF(AX1065="G3","G3",IF(AX1065="L","L","その他")))))</f>
        <v>その他</v>
      </c>
      <c r="BT1065" s="8" t="str">
        <f aca="false">IF(A1065="","",IF(BI1065="","未結合",IF(D1065=BI1065,"一致","不一致")))</f>
        <v>一致</v>
      </c>
      <c r="BU1065" s="8" t="str">
        <f aca="false">IF(A1065="","",IF(BE1065="牝馬限定","牝馬限定","その他"))</f>
        <v>その他</v>
      </c>
    </row>
    <row r="1066" customFormat="false" ht="15.75" hidden="false" customHeight="false" outlineLevel="0" collapsed="false">
      <c r="A1066" s="6" t="n">
        <f aca="false">DATE(2026,5,10)</f>
        <v>46152</v>
      </c>
      <c r="B1066" s="4" t="s">
        <v>4473</v>
      </c>
      <c r="C1066" s="8" t="n">
        <v>4</v>
      </c>
      <c r="D1066" s="8" t="n">
        <v>14</v>
      </c>
      <c r="E1066" s="8" t="n">
        <v>7</v>
      </c>
      <c r="F1066" s="4" t="s">
        <v>5806</v>
      </c>
      <c r="G1066" s="8" t="n">
        <v>67</v>
      </c>
      <c r="H1066" s="8" t="n">
        <v>4</v>
      </c>
      <c r="I1066" s="4" t="s">
        <v>7194</v>
      </c>
      <c r="J1066" s="8" t="n">
        <v>65</v>
      </c>
      <c r="K1066" s="8" t="n">
        <v>10</v>
      </c>
      <c r="L1066" s="4" t="s">
        <v>4030</v>
      </c>
      <c r="M1066" s="8" t="n">
        <v>39</v>
      </c>
      <c r="N1066" s="8" t="n">
        <f aca="false">IF(A1066="","",G1066-J1066)</f>
        <v>2</v>
      </c>
      <c r="O1066" s="8" t="n">
        <f aca="false">IF(A1066="","",J1066-M1066)</f>
        <v>26</v>
      </c>
      <c r="P1066" s="8" t="n">
        <f aca="false">IF(A1066="","",G1066+J1066)</f>
        <v>132</v>
      </c>
      <c r="Q1066" s="8" t="str">
        <f aca="false">IF(A1066="","",IF(AND(Y1066&lt;&gt;"参考",G1066&gt;=ルール設定!$B$2),"○",""))</f>
        <v/>
      </c>
      <c r="R1066" s="8" t="str">
        <f aca="false">IF(A1066="","",IF(AND(Y1066&lt;&gt;"参考",G1066&gt;=ルール設定!$B$3,N1066&gt;=ルール設定!$B$4),"○",""))</f>
        <v/>
      </c>
      <c r="S1066" s="8" t="str">
        <f aca="false">IF(A1066="","",IF(AND(Y1066&lt;&gt;"参考",G1066&gt;=ルール設定!$B$5,J1066&gt;=ルール設定!$B$6,O1066&gt;=ルール設定!$B$7),"○",""))</f>
        <v>○</v>
      </c>
      <c r="T1066" s="8" t="n">
        <v>4</v>
      </c>
      <c r="U1066" s="8" t="n">
        <v>1</v>
      </c>
      <c r="V1066" s="8" t="str">
        <f aca="false">IF(A1066="","",IF(AND(ISNUMBER(T1066),ISNUMBER(U1066)),IF(AND(T1066&lt;=3,U1066&lt;=3),"○","×"),""))</f>
        <v>×</v>
      </c>
      <c r="W1066" s="8"/>
      <c r="X1066" s="8"/>
      <c r="Y1066" s="4" t="s">
        <v>7597</v>
      </c>
      <c r="Z1066" s="8" t="s">
        <v>8111</v>
      </c>
      <c r="AA1066" s="8" t="str">
        <v/>
      </c>
      <c r="AB1066" s="8" t="str">
        <v/>
      </c>
      <c r="AC1066" s="8" t="str">
        <v/>
      </c>
      <c r="AD1066" s="8" t="str">
        <v/>
      </c>
      <c r="AE1066" s="8" t="str">
        <v/>
      </c>
      <c r="AF1066" s="8" t="str">
        <v/>
      </c>
      <c r="AG1066" s="8" t="str">
        <v/>
      </c>
      <c r="AH1066" s="8" t="str">
        <v/>
      </c>
      <c r="AI1066" s="8" t="n">
        <v>28</v>
      </c>
      <c r="AJ1066" s="8" t="str">
        <v>60～69</v>
      </c>
      <c r="AK1066" s="8" t="str">
        <v>0～4</v>
      </c>
      <c r="AL1066" s="8" t="str">
        <v>20～29</v>
      </c>
      <c r="AM1066" s="8" t="str">
        <v>120～139</v>
      </c>
      <c r="AN1066" s="8" t="str">
        <v>12～14</v>
      </c>
      <c r="AO1066" s="8" t="str">
        <f aca="false">IF(A1066="","",IF(COUNTIFS(全馬データ!$A$2:$A$50000,A1066,全馬データ!$B$2:$B$50000,B1066,全馬データ!$C$2:$C$50000,C1066,全馬データ!$D$2:$D$50000,E1066,全馬データ!$K$2:$K$50000,"&lt;&gt;")=0,"",SUMIFS(全馬データ!$K$2:$K$50000,全馬データ!$A$2:$A$50000,A1066,全馬データ!$B$2:$B$50000,B1066,全馬データ!$C$2:$C$50000,C1066,全馬データ!$D$2:$D$50000,E1066)))</f>
        <v/>
      </c>
      <c r="AP1066" s="8" t="str">
        <f aca="false">IF(A1066="","",IF(AO1066="","欠損",IF(AO1066&lt;=1.1,"1.0～1.1",IF(AO1066&lt;1.3,"1.2",IF(AO1066&lt;1.5,"1.3～1.4",IF(AO1066&lt;2,"1.5～1.9","2.0以上"))))))</f>
        <v>欠損</v>
      </c>
      <c r="AQ1066" s="8" t="str">
        <f aca="false">IF(A1066="","",IF(ISNUMBER(SEARCH("2歳",Z1066)),"2歳戦",IF(ISNUMBER(SEARCH("3歳未勝利",Z1066)),"3歳未勝利",IF(ISNUMBER(SEARCH("未勝利",Z1066)),"その他未勝利",IF(ISNUMBER(SEARCH("G1",Z1066)),"G1",IF(ISNUMBER(SEARCH("G2",Z1066)),"G2",IF(ISNUMBER(SEARCH("G3",Z1066)),"G3",IF(ISNUMBER(SEARCH("古馬条件",Z1066)),"古馬条件戦",IF(ISNUMBER(SEARCH("重賞",Z1066)),"重賞","分類不能")))))))))</f>
        <v>分類不能</v>
      </c>
      <c r="AR1066" s="8"/>
      <c r="AS1066" s="8" t="s">
        <v>7623</v>
      </c>
      <c r="AT1066" s="8" t="s">
        <v>7624</v>
      </c>
      <c r="AU1066" s="8" t="s">
        <v>7600</v>
      </c>
      <c r="AV1066" s="4" t="s">
        <v>7601</v>
      </c>
      <c r="AW1066" s="8"/>
      <c r="AX1066" s="8"/>
      <c r="AY1066" s="8" t="s">
        <v>7602</v>
      </c>
      <c r="AZ1066" s="4" t="s">
        <v>7603</v>
      </c>
      <c r="BA1066" s="8" t="n">
        <v>2000</v>
      </c>
      <c r="BB1066" s="8" t="s">
        <v>7598</v>
      </c>
      <c r="BC1066" s="4" t="s">
        <v>7604</v>
      </c>
      <c r="BD1066" s="8" t="s">
        <v>7625</v>
      </c>
      <c r="BE1066" s="4" t="s">
        <v>7606</v>
      </c>
      <c r="BF1066" s="8" t="s">
        <v>7607</v>
      </c>
      <c r="BG1066" s="8" t="s">
        <v>7608</v>
      </c>
      <c r="BH1066" s="4" t="s">
        <v>7609</v>
      </c>
      <c r="BI1066" s="8" t="n">
        <v>14</v>
      </c>
      <c r="BJ1066" s="8" t="s">
        <v>7610</v>
      </c>
      <c r="BK1066" s="4" t="s">
        <v>7611</v>
      </c>
      <c r="BL1066" s="8" t="s">
        <v>7602</v>
      </c>
      <c r="BM1066" s="4" t="s">
        <v>7620</v>
      </c>
      <c r="BN1066" s="8" t="s">
        <v>7602</v>
      </c>
      <c r="BO1066" s="8" t="s">
        <v>7613</v>
      </c>
      <c r="BP1066" s="8" t="s">
        <v>7602</v>
      </c>
      <c r="BQ1066" s="8" t="str">
        <f aca="false">IF(A1066="","",AT1066)</f>
        <v>3歳</v>
      </c>
      <c r="BR1066" s="8" t="str">
        <f aca="false">IF(A1066="","",IF(BA1066&lt;=1200,"～1200",IF(BA1066&lt;=1500,"1300～1500",IF(BA1066=1600,"1600",IF(BA1066&lt;=1800,"1700～1800",IF(BA1066&lt;=2000,"1900～2000","2100以上"))))))</f>
        <v>1900～2000</v>
      </c>
      <c r="BS1066" s="8" t="str">
        <f aca="false">IF(A1066="","",IF(AX1066="G1","G1",IF(AX1066="G2","G2",IF(AX1066="G3","G3",IF(AX1066="L","L","その他")))))</f>
        <v>その他</v>
      </c>
      <c r="BT1066" s="8" t="str">
        <f aca="false">IF(A1066="","",IF(BI1066="","未結合",IF(D1066=BI1066,"一致","不一致")))</f>
        <v>一致</v>
      </c>
      <c r="BU1066" s="8" t="str">
        <f aca="false">IF(A1066="","",IF(BE1066="牝馬限定","牝馬限定","その他"))</f>
        <v>その他</v>
      </c>
    </row>
    <row r="1067" customFormat="false" ht="15.75" hidden="false" customHeight="false" outlineLevel="0" collapsed="false">
      <c r="A1067" s="6" t="n">
        <f aca="false">DATE(2026,5,10)</f>
        <v>46152</v>
      </c>
      <c r="B1067" s="4" t="s">
        <v>4473</v>
      </c>
      <c r="C1067" s="8" t="n">
        <v>5</v>
      </c>
      <c r="D1067" s="8" t="n">
        <v>16</v>
      </c>
      <c r="E1067" s="8" t="n">
        <v>12</v>
      </c>
      <c r="F1067" s="4" t="s">
        <v>565</v>
      </c>
      <c r="G1067" s="8" t="n">
        <v>58</v>
      </c>
      <c r="H1067" s="8" t="n">
        <v>5</v>
      </c>
      <c r="I1067" s="4" t="s">
        <v>7199</v>
      </c>
      <c r="J1067" s="8" t="n">
        <v>52</v>
      </c>
      <c r="K1067" s="8" t="n">
        <v>16</v>
      </c>
      <c r="L1067" s="4" t="s">
        <v>4948</v>
      </c>
      <c r="M1067" s="8" t="n">
        <v>34</v>
      </c>
      <c r="N1067" s="8" t="n">
        <f aca="false">IF(A1067="","",G1067-J1067)</f>
        <v>6</v>
      </c>
      <c r="O1067" s="8" t="n">
        <f aca="false">IF(A1067="","",J1067-M1067)</f>
        <v>18</v>
      </c>
      <c r="P1067" s="8" t="n">
        <f aca="false">IF(A1067="","",G1067+J1067)</f>
        <v>110</v>
      </c>
      <c r="Q1067" s="8" t="str">
        <f aca="false">IF(A1067="","",IF(AND(Y1067&lt;&gt;"参考",G1067&gt;=ルール設定!$B$2),"○",""))</f>
        <v/>
      </c>
      <c r="R1067" s="8" t="str">
        <f aca="false">IF(A1067="","",IF(AND(Y1067&lt;&gt;"参考",G1067&gt;=ルール設定!$B$3,N1067&gt;=ルール設定!$B$4),"○",""))</f>
        <v/>
      </c>
      <c r="S1067" s="8" t="str">
        <f aca="false">IF(A1067="","",IF(AND(Y1067&lt;&gt;"参考",G1067&gt;=ルール設定!$B$5,J1067&gt;=ルール設定!$B$6,O1067&gt;=ルール設定!$B$7),"○",""))</f>
        <v/>
      </c>
      <c r="T1067" s="8" t="n">
        <v>4</v>
      </c>
      <c r="U1067" s="8" t="n">
        <v>4</v>
      </c>
      <c r="V1067" s="8" t="str">
        <f aca="false">IF(A1067="","",IF(AND(ISNUMBER(T1067),ISNUMBER(U1067)),IF(AND(T1067&lt;=3,U1067&lt;=3),"○","×"),""))</f>
        <v>×</v>
      </c>
      <c r="W1067" s="8"/>
      <c r="X1067" s="8"/>
      <c r="Y1067" s="4" t="s">
        <v>7597</v>
      </c>
      <c r="Z1067" s="8" t="s">
        <v>8111</v>
      </c>
      <c r="AA1067" s="8" t="str">
        <v/>
      </c>
      <c r="AB1067" s="8" t="str">
        <v/>
      </c>
      <c r="AC1067" s="8" t="str">
        <v/>
      </c>
      <c r="AD1067" s="8" t="str">
        <v/>
      </c>
      <c r="AE1067" s="8" t="str">
        <v/>
      </c>
      <c r="AF1067" s="8" t="str">
        <v/>
      </c>
      <c r="AG1067" s="8" t="str">
        <v/>
      </c>
      <c r="AH1067" s="8" t="str">
        <v/>
      </c>
      <c r="AI1067" s="8" t="n">
        <v>24</v>
      </c>
      <c r="AJ1067" s="8" t="str">
        <v>～59</v>
      </c>
      <c r="AK1067" s="8" t="str">
        <v>5～9</v>
      </c>
      <c r="AL1067" s="8" t="str">
        <v>20～29</v>
      </c>
      <c r="AM1067" s="8" t="str">
        <v>100～119</v>
      </c>
      <c r="AN1067" s="8" t="str">
        <v>15以上</v>
      </c>
      <c r="AO1067" s="8" t="str">
        <f aca="false">IF(A1067="","",IF(COUNTIFS(全馬データ!$A$2:$A$50000,A1067,全馬データ!$B$2:$B$50000,B1067,全馬データ!$C$2:$C$50000,C1067,全馬データ!$D$2:$D$50000,E1067,全馬データ!$K$2:$K$50000,"&lt;&gt;")=0,"",SUMIFS(全馬データ!$K$2:$K$50000,全馬データ!$A$2:$A$50000,A1067,全馬データ!$B$2:$B$50000,B1067,全馬データ!$C$2:$C$50000,C1067,全馬データ!$D$2:$D$50000,E1067)))</f>
        <v/>
      </c>
      <c r="AP1067" s="8" t="str">
        <f aca="false">IF(A1067="","",IF(AO1067="","欠損",IF(AO1067&lt;=1.1,"1.0～1.1",IF(AO1067&lt;1.3,"1.2",IF(AO1067&lt;1.5,"1.3～1.4",IF(AO1067&lt;2,"1.5～1.9","2.0以上"))))))</f>
        <v>欠損</v>
      </c>
      <c r="AQ1067" s="8" t="str">
        <f aca="false">IF(A1067="","",IF(ISNUMBER(SEARCH("2歳",Z1067)),"2歳戦",IF(ISNUMBER(SEARCH("3歳未勝利",Z1067)),"3歳未勝利",IF(ISNUMBER(SEARCH("未勝利",Z1067)),"その他未勝利",IF(ISNUMBER(SEARCH("G1",Z1067)),"G1",IF(ISNUMBER(SEARCH("G2",Z1067)),"G2",IF(ISNUMBER(SEARCH("G3",Z1067)),"G3",IF(ISNUMBER(SEARCH("古馬条件",Z1067)),"古馬条件戦",IF(ISNUMBER(SEARCH("重賞",Z1067)),"重賞","分類不能")))))))))</f>
        <v>分類不能</v>
      </c>
      <c r="AR1067" s="8"/>
      <c r="AS1067" s="8" t="s">
        <v>7623</v>
      </c>
      <c r="AT1067" s="8" t="s">
        <v>7624</v>
      </c>
      <c r="AU1067" s="8" t="s">
        <v>7628</v>
      </c>
      <c r="AV1067" s="8" t="s">
        <v>7629</v>
      </c>
      <c r="AW1067" s="8"/>
      <c r="AX1067" s="8"/>
      <c r="AY1067" s="8" t="s">
        <v>7610</v>
      </c>
      <c r="AZ1067" s="4" t="s">
        <v>7617</v>
      </c>
      <c r="BA1067" s="8" t="n">
        <v>2100</v>
      </c>
      <c r="BB1067" s="8" t="s">
        <v>7634</v>
      </c>
      <c r="BC1067" s="4" t="s">
        <v>7604</v>
      </c>
      <c r="BD1067" s="8" t="s">
        <v>7630</v>
      </c>
      <c r="BE1067" s="4" t="s">
        <v>7606</v>
      </c>
      <c r="BF1067" s="8" t="s">
        <v>7607</v>
      </c>
      <c r="BG1067" s="8" t="s">
        <v>7608</v>
      </c>
      <c r="BH1067" s="4" t="s">
        <v>7609</v>
      </c>
      <c r="BI1067" s="8" t="n">
        <v>16</v>
      </c>
      <c r="BJ1067" s="8" t="s">
        <v>7610</v>
      </c>
      <c r="BK1067" s="4" t="s">
        <v>7611</v>
      </c>
      <c r="BL1067" s="8" t="s">
        <v>7602</v>
      </c>
      <c r="BM1067" s="4" t="s">
        <v>7620</v>
      </c>
      <c r="BN1067" s="8"/>
      <c r="BO1067" s="8"/>
      <c r="BP1067" s="8" t="s">
        <v>7602</v>
      </c>
      <c r="BQ1067" s="8" t="str">
        <f aca="false">IF(A1067="","",AT1067)</f>
        <v>3歳</v>
      </c>
      <c r="BR1067" s="8" t="str">
        <f aca="false">IF(A1067="","",IF(BA1067&lt;=1200,"～1200",IF(BA1067&lt;=1500,"1300～1500",IF(BA1067=1600,"1600",IF(BA1067&lt;=1800,"1700～1800",IF(BA1067&lt;=2000,"1900～2000","2100以上"))))))</f>
        <v>2100以上</v>
      </c>
      <c r="BS1067" s="8" t="str">
        <f aca="false">IF(A1067="","",IF(AX1067="G1","G1",IF(AX1067="G2","G2",IF(AX1067="G3","G3",IF(AX1067="L","L","その他")))))</f>
        <v>その他</v>
      </c>
      <c r="BT1067" s="8" t="str">
        <f aca="false">IF(A1067="","",IF(BI1067="","未結合",IF(D1067=BI1067,"一致","不一致")))</f>
        <v>一致</v>
      </c>
      <c r="BU1067" s="8" t="str">
        <f aca="false">IF(A1067="","",IF(BE1067="牝馬限定","牝馬限定","その他"))</f>
        <v>その他</v>
      </c>
    </row>
    <row r="1068" customFormat="false" ht="15.75" hidden="false" customHeight="false" outlineLevel="0" collapsed="false">
      <c r="A1068" s="6" t="n">
        <f aca="false">DATE(2026,5,10)</f>
        <v>46152</v>
      </c>
      <c r="B1068" s="4" t="s">
        <v>4473</v>
      </c>
      <c r="C1068" s="8" t="n">
        <v>6</v>
      </c>
      <c r="D1068" s="8" t="n">
        <v>11</v>
      </c>
      <c r="E1068" s="8" t="n">
        <v>8</v>
      </c>
      <c r="F1068" s="4" t="s">
        <v>4737</v>
      </c>
      <c r="G1068" s="8" t="n">
        <v>65</v>
      </c>
      <c r="H1068" s="8" t="n">
        <v>6</v>
      </c>
      <c r="I1068" s="4" t="s">
        <v>7204</v>
      </c>
      <c r="J1068" s="8" t="n">
        <v>58</v>
      </c>
      <c r="K1068" s="8" t="n">
        <v>10</v>
      </c>
      <c r="L1068" s="4" t="s">
        <v>6897</v>
      </c>
      <c r="M1068" s="8" t="n">
        <v>47</v>
      </c>
      <c r="N1068" s="8" t="n">
        <f aca="false">IF(A1068="","",G1068-J1068)</f>
        <v>7</v>
      </c>
      <c r="O1068" s="8" t="n">
        <f aca="false">IF(A1068="","",J1068-M1068)</f>
        <v>11</v>
      </c>
      <c r="P1068" s="8" t="n">
        <f aca="false">IF(A1068="","",G1068+J1068)</f>
        <v>123</v>
      </c>
      <c r="Q1068" s="8" t="str">
        <f aca="false">IF(A1068="","",IF(AND(Y1068&lt;&gt;"参考",G1068&gt;=ルール設定!$B$2),"○",""))</f>
        <v/>
      </c>
      <c r="R1068" s="8" t="str">
        <f aca="false">IF(A1068="","",IF(AND(Y1068&lt;&gt;"参考",G1068&gt;=ルール設定!$B$3,N1068&gt;=ルール設定!$B$4),"○",""))</f>
        <v/>
      </c>
      <c r="S1068" s="8" t="str">
        <f aca="false">IF(A1068="","",IF(AND(Y1068&lt;&gt;"参考",G1068&gt;=ルール設定!$B$5,J1068&gt;=ルール設定!$B$6,O1068&gt;=ルール設定!$B$7),"○",""))</f>
        <v/>
      </c>
      <c r="T1068" s="8" t="n">
        <v>4</v>
      </c>
      <c r="U1068" s="8" t="n">
        <v>3</v>
      </c>
      <c r="V1068" s="8" t="str">
        <f aca="false">IF(A1068="","",IF(AND(ISNUMBER(T1068),ISNUMBER(U1068)),IF(AND(T1068&lt;=3,U1068&lt;=3),"○","×"),""))</f>
        <v>×</v>
      </c>
      <c r="W1068" s="8"/>
      <c r="X1068" s="8"/>
      <c r="Y1068" s="4" t="s">
        <v>7597</v>
      </c>
      <c r="Z1068" s="8" t="s">
        <v>8111</v>
      </c>
      <c r="AA1068" s="8" t="str">
        <v/>
      </c>
      <c r="AB1068" s="8" t="str">
        <v/>
      </c>
      <c r="AC1068" s="8" t="str">
        <v/>
      </c>
      <c r="AD1068" s="8" t="str">
        <v/>
      </c>
      <c r="AE1068" s="8" t="str">
        <v/>
      </c>
      <c r="AF1068" s="8" t="str">
        <v/>
      </c>
      <c r="AG1068" s="8" t="str">
        <v/>
      </c>
      <c r="AH1068" s="8" t="str">
        <v/>
      </c>
      <c r="AI1068" s="8" t="n">
        <v>18</v>
      </c>
      <c r="AJ1068" s="8" t="str">
        <v>60～69</v>
      </c>
      <c r="AK1068" s="8" t="str">
        <v>5～9</v>
      </c>
      <c r="AL1068" s="8" t="str">
        <v>10～19</v>
      </c>
      <c r="AM1068" s="8" t="str">
        <v>120～139</v>
      </c>
      <c r="AN1068" s="8" t="str">
        <v>8～11</v>
      </c>
      <c r="AO1068" s="8" t="str">
        <f aca="false">IF(A1068="","",IF(COUNTIFS(全馬データ!$A$2:$A$50000,A1068,全馬データ!$B$2:$B$50000,B1068,全馬データ!$C$2:$C$50000,C1068,全馬データ!$D$2:$D$50000,E1068,全馬データ!$K$2:$K$50000,"&lt;&gt;")=0,"",SUMIFS(全馬データ!$K$2:$K$50000,全馬データ!$A$2:$A$50000,A1068,全馬データ!$B$2:$B$50000,B1068,全馬データ!$C$2:$C$50000,C1068,全馬データ!$D$2:$D$50000,E1068)))</f>
        <v/>
      </c>
      <c r="AP1068" s="8" t="str">
        <f aca="false">IF(A1068="","",IF(AO1068="","欠損",IF(AO1068&lt;=1.1,"1.0～1.1",IF(AO1068&lt;1.3,"1.2",IF(AO1068&lt;1.5,"1.3～1.4",IF(AO1068&lt;2,"1.5～1.9","2.0以上"))))))</f>
        <v>欠損</v>
      </c>
      <c r="AQ1068" s="8" t="str">
        <f aca="false">IF(A1068="","",IF(ISNUMBER(SEARCH("2歳",Z1068)),"2歳戦",IF(ISNUMBER(SEARCH("3歳未勝利",Z1068)),"3歳未勝利",IF(ISNUMBER(SEARCH("未勝利",Z1068)),"その他未勝利",IF(ISNUMBER(SEARCH("G1",Z1068)),"G1",IF(ISNUMBER(SEARCH("G2",Z1068)),"G2",IF(ISNUMBER(SEARCH("G3",Z1068)),"G3",IF(ISNUMBER(SEARCH("古馬条件",Z1068)),"古馬条件戦",IF(ISNUMBER(SEARCH("重賞",Z1068)),"重賞","分類不能")))))))))</f>
        <v>分類不能</v>
      </c>
      <c r="AR1068" s="8"/>
      <c r="AS1068" s="8" t="s">
        <v>7842</v>
      </c>
      <c r="AT1068" s="8" t="s">
        <v>7843</v>
      </c>
      <c r="AU1068" s="8" t="s">
        <v>7628</v>
      </c>
      <c r="AV1068" s="8" t="s">
        <v>7629</v>
      </c>
      <c r="AW1068" s="8"/>
      <c r="AX1068" s="8"/>
      <c r="AY1068" s="8" t="s">
        <v>7602</v>
      </c>
      <c r="AZ1068" s="4" t="s">
        <v>7603</v>
      </c>
      <c r="BA1068" s="8" t="n">
        <v>1400</v>
      </c>
      <c r="BB1068" s="8" t="s">
        <v>7598</v>
      </c>
      <c r="BC1068" s="4" t="s">
        <v>7604</v>
      </c>
      <c r="BD1068" s="8" t="s">
        <v>7605</v>
      </c>
      <c r="BE1068" s="4" t="s">
        <v>7606</v>
      </c>
      <c r="BF1068" s="8" t="s">
        <v>7607</v>
      </c>
      <c r="BG1068" s="8" t="s">
        <v>7631</v>
      </c>
      <c r="BH1068" s="4" t="s">
        <v>7632</v>
      </c>
      <c r="BI1068" s="8" t="n">
        <v>11</v>
      </c>
      <c r="BJ1068" s="8" t="s">
        <v>7610</v>
      </c>
      <c r="BK1068" s="4" t="s">
        <v>7611</v>
      </c>
      <c r="BL1068" s="8" t="s">
        <v>7602</v>
      </c>
      <c r="BM1068" s="4" t="s">
        <v>7620</v>
      </c>
      <c r="BN1068" s="8" t="s">
        <v>7602</v>
      </c>
      <c r="BO1068" s="8" t="s">
        <v>7613</v>
      </c>
      <c r="BP1068" s="8" t="s">
        <v>7602</v>
      </c>
      <c r="BQ1068" s="8" t="str">
        <f aca="false">IF(A1068="","",AT1068)</f>
        <v>4歳以上</v>
      </c>
      <c r="BR1068" s="8" t="str">
        <f aca="false">IF(A1068="","",IF(BA1068&lt;=1200,"～1200",IF(BA1068&lt;=1500,"1300～1500",IF(BA1068=1600,"1600",IF(BA1068&lt;=1800,"1700～1800",IF(BA1068&lt;=2000,"1900～2000","2100以上"))))))</f>
        <v>1300～1500</v>
      </c>
      <c r="BS1068" s="8" t="str">
        <f aca="false">IF(A1068="","",IF(AX1068="G1","G1",IF(AX1068="G2","G2",IF(AX1068="G3","G3",IF(AX1068="L","L","その他")))))</f>
        <v>その他</v>
      </c>
      <c r="BT1068" s="8" t="str">
        <f aca="false">IF(A1068="","",IF(BI1068="","未結合",IF(D1068=BI1068,"一致","不一致")))</f>
        <v>一致</v>
      </c>
      <c r="BU1068" s="8" t="str">
        <f aca="false">IF(A1068="","",IF(BE1068="牝馬限定","牝馬限定","その他"))</f>
        <v>その他</v>
      </c>
    </row>
    <row r="1069" customFormat="false" ht="15.75" hidden="false" customHeight="false" outlineLevel="0" collapsed="false">
      <c r="A1069" s="6" t="n">
        <f aca="false">DATE(2026,5,10)</f>
        <v>46152</v>
      </c>
      <c r="B1069" s="4" t="s">
        <v>4473</v>
      </c>
      <c r="C1069" s="8" t="n">
        <v>7</v>
      </c>
      <c r="D1069" s="8" t="n">
        <v>16</v>
      </c>
      <c r="E1069" s="8" t="n">
        <v>12</v>
      </c>
      <c r="F1069" s="4" t="s">
        <v>7208</v>
      </c>
      <c r="G1069" s="8" t="n">
        <v>56</v>
      </c>
      <c r="H1069" s="8" t="n">
        <v>4</v>
      </c>
      <c r="I1069" s="4" t="s">
        <v>1088</v>
      </c>
      <c r="J1069" s="8" t="n">
        <v>41</v>
      </c>
      <c r="K1069" s="8" t="n">
        <v>13</v>
      </c>
      <c r="L1069" s="4" t="s">
        <v>5859</v>
      </c>
      <c r="M1069" s="8" t="n">
        <v>39</v>
      </c>
      <c r="N1069" s="8" t="n">
        <f aca="false">IF(A1069="","",G1069-J1069)</f>
        <v>15</v>
      </c>
      <c r="O1069" s="8" t="n">
        <f aca="false">IF(A1069="","",J1069-M1069)</f>
        <v>2</v>
      </c>
      <c r="P1069" s="8" t="n">
        <f aca="false">IF(A1069="","",G1069+J1069)</f>
        <v>97</v>
      </c>
      <c r="Q1069" s="8" t="str">
        <f aca="false">IF(A1069="","",IF(AND(Y1069&lt;&gt;"参考",G1069&gt;=ルール設定!$B$2),"○",""))</f>
        <v/>
      </c>
      <c r="R1069" s="8" t="str">
        <f aca="false">IF(A1069="","",IF(AND(Y1069&lt;&gt;"参考",G1069&gt;=ルール設定!$B$3,N1069&gt;=ルール設定!$B$4),"○",""))</f>
        <v/>
      </c>
      <c r="S1069" s="8" t="str">
        <f aca="false">IF(A1069="","",IF(AND(Y1069&lt;&gt;"参考",G1069&gt;=ルール設定!$B$5,J1069&gt;=ルール設定!$B$6,O1069&gt;=ルール設定!$B$7),"○",""))</f>
        <v/>
      </c>
      <c r="T1069" s="8" t="n">
        <v>4</v>
      </c>
      <c r="U1069" s="8" t="n">
        <v>4</v>
      </c>
      <c r="V1069" s="8" t="str">
        <f aca="false">IF(A1069="","",IF(AND(ISNUMBER(T1069),ISNUMBER(U1069)),IF(AND(T1069&lt;=3,U1069&lt;=3),"○","×"),""))</f>
        <v>×</v>
      </c>
      <c r="W1069" s="8"/>
      <c r="X1069" s="8"/>
      <c r="Y1069" s="4" t="s">
        <v>7597</v>
      </c>
      <c r="Z1069" s="8" t="s">
        <v>8111</v>
      </c>
      <c r="AA1069" s="8" t="str">
        <v/>
      </c>
      <c r="AB1069" s="8" t="str">
        <v/>
      </c>
      <c r="AC1069" s="8" t="str">
        <v/>
      </c>
      <c r="AD1069" s="8" t="str">
        <v/>
      </c>
      <c r="AE1069" s="8" t="str">
        <v/>
      </c>
      <c r="AF1069" s="8" t="str">
        <v/>
      </c>
      <c r="AG1069" s="8" t="str">
        <v/>
      </c>
      <c r="AH1069" s="8" t="str">
        <v/>
      </c>
      <c r="AI1069" s="8" t="n">
        <v>17</v>
      </c>
      <c r="AJ1069" s="8" t="str">
        <v>～59</v>
      </c>
      <c r="AK1069" s="8" t="str">
        <v>10～19</v>
      </c>
      <c r="AL1069" s="8" t="str">
        <v>10～19</v>
      </c>
      <c r="AM1069" s="8" t="str">
        <v>～99</v>
      </c>
      <c r="AN1069" s="8" t="str">
        <v>15以上</v>
      </c>
      <c r="AO1069" s="8" t="str">
        <f aca="false">IF(A1069="","",IF(COUNTIFS(全馬データ!$A$2:$A$50000,A1069,全馬データ!$B$2:$B$50000,B1069,全馬データ!$C$2:$C$50000,C1069,全馬データ!$D$2:$D$50000,E1069,全馬データ!$K$2:$K$50000,"&lt;&gt;")=0,"",SUMIFS(全馬データ!$K$2:$K$50000,全馬データ!$A$2:$A$50000,A1069,全馬データ!$B$2:$B$50000,B1069,全馬データ!$C$2:$C$50000,C1069,全馬データ!$D$2:$D$50000,E1069)))</f>
        <v/>
      </c>
      <c r="AP1069" s="8" t="str">
        <f aca="false">IF(A1069="","",IF(AO1069="","欠損",IF(AO1069&lt;=1.1,"1.0～1.1",IF(AO1069&lt;1.3,"1.2",IF(AO1069&lt;1.5,"1.3～1.4",IF(AO1069&lt;2,"1.5～1.9","2.0以上"))))))</f>
        <v>欠損</v>
      </c>
      <c r="AQ1069" s="8" t="str">
        <f aca="false">IF(A1069="","",IF(ISNUMBER(SEARCH("2歳",Z1069)),"2歳戦",IF(ISNUMBER(SEARCH("3歳未勝利",Z1069)),"3歳未勝利",IF(ISNUMBER(SEARCH("未勝利",Z1069)),"その他未勝利",IF(ISNUMBER(SEARCH("G1",Z1069)),"G1",IF(ISNUMBER(SEARCH("G2",Z1069)),"G2",IF(ISNUMBER(SEARCH("G3",Z1069)),"G3",IF(ISNUMBER(SEARCH("古馬条件",Z1069)),"古馬条件戦",IF(ISNUMBER(SEARCH("重賞",Z1069)),"重賞","分類不能")))))))))</f>
        <v>分類不能</v>
      </c>
      <c r="AR1069" s="8"/>
      <c r="AS1069" s="8" t="s">
        <v>7842</v>
      </c>
      <c r="AT1069" s="8" t="s">
        <v>7843</v>
      </c>
      <c r="AU1069" s="8" t="s">
        <v>7628</v>
      </c>
      <c r="AV1069" s="8" t="s">
        <v>7629</v>
      </c>
      <c r="AW1069" s="8"/>
      <c r="AX1069" s="8"/>
      <c r="AY1069" s="8" t="s">
        <v>7610</v>
      </c>
      <c r="AZ1069" s="4" t="s">
        <v>7617</v>
      </c>
      <c r="BA1069" s="8" t="n">
        <v>1300</v>
      </c>
      <c r="BB1069" s="8" t="s">
        <v>7634</v>
      </c>
      <c r="BC1069" s="4" t="s">
        <v>7604</v>
      </c>
      <c r="BD1069" s="8" t="s">
        <v>7605</v>
      </c>
      <c r="BE1069" s="4" t="s">
        <v>7606</v>
      </c>
      <c r="BF1069" s="8" t="s">
        <v>7607</v>
      </c>
      <c r="BG1069" s="8" t="s">
        <v>7631</v>
      </c>
      <c r="BH1069" s="4" t="s">
        <v>7632</v>
      </c>
      <c r="BI1069" s="8" t="n">
        <v>16</v>
      </c>
      <c r="BJ1069" s="8" t="s">
        <v>7610</v>
      </c>
      <c r="BK1069" s="4" t="s">
        <v>7611</v>
      </c>
      <c r="BL1069" s="8" t="s">
        <v>7602</v>
      </c>
      <c r="BM1069" s="4" t="s">
        <v>7620</v>
      </c>
      <c r="BN1069" s="8"/>
      <c r="BO1069" s="8"/>
      <c r="BP1069" s="8" t="s">
        <v>7602</v>
      </c>
      <c r="BQ1069" s="8" t="str">
        <f aca="false">IF(A1069="","",AT1069)</f>
        <v>4歳以上</v>
      </c>
      <c r="BR1069" s="8" t="str">
        <f aca="false">IF(A1069="","",IF(BA1069&lt;=1200,"～1200",IF(BA1069&lt;=1500,"1300～1500",IF(BA1069=1600,"1600",IF(BA1069&lt;=1800,"1700～1800",IF(BA1069&lt;=2000,"1900～2000","2100以上"))))))</f>
        <v>1300～1500</v>
      </c>
      <c r="BS1069" s="8" t="str">
        <f aca="false">IF(A1069="","",IF(AX1069="G1","G1",IF(AX1069="G2","G2",IF(AX1069="G3","G3",IF(AX1069="L","L","その他")))))</f>
        <v>その他</v>
      </c>
      <c r="BT1069" s="8" t="str">
        <f aca="false">IF(A1069="","",IF(BI1069="","未結合",IF(D1069=BI1069,"一致","不一致")))</f>
        <v>一致</v>
      </c>
      <c r="BU1069" s="8" t="str">
        <f aca="false">IF(A1069="","",IF(BE1069="牝馬限定","牝馬限定","その他"))</f>
        <v>その他</v>
      </c>
    </row>
    <row r="1070" customFormat="false" ht="15.75" hidden="false" customHeight="false" outlineLevel="0" collapsed="false">
      <c r="A1070" s="6" t="n">
        <f aca="false">DATE(2026,5,10)</f>
        <v>46152</v>
      </c>
      <c r="B1070" s="4" t="s">
        <v>4473</v>
      </c>
      <c r="C1070" s="8" t="n">
        <v>8</v>
      </c>
      <c r="D1070" s="8" t="n">
        <v>11</v>
      </c>
      <c r="E1070" s="8" t="n">
        <v>7</v>
      </c>
      <c r="F1070" s="4" t="s">
        <v>7216</v>
      </c>
      <c r="G1070" s="8" t="n">
        <v>65</v>
      </c>
      <c r="H1070" s="8" t="n">
        <v>3</v>
      </c>
      <c r="I1070" s="4" t="s">
        <v>4543</v>
      </c>
      <c r="J1070" s="8" t="n">
        <v>41</v>
      </c>
      <c r="K1070" s="8" t="n">
        <v>1</v>
      </c>
      <c r="L1070" s="4" t="s">
        <v>6538</v>
      </c>
      <c r="M1070" s="8" t="n">
        <v>37</v>
      </c>
      <c r="N1070" s="8" t="n">
        <f aca="false">IF(A1070="","",G1070-J1070)</f>
        <v>24</v>
      </c>
      <c r="O1070" s="8" t="n">
        <f aca="false">IF(A1070="","",J1070-M1070)</f>
        <v>4</v>
      </c>
      <c r="P1070" s="8" t="n">
        <f aca="false">IF(A1070="","",G1070+J1070)</f>
        <v>106</v>
      </c>
      <c r="Q1070" s="8" t="str">
        <f aca="false">IF(A1070="","",IF(AND(Y1070&lt;&gt;"参考",G1070&gt;=ルール設定!$B$2),"○",""))</f>
        <v/>
      </c>
      <c r="R1070" s="8" t="str">
        <f aca="false">IF(A1070="","",IF(AND(Y1070&lt;&gt;"参考",G1070&gt;=ルール設定!$B$3,N1070&gt;=ルール設定!$B$4),"○",""))</f>
        <v/>
      </c>
      <c r="S1070" s="8" t="str">
        <f aca="false">IF(A1070="","",IF(AND(Y1070&lt;&gt;"参考",G1070&gt;=ルール設定!$B$5,J1070&gt;=ルール設定!$B$6,O1070&gt;=ルール設定!$B$7),"○",""))</f>
        <v/>
      </c>
      <c r="T1070" s="8" t="n">
        <v>1</v>
      </c>
      <c r="U1070" s="8" t="n">
        <v>2</v>
      </c>
      <c r="V1070" s="8" t="str">
        <f aca="false">IF(A1070="","",IF(AND(ISNUMBER(T1070),ISNUMBER(U1070)),IF(AND(T1070&lt;=3,U1070&lt;=3),"○","×"),""))</f>
        <v>○</v>
      </c>
      <c r="W1070" s="8" t="n">
        <v>110</v>
      </c>
      <c r="X1070" s="8" t="n">
        <v>560</v>
      </c>
      <c r="Y1070" s="4" t="s">
        <v>7597</v>
      </c>
      <c r="Z1070" s="8" t="s">
        <v>8111</v>
      </c>
      <c r="AA1070" s="8" t="str">
        <v/>
      </c>
      <c r="AB1070" s="8" t="str">
        <v/>
      </c>
      <c r="AC1070" s="8" t="str">
        <v/>
      </c>
      <c r="AD1070" s="8" t="str">
        <v/>
      </c>
      <c r="AE1070" s="8" t="str">
        <v/>
      </c>
      <c r="AF1070" s="8" t="str">
        <v/>
      </c>
      <c r="AG1070" s="8" t="str">
        <v/>
      </c>
      <c r="AH1070" s="8" t="str">
        <v/>
      </c>
      <c r="AI1070" s="8" t="n">
        <v>28</v>
      </c>
      <c r="AJ1070" s="8" t="str">
        <v>60～69</v>
      </c>
      <c r="AK1070" s="8" t="str">
        <v>20～29</v>
      </c>
      <c r="AL1070" s="8" t="str">
        <v>20～29</v>
      </c>
      <c r="AM1070" s="8" t="str">
        <v>100～119</v>
      </c>
      <c r="AN1070" s="8" t="str">
        <v>8～11</v>
      </c>
      <c r="AO1070" s="8" t="str">
        <f aca="false">IF(A1070="","",IF(COUNTIFS(全馬データ!$A$2:$A$50000,A1070,全馬データ!$B$2:$B$50000,B1070,全馬データ!$C$2:$C$50000,C1070,全馬データ!$D$2:$D$50000,E1070,全馬データ!$K$2:$K$50000,"&lt;&gt;")=0,"",SUMIFS(全馬データ!$K$2:$K$50000,全馬データ!$A$2:$A$50000,A1070,全馬データ!$B$2:$B$50000,B1070,全馬データ!$C$2:$C$50000,C1070,全馬データ!$D$2:$D$50000,E1070)))</f>
        <v/>
      </c>
      <c r="AP1070" s="8" t="str">
        <f aca="false">IF(A1070="","",IF(AO1070="","欠損",IF(AO1070&lt;=1.1,"1.0～1.1",IF(AO1070&lt;1.3,"1.2",IF(AO1070&lt;1.5,"1.3～1.4",IF(AO1070&lt;2,"1.5～1.9","2.0以上"))))))</f>
        <v>欠損</v>
      </c>
      <c r="AQ1070" s="8" t="str">
        <f aca="false">IF(A1070="","",IF(ISNUMBER(SEARCH("2歳",Z1070)),"2歳戦",IF(ISNUMBER(SEARCH("3歳未勝利",Z1070)),"3歳未勝利",IF(ISNUMBER(SEARCH("未勝利",Z1070)),"その他未勝利",IF(ISNUMBER(SEARCH("G1",Z1070)),"G1",IF(ISNUMBER(SEARCH("G2",Z1070)),"G2",IF(ISNUMBER(SEARCH("G3",Z1070)),"G3",IF(ISNUMBER(SEARCH("古馬条件",Z1070)),"古馬条件戦",IF(ISNUMBER(SEARCH("重賞",Z1070)),"重賞","分類不能")))))))))</f>
        <v>分類不能</v>
      </c>
      <c r="AR1070" s="8"/>
      <c r="AS1070" s="8" t="s">
        <v>7842</v>
      </c>
      <c r="AT1070" s="8" t="s">
        <v>7843</v>
      </c>
      <c r="AU1070" s="8" t="s">
        <v>7634</v>
      </c>
      <c r="AV1070" s="8" t="s">
        <v>7635</v>
      </c>
      <c r="AW1070" s="8"/>
      <c r="AX1070" s="8"/>
      <c r="AY1070" s="8" t="s">
        <v>7602</v>
      </c>
      <c r="AZ1070" s="4" t="s">
        <v>7603</v>
      </c>
      <c r="BA1070" s="8" t="n">
        <v>1400</v>
      </c>
      <c r="BB1070" s="8" t="s">
        <v>7598</v>
      </c>
      <c r="BC1070" s="4" t="s">
        <v>7604</v>
      </c>
      <c r="BD1070" s="8" t="s">
        <v>7605</v>
      </c>
      <c r="BE1070" s="4" t="s">
        <v>7606</v>
      </c>
      <c r="BF1070" s="8" t="s">
        <v>7607</v>
      </c>
      <c r="BG1070" s="8" t="s">
        <v>7631</v>
      </c>
      <c r="BH1070" s="4" t="s">
        <v>7632</v>
      </c>
      <c r="BI1070" s="8" t="n">
        <v>11</v>
      </c>
      <c r="BJ1070" s="8" t="s">
        <v>7610</v>
      </c>
      <c r="BK1070" s="4" t="s">
        <v>7611</v>
      </c>
      <c r="BL1070" s="8" t="s">
        <v>7602</v>
      </c>
      <c r="BM1070" s="4" t="s">
        <v>7620</v>
      </c>
      <c r="BN1070" s="8" t="s">
        <v>7602</v>
      </c>
      <c r="BO1070" s="8" t="s">
        <v>7613</v>
      </c>
      <c r="BP1070" s="8" t="s">
        <v>7602</v>
      </c>
      <c r="BQ1070" s="8" t="str">
        <f aca="false">IF(A1070="","",AT1070)</f>
        <v>4歳以上</v>
      </c>
      <c r="BR1070" s="8" t="str">
        <f aca="false">IF(A1070="","",IF(BA1070&lt;=1200,"～1200",IF(BA1070&lt;=1500,"1300～1500",IF(BA1070=1600,"1600",IF(BA1070&lt;=1800,"1700～1800",IF(BA1070&lt;=2000,"1900～2000","2100以上"))))))</f>
        <v>1300～1500</v>
      </c>
      <c r="BS1070" s="8" t="str">
        <f aca="false">IF(A1070="","",IF(AX1070="G1","G1",IF(AX1070="G2","G2",IF(AX1070="G3","G3",IF(AX1070="L","L","その他")))))</f>
        <v>その他</v>
      </c>
      <c r="BT1070" s="8" t="str">
        <f aca="false">IF(A1070="","",IF(BI1070="","未結合",IF(D1070=BI1070,"一致","不一致")))</f>
        <v>一致</v>
      </c>
      <c r="BU1070" s="8" t="str">
        <f aca="false">IF(A1070="","",IF(BE1070="牝馬限定","牝馬限定","その他"))</f>
        <v>その他</v>
      </c>
    </row>
    <row r="1071" customFormat="false" ht="15.75" hidden="false" customHeight="false" outlineLevel="0" collapsed="false">
      <c r="A1071" s="6" t="n">
        <f aca="false">DATE(2026,5,10)</f>
        <v>46152</v>
      </c>
      <c r="B1071" s="4" t="s">
        <v>4473</v>
      </c>
      <c r="C1071" s="8" t="n">
        <v>9</v>
      </c>
      <c r="D1071" s="8" t="n">
        <v>9</v>
      </c>
      <c r="E1071" s="8" t="n">
        <v>3</v>
      </c>
      <c r="F1071" s="4" t="s">
        <v>7220</v>
      </c>
      <c r="G1071" s="8" t="n">
        <v>71</v>
      </c>
      <c r="H1071" s="8" t="n">
        <v>8</v>
      </c>
      <c r="I1071" s="4" t="s">
        <v>5888</v>
      </c>
      <c r="J1071" s="8" t="n">
        <v>52</v>
      </c>
      <c r="K1071" s="8" t="n">
        <v>1</v>
      </c>
      <c r="L1071" s="4" t="s">
        <v>4946</v>
      </c>
      <c r="M1071" s="8" t="n">
        <v>39</v>
      </c>
      <c r="N1071" s="8" t="n">
        <f aca="false">IF(A1071="","",G1071-J1071)</f>
        <v>19</v>
      </c>
      <c r="O1071" s="8" t="n">
        <f aca="false">IF(A1071="","",J1071-M1071)</f>
        <v>13</v>
      </c>
      <c r="P1071" s="8" t="n">
        <f aca="false">IF(A1071="","",G1071+J1071)</f>
        <v>123</v>
      </c>
      <c r="Q1071" s="8" t="str">
        <f aca="false">IF(A1071="","",IF(AND(Y1071&lt;&gt;"参考",G1071&gt;=ルール設定!$B$2),"○",""))</f>
        <v/>
      </c>
      <c r="R1071" s="8" t="str">
        <f aca="false">IF(A1071="","",IF(AND(Y1071&lt;&gt;"参考",G1071&gt;=ルール設定!$B$3,N1071&gt;=ルール設定!$B$4),"○",""))</f>
        <v/>
      </c>
      <c r="S1071" s="8" t="str">
        <f aca="false">IF(A1071="","",IF(AND(Y1071&lt;&gt;"参考",G1071&gt;=ルール設定!$B$5,J1071&gt;=ルール設定!$B$6,O1071&gt;=ルール設定!$B$7),"○",""))</f>
        <v/>
      </c>
      <c r="T1071" s="8" t="n">
        <v>4</v>
      </c>
      <c r="U1071" s="8" t="n">
        <v>2</v>
      </c>
      <c r="V1071" s="8" t="str">
        <f aca="false">IF(A1071="","",IF(AND(ISNUMBER(T1071),ISNUMBER(U1071)),IF(AND(T1071&lt;=3,U1071&lt;=3),"○","×"),""))</f>
        <v>×</v>
      </c>
      <c r="W1071" s="8"/>
      <c r="X1071" s="8"/>
      <c r="Y1071" s="4" t="s">
        <v>7597</v>
      </c>
      <c r="Z1071" s="8" t="s">
        <v>8111</v>
      </c>
      <c r="AA1071" s="8" t="str">
        <v/>
      </c>
      <c r="AB1071" s="8" t="str">
        <v/>
      </c>
      <c r="AC1071" s="8" t="str">
        <v/>
      </c>
      <c r="AD1071" s="8" t="str">
        <v/>
      </c>
      <c r="AE1071" s="8" t="str">
        <v/>
      </c>
      <c r="AF1071" s="8" t="str">
        <v/>
      </c>
      <c r="AG1071" s="8" t="str">
        <v/>
      </c>
      <c r="AH1071" s="8" t="str">
        <v/>
      </c>
      <c r="AI1071" s="8" t="n">
        <v>32</v>
      </c>
      <c r="AJ1071" s="8" t="str">
        <v>70～74</v>
      </c>
      <c r="AK1071" s="8" t="str">
        <v>10～19</v>
      </c>
      <c r="AL1071" s="8" t="str">
        <v>30～39</v>
      </c>
      <c r="AM1071" s="8" t="str">
        <v>120～139</v>
      </c>
      <c r="AN1071" s="8" t="str">
        <v>8～11</v>
      </c>
      <c r="AO1071" s="8" t="str">
        <f aca="false">IF(A1071="","",IF(COUNTIFS(全馬データ!$A$2:$A$50000,A1071,全馬データ!$B$2:$B$50000,B1071,全馬データ!$C$2:$C$50000,C1071,全馬データ!$D$2:$D$50000,E1071,全馬データ!$K$2:$K$50000,"&lt;&gt;")=0,"",SUMIFS(全馬データ!$K$2:$K$50000,全馬データ!$A$2:$A$50000,A1071,全馬データ!$B$2:$B$50000,B1071,全馬データ!$C$2:$C$50000,C1071,全馬データ!$D$2:$D$50000,E1071)))</f>
        <v/>
      </c>
      <c r="AP1071" s="8" t="str">
        <f aca="false">IF(A1071="","",IF(AO1071="","欠損",IF(AO1071&lt;=1.1,"1.0～1.1",IF(AO1071&lt;1.3,"1.2",IF(AO1071&lt;1.5,"1.3～1.4",IF(AO1071&lt;2,"1.5～1.9","2.0以上"))))))</f>
        <v>欠損</v>
      </c>
      <c r="AQ1071" s="8" t="str">
        <f aca="false">IF(A1071="","",IF(ISNUMBER(SEARCH("2歳",Z1071)),"2歳戦",IF(ISNUMBER(SEARCH("3歳未勝利",Z1071)),"3歳未勝利",IF(ISNUMBER(SEARCH("未勝利",Z1071)),"その他未勝利",IF(ISNUMBER(SEARCH("G1",Z1071)),"G1",IF(ISNUMBER(SEARCH("G2",Z1071)),"G2",IF(ISNUMBER(SEARCH("G3",Z1071)),"G3",IF(ISNUMBER(SEARCH("古馬条件",Z1071)),"古馬条件戦",IF(ISNUMBER(SEARCH("重賞",Z1071)),"重賞","分類不能")))))))))</f>
        <v>分類不能</v>
      </c>
      <c r="AR1071" s="4" t="s">
        <v>8142</v>
      </c>
      <c r="AS1071" s="8" t="s">
        <v>7842</v>
      </c>
      <c r="AT1071" s="8" t="s">
        <v>7843</v>
      </c>
      <c r="AU1071" s="8" t="s">
        <v>7634</v>
      </c>
      <c r="AV1071" s="8" t="s">
        <v>7635</v>
      </c>
      <c r="AW1071" s="8" t="s">
        <v>7636</v>
      </c>
      <c r="AX1071" s="4" t="s">
        <v>7637</v>
      </c>
      <c r="AY1071" s="8" t="s">
        <v>7610</v>
      </c>
      <c r="AZ1071" s="4" t="s">
        <v>7617</v>
      </c>
      <c r="BA1071" s="8" t="n">
        <v>2100</v>
      </c>
      <c r="BB1071" s="8" t="s">
        <v>7634</v>
      </c>
      <c r="BC1071" s="4" t="s">
        <v>7604</v>
      </c>
      <c r="BD1071" s="8" t="s">
        <v>7605</v>
      </c>
      <c r="BE1071" s="4" t="s">
        <v>7606</v>
      </c>
      <c r="BF1071" s="8" t="s">
        <v>7607</v>
      </c>
      <c r="BG1071" s="8" t="s">
        <v>7631</v>
      </c>
      <c r="BH1071" s="4" t="s">
        <v>7632</v>
      </c>
      <c r="BI1071" s="8" t="n">
        <v>9</v>
      </c>
      <c r="BJ1071" s="8" t="s">
        <v>7610</v>
      </c>
      <c r="BK1071" s="4" t="s">
        <v>7611</v>
      </c>
      <c r="BL1071" s="8" t="s">
        <v>7602</v>
      </c>
      <c r="BM1071" s="4" t="s">
        <v>7620</v>
      </c>
      <c r="BN1071" s="8"/>
      <c r="BO1071" s="8"/>
      <c r="BP1071" s="8" t="s">
        <v>7602</v>
      </c>
      <c r="BQ1071" s="8" t="str">
        <f aca="false">IF(A1071="","",AT1071)</f>
        <v>4歳以上</v>
      </c>
      <c r="BR1071" s="8" t="str">
        <f aca="false">IF(A1071="","",IF(BA1071&lt;=1200,"～1200",IF(BA1071&lt;=1500,"1300～1500",IF(BA1071=1600,"1600",IF(BA1071&lt;=1800,"1700～1800",IF(BA1071&lt;=2000,"1900～2000","2100以上"))))))</f>
        <v>2100以上</v>
      </c>
      <c r="BS1071" s="8" t="str">
        <f aca="false">IF(A1071="","",IF(AX1071="G1","G1",IF(AX1071="G2","G2",IF(AX1071="G3","G3",IF(AX1071="L","L","その他")))))</f>
        <v>その他</v>
      </c>
      <c r="BT1071" s="8" t="str">
        <f aca="false">IF(A1071="","",IF(BI1071="","未結合",IF(D1071=BI1071,"一致","不一致")))</f>
        <v>一致</v>
      </c>
      <c r="BU1071" s="8" t="str">
        <f aca="false">IF(A1071="","",IF(BE1071="牝馬限定","牝馬限定","その他"))</f>
        <v>その他</v>
      </c>
    </row>
    <row r="1072" customFormat="false" ht="15.75" hidden="false" customHeight="false" outlineLevel="0" collapsed="false">
      <c r="A1072" s="6" t="n">
        <f aca="false">DATE(2026,5,10)</f>
        <v>46152</v>
      </c>
      <c r="B1072" s="4" t="s">
        <v>4473</v>
      </c>
      <c r="C1072" s="8" t="n">
        <v>10</v>
      </c>
      <c r="D1072" s="8" t="n">
        <v>12</v>
      </c>
      <c r="E1072" s="8" t="n">
        <v>12</v>
      </c>
      <c r="F1072" s="4" t="s">
        <v>1704</v>
      </c>
      <c r="G1072" s="8" t="n">
        <v>58</v>
      </c>
      <c r="H1072" s="8" t="n">
        <v>10</v>
      </c>
      <c r="I1072" s="4" t="s">
        <v>7222</v>
      </c>
      <c r="J1072" s="8" t="n">
        <v>47</v>
      </c>
      <c r="K1072" s="8" t="n">
        <v>2</v>
      </c>
      <c r="L1072" s="4" t="s">
        <v>2412</v>
      </c>
      <c r="M1072" s="8" t="n">
        <v>44</v>
      </c>
      <c r="N1072" s="8" t="n">
        <f aca="false">IF(A1072="","",G1072-J1072)</f>
        <v>11</v>
      </c>
      <c r="O1072" s="8" t="n">
        <f aca="false">IF(A1072="","",J1072-M1072)</f>
        <v>3</v>
      </c>
      <c r="P1072" s="8" t="n">
        <f aca="false">IF(A1072="","",G1072+J1072)</f>
        <v>105</v>
      </c>
      <c r="Q1072" s="8" t="str">
        <f aca="false">IF(A1072="","",IF(AND(Y1072&lt;&gt;"参考",G1072&gt;=ルール設定!$B$2),"○",""))</f>
        <v/>
      </c>
      <c r="R1072" s="8" t="str">
        <f aca="false">IF(A1072="","",IF(AND(Y1072&lt;&gt;"参考",G1072&gt;=ルール設定!$B$3,N1072&gt;=ルール設定!$B$4),"○",""))</f>
        <v/>
      </c>
      <c r="S1072" s="8" t="str">
        <f aca="false">IF(A1072="","",IF(AND(Y1072&lt;&gt;"参考",G1072&gt;=ルール設定!$B$5,J1072&gt;=ルール設定!$B$6,O1072&gt;=ルール設定!$B$7),"○",""))</f>
        <v/>
      </c>
      <c r="T1072" s="8" t="n">
        <v>1</v>
      </c>
      <c r="U1072" s="8" t="n">
        <v>2</v>
      </c>
      <c r="V1072" s="8" t="str">
        <f aca="false">IF(A1072="","",IF(AND(ISNUMBER(T1072),ISNUMBER(U1072)),IF(AND(T1072&lt;=3,U1072&lt;=3),"○","×"),""))</f>
        <v>○</v>
      </c>
      <c r="W1072" s="8" t="n">
        <v>150</v>
      </c>
      <c r="X1072" s="8" t="n">
        <v>270</v>
      </c>
      <c r="Y1072" s="4" t="s">
        <v>7597</v>
      </c>
      <c r="Z1072" s="8" t="s">
        <v>8111</v>
      </c>
      <c r="AA1072" s="8" t="str">
        <v/>
      </c>
      <c r="AB1072" s="8" t="str">
        <v/>
      </c>
      <c r="AC1072" s="8" t="str">
        <v/>
      </c>
      <c r="AD1072" s="8" t="str">
        <v/>
      </c>
      <c r="AE1072" s="8" t="str">
        <v/>
      </c>
      <c r="AF1072" s="8" t="str">
        <v/>
      </c>
      <c r="AG1072" s="8" t="str">
        <v/>
      </c>
      <c r="AH1072" s="8" t="str">
        <v/>
      </c>
      <c r="AI1072" s="8" t="n">
        <v>14</v>
      </c>
      <c r="AJ1072" s="8" t="str">
        <v>～59</v>
      </c>
      <c r="AK1072" s="8" t="str">
        <v>10～19</v>
      </c>
      <c r="AL1072" s="8" t="str">
        <v>10～19</v>
      </c>
      <c r="AM1072" s="8" t="str">
        <v>100～119</v>
      </c>
      <c r="AN1072" s="8" t="str">
        <v>12～14</v>
      </c>
      <c r="AO1072" s="8" t="str">
        <f aca="false">IF(A1072="","",IF(COUNTIFS(全馬データ!$A$2:$A$50000,A1072,全馬データ!$B$2:$B$50000,B1072,全馬データ!$C$2:$C$50000,C1072,全馬データ!$D$2:$D$50000,E1072,全馬データ!$K$2:$K$50000,"&lt;&gt;")=0,"",SUMIFS(全馬データ!$K$2:$K$50000,全馬データ!$A$2:$A$50000,A1072,全馬データ!$B$2:$B$50000,B1072,全馬データ!$C$2:$C$50000,C1072,全馬データ!$D$2:$D$50000,E1072)))</f>
        <v/>
      </c>
      <c r="AP1072" s="8" t="str">
        <f aca="false">IF(A1072="","",IF(AO1072="","欠損",IF(AO1072&lt;=1.1,"1.0～1.1",IF(AO1072&lt;1.3,"1.2",IF(AO1072&lt;1.5,"1.3～1.4",IF(AO1072&lt;2,"1.5～1.9","2.0以上"))))))</f>
        <v>欠損</v>
      </c>
      <c r="AQ1072" s="8" t="str">
        <f aca="false">IF(A1072="","",IF(ISNUMBER(SEARCH("2歳",Z1072)),"2歳戦",IF(ISNUMBER(SEARCH("3歳未勝利",Z1072)),"3歳未勝利",IF(ISNUMBER(SEARCH("未勝利",Z1072)),"その他未勝利",IF(ISNUMBER(SEARCH("G1",Z1072)),"G1",IF(ISNUMBER(SEARCH("G2",Z1072)),"G2",IF(ISNUMBER(SEARCH("G3",Z1072)),"G3",IF(ISNUMBER(SEARCH("古馬条件",Z1072)),"古馬条件戦",IF(ISNUMBER(SEARCH("重賞",Z1072)),"重賞","分類不能")))))))))</f>
        <v>分類不能</v>
      </c>
      <c r="AR1072" s="4" t="s">
        <v>8143</v>
      </c>
      <c r="AS1072" s="8" t="s">
        <v>7842</v>
      </c>
      <c r="AT1072" s="8" t="s">
        <v>7843</v>
      </c>
      <c r="AU1072" s="8" t="s">
        <v>7643</v>
      </c>
      <c r="AV1072" s="4" t="s">
        <v>7644</v>
      </c>
      <c r="AW1072" s="8" t="s">
        <v>7676</v>
      </c>
      <c r="AX1072" s="8" t="s">
        <v>7677</v>
      </c>
      <c r="AY1072" s="8" t="s">
        <v>7602</v>
      </c>
      <c r="AZ1072" s="4" t="s">
        <v>7603</v>
      </c>
      <c r="BA1072" s="8" t="n">
        <v>2400</v>
      </c>
      <c r="BB1072" s="8" t="s">
        <v>7598</v>
      </c>
      <c r="BC1072" s="4" t="s">
        <v>7604</v>
      </c>
      <c r="BD1072" s="8" t="s">
        <v>7666</v>
      </c>
      <c r="BE1072" s="4" t="s">
        <v>7606</v>
      </c>
      <c r="BF1072" s="8" t="s">
        <v>7607</v>
      </c>
      <c r="BG1072" s="8" t="s">
        <v>7610</v>
      </c>
      <c r="BH1072" s="4" t="s">
        <v>7646</v>
      </c>
      <c r="BI1072" s="8" t="n">
        <v>12</v>
      </c>
      <c r="BJ1072" s="8" t="s">
        <v>7610</v>
      </c>
      <c r="BK1072" s="4" t="s">
        <v>7611</v>
      </c>
      <c r="BL1072" s="8" t="s">
        <v>7602</v>
      </c>
      <c r="BM1072" s="4" t="s">
        <v>7620</v>
      </c>
      <c r="BN1072" s="8" t="s">
        <v>7602</v>
      </c>
      <c r="BO1072" s="8" t="s">
        <v>7613</v>
      </c>
      <c r="BP1072" s="8" t="s">
        <v>7602</v>
      </c>
      <c r="BQ1072" s="8" t="str">
        <f aca="false">IF(A1072="","",AT1072)</f>
        <v>4歳以上</v>
      </c>
      <c r="BR1072" s="8" t="str">
        <f aca="false">IF(A1072="","",IF(BA1072&lt;=1200,"～1200",IF(BA1072&lt;=1500,"1300～1500",IF(BA1072=1600,"1600",IF(BA1072&lt;=1800,"1700～1800",IF(BA1072&lt;=2000,"1900～2000","2100以上"))))))</f>
        <v>2100以上</v>
      </c>
      <c r="BS1072" s="8" t="str">
        <f aca="false">IF(A1072="","",IF(AX1072="G1","G1",IF(AX1072="G2","G2",IF(AX1072="G3","G3",IF(AX1072="L","L","その他")))))</f>
        <v>L</v>
      </c>
      <c r="BT1072" s="8" t="str">
        <f aca="false">IF(A1072="","",IF(BI1072="","未結合",IF(D1072=BI1072,"一致","不一致")))</f>
        <v>一致</v>
      </c>
      <c r="BU1072" s="8" t="str">
        <f aca="false">IF(A1072="","",IF(BE1072="牝馬限定","牝馬限定","その他"))</f>
        <v>その他</v>
      </c>
    </row>
    <row r="1073" customFormat="false" ht="15.75" hidden="false" customHeight="false" outlineLevel="0" collapsed="false">
      <c r="A1073" s="6" t="n">
        <f aca="false">DATE(2026,5,10)</f>
        <v>46152</v>
      </c>
      <c r="B1073" s="4" t="s">
        <v>4473</v>
      </c>
      <c r="C1073" s="8" t="n">
        <v>11</v>
      </c>
      <c r="D1073" s="8" t="n">
        <v>18</v>
      </c>
      <c r="E1073" s="8" t="n">
        <v>7</v>
      </c>
      <c r="F1073" s="4" t="s">
        <v>7227</v>
      </c>
      <c r="G1073" s="8" t="n">
        <v>52</v>
      </c>
      <c r="H1073" s="8" t="n">
        <v>17</v>
      </c>
      <c r="I1073" s="4" t="s">
        <v>7228</v>
      </c>
      <c r="J1073" s="8" t="n">
        <v>50</v>
      </c>
      <c r="K1073" s="8" t="n">
        <v>4</v>
      </c>
      <c r="L1073" s="4" t="s">
        <v>7229</v>
      </c>
      <c r="M1073" s="8" t="n">
        <v>44</v>
      </c>
      <c r="N1073" s="8" t="n">
        <f aca="false">IF(A1073="","",G1073-J1073)</f>
        <v>2</v>
      </c>
      <c r="O1073" s="8" t="n">
        <f aca="false">IF(A1073="","",J1073-M1073)</f>
        <v>6</v>
      </c>
      <c r="P1073" s="8" t="n">
        <f aca="false">IF(A1073="","",G1073+J1073)</f>
        <v>102</v>
      </c>
      <c r="Q1073" s="8" t="str">
        <f aca="false">IF(A1073="","",IF(AND(Y1073&lt;&gt;"参考",G1073&gt;=ルール設定!$B$2),"○",""))</f>
        <v/>
      </c>
      <c r="R1073" s="8" t="str">
        <f aca="false">IF(A1073="","",IF(AND(Y1073&lt;&gt;"参考",G1073&gt;=ルール設定!$B$3,N1073&gt;=ルール設定!$B$4),"○",""))</f>
        <v/>
      </c>
      <c r="S1073" s="8" t="str">
        <f aca="false">IF(A1073="","",IF(AND(Y1073&lt;&gt;"参考",G1073&gt;=ルール設定!$B$5,J1073&gt;=ルール設定!$B$6,O1073&gt;=ルール設定!$B$7),"○",""))</f>
        <v/>
      </c>
      <c r="T1073" s="8" t="n">
        <v>4</v>
      </c>
      <c r="U1073" s="8" t="n">
        <v>1</v>
      </c>
      <c r="V1073" s="8" t="str">
        <f aca="false">IF(A1073="","",IF(AND(ISNUMBER(T1073),ISNUMBER(U1073)),IF(AND(T1073&lt;=3,U1073&lt;=3),"○","×"),""))</f>
        <v>×</v>
      </c>
      <c r="W1073" s="8"/>
      <c r="X1073" s="8"/>
      <c r="Y1073" s="4" t="s">
        <v>7597</v>
      </c>
      <c r="Z1073" s="8" t="s">
        <v>8111</v>
      </c>
      <c r="AA1073" s="8" t="str">
        <v/>
      </c>
      <c r="AB1073" s="8" t="str">
        <v/>
      </c>
      <c r="AC1073" s="8" t="str">
        <v/>
      </c>
      <c r="AD1073" s="8" t="str">
        <v/>
      </c>
      <c r="AE1073" s="8" t="str">
        <v/>
      </c>
      <c r="AF1073" s="8" t="str">
        <v/>
      </c>
      <c r="AG1073" s="8" t="str">
        <v/>
      </c>
      <c r="AH1073" s="8" t="str">
        <v/>
      </c>
      <c r="AI1073" s="8" t="n">
        <v>8</v>
      </c>
      <c r="AJ1073" s="8" t="str">
        <v>～59</v>
      </c>
      <c r="AK1073" s="8" t="str">
        <v>0～4</v>
      </c>
      <c r="AL1073" s="8" t="str">
        <v>0～9</v>
      </c>
      <c r="AM1073" s="8" t="str">
        <v>100～119</v>
      </c>
      <c r="AN1073" s="8" t="str">
        <v>15以上</v>
      </c>
      <c r="AO1073" s="8" t="str">
        <f aca="false">IF(A1073="","",IF(COUNTIFS(全馬データ!$A$2:$A$50000,A1073,全馬データ!$B$2:$B$50000,B1073,全馬データ!$C$2:$C$50000,C1073,全馬データ!$D$2:$D$50000,E1073,全馬データ!$K$2:$K$50000,"&lt;&gt;")=0,"",SUMIFS(全馬データ!$K$2:$K$50000,全馬データ!$A$2:$A$50000,A1073,全馬データ!$B$2:$B$50000,B1073,全馬データ!$C$2:$C$50000,C1073,全馬データ!$D$2:$D$50000,E1073)))</f>
        <v/>
      </c>
      <c r="AP1073" s="8" t="str">
        <f aca="false">IF(A1073="","",IF(AO1073="","欠損",IF(AO1073&lt;=1.1,"1.0～1.1",IF(AO1073&lt;1.3,"1.2",IF(AO1073&lt;1.5,"1.3～1.4",IF(AO1073&lt;2,"1.5～1.9","2.0以上"))))))</f>
        <v>欠損</v>
      </c>
      <c r="AQ1073" s="8" t="str">
        <f aca="false">IF(A1073="","",IF(ISNUMBER(SEARCH("2歳",Z1073)),"2歳戦",IF(ISNUMBER(SEARCH("3歳未勝利",Z1073)),"3歳未勝利",IF(ISNUMBER(SEARCH("未勝利",Z1073)),"その他未勝利",IF(ISNUMBER(SEARCH("G1",Z1073)),"G1",IF(ISNUMBER(SEARCH("G2",Z1073)),"G2",IF(ISNUMBER(SEARCH("G3",Z1073)),"G3",IF(ISNUMBER(SEARCH("古馬条件",Z1073)),"古馬条件戦",IF(ISNUMBER(SEARCH("重賞",Z1073)),"重賞","分類不能")))))))))</f>
        <v>分類不能</v>
      </c>
      <c r="AR1073" s="4" t="s">
        <v>8144</v>
      </c>
      <c r="AS1073" s="8" t="s">
        <v>7623</v>
      </c>
      <c r="AT1073" s="8" t="s">
        <v>7624</v>
      </c>
      <c r="AU1073" s="8" t="s">
        <v>7643</v>
      </c>
      <c r="AV1073" s="4" t="s">
        <v>7644</v>
      </c>
      <c r="AW1073" s="8" t="s">
        <v>7602</v>
      </c>
      <c r="AX1073" s="8" t="s">
        <v>7814</v>
      </c>
      <c r="AY1073" s="8" t="s">
        <v>7602</v>
      </c>
      <c r="AZ1073" s="4" t="s">
        <v>7603</v>
      </c>
      <c r="BA1073" s="8" t="n">
        <v>1600</v>
      </c>
      <c r="BB1073" s="8" t="s">
        <v>7598</v>
      </c>
      <c r="BC1073" s="4" t="s">
        <v>7604</v>
      </c>
      <c r="BD1073" s="8" t="s">
        <v>7878</v>
      </c>
      <c r="BE1073" s="4" t="s">
        <v>7879</v>
      </c>
      <c r="BF1073" s="8" t="s">
        <v>7607</v>
      </c>
      <c r="BG1073" s="8" t="s">
        <v>7608</v>
      </c>
      <c r="BH1073" s="4" t="s">
        <v>7609</v>
      </c>
      <c r="BI1073" s="8" t="n">
        <v>18</v>
      </c>
      <c r="BJ1073" s="8" t="s">
        <v>7610</v>
      </c>
      <c r="BK1073" s="4" t="s">
        <v>7611</v>
      </c>
      <c r="BL1073" s="8" t="s">
        <v>7602</v>
      </c>
      <c r="BM1073" s="4" t="s">
        <v>7620</v>
      </c>
      <c r="BN1073" s="8" t="s">
        <v>7602</v>
      </c>
      <c r="BO1073" s="8" t="s">
        <v>7613</v>
      </c>
      <c r="BP1073" s="8" t="s">
        <v>7602</v>
      </c>
      <c r="BQ1073" s="8" t="str">
        <f aca="false">IF(A1073="","",AT1073)</f>
        <v>3歳</v>
      </c>
      <c r="BR1073" s="8" t="str">
        <f aca="false">IF(A1073="","",IF(BA1073&lt;=1200,"～1200",IF(BA1073&lt;=1500,"1300～1500",IF(BA1073=1600,"1600",IF(BA1073&lt;=1800,"1700～1800",IF(BA1073&lt;=2000,"1900～2000","2100以上"))))))</f>
        <v>1600</v>
      </c>
      <c r="BS1073" s="8" t="str">
        <f aca="false">IF(A1073="","",IF(AX1073="G1","G1",IF(AX1073="G2","G2",IF(AX1073="G3","G3",IF(AX1073="L","L","その他")))))</f>
        <v>G1</v>
      </c>
      <c r="BT1073" s="8" t="str">
        <f aca="false">IF(A1073="","",IF(BI1073="","未結合",IF(D1073=BI1073,"一致","不一致")))</f>
        <v>一致</v>
      </c>
      <c r="BU1073" s="8" t="str">
        <f aca="false">IF(A1073="","",IF(BE1073="牝馬限定","牝馬限定","その他"))</f>
        <v>その他</v>
      </c>
    </row>
    <row r="1074" customFormat="false" ht="15.75" hidden="false" customHeight="false" outlineLevel="0" collapsed="false">
      <c r="A1074" s="6" t="n">
        <f aca="false">DATE(2026,5,10)</f>
        <v>46152</v>
      </c>
      <c r="B1074" s="4" t="s">
        <v>4473</v>
      </c>
      <c r="C1074" s="8" t="n">
        <v>12</v>
      </c>
      <c r="D1074" s="8" t="n">
        <v>15</v>
      </c>
      <c r="E1074" s="8" t="n">
        <v>6</v>
      </c>
      <c r="F1074" s="4" t="s">
        <v>7238</v>
      </c>
      <c r="G1074" s="8" t="n">
        <v>44</v>
      </c>
      <c r="H1074" s="8" t="n">
        <v>13</v>
      </c>
      <c r="I1074" s="4" t="s">
        <v>7239</v>
      </c>
      <c r="J1074" s="8" t="n">
        <v>39</v>
      </c>
      <c r="K1074" s="8" t="n">
        <v>1</v>
      </c>
      <c r="L1074" s="4" t="s">
        <v>2396</v>
      </c>
      <c r="M1074" s="8" t="n">
        <v>37</v>
      </c>
      <c r="N1074" s="8" t="n">
        <f aca="false">IF(A1074="","",G1074-J1074)</f>
        <v>5</v>
      </c>
      <c r="O1074" s="8" t="n">
        <f aca="false">IF(A1074="","",J1074-M1074)</f>
        <v>2</v>
      </c>
      <c r="P1074" s="8" t="n">
        <f aca="false">IF(A1074="","",G1074+J1074)</f>
        <v>83</v>
      </c>
      <c r="Q1074" s="8" t="str">
        <f aca="false">IF(A1074="","",IF(AND(Y1074&lt;&gt;"参考",G1074&gt;=ルール設定!$B$2),"○",""))</f>
        <v/>
      </c>
      <c r="R1074" s="8" t="str">
        <f aca="false">IF(A1074="","",IF(AND(Y1074&lt;&gt;"参考",G1074&gt;=ルール設定!$B$3,N1074&gt;=ルール設定!$B$4),"○",""))</f>
        <v/>
      </c>
      <c r="S1074" s="8" t="str">
        <f aca="false">IF(A1074="","",IF(AND(Y1074&lt;&gt;"参考",G1074&gt;=ルール設定!$B$5,J1074&gt;=ルール設定!$B$6,O1074&gt;=ルール設定!$B$7),"○",""))</f>
        <v/>
      </c>
      <c r="T1074" s="8" t="n">
        <v>4</v>
      </c>
      <c r="U1074" s="8" t="n">
        <v>4</v>
      </c>
      <c r="V1074" s="8" t="str">
        <f aca="false">IF(A1074="","",IF(AND(ISNUMBER(T1074),ISNUMBER(U1074)),IF(AND(T1074&lt;=3,U1074&lt;=3),"○","×"),""))</f>
        <v>×</v>
      </c>
      <c r="W1074" s="8"/>
      <c r="X1074" s="8"/>
      <c r="Y1074" s="4" t="s">
        <v>7597</v>
      </c>
      <c r="Z1074" s="8" t="s">
        <v>8111</v>
      </c>
      <c r="AA1074" s="8" t="str">
        <v/>
      </c>
      <c r="AB1074" s="8" t="str">
        <v/>
      </c>
      <c r="AC1074" s="8" t="str">
        <v/>
      </c>
      <c r="AD1074" s="8" t="str">
        <v/>
      </c>
      <c r="AE1074" s="8" t="str">
        <v/>
      </c>
      <c r="AF1074" s="8" t="str">
        <v/>
      </c>
      <c r="AG1074" s="8" t="str">
        <v/>
      </c>
      <c r="AH1074" s="8" t="str">
        <v/>
      </c>
      <c r="AI1074" s="8" t="n">
        <v>7</v>
      </c>
      <c r="AJ1074" s="8" t="str">
        <v>～59</v>
      </c>
      <c r="AK1074" s="8" t="str">
        <v>5～9</v>
      </c>
      <c r="AL1074" s="8" t="str">
        <v>0～9</v>
      </c>
      <c r="AM1074" s="8" t="str">
        <v>～99</v>
      </c>
      <c r="AN1074" s="8" t="str">
        <v>15以上</v>
      </c>
      <c r="AO1074" s="8" t="str">
        <f aca="false">IF(A1074="","",IF(COUNTIFS(全馬データ!$A$2:$A$50000,A1074,全馬データ!$B$2:$B$50000,B1074,全馬データ!$C$2:$C$50000,C1074,全馬データ!$D$2:$D$50000,E1074,全馬データ!$K$2:$K$50000,"&lt;&gt;")=0,"",SUMIFS(全馬データ!$K$2:$K$50000,全馬データ!$A$2:$A$50000,A1074,全馬データ!$B$2:$B$50000,B1074,全馬データ!$C$2:$C$50000,C1074,全馬データ!$D$2:$D$50000,E1074)))</f>
        <v/>
      </c>
      <c r="AP1074" s="8" t="str">
        <f aca="false">IF(A1074="","",IF(AO1074="","欠損",IF(AO1074&lt;=1.1,"1.0～1.1",IF(AO1074&lt;1.3,"1.2",IF(AO1074&lt;1.5,"1.3～1.4",IF(AO1074&lt;2,"1.5～1.9","2.0以上"))))))</f>
        <v>欠損</v>
      </c>
      <c r="AQ1074" s="8" t="str">
        <f aca="false">IF(A1074="","",IF(ISNUMBER(SEARCH("2歳",Z1074)),"2歳戦",IF(ISNUMBER(SEARCH("3歳未勝利",Z1074)),"3歳未勝利",IF(ISNUMBER(SEARCH("未勝利",Z1074)),"その他未勝利",IF(ISNUMBER(SEARCH("G1",Z1074)),"G1",IF(ISNUMBER(SEARCH("G2",Z1074)),"G2",IF(ISNUMBER(SEARCH("G3",Z1074)),"G3",IF(ISNUMBER(SEARCH("古馬条件",Z1074)),"古馬条件戦",IF(ISNUMBER(SEARCH("重賞",Z1074)),"重賞","分類不能")))))))))</f>
        <v>分類不能</v>
      </c>
      <c r="AR1074" s="4" t="s">
        <v>8145</v>
      </c>
      <c r="AS1074" s="8" t="s">
        <v>7842</v>
      </c>
      <c r="AT1074" s="8" t="s">
        <v>7843</v>
      </c>
      <c r="AU1074" s="8" t="s">
        <v>7639</v>
      </c>
      <c r="AV1074" s="8" t="s">
        <v>7640</v>
      </c>
      <c r="AW1074" s="8" t="s">
        <v>7636</v>
      </c>
      <c r="AX1074" s="4" t="s">
        <v>7637</v>
      </c>
      <c r="AY1074" s="8" t="s">
        <v>7610</v>
      </c>
      <c r="AZ1074" s="4" t="s">
        <v>7617</v>
      </c>
      <c r="BA1074" s="8" t="n">
        <v>1600</v>
      </c>
      <c r="BB1074" s="8" t="s">
        <v>7634</v>
      </c>
      <c r="BC1074" s="4" t="s">
        <v>7604</v>
      </c>
      <c r="BD1074" s="8" t="s">
        <v>7605</v>
      </c>
      <c r="BE1074" s="4" t="s">
        <v>7606</v>
      </c>
      <c r="BF1074" s="8" t="s">
        <v>7607</v>
      </c>
      <c r="BG1074" s="8" t="s">
        <v>7602</v>
      </c>
      <c r="BH1074" s="4" t="s">
        <v>7667</v>
      </c>
      <c r="BI1074" s="8" t="n">
        <v>15</v>
      </c>
      <c r="BJ1074" s="8" t="s">
        <v>7610</v>
      </c>
      <c r="BK1074" s="4" t="s">
        <v>7611</v>
      </c>
      <c r="BL1074" s="8" t="s">
        <v>7602</v>
      </c>
      <c r="BM1074" s="4" t="s">
        <v>7620</v>
      </c>
      <c r="BN1074" s="8"/>
      <c r="BO1074" s="8"/>
      <c r="BP1074" s="8" t="s">
        <v>7602</v>
      </c>
      <c r="BQ1074" s="8" t="str">
        <f aca="false">IF(A1074="","",AT1074)</f>
        <v>4歳以上</v>
      </c>
      <c r="BR1074" s="8" t="str">
        <f aca="false">IF(A1074="","",IF(BA1074&lt;=1200,"～1200",IF(BA1074&lt;=1500,"1300～1500",IF(BA1074=1600,"1600",IF(BA1074&lt;=1800,"1700～1800",IF(BA1074&lt;=2000,"1900～2000","2100以上"))))))</f>
        <v>1600</v>
      </c>
      <c r="BS1074" s="8" t="str">
        <f aca="false">IF(A1074="","",IF(AX1074="G1","G1",IF(AX1074="G2","G2",IF(AX1074="G3","G3",IF(AX1074="L","L","その他")))))</f>
        <v>その他</v>
      </c>
      <c r="BT1074" s="8" t="str">
        <f aca="false">IF(A1074="","",IF(BI1074="","未結合",IF(D1074=BI1074,"一致","不一致")))</f>
        <v>一致</v>
      </c>
      <c r="BU1074" s="8" t="str">
        <f aca="false">IF(A1074="","",IF(BE1074="牝馬限定","牝馬限定","その他"))</f>
        <v>その他</v>
      </c>
    </row>
    <row r="1075" customFormat="false" ht="15.75" hidden="false" customHeight="false" outlineLevel="0" collapsed="false">
      <c r="A1075" s="6" t="n">
        <f aca="false">DATE(2026,5,2)</f>
        <v>46144</v>
      </c>
      <c r="B1075" s="4" t="s">
        <v>5435</v>
      </c>
      <c r="C1075" s="8" t="n">
        <v>1</v>
      </c>
      <c r="D1075" s="8" t="n">
        <v>16</v>
      </c>
      <c r="E1075" s="8" t="n">
        <v>5</v>
      </c>
      <c r="F1075" s="4" t="s">
        <v>7245</v>
      </c>
      <c r="G1075" s="8" t="n">
        <v>66</v>
      </c>
      <c r="H1075" s="8" t="n">
        <v>11</v>
      </c>
      <c r="I1075" s="4" t="s">
        <v>1811</v>
      </c>
      <c r="J1075" s="8" t="n">
        <v>65</v>
      </c>
      <c r="K1075" s="8" t="n">
        <v>7</v>
      </c>
      <c r="L1075" s="4" t="s">
        <v>2565</v>
      </c>
      <c r="M1075" s="8" t="n">
        <v>34</v>
      </c>
      <c r="N1075" s="8" t="n">
        <f aca="false">IF(A1075="","",G1075-J1075)</f>
        <v>1</v>
      </c>
      <c r="O1075" s="8" t="n">
        <f aca="false">IF(A1075="","",J1075-M1075)</f>
        <v>31</v>
      </c>
      <c r="P1075" s="8" t="n">
        <f aca="false">IF(A1075="","",G1075+J1075)</f>
        <v>131</v>
      </c>
      <c r="Q1075" s="8" t="str">
        <f aca="false">IF(A1075="","",IF(AND(Y1075&lt;&gt;"参考",G1075&gt;=ルール設定!$B$2),"○",""))</f>
        <v/>
      </c>
      <c r="R1075" s="8" t="str">
        <f aca="false">IF(A1075="","",IF(AND(Y1075&lt;&gt;"参考",G1075&gt;=ルール設定!$B$3,N1075&gt;=ルール設定!$B$4),"○",""))</f>
        <v/>
      </c>
      <c r="S1075" s="8" t="str">
        <f aca="false">IF(A1075="","",IF(AND(Y1075&lt;&gt;"参考",G1075&gt;=ルール設定!$B$5,J1075&gt;=ルール設定!$B$6,O1075&gt;=ルール設定!$B$7),"○",""))</f>
        <v>○</v>
      </c>
      <c r="T1075" s="8" t="n">
        <v>1</v>
      </c>
      <c r="U1075" s="8" t="n">
        <v>2</v>
      </c>
      <c r="V1075" s="8" t="str">
        <f aca="false">IF(A1075="","",IF(AND(ISNUMBER(T1075),ISNUMBER(U1075)),IF(AND(T1075&lt;=3,U1075&lt;=3),"○","×"),""))</f>
        <v>○</v>
      </c>
      <c r="W1075" s="8" t="n">
        <v>110</v>
      </c>
      <c r="X1075" s="8" t="n">
        <v>130</v>
      </c>
      <c r="Y1075" s="4" t="s">
        <v>7597</v>
      </c>
      <c r="Z1075" s="8" t="s">
        <v>8111</v>
      </c>
      <c r="AA1075" s="8" t="str">
        <v/>
      </c>
      <c r="AB1075" s="8" t="str">
        <v/>
      </c>
      <c r="AC1075" s="8" t="str">
        <v/>
      </c>
      <c r="AD1075" s="8" t="str">
        <v/>
      </c>
      <c r="AE1075" s="8" t="str">
        <v/>
      </c>
      <c r="AF1075" s="8" t="str">
        <v/>
      </c>
      <c r="AG1075" s="8" t="str">
        <v/>
      </c>
      <c r="AH1075" s="8" t="str">
        <v/>
      </c>
      <c r="AI1075" s="8" t="n">
        <v>32</v>
      </c>
      <c r="AJ1075" s="8" t="str">
        <v>60～69</v>
      </c>
      <c r="AK1075" s="8" t="str">
        <v>0～4</v>
      </c>
      <c r="AL1075" s="8" t="str">
        <v>30～39</v>
      </c>
      <c r="AM1075" s="8" t="str">
        <v>120～139</v>
      </c>
      <c r="AN1075" s="8" t="str">
        <v>15以上</v>
      </c>
      <c r="AO1075" s="8" t="str">
        <f aca="false">IF(A1075="","",IF(COUNTIFS(全馬データ!$A$2:$A$50000,A1075,全馬データ!$B$2:$B$50000,B1075,全馬データ!$C$2:$C$50000,C1075,全馬データ!$D$2:$D$50000,E1075,全馬データ!$K$2:$K$50000,"&lt;&gt;")=0,"",SUMIFS(全馬データ!$K$2:$K$50000,全馬データ!$A$2:$A$50000,A1075,全馬データ!$B$2:$B$50000,B1075,全馬データ!$C$2:$C$50000,C1075,全馬データ!$D$2:$D$50000,E1075)))</f>
        <v/>
      </c>
      <c r="AP1075" s="8" t="str">
        <f aca="false">IF(A1075="","",IF(AO1075="","欠損",IF(AO1075&lt;=1.1,"1.0～1.1",IF(AO1075&lt;1.3,"1.2",IF(AO1075&lt;1.5,"1.3～1.4",IF(AO1075&lt;2,"1.5～1.9","2.0以上"))))))</f>
        <v>欠損</v>
      </c>
      <c r="AQ1075" s="8" t="str">
        <f aca="false">IF(A1075="","",IF(ISNUMBER(SEARCH("2歳",Z1075)),"2歳戦",IF(ISNUMBER(SEARCH("3歳未勝利",Z1075)),"3歳未勝利",IF(ISNUMBER(SEARCH("未勝利",Z1075)),"その他未勝利",IF(ISNUMBER(SEARCH("G1",Z1075)),"G1",IF(ISNUMBER(SEARCH("G2",Z1075)),"G2",IF(ISNUMBER(SEARCH("G3",Z1075)),"G3",IF(ISNUMBER(SEARCH("古馬条件",Z1075)),"古馬条件戦",IF(ISNUMBER(SEARCH("重賞",Z1075)),"重賞","分類不能")))))))))</f>
        <v>分類不能</v>
      </c>
      <c r="AR1075" s="8"/>
      <c r="AS1075" s="8" t="s">
        <v>7623</v>
      </c>
      <c r="AT1075" s="8" t="s">
        <v>7624</v>
      </c>
      <c r="AU1075" s="8" t="s">
        <v>7600</v>
      </c>
      <c r="AV1075" s="4" t="s">
        <v>7601</v>
      </c>
      <c r="AW1075" s="8"/>
      <c r="AX1075" s="8"/>
      <c r="AY1075" s="8" t="s">
        <v>7610</v>
      </c>
      <c r="AZ1075" s="4" t="s">
        <v>7617</v>
      </c>
      <c r="BA1075" s="8" t="n">
        <v>1200</v>
      </c>
      <c r="BB1075" s="8" t="s">
        <v>7657</v>
      </c>
      <c r="BC1075" s="4" t="s">
        <v>7658</v>
      </c>
      <c r="BD1075" s="8" t="s">
        <v>7625</v>
      </c>
      <c r="BE1075" s="4" t="s">
        <v>7606</v>
      </c>
      <c r="BF1075" s="8" t="s">
        <v>7607</v>
      </c>
      <c r="BG1075" s="8" t="s">
        <v>7608</v>
      </c>
      <c r="BH1075" s="4" t="s">
        <v>7609</v>
      </c>
      <c r="BI1075" s="8" t="n">
        <v>16</v>
      </c>
      <c r="BJ1075" s="8" t="s">
        <v>7602</v>
      </c>
      <c r="BK1075" s="4" t="s">
        <v>7653</v>
      </c>
      <c r="BL1075" s="8" t="s">
        <v>7602</v>
      </c>
      <c r="BM1075" s="4" t="s">
        <v>7620</v>
      </c>
      <c r="BN1075" s="8"/>
      <c r="BO1075" s="8"/>
      <c r="BP1075" s="8" t="s">
        <v>7610</v>
      </c>
      <c r="BQ1075" s="8" t="str">
        <f aca="false">IF(A1075="","",AT1075)</f>
        <v>3歳</v>
      </c>
      <c r="BR1075" s="8" t="str">
        <f aca="false">IF(A1075="","",IF(BA1075&lt;=1200,"～1200",IF(BA1075&lt;=1500,"1300～1500",IF(BA1075=1600,"1600",IF(BA1075&lt;=1800,"1700～1800",IF(BA1075&lt;=2000,"1900～2000","2100以上"))))))</f>
        <v>～1200</v>
      </c>
      <c r="BS1075" s="8" t="str">
        <f aca="false">IF(A1075="","",IF(AX1075="G1","G1",IF(AX1075="G2","G2",IF(AX1075="G3","G3",IF(AX1075="L","L","その他")))))</f>
        <v>その他</v>
      </c>
      <c r="BT1075" s="8" t="str">
        <f aca="false">IF(A1075="","",IF(BI1075="","未結合",IF(D1075=BI1075,"一致","不一致")))</f>
        <v>一致</v>
      </c>
      <c r="BU1075" s="8" t="str">
        <f aca="false">IF(A1075="","",IF(BE1075="牝馬限定","牝馬限定","その他"))</f>
        <v>その他</v>
      </c>
    </row>
    <row r="1076" customFormat="false" ht="15.75" hidden="false" customHeight="false" outlineLevel="0" collapsed="false">
      <c r="A1076" s="6" t="n">
        <f aca="false">DATE(2026,5,2)</f>
        <v>46144</v>
      </c>
      <c r="B1076" s="4" t="s">
        <v>5435</v>
      </c>
      <c r="C1076" s="8" t="n">
        <v>2</v>
      </c>
      <c r="D1076" s="8" t="n">
        <v>15</v>
      </c>
      <c r="E1076" s="8" t="n">
        <v>10</v>
      </c>
      <c r="F1076" s="4" t="s">
        <v>2863</v>
      </c>
      <c r="G1076" s="8" t="n">
        <v>75</v>
      </c>
      <c r="H1076" s="8" t="n">
        <v>4</v>
      </c>
      <c r="I1076" s="4" t="s">
        <v>7253</v>
      </c>
      <c r="J1076" s="8" t="n">
        <v>39</v>
      </c>
      <c r="K1076" s="8" t="n">
        <v>8</v>
      </c>
      <c r="L1076" s="4" t="s">
        <v>1233</v>
      </c>
      <c r="M1076" s="8" t="n">
        <v>37</v>
      </c>
      <c r="N1076" s="8" t="n">
        <f aca="false">IF(A1076="","",G1076-J1076)</f>
        <v>36</v>
      </c>
      <c r="O1076" s="8" t="n">
        <f aca="false">IF(A1076="","",J1076-M1076)</f>
        <v>2</v>
      </c>
      <c r="P1076" s="8" t="n">
        <f aca="false">IF(A1076="","",G1076+J1076)</f>
        <v>114</v>
      </c>
      <c r="Q1076" s="8" t="str">
        <f aca="false">IF(A1076="","",IF(AND(Y1076&lt;&gt;"参考",G1076&gt;=ルール設定!$B$2),"○",""))</f>
        <v/>
      </c>
      <c r="R1076" s="8" t="str">
        <f aca="false">IF(A1076="","",IF(AND(Y1076&lt;&gt;"参考",G1076&gt;=ルール設定!$B$3,N1076&gt;=ルール設定!$B$4),"○",""))</f>
        <v>○</v>
      </c>
      <c r="S1076" s="8" t="str">
        <f aca="false">IF(A1076="","",IF(AND(Y1076&lt;&gt;"参考",G1076&gt;=ルール設定!$B$5,J1076&gt;=ルール設定!$B$6,O1076&gt;=ルール設定!$B$7),"○",""))</f>
        <v/>
      </c>
      <c r="T1076" s="8" t="n">
        <v>2</v>
      </c>
      <c r="U1076" s="8" t="n">
        <v>3</v>
      </c>
      <c r="V1076" s="8" t="str">
        <f aca="false">IF(A1076="","",IF(AND(ISNUMBER(T1076),ISNUMBER(U1076)),IF(AND(T1076&lt;=3,U1076&lt;=3),"○","×"),""))</f>
        <v>○</v>
      </c>
      <c r="W1076" s="8" t="n">
        <v>110</v>
      </c>
      <c r="X1076" s="8" t="n">
        <v>240</v>
      </c>
      <c r="Y1076" s="4" t="s">
        <v>7597</v>
      </c>
      <c r="Z1076" s="8" t="s">
        <v>8111</v>
      </c>
      <c r="AA1076" s="8" t="str">
        <v/>
      </c>
      <c r="AB1076" s="8" t="str">
        <v/>
      </c>
      <c r="AC1076" s="8" t="str">
        <v/>
      </c>
      <c r="AD1076" s="8" t="str">
        <v/>
      </c>
      <c r="AE1076" s="8" t="str">
        <v>○</v>
      </c>
      <c r="AF1076" s="8" t="str">
        <v/>
      </c>
      <c r="AG1076" s="8" t="str">
        <v/>
      </c>
      <c r="AH1076" s="8" t="str">
        <v/>
      </c>
      <c r="AI1076" s="8" t="n">
        <v>38</v>
      </c>
      <c r="AJ1076" s="8" t="str">
        <v>75～79</v>
      </c>
      <c r="AK1076" s="8" t="str">
        <v>30以上</v>
      </c>
      <c r="AL1076" s="8" t="str">
        <v>30～39</v>
      </c>
      <c r="AM1076" s="8" t="str">
        <v>100～119</v>
      </c>
      <c r="AN1076" s="8" t="str">
        <v>15以上</v>
      </c>
      <c r="AO1076" s="8" t="str">
        <f aca="false">IF(A1076="","",IF(COUNTIFS(全馬データ!$A$2:$A$50000,A1076,全馬データ!$B$2:$B$50000,B1076,全馬データ!$C$2:$C$50000,C1076,全馬データ!$D$2:$D$50000,E1076,全馬データ!$K$2:$K$50000,"&lt;&gt;")=0,"",SUMIFS(全馬データ!$K$2:$K$50000,全馬データ!$A$2:$A$50000,A1076,全馬データ!$B$2:$B$50000,B1076,全馬データ!$C$2:$C$50000,C1076,全馬データ!$D$2:$D$50000,E1076)))</f>
        <v/>
      </c>
      <c r="AP1076" s="8" t="str">
        <f aca="false">IF(A1076="","",IF(AO1076="","欠損",IF(AO1076&lt;=1.1,"1.0～1.1",IF(AO1076&lt;1.3,"1.2",IF(AO1076&lt;1.5,"1.3～1.4",IF(AO1076&lt;2,"1.5～1.9","2.0以上"))))))</f>
        <v>欠損</v>
      </c>
      <c r="AQ1076" s="8" t="str">
        <f aca="false">IF(A1076="","",IF(ISNUMBER(SEARCH("2歳",Z1076)),"2歳戦",IF(ISNUMBER(SEARCH("3歳未勝利",Z1076)),"3歳未勝利",IF(ISNUMBER(SEARCH("未勝利",Z1076)),"その他未勝利",IF(ISNUMBER(SEARCH("G1",Z1076)),"G1",IF(ISNUMBER(SEARCH("G2",Z1076)),"G2",IF(ISNUMBER(SEARCH("G3",Z1076)),"G3",IF(ISNUMBER(SEARCH("古馬条件",Z1076)),"古馬条件戦",IF(ISNUMBER(SEARCH("重賞",Z1076)),"重賞","分類不能")))))))))</f>
        <v>分類不能</v>
      </c>
      <c r="AR1076" s="8"/>
      <c r="AS1076" s="8" t="s">
        <v>7623</v>
      </c>
      <c r="AT1076" s="8" t="s">
        <v>7624</v>
      </c>
      <c r="AU1076" s="8" t="s">
        <v>7600</v>
      </c>
      <c r="AV1076" s="4" t="s">
        <v>7601</v>
      </c>
      <c r="AW1076" s="8"/>
      <c r="AX1076" s="8"/>
      <c r="AY1076" s="8" t="s">
        <v>7610</v>
      </c>
      <c r="AZ1076" s="4" t="s">
        <v>7617</v>
      </c>
      <c r="BA1076" s="8" t="n">
        <v>1800</v>
      </c>
      <c r="BB1076" s="8" t="s">
        <v>7657</v>
      </c>
      <c r="BC1076" s="4" t="s">
        <v>7658</v>
      </c>
      <c r="BD1076" s="8" t="s">
        <v>7605</v>
      </c>
      <c r="BE1076" s="4" t="s">
        <v>7606</v>
      </c>
      <c r="BF1076" s="8" t="s">
        <v>7607</v>
      </c>
      <c r="BG1076" s="8" t="s">
        <v>7608</v>
      </c>
      <c r="BH1076" s="4" t="s">
        <v>7609</v>
      </c>
      <c r="BI1076" s="8" t="n">
        <v>15</v>
      </c>
      <c r="BJ1076" s="8" t="s">
        <v>7602</v>
      </c>
      <c r="BK1076" s="4" t="s">
        <v>7653</v>
      </c>
      <c r="BL1076" s="8" t="s">
        <v>7602</v>
      </c>
      <c r="BM1076" s="4" t="s">
        <v>7620</v>
      </c>
      <c r="BN1076" s="8"/>
      <c r="BO1076" s="8"/>
      <c r="BP1076" s="8" t="s">
        <v>7610</v>
      </c>
      <c r="BQ1076" s="8" t="str">
        <f aca="false">IF(A1076="","",AT1076)</f>
        <v>3歳</v>
      </c>
      <c r="BR1076" s="8" t="str">
        <f aca="false">IF(A1076="","",IF(BA1076&lt;=1200,"～1200",IF(BA1076&lt;=1500,"1300～1500",IF(BA1076=1600,"1600",IF(BA1076&lt;=1800,"1700～1800",IF(BA1076&lt;=2000,"1900～2000","2100以上"))))))</f>
        <v>1700～1800</v>
      </c>
      <c r="BS1076" s="8" t="str">
        <f aca="false">IF(A1076="","",IF(AX1076="G1","G1",IF(AX1076="G2","G2",IF(AX1076="G3","G3",IF(AX1076="L","L","その他")))))</f>
        <v>その他</v>
      </c>
      <c r="BT1076" s="8" t="str">
        <f aca="false">IF(A1076="","",IF(BI1076="","未結合",IF(D1076=BI1076,"一致","不一致")))</f>
        <v>一致</v>
      </c>
      <c r="BU1076" s="8" t="str">
        <f aca="false">IF(A1076="","",IF(BE1076="牝馬限定","牝馬限定","その他"))</f>
        <v>その他</v>
      </c>
    </row>
    <row r="1077" customFormat="false" ht="15.75" hidden="false" customHeight="false" outlineLevel="0" collapsed="false">
      <c r="A1077" s="6" t="n">
        <f aca="false">DATE(2026,5,2)</f>
        <v>46144</v>
      </c>
      <c r="B1077" s="4" t="s">
        <v>5435</v>
      </c>
      <c r="C1077" s="8" t="n">
        <v>3</v>
      </c>
      <c r="D1077" s="8" t="n">
        <v>18</v>
      </c>
      <c r="E1077" s="8" t="n">
        <v>1</v>
      </c>
      <c r="F1077" s="4" t="s">
        <v>234</v>
      </c>
      <c r="G1077" s="8" t="n">
        <v>60</v>
      </c>
      <c r="H1077" s="8" t="n">
        <v>4</v>
      </c>
      <c r="I1077" s="4" t="s">
        <v>6293</v>
      </c>
      <c r="J1077" s="8" t="n">
        <v>50</v>
      </c>
      <c r="K1077" s="8" t="n">
        <v>11</v>
      </c>
      <c r="L1077" s="4" t="s">
        <v>402</v>
      </c>
      <c r="M1077" s="8" t="n">
        <v>34</v>
      </c>
      <c r="N1077" s="8" t="n">
        <f aca="false">IF(A1077="","",G1077-J1077)</f>
        <v>10</v>
      </c>
      <c r="O1077" s="8" t="n">
        <f aca="false">IF(A1077="","",J1077-M1077)</f>
        <v>16</v>
      </c>
      <c r="P1077" s="8" t="n">
        <f aca="false">IF(A1077="","",G1077+J1077)</f>
        <v>110</v>
      </c>
      <c r="Q1077" s="8" t="str">
        <f aca="false">IF(A1077="","",IF(AND(Y1077&lt;&gt;"参考",G1077&gt;=ルール設定!$B$2),"○",""))</f>
        <v/>
      </c>
      <c r="R1077" s="8" t="str">
        <f aca="false">IF(A1077="","",IF(AND(Y1077&lt;&gt;"参考",G1077&gt;=ルール設定!$B$3,N1077&gt;=ルール設定!$B$4),"○",""))</f>
        <v/>
      </c>
      <c r="S1077" s="8" t="str">
        <f aca="false">IF(A1077="","",IF(AND(Y1077&lt;&gt;"参考",G1077&gt;=ルール設定!$B$5,J1077&gt;=ルール設定!$B$6,O1077&gt;=ルール設定!$B$7),"○",""))</f>
        <v/>
      </c>
      <c r="T1077" s="8" t="n">
        <v>2</v>
      </c>
      <c r="U1077" s="8" t="n">
        <v>4</v>
      </c>
      <c r="V1077" s="8" t="str">
        <f aca="false">IF(A1077="","",IF(AND(ISNUMBER(T1077),ISNUMBER(U1077)),IF(AND(T1077&lt;=3,U1077&lt;=3),"○","×"),""))</f>
        <v>×</v>
      </c>
      <c r="W1077" s="8" t="n">
        <v>120</v>
      </c>
      <c r="X1077" s="8"/>
      <c r="Y1077" s="4" t="s">
        <v>7597</v>
      </c>
      <c r="Z1077" s="8" t="s">
        <v>8111</v>
      </c>
      <c r="AA1077" s="8" t="str">
        <v/>
      </c>
      <c r="AB1077" s="8" t="str">
        <v/>
      </c>
      <c r="AC1077" s="8" t="str">
        <v/>
      </c>
      <c r="AD1077" s="8" t="str">
        <v/>
      </c>
      <c r="AE1077" s="8" t="str">
        <v/>
      </c>
      <c r="AF1077" s="8" t="str">
        <v/>
      </c>
      <c r="AG1077" s="8" t="str">
        <v/>
      </c>
      <c r="AH1077" s="8" t="str">
        <v/>
      </c>
      <c r="AI1077" s="8" t="n">
        <v>26</v>
      </c>
      <c r="AJ1077" s="8" t="str">
        <v>60～69</v>
      </c>
      <c r="AK1077" s="8" t="str">
        <v>10～19</v>
      </c>
      <c r="AL1077" s="8" t="str">
        <v>20～29</v>
      </c>
      <c r="AM1077" s="8" t="str">
        <v>100～119</v>
      </c>
      <c r="AN1077" s="8" t="str">
        <v>15以上</v>
      </c>
      <c r="AO1077" s="8" t="str">
        <f aca="false">IF(A1077="","",IF(COUNTIFS(全馬データ!$A$2:$A$50000,A1077,全馬データ!$B$2:$B$50000,B1077,全馬データ!$C$2:$C$50000,C1077,全馬データ!$D$2:$D$50000,E1077,全馬データ!$K$2:$K$50000,"&lt;&gt;")=0,"",SUMIFS(全馬データ!$K$2:$K$50000,全馬データ!$A$2:$A$50000,A1077,全馬データ!$B$2:$B$50000,B1077,全馬データ!$C$2:$C$50000,C1077,全馬データ!$D$2:$D$50000,E1077)))</f>
        <v/>
      </c>
      <c r="AP1077" s="8" t="str">
        <f aca="false">IF(A1077="","",IF(AO1077="","欠損",IF(AO1077&lt;=1.1,"1.0～1.1",IF(AO1077&lt;1.3,"1.2",IF(AO1077&lt;1.5,"1.3～1.4",IF(AO1077&lt;2,"1.5～1.9","2.0以上"))))))</f>
        <v>欠損</v>
      </c>
      <c r="AQ1077" s="8" t="str">
        <f aca="false">IF(A1077="","",IF(ISNUMBER(SEARCH("2歳",Z1077)),"2歳戦",IF(ISNUMBER(SEARCH("3歳未勝利",Z1077)),"3歳未勝利",IF(ISNUMBER(SEARCH("未勝利",Z1077)),"その他未勝利",IF(ISNUMBER(SEARCH("G1",Z1077)),"G1",IF(ISNUMBER(SEARCH("G2",Z1077)),"G2",IF(ISNUMBER(SEARCH("G3",Z1077)),"G3",IF(ISNUMBER(SEARCH("古馬条件",Z1077)),"古馬条件戦",IF(ISNUMBER(SEARCH("重賞",Z1077)),"重賞","分類不能")))))))))</f>
        <v>分類不能</v>
      </c>
      <c r="AR1077" s="8"/>
      <c r="AS1077" s="8" t="s">
        <v>7623</v>
      </c>
      <c r="AT1077" s="8" t="s">
        <v>7624</v>
      </c>
      <c r="AU1077" s="8" t="s">
        <v>7600</v>
      </c>
      <c r="AV1077" s="4" t="s">
        <v>7601</v>
      </c>
      <c r="AW1077" s="8"/>
      <c r="AX1077" s="8"/>
      <c r="AY1077" s="8" t="s">
        <v>7602</v>
      </c>
      <c r="AZ1077" s="4" t="s">
        <v>7603</v>
      </c>
      <c r="BA1077" s="8" t="n">
        <v>1600</v>
      </c>
      <c r="BB1077" s="8" t="s">
        <v>7659</v>
      </c>
      <c r="BC1077" s="4" t="s">
        <v>7619</v>
      </c>
      <c r="BD1077" s="8" t="s">
        <v>7621</v>
      </c>
      <c r="BE1077" s="4" t="s">
        <v>7622</v>
      </c>
      <c r="BF1077" s="8" t="s">
        <v>7602</v>
      </c>
      <c r="BG1077" s="8" t="s">
        <v>7608</v>
      </c>
      <c r="BH1077" s="4" t="s">
        <v>7609</v>
      </c>
      <c r="BI1077" s="8" t="n">
        <v>18</v>
      </c>
      <c r="BJ1077" s="8" t="s">
        <v>7602</v>
      </c>
      <c r="BK1077" s="4" t="s">
        <v>7653</v>
      </c>
      <c r="BL1077" s="8" t="s">
        <v>7602</v>
      </c>
      <c r="BM1077" s="4" t="s">
        <v>7620</v>
      </c>
      <c r="BN1077" s="8" t="s">
        <v>7636</v>
      </c>
      <c r="BO1077" s="8" t="s">
        <v>7804</v>
      </c>
      <c r="BP1077" s="8" t="s">
        <v>7610</v>
      </c>
      <c r="BQ1077" s="8" t="str">
        <f aca="false">IF(A1077="","",AT1077)</f>
        <v>3歳</v>
      </c>
      <c r="BR1077" s="8" t="str">
        <f aca="false">IF(A1077="","",IF(BA1077&lt;=1200,"～1200",IF(BA1077&lt;=1500,"1300～1500",IF(BA1077=1600,"1600",IF(BA1077&lt;=1800,"1700～1800",IF(BA1077&lt;=2000,"1900～2000","2100以上"))))))</f>
        <v>1600</v>
      </c>
      <c r="BS1077" s="8" t="str">
        <f aca="false">IF(A1077="","",IF(AX1077="G1","G1",IF(AX1077="G2","G2",IF(AX1077="G3","G3",IF(AX1077="L","L","その他")))))</f>
        <v>その他</v>
      </c>
      <c r="BT1077" s="8" t="str">
        <f aca="false">IF(A1077="","",IF(BI1077="","未結合",IF(D1077=BI1077,"一致","不一致")))</f>
        <v>一致</v>
      </c>
      <c r="BU1077" s="8" t="str">
        <f aca="false">IF(A1077="","",IF(BE1077="牝馬限定","牝馬限定","その他"))</f>
        <v>牝馬限定</v>
      </c>
    </row>
    <row r="1078" customFormat="false" ht="15.75" hidden="false" customHeight="false" outlineLevel="0" collapsed="false">
      <c r="A1078" s="6" t="n">
        <f aca="false">DATE(2026,5,2)</f>
        <v>46144</v>
      </c>
      <c r="B1078" s="4" t="s">
        <v>5435</v>
      </c>
      <c r="C1078" s="8" t="n">
        <v>4</v>
      </c>
      <c r="D1078" s="8" t="n">
        <v>18</v>
      </c>
      <c r="E1078" s="8" t="n">
        <v>13</v>
      </c>
      <c r="F1078" s="4" t="s">
        <v>5909</v>
      </c>
      <c r="G1078" s="8" t="n">
        <v>52</v>
      </c>
      <c r="H1078" s="8" t="n">
        <v>6</v>
      </c>
      <c r="I1078" s="4" t="s">
        <v>5481</v>
      </c>
      <c r="J1078" s="8" t="n">
        <v>50</v>
      </c>
      <c r="K1078" s="8" t="n">
        <v>3</v>
      </c>
      <c r="L1078" s="4" t="s">
        <v>5674</v>
      </c>
      <c r="M1078" s="8" t="n">
        <v>44</v>
      </c>
      <c r="N1078" s="8" t="n">
        <f aca="false">IF(A1078="","",G1078-J1078)</f>
        <v>2</v>
      </c>
      <c r="O1078" s="8" t="n">
        <f aca="false">IF(A1078="","",J1078-M1078)</f>
        <v>6</v>
      </c>
      <c r="P1078" s="8" t="n">
        <f aca="false">IF(A1078="","",G1078+J1078)</f>
        <v>102</v>
      </c>
      <c r="Q1078" s="8" t="str">
        <f aca="false">IF(A1078="","",IF(AND(Y1078&lt;&gt;"参考",G1078&gt;=ルール設定!$B$2),"○",""))</f>
        <v/>
      </c>
      <c r="R1078" s="8" t="str">
        <f aca="false">IF(A1078="","",IF(AND(Y1078&lt;&gt;"参考",G1078&gt;=ルール設定!$B$3,N1078&gt;=ルール設定!$B$4),"○",""))</f>
        <v/>
      </c>
      <c r="S1078" s="8" t="str">
        <f aca="false">IF(A1078="","",IF(AND(Y1078&lt;&gt;"参考",G1078&gt;=ルール設定!$B$5,J1078&gt;=ルール設定!$B$6,O1078&gt;=ルール設定!$B$7),"○",""))</f>
        <v/>
      </c>
      <c r="T1078" s="8" t="n">
        <v>4</v>
      </c>
      <c r="U1078" s="8" t="n">
        <v>1</v>
      </c>
      <c r="V1078" s="8" t="str">
        <f aca="false">IF(A1078="","",IF(AND(ISNUMBER(T1078),ISNUMBER(U1078)),IF(AND(T1078&lt;=3,U1078&lt;=3),"○","×"),""))</f>
        <v>×</v>
      </c>
      <c r="W1078" s="8"/>
      <c r="X1078" s="8"/>
      <c r="Y1078" s="4" t="s">
        <v>7597</v>
      </c>
      <c r="Z1078" s="8" t="s">
        <v>8111</v>
      </c>
      <c r="AA1078" s="8" t="str">
        <v/>
      </c>
      <c r="AB1078" s="8" t="str">
        <v/>
      </c>
      <c r="AC1078" s="8" t="str">
        <v/>
      </c>
      <c r="AD1078" s="8" t="str">
        <v/>
      </c>
      <c r="AE1078" s="8" t="str">
        <v/>
      </c>
      <c r="AF1078" s="8" t="str">
        <v/>
      </c>
      <c r="AG1078" s="8" t="str">
        <v/>
      </c>
      <c r="AH1078" s="8" t="str">
        <v/>
      </c>
      <c r="AI1078" s="8" t="n">
        <v>8</v>
      </c>
      <c r="AJ1078" s="8" t="str">
        <v>～59</v>
      </c>
      <c r="AK1078" s="8" t="str">
        <v>0～4</v>
      </c>
      <c r="AL1078" s="8" t="str">
        <v>0～9</v>
      </c>
      <c r="AM1078" s="8" t="str">
        <v>100～119</v>
      </c>
      <c r="AN1078" s="8" t="str">
        <v>15以上</v>
      </c>
      <c r="AO1078" s="8" t="str">
        <f aca="false">IF(A1078="","",IF(COUNTIFS(全馬データ!$A$2:$A$50000,A1078,全馬データ!$B$2:$B$50000,B1078,全馬データ!$C$2:$C$50000,C1078,全馬データ!$D$2:$D$50000,E1078,全馬データ!$K$2:$K$50000,"&lt;&gt;")=0,"",SUMIFS(全馬データ!$K$2:$K$50000,全馬データ!$A$2:$A$50000,A1078,全馬データ!$B$2:$B$50000,B1078,全馬データ!$C$2:$C$50000,C1078,全馬データ!$D$2:$D$50000,E1078)))</f>
        <v/>
      </c>
      <c r="AP1078" s="8" t="str">
        <f aca="false">IF(A1078="","",IF(AO1078="","欠損",IF(AO1078&lt;=1.1,"1.0～1.1",IF(AO1078&lt;1.3,"1.2",IF(AO1078&lt;1.5,"1.3～1.4",IF(AO1078&lt;2,"1.5～1.9","2.0以上"))))))</f>
        <v>欠損</v>
      </c>
      <c r="AQ1078" s="8" t="str">
        <f aca="false">IF(A1078="","",IF(ISNUMBER(SEARCH("2歳",Z1078)),"2歳戦",IF(ISNUMBER(SEARCH("3歳未勝利",Z1078)),"3歳未勝利",IF(ISNUMBER(SEARCH("未勝利",Z1078)),"その他未勝利",IF(ISNUMBER(SEARCH("G1",Z1078)),"G1",IF(ISNUMBER(SEARCH("G2",Z1078)),"G2",IF(ISNUMBER(SEARCH("G3",Z1078)),"G3",IF(ISNUMBER(SEARCH("古馬条件",Z1078)),"古馬条件戦",IF(ISNUMBER(SEARCH("重賞",Z1078)),"重賞","分類不能")))))))))</f>
        <v>分類不能</v>
      </c>
      <c r="AR1078" s="8"/>
      <c r="AS1078" s="8" t="s">
        <v>7623</v>
      </c>
      <c r="AT1078" s="8" t="s">
        <v>7624</v>
      </c>
      <c r="AU1078" s="8" t="s">
        <v>7600</v>
      </c>
      <c r="AV1078" s="4" t="s">
        <v>7601</v>
      </c>
      <c r="AW1078" s="8"/>
      <c r="AX1078" s="8"/>
      <c r="AY1078" s="8" t="s">
        <v>7602</v>
      </c>
      <c r="AZ1078" s="4" t="s">
        <v>7603</v>
      </c>
      <c r="BA1078" s="8" t="n">
        <v>1400</v>
      </c>
      <c r="BB1078" s="8" t="s">
        <v>7659</v>
      </c>
      <c r="BC1078" s="4" t="s">
        <v>7619</v>
      </c>
      <c r="BD1078" s="8" t="s">
        <v>7605</v>
      </c>
      <c r="BE1078" s="4" t="s">
        <v>7606</v>
      </c>
      <c r="BF1078" s="8" t="s">
        <v>7607</v>
      </c>
      <c r="BG1078" s="8" t="s">
        <v>7608</v>
      </c>
      <c r="BH1078" s="4" t="s">
        <v>7609</v>
      </c>
      <c r="BI1078" s="8" t="n">
        <v>18</v>
      </c>
      <c r="BJ1078" s="8" t="s">
        <v>7602</v>
      </c>
      <c r="BK1078" s="4" t="s">
        <v>7653</v>
      </c>
      <c r="BL1078" s="8" t="s">
        <v>7602</v>
      </c>
      <c r="BM1078" s="4" t="s">
        <v>7620</v>
      </c>
      <c r="BN1078" s="8" t="s">
        <v>7636</v>
      </c>
      <c r="BO1078" s="8" t="s">
        <v>7804</v>
      </c>
      <c r="BP1078" s="8" t="s">
        <v>7610</v>
      </c>
      <c r="BQ1078" s="8" t="str">
        <f aca="false">IF(A1078="","",AT1078)</f>
        <v>3歳</v>
      </c>
      <c r="BR1078" s="8" t="str">
        <f aca="false">IF(A1078="","",IF(BA1078&lt;=1200,"～1200",IF(BA1078&lt;=1500,"1300～1500",IF(BA1078=1600,"1600",IF(BA1078&lt;=1800,"1700～1800",IF(BA1078&lt;=2000,"1900～2000","2100以上"))))))</f>
        <v>1300～1500</v>
      </c>
      <c r="BS1078" s="8" t="str">
        <f aca="false">IF(A1078="","",IF(AX1078="G1","G1",IF(AX1078="G2","G2",IF(AX1078="G3","G3",IF(AX1078="L","L","その他")))))</f>
        <v>その他</v>
      </c>
      <c r="BT1078" s="8" t="str">
        <f aca="false">IF(A1078="","",IF(BI1078="","未結合",IF(D1078=BI1078,"一致","不一致")))</f>
        <v>一致</v>
      </c>
      <c r="BU1078" s="8" t="str">
        <f aca="false">IF(A1078="","",IF(BE1078="牝馬限定","牝馬限定","その他"))</f>
        <v>その他</v>
      </c>
    </row>
    <row r="1079" customFormat="false" ht="15.75" hidden="false" customHeight="false" outlineLevel="0" collapsed="false">
      <c r="A1079" s="6" t="n">
        <f aca="false">DATE(2026,5,2)</f>
        <v>46144</v>
      </c>
      <c r="B1079" s="4" t="s">
        <v>5435</v>
      </c>
      <c r="C1079" s="8" t="n">
        <v>5</v>
      </c>
      <c r="D1079" s="8" t="n">
        <v>13</v>
      </c>
      <c r="E1079" s="8" t="n">
        <v>6</v>
      </c>
      <c r="F1079" s="4" t="s">
        <v>7265</v>
      </c>
      <c r="G1079" s="8" t="n">
        <v>86</v>
      </c>
      <c r="H1079" s="8" t="n">
        <v>10</v>
      </c>
      <c r="I1079" s="4" t="s">
        <v>3517</v>
      </c>
      <c r="J1079" s="8" t="n">
        <v>41</v>
      </c>
      <c r="K1079" s="8" t="n">
        <v>1</v>
      </c>
      <c r="L1079" s="4" t="s">
        <v>2468</v>
      </c>
      <c r="M1079" s="8" t="n">
        <v>37</v>
      </c>
      <c r="N1079" s="8" t="n">
        <f aca="false">IF(A1079="","",G1079-J1079)</f>
        <v>45</v>
      </c>
      <c r="O1079" s="8" t="n">
        <f aca="false">IF(A1079="","",J1079-M1079)</f>
        <v>4</v>
      </c>
      <c r="P1079" s="8" t="n">
        <f aca="false">IF(A1079="","",G1079+J1079)</f>
        <v>127</v>
      </c>
      <c r="Q1079" s="8" t="str">
        <f aca="false">IF(A1079="","",IF(AND(Y1079&lt;&gt;"参考",G1079&gt;=ルール設定!$B$2),"○",""))</f>
        <v>○</v>
      </c>
      <c r="R1079" s="8" t="str">
        <f aca="false">IF(A1079="","",IF(AND(Y1079&lt;&gt;"参考",G1079&gt;=ルール設定!$B$3,N1079&gt;=ルール設定!$B$4),"○",""))</f>
        <v>○</v>
      </c>
      <c r="S1079" s="8" t="str">
        <f aca="false">IF(A1079="","",IF(AND(Y1079&lt;&gt;"参考",G1079&gt;=ルール設定!$B$5,J1079&gt;=ルール設定!$B$6,O1079&gt;=ルール設定!$B$7),"○",""))</f>
        <v/>
      </c>
      <c r="T1079" s="8" t="n">
        <v>1</v>
      </c>
      <c r="U1079" s="8" t="n">
        <v>3</v>
      </c>
      <c r="V1079" s="8" t="str">
        <f aca="false">IF(A1079="","",IF(AND(ISNUMBER(T1079),ISNUMBER(U1079)),IF(AND(T1079&lt;=3,U1079&lt;=3),"○","×"),""))</f>
        <v>○</v>
      </c>
      <c r="W1079" s="8" t="n">
        <v>100</v>
      </c>
      <c r="X1079" s="8" t="n">
        <v>220</v>
      </c>
      <c r="Y1079" s="4" t="s">
        <v>7597</v>
      </c>
      <c r="Z1079" s="8" t="s">
        <v>8111</v>
      </c>
      <c r="AA1079" s="8" t="str">
        <v>○</v>
      </c>
      <c r="AB1079" s="8" t="str">
        <v>○</v>
      </c>
      <c r="AC1079" s="8" t="str">
        <v/>
      </c>
      <c r="AD1079" s="8" t="str">
        <v>○</v>
      </c>
      <c r="AE1079" s="8" t="str">
        <v/>
      </c>
      <c r="AF1079" s="8" t="str">
        <v/>
      </c>
      <c r="AG1079" s="8" t="str">
        <v>○</v>
      </c>
      <c r="AH1079" s="8" t="str">
        <v/>
      </c>
      <c r="AI1079" s="8" t="n">
        <v>49</v>
      </c>
      <c r="AJ1079" s="8" t="str">
        <v>85以上</v>
      </c>
      <c r="AK1079" s="8" t="str">
        <v>30以上</v>
      </c>
      <c r="AL1079" s="8" t="str">
        <v>40以上</v>
      </c>
      <c r="AM1079" s="8" t="str">
        <v>120～139</v>
      </c>
      <c r="AN1079" s="8" t="str">
        <v>12～14</v>
      </c>
      <c r="AO1079" s="8" t="str">
        <f aca="false">IF(A1079="","",IF(COUNTIFS(全馬データ!$A$2:$A$50000,A1079,全馬データ!$B$2:$B$50000,B1079,全馬データ!$C$2:$C$50000,C1079,全馬データ!$D$2:$D$50000,E1079,全馬データ!$K$2:$K$50000,"&lt;&gt;")=0,"",SUMIFS(全馬データ!$K$2:$K$50000,全馬データ!$A$2:$A$50000,A1079,全馬データ!$B$2:$B$50000,B1079,全馬データ!$C$2:$C$50000,C1079,全馬データ!$D$2:$D$50000,E1079)))</f>
        <v/>
      </c>
      <c r="AP1079" s="8" t="str">
        <f aca="false">IF(A1079="","",IF(AO1079="","欠損",IF(AO1079&lt;=1.1,"1.0～1.1",IF(AO1079&lt;1.3,"1.2",IF(AO1079&lt;1.5,"1.3～1.4",IF(AO1079&lt;2,"1.5～1.9","2.0以上"))))))</f>
        <v>欠損</v>
      </c>
      <c r="AQ1079" s="8" t="str">
        <f aca="false">IF(A1079="","",IF(ISNUMBER(SEARCH("2歳",Z1079)),"2歳戦",IF(ISNUMBER(SEARCH("3歳未勝利",Z1079)),"3歳未勝利",IF(ISNUMBER(SEARCH("未勝利",Z1079)),"その他未勝利",IF(ISNUMBER(SEARCH("G1",Z1079)),"G1",IF(ISNUMBER(SEARCH("G2",Z1079)),"G2",IF(ISNUMBER(SEARCH("G3",Z1079)),"G3",IF(ISNUMBER(SEARCH("古馬条件",Z1079)),"古馬条件戦",IF(ISNUMBER(SEARCH("重賞",Z1079)),"重賞","分類不能")))))))))</f>
        <v>分類不能</v>
      </c>
      <c r="AR1079" s="8"/>
      <c r="AS1079" s="8" t="s">
        <v>7623</v>
      </c>
      <c r="AT1079" s="8" t="s">
        <v>7624</v>
      </c>
      <c r="AU1079" s="8" t="s">
        <v>7600</v>
      </c>
      <c r="AV1079" s="4" t="s">
        <v>7601</v>
      </c>
      <c r="AW1079" s="8"/>
      <c r="AX1079" s="8"/>
      <c r="AY1079" s="8" t="s">
        <v>7602</v>
      </c>
      <c r="AZ1079" s="4" t="s">
        <v>7603</v>
      </c>
      <c r="BA1079" s="8" t="n">
        <v>2000</v>
      </c>
      <c r="BB1079" s="8" t="s">
        <v>7598</v>
      </c>
      <c r="BC1079" s="4" t="s">
        <v>7604</v>
      </c>
      <c r="BD1079" s="8" t="s">
        <v>7625</v>
      </c>
      <c r="BE1079" s="4" t="s">
        <v>7606</v>
      </c>
      <c r="BF1079" s="8" t="s">
        <v>7607</v>
      </c>
      <c r="BG1079" s="8" t="s">
        <v>7608</v>
      </c>
      <c r="BH1079" s="4" t="s">
        <v>7609</v>
      </c>
      <c r="BI1079" s="8" t="n">
        <v>13</v>
      </c>
      <c r="BJ1079" s="8" t="s">
        <v>7602</v>
      </c>
      <c r="BK1079" s="4" t="s">
        <v>7653</v>
      </c>
      <c r="BL1079" s="8" t="s">
        <v>7602</v>
      </c>
      <c r="BM1079" s="4" t="s">
        <v>7620</v>
      </c>
      <c r="BN1079" s="8" t="s">
        <v>7636</v>
      </c>
      <c r="BO1079" s="8" t="s">
        <v>7804</v>
      </c>
      <c r="BP1079" s="8" t="s">
        <v>7610</v>
      </c>
      <c r="BQ1079" s="8" t="str">
        <f aca="false">IF(A1079="","",AT1079)</f>
        <v>3歳</v>
      </c>
      <c r="BR1079" s="8" t="str">
        <f aca="false">IF(A1079="","",IF(BA1079&lt;=1200,"～1200",IF(BA1079&lt;=1500,"1300～1500",IF(BA1079=1600,"1600",IF(BA1079&lt;=1800,"1700～1800",IF(BA1079&lt;=2000,"1900～2000","2100以上"))))))</f>
        <v>1900～2000</v>
      </c>
      <c r="BS1079" s="8" t="str">
        <f aca="false">IF(A1079="","",IF(AX1079="G1","G1",IF(AX1079="G2","G2",IF(AX1079="G3","G3",IF(AX1079="L","L","その他")))))</f>
        <v>その他</v>
      </c>
      <c r="BT1079" s="8" t="str">
        <f aca="false">IF(A1079="","",IF(BI1079="","未結合",IF(D1079=BI1079,"一致","不一致")))</f>
        <v>一致</v>
      </c>
      <c r="BU1079" s="8" t="str">
        <f aca="false">IF(A1079="","",IF(BE1079="牝馬限定","牝馬限定","その他"))</f>
        <v>その他</v>
      </c>
    </row>
    <row r="1080" customFormat="false" ht="15.75" hidden="false" customHeight="false" outlineLevel="0" collapsed="false">
      <c r="A1080" s="6" t="n">
        <f aca="false">DATE(2026,5,2)</f>
        <v>46144</v>
      </c>
      <c r="B1080" s="4" t="s">
        <v>5435</v>
      </c>
      <c r="C1080" s="8" t="n">
        <v>6</v>
      </c>
      <c r="D1080" s="8" t="n">
        <v>11</v>
      </c>
      <c r="E1080" s="8" t="n">
        <v>7</v>
      </c>
      <c r="F1080" s="4" t="s">
        <v>7267</v>
      </c>
      <c r="G1080" s="8" t="n">
        <v>50</v>
      </c>
      <c r="H1080" s="8" t="n">
        <v>11</v>
      </c>
      <c r="I1080" s="4" t="s">
        <v>4827</v>
      </c>
      <c r="J1080" s="8" t="n">
        <v>44</v>
      </c>
      <c r="K1080" s="8" t="n">
        <v>10</v>
      </c>
      <c r="L1080" s="4" t="s">
        <v>3684</v>
      </c>
      <c r="M1080" s="8" t="n">
        <v>41</v>
      </c>
      <c r="N1080" s="8" t="n">
        <f aca="false">IF(A1080="","",G1080-J1080)</f>
        <v>6</v>
      </c>
      <c r="O1080" s="8" t="n">
        <f aca="false">IF(A1080="","",J1080-M1080)</f>
        <v>3</v>
      </c>
      <c r="P1080" s="8" t="n">
        <f aca="false">IF(A1080="","",G1080+J1080)</f>
        <v>94</v>
      </c>
      <c r="Q1080" s="8" t="str">
        <f aca="false">IF(A1080="","",IF(AND(Y1080&lt;&gt;"参考",G1080&gt;=ルール設定!$B$2),"○",""))</f>
        <v/>
      </c>
      <c r="R1080" s="8" t="str">
        <f aca="false">IF(A1080="","",IF(AND(Y1080&lt;&gt;"参考",G1080&gt;=ルール設定!$B$3,N1080&gt;=ルール設定!$B$4),"○",""))</f>
        <v/>
      </c>
      <c r="S1080" s="8" t="str">
        <f aca="false">IF(A1080="","",IF(AND(Y1080&lt;&gt;"参考",G1080&gt;=ルール設定!$B$5,J1080&gt;=ルール設定!$B$6,O1080&gt;=ルール設定!$B$7),"○",""))</f>
        <v/>
      </c>
      <c r="T1080" s="8" t="n">
        <v>1</v>
      </c>
      <c r="U1080" s="8" t="n">
        <v>2</v>
      </c>
      <c r="V1080" s="8" t="str">
        <f aca="false">IF(A1080="","",IF(AND(ISNUMBER(T1080),ISNUMBER(U1080)),IF(AND(T1080&lt;=3,U1080&lt;=3),"○","×"),""))</f>
        <v>○</v>
      </c>
      <c r="W1080" s="8" t="n">
        <v>130</v>
      </c>
      <c r="X1080" s="8" t="n">
        <v>240</v>
      </c>
      <c r="Y1080" s="4" t="s">
        <v>7597</v>
      </c>
      <c r="Z1080" s="8" t="s">
        <v>8111</v>
      </c>
      <c r="AA1080" s="8" t="str">
        <v/>
      </c>
      <c r="AB1080" s="8" t="str">
        <v/>
      </c>
      <c r="AC1080" s="8" t="str">
        <v/>
      </c>
      <c r="AD1080" s="8" t="str">
        <v/>
      </c>
      <c r="AE1080" s="8" t="str">
        <v/>
      </c>
      <c r="AF1080" s="8" t="str">
        <v/>
      </c>
      <c r="AG1080" s="8" t="str">
        <v/>
      </c>
      <c r="AH1080" s="8" t="str">
        <v/>
      </c>
      <c r="AI1080" s="8" t="n">
        <v>9</v>
      </c>
      <c r="AJ1080" s="8" t="str">
        <v>～59</v>
      </c>
      <c r="AK1080" s="8" t="str">
        <v>5～9</v>
      </c>
      <c r="AL1080" s="8" t="str">
        <v>0～9</v>
      </c>
      <c r="AM1080" s="8" t="str">
        <v>～99</v>
      </c>
      <c r="AN1080" s="8" t="str">
        <v>8～11</v>
      </c>
      <c r="AO1080" s="8" t="str">
        <f aca="false">IF(A1080="","",IF(COUNTIFS(全馬データ!$A$2:$A$50000,A1080,全馬データ!$B$2:$B$50000,B1080,全馬データ!$C$2:$C$50000,C1080,全馬データ!$D$2:$D$50000,E1080,全馬データ!$K$2:$K$50000,"&lt;&gt;")=0,"",SUMIFS(全馬データ!$K$2:$K$50000,全馬データ!$A$2:$A$50000,A1080,全馬データ!$B$2:$B$50000,B1080,全馬データ!$C$2:$C$50000,C1080,全馬データ!$D$2:$D$50000,E1080)))</f>
        <v/>
      </c>
      <c r="AP1080" s="8" t="str">
        <f aca="false">IF(A1080="","",IF(AO1080="","欠損",IF(AO1080&lt;=1.1,"1.0～1.1",IF(AO1080&lt;1.3,"1.2",IF(AO1080&lt;1.5,"1.3～1.4",IF(AO1080&lt;2,"1.5～1.9","2.0以上"))))))</f>
        <v>欠損</v>
      </c>
      <c r="AQ1080" s="8" t="str">
        <f aca="false">IF(A1080="","",IF(ISNUMBER(SEARCH("2歳",Z1080)),"2歳戦",IF(ISNUMBER(SEARCH("3歳未勝利",Z1080)),"3歳未勝利",IF(ISNUMBER(SEARCH("未勝利",Z1080)),"その他未勝利",IF(ISNUMBER(SEARCH("G1",Z1080)),"G1",IF(ISNUMBER(SEARCH("G2",Z1080)),"G2",IF(ISNUMBER(SEARCH("G3",Z1080)),"G3",IF(ISNUMBER(SEARCH("古馬条件",Z1080)),"古馬条件戦",IF(ISNUMBER(SEARCH("重賞",Z1080)),"重賞","分類不能")))))))))</f>
        <v>分類不能</v>
      </c>
      <c r="AR1080" s="8"/>
      <c r="AS1080" s="8" t="s">
        <v>7842</v>
      </c>
      <c r="AT1080" s="8" t="s">
        <v>7843</v>
      </c>
      <c r="AU1080" s="8" t="s">
        <v>7628</v>
      </c>
      <c r="AV1080" s="8" t="s">
        <v>7629</v>
      </c>
      <c r="AW1080" s="8"/>
      <c r="AX1080" s="8"/>
      <c r="AY1080" s="8" t="s">
        <v>7610</v>
      </c>
      <c r="AZ1080" s="4" t="s">
        <v>7617</v>
      </c>
      <c r="BA1080" s="8" t="n">
        <v>1800</v>
      </c>
      <c r="BB1080" s="8" t="s">
        <v>7618</v>
      </c>
      <c r="BC1080" s="4" t="s">
        <v>7619</v>
      </c>
      <c r="BD1080" s="8" t="s">
        <v>7621</v>
      </c>
      <c r="BE1080" s="4" t="s">
        <v>7622</v>
      </c>
      <c r="BF1080" s="8" t="s">
        <v>7602</v>
      </c>
      <c r="BG1080" s="8" t="s">
        <v>7631</v>
      </c>
      <c r="BH1080" s="4" t="s">
        <v>7632</v>
      </c>
      <c r="BI1080" s="8" t="n">
        <v>11</v>
      </c>
      <c r="BJ1080" s="8" t="s">
        <v>7602</v>
      </c>
      <c r="BK1080" s="4" t="s">
        <v>7653</v>
      </c>
      <c r="BL1080" s="8" t="s">
        <v>7602</v>
      </c>
      <c r="BM1080" s="4" t="s">
        <v>7620</v>
      </c>
      <c r="BN1080" s="8"/>
      <c r="BO1080" s="8"/>
      <c r="BP1080" s="8" t="s">
        <v>7610</v>
      </c>
      <c r="BQ1080" s="8" t="str">
        <f aca="false">IF(A1080="","",AT1080)</f>
        <v>4歳以上</v>
      </c>
      <c r="BR1080" s="8" t="str">
        <f aca="false">IF(A1080="","",IF(BA1080&lt;=1200,"～1200",IF(BA1080&lt;=1500,"1300～1500",IF(BA1080=1600,"1600",IF(BA1080&lt;=1800,"1700～1800",IF(BA1080&lt;=2000,"1900～2000","2100以上"))))))</f>
        <v>1700～1800</v>
      </c>
      <c r="BS1080" s="8" t="str">
        <f aca="false">IF(A1080="","",IF(AX1080="G1","G1",IF(AX1080="G2","G2",IF(AX1080="G3","G3",IF(AX1080="L","L","その他")))))</f>
        <v>その他</v>
      </c>
      <c r="BT1080" s="8" t="str">
        <f aca="false">IF(A1080="","",IF(BI1080="","未結合",IF(D1080=BI1080,"一致","不一致")))</f>
        <v>一致</v>
      </c>
      <c r="BU1080" s="8" t="str">
        <f aca="false">IF(A1080="","",IF(BE1080="牝馬限定","牝馬限定","その他"))</f>
        <v>牝馬限定</v>
      </c>
    </row>
    <row r="1081" customFormat="false" ht="15.75" hidden="false" customHeight="false" outlineLevel="0" collapsed="false">
      <c r="A1081" s="6" t="n">
        <f aca="false">DATE(2026,5,2)</f>
        <v>46144</v>
      </c>
      <c r="B1081" s="4" t="s">
        <v>5435</v>
      </c>
      <c r="C1081" s="8" t="n">
        <v>7</v>
      </c>
      <c r="D1081" s="8" t="n">
        <v>12</v>
      </c>
      <c r="E1081" s="8" t="n">
        <v>5</v>
      </c>
      <c r="F1081" s="4" t="s">
        <v>4545</v>
      </c>
      <c r="G1081" s="8" t="n">
        <v>56</v>
      </c>
      <c r="H1081" s="8" t="n">
        <v>12</v>
      </c>
      <c r="I1081" s="4" t="s">
        <v>4247</v>
      </c>
      <c r="J1081" s="8" t="n">
        <v>47</v>
      </c>
      <c r="K1081" s="8" t="n">
        <v>2</v>
      </c>
      <c r="L1081" s="4" t="s">
        <v>3930</v>
      </c>
      <c r="M1081" s="8" t="n">
        <v>44</v>
      </c>
      <c r="N1081" s="8" t="n">
        <f aca="false">IF(A1081="","",G1081-J1081)</f>
        <v>9</v>
      </c>
      <c r="O1081" s="8" t="n">
        <f aca="false">IF(A1081="","",J1081-M1081)</f>
        <v>3</v>
      </c>
      <c r="P1081" s="8" t="n">
        <f aca="false">IF(A1081="","",G1081+J1081)</f>
        <v>103</v>
      </c>
      <c r="Q1081" s="8" t="str">
        <f aca="false">IF(A1081="","",IF(AND(Y1081&lt;&gt;"参考",G1081&gt;=ルール設定!$B$2),"○",""))</f>
        <v/>
      </c>
      <c r="R1081" s="8" t="str">
        <f aca="false">IF(A1081="","",IF(AND(Y1081&lt;&gt;"参考",G1081&gt;=ルール設定!$B$3,N1081&gt;=ルール設定!$B$4),"○",""))</f>
        <v/>
      </c>
      <c r="S1081" s="8" t="str">
        <f aca="false">IF(A1081="","",IF(AND(Y1081&lt;&gt;"参考",G1081&gt;=ルール設定!$B$5,J1081&gt;=ルール設定!$B$6,O1081&gt;=ルール設定!$B$7),"○",""))</f>
        <v/>
      </c>
      <c r="T1081" s="8" t="n">
        <v>1</v>
      </c>
      <c r="U1081" s="8" t="n">
        <v>3</v>
      </c>
      <c r="V1081" s="8" t="str">
        <f aca="false">IF(A1081="","",IF(AND(ISNUMBER(T1081),ISNUMBER(U1081)),IF(AND(T1081&lt;=3,U1081&lt;=3),"○","×"),""))</f>
        <v>○</v>
      </c>
      <c r="W1081" s="8" t="n">
        <v>150</v>
      </c>
      <c r="X1081" s="8" t="n">
        <v>950</v>
      </c>
      <c r="Y1081" s="4" t="s">
        <v>7597</v>
      </c>
      <c r="Z1081" s="8" t="s">
        <v>8111</v>
      </c>
      <c r="AA1081" s="8" t="str">
        <v/>
      </c>
      <c r="AB1081" s="8" t="str">
        <v/>
      </c>
      <c r="AC1081" s="8" t="str">
        <v/>
      </c>
      <c r="AD1081" s="8" t="str">
        <v/>
      </c>
      <c r="AE1081" s="8" t="str">
        <v/>
      </c>
      <c r="AF1081" s="8" t="str">
        <v/>
      </c>
      <c r="AG1081" s="8" t="str">
        <v/>
      </c>
      <c r="AH1081" s="8" t="str">
        <v/>
      </c>
      <c r="AI1081" s="8" t="n">
        <v>12</v>
      </c>
      <c r="AJ1081" s="8" t="str">
        <v>～59</v>
      </c>
      <c r="AK1081" s="8" t="str">
        <v>5～9</v>
      </c>
      <c r="AL1081" s="8" t="str">
        <v>10～19</v>
      </c>
      <c r="AM1081" s="8" t="str">
        <v>100～119</v>
      </c>
      <c r="AN1081" s="8" t="str">
        <v>12～14</v>
      </c>
      <c r="AO1081" s="8" t="str">
        <f aca="false">IF(A1081="","",IF(COUNTIFS(全馬データ!$A$2:$A$50000,A1081,全馬データ!$B$2:$B$50000,B1081,全馬データ!$C$2:$C$50000,C1081,全馬データ!$D$2:$D$50000,E1081,全馬データ!$K$2:$K$50000,"&lt;&gt;")=0,"",SUMIFS(全馬データ!$K$2:$K$50000,全馬データ!$A$2:$A$50000,A1081,全馬データ!$B$2:$B$50000,B1081,全馬データ!$C$2:$C$50000,C1081,全馬データ!$D$2:$D$50000,E1081)))</f>
        <v/>
      </c>
      <c r="AP1081" s="8" t="str">
        <f aca="false">IF(A1081="","",IF(AO1081="","欠損",IF(AO1081&lt;=1.1,"1.0～1.1",IF(AO1081&lt;1.3,"1.2",IF(AO1081&lt;1.5,"1.3～1.4",IF(AO1081&lt;2,"1.5～1.9","2.0以上"))))))</f>
        <v>欠損</v>
      </c>
      <c r="AQ1081" s="8" t="str">
        <f aca="false">IF(A1081="","",IF(ISNUMBER(SEARCH("2歳",Z1081)),"2歳戦",IF(ISNUMBER(SEARCH("3歳未勝利",Z1081)),"3歳未勝利",IF(ISNUMBER(SEARCH("未勝利",Z1081)),"その他未勝利",IF(ISNUMBER(SEARCH("G1",Z1081)),"G1",IF(ISNUMBER(SEARCH("G2",Z1081)),"G2",IF(ISNUMBER(SEARCH("G3",Z1081)),"G3",IF(ISNUMBER(SEARCH("古馬条件",Z1081)),"古馬条件戦",IF(ISNUMBER(SEARCH("重賞",Z1081)),"重賞","分類不能")))))))))</f>
        <v>分類不能</v>
      </c>
      <c r="AR1081" s="8"/>
      <c r="AS1081" s="8" t="s">
        <v>7623</v>
      </c>
      <c r="AT1081" s="8" t="s">
        <v>7624</v>
      </c>
      <c r="AU1081" s="8" t="s">
        <v>7628</v>
      </c>
      <c r="AV1081" s="8" t="s">
        <v>7629</v>
      </c>
      <c r="AW1081" s="8"/>
      <c r="AX1081" s="8"/>
      <c r="AY1081" s="8" t="s">
        <v>7602</v>
      </c>
      <c r="AZ1081" s="4" t="s">
        <v>7603</v>
      </c>
      <c r="BA1081" s="8" t="n">
        <v>1400</v>
      </c>
      <c r="BB1081" s="8" t="s">
        <v>7598</v>
      </c>
      <c r="BC1081" s="4" t="s">
        <v>7604</v>
      </c>
      <c r="BD1081" s="8" t="s">
        <v>7630</v>
      </c>
      <c r="BE1081" s="4" t="s">
        <v>7606</v>
      </c>
      <c r="BF1081" s="8" t="s">
        <v>7607</v>
      </c>
      <c r="BG1081" s="8" t="s">
        <v>7608</v>
      </c>
      <c r="BH1081" s="4" t="s">
        <v>7609</v>
      </c>
      <c r="BI1081" s="8" t="n">
        <v>12</v>
      </c>
      <c r="BJ1081" s="8" t="s">
        <v>7602</v>
      </c>
      <c r="BK1081" s="4" t="s">
        <v>7653</v>
      </c>
      <c r="BL1081" s="8" t="s">
        <v>7610</v>
      </c>
      <c r="BM1081" s="4" t="s">
        <v>7612</v>
      </c>
      <c r="BN1081" s="8" t="s">
        <v>7636</v>
      </c>
      <c r="BO1081" s="8" t="s">
        <v>7804</v>
      </c>
      <c r="BP1081" s="8" t="s">
        <v>7610</v>
      </c>
      <c r="BQ1081" s="8" t="str">
        <f aca="false">IF(A1081="","",AT1081)</f>
        <v>3歳</v>
      </c>
      <c r="BR1081" s="8" t="str">
        <f aca="false">IF(A1081="","",IF(BA1081&lt;=1200,"～1200",IF(BA1081&lt;=1500,"1300～1500",IF(BA1081=1600,"1600",IF(BA1081&lt;=1800,"1700～1800",IF(BA1081&lt;=2000,"1900～2000","2100以上"))))))</f>
        <v>1300～1500</v>
      </c>
      <c r="BS1081" s="8" t="str">
        <f aca="false">IF(A1081="","",IF(AX1081="G1","G1",IF(AX1081="G2","G2",IF(AX1081="G3","G3",IF(AX1081="L","L","その他")))))</f>
        <v>その他</v>
      </c>
      <c r="BT1081" s="8" t="str">
        <f aca="false">IF(A1081="","",IF(BI1081="","未結合",IF(D1081=BI1081,"一致","不一致")))</f>
        <v>一致</v>
      </c>
      <c r="BU1081" s="8" t="str">
        <f aca="false">IF(A1081="","",IF(BE1081="牝馬限定","牝馬限定","その他"))</f>
        <v>その他</v>
      </c>
    </row>
    <row r="1082" customFormat="false" ht="15.75" hidden="false" customHeight="false" outlineLevel="0" collapsed="false">
      <c r="A1082" s="6" t="n">
        <f aca="false">DATE(2026,5,2)</f>
        <v>46144</v>
      </c>
      <c r="B1082" s="4" t="s">
        <v>5435</v>
      </c>
      <c r="C1082" s="8" t="n">
        <v>8</v>
      </c>
      <c r="D1082" s="8" t="n">
        <v>13</v>
      </c>
      <c r="E1082" s="8" t="n">
        <v>8</v>
      </c>
      <c r="F1082" s="4" t="s">
        <v>6241</v>
      </c>
      <c r="G1082" s="8" t="n">
        <v>67</v>
      </c>
      <c r="H1082" s="8" t="n">
        <v>4</v>
      </c>
      <c r="I1082" s="4" t="s">
        <v>5722</v>
      </c>
      <c r="J1082" s="8" t="n">
        <v>56</v>
      </c>
      <c r="K1082" s="8" t="n">
        <v>9</v>
      </c>
      <c r="L1082" s="4" t="s">
        <v>743</v>
      </c>
      <c r="M1082" s="8" t="n">
        <v>56</v>
      </c>
      <c r="N1082" s="8" t="n">
        <f aca="false">IF(A1082="","",G1082-J1082)</f>
        <v>11</v>
      </c>
      <c r="O1082" s="8" t="n">
        <f aca="false">IF(A1082="","",J1082-M1082)</f>
        <v>0</v>
      </c>
      <c r="P1082" s="8" t="n">
        <f aca="false">IF(A1082="","",G1082+J1082)</f>
        <v>123</v>
      </c>
      <c r="Q1082" s="8" t="str">
        <f aca="false">IF(A1082="","",IF(AND(Y1082&lt;&gt;"参考",G1082&gt;=ルール設定!$B$2),"○",""))</f>
        <v/>
      </c>
      <c r="R1082" s="8" t="str">
        <f aca="false">IF(A1082="","",IF(AND(Y1082&lt;&gt;"参考",G1082&gt;=ルール設定!$B$3,N1082&gt;=ルール設定!$B$4),"○",""))</f>
        <v/>
      </c>
      <c r="S1082" s="8" t="str">
        <f aca="false">IF(A1082="","",IF(AND(Y1082&lt;&gt;"参考",G1082&gt;=ルール設定!$B$5,J1082&gt;=ルール設定!$B$6,O1082&gt;=ルール設定!$B$7),"○",""))</f>
        <v/>
      </c>
      <c r="T1082" s="8" t="n">
        <v>4</v>
      </c>
      <c r="U1082" s="8" t="n">
        <v>3</v>
      </c>
      <c r="V1082" s="8" t="str">
        <f aca="false">IF(A1082="","",IF(AND(ISNUMBER(T1082),ISNUMBER(U1082)),IF(AND(T1082&lt;=3,U1082&lt;=3),"○","×"),""))</f>
        <v>×</v>
      </c>
      <c r="W1082" s="8"/>
      <c r="X1082" s="8"/>
      <c r="Y1082" s="4" t="s">
        <v>7597</v>
      </c>
      <c r="Z1082" s="8" t="s">
        <v>8111</v>
      </c>
      <c r="AA1082" s="8" t="str">
        <v/>
      </c>
      <c r="AB1082" s="8" t="str">
        <v/>
      </c>
      <c r="AC1082" s="8" t="str">
        <v/>
      </c>
      <c r="AD1082" s="8" t="str">
        <v/>
      </c>
      <c r="AE1082" s="8" t="str">
        <v/>
      </c>
      <c r="AF1082" s="8" t="str">
        <v/>
      </c>
      <c r="AG1082" s="8" t="str">
        <v/>
      </c>
      <c r="AH1082" s="8" t="str">
        <v/>
      </c>
      <c r="AI1082" s="8" t="n">
        <v>11</v>
      </c>
      <c r="AJ1082" s="8" t="str">
        <v>60～69</v>
      </c>
      <c r="AK1082" s="8" t="str">
        <v>10～19</v>
      </c>
      <c r="AL1082" s="8" t="str">
        <v>10～19</v>
      </c>
      <c r="AM1082" s="8" t="str">
        <v>120～139</v>
      </c>
      <c r="AN1082" s="8" t="str">
        <v>12～14</v>
      </c>
      <c r="AO1082" s="8" t="str">
        <f aca="false">IF(A1082="","",IF(COUNTIFS(全馬データ!$A$2:$A$50000,A1082,全馬データ!$B$2:$B$50000,B1082,全馬データ!$C$2:$C$50000,C1082,全馬データ!$D$2:$D$50000,E1082,全馬データ!$K$2:$K$50000,"&lt;&gt;")=0,"",SUMIFS(全馬データ!$K$2:$K$50000,全馬データ!$A$2:$A$50000,A1082,全馬データ!$B$2:$B$50000,B1082,全馬データ!$C$2:$C$50000,C1082,全馬データ!$D$2:$D$50000,E1082)))</f>
        <v/>
      </c>
      <c r="AP1082" s="8" t="str">
        <f aca="false">IF(A1082="","",IF(AO1082="","欠損",IF(AO1082&lt;=1.1,"1.0～1.1",IF(AO1082&lt;1.3,"1.2",IF(AO1082&lt;1.5,"1.3～1.4",IF(AO1082&lt;2,"1.5～1.9","2.0以上"))))))</f>
        <v>欠損</v>
      </c>
      <c r="AQ1082" s="8" t="str">
        <f aca="false">IF(A1082="","",IF(ISNUMBER(SEARCH("2歳",Z1082)),"2歳戦",IF(ISNUMBER(SEARCH("3歳未勝利",Z1082)),"3歳未勝利",IF(ISNUMBER(SEARCH("未勝利",Z1082)),"その他未勝利",IF(ISNUMBER(SEARCH("G1",Z1082)),"G1",IF(ISNUMBER(SEARCH("G2",Z1082)),"G2",IF(ISNUMBER(SEARCH("G3",Z1082)),"G3",IF(ISNUMBER(SEARCH("古馬条件",Z1082)),"古馬条件戦",IF(ISNUMBER(SEARCH("重賞",Z1082)),"重賞","分類不能")))))))))</f>
        <v>分類不能</v>
      </c>
      <c r="AR1082" s="8"/>
      <c r="AS1082" s="8" t="s">
        <v>7842</v>
      </c>
      <c r="AT1082" s="8" t="s">
        <v>7843</v>
      </c>
      <c r="AU1082" s="8" t="s">
        <v>7628</v>
      </c>
      <c r="AV1082" s="8" t="s">
        <v>7629</v>
      </c>
      <c r="AW1082" s="8"/>
      <c r="AX1082" s="8"/>
      <c r="AY1082" s="8" t="s">
        <v>7610</v>
      </c>
      <c r="AZ1082" s="4" t="s">
        <v>7617</v>
      </c>
      <c r="BA1082" s="8" t="n">
        <v>1400</v>
      </c>
      <c r="BB1082" s="8" t="s">
        <v>7618</v>
      </c>
      <c r="BC1082" s="4" t="s">
        <v>7619</v>
      </c>
      <c r="BD1082" s="8" t="s">
        <v>7605</v>
      </c>
      <c r="BE1082" s="4" t="s">
        <v>7606</v>
      </c>
      <c r="BF1082" s="8" t="s">
        <v>7607</v>
      </c>
      <c r="BG1082" s="8" t="s">
        <v>7631</v>
      </c>
      <c r="BH1082" s="4" t="s">
        <v>7632</v>
      </c>
      <c r="BI1082" s="8" t="n">
        <v>13</v>
      </c>
      <c r="BJ1082" s="8" t="s">
        <v>7602</v>
      </c>
      <c r="BK1082" s="4" t="s">
        <v>7653</v>
      </c>
      <c r="BL1082" s="8" t="s">
        <v>7602</v>
      </c>
      <c r="BM1082" s="4" t="s">
        <v>7620</v>
      </c>
      <c r="BN1082" s="8"/>
      <c r="BO1082" s="8"/>
      <c r="BP1082" s="8" t="s">
        <v>7610</v>
      </c>
      <c r="BQ1082" s="8" t="str">
        <f aca="false">IF(A1082="","",AT1082)</f>
        <v>4歳以上</v>
      </c>
      <c r="BR1082" s="8" t="str">
        <f aca="false">IF(A1082="","",IF(BA1082&lt;=1200,"～1200",IF(BA1082&lt;=1500,"1300～1500",IF(BA1082=1600,"1600",IF(BA1082&lt;=1800,"1700～1800",IF(BA1082&lt;=2000,"1900～2000","2100以上"))))))</f>
        <v>1300～1500</v>
      </c>
      <c r="BS1082" s="8" t="str">
        <f aca="false">IF(A1082="","",IF(AX1082="G1","G1",IF(AX1082="G2","G2",IF(AX1082="G3","G3",IF(AX1082="L","L","その他")))))</f>
        <v>その他</v>
      </c>
      <c r="BT1082" s="8" t="str">
        <f aca="false">IF(A1082="","",IF(BI1082="","未結合",IF(D1082=BI1082,"一致","不一致")))</f>
        <v>一致</v>
      </c>
      <c r="BU1082" s="8" t="str">
        <f aca="false">IF(A1082="","",IF(BE1082="牝馬限定","牝馬限定","その他"))</f>
        <v>その他</v>
      </c>
    </row>
    <row r="1083" customFormat="false" ht="15.75" hidden="false" customHeight="false" outlineLevel="0" collapsed="false">
      <c r="A1083" s="6" t="n">
        <f aca="false">DATE(2026,5,2)</f>
        <v>46144</v>
      </c>
      <c r="B1083" s="4" t="s">
        <v>5435</v>
      </c>
      <c r="C1083" s="8" t="n">
        <v>9</v>
      </c>
      <c r="D1083" s="8" t="n">
        <v>9</v>
      </c>
      <c r="E1083" s="8" t="n">
        <v>9</v>
      </c>
      <c r="F1083" s="4" t="s">
        <v>5635</v>
      </c>
      <c r="G1083" s="8" t="n">
        <v>52</v>
      </c>
      <c r="H1083" s="8" t="n">
        <v>1</v>
      </c>
      <c r="I1083" s="4" t="s">
        <v>1712</v>
      </c>
      <c r="J1083" s="8" t="n">
        <v>47</v>
      </c>
      <c r="K1083" s="8" t="n">
        <v>7</v>
      </c>
      <c r="L1083" s="4" t="s">
        <v>5640</v>
      </c>
      <c r="M1083" s="8" t="n">
        <v>44</v>
      </c>
      <c r="N1083" s="8" t="n">
        <f aca="false">IF(A1083="","",G1083-J1083)</f>
        <v>5</v>
      </c>
      <c r="O1083" s="8" t="n">
        <f aca="false">IF(A1083="","",J1083-M1083)</f>
        <v>3</v>
      </c>
      <c r="P1083" s="8" t="n">
        <f aca="false">IF(A1083="","",G1083+J1083)</f>
        <v>99</v>
      </c>
      <c r="Q1083" s="8" t="str">
        <f aca="false">IF(A1083="","",IF(AND(Y1083&lt;&gt;"参考",G1083&gt;=ルール設定!$B$2),"○",""))</f>
        <v/>
      </c>
      <c r="R1083" s="8" t="str">
        <f aca="false">IF(A1083="","",IF(AND(Y1083&lt;&gt;"参考",G1083&gt;=ルール設定!$B$3,N1083&gt;=ルール設定!$B$4),"○",""))</f>
        <v/>
      </c>
      <c r="S1083" s="8" t="str">
        <f aca="false">IF(A1083="","",IF(AND(Y1083&lt;&gt;"参考",G1083&gt;=ルール設定!$B$5,J1083&gt;=ルール設定!$B$6,O1083&gt;=ルール設定!$B$7),"○",""))</f>
        <v/>
      </c>
      <c r="T1083" s="8" t="n">
        <v>2</v>
      </c>
      <c r="U1083" s="8" t="n">
        <v>4</v>
      </c>
      <c r="V1083" s="8" t="str">
        <f aca="false">IF(A1083="","",IF(AND(ISNUMBER(T1083),ISNUMBER(U1083)),IF(AND(T1083&lt;=3,U1083&lt;=3),"○","×"),""))</f>
        <v>×</v>
      </c>
      <c r="W1083" s="8" t="n">
        <v>140</v>
      </c>
      <c r="X1083" s="8"/>
      <c r="Y1083" s="4" t="s">
        <v>7597</v>
      </c>
      <c r="Z1083" s="8" t="s">
        <v>8111</v>
      </c>
      <c r="AA1083" s="8" t="str">
        <v/>
      </c>
      <c r="AB1083" s="8" t="str">
        <v/>
      </c>
      <c r="AC1083" s="8" t="str">
        <v/>
      </c>
      <c r="AD1083" s="8" t="str">
        <v/>
      </c>
      <c r="AE1083" s="8" t="str">
        <v/>
      </c>
      <c r="AF1083" s="8" t="str">
        <v/>
      </c>
      <c r="AG1083" s="8" t="str">
        <v/>
      </c>
      <c r="AH1083" s="8" t="str">
        <v/>
      </c>
      <c r="AI1083" s="8" t="n">
        <v>8</v>
      </c>
      <c r="AJ1083" s="8" t="str">
        <v>～59</v>
      </c>
      <c r="AK1083" s="8" t="str">
        <v>5～9</v>
      </c>
      <c r="AL1083" s="8" t="str">
        <v>0～9</v>
      </c>
      <c r="AM1083" s="8" t="str">
        <v>～99</v>
      </c>
      <c r="AN1083" s="8" t="str">
        <v>8～11</v>
      </c>
      <c r="AO1083" s="8" t="str">
        <f aca="false">IF(A1083="","",IF(COUNTIFS(全馬データ!$A$2:$A$50000,A1083,全馬データ!$B$2:$B$50000,B1083,全馬データ!$C$2:$C$50000,C1083,全馬データ!$D$2:$D$50000,E1083,全馬データ!$K$2:$K$50000,"&lt;&gt;")=0,"",SUMIFS(全馬データ!$K$2:$K$50000,全馬データ!$A$2:$A$50000,A1083,全馬データ!$B$2:$B$50000,B1083,全馬データ!$C$2:$C$50000,C1083,全馬データ!$D$2:$D$50000,E1083)))</f>
        <v/>
      </c>
      <c r="AP1083" s="8" t="str">
        <f aca="false">IF(A1083="","",IF(AO1083="","欠損",IF(AO1083&lt;=1.1,"1.0～1.1",IF(AO1083&lt;1.3,"1.2",IF(AO1083&lt;1.5,"1.3～1.4",IF(AO1083&lt;2,"1.5～1.9","2.0以上"))))))</f>
        <v>欠損</v>
      </c>
      <c r="AQ1083" s="8" t="str">
        <f aca="false">IF(A1083="","",IF(ISNUMBER(SEARCH("2歳",Z1083)),"2歳戦",IF(ISNUMBER(SEARCH("3歳未勝利",Z1083)),"3歳未勝利",IF(ISNUMBER(SEARCH("未勝利",Z1083)),"その他未勝利",IF(ISNUMBER(SEARCH("G1",Z1083)),"G1",IF(ISNUMBER(SEARCH("G2",Z1083)),"G2",IF(ISNUMBER(SEARCH("G3",Z1083)),"G3",IF(ISNUMBER(SEARCH("古馬条件",Z1083)),"古馬条件戦",IF(ISNUMBER(SEARCH("重賞",Z1083)),"重賞","分類不能")))))))))</f>
        <v>分類不能</v>
      </c>
      <c r="AR1083" s="4" t="s">
        <v>8146</v>
      </c>
      <c r="AS1083" s="8" t="s">
        <v>7623</v>
      </c>
      <c r="AT1083" s="8" t="s">
        <v>7624</v>
      </c>
      <c r="AU1083" s="8" t="s">
        <v>7628</v>
      </c>
      <c r="AV1083" s="8" t="s">
        <v>7629</v>
      </c>
      <c r="AW1083" s="8" t="s">
        <v>7636</v>
      </c>
      <c r="AX1083" s="4" t="s">
        <v>7637</v>
      </c>
      <c r="AY1083" s="8" t="s">
        <v>7602</v>
      </c>
      <c r="AZ1083" s="4" t="s">
        <v>7603</v>
      </c>
      <c r="BA1083" s="8" t="n">
        <v>2200</v>
      </c>
      <c r="BB1083" s="8" t="s">
        <v>7598</v>
      </c>
      <c r="BC1083" s="4" t="s">
        <v>7604</v>
      </c>
      <c r="BD1083" s="8" t="s">
        <v>7703</v>
      </c>
      <c r="BE1083" s="4" t="s">
        <v>7622</v>
      </c>
      <c r="BF1083" s="8" t="s">
        <v>7602</v>
      </c>
      <c r="BG1083" s="8" t="s">
        <v>7608</v>
      </c>
      <c r="BH1083" s="4" t="s">
        <v>7609</v>
      </c>
      <c r="BI1083" s="8" t="n">
        <v>9</v>
      </c>
      <c r="BJ1083" s="8" t="s">
        <v>7602</v>
      </c>
      <c r="BK1083" s="4" t="s">
        <v>7653</v>
      </c>
      <c r="BL1083" s="8" t="s">
        <v>7610</v>
      </c>
      <c r="BM1083" s="4" t="s">
        <v>7612</v>
      </c>
      <c r="BN1083" s="8" t="s">
        <v>7636</v>
      </c>
      <c r="BO1083" s="8" t="s">
        <v>7804</v>
      </c>
      <c r="BP1083" s="8" t="s">
        <v>7610</v>
      </c>
      <c r="BQ1083" s="8" t="str">
        <f aca="false">IF(A1083="","",AT1083)</f>
        <v>3歳</v>
      </c>
      <c r="BR1083" s="8" t="str">
        <f aca="false">IF(A1083="","",IF(BA1083&lt;=1200,"～1200",IF(BA1083&lt;=1500,"1300～1500",IF(BA1083=1600,"1600",IF(BA1083&lt;=1800,"1700～1800",IF(BA1083&lt;=2000,"1900～2000","2100以上"))))))</f>
        <v>2100以上</v>
      </c>
      <c r="BS1083" s="8" t="str">
        <f aca="false">IF(A1083="","",IF(AX1083="G1","G1",IF(AX1083="G2","G2",IF(AX1083="G3","G3",IF(AX1083="L","L","その他")))))</f>
        <v>その他</v>
      </c>
      <c r="BT1083" s="8" t="str">
        <f aca="false">IF(A1083="","",IF(BI1083="","未結合",IF(D1083=BI1083,"一致","不一致")))</f>
        <v>一致</v>
      </c>
      <c r="BU1083" s="8" t="str">
        <f aca="false">IF(A1083="","",IF(BE1083="牝馬限定","牝馬限定","その他"))</f>
        <v>牝馬限定</v>
      </c>
    </row>
    <row r="1084" customFormat="false" ht="15.75" hidden="false" customHeight="false" outlineLevel="0" collapsed="false">
      <c r="A1084" s="6" t="n">
        <f aca="false">DATE(2026,5,2)</f>
        <v>46144</v>
      </c>
      <c r="B1084" s="4" t="s">
        <v>5435</v>
      </c>
      <c r="C1084" s="8" t="n">
        <v>10</v>
      </c>
      <c r="D1084" s="8" t="n">
        <v>12</v>
      </c>
      <c r="E1084" s="8" t="n">
        <v>2</v>
      </c>
      <c r="F1084" s="4" t="s">
        <v>5063</v>
      </c>
      <c r="G1084" s="8" t="n">
        <v>60</v>
      </c>
      <c r="H1084" s="8" t="n">
        <v>8</v>
      </c>
      <c r="I1084" s="4" t="s">
        <v>7274</v>
      </c>
      <c r="J1084" s="8" t="n">
        <v>52</v>
      </c>
      <c r="K1084" s="8" t="n">
        <v>1</v>
      </c>
      <c r="L1084" s="4" t="s">
        <v>6277</v>
      </c>
      <c r="M1084" s="8" t="n">
        <v>50</v>
      </c>
      <c r="N1084" s="8" t="n">
        <f aca="false">IF(A1084="","",G1084-J1084)</f>
        <v>8</v>
      </c>
      <c r="O1084" s="8" t="n">
        <f aca="false">IF(A1084="","",J1084-M1084)</f>
        <v>2</v>
      </c>
      <c r="P1084" s="8" t="n">
        <f aca="false">IF(A1084="","",G1084+J1084)</f>
        <v>112</v>
      </c>
      <c r="Q1084" s="8" t="str">
        <f aca="false">IF(A1084="","",IF(AND(Y1084&lt;&gt;"参考",G1084&gt;=ルール設定!$B$2),"○",""))</f>
        <v/>
      </c>
      <c r="R1084" s="8" t="str">
        <f aca="false">IF(A1084="","",IF(AND(Y1084&lt;&gt;"参考",G1084&gt;=ルール設定!$B$3,N1084&gt;=ルール設定!$B$4),"○",""))</f>
        <v/>
      </c>
      <c r="S1084" s="8" t="str">
        <f aca="false">IF(A1084="","",IF(AND(Y1084&lt;&gt;"参考",G1084&gt;=ルール設定!$B$5,J1084&gt;=ルール設定!$B$6,O1084&gt;=ルール設定!$B$7),"○",""))</f>
        <v/>
      </c>
      <c r="T1084" s="8" t="n">
        <v>4</v>
      </c>
      <c r="U1084" s="8" t="n">
        <v>2</v>
      </c>
      <c r="V1084" s="8" t="str">
        <f aca="false">IF(A1084="","",IF(AND(ISNUMBER(T1084),ISNUMBER(U1084)),IF(AND(T1084&lt;=3,U1084&lt;=3),"○","×"),""))</f>
        <v>×</v>
      </c>
      <c r="W1084" s="8"/>
      <c r="X1084" s="8"/>
      <c r="Y1084" s="4" t="s">
        <v>7597</v>
      </c>
      <c r="Z1084" s="8" t="s">
        <v>8111</v>
      </c>
      <c r="AA1084" s="8" t="str">
        <v/>
      </c>
      <c r="AB1084" s="8" t="str">
        <v/>
      </c>
      <c r="AC1084" s="8" t="str">
        <v/>
      </c>
      <c r="AD1084" s="8" t="str">
        <v/>
      </c>
      <c r="AE1084" s="8" t="str">
        <v/>
      </c>
      <c r="AF1084" s="8" t="str">
        <v/>
      </c>
      <c r="AG1084" s="8" t="str">
        <v/>
      </c>
      <c r="AH1084" s="8" t="str">
        <v/>
      </c>
      <c r="AI1084" s="8" t="n">
        <v>10</v>
      </c>
      <c r="AJ1084" s="8" t="str">
        <v>60～69</v>
      </c>
      <c r="AK1084" s="8" t="str">
        <v>5～9</v>
      </c>
      <c r="AL1084" s="8" t="str">
        <v>10～19</v>
      </c>
      <c r="AM1084" s="8" t="str">
        <v>100～119</v>
      </c>
      <c r="AN1084" s="8" t="str">
        <v>12～14</v>
      </c>
      <c r="AO1084" s="8" t="str">
        <f aca="false">IF(A1084="","",IF(COUNTIFS(全馬データ!$A$2:$A$50000,A1084,全馬データ!$B$2:$B$50000,B1084,全馬データ!$C$2:$C$50000,C1084,全馬データ!$D$2:$D$50000,E1084,全馬データ!$K$2:$K$50000,"&lt;&gt;")=0,"",SUMIFS(全馬データ!$K$2:$K$50000,全馬データ!$A$2:$A$50000,A1084,全馬データ!$B$2:$B$50000,B1084,全馬データ!$C$2:$C$50000,C1084,全馬データ!$D$2:$D$50000,E1084)))</f>
        <v/>
      </c>
      <c r="AP1084" s="8" t="str">
        <f aca="false">IF(A1084="","",IF(AO1084="","欠損",IF(AO1084&lt;=1.1,"1.0～1.1",IF(AO1084&lt;1.3,"1.2",IF(AO1084&lt;1.5,"1.3～1.4",IF(AO1084&lt;2,"1.5～1.9","2.0以上"))))))</f>
        <v>欠損</v>
      </c>
      <c r="AQ1084" s="8" t="str">
        <f aca="false">IF(A1084="","",IF(ISNUMBER(SEARCH("2歳",Z1084)),"2歳戦",IF(ISNUMBER(SEARCH("3歳未勝利",Z1084)),"3歳未勝利",IF(ISNUMBER(SEARCH("未勝利",Z1084)),"その他未勝利",IF(ISNUMBER(SEARCH("G1",Z1084)),"G1",IF(ISNUMBER(SEARCH("G2",Z1084)),"G2",IF(ISNUMBER(SEARCH("G3",Z1084)),"G3",IF(ISNUMBER(SEARCH("古馬条件",Z1084)),"古馬条件戦",IF(ISNUMBER(SEARCH("重賞",Z1084)),"重賞","分類不能")))))))))</f>
        <v>分類不能</v>
      </c>
      <c r="AR1084" s="4" t="s">
        <v>8147</v>
      </c>
      <c r="AS1084" s="8" t="s">
        <v>7842</v>
      </c>
      <c r="AT1084" s="8" t="s">
        <v>7843</v>
      </c>
      <c r="AU1084" s="8" t="s">
        <v>7634</v>
      </c>
      <c r="AV1084" s="8" t="s">
        <v>7635</v>
      </c>
      <c r="AW1084" s="8" t="s">
        <v>7636</v>
      </c>
      <c r="AX1084" s="4" t="s">
        <v>7637</v>
      </c>
      <c r="AY1084" s="8" t="s">
        <v>7610</v>
      </c>
      <c r="AZ1084" s="4" t="s">
        <v>7617</v>
      </c>
      <c r="BA1084" s="8" t="n">
        <v>1200</v>
      </c>
      <c r="BB1084" s="8" t="s">
        <v>7618</v>
      </c>
      <c r="BC1084" s="4" t="s">
        <v>7619</v>
      </c>
      <c r="BD1084" s="8" t="s">
        <v>7605</v>
      </c>
      <c r="BE1084" s="4" t="s">
        <v>7606</v>
      </c>
      <c r="BF1084" s="8" t="s">
        <v>7607</v>
      </c>
      <c r="BG1084" s="8" t="s">
        <v>7631</v>
      </c>
      <c r="BH1084" s="4" t="s">
        <v>7632</v>
      </c>
      <c r="BI1084" s="8" t="n">
        <v>12</v>
      </c>
      <c r="BJ1084" s="8" t="s">
        <v>7602</v>
      </c>
      <c r="BK1084" s="4" t="s">
        <v>7653</v>
      </c>
      <c r="BL1084" s="8" t="s">
        <v>7602</v>
      </c>
      <c r="BM1084" s="4" t="s">
        <v>7620</v>
      </c>
      <c r="BN1084" s="8"/>
      <c r="BO1084" s="8"/>
      <c r="BP1084" s="8" t="s">
        <v>7610</v>
      </c>
      <c r="BQ1084" s="8" t="str">
        <f aca="false">IF(A1084="","",AT1084)</f>
        <v>4歳以上</v>
      </c>
      <c r="BR1084" s="8" t="str">
        <f aca="false">IF(A1084="","",IF(BA1084&lt;=1200,"～1200",IF(BA1084&lt;=1500,"1300～1500",IF(BA1084=1600,"1600",IF(BA1084&lt;=1800,"1700～1800",IF(BA1084&lt;=2000,"1900～2000","2100以上"))))))</f>
        <v>～1200</v>
      </c>
      <c r="BS1084" s="8" t="str">
        <f aca="false">IF(A1084="","",IF(AX1084="G1","G1",IF(AX1084="G2","G2",IF(AX1084="G3","G3",IF(AX1084="L","L","その他")))))</f>
        <v>その他</v>
      </c>
      <c r="BT1084" s="8" t="str">
        <f aca="false">IF(A1084="","",IF(BI1084="","未結合",IF(D1084=BI1084,"一致","不一致")))</f>
        <v>一致</v>
      </c>
      <c r="BU1084" s="8" t="str">
        <f aca="false">IF(A1084="","",IF(BE1084="牝馬限定","牝馬限定","その他"))</f>
        <v>その他</v>
      </c>
    </row>
    <row r="1085" customFormat="false" ht="15.75" hidden="false" customHeight="false" outlineLevel="0" collapsed="false">
      <c r="A1085" s="6" t="n">
        <f aca="false">DATE(2026,5,2)</f>
        <v>46144</v>
      </c>
      <c r="B1085" s="4" t="s">
        <v>5435</v>
      </c>
      <c r="C1085" s="8" t="n">
        <v>11</v>
      </c>
      <c r="D1085" s="8" t="n">
        <v>12</v>
      </c>
      <c r="E1085" s="8" t="n">
        <v>4</v>
      </c>
      <c r="F1085" s="4" t="s">
        <v>7275</v>
      </c>
      <c r="G1085" s="8" t="n">
        <v>58</v>
      </c>
      <c r="H1085" s="8" t="n">
        <v>11</v>
      </c>
      <c r="I1085" s="4" t="s">
        <v>6925</v>
      </c>
      <c r="J1085" s="8" t="n">
        <v>58</v>
      </c>
      <c r="K1085" s="8" t="n">
        <v>10</v>
      </c>
      <c r="L1085" s="4" t="s">
        <v>4951</v>
      </c>
      <c r="M1085" s="8" t="n">
        <v>39</v>
      </c>
      <c r="N1085" s="8" t="n">
        <f aca="false">IF(A1085="","",G1085-J1085)</f>
        <v>0</v>
      </c>
      <c r="O1085" s="8" t="n">
        <f aca="false">IF(A1085="","",J1085-M1085)</f>
        <v>19</v>
      </c>
      <c r="P1085" s="8" t="n">
        <f aca="false">IF(A1085="","",G1085+J1085)</f>
        <v>116</v>
      </c>
      <c r="Q1085" s="8" t="str">
        <f aca="false">IF(A1085="","",IF(AND(Y1085&lt;&gt;"参考",G1085&gt;=ルール設定!$B$2),"○",""))</f>
        <v/>
      </c>
      <c r="R1085" s="8" t="str">
        <f aca="false">IF(A1085="","",IF(AND(Y1085&lt;&gt;"参考",G1085&gt;=ルール設定!$B$3,N1085&gt;=ルール設定!$B$4),"○",""))</f>
        <v/>
      </c>
      <c r="S1085" s="8" t="str">
        <f aca="false">IF(A1085="","",IF(AND(Y1085&lt;&gt;"参考",G1085&gt;=ルール設定!$B$5,J1085&gt;=ルール設定!$B$6,O1085&gt;=ルール設定!$B$7),"○",""))</f>
        <v/>
      </c>
      <c r="T1085" s="8" t="n">
        <v>1</v>
      </c>
      <c r="U1085" s="8" t="n">
        <v>2</v>
      </c>
      <c r="V1085" s="8" t="str">
        <f aca="false">IF(A1085="","",IF(AND(ISNUMBER(T1085),ISNUMBER(U1085)),IF(AND(T1085&lt;=3,U1085&lt;=3),"○","×"),""))</f>
        <v>○</v>
      </c>
      <c r="W1085" s="8" t="n">
        <v>110</v>
      </c>
      <c r="X1085" s="8" t="n">
        <v>160</v>
      </c>
      <c r="Y1085" s="4" t="s">
        <v>7597</v>
      </c>
      <c r="Z1085" s="8" t="s">
        <v>8111</v>
      </c>
      <c r="AA1085" s="8" t="str">
        <v/>
      </c>
      <c r="AB1085" s="8" t="str">
        <v/>
      </c>
      <c r="AC1085" s="8" t="str">
        <v/>
      </c>
      <c r="AD1085" s="8" t="str">
        <v/>
      </c>
      <c r="AE1085" s="8" t="str">
        <v/>
      </c>
      <c r="AF1085" s="8" t="str">
        <v/>
      </c>
      <c r="AG1085" s="8" t="str">
        <v/>
      </c>
      <c r="AH1085" s="8" t="str">
        <v/>
      </c>
      <c r="AI1085" s="8" t="n">
        <v>19</v>
      </c>
      <c r="AJ1085" s="8" t="str">
        <v>～59</v>
      </c>
      <c r="AK1085" s="8" t="str">
        <v>0～4</v>
      </c>
      <c r="AL1085" s="8" t="str">
        <v>10～19</v>
      </c>
      <c r="AM1085" s="8" t="str">
        <v>100～119</v>
      </c>
      <c r="AN1085" s="8" t="str">
        <v>12～14</v>
      </c>
      <c r="AO1085" s="8" t="str">
        <f aca="false">IF(A1085="","",IF(COUNTIFS(全馬データ!$A$2:$A$50000,A1085,全馬データ!$B$2:$B$50000,B1085,全馬データ!$C$2:$C$50000,C1085,全馬データ!$D$2:$D$50000,E1085,全馬データ!$K$2:$K$50000,"&lt;&gt;")=0,"",SUMIFS(全馬データ!$K$2:$K$50000,全馬データ!$A$2:$A$50000,A1085,全馬データ!$B$2:$B$50000,B1085,全馬データ!$C$2:$C$50000,C1085,全馬データ!$D$2:$D$50000,E1085)))</f>
        <v/>
      </c>
      <c r="AP1085" s="8" t="str">
        <f aca="false">IF(A1085="","",IF(AO1085="","欠損",IF(AO1085&lt;=1.1,"1.0～1.1",IF(AO1085&lt;1.3,"1.2",IF(AO1085&lt;1.5,"1.3～1.4",IF(AO1085&lt;2,"1.5～1.9","2.0以上"))))))</f>
        <v>欠損</v>
      </c>
      <c r="AQ1085" s="8" t="str">
        <f aca="false">IF(A1085="","",IF(ISNUMBER(SEARCH("2歳",Z1085)),"2歳戦",IF(ISNUMBER(SEARCH("3歳未勝利",Z1085)),"3歳未勝利",IF(ISNUMBER(SEARCH("未勝利",Z1085)),"その他未勝利",IF(ISNUMBER(SEARCH("G1",Z1085)),"G1",IF(ISNUMBER(SEARCH("G2",Z1085)),"G2",IF(ISNUMBER(SEARCH("G3",Z1085)),"G3",IF(ISNUMBER(SEARCH("古馬条件",Z1085)),"古馬条件戦",IF(ISNUMBER(SEARCH("重賞",Z1085)),"重賞","分類不能")))))))))</f>
        <v>分類不能</v>
      </c>
      <c r="AR1085" s="4" t="s">
        <v>8148</v>
      </c>
      <c r="AS1085" s="8" t="s">
        <v>7623</v>
      </c>
      <c r="AT1085" s="8" t="s">
        <v>7624</v>
      </c>
      <c r="AU1085" s="8" t="s">
        <v>7643</v>
      </c>
      <c r="AV1085" s="4" t="s">
        <v>7644</v>
      </c>
      <c r="AW1085" s="8" t="s">
        <v>7608</v>
      </c>
      <c r="AX1085" s="8" t="s">
        <v>7664</v>
      </c>
      <c r="AY1085" s="8" t="s">
        <v>7610</v>
      </c>
      <c r="AZ1085" s="4" t="s">
        <v>7617</v>
      </c>
      <c r="BA1085" s="8" t="n">
        <v>1900</v>
      </c>
      <c r="BB1085" s="8" t="s">
        <v>7618</v>
      </c>
      <c r="BC1085" s="4" t="s">
        <v>7619</v>
      </c>
      <c r="BD1085" s="8" t="s">
        <v>7672</v>
      </c>
      <c r="BE1085" s="4" t="s">
        <v>7606</v>
      </c>
      <c r="BF1085" s="8" t="s">
        <v>7607</v>
      </c>
      <c r="BG1085" s="8" t="s">
        <v>7608</v>
      </c>
      <c r="BH1085" s="4" t="s">
        <v>7609</v>
      </c>
      <c r="BI1085" s="8" t="n">
        <v>12</v>
      </c>
      <c r="BJ1085" s="8" t="s">
        <v>7602</v>
      </c>
      <c r="BK1085" s="4" t="s">
        <v>7653</v>
      </c>
      <c r="BL1085" s="8" t="s">
        <v>7602</v>
      </c>
      <c r="BM1085" s="4" t="s">
        <v>7620</v>
      </c>
      <c r="BN1085" s="8"/>
      <c r="BO1085" s="8"/>
      <c r="BP1085" s="8" t="s">
        <v>7610</v>
      </c>
      <c r="BQ1085" s="8" t="str">
        <f aca="false">IF(A1085="","",AT1085)</f>
        <v>3歳</v>
      </c>
      <c r="BR1085" s="8" t="str">
        <f aca="false">IF(A1085="","",IF(BA1085&lt;=1200,"～1200",IF(BA1085&lt;=1500,"1300～1500",IF(BA1085=1600,"1600",IF(BA1085&lt;=1800,"1700～1800",IF(BA1085&lt;=2000,"1900～2000","2100以上"))))))</f>
        <v>1900～2000</v>
      </c>
      <c r="BS1085" s="8" t="str">
        <f aca="false">IF(A1085="","",IF(AX1085="G1","G1",IF(AX1085="G2","G2",IF(AX1085="G3","G3",IF(AX1085="L","L","その他")))))</f>
        <v>G3</v>
      </c>
      <c r="BT1085" s="8" t="str">
        <f aca="false">IF(A1085="","",IF(BI1085="","未結合",IF(D1085=BI1085,"一致","不一致")))</f>
        <v>一致</v>
      </c>
      <c r="BU1085" s="8" t="str">
        <f aca="false">IF(A1085="","",IF(BE1085="牝馬限定","牝馬限定","その他"))</f>
        <v>その他</v>
      </c>
    </row>
    <row r="1086" customFormat="false" ht="15.75" hidden="false" customHeight="false" outlineLevel="0" collapsed="false">
      <c r="A1086" s="6" t="n">
        <f aca="false">DATE(2026,5,2)</f>
        <v>46144</v>
      </c>
      <c r="B1086" s="4" t="s">
        <v>5435</v>
      </c>
      <c r="C1086" s="8" t="n">
        <v>12</v>
      </c>
      <c r="D1086" s="8" t="n">
        <v>10</v>
      </c>
      <c r="E1086" s="8" t="n">
        <v>5</v>
      </c>
      <c r="F1086" s="4" t="s">
        <v>7277</v>
      </c>
      <c r="G1086" s="8" t="n">
        <v>67</v>
      </c>
      <c r="H1086" s="8" t="n">
        <v>6</v>
      </c>
      <c r="I1086" s="4" t="s">
        <v>6245</v>
      </c>
      <c r="J1086" s="8" t="n">
        <v>47</v>
      </c>
      <c r="K1086" s="8" t="n">
        <v>1</v>
      </c>
      <c r="L1086" s="4" t="s">
        <v>5949</v>
      </c>
      <c r="M1086" s="8" t="n">
        <v>44</v>
      </c>
      <c r="N1086" s="8" t="n">
        <f aca="false">IF(A1086="","",G1086-J1086)</f>
        <v>20</v>
      </c>
      <c r="O1086" s="8" t="n">
        <f aca="false">IF(A1086="","",J1086-M1086)</f>
        <v>3</v>
      </c>
      <c r="P1086" s="8" t="n">
        <f aca="false">IF(A1086="","",G1086+J1086)</f>
        <v>114</v>
      </c>
      <c r="Q1086" s="8" t="str">
        <f aca="false">IF(A1086="","",IF(AND(Y1086&lt;&gt;"参考",G1086&gt;=ルール設定!$B$2),"○",""))</f>
        <v/>
      </c>
      <c r="R1086" s="8" t="str">
        <f aca="false">IF(A1086="","",IF(AND(Y1086&lt;&gt;"参考",G1086&gt;=ルール設定!$B$3,N1086&gt;=ルール設定!$B$4),"○",""))</f>
        <v/>
      </c>
      <c r="S1086" s="8" t="str">
        <f aca="false">IF(A1086="","",IF(AND(Y1086&lt;&gt;"参考",G1086&gt;=ルール設定!$B$5,J1086&gt;=ルール設定!$B$6,O1086&gt;=ルール設定!$B$7),"○",""))</f>
        <v/>
      </c>
      <c r="T1086" s="8" t="n">
        <v>2</v>
      </c>
      <c r="U1086" s="8" t="n">
        <v>4</v>
      </c>
      <c r="V1086" s="8" t="str">
        <f aca="false">IF(A1086="","",IF(AND(ISNUMBER(T1086),ISNUMBER(U1086)),IF(AND(T1086&lt;=3,U1086&lt;=3),"○","×"),""))</f>
        <v>×</v>
      </c>
      <c r="W1086" s="8" t="n">
        <v>110</v>
      </c>
      <c r="X1086" s="8"/>
      <c r="Y1086" s="4" t="s">
        <v>7597</v>
      </c>
      <c r="Z1086" s="8" t="s">
        <v>8111</v>
      </c>
      <c r="AA1086" s="8" t="str">
        <v/>
      </c>
      <c r="AB1086" s="8" t="str">
        <v/>
      </c>
      <c r="AC1086" s="8" t="str">
        <v/>
      </c>
      <c r="AD1086" s="8" t="str">
        <v/>
      </c>
      <c r="AE1086" s="8" t="str">
        <v/>
      </c>
      <c r="AF1086" s="8" t="str">
        <v/>
      </c>
      <c r="AG1086" s="8" t="str">
        <v/>
      </c>
      <c r="AH1086" s="8" t="str">
        <v/>
      </c>
      <c r="AI1086" s="8" t="n">
        <v>23</v>
      </c>
      <c r="AJ1086" s="8" t="str">
        <v>60～69</v>
      </c>
      <c r="AK1086" s="8" t="str">
        <v>20～29</v>
      </c>
      <c r="AL1086" s="8" t="str">
        <v>20～29</v>
      </c>
      <c r="AM1086" s="8" t="str">
        <v>100～119</v>
      </c>
      <c r="AN1086" s="8" t="str">
        <v>8～11</v>
      </c>
      <c r="AO1086" s="8" t="str">
        <f aca="false">IF(A1086="","",IF(COUNTIFS(全馬データ!$A$2:$A$50000,A1086,全馬データ!$B$2:$B$50000,B1086,全馬データ!$C$2:$C$50000,C1086,全馬データ!$D$2:$D$50000,E1086,全馬データ!$K$2:$K$50000,"&lt;&gt;")=0,"",SUMIFS(全馬データ!$K$2:$K$50000,全馬データ!$A$2:$A$50000,A1086,全馬データ!$B$2:$B$50000,B1086,全馬データ!$C$2:$C$50000,C1086,全馬データ!$D$2:$D$50000,E1086)))</f>
        <v/>
      </c>
      <c r="AP1086" s="8" t="str">
        <f aca="false">IF(A1086="","",IF(AO1086="","欠損",IF(AO1086&lt;=1.1,"1.0～1.1",IF(AO1086&lt;1.3,"1.2",IF(AO1086&lt;1.5,"1.3～1.4",IF(AO1086&lt;2,"1.5～1.9","2.0以上"))))))</f>
        <v>欠損</v>
      </c>
      <c r="AQ1086" s="8" t="str">
        <f aca="false">IF(A1086="","",IF(ISNUMBER(SEARCH("2歳",Z1086)),"2歳戦",IF(ISNUMBER(SEARCH("3歳未勝利",Z1086)),"3歳未勝利",IF(ISNUMBER(SEARCH("未勝利",Z1086)),"その他未勝利",IF(ISNUMBER(SEARCH("G1",Z1086)),"G1",IF(ISNUMBER(SEARCH("G2",Z1086)),"G2",IF(ISNUMBER(SEARCH("G3",Z1086)),"G3",IF(ISNUMBER(SEARCH("古馬条件",Z1086)),"古馬条件戦",IF(ISNUMBER(SEARCH("重賞",Z1086)),"重賞","分類不能")))))))))</f>
        <v>分類不能</v>
      </c>
      <c r="AR1086" s="8"/>
      <c r="AS1086" s="8" t="s">
        <v>7842</v>
      </c>
      <c r="AT1086" s="8" t="s">
        <v>7843</v>
      </c>
      <c r="AU1086" s="8" t="s">
        <v>7628</v>
      </c>
      <c r="AV1086" s="8" t="s">
        <v>7629</v>
      </c>
      <c r="AW1086" s="8"/>
      <c r="AX1086" s="8"/>
      <c r="AY1086" s="8" t="s">
        <v>7602</v>
      </c>
      <c r="AZ1086" s="4" t="s">
        <v>7603</v>
      </c>
      <c r="BA1086" s="8" t="n">
        <v>1600</v>
      </c>
      <c r="BB1086" s="8" t="s">
        <v>7598</v>
      </c>
      <c r="BC1086" s="4" t="s">
        <v>7604</v>
      </c>
      <c r="BD1086" s="8" t="s">
        <v>7605</v>
      </c>
      <c r="BE1086" s="4" t="s">
        <v>7606</v>
      </c>
      <c r="BF1086" s="8" t="s">
        <v>7607</v>
      </c>
      <c r="BG1086" s="8" t="s">
        <v>7631</v>
      </c>
      <c r="BH1086" s="4" t="s">
        <v>7632</v>
      </c>
      <c r="BI1086" s="8" t="n">
        <v>10</v>
      </c>
      <c r="BJ1086" s="8" t="s">
        <v>7602</v>
      </c>
      <c r="BK1086" s="4" t="s">
        <v>7653</v>
      </c>
      <c r="BL1086" s="8" t="s">
        <v>7610</v>
      </c>
      <c r="BM1086" s="4" t="s">
        <v>7612</v>
      </c>
      <c r="BN1086" s="8" t="s">
        <v>7636</v>
      </c>
      <c r="BO1086" s="8" t="s">
        <v>7804</v>
      </c>
      <c r="BP1086" s="8" t="s">
        <v>7610</v>
      </c>
      <c r="BQ1086" s="8" t="str">
        <f aca="false">IF(A1086="","",AT1086)</f>
        <v>4歳以上</v>
      </c>
      <c r="BR1086" s="8" t="str">
        <f aca="false">IF(A1086="","",IF(BA1086&lt;=1200,"～1200",IF(BA1086&lt;=1500,"1300～1500",IF(BA1086=1600,"1600",IF(BA1086&lt;=1800,"1700～1800",IF(BA1086&lt;=2000,"1900～2000","2100以上"))))))</f>
        <v>1600</v>
      </c>
      <c r="BS1086" s="8" t="str">
        <f aca="false">IF(A1086="","",IF(AX1086="G1","G1",IF(AX1086="G2","G2",IF(AX1086="G3","G3",IF(AX1086="L","L","その他")))))</f>
        <v>その他</v>
      </c>
      <c r="BT1086" s="8" t="str">
        <f aca="false">IF(A1086="","",IF(BI1086="","未結合",IF(D1086=BI1086,"一致","不一致")))</f>
        <v>一致</v>
      </c>
      <c r="BU1086" s="8" t="str">
        <f aca="false">IF(A1086="","",IF(BE1086="牝馬限定","牝馬限定","その他"))</f>
        <v>その他</v>
      </c>
    </row>
    <row r="1087" customFormat="false" ht="15.75" hidden="false" customHeight="false" outlineLevel="0" collapsed="false">
      <c r="A1087" s="6" t="n">
        <f aca="false">DATE(2026,5,2)</f>
        <v>46144</v>
      </c>
      <c r="B1087" s="4" t="s">
        <v>13</v>
      </c>
      <c r="C1087" s="8" t="n">
        <v>1</v>
      </c>
      <c r="D1087" s="8" t="n">
        <v>14</v>
      </c>
      <c r="E1087" s="8" t="n">
        <v>14</v>
      </c>
      <c r="F1087" s="4" t="s">
        <v>4267</v>
      </c>
      <c r="G1087" s="8" t="n">
        <v>55</v>
      </c>
      <c r="H1087" s="8" t="n">
        <v>7</v>
      </c>
      <c r="I1087" s="4" t="s">
        <v>5522</v>
      </c>
      <c r="J1087" s="8" t="n">
        <v>44</v>
      </c>
      <c r="K1087" s="8" t="n">
        <v>12</v>
      </c>
      <c r="L1087" s="4" t="s">
        <v>2812</v>
      </c>
      <c r="M1087" s="8" t="n">
        <v>44</v>
      </c>
      <c r="N1087" s="8" t="n">
        <f aca="false">IF(A1087="","",G1087-J1087)</f>
        <v>11</v>
      </c>
      <c r="O1087" s="8" t="n">
        <f aca="false">IF(A1087="","",J1087-M1087)</f>
        <v>0</v>
      </c>
      <c r="P1087" s="8" t="n">
        <f aca="false">IF(A1087="","",G1087+J1087)</f>
        <v>99</v>
      </c>
      <c r="Q1087" s="8" t="str">
        <f aca="false">IF(A1087="","",IF(AND(Y1087&lt;&gt;"参考",G1087&gt;=ルール設定!$B$2),"○",""))</f>
        <v/>
      </c>
      <c r="R1087" s="8" t="str">
        <f aca="false">IF(A1087="","",IF(AND(Y1087&lt;&gt;"参考",G1087&gt;=ルール設定!$B$3,N1087&gt;=ルール設定!$B$4),"○",""))</f>
        <v/>
      </c>
      <c r="S1087" s="8" t="str">
        <f aca="false">IF(A1087="","",IF(AND(Y1087&lt;&gt;"参考",G1087&gt;=ルール設定!$B$5,J1087&gt;=ルール設定!$B$6,O1087&gt;=ルール設定!$B$7),"○",""))</f>
        <v/>
      </c>
      <c r="T1087" s="8" t="n">
        <v>4</v>
      </c>
      <c r="U1087" s="8" t="n">
        <v>1</v>
      </c>
      <c r="V1087" s="8" t="str">
        <f aca="false">IF(A1087="","",IF(AND(ISNUMBER(T1087),ISNUMBER(U1087)),IF(AND(T1087&lt;=3,U1087&lt;=3),"○","×"),""))</f>
        <v>×</v>
      </c>
      <c r="W1087" s="8"/>
      <c r="X1087" s="8"/>
      <c r="Y1087" s="4" t="s">
        <v>7597</v>
      </c>
      <c r="Z1087" s="8" t="s">
        <v>8111</v>
      </c>
      <c r="AA1087" s="8" t="str">
        <v/>
      </c>
      <c r="AB1087" s="8" t="str">
        <v/>
      </c>
      <c r="AC1087" s="8" t="str">
        <v/>
      </c>
      <c r="AD1087" s="8" t="str">
        <v/>
      </c>
      <c r="AE1087" s="8" t="str">
        <v/>
      </c>
      <c r="AF1087" s="8" t="str">
        <v/>
      </c>
      <c r="AG1087" s="8" t="str">
        <v/>
      </c>
      <c r="AH1087" s="8" t="str">
        <v/>
      </c>
      <c r="AI1087" s="8" t="n">
        <v>11</v>
      </c>
      <c r="AJ1087" s="8" t="str">
        <v>～59</v>
      </c>
      <c r="AK1087" s="8" t="str">
        <v>10～19</v>
      </c>
      <c r="AL1087" s="8" t="str">
        <v>10～19</v>
      </c>
      <c r="AM1087" s="8" t="str">
        <v>～99</v>
      </c>
      <c r="AN1087" s="8" t="str">
        <v>12～14</v>
      </c>
      <c r="AO1087" s="8" t="str">
        <f aca="false">IF(A1087="","",IF(COUNTIFS(全馬データ!$A$2:$A$50000,A1087,全馬データ!$B$2:$B$50000,B1087,全馬データ!$C$2:$C$50000,C1087,全馬データ!$D$2:$D$50000,E1087,全馬データ!$K$2:$K$50000,"&lt;&gt;")=0,"",SUMIFS(全馬データ!$K$2:$K$50000,全馬データ!$A$2:$A$50000,A1087,全馬データ!$B$2:$B$50000,B1087,全馬データ!$C$2:$C$50000,C1087,全馬データ!$D$2:$D$50000,E1087)))</f>
        <v/>
      </c>
      <c r="AP1087" s="8" t="str">
        <f aca="false">IF(A1087="","",IF(AO1087="","欠損",IF(AO1087&lt;=1.1,"1.0～1.1",IF(AO1087&lt;1.3,"1.2",IF(AO1087&lt;1.5,"1.3～1.4",IF(AO1087&lt;2,"1.5～1.9","2.0以上"))))))</f>
        <v>欠損</v>
      </c>
      <c r="AQ1087" s="8" t="str">
        <f aca="false">IF(A1087="","",IF(ISNUMBER(SEARCH("2歳",Z1087)),"2歳戦",IF(ISNUMBER(SEARCH("3歳未勝利",Z1087)),"3歳未勝利",IF(ISNUMBER(SEARCH("未勝利",Z1087)),"その他未勝利",IF(ISNUMBER(SEARCH("G1",Z1087)),"G1",IF(ISNUMBER(SEARCH("G2",Z1087)),"G2",IF(ISNUMBER(SEARCH("G3",Z1087)),"G3",IF(ISNUMBER(SEARCH("古馬条件",Z1087)),"古馬条件戦",IF(ISNUMBER(SEARCH("重賞",Z1087)),"重賞","分類不能")))))))))</f>
        <v>分類不能</v>
      </c>
      <c r="AR1087" s="8"/>
      <c r="AS1087" s="8" t="s">
        <v>7618</v>
      </c>
      <c r="AT1087" s="4" t="s">
        <v>7642</v>
      </c>
      <c r="AU1087" s="8" t="s">
        <v>7600</v>
      </c>
      <c r="AV1087" s="4" t="s">
        <v>7601</v>
      </c>
      <c r="AW1087" s="8"/>
      <c r="AX1087" s="8"/>
      <c r="AY1087" s="8" t="s">
        <v>7608</v>
      </c>
      <c r="AZ1087" s="4" t="s">
        <v>7642</v>
      </c>
      <c r="BA1087" s="8" t="n">
        <v>2890</v>
      </c>
      <c r="BB1087" s="8" t="s">
        <v>7657</v>
      </c>
      <c r="BC1087" s="4" t="s">
        <v>7658</v>
      </c>
      <c r="BD1087" s="8" t="s">
        <v>7645</v>
      </c>
      <c r="BE1087" s="4" t="s">
        <v>7606</v>
      </c>
      <c r="BF1087" s="8" t="s">
        <v>7607</v>
      </c>
      <c r="BG1087" s="8" t="s">
        <v>7631</v>
      </c>
      <c r="BH1087" s="4" t="s">
        <v>7632</v>
      </c>
      <c r="BI1087" s="8" t="n">
        <v>14</v>
      </c>
      <c r="BJ1087" s="8" t="s">
        <v>7647</v>
      </c>
      <c r="BK1087" s="4" t="s">
        <v>7648</v>
      </c>
      <c r="BL1087" s="8" t="s">
        <v>7647</v>
      </c>
      <c r="BM1087" s="4" t="s">
        <v>7648</v>
      </c>
      <c r="BN1087" s="8"/>
      <c r="BO1087" s="8"/>
      <c r="BP1087" s="8" t="s">
        <v>7608</v>
      </c>
      <c r="BQ1087" s="8" t="str">
        <f aca="false">IF(A1087="","",AT1087)</f>
        <v>障害</v>
      </c>
      <c r="BR1087" s="8" t="str">
        <f aca="false">IF(A1087="","",IF(BA1087&lt;=1200,"～1200",IF(BA1087&lt;=1500,"1300～1500",IF(BA1087=1600,"1600",IF(BA1087&lt;=1800,"1700～1800",IF(BA1087&lt;=2000,"1900～2000","2100以上"))))))</f>
        <v>2100以上</v>
      </c>
      <c r="BS1087" s="8" t="str">
        <f aca="false">IF(A1087="","",IF(AX1087="G1","G1",IF(AX1087="G2","G2",IF(AX1087="G3","G3",IF(AX1087="L","L","その他")))))</f>
        <v>その他</v>
      </c>
      <c r="BT1087" s="8" t="str">
        <f aca="false">IF(A1087="","",IF(BI1087="","未結合",IF(D1087=BI1087,"一致","不一致")))</f>
        <v>一致</v>
      </c>
      <c r="BU1087" s="8" t="str">
        <f aca="false">IF(A1087="","",IF(BE1087="牝馬限定","牝馬限定","その他"))</f>
        <v>その他</v>
      </c>
    </row>
    <row r="1088" customFormat="false" ht="15.75" hidden="false" customHeight="false" outlineLevel="0" collapsed="false">
      <c r="A1088" s="6" t="n">
        <f aca="false">DATE(2026,5,2)</f>
        <v>46144</v>
      </c>
      <c r="B1088" s="4" t="s">
        <v>13</v>
      </c>
      <c r="C1088" s="8" t="n">
        <v>2</v>
      </c>
      <c r="D1088" s="8" t="n">
        <v>15</v>
      </c>
      <c r="E1088" s="8" t="n">
        <v>10</v>
      </c>
      <c r="F1088" s="4" t="s">
        <v>2036</v>
      </c>
      <c r="G1088" s="8" t="n">
        <v>71</v>
      </c>
      <c r="H1088" s="8" t="n">
        <v>7</v>
      </c>
      <c r="I1088" s="4" t="s">
        <v>6469</v>
      </c>
      <c r="J1088" s="8" t="n">
        <v>41</v>
      </c>
      <c r="K1088" s="8" t="n">
        <v>11</v>
      </c>
      <c r="L1088" s="4" t="s">
        <v>1423</v>
      </c>
      <c r="M1088" s="8" t="n">
        <v>34</v>
      </c>
      <c r="N1088" s="8" t="n">
        <f aca="false">IF(A1088="","",G1088-J1088)</f>
        <v>30</v>
      </c>
      <c r="O1088" s="8" t="n">
        <f aca="false">IF(A1088="","",J1088-M1088)</f>
        <v>7</v>
      </c>
      <c r="P1088" s="8" t="n">
        <f aca="false">IF(A1088="","",G1088+J1088)</f>
        <v>112</v>
      </c>
      <c r="Q1088" s="8" t="str">
        <f aca="false">IF(A1088="","",IF(AND(Y1088&lt;&gt;"参考",G1088&gt;=ルール設定!$B$2),"○",""))</f>
        <v/>
      </c>
      <c r="R1088" s="8" t="str">
        <f aca="false">IF(A1088="","",IF(AND(Y1088&lt;&gt;"参考",G1088&gt;=ルール設定!$B$3,N1088&gt;=ルール設定!$B$4),"○",""))</f>
        <v>○</v>
      </c>
      <c r="S1088" s="8" t="str">
        <f aca="false">IF(A1088="","",IF(AND(Y1088&lt;&gt;"参考",G1088&gt;=ルール設定!$B$5,J1088&gt;=ルール設定!$B$6,O1088&gt;=ルール設定!$B$7),"○",""))</f>
        <v/>
      </c>
      <c r="T1088" s="8" t="n">
        <v>4</v>
      </c>
      <c r="U1088" s="8" t="n">
        <v>4</v>
      </c>
      <c r="V1088" s="8" t="str">
        <f aca="false">IF(A1088="","",IF(AND(ISNUMBER(T1088),ISNUMBER(U1088)),IF(AND(T1088&lt;=3,U1088&lt;=3),"○","×"),""))</f>
        <v>×</v>
      </c>
      <c r="W1088" s="8"/>
      <c r="X1088" s="8"/>
      <c r="Y1088" s="4" t="s">
        <v>7597</v>
      </c>
      <c r="Z1088" s="8" t="s">
        <v>8111</v>
      </c>
      <c r="AA1088" s="8" t="str">
        <v/>
      </c>
      <c r="AB1088" s="8" t="str">
        <v/>
      </c>
      <c r="AC1088" s="8" t="str">
        <v/>
      </c>
      <c r="AD1088" s="8" t="str">
        <v/>
      </c>
      <c r="AE1088" s="8" t="str">
        <v>○</v>
      </c>
      <c r="AF1088" s="8" t="str">
        <v/>
      </c>
      <c r="AG1088" s="8" t="str">
        <v/>
      </c>
      <c r="AH1088" s="8" t="str">
        <v/>
      </c>
      <c r="AI1088" s="8" t="n">
        <v>37</v>
      </c>
      <c r="AJ1088" s="8" t="str">
        <v>70～74</v>
      </c>
      <c r="AK1088" s="8" t="str">
        <v>30以上</v>
      </c>
      <c r="AL1088" s="8" t="str">
        <v>30～39</v>
      </c>
      <c r="AM1088" s="8" t="str">
        <v>100～119</v>
      </c>
      <c r="AN1088" s="8" t="str">
        <v>15以上</v>
      </c>
      <c r="AO1088" s="8" t="str">
        <f aca="false">IF(A1088="","",IF(COUNTIFS(全馬データ!$A$2:$A$50000,A1088,全馬データ!$B$2:$B$50000,B1088,全馬データ!$C$2:$C$50000,C1088,全馬データ!$D$2:$D$50000,E1088,全馬データ!$K$2:$K$50000,"&lt;&gt;")=0,"",SUMIFS(全馬データ!$K$2:$K$50000,全馬データ!$A$2:$A$50000,A1088,全馬データ!$B$2:$B$50000,B1088,全馬データ!$C$2:$C$50000,C1088,全馬データ!$D$2:$D$50000,E1088)))</f>
        <v/>
      </c>
      <c r="AP1088" s="8" t="str">
        <f aca="false">IF(A1088="","",IF(AO1088="","欠損",IF(AO1088&lt;=1.1,"1.0～1.1",IF(AO1088&lt;1.3,"1.2",IF(AO1088&lt;1.5,"1.3～1.4",IF(AO1088&lt;2,"1.5～1.9","2.0以上"))))))</f>
        <v>欠損</v>
      </c>
      <c r="AQ1088" s="8" t="str">
        <f aca="false">IF(A1088="","",IF(ISNUMBER(SEARCH("2歳",Z1088)),"2歳戦",IF(ISNUMBER(SEARCH("3歳未勝利",Z1088)),"3歳未勝利",IF(ISNUMBER(SEARCH("未勝利",Z1088)),"その他未勝利",IF(ISNUMBER(SEARCH("G1",Z1088)),"G1",IF(ISNUMBER(SEARCH("G2",Z1088)),"G2",IF(ISNUMBER(SEARCH("G3",Z1088)),"G3",IF(ISNUMBER(SEARCH("古馬条件",Z1088)),"古馬条件戦",IF(ISNUMBER(SEARCH("重賞",Z1088)),"重賞","分類不能")))))))))</f>
        <v>分類不能</v>
      </c>
      <c r="AR1088" s="8"/>
      <c r="AS1088" s="8" t="s">
        <v>7623</v>
      </c>
      <c r="AT1088" s="8" t="s">
        <v>7624</v>
      </c>
      <c r="AU1088" s="8" t="s">
        <v>7600</v>
      </c>
      <c r="AV1088" s="4" t="s">
        <v>7601</v>
      </c>
      <c r="AW1088" s="8"/>
      <c r="AX1088" s="8"/>
      <c r="AY1088" s="8" t="s">
        <v>7610</v>
      </c>
      <c r="AZ1088" s="4" t="s">
        <v>7617</v>
      </c>
      <c r="BA1088" s="8" t="n">
        <v>1800</v>
      </c>
      <c r="BB1088" s="8" t="s">
        <v>7661</v>
      </c>
      <c r="BC1088" s="4" t="s">
        <v>7662</v>
      </c>
      <c r="BD1088" s="8" t="s">
        <v>7621</v>
      </c>
      <c r="BE1088" s="4" t="s">
        <v>7622</v>
      </c>
      <c r="BF1088" s="8" t="s">
        <v>7602</v>
      </c>
      <c r="BG1088" s="8" t="s">
        <v>7608</v>
      </c>
      <c r="BH1088" s="4" t="s">
        <v>7609</v>
      </c>
      <c r="BI1088" s="8" t="n">
        <v>15</v>
      </c>
      <c r="BJ1088" s="8" t="s">
        <v>7610</v>
      </c>
      <c r="BK1088" s="4" t="s">
        <v>7611</v>
      </c>
      <c r="BL1088" s="8" t="s">
        <v>7602</v>
      </c>
      <c r="BM1088" s="4" t="s">
        <v>7620</v>
      </c>
      <c r="BN1088" s="8"/>
      <c r="BO1088" s="8"/>
      <c r="BP1088" s="8" t="s">
        <v>7608</v>
      </c>
      <c r="BQ1088" s="8" t="str">
        <f aca="false">IF(A1088="","",AT1088)</f>
        <v>3歳</v>
      </c>
      <c r="BR1088" s="8" t="str">
        <f aca="false">IF(A1088="","",IF(BA1088&lt;=1200,"～1200",IF(BA1088&lt;=1500,"1300～1500",IF(BA1088=1600,"1600",IF(BA1088&lt;=1800,"1700～1800",IF(BA1088&lt;=2000,"1900～2000","2100以上"))))))</f>
        <v>1700～1800</v>
      </c>
      <c r="BS1088" s="8" t="str">
        <f aca="false">IF(A1088="","",IF(AX1088="G1","G1",IF(AX1088="G2","G2",IF(AX1088="G3","G3",IF(AX1088="L","L","その他")))))</f>
        <v>その他</v>
      </c>
      <c r="BT1088" s="8" t="str">
        <f aca="false">IF(A1088="","",IF(BI1088="","未結合",IF(D1088=BI1088,"一致","不一致")))</f>
        <v>一致</v>
      </c>
      <c r="BU1088" s="8" t="str">
        <f aca="false">IF(A1088="","",IF(BE1088="牝馬限定","牝馬限定","その他"))</f>
        <v>牝馬限定</v>
      </c>
    </row>
    <row r="1089" customFormat="false" ht="15.75" hidden="false" customHeight="false" outlineLevel="0" collapsed="false">
      <c r="A1089" s="6" t="n">
        <f aca="false">DATE(2026,5,2)</f>
        <v>46144</v>
      </c>
      <c r="B1089" s="4" t="s">
        <v>13</v>
      </c>
      <c r="C1089" s="8" t="n">
        <v>3</v>
      </c>
      <c r="D1089" s="8" t="n">
        <v>15</v>
      </c>
      <c r="E1089" s="8" t="n">
        <v>6</v>
      </c>
      <c r="F1089" s="4" t="s">
        <v>2623</v>
      </c>
      <c r="G1089" s="8" t="n">
        <v>65</v>
      </c>
      <c r="H1089" s="8" t="n">
        <v>3</v>
      </c>
      <c r="I1089" s="4" t="s">
        <v>50</v>
      </c>
      <c r="J1089" s="8" t="n">
        <v>50</v>
      </c>
      <c r="K1089" s="8" t="n">
        <v>4</v>
      </c>
      <c r="L1089" s="4" t="s">
        <v>3266</v>
      </c>
      <c r="M1089" s="8" t="n">
        <v>39</v>
      </c>
      <c r="N1089" s="8" t="n">
        <f aca="false">IF(A1089="","",G1089-J1089)</f>
        <v>15</v>
      </c>
      <c r="O1089" s="8" t="n">
        <f aca="false">IF(A1089="","",J1089-M1089)</f>
        <v>11</v>
      </c>
      <c r="P1089" s="8" t="n">
        <f aca="false">IF(A1089="","",G1089+J1089)</f>
        <v>115</v>
      </c>
      <c r="Q1089" s="8" t="str">
        <f aca="false">IF(A1089="","",IF(AND(Y1089&lt;&gt;"参考",G1089&gt;=ルール設定!$B$2),"○",""))</f>
        <v/>
      </c>
      <c r="R1089" s="8" t="str">
        <f aca="false">IF(A1089="","",IF(AND(Y1089&lt;&gt;"参考",G1089&gt;=ルール設定!$B$3,N1089&gt;=ルール設定!$B$4),"○",""))</f>
        <v/>
      </c>
      <c r="S1089" s="8" t="str">
        <f aca="false">IF(A1089="","",IF(AND(Y1089&lt;&gt;"参考",G1089&gt;=ルール設定!$B$5,J1089&gt;=ルール設定!$B$6,O1089&gt;=ルール設定!$B$7),"○",""))</f>
        <v/>
      </c>
      <c r="T1089" s="8" t="n">
        <v>4</v>
      </c>
      <c r="U1089" s="8" t="n">
        <v>3</v>
      </c>
      <c r="V1089" s="8" t="str">
        <f aca="false">IF(A1089="","",IF(AND(ISNUMBER(T1089),ISNUMBER(U1089)),IF(AND(T1089&lt;=3,U1089&lt;=3),"○","×"),""))</f>
        <v>×</v>
      </c>
      <c r="W1089" s="8"/>
      <c r="X1089" s="8"/>
      <c r="Y1089" s="4" t="s">
        <v>7597</v>
      </c>
      <c r="Z1089" s="8" t="s">
        <v>8111</v>
      </c>
      <c r="AA1089" s="8" t="str">
        <v/>
      </c>
      <c r="AB1089" s="8" t="str">
        <v/>
      </c>
      <c r="AC1089" s="8" t="str">
        <v/>
      </c>
      <c r="AD1089" s="8" t="str">
        <v/>
      </c>
      <c r="AE1089" s="8" t="str">
        <v/>
      </c>
      <c r="AF1089" s="8" t="str">
        <v/>
      </c>
      <c r="AG1089" s="8" t="str">
        <v/>
      </c>
      <c r="AH1089" s="8" t="str">
        <v/>
      </c>
      <c r="AI1089" s="8" t="n">
        <v>26</v>
      </c>
      <c r="AJ1089" s="8" t="str">
        <v>60～69</v>
      </c>
      <c r="AK1089" s="8" t="str">
        <v>10～19</v>
      </c>
      <c r="AL1089" s="8" t="str">
        <v>20～29</v>
      </c>
      <c r="AM1089" s="8" t="str">
        <v>100～119</v>
      </c>
      <c r="AN1089" s="8" t="str">
        <v>15以上</v>
      </c>
      <c r="AO1089" s="8" t="str">
        <f aca="false">IF(A1089="","",IF(COUNTIFS(全馬データ!$A$2:$A$50000,A1089,全馬データ!$B$2:$B$50000,B1089,全馬データ!$C$2:$C$50000,C1089,全馬データ!$D$2:$D$50000,E1089,全馬データ!$K$2:$K$50000,"&lt;&gt;")=0,"",SUMIFS(全馬データ!$K$2:$K$50000,全馬データ!$A$2:$A$50000,A1089,全馬データ!$B$2:$B$50000,B1089,全馬データ!$C$2:$C$50000,C1089,全馬データ!$D$2:$D$50000,E1089)))</f>
        <v/>
      </c>
      <c r="AP1089" s="8" t="str">
        <f aca="false">IF(A1089="","",IF(AO1089="","欠損",IF(AO1089&lt;=1.1,"1.0～1.1",IF(AO1089&lt;1.3,"1.2",IF(AO1089&lt;1.5,"1.3～1.4",IF(AO1089&lt;2,"1.5～1.9","2.0以上"))))))</f>
        <v>欠損</v>
      </c>
      <c r="AQ1089" s="8" t="str">
        <f aca="false">IF(A1089="","",IF(ISNUMBER(SEARCH("2歳",Z1089)),"2歳戦",IF(ISNUMBER(SEARCH("3歳未勝利",Z1089)),"3歳未勝利",IF(ISNUMBER(SEARCH("未勝利",Z1089)),"その他未勝利",IF(ISNUMBER(SEARCH("G1",Z1089)),"G1",IF(ISNUMBER(SEARCH("G2",Z1089)),"G2",IF(ISNUMBER(SEARCH("G3",Z1089)),"G3",IF(ISNUMBER(SEARCH("古馬条件",Z1089)),"古馬条件戦",IF(ISNUMBER(SEARCH("重賞",Z1089)),"重賞","分類不能")))))))))</f>
        <v>分類不能</v>
      </c>
      <c r="AR1089" s="8"/>
      <c r="AS1089" s="8" t="s">
        <v>7623</v>
      </c>
      <c r="AT1089" s="8" t="s">
        <v>7624</v>
      </c>
      <c r="AU1089" s="8" t="s">
        <v>7600</v>
      </c>
      <c r="AV1089" s="4" t="s">
        <v>7601</v>
      </c>
      <c r="AW1089" s="8"/>
      <c r="AX1089" s="8"/>
      <c r="AY1089" s="8" t="s">
        <v>7610</v>
      </c>
      <c r="AZ1089" s="4" t="s">
        <v>7617</v>
      </c>
      <c r="BA1089" s="8" t="n">
        <v>1200</v>
      </c>
      <c r="BB1089" s="8" t="s">
        <v>7661</v>
      </c>
      <c r="BC1089" s="4" t="s">
        <v>7662</v>
      </c>
      <c r="BD1089" s="8" t="s">
        <v>7852</v>
      </c>
      <c r="BE1089" s="4" t="s">
        <v>7606</v>
      </c>
      <c r="BF1089" s="8" t="s">
        <v>7607</v>
      </c>
      <c r="BG1089" s="8" t="s">
        <v>7608</v>
      </c>
      <c r="BH1089" s="4" t="s">
        <v>7609</v>
      </c>
      <c r="BI1089" s="8" t="n">
        <v>15</v>
      </c>
      <c r="BJ1089" s="8" t="s">
        <v>7610</v>
      </c>
      <c r="BK1089" s="4" t="s">
        <v>7611</v>
      </c>
      <c r="BL1089" s="8" t="s">
        <v>7602</v>
      </c>
      <c r="BM1089" s="4" t="s">
        <v>7620</v>
      </c>
      <c r="BN1089" s="8"/>
      <c r="BO1089" s="8"/>
      <c r="BP1089" s="8" t="s">
        <v>7608</v>
      </c>
      <c r="BQ1089" s="8" t="str">
        <f aca="false">IF(A1089="","",AT1089)</f>
        <v>3歳</v>
      </c>
      <c r="BR1089" s="8" t="str">
        <f aca="false">IF(A1089="","",IF(BA1089&lt;=1200,"～1200",IF(BA1089&lt;=1500,"1300～1500",IF(BA1089=1600,"1600",IF(BA1089&lt;=1800,"1700～1800",IF(BA1089&lt;=2000,"1900～2000","2100以上"))))))</f>
        <v>～1200</v>
      </c>
      <c r="BS1089" s="8" t="str">
        <f aca="false">IF(A1089="","",IF(AX1089="G1","G1",IF(AX1089="G2","G2",IF(AX1089="G3","G3",IF(AX1089="L","L","その他")))))</f>
        <v>その他</v>
      </c>
      <c r="BT1089" s="8" t="str">
        <f aca="false">IF(A1089="","",IF(BI1089="","未結合",IF(D1089=BI1089,"一致","不一致")))</f>
        <v>一致</v>
      </c>
      <c r="BU1089" s="8" t="str">
        <f aca="false">IF(A1089="","",IF(BE1089="牝馬限定","牝馬限定","その他"))</f>
        <v>その他</v>
      </c>
    </row>
    <row r="1090" customFormat="false" ht="15.75" hidden="false" customHeight="false" outlineLevel="0" collapsed="false">
      <c r="A1090" s="6" t="n">
        <f aca="false">DATE(2026,5,2)</f>
        <v>46144</v>
      </c>
      <c r="B1090" s="4" t="s">
        <v>13</v>
      </c>
      <c r="C1090" s="8" t="n">
        <v>4</v>
      </c>
      <c r="D1090" s="8" t="n">
        <v>11</v>
      </c>
      <c r="E1090" s="8" t="n">
        <v>1</v>
      </c>
      <c r="F1090" s="4" t="s">
        <v>4297</v>
      </c>
      <c r="G1090" s="8" t="n">
        <v>44</v>
      </c>
      <c r="H1090" s="8" t="n">
        <v>3</v>
      </c>
      <c r="I1090" s="4" t="s">
        <v>6104</v>
      </c>
      <c r="J1090" s="8" t="n">
        <v>44</v>
      </c>
      <c r="K1090" s="8" t="n">
        <v>4</v>
      </c>
      <c r="L1090" s="4" t="s">
        <v>128</v>
      </c>
      <c r="M1090" s="8" t="n">
        <v>44</v>
      </c>
      <c r="N1090" s="8" t="n">
        <f aca="false">IF(A1090="","",G1090-J1090)</f>
        <v>0</v>
      </c>
      <c r="O1090" s="8" t="n">
        <f aca="false">IF(A1090="","",J1090-M1090)</f>
        <v>0</v>
      </c>
      <c r="P1090" s="8" t="n">
        <f aca="false">IF(A1090="","",G1090+J1090)</f>
        <v>88</v>
      </c>
      <c r="Q1090" s="8" t="str">
        <f aca="false">IF(A1090="","",IF(AND(Y1090&lt;&gt;"参考",G1090&gt;=ルール設定!$B$2),"○",""))</f>
        <v/>
      </c>
      <c r="R1090" s="8" t="str">
        <f aca="false">IF(A1090="","",IF(AND(Y1090&lt;&gt;"参考",G1090&gt;=ルール設定!$B$3,N1090&gt;=ルール設定!$B$4),"○",""))</f>
        <v/>
      </c>
      <c r="S1090" s="8" t="str">
        <f aca="false">IF(A1090="","",IF(AND(Y1090&lt;&gt;"参考",G1090&gt;=ルール設定!$B$5,J1090&gt;=ルール設定!$B$6,O1090&gt;=ルール設定!$B$7),"○",""))</f>
        <v/>
      </c>
      <c r="T1090" s="8" t="n">
        <v>4</v>
      </c>
      <c r="U1090" s="8" t="n">
        <v>2</v>
      </c>
      <c r="V1090" s="8" t="str">
        <f aca="false">IF(A1090="","",IF(AND(ISNUMBER(T1090),ISNUMBER(U1090)),IF(AND(T1090&lt;=3,U1090&lt;=3),"○","×"),""))</f>
        <v>×</v>
      </c>
      <c r="W1090" s="8"/>
      <c r="X1090" s="8"/>
      <c r="Y1090" s="4" t="s">
        <v>7597</v>
      </c>
      <c r="Z1090" s="8" t="s">
        <v>8111</v>
      </c>
      <c r="AA1090" s="8" t="str">
        <v/>
      </c>
      <c r="AB1090" s="8" t="str">
        <v/>
      </c>
      <c r="AC1090" s="8" t="str">
        <v/>
      </c>
      <c r="AD1090" s="8" t="str">
        <v/>
      </c>
      <c r="AE1090" s="8" t="str">
        <v/>
      </c>
      <c r="AF1090" s="8" t="str">
        <v/>
      </c>
      <c r="AG1090" s="8" t="str">
        <v/>
      </c>
      <c r="AH1090" s="8" t="str">
        <v/>
      </c>
      <c r="AI1090" s="8" t="n">
        <v>0</v>
      </c>
      <c r="AJ1090" s="8" t="str">
        <v>～59</v>
      </c>
      <c r="AK1090" s="8" t="str">
        <v>0～4</v>
      </c>
      <c r="AL1090" s="8" t="str">
        <v>0～9</v>
      </c>
      <c r="AM1090" s="8" t="str">
        <v>～99</v>
      </c>
      <c r="AN1090" s="8" t="str">
        <v>8～11</v>
      </c>
      <c r="AO1090" s="8" t="str">
        <f aca="false">IF(A1090="","",IF(COUNTIFS(全馬データ!$A$2:$A$50000,A1090,全馬データ!$B$2:$B$50000,B1090,全馬データ!$C$2:$C$50000,C1090,全馬データ!$D$2:$D$50000,E1090,全馬データ!$K$2:$K$50000,"&lt;&gt;")=0,"",SUMIFS(全馬データ!$K$2:$K$50000,全馬データ!$A$2:$A$50000,A1090,全馬データ!$B$2:$B$50000,B1090,全馬データ!$C$2:$C$50000,C1090,全馬データ!$D$2:$D$50000,E1090)))</f>
        <v/>
      </c>
      <c r="AP1090" s="8" t="str">
        <f aca="false">IF(A1090="","",IF(AO1090="","欠損",IF(AO1090&lt;=1.1,"1.0～1.1",IF(AO1090&lt;1.3,"1.2",IF(AO1090&lt;1.5,"1.3～1.4",IF(AO1090&lt;2,"1.5～1.9","2.0以上"))))))</f>
        <v>欠損</v>
      </c>
      <c r="AQ1090" s="8" t="str">
        <f aca="false">IF(A1090="","",IF(ISNUMBER(SEARCH("2歳",Z1090)),"2歳戦",IF(ISNUMBER(SEARCH("3歳未勝利",Z1090)),"3歳未勝利",IF(ISNUMBER(SEARCH("未勝利",Z1090)),"その他未勝利",IF(ISNUMBER(SEARCH("G1",Z1090)),"G1",IF(ISNUMBER(SEARCH("G2",Z1090)),"G2",IF(ISNUMBER(SEARCH("G3",Z1090)),"G3",IF(ISNUMBER(SEARCH("古馬条件",Z1090)),"古馬条件戦",IF(ISNUMBER(SEARCH("重賞",Z1090)),"重賞","分類不能")))))))))</f>
        <v>分類不能</v>
      </c>
      <c r="AR1090" s="8"/>
      <c r="AS1090" s="8" t="s">
        <v>7618</v>
      </c>
      <c r="AT1090" s="4" t="s">
        <v>7642</v>
      </c>
      <c r="AU1090" s="8" t="s">
        <v>7643</v>
      </c>
      <c r="AV1090" s="4" t="s">
        <v>7644</v>
      </c>
      <c r="AW1090" s="8"/>
      <c r="AX1090" s="8"/>
      <c r="AY1090" s="8" t="s">
        <v>7608</v>
      </c>
      <c r="AZ1090" s="4" t="s">
        <v>7642</v>
      </c>
      <c r="BA1090" s="8" t="n">
        <v>2890</v>
      </c>
      <c r="BB1090" s="8" t="s">
        <v>7657</v>
      </c>
      <c r="BC1090" s="4" t="s">
        <v>7658</v>
      </c>
      <c r="BD1090" s="8" t="s">
        <v>7645</v>
      </c>
      <c r="BE1090" s="4" t="s">
        <v>7606</v>
      </c>
      <c r="BF1090" s="8" t="s">
        <v>7607</v>
      </c>
      <c r="BG1090" s="8" t="s">
        <v>7610</v>
      </c>
      <c r="BH1090" s="4" t="s">
        <v>7646</v>
      </c>
      <c r="BI1090" s="8" t="n">
        <v>11</v>
      </c>
      <c r="BJ1090" s="8" t="s">
        <v>7647</v>
      </c>
      <c r="BK1090" s="4" t="s">
        <v>7648</v>
      </c>
      <c r="BL1090" s="8" t="s">
        <v>7647</v>
      </c>
      <c r="BM1090" s="4" t="s">
        <v>7648</v>
      </c>
      <c r="BN1090" s="8"/>
      <c r="BO1090" s="8"/>
      <c r="BP1090" s="8" t="s">
        <v>7608</v>
      </c>
      <c r="BQ1090" s="8" t="str">
        <f aca="false">IF(A1090="","",AT1090)</f>
        <v>障害</v>
      </c>
      <c r="BR1090" s="8" t="str">
        <f aca="false">IF(A1090="","",IF(BA1090&lt;=1200,"～1200",IF(BA1090&lt;=1500,"1300～1500",IF(BA1090=1600,"1600",IF(BA1090&lt;=1800,"1700～1800",IF(BA1090&lt;=2000,"1900～2000","2100以上"))))))</f>
        <v>2100以上</v>
      </c>
      <c r="BS1090" s="8" t="str">
        <f aca="false">IF(A1090="","",IF(AX1090="G1","G1",IF(AX1090="G2","G2",IF(AX1090="G3","G3",IF(AX1090="L","L","その他")))))</f>
        <v>その他</v>
      </c>
      <c r="BT1090" s="8" t="str">
        <f aca="false">IF(A1090="","",IF(BI1090="","未結合",IF(D1090=BI1090,"一致","不一致")))</f>
        <v>一致</v>
      </c>
      <c r="BU1090" s="8" t="str">
        <f aca="false">IF(A1090="","",IF(BE1090="牝馬限定","牝馬限定","その他"))</f>
        <v>その他</v>
      </c>
    </row>
    <row r="1091" customFormat="false" ht="15.75" hidden="false" customHeight="false" outlineLevel="0" collapsed="false">
      <c r="A1091" s="6" t="n">
        <f aca="false">DATE(2026,5,2)</f>
        <v>46144</v>
      </c>
      <c r="B1091" s="4" t="s">
        <v>13</v>
      </c>
      <c r="C1091" s="8" t="n">
        <v>5</v>
      </c>
      <c r="D1091" s="8" t="n">
        <v>16</v>
      </c>
      <c r="E1091" s="8" t="n">
        <v>9</v>
      </c>
      <c r="F1091" s="4" t="s">
        <v>3813</v>
      </c>
      <c r="G1091" s="8" t="n">
        <v>67</v>
      </c>
      <c r="H1091" s="8" t="n">
        <v>4</v>
      </c>
      <c r="I1091" s="4" t="s">
        <v>2089</v>
      </c>
      <c r="J1091" s="8" t="n">
        <v>41</v>
      </c>
      <c r="K1091" s="8" t="n">
        <v>14</v>
      </c>
      <c r="L1091" s="4" t="s">
        <v>5143</v>
      </c>
      <c r="M1091" s="8" t="n">
        <v>34</v>
      </c>
      <c r="N1091" s="8" t="n">
        <f aca="false">IF(A1091="","",G1091-J1091)</f>
        <v>26</v>
      </c>
      <c r="O1091" s="8" t="n">
        <f aca="false">IF(A1091="","",J1091-M1091)</f>
        <v>7</v>
      </c>
      <c r="P1091" s="8" t="n">
        <f aca="false">IF(A1091="","",G1091+J1091)</f>
        <v>108</v>
      </c>
      <c r="Q1091" s="8" t="str">
        <f aca="false">IF(A1091="","",IF(AND(Y1091&lt;&gt;"参考",G1091&gt;=ルール設定!$B$2),"○",""))</f>
        <v/>
      </c>
      <c r="R1091" s="8" t="str">
        <f aca="false">IF(A1091="","",IF(AND(Y1091&lt;&gt;"参考",G1091&gt;=ルール設定!$B$3,N1091&gt;=ルール設定!$B$4),"○",""))</f>
        <v/>
      </c>
      <c r="S1091" s="8" t="str">
        <f aca="false">IF(A1091="","",IF(AND(Y1091&lt;&gt;"参考",G1091&gt;=ルール設定!$B$5,J1091&gt;=ルール設定!$B$6,O1091&gt;=ルール設定!$B$7),"○",""))</f>
        <v/>
      </c>
      <c r="T1091" s="8" t="n">
        <v>4</v>
      </c>
      <c r="U1091" s="8" t="n">
        <v>4</v>
      </c>
      <c r="V1091" s="8" t="str">
        <f aca="false">IF(A1091="","",IF(AND(ISNUMBER(T1091),ISNUMBER(U1091)),IF(AND(T1091&lt;=3,U1091&lt;=3),"○","×"),""))</f>
        <v>×</v>
      </c>
      <c r="W1091" s="8"/>
      <c r="X1091" s="8"/>
      <c r="Y1091" s="4" t="s">
        <v>7597</v>
      </c>
      <c r="Z1091" s="8" t="s">
        <v>8111</v>
      </c>
      <c r="AA1091" s="8" t="str">
        <v/>
      </c>
      <c r="AB1091" s="8" t="str">
        <v/>
      </c>
      <c r="AC1091" s="8" t="str">
        <v/>
      </c>
      <c r="AD1091" s="8" t="str">
        <v/>
      </c>
      <c r="AE1091" s="8" t="str">
        <v/>
      </c>
      <c r="AF1091" s="8" t="str">
        <v/>
      </c>
      <c r="AG1091" s="8" t="str">
        <v/>
      </c>
      <c r="AH1091" s="8" t="str">
        <v/>
      </c>
      <c r="AI1091" s="8" t="n">
        <v>33</v>
      </c>
      <c r="AJ1091" s="8" t="str">
        <v>60～69</v>
      </c>
      <c r="AK1091" s="8" t="str">
        <v>20～29</v>
      </c>
      <c r="AL1091" s="8" t="str">
        <v>30～39</v>
      </c>
      <c r="AM1091" s="8" t="str">
        <v>100～119</v>
      </c>
      <c r="AN1091" s="8" t="str">
        <v>15以上</v>
      </c>
      <c r="AO1091" s="8" t="str">
        <f aca="false">IF(A1091="","",IF(COUNTIFS(全馬データ!$A$2:$A$50000,A1091,全馬データ!$B$2:$B$50000,B1091,全馬データ!$C$2:$C$50000,C1091,全馬データ!$D$2:$D$50000,E1091,全馬データ!$K$2:$K$50000,"&lt;&gt;")=0,"",SUMIFS(全馬データ!$K$2:$K$50000,全馬データ!$A$2:$A$50000,A1091,全馬データ!$B$2:$B$50000,B1091,全馬データ!$C$2:$C$50000,C1091,全馬データ!$D$2:$D$50000,E1091)))</f>
        <v/>
      </c>
      <c r="AP1091" s="8" t="str">
        <f aca="false">IF(A1091="","",IF(AO1091="","欠損",IF(AO1091&lt;=1.1,"1.0～1.1",IF(AO1091&lt;1.3,"1.2",IF(AO1091&lt;1.5,"1.3～1.4",IF(AO1091&lt;2,"1.5～1.9","2.0以上"))))))</f>
        <v>欠損</v>
      </c>
      <c r="AQ1091" s="8" t="str">
        <f aca="false">IF(A1091="","",IF(ISNUMBER(SEARCH("2歳",Z1091)),"2歳戦",IF(ISNUMBER(SEARCH("3歳未勝利",Z1091)),"3歳未勝利",IF(ISNUMBER(SEARCH("未勝利",Z1091)),"その他未勝利",IF(ISNUMBER(SEARCH("G1",Z1091)),"G1",IF(ISNUMBER(SEARCH("G2",Z1091)),"G2",IF(ISNUMBER(SEARCH("G3",Z1091)),"G3",IF(ISNUMBER(SEARCH("古馬条件",Z1091)),"古馬条件戦",IF(ISNUMBER(SEARCH("重賞",Z1091)),"重賞","分類不能")))))))))</f>
        <v>分類不能</v>
      </c>
      <c r="AR1091" s="8"/>
      <c r="AS1091" s="8" t="s">
        <v>7623</v>
      </c>
      <c r="AT1091" s="8" t="s">
        <v>7624</v>
      </c>
      <c r="AU1091" s="8" t="s">
        <v>7600</v>
      </c>
      <c r="AV1091" s="4" t="s">
        <v>7601</v>
      </c>
      <c r="AW1091" s="8"/>
      <c r="AX1091" s="8"/>
      <c r="AY1091" s="8" t="s">
        <v>7602</v>
      </c>
      <c r="AZ1091" s="4" t="s">
        <v>7603</v>
      </c>
      <c r="BA1091" s="8" t="n">
        <v>1400</v>
      </c>
      <c r="BB1091" s="8" t="s">
        <v>7618</v>
      </c>
      <c r="BC1091" s="4" t="s">
        <v>7619</v>
      </c>
      <c r="BD1091" s="8" t="s">
        <v>7605</v>
      </c>
      <c r="BE1091" s="4" t="s">
        <v>7606</v>
      </c>
      <c r="BF1091" s="8" t="s">
        <v>7607</v>
      </c>
      <c r="BG1091" s="8" t="s">
        <v>7608</v>
      </c>
      <c r="BH1091" s="4" t="s">
        <v>7609</v>
      </c>
      <c r="BI1091" s="8" t="n">
        <v>16</v>
      </c>
      <c r="BJ1091" s="8" t="s">
        <v>7610</v>
      </c>
      <c r="BK1091" s="4" t="s">
        <v>7611</v>
      </c>
      <c r="BL1091" s="8" t="s">
        <v>7602</v>
      </c>
      <c r="BM1091" s="4" t="s">
        <v>7620</v>
      </c>
      <c r="BN1091" s="8" t="s">
        <v>7631</v>
      </c>
      <c r="BO1091" s="8" t="s">
        <v>7680</v>
      </c>
      <c r="BP1091" s="8" t="s">
        <v>7608</v>
      </c>
      <c r="BQ1091" s="8" t="str">
        <f aca="false">IF(A1091="","",AT1091)</f>
        <v>3歳</v>
      </c>
      <c r="BR1091" s="8" t="str">
        <f aca="false">IF(A1091="","",IF(BA1091&lt;=1200,"～1200",IF(BA1091&lt;=1500,"1300～1500",IF(BA1091=1600,"1600",IF(BA1091&lt;=1800,"1700～1800",IF(BA1091&lt;=2000,"1900～2000","2100以上"))))))</f>
        <v>1300～1500</v>
      </c>
      <c r="BS1091" s="8" t="str">
        <f aca="false">IF(A1091="","",IF(AX1091="G1","G1",IF(AX1091="G2","G2",IF(AX1091="G3","G3",IF(AX1091="L","L","その他")))))</f>
        <v>その他</v>
      </c>
      <c r="BT1091" s="8" t="str">
        <f aca="false">IF(A1091="","",IF(BI1091="","未結合",IF(D1091=BI1091,"一致","不一致")))</f>
        <v>一致</v>
      </c>
      <c r="BU1091" s="8" t="str">
        <f aca="false">IF(A1091="","",IF(BE1091="牝馬限定","牝馬限定","その他"))</f>
        <v>その他</v>
      </c>
    </row>
    <row r="1092" customFormat="false" ht="15.75" hidden="false" customHeight="false" outlineLevel="0" collapsed="false">
      <c r="A1092" s="6" t="n">
        <f aca="false">DATE(2026,5,2)</f>
        <v>46144</v>
      </c>
      <c r="B1092" s="4" t="s">
        <v>13</v>
      </c>
      <c r="C1092" s="8" t="n">
        <v>6</v>
      </c>
      <c r="D1092" s="8" t="n">
        <v>14</v>
      </c>
      <c r="E1092" s="8" t="n">
        <v>5</v>
      </c>
      <c r="F1092" s="4" t="s">
        <v>7292</v>
      </c>
      <c r="G1092" s="8" t="n">
        <v>65</v>
      </c>
      <c r="H1092" s="8" t="n">
        <v>6</v>
      </c>
      <c r="I1092" s="4" t="s">
        <v>3771</v>
      </c>
      <c r="J1092" s="8" t="n">
        <v>56</v>
      </c>
      <c r="K1092" s="8" t="n">
        <v>2</v>
      </c>
      <c r="L1092" s="4" t="s">
        <v>2834</v>
      </c>
      <c r="M1092" s="8" t="n">
        <v>29</v>
      </c>
      <c r="N1092" s="8" t="n">
        <f aca="false">IF(A1092="","",G1092-J1092)</f>
        <v>9</v>
      </c>
      <c r="O1092" s="8" t="n">
        <f aca="false">IF(A1092="","",J1092-M1092)</f>
        <v>27</v>
      </c>
      <c r="P1092" s="8" t="n">
        <f aca="false">IF(A1092="","",G1092+J1092)</f>
        <v>121</v>
      </c>
      <c r="Q1092" s="8" t="str">
        <f aca="false">IF(A1092="","",IF(AND(Y1092&lt;&gt;"参考",G1092&gt;=ルール設定!$B$2),"○",""))</f>
        <v/>
      </c>
      <c r="R1092" s="8" t="str">
        <f aca="false">IF(A1092="","",IF(AND(Y1092&lt;&gt;"参考",G1092&gt;=ルール設定!$B$3,N1092&gt;=ルール設定!$B$4),"○",""))</f>
        <v/>
      </c>
      <c r="S1092" s="8" t="str">
        <f aca="false">IF(A1092="","",IF(AND(Y1092&lt;&gt;"参考",G1092&gt;=ルール設定!$B$5,J1092&gt;=ルール設定!$B$6,O1092&gt;=ルール設定!$B$7),"○",""))</f>
        <v>○</v>
      </c>
      <c r="T1092" s="8" t="n">
        <v>1</v>
      </c>
      <c r="U1092" s="8" t="n">
        <v>3</v>
      </c>
      <c r="V1092" s="8" t="str">
        <f aca="false">IF(A1092="","",IF(AND(ISNUMBER(T1092),ISNUMBER(U1092)),IF(AND(T1092&lt;=3,U1092&lt;=3),"○","×"),""))</f>
        <v>○</v>
      </c>
      <c r="W1092" s="8" t="n">
        <v>130</v>
      </c>
      <c r="X1092" s="8" t="n">
        <v>250</v>
      </c>
      <c r="Y1092" s="4" t="s">
        <v>7597</v>
      </c>
      <c r="Z1092" s="8" t="s">
        <v>8111</v>
      </c>
      <c r="AA1092" s="8" t="str">
        <v/>
      </c>
      <c r="AB1092" s="8" t="str">
        <v/>
      </c>
      <c r="AC1092" s="8" t="str">
        <v/>
      </c>
      <c r="AD1092" s="8" t="str">
        <v/>
      </c>
      <c r="AE1092" s="8" t="str">
        <v/>
      </c>
      <c r="AF1092" s="8" t="str">
        <v/>
      </c>
      <c r="AG1092" s="8" t="str">
        <v/>
      </c>
      <c r="AH1092" s="8" t="str">
        <v/>
      </c>
      <c r="AI1092" s="8" t="n">
        <v>36</v>
      </c>
      <c r="AJ1092" s="8" t="str">
        <v>60～69</v>
      </c>
      <c r="AK1092" s="8" t="str">
        <v>5～9</v>
      </c>
      <c r="AL1092" s="8" t="str">
        <v>30～39</v>
      </c>
      <c r="AM1092" s="8" t="str">
        <v>120～139</v>
      </c>
      <c r="AN1092" s="8" t="str">
        <v>12～14</v>
      </c>
      <c r="AO1092" s="8" t="str">
        <f aca="false">IF(A1092="","",IF(COUNTIFS(全馬データ!$A$2:$A$50000,A1092,全馬データ!$B$2:$B$50000,B1092,全馬データ!$C$2:$C$50000,C1092,全馬データ!$D$2:$D$50000,E1092,全馬データ!$K$2:$K$50000,"&lt;&gt;")=0,"",SUMIFS(全馬データ!$K$2:$K$50000,全馬データ!$A$2:$A$50000,A1092,全馬データ!$B$2:$B$50000,B1092,全馬データ!$C$2:$C$50000,C1092,全馬データ!$D$2:$D$50000,E1092)))</f>
        <v/>
      </c>
      <c r="AP1092" s="8" t="str">
        <f aca="false">IF(A1092="","",IF(AO1092="","欠損",IF(AO1092&lt;=1.1,"1.0～1.1",IF(AO1092&lt;1.3,"1.2",IF(AO1092&lt;1.5,"1.3～1.4",IF(AO1092&lt;2,"1.5～1.9","2.0以上"))))))</f>
        <v>欠損</v>
      </c>
      <c r="AQ1092" s="8" t="str">
        <f aca="false">IF(A1092="","",IF(ISNUMBER(SEARCH("2歳",Z1092)),"2歳戦",IF(ISNUMBER(SEARCH("3歳未勝利",Z1092)),"3歳未勝利",IF(ISNUMBER(SEARCH("未勝利",Z1092)),"その他未勝利",IF(ISNUMBER(SEARCH("G1",Z1092)),"G1",IF(ISNUMBER(SEARCH("G2",Z1092)),"G2",IF(ISNUMBER(SEARCH("G3",Z1092)),"G3",IF(ISNUMBER(SEARCH("古馬条件",Z1092)),"古馬条件戦",IF(ISNUMBER(SEARCH("重賞",Z1092)),"重賞","分類不能")))))))))</f>
        <v>分類不能</v>
      </c>
      <c r="AR1092" s="8"/>
      <c r="AS1092" s="8" t="s">
        <v>7623</v>
      </c>
      <c r="AT1092" s="8" t="s">
        <v>7624</v>
      </c>
      <c r="AU1092" s="8" t="s">
        <v>7600</v>
      </c>
      <c r="AV1092" s="4" t="s">
        <v>7601</v>
      </c>
      <c r="AW1092" s="8"/>
      <c r="AX1092" s="8"/>
      <c r="AY1092" s="8" t="s">
        <v>7602</v>
      </c>
      <c r="AZ1092" s="4" t="s">
        <v>7603</v>
      </c>
      <c r="BA1092" s="8" t="n">
        <v>2200</v>
      </c>
      <c r="BB1092" s="8" t="s">
        <v>7618</v>
      </c>
      <c r="BC1092" s="4" t="s">
        <v>7619</v>
      </c>
      <c r="BD1092" s="8" t="s">
        <v>7605</v>
      </c>
      <c r="BE1092" s="4" t="s">
        <v>7606</v>
      </c>
      <c r="BF1092" s="8" t="s">
        <v>7607</v>
      </c>
      <c r="BG1092" s="8" t="s">
        <v>7608</v>
      </c>
      <c r="BH1092" s="4" t="s">
        <v>7609</v>
      </c>
      <c r="BI1092" s="8" t="n">
        <v>14</v>
      </c>
      <c r="BJ1092" s="8" t="s">
        <v>7610</v>
      </c>
      <c r="BK1092" s="4" t="s">
        <v>7611</v>
      </c>
      <c r="BL1092" s="8" t="s">
        <v>7602</v>
      </c>
      <c r="BM1092" s="4" t="s">
        <v>7620</v>
      </c>
      <c r="BN1092" s="8" t="s">
        <v>7631</v>
      </c>
      <c r="BO1092" s="8" t="s">
        <v>7680</v>
      </c>
      <c r="BP1092" s="8" t="s">
        <v>7608</v>
      </c>
      <c r="BQ1092" s="8" t="str">
        <f aca="false">IF(A1092="","",AT1092)</f>
        <v>3歳</v>
      </c>
      <c r="BR1092" s="8" t="str">
        <f aca="false">IF(A1092="","",IF(BA1092&lt;=1200,"～1200",IF(BA1092&lt;=1500,"1300～1500",IF(BA1092=1600,"1600",IF(BA1092&lt;=1800,"1700～1800",IF(BA1092&lt;=2000,"1900～2000","2100以上"))))))</f>
        <v>2100以上</v>
      </c>
      <c r="BS1092" s="8" t="str">
        <f aca="false">IF(A1092="","",IF(AX1092="G1","G1",IF(AX1092="G2","G2",IF(AX1092="G3","G3",IF(AX1092="L","L","その他")))))</f>
        <v>その他</v>
      </c>
      <c r="BT1092" s="8" t="str">
        <f aca="false">IF(A1092="","",IF(BI1092="","未結合",IF(D1092=BI1092,"一致","不一致")))</f>
        <v>一致</v>
      </c>
      <c r="BU1092" s="8" t="str">
        <f aca="false">IF(A1092="","",IF(BE1092="牝馬限定","牝馬限定","その他"))</f>
        <v>その他</v>
      </c>
    </row>
    <row r="1093" customFormat="false" ht="15.75" hidden="false" customHeight="false" outlineLevel="0" collapsed="false">
      <c r="A1093" s="6" t="n">
        <f aca="false">DATE(2026,5,2)</f>
        <v>46144</v>
      </c>
      <c r="B1093" s="4" t="s">
        <v>13</v>
      </c>
      <c r="C1093" s="8" t="n">
        <v>7</v>
      </c>
      <c r="D1093" s="8" t="n">
        <v>15</v>
      </c>
      <c r="E1093" s="8" t="n">
        <v>1</v>
      </c>
      <c r="F1093" s="4" t="s">
        <v>7296</v>
      </c>
      <c r="G1093" s="8" t="n">
        <v>81</v>
      </c>
      <c r="H1093" s="8" t="n">
        <v>12</v>
      </c>
      <c r="I1093" s="4" t="s">
        <v>413</v>
      </c>
      <c r="J1093" s="8" t="n">
        <v>34</v>
      </c>
      <c r="K1093" s="8" t="n">
        <v>14</v>
      </c>
      <c r="L1093" s="4" t="s">
        <v>4073</v>
      </c>
      <c r="M1093" s="8" t="n">
        <v>31</v>
      </c>
      <c r="N1093" s="8" t="n">
        <f aca="false">IF(A1093="","",G1093-J1093)</f>
        <v>47</v>
      </c>
      <c r="O1093" s="8" t="n">
        <f aca="false">IF(A1093="","",J1093-M1093)</f>
        <v>3</v>
      </c>
      <c r="P1093" s="8" t="n">
        <f aca="false">IF(A1093="","",G1093+J1093)</f>
        <v>115</v>
      </c>
      <c r="Q1093" s="8" t="str">
        <f aca="false">IF(A1093="","",IF(AND(Y1093&lt;&gt;"参考",G1093&gt;=ルール設定!$B$2),"○",""))</f>
        <v>○</v>
      </c>
      <c r="R1093" s="8" t="str">
        <f aca="false">IF(A1093="","",IF(AND(Y1093&lt;&gt;"参考",G1093&gt;=ルール設定!$B$3,N1093&gt;=ルール設定!$B$4),"○",""))</f>
        <v>○</v>
      </c>
      <c r="S1093" s="8" t="str">
        <f aca="false">IF(A1093="","",IF(AND(Y1093&lt;&gt;"参考",G1093&gt;=ルール設定!$B$5,J1093&gt;=ルール設定!$B$6,O1093&gt;=ルール設定!$B$7),"○",""))</f>
        <v/>
      </c>
      <c r="T1093" s="8" t="n">
        <v>1</v>
      </c>
      <c r="U1093" s="8" t="n">
        <v>4</v>
      </c>
      <c r="V1093" s="8" t="str">
        <f aca="false">IF(A1093="","",IF(AND(ISNUMBER(T1093),ISNUMBER(U1093)),IF(AND(T1093&lt;=3,U1093&lt;=3),"○","×"),""))</f>
        <v>×</v>
      </c>
      <c r="W1093" s="8" t="n">
        <v>110</v>
      </c>
      <c r="X1093" s="8"/>
      <c r="Y1093" s="4" t="s">
        <v>7597</v>
      </c>
      <c r="Z1093" s="8" t="s">
        <v>8111</v>
      </c>
      <c r="AA1093" s="8" t="str">
        <v/>
      </c>
      <c r="AB1093" s="8" t="str">
        <v>○</v>
      </c>
      <c r="AC1093" s="8" t="str">
        <v/>
      </c>
      <c r="AD1093" s="8" t="str">
        <v>○</v>
      </c>
      <c r="AE1093" s="8" t="str">
        <v/>
      </c>
      <c r="AF1093" s="8" t="str">
        <v/>
      </c>
      <c r="AG1093" s="8" t="str">
        <v>○</v>
      </c>
      <c r="AH1093" s="8" t="str">
        <v/>
      </c>
      <c r="AI1093" s="8" t="n">
        <v>50</v>
      </c>
      <c r="AJ1093" s="8" t="str">
        <v>80～84</v>
      </c>
      <c r="AK1093" s="8" t="str">
        <v>30以上</v>
      </c>
      <c r="AL1093" s="8" t="str">
        <v>40以上</v>
      </c>
      <c r="AM1093" s="8" t="str">
        <v>100～119</v>
      </c>
      <c r="AN1093" s="8" t="str">
        <v>15以上</v>
      </c>
      <c r="AO1093" s="8" t="str">
        <f aca="false">IF(A1093="","",IF(COUNTIFS(全馬データ!$A$2:$A$50000,A1093,全馬データ!$B$2:$B$50000,B1093,全馬データ!$C$2:$C$50000,C1093,全馬データ!$D$2:$D$50000,E1093,全馬データ!$K$2:$K$50000,"&lt;&gt;")=0,"",SUMIFS(全馬データ!$K$2:$K$50000,全馬データ!$A$2:$A$50000,A1093,全馬データ!$B$2:$B$50000,B1093,全馬データ!$C$2:$C$50000,C1093,全馬データ!$D$2:$D$50000,E1093)))</f>
        <v/>
      </c>
      <c r="AP1093" s="8" t="str">
        <f aca="false">IF(A1093="","",IF(AO1093="","欠損",IF(AO1093&lt;=1.1,"1.0～1.1",IF(AO1093&lt;1.3,"1.2",IF(AO1093&lt;1.5,"1.3～1.4",IF(AO1093&lt;2,"1.5～1.9","2.0以上"))))))</f>
        <v>欠損</v>
      </c>
      <c r="AQ1093" s="8" t="str">
        <f aca="false">IF(A1093="","",IF(ISNUMBER(SEARCH("2歳",Z1093)),"2歳戦",IF(ISNUMBER(SEARCH("3歳未勝利",Z1093)),"3歳未勝利",IF(ISNUMBER(SEARCH("未勝利",Z1093)),"その他未勝利",IF(ISNUMBER(SEARCH("G1",Z1093)),"G1",IF(ISNUMBER(SEARCH("G2",Z1093)),"G2",IF(ISNUMBER(SEARCH("G3",Z1093)),"G3",IF(ISNUMBER(SEARCH("古馬条件",Z1093)),"古馬条件戦",IF(ISNUMBER(SEARCH("重賞",Z1093)),"重賞","分類不能")))))))))</f>
        <v>分類不能</v>
      </c>
      <c r="AR1093" s="8"/>
      <c r="AS1093" s="8" t="s">
        <v>7842</v>
      </c>
      <c r="AT1093" s="8" t="s">
        <v>7843</v>
      </c>
      <c r="AU1093" s="8" t="s">
        <v>7628</v>
      </c>
      <c r="AV1093" s="8" t="s">
        <v>7629</v>
      </c>
      <c r="AW1093" s="8"/>
      <c r="AX1093" s="8"/>
      <c r="AY1093" s="8" t="s">
        <v>7610</v>
      </c>
      <c r="AZ1093" s="4" t="s">
        <v>7617</v>
      </c>
      <c r="BA1093" s="8" t="n">
        <v>1800</v>
      </c>
      <c r="BB1093" s="8" t="s">
        <v>7837</v>
      </c>
      <c r="BC1093" s="4" t="s">
        <v>7658</v>
      </c>
      <c r="BD1093" s="8" t="s">
        <v>7605</v>
      </c>
      <c r="BE1093" s="4" t="s">
        <v>7606</v>
      </c>
      <c r="BF1093" s="8" t="s">
        <v>7607</v>
      </c>
      <c r="BG1093" s="8" t="s">
        <v>7631</v>
      </c>
      <c r="BH1093" s="4" t="s">
        <v>7632</v>
      </c>
      <c r="BI1093" s="8" t="n">
        <v>15</v>
      </c>
      <c r="BJ1093" s="8" t="s">
        <v>7610</v>
      </c>
      <c r="BK1093" s="4" t="s">
        <v>7611</v>
      </c>
      <c r="BL1093" s="8" t="s">
        <v>7602</v>
      </c>
      <c r="BM1093" s="4" t="s">
        <v>7620</v>
      </c>
      <c r="BN1093" s="8"/>
      <c r="BO1093" s="8"/>
      <c r="BP1093" s="8" t="s">
        <v>7608</v>
      </c>
      <c r="BQ1093" s="8" t="str">
        <f aca="false">IF(A1093="","",AT1093)</f>
        <v>4歳以上</v>
      </c>
      <c r="BR1093" s="8" t="str">
        <f aca="false">IF(A1093="","",IF(BA1093&lt;=1200,"～1200",IF(BA1093&lt;=1500,"1300～1500",IF(BA1093=1600,"1600",IF(BA1093&lt;=1800,"1700～1800",IF(BA1093&lt;=2000,"1900～2000","2100以上"))))))</f>
        <v>1700～1800</v>
      </c>
      <c r="BS1093" s="8" t="str">
        <f aca="false">IF(A1093="","",IF(AX1093="G1","G1",IF(AX1093="G2","G2",IF(AX1093="G3","G3",IF(AX1093="L","L","その他")))))</f>
        <v>その他</v>
      </c>
      <c r="BT1093" s="8" t="str">
        <f aca="false">IF(A1093="","",IF(BI1093="","未結合",IF(D1093=BI1093,"一致","不一致")))</f>
        <v>一致</v>
      </c>
      <c r="BU1093" s="8" t="str">
        <f aca="false">IF(A1093="","",IF(BE1093="牝馬限定","牝馬限定","その他"))</f>
        <v>その他</v>
      </c>
    </row>
    <row r="1094" customFormat="false" ht="15.75" hidden="false" customHeight="false" outlineLevel="0" collapsed="false">
      <c r="A1094" s="6" t="n">
        <f aca="false">DATE(2026,5,2)</f>
        <v>46144</v>
      </c>
      <c r="B1094" s="4" t="s">
        <v>13</v>
      </c>
      <c r="C1094" s="8" t="n">
        <v>8</v>
      </c>
      <c r="D1094" s="8" t="n">
        <v>13</v>
      </c>
      <c r="E1094" s="8" t="n">
        <v>8</v>
      </c>
      <c r="F1094" s="4" t="s">
        <v>762</v>
      </c>
      <c r="G1094" s="8" t="n">
        <v>74</v>
      </c>
      <c r="H1094" s="8" t="n">
        <v>3</v>
      </c>
      <c r="I1094" s="4" t="s">
        <v>3692</v>
      </c>
      <c r="J1094" s="8" t="n">
        <v>56</v>
      </c>
      <c r="K1094" s="8" t="n">
        <v>1</v>
      </c>
      <c r="L1094" s="4" t="s">
        <v>6452</v>
      </c>
      <c r="M1094" s="8" t="n">
        <v>41</v>
      </c>
      <c r="N1094" s="8" t="n">
        <f aca="false">IF(A1094="","",G1094-J1094)</f>
        <v>18</v>
      </c>
      <c r="O1094" s="8" t="n">
        <f aca="false">IF(A1094="","",J1094-M1094)</f>
        <v>15</v>
      </c>
      <c r="P1094" s="8" t="n">
        <f aca="false">IF(A1094="","",G1094+J1094)</f>
        <v>130</v>
      </c>
      <c r="Q1094" s="8" t="str">
        <f aca="false">IF(A1094="","",IF(AND(Y1094&lt;&gt;"参考",G1094&gt;=ルール設定!$B$2),"○",""))</f>
        <v/>
      </c>
      <c r="R1094" s="8" t="str">
        <f aca="false">IF(A1094="","",IF(AND(Y1094&lt;&gt;"参考",G1094&gt;=ルール設定!$B$3,N1094&gt;=ルール設定!$B$4),"○",""))</f>
        <v/>
      </c>
      <c r="S1094" s="8" t="str">
        <f aca="false">IF(A1094="","",IF(AND(Y1094&lt;&gt;"参考",G1094&gt;=ルール設定!$B$5,J1094&gt;=ルール設定!$B$6,O1094&gt;=ルール設定!$B$7),"○",""))</f>
        <v/>
      </c>
      <c r="T1094" s="8" t="n">
        <v>4</v>
      </c>
      <c r="U1094" s="8" t="n">
        <v>4</v>
      </c>
      <c r="V1094" s="8" t="str">
        <f aca="false">IF(A1094="","",IF(AND(ISNUMBER(T1094),ISNUMBER(U1094)),IF(AND(T1094&lt;=3,U1094&lt;=3),"○","×"),""))</f>
        <v>×</v>
      </c>
      <c r="W1094" s="8"/>
      <c r="X1094" s="8"/>
      <c r="Y1094" s="4" t="s">
        <v>7597</v>
      </c>
      <c r="Z1094" s="8" t="s">
        <v>8111</v>
      </c>
      <c r="AA1094" s="8" t="str">
        <v/>
      </c>
      <c r="AB1094" s="8" t="str">
        <v/>
      </c>
      <c r="AC1094" s="8" t="str">
        <v/>
      </c>
      <c r="AD1094" s="8" t="str">
        <v/>
      </c>
      <c r="AE1094" s="8" t="str">
        <v/>
      </c>
      <c r="AF1094" s="8" t="str">
        <v/>
      </c>
      <c r="AG1094" s="8" t="str">
        <v/>
      </c>
      <c r="AH1094" s="8" t="str">
        <v/>
      </c>
      <c r="AI1094" s="8" t="n">
        <v>33</v>
      </c>
      <c r="AJ1094" s="8" t="str">
        <v>70～74</v>
      </c>
      <c r="AK1094" s="8" t="str">
        <v>10～19</v>
      </c>
      <c r="AL1094" s="8" t="str">
        <v>30～39</v>
      </c>
      <c r="AM1094" s="8" t="str">
        <v>120～139</v>
      </c>
      <c r="AN1094" s="8" t="str">
        <v>12～14</v>
      </c>
      <c r="AO1094" s="8" t="str">
        <f aca="false">IF(A1094="","",IF(COUNTIFS(全馬データ!$A$2:$A$50000,A1094,全馬データ!$B$2:$B$50000,B1094,全馬データ!$C$2:$C$50000,C1094,全馬データ!$D$2:$D$50000,E1094,全馬データ!$K$2:$K$50000,"&lt;&gt;")=0,"",SUMIFS(全馬データ!$K$2:$K$50000,全馬データ!$A$2:$A$50000,A1094,全馬データ!$B$2:$B$50000,B1094,全馬データ!$C$2:$C$50000,C1094,全馬データ!$D$2:$D$50000,E1094)))</f>
        <v/>
      </c>
      <c r="AP1094" s="8" t="str">
        <f aca="false">IF(A1094="","",IF(AO1094="","欠損",IF(AO1094&lt;=1.1,"1.0～1.1",IF(AO1094&lt;1.3,"1.2",IF(AO1094&lt;1.5,"1.3～1.4",IF(AO1094&lt;2,"1.5～1.9","2.0以上"))))))</f>
        <v>欠損</v>
      </c>
      <c r="AQ1094" s="8" t="str">
        <f aca="false">IF(A1094="","",IF(ISNUMBER(SEARCH("2歳",Z1094)),"2歳戦",IF(ISNUMBER(SEARCH("3歳未勝利",Z1094)),"3歳未勝利",IF(ISNUMBER(SEARCH("未勝利",Z1094)),"その他未勝利",IF(ISNUMBER(SEARCH("G1",Z1094)),"G1",IF(ISNUMBER(SEARCH("G2",Z1094)),"G2",IF(ISNUMBER(SEARCH("G3",Z1094)),"G3",IF(ISNUMBER(SEARCH("古馬条件",Z1094)),"古馬条件戦",IF(ISNUMBER(SEARCH("重賞",Z1094)),"重賞","分類不能")))))))))</f>
        <v>分類不能</v>
      </c>
      <c r="AR1094" s="8"/>
      <c r="AS1094" s="8" t="s">
        <v>7842</v>
      </c>
      <c r="AT1094" s="8" t="s">
        <v>7843</v>
      </c>
      <c r="AU1094" s="8" t="s">
        <v>7628</v>
      </c>
      <c r="AV1094" s="8" t="s">
        <v>7629</v>
      </c>
      <c r="AW1094" s="8"/>
      <c r="AX1094" s="8"/>
      <c r="AY1094" s="8" t="s">
        <v>7602</v>
      </c>
      <c r="AZ1094" s="4" t="s">
        <v>7603</v>
      </c>
      <c r="BA1094" s="8" t="n">
        <v>1600</v>
      </c>
      <c r="BB1094" s="8" t="s">
        <v>7618</v>
      </c>
      <c r="BC1094" s="4" t="s">
        <v>7619</v>
      </c>
      <c r="BD1094" s="8" t="s">
        <v>7605</v>
      </c>
      <c r="BE1094" s="4" t="s">
        <v>7606</v>
      </c>
      <c r="BF1094" s="8" t="s">
        <v>7607</v>
      </c>
      <c r="BG1094" s="8" t="s">
        <v>7631</v>
      </c>
      <c r="BH1094" s="4" t="s">
        <v>7632</v>
      </c>
      <c r="BI1094" s="8" t="n">
        <v>13</v>
      </c>
      <c r="BJ1094" s="8" t="s">
        <v>7610</v>
      </c>
      <c r="BK1094" s="4" t="s">
        <v>7611</v>
      </c>
      <c r="BL1094" s="8" t="s">
        <v>7610</v>
      </c>
      <c r="BM1094" s="4" t="s">
        <v>7612</v>
      </c>
      <c r="BN1094" s="8" t="s">
        <v>7631</v>
      </c>
      <c r="BO1094" s="8" t="s">
        <v>7680</v>
      </c>
      <c r="BP1094" s="8" t="s">
        <v>7608</v>
      </c>
      <c r="BQ1094" s="8" t="str">
        <f aca="false">IF(A1094="","",AT1094)</f>
        <v>4歳以上</v>
      </c>
      <c r="BR1094" s="8" t="str">
        <f aca="false">IF(A1094="","",IF(BA1094&lt;=1200,"～1200",IF(BA1094&lt;=1500,"1300～1500",IF(BA1094=1600,"1600",IF(BA1094&lt;=1800,"1700～1800",IF(BA1094&lt;=2000,"1900～2000","2100以上"))))))</f>
        <v>1600</v>
      </c>
      <c r="BS1094" s="8" t="str">
        <f aca="false">IF(A1094="","",IF(AX1094="G1","G1",IF(AX1094="G2","G2",IF(AX1094="G3","G3",IF(AX1094="L","L","その他")))))</f>
        <v>その他</v>
      </c>
      <c r="BT1094" s="8" t="str">
        <f aca="false">IF(A1094="","",IF(BI1094="","未結合",IF(D1094=BI1094,"一致","不一致")))</f>
        <v>一致</v>
      </c>
      <c r="BU1094" s="8" t="str">
        <f aca="false">IF(A1094="","",IF(BE1094="牝馬限定","牝馬限定","その他"))</f>
        <v>その他</v>
      </c>
    </row>
    <row r="1095" customFormat="false" ht="15.75" hidden="false" customHeight="false" outlineLevel="0" collapsed="false">
      <c r="A1095" s="6" t="n">
        <f aca="false">DATE(2026,5,2)</f>
        <v>46144</v>
      </c>
      <c r="B1095" s="4" t="s">
        <v>13</v>
      </c>
      <c r="C1095" s="8" t="n">
        <v>9</v>
      </c>
      <c r="D1095" s="8" t="n">
        <v>15</v>
      </c>
      <c r="E1095" s="8" t="n">
        <v>11</v>
      </c>
      <c r="F1095" s="4" t="s">
        <v>7307</v>
      </c>
      <c r="G1095" s="8" t="n">
        <v>74</v>
      </c>
      <c r="H1095" s="8" t="n">
        <v>5</v>
      </c>
      <c r="I1095" s="4" t="s">
        <v>4874</v>
      </c>
      <c r="J1095" s="8" t="n">
        <v>41</v>
      </c>
      <c r="K1095" s="8" t="n">
        <v>6</v>
      </c>
      <c r="L1095" s="4" t="s">
        <v>5171</v>
      </c>
      <c r="M1095" s="8" t="n">
        <v>41</v>
      </c>
      <c r="N1095" s="8" t="n">
        <f aca="false">IF(A1095="","",G1095-J1095)</f>
        <v>33</v>
      </c>
      <c r="O1095" s="8" t="n">
        <f aca="false">IF(A1095="","",J1095-M1095)</f>
        <v>0</v>
      </c>
      <c r="P1095" s="8" t="n">
        <f aca="false">IF(A1095="","",G1095+J1095)</f>
        <v>115</v>
      </c>
      <c r="Q1095" s="8" t="str">
        <f aca="false">IF(A1095="","",IF(AND(Y1095&lt;&gt;"参考",G1095&gt;=ルール設定!$B$2),"○",""))</f>
        <v/>
      </c>
      <c r="R1095" s="8" t="str">
        <f aca="false">IF(A1095="","",IF(AND(Y1095&lt;&gt;"参考",G1095&gt;=ルール設定!$B$3,N1095&gt;=ルール設定!$B$4),"○",""))</f>
        <v>○</v>
      </c>
      <c r="S1095" s="8" t="str">
        <f aca="false">IF(A1095="","",IF(AND(Y1095&lt;&gt;"参考",G1095&gt;=ルール設定!$B$5,J1095&gt;=ルール設定!$B$6,O1095&gt;=ルール設定!$B$7),"○",""))</f>
        <v/>
      </c>
      <c r="T1095" s="8" t="n">
        <v>1</v>
      </c>
      <c r="U1095" s="8" t="n">
        <v>4</v>
      </c>
      <c r="V1095" s="8" t="str">
        <f aca="false">IF(A1095="","",IF(AND(ISNUMBER(T1095),ISNUMBER(U1095)),IF(AND(T1095&lt;=3,U1095&lt;=3),"○","×"),""))</f>
        <v>×</v>
      </c>
      <c r="W1095" s="8" t="n">
        <v>110</v>
      </c>
      <c r="X1095" s="8"/>
      <c r="Y1095" s="4" t="s">
        <v>7597</v>
      </c>
      <c r="Z1095" s="8" t="s">
        <v>8111</v>
      </c>
      <c r="AA1095" s="8" t="str">
        <v/>
      </c>
      <c r="AB1095" s="8" t="str">
        <v/>
      </c>
      <c r="AC1095" s="8" t="str">
        <v/>
      </c>
      <c r="AD1095" s="8" t="str">
        <v/>
      </c>
      <c r="AE1095" s="8" t="str">
        <v>○</v>
      </c>
      <c r="AF1095" s="8" t="str">
        <v/>
      </c>
      <c r="AG1095" s="8" t="str">
        <v/>
      </c>
      <c r="AH1095" s="8" t="str">
        <v/>
      </c>
      <c r="AI1095" s="8" t="n">
        <v>33</v>
      </c>
      <c r="AJ1095" s="8" t="str">
        <v>70～74</v>
      </c>
      <c r="AK1095" s="8" t="str">
        <v>30以上</v>
      </c>
      <c r="AL1095" s="8" t="str">
        <v>30～39</v>
      </c>
      <c r="AM1095" s="8" t="str">
        <v>100～119</v>
      </c>
      <c r="AN1095" s="8" t="str">
        <v>15以上</v>
      </c>
      <c r="AO1095" s="8" t="str">
        <f aca="false">IF(A1095="","",IF(COUNTIFS(全馬データ!$A$2:$A$50000,A1095,全馬データ!$B$2:$B$50000,B1095,全馬データ!$C$2:$C$50000,C1095,全馬データ!$D$2:$D$50000,E1095,全馬データ!$K$2:$K$50000,"&lt;&gt;")=0,"",SUMIFS(全馬データ!$K$2:$K$50000,全馬データ!$A$2:$A$50000,A1095,全馬データ!$B$2:$B$50000,B1095,全馬データ!$C$2:$C$50000,C1095,全馬データ!$D$2:$D$50000,E1095)))</f>
        <v/>
      </c>
      <c r="AP1095" s="8" t="str">
        <f aca="false">IF(A1095="","",IF(AO1095="","欠損",IF(AO1095&lt;=1.1,"1.0～1.1",IF(AO1095&lt;1.3,"1.2",IF(AO1095&lt;1.5,"1.3～1.4",IF(AO1095&lt;2,"1.5～1.9","2.0以上"))))))</f>
        <v>欠損</v>
      </c>
      <c r="AQ1095" s="8" t="str">
        <f aca="false">IF(A1095="","",IF(ISNUMBER(SEARCH("2歳",Z1095)),"2歳戦",IF(ISNUMBER(SEARCH("3歳未勝利",Z1095)),"3歳未勝利",IF(ISNUMBER(SEARCH("未勝利",Z1095)),"その他未勝利",IF(ISNUMBER(SEARCH("G1",Z1095)),"G1",IF(ISNUMBER(SEARCH("G2",Z1095)),"G2",IF(ISNUMBER(SEARCH("G3",Z1095)),"G3",IF(ISNUMBER(SEARCH("古馬条件",Z1095)),"古馬条件戦",IF(ISNUMBER(SEARCH("重賞",Z1095)),"重賞","分類不能")))))))))</f>
        <v>分類不能</v>
      </c>
      <c r="AR1095" s="4" t="s">
        <v>8149</v>
      </c>
      <c r="AS1095" s="8" t="s">
        <v>7623</v>
      </c>
      <c r="AT1095" s="8" t="s">
        <v>7624</v>
      </c>
      <c r="AU1095" s="8" t="s">
        <v>7628</v>
      </c>
      <c r="AV1095" s="8" t="s">
        <v>7629</v>
      </c>
      <c r="AW1095" s="8" t="s">
        <v>7636</v>
      </c>
      <c r="AX1095" s="4" t="s">
        <v>7637</v>
      </c>
      <c r="AY1095" s="8" t="s">
        <v>7610</v>
      </c>
      <c r="AZ1095" s="4" t="s">
        <v>7617</v>
      </c>
      <c r="BA1095" s="8" t="n">
        <v>1800</v>
      </c>
      <c r="BB1095" s="8" t="s">
        <v>7837</v>
      </c>
      <c r="BC1095" s="4" t="s">
        <v>7658</v>
      </c>
      <c r="BD1095" s="8" t="s">
        <v>7630</v>
      </c>
      <c r="BE1095" s="4" t="s">
        <v>7606</v>
      </c>
      <c r="BF1095" s="8" t="s">
        <v>7607</v>
      </c>
      <c r="BG1095" s="8" t="s">
        <v>7608</v>
      </c>
      <c r="BH1095" s="4" t="s">
        <v>7609</v>
      </c>
      <c r="BI1095" s="8" t="n">
        <v>15</v>
      </c>
      <c r="BJ1095" s="8" t="s">
        <v>7610</v>
      </c>
      <c r="BK1095" s="4" t="s">
        <v>7611</v>
      </c>
      <c r="BL1095" s="8" t="s">
        <v>7602</v>
      </c>
      <c r="BM1095" s="4" t="s">
        <v>7620</v>
      </c>
      <c r="BN1095" s="8"/>
      <c r="BO1095" s="8"/>
      <c r="BP1095" s="8" t="s">
        <v>7608</v>
      </c>
      <c r="BQ1095" s="8" t="str">
        <f aca="false">IF(A1095="","",AT1095)</f>
        <v>3歳</v>
      </c>
      <c r="BR1095" s="8" t="str">
        <f aca="false">IF(A1095="","",IF(BA1095&lt;=1200,"～1200",IF(BA1095&lt;=1500,"1300～1500",IF(BA1095=1600,"1600",IF(BA1095&lt;=1800,"1700～1800",IF(BA1095&lt;=2000,"1900～2000","2100以上"))))))</f>
        <v>1700～1800</v>
      </c>
      <c r="BS1095" s="8" t="str">
        <f aca="false">IF(A1095="","",IF(AX1095="G1","G1",IF(AX1095="G2","G2",IF(AX1095="G3","G3",IF(AX1095="L","L","その他")))))</f>
        <v>その他</v>
      </c>
      <c r="BT1095" s="8" t="str">
        <f aca="false">IF(A1095="","",IF(BI1095="","未結合",IF(D1095=BI1095,"一致","不一致")))</f>
        <v>一致</v>
      </c>
      <c r="BU1095" s="8" t="str">
        <f aca="false">IF(A1095="","",IF(BE1095="牝馬限定","牝馬限定","その他"))</f>
        <v>その他</v>
      </c>
    </row>
    <row r="1096" customFormat="false" ht="15.75" hidden="false" customHeight="false" outlineLevel="0" collapsed="false">
      <c r="A1096" s="6" t="n">
        <f aca="false">DATE(2026,5,2)</f>
        <v>46144</v>
      </c>
      <c r="B1096" s="4" t="s">
        <v>13</v>
      </c>
      <c r="C1096" s="8" t="n">
        <v>10</v>
      </c>
      <c r="D1096" s="8" t="n">
        <v>15</v>
      </c>
      <c r="E1096" s="8" t="n">
        <v>12</v>
      </c>
      <c r="F1096" s="4" t="s">
        <v>4035</v>
      </c>
      <c r="G1096" s="8" t="n">
        <v>56</v>
      </c>
      <c r="H1096" s="8" t="n">
        <v>4</v>
      </c>
      <c r="I1096" s="4" t="s">
        <v>6056</v>
      </c>
      <c r="J1096" s="8" t="n">
        <v>41</v>
      </c>
      <c r="K1096" s="8" t="n">
        <v>6</v>
      </c>
      <c r="L1096" s="4" t="s">
        <v>3751</v>
      </c>
      <c r="M1096" s="8" t="n">
        <v>37</v>
      </c>
      <c r="N1096" s="8" t="n">
        <f aca="false">IF(A1096="","",G1096-J1096)</f>
        <v>15</v>
      </c>
      <c r="O1096" s="8" t="n">
        <f aca="false">IF(A1096="","",J1096-M1096)</f>
        <v>4</v>
      </c>
      <c r="P1096" s="8" t="n">
        <f aca="false">IF(A1096="","",G1096+J1096)</f>
        <v>97</v>
      </c>
      <c r="Q1096" s="8" t="str">
        <f aca="false">IF(A1096="","",IF(AND(Y1096&lt;&gt;"参考",G1096&gt;=ルール設定!$B$2),"○",""))</f>
        <v/>
      </c>
      <c r="R1096" s="8" t="str">
        <f aca="false">IF(A1096="","",IF(AND(Y1096&lt;&gt;"参考",G1096&gt;=ルール設定!$B$3,N1096&gt;=ルール設定!$B$4),"○",""))</f>
        <v/>
      </c>
      <c r="S1096" s="8" t="str">
        <f aca="false">IF(A1096="","",IF(AND(Y1096&lt;&gt;"参考",G1096&gt;=ルール設定!$B$5,J1096&gt;=ルール設定!$B$6,O1096&gt;=ルール設定!$B$7),"○",""))</f>
        <v/>
      </c>
      <c r="T1096" s="8" t="n">
        <v>4</v>
      </c>
      <c r="U1096" s="8" t="n">
        <v>1</v>
      </c>
      <c r="V1096" s="8" t="str">
        <f aca="false">IF(A1096="","",IF(AND(ISNUMBER(T1096),ISNUMBER(U1096)),IF(AND(T1096&lt;=3,U1096&lt;=3),"○","×"),""))</f>
        <v>×</v>
      </c>
      <c r="W1096" s="8"/>
      <c r="X1096" s="8"/>
      <c r="Y1096" s="4" t="s">
        <v>7597</v>
      </c>
      <c r="Z1096" s="8" t="s">
        <v>8111</v>
      </c>
      <c r="AA1096" s="8" t="str">
        <v/>
      </c>
      <c r="AB1096" s="8" t="str">
        <v/>
      </c>
      <c r="AC1096" s="8" t="str">
        <v/>
      </c>
      <c r="AD1096" s="8" t="str">
        <v/>
      </c>
      <c r="AE1096" s="8" t="str">
        <v/>
      </c>
      <c r="AF1096" s="8" t="str">
        <v/>
      </c>
      <c r="AG1096" s="8" t="str">
        <v/>
      </c>
      <c r="AH1096" s="8" t="str">
        <v/>
      </c>
      <c r="AI1096" s="8" t="n">
        <v>19</v>
      </c>
      <c r="AJ1096" s="8" t="str">
        <v>～59</v>
      </c>
      <c r="AK1096" s="8" t="str">
        <v>10～19</v>
      </c>
      <c r="AL1096" s="8" t="str">
        <v>10～19</v>
      </c>
      <c r="AM1096" s="8" t="str">
        <v>～99</v>
      </c>
      <c r="AN1096" s="8" t="str">
        <v>15以上</v>
      </c>
      <c r="AO1096" s="8" t="str">
        <f aca="false">IF(A1096="","",IF(COUNTIFS(全馬データ!$A$2:$A$50000,A1096,全馬データ!$B$2:$B$50000,B1096,全馬データ!$C$2:$C$50000,C1096,全馬データ!$D$2:$D$50000,E1096,全馬データ!$K$2:$K$50000,"&lt;&gt;")=0,"",SUMIFS(全馬データ!$K$2:$K$50000,全馬データ!$A$2:$A$50000,A1096,全馬データ!$B$2:$B$50000,B1096,全馬データ!$C$2:$C$50000,C1096,全馬データ!$D$2:$D$50000,E1096)))</f>
        <v/>
      </c>
      <c r="AP1096" s="8" t="str">
        <f aca="false">IF(A1096="","",IF(AO1096="","欠損",IF(AO1096&lt;=1.1,"1.0～1.1",IF(AO1096&lt;1.3,"1.2",IF(AO1096&lt;1.5,"1.3～1.4",IF(AO1096&lt;2,"1.5～1.9","2.0以上"))))))</f>
        <v>欠損</v>
      </c>
      <c r="AQ1096" s="8" t="str">
        <f aca="false">IF(A1096="","",IF(ISNUMBER(SEARCH("2歳",Z1096)),"2歳戦",IF(ISNUMBER(SEARCH("3歳未勝利",Z1096)),"3歳未勝利",IF(ISNUMBER(SEARCH("未勝利",Z1096)),"その他未勝利",IF(ISNUMBER(SEARCH("G1",Z1096)),"G1",IF(ISNUMBER(SEARCH("G2",Z1096)),"G2",IF(ISNUMBER(SEARCH("G3",Z1096)),"G3",IF(ISNUMBER(SEARCH("古馬条件",Z1096)),"古馬条件戦",IF(ISNUMBER(SEARCH("重賞",Z1096)),"重賞","分類不能")))))))))</f>
        <v>分類不能</v>
      </c>
      <c r="AR1096" s="4" t="s">
        <v>8150</v>
      </c>
      <c r="AS1096" s="8" t="s">
        <v>7842</v>
      </c>
      <c r="AT1096" s="8" t="s">
        <v>7843</v>
      </c>
      <c r="AU1096" s="8" t="s">
        <v>7634</v>
      </c>
      <c r="AV1096" s="8" t="s">
        <v>7635</v>
      </c>
      <c r="AW1096" s="8" t="s">
        <v>7636</v>
      </c>
      <c r="AX1096" s="4" t="s">
        <v>7637</v>
      </c>
      <c r="AY1096" s="8" t="s">
        <v>7602</v>
      </c>
      <c r="AZ1096" s="4" t="s">
        <v>7603</v>
      </c>
      <c r="BA1096" s="8" t="n">
        <v>1800</v>
      </c>
      <c r="BB1096" s="8" t="s">
        <v>7618</v>
      </c>
      <c r="BC1096" s="4" t="s">
        <v>7619</v>
      </c>
      <c r="BD1096" s="8" t="s">
        <v>7630</v>
      </c>
      <c r="BE1096" s="4" t="s">
        <v>7606</v>
      </c>
      <c r="BF1096" s="8" t="s">
        <v>7607</v>
      </c>
      <c r="BG1096" s="8" t="s">
        <v>7631</v>
      </c>
      <c r="BH1096" s="4" t="s">
        <v>7632</v>
      </c>
      <c r="BI1096" s="8" t="n">
        <v>15</v>
      </c>
      <c r="BJ1096" s="8" t="s">
        <v>7610</v>
      </c>
      <c r="BK1096" s="4" t="s">
        <v>7611</v>
      </c>
      <c r="BL1096" s="8" t="s">
        <v>7610</v>
      </c>
      <c r="BM1096" s="4" t="s">
        <v>7612</v>
      </c>
      <c r="BN1096" s="8" t="s">
        <v>7631</v>
      </c>
      <c r="BO1096" s="8" t="s">
        <v>7680</v>
      </c>
      <c r="BP1096" s="8" t="s">
        <v>7608</v>
      </c>
      <c r="BQ1096" s="8" t="str">
        <f aca="false">IF(A1096="","",AT1096)</f>
        <v>4歳以上</v>
      </c>
      <c r="BR1096" s="8" t="str">
        <f aca="false">IF(A1096="","",IF(BA1096&lt;=1200,"～1200",IF(BA1096&lt;=1500,"1300～1500",IF(BA1096=1600,"1600",IF(BA1096&lt;=1800,"1700～1800",IF(BA1096&lt;=2000,"1900～2000","2100以上"))))))</f>
        <v>1700～1800</v>
      </c>
      <c r="BS1096" s="8" t="str">
        <f aca="false">IF(A1096="","",IF(AX1096="G1","G1",IF(AX1096="G2","G2",IF(AX1096="G3","G3",IF(AX1096="L","L","その他")))))</f>
        <v>その他</v>
      </c>
      <c r="BT1096" s="8" t="str">
        <f aca="false">IF(A1096="","",IF(BI1096="","未結合",IF(D1096=BI1096,"一致","不一致")))</f>
        <v>一致</v>
      </c>
      <c r="BU1096" s="8" t="str">
        <f aca="false">IF(A1096="","",IF(BE1096="牝馬限定","牝馬限定","その他"))</f>
        <v>その他</v>
      </c>
    </row>
    <row r="1097" customFormat="false" ht="15.75" hidden="false" customHeight="false" outlineLevel="0" collapsed="false">
      <c r="A1097" s="6" t="n">
        <f aca="false">DATE(2026,5,2)</f>
        <v>46144</v>
      </c>
      <c r="B1097" s="4" t="s">
        <v>13</v>
      </c>
      <c r="C1097" s="8" t="n">
        <v>11</v>
      </c>
      <c r="D1097" s="8" t="n">
        <v>15</v>
      </c>
      <c r="E1097" s="8" t="n">
        <v>12</v>
      </c>
      <c r="F1097" s="4" t="s">
        <v>3873</v>
      </c>
      <c r="G1097" s="8" t="n">
        <v>47</v>
      </c>
      <c r="H1097" s="8" t="n">
        <v>5</v>
      </c>
      <c r="I1097" s="4" t="s">
        <v>5066</v>
      </c>
      <c r="J1097" s="8" t="n">
        <v>34</v>
      </c>
      <c r="K1097" s="8" t="n">
        <v>8</v>
      </c>
      <c r="L1097" s="4" t="s">
        <v>7314</v>
      </c>
      <c r="M1097" s="8" t="n">
        <v>31</v>
      </c>
      <c r="N1097" s="8" t="n">
        <f aca="false">IF(A1097="","",G1097-J1097)</f>
        <v>13</v>
      </c>
      <c r="O1097" s="8" t="n">
        <f aca="false">IF(A1097="","",J1097-M1097)</f>
        <v>3</v>
      </c>
      <c r="P1097" s="8" t="n">
        <f aca="false">IF(A1097="","",G1097+J1097)</f>
        <v>81</v>
      </c>
      <c r="Q1097" s="8" t="str">
        <f aca="false">IF(A1097="","",IF(AND(Y1097&lt;&gt;"参考",G1097&gt;=ルール設定!$B$2),"○",""))</f>
        <v/>
      </c>
      <c r="R1097" s="8" t="str">
        <f aca="false">IF(A1097="","",IF(AND(Y1097&lt;&gt;"参考",G1097&gt;=ルール設定!$B$3,N1097&gt;=ルール設定!$B$4),"○",""))</f>
        <v/>
      </c>
      <c r="S1097" s="8" t="str">
        <f aca="false">IF(A1097="","",IF(AND(Y1097&lt;&gt;"参考",G1097&gt;=ルール設定!$B$5,J1097&gt;=ルール設定!$B$6,O1097&gt;=ルール設定!$B$7),"○",""))</f>
        <v/>
      </c>
      <c r="T1097" s="8" t="n">
        <v>2</v>
      </c>
      <c r="U1097" s="8" t="n">
        <v>1</v>
      </c>
      <c r="V1097" s="8" t="str">
        <f aca="false">IF(A1097="","",IF(AND(ISNUMBER(T1097),ISNUMBER(U1097)),IF(AND(T1097&lt;=3,U1097&lt;=3),"○","×"),""))</f>
        <v>○</v>
      </c>
      <c r="W1097" s="8" t="n">
        <v>390</v>
      </c>
      <c r="X1097" s="8" t="n">
        <v>860</v>
      </c>
      <c r="Y1097" s="4" t="s">
        <v>7597</v>
      </c>
      <c r="Z1097" s="8" t="s">
        <v>8111</v>
      </c>
      <c r="AA1097" s="8" t="str">
        <v/>
      </c>
      <c r="AB1097" s="8" t="str">
        <v/>
      </c>
      <c r="AC1097" s="8" t="str">
        <v/>
      </c>
      <c r="AD1097" s="8" t="str">
        <v/>
      </c>
      <c r="AE1097" s="8" t="str">
        <v/>
      </c>
      <c r="AF1097" s="8" t="str">
        <v/>
      </c>
      <c r="AG1097" s="8" t="str">
        <v/>
      </c>
      <c r="AH1097" s="8" t="str">
        <v/>
      </c>
      <c r="AI1097" s="8" t="n">
        <v>16</v>
      </c>
      <c r="AJ1097" s="8" t="str">
        <v>～59</v>
      </c>
      <c r="AK1097" s="8" t="str">
        <v>10～19</v>
      </c>
      <c r="AL1097" s="8" t="str">
        <v>10～19</v>
      </c>
      <c r="AM1097" s="8" t="str">
        <v>～99</v>
      </c>
      <c r="AN1097" s="8" t="str">
        <v>15以上</v>
      </c>
      <c r="AO1097" s="8" t="str">
        <f aca="false">IF(A1097="","",IF(COUNTIFS(全馬データ!$A$2:$A$50000,A1097,全馬データ!$B$2:$B$50000,B1097,全馬データ!$C$2:$C$50000,C1097,全馬データ!$D$2:$D$50000,E1097,全馬データ!$K$2:$K$50000,"&lt;&gt;")=0,"",SUMIFS(全馬データ!$K$2:$K$50000,全馬データ!$A$2:$A$50000,A1097,全馬データ!$B$2:$B$50000,B1097,全馬データ!$C$2:$C$50000,C1097,全馬データ!$D$2:$D$50000,E1097)))</f>
        <v/>
      </c>
      <c r="AP1097" s="8" t="str">
        <f aca="false">IF(A1097="","",IF(AO1097="","欠損",IF(AO1097&lt;=1.1,"1.0～1.1",IF(AO1097&lt;1.3,"1.2",IF(AO1097&lt;1.5,"1.3～1.4",IF(AO1097&lt;2,"1.5～1.9","2.0以上"))))))</f>
        <v>欠損</v>
      </c>
      <c r="AQ1097" s="8" t="str">
        <f aca="false">IF(A1097="","",IF(ISNUMBER(SEARCH("2歳",Z1097)),"2歳戦",IF(ISNUMBER(SEARCH("3歳未勝利",Z1097)),"3歳未勝利",IF(ISNUMBER(SEARCH("未勝利",Z1097)),"その他未勝利",IF(ISNUMBER(SEARCH("G1",Z1097)),"G1",IF(ISNUMBER(SEARCH("G2",Z1097)),"G2",IF(ISNUMBER(SEARCH("G3",Z1097)),"G3",IF(ISNUMBER(SEARCH("古馬条件",Z1097)),"古馬条件戦",IF(ISNUMBER(SEARCH("重賞",Z1097)),"重賞","分類不能")))))))))</f>
        <v>分類不能</v>
      </c>
      <c r="AR1097" s="4" t="s">
        <v>8151</v>
      </c>
      <c r="AS1097" s="8" t="s">
        <v>7842</v>
      </c>
      <c r="AT1097" s="8" t="s">
        <v>7843</v>
      </c>
      <c r="AU1097" s="8" t="s">
        <v>7639</v>
      </c>
      <c r="AV1097" s="8" t="s">
        <v>7640</v>
      </c>
      <c r="AW1097" s="8" t="s">
        <v>7636</v>
      </c>
      <c r="AX1097" s="4" t="s">
        <v>7637</v>
      </c>
      <c r="AY1097" s="8" t="s">
        <v>7610</v>
      </c>
      <c r="AZ1097" s="4" t="s">
        <v>7617</v>
      </c>
      <c r="BA1097" s="8" t="n">
        <v>1800</v>
      </c>
      <c r="BB1097" s="8" t="s">
        <v>7837</v>
      </c>
      <c r="BC1097" s="4" t="s">
        <v>7658</v>
      </c>
      <c r="BD1097" s="8" t="s">
        <v>7845</v>
      </c>
      <c r="BE1097" s="4" t="s">
        <v>7622</v>
      </c>
      <c r="BF1097" s="8" t="s">
        <v>7602</v>
      </c>
      <c r="BG1097" s="8" t="s">
        <v>7631</v>
      </c>
      <c r="BH1097" s="4" t="s">
        <v>7632</v>
      </c>
      <c r="BI1097" s="8" t="n">
        <v>15</v>
      </c>
      <c r="BJ1097" s="8" t="s">
        <v>7610</v>
      </c>
      <c r="BK1097" s="4" t="s">
        <v>7611</v>
      </c>
      <c r="BL1097" s="8" t="s">
        <v>7602</v>
      </c>
      <c r="BM1097" s="4" t="s">
        <v>7620</v>
      </c>
      <c r="BN1097" s="8"/>
      <c r="BO1097" s="8"/>
      <c r="BP1097" s="8" t="s">
        <v>7608</v>
      </c>
      <c r="BQ1097" s="8" t="str">
        <f aca="false">IF(A1097="","",AT1097)</f>
        <v>4歳以上</v>
      </c>
      <c r="BR1097" s="8" t="str">
        <f aca="false">IF(A1097="","",IF(BA1097&lt;=1200,"～1200",IF(BA1097&lt;=1500,"1300～1500",IF(BA1097=1600,"1600",IF(BA1097&lt;=1800,"1700～1800",IF(BA1097&lt;=2000,"1900～2000","2100以上"))))))</f>
        <v>1700～1800</v>
      </c>
      <c r="BS1097" s="8" t="str">
        <f aca="false">IF(A1097="","",IF(AX1097="G1","G1",IF(AX1097="G2","G2",IF(AX1097="G3","G3",IF(AX1097="L","L","その他")))))</f>
        <v>その他</v>
      </c>
      <c r="BT1097" s="8" t="str">
        <f aca="false">IF(A1097="","",IF(BI1097="","未結合",IF(D1097=BI1097,"一致","不一致")))</f>
        <v>一致</v>
      </c>
      <c r="BU1097" s="8" t="str">
        <f aca="false">IF(A1097="","",IF(BE1097="牝馬限定","牝馬限定","その他"))</f>
        <v>牝馬限定</v>
      </c>
    </row>
    <row r="1098" customFormat="false" ht="15.75" hidden="false" customHeight="false" outlineLevel="0" collapsed="false">
      <c r="A1098" s="6" t="n">
        <f aca="false">DATE(2026,5,2)</f>
        <v>46144</v>
      </c>
      <c r="B1098" s="4" t="s">
        <v>13</v>
      </c>
      <c r="C1098" s="8" t="n">
        <v>12</v>
      </c>
      <c r="D1098" s="8" t="n">
        <v>16</v>
      </c>
      <c r="E1098" s="8" t="n">
        <v>2</v>
      </c>
      <c r="F1098" s="4" t="s">
        <v>7316</v>
      </c>
      <c r="G1098" s="8" t="n">
        <v>50</v>
      </c>
      <c r="H1098" s="8" t="n">
        <v>4</v>
      </c>
      <c r="I1098" s="4" t="s">
        <v>614</v>
      </c>
      <c r="J1098" s="8" t="n">
        <v>29</v>
      </c>
      <c r="K1098" s="8" t="n">
        <v>3</v>
      </c>
      <c r="L1098" s="4" t="s">
        <v>7317</v>
      </c>
      <c r="M1098" s="8" t="n">
        <v>25</v>
      </c>
      <c r="N1098" s="8" t="n">
        <f aca="false">IF(A1098="","",G1098-J1098)</f>
        <v>21</v>
      </c>
      <c r="O1098" s="8" t="n">
        <f aca="false">IF(A1098="","",J1098-M1098)</f>
        <v>4</v>
      </c>
      <c r="P1098" s="8" t="n">
        <f aca="false">IF(A1098="","",G1098+J1098)</f>
        <v>79</v>
      </c>
      <c r="Q1098" s="8" t="str">
        <f aca="false">IF(A1098="","",IF(AND(Y1098&lt;&gt;"参考",G1098&gt;=ルール設定!$B$2),"○",""))</f>
        <v/>
      </c>
      <c r="R1098" s="8" t="str">
        <f aca="false">IF(A1098="","",IF(AND(Y1098&lt;&gt;"参考",G1098&gt;=ルール設定!$B$3,N1098&gt;=ルール設定!$B$4),"○",""))</f>
        <v/>
      </c>
      <c r="S1098" s="8" t="str">
        <f aca="false">IF(A1098="","",IF(AND(Y1098&lt;&gt;"参考",G1098&gt;=ルール設定!$B$5,J1098&gt;=ルール設定!$B$6,O1098&gt;=ルール設定!$B$7),"○",""))</f>
        <v/>
      </c>
      <c r="T1098" s="8" t="n">
        <v>4</v>
      </c>
      <c r="U1098" s="8" t="n">
        <v>4</v>
      </c>
      <c r="V1098" s="8" t="str">
        <f aca="false">IF(A1098="","",IF(AND(ISNUMBER(T1098),ISNUMBER(U1098)),IF(AND(T1098&lt;=3,U1098&lt;=3),"○","×"),""))</f>
        <v>×</v>
      </c>
      <c r="W1098" s="8"/>
      <c r="X1098" s="8"/>
      <c r="Y1098" s="4" t="s">
        <v>7597</v>
      </c>
      <c r="Z1098" s="8" t="s">
        <v>8111</v>
      </c>
      <c r="AA1098" s="8" t="str">
        <v/>
      </c>
      <c r="AB1098" s="8" t="str">
        <v/>
      </c>
      <c r="AC1098" s="8" t="str">
        <v/>
      </c>
      <c r="AD1098" s="8" t="str">
        <v/>
      </c>
      <c r="AE1098" s="8" t="str">
        <v/>
      </c>
      <c r="AF1098" s="8" t="str">
        <v/>
      </c>
      <c r="AG1098" s="8" t="str">
        <v/>
      </c>
      <c r="AH1098" s="8" t="str">
        <v/>
      </c>
      <c r="AI1098" s="8" t="n">
        <v>25</v>
      </c>
      <c r="AJ1098" s="8" t="str">
        <v>～59</v>
      </c>
      <c r="AK1098" s="8" t="str">
        <v>20～29</v>
      </c>
      <c r="AL1098" s="8" t="str">
        <v>20～29</v>
      </c>
      <c r="AM1098" s="8" t="str">
        <v>～99</v>
      </c>
      <c r="AN1098" s="8" t="str">
        <v>15以上</v>
      </c>
      <c r="AO1098" s="8" t="str">
        <f aca="false">IF(A1098="","",IF(COUNTIFS(全馬データ!$A$2:$A$50000,A1098,全馬データ!$B$2:$B$50000,B1098,全馬データ!$C$2:$C$50000,C1098,全馬データ!$D$2:$D$50000,E1098,全馬データ!$K$2:$K$50000,"&lt;&gt;")=0,"",SUMIFS(全馬データ!$K$2:$K$50000,全馬データ!$A$2:$A$50000,A1098,全馬データ!$B$2:$B$50000,B1098,全馬データ!$C$2:$C$50000,C1098,全馬データ!$D$2:$D$50000,E1098)))</f>
        <v/>
      </c>
      <c r="AP1098" s="8" t="str">
        <f aca="false">IF(A1098="","",IF(AO1098="","欠損",IF(AO1098&lt;=1.1,"1.0～1.1",IF(AO1098&lt;1.3,"1.2",IF(AO1098&lt;1.5,"1.3～1.4",IF(AO1098&lt;2,"1.5～1.9","2.0以上"))))))</f>
        <v>欠損</v>
      </c>
      <c r="AQ1098" s="8" t="str">
        <f aca="false">IF(A1098="","",IF(ISNUMBER(SEARCH("2歳",Z1098)),"2歳戦",IF(ISNUMBER(SEARCH("3歳未勝利",Z1098)),"3歳未勝利",IF(ISNUMBER(SEARCH("未勝利",Z1098)),"その他未勝利",IF(ISNUMBER(SEARCH("G1",Z1098)),"G1",IF(ISNUMBER(SEARCH("G2",Z1098)),"G2",IF(ISNUMBER(SEARCH("G3",Z1098)),"G3",IF(ISNUMBER(SEARCH("古馬条件",Z1098)),"古馬条件戦",IF(ISNUMBER(SEARCH("重賞",Z1098)),"重賞","分類不能")))))))))</f>
        <v>分類不能</v>
      </c>
      <c r="AR1098" s="8"/>
      <c r="AS1098" s="8" t="s">
        <v>7842</v>
      </c>
      <c r="AT1098" s="8" t="s">
        <v>7843</v>
      </c>
      <c r="AU1098" s="8" t="s">
        <v>7628</v>
      </c>
      <c r="AV1098" s="8" t="s">
        <v>7629</v>
      </c>
      <c r="AW1098" s="8"/>
      <c r="AX1098" s="8"/>
      <c r="AY1098" s="8" t="s">
        <v>7602</v>
      </c>
      <c r="AZ1098" s="4" t="s">
        <v>7603</v>
      </c>
      <c r="BA1098" s="8" t="n">
        <v>1000</v>
      </c>
      <c r="BB1098" s="8" t="s">
        <v>7618</v>
      </c>
      <c r="BC1098" s="4" t="s">
        <v>7619</v>
      </c>
      <c r="BD1098" s="8" t="s">
        <v>7625</v>
      </c>
      <c r="BE1098" s="4" t="s">
        <v>7606</v>
      </c>
      <c r="BF1098" s="8" t="s">
        <v>7607</v>
      </c>
      <c r="BG1098" s="8" t="s">
        <v>7631</v>
      </c>
      <c r="BH1098" s="4" t="s">
        <v>7632</v>
      </c>
      <c r="BI1098" s="8" t="n">
        <v>16</v>
      </c>
      <c r="BJ1098" s="8" t="s">
        <v>7608</v>
      </c>
      <c r="BK1098" s="4" t="s">
        <v>7649</v>
      </c>
      <c r="BL1098" s="8" t="s">
        <v>7647</v>
      </c>
      <c r="BM1098" s="4" t="s">
        <v>7648</v>
      </c>
      <c r="BN1098" s="8" t="s">
        <v>7631</v>
      </c>
      <c r="BO1098" s="8" t="s">
        <v>7680</v>
      </c>
      <c r="BP1098" s="8" t="s">
        <v>7608</v>
      </c>
      <c r="BQ1098" s="8" t="str">
        <f aca="false">IF(A1098="","",AT1098)</f>
        <v>4歳以上</v>
      </c>
      <c r="BR1098" s="8" t="str">
        <f aca="false">IF(A1098="","",IF(BA1098&lt;=1200,"～1200",IF(BA1098&lt;=1500,"1300～1500",IF(BA1098=1600,"1600",IF(BA1098&lt;=1800,"1700～1800",IF(BA1098&lt;=2000,"1900～2000","2100以上"))))))</f>
        <v>～1200</v>
      </c>
      <c r="BS1098" s="8" t="str">
        <f aca="false">IF(A1098="","",IF(AX1098="G1","G1",IF(AX1098="G2","G2",IF(AX1098="G3","G3",IF(AX1098="L","L","その他")))))</f>
        <v>その他</v>
      </c>
      <c r="BT1098" s="8" t="str">
        <f aca="false">IF(A1098="","",IF(BI1098="","未結合",IF(D1098=BI1098,"一致","不一致")))</f>
        <v>一致</v>
      </c>
      <c r="BU1098" s="8" t="str">
        <f aca="false">IF(A1098="","",IF(BE1098="牝馬限定","牝馬限定","その他"))</f>
        <v>その他</v>
      </c>
    </row>
    <row r="1099" customFormat="false" ht="15.75" hidden="false" customHeight="false" outlineLevel="0" collapsed="false">
      <c r="A1099" s="6" t="n">
        <f aca="false">DATE(2026,5,2)</f>
        <v>46144</v>
      </c>
      <c r="B1099" s="4" t="s">
        <v>4473</v>
      </c>
      <c r="C1099" s="8" t="n">
        <v>1</v>
      </c>
      <c r="D1099" s="8" t="n">
        <v>16</v>
      </c>
      <c r="E1099" s="8" t="n">
        <v>14</v>
      </c>
      <c r="F1099" s="4" t="s">
        <v>7328</v>
      </c>
      <c r="G1099" s="8" t="n">
        <v>66</v>
      </c>
      <c r="H1099" s="8" t="n">
        <v>2</v>
      </c>
      <c r="I1099" s="4" t="s">
        <v>1256</v>
      </c>
      <c r="J1099" s="8" t="n">
        <v>58</v>
      </c>
      <c r="K1099" s="8" t="n">
        <v>1</v>
      </c>
      <c r="L1099" s="4" t="s">
        <v>496</v>
      </c>
      <c r="M1099" s="8" t="n">
        <v>44</v>
      </c>
      <c r="N1099" s="8" t="n">
        <f aca="false">IF(A1099="","",G1099-J1099)</f>
        <v>8</v>
      </c>
      <c r="O1099" s="8" t="n">
        <f aca="false">IF(A1099="","",J1099-M1099)</f>
        <v>14</v>
      </c>
      <c r="P1099" s="8" t="n">
        <f aca="false">IF(A1099="","",G1099+J1099)</f>
        <v>124</v>
      </c>
      <c r="Q1099" s="8" t="str">
        <f aca="false">IF(A1099="","",IF(AND(Y1099&lt;&gt;"参考",G1099&gt;=ルール設定!$B$2),"○",""))</f>
        <v/>
      </c>
      <c r="R1099" s="8" t="str">
        <f aca="false">IF(A1099="","",IF(AND(Y1099&lt;&gt;"参考",G1099&gt;=ルール設定!$B$3,N1099&gt;=ルール設定!$B$4),"○",""))</f>
        <v/>
      </c>
      <c r="S1099" s="8" t="str">
        <f aca="false">IF(A1099="","",IF(AND(Y1099&lt;&gt;"参考",G1099&gt;=ルール設定!$B$5,J1099&gt;=ルール設定!$B$6,O1099&gt;=ルール設定!$B$7),"○",""))</f>
        <v/>
      </c>
      <c r="T1099" s="8" t="n">
        <v>1</v>
      </c>
      <c r="U1099" s="8" t="n">
        <v>4</v>
      </c>
      <c r="V1099" s="8" t="str">
        <f aca="false">IF(A1099="","",IF(AND(ISNUMBER(T1099),ISNUMBER(U1099)),IF(AND(T1099&lt;=3,U1099&lt;=3),"○","×"),""))</f>
        <v>×</v>
      </c>
      <c r="W1099" s="8" t="n">
        <v>130</v>
      </c>
      <c r="X1099" s="8"/>
      <c r="Y1099" s="4" t="s">
        <v>7597</v>
      </c>
      <c r="Z1099" s="8" t="s">
        <v>8111</v>
      </c>
      <c r="AA1099" s="8" t="str">
        <v/>
      </c>
      <c r="AB1099" s="8" t="str">
        <v/>
      </c>
      <c r="AC1099" s="8" t="str">
        <v/>
      </c>
      <c r="AD1099" s="8" t="str">
        <v/>
      </c>
      <c r="AE1099" s="8" t="str">
        <v/>
      </c>
      <c r="AF1099" s="8" t="str">
        <v/>
      </c>
      <c r="AG1099" s="8" t="str">
        <v/>
      </c>
      <c r="AH1099" s="8" t="str">
        <v/>
      </c>
      <c r="AI1099" s="8" t="n">
        <v>22</v>
      </c>
      <c r="AJ1099" s="8" t="str">
        <v>60～69</v>
      </c>
      <c r="AK1099" s="8" t="str">
        <v>5～9</v>
      </c>
      <c r="AL1099" s="8" t="str">
        <v>20～29</v>
      </c>
      <c r="AM1099" s="8" t="str">
        <v>120～139</v>
      </c>
      <c r="AN1099" s="8" t="str">
        <v>15以上</v>
      </c>
      <c r="AO1099" s="8" t="str">
        <f aca="false">IF(A1099="","",IF(COUNTIFS(全馬データ!$A$2:$A$50000,A1099,全馬データ!$B$2:$B$50000,B1099,全馬データ!$C$2:$C$50000,C1099,全馬データ!$D$2:$D$50000,E1099,全馬データ!$K$2:$K$50000,"&lt;&gt;")=0,"",SUMIFS(全馬データ!$K$2:$K$50000,全馬データ!$A$2:$A$50000,A1099,全馬データ!$B$2:$B$50000,B1099,全馬データ!$C$2:$C$50000,C1099,全馬データ!$D$2:$D$50000,E1099)))</f>
        <v/>
      </c>
      <c r="AP1099" s="8" t="str">
        <f aca="false">IF(A1099="","",IF(AO1099="","欠損",IF(AO1099&lt;=1.1,"1.0～1.1",IF(AO1099&lt;1.3,"1.2",IF(AO1099&lt;1.5,"1.3～1.4",IF(AO1099&lt;2,"1.5～1.9","2.0以上"))))))</f>
        <v>欠損</v>
      </c>
      <c r="AQ1099" s="8" t="str">
        <f aca="false">IF(A1099="","",IF(ISNUMBER(SEARCH("2歳",Z1099)),"2歳戦",IF(ISNUMBER(SEARCH("3歳未勝利",Z1099)),"3歳未勝利",IF(ISNUMBER(SEARCH("未勝利",Z1099)),"その他未勝利",IF(ISNUMBER(SEARCH("G1",Z1099)),"G1",IF(ISNUMBER(SEARCH("G2",Z1099)),"G2",IF(ISNUMBER(SEARCH("G3",Z1099)),"G3",IF(ISNUMBER(SEARCH("古馬条件",Z1099)),"古馬条件戦",IF(ISNUMBER(SEARCH("重賞",Z1099)),"重賞","分類不能")))))))))</f>
        <v>分類不能</v>
      </c>
      <c r="AR1099" s="8"/>
      <c r="AS1099" s="8" t="s">
        <v>7623</v>
      </c>
      <c r="AT1099" s="8" t="s">
        <v>7624</v>
      </c>
      <c r="AU1099" s="8" t="s">
        <v>7600</v>
      </c>
      <c r="AV1099" s="4" t="s">
        <v>7601</v>
      </c>
      <c r="AW1099" s="8"/>
      <c r="AX1099" s="8"/>
      <c r="AY1099" s="8" t="s">
        <v>7610</v>
      </c>
      <c r="AZ1099" s="4" t="s">
        <v>7617</v>
      </c>
      <c r="BA1099" s="8" t="n">
        <v>1400</v>
      </c>
      <c r="BB1099" s="8" t="s">
        <v>7657</v>
      </c>
      <c r="BC1099" s="4" t="s">
        <v>7658</v>
      </c>
      <c r="BD1099" s="8" t="s">
        <v>7621</v>
      </c>
      <c r="BE1099" s="4" t="s">
        <v>7622</v>
      </c>
      <c r="BF1099" s="8" t="s">
        <v>7602</v>
      </c>
      <c r="BG1099" s="8" t="s">
        <v>7608</v>
      </c>
      <c r="BH1099" s="4" t="s">
        <v>7609</v>
      </c>
      <c r="BI1099" s="8" t="n">
        <v>16</v>
      </c>
      <c r="BJ1099" s="8" t="s">
        <v>7610</v>
      </c>
      <c r="BK1099" s="4" t="s">
        <v>7611</v>
      </c>
      <c r="BL1099" s="8" t="s">
        <v>7602</v>
      </c>
      <c r="BM1099" s="4" t="s">
        <v>7620</v>
      </c>
      <c r="BN1099" s="8"/>
      <c r="BO1099" s="8"/>
      <c r="BP1099" s="8" t="s">
        <v>7602</v>
      </c>
      <c r="BQ1099" s="8" t="str">
        <f aca="false">IF(A1099="","",AT1099)</f>
        <v>3歳</v>
      </c>
      <c r="BR1099" s="8" t="str">
        <f aca="false">IF(A1099="","",IF(BA1099&lt;=1200,"～1200",IF(BA1099&lt;=1500,"1300～1500",IF(BA1099=1600,"1600",IF(BA1099&lt;=1800,"1700～1800",IF(BA1099&lt;=2000,"1900～2000","2100以上"))))))</f>
        <v>1300～1500</v>
      </c>
      <c r="BS1099" s="8" t="str">
        <f aca="false">IF(A1099="","",IF(AX1099="G1","G1",IF(AX1099="G2","G2",IF(AX1099="G3","G3",IF(AX1099="L","L","その他")))))</f>
        <v>その他</v>
      </c>
      <c r="BT1099" s="8" t="str">
        <f aca="false">IF(A1099="","",IF(BI1099="","未結合",IF(D1099=BI1099,"一致","不一致")))</f>
        <v>一致</v>
      </c>
      <c r="BU1099" s="8" t="str">
        <f aca="false">IF(A1099="","",IF(BE1099="牝馬限定","牝馬限定","その他"))</f>
        <v>牝馬限定</v>
      </c>
    </row>
    <row r="1100" customFormat="false" ht="15.75" hidden="false" customHeight="false" outlineLevel="0" collapsed="false">
      <c r="A1100" s="6" t="n">
        <f aca="false">DATE(2026,5,2)</f>
        <v>46144</v>
      </c>
      <c r="B1100" s="4" t="s">
        <v>4473</v>
      </c>
      <c r="C1100" s="8" t="n">
        <v>2</v>
      </c>
      <c r="D1100" s="8" t="n">
        <v>14</v>
      </c>
      <c r="E1100" s="8" t="n">
        <v>5</v>
      </c>
      <c r="F1100" s="4" t="s">
        <v>3332</v>
      </c>
      <c r="G1100" s="8" t="n">
        <v>81</v>
      </c>
      <c r="H1100" s="8" t="n">
        <v>3</v>
      </c>
      <c r="I1100" s="4" t="s">
        <v>7330</v>
      </c>
      <c r="J1100" s="8" t="n">
        <v>67</v>
      </c>
      <c r="K1100" s="8" t="n">
        <v>14</v>
      </c>
      <c r="L1100" s="4" t="s">
        <v>4012</v>
      </c>
      <c r="M1100" s="8" t="n">
        <v>23</v>
      </c>
      <c r="N1100" s="8" t="n">
        <f aca="false">IF(A1100="","",G1100-J1100)</f>
        <v>14</v>
      </c>
      <c r="O1100" s="8" t="n">
        <f aca="false">IF(A1100="","",J1100-M1100)</f>
        <v>44</v>
      </c>
      <c r="P1100" s="8" t="n">
        <f aca="false">IF(A1100="","",G1100+J1100)</f>
        <v>148</v>
      </c>
      <c r="Q1100" s="8" t="str">
        <f aca="false">IF(A1100="","",IF(AND(Y1100&lt;&gt;"参考",G1100&gt;=ルール設定!$B$2),"○",""))</f>
        <v>○</v>
      </c>
      <c r="R1100" s="8" t="str">
        <f aca="false">IF(A1100="","",IF(AND(Y1100&lt;&gt;"参考",G1100&gt;=ルール設定!$B$3,N1100&gt;=ルール設定!$B$4),"○",""))</f>
        <v/>
      </c>
      <c r="S1100" s="8" t="str">
        <f aca="false">IF(A1100="","",IF(AND(Y1100&lt;&gt;"参考",G1100&gt;=ルール設定!$B$5,J1100&gt;=ルール設定!$B$6,O1100&gt;=ルール設定!$B$7),"○",""))</f>
        <v>○</v>
      </c>
      <c r="T1100" s="8" t="n">
        <v>2</v>
      </c>
      <c r="U1100" s="8" t="n">
        <v>1</v>
      </c>
      <c r="V1100" s="8" t="str">
        <f aca="false">IF(A1100="","",IF(AND(ISNUMBER(T1100),ISNUMBER(U1100)),IF(AND(T1100&lt;=3,U1100&lt;=3),"○","×"),""))</f>
        <v>○</v>
      </c>
      <c r="W1100" s="8" t="n">
        <v>110</v>
      </c>
      <c r="X1100" s="8" t="n">
        <v>110</v>
      </c>
      <c r="Y1100" s="4" t="s">
        <v>7597</v>
      </c>
      <c r="Z1100" s="8" t="s">
        <v>8111</v>
      </c>
      <c r="AA1100" s="8" t="str">
        <v/>
      </c>
      <c r="AB1100" s="8" t="str">
        <v>○</v>
      </c>
      <c r="AC1100" s="8" t="str">
        <v>○</v>
      </c>
      <c r="AD1100" s="8" t="str">
        <v/>
      </c>
      <c r="AE1100" s="8" t="str">
        <v/>
      </c>
      <c r="AF1100" s="8" t="str">
        <v>○</v>
      </c>
      <c r="AG1100" s="8" t="str">
        <v>○</v>
      </c>
      <c r="AH1100" s="8" t="str">
        <v/>
      </c>
      <c r="AI1100" s="8" t="n">
        <v>58</v>
      </c>
      <c r="AJ1100" s="8" t="str">
        <v>80～84</v>
      </c>
      <c r="AK1100" s="8" t="str">
        <v>10～19</v>
      </c>
      <c r="AL1100" s="8" t="str">
        <v>40以上</v>
      </c>
      <c r="AM1100" s="8" t="str">
        <v>140～159</v>
      </c>
      <c r="AN1100" s="8" t="str">
        <v>12～14</v>
      </c>
      <c r="AO1100" s="8" t="str">
        <f aca="false">IF(A1100="","",IF(COUNTIFS(全馬データ!$A$2:$A$50000,A1100,全馬データ!$B$2:$B$50000,B1100,全馬データ!$C$2:$C$50000,C1100,全馬データ!$D$2:$D$50000,E1100,全馬データ!$K$2:$K$50000,"&lt;&gt;")=0,"",SUMIFS(全馬データ!$K$2:$K$50000,全馬データ!$A$2:$A$50000,A1100,全馬データ!$B$2:$B$50000,B1100,全馬データ!$C$2:$C$50000,C1100,全馬データ!$D$2:$D$50000,E1100)))</f>
        <v/>
      </c>
      <c r="AP1100" s="8" t="str">
        <f aca="false">IF(A1100="","",IF(AO1100="","欠損",IF(AO1100&lt;=1.1,"1.0～1.1",IF(AO1100&lt;1.3,"1.2",IF(AO1100&lt;1.5,"1.3～1.4",IF(AO1100&lt;2,"1.5～1.9","2.0以上"))))))</f>
        <v>欠損</v>
      </c>
      <c r="AQ1100" s="8" t="str">
        <f aca="false">IF(A1100="","",IF(ISNUMBER(SEARCH("2歳",Z1100)),"2歳戦",IF(ISNUMBER(SEARCH("3歳未勝利",Z1100)),"3歳未勝利",IF(ISNUMBER(SEARCH("未勝利",Z1100)),"その他未勝利",IF(ISNUMBER(SEARCH("G1",Z1100)),"G1",IF(ISNUMBER(SEARCH("G2",Z1100)),"G2",IF(ISNUMBER(SEARCH("G3",Z1100)),"G3",IF(ISNUMBER(SEARCH("古馬条件",Z1100)),"古馬条件戦",IF(ISNUMBER(SEARCH("重賞",Z1100)),"重賞","分類不能")))))))))</f>
        <v>分類不能</v>
      </c>
      <c r="AR1100" s="8"/>
      <c r="AS1100" s="8" t="s">
        <v>7623</v>
      </c>
      <c r="AT1100" s="8" t="s">
        <v>7624</v>
      </c>
      <c r="AU1100" s="8" t="s">
        <v>7600</v>
      </c>
      <c r="AV1100" s="4" t="s">
        <v>7601</v>
      </c>
      <c r="AW1100" s="8"/>
      <c r="AX1100" s="8"/>
      <c r="AY1100" s="8" t="s">
        <v>7610</v>
      </c>
      <c r="AZ1100" s="4" t="s">
        <v>7617</v>
      </c>
      <c r="BA1100" s="8" t="n">
        <v>1600</v>
      </c>
      <c r="BB1100" s="8" t="s">
        <v>7657</v>
      </c>
      <c r="BC1100" s="4" t="s">
        <v>7658</v>
      </c>
      <c r="BD1100" s="8" t="s">
        <v>7625</v>
      </c>
      <c r="BE1100" s="4" t="s">
        <v>7606</v>
      </c>
      <c r="BF1100" s="8" t="s">
        <v>7607</v>
      </c>
      <c r="BG1100" s="8" t="s">
        <v>7608</v>
      </c>
      <c r="BH1100" s="4" t="s">
        <v>7609</v>
      </c>
      <c r="BI1100" s="8" t="n">
        <v>14</v>
      </c>
      <c r="BJ1100" s="8" t="s">
        <v>7610</v>
      </c>
      <c r="BK1100" s="4" t="s">
        <v>7611</v>
      </c>
      <c r="BL1100" s="8" t="s">
        <v>7602</v>
      </c>
      <c r="BM1100" s="4" t="s">
        <v>7620</v>
      </c>
      <c r="BN1100" s="8"/>
      <c r="BO1100" s="8"/>
      <c r="BP1100" s="8" t="s">
        <v>7602</v>
      </c>
      <c r="BQ1100" s="8" t="str">
        <f aca="false">IF(A1100="","",AT1100)</f>
        <v>3歳</v>
      </c>
      <c r="BR1100" s="8" t="str">
        <f aca="false">IF(A1100="","",IF(BA1100&lt;=1200,"～1200",IF(BA1100&lt;=1500,"1300～1500",IF(BA1100=1600,"1600",IF(BA1100&lt;=1800,"1700～1800",IF(BA1100&lt;=2000,"1900～2000","2100以上"))))))</f>
        <v>1600</v>
      </c>
      <c r="BS1100" s="8" t="str">
        <f aca="false">IF(A1100="","",IF(AX1100="G1","G1",IF(AX1100="G2","G2",IF(AX1100="G3","G3",IF(AX1100="L","L","その他")))))</f>
        <v>その他</v>
      </c>
      <c r="BT1100" s="8" t="str">
        <f aca="false">IF(A1100="","",IF(BI1100="","未結合",IF(D1100=BI1100,"一致","不一致")))</f>
        <v>一致</v>
      </c>
      <c r="BU1100" s="8" t="str">
        <f aca="false">IF(A1100="","",IF(BE1100="牝馬限定","牝馬限定","その他"))</f>
        <v>その他</v>
      </c>
    </row>
    <row r="1101" customFormat="false" ht="15.75" hidden="false" customHeight="false" outlineLevel="0" collapsed="false">
      <c r="A1101" s="6" t="n">
        <f aca="false">DATE(2026,5,2)</f>
        <v>46144</v>
      </c>
      <c r="B1101" s="4" t="s">
        <v>4473</v>
      </c>
      <c r="C1101" s="8" t="n">
        <v>3</v>
      </c>
      <c r="D1101" s="8" t="n">
        <v>9</v>
      </c>
      <c r="E1101" s="8" t="n">
        <v>7</v>
      </c>
      <c r="F1101" s="4" t="s">
        <v>221</v>
      </c>
      <c r="G1101" s="8" t="n">
        <v>65</v>
      </c>
      <c r="H1101" s="8" t="n">
        <v>6</v>
      </c>
      <c r="I1101" s="4" t="s">
        <v>1748</v>
      </c>
      <c r="J1101" s="8" t="n">
        <v>60</v>
      </c>
      <c r="K1101" s="8" t="n">
        <v>1</v>
      </c>
      <c r="L1101" s="4" t="s">
        <v>4680</v>
      </c>
      <c r="M1101" s="8" t="n">
        <v>39</v>
      </c>
      <c r="N1101" s="8" t="n">
        <f aca="false">IF(A1101="","",G1101-J1101)</f>
        <v>5</v>
      </c>
      <c r="O1101" s="8" t="n">
        <f aca="false">IF(A1101="","",J1101-M1101)</f>
        <v>21</v>
      </c>
      <c r="P1101" s="8" t="n">
        <f aca="false">IF(A1101="","",G1101+J1101)</f>
        <v>125</v>
      </c>
      <c r="Q1101" s="8" t="str">
        <f aca="false">IF(A1101="","",IF(AND(Y1101&lt;&gt;"参考",G1101&gt;=ルール設定!$B$2),"○",""))</f>
        <v/>
      </c>
      <c r="R1101" s="8" t="str">
        <f aca="false">IF(A1101="","",IF(AND(Y1101&lt;&gt;"参考",G1101&gt;=ルール設定!$B$3,N1101&gt;=ルール設定!$B$4),"○",""))</f>
        <v/>
      </c>
      <c r="S1101" s="8" t="str">
        <f aca="false">IF(A1101="","",IF(AND(Y1101&lt;&gt;"参考",G1101&gt;=ルール設定!$B$5,J1101&gt;=ルール設定!$B$6,O1101&gt;=ルール設定!$B$7),"○",""))</f>
        <v>○</v>
      </c>
      <c r="T1101" s="8" t="n">
        <v>4</v>
      </c>
      <c r="U1101" s="8" t="n">
        <v>4</v>
      </c>
      <c r="V1101" s="8" t="str">
        <f aca="false">IF(A1101="","",IF(AND(ISNUMBER(T1101),ISNUMBER(U1101)),IF(AND(T1101&lt;=3,U1101&lt;=3),"○","×"),""))</f>
        <v>×</v>
      </c>
      <c r="W1101" s="8"/>
      <c r="X1101" s="8"/>
      <c r="Y1101" s="4" t="s">
        <v>7597</v>
      </c>
      <c r="Z1101" s="8" t="s">
        <v>8111</v>
      </c>
      <c r="AA1101" s="8" t="str">
        <v/>
      </c>
      <c r="AB1101" s="8" t="str">
        <v/>
      </c>
      <c r="AC1101" s="8" t="str">
        <v/>
      </c>
      <c r="AD1101" s="8" t="str">
        <v/>
      </c>
      <c r="AE1101" s="8" t="str">
        <v/>
      </c>
      <c r="AF1101" s="8" t="str">
        <v/>
      </c>
      <c r="AG1101" s="8" t="str">
        <v/>
      </c>
      <c r="AH1101" s="8" t="str">
        <v/>
      </c>
      <c r="AI1101" s="8" t="n">
        <v>26</v>
      </c>
      <c r="AJ1101" s="8" t="str">
        <v>60～69</v>
      </c>
      <c r="AK1101" s="8" t="str">
        <v>5～9</v>
      </c>
      <c r="AL1101" s="8" t="str">
        <v>20～29</v>
      </c>
      <c r="AM1101" s="8" t="str">
        <v>120～139</v>
      </c>
      <c r="AN1101" s="8" t="str">
        <v>8～11</v>
      </c>
      <c r="AO1101" s="8" t="str">
        <f aca="false">IF(A1101="","",IF(COUNTIFS(全馬データ!$A$2:$A$50000,A1101,全馬データ!$B$2:$B$50000,B1101,全馬データ!$C$2:$C$50000,C1101,全馬データ!$D$2:$D$50000,E1101,全馬データ!$K$2:$K$50000,"&lt;&gt;")=0,"",SUMIFS(全馬データ!$K$2:$K$50000,全馬データ!$A$2:$A$50000,A1101,全馬データ!$B$2:$B$50000,B1101,全馬データ!$C$2:$C$50000,C1101,全馬データ!$D$2:$D$50000,E1101)))</f>
        <v/>
      </c>
      <c r="AP1101" s="8" t="str">
        <f aca="false">IF(A1101="","",IF(AO1101="","欠損",IF(AO1101&lt;=1.1,"1.0～1.1",IF(AO1101&lt;1.3,"1.2",IF(AO1101&lt;1.5,"1.3～1.4",IF(AO1101&lt;2,"1.5～1.9","2.0以上"))))))</f>
        <v>欠損</v>
      </c>
      <c r="AQ1101" s="8" t="str">
        <f aca="false">IF(A1101="","",IF(ISNUMBER(SEARCH("2歳",Z1101)),"2歳戦",IF(ISNUMBER(SEARCH("3歳未勝利",Z1101)),"3歳未勝利",IF(ISNUMBER(SEARCH("未勝利",Z1101)),"その他未勝利",IF(ISNUMBER(SEARCH("G1",Z1101)),"G1",IF(ISNUMBER(SEARCH("G2",Z1101)),"G2",IF(ISNUMBER(SEARCH("G3",Z1101)),"G3",IF(ISNUMBER(SEARCH("古馬条件",Z1101)),"古馬条件戦",IF(ISNUMBER(SEARCH("重賞",Z1101)),"重賞","分類不能")))))))))</f>
        <v>分類不能</v>
      </c>
      <c r="AR1101" s="8"/>
      <c r="AS1101" s="8" t="s">
        <v>7623</v>
      </c>
      <c r="AT1101" s="8" t="s">
        <v>7624</v>
      </c>
      <c r="AU1101" s="8" t="s">
        <v>7600</v>
      </c>
      <c r="AV1101" s="4" t="s">
        <v>7601</v>
      </c>
      <c r="AW1101" s="8"/>
      <c r="AX1101" s="8"/>
      <c r="AY1101" s="8" t="s">
        <v>7610</v>
      </c>
      <c r="AZ1101" s="4" t="s">
        <v>7617</v>
      </c>
      <c r="BA1101" s="8" t="n">
        <v>2100</v>
      </c>
      <c r="BB1101" s="8" t="s">
        <v>7657</v>
      </c>
      <c r="BC1101" s="4" t="s">
        <v>7658</v>
      </c>
      <c r="BD1101" s="8" t="s">
        <v>7625</v>
      </c>
      <c r="BE1101" s="4" t="s">
        <v>7606</v>
      </c>
      <c r="BF1101" s="8" t="s">
        <v>7607</v>
      </c>
      <c r="BG1101" s="8" t="s">
        <v>7608</v>
      </c>
      <c r="BH1101" s="4" t="s">
        <v>7609</v>
      </c>
      <c r="BI1101" s="8" t="n">
        <v>9</v>
      </c>
      <c r="BJ1101" s="8" t="s">
        <v>7610</v>
      </c>
      <c r="BK1101" s="4" t="s">
        <v>7611</v>
      </c>
      <c r="BL1101" s="8" t="s">
        <v>7602</v>
      </c>
      <c r="BM1101" s="4" t="s">
        <v>7620</v>
      </c>
      <c r="BN1101" s="8"/>
      <c r="BO1101" s="8"/>
      <c r="BP1101" s="8" t="s">
        <v>7602</v>
      </c>
      <c r="BQ1101" s="8" t="str">
        <f aca="false">IF(A1101="","",AT1101)</f>
        <v>3歳</v>
      </c>
      <c r="BR1101" s="8" t="str">
        <f aca="false">IF(A1101="","",IF(BA1101&lt;=1200,"～1200",IF(BA1101&lt;=1500,"1300～1500",IF(BA1101=1600,"1600",IF(BA1101&lt;=1800,"1700～1800",IF(BA1101&lt;=2000,"1900～2000","2100以上"))))))</f>
        <v>2100以上</v>
      </c>
      <c r="BS1101" s="8" t="str">
        <f aca="false">IF(A1101="","",IF(AX1101="G1","G1",IF(AX1101="G2","G2",IF(AX1101="G3","G3",IF(AX1101="L","L","その他")))))</f>
        <v>その他</v>
      </c>
      <c r="BT1101" s="8" t="str">
        <f aca="false">IF(A1101="","",IF(BI1101="","未結合",IF(D1101=BI1101,"一致","不一致")))</f>
        <v>一致</v>
      </c>
      <c r="BU1101" s="8" t="str">
        <f aca="false">IF(A1101="","",IF(BE1101="牝馬限定","牝馬限定","その他"))</f>
        <v>その他</v>
      </c>
    </row>
    <row r="1102" customFormat="false" ht="15.75" hidden="false" customHeight="false" outlineLevel="0" collapsed="false">
      <c r="A1102" s="6" t="n">
        <f aca="false">DATE(2026,5,2)</f>
        <v>46144</v>
      </c>
      <c r="B1102" s="4" t="s">
        <v>4473</v>
      </c>
      <c r="C1102" s="8" t="n">
        <v>4</v>
      </c>
      <c r="D1102" s="8" t="n">
        <v>10</v>
      </c>
      <c r="E1102" s="8" t="n">
        <v>2</v>
      </c>
      <c r="F1102" s="4" t="s">
        <v>1399</v>
      </c>
      <c r="G1102" s="8" t="n">
        <v>71</v>
      </c>
      <c r="H1102" s="8" t="n">
        <v>10</v>
      </c>
      <c r="I1102" s="4" t="s">
        <v>7337</v>
      </c>
      <c r="J1102" s="8" t="n">
        <v>56</v>
      </c>
      <c r="K1102" s="8" t="n">
        <v>5</v>
      </c>
      <c r="L1102" s="4" t="s">
        <v>4313</v>
      </c>
      <c r="M1102" s="8" t="n">
        <v>44</v>
      </c>
      <c r="N1102" s="8" t="n">
        <f aca="false">IF(A1102="","",G1102-J1102)</f>
        <v>15</v>
      </c>
      <c r="O1102" s="8" t="n">
        <f aca="false">IF(A1102="","",J1102-M1102)</f>
        <v>12</v>
      </c>
      <c r="P1102" s="8" t="n">
        <f aca="false">IF(A1102="","",G1102+J1102)</f>
        <v>127</v>
      </c>
      <c r="Q1102" s="8" t="str">
        <f aca="false">IF(A1102="","",IF(AND(Y1102&lt;&gt;"参考",G1102&gt;=ルール設定!$B$2),"○",""))</f>
        <v/>
      </c>
      <c r="R1102" s="8" t="str">
        <f aca="false">IF(A1102="","",IF(AND(Y1102&lt;&gt;"参考",G1102&gt;=ルール設定!$B$3,N1102&gt;=ルール設定!$B$4),"○",""))</f>
        <v/>
      </c>
      <c r="S1102" s="8" t="str">
        <f aca="false">IF(A1102="","",IF(AND(Y1102&lt;&gt;"参考",G1102&gt;=ルール設定!$B$5,J1102&gt;=ルール設定!$B$6,O1102&gt;=ルール設定!$B$7),"○",""))</f>
        <v/>
      </c>
      <c r="T1102" s="8" t="n">
        <v>4</v>
      </c>
      <c r="U1102" s="8" t="n">
        <v>2</v>
      </c>
      <c r="V1102" s="8" t="str">
        <f aca="false">IF(A1102="","",IF(AND(ISNUMBER(T1102),ISNUMBER(U1102)),IF(AND(T1102&lt;=3,U1102&lt;=3),"○","×"),""))</f>
        <v>×</v>
      </c>
      <c r="W1102" s="8"/>
      <c r="X1102" s="8"/>
      <c r="Y1102" s="4" t="s">
        <v>7597</v>
      </c>
      <c r="Z1102" s="8" t="s">
        <v>8111</v>
      </c>
      <c r="AA1102" s="8" t="str">
        <v/>
      </c>
      <c r="AB1102" s="8" t="str">
        <v/>
      </c>
      <c r="AC1102" s="8" t="str">
        <v/>
      </c>
      <c r="AD1102" s="8" t="str">
        <v/>
      </c>
      <c r="AE1102" s="8" t="str">
        <v/>
      </c>
      <c r="AF1102" s="8" t="str">
        <v/>
      </c>
      <c r="AG1102" s="8" t="str">
        <v/>
      </c>
      <c r="AH1102" s="8" t="str">
        <v/>
      </c>
      <c r="AI1102" s="8" t="n">
        <v>27</v>
      </c>
      <c r="AJ1102" s="8" t="str">
        <v>70～74</v>
      </c>
      <c r="AK1102" s="8" t="str">
        <v>10～19</v>
      </c>
      <c r="AL1102" s="8" t="str">
        <v>20～29</v>
      </c>
      <c r="AM1102" s="8" t="str">
        <v>120～139</v>
      </c>
      <c r="AN1102" s="8" t="str">
        <v>8～11</v>
      </c>
      <c r="AO1102" s="8" t="str">
        <f aca="false">IF(A1102="","",IF(COUNTIFS(全馬データ!$A$2:$A$50000,A1102,全馬データ!$B$2:$B$50000,B1102,全馬データ!$C$2:$C$50000,C1102,全馬データ!$D$2:$D$50000,E1102,全馬データ!$K$2:$K$50000,"&lt;&gt;")=0,"",SUMIFS(全馬データ!$K$2:$K$50000,全馬データ!$A$2:$A$50000,A1102,全馬データ!$B$2:$B$50000,B1102,全馬データ!$C$2:$C$50000,C1102,全馬データ!$D$2:$D$50000,E1102)))</f>
        <v/>
      </c>
      <c r="AP1102" s="8" t="str">
        <f aca="false">IF(A1102="","",IF(AO1102="","欠損",IF(AO1102&lt;=1.1,"1.0～1.1",IF(AO1102&lt;1.3,"1.2",IF(AO1102&lt;1.5,"1.3～1.4",IF(AO1102&lt;2,"1.5～1.9","2.0以上"))))))</f>
        <v>欠損</v>
      </c>
      <c r="AQ1102" s="8" t="str">
        <f aca="false">IF(A1102="","",IF(ISNUMBER(SEARCH("2歳",Z1102)),"2歳戦",IF(ISNUMBER(SEARCH("3歳未勝利",Z1102)),"3歳未勝利",IF(ISNUMBER(SEARCH("未勝利",Z1102)),"その他未勝利",IF(ISNUMBER(SEARCH("G1",Z1102)),"G1",IF(ISNUMBER(SEARCH("G2",Z1102)),"G2",IF(ISNUMBER(SEARCH("G3",Z1102)),"G3",IF(ISNUMBER(SEARCH("古馬条件",Z1102)),"古馬条件戦",IF(ISNUMBER(SEARCH("重賞",Z1102)),"重賞","分類不能")))))))))</f>
        <v>分類不能</v>
      </c>
      <c r="AR1102" s="8"/>
      <c r="AS1102" s="8" t="s">
        <v>7623</v>
      </c>
      <c r="AT1102" s="8" t="s">
        <v>7624</v>
      </c>
      <c r="AU1102" s="8" t="s">
        <v>7600</v>
      </c>
      <c r="AV1102" s="4" t="s">
        <v>7601</v>
      </c>
      <c r="AW1102" s="8"/>
      <c r="AX1102" s="8"/>
      <c r="AY1102" s="8" t="s">
        <v>7602</v>
      </c>
      <c r="AZ1102" s="4" t="s">
        <v>7603</v>
      </c>
      <c r="BA1102" s="8" t="n">
        <v>2000</v>
      </c>
      <c r="BB1102" s="8" t="s">
        <v>7598</v>
      </c>
      <c r="BC1102" s="4" t="s">
        <v>7604</v>
      </c>
      <c r="BD1102" s="8" t="s">
        <v>7625</v>
      </c>
      <c r="BE1102" s="4" t="s">
        <v>7606</v>
      </c>
      <c r="BF1102" s="8" t="s">
        <v>7607</v>
      </c>
      <c r="BG1102" s="8" t="s">
        <v>7608</v>
      </c>
      <c r="BH1102" s="4" t="s">
        <v>7609</v>
      </c>
      <c r="BI1102" s="8" t="n">
        <v>10</v>
      </c>
      <c r="BJ1102" s="8" t="s">
        <v>7610</v>
      </c>
      <c r="BK1102" s="4" t="s">
        <v>7611</v>
      </c>
      <c r="BL1102" s="8" t="s">
        <v>7602</v>
      </c>
      <c r="BM1102" s="4" t="s">
        <v>7620</v>
      </c>
      <c r="BN1102" s="8" t="s">
        <v>7602</v>
      </c>
      <c r="BO1102" s="8" t="s">
        <v>7613</v>
      </c>
      <c r="BP1102" s="8" t="s">
        <v>7602</v>
      </c>
      <c r="BQ1102" s="8" t="str">
        <f aca="false">IF(A1102="","",AT1102)</f>
        <v>3歳</v>
      </c>
      <c r="BR1102" s="8" t="str">
        <f aca="false">IF(A1102="","",IF(BA1102&lt;=1200,"～1200",IF(BA1102&lt;=1500,"1300～1500",IF(BA1102=1600,"1600",IF(BA1102&lt;=1800,"1700～1800",IF(BA1102&lt;=2000,"1900～2000","2100以上"))))))</f>
        <v>1900～2000</v>
      </c>
      <c r="BS1102" s="8" t="str">
        <f aca="false">IF(A1102="","",IF(AX1102="G1","G1",IF(AX1102="G2","G2",IF(AX1102="G3","G3",IF(AX1102="L","L","その他")))))</f>
        <v>その他</v>
      </c>
      <c r="BT1102" s="8" t="str">
        <f aca="false">IF(A1102="","",IF(BI1102="","未結合",IF(D1102=BI1102,"一致","不一致")))</f>
        <v>一致</v>
      </c>
      <c r="BU1102" s="8" t="str">
        <f aca="false">IF(A1102="","",IF(BE1102="牝馬限定","牝馬限定","その他"))</f>
        <v>その他</v>
      </c>
    </row>
    <row r="1103" customFormat="false" ht="15.75" hidden="false" customHeight="false" outlineLevel="0" collapsed="false">
      <c r="A1103" s="6" t="n">
        <f aca="false">DATE(2026,5,2)</f>
        <v>46144</v>
      </c>
      <c r="B1103" s="4" t="s">
        <v>4473</v>
      </c>
      <c r="C1103" s="8" t="n">
        <v>5</v>
      </c>
      <c r="D1103" s="8" t="n">
        <v>18</v>
      </c>
      <c r="E1103" s="8" t="n">
        <v>9</v>
      </c>
      <c r="F1103" s="4" t="s">
        <v>7339</v>
      </c>
      <c r="G1103" s="8" t="n">
        <v>41</v>
      </c>
      <c r="H1103" s="8" t="n">
        <v>15</v>
      </c>
      <c r="I1103" s="4" t="s">
        <v>5842</v>
      </c>
      <c r="J1103" s="8" t="n">
        <v>41</v>
      </c>
      <c r="K1103" s="8" t="n">
        <v>6</v>
      </c>
      <c r="L1103" s="4" t="s">
        <v>3535</v>
      </c>
      <c r="M1103" s="8" t="n">
        <v>37</v>
      </c>
      <c r="N1103" s="8" t="n">
        <f aca="false">IF(A1103="","",G1103-J1103)</f>
        <v>0</v>
      </c>
      <c r="O1103" s="8" t="n">
        <f aca="false">IF(A1103="","",J1103-M1103)</f>
        <v>4</v>
      </c>
      <c r="P1103" s="8" t="n">
        <f aca="false">IF(A1103="","",G1103+J1103)</f>
        <v>82</v>
      </c>
      <c r="Q1103" s="8" t="str">
        <f aca="false">IF(A1103="","",IF(AND(Y1103&lt;&gt;"参考",G1103&gt;=ルール設定!$B$2),"○",""))</f>
        <v/>
      </c>
      <c r="R1103" s="8" t="str">
        <f aca="false">IF(A1103="","",IF(AND(Y1103&lt;&gt;"参考",G1103&gt;=ルール設定!$B$3,N1103&gt;=ルール設定!$B$4),"○",""))</f>
        <v/>
      </c>
      <c r="S1103" s="8" t="str">
        <f aca="false">IF(A1103="","",IF(AND(Y1103&lt;&gt;"参考",G1103&gt;=ルール設定!$B$5,J1103&gt;=ルール設定!$B$6,O1103&gt;=ルール設定!$B$7),"○",""))</f>
        <v/>
      </c>
      <c r="T1103" s="8" t="n">
        <v>3</v>
      </c>
      <c r="U1103" s="8" t="n">
        <v>4</v>
      </c>
      <c r="V1103" s="8" t="str">
        <f aca="false">IF(A1103="","",IF(AND(ISNUMBER(T1103),ISNUMBER(U1103)),IF(AND(T1103&lt;=3,U1103&lt;=3),"○","×"),""))</f>
        <v>×</v>
      </c>
      <c r="W1103" s="8" t="n">
        <v>250</v>
      </c>
      <c r="X1103" s="8"/>
      <c r="Y1103" s="4" t="s">
        <v>7597</v>
      </c>
      <c r="Z1103" s="8" t="s">
        <v>8111</v>
      </c>
      <c r="AA1103" s="8" t="str">
        <v/>
      </c>
      <c r="AB1103" s="8" t="str">
        <v/>
      </c>
      <c r="AC1103" s="8" t="str">
        <v/>
      </c>
      <c r="AD1103" s="8" t="str">
        <v/>
      </c>
      <c r="AE1103" s="8" t="str">
        <v/>
      </c>
      <c r="AF1103" s="8" t="str">
        <v/>
      </c>
      <c r="AG1103" s="8" t="str">
        <v/>
      </c>
      <c r="AH1103" s="8" t="str">
        <v/>
      </c>
      <c r="AI1103" s="8" t="n">
        <v>4</v>
      </c>
      <c r="AJ1103" s="8" t="str">
        <v>～59</v>
      </c>
      <c r="AK1103" s="8" t="str">
        <v>0～4</v>
      </c>
      <c r="AL1103" s="8" t="str">
        <v>0～9</v>
      </c>
      <c r="AM1103" s="8" t="str">
        <v>～99</v>
      </c>
      <c r="AN1103" s="8" t="str">
        <v>15以上</v>
      </c>
      <c r="AO1103" s="8" t="str">
        <f aca="false">IF(A1103="","",IF(COUNTIFS(全馬データ!$A$2:$A$50000,A1103,全馬データ!$B$2:$B$50000,B1103,全馬データ!$C$2:$C$50000,C1103,全馬データ!$D$2:$D$50000,E1103,全馬データ!$K$2:$K$50000,"&lt;&gt;")=0,"",SUMIFS(全馬データ!$K$2:$K$50000,全馬データ!$A$2:$A$50000,A1103,全馬データ!$B$2:$B$50000,B1103,全馬データ!$C$2:$C$50000,C1103,全馬データ!$D$2:$D$50000,E1103)))</f>
        <v/>
      </c>
      <c r="AP1103" s="8" t="str">
        <f aca="false">IF(A1103="","",IF(AO1103="","欠損",IF(AO1103&lt;=1.1,"1.0～1.1",IF(AO1103&lt;1.3,"1.2",IF(AO1103&lt;1.5,"1.3～1.4",IF(AO1103&lt;2,"1.5～1.9","2.0以上"))))))</f>
        <v>欠損</v>
      </c>
      <c r="AQ1103" s="8" t="str">
        <f aca="false">IF(A1103="","",IF(ISNUMBER(SEARCH("2歳",Z1103)),"2歳戦",IF(ISNUMBER(SEARCH("3歳未勝利",Z1103)),"3歳未勝利",IF(ISNUMBER(SEARCH("未勝利",Z1103)),"その他未勝利",IF(ISNUMBER(SEARCH("G1",Z1103)),"G1",IF(ISNUMBER(SEARCH("G2",Z1103)),"G2",IF(ISNUMBER(SEARCH("G3",Z1103)),"G3",IF(ISNUMBER(SEARCH("古馬条件",Z1103)),"古馬条件戦",IF(ISNUMBER(SEARCH("重賞",Z1103)),"重賞","分類不能")))))))))</f>
        <v>分類不能</v>
      </c>
      <c r="AR1103" s="8"/>
      <c r="AS1103" s="8" t="s">
        <v>7623</v>
      </c>
      <c r="AT1103" s="8" t="s">
        <v>7624</v>
      </c>
      <c r="AU1103" s="8" t="s">
        <v>7628</v>
      </c>
      <c r="AV1103" s="8" t="s">
        <v>7629</v>
      </c>
      <c r="AW1103" s="8"/>
      <c r="AX1103" s="8"/>
      <c r="AY1103" s="8" t="s">
        <v>7602</v>
      </c>
      <c r="AZ1103" s="4" t="s">
        <v>7603</v>
      </c>
      <c r="BA1103" s="8" t="n">
        <v>1400</v>
      </c>
      <c r="BB1103" s="8" t="s">
        <v>7598</v>
      </c>
      <c r="BC1103" s="4" t="s">
        <v>7604</v>
      </c>
      <c r="BD1103" s="8" t="s">
        <v>7630</v>
      </c>
      <c r="BE1103" s="4" t="s">
        <v>7606</v>
      </c>
      <c r="BF1103" s="8" t="s">
        <v>7607</v>
      </c>
      <c r="BG1103" s="8" t="s">
        <v>7608</v>
      </c>
      <c r="BH1103" s="4" t="s">
        <v>7609</v>
      </c>
      <c r="BI1103" s="8" t="n">
        <v>18</v>
      </c>
      <c r="BJ1103" s="8" t="s">
        <v>7610</v>
      </c>
      <c r="BK1103" s="4" t="s">
        <v>7611</v>
      </c>
      <c r="BL1103" s="8" t="s">
        <v>7602</v>
      </c>
      <c r="BM1103" s="4" t="s">
        <v>7620</v>
      </c>
      <c r="BN1103" s="8" t="s">
        <v>7602</v>
      </c>
      <c r="BO1103" s="8" t="s">
        <v>7613</v>
      </c>
      <c r="BP1103" s="8" t="s">
        <v>7602</v>
      </c>
      <c r="BQ1103" s="8" t="str">
        <f aca="false">IF(A1103="","",AT1103)</f>
        <v>3歳</v>
      </c>
      <c r="BR1103" s="8" t="str">
        <f aca="false">IF(A1103="","",IF(BA1103&lt;=1200,"～1200",IF(BA1103&lt;=1500,"1300～1500",IF(BA1103=1600,"1600",IF(BA1103&lt;=1800,"1700～1800",IF(BA1103&lt;=2000,"1900～2000","2100以上"))))))</f>
        <v>1300～1500</v>
      </c>
      <c r="BS1103" s="8" t="str">
        <f aca="false">IF(A1103="","",IF(AX1103="G1","G1",IF(AX1103="G2","G2",IF(AX1103="G3","G3",IF(AX1103="L","L","その他")))))</f>
        <v>その他</v>
      </c>
      <c r="BT1103" s="8" t="str">
        <f aca="false">IF(A1103="","",IF(BI1103="","未結合",IF(D1103=BI1103,"一致","不一致")))</f>
        <v>一致</v>
      </c>
      <c r="BU1103" s="8" t="str">
        <f aca="false">IF(A1103="","",IF(BE1103="牝馬限定","牝馬限定","その他"))</f>
        <v>その他</v>
      </c>
    </row>
    <row r="1104" customFormat="false" ht="15.75" hidden="false" customHeight="false" outlineLevel="0" collapsed="false">
      <c r="A1104" s="6" t="n">
        <f aca="false">DATE(2026,5,2)</f>
        <v>46144</v>
      </c>
      <c r="B1104" s="4" t="s">
        <v>4473</v>
      </c>
      <c r="C1104" s="8" t="n">
        <v>6</v>
      </c>
      <c r="D1104" s="8" t="n">
        <v>7</v>
      </c>
      <c r="E1104" s="8" t="n">
        <v>6</v>
      </c>
      <c r="F1104" s="4" t="s">
        <v>1979</v>
      </c>
      <c r="G1104" s="8" t="n">
        <v>86</v>
      </c>
      <c r="H1104" s="8" t="n">
        <v>7</v>
      </c>
      <c r="I1104" s="4" t="s">
        <v>4063</v>
      </c>
      <c r="J1104" s="8" t="n">
        <v>81</v>
      </c>
      <c r="K1104" s="8" t="n">
        <v>4</v>
      </c>
      <c r="L1104" s="4" t="s">
        <v>5557</v>
      </c>
      <c r="M1104" s="8" t="n">
        <v>44</v>
      </c>
      <c r="N1104" s="8" t="n">
        <f aca="false">IF(A1104="","",G1104-J1104)</f>
        <v>5</v>
      </c>
      <c r="O1104" s="8" t="n">
        <f aca="false">IF(A1104="","",J1104-M1104)</f>
        <v>37</v>
      </c>
      <c r="P1104" s="8" t="n">
        <f aca="false">IF(A1104="","",G1104+J1104)</f>
        <v>167</v>
      </c>
      <c r="Q1104" s="8" t="str">
        <f aca="false">IF(A1104="","",IF(AND(Y1104&lt;&gt;"参考",G1104&gt;=ルール設定!$B$2),"○",""))</f>
        <v>○</v>
      </c>
      <c r="R1104" s="8" t="str">
        <f aca="false">IF(A1104="","",IF(AND(Y1104&lt;&gt;"参考",G1104&gt;=ルール設定!$B$3,N1104&gt;=ルール設定!$B$4),"○",""))</f>
        <v/>
      </c>
      <c r="S1104" s="8" t="str">
        <f aca="false">IF(A1104="","",IF(AND(Y1104&lt;&gt;"参考",G1104&gt;=ルール設定!$B$5,J1104&gt;=ルール設定!$B$6,O1104&gt;=ルール設定!$B$7),"○",""))</f>
        <v>○</v>
      </c>
      <c r="T1104" s="8" t="n">
        <v>1</v>
      </c>
      <c r="U1104" s="8" t="n">
        <v>2</v>
      </c>
      <c r="V1104" s="8" t="str">
        <f aca="false">IF(A1104="","",IF(AND(ISNUMBER(T1104),ISNUMBER(U1104)),IF(AND(T1104&lt;=3,U1104&lt;=3),"○","×"),""))</f>
        <v>○</v>
      </c>
      <c r="W1104" s="8" t="n">
        <v>110</v>
      </c>
      <c r="X1104" s="8" t="n">
        <v>110</v>
      </c>
      <c r="Y1104" s="4" t="s">
        <v>7597</v>
      </c>
      <c r="Z1104" s="8" t="s">
        <v>8111</v>
      </c>
      <c r="AA1104" s="8" t="str">
        <v>○</v>
      </c>
      <c r="AB1104" s="8" t="str">
        <v/>
      </c>
      <c r="AC1104" s="8" t="str">
        <v/>
      </c>
      <c r="AD1104" s="8" t="str">
        <v/>
      </c>
      <c r="AE1104" s="8" t="str">
        <v/>
      </c>
      <c r="AF1104" s="8" t="str">
        <v>○</v>
      </c>
      <c r="AG1104" s="8" t="str">
        <v>○</v>
      </c>
      <c r="AH1104" s="8" t="str">
        <v>○</v>
      </c>
      <c r="AI1104" s="8" t="n">
        <v>42</v>
      </c>
      <c r="AJ1104" s="8" t="str">
        <v>85以上</v>
      </c>
      <c r="AK1104" s="8" t="str">
        <v>5～9</v>
      </c>
      <c r="AL1104" s="8" t="str">
        <v>40以上</v>
      </c>
      <c r="AM1104" s="8" t="str">
        <v>160以上</v>
      </c>
      <c r="AN1104" s="8" t="str">
        <v>7以下</v>
      </c>
      <c r="AO1104" s="8" t="str">
        <f aca="false">IF(A1104="","",IF(COUNTIFS(全馬データ!$A$2:$A$50000,A1104,全馬データ!$B$2:$B$50000,B1104,全馬データ!$C$2:$C$50000,C1104,全馬データ!$D$2:$D$50000,E1104,全馬データ!$K$2:$K$50000,"&lt;&gt;")=0,"",SUMIFS(全馬データ!$K$2:$K$50000,全馬データ!$A$2:$A$50000,A1104,全馬データ!$B$2:$B$50000,B1104,全馬データ!$C$2:$C$50000,C1104,全馬データ!$D$2:$D$50000,E1104)))</f>
        <v/>
      </c>
      <c r="AP1104" s="8" t="str">
        <f aca="false">IF(A1104="","",IF(AO1104="","欠損",IF(AO1104&lt;=1.1,"1.0～1.1",IF(AO1104&lt;1.3,"1.2",IF(AO1104&lt;1.5,"1.3～1.4",IF(AO1104&lt;2,"1.5～1.9","2.0以上"))))))</f>
        <v>欠損</v>
      </c>
      <c r="AQ1104" s="8" t="str">
        <f aca="false">IF(A1104="","",IF(ISNUMBER(SEARCH("2歳",Z1104)),"2歳戦",IF(ISNUMBER(SEARCH("3歳未勝利",Z1104)),"3歳未勝利",IF(ISNUMBER(SEARCH("未勝利",Z1104)),"その他未勝利",IF(ISNUMBER(SEARCH("G1",Z1104)),"G1",IF(ISNUMBER(SEARCH("G2",Z1104)),"G2",IF(ISNUMBER(SEARCH("G3",Z1104)),"G3",IF(ISNUMBER(SEARCH("古馬条件",Z1104)),"古馬条件戦",IF(ISNUMBER(SEARCH("重賞",Z1104)),"重賞","分類不能")))))))))</f>
        <v>分類不能</v>
      </c>
      <c r="AR1104" s="8"/>
      <c r="AS1104" s="8" t="s">
        <v>7842</v>
      </c>
      <c r="AT1104" s="8" t="s">
        <v>7843</v>
      </c>
      <c r="AU1104" s="8" t="s">
        <v>7628</v>
      </c>
      <c r="AV1104" s="8" t="s">
        <v>7629</v>
      </c>
      <c r="AW1104" s="8"/>
      <c r="AX1104" s="8"/>
      <c r="AY1104" s="8" t="s">
        <v>7602</v>
      </c>
      <c r="AZ1104" s="4" t="s">
        <v>7603</v>
      </c>
      <c r="BA1104" s="8" t="n">
        <v>2000</v>
      </c>
      <c r="BB1104" s="8" t="s">
        <v>7598</v>
      </c>
      <c r="BC1104" s="4" t="s">
        <v>7604</v>
      </c>
      <c r="BD1104" s="8" t="s">
        <v>7605</v>
      </c>
      <c r="BE1104" s="4" t="s">
        <v>7606</v>
      </c>
      <c r="BF1104" s="8" t="s">
        <v>7607</v>
      </c>
      <c r="BG1104" s="8" t="s">
        <v>7631</v>
      </c>
      <c r="BH1104" s="4" t="s">
        <v>7632</v>
      </c>
      <c r="BI1104" s="8" t="n">
        <v>7</v>
      </c>
      <c r="BJ1104" s="8" t="s">
        <v>7610</v>
      </c>
      <c r="BK1104" s="4" t="s">
        <v>7611</v>
      </c>
      <c r="BL1104" s="8" t="s">
        <v>7602</v>
      </c>
      <c r="BM1104" s="4" t="s">
        <v>7620</v>
      </c>
      <c r="BN1104" s="8" t="s">
        <v>7602</v>
      </c>
      <c r="BO1104" s="8" t="s">
        <v>7613</v>
      </c>
      <c r="BP1104" s="8" t="s">
        <v>7602</v>
      </c>
      <c r="BQ1104" s="8" t="str">
        <f aca="false">IF(A1104="","",AT1104)</f>
        <v>4歳以上</v>
      </c>
      <c r="BR1104" s="8" t="str">
        <f aca="false">IF(A1104="","",IF(BA1104&lt;=1200,"～1200",IF(BA1104&lt;=1500,"1300～1500",IF(BA1104=1600,"1600",IF(BA1104&lt;=1800,"1700～1800",IF(BA1104&lt;=2000,"1900～2000","2100以上"))))))</f>
        <v>1900～2000</v>
      </c>
      <c r="BS1104" s="8" t="str">
        <f aca="false">IF(A1104="","",IF(AX1104="G1","G1",IF(AX1104="G2","G2",IF(AX1104="G3","G3",IF(AX1104="L","L","その他")))))</f>
        <v>その他</v>
      </c>
      <c r="BT1104" s="8" t="str">
        <f aca="false">IF(A1104="","",IF(BI1104="","未結合",IF(D1104=BI1104,"一致","不一致")))</f>
        <v>一致</v>
      </c>
      <c r="BU1104" s="8" t="str">
        <f aca="false">IF(A1104="","",IF(BE1104="牝馬限定","牝馬限定","その他"))</f>
        <v>その他</v>
      </c>
    </row>
    <row r="1105" customFormat="false" ht="15.75" hidden="false" customHeight="false" outlineLevel="0" collapsed="false">
      <c r="A1105" s="6" t="n">
        <f aca="false">DATE(2026,5,2)</f>
        <v>46144</v>
      </c>
      <c r="B1105" s="4" t="s">
        <v>4473</v>
      </c>
      <c r="C1105" s="8" t="n">
        <v>7</v>
      </c>
      <c r="D1105" s="8" t="n">
        <v>16</v>
      </c>
      <c r="E1105" s="8" t="n">
        <v>12</v>
      </c>
      <c r="F1105" s="4" t="s">
        <v>5858</v>
      </c>
      <c r="G1105" s="8" t="n">
        <v>50</v>
      </c>
      <c r="H1105" s="8" t="n">
        <v>3</v>
      </c>
      <c r="I1105" s="4" t="s">
        <v>1542</v>
      </c>
      <c r="J1105" s="8" t="n">
        <v>47</v>
      </c>
      <c r="K1105" s="8" t="n">
        <v>15</v>
      </c>
      <c r="L1105" s="4" t="s">
        <v>4452</v>
      </c>
      <c r="M1105" s="8" t="n">
        <v>47</v>
      </c>
      <c r="N1105" s="8" t="n">
        <f aca="false">IF(A1105="","",G1105-J1105)</f>
        <v>3</v>
      </c>
      <c r="O1105" s="8" t="n">
        <f aca="false">IF(A1105="","",J1105-M1105)</f>
        <v>0</v>
      </c>
      <c r="P1105" s="8" t="n">
        <f aca="false">IF(A1105="","",G1105+J1105)</f>
        <v>97</v>
      </c>
      <c r="Q1105" s="8" t="str">
        <f aca="false">IF(A1105="","",IF(AND(Y1105&lt;&gt;"参考",G1105&gt;=ルール設定!$B$2),"○",""))</f>
        <v/>
      </c>
      <c r="R1105" s="8" t="str">
        <f aca="false">IF(A1105="","",IF(AND(Y1105&lt;&gt;"参考",G1105&gt;=ルール設定!$B$3,N1105&gt;=ルール設定!$B$4),"○",""))</f>
        <v/>
      </c>
      <c r="S1105" s="8" t="str">
        <f aca="false">IF(A1105="","",IF(AND(Y1105&lt;&gt;"参考",G1105&gt;=ルール設定!$B$5,J1105&gt;=ルール設定!$B$6,O1105&gt;=ルール設定!$B$7),"○",""))</f>
        <v/>
      </c>
      <c r="T1105" s="8" t="n">
        <v>1</v>
      </c>
      <c r="U1105" s="8" t="n">
        <v>4</v>
      </c>
      <c r="V1105" s="8" t="str">
        <f aca="false">IF(A1105="","",IF(AND(ISNUMBER(T1105),ISNUMBER(U1105)),IF(AND(T1105&lt;=3,U1105&lt;=3),"○","×"),""))</f>
        <v>×</v>
      </c>
      <c r="W1105" s="8" t="n">
        <v>200</v>
      </c>
      <c r="X1105" s="8"/>
      <c r="Y1105" s="4" t="s">
        <v>7597</v>
      </c>
      <c r="Z1105" s="8" t="s">
        <v>8111</v>
      </c>
      <c r="AA1105" s="8" t="str">
        <v/>
      </c>
      <c r="AB1105" s="8" t="str">
        <v/>
      </c>
      <c r="AC1105" s="8" t="str">
        <v/>
      </c>
      <c r="AD1105" s="8" t="str">
        <v/>
      </c>
      <c r="AE1105" s="8" t="str">
        <v/>
      </c>
      <c r="AF1105" s="8" t="str">
        <v/>
      </c>
      <c r="AG1105" s="8" t="str">
        <v/>
      </c>
      <c r="AH1105" s="8" t="str">
        <v/>
      </c>
      <c r="AI1105" s="8" t="n">
        <v>3</v>
      </c>
      <c r="AJ1105" s="8" t="str">
        <v>～59</v>
      </c>
      <c r="AK1105" s="8" t="str">
        <v>0～4</v>
      </c>
      <c r="AL1105" s="8" t="str">
        <v>0～9</v>
      </c>
      <c r="AM1105" s="8" t="str">
        <v>～99</v>
      </c>
      <c r="AN1105" s="8" t="str">
        <v>15以上</v>
      </c>
      <c r="AO1105" s="8" t="str">
        <f aca="false">IF(A1105="","",IF(COUNTIFS(全馬データ!$A$2:$A$50000,A1105,全馬データ!$B$2:$B$50000,B1105,全馬データ!$C$2:$C$50000,C1105,全馬データ!$D$2:$D$50000,E1105,全馬データ!$K$2:$K$50000,"&lt;&gt;")=0,"",SUMIFS(全馬データ!$K$2:$K$50000,全馬データ!$A$2:$A$50000,A1105,全馬データ!$B$2:$B$50000,B1105,全馬データ!$C$2:$C$50000,C1105,全馬データ!$D$2:$D$50000,E1105)))</f>
        <v/>
      </c>
      <c r="AP1105" s="8" t="str">
        <f aca="false">IF(A1105="","",IF(AO1105="","欠損",IF(AO1105&lt;=1.1,"1.0～1.1",IF(AO1105&lt;1.3,"1.2",IF(AO1105&lt;1.5,"1.3～1.4",IF(AO1105&lt;2,"1.5～1.9","2.0以上"))))))</f>
        <v>欠損</v>
      </c>
      <c r="AQ1105" s="8" t="str">
        <f aca="false">IF(A1105="","",IF(ISNUMBER(SEARCH("2歳",Z1105)),"2歳戦",IF(ISNUMBER(SEARCH("3歳未勝利",Z1105)),"3歳未勝利",IF(ISNUMBER(SEARCH("未勝利",Z1105)),"その他未勝利",IF(ISNUMBER(SEARCH("G1",Z1105)),"G1",IF(ISNUMBER(SEARCH("G2",Z1105)),"G2",IF(ISNUMBER(SEARCH("G3",Z1105)),"G3",IF(ISNUMBER(SEARCH("古馬条件",Z1105)),"古馬条件戦",IF(ISNUMBER(SEARCH("重賞",Z1105)),"重賞","分類不能")))))))))</f>
        <v>分類不能</v>
      </c>
      <c r="AR1105" s="8"/>
      <c r="AS1105" s="8" t="s">
        <v>7842</v>
      </c>
      <c r="AT1105" s="8" t="s">
        <v>7843</v>
      </c>
      <c r="AU1105" s="8" t="s">
        <v>7628</v>
      </c>
      <c r="AV1105" s="8" t="s">
        <v>7629</v>
      </c>
      <c r="AW1105" s="8"/>
      <c r="AX1105" s="8"/>
      <c r="AY1105" s="8" t="s">
        <v>7610</v>
      </c>
      <c r="AZ1105" s="4" t="s">
        <v>7617</v>
      </c>
      <c r="BA1105" s="8" t="n">
        <v>1400</v>
      </c>
      <c r="BB1105" s="8" t="s">
        <v>7657</v>
      </c>
      <c r="BC1105" s="4" t="s">
        <v>7658</v>
      </c>
      <c r="BD1105" s="8" t="s">
        <v>7605</v>
      </c>
      <c r="BE1105" s="4" t="s">
        <v>7606</v>
      </c>
      <c r="BF1105" s="8" t="s">
        <v>7607</v>
      </c>
      <c r="BG1105" s="8" t="s">
        <v>7631</v>
      </c>
      <c r="BH1105" s="4" t="s">
        <v>7632</v>
      </c>
      <c r="BI1105" s="8" t="n">
        <v>16</v>
      </c>
      <c r="BJ1105" s="8" t="s">
        <v>7610</v>
      </c>
      <c r="BK1105" s="4" t="s">
        <v>7611</v>
      </c>
      <c r="BL1105" s="8" t="s">
        <v>7602</v>
      </c>
      <c r="BM1105" s="4" t="s">
        <v>7620</v>
      </c>
      <c r="BN1105" s="8"/>
      <c r="BO1105" s="8"/>
      <c r="BP1105" s="8" t="s">
        <v>7602</v>
      </c>
      <c r="BQ1105" s="8" t="str">
        <f aca="false">IF(A1105="","",AT1105)</f>
        <v>4歳以上</v>
      </c>
      <c r="BR1105" s="8" t="str">
        <f aca="false">IF(A1105="","",IF(BA1105&lt;=1200,"～1200",IF(BA1105&lt;=1500,"1300～1500",IF(BA1105=1600,"1600",IF(BA1105&lt;=1800,"1700～1800",IF(BA1105&lt;=2000,"1900～2000","2100以上"))))))</f>
        <v>1300～1500</v>
      </c>
      <c r="BS1105" s="8" t="str">
        <f aca="false">IF(A1105="","",IF(AX1105="G1","G1",IF(AX1105="G2","G2",IF(AX1105="G3","G3",IF(AX1105="L","L","その他")))))</f>
        <v>その他</v>
      </c>
      <c r="BT1105" s="8" t="str">
        <f aca="false">IF(A1105="","",IF(BI1105="","未結合",IF(D1105=BI1105,"一致","不一致")))</f>
        <v>一致</v>
      </c>
      <c r="BU1105" s="8" t="str">
        <f aca="false">IF(A1105="","",IF(BE1105="牝馬限定","牝馬限定","その他"))</f>
        <v>その他</v>
      </c>
    </row>
    <row r="1106" customFormat="false" ht="15.75" hidden="false" customHeight="false" outlineLevel="0" collapsed="false">
      <c r="A1106" s="6" t="n">
        <f aca="false">DATE(2026,5,2)</f>
        <v>46144</v>
      </c>
      <c r="B1106" s="4" t="s">
        <v>4473</v>
      </c>
      <c r="C1106" s="8" t="n">
        <v>8</v>
      </c>
      <c r="D1106" s="8" t="n">
        <v>10</v>
      </c>
      <c r="E1106" s="8" t="n">
        <v>5</v>
      </c>
      <c r="F1106" s="4" t="s">
        <v>7353</v>
      </c>
      <c r="G1106" s="8" t="n">
        <v>62</v>
      </c>
      <c r="H1106" s="8" t="n">
        <v>8</v>
      </c>
      <c r="I1106" s="4" t="s">
        <v>1982</v>
      </c>
      <c r="J1106" s="8" t="n">
        <v>47</v>
      </c>
      <c r="K1106" s="8" t="n">
        <v>4</v>
      </c>
      <c r="L1106" s="4" t="s">
        <v>7352</v>
      </c>
      <c r="M1106" s="8" t="n">
        <v>41</v>
      </c>
      <c r="N1106" s="8" t="n">
        <f aca="false">IF(A1106="","",G1106-J1106)</f>
        <v>15</v>
      </c>
      <c r="O1106" s="8" t="n">
        <f aca="false">IF(A1106="","",J1106-M1106)</f>
        <v>6</v>
      </c>
      <c r="P1106" s="8" t="n">
        <f aca="false">IF(A1106="","",G1106+J1106)</f>
        <v>109</v>
      </c>
      <c r="Q1106" s="8" t="str">
        <f aca="false">IF(A1106="","",IF(AND(Y1106&lt;&gt;"参考",G1106&gt;=ルール設定!$B$2),"○",""))</f>
        <v/>
      </c>
      <c r="R1106" s="8" t="str">
        <f aca="false">IF(A1106="","",IF(AND(Y1106&lt;&gt;"参考",G1106&gt;=ルール設定!$B$3,N1106&gt;=ルール設定!$B$4),"○",""))</f>
        <v/>
      </c>
      <c r="S1106" s="8" t="str">
        <f aca="false">IF(A1106="","",IF(AND(Y1106&lt;&gt;"参考",G1106&gt;=ルール設定!$B$5,J1106&gt;=ルール設定!$B$6,O1106&gt;=ルール設定!$B$7),"○",""))</f>
        <v/>
      </c>
      <c r="T1106" s="8" t="n">
        <v>1</v>
      </c>
      <c r="U1106" s="8" t="n">
        <v>4</v>
      </c>
      <c r="V1106" s="8" t="str">
        <f aca="false">IF(A1106="","",IF(AND(ISNUMBER(T1106),ISNUMBER(U1106)),IF(AND(T1106&lt;=3,U1106&lt;=3),"○","×"),""))</f>
        <v>×</v>
      </c>
      <c r="W1106" s="8" t="n">
        <v>110</v>
      </c>
      <c r="X1106" s="8"/>
      <c r="Y1106" s="4" t="s">
        <v>7597</v>
      </c>
      <c r="Z1106" s="8" t="s">
        <v>8111</v>
      </c>
      <c r="AA1106" s="8" t="str">
        <v/>
      </c>
      <c r="AB1106" s="8" t="str">
        <v/>
      </c>
      <c r="AC1106" s="8" t="str">
        <v/>
      </c>
      <c r="AD1106" s="8" t="str">
        <v/>
      </c>
      <c r="AE1106" s="8" t="str">
        <v/>
      </c>
      <c r="AF1106" s="8" t="str">
        <v/>
      </c>
      <c r="AG1106" s="8" t="str">
        <v/>
      </c>
      <c r="AH1106" s="8" t="str">
        <v/>
      </c>
      <c r="AI1106" s="8" t="n">
        <v>21</v>
      </c>
      <c r="AJ1106" s="8" t="str">
        <v>60～69</v>
      </c>
      <c r="AK1106" s="8" t="str">
        <v>10～19</v>
      </c>
      <c r="AL1106" s="8" t="str">
        <v>20～29</v>
      </c>
      <c r="AM1106" s="8" t="str">
        <v>100～119</v>
      </c>
      <c r="AN1106" s="8" t="str">
        <v>8～11</v>
      </c>
      <c r="AO1106" s="8" t="str">
        <f aca="false">IF(A1106="","",IF(COUNTIFS(全馬データ!$A$2:$A$50000,A1106,全馬データ!$B$2:$B$50000,B1106,全馬データ!$C$2:$C$50000,C1106,全馬データ!$D$2:$D$50000,E1106,全馬データ!$K$2:$K$50000,"&lt;&gt;")=0,"",SUMIFS(全馬データ!$K$2:$K$50000,全馬データ!$A$2:$A$50000,A1106,全馬データ!$B$2:$B$50000,B1106,全馬データ!$C$2:$C$50000,C1106,全馬データ!$D$2:$D$50000,E1106)))</f>
        <v/>
      </c>
      <c r="AP1106" s="8" t="str">
        <f aca="false">IF(A1106="","",IF(AO1106="","欠損",IF(AO1106&lt;=1.1,"1.0～1.1",IF(AO1106&lt;1.3,"1.2",IF(AO1106&lt;1.5,"1.3～1.4",IF(AO1106&lt;2,"1.5～1.9","2.0以上"))))))</f>
        <v>欠損</v>
      </c>
      <c r="AQ1106" s="8" t="str">
        <f aca="false">IF(A1106="","",IF(ISNUMBER(SEARCH("2歳",Z1106)),"2歳戦",IF(ISNUMBER(SEARCH("3歳未勝利",Z1106)),"3歳未勝利",IF(ISNUMBER(SEARCH("未勝利",Z1106)),"その他未勝利",IF(ISNUMBER(SEARCH("G1",Z1106)),"G1",IF(ISNUMBER(SEARCH("G2",Z1106)),"G2",IF(ISNUMBER(SEARCH("G3",Z1106)),"G3",IF(ISNUMBER(SEARCH("古馬条件",Z1106)),"古馬条件戦",IF(ISNUMBER(SEARCH("重賞",Z1106)),"重賞","分類不能")))))))))</f>
        <v>分類不能</v>
      </c>
      <c r="AR1106" s="8"/>
      <c r="AS1106" s="8" t="s">
        <v>7842</v>
      </c>
      <c r="AT1106" s="8" t="s">
        <v>7843</v>
      </c>
      <c r="AU1106" s="8" t="s">
        <v>7634</v>
      </c>
      <c r="AV1106" s="8" t="s">
        <v>7635</v>
      </c>
      <c r="AW1106" s="8"/>
      <c r="AX1106" s="8"/>
      <c r="AY1106" s="8" t="s">
        <v>7602</v>
      </c>
      <c r="AZ1106" s="4" t="s">
        <v>7603</v>
      </c>
      <c r="BA1106" s="8" t="n">
        <v>2400</v>
      </c>
      <c r="BB1106" s="8" t="s">
        <v>7598</v>
      </c>
      <c r="BC1106" s="4" t="s">
        <v>7604</v>
      </c>
      <c r="BD1106" s="8" t="s">
        <v>7630</v>
      </c>
      <c r="BE1106" s="4" t="s">
        <v>7606</v>
      </c>
      <c r="BF1106" s="8" t="s">
        <v>7607</v>
      </c>
      <c r="BG1106" s="8" t="s">
        <v>7631</v>
      </c>
      <c r="BH1106" s="4" t="s">
        <v>7632</v>
      </c>
      <c r="BI1106" s="8" t="n">
        <v>10</v>
      </c>
      <c r="BJ1106" s="8" t="s">
        <v>7610</v>
      </c>
      <c r="BK1106" s="4" t="s">
        <v>7611</v>
      </c>
      <c r="BL1106" s="8" t="s">
        <v>7602</v>
      </c>
      <c r="BM1106" s="4" t="s">
        <v>7620</v>
      </c>
      <c r="BN1106" s="8" t="s">
        <v>7602</v>
      </c>
      <c r="BO1106" s="8" t="s">
        <v>7613</v>
      </c>
      <c r="BP1106" s="8" t="s">
        <v>7602</v>
      </c>
      <c r="BQ1106" s="8" t="str">
        <f aca="false">IF(A1106="","",AT1106)</f>
        <v>4歳以上</v>
      </c>
      <c r="BR1106" s="8" t="str">
        <f aca="false">IF(A1106="","",IF(BA1106&lt;=1200,"～1200",IF(BA1106&lt;=1500,"1300～1500",IF(BA1106=1600,"1600",IF(BA1106&lt;=1800,"1700～1800",IF(BA1106&lt;=2000,"1900～2000","2100以上"))))))</f>
        <v>2100以上</v>
      </c>
      <c r="BS1106" s="8" t="str">
        <f aca="false">IF(A1106="","",IF(AX1106="G1","G1",IF(AX1106="G2","G2",IF(AX1106="G3","G3",IF(AX1106="L","L","その他")))))</f>
        <v>その他</v>
      </c>
      <c r="BT1106" s="8" t="str">
        <f aca="false">IF(A1106="","",IF(BI1106="","未結合",IF(D1106=BI1106,"一致","不一致")))</f>
        <v>一致</v>
      </c>
      <c r="BU1106" s="8" t="str">
        <f aca="false">IF(A1106="","",IF(BE1106="牝馬限定","牝馬限定","その他"))</f>
        <v>その他</v>
      </c>
    </row>
    <row r="1107" customFormat="false" ht="15.75" hidden="false" customHeight="false" outlineLevel="0" collapsed="false">
      <c r="A1107" s="6" t="n">
        <f aca="false">DATE(2026,5,2)</f>
        <v>46144</v>
      </c>
      <c r="B1107" s="4" t="s">
        <v>4473</v>
      </c>
      <c r="C1107" s="8" t="n">
        <v>9</v>
      </c>
      <c r="D1107" s="8" t="n">
        <v>16</v>
      </c>
      <c r="E1107" s="8" t="n">
        <v>12</v>
      </c>
      <c r="F1107" s="4" t="s">
        <v>5490</v>
      </c>
      <c r="G1107" s="8" t="n">
        <v>52</v>
      </c>
      <c r="H1107" s="8" t="n">
        <v>14</v>
      </c>
      <c r="I1107" s="4" t="s">
        <v>4200</v>
      </c>
      <c r="J1107" s="8" t="n">
        <v>52</v>
      </c>
      <c r="K1107" s="8" t="n">
        <v>2</v>
      </c>
      <c r="L1107" s="4" t="s">
        <v>5653</v>
      </c>
      <c r="M1107" s="8" t="n">
        <v>37</v>
      </c>
      <c r="N1107" s="8" t="n">
        <f aca="false">IF(A1107="","",G1107-J1107)</f>
        <v>0</v>
      </c>
      <c r="O1107" s="8" t="n">
        <f aca="false">IF(A1107="","",J1107-M1107)</f>
        <v>15</v>
      </c>
      <c r="P1107" s="8" t="n">
        <f aca="false">IF(A1107="","",G1107+J1107)</f>
        <v>104</v>
      </c>
      <c r="Q1107" s="8" t="str">
        <f aca="false">IF(A1107="","",IF(AND(Y1107&lt;&gt;"参考",G1107&gt;=ルール設定!$B$2),"○",""))</f>
        <v/>
      </c>
      <c r="R1107" s="8" t="str">
        <f aca="false">IF(A1107="","",IF(AND(Y1107&lt;&gt;"参考",G1107&gt;=ルール設定!$B$3,N1107&gt;=ルール設定!$B$4),"○",""))</f>
        <v/>
      </c>
      <c r="S1107" s="8" t="str">
        <f aca="false">IF(A1107="","",IF(AND(Y1107&lt;&gt;"参考",G1107&gt;=ルール設定!$B$5,J1107&gt;=ルール設定!$B$6,O1107&gt;=ルール設定!$B$7),"○",""))</f>
        <v/>
      </c>
      <c r="T1107" s="8" t="n">
        <v>1</v>
      </c>
      <c r="U1107" s="8" t="n">
        <v>3</v>
      </c>
      <c r="V1107" s="8" t="str">
        <f aca="false">IF(A1107="","",IF(AND(ISNUMBER(T1107),ISNUMBER(U1107)),IF(AND(T1107&lt;=3,U1107&lt;=3),"○","×"),""))</f>
        <v>○</v>
      </c>
      <c r="W1107" s="8" t="n">
        <v>150</v>
      </c>
      <c r="X1107" s="8" t="n">
        <v>210</v>
      </c>
      <c r="Y1107" s="4" t="s">
        <v>7597</v>
      </c>
      <c r="Z1107" s="8" t="s">
        <v>8111</v>
      </c>
      <c r="AA1107" s="8" t="str">
        <v/>
      </c>
      <c r="AB1107" s="8" t="str">
        <v/>
      </c>
      <c r="AC1107" s="8" t="str">
        <v/>
      </c>
      <c r="AD1107" s="8" t="str">
        <v/>
      </c>
      <c r="AE1107" s="8" t="str">
        <v/>
      </c>
      <c r="AF1107" s="8" t="str">
        <v/>
      </c>
      <c r="AG1107" s="8" t="str">
        <v/>
      </c>
      <c r="AH1107" s="8" t="str">
        <v/>
      </c>
      <c r="AI1107" s="8" t="n">
        <v>15</v>
      </c>
      <c r="AJ1107" s="8" t="str">
        <v>～59</v>
      </c>
      <c r="AK1107" s="8" t="str">
        <v>0～4</v>
      </c>
      <c r="AL1107" s="8" t="str">
        <v>10～19</v>
      </c>
      <c r="AM1107" s="8" t="str">
        <v>100～119</v>
      </c>
      <c r="AN1107" s="8" t="str">
        <v>15以上</v>
      </c>
      <c r="AO1107" s="8" t="str">
        <f aca="false">IF(A1107="","",IF(COUNTIFS(全馬データ!$A$2:$A$50000,A1107,全馬データ!$B$2:$B$50000,B1107,全馬データ!$C$2:$C$50000,C1107,全馬データ!$D$2:$D$50000,E1107,全馬データ!$K$2:$K$50000,"&lt;&gt;")=0,"",SUMIFS(全馬データ!$K$2:$K$50000,全馬データ!$A$2:$A$50000,A1107,全馬データ!$B$2:$B$50000,B1107,全馬データ!$C$2:$C$50000,C1107,全馬データ!$D$2:$D$50000,E1107)))</f>
        <v/>
      </c>
      <c r="AP1107" s="8" t="str">
        <f aca="false">IF(A1107="","",IF(AO1107="","欠損",IF(AO1107&lt;=1.1,"1.0～1.1",IF(AO1107&lt;1.3,"1.2",IF(AO1107&lt;1.5,"1.3～1.4",IF(AO1107&lt;2,"1.5～1.9","2.0以上"))))))</f>
        <v>欠損</v>
      </c>
      <c r="AQ1107" s="8" t="str">
        <f aca="false">IF(A1107="","",IF(ISNUMBER(SEARCH("2歳",Z1107)),"2歳戦",IF(ISNUMBER(SEARCH("3歳未勝利",Z1107)),"3歳未勝利",IF(ISNUMBER(SEARCH("未勝利",Z1107)),"その他未勝利",IF(ISNUMBER(SEARCH("G1",Z1107)),"G1",IF(ISNUMBER(SEARCH("G2",Z1107)),"G2",IF(ISNUMBER(SEARCH("G3",Z1107)),"G3",IF(ISNUMBER(SEARCH("古馬条件",Z1107)),"古馬条件戦",IF(ISNUMBER(SEARCH("重賞",Z1107)),"重賞","分類不能")))))))))</f>
        <v>分類不能</v>
      </c>
      <c r="AR1107" s="4" t="s">
        <v>8152</v>
      </c>
      <c r="AS1107" s="8" t="s">
        <v>7842</v>
      </c>
      <c r="AT1107" s="8" t="s">
        <v>7843</v>
      </c>
      <c r="AU1107" s="8" t="s">
        <v>7639</v>
      </c>
      <c r="AV1107" s="8" t="s">
        <v>7640</v>
      </c>
      <c r="AW1107" s="8" t="s">
        <v>7636</v>
      </c>
      <c r="AX1107" s="4" t="s">
        <v>7637</v>
      </c>
      <c r="AY1107" s="8" t="s">
        <v>7610</v>
      </c>
      <c r="AZ1107" s="4" t="s">
        <v>7617</v>
      </c>
      <c r="BA1107" s="8" t="n">
        <v>2100</v>
      </c>
      <c r="BB1107" s="8" t="s">
        <v>7659</v>
      </c>
      <c r="BC1107" s="4" t="s">
        <v>7619</v>
      </c>
      <c r="BD1107" s="8" t="s">
        <v>7630</v>
      </c>
      <c r="BE1107" s="4" t="s">
        <v>7606</v>
      </c>
      <c r="BF1107" s="8" t="s">
        <v>7607</v>
      </c>
      <c r="BG1107" s="8" t="s">
        <v>7631</v>
      </c>
      <c r="BH1107" s="4" t="s">
        <v>7632</v>
      </c>
      <c r="BI1107" s="8" t="n">
        <v>16</v>
      </c>
      <c r="BJ1107" s="8" t="s">
        <v>7610</v>
      </c>
      <c r="BK1107" s="4" t="s">
        <v>7611</v>
      </c>
      <c r="BL1107" s="8" t="s">
        <v>7602</v>
      </c>
      <c r="BM1107" s="4" t="s">
        <v>7620</v>
      </c>
      <c r="BN1107" s="8"/>
      <c r="BO1107" s="8"/>
      <c r="BP1107" s="8" t="s">
        <v>7602</v>
      </c>
      <c r="BQ1107" s="8" t="str">
        <f aca="false">IF(A1107="","",AT1107)</f>
        <v>4歳以上</v>
      </c>
      <c r="BR1107" s="8" t="str">
        <f aca="false">IF(A1107="","",IF(BA1107&lt;=1200,"～1200",IF(BA1107&lt;=1500,"1300～1500",IF(BA1107=1600,"1600",IF(BA1107&lt;=1800,"1700～1800",IF(BA1107&lt;=2000,"1900～2000","2100以上"))))))</f>
        <v>2100以上</v>
      </c>
      <c r="BS1107" s="8" t="str">
        <f aca="false">IF(A1107="","",IF(AX1107="G1","G1",IF(AX1107="G2","G2",IF(AX1107="G3","G3",IF(AX1107="L","L","その他")))))</f>
        <v>その他</v>
      </c>
      <c r="BT1107" s="8" t="str">
        <f aca="false">IF(A1107="","",IF(BI1107="","未結合",IF(D1107=BI1107,"一致","不一致")))</f>
        <v>一致</v>
      </c>
      <c r="BU1107" s="8" t="str">
        <f aca="false">IF(A1107="","",IF(BE1107="牝馬限定","牝馬限定","その他"))</f>
        <v>その他</v>
      </c>
    </row>
    <row r="1108" customFormat="false" ht="15.75" hidden="false" customHeight="false" outlineLevel="0" collapsed="false">
      <c r="A1108" s="6" t="n">
        <f aca="false">DATE(2026,5,2)</f>
        <v>46144</v>
      </c>
      <c r="B1108" s="4" t="s">
        <v>4473</v>
      </c>
      <c r="C1108" s="8" t="n">
        <v>10</v>
      </c>
      <c r="D1108" s="8" t="n">
        <v>11</v>
      </c>
      <c r="E1108" s="8" t="n">
        <v>8</v>
      </c>
      <c r="F1108" s="4" t="s">
        <v>7363</v>
      </c>
      <c r="G1108" s="8" t="n">
        <v>52</v>
      </c>
      <c r="H1108" s="8" t="n">
        <v>2</v>
      </c>
      <c r="I1108" s="4" t="s">
        <v>1951</v>
      </c>
      <c r="J1108" s="8" t="n">
        <v>50</v>
      </c>
      <c r="K1108" s="8" t="n">
        <v>11</v>
      </c>
      <c r="L1108" s="4" t="s">
        <v>7364</v>
      </c>
      <c r="M1108" s="8" t="n">
        <v>50</v>
      </c>
      <c r="N1108" s="8" t="n">
        <f aca="false">IF(A1108="","",G1108-J1108)</f>
        <v>2</v>
      </c>
      <c r="O1108" s="8" t="n">
        <f aca="false">IF(A1108="","",J1108-M1108)</f>
        <v>0</v>
      </c>
      <c r="P1108" s="8" t="n">
        <f aca="false">IF(A1108="","",G1108+J1108)</f>
        <v>102</v>
      </c>
      <c r="Q1108" s="8" t="str">
        <f aca="false">IF(A1108="","",IF(AND(Y1108&lt;&gt;"参考",G1108&gt;=ルール設定!$B$2),"○",""))</f>
        <v/>
      </c>
      <c r="R1108" s="8" t="str">
        <f aca="false">IF(A1108="","",IF(AND(Y1108&lt;&gt;"参考",G1108&gt;=ルール設定!$B$3,N1108&gt;=ルール設定!$B$4),"○",""))</f>
        <v/>
      </c>
      <c r="S1108" s="8" t="str">
        <f aca="false">IF(A1108="","",IF(AND(Y1108&lt;&gt;"参考",G1108&gt;=ルール設定!$B$5,J1108&gt;=ルール設定!$B$6,O1108&gt;=ルール設定!$B$7),"○",""))</f>
        <v/>
      </c>
      <c r="T1108" s="8" t="n">
        <v>4</v>
      </c>
      <c r="U1108" s="8" t="n">
        <v>3</v>
      </c>
      <c r="V1108" s="8" t="str">
        <f aca="false">IF(A1108="","",IF(AND(ISNUMBER(T1108),ISNUMBER(U1108)),IF(AND(T1108&lt;=3,U1108&lt;=3),"○","×"),""))</f>
        <v>×</v>
      </c>
      <c r="W1108" s="8"/>
      <c r="X1108" s="8"/>
      <c r="Y1108" s="4" t="s">
        <v>7597</v>
      </c>
      <c r="Z1108" s="8" t="s">
        <v>8111</v>
      </c>
      <c r="AA1108" s="8" t="str">
        <v/>
      </c>
      <c r="AB1108" s="8" t="str">
        <v/>
      </c>
      <c r="AC1108" s="8" t="str">
        <v/>
      </c>
      <c r="AD1108" s="8" t="str">
        <v/>
      </c>
      <c r="AE1108" s="8" t="str">
        <v/>
      </c>
      <c r="AF1108" s="8" t="str">
        <v/>
      </c>
      <c r="AG1108" s="8" t="str">
        <v/>
      </c>
      <c r="AH1108" s="8" t="str">
        <v/>
      </c>
      <c r="AI1108" s="8" t="n">
        <v>2</v>
      </c>
      <c r="AJ1108" s="8" t="str">
        <v>～59</v>
      </c>
      <c r="AK1108" s="8" t="str">
        <v>0～4</v>
      </c>
      <c r="AL1108" s="8" t="str">
        <v>0～9</v>
      </c>
      <c r="AM1108" s="8" t="str">
        <v>100～119</v>
      </c>
      <c r="AN1108" s="8" t="str">
        <v>8～11</v>
      </c>
      <c r="AO1108" s="8" t="str">
        <f aca="false">IF(A1108="","",IF(COUNTIFS(全馬データ!$A$2:$A$50000,A1108,全馬データ!$B$2:$B$50000,B1108,全馬データ!$C$2:$C$50000,C1108,全馬データ!$D$2:$D$50000,E1108,全馬データ!$K$2:$K$50000,"&lt;&gt;")=0,"",SUMIFS(全馬データ!$K$2:$K$50000,全馬データ!$A$2:$A$50000,A1108,全馬データ!$B$2:$B$50000,B1108,全馬データ!$C$2:$C$50000,C1108,全馬データ!$D$2:$D$50000,E1108)))</f>
        <v/>
      </c>
      <c r="AP1108" s="8" t="str">
        <f aca="false">IF(A1108="","",IF(AO1108="","欠損",IF(AO1108&lt;=1.1,"1.0～1.1",IF(AO1108&lt;1.3,"1.2",IF(AO1108&lt;1.5,"1.3～1.4",IF(AO1108&lt;2,"1.5～1.9","2.0以上"))))))</f>
        <v>欠損</v>
      </c>
      <c r="AQ1108" s="8" t="str">
        <f aca="false">IF(A1108="","",IF(ISNUMBER(SEARCH("2歳",Z1108)),"2歳戦",IF(ISNUMBER(SEARCH("3歳未勝利",Z1108)),"3歳未勝利",IF(ISNUMBER(SEARCH("未勝利",Z1108)),"その他未勝利",IF(ISNUMBER(SEARCH("G1",Z1108)),"G1",IF(ISNUMBER(SEARCH("G2",Z1108)),"G2",IF(ISNUMBER(SEARCH("G3",Z1108)),"G3",IF(ISNUMBER(SEARCH("古馬条件",Z1108)),"古馬条件戦",IF(ISNUMBER(SEARCH("重賞",Z1108)),"重賞","分類不能")))))))))</f>
        <v>分類不能</v>
      </c>
      <c r="AR1108" s="4" t="s">
        <v>8153</v>
      </c>
      <c r="AS1108" s="8" t="s">
        <v>7623</v>
      </c>
      <c r="AT1108" s="8" t="s">
        <v>7624</v>
      </c>
      <c r="AU1108" s="8" t="s">
        <v>7643</v>
      </c>
      <c r="AV1108" s="4" t="s">
        <v>7644</v>
      </c>
      <c r="AW1108" s="8" t="s">
        <v>7676</v>
      </c>
      <c r="AX1108" s="8" t="s">
        <v>7677</v>
      </c>
      <c r="AY1108" s="8" t="s">
        <v>7602</v>
      </c>
      <c r="AZ1108" s="4" t="s">
        <v>7603</v>
      </c>
      <c r="BA1108" s="8" t="n">
        <v>1800</v>
      </c>
      <c r="BB1108" s="8" t="s">
        <v>7598</v>
      </c>
      <c r="BC1108" s="4" t="s">
        <v>7604</v>
      </c>
      <c r="BD1108" s="8" t="s">
        <v>7860</v>
      </c>
      <c r="BE1108" s="4" t="s">
        <v>7622</v>
      </c>
      <c r="BF1108" s="8" t="s">
        <v>7602</v>
      </c>
      <c r="BG1108" s="8" t="s">
        <v>7608</v>
      </c>
      <c r="BH1108" s="4" t="s">
        <v>7609</v>
      </c>
      <c r="BI1108" s="8" t="n">
        <v>11</v>
      </c>
      <c r="BJ1108" s="8" t="s">
        <v>7610</v>
      </c>
      <c r="BK1108" s="4" t="s">
        <v>7611</v>
      </c>
      <c r="BL1108" s="8" t="s">
        <v>7602</v>
      </c>
      <c r="BM1108" s="4" t="s">
        <v>7620</v>
      </c>
      <c r="BN1108" s="8" t="s">
        <v>7602</v>
      </c>
      <c r="BO1108" s="8" t="s">
        <v>7613</v>
      </c>
      <c r="BP1108" s="8" t="s">
        <v>7602</v>
      </c>
      <c r="BQ1108" s="8" t="str">
        <f aca="false">IF(A1108="","",AT1108)</f>
        <v>3歳</v>
      </c>
      <c r="BR1108" s="8" t="str">
        <f aca="false">IF(A1108="","",IF(BA1108&lt;=1200,"～1200",IF(BA1108&lt;=1500,"1300～1500",IF(BA1108=1600,"1600",IF(BA1108&lt;=1800,"1700～1800",IF(BA1108&lt;=2000,"1900～2000","2100以上"))))))</f>
        <v>1700～1800</v>
      </c>
      <c r="BS1108" s="8" t="str">
        <f aca="false">IF(A1108="","",IF(AX1108="G1","G1",IF(AX1108="G2","G2",IF(AX1108="G3","G3",IF(AX1108="L","L","その他")))))</f>
        <v>L</v>
      </c>
      <c r="BT1108" s="8" t="str">
        <f aca="false">IF(A1108="","",IF(BI1108="","未結合",IF(D1108=BI1108,"一致","不一致")))</f>
        <v>一致</v>
      </c>
      <c r="BU1108" s="8" t="str">
        <f aca="false">IF(A1108="","",IF(BE1108="牝馬限定","牝馬限定","その他"))</f>
        <v>牝馬限定</v>
      </c>
    </row>
    <row r="1109" customFormat="false" ht="15.75" hidden="false" customHeight="false" outlineLevel="0" collapsed="false">
      <c r="A1109" s="6" t="n">
        <f aca="false">DATE(2026,5,2)</f>
        <v>46144</v>
      </c>
      <c r="B1109" s="4" t="s">
        <v>4473</v>
      </c>
      <c r="C1109" s="8" t="n">
        <v>11</v>
      </c>
      <c r="D1109" s="8" t="n">
        <v>18</v>
      </c>
      <c r="E1109" s="8" t="n">
        <v>16</v>
      </c>
      <c r="F1109" s="4" t="s">
        <v>4766</v>
      </c>
      <c r="G1109" s="8" t="n">
        <v>41</v>
      </c>
      <c r="H1109" s="8" t="n">
        <v>14</v>
      </c>
      <c r="I1109" s="4" t="s">
        <v>5221</v>
      </c>
      <c r="J1109" s="8" t="n">
        <v>37</v>
      </c>
      <c r="K1109" s="8" t="n">
        <v>13</v>
      </c>
      <c r="L1109" s="4" t="s">
        <v>4212</v>
      </c>
      <c r="M1109" s="8" t="n">
        <v>34</v>
      </c>
      <c r="N1109" s="8" t="n">
        <f aca="false">IF(A1109="","",G1109-J1109)</f>
        <v>4</v>
      </c>
      <c r="O1109" s="8" t="n">
        <f aca="false">IF(A1109="","",J1109-M1109)</f>
        <v>3</v>
      </c>
      <c r="P1109" s="8" t="n">
        <f aca="false">IF(A1109="","",G1109+J1109)</f>
        <v>78</v>
      </c>
      <c r="Q1109" s="8" t="str">
        <f aca="false">IF(A1109="","",IF(AND(Y1109&lt;&gt;"参考",G1109&gt;=ルール設定!$B$2),"○",""))</f>
        <v/>
      </c>
      <c r="R1109" s="8" t="str">
        <f aca="false">IF(A1109="","",IF(AND(Y1109&lt;&gt;"参考",G1109&gt;=ルール設定!$B$3,N1109&gt;=ルール設定!$B$4),"○",""))</f>
        <v/>
      </c>
      <c r="S1109" s="8" t="str">
        <f aca="false">IF(A1109="","",IF(AND(Y1109&lt;&gt;"参考",G1109&gt;=ルール設定!$B$5,J1109&gt;=ルール設定!$B$6,O1109&gt;=ルール設定!$B$7),"○",""))</f>
        <v/>
      </c>
      <c r="T1109" s="8" t="n">
        <v>1</v>
      </c>
      <c r="U1109" s="8" t="n">
        <v>3</v>
      </c>
      <c r="V1109" s="8" t="str">
        <f aca="false">IF(A1109="","",IF(AND(ISNUMBER(T1109),ISNUMBER(U1109)),IF(AND(T1109&lt;=3,U1109&lt;=3),"○","×"),""))</f>
        <v>○</v>
      </c>
      <c r="W1109" s="8" t="n">
        <v>270</v>
      </c>
      <c r="X1109" s="8" t="n">
        <v>1260</v>
      </c>
      <c r="Y1109" s="4" t="s">
        <v>7597</v>
      </c>
      <c r="Z1109" s="8" t="s">
        <v>8111</v>
      </c>
      <c r="AA1109" s="8" t="str">
        <v/>
      </c>
      <c r="AB1109" s="8" t="str">
        <v/>
      </c>
      <c r="AC1109" s="8" t="str">
        <v/>
      </c>
      <c r="AD1109" s="8" t="str">
        <v/>
      </c>
      <c r="AE1109" s="8" t="str">
        <v/>
      </c>
      <c r="AF1109" s="8" t="str">
        <v/>
      </c>
      <c r="AG1109" s="8" t="str">
        <v/>
      </c>
      <c r="AH1109" s="8" t="str">
        <v/>
      </c>
      <c r="AI1109" s="8" t="n">
        <v>7</v>
      </c>
      <c r="AJ1109" s="8" t="str">
        <v>～59</v>
      </c>
      <c r="AK1109" s="8" t="str">
        <v>0～4</v>
      </c>
      <c r="AL1109" s="8" t="str">
        <v>0～9</v>
      </c>
      <c r="AM1109" s="8" t="str">
        <v>～99</v>
      </c>
      <c r="AN1109" s="8" t="str">
        <v>15以上</v>
      </c>
      <c r="AO1109" s="8" t="str">
        <f aca="false">IF(A1109="","",IF(COUNTIFS(全馬データ!$A$2:$A$50000,A1109,全馬データ!$B$2:$B$50000,B1109,全馬データ!$C$2:$C$50000,C1109,全馬データ!$D$2:$D$50000,E1109,全馬データ!$K$2:$K$50000,"&lt;&gt;")=0,"",SUMIFS(全馬データ!$K$2:$K$50000,全馬データ!$A$2:$A$50000,A1109,全馬データ!$B$2:$B$50000,B1109,全馬データ!$C$2:$C$50000,C1109,全馬データ!$D$2:$D$50000,E1109)))</f>
        <v/>
      </c>
      <c r="AP1109" s="8" t="str">
        <f aca="false">IF(A1109="","",IF(AO1109="","欠損",IF(AO1109&lt;=1.1,"1.0～1.1",IF(AO1109&lt;1.3,"1.2",IF(AO1109&lt;1.5,"1.3～1.4",IF(AO1109&lt;2,"1.5～1.9","2.0以上"))))))</f>
        <v>欠損</v>
      </c>
      <c r="AQ1109" s="8" t="str">
        <f aca="false">IF(A1109="","",IF(ISNUMBER(SEARCH("2歳",Z1109)),"2歳戦",IF(ISNUMBER(SEARCH("3歳未勝利",Z1109)),"3歳未勝利",IF(ISNUMBER(SEARCH("未勝利",Z1109)),"その他未勝利",IF(ISNUMBER(SEARCH("G1",Z1109)),"G1",IF(ISNUMBER(SEARCH("G2",Z1109)),"G2",IF(ISNUMBER(SEARCH("G3",Z1109)),"G3",IF(ISNUMBER(SEARCH("古馬条件",Z1109)),"古馬条件戦",IF(ISNUMBER(SEARCH("重賞",Z1109)),"重賞","分類不能")))))))))</f>
        <v>分類不能</v>
      </c>
      <c r="AR1109" s="4" t="s">
        <v>8154</v>
      </c>
      <c r="AS1109" s="8" t="s">
        <v>7842</v>
      </c>
      <c r="AT1109" s="8" t="s">
        <v>7843</v>
      </c>
      <c r="AU1109" s="8" t="s">
        <v>7643</v>
      </c>
      <c r="AV1109" s="4" t="s">
        <v>7644</v>
      </c>
      <c r="AW1109" s="8" t="s">
        <v>7610</v>
      </c>
      <c r="AX1109" s="8" t="s">
        <v>7881</v>
      </c>
      <c r="AY1109" s="8" t="s">
        <v>7602</v>
      </c>
      <c r="AZ1109" s="4" t="s">
        <v>7603</v>
      </c>
      <c r="BA1109" s="8" t="n">
        <v>1400</v>
      </c>
      <c r="BB1109" s="8" t="s">
        <v>7598</v>
      </c>
      <c r="BC1109" s="4" t="s">
        <v>7604</v>
      </c>
      <c r="BD1109" s="8" t="s">
        <v>7672</v>
      </c>
      <c r="BE1109" s="4" t="s">
        <v>7606</v>
      </c>
      <c r="BF1109" s="8" t="s">
        <v>7607</v>
      </c>
      <c r="BG1109" s="8" t="s">
        <v>7610</v>
      </c>
      <c r="BH1109" s="4" t="s">
        <v>7646</v>
      </c>
      <c r="BI1109" s="8" t="n">
        <v>18</v>
      </c>
      <c r="BJ1109" s="8" t="s">
        <v>7610</v>
      </c>
      <c r="BK1109" s="4" t="s">
        <v>7611</v>
      </c>
      <c r="BL1109" s="8" t="s">
        <v>7602</v>
      </c>
      <c r="BM1109" s="4" t="s">
        <v>7620</v>
      </c>
      <c r="BN1109" s="8" t="s">
        <v>7602</v>
      </c>
      <c r="BO1109" s="8" t="s">
        <v>7613</v>
      </c>
      <c r="BP1109" s="8" t="s">
        <v>7602</v>
      </c>
      <c r="BQ1109" s="8" t="str">
        <f aca="false">IF(A1109="","",AT1109)</f>
        <v>4歳以上</v>
      </c>
      <c r="BR1109" s="8" t="str">
        <f aca="false">IF(A1109="","",IF(BA1109&lt;=1200,"～1200",IF(BA1109&lt;=1500,"1300～1500",IF(BA1109=1600,"1600",IF(BA1109&lt;=1800,"1700～1800",IF(BA1109&lt;=2000,"1900～2000","2100以上"))))))</f>
        <v>1300～1500</v>
      </c>
      <c r="BS1109" s="8" t="str">
        <f aca="false">IF(A1109="","",IF(AX1109="G1","G1",IF(AX1109="G2","G2",IF(AX1109="G3","G3",IF(AX1109="L","L","その他")))))</f>
        <v>G2</v>
      </c>
      <c r="BT1109" s="8" t="str">
        <f aca="false">IF(A1109="","",IF(BI1109="","未結合",IF(D1109=BI1109,"一致","不一致")))</f>
        <v>一致</v>
      </c>
      <c r="BU1109" s="8" t="str">
        <f aca="false">IF(A1109="","",IF(BE1109="牝馬限定","牝馬限定","その他"))</f>
        <v>その他</v>
      </c>
    </row>
    <row r="1110" customFormat="false" ht="15.75" hidden="false" customHeight="false" outlineLevel="0" collapsed="false">
      <c r="A1110" s="6" t="n">
        <f aca="false">DATE(2026,5,2)</f>
        <v>46144</v>
      </c>
      <c r="B1110" s="4" t="s">
        <v>4473</v>
      </c>
      <c r="C1110" s="8" t="n">
        <v>12</v>
      </c>
      <c r="D1110" s="8" t="n">
        <v>14</v>
      </c>
      <c r="E1110" s="8" t="n">
        <v>2</v>
      </c>
      <c r="F1110" s="4" t="s">
        <v>7368</v>
      </c>
      <c r="G1110" s="8" t="n">
        <v>58</v>
      </c>
      <c r="H1110" s="8" t="n">
        <v>5</v>
      </c>
      <c r="I1110" s="4" t="s">
        <v>4960</v>
      </c>
      <c r="J1110" s="8" t="n">
        <v>50</v>
      </c>
      <c r="K1110" s="8" t="n">
        <v>7</v>
      </c>
      <c r="L1110" s="4" t="s">
        <v>463</v>
      </c>
      <c r="M1110" s="8" t="n">
        <v>37</v>
      </c>
      <c r="N1110" s="8" t="n">
        <f aca="false">IF(A1110="","",G1110-J1110)</f>
        <v>8</v>
      </c>
      <c r="O1110" s="8" t="n">
        <f aca="false">IF(A1110="","",J1110-M1110)</f>
        <v>13</v>
      </c>
      <c r="P1110" s="8" t="n">
        <f aca="false">IF(A1110="","",G1110+J1110)</f>
        <v>108</v>
      </c>
      <c r="Q1110" s="8" t="str">
        <f aca="false">IF(A1110="","",IF(AND(Y1110&lt;&gt;"参考",G1110&gt;=ルール設定!$B$2),"○",""))</f>
        <v/>
      </c>
      <c r="R1110" s="8" t="str">
        <f aca="false">IF(A1110="","",IF(AND(Y1110&lt;&gt;"参考",G1110&gt;=ルール設定!$B$3,N1110&gt;=ルール設定!$B$4),"○",""))</f>
        <v/>
      </c>
      <c r="S1110" s="8" t="str">
        <f aca="false">IF(A1110="","",IF(AND(Y1110&lt;&gt;"参考",G1110&gt;=ルール設定!$B$5,J1110&gt;=ルール設定!$B$6,O1110&gt;=ルール設定!$B$7),"○",""))</f>
        <v/>
      </c>
      <c r="T1110" s="8" t="n">
        <v>2</v>
      </c>
      <c r="U1110" s="8" t="n">
        <v>1</v>
      </c>
      <c r="V1110" s="8" t="str">
        <f aca="false">IF(A1110="","",IF(AND(ISNUMBER(T1110),ISNUMBER(U1110)),IF(AND(T1110&lt;=3,U1110&lt;=3),"○","×"),""))</f>
        <v>○</v>
      </c>
      <c r="W1110" s="8" t="n">
        <v>110</v>
      </c>
      <c r="X1110" s="8" t="n">
        <v>190</v>
      </c>
      <c r="Y1110" s="4" t="s">
        <v>7597</v>
      </c>
      <c r="Z1110" s="8" t="s">
        <v>8111</v>
      </c>
      <c r="AA1110" s="8" t="str">
        <v/>
      </c>
      <c r="AB1110" s="8" t="str">
        <v/>
      </c>
      <c r="AC1110" s="8" t="str">
        <v/>
      </c>
      <c r="AD1110" s="8" t="str">
        <v/>
      </c>
      <c r="AE1110" s="8" t="str">
        <v/>
      </c>
      <c r="AF1110" s="8" t="str">
        <v/>
      </c>
      <c r="AG1110" s="8" t="str">
        <v/>
      </c>
      <c r="AH1110" s="8" t="str">
        <v/>
      </c>
      <c r="AI1110" s="8" t="n">
        <v>21</v>
      </c>
      <c r="AJ1110" s="8" t="str">
        <v>～59</v>
      </c>
      <c r="AK1110" s="8" t="str">
        <v>5～9</v>
      </c>
      <c r="AL1110" s="8" t="str">
        <v>20～29</v>
      </c>
      <c r="AM1110" s="8" t="str">
        <v>100～119</v>
      </c>
      <c r="AN1110" s="8" t="str">
        <v>12～14</v>
      </c>
      <c r="AO1110" s="8" t="str">
        <f aca="false">IF(A1110="","",IF(COUNTIFS(全馬データ!$A$2:$A$50000,A1110,全馬データ!$B$2:$B$50000,B1110,全馬データ!$C$2:$C$50000,C1110,全馬データ!$D$2:$D$50000,E1110,全馬データ!$K$2:$K$50000,"&lt;&gt;")=0,"",SUMIFS(全馬データ!$K$2:$K$50000,全馬データ!$A$2:$A$50000,A1110,全馬データ!$B$2:$B$50000,B1110,全馬データ!$C$2:$C$50000,C1110,全馬データ!$D$2:$D$50000,E1110)))</f>
        <v/>
      </c>
      <c r="AP1110" s="8" t="str">
        <f aca="false">IF(A1110="","",IF(AO1110="","欠損",IF(AO1110&lt;=1.1,"1.0～1.1",IF(AO1110&lt;1.3,"1.2",IF(AO1110&lt;1.5,"1.3～1.4",IF(AO1110&lt;2,"1.5～1.9","2.0以上"))))))</f>
        <v>欠損</v>
      </c>
      <c r="AQ1110" s="8" t="str">
        <f aca="false">IF(A1110="","",IF(ISNUMBER(SEARCH("2歳",Z1110)),"2歳戦",IF(ISNUMBER(SEARCH("3歳未勝利",Z1110)),"3歳未勝利",IF(ISNUMBER(SEARCH("未勝利",Z1110)),"その他未勝利",IF(ISNUMBER(SEARCH("G1",Z1110)),"G1",IF(ISNUMBER(SEARCH("G2",Z1110)),"G2",IF(ISNUMBER(SEARCH("G3",Z1110)),"G3",IF(ISNUMBER(SEARCH("古馬条件",Z1110)),"古馬条件戦",IF(ISNUMBER(SEARCH("重賞",Z1110)),"重賞","分類不能")))))))))</f>
        <v>分類不能</v>
      </c>
      <c r="AR1110" s="8"/>
      <c r="AS1110" s="8" t="s">
        <v>7842</v>
      </c>
      <c r="AT1110" s="8" t="s">
        <v>7843</v>
      </c>
      <c r="AU1110" s="8" t="s">
        <v>7634</v>
      </c>
      <c r="AV1110" s="8" t="s">
        <v>7635</v>
      </c>
      <c r="AW1110" s="8"/>
      <c r="AX1110" s="8"/>
      <c r="AY1110" s="8" t="s">
        <v>7610</v>
      </c>
      <c r="AZ1110" s="4" t="s">
        <v>7617</v>
      </c>
      <c r="BA1110" s="8" t="n">
        <v>1600</v>
      </c>
      <c r="BB1110" s="8" t="s">
        <v>7618</v>
      </c>
      <c r="BC1110" s="4" t="s">
        <v>7619</v>
      </c>
      <c r="BD1110" s="8" t="s">
        <v>7690</v>
      </c>
      <c r="BE1110" s="4" t="s">
        <v>7606</v>
      </c>
      <c r="BF1110" s="8" t="s">
        <v>7607</v>
      </c>
      <c r="BG1110" s="8" t="s">
        <v>7631</v>
      </c>
      <c r="BH1110" s="4" t="s">
        <v>7632</v>
      </c>
      <c r="BI1110" s="8" t="n">
        <v>14</v>
      </c>
      <c r="BJ1110" s="8" t="s">
        <v>7610</v>
      </c>
      <c r="BK1110" s="4" t="s">
        <v>7611</v>
      </c>
      <c r="BL1110" s="8" t="s">
        <v>7602</v>
      </c>
      <c r="BM1110" s="4" t="s">
        <v>7620</v>
      </c>
      <c r="BN1110" s="8"/>
      <c r="BO1110" s="8"/>
      <c r="BP1110" s="8" t="s">
        <v>7602</v>
      </c>
      <c r="BQ1110" s="8" t="str">
        <f aca="false">IF(A1110="","",AT1110)</f>
        <v>4歳以上</v>
      </c>
      <c r="BR1110" s="8" t="str">
        <f aca="false">IF(A1110="","",IF(BA1110&lt;=1200,"～1200",IF(BA1110&lt;=1500,"1300～1500",IF(BA1110=1600,"1600",IF(BA1110&lt;=1800,"1700～1800",IF(BA1110&lt;=2000,"1900～2000","2100以上"))))))</f>
        <v>1600</v>
      </c>
      <c r="BS1110" s="8" t="str">
        <f aca="false">IF(A1110="","",IF(AX1110="G1","G1",IF(AX1110="G2","G2",IF(AX1110="G3","G3",IF(AX1110="L","L","その他")))))</f>
        <v>その他</v>
      </c>
      <c r="BT1110" s="8" t="str">
        <f aca="false">IF(A1110="","",IF(BI1110="","未結合",IF(D1110=BI1110,"一致","不一致")))</f>
        <v>一致</v>
      </c>
      <c r="BU1110" s="8" t="str">
        <f aca="false">IF(A1110="","",IF(BE1110="牝馬限定","牝馬限定","その他"))</f>
        <v>その他</v>
      </c>
    </row>
    <row r="1111" customFormat="false" ht="15.75" hidden="false" customHeight="false" outlineLevel="0" collapsed="false">
      <c r="A1111" s="6" t="n">
        <f aca="false">DATE(2026,5,3)</f>
        <v>46145</v>
      </c>
      <c r="B1111" s="4" t="s">
        <v>5435</v>
      </c>
      <c r="C1111" s="8" t="n">
        <v>1</v>
      </c>
      <c r="D1111" s="8" t="n">
        <v>16</v>
      </c>
      <c r="E1111" s="8" t="n">
        <v>6</v>
      </c>
      <c r="F1111" s="4" t="s">
        <v>1655</v>
      </c>
      <c r="G1111" s="8" t="n">
        <v>67</v>
      </c>
      <c r="H1111" s="8" t="n">
        <v>10</v>
      </c>
      <c r="I1111" s="4" t="s">
        <v>1796</v>
      </c>
      <c r="J1111" s="8" t="n">
        <v>56</v>
      </c>
      <c r="K1111" s="8" t="n">
        <v>9</v>
      </c>
      <c r="L1111" s="4" t="s">
        <v>6122</v>
      </c>
      <c r="M1111" s="8" t="n">
        <v>44</v>
      </c>
      <c r="N1111" s="8" t="n">
        <f aca="false">IF(A1111="","",G1111-J1111)</f>
        <v>11</v>
      </c>
      <c r="O1111" s="8" t="n">
        <f aca="false">IF(A1111="","",J1111-M1111)</f>
        <v>12</v>
      </c>
      <c r="P1111" s="8" t="n">
        <f aca="false">IF(A1111="","",G1111+J1111)</f>
        <v>123</v>
      </c>
      <c r="Q1111" s="8" t="str">
        <f aca="false">IF(A1111="","",IF(AND(Y1111&lt;&gt;"参考",G1111&gt;=ルール設定!$B$2),"○",""))</f>
        <v/>
      </c>
      <c r="R1111" s="8" t="str">
        <f aca="false">IF(A1111="","",IF(AND(Y1111&lt;&gt;"参考",G1111&gt;=ルール設定!$B$3,N1111&gt;=ルール設定!$B$4),"○",""))</f>
        <v/>
      </c>
      <c r="S1111" s="8" t="str">
        <f aca="false">IF(A1111="","",IF(AND(Y1111&lt;&gt;"参考",G1111&gt;=ルール設定!$B$5,J1111&gt;=ルール設定!$B$6,O1111&gt;=ルール設定!$B$7),"○",""))</f>
        <v/>
      </c>
      <c r="T1111" s="8" t="n">
        <v>4</v>
      </c>
      <c r="U1111" s="8" t="n">
        <v>2</v>
      </c>
      <c r="V1111" s="8" t="str">
        <f aca="false">IF(A1111="","",IF(AND(ISNUMBER(T1111),ISNUMBER(U1111)),IF(AND(T1111&lt;=3,U1111&lt;=3),"○","×"),""))</f>
        <v>×</v>
      </c>
      <c r="W1111" s="8"/>
      <c r="X1111" s="8"/>
      <c r="Y1111" s="4" t="s">
        <v>7597</v>
      </c>
      <c r="Z1111" s="8" t="s">
        <v>8111</v>
      </c>
      <c r="AA1111" s="8" t="str">
        <v/>
      </c>
      <c r="AB1111" s="8" t="str">
        <v/>
      </c>
      <c r="AC1111" s="8" t="str">
        <v/>
      </c>
      <c r="AD1111" s="8" t="str">
        <v/>
      </c>
      <c r="AE1111" s="8" t="str">
        <v/>
      </c>
      <c r="AF1111" s="8" t="str">
        <v/>
      </c>
      <c r="AG1111" s="8" t="str">
        <v/>
      </c>
      <c r="AH1111" s="8" t="str">
        <v/>
      </c>
      <c r="AI1111" s="8" t="n">
        <v>23</v>
      </c>
      <c r="AJ1111" s="8" t="str">
        <v>60～69</v>
      </c>
      <c r="AK1111" s="8" t="str">
        <v>10～19</v>
      </c>
      <c r="AL1111" s="8" t="str">
        <v>20～29</v>
      </c>
      <c r="AM1111" s="8" t="str">
        <v>120～139</v>
      </c>
      <c r="AN1111" s="8" t="str">
        <v>15以上</v>
      </c>
      <c r="AO1111" s="8" t="str">
        <f aca="false">IF(A1111="","",IF(COUNTIFS(全馬データ!$A$2:$A$50000,A1111,全馬データ!$B$2:$B$50000,B1111,全馬データ!$C$2:$C$50000,C1111,全馬データ!$D$2:$D$50000,E1111,全馬データ!$K$2:$K$50000,"&lt;&gt;")=0,"",SUMIFS(全馬データ!$K$2:$K$50000,全馬データ!$A$2:$A$50000,A1111,全馬データ!$B$2:$B$50000,B1111,全馬データ!$C$2:$C$50000,C1111,全馬データ!$D$2:$D$50000,E1111)))</f>
        <v/>
      </c>
      <c r="AP1111" s="8" t="str">
        <f aca="false">IF(A1111="","",IF(AO1111="","欠損",IF(AO1111&lt;=1.1,"1.0～1.1",IF(AO1111&lt;1.3,"1.2",IF(AO1111&lt;1.5,"1.3～1.4",IF(AO1111&lt;2,"1.5～1.9","2.0以上"))))))</f>
        <v>欠損</v>
      </c>
      <c r="AQ1111" s="8" t="str">
        <f aca="false">IF(A1111="","",IF(ISNUMBER(SEARCH("2歳",Z1111)),"2歳戦",IF(ISNUMBER(SEARCH("3歳未勝利",Z1111)),"3歳未勝利",IF(ISNUMBER(SEARCH("未勝利",Z1111)),"その他未勝利",IF(ISNUMBER(SEARCH("G1",Z1111)),"G1",IF(ISNUMBER(SEARCH("G2",Z1111)),"G2",IF(ISNUMBER(SEARCH("G3",Z1111)),"G3",IF(ISNUMBER(SEARCH("古馬条件",Z1111)),"古馬条件戦",IF(ISNUMBER(SEARCH("重賞",Z1111)),"重賞","分類不能")))))))))</f>
        <v>分類不能</v>
      </c>
      <c r="AR1111" s="8"/>
      <c r="AS1111" s="8" t="s">
        <v>7623</v>
      </c>
      <c r="AT1111" s="8" t="s">
        <v>7624</v>
      </c>
      <c r="AU1111" s="8" t="s">
        <v>7600</v>
      </c>
      <c r="AV1111" s="4" t="s">
        <v>7601</v>
      </c>
      <c r="AW1111" s="8"/>
      <c r="AX1111" s="8"/>
      <c r="AY1111" s="8" t="s">
        <v>7610</v>
      </c>
      <c r="AZ1111" s="4" t="s">
        <v>7617</v>
      </c>
      <c r="BA1111" s="8" t="n">
        <v>1400</v>
      </c>
      <c r="BB1111" s="8" t="s">
        <v>7618</v>
      </c>
      <c r="BC1111" s="4" t="s">
        <v>7619</v>
      </c>
      <c r="BD1111" s="8" t="s">
        <v>7621</v>
      </c>
      <c r="BE1111" s="4" t="s">
        <v>7622</v>
      </c>
      <c r="BF1111" s="8" t="s">
        <v>7602</v>
      </c>
      <c r="BG1111" s="8" t="s">
        <v>7608</v>
      </c>
      <c r="BH1111" s="4" t="s">
        <v>7609</v>
      </c>
      <c r="BI1111" s="8" t="n">
        <v>16</v>
      </c>
      <c r="BJ1111" s="8" t="s">
        <v>7602</v>
      </c>
      <c r="BK1111" s="4" t="s">
        <v>7653</v>
      </c>
      <c r="BL1111" s="8" t="s">
        <v>7602</v>
      </c>
      <c r="BM1111" s="4" t="s">
        <v>7620</v>
      </c>
      <c r="BN1111" s="8"/>
      <c r="BO1111" s="8"/>
      <c r="BP1111" s="8" t="s">
        <v>7610</v>
      </c>
      <c r="BQ1111" s="8" t="str">
        <f aca="false">IF(A1111="","",AT1111)</f>
        <v>3歳</v>
      </c>
      <c r="BR1111" s="8" t="str">
        <f aca="false">IF(A1111="","",IF(BA1111&lt;=1200,"～1200",IF(BA1111&lt;=1500,"1300～1500",IF(BA1111=1600,"1600",IF(BA1111&lt;=1800,"1700～1800",IF(BA1111&lt;=2000,"1900～2000","2100以上"))))))</f>
        <v>1300～1500</v>
      </c>
      <c r="BS1111" s="8" t="str">
        <f aca="false">IF(A1111="","",IF(AX1111="G1","G1",IF(AX1111="G2","G2",IF(AX1111="G3","G3",IF(AX1111="L","L","その他")))))</f>
        <v>その他</v>
      </c>
      <c r="BT1111" s="8" t="str">
        <f aca="false">IF(A1111="","",IF(BI1111="","未結合",IF(D1111=BI1111,"一致","不一致")))</f>
        <v>一致</v>
      </c>
      <c r="BU1111" s="8" t="str">
        <f aca="false">IF(A1111="","",IF(BE1111="牝馬限定","牝馬限定","その他"))</f>
        <v>牝馬限定</v>
      </c>
    </row>
    <row r="1112" customFormat="false" ht="15.75" hidden="false" customHeight="false" outlineLevel="0" collapsed="false">
      <c r="A1112" s="6" t="n">
        <f aca="false">DATE(2026,5,3)</f>
        <v>46145</v>
      </c>
      <c r="B1112" s="4" t="s">
        <v>5435</v>
      </c>
      <c r="C1112" s="8" t="n">
        <v>2</v>
      </c>
      <c r="D1112" s="8" t="n">
        <v>12</v>
      </c>
      <c r="E1112" s="8" t="n">
        <v>7</v>
      </c>
      <c r="F1112" s="4" t="s">
        <v>5006</v>
      </c>
      <c r="G1112" s="8" t="n">
        <v>52</v>
      </c>
      <c r="H1112" s="8" t="n">
        <v>2</v>
      </c>
      <c r="I1112" s="4" t="s">
        <v>3957</v>
      </c>
      <c r="J1112" s="8" t="n">
        <v>44</v>
      </c>
      <c r="K1112" s="8" t="n">
        <v>11</v>
      </c>
      <c r="L1112" s="4" t="s">
        <v>662</v>
      </c>
      <c r="M1112" s="8" t="n">
        <v>44</v>
      </c>
      <c r="N1112" s="8" t="n">
        <f aca="false">IF(A1112="","",G1112-J1112)</f>
        <v>8</v>
      </c>
      <c r="O1112" s="8" t="n">
        <f aca="false">IF(A1112="","",J1112-M1112)</f>
        <v>0</v>
      </c>
      <c r="P1112" s="8" t="n">
        <f aca="false">IF(A1112="","",G1112+J1112)</f>
        <v>96</v>
      </c>
      <c r="Q1112" s="8" t="str">
        <f aca="false">IF(A1112="","",IF(AND(Y1112&lt;&gt;"参考",G1112&gt;=ルール設定!$B$2),"○",""))</f>
        <v/>
      </c>
      <c r="R1112" s="8" t="str">
        <f aca="false">IF(A1112="","",IF(AND(Y1112&lt;&gt;"参考",G1112&gt;=ルール設定!$B$3,N1112&gt;=ルール設定!$B$4),"○",""))</f>
        <v/>
      </c>
      <c r="S1112" s="8" t="str">
        <f aca="false">IF(A1112="","",IF(AND(Y1112&lt;&gt;"参考",G1112&gt;=ルール設定!$B$5,J1112&gt;=ルール設定!$B$6,O1112&gt;=ルール設定!$B$7),"○",""))</f>
        <v/>
      </c>
      <c r="T1112" s="8" t="n">
        <v>4</v>
      </c>
      <c r="U1112" s="8" t="n">
        <v>4</v>
      </c>
      <c r="V1112" s="8" t="str">
        <f aca="false">IF(A1112="","",IF(AND(ISNUMBER(T1112),ISNUMBER(U1112)),IF(AND(T1112&lt;=3,U1112&lt;=3),"○","×"),""))</f>
        <v>×</v>
      </c>
      <c r="W1112" s="8"/>
      <c r="X1112" s="8"/>
      <c r="Y1112" s="4" t="s">
        <v>7597</v>
      </c>
      <c r="Z1112" s="8" t="s">
        <v>8111</v>
      </c>
      <c r="AA1112" s="8" t="str">
        <v/>
      </c>
      <c r="AB1112" s="8" t="str">
        <v/>
      </c>
      <c r="AC1112" s="8" t="str">
        <v/>
      </c>
      <c r="AD1112" s="8" t="str">
        <v/>
      </c>
      <c r="AE1112" s="8" t="str">
        <v/>
      </c>
      <c r="AF1112" s="8" t="str">
        <v/>
      </c>
      <c r="AG1112" s="8" t="str">
        <v/>
      </c>
      <c r="AH1112" s="8" t="str">
        <v/>
      </c>
      <c r="AI1112" s="8" t="n">
        <v>8</v>
      </c>
      <c r="AJ1112" s="8" t="str">
        <v>～59</v>
      </c>
      <c r="AK1112" s="8" t="str">
        <v>5～9</v>
      </c>
      <c r="AL1112" s="8" t="str">
        <v>0～9</v>
      </c>
      <c r="AM1112" s="8" t="str">
        <v>～99</v>
      </c>
      <c r="AN1112" s="8" t="str">
        <v>12～14</v>
      </c>
      <c r="AO1112" s="8" t="str">
        <f aca="false">IF(A1112="","",IF(COUNTIFS(全馬データ!$A$2:$A$50000,A1112,全馬データ!$B$2:$B$50000,B1112,全馬データ!$C$2:$C$50000,C1112,全馬データ!$D$2:$D$50000,E1112,全馬データ!$K$2:$K$50000,"&lt;&gt;")=0,"",SUMIFS(全馬データ!$K$2:$K$50000,全馬データ!$A$2:$A$50000,A1112,全馬データ!$B$2:$B$50000,B1112,全馬データ!$C$2:$C$50000,C1112,全馬データ!$D$2:$D$50000,E1112)))</f>
        <v/>
      </c>
      <c r="AP1112" s="8" t="str">
        <f aca="false">IF(A1112="","",IF(AO1112="","欠損",IF(AO1112&lt;=1.1,"1.0～1.1",IF(AO1112&lt;1.3,"1.2",IF(AO1112&lt;1.5,"1.3～1.4",IF(AO1112&lt;2,"1.5～1.9","2.0以上"))))))</f>
        <v>欠損</v>
      </c>
      <c r="AQ1112" s="8" t="str">
        <f aca="false">IF(A1112="","",IF(ISNUMBER(SEARCH("2歳",Z1112)),"2歳戦",IF(ISNUMBER(SEARCH("3歳未勝利",Z1112)),"3歳未勝利",IF(ISNUMBER(SEARCH("未勝利",Z1112)),"その他未勝利",IF(ISNUMBER(SEARCH("G1",Z1112)),"G1",IF(ISNUMBER(SEARCH("G2",Z1112)),"G2",IF(ISNUMBER(SEARCH("G3",Z1112)),"G3",IF(ISNUMBER(SEARCH("古馬条件",Z1112)),"古馬条件戦",IF(ISNUMBER(SEARCH("重賞",Z1112)),"重賞","分類不能")))))))))</f>
        <v>分類不能</v>
      </c>
      <c r="AR1112" s="8"/>
      <c r="AS1112" s="8" t="s">
        <v>7623</v>
      </c>
      <c r="AT1112" s="8" t="s">
        <v>7624</v>
      </c>
      <c r="AU1112" s="8" t="s">
        <v>7600</v>
      </c>
      <c r="AV1112" s="4" t="s">
        <v>7601</v>
      </c>
      <c r="AW1112" s="8"/>
      <c r="AX1112" s="8"/>
      <c r="AY1112" s="8" t="s">
        <v>7610</v>
      </c>
      <c r="AZ1112" s="4" t="s">
        <v>7617</v>
      </c>
      <c r="BA1112" s="8" t="n">
        <v>1900</v>
      </c>
      <c r="BB1112" s="8" t="s">
        <v>7618</v>
      </c>
      <c r="BC1112" s="4" t="s">
        <v>7619</v>
      </c>
      <c r="BD1112" s="8" t="s">
        <v>7625</v>
      </c>
      <c r="BE1112" s="4" t="s">
        <v>7606</v>
      </c>
      <c r="BF1112" s="8" t="s">
        <v>7607</v>
      </c>
      <c r="BG1112" s="8" t="s">
        <v>7608</v>
      </c>
      <c r="BH1112" s="4" t="s">
        <v>7609</v>
      </c>
      <c r="BI1112" s="8" t="n">
        <v>12</v>
      </c>
      <c r="BJ1112" s="8" t="s">
        <v>7602</v>
      </c>
      <c r="BK1112" s="4" t="s">
        <v>7653</v>
      </c>
      <c r="BL1112" s="8" t="s">
        <v>7602</v>
      </c>
      <c r="BM1112" s="4" t="s">
        <v>7620</v>
      </c>
      <c r="BN1112" s="8"/>
      <c r="BO1112" s="8"/>
      <c r="BP1112" s="8" t="s">
        <v>7610</v>
      </c>
      <c r="BQ1112" s="8" t="str">
        <f aca="false">IF(A1112="","",AT1112)</f>
        <v>3歳</v>
      </c>
      <c r="BR1112" s="8" t="str">
        <f aca="false">IF(A1112="","",IF(BA1112&lt;=1200,"～1200",IF(BA1112&lt;=1500,"1300～1500",IF(BA1112=1600,"1600",IF(BA1112&lt;=1800,"1700～1800",IF(BA1112&lt;=2000,"1900～2000","2100以上"))))))</f>
        <v>1900～2000</v>
      </c>
      <c r="BS1112" s="8" t="str">
        <f aca="false">IF(A1112="","",IF(AX1112="G1","G1",IF(AX1112="G2","G2",IF(AX1112="G3","G3",IF(AX1112="L","L","その他")))))</f>
        <v>その他</v>
      </c>
      <c r="BT1112" s="8" t="str">
        <f aca="false">IF(A1112="","",IF(BI1112="","未結合",IF(D1112=BI1112,"一致","不一致")))</f>
        <v>一致</v>
      </c>
      <c r="BU1112" s="8" t="str">
        <f aca="false">IF(A1112="","",IF(BE1112="牝馬限定","牝馬限定","その他"))</f>
        <v>その他</v>
      </c>
    </row>
    <row r="1113" customFormat="false" ht="15.75" hidden="false" customHeight="false" outlineLevel="0" collapsed="false">
      <c r="A1113" s="6" t="n">
        <f aca="false">DATE(2026,5,3)</f>
        <v>46145</v>
      </c>
      <c r="B1113" s="4" t="s">
        <v>5435</v>
      </c>
      <c r="C1113" s="8" t="n">
        <v>3</v>
      </c>
      <c r="D1113" s="8" t="n">
        <v>15</v>
      </c>
      <c r="E1113" s="8" t="n">
        <v>15</v>
      </c>
      <c r="F1113" s="4" t="s">
        <v>1590</v>
      </c>
      <c r="G1113" s="8" t="n">
        <v>71</v>
      </c>
      <c r="H1113" s="8" t="n">
        <v>6</v>
      </c>
      <c r="I1113" s="4" t="s">
        <v>2189</v>
      </c>
      <c r="J1113" s="8" t="n">
        <v>62</v>
      </c>
      <c r="K1113" s="8" t="n">
        <v>5</v>
      </c>
      <c r="L1113" s="4" t="s">
        <v>2625</v>
      </c>
      <c r="M1113" s="8" t="n">
        <v>50</v>
      </c>
      <c r="N1113" s="8" t="n">
        <f aca="false">IF(A1113="","",G1113-J1113)</f>
        <v>9</v>
      </c>
      <c r="O1113" s="8" t="n">
        <f aca="false">IF(A1113="","",J1113-M1113)</f>
        <v>12</v>
      </c>
      <c r="P1113" s="8" t="n">
        <f aca="false">IF(A1113="","",G1113+J1113)</f>
        <v>133</v>
      </c>
      <c r="Q1113" s="8" t="str">
        <f aca="false">IF(A1113="","",IF(AND(Y1113&lt;&gt;"参考",G1113&gt;=ルール設定!$B$2),"○",""))</f>
        <v/>
      </c>
      <c r="R1113" s="8" t="str">
        <f aca="false">IF(A1113="","",IF(AND(Y1113&lt;&gt;"参考",G1113&gt;=ルール設定!$B$3,N1113&gt;=ルール設定!$B$4),"○",""))</f>
        <v/>
      </c>
      <c r="S1113" s="8" t="str">
        <f aca="false">IF(A1113="","",IF(AND(Y1113&lt;&gt;"参考",G1113&gt;=ルール設定!$B$5,J1113&gt;=ルール設定!$B$6,O1113&gt;=ルール設定!$B$7),"○",""))</f>
        <v/>
      </c>
      <c r="T1113" s="8" t="n">
        <v>4</v>
      </c>
      <c r="U1113" s="8" t="n">
        <v>4</v>
      </c>
      <c r="V1113" s="8" t="str">
        <f aca="false">IF(A1113="","",IF(AND(ISNUMBER(T1113),ISNUMBER(U1113)),IF(AND(T1113&lt;=3,U1113&lt;=3),"○","×"),""))</f>
        <v>×</v>
      </c>
      <c r="W1113" s="8"/>
      <c r="X1113" s="8"/>
      <c r="Y1113" s="4" t="s">
        <v>7597</v>
      </c>
      <c r="Z1113" s="8" t="s">
        <v>8111</v>
      </c>
      <c r="AA1113" s="8" t="str">
        <v/>
      </c>
      <c r="AB1113" s="8" t="str">
        <v/>
      </c>
      <c r="AC1113" s="8" t="str">
        <v/>
      </c>
      <c r="AD1113" s="8" t="str">
        <v/>
      </c>
      <c r="AE1113" s="8" t="str">
        <v/>
      </c>
      <c r="AF1113" s="8" t="str">
        <v/>
      </c>
      <c r="AG1113" s="8" t="str">
        <v/>
      </c>
      <c r="AH1113" s="8" t="str">
        <v/>
      </c>
      <c r="AI1113" s="8" t="n">
        <v>21</v>
      </c>
      <c r="AJ1113" s="8" t="str">
        <v>70～74</v>
      </c>
      <c r="AK1113" s="8" t="str">
        <v>5～9</v>
      </c>
      <c r="AL1113" s="8" t="str">
        <v>20～29</v>
      </c>
      <c r="AM1113" s="8" t="str">
        <v>120～139</v>
      </c>
      <c r="AN1113" s="8" t="str">
        <v>15以上</v>
      </c>
      <c r="AO1113" s="8" t="str">
        <f aca="false">IF(A1113="","",IF(COUNTIFS(全馬データ!$A$2:$A$50000,A1113,全馬データ!$B$2:$B$50000,B1113,全馬データ!$C$2:$C$50000,C1113,全馬データ!$D$2:$D$50000,E1113,全馬データ!$K$2:$K$50000,"&lt;&gt;")=0,"",SUMIFS(全馬データ!$K$2:$K$50000,全馬データ!$A$2:$A$50000,A1113,全馬データ!$B$2:$B$50000,B1113,全馬データ!$C$2:$C$50000,C1113,全馬データ!$D$2:$D$50000,E1113)))</f>
        <v/>
      </c>
      <c r="AP1113" s="8" t="str">
        <f aca="false">IF(A1113="","",IF(AO1113="","欠損",IF(AO1113&lt;=1.1,"1.0～1.1",IF(AO1113&lt;1.3,"1.2",IF(AO1113&lt;1.5,"1.3～1.4",IF(AO1113&lt;2,"1.5～1.9","2.0以上"))))))</f>
        <v>欠損</v>
      </c>
      <c r="AQ1113" s="8" t="str">
        <f aca="false">IF(A1113="","",IF(ISNUMBER(SEARCH("2歳",Z1113)),"2歳戦",IF(ISNUMBER(SEARCH("3歳未勝利",Z1113)),"3歳未勝利",IF(ISNUMBER(SEARCH("未勝利",Z1113)),"その他未勝利",IF(ISNUMBER(SEARCH("G1",Z1113)),"G1",IF(ISNUMBER(SEARCH("G2",Z1113)),"G2",IF(ISNUMBER(SEARCH("G3",Z1113)),"G3",IF(ISNUMBER(SEARCH("古馬条件",Z1113)),"古馬条件戦",IF(ISNUMBER(SEARCH("重賞",Z1113)),"重賞","分類不能")))))))))</f>
        <v>分類不能</v>
      </c>
      <c r="AR1113" s="8"/>
      <c r="AS1113" s="8" t="s">
        <v>7623</v>
      </c>
      <c r="AT1113" s="8" t="s">
        <v>7624</v>
      </c>
      <c r="AU1113" s="8" t="s">
        <v>7600</v>
      </c>
      <c r="AV1113" s="4" t="s">
        <v>7601</v>
      </c>
      <c r="AW1113" s="8"/>
      <c r="AX1113" s="8"/>
      <c r="AY1113" s="8" t="s">
        <v>7610</v>
      </c>
      <c r="AZ1113" s="4" t="s">
        <v>7617</v>
      </c>
      <c r="BA1113" s="8" t="n">
        <v>1800</v>
      </c>
      <c r="BB1113" s="8" t="s">
        <v>7618</v>
      </c>
      <c r="BC1113" s="4" t="s">
        <v>7619</v>
      </c>
      <c r="BD1113" s="8" t="s">
        <v>7621</v>
      </c>
      <c r="BE1113" s="4" t="s">
        <v>7622</v>
      </c>
      <c r="BF1113" s="8" t="s">
        <v>7602</v>
      </c>
      <c r="BG1113" s="8" t="s">
        <v>7608</v>
      </c>
      <c r="BH1113" s="4" t="s">
        <v>7609</v>
      </c>
      <c r="BI1113" s="8" t="n">
        <v>15</v>
      </c>
      <c r="BJ1113" s="8" t="s">
        <v>7602</v>
      </c>
      <c r="BK1113" s="4" t="s">
        <v>7653</v>
      </c>
      <c r="BL1113" s="8" t="s">
        <v>7602</v>
      </c>
      <c r="BM1113" s="4" t="s">
        <v>7620</v>
      </c>
      <c r="BN1113" s="8"/>
      <c r="BO1113" s="8"/>
      <c r="BP1113" s="8" t="s">
        <v>7610</v>
      </c>
      <c r="BQ1113" s="8" t="str">
        <f aca="false">IF(A1113="","",AT1113)</f>
        <v>3歳</v>
      </c>
      <c r="BR1113" s="8" t="str">
        <f aca="false">IF(A1113="","",IF(BA1113&lt;=1200,"～1200",IF(BA1113&lt;=1500,"1300～1500",IF(BA1113=1600,"1600",IF(BA1113&lt;=1800,"1700～1800",IF(BA1113&lt;=2000,"1900～2000","2100以上"))))))</f>
        <v>1700～1800</v>
      </c>
      <c r="BS1113" s="8" t="str">
        <f aca="false">IF(A1113="","",IF(AX1113="G1","G1",IF(AX1113="G2","G2",IF(AX1113="G3","G3",IF(AX1113="L","L","その他")))))</f>
        <v>その他</v>
      </c>
      <c r="BT1113" s="8" t="str">
        <f aca="false">IF(A1113="","",IF(BI1113="","未結合",IF(D1113=BI1113,"一致","不一致")))</f>
        <v>一致</v>
      </c>
      <c r="BU1113" s="8" t="str">
        <f aca="false">IF(A1113="","",IF(BE1113="牝馬限定","牝馬限定","その他"))</f>
        <v>牝馬限定</v>
      </c>
    </row>
    <row r="1114" customFormat="false" ht="15.75" hidden="false" customHeight="false" outlineLevel="0" collapsed="false">
      <c r="A1114" s="6" t="n">
        <f aca="false">DATE(2026,5,3)</f>
        <v>46145</v>
      </c>
      <c r="B1114" s="4" t="s">
        <v>5435</v>
      </c>
      <c r="C1114" s="8" t="n">
        <v>4</v>
      </c>
      <c r="D1114" s="8" t="n">
        <v>11</v>
      </c>
      <c r="E1114" s="8" t="n">
        <v>11</v>
      </c>
      <c r="F1114" s="4" t="s">
        <v>6194</v>
      </c>
      <c r="G1114" s="8" t="n">
        <v>60</v>
      </c>
      <c r="H1114" s="8" t="n">
        <v>8</v>
      </c>
      <c r="I1114" s="4" t="s">
        <v>5540</v>
      </c>
      <c r="J1114" s="8" t="n">
        <v>56</v>
      </c>
      <c r="K1114" s="8" t="n">
        <v>4</v>
      </c>
      <c r="L1114" s="4" t="s">
        <v>667</v>
      </c>
      <c r="M1114" s="8" t="n">
        <v>50</v>
      </c>
      <c r="N1114" s="8" t="n">
        <f aca="false">IF(A1114="","",G1114-J1114)</f>
        <v>4</v>
      </c>
      <c r="O1114" s="8" t="n">
        <f aca="false">IF(A1114="","",J1114-M1114)</f>
        <v>6</v>
      </c>
      <c r="P1114" s="8" t="n">
        <f aca="false">IF(A1114="","",G1114+J1114)</f>
        <v>116</v>
      </c>
      <c r="Q1114" s="8" t="str">
        <f aca="false">IF(A1114="","",IF(AND(Y1114&lt;&gt;"参考",G1114&gt;=ルール設定!$B$2),"○",""))</f>
        <v/>
      </c>
      <c r="R1114" s="8" t="str">
        <f aca="false">IF(A1114="","",IF(AND(Y1114&lt;&gt;"参考",G1114&gt;=ルール設定!$B$3,N1114&gt;=ルール設定!$B$4),"○",""))</f>
        <v/>
      </c>
      <c r="S1114" s="8" t="str">
        <f aca="false">IF(A1114="","",IF(AND(Y1114&lt;&gt;"参考",G1114&gt;=ルール設定!$B$5,J1114&gt;=ルール設定!$B$6,O1114&gt;=ルール設定!$B$7),"○",""))</f>
        <v/>
      </c>
      <c r="T1114" s="8" t="n">
        <v>1</v>
      </c>
      <c r="U1114" s="8" t="n">
        <v>4</v>
      </c>
      <c r="V1114" s="8" t="str">
        <f aca="false">IF(A1114="","",IF(AND(ISNUMBER(T1114),ISNUMBER(U1114)),IF(AND(T1114&lt;=3,U1114&lt;=3),"○","×"),""))</f>
        <v>×</v>
      </c>
      <c r="W1114" s="8" t="n">
        <v>110</v>
      </c>
      <c r="X1114" s="8"/>
      <c r="Y1114" s="4" t="s">
        <v>7597</v>
      </c>
      <c r="Z1114" s="8" t="s">
        <v>8111</v>
      </c>
      <c r="AA1114" s="8" t="str">
        <v/>
      </c>
      <c r="AB1114" s="8" t="str">
        <v/>
      </c>
      <c r="AC1114" s="8" t="str">
        <v/>
      </c>
      <c r="AD1114" s="8" t="str">
        <v/>
      </c>
      <c r="AE1114" s="8" t="str">
        <v/>
      </c>
      <c r="AF1114" s="8" t="str">
        <v/>
      </c>
      <c r="AG1114" s="8" t="str">
        <v/>
      </c>
      <c r="AH1114" s="8" t="str">
        <v/>
      </c>
      <c r="AI1114" s="8" t="n">
        <v>10</v>
      </c>
      <c r="AJ1114" s="8" t="str">
        <v>60～69</v>
      </c>
      <c r="AK1114" s="8" t="str">
        <v>0～4</v>
      </c>
      <c r="AL1114" s="8" t="str">
        <v>10～19</v>
      </c>
      <c r="AM1114" s="8" t="str">
        <v>100～119</v>
      </c>
      <c r="AN1114" s="8" t="str">
        <v>8～11</v>
      </c>
      <c r="AO1114" s="8" t="str">
        <f aca="false">IF(A1114="","",IF(COUNTIFS(全馬データ!$A$2:$A$50000,A1114,全馬データ!$B$2:$B$50000,B1114,全馬データ!$C$2:$C$50000,C1114,全馬データ!$D$2:$D$50000,E1114,全馬データ!$K$2:$K$50000,"&lt;&gt;")=0,"",SUMIFS(全馬データ!$K$2:$K$50000,全馬データ!$A$2:$A$50000,A1114,全馬データ!$B$2:$B$50000,B1114,全馬データ!$C$2:$C$50000,C1114,全馬データ!$D$2:$D$50000,E1114)))</f>
        <v/>
      </c>
      <c r="AP1114" s="8" t="str">
        <f aca="false">IF(A1114="","",IF(AO1114="","欠損",IF(AO1114&lt;=1.1,"1.0～1.1",IF(AO1114&lt;1.3,"1.2",IF(AO1114&lt;1.5,"1.3～1.4",IF(AO1114&lt;2,"1.5～1.9","2.0以上"))))))</f>
        <v>欠損</v>
      </c>
      <c r="AQ1114" s="8" t="str">
        <f aca="false">IF(A1114="","",IF(ISNUMBER(SEARCH("2歳",Z1114)),"2歳戦",IF(ISNUMBER(SEARCH("3歳未勝利",Z1114)),"3歳未勝利",IF(ISNUMBER(SEARCH("未勝利",Z1114)),"その他未勝利",IF(ISNUMBER(SEARCH("G1",Z1114)),"G1",IF(ISNUMBER(SEARCH("G2",Z1114)),"G2",IF(ISNUMBER(SEARCH("G3",Z1114)),"G3",IF(ISNUMBER(SEARCH("古馬条件",Z1114)),"古馬条件戦",IF(ISNUMBER(SEARCH("重賞",Z1114)),"重賞","分類不能")))))))))</f>
        <v>分類不能</v>
      </c>
      <c r="AR1114" s="8"/>
      <c r="AS1114" s="8" t="s">
        <v>7623</v>
      </c>
      <c r="AT1114" s="8" t="s">
        <v>7624</v>
      </c>
      <c r="AU1114" s="8" t="s">
        <v>7600</v>
      </c>
      <c r="AV1114" s="4" t="s">
        <v>7601</v>
      </c>
      <c r="AW1114" s="8"/>
      <c r="AX1114" s="8"/>
      <c r="AY1114" s="8" t="s">
        <v>7602</v>
      </c>
      <c r="AZ1114" s="4" t="s">
        <v>7603</v>
      </c>
      <c r="BA1114" s="8" t="n">
        <v>2400</v>
      </c>
      <c r="BB1114" s="8" t="s">
        <v>7598</v>
      </c>
      <c r="BC1114" s="4" t="s">
        <v>7604</v>
      </c>
      <c r="BD1114" s="8" t="s">
        <v>7605</v>
      </c>
      <c r="BE1114" s="4" t="s">
        <v>7606</v>
      </c>
      <c r="BF1114" s="8" t="s">
        <v>7607</v>
      </c>
      <c r="BG1114" s="8" t="s">
        <v>7608</v>
      </c>
      <c r="BH1114" s="4" t="s">
        <v>7609</v>
      </c>
      <c r="BI1114" s="8" t="n">
        <v>11</v>
      </c>
      <c r="BJ1114" s="8" t="s">
        <v>7602</v>
      </c>
      <c r="BK1114" s="4" t="s">
        <v>7653</v>
      </c>
      <c r="BL1114" s="8" t="s">
        <v>7610</v>
      </c>
      <c r="BM1114" s="4" t="s">
        <v>7612</v>
      </c>
      <c r="BN1114" s="8" t="s">
        <v>7636</v>
      </c>
      <c r="BO1114" s="8" t="s">
        <v>7804</v>
      </c>
      <c r="BP1114" s="8" t="s">
        <v>7610</v>
      </c>
      <c r="BQ1114" s="8" t="str">
        <f aca="false">IF(A1114="","",AT1114)</f>
        <v>3歳</v>
      </c>
      <c r="BR1114" s="8" t="str">
        <f aca="false">IF(A1114="","",IF(BA1114&lt;=1200,"～1200",IF(BA1114&lt;=1500,"1300～1500",IF(BA1114=1600,"1600",IF(BA1114&lt;=1800,"1700～1800",IF(BA1114&lt;=2000,"1900～2000","2100以上"))))))</f>
        <v>2100以上</v>
      </c>
      <c r="BS1114" s="8" t="str">
        <f aca="false">IF(A1114="","",IF(AX1114="G1","G1",IF(AX1114="G2","G2",IF(AX1114="G3","G3",IF(AX1114="L","L","その他")))))</f>
        <v>その他</v>
      </c>
      <c r="BT1114" s="8" t="str">
        <f aca="false">IF(A1114="","",IF(BI1114="","未結合",IF(D1114=BI1114,"一致","不一致")))</f>
        <v>一致</v>
      </c>
      <c r="BU1114" s="8" t="str">
        <f aca="false">IF(A1114="","",IF(BE1114="牝馬限定","牝馬限定","その他"))</f>
        <v>その他</v>
      </c>
    </row>
    <row r="1115" customFormat="false" ht="15.75" hidden="false" customHeight="false" outlineLevel="0" collapsed="false">
      <c r="A1115" s="6" t="n">
        <f aca="false">DATE(2026,5,3)</f>
        <v>46145</v>
      </c>
      <c r="B1115" s="4" t="s">
        <v>5435</v>
      </c>
      <c r="C1115" s="8" t="n">
        <v>5</v>
      </c>
      <c r="D1115" s="8" t="n">
        <v>11</v>
      </c>
      <c r="E1115" s="8" t="n">
        <v>10</v>
      </c>
      <c r="F1115" s="4" t="s">
        <v>7385</v>
      </c>
      <c r="G1115" s="8" t="n">
        <v>62</v>
      </c>
      <c r="H1115" s="8" t="n">
        <v>3</v>
      </c>
      <c r="I1115" s="4" t="s">
        <v>5013</v>
      </c>
      <c r="J1115" s="8" t="n">
        <v>58</v>
      </c>
      <c r="K1115" s="8" t="n">
        <v>7</v>
      </c>
      <c r="L1115" s="4" t="s">
        <v>333</v>
      </c>
      <c r="M1115" s="8" t="n">
        <v>52</v>
      </c>
      <c r="N1115" s="8" t="n">
        <f aca="false">IF(A1115="","",G1115-J1115)</f>
        <v>4</v>
      </c>
      <c r="O1115" s="8" t="n">
        <f aca="false">IF(A1115="","",J1115-M1115)</f>
        <v>6</v>
      </c>
      <c r="P1115" s="8" t="n">
        <f aca="false">IF(A1115="","",G1115+J1115)</f>
        <v>120</v>
      </c>
      <c r="Q1115" s="8" t="str">
        <f aca="false">IF(A1115="","",IF(AND(Y1115&lt;&gt;"参考",G1115&gt;=ルール設定!$B$2),"○",""))</f>
        <v/>
      </c>
      <c r="R1115" s="8" t="str">
        <f aca="false">IF(A1115="","",IF(AND(Y1115&lt;&gt;"参考",G1115&gt;=ルール設定!$B$3,N1115&gt;=ルール設定!$B$4),"○",""))</f>
        <v/>
      </c>
      <c r="S1115" s="8" t="str">
        <f aca="false">IF(A1115="","",IF(AND(Y1115&lt;&gt;"参考",G1115&gt;=ルール設定!$B$5,J1115&gt;=ルール設定!$B$6,O1115&gt;=ルール設定!$B$7),"○",""))</f>
        <v/>
      </c>
      <c r="T1115" s="8" t="n">
        <v>4</v>
      </c>
      <c r="U1115" s="8" t="n">
        <v>4</v>
      </c>
      <c r="V1115" s="8" t="str">
        <f aca="false">IF(A1115="","",IF(AND(ISNUMBER(T1115),ISNUMBER(U1115)),IF(AND(T1115&lt;=3,U1115&lt;=3),"○","×"),""))</f>
        <v>×</v>
      </c>
      <c r="W1115" s="8"/>
      <c r="X1115" s="8"/>
      <c r="Y1115" s="4" t="s">
        <v>7597</v>
      </c>
      <c r="Z1115" s="8" t="s">
        <v>8111</v>
      </c>
      <c r="AA1115" s="8" t="str">
        <v/>
      </c>
      <c r="AB1115" s="8" t="str">
        <v/>
      </c>
      <c r="AC1115" s="8" t="str">
        <v/>
      </c>
      <c r="AD1115" s="8" t="str">
        <v/>
      </c>
      <c r="AE1115" s="8" t="str">
        <v/>
      </c>
      <c r="AF1115" s="8" t="str">
        <v/>
      </c>
      <c r="AG1115" s="8" t="str">
        <v/>
      </c>
      <c r="AH1115" s="8" t="str">
        <v/>
      </c>
      <c r="AI1115" s="8" t="n">
        <v>10</v>
      </c>
      <c r="AJ1115" s="8" t="str">
        <v>60～69</v>
      </c>
      <c r="AK1115" s="8" t="str">
        <v>0～4</v>
      </c>
      <c r="AL1115" s="8" t="str">
        <v>10～19</v>
      </c>
      <c r="AM1115" s="8" t="str">
        <v>120～139</v>
      </c>
      <c r="AN1115" s="8" t="str">
        <v>8～11</v>
      </c>
      <c r="AO1115" s="8" t="str">
        <f aca="false">IF(A1115="","",IF(COUNTIFS(全馬データ!$A$2:$A$50000,A1115,全馬データ!$B$2:$B$50000,B1115,全馬データ!$C$2:$C$50000,C1115,全馬データ!$D$2:$D$50000,E1115,全馬データ!$K$2:$K$50000,"&lt;&gt;")=0,"",SUMIFS(全馬データ!$K$2:$K$50000,全馬データ!$A$2:$A$50000,A1115,全馬データ!$B$2:$B$50000,B1115,全馬データ!$C$2:$C$50000,C1115,全馬データ!$D$2:$D$50000,E1115)))</f>
        <v/>
      </c>
      <c r="AP1115" s="8" t="str">
        <f aca="false">IF(A1115="","",IF(AO1115="","欠損",IF(AO1115&lt;=1.1,"1.0～1.1",IF(AO1115&lt;1.3,"1.2",IF(AO1115&lt;1.5,"1.3～1.4",IF(AO1115&lt;2,"1.5～1.9","2.0以上"))))))</f>
        <v>欠損</v>
      </c>
      <c r="AQ1115" s="8" t="str">
        <f aca="false">IF(A1115="","",IF(ISNUMBER(SEARCH("2歳",Z1115)),"2歳戦",IF(ISNUMBER(SEARCH("3歳未勝利",Z1115)),"3歳未勝利",IF(ISNUMBER(SEARCH("未勝利",Z1115)),"その他未勝利",IF(ISNUMBER(SEARCH("G1",Z1115)),"G1",IF(ISNUMBER(SEARCH("G2",Z1115)),"G2",IF(ISNUMBER(SEARCH("G3",Z1115)),"G3",IF(ISNUMBER(SEARCH("古馬条件",Z1115)),"古馬条件戦",IF(ISNUMBER(SEARCH("重賞",Z1115)),"重賞","分類不能")))))))))</f>
        <v>分類不能</v>
      </c>
      <c r="AR1115" s="8"/>
      <c r="AS1115" s="8" t="s">
        <v>7623</v>
      </c>
      <c r="AT1115" s="8" t="s">
        <v>7624</v>
      </c>
      <c r="AU1115" s="8" t="s">
        <v>7600</v>
      </c>
      <c r="AV1115" s="4" t="s">
        <v>7601</v>
      </c>
      <c r="AW1115" s="8"/>
      <c r="AX1115" s="8"/>
      <c r="AY1115" s="8" t="s">
        <v>7602</v>
      </c>
      <c r="AZ1115" s="4" t="s">
        <v>7603</v>
      </c>
      <c r="BA1115" s="8" t="n">
        <v>1800</v>
      </c>
      <c r="BB1115" s="8" t="s">
        <v>7598</v>
      </c>
      <c r="BC1115" s="4" t="s">
        <v>7604</v>
      </c>
      <c r="BD1115" s="8" t="s">
        <v>7605</v>
      </c>
      <c r="BE1115" s="4" t="s">
        <v>7606</v>
      </c>
      <c r="BF1115" s="8" t="s">
        <v>7607</v>
      </c>
      <c r="BG1115" s="8" t="s">
        <v>7608</v>
      </c>
      <c r="BH1115" s="4" t="s">
        <v>7609</v>
      </c>
      <c r="BI1115" s="8" t="n">
        <v>11</v>
      </c>
      <c r="BJ1115" s="8" t="s">
        <v>7602</v>
      </c>
      <c r="BK1115" s="4" t="s">
        <v>7653</v>
      </c>
      <c r="BL1115" s="8" t="s">
        <v>7610</v>
      </c>
      <c r="BM1115" s="4" t="s">
        <v>7612</v>
      </c>
      <c r="BN1115" s="8" t="s">
        <v>7636</v>
      </c>
      <c r="BO1115" s="8" t="s">
        <v>7804</v>
      </c>
      <c r="BP1115" s="8" t="s">
        <v>7610</v>
      </c>
      <c r="BQ1115" s="8" t="str">
        <f aca="false">IF(A1115="","",AT1115)</f>
        <v>3歳</v>
      </c>
      <c r="BR1115" s="8" t="str">
        <f aca="false">IF(A1115="","",IF(BA1115&lt;=1200,"～1200",IF(BA1115&lt;=1500,"1300～1500",IF(BA1115=1600,"1600",IF(BA1115&lt;=1800,"1700～1800",IF(BA1115&lt;=2000,"1900～2000","2100以上"))))))</f>
        <v>1700～1800</v>
      </c>
      <c r="BS1115" s="8" t="str">
        <f aca="false">IF(A1115="","",IF(AX1115="G1","G1",IF(AX1115="G2","G2",IF(AX1115="G3","G3",IF(AX1115="L","L","その他")))))</f>
        <v>その他</v>
      </c>
      <c r="BT1115" s="8" t="str">
        <f aca="false">IF(A1115="","",IF(BI1115="","未結合",IF(D1115=BI1115,"一致","不一致")))</f>
        <v>一致</v>
      </c>
      <c r="BU1115" s="8" t="str">
        <f aca="false">IF(A1115="","",IF(BE1115="牝馬限定","牝馬限定","その他"))</f>
        <v>その他</v>
      </c>
    </row>
    <row r="1116" customFormat="false" ht="15.75" hidden="false" customHeight="false" outlineLevel="0" collapsed="false">
      <c r="A1116" s="6" t="n">
        <f aca="false">DATE(2026,5,3)</f>
        <v>46145</v>
      </c>
      <c r="B1116" s="4" t="s">
        <v>5435</v>
      </c>
      <c r="C1116" s="8" t="n">
        <v>6</v>
      </c>
      <c r="D1116" s="8" t="n">
        <v>16</v>
      </c>
      <c r="E1116" s="8" t="n">
        <v>1</v>
      </c>
      <c r="F1116" s="4" t="s">
        <v>7386</v>
      </c>
      <c r="G1116" s="8" t="n">
        <v>50</v>
      </c>
      <c r="H1116" s="8" t="n">
        <v>3</v>
      </c>
      <c r="I1116" s="4" t="s">
        <v>251</v>
      </c>
      <c r="J1116" s="8" t="n">
        <v>50</v>
      </c>
      <c r="K1116" s="8" t="n">
        <v>11</v>
      </c>
      <c r="L1116" s="4" t="s">
        <v>7392</v>
      </c>
      <c r="M1116" s="8" t="n">
        <v>47</v>
      </c>
      <c r="N1116" s="8" t="n">
        <f aca="false">IF(A1116="","",G1116-J1116)</f>
        <v>0</v>
      </c>
      <c r="O1116" s="8" t="n">
        <f aca="false">IF(A1116="","",J1116-M1116)</f>
        <v>3</v>
      </c>
      <c r="P1116" s="8" t="n">
        <f aca="false">IF(A1116="","",G1116+J1116)</f>
        <v>100</v>
      </c>
      <c r="Q1116" s="8" t="str">
        <f aca="false">IF(A1116="","",IF(AND(Y1116&lt;&gt;"参考",G1116&gt;=ルール設定!$B$2),"○",""))</f>
        <v/>
      </c>
      <c r="R1116" s="8" t="str">
        <f aca="false">IF(A1116="","",IF(AND(Y1116&lt;&gt;"参考",G1116&gt;=ルール設定!$B$3,N1116&gt;=ルール設定!$B$4),"○",""))</f>
        <v/>
      </c>
      <c r="S1116" s="8" t="str">
        <f aca="false">IF(A1116="","",IF(AND(Y1116&lt;&gt;"参考",G1116&gt;=ルール設定!$B$5,J1116&gt;=ルール設定!$B$6,O1116&gt;=ルール設定!$B$7),"○",""))</f>
        <v/>
      </c>
      <c r="T1116" s="8" t="n">
        <v>4</v>
      </c>
      <c r="U1116" s="8" t="n">
        <v>1</v>
      </c>
      <c r="V1116" s="8" t="str">
        <f aca="false">IF(A1116="","",IF(AND(ISNUMBER(T1116),ISNUMBER(U1116)),IF(AND(T1116&lt;=3,U1116&lt;=3),"○","×"),""))</f>
        <v>×</v>
      </c>
      <c r="W1116" s="8"/>
      <c r="X1116" s="8"/>
      <c r="Y1116" s="4" t="s">
        <v>7597</v>
      </c>
      <c r="Z1116" s="8" t="s">
        <v>8111</v>
      </c>
      <c r="AA1116" s="8" t="str">
        <v/>
      </c>
      <c r="AB1116" s="8" t="str">
        <v/>
      </c>
      <c r="AC1116" s="8" t="str">
        <v/>
      </c>
      <c r="AD1116" s="8" t="str">
        <v/>
      </c>
      <c r="AE1116" s="8" t="str">
        <v/>
      </c>
      <c r="AF1116" s="8" t="str">
        <v/>
      </c>
      <c r="AG1116" s="8" t="str">
        <v/>
      </c>
      <c r="AH1116" s="8" t="str">
        <v/>
      </c>
      <c r="AI1116" s="8" t="n">
        <v>3</v>
      </c>
      <c r="AJ1116" s="8" t="str">
        <v>～59</v>
      </c>
      <c r="AK1116" s="8" t="str">
        <v>0～4</v>
      </c>
      <c r="AL1116" s="8" t="str">
        <v>0～9</v>
      </c>
      <c r="AM1116" s="8" t="str">
        <v>100～119</v>
      </c>
      <c r="AN1116" s="8" t="str">
        <v>15以上</v>
      </c>
      <c r="AO1116" s="8" t="str">
        <f aca="false">IF(A1116="","",IF(COUNTIFS(全馬データ!$A$2:$A$50000,A1116,全馬データ!$B$2:$B$50000,B1116,全馬データ!$C$2:$C$50000,C1116,全馬データ!$D$2:$D$50000,E1116,全馬データ!$K$2:$K$50000,"&lt;&gt;")=0,"",SUMIFS(全馬データ!$K$2:$K$50000,全馬データ!$A$2:$A$50000,A1116,全馬データ!$B$2:$B$50000,B1116,全馬データ!$C$2:$C$50000,C1116,全馬データ!$D$2:$D$50000,E1116)))</f>
        <v/>
      </c>
      <c r="AP1116" s="8" t="str">
        <f aca="false">IF(A1116="","",IF(AO1116="","欠損",IF(AO1116&lt;=1.1,"1.0～1.1",IF(AO1116&lt;1.3,"1.2",IF(AO1116&lt;1.5,"1.3～1.4",IF(AO1116&lt;2,"1.5～1.9","2.0以上"))))))</f>
        <v>欠損</v>
      </c>
      <c r="AQ1116" s="8" t="str">
        <f aca="false">IF(A1116="","",IF(ISNUMBER(SEARCH("2歳",Z1116)),"2歳戦",IF(ISNUMBER(SEARCH("3歳未勝利",Z1116)),"3歳未勝利",IF(ISNUMBER(SEARCH("未勝利",Z1116)),"その他未勝利",IF(ISNUMBER(SEARCH("G1",Z1116)),"G1",IF(ISNUMBER(SEARCH("G2",Z1116)),"G2",IF(ISNUMBER(SEARCH("G3",Z1116)),"G3",IF(ISNUMBER(SEARCH("古馬条件",Z1116)),"古馬条件戦",IF(ISNUMBER(SEARCH("重賞",Z1116)),"重賞","分類不能")))))))))</f>
        <v>分類不能</v>
      </c>
      <c r="AR1116" s="8"/>
      <c r="AS1116" s="8" t="s">
        <v>7623</v>
      </c>
      <c r="AT1116" s="8" t="s">
        <v>7624</v>
      </c>
      <c r="AU1116" s="8" t="s">
        <v>7628</v>
      </c>
      <c r="AV1116" s="8" t="s">
        <v>7629</v>
      </c>
      <c r="AW1116" s="8"/>
      <c r="AX1116" s="8"/>
      <c r="AY1116" s="8" t="s">
        <v>7610</v>
      </c>
      <c r="AZ1116" s="4" t="s">
        <v>7617</v>
      </c>
      <c r="BA1116" s="8" t="n">
        <v>1400</v>
      </c>
      <c r="BB1116" s="8" t="s">
        <v>7618</v>
      </c>
      <c r="BC1116" s="4" t="s">
        <v>7619</v>
      </c>
      <c r="BD1116" s="8" t="s">
        <v>7625</v>
      </c>
      <c r="BE1116" s="4" t="s">
        <v>7606</v>
      </c>
      <c r="BF1116" s="8" t="s">
        <v>7607</v>
      </c>
      <c r="BG1116" s="8" t="s">
        <v>7608</v>
      </c>
      <c r="BH1116" s="4" t="s">
        <v>7609</v>
      </c>
      <c r="BI1116" s="8" t="n">
        <v>16</v>
      </c>
      <c r="BJ1116" s="8" t="s">
        <v>7602</v>
      </c>
      <c r="BK1116" s="4" t="s">
        <v>7653</v>
      </c>
      <c r="BL1116" s="8" t="s">
        <v>7602</v>
      </c>
      <c r="BM1116" s="4" t="s">
        <v>7620</v>
      </c>
      <c r="BN1116" s="8"/>
      <c r="BO1116" s="8"/>
      <c r="BP1116" s="8" t="s">
        <v>7610</v>
      </c>
      <c r="BQ1116" s="8" t="str">
        <f aca="false">IF(A1116="","",AT1116)</f>
        <v>3歳</v>
      </c>
      <c r="BR1116" s="8" t="str">
        <f aca="false">IF(A1116="","",IF(BA1116&lt;=1200,"～1200",IF(BA1116&lt;=1500,"1300～1500",IF(BA1116=1600,"1600",IF(BA1116&lt;=1800,"1700～1800",IF(BA1116&lt;=2000,"1900～2000","2100以上"))))))</f>
        <v>1300～1500</v>
      </c>
      <c r="BS1116" s="8" t="str">
        <f aca="false">IF(A1116="","",IF(AX1116="G1","G1",IF(AX1116="G2","G2",IF(AX1116="G3","G3",IF(AX1116="L","L","その他")))))</f>
        <v>その他</v>
      </c>
      <c r="BT1116" s="8" t="str">
        <f aca="false">IF(A1116="","",IF(BI1116="","未結合",IF(D1116=BI1116,"一致","不一致")))</f>
        <v>一致</v>
      </c>
      <c r="BU1116" s="8" t="str">
        <f aca="false">IF(A1116="","",IF(BE1116="牝馬限定","牝馬限定","その他"))</f>
        <v>その他</v>
      </c>
    </row>
    <row r="1117" customFormat="false" ht="15.75" hidden="false" customHeight="false" outlineLevel="0" collapsed="false">
      <c r="A1117" s="6" t="n">
        <f aca="false">DATE(2026,5,3)</f>
        <v>46145</v>
      </c>
      <c r="B1117" s="4" t="s">
        <v>5435</v>
      </c>
      <c r="C1117" s="8" t="n">
        <v>7</v>
      </c>
      <c r="D1117" s="8" t="n">
        <v>8</v>
      </c>
      <c r="E1117" s="8" t="n">
        <v>7</v>
      </c>
      <c r="F1117" s="4" t="s">
        <v>1669</v>
      </c>
      <c r="G1117" s="8" t="n">
        <v>86</v>
      </c>
      <c r="H1117" s="8" t="n">
        <v>4</v>
      </c>
      <c r="I1117" s="4" t="s">
        <v>274</v>
      </c>
      <c r="J1117" s="8" t="n">
        <v>58</v>
      </c>
      <c r="K1117" s="8" t="n">
        <v>6</v>
      </c>
      <c r="L1117" s="4" t="s">
        <v>5608</v>
      </c>
      <c r="M1117" s="8" t="n">
        <v>37</v>
      </c>
      <c r="N1117" s="8" t="n">
        <f aca="false">IF(A1117="","",G1117-J1117)</f>
        <v>28</v>
      </c>
      <c r="O1117" s="8" t="n">
        <f aca="false">IF(A1117="","",J1117-M1117)</f>
        <v>21</v>
      </c>
      <c r="P1117" s="8" t="n">
        <f aca="false">IF(A1117="","",G1117+J1117)</f>
        <v>144</v>
      </c>
      <c r="Q1117" s="8" t="str">
        <f aca="false">IF(A1117="","",IF(AND(Y1117&lt;&gt;"参考",G1117&gt;=ルール設定!$B$2),"○",""))</f>
        <v>○</v>
      </c>
      <c r="R1117" s="8" t="str">
        <f aca="false">IF(A1117="","",IF(AND(Y1117&lt;&gt;"参考",G1117&gt;=ルール設定!$B$3,N1117&gt;=ルール設定!$B$4),"○",""))</f>
        <v/>
      </c>
      <c r="S1117" s="8" t="str">
        <f aca="false">IF(A1117="","",IF(AND(Y1117&lt;&gt;"参考",G1117&gt;=ルール設定!$B$5,J1117&gt;=ルール設定!$B$6,O1117&gt;=ルール設定!$B$7),"○",""))</f>
        <v>○</v>
      </c>
      <c r="T1117" s="8" t="n">
        <v>1</v>
      </c>
      <c r="U1117" s="8" t="n">
        <v>2</v>
      </c>
      <c r="V1117" s="8" t="str">
        <f aca="false">IF(A1117="","",IF(AND(ISNUMBER(T1117),ISNUMBER(U1117)),IF(AND(T1117&lt;=3,U1117&lt;=3),"○","×"),""))</f>
        <v>○</v>
      </c>
      <c r="W1117" s="8" t="n">
        <v>110</v>
      </c>
      <c r="X1117" s="8" t="n">
        <v>160</v>
      </c>
      <c r="Y1117" s="4" t="s">
        <v>7597</v>
      </c>
      <c r="Z1117" s="8" t="s">
        <v>8111</v>
      </c>
      <c r="AA1117" s="8" t="str">
        <v>○</v>
      </c>
      <c r="AB1117" s="8" t="str">
        <v>○</v>
      </c>
      <c r="AC1117" s="8" t="str">
        <v>○</v>
      </c>
      <c r="AD1117" s="8" t="str">
        <v/>
      </c>
      <c r="AE1117" s="8" t="str">
        <v/>
      </c>
      <c r="AF1117" s="8" t="str">
        <v>○</v>
      </c>
      <c r="AG1117" s="8" t="str">
        <v>○</v>
      </c>
      <c r="AH1117" s="8" t="str">
        <v/>
      </c>
      <c r="AI1117" s="8" t="n">
        <v>49</v>
      </c>
      <c r="AJ1117" s="8" t="str">
        <v>85以上</v>
      </c>
      <c r="AK1117" s="8" t="str">
        <v>20～29</v>
      </c>
      <c r="AL1117" s="8" t="str">
        <v>40以上</v>
      </c>
      <c r="AM1117" s="8" t="str">
        <v>140～159</v>
      </c>
      <c r="AN1117" s="8" t="str">
        <v>8～11</v>
      </c>
      <c r="AO1117" s="8" t="str">
        <f aca="false">IF(A1117="","",IF(COUNTIFS(全馬データ!$A$2:$A$50000,A1117,全馬データ!$B$2:$B$50000,B1117,全馬データ!$C$2:$C$50000,C1117,全馬データ!$D$2:$D$50000,E1117,全馬データ!$K$2:$K$50000,"&lt;&gt;")=0,"",SUMIFS(全馬データ!$K$2:$K$50000,全馬データ!$A$2:$A$50000,A1117,全馬データ!$B$2:$B$50000,B1117,全馬データ!$C$2:$C$50000,C1117,全馬データ!$D$2:$D$50000,E1117)))</f>
        <v/>
      </c>
      <c r="AP1117" s="8" t="str">
        <f aca="false">IF(A1117="","",IF(AO1117="","欠損",IF(AO1117&lt;=1.1,"1.0～1.1",IF(AO1117&lt;1.3,"1.2",IF(AO1117&lt;1.5,"1.3～1.4",IF(AO1117&lt;2,"1.5～1.9","2.0以上"))))))</f>
        <v>欠損</v>
      </c>
      <c r="AQ1117" s="8" t="str">
        <f aca="false">IF(A1117="","",IF(ISNUMBER(SEARCH("2歳",Z1117)),"2歳戦",IF(ISNUMBER(SEARCH("3歳未勝利",Z1117)),"3歳未勝利",IF(ISNUMBER(SEARCH("未勝利",Z1117)),"その他未勝利",IF(ISNUMBER(SEARCH("G1",Z1117)),"G1",IF(ISNUMBER(SEARCH("G2",Z1117)),"G2",IF(ISNUMBER(SEARCH("G3",Z1117)),"G3",IF(ISNUMBER(SEARCH("古馬条件",Z1117)),"古馬条件戦",IF(ISNUMBER(SEARCH("重賞",Z1117)),"重賞","分類不能")))))))))</f>
        <v>分類不能</v>
      </c>
      <c r="AR1117" s="8"/>
      <c r="AS1117" s="8" t="s">
        <v>7842</v>
      </c>
      <c r="AT1117" s="8" t="s">
        <v>7843</v>
      </c>
      <c r="AU1117" s="8" t="s">
        <v>7628</v>
      </c>
      <c r="AV1117" s="8" t="s">
        <v>7629</v>
      </c>
      <c r="AW1117" s="8"/>
      <c r="AX1117" s="8"/>
      <c r="AY1117" s="8" t="s">
        <v>7602</v>
      </c>
      <c r="AZ1117" s="4" t="s">
        <v>7603</v>
      </c>
      <c r="BA1117" s="8" t="n">
        <v>2000</v>
      </c>
      <c r="BB1117" s="8" t="s">
        <v>7598</v>
      </c>
      <c r="BC1117" s="4" t="s">
        <v>7604</v>
      </c>
      <c r="BD1117" s="8" t="s">
        <v>7625</v>
      </c>
      <c r="BE1117" s="4" t="s">
        <v>7606</v>
      </c>
      <c r="BF1117" s="8" t="s">
        <v>7607</v>
      </c>
      <c r="BG1117" s="8" t="s">
        <v>7631</v>
      </c>
      <c r="BH1117" s="4" t="s">
        <v>7632</v>
      </c>
      <c r="BI1117" s="8" t="n">
        <v>8</v>
      </c>
      <c r="BJ1117" s="8" t="s">
        <v>7602</v>
      </c>
      <c r="BK1117" s="4" t="s">
        <v>7653</v>
      </c>
      <c r="BL1117" s="8" t="s">
        <v>7602</v>
      </c>
      <c r="BM1117" s="4" t="s">
        <v>7620</v>
      </c>
      <c r="BN1117" s="8" t="s">
        <v>7636</v>
      </c>
      <c r="BO1117" s="8" t="s">
        <v>7804</v>
      </c>
      <c r="BP1117" s="8" t="s">
        <v>7610</v>
      </c>
      <c r="BQ1117" s="8" t="str">
        <f aca="false">IF(A1117="","",AT1117)</f>
        <v>4歳以上</v>
      </c>
      <c r="BR1117" s="8" t="str">
        <f aca="false">IF(A1117="","",IF(BA1117&lt;=1200,"～1200",IF(BA1117&lt;=1500,"1300～1500",IF(BA1117=1600,"1600",IF(BA1117&lt;=1800,"1700～1800",IF(BA1117&lt;=2000,"1900～2000","2100以上"))))))</f>
        <v>1900～2000</v>
      </c>
      <c r="BS1117" s="8" t="str">
        <f aca="false">IF(A1117="","",IF(AX1117="G1","G1",IF(AX1117="G2","G2",IF(AX1117="G3","G3",IF(AX1117="L","L","その他")))))</f>
        <v>その他</v>
      </c>
      <c r="BT1117" s="8" t="str">
        <f aca="false">IF(A1117="","",IF(BI1117="","未結合",IF(D1117=BI1117,"一致","不一致")))</f>
        <v>一致</v>
      </c>
      <c r="BU1117" s="8" t="str">
        <f aca="false">IF(A1117="","",IF(BE1117="牝馬限定","牝馬限定","その他"))</f>
        <v>その他</v>
      </c>
    </row>
    <row r="1118" customFormat="false" ht="15.75" hidden="false" customHeight="false" outlineLevel="0" collapsed="false">
      <c r="A1118" s="6" t="n">
        <f aca="false">DATE(2026,5,3)</f>
        <v>46145</v>
      </c>
      <c r="B1118" s="4" t="s">
        <v>5435</v>
      </c>
      <c r="C1118" s="8" t="n">
        <v>8</v>
      </c>
      <c r="D1118" s="8" t="n">
        <v>15</v>
      </c>
      <c r="E1118" s="8" t="n">
        <v>8</v>
      </c>
      <c r="F1118" s="4" t="s">
        <v>2147</v>
      </c>
      <c r="G1118" s="8" t="n">
        <v>41</v>
      </c>
      <c r="H1118" s="8" t="n">
        <v>14</v>
      </c>
      <c r="I1118" s="4" t="s">
        <v>7398</v>
      </c>
      <c r="J1118" s="8" t="n">
        <v>41</v>
      </c>
      <c r="K1118" s="8" t="n">
        <v>9</v>
      </c>
      <c r="L1118" s="4" t="s">
        <v>7397</v>
      </c>
      <c r="M1118" s="8" t="n">
        <v>37</v>
      </c>
      <c r="N1118" s="8" t="n">
        <f aca="false">IF(A1118="","",G1118-J1118)</f>
        <v>0</v>
      </c>
      <c r="O1118" s="8" t="n">
        <f aca="false">IF(A1118="","",J1118-M1118)</f>
        <v>4</v>
      </c>
      <c r="P1118" s="8" t="n">
        <f aca="false">IF(A1118="","",G1118+J1118)</f>
        <v>82</v>
      </c>
      <c r="Q1118" s="8" t="str">
        <f aca="false">IF(A1118="","",IF(AND(Y1118&lt;&gt;"参考",G1118&gt;=ルール設定!$B$2),"○",""))</f>
        <v/>
      </c>
      <c r="R1118" s="8" t="str">
        <f aca="false">IF(A1118="","",IF(AND(Y1118&lt;&gt;"参考",G1118&gt;=ルール設定!$B$3,N1118&gt;=ルール設定!$B$4),"○",""))</f>
        <v/>
      </c>
      <c r="S1118" s="8" t="str">
        <f aca="false">IF(A1118="","",IF(AND(Y1118&lt;&gt;"参考",G1118&gt;=ルール設定!$B$5,J1118&gt;=ルール設定!$B$6,O1118&gt;=ルール設定!$B$7),"○",""))</f>
        <v/>
      </c>
      <c r="T1118" s="8" t="n">
        <v>2</v>
      </c>
      <c r="U1118" s="8" t="n">
        <v>4</v>
      </c>
      <c r="V1118" s="8" t="str">
        <f aca="false">IF(A1118="","",IF(AND(ISNUMBER(T1118),ISNUMBER(U1118)),IF(AND(T1118&lt;=3,U1118&lt;=3),"○","×"),""))</f>
        <v>×</v>
      </c>
      <c r="W1118" s="8" t="n">
        <v>210</v>
      </c>
      <c r="X1118" s="8"/>
      <c r="Y1118" s="4" t="s">
        <v>7597</v>
      </c>
      <c r="Z1118" s="8" t="s">
        <v>8111</v>
      </c>
      <c r="AA1118" s="8" t="str">
        <v/>
      </c>
      <c r="AB1118" s="8" t="str">
        <v/>
      </c>
      <c r="AC1118" s="8" t="str">
        <v/>
      </c>
      <c r="AD1118" s="8" t="str">
        <v/>
      </c>
      <c r="AE1118" s="8" t="str">
        <v/>
      </c>
      <c r="AF1118" s="8" t="str">
        <v/>
      </c>
      <c r="AG1118" s="8" t="str">
        <v/>
      </c>
      <c r="AH1118" s="8" t="str">
        <v/>
      </c>
      <c r="AI1118" s="8" t="n">
        <v>4</v>
      </c>
      <c r="AJ1118" s="8" t="str">
        <v>～59</v>
      </c>
      <c r="AK1118" s="8" t="str">
        <v>0～4</v>
      </c>
      <c r="AL1118" s="8" t="str">
        <v>0～9</v>
      </c>
      <c r="AM1118" s="8" t="str">
        <v>～99</v>
      </c>
      <c r="AN1118" s="8" t="str">
        <v>15以上</v>
      </c>
      <c r="AO1118" s="8" t="str">
        <f aca="false">IF(A1118="","",IF(COUNTIFS(全馬データ!$A$2:$A$50000,A1118,全馬データ!$B$2:$B$50000,B1118,全馬データ!$C$2:$C$50000,C1118,全馬データ!$D$2:$D$50000,E1118,全馬データ!$K$2:$K$50000,"&lt;&gt;")=0,"",SUMIFS(全馬データ!$K$2:$K$50000,全馬データ!$A$2:$A$50000,A1118,全馬データ!$B$2:$B$50000,B1118,全馬データ!$C$2:$C$50000,C1118,全馬データ!$D$2:$D$50000,E1118)))</f>
        <v/>
      </c>
      <c r="AP1118" s="8" t="str">
        <f aca="false">IF(A1118="","",IF(AO1118="","欠損",IF(AO1118&lt;=1.1,"1.0～1.1",IF(AO1118&lt;1.3,"1.2",IF(AO1118&lt;1.5,"1.3～1.4",IF(AO1118&lt;2,"1.5～1.9","2.0以上"))))))</f>
        <v>欠損</v>
      </c>
      <c r="AQ1118" s="8" t="str">
        <f aca="false">IF(A1118="","",IF(ISNUMBER(SEARCH("2歳",Z1118)),"2歳戦",IF(ISNUMBER(SEARCH("3歳未勝利",Z1118)),"3歳未勝利",IF(ISNUMBER(SEARCH("未勝利",Z1118)),"その他未勝利",IF(ISNUMBER(SEARCH("G1",Z1118)),"G1",IF(ISNUMBER(SEARCH("G2",Z1118)),"G2",IF(ISNUMBER(SEARCH("G3",Z1118)),"G3",IF(ISNUMBER(SEARCH("古馬条件",Z1118)),"古馬条件戦",IF(ISNUMBER(SEARCH("重賞",Z1118)),"重賞","分類不能")))))))))</f>
        <v>分類不能</v>
      </c>
      <c r="AR1118" s="4" t="s">
        <v>8155</v>
      </c>
      <c r="AS1118" s="8" t="s">
        <v>7842</v>
      </c>
      <c r="AT1118" s="8" t="s">
        <v>7843</v>
      </c>
      <c r="AU1118" s="8" t="s">
        <v>7634</v>
      </c>
      <c r="AV1118" s="8" t="s">
        <v>7635</v>
      </c>
      <c r="AW1118" s="8" t="s">
        <v>7636</v>
      </c>
      <c r="AX1118" s="4" t="s">
        <v>7637</v>
      </c>
      <c r="AY1118" s="8" t="s">
        <v>7602</v>
      </c>
      <c r="AZ1118" s="4" t="s">
        <v>7603</v>
      </c>
      <c r="BA1118" s="8" t="n">
        <v>1200</v>
      </c>
      <c r="BB1118" s="8" t="s">
        <v>7598</v>
      </c>
      <c r="BC1118" s="4" t="s">
        <v>7604</v>
      </c>
      <c r="BD1118" s="8" t="s">
        <v>7605</v>
      </c>
      <c r="BE1118" s="4" t="s">
        <v>7606</v>
      </c>
      <c r="BF1118" s="8" t="s">
        <v>7607</v>
      </c>
      <c r="BG1118" s="8" t="s">
        <v>7631</v>
      </c>
      <c r="BH1118" s="4" t="s">
        <v>7632</v>
      </c>
      <c r="BI1118" s="8" t="n">
        <v>15</v>
      </c>
      <c r="BJ1118" s="8" t="s">
        <v>7602</v>
      </c>
      <c r="BK1118" s="4" t="s">
        <v>7653</v>
      </c>
      <c r="BL1118" s="8" t="s">
        <v>7602</v>
      </c>
      <c r="BM1118" s="4" t="s">
        <v>7620</v>
      </c>
      <c r="BN1118" s="8" t="s">
        <v>7636</v>
      </c>
      <c r="BO1118" s="8" t="s">
        <v>7804</v>
      </c>
      <c r="BP1118" s="8" t="s">
        <v>7610</v>
      </c>
      <c r="BQ1118" s="8" t="str">
        <f aca="false">IF(A1118="","",AT1118)</f>
        <v>4歳以上</v>
      </c>
      <c r="BR1118" s="8" t="str">
        <f aca="false">IF(A1118="","",IF(BA1118&lt;=1200,"～1200",IF(BA1118&lt;=1500,"1300～1500",IF(BA1118=1600,"1600",IF(BA1118&lt;=1800,"1700～1800",IF(BA1118&lt;=2000,"1900～2000","2100以上"))))))</f>
        <v>～1200</v>
      </c>
      <c r="BS1118" s="8" t="str">
        <f aca="false">IF(A1118="","",IF(AX1118="G1","G1",IF(AX1118="G2","G2",IF(AX1118="G3","G3",IF(AX1118="L","L","その他")))))</f>
        <v>その他</v>
      </c>
      <c r="BT1118" s="8" t="str">
        <f aca="false">IF(A1118="","",IF(BI1118="","未結合",IF(D1118=BI1118,"一致","不一致")))</f>
        <v>一致</v>
      </c>
      <c r="BU1118" s="8" t="str">
        <f aca="false">IF(A1118="","",IF(BE1118="牝馬限定","牝馬限定","その他"))</f>
        <v>その他</v>
      </c>
    </row>
    <row r="1119" customFormat="false" ht="15.75" hidden="false" customHeight="false" outlineLevel="0" collapsed="false">
      <c r="A1119" s="6" t="n">
        <f aca="false">DATE(2026,5,3)</f>
        <v>46145</v>
      </c>
      <c r="B1119" s="4" t="s">
        <v>5435</v>
      </c>
      <c r="C1119" s="8" t="n">
        <v>9</v>
      </c>
      <c r="D1119" s="8" t="n">
        <v>9</v>
      </c>
      <c r="E1119" s="8" t="n">
        <v>8</v>
      </c>
      <c r="F1119" s="4" t="s">
        <v>7399</v>
      </c>
      <c r="G1119" s="8" t="n">
        <v>81</v>
      </c>
      <c r="H1119" s="8" t="n">
        <v>6</v>
      </c>
      <c r="I1119" s="4" t="s">
        <v>1687</v>
      </c>
      <c r="J1119" s="8" t="n">
        <v>47</v>
      </c>
      <c r="K1119" s="8" t="n">
        <v>5</v>
      </c>
      <c r="L1119" s="4" t="s">
        <v>3481</v>
      </c>
      <c r="M1119" s="8" t="n">
        <v>41</v>
      </c>
      <c r="N1119" s="8" t="n">
        <f aca="false">IF(A1119="","",G1119-J1119)</f>
        <v>34</v>
      </c>
      <c r="O1119" s="8" t="n">
        <f aca="false">IF(A1119="","",J1119-M1119)</f>
        <v>6</v>
      </c>
      <c r="P1119" s="8" t="n">
        <f aca="false">IF(A1119="","",G1119+J1119)</f>
        <v>128</v>
      </c>
      <c r="Q1119" s="8" t="str">
        <f aca="false">IF(A1119="","",IF(AND(Y1119&lt;&gt;"参考",G1119&gt;=ルール設定!$B$2),"○",""))</f>
        <v>○</v>
      </c>
      <c r="R1119" s="8" t="str">
        <f aca="false">IF(A1119="","",IF(AND(Y1119&lt;&gt;"参考",G1119&gt;=ルール設定!$B$3,N1119&gt;=ルール設定!$B$4),"○",""))</f>
        <v>○</v>
      </c>
      <c r="S1119" s="8" t="str">
        <f aca="false">IF(A1119="","",IF(AND(Y1119&lt;&gt;"参考",G1119&gt;=ルール設定!$B$5,J1119&gt;=ルール設定!$B$6,O1119&gt;=ルール設定!$B$7),"○",""))</f>
        <v/>
      </c>
      <c r="T1119" s="8" t="n">
        <v>2</v>
      </c>
      <c r="U1119" s="8" t="n">
        <v>1</v>
      </c>
      <c r="V1119" s="8" t="str">
        <f aca="false">IF(A1119="","",IF(AND(ISNUMBER(T1119),ISNUMBER(U1119)),IF(AND(T1119&lt;=3,U1119&lt;=3),"○","×"),""))</f>
        <v>○</v>
      </c>
      <c r="W1119" s="8" t="n">
        <v>100</v>
      </c>
      <c r="X1119" s="8" t="n">
        <v>150</v>
      </c>
      <c r="Y1119" s="4" t="s">
        <v>7597</v>
      </c>
      <c r="Z1119" s="8" t="s">
        <v>8111</v>
      </c>
      <c r="AA1119" s="8" t="str">
        <v/>
      </c>
      <c r="AB1119" s="8" t="str">
        <v>○</v>
      </c>
      <c r="AC1119" s="8" t="str">
        <v/>
      </c>
      <c r="AD1119" s="8" t="str">
        <v>○</v>
      </c>
      <c r="AE1119" s="8" t="str">
        <v/>
      </c>
      <c r="AF1119" s="8" t="str">
        <v/>
      </c>
      <c r="AG1119" s="8" t="str">
        <v>○</v>
      </c>
      <c r="AH1119" s="8" t="str">
        <v/>
      </c>
      <c r="AI1119" s="8" t="n">
        <v>40</v>
      </c>
      <c r="AJ1119" s="8" t="str">
        <v>80～84</v>
      </c>
      <c r="AK1119" s="8" t="str">
        <v>30以上</v>
      </c>
      <c r="AL1119" s="8" t="str">
        <v>40以上</v>
      </c>
      <c r="AM1119" s="8" t="str">
        <v>120～139</v>
      </c>
      <c r="AN1119" s="8" t="str">
        <v>8～11</v>
      </c>
      <c r="AO1119" s="8" t="str">
        <f aca="false">IF(A1119="","",IF(COUNTIFS(全馬データ!$A$2:$A$50000,A1119,全馬データ!$B$2:$B$50000,B1119,全馬データ!$C$2:$C$50000,C1119,全馬データ!$D$2:$D$50000,E1119,全馬データ!$K$2:$K$50000,"&lt;&gt;")=0,"",SUMIFS(全馬データ!$K$2:$K$50000,全馬データ!$A$2:$A$50000,A1119,全馬データ!$B$2:$B$50000,B1119,全馬データ!$C$2:$C$50000,C1119,全馬データ!$D$2:$D$50000,E1119)))</f>
        <v/>
      </c>
      <c r="AP1119" s="8" t="str">
        <f aca="false">IF(A1119="","",IF(AO1119="","欠損",IF(AO1119&lt;=1.1,"1.0～1.1",IF(AO1119&lt;1.3,"1.2",IF(AO1119&lt;1.5,"1.3～1.4",IF(AO1119&lt;2,"1.5～1.9","2.0以上"))))))</f>
        <v>欠損</v>
      </c>
      <c r="AQ1119" s="8" t="str">
        <f aca="false">IF(A1119="","",IF(ISNUMBER(SEARCH("2歳",Z1119)),"2歳戦",IF(ISNUMBER(SEARCH("3歳未勝利",Z1119)),"3歳未勝利",IF(ISNUMBER(SEARCH("未勝利",Z1119)),"その他未勝利",IF(ISNUMBER(SEARCH("G1",Z1119)),"G1",IF(ISNUMBER(SEARCH("G2",Z1119)),"G2",IF(ISNUMBER(SEARCH("G3",Z1119)),"G3",IF(ISNUMBER(SEARCH("古馬条件",Z1119)),"古馬条件戦",IF(ISNUMBER(SEARCH("重賞",Z1119)),"重賞","分類不能")))))))))</f>
        <v>分類不能</v>
      </c>
      <c r="AR1119" s="4" t="s">
        <v>8156</v>
      </c>
      <c r="AS1119" s="8" t="s">
        <v>7842</v>
      </c>
      <c r="AT1119" s="8" t="s">
        <v>7843</v>
      </c>
      <c r="AU1119" s="8" t="s">
        <v>7634</v>
      </c>
      <c r="AV1119" s="8" t="s">
        <v>7635</v>
      </c>
      <c r="AW1119" s="8" t="s">
        <v>7636</v>
      </c>
      <c r="AX1119" s="4" t="s">
        <v>7637</v>
      </c>
      <c r="AY1119" s="8" t="s">
        <v>7610</v>
      </c>
      <c r="AZ1119" s="4" t="s">
        <v>7617</v>
      </c>
      <c r="BA1119" s="8" t="n">
        <v>1800</v>
      </c>
      <c r="BB1119" s="8" t="s">
        <v>7618</v>
      </c>
      <c r="BC1119" s="4" t="s">
        <v>7619</v>
      </c>
      <c r="BD1119" s="8" t="s">
        <v>7630</v>
      </c>
      <c r="BE1119" s="4" t="s">
        <v>7606</v>
      </c>
      <c r="BF1119" s="8" t="s">
        <v>7607</v>
      </c>
      <c r="BG1119" s="8" t="s">
        <v>7631</v>
      </c>
      <c r="BH1119" s="4" t="s">
        <v>7632</v>
      </c>
      <c r="BI1119" s="8" t="n">
        <v>9</v>
      </c>
      <c r="BJ1119" s="8" t="s">
        <v>7602</v>
      </c>
      <c r="BK1119" s="4" t="s">
        <v>7653</v>
      </c>
      <c r="BL1119" s="8" t="s">
        <v>7602</v>
      </c>
      <c r="BM1119" s="4" t="s">
        <v>7620</v>
      </c>
      <c r="BN1119" s="8"/>
      <c r="BO1119" s="8"/>
      <c r="BP1119" s="8" t="s">
        <v>7610</v>
      </c>
      <c r="BQ1119" s="8" t="str">
        <f aca="false">IF(A1119="","",AT1119)</f>
        <v>4歳以上</v>
      </c>
      <c r="BR1119" s="8" t="str">
        <f aca="false">IF(A1119="","",IF(BA1119&lt;=1200,"～1200",IF(BA1119&lt;=1500,"1300～1500",IF(BA1119=1600,"1600",IF(BA1119&lt;=1800,"1700～1800",IF(BA1119&lt;=2000,"1900～2000","2100以上"))))))</f>
        <v>1700～1800</v>
      </c>
      <c r="BS1119" s="8" t="str">
        <f aca="false">IF(A1119="","",IF(AX1119="G1","G1",IF(AX1119="G2","G2",IF(AX1119="G3","G3",IF(AX1119="L","L","その他")))))</f>
        <v>その他</v>
      </c>
      <c r="BT1119" s="8" t="str">
        <f aca="false">IF(A1119="","",IF(BI1119="","未結合",IF(D1119=BI1119,"一致","不一致")))</f>
        <v>一致</v>
      </c>
      <c r="BU1119" s="8" t="str">
        <f aca="false">IF(A1119="","",IF(BE1119="牝馬限定","牝馬限定","その他"))</f>
        <v>その他</v>
      </c>
    </row>
    <row r="1120" customFormat="false" ht="15.75" hidden="false" customHeight="false" outlineLevel="0" collapsed="false">
      <c r="A1120" s="6" t="n">
        <f aca="false">DATE(2026,5,3)</f>
        <v>46145</v>
      </c>
      <c r="B1120" s="4" t="s">
        <v>5435</v>
      </c>
      <c r="C1120" s="8" t="n">
        <v>10</v>
      </c>
      <c r="D1120" s="8" t="n">
        <v>18</v>
      </c>
      <c r="E1120" s="8" t="n">
        <v>3</v>
      </c>
      <c r="F1120" s="4" t="s">
        <v>5116</v>
      </c>
      <c r="G1120" s="8" t="n">
        <v>50</v>
      </c>
      <c r="H1120" s="8" t="n">
        <v>2</v>
      </c>
      <c r="I1120" s="4" t="s">
        <v>445</v>
      </c>
      <c r="J1120" s="8" t="n">
        <v>47</v>
      </c>
      <c r="K1120" s="8" t="n">
        <v>9</v>
      </c>
      <c r="L1120" s="4" t="s">
        <v>1215</v>
      </c>
      <c r="M1120" s="8" t="n">
        <v>47</v>
      </c>
      <c r="N1120" s="8" t="n">
        <f aca="false">IF(A1120="","",G1120-J1120)</f>
        <v>3</v>
      </c>
      <c r="O1120" s="8" t="n">
        <f aca="false">IF(A1120="","",J1120-M1120)</f>
        <v>0</v>
      </c>
      <c r="P1120" s="8" t="n">
        <f aca="false">IF(A1120="","",G1120+J1120)</f>
        <v>97</v>
      </c>
      <c r="Q1120" s="8" t="str">
        <f aca="false">IF(A1120="","",IF(AND(Y1120&lt;&gt;"参考",G1120&gt;=ルール設定!$B$2),"○",""))</f>
        <v/>
      </c>
      <c r="R1120" s="8" t="str">
        <f aca="false">IF(A1120="","",IF(AND(Y1120&lt;&gt;"参考",G1120&gt;=ルール設定!$B$3,N1120&gt;=ルール設定!$B$4),"○",""))</f>
        <v/>
      </c>
      <c r="S1120" s="8" t="str">
        <f aca="false">IF(A1120="","",IF(AND(Y1120&lt;&gt;"参考",G1120&gt;=ルール設定!$B$5,J1120&gt;=ルール設定!$B$6,O1120&gt;=ルール設定!$B$7),"○",""))</f>
        <v/>
      </c>
      <c r="T1120" s="8" t="n">
        <v>1</v>
      </c>
      <c r="U1120" s="8" t="n">
        <v>2</v>
      </c>
      <c r="V1120" s="8" t="str">
        <f aca="false">IF(A1120="","",IF(AND(ISNUMBER(T1120),ISNUMBER(U1120)),IF(AND(T1120&lt;=3,U1120&lt;=3),"○","×"),""))</f>
        <v>○</v>
      </c>
      <c r="W1120" s="8" t="n">
        <v>150</v>
      </c>
      <c r="X1120" s="8" t="n">
        <v>590</v>
      </c>
      <c r="Y1120" s="4" t="s">
        <v>7597</v>
      </c>
      <c r="Z1120" s="8" t="s">
        <v>8111</v>
      </c>
      <c r="AA1120" s="8" t="str">
        <v/>
      </c>
      <c r="AB1120" s="8" t="str">
        <v/>
      </c>
      <c r="AC1120" s="8" t="str">
        <v/>
      </c>
      <c r="AD1120" s="8" t="str">
        <v/>
      </c>
      <c r="AE1120" s="8" t="str">
        <v/>
      </c>
      <c r="AF1120" s="8" t="str">
        <v/>
      </c>
      <c r="AG1120" s="8" t="str">
        <v/>
      </c>
      <c r="AH1120" s="8" t="str">
        <v/>
      </c>
      <c r="AI1120" s="8" t="n">
        <v>3</v>
      </c>
      <c r="AJ1120" s="8" t="str">
        <v>～59</v>
      </c>
      <c r="AK1120" s="8" t="str">
        <v>0～4</v>
      </c>
      <c r="AL1120" s="8" t="str">
        <v>0～9</v>
      </c>
      <c r="AM1120" s="8" t="str">
        <v>～99</v>
      </c>
      <c r="AN1120" s="8" t="str">
        <v>15以上</v>
      </c>
      <c r="AO1120" s="8" t="str">
        <f aca="false">IF(A1120="","",IF(COUNTIFS(全馬データ!$A$2:$A$50000,A1120,全馬データ!$B$2:$B$50000,B1120,全馬データ!$C$2:$C$50000,C1120,全馬データ!$D$2:$D$50000,E1120,全馬データ!$K$2:$K$50000,"&lt;&gt;")=0,"",SUMIFS(全馬データ!$K$2:$K$50000,全馬データ!$A$2:$A$50000,A1120,全馬データ!$B$2:$B$50000,B1120,全馬データ!$C$2:$C$50000,C1120,全馬データ!$D$2:$D$50000,E1120)))</f>
        <v/>
      </c>
      <c r="AP1120" s="8" t="str">
        <f aca="false">IF(A1120="","",IF(AO1120="","欠損",IF(AO1120&lt;=1.1,"1.0～1.1",IF(AO1120&lt;1.3,"1.2",IF(AO1120&lt;1.5,"1.3～1.4",IF(AO1120&lt;2,"1.5～1.9","2.0以上"))))))</f>
        <v>欠損</v>
      </c>
      <c r="AQ1120" s="8" t="str">
        <f aca="false">IF(A1120="","",IF(ISNUMBER(SEARCH("2歳",Z1120)),"2歳戦",IF(ISNUMBER(SEARCH("3歳未勝利",Z1120)),"3歳未勝利",IF(ISNUMBER(SEARCH("未勝利",Z1120)),"その他未勝利",IF(ISNUMBER(SEARCH("G1",Z1120)),"G1",IF(ISNUMBER(SEARCH("G2",Z1120)),"G2",IF(ISNUMBER(SEARCH("G3",Z1120)),"G3",IF(ISNUMBER(SEARCH("古馬条件",Z1120)),"古馬条件戦",IF(ISNUMBER(SEARCH("重賞",Z1120)),"重賞","分類不能")))))))))</f>
        <v>分類不能</v>
      </c>
      <c r="AR1120" s="4" t="s">
        <v>8157</v>
      </c>
      <c r="AS1120" s="8" t="s">
        <v>7842</v>
      </c>
      <c r="AT1120" s="8" t="s">
        <v>7843</v>
      </c>
      <c r="AU1120" s="8" t="s">
        <v>7639</v>
      </c>
      <c r="AV1120" s="8" t="s">
        <v>7640</v>
      </c>
      <c r="AW1120" s="8" t="s">
        <v>7636</v>
      </c>
      <c r="AX1120" s="4" t="s">
        <v>7637</v>
      </c>
      <c r="AY1120" s="8" t="s">
        <v>7602</v>
      </c>
      <c r="AZ1120" s="4" t="s">
        <v>7603</v>
      </c>
      <c r="BA1120" s="8" t="n">
        <v>1200</v>
      </c>
      <c r="BB1120" s="8" t="s">
        <v>7598</v>
      </c>
      <c r="BC1120" s="4" t="s">
        <v>7604</v>
      </c>
      <c r="BD1120" s="8" t="s">
        <v>7630</v>
      </c>
      <c r="BE1120" s="4" t="s">
        <v>7606</v>
      </c>
      <c r="BF1120" s="8" t="s">
        <v>7607</v>
      </c>
      <c r="BG1120" s="8" t="s">
        <v>7631</v>
      </c>
      <c r="BH1120" s="4" t="s">
        <v>7632</v>
      </c>
      <c r="BI1120" s="8" t="n">
        <v>18</v>
      </c>
      <c r="BJ1120" s="8" t="s">
        <v>7602</v>
      </c>
      <c r="BK1120" s="4" t="s">
        <v>7653</v>
      </c>
      <c r="BL1120" s="8" t="s">
        <v>7602</v>
      </c>
      <c r="BM1120" s="4" t="s">
        <v>7620</v>
      </c>
      <c r="BN1120" s="8" t="s">
        <v>7636</v>
      </c>
      <c r="BO1120" s="8" t="s">
        <v>7804</v>
      </c>
      <c r="BP1120" s="8" t="s">
        <v>7610</v>
      </c>
      <c r="BQ1120" s="8" t="str">
        <f aca="false">IF(A1120="","",AT1120)</f>
        <v>4歳以上</v>
      </c>
      <c r="BR1120" s="8" t="str">
        <f aca="false">IF(A1120="","",IF(BA1120&lt;=1200,"～1200",IF(BA1120&lt;=1500,"1300～1500",IF(BA1120=1600,"1600",IF(BA1120&lt;=1800,"1700～1800",IF(BA1120&lt;=2000,"1900～2000","2100以上"))))))</f>
        <v>～1200</v>
      </c>
      <c r="BS1120" s="8" t="str">
        <f aca="false">IF(A1120="","",IF(AX1120="G1","G1",IF(AX1120="G2","G2",IF(AX1120="G3","G3",IF(AX1120="L","L","その他")))))</f>
        <v>その他</v>
      </c>
      <c r="BT1120" s="8" t="str">
        <f aca="false">IF(A1120="","",IF(BI1120="","未結合",IF(D1120=BI1120,"一致","不一致")))</f>
        <v>一致</v>
      </c>
      <c r="BU1120" s="8" t="str">
        <f aca="false">IF(A1120="","",IF(BE1120="牝馬限定","牝馬限定","その他"))</f>
        <v>その他</v>
      </c>
    </row>
    <row r="1121" customFormat="false" ht="15.75" hidden="false" customHeight="false" outlineLevel="0" collapsed="false">
      <c r="A1121" s="6" t="n">
        <f aca="false">DATE(2026,5,3)</f>
        <v>46145</v>
      </c>
      <c r="B1121" s="4" t="s">
        <v>5435</v>
      </c>
      <c r="C1121" s="8" t="n">
        <v>11</v>
      </c>
      <c r="D1121" s="8" t="n">
        <v>15</v>
      </c>
      <c r="E1121" s="8" t="n">
        <v>3</v>
      </c>
      <c r="F1121" s="4" t="s">
        <v>6869</v>
      </c>
      <c r="G1121" s="8" t="n">
        <v>66</v>
      </c>
      <c r="H1121" s="8" t="n">
        <v>7</v>
      </c>
      <c r="I1121" s="4" t="s">
        <v>5303</v>
      </c>
      <c r="J1121" s="8" t="n">
        <v>58</v>
      </c>
      <c r="K1121" s="8" t="n">
        <v>4</v>
      </c>
      <c r="L1121" s="4" t="s">
        <v>7409</v>
      </c>
      <c r="M1121" s="8" t="n">
        <v>31</v>
      </c>
      <c r="N1121" s="8" t="n">
        <f aca="false">IF(A1121="","",G1121-J1121)</f>
        <v>8</v>
      </c>
      <c r="O1121" s="8" t="n">
        <f aca="false">IF(A1121="","",J1121-M1121)</f>
        <v>27</v>
      </c>
      <c r="P1121" s="8" t="n">
        <f aca="false">IF(A1121="","",G1121+J1121)</f>
        <v>124</v>
      </c>
      <c r="Q1121" s="8" t="str">
        <f aca="false">IF(A1121="","",IF(AND(Y1121&lt;&gt;"参考",G1121&gt;=ルール設定!$B$2),"○",""))</f>
        <v/>
      </c>
      <c r="R1121" s="8" t="str">
        <f aca="false">IF(A1121="","",IF(AND(Y1121&lt;&gt;"参考",G1121&gt;=ルール設定!$B$3,N1121&gt;=ルール設定!$B$4),"○",""))</f>
        <v/>
      </c>
      <c r="S1121" s="8" t="str">
        <f aca="false">IF(A1121="","",IF(AND(Y1121&lt;&gt;"参考",G1121&gt;=ルール設定!$B$5,J1121&gt;=ルール設定!$B$6,O1121&gt;=ルール設定!$B$7),"○",""))</f>
        <v>○</v>
      </c>
      <c r="T1121" s="8" t="n">
        <v>3</v>
      </c>
      <c r="U1121" s="8" t="n">
        <v>1</v>
      </c>
      <c r="V1121" s="8" t="str">
        <f aca="false">IF(A1121="","",IF(AND(ISNUMBER(T1121),ISNUMBER(U1121)),IF(AND(T1121&lt;=3,U1121&lt;=3),"○","×"),""))</f>
        <v>○</v>
      </c>
      <c r="W1121" s="8" t="n">
        <v>120</v>
      </c>
      <c r="X1121" s="8" t="n">
        <v>170</v>
      </c>
      <c r="Y1121" s="4" t="s">
        <v>7597</v>
      </c>
      <c r="Z1121" s="8" t="s">
        <v>8111</v>
      </c>
      <c r="AA1121" s="8" t="str">
        <v/>
      </c>
      <c r="AB1121" s="8" t="str">
        <v/>
      </c>
      <c r="AC1121" s="8" t="str">
        <v/>
      </c>
      <c r="AD1121" s="8" t="str">
        <v/>
      </c>
      <c r="AE1121" s="8" t="str">
        <v/>
      </c>
      <c r="AF1121" s="8" t="str">
        <v/>
      </c>
      <c r="AG1121" s="8" t="str">
        <v/>
      </c>
      <c r="AH1121" s="8" t="str">
        <v/>
      </c>
      <c r="AI1121" s="8" t="n">
        <v>35</v>
      </c>
      <c r="AJ1121" s="8" t="str">
        <v>60～69</v>
      </c>
      <c r="AK1121" s="8" t="str">
        <v>5～9</v>
      </c>
      <c r="AL1121" s="8" t="str">
        <v>30～39</v>
      </c>
      <c r="AM1121" s="8" t="str">
        <v>120～139</v>
      </c>
      <c r="AN1121" s="8" t="str">
        <v>15以上</v>
      </c>
      <c r="AO1121" s="8" t="str">
        <f aca="false">IF(A1121="","",IF(COUNTIFS(全馬データ!$A$2:$A$50000,A1121,全馬データ!$B$2:$B$50000,B1121,全馬データ!$C$2:$C$50000,C1121,全馬データ!$D$2:$D$50000,E1121,全馬データ!$K$2:$K$50000,"&lt;&gt;")=0,"",SUMIFS(全馬データ!$K$2:$K$50000,全馬データ!$A$2:$A$50000,A1121,全馬データ!$B$2:$B$50000,B1121,全馬データ!$C$2:$C$50000,C1121,全馬データ!$D$2:$D$50000,E1121)))</f>
        <v/>
      </c>
      <c r="AP1121" s="8" t="str">
        <f aca="false">IF(A1121="","",IF(AO1121="","欠損",IF(AO1121&lt;=1.1,"1.0～1.1",IF(AO1121&lt;1.3,"1.2",IF(AO1121&lt;1.5,"1.3～1.4",IF(AO1121&lt;2,"1.5～1.9","2.0以上"))))))</f>
        <v>欠損</v>
      </c>
      <c r="AQ1121" s="8" t="str">
        <f aca="false">IF(A1121="","",IF(ISNUMBER(SEARCH("2歳",Z1121)),"2歳戦",IF(ISNUMBER(SEARCH("3歳未勝利",Z1121)),"3歳未勝利",IF(ISNUMBER(SEARCH("未勝利",Z1121)),"その他未勝利",IF(ISNUMBER(SEARCH("G1",Z1121)),"G1",IF(ISNUMBER(SEARCH("G2",Z1121)),"G2",IF(ISNUMBER(SEARCH("G3",Z1121)),"G3",IF(ISNUMBER(SEARCH("古馬条件",Z1121)),"古馬条件戦",IF(ISNUMBER(SEARCH("重賞",Z1121)),"重賞","分類不能")))))))))</f>
        <v>分類不能</v>
      </c>
      <c r="AR1121" s="4" t="s">
        <v>8158</v>
      </c>
      <c r="AS1121" s="8" t="s">
        <v>7842</v>
      </c>
      <c r="AT1121" s="8" t="s">
        <v>7843</v>
      </c>
      <c r="AU1121" s="8" t="s">
        <v>7643</v>
      </c>
      <c r="AV1121" s="4" t="s">
        <v>7644</v>
      </c>
      <c r="AW1121" s="8" t="s">
        <v>7602</v>
      </c>
      <c r="AX1121" s="8" t="s">
        <v>7814</v>
      </c>
      <c r="AY1121" s="8" t="s">
        <v>7602</v>
      </c>
      <c r="AZ1121" s="4" t="s">
        <v>7603</v>
      </c>
      <c r="BA1121" s="8" t="n">
        <v>3200</v>
      </c>
      <c r="BB1121" s="8" t="s">
        <v>7598</v>
      </c>
      <c r="BC1121" s="4" t="s">
        <v>7604</v>
      </c>
      <c r="BD1121" s="8" t="s">
        <v>7672</v>
      </c>
      <c r="BE1121" s="4" t="s">
        <v>7606</v>
      </c>
      <c r="BF1121" s="8" t="s">
        <v>7607</v>
      </c>
      <c r="BG1121" s="8" t="s">
        <v>7631</v>
      </c>
      <c r="BH1121" s="4" t="s">
        <v>7632</v>
      </c>
      <c r="BI1121" s="8" t="n">
        <v>15</v>
      </c>
      <c r="BJ1121" s="8" t="s">
        <v>7602</v>
      </c>
      <c r="BK1121" s="4" t="s">
        <v>7653</v>
      </c>
      <c r="BL1121" s="8" t="s">
        <v>7610</v>
      </c>
      <c r="BM1121" s="4" t="s">
        <v>7612</v>
      </c>
      <c r="BN1121" s="8" t="s">
        <v>7636</v>
      </c>
      <c r="BO1121" s="8" t="s">
        <v>7804</v>
      </c>
      <c r="BP1121" s="8" t="s">
        <v>7610</v>
      </c>
      <c r="BQ1121" s="8" t="str">
        <f aca="false">IF(A1121="","",AT1121)</f>
        <v>4歳以上</v>
      </c>
      <c r="BR1121" s="8" t="str">
        <f aca="false">IF(A1121="","",IF(BA1121&lt;=1200,"～1200",IF(BA1121&lt;=1500,"1300～1500",IF(BA1121=1600,"1600",IF(BA1121&lt;=1800,"1700～1800",IF(BA1121&lt;=2000,"1900～2000","2100以上"))))))</f>
        <v>2100以上</v>
      </c>
      <c r="BS1121" s="8" t="str">
        <f aca="false">IF(A1121="","",IF(AX1121="G1","G1",IF(AX1121="G2","G2",IF(AX1121="G3","G3",IF(AX1121="L","L","その他")))))</f>
        <v>G1</v>
      </c>
      <c r="BT1121" s="8" t="str">
        <f aca="false">IF(A1121="","",IF(BI1121="","未結合",IF(D1121=BI1121,"一致","不一致")))</f>
        <v>一致</v>
      </c>
      <c r="BU1121" s="8" t="str">
        <f aca="false">IF(A1121="","",IF(BE1121="牝馬限定","牝馬限定","その他"))</f>
        <v>その他</v>
      </c>
    </row>
    <row r="1122" customFormat="false" ht="15.75" hidden="false" customHeight="false" outlineLevel="0" collapsed="false">
      <c r="A1122" s="6" t="n">
        <f aca="false">DATE(2026,5,3)</f>
        <v>46145</v>
      </c>
      <c r="B1122" s="4" t="s">
        <v>5435</v>
      </c>
      <c r="C1122" s="8" t="n">
        <v>12</v>
      </c>
      <c r="D1122" s="8" t="n">
        <v>16</v>
      </c>
      <c r="E1122" s="8" t="n">
        <v>6</v>
      </c>
      <c r="F1122" s="4" t="s">
        <v>3631</v>
      </c>
      <c r="G1122" s="8" t="n">
        <v>50</v>
      </c>
      <c r="H1122" s="8" t="n">
        <v>5</v>
      </c>
      <c r="I1122" s="4" t="s">
        <v>5712</v>
      </c>
      <c r="J1122" s="8" t="n">
        <v>37</v>
      </c>
      <c r="K1122" s="8" t="n">
        <v>14</v>
      </c>
      <c r="L1122" s="4" t="s">
        <v>1683</v>
      </c>
      <c r="M1122" s="8" t="n">
        <v>37</v>
      </c>
      <c r="N1122" s="8" t="n">
        <f aca="false">IF(A1122="","",G1122-J1122)</f>
        <v>13</v>
      </c>
      <c r="O1122" s="8" t="n">
        <f aca="false">IF(A1122="","",J1122-M1122)</f>
        <v>0</v>
      </c>
      <c r="P1122" s="8" t="n">
        <f aca="false">IF(A1122="","",G1122+J1122)</f>
        <v>87</v>
      </c>
      <c r="Q1122" s="8" t="str">
        <f aca="false">IF(A1122="","",IF(AND(Y1122&lt;&gt;"参考",G1122&gt;=ルール設定!$B$2),"○",""))</f>
        <v/>
      </c>
      <c r="R1122" s="8" t="str">
        <f aca="false">IF(A1122="","",IF(AND(Y1122&lt;&gt;"参考",G1122&gt;=ルール設定!$B$3,N1122&gt;=ルール設定!$B$4),"○",""))</f>
        <v/>
      </c>
      <c r="S1122" s="8" t="str">
        <f aca="false">IF(A1122="","",IF(AND(Y1122&lt;&gt;"参考",G1122&gt;=ルール設定!$B$5,J1122&gt;=ルール設定!$B$6,O1122&gt;=ルール設定!$B$7),"○",""))</f>
        <v/>
      </c>
      <c r="T1122" s="8" t="n">
        <v>4</v>
      </c>
      <c r="U1122" s="8" t="n">
        <v>4</v>
      </c>
      <c r="V1122" s="8" t="str">
        <f aca="false">IF(A1122="","",IF(AND(ISNUMBER(T1122),ISNUMBER(U1122)),IF(AND(T1122&lt;=3,U1122&lt;=3),"○","×"),""))</f>
        <v>×</v>
      </c>
      <c r="W1122" s="8"/>
      <c r="X1122" s="8"/>
      <c r="Y1122" s="4" t="s">
        <v>7597</v>
      </c>
      <c r="Z1122" s="8" t="s">
        <v>8111</v>
      </c>
      <c r="AA1122" s="8" t="str">
        <v/>
      </c>
      <c r="AB1122" s="8" t="str">
        <v/>
      </c>
      <c r="AC1122" s="8" t="str">
        <v/>
      </c>
      <c r="AD1122" s="8" t="str">
        <v/>
      </c>
      <c r="AE1122" s="8" t="str">
        <v/>
      </c>
      <c r="AF1122" s="8" t="str">
        <v/>
      </c>
      <c r="AG1122" s="8" t="str">
        <v/>
      </c>
      <c r="AH1122" s="8" t="str">
        <v/>
      </c>
      <c r="AI1122" s="8" t="n">
        <v>13</v>
      </c>
      <c r="AJ1122" s="8" t="str">
        <v>～59</v>
      </c>
      <c r="AK1122" s="8" t="str">
        <v>10～19</v>
      </c>
      <c r="AL1122" s="8" t="str">
        <v>10～19</v>
      </c>
      <c r="AM1122" s="8" t="str">
        <v>～99</v>
      </c>
      <c r="AN1122" s="8" t="str">
        <v>15以上</v>
      </c>
      <c r="AO1122" s="8" t="str">
        <f aca="false">IF(A1122="","",IF(COUNTIFS(全馬データ!$A$2:$A$50000,A1122,全馬データ!$B$2:$B$50000,B1122,全馬データ!$C$2:$C$50000,C1122,全馬データ!$D$2:$D$50000,E1122,全馬データ!$K$2:$K$50000,"&lt;&gt;")=0,"",SUMIFS(全馬データ!$K$2:$K$50000,全馬データ!$A$2:$A$50000,A1122,全馬データ!$B$2:$B$50000,B1122,全馬データ!$C$2:$C$50000,C1122,全馬データ!$D$2:$D$50000,E1122)))</f>
        <v/>
      </c>
      <c r="AP1122" s="8" t="str">
        <f aca="false">IF(A1122="","",IF(AO1122="","欠損",IF(AO1122&lt;=1.1,"1.0～1.1",IF(AO1122&lt;1.3,"1.2",IF(AO1122&lt;1.5,"1.3～1.4",IF(AO1122&lt;2,"1.5～1.9","2.0以上"))))))</f>
        <v>欠損</v>
      </c>
      <c r="AQ1122" s="8" t="str">
        <f aca="false">IF(A1122="","",IF(ISNUMBER(SEARCH("2歳",Z1122)),"2歳戦",IF(ISNUMBER(SEARCH("3歳未勝利",Z1122)),"3歳未勝利",IF(ISNUMBER(SEARCH("未勝利",Z1122)),"その他未勝利",IF(ISNUMBER(SEARCH("G1",Z1122)),"G1",IF(ISNUMBER(SEARCH("G2",Z1122)),"G2",IF(ISNUMBER(SEARCH("G3",Z1122)),"G3",IF(ISNUMBER(SEARCH("古馬条件",Z1122)),"古馬条件戦",IF(ISNUMBER(SEARCH("重賞",Z1122)),"重賞","分類不能")))))))))</f>
        <v>分類不能</v>
      </c>
      <c r="AR1122" s="4" t="s">
        <v>8159</v>
      </c>
      <c r="AS1122" s="8" t="s">
        <v>7842</v>
      </c>
      <c r="AT1122" s="8" t="s">
        <v>7843</v>
      </c>
      <c r="AU1122" s="8" t="s">
        <v>7639</v>
      </c>
      <c r="AV1122" s="8" t="s">
        <v>7640</v>
      </c>
      <c r="AW1122" s="8" t="s">
        <v>7636</v>
      </c>
      <c r="AX1122" s="4" t="s">
        <v>7637</v>
      </c>
      <c r="AY1122" s="8" t="s">
        <v>7610</v>
      </c>
      <c r="AZ1122" s="4" t="s">
        <v>7617</v>
      </c>
      <c r="BA1122" s="8" t="n">
        <v>1400</v>
      </c>
      <c r="BB1122" s="8" t="s">
        <v>7618</v>
      </c>
      <c r="BC1122" s="4" t="s">
        <v>7619</v>
      </c>
      <c r="BD1122" s="8" t="s">
        <v>7605</v>
      </c>
      <c r="BE1122" s="4" t="s">
        <v>7606</v>
      </c>
      <c r="BF1122" s="8" t="s">
        <v>7607</v>
      </c>
      <c r="BG1122" s="8" t="s">
        <v>7602</v>
      </c>
      <c r="BH1122" s="4" t="s">
        <v>7667</v>
      </c>
      <c r="BI1122" s="8" t="n">
        <v>16</v>
      </c>
      <c r="BJ1122" s="8" t="s">
        <v>7602</v>
      </c>
      <c r="BK1122" s="4" t="s">
        <v>7653</v>
      </c>
      <c r="BL1122" s="8" t="s">
        <v>7602</v>
      </c>
      <c r="BM1122" s="4" t="s">
        <v>7620</v>
      </c>
      <c r="BN1122" s="8"/>
      <c r="BO1122" s="8"/>
      <c r="BP1122" s="8" t="s">
        <v>7610</v>
      </c>
      <c r="BQ1122" s="8" t="str">
        <f aca="false">IF(A1122="","",AT1122)</f>
        <v>4歳以上</v>
      </c>
      <c r="BR1122" s="8" t="str">
        <f aca="false">IF(A1122="","",IF(BA1122&lt;=1200,"～1200",IF(BA1122&lt;=1500,"1300～1500",IF(BA1122=1600,"1600",IF(BA1122&lt;=1800,"1700～1800",IF(BA1122&lt;=2000,"1900～2000","2100以上"))))))</f>
        <v>1300～1500</v>
      </c>
      <c r="BS1122" s="8" t="str">
        <f aca="false">IF(A1122="","",IF(AX1122="G1","G1",IF(AX1122="G2","G2",IF(AX1122="G3","G3",IF(AX1122="L","L","その他")))))</f>
        <v>その他</v>
      </c>
      <c r="BT1122" s="8" t="str">
        <f aca="false">IF(A1122="","",IF(BI1122="","未結合",IF(D1122=BI1122,"一致","不一致")))</f>
        <v>一致</v>
      </c>
      <c r="BU1122" s="8" t="str">
        <f aca="false">IF(A1122="","",IF(BE1122="牝馬限定","牝馬限定","その他"))</f>
        <v>その他</v>
      </c>
    </row>
    <row r="1123" customFormat="false" ht="15.75" hidden="false" customHeight="false" outlineLevel="0" collapsed="false">
      <c r="A1123" s="6" t="n">
        <f aca="false">DATE(2026,5,3)</f>
        <v>46145</v>
      </c>
      <c r="B1123" s="4" t="s">
        <v>13</v>
      </c>
      <c r="C1123" s="8" t="n">
        <v>1</v>
      </c>
      <c r="D1123" s="8" t="n">
        <v>16</v>
      </c>
      <c r="E1123" s="8" t="n">
        <v>6</v>
      </c>
      <c r="F1123" s="4" t="s">
        <v>7419</v>
      </c>
      <c r="G1123" s="8" t="n">
        <v>65</v>
      </c>
      <c r="H1123" s="8" t="n">
        <v>1</v>
      </c>
      <c r="I1123" s="4" t="s">
        <v>998</v>
      </c>
      <c r="J1123" s="8" t="n">
        <v>56</v>
      </c>
      <c r="K1123" s="8" t="n">
        <v>16</v>
      </c>
      <c r="L1123" s="4" t="s">
        <v>7424</v>
      </c>
      <c r="M1123" s="8" t="n">
        <v>31</v>
      </c>
      <c r="N1123" s="8" t="n">
        <f aca="false">IF(A1123="","",G1123-J1123)</f>
        <v>9</v>
      </c>
      <c r="O1123" s="8" t="n">
        <f aca="false">IF(A1123="","",J1123-M1123)</f>
        <v>25</v>
      </c>
      <c r="P1123" s="8" t="n">
        <f aca="false">IF(A1123="","",G1123+J1123)</f>
        <v>121</v>
      </c>
      <c r="Q1123" s="8" t="str">
        <f aca="false">IF(A1123="","",IF(AND(Y1123&lt;&gt;"参考",G1123&gt;=ルール設定!$B$2),"○",""))</f>
        <v/>
      </c>
      <c r="R1123" s="8" t="str">
        <f aca="false">IF(A1123="","",IF(AND(Y1123&lt;&gt;"参考",G1123&gt;=ルール設定!$B$3,N1123&gt;=ルール設定!$B$4),"○",""))</f>
        <v/>
      </c>
      <c r="S1123" s="8" t="str">
        <f aca="false">IF(A1123="","",IF(AND(Y1123&lt;&gt;"参考",G1123&gt;=ルール設定!$B$5,J1123&gt;=ルール設定!$B$6,O1123&gt;=ルール設定!$B$7),"○",""))</f>
        <v>○</v>
      </c>
      <c r="T1123" s="8" t="n">
        <v>4</v>
      </c>
      <c r="U1123" s="8" t="n">
        <v>2</v>
      </c>
      <c r="V1123" s="8" t="str">
        <f aca="false">IF(A1123="","",IF(AND(ISNUMBER(T1123),ISNUMBER(U1123)),IF(AND(T1123&lt;=3,U1123&lt;=3),"○","×"),""))</f>
        <v>×</v>
      </c>
      <c r="W1123" s="8"/>
      <c r="X1123" s="8"/>
      <c r="Y1123" s="4" t="s">
        <v>7597</v>
      </c>
      <c r="Z1123" s="8" t="s">
        <v>8111</v>
      </c>
      <c r="AA1123" s="8" t="str">
        <v/>
      </c>
      <c r="AB1123" s="8" t="str">
        <v/>
      </c>
      <c r="AC1123" s="8" t="str">
        <v/>
      </c>
      <c r="AD1123" s="8" t="str">
        <v/>
      </c>
      <c r="AE1123" s="8" t="str">
        <v/>
      </c>
      <c r="AF1123" s="8" t="str">
        <v/>
      </c>
      <c r="AG1123" s="8" t="str">
        <v/>
      </c>
      <c r="AH1123" s="8" t="str">
        <v/>
      </c>
      <c r="AI1123" s="8" t="n">
        <v>34</v>
      </c>
      <c r="AJ1123" s="8" t="str">
        <v>60～69</v>
      </c>
      <c r="AK1123" s="8" t="str">
        <v>5～9</v>
      </c>
      <c r="AL1123" s="8" t="str">
        <v>30～39</v>
      </c>
      <c r="AM1123" s="8" t="str">
        <v>120～139</v>
      </c>
      <c r="AN1123" s="8" t="str">
        <v>15以上</v>
      </c>
      <c r="AO1123" s="8" t="str">
        <f aca="false">IF(A1123="","",IF(COUNTIFS(全馬データ!$A$2:$A$50000,A1123,全馬データ!$B$2:$B$50000,B1123,全馬データ!$C$2:$C$50000,C1123,全馬データ!$D$2:$D$50000,E1123,全馬データ!$K$2:$K$50000,"&lt;&gt;")=0,"",SUMIFS(全馬データ!$K$2:$K$50000,全馬データ!$A$2:$A$50000,A1123,全馬データ!$B$2:$B$50000,B1123,全馬データ!$C$2:$C$50000,C1123,全馬データ!$D$2:$D$50000,E1123)))</f>
        <v/>
      </c>
      <c r="AP1123" s="8" t="str">
        <f aca="false">IF(A1123="","",IF(AO1123="","欠損",IF(AO1123&lt;=1.1,"1.0～1.1",IF(AO1123&lt;1.3,"1.2",IF(AO1123&lt;1.5,"1.3～1.4",IF(AO1123&lt;2,"1.5～1.9","2.0以上"))))))</f>
        <v>欠損</v>
      </c>
      <c r="AQ1123" s="8" t="str">
        <f aca="false">IF(A1123="","",IF(ISNUMBER(SEARCH("2歳",Z1123)),"2歳戦",IF(ISNUMBER(SEARCH("3歳未勝利",Z1123)),"3歳未勝利",IF(ISNUMBER(SEARCH("未勝利",Z1123)),"その他未勝利",IF(ISNUMBER(SEARCH("G1",Z1123)),"G1",IF(ISNUMBER(SEARCH("G2",Z1123)),"G2",IF(ISNUMBER(SEARCH("G3",Z1123)),"G3",IF(ISNUMBER(SEARCH("古馬条件",Z1123)),"古馬条件戦",IF(ISNUMBER(SEARCH("重賞",Z1123)),"重賞","分類不能")))))))))</f>
        <v>分類不能</v>
      </c>
      <c r="AR1123" s="8"/>
      <c r="AS1123" s="8" t="s">
        <v>7623</v>
      </c>
      <c r="AT1123" s="8" t="s">
        <v>7624</v>
      </c>
      <c r="AU1123" s="8" t="s">
        <v>7600</v>
      </c>
      <c r="AV1123" s="4" t="s">
        <v>7601</v>
      </c>
      <c r="AW1123" s="8"/>
      <c r="AX1123" s="8"/>
      <c r="AY1123" s="8" t="s">
        <v>7602</v>
      </c>
      <c r="AZ1123" s="4" t="s">
        <v>7603</v>
      </c>
      <c r="BA1123" s="8" t="n">
        <v>2000</v>
      </c>
      <c r="BB1123" s="8" t="s">
        <v>7659</v>
      </c>
      <c r="BC1123" s="4" t="s">
        <v>7619</v>
      </c>
      <c r="BD1123" s="8" t="s">
        <v>7621</v>
      </c>
      <c r="BE1123" s="4" t="s">
        <v>7622</v>
      </c>
      <c r="BF1123" s="8" t="s">
        <v>7602</v>
      </c>
      <c r="BG1123" s="8" t="s">
        <v>7608</v>
      </c>
      <c r="BH1123" s="4" t="s">
        <v>7609</v>
      </c>
      <c r="BI1123" s="8" t="n">
        <v>16</v>
      </c>
      <c r="BJ1123" s="8" t="s">
        <v>7610</v>
      </c>
      <c r="BK1123" s="4" t="s">
        <v>7611</v>
      </c>
      <c r="BL1123" s="8" t="s">
        <v>7602</v>
      </c>
      <c r="BM1123" s="4" t="s">
        <v>7620</v>
      </c>
      <c r="BN1123" s="8" t="s">
        <v>7631</v>
      </c>
      <c r="BO1123" s="8" t="s">
        <v>7680</v>
      </c>
      <c r="BP1123" s="8" t="s">
        <v>7608</v>
      </c>
      <c r="BQ1123" s="8" t="str">
        <f aca="false">IF(A1123="","",AT1123)</f>
        <v>3歳</v>
      </c>
      <c r="BR1123" s="8" t="str">
        <f aca="false">IF(A1123="","",IF(BA1123&lt;=1200,"～1200",IF(BA1123&lt;=1500,"1300～1500",IF(BA1123=1600,"1600",IF(BA1123&lt;=1800,"1700～1800",IF(BA1123&lt;=2000,"1900～2000","2100以上"))))))</f>
        <v>1900～2000</v>
      </c>
      <c r="BS1123" s="8" t="str">
        <f aca="false">IF(A1123="","",IF(AX1123="G1","G1",IF(AX1123="G2","G2",IF(AX1123="G3","G3",IF(AX1123="L","L","その他")))))</f>
        <v>その他</v>
      </c>
      <c r="BT1123" s="8" t="str">
        <f aca="false">IF(A1123="","",IF(BI1123="","未結合",IF(D1123=BI1123,"一致","不一致")))</f>
        <v>一致</v>
      </c>
      <c r="BU1123" s="8" t="str">
        <f aca="false">IF(A1123="","",IF(BE1123="牝馬限定","牝馬限定","その他"))</f>
        <v>牝馬限定</v>
      </c>
    </row>
    <row r="1124" customFormat="false" ht="15.75" hidden="false" customHeight="false" outlineLevel="0" collapsed="false">
      <c r="A1124" s="6" t="n">
        <f aca="false">DATE(2026,5,3)</f>
        <v>46145</v>
      </c>
      <c r="B1124" s="4" t="s">
        <v>13</v>
      </c>
      <c r="C1124" s="8" t="n">
        <v>2</v>
      </c>
      <c r="D1124" s="8" t="n">
        <v>15</v>
      </c>
      <c r="E1124" s="8" t="n">
        <v>7</v>
      </c>
      <c r="F1124" s="4" t="s">
        <v>4176</v>
      </c>
      <c r="G1124" s="8" t="n">
        <v>81</v>
      </c>
      <c r="H1124" s="8" t="n">
        <v>10</v>
      </c>
      <c r="I1124" s="4" t="s">
        <v>493</v>
      </c>
      <c r="J1124" s="8" t="n">
        <v>74</v>
      </c>
      <c r="K1124" s="8" t="n">
        <v>13</v>
      </c>
      <c r="L1124" s="4" t="s">
        <v>7428</v>
      </c>
      <c r="M1124" s="8" t="n">
        <v>47</v>
      </c>
      <c r="N1124" s="8" t="n">
        <f aca="false">IF(A1124="","",G1124-J1124)</f>
        <v>7</v>
      </c>
      <c r="O1124" s="8" t="n">
        <f aca="false">IF(A1124="","",J1124-M1124)</f>
        <v>27</v>
      </c>
      <c r="P1124" s="8" t="n">
        <f aca="false">IF(A1124="","",G1124+J1124)</f>
        <v>155</v>
      </c>
      <c r="Q1124" s="8" t="str">
        <f aca="false">IF(A1124="","",IF(AND(Y1124&lt;&gt;"参考",G1124&gt;=ルール設定!$B$2),"○",""))</f>
        <v>○</v>
      </c>
      <c r="R1124" s="8" t="str">
        <f aca="false">IF(A1124="","",IF(AND(Y1124&lt;&gt;"参考",G1124&gt;=ルール設定!$B$3,N1124&gt;=ルール設定!$B$4),"○",""))</f>
        <v/>
      </c>
      <c r="S1124" s="8" t="str">
        <f aca="false">IF(A1124="","",IF(AND(Y1124&lt;&gt;"参考",G1124&gt;=ルール設定!$B$5,J1124&gt;=ルール設定!$B$6,O1124&gt;=ルール設定!$B$7),"○",""))</f>
        <v>○</v>
      </c>
      <c r="T1124" s="8" t="n">
        <v>4</v>
      </c>
      <c r="U1124" s="8" t="n">
        <v>2</v>
      </c>
      <c r="V1124" s="8" t="str">
        <f aca="false">IF(A1124="","",IF(AND(ISNUMBER(T1124),ISNUMBER(U1124)),IF(AND(T1124&lt;=3,U1124&lt;=3),"○","×"),""))</f>
        <v>×</v>
      </c>
      <c r="W1124" s="8"/>
      <c r="X1124" s="8"/>
      <c r="Y1124" s="4" t="s">
        <v>7597</v>
      </c>
      <c r="Z1124" s="8" t="s">
        <v>8111</v>
      </c>
      <c r="AA1124" s="8" t="str">
        <v/>
      </c>
      <c r="AB1124" s="8" t="str">
        <v>○</v>
      </c>
      <c r="AC1124" s="8" t="str">
        <v/>
      </c>
      <c r="AD1124" s="8" t="str">
        <v/>
      </c>
      <c r="AE1124" s="8" t="str">
        <v/>
      </c>
      <c r="AF1124" s="8" t="str">
        <v>○</v>
      </c>
      <c r="AG1124" s="8" t="str">
        <v>○</v>
      </c>
      <c r="AH1124" s="8" t="str">
        <v/>
      </c>
      <c r="AI1124" s="8" t="n">
        <v>34</v>
      </c>
      <c r="AJ1124" s="8" t="str">
        <v>80～84</v>
      </c>
      <c r="AK1124" s="8" t="str">
        <v>5～9</v>
      </c>
      <c r="AL1124" s="8" t="str">
        <v>30～39</v>
      </c>
      <c r="AM1124" s="8" t="str">
        <v>140～159</v>
      </c>
      <c r="AN1124" s="8" t="str">
        <v>15以上</v>
      </c>
      <c r="AO1124" s="8" t="str">
        <f aca="false">IF(A1124="","",IF(COUNTIFS(全馬データ!$A$2:$A$50000,A1124,全馬データ!$B$2:$B$50000,B1124,全馬データ!$C$2:$C$50000,C1124,全馬データ!$D$2:$D$50000,E1124,全馬データ!$K$2:$K$50000,"&lt;&gt;")=0,"",SUMIFS(全馬データ!$K$2:$K$50000,全馬データ!$A$2:$A$50000,A1124,全馬データ!$B$2:$B$50000,B1124,全馬データ!$C$2:$C$50000,C1124,全馬データ!$D$2:$D$50000,E1124)))</f>
        <v/>
      </c>
      <c r="AP1124" s="8" t="str">
        <f aca="false">IF(A1124="","",IF(AO1124="","欠損",IF(AO1124&lt;=1.1,"1.0～1.1",IF(AO1124&lt;1.3,"1.2",IF(AO1124&lt;1.5,"1.3～1.4",IF(AO1124&lt;2,"1.5～1.9","2.0以上"))))))</f>
        <v>欠損</v>
      </c>
      <c r="AQ1124" s="8" t="str">
        <f aca="false">IF(A1124="","",IF(ISNUMBER(SEARCH("2歳",Z1124)),"2歳戦",IF(ISNUMBER(SEARCH("3歳未勝利",Z1124)),"3歳未勝利",IF(ISNUMBER(SEARCH("未勝利",Z1124)),"その他未勝利",IF(ISNUMBER(SEARCH("G1",Z1124)),"G1",IF(ISNUMBER(SEARCH("G2",Z1124)),"G2",IF(ISNUMBER(SEARCH("G3",Z1124)),"G3",IF(ISNUMBER(SEARCH("古馬条件",Z1124)),"古馬条件戦",IF(ISNUMBER(SEARCH("重賞",Z1124)),"重賞","分類不能")))))))))</f>
        <v>分類不能</v>
      </c>
      <c r="AR1124" s="8"/>
      <c r="AS1124" s="8" t="s">
        <v>7623</v>
      </c>
      <c r="AT1124" s="8" t="s">
        <v>7624</v>
      </c>
      <c r="AU1124" s="8" t="s">
        <v>7600</v>
      </c>
      <c r="AV1124" s="4" t="s">
        <v>7601</v>
      </c>
      <c r="AW1124" s="8"/>
      <c r="AX1124" s="8"/>
      <c r="AY1124" s="8" t="s">
        <v>7610</v>
      </c>
      <c r="AZ1124" s="4" t="s">
        <v>7617</v>
      </c>
      <c r="BA1124" s="8" t="n">
        <v>1200</v>
      </c>
      <c r="BB1124" s="8" t="s">
        <v>7618</v>
      </c>
      <c r="BC1124" s="4" t="s">
        <v>7619</v>
      </c>
      <c r="BD1124" s="8" t="s">
        <v>7605</v>
      </c>
      <c r="BE1124" s="4" t="s">
        <v>7606</v>
      </c>
      <c r="BF1124" s="8" t="s">
        <v>7607</v>
      </c>
      <c r="BG1124" s="8" t="s">
        <v>7608</v>
      </c>
      <c r="BH1124" s="4" t="s">
        <v>7609</v>
      </c>
      <c r="BI1124" s="8" t="n">
        <v>15</v>
      </c>
      <c r="BJ1124" s="8" t="s">
        <v>7610</v>
      </c>
      <c r="BK1124" s="4" t="s">
        <v>7611</v>
      </c>
      <c r="BL1124" s="8" t="s">
        <v>7602</v>
      </c>
      <c r="BM1124" s="4" t="s">
        <v>7620</v>
      </c>
      <c r="BN1124" s="8"/>
      <c r="BO1124" s="8"/>
      <c r="BP1124" s="8" t="s">
        <v>7608</v>
      </c>
      <c r="BQ1124" s="8" t="str">
        <f aca="false">IF(A1124="","",AT1124)</f>
        <v>3歳</v>
      </c>
      <c r="BR1124" s="8" t="str">
        <f aca="false">IF(A1124="","",IF(BA1124&lt;=1200,"～1200",IF(BA1124&lt;=1500,"1300～1500",IF(BA1124=1600,"1600",IF(BA1124&lt;=1800,"1700～1800",IF(BA1124&lt;=2000,"1900～2000","2100以上"))))))</f>
        <v>～1200</v>
      </c>
      <c r="BS1124" s="8" t="str">
        <f aca="false">IF(A1124="","",IF(AX1124="G1","G1",IF(AX1124="G2","G2",IF(AX1124="G3","G3",IF(AX1124="L","L","その他")))))</f>
        <v>その他</v>
      </c>
      <c r="BT1124" s="8" t="str">
        <f aca="false">IF(A1124="","",IF(BI1124="","未結合",IF(D1124=BI1124,"一致","不一致")))</f>
        <v>一致</v>
      </c>
      <c r="BU1124" s="8" t="str">
        <f aca="false">IF(A1124="","",IF(BE1124="牝馬限定","牝馬限定","その他"))</f>
        <v>その他</v>
      </c>
    </row>
    <row r="1125" customFormat="false" ht="15.75" hidden="false" customHeight="false" outlineLevel="0" collapsed="false">
      <c r="A1125" s="6" t="n">
        <f aca="false">DATE(2026,5,3)</f>
        <v>46145</v>
      </c>
      <c r="B1125" s="4" t="s">
        <v>13</v>
      </c>
      <c r="C1125" s="8" t="n">
        <v>3</v>
      </c>
      <c r="D1125" s="8" t="n">
        <v>14</v>
      </c>
      <c r="E1125" s="8" t="n">
        <v>3</v>
      </c>
      <c r="F1125" s="4" t="s">
        <v>227</v>
      </c>
      <c r="G1125" s="8" t="n">
        <v>65</v>
      </c>
      <c r="H1125" s="8" t="n">
        <v>6</v>
      </c>
      <c r="I1125" s="4" t="s">
        <v>4425</v>
      </c>
      <c r="J1125" s="8" t="n">
        <v>56</v>
      </c>
      <c r="K1125" s="8" t="n">
        <v>11</v>
      </c>
      <c r="L1125" s="4" t="s">
        <v>7432</v>
      </c>
      <c r="M1125" s="8" t="n">
        <v>50</v>
      </c>
      <c r="N1125" s="8" t="n">
        <f aca="false">IF(A1125="","",G1125-J1125)</f>
        <v>9</v>
      </c>
      <c r="O1125" s="8" t="n">
        <f aca="false">IF(A1125="","",J1125-M1125)</f>
        <v>6</v>
      </c>
      <c r="P1125" s="8" t="n">
        <f aca="false">IF(A1125="","",G1125+J1125)</f>
        <v>121</v>
      </c>
      <c r="Q1125" s="8" t="str">
        <f aca="false">IF(A1125="","",IF(AND(Y1125&lt;&gt;"参考",G1125&gt;=ルール設定!$B$2),"○",""))</f>
        <v/>
      </c>
      <c r="R1125" s="8" t="str">
        <f aca="false">IF(A1125="","",IF(AND(Y1125&lt;&gt;"参考",G1125&gt;=ルール設定!$B$3,N1125&gt;=ルール設定!$B$4),"○",""))</f>
        <v/>
      </c>
      <c r="S1125" s="8" t="str">
        <f aca="false">IF(A1125="","",IF(AND(Y1125&lt;&gt;"参考",G1125&gt;=ルール設定!$B$5,J1125&gt;=ルール設定!$B$6,O1125&gt;=ルール設定!$B$7),"○",""))</f>
        <v/>
      </c>
      <c r="T1125" s="8" t="n">
        <v>3</v>
      </c>
      <c r="U1125" s="8" t="n">
        <v>2</v>
      </c>
      <c r="V1125" s="8" t="str">
        <f aca="false">IF(A1125="","",IF(AND(ISNUMBER(T1125),ISNUMBER(U1125)),IF(AND(T1125&lt;=3,U1125&lt;=3),"○","×"),""))</f>
        <v>○</v>
      </c>
      <c r="W1125" s="8" t="n">
        <v>150</v>
      </c>
      <c r="X1125" s="8" t="n">
        <v>280</v>
      </c>
      <c r="Y1125" s="4" t="s">
        <v>7597</v>
      </c>
      <c r="Z1125" s="8" t="s">
        <v>8111</v>
      </c>
      <c r="AA1125" s="8" t="str">
        <v/>
      </c>
      <c r="AB1125" s="8" t="str">
        <v/>
      </c>
      <c r="AC1125" s="8" t="str">
        <v/>
      </c>
      <c r="AD1125" s="8" t="str">
        <v/>
      </c>
      <c r="AE1125" s="8" t="str">
        <v/>
      </c>
      <c r="AF1125" s="8" t="str">
        <v/>
      </c>
      <c r="AG1125" s="8" t="str">
        <v/>
      </c>
      <c r="AH1125" s="8" t="str">
        <v/>
      </c>
      <c r="AI1125" s="8" t="n">
        <v>15</v>
      </c>
      <c r="AJ1125" s="8" t="str">
        <v>60～69</v>
      </c>
      <c r="AK1125" s="8" t="str">
        <v>5～9</v>
      </c>
      <c r="AL1125" s="8" t="str">
        <v>10～19</v>
      </c>
      <c r="AM1125" s="8" t="str">
        <v>120～139</v>
      </c>
      <c r="AN1125" s="8" t="str">
        <v>12～14</v>
      </c>
      <c r="AO1125" s="8" t="str">
        <f aca="false">IF(A1125="","",IF(COUNTIFS(全馬データ!$A$2:$A$50000,A1125,全馬データ!$B$2:$B$50000,B1125,全馬データ!$C$2:$C$50000,C1125,全馬データ!$D$2:$D$50000,E1125,全馬データ!$K$2:$K$50000,"&lt;&gt;")=0,"",SUMIFS(全馬データ!$K$2:$K$50000,全馬データ!$A$2:$A$50000,A1125,全馬データ!$B$2:$B$50000,B1125,全馬データ!$C$2:$C$50000,C1125,全馬データ!$D$2:$D$50000,E1125)))</f>
        <v/>
      </c>
      <c r="AP1125" s="8" t="str">
        <f aca="false">IF(A1125="","",IF(AO1125="","欠損",IF(AO1125&lt;=1.1,"1.0～1.1",IF(AO1125&lt;1.3,"1.2",IF(AO1125&lt;1.5,"1.3～1.4",IF(AO1125&lt;2,"1.5～1.9","2.0以上"))))))</f>
        <v>欠損</v>
      </c>
      <c r="AQ1125" s="8" t="str">
        <f aca="false">IF(A1125="","",IF(ISNUMBER(SEARCH("2歳",Z1125)),"2歳戦",IF(ISNUMBER(SEARCH("3歳未勝利",Z1125)),"3歳未勝利",IF(ISNUMBER(SEARCH("未勝利",Z1125)),"その他未勝利",IF(ISNUMBER(SEARCH("G1",Z1125)),"G1",IF(ISNUMBER(SEARCH("G2",Z1125)),"G2",IF(ISNUMBER(SEARCH("G3",Z1125)),"G3",IF(ISNUMBER(SEARCH("古馬条件",Z1125)),"古馬条件戦",IF(ISNUMBER(SEARCH("重賞",Z1125)),"重賞","分類不能")))))))))</f>
        <v>分類不能</v>
      </c>
      <c r="AR1125" s="8"/>
      <c r="AS1125" s="8" t="s">
        <v>7623</v>
      </c>
      <c r="AT1125" s="8" t="s">
        <v>7624</v>
      </c>
      <c r="AU1125" s="8" t="s">
        <v>7600</v>
      </c>
      <c r="AV1125" s="4" t="s">
        <v>7601</v>
      </c>
      <c r="AW1125" s="8"/>
      <c r="AX1125" s="8"/>
      <c r="AY1125" s="8" t="s">
        <v>7610</v>
      </c>
      <c r="AZ1125" s="4" t="s">
        <v>7617</v>
      </c>
      <c r="BA1125" s="8" t="n">
        <v>1800</v>
      </c>
      <c r="BB1125" s="8" t="s">
        <v>7618</v>
      </c>
      <c r="BC1125" s="4" t="s">
        <v>7619</v>
      </c>
      <c r="BD1125" s="8" t="s">
        <v>7625</v>
      </c>
      <c r="BE1125" s="4" t="s">
        <v>7606</v>
      </c>
      <c r="BF1125" s="8" t="s">
        <v>7607</v>
      </c>
      <c r="BG1125" s="8" t="s">
        <v>7608</v>
      </c>
      <c r="BH1125" s="4" t="s">
        <v>7609</v>
      </c>
      <c r="BI1125" s="8" t="n">
        <v>14</v>
      </c>
      <c r="BJ1125" s="8" t="s">
        <v>7610</v>
      </c>
      <c r="BK1125" s="4" t="s">
        <v>7611</v>
      </c>
      <c r="BL1125" s="8" t="s">
        <v>7602</v>
      </c>
      <c r="BM1125" s="4" t="s">
        <v>7620</v>
      </c>
      <c r="BN1125" s="8"/>
      <c r="BO1125" s="8"/>
      <c r="BP1125" s="8" t="s">
        <v>7608</v>
      </c>
      <c r="BQ1125" s="8" t="str">
        <f aca="false">IF(A1125="","",AT1125)</f>
        <v>3歳</v>
      </c>
      <c r="BR1125" s="8" t="str">
        <f aca="false">IF(A1125="","",IF(BA1125&lt;=1200,"～1200",IF(BA1125&lt;=1500,"1300～1500",IF(BA1125=1600,"1600",IF(BA1125&lt;=1800,"1700～1800",IF(BA1125&lt;=2000,"1900～2000","2100以上"))))))</f>
        <v>1700～1800</v>
      </c>
      <c r="BS1125" s="8" t="str">
        <f aca="false">IF(A1125="","",IF(AX1125="G1","G1",IF(AX1125="G2","G2",IF(AX1125="G3","G3",IF(AX1125="L","L","その他")))))</f>
        <v>その他</v>
      </c>
      <c r="BT1125" s="8" t="str">
        <f aca="false">IF(A1125="","",IF(BI1125="","未結合",IF(D1125=BI1125,"一致","不一致")))</f>
        <v>一致</v>
      </c>
      <c r="BU1125" s="8" t="str">
        <f aca="false">IF(A1125="","",IF(BE1125="牝馬限定","牝馬限定","その他"))</f>
        <v>その他</v>
      </c>
    </row>
    <row r="1126" customFormat="false" ht="15.75" hidden="false" customHeight="false" outlineLevel="0" collapsed="false">
      <c r="A1126" s="6" t="n">
        <f aca="false">DATE(2026,5,3)</f>
        <v>46145</v>
      </c>
      <c r="B1126" s="4" t="s">
        <v>13</v>
      </c>
      <c r="C1126" s="8" t="n">
        <v>4</v>
      </c>
      <c r="D1126" s="8" t="n">
        <v>14</v>
      </c>
      <c r="E1126" s="8" t="n">
        <v>5</v>
      </c>
      <c r="F1126" s="4" t="s">
        <v>5523</v>
      </c>
      <c r="G1126" s="8" t="n">
        <v>55</v>
      </c>
      <c r="H1126" s="8" t="n">
        <v>9</v>
      </c>
      <c r="I1126" s="4" t="s">
        <v>4272</v>
      </c>
      <c r="J1126" s="8" t="n">
        <v>37</v>
      </c>
      <c r="K1126" s="8" t="n">
        <v>11</v>
      </c>
      <c r="L1126" s="4" t="s">
        <v>578</v>
      </c>
      <c r="M1126" s="8" t="n">
        <v>37</v>
      </c>
      <c r="N1126" s="8" t="n">
        <f aca="false">IF(A1126="","",G1126-J1126)</f>
        <v>18</v>
      </c>
      <c r="O1126" s="8" t="n">
        <f aca="false">IF(A1126="","",J1126-M1126)</f>
        <v>0</v>
      </c>
      <c r="P1126" s="8" t="n">
        <f aca="false">IF(A1126="","",G1126+J1126)</f>
        <v>92</v>
      </c>
      <c r="Q1126" s="8" t="str">
        <f aca="false">IF(A1126="","",IF(AND(Y1126&lt;&gt;"参考",G1126&gt;=ルール設定!$B$2),"○",""))</f>
        <v/>
      </c>
      <c r="R1126" s="8" t="str">
        <f aca="false">IF(A1126="","",IF(AND(Y1126&lt;&gt;"参考",G1126&gt;=ルール設定!$B$3,N1126&gt;=ルール設定!$B$4),"○",""))</f>
        <v/>
      </c>
      <c r="S1126" s="8" t="str">
        <f aca="false">IF(A1126="","",IF(AND(Y1126&lt;&gt;"参考",G1126&gt;=ルール設定!$B$5,J1126&gt;=ルール設定!$B$6,O1126&gt;=ルール設定!$B$7),"○",""))</f>
        <v/>
      </c>
      <c r="T1126" s="8" t="n">
        <v>1</v>
      </c>
      <c r="U1126" s="8" t="n">
        <v>4</v>
      </c>
      <c r="V1126" s="8" t="str">
        <f aca="false">IF(A1126="","",IF(AND(ISNUMBER(T1126),ISNUMBER(U1126)),IF(AND(T1126&lt;=3,U1126&lt;=3),"○","×"),""))</f>
        <v>×</v>
      </c>
      <c r="W1126" s="8" t="n">
        <v>160</v>
      </c>
      <c r="X1126" s="8"/>
      <c r="Y1126" s="4" t="s">
        <v>7597</v>
      </c>
      <c r="Z1126" s="8" t="s">
        <v>8111</v>
      </c>
      <c r="AA1126" s="8" t="str">
        <v/>
      </c>
      <c r="AB1126" s="8" t="str">
        <v/>
      </c>
      <c r="AC1126" s="8" t="str">
        <v/>
      </c>
      <c r="AD1126" s="8" t="str">
        <v/>
      </c>
      <c r="AE1126" s="8" t="str">
        <v/>
      </c>
      <c r="AF1126" s="8" t="str">
        <v/>
      </c>
      <c r="AG1126" s="8" t="str">
        <v/>
      </c>
      <c r="AH1126" s="8" t="str">
        <v/>
      </c>
      <c r="AI1126" s="8" t="n">
        <v>18</v>
      </c>
      <c r="AJ1126" s="8" t="str">
        <v>～59</v>
      </c>
      <c r="AK1126" s="8" t="str">
        <v>10～19</v>
      </c>
      <c r="AL1126" s="8" t="str">
        <v>10～19</v>
      </c>
      <c r="AM1126" s="8" t="str">
        <v>～99</v>
      </c>
      <c r="AN1126" s="8" t="str">
        <v>12～14</v>
      </c>
      <c r="AO1126" s="8" t="str">
        <f aca="false">IF(A1126="","",IF(COUNTIFS(全馬データ!$A$2:$A$50000,A1126,全馬データ!$B$2:$B$50000,B1126,全馬データ!$C$2:$C$50000,C1126,全馬データ!$D$2:$D$50000,E1126,全馬データ!$K$2:$K$50000,"&lt;&gt;")=0,"",SUMIFS(全馬データ!$K$2:$K$50000,全馬データ!$A$2:$A$50000,A1126,全馬データ!$B$2:$B$50000,B1126,全馬データ!$C$2:$C$50000,C1126,全馬データ!$D$2:$D$50000,E1126)))</f>
        <v/>
      </c>
      <c r="AP1126" s="8" t="str">
        <f aca="false">IF(A1126="","",IF(AO1126="","欠損",IF(AO1126&lt;=1.1,"1.0～1.1",IF(AO1126&lt;1.3,"1.2",IF(AO1126&lt;1.5,"1.3～1.4",IF(AO1126&lt;2,"1.5～1.9","2.0以上"))))))</f>
        <v>欠損</v>
      </c>
      <c r="AQ1126" s="8" t="str">
        <f aca="false">IF(A1126="","",IF(ISNUMBER(SEARCH("2歳",Z1126)),"2歳戦",IF(ISNUMBER(SEARCH("3歳未勝利",Z1126)),"3歳未勝利",IF(ISNUMBER(SEARCH("未勝利",Z1126)),"その他未勝利",IF(ISNUMBER(SEARCH("G1",Z1126)),"G1",IF(ISNUMBER(SEARCH("G2",Z1126)),"G2",IF(ISNUMBER(SEARCH("G3",Z1126)),"G3",IF(ISNUMBER(SEARCH("古馬条件",Z1126)),"古馬条件戦",IF(ISNUMBER(SEARCH("重賞",Z1126)),"重賞","分類不能")))))))))</f>
        <v>分類不能</v>
      </c>
      <c r="AR1126" s="8"/>
      <c r="AS1126" s="8" t="s">
        <v>7618</v>
      </c>
      <c r="AT1126" s="4" t="s">
        <v>7642</v>
      </c>
      <c r="AU1126" s="8" t="s">
        <v>7600</v>
      </c>
      <c r="AV1126" s="4" t="s">
        <v>7601</v>
      </c>
      <c r="AW1126" s="8"/>
      <c r="AX1126" s="8"/>
      <c r="AY1126" s="8" t="s">
        <v>7608</v>
      </c>
      <c r="AZ1126" s="4" t="s">
        <v>7642</v>
      </c>
      <c r="BA1126" s="8" t="n">
        <v>2890</v>
      </c>
      <c r="BB1126" s="8" t="s">
        <v>7634</v>
      </c>
      <c r="BC1126" s="4" t="s">
        <v>7604</v>
      </c>
      <c r="BD1126" s="8" t="s">
        <v>7696</v>
      </c>
      <c r="BE1126" s="4" t="s">
        <v>7606</v>
      </c>
      <c r="BF1126" s="8" t="s">
        <v>7607</v>
      </c>
      <c r="BG1126" s="8" t="s">
        <v>7631</v>
      </c>
      <c r="BH1126" s="4" t="s">
        <v>7632</v>
      </c>
      <c r="BI1126" s="8" t="n">
        <v>14</v>
      </c>
      <c r="BJ1126" s="8" t="s">
        <v>7647</v>
      </c>
      <c r="BK1126" s="4" t="s">
        <v>7648</v>
      </c>
      <c r="BL1126" s="8" t="s">
        <v>7647</v>
      </c>
      <c r="BM1126" s="4" t="s">
        <v>7648</v>
      </c>
      <c r="BN1126" s="8"/>
      <c r="BO1126" s="8"/>
      <c r="BP1126" s="8" t="s">
        <v>7608</v>
      </c>
      <c r="BQ1126" s="8" t="str">
        <f aca="false">IF(A1126="","",AT1126)</f>
        <v>障害</v>
      </c>
      <c r="BR1126" s="8" t="str">
        <f aca="false">IF(A1126="","",IF(BA1126&lt;=1200,"～1200",IF(BA1126&lt;=1500,"1300～1500",IF(BA1126=1600,"1600",IF(BA1126&lt;=1800,"1700～1800",IF(BA1126&lt;=2000,"1900～2000","2100以上"))))))</f>
        <v>2100以上</v>
      </c>
      <c r="BS1126" s="8" t="str">
        <f aca="false">IF(A1126="","",IF(AX1126="G1","G1",IF(AX1126="G2","G2",IF(AX1126="G3","G3",IF(AX1126="L","L","その他")))))</f>
        <v>その他</v>
      </c>
      <c r="BT1126" s="8" t="str">
        <f aca="false">IF(A1126="","",IF(BI1126="","未結合",IF(D1126=BI1126,"一致","不一致")))</f>
        <v>一致</v>
      </c>
      <c r="BU1126" s="8" t="str">
        <f aca="false">IF(A1126="","",IF(BE1126="牝馬限定","牝馬限定","その他"))</f>
        <v>その他</v>
      </c>
    </row>
    <row r="1127" customFormat="false" ht="15.75" hidden="false" customHeight="false" outlineLevel="0" collapsed="false">
      <c r="A1127" s="6" t="n">
        <f aca="false">DATE(2026,5,3)</f>
        <v>46145</v>
      </c>
      <c r="B1127" s="4" t="s">
        <v>13</v>
      </c>
      <c r="C1127" s="8" t="n">
        <v>5</v>
      </c>
      <c r="D1127" s="8" t="n">
        <v>14</v>
      </c>
      <c r="E1127" s="8" t="n">
        <v>4</v>
      </c>
      <c r="F1127" s="4" t="s">
        <v>7442</v>
      </c>
      <c r="G1127" s="8" t="n">
        <v>58</v>
      </c>
      <c r="H1127" s="8" t="n">
        <v>2</v>
      </c>
      <c r="I1127" s="4" t="s">
        <v>1296</v>
      </c>
      <c r="J1127" s="8" t="n">
        <v>47</v>
      </c>
      <c r="K1127" s="8" t="n">
        <v>1</v>
      </c>
      <c r="L1127" s="4" t="s">
        <v>324</v>
      </c>
      <c r="M1127" s="8" t="n">
        <v>39</v>
      </c>
      <c r="N1127" s="8" t="n">
        <f aca="false">IF(A1127="","",G1127-J1127)</f>
        <v>11</v>
      </c>
      <c r="O1127" s="8" t="n">
        <f aca="false">IF(A1127="","",J1127-M1127)</f>
        <v>8</v>
      </c>
      <c r="P1127" s="8" t="n">
        <f aca="false">IF(A1127="","",G1127+J1127)</f>
        <v>105</v>
      </c>
      <c r="Q1127" s="8" t="str">
        <f aca="false">IF(A1127="","",IF(AND(Y1127&lt;&gt;"参考",G1127&gt;=ルール設定!$B$2),"○",""))</f>
        <v/>
      </c>
      <c r="R1127" s="8" t="str">
        <f aca="false">IF(A1127="","",IF(AND(Y1127&lt;&gt;"参考",G1127&gt;=ルール設定!$B$3,N1127&gt;=ルール設定!$B$4),"○",""))</f>
        <v/>
      </c>
      <c r="S1127" s="8" t="str">
        <f aca="false">IF(A1127="","",IF(AND(Y1127&lt;&gt;"参考",G1127&gt;=ルール設定!$B$5,J1127&gt;=ルール設定!$B$6,O1127&gt;=ルール設定!$B$7),"○",""))</f>
        <v/>
      </c>
      <c r="T1127" s="8" t="n">
        <v>4</v>
      </c>
      <c r="U1127" s="8" t="n">
        <v>4</v>
      </c>
      <c r="V1127" s="8" t="str">
        <f aca="false">IF(A1127="","",IF(AND(ISNUMBER(T1127),ISNUMBER(U1127)),IF(AND(T1127&lt;=3,U1127&lt;=3),"○","×"),""))</f>
        <v>×</v>
      </c>
      <c r="W1127" s="8"/>
      <c r="X1127" s="8"/>
      <c r="Y1127" s="4" t="s">
        <v>7597</v>
      </c>
      <c r="Z1127" s="8" t="s">
        <v>8111</v>
      </c>
      <c r="AA1127" s="8" t="str">
        <v/>
      </c>
      <c r="AB1127" s="8" t="str">
        <v/>
      </c>
      <c r="AC1127" s="8" t="str">
        <v/>
      </c>
      <c r="AD1127" s="8" t="str">
        <v/>
      </c>
      <c r="AE1127" s="8" t="str">
        <v/>
      </c>
      <c r="AF1127" s="8" t="str">
        <v/>
      </c>
      <c r="AG1127" s="8" t="str">
        <v/>
      </c>
      <c r="AH1127" s="8" t="str">
        <v/>
      </c>
      <c r="AI1127" s="8" t="n">
        <v>19</v>
      </c>
      <c r="AJ1127" s="8" t="str">
        <v>～59</v>
      </c>
      <c r="AK1127" s="8" t="str">
        <v>10～19</v>
      </c>
      <c r="AL1127" s="8" t="str">
        <v>10～19</v>
      </c>
      <c r="AM1127" s="8" t="str">
        <v>100～119</v>
      </c>
      <c r="AN1127" s="8" t="str">
        <v>12～14</v>
      </c>
      <c r="AO1127" s="8" t="str">
        <f aca="false">IF(A1127="","",IF(COUNTIFS(全馬データ!$A$2:$A$50000,A1127,全馬データ!$B$2:$B$50000,B1127,全馬データ!$C$2:$C$50000,C1127,全馬データ!$D$2:$D$50000,E1127,全馬データ!$K$2:$K$50000,"&lt;&gt;")=0,"",SUMIFS(全馬データ!$K$2:$K$50000,全馬データ!$A$2:$A$50000,A1127,全馬データ!$B$2:$B$50000,B1127,全馬データ!$C$2:$C$50000,C1127,全馬データ!$D$2:$D$50000,E1127)))</f>
        <v/>
      </c>
      <c r="AP1127" s="8" t="str">
        <f aca="false">IF(A1127="","",IF(AO1127="","欠損",IF(AO1127&lt;=1.1,"1.0～1.1",IF(AO1127&lt;1.3,"1.2",IF(AO1127&lt;1.5,"1.3～1.4",IF(AO1127&lt;2,"1.5～1.9","2.0以上"))))))</f>
        <v>欠損</v>
      </c>
      <c r="AQ1127" s="8" t="str">
        <f aca="false">IF(A1127="","",IF(ISNUMBER(SEARCH("2歳",Z1127)),"2歳戦",IF(ISNUMBER(SEARCH("3歳未勝利",Z1127)),"3歳未勝利",IF(ISNUMBER(SEARCH("未勝利",Z1127)),"その他未勝利",IF(ISNUMBER(SEARCH("G1",Z1127)),"G1",IF(ISNUMBER(SEARCH("G2",Z1127)),"G2",IF(ISNUMBER(SEARCH("G3",Z1127)),"G3",IF(ISNUMBER(SEARCH("古馬条件",Z1127)),"古馬条件戦",IF(ISNUMBER(SEARCH("重賞",Z1127)),"重賞","分類不能")))))))))</f>
        <v>分類不能</v>
      </c>
      <c r="AR1127" s="8"/>
      <c r="AS1127" s="8" t="s">
        <v>7623</v>
      </c>
      <c r="AT1127" s="8" t="s">
        <v>7624</v>
      </c>
      <c r="AU1127" s="8" t="s">
        <v>7600</v>
      </c>
      <c r="AV1127" s="4" t="s">
        <v>7601</v>
      </c>
      <c r="AW1127" s="8"/>
      <c r="AX1127" s="8"/>
      <c r="AY1127" s="8" t="s">
        <v>7602</v>
      </c>
      <c r="AZ1127" s="4" t="s">
        <v>7603</v>
      </c>
      <c r="BA1127" s="8" t="n">
        <v>1800</v>
      </c>
      <c r="BB1127" s="8" t="s">
        <v>7598</v>
      </c>
      <c r="BC1127" s="4" t="s">
        <v>7604</v>
      </c>
      <c r="BD1127" s="8" t="s">
        <v>7625</v>
      </c>
      <c r="BE1127" s="4" t="s">
        <v>7606</v>
      </c>
      <c r="BF1127" s="8" t="s">
        <v>7607</v>
      </c>
      <c r="BG1127" s="8" t="s">
        <v>7608</v>
      </c>
      <c r="BH1127" s="4" t="s">
        <v>7609</v>
      </c>
      <c r="BI1127" s="8" t="n">
        <v>14</v>
      </c>
      <c r="BJ1127" s="8" t="s">
        <v>7610</v>
      </c>
      <c r="BK1127" s="4" t="s">
        <v>7611</v>
      </c>
      <c r="BL1127" s="8" t="s">
        <v>7610</v>
      </c>
      <c r="BM1127" s="4" t="s">
        <v>7612</v>
      </c>
      <c r="BN1127" s="8" t="s">
        <v>7631</v>
      </c>
      <c r="BO1127" s="8" t="s">
        <v>7680</v>
      </c>
      <c r="BP1127" s="8" t="s">
        <v>7608</v>
      </c>
      <c r="BQ1127" s="8" t="str">
        <f aca="false">IF(A1127="","",AT1127)</f>
        <v>3歳</v>
      </c>
      <c r="BR1127" s="8" t="str">
        <f aca="false">IF(A1127="","",IF(BA1127&lt;=1200,"～1200",IF(BA1127&lt;=1500,"1300～1500",IF(BA1127=1600,"1600",IF(BA1127&lt;=1800,"1700～1800",IF(BA1127&lt;=2000,"1900～2000","2100以上"))))))</f>
        <v>1700～1800</v>
      </c>
      <c r="BS1127" s="8" t="str">
        <f aca="false">IF(A1127="","",IF(AX1127="G1","G1",IF(AX1127="G2","G2",IF(AX1127="G3","G3",IF(AX1127="L","L","その他")))))</f>
        <v>その他</v>
      </c>
      <c r="BT1127" s="8" t="str">
        <f aca="false">IF(A1127="","",IF(BI1127="","未結合",IF(D1127=BI1127,"一致","不一致")))</f>
        <v>一致</v>
      </c>
      <c r="BU1127" s="8" t="str">
        <f aca="false">IF(A1127="","",IF(BE1127="牝馬限定","牝馬限定","その他"))</f>
        <v>その他</v>
      </c>
    </row>
    <row r="1128" customFormat="false" ht="15.75" hidden="false" customHeight="false" outlineLevel="0" collapsed="false">
      <c r="A1128" s="6" t="n">
        <f aca="false">DATE(2026,5,3)</f>
        <v>46145</v>
      </c>
      <c r="B1128" s="4" t="s">
        <v>13</v>
      </c>
      <c r="C1128" s="8" t="n">
        <v>6</v>
      </c>
      <c r="D1128" s="8" t="n">
        <v>13</v>
      </c>
      <c r="E1128" s="8" t="n">
        <v>10</v>
      </c>
      <c r="F1128" s="4" t="s">
        <v>4336</v>
      </c>
      <c r="G1128" s="8" t="n">
        <v>62</v>
      </c>
      <c r="H1128" s="8" t="n">
        <v>1</v>
      </c>
      <c r="I1128" s="4" t="s">
        <v>6428</v>
      </c>
      <c r="J1128" s="8" t="n">
        <v>34</v>
      </c>
      <c r="K1128" s="8" t="n">
        <v>4</v>
      </c>
      <c r="L1128" s="4" t="s">
        <v>7014</v>
      </c>
      <c r="M1128" s="8" t="n">
        <v>34</v>
      </c>
      <c r="N1128" s="8" t="n">
        <f aca="false">IF(A1128="","",G1128-J1128)</f>
        <v>28</v>
      </c>
      <c r="O1128" s="8" t="n">
        <f aca="false">IF(A1128="","",J1128-M1128)</f>
        <v>0</v>
      </c>
      <c r="P1128" s="8" t="n">
        <f aca="false">IF(A1128="","",G1128+J1128)</f>
        <v>96</v>
      </c>
      <c r="Q1128" s="8" t="str">
        <f aca="false">IF(A1128="","",IF(AND(Y1128&lt;&gt;"参考",G1128&gt;=ルール設定!$B$2),"○",""))</f>
        <v/>
      </c>
      <c r="R1128" s="8" t="str">
        <f aca="false">IF(A1128="","",IF(AND(Y1128&lt;&gt;"参考",G1128&gt;=ルール設定!$B$3,N1128&gt;=ルール設定!$B$4),"○",""))</f>
        <v/>
      </c>
      <c r="S1128" s="8" t="str">
        <f aca="false">IF(A1128="","",IF(AND(Y1128&lt;&gt;"参考",G1128&gt;=ルール設定!$B$5,J1128&gt;=ルール設定!$B$6,O1128&gt;=ルール設定!$B$7),"○",""))</f>
        <v/>
      </c>
      <c r="T1128" s="8" t="n">
        <v>1</v>
      </c>
      <c r="U1128" s="8" t="n">
        <v>4</v>
      </c>
      <c r="V1128" s="8" t="str">
        <f aca="false">IF(A1128="","",IF(AND(ISNUMBER(T1128),ISNUMBER(U1128)),IF(AND(T1128&lt;=3,U1128&lt;=3),"○","×"),""))</f>
        <v>×</v>
      </c>
      <c r="W1128" s="8" t="n">
        <v>160</v>
      </c>
      <c r="X1128" s="8"/>
      <c r="Y1128" s="4" t="s">
        <v>7597</v>
      </c>
      <c r="Z1128" s="8" t="s">
        <v>8111</v>
      </c>
      <c r="AA1128" s="8" t="str">
        <v/>
      </c>
      <c r="AB1128" s="8" t="str">
        <v/>
      </c>
      <c r="AC1128" s="8" t="str">
        <v/>
      </c>
      <c r="AD1128" s="8" t="str">
        <v/>
      </c>
      <c r="AE1128" s="8" t="str">
        <v/>
      </c>
      <c r="AF1128" s="8" t="str">
        <v/>
      </c>
      <c r="AG1128" s="8" t="str">
        <v/>
      </c>
      <c r="AH1128" s="8" t="str">
        <v/>
      </c>
      <c r="AI1128" s="8" t="n">
        <v>28</v>
      </c>
      <c r="AJ1128" s="8" t="str">
        <v>60～69</v>
      </c>
      <c r="AK1128" s="8" t="str">
        <v>20～29</v>
      </c>
      <c r="AL1128" s="8" t="str">
        <v>20～29</v>
      </c>
      <c r="AM1128" s="8" t="str">
        <v>～99</v>
      </c>
      <c r="AN1128" s="8" t="str">
        <v>12～14</v>
      </c>
      <c r="AO1128" s="8" t="str">
        <f aca="false">IF(A1128="","",IF(COUNTIFS(全馬データ!$A$2:$A$50000,A1128,全馬データ!$B$2:$B$50000,B1128,全馬データ!$C$2:$C$50000,C1128,全馬データ!$D$2:$D$50000,E1128,全馬データ!$K$2:$K$50000,"&lt;&gt;")=0,"",SUMIFS(全馬データ!$K$2:$K$50000,全馬データ!$A$2:$A$50000,A1128,全馬データ!$B$2:$B$50000,B1128,全馬データ!$C$2:$C$50000,C1128,全馬データ!$D$2:$D$50000,E1128)))</f>
        <v/>
      </c>
      <c r="AP1128" s="8" t="str">
        <f aca="false">IF(A1128="","",IF(AO1128="","欠損",IF(AO1128&lt;=1.1,"1.0～1.1",IF(AO1128&lt;1.3,"1.2",IF(AO1128&lt;1.5,"1.3～1.4",IF(AO1128&lt;2,"1.5～1.9","2.0以上"))))))</f>
        <v>欠損</v>
      </c>
      <c r="AQ1128" s="8" t="str">
        <f aca="false">IF(A1128="","",IF(ISNUMBER(SEARCH("2歳",Z1128)),"2歳戦",IF(ISNUMBER(SEARCH("3歳未勝利",Z1128)),"3歳未勝利",IF(ISNUMBER(SEARCH("未勝利",Z1128)),"その他未勝利",IF(ISNUMBER(SEARCH("G1",Z1128)),"G1",IF(ISNUMBER(SEARCH("G2",Z1128)),"G2",IF(ISNUMBER(SEARCH("G3",Z1128)),"G3",IF(ISNUMBER(SEARCH("古馬条件",Z1128)),"古馬条件戦",IF(ISNUMBER(SEARCH("重賞",Z1128)),"重賞","分類不能")))))))))</f>
        <v>分類不能</v>
      </c>
      <c r="AR1128" s="8"/>
      <c r="AS1128" s="8" t="s">
        <v>7842</v>
      </c>
      <c r="AT1128" s="8" t="s">
        <v>7843</v>
      </c>
      <c r="AU1128" s="8" t="s">
        <v>7628</v>
      </c>
      <c r="AV1128" s="8" t="s">
        <v>7629</v>
      </c>
      <c r="AW1128" s="8"/>
      <c r="AX1128" s="8"/>
      <c r="AY1128" s="8" t="s">
        <v>7610</v>
      </c>
      <c r="AZ1128" s="4" t="s">
        <v>7617</v>
      </c>
      <c r="BA1128" s="8" t="n">
        <v>1800</v>
      </c>
      <c r="BB1128" s="8" t="s">
        <v>7618</v>
      </c>
      <c r="BC1128" s="4" t="s">
        <v>7619</v>
      </c>
      <c r="BD1128" s="8" t="s">
        <v>7852</v>
      </c>
      <c r="BE1128" s="4" t="s">
        <v>7606</v>
      </c>
      <c r="BF1128" s="8" t="s">
        <v>7607</v>
      </c>
      <c r="BG1128" s="8" t="s">
        <v>7631</v>
      </c>
      <c r="BH1128" s="4" t="s">
        <v>7632</v>
      </c>
      <c r="BI1128" s="8" t="n">
        <v>13</v>
      </c>
      <c r="BJ1128" s="8" t="s">
        <v>7610</v>
      </c>
      <c r="BK1128" s="4" t="s">
        <v>7611</v>
      </c>
      <c r="BL1128" s="8" t="s">
        <v>7602</v>
      </c>
      <c r="BM1128" s="4" t="s">
        <v>7620</v>
      </c>
      <c r="BN1128" s="8"/>
      <c r="BO1128" s="8"/>
      <c r="BP1128" s="8" t="s">
        <v>7608</v>
      </c>
      <c r="BQ1128" s="8" t="str">
        <f aca="false">IF(A1128="","",AT1128)</f>
        <v>4歳以上</v>
      </c>
      <c r="BR1128" s="8" t="str">
        <f aca="false">IF(A1128="","",IF(BA1128&lt;=1200,"～1200",IF(BA1128&lt;=1500,"1300～1500",IF(BA1128=1600,"1600",IF(BA1128&lt;=1800,"1700～1800",IF(BA1128&lt;=2000,"1900～2000","2100以上"))))))</f>
        <v>1700～1800</v>
      </c>
      <c r="BS1128" s="8" t="str">
        <f aca="false">IF(A1128="","",IF(AX1128="G1","G1",IF(AX1128="G2","G2",IF(AX1128="G3","G3",IF(AX1128="L","L","その他")))))</f>
        <v>その他</v>
      </c>
      <c r="BT1128" s="8" t="str">
        <f aca="false">IF(A1128="","",IF(BI1128="","未結合",IF(D1128=BI1128,"一致","不一致")))</f>
        <v>一致</v>
      </c>
      <c r="BU1128" s="8" t="str">
        <f aca="false">IF(A1128="","",IF(BE1128="牝馬限定","牝馬限定","その他"))</f>
        <v>その他</v>
      </c>
    </row>
    <row r="1129" customFormat="false" ht="15.75" hidden="false" customHeight="false" outlineLevel="0" collapsed="false">
      <c r="A1129" s="6" t="n">
        <f aca="false">DATE(2026,5,3)</f>
        <v>46145</v>
      </c>
      <c r="B1129" s="4" t="s">
        <v>13</v>
      </c>
      <c r="C1129" s="8" t="n">
        <v>7</v>
      </c>
      <c r="D1129" s="8" t="n">
        <v>16</v>
      </c>
      <c r="E1129" s="8" t="n">
        <v>1</v>
      </c>
      <c r="F1129" s="4" t="s">
        <v>82</v>
      </c>
      <c r="G1129" s="8" t="n">
        <v>39</v>
      </c>
      <c r="H1129" s="8" t="n">
        <v>7</v>
      </c>
      <c r="I1129" s="4" t="s">
        <v>6335</v>
      </c>
      <c r="J1129" s="8" t="n">
        <v>39</v>
      </c>
      <c r="K1129" s="8" t="n">
        <v>11</v>
      </c>
      <c r="L1129" s="4" t="s">
        <v>2133</v>
      </c>
      <c r="M1129" s="8" t="n">
        <v>34</v>
      </c>
      <c r="N1129" s="8" t="n">
        <f aca="false">IF(A1129="","",G1129-J1129)</f>
        <v>0</v>
      </c>
      <c r="O1129" s="8" t="n">
        <f aca="false">IF(A1129="","",J1129-M1129)</f>
        <v>5</v>
      </c>
      <c r="P1129" s="8" t="n">
        <f aca="false">IF(A1129="","",G1129+J1129)</f>
        <v>78</v>
      </c>
      <c r="Q1129" s="8" t="str">
        <f aca="false">IF(A1129="","",IF(AND(Y1129&lt;&gt;"参考",G1129&gt;=ルール設定!$B$2),"○",""))</f>
        <v/>
      </c>
      <c r="R1129" s="8" t="str">
        <f aca="false">IF(A1129="","",IF(AND(Y1129&lt;&gt;"参考",G1129&gt;=ルール設定!$B$3,N1129&gt;=ルール設定!$B$4),"○",""))</f>
        <v/>
      </c>
      <c r="S1129" s="8" t="str">
        <f aca="false">IF(A1129="","",IF(AND(Y1129&lt;&gt;"参考",G1129&gt;=ルール設定!$B$5,J1129&gt;=ルール設定!$B$6,O1129&gt;=ルール設定!$B$7),"○",""))</f>
        <v/>
      </c>
      <c r="T1129" s="8" t="n">
        <v>1</v>
      </c>
      <c r="U1129" s="8" t="n">
        <v>4</v>
      </c>
      <c r="V1129" s="8" t="str">
        <f aca="false">IF(A1129="","",IF(AND(ISNUMBER(T1129),ISNUMBER(U1129)),IF(AND(T1129&lt;=3,U1129&lt;=3),"○","×"),""))</f>
        <v>×</v>
      </c>
      <c r="W1129" s="8" t="n">
        <v>250</v>
      </c>
      <c r="X1129" s="8"/>
      <c r="Y1129" s="4" t="s">
        <v>7597</v>
      </c>
      <c r="Z1129" s="8" t="s">
        <v>8111</v>
      </c>
      <c r="AA1129" s="8" t="str">
        <v/>
      </c>
      <c r="AB1129" s="8" t="str">
        <v/>
      </c>
      <c r="AC1129" s="8" t="str">
        <v/>
      </c>
      <c r="AD1129" s="8" t="str">
        <v/>
      </c>
      <c r="AE1129" s="8" t="str">
        <v/>
      </c>
      <c r="AF1129" s="8" t="str">
        <v/>
      </c>
      <c r="AG1129" s="8" t="str">
        <v/>
      </c>
      <c r="AH1129" s="8" t="str">
        <v/>
      </c>
      <c r="AI1129" s="8" t="n">
        <v>5</v>
      </c>
      <c r="AJ1129" s="8" t="str">
        <v>～59</v>
      </c>
      <c r="AK1129" s="8" t="str">
        <v>0～4</v>
      </c>
      <c r="AL1129" s="8" t="str">
        <v>0～9</v>
      </c>
      <c r="AM1129" s="8" t="str">
        <v>～99</v>
      </c>
      <c r="AN1129" s="8" t="str">
        <v>15以上</v>
      </c>
      <c r="AO1129" s="8" t="str">
        <f aca="false">IF(A1129="","",IF(COUNTIFS(全馬データ!$A$2:$A$50000,A1129,全馬データ!$B$2:$B$50000,B1129,全馬データ!$C$2:$C$50000,C1129,全馬データ!$D$2:$D$50000,E1129,全馬データ!$K$2:$K$50000,"&lt;&gt;")=0,"",SUMIFS(全馬データ!$K$2:$K$50000,全馬データ!$A$2:$A$50000,A1129,全馬データ!$B$2:$B$50000,B1129,全馬データ!$C$2:$C$50000,C1129,全馬データ!$D$2:$D$50000,E1129)))</f>
        <v/>
      </c>
      <c r="AP1129" s="8" t="str">
        <f aca="false">IF(A1129="","",IF(AO1129="","欠損",IF(AO1129&lt;=1.1,"1.0～1.1",IF(AO1129&lt;1.3,"1.2",IF(AO1129&lt;1.5,"1.3～1.4",IF(AO1129&lt;2,"1.5～1.9","2.0以上"))))))</f>
        <v>欠損</v>
      </c>
      <c r="AQ1129" s="8" t="str">
        <f aca="false">IF(A1129="","",IF(ISNUMBER(SEARCH("2歳",Z1129)),"2歳戦",IF(ISNUMBER(SEARCH("3歳未勝利",Z1129)),"3歳未勝利",IF(ISNUMBER(SEARCH("未勝利",Z1129)),"その他未勝利",IF(ISNUMBER(SEARCH("G1",Z1129)),"G1",IF(ISNUMBER(SEARCH("G2",Z1129)),"G2",IF(ISNUMBER(SEARCH("G3",Z1129)),"G3",IF(ISNUMBER(SEARCH("古馬条件",Z1129)),"古馬条件戦",IF(ISNUMBER(SEARCH("重賞",Z1129)),"重賞","分類不能")))))))))</f>
        <v>分類不能</v>
      </c>
      <c r="AR1129" s="8"/>
      <c r="AS1129" s="8" t="s">
        <v>7842</v>
      </c>
      <c r="AT1129" s="8" t="s">
        <v>7843</v>
      </c>
      <c r="AU1129" s="8" t="s">
        <v>7628</v>
      </c>
      <c r="AV1129" s="8" t="s">
        <v>7629</v>
      </c>
      <c r="AW1129" s="8"/>
      <c r="AX1129" s="8"/>
      <c r="AY1129" s="8" t="s">
        <v>7602</v>
      </c>
      <c r="AZ1129" s="4" t="s">
        <v>7603</v>
      </c>
      <c r="BA1129" s="8" t="n">
        <v>1400</v>
      </c>
      <c r="BB1129" s="8" t="s">
        <v>7598</v>
      </c>
      <c r="BC1129" s="4" t="s">
        <v>7604</v>
      </c>
      <c r="BD1129" s="8" t="s">
        <v>7621</v>
      </c>
      <c r="BE1129" s="4" t="s">
        <v>7622</v>
      </c>
      <c r="BF1129" s="8" t="s">
        <v>7602</v>
      </c>
      <c r="BG1129" s="8" t="s">
        <v>7631</v>
      </c>
      <c r="BH1129" s="4" t="s">
        <v>7632</v>
      </c>
      <c r="BI1129" s="8" t="n">
        <v>16</v>
      </c>
      <c r="BJ1129" s="8" t="s">
        <v>7610</v>
      </c>
      <c r="BK1129" s="4" t="s">
        <v>7611</v>
      </c>
      <c r="BL1129" s="8" t="s">
        <v>7602</v>
      </c>
      <c r="BM1129" s="4" t="s">
        <v>7620</v>
      </c>
      <c r="BN1129" s="8" t="s">
        <v>7631</v>
      </c>
      <c r="BO1129" s="8" t="s">
        <v>7680</v>
      </c>
      <c r="BP1129" s="8" t="s">
        <v>7608</v>
      </c>
      <c r="BQ1129" s="8" t="str">
        <f aca="false">IF(A1129="","",AT1129)</f>
        <v>4歳以上</v>
      </c>
      <c r="BR1129" s="8" t="str">
        <f aca="false">IF(A1129="","",IF(BA1129&lt;=1200,"～1200",IF(BA1129&lt;=1500,"1300～1500",IF(BA1129=1600,"1600",IF(BA1129&lt;=1800,"1700～1800",IF(BA1129&lt;=2000,"1900～2000","2100以上"))))))</f>
        <v>1300～1500</v>
      </c>
      <c r="BS1129" s="8" t="str">
        <f aca="false">IF(A1129="","",IF(AX1129="G1","G1",IF(AX1129="G2","G2",IF(AX1129="G3","G3",IF(AX1129="L","L","その他")))))</f>
        <v>その他</v>
      </c>
      <c r="BT1129" s="8" t="str">
        <f aca="false">IF(A1129="","",IF(BI1129="","未結合",IF(D1129=BI1129,"一致","不一致")))</f>
        <v>一致</v>
      </c>
      <c r="BU1129" s="8" t="str">
        <f aca="false">IF(A1129="","",IF(BE1129="牝馬限定","牝馬限定","その他"))</f>
        <v>牝馬限定</v>
      </c>
    </row>
    <row r="1130" customFormat="false" ht="15.75" hidden="false" customHeight="false" outlineLevel="0" collapsed="false">
      <c r="A1130" s="6" t="n">
        <f aca="false">DATE(2026,5,3)</f>
        <v>46145</v>
      </c>
      <c r="B1130" s="4" t="s">
        <v>13</v>
      </c>
      <c r="C1130" s="8" t="n">
        <v>8</v>
      </c>
      <c r="D1130" s="8" t="n">
        <v>12</v>
      </c>
      <c r="E1130" s="8" t="n">
        <v>4</v>
      </c>
      <c r="F1130" s="4" t="s">
        <v>1826</v>
      </c>
      <c r="G1130" s="8" t="n">
        <v>52</v>
      </c>
      <c r="H1130" s="8" t="n">
        <v>6</v>
      </c>
      <c r="I1130" s="4" t="s">
        <v>4740</v>
      </c>
      <c r="J1130" s="8" t="n">
        <v>41</v>
      </c>
      <c r="K1130" s="8" t="n">
        <v>3</v>
      </c>
      <c r="L1130" s="4" t="s">
        <v>6471</v>
      </c>
      <c r="M1130" s="8" t="n">
        <v>34</v>
      </c>
      <c r="N1130" s="8" t="n">
        <f aca="false">IF(A1130="","",G1130-J1130)</f>
        <v>11</v>
      </c>
      <c r="O1130" s="8" t="n">
        <f aca="false">IF(A1130="","",J1130-M1130)</f>
        <v>7</v>
      </c>
      <c r="P1130" s="8" t="n">
        <f aca="false">IF(A1130="","",G1130+J1130)</f>
        <v>93</v>
      </c>
      <c r="Q1130" s="8" t="str">
        <f aca="false">IF(A1130="","",IF(AND(Y1130&lt;&gt;"参考",G1130&gt;=ルール設定!$B$2),"○",""))</f>
        <v/>
      </c>
      <c r="R1130" s="8" t="str">
        <f aca="false">IF(A1130="","",IF(AND(Y1130&lt;&gt;"参考",G1130&gt;=ルール設定!$B$3,N1130&gt;=ルール設定!$B$4),"○",""))</f>
        <v/>
      </c>
      <c r="S1130" s="8" t="str">
        <f aca="false">IF(A1130="","",IF(AND(Y1130&lt;&gt;"参考",G1130&gt;=ルール設定!$B$5,J1130&gt;=ルール設定!$B$6,O1130&gt;=ルール設定!$B$7),"○",""))</f>
        <v/>
      </c>
      <c r="T1130" s="8" t="n">
        <v>1</v>
      </c>
      <c r="U1130" s="8" t="n">
        <v>2</v>
      </c>
      <c r="V1130" s="8" t="str">
        <f aca="false">IF(A1130="","",IF(AND(ISNUMBER(T1130),ISNUMBER(U1130)),IF(AND(T1130&lt;=3,U1130&lt;=3),"○","×"),""))</f>
        <v>○</v>
      </c>
      <c r="W1130" s="8" t="n">
        <v>150</v>
      </c>
      <c r="X1130" s="8" t="n">
        <v>410</v>
      </c>
      <c r="Y1130" s="4" t="s">
        <v>7597</v>
      </c>
      <c r="Z1130" s="8" t="s">
        <v>8111</v>
      </c>
      <c r="AA1130" s="8" t="str">
        <v/>
      </c>
      <c r="AB1130" s="8" t="str">
        <v/>
      </c>
      <c r="AC1130" s="8" t="str">
        <v/>
      </c>
      <c r="AD1130" s="8" t="str">
        <v/>
      </c>
      <c r="AE1130" s="8" t="str">
        <v/>
      </c>
      <c r="AF1130" s="8" t="str">
        <v/>
      </c>
      <c r="AG1130" s="8" t="str">
        <v/>
      </c>
      <c r="AH1130" s="8" t="str">
        <v/>
      </c>
      <c r="AI1130" s="8" t="n">
        <v>18</v>
      </c>
      <c r="AJ1130" s="8" t="str">
        <v>～59</v>
      </c>
      <c r="AK1130" s="8" t="str">
        <v>10～19</v>
      </c>
      <c r="AL1130" s="8" t="str">
        <v>10～19</v>
      </c>
      <c r="AM1130" s="8" t="str">
        <v>～99</v>
      </c>
      <c r="AN1130" s="8" t="str">
        <v>12～14</v>
      </c>
      <c r="AO1130" s="8" t="str">
        <f aca="false">IF(A1130="","",IF(COUNTIFS(全馬データ!$A$2:$A$50000,A1130,全馬データ!$B$2:$B$50000,B1130,全馬データ!$C$2:$C$50000,C1130,全馬データ!$D$2:$D$50000,E1130,全馬データ!$K$2:$K$50000,"&lt;&gt;")=0,"",SUMIFS(全馬データ!$K$2:$K$50000,全馬データ!$A$2:$A$50000,A1130,全馬データ!$B$2:$B$50000,B1130,全馬データ!$C$2:$C$50000,C1130,全馬データ!$D$2:$D$50000,E1130)))</f>
        <v/>
      </c>
      <c r="AP1130" s="8" t="str">
        <f aca="false">IF(A1130="","",IF(AO1130="","欠損",IF(AO1130&lt;=1.1,"1.0～1.1",IF(AO1130&lt;1.3,"1.2",IF(AO1130&lt;1.5,"1.3～1.4",IF(AO1130&lt;2,"1.5～1.9","2.0以上"))))))</f>
        <v>欠損</v>
      </c>
      <c r="AQ1130" s="8" t="str">
        <f aca="false">IF(A1130="","",IF(ISNUMBER(SEARCH("2歳",Z1130)),"2歳戦",IF(ISNUMBER(SEARCH("3歳未勝利",Z1130)),"3歳未勝利",IF(ISNUMBER(SEARCH("未勝利",Z1130)),"その他未勝利",IF(ISNUMBER(SEARCH("G1",Z1130)),"G1",IF(ISNUMBER(SEARCH("G2",Z1130)),"G2",IF(ISNUMBER(SEARCH("G3",Z1130)),"G3",IF(ISNUMBER(SEARCH("古馬条件",Z1130)),"古馬条件戦",IF(ISNUMBER(SEARCH("重賞",Z1130)),"重賞","分類不能")))))))))</f>
        <v>分類不能</v>
      </c>
      <c r="AR1130" s="8"/>
      <c r="AS1130" s="8" t="s">
        <v>7842</v>
      </c>
      <c r="AT1130" s="8" t="s">
        <v>7843</v>
      </c>
      <c r="AU1130" s="8" t="s">
        <v>7628</v>
      </c>
      <c r="AV1130" s="8" t="s">
        <v>7629</v>
      </c>
      <c r="AW1130" s="8"/>
      <c r="AX1130" s="8"/>
      <c r="AY1130" s="8" t="s">
        <v>7602</v>
      </c>
      <c r="AZ1130" s="4" t="s">
        <v>7603</v>
      </c>
      <c r="BA1130" s="8" t="n">
        <v>1800</v>
      </c>
      <c r="BB1130" s="8" t="s">
        <v>7598</v>
      </c>
      <c r="BC1130" s="4" t="s">
        <v>7604</v>
      </c>
      <c r="BD1130" s="8" t="s">
        <v>7625</v>
      </c>
      <c r="BE1130" s="4" t="s">
        <v>7606</v>
      </c>
      <c r="BF1130" s="8" t="s">
        <v>7607</v>
      </c>
      <c r="BG1130" s="8" t="s">
        <v>7631</v>
      </c>
      <c r="BH1130" s="4" t="s">
        <v>7632</v>
      </c>
      <c r="BI1130" s="8" t="n">
        <v>12</v>
      </c>
      <c r="BJ1130" s="8" t="s">
        <v>7610</v>
      </c>
      <c r="BK1130" s="4" t="s">
        <v>7611</v>
      </c>
      <c r="BL1130" s="8" t="s">
        <v>7610</v>
      </c>
      <c r="BM1130" s="4" t="s">
        <v>7612</v>
      </c>
      <c r="BN1130" s="8" t="s">
        <v>7631</v>
      </c>
      <c r="BO1130" s="8" t="s">
        <v>7680</v>
      </c>
      <c r="BP1130" s="8" t="s">
        <v>7608</v>
      </c>
      <c r="BQ1130" s="8" t="str">
        <f aca="false">IF(A1130="","",AT1130)</f>
        <v>4歳以上</v>
      </c>
      <c r="BR1130" s="8" t="str">
        <f aca="false">IF(A1130="","",IF(BA1130&lt;=1200,"～1200",IF(BA1130&lt;=1500,"1300～1500",IF(BA1130=1600,"1600",IF(BA1130&lt;=1800,"1700～1800",IF(BA1130&lt;=2000,"1900～2000","2100以上"))))))</f>
        <v>1700～1800</v>
      </c>
      <c r="BS1130" s="8" t="str">
        <f aca="false">IF(A1130="","",IF(AX1130="G1","G1",IF(AX1130="G2","G2",IF(AX1130="G3","G3",IF(AX1130="L","L","その他")))))</f>
        <v>その他</v>
      </c>
      <c r="BT1130" s="8" t="str">
        <f aca="false">IF(A1130="","",IF(BI1130="","未結合",IF(D1130=BI1130,"一致","不一致")))</f>
        <v>一致</v>
      </c>
      <c r="BU1130" s="8" t="str">
        <f aca="false">IF(A1130="","",IF(BE1130="牝馬限定","牝馬限定","その他"))</f>
        <v>その他</v>
      </c>
    </row>
    <row r="1131" customFormat="false" ht="15.75" hidden="false" customHeight="false" outlineLevel="0" collapsed="false">
      <c r="A1131" s="6" t="n">
        <f aca="false">DATE(2026,5,3)</f>
        <v>46145</v>
      </c>
      <c r="B1131" s="4" t="s">
        <v>13</v>
      </c>
      <c r="C1131" s="8" t="n">
        <v>9</v>
      </c>
      <c r="D1131" s="8" t="n">
        <v>12</v>
      </c>
      <c r="E1131" s="8" t="n">
        <v>4</v>
      </c>
      <c r="F1131" s="4" t="s">
        <v>3764</v>
      </c>
      <c r="G1131" s="8" t="n">
        <v>86</v>
      </c>
      <c r="H1131" s="8" t="n">
        <v>3</v>
      </c>
      <c r="I1131" s="4" t="s">
        <v>7454</v>
      </c>
      <c r="J1131" s="8" t="n">
        <v>52</v>
      </c>
      <c r="K1131" s="8" t="n">
        <v>8</v>
      </c>
      <c r="L1131" s="4" t="s">
        <v>560</v>
      </c>
      <c r="M1131" s="8" t="n">
        <v>47</v>
      </c>
      <c r="N1131" s="8" t="n">
        <f aca="false">IF(A1131="","",G1131-J1131)</f>
        <v>34</v>
      </c>
      <c r="O1131" s="8" t="n">
        <f aca="false">IF(A1131="","",J1131-M1131)</f>
        <v>5</v>
      </c>
      <c r="P1131" s="8" t="n">
        <f aca="false">IF(A1131="","",G1131+J1131)</f>
        <v>138</v>
      </c>
      <c r="Q1131" s="8" t="str">
        <f aca="false">IF(A1131="","",IF(AND(Y1131&lt;&gt;"参考",G1131&gt;=ルール設定!$B$2),"○",""))</f>
        <v>○</v>
      </c>
      <c r="R1131" s="8" t="str">
        <f aca="false">IF(A1131="","",IF(AND(Y1131&lt;&gt;"参考",G1131&gt;=ルール設定!$B$3,N1131&gt;=ルール設定!$B$4),"○",""))</f>
        <v>○</v>
      </c>
      <c r="S1131" s="8" t="str">
        <f aca="false">IF(A1131="","",IF(AND(Y1131&lt;&gt;"参考",G1131&gt;=ルール設定!$B$5,J1131&gt;=ルール設定!$B$6,O1131&gt;=ルール設定!$B$7),"○",""))</f>
        <v/>
      </c>
      <c r="T1131" s="8" t="n">
        <v>1</v>
      </c>
      <c r="U1131" s="8" t="n">
        <v>2</v>
      </c>
      <c r="V1131" s="8" t="str">
        <f aca="false">IF(A1131="","",IF(AND(ISNUMBER(T1131),ISNUMBER(U1131)),IF(AND(T1131&lt;=3,U1131&lt;=3),"○","×"),""))</f>
        <v>○</v>
      </c>
      <c r="W1131" s="8" t="n">
        <v>110</v>
      </c>
      <c r="X1131" s="8" t="n">
        <v>180</v>
      </c>
      <c r="Y1131" s="4" t="s">
        <v>7597</v>
      </c>
      <c r="Z1131" s="8" t="s">
        <v>8111</v>
      </c>
      <c r="AA1131" s="8" t="str">
        <v>○</v>
      </c>
      <c r="AB1131" s="8" t="str">
        <v>○</v>
      </c>
      <c r="AC1131" s="8" t="str">
        <v/>
      </c>
      <c r="AD1131" s="8" t="str">
        <v>○</v>
      </c>
      <c r="AE1131" s="8" t="str">
        <v/>
      </c>
      <c r="AF1131" s="8" t="str">
        <v/>
      </c>
      <c r="AG1131" s="8" t="str">
        <v>○</v>
      </c>
      <c r="AH1131" s="8" t="str">
        <v/>
      </c>
      <c r="AI1131" s="8" t="n">
        <v>39</v>
      </c>
      <c r="AJ1131" s="8" t="str">
        <v>85以上</v>
      </c>
      <c r="AK1131" s="8" t="str">
        <v>30以上</v>
      </c>
      <c r="AL1131" s="8" t="str">
        <v>30～39</v>
      </c>
      <c r="AM1131" s="8" t="str">
        <v>120～139</v>
      </c>
      <c r="AN1131" s="8" t="str">
        <v>12～14</v>
      </c>
      <c r="AO1131" s="8" t="str">
        <f aca="false">IF(A1131="","",IF(COUNTIFS(全馬データ!$A$2:$A$50000,A1131,全馬データ!$B$2:$B$50000,B1131,全馬データ!$C$2:$C$50000,C1131,全馬データ!$D$2:$D$50000,E1131,全馬データ!$K$2:$K$50000,"&lt;&gt;")=0,"",SUMIFS(全馬データ!$K$2:$K$50000,全馬データ!$A$2:$A$50000,A1131,全馬データ!$B$2:$B$50000,B1131,全馬データ!$C$2:$C$50000,C1131,全馬データ!$D$2:$D$50000,E1131)))</f>
        <v/>
      </c>
      <c r="AP1131" s="8" t="str">
        <f aca="false">IF(A1131="","",IF(AO1131="","欠損",IF(AO1131&lt;=1.1,"1.0～1.1",IF(AO1131&lt;1.3,"1.2",IF(AO1131&lt;1.5,"1.3～1.4",IF(AO1131&lt;2,"1.5～1.9","2.0以上"))))))</f>
        <v>欠損</v>
      </c>
      <c r="AQ1131" s="8" t="str">
        <f aca="false">IF(A1131="","",IF(ISNUMBER(SEARCH("2歳",Z1131)),"2歳戦",IF(ISNUMBER(SEARCH("3歳未勝利",Z1131)),"3歳未勝利",IF(ISNUMBER(SEARCH("未勝利",Z1131)),"その他未勝利",IF(ISNUMBER(SEARCH("G1",Z1131)),"G1",IF(ISNUMBER(SEARCH("G2",Z1131)),"G2",IF(ISNUMBER(SEARCH("G3",Z1131)),"G3",IF(ISNUMBER(SEARCH("古馬条件",Z1131)),"古馬条件戦",IF(ISNUMBER(SEARCH("重賞",Z1131)),"重賞","分類不能")))))))))</f>
        <v>分類不能</v>
      </c>
      <c r="AR1131" s="4" t="s">
        <v>8160</v>
      </c>
      <c r="AS1131" s="8" t="s">
        <v>7842</v>
      </c>
      <c r="AT1131" s="8" t="s">
        <v>7843</v>
      </c>
      <c r="AU1131" s="8" t="s">
        <v>7634</v>
      </c>
      <c r="AV1131" s="8" t="s">
        <v>7635</v>
      </c>
      <c r="AW1131" s="8" t="s">
        <v>7636</v>
      </c>
      <c r="AX1131" s="4" t="s">
        <v>7637</v>
      </c>
      <c r="AY1131" s="8" t="s">
        <v>7610</v>
      </c>
      <c r="AZ1131" s="4" t="s">
        <v>7617</v>
      </c>
      <c r="BA1131" s="8" t="n">
        <v>1800</v>
      </c>
      <c r="BB1131" s="8" t="s">
        <v>7618</v>
      </c>
      <c r="BC1131" s="4" t="s">
        <v>7619</v>
      </c>
      <c r="BD1131" s="8" t="s">
        <v>7621</v>
      </c>
      <c r="BE1131" s="4" t="s">
        <v>7622</v>
      </c>
      <c r="BF1131" s="8" t="s">
        <v>7602</v>
      </c>
      <c r="BG1131" s="8" t="s">
        <v>7631</v>
      </c>
      <c r="BH1131" s="4" t="s">
        <v>7632</v>
      </c>
      <c r="BI1131" s="8" t="n">
        <v>12</v>
      </c>
      <c r="BJ1131" s="8" t="s">
        <v>7610</v>
      </c>
      <c r="BK1131" s="4" t="s">
        <v>7611</v>
      </c>
      <c r="BL1131" s="8" t="s">
        <v>7602</v>
      </c>
      <c r="BM1131" s="4" t="s">
        <v>7620</v>
      </c>
      <c r="BN1131" s="8"/>
      <c r="BO1131" s="8"/>
      <c r="BP1131" s="8" t="s">
        <v>7608</v>
      </c>
      <c r="BQ1131" s="8" t="str">
        <f aca="false">IF(A1131="","",AT1131)</f>
        <v>4歳以上</v>
      </c>
      <c r="BR1131" s="8" t="str">
        <f aca="false">IF(A1131="","",IF(BA1131&lt;=1200,"～1200",IF(BA1131&lt;=1500,"1300～1500",IF(BA1131=1600,"1600",IF(BA1131&lt;=1800,"1700～1800",IF(BA1131&lt;=2000,"1900～2000","2100以上"))))))</f>
        <v>1700～1800</v>
      </c>
      <c r="BS1131" s="8" t="str">
        <f aca="false">IF(A1131="","",IF(AX1131="G1","G1",IF(AX1131="G2","G2",IF(AX1131="G3","G3",IF(AX1131="L","L","その他")))))</f>
        <v>その他</v>
      </c>
      <c r="BT1131" s="8" t="str">
        <f aca="false">IF(A1131="","",IF(BI1131="","未結合",IF(D1131=BI1131,"一致","不一致")))</f>
        <v>一致</v>
      </c>
      <c r="BU1131" s="8" t="str">
        <f aca="false">IF(A1131="","",IF(BE1131="牝馬限定","牝馬限定","その他"))</f>
        <v>牝馬限定</v>
      </c>
    </row>
    <row r="1132" customFormat="false" ht="15.75" hidden="false" customHeight="false" outlineLevel="0" collapsed="false">
      <c r="A1132" s="6" t="n">
        <f aca="false">DATE(2026,5,3)</f>
        <v>46145</v>
      </c>
      <c r="B1132" s="4" t="s">
        <v>13</v>
      </c>
      <c r="C1132" s="8" t="n">
        <v>10</v>
      </c>
      <c r="D1132" s="8" t="n">
        <v>16</v>
      </c>
      <c r="E1132" s="8" t="n">
        <v>12</v>
      </c>
      <c r="F1132" s="4" t="s">
        <v>7459</v>
      </c>
      <c r="G1132" s="8" t="n">
        <v>41</v>
      </c>
      <c r="H1132" s="8" t="n">
        <v>16</v>
      </c>
      <c r="I1132" s="4" t="s">
        <v>2000</v>
      </c>
      <c r="J1132" s="8" t="n">
        <v>39</v>
      </c>
      <c r="K1132" s="8" t="n">
        <v>8</v>
      </c>
      <c r="L1132" s="4" t="s">
        <v>5562</v>
      </c>
      <c r="M1132" s="8" t="n">
        <v>34</v>
      </c>
      <c r="N1132" s="8" t="n">
        <f aca="false">IF(A1132="","",G1132-J1132)</f>
        <v>2</v>
      </c>
      <c r="O1132" s="8" t="n">
        <f aca="false">IF(A1132="","",J1132-M1132)</f>
        <v>5</v>
      </c>
      <c r="P1132" s="8" t="n">
        <f aca="false">IF(A1132="","",G1132+J1132)</f>
        <v>80</v>
      </c>
      <c r="Q1132" s="8" t="str">
        <f aca="false">IF(A1132="","",IF(AND(Y1132&lt;&gt;"参考",G1132&gt;=ルール設定!$B$2),"○",""))</f>
        <v/>
      </c>
      <c r="R1132" s="8" t="str">
        <f aca="false">IF(A1132="","",IF(AND(Y1132&lt;&gt;"参考",G1132&gt;=ルール設定!$B$3,N1132&gt;=ルール設定!$B$4),"○",""))</f>
        <v/>
      </c>
      <c r="S1132" s="8" t="str">
        <f aca="false">IF(A1132="","",IF(AND(Y1132&lt;&gt;"参考",G1132&gt;=ルール設定!$B$5,J1132&gt;=ルール設定!$B$6,O1132&gt;=ルール設定!$B$7),"○",""))</f>
        <v/>
      </c>
      <c r="T1132" s="8" t="n">
        <v>4</v>
      </c>
      <c r="U1132" s="8" t="n">
        <v>1</v>
      </c>
      <c r="V1132" s="8" t="str">
        <f aca="false">IF(A1132="","",IF(AND(ISNUMBER(T1132),ISNUMBER(U1132)),IF(AND(T1132&lt;=3,U1132&lt;=3),"○","×"),""))</f>
        <v>×</v>
      </c>
      <c r="W1132" s="8"/>
      <c r="X1132" s="8"/>
      <c r="Y1132" s="4" t="s">
        <v>7597</v>
      </c>
      <c r="Z1132" s="8" t="s">
        <v>8111</v>
      </c>
      <c r="AA1132" s="8" t="str">
        <v/>
      </c>
      <c r="AB1132" s="8" t="str">
        <v/>
      </c>
      <c r="AC1132" s="8" t="str">
        <v/>
      </c>
      <c r="AD1132" s="8" t="str">
        <v/>
      </c>
      <c r="AE1132" s="8" t="str">
        <v/>
      </c>
      <c r="AF1132" s="8" t="str">
        <v/>
      </c>
      <c r="AG1132" s="8" t="str">
        <v/>
      </c>
      <c r="AH1132" s="8" t="str">
        <v/>
      </c>
      <c r="AI1132" s="8" t="n">
        <v>7</v>
      </c>
      <c r="AJ1132" s="8" t="str">
        <v>～59</v>
      </c>
      <c r="AK1132" s="8" t="str">
        <v>0～4</v>
      </c>
      <c r="AL1132" s="8" t="str">
        <v>0～9</v>
      </c>
      <c r="AM1132" s="8" t="str">
        <v>～99</v>
      </c>
      <c r="AN1132" s="8" t="str">
        <v>15以上</v>
      </c>
      <c r="AO1132" s="8" t="str">
        <f aca="false">IF(A1132="","",IF(COUNTIFS(全馬データ!$A$2:$A$50000,A1132,全馬データ!$B$2:$B$50000,B1132,全馬データ!$C$2:$C$50000,C1132,全馬データ!$D$2:$D$50000,E1132,全馬データ!$K$2:$K$50000,"&lt;&gt;")=0,"",SUMIFS(全馬データ!$K$2:$K$50000,全馬データ!$A$2:$A$50000,A1132,全馬データ!$B$2:$B$50000,B1132,全馬データ!$C$2:$C$50000,C1132,全馬データ!$D$2:$D$50000,E1132)))</f>
        <v/>
      </c>
      <c r="AP1132" s="8" t="str">
        <f aca="false">IF(A1132="","",IF(AO1132="","欠損",IF(AO1132&lt;=1.1,"1.0～1.1",IF(AO1132&lt;1.3,"1.2",IF(AO1132&lt;1.5,"1.3～1.4",IF(AO1132&lt;2,"1.5～1.9","2.0以上"))))))</f>
        <v>欠損</v>
      </c>
      <c r="AQ1132" s="8" t="str">
        <f aca="false">IF(A1132="","",IF(ISNUMBER(SEARCH("2歳",Z1132)),"2歳戦",IF(ISNUMBER(SEARCH("3歳未勝利",Z1132)),"3歳未勝利",IF(ISNUMBER(SEARCH("未勝利",Z1132)),"その他未勝利",IF(ISNUMBER(SEARCH("G1",Z1132)),"G1",IF(ISNUMBER(SEARCH("G2",Z1132)),"G2",IF(ISNUMBER(SEARCH("G3",Z1132)),"G3",IF(ISNUMBER(SEARCH("古馬条件",Z1132)),"古馬条件戦",IF(ISNUMBER(SEARCH("重賞",Z1132)),"重賞","分類不能")))))))))</f>
        <v>分類不能</v>
      </c>
      <c r="AR1132" s="4" t="s">
        <v>8161</v>
      </c>
      <c r="AS1132" s="8" t="s">
        <v>7842</v>
      </c>
      <c r="AT1132" s="8" t="s">
        <v>7843</v>
      </c>
      <c r="AU1132" s="8" t="s">
        <v>7634</v>
      </c>
      <c r="AV1132" s="8" t="s">
        <v>7635</v>
      </c>
      <c r="AW1132" s="8" t="s">
        <v>7636</v>
      </c>
      <c r="AX1132" s="4" t="s">
        <v>7637</v>
      </c>
      <c r="AY1132" s="8" t="s">
        <v>7602</v>
      </c>
      <c r="AZ1132" s="4" t="s">
        <v>7603</v>
      </c>
      <c r="BA1132" s="8" t="n">
        <v>1000</v>
      </c>
      <c r="BB1132" s="8" t="s">
        <v>7634</v>
      </c>
      <c r="BC1132" s="4" t="s">
        <v>7604</v>
      </c>
      <c r="BD1132" s="8" t="s">
        <v>7605</v>
      </c>
      <c r="BE1132" s="4" t="s">
        <v>7606</v>
      </c>
      <c r="BF1132" s="8" t="s">
        <v>7607</v>
      </c>
      <c r="BG1132" s="8" t="s">
        <v>7602</v>
      </c>
      <c r="BH1132" s="4" t="s">
        <v>7667</v>
      </c>
      <c r="BI1132" s="8" t="n">
        <v>16</v>
      </c>
      <c r="BJ1132" s="8" t="s">
        <v>7608</v>
      </c>
      <c r="BK1132" s="4" t="s">
        <v>7649</v>
      </c>
      <c r="BL1132" s="8" t="s">
        <v>7647</v>
      </c>
      <c r="BM1132" s="4" t="s">
        <v>7648</v>
      </c>
      <c r="BN1132" s="8" t="s">
        <v>7631</v>
      </c>
      <c r="BO1132" s="8" t="s">
        <v>7680</v>
      </c>
      <c r="BP1132" s="8" t="s">
        <v>7608</v>
      </c>
      <c r="BQ1132" s="8" t="str">
        <f aca="false">IF(A1132="","",AT1132)</f>
        <v>4歳以上</v>
      </c>
      <c r="BR1132" s="8" t="str">
        <f aca="false">IF(A1132="","",IF(BA1132&lt;=1200,"～1200",IF(BA1132&lt;=1500,"1300～1500",IF(BA1132=1600,"1600",IF(BA1132&lt;=1800,"1700～1800",IF(BA1132&lt;=2000,"1900～2000","2100以上"))))))</f>
        <v>～1200</v>
      </c>
      <c r="BS1132" s="8" t="str">
        <f aca="false">IF(A1132="","",IF(AX1132="G1","G1",IF(AX1132="G2","G2",IF(AX1132="G3","G3",IF(AX1132="L","L","その他")))))</f>
        <v>その他</v>
      </c>
      <c r="BT1132" s="8" t="str">
        <f aca="false">IF(A1132="","",IF(BI1132="","未結合",IF(D1132=BI1132,"一致","不一致")))</f>
        <v>一致</v>
      </c>
      <c r="BU1132" s="8" t="str">
        <f aca="false">IF(A1132="","",IF(BE1132="牝馬限定","牝馬限定","その他"))</f>
        <v>その他</v>
      </c>
    </row>
    <row r="1133" customFormat="false" ht="15.75" hidden="false" customHeight="false" outlineLevel="0" collapsed="false">
      <c r="A1133" s="6" t="n">
        <f aca="false">DATE(2026,5,3)</f>
        <v>46145</v>
      </c>
      <c r="B1133" s="4" t="s">
        <v>13</v>
      </c>
      <c r="C1133" s="8" t="n">
        <v>11</v>
      </c>
      <c r="D1133" s="8" t="n">
        <v>15</v>
      </c>
      <c r="E1133" s="8" t="n">
        <v>10</v>
      </c>
      <c r="F1133" s="4" t="s">
        <v>1536</v>
      </c>
      <c r="G1133" s="8" t="n">
        <v>50</v>
      </c>
      <c r="H1133" s="8" t="n">
        <v>2</v>
      </c>
      <c r="I1133" s="4" t="s">
        <v>7462</v>
      </c>
      <c r="J1133" s="8" t="n">
        <v>41</v>
      </c>
      <c r="K1133" s="8" t="n">
        <v>7</v>
      </c>
      <c r="L1133" s="4" t="s">
        <v>6811</v>
      </c>
      <c r="M1133" s="8" t="n">
        <v>41</v>
      </c>
      <c r="N1133" s="8" t="n">
        <f aca="false">IF(A1133="","",G1133-J1133)</f>
        <v>9</v>
      </c>
      <c r="O1133" s="8" t="n">
        <f aca="false">IF(A1133="","",J1133-M1133)</f>
        <v>0</v>
      </c>
      <c r="P1133" s="8" t="n">
        <f aca="false">IF(A1133="","",G1133+J1133)</f>
        <v>91</v>
      </c>
      <c r="Q1133" s="8" t="str">
        <f aca="false">IF(A1133="","",IF(AND(Y1133&lt;&gt;"参考",G1133&gt;=ルール設定!$B$2),"○",""))</f>
        <v/>
      </c>
      <c r="R1133" s="8" t="str">
        <f aca="false">IF(A1133="","",IF(AND(Y1133&lt;&gt;"参考",G1133&gt;=ルール設定!$B$3,N1133&gt;=ルール設定!$B$4),"○",""))</f>
        <v/>
      </c>
      <c r="S1133" s="8" t="str">
        <f aca="false">IF(A1133="","",IF(AND(Y1133&lt;&gt;"参考",G1133&gt;=ルール設定!$B$5,J1133&gt;=ルール設定!$B$6,O1133&gt;=ルール設定!$B$7),"○",""))</f>
        <v/>
      </c>
      <c r="T1133" s="8" t="n">
        <v>2</v>
      </c>
      <c r="U1133" s="8" t="n">
        <v>4</v>
      </c>
      <c r="V1133" s="8" t="str">
        <f aca="false">IF(A1133="","",IF(AND(ISNUMBER(T1133),ISNUMBER(U1133)),IF(AND(T1133&lt;=3,U1133&lt;=3),"○","×"),""))</f>
        <v>×</v>
      </c>
      <c r="W1133" s="8" t="n">
        <v>200</v>
      </c>
      <c r="X1133" s="8"/>
      <c r="Y1133" s="4" t="s">
        <v>7597</v>
      </c>
      <c r="Z1133" s="8" t="s">
        <v>8111</v>
      </c>
      <c r="AA1133" s="8" t="str">
        <v/>
      </c>
      <c r="AB1133" s="8" t="str">
        <v/>
      </c>
      <c r="AC1133" s="8" t="str">
        <v/>
      </c>
      <c r="AD1133" s="8" t="str">
        <v/>
      </c>
      <c r="AE1133" s="8" t="str">
        <v/>
      </c>
      <c r="AF1133" s="8" t="str">
        <v/>
      </c>
      <c r="AG1133" s="8" t="str">
        <v/>
      </c>
      <c r="AH1133" s="8" t="str">
        <v/>
      </c>
      <c r="AI1133" s="8" t="n">
        <v>9</v>
      </c>
      <c r="AJ1133" s="8" t="str">
        <v>～59</v>
      </c>
      <c r="AK1133" s="8" t="str">
        <v>5～9</v>
      </c>
      <c r="AL1133" s="8" t="str">
        <v>0～9</v>
      </c>
      <c r="AM1133" s="8" t="str">
        <v>～99</v>
      </c>
      <c r="AN1133" s="8" t="str">
        <v>15以上</v>
      </c>
      <c r="AO1133" s="8" t="str">
        <f aca="false">IF(A1133="","",IF(COUNTIFS(全馬データ!$A$2:$A$50000,A1133,全馬データ!$B$2:$B$50000,B1133,全馬データ!$C$2:$C$50000,C1133,全馬データ!$D$2:$D$50000,E1133,全馬データ!$K$2:$K$50000,"&lt;&gt;")=0,"",SUMIFS(全馬データ!$K$2:$K$50000,全馬データ!$A$2:$A$50000,A1133,全馬データ!$B$2:$B$50000,B1133,全馬データ!$C$2:$C$50000,C1133,全馬データ!$D$2:$D$50000,E1133)))</f>
        <v/>
      </c>
      <c r="AP1133" s="8" t="str">
        <f aca="false">IF(A1133="","",IF(AO1133="","欠損",IF(AO1133&lt;=1.1,"1.0～1.1",IF(AO1133&lt;1.3,"1.2",IF(AO1133&lt;1.5,"1.3～1.4",IF(AO1133&lt;2,"1.5～1.9","2.0以上"))))))</f>
        <v>欠損</v>
      </c>
      <c r="AQ1133" s="8" t="str">
        <f aca="false">IF(A1133="","",IF(ISNUMBER(SEARCH("2歳",Z1133)),"2歳戦",IF(ISNUMBER(SEARCH("3歳未勝利",Z1133)),"3歳未勝利",IF(ISNUMBER(SEARCH("未勝利",Z1133)),"その他未勝利",IF(ISNUMBER(SEARCH("G1",Z1133)),"G1",IF(ISNUMBER(SEARCH("G2",Z1133)),"G2",IF(ISNUMBER(SEARCH("G3",Z1133)),"G3",IF(ISNUMBER(SEARCH("古馬条件",Z1133)),"古馬条件戦",IF(ISNUMBER(SEARCH("重賞",Z1133)),"重賞","分類不能")))))))))</f>
        <v>分類不能</v>
      </c>
      <c r="AR1133" s="4" t="s">
        <v>8162</v>
      </c>
      <c r="AS1133" s="8" t="s">
        <v>7842</v>
      </c>
      <c r="AT1133" s="8" t="s">
        <v>7843</v>
      </c>
      <c r="AU1133" s="8" t="s">
        <v>7643</v>
      </c>
      <c r="AV1133" s="4" t="s">
        <v>7644</v>
      </c>
      <c r="AW1133" s="8" t="s">
        <v>7636</v>
      </c>
      <c r="AX1133" s="4" t="s">
        <v>7637</v>
      </c>
      <c r="AY1133" s="8" t="s">
        <v>7610</v>
      </c>
      <c r="AZ1133" s="4" t="s">
        <v>7617</v>
      </c>
      <c r="BA1133" s="8" t="n">
        <v>1200</v>
      </c>
      <c r="BB1133" s="8" t="s">
        <v>7618</v>
      </c>
      <c r="BC1133" s="4" t="s">
        <v>7619</v>
      </c>
      <c r="BD1133" s="8" t="s">
        <v>7666</v>
      </c>
      <c r="BE1133" s="4" t="s">
        <v>7606</v>
      </c>
      <c r="BF1133" s="8" t="s">
        <v>7607</v>
      </c>
      <c r="BG1133" s="8" t="s">
        <v>7610</v>
      </c>
      <c r="BH1133" s="4" t="s">
        <v>7646</v>
      </c>
      <c r="BI1133" s="8" t="n">
        <v>15</v>
      </c>
      <c r="BJ1133" s="8" t="s">
        <v>7610</v>
      </c>
      <c r="BK1133" s="4" t="s">
        <v>7611</v>
      </c>
      <c r="BL1133" s="8" t="s">
        <v>7602</v>
      </c>
      <c r="BM1133" s="4" t="s">
        <v>7620</v>
      </c>
      <c r="BN1133" s="8"/>
      <c r="BO1133" s="8"/>
      <c r="BP1133" s="8" t="s">
        <v>7608</v>
      </c>
      <c r="BQ1133" s="8" t="str">
        <f aca="false">IF(A1133="","",AT1133)</f>
        <v>4歳以上</v>
      </c>
      <c r="BR1133" s="8" t="str">
        <f aca="false">IF(A1133="","",IF(BA1133&lt;=1200,"～1200",IF(BA1133&lt;=1500,"1300～1500",IF(BA1133=1600,"1600",IF(BA1133&lt;=1800,"1700～1800",IF(BA1133&lt;=2000,"1900～2000","2100以上"))))))</f>
        <v>～1200</v>
      </c>
      <c r="BS1133" s="8" t="str">
        <f aca="false">IF(A1133="","",IF(AX1133="G1","G1",IF(AX1133="G2","G2",IF(AX1133="G3","G3",IF(AX1133="L","L","その他")))))</f>
        <v>その他</v>
      </c>
      <c r="BT1133" s="8" t="str">
        <f aca="false">IF(A1133="","",IF(BI1133="","未結合",IF(D1133=BI1133,"一致","不一致")))</f>
        <v>一致</v>
      </c>
      <c r="BU1133" s="8" t="str">
        <f aca="false">IF(A1133="","",IF(BE1133="牝馬限定","牝馬限定","その他"))</f>
        <v>その他</v>
      </c>
    </row>
    <row r="1134" customFormat="false" ht="15.75" hidden="false" customHeight="false" outlineLevel="0" collapsed="false">
      <c r="A1134" s="6" t="n">
        <f aca="false">DATE(2026,5,3)</f>
        <v>46145</v>
      </c>
      <c r="B1134" s="4" t="s">
        <v>13</v>
      </c>
      <c r="C1134" s="8" t="n">
        <v>12</v>
      </c>
      <c r="D1134" s="8" t="n">
        <v>15</v>
      </c>
      <c r="E1134" s="8" t="n">
        <v>3</v>
      </c>
      <c r="F1134" s="4" t="s">
        <v>7469</v>
      </c>
      <c r="G1134" s="8" t="n">
        <v>66</v>
      </c>
      <c r="H1134" s="8" t="n">
        <v>5</v>
      </c>
      <c r="I1134" s="4" t="s">
        <v>6310</v>
      </c>
      <c r="J1134" s="8" t="n">
        <v>65</v>
      </c>
      <c r="K1134" s="8" t="n">
        <v>10</v>
      </c>
      <c r="L1134" s="4" t="s">
        <v>539</v>
      </c>
      <c r="M1134" s="8" t="n">
        <v>44</v>
      </c>
      <c r="N1134" s="8" t="n">
        <f aca="false">IF(A1134="","",G1134-J1134)</f>
        <v>1</v>
      </c>
      <c r="O1134" s="8" t="n">
        <f aca="false">IF(A1134="","",J1134-M1134)</f>
        <v>21</v>
      </c>
      <c r="P1134" s="8" t="n">
        <f aca="false">IF(A1134="","",G1134+J1134)</f>
        <v>131</v>
      </c>
      <c r="Q1134" s="8" t="str">
        <f aca="false">IF(A1134="","",IF(AND(Y1134&lt;&gt;"参考",G1134&gt;=ルール設定!$B$2),"○",""))</f>
        <v/>
      </c>
      <c r="R1134" s="8" t="str">
        <f aca="false">IF(A1134="","",IF(AND(Y1134&lt;&gt;"参考",G1134&gt;=ルール設定!$B$3,N1134&gt;=ルール設定!$B$4),"○",""))</f>
        <v/>
      </c>
      <c r="S1134" s="8" t="str">
        <f aca="false">IF(A1134="","",IF(AND(Y1134&lt;&gt;"参考",G1134&gt;=ルール設定!$B$5,J1134&gt;=ルール設定!$B$6,O1134&gt;=ルール設定!$B$7),"○",""))</f>
        <v>○</v>
      </c>
      <c r="T1134" s="8" t="n">
        <v>1</v>
      </c>
      <c r="U1134" s="8" t="n">
        <v>4</v>
      </c>
      <c r="V1134" s="8" t="str">
        <f aca="false">IF(A1134="","",IF(AND(ISNUMBER(T1134),ISNUMBER(U1134)),IF(AND(T1134&lt;=3,U1134&lt;=3),"○","×"),""))</f>
        <v>×</v>
      </c>
      <c r="W1134" s="8" t="n">
        <v>140</v>
      </c>
      <c r="X1134" s="8"/>
      <c r="Y1134" s="4" t="s">
        <v>7597</v>
      </c>
      <c r="Z1134" s="8" t="s">
        <v>8111</v>
      </c>
      <c r="AA1134" s="8" t="str">
        <v/>
      </c>
      <c r="AB1134" s="8" t="str">
        <v/>
      </c>
      <c r="AC1134" s="8" t="str">
        <v/>
      </c>
      <c r="AD1134" s="8" t="str">
        <v/>
      </c>
      <c r="AE1134" s="8" t="str">
        <v/>
      </c>
      <c r="AF1134" s="8" t="str">
        <v/>
      </c>
      <c r="AG1134" s="8" t="str">
        <v/>
      </c>
      <c r="AH1134" s="8" t="str">
        <v/>
      </c>
      <c r="AI1134" s="8" t="n">
        <v>22</v>
      </c>
      <c r="AJ1134" s="8" t="str">
        <v>60～69</v>
      </c>
      <c r="AK1134" s="8" t="str">
        <v>0～4</v>
      </c>
      <c r="AL1134" s="8" t="str">
        <v>20～29</v>
      </c>
      <c r="AM1134" s="8" t="str">
        <v>120～139</v>
      </c>
      <c r="AN1134" s="8" t="str">
        <v>15以上</v>
      </c>
      <c r="AO1134" s="8" t="str">
        <f aca="false">IF(A1134="","",IF(COUNTIFS(全馬データ!$A$2:$A$50000,A1134,全馬データ!$B$2:$B$50000,B1134,全馬データ!$C$2:$C$50000,C1134,全馬データ!$D$2:$D$50000,E1134,全馬データ!$K$2:$K$50000,"&lt;&gt;")=0,"",SUMIFS(全馬データ!$K$2:$K$50000,全馬データ!$A$2:$A$50000,A1134,全馬データ!$B$2:$B$50000,B1134,全馬データ!$C$2:$C$50000,C1134,全馬データ!$D$2:$D$50000,E1134)))</f>
        <v/>
      </c>
      <c r="AP1134" s="8" t="str">
        <f aca="false">IF(A1134="","",IF(AO1134="","欠損",IF(AO1134&lt;=1.1,"1.0～1.1",IF(AO1134&lt;1.3,"1.2",IF(AO1134&lt;1.5,"1.3～1.4",IF(AO1134&lt;2,"1.5～1.9","2.0以上"))))))</f>
        <v>欠損</v>
      </c>
      <c r="AQ1134" s="8" t="str">
        <f aca="false">IF(A1134="","",IF(ISNUMBER(SEARCH("2歳",Z1134)),"2歳戦",IF(ISNUMBER(SEARCH("3歳未勝利",Z1134)),"3歳未勝利",IF(ISNUMBER(SEARCH("未勝利",Z1134)),"その他未勝利",IF(ISNUMBER(SEARCH("G1",Z1134)),"G1",IF(ISNUMBER(SEARCH("G2",Z1134)),"G2",IF(ISNUMBER(SEARCH("G3",Z1134)),"G3",IF(ISNUMBER(SEARCH("古馬条件",Z1134)),"古馬条件戦",IF(ISNUMBER(SEARCH("重賞",Z1134)),"重賞","分類不能")))))))))</f>
        <v>分類不能</v>
      </c>
      <c r="AR1134" s="8"/>
      <c r="AS1134" s="8" t="s">
        <v>7842</v>
      </c>
      <c r="AT1134" s="8" t="s">
        <v>7843</v>
      </c>
      <c r="AU1134" s="8" t="s">
        <v>7628</v>
      </c>
      <c r="AV1134" s="8" t="s">
        <v>7629</v>
      </c>
      <c r="AW1134" s="8"/>
      <c r="AX1134" s="8"/>
      <c r="AY1134" s="8" t="s">
        <v>7610</v>
      </c>
      <c r="AZ1134" s="4" t="s">
        <v>7617</v>
      </c>
      <c r="BA1134" s="8" t="n">
        <v>1200</v>
      </c>
      <c r="BB1134" s="8" t="s">
        <v>7618</v>
      </c>
      <c r="BC1134" s="4" t="s">
        <v>7619</v>
      </c>
      <c r="BD1134" s="8" t="s">
        <v>7625</v>
      </c>
      <c r="BE1134" s="4" t="s">
        <v>7606</v>
      </c>
      <c r="BF1134" s="8" t="s">
        <v>7607</v>
      </c>
      <c r="BG1134" s="8" t="s">
        <v>7631</v>
      </c>
      <c r="BH1134" s="4" t="s">
        <v>7632</v>
      </c>
      <c r="BI1134" s="8" t="n">
        <v>15</v>
      </c>
      <c r="BJ1134" s="8" t="s">
        <v>7610</v>
      </c>
      <c r="BK1134" s="4" t="s">
        <v>7611</v>
      </c>
      <c r="BL1134" s="8" t="s">
        <v>7602</v>
      </c>
      <c r="BM1134" s="4" t="s">
        <v>7620</v>
      </c>
      <c r="BN1134" s="8"/>
      <c r="BO1134" s="8"/>
      <c r="BP1134" s="8" t="s">
        <v>7608</v>
      </c>
      <c r="BQ1134" s="8" t="str">
        <f aca="false">IF(A1134="","",AT1134)</f>
        <v>4歳以上</v>
      </c>
      <c r="BR1134" s="8" t="str">
        <f aca="false">IF(A1134="","",IF(BA1134&lt;=1200,"～1200",IF(BA1134&lt;=1500,"1300～1500",IF(BA1134=1600,"1600",IF(BA1134&lt;=1800,"1700～1800",IF(BA1134&lt;=2000,"1900～2000","2100以上"))))))</f>
        <v>～1200</v>
      </c>
      <c r="BS1134" s="8" t="str">
        <f aca="false">IF(A1134="","",IF(AX1134="G1","G1",IF(AX1134="G2","G2",IF(AX1134="G3","G3",IF(AX1134="L","L","その他")))))</f>
        <v>その他</v>
      </c>
      <c r="BT1134" s="8" t="str">
        <f aca="false">IF(A1134="","",IF(BI1134="","未結合",IF(D1134=BI1134,"一致","不一致")))</f>
        <v>一致</v>
      </c>
      <c r="BU1134" s="8" t="str">
        <f aca="false">IF(A1134="","",IF(BE1134="牝馬限定","牝馬限定","その他"))</f>
        <v>その他</v>
      </c>
    </row>
    <row r="1135" customFormat="false" ht="15.75" hidden="false" customHeight="false" outlineLevel="0" collapsed="false">
      <c r="A1135" s="6" t="n">
        <f aca="false">DATE(2026,5,3)</f>
        <v>46145</v>
      </c>
      <c r="B1135" s="4" t="s">
        <v>4473</v>
      </c>
      <c r="C1135" s="8" t="n">
        <v>1</v>
      </c>
      <c r="D1135" s="8" t="n">
        <v>15</v>
      </c>
      <c r="E1135" s="8" t="n">
        <v>13</v>
      </c>
      <c r="F1135" s="4" t="s">
        <v>7474</v>
      </c>
      <c r="G1135" s="8" t="n">
        <v>67</v>
      </c>
      <c r="H1135" s="8" t="n">
        <v>3</v>
      </c>
      <c r="I1135" s="4" t="s">
        <v>5986</v>
      </c>
      <c r="J1135" s="8" t="n">
        <v>47</v>
      </c>
      <c r="K1135" s="8" t="n">
        <v>7</v>
      </c>
      <c r="L1135" s="4" t="s">
        <v>2184</v>
      </c>
      <c r="M1135" s="8" t="n">
        <v>47</v>
      </c>
      <c r="N1135" s="8" t="n">
        <f aca="false">IF(A1135="","",G1135-J1135)</f>
        <v>20</v>
      </c>
      <c r="O1135" s="8" t="n">
        <f aca="false">IF(A1135="","",J1135-M1135)</f>
        <v>0</v>
      </c>
      <c r="P1135" s="8" t="n">
        <f aca="false">IF(A1135="","",G1135+J1135)</f>
        <v>114</v>
      </c>
      <c r="Q1135" s="8" t="str">
        <f aca="false">IF(A1135="","",IF(AND(Y1135&lt;&gt;"参考",G1135&gt;=ルール設定!$B$2),"○",""))</f>
        <v/>
      </c>
      <c r="R1135" s="8" t="str">
        <f aca="false">IF(A1135="","",IF(AND(Y1135&lt;&gt;"参考",G1135&gt;=ルール設定!$B$3,N1135&gt;=ルール設定!$B$4),"○",""))</f>
        <v/>
      </c>
      <c r="S1135" s="8" t="str">
        <f aca="false">IF(A1135="","",IF(AND(Y1135&lt;&gt;"参考",G1135&gt;=ルール設定!$B$5,J1135&gt;=ルール設定!$B$6,O1135&gt;=ルール設定!$B$7),"○",""))</f>
        <v/>
      </c>
      <c r="T1135" s="8" t="n">
        <v>1</v>
      </c>
      <c r="U1135" s="8" t="n">
        <v>2</v>
      </c>
      <c r="V1135" s="8" t="str">
        <f aca="false">IF(A1135="","",IF(AND(ISNUMBER(T1135),ISNUMBER(U1135)),IF(AND(T1135&lt;=3,U1135&lt;=3),"○","×"),""))</f>
        <v>○</v>
      </c>
      <c r="W1135" s="8" t="n">
        <v>120</v>
      </c>
      <c r="X1135" s="8" t="n">
        <v>400</v>
      </c>
      <c r="Y1135" s="4" t="s">
        <v>7597</v>
      </c>
      <c r="Z1135" s="8" t="s">
        <v>8111</v>
      </c>
      <c r="AA1135" s="8" t="str">
        <v/>
      </c>
      <c r="AB1135" s="8" t="str">
        <v/>
      </c>
      <c r="AC1135" s="8" t="str">
        <v/>
      </c>
      <c r="AD1135" s="8" t="str">
        <v/>
      </c>
      <c r="AE1135" s="8" t="str">
        <v/>
      </c>
      <c r="AF1135" s="8" t="str">
        <v/>
      </c>
      <c r="AG1135" s="8" t="str">
        <v/>
      </c>
      <c r="AH1135" s="8" t="str">
        <v/>
      </c>
      <c r="AI1135" s="8" t="n">
        <v>20</v>
      </c>
      <c r="AJ1135" s="8" t="str">
        <v>60～69</v>
      </c>
      <c r="AK1135" s="8" t="str">
        <v>20～29</v>
      </c>
      <c r="AL1135" s="8" t="str">
        <v>20～29</v>
      </c>
      <c r="AM1135" s="8" t="str">
        <v>100～119</v>
      </c>
      <c r="AN1135" s="8" t="str">
        <v>15以上</v>
      </c>
      <c r="AO1135" s="8" t="str">
        <f aca="false">IF(A1135="","",IF(COUNTIFS(全馬データ!$A$2:$A$50000,A1135,全馬データ!$B$2:$B$50000,B1135,全馬データ!$C$2:$C$50000,C1135,全馬データ!$D$2:$D$50000,E1135,全馬データ!$K$2:$K$50000,"&lt;&gt;")=0,"",SUMIFS(全馬データ!$K$2:$K$50000,全馬データ!$A$2:$A$50000,A1135,全馬データ!$B$2:$B$50000,B1135,全馬データ!$C$2:$C$50000,C1135,全馬データ!$D$2:$D$50000,E1135)))</f>
        <v/>
      </c>
      <c r="AP1135" s="8" t="str">
        <f aca="false">IF(A1135="","",IF(AO1135="","欠損",IF(AO1135&lt;=1.1,"1.0～1.1",IF(AO1135&lt;1.3,"1.2",IF(AO1135&lt;1.5,"1.3～1.4",IF(AO1135&lt;2,"1.5～1.9","2.0以上"))))))</f>
        <v>欠損</v>
      </c>
      <c r="AQ1135" s="8" t="str">
        <f aca="false">IF(A1135="","",IF(ISNUMBER(SEARCH("2歳",Z1135)),"2歳戦",IF(ISNUMBER(SEARCH("3歳未勝利",Z1135)),"3歳未勝利",IF(ISNUMBER(SEARCH("未勝利",Z1135)),"その他未勝利",IF(ISNUMBER(SEARCH("G1",Z1135)),"G1",IF(ISNUMBER(SEARCH("G2",Z1135)),"G2",IF(ISNUMBER(SEARCH("G3",Z1135)),"G3",IF(ISNUMBER(SEARCH("古馬条件",Z1135)),"古馬条件戦",IF(ISNUMBER(SEARCH("重賞",Z1135)),"重賞","分類不能")))))))))</f>
        <v>分類不能</v>
      </c>
      <c r="AR1135" s="8"/>
      <c r="AS1135" s="8" t="s">
        <v>7623</v>
      </c>
      <c r="AT1135" s="8" t="s">
        <v>7624</v>
      </c>
      <c r="AU1135" s="8" t="s">
        <v>7600</v>
      </c>
      <c r="AV1135" s="4" t="s">
        <v>7601</v>
      </c>
      <c r="AW1135" s="8"/>
      <c r="AX1135" s="8"/>
      <c r="AY1135" s="8" t="s">
        <v>7610</v>
      </c>
      <c r="AZ1135" s="4" t="s">
        <v>7617</v>
      </c>
      <c r="BA1135" s="8" t="n">
        <v>1600</v>
      </c>
      <c r="BB1135" s="8" t="s">
        <v>7618</v>
      </c>
      <c r="BC1135" s="4" t="s">
        <v>7619</v>
      </c>
      <c r="BD1135" s="8" t="s">
        <v>7621</v>
      </c>
      <c r="BE1135" s="4" t="s">
        <v>7622</v>
      </c>
      <c r="BF1135" s="8" t="s">
        <v>7602</v>
      </c>
      <c r="BG1135" s="8" t="s">
        <v>7608</v>
      </c>
      <c r="BH1135" s="4" t="s">
        <v>7609</v>
      </c>
      <c r="BI1135" s="8" t="n">
        <v>15</v>
      </c>
      <c r="BJ1135" s="8" t="s">
        <v>7610</v>
      </c>
      <c r="BK1135" s="4" t="s">
        <v>7611</v>
      </c>
      <c r="BL1135" s="8" t="s">
        <v>7602</v>
      </c>
      <c r="BM1135" s="4" t="s">
        <v>7620</v>
      </c>
      <c r="BN1135" s="8"/>
      <c r="BO1135" s="8"/>
      <c r="BP1135" s="8" t="s">
        <v>7602</v>
      </c>
      <c r="BQ1135" s="8" t="str">
        <f aca="false">IF(A1135="","",AT1135)</f>
        <v>3歳</v>
      </c>
      <c r="BR1135" s="8" t="str">
        <f aca="false">IF(A1135="","",IF(BA1135&lt;=1200,"～1200",IF(BA1135&lt;=1500,"1300～1500",IF(BA1135=1600,"1600",IF(BA1135&lt;=1800,"1700～1800",IF(BA1135&lt;=2000,"1900～2000","2100以上"))))))</f>
        <v>1600</v>
      </c>
      <c r="BS1135" s="8" t="str">
        <f aca="false">IF(A1135="","",IF(AX1135="G1","G1",IF(AX1135="G2","G2",IF(AX1135="G3","G3",IF(AX1135="L","L","その他")))))</f>
        <v>その他</v>
      </c>
      <c r="BT1135" s="8" t="str">
        <f aca="false">IF(A1135="","",IF(BI1135="","未結合",IF(D1135=BI1135,"一致","不一致")))</f>
        <v>一致</v>
      </c>
      <c r="BU1135" s="8" t="str">
        <f aca="false">IF(A1135="","",IF(BE1135="牝馬限定","牝馬限定","その他"))</f>
        <v>牝馬限定</v>
      </c>
    </row>
    <row r="1136" customFormat="false" ht="15.75" hidden="false" customHeight="false" outlineLevel="0" collapsed="false">
      <c r="A1136" s="6" t="n">
        <f aca="false">DATE(2026,5,3)</f>
        <v>46145</v>
      </c>
      <c r="B1136" s="4" t="s">
        <v>4473</v>
      </c>
      <c r="C1136" s="8" t="n">
        <v>2</v>
      </c>
      <c r="D1136" s="8" t="n">
        <v>16</v>
      </c>
      <c r="E1136" s="8" t="n">
        <v>11</v>
      </c>
      <c r="F1136" s="4" t="s">
        <v>3504</v>
      </c>
      <c r="G1136" s="8" t="n">
        <v>66</v>
      </c>
      <c r="H1136" s="8" t="n">
        <v>10</v>
      </c>
      <c r="I1136" s="4" t="s">
        <v>3735</v>
      </c>
      <c r="J1136" s="8" t="n">
        <v>50</v>
      </c>
      <c r="K1136" s="8" t="n">
        <v>2</v>
      </c>
      <c r="L1136" s="4" t="s">
        <v>1470</v>
      </c>
      <c r="M1136" s="8" t="n">
        <v>29</v>
      </c>
      <c r="N1136" s="8" t="n">
        <f aca="false">IF(A1136="","",G1136-J1136)</f>
        <v>16</v>
      </c>
      <c r="O1136" s="8" t="n">
        <f aca="false">IF(A1136="","",J1136-M1136)</f>
        <v>21</v>
      </c>
      <c r="P1136" s="8" t="n">
        <f aca="false">IF(A1136="","",G1136+J1136)</f>
        <v>116</v>
      </c>
      <c r="Q1136" s="8" t="str">
        <f aca="false">IF(A1136="","",IF(AND(Y1136&lt;&gt;"参考",G1136&gt;=ルール設定!$B$2),"○",""))</f>
        <v/>
      </c>
      <c r="R1136" s="8" t="str">
        <f aca="false">IF(A1136="","",IF(AND(Y1136&lt;&gt;"参考",G1136&gt;=ルール設定!$B$3,N1136&gt;=ルール設定!$B$4),"○",""))</f>
        <v/>
      </c>
      <c r="S1136" s="8" t="str">
        <f aca="false">IF(A1136="","",IF(AND(Y1136&lt;&gt;"参考",G1136&gt;=ルール設定!$B$5,J1136&gt;=ルール設定!$B$6,O1136&gt;=ルール設定!$B$7),"○",""))</f>
        <v>○</v>
      </c>
      <c r="T1136" s="8" t="n">
        <v>4</v>
      </c>
      <c r="U1136" s="8" t="n">
        <v>4</v>
      </c>
      <c r="V1136" s="8" t="str">
        <f aca="false">IF(A1136="","",IF(AND(ISNUMBER(T1136),ISNUMBER(U1136)),IF(AND(T1136&lt;=3,U1136&lt;=3),"○","×"),""))</f>
        <v>×</v>
      </c>
      <c r="W1136" s="8"/>
      <c r="X1136" s="8"/>
      <c r="Y1136" s="4" t="s">
        <v>7597</v>
      </c>
      <c r="Z1136" s="8" t="s">
        <v>8111</v>
      </c>
      <c r="AA1136" s="8" t="str">
        <v/>
      </c>
      <c r="AB1136" s="8" t="str">
        <v/>
      </c>
      <c r="AC1136" s="8" t="str">
        <v/>
      </c>
      <c r="AD1136" s="8" t="str">
        <v/>
      </c>
      <c r="AE1136" s="8" t="str">
        <v/>
      </c>
      <c r="AF1136" s="8" t="str">
        <v/>
      </c>
      <c r="AG1136" s="8" t="str">
        <v/>
      </c>
      <c r="AH1136" s="8" t="str">
        <v/>
      </c>
      <c r="AI1136" s="8" t="n">
        <v>37</v>
      </c>
      <c r="AJ1136" s="8" t="str">
        <v>60～69</v>
      </c>
      <c r="AK1136" s="8" t="str">
        <v>10～19</v>
      </c>
      <c r="AL1136" s="8" t="str">
        <v>30～39</v>
      </c>
      <c r="AM1136" s="8" t="str">
        <v>100～119</v>
      </c>
      <c r="AN1136" s="8" t="str">
        <v>15以上</v>
      </c>
      <c r="AO1136" s="8" t="str">
        <f aca="false">IF(A1136="","",IF(COUNTIFS(全馬データ!$A$2:$A$50000,A1136,全馬データ!$B$2:$B$50000,B1136,全馬データ!$C$2:$C$50000,C1136,全馬データ!$D$2:$D$50000,E1136,全馬データ!$K$2:$K$50000,"&lt;&gt;")=0,"",SUMIFS(全馬データ!$K$2:$K$50000,全馬データ!$A$2:$A$50000,A1136,全馬データ!$B$2:$B$50000,B1136,全馬データ!$C$2:$C$50000,C1136,全馬データ!$D$2:$D$50000,E1136)))</f>
        <v/>
      </c>
      <c r="AP1136" s="8" t="str">
        <f aca="false">IF(A1136="","",IF(AO1136="","欠損",IF(AO1136&lt;=1.1,"1.0～1.1",IF(AO1136&lt;1.3,"1.2",IF(AO1136&lt;1.5,"1.3～1.4",IF(AO1136&lt;2,"1.5～1.9","2.0以上"))))))</f>
        <v>欠損</v>
      </c>
      <c r="AQ1136" s="8" t="str">
        <f aca="false">IF(A1136="","",IF(ISNUMBER(SEARCH("2歳",Z1136)),"2歳戦",IF(ISNUMBER(SEARCH("3歳未勝利",Z1136)),"3歳未勝利",IF(ISNUMBER(SEARCH("未勝利",Z1136)),"その他未勝利",IF(ISNUMBER(SEARCH("G1",Z1136)),"G1",IF(ISNUMBER(SEARCH("G2",Z1136)),"G2",IF(ISNUMBER(SEARCH("G3",Z1136)),"G3",IF(ISNUMBER(SEARCH("古馬条件",Z1136)),"古馬条件戦",IF(ISNUMBER(SEARCH("重賞",Z1136)),"重賞","分類不能")))))))))</f>
        <v>分類不能</v>
      </c>
      <c r="AR1136" s="8"/>
      <c r="AS1136" s="8" t="s">
        <v>7623</v>
      </c>
      <c r="AT1136" s="8" t="s">
        <v>7624</v>
      </c>
      <c r="AU1136" s="8" t="s">
        <v>7600</v>
      </c>
      <c r="AV1136" s="4" t="s">
        <v>7601</v>
      </c>
      <c r="AW1136" s="8"/>
      <c r="AX1136" s="8"/>
      <c r="AY1136" s="8" t="s">
        <v>7610</v>
      </c>
      <c r="AZ1136" s="4" t="s">
        <v>7617</v>
      </c>
      <c r="BA1136" s="8" t="n">
        <v>1400</v>
      </c>
      <c r="BB1136" s="8" t="s">
        <v>7618</v>
      </c>
      <c r="BC1136" s="4" t="s">
        <v>7619</v>
      </c>
      <c r="BD1136" s="8" t="s">
        <v>7625</v>
      </c>
      <c r="BE1136" s="4" t="s">
        <v>7606</v>
      </c>
      <c r="BF1136" s="8" t="s">
        <v>7607</v>
      </c>
      <c r="BG1136" s="8" t="s">
        <v>7608</v>
      </c>
      <c r="BH1136" s="4" t="s">
        <v>7609</v>
      </c>
      <c r="BI1136" s="8" t="n">
        <v>16</v>
      </c>
      <c r="BJ1136" s="8" t="s">
        <v>7610</v>
      </c>
      <c r="BK1136" s="4" t="s">
        <v>7611</v>
      </c>
      <c r="BL1136" s="8" t="s">
        <v>7602</v>
      </c>
      <c r="BM1136" s="4" t="s">
        <v>7620</v>
      </c>
      <c r="BN1136" s="8"/>
      <c r="BO1136" s="8"/>
      <c r="BP1136" s="8" t="s">
        <v>7602</v>
      </c>
      <c r="BQ1136" s="8" t="str">
        <f aca="false">IF(A1136="","",AT1136)</f>
        <v>3歳</v>
      </c>
      <c r="BR1136" s="8" t="str">
        <f aca="false">IF(A1136="","",IF(BA1136&lt;=1200,"～1200",IF(BA1136&lt;=1500,"1300～1500",IF(BA1136=1600,"1600",IF(BA1136&lt;=1800,"1700～1800",IF(BA1136&lt;=2000,"1900～2000","2100以上"))))))</f>
        <v>1300～1500</v>
      </c>
      <c r="BS1136" s="8" t="str">
        <f aca="false">IF(A1136="","",IF(AX1136="G1","G1",IF(AX1136="G2","G2",IF(AX1136="G3","G3",IF(AX1136="L","L","その他")))))</f>
        <v>その他</v>
      </c>
      <c r="BT1136" s="8" t="str">
        <f aca="false">IF(A1136="","",IF(BI1136="","未結合",IF(D1136=BI1136,"一致","不一致")))</f>
        <v>一致</v>
      </c>
      <c r="BU1136" s="8" t="str">
        <f aca="false">IF(A1136="","",IF(BE1136="牝馬限定","牝馬限定","その他"))</f>
        <v>その他</v>
      </c>
    </row>
    <row r="1137" customFormat="false" ht="15.75" hidden="false" customHeight="false" outlineLevel="0" collapsed="false">
      <c r="A1137" s="6" t="n">
        <f aca="false">DATE(2026,5,3)</f>
        <v>46145</v>
      </c>
      <c r="B1137" s="4" t="s">
        <v>4473</v>
      </c>
      <c r="C1137" s="8" t="n">
        <v>3</v>
      </c>
      <c r="D1137" s="8" t="n">
        <v>12</v>
      </c>
      <c r="E1137" s="8" t="n">
        <v>12</v>
      </c>
      <c r="F1137" s="4" t="s">
        <v>7485</v>
      </c>
      <c r="G1137" s="8" t="n">
        <v>71</v>
      </c>
      <c r="H1137" s="8" t="n">
        <v>6</v>
      </c>
      <c r="I1137" s="4" t="s">
        <v>1910</v>
      </c>
      <c r="J1137" s="8" t="n">
        <v>67</v>
      </c>
      <c r="K1137" s="8" t="n">
        <v>8</v>
      </c>
      <c r="L1137" s="4" t="s">
        <v>990</v>
      </c>
      <c r="M1137" s="8" t="n">
        <v>41</v>
      </c>
      <c r="N1137" s="8" t="n">
        <f aca="false">IF(A1137="","",G1137-J1137)</f>
        <v>4</v>
      </c>
      <c r="O1137" s="8" t="n">
        <f aca="false">IF(A1137="","",J1137-M1137)</f>
        <v>26</v>
      </c>
      <c r="P1137" s="8" t="n">
        <f aca="false">IF(A1137="","",G1137+J1137)</f>
        <v>138</v>
      </c>
      <c r="Q1137" s="8" t="str">
        <f aca="false">IF(A1137="","",IF(AND(Y1137&lt;&gt;"参考",G1137&gt;=ルール設定!$B$2),"○",""))</f>
        <v/>
      </c>
      <c r="R1137" s="8" t="str">
        <f aca="false">IF(A1137="","",IF(AND(Y1137&lt;&gt;"参考",G1137&gt;=ルール設定!$B$3,N1137&gt;=ルール設定!$B$4),"○",""))</f>
        <v/>
      </c>
      <c r="S1137" s="8" t="str">
        <f aca="false">IF(A1137="","",IF(AND(Y1137&lt;&gt;"参考",G1137&gt;=ルール設定!$B$5,J1137&gt;=ルール設定!$B$6,O1137&gt;=ルール設定!$B$7),"○",""))</f>
        <v>○</v>
      </c>
      <c r="T1137" s="8" t="n">
        <v>1</v>
      </c>
      <c r="U1137" s="8" t="n">
        <v>2</v>
      </c>
      <c r="V1137" s="8" t="str">
        <f aca="false">IF(A1137="","",IF(AND(ISNUMBER(T1137),ISNUMBER(U1137)),IF(AND(T1137&lt;=3,U1137&lt;=3),"○","×"),""))</f>
        <v>○</v>
      </c>
      <c r="W1137" s="8" t="n">
        <v>110</v>
      </c>
      <c r="X1137" s="8" t="n">
        <v>140</v>
      </c>
      <c r="Y1137" s="4" t="s">
        <v>7597</v>
      </c>
      <c r="Z1137" s="8" t="s">
        <v>8111</v>
      </c>
      <c r="AA1137" s="8" t="str">
        <v/>
      </c>
      <c r="AB1137" s="8" t="str">
        <v/>
      </c>
      <c r="AC1137" s="8" t="str">
        <v/>
      </c>
      <c r="AD1137" s="8" t="str">
        <v/>
      </c>
      <c r="AE1137" s="8" t="str">
        <v/>
      </c>
      <c r="AF1137" s="8" t="str">
        <v/>
      </c>
      <c r="AG1137" s="8" t="str">
        <v/>
      </c>
      <c r="AH1137" s="8" t="str">
        <v/>
      </c>
      <c r="AI1137" s="8" t="n">
        <v>30</v>
      </c>
      <c r="AJ1137" s="8" t="str">
        <v>70～74</v>
      </c>
      <c r="AK1137" s="8" t="str">
        <v>0～4</v>
      </c>
      <c r="AL1137" s="8" t="str">
        <v>30～39</v>
      </c>
      <c r="AM1137" s="8" t="str">
        <v>120～139</v>
      </c>
      <c r="AN1137" s="8" t="str">
        <v>12～14</v>
      </c>
      <c r="AO1137" s="8" t="str">
        <f aca="false">IF(A1137="","",IF(COUNTIFS(全馬データ!$A$2:$A$50000,A1137,全馬データ!$B$2:$B$50000,B1137,全馬データ!$C$2:$C$50000,C1137,全馬データ!$D$2:$D$50000,E1137,全馬データ!$K$2:$K$50000,"&lt;&gt;")=0,"",SUMIFS(全馬データ!$K$2:$K$50000,全馬データ!$A$2:$A$50000,A1137,全馬データ!$B$2:$B$50000,B1137,全馬データ!$C$2:$C$50000,C1137,全馬データ!$D$2:$D$50000,E1137)))</f>
        <v/>
      </c>
      <c r="AP1137" s="8" t="str">
        <f aca="false">IF(A1137="","",IF(AO1137="","欠損",IF(AO1137&lt;=1.1,"1.0～1.1",IF(AO1137&lt;1.3,"1.2",IF(AO1137&lt;1.5,"1.3～1.4",IF(AO1137&lt;2,"1.5～1.9","2.0以上"))))))</f>
        <v>欠損</v>
      </c>
      <c r="AQ1137" s="8" t="str">
        <f aca="false">IF(A1137="","",IF(ISNUMBER(SEARCH("2歳",Z1137)),"2歳戦",IF(ISNUMBER(SEARCH("3歳未勝利",Z1137)),"3歳未勝利",IF(ISNUMBER(SEARCH("未勝利",Z1137)),"その他未勝利",IF(ISNUMBER(SEARCH("G1",Z1137)),"G1",IF(ISNUMBER(SEARCH("G2",Z1137)),"G2",IF(ISNUMBER(SEARCH("G3",Z1137)),"G3",IF(ISNUMBER(SEARCH("古馬条件",Z1137)),"古馬条件戦",IF(ISNUMBER(SEARCH("重賞",Z1137)),"重賞","分類不能")))))))))</f>
        <v>分類不能</v>
      </c>
      <c r="AR1137" s="8"/>
      <c r="AS1137" s="8" t="s">
        <v>7623</v>
      </c>
      <c r="AT1137" s="8" t="s">
        <v>7624</v>
      </c>
      <c r="AU1137" s="8" t="s">
        <v>7600</v>
      </c>
      <c r="AV1137" s="4" t="s">
        <v>7601</v>
      </c>
      <c r="AW1137" s="8"/>
      <c r="AX1137" s="8"/>
      <c r="AY1137" s="8" t="s">
        <v>7610</v>
      </c>
      <c r="AZ1137" s="4" t="s">
        <v>7617</v>
      </c>
      <c r="BA1137" s="8" t="n">
        <v>1600</v>
      </c>
      <c r="BB1137" s="8" t="s">
        <v>7618</v>
      </c>
      <c r="BC1137" s="4" t="s">
        <v>7619</v>
      </c>
      <c r="BD1137" s="8" t="s">
        <v>7605</v>
      </c>
      <c r="BE1137" s="4" t="s">
        <v>7606</v>
      </c>
      <c r="BF1137" s="8" t="s">
        <v>7607</v>
      </c>
      <c r="BG1137" s="8" t="s">
        <v>7608</v>
      </c>
      <c r="BH1137" s="4" t="s">
        <v>7609</v>
      </c>
      <c r="BI1137" s="8" t="n">
        <v>12</v>
      </c>
      <c r="BJ1137" s="8" t="s">
        <v>7610</v>
      </c>
      <c r="BK1137" s="4" t="s">
        <v>7611</v>
      </c>
      <c r="BL1137" s="8" t="s">
        <v>7602</v>
      </c>
      <c r="BM1137" s="4" t="s">
        <v>7620</v>
      </c>
      <c r="BN1137" s="8"/>
      <c r="BO1137" s="8"/>
      <c r="BP1137" s="8" t="s">
        <v>7602</v>
      </c>
      <c r="BQ1137" s="8" t="str">
        <f aca="false">IF(A1137="","",AT1137)</f>
        <v>3歳</v>
      </c>
      <c r="BR1137" s="8" t="str">
        <f aca="false">IF(A1137="","",IF(BA1137&lt;=1200,"～1200",IF(BA1137&lt;=1500,"1300～1500",IF(BA1137=1600,"1600",IF(BA1137&lt;=1800,"1700～1800",IF(BA1137&lt;=2000,"1900～2000","2100以上"))))))</f>
        <v>1600</v>
      </c>
      <c r="BS1137" s="8" t="str">
        <f aca="false">IF(A1137="","",IF(AX1137="G1","G1",IF(AX1137="G2","G2",IF(AX1137="G3","G3",IF(AX1137="L","L","その他")))))</f>
        <v>その他</v>
      </c>
      <c r="BT1137" s="8" t="str">
        <f aca="false">IF(A1137="","",IF(BI1137="","未結合",IF(D1137=BI1137,"一致","不一致")))</f>
        <v>一致</v>
      </c>
      <c r="BU1137" s="8" t="str">
        <f aca="false">IF(A1137="","",IF(BE1137="牝馬限定","牝馬限定","その他"))</f>
        <v>その他</v>
      </c>
    </row>
    <row r="1138" customFormat="false" ht="15.75" hidden="false" customHeight="false" outlineLevel="0" collapsed="false">
      <c r="A1138" s="6" t="n">
        <f aca="false">DATE(2026,5,3)</f>
        <v>46145</v>
      </c>
      <c r="B1138" s="4" t="s">
        <v>4473</v>
      </c>
      <c r="C1138" s="8" t="n">
        <v>4</v>
      </c>
      <c r="D1138" s="8" t="n">
        <v>18</v>
      </c>
      <c r="E1138" s="8" t="n">
        <v>3</v>
      </c>
      <c r="F1138" s="4" t="s">
        <v>5372</v>
      </c>
      <c r="G1138" s="8" t="n">
        <v>56</v>
      </c>
      <c r="H1138" s="8" t="n">
        <v>17</v>
      </c>
      <c r="I1138" s="4" t="s">
        <v>5139</v>
      </c>
      <c r="J1138" s="8" t="n">
        <v>44</v>
      </c>
      <c r="K1138" s="8" t="n">
        <v>6</v>
      </c>
      <c r="L1138" s="4" t="s">
        <v>2233</v>
      </c>
      <c r="M1138" s="8" t="n">
        <v>41</v>
      </c>
      <c r="N1138" s="8" t="n">
        <f aca="false">IF(A1138="","",G1138-J1138)</f>
        <v>12</v>
      </c>
      <c r="O1138" s="8" t="n">
        <f aca="false">IF(A1138="","",J1138-M1138)</f>
        <v>3</v>
      </c>
      <c r="P1138" s="8" t="n">
        <f aca="false">IF(A1138="","",G1138+J1138)</f>
        <v>100</v>
      </c>
      <c r="Q1138" s="8" t="str">
        <f aca="false">IF(A1138="","",IF(AND(Y1138&lt;&gt;"参考",G1138&gt;=ルール設定!$B$2),"○",""))</f>
        <v/>
      </c>
      <c r="R1138" s="8" t="str">
        <f aca="false">IF(A1138="","",IF(AND(Y1138&lt;&gt;"参考",G1138&gt;=ルール設定!$B$3,N1138&gt;=ルール設定!$B$4),"○",""))</f>
        <v/>
      </c>
      <c r="S1138" s="8" t="str">
        <f aca="false">IF(A1138="","",IF(AND(Y1138&lt;&gt;"参考",G1138&gt;=ルール設定!$B$5,J1138&gt;=ルール設定!$B$6,O1138&gt;=ルール設定!$B$7),"○",""))</f>
        <v/>
      </c>
      <c r="T1138" s="8" t="n">
        <v>4</v>
      </c>
      <c r="U1138" s="8" t="n">
        <v>2</v>
      </c>
      <c r="V1138" s="8" t="str">
        <f aca="false">IF(A1138="","",IF(AND(ISNUMBER(T1138),ISNUMBER(U1138)),IF(AND(T1138&lt;=3,U1138&lt;=3),"○","×"),""))</f>
        <v>×</v>
      </c>
      <c r="W1138" s="8"/>
      <c r="X1138" s="8"/>
      <c r="Y1138" s="4" t="s">
        <v>7597</v>
      </c>
      <c r="Z1138" s="8" t="s">
        <v>8111</v>
      </c>
      <c r="AA1138" s="8" t="str">
        <v/>
      </c>
      <c r="AB1138" s="8" t="str">
        <v/>
      </c>
      <c r="AC1138" s="8" t="str">
        <v/>
      </c>
      <c r="AD1138" s="8" t="str">
        <v/>
      </c>
      <c r="AE1138" s="8" t="str">
        <v/>
      </c>
      <c r="AF1138" s="8" t="str">
        <v/>
      </c>
      <c r="AG1138" s="8" t="str">
        <v/>
      </c>
      <c r="AH1138" s="8" t="str">
        <v/>
      </c>
      <c r="AI1138" s="8" t="n">
        <v>15</v>
      </c>
      <c r="AJ1138" s="8" t="str">
        <v>～59</v>
      </c>
      <c r="AK1138" s="8" t="str">
        <v>10～19</v>
      </c>
      <c r="AL1138" s="8" t="str">
        <v>10～19</v>
      </c>
      <c r="AM1138" s="8" t="str">
        <v>100～119</v>
      </c>
      <c r="AN1138" s="8" t="str">
        <v>15以上</v>
      </c>
      <c r="AO1138" s="8" t="str">
        <f aca="false">IF(A1138="","",IF(COUNTIFS(全馬データ!$A$2:$A$50000,A1138,全馬データ!$B$2:$B$50000,B1138,全馬データ!$C$2:$C$50000,C1138,全馬データ!$D$2:$D$50000,E1138,全馬データ!$K$2:$K$50000,"&lt;&gt;")=0,"",SUMIFS(全馬データ!$K$2:$K$50000,全馬データ!$A$2:$A$50000,A1138,全馬データ!$B$2:$B$50000,B1138,全馬データ!$C$2:$C$50000,C1138,全馬データ!$D$2:$D$50000,E1138)))</f>
        <v/>
      </c>
      <c r="AP1138" s="8" t="str">
        <f aca="false">IF(A1138="","",IF(AO1138="","欠損",IF(AO1138&lt;=1.1,"1.0～1.1",IF(AO1138&lt;1.3,"1.2",IF(AO1138&lt;1.5,"1.3～1.4",IF(AO1138&lt;2,"1.5～1.9","2.0以上"))))))</f>
        <v>欠損</v>
      </c>
      <c r="AQ1138" s="8" t="str">
        <f aca="false">IF(A1138="","",IF(ISNUMBER(SEARCH("2歳",Z1138)),"2歳戦",IF(ISNUMBER(SEARCH("3歳未勝利",Z1138)),"3歳未勝利",IF(ISNUMBER(SEARCH("未勝利",Z1138)),"その他未勝利",IF(ISNUMBER(SEARCH("G1",Z1138)),"G1",IF(ISNUMBER(SEARCH("G2",Z1138)),"G2",IF(ISNUMBER(SEARCH("G3",Z1138)),"G3",IF(ISNUMBER(SEARCH("古馬条件",Z1138)),"古馬条件戦",IF(ISNUMBER(SEARCH("重賞",Z1138)),"重賞","分類不能")))))))))</f>
        <v>分類不能</v>
      </c>
      <c r="AR1138" s="8"/>
      <c r="AS1138" s="8" t="s">
        <v>7623</v>
      </c>
      <c r="AT1138" s="8" t="s">
        <v>7624</v>
      </c>
      <c r="AU1138" s="8" t="s">
        <v>7600</v>
      </c>
      <c r="AV1138" s="4" t="s">
        <v>7601</v>
      </c>
      <c r="AW1138" s="8"/>
      <c r="AX1138" s="8"/>
      <c r="AY1138" s="8" t="s">
        <v>7602</v>
      </c>
      <c r="AZ1138" s="4" t="s">
        <v>7603</v>
      </c>
      <c r="BA1138" s="8" t="n">
        <v>1600</v>
      </c>
      <c r="BB1138" s="8" t="s">
        <v>7598</v>
      </c>
      <c r="BC1138" s="4" t="s">
        <v>7604</v>
      </c>
      <c r="BD1138" s="8" t="s">
        <v>7625</v>
      </c>
      <c r="BE1138" s="4" t="s">
        <v>7606</v>
      </c>
      <c r="BF1138" s="8" t="s">
        <v>7607</v>
      </c>
      <c r="BG1138" s="8" t="s">
        <v>7608</v>
      </c>
      <c r="BH1138" s="4" t="s">
        <v>7609</v>
      </c>
      <c r="BI1138" s="8" t="n">
        <v>18</v>
      </c>
      <c r="BJ1138" s="8" t="s">
        <v>7610</v>
      </c>
      <c r="BK1138" s="4" t="s">
        <v>7611</v>
      </c>
      <c r="BL1138" s="8" t="s">
        <v>7602</v>
      </c>
      <c r="BM1138" s="4" t="s">
        <v>7620</v>
      </c>
      <c r="BN1138" s="8" t="s">
        <v>7602</v>
      </c>
      <c r="BO1138" s="8" t="s">
        <v>7613</v>
      </c>
      <c r="BP1138" s="8" t="s">
        <v>7602</v>
      </c>
      <c r="BQ1138" s="8" t="str">
        <f aca="false">IF(A1138="","",AT1138)</f>
        <v>3歳</v>
      </c>
      <c r="BR1138" s="8" t="str">
        <f aca="false">IF(A1138="","",IF(BA1138&lt;=1200,"～1200",IF(BA1138&lt;=1500,"1300～1500",IF(BA1138=1600,"1600",IF(BA1138&lt;=1800,"1700～1800",IF(BA1138&lt;=2000,"1900～2000","2100以上"))))))</f>
        <v>1600</v>
      </c>
      <c r="BS1138" s="8" t="str">
        <f aca="false">IF(A1138="","",IF(AX1138="G1","G1",IF(AX1138="G2","G2",IF(AX1138="G3","G3",IF(AX1138="L","L","その他")))))</f>
        <v>その他</v>
      </c>
      <c r="BT1138" s="8" t="str">
        <f aca="false">IF(A1138="","",IF(BI1138="","未結合",IF(D1138=BI1138,"一致","不一致")))</f>
        <v>一致</v>
      </c>
      <c r="BU1138" s="8" t="str">
        <f aca="false">IF(A1138="","",IF(BE1138="牝馬限定","牝馬限定","その他"))</f>
        <v>その他</v>
      </c>
    </row>
    <row r="1139" customFormat="false" ht="15.75" hidden="false" customHeight="false" outlineLevel="0" collapsed="false">
      <c r="A1139" s="6" t="n">
        <f aca="false">DATE(2026,5,3)</f>
        <v>46145</v>
      </c>
      <c r="B1139" s="4" t="s">
        <v>4473</v>
      </c>
      <c r="C1139" s="8" t="n">
        <v>5</v>
      </c>
      <c r="D1139" s="8" t="n">
        <v>15</v>
      </c>
      <c r="E1139" s="8" t="n">
        <v>10</v>
      </c>
      <c r="F1139" s="4" t="s">
        <v>655</v>
      </c>
      <c r="G1139" s="8" t="n">
        <v>58</v>
      </c>
      <c r="H1139" s="8" t="n">
        <v>4</v>
      </c>
      <c r="I1139" s="4" t="s">
        <v>4061</v>
      </c>
      <c r="J1139" s="8" t="n">
        <v>47</v>
      </c>
      <c r="K1139" s="8" t="n">
        <v>2</v>
      </c>
      <c r="L1139" s="4" t="s">
        <v>232</v>
      </c>
      <c r="M1139" s="8" t="n">
        <v>39</v>
      </c>
      <c r="N1139" s="8" t="n">
        <f aca="false">IF(A1139="","",G1139-J1139)</f>
        <v>11</v>
      </c>
      <c r="O1139" s="8" t="n">
        <f aca="false">IF(A1139="","",J1139-M1139)</f>
        <v>8</v>
      </c>
      <c r="P1139" s="8" t="n">
        <f aca="false">IF(A1139="","",G1139+J1139)</f>
        <v>105</v>
      </c>
      <c r="Q1139" s="8" t="str">
        <f aca="false">IF(A1139="","",IF(AND(Y1139&lt;&gt;"参考",G1139&gt;=ルール設定!$B$2),"○",""))</f>
        <v/>
      </c>
      <c r="R1139" s="8" t="str">
        <f aca="false">IF(A1139="","",IF(AND(Y1139&lt;&gt;"参考",G1139&gt;=ルール設定!$B$3,N1139&gt;=ルール設定!$B$4),"○",""))</f>
        <v/>
      </c>
      <c r="S1139" s="8" t="str">
        <f aca="false">IF(A1139="","",IF(AND(Y1139&lt;&gt;"参考",G1139&gt;=ルール設定!$B$5,J1139&gt;=ルール設定!$B$6,O1139&gt;=ルール設定!$B$7),"○",""))</f>
        <v/>
      </c>
      <c r="T1139" s="8" t="n">
        <v>4</v>
      </c>
      <c r="U1139" s="8" t="n">
        <v>2</v>
      </c>
      <c r="V1139" s="8" t="str">
        <f aca="false">IF(A1139="","",IF(AND(ISNUMBER(T1139),ISNUMBER(U1139)),IF(AND(T1139&lt;=3,U1139&lt;=3),"○","×"),""))</f>
        <v>×</v>
      </c>
      <c r="W1139" s="8"/>
      <c r="X1139" s="8"/>
      <c r="Y1139" s="4" t="s">
        <v>7597</v>
      </c>
      <c r="Z1139" s="8" t="s">
        <v>8111</v>
      </c>
      <c r="AA1139" s="8" t="str">
        <v/>
      </c>
      <c r="AB1139" s="8" t="str">
        <v/>
      </c>
      <c r="AC1139" s="8" t="str">
        <v/>
      </c>
      <c r="AD1139" s="8" t="str">
        <v/>
      </c>
      <c r="AE1139" s="8" t="str">
        <v/>
      </c>
      <c r="AF1139" s="8" t="str">
        <v/>
      </c>
      <c r="AG1139" s="8" t="str">
        <v/>
      </c>
      <c r="AH1139" s="8" t="str">
        <v/>
      </c>
      <c r="AI1139" s="8" t="n">
        <v>19</v>
      </c>
      <c r="AJ1139" s="8" t="str">
        <v>～59</v>
      </c>
      <c r="AK1139" s="8" t="str">
        <v>10～19</v>
      </c>
      <c r="AL1139" s="8" t="str">
        <v>10～19</v>
      </c>
      <c r="AM1139" s="8" t="str">
        <v>100～119</v>
      </c>
      <c r="AN1139" s="8" t="str">
        <v>15以上</v>
      </c>
      <c r="AO1139" s="8" t="str">
        <f aca="false">IF(A1139="","",IF(COUNTIFS(全馬データ!$A$2:$A$50000,A1139,全馬データ!$B$2:$B$50000,B1139,全馬データ!$C$2:$C$50000,C1139,全馬データ!$D$2:$D$50000,E1139,全馬データ!$K$2:$K$50000,"&lt;&gt;")=0,"",SUMIFS(全馬データ!$K$2:$K$50000,全馬データ!$A$2:$A$50000,A1139,全馬データ!$B$2:$B$50000,B1139,全馬データ!$C$2:$C$50000,C1139,全馬データ!$D$2:$D$50000,E1139)))</f>
        <v/>
      </c>
      <c r="AP1139" s="8" t="str">
        <f aca="false">IF(A1139="","",IF(AO1139="","欠損",IF(AO1139&lt;=1.1,"1.0～1.1",IF(AO1139&lt;1.3,"1.2",IF(AO1139&lt;1.5,"1.3～1.4",IF(AO1139&lt;2,"1.5～1.9","2.0以上"))))))</f>
        <v>欠損</v>
      </c>
      <c r="AQ1139" s="8" t="str">
        <f aca="false">IF(A1139="","",IF(ISNUMBER(SEARCH("2歳",Z1139)),"2歳戦",IF(ISNUMBER(SEARCH("3歳未勝利",Z1139)),"3歳未勝利",IF(ISNUMBER(SEARCH("未勝利",Z1139)),"その他未勝利",IF(ISNUMBER(SEARCH("G1",Z1139)),"G1",IF(ISNUMBER(SEARCH("G2",Z1139)),"G2",IF(ISNUMBER(SEARCH("G3",Z1139)),"G3",IF(ISNUMBER(SEARCH("古馬条件",Z1139)),"古馬条件戦",IF(ISNUMBER(SEARCH("重賞",Z1139)),"重賞","分類不能")))))))))</f>
        <v>分類不能</v>
      </c>
      <c r="AR1139" s="8"/>
      <c r="AS1139" s="8" t="s">
        <v>7623</v>
      </c>
      <c r="AT1139" s="8" t="s">
        <v>7624</v>
      </c>
      <c r="AU1139" s="8" t="s">
        <v>7600</v>
      </c>
      <c r="AV1139" s="4" t="s">
        <v>7601</v>
      </c>
      <c r="AW1139" s="8"/>
      <c r="AX1139" s="8"/>
      <c r="AY1139" s="8" t="s">
        <v>7602</v>
      </c>
      <c r="AZ1139" s="4" t="s">
        <v>7603</v>
      </c>
      <c r="BA1139" s="8" t="n">
        <v>1800</v>
      </c>
      <c r="BB1139" s="8" t="s">
        <v>7598</v>
      </c>
      <c r="BC1139" s="4" t="s">
        <v>7604</v>
      </c>
      <c r="BD1139" s="8" t="s">
        <v>7605</v>
      </c>
      <c r="BE1139" s="4" t="s">
        <v>7606</v>
      </c>
      <c r="BF1139" s="8" t="s">
        <v>7607</v>
      </c>
      <c r="BG1139" s="8" t="s">
        <v>7608</v>
      </c>
      <c r="BH1139" s="4" t="s">
        <v>7609</v>
      </c>
      <c r="BI1139" s="8" t="n">
        <v>15</v>
      </c>
      <c r="BJ1139" s="8" t="s">
        <v>7610</v>
      </c>
      <c r="BK1139" s="4" t="s">
        <v>7611</v>
      </c>
      <c r="BL1139" s="8" t="s">
        <v>7602</v>
      </c>
      <c r="BM1139" s="4" t="s">
        <v>7620</v>
      </c>
      <c r="BN1139" s="8" t="s">
        <v>7602</v>
      </c>
      <c r="BO1139" s="8" t="s">
        <v>7613</v>
      </c>
      <c r="BP1139" s="8" t="s">
        <v>7602</v>
      </c>
      <c r="BQ1139" s="8" t="str">
        <f aca="false">IF(A1139="","",AT1139)</f>
        <v>3歳</v>
      </c>
      <c r="BR1139" s="8" t="str">
        <f aca="false">IF(A1139="","",IF(BA1139&lt;=1200,"～1200",IF(BA1139&lt;=1500,"1300～1500",IF(BA1139=1600,"1600",IF(BA1139&lt;=1800,"1700～1800",IF(BA1139&lt;=2000,"1900～2000","2100以上"))))))</f>
        <v>1700～1800</v>
      </c>
      <c r="BS1139" s="8" t="str">
        <f aca="false">IF(A1139="","",IF(AX1139="G1","G1",IF(AX1139="G2","G2",IF(AX1139="G3","G3",IF(AX1139="L","L","その他")))))</f>
        <v>その他</v>
      </c>
      <c r="BT1139" s="8" t="str">
        <f aca="false">IF(A1139="","",IF(BI1139="","未結合",IF(D1139=BI1139,"一致","不一致")))</f>
        <v>一致</v>
      </c>
      <c r="BU1139" s="8" t="str">
        <f aca="false">IF(A1139="","",IF(BE1139="牝馬限定","牝馬限定","その他"))</f>
        <v>その他</v>
      </c>
    </row>
    <row r="1140" customFormat="false" ht="15.75" hidden="false" customHeight="false" outlineLevel="0" collapsed="false">
      <c r="A1140" s="6" t="n">
        <f aca="false">DATE(2026,5,3)</f>
        <v>46145</v>
      </c>
      <c r="B1140" s="4" t="s">
        <v>4473</v>
      </c>
      <c r="C1140" s="8" t="n">
        <v>6</v>
      </c>
      <c r="D1140" s="8" t="n">
        <v>16</v>
      </c>
      <c r="E1140" s="8" t="n">
        <v>14</v>
      </c>
      <c r="F1140" s="4" t="s">
        <v>7499</v>
      </c>
      <c r="G1140" s="8" t="n">
        <v>75</v>
      </c>
      <c r="H1140" s="8" t="n">
        <v>8</v>
      </c>
      <c r="I1140" s="4" t="s">
        <v>6008</v>
      </c>
      <c r="J1140" s="8" t="n">
        <v>50</v>
      </c>
      <c r="K1140" s="8" t="n">
        <v>9</v>
      </c>
      <c r="L1140" s="4" t="s">
        <v>1963</v>
      </c>
      <c r="M1140" s="8" t="n">
        <v>31</v>
      </c>
      <c r="N1140" s="8" t="n">
        <f aca="false">IF(A1140="","",G1140-J1140)</f>
        <v>25</v>
      </c>
      <c r="O1140" s="8" t="n">
        <f aca="false">IF(A1140="","",J1140-M1140)</f>
        <v>19</v>
      </c>
      <c r="P1140" s="8" t="n">
        <f aca="false">IF(A1140="","",G1140+J1140)</f>
        <v>125</v>
      </c>
      <c r="Q1140" s="8" t="str">
        <f aca="false">IF(A1140="","",IF(AND(Y1140&lt;&gt;"参考",G1140&gt;=ルール設定!$B$2),"○",""))</f>
        <v/>
      </c>
      <c r="R1140" s="8" t="str">
        <f aca="false">IF(A1140="","",IF(AND(Y1140&lt;&gt;"参考",G1140&gt;=ルール設定!$B$3,N1140&gt;=ルール設定!$B$4),"○",""))</f>
        <v/>
      </c>
      <c r="S1140" s="8" t="str">
        <f aca="false">IF(A1140="","",IF(AND(Y1140&lt;&gt;"参考",G1140&gt;=ルール設定!$B$5,J1140&gt;=ルール設定!$B$6,O1140&gt;=ルール設定!$B$7),"○",""))</f>
        <v/>
      </c>
      <c r="T1140" s="8" t="n">
        <v>4</v>
      </c>
      <c r="U1140" s="8" t="n">
        <v>4</v>
      </c>
      <c r="V1140" s="8" t="str">
        <f aca="false">IF(A1140="","",IF(AND(ISNUMBER(T1140),ISNUMBER(U1140)),IF(AND(T1140&lt;=3,U1140&lt;=3),"○","×"),""))</f>
        <v>×</v>
      </c>
      <c r="W1140" s="8"/>
      <c r="X1140" s="8"/>
      <c r="Y1140" s="4" t="s">
        <v>7597</v>
      </c>
      <c r="Z1140" s="8" t="s">
        <v>8111</v>
      </c>
      <c r="AA1140" s="8" t="str">
        <v/>
      </c>
      <c r="AB1140" s="8" t="str">
        <v/>
      </c>
      <c r="AC1140" s="8" t="str">
        <v/>
      </c>
      <c r="AD1140" s="8" t="str">
        <v/>
      </c>
      <c r="AE1140" s="8" t="str">
        <v/>
      </c>
      <c r="AF1140" s="8" t="str">
        <v/>
      </c>
      <c r="AG1140" s="8" t="str">
        <v/>
      </c>
      <c r="AH1140" s="8" t="str">
        <v/>
      </c>
      <c r="AI1140" s="8" t="n">
        <v>44</v>
      </c>
      <c r="AJ1140" s="8" t="str">
        <v>75～79</v>
      </c>
      <c r="AK1140" s="8" t="str">
        <v>20～29</v>
      </c>
      <c r="AL1140" s="8" t="str">
        <v>40以上</v>
      </c>
      <c r="AM1140" s="8" t="str">
        <v>120～139</v>
      </c>
      <c r="AN1140" s="8" t="str">
        <v>15以上</v>
      </c>
      <c r="AO1140" s="8" t="str">
        <f aca="false">IF(A1140="","",IF(COUNTIFS(全馬データ!$A$2:$A$50000,A1140,全馬データ!$B$2:$B$50000,B1140,全馬データ!$C$2:$C$50000,C1140,全馬データ!$D$2:$D$50000,E1140,全馬データ!$K$2:$K$50000,"&lt;&gt;")=0,"",SUMIFS(全馬データ!$K$2:$K$50000,全馬データ!$A$2:$A$50000,A1140,全馬データ!$B$2:$B$50000,B1140,全馬データ!$C$2:$C$50000,C1140,全馬データ!$D$2:$D$50000,E1140)))</f>
        <v/>
      </c>
      <c r="AP1140" s="8" t="str">
        <f aca="false">IF(A1140="","",IF(AO1140="","欠損",IF(AO1140&lt;=1.1,"1.0～1.1",IF(AO1140&lt;1.3,"1.2",IF(AO1140&lt;1.5,"1.3～1.4",IF(AO1140&lt;2,"1.5～1.9","2.0以上"))))))</f>
        <v>欠損</v>
      </c>
      <c r="AQ1140" s="8" t="str">
        <f aca="false">IF(A1140="","",IF(ISNUMBER(SEARCH("2歳",Z1140)),"2歳戦",IF(ISNUMBER(SEARCH("3歳未勝利",Z1140)),"3歳未勝利",IF(ISNUMBER(SEARCH("未勝利",Z1140)),"その他未勝利",IF(ISNUMBER(SEARCH("G1",Z1140)),"G1",IF(ISNUMBER(SEARCH("G2",Z1140)),"G2",IF(ISNUMBER(SEARCH("G3",Z1140)),"G3",IF(ISNUMBER(SEARCH("古馬条件",Z1140)),"古馬条件戦",IF(ISNUMBER(SEARCH("重賞",Z1140)),"重賞","分類不能")))))))))</f>
        <v>分類不能</v>
      </c>
      <c r="AR1140" s="8"/>
      <c r="AS1140" s="8" t="s">
        <v>7623</v>
      </c>
      <c r="AT1140" s="8" t="s">
        <v>7624</v>
      </c>
      <c r="AU1140" s="8" t="s">
        <v>7628</v>
      </c>
      <c r="AV1140" s="8" t="s">
        <v>7629</v>
      </c>
      <c r="AW1140" s="8"/>
      <c r="AX1140" s="8"/>
      <c r="AY1140" s="8" t="s">
        <v>7610</v>
      </c>
      <c r="AZ1140" s="4" t="s">
        <v>7617</v>
      </c>
      <c r="BA1140" s="8" t="n">
        <v>1400</v>
      </c>
      <c r="BB1140" s="8" t="s">
        <v>7618</v>
      </c>
      <c r="BC1140" s="4" t="s">
        <v>7619</v>
      </c>
      <c r="BD1140" s="8" t="s">
        <v>7605</v>
      </c>
      <c r="BE1140" s="4" t="s">
        <v>7606</v>
      </c>
      <c r="BF1140" s="8" t="s">
        <v>7607</v>
      </c>
      <c r="BG1140" s="8" t="s">
        <v>7608</v>
      </c>
      <c r="BH1140" s="4" t="s">
        <v>7609</v>
      </c>
      <c r="BI1140" s="8" t="n">
        <v>16</v>
      </c>
      <c r="BJ1140" s="8" t="s">
        <v>7610</v>
      </c>
      <c r="BK1140" s="4" t="s">
        <v>7611</v>
      </c>
      <c r="BL1140" s="8" t="s">
        <v>7602</v>
      </c>
      <c r="BM1140" s="4" t="s">
        <v>7620</v>
      </c>
      <c r="BN1140" s="8"/>
      <c r="BO1140" s="8"/>
      <c r="BP1140" s="8" t="s">
        <v>7602</v>
      </c>
      <c r="BQ1140" s="8" t="str">
        <f aca="false">IF(A1140="","",AT1140)</f>
        <v>3歳</v>
      </c>
      <c r="BR1140" s="8" t="str">
        <f aca="false">IF(A1140="","",IF(BA1140&lt;=1200,"～1200",IF(BA1140&lt;=1500,"1300～1500",IF(BA1140=1600,"1600",IF(BA1140&lt;=1800,"1700～1800",IF(BA1140&lt;=2000,"1900～2000","2100以上"))))))</f>
        <v>1300～1500</v>
      </c>
      <c r="BS1140" s="8" t="str">
        <f aca="false">IF(A1140="","",IF(AX1140="G1","G1",IF(AX1140="G2","G2",IF(AX1140="G3","G3",IF(AX1140="L","L","その他")))))</f>
        <v>その他</v>
      </c>
      <c r="BT1140" s="8" t="str">
        <f aca="false">IF(A1140="","",IF(BI1140="","未結合",IF(D1140=BI1140,"一致","不一致")))</f>
        <v>一致</v>
      </c>
      <c r="BU1140" s="8" t="str">
        <f aca="false">IF(A1140="","",IF(BE1140="牝馬限定","牝馬限定","その他"))</f>
        <v>その他</v>
      </c>
    </row>
    <row r="1141" customFormat="false" ht="15.75" hidden="false" customHeight="false" outlineLevel="0" collapsed="false">
      <c r="A1141" s="6" t="n">
        <f aca="false">DATE(2026,5,3)</f>
        <v>46145</v>
      </c>
      <c r="B1141" s="4" t="s">
        <v>4473</v>
      </c>
      <c r="C1141" s="8" t="n">
        <v>7</v>
      </c>
      <c r="D1141" s="8" t="n">
        <v>15</v>
      </c>
      <c r="E1141" s="8" t="n">
        <v>11</v>
      </c>
      <c r="F1141" s="4" t="s">
        <v>5788</v>
      </c>
      <c r="G1141" s="8" t="n">
        <v>52</v>
      </c>
      <c r="H1141" s="8" t="n">
        <v>10</v>
      </c>
      <c r="I1141" s="4" t="s">
        <v>1049</v>
      </c>
      <c r="J1141" s="8" t="n">
        <v>50</v>
      </c>
      <c r="K1141" s="8" t="n">
        <v>9</v>
      </c>
      <c r="L1141" s="4" t="s">
        <v>5186</v>
      </c>
      <c r="M1141" s="8" t="n">
        <v>34</v>
      </c>
      <c r="N1141" s="8" t="n">
        <f aca="false">IF(A1141="","",G1141-J1141)</f>
        <v>2</v>
      </c>
      <c r="O1141" s="8" t="n">
        <f aca="false">IF(A1141="","",J1141-M1141)</f>
        <v>16</v>
      </c>
      <c r="P1141" s="8" t="n">
        <f aca="false">IF(A1141="","",G1141+J1141)</f>
        <v>102</v>
      </c>
      <c r="Q1141" s="8" t="str">
        <f aca="false">IF(A1141="","",IF(AND(Y1141&lt;&gt;"参考",G1141&gt;=ルール設定!$B$2),"○",""))</f>
        <v/>
      </c>
      <c r="R1141" s="8" t="str">
        <f aca="false">IF(A1141="","",IF(AND(Y1141&lt;&gt;"参考",G1141&gt;=ルール設定!$B$3,N1141&gt;=ルール設定!$B$4),"○",""))</f>
        <v/>
      </c>
      <c r="S1141" s="8" t="str">
        <f aca="false">IF(A1141="","",IF(AND(Y1141&lt;&gt;"参考",G1141&gt;=ルール設定!$B$5,J1141&gt;=ルール設定!$B$6,O1141&gt;=ルール設定!$B$7),"○",""))</f>
        <v/>
      </c>
      <c r="T1141" s="8" t="n">
        <v>4</v>
      </c>
      <c r="U1141" s="8" t="n">
        <v>1</v>
      </c>
      <c r="V1141" s="8" t="str">
        <f aca="false">IF(A1141="","",IF(AND(ISNUMBER(T1141),ISNUMBER(U1141)),IF(AND(T1141&lt;=3,U1141&lt;=3),"○","×"),""))</f>
        <v>×</v>
      </c>
      <c r="W1141" s="8"/>
      <c r="X1141" s="8"/>
      <c r="Y1141" s="4" t="s">
        <v>7597</v>
      </c>
      <c r="Z1141" s="8" t="s">
        <v>8111</v>
      </c>
      <c r="AA1141" s="8" t="str">
        <v/>
      </c>
      <c r="AB1141" s="8" t="str">
        <v/>
      </c>
      <c r="AC1141" s="8" t="str">
        <v/>
      </c>
      <c r="AD1141" s="8" t="str">
        <v/>
      </c>
      <c r="AE1141" s="8" t="str">
        <v/>
      </c>
      <c r="AF1141" s="8" t="str">
        <v/>
      </c>
      <c r="AG1141" s="8" t="str">
        <v/>
      </c>
      <c r="AH1141" s="8" t="str">
        <v/>
      </c>
      <c r="AI1141" s="8" t="n">
        <v>18</v>
      </c>
      <c r="AJ1141" s="8" t="str">
        <v>～59</v>
      </c>
      <c r="AK1141" s="8" t="str">
        <v>0～4</v>
      </c>
      <c r="AL1141" s="8" t="str">
        <v>10～19</v>
      </c>
      <c r="AM1141" s="8" t="str">
        <v>100～119</v>
      </c>
      <c r="AN1141" s="8" t="str">
        <v>15以上</v>
      </c>
      <c r="AO1141" s="8" t="str">
        <f aca="false">IF(A1141="","",IF(COUNTIFS(全馬データ!$A$2:$A$50000,A1141,全馬データ!$B$2:$B$50000,B1141,全馬データ!$C$2:$C$50000,C1141,全馬データ!$D$2:$D$50000,E1141,全馬データ!$K$2:$K$50000,"&lt;&gt;")=0,"",SUMIFS(全馬データ!$K$2:$K$50000,全馬データ!$A$2:$A$50000,A1141,全馬データ!$B$2:$B$50000,B1141,全馬データ!$C$2:$C$50000,C1141,全馬データ!$D$2:$D$50000,E1141)))</f>
        <v/>
      </c>
      <c r="AP1141" s="8" t="str">
        <f aca="false">IF(A1141="","",IF(AO1141="","欠損",IF(AO1141&lt;=1.1,"1.0～1.1",IF(AO1141&lt;1.3,"1.2",IF(AO1141&lt;1.5,"1.3～1.4",IF(AO1141&lt;2,"1.5～1.9","2.0以上"))))))</f>
        <v>欠損</v>
      </c>
      <c r="AQ1141" s="8" t="str">
        <f aca="false">IF(A1141="","",IF(ISNUMBER(SEARCH("2歳",Z1141)),"2歳戦",IF(ISNUMBER(SEARCH("3歳未勝利",Z1141)),"3歳未勝利",IF(ISNUMBER(SEARCH("未勝利",Z1141)),"その他未勝利",IF(ISNUMBER(SEARCH("G1",Z1141)),"G1",IF(ISNUMBER(SEARCH("G2",Z1141)),"G2",IF(ISNUMBER(SEARCH("G3",Z1141)),"G3",IF(ISNUMBER(SEARCH("古馬条件",Z1141)),"古馬条件戦",IF(ISNUMBER(SEARCH("重賞",Z1141)),"重賞","分類不能")))))))))</f>
        <v>分類不能</v>
      </c>
      <c r="AR1141" s="8"/>
      <c r="AS1141" s="8" t="s">
        <v>7842</v>
      </c>
      <c r="AT1141" s="8" t="s">
        <v>7843</v>
      </c>
      <c r="AU1141" s="8" t="s">
        <v>7628</v>
      </c>
      <c r="AV1141" s="8" t="s">
        <v>7629</v>
      </c>
      <c r="AW1141" s="8"/>
      <c r="AX1141" s="8"/>
      <c r="AY1141" s="8" t="s">
        <v>7610</v>
      </c>
      <c r="AZ1141" s="4" t="s">
        <v>7617</v>
      </c>
      <c r="BA1141" s="8" t="n">
        <v>1600</v>
      </c>
      <c r="BB1141" s="8" t="s">
        <v>7618</v>
      </c>
      <c r="BC1141" s="4" t="s">
        <v>7619</v>
      </c>
      <c r="BD1141" s="8" t="s">
        <v>7625</v>
      </c>
      <c r="BE1141" s="4" t="s">
        <v>7606</v>
      </c>
      <c r="BF1141" s="8" t="s">
        <v>7607</v>
      </c>
      <c r="BG1141" s="8" t="s">
        <v>7631</v>
      </c>
      <c r="BH1141" s="4" t="s">
        <v>7632</v>
      </c>
      <c r="BI1141" s="8" t="n">
        <v>15</v>
      </c>
      <c r="BJ1141" s="8" t="s">
        <v>7610</v>
      </c>
      <c r="BK1141" s="4" t="s">
        <v>7611</v>
      </c>
      <c r="BL1141" s="8" t="s">
        <v>7602</v>
      </c>
      <c r="BM1141" s="4" t="s">
        <v>7620</v>
      </c>
      <c r="BN1141" s="8"/>
      <c r="BO1141" s="8"/>
      <c r="BP1141" s="8" t="s">
        <v>7602</v>
      </c>
      <c r="BQ1141" s="8" t="str">
        <f aca="false">IF(A1141="","",AT1141)</f>
        <v>4歳以上</v>
      </c>
      <c r="BR1141" s="8" t="str">
        <f aca="false">IF(A1141="","",IF(BA1141&lt;=1200,"～1200",IF(BA1141&lt;=1500,"1300～1500",IF(BA1141=1600,"1600",IF(BA1141&lt;=1800,"1700～1800",IF(BA1141&lt;=2000,"1900～2000","2100以上"))))))</f>
        <v>1600</v>
      </c>
      <c r="BS1141" s="8" t="str">
        <f aca="false">IF(A1141="","",IF(AX1141="G1","G1",IF(AX1141="G2","G2",IF(AX1141="G3","G3",IF(AX1141="L","L","その他")))))</f>
        <v>その他</v>
      </c>
      <c r="BT1141" s="8" t="str">
        <f aca="false">IF(A1141="","",IF(BI1141="","未結合",IF(D1141=BI1141,"一致","不一致")))</f>
        <v>一致</v>
      </c>
      <c r="BU1141" s="8" t="str">
        <f aca="false">IF(A1141="","",IF(BE1141="牝馬限定","牝馬限定","その他"))</f>
        <v>その他</v>
      </c>
    </row>
    <row r="1142" customFormat="false" ht="15.75" hidden="false" customHeight="false" outlineLevel="0" collapsed="false">
      <c r="A1142" s="6" t="n">
        <f aca="false">DATE(2026,5,3)</f>
        <v>46145</v>
      </c>
      <c r="B1142" s="4" t="s">
        <v>4473</v>
      </c>
      <c r="C1142" s="8" t="n">
        <v>8</v>
      </c>
      <c r="D1142" s="8" t="n">
        <v>9</v>
      </c>
      <c r="E1142" s="8" t="n">
        <v>3</v>
      </c>
      <c r="F1142" s="4" t="s">
        <v>7503</v>
      </c>
      <c r="G1142" s="8" t="n">
        <v>60</v>
      </c>
      <c r="H1142" s="8" t="n">
        <v>2</v>
      </c>
      <c r="I1142" s="4" t="s">
        <v>5197</v>
      </c>
      <c r="J1142" s="8" t="n">
        <v>58</v>
      </c>
      <c r="K1142" s="8" t="n">
        <v>7</v>
      </c>
      <c r="L1142" s="4" t="s">
        <v>7505</v>
      </c>
      <c r="M1142" s="8" t="n">
        <v>37</v>
      </c>
      <c r="N1142" s="8" t="n">
        <f aca="false">IF(A1142="","",G1142-J1142)</f>
        <v>2</v>
      </c>
      <c r="O1142" s="8" t="n">
        <f aca="false">IF(A1142="","",J1142-M1142)</f>
        <v>21</v>
      </c>
      <c r="P1142" s="8" t="n">
        <f aca="false">IF(A1142="","",G1142+J1142)</f>
        <v>118</v>
      </c>
      <c r="Q1142" s="8" t="str">
        <f aca="false">IF(A1142="","",IF(AND(Y1142&lt;&gt;"参考",G1142&gt;=ルール設定!$B$2),"○",""))</f>
        <v/>
      </c>
      <c r="R1142" s="8" t="str">
        <f aca="false">IF(A1142="","",IF(AND(Y1142&lt;&gt;"参考",G1142&gt;=ルール設定!$B$3,N1142&gt;=ルール設定!$B$4),"○",""))</f>
        <v/>
      </c>
      <c r="S1142" s="8" t="str">
        <f aca="false">IF(A1142="","",IF(AND(Y1142&lt;&gt;"参考",G1142&gt;=ルール設定!$B$5,J1142&gt;=ルール設定!$B$6,O1142&gt;=ルール設定!$B$7),"○",""))</f>
        <v>○</v>
      </c>
      <c r="T1142" s="8" t="n">
        <v>4</v>
      </c>
      <c r="U1142" s="8" t="n">
        <v>4</v>
      </c>
      <c r="V1142" s="8" t="str">
        <f aca="false">IF(A1142="","",IF(AND(ISNUMBER(T1142),ISNUMBER(U1142)),IF(AND(T1142&lt;=3,U1142&lt;=3),"○","×"),""))</f>
        <v>×</v>
      </c>
      <c r="W1142" s="8"/>
      <c r="X1142" s="8"/>
      <c r="Y1142" s="4" t="s">
        <v>7597</v>
      </c>
      <c r="Z1142" s="8" t="s">
        <v>8111</v>
      </c>
      <c r="AA1142" s="8" t="str">
        <v/>
      </c>
      <c r="AB1142" s="8" t="str">
        <v/>
      </c>
      <c r="AC1142" s="8" t="str">
        <v/>
      </c>
      <c r="AD1142" s="8" t="str">
        <v/>
      </c>
      <c r="AE1142" s="8" t="str">
        <v/>
      </c>
      <c r="AF1142" s="8" t="str">
        <v/>
      </c>
      <c r="AG1142" s="8" t="str">
        <v/>
      </c>
      <c r="AH1142" s="8" t="str">
        <v/>
      </c>
      <c r="AI1142" s="8" t="n">
        <v>23</v>
      </c>
      <c r="AJ1142" s="8" t="str">
        <v>60～69</v>
      </c>
      <c r="AK1142" s="8" t="str">
        <v>0～4</v>
      </c>
      <c r="AL1142" s="8" t="str">
        <v>20～29</v>
      </c>
      <c r="AM1142" s="8" t="str">
        <v>100～119</v>
      </c>
      <c r="AN1142" s="8" t="str">
        <v>8～11</v>
      </c>
      <c r="AO1142" s="8" t="str">
        <f aca="false">IF(A1142="","",IF(COUNTIFS(全馬データ!$A$2:$A$50000,A1142,全馬データ!$B$2:$B$50000,B1142,全馬データ!$C$2:$C$50000,C1142,全馬データ!$D$2:$D$50000,E1142,全馬データ!$K$2:$K$50000,"&lt;&gt;")=0,"",SUMIFS(全馬データ!$K$2:$K$50000,全馬データ!$A$2:$A$50000,A1142,全馬データ!$B$2:$B$50000,B1142,全馬データ!$C$2:$C$50000,C1142,全馬データ!$D$2:$D$50000,E1142)))</f>
        <v/>
      </c>
      <c r="AP1142" s="8" t="str">
        <f aca="false">IF(A1142="","",IF(AO1142="","欠損",IF(AO1142&lt;=1.1,"1.0～1.1",IF(AO1142&lt;1.3,"1.2",IF(AO1142&lt;1.5,"1.3～1.4",IF(AO1142&lt;2,"1.5～1.9","2.0以上"))))))</f>
        <v>欠損</v>
      </c>
      <c r="AQ1142" s="8" t="str">
        <f aca="false">IF(A1142="","",IF(ISNUMBER(SEARCH("2歳",Z1142)),"2歳戦",IF(ISNUMBER(SEARCH("3歳未勝利",Z1142)),"3歳未勝利",IF(ISNUMBER(SEARCH("未勝利",Z1142)),"その他未勝利",IF(ISNUMBER(SEARCH("G1",Z1142)),"G1",IF(ISNUMBER(SEARCH("G2",Z1142)),"G2",IF(ISNUMBER(SEARCH("G3",Z1142)),"G3",IF(ISNUMBER(SEARCH("古馬条件",Z1142)),"古馬条件戦",IF(ISNUMBER(SEARCH("重賞",Z1142)),"重賞","分類不能")))))))))</f>
        <v>分類不能</v>
      </c>
      <c r="AR1142" s="8"/>
      <c r="AS1142" s="8" t="s">
        <v>7842</v>
      </c>
      <c r="AT1142" s="8" t="s">
        <v>7843</v>
      </c>
      <c r="AU1142" s="8" t="s">
        <v>7634</v>
      </c>
      <c r="AV1142" s="8" t="s">
        <v>7635</v>
      </c>
      <c r="AW1142" s="8"/>
      <c r="AX1142" s="8"/>
      <c r="AY1142" s="8" t="s">
        <v>7602</v>
      </c>
      <c r="AZ1142" s="4" t="s">
        <v>7603</v>
      </c>
      <c r="BA1142" s="8" t="n">
        <v>1600</v>
      </c>
      <c r="BB1142" s="8" t="s">
        <v>7598</v>
      </c>
      <c r="BC1142" s="4" t="s">
        <v>7604</v>
      </c>
      <c r="BD1142" s="8" t="s">
        <v>7605</v>
      </c>
      <c r="BE1142" s="4" t="s">
        <v>7606</v>
      </c>
      <c r="BF1142" s="8" t="s">
        <v>7607</v>
      </c>
      <c r="BG1142" s="8" t="s">
        <v>7631</v>
      </c>
      <c r="BH1142" s="4" t="s">
        <v>7632</v>
      </c>
      <c r="BI1142" s="8" t="n">
        <v>9</v>
      </c>
      <c r="BJ1142" s="8" t="s">
        <v>7610</v>
      </c>
      <c r="BK1142" s="4" t="s">
        <v>7611</v>
      </c>
      <c r="BL1142" s="8" t="s">
        <v>7602</v>
      </c>
      <c r="BM1142" s="4" t="s">
        <v>7620</v>
      </c>
      <c r="BN1142" s="8" t="s">
        <v>7602</v>
      </c>
      <c r="BO1142" s="8" t="s">
        <v>7613</v>
      </c>
      <c r="BP1142" s="8" t="s">
        <v>7602</v>
      </c>
      <c r="BQ1142" s="8" t="str">
        <f aca="false">IF(A1142="","",AT1142)</f>
        <v>4歳以上</v>
      </c>
      <c r="BR1142" s="8" t="str">
        <f aca="false">IF(A1142="","",IF(BA1142&lt;=1200,"～1200",IF(BA1142&lt;=1500,"1300～1500",IF(BA1142=1600,"1600",IF(BA1142&lt;=1800,"1700～1800",IF(BA1142&lt;=2000,"1900～2000","2100以上"))))))</f>
        <v>1600</v>
      </c>
      <c r="BS1142" s="8" t="str">
        <f aca="false">IF(A1142="","",IF(AX1142="G1","G1",IF(AX1142="G2","G2",IF(AX1142="G3","G3",IF(AX1142="L","L","その他")))))</f>
        <v>その他</v>
      </c>
      <c r="BT1142" s="8" t="str">
        <f aca="false">IF(A1142="","",IF(BI1142="","未結合",IF(D1142=BI1142,"一致","不一致")))</f>
        <v>一致</v>
      </c>
      <c r="BU1142" s="8" t="str">
        <f aca="false">IF(A1142="","",IF(BE1142="牝馬限定","牝馬限定","その他"))</f>
        <v>その他</v>
      </c>
    </row>
    <row r="1143" customFormat="false" ht="15.75" hidden="false" customHeight="false" outlineLevel="0" collapsed="false">
      <c r="A1143" s="6" t="n">
        <f aca="false">DATE(2026,5,3)</f>
        <v>46145</v>
      </c>
      <c r="B1143" s="4" t="s">
        <v>4473</v>
      </c>
      <c r="C1143" s="8" t="n">
        <v>9</v>
      </c>
      <c r="D1143" s="8" t="n">
        <v>18</v>
      </c>
      <c r="E1143" s="8" t="n">
        <v>8</v>
      </c>
      <c r="F1143" s="4" t="s">
        <v>262</v>
      </c>
      <c r="G1143" s="8" t="n">
        <v>47</v>
      </c>
      <c r="H1143" s="8" t="n">
        <v>5</v>
      </c>
      <c r="I1143" s="4" t="s">
        <v>6078</v>
      </c>
      <c r="J1143" s="8" t="n">
        <v>37</v>
      </c>
      <c r="K1143" s="8" t="n">
        <v>10</v>
      </c>
      <c r="L1143" s="4" t="s">
        <v>5209</v>
      </c>
      <c r="M1143" s="8" t="n">
        <v>37</v>
      </c>
      <c r="N1143" s="8" t="n">
        <f aca="false">IF(A1143="","",G1143-J1143)</f>
        <v>10</v>
      </c>
      <c r="O1143" s="8" t="n">
        <f aca="false">IF(A1143="","",J1143-M1143)</f>
        <v>0</v>
      </c>
      <c r="P1143" s="8" t="n">
        <f aca="false">IF(A1143="","",G1143+J1143)</f>
        <v>84</v>
      </c>
      <c r="Q1143" s="8" t="str">
        <f aca="false">IF(A1143="","",IF(AND(Y1143&lt;&gt;"参考",G1143&gt;=ルール設定!$B$2),"○",""))</f>
        <v/>
      </c>
      <c r="R1143" s="8" t="str">
        <f aca="false">IF(A1143="","",IF(AND(Y1143&lt;&gt;"参考",G1143&gt;=ルール設定!$B$3,N1143&gt;=ルール設定!$B$4),"○",""))</f>
        <v/>
      </c>
      <c r="S1143" s="8" t="str">
        <f aca="false">IF(A1143="","",IF(AND(Y1143&lt;&gt;"参考",G1143&gt;=ルール設定!$B$5,J1143&gt;=ルール設定!$B$6,O1143&gt;=ルール設定!$B$7),"○",""))</f>
        <v/>
      </c>
      <c r="T1143" s="8" t="n">
        <v>4</v>
      </c>
      <c r="U1143" s="8" t="n">
        <v>1</v>
      </c>
      <c r="V1143" s="8" t="str">
        <f aca="false">IF(A1143="","",IF(AND(ISNUMBER(T1143),ISNUMBER(U1143)),IF(AND(T1143&lt;=3,U1143&lt;=3),"○","×"),""))</f>
        <v>×</v>
      </c>
      <c r="W1143" s="8"/>
      <c r="X1143" s="8"/>
      <c r="Y1143" s="4" t="s">
        <v>7597</v>
      </c>
      <c r="Z1143" s="8" t="s">
        <v>8111</v>
      </c>
      <c r="AA1143" s="8" t="str">
        <v/>
      </c>
      <c r="AB1143" s="8" t="str">
        <v/>
      </c>
      <c r="AC1143" s="8" t="str">
        <v/>
      </c>
      <c r="AD1143" s="8" t="str">
        <v/>
      </c>
      <c r="AE1143" s="8" t="str">
        <v/>
      </c>
      <c r="AF1143" s="8" t="str">
        <v/>
      </c>
      <c r="AG1143" s="8" t="str">
        <v/>
      </c>
      <c r="AH1143" s="8" t="str">
        <v/>
      </c>
      <c r="AI1143" s="8" t="n">
        <v>10</v>
      </c>
      <c r="AJ1143" s="8" t="str">
        <v>～59</v>
      </c>
      <c r="AK1143" s="8" t="str">
        <v>10～19</v>
      </c>
      <c r="AL1143" s="8" t="str">
        <v>10～19</v>
      </c>
      <c r="AM1143" s="8" t="str">
        <v>～99</v>
      </c>
      <c r="AN1143" s="8" t="str">
        <v>15以上</v>
      </c>
      <c r="AO1143" s="8" t="str">
        <f aca="false">IF(A1143="","",IF(COUNTIFS(全馬データ!$A$2:$A$50000,A1143,全馬データ!$B$2:$B$50000,B1143,全馬データ!$C$2:$C$50000,C1143,全馬データ!$D$2:$D$50000,E1143,全馬データ!$K$2:$K$50000,"&lt;&gt;")=0,"",SUMIFS(全馬データ!$K$2:$K$50000,全馬データ!$A$2:$A$50000,A1143,全馬データ!$B$2:$B$50000,B1143,全馬データ!$C$2:$C$50000,C1143,全馬データ!$D$2:$D$50000,E1143)))</f>
        <v/>
      </c>
      <c r="AP1143" s="8" t="str">
        <f aca="false">IF(A1143="","",IF(AO1143="","欠損",IF(AO1143&lt;=1.1,"1.0～1.1",IF(AO1143&lt;1.3,"1.2",IF(AO1143&lt;1.5,"1.3～1.4",IF(AO1143&lt;2,"1.5～1.9","2.0以上"))))))</f>
        <v>欠損</v>
      </c>
      <c r="AQ1143" s="8" t="str">
        <f aca="false">IF(A1143="","",IF(ISNUMBER(SEARCH("2歳",Z1143)),"2歳戦",IF(ISNUMBER(SEARCH("3歳未勝利",Z1143)),"3歳未勝利",IF(ISNUMBER(SEARCH("未勝利",Z1143)),"その他未勝利",IF(ISNUMBER(SEARCH("G1",Z1143)),"G1",IF(ISNUMBER(SEARCH("G2",Z1143)),"G2",IF(ISNUMBER(SEARCH("G3",Z1143)),"G3",IF(ISNUMBER(SEARCH("古馬条件",Z1143)),"古馬条件戦",IF(ISNUMBER(SEARCH("重賞",Z1143)),"重賞","分類不能")))))))))</f>
        <v>分類不能</v>
      </c>
      <c r="AR1143" s="4" t="s">
        <v>8163</v>
      </c>
      <c r="AS1143" s="8" t="s">
        <v>7842</v>
      </c>
      <c r="AT1143" s="8" t="s">
        <v>7843</v>
      </c>
      <c r="AU1143" s="8" t="s">
        <v>7639</v>
      </c>
      <c r="AV1143" s="8" t="s">
        <v>7640</v>
      </c>
      <c r="AW1143" s="8" t="s">
        <v>7636</v>
      </c>
      <c r="AX1143" s="4" t="s">
        <v>7637</v>
      </c>
      <c r="AY1143" s="8" t="s">
        <v>7602</v>
      </c>
      <c r="AZ1143" s="4" t="s">
        <v>7603</v>
      </c>
      <c r="BA1143" s="8" t="n">
        <v>2000</v>
      </c>
      <c r="BB1143" s="8" t="s">
        <v>7598</v>
      </c>
      <c r="BC1143" s="4" t="s">
        <v>7604</v>
      </c>
      <c r="BD1143" s="8" t="s">
        <v>7630</v>
      </c>
      <c r="BE1143" s="4" t="s">
        <v>7606</v>
      </c>
      <c r="BF1143" s="8" t="s">
        <v>7607</v>
      </c>
      <c r="BG1143" s="8" t="s">
        <v>7631</v>
      </c>
      <c r="BH1143" s="4" t="s">
        <v>7632</v>
      </c>
      <c r="BI1143" s="8" t="n">
        <v>18</v>
      </c>
      <c r="BJ1143" s="8" t="s">
        <v>7610</v>
      </c>
      <c r="BK1143" s="4" t="s">
        <v>7611</v>
      </c>
      <c r="BL1143" s="8" t="s">
        <v>7602</v>
      </c>
      <c r="BM1143" s="4" t="s">
        <v>7620</v>
      </c>
      <c r="BN1143" s="8" t="s">
        <v>7602</v>
      </c>
      <c r="BO1143" s="8" t="s">
        <v>7613</v>
      </c>
      <c r="BP1143" s="8" t="s">
        <v>7602</v>
      </c>
      <c r="BQ1143" s="8" t="str">
        <f aca="false">IF(A1143="","",AT1143)</f>
        <v>4歳以上</v>
      </c>
      <c r="BR1143" s="8" t="str">
        <f aca="false">IF(A1143="","",IF(BA1143&lt;=1200,"～1200",IF(BA1143&lt;=1500,"1300～1500",IF(BA1143=1600,"1600",IF(BA1143&lt;=1800,"1700～1800",IF(BA1143&lt;=2000,"1900～2000","2100以上"))))))</f>
        <v>1900～2000</v>
      </c>
      <c r="BS1143" s="8" t="str">
        <f aca="false">IF(A1143="","",IF(AX1143="G1","G1",IF(AX1143="G2","G2",IF(AX1143="G3","G3",IF(AX1143="L","L","その他")))))</f>
        <v>その他</v>
      </c>
      <c r="BT1143" s="8" t="str">
        <f aca="false">IF(A1143="","",IF(BI1143="","未結合",IF(D1143=BI1143,"一致","不一致")))</f>
        <v>一致</v>
      </c>
      <c r="BU1143" s="8" t="str">
        <f aca="false">IF(A1143="","",IF(BE1143="牝馬限定","牝馬限定","その他"))</f>
        <v>その他</v>
      </c>
    </row>
    <row r="1144" customFormat="false" ht="15.75" hidden="false" customHeight="false" outlineLevel="0" collapsed="false">
      <c r="A1144" s="6" t="n">
        <f aca="false">DATE(2026,5,3)</f>
        <v>46145</v>
      </c>
      <c r="B1144" s="4" t="s">
        <v>4473</v>
      </c>
      <c r="C1144" s="8" t="n">
        <v>10</v>
      </c>
      <c r="D1144" s="8" t="n">
        <v>16</v>
      </c>
      <c r="E1144" s="8" t="n">
        <v>8</v>
      </c>
      <c r="F1144" s="4" t="s">
        <v>3942</v>
      </c>
      <c r="G1144" s="8" t="n">
        <v>50</v>
      </c>
      <c r="H1144" s="8" t="n">
        <v>5</v>
      </c>
      <c r="I1144" s="4" t="s">
        <v>3941</v>
      </c>
      <c r="J1144" s="8" t="n">
        <v>39</v>
      </c>
      <c r="K1144" s="8" t="n">
        <v>9</v>
      </c>
      <c r="L1144" s="4" t="s">
        <v>5068</v>
      </c>
      <c r="M1144" s="8" t="n">
        <v>34</v>
      </c>
      <c r="N1144" s="8" t="n">
        <f aca="false">IF(A1144="","",G1144-J1144)</f>
        <v>11</v>
      </c>
      <c r="O1144" s="8" t="n">
        <f aca="false">IF(A1144="","",J1144-M1144)</f>
        <v>5</v>
      </c>
      <c r="P1144" s="8" t="n">
        <f aca="false">IF(A1144="","",G1144+J1144)</f>
        <v>89</v>
      </c>
      <c r="Q1144" s="8" t="str">
        <f aca="false">IF(A1144="","",IF(AND(Y1144&lt;&gt;"参考",G1144&gt;=ルール設定!$B$2),"○",""))</f>
        <v/>
      </c>
      <c r="R1144" s="8" t="str">
        <f aca="false">IF(A1144="","",IF(AND(Y1144&lt;&gt;"参考",G1144&gt;=ルール設定!$B$3,N1144&gt;=ルール設定!$B$4),"○",""))</f>
        <v/>
      </c>
      <c r="S1144" s="8" t="str">
        <f aca="false">IF(A1144="","",IF(AND(Y1144&lt;&gt;"参考",G1144&gt;=ルール設定!$B$5,J1144&gt;=ルール設定!$B$6,O1144&gt;=ルール設定!$B$7),"○",""))</f>
        <v/>
      </c>
      <c r="T1144" s="8" t="n">
        <v>4</v>
      </c>
      <c r="U1144" s="8" t="n">
        <v>4</v>
      </c>
      <c r="V1144" s="8" t="str">
        <f aca="false">IF(A1144="","",IF(AND(ISNUMBER(T1144),ISNUMBER(U1144)),IF(AND(T1144&lt;=3,U1144&lt;=3),"○","×"),""))</f>
        <v>×</v>
      </c>
      <c r="W1144" s="8"/>
      <c r="X1144" s="8"/>
      <c r="Y1144" s="4" t="s">
        <v>7597</v>
      </c>
      <c r="Z1144" s="8" t="s">
        <v>8111</v>
      </c>
      <c r="AA1144" s="8" t="str">
        <v/>
      </c>
      <c r="AB1144" s="8" t="str">
        <v/>
      </c>
      <c r="AC1144" s="8" t="str">
        <v/>
      </c>
      <c r="AD1144" s="8" t="str">
        <v/>
      </c>
      <c r="AE1144" s="8" t="str">
        <v/>
      </c>
      <c r="AF1144" s="8" t="str">
        <v/>
      </c>
      <c r="AG1144" s="8" t="str">
        <v/>
      </c>
      <c r="AH1144" s="8" t="str">
        <v/>
      </c>
      <c r="AI1144" s="8" t="n">
        <v>16</v>
      </c>
      <c r="AJ1144" s="8" t="str">
        <v>～59</v>
      </c>
      <c r="AK1144" s="8" t="str">
        <v>10～19</v>
      </c>
      <c r="AL1144" s="8" t="str">
        <v>10～19</v>
      </c>
      <c r="AM1144" s="8" t="str">
        <v>～99</v>
      </c>
      <c r="AN1144" s="8" t="str">
        <v>15以上</v>
      </c>
      <c r="AO1144" s="8" t="str">
        <f aca="false">IF(A1144="","",IF(COUNTIFS(全馬データ!$A$2:$A$50000,A1144,全馬データ!$B$2:$B$50000,B1144,全馬データ!$C$2:$C$50000,C1144,全馬データ!$D$2:$D$50000,E1144,全馬データ!$K$2:$K$50000,"&lt;&gt;")=0,"",SUMIFS(全馬データ!$K$2:$K$50000,全馬データ!$A$2:$A$50000,A1144,全馬データ!$B$2:$B$50000,B1144,全馬データ!$C$2:$C$50000,C1144,全馬データ!$D$2:$D$50000,E1144)))</f>
        <v/>
      </c>
      <c r="AP1144" s="8" t="str">
        <f aca="false">IF(A1144="","",IF(AO1144="","欠損",IF(AO1144&lt;=1.1,"1.0～1.1",IF(AO1144&lt;1.3,"1.2",IF(AO1144&lt;1.5,"1.3～1.4",IF(AO1144&lt;2,"1.5～1.9","2.0以上"))))))</f>
        <v>欠損</v>
      </c>
      <c r="AQ1144" s="8" t="str">
        <f aca="false">IF(A1144="","",IF(ISNUMBER(SEARCH("2歳",Z1144)),"2歳戦",IF(ISNUMBER(SEARCH("3歳未勝利",Z1144)),"3歳未勝利",IF(ISNUMBER(SEARCH("未勝利",Z1144)),"その他未勝利",IF(ISNUMBER(SEARCH("G1",Z1144)),"G1",IF(ISNUMBER(SEARCH("G2",Z1144)),"G2",IF(ISNUMBER(SEARCH("G3",Z1144)),"G3",IF(ISNUMBER(SEARCH("古馬条件",Z1144)),"古馬条件戦",IF(ISNUMBER(SEARCH("重賞",Z1144)),"重賞","分類不能")))))))))</f>
        <v>分類不能</v>
      </c>
      <c r="AR1144" s="4" t="s">
        <v>8164</v>
      </c>
      <c r="AS1144" s="8" t="s">
        <v>7842</v>
      </c>
      <c r="AT1144" s="8" t="s">
        <v>7843</v>
      </c>
      <c r="AU1144" s="8" t="s">
        <v>7643</v>
      </c>
      <c r="AV1144" s="4" t="s">
        <v>7644</v>
      </c>
      <c r="AW1144" s="8" t="s">
        <v>7676</v>
      </c>
      <c r="AX1144" s="8" t="s">
        <v>7677</v>
      </c>
      <c r="AY1144" s="8" t="s">
        <v>7610</v>
      </c>
      <c r="AZ1144" s="4" t="s">
        <v>7617</v>
      </c>
      <c r="BA1144" s="8" t="n">
        <v>2100</v>
      </c>
      <c r="BB1144" s="8" t="s">
        <v>7618</v>
      </c>
      <c r="BC1144" s="4" t="s">
        <v>7619</v>
      </c>
      <c r="BD1144" s="8" t="s">
        <v>7666</v>
      </c>
      <c r="BE1144" s="4" t="s">
        <v>7606</v>
      </c>
      <c r="BF1144" s="8" t="s">
        <v>7607</v>
      </c>
      <c r="BG1144" s="8" t="s">
        <v>7602</v>
      </c>
      <c r="BH1144" s="4" t="s">
        <v>7667</v>
      </c>
      <c r="BI1144" s="8" t="n">
        <v>16</v>
      </c>
      <c r="BJ1144" s="8" t="s">
        <v>7610</v>
      </c>
      <c r="BK1144" s="4" t="s">
        <v>7611</v>
      </c>
      <c r="BL1144" s="8" t="s">
        <v>7602</v>
      </c>
      <c r="BM1144" s="4" t="s">
        <v>7620</v>
      </c>
      <c r="BN1144" s="8"/>
      <c r="BO1144" s="8"/>
      <c r="BP1144" s="8" t="s">
        <v>7602</v>
      </c>
      <c r="BQ1144" s="8" t="str">
        <f aca="false">IF(A1144="","",AT1144)</f>
        <v>4歳以上</v>
      </c>
      <c r="BR1144" s="8" t="str">
        <f aca="false">IF(A1144="","",IF(BA1144&lt;=1200,"～1200",IF(BA1144&lt;=1500,"1300～1500",IF(BA1144=1600,"1600",IF(BA1144&lt;=1800,"1700～1800",IF(BA1144&lt;=2000,"1900～2000","2100以上"))))))</f>
        <v>2100以上</v>
      </c>
      <c r="BS1144" s="8" t="str">
        <f aca="false">IF(A1144="","",IF(AX1144="G1","G1",IF(AX1144="G2","G2",IF(AX1144="G3","G3",IF(AX1144="L","L","その他")))))</f>
        <v>L</v>
      </c>
      <c r="BT1144" s="8" t="str">
        <f aca="false">IF(A1144="","",IF(BI1144="","未結合",IF(D1144=BI1144,"一致","不一致")))</f>
        <v>一致</v>
      </c>
      <c r="BU1144" s="8" t="str">
        <f aca="false">IF(A1144="","",IF(BE1144="牝馬限定","牝馬限定","その他"))</f>
        <v>その他</v>
      </c>
    </row>
    <row r="1145" customFormat="false" ht="15.75" hidden="false" customHeight="false" outlineLevel="0" collapsed="false">
      <c r="A1145" s="6" t="n">
        <f aca="false">DATE(2026,5,3)</f>
        <v>46145</v>
      </c>
      <c r="B1145" s="4" t="s">
        <v>4473</v>
      </c>
      <c r="C1145" s="8" t="n">
        <v>11</v>
      </c>
      <c r="D1145" s="8" t="n">
        <v>15</v>
      </c>
      <c r="E1145" s="8" t="n">
        <v>10</v>
      </c>
      <c r="F1145" s="4" t="s">
        <v>7522</v>
      </c>
      <c r="G1145" s="8" t="n">
        <v>56</v>
      </c>
      <c r="H1145" s="8" t="n">
        <v>11</v>
      </c>
      <c r="I1145" s="4" t="s">
        <v>7523</v>
      </c>
      <c r="J1145" s="8" t="n">
        <v>50</v>
      </c>
      <c r="K1145" s="8" t="n">
        <v>4</v>
      </c>
      <c r="L1145" s="4" t="s">
        <v>852</v>
      </c>
      <c r="M1145" s="8" t="n">
        <v>47</v>
      </c>
      <c r="N1145" s="8" t="n">
        <f aca="false">IF(A1145="","",G1145-J1145)</f>
        <v>6</v>
      </c>
      <c r="O1145" s="8" t="n">
        <f aca="false">IF(A1145="","",J1145-M1145)</f>
        <v>3</v>
      </c>
      <c r="P1145" s="8" t="n">
        <f aca="false">IF(A1145="","",G1145+J1145)</f>
        <v>106</v>
      </c>
      <c r="Q1145" s="8" t="str">
        <f aca="false">IF(A1145="","",IF(AND(Y1145&lt;&gt;"参考",G1145&gt;=ルール設定!$B$2),"○",""))</f>
        <v/>
      </c>
      <c r="R1145" s="8" t="str">
        <f aca="false">IF(A1145="","",IF(AND(Y1145&lt;&gt;"参考",G1145&gt;=ルール設定!$B$3,N1145&gt;=ルール設定!$B$4),"○",""))</f>
        <v/>
      </c>
      <c r="S1145" s="8" t="str">
        <f aca="false">IF(A1145="","",IF(AND(Y1145&lt;&gt;"参考",G1145&gt;=ルール設定!$B$5,J1145&gt;=ルール設定!$B$6,O1145&gt;=ルール設定!$B$7),"○",""))</f>
        <v/>
      </c>
      <c r="T1145" s="8" t="n">
        <v>3</v>
      </c>
      <c r="U1145" s="8" t="n">
        <v>4</v>
      </c>
      <c r="V1145" s="8" t="str">
        <f aca="false">IF(A1145="","",IF(AND(ISNUMBER(T1145),ISNUMBER(U1145)),IF(AND(T1145&lt;=3,U1145&lt;=3),"○","×"),""))</f>
        <v>×</v>
      </c>
      <c r="W1145" s="8" t="n">
        <v>240</v>
      </c>
      <c r="X1145" s="8"/>
      <c r="Y1145" s="4" t="s">
        <v>7597</v>
      </c>
      <c r="Z1145" s="8" t="s">
        <v>8111</v>
      </c>
      <c r="AA1145" s="8" t="str">
        <v/>
      </c>
      <c r="AB1145" s="8" t="str">
        <v/>
      </c>
      <c r="AC1145" s="8" t="str">
        <v/>
      </c>
      <c r="AD1145" s="8" t="str">
        <v/>
      </c>
      <c r="AE1145" s="8" t="str">
        <v/>
      </c>
      <c r="AF1145" s="8" t="str">
        <v/>
      </c>
      <c r="AG1145" s="8" t="str">
        <v/>
      </c>
      <c r="AH1145" s="8" t="str">
        <v/>
      </c>
      <c r="AI1145" s="8" t="n">
        <v>9</v>
      </c>
      <c r="AJ1145" s="8" t="str">
        <v>～59</v>
      </c>
      <c r="AK1145" s="8" t="str">
        <v>5～9</v>
      </c>
      <c r="AL1145" s="8" t="str">
        <v>0～9</v>
      </c>
      <c r="AM1145" s="8" t="str">
        <v>100～119</v>
      </c>
      <c r="AN1145" s="8" t="str">
        <v>15以上</v>
      </c>
      <c r="AO1145" s="8" t="str">
        <f aca="false">IF(A1145="","",IF(COUNTIFS(全馬データ!$A$2:$A$50000,A1145,全馬データ!$B$2:$B$50000,B1145,全馬データ!$C$2:$C$50000,C1145,全馬データ!$D$2:$D$50000,E1145,全馬データ!$K$2:$K$50000,"&lt;&gt;")=0,"",SUMIFS(全馬データ!$K$2:$K$50000,全馬データ!$A$2:$A$50000,A1145,全馬データ!$B$2:$B$50000,B1145,全馬データ!$C$2:$C$50000,C1145,全馬データ!$D$2:$D$50000,E1145)))</f>
        <v/>
      </c>
      <c r="AP1145" s="8" t="str">
        <f aca="false">IF(A1145="","",IF(AO1145="","欠損",IF(AO1145&lt;=1.1,"1.0～1.1",IF(AO1145&lt;1.3,"1.2",IF(AO1145&lt;1.5,"1.3～1.4",IF(AO1145&lt;2,"1.5～1.9","2.0以上"))))))</f>
        <v>欠損</v>
      </c>
      <c r="AQ1145" s="8" t="str">
        <f aca="false">IF(A1145="","",IF(ISNUMBER(SEARCH("2歳",Z1145)),"2歳戦",IF(ISNUMBER(SEARCH("3歳未勝利",Z1145)),"3歳未勝利",IF(ISNUMBER(SEARCH("未勝利",Z1145)),"その他未勝利",IF(ISNUMBER(SEARCH("G1",Z1145)),"G1",IF(ISNUMBER(SEARCH("G2",Z1145)),"G2",IF(ISNUMBER(SEARCH("G3",Z1145)),"G3",IF(ISNUMBER(SEARCH("古馬条件",Z1145)),"古馬条件戦",IF(ISNUMBER(SEARCH("重賞",Z1145)),"重賞","分類不能")))))))))</f>
        <v>分類不能</v>
      </c>
      <c r="AR1145" s="4" t="s">
        <v>8165</v>
      </c>
      <c r="AS1145" s="8" t="s">
        <v>7623</v>
      </c>
      <c r="AT1145" s="8" t="s">
        <v>7624</v>
      </c>
      <c r="AU1145" s="8" t="s">
        <v>7643</v>
      </c>
      <c r="AV1145" s="4" t="s">
        <v>7644</v>
      </c>
      <c r="AW1145" s="8" t="s">
        <v>7676</v>
      </c>
      <c r="AX1145" s="8" t="s">
        <v>7677</v>
      </c>
      <c r="AY1145" s="8" t="s">
        <v>7602</v>
      </c>
      <c r="AZ1145" s="4" t="s">
        <v>7603</v>
      </c>
      <c r="BA1145" s="8" t="n">
        <v>2000</v>
      </c>
      <c r="BB1145" s="8" t="s">
        <v>7598</v>
      </c>
      <c r="BC1145" s="4" t="s">
        <v>7604</v>
      </c>
      <c r="BD1145" s="8" t="s">
        <v>7672</v>
      </c>
      <c r="BE1145" s="4" t="s">
        <v>7606</v>
      </c>
      <c r="BF1145" s="8" t="s">
        <v>7607</v>
      </c>
      <c r="BG1145" s="8" t="s">
        <v>7608</v>
      </c>
      <c r="BH1145" s="4" t="s">
        <v>7609</v>
      </c>
      <c r="BI1145" s="8" t="n">
        <v>15</v>
      </c>
      <c r="BJ1145" s="8" t="s">
        <v>7610</v>
      </c>
      <c r="BK1145" s="4" t="s">
        <v>7611</v>
      </c>
      <c r="BL1145" s="8" t="s">
        <v>7602</v>
      </c>
      <c r="BM1145" s="4" t="s">
        <v>7620</v>
      </c>
      <c r="BN1145" s="8" t="s">
        <v>7602</v>
      </c>
      <c r="BO1145" s="8" t="s">
        <v>7613</v>
      </c>
      <c r="BP1145" s="8" t="s">
        <v>7602</v>
      </c>
      <c r="BQ1145" s="8" t="str">
        <f aca="false">IF(A1145="","",AT1145)</f>
        <v>3歳</v>
      </c>
      <c r="BR1145" s="8" t="str">
        <f aca="false">IF(A1145="","",IF(BA1145&lt;=1200,"～1200",IF(BA1145&lt;=1500,"1300～1500",IF(BA1145=1600,"1600",IF(BA1145&lt;=1800,"1700～1800",IF(BA1145&lt;=2000,"1900～2000","2100以上"))))))</f>
        <v>1900～2000</v>
      </c>
      <c r="BS1145" s="8" t="str">
        <f aca="false">IF(A1145="","",IF(AX1145="G1","G1",IF(AX1145="G2","G2",IF(AX1145="G3","G3",IF(AX1145="L","L","その他")))))</f>
        <v>L</v>
      </c>
      <c r="BT1145" s="8" t="str">
        <f aca="false">IF(A1145="","",IF(BI1145="","未結合",IF(D1145=BI1145,"一致","不一致")))</f>
        <v>一致</v>
      </c>
      <c r="BU1145" s="8" t="str">
        <f aca="false">IF(A1145="","",IF(BE1145="牝馬限定","牝馬限定","その他"))</f>
        <v>その他</v>
      </c>
    </row>
    <row r="1146" customFormat="false" ht="15.75" hidden="false" customHeight="false" outlineLevel="0" collapsed="false">
      <c r="A1146" s="6" t="n">
        <f aca="false">DATE(2026,5,3)</f>
        <v>46145</v>
      </c>
      <c r="B1146" s="4" t="s">
        <v>4473</v>
      </c>
      <c r="C1146" s="8" t="n">
        <v>12</v>
      </c>
      <c r="D1146" s="8" t="n">
        <v>13</v>
      </c>
      <c r="E1146" s="8" t="n">
        <v>5</v>
      </c>
      <c r="F1146" s="4" t="s">
        <v>4555</v>
      </c>
      <c r="G1146" s="8" t="n">
        <v>62</v>
      </c>
      <c r="H1146" s="8" t="n">
        <v>12</v>
      </c>
      <c r="I1146" s="4" t="s">
        <v>3946</v>
      </c>
      <c r="J1146" s="8" t="n">
        <v>47</v>
      </c>
      <c r="K1146" s="8" t="n">
        <v>6</v>
      </c>
      <c r="L1146" s="4" t="s">
        <v>7526</v>
      </c>
      <c r="M1146" s="8" t="n">
        <v>41</v>
      </c>
      <c r="N1146" s="8" t="n">
        <f aca="false">IF(A1146="","",G1146-J1146)</f>
        <v>15</v>
      </c>
      <c r="O1146" s="8" t="n">
        <f aca="false">IF(A1146="","",J1146-M1146)</f>
        <v>6</v>
      </c>
      <c r="P1146" s="8" t="n">
        <f aca="false">IF(A1146="","",G1146+J1146)</f>
        <v>109</v>
      </c>
      <c r="Q1146" s="8" t="str">
        <f aca="false">IF(A1146="","",IF(AND(Y1146&lt;&gt;"参考",G1146&gt;=ルール設定!$B$2),"○",""))</f>
        <v/>
      </c>
      <c r="R1146" s="8" t="str">
        <f aca="false">IF(A1146="","",IF(AND(Y1146&lt;&gt;"参考",G1146&gt;=ルール設定!$B$3,N1146&gt;=ルール設定!$B$4),"○",""))</f>
        <v/>
      </c>
      <c r="S1146" s="8" t="str">
        <f aca="false">IF(A1146="","",IF(AND(Y1146&lt;&gt;"参考",G1146&gt;=ルール設定!$B$5,J1146&gt;=ルール設定!$B$6,O1146&gt;=ルール設定!$B$7),"○",""))</f>
        <v/>
      </c>
      <c r="T1146" s="8" t="n">
        <v>1</v>
      </c>
      <c r="U1146" s="8" t="n">
        <v>4</v>
      </c>
      <c r="V1146" s="8" t="str">
        <f aca="false">IF(A1146="","",IF(AND(ISNUMBER(T1146),ISNUMBER(U1146)),IF(AND(T1146&lt;=3,U1146&lt;=3),"○","×"),""))</f>
        <v>×</v>
      </c>
      <c r="W1146" s="8" t="n">
        <v>140</v>
      </c>
      <c r="X1146" s="8"/>
      <c r="Y1146" s="4" t="s">
        <v>7597</v>
      </c>
      <c r="Z1146" s="8" t="s">
        <v>8111</v>
      </c>
      <c r="AA1146" s="8" t="str">
        <v/>
      </c>
      <c r="AB1146" s="8" t="str">
        <v/>
      </c>
      <c r="AC1146" s="8" t="str">
        <v/>
      </c>
      <c r="AD1146" s="8" t="str">
        <v/>
      </c>
      <c r="AE1146" s="8" t="str">
        <v/>
      </c>
      <c r="AF1146" s="8" t="str">
        <v/>
      </c>
      <c r="AG1146" s="8" t="str">
        <v/>
      </c>
      <c r="AH1146" s="8" t="str">
        <v/>
      </c>
      <c r="AI1146" s="8" t="n">
        <v>21</v>
      </c>
      <c r="AJ1146" s="8" t="str">
        <v>60～69</v>
      </c>
      <c r="AK1146" s="8" t="str">
        <v>10～19</v>
      </c>
      <c r="AL1146" s="8" t="str">
        <v>20～29</v>
      </c>
      <c r="AM1146" s="8" t="str">
        <v>100～119</v>
      </c>
      <c r="AN1146" s="8" t="str">
        <v>12～14</v>
      </c>
      <c r="AO1146" s="8" t="str">
        <f aca="false">IF(A1146="","",IF(COUNTIFS(全馬データ!$A$2:$A$50000,A1146,全馬データ!$B$2:$B$50000,B1146,全馬データ!$C$2:$C$50000,C1146,全馬データ!$D$2:$D$50000,E1146,全馬データ!$K$2:$K$50000,"&lt;&gt;")=0,"",SUMIFS(全馬データ!$K$2:$K$50000,全馬データ!$A$2:$A$50000,A1146,全馬データ!$B$2:$B$50000,B1146,全馬データ!$C$2:$C$50000,C1146,全馬データ!$D$2:$D$50000,E1146)))</f>
        <v/>
      </c>
      <c r="AP1146" s="8" t="str">
        <f aca="false">IF(A1146="","",IF(AO1146="","欠損",IF(AO1146&lt;=1.1,"1.0～1.1",IF(AO1146&lt;1.3,"1.2",IF(AO1146&lt;1.5,"1.3～1.4",IF(AO1146&lt;2,"1.5～1.9","2.0以上"))))))</f>
        <v>欠損</v>
      </c>
      <c r="AQ1146" s="8" t="str">
        <f aca="false">IF(A1146="","",IF(ISNUMBER(SEARCH("2歳",Z1146)),"2歳戦",IF(ISNUMBER(SEARCH("3歳未勝利",Z1146)),"3歳未勝利",IF(ISNUMBER(SEARCH("未勝利",Z1146)),"その他未勝利",IF(ISNUMBER(SEARCH("G1",Z1146)),"G1",IF(ISNUMBER(SEARCH("G2",Z1146)),"G2",IF(ISNUMBER(SEARCH("G3",Z1146)),"G3",IF(ISNUMBER(SEARCH("古馬条件",Z1146)),"古馬条件戦",IF(ISNUMBER(SEARCH("重賞",Z1146)),"重賞","分類不能")))))))))</f>
        <v>分類不能</v>
      </c>
      <c r="AR1146" s="8"/>
      <c r="AS1146" s="8" t="s">
        <v>7842</v>
      </c>
      <c r="AT1146" s="8" t="s">
        <v>7843</v>
      </c>
      <c r="AU1146" s="8" t="s">
        <v>7634</v>
      </c>
      <c r="AV1146" s="8" t="s">
        <v>7635</v>
      </c>
      <c r="AW1146" s="8"/>
      <c r="AX1146" s="8"/>
      <c r="AY1146" s="8" t="s">
        <v>7610</v>
      </c>
      <c r="AZ1146" s="4" t="s">
        <v>7617</v>
      </c>
      <c r="BA1146" s="8" t="n">
        <v>1300</v>
      </c>
      <c r="BB1146" s="8" t="s">
        <v>7618</v>
      </c>
      <c r="BC1146" s="4" t="s">
        <v>7619</v>
      </c>
      <c r="BD1146" s="8" t="s">
        <v>7605</v>
      </c>
      <c r="BE1146" s="4" t="s">
        <v>7606</v>
      </c>
      <c r="BF1146" s="8" t="s">
        <v>7607</v>
      </c>
      <c r="BG1146" s="8" t="s">
        <v>7631</v>
      </c>
      <c r="BH1146" s="4" t="s">
        <v>7632</v>
      </c>
      <c r="BI1146" s="8" t="n">
        <v>13</v>
      </c>
      <c r="BJ1146" s="8" t="s">
        <v>7610</v>
      </c>
      <c r="BK1146" s="4" t="s">
        <v>7611</v>
      </c>
      <c r="BL1146" s="8" t="s">
        <v>7602</v>
      </c>
      <c r="BM1146" s="4" t="s">
        <v>7620</v>
      </c>
      <c r="BN1146" s="8"/>
      <c r="BO1146" s="8"/>
      <c r="BP1146" s="8" t="s">
        <v>7602</v>
      </c>
      <c r="BQ1146" s="8" t="str">
        <f aca="false">IF(A1146="","",AT1146)</f>
        <v>4歳以上</v>
      </c>
      <c r="BR1146" s="8" t="str">
        <f aca="false">IF(A1146="","",IF(BA1146&lt;=1200,"～1200",IF(BA1146&lt;=1500,"1300～1500",IF(BA1146=1600,"1600",IF(BA1146&lt;=1800,"1700～1800",IF(BA1146&lt;=2000,"1900～2000","2100以上"))))))</f>
        <v>1300～1500</v>
      </c>
      <c r="BS1146" s="8" t="str">
        <f aca="false">IF(A1146="","",IF(AX1146="G1","G1",IF(AX1146="G2","G2",IF(AX1146="G3","G3",IF(AX1146="L","L","その他")))))</f>
        <v>その他</v>
      </c>
      <c r="BT1146" s="8" t="str">
        <f aca="false">IF(A1146="","",IF(BI1146="","未結合",IF(D1146=BI1146,"一致","不一致")))</f>
        <v>一致</v>
      </c>
      <c r="BU1146" s="8" t="str">
        <f aca="false">IF(A1146="","",IF(BE1146="牝馬限定","牝馬限定","その他"))</f>
        <v>その他</v>
      </c>
    </row>
    <row r="1147" customFormat="false" ht="15.75" hidden="false" customHeight="false" outlineLevel="0" collapsed="false">
      <c r="AO1147" s="8" t="str">
        <f aca="false">IF(A1147="","",IF(COUNTIFS(全馬データ!$A$2:$A$50000,A1147,全馬データ!$B$2:$B$50000,B1147,全馬データ!$C$2:$C$50000,C1147,全馬データ!$D$2:$D$50000,E1147,全馬データ!$K$2:$K$50000,"&lt;&gt;")=0,"",SUMIFS(全馬データ!$K$2:$K$50000,全馬データ!$A$2:$A$50000,A1147,全馬データ!$B$2:$B$50000,B1147,全馬データ!$C$2:$C$50000,C1147,全馬データ!$D$2:$D$50000,E1147)))</f>
        <v/>
      </c>
      <c r="AP1147" s="8" t="str">
        <f aca="false">IF(A1147="","",IF(AO1147="","欠損",IF(AO1147&lt;=1.1,"1.0～1.1",IF(AO1147&lt;1.3,"1.2",IF(AO1147&lt;1.5,"1.3～1.4",IF(AO1147&lt;2,"1.5～1.9","2.0以上"))))))</f>
        <v/>
      </c>
      <c r="AQ1147" s="8" t="str">
        <f aca="false">IF(A1147="","",IF(ISNUMBER(SEARCH("2歳",Z1147)),"2歳戦",IF(ISNUMBER(SEARCH("3歳未勝利",Z1147)),"3歳未勝利",IF(ISNUMBER(SEARCH("未勝利",Z1147)),"その他未勝利",IF(ISNUMBER(SEARCH("G1",Z1147)),"G1",IF(ISNUMBER(SEARCH("G2",Z1147)),"G2",IF(ISNUMBER(SEARCH("G3",Z1147)),"G3",IF(ISNUMBER(SEARCH("古馬条件",Z1147)),"古馬条件戦",IF(ISNUMBER(SEARCH("重賞",Z1147)),"重賞","分類不能")))))))))</f>
        <v/>
      </c>
    </row>
    <row r="1148" customFormat="false" ht="15.75" hidden="false" customHeight="false" outlineLevel="0" collapsed="false">
      <c r="AO1148" s="8" t="str">
        <f aca="false">IF(A1148="","",IF(COUNTIFS(全馬データ!$A$2:$A$50000,A1148,全馬データ!$B$2:$B$50000,B1148,全馬データ!$C$2:$C$50000,C1148,全馬データ!$D$2:$D$50000,E1148,全馬データ!$K$2:$K$50000,"&lt;&gt;")=0,"",SUMIFS(全馬データ!$K$2:$K$50000,全馬データ!$A$2:$A$50000,A1148,全馬データ!$B$2:$B$50000,B1148,全馬データ!$C$2:$C$50000,C1148,全馬データ!$D$2:$D$50000,E1148)))</f>
        <v/>
      </c>
      <c r="AP1148" s="8" t="str">
        <f aca="false">IF(A1148="","",IF(AO1148="","欠損",IF(AO1148&lt;=1.1,"1.0～1.1",IF(AO1148&lt;1.3,"1.2",IF(AO1148&lt;1.5,"1.3～1.4",IF(AO1148&lt;2,"1.5～1.9","2.0以上"))))))</f>
        <v/>
      </c>
      <c r="AQ1148" s="8" t="str">
        <f aca="false">IF(A1148="","",IF(ISNUMBER(SEARCH("2歳",Z1148)),"2歳戦",IF(ISNUMBER(SEARCH("3歳未勝利",Z1148)),"3歳未勝利",IF(ISNUMBER(SEARCH("未勝利",Z1148)),"その他未勝利",IF(ISNUMBER(SEARCH("G1",Z1148)),"G1",IF(ISNUMBER(SEARCH("G2",Z1148)),"G2",IF(ISNUMBER(SEARCH("G3",Z1148)),"G3",IF(ISNUMBER(SEARCH("古馬条件",Z1148)),"古馬条件戦",IF(ISNUMBER(SEARCH("重賞",Z1148)),"重賞","分類不能")))))))))</f>
        <v/>
      </c>
    </row>
    <row r="1149" customFormat="false" ht="15.75" hidden="false" customHeight="false" outlineLevel="0" collapsed="false">
      <c r="AO1149" s="8" t="str">
        <f aca="false">IF(A1149="","",IF(COUNTIFS(全馬データ!$A$2:$A$50000,A1149,全馬データ!$B$2:$B$50000,B1149,全馬データ!$C$2:$C$50000,C1149,全馬データ!$D$2:$D$50000,E1149,全馬データ!$K$2:$K$50000,"&lt;&gt;")=0,"",SUMIFS(全馬データ!$K$2:$K$50000,全馬データ!$A$2:$A$50000,A1149,全馬データ!$B$2:$B$50000,B1149,全馬データ!$C$2:$C$50000,C1149,全馬データ!$D$2:$D$50000,E1149)))</f>
        <v/>
      </c>
      <c r="AP1149" s="8" t="str">
        <f aca="false">IF(A1149="","",IF(AO1149="","欠損",IF(AO1149&lt;=1.1,"1.0～1.1",IF(AO1149&lt;1.3,"1.2",IF(AO1149&lt;1.5,"1.3～1.4",IF(AO1149&lt;2,"1.5～1.9","2.0以上"))))))</f>
        <v/>
      </c>
      <c r="AQ1149" s="8" t="str">
        <f aca="false">IF(A1149="","",IF(ISNUMBER(SEARCH("2歳",Z1149)),"2歳戦",IF(ISNUMBER(SEARCH("3歳未勝利",Z1149)),"3歳未勝利",IF(ISNUMBER(SEARCH("未勝利",Z1149)),"その他未勝利",IF(ISNUMBER(SEARCH("G1",Z1149)),"G1",IF(ISNUMBER(SEARCH("G2",Z1149)),"G2",IF(ISNUMBER(SEARCH("G3",Z1149)),"G3",IF(ISNUMBER(SEARCH("古馬条件",Z1149)),"古馬条件戦",IF(ISNUMBER(SEARCH("重賞",Z1149)),"重賞","分類不能")))))))))</f>
        <v/>
      </c>
    </row>
    <row r="1150" customFormat="false" ht="15.75" hidden="false" customHeight="false" outlineLevel="0" collapsed="false">
      <c r="AO1150" s="8" t="str">
        <f aca="false">IF(A1150="","",IF(COUNTIFS(全馬データ!$A$2:$A$50000,A1150,全馬データ!$B$2:$B$50000,B1150,全馬データ!$C$2:$C$50000,C1150,全馬データ!$D$2:$D$50000,E1150,全馬データ!$K$2:$K$50000,"&lt;&gt;")=0,"",SUMIFS(全馬データ!$K$2:$K$50000,全馬データ!$A$2:$A$50000,A1150,全馬データ!$B$2:$B$50000,B1150,全馬データ!$C$2:$C$50000,C1150,全馬データ!$D$2:$D$50000,E1150)))</f>
        <v/>
      </c>
      <c r="AP1150" s="8" t="str">
        <f aca="false">IF(A1150="","",IF(AO1150="","欠損",IF(AO1150&lt;=1.1,"1.0～1.1",IF(AO1150&lt;1.3,"1.2",IF(AO1150&lt;1.5,"1.3～1.4",IF(AO1150&lt;2,"1.5～1.9","2.0以上"))))))</f>
        <v/>
      </c>
      <c r="AQ1150" s="8" t="str">
        <f aca="false">IF(A1150="","",IF(ISNUMBER(SEARCH("2歳",Z1150)),"2歳戦",IF(ISNUMBER(SEARCH("3歳未勝利",Z1150)),"3歳未勝利",IF(ISNUMBER(SEARCH("未勝利",Z1150)),"その他未勝利",IF(ISNUMBER(SEARCH("G1",Z1150)),"G1",IF(ISNUMBER(SEARCH("G2",Z1150)),"G2",IF(ISNUMBER(SEARCH("G3",Z1150)),"G3",IF(ISNUMBER(SEARCH("古馬条件",Z1150)),"古馬条件戦",IF(ISNUMBER(SEARCH("重賞",Z1150)),"重賞","分類不能")))))))))</f>
        <v/>
      </c>
    </row>
    <row r="1151" customFormat="false" ht="15.75" hidden="false" customHeight="false" outlineLevel="0" collapsed="false">
      <c r="AO1151" s="8" t="str">
        <f aca="false">IF(A1151="","",IF(COUNTIFS(全馬データ!$A$2:$A$50000,A1151,全馬データ!$B$2:$B$50000,B1151,全馬データ!$C$2:$C$50000,C1151,全馬データ!$D$2:$D$50000,E1151,全馬データ!$K$2:$K$50000,"&lt;&gt;")=0,"",SUMIFS(全馬データ!$K$2:$K$50000,全馬データ!$A$2:$A$50000,A1151,全馬データ!$B$2:$B$50000,B1151,全馬データ!$C$2:$C$50000,C1151,全馬データ!$D$2:$D$50000,E1151)))</f>
        <v/>
      </c>
      <c r="AP1151" s="8" t="str">
        <f aca="false">IF(A1151="","",IF(AO1151="","欠損",IF(AO1151&lt;=1.1,"1.0～1.1",IF(AO1151&lt;1.3,"1.2",IF(AO1151&lt;1.5,"1.3～1.4",IF(AO1151&lt;2,"1.5～1.9","2.0以上"))))))</f>
        <v/>
      </c>
      <c r="AQ1151" s="8" t="str">
        <f aca="false">IF(A1151="","",IF(ISNUMBER(SEARCH("2歳",Z1151)),"2歳戦",IF(ISNUMBER(SEARCH("3歳未勝利",Z1151)),"3歳未勝利",IF(ISNUMBER(SEARCH("未勝利",Z1151)),"その他未勝利",IF(ISNUMBER(SEARCH("G1",Z1151)),"G1",IF(ISNUMBER(SEARCH("G2",Z1151)),"G2",IF(ISNUMBER(SEARCH("G3",Z1151)),"G3",IF(ISNUMBER(SEARCH("古馬条件",Z1151)),"古馬条件戦",IF(ISNUMBER(SEARCH("重賞",Z1151)),"重賞","分類不能")))))))))</f>
        <v/>
      </c>
    </row>
    <row r="1152" customFormat="false" ht="15.75" hidden="false" customHeight="false" outlineLevel="0" collapsed="false">
      <c r="AO1152" s="8" t="str">
        <f aca="false">IF(A1152="","",IF(COUNTIFS(全馬データ!$A$2:$A$50000,A1152,全馬データ!$B$2:$B$50000,B1152,全馬データ!$C$2:$C$50000,C1152,全馬データ!$D$2:$D$50000,E1152,全馬データ!$K$2:$K$50000,"&lt;&gt;")=0,"",SUMIFS(全馬データ!$K$2:$K$50000,全馬データ!$A$2:$A$50000,A1152,全馬データ!$B$2:$B$50000,B1152,全馬データ!$C$2:$C$50000,C1152,全馬データ!$D$2:$D$50000,E1152)))</f>
        <v/>
      </c>
      <c r="AP1152" s="8" t="str">
        <f aca="false">IF(A1152="","",IF(AO1152="","欠損",IF(AO1152&lt;=1.1,"1.0～1.1",IF(AO1152&lt;1.3,"1.2",IF(AO1152&lt;1.5,"1.3～1.4",IF(AO1152&lt;2,"1.5～1.9","2.0以上"))))))</f>
        <v/>
      </c>
      <c r="AQ1152" s="8" t="str">
        <f aca="false">IF(A1152="","",IF(ISNUMBER(SEARCH("2歳",Z1152)),"2歳戦",IF(ISNUMBER(SEARCH("3歳未勝利",Z1152)),"3歳未勝利",IF(ISNUMBER(SEARCH("未勝利",Z1152)),"その他未勝利",IF(ISNUMBER(SEARCH("G1",Z1152)),"G1",IF(ISNUMBER(SEARCH("G2",Z1152)),"G2",IF(ISNUMBER(SEARCH("G3",Z1152)),"G3",IF(ISNUMBER(SEARCH("古馬条件",Z1152)),"古馬条件戦",IF(ISNUMBER(SEARCH("重賞",Z1152)),"重賞","分類不能")))))))))</f>
        <v/>
      </c>
    </row>
    <row r="1153" customFormat="false" ht="15.75" hidden="false" customHeight="false" outlineLevel="0" collapsed="false">
      <c r="AO1153" s="8" t="str">
        <f aca="false">IF(A1153="","",IF(COUNTIFS(全馬データ!$A$2:$A$50000,A1153,全馬データ!$B$2:$B$50000,B1153,全馬データ!$C$2:$C$50000,C1153,全馬データ!$D$2:$D$50000,E1153,全馬データ!$K$2:$K$50000,"&lt;&gt;")=0,"",SUMIFS(全馬データ!$K$2:$K$50000,全馬データ!$A$2:$A$50000,A1153,全馬データ!$B$2:$B$50000,B1153,全馬データ!$C$2:$C$50000,C1153,全馬データ!$D$2:$D$50000,E1153)))</f>
        <v/>
      </c>
      <c r="AP1153" s="8" t="str">
        <f aca="false">IF(A1153="","",IF(AO1153="","欠損",IF(AO1153&lt;=1.1,"1.0～1.1",IF(AO1153&lt;1.3,"1.2",IF(AO1153&lt;1.5,"1.3～1.4",IF(AO1153&lt;2,"1.5～1.9","2.0以上"))))))</f>
        <v/>
      </c>
      <c r="AQ1153" s="8" t="str">
        <f aca="false">IF(A1153="","",IF(ISNUMBER(SEARCH("2歳",Z1153)),"2歳戦",IF(ISNUMBER(SEARCH("3歳未勝利",Z1153)),"3歳未勝利",IF(ISNUMBER(SEARCH("未勝利",Z1153)),"その他未勝利",IF(ISNUMBER(SEARCH("G1",Z1153)),"G1",IF(ISNUMBER(SEARCH("G2",Z1153)),"G2",IF(ISNUMBER(SEARCH("G3",Z1153)),"G3",IF(ISNUMBER(SEARCH("古馬条件",Z1153)),"古馬条件戦",IF(ISNUMBER(SEARCH("重賞",Z1153)),"重賞","分類不能")))))))))</f>
        <v/>
      </c>
    </row>
    <row r="1154" customFormat="false" ht="15.75" hidden="false" customHeight="false" outlineLevel="0" collapsed="false">
      <c r="AO1154" s="8" t="str">
        <f aca="false">IF(A1154="","",IF(COUNTIFS(全馬データ!$A$2:$A$50000,A1154,全馬データ!$B$2:$B$50000,B1154,全馬データ!$C$2:$C$50000,C1154,全馬データ!$D$2:$D$50000,E1154,全馬データ!$K$2:$K$50000,"&lt;&gt;")=0,"",SUMIFS(全馬データ!$K$2:$K$50000,全馬データ!$A$2:$A$50000,A1154,全馬データ!$B$2:$B$50000,B1154,全馬データ!$C$2:$C$50000,C1154,全馬データ!$D$2:$D$50000,E1154)))</f>
        <v/>
      </c>
      <c r="AP1154" s="8" t="str">
        <f aca="false">IF(A1154="","",IF(AO1154="","欠損",IF(AO1154&lt;=1.1,"1.0～1.1",IF(AO1154&lt;1.3,"1.2",IF(AO1154&lt;1.5,"1.3～1.4",IF(AO1154&lt;2,"1.5～1.9","2.0以上"))))))</f>
        <v/>
      </c>
      <c r="AQ1154" s="8" t="str">
        <f aca="false">IF(A1154="","",IF(ISNUMBER(SEARCH("2歳",Z1154)),"2歳戦",IF(ISNUMBER(SEARCH("3歳未勝利",Z1154)),"3歳未勝利",IF(ISNUMBER(SEARCH("未勝利",Z1154)),"その他未勝利",IF(ISNUMBER(SEARCH("G1",Z1154)),"G1",IF(ISNUMBER(SEARCH("G2",Z1154)),"G2",IF(ISNUMBER(SEARCH("G3",Z1154)),"G3",IF(ISNUMBER(SEARCH("古馬条件",Z1154)),"古馬条件戦",IF(ISNUMBER(SEARCH("重賞",Z1154)),"重賞","分類不能")))))))))</f>
        <v/>
      </c>
    </row>
    <row r="1155" customFormat="false" ht="15.75" hidden="false" customHeight="false" outlineLevel="0" collapsed="false">
      <c r="AO1155" s="8" t="str">
        <f aca="false">IF(A1155="","",IF(COUNTIFS(全馬データ!$A$2:$A$50000,A1155,全馬データ!$B$2:$B$50000,B1155,全馬データ!$C$2:$C$50000,C1155,全馬データ!$D$2:$D$50000,E1155,全馬データ!$K$2:$K$50000,"&lt;&gt;")=0,"",SUMIFS(全馬データ!$K$2:$K$50000,全馬データ!$A$2:$A$50000,A1155,全馬データ!$B$2:$B$50000,B1155,全馬データ!$C$2:$C$50000,C1155,全馬データ!$D$2:$D$50000,E1155)))</f>
        <v/>
      </c>
      <c r="AP1155" s="8" t="str">
        <f aca="false">IF(A1155="","",IF(AO1155="","欠損",IF(AO1155&lt;=1.1,"1.0～1.1",IF(AO1155&lt;1.3,"1.2",IF(AO1155&lt;1.5,"1.3～1.4",IF(AO1155&lt;2,"1.5～1.9","2.0以上"))))))</f>
        <v/>
      </c>
      <c r="AQ1155" s="8" t="str">
        <f aca="false">IF(A1155="","",IF(ISNUMBER(SEARCH("2歳",Z1155)),"2歳戦",IF(ISNUMBER(SEARCH("3歳未勝利",Z1155)),"3歳未勝利",IF(ISNUMBER(SEARCH("未勝利",Z1155)),"その他未勝利",IF(ISNUMBER(SEARCH("G1",Z1155)),"G1",IF(ISNUMBER(SEARCH("G2",Z1155)),"G2",IF(ISNUMBER(SEARCH("G3",Z1155)),"G3",IF(ISNUMBER(SEARCH("古馬条件",Z1155)),"古馬条件戦",IF(ISNUMBER(SEARCH("重賞",Z1155)),"重賞","分類不能")))))))))</f>
        <v/>
      </c>
    </row>
    <row r="1156" customFormat="false" ht="15.75" hidden="false" customHeight="false" outlineLevel="0" collapsed="false">
      <c r="AO1156" s="8" t="str">
        <f aca="false">IF(A1156="","",IF(COUNTIFS(全馬データ!$A$2:$A$50000,A1156,全馬データ!$B$2:$B$50000,B1156,全馬データ!$C$2:$C$50000,C1156,全馬データ!$D$2:$D$50000,E1156,全馬データ!$K$2:$K$50000,"&lt;&gt;")=0,"",SUMIFS(全馬データ!$K$2:$K$50000,全馬データ!$A$2:$A$50000,A1156,全馬データ!$B$2:$B$50000,B1156,全馬データ!$C$2:$C$50000,C1156,全馬データ!$D$2:$D$50000,E1156)))</f>
        <v/>
      </c>
      <c r="AP1156" s="8" t="str">
        <f aca="false">IF(A1156="","",IF(AO1156="","欠損",IF(AO1156&lt;=1.1,"1.0～1.1",IF(AO1156&lt;1.3,"1.2",IF(AO1156&lt;1.5,"1.3～1.4",IF(AO1156&lt;2,"1.5～1.9","2.0以上"))))))</f>
        <v/>
      </c>
      <c r="AQ1156" s="8" t="str">
        <f aca="false">IF(A1156="","",IF(ISNUMBER(SEARCH("2歳",Z1156)),"2歳戦",IF(ISNUMBER(SEARCH("3歳未勝利",Z1156)),"3歳未勝利",IF(ISNUMBER(SEARCH("未勝利",Z1156)),"その他未勝利",IF(ISNUMBER(SEARCH("G1",Z1156)),"G1",IF(ISNUMBER(SEARCH("G2",Z1156)),"G2",IF(ISNUMBER(SEARCH("G3",Z1156)),"G3",IF(ISNUMBER(SEARCH("古馬条件",Z1156)),"古馬条件戦",IF(ISNUMBER(SEARCH("重賞",Z1156)),"重賞","分類不能")))))))))</f>
        <v/>
      </c>
    </row>
    <row r="1157" customFormat="false" ht="15.75" hidden="false" customHeight="false" outlineLevel="0" collapsed="false">
      <c r="AO1157" s="8" t="str">
        <f aca="false">IF(A1157="","",IF(COUNTIFS(全馬データ!$A$2:$A$50000,A1157,全馬データ!$B$2:$B$50000,B1157,全馬データ!$C$2:$C$50000,C1157,全馬データ!$D$2:$D$50000,E1157,全馬データ!$K$2:$K$50000,"&lt;&gt;")=0,"",SUMIFS(全馬データ!$K$2:$K$50000,全馬データ!$A$2:$A$50000,A1157,全馬データ!$B$2:$B$50000,B1157,全馬データ!$C$2:$C$50000,C1157,全馬データ!$D$2:$D$50000,E1157)))</f>
        <v/>
      </c>
      <c r="AP1157" s="8" t="str">
        <f aca="false">IF(A1157="","",IF(AO1157="","欠損",IF(AO1157&lt;=1.1,"1.0～1.1",IF(AO1157&lt;1.3,"1.2",IF(AO1157&lt;1.5,"1.3～1.4",IF(AO1157&lt;2,"1.5～1.9","2.0以上"))))))</f>
        <v/>
      </c>
      <c r="AQ1157" s="8" t="str">
        <f aca="false">IF(A1157="","",IF(ISNUMBER(SEARCH("2歳",Z1157)),"2歳戦",IF(ISNUMBER(SEARCH("3歳未勝利",Z1157)),"3歳未勝利",IF(ISNUMBER(SEARCH("未勝利",Z1157)),"その他未勝利",IF(ISNUMBER(SEARCH("G1",Z1157)),"G1",IF(ISNUMBER(SEARCH("G2",Z1157)),"G2",IF(ISNUMBER(SEARCH("G3",Z1157)),"G3",IF(ISNUMBER(SEARCH("古馬条件",Z1157)),"古馬条件戦",IF(ISNUMBER(SEARCH("重賞",Z1157)),"重賞","分類不能")))))))))</f>
        <v/>
      </c>
    </row>
    <row r="1158" customFormat="false" ht="15.75" hidden="false" customHeight="false" outlineLevel="0" collapsed="false">
      <c r="AO1158" s="8" t="str">
        <f aca="false">IF(A1158="","",IF(COUNTIFS(全馬データ!$A$2:$A$50000,A1158,全馬データ!$B$2:$B$50000,B1158,全馬データ!$C$2:$C$50000,C1158,全馬データ!$D$2:$D$50000,E1158,全馬データ!$K$2:$K$50000,"&lt;&gt;")=0,"",SUMIFS(全馬データ!$K$2:$K$50000,全馬データ!$A$2:$A$50000,A1158,全馬データ!$B$2:$B$50000,B1158,全馬データ!$C$2:$C$50000,C1158,全馬データ!$D$2:$D$50000,E1158)))</f>
        <v/>
      </c>
      <c r="AP1158" s="8" t="str">
        <f aca="false">IF(A1158="","",IF(AO1158="","欠損",IF(AO1158&lt;=1.1,"1.0～1.1",IF(AO1158&lt;1.3,"1.2",IF(AO1158&lt;1.5,"1.3～1.4",IF(AO1158&lt;2,"1.5～1.9","2.0以上"))))))</f>
        <v/>
      </c>
      <c r="AQ1158" s="8" t="str">
        <f aca="false">IF(A1158="","",IF(ISNUMBER(SEARCH("2歳",Z1158)),"2歳戦",IF(ISNUMBER(SEARCH("3歳未勝利",Z1158)),"3歳未勝利",IF(ISNUMBER(SEARCH("未勝利",Z1158)),"その他未勝利",IF(ISNUMBER(SEARCH("G1",Z1158)),"G1",IF(ISNUMBER(SEARCH("G2",Z1158)),"G2",IF(ISNUMBER(SEARCH("G3",Z1158)),"G3",IF(ISNUMBER(SEARCH("古馬条件",Z1158)),"古馬条件戦",IF(ISNUMBER(SEARCH("重賞",Z1158)),"重賞","分類不能")))))))))</f>
        <v/>
      </c>
    </row>
    <row r="1159" customFormat="false" ht="15.75" hidden="false" customHeight="false" outlineLevel="0" collapsed="false">
      <c r="AO1159" s="8" t="str">
        <f aca="false">IF(A1159="","",IF(COUNTIFS(全馬データ!$A$2:$A$50000,A1159,全馬データ!$B$2:$B$50000,B1159,全馬データ!$C$2:$C$50000,C1159,全馬データ!$D$2:$D$50000,E1159,全馬データ!$K$2:$K$50000,"&lt;&gt;")=0,"",SUMIFS(全馬データ!$K$2:$K$50000,全馬データ!$A$2:$A$50000,A1159,全馬データ!$B$2:$B$50000,B1159,全馬データ!$C$2:$C$50000,C1159,全馬データ!$D$2:$D$50000,E1159)))</f>
        <v/>
      </c>
      <c r="AP1159" s="8" t="str">
        <f aca="false">IF(A1159="","",IF(AO1159="","欠損",IF(AO1159&lt;=1.1,"1.0～1.1",IF(AO1159&lt;1.3,"1.2",IF(AO1159&lt;1.5,"1.3～1.4",IF(AO1159&lt;2,"1.5～1.9","2.0以上"))))))</f>
        <v/>
      </c>
      <c r="AQ1159" s="8" t="str">
        <f aca="false">IF(A1159="","",IF(ISNUMBER(SEARCH("2歳",Z1159)),"2歳戦",IF(ISNUMBER(SEARCH("3歳未勝利",Z1159)),"3歳未勝利",IF(ISNUMBER(SEARCH("未勝利",Z1159)),"その他未勝利",IF(ISNUMBER(SEARCH("G1",Z1159)),"G1",IF(ISNUMBER(SEARCH("G2",Z1159)),"G2",IF(ISNUMBER(SEARCH("G3",Z1159)),"G3",IF(ISNUMBER(SEARCH("古馬条件",Z1159)),"古馬条件戦",IF(ISNUMBER(SEARCH("重賞",Z1159)),"重賞","分類不能")))))))))</f>
        <v/>
      </c>
    </row>
    <row r="1160" customFormat="false" ht="15.75" hidden="false" customHeight="false" outlineLevel="0" collapsed="false">
      <c r="AO1160" s="8" t="str">
        <f aca="false">IF(A1160="","",IF(COUNTIFS(全馬データ!$A$2:$A$50000,A1160,全馬データ!$B$2:$B$50000,B1160,全馬データ!$C$2:$C$50000,C1160,全馬データ!$D$2:$D$50000,E1160,全馬データ!$K$2:$K$50000,"&lt;&gt;")=0,"",SUMIFS(全馬データ!$K$2:$K$50000,全馬データ!$A$2:$A$50000,A1160,全馬データ!$B$2:$B$50000,B1160,全馬データ!$C$2:$C$50000,C1160,全馬データ!$D$2:$D$50000,E1160)))</f>
        <v/>
      </c>
      <c r="AP1160" s="8" t="str">
        <f aca="false">IF(A1160="","",IF(AO1160="","欠損",IF(AO1160&lt;=1.1,"1.0～1.1",IF(AO1160&lt;1.3,"1.2",IF(AO1160&lt;1.5,"1.3～1.4",IF(AO1160&lt;2,"1.5～1.9","2.0以上"))))))</f>
        <v/>
      </c>
      <c r="AQ1160" s="8" t="str">
        <f aca="false">IF(A1160="","",IF(ISNUMBER(SEARCH("2歳",Z1160)),"2歳戦",IF(ISNUMBER(SEARCH("3歳未勝利",Z1160)),"3歳未勝利",IF(ISNUMBER(SEARCH("未勝利",Z1160)),"その他未勝利",IF(ISNUMBER(SEARCH("G1",Z1160)),"G1",IF(ISNUMBER(SEARCH("G2",Z1160)),"G2",IF(ISNUMBER(SEARCH("G3",Z1160)),"G3",IF(ISNUMBER(SEARCH("古馬条件",Z1160)),"古馬条件戦",IF(ISNUMBER(SEARCH("重賞",Z1160)),"重賞","分類不能")))))))))</f>
        <v/>
      </c>
    </row>
    <row r="1161" customFormat="false" ht="15.75" hidden="false" customHeight="false" outlineLevel="0" collapsed="false">
      <c r="AO1161" s="8" t="str">
        <f aca="false">IF(A1161="","",IF(COUNTIFS(全馬データ!$A$2:$A$50000,A1161,全馬データ!$B$2:$B$50000,B1161,全馬データ!$C$2:$C$50000,C1161,全馬データ!$D$2:$D$50000,E1161,全馬データ!$K$2:$K$50000,"&lt;&gt;")=0,"",SUMIFS(全馬データ!$K$2:$K$50000,全馬データ!$A$2:$A$50000,A1161,全馬データ!$B$2:$B$50000,B1161,全馬データ!$C$2:$C$50000,C1161,全馬データ!$D$2:$D$50000,E1161)))</f>
        <v/>
      </c>
      <c r="AP1161" s="8" t="str">
        <f aca="false">IF(A1161="","",IF(AO1161="","欠損",IF(AO1161&lt;=1.1,"1.0～1.1",IF(AO1161&lt;1.3,"1.2",IF(AO1161&lt;1.5,"1.3～1.4",IF(AO1161&lt;2,"1.5～1.9","2.0以上"))))))</f>
        <v/>
      </c>
      <c r="AQ1161" s="8" t="str">
        <f aca="false">IF(A1161="","",IF(ISNUMBER(SEARCH("2歳",Z1161)),"2歳戦",IF(ISNUMBER(SEARCH("3歳未勝利",Z1161)),"3歳未勝利",IF(ISNUMBER(SEARCH("未勝利",Z1161)),"その他未勝利",IF(ISNUMBER(SEARCH("G1",Z1161)),"G1",IF(ISNUMBER(SEARCH("G2",Z1161)),"G2",IF(ISNUMBER(SEARCH("G3",Z1161)),"G3",IF(ISNUMBER(SEARCH("古馬条件",Z1161)),"古馬条件戦",IF(ISNUMBER(SEARCH("重賞",Z1161)),"重賞","分類不能")))))))))</f>
        <v/>
      </c>
    </row>
    <row r="1162" customFormat="false" ht="15.75" hidden="false" customHeight="false" outlineLevel="0" collapsed="false">
      <c r="AO1162" s="8" t="str">
        <f aca="false">IF(A1162="","",IF(COUNTIFS(全馬データ!$A$2:$A$50000,A1162,全馬データ!$B$2:$B$50000,B1162,全馬データ!$C$2:$C$50000,C1162,全馬データ!$D$2:$D$50000,E1162,全馬データ!$K$2:$K$50000,"&lt;&gt;")=0,"",SUMIFS(全馬データ!$K$2:$K$50000,全馬データ!$A$2:$A$50000,A1162,全馬データ!$B$2:$B$50000,B1162,全馬データ!$C$2:$C$50000,C1162,全馬データ!$D$2:$D$50000,E1162)))</f>
        <v/>
      </c>
      <c r="AP1162" s="8" t="str">
        <f aca="false">IF(A1162="","",IF(AO1162="","欠損",IF(AO1162&lt;=1.1,"1.0～1.1",IF(AO1162&lt;1.3,"1.2",IF(AO1162&lt;1.5,"1.3～1.4",IF(AO1162&lt;2,"1.5～1.9","2.0以上"))))))</f>
        <v/>
      </c>
      <c r="AQ1162" s="8" t="str">
        <f aca="false">IF(A1162="","",IF(ISNUMBER(SEARCH("2歳",Z1162)),"2歳戦",IF(ISNUMBER(SEARCH("3歳未勝利",Z1162)),"3歳未勝利",IF(ISNUMBER(SEARCH("未勝利",Z1162)),"その他未勝利",IF(ISNUMBER(SEARCH("G1",Z1162)),"G1",IF(ISNUMBER(SEARCH("G2",Z1162)),"G2",IF(ISNUMBER(SEARCH("G3",Z1162)),"G3",IF(ISNUMBER(SEARCH("古馬条件",Z1162)),"古馬条件戦",IF(ISNUMBER(SEARCH("重賞",Z1162)),"重賞","分類不能")))))))))</f>
        <v/>
      </c>
    </row>
    <row r="1163" customFormat="false" ht="15.75" hidden="false" customHeight="false" outlineLevel="0" collapsed="false">
      <c r="AO1163" s="8" t="str">
        <f aca="false">IF(A1163="","",IF(COUNTIFS(全馬データ!$A$2:$A$50000,A1163,全馬データ!$B$2:$B$50000,B1163,全馬データ!$C$2:$C$50000,C1163,全馬データ!$D$2:$D$50000,E1163,全馬データ!$K$2:$K$50000,"&lt;&gt;")=0,"",SUMIFS(全馬データ!$K$2:$K$50000,全馬データ!$A$2:$A$50000,A1163,全馬データ!$B$2:$B$50000,B1163,全馬データ!$C$2:$C$50000,C1163,全馬データ!$D$2:$D$50000,E1163)))</f>
        <v/>
      </c>
      <c r="AP1163" s="8" t="str">
        <f aca="false">IF(A1163="","",IF(AO1163="","欠損",IF(AO1163&lt;=1.1,"1.0～1.1",IF(AO1163&lt;1.3,"1.2",IF(AO1163&lt;1.5,"1.3～1.4",IF(AO1163&lt;2,"1.5～1.9","2.0以上"))))))</f>
        <v/>
      </c>
      <c r="AQ1163" s="8" t="str">
        <f aca="false">IF(A1163="","",IF(ISNUMBER(SEARCH("2歳",Z1163)),"2歳戦",IF(ISNUMBER(SEARCH("3歳未勝利",Z1163)),"3歳未勝利",IF(ISNUMBER(SEARCH("未勝利",Z1163)),"その他未勝利",IF(ISNUMBER(SEARCH("G1",Z1163)),"G1",IF(ISNUMBER(SEARCH("G2",Z1163)),"G2",IF(ISNUMBER(SEARCH("G3",Z1163)),"G3",IF(ISNUMBER(SEARCH("古馬条件",Z1163)),"古馬条件戦",IF(ISNUMBER(SEARCH("重賞",Z1163)),"重賞","分類不能")))))))))</f>
        <v/>
      </c>
    </row>
    <row r="1164" customFormat="false" ht="15.75" hidden="false" customHeight="false" outlineLevel="0" collapsed="false">
      <c r="AO1164" s="8" t="str">
        <f aca="false">IF(A1164="","",IF(COUNTIFS(全馬データ!$A$2:$A$50000,A1164,全馬データ!$B$2:$B$50000,B1164,全馬データ!$C$2:$C$50000,C1164,全馬データ!$D$2:$D$50000,E1164,全馬データ!$K$2:$K$50000,"&lt;&gt;")=0,"",SUMIFS(全馬データ!$K$2:$K$50000,全馬データ!$A$2:$A$50000,A1164,全馬データ!$B$2:$B$50000,B1164,全馬データ!$C$2:$C$50000,C1164,全馬データ!$D$2:$D$50000,E1164)))</f>
        <v/>
      </c>
      <c r="AP1164" s="8" t="str">
        <f aca="false">IF(A1164="","",IF(AO1164="","欠損",IF(AO1164&lt;=1.1,"1.0～1.1",IF(AO1164&lt;1.3,"1.2",IF(AO1164&lt;1.5,"1.3～1.4",IF(AO1164&lt;2,"1.5～1.9","2.0以上"))))))</f>
        <v/>
      </c>
      <c r="AQ1164" s="8" t="str">
        <f aca="false">IF(A1164="","",IF(ISNUMBER(SEARCH("2歳",Z1164)),"2歳戦",IF(ISNUMBER(SEARCH("3歳未勝利",Z1164)),"3歳未勝利",IF(ISNUMBER(SEARCH("未勝利",Z1164)),"その他未勝利",IF(ISNUMBER(SEARCH("G1",Z1164)),"G1",IF(ISNUMBER(SEARCH("G2",Z1164)),"G2",IF(ISNUMBER(SEARCH("G3",Z1164)),"G3",IF(ISNUMBER(SEARCH("古馬条件",Z1164)),"古馬条件戦",IF(ISNUMBER(SEARCH("重賞",Z1164)),"重賞","分類不能")))))))))</f>
        <v/>
      </c>
    </row>
    <row r="1165" customFormat="false" ht="15.75" hidden="false" customHeight="false" outlineLevel="0" collapsed="false">
      <c r="AO1165" s="8" t="str">
        <f aca="false">IF(A1165="","",IF(COUNTIFS(全馬データ!$A$2:$A$50000,A1165,全馬データ!$B$2:$B$50000,B1165,全馬データ!$C$2:$C$50000,C1165,全馬データ!$D$2:$D$50000,E1165,全馬データ!$K$2:$K$50000,"&lt;&gt;")=0,"",SUMIFS(全馬データ!$K$2:$K$50000,全馬データ!$A$2:$A$50000,A1165,全馬データ!$B$2:$B$50000,B1165,全馬データ!$C$2:$C$50000,C1165,全馬データ!$D$2:$D$50000,E1165)))</f>
        <v/>
      </c>
      <c r="AP1165" s="8" t="str">
        <f aca="false">IF(A1165="","",IF(AO1165="","欠損",IF(AO1165&lt;=1.1,"1.0～1.1",IF(AO1165&lt;1.3,"1.2",IF(AO1165&lt;1.5,"1.3～1.4",IF(AO1165&lt;2,"1.5～1.9","2.0以上"))))))</f>
        <v/>
      </c>
      <c r="AQ1165" s="8" t="str">
        <f aca="false">IF(A1165="","",IF(ISNUMBER(SEARCH("2歳",Z1165)),"2歳戦",IF(ISNUMBER(SEARCH("3歳未勝利",Z1165)),"3歳未勝利",IF(ISNUMBER(SEARCH("未勝利",Z1165)),"その他未勝利",IF(ISNUMBER(SEARCH("G1",Z1165)),"G1",IF(ISNUMBER(SEARCH("G2",Z1165)),"G2",IF(ISNUMBER(SEARCH("G3",Z1165)),"G3",IF(ISNUMBER(SEARCH("古馬条件",Z1165)),"古馬条件戦",IF(ISNUMBER(SEARCH("重賞",Z1165)),"重賞","分類不能")))))))))</f>
        <v/>
      </c>
    </row>
    <row r="1166" customFormat="false" ht="15.75" hidden="false" customHeight="false" outlineLevel="0" collapsed="false">
      <c r="AO1166" s="8" t="str">
        <f aca="false">IF(A1166="","",IF(COUNTIFS(全馬データ!$A$2:$A$50000,A1166,全馬データ!$B$2:$B$50000,B1166,全馬データ!$C$2:$C$50000,C1166,全馬データ!$D$2:$D$50000,E1166,全馬データ!$K$2:$K$50000,"&lt;&gt;")=0,"",SUMIFS(全馬データ!$K$2:$K$50000,全馬データ!$A$2:$A$50000,A1166,全馬データ!$B$2:$B$50000,B1166,全馬データ!$C$2:$C$50000,C1166,全馬データ!$D$2:$D$50000,E1166)))</f>
        <v/>
      </c>
      <c r="AP1166" s="8" t="str">
        <f aca="false">IF(A1166="","",IF(AO1166="","欠損",IF(AO1166&lt;=1.1,"1.0～1.1",IF(AO1166&lt;1.3,"1.2",IF(AO1166&lt;1.5,"1.3～1.4",IF(AO1166&lt;2,"1.5～1.9","2.0以上"))))))</f>
        <v/>
      </c>
      <c r="AQ1166" s="8" t="str">
        <f aca="false">IF(A1166="","",IF(ISNUMBER(SEARCH("2歳",Z1166)),"2歳戦",IF(ISNUMBER(SEARCH("3歳未勝利",Z1166)),"3歳未勝利",IF(ISNUMBER(SEARCH("未勝利",Z1166)),"その他未勝利",IF(ISNUMBER(SEARCH("G1",Z1166)),"G1",IF(ISNUMBER(SEARCH("G2",Z1166)),"G2",IF(ISNUMBER(SEARCH("G3",Z1166)),"G3",IF(ISNUMBER(SEARCH("古馬条件",Z1166)),"古馬条件戦",IF(ISNUMBER(SEARCH("重賞",Z1166)),"重賞","分類不能")))))))))</f>
        <v/>
      </c>
    </row>
    <row r="1167" customFormat="false" ht="15.75" hidden="false" customHeight="false" outlineLevel="0" collapsed="false">
      <c r="AO1167" s="8" t="str">
        <f aca="false">IF(A1167="","",IF(COUNTIFS(全馬データ!$A$2:$A$50000,A1167,全馬データ!$B$2:$B$50000,B1167,全馬データ!$C$2:$C$50000,C1167,全馬データ!$D$2:$D$50000,E1167,全馬データ!$K$2:$K$50000,"&lt;&gt;")=0,"",SUMIFS(全馬データ!$K$2:$K$50000,全馬データ!$A$2:$A$50000,A1167,全馬データ!$B$2:$B$50000,B1167,全馬データ!$C$2:$C$50000,C1167,全馬データ!$D$2:$D$50000,E1167)))</f>
        <v/>
      </c>
      <c r="AP1167" s="8" t="str">
        <f aca="false">IF(A1167="","",IF(AO1167="","欠損",IF(AO1167&lt;=1.1,"1.0～1.1",IF(AO1167&lt;1.3,"1.2",IF(AO1167&lt;1.5,"1.3～1.4",IF(AO1167&lt;2,"1.5～1.9","2.0以上"))))))</f>
        <v/>
      </c>
      <c r="AQ1167" s="8" t="str">
        <f aca="false">IF(A1167="","",IF(ISNUMBER(SEARCH("2歳",Z1167)),"2歳戦",IF(ISNUMBER(SEARCH("3歳未勝利",Z1167)),"3歳未勝利",IF(ISNUMBER(SEARCH("未勝利",Z1167)),"その他未勝利",IF(ISNUMBER(SEARCH("G1",Z1167)),"G1",IF(ISNUMBER(SEARCH("G2",Z1167)),"G2",IF(ISNUMBER(SEARCH("G3",Z1167)),"G3",IF(ISNUMBER(SEARCH("古馬条件",Z1167)),"古馬条件戦",IF(ISNUMBER(SEARCH("重賞",Z1167)),"重賞","分類不能")))))))))</f>
        <v/>
      </c>
    </row>
    <row r="1168" customFormat="false" ht="15.75" hidden="false" customHeight="false" outlineLevel="0" collapsed="false">
      <c r="AO1168" s="8" t="str">
        <f aca="false">IF(A1168="","",IF(COUNTIFS(全馬データ!$A$2:$A$50000,A1168,全馬データ!$B$2:$B$50000,B1168,全馬データ!$C$2:$C$50000,C1168,全馬データ!$D$2:$D$50000,E1168,全馬データ!$K$2:$K$50000,"&lt;&gt;")=0,"",SUMIFS(全馬データ!$K$2:$K$50000,全馬データ!$A$2:$A$50000,A1168,全馬データ!$B$2:$B$50000,B1168,全馬データ!$C$2:$C$50000,C1168,全馬データ!$D$2:$D$50000,E1168)))</f>
        <v/>
      </c>
      <c r="AP1168" s="8" t="str">
        <f aca="false">IF(A1168="","",IF(AO1168="","欠損",IF(AO1168&lt;=1.1,"1.0～1.1",IF(AO1168&lt;1.3,"1.2",IF(AO1168&lt;1.5,"1.3～1.4",IF(AO1168&lt;2,"1.5～1.9","2.0以上"))))))</f>
        <v/>
      </c>
      <c r="AQ1168" s="8" t="str">
        <f aca="false">IF(A1168="","",IF(ISNUMBER(SEARCH("2歳",Z1168)),"2歳戦",IF(ISNUMBER(SEARCH("3歳未勝利",Z1168)),"3歳未勝利",IF(ISNUMBER(SEARCH("未勝利",Z1168)),"その他未勝利",IF(ISNUMBER(SEARCH("G1",Z1168)),"G1",IF(ISNUMBER(SEARCH("G2",Z1168)),"G2",IF(ISNUMBER(SEARCH("G3",Z1168)),"G3",IF(ISNUMBER(SEARCH("古馬条件",Z1168)),"古馬条件戦",IF(ISNUMBER(SEARCH("重賞",Z1168)),"重賞","分類不能")))))))))</f>
        <v/>
      </c>
    </row>
    <row r="1169" customFormat="false" ht="15.75" hidden="false" customHeight="false" outlineLevel="0" collapsed="false">
      <c r="AO1169" s="8" t="str">
        <f aca="false">IF(A1169="","",IF(COUNTIFS(全馬データ!$A$2:$A$50000,A1169,全馬データ!$B$2:$B$50000,B1169,全馬データ!$C$2:$C$50000,C1169,全馬データ!$D$2:$D$50000,E1169,全馬データ!$K$2:$K$50000,"&lt;&gt;")=0,"",SUMIFS(全馬データ!$K$2:$K$50000,全馬データ!$A$2:$A$50000,A1169,全馬データ!$B$2:$B$50000,B1169,全馬データ!$C$2:$C$50000,C1169,全馬データ!$D$2:$D$50000,E1169)))</f>
        <v/>
      </c>
      <c r="AP1169" s="8" t="str">
        <f aca="false">IF(A1169="","",IF(AO1169="","欠損",IF(AO1169&lt;=1.1,"1.0～1.1",IF(AO1169&lt;1.3,"1.2",IF(AO1169&lt;1.5,"1.3～1.4",IF(AO1169&lt;2,"1.5～1.9","2.0以上"))))))</f>
        <v/>
      </c>
      <c r="AQ1169" s="8" t="str">
        <f aca="false">IF(A1169="","",IF(ISNUMBER(SEARCH("2歳",Z1169)),"2歳戦",IF(ISNUMBER(SEARCH("3歳未勝利",Z1169)),"3歳未勝利",IF(ISNUMBER(SEARCH("未勝利",Z1169)),"その他未勝利",IF(ISNUMBER(SEARCH("G1",Z1169)),"G1",IF(ISNUMBER(SEARCH("G2",Z1169)),"G2",IF(ISNUMBER(SEARCH("G3",Z1169)),"G3",IF(ISNUMBER(SEARCH("古馬条件",Z1169)),"古馬条件戦",IF(ISNUMBER(SEARCH("重賞",Z1169)),"重賞","分類不能")))))))))</f>
        <v/>
      </c>
    </row>
    <row r="1170" customFormat="false" ht="15.75" hidden="false" customHeight="false" outlineLevel="0" collapsed="false">
      <c r="AO1170" s="8" t="str">
        <f aca="false">IF(A1170="","",IF(COUNTIFS(全馬データ!$A$2:$A$50000,A1170,全馬データ!$B$2:$B$50000,B1170,全馬データ!$C$2:$C$50000,C1170,全馬データ!$D$2:$D$50000,E1170,全馬データ!$K$2:$K$50000,"&lt;&gt;")=0,"",SUMIFS(全馬データ!$K$2:$K$50000,全馬データ!$A$2:$A$50000,A1170,全馬データ!$B$2:$B$50000,B1170,全馬データ!$C$2:$C$50000,C1170,全馬データ!$D$2:$D$50000,E1170)))</f>
        <v/>
      </c>
      <c r="AP1170" s="8" t="str">
        <f aca="false">IF(A1170="","",IF(AO1170="","欠損",IF(AO1170&lt;=1.1,"1.0～1.1",IF(AO1170&lt;1.3,"1.2",IF(AO1170&lt;1.5,"1.3～1.4",IF(AO1170&lt;2,"1.5～1.9","2.0以上"))))))</f>
        <v/>
      </c>
      <c r="AQ1170" s="8" t="str">
        <f aca="false">IF(A1170="","",IF(ISNUMBER(SEARCH("2歳",Z1170)),"2歳戦",IF(ISNUMBER(SEARCH("3歳未勝利",Z1170)),"3歳未勝利",IF(ISNUMBER(SEARCH("未勝利",Z1170)),"その他未勝利",IF(ISNUMBER(SEARCH("G1",Z1170)),"G1",IF(ISNUMBER(SEARCH("G2",Z1170)),"G2",IF(ISNUMBER(SEARCH("G3",Z1170)),"G3",IF(ISNUMBER(SEARCH("古馬条件",Z1170)),"古馬条件戦",IF(ISNUMBER(SEARCH("重賞",Z1170)),"重賞","分類不能")))))))))</f>
        <v/>
      </c>
    </row>
    <row r="1171" customFormat="false" ht="15.75" hidden="false" customHeight="false" outlineLevel="0" collapsed="false">
      <c r="AO1171" s="8" t="str">
        <f aca="false">IF(A1171="","",IF(COUNTIFS(全馬データ!$A$2:$A$50000,A1171,全馬データ!$B$2:$B$50000,B1171,全馬データ!$C$2:$C$50000,C1171,全馬データ!$D$2:$D$50000,E1171,全馬データ!$K$2:$K$50000,"&lt;&gt;")=0,"",SUMIFS(全馬データ!$K$2:$K$50000,全馬データ!$A$2:$A$50000,A1171,全馬データ!$B$2:$B$50000,B1171,全馬データ!$C$2:$C$50000,C1171,全馬データ!$D$2:$D$50000,E1171)))</f>
        <v/>
      </c>
      <c r="AP1171" s="8" t="str">
        <f aca="false">IF(A1171="","",IF(AO1171="","欠損",IF(AO1171&lt;=1.1,"1.0～1.1",IF(AO1171&lt;1.3,"1.2",IF(AO1171&lt;1.5,"1.3～1.4",IF(AO1171&lt;2,"1.5～1.9","2.0以上"))))))</f>
        <v/>
      </c>
      <c r="AQ1171" s="8" t="str">
        <f aca="false">IF(A1171="","",IF(ISNUMBER(SEARCH("2歳",Z1171)),"2歳戦",IF(ISNUMBER(SEARCH("3歳未勝利",Z1171)),"3歳未勝利",IF(ISNUMBER(SEARCH("未勝利",Z1171)),"その他未勝利",IF(ISNUMBER(SEARCH("G1",Z1171)),"G1",IF(ISNUMBER(SEARCH("G2",Z1171)),"G2",IF(ISNUMBER(SEARCH("G3",Z1171)),"G3",IF(ISNUMBER(SEARCH("古馬条件",Z1171)),"古馬条件戦",IF(ISNUMBER(SEARCH("重賞",Z1171)),"重賞","分類不能")))))))))</f>
        <v/>
      </c>
    </row>
    <row r="1172" customFormat="false" ht="15.75" hidden="false" customHeight="false" outlineLevel="0" collapsed="false">
      <c r="AO1172" s="8" t="str">
        <f aca="false">IF(A1172="","",IF(COUNTIFS(全馬データ!$A$2:$A$50000,A1172,全馬データ!$B$2:$B$50000,B1172,全馬データ!$C$2:$C$50000,C1172,全馬データ!$D$2:$D$50000,E1172,全馬データ!$K$2:$K$50000,"&lt;&gt;")=0,"",SUMIFS(全馬データ!$K$2:$K$50000,全馬データ!$A$2:$A$50000,A1172,全馬データ!$B$2:$B$50000,B1172,全馬データ!$C$2:$C$50000,C1172,全馬データ!$D$2:$D$50000,E1172)))</f>
        <v/>
      </c>
      <c r="AP1172" s="8" t="str">
        <f aca="false">IF(A1172="","",IF(AO1172="","欠損",IF(AO1172&lt;=1.1,"1.0～1.1",IF(AO1172&lt;1.3,"1.2",IF(AO1172&lt;1.5,"1.3～1.4",IF(AO1172&lt;2,"1.5～1.9","2.0以上"))))))</f>
        <v/>
      </c>
      <c r="AQ1172" s="8" t="str">
        <f aca="false">IF(A1172="","",IF(ISNUMBER(SEARCH("2歳",Z1172)),"2歳戦",IF(ISNUMBER(SEARCH("3歳未勝利",Z1172)),"3歳未勝利",IF(ISNUMBER(SEARCH("未勝利",Z1172)),"その他未勝利",IF(ISNUMBER(SEARCH("G1",Z1172)),"G1",IF(ISNUMBER(SEARCH("G2",Z1172)),"G2",IF(ISNUMBER(SEARCH("G3",Z1172)),"G3",IF(ISNUMBER(SEARCH("古馬条件",Z1172)),"古馬条件戦",IF(ISNUMBER(SEARCH("重賞",Z1172)),"重賞","分類不能")))))))))</f>
        <v/>
      </c>
    </row>
    <row r="1173" customFormat="false" ht="15.75" hidden="false" customHeight="false" outlineLevel="0" collapsed="false">
      <c r="AO1173" s="8" t="str">
        <f aca="false">IF(A1173="","",IF(COUNTIFS(全馬データ!$A$2:$A$50000,A1173,全馬データ!$B$2:$B$50000,B1173,全馬データ!$C$2:$C$50000,C1173,全馬データ!$D$2:$D$50000,E1173,全馬データ!$K$2:$K$50000,"&lt;&gt;")=0,"",SUMIFS(全馬データ!$K$2:$K$50000,全馬データ!$A$2:$A$50000,A1173,全馬データ!$B$2:$B$50000,B1173,全馬データ!$C$2:$C$50000,C1173,全馬データ!$D$2:$D$50000,E1173)))</f>
        <v/>
      </c>
      <c r="AP1173" s="8" t="str">
        <f aca="false">IF(A1173="","",IF(AO1173="","欠損",IF(AO1173&lt;=1.1,"1.0～1.1",IF(AO1173&lt;1.3,"1.2",IF(AO1173&lt;1.5,"1.3～1.4",IF(AO1173&lt;2,"1.5～1.9","2.0以上"))))))</f>
        <v/>
      </c>
      <c r="AQ1173" s="8" t="str">
        <f aca="false">IF(A1173="","",IF(ISNUMBER(SEARCH("2歳",Z1173)),"2歳戦",IF(ISNUMBER(SEARCH("3歳未勝利",Z1173)),"3歳未勝利",IF(ISNUMBER(SEARCH("未勝利",Z1173)),"その他未勝利",IF(ISNUMBER(SEARCH("G1",Z1173)),"G1",IF(ISNUMBER(SEARCH("G2",Z1173)),"G2",IF(ISNUMBER(SEARCH("G3",Z1173)),"G3",IF(ISNUMBER(SEARCH("古馬条件",Z1173)),"古馬条件戦",IF(ISNUMBER(SEARCH("重賞",Z1173)),"重賞","分類不能")))))))))</f>
        <v/>
      </c>
    </row>
    <row r="1174" customFormat="false" ht="15.75" hidden="false" customHeight="false" outlineLevel="0" collapsed="false">
      <c r="AO1174" s="8" t="str">
        <f aca="false">IF(A1174="","",IF(COUNTIFS(全馬データ!$A$2:$A$50000,A1174,全馬データ!$B$2:$B$50000,B1174,全馬データ!$C$2:$C$50000,C1174,全馬データ!$D$2:$D$50000,E1174,全馬データ!$K$2:$K$50000,"&lt;&gt;")=0,"",SUMIFS(全馬データ!$K$2:$K$50000,全馬データ!$A$2:$A$50000,A1174,全馬データ!$B$2:$B$50000,B1174,全馬データ!$C$2:$C$50000,C1174,全馬データ!$D$2:$D$50000,E1174)))</f>
        <v/>
      </c>
      <c r="AP1174" s="8" t="str">
        <f aca="false">IF(A1174="","",IF(AO1174="","欠損",IF(AO1174&lt;=1.1,"1.0～1.1",IF(AO1174&lt;1.3,"1.2",IF(AO1174&lt;1.5,"1.3～1.4",IF(AO1174&lt;2,"1.5～1.9","2.0以上"))))))</f>
        <v/>
      </c>
      <c r="AQ1174" s="8" t="str">
        <f aca="false">IF(A1174="","",IF(ISNUMBER(SEARCH("2歳",Z1174)),"2歳戦",IF(ISNUMBER(SEARCH("3歳未勝利",Z1174)),"3歳未勝利",IF(ISNUMBER(SEARCH("未勝利",Z1174)),"その他未勝利",IF(ISNUMBER(SEARCH("G1",Z1174)),"G1",IF(ISNUMBER(SEARCH("G2",Z1174)),"G2",IF(ISNUMBER(SEARCH("G3",Z1174)),"G3",IF(ISNUMBER(SEARCH("古馬条件",Z1174)),"古馬条件戦",IF(ISNUMBER(SEARCH("重賞",Z1174)),"重賞","分類不能")))))))))</f>
        <v/>
      </c>
    </row>
    <row r="1175" customFormat="false" ht="15.75" hidden="false" customHeight="false" outlineLevel="0" collapsed="false">
      <c r="AO1175" s="8" t="str">
        <f aca="false">IF(A1175="","",IF(COUNTIFS(全馬データ!$A$2:$A$50000,A1175,全馬データ!$B$2:$B$50000,B1175,全馬データ!$C$2:$C$50000,C1175,全馬データ!$D$2:$D$50000,E1175,全馬データ!$K$2:$K$50000,"&lt;&gt;")=0,"",SUMIFS(全馬データ!$K$2:$K$50000,全馬データ!$A$2:$A$50000,A1175,全馬データ!$B$2:$B$50000,B1175,全馬データ!$C$2:$C$50000,C1175,全馬データ!$D$2:$D$50000,E1175)))</f>
        <v/>
      </c>
      <c r="AP1175" s="8" t="str">
        <f aca="false">IF(A1175="","",IF(AO1175="","欠損",IF(AO1175&lt;=1.1,"1.0～1.1",IF(AO1175&lt;1.3,"1.2",IF(AO1175&lt;1.5,"1.3～1.4",IF(AO1175&lt;2,"1.5～1.9","2.0以上"))))))</f>
        <v/>
      </c>
      <c r="AQ1175" s="8" t="str">
        <f aca="false">IF(A1175="","",IF(ISNUMBER(SEARCH("2歳",Z1175)),"2歳戦",IF(ISNUMBER(SEARCH("3歳未勝利",Z1175)),"3歳未勝利",IF(ISNUMBER(SEARCH("未勝利",Z1175)),"その他未勝利",IF(ISNUMBER(SEARCH("G1",Z1175)),"G1",IF(ISNUMBER(SEARCH("G2",Z1175)),"G2",IF(ISNUMBER(SEARCH("G3",Z1175)),"G3",IF(ISNUMBER(SEARCH("古馬条件",Z1175)),"古馬条件戦",IF(ISNUMBER(SEARCH("重賞",Z1175)),"重賞","分類不能")))))))))</f>
        <v/>
      </c>
    </row>
    <row r="1176" customFormat="false" ht="15.75" hidden="false" customHeight="false" outlineLevel="0" collapsed="false">
      <c r="AO1176" s="8" t="str">
        <f aca="false">IF(A1176="","",IF(COUNTIFS(全馬データ!$A$2:$A$50000,A1176,全馬データ!$B$2:$B$50000,B1176,全馬データ!$C$2:$C$50000,C1176,全馬データ!$D$2:$D$50000,E1176,全馬データ!$K$2:$K$50000,"&lt;&gt;")=0,"",SUMIFS(全馬データ!$K$2:$K$50000,全馬データ!$A$2:$A$50000,A1176,全馬データ!$B$2:$B$50000,B1176,全馬データ!$C$2:$C$50000,C1176,全馬データ!$D$2:$D$50000,E1176)))</f>
        <v/>
      </c>
      <c r="AP1176" s="8" t="str">
        <f aca="false">IF(A1176="","",IF(AO1176="","欠損",IF(AO1176&lt;=1.1,"1.0～1.1",IF(AO1176&lt;1.3,"1.2",IF(AO1176&lt;1.5,"1.3～1.4",IF(AO1176&lt;2,"1.5～1.9","2.0以上"))))))</f>
        <v/>
      </c>
      <c r="AQ1176" s="8" t="str">
        <f aca="false">IF(A1176="","",IF(ISNUMBER(SEARCH("2歳",Z1176)),"2歳戦",IF(ISNUMBER(SEARCH("3歳未勝利",Z1176)),"3歳未勝利",IF(ISNUMBER(SEARCH("未勝利",Z1176)),"その他未勝利",IF(ISNUMBER(SEARCH("G1",Z1176)),"G1",IF(ISNUMBER(SEARCH("G2",Z1176)),"G2",IF(ISNUMBER(SEARCH("G3",Z1176)),"G3",IF(ISNUMBER(SEARCH("古馬条件",Z1176)),"古馬条件戦",IF(ISNUMBER(SEARCH("重賞",Z1176)),"重賞","分類不能")))))))))</f>
        <v/>
      </c>
    </row>
    <row r="1177" customFormat="false" ht="15.75" hidden="false" customHeight="false" outlineLevel="0" collapsed="false">
      <c r="AO1177" s="8" t="str">
        <f aca="false">IF(A1177="","",IF(COUNTIFS(全馬データ!$A$2:$A$50000,A1177,全馬データ!$B$2:$B$50000,B1177,全馬データ!$C$2:$C$50000,C1177,全馬データ!$D$2:$D$50000,E1177,全馬データ!$K$2:$K$50000,"&lt;&gt;")=0,"",SUMIFS(全馬データ!$K$2:$K$50000,全馬データ!$A$2:$A$50000,A1177,全馬データ!$B$2:$B$50000,B1177,全馬データ!$C$2:$C$50000,C1177,全馬データ!$D$2:$D$50000,E1177)))</f>
        <v/>
      </c>
      <c r="AP1177" s="8" t="str">
        <f aca="false">IF(A1177="","",IF(AO1177="","欠損",IF(AO1177&lt;=1.1,"1.0～1.1",IF(AO1177&lt;1.3,"1.2",IF(AO1177&lt;1.5,"1.3～1.4",IF(AO1177&lt;2,"1.5～1.9","2.0以上"))))))</f>
        <v/>
      </c>
      <c r="AQ1177" s="8" t="str">
        <f aca="false">IF(A1177="","",IF(ISNUMBER(SEARCH("2歳",Z1177)),"2歳戦",IF(ISNUMBER(SEARCH("3歳未勝利",Z1177)),"3歳未勝利",IF(ISNUMBER(SEARCH("未勝利",Z1177)),"その他未勝利",IF(ISNUMBER(SEARCH("G1",Z1177)),"G1",IF(ISNUMBER(SEARCH("G2",Z1177)),"G2",IF(ISNUMBER(SEARCH("G3",Z1177)),"G3",IF(ISNUMBER(SEARCH("古馬条件",Z1177)),"古馬条件戦",IF(ISNUMBER(SEARCH("重賞",Z1177)),"重賞","分類不能")))))))))</f>
        <v/>
      </c>
    </row>
    <row r="1178" customFormat="false" ht="15.75" hidden="false" customHeight="false" outlineLevel="0" collapsed="false">
      <c r="AO1178" s="8" t="str">
        <f aca="false">IF(A1178="","",IF(COUNTIFS(全馬データ!$A$2:$A$50000,A1178,全馬データ!$B$2:$B$50000,B1178,全馬データ!$C$2:$C$50000,C1178,全馬データ!$D$2:$D$50000,E1178,全馬データ!$K$2:$K$50000,"&lt;&gt;")=0,"",SUMIFS(全馬データ!$K$2:$K$50000,全馬データ!$A$2:$A$50000,A1178,全馬データ!$B$2:$B$50000,B1178,全馬データ!$C$2:$C$50000,C1178,全馬データ!$D$2:$D$50000,E1178)))</f>
        <v/>
      </c>
      <c r="AP1178" s="8" t="str">
        <f aca="false">IF(A1178="","",IF(AO1178="","欠損",IF(AO1178&lt;=1.1,"1.0～1.1",IF(AO1178&lt;1.3,"1.2",IF(AO1178&lt;1.5,"1.3～1.4",IF(AO1178&lt;2,"1.5～1.9","2.0以上"))))))</f>
        <v/>
      </c>
      <c r="AQ1178" s="8" t="str">
        <f aca="false">IF(A1178="","",IF(ISNUMBER(SEARCH("2歳",Z1178)),"2歳戦",IF(ISNUMBER(SEARCH("3歳未勝利",Z1178)),"3歳未勝利",IF(ISNUMBER(SEARCH("未勝利",Z1178)),"その他未勝利",IF(ISNUMBER(SEARCH("G1",Z1178)),"G1",IF(ISNUMBER(SEARCH("G2",Z1178)),"G2",IF(ISNUMBER(SEARCH("G3",Z1178)),"G3",IF(ISNUMBER(SEARCH("古馬条件",Z1178)),"古馬条件戦",IF(ISNUMBER(SEARCH("重賞",Z1178)),"重賞","分類不能")))))))))</f>
        <v/>
      </c>
    </row>
    <row r="1179" customFormat="false" ht="15.75" hidden="false" customHeight="false" outlineLevel="0" collapsed="false">
      <c r="AO1179" s="8" t="str">
        <f aca="false">IF(A1179="","",IF(COUNTIFS(全馬データ!$A$2:$A$50000,A1179,全馬データ!$B$2:$B$50000,B1179,全馬データ!$C$2:$C$50000,C1179,全馬データ!$D$2:$D$50000,E1179,全馬データ!$K$2:$K$50000,"&lt;&gt;")=0,"",SUMIFS(全馬データ!$K$2:$K$50000,全馬データ!$A$2:$A$50000,A1179,全馬データ!$B$2:$B$50000,B1179,全馬データ!$C$2:$C$50000,C1179,全馬データ!$D$2:$D$50000,E1179)))</f>
        <v/>
      </c>
      <c r="AP1179" s="8" t="str">
        <f aca="false">IF(A1179="","",IF(AO1179="","欠損",IF(AO1179&lt;=1.1,"1.0～1.1",IF(AO1179&lt;1.3,"1.2",IF(AO1179&lt;1.5,"1.3～1.4",IF(AO1179&lt;2,"1.5～1.9","2.0以上"))))))</f>
        <v/>
      </c>
      <c r="AQ1179" s="8" t="str">
        <f aca="false">IF(A1179="","",IF(ISNUMBER(SEARCH("2歳",Z1179)),"2歳戦",IF(ISNUMBER(SEARCH("3歳未勝利",Z1179)),"3歳未勝利",IF(ISNUMBER(SEARCH("未勝利",Z1179)),"その他未勝利",IF(ISNUMBER(SEARCH("G1",Z1179)),"G1",IF(ISNUMBER(SEARCH("G2",Z1179)),"G2",IF(ISNUMBER(SEARCH("G3",Z1179)),"G3",IF(ISNUMBER(SEARCH("古馬条件",Z1179)),"古馬条件戦",IF(ISNUMBER(SEARCH("重賞",Z1179)),"重賞","分類不能")))))))))</f>
        <v/>
      </c>
    </row>
    <row r="1180" customFormat="false" ht="15.75" hidden="false" customHeight="false" outlineLevel="0" collapsed="false">
      <c r="AO1180" s="8" t="str">
        <f aca="false">IF(A1180="","",IF(COUNTIFS(全馬データ!$A$2:$A$50000,A1180,全馬データ!$B$2:$B$50000,B1180,全馬データ!$C$2:$C$50000,C1180,全馬データ!$D$2:$D$50000,E1180,全馬データ!$K$2:$K$50000,"&lt;&gt;")=0,"",SUMIFS(全馬データ!$K$2:$K$50000,全馬データ!$A$2:$A$50000,A1180,全馬データ!$B$2:$B$50000,B1180,全馬データ!$C$2:$C$50000,C1180,全馬データ!$D$2:$D$50000,E1180)))</f>
        <v/>
      </c>
      <c r="AP1180" s="8" t="str">
        <f aca="false">IF(A1180="","",IF(AO1180="","欠損",IF(AO1180&lt;=1.1,"1.0～1.1",IF(AO1180&lt;1.3,"1.2",IF(AO1180&lt;1.5,"1.3～1.4",IF(AO1180&lt;2,"1.5～1.9","2.0以上"))))))</f>
        <v/>
      </c>
      <c r="AQ1180" s="8" t="str">
        <f aca="false">IF(A1180="","",IF(ISNUMBER(SEARCH("2歳",Z1180)),"2歳戦",IF(ISNUMBER(SEARCH("3歳未勝利",Z1180)),"3歳未勝利",IF(ISNUMBER(SEARCH("未勝利",Z1180)),"その他未勝利",IF(ISNUMBER(SEARCH("G1",Z1180)),"G1",IF(ISNUMBER(SEARCH("G2",Z1180)),"G2",IF(ISNUMBER(SEARCH("G3",Z1180)),"G3",IF(ISNUMBER(SEARCH("古馬条件",Z1180)),"古馬条件戦",IF(ISNUMBER(SEARCH("重賞",Z1180)),"重賞","分類不能")))))))))</f>
        <v/>
      </c>
    </row>
    <row r="1181" customFormat="false" ht="15.75" hidden="false" customHeight="false" outlineLevel="0" collapsed="false">
      <c r="AO1181" s="8" t="str">
        <f aca="false">IF(A1181="","",IF(COUNTIFS(全馬データ!$A$2:$A$50000,A1181,全馬データ!$B$2:$B$50000,B1181,全馬データ!$C$2:$C$50000,C1181,全馬データ!$D$2:$D$50000,E1181,全馬データ!$K$2:$K$50000,"&lt;&gt;")=0,"",SUMIFS(全馬データ!$K$2:$K$50000,全馬データ!$A$2:$A$50000,A1181,全馬データ!$B$2:$B$50000,B1181,全馬データ!$C$2:$C$50000,C1181,全馬データ!$D$2:$D$50000,E1181)))</f>
        <v/>
      </c>
      <c r="AP1181" s="8" t="str">
        <f aca="false">IF(A1181="","",IF(AO1181="","欠損",IF(AO1181&lt;=1.1,"1.0～1.1",IF(AO1181&lt;1.3,"1.2",IF(AO1181&lt;1.5,"1.3～1.4",IF(AO1181&lt;2,"1.5～1.9","2.0以上"))))))</f>
        <v/>
      </c>
      <c r="AQ1181" s="8" t="str">
        <f aca="false">IF(A1181="","",IF(ISNUMBER(SEARCH("2歳",Z1181)),"2歳戦",IF(ISNUMBER(SEARCH("3歳未勝利",Z1181)),"3歳未勝利",IF(ISNUMBER(SEARCH("未勝利",Z1181)),"その他未勝利",IF(ISNUMBER(SEARCH("G1",Z1181)),"G1",IF(ISNUMBER(SEARCH("G2",Z1181)),"G2",IF(ISNUMBER(SEARCH("G3",Z1181)),"G3",IF(ISNUMBER(SEARCH("古馬条件",Z1181)),"古馬条件戦",IF(ISNUMBER(SEARCH("重賞",Z1181)),"重賞","分類不能")))))))))</f>
        <v/>
      </c>
    </row>
    <row r="1182" customFormat="false" ht="15.75" hidden="false" customHeight="false" outlineLevel="0" collapsed="false">
      <c r="AO1182" s="8" t="str">
        <f aca="false">IF(A1182="","",IF(COUNTIFS(全馬データ!$A$2:$A$50000,A1182,全馬データ!$B$2:$B$50000,B1182,全馬データ!$C$2:$C$50000,C1182,全馬データ!$D$2:$D$50000,E1182,全馬データ!$K$2:$K$50000,"&lt;&gt;")=0,"",SUMIFS(全馬データ!$K$2:$K$50000,全馬データ!$A$2:$A$50000,A1182,全馬データ!$B$2:$B$50000,B1182,全馬データ!$C$2:$C$50000,C1182,全馬データ!$D$2:$D$50000,E1182)))</f>
        <v/>
      </c>
      <c r="AP1182" s="8" t="str">
        <f aca="false">IF(A1182="","",IF(AO1182="","欠損",IF(AO1182&lt;=1.1,"1.0～1.1",IF(AO1182&lt;1.3,"1.2",IF(AO1182&lt;1.5,"1.3～1.4",IF(AO1182&lt;2,"1.5～1.9","2.0以上"))))))</f>
        <v/>
      </c>
      <c r="AQ1182" s="8" t="str">
        <f aca="false">IF(A1182="","",IF(ISNUMBER(SEARCH("2歳",Z1182)),"2歳戦",IF(ISNUMBER(SEARCH("3歳未勝利",Z1182)),"3歳未勝利",IF(ISNUMBER(SEARCH("未勝利",Z1182)),"その他未勝利",IF(ISNUMBER(SEARCH("G1",Z1182)),"G1",IF(ISNUMBER(SEARCH("G2",Z1182)),"G2",IF(ISNUMBER(SEARCH("G3",Z1182)),"G3",IF(ISNUMBER(SEARCH("古馬条件",Z1182)),"古馬条件戦",IF(ISNUMBER(SEARCH("重賞",Z1182)),"重賞","分類不能")))))))))</f>
        <v/>
      </c>
    </row>
    <row r="1183" customFormat="false" ht="15.75" hidden="false" customHeight="false" outlineLevel="0" collapsed="false">
      <c r="AO1183" s="8" t="str">
        <f aca="false">IF(A1183="","",IF(COUNTIFS(全馬データ!$A$2:$A$50000,A1183,全馬データ!$B$2:$B$50000,B1183,全馬データ!$C$2:$C$50000,C1183,全馬データ!$D$2:$D$50000,E1183,全馬データ!$K$2:$K$50000,"&lt;&gt;")=0,"",SUMIFS(全馬データ!$K$2:$K$50000,全馬データ!$A$2:$A$50000,A1183,全馬データ!$B$2:$B$50000,B1183,全馬データ!$C$2:$C$50000,C1183,全馬データ!$D$2:$D$50000,E1183)))</f>
        <v/>
      </c>
      <c r="AP1183" s="8" t="str">
        <f aca="false">IF(A1183="","",IF(AO1183="","欠損",IF(AO1183&lt;=1.1,"1.0～1.1",IF(AO1183&lt;1.3,"1.2",IF(AO1183&lt;1.5,"1.3～1.4",IF(AO1183&lt;2,"1.5～1.9","2.0以上"))))))</f>
        <v/>
      </c>
      <c r="AQ1183" s="8" t="str">
        <f aca="false">IF(A1183="","",IF(ISNUMBER(SEARCH("2歳",Z1183)),"2歳戦",IF(ISNUMBER(SEARCH("3歳未勝利",Z1183)),"3歳未勝利",IF(ISNUMBER(SEARCH("未勝利",Z1183)),"その他未勝利",IF(ISNUMBER(SEARCH("G1",Z1183)),"G1",IF(ISNUMBER(SEARCH("G2",Z1183)),"G2",IF(ISNUMBER(SEARCH("G3",Z1183)),"G3",IF(ISNUMBER(SEARCH("古馬条件",Z1183)),"古馬条件戦",IF(ISNUMBER(SEARCH("重賞",Z1183)),"重賞","分類不能")))))))))</f>
        <v/>
      </c>
    </row>
    <row r="1184" customFormat="false" ht="15.75" hidden="false" customHeight="false" outlineLevel="0" collapsed="false">
      <c r="AO1184" s="8" t="str">
        <f aca="false">IF(A1184="","",IF(COUNTIFS(全馬データ!$A$2:$A$50000,A1184,全馬データ!$B$2:$B$50000,B1184,全馬データ!$C$2:$C$50000,C1184,全馬データ!$D$2:$D$50000,E1184,全馬データ!$K$2:$K$50000,"&lt;&gt;")=0,"",SUMIFS(全馬データ!$K$2:$K$50000,全馬データ!$A$2:$A$50000,A1184,全馬データ!$B$2:$B$50000,B1184,全馬データ!$C$2:$C$50000,C1184,全馬データ!$D$2:$D$50000,E1184)))</f>
        <v/>
      </c>
      <c r="AP1184" s="8" t="str">
        <f aca="false">IF(A1184="","",IF(AO1184="","欠損",IF(AO1184&lt;=1.1,"1.0～1.1",IF(AO1184&lt;1.3,"1.2",IF(AO1184&lt;1.5,"1.3～1.4",IF(AO1184&lt;2,"1.5～1.9","2.0以上"))))))</f>
        <v/>
      </c>
      <c r="AQ1184" s="8" t="str">
        <f aca="false">IF(A1184="","",IF(ISNUMBER(SEARCH("2歳",Z1184)),"2歳戦",IF(ISNUMBER(SEARCH("3歳未勝利",Z1184)),"3歳未勝利",IF(ISNUMBER(SEARCH("未勝利",Z1184)),"その他未勝利",IF(ISNUMBER(SEARCH("G1",Z1184)),"G1",IF(ISNUMBER(SEARCH("G2",Z1184)),"G2",IF(ISNUMBER(SEARCH("G3",Z1184)),"G3",IF(ISNUMBER(SEARCH("古馬条件",Z1184)),"古馬条件戦",IF(ISNUMBER(SEARCH("重賞",Z1184)),"重賞","分類不能")))))))))</f>
        <v/>
      </c>
    </row>
    <row r="1185" customFormat="false" ht="15.75" hidden="false" customHeight="false" outlineLevel="0" collapsed="false">
      <c r="AO1185" s="8" t="str">
        <f aca="false">IF(A1185="","",IF(COUNTIFS(全馬データ!$A$2:$A$50000,A1185,全馬データ!$B$2:$B$50000,B1185,全馬データ!$C$2:$C$50000,C1185,全馬データ!$D$2:$D$50000,E1185,全馬データ!$K$2:$K$50000,"&lt;&gt;")=0,"",SUMIFS(全馬データ!$K$2:$K$50000,全馬データ!$A$2:$A$50000,A1185,全馬データ!$B$2:$B$50000,B1185,全馬データ!$C$2:$C$50000,C1185,全馬データ!$D$2:$D$50000,E1185)))</f>
        <v/>
      </c>
      <c r="AP1185" s="8" t="str">
        <f aca="false">IF(A1185="","",IF(AO1185="","欠損",IF(AO1185&lt;=1.1,"1.0～1.1",IF(AO1185&lt;1.3,"1.2",IF(AO1185&lt;1.5,"1.3～1.4",IF(AO1185&lt;2,"1.5～1.9","2.0以上"))))))</f>
        <v/>
      </c>
      <c r="AQ1185" s="8" t="str">
        <f aca="false">IF(A1185="","",IF(ISNUMBER(SEARCH("2歳",Z1185)),"2歳戦",IF(ISNUMBER(SEARCH("3歳未勝利",Z1185)),"3歳未勝利",IF(ISNUMBER(SEARCH("未勝利",Z1185)),"その他未勝利",IF(ISNUMBER(SEARCH("G1",Z1185)),"G1",IF(ISNUMBER(SEARCH("G2",Z1185)),"G2",IF(ISNUMBER(SEARCH("G3",Z1185)),"G3",IF(ISNUMBER(SEARCH("古馬条件",Z1185)),"古馬条件戦",IF(ISNUMBER(SEARCH("重賞",Z1185)),"重賞","分類不能")))))))))</f>
        <v/>
      </c>
    </row>
    <row r="1186" customFormat="false" ht="15.75" hidden="false" customHeight="false" outlineLevel="0" collapsed="false">
      <c r="AO1186" s="8" t="str">
        <f aca="false">IF(A1186="","",IF(COUNTIFS(全馬データ!$A$2:$A$50000,A1186,全馬データ!$B$2:$B$50000,B1186,全馬データ!$C$2:$C$50000,C1186,全馬データ!$D$2:$D$50000,E1186,全馬データ!$K$2:$K$50000,"&lt;&gt;")=0,"",SUMIFS(全馬データ!$K$2:$K$50000,全馬データ!$A$2:$A$50000,A1186,全馬データ!$B$2:$B$50000,B1186,全馬データ!$C$2:$C$50000,C1186,全馬データ!$D$2:$D$50000,E1186)))</f>
        <v/>
      </c>
      <c r="AP1186" s="8" t="str">
        <f aca="false">IF(A1186="","",IF(AO1186="","欠損",IF(AO1186&lt;=1.1,"1.0～1.1",IF(AO1186&lt;1.3,"1.2",IF(AO1186&lt;1.5,"1.3～1.4",IF(AO1186&lt;2,"1.5～1.9","2.0以上"))))))</f>
        <v/>
      </c>
      <c r="AQ1186" s="8" t="str">
        <f aca="false">IF(A1186="","",IF(ISNUMBER(SEARCH("2歳",Z1186)),"2歳戦",IF(ISNUMBER(SEARCH("3歳未勝利",Z1186)),"3歳未勝利",IF(ISNUMBER(SEARCH("未勝利",Z1186)),"その他未勝利",IF(ISNUMBER(SEARCH("G1",Z1186)),"G1",IF(ISNUMBER(SEARCH("G2",Z1186)),"G2",IF(ISNUMBER(SEARCH("G3",Z1186)),"G3",IF(ISNUMBER(SEARCH("古馬条件",Z1186)),"古馬条件戦",IF(ISNUMBER(SEARCH("重賞",Z1186)),"重賞","分類不能")))))))))</f>
        <v/>
      </c>
    </row>
    <row r="1187" customFormat="false" ht="15.75" hidden="false" customHeight="false" outlineLevel="0" collapsed="false">
      <c r="AO1187" s="8" t="str">
        <f aca="false">IF(A1187="","",IF(COUNTIFS(全馬データ!$A$2:$A$50000,A1187,全馬データ!$B$2:$B$50000,B1187,全馬データ!$C$2:$C$50000,C1187,全馬データ!$D$2:$D$50000,E1187,全馬データ!$K$2:$K$50000,"&lt;&gt;")=0,"",SUMIFS(全馬データ!$K$2:$K$50000,全馬データ!$A$2:$A$50000,A1187,全馬データ!$B$2:$B$50000,B1187,全馬データ!$C$2:$C$50000,C1187,全馬データ!$D$2:$D$50000,E1187)))</f>
        <v/>
      </c>
      <c r="AP1187" s="8" t="str">
        <f aca="false">IF(A1187="","",IF(AO1187="","欠損",IF(AO1187&lt;=1.1,"1.0～1.1",IF(AO1187&lt;1.3,"1.2",IF(AO1187&lt;1.5,"1.3～1.4",IF(AO1187&lt;2,"1.5～1.9","2.0以上"))))))</f>
        <v/>
      </c>
      <c r="AQ1187" s="8" t="str">
        <f aca="false">IF(A1187="","",IF(ISNUMBER(SEARCH("2歳",Z1187)),"2歳戦",IF(ISNUMBER(SEARCH("3歳未勝利",Z1187)),"3歳未勝利",IF(ISNUMBER(SEARCH("未勝利",Z1187)),"その他未勝利",IF(ISNUMBER(SEARCH("G1",Z1187)),"G1",IF(ISNUMBER(SEARCH("G2",Z1187)),"G2",IF(ISNUMBER(SEARCH("G3",Z1187)),"G3",IF(ISNUMBER(SEARCH("古馬条件",Z1187)),"古馬条件戦",IF(ISNUMBER(SEARCH("重賞",Z1187)),"重賞","分類不能")))))))))</f>
        <v/>
      </c>
    </row>
    <row r="1188" customFormat="false" ht="15.75" hidden="false" customHeight="false" outlineLevel="0" collapsed="false">
      <c r="AO1188" s="8" t="str">
        <f aca="false">IF(A1188="","",IF(COUNTIFS(全馬データ!$A$2:$A$50000,A1188,全馬データ!$B$2:$B$50000,B1188,全馬データ!$C$2:$C$50000,C1188,全馬データ!$D$2:$D$50000,E1188,全馬データ!$K$2:$K$50000,"&lt;&gt;")=0,"",SUMIFS(全馬データ!$K$2:$K$50000,全馬データ!$A$2:$A$50000,A1188,全馬データ!$B$2:$B$50000,B1188,全馬データ!$C$2:$C$50000,C1188,全馬データ!$D$2:$D$50000,E1188)))</f>
        <v/>
      </c>
      <c r="AP1188" s="8" t="str">
        <f aca="false">IF(A1188="","",IF(AO1188="","欠損",IF(AO1188&lt;=1.1,"1.0～1.1",IF(AO1188&lt;1.3,"1.2",IF(AO1188&lt;1.5,"1.3～1.4",IF(AO1188&lt;2,"1.5～1.9","2.0以上"))))))</f>
        <v/>
      </c>
      <c r="AQ1188" s="8" t="str">
        <f aca="false">IF(A1188="","",IF(ISNUMBER(SEARCH("2歳",Z1188)),"2歳戦",IF(ISNUMBER(SEARCH("3歳未勝利",Z1188)),"3歳未勝利",IF(ISNUMBER(SEARCH("未勝利",Z1188)),"その他未勝利",IF(ISNUMBER(SEARCH("G1",Z1188)),"G1",IF(ISNUMBER(SEARCH("G2",Z1188)),"G2",IF(ISNUMBER(SEARCH("G3",Z1188)),"G3",IF(ISNUMBER(SEARCH("古馬条件",Z1188)),"古馬条件戦",IF(ISNUMBER(SEARCH("重賞",Z1188)),"重賞","分類不能")))))))))</f>
        <v/>
      </c>
    </row>
    <row r="1189" customFormat="false" ht="15.75" hidden="false" customHeight="false" outlineLevel="0" collapsed="false">
      <c r="AO1189" s="8" t="str">
        <f aca="false">IF(A1189="","",IF(COUNTIFS(全馬データ!$A$2:$A$50000,A1189,全馬データ!$B$2:$B$50000,B1189,全馬データ!$C$2:$C$50000,C1189,全馬データ!$D$2:$D$50000,E1189,全馬データ!$K$2:$K$50000,"&lt;&gt;")=0,"",SUMIFS(全馬データ!$K$2:$K$50000,全馬データ!$A$2:$A$50000,A1189,全馬データ!$B$2:$B$50000,B1189,全馬データ!$C$2:$C$50000,C1189,全馬データ!$D$2:$D$50000,E1189)))</f>
        <v/>
      </c>
      <c r="AP1189" s="8" t="str">
        <f aca="false">IF(A1189="","",IF(AO1189="","欠損",IF(AO1189&lt;=1.1,"1.0～1.1",IF(AO1189&lt;1.3,"1.2",IF(AO1189&lt;1.5,"1.3～1.4",IF(AO1189&lt;2,"1.5～1.9","2.0以上"))))))</f>
        <v/>
      </c>
      <c r="AQ1189" s="8" t="str">
        <f aca="false">IF(A1189="","",IF(ISNUMBER(SEARCH("2歳",Z1189)),"2歳戦",IF(ISNUMBER(SEARCH("3歳未勝利",Z1189)),"3歳未勝利",IF(ISNUMBER(SEARCH("未勝利",Z1189)),"その他未勝利",IF(ISNUMBER(SEARCH("G1",Z1189)),"G1",IF(ISNUMBER(SEARCH("G2",Z1189)),"G2",IF(ISNUMBER(SEARCH("G3",Z1189)),"G3",IF(ISNUMBER(SEARCH("古馬条件",Z1189)),"古馬条件戦",IF(ISNUMBER(SEARCH("重賞",Z1189)),"重賞","分類不能")))))))))</f>
        <v/>
      </c>
    </row>
    <row r="1190" customFormat="false" ht="15.75" hidden="false" customHeight="false" outlineLevel="0" collapsed="false">
      <c r="AO1190" s="8" t="str">
        <f aca="false">IF(A1190="","",IF(COUNTIFS(全馬データ!$A$2:$A$50000,A1190,全馬データ!$B$2:$B$50000,B1190,全馬データ!$C$2:$C$50000,C1190,全馬データ!$D$2:$D$50000,E1190,全馬データ!$K$2:$K$50000,"&lt;&gt;")=0,"",SUMIFS(全馬データ!$K$2:$K$50000,全馬データ!$A$2:$A$50000,A1190,全馬データ!$B$2:$B$50000,B1190,全馬データ!$C$2:$C$50000,C1190,全馬データ!$D$2:$D$50000,E1190)))</f>
        <v/>
      </c>
      <c r="AP1190" s="8" t="str">
        <f aca="false">IF(A1190="","",IF(AO1190="","欠損",IF(AO1190&lt;=1.1,"1.0～1.1",IF(AO1190&lt;1.3,"1.2",IF(AO1190&lt;1.5,"1.3～1.4",IF(AO1190&lt;2,"1.5～1.9","2.0以上"))))))</f>
        <v/>
      </c>
      <c r="AQ1190" s="8" t="str">
        <f aca="false">IF(A1190="","",IF(ISNUMBER(SEARCH("2歳",Z1190)),"2歳戦",IF(ISNUMBER(SEARCH("3歳未勝利",Z1190)),"3歳未勝利",IF(ISNUMBER(SEARCH("未勝利",Z1190)),"その他未勝利",IF(ISNUMBER(SEARCH("G1",Z1190)),"G1",IF(ISNUMBER(SEARCH("G2",Z1190)),"G2",IF(ISNUMBER(SEARCH("G3",Z1190)),"G3",IF(ISNUMBER(SEARCH("古馬条件",Z1190)),"古馬条件戦",IF(ISNUMBER(SEARCH("重賞",Z1190)),"重賞","分類不能")))))))))</f>
        <v/>
      </c>
    </row>
    <row r="1191" customFormat="false" ht="15.75" hidden="false" customHeight="false" outlineLevel="0" collapsed="false">
      <c r="AO1191" s="8" t="str">
        <f aca="false">IF(A1191="","",IF(COUNTIFS(全馬データ!$A$2:$A$50000,A1191,全馬データ!$B$2:$B$50000,B1191,全馬データ!$C$2:$C$50000,C1191,全馬データ!$D$2:$D$50000,E1191,全馬データ!$K$2:$K$50000,"&lt;&gt;")=0,"",SUMIFS(全馬データ!$K$2:$K$50000,全馬データ!$A$2:$A$50000,A1191,全馬データ!$B$2:$B$50000,B1191,全馬データ!$C$2:$C$50000,C1191,全馬データ!$D$2:$D$50000,E1191)))</f>
        <v/>
      </c>
      <c r="AP1191" s="8" t="str">
        <f aca="false">IF(A1191="","",IF(AO1191="","欠損",IF(AO1191&lt;=1.1,"1.0～1.1",IF(AO1191&lt;1.3,"1.2",IF(AO1191&lt;1.5,"1.3～1.4",IF(AO1191&lt;2,"1.5～1.9","2.0以上"))))))</f>
        <v/>
      </c>
      <c r="AQ1191" s="8" t="str">
        <f aca="false">IF(A1191="","",IF(ISNUMBER(SEARCH("2歳",Z1191)),"2歳戦",IF(ISNUMBER(SEARCH("3歳未勝利",Z1191)),"3歳未勝利",IF(ISNUMBER(SEARCH("未勝利",Z1191)),"その他未勝利",IF(ISNUMBER(SEARCH("G1",Z1191)),"G1",IF(ISNUMBER(SEARCH("G2",Z1191)),"G2",IF(ISNUMBER(SEARCH("G3",Z1191)),"G3",IF(ISNUMBER(SEARCH("古馬条件",Z1191)),"古馬条件戦",IF(ISNUMBER(SEARCH("重賞",Z1191)),"重賞","分類不能")))))))))</f>
        <v/>
      </c>
    </row>
    <row r="1192" customFormat="false" ht="15.75" hidden="false" customHeight="false" outlineLevel="0" collapsed="false">
      <c r="AO1192" s="8" t="str">
        <f aca="false">IF(A1192="","",IF(COUNTIFS(全馬データ!$A$2:$A$50000,A1192,全馬データ!$B$2:$B$50000,B1192,全馬データ!$C$2:$C$50000,C1192,全馬データ!$D$2:$D$50000,E1192,全馬データ!$K$2:$K$50000,"&lt;&gt;")=0,"",SUMIFS(全馬データ!$K$2:$K$50000,全馬データ!$A$2:$A$50000,A1192,全馬データ!$B$2:$B$50000,B1192,全馬データ!$C$2:$C$50000,C1192,全馬データ!$D$2:$D$50000,E1192)))</f>
        <v/>
      </c>
      <c r="AP1192" s="8" t="str">
        <f aca="false">IF(A1192="","",IF(AO1192="","欠損",IF(AO1192&lt;=1.1,"1.0～1.1",IF(AO1192&lt;1.3,"1.2",IF(AO1192&lt;1.5,"1.3～1.4",IF(AO1192&lt;2,"1.5～1.9","2.0以上"))))))</f>
        <v/>
      </c>
      <c r="AQ1192" s="8" t="str">
        <f aca="false">IF(A1192="","",IF(ISNUMBER(SEARCH("2歳",Z1192)),"2歳戦",IF(ISNUMBER(SEARCH("3歳未勝利",Z1192)),"3歳未勝利",IF(ISNUMBER(SEARCH("未勝利",Z1192)),"その他未勝利",IF(ISNUMBER(SEARCH("G1",Z1192)),"G1",IF(ISNUMBER(SEARCH("G2",Z1192)),"G2",IF(ISNUMBER(SEARCH("G3",Z1192)),"G3",IF(ISNUMBER(SEARCH("古馬条件",Z1192)),"古馬条件戦",IF(ISNUMBER(SEARCH("重賞",Z1192)),"重賞","分類不能")))))))))</f>
        <v/>
      </c>
    </row>
    <row r="1193" customFormat="false" ht="15.75" hidden="false" customHeight="false" outlineLevel="0" collapsed="false">
      <c r="AO1193" s="8" t="str">
        <f aca="false">IF(A1193="","",IF(COUNTIFS(全馬データ!$A$2:$A$50000,A1193,全馬データ!$B$2:$B$50000,B1193,全馬データ!$C$2:$C$50000,C1193,全馬データ!$D$2:$D$50000,E1193,全馬データ!$K$2:$K$50000,"&lt;&gt;")=0,"",SUMIFS(全馬データ!$K$2:$K$50000,全馬データ!$A$2:$A$50000,A1193,全馬データ!$B$2:$B$50000,B1193,全馬データ!$C$2:$C$50000,C1193,全馬データ!$D$2:$D$50000,E1193)))</f>
        <v/>
      </c>
      <c r="AP1193" s="8" t="str">
        <f aca="false">IF(A1193="","",IF(AO1193="","欠損",IF(AO1193&lt;=1.1,"1.0～1.1",IF(AO1193&lt;1.3,"1.2",IF(AO1193&lt;1.5,"1.3～1.4",IF(AO1193&lt;2,"1.5～1.9","2.0以上"))))))</f>
        <v/>
      </c>
      <c r="AQ1193" s="8" t="str">
        <f aca="false">IF(A1193="","",IF(ISNUMBER(SEARCH("2歳",Z1193)),"2歳戦",IF(ISNUMBER(SEARCH("3歳未勝利",Z1193)),"3歳未勝利",IF(ISNUMBER(SEARCH("未勝利",Z1193)),"その他未勝利",IF(ISNUMBER(SEARCH("G1",Z1193)),"G1",IF(ISNUMBER(SEARCH("G2",Z1193)),"G2",IF(ISNUMBER(SEARCH("G3",Z1193)),"G3",IF(ISNUMBER(SEARCH("古馬条件",Z1193)),"古馬条件戦",IF(ISNUMBER(SEARCH("重賞",Z1193)),"重賞","分類不能")))))))))</f>
        <v/>
      </c>
    </row>
    <row r="1194" customFormat="false" ht="15.75" hidden="false" customHeight="false" outlineLevel="0" collapsed="false">
      <c r="AO1194" s="8" t="str">
        <f aca="false">IF(A1194="","",IF(COUNTIFS(全馬データ!$A$2:$A$50000,A1194,全馬データ!$B$2:$B$50000,B1194,全馬データ!$C$2:$C$50000,C1194,全馬データ!$D$2:$D$50000,E1194,全馬データ!$K$2:$K$50000,"&lt;&gt;")=0,"",SUMIFS(全馬データ!$K$2:$K$50000,全馬データ!$A$2:$A$50000,A1194,全馬データ!$B$2:$B$50000,B1194,全馬データ!$C$2:$C$50000,C1194,全馬データ!$D$2:$D$50000,E1194)))</f>
        <v/>
      </c>
      <c r="AP1194" s="8" t="str">
        <f aca="false">IF(A1194="","",IF(AO1194="","欠損",IF(AO1194&lt;=1.1,"1.0～1.1",IF(AO1194&lt;1.3,"1.2",IF(AO1194&lt;1.5,"1.3～1.4",IF(AO1194&lt;2,"1.5～1.9","2.0以上"))))))</f>
        <v/>
      </c>
      <c r="AQ1194" s="8" t="str">
        <f aca="false">IF(A1194="","",IF(ISNUMBER(SEARCH("2歳",Z1194)),"2歳戦",IF(ISNUMBER(SEARCH("3歳未勝利",Z1194)),"3歳未勝利",IF(ISNUMBER(SEARCH("未勝利",Z1194)),"その他未勝利",IF(ISNUMBER(SEARCH("G1",Z1194)),"G1",IF(ISNUMBER(SEARCH("G2",Z1194)),"G2",IF(ISNUMBER(SEARCH("G3",Z1194)),"G3",IF(ISNUMBER(SEARCH("古馬条件",Z1194)),"古馬条件戦",IF(ISNUMBER(SEARCH("重賞",Z1194)),"重賞","分類不能")))))))))</f>
        <v/>
      </c>
    </row>
    <row r="1195" customFormat="false" ht="15.75" hidden="false" customHeight="false" outlineLevel="0" collapsed="false">
      <c r="AO1195" s="8" t="str">
        <f aca="false">IF(A1195="","",IF(COUNTIFS(全馬データ!$A$2:$A$50000,A1195,全馬データ!$B$2:$B$50000,B1195,全馬データ!$C$2:$C$50000,C1195,全馬データ!$D$2:$D$50000,E1195,全馬データ!$K$2:$K$50000,"&lt;&gt;")=0,"",SUMIFS(全馬データ!$K$2:$K$50000,全馬データ!$A$2:$A$50000,A1195,全馬データ!$B$2:$B$50000,B1195,全馬データ!$C$2:$C$50000,C1195,全馬データ!$D$2:$D$50000,E1195)))</f>
        <v/>
      </c>
      <c r="AP1195" s="8" t="str">
        <f aca="false">IF(A1195="","",IF(AO1195="","欠損",IF(AO1195&lt;=1.1,"1.0～1.1",IF(AO1195&lt;1.3,"1.2",IF(AO1195&lt;1.5,"1.3～1.4",IF(AO1195&lt;2,"1.5～1.9","2.0以上"))))))</f>
        <v/>
      </c>
      <c r="AQ1195" s="8" t="str">
        <f aca="false">IF(A1195="","",IF(ISNUMBER(SEARCH("2歳",Z1195)),"2歳戦",IF(ISNUMBER(SEARCH("3歳未勝利",Z1195)),"3歳未勝利",IF(ISNUMBER(SEARCH("未勝利",Z1195)),"その他未勝利",IF(ISNUMBER(SEARCH("G1",Z1195)),"G1",IF(ISNUMBER(SEARCH("G2",Z1195)),"G2",IF(ISNUMBER(SEARCH("G3",Z1195)),"G3",IF(ISNUMBER(SEARCH("古馬条件",Z1195)),"古馬条件戦",IF(ISNUMBER(SEARCH("重賞",Z1195)),"重賞","分類不能")))))))))</f>
        <v/>
      </c>
    </row>
    <row r="1196" customFormat="false" ht="15.75" hidden="false" customHeight="false" outlineLevel="0" collapsed="false">
      <c r="AO1196" s="8" t="str">
        <f aca="false">IF(A1196="","",IF(COUNTIFS(全馬データ!$A$2:$A$50000,A1196,全馬データ!$B$2:$B$50000,B1196,全馬データ!$C$2:$C$50000,C1196,全馬データ!$D$2:$D$50000,E1196,全馬データ!$K$2:$K$50000,"&lt;&gt;")=0,"",SUMIFS(全馬データ!$K$2:$K$50000,全馬データ!$A$2:$A$50000,A1196,全馬データ!$B$2:$B$50000,B1196,全馬データ!$C$2:$C$50000,C1196,全馬データ!$D$2:$D$50000,E1196)))</f>
        <v/>
      </c>
      <c r="AP1196" s="8" t="str">
        <f aca="false">IF(A1196="","",IF(AO1196="","欠損",IF(AO1196&lt;=1.1,"1.0～1.1",IF(AO1196&lt;1.3,"1.2",IF(AO1196&lt;1.5,"1.3～1.4",IF(AO1196&lt;2,"1.5～1.9","2.0以上"))))))</f>
        <v/>
      </c>
      <c r="AQ1196" s="8" t="str">
        <f aca="false">IF(A1196="","",IF(ISNUMBER(SEARCH("2歳",Z1196)),"2歳戦",IF(ISNUMBER(SEARCH("3歳未勝利",Z1196)),"3歳未勝利",IF(ISNUMBER(SEARCH("未勝利",Z1196)),"その他未勝利",IF(ISNUMBER(SEARCH("G1",Z1196)),"G1",IF(ISNUMBER(SEARCH("G2",Z1196)),"G2",IF(ISNUMBER(SEARCH("G3",Z1196)),"G3",IF(ISNUMBER(SEARCH("古馬条件",Z1196)),"古馬条件戦",IF(ISNUMBER(SEARCH("重賞",Z1196)),"重賞","分類不能")))))))))</f>
        <v/>
      </c>
    </row>
    <row r="1197" customFormat="false" ht="15.75" hidden="false" customHeight="false" outlineLevel="0" collapsed="false">
      <c r="AO1197" s="8" t="str">
        <f aca="false">IF(A1197="","",IF(COUNTIFS(全馬データ!$A$2:$A$50000,A1197,全馬データ!$B$2:$B$50000,B1197,全馬データ!$C$2:$C$50000,C1197,全馬データ!$D$2:$D$50000,E1197,全馬データ!$K$2:$K$50000,"&lt;&gt;")=0,"",SUMIFS(全馬データ!$K$2:$K$50000,全馬データ!$A$2:$A$50000,A1197,全馬データ!$B$2:$B$50000,B1197,全馬データ!$C$2:$C$50000,C1197,全馬データ!$D$2:$D$50000,E1197)))</f>
        <v/>
      </c>
      <c r="AP1197" s="8" t="str">
        <f aca="false">IF(A1197="","",IF(AO1197="","欠損",IF(AO1197&lt;=1.1,"1.0～1.1",IF(AO1197&lt;1.3,"1.2",IF(AO1197&lt;1.5,"1.3～1.4",IF(AO1197&lt;2,"1.5～1.9","2.0以上"))))))</f>
        <v/>
      </c>
      <c r="AQ1197" s="8" t="str">
        <f aca="false">IF(A1197="","",IF(ISNUMBER(SEARCH("2歳",Z1197)),"2歳戦",IF(ISNUMBER(SEARCH("3歳未勝利",Z1197)),"3歳未勝利",IF(ISNUMBER(SEARCH("未勝利",Z1197)),"その他未勝利",IF(ISNUMBER(SEARCH("G1",Z1197)),"G1",IF(ISNUMBER(SEARCH("G2",Z1197)),"G2",IF(ISNUMBER(SEARCH("G3",Z1197)),"G3",IF(ISNUMBER(SEARCH("古馬条件",Z1197)),"古馬条件戦",IF(ISNUMBER(SEARCH("重賞",Z1197)),"重賞","分類不能")))))))))</f>
        <v/>
      </c>
    </row>
    <row r="1198" customFormat="false" ht="15.75" hidden="false" customHeight="false" outlineLevel="0" collapsed="false">
      <c r="AO1198" s="8" t="str">
        <f aca="false">IF(A1198="","",IF(COUNTIFS(全馬データ!$A$2:$A$50000,A1198,全馬データ!$B$2:$B$50000,B1198,全馬データ!$C$2:$C$50000,C1198,全馬データ!$D$2:$D$50000,E1198,全馬データ!$K$2:$K$50000,"&lt;&gt;")=0,"",SUMIFS(全馬データ!$K$2:$K$50000,全馬データ!$A$2:$A$50000,A1198,全馬データ!$B$2:$B$50000,B1198,全馬データ!$C$2:$C$50000,C1198,全馬データ!$D$2:$D$50000,E1198)))</f>
        <v/>
      </c>
      <c r="AP1198" s="8" t="str">
        <f aca="false">IF(A1198="","",IF(AO1198="","欠損",IF(AO1198&lt;=1.1,"1.0～1.1",IF(AO1198&lt;1.3,"1.2",IF(AO1198&lt;1.5,"1.3～1.4",IF(AO1198&lt;2,"1.5～1.9","2.0以上"))))))</f>
        <v/>
      </c>
      <c r="AQ1198" s="8" t="str">
        <f aca="false">IF(A1198="","",IF(ISNUMBER(SEARCH("2歳",Z1198)),"2歳戦",IF(ISNUMBER(SEARCH("3歳未勝利",Z1198)),"3歳未勝利",IF(ISNUMBER(SEARCH("未勝利",Z1198)),"その他未勝利",IF(ISNUMBER(SEARCH("G1",Z1198)),"G1",IF(ISNUMBER(SEARCH("G2",Z1198)),"G2",IF(ISNUMBER(SEARCH("G3",Z1198)),"G3",IF(ISNUMBER(SEARCH("古馬条件",Z1198)),"古馬条件戦",IF(ISNUMBER(SEARCH("重賞",Z1198)),"重賞","分類不能")))))))))</f>
        <v/>
      </c>
    </row>
    <row r="1199" customFormat="false" ht="15.75" hidden="false" customHeight="false" outlineLevel="0" collapsed="false">
      <c r="AO1199" s="8" t="str">
        <f aca="false">IF(A1199="","",IF(COUNTIFS(全馬データ!$A$2:$A$50000,A1199,全馬データ!$B$2:$B$50000,B1199,全馬データ!$C$2:$C$50000,C1199,全馬データ!$D$2:$D$50000,E1199,全馬データ!$K$2:$K$50000,"&lt;&gt;")=0,"",SUMIFS(全馬データ!$K$2:$K$50000,全馬データ!$A$2:$A$50000,A1199,全馬データ!$B$2:$B$50000,B1199,全馬データ!$C$2:$C$50000,C1199,全馬データ!$D$2:$D$50000,E1199)))</f>
        <v/>
      </c>
      <c r="AP1199" s="8" t="str">
        <f aca="false">IF(A1199="","",IF(AO1199="","欠損",IF(AO1199&lt;=1.1,"1.0～1.1",IF(AO1199&lt;1.3,"1.2",IF(AO1199&lt;1.5,"1.3～1.4",IF(AO1199&lt;2,"1.5～1.9","2.0以上"))))))</f>
        <v/>
      </c>
      <c r="AQ1199" s="8" t="str">
        <f aca="false">IF(A1199="","",IF(ISNUMBER(SEARCH("2歳",Z1199)),"2歳戦",IF(ISNUMBER(SEARCH("3歳未勝利",Z1199)),"3歳未勝利",IF(ISNUMBER(SEARCH("未勝利",Z1199)),"その他未勝利",IF(ISNUMBER(SEARCH("G1",Z1199)),"G1",IF(ISNUMBER(SEARCH("G2",Z1199)),"G2",IF(ISNUMBER(SEARCH("G3",Z1199)),"G3",IF(ISNUMBER(SEARCH("古馬条件",Z1199)),"古馬条件戦",IF(ISNUMBER(SEARCH("重賞",Z1199)),"重賞","分類不能")))))))))</f>
        <v/>
      </c>
    </row>
    <row r="1200" customFormat="false" ht="15.75" hidden="false" customHeight="false" outlineLevel="0" collapsed="false">
      <c r="AO1200" s="8" t="str">
        <f aca="false">IF(A1200="","",IF(COUNTIFS(全馬データ!$A$2:$A$50000,A1200,全馬データ!$B$2:$B$50000,B1200,全馬データ!$C$2:$C$50000,C1200,全馬データ!$D$2:$D$50000,E1200,全馬データ!$K$2:$K$50000,"&lt;&gt;")=0,"",SUMIFS(全馬データ!$K$2:$K$50000,全馬データ!$A$2:$A$50000,A1200,全馬データ!$B$2:$B$50000,B1200,全馬データ!$C$2:$C$50000,C1200,全馬データ!$D$2:$D$50000,E1200)))</f>
        <v/>
      </c>
      <c r="AP1200" s="8" t="str">
        <f aca="false">IF(A1200="","",IF(AO1200="","欠損",IF(AO1200&lt;=1.1,"1.0～1.1",IF(AO1200&lt;1.3,"1.2",IF(AO1200&lt;1.5,"1.3～1.4",IF(AO1200&lt;2,"1.5～1.9","2.0以上"))))))</f>
        <v/>
      </c>
      <c r="AQ1200" s="8" t="str">
        <f aca="false">IF(A1200="","",IF(ISNUMBER(SEARCH("2歳",Z1200)),"2歳戦",IF(ISNUMBER(SEARCH("3歳未勝利",Z1200)),"3歳未勝利",IF(ISNUMBER(SEARCH("未勝利",Z1200)),"その他未勝利",IF(ISNUMBER(SEARCH("G1",Z1200)),"G1",IF(ISNUMBER(SEARCH("G2",Z1200)),"G2",IF(ISNUMBER(SEARCH("G3",Z1200)),"G3",IF(ISNUMBER(SEARCH("古馬条件",Z1200)),"古馬条件戦",IF(ISNUMBER(SEARCH("重賞",Z1200)),"重賞","分類不能")))))))))</f>
        <v/>
      </c>
    </row>
    <row r="1201" customFormat="false" ht="15.75" hidden="false" customHeight="false" outlineLevel="0" collapsed="false">
      <c r="AO1201" s="8" t="str">
        <f aca="false">IF(A1201="","",IF(COUNTIFS(全馬データ!$A$2:$A$50000,A1201,全馬データ!$B$2:$B$50000,B1201,全馬データ!$C$2:$C$50000,C1201,全馬データ!$D$2:$D$50000,E1201,全馬データ!$K$2:$K$50000,"&lt;&gt;")=0,"",SUMIFS(全馬データ!$K$2:$K$50000,全馬データ!$A$2:$A$50000,A1201,全馬データ!$B$2:$B$50000,B1201,全馬データ!$C$2:$C$50000,C1201,全馬データ!$D$2:$D$50000,E1201)))</f>
        <v/>
      </c>
      <c r="AP1201" s="8" t="str">
        <f aca="false">IF(A1201="","",IF(AO1201="","欠損",IF(AO1201&lt;=1.1,"1.0～1.1",IF(AO1201&lt;1.3,"1.2",IF(AO1201&lt;1.5,"1.3～1.4",IF(AO1201&lt;2,"1.5～1.9","2.0以上"))))))</f>
        <v/>
      </c>
      <c r="AQ1201" s="8" t="str">
        <f aca="false">IF(A1201="","",IF(ISNUMBER(SEARCH("2歳",Z1201)),"2歳戦",IF(ISNUMBER(SEARCH("3歳未勝利",Z1201)),"3歳未勝利",IF(ISNUMBER(SEARCH("未勝利",Z1201)),"その他未勝利",IF(ISNUMBER(SEARCH("G1",Z1201)),"G1",IF(ISNUMBER(SEARCH("G2",Z1201)),"G2",IF(ISNUMBER(SEARCH("G3",Z1201)),"G3",IF(ISNUMBER(SEARCH("古馬条件",Z1201)),"古馬条件戦",IF(ISNUMBER(SEARCH("重賞",Z1201)),"重賞","分類不能")))))))))</f>
        <v/>
      </c>
    </row>
    <row r="1202" customFormat="false" ht="15.75" hidden="false" customHeight="false" outlineLevel="0" collapsed="false">
      <c r="AO1202" s="8" t="str">
        <f aca="false">IF(A1202="","",IF(COUNTIFS(全馬データ!$A$2:$A$50000,A1202,全馬データ!$B$2:$B$50000,B1202,全馬データ!$C$2:$C$50000,C1202,全馬データ!$D$2:$D$50000,E1202,全馬データ!$K$2:$K$50000,"&lt;&gt;")=0,"",SUMIFS(全馬データ!$K$2:$K$50000,全馬データ!$A$2:$A$50000,A1202,全馬データ!$B$2:$B$50000,B1202,全馬データ!$C$2:$C$50000,C1202,全馬データ!$D$2:$D$50000,E1202)))</f>
        <v/>
      </c>
      <c r="AP1202" s="8" t="str">
        <f aca="false">IF(A1202="","",IF(AO1202="","欠損",IF(AO1202&lt;=1.1,"1.0～1.1",IF(AO1202&lt;1.3,"1.2",IF(AO1202&lt;1.5,"1.3～1.4",IF(AO1202&lt;2,"1.5～1.9","2.0以上"))))))</f>
        <v/>
      </c>
      <c r="AQ1202" s="8" t="str">
        <f aca="false">IF(A1202="","",IF(ISNUMBER(SEARCH("2歳",Z1202)),"2歳戦",IF(ISNUMBER(SEARCH("3歳未勝利",Z1202)),"3歳未勝利",IF(ISNUMBER(SEARCH("未勝利",Z1202)),"その他未勝利",IF(ISNUMBER(SEARCH("G1",Z1202)),"G1",IF(ISNUMBER(SEARCH("G2",Z1202)),"G2",IF(ISNUMBER(SEARCH("G3",Z1202)),"G3",IF(ISNUMBER(SEARCH("古馬条件",Z1202)),"古馬条件戦",IF(ISNUMBER(SEARCH("重賞",Z1202)),"重賞","分類不能")))))))))</f>
        <v/>
      </c>
    </row>
    <row r="1203" customFormat="false" ht="15.75" hidden="false" customHeight="false" outlineLevel="0" collapsed="false">
      <c r="AO1203" s="8" t="str">
        <f aca="false">IF(A1203="","",IF(COUNTIFS(全馬データ!$A$2:$A$50000,A1203,全馬データ!$B$2:$B$50000,B1203,全馬データ!$C$2:$C$50000,C1203,全馬データ!$D$2:$D$50000,E1203,全馬データ!$K$2:$K$50000,"&lt;&gt;")=0,"",SUMIFS(全馬データ!$K$2:$K$50000,全馬データ!$A$2:$A$50000,A1203,全馬データ!$B$2:$B$50000,B1203,全馬データ!$C$2:$C$50000,C1203,全馬データ!$D$2:$D$50000,E1203)))</f>
        <v/>
      </c>
      <c r="AP1203" s="8" t="str">
        <f aca="false">IF(A1203="","",IF(AO1203="","欠損",IF(AO1203&lt;=1.1,"1.0～1.1",IF(AO1203&lt;1.3,"1.2",IF(AO1203&lt;1.5,"1.3～1.4",IF(AO1203&lt;2,"1.5～1.9","2.0以上"))))))</f>
        <v/>
      </c>
      <c r="AQ1203" s="8" t="str">
        <f aca="false">IF(A1203="","",IF(ISNUMBER(SEARCH("2歳",Z1203)),"2歳戦",IF(ISNUMBER(SEARCH("3歳未勝利",Z1203)),"3歳未勝利",IF(ISNUMBER(SEARCH("未勝利",Z1203)),"その他未勝利",IF(ISNUMBER(SEARCH("G1",Z1203)),"G1",IF(ISNUMBER(SEARCH("G2",Z1203)),"G2",IF(ISNUMBER(SEARCH("G3",Z1203)),"G3",IF(ISNUMBER(SEARCH("古馬条件",Z1203)),"古馬条件戦",IF(ISNUMBER(SEARCH("重賞",Z1203)),"重賞","分類不能")))))))))</f>
        <v/>
      </c>
    </row>
    <row r="1204" customFormat="false" ht="15.75" hidden="false" customHeight="false" outlineLevel="0" collapsed="false">
      <c r="AO1204" s="8" t="str">
        <f aca="false">IF(A1204="","",IF(COUNTIFS(全馬データ!$A$2:$A$50000,A1204,全馬データ!$B$2:$B$50000,B1204,全馬データ!$C$2:$C$50000,C1204,全馬データ!$D$2:$D$50000,E1204,全馬データ!$K$2:$K$50000,"&lt;&gt;")=0,"",SUMIFS(全馬データ!$K$2:$K$50000,全馬データ!$A$2:$A$50000,A1204,全馬データ!$B$2:$B$50000,B1204,全馬データ!$C$2:$C$50000,C1204,全馬データ!$D$2:$D$50000,E1204)))</f>
        <v/>
      </c>
      <c r="AP1204" s="8" t="str">
        <f aca="false">IF(A1204="","",IF(AO1204="","欠損",IF(AO1204&lt;=1.1,"1.0～1.1",IF(AO1204&lt;1.3,"1.2",IF(AO1204&lt;1.5,"1.3～1.4",IF(AO1204&lt;2,"1.5～1.9","2.0以上"))))))</f>
        <v/>
      </c>
      <c r="AQ1204" s="8" t="str">
        <f aca="false">IF(A1204="","",IF(ISNUMBER(SEARCH("2歳",Z1204)),"2歳戦",IF(ISNUMBER(SEARCH("3歳未勝利",Z1204)),"3歳未勝利",IF(ISNUMBER(SEARCH("未勝利",Z1204)),"その他未勝利",IF(ISNUMBER(SEARCH("G1",Z1204)),"G1",IF(ISNUMBER(SEARCH("G2",Z1204)),"G2",IF(ISNUMBER(SEARCH("G3",Z1204)),"G3",IF(ISNUMBER(SEARCH("古馬条件",Z1204)),"古馬条件戦",IF(ISNUMBER(SEARCH("重賞",Z1204)),"重賞","分類不能")))))))))</f>
        <v/>
      </c>
    </row>
    <row r="1205" customFormat="false" ht="15.75" hidden="false" customHeight="false" outlineLevel="0" collapsed="false">
      <c r="AO1205" s="8" t="str">
        <f aca="false">IF(A1205="","",IF(COUNTIFS(全馬データ!$A$2:$A$50000,A1205,全馬データ!$B$2:$B$50000,B1205,全馬データ!$C$2:$C$50000,C1205,全馬データ!$D$2:$D$50000,E1205,全馬データ!$K$2:$K$50000,"&lt;&gt;")=0,"",SUMIFS(全馬データ!$K$2:$K$50000,全馬データ!$A$2:$A$50000,A1205,全馬データ!$B$2:$B$50000,B1205,全馬データ!$C$2:$C$50000,C1205,全馬データ!$D$2:$D$50000,E1205)))</f>
        <v/>
      </c>
      <c r="AP1205" s="8" t="str">
        <f aca="false">IF(A1205="","",IF(AO1205="","欠損",IF(AO1205&lt;=1.1,"1.0～1.1",IF(AO1205&lt;1.3,"1.2",IF(AO1205&lt;1.5,"1.3～1.4",IF(AO1205&lt;2,"1.5～1.9","2.0以上"))))))</f>
        <v/>
      </c>
      <c r="AQ1205" s="8" t="str">
        <f aca="false">IF(A1205="","",IF(ISNUMBER(SEARCH("2歳",Z1205)),"2歳戦",IF(ISNUMBER(SEARCH("3歳未勝利",Z1205)),"3歳未勝利",IF(ISNUMBER(SEARCH("未勝利",Z1205)),"その他未勝利",IF(ISNUMBER(SEARCH("G1",Z1205)),"G1",IF(ISNUMBER(SEARCH("G2",Z1205)),"G2",IF(ISNUMBER(SEARCH("G3",Z1205)),"G3",IF(ISNUMBER(SEARCH("古馬条件",Z1205)),"古馬条件戦",IF(ISNUMBER(SEARCH("重賞",Z1205)),"重賞","分類不能")))))))))</f>
        <v/>
      </c>
    </row>
    <row r="1206" customFormat="false" ht="15.75" hidden="false" customHeight="false" outlineLevel="0" collapsed="false">
      <c r="AO1206" s="8" t="str">
        <f aca="false">IF(A1206="","",IF(COUNTIFS(全馬データ!$A$2:$A$50000,A1206,全馬データ!$B$2:$B$50000,B1206,全馬データ!$C$2:$C$50000,C1206,全馬データ!$D$2:$D$50000,E1206,全馬データ!$K$2:$K$50000,"&lt;&gt;")=0,"",SUMIFS(全馬データ!$K$2:$K$50000,全馬データ!$A$2:$A$50000,A1206,全馬データ!$B$2:$B$50000,B1206,全馬データ!$C$2:$C$50000,C1206,全馬データ!$D$2:$D$50000,E1206)))</f>
        <v/>
      </c>
      <c r="AP1206" s="8" t="str">
        <f aca="false">IF(A1206="","",IF(AO1206="","欠損",IF(AO1206&lt;=1.1,"1.0～1.1",IF(AO1206&lt;1.3,"1.2",IF(AO1206&lt;1.5,"1.3～1.4",IF(AO1206&lt;2,"1.5～1.9","2.0以上"))))))</f>
        <v/>
      </c>
      <c r="AQ1206" s="8" t="str">
        <f aca="false">IF(A1206="","",IF(ISNUMBER(SEARCH("2歳",Z1206)),"2歳戦",IF(ISNUMBER(SEARCH("3歳未勝利",Z1206)),"3歳未勝利",IF(ISNUMBER(SEARCH("未勝利",Z1206)),"その他未勝利",IF(ISNUMBER(SEARCH("G1",Z1206)),"G1",IF(ISNUMBER(SEARCH("G2",Z1206)),"G2",IF(ISNUMBER(SEARCH("G3",Z1206)),"G3",IF(ISNUMBER(SEARCH("古馬条件",Z1206)),"古馬条件戦",IF(ISNUMBER(SEARCH("重賞",Z1206)),"重賞","分類不能")))))))))</f>
        <v/>
      </c>
    </row>
    <row r="1207" customFormat="false" ht="15.75" hidden="false" customHeight="false" outlineLevel="0" collapsed="false">
      <c r="AO1207" s="8" t="str">
        <f aca="false">IF(A1207="","",IF(COUNTIFS(全馬データ!$A$2:$A$50000,A1207,全馬データ!$B$2:$B$50000,B1207,全馬データ!$C$2:$C$50000,C1207,全馬データ!$D$2:$D$50000,E1207,全馬データ!$K$2:$K$50000,"&lt;&gt;")=0,"",SUMIFS(全馬データ!$K$2:$K$50000,全馬データ!$A$2:$A$50000,A1207,全馬データ!$B$2:$B$50000,B1207,全馬データ!$C$2:$C$50000,C1207,全馬データ!$D$2:$D$50000,E1207)))</f>
        <v/>
      </c>
      <c r="AP1207" s="8" t="str">
        <f aca="false">IF(A1207="","",IF(AO1207="","欠損",IF(AO1207&lt;=1.1,"1.0～1.1",IF(AO1207&lt;1.3,"1.2",IF(AO1207&lt;1.5,"1.3～1.4",IF(AO1207&lt;2,"1.5～1.9","2.0以上"))))))</f>
        <v/>
      </c>
      <c r="AQ1207" s="8" t="str">
        <f aca="false">IF(A1207="","",IF(ISNUMBER(SEARCH("2歳",Z1207)),"2歳戦",IF(ISNUMBER(SEARCH("3歳未勝利",Z1207)),"3歳未勝利",IF(ISNUMBER(SEARCH("未勝利",Z1207)),"その他未勝利",IF(ISNUMBER(SEARCH("G1",Z1207)),"G1",IF(ISNUMBER(SEARCH("G2",Z1207)),"G2",IF(ISNUMBER(SEARCH("G3",Z1207)),"G3",IF(ISNUMBER(SEARCH("古馬条件",Z1207)),"古馬条件戦",IF(ISNUMBER(SEARCH("重賞",Z1207)),"重賞","分類不能")))))))))</f>
        <v/>
      </c>
    </row>
    <row r="1208" customFormat="false" ht="15.75" hidden="false" customHeight="false" outlineLevel="0" collapsed="false">
      <c r="AO1208" s="8" t="str">
        <f aca="false">IF(A1208="","",IF(COUNTIFS(全馬データ!$A$2:$A$50000,A1208,全馬データ!$B$2:$B$50000,B1208,全馬データ!$C$2:$C$50000,C1208,全馬データ!$D$2:$D$50000,E1208,全馬データ!$K$2:$K$50000,"&lt;&gt;")=0,"",SUMIFS(全馬データ!$K$2:$K$50000,全馬データ!$A$2:$A$50000,A1208,全馬データ!$B$2:$B$50000,B1208,全馬データ!$C$2:$C$50000,C1208,全馬データ!$D$2:$D$50000,E1208)))</f>
        <v/>
      </c>
      <c r="AP1208" s="8" t="str">
        <f aca="false">IF(A1208="","",IF(AO1208="","欠損",IF(AO1208&lt;=1.1,"1.0～1.1",IF(AO1208&lt;1.3,"1.2",IF(AO1208&lt;1.5,"1.3～1.4",IF(AO1208&lt;2,"1.5～1.9","2.0以上"))))))</f>
        <v/>
      </c>
      <c r="AQ1208" s="8" t="str">
        <f aca="false">IF(A1208="","",IF(ISNUMBER(SEARCH("2歳",Z1208)),"2歳戦",IF(ISNUMBER(SEARCH("3歳未勝利",Z1208)),"3歳未勝利",IF(ISNUMBER(SEARCH("未勝利",Z1208)),"その他未勝利",IF(ISNUMBER(SEARCH("G1",Z1208)),"G1",IF(ISNUMBER(SEARCH("G2",Z1208)),"G2",IF(ISNUMBER(SEARCH("G3",Z1208)),"G3",IF(ISNUMBER(SEARCH("古馬条件",Z1208)),"古馬条件戦",IF(ISNUMBER(SEARCH("重賞",Z1208)),"重賞","分類不能")))))))))</f>
        <v/>
      </c>
    </row>
    <row r="1209" customFormat="false" ht="15.75" hidden="false" customHeight="false" outlineLevel="0" collapsed="false">
      <c r="AO1209" s="8" t="str">
        <f aca="false">IF(A1209="","",IF(COUNTIFS(全馬データ!$A$2:$A$50000,A1209,全馬データ!$B$2:$B$50000,B1209,全馬データ!$C$2:$C$50000,C1209,全馬データ!$D$2:$D$50000,E1209,全馬データ!$K$2:$K$50000,"&lt;&gt;")=0,"",SUMIFS(全馬データ!$K$2:$K$50000,全馬データ!$A$2:$A$50000,A1209,全馬データ!$B$2:$B$50000,B1209,全馬データ!$C$2:$C$50000,C1209,全馬データ!$D$2:$D$50000,E1209)))</f>
        <v/>
      </c>
      <c r="AP1209" s="8" t="str">
        <f aca="false">IF(A1209="","",IF(AO1209="","欠損",IF(AO1209&lt;=1.1,"1.0～1.1",IF(AO1209&lt;1.3,"1.2",IF(AO1209&lt;1.5,"1.3～1.4",IF(AO1209&lt;2,"1.5～1.9","2.0以上"))))))</f>
        <v/>
      </c>
      <c r="AQ1209" s="8" t="str">
        <f aca="false">IF(A1209="","",IF(ISNUMBER(SEARCH("2歳",Z1209)),"2歳戦",IF(ISNUMBER(SEARCH("3歳未勝利",Z1209)),"3歳未勝利",IF(ISNUMBER(SEARCH("未勝利",Z1209)),"その他未勝利",IF(ISNUMBER(SEARCH("G1",Z1209)),"G1",IF(ISNUMBER(SEARCH("G2",Z1209)),"G2",IF(ISNUMBER(SEARCH("G3",Z1209)),"G3",IF(ISNUMBER(SEARCH("古馬条件",Z1209)),"古馬条件戦",IF(ISNUMBER(SEARCH("重賞",Z1209)),"重賞","分類不能")))))))))</f>
        <v/>
      </c>
    </row>
    <row r="1210" customFormat="false" ht="15.75" hidden="false" customHeight="false" outlineLevel="0" collapsed="false">
      <c r="AO1210" s="8" t="str">
        <f aca="false">IF(A1210="","",IF(COUNTIFS(全馬データ!$A$2:$A$50000,A1210,全馬データ!$B$2:$B$50000,B1210,全馬データ!$C$2:$C$50000,C1210,全馬データ!$D$2:$D$50000,E1210,全馬データ!$K$2:$K$50000,"&lt;&gt;")=0,"",SUMIFS(全馬データ!$K$2:$K$50000,全馬データ!$A$2:$A$50000,A1210,全馬データ!$B$2:$B$50000,B1210,全馬データ!$C$2:$C$50000,C1210,全馬データ!$D$2:$D$50000,E1210)))</f>
        <v/>
      </c>
      <c r="AP1210" s="8" t="str">
        <f aca="false">IF(A1210="","",IF(AO1210="","欠損",IF(AO1210&lt;=1.1,"1.0～1.1",IF(AO1210&lt;1.3,"1.2",IF(AO1210&lt;1.5,"1.3～1.4",IF(AO1210&lt;2,"1.5～1.9","2.0以上"))))))</f>
        <v/>
      </c>
      <c r="AQ1210" s="8" t="str">
        <f aca="false">IF(A1210="","",IF(ISNUMBER(SEARCH("2歳",Z1210)),"2歳戦",IF(ISNUMBER(SEARCH("3歳未勝利",Z1210)),"3歳未勝利",IF(ISNUMBER(SEARCH("未勝利",Z1210)),"その他未勝利",IF(ISNUMBER(SEARCH("G1",Z1210)),"G1",IF(ISNUMBER(SEARCH("G2",Z1210)),"G2",IF(ISNUMBER(SEARCH("G3",Z1210)),"G3",IF(ISNUMBER(SEARCH("古馬条件",Z1210)),"古馬条件戦",IF(ISNUMBER(SEARCH("重賞",Z1210)),"重賞","分類不能")))))))))</f>
        <v/>
      </c>
    </row>
    <row r="1211" customFormat="false" ht="15.75" hidden="false" customHeight="false" outlineLevel="0" collapsed="false">
      <c r="AO1211" s="8" t="str">
        <f aca="false">IF(A1211="","",IF(COUNTIFS(全馬データ!$A$2:$A$50000,A1211,全馬データ!$B$2:$B$50000,B1211,全馬データ!$C$2:$C$50000,C1211,全馬データ!$D$2:$D$50000,E1211,全馬データ!$K$2:$K$50000,"&lt;&gt;")=0,"",SUMIFS(全馬データ!$K$2:$K$50000,全馬データ!$A$2:$A$50000,A1211,全馬データ!$B$2:$B$50000,B1211,全馬データ!$C$2:$C$50000,C1211,全馬データ!$D$2:$D$50000,E1211)))</f>
        <v/>
      </c>
      <c r="AP1211" s="8" t="str">
        <f aca="false">IF(A1211="","",IF(AO1211="","欠損",IF(AO1211&lt;=1.1,"1.0～1.1",IF(AO1211&lt;1.3,"1.2",IF(AO1211&lt;1.5,"1.3～1.4",IF(AO1211&lt;2,"1.5～1.9","2.0以上"))))))</f>
        <v/>
      </c>
      <c r="AQ1211" s="8" t="str">
        <f aca="false">IF(A1211="","",IF(ISNUMBER(SEARCH("2歳",Z1211)),"2歳戦",IF(ISNUMBER(SEARCH("3歳未勝利",Z1211)),"3歳未勝利",IF(ISNUMBER(SEARCH("未勝利",Z1211)),"その他未勝利",IF(ISNUMBER(SEARCH("G1",Z1211)),"G1",IF(ISNUMBER(SEARCH("G2",Z1211)),"G2",IF(ISNUMBER(SEARCH("G3",Z1211)),"G3",IF(ISNUMBER(SEARCH("古馬条件",Z1211)),"古馬条件戦",IF(ISNUMBER(SEARCH("重賞",Z1211)),"重賞","分類不能")))))))))</f>
        <v/>
      </c>
    </row>
    <row r="1212" customFormat="false" ht="15.75" hidden="false" customHeight="false" outlineLevel="0" collapsed="false">
      <c r="AO1212" s="8" t="str">
        <f aca="false">IF(A1212="","",IF(COUNTIFS(全馬データ!$A$2:$A$50000,A1212,全馬データ!$B$2:$B$50000,B1212,全馬データ!$C$2:$C$50000,C1212,全馬データ!$D$2:$D$50000,E1212,全馬データ!$K$2:$K$50000,"&lt;&gt;")=0,"",SUMIFS(全馬データ!$K$2:$K$50000,全馬データ!$A$2:$A$50000,A1212,全馬データ!$B$2:$B$50000,B1212,全馬データ!$C$2:$C$50000,C1212,全馬データ!$D$2:$D$50000,E1212)))</f>
        <v/>
      </c>
      <c r="AP1212" s="8" t="str">
        <f aca="false">IF(A1212="","",IF(AO1212="","欠損",IF(AO1212&lt;=1.1,"1.0～1.1",IF(AO1212&lt;1.3,"1.2",IF(AO1212&lt;1.5,"1.3～1.4",IF(AO1212&lt;2,"1.5～1.9","2.0以上"))))))</f>
        <v/>
      </c>
      <c r="AQ1212" s="8" t="str">
        <f aca="false">IF(A1212="","",IF(ISNUMBER(SEARCH("2歳",Z1212)),"2歳戦",IF(ISNUMBER(SEARCH("3歳未勝利",Z1212)),"3歳未勝利",IF(ISNUMBER(SEARCH("未勝利",Z1212)),"その他未勝利",IF(ISNUMBER(SEARCH("G1",Z1212)),"G1",IF(ISNUMBER(SEARCH("G2",Z1212)),"G2",IF(ISNUMBER(SEARCH("G3",Z1212)),"G3",IF(ISNUMBER(SEARCH("古馬条件",Z1212)),"古馬条件戦",IF(ISNUMBER(SEARCH("重賞",Z1212)),"重賞","分類不能")))))))))</f>
        <v/>
      </c>
    </row>
    <row r="1213" customFormat="false" ht="15.75" hidden="false" customHeight="false" outlineLevel="0" collapsed="false">
      <c r="AO1213" s="8" t="str">
        <f aca="false">IF(A1213="","",IF(COUNTIFS(全馬データ!$A$2:$A$50000,A1213,全馬データ!$B$2:$B$50000,B1213,全馬データ!$C$2:$C$50000,C1213,全馬データ!$D$2:$D$50000,E1213,全馬データ!$K$2:$K$50000,"&lt;&gt;")=0,"",SUMIFS(全馬データ!$K$2:$K$50000,全馬データ!$A$2:$A$50000,A1213,全馬データ!$B$2:$B$50000,B1213,全馬データ!$C$2:$C$50000,C1213,全馬データ!$D$2:$D$50000,E1213)))</f>
        <v/>
      </c>
      <c r="AP1213" s="8" t="str">
        <f aca="false">IF(A1213="","",IF(AO1213="","欠損",IF(AO1213&lt;=1.1,"1.0～1.1",IF(AO1213&lt;1.3,"1.2",IF(AO1213&lt;1.5,"1.3～1.4",IF(AO1213&lt;2,"1.5～1.9","2.0以上"))))))</f>
        <v/>
      </c>
      <c r="AQ1213" s="8" t="str">
        <f aca="false">IF(A1213="","",IF(ISNUMBER(SEARCH("2歳",Z1213)),"2歳戦",IF(ISNUMBER(SEARCH("3歳未勝利",Z1213)),"3歳未勝利",IF(ISNUMBER(SEARCH("未勝利",Z1213)),"その他未勝利",IF(ISNUMBER(SEARCH("G1",Z1213)),"G1",IF(ISNUMBER(SEARCH("G2",Z1213)),"G2",IF(ISNUMBER(SEARCH("G3",Z1213)),"G3",IF(ISNUMBER(SEARCH("古馬条件",Z1213)),"古馬条件戦",IF(ISNUMBER(SEARCH("重賞",Z1213)),"重賞","分類不能")))))))))</f>
        <v/>
      </c>
    </row>
    <row r="1214" customFormat="false" ht="15.75" hidden="false" customHeight="false" outlineLevel="0" collapsed="false">
      <c r="AO1214" s="8" t="str">
        <f aca="false">IF(A1214="","",IF(COUNTIFS(全馬データ!$A$2:$A$50000,A1214,全馬データ!$B$2:$B$50000,B1214,全馬データ!$C$2:$C$50000,C1214,全馬データ!$D$2:$D$50000,E1214,全馬データ!$K$2:$K$50000,"&lt;&gt;")=0,"",SUMIFS(全馬データ!$K$2:$K$50000,全馬データ!$A$2:$A$50000,A1214,全馬データ!$B$2:$B$50000,B1214,全馬データ!$C$2:$C$50000,C1214,全馬データ!$D$2:$D$50000,E1214)))</f>
        <v/>
      </c>
      <c r="AP1214" s="8" t="str">
        <f aca="false">IF(A1214="","",IF(AO1214="","欠損",IF(AO1214&lt;=1.1,"1.0～1.1",IF(AO1214&lt;1.3,"1.2",IF(AO1214&lt;1.5,"1.3～1.4",IF(AO1214&lt;2,"1.5～1.9","2.0以上"))))))</f>
        <v/>
      </c>
      <c r="AQ1214" s="8" t="str">
        <f aca="false">IF(A1214="","",IF(ISNUMBER(SEARCH("2歳",Z1214)),"2歳戦",IF(ISNUMBER(SEARCH("3歳未勝利",Z1214)),"3歳未勝利",IF(ISNUMBER(SEARCH("未勝利",Z1214)),"その他未勝利",IF(ISNUMBER(SEARCH("G1",Z1214)),"G1",IF(ISNUMBER(SEARCH("G2",Z1214)),"G2",IF(ISNUMBER(SEARCH("G3",Z1214)),"G3",IF(ISNUMBER(SEARCH("古馬条件",Z1214)),"古馬条件戦",IF(ISNUMBER(SEARCH("重賞",Z1214)),"重賞","分類不能")))))))))</f>
        <v/>
      </c>
    </row>
    <row r="1215" customFormat="false" ht="15.75" hidden="false" customHeight="false" outlineLevel="0" collapsed="false">
      <c r="AO1215" s="8" t="str">
        <f aca="false">IF(A1215="","",IF(COUNTIFS(全馬データ!$A$2:$A$50000,A1215,全馬データ!$B$2:$B$50000,B1215,全馬データ!$C$2:$C$50000,C1215,全馬データ!$D$2:$D$50000,E1215,全馬データ!$K$2:$K$50000,"&lt;&gt;")=0,"",SUMIFS(全馬データ!$K$2:$K$50000,全馬データ!$A$2:$A$50000,A1215,全馬データ!$B$2:$B$50000,B1215,全馬データ!$C$2:$C$50000,C1215,全馬データ!$D$2:$D$50000,E1215)))</f>
        <v/>
      </c>
      <c r="AP1215" s="8" t="str">
        <f aca="false">IF(A1215="","",IF(AO1215="","欠損",IF(AO1215&lt;=1.1,"1.0～1.1",IF(AO1215&lt;1.3,"1.2",IF(AO1215&lt;1.5,"1.3～1.4",IF(AO1215&lt;2,"1.5～1.9","2.0以上"))))))</f>
        <v/>
      </c>
      <c r="AQ1215" s="8" t="str">
        <f aca="false">IF(A1215="","",IF(ISNUMBER(SEARCH("2歳",Z1215)),"2歳戦",IF(ISNUMBER(SEARCH("3歳未勝利",Z1215)),"3歳未勝利",IF(ISNUMBER(SEARCH("未勝利",Z1215)),"その他未勝利",IF(ISNUMBER(SEARCH("G1",Z1215)),"G1",IF(ISNUMBER(SEARCH("G2",Z1215)),"G2",IF(ISNUMBER(SEARCH("G3",Z1215)),"G3",IF(ISNUMBER(SEARCH("古馬条件",Z1215)),"古馬条件戦",IF(ISNUMBER(SEARCH("重賞",Z1215)),"重賞","分類不能")))))))))</f>
        <v/>
      </c>
    </row>
    <row r="1216" customFormat="false" ht="15.75" hidden="false" customHeight="false" outlineLevel="0" collapsed="false">
      <c r="AO1216" s="8" t="str">
        <f aca="false">IF(A1216="","",IF(COUNTIFS(全馬データ!$A$2:$A$50000,A1216,全馬データ!$B$2:$B$50000,B1216,全馬データ!$C$2:$C$50000,C1216,全馬データ!$D$2:$D$50000,E1216,全馬データ!$K$2:$K$50000,"&lt;&gt;")=0,"",SUMIFS(全馬データ!$K$2:$K$50000,全馬データ!$A$2:$A$50000,A1216,全馬データ!$B$2:$B$50000,B1216,全馬データ!$C$2:$C$50000,C1216,全馬データ!$D$2:$D$50000,E1216)))</f>
        <v/>
      </c>
      <c r="AP1216" s="8" t="str">
        <f aca="false">IF(A1216="","",IF(AO1216="","欠損",IF(AO1216&lt;=1.1,"1.0～1.1",IF(AO1216&lt;1.3,"1.2",IF(AO1216&lt;1.5,"1.3～1.4",IF(AO1216&lt;2,"1.5～1.9","2.0以上"))))))</f>
        <v/>
      </c>
      <c r="AQ1216" s="8" t="str">
        <f aca="false">IF(A1216="","",IF(ISNUMBER(SEARCH("2歳",Z1216)),"2歳戦",IF(ISNUMBER(SEARCH("3歳未勝利",Z1216)),"3歳未勝利",IF(ISNUMBER(SEARCH("未勝利",Z1216)),"その他未勝利",IF(ISNUMBER(SEARCH("G1",Z1216)),"G1",IF(ISNUMBER(SEARCH("G2",Z1216)),"G2",IF(ISNUMBER(SEARCH("G3",Z1216)),"G3",IF(ISNUMBER(SEARCH("古馬条件",Z1216)),"古馬条件戦",IF(ISNUMBER(SEARCH("重賞",Z1216)),"重賞","分類不能")))))))))</f>
        <v/>
      </c>
    </row>
    <row r="1217" customFormat="false" ht="15.75" hidden="false" customHeight="false" outlineLevel="0" collapsed="false">
      <c r="AO1217" s="8" t="str">
        <f aca="false">IF(A1217="","",IF(COUNTIFS(全馬データ!$A$2:$A$50000,A1217,全馬データ!$B$2:$B$50000,B1217,全馬データ!$C$2:$C$50000,C1217,全馬データ!$D$2:$D$50000,E1217,全馬データ!$K$2:$K$50000,"&lt;&gt;")=0,"",SUMIFS(全馬データ!$K$2:$K$50000,全馬データ!$A$2:$A$50000,A1217,全馬データ!$B$2:$B$50000,B1217,全馬データ!$C$2:$C$50000,C1217,全馬データ!$D$2:$D$50000,E1217)))</f>
        <v/>
      </c>
      <c r="AP1217" s="8" t="str">
        <f aca="false">IF(A1217="","",IF(AO1217="","欠損",IF(AO1217&lt;=1.1,"1.0～1.1",IF(AO1217&lt;1.3,"1.2",IF(AO1217&lt;1.5,"1.3～1.4",IF(AO1217&lt;2,"1.5～1.9","2.0以上"))))))</f>
        <v/>
      </c>
      <c r="AQ1217" s="8" t="str">
        <f aca="false">IF(A1217="","",IF(ISNUMBER(SEARCH("2歳",Z1217)),"2歳戦",IF(ISNUMBER(SEARCH("3歳未勝利",Z1217)),"3歳未勝利",IF(ISNUMBER(SEARCH("未勝利",Z1217)),"その他未勝利",IF(ISNUMBER(SEARCH("G1",Z1217)),"G1",IF(ISNUMBER(SEARCH("G2",Z1217)),"G2",IF(ISNUMBER(SEARCH("G3",Z1217)),"G3",IF(ISNUMBER(SEARCH("古馬条件",Z1217)),"古馬条件戦",IF(ISNUMBER(SEARCH("重賞",Z1217)),"重賞","分類不能")))))))))</f>
        <v/>
      </c>
    </row>
    <row r="1218" customFormat="false" ht="15.75" hidden="false" customHeight="false" outlineLevel="0" collapsed="false">
      <c r="AO1218" s="8" t="str">
        <f aca="false">IF(A1218="","",IF(COUNTIFS(全馬データ!$A$2:$A$50000,A1218,全馬データ!$B$2:$B$50000,B1218,全馬データ!$C$2:$C$50000,C1218,全馬データ!$D$2:$D$50000,E1218,全馬データ!$K$2:$K$50000,"&lt;&gt;")=0,"",SUMIFS(全馬データ!$K$2:$K$50000,全馬データ!$A$2:$A$50000,A1218,全馬データ!$B$2:$B$50000,B1218,全馬データ!$C$2:$C$50000,C1218,全馬データ!$D$2:$D$50000,E1218)))</f>
        <v/>
      </c>
      <c r="AP1218" s="8" t="str">
        <f aca="false">IF(A1218="","",IF(AO1218="","欠損",IF(AO1218&lt;=1.1,"1.0～1.1",IF(AO1218&lt;1.3,"1.2",IF(AO1218&lt;1.5,"1.3～1.4",IF(AO1218&lt;2,"1.5～1.9","2.0以上"))))))</f>
        <v/>
      </c>
      <c r="AQ1218" s="8" t="str">
        <f aca="false">IF(A1218="","",IF(ISNUMBER(SEARCH("2歳",Z1218)),"2歳戦",IF(ISNUMBER(SEARCH("3歳未勝利",Z1218)),"3歳未勝利",IF(ISNUMBER(SEARCH("未勝利",Z1218)),"その他未勝利",IF(ISNUMBER(SEARCH("G1",Z1218)),"G1",IF(ISNUMBER(SEARCH("G2",Z1218)),"G2",IF(ISNUMBER(SEARCH("G3",Z1218)),"G3",IF(ISNUMBER(SEARCH("古馬条件",Z1218)),"古馬条件戦",IF(ISNUMBER(SEARCH("重賞",Z1218)),"重賞","分類不能")))))))))</f>
        <v/>
      </c>
    </row>
    <row r="1219" customFormat="false" ht="15.75" hidden="false" customHeight="false" outlineLevel="0" collapsed="false">
      <c r="AO1219" s="8" t="str">
        <f aca="false">IF(A1219="","",IF(COUNTIFS(全馬データ!$A$2:$A$50000,A1219,全馬データ!$B$2:$B$50000,B1219,全馬データ!$C$2:$C$50000,C1219,全馬データ!$D$2:$D$50000,E1219,全馬データ!$K$2:$K$50000,"&lt;&gt;")=0,"",SUMIFS(全馬データ!$K$2:$K$50000,全馬データ!$A$2:$A$50000,A1219,全馬データ!$B$2:$B$50000,B1219,全馬データ!$C$2:$C$50000,C1219,全馬データ!$D$2:$D$50000,E1219)))</f>
        <v/>
      </c>
      <c r="AP1219" s="8" t="str">
        <f aca="false">IF(A1219="","",IF(AO1219="","欠損",IF(AO1219&lt;=1.1,"1.0～1.1",IF(AO1219&lt;1.3,"1.2",IF(AO1219&lt;1.5,"1.3～1.4",IF(AO1219&lt;2,"1.5～1.9","2.0以上"))))))</f>
        <v/>
      </c>
      <c r="AQ1219" s="8" t="str">
        <f aca="false">IF(A1219="","",IF(ISNUMBER(SEARCH("2歳",Z1219)),"2歳戦",IF(ISNUMBER(SEARCH("3歳未勝利",Z1219)),"3歳未勝利",IF(ISNUMBER(SEARCH("未勝利",Z1219)),"その他未勝利",IF(ISNUMBER(SEARCH("G1",Z1219)),"G1",IF(ISNUMBER(SEARCH("G2",Z1219)),"G2",IF(ISNUMBER(SEARCH("G3",Z1219)),"G3",IF(ISNUMBER(SEARCH("古馬条件",Z1219)),"古馬条件戦",IF(ISNUMBER(SEARCH("重賞",Z1219)),"重賞","分類不能")))))))))</f>
        <v/>
      </c>
    </row>
    <row r="1220" customFormat="false" ht="15.75" hidden="false" customHeight="false" outlineLevel="0" collapsed="false">
      <c r="AO1220" s="8" t="str">
        <f aca="false">IF(A1220="","",IF(COUNTIFS(全馬データ!$A$2:$A$50000,A1220,全馬データ!$B$2:$B$50000,B1220,全馬データ!$C$2:$C$50000,C1220,全馬データ!$D$2:$D$50000,E1220,全馬データ!$K$2:$K$50000,"&lt;&gt;")=0,"",SUMIFS(全馬データ!$K$2:$K$50000,全馬データ!$A$2:$A$50000,A1220,全馬データ!$B$2:$B$50000,B1220,全馬データ!$C$2:$C$50000,C1220,全馬データ!$D$2:$D$50000,E1220)))</f>
        <v/>
      </c>
      <c r="AP1220" s="8" t="str">
        <f aca="false">IF(A1220="","",IF(AO1220="","欠損",IF(AO1220&lt;=1.1,"1.0～1.1",IF(AO1220&lt;1.3,"1.2",IF(AO1220&lt;1.5,"1.3～1.4",IF(AO1220&lt;2,"1.5～1.9","2.0以上"))))))</f>
        <v/>
      </c>
      <c r="AQ1220" s="8" t="str">
        <f aca="false">IF(A1220="","",IF(ISNUMBER(SEARCH("2歳",Z1220)),"2歳戦",IF(ISNUMBER(SEARCH("3歳未勝利",Z1220)),"3歳未勝利",IF(ISNUMBER(SEARCH("未勝利",Z1220)),"その他未勝利",IF(ISNUMBER(SEARCH("G1",Z1220)),"G1",IF(ISNUMBER(SEARCH("G2",Z1220)),"G2",IF(ISNUMBER(SEARCH("G3",Z1220)),"G3",IF(ISNUMBER(SEARCH("古馬条件",Z1220)),"古馬条件戦",IF(ISNUMBER(SEARCH("重賞",Z1220)),"重賞","分類不能")))))))))</f>
        <v/>
      </c>
    </row>
    <row r="1221" customFormat="false" ht="15.75" hidden="false" customHeight="false" outlineLevel="0" collapsed="false">
      <c r="AO1221" s="8" t="str">
        <f aca="false">IF(A1221="","",IF(COUNTIFS(全馬データ!$A$2:$A$50000,A1221,全馬データ!$B$2:$B$50000,B1221,全馬データ!$C$2:$C$50000,C1221,全馬データ!$D$2:$D$50000,E1221,全馬データ!$K$2:$K$50000,"&lt;&gt;")=0,"",SUMIFS(全馬データ!$K$2:$K$50000,全馬データ!$A$2:$A$50000,A1221,全馬データ!$B$2:$B$50000,B1221,全馬データ!$C$2:$C$50000,C1221,全馬データ!$D$2:$D$50000,E1221)))</f>
        <v/>
      </c>
      <c r="AP1221" s="8" t="str">
        <f aca="false">IF(A1221="","",IF(AO1221="","欠損",IF(AO1221&lt;=1.1,"1.0～1.1",IF(AO1221&lt;1.3,"1.2",IF(AO1221&lt;1.5,"1.3～1.4",IF(AO1221&lt;2,"1.5～1.9","2.0以上"))))))</f>
        <v/>
      </c>
      <c r="AQ1221" s="8" t="str">
        <f aca="false">IF(A1221="","",IF(ISNUMBER(SEARCH("2歳",Z1221)),"2歳戦",IF(ISNUMBER(SEARCH("3歳未勝利",Z1221)),"3歳未勝利",IF(ISNUMBER(SEARCH("未勝利",Z1221)),"その他未勝利",IF(ISNUMBER(SEARCH("G1",Z1221)),"G1",IF(ISNUMBER(SEARCH("G2",Z1221)),"G2",IF(ISNUMBER(SEARCH("G3",Z1221)),"G3",IF(ISNUMBER(SEARCH("古馬条件",Z1221)),"古馬条件戦",IF(ISNUMBER(SEARCH("重賞",Z1221)),"重賞","分類不能")))))))))</f>
        <v/>
      </c>
    </row>
    <row r="1222" customFormat="false" ht="15.75" hidden="false" customHeight="false" outlineLevel="0" collapsed="false">
      <c r="AO1222" s="8" t="str">
        <f aca="false">IF(A1222="","",IF(COUNTIFS(全馬データ!$A$2:$A$50000,A1222,全馬データ!$B$2:$B$50000,B1222,全馬データ!$C$2:$C$50000,C1222,全馬データ!$D$2:$D$50000,E1222,全馬データ!$K$2:$K$50000,"&lt;&gt;")=0,"",SUMIFS(全馬データ!$K$2:$K$50000,全馬データ!$A$2:$A$50000,A1222,全馬データ!$B$2:$B$50000,B1222,全馬データ!$C$2:$C$50000,C1222,全馬データ!$D$2:$D$50000,E1222)))</f>
        <v/>
      </c>
      <c r="AP1222" s="8" t="str">
        <f aca="false">IF(A1222="","",IF(AO1222="","欠損",IF(AO1222&lt;=1.1,"1.0～1.1",IF(AO1222&lt;1.3,"1.2",IF(AO1222&lt;1.5,"1.3～1.4",IF(AO1222&lt;2,"1.5～1.9","2.0以上"))))))</f>
        <v/>
      </c>
      <c r="AQ1222" s="8" t="str">
        <f aca="false">IF(A1222="","",IF(ISNUMBER(SEARCH("2歳",Z1222)),"2歳戦",IF(ISNUMBER(SEARCH("3歳未勝利",Z1222)),"3歳未勝利",IF(ISNUMBER(SEARCH("未勝利",Z1222)),"その他未勝利",IF(ISNUMBER(SEARCH("G1",Z1222)),"G1",IF(ISNUMBER(SEARCH("G2",Z1222)),"G2",IF(ISNUMBER(SEARCH("G3",Z1222)),"G3",IF(ISNUMBER(SEARCH("古馬条件",Z1222)),"古馬条件戦",IF(ISNUMBER(SEARCH("重賞",Z1222)),"重賞","分類不能")))))))))</f>
        <v/>
      </c>
    </row>
    <row r="1223" customFormat="false" ht="15.75" hidden="false" customHeight="false" outlineLevel="0" collapsed="false">
      <c r="AO1223" s="8" t="str">
        <f aca="false">IF(A1223="","",IF(COUNTIFS(全馬データ!$A$2:$A$50000,A1223,全馬データ!$B$2:$B$50000,B1223,全馬データ!$C$2:$C$50000,C1223,全馬データ!$D$2:$D$50000,E1223,全馬データ!$K$2:$K$50000,"&lt;&gt;")=0,"",SUMIFS(全馬データ!$K$2:$K$50000,全馬データ!$A$2:$A$50000,A1223,全馬データ!$B$2:$B$50000,B1223,全馬データ!$C$2:$C$50000,C1223,全馬データ!$D$2:$D$50000,E1223)))</f>
        <v/>
      </c>
      <c r="AP1223" s="8" t="str">
        <f aca="false">IF(A1223="","",IF(AO1223="","欠損",IF(AO1223&lt;=1.1,"1.0～1.1",IF(AO1223&lt;1.3,"1.2",IF(AO1223&lt;1.5,"1.3～1.4",IF(AO1223&lt;2,"1.5～1.9","2.0以上"))))))</f>
        <v/>
      </c>
      <c r="AQ1223" s="8" t="str">
        <f aca="false">IF(A1223="","",IF(ISNUMBER(SEARCH("2歳",Z1223)),"2歳戦",IF(ISNUMBER(SEARCH("3歳未勝利",Z1223)),"3歳未勝利",IF(ISNUMBER(SEARCH("未勝利",Z1223)),"その他未勝利",IF(ISNUMBER(SEARCH("G1",Z1223)),"G1",IF(ISNUMBER(SEARCH("G2",Z1223)),"G2",IF(ISNUMBER(SEARCH("G3",Z1223)),"G3",IF(ISNUMBER(SEARCH("古馬条件",Z1223)),"古馬条件戦",IF(ISNUMBER(SEARCH("重賞",Z1223)),"重賞","分類不能")))))))))</f>
        <v/>
      </c>
    </row>
    <row r="1224" customFormat="false" ht="15.75" hidden="false" customHeight="false" outlineLevel="0" collapsed="false">
      <c r="AO1224" s="8" t="str">
        <f aca="false">IF(A1224="","",IF(COUNTIFS(全馬データ!$A$2:$A$50000,A1224,全馬データ!$B$2:$B$50000,B1224,全馬データ!$C$2:$C$50000,C1224,全馬データ!$D$2:$D$50000,E1224,全馬データ!$K$2:$K$50000,"&lt;&gt;")=0,"",SUMIFS(全馬データ!$K$2:$K$50000,全馬データ!$A$2:$A$50000,A1224,全馬データ!$B$2:$B$50000,B1224,全馬データ!$C$2:$C$50000,C1224,全馬データ!$D$2:$D$50000,E1224)))</f>
        <v/>
      </c>
      <c r="AP1224" s="8" t="str">
        <f aca="false">IF(A1224="","",IF(AO1224="","欠損",IF(AO1224&lt;=1.1,"1.0～1.1",IF(AO1224&lt;1.3,"1.2",IF(AO1224&lt;1.5,"1.3～1.4",IF(AO1224&lt;2,"1.5～1.9","2.0以上"))))))</f>
        <v/>
      </c>
      <c r="AQ1224" s="8" t="str">
        <f aca="false">IF(A1224="","",IF(ISNUMBER(SEARCH("2歳",Z1224)),"2歳戦",IF(ISNUMBER(SEARCH("3歳未勝利",Z1224)),"3歳未勝利",IF(ISNUMBER(SEARCH("未勝利",Z1224)),"その他未勝利",IF(ISNUMBER(SEARCH("G1",Z1224)),"G1",IF(ISNUMBER(SEARCH("G2",Z1224)),"G2",IF(ISNUMBER(SEARCH("G3",Z1224)),"G3",IF(ISNUMBER(SEARCH("古馬条件",Z1224)),"古馬条件戦",IF(ISNUMBER(SEARCH("重賞",Z1224)),"重賞","分類不能")))))))))</f>
        <v/>
      </c>
    </row>
    <row r="1225" customFormat="false" ht="15.75" hidden="false" customHeight="false" outlineLevel="0" collapsed="false">
      <c r="AO1225" s="8" t="str">
        <f aca="false">IF(A1225="","",IF(COUNTIFS(全馬データ!$A$2:$A$50000,A1225,全馬データ!$B$2:$B$50000,B1225,全馬データ!$C$2:$C$50000,C1225,全馬データ!$D$2:$D$50000,E1225,全馬データ!$K$2:$K$50000,"&lt;&gt;")=0,"",SUMIFS(全馬データ!$K$2:$K$50000,全馬データ!$A$2:$A$50000,A1225,全馬データ!$B$2:$B$50000,B1225,全馬データ!$C$2:$C$50000,C1225,全馬データ!$D$2:$D$50000,E1225)))</f>
        <v/>
      </c>
      <c r="AP1225" s="8" t="str">
        <f aca="false">IF(A1225="","",IF(AO1225="","欠損",IF(AO1225&lt;=1.1,"1.0～1.1",IF(AO1225&lt;1.3,"1.2",IF(AO1225&lt;1.5,"1.3～1.4",IF(AO1225&lt;2,"1.5～1.9","2.0以上"))))))</f>
        <v/>
      </c>
      <c r="AQ1225" s="8" t="str">
        <f aca="false">IF(A1225="","",IF(ISNUMBER(SEARCH("2歳",Z1225)),"2歳戦",IF(ISNUMBER(SEARCH("3歳未勝利",Z1225)),"3歳未勝利",IF(ISNUMBER(SEARCH("未勝利",Z1225)),"その他未勝利",IF(ISNUMBER(SEARCH("G1",Z1225)),"G1",IF(ISNUMBER(SEARCH("G2",Z1225)),"G2",IF(ISNUMBER(SEARCH("G3",Z1225)),"G3",IF(ISNUMBER(SEARCH("古馬条件",Z1225)),"古馬条件戦",IF(ISNUMBER(SEARCH("重賞",Z1225)),"重賞","分類不能")))))))))</f>
        <v/>
      </c>
    </row>
    <row r="1226" customFormat="false" ht="15.75" hidden="false" customHeight="false" outlineLevel="0" collapsed="false">
      <c r="AO1226" s="8" t="str">
        <f aca="false">IF(A1226="","",IF(COUNTIFS(全馬データ!$A$2:$A$50000,A1226,全馬データ!$B$2:$B$50000,B1226,全馬データ!$C$2:$C$50000,C1226,全馬データ!$D$2:$D$50000,E1226,全馬データ!$K$2:$K$50000,"&lt;&gt;")=0,"",SUMIFS(全馬データ!$K$2:$K$50000,全馬データ!$A$2:$A$50000,A1226,全馬データ!$B$2:$B$50000,B1226,全馬データ!$C$2:$C$50000,C1226,全馬データ!$D$2:$D$50000,E1226)))</f>
        <v/>
      </c>
      <c r="AP1226" s="8" t="str">
        <f aca="false">IF(A1226="","",IF(AO1226="","欠損",IF(AO1226&lt;=1.1,"1.0～1.1",IF(AO1226&lt;1.3,"1.2",IF(AO1226&lt;1.5,"1.3～1.4",IF(AO1226&lt;2,"1.5～1.9","2.0以上"))))))</f>
        <v/>
      </c>
      <c r="AQ1226" s="8" t="str">
        <f aca="false">IF(A1226="","",IF(ISNUMBER(SEARCH("2歳",Z1226)),"2歳戦",IF(ISNUMBER(SEARCH("3歳未勝利",Z1226)),"3歳未勝利",IF(ISNUMBER(SEARCH("未勝利",Z1226)),"その他未勝利",IF(ISNUMBER(SEARCH("G1",Z1226)),"G1",IF(ISNUMBER(SEARCH("G2",Z1226)),"G2",IF(ISNUMBER(SEARCH("G3",Z1226)),"G3",IF(ISNUMBER(SEARCH("古馬条件",Z1226)),"古馬条件戦",IF(ISNUMBER(SEARCH("重賞",Z1226)),"重賞","分類不能")))))))))</f>
        <v/>
      </c>
    </row>
    <row r="1227" customFormat="false" ht="15.75" hidden="false" customHeight="false" outlineLevel="0" collapsed="false">
      <c r="AO1227" s="8" t="str">
        <f aca="false">IF(A1227="","",IF(COUNTIFS(全馬データ!$A$2:$A$50000,A1227,全馬データ!$B$2:$B$50000,B1227,全馬データ!$C$2:$C$50000,C1227,全馬データ!$D$2:$D$50000,E1227,全馬データ!$K$2:$K$50000,"&lt;&gt;")=0,"",SUMIFS(全馬データ!$K$2:$K$50000,全馬データ!$A$2:$A$50000,A1227,全馬データ!$B$2:$B$50000,B1227,全馬データ!$C$2:$C$50000,C1227,全馬データ!$D$2:$D$50000,E1227)))</f>
        <v/>
      </c>
      <c r="AP1227" s="8" t="str">
        <f aca="false">IF(A1227="","",IF(AO1227="","欠損",IF(AO1227&lt;=1.1,"1.0～1.1",IF(AO1227&lt;1.3,"1.2",IF(AO1227&lt;1.5,"1.3～1.4",IF(AO1227&lt;2,"1.5～1.9","2.0以上"))))))</f>
        <v/>
      </c>
      <c r="AQ1227" s="8" t="str">
        <f aca="false">IF(A1227="","",IF(ISNUMBER(SEARCH("2歳",Z1227)),"2歳戦",IF(ISNUMBER(SEARCH("3歳未勝利",Z1227)),"3歳未勝利",IF(ISNUMBER(SEARCH("未勝利",Z1227)),"その他未勝利",IF(ISNUMBER(SEARCH("G1",Z1227)),"G1",IF(ISNUMBER(SEARCH("G2",Z1227)),"G2",IF(ISNUMBER(SEARCH("G3",Z1227)),"G3",IF(ISNUMBER(SEARCH("古馬条件",Z1227)),"古馬条件戦",IF(ISNUMBER(SEARCH("重賞",Z1227)),"重賞","分類不能")))))))))</f>
        <v/>
      </c>
    </row>
    <row r="1228" customFormat="false" ht="15.75" hidden="false" customHeight="false" outlineLevel="0" collapsed="false">
      <c r="AO1228" s="8" t="str">
        <f aca="false">IF(A1228="","",IF(COUNTIFS(全馬データ!$A$2:$A$50000,A1228,全馬データ!$B$2:$B$50000,B1228,全馬データ!$C$2:$C$50000,C1228,全馬データ!$D$2:$D$50000,E1228,全馬データ!$K$2:$K$50000,"&lt;&gt;")=0,"",SUMIFS(全馬データ!$K$2:$K$50000,全馬データ!$A$2:$A$50000,A1228,全馬データ!$B$2:$B$50000,B1228,全馬データ!$C$2:$C$50000,C1228,全馬データ!$D$2:$D$50000,E1228)))</f>
        <v/>
      </c>
      <c r="AP1228" s="8" t="str">
        <f aca="false">IF(A1228="","",IF(AO1228="","欠損",IF(AO1228&lt;=1.1,"1.0～1.1",IF(AO1228&lt;1.3,"1.2",IF(AO1228&lt;1.5,"1.3～1.4",IF(AO1228&lt;2,"1.5～1.9","2.0以上"))))))</f>
        <v/>
      </c>
      <c r="AQ1228" s="8" t="str">
        <f aca="false">IF(A1228="","",IF(ISNUMBER(SEARCH("2歳",Z1228)),"2歳戦",IF(ISNUMBER(SEARCH("3歳未勝利",Z1228)),"3歳未勝利",IF(ISNUMBER(SEARCH("未勝利",Z1228)),"その他未勝利",IF(ISNUMBER(SEARCH("G1",Z1228)),"G1",IF(ISNUMBER(SEARCH("G2",Z1228)),"G2",IF(ISNUMBER(SEARCH("G3",Z1228)),"G3",IF(ISNUMBER(SEARCH("古馬条件",Z1228)),"古馬条件戦",IF(ISNUMBER(SEARCH("重賞",Z1228)),"重賞","分類不能")))))))))</f>
        <v/>
      </c>
    </row>
    <row r="1229" customFormat="false" ht="15.75" hidden="false" customHeight="false" outlineLevel="0" collapsed="false">
      <c r="AO1229" s="8" t="str">
        <f aca="false">IF(A1229="","",IF(COUNTIFS(全馬データ!$A$2:$A$50000,A1229,全馬データ!$B$2:$B$50000,B1229,全馬データ!$C$2:$C$50000,C1229,全馬データ!$D$2:$D$50000,E1229,全馬データ!$K$2:$K$50000,"&lt;&gt;")=0,"",SUMIFS(全馬データ!$K$2:$K$50000,全馬データ!$A$2:$A$50000,A1229,全馬データ!$B$2:$B$50000,B1229,全馬データ!$C$2:$C$50000,C1229,全馬データ!$D$2:$D$50000,E1229)))</f>
        <v/>
      </c>
      <c r="AP1229" s="8" t="str">
        <f aca="false">IF(A1229="","",IF(AO1229="","欠損",IF(AO1229&lt;=1.1,"1.0～1.1",IF(AO1229&lt;1.3,"1.2",IF(AO1229&lt;1.5,"1.3～1.4",IF(AO1229&lt;2,"1.5～1.9","2.0以上"))))))</f>
        <v/>
      </c>
      <c r="AQ1229" s="8" t="str">
        <f aca="false">IF(A1229="","",IF(ISNUMBER(SEARCH("2歳",Z1229)),"2歳戦",IF(ISNUMBER(SEARCH("3歳未勝利",Z1229)),"3歳未勝利",IF(ISNUMBER(SEARCH("未勝利",Z1229)),"その他未勝利",IF(ISNUMBER(SEARCH("G1",Z1229)),"G1",IF(ISNUMBER(SEARCH("G2",Z1229)),"G2",IF(ISNUMBER(SEARCH("G3",Z1229)),"G3",IF(ISNUMBER(SEARCH("古馬条件",Z1229)),"古馬条件戦",IF(ISNUMBER(SEARCH("重賞",Z1229)),"重賞","分類不能")))))))))</f>
        <v/>
      </c>
    </row>
    <row r="1230" customFormat="false" ht="15.75" hidden="false" customHeight="false" outlineLevel="0" collapsed="false">
      <c r="AO1230" s="8" t="str">
        <f aca="false">IF(A1230="","",IF(COUNTIFS(全馬データ!$A$2:$A$50000,A1230,全馬データ!$B$2:$B$50000,B1230,全馬データ!$C$2:$C$50000,C1230,全馬データ!$D$2:$D$50000,E1230,全馬データ!$K$2:$K$50000,"&lt;&gt;")=0,"",SUMIFS(全馬データ!$K$2:$K$50000,全馬データ!$A$2:$A$50000,A1230,全馬データ!$B$2:$B$50000,B1230,全馬データ!$C$2:$C$50000,C1230,全馬データ!$D$2:$D$50000,E1230)))</f>
        <v/>
      </c>
      <c r="AP1230" s="8" t="str">
        <f aca="false">IF(A1230="","",IF(AO1230="","欠損",IF(AO1230&lt;=1.1,"1.0～1.1",IF(AO1230&lt;1.3,"1.2",IF(AO1230&lt;1.5,"1.3～1.4",IF(AO1230&lt;2,"1.5～1.9","2.0以上"))))))</f>
        <v/>
      </c>
      <c r="AQ1230" s="8" t="str">
        <f aca="false">IF(A1230="","",IF(ISNUMBER(SEARCH("2歳",Z1230)),"2歳戦",IF(ISNUMBER(SEARCH("3歳未勝利",Z1230)),"3歳未勝利",IF(ISNUMBER(SEARCH("未勝利",Z1230)),"その他未勝利",IF(ISNUMBER(SEARCH("G1",Z1230)),"G1",IF(ISNUMBER(SEARCH("G2",Z1230)),"G2",IF(ISNUMBER(SEARCH("G3",Z1230)),"G3",IF(ISNUMBER(SEARCH("古馬条件",Z1230)),"古馬条件戦",IF(ISNUMBER(SEARCH("重賞",Z1230)),"重賞","分類不能")))))))))</f>
        <v/>
      </c>
    </row>
    <row r="1231" customFormat="false" ht="15.75" hidden="false" customHeight="false" outlineLevel="0" collapsed="false">
      <c r="AO1231" s="8" t="str">
        <f aca="false">IF(A1231="","",IF(COUNTIFS(全馬データ!$A$2:$A$50000,A1231,全馬データ!$B$2:$B$50000,B1231,全馬データ!$C$2:$C$50000,C1231,全馬データ!$D$2:$D$50000,E1231,全馬データ!$K$2:$K$50000,"&lt;&gt;")=0,"",SUMIFS(全馬データ!$K$2:$K$50000,全馬データ!$A$2:$A$50000,A1231,全馬データ!$B$2:$B$50000,B1231,全馬データ!$C$2:$C$50000,C1231,全馬データ!$D$2:$D$50000,E1231)))</f>
        <v/>
      </c>
      <c r="AP1231" s="8" t="str">
        <f aca="false">IF(A1231="","",IF(AO1231="","欠損",IF(AO1231&lt;=1.1,"1.0～1.1",IF(AO1231&lt;1.3,"1.2",IF(AO1231&lt;1.5,"1.3～1.4",IF(AO1231&lt;2,"1.5～1.9","2.0以上"))))))</f>
        <v/>
      </c>
      <c r="AQ1231" s="8" t="str">
        <f aca="false">IF(A1231="","",IF(ISNUMBER(SEARCH("2歳",Z1231)),"2歳戦",IF(ISNUMBER(SEARCH("3歳未勝利",Z1231)),"3歳未勝利",IF(ISNUMBER(SEARCH("未勝利",Z1231)),"その他未勝利",IF(ISNUMBER(SEARCH("G1",Z1231)),"G1",IF(ISNUMBER(SEARCH("G2",Z1231)),"G2",IF(ISNUMBER(SEARCH("G3",Z1231)),"G3",IF(ISNUMBER(SEARCH("古馬条件",Z1231)),"古馬条件戦",IF(ISNUMBER(SEARCH("重賞",Z1231)),"重賞","分類不能")))))))))</f>
        <v/>
      </c>
    </row>
    <row r="1232" customFormat="false" ht="15.75" hidden="false" customHeight="false" outlineLevel="0" collapsed="false">
      <c r="AO1232" s="8" t="str">
        <f aca="false">IF(A1232="","",IF(COUNTIFS(全馬データ!$A$2:$A$50000,A1232,全馬データ!$B$2:$B$50000,B1232,全馬データ!$C$2:$C$50000,C1232,全馬データ!$D$2:$D$50000,E1232,全馬データ!$K$2:$K$50000,"&lt;&gt;")=0,"",SUMIFS(全馬データ!$K$2:$K$50000,全馬データ!$A$2:$A$50000,A1232,全馬データ!$B$2:$B$50000,B1232,全馬データ!$C$2:$C$50000,C1232,全馬データ!$D$2:$D$50000,E1232)))</f>
        <v/>
      </c>
      <c r="AP1232" s="8" t="str">
        <f aca="false">IF(A1232="","",IF(AO1232="","欠損",IF(AO1232&lt;=1.1,"1.0～1.1",IF(AO1232&lt;1.3,"1.2",IF(AO1232&lt;1.5,"1.3～1.4",IF(AO1232&lt;2,"1.5～1.9","2.0以上"))))))</f>
        <v/>
      </c>
      <c r="AQ1232" s="8" t="str">
        <f aca="false">IF(A1232="","",IF(ISNUMBER(SEARCH("2歳",Z1232)),"2歳戦",IF(ISNUMBER(SEARCH("3歳未勝利",Z1232)),"3歳未勝利",IF(ISNUMBER(SEARCH("未勝利",Z1232)),"その他未勝利",IF(ISNUMBER(SEARCH("G1",Z1232)),"G1",IF(ISNUMBER(SEARCH("G2",Z1232)),"G2",IF(ISNUMBER(SEARCH("G3",Z1232)),"G3",IF(ISNUMBER(SEARCH("古馬条件",Z1232)),"古馬条件戦",IF(ISNUMBER(SEARCH("重賞",Z1232)),"重賞","分類不能")))))))))</f>
        <v/>
      </c>
    </row>
    <row r="1233" customFormat="false" ht="15.75" hidden="false" customHeight="false" outlineLevel="0" collapsed="false">
      <c r="AO1233" s="8" t="str">
        <f aca="false">IF(A1233="","",IF(COUNTIFS(全馬データ!$A$2:$A$50000,A1233,全馬データ!$B$2:$B$50000,B1233,全馬データ!$C$2:$C$50000,C1233,全馬データ!$D$2:$D$50000,E1233,全馬データ!$K$2:$K$50000,"&lt;&gt;")=0,"",SUMIFS(全馬データ!$K$2:$K$50000,全馬データ!$A$2:$A$50000,A1233,全馬データ!$B$2:$B$50000,B1233,全馬データ!$C$2:$C$50000,C1233,全馬データ!$D$2:$D$50000,E1233)))</f>
        <v/>
      </c>
      <c r="AP1233" s="8" t="str">
        <f aca="false">IF(A1233="","",IF(AO1233="","欠損",IF(AO1233&lt;=1.1,"1.0～1.1",IF(AO1233&lt;1.3,"1.2",IF(AO1233&lt;1.5,"1.3～1.4",IF(AO1233&lt;2,"1.5～1.9","2.0以上"))))))</f>
        <v/>
      </c>
      <c r="AQ1233" s="8" t="str">
        <f aca="false">IF(A1233="","",IF(ISNUMBER(SEARCH("2歳",Z1233)),"2歳戦",IF(ISNUMBER(SEARCH("3歳未勝利",Z1233)),"3歳未勝利",IF(ISNUMBER(SEARCH("未勝利",Z1233)),"その他未勝利",IF(ISNUMBER(SEARCH("G1",Z1233)),"G1",IF(ISNUMBER(SEARCH("G2",Z1233)),"G2",IF(ISNUMBER(SEARCH("G3",Z1233)),"G3",IF(ISNUMBER(SEARCH("古馬条件",Z1233)),"古馬条件戦",IF(ISNUMBER(SEARCH("重賞",Z1233)),"重賞","分類不能")))))))))</f>
        <v/>
      </c>
    </row>
    <row r="1234" customFormat="false" ht="15.75" hidden="false" customHeight="false" outlineLevel="0" collapsed="false">
      <c r="AO1234" s="8" t="str">
        <f aca="false">IF(A1234="","",IF(COUNTIFS(全馬データ!$A$2:$A$50000,A1234,全馬データ!$B$2:$B$50000,B1234,全馬データ!$C$2:$C$50000,C1234,全馬データ!$D$2:$D$50000,E1234,全馬データ!$K$2:$K$50000,"&lt;&gt;")=0,"",SUMIFS(全馬データ!$K$2:$K$50000,全馬データ!$A$2:$A$50000,A1234,全馬データ!$B$2:$B$50000,B1234,全馬データ!$C$2:$C$50000,C1234,全馬データ!$D$2:$D$50000,E1234)))</f>
        <v/>
      </c>
      <c r="AP1234" s="8" t="str">
        <f aca="false">IF(A1234="","",IF(AO1234="","欠損",IF(AO1234&lt;=1.1,"1.0～1.1",IF(AO1234&lt;1.3,"1.2",IF(AO1234&lt;1.5,"1.3～1.4",IF(AO1234&lt;2,"1.5～1.9","2.0以上"))))))</f>
        <v/>
      </c>
      <c r="AQ1234" s="8" t="str">
        <f aca="false">IF(A1234="","",IF(ISNUMBER(SEARCH("2歳",Z1234)),"2歳戦",IF(ISNUMBER(SEARCH("3歳未勝利",Z1234)),"3歳未勝利",IF(ISNUMBER(SEARCH("未勝利",Z1234)),"その他未勝利",IF(ISNUMBER(SEARCH("G1",Z1234)),"G1",IF(ISNUMBER(SEARCH("G2",Z1234)),"G2",IF(ISNUMBER(SEARCH("G3",Z1234)),"G3",IF(ISNUMBER(SEARCH("古馬条件",Z1234)),"古馬条件戦",IF(ISNUMBER(SEARCH("重賞",Z1234)),"重賞","分類不能")))))))))</f>
        <v/>
      </c>
    </row>
    <row r="1235" customFormat="false" ht="15.75" hidden="false" customHeight="false" outlineLevel="0" collapsed="false">
      <c r="AO1235" s="8" t="str">
        <f aca="false">IF(A1235="","",IF(COUNTIFS(全馬データ!$A$2:$A$50000,A1235,全馬データ!$B$2:$B$50000,B1235,全馬データ!$C$2:$C$50000,C1235,全馬データ!$D$2:$D$50000,E1235,全馬データ!$K$2:$K$50000,"&lt;&gt;")=0,"",SUMIFS(全馬データ!$K$2:$K$50000,全馬データ!$A$2:$A$50000,A1235,全馬データ!$B$2:$B$50000,B1235,全馬データ!$C$2:$C$50000,C1235,全馬データ!$D$2:$D$50000,E1235)))</f>
        <v/>
      </c>
      <c r="AP1235" s="8" t="str">
        <f aca="false">IF(A1235="","",IF(AO1235="","欠損",IF(AO1235&lt;=1.1,"1.0～1.1",IF(AO1235&lt;1.3,"1.2",IF(AO1235&lt;1.5,"1.3～1.4",IF(AO1235&lt;2,"1.5～1.9","2.0以上"))))))</f>
        <v/>
      </c>
      <c r="AQ1235" s="8" t="str">
        <f aca="false">IF(A1235="","",IF(ISNUMBER(SEARCH("2歳",Z1235)),"2歳戦",IF(ISNUMBER(SEARCH("3歳未勝利",Z1235)),"3歳未勝利",IF(ISNUMBER(SEARCH("未勝利",Z1235)),"その他未勝利",IF(ISNUMBER(SEARCH("G1",Z1235)),"G1",IF(ISNUMBER(SEARCH("G2",Z1235)),"G2",IF(ISNUMBER(SEARCH("G3",Z1235)),"G3",IF(ISNUMBER(SEARCH("古馬条件",Z1235)),"古馬条件戦",IF(ISNUMBER(SEARCH("重賞",Z1235)),"重賞","分類不能")))))))))</f>
        <v/>
      </c>
    </row>
    <row r="1236" customFormat="false" ht="15.75" hidden="false" customHeight="false" outlineLevel="0" collapsed="false">
      <c r="AO1236" s="8" t="str">
        <f aca="false">IF(A1236="","",IF(COUNTIFS(全馬データ!$A$2:$A$50000,A1236,全馬データ!$B$2:$B$50000,B1236,全馬データ!$C$2:$C$50000,C1236,全馬データ!$D$2:$D$50000,E1236,全馬データ!$K$2:$K$50000,"&lt;&gt;")=0,"",SUMIFS(全馬データ!$K$2:$K$50000,全馬データ!$A$2:$A$50000,A1236,全馬データ!$B$2:$B$50000,B1236,全馬データ!$C$2:$C$50000,C1236,全馬データ!$D$2:$D$50000,E1236)))</f>
        <v/>
      </c>
      <c r="AP1236" s="8" t="str">
        <f aca="false">IF(A1236="","",IF(AO1236="","欠損",IF(AO1236&lt;=1.1,"1.0～1.1",IF(AO1236&lt;1.3,"1.2",IF(AO1236&lt;1.5,"1.3～1.4",IF(AO1236&lt;2,"1.5～1.9","2.0以上"))))))</f>
        <v/>
      </c>
      <c r="AQ1236" s="8" t="str">
        <f aca="false">IF(A1236="","",IF(ISNUMBER(SEARCH("2歳",Z1236)),"2歳戦",IF(ISNUMBER(SEARCH("3歳未勝利",Z1236)),"3歳未勝利",IF(ISNUMBER(SEARCH("未勝利",Z1236)),"その他未勝利",IF(ISNUMBER(SEARCH("G1",Z1236)),"G1",IF(ISNUMBER(SEARCH("G2",Z1236)),"G2",IF(ISNUMBER(SEARCH("G3",Z1236)),"G3",IF(ISNUMBER(SEARCH("古馬条件",Z1236)),"古馬条件戦",IF(ISNUMBER(SEARCH("重賞",Z1236)),"重賞","分類不能")))))))))</f>
        <v/>
      </c>
    </row>
    <row r="1237" customFormat="false" ht="15.75" hidden="false" customHeight="false" outlineLevel="0" collapsed="false">
      <c r="AO1237" s="8" t="str">
        <f aca="false">IF(A1237="","",IF(COUNTIFS(全馬データ!$A$2:$A$50000,A1237,全馬データ!$B$2:$B$50000,B1237,全馬データ!$C$2:$C$50000,C1237,全馬データ!$D$2:$D$50000,E1237,全馬データ!$K$2:$K$50000,"&lt;&gt;")=0,"",SUMIFS(全馬データ!$K$2:$K$50000,全馬データ!$A$2:$A$50000,A1237,全馬データ!$B$2:$B$50000,B1237,全馬データ!$C$2:$C$50000,C1237,全馬データ!$D$2:$D$50000,E1237)))</f>
        <v/>
      </c>
      <c r="AP1237" s="8" t="str">
        <f aca="false">IF(A1237="","",IF(AO1237="","欠損",IF(AO1237&lt;=1.1,"1.0～1.1",IF(AO1237&lt;1.3,"1.2",IF(AO1237&lt;1.5,"1.3～1.4",IF(AO1237&lt;2,"1.5～1.9","2.0以上"))))))</f>
        <v/>
      </c>
      <c r="AQ1237" s="8" t="str">
        <f aca="false">IF(A1237="","",IF(ISNUMBER(SEARCH("2歳",Z1237)),"2歳戦",IF(ISNUMBER(SEARCH("3歳未勝利",Z1237)),"3歳未勝利",IF(ISNUMBER(SEARCH("未勝利",Z1237)),"その他未勝利",IF(ISNUMBER(SEARCH("G1",Z1237)),"G1",IF(ISNUMBER(SEARCH("G2",Z1237)),"G2",IF(ISNUMBER(SEARCH("G3",Z1237)),"G3",IF(ISNUMBER(SEARCH("古馬条件",Z1237)),"古馬条件戦",IF(ISNUMBER(SEARCH("重賞",Z1237)),"重賞","分類不能")))))))))</f>
        <v/>
      </c>
    </row>
    <row r="1238" customFormat="false" ht="15.75" hidden="false" customHeight="false" outlineLevel="0" collapsed="false">
      <c r="AO1238" s="8" t="str">
        <f aca="false">IF(A1238="","",IF(COUNTIFS(全馬データ!$A$2:$A$50000,A1238,全馬データ!$B$2:$B$50000,B1238,全馬データ!$C$2:$C$50000,C1238,全馬データ!$D$2:$D$50000,E1238,全馬データ!$K$2:$K$50000,"&lt;&gt;")=0,"",SUMIFS(全馬データ!$K$2:$K$50000,全馬データ!$A$2:$A$50000,A1238,全馬データ!$B$2:$B$50000,B1238,全馬データ!$C$2:$C$50000,C1238,全馬データ!$D$2:$D$50000,E1238)))</f>
        <v/>
      </c>
      <c r="AP1238" s="8" t="str">
        <f aca="false">IF(A1238="","",IF(AO1238="","欠損",IF(AO1238&lt;=1.1,"1.0～1.1",IF(AO1238&lt;1.3,"1.2",IF(AO1238&lt;1.5,"1.3～1.4",IF(AO1238&lt;2,"1.5～1.9","2.0以上"))))))</f>
        <v/>
      </c>
      <c r="AQ1238" s="8" t="str">
        <f aca="false">IF(A1238="","",IF(ISNUMBER(SEARCH("2歳",Z1238)),"2歳戦",IF(ISNUMBER(SEARCH("3歳未勝利",Z1238)),"3歳未勝利",IF(ISNUMBER(SEARCH("未勝利",Z1238)),"その他未勝利",IF(ISNUMBER(SEARCH("G1",Z1238)),"G1",IF(ISNUMBER(SEARCH("G2",Z1238)),"G2",IF(ISNUMBER(SEARCH("G3",Z1238)),"G3",IF(ISNUMBER(SEARCH("古馬条件",Z1238)),"古馬条件戦",IF(ISNUMBER(SEARCH("重賞",Z1238)),"重賞","分類不能")))))))))</f>
        <v/>
      </c>
    </row>
    <row r="1239" customFormat="false" ht="15.75" hidden="false" customHeight="false" outlineLevel="0" collapsed="false">
      <c r="AO1239" s="8" t="str">
        <f aca="false">IF(A1239="","",IF(COUNTIFS(全馬データ!$A$2:$A$50000,A1239,全馬データ!$B$2:$B$50000,B1239,全馬データ!$C$2:$C$50000,C1239,全馬データ!$D$2:$D$50000,E1239,全馬データ!$K$2:$K$50000,"&lt;&gt;")=0,"",SUMIFS(全馬データ!$K$2:$K$50000,全馬データ!$A$2:$A$50000,A1239,全馬データ!$B$2:$B$50000,B1239,全馬データ!$C$2:$C$50000,C1239,全馬データ!$D$2:$D$50000,E1239)))</f>
        <v/>
      </c>
      <c r="AP1239" s="8" t="str">
        <f aca="false">IF(A1239="","",IF(AO1239="","欠損",IF(AO1239&lt;=1.1,"1.0～1.1",IF(AO1239&lt;1.3,"1.2",IF(AO1239&lt;1.5,"1.3～1.4",IF(AO1239&lt;2,"1.5～1.9","2.0以上"))))))</f>
        <v/>
      </c>
      <c r="AQ1239" s="8" t="str">
        <f aca="false">IF(A1239="","",IF(ISNUMBER(SEARCH("2歳",Z1239)),"2歳戦",IF(ISNUMBER(SEARCH("3歳未勝利",Z1239)),"3歳未勝利",IF(ISNUMBER(SEARCH("未勝利",Z1239)),"その他未勝利",IF(ISNUMBER(SEARCH("G1",Z1239)),"G1",IF(ISNUMBER(SEARCH("G2",Z1239)),"G2",IF(ISNUMBER(SEARCH("G3",Z1239)),"G3",IF(ISNUMBER(SEARCH("古馬条件",Z1239)),"古馬条件戦",IF(ISNUMBER(SEARCH("重賞",Z1239)),"重賞","分類不能")))))))))</f>
        <v/>
      </c>
    </row>
    <row r="1240" customFormat="false" ht="15.75" hidden="false" customHeight="false" outlineLevel="0" collapsed="false">
      <c r="AO1240" s="8" t="str">
        <f aca="false">IF(A1240="","",IF(COUNTIFS(全馬データ!$A$2:$A$50000,A1240,全馬データ!$B$2:$B$50000,B1240,全馬データ!$C$2:$C$50000,C1240,全馬データ!$D$2:$D$50000,E1240,全馬データ!$K$2:$K$50000,"&lt;&gt;")=0,"",SUMIFS(全馬データ!$K$2:$K$50000,全馬データ!$A$2:$A$50000,A1240,全馬データ!$B$2:$B$50000,B1240,全馬データ!$C$2:$C$50000,C1240,全馬データ!$D$2:$D$50000,E1240)))</f>
        <v/>
      </c>
      <c r="AP1240" s="8" t="str">
        <f aca="false">IF(A1240="","",IF(AO1240="","欠損",IF(AO1240&lt;=1.1,"1.0～1.1",IF(AO1240&lt;1.3,"1.2",IF(AO1240&lt;1.5,"1.3～1.4",IF(AO1240&lt;2,"1.5～1.9","2.0以上"))))))</f>
        <v/>
      </c>
      <c r="AQ1240" s="8" t="str">
        <f aca="false">IF(A1240="","",IF(ISNUMBER(SEARCH("2歳",Z1240)),"2歳戦",IF(ISNUMBER(SEARCH("3歳未勝利",Z1240)),"3歳未勝利",IF(ISNUMBER(SEARCH("未勝利",Z1240)),"その他未勝利",IF(ISNUMBER(SEARCH("G1",Z1240)),"G1",IF(ISNUMBER(SEARCH("G2",Z1240)),"G2",IF(ISNUMBER(SEARCH("G3",Z1240)),"G3",IF(ISNUMBER(SEARCH("古馬条件",Z1240)),"古馬条件戦",IF(ISNUMBER(SEARCH("重賞",Z1240)),"重賞","分類不能")))))))))</f>
        <v/>
      </c>
    </row>
    <row r="1241" customFormat="false" ht="15.75" hidden="false" customHeight="false" outlineLevel="0" collapsed="false">
      <c r="AO1241" s="8" t="str">
        <f aca="false">IF(A1241="","",IF(COUNTIFS(全馬データ!$A$2:$A$50000,A1241,全馬データ!$B$2:$B$50000,B1241,全馬データ!$C$2:$C$50000,C1241,全馬データ!$D$2:$D$50000,E1241,全馬データ!$K$2:$K$50000,"&lt;&gt;")=0,"",SUMIFS(全馬データ!$K$2:$K$50000,全馬データ!$A$2:$A$50000,A1241,全馬データ!$B$2:$B$50000,B1241,全馬データ!$C$2:$C$50000,C1241,全馬データ!$D$2:$D$50000,E1241)))</f>
        <v/>
      </c>
      <c r="AP1241" s="8" t="str">
        <f aca="false">IF(A1241="","",IF(AO1241="","欠損",IF(AO1241&lt;=1.1,"1.0～1.1",IF(AO1241&lt;1.3,"1.2",IF(AO1241&lt;1.5,"1.3～1.4",IF(AO1241&lt;2,"1.5～1.9","2.0以上"))))))</f>
        <v/>
      </c>
      <c r="AQ1241" s="8" t="str">
        <f aca="false">IF(A1241="","",IF(ISNUMBER(SEARCH("2歳",Z1241)),"2歳戦",IF(ISNUMBER(SEARCH("3歳未勝利",Z1241)),"3歳未勝利",IF(ISNUMBER(SEARCH("未勝利",Z1241)),"その他未勝利",IF(ISNUMBER(SEARCH("G1",Z1241)),"G1",IF(ISNUMBER(SEARCH("G2",Z1241)),"G2",IF(ISNUMBER(SEARCH("G3",Z1241)),"G3",IF(ISNUMBER(SEARCH("古馬条件",Z1241)),"古馬条件戦",IF(ISNUMBER(SEARCH("重賞",Z1241)),"重賞","分類不能")))))))))</f>
        <v/>
      </c>
    </row>
    <row r="1242" customFormat="false" ht="15.75" hidden="false" customHeight="false" outlineLevel="0" collapsed="false">
      <c r="AO1242" s="8" t="str">
        <f aca="false">IF(A1242="","",IF(COUNTIFS(全馬データ!$A$2:$A$50000,A1242,全馬データ!$B$2:$B$50000,B1242,全馬データ!$C$2:$C$50000,C1242,全馬データ!$D$2:$D$50000,E1242,全馬データ!$K$2:$K$50000,"&lt;&gt;")=0,"",SUMIFS(全馬データ!$K$2:$K$50000,全馬データ!$A$2:$A$50000,A1242,全馬データ!$B$2:$B$50000,B1242,全馬データ!$C$2:$C$50000,C1242,全馬データ!$D$2:$D$50000,E1242)))</f>
        <v/>
      </c>
      <c r="AP1242" s="8" t="str">
        <f aca="false">IF(A1242="","",IF(AO1242="","欠損",IF(AO1242&lt;=1.1,"1.0～1.1",IF(AO1242&lt;1.3,"1.2",IF(AO1242&lt;1.5,"1.3～1.4",IF(AO1242&lt;2,"1.5～1.9","2.0以上"))))))</f>
        <v/>
      </c>
      <c r="AQ1242" s="8" t="str">
        <f aca="false">IF(A1242="","",IF(ISNUMBER(SEARCH("2歳",Z1242)),"2歳戦",IF(ISNUMBER(SEARCH("3歳未勝利",Z1242)),"3歳未勝利",IF(ISNUMBER(SEARCH("未勝利",Z1242)),"その他未勝利",IF(ISNUMBER(SEARCH("G1",Z1242)),"G1",IF(ISNUMBER(SEARCH("G2",Z1242)),"G2",IF(ISNUMBER(SEARCH("G3",Z1242)),"G3",IF(ISNUMBER(SEARCH("古馬条件",Z1242)),"古馬条件戦",IF(ISNUMBER(SEARCH("重賞",Z1242)),"重賞","分類不能")))))))))</f>
        <v/>
      </c>
    </row>
    <row r="1243" customFormat="false" ht="15.75" hidden="false" customHeight="false" outlineLevel="0" collapsed="false">
      <c r="AO1243" s="8" t="str">
        <f aca="false">IF(A1243="","",IF(COUNTIFS(全馬データ!$A$2:$A$50000,A1243,全馬データ!$B$2:$B$50000,B1243,全馬データ!$C$2:$C$50000,C1243,全馬データ!$D$2:$D$50000,E1243,全馬データ!$K$2:$K$50000,"&lt;&gt;")=0,"",SUMIFS(全馬データ!$K$2:$K$50000,全馬データ!$A$2:$A$50000,A1243,全馬データ!$B$2:$B$50000,B1243,全馬データ!$C$2:$C$50000,C1243,全馬データ!$D$2:$D$50000,E1243)))</f>
        <v/>
      </c>
      <c r="AP1243" s="8" t="str">
        <f aca="false">IF(A1243="","",IF(AO1243="","欠損",IF(AO1243&lt;=1.1,"1.0～1.1",IF(AO1243&lt;1.3,"1.2",IF(AO1243&lt;1.5,"1.3～1.4",IF(AO1243&lt;2,"1.5～1.9","2.0以上"))))))</f>
        <v/>
      </c>
      <c r="AQ1243" s="8" t="str">
        <f aca="false">IF(A1243="","",IF(ISNUMBER(SEARCH("2歳",Z1243)),"2歳戦",IF(ISNUMBER(SEARCH("3歳未勝利",Z1243)),"3歳未勝利",IF(ISNUMBER(SEARCH("未勝利",Z1243)),"その他未勝利",IF(ISNUMBER(SEARCH("G1",Z1243)),"G1",IF(ISNUMBER(SEARCH("G2",Z1243)),"G2",IF(ISNUMBER(SEARCH("G3",Z1243)),"G3",IF(ISNUMBER(SEARCH("古馬条件",Z1243)),"古馬条件戦",IF(ISNUMBER(SEARCH("重賞",Z1243)),"重賞","分類不能")))))))))</f>
        <v/>
      </c>
    </row>
    <row r="1244" customFormat="false" ht="15.75" hidden="false" customHeight="false" outlineLevel="0" collapsed="false">
      <c r="AO1244" s="8" t="str">
        <f aca="false">IF(A1244="","",IF(COUNTIFS(全馬データ!$A$2:$A$50000,A1244,全馬データ!$B$2:$B$50000,B1244,全馬データ!$C$2:$C$50000,C1244,全馬データ!$D$2:$D$50000,E1244,全馬データ!$K$2:$K$50000,"&lt;&gt;")=0,"",SUMIFS(全馬データ!$K$2:$K$50000,全馬データ!$A$2:$A$50000,A1244,全馬データ!$B$2:$B$50000,B1244,全馬データ!$C$2:$C$50000,C1244,全馬データ!$D$2:$D$50000,E1244)))</f>
        <v/>
      </c>
      <c r="AP1244" s="8" t="str">
        <f aca="false">IF(A1244="","",IF(AO1244="","欠損",IF(AO1244&lt;=1.1,"1.0～1.1",IF(AO1244&lt;1.3,"1.2",IF(AO1244&lt;1.5,"1.3～1.4",IF(AO1244&lt;2,"1.5～1.9","2.0以上"))))))</f>
        <v/>
      </c>
      <c r="AQ1244" s="8" t="str">
        <f aca="false">IF(A1244="","",IF(ISNUMBER(SEARCH("2歳",Z1244)),"2歳戦",IF(ISNUMBER(SEARCH("3歳未勝利",Z1244)),"3歳未勝利",IF(ISNUMBER(SEARCH("未勝利",Z1244)),"その他未勝利",IF(ISNUMBER(SEARCH("G1",Z1244)),"G1",IF(ISNUMBER(SEARCH("G2",Z1244)),"G2",IF(ISNUMBER(SEARCH("G3",Z1244)),"G3",IF(ISNUMBER(SEARCH("古馬条件",Z1244)),"古馬条件戦",IF(ISNUMBER(SEARCH("重賞",Z1244)),"重賞","分類不能")))))))))</f>
        <v/>
      </c>
    </row>
    <row r="1245" customFormat="false" ht="15.75" hidden="false" customHeight="false" outlineLevel="0" collapsed="false">
      <c r="AO1245" s="8" t="str">
        <f aca="false">IF(A1245="","",IF(COUNTIFS(全馬データ!$A$2:$A$50000,A1245,全馬データ!$B$2:$B$50000,B1245,全馬データ!$C$2:$C$50000,C1245,全馬データ!$D$2:$D$50000,E1245,全馬データ!$K$2:$K$50000,"&lt;&gt;")=0,"",SUMIFS(全馬データ!$K$2:$K$50000,全馬データ!$A$2:$A$50000,A1245,全馬データ!$B$2:$B$50000,B1245,全馬データ!$C$2:$C$50000,C1245,全馬データ!$D$2:$D$50000,E1245)))</f>
        <v/>
      </c>
      <c r="AP1245" s="8" t="str">
        <f aca="false">IF(A1245="","",IF(AO1245="","欠損",IF(AO1245&lt;=1.1,"1.0～1.1",IF(AO1245&lt;1.3,"1.2",IF(AO1245&lt;1.5,"1.3～1.4",IF(AO1245&lt;2,"1.5～1.9","2.0以上"))))))</f>
        <v/>
      </c>
      <c r="AQ1245" s="8" t="str">
        <f aca="false">IF(A1245="","",IF(ISNUMBER(SEARCH("2歳",Z1245)),"2歳戦",IF(ISNUMBER(SEARCH("3歳未勝利",Z1245)),"3歳未勝利",IF(ISNUMBER(SEARCH("未勝利",Z1245)),"その他未勝利",IF(ISNUMBER(SEARCH("G1",Z1245)),"G1",IF(ISNUMBER(SEARCH("G2",Z1245)),"G2",IF(ISNUMBER(SEARCH("G3",Z1245)),"G3",IF(ISNUMBER(SEARCH("古馬条件",Z1245)),"古馬条件戦",IF(ISNUMBER(SEARCH("重賞",Z1245)),"重賞","分類不能")))))))))</f>
        <v/>
      </c>
    </row>
    <row r="1246" customFormat="false" ht="15.75" hidden="false" customHeight="false" outlineLevel="0" collapsed="false">
      <c r="AO1246" s="8" t="str">
        <f aca="false">IF(A1246="","",IF(COUNTIFS(全馬データ!$A$2:$A$50000,A1246,全馬データ!$B$2:$B$50000,B1246,全馬データ!$C$2:$C$50000,C1246,全馬データ!$D$2:$D$50000,E1246,全馬データ!$K$2:$K$50000,"&lt;&gt;")=0,"",SUMIFS(全馬データ!$K$2:$K$50000,全馬データ!$A$2:$A$50000,A1246,全馬データ!$B$2:$B$50000,B1246,全馬データ!$C$2:$C$50000,C1246,全馬データ!$D$2:$D$50000,E1246)))</f>
        <v/>
      </c>
      <c r="AP1246" s="8" t="str">
        <f aca="false">IF(A1246="","",IF(AO1246="","欠損",IF(AO1246&lt;=1.1,"1.0～1.1",IF(AO1246&lt;1.3,"1.2",IF(AO1246&lt;1.5,"1.3～1.4",IF(AO1246&lt;2,"1.5～1.9","2.0以上"))))))</f>
        <v/>
      </c>
      <c r="AQ1246" s="8" t="str">
        <f aca="false">IF(A1246="","",IF(ISNUMBER(SEARCH("2歳",Z1246)),"2歳戦",IF(ISNUMBER(SEARCH("3歳未勝利",Z1246)),"3歳未勝利",IF(ISNUMBER(SEARCH("未勝利",Z1246)),"その他未勝利",IF(ISNUMBER(SEARCH("G1",Z1246)),"G1",IF(ISNUMBER(SEARCH("G2",Z1246)),"G2",IF(ISNUMBER(SEARCH("G3",Z1246)),"G3",IF(ISNUMBER(SEARCH("古馬条件",Z1246)),"古馬条件戦",IF(ISNUMBER(SEARCH("重賞",Z1246)),"重賞","分類不能")))))))))</f>
        <v/>
      </c>
    </row>
    <row r="1247" customFormat="false" ht="15.75" hidden="false" customHeight="false" outlineLevel="0" collapsed="false">
      <c r="AO1247" s="8" t="str">
        <f aca="false">IF(A1247="","",IF(COUNTIFS(全馬データ!$A$2:$A$50000,A1247,全馬データ!$B$2:$B$50000,B1247,全馬データ!$C$2:$C$50000,C1247,全馬データ!$D$2:$D$50000,E1247,全馬データ!$K$2:$K$50000,"&lt;&gt;")=0,"",SUMIFS(全馬データ!$K$2:$K$50000,全馬データ!$A$2:$A$50000,A1247,全馬データ!$B$2:$B$50000,B1247,全馬データ!$C$2:$C$50000,C1247,全馬データ!$D$2:$D$50000,E1247)))</f>
        <v/>
      </c>
      <c r="AP1247" s="8" t="str">
        <f aca="false">IF(A1247="","",IF(AO1247="","欠損",IF(AO1247&lt;=1.1,"1.0～1.1",IF(AO1247&lt;1.3,"1.2",IF(AO1247&lt;1.5,"1.3～1.4",IF(AO1247&lt;2,"1.5～1.9","2.0以上"))))))</f>
        <v/>
      </c>
      <c r="AQ1247" s="8" t="str">
        <f aca="false">IF(A1247="","",IF(ISNUMBER(SEARCH("2歳",Z1247)),"2歳戦",IF(ISNUMBER(SEARCH("3歳未勝利",Z1247)),"3歳未勝利",IF(ISNUMBER(SEARCH("未勝利",Z1247)),"その他未勝利",IF(ISNUMBER(SEARCH("G1",Z1247)),"G1",IF(ISNUMBER(SEARCH("G2",Z1247)),"G2",IF(ISNUMBER(SEARCH("G3",Z1247)),"G3",IF(ISNUMBER(SEARCH("古馬条件",Z1247)),"古馬条件戦",IF(ISNUMBER(SEARCH("重賞",Z1247)),"重賞","分類不能")))))))))</f>
        <v/>
      </c>
    </row>
    <row r="1248" customFormat="false" ht="15.75" hidden="false" customHeight="false" outlineLevel="0" collapsed="false">
      <c r="AO1248" s="8" t="str">
        <f aca="false">IF(A1248="","",IF(COUNTIFS(全馬データ!$A$2:$A$50000,A1248,全馬データ!$B$2:$B$50000,B1248,全馬データ!$C$2:$C$50000,C1248,全馬データ!$D$2:$D$50000,E1248,全馬データ!$K$2:$K$50000,"&lt;&gt;")=0,"",SUMIFS(全馬データ!$K$2:$K$50000,全馬データ!$A$2:$A$50000,A1248,全馬データ!$B$2:$B$50000,B1248,全馬データ!$C$2:$C$50000,C1248,全馬データ!$D$2:$D$50000,E1248)))</f>
        <v/>
      </c>
      <c r="AP1248" s="8" t="str">
        <f aca="false">IF(A1248="","",IF(AO1248="","欠損",IF(AO1248&lt;=1.1,"1.0～1.1",IF(AO1248&lt;1.3,"1.2",IF(AO1248&lt;1.5,"1.3～1.4",IF(AO1248&lt;2,"1.5～1.9","2.0以上"))))))</f>
        <v/>
      </c>
      <c r="AQ1248" s="8" t="str">
        <f aca="false">IF(A1248="","",IF(ISNUMBER(SEARCH("2歳",Z1248)),"2歳戦",IF(ISNUMBER(SEARCH("3歳未勝利",Z1248)),"3歳未勝利",IF(ISNUMBER(SEARCH("未勝利",Z1248)),"その他未勝利",IF(ISNUMBER(SEARCH("G1",Z1248)),"G1",IF(ISNUMBER(SEARCH("G2",Z1248)),"G2",IF(ISNUMBER(SEARCH("G3",Z1248)),"G3",IF(ISNUMBER(SEARCH("古馬条件",Z1248)),"古馬条件戦",IF(ISNUMBER(SEARCH("重賞",Z1248)),"重賞","分類不能")))))))))</f>
        <v/>
      </c>
    </row>
    <row r="1249" customFormat="false" ht="15.75" hidden="false" customHeight="false" outlineLevel="0" collapsed="false">
      <c r="AO1249" s="8" t="str">
        <f aca="false">IF(A1249="","",IF(COUNTIFS(全馬データ!$A$2:$A$50000,A1249,全馬データ!$B$2:$B$50000,B1249,全馬データ!$C$2:$C$50000,C1249,全馬データ!$D$2:$D$50000,E1249,全馬データ!$K$2:$K$50000,"&lt;&gt;")=0,"",SUMIFS(全馬データ!$K$2:$K$50000,全馬データ!$A$2:$A$50000,A1249,全馬データ!$B$2:$B$50000,B1249,全馬データ!$C$2:$C$50000,C1249,全馬データ!$D$2:$D$50000,E1249)))</f>
        <v/>
      </c>
      <c r="AP1249" s="8" t="str">
        <f aca="false">IF(A1249="","",IF(AO1249="","欠損",IF(AO1249&lt;=1.1,"1.0～1.1",IF(AO1249&lt;1.3,"1.2",IF(AO1249&lt;1.5,"1.3～1.4",IF(AO1249&lt;2,"1.5～1.9","2.0以上"))))))</f>
        <v/>
      </c>
      <c r="AQ1249" s="8" t="str">
        <f aca="false">IF(A1249="","",IF(ISNUMBER(SEARCH("2歳",Z1249)),"2歳戦",IF(ISNUMBER(SEARCH("3歳未勝利",Z1249)),"3歳未勝利",IF(ISNUMBER(SEARCH("未勝利",Z1249)),"その他未勝利",IF(ISNUMBER(SEARCH("G1",Z1249)),"G1",IF(ISNUMBER(SEARCH("G2",Z1249)),"G2",IF(ISNUMBER(SEARCH("G3",Z1249)),"G3",IF(ISNUMBER(SEARCH("古馬条件",Z1249)),"古馬条件戦",IF(ISNUMBER(SEARCH("重賞",Z1249)),"重賞","分類不能")))))))))</f>
        <v/>
      </c>
    </row>
    <row r="1250" customFormat="false" ht="15.75" hidden="false" customHeight="false" outlineLevel="0" collapsed="false">
      <c r="AO1250" s="8" t="str">
        <f aca="false">IF(A1250="","",IF(COUNTIFS(全馬データ!$A$2:$A$50000,A1250,全馬データ!$B$2:$B$50000,B1250,全馬データ!$C$2:$C$50000,C1250,全馬データ!$D$2:$D$50000,E1250,全馬データ!$K$2:$K$50000,"&lt;&gt;")=0,"",SUMIFS(全馬データ!$K$2:$K$50000,全馬データ!$A$2:$A$50000,A1250,全馬データ!$B$2:$B$50000,B1250,全馬データ!$C$2:$C$50000,C1250,全馬データ!$D$2:$D$50000,E1250)))</f>
        <v/>
      </c>
      <c r="AP1250" s="8" t="str">
        <f aca="false">IF(A1250="","",IF(AO1250="","欠損",IF(AO1250&lt;=1.1,"1.0～1.1",IF(AO1250&lt;1.3,"1.2",IF(AO1250&lt;1.5,"1.3～1.4",IF(AO1250&lt;2,"1.5～1.9","2.0以上"))))))</f>
        <v/>
      </c>
      <c r="AQ1250" s="8" t="str">
        <f aca="false">IF(A1250="","",IF(ISNUMBER(SEARCH("2歳",Z1250)),"2歳戦",IF(ISNUMBER(SEARCH("3歳未勝利",Z1250)),"3歳未勝利",IF(ISNUMBER(SEARCH("未勝利",Z1250)),"その他未勝利",IF(ISNUMBER(SEARCH("G1",Z1250)),"G1",IF(ISNUMBER(SEARCH("G2",Z1250)),"G2",IF(ISNUMBER(SEARCH("G3",Z1250)),"G3",IF(ISNUMBER(SEARCH("古馬条件",Z1250)),"古馬条件戦",IF(ISNUMBER(SEARCH("重賞",Z1250)),"重賞","分類不能")))))))))</f>
        <v/>
      </c>
    </row>
    <row r="1251" customFormat="false" ht="15.75" hidden="false" customHeight="false" outlineLevel="0" collapsed="false">
      <c r="AO1251" s="8" t="str">
        <f aca="false">IF(A1251="","",IF(COUNTIFS(全馬データ!$A$2:$A$50000,A1251,全馬データ!$B$2:$B$50000,B1251,全馬データ!$C$2:$C$50000,C1251,全馬データ!$D$2:$D$50000,E1251,全馬データ!$K$2:$K$50000,"&lt;&gt;")=0,"",SUMIFS(全馬データ!$K$2:$K$50000,全馬データ!$A$2:$A$50000,A1251,全馬データ!$B$2:$B$50000,B1251,全馬データ!$C$2:$C$50000,C1251,全馬データ!$D$2:$D$50000,E1251)))</f>
        <v/>
      </c>
      <c r="AP1251" s="8" t="str">
        <f aca="false">IF(A1251="","",IF(AO1251="","欠損",IF(AO1251&lt;=1.1,"1.0～1.1",IF(AO1251&lt;1.3,"1.2",IF(AO1251&lt;1.5,"1.3～1.4",IF(AO1251&lt;2,"1.5～1.9","2.0以上"))))))</f>
        <v/>
      </c>
      <c r="AQ1251" s="8" t="str">
        <f aca="false">IF(A1251="","",IF(ISNUMBER(SEARCH("2歳",Z1251)),"2歳戦",IF(ISNUMBER(SEARCH("3歳未勝利",Z1251)),"3歳未勝利",IF(ISNUMBER(SEARCH("未勝利",Z1251)),"その他未勝利",IF(ISNUMBER(SEARCH("G1",Z1251)),"G1",IF(ISNUMBER(SEARCH("G2",Z1251)),"G2",IF(ISNUMBER(SEARCH("G3",Z1251)),"G3",IF(ISNUMBER(SEARCH("古馬条件",Z1251)),"古馬条件戦",IF(ISNUMBER(SEARCH("重賞",Z1251)),"重賞","分類不能")))))))))</f>
        <v/>
      </c>
    </row>
    <row r="1252" customFormat="false" ht="15.75" hidden="false" customHeight="false" outlineLevel="0" collapsed="false">
      <c r="AO1252" s="8" t="str">
        <f aca="false">IF(A1252="","",IF(COUNTIFS(全馬データ!$A$2:$A$50000,A1252,全馬データ!$B$2:$B$50000,B1252,全馬データ!$C$2:$C$50000,C1252,全馬データ!$D$2:$D$50000,E1252,全馬データ!$K$2:$K$50000,"&lt;&gt;")=0,"",SUMIFS(全馬データ!$K$2:$K$50000,全馬データ!$A$2:$A$50000,A1252,全馬データ!$B$2:$B$50000,B1252,全馬データ!$C$2:$C$50000,C1252,全馬データ!$D$2:$D$50000,E1252)))</f>
        <v/>
      </c>
      <c r="AP1252" s="8" t="str">
        <f aca="false">IF(A1252="","",IF(AO1252="","欠損",IF(AO1252&lt;=1.1,"1.0～1.1",IF(AO1252&lt;1.3,"1.2",IF(AO1252&lt;1.5,"1.3～1.4",IF(AO1252&lt;2,"1.5～1.9","2.0以上"))))))</f>
        <v/>
      </c>
      <c r="AQ1252" s="8" t="str">
        <f aca="false">IF(A1252="","",IF(ISNUMBER(SEARCH("2歳",Z1252)),"2歳戦",IF(ISNUMBER(SEARCH("3歳未勝利",Z1252)),"3歳未勝利",IF(ISNUMBER(SEARCH("未勝利",Z1252)),"その他未勝利",IF(ISNUMBER(SEARCH("G1",Z1252)),"G1",IF(ISNUMBER(SEARCH("G2",Z1252)),"G2",IF(ISNUMBER(SEARCH("G3",Z1252)),"G3",IF(ISNUMBER(SEARCH("古馬条件",Z1252)),"古馬条件戦",IF(ISNUMBER(SEARCH("重賞",Z1252)),"重賞","分類不能")))))))))</f>
        <v/>
      </c>
    </row>
    <row r="1253" customFormat="false" ht="15.75" hidden="false" customHeight="false" outlineLevel="0" collapsed="false">
      <c r="AO1253" s="8" t="str">
        <f aca="false">IF(A1253="","",IF(COUNTIFS(全馬データ!$A$2:$A$50000,A1253,全馬データ!$B$2:$B$50000,B1253,全馬データ!$C$2:$C$50000,C1253,全馬データ!$D$2:$D$50000,E1253,全馬データ!$K$2:$K$50000,"&lt;&gt;")=0,"",SUMIFS(全馬データ!$K$2:$K$50000,全馬データ!$A$2:$A$50000,A1253,全馬データ!$B$2:$B$50000,B1253,全馬データ!$C$2:$C$50000,C1253,全馬データ!$D$2:$D$50000,E1253)))</f>
        <v/>
      </c>
      <c r="AP1253" s="8" t="str">
        <f aca="false">IF(A1253="","",IF(AO1253="","欠損",IF(AO1253&lt;=1.1,"1.0～1.1",IF(AO1253&lt;1.3,"1.2",IF(AO1253&lt;1.5,"1.3～1.4",IF(AO1253&lt;2,"1.5～1.9","2.0以上"))))))</f>
        <v/>
      </c>
      <c r="AQ1253" s="8" t="str">
        <f aca="false">IF(A1253="","",IF(ISNUMBER(SEARCH("2歳",Z1253)),"2歳戦",IF(ISNUMBER(SEARCH("3歳未勝利",Z1253)),"3歳未勝利",IF(ISNUMBER(SEARCH("未勝利",Z1253)),"その他未勝利",IF(ISNUMBER(SEARCH("G1",Z1253)),"G1",IF(ISNUMBER(SEARCH("G2",Z1253)),"G2",IF(ISNUMBER(SEARCH("G3",Z1253)),"G3",IF(ISNUMBER(SEARCH("古馬条件",Z1253)),"古馬条件戦",IF(ISNUMBER(SEARCH("重賞",Z1253)),"重賞","分類不能")))))))))</f>
        <v/>
      </c>
    </row>
    <row r="1254" customFormat="false" ht="15.75" hidden="false" customHeight="false" outlineLevel="0" collapsed="false">
      <c r="AO1254" s="8" t="str">
        <f aca="false">IF(A1254="","",IF(COUNTIFS(全馬データ!$A$2:$A$50000,A1254,全馬データ!$B$2:$B$50000,B1254,全馬データ!$C$2:$C$50000,C1254,全馬データ!$D$2:$D$50000,E1254,全馬データ!$K$2:$K$50000,"&lt;&gt;")=0,"",SUMIFS(全馬データ!$K$2:$K$50000,全馬データ!$A$2:$A$50000,A1254,全馬データ!$B$2:$B$50000,B1254,全馬データ!$C$2:$C$50000,C1254,全馬データ!$D$2:$D$50000,E1254)))</f>
        <v/>
      </c>
      <c r="AP1254" s="8" t="str">
        <f aca="false">IF(A1254="","",IF(AO1254="","欠損",IF(AO1254&lt;=1.1,"1.0～1.1",IF(AO1254&lt;1.3,"1.2",IF(AO1254&lt;1.5,"1.3～1.4",IF(AO1254&lt;2,"1.5～1.9","2.0以上"))))))</f>
        <v/>
      </c>
      <c r="AQ1254" s="8" t="str">
        <f aca="false">IF(A1254="","",IF(ISNUMBER(SEARCH("2歳",Z1254)),"2歳戦",IF(ISNUMBER(SEARCH("3歳未勝利",Z1254)),"3歳未勝利",IF(ISNUMBER(SEARCH("未勝利",Z1254)),"その他未勝利",IF(ISNUMBER(SEARCH("G1",Z1254)),"G1",IF(ISNUMBER(SEARCH("G2",Z1254)),"G2",IF(ISNUMBER(SEARCH("G3",Z1254)),"G3",IF(ISNUMBER(SEARCH("古馬条件",Z1254)),"古馬条件戦",IF(ISNUMBER(SEARCH("重賞",Z1254)),"重賞","分類不能")))))))))</f>
        <v/>
      </c>
    </row>
    <row r="1255" customFormat="false" ht="15.75" hidden="false" customHeight="false" outlineLevel="0" collapsed="false">
      <c r="AO1255" s="8" t="str">
        <f aca="false">IF(A1255="","",IF(COUNTIFS(全馬データ!$A$2:$A$50000,A1255,全馬データ!$B$2:$B$50000,B1255,全馬データ!$C$2:$C$50000,C1255,全馬データ!$D$2:$D$50000,E1255,全馬データ!$K$2:$K$50000,"&lt;&gt;")=0,"",SUMIFS(全馬データ!$K$2:$K$50000,全馬データ!$A$2:$A$50000,A1255,全馬データ!$B$2:$B$50000,B1255,全馬データ!$C$2:$C$50000,C1255,全馬データ!$D$2:$D$50000,E1255)))</f>
        <v/>
      </c>
      <c r="AP1255" s="8" t="str">
        <f aca="false">IF(A1255="","",IF(AO1255="","欠損",IF(AO1255&lt;=1.1,"1.0～1.1",IF(AO1255&lt;1.3,"1.2",IF(AO1255&lt;1.5,"1.3～1.4",IF(AO1255&lt;2,"1.5～1.9","2.0以上"))))))</f>
        <v/>
      </c>
      <c r="AQ1255" s="8" t="str">
        <f aca="false">IF(A1255="","",IF(ISNUMBER(SEARCH("2歳",Z1255)),"2歳戦",IF(ISNUMBER(SEARCH("3歳未勝利",Z1255)),"3歳未勝利",IF(ISNUMBER(SEARCH("未勝利",Z1255)),"その他未勝利",IF(ISNUMBER(SEARCH("G1",Z1255)),"G1",IF(ISNUMBER(SEARCH("G2",Z1255)),"G2",IF(ISNUMBER(SEARCH("G3",Z1255)),"G3",IF(ISNUMBER(SEARCH("古馬条件",Z1255)),"古馬条件戦",IF(ISNUMBER(SEARCH("重賞",Z1255)),"重賞","分類不能")))))))))</f>
        <v/>
      </c>
    </row>
    <row r="1256" customFormat="false" ht="15.75" hidden="false" customHeight="false" outlineLevel="0" collapsed="false">
      <c r="AO1256" s="8" t="str">
        <f aca="false">IF(A1256="","",IF(COUNTIFS(全馬データ!$A$2:$A$50000,A1256,全馬データ!$B$2:$B$50000,B1256,全馬データ!$C$2:$C$50000,C1256,全馬データ!$D$2:$D$50000,E1256,全馬データ!$K$2:$K$50000,"&lt;&gt;")=0,"",SUMIFS(全馬データ!$K$2:$K$50000,全馬データ!$A$2:$A$50000,A1256,全馬データ!$B$2:$B$50000,B1256,全馬データ!$C$2:$C$50000,C1256,全馬データ!$D$2:$D$50000,E1256)))</f>
        <v/>
      </c>
      <c r="AP1256" s="8" t="str">
        <f aca="false">IF(A1256="","",IF(AO1256="","欠損",IF(AO1256&lt;=1.1,"1.0～1.1",IF(AO1256&lt;1.3,"1.2",IF(AO1256&lt;1.5,"1.3～1.4",IF(AO1256&lt;2,"1.5～1.9","2.0以上"))))))</f>
        <v/>
      </c>
      <c r="AQ1256" s="8" t="str">
        <f aca="false">IF(A1256="","",IF(ISNUMBER(SEARCH("2歳",Z1256)),"2歳戦",IF(ISNUMBER(SEARCH("3歳未勝利",Z1256)),"3歳未勝利",IF(ISNUMBER(SEARCH("未勝利",Z1256)),"その他未勝利",IF(ISNUMBER(SEARCH("G1",Z1256)),"G1",IF(ISNUMBER(SEARCH("G2",Z1256)),"G2",IF(ISNUMBER(SEARCH("G3",Z1256)),"G3",IF(ISNUMBER(SEARCH("古馬条件",Z1256)),"古馬条件戦",IF(ISNUMBER(SEARCH("重賞",Z1256)),"重賞","分類不能")))))))))</f>
        <v/>
      </c>
    </row>
    <row r="1257" customFormat="false" ht="15.75" hidden="false" customHeight="false" outlineLevel="0" collapsed="false">
      <c r="AO1257" s="8" t="str">
        <f aca="false">IF(A1257="","",IF(COUNTIFS(全馬データ!$A$2:$A$50000,A1257,全馬データ!$B$2:$B$50000,B1257,全馬データ!$C$2:$C$50000,C1257,全馬データ!$D$2:$D$50000,E1257,全馬データ!$K$2:$K$50000,"&lt;&gt;")=0,"",SUMIFS(全馬データ!$K$2:$K$50000,全馬データ!$A$2:$A$50000,A1257,全馬データ!$B$2:$B$50000,B1257,全馬データ!$C$2:$C$50000,C1257,全馬データ!$D$2:$D$50000,E1257)))</f>
        <v/>
      </c>
      <c r="AP1257" s="8" t="str">
        <f aca="false">IF(A1257="","",IF(AO1257="","欠損",IF(AO1257&lt;=1.1,"1.0～1.1",IF(AO1257&lt;1.3,"1.2",IF(AO1257&lt;1.5,"1.3～1.4",IF(AO1257&lt;2,"1.5～1.9","2.0以上"))))))</f>
        <v/>
      </c>
      <c r="AQ1257" s="8" t="str">
        <f aca="false">IF(A1257="","",IF(ISNUMBER(SEARCH("2歳",Z1257)),"2歳戦",IF(ISNUMBER(SEARCH("3歳未勝利",Z1257)),"3歳未勝利",IF(ISNUMBER(SEARCH("未勝利",Z1257)),"その他未勝利",IF(ISNUMBER(SEARCH("G1",Z1257)),"G1",IF(ISNUMBER(SEARCH("G2",Z1257)),"G2",IF(ISNUMBER(SEARCH("G3",Z1257)),"G3",IF(ISNUMBER(SEARCH("古馬条件",Z1257)),"古馬条件戦",IF(ISNUMBER(SEARCH("重賞",Z1257)),"重賞","分類不能")))))))))</f>
        <v/>
      </c>
    </row>
    <row r="1258" customFormat="false" ht="15.75" hidden="false" customHeight="false" outlineLevel="0" collapsed="false">
      <c r="AO1258" s="8" t="str">
        <f aca="false">IF(A1258="","",IF(COUNTIFS(全馬データ!$A$2:$A$50000,A1258,全馬データ!$B$2:$B$50000,B1258,全馬データ!$C$2:$C$50000,C1258,全馬データ!$D$2:$D$50000,E1258,全馬データ!$K$2:$K$50000,"&lt;&gt;")=0,"",SUMIFS(全馬データ!$K$2:$K$50000,全馬データ!$A$2:$A$50000,A1258,全馬データ!$B$2:$B$50000,B1258,全馬データ!$C$2:$C$50000,C1258,全馬データ!$D$2:$D$50000,E1258)))</f>
        <v/>
      </c>
      <c r="AP1258" s="8" t="str">
        <f aca="false">IF(A1258="","",IF(AO1258="","欠損",IF(AO1258&lt;=1.1,"1.0～1.1",IF(AO1258&lt;1.3,"1.2",IF(AO1258&lt;1.5,"1.3～1.4",IF(AO1258&lt;2,"1.5～1.9","2.0以上"))))))</f>
        <v/>
      </c>
      <c r="AQ1258" s="8" t="str">
        <f aca="false">IF(A1258="","",IF(ISNUMBER(SEARCH("2歳",Z1258)),"2歳戦",IF(ISNUMBER(SEARCH("3歳未勝利",Z1258)),"3歳未勝利",IF(ISNUMBER(SEARCH("未勝利",Z1258)),"その他未勝利",IF(ISNUMBER(SEARCH("G1",Z1258)),"G1",IF(ISNUMBER(SEARCH("G2",Z1258)),"G2",IF(ISNUMBER(SEARCH("G3",Z1258)),"G3",IF(ISNUMBER(SEARCH("古馬条件",Z1258)),"古馬条件戦",IF(ISNUMBER(SEARCH("重賞",Z1258)),"重賞","分類不能")))))))))</f>
        <v/>
      </c>
    </row>
    <row r="1259" customFormat="false" ht="15.75" hidden="false" customHeight="false" outlineLevel="0" collapsed="false">
      <c r="AO1259" s="8" t="str">
        <f aca="false">IF(A1259="","",IF(COUNTIFS(全馬データ!$A$2:$A$50000,A1259,全馬データ!$B$2:$B$50000,B1259,全馬データ!$C$2:$C$50000,C1259,全馬データ!$D$2:$D$50000,E1259,全馬データ!$K$2:$K$50000,"&lt;&gt;")=0,"",SUMIFS(全馬データ!$K$2:$K$50000,全馬データ!$A$2:$A$50000,A1259,全馬データ!$B$2:$B$50000,B1259,全馬データ!$C$2:$C$50000,C1259,全馬データ!$D$2:$D$50000,E1259)))</f>
        <v/>
      </c>
      <c r="AP1259" s="8" t="str">
        <f aca="false">IF(A1259="","",IF(AO1259="","欠損",IF(AO1259&lt;=1.1,"1.0～1.1",IF(AO1259&lt;1.3,"1.2",IF(AO1259&lt;1.5,"1.3～1.4",IF(AO1259&lt;2,"1.5～1.9","2.0以上"))))))</f>
        <v/>
      </c>
      <c r="AQ1259" s="8" t="str">
        <f aca="false">IF(A1259="","",IF(ISNUMBER(SEARCH("2歳",Z1259)),"2歳戦",IF(ISNUMBER(SEARCH("3歳未勝利",Z1259)),"3歳未勝利",IF(ISNUMBER(SEARCH("未勝利",Z1259)),"その他未勝利",IF(ISNUMBER(SEARCH("G1",Z1259)),"G1",IF(ISNUMBER(SEARCH("G2",Z1259)),"G2",IF(ISNUMBER(SEARCH("G3",Z1259)),"G3",IF(ISNUMBER(SEARCH("古馬条件",Z1259)),"古馬条件戦",IF(ISNUMBER(SEARCH("重賞",Z1259)),"重賞","分類不能")))))))))</f>
        <v/>
      </c>
    </row>
    <row r="1260" customFormat="false" ht="15.75" hidden="false" customHeight="false" outlineLevel="0" collapsed="false">
      <c r="AO1260" s="8" t="str">
        <f aca="false">IF(A1260="","",IF(COUNTIFS(全馬データ!$A$2:$A$50000,A1260,全馬データ!$B$2:$B$50000,B1260,全馬データ!$C$2:$C$50000,C1260,全馬データ!$D$2:$D$50000,E1260,全馬データ!$K$2:$K$50000,"&lt;&gt;")=0,"",SUMIFS(全馬データ!$K$2:$K$50000,全馬データ!$A$2:$A$50000,A1260,全馬データ!$B$2:$B$50000,B1260,全馬データ!$C$2:$C$50000,C1260,全馬データ!$D$2:$D$50000,E1260)))</f>
        <v/>
      </c>
      <c r="AP1260" s="8" t="str">
        <f aca="false">IF(A1260="","",IF(AO1260="","欠損",IF(AO1260&lt;=1.1,"1.0～1.1",IF(AO1260&lt;1.3,"1.2",IF(AO1260&lt;1.5,"1.3～1.4",IF(AO1260&lt;2,"1.5～1.9","2.0以上"))))))</f>
        <v/>
      </c>
      <c r="AQ1260" s="8" t="str">
        <f aca="false">IF(A1260="","",IF(ISNUMBER(SEARCH("2歳",Z1260)),"2歳戦",IF(ISNUMBER(SEARCH("3歳未勝利",Z1260)),"3歳未勝利",IF(ISNUMBER(SEARCH("未勝利",Z1260)),"その他未勝利",IF(ISNUMBER(SEARCH("G1",Z1260)),"G1",IF(ISNUMBER(SEARCH("G2",Z1260)),"G2",IF(ISNUMBER(SEARCH("G3",Z1260)),"G3",IF(ISNUMBER(SEARCH("古馬条件",Z1260)),"古馬条件戦",IF(ISNUMBER(SEARCH("重賞",Z1260)),"重賞","分類不能")))))))))</f>
        <v/>
      </c>
    </row>
    <row r="1261" customFormat="false" ht="15.75" hidden="false" customHeight="false" outlineLevel="0" collapsed="false">
      <c r="AO1261" s="8" t="str">
        <f aca="false">IF(A1261="","",IF(COUNTIFS(全馬データ!$A$2:$A$50000,A1261,全馬データ!$B$2:$B$50000,B1261,全馬データ!$C$2:$C$50000,C1261,全馬データ!$D$2:$D$50000,E1261,全馬データ!$K$2:$K$50000,"&lt;&gt;")=0,"",SUMIFS(全馬データ!$K$2:$K$50000,全馬データ!$A$2:$A$50000,A1261,全馬データ!$B$2:$B$50000,B1261,全馬データ!$C$2:$C$50000,C1261,全馬データ!$D$2:$D$50000,E1261)))</f>
        <v/>
      </c>
      <c r="AP1261" s="8" t="str">
        <f aca="false">IF(A1261="","",IF(AO1261="","欠損",IF(AO1261&lt;=1.1,"1.0～1.1",IF(AO1261&lt;1.3,"1.2",IF(AO1261&lt;1.5,"1.3～1.4",IF(AO1261&lt;2,"1.5～1.9","2.0以上"))))))</f>
        <v/>
      </c>
      <c r="AQ1261" s="8" t="str">
        <f aca="false">IF(A1261="","",IF(ISNUMBER(SEARCH("2歳",Z1261)),"2歳戦",IF(ISNUMBER(SEARCH("3歳未勝利",Z1261)),"3歳未勝利",IF(ISNUMBER(SEARCH("未勝利",Z1261)),"その他未勝利",IF(ISNUMBER(SEARCH("G1",Z1261)),"G1",IF(ISNUMBER(SEARCH("G2",Z1261)),"G2",IF(ISNUMBER(SEARCH("G3",Z1261)),"G3",IF(ISNUMBER(SEARCH("古馬条件",Z1261)),"古馬条件戦",IF(ISNUMBER(SEARCH("重賞",Z1261)),"重賞","分類不能")))))))))</f>
        <v/>
      </c>
    </row>
    <row r="1262" customFormat="false" ht="15.75" hidden="false" customHeight="false" outlineLevel="0" collapsed="false">
      <c r="AO1262" s="8" t="str">
        <f aca="false">IF(A1262="","",IF(COUNTIFS(全馬データ!$A$2:$A$50000,A1262,全馬データ!$B$2:$B$50000,B1262,全馬データ!$C$2:$C$50000,C1262,全馬データ!$D$2:$D$50000,E1262,全馬データ!$K$2:$K$50000,"&lt;&gt;")=0,"",SUMIFS(全馬データ!$K$2:$K$50000,全馬データ!$A$2:$A$50000,A1262,全馬データ!$B$2:$B$50000,B1262,全馬データ!$C$2:$C$50000,C1262,全馬データ!$D$2:$D$50000,E1262)))</f>
        <v/>
      </c>
      <c r="AP1262" s="8" t="str">
        <f aca="false">IF(A1262="","",IF(AO1262="","欠損",IF(AO1262&lt;=1.1,"1.0～1.1",IF(AO1262&lt;1.3,"1.2",IF(AO1262&lt;1.5,"1.3～1.4",IF(AO1262&lt;2,"1.5～1.9","2.0以上"))))))</f>
        <v/>
      </c>
      <c r="AQ1262" s="8" t="str">
        <f aca="false">IF(A1262="","",IF(ISNUMBER(SEARCH("2歳",Z1262)),"2歳戦",IF(ISNUMBER(SEARCH("3歳未勝利",Z1262)),"3歳未勝利",IF(ISNUMBER(SEARCH("未勝利",Z1262)),"その他未勝利",IF(ISNUMBER(SEARCH("G1",Z1262)),"G1",IF(ISNUMBER(SEARCH("G2",Z1262)),"G2",IF(ISNUMBER(SEARCH("G3",Z1262)),"G3",IF(ISNUMBER(SEARCH("古馬条件",Z1262)),"古馬条件戦",IF(ISNUMBER(SEARCH("重賞",Z1262)),"重賞","分類不能")))))))))</f>
        <v/>
      </c>
    </row>
    <row r="1263" customFormat="false" ht="15.75" hidden="false" customHeight="false" outlineLevel="0" collapsed="false">
      <c r="AO1263" s="8" t="str">
        <f aca="false">IF(A1263="","",IF(COUNTIFS(全馬データ!$A$2:$A$50000,A1263,全馬データ!$B$2:$B$50000,B1263,全馬データ!$C$2:$C$50000,C1263,全馬データ!$D$2:$D$50000,E1263,全馬データ!$K$2:$K$50000,"&lt;&gt;")=0,"",SUMIFS(全馬データ!$K$2:$K$50000,全馬データ!$A$2:$A$50000,A1263,全馬データ!$B$2:$B$50000,B1263,全馬データ!$C$2:$C$50000,C1263,全馬データ!$D$2:$D$50000,E1263)))</f>
        <v/>
      </c>
      <c r="AP1263" s="8" t="str">
        <f aca="false">IF(A1263="","",IF(AO1263="","欠損",IF(AO1263&lt;=1.1,"1.0～1.1",IF(AO1263&lt;1.3,"1.2",IF(AO1263&lt;1.5,"1.3～1.4",IF(AO1263&lt;2,"1.5～1.9","2.0以上"))))))</f>
        <v/>
      </c>
      <c r="AQ1263" s="8" t="str">
        <f aca="false">IF(A1263="","",IF(ISNUMBER(SEARCH("2歳",Z1263)),"2歳戦",IF(ISNUMBER(SEARCH("3歳未勝利",Z1263)),"3歳未勝利",IF(ISNUMBER(SEARCH("未勝利",Z1263)),"その他未勝利",IF(ISNUMBER(SEARCH("G1",Z1263)),"G1",IF(ISNUMBER(SEARCH("G2",Z1263)),"G2",IF(ISNUMBER(SEARCH("G3",Z1263)),"G3",IF(ISNUMBER(SEARCH("古馬条件",Z1263)),"古馬条件戦",IF(ISNUMBER(SEARCH("重賞",Z1263)),"重賞","分類不能")))))))))</f>
        <v/>
      </c>
    </row>
    <row r="1264" customFormat="false" ht="15.75" hidden="false" customHeight="false" outlineLevel="0" collapsed="false">
      <c r="AO1264" s="8" t="str">
        <f aca="false">IF(A1264="","",IF(COUNTIFS(全馬データ!$A$2:$A$50000,A1264,全馬データ!$B$2:$B$50000,B1264,全馬データ!$C$2:$C$50000,C1264,全馬データ!$D$2:$D$50000,E1264,全馬データ!$K$2:$K$50000,"&lt;&gt;")=0,"",SUMIFS(全馬データ!$K$2:$K$50000,全馬データ!$A$2:$A$50000,A1264,全馬データ!$B$2:$B$50000,B1264,全馬データ!$C$2:$C$50000,C1264,全馬データ!$D$2:$D$50000,E1264)))</f>
        <v/>
      </c>
      <c r="AP1264" s="8" t="str">
        <f aca="false">IF(A1264="","",IF(AO1264="","欠損",IF(AO1264&lt;=1.1,"1.0～1.1",IF(AO1264&lt;1.3,"1.2",IF(AO1264&lt;1.5,"1.3～1.4",IF(AO1264&lt;2,"1.5～1.9","2.0以上"))))))</f>
        <v/>
      </c>
      <c r="AQ1264" s="8" t="str">
        <f aca="false">IF(A1264="","",IF(ISNUMBER(SEARCH("2歳",Z1264)),"2歳戦",IF(ISNUMBER(SEARCH("3歳未勝利",Z1264)),"3歳未勝利",IF(ISNUMBER(SEARCH("未勝利",Z1264)),"その他未勝利",IF(ISNUMBER(SEARCH("G1",Z1264)),"G1",IF(ISNUMBER(SEARCH("G2",Z1264)),"G2",IF(ISNUMBER(SEARCH("G3",Z1264)),"G3",IF(ISNUMBER(SEARCH("古馬条件",Z1264)),"古馬条件戦",IF(ISNUMBER(SEARCH("重賞",Z1264)),"重賞","分類不能")))))))))</f>
        <v/>
      </c>
    </row>
    <row r="1265" customFormat="false" ht="15.75" hidden="false" customHeight="false" outlineLevel="0" collapsed="false">
      <c r="AO1265" s="8" t="str">
        <f aca="false">IF(A1265="","",IF(COUNTIFS(全馬データ!$A$2:$A$50000,A1265,全馬データ!$B$2:$B$50000,B1265,全馬データ!$C$2:$C$50000,C1265,全馬データ!$D$2:$D$50000,E1265,全馬データ!$K$2:$K$50000,"&lt;&gt;")=0,"",SUMIFS(全馬データ!$K$2:$K$50000,全馬データ!$A$2:$A$50000,A1265,全馬データ!$B$2:$B$50000,B1265,全馬データ!$C$2:$C$50000,C1265,全馬データ!$D$2:$D$50000,E1265)))</f>
        <v/>
      </c>
      <c r="AP1265" s="8" t="str">
        <f aca="false">IF(A1265="","",IF(AO1265="","欠損",IF(AO1265&lt;=1.1,"1.0～1.1",IF(AO1265&lt;1.3,"1.2",IF(AO1265&lt;1.5,"1.3～1.4",IF(AO1265&lt;2,"1.5～1.9","2.0以上"))))))</f>
        <v/>
      </c>
      <c r="AQ1265" s="8" t="str">
        <f aca="false">IF(A1265="","",IF(ISNUMBER(SEARCH("2歳",Z1265)),"2歳戦",IF(ISNUMBER(SEARCH("3歳未勝利",Z1265)),"3歳未勝利",IF(ISNUMBER(SEARCH("未勝利",Z1265)),"その他未勝利",IF(ISNUMBER(SEARCH("G1",Z1265)),"G1",IF(ISNUMBER(SEARCH("G2",Z1265)),"G2",IF(ISNUMBER(SEARCH("G3",Z1265)),"G3",IF(ISNUMBER(SEARCH("古馬条件",Z1265)),"古馬条件戦",IF(ISNUMBER(SEARCH("重賞",Z1265)),"重賞","分類不能")))))))))</f>
        <v/>
      </c>
    </row>
    <row r="1266" customFormat="false" ht="15.75" hidden="false" customHeight="false" outlineLevel="0" collapsed="false">
      <c r="AO1266" s="8" t="str">
        <f aca="false">IF(A1266="","",IF(COUNTIFS(全馬データ!$A$2:$A$50000,A1266,全馬データ!$B$2:$B$50000,B1266,全馬データ!$C$2:$C$50000,C1266,全馬データ!$D$2:$D$50000,E1266,全馬データ!$K$2:$K$50000,"&lt;&gt;")=0,"",SUMIFS(全馬データ!$K$2:$K$50000,全馬データ!$A$2:$A$50000,A1266,全馬データ!$B$2:$B$50000,B1266,全馬データ!$C$2:$C$50000,C1266,全馬データ!$D$2:$D$50000,E1266)))</f>
        <v/>
      </c>
      <c r="AP1266" s="8" t="str">
        <f aca="false">IF(A1266="","",IF(AO1266="","欠損",IF(AO1266&lt;=1.1,"1.0～1.1",IF(AO1266&lt;1.3,"1.2",IF(AO1266&lt;1.5,"1.3～1.4",IF(AO1266&lt;2,"1.5～1.9","2.0以上"))))))</f>
        <v/>
      </c>
      <c r="AQ1266" s="8" t="str">
        <f aca="false">IF(A1266="","",IF(ISNUMBER(SEARCH("2歳",Z1266)),"2歳戦",IF(ISNUMBER(SEARCH("3歳未勝利",Z1266)),"3歳未勝利",IF(ISNUMBER(SEARCH("未勝利",Z1266)),"その他未勝利",IF(ISNUMBER(SEARCH("G1",Z1266)),"G1",IF(ISNUMBER(SEARCH("G2",Z1266)),"G2",IF(ISNUMBER(SEARCH("G3",Z1266)),"G3",IF(ISNUMBER(SEARCH("古馬条件",Z1266)),"古馬条件戦",IF(ISNUMBER(SEARCH("重賞",Z1266)),"重賞","分類不能")))))))))</f>
        <v/>
      </c>
    </row>
    <row r="1267" customFormat="false" ht="15.75" hidden="false" customHeight="false" outlineLevel="0" collapsed="false">
      <c r="AO1267" s="8" t="str">
        <f aca="false">IF(A1267="","",IF(COUNTIFS(全馬データ!$A$2:$A$50000,A1267,全馬データ!$B$2:$B$50000,B1267,全馬データ!$C$2:$C$50000,C1267,全馬データ!$D$2:$D$50000,E1267,全馬データ!$K$2:$K$50000,"&lt;&gt;")=0,"",SUMIFS(全馬データ!$K$2:$K$50000,全馬データ!$A$2:$A$50000,A1267,全馬データ!$B$2:$B$50000,B1267,全馬データ!$C$2:$C$50000,C1267,全馬データ!$D$2:$D$50000,E1267)))</f>
        <v/>
      </c>
      <c r="AP1267" s="8" t="str">
        <f aca="false">IF(A1267="","",IF(AO1267="","欠損",IF(AO1267&lt;=1.1,"1.0～1.1",IF(AO1267&lt;1.3,"1.2",IF(AO1267&lt;1.5,"1.3～1.4",IF(AO1267&lt;2,"1.5～1.9","2.0以上"))))))</f>
        <v/>
      </c>
      <c r="AQ1267" s="8" t="str">
        <f aca="false">IF(A1267="","",IF(ISNUMBER(SEARCH("2歳",Z1267)),"2歳戦",IF(ISNUMBER(SEARCH("3歳未勝利",Z1267)),"3歳未勝利",IF(ISNUMBER(SEARCH("未勝利",Z1267)),"その他未勝利",IF(ISNUMBER(SEARCH("G1",Z1267)),"G1",IF(ISNUMBER(SEARCH("G2",Z1267)),"G2",IF(ISNUMBER(SEARCH("G3",Z1267)),"G3",IF(ISNUMBER(SEARCH("古馬条件",Z1267)),"古馬条件戦",IF(ISNUMBER(SEARCH("重賞",Z1267)),"重賞","分類不能")))))))))</f>
        <v/>
      </c>
    </row>
    <row r="1268" customFormat="false" ht="15.75" hidden="false" customHeight="false" outlineLevel="0" collapsed="false">
      <c r="AO1268" s="8" t="str">
        <f aca="false">IF(A1268="","",IF(COUNTIFS(全馬データ!$A$2:$A$50000,A1268,全馬データ!$B$2:$B$50000,B1268,全馬データ!$C$2:$C$50000,C1268,全馬データ!$D$2:$D$50000,E1268,全馬データ!$K$2:$K$50000,"&lt;&gt;")=0,"",SUMIFS(全馬データ!$K$2:$K$50000,全馬データ!$A$2:$A$50000,A1268,全馬データ!$B$2:$B$50000,B1268,全馬データ!$C$2:$C$50000,C1268,全馬データ!$D$2:$D$50000,E1268)))</f>
        <v/>
      </c>
      <c r="AP1268" s="8" t="str">
        <f aca="false">IF(A1268="","",IF(AO1268="","欠損",IF(AO1268&lt;=1.1,"1.0～1.1",IF(AO1268&lt;1.3,"1.2",IF(AO1268&lt;1.5,"1.3～1.4",IF(AO1268&lt;2,"1.5～1.9","2.0以上"))))))</f>
        <v/>
      </c>
      <c r="AQ1268" s="8" t="str">
        <f aca="false">IF(A1268="","",IF(ISNUMBER(SEARCH("2歳",Z1268)),"2歳戦",IF(ISNUMBER(SEARCH("3歳未勝利",Z1268)),"3歳未勝利",IF(ISNUMBER(SEARCH("未勝利",Z1268)),"その他未勝利",IF(ISNUMBER(SEARCH("G1",Z1268)),"G1",IF(ISNUMBER(SEARCH("G2",Z1268)),"G2",IF(ISNUMBER(SEARCH("G3",Z1268)),"G3",IF(ISNUMBER(SEARCH("古馬条件",Z1268)),"古馬条件戦",IF(ISNUMBER(SEARCH("重賞",Z1268)),"重賞","分類不能")))))))))</f>
        <v/>
      </c>
    </row>
    <row r="1269" customFormat="false" ht="15.75" hidden="false" customHeight="false" outlineLevel="0" collapsed="false">
      <c r="AO1269" s="8" t="str">
        <f aca="false">IF(A1269="","",IF(COUNTIFS(全馬データ!$A$2:$A$50000,A1269,全馬データ!$B$2:$B$50000,B1269,全馬データ!$C$2:$C$50000,C1269,全馬データ!$D$2:$D$50000,E1269,全馬データ!$K$2:$K$50000,"&lt;&gt;")=0,"",SUMIFS(全馬データ!$K$2:$K$50000,全馬データ!$A$2:$A$50000,A1269,全馬データ!$B$2:$B$50000,B1269,全馬データ!$C$2:$C$50000,C1269,全馬データ!$D$2:$D$50000,E1269)))</f>
        <v/>
      </c>
      <c r="AP1269" s="8" t="str">
        <f aca="false">IF(A1269="","",IF(AO1269="","欠損",IF(AO1269&lt;=1.1,"1.0～1.1",IF(AO1269&lt;1.3,"1.2",IF(AO1269&lt;1.5,"1.3～1.4",IF(AO1269&lt;2,"1.5～1.9","2.0以上"))))))</f>
        <v/>
      </c>
      <c r="AQ1269" s="8" t="str">
        <f aca="false">IF(A1269="","",IF(ISNUMBER(SEARCH("2歳",Z1269)),"2歳戦",IF(ISNUMBER(SEARCH("3歳未勝利",Z1269)),"3歳未勝利",IF(ISNUMBER(SEARCH("未勝利",Z1269)),"その他未勝利",IF(ISNUMBER(SEARCH("G1",Z1269)),"G1",IF(ISNUMBER(SEARCH("G2",Z1269)),"G2",IF(ISNUMBER(SEARCH("G3",Z1269)),"G3",IF(ISNUMBER(SEARCH("古馬条件",Z1269)),"古馬条件戦",IF(ISNUMBER(SEARCH("重賞",Z1269)),"重賞","分類不能")))))))))</f>
        <v/>
      </c>
    </row>
    <row r="1270" customFormat="false" ht="15.75" hidden="false" customHeight="false" outlineLevel="0" collapsed="false">
      <c r="AO1270" s="8" t="str">
        <f aca="false">IF(A1270="","",IF(COUNTIFS(全馬データ!$A$2:$A$50000,A1270,全馬データ!$B$2:$B$50000,B1270,全馬データ!$C$2:$C$50000,C1270,全馬データ!$D$2:$D$50000,E1270,全馬データ!$K$2:$K$50000,"&lt;&gt;")=0,"",SUMIFS(全馬データ!$K$2:$K$50000,全馬データ!$A$2:$A$50000,A1270,全馬データ!$B$2:$B$50000,B1270,全馬データ!$C$2:$C$50000,C1270,全馬データ!$D$2:$D$50000,E1270)))</f>
        <v/>
      </c>
      <c r="AP1270" s="8" t="str">
        <f aca="false">IF(A1270="","",IF(AO1270="","欠損",IF(AO1270&lt;=1.1,"1.0～1.1",IF(AO1270&lt;1.3,"1.2",IF(AO1270&lt;1.5,"1.3～1.4",IF(AO1270&lt;2,"1.5～1.9","2.0以上"))))))</f>
        <v/>
      </c>
      <c r="AQ1270" s="8" t="str">
        <f aca="false">IF(A1270="","",IF(ISNUMBER(SEARCH("2歳",Z1270)),"2歳戦",IF(ISNUMBER(SEARCH("3歳未勝利",Z1270)),"3歳未勝利",IF(ISNUMBER(SEARCH("未勝利",Z1270)),"その他未勝利",IF(ISNUMBER(SEARCH("G1",Z1270)),"G1",IF(ISNUMBER(SEARCH("G2",Z1270)),"G2",IF(ISNUMBER(SEARCH("G3",Z1270)),"G3",IF(ISNUMBER(SEARCH("古馬条件",Z1270)),"古馬条件戦",IF(ISNUMBER(SEARCH("重賞",Z1270)),"重賞","分類不能")))))))))</f>
        <v/>
      </c>
    </row>
    <row r="1271" customFormat="false" ht="15.75" hidden="false" customHeight="false" outlineLevel="0" collapsed="false">
      <c r="AO1271" s="8" t="str">
        <f aca="false">IF(A1271="","",IF(COUNTIFS(全馬データ!$A$2:$A$50000,A1271,全馬データ!$B$2:$B$50000,B1271,全馬データ!$C$2:$C$50000,C1271,全馬データ!$D$2:$D$50000,E1271,全馬データ!$K$2:$K$50000,"&lt;&gt;")=0,"",SUMIFS(全馬データ!$K$2:$K$50000,全馬データ!$A$2:$A$50000,A1271,全馬データ!$B$2:$B$50000,B1271,全馬データ!$C$2:$C$50000,C1271,全馬データ!$D$2:$D$50000,E1271)))</f>
        <v/>
      </c>
      <c r="AP1271" s="8" t="str">
        <f aca="false">IF(A1271="","",IF(AO1271="","欠損",IF(AO1271&lt;=1.1,"1.0～1.1",IF(AO1271&lt;1.3,"1.2",IF(AO1271&lt;1.5,"1.3～1.4",IF(AO1271&lt;2,"1.5～1.9","2.0以上"))))))</f>
        <v/>
      </c>
      <c r="AQ1271" s="8" t="str">
        <f aca="false">IF(A1271="","",IF(ISNUMBER(SEARCH("2歳",Z1271)),"2歳戦",IF(ISNUMBER(SEARCH("3歳未勝利",Z1271)),"3歳未勝利",IF(ISNUMBER(SEARCH("未勝利",Z1271)),"その他未勝利",IF(ISNUMBER(SEARCH("G1",Z1271)),"G1",IF(ISNUMBER(SEARCH("G2",Z1271)),"G2",IF(ISNUMBER(SEARCH("G3",Z1271)),"G3",IF(ISNUMBER(SEARCH("古馬条件",Z1271)),"古馬条件戦",IF(ISNUMBER(SEARCH("重賞",Z1271)),"重賞","分類不能")))))))))</f>
        <v/>
      </c>
    </row>
    <row r="1272" customFormat="false" ht="15.75" hidden="false" customHeight="false" outlineLevel="0" collapsed="false">
      <c r="AO1272" s="8" t="str">
        <f aca="false">IF(A1272="","",IF(COUNTIFS(全馬データ!$A$2:$A$50000,A1272,全馬データ!$B$2:$B$50000,B1272,全馬データ!$C$2:$C$50000,C1272,全馬データ!$D$2:$D$50000,E1272,全馬データ!$K$2:$K$50000,"&lt;&gt;")=0,"",SUMIFS(全馬データ!$K$2:$K$50000,全馬データ!$A$2:$A$50000,A1272,全馬データ!$B$2:$B$50000,B1272,全馬データ!$C$2:$C$50000,C1272,全馬データ!$D$2:$D$50000,E1272)))</f>
        <v/>
      </c>
      <c r="AP1272" s="8" t="str">
        <f aca="false">IF(A1272="","",IF(AO1272="","欠損",IF(AO1272&lt;=1.1,"1.0～1.1",IF(AO1272&lt;1.3,"1.2",IF(AO1272&lt;1.5,"1.3～1.4",IF(AO1272&lt;2,"1.5～1.9","2.0以上"))))))</f>
        <v/>
      </c>
      <c r="AQ1272" s="8" t="str">
        <f aca="false">IF(A1272="","",IF(ISNUMBER(SEARCH("2歳",Z1272)),"2歳戦",IF(ISNUMBER(SEARCH("3歳未勝利",Z1272)),"3歳未勝利",IF(ISNUMBER(SEARCH("未勝利",Z1272)),"その他未勝利",IF(ISNUMBER(SEARCH("G1",Z1272)),"G1",IF(ISNUMBER(SEARCH("G2",Z1272)),"G2",IF(ISNUMBER(SEARCH("G3",Z1272)),"G3",IF(ISNUMBER(SEARCH("古馬条件",Z1272)),"古馬条件戦",IF(ISNUMBER(SEARCH("重賞",Z1272)),"重賞","分類不能")))))))))</f>
        <v/>
      </c>
    </row>
    <row r="1273" customFormat="false" ht="15.75" hidden="false" customHeight="false" outlineLevel="0" collapsed="false">
      <c r="AO1273" s="8" t="str">
        <f aca="false">IF(A1273="","",IF(COUNTIFS(全馬データ!$A$2:$A$50000,A1273,全馬データ!$B$2:$B$50000,B1273,全馬データ!$C$2:$C$50000,C1273,全馬データ!$D$2:$D$50000,E1273,全馬データ!$K$2:$K$50000,"&lt;&gt;")=0,"",SUMIFS(全馬データ!$K$2:$K$50000,全馬データ!$A$2:$A$50000,A1273,全馬データ!$B$2:$B$50000,B1273,全馬データ!$C$2:$C$50000,C1273,全馬データ!$D$2:$D$50000,E1273)))</f>
        <v/>
      </c>
      <c r="AP1273" s="8" t="str">
        <f aca="false">IF(A1273="","",IF(AO1273="","欠損",IF(AO1273&lt;=1.1,"1.0～1.1",IF(AO1273&lt;1.3,"1.2",IF(AO1273&lt;1.5,"1.3～1.4",IF(AO1273&lt;2,"1.5～1.9","2.0以上"))))))</f>
        <v/>
      </c>
      <c r="AQ1273" s="8" t="str">
        <f aca="false">IF(A1273="","",IF(ISNUMBER(SEARCH("2歳",Z1273)),"2歳戦",IF(ISNUMBER(SEARCH("3歳未勝利",Z1273)),"3歳未勝利",IF(ISNUMBER(SEARCH("未勝利",Z1273)),"その他未勝利",IF(ISNUMBER(SEARCH("G1",Z1273)),"G1",IF(ISNUMBER(SEARCH("G2",Z1273)),"G2",IF(ISNUMBER(SEARCH("G3",Z1273)),"G3",IF(ISNUMBER(SEARCH("古馬条件",Z1273)),"古馬条件戦",IF(ISNUMBER(SEARCH("重賞",Z1273)),"重賞","分類不能")))))))))</f>
        <v/>
      </c>
    </row>
    <row r="1274" customFormat="false" ht="15.75" hidden="false" customHeight="false" outlineLevel="0" collapsed="false">
      <c r="AO1274" s="8" t="str">
        <f aca="false">IF(A1274="","",IF(COUNTIFS(全馬データ!$A$2:$A$50000,A1274,全馬データ!$B$2:$B$50000,B1274,全馬データ!$C$2:$C$50000,C1274,全馬データ!$D$2:$D$50000,E1274,全馬データ!$K$2:$K$50000,"&lt;&gt;")=0,"",SUMIFS(全馬データ!$K$2:$K$50000,全馬データ!$A$2:$A$50000,A1274,全馬データ!$B$2:$B$50000,B1274,全馬データ!$C$2:$C$50000,C1274,全馬データ!$D$2:$D$50000,E1274)))</f>
        <v/>
      </c>
      <c r="AP1274" s="8" t="str">
        <f aca="false">IF(A1274="","",IF(AO1274="","欠損",IF(AO1274&lt;=1.1,"1.0～1.1",IF(AO1274&lt;1.3,"1.2",IF(AO1274&lt;1.5,"1.3～1.4",IF(AO1274&lt;2,"1.5～1.9","2.0以上"))))))</f>
        <v/>
      </c>
      <c r="AQ1274" s="8" t="str">
        <f aca="false">IF(A1274="","",IF(ISNUMBER(SEARCH("2歳",Z1274)),"2歳戦",IF(ISNUMBER(SEARCH("3歳未勝利",Z1274)),"3歳未勝利",IF(ISNUMBER(SEARCH("未勝利",Z1274)),"その他未勝利",IF(ISNUMBER(SEARCH("G1",Z1274)),"G1",IF(ISNUMBER(SEARCH("G2",Z1274)),"G2",IF(ISNUMBER(SEARCH("G3",Z1274)),"G3",IF(ISNUMBER(SEARCH("古馬条件",Z1274)),"古馬条件戦",IF(ISNUMBER(SEARCH("重賞",Z1274)),"重賞","分類不能")))))))))</f>
        <v/>
      </c>
    </row>
    <row r="1275" customFormat="false" ht="15.75" hidden="false" customHeight="false" outlineLevel="0" collapsed="false">
      <c r="AO1275" s="8" t="str">
        <f aca="false">IF(A1275="","",IF(COUNTIFS(全馬データ!$A$2:$A$50000,A1275,全馬データ!$B$2:$B$50000,B1275,全馬データ!$C$2:$C$50000,C1275,全馬データ!$D$2:$D$50000,E1275,全馬データ!$K$2:$K$50000,"&lt;&gt;")=0,"",SUMIFS(全馬データ!$K$2:$K$50000,全馬データ!$A$2:$A$50000,A1275,全馬データ!$B$2:$B$50000,B1275,全馬データ!$C$2:$C$50000,C1275,全馬データ!$D$2:$D$50000,E1275)))</f>
        <v/>
      </c>
      <c r="AP1275" s="8" t="str">
        <f aca="false">IF(A1275="","",IF(AO1275="","欠損",IF(AO1275&lt;=1.1,"1.0～1.1",IF(AO1275&lt;1.3,"1.2",IF(AO1275&lt;1.5,"1.3～1.4",IF(AO1275&lt;2,"1.5～1.9","2.0以上"))))))</f>
        <v/>
      </c>
      <c r="AQ1275" s="8" t="str">
        <f aca="false">IF(A1275="","",IF(ISNUMBER(SEARCH("2歳",Z1275)),"2歳戦",IF(ISNUMBER(SEARCH("3歳未勝利",Z1275)),"3歳未勝利",IF(ISNUMBER(SEARCH("未勝利",Z1275)),"その他未勝利",IF(ISNUMBER(SEARCH("G1",Z1275)),"G1",IF(ISNUMBER(SEARCH("G2",Z1275)),"G2",IF(ISNUMBER(SEARCH("G3",Z1275)),"G3",IF(ISNUMBER(SEARCH("古馬条件",Z1275)),"古馬条件戦",IF(ISNUMBER(SEARCH("重賞",Z1275)),"重賞","分類不能")))))))))</f>
        <v/>
      </c>
    </row>
    <row r="1276" customFormat="false" ht="15.75" hidden="false" customHeight="false" outlineLevel="0" collapsed="false">
      <c r="AO1276" s="8" t="str">
        <f aca="false">IF(A1276="","",IF(COUNTIFS(全馬データ!$A$2:$A$50000,A1276,全馬データ!$B$2:$B$50000,B1276,全馬データ!$C$2:$C$50000,C1276,全馬データ!$D$2:$D$50000,E1276,全馬データ!$K$2:$K$50000,"&lt;&gt;")=0,"",SUMIFS(全馬データ!$K$2:$K$50000,全馬データ!$A$2:$A$50000,A1276,全馬データ!$B$2:$B$50000,B1276,全馬データ!$C$2:$C$50000,C1276,全馬データ!$D$2:$D$50000,E1276)))</f>
        <v/>
      </c>
      <c r="AP1276" s="8" t="str">
        <f aca="false">IF(A1276="","",IF(AO1276="","欠損",IF(AO1276&lt;=1.1,"1.0～1.1",IF(AO1276&lt;1.3,"1.2",IF(AO1276&lt;1.5,"1.3～1.4",IF(AO1276&lt;2,"1.5～1.9","2.0以上"))))))</f>
        <v/>
      </c>
      <c r="AQ1276" s="8" t="str">
        <f aca="false">IF(A1276="","",IF(ISNUMBER(SEARCH("2歳",Z1276)),"2歳戦",IF(ISNUMBER(SEARCH("3歳未勝利",Z1276)),"3歳未勝利",IF(ISNUMBER(SEARCH("未勝利",Z1276)),"その他未勝利",IF(ISNUMBER(SEARCH("G1",Z1276)),"G1",IF(ISNUMBER(SEARCH("G2",Z1276)),"G2",IF(ISNUMBER(SEARCH("G3",Z1276)),"G3",IF(ISNUMBER(SEARCH("古馬条件",Z1276)),"古馬条件戦",IF(ISNUMBER(SEARCH("重賞",Z1276)),"重賞","分類不能")))))))))</f>
        <v/>
      </c>
    </row>
    <row r="1277" customFormat="false" ht="15.75" hidden="false" customHeight="false" outlineLevel="0" collapsed="false">
      <c r="AO1277" s="8" t="str">
        <f aca="false">IF(A1277="","",IF(COUNTIFS(全馬データ!$A$2:$A$50000,A1277,全馬データ!$B$2:$B$50000,B1277,全馬データ!$C$2:$C$50000,C1277,全馬データ!$D$2:$D$50000,E1277,全馬データ!$K$2:$K$50000,"&lt;&gt;")=0,"",SUMIFS(全馬データ!$K$2:$K$50000,全馬データ!$A$2:$A$50000,A1277,全馬データ!$B$2:$B$50000,B1277,全馬データ!$C$2:$C$50000,C1277,全馬データ!$D$2:$D$50000,E1277)))</f>
        <v/>
      </c>
      <c r="AP1277" s="8" t="str">
        <f aca="false">IF(A1277="","",IF(AO1277="","欠損",IF(AO1277&lt;=1.1,"1.0～1.1",IF(AO1277&lt;1.3,"1.2",IF(AO1277&lt;1.5,"1.3～1.4",IF(AO1277&lt;2,"1.5～1.9","2.0以上"))))))</f>
        <v/>
      </c>
      <c r="AQ1277" s="8" t="str">
        <f aca="false">IF(A1277="","",IF(ISNUMBER(SEARCH("2歳",Z1277)),"2歳戦",IF(ISNUMBER(SEARCH("3歳未勝利",Z1277)),"3歳未勝利",IF(ISNUMBER(SEARCH("未勝利",Z1277)),"その他未勝利",IF(ISNUMBER(SEARCH("G1",Z1277)),"G1",IF(ISNUMBER(SEARCH("G2",Z1277)),"G2",IF(ISNUMBER(SEARCH("G3",Z1277)),"G3",IF(ISNUMBER(SEARCH("古馬条件",Z1277)),"古馬条件戦",IF(ISNUMBER(SEARCH("重賞",Z1277)),"重賞","分類不能")))))))))</f>
        <v/>
      </c>
    </row>
    <row r="1278" customFormat="false" ht="15.75" hidden="false" customHeight="false" outlineLevel="0" collapsed="false">
      <c r="AO1278" s="8" t="str">
        <f aca="false">IF(A1278="","",IF(COUNTIFS(全馬データ!$A$2:$A$50000,A1278,全馬データ!$B$2:$B$50000,B1278,全馬データ!$C$2:$C$50000,C1278,全馬データ!$D$2:$D$50000,E1278,全馬データ!$K$2:$K$50000,"&lt;&gt;")=0,"",SUMIFS(全馬データ!$K$2:$K$50000,全馬データ!$A$2:$A$50000,A1278,全馬データ!$B$2:$B$50000,B1278,全馬データ!$C$2:$C$50000,C1278,全馬データ!$D$2:$D$50000,E1278)))</f>
        <v/>
      </c>
      <c r="AP1278" s="8" t="str">
        <f aca="false">IF(A1278="","",IF(AO1278="","欠損",IF(AO1278&lt;=1.1,"1.0～1.1",IF(AO1278&lt;1.3,"1.2",IF(AO1278&lt;1.5,"1.3～1.4",IF(AO1278&lt;2,"1.5～1.9","2.0以上"))))))</f>
        <v/>
      </c>
      <c r="AQ1278" s="8" t="str">
        <f aca="false">IF(A1278="","",IF(ISNUMBER(SEARCH("2歳",Z1278)),"2歳戦",IF(ISNUMBER(SEARCH("3歳未勝利",Z1278)),"3歳未勝利",IF(ISNUMBER(SEARCH("未勝利",Z1278)),"その他未勝利",IF(ISNUMBER(SEARCH("G1",Z1278)),"G1",IF(ISNUMBER(SEARCH("G2",Z1278)),"G2",IF(ISNUMBER(SEARCH("G3",Z1278)),"G3",IF(ISNUMBER(SEARCH("古馬条件",Z1278)),"古馬条件戦",IF(ISNUMBER(SEARCH("重賞",Z1278)),"重賞","分類不能")))))))))</f>
        <v/>
      </c>
    </row>
    <row r="1279" customFormat="false" ht="15.75" hidden="false" customHeight="false" outlineLevel="0" collapsed="false">
      <c r="AO1279" s="8" t="str">
        <f aca="false">IF(A1279="","",IF(COUNTIFS(全馬データ!$A$2:$A$50000,A1279,全馬データ!$B$2:$B$50000,B1279,全馬データ!$C$2:$C$50000,C1279,全馬データ!$D$2:$D$50000,E1279,全馬データ!$K$2:$K$50000,"&lt;&gt;")=0,"",SUMIFS(全馬データ!$K$2:$K$50000,全馬データ!$A$2:$A$50000,A1279,全馬データ!$B$2:$B$50000,B1279,全馬データ!$C$2:$C$50000,C1279,全馬データ!$D$2:$D$50000,E1279)))</f>
        <v/>
      </c>
      <c r="AP1279" s="8" t="str">
        <f aca="false">IF(A1279="","",IF(AO1279="","欠損",IF(AO1279&lt;=1.1,"1.0～1.1",IF(AO1279&lt;1.3,"1.2",IF(AO1279&lt;1.5,"1.3～1.4",IF(AO1279&lt;2,"1.5～1.9","2.0以上"))))))</f>
        <v/>
      </c>
      <c r="AQ1279" s="8" t="str">
        <f aca="false">IF(A1279="","",IF(ISNUMBER(SEARCH("2歳",Z1279)),"2歳戦",IF(ISNUMBER(SEARCH("3歳未勝利",Z1279)),"3歳未勝利",IF(ISNUMBER(SEARCH("未勝利",Z1279)),"その他未勝利",IF(ISNUMBER(SEARCH("G1",Z1279)),"G1",IF(ISNUMBER(SEARCH("G2",Z1279)),"G2",IF(ISNUMBER(SEARCH("G3",Z1279)),"G3",IF(ISNUMBER(SEARCH("古馬条件",Z1279)),"古馬条件戦",IF(ISNUMBER(SEARCH("重賞",Z1279)),"重賞","分類不能")))))))))</f>
        <v/>
      </c>
    </row>
    <row r="1280" customFormat="false" ht="15.75" hidden="false" customHeight="false" outlineLevel="0" collapsed="false">
      <c r="AO1280" s="8" t="str">
        <f aca="false">IF(A1280="","",IF(COUNTIFS(全馬データ!$A$2:$A$50000,A1280,全馬データ!$B$2:$B$50000,B1280,全馬データ!$C$2:$C$50000,C1280,全馬データ!$D$2:$D$50000,E1280,全馬データ!$K$2:$K$50000,"&lt;&gt;")=0,"",SUMIFS(全馬データ!$K$2:$K$50000,全馬データ!$A$2:$A$50000,A1280,全馬データ!$B$2:$B$50000,B1280,全馬データ!$C$2:$C$50000,C1280,全馬データ!$D$2:$D$50000,E1280)))</f>
        <v/>
      </c>
      <c r="AP1280" s="8" t="str">
        <f aca="false">IF(A1280="","",IF(AO1280="","欠損",IF(AO1280&lt;=1.1,"1.0～1.1",IF(AO1280&lt;1.3,"1.2",IF(AO1280&lt;1.5,"1.3～1.4",IF(AO1280&lt;2,"1.5～1.9","2.0以上"))))))</f>
        <v/>
      </c>
      <c r="AQ1280" s="8" t="str">
        <f aca="false">IF(A1280="","",IF(ISNUMBER(SEARCH("2歳",Z1280)),"2歳戦",IF(ISNUMBER(SEARCH("3歳未勝利",Z1280)),"3歳未勝利",IF(ISNUMBER(SEARCH("未勝利",Z1280)),"その他未勝利",IF(ISNUMBER(SEARCH("G1",Z1280)),"G1",IF(ISNUMBER(SEARCH("G2",Z1280)),"G2",IF(ISNUMBER(SEARCH("G3",Z1280)),"G3",IF(ISNUMBER(SEARCH("古馬条件",Z1280)),"古馬条件戦",IF(ISNUMBER(SEARCH("重賞",Z1280)),"重賞","分類不能")))))))))</f>
        <v/>
      </c>
    </row>
    <row r="1281" customFormat="false" ht="15.75" hidden="false" customHeight="false" outlineLevel="0" collapsed="false">
      <c r="AO1281" s="8" t="str">
        <f aca="false">IF(A1281="","",IF(COUNTIFS(全馬データ!$A$2:$A$50000,A1281,全馬データ!$B$2:$B$50000,B1281,全馬データ!$C$2:$C$50000,C1281,全馬データ!$D$2:$D$50000,E1281,全馬データ!$K$2:$K$50000,"&lt;&gt;")=0,"",SUMIFS(全馬データ!$K$2:$K$50000,全馬データ!$A$2:$A$50000,A1281,全馬データ!$B$2:$B$50000,B1281,全馬データ!$C$2:$C$50000,C1281,全馬データ!$D$2:$D$50000,E1281)))</f>
        <v/>
      </c>
      <c r="AP1281" s="8" t="str">
        <f aca="false">IF(A1281="","",IF(AO1281="","欠損",IF(AO1281&lt;=1.1,"1.0～1.1",IF(AO1281&lt;1.3,"1.2",IF(AO1281&lt;1.5,"1.3～1.4",IF(AO1281&lt;2,"1.5～1.9","2.0以上"))))))</f>
        <v/>
      </c>
      <c r="AQ1281" s="8" t="str">
        <f aca="false">IF(A1281="","",IF(ISNUMBER(SEARCH("2歳",Z1281)),"2歳戦",IF(ISNUMBER(SEARCH("3歳未勝利",Z1281)),"3歳未勝利",IF(ISNUMBER(SEARCH("未勝利",Z1281)),"その他未勝利",IF(ISNUMBER(SEARCH("G1",Z1281)),"G1",IF(ISNUMBER(SEARCH("G2",Z1281)),"G2",IF(ISNUMBER(SEARCH("G3",Z1281)),"G3",IF(ISNUMBER(SEARCH("古馬条件",Z1281)),"古馬条件戦",IF(ISNUMBER(SEARCH("重賞",Z1281)),"重賞","分類不能")))))))))</f>
        <v/>
      </c>
    </row>
    <row r="1282" customFormat="false" ht="15.75" hidden="false" customHeight="false" outlineLevel="0" collapsed="false">
      <c r="AO1282" s="8" t="str">
        <f aca="false">IF(A1282="","",IF(COUNTIFS(全馬データ!$A$2:$A$50000,A1282,全馬データ!$B$2:$B$50000,B1282,全馬データ!$C$2:$C$50000,C1282,全馬データ!$D$2:$D$50000,E1282,全馬データ!$K$2:$K$50000,"&lt;&gt;")=0,"",SUMIFS(全馬データ!$K$2:$K$50000,全馬データ!$A$2:$A$50000,A1282,全馬データ!$B$2:$B$50000,B1282,全馬データ!$C$2:$C$50000,C1282,全馬データ!$D$2:$D$50000,E1282)))</f>
        <v/>
      </c>
      <c r="AP1282" s="8" t="str">
        <f aca="false">IF(A1282="","",IF(AO1282="","欠損",IF(AO1282&lt;=1.1,"1.0～1.1",IF(AO1282&lt;1.3,"1.2",IF(AO1282&lt;1.5,"1.3～1.4",IF(AO1282&lt;2,"1.5～1.9","2.0以上"))))))</f>
        <v/>
      </c>
      <c r="AQ1282" s="8" t="str">
        <f aca="false">IF(A1282="","",IF(ISNUMBER(SEARCH("2歳",Z1282)),"2歳戦",IF(ISNUMBER(SEARCH("3歳未勝利",Z1282)),"3歳未勝利",IF(ISNUMBER(SEARCH("未勝利",Z1282)),"その他未勝利",IF(ISNUMBER(SEARCH("G1",Z1282)),"G1",IF(ISNUMBER(SEARCH("G2",Z1282)),"G2",IF(ISNUMBER(SEARCH("G3",Z1282)),"G3",IF(ISNUMBER(SEARCH("古馬条件",Z1282)),"古馬条件戦",IF(ISNUMBER(SEARCH("重賞",Z1282)),"重賞","分類不能")))))))))</f>
        <v/>
      </c>
    </row>
    <row r="1283" customFormat="false" ht="15.75" hidden="false" customHeight="false" outlineLevel="0" collapsed="false">
      <c r="AO1283" s="8" t="str">
        <f aca="false">IF(A1283="","",IF(COUNTIFS(全馬データ!$A$2:$A$50000,A1283,全馬データ!$B$2:$B$50000,B1283,全馬データ!$C$2:$C$50000,C1283,全馬データ!$D$2:$D$50000,E1283,全馬データ!$K$2:$K$50000,"&lt;&gt;")=0,"",SUMIFS(全馬データ!$K$2:$K$50000,全馬データ!$A$2:$A$50000,A1283,全馬データ!$B$2:$B$50000,B1283,全馬データ!$C$2:$C$50000,C1283,全馬データ!$D$2:$D$50000,E1283)))</f>
        <v/>
      </c>
      <c r="AP1283" s="8" t="str">
        <f aca="false">IF(A1283="","",IF(AO1283="","欠損",IF(AO1283&lt;=1.1,"1.0～1.1",IF(AO1283&lt;1.3,"1.2",IF(AO1283&lt;1.5,"1.3～1.4",IF(AO1283&lt;2,"1.5～1.9","2.0以上"))))))</f>
        <v/>
      </c>
      <c r="AQ1283" s="8" t="str">
        <f aca="false">IF(A1283="","",IF(ISNUMBER(SEARCH("2歳",Z1283)),"2歳戦",IF(ISNUMBER(SEARCH("3歳未勝利",Z1283)),"3歳未勝利",IF(ISNUMBER(SEARCH("未勝利",Z1283)),"その他未勝利",IF(ISNUMBER(SEARCH("G1",Z1283)),"G1",IF(ISNUMBER(SEARCH("G2",Z1283)),"G2",IF(ISNUMBER(SEARCH("G3",Z1283)),"G3",IF(ISNUMBER(SEARCH("古馬条件",Z1283)),"古馬条件戦",IF(ISNUMBER(SEARCH("重賞",Z1283)),"重賞","分類不能")))))))))</f>
        <v/>
      </c>
    </row>
    <row r="1284" customFormat="false" ht="15.75" hidden="false" customHeight="false" outlineLevel="0" collapsed="false">
      <c r="AO1284" s="8" t="str">
        <f aca="false">IF(A1284="","",IF(COUNTIFS(全馬データ!$A$2:$A$50000,A1284,全馬データ!$B$2:$B$50000,B1284,全馬データ!$C$2:$C$50000,C1284,全馬データ!$D$2:$D$50000,E1284,全馬データ!$K$2:$K$50000,"&lt;&gt;")=0,"",SUMIFS(全馬データ!$K$2:$K$50000,全馬データ!$A$2:$A$50000,A1284,全馬データ!$B$2:$B$50000,B1284,全馬データ!$C$2:$C$50000,C1284,全馬データ!$D$2:$D$50000,E1284)))</f>
        <v/>
      </c>
      <c r="AP1284" s="8" t="str">
        <f aca="false">IF(A1284="","",IF(AO1284="","欠損",IF(AO1284&lt;=1.1,"1.0～1.1",IF(AO1284&lt;1.3,"1.2",IF(AO1284&lt;1.5,"1.3～1.4",IF(AO1284&lt;2,"1.5～1.9","2.0以上"))))))</f>
        <v/>
      </c>
      <c r="AQ1284" s="8" t="str">
        <f aca="false">IF(A1284="","",IF(ISNUMBER(SEARCH("2歳",Z1284)),"2歳戦",IF(ISNUMBER(SEARCH("3歳未勝利",Z1284)),"3歳未勝利",IF(ISNUMBER(SEARCH("未勝利",Z1284)),"その他未勝利",IF(ISNUMBER(SEARCH("G1",Z1284)),"G1",IF(ISNUMBER(SEARCH("G2",Z1284)),"G2",IF(ISNUMBER(SEARCH("G3",Z1284)),"G3",IF(ISNUMBER(SEARCH("古馬条件",Z1284)),"古馬条件戦",IF(ISNUMBER(SEARCH("重賞",Z1284)),"重賞","分類不能")))))))))</f>
        <v/>
      </c>
    </row>
    <row r="1285" customFormat="false" ht="15.75" hidden="false" customHeight="false" outlineLevel="0" collapsed="false">
      <c r="AO1285" s="8" t="str">
        <f aca="false">IF(A1285="","",IF(COUNTIFS(全馬データ!$A$2:$A$50000,A1285,全馬データ!$B$2:$B$50000,B1285,全馬データ!$C$2:$C$50000,C1285,全馬データ!$D$2:$D$50000,E1285,全馬データ!$K$2:$K$50000,"&lt;&gt;")=0,"",SUMIFS(全馬データ!$K$2:$K$50000,全馬データ!$A$2:$A$50000,A1285,全馬データ!$B$2:$B$50000,B1285,全馬データ!$C$2:$C$50000,C1285,全馬データ!$D$2:$D$50000,E1285)))</f>
        <v/>
      </c>
      <c r="AP1285" s="8" t="str">
        <f aca="false">IF(A1285="","",IF(AO1285="","欠損",IF(AO1285&lt;=1.1,"1.0～1.1",IF(AO1285&lt;1.3,"1.2",IF(AO1285&lt;1.5,"1.3～1.4",IF(AO1285&lt;2,"1.5～1.9","2.0以上"))))))</f>
        <v/>
      </c>
      <c r="AQ1285" s="8" t="str">
        <f aca="false">IF(A1285="","",IF(ISNUMBER(SEARCH("2歳",Z1285)),"2歳戦",IF(ISNUMBER(SEARCH("3歳未勝利",Z1285)),"3歳未勝利",IF(ISNUMBER(SEARCH("未勝利",Z1285)),"その他未勝利",IF(ISNUMBER(SEARCH("G1",Z1285)),"G1",IF(ISNUMBER(SEARCH("G2",Z1285)),"G2",IF(ISNUMBER(SEARCH("G3",Z1285)),"G3",IF(ISNUMBER(SEARCH("古馬条件",Z1285)),"古馬条件戦",IF(ISNUMBER(SEARCH("重賞",Z1285)),"重賞","分類不能")))))))))</f>
        <v/>
      </c>
    </row>
    <row r="1286" customFormat="false" ht="15.75" hidden="false" customHeight="false" outlineLevel="0" collapsed="false">
      <c r="AO1286" s="8" t="str">
        <f aca="false">IF(A1286="","",IF(COUNTIFS(全馬データ!$A$2:$A$50000,A1286,全馬データ!$B$2:$B$50000,B1286,全馬データ!$C$2:$C$50000,C1286,全馬データ!$D$2:$D$50000,E1286,全馬データ!$K$2:$K$50000,"&lt;&gt;")=0,"",SUMIFS(全馬データ!$K$2:$K$50000,全馬データ!$A$2:$A$50000,A1286,全馬データ!$B$2:$B$50000,B1286,全馬データ!$C$2:$C$50000,C1286,全馬データ!$D$2:$D$50000,E1286)))</f>
        <v/>
      </c>
      <c r="AP1286" s="8" t="str">
        <f aca="false">IF(A1286="","",IF(AO1286="","欠損",IF(AO1286&lt;=1.1,"1.0～1.1",IF(AO1286&lt;1.3,"1.2",IF(AO1286&lt;1.5,"1.3～1.4",IF(AO1286&lt;2,"1.5～1.9","2.0以上"))))))</f>
        <v/>
      </c>
      <c r="AQ1286" s="8" t="str">
        <f aca="false">IF(A1286="","",IF(ISNUMBER(SEARCH("2歳",Z1286)),"2歳戦",IF(ISNUMBER(SEARCH("3歳未勝利",Z1286)),"3歳未勝利",IF(ISNUMBER(SEARCH("未勝利",Z1286)),"その他未勝利",IF(ISNUMBER(SEARCH("G1",Z1286)),"G1",IF(ISNUMBER(SEARCH("G2",Z1286)),"G2",IF(ISNUMBER(SEARCH("G3",Z1286)),"G3",IF(ISNUMBER(SEARCH("古馬条件",Z1286)),"古馬条件戦",IF(ISNUMBER(SEARCH("重賞",Z1286)),"重賞","分類不能")))))))))</f>
        <v/>
      </c>
    </row>
    <row r="1287" customFormat="false" ht="15.75" hidden="false" customHeight="false" outlineLevel="0" collapsed="false">
      <c r="AO1287" s="8" t="str">
        <f aca="false">IF(A1287="","",IF(COUNTIFS(全馬データ!$A$2:$A$50000,A1287,全馬データ!$B$2:$B$50000,B1287,全馬データ!$C$2:$C$50000,C1287,全馬データ!$D$2:$D$50000,E1287,全馬データ!$K$2:$K$50000,"&lt;&gt;")=0,"",SUMIFS(全馬データ!$K$2:$K$50000,全馬データ!$A$2:$A$50000,A1287,全馬データ!$B$2:$B$50000,B1287,全馬データ!$C$2:$C$50000,C1287,全馬データ!$D$2:$D$50000,E1287)))</f>
        <v/>
      </c>
      <c r="AP1287" s="8" t="str">
        <f aca="false">IF(A1287="","",IF(AO1287="","欠損",IF(AO1287&lt;=1.1,"1.0～1.1",IF(AO1287&lt;1.3,"1.2",IF(AO1287&lt;1.5,"1.3～1.4",IF(AO1287&lt;2,"1.5～1.9","2.0以上"))))))</f>
        <v/>
      </c>
      <c r="AQ1287" s="8" t="str">
        <f aca="false">IF(A1287="","",IF(ISNUMBER(SEARCH("2歳",Z1287)),"2歳戦",IF(ISNUMBER(SEARCH("3歳未勝利",Z1287)),"3歳未勝利",IF(ISNUMBER(SEARCH("未勝利",Z1287)),"その他未勝利",IF(ISNUMBER(SEARCH("G1",Z1287)),"G1",IF(ISNUMBER(SEARCH("G2",Z1287)),"G2",IF(ISNUMBER(SEARCH("G3",Z1287)),"G3",IF(ISNUMBER(SEARCH("古馬条件",Z1287)),"古馬条件戦",IF(ISNUMBER(SEARCH("重賞",Z1287)),"重賞","分類不能")))))))))</f>
        <v/>
      </c>
    </row>
    <row r="1288" customFormat="false" ht="15.75" hidden="false" customHeight="false" outlineLevel="0" collapsed="false">
      <c r="AO1288" s="8" t="str">
        <f aca="false">IF(A1288="","",IF(COUNTIFS(全馬データ!$A$2:$A$50000,A1288,全馬データ!$B$2:$B$50000,B1288,全馬データ!$C$2:$C$50000,C1288,全馬データ!$D$2:$D$50000,E1288,全馬データ!$K$2:$K$50000,"&lt;&gt;")=0,"",SUMIFS(全馬データ!$K$2:$K$50000,全馬データ!$A$2:$A$50000,A1288,全馬データ!$B$2:$B$50000,B1288,全馬データ!$C$2:$C$50000,C1288,全馬データ!$D$2:$D$50000,E1288)))</f>
        <v/>
      </c>
      <c r="AP1288" s="8" t="str">
        <f aca="false">IF(A1288="","",IF(AO1288="","欠損",IF(AO1288&lt;=1.1,"1.0～1.1",IF(AO1288&lt;1.3,"1.2",IF(AO1288&lt;1.5,"1.3～1.4",IF(AO1288&lt;2,"1.5～1.9","2.0以上"))))))</f>
        <v/>
      </c>
      <c r="AQ1288" s="8" t="str">
        <f aca="false">IF(A1288="","",IF(ISNUMBER(SEARCH("2歳",Z1288)),"2歳戦",IF(ISNUMBER(SEARCH("3歳未勝利",Z1288)),"3歳未勝利",IF(ISNUMBER(SEARCH("未勝利",Z1288)),"その他未勝利",IF(ISNUMBER(SEARCH("G1",Z1288)),"G1",IF(ISNUMBER(SEARCH("G2",Z1288)),"G2",IF(ISNUMBER(SEARCH("G3",Z1288)),"G3",IF(ISNUMBER(SEARCH("古馬条件",Z1288)),"古馬条件戦",IF(ISNUMBER(SEARCH("重賞",Z1288)),"重賞","分類不能")))))))))</f>
        <v/>
      </c>
    </row>
    <row r="1289" customFormat="false" ht="15.75" hidden="false" customHeight="false" outlineLevel="0" collapsed="false">
      <c r="AO1289" s="8" t="str">
        <f aca="false">IF(A1289="","",IF(COUNTIFS(全馬データ!$A$2:$A$50000,A1289,全馬データ!$B$2:$B$50000,B1289,全馬データ!$C$2:$C$50000,C1289,全馬データ!$D$2:$D$50000,E1289,全馬データ!$K$2:$K$50000,"&lt;&gt;")=0,"",SUMIFS(全馬データ!$K$2:$K$50000,全馬データ!$A$2:$A$50000,A1289,全馬データ!$B$2:$B$50000,B1289,全馬データ!$C$2:$C$50000,C1289,全馬データ!$D$2:$D$50000,E1289)))</f>
        <v/>
      </c>
      <c r="AP1289" s="8" t="str">
        <f aca="false">IF(A1289="","",IF(AO1289="","欠損",IF(AO1289&lt;=1.1,"1.0～1.1",IF(AO1289&lt;1.3,"1.2",IF(AO1289&lt;1.5,"1.3～1.4",IF(AO1289&lt;2,"1.5～1.9","2.0以上"))))))</f>
        <v/>
      </c>
      <c r="AQ1289" s="8" t="str">
        <f aca="false">IF(A1289="","",IF(ISNUMBER(SEARCH("2歳",Z1289)),"2歳戦",IF(ISNUMBER(SEARCH("3歳未勝利",Z1289)),"3歳未勝利",IF(ISNUMBER(SEARCH("未勝利",Z1289)),"その他未勝利",IF(ISNUMBER(SEARCH("G1",Z1289)),"G1",IF(ISNUMBER(SEARCH("G2",Z1289)),"G2",IF(ISNUMBER(SEARCH("G3",Z1289)),"G3",IF(ISNUMBER(SEARCH("古馬条件",Z1289)),"古馬条件戦",IF(ISNUMBER(SEARCH("重賞",Z1289)),"重賞","分類不能")))))))))</f>
        <v/>
      </c>
    </row>
    <row r="1290" customFormat="false" ht="15.75" hidden="false" customHeight="false" outlineLevel="0" collapsed="false">
      <c r="AO1290" s="8" t="str">
        <f aca="false">IF(A1290="","",IF(COUNTIFS(全馬データ!$A$2:$A$50000,A1290,全馬データ!$B$2:$B$50000,B1290,全馬データ!$C$2:$C$50000,C1290,全馬データ!$D$2:$D$50000,E1290,全馬データ!$K$2:$K$50000,"&lt;&gt;")=0,"",SUMIFS(全馬データ!$K$2:$K$50000,全馬データ!$A$2:$A$50000,A1290,全馬データ!$B$2:$B$50000,B1290,全馬データ!$C$2:$C$50000,C1290,全馬データ!$D$2:$D$50000,E1290)))</f>
        <v/>
      </c>
      <c r="AP1290" s="8" t="str">
        <f aca="false">IF(A1290="","",IF(AO1290="","欠損",IF(AO1290&lt;=1.1,"1.0～1.1",IF(AO1290&lt;1.3,"1.2",IF(AO1290&lt;1.5,"1.3～1.4",IF(AO1290&lt;2,"1.5～1.9","2.0以上"))))))</f>
        <v/>
      </c>
      <c r="AQ1290" s="8" t="str">
        <f aca="false">IF(A1290="","",IF(ISNUMBER(SEARCH("2歳",Z1290)),"2歳戦",IF(ISNUMBER(SEARCH("3歳未勝利",Z1290)),"3歳未勝利",IF(ISNUMBER(SEARCH("未勝利",Z1290)),"その他未勝利",IF(ISNUMBER(SEARCH("G1",Z1290)),"G1",IF(ISNUMBER(SEARCH("G2",Z1290)),"G2",IF(ISNUMBER(SEARCH("G3",Z1290)),"G3",IF(ISNUMBER(SEARCH("古馬条件",Z1290)),"古馬条件戦",IF(ISNUMBER(SEARCH("重賞",Z1290)),"重賞","分類不能")))))))))</f>
        <v/>
      </c>
    </row>
    <row r="1291" customFormat="false" ht="15.75" hidden="false" customHeight="false" outlineLevel="0" collapsed="false">
      <c r="AO1291" s="8" t="str">
        <f aca="false">IF(A1291="","",IF(COUNTIFS(全馬データ!$A$2:$A$50000,A1291,全馬データ!$B$2:$B$50000,B1291,全馬データ!$C$2:$C$50000,C1291,全馬データ!$D$2:$D$50000,E1291,全馬データ!$K$2:$K$50000,"&lt;&gt;")=0,"",SUMIFS(全馬データ!$K$2:$K$50000,全馬データ!$A$2:$A$50000,A1291,全馬データ!$B$2:$B$50000,B1291,全馬データ!$C$2:$C$50000,C1291,全馬データ!$D$2:$D$50000,E1291)))</f>
        <v/>
      </c>
      <c r="AP1291" s="8" t="str">
        <f aca="false">IF(A1291="","",IF(AO1291="","欠損",IF(AO1291&lt;=1.1,"1.0～1.1",IF(AO1291&lt;1.3,"1.2",IF(AO1291&lt;1.5,"1.3～1.4",IF(AO1291&lt;2,"1.5～1.9","2.0以上"))))))</f>
        <v/>
      </c>
      <c r="AQ1291" s="8" t="str">
        <f aca="false">IF(A1291="","",IF(ISNUMBER(SEARCH("2歳",Z1291)),"2歳戦",IF(ISNUMBER(SEARCH("3歳未勝利",Z1291)),"3歳未勝利",IF(ISNUMBER(SEARCH("未勝利",Z1291)),"その他未勝利",IF(ISNUMBER(SEARCH("G1",Z1291)),"G1",IF(ISNUMBER(SEARCH("G2",Z1291)),"G2",IF(ISNUMBER(SEARCH("G3",Z1291)),"G3",IF(ISNUMBER(SEARCH("古馬条件",Z1291)),"古馬条件戦",IF(ISNUMBER(SEARCH("重賞",Z1291)),"重賞","分類不能")))))))))</f>
        <v/>
      </c>
    </row>
    <row r="1292" customFormat="false" ht="15.75" hidden="false" customHeight="false" outlineLevel="0" collapsed="false">
      <c r="AO1292" s="8" t="str">
        <f aca="false">IF(A1292="","",IF(COUNTIFS(全馬データ!$A$2:$A$50000,A1292,全馬データ!$B$2:$B$50000,B1292,全馬データ!$C$2:$C$50000,C1292,全馬データ!$D$2:$D$50000,E1292,全馬データ!$K$2:$K$50000,"&lt;&gt;")=0,"",SUMIFS(全馬データ!$K$2:$K$50000,全馬データ!$A$2:$A$50000,A1292,全馬データ!$B$2:$B$50000,B1292,全馬データ!$C$2:$C$50000,C1292,全馬データ!$D$2:$D$50000,E1292)))</f>
        <v/>
      </c>
      <c r="AP1292" s="8" t="str">
        <f aca="false">IF(A1292="","",IF(AO1292="","欠損",IF(AO1292&lt;=1.1,"1.0～1.1",IF(AO1292&lt;1.3,"1.2",IF(AO1292&lt;1.5,"1.3～1.4",IF(AO1292&lt;2,"1.5～1.9","2.0以上"))))))</f>
        <v/>
      </c>
      <c r="AQ1292" s="8" t="str">
        <f aca="false">IF(A1292="","",IF(ISNUMBER(SEARCH("2歳",Z1292)),"2歳戦",IF(ISNUMBER(SEARCH("3歳未勝利",Z1292)),"3歳未勝利",IF(ISNUMBER(SEARCH("未勝利",Z1292)),"その他未勝利",IF(ISNUMBER(SEARCH("G1",Z1292)),"G1",IF(ISNUMBER(SEARCH("G2",Z1292)),"G2",IF(ISNUMBER(SEARCH("G3",Z1292)),"G3",IF(ISNUMBER(SEARCH("古馬条件",Z1292)),"古馬条件戦",IF(ISNUMBER(SEARCH("重賞",Z1292)),"重賞","分類不能")))))))))</f>
        <v/>
      </c>
    </row>
    <row r="1293" customFormat="false" ht="15.75" hidden="false" customHeight="false" outlineLevel="0" collapsed="false">
      <c r="AO1293" s="8" t="str">
        <f aca="false">IF(A1293="","",IF(COUNTIFS(全馬データ!$A$2:$A$50000,A1293,全馬データ!$B$2:$B$50000,B1293,全馬データ!$C$2:$C$50000,C1293,全馬データ!$D$2:$D$50000,E1293,全馬データ!$K$2:$K$50000,"&lt;&gt;")=0,"",SUMIFS(全馬データ!$K$2:$K$50000,全馬データ!$A$2:$A$50000,A1293,全馬データ!$B$2:$B$50000,B1293,全馬データ!$C$2:$C$50000,C1293,全馬データ!$D$2:$D$50000,E1293)))</f>
        <v/>
      </c>
      <c r="AP1293" s="8" t="str">
        <f aca="false">IF(A1293="","",IF(AO1293="","欠損",IF(AO1293&lt;=1.1,"1.0～1.1",IF(AO1293&lt;1.3,"1.2",IF(AO1293&lt;1.5,"1.3～1.4",IF(AO1293&lt;2,"1.5～1.9","2.0以上"))))))</f>
        <v/>
      </c>
      <c r="AQ1293" s="8" t="str">
        <f aca="false">IF(A1293="","",IF(ISNUMBER(SEARCH("2歳",Z1293)),"2歳戦",IF(ISNUMBER(SEARCH("3歳未勝利",Z1293)),"3歳未勝利",IF(ISNUMBER(SEARCH("未勝利",Z1293)),"その他未勝利",IF(ISNUMBER(SEARCH("G1",Z1293)),"G1",IF(ISNUMBER(SEARCH("G2",Z1293)),"G2",IF(ISNUMBER(SEARCH("G3",Z1293)),"G3",IF(ISNUMBER(SEARCH("古馬条件",Z1293)),"古馬条件戦",IF(ISNUMBER(SEARCH("重賞",Z1293)),"重賞","分類不能")))))))))</f>
        <v/>
      </c>
    </row>
    <row r="1294" customFormat="false" ht="15.75" hidden="false" customHeight="false" outlineLevel="0" collapsed="false">
      <c r="AO1294" s="8" t="str">
        <f aca="false">IF(A1294="","",IF(COUNTIFS(全馬データ!$A$2:$A$50000,A1294,全馬データ!$B$2:$B$50000,B1294,全馬データ!$C$2:$C$50000,C1294,全馬データ!$D$2:$D$50000,E1294,全馬データ!$K$2:$K$50000,"&lt;&gt;")=0,"",SUMIFS(全馬データ!$K$2:$K$50000,全馬データ!$A$2:$A$50000,A1294,全馬データ!$B$2:$B$50000,B1294,全馬データ!$C$2:$C$50000,C1294,全馬データ!$D$2:$D$50000,E1294)))</f>
        <v/>
      </c>
      <c r="AP1294" s="8" t="str">
        <f aca="false">IF(A1294="","",IF(AO1294="","欠損",IF(AO1294&lt;=1.1,"1.0～1.1",IF(AO1294&lt;1.3,"1.2",IF(AO1294&lt;1.5,"1.3～1.4",IF(AO1294&lt;2,"1.5～1.9","2.0以上"))))))</f>
        <v/>
      </c>
      <c r="AQ1294" s="8" t="str">
        <f aca="false">IF(A1294="","",IF(ISNUMBER(SEARCH("2歳",Z1294)),"2歳戦",IF(ISNUMBER(SEARCH("3歳未勝利",Z1294)),"3歳未勝利",IF(ISNUMBER(SEARCH("未勝利",Z1294)),"その他未勝利",IF(ISNUMBER(SEARCH("G1",Z1294)),"G1",IF(ISNUMBER(SEARCH("G2",Z1294)),"G2",IF(ISNUMBER(SEARCH("G3",Z1294)),"G3",IF(ISNUMBER(SEARCH("古馬条件",Z1294)),"古馬条件戦",IF(ISNUMBER(SEARCH("重賞",Z1294)),"重賞","分類不能")))))))))</f>
        <v/>
      </c>
    </row>
    <row r="1295" customFormat="false" ht="15.75" hidden="false" customHeight="false" outlineLevel="0" collapsed="false">
      <c r="AO1295" s="8" t="str">
        <f aca="false">IF(A1295="","",IF(COUNTIFS(全馬データ!$A$2:$A$50000,A1295,全馬データ!$B$2:$B$50000,B1295,全馬データ!$C$2:$C$50000,C1295,全馬データ!$D$2:$D$50000,E1295,全馬データ!$K$2:$K$50000,"&lt;&gt;")=0,"",SUMIFS(全馬データ!$K$2:$K$50000,全馬データ!$A$2:$A$50000,A1295,全馬データ!$B$2:$B$50000,B1295,全馬データ!$C$2:$C$50000,C1295,全馬データ!$D$2:$D$50000,E1295)))</f>
        <v/>
      </c>
      <c r="AP1295" s="8" t="str">
        <f aca="false">IF(A1295="","",IF(AO1295="","欠損",IF(AO1295&lt;=1.1,"1.0～1.1",IF(AO1295&lt;1.3,"1.2",IF(AO1295&lt;1.5,"1.3～1.4",IF(AO1295&lt;2,"1.5～1.9","2.0以上"))))))</f>
        <v/>
      </c>
      <c r="AQ1295" s="8" t="str">
        <f aca="false">IF(A1295="","",IF(ISNUMBER(SEARCH("2歳",Z1295)),"2歳戦",IF(ISNUMBER(SEARCH("3歳未勝利",Z1295)),"3歳未勝利",IF(ISNUMBER(SEARCH("未勝利",Z1295)),"その他未勝利",IF(ISNUMBER(SEARCH("G1",Z1295)),"G1",IF(ISNUMBER(SEARCH("G2",Z1295)),"G2",IF(ISNUMBER(SEARCH("G3",Z1295)),"G3",IF(ISNUMBER(SEARCH("古馬条件",Z1295)),"古馬条件戦",IF(ISNUMBER(SEARCH("重賞",Z1295)),"重賞","分類不能")))))))))</f>
        <v/>
      </c>
    </row>
    <row r="1296" customFormat="false" ht="15.75" hidden="false" customHeight="false" outlineLevel="0" collapsed="false">
      <c r="AO1296" s="8" t="str">
        <f aca="false">IF(A1296="","",IF(COUNTIFS(全馬データ!$A$2:$A$50000,A1296,全馬データ!$B$2:$B$50000,B1296,全馬データ!$C$2:$C$50000,C1296,全馬データ!$D$2:$D$50000,E1296,全馬データ!$K$2:$K$50000,"&lt;&gt;")=0,"",SUMIFS(全馬データ!$K$2:$K$50000,全馬データ!$A$2:$A$50000,A1296,全馬データ!$B$2:$B$50000,B1296,全馬データ!$C$2:$C$50000,C1296,全馬データ!$D$2:$D$50000,E1296)))</f>
        <v/>
      </c>
      <c r="AP1296" s="8" t="str">
        <f aca="false">IF(A1296="","",IF(AO1296="","欠損",IF(AO1296&lt;=1.1,"1.0～1.1",IF(AO1296&lt;1.3,"1.2",IF(AO1296&lt;1.5,"1.3～1.4",IF(AO1296&lt;2,"1.5～1.9","2.0以上"))))))</f>
        <v/>
      </c>
      <c r="AQ1296" s="8" t="str">
        <f aca="false">IF(A1296="","",IF(ISNUMBER(SEARCH("2歳",Z1296)),"2歳戦",IF(ISNUMBER(SEARCH("3歳未勝利",Z1296)),"3歳未勝利",IF(ISNUMBER(SEARCH("未勝利",Z1296)),"その他未勝利",IF(ISNUMBER(SEARCH("G1",Z1296)),"G1",IF(ISNUMBER(SEARCH("G2",Z1296)),"G2",IF(ISNUMBER(SEARCH("G3",Z1296)),"G3",IF(ISNUMBER(SEARCH("古馬条件",Z1296)),"古馬条件戦",IF(ISNUMBER(SEARCH("重賞",Z1296)),"重賞","分類不能")))))))))</f>
        <v/>
      </c>
    </row>
    <row r="1297" customFormat="false" ht="15.75" hidden="false" customHeight="false" outlineLevel="0" collapsed="false">
      <c r="AO1297" s="8" t="str">
        <f aca="false">IF(A1297="","",IF(COUNTIFS(全馬データ!$A$2:$A$50000,A1297,全馬データ!$B$2:$B$50000,B1297,全馬データ!$C$2:$C$50000,C1297,全馬データ!$D$2:$D$50000,E1297,全馬データ!$K$2:$K$50000,"&lt;&gt;")=0,"",SUMIFS(全馬データ!$K$2:$K$50000,全馬データ!$A$2:$A$50000,A1297,全馬データ!$B$2:$B$50000,B1297,全馬データ!$C$2:$C$50000,C1297,全馬データ!$D$2:$D$50000,E1297)))</f>
        <v/>
      </c>
      <c r="AP1297" s="8" t="str">
        <f aca="false">IF(A1297="","",IF(AO1297="","欠損",IF(AO1297&lt;=1.1,"1.0～1.1",IF(AO1297&lt;1.3,"1.2",IF(AO1297&lt;1.5,"1.3～1.4",IF(AO1297&lt;2,"1.5～1.9","2.0以上"))))))</f>
        <v/>
      </c>
      <c r="AQ1297" s="8" t="str">
        <f aca="false">IF(A1297="","",IF(ISNUMBER(SEARCH("2歳",Z1297)),"2歳戦",IF(ISNUMBER(SEARCH("3歳未勝利",Z1297)),"3歳未勝利",IF(ISNUMBER(SEARCH("未勝利",Z1297)),"その他未勝利",IF(ISNUMBER(SEARCH("G1",Z1297)),"G1",IF(ISNUMBER(SEARCH("G2",Z1297)),"G2",IF(ISNUMBER(SEARCH("G3",Z1297)),"G3",IF(ISNUMBER(SEARCH("古馬条件",Z1297)),"古馬条件戦",IF(ISNUMBER(SEARCH("重賞",Z1297)),"重賞","分類不能")))))))))</f>
        <v/>
      </c>
    </row>
    <row r="1298" customFormat="false" ht="15.75" hidden="false" customHeight="false" outlineLevel="0" collapsed="false">
      <c r="AO1298" s="8" t="str">
        <f aca="false">IF(A1298="","",IF(COUNTIFS(全馬データ!$A$2:$A$50000,A1298,全馬データ!$B$2:$B$50000,B1298,全馬データ!$C$2:$C$50000,C1298,全馬データ!$D$2:$D$50000,E1298,全馬データ!$K$2:$K$50000,"&lt;&gt;")=0,"",SUMIFS(全馬データ!$K$2:$K$50000,全馬データ!$A$2:$A$50000,A1298,全馬データ!$B$2:$B$50000,B1298,全馬データ!$C$2:$C$50000,C1298,全馬データ!$D$2:$D$50000,E1298)))</f>
        <v/>
      </c>
      <c r="AP1298" s="8" t="str">
        <f aca="false">IF(A1298="","",IF(AO1298="","欠損",IF(AO1298&lt;=1.1,"1.0～1.1",IF(AO1298&lt;1.3,"1.2",IF(AO1298&lt;1.5,"1.3～1.4",IF(AO1298&lt;2,"1.5～1.9","2.0以上"))))))</f>
        <v/>
      </c>
      <c r="AQ1298" s="8" t="str">
        <f aca="false">IF(A1298="","",IF(ISNUMBER(SEARCH("2歳",Z1298)),"2歳戦",IF(ISNUMBER(SEARCH("3歳未勝利",Z1298)),"3歳未勝利",IF(ISNUMBER(SEARCH("未勝利",Z1298)),"その他未勝利",IF(ISNUMBER(SEARCH("G1",Z1298)),"G1",IF(ISNUMBER(SEARCH("G2",Z1298)),"G2",IF(ISNUMBER(SEARCH("G3",Z1298)),"G3",IF(ISNUMBER(SEARCH("古馬条件",Z1298)),"古馬条件戦",IF(ISNUMBER(SEARCH("重賞",Z1298)),"重賞","分類不能")))))))))</f>
        <v/>
      </c>
    </row>
    <row r="1299" customFormat="false" ht="15.75" hidden="false" customHeight="false" outlineLevel="0" collapsed="false">
      <c r="AO1299" s="8" t="str">
        <f aca="false">IF(A1299="","",IF(COUNTIFS(全馬データ!$A$2:$A$50000,A1299,全馬データ!$B$2:$B$50000,B1299,全馬データ!$C$2:$C$50000,C1299,全馬データ!$D$2:$D$50000,E1299,全馬データ!$K$2:$K$50000,"&lt;&gt;")=0,"",SUMIFS(全馬データ!$K$2:$K$50000,全馬データ!$A$2:$A$50000,A1299,全馬データ!$B$2:$B$50000,B1299,全馬データ!$C$2:$C$50000,C1299,全馬データ!$D$2:$D$50000,E1299)))</f>
        <v/>
      </c>
      <c r="AP1299" s="8" t="str">
        <f aca="false">IF(A1299="","",IF(AO1299="","欠損",IF(AO1299&lt;=1.1,"1.0～1.1",IF(AO1299&lt;1.3,"1.2",IF(AO1299&lt;1.5,"1.3～1.4",IF(AO1299&lt;2,"1.5～1.9","2.0以上"))))))</f>
        <v/>
      </c>
      <c r="AQ1299" s="8" t="str">
        <f aca="false">IF(A1299="","",IF(ISNUMBER(SEARCH("2歳",Z1299)),"2歳戦",IF(ISNUMBER(SEARCH("3歳未勝利",Z1299)),"3歳未勝利",IF(ISNUMBER(SEARCH("未勝利",Z1299)),"その他未勝利",IF(ISNUMBER(SEARCH("G1",Z1299)),"G1",IF(ISNUMBER(SEARCH("G2",Z1299)),"G2",IF(ISNUMBER(SEARCH("G3",Z1299)),"G3",IF(ISNUMBER(SEARCH("古馬条件",Z1299)),"古馬条件戦",IF(ISNUMBER(SEARCH("重賞",Z1299)),"重賞","分類不能")))))))))</f>
        <v/>
      </c>
    </row>
    <row r="1300" customFormat="false" ht="15.75" hidden="false" customHeight="false" outlineLevel="0" collapsed="false">
      <c r="AO1300" s="8" t="str">
        <f aca="false">IF(A1300="","",IF(COUNTIFS(全馬データ!$A$2:$A$50000,A1300,全馬データ!$B$2:$B$50000,B1300,全馬データ!$C$2:$C$50000,C1300,全馬データ!$D$2:$D$50000,E1300,全馬データ!$K$2:$K$50000,"&lt;&gt;")=0,"",SUMIFS(全馬データ!$K$2:$K$50000,全馬データ!$A$2:$A$50000,A1300,全馬データ!$B$2:$B$50000,B1300,全馬データ!$C$2:$C$50000,C1300,全馬データ!$D$2:$D$50000,E1300)))</f>
        <v/>
      </c>
      <c r="AP1300" s="8" t="str">
        <f aca="false">IF(A1300="","",IF(AO1300="","欠損",IF(AO1300&lt;=1.1,"1.0～1.1",IF(AO1300&lt;1.3,"1.2",IF(AO1300&lt;1.5,"1.3～1.4",IF(AO1300&lt;2,"1.5～1.9","2.0以上"))))))</f>
        <v/>
      </c>
      <c r="AQ1300" s="8" t="str">
        <f aca="false">IF(A1300="","",IF(ISNUMBER(SEARCH("2歳",Z1300)),"2歳戦",IF(ISNUMBER(SEARCH("3歳未勝利",Z1300)),"3歳未勝利",IF(ISNUMBER(SEARCH("未勝利",Z1300)),"その他未勝利",IF(ISNUMBER(SEARCH("G1",Z1300)),"G1",IF(ISNUMBER(SEARCH("G2",Z1300)),"G2",IF(ISNUMBER(SEARCH("G3",Z1300)),"G3",IF(ISNUMBER(SEARCH("古馬条件",Z1300)),"古馬条件戦",IF(ISNUMBER(SEARCH("重賞",Z1300)),"重賞","分類不能")))))))))</f>
        <v/>
      </c>
    </row>
    <row r="1301" customFormat="false" ht="15.75" hidden="false" customHeight="false" outlineLevel="0" collapsed="false">
      <c r="AO1301" s="8" t="str">
        <f aca="false">IF(A1301="","",IF(COUNTIFS(全馬データ!$A$2:$A$50000,A1301,全馬データ!$B$2:$B$50000,B1301,全馬データ!$C$2:$C$50000,C1301,全馬データ!$D$2:$D$50000,E1301,全馬データ!$K$2:$K$50000,"&lt;&gt;")=0,"",SUMIFS(全馬データ!$K$2:$K$50000,全馬データ!$A$2:$A$50000,A1301,全馬データ!$B$2:$B$50000,B1301,全馬データ!$C$2:$C$50000,C1301,全馬データ!$D$2:$D$50000,E1301)))</f>
        <v/>
      </c>
      <c r="AP1301" s="8" t="str">
        <f aca="false">IF(A1301="","",IF(AO1301="","欠損",IF(AO1301&lt;=1.1,"1.0～1.1",IF(AO1301&lt;1.3,"1.2",IF(AO1301&lt;1.5,"1.3～1.4",IF(AO1301&lt;2,"1.5～1.9","2.0以上"))))))</f>
        <v/>
      </c>
      <c r="AQ1301" s="8" t="str">
        <f aca="false">IF(A1301="","",IF(ISNUMBER(SEARCH("2歳",Z1301)),"2歳戦",IF(ISNUMBER(SEARCH("3歳未勝利",Z1301)),"3歳未勝利",IF(ISNUMBER(SEARCH("未勝利",Z1301)),"その他未勝利",IF(ISNUMBER(SEARCH("G1",Z1301)),"G1",IF(ISNUMBER(SEARCH("G2",Z1301)),"G2",IF(ISNUMBER(SEARCH("G3",Z1301)),"G3",IF(ISNUMBER(SEARCH("古馬条件",Z1301)),"古馬条件戦",IF(ISNUMBER(SEARCH("重賞",Z1301)),"重賞","分類不能")))))))))</f>
        <v/>
      </c>
    </row>
    <row r="1302" customFormat="false" ht="15.75" hidden="false" customHeight="false" outlineLevel="0" collapsed="false">
      <c r="AO1302" s="8" t="str">
        <f aca="false">IF(A1302="","",IF(COUNTIFS(全馬データ!$A$2:$A$50000,A1302,全馬データ!$B$2:$B$50000,B1302,全馬データ!$C$2:$C$50000,C1302,全馬データ!$D$2:$D$50000,E1302,全馬データ!$K$2:$K$50000,"&lt;&gt;")=0,"",SUMIFS(全馬データ!$K$2:$K$50000,全馬データ!$A$2:$A$50000,A1302,全馬データ!$B$2:$B$50000,B1302,全馬データ!$C$2:$C$50000,C1302,全馬データ!$D$2:$D$50000,E1302)))</f>
        <v/>
      </c>
      <c r="AP1302" s="8" t="str">
        <f aca="false">IF(A1302="","",IF(AO1302="","欠損",IF(AO1302&lt;=1.1,"1.0～1.1",IF(AO1302&lt;1.3,"1.2",IF(AO1302&lt;1.5,"1.3～1.4",IF(AO1302&lt;2,"1.5～1.9","2.0以上"))))))</f>
        <v/>
      </c>
      <c r="AQ1302" s="8" t="str">
        <f aca="false">IF(A1302="","",IF(ISNUMBER(SEARCH("2歳",Z1302)),"2歳戦",IF(ISNUMBER(SEARCH("3歳未勝利",Z1302)),"3歳未勝利",IF(ISNUMBER(SEARCH("未勝利",Z1302)),"その他未勝利",IF(ISNUMBER(SEARCH("G1",Z1302)),"G1",IF(ISNUMBER(SEARCH("G2",Z1302)),"G2",IF(ISNUMBER(SEARCH("G3",Z1302)),"G3",IF(ISNUMBER(SEARCH("古馬条件",Z1302)),"古馬条件戦",IF(ISNUMBER(SEARCH("重賞",Z1302)),"重賞","分類不能")))))))))</f>
        <v/>
      </c>
    </row>
    <row r="1303" customFormat="false" ht="15.75" hidden="false" customHeight="false" outlineLevel="0" collapsed="false">
      <c r="AO1303" s="8" t="str">
        <f aca="false">IF(A1303="","",IF(COUNTIFS(全馬データ!$A$2:$A$50000,A1303,全馬データ!$B$2:$B$50000,B1303,全馬データ!$C$2:$C$50000,C1303,全馬データ!$D$2:$D$50000,E1303,全馬データ!$K$2:$K$50000,"&lt;&gt;")=0,"",SUMIFS(全馬データ!$K$2:$K$50000,全馬データ!$A$2:$A$50000,A1303,全馬データ!$B$2:$B$50000,B1303,全馬データ!$C$2:$C$50000,C1303,全馬データ!$D$2:$D$50000,E1303)))</f>
        <v/>
      </c>
      <c r="AP1303" s="8" t="str">
        <f aca="false">IF(A1303="","",IF(AO1303="","欠損",IF(AO1303&lt;=1.1,"1.0～1.1",IF(AO1303&lt;1.3,"1.2",IF(AO1303&lt;1.5,"1.3～1.4",IF(AO1303&lt;2,"1.5～1.9","2.0以上"))))))</f>
        <v/>
      </c>
      <c r="AQ1303" s="8" t="str">
        <f aca="false">IF(A1303="","",IF(ISNUMBER(SEARCH("2歳",Z1303)),"2歳戦",IF(ISNUMBER(SEARCH("3歳未勝利",Z1303)),"3歳未勝利",IF(ISNUMBER(SEARCH("未勝利",Z1303)),"その他未勝利",IF(ISNUMBER(SEARCH("G1",Z1303)),"G1",IF(ISNUMBER(SEARCH("G2",Z1303)),"G2",IF(ISNUMBER(SEARCH("G3",Z1303)),"G3",IF(ISNUMBER(SEARCH("古馬条件",Z1303)),"古馬条件戦",IF(ISNUMBER(SEARCH("重賞",Z1303)),"重賞","分類不能")))))))))</f>
        <v/>
      </c>
    </row>
    <row r="1304" customFormat="false" ht="15.75" hidden="false" customHeight="false" outlineLevel="0" collapsed="false">
      <c r="AO1304" s="8" t="str">
        <f aca="false">IF(A1304="","",IF(COUNTIFS(全馬データ!$A$2:$A$50000,A1304,全馬データ!$B$2:$B$50000,B1304,全馬データ!$C$2:$C$50000,C1304,全馬データ!$D$2:$D$50000,E1304,全馬データ!$K$2:$K$50000,"&lt;&gt;")=0,"",SUMIFS(全馬データ!$K$2:$K$50000,全馬データ!$A$2:$A$50000,A1304,全馬データ!$B$2:$B$50000,B1304,全馬データ!$C$2:$C$50000,C1304,全馬データ!$D$2:$D$50000,E1304)))</f>
        <v/>
      </c>
      <c r="AP1304" s="8" t="str">
        <f aca="false">IF(A1304="","",IF(AO1304="","欠損",IF(AO1304&lt;=1.1,"1.0～1.1",IF(AO1304&lt;1.3,"1.2",IF(AO1304&lt;1.5,"1.3～1.4",IF(AO1304&lt;2,"1.5～1.9","2.0以上"))))))</f>
        <v/>
      </c>
      <c r="AQ1304" s="8" t="str">
        <f aca="false">IF(A1304="","",IF(ISNUMBER(SEARCH("2歳",Z1304)),"2歳戦",IF(ISNUMBER(SEARCH("3歳未勝利",Z1304)),"3歳未勝利",IF(ISNUMBER(SEARCH("未勝利",Z1304)),"その他未勝利",IF(ISNUMBER(SEARCH("G1",Z1304)),"G1",IF(ISNUMBER(SEARCH("G2",Z1304)),"G2",IF(ISNUMBER(SEARCH("G3",Z1304)),"G3",IF(ISNUMBER(SEARCH("古馬条件",Z1304)),"古馬条件戦",IF(ISNUMBER(SEARCH("重賞",Z1304)),"重賞","分類不能")))))))))</f>
        <v/>
      </c>
    </row>
    <row r="1305" customFormat="false" ht="15.75" hidden="false" customHeight="false" outlineLevel="0" collapsed="false">
      <c r="AO1305" s="8" t="str">
        <f aca="false">IF(A1305="","",IF(COUNTIFS(全馬データ!$A$2:$A$50000,A1305,全馬データ!$B$2:$B$50000,B1305,全馬データ!$C$2:$C$50000,C1305,全馬データ!$D$2:$D$50000,E1305,全馬データ!$K$2:$K$50000,"&lt;&gt;")=0,"",SUMIFS(全馬データ!$K$2:$K$50000,全馬データ!$A$2:$A$50000,A1305,全馬データ!$B$2:$B$50000,B1305,全馬データ!$C$2:$C$50000,C1305,全馬データ!$D$2:$D$50000,E1305)))</f>
        <v/>
      </c>
      <c r="AP1305" s="8" t="str">
        <f aca="false">IF(A1305="","",IF(AO1305="","欠損",IF(AO1305&lt;=1.1,"1.0～1.1",IF(AO1305&lt;1.3,"1.2",IF(AO1305&lt;1.5,"1.3～1.4",IF(AO1305&lt;2,"1.5～1.9","2.0以上"))))))</f>
        <v/>
      </c>
      <c r="AQ1305" s="8" t="str">
        <f aca="false">IF(A1305="","",IF(ISNUMBER(SEARCH("2歳",Z1305)),"2歳戦",IF(ISNUMBER(SEARCH("3歳未勝利",Z1305)),"3歳未勝利",IF(ISNUMBER(SEARCH("未勝利",Z1305)),"その他未勝利",IF(ISNUMBER(SEARCH("G1",Z1305)),"G1",IF(ISNUMBER(SEARCH("G2",Z1305)),"G2",IF(ISNUMBER(SEARCH("G3",Z1305)),"G3",IF(ISNUMBER(SEARCH("古馬条件",Z1305)),"古馬条件戦",IF(ISNUMBER(SEARCH("重賞",Z1305)),"重賞","分類不能")))))))))</f>
        <v/>
      </c>
    </row>
    <row r="1306" customFormat="false" ht="15.75" hidden="false" customHeight="false" outlineLevel="0" collapsed="false">
      <c r="AO1306" s="8" t="str">
        <f aca="false">IF(A1306="","",IF(COUNTIFS(全馬データ!$A$2:$A$50000,A1306,全馬データ!$B$2:$B$50000,B1306,全馬データ!$C$2:$C$50000,C1306,全馬データ!$D$2:$D$50000,E1306,全馬データ!$K$2:$K$50000,"&lt;&gt;")=0,"",SUMIFS(全馬データ!$K$2:$K$50000,全馬データ!$A$2:$A$50000,A1306,全馬データ!$B$2:$B$50000,B1306,全馬データ!$C$2:$C$50000,C1306,全馬データ!$D$2:$D$50000,E1306)))</f>
        <v/>
      </c>
      <c r="AP1306" s="8" t="str">
        <f aca="false">IF(A1306="","",IF(AO1306="","欠損",IF(AO1306&lt;=1.1,"1.0～1.1",IF(AO1306&lt;1.3,"1.2",IF(AO1306&lt;1.5,"1.3～1.4",IF(AO1306&lt;2,"1.5～1.9","2.0以上"))))))</f>
        <v/>
      </c>
      <c r="AQ1306" s="8" t="str">
        <f aca="false">IF(A1306="","",IF(ISNUMBER(SEARCH("2歳",Z1306)),"2歳戦",IF(ISNUMBER(SEARCH("3歳未勝利",Z1306)),"3歳未勝利",IF(ISNUMBER(SEARCH("未勝利",Z1306)),"その他未勝利",IF(ISNUMBER(SEARCH("G1",Z1306)),"G1",IF(ISNUMBER(SEARCH("G2",Z1306)),"G2",IF(ISNUMBER(SEARCH("G3",Z1306)),"G3",IF(ISNUMBER(SEARCH("古馬条件",Z1306)),"古馬条件戦",IF(ISNUMBER(SEARCH("重賞",Z1306)),"重賞","分類不能")))))))))</f>
        <v/>
      </c>
    </row>
    <row r="1307" customFormat="false" ht="15.75" hidden="false" customHeight="false" outlineLevel="0" collapsed="false">
      <c r="AO1307" s="8" t="str">
        <f aca="false">IF(A1307="","",IF(COUNTIFS(全馬データ!$A$2:$A$50000,A1307,全馬データ!$B$2:$B$50000,B1307,全馬データ!$C$2:$C$50000,C1307,全馬データ!$D$2:$D$50000,E1307,全馬データ!$K$2:$K$50000,"&lt;&gt;")=0,"",SUMIFS(全馬データ!$K$2:$K$50000,全馬データ!$A$2:$A$50000,A1307,全馬データ!$B$2:$B$50000,B1307,全馬データ!$C$2:$C$50000,C1307,全馬データ!$D$2:$D$50000,E1307)))</f>
        <v/>
      </c>
      <c r="AP1307" s="8" t="str">
        <f aca="false">IF(A1307="","",IF(AO1307="","欠損",IF(AO1307&lt;=1.1,"1.0～1.1",IF(AO1307&lt;1.3,"1.2",IF(AO1307&lt;1.5,"1.3～1.4",IF(AO1307&lt;2,"1.5～1.9","2.0以上"))))))</f>
        <v/>
      </c>
      <c r="AQ1307" s="8" t="str">
        <f aca="false">IF(A1307="","",IF(ISNUMBER(SEARCH("2歳",Z1307)),"2歳戦",IF(ISNUMBER(SEARCH("3歳未勝利",Z1307)),"3歳未勝利",IF(ISNUMBER(SEARCH("未勝利",Z1307)),"その他未勝利",IF(ISNUMBER(SEARCH("G1",Z1307)),"G1",IF(ISNUMBER(SEARCH("G2",Z1307)),"G2",IF(ISNUMBER(SEARCH("G3",Z1307)),"G3",IF(ISNUMBER(SEARCH("古馬条件",Z1307)),"古馬条件戦",IF(ISNUMBER(SEARCH("重賞",Z1307)),"重賞","分類不能")))))))))</f>
        <v/>
      </c>
    </row>
    <row r="1308" customFormat="false" ht="15.75" hidden="false" customHeight="false" outlineLevel="0" collapsed="false">
      <c r="AO1308" s="8" t="str">
        <f aca="false">IF(A1308="","",IF(COUNTIFS(全馬データ!$A$2:$A$50000,A1308,全馬データ!$B$2:$B$50000,B1308,全馬データ!$C$2:$C$50000,C1308,全馬データ!$D$2:$D$50000,E1308,全馬データ!$K$2:$K$50000,"&lt;&gt;")=0,"",SUMIFS(全馬データ!$K$2:$K$50000,全馬データ!$A$2:$A$50000,A1308,全馬データ!$B$2:$B$50000,B1308,全馬データ!$C$2:$C$50000,C1308,全馬データ!$D$2:$D$50000,E1308)))</f>
        <v/>
      </c>
      <c r="AP1308" s="8" t="str">
        <f aca="false">IF(A1308="","",IF(AO1308="","欠損",IF(AO1308&lt;=1.1,"1.0～1.1",IF(AO1308&lt;1.3,"1.2",IF(AO1308&lt;1.5,"1.3～1.4",IF(AO1308&lt;2,"1.5～1.9","2.0以上"))))))</f>
        <v/>
      </c>
      <c r="AQ1308" s="8" t="str">
        <f aca="false">IF(A1308="","",IF(ISNUMBER(SEARCH("2歳",Z1308)),"2歳戦",IF(ISNUMBER(SEARCH("3歳未勝利",Z1308)),"3歳未勝利",IF(ISNUMBER(SEARCH("未勝利",Z1308)),"その他未勝利",IF(ISNUMBER(SEARCH("G1",Z1308)),"G1",IF(ISNUMBER(SEARCH("G2",Z1308)),"G2",IF(ISNUMBER(SEARCH("G3",Z1308)),"G3",IF(ISNUMBER(SEARCH("古馬条件",Z1308)),"古馬条件戦",IF(ISNUMBER(SEARCH("重賞",Z1308)),"重賞","分類不能")))))))))</f>
        <v/>
      </c>
    </row>
    <row r="1309" customFormat="false" ht="15.75" hidden="false" customHeight="false" outlineLevel="0" collapsed="false">
      <c r="AO1309" s="8" t="str">
        <f aca="false">IF(A1309="","",IF(COUNTIFS(全馬データ!$A$2:$A$50000,A1309,全馬データ!$B$2:$B$50000,B1309,全馬データ!$C$2:$C$50000,C1309,全馬データ!$D$2:$D$50000,E1309,全馬データ!$K$2:$K$50000,"&lt;&gt;")=0,"",SUMIFS(全馬データ!$K$2:$K$50000,全馬データ!$A$2:$A$50000,A1309,全馬データ!$B$2:$B$50000,B1309,全馬データ!$C$2:$C$50000,C1309,全馬データ!$D$2:$D$50000,E1309)))</f>
        <v/>
      </c>
      <c r="AP1309" s="8" t="str">
        <f aca="false">IF(A1309="","",IF(AO1309="","欠損",IF(AO1309&lt;=1.1,"1.0～1.1",IF(AO1309&lt;1.3,"1.2",IF(AO1309&lt;1.5,"1.3～1.4",IF(AO1309&lt;2,"1.5～1.9","2.0以上"))))))</f>
        <v/>
      </c>
      <c r="AQ1309" s="8" t="str">
        <f aca="false">IF(A1309="","",IF(ISNUMBER(SEARCH("2歳",Z1309)),"2歳戦",IF(ISNUMBER(SEARCH("3歳未勝利",Z1309)),"3歳未勝利",IF(ISNUMBER(SEARCH("未勝利",Z1309)),"その他未勝利",IF(ISNUMBER(SEARCH("G1",Z1309)),"G1",IF(ISNUMBER(SEARCH("G2",Z1309)),"G2",IF(ISNUMBER(SEARCH("G3",Z1309)),"G3",IF(ISNUMBER(SEARCH("古馬条件",Z1309)),"古馬条件戦",IF(ISNUMBER(SEARCH("重賞",Z1309)),"重賞","分類不能")))))))))</f>
        <v/>
      </c>
    </row>
    <row r="1310" customFormat="false" ht="15.75" hidden="false" customHeight="false" outlineLevel="0" collapsed="false">
      <c r="AO1310" s="8" t="str">
        <f aca="false">IF(A1310="","",IF(COUNTIFS(全馬データ!$A$2:$A$50000,A1310,全馬データ!$B$2:$B$50000,B1310,全馬データ!$C$2:$C$50000,C1310,全馬データ!$D$2:$D$50000,E1310,全馬データ!$K$2:$K$50000,"&lt;&gt;")=0,"",SUMIFS(全馬データ!$K$2:$K$50000,全馬データ!$A$2:$A$50000,A1310,全馬データ!$B$2:$B$50000,B1310,全馬データ!$C$2:$C$50000,C1310,全馬データ!$D$2:$D$50000,E1310)))</f>
        <v/>
      </c>
      <c r="AP1310" s="8" t="str">
        <f aca="false">IF(A1310="","",IF(AO1310="","欠損",IF(AO1310&lt;=1.1,"1.0～1.1",IF(AO1310&lt;1.3,"1.2",IF(AO1310&lt;1.5,"1.3～1.4",IF(AO1310&lt;2,"1.5～1.9","2.0以上"))))))</f>
        <v/>
      </c>
      <c r="AQ1310" s="8" t="str">
        <f aca="false">IF(A1310="","",IF(ISNUMBER(SEARCH("2歳",Z1310)),"2歳戦",IF(ISNUMBER(SEARCH("3歳未勝利",Z1310)),"3歳未勝利",IF(ISNUMBER(SEARCH("未勝利",Z1310)),"その他未勝利",IF(ISNUMBER(SEARCH("G1",Z1310)),"G1",IF(ISNUMBER(SEARCH("G2",Z1310)),"G2",IF(ISNUMBER(SEARCH("G3",Z1310)),"G3",IF(ISNUMBER(SEARCH("古馬条件",Z1310)),"古馬条件戦",IF(ISNUMBER(SEARCH("重賞",Z1310)),"重賞","分類不能")))))))))</f>
        <v/>
      </c>
    </row>
    <row r="1311" customFormat="false" ht="15.75" hidden="false" customHeight="false" outlineLevel="0" collapsed="false">
      <c r="AO1311" s="8" t="str">
        <f aca="false">IF(A1311="","",IF(COUNTIFS(全馬データ!$A$2:$A$50000,A1311,全馬データ!$B$2:$B$50000,B1311,全馬データ!$C$2:$C$50000,C1311,全馬データ!$D$2:$D$50000,E1311,全馬データ!$K$2:$K$50000,"&lt;&gt;")=0,"",SUMIFS(全馬データ!$K$2:$K$50000,全馬データ!$A$2:$A$50000,A1311,全馬データ!$B$2:$B$50000,B1311,全馬データ!$C$2:$C$50000,C1311,全馬データ!$D$2:$D$50000,E1311)))</f>
        <v/>
      </c>
      <c r="AP1311" s="8" t="str">
        <f aca="false">IF(A1311="","",IF(AO1311="","欠損",IF(AO1311&lt;=1.1,"1.0～1.1",IF(AO1311&lt;1.3,"1.2",IF(AO1311&lt;1.5,"1.3～1.4",IF(AO1311&lt;2,"1.5～1.9","2.0以上"))))))</f>
        <v/>
      </c>
      <c r="AQ1311" s="8" t="str">
        <f aca="false">IF(A1311="","",IF(ISNUMBER(SEARCH("2歳",Z1311)),"2歳戦",IF(ISNUMBER(SEARCH("3歳未勝利",Z1311)),"3歳未勝利",IF(ISNUMBER(SEARCH("未勝利",Z1311)),"その他未勝利",IF(ISNUMBER(SEARCH("G1",Z1311)),"G1",IF(ISNUMBER(SEARCH("G2",Z1311)),"G2",IF(ISNUMBER(SEARCH("G3",Z1311)),"G3",IF(ISNUMBER(SEARCH("古馬条件",Z1311)),"古馬条件戦",IF(ISNUMBER(SEARCH("重賞",Z1311)),"重賞","分類不能")))))))))</f>
        <v/>
      </c>
    </row>
    <row r="1312" customFormat="false" ht="15.75" hidden="false" customHeight="false" outlineLevel="0" collapsed="false">
      <c r="AO1312" s="8" t="str">
        <f aca="false">IF(A1312="","",IF(COUNTIFS(全馬データ!$A$2:$A$50000,A1312,全馬データ!$B$2:$B$50000,B1312,全馬データ!$C$2:$C$50000,C1312,全馬データ!$D$2:$D$50000,E1312,全馬データ!$K$2:$K$50000,"&lt;&gt;")=0,"",SUMIFS(全馬データ!$K$2:$K$50000,全馬データ!$A$2:$A$50000,A1312,全馬データ!$B$2:$B$50000,B1312,全馬データ!$C$2:$C$50000,C1312,全馬データ!$D$2:$D$50000,E1312)))</f>
        <v/>
      </c>
      <c r="AP1312" s="8" t="str">
        <f aca="false">IF(A1312="","",IF(AO1312="","欠損",IF(AO1312&lt;=1.1,"1.0～1.1",IF(AO1312&lt;1.3,"1.2",IF(AO1312&lt;1.5,"1.3～1.4",IF(AO1312&lt;2,"1.5～1.9","2.0以上"))))))</f>
        <v/>
      </c>
      <c r="AQ1312" s="8" t="str">
        <f aca="false">IF(A1312="","",IF(ISNUMBER(SEARCH("2歳",Z1312)),"2歳戦",IF(ISNUMBER(SEARCH("3歳未勝利",Z1312)),"3歳未勝利",IF(ISNUMBER(SEARCH("未勝利",Z1312)),"その他未勝利",IF(ISNUMBER(SEARCH("G1",Z1312)),"G1",IF(ISNUMBER(SEARCH("G2",Z1312)),"G2",IF(ISNUMBER(SEARCH("G3",Z1312)),"G3",IF(ISNUMBER(SEARCH("古馬条件",Z1312)),"古馬条件戦",IF(ISNUMBER(SEARCH("重賞",Z1312)),"重賞","分類不能")))))))))</f>
        <v/>
      </c>
    </row>
    <row r="1313" customFormat="false" ht="15.75" hidden="false" customHeight="false" outlineLevel="0" collapsed="false">
      <c r="AO1313" s="8" t="str">
        <f aca="false">IF(A1313="","",IF(COUNTIFS(全馬データ!$A$2:$A$50000,A1313,全馬データ!$B$2:$B$50000,B1313,全馬データ!$C$2:$C$50000,C1313,全馬データ!$D$2:$D$50000,E1313,全馬データ!$K$2:$K$50000,"&lt;&gt;")=0,"",SUMIFS(全馬データ!$K$2:$K$50000,全馬データ!$A$2:$A$50000,A1313,全馬データ!$B$2:$B$50000,B1313,全馬データ!$C$2:$C$50000,C1313,全馬データ!$D$2:$D$50000,E1313)))</f>
        <v/>
      </c>
      <c r="AP1313" s="8" t="str">
        <f aca="false">IF(A1313="","",IF(AO1313="","欠損",IF(AO1313&lt;=1.1,"1.0～1.1",IF(AO1313&lt;1.3,"1.2",IF(AO1313&lt;1.5,"1.3～1.4",IF(AO1313&lt;2,"1.5～1.9","2.0以上"))))))</f>
        <v/>
      </c>
      <c r="AQ1313" s="8" t="str">
        <f aca="false">IF(A1313="","",IF(ISNUMBER(SEARCH("2歳",Z1313)),"2歳戦",IF(ISNUMBER(SEARCH("3歳未勝利",Z1313)),"3歳未勝利",IF(ISNUMBER(SEARCH("未勝利",Z1313)),"その他未勝利",IF(ISNUMBER(SEARCH("G1",Z1313)),"G1",IF(ISNUMBER(SEARCH("G2",Z1313)),"G2",IF(ISNUMBER(SEARCH("G3",Z1313)),"G3",IF(ISNUMBER(SEARCH("古馬条件",Z1313)),"古馬条件戦",IF(ISNUMBER(SEARCH("重賞",Z1313)),"重賞","分類不能")))))))))</f>
        <v/>
      </c>
    </row>
    <row r="1314" customFormat="false" ht="15.75" hidden="false" customHeight="false" outlineLevel="0" collapsed="false">
      <c r="AO1314" s="8" t="str">
        <f aca="false">IF(A1314="","",IF(COUNTIFS(全馬データ!$A$2:$A$50000,A1314,全馬データ!$B$2:$B$50000,B1314,全馬データ!$C$2:$C$50000,C1314,全馬データ!$D$2:$D$50000,E1314,全馬データ!$K$2:$K$50000,"&lt;&gt;")=0,"",SUMIFS(全馬データ!$K$2:$K$50000,全馬データ!$A$2:$A$50000,A1314,全馬データ!$B$2:$B$50000,B1314,全馬データ!$C$2:$C$50000,C1314,全馬データ!$D$2:$D$50000,E1314)))</f>
        <v/>
      </c>
      <c r="AP1314" s="8" t="str">
        <f aca="false">IF(A1314="","",IF(AO1314="","欠損",IF(AO1314&lt;=1.1,"1.0～1.1",IF(AO1314&lt;1.3,"1.2",IF(AO1314&lt;1.5,"1.3～1.4",IF(AO1314&lt;2,"1.5～1.9","2.0以上"))))))</f>
        <v/>
      </c>
      <c r="AQ1314" s="8" t="str">
        <f aca="false">IF(A1314="","",IF(ISNUMBER(SEARCH("2歳",Z1314)),"2歳戦",IF(ISNUMBER(SEARCH("3歳未勝利",Z1314)),"3歳未勝利",IF(ISNUMBER(SEARCH("未勝利",Z1314)),"その他未勝利",IF(ISNUMBER(SEARCH("G1",Z1314)),"G1",IF(ISNUMBER(SEARCH("G2",Z1314)),"G2",IF(ISNUMBER(SEARCH("G3",Z1314)),"G3",IF(ISNUMBER(SEARCH("古馬条件",Z1314)),"古馬条件戦",IF(ISNUMBER(SEARCH("重賞",Z1314)),"重賞","分類不能")))))))))</f>
        <v/>
      </c>
    </row>
    <row r="1315" customFormat="false" ht="15.75" hidden="false" customHeight="false" outlineLevel="0" collapsed="false">
      <c r="AO1315" s="8" t="str">
        <f aca="false">IF(A1315="","",IF(COUNTIFS(全馬データ!$A$2:$A$50000,A1315,全馬データ!$B$2:$B$50000,B1315,全馬データ!$C$2:$C$50000,C1315,全馬データ!$D$2:$D$50000,E1315,全馬データ!$K$2:$K$50000,"&lt;&gt;")=0,"",SUMIFS(全馬データ!$K$2:$K$50000,全馬データ!$A$2:$A$50000,A1315,全馬データ!$B$2:$B$50000,B1315,全馬データ!$C$2:$C$50000,C1315,全馬データ!$D$2:$D$50000,E1315)))</f>
        <v/>
      </c>
      <c r="AP1315" s="8" t="str">
        <f aca="false">IF(A1315="","",IF(AO1315="","欠損",IF(AO1315&lt;=1.1,"1.0～1.1",IF(AO1315&lt;1.3,"1.2",IF(AO1315&lt;1.5,"1.3～1.4",IF(AO1315&lt;2,"1.5～1.9","2.0以上"))))))</f>
        <v/>
      </c>
      <c r="AQ1315" s="8" t="str">
        <f aca="false">IF(A1315="","",IF(ISNUMBER(SEARCH("2歳",Z1315)),"2歳戦",IF(ISNUMBER(SEARCH("3歳未勝利",Z1315)),"3歳未勝利",IF(ISNUMBER(SEARCH("未勝利",Z1315)),"その他未勝利",IF(ISNUMBER(SEARCH("G1",Z1315)),"G1",IF(ISNUMBER(SEARCH("G2",Z1315)),"G2",IF(ISNUMBER(SEARCH("G3",Z1315)),"G3",IF(ISNUMBER(SEARCH("古馬条件",Z1315)),"古馬条件戦",IF(ISNUMBER(SEARCH("重賞",Z1315)),"重賞","分類不能")))))))))</f>
        <v/>
      </c>
    </row>
    <row r="1316" customFormat="false" ht="15.75" hidden="false" customHeight="false" outlineLevel="0" collapsed="false">
      <c r="AO1316" s="8" t="str">
        <f aca="false">IF(A1316="","",IF(COUNTIFS(全馬データ!$A$2:$A$50000,A1316,全馬データ!$B$2:$B$50000,B1316,全馬データ!$C$2:$C$50000,C1316,全馬データ!$D$2:$D$50000,E1316,全馬データ!$K$2:$K$50000,"&lt;&gt;")=0,"",SUMIFS(全馬データ!$K$2:$K$50000,全馬データ!$A$2:$A$50000,A1316,全馬データ!$B$2:$B$50000,B1316,全馬データ!$C$2:$C$50000,C1316,全馬データ!$D$2:$D$50000,E1316)))</f>
        <v/>
      </c>
      <c r="AP1316" s="8" t="str">
        <f aca="false">IF(A1316="","",IF(AO1316="","欠損",IF(AO1316&lt;=1.1,"1.0～1.1",IF(AO1316&lt;1.3,"1.2",IF(AO1316&lt;1.5,"1.3～1.4",IF(AO1316&lt;2,"1.5～1.9","2.0以上"))))))</f>
        <v/>
      </c>
      <c r="AQ1316" s="8" t="str">
        <f aca="false">IF(A1316="","",IF(ISNUMBER(SEARCH("2歳",Z1316)),"2歳戦",IF(ISNUMBER(SEARCH("3歳未勝利",Z1316)),"3歳未勝利",IF(ISNUMBER(SEARCH("未勝利",Z1316)),"その他未勝利",IF(ISNUMBER(SEARCH("G1",Z1316)),"G1",IF(ISNUMBER(SEARCH("G2",Z1316)),"G2",IF(ISNUMBER(SEARCH("G3",Z1316)),"G3",IF(ISNUMBER(SEARCH("古馬条件",Z1316)),"古馬条件戦",IF(ISNUMBER(SEARCH("重賞",Z1316)),"重賞","分類不能")))))))))</f>
        <v/>
      </c>
    </row>
    <row r="1317" customFormat="false" ht="15.75" hidden="false" customHeight="false" outlineLevel="0" collapsed="false">
      <c r="AO1317" s="8" t="str">
        <f aca="false">IF(A1317="","",IF(COUNTIFS(全馬データ!$A$2:$A$50000,A1317,全馬データ!$B$2:$B$50000,B1317,全馬データ!$C$2:$C$50000,C1317,全馬データ!$D$2:$D$50000,E1317,全馬データ!$K$2:$K$50000,"&lt;&gt;")=0,"",SUMIFS(全馬データ!$K$2:$K$50000,全馬データ!$A$2:$A$50000,A1317,全馬データ!$B$2:$B$50000,B1317,全馬データ!$C$2:$C$50000,C1317,全馬データ!$D$2:$D$50000,E1317)))</f>
        <v/>
      </c>
      <c r="AP1317" s="8" t="str">
        <f aca="false">IF(A1317="","",IF(AO1317="","欠損",IF(AO1317&lt;=1.1,"1.0～1.1",IF(AO1317&lt;1.3,"1.2",IF(AO1317&lt;1.5,"1.3～1.4",IF(AO1317&lt;2,"1.5～1.9","2.0以上"))))))</f>
        <v/>
      </c>
      <c r="AQ1317" s="8" t="str">
        <f aca="false">IF(A1317="","",IF(ISNUMBER(SEARCH("2歳",Z1317)),"2歳戦",IF(ISNUMBER(SEARCH("3歳未勝利",Z1317)),"3歳未勝利",IF(ISNUMBER(SEARCH("未勝利",Z1317)),"その他未勝利",IF(ISNUMBER(SEARCH("G1",Z1317)),"G1",IF(ISNUMBER(SEARCH("G2",Z1317)),"G2",IF(ISNUMBER(SEARCH("G3",Z1317)),"G3",IF(ISNUMBER(SEARCH("古馬条件",Z1317)),"古馬条件戦",IF(ISNUMBER(SEARCH("重賞",Z1317)),"重賞","分類不能")))))))))</f>
        <v/>
      </c>
    </row>
    <row r="1318" customFormat="false" ht="15.75" hidden="false" customHeight="false" outlineLevel="0" collapsed="false">
      <c r="AO1318" s="8" t="str">
        <f aca="false">IF(A1318="","",IF(COUNTIFS(全馬データ!$A$2:$A$50000,A1318,全馬データ!$B$2:$B$50000,B1318,全馬データ!$C$2:$C$50000,C1318,全馬データ!$D$2:$D$50000,E1318,全馬データ!$K$2:$K$50000,"&lt;&gt;")=0,"",SUMIFS(全馬データ!$K$2:$K$50000,全馬データ!$A$2:$A$50000,A1318,全馬データ!$B$2:$B$50000,B1318,全馬データ!$C$2:$C$50000,C1318,全馬データ!$D$2:$D$50000,E1318)))</f>
        <v/>
      </c>
      <c r="AP1318" s="8" t="str">
        <f aca="false">IF(A1318="","",IF(AO1318="","欠損",IF(AO1318&lt;=1.1,"1.0～1.1",IF(AO1318&lt;1.3,"1.2",IF(AO1318&lt;1.5,"1.3～1.4",IF(AO1318&lt;2,"1.5～1.9","2.0以上"))))))</f>
        <v/>
      </c>
      <c r="AQ1318" s="8" t="str">
        <f aca="false">IF(A1318="","",IF(ISNUMBER(SEARCH("2歳",Z1318)),"2歳戦",IF(ISNUMBER(SEARCH("3歳未勝利",Z1318)),"3歳未勝利",IF(ISNUMBER(SEARCH("未勝利",Z1318)),"その他未勝利",IF(ISNUMBER(SEARCH("G1",Z1318)),"G1",IF(ISNUMBER(SEARCH("G2",Z1318)),"G2",IF(ISNUMBER(SEARCH("G3",Z1318)),"G3",IF(ISNUMBER(SEARCH("古馬条件",Z1318)),"古馬条件戦",IF(ISNUMBER(SEARCH("重賞",Z1318)),"重賞","分類不能")))))))))</f>
        <v/>
      </c>
    </row>
    <row r="1319" customFormat="false" ht="15.75" hidden="false" customHeight="false" outlineLevel="0" collapsed="false">
      <c r="AO1319" s="8" t="str">
        <f aca="false">IF(A1319="","",IF(COUNTIFS(全馬データ!$A$2:$A$50000,A1319,全馬データ!$B$2:$B$50000,B1319,全馬データ!$C$2:$C$50000,C1319,全馬データ!$D$2:$D$50000,E1319,全馬データ!$K$2:$K$50000,"&lt;&gt;")=0,"",SUMIFS(全馬データ!$K$2:$K$50000,全馬データ!$A$2:$A$50000,A1319,全馬データ!$B$2:$B$50000,B1319,全馬データ!$C$2:$C$50000,C1319,全馬データ!$D$2:$D$50000,E1319)))</f>
        <v/>
      </c>
      <c r="AP1319" s="8" t="str">
        <f aca="false">IF(A1319="","",IF(AO1319="","欠損",IF(AO1319&lt;=1.1,"1.0～1.1",IF(AO1319&lt;1.3,"1.2",IF(AO1319&lt;1.5,"1.3～1.4",IF(AO1319&lt;2,"1.5～1.9","2.0以上"))))))</f>
        <v/>
      </c>
      <c r="AQ1319" s="8" t="str">
        <f aca="false">IF(A1319="","",IF(ISNUMBER(SEARCH("2歳",Z1319)),"2歳戦",IF(ISNUMBER(SEARCH("3歳未勝利",Z1319)),"3歳未勝利",IF(ISNUMBER(SEARCH("未勝利",Z1319)),"その他未勝利",IF(ISNUMBER(SEARCH("G1",Z1319)),"G1",IF(ISNUMBER(SEARCH("G2",Z1319)),"G2",IF(ISNUMBER(SEARCH("G3",Z1319)),"G3",IF(ISNUMBER(SEARCH("古馬条件",Z1319)),"古馬条件戦",IF(ISNUMBER(SEARCH("重賞",Z1319)),"重賞","分類不能")))))))))</f>
        <v/>
      </c>
    </row>
    <row r="1320" customFormat="false" ht="15.75" hidden="false" customHeight="false" outlineLevel="0" collapsed="false">
      <c r="AO1320" s="8" t="str">
        <f aca="false">IF(A1320="","",IF(COUNTIFS(全馬データ!$A$2:$A$50000,A1320,全馬データ!$B$2:$B$50000,B1320,全馬データ!$C$2:$C$50000,C1320,全馬データ!$D$2:$D$50000,E1320,全馬データ!$K$2:$K$50000,"&lt;&gt;")=0,"",SUMIFS(全馬データ!$K$2:$K$50000,全馬データ!$A$2:$A$50000,A1320,全馬データ!$B$2:$B$50000,B1320,全馬データ!$C$2:$C$50000,C1320,全馬データ!$D$2:$D$50000,E1320)))</f>
        <v/>
      </c>
      <c r="AP1320" s="8" t="str">
        <f aca="false">IF(A1320="","",IF(AO1320="","欠損",IF(AO1320&lt;=1.1,"1.0～1.1",IF(AO1320&lt;1.3,"1.2",IF(AO1320&lt;1.5,"1.3～1.4",IF(AO1320&lt;2,"1.5～1.9","2.0以上"))))))</f>
        <v/>
      </c>
      <c r="AQ1320" s="8" t="str">
        <f aca="false">IF(A1320="","",IF(ISNUMBER(SEARCH("2歳",Z1320)),"2歳戦",IF(ISNUMBER(SEARCH("3歳未勝利",Z1320)),"3歳未勝利",IF(ISNUMBER(SEARCH("未勝利",Z1320)),"その他未勝利",IF(ISNUMBER(SEARCH("G1",Z1320)),"G1",IF(ISNUMBER(SEARCH("G2",Z1320)),"G2",IF(ISNUMBER(SEARCH("G3",Z1320)),"G3",IF(ISNUMBER(SEARCH("古馬条件",Z1320)),"古馬条件戦",IF(ISNUMBER(SEARCH("重賞",Z1320)),"重賞","分類不能")))))))))</f>
        <v/>
      </c>
    </row>
    <row r="1321" customFormat="false" ht="15.75" hidden="false" customHeight="false" outlineLevel="0" collapsed="false">
      <c r="AO1321" s="8" t="str">
        <f aca="false">IF(A1321="","",IF(COUNTIFS(全馬データ!$A$2:$A$50000,A1321,全馬データ!$B$2:$B$50000,B1321,全馬データ!$C$2:$C$50000,C1321,全馬データ!$D$2:$D$50000,E1321,全馬データ!$K$2:$K$50000,"&lt;&gt;")=0,"",SUMIFS(全馬データ!$K$2:$K$50000,全馬データ!$A$2:$A$50000,A1321,全馬データ!$B$2:$B$50000,B1321,全馬データ!$C$2:$C$50000,C1321,全馬データ!$D$2:$D$50000,E1321)))</f>
        <v/>
      </c>
      <c r="AP1321" s="8" t="str">
        <f aca="false">IF(A1321="","",IF(AO1321="","欠損",IF(AO1321&lt;=1.1,"1.0～1.1",IF(AO1321&lt;1.3,"1.2",IF(AO1321&lt;1.5,"1.3～1.4",IF(AO1321&lt;2,"1.5～1.9","2.0以上"))))))</f>
        <v/>
      </c>
      <c r="AQ1321" s="8" t="str">
        <f aca="false">IF(A1321="","",IF(ISNUMBER(SEARCH("2歳",Z1321)),"2歳戦",IF(ISNUMBER(SEARCH("3歳未勝利",Z1321)),"3歳未勝利",IF(ISNUMBER(SEARCH("未勝利",Z1321)),"その他未勝利",IF(ISNUMBER(SEARCH("G1",Z1321)),"G1",IF(ISNUMBER(SEARCH("G2",Z1321)),"G2",IF(ISNUMBER(SEARCH("G3",Z1321)),"G3",IF(ISNUMBER(SEARCH("古馬条件",Z1321)),"古馬条件戦",IF(ISNUMBER(SEARCH("重賞",Z1321)),"重賞","分類不能")))))))))</f>
        <v/>
      </c>
    </row>
    <row r="1322" customFormat="false" ht="15.75" hidden="false" customHeight="false" outlineLevel="0" collapsed="false">
      <c r="AO1322" s="8" t="str">
        <f aca="false">IF(A1322="","",IF(COUNTIFS(全馬データ!$A$2:$A$50000,A1322,全馬データ!$B$2:$B$50000,B1322,全馬データ!$C$2:$C$50000,C1322,全馬データ!$D$2:$D$50000,E1322,全馬データ!$K$2:$K$50000,"&lt;&gt;")=0,"",SUMIFS(全馬データ!$K$2:$K$50000,全馬データ!$A$2:$A$50000,A1322,全馬データ!$B$2:$B$50000,B1322,全馬データ!$C$2:$C$50000,C1322,全馬データ!$D$2:$D$50000,E1322)))</f>
        <v/>
      </c>
      <c r="AP1322" s="8" t="str">
        <f aca="false">IF(A1322="","",IF(AO1322="","欠損",IF(AO1322&lt;=1.1,"1.0～1.1",IF(AO1322&lt;1.3,"1.2",IF(AO1322&lt;1.5,"1.3～1.4",IF(AO1322&lt;2,"1.5～1.9","2.0以上"))))))</f>
        <v/>
      </c>
      <c r="AQ1322" s="8" t="str">
        <f aca="false">IF(A1322="","",IF(ISNUMBER(SEARCH("2歳",Z1322)),"2歳戦",IF(ISNUMBER(SEARCH("3歳未勝利",Z1322)),"3歳未勝利",IF(ISNUMBER(SEARCH("未勝利",Z1322)),"その他未勝利",IF(ISNUMBER(SEARCH("G1",Z1322)),"G1",IF(ISNUMBER(SEARCH("G2",Z1322)),"G2",IF(ISNUMBER(SEARCH("G3",Z1322)),"G3",IF(ISNUMBER(SEARCH("古馬条件",Z1322)),"古馬条件戦",IF(ISNUMBER(SEARCH("重賞",Z1322)),"重賞","分類不能")))))))))</f>
        <v/>
      </c>
    </row>
    <row r="1323" customFormat="false" ht="15.75" hidden="false" customHeight="false" outlineLevel="0" collapsed="false">
      <c r="AO1323" s="8" t="str">
        <f aca="false">IF(A1323="","",IF(COUNTIFS(全馬データ!$A$2:$A$50000,A1323,全馬データ!$B$2:$B$50000,B1323,全馬データ!$C$2:$C$50000,C1323,全馬データ!$D$2:$D$50000,E1323,全馬データ!$K$2:$K$50000,"&lt;&gt;")=0,"",SUMIFS(全馬データ!$K$2:$K$50000,全馬データ!$A$2:$A$50000,A1323,全馬データ!$B$2:$B$50000,B1323,全馬データ!$C$2:$C$50000,C1323,全馬データ!$D$2:$D$50000,E1323)))</f>
        <v/>
      </c>
      <c r="AP1323" s="8" t="str">
        <f aca="false">IF(A1323="","",IF(AO1323="","欠損",IF(AO1323&lt;=1.1,"1.0～1.1",IF(AO1323&lt;1.3,"1.2",IF(AO1323&lt;1.5,"1.3～1.4",IF(AO1323&lt;2,"1.5～1.9","2.0以上"))))))</f>
        <v/>
      </c>
      <c r="AQ1323" s="8" t="str">
        <f aca="false">IF(A1323="","",IF(ISNUMBER(SEARCH("2歳",Z1323)),"2歳戦",IF(ISNUMBER(SEARCH("3歳未勝利",Z1323)),"3歳未勝利",IF(ISNUMBER(SEARCH("未勝利",Z1323)),"その他未勝利",IF(ISNUMBER(SEARCH("G1",Z1323)),"G1",IF(ISNUMBER(SEARCH("G2",Z1323)),"G2",IF(ISNUMBER(SEARCH("G3",Z1323)),"G3",IF(ISNUMBER(SEARCH("古馬条件",Z1323)),"古馬条件戦",IF(ISNUMBER(SEARCH("重賞",Z1323)),"重賞","分類不能")))))))))</f>
        <v/>
      </c>
    </row>
    <row r="1324" customFormat="false" ht="15.75" hidden="false" customHeight="false" outlineLevel="0" collapsed="false">
      <c r="AO1324" s="8" t="str">
        <f aca="false">IF(A1324="","",IF(COUNTIFS(全馬データ!$A$2:$A$50000,A1324,全馬データ!$B$2:$B$50000,B1324,全馬データ!$C$2:$C$50000,C1324,全馬データ!$D$2:$D$50000,E1324,全馬データ!$K$2:$K$50000,"&lt;&gt;")=0,"",SUMIFS(全馬データ!$K$2:$K$50000,全馬データ!$A$2:$A$50000,A1324,全馬データ!$B$2:$B$50000,B1324,全馬データ!$C$2:$C$50000,C1324,全馬データ!$D$2:$D$50000,E1324)))</f>
        <v/>
      </c>
      <c r="AP1324" s="8" t="str">
        <f aca="false">IF(A1324="","",IF(AO1324="","欠損",IF(AO1324&lt;=1.1,"1.0～1.1",IF(AO1324&lt;1.3,"1.2",IF(AO1324&lt;1.5,"1.3～1.4",IF(AO1324&lt;2,"1.5～1.9","2.0以上"))))))</f>
        <v/>
      </c>
      <c r="AQ1324" s="8" t="str">
        <f aca="false">IF(A1324="","",IF(ISNUMBER(SEARCH("2歳",Z1324)),"2歳戦",IF(ISNUMBER(SEARCH("3歳未勝利",Z1324)),"3歳未勝利",IF(ISNUMBER(SEARCH("未勝利",Z1324)),"その他未勝利",IF(ISNUMBER(SEARCH("G1",Z1324)),"G1",IF(ISNUMBER(SEARCH("G2",Z1324)),"G2",IF(ISNUMBER(SEARCH("G3",Z1324)),"G3",IF(ISNUMBER(SEARCH("古馬条件",Z1324)),"古馬条件戦",IF(ISNUMBER(SEARCH("重賞",Z1324)),"重賞","分類不能")))))))))</f>
        <v/>
      </c>
    </row>
    <row r="1325" customFormat="false" ht="15.75" hidden="false" customHeight="false" outlineLevel="0" collapsed="false">
      <c r="AO1325" s="8" t="str">
        <f aca="false">IF(A1325="","",IF(COUNTIFS(全馬データ!$A$2:$A$50000,A1325,全馬データ!$B$2:$B$50000,B1325,全馬データ!$C$2:$C$50000,C1325,全馬データ!$D$2:$D$50000,E1325,全馬データ!$K$2:$K$50000,"&lt;&gt;")=0,"",SUMIFS(全馬データ!$K$2:$K$50000,全馬データ!$A$2:$A$50000,A1325,全馬データ!$B$2:$B$50000,B1325,全馬データ!$C$2:$C$50000,C1325,全馬データ!$D$2:$D$50000,E1325)))</f>
        <v/>
      </c>
      <c r="AP1325" s="8" t="str">
        <f aca="false">IF(A1325="","",IF(AO1325="","欠損",IF(AO1325&lt;=1.1,"1.0～1.1",IF(AO1325&lt;1.3,"1.2",IF(AO1325&lt;1.5,"1.3～1.4",IF(AO1325&lt;2,"1.5～1.9","2.0以上"))))))</f>
        <v/>
      </c>
      <c r="AQ1325" s="8" t="str">
        <f aca="false">IF(A1325="","",IF(ISNUMBER(SEARCH("2歳",Z1325)),"2歳戦",IF(ISNUMBER(SEARCH("3歳未勝利",Z1325)),"3歳未勝利",IF(ISNUMBER(SEARCH("未勝利",Z1325)),"その他未勝利",IF(ISNUMBER(SEARCH("G1",Z1325)),"G1",IF(ISNUMBER(SEARCH("G2",Z1325)),"G2",IF(ISNUMBER(SEARCH("G3",Z1325)),"G3",IF(ISNUMBER(SEARCH("古馬条件",Z1325)),"古馬条件戦",IF(ISNUMBER(SEARCH("重賞",Z1325)),"重賞","分類不能")))))))))</f>
        <v/>
      </c>
    </row>
    <row r="1326" customFormat="false" ht="15.75" hidden="false" customHeight="false" outlineLevel="0" collapsed="false">
      <c r="AO1326" s="8" t="str">
        <f aca="false">IF(A1326="","",IF(COUNTIFS(全馬データ!$A$2:$A$50000,A1326,全馬データ!$B$2:$B$50000,B1326,全馬データ!$C$2:$C$50000,C1326,全馬データ!$D$2:$D$50000,E1326,全馬データ!$K$2:$K$50000,"&lt;&gt;")=0,"",SUMIFS(全馬データ!$K$2:$K$50000,全馬データ!$A$2:$A$50000,A1326,全馬データ!$B$2:$B$50000,B1326,全馬データ!$C$2:$C$50000,C1326,全馬データ!$D$2:$D$50000,E1326)))</f>
        <v/>
      </c>
      <c r="AP1326" s="8" t="str">
        <f aca="false">IF(A1326="","",IF(AO1326="","欠損",IF(AO1326&lt;=1.1,"1.0～1.1",IF(AO1326&lt;1.3,"1.2",IF(AO1326&lt;1.5,"1.3～1.4",IF(AO1326&lt;2,"1.5～1.9","2.0以上"))))))</f>
        <v/>
      </c>
      <c r="AQ1326" s="8" t="str">
        <f aca="false">IF(A1326="","",IF(ISNUMBER(SEARCH("2歳",Z1326)),"2歳戦",IF(ISNUMBER(SEARCH("3歳未勝利",Z1326)),"3歳未勝利",IF(ISNUMBER(SEARCH("未勝利",Z1326)),"その他未勝利",IF(ISNUMBER(SEARCH("G1",Z1326)),"G1",IF(ISNUMBER(SEARCH("G2",Z1326)),"G2",IF(ISNUMBER(SEARCH("G3",Z1326)),"G3",IF(ISNUMBER(SEARCH("古馬条件",Z1326)),"古馬条件戦",IF(ISNUMBER(SEARCH("重賞",Z1326)),"重賞","分類不能")))))))))</f>
        <v/>
      </c>
    </row>
    <row r="1327" customFormat="false" ht="15.75" hidden="false" customHeight="false" outlineLevel="0" collapsed="false">
      <c r="AO1327" s="8" t="str">
        <f aca="false">IF(A1327="","",IF(COUNTIFS(全馬データ!$A$2:$A$50000,A1327,全馬データ!$B$2:$B$50000,B1327,全馬データ!$C$2:$C$50000,C1327,全馬データ!$D$2:$D$50000,E1327,全馬データ!$K$2:$K$50000,"&lt;&gt;")=0,"",SUMIFS(全馬データ!$K$2:$K$50000,全馬データ!$A$2:$A$50000,A1327,全馬データ!$B$2:$B$50000,B1327,全馬データ!$C$2:$C$50000,C1327,全馬データ!$D$2:$D$50000,E1327)))</f>
        <v/>
      </c>
      <c r="AP1327" s="8" t="str">
        <f aca="false">IF(A1327="","",IF(AO1327="","欠損",IF(AO1327&lt;=1.1,"1.0～1.1",IF(AO1327&lt;1.3,"1.2",IF(AO1327&lt;1.5,"1.3～1.4",IF(AO1327&lt;2,"1.5～1.9","2.0以上"))))))</f>
        <v/>
      </c>
      <c r="AQ1327" s="8" t="str">
        <f aca="false">IF(A1327="","",IF(ISNUMBER(SEARCH("2歳",Z1327)),"2歳戦",IF(ISNUMBER(SEARCH("3歳未勝利",Z1327)),"3歳未勝利",IF(ISNUMBER(SEARCH("未勝利",Z1327)),"その他未勝利",IF(ISNUMBER(SEARCH("G1",Z1327)),"G1",IF(ISNUMBER(SEARCH("G2",Z1327)),"G2",IF(ISNUMBER(SEARCH("G3",Z1327)),"G3",IF(ISNUMBER(SEARCH("古馬条件",Z1327)),"古馬条件戦",IF(ISNUMBER(SEARCH("重賞",Z1327)),"重賞","分類不能")))))))))</f>
        <v/>
      </c>
    </row>
    <row r="1328" customFormat="false" ht="15.75" hidden="false" customHeight="false" outlineLevel="0" collapsed="false">
      <c r="AO1328" s="8" t="str">
        <f aca="false">IF(A1328="","",IF(COUNTIFS(全馬データ!$A$2:$A$50000,A1328,全馬データ!$B$2:$B$50000,B1328,全馬データ!$C$2:$C$50000,C1328,全馬データ!$D$2:$D$50000,E1328,全馬データ!$K$2:$K$50000,"&lt;&gt;")=0,"",SUMIFS(全馬データ!$K$2:$K$50000,全馬データ!$A$2:$A$50000,A1328,全馬データ!$B$2:$B$50000,B1328,全馬データ!$C$2:$C$50000,C1328,全馬データ!$D$2:$D$50000,E1328)))</f>
        <v/>
      </c>
      <c r="AP1328" s="8" t="str">
        <f aca="false">IF(A1328="","",IF(AO1328="","欠損",IF(AO1328&lt;=1.1,"1.0～1.1",IF(AO1328&lt;1.3,"1.2",IF(AO1328&lt;1.5,"1.3～1.4",IF(AO1328&lt;2,"1.5～1.9","2.0以上"))))))</f>
        <v/>
      </c>
      <c r="AQ1328" s="8" t="str">
        <f aca="false">IF(A1328="","",IF(ISNUMBER(SEARCH("2歳",Z1328)),"2歳戦",IF(ISNUMBER(SEARCH("3歳未勝利",Z1328)),"3歳未勝利",IF(ISNUMBER(SEARCH("未勝利",Z1328)),"その他未勝利",IF(ISNUMBER(SEARCH("G1",Z1328)),"G1",IF(ISNUMBER(SEARCH("G2",Z1328)),"G2",IF(ISNUMBER(SEARCH("G3",Z1328)),"G3",IF(ISNUMBER(SEARCH("古馬条件",Z1328)),"古馬条件戦",IF(ISNUMBER(SEARCH("重賞",Z1328)),"重賞","分類不能")))))))))</f>
        <v/>
      </c>
    </row>
    <row r="1329" customFormat="false" ht="15.75" hidden="false" customHeight="false" outlineLevel="0" collapsed="false">
      <c r="AO1329" s="8" t="str">
        <f aca="false">IF(A1329="","",IF(COUNTIFS(全馬データ!$A$2:$A$50000,A1329,全馬データ!$B$2:$B$50000,B1329,全馬データ!$C$2:$C$50000,C1329,全馬データ!$D$2:$D$50000,E1329,全馬データ!$K$2:$K$50000,"&lt;&gt;")=0,"",SUMIFS(全馬データ!$K$2:$K$50000,全馬データ!$A$2:$A$50000,A1329,全馬データ!$B$2:$B$50000,B1329,全馬データ!$C$2:$C$50000,C1329,全馬データ!$D$2:$D$50000,E1329)))</f>
        <v/>
      </c>
      <c r="AP1329" s="8" t="str">
        <f aca="false">IF(A1329="","",IF(AO1329="","欠損",IF(AO1329&lt;=1.1,"1.0～1.1",IF(AO1329&lt;1.3,"1.2",IF(AO1329&lt;1.5,"1.3～1.4",IF(AO1329&lt;2,"1.5～1.9","2.0以上"))))))</f>
        <v/>
      </c>
      <c r="AQ1329" s="8" t="str">
        <f aca="false">IF(A1329="","",IF(ISNUMBER(SEARCH("2歳",Z1329)),"2歳戦",IF(ISNUMBER(SEARCH("3歳未勝利",Z1329)),"3歳未勝利",IF(ISNUMBER(SEARCH("未勝利",Z1329)),"その他未勝利",IF(ISNUMBER(SEARCH("G1",Z1329)),"G1",IF(ISNUMBER(SEARCH("G2",Z1329)),"G2",IF(ISNUMBER(SEARCH("G3",Z1329)),"G3",IF(ISNUMBER(SEARCH("古馬条件",Z1329)),"古馬条件戦",IF(ISNUMBER(SEARCH("重賞",Z1329)),"重賞","分類不能")))))))))</f>
        <v/>
      </c>
    </row>
    <row r="1330" customFormat="false" ht="15.75" hidden="false" customHeight="false" outlineLevel="0" collapsed="false">
      <c r="AO1330" s="8" t="str">
        <f aca="false">IF(A1330="","",IF(COUNTIFS(全馬データ!$A$2:$A$50000,A1330,全馬データ!$B$2:$B$50000,B1330,全馬データ!$C$2:$C$50000,C1330,全馬データ!$D$2:$D$50000,E1330,全馬データ!$K$2:$K$50000,"&lt;&gt;")=0,"",SUMIFS(全馬データ!$K$2:$K$50000,全馬データ!$A$2:$A$50000,A1330,全馬データ!$B$2:$B$50000,B1330,全馬データ!$C$2:$C$50000,C1330,全馬データ!$D$2:$D$50000,E1330)))</f>
        <v/>
      </c>
      <c r="AP1330" s="8" t="str">
        <f aca="false">IF(A1330="","",IF(AO1330="","欠損",IF(AO1330&lt;=1.1,"1.0～1.1",IF(AO1330&lt;1.3,"1.2",IF(AO1330&lt;1.5,"1.3～1.4",IF(AO1330&lt;2,"1.5～1.9","2.0以上"))))))</f>
        <v/>
      </c>
      <c r="AQ1330" s="8" t="str">
        <f aca="false">IF(A1330="","",IF(ISNUMBER(SEARCH("2歳",Z1330)),"2歳戦",IF(ISNUMBER(SEARCH("3歳未勝利",Z1330)),"3歳未勝利",IF(ISNUMBER(SEARCH("未勝利",Z1330)),"その他未勝利",IF(ISNUMBER(SEARCH("G1",Z1330)),"G1",IF(ISNUMBER(SEARCH("G2",Z1330)),"G2",IF(ISNUMBER(SEARCH("G3",Z1330)),"G3",IF(ISNUMBER(SEARCH("古馬条件",Z1330)),"古馬条件戦",IF(ISNUMBER(SEARCH("重賞",Z1330)),"重賞","分類不能")))))))))</f>
        <v/>
      </c>
    </row>
    <row r="1331" customFormat="false" ht="15.75" hidden="false" customHeight="false" outlineLevel="0" collapsed="false">
      <c r="AO1331" s="8" t="str">
        <f aca="false">IF(A1331="","",IF(COUNTIFS(全馬データ!$A$2:$A$50000,A1331,全馬データ!$B$2:$B$50000,B1331,全馬データ!$C$2:$C$50000,C1331,全馬データ!$D$2:$D$50000,E1331,全馬データ!$K$2:$K$50000,"&lt;&gt;")=0,"",SUMIFS(全馬データ!$K$2:$K$50000,全馬データ!$A$2:$A$50000,A1331,全馬データ!$B$2:$B$50000,B1331,全馬データ!$C$2:$C$50000,C1331,全馬データ!$D$2:$D$50000,E1331)))</f>
        <v/>
      </c>
      <c r="AP1331" s="8" t="str">
        <f aca="false">IF(A1331="","",IF(AO1331="","欠損",IF(AO1331&lt;=1.1,"1.0～1.1",IF(AO1331&lt;1.3,"1.2",IF(AO1331&lt;1.5,"1.3～1.4",IF(AO1331&lt;2,"1.5～1.9","2.0以上"))))))</f>
        <v/>
      </c>
      <c r="AQ1331" s="8" t="str">
        <f aca="false">IF(A1331="","",IF(ISNUMBER(SEARCH("2歳",Z1331)),"2歳戦",IF(ISNUMBER(SEARCH("3歳未勝利",Z1331)),"3歳未勝利",IF(ISNUMBER(SEARCH("未勝利",Z1331)),"その他未勝利",IF(ISNUMBER(SEARCH("G1",Z1331)),"G1",IF(ISNUMBER(SEARCH("G2",Z1331)),"G2",IF(ISNUMBER(SEARCH("G3",Z1331)),"G3",IF(ISNUMBER(SEARCH("古馬条件",Z1331)),"古馬条件戦",IF(ISNUMBER(SEARCH("重賞",Z1331)),"重賞","分類不能")))))))))</f>
        <v/>
      </c>
    </row>
    <row r="1332" customFormat="false" ht="15.75" hidden="false" customHeight="false" outlineLevel="0" collapsed="false">
      <c r="AO1332" s="8" t="str">
        <f aca="false">IF(A1332="","",IF(COUNTIFS(全馬データ!$A$2:$A$50000,A1332,全馬データ!$B$2:$B$50000,B1332,全馬データ!$C$2:$C$50000,C1332,全馬データ!$D$2:$D$50000,E1332,全馬データ!$K$2:$K$50000,"&lt;&gt;")=0,"",SUMIFS(全馬データ!$K$2:$K$50000,全馬データ!$A$2:$A$50000,A1332,全馬データ!$B$2:$B$50000,B1332,全馬データ!$C$2:$C$50000,C1332,全馬データ!$D$2:$D$50000,E1332)))</f>
        <v/>
      </c>
      <c r="AP1332" s="8" t="str">
        <f aca="false">IF(A1332="","",IF(AO1332="","欠損",IF(AO1332&lt;=1.1,"1.0～1.1",IF(AO1332&lt;1.3,"1.2",IF(AO1332&lt;1.5,"1.3～1.4",IF(AO1332&lt;2,"1.5～1.9","2.0以上"))))))</f>
        <v/>
      </c>
      <c r="AQ1332" s="8" t="str">
        <f aca="false">IF(A1332="","",IF(ISNUMBER(SEARCH("2歳",Z1332)),"2歳戦",IF(ISNUMBER(SEARCH("3歳未勝利",Z1332)),"3歳未勝利",IF(ISNUMBER(SEARCH("未勝利",Z1332)),"その他未勝利",IF(ISNUMBER(SEARCH("G1",Z1332)),"G1",IF(ISNUMBER(SEARCH("G2",Z1332)),"G2",IF(ISNUMBER(SEARCH("G3",Z1332)),"G3",IF(ISNUMBER(SEARCH("古馬条件",Z1332)),"古馬条件戦",IF(ISNUMBER(SEARCH("重賞",Z1332)),"重賞","分類不能")))))))))</f>
        <v/>
      </c>
    </row>
    <row r="1333" customFormat="false" ht="15.75" hidden="false" customHeight="false" outlineLevel="0" collapsed="false">
      <c r="AO1333" s="8" t="str">
        <f aca="false">IF(A1333="","",IF(COUNTIFS(全馬データ!$A$2:$A$50000,A1333,全馬データ!$B$2:$B$50000,B1333,全馬データ!$C$2:$C$50000,C1333,全馬データ!$D$2:$D$50000,E1333,全馬データ!$K$2:$K$50000,"&lt;&gt;")=0,"",SUMIFS(全馬データ!$K$2:$K$50000,全馬データ!$A$2:$A$50000,A1333,全馬データ!$B$2:$B$50000,B1333,全馬データ!$C$2:$C$50000,C1333,全馬データ!$D$2:$D$50000,E1333)))</f>
        <v/>
      </c>
      <c r="AP1333" s="8" t="str">
        <f aca="false">IF(A1333="","",IF(AO1333="","欠損",IF(AO1333&lt;=1.1,"1.0～1.1",IF(AO1333&lt;1.3,"1.2",IF(AO1333&lt;1.5,"1.3～1.4",IF(AO1333&lt;2,"1.5～1.9","2.0以上"))))))</f>
        <v/>
      </c>
      <c r="AQ1333" s="8" t="str">
        <f aca="false">IF(A1333="","",IF(ISNUMBER(SEARCH("2歳",Z1333)),"2歳戦",IF(ISNUMBER(SEARCH("3歳未勝利",Z1333)),"3歳未勝利",IF(ISNUMBER(SEARCH("未勝利",Z1333)),"その他未勝利",IF(ISNUMBER(SEARCH("G1",Z1333)),"G1",IF(ISNUMBER(SEARCH("G2",Z1333)),"G2",IF(ISNUMBER(SEARCH("G3",Z1333)),"G3",IF(ISNUMBER(SEARCH("古馬条件",Z1333)),"古馬条件戦",IF(ISNUMBER(SEARCH("重賞",Z1333)),"重賞","分類不能")))))))))</f>
        <v/>
      </c>
    </row>
    <row r="1334" customFormat="false" ht="15.75" hidden="false" customHeight="false" outlineLevel="0" collapsed="false">
      <c r="AO1334" s="8" t="str">
        <f aca="false">IF(A1334="","",IF(COUNTIFS(全馬データ!$A$2:$A$50000,A1334,全馬データ!$B$2:$B$50000,B1334,全馬データ!$C$2:$C$50000,C1334,全馬データ!$D$2:$D$50000,E1334,全馬データ!$K$2:$K$50000,"&lt;&gt;")=0,"",SUMIFS(全馬データ!$K$2:$K$50000,全馬データ!$A$2:$A$50000,A1334,全馬データ!$B$2:$B$50000,B1334,全馬データ!$C$2:$C$50000,C1334,全馬データ!$D$2:$D$50000,E1334)))</f>
        <v/>
      </c>
      <c r="AP1334" s="8" t="str">
        <f aca="false">IF(A1334="","",IF(AO1334="","欠損",IF(AO1334&lt;=1.1,"1.0～1.1",IF(AO1334&lt;1.3,"1.2",IF(AO1334&lt;1.5,"1.3～1.4",IF(AO1334&lt;2,"1.5～1.9","2.0以上"))))))</f>
        <v/>
      </c>
      <c r="AQ1334" s="8" t="str">
        <f aca="false">IF(A1334="","",IF(ISNUMBER(SEARCH("2歳",Z1334)),"2歳戦",IF(ISNUMBER(SEARCH("3歳未勝利",Z1334)),"3歳未勝利",IF(ISNUMBER(SEARCH("未勝利",Z1334)),"その他未勝利",IF(ISNUMBER(SEARCH("G1",Z1334)),"G1",IF(ISNUMBER(SEARCH("G2",Z1334)),"G2",IF(ISNUMBER(SEARCH("G3",Z1334)),"G3",IF(ISNUMBER(SEARCH("古馬条件",Z1334)),"古馬条件戦",IF(ISNUMBER(SEARCH("重賞",Z1334)),"重賞","分類不能")))))))))</f>
        <v/>
      </c>
    </row>
    <row r="1335" customFormat="false" ht="15.75" hidden="false" customHeight="false" outlineLevel="0" collapsed="false">
      <c r="AO1335" s="8" t="str">
        <f aca="false">IF(A1335="","",IF(COUNTIFS(全馬データ!$A$2:$A$50000,A1335,全馬データ!$B$2:$B$50000,B1335,全馬データ!$C$2:$C$50000,C1335,全馬データ!$D$2:$D$50000,E1335,全馬データ!$K$2:$K$50000,"&lt;&gt;")=0,"",SUMIFS(全馬データ!$K$2:$K$50000,全馬データ!$A$2:$A$50000,A1335,全馬データ!$B$2:$B$50000,B1335,全馬データ!$C$2:$C$50000,C1335,全馬データ!$D$2:$D$50000,E1335)))</f>
        <v/>
      </c>
      <c r="AP1335" s="8" t="str">
        <f aca="false">IF(A1335="","",IF(AO1335="","欠損",IF(AO1335&lt;=1.1,"1.0～1.1",IF(AO1335&lt;1.3,"1.2",IF(AO1335&lt;1.5,"1.3～1.4",IF(AO1335&lt;2,"1.5～1.9","2.0以上"))))))</f>
        <v/>
      </c>
      <c r="AQ1335" s="8" t="str">
        <f aca="false">IF(A1335="","",IF(ISNUMBER(SEARCH("2歳",Z1335)),"2歳戦",IF(ISNUMBER(SEARCH("3歳未勝利",Z1335)),"3歳未勝利",IF(ISNUMBER(SEARCH("未勝利",Z1335)),"その他未勝利",IF(ISNUMBER(SEARCH("G1",Z1335)),"G1",IF(ISNUMBER(SEARCH("G2",Z1335)),"G2",IF(ISNUMBER(SEARCH("G3",Z1335)),"G3",IF(ISNUMBER(SEARCH("古馬条件",Z1335)),"古馬条件戦",IF(ISNUMBER(SEARCH("重賞",Z1335)),"重賞","分類不能")))))))))</f>
        <v/>
      </c>
    </row>
    <row r="1336" customFormat="false" ht="15.75" hidden="false" customHeight="false" outlineLevel="0" collapsed="false">
      <c r="AO1336" s="8" t="str">
        <f aca="false">IF(A1336="","",IF(COUNTIFS(全馬データ!$A$2:$A$50000,A1336,全馬データ!$B$2:$B$50000,B1336,全馬データ!$C$2:$C$50000,C1336,全馬データ!$D$2:$D$50000,E1336,全馬データ!$K$2:$K$50000,"&lt;&gt;")=0,"",SUMIFS(全馬データ!$K$2:$K$50000,全馬データ!$A$2:$A$50000,A1336,全馬データ!$B$2:$B$50000,B1336,全馬データ!$C$2:$C$50000,C1336,全馬データ!$D$2:$D$50000,E1336)))</f>
        <v/>
      </c>
      <c r="AP1336" s="8" t="str">
        <f aca="false">IF(A1336="","",IF(AO1336="","欠損",IF(AO1336&lt;=1.1,"1.0～1.1",IF(AO1336&lt;1.3,"1.2",IF(AO1336&lt;1.5,"1.3～1.4",IF(AO1336&lt;2,"1.5～1.9","2.0以上"))))))</f>
        <v/>
      </c>
      <c r="AQ1336" s="8" t="str">
        <f aca="false">IF(A1336="","",IF(ISNUMBER(SEARCH("2歳",Z1336)),"2歳戦",IF(ISNUMBER(SEARCH("3歳未勝利",Z1336)),"3歳未勝利",IF(ISNUMBER(SEARCH("未勝利",Z1336)),"その他未勝利",IF(ISNUMBER(SEARCH("G1",Z1336)),"G1",IF(ISNUMBER(SEARCH("G2",Z1336)),"G2",IF(ISNUMBER(SEARCH("G3",Z1336)),"G3",IF(ISNUMBER(SEARCH("古馬条件",Z1336)),"古馬条件戦",IF(ISNUMBER(SEARCH("重賞",Z1336)),"重賞","分類不能")))))))))</f>
        <v/>
      </c>
    </row>
    <row r="1337" customFormat="false" ht="15.75" hidden="false" customHeight="false" outlineLevel="0" collapsed="false">
      <c r="AO1337" s="8" t="str">
        <f aca="false">IF(A1337="","",IF(COUNTIFS(全馬データ!$A$2:$A$50000,A1337,全馬データ!$B$2:$B$50000,B1337,全馬データ!$C$2:$C$50000,C1337,全馬データ!$D$2:$D$50000,E1337,全馬データ!$K$2:$K$50000,"&lt;&gt;")=0,"",SUMIFS(全馬データ!$K$2:$K$50000,全馬データ!$A$2:$A$50000,A1337,全馬データ!$B$2:$B$50000,B1337,全馬データ!$C$2:$C$50000,C1337,全馬データ!$D$2:$D$50000,E1337)))</f>
        <v/>
      </c>
      <c r="AP1337" s="8" t="str">
        <f aca="false">IF(A1337="","",IF(AO1337="","欠損",IF(AO1337&lt;=1.1,"1.0～1.1",IF(AO1337&lt;1.3,"1.2",IF(AO1337&lt;1.5,"1.3～1.4",IF(AO1337&lt;2,"1.5～1.9","2.0以上"))))))</f>
        <v/>
      </c>
      <c r="AQ1337" s="8" t="str">
        <f aca="false">IF(A1337="","",IF(ISNUMBER(SEARCH("2歳",Z1337)),"2歳戦",IF(ISNUMBER(SEARCH("3歳未勝利",Z1337)),"3歳未勝利",IF(ISNUMBER(SEARCH("未勝利",Z1337)),"その他未勝利",IF(ISNUMBER(SEARCH("G1",Z1337)),"G1",IF(ISNUMBER(SEARCH("G2",Z1337)),"G2",IF(ISNUMBER(SEARCH("G3",Z1337)),"G3",IF(ISNUMBER(SEARCH("古馬条件",Z1337)),"古馬条件戦",IF(ISNUMBER(SEARCH("重賞",Z1337)),"重賞","分類不能")))))))))</f>
        <v/>
      </c>
    </row>
    <row r="1338" customFormat="false" ht="15.75" hidden="false" customHeight="false" outlineLevel="0" collapsed="false">
      <c r="AO1338" s="8" t="str">
        <f aca="false">IF(A1338="","",IF(COUNTIFS(全馬データ!$A$2:$A$50000,A1338,全馬データ!$B$2:$B$50000,B1338,全馬データ!$C$2:$C$50000,C1338,全馬データ!$D$2:$D$50000,E1338,全馬データ!$K$2:$K$50000,"&lt;&gt;")=0,"",SUMIFS(全馬データ!$K$2:$K$50000,全馬データ!$A$2:$A$50000,A1338,全馬データ!$B$2:$B$50000,B1338,全馬データ!$C$2:$C$50000,C1338,全馬データ!$D$2:$D$50000,E1338)))</f>
        <v/>
      </c>
      <c r="AP1338" s="8" t="str">
        <f aca="false">IF(A1338="","",IF(AO1338="","欠損",IF(AO1338&lt;=1.1,"1.0～1.1",IF(AO1338&lt;1.3,"1.2",IF(AO1338&lt;1.5,"1.3～1.4",IF(AO1338&lt;2,"1.5～1.9","2.0以上"))))))</f>
        <v/>
      </c>
      <c r="AQ1338" s="8" t="str">
        <f aca="false">IF(A1338="","",IF(ISNUMBER(SEARCH("2歳",Z1338)),"2歳戦",IF(ISNUMBER(SEARCH("3歳未勝利",Z1338)),"3歳未勝利",IF(ISNUMBER(SEARCH("未勝利",Z1338)),"その他未勝利",IF(ISNUMBER(SEARCH("G1",Z1338)),"G1",IF(ISNUMBER(SEARCH("G2",Z1338)),"G2",IF(ISNUMBER(SEARCH("G3",Z1338)),"G3",IF(ISNUMBER(SEARCH("古馬条件",Z1338)),"古馬条件戦",IF(ISNUMBER(SEARCH("重賞",Z1338)),"重賞","分類不能")))))))))</f>
        <v/>
      </c>
    </row>
    <row r="1339" customFormat="false" ht="15.75" hidden="false" customHeight="false" outlineLevel="0" collapsed="false">
      <c r="AO1339" s="8" t="str">
        <f aca="false">IF(A1339="","",IF(COUNTIFS(全馬データ!$A$2:$A$50000,A1339,全馬データ!$B$2:$B$50000,B1339,全馬データ!$C$2:$C$50000,C1339,全馬データ!$D$2:$D$50000,E1339,全馬データ!$K$2:$K$50000,"&lt;&gt;")=0,"",SUMIFS(全馬データ!$K$2:$K$50000,全馬データ!$A$2:$A$50000,A1339,全馬データ!$B$2:$B$50000,B1339,全馬データ!$C$2:$C$50000,C1339,全馬データ!$D$2:$D$50000,E1339)))</f>
        <v/>
      </c>
      <c r="AP1339" s="8" t="str">
        <f aca="false">IF(A1339="","",IF(AO1339="","欠損",IF(AO1339&lt;=1.1,"1.0～1.1",IF(AO1339&lt;1.3,"1.2",IF(AO1339&lt;1.5,"1.3～1.4",IF(AO1339&lt;2,"1.5～1.9","2.0以上"))))))</f>
        <v/>
      </c>
      <c r="AQ1339" s="8" t="str">
        <f aca="false">IF(A1339="","",IF(ISNUMBER(SEARCH("2歳",Z1339)),"2歳戦",IF(ISNUMBER(SEARCH("3歳未勝利",Z1339)),"3歳未勝利",IF(ISNUMBER(SEARCH("未勝利",Z1339)),"その他未勝利",IF(ISNUMBER(SEARCH("G1",Z1339)),"G1",IF(ISNUMBER(SEARCH("G2",Z1339)),"G2",IF(ISNUMBER(SEARCH("G3",Z1339)),"G3",IF(ISNUMBER(SEARCH("古馬条件",Z1339)),"古馬条件戦",IF(ISNUMBER(SEARCH("重賞",Z1339)),"重賞","分類不能")))))))))</f>
        <v/>
      </c>
    </row>
    <row r="1340" customFormat="false" ht="15.75" hidden="false" customHeight="false" outlineLevel="0" collapsed="false">
      <c r="AO1340" s="8" t="str">
        <f aca="false">IF(A1340="","",IF(COUNTIFS(全馬データ!$A$2:$A$50000,A1340,全馬データ!$B$2:$B$50000,B1340,全馬データ!$C$2:$C$50000,C1340,全馬データ!$D$2:$D$50000,E1340,全馬データ!$K$2:$K$50000,"&lt;&gt;")=0,"",SUMIFS(全馬データ!$K$2:$K$50000,全馬データ!$A$2:$A$50000,A1340,全馬データ!$B$2:$B$50000,B1340,全馬データ!$C$2:$C$50000,C1340,全馬データ!$D$2:$D$50000,E1340)))</f>
        <v/>
      </c>
      <c r="AP1340" s="8" t="str">
        <f aca="false">IF(A1340="","",IF(AO1340="","欠損",IF(AO1340&lt;=1.1,"1.0～1.1",IF(AO1340&lt;1.3,"1.2",IF(AO1340&lt;1.5,"1.3～1.4",IF(AO1340&lt;2,"1.5～1.9","2.0以上"))))))</f>
        <v/>
      </c>
      <c r="AQ1340" s="8" t="str">
        <f aca="false">IF(A1340="","",IF(ISNUMBER(SEARCH("2歳",Z1340)),"2歳戦",IF(ISNUMBER(SEARCH("3歳未勝利",Z1340)),"3歳未勝利",IF(ISNUMBER(SEARCH("未勝利",Z1340)),"その他未勝利",IF(ISNUMBER(SEARCH("G1",Z1340)),"G1",IF(ISNUMBER(SEARCH("G2",Z1340)),"G2",IF(ISNUMBER(SEARCH("G3",Z1340)),"G3",IF(ISNUMBER(SEARCH("古馬条件",Z1340)),"古馬条件戦",IF(ISNUMBER(SEARCH("重賞",Z1340)),"重賞","分類不能")))))))))</f>
        <v/>
      </c>
    </row>
    <row r="1341" customFormat="false" ht="15.75" hidden="false" customHeight="false" outlineLevel="0" collapsed="false">
      <c r="AO1341" s="8" t="str">
        <f aca="false">IF(A1341="","",IF(COUNTIFS(全馬データ!$A$2:$A$50000,A1341,全馬データ!$B$2:$B$50000,B1341,全馬データ!$C$2:$C$50000,C1341,全馬データ!$D$2:$D$50000,E1341,全馬データ!$K$2:$K$50000,"&lt;&gt;")=0,"",SUMIFS(全馬データ!$K$2:$K$50000,全馬データ!$A$2:$A$50000,A1341,全馬データ!$B$2:$B$50000,B1341,全馬データ!$C$2:$C$50000,C1341,全馬データ!$D$2:$D$50000,E1341)))</f>
        <v/>
      </c>
      <c r="AP1341" s="8" t="str">
        <f aca="false">IF(A1341="","",IF(AO1341="","欠損",IF(AO1341&lt;=1.1,"1.0～1.1",IF(AO1341&lt;1.3,"1.2",IF(AO1341&lt;1.5,"1.3～1.4",IF(AO1341&lt;2,"1.5～1.9","2.0以上"))))))</f>
        <v/>
      </c>
      <c r="AQ1341" s="8" t="str">
        <f aca="false">IF(A1341="","",IF(ISNUMBER(SEARCH("2歳",Z1341)),"2歳戦",IF(ISNUMBER(SEARCH("3歳未勝利",Z1341)),"3歳未勝利",IF(ISNUMBER(SEARCH("未勝利",Z1341)),"その他未勝利",IF(ISNUMBER(SEARCH("G1",Z1341)),"G1",IF(ISNUMBER(SEARCH("G2",Z1341)),"G2",IF(ISNUMBER(SEARCH("G3",Z1341)),"G3",IF(ISNUMBER(SEARCH("古馬条件",Z1341)),"古馬条件戦",IF(ISNUMBER(SEARCH("重賞",Z1341)),"重賞","分類不能")))))))))</f>
        <v/>
      </c>
    </row>
    <row r="1342" customFormat="false" ht="15.75" hidden="false" customHeight="false" outlineLevel="0" collapsed="false">
      <c r="AO1342" s="8" t="str">
        <f aca="false">IF(A1342="","",IF(COUNTIFS(全馬データ!$A$2:$A$50000,A1342,全馬データ!$B$2:$B$50000,B1342,全馬データ!$C$2:$C$50000,C1342,全馬データ!$D$2:$D$50000,E1342,全馬データ!$K$2:$K$50000,"&lt;&gt;")=0,"",SUMIFS(全馬データ!$K$2:$K$50000,全馬データ!$A$2:$A$50000,A1342,全馬データ!$B$2:$B$50000,B1342,全馬データ!$C$2:$C$50000,C1342,全馬データ!$D$2:$D$50000,E1342)))</f>
        <v/>
      </c>
      <c r="AP1342" s="8" t="str">
        <f aca="false">IF(A1342="","",IF(AO1342="","欠損",IF(AO1342&lt;=1.1,"1.0～1.1",IF(AO1342&lt;1.3,"1.2",IF(AO1342&lt;1.5,"1.3～1.4",IF(AO1342&lt;2,"1.5～1.9","2.0以上"))))))</f>
        <v/>
      </c>
      <c r="AQ1342" s="8" t="str">
        <f aca="false">IF(A1342="","",IF(ISNUMBER(SEARCH("2歳",Z1342)),"2歳戦",IF(ISNUMBER(SEARCH("3歳未勝利",Z1342)),"3歳未勝利",IF(ISNUMBER(SEARCH("未勝利",Z1342)),"その他未勝利",IF(ISNUMBER(SEARCH("G1",Z1342)),"G1",IF(ISNUMBER(SEARCH("G2",Z1342)),"G2",IF(ISNUMBER(SEARCH("G3",Z1342)),"G3",IF(ISNUMBER(SEARCH("古馬条件",Z1342)),"古馬条件戦",IF(ISNUMBER(SEARCH("重賞",Z1342)),"重賞","分類不能")))))))))</f>
        <v/>
      </c>
    </row>
    <row r="1343" customFormat="false" ht="15.75" hidden="false" customHeight="false" outlineLevel="0" collapsed="false">
      <c r="AO1343" s="8" t="str">
        <f aca="false">IF(A1343="","",IF(COUNTIFS(全馬データ!$A$2:$A$50000,A1343,全馬データ!$B$2:$B$50000,B1343,全馬データ!$C$2:$C$50000,C1343,全馬データ!$D$2:$D$50000,E1343,全馬データ!$K$2:$K$50000,"&lt;&gt;")=0,"",SUMIFS(全馬データ!$K$2:$K$50000,全馬データ!$A$2:$A$50000,A1343,全馬データ!$B$2:$B$50000,B1343,全馬データ!$C$2:$C$50000,C1343,全馬データ!$D$2:$D$50000,E1343)))</f>
        <v/>
      </c>
      <c r="AP1343" s="8" t="str">
        <f aca="false">IF(A1343="","",IF(AO1343="","欠損",IF(AO1343&lt;=1.1,"1.0～1.1",IF(AO1343&lt;1.3,"1.2",IF(AO1343&lt;1.5,"1.3～1.4",IF(AO1343&lt;2,"1.5～1.9","2.0以上"))))))</f>
        <v/>
      </c>
      <c r="AQ1343" s="8" t="str">
        <f aca="false">IF(A1343="","",IF(ISNUMBER(SEARCH("2歳",Z1343)),"2歳戦",IF(ISNUMBER(SEARCH("3歳未勝利",Z1343)),"3歳未勝利",IF(ISNUMBER(SEARCH("未勝利",Z1343)),"その他未勝利",IF(ISNUMBER(SEARCH("G1",Z1343)),"G1",IF(ISNUMBER(SEARCH("G2",Z1343)),"G2",IF(ISNUMBER(SEARCH("G3",Z1343)),"G3",IF(ISNUMBER(SEARCH("古馬条件",Z1343)),"古馬条件戦",IF(ISNUMBER(SEARCH("重賞",Z1343)),"重賞","分類不能")))))))))</f>
        <v/>
      </c>
    </row>
    <row r="1344" customFormat="false" ht="15.75" hidden="false" customHeight="false" outlineLevel="0" collapsed="false">
      <c r="AO1344" s="8" t="str">
        <f aca="false">IF(A1344="","",IF(COUNTIFS(全馬データ!$A$2:$A$50000,A1344,全馬データ!$B$2:$B$50000,B1344,全馬データ!$C$2:$C$50000,C1344,全馬データ!$D$2:$D$50000,E1344,全馬データ!$K$2:$K$50000,"&lt;&gt;")=0,"",SUMIFS(全馬データ!$K$2:$K$50000,全馬データ!$A$2:$A$50000,A1344,全馬データ!$B$2:$B$50000,B1344,全馬データ!$C$2:$C$50000,C1344,全馬データ!$D$2:$D$50000,E1344)))</f>
        <v/>
      </c>
      <c r="AP1344" s="8" t="str">
        <f aca="false">IF(A1344="","",IF(AO1344="","欠損",IF(AO1344&lt;=1.1,"1.0～1.1",IF(AO1344&lt;1.3,"1.2",IF(AO1344&lt;1.5,"1.3～1.4",IF(AO1344&lt;2,"1.5～1.9","2.0以上"))))))</f>
        <v/>
      </c>
      <c r="AQ1344" s="8" t="str">
        <f aca="false">IF(A1344="","",IF(ISNUMBER(SEARCH("2歳",Z1344)),"2歳戦",IF(ISNUMBER(SEARCH("3歳未勝利",Z1344)),"3歳未勝利",IF(ISNUMBER(SEARCH("未勝利",Z1344)),"その他未勝利",IF(ISNUMBER(SEARCH("G1",Z1344)),"G1",IF(ISNUMBER(SEARCH("G2",Z1344)),"G2",IF(ISNUMBER(SEARCH("G3",Z1344)),"G3",IF(ISNUMBER(SEARCH("古馬条件",Z1344)),"古馬条件戦",IF(ISNUMBER(SEARCH("重賞",Z1344)),"重賞","分類不能")))))))))</f>
        <v/>
      </c>
    </row>
    <row r="1345" customFormat="false" ht="15.75" hidden="false" customHeight="false" outlineLevel="0" collapsed="false">
      <c r="AO1345" s="8" t="str">
        <f aca="false">IF(A1345="","",IF(COUNTIFS(全馬データ!$A$2:$A$50000,A1345,全馬データ!$B$2:$B$50000,B1345,全馬データ!$C$2:$C$50000,C1345,全馬データ!$D$2:$D$50000,E1345,全馬データ!$K$2:$K$50000,"&lt;&gt;")=0,"",SUMIFS(全馬データ!$K$2:$K$50000,全馬データ!$A$2:$A$50000,A1345,全馬データ!$B$2:$B$50000,B1345,全馬データ!$C$2:$C$50000,C1345,全馬データ!$D$2:$D$50000,E1345)))</f>
        <v/>
      </c>
      <c r="AP1345" s="8" t="str">
        <f aca="false">IF(A1345="","",IF(AO1345="","欠損",IF(AO1345&lt;=1.1,"1.0～1.1",IF(AO1345&lt;1.3,"1.2",IF(AO1345&lt;1.5,"1.3～1.4",IF(AO1345&lt;2,"1.5～1.9","2.0以上"))))))</f>
        <v/>
      </c>
      <c r="AQ1345" s="8" t="str">
        <f aca="false">IF(A1345="","",IF(ISNUMBER(SEARCH("2歳",Z1345)),"2歳戦",IF(ISNUMBER(SEARCH("3歳未勝利",Z1345)),"3歳未勝利",IF(ISNUMBER(SEARCH("未勝利",Z1345)),"その他未勝利",IF(ISNUMBER(SEARCH("G1",Z1345)),"G1",IF(ISNUMBER(SEARCH("G2",Z1345)),"G2",IF(ISNUMBER(SEARCH("G3",Z1345)),"G3",IF(ISNUMBER(SEARCH("古馬条件",Z1345)),"古馬条件戦",IF(ISNUMBER(SEARCH("重賞",Z1345)),"重賞","分類不能")))))))))</f>
        <v/>
      </c>
    </row>
    <row r="1346" customFormat="false" ht="15.75" hidden="false" customHeight="false" outlineLevel="0" collapsed="false">
      <c r="AO1346" s="8" t="str">
        <f aca="false">IF(A1346="","",IF(COUNTIFS(全馬データ!$A$2:$A$50000,A1346,全馬データ!$B$2:$B$50000,B1346,全馬データ!$C$2:$C$50000,C1346,全馬データ!$D$2:$D$50000,E1346,全馬データ!$K$2:$K$50000,"&lt;&gt;")=0,"",SUMIFS(全馬データ!$K$2:$K$50000,全馬データ!$A$2:$A$50000,A1346,全馬データ!$B$2:$B$50000,B1346,全馬データ!$C$2:$C$50000,C1346,全馬データ!$D$2:$D$50000,E1346)))</f>
        <v/>
      </c>
      <c r="AP1346" s="8" t="str">
        <f aca="false">IF(A1346="","",IF(AO1346="","欠損",IF(AO1346&lt;=1.1,"1.0～1.1",IF(AO1346&lt;1.3,"1.2",IF(AO1346&lt;1.5,"1.3～1.4",IF(AO1346&lt;2,"1.5～1.9","2.0以上"))))))</f>
        <v/>
      </c>
      <c r="AQ1346" s="8" t="str">
        <f aca="false">IF(A1346="","",IF(ISNUMBER(SEARCH("2歳",Z1346)),"2歳戦",IF(ISNUMBER(SEARCH("3歳未勝利",Z1346)),"3歳未勝利",IF(ISNUMBER(SEARCH("未勝利",Z1346)),"その他未勝利",IF(ISNUMBER(SEARCH("G1",Z1346)),"G1",IF(ISNUMBER(SEARCH("G2",Z1346)),"G2",IF(ISNUMBER(SEARCH("G3",Z1346)),"G3",IF(ISNUMBER(SEARCH("古馬条件",Z1346)),"古馬条件戦",IF(ISNUMBER(SEARCH("重賞",Z1346)),"重賞","分類不能")))))))))</f>
        <v/>
      </c>
    </row>
    <row r="1347" customFormat="false" ht="15.75" hidden="false" customHeight="false" outlineLevel="0" collapsed="false">
      <c r="AO1347" s="8" t="str">
        <f aca="false">IF(A1347="","",IF(COUNTIFS(全馬データ!$A$2:$A$50000,A1347,全馬データ!$B$2:$B$50000,B1347,全馬データ!$C$2:$C$50000,C1347,全馬データ!$D$2:$D$50000,E1347,全馬データ!$K$2:$K$50000,"&lt;&gt;")=0,"",SUMIFS(全馬データ!$K$2:$K$50000,全馬データ!$A$2:$A$50000,A1347,全馬データ!$B$2:$B$50000,B1347,全馬データ!$C$2:$C$50000,C1347,全馬データ!$D$2:$D$50000,E1347)))</f>
        <v/>
      </c>
      <c r="AP1347" s="8" t="str">
        <f aca="false">IF(A1347="","",IF(AO1347="","欠損",IF(AO1347&lt;=1.1,"1.0～1.1",IF(AO1347&lt;1.3,"1.2",IF(AO1347&lt;1.5,"1.3～1.4",IF(AO1347&lt;2,"1.5～1.9","2.0以上"))))))</f>
        <v/>
      </c>
      <c r="AQ1347" s="8" t="str">
        <f aca="false">IF(A1347="","",IF(ISNUMBER(SEARCH("2歳",Z1347)),"2歳戦",IF(ISNUMBER(SEARCH("3歳未勝利",Z1347)),"3歳未勝利",IF(ISNUMBER(SEARCH("未勝利",Z1347)),"その他未勝利",IF(ISNUMBER(SEARCH("G1",Z1347)),"G1",IF(ISNUMBER(SEARCH("G2",Z1347)),"G2",IF(ISNUMBER(SEARCH("G3",Z1347)),"G3",IF(ISNUMBER(SEARCH("古馬条件",Z1347)),"古馬条件戦",IF(ISNUMBER(SEARCH("重賞",Z1347)),"重賞","分類不能")))))))))</f>
        <v/>
      </c>
    </row>
    <row r="1348" customFormat="false" ht="15.75" hidden="false" customHeight="false" outlineLevel="0" collapsed="false">
      <c r="AO1348" s="8" t="str">
        <f aca="false">IF(A1348="","",IF(COUNTIFS(全馬データ!$A$2:$A$50000,A1348,全馬データ!$B$2:$B$50000,B1348,全馬データ!$C$2:$C$50000,C1348,全馬データ!$D$2:$D$50000,E1348,全馬データ!$K$2:$K$50000,"&lt;&gt;")=0,"",SUMIFS(全馬データ!$K$2:$K$50000,全馬データ!$A$2:$A$50000,A1348,全馬データ!$B$2:$B$50000,B1348,全馬データ!$C$2:$C$50000,C1348,全馬データ!$D$2:$D$50000,E1348)))</f>
        <v/>
      </c>
      <c r="AP1348" s="8" t="str">
        <f aca="false">IF(A1348="","",IF(AO1348="","欠損",IF(AO1348&lt;=1.1,"1.0～1.1",IF(AO1348&lt;1.3,"1.2",IF(AO1348&lt;1.5,"1.3～1.4",IF(AO1348&lt;2,"1.5～1.9","2.0以上"))))))</f>
        <v/>
      </c>
      <c r="AQ1348" s="8" t="str">
        <f aca="false">IF(A1348="","",IF(ISNUMBER(SEARCH("2歳",Z1348)),"2歳戦",IF(ISNUMBER(SEARCH("3歳未勝利",Z1348)),"3歳未勝利",IF(ISNUMBER(SEARCH("未勝利",Z1348)),"その他未勝利",IF(ISNUMBER(SEARCH("G1",Z1348)),"G1",IF(ISNUMBER(SEARCH("G2",Z1348)),"G2",IF(ISNUMBER(SEARCH("G3",Z1348)),"G3",IF(ISNUMBER(SEARCH("古馬条件",Z1348)),"古馬条件戦",IF(ISNUMBER(SEARCH("重賞",Z1348)),"重賞","分類不能")))))))))</f>
        <v/>
      </c>
    </row>
    <row r="1349" customFormat="false" ht="15.75" hidden="false" customHeight="false" outlineLevel="0" collapsed="false">
      <c r="AO1349" s="8" t="str">
        <f aca="false">IF(A1349="","",IF(COUNTIFS(全馬データ!$A$2:$A$50000,A1349,全馬データ!$B$2:$B$50000,B1349,全馬データ!$C$2:$C$50000,C1349,全馬データ!$D$2:$D$50000,E1349,全馬データ!$K$2:$K$50000,"&lt;&gt;")=0,"",SUMIFS(全馬データ!$K$2:$K$50000,全馬データ!$A$2:$A$50000,A1349,全馬データ!$B$2:$B$50000,B1349,全馬データ!$C$2:$C$50000,C1349,全馬データ!$D$2:$D$50000,E1349)))</f>
        <v/>
      </c>
      <c r="AP1349" s="8" t="str">
        <f aca="false">IF(A1349="","",IF(AO1349="","欠損",IF(AO1349&lt;=1.1,"1.0～1.1",IF(AO1349&lt;1.3,"1.2",IF(AO1349&lt;1.5,"1.3～1.4",IF(AO1349&lt;2,"1.5～1.9","2.0以上"))))))</f>
        <v/>
      </c>
      <c r="AQ1349" s="8" t="str">
        <f aca="false">IF(A1349="","",IF(ISNUMBER(SEARCH("2歳",Z1349)),"2歳戦",IF(ISNUMBER(SEARCH("3歳未勝利",Z1349)),"3歳未勝利",IF(ISNUMBER(SEARCH("未勝利",Z1349)),"その他未勝利",IF(ISNUMBER(SEARCH("G1",Z1349)),"G1",IF(ISNUMBER(SEARCH("G2",Z1349)),"G2",IF(ISNUMBER(SEARCH("G3",Z1349)),"G3",IF(ISNUMBER(SEARCH("古馬条件",Z1349)),"古馬条件戦",IF(ISNUMBER(SEARCH("重賞",Z1349)),"重賞","分類不能")))))))))</f>
        <v/>
      </c>
    </row>
    <row r="1350" customFormat="false" ht="15.75" hidden="false" customHeight="false" outlineLevel="0" collapsed="false">
      <c r="AO1350" s="8" t="str">
        <f aca="false">IF(A1350="","",IF(COUNTIFS(全馬データ!$A$2:$A$50000,A1350,全馬データ!$B$2:$B$50000,B1350,全馬データ!$C$2:$C$50000,C1350,全馬データ!$D$2:$D$50000,E1350,全馬データ!$K$2:$K$50000,"&lt;&gt;")=0,"",SUMIFS(全馬データ!$K$2:$K$50000,全馬データ!$A$2:$A$50000,A1350,全馬データ!$B$2:$B$50000,B1350,全馬データ!$C$2:$C$50000,C1350,全馬データ!$D$2:$D$50000,E1350)))</f>
        <v/>
      </c>
      <c r="AP1350" s="8" t="str">
        <f aca="false">IF(A1350="","",IF(AO1350="","欠損",IF(AO1350&lt;=1.1,"1.0～1.1",IF(AO1350&lt;1.3,"1.2",IF(AO1350&lt;1.5,"1.3～1.4",IF(AO1350&lt;2,"1.5～1.9","2.0以上"))))))</f>
        <v/>
      </c>
      <c r="AQ1350" s="8" t="str">
        <f aca="false">IF(A1350="","",IF(ISNUMBER(SEARCH("2歳",Z1350)),"2歳戦",IF(ISNUMBER(SEARCH("3歳未勝利",Z1350)),"3歳未勝利",IF(ISNUMBER(SEARCH("未勝利",Z1350)),"その他未勝利",IF(ISNUMBER(SEARCH("G1",Z1350)),"G1",IF(ISNUMBER(SEARCH("G2",Z1350)),"G2",IF(ISNUMBER(SEARCH("G3",Z1350)),"G3",IF(ISNUMBER(SEARCH("古馬条件",Z1350)),"古馬条件戦",IF(ISNUMBER(SEARCH("重賞",Z1350)),"重賞","分類不能")))))))))</f>
        <v/>
      </c>
    </row>
    <row r="1351" customFormat="false" ht="15.75" hidden="false" customHeight="false" outlineLevel="0" collapsed="false">
      <c r="AO1351" s="8" t="str">
        <f aca="false">IF(A1351="","",IF(COUNTIFS(全馬データ!$A$2:$A$50000,A1351,全馬データ!$B$2:$B$50000,B1351,全馬データ!$C$2:$C$50000,C1351,全馬データ!$D$2:$D$50000,E1351,全馬データ!$K$2:$K$50000,"&lt;&gt;")=0,"",SUMIFS(全馬データ!$K$2:$K$50000,全馬データ!$A$2:$A$50000,A1351,全馬データ!$B$2:$B$50000,B1351,全馬データ!$C$2:$C$50000,C1351,全馬データ!$D$2:$D$50000,E1351)))</f>
        <v/>
      </c>
      <c r="AP1351" s="8" t="str">
        <f aca="false">IF(A1351="","",IF(AO1351="","欠損",IF(AO1351&lt;=1.1,"1.0～1.1",IF(AO1351&lt;1.3,"1.2",IF(AO1351&lt;1.5,"1.3～1.4",IF(AO1351&lt;2,"1.5～1.9","2.0以上"))))))</f>
        <v/>
      </c>
      <c r="AQ1351" s="8" t="str">
        <f aca="false">IF(A1351="","",IF(ISNUMBER(SEARCH("2歳",Z1351)),"2歳戦",IF(ISNUMBER(SEARCH("3歳未勝利",Z1351)),"3歳未勝利",IF(ISNUMBER(SEARCH("未勝利",Z1351)),"その他未勝利",IF(ISNUMBER(SEARCH("G1",Z1351)),"G1",IF(ISNUMBER(SEARCH("G2",Z1351)),"G2",IF(ISNUMBER(SEARCH("G3",Z1351)),"G3",IF(ISNUMBER(SEARCH("古馬条件",Z1351)),"古馬条件戦",IF(ISNUMBER(SEARCH("重賞",Z1351)),"重賞","分類不能")))))))))</f>
        <v/>
      </c>
    </row>
    <row r="1352" customFormat="false" ht="15.75" hidden="false" customHeight="false" outlineLevel="0" collapsed="false">
      <c r="AO1352" s="8" t="str">
        <f aca="false">IF(A1352="","",IF(COUNTIFS(全馬データ!$A$2:$A$50000,A1352,全馬データ!$B$2:$B$50000,B1352,全馬データ!$C$2:$C$50000,C1352,全馬データ!$D$2:$D$50000,E1352,全馬データ!$K$2:$K$50000,"&lt;&gt;")=0,"",SUMIFS(全馬データ!$K$2:$K$50000,全馬データ!$A$2:$A$50000,A1352,全馬データ!$B$2:$B$50000,B1352,全馬データ!$C$2:$C$50000,C1352,全馬データ!$D$2:$D$50000,E1352)))</f>
        <v/>
      </c>
      <c r="AP1352" s="8" t="str">
        <f aca="false">IF(A1352="","",IF(AO1352="","欠損",IF(AO1352&lt;=1.1,"1.0～1.1",IF(AO1352&lt;1.3,"1.2",IF(AO1352&lt;1.5,"1.3～1.4",IF(AO1352&lt;2,"1.5～1.9","2.0以上"))))))</f>
        <v/>
      </c>
      <c r="AQ1352" s="8" t="str">
        <f aca="false">IF(A1352="","",IF(ISNUMBER(SEARCH("2歳",Z1352)),"2歳戦",IF(ISNUMBER(SEARCH("3歳未勝利",Z1352)),"3歳未勝利",IF(ISNUMBER(SEARCH("未勝利",Z1352)),"その他未勝利",IF(ISNUMBER(SEARCH("G1",Z1352)),"G1",IF(ISNUMBER(SEARCH("G2",Z1352)),"G2",IF(ISNUMBER(SEARCH("G3",Z1352)),"G3",IF(ISNUMBER(SEARCH("古馬条件",Z1352)),"古馬条件戦",IF(ISNUMBER(SEARCH("重賞",Z1352)),"重賞","分類不能")))))))))</f>
        <v/>
      </c>
    </row>
    <row r="1353" customFormat="false" ht="15.75" hidden="false" customHeight="false" outlineLevel="0" collapsed="false">
      <c r="AO1353" s="8" t="str">
        <f aca="false">IF(A1353="","",IF(COUNTIFS(全馬データ!$A$2:$A$50000,A1353,全馬データ!$B$2:$B$50000,B1353,全馬データ!$C$2:$C$50000,C1353,全馬データ!$D$2:$D$50000,E1353,全馬データ!$K$2:$K$50000,"&lt;&gt;")=0,"",SUMIFS(全馬データ!$K$2:$K$50000,全馬データ!$A$2:$A$50000,A1353,全馬データ!$B$2:$B$50000,B1353,全馬データ!$C$2:$C$50000,C1353,全馬データ!$D$2:$D$50000,E1353)))</f>
        <v/>
      </c>
      <c r="AP1353" s="8" t="str">
        <f aca="false">IF(A1353="","",IF(AO1353="","欠損",IF(AO1353&lt;=1.1,"1.0～1.1",IF(AO1353&lt;1.3,"1.2",IF(AO1353&lt;1.5,"1.3～1.4",IF(AO1353&lt;2,"1.5～1.9","2.0以上"))))))</f>
        <v/>
      </c>
      <c r="AQ1353" s="8" t="str">
        <f aca="false">IF(A1353="","",IF(ISNUMBER(SEARCH("2歳",Z1353)),"2歳戦",IF(ISNUMBER(SEARCH("3歳未勝利",Z1353)),"3歳未勝利",IF(ISNUMBER(SEARCH("未勝利",Z1353)),"その他未勝利",IF(ISNUMBER(SEARCH("G1",Z1353)),"G1",IF(ISNUMBER(SEARCH("G2",Z1353)),"G2",IF(ISNUMBER(SEARCH("G3",Z1353)),"G3",IF(ISNUMBER(SEARCH("古馬条件",Z1353)),"古馬条件戦",IF(ISNUMBER(SEARCH("重賞",Z1353)),"重賞","分類不能")))))))))</f>
        <v/>
      </c>
    </row>
    <row r="1354" customFormat="false" ht="15.75" hidden="false" customHeight="false" outlineLevel="0" collapsed="false">
      <c r="AO1354" s="8" t="str">
        <f aca="false">IF(A1354="","",IF(COUNTIFS(全馬データ!$A$2:$A$50000,A1354,全馬データ!$B$2:$B$50000,B1354,全馬データ!$C$2:$C$50000,C1354,全馬データ!$D$2:$D$50000,E1354,全馬データ!$K$2:$K$50000,"&lt;&gt;")=0,"",SUMIFS(全馬データ!$K$2:$K$50000,全馬データ!$A$2:$A$50000,A1354,全馬データ!$B$2:$B$50000,B1354,全馬データ!$C$2:$C$50000,C1354,全馬データ!$D$2:$D$50000,E1354)))</f>
        <v/>
      </c>
      <c r="AP1354" s="8" t="str">
        <f aca="false">IF(A1354="","",IF(AO1354="","欠損",IF(AO1354&lt;=1.1,"1.0～1.1",IF(AO1354&lt;1.3,"1.2",IF(AO1354&lt;1.5,"1.3～1.4",IF(AO1354&lt;2,"1.5～1.9","2.0以上"))))))</f>
        <v/>
      </c>
      <c r="AQ1354" s="8" t="str">
        <f aca="false">IF(A1354="","",IF(ISNUMBER(SEARCH("2歳",Z1354)),"2歳戦",IF(ISNUMBER(SEARCH("3歳未勝利",Z1354)),"3歳未勝利",IF(ISNUMBER(SEARCH("未勝利",Z1354)),"その他未勝利",IF(ISNUMBER(SEARCH("G1",Z1354)),"G1",IF(ISNUMBER(SEARCH("G2",Z1354)),"G2",IF(ISNUMBER(SEARCH("G3",Z1354)),"G3",IF(ISNUMBER(SEARCH("古馬条件",Z1354)),"古馬条件戦",IF(ISNUMBER(SEARCH("重賞",Z1354)),"重賞","分類不能")))))))))</f>
        <v/>
      </c>
    </row>
    <row r="1355" customFormat="false" ht="15.75" hidden="false" customHeight="false" outlineLevel="0" collapsed="false">
      <c r="AO1355" s="8" t="str">
        <f aca="false">IF(A1355="","",IF(COUNTIFS(全馬データ!$A$2:$A$50000,A1355,全馬データ!$B$2:$B$50000,B1355,全馬データ!$C$2:$C$50000,C1355,全馬データ!$D$2:$D$50000,E1355,全馬データ!$K$2:$K$50000,"&lt;&gt;")=0,"",SUMIFS(全馬データ!$K$2:$K$50000,全馬データ!$A$2:$A$50000,A1355,全馬データ!$B$2:$B$50000,B1355,全馬データ!$C$2:$C$50000,C1355,全馬データ!$D$2:$D$50000,E1355)))</f>
        <v/>
      </c>
      <c r="AP1355" s="8" t="str">
        <f aca="false">IF(A1355="","",IF(AO1355="","欠損",IF(AO1355&lt;=1.1,"1.0～1.1",IF(AO1355&lt;1.3,"1.2",IF(AO1355&lt;1.5,"1.3～1.4",IF(AO1355&lt;2,"1.5～1.9","2.0以上"))))))</f>
        <v/>
      </c>
      <c r="AQ1355" s="8" t="str">
        <f aca="false">IF(A1355="","",IF(ISNUMBER(SEARCH("2歳",Z1355)),"2歳戦",IF(ISNUMBER(SEARCH("3歳未勝利",Z1355)),"3歳未勝利",IF(ISNUMBER(SEARCH("未勝利",Z1355)),"その他未勝利",IF(ISNUMBER(SEARCH("G1",Z1355)),"G1",IF(ISNUMBER(SEARCH("G2",Z1355)),"G2",IF(ISNUMBER(SEARCH("G3",Z1355)),"G3",IF(ISNUMBER(SEARCH("古馬条件",Z1355)),"古馬条件戦",IF(ISNUMBER(SEARCH("重賞",Z1355)),"重賞","分類不能")))))))))</f>
        <v/>
      </c>
    </row>
    <row r="1356" customFormat="false" ht="15.75" hidden="false" customHeight="false" outlineLevel="0" collapsed="false">
      <c r="AO1356" s="8" t="str">
        <f aca="false">IF(A1356="","",IF(COUNTIFS(全馬データ!$A$2:$A$50000,A1356,全馬データ!$B$2:$B$50000,B1356,全馬データ!$C$2:$C$50000,C1356,全馬データ!$D$2:$D$50000,E1356,全馬データ!$K$2:$K$50000,"&lt;&gt;")=0,"",SUMIFS(全馬データ!$K$2:$K$50000,全馬データ!$A$2:$A$50000,A1356,全馬データ!$B$2:$B$50000,B1356,全馬データ!$C$2:$C$50000,C1356,全馬データ!$D$2:$D$50000,E1356)))</f>
        <v/>
      </c>
      <c r="AP1356" s="8" t="str">
        <f aca="false">IF(A1356="","",IF(AO1356="","欠損",IF(AO1356&lt;=1.1,"1.0～1.1",IF(AO1356&lt;1.3,"1.2",IF(AO1356&lt;1.5,"1.3～1.4",IF(AO1356&lt;2,"1.5～1.9","2.0以上"))))))</f>
        <v/>
      </c>
      <c r="AQ1356" s="8" t="str">
        <f aca="false">IF(A1356="","",IF(ISNUMBER(SEARCH("2歳",Z1356)),"2歳戦",IF(ISNUMBER(SEARCH("3歳未勝利",Z1356)),"3歳未勝利",IF(ISNUMBER(SEARCH("未勝利",Z1356)),"その他未勝利",IF(ISNUMBER(SEARCH("G1",Z1356)),"G1",IF(ISNUMBER(SEARCH("G2",Z1356)),"G2",IF(ISNUMBER(SEARCH("G3",Z1356)),"G3",IF(ISNUMBER(SEARCH("古馬条件",Z1356)),"古馬条件戦",IF(ISNUMBER(SEARCH("重賞",Z1356)),"重賞","分類不能")))))))))</f>
        <v/>
      </c>
    </row>
    <row r="1357" customFormat="false" ht="15.75" hidden="false" customHeight="false" outlineLevel="0" collapsed="false">
      <c r="AO1357" s="8" t="str">
        <f aca="false">IF(A1357="","",IF(COUNTIFS(全馬データ!$A$2:$A$50000,A1357,全馬データ!$B$2:$B$50000,B1357,全馬データ!$C$2:$C$50000,C1357,全馬データ!$D$2:$D$50000,E1357,全馬データ!$K$2:$K$50000,"&lt;&gt;")=0,"",SUMIFS(全馬データ!$K$2:$K$50000,全馬データ!$A$2:$A$50000,A1357,全馬データ!$B$2:$B$50000,B1357,全馬データ!$C$2:$C$50000,C1357,全馬データ!$D$2:$D$50000,E1357)))</f>
        <v/>
      </c>
      <c r="AP1357" s="8" t="str">
        <f aca="false">IF(A1357="","",IF(AO1357="","欠損",IF(AO1357&lt;=1.1,"1.0～1.1",IF(AO1357&lt;1.3,"1.2",IF(AO1357&lt;1.5,"1.3～1.4",IF(AO1357&lt;2,"1.5～1.9","2.0以上"))))))</f>
        <v/>
      </c>
      <c r="AQ1357" s="8" t="str">
        <f aca="false">IF(A1357="","",IF(ISNUMBER(SEARCH("2歳",Z1357)),"2歳戦",IF(ISNUMBER(SEARCH("3歳未勝利",Z1357)),"3歳未勝利",IF(ISNUMBER(SEARCH("未勝利",Z1357)),"その他未勝利",IF(ISNUMBER(SEARCH("G1",Z1357)),"G1",IF(ISNUMBER(SEARCH("G2",Z1357)),"G2",IF(ISNUMBER(SEARCH("G3",Z1357)),"G3",IF(ISNUMBER(SEARCH("古馬条件",Z1357)),"古馬条件戦",IF(ISNUMBER(SEARCH("重賞",Z1357)),"重賞","分類不能")))))))))</f>
        <v/>
      </c>
    </row>
    <row r="1358" customFormat="false" ht="15.75" hidden="false" customHeight="false" outlineLevel="0" collapsed="false">
      <c r="AO1358" s="8" t="str">
        <f aca="false">IF(A1358="","",IF(COUNTIFS(全馬データ!$A$2:$A$50000,A1358,全馬データ!$B$2:$B$50000,B1358,全馬データ!$C$2:$C$50000,C1358,全馬データ!$D$2:$D$50000,E1358,全馬データ!$K$2:$K$50000,"&lt;&gt;")=0,"",SUMIFS(全馬データ!$K$2:$K$50000,全馬データ!$A$2:$A$50000,A1358,全馬データ!$B$2:$B$50000,B1358,全馬データ!$C$2:$C$50000,C1358,全馬データ!$D$2:$D$50000,E1358)))</f>
        <v/>
      </c>
      <c r="AP1358" s="8" t="str">
        <f aca="false">IF(A1358="","",IF(AO1358="","欠損",IF(AO1358&lt;=1.1,"1.0～1.1",IF(AO1358&lt;1.3,"1.2",IF(AO1358&lt;1.5,"1.3～1.4",IF(AO1358&lt;2,"1.5～1.9","2.0以上"))))))</f>
        <v/>
      </c>
      <c r="AQ1358" s="8" t="str">
        <f aca="false">IF(A1358="","",IF(ISNUMBER(SEARCH("2歳",Z1358)),"2歳戦",IF(ISNUMBER(SEARCH("3歳未勝利",Z1358)),"3歳未勝利",IF(ISNUMBER(SEARCH("未勝利",Z1358)),"その他未勝利",IF(ISNUMBER(SEARCH("G1",Z1358)),"G1",IF(ISNUMBER(SEARCH("G2",Z1358)),"G2",IF(ISNUMBER(SEARCH("G3",Z1358)),"G3",IF(ISNUMBER(SEARCH("古馬条件",Z1358)),"古馬条件戦",IF(ISNUMBER(SEARCH("重賞",Z1358)),"重賞","分類不能")))))))))</f>
        <v/>
      </c>
    </row>
    <row r="1359" customFormat="false" ht="15.75" hidden="false" customHeight="false" outlineLevel="0" collapsed="false">
      <c r="AO1359" s="8" t="str">
        <f aca="false">IF(A1359="","",IF(COUNTIFS(全馬データ!$A$2:$A$50000,A1359,全馬データ!$B$2:$B$50000,B1359,全馬データ!$C$2:$C$50000,C1359,全馬データ!$D$2:$D$50000,E1359,全馬データ!$K$2:$K$50000,"&lt;&gt;")=0,"",SUMIFS(全馬データ!$K$2:$K$50000,全馬データ!$A$2:$A$50000,A1359,全馬データ!$B$2:$B$50000,B1359,全馬データ!$C$2:$C$50000,C1359,全馬データ!$D$2:$D$50000,E1359)))</f>
        <v/>
      </c>
      <c r="AP1359" s="8" t="str">
        <f aca="false">IF(A1359="","",IF(AO1359="","欠損",IF(AO1359&lt;=1.1,"1.0～1.1",IF(AO1359&lt;1.3,"1.2",IF(AO1359&lt;1.5,"1.3～1.4",IF(AO1359&lt;2,"1.5～1.9","2.0以上"))))))</f>
        <v/>
      </c>
      <c r="AQ1359" s="8" t="str">
        <f aca="false">IF(A1359="","",IF(ISNUMBER(SEARCH("2歳",Z1359)),"2歳戦",IF(ISNUMBER(SEARCH("3歳未勝利",Z1359)),"3歳未勝利",IF(ISNUMBER(SEARCH("未勝利",Z1359)),"その他未勝利",IF(ISNUMBER(SEARCH("G1",Z1359)),"G1",IF(ISNUMBER(SEARCH("G2",Z1359)),"G2",IF(ISNUMBER(SEARCH("G3",Z1359)),"G3",IF(ISNUMBER(SEARCH("古馬条件",Z1359)),"古馬条件戦",IF(ISNUMBER(SEARCH("重賞",Z1359)),"重賞","分類不能")))))))))</f>
        <v/>
      </c>
    </row>
    <row r="1360" customFormat="false" ht="15.75" hidden="false" customHeight="false" outlineLevel="0" collapsed="false">
      <c r="AO1360" s="8" t="str">
        <f aca="false">IF(A1360="","",IF(COUNTIFS(全馬データ!$A$2:$A$50000,A1360,全馬データ!$B$2:$B$50000,B1360,全馬データ!$C$2:$C$50000,C1360,全馬データ!$D$2:$D$50000,E1360,全馬データ!$K$2:$K$50000,"&lt;&gt;")=0,"",SUMIFS(全馬データ!$K$2:$K$50000,全馬データ!$A$2:$A$50000,A1360,全馬データ!$B$2:$B$50000,B1360,全馬データ!$C$2:$C$50000,C1360,全馬データ!$D$2:$D$50000,E1360)))</f>
        <v/>
      </c>
      <c r="AP1360" s="8" t="str">
        <f aca="false">IF(A1360="","",IF(AO1360="","欠損",IF(AO1360&lt;=1.1,"1.0～1.1",IF(AO1360&lt;1.3,"1.2",IF(AO1360&lt;1.5,"1.3～1.4",IF(AO1360&lt;2,"1.5～1.9","2.0以上"))))))</f>
        <v/>
      </c>
      <c r="AQ1360" s="8" t="str">
        <f aca="false">IF(A1360="","",IF(ISNUMBER(SEARCH("2歳",Z1360)),"2歳戦",IF(ISNUMBER(SEARCH("3歳未勝利",Z1360)),"3歳未勝利",IF(ISNUMBER(SEARCH("未勝利",Z1360)),"その他未勝利",IF(ISNUMBER(SEARCH("G1",Z1360)),"G1",IF(ISNUMBER(SEARCH("G2",Z1360)),"G2",IF(ISNUMBER(SEARCH("G3",Z1360)),"G3",IF(ISNUMBER(SEARCH("古馬条件",Z1360)),"古馬条件戦",IF(ISNUMBER(SEARCH("重賞",Z1360)),"重賞","分類不能")))))))))</f>
        <v/>
      </c>
    </row>
    <row r="1361" customFormat="false" ht="15.75" hidden="false" customHeight="false" outlineLevel="0" collapsed="false">
      <c r="AO1361" s="8" t="str">
        <f aca="false">IF(A1361="","",IF(COUNTIFS(全馬データ!$A$2:$A$50000,A1361,全馬データ!$B$2:$B$50000,B1361,全馬データ!$C$2:$C$50000,C1361,全馬データ!$D$2:$D$50000,E1361,全馬データ!$K$2:$K$50000,"&lt;&gt;")=0,"",SUMIFS(全馬データ!$K$2:$K$50000,全馬データ!$A$2:$A$50000,A1361,全馬データ!$B$2:$B$50000,B1361,全馬データ!$C$2:$C$50000,C1361,全馬データ!$D$2:$D$50000,E1361)))</f>
        <v/>
      </c>
      <c r="AP1361" s="8" t="str">
        <f aca="false">IF(A1361="","",IF(AO1361="","欠損",IF(AO1361&lt;=1.1,"1.0～1.1",IF(AO1361&lt;1.3,"1.2",IF(AO1361&lt;1.5,"1.3～1.4",IF(AO1361&lt;2,"1.5～1.9","2.0以上"))))))</f>
        <v/>
      </c>
      <c r="AQ1361" s="8" t="str">
        <f aca="false">IF(A1361="","",IF(ISNUMBER(SEARCH("2歳",Z1361)),"2歳戦",IF(ISNUMBER(SEARCH("3歳未勝利",Z1361)),"3歳未勝利",IF(ISNUMBER(SEARCH("未勝利",Z1361)),"その他未勝利",IF(ISNUMBER(SEARCH("G1",Z1361)),"G1",IF(ISNUMBER(SEARCH("G2",Z1361)),"G2",IF(ISNUMBER(SEARCH("G3",Z1361)),"G3",IF(ISNUMBER(SEARCH("古馬条件",Z1361)),"古馬条件戦",IF(ISNUMBER(SEARCH("重賞",Z1361)),"重賞","分類不能")))))))))</f>
        <v/>
      </c>
    </row>
    <row r="1362" customFormat="false" ht="15.75" hidden="false" customHeight="false" outlineLevel="0" collapsed="false">
      <c r="AO1362" s="8" t="str">
        <f aca="false">IF(A1362="","",IF(COUNTIFS(全馬データ!$A$2:$A$50000,A1362,全馬データ!$B$2:$B$50000,B1362,全馬データ!$C$2:$C$50000,C1362,全馬データ!$D$2:$D$50000,E1362,全馬データ!$K$2:$K$50000,"&lt;&gt;")=0,"",SUMIFS(全馬データ!$K$2:$K$50000,全馬データ!$A$2:$A$50000,A1362,全馬データ!$B$2:$B$50000,B1362,全馬データ!$C$2:$C$50000,C1362,全馬データ!$D$2:$D$50000,E1362)))</f>
        <v/>
      </c>
      <c r="AP1362" s="8" t="str">
        <f aca="false">IF(A1362="","",IF(AO1362="","欠損",IF(AO1362&lt;=1.1,"1.0～1.1",IF(AO1362&lt;1.3,"1.2",IF(AO1362&lt;1.5,"1.3～1.4",IF(AO1362&lt;2,"1.5～1.9","2.0以上"))))))</f>
        <v/>
      </c>
      <c r="AQ1362" s="8" t="str">
        <f aca="false">IF(A1362="","",IF(ISNUMBER(SEARCH("2歳",Z1362)),"2歳戦",IF(ISNUMBER(SEARCH("3歳未勝利",Z1362)),"3歳未勝利",IF(ISNUMBER(SEARCH("未勝利",Z1362)),"その他未勝利",IF(ISNUMBER(SEARCH("G1",Z1362)),"G1",IF(ISNUMBER(SEARCH("G2",Z1362)),"G2",IF(ISNUMBER(SEARCH("G3",Z1362)),"G3",IF(ISNUMBER(SEARCH("古馬条件",Z1362)),"古馬条件戦",IF(ISNUMBER(SEARCH("重賞",Z1362)),"重賞","分類不能")))))))))</f>
        <v/>
      </c>
    </row>
    <row r="1363" customFormat="false" ht="15.75" hidden="false" customHeight="false" outlineLevel="0" collapsed="false">
      <c r="AO1363" s="8" t="str">
        <f aca="false">IF(A1363="","",IF(COUNTIFS(全馬データ!$A$2:$A$50000,A1363,全馬データ!$B$2:$B$50000,B1363,全馬データ!$C$2:$C$50000,C1363,全馬データ!$D$2:$D$50000,E1363,全馬データ!$K$2:$K$50000,"&lt;&gt;")=0,"",SUMIFS(全馬データ!$K$2:$K$50000,全馬データ!$A$2:$A$50000,A1363,全馬データ!$B$2:$B$50000,B1363,全馬データ!$C$2:$C$50000,C1363,全馬データ!$D$2:$D$50000,E1363)))</f>
        <v/>
      </c>
      <c r="AP1363" s="8" t="str">
        <f aca="false">IF(A1363="","",IF(AO1363="","欠損",IF(AO1363&lt;=1.1,"1.0～1.1",IF(AO1363&lt;1.3,"1.2",IF(AO1363&lt;1.5,"1.3～1.4",IF(AO1363&lt;2,"1.5～1.9","2.0以上"))))))</f>
        <v/>
      </c>
      <c r="AQ1363" s="8" t="str">
        <f aca="false">IF(A1363="","",IF(ISNUMBER(SEARCH("2歳",Z1363)),"2歳戦",IF(ISNUMBER(SEARCH("3歳未勝利",Z1363)),"3歳未勝利",IF(ISNUMBER(SEARCH("未勝利",Z1363)),"その他未勝利",IF(ISNUMBER(SEARCH("G1",Z1363)),"G1",IF(ISNUMBER(SEARCH("G2",Z1363)),"G2",IF(ISNUMBER(SEARCH("G3",Z1363)),"G3",IF(ISNUMBER(SEARCH("古馬条件",Z1363)),"古馬条件戦",IF(ISNUMBER(SEARCH("重賞",Z1363)),"重賞","分類不能")))))))))</f>
        <v/>
      </c>
    </row>
    <row r="1364" customFormat="false" ht="15.75" hidden="false" customHeight="false" outlineLevel="0" collapsed="false">
      <c r="AO1364" s="8" t="str">
        <f aca="false">IF(A1364="","",IF(COUNTIFS(全馬データ!$A$2:$A$50000,A1364,全馬データ!$B$2:$B$50000,B1364,全馬データ!$C$2:$C$50000,C1364,全馬データ!$D$2:$D$50000,E1364,全馬データ!$K$2:$K$50000,"&lt;&gt;")=0,"",SUMIFS(全馬データ!$K$2:$K$50000,全馬データ!$A$2:$A$50000,A1364,全馬データ!$B$2:$B$50000,B1364,全馬データ!$C$2:$C$50000,C1364,全馬データ!$D$2:$D$50000,E1364)))</f>
        <v/>
      </c>
      <c r="AP1364" s="8" t="str">
        <f aca="false">IF(A1364="","",IF(AO1364="","欠損",IF(AO1364&lt;=1.1,"1.0～1.1",IF(AO1364&lt;1.3,"1.2",IF(AO1364&lt;1.5,"1.3～1.4",IF(AO1364&lt;2,"1.5～1.9","2.0以上"))))))</f>
        <v/>
      </c>
      <c r="AQ1364" s="8" t="str">
        <f aca="false">IF(A1364="","",IF(ISNUMBER(SEARCH("2歳",Z1364)),"2歳戦",IF(ISNUMBER(SEARCH("3歳未勝利",Z1364)),"3歳未勝利",IF(ISNUMBER(SEARCH("未勝利",Z1364)),"その他未勝利",IF(ISNUMBER(SEARCH("G1",Z1364)),"G1",IF(ISNUMBER(SEARCH("G2",Z1364)),"G2",IF(ISNUMBER(SEARCH("G3",Z1364)),"G3",IF(ISNUMBER(SEARCH("古馬条件",Z1364)),"古馬条件戦",IF(ISNUMBER(SEARCH("重賞",Z1364)),"重賞","分類不能")))))))))</f>
        <v/>
      </c>
    </row>
    <row r="1365" customFormat="false" ht="15.75" hidden="false" customHeight="false" outlineLevel="0" collapsed="false">
      <c r="AO1365" s="8" t="str">
        <f aca="false">IF(A1365="","",IF(COUNTIFS(全馬データ!$A$2:$A$50000,A1365,全馬データ!$B$2:$B$50000,B1365,全馬データ!$C$2:$C$50000,C1365,全馬データ!$D$2:$D$50000,E1365,全馬データ!$K$2:$K$50000,"&lt;&gt;")=0,"",SUMIFS(全馬データ!$K$2:$K$50000,全馬データ!$A$2:$A$50000,A1365,全馬データ!$B$2:$B$50000,B1365,全馬データ!$C$2:$C$50000,C1365,全馬データ!$D$2:$D$50000,E1365)))</f>
        <v/>
      </c>
      <c r="AP1365" s="8" t="str">
        <f aca="false">IF(A1365="","",IF(AO1365="","欠損",IF(AO1365&lt;=1.1,"1.0～1.1",IF(AO1365&lt;1.3,"1.2",IF(AO1365&lt;1.5,"1.3～1.4",IF(AO1365&lt;2,"1.5～1.9","2.0以上"))))))</f>
        <v/>
      </c>
      <c r="AQ1365" s="8" t="str">
        <f aca="false">IF(A1365="","",IF(ISNUMBER(SEARCH("2歳",Z1365)),"2歳戦",IF(ISNUMBER(SEARCH("3歳未勝利",Z1365)),"3歳未勝利",IF(ISNUMBER(SEARCH("未勝利",Z1365)),"その他未勝利",IF(ISNUMBER(SEARCH("G1",Z1365)),"G1",IF(ISNUMBER(SEARCH("G2",Z1365)),"G2",IF(ISNUMBER(SEARCH("G3",Z1365)),"G3",IF(ISNUMBER(SEARCH("古馬条件",Z1365)),"古馬条件戦",IF(ISNUMBER(SEARCH("重賞",Z1365)),"重賞","分類不能")))))))))</f>
        <v/>
      </c>
    </row>
    <row r="1366" customFormat="false" ht="15.75" hidden="false" customHeight="false" outlineLevel="0" collapsed="false">
      <c r="AO1366" s="8" t="str">
        <f aca="false">IF(A1366="","",IF(COUNTIFS(全馬データ!$A$2:$A$50000,A1366,全馬データ!$B$2:$B$50000,B1366,全馬データ!$C$2:$C$50000,C1366,全馬データ!$D$2:$D$50000,E1366,全馬データ!$K$2:$K$50000,"&lt;&gt;")=0,"",SUMIFS(全馬データ!$K$2:$K$50000,全馬データ!$A$2:$A$50000,A1366,全馬データ!$B$2:$B$50000,B1366,全馬データ!$C$2:$C$50000,C1366,全馬データ!$D$2:$D$50000,E1366)))</f>
        <v/>
      </c>
      <c r="AP1366" s="8" t="str">
        <f aca="false">IF(A1366="","",IF(AO1366="","欠損",IF(AO1366&lt;=1.1,"1.0～1.1",IF(AO1366&lt;1.3,"1.2",IF(AO1366&lt;1.5,"1.3～1.4",IF(AO1366&lt;2,"1.5～1.9","2.0以上"))))))</f>
        <v/>
      </c>
      <c r="AQ1366" s="8" t="str">
        <f aca="false">IF(A1366="","",IF(ISNUMBER(SEARCH("2歳",Z1366)),"2歳戦",IF(ISNUMBER(SEARCH("3歳未勝利",Z1366)),"3歳未勝利",IF(ISNUMBER(SEARCH("未勝利",Z1366)),"その他未勝利",IF(ISNUMBER(SEARCH("G1",Z1366)),"G1",IF(ISNUMBER(SEARCH("G2",Z1366)),"G2",IF(ISNUMBER(SEARCH("G3",Z1366)),"G3",IF(ISNUMBER(SEARCH("古馬条件",Z1366)),"古馬条件戦",IF(ISNUMBER(SEARCH("重賞",Z1366)),"重賞","分類不能")))))))))</f>
        <v/>
      </c>
    </row>
    <row r="1367" customFormat="false" ht="15.75" hidden="false" customHeight="false" outlineLevel="0" collapsed="false">
      <c r="AO1367" s="8" t="str">
        <f aca="false">IF(A1367="","",IF(COUNTIFS(全馬データ!$A$2:$A$50000,A1367,全馬データ!$B$2:$B$50000,B1367,全馬データ!$C$2:$C$50000,C1367,全馬データ!$D$2:$D$50000,E1367,全馬データ!$K$2:$K$50000,"&lt;&gt;")=0,"",SUMIFS(全馬データ!$K$2:$K$50000,全馬データ!$A$2:$A$50000,A1367,全馬データ!$B$2:$B$50000,B1367,全馬データ!$C$2:$C$50000,C1367,全馬データ!$D$2:$D$50000,E1367)))</f>
        <v/>
      </c>
      <c r="AP1367" s="8" t="str">
        <f aca="false">IF(A1367="","",IF(AO1367="","欠損",IF(AO1367&lt;=1.1,"1.0～1.1",IF(AO1367&lt;1.3,"1.2",IF(AO1367&lt;1.5,"1.3～1.4",IF(AO1367&lt;2,"1.5～1.9","2.0以上"))))))</f>
        <v/>
      </c>
      <c r="AQ1367" s="8" t="str">
        <f aca="false">IF(A1367="","",IF(ISNUMBER(SEARCH("2歳",Z1367)),"2歳戦",IF(ISNUMBER(SEARCH("3歳未勝利",Z1367)),"3歳未勝利",IF(ISNUMBER(SEARCH("未勝利",Z1367)),"その他未勝利",IF(ISNUMBER(SEARCH("G1",Z1367)),"G1",IF(ISNUMBER(SEARCH("G2",Z1367)),"G2",IF(ISNUMBER(SEARCH("G3",Z1367)),"G3",IF(ISNUMBER(SEARCH("古馬条件",Z1367)),"古馬条件戦",IF(ISNUMBER(SEARCH("重賞",Z1367)),"重賞","分類不能")))))))))</f>
        <v/>
      </c>
    </row>
    <row r="1368" customFormat="false" ht="15.75" hidden="false" customHeight="false" outlineLevel="0" collapsed="false">
      <c r="AO1368" s="8" t="str">
        <f aca="false">IF(A1368="","",IF(COUNTIFS(全馬データ!$A$2:$A$50000,A1368,全馬データ!$B$2:$B$50000,B1368,全馬データ!$C$2:$C$50000,C1368,全馬データ!$D$2:$D$50000,E1368,全馬データ!$K$2:$K$50000,"&lt;&gt;")=0,"",SUMIFS(全馬データ!$K$2:$K$50000,全馬データ!$A$2:$A$50000,A1368,全馬データ!$B$2:$B$50000,B1368,全馬データ!$C$2:$C$50000,C1368,全馬データ!$D$2:$D$50000,E1368)))</f>
        <v/>
      </c>
      <c r="AP1368" s="8" t="str">
        <f aca="false">IF(A1368="","",IF(AO1368="","欠損",IF(AO1368&lt;=1.1,"1.0～1.1",IF(AO1368&lt;1.3,"1.2",IF(AO1368&lt;1.5,"1.3～1.4",IF(AO1368&lt;2,"1.5～1.9","2.0以上"))))))</f>
        <v/>
      </c>
      <c r="AQ1368" s="8" t="str">
        <f aca="false">IF(A1368="","",IF(ISNUMBER(SEARCH("2歳",Z1368)),"2歳戦",IF(ISNUMBER(SEARCH("3歳未勝利",Z1368)),"3歳未勝利",IF(ISNUMBER(SEARCH("未勝利",Z1368)),"その他未勝利",IF(ISNUMBER(SEARCH("G1",Z1368)),"G1",IF(ISNUMBER(SEARCH("G2",Z1368)),"G2",IF(ISNUMBER(SEARCH("G3",Z1368)),"G3",IF(ISNUMBER(SEARCH("古馬条件",Z1368)),"古馬条件戦",IF(ISNUMBER(SEARCH("重賞",Z1368)),"重賞","分類不能")))))))))</f>
        <v/>
      </c>
    </row>
    <row r="1369" customFormat="false" ht="15.75" hidden="false" customHeight="false" outlineLevel="0" collapsed="false">
      <c r="AO1369" s="8" t="str">
        <f aca="false">IF(A1369="","",IF(COUNTIFS(全馬データ!$A$2:$A$50000,A1369,全馬データ!$B$2:$B$50000,B1369,全馬データ!$C$2:$C$50000,C1369,全馬データ!$D$2:$D$50000,E1369,全馬データ!$K$2:$K$50000,"&lt;&gt;")=0,"",SUMIFS(全馬データ!$K$2:$K$50000,全馬データ!$A$2:$A$50000,A1369,全馬データ!$B$2:$B$50000,B1369,全馬データ!$C$2:$C$50000,C1369,全馬データ!$D$2:$D$50000,E1369)))</f>
        <v/>
      </c>
      <c r="AP1369" s="8" t="str">
        <f aca="false">IF(A1369="","",IF(AO1369="","欠損",IF(AO1369&lt;=1.1,"1.0～1.1",IF(AO1369&lt;1.3,"1.2",IF(AO1369&lt;1.5,"1.3～1.4",IF(AO1369&lt;2,"1.5～1.9","2.0以上"))))))</f>
        <v/>
      </c>
      <c r="AQ1369" s="8" t="str">
        <f aca="false">IF(A1369="","",IF(ISNUMBER(SEARCH("2歳",Z1369)),"2歳戦",IF(ISNUMBER(SEARCH("3歳未勝利",Z1369)),"3歳未勝利",IF(ISNUMBER(SEARCH("未勝利",Z1369)),"その他未勝利",IF(ISNUMBER(SEARCH("G1",Z1369)),"G1",IF(ISNUMBER(SEARCH("G2",Z1369)),"G2",IF(ISNUMBER(SEARCH("G3",Z1369)),"G3",IF(ISNUMBER(SEARCH("古馬条件",Z1369)),"古馬条件戦",IF(ISNUMBER(SEARCH("重賞",Z1369)),"重賞","分類不能")))))))))</f>
        <v/>
      </c>
    </row>
    <row r="1370" customFormat="false" ht="15.75" hidden="false" customHeight="false" outlineLevel="0" collapsed="false">
      <c r="AO1370" s="8" t="str">
        <f aca="false">IF(A1370="","",IF(COUNTIFS(全馬データ!$A$2:$A$50000,A1370,全馬データ!$B$2:$B$50000,B1370,全馬データ!$C$2:$C$50000,C1370,全馬データ!$D$2:$D$50000,E1370,全馬データ!$K$2:$K$50000,"&lt;&gt;")=0,"",SUMIFS(全馬データ!$K$2:$K$50000,全馬データ!$A$2:$A$50000,A1370,全馬データ!$B$2:$B$50000,B1370,全馬データ!$C$2:$C$50000,C1370,全馬データ!$D$2:$D$50000,E1370)))</f>
        <v/>
      </c>
      <c r="AP1370" s="8" t="str">
        <f aca="false">IF(A1370="","",IF(AO1370="","欠損",IF(AO1370&lt;=1.1,"1.0～1.1",IF(AO1370&lt;1.3,"1.2",IF(AO1370&lt;1.5,"1.3～1.4",IF(AO1370&lt;2,"1.5～1.9","2.0以上"))))))</f>
        <v/>
      </c>
      <c r="AQ1370" s="8" t="str">
        <f aca="false">IF(A1370="","",IF(ISNUMBER(SEARCH("2歳",Z1370)),"2歳戦",IF(ISNUMBER(SEARCH("3歳未勝利",Z1370)),"3歳未勝利",IF(ISNUMBER(SEARCH("未勝利",Z1370)),"その他未勝利",IF(ISNUMBER(SEARCH("G1",Z1370)),"G1",IF(ISNUMBER(SEARCH("G2",Z1370)),"G2",IF(ISNUMBER(SEARCH("G3",Z1370)),"G3",IF(ISNUMBER(SEARCH("古馬条件",Z1370)),"古馬条件戦",IF(ISNUMBER(SEARCH("重賞",Z1370)),"重賞","分類不能")))))))))</f>
        <v/>
      </c>
    </row>
    <row r="1371" customFormat="false" ht="15.75" hidden="false" customHeight="false" outlineLevel="0" collapsed="false">
      <c r="AO1371" s="8" t="str">
        <f aca="false">IF(A1371="","",IF(COUNTIFS(全馬データ!$A$2:$A$50000,A1371,全馬データ!$B$2:$B$50000,B1371,全馬データ!$C$2:$C$50000,C1371,全馬データ!$D$2:$D$50000,E1371,全馬データ!$K$2:$K$50000,"&lt;&gt;")=0,"",SUMIFS(全馬データ!$K$2:$K$50000,全馬データ!$A$2:$A$50000,A1371,全馬データ!$B$2:$B$50000,B1371,全馬データ!$C$2:$C$50000,C1371,全馬データ!$D$2:$D$50000,E1371)))</f>
        <v/>
      </c>
      <c r="AP1371" s="8" t="str">
        <f aca="false">IF(A1371="","",IF(AO1371="","欠損",IF(AO1371&lt;=1.1,"1.0～1.1",IF(AO1371&lt;1.3,"1.2",IF(AO1371&lt;1.5,"1.3～1.4",IF(AO1371&lt;2,"1.5～1.9","2.0以上"))))))</f>
        <v/>
      </c>
      <c r="AQ1371" s="8" t="str">
        <f aca="false">IF(A1371="","",IF(ISNUMBER(SEARCH("2歳",Z1371)),"2歳戦",IF(ISNUMBER(SEARCH("3歳未勝利",Z1371)),"3歳未勝利",IF(ISNUMBER(SEARCH("未勝利",Z1371)),"その他未勝利",IF(ISNUMBER(SEARCH("G1",Z1371)),"G1",IF(ISNUMBER(SEARCH("G2",Z1371)),"G2",IF(ISNUMBER(SEARCH("G3",Z1371)),"G3",IF(ISNUMBER(SEARCH("古馬条件",Z1371)),"古馬条件戦",IF(ISNUMBER(SEARCH("重賞",Z1371)),"重賞","分類不能")))))))))</f>
        <v/>
      </c>
    </row>
    <row r="1372" customFormat="false" ht="15.75" hidden="false" customHeight="false" outlineLevel="0" collapsed="false">
      <c r="AO1372" s="8" t="str">
        <f aca="false">IF(A1372="","",IF(COUNTIFS(全馬データ!$A$2:$A$50000,A1372,全馬データ!$B$2:$B$50000,B1372,全馬データ!$C$2:$C$50000,C1372,全馬データ!$D$2:$D$50000,E1372,全馬データ!$K$2:$K$50000,"&lt;&gt;")=0,"",SUMIFS(全馬データ!$K$2:$K$50000,全馬データ!$A$2:$A$50000,A1372,全馬データ!$B$2:$B$50000,B1372,全馬データ!$C$2:$C$50000,C1372,全馬データ!$D$2:$D$50000,E1372)))</f>
        <v/>
      </c>
      <c r="AP1372" s="8" t="str">
        <f aca="false">IF(A1372="","",IF(AO1372="","欠損",IF(AO1372&lt;=1.1,"1.0～1.1",IF(AO1372&lt;1.3,"1.2",IF(AO1372&lt;1.5,"1.3～1.4",IF(AO1372&lt;2,"1.5～1.9","2.0以上"))))))</f>
        <v/>
      </c>
      <c r="AQ1372" s="8" t="str">
        <f aca="false">IF(A1372="","",IF(ISNUMBER(SEARCH("2歳",Z1372)),"2歳戦",IF(ISNUMBER(SEARCH("3歳未勝利",Z1372)),"3歳未勝利",IF(ISNUMBER(SEARCH("未勝利",Z1372)),"その他未勝利",IF(ISNUMBER(SEARCH("G1",Z1372)),"G1",IF(ISNUMBER(SEARCH("G2",Z1372)),"G2",IF(ISNUMBER(SEARCH("G3",Z1372)),"G3",IF(ISNUMBER(SEARCH("古馬条件",Z1372)),"古馬条件戦",IF(ISNUMBER(SEARCH("重賞",Z1372)),"重賞","分類不能")))))))))</f>
        <v/>
      </c>
    </row>
    <row r="1373" customFormat="false" ht="15.75" hidden="false" customHeight="false" outlineLevel="0" collapsed="false">
      <c r="AO1373" s="8" t="str">
        <f aca="false">IF(A1373="","",IF(COUNTIFS(全馬データ!$A$2:$A$50000,A1373,全馬データ!$B$2:$B$50000,B1373,全馬データ!$C$2:$C$50000,C1373,全馬データ!$D$2:$D$50000,E1373,全馬データ!$K$2:$K$50000,"&lt;&gt;")=0,"",SUMIFS(全馬データ!$K$2:$K$50000,全馬データ!$A$2:$A$50000,A1373,全馬データ!$B$2:$B$50000,B1373,全馬データ!$C$2:$C$50000,C1373,全馬データ!$D$2:$D$50000,E1373)))</f>
        <v/>
      </c>
      <c r="AP1373" s="8" t="str">
        <f aca="false">IF(A1373="","",IF(AO1373="","欠損",IF(AO1373&lt;=1.1,"1.0～1.1",IF(AO1373&lt;1.3,"1.2",IF(AO1373&lt;1.5,"1.3～1.4",IF(AO1373&lt;2,"1.5～1.9","2.0以上"))))))</f>
        <v/>
      </c>
      <c r="AQ1373" s="8" t="str">
        <f aca="false">IF(A1373="","",IF(ISNUMBER(SEARCH("2歳",Z1373)),"2歳戦",IF(ISNUMBER(SEARCH("3歳未勝利",Z1373)),"3歳未勝利",IF(ISNUMBER(SEARCH("未勝利",Z1373)),"その他未勝利",IF(ISNUMBER(SEARCH("G1",Z1373)),"G1",IF(ISNUMBER(SEARCH("G2",Z1373)),"G2",IF(ISNUMBER(SEARCH("G3",Z1373)),"G3",IF(ISNUMBER(SEARCH("古馬条件",Z1373)),"古馬条件戦",IF(ISNUMBER(SEARCH("重賞",Z1373)),"重賞","分類不能")))))))))</f>
        <v/>
      </c>
    </row>
    <row r="1374" customFormat="false" ht="15.75" hidden="false" customHeight="false" outlineLevel="0" collapsed="false">
      <c r="AO1374" s="8" t="str">
        <f aca="false">IF(A1374="","",IF(COUNTIFS(全馬データ!$A$2:$A$50000,A1374,全馬データ!$B$2:$B$50000,B1374,全馬データ!$C$2:$C$50000,C1374,全馬データ!$D$2:$D$50000,E1374,全馬データ!$K$2:$K$50000,"&lt;&gt;")=0,"",SUMIFS(全馬データ!$K$2:$K$50000,全馬データ!$A$2:$A$50000,A1374,全馬データ!$B$2:$B$50000,B1374,全馬データ!$C$2:$C$50000,C1374,全馬データ!$D$2:$D$50000,E1374)))</f>
        <v/>
      </c>
      <c r="AP1374" s="8" t="str">
        <f aca="false">IF(A1374="","",IF(AO1374="","欠損",IF(AO1374&lt;=1.1,"1.0～1.1",IF(AO1374&lt;1.3,"1.2",IF(AO1374&lt;1.5,"1.3～1.4",IF(AO1374&lt;2,"1.5～1.9","2.0以上"))))))</f>
        <v/>
      </c>
      <c r="AQ1374" s="8" t="str">
        <f aca="false">IF(A1374="","",IF(ISNUMBER(SEARCH("2歳",Z1374)),"2歳戦",IF(ISNUMBER(SEARCH("3歳未勝利",Z1374)),"3歳未勝利",IF(ISNUMBER(SEARCH("未勝利",Z1374)),"その他未勝利",IF(ISNUMBER(SEARCH("G1",Z1374)),"G1",IF(ISNUMBER(SEARCH("G2",Z1374)),"G2",IF(ISNUMBER(SEARCH("G3",Z1374)),"G3",IF(ISNUMBER(SEARCH("古馬条件",Z1374)),"古馬条件戦",IF(ISNUMBER(SEARCH("重賞",Z1374)),"重賞","分類不能")))))))))</f>
        <v/>
      </c>
    </row>
    <row r="1375" customFormat="false" ht="15.75" hidden="false" customHeight="false" outlineLevel="0" collapsed="false">
      <c r="AO1375" s="8" t="str">
        <f aca="false">IF(A1375="","",IF(COUNTIFS(全馬データ!$A$2:$A$50000,A1375,全馬データ!$B$2:$B$50000,B1375,全馬データ!$C$2:$C$50000,C1375,全馬データ!$D$2:$D$50000,E1375,全馬データ!$K$2:$K$50000,"&lt;&gt;")=0,"",SUMIFS(全馬データ!$K$2:$K$50000,全馬データ!$A$2:$A$50000,A1375,全馬データ!$B$2:$B$50000,B1375,全馬データ!$C$2:$C$50000,C1375,全馬データ!$D$2:$D$50000,E1375)))</f>
        <v/>
      </c>
      <c r="AP1375" s="8" t="str">
        <f aca="false">IF(A1375="","",IF(AO1375="","欠損",IF(AO1375&lt;=1.1,"1.0～1.1",IF(AO1375&lt;1.3,"1.2",IF(AO1375&lt;1.5,"1.3～1.4",IF(AO1375&lt;2,"1.5～1.9","2.0以上"))))))</f>
        <v/>
      </c>
      <c r="AQ1375" s="8" t="str">
        <f aca="false">IF(A1375="","",IF(ISNUMBER(SEARCH("2歳",Z1375)),"2歳戦",IF(ISNUMBER(SEARCH("3歳未勝利",Z1375)),"3歳未勝利",IF(ISNUMBER(SEARCH("未勝利",Z1375)),"その他未勝利",IF(ISNUMBER(SEARCH("G1",Z1375)),"G1",IF(ISNUMBER(SEARCH("G2",Z1375)),"G2",IF(ISNUMBER(SEARCH("G3",Z1375)),"G3",IF(ISNUMBER(SEARCH("古馬条件",Z1375)),"古馬条件戦",IF(ISNUMBER(SEARCH("重賞",Z1375)),"重賞","分類不能")))))))))</f>
        <v/>
      </c>
    </row>
    <row r="1376" customFormat="false" ht="15.75" hidden="false" customHeight="false" outlineLevel="0" collapsed="false">
      <c r="AO1376" s="8" t="str">
        <f aca="false">IF(A1376="","",IF(COUNTIFS(全馬データ!$A$2:$A$50000,A1376,全馬データ!$B$2:$B$50000,B1376,全馬データ!$C$2:$C$50000,C1376,全馬データ!$D$2:$D$50000,E1376,全馬データ!$K$2:$K$50000,"&lt;&gt;")=0,"",SUMIFS(全馬データ!$K$2:$K$50000,全馬データ!$A$2:$A$50000,A1376,全馬データ!$B$2:$B$50000,B1376,全馬データ!$C$2:$C$50000,C1376,全馬データ!$D$2:$D$50000,E1376)))</f>
        <v/>
      </c>
      <c r="AP1376" s="8" t="str">
        <f aca="false">IF(A1376="","",IF(AO1376="","欠損",IF(AO1376&lt;=1.1,"1.0～1.1",IF(AO1376&lt;1.3,"1.2",IF(AO1376&lt;1.5,"1.3～1.4",IF(AO1376&lt;2,"1.5～1.9","2.0以上"))))))</f>
        <v/>
      </c>
      <c r="AQ1376" s="8" t="str">
        <f aca="false">IF(A1376="","",IF(ISNUMBER(SEARCH("2歳",Z1376)),"2歳戦",IF(ISNUMBER(SEARCH("3歳未勝利",Z1376)),"3歳未勝利",IF(ISNUMBER(SEARCH("未勝利",Z1376)),"その他未勝利",IF(ISNUMBER(SEARCH("G1",Z1376)),"G1",IF(ISNUMBER(SEARCH("G2",Z1376)),"G2",IF(ISNUMBER(SEARCH("G3",Z1376)),"G3",IF(ISNUMBER(SEARCH("古馬条件",Z1376)),"古馬条件戦",IF(ISNUMBER(SEARCH("重賞",Z1376)),"重賞","分類不能")))))))))</f>
        <v/>
      </c>
    </row>
    <row r="1377" customFormat="false" ht="15.75" hidden="false" customHeight="false" outlineLevel="0" collapsed="false">
      <c r="AO1377" s="8" t="str">
        <f aca="false">IF(A1377="","",IF(COUNTIFS(全馬データ!$A$2:$A$50000,A1377,全馬データ!$B$2:$B$50000,B1377,全馬データ!$C$2:$C$50000,C1377,全馬データ!$D$2:$D$50000,E1377,全馬データ!$K$2:$K$50000,"&lt;&gt;")=0,"",SUMIFS(全馬データ!$K$2:$K$50000,全馬データ!$A$2:$A$50000,A1377,全馬データ!$B$2:$B$50000,B1377,全馬データ!$C$2:$C$50000,C1377,全馬データ!$D$2:$D$50000,E1377)))</f>
        <v/>
      </c>
      <c r="AP1377" s="8" t="str">
        <f aca="false">IF(A1377="","",IF(AO1377="","欠損",IF(AO1377&lt;=1.1,"1.0～1.1",IF(AO1377&lt;1.3,"1.2",IF(AO1377&lt;1.5,"1.3～1.4",IF(AO1377&lt;2,"1.5～1.9","2.0以上"))))))</f>
        <v/>
      </c>
      <c r="AQ1377" s="8" t="str">
        <f aca="false">IF(A1377="","",IF(ISNUMBER(SEARCH("2歳",Z1377)),"2歳戦",IF(ISNUMBER(SEARCH("3歳未勝利",Z1377)),"3歳未勝利",IF(ISNUMBER(SEARCH("未勝利",Z1377)),"その他未勝利",IF(ISNUMBER(SEARCH("G1",Z1377)),"G1",IF(ISNUMBER(SEARCH("G2",Z1377)),"G2",IF(ISNUMBER(SEARCH("G3",Z1377)),"G3",IF(ISNUMBER(SEARCH("古馬条件",Z1377)),"古馬条件戦",IF(ISNUMBER(SEARCH("重賞",Z1377)),"重賞","分類不能")))))))))</f>
        <v/>
      </c>
    </row>
    <row r="1378" customFormat="false" ht="15.75" hidden="false" customHeight="false" outlineLevel="0" collapsed="false">
      <c r="AO1378" s="8" t="str">
        <f aca="false">IF(A1378="","",IF(COUNTIFS(全馬データ!$A$2:$A$50000,A1378,全馬データ!$B$2:$B$50000,B1378,全馬データ!$C$2:$C$50000,C1378,全馬データ!$D$2:$D$50000,E1378,全馬データ!$K$2:$K$50000,"&lt;&gt;")=0,"",SUMIFS(全馬データ!$K$2:$K$50000,全馬データ!$A$2:$A$50000,A1378,全馬データ!$B$2:$B$50000,B1378,全馬データ!$C$2:$C$50000,C1378,全馬データ!$D$2:$D$50000,E1378)))</f>
        <v/>
      </c>
      <c r="AP1378" s="8" t="str">
        <f aca="false">IF(A1378="","",IF(AO1378="","欠損",IF(AO1378&lt;=1.1,"1.0～1.1",IF(AO1378&lt;1.3,"1.2",IF(AO1378&lt;1.5,"1.3～1.4",IF(AO1378&lt;2,"1.5～1.9","2.0以上"))))))</f>
        <v/>
      </c>
      <c r="AQ1378" s="8" t="str">
        <f aca="false">IF(A1378="","",IF(ISNUMBER(SEARCH("2歳",Z1378)),"2歳戦",IF(ISNUMBER(SEARCH("3歳未勝利",Z1378)),"3歳未勝利",IF(ISNUMBER(SEARCH("未勝利",Z1378)),"その他未勝利",IF(ISNUMBER(SEARCH("G1",Z1378)),"G1",IF(ISNUMBER(SEARCH("G2",Z1378)),"G2",IF(ISNUMBER(SEARCH("G3",Z1378)),"G3",IF(ISNUMBER(SEARCH("古馬条件",Z1378)),"古馬条件戦",IF(ISNUMBER(SEARCH("重賞",Z1378)),"重賞","分類不能")))))))))</f>
        <v/>
      </c>
    </row>
    <row r="1379" customFormat="false" ht="15.75" hidden="false" customHeight="false" outlineLevel="0" collapsed="false">
      <c r="AO1379" s="8" t="str">
        <f aca="false">IF(A1379="","",IF(COUNTIFS(全馬データ!$A$2:$A$50000,A1379,全馬データ!$B$2:$B$50000,B1379,全馬データ!$C$2:$C$50000,C1379,全馬データ!$D$2:$D$50000,E1379,全馬データ!$K$2:$K$50000,"&lt;&gt;")=0,"",SUMIFS(全馬データ!$K$2:$K$50000,全馬データ!$A$2:$A$50000,A1379,全馬データ!$B$2:$B$50000,B1379,全馬データ!$C$2:$C$50000,C1379,全馬データ!$D$2:$D$50000,E1379)))</f>
        <v/>
      </c>
      <c r="AP1379" s="8" t="str">
        <f aca="false">IF(A1379="","",IF(AO1379="","欠損",IF(AO1379&lt;=1.1,"1.0～1.1",IF(AO1379&lt;1.3,"1.2",IF(AO1379&lt;1.5,"1.3～1.4",IF(AO1379&lt;2,"1.5～1.9","2.0以上"))))))</f>
        <v/>
      </c>
      <c r="AQ1379" s="8" t="str">
        <f aca="false">IF(A1379="","",IF(ISNUMBER(SEARCH("2歳",Z1379)),"2歳戦",IF(ISNUMBER(SEARCH("3歳未勝利",Z1379)),"3歳未勝利",IF(ISNUMBER(SEARCH("未勝利",Z1379)),"その他未勝利",IF(ISNUMBER(SEARCH("G1",Z1379)),"G1",IF(ISNUMBER(SEARCH("G2",Z1379)),"G2",IF(ISNUMBER(SEARCH("G3",Z1379)),"G3",IF(ISNUMBER(SEARCH("古馬条件",Z1379)),"古馬条件戦",IF(ISNUMBER(SEARCH("重賞",Z1379)),"重賞","分類不能")))))))))</f>
        <v/>
      </c>
    </row>
    <row r="1380" customFormat="false" ht="15.75" hidden="false" customHeight="false" outlineLevel="0" collapsed="false">
      <c r="AO1380" s="8" t="str">
        <f aca="false">IF(A1380="","",IF(COUNTIFS(全馬データ!$A$2:$A$50000,A1380,全馬データ!$B$2:$B$50000,B1380,全馬データ!$C$2:$C$50000,C1380,全馬データ!$D$2:$D$50000,E1380,全馬データ!$K$2:$K$50000,"&lt;&gt;")=0,"",SUMIFS(全馬データ!$K$2:$K$50000,全馬データ!$A$2:$A$50000,A1380,全馬データ!$B$2:$B$50000,B1380,全馬データ!$C$2:$C$50000,C1380,全馬データ!$D$2:$D$50000,E1380)))</f>
        <v/>
      </c>
      <c r="AP1380" s="8" t="str">
        <f aca="false">IF(A1380="","",IF(AO1380="","欠損",IF(AO1380&lt;=1.1,"1.0～1.1",IF(AO1380&lt;1.3,"1.2",IF(AO1380&lt;1.5,"1.3～1.4",IF(AO1380&lt;2,"1.5～1.9","2.0以上"))))))</f>
        <v/>
      </c>
      <c r="AQ1380" s="8" t="str">
        <f aca="false">IF(A1380="","",IF(ISNUMBER(SEARCH("2歳",Z1380)),"2歳戦",IF(ISNUMBER(SEARCH("3歳未勝利",Z1380)),"3歳未勝利",IF(ISNUMBER(SEARCH("未勝利",Z1380)),"その他未勝利",IF(ISNUMBER(SEARCH("G1",Z1380)),"G1",IF(ISNUMBER(SEARCH("G2",Z1380)),"G2",IF(ISNUMBER(SEARCH("G3",Z1380)),"G3",IF(ISNUMBER(SEARCH("古馬条件",Z1380)),"古馬条件戦",IF(ISNUMBER(SEARCH("重賞",Z1380)),"重賞","分類不能")))))))))</f>
        <v/>
      </c>
    </row>
    <row r="1381" customFormat="false" ht="15.75" hidden="false" customHeight="false" outlineLevel="0" collapsed="false">
      <c r="AO1381" s="8" t="str">
        <f aca="false">IF(A1381="","",IF(COUNTIFS(全馬データ!$A$2:$A$50000,A1381,全馬データ!$B$2:$B$50000,B1381,全馬データ!$C$2:$C$50000,C1381,全馬データ!$D$2:$D$50000,E1381,全馬データ!$K$2:$K$50000,"&lt;&gt;")=0,"",SUMIFS(全馬データ!$K$2:$K$50000,全馬データ!$A$2:$A$50000,A1381,全馬データ!$B$2:$B$50000,B1381,全馬データ!$C$2:$C$50000,C1381,全馬データ!$D$2:$D$50000,E1381)))</f>
        <v/>
      </c>
      <c r="AP1381" s="8" t="str">
        <f aca="false">IF(A1381="","",IF(AO1381="","欠損",IF(AO1381&lt;=1.1,"1.0～1.1",IF(AO1381&lt;1.3,"1.2",IF(AO1381&lt;1.5,"1.3～1.4",IF(AO1381&lt;2,"1.5～1.9","2.0以上"))))))</f>
        <v/>
      </c>
      <c r="AQ1381" s="8" t="str">
        <f aca="false">IF(A1381="","",IF(ISNUMBER(SEARCH("2歳",Z1381)),"2歳戦",IF(ISNUMBER(SEARCH("3歳未勝利",Z1381)),"3歳未勝利",IF(ISNUMBER(SEARCH("未勝利",Z1381)),"その他未勝利",IF(ISNUMBER(SEARCH("G1",Z1381)),"G1",IF(ISNUMBER(SEARCH("G2",Z1381)),"G2",IF(ISNUMBER(SEARCH("G3",Z1381)),"G3",IF(ISNUMBER(SEARCH("古馬条件",Z1381)),"古馬条件戦",IF(ISNUMBER(SEARCH("重賞",Z1381)),"重賞","分類不能")))))))))</f>
        <v/>
      </c>
    </row>
    <row r="1382" customFormat="false" ht="15.75" hidden="false" customHeight="false" outlineLevel="0" collapsed="false">
      <c r="AO1382" s="8" t="str">
        <f aca="false">IF(A1382="","",IF(COUNTIFS(全馬データ!$A$2:$A$50000,A1382,全馬データ!$B$2:$B$50000,B1382,全馬データ!$C$2:$C$50000,C1382,全馬データ!$D$2:$D$50000,E1382,全馬データ!$K$2:$K$50000,"&lt;&gt;")=0,"",SUMIFS(全馬データ!$K$2:$K$50000,全馬データ!$A$2:$A$50000,A1382,全馬データ!$B$2:$B$50000,B1382,全馬データ!$C$2:$C$50000,C1382,全馬データ!$D$2:$D$50000,E1382)))</f>
        <v/>
      </c>
      <c r="AP1382" s="8" t="str">
        <f aca="false">IF(A1382="","",IF(AO1382="","欠損",IF(AO1382&lt;=1.1,"1.0～1.1",IF(AO1382&lt;1.3,"1.2",IF(AO1382&lt;1.5,"1.3～1.4",IF(AO1382&lt;2,"1.5～1.9","2.0以上"))))))</f>
        <v/>
      </c>
      <c r="AQ1382" s="8" t="str">
        <f aca="false">IF(A1382="","",IF(ISNUMBER(SEARCH("2歳",Z1382)),"2歳戦",IF(ISNUMBER(SEARCH("3歳未勝利",Z1382)),"3歳未勝利",IF(ISNUMBER(SEARCH("未勝利",Z1382)),"その他未勝利",IF(ISNUMBER(SEARCH("G1",Z1382)),"G1",IF(ISNUMBER(SEARCH("G2",Z1382)),"G2",IF(ISNUMBER(SEARCH("G3",Z1382)),"G3",IF(ISNUMBER(SEARCH("古馬条件",Z1382)),"古馬条件戦",IF(ISNUMBER(SEARCH("重賞",Z1382)),"重賞","分類不能")))))))))</f>
        <v/>
      </c>
    </row>
    <row r="1383" customFormat="false" ht="15.75" hidden="false" customHeight="false" outlineLevel="0" collapsed="false">
      <c r="AO1383" s="8" t="str">
        <f aca="false">IF(A1383="","",IF(COUNTIFS(全馬データ!$A$2:$A$50000,A1383,全馬データ!$B$2:$B$50000,B1383,全馬データ!$C$2:$C$50000,C1383,全馬データ!$D$2:$D$50000,E1383,全馬データ!$K$2:$K$50000,"&lt;&gt;")=0,"",SUMIFS(全馬データ!$K$2:$K$50000,全馬データ!$A$2:$A$50000,A1383,全馬データ!$B$2:$B$50000,B1383,全馬データ!$C$2:$C$50000,C1383,全馬データ!$D$2:$D$50000,E1383)))</f>
        <v/>
      </c>
      <c r="AP1383" s="8" t="str">
        <f aca="false">IF(A1383="","",IF(AO1383="","欠損",IF(AO1383&lt;=1.1,"1.0～1.1",IF(AO1383&lt;1.3,"1.2",IF(AO1383&lt;1.5,"1.3～1.4",IF(AO1383&lt;2,"1.5～1.9","2.0以上"))))))</f>
        <v/>
      </c>
      <c r="AQ1383" s="8" t="str">
        <f aca="false">IF(A1383="","",IF(ISNUMBER(SEARCH("2歳",Z1383)),"2歳戦",IF(ISNUMBER(SEARCH("3歳未勝利",Z1383)),"3歳未勝利",IF(ISNUMBER(SEARCH("未勝利",Z1383)),"その他未勝利",IF(ISNUMBER(SEARCH("G1",Z1383)),"G1",IF(ISNUMBER(SEARCH("G2",Z1383)),"G2",IF(ISNUMBER(SEARCH("G3",Z1383)),"G3",IF(ISNUMBER(SEARCH("古馬条件",Z1383)),"古馬条件戦",IF(ISNUMBER(SEARCH("重賞",Z1383)),"重賞","分類不能")))))))))</f>
        <v/>
      </c>
    </row>
    <row r="1384" customFormat="false" ht="15.75" hidden="false" customHeight="false" outlineLevel="0" collapsed="false">
      <c r="AO1384" s="8" t="str">
        <f aca="false">IF(A1384="","",IF(COUNTIFS(全馬データ!$A$2:$A$50000,A1384,全馬データ!$B$2:$B$50000,B1384,全馬データ!$C$2:$C$50000,C1384,全馬データ!$D$2:$D$50000,E1384,全馬データ!$K$2:$K$50000,"&lt;&gt;")=0,"",SUMIFS(全馬データ!$K$2:$K$50000,全馬データ!$A$2:$A$50000,A1384,全馬データ!$B$2:$B$50000,B1384,全馬データ!$C$2:$C$50000,C1384,全馬データ!$D$2:$D$50000,E1384)))</f>
        <v/>
      </c>
      <c r="AP1384" s="8" t="str">
        <f aca="false">IF(A1384="","",IF(AO1384="","欠損",IF(AO1384&lt;=1.1,"1.0～1.1",IF(AO1384&lt;1.3,"1.2",IF(AO1384&lt;1.5,"1.3～1.4",IF(AO1384&lt;2,"1.5～1.9","2.0以上"))))))</f>
        <v/>
      </c>
      <c r="AQ1384" s="8" t="str">
        <f aca="false">IF(A1384="","",IF(ISNUMBER(SEARCH("2歳",Z1384)),"2歳戦",IF(ISNUMBER(SEARCH("3歳未勝利",Z1384)),"3歳未勝利",IF(ISNUMBER(SEARCH("未勝利",Z1384)),"その他未勝利",IF(ISNUMBER(SEARCH("G1",Z1384)),"G1",IF(ISNUMBER(SEARCH("G2",Z1384)),"G2",IF(ISNUMBER(SEARCH("G3",Z1384)),"G3",IF(ISNUMBER(SEARCH("古馬条件",Z1384)),"古馬条件戦",IF(ISNUMBER(SEARCH("重賞",Z1384)),"重賞","分類不能")))))))))</f>
        <v/>
      </c>
    </row>
    <row r="1385" customFormat="false" ht="15.75" hidden="false" customHeight="false" outlineLevel="0" collapsed="false">
      <c r="AO1385" s="8" t="str">
        <f aca="false">IF(A1385="","",IF(COUNTIFS(全馬データ!$A$2:$A$50000,A1385,全馬データ!$B$2:$B$50000,B1385,全馬データ!$C$2:$C$50000,C1385,全馬データ!$D$2:$D$50000,E1385,全馬データ!$K$2:$K$50000,"&lt;&gt;")=0,"",SUMIFS(全馬データ!$K$2:$K$50000,全馬データ!$A$2:$A$50000,A1385,全馬データ!$B$2:$B$50000,B1385,全馬データ!$C$2:$C$50000,C1385,全馬データ!$D$2:$D$50000,E1385)))</f>
        <v/>
      </c>
      <c r="AP1385" s="8" t="str">
        <f aca="false">IF(A1385="","",IF(AO1385="","欠損",IF(AO1385&lt;=1.1,"1.0～1.1",IF(AO1385&lt;1.3,"1.2",IF(AO1385&lt;1.5,"1.3～1.4",IF(AO1385&lt;2,"1.5～1.9","2.0以上"))))))</f>
        <v/>
      </c>
      <c r="AQ1385" s="8" t="str">
        <f aca="false">IF(A1385="","",IF(ISNUMBER(SEARCH("2歳",Z1385)),"2歳戦",IF(ISNUMBER(SEARCH("3歳未勝利",Z1385)),"3歳未勝利",IF(ISNUMBER(SEARCH("未勝利",Z1385)),"その他未勝利",IF(ISNUMBER(SEARCH("G1",Z1385)),"G1",IF(ISNUMBER(SEARCH("G2",Z1385)),"G2",IF(ISNUMBER(SEARCH("G3",Z1385)),"G3",IF(ISNUMBER(SEARCH("古馬条件",Z1385)),"古馬条件戦",IF(ISNUMBER(SEARCH("重賞",Z1385)),"重賞","分類不能")))))))))</f>
        <v/>
      </c>
    </row>
    <row r="1386" customFormat="false" ht="15.75" hidden="false" customHeight="false" outlineLevel="0" collapsed="false">
      <c r="AO1386" s="8" t="str">
        <f aca="false">IF(A1386="","",IF(COUNTIFS(全馬データ!$A$2:$A$50000,A1386,全馬データ!$B$2:$B$50000,B1386,全馬データ!$C$2:$C$50000,C1386,全馬データ!$D$2:$D$50000,E1386,全馬データ!$K$2:$K$50000,"&lt;&gt;")=0,"",SUMIFS(全馬データ!$K$2:$K$50000,全馬データ!$A$2:$A$50000,A1386,全馬データ!$B$2:$B$50000,B1386,全馬データ!$C$2:$C$50000,C1386,全馬データ!$D$2:$D$50000,E1386)))</f>
        <v/>
      </c>
      <c r="AP1386" s="8" t="str">
        <f aca="false">IF(A1386="","",IF(AO1386="","欠損",IF(AO1386&lt;=1.1,"1.0～1.1",IF(AO1386&lt;1.3,"1.2",IF(AO1386&lt;1.5,"1.3～1.4",IF(AO1386&lt;2,"1.5～1.9","2.0以上"))))))</f>
        <v/>
      </c>
      <c r="AQ1386" s="8" t="str">
        <f aca="false">IF(A1386="","",IF(ISNUMBER(SEARCH("2歳",Z1386)),"2歳戦",IF(ISNUMBER(SEARCH("3歳未勝利",Z1386)),"3歳未勝利",IF(ISNUMBER(SEARCH("未勝利",Z1386)),"その他未勝利",IF(ISNUMBER(SEARCH("G1",Z1386)),"G1",IF(ISNUMBER(SEARCH("G2",Z1386)),"G2",IF(ISNUMBER(SEARCH("G3",Z1386)),"G3",IF(ISNUMBER(SEARCH("古馬条件",Z1386)),"古馬条件戦",IF(ISNUMBER(SEARCH("重賞",Z1386)),"重賞","分類不能")))))))))</f>
        <v/>
      </c>
    </row>
    <row r="1387" customFormat="false" ht="15.75" hidden="false" customHeight="false" outlineLevel="0" collapsed="false">
      <c r="AO1387" s="8" t="str">
        <f aca="false">IF(A1387="","",IF(COUNTIFS(全馬データ!$A$2:$A$50000,A1387,全馬データ!$B$2:$B$50000,B1387,全馬データ!$C$2:$C$50000,C1387,全馬データ!$D$2:$D$50000,E1387,全馬データ!$K$2:$K$50000,"&lt;&gt;")=0,"",SUMIFS(全馬データ!$K$2:$K$50000,全馬データ!$A$2:$A$50000,A1387,全馬データ!$B$2:$B$50000,B1387,全馬データ!$C$2:$C$50000,C1387,全馬データ!$D$2:$D$50000,E1387)))</f>
        <v/>
      </c>
      <c r="AP1387" s="8" t="str">
        <f aca="false">IF(A1387="","",IF(AO1387="","欠損",IF(AO1387&lt;=1.1,"1.0～1.1",IF(AO1387&lt;1.3,"1.2",IF(AO1387&lt;1.5,"1.3～1.4",IF(AO1387&lt;2,"1.5～1.9","2.0以上"))))))</f>
        <v/>
      </c>
      <c r="AQ1387" s="8" t="str">
        <f aca="false">IF(A1387="","",IF(ISNUMBER(SEARCH("2歳",Z1387)),"2歳戦",IF(ISNUMBER(SEARCH("3歳未勝利",Z1387)),"3歳未勝利",IF(ISNUMBER(SEARCH("未勝利",Z1387)),"その他未勝利",IF(ISNUMBER(SEARCH("G1",Z1387)),"G1",IF(ISNUMBER(SEARCH("G2",Z1387)),"G2",IF(ISNUMBER(SEARCH("G3",Z1387)),"G3",IF(ISNUMBER(SEARCH("古馬条件",Z1387)),"古馬条件戦",IF(ISNUMBER(SEARCH("重賞",Z1387)),"重賞","分類不能")))))))))</f>
        <v/>
      </c>
    </row>
    <row r="1388" customFormat="false" ht="15.75" hidden="false" customHeight="false" outlineLevel="0" collapsed="false">
      <c r="AO1388" s="8" t="str">
        <f aca="false">IF(A1388="","",IF(COUNTIFS(全馬データ!$A$2:$A$50000,A1388,全馬データ!$B$2:$B$50000,B1388,全馬データ!$C$2:$C$50000,C1388,全馬データ!$D$2:$D$50000,E1388,全馬データ!$K$2:$K$50000,"&lt;&gt;")=0,"",SUMIFS(全馬データ!$K$2:$K$50000,全馬データ!$A$2:$A$50000,A1388,全馬データ!$B$2:$B$50000,B1388,全馬データ!$C$2:$C$50000,C1388,全馬データ!$D$2:$D$50000,E1388)))</f>
        <v/>
      </c>
      <c r="AP1388" s="8" t="str">
        <f aca="false">IF(A1388="","",IF(AO1388="","欠損",IF(AO1388&lt;=1.1,"1.0～1.1",IF(AO1388&lt;1.3,"1.2",IF(AO1388&lt;1.5,"1.3～1.4",IF(AO1388&lt;2,"1.5～1.9","2.0以上"))))))</f>
        <v/>
      </c>
      <c r="AQ1388" s="8" t="str">
        <f aca="false">IF(A1388="","",IF(ISNUMBER(SEARCH("2歳",Z1388)),"2歳戦",IF(ISNUMBER(SEARCH("3歳未勝利",Z1388)),"3歳未勝利",IF(ISNUMBER(SEARCH("未勝利",Z1388)),"その他未勝利",IF(ISNUMBER(SEARCH("G1",Z1388)),"G1",IF(ISNUMBER(SEARCH("G2",Z1388)),"G2",IF(ISNUMBER(SEARCH("G3",Z1388)),"G3",IF(ISNUMBER(SEARCH("古馬条件",Z1388)),"古馬条件戦",IF(ISNUMBER(SEARCH("重賞",Z1388)),"重賞","分類不能")))))))))</f>
        <v/>
      </c>
    </row>
    <row r="1389" customFormat="false" ht="15.75" hidden="false" customHeight="false" outlineLevel="0" collapsed="false">
      <c r="AO1389" s="8" t="str">
        <f aca="false">IF(A1389="","",IF(COUNTIFS(全馬データ!$A$2:$A$50000,A1389,全馬データ!$B$2:$B$50000,B1389,全馬データ!$C$2:$C$50000,C1389,全馬データ!$D$2:$D$50000,E1389,全馬データ!$K$2:$K$50000,"&lt;&gt;")=0,"",SUMIFS(全馬データ!$K$2:$K$50000,全馬データ!$A$2:$A$50000,A1389,全馬データ!$B$2:$B$50000,B1389,全馬データ!$C$2:$C$50000,C1389,全馬データ!$D$2:$D$50000,E1389)))</f>
        <v/>
      </c>
      <c r="AP1389" s="8" t="str">
        <f aca="false">IF(A1389="","",IF(AO1389="","欠損",IF(AO1389&lt;=1.1,"1.0～1.1",IF(AO1389&lt;1.3,"1.2",IF(AO1389&lt;1.5,"1.3～1.4",IF(AO1389&lt;2,"1.5～1.9","2.0以上"))))))</f>
        <v/>
      </c>
      <c r="AQ1389" s="8" t="str">
        <f aca="false">IF(A1389="","",IF(ISNUMBER(SEARCH("2歳",Z1389)),"2歳戦",IF(ISNUMBER(SEARCH("3歳未勝利",Z1389)),"3歳未勝利",IF(ISNUMBER(SEARCH("未勝利",Z1389)),"その他未勝利",IF(ISNUMBER(SEARCH("G1",Z1389)),"G1",IF(ISNUMBER(SEARCH("G2",Z1389)),"G2",IF(ISNUMBER(SEARCH("G3",Z1389)),"G3",IF(ISNUMBER(SEARCH("古馬条件",Z1389)),"古馬条件戦",IF(ISNUMBER(SEARCH("重賞",Z1389)),"重賞","分類不能")))))))))</f>
        <v/>
      </c>
    </row>
    <row r="1390" customFormat="false" ht="15.75" hidden="false" customHeight="false" outlineLevel="0" collapsed="false">
      <c r="AO1390" s="8" t="str">
        <f aca="false">IF(A1390="","",IF(COUNTIFS(全馬データ!$A$2:$A$50000,A1390,全馬データ!$B$2:$B$50000,B1390,全馬データ!$C$2:$C$50000,C1390,全馬データ!$D$2:$D$50000,E1390,全馬データ!$K$2:$K$50000,"&lt;&gt;")=0,"",SUMIFS(全馬データ!$K$2:$K$50000,全馬データ!$A$2:$A$50000,A1390,全馬データ!$B$2:$B$50000,B1390,全馬データ!$C$2:$C$50000,C1390,全馬データ!$D$2:$D$50000,E1390)))</f>
        <v/>
      </c>
      <c r="AP1390" s="8" t="str">
        <f aca="false">IF(A1390="","",IF(AO1390="","欠損",IF(AO1390&lt;=1.1,"1.0～1.1",IF(AO1390&lt;1.3,"1.2",IF(AO1390&lt;1.5,"1.3～1.4",IF(AO1390&lt;2,"1.5～1.9","2.0以上"))))))</f>
        <v/>
      </c>
      <c r="AQ1390" s="8" t="str">
        <f aca="false">IF(A1390="","",IF(ISNUMBER(SEARCH("2歳",Z1390)),"2歳戦",IF(ISNUMBER(SEARCH("3歳未勝利",Z1390)),"3歳未勝利",IF(ISNUMBER(SEARCH("未勝利",Z1390)),"その他未勝利",IF(ISNUMBER(SEARCH("G1",Z1390)),"G1",IF(ISNUMBER(SEARCH("G2",Z1390)),"G2",IF(ISNUMBER(SEARCH("G3",Z1390)),"G3",IF(ISNUMBER(SEARCH("古馬条件",Z1390)),"古馬条件戦",IF(ISNUMBER(SEARCH("重賞",Z1390)),"重賞","分類不能")))))))))</f>
        <v/>
      </c>
    </row>
    <row r="1391" customFormat="false" ht="15.75" hidden="false" customHeight="false" outlineLevel="0" collapsed="false">
      <c r="AO1391" s="8" t="str">
        <f aca="false">IF(A1391="","",IF(COUNTIFS(全馬データ!$A$2:$A$50000,A1391,全馬データ!$B$2:$B$50000,B1391,全馬データ!$C$2:$C$50000,C1391,全馬データ!$D$2:$D$50000,E1391,全馬データ!$K$2:$K$50000,"&lt;&gt;")=0,"",SUMIFS(全馬データ!$K$2:$K$50000,全馬データ!$A$2:$A$50000,A1391,全馬データ!$B$2:$B$50000,B1391,全馬データ!$C$2:$C$50000,C1391,全馬データ!$D$2:$D$50000,E1391)))</f>
        <v/>
      </c>
      <c r="AP1391" s="8" t="str">
        <f aca="false">IF(A1391="","",IF(AO1391="","欠損",IF(AO1391&lt;=1.1,"1.0～1.1",IF(AO1391&lt;1.3,"1.2",IF(AO1391&lt;1.5,"1.3～1.4",IF(AO1391&lt;2,"1.5～1.9","2.0以上"))))))</f>
        <v/>
      </c>
      <c r="AQ1391" s="8" t="str">
        <f aca="false">IF(A1391="","",IF(ISNUMBER(SEARCH("2歳",Z1391)),"2歳戦",IF(ISNUMBER(SEARCH("3歳未勝利",Z1391)),"3歳未勝利",IF(ISNUMBER(SEARCH("未勝利",Z1391)),"その他未勝利",IF(ISNUMBER(SEARCH("G1",Z1391)),"G1",IF(ISNUMBER(SEARCH("G2",Z1391)),"G2",IF(ISNUMBER(SEARCH("G3",Z1391)),"G3",IF(ISNUMBER(SEARCH("古馬条件",Z1391)),"古馬条件戦",IF(ISNUMBER(SEARCH("重賞",Z1391)),"重賞","分類不能")))))))))</f>
        <v/>
      </c>
    </row>
    <row r="1392" customFormat="false" ht="15.75" hidden="false" customHeight="false" outlineLevel="0" collapsed="false">
      <c r="AO1392" s="8" t="str">
        <f aca="false">IF(A1392="","",IF(COUNTIFS(全馬データ!$A$2:$A$50000,A1392,全馬データ!$B$2:$B$50000,B1392,全馬データ!$C$2:$C$50000,C1392,全馬データ!$D$2:$D$50000,E1392,全馬データ!$K$2:$K$50000,"&lt;&gt;")=0,"",SUMIFS(全馬データ!$K$2:$K$50000,全馬データ!$A$2:$A$50000,A1392,全馬データ!$B$2:$B$50000,B1392,全馬データ!$C$2:$C$50000,C1392,全馬データ!$D$2:$D$50000,E1392)))</f>
        <v/>
      </c>
      <c r="AP1392" s="8" t="str">
        <f aca="false">IF(A1392="","",IF(AO1392="","欠損",IF(AO1392&lt;=1.1,"1.0～1.1",IF(AO1392&lt;1.3,"1.2",IF(AO1392&lt;1.5,"1.3～1.4",IF(AO1392&lt;2,"1.5～1.9","2.0以上"))))))</f>
        <v/>
      </c>
      <c r="AQ1392" s="8" t="str">
        <f aca="false">IF(A1392="","",IF(ISNUMBER(SEARCH("2歳",Z1392)),"2歳戦",IF(ISNUMBER(SEARCH("3歳未勝利",Z1392)),"3歳未勝利",IF(ISNUMBER(SEARCH("未勝利",Z1392)),"その他未勝利",IF(ISNUMBER(SEARCH("G1",Z1392)),"G1",IF(ISNUMBER(SEARCH("G2",Z1392)),"G2",IF(ISNUMBER(SEARCH("G3",Z1392)),"G3",IF(ISNUMBER(SEARCH("古馬条件",Z1392)),"古馬条件戦",IF(ISNUMBER(SEARCH("重賞",Z1392)),"重賞","分類不能")))))))))</f>
        <v/>
      </c>
    </row>
    <row r="1393" customFormat="false" ht="15.75" hidden="false" customHeight="false" outlineLevel="0" collapsed="false">
      <c r="AO1393" s="8" t="str">
        <f aca="false">IF(A1393="","",IF(COUNTIFS(全馬データ!$A$2:$A$50000,A1393,全馬データ!$B$2:$B$50000,B1393,全馬データ!$C$2:$C$50000,C1393,全馬データ!$D$2:$D$50000,E1393,全馬データ!$K$2:$K$50000,"&lt;&gt;")=0,"",SUMIFS(全馬データ!$K$2:$K$50000,全馬データ!$A$2:$A$50000,A1393,全馬データ!$B$2:$B$50000,B1393,全馬データ!$C$2:$C$50000,C1393,全馬データ!$D$2:$D$50000,E1393)))</f>
        <v/>
      </c>
      <c r="AP1393" s="8" t="str">
        <f aca="false">IF(A1393="","",IF(AO1393="","欠損",IF(AO1393&lt;=1.1,"1.0～1.1",IF(AO1393&lt;1.3,"1.2",IF(AO1393&lt;1.5,"1.3～1.4",IF(AO1393&lt;2,"1.5～1.9","2.0以上"))))))</f>
        <v/>
      </c>
      <c r="AQ1393" s="8" t="str">
        <f aca="false">IF(A1393="","",IF(ISNUMBER(SEARCH("2歳",Z1393)),"2歳戦",IF(ISNUMBER(SEARCH("3歳未勝利",Z1393)),"3歳未勝利",IF(ISNUMBER(SEARCH("未勝利",Z1393)),"その他未勝利",IF(ISNUMBER(SEARCH("G1",Z1393)),"G1",IF(ISNUMBER(SEARCH("G2",Z1393)),"G2",IF(ISNUMBER(SEARCH("G3",Z1393)),"G3",IF(ISNUMBER(SEARCH("古馬条件",Z1393)),"古馬条件戦",IF(ISNUMBER(SEARCH("重賞",Z1393)),"重賞","分類不能")))))))))</f>
        <v/>
      </c>
    </row>
    <row r="1394" customFormat="false" ht="15.75" hidden="false" customHeight="false" outlineLevel="0" collapsed="false">
      <c r="AO1394" s="8" t="str">
        <f aca="false">IF(A1394="","",IF(COUNTIFS(全馬データ!$A$2:$A$50000,A1394,全馬データ!$B$2:$B$50000,B1394,全馬データ!$C$2:$C$50000,C1394,全馬データ!$D$2:$D$50000,E1394,全馬データ!$K$2:$K$50000,"&lt;&gt;")=0,"",SUMIFS(全馬データ!$K$2:$K$50000,全馬データ!$A$2:$A$50000,A1394,全馬データ!$B$2:$B$50000,B1394,全馬データ!$C$2:$C$50000,C1394,全馬データ!$D$2:$D$50000,E1394)))</f>
        <v/>
      </c>
      <c r="AP1394" s="8" t="str">
        <f aca="false">IF(A1394="","",IF(AO1394="","欠損",IF(AO1394&lt;=1.1,"1.0～1.1",IF(AO1394&lt;1.3,"1.2",IF(AO1394&lt;1.5,"1.3～1.4",IF(AO1394&lt;2,"1.5～1.9","2.0以上"))))))</f>
        <v/>
      </c>
      <c r="AQ1394" s="8" t="str">
        <f aca="false">IF(A1394="","",IF(ISNUMBER(SEARCH("2歳",Z1394)),"2歳戦",IF(ISNUMBER(SEARCH("3歳未勝利",Z1394)),"3歳未勝利",IF(ISNUMBER(SEARCH("未勝利",Z1394)),"その他未勝利",IF(ISNUMBER(SEARCH("G1",Z1394)),"G1",IF(ISNUMBER(SEARCH("G2",Z1394)),"G2",IF(ISNUMBER(SEARCH("G3",Z1394)),"G3",IF(ISNUMBER(SEARCH("古馬条件",Z1394)),"古馬条件戦",IF(ISNUMBER(SEARCH("重賞",Z1394)),"重賞","分類不能")))))))))</f>
        <v/>
      </c>
    </row>
    <row r="1395" customFormat="false" ht="15.75" hidden="false" customHeight="false" outlineLevel="0" collapsed="false">
      <c r="AO1395" s="8" t="str">
        <f aca="false">IF(A1395="","",IF(COUNTIFS(全馬データ!$A$2:$A$50000,A1395,全馬データ!$B$2:$B$50000,B1395,全馬データ!$C$2:$C$50000,C1395,全馬データ!$D$2:$D$50000,E1395,全馬データ!$K$2:$K$50000,"&lt;&gt;")=0,"",SUMIFS(全馬データ!$K$2:$K$50000,全馬データ!$A$2:$A$50000,A1395,全馬データ!$B$2:$B$50000,B1395,全馬データ!$C$2:$C$50000,C1395,全馬データ!$D$2:$D$50000,E1395)))</f>
        <v/>
      </c>
      <c r="AP1395" s="8" t="str">
        <f aca="false">IF(A1395="","",IF(AO1395="","欠損",IF(AO1395&lt;=1.1,"1.0～1.1",IF(AO1395&lt;1.3,"1.2",IF(AO1395&lt;1.5,"1.3～1.4",IF(AO1395&lt;2,"1.5～1.9","2.0以上"))))))</f>
        <v/>
      </c>
      <c r="AQ1395" s="8" t="str">
        <f aca="false">IF(A1395="","",IF(ISNUMBER(SEARCH("2歳",Z1395)),"2歳戦",IF(ISNUMBER(SEARCH("3歳未勝利",Z1395)),"3歳未勝利",IF(ISNUMBER(SEARCH("未勝利",Z1395)),"その他未勝利",IF(ISNUMBER(SEARCH("G1",Z1395)),"G1",IF(ISNUMBER(SEARCH("G2",Z1395)),"G2",IF(ISNUMBER(SEARCH("G3",Z1395)),"G3",IF(ISNUMBER(SEARCH("古馬条件",Z1395)),"古馬条件戦",IF(ISNUMBER(SEARCH("重賞",Z1395)),"重賞","分類不能")))))))))</f>
        <v/>
      </c>
    </row>
    <row r="1396" customFormat="false" ht="15.75" hidden="false" customHeight="false" outlineLevel="0" collapsed="false">
      <c r="AO1396" s="8" t="str">
        <f aca="false">IF(A1396="","",IF(COUNTIFS(全馬データ!$A$2:$A$50000,A1396,全馬データ!$B$2:$B$50000,B1396,全馬データ!$C$2:$C$50000,C1396,全馬データ!$D$2:$D$50000,E1396,全馬データ!$K$2:$K$50000,"&lt;&gt;")=0,"",SUMIFS(全馬データ!$K$2:$K$50000,全馬データ!$A$2:$A$50000,A1396,全馬データ!$B$2:$B$50000,B1396,全馬データ!$C$2:$C$50000,C1396,全馬データ!$D$2:$D$50000,E1396)))</f>
        <v/>
      </c>
      <c r="AP1396" s="8" t="str">
        <f aca="false">IF(A1396="","",IF(AO1396="","欠損",IF(AO1396&lt;=1.1,"1.0～1.1",IF(AO1396&lt;1.3,"1.2",IF(AO1396&lt;1.5,"1.3～1.4",IF(AO1396&lt;2,"1.5～1.9","2.0以上"))))))</f>
        <v/>
      </c>
      <c r="AQ1396" s="8" t="str">
        <f aca="false">IF(A1396="","",IF(ISNUMBER(SEARCH("2歳",Z1396)),"2歳戦",IF(ISNUMBER(SEARCH("3歳未勝利",Z1396)),"3歳未勝利",IF(ISNUMBER(SEARCH("未勝利",Z1396)),"その他未勝利",IF(ISNUMBER(SEARCH("G1",Z1396)),"G1",IF(ISNUMBER(SEARCH("G2",Z1396)),"G2",IF(ISNUMBER(SEARCH("G3",Z1396)),"G3",IF(ISNUMBER(SEARCH("古馬条件",Z1396)),"古馬条件戦",IF(ISNUMBER(SEARCH("重賞",Z1396)),"重賞","分類不能")))))))))</f>
        <v/>
      </c>
    </row>
    <row r="1397" customFormat="false" ht="15.75" hidden="false" customHeight="false" outlineLevel="0" collapsed="false">
      <c r="AO1397" s="8" t="str">
        <f aca="false">IF(A1397="","",IF(COUNTIFS(全馬データ!$A$2:$A$50000,A1397,全馬データ!$B$2:$B$50000,B1397,全馬データ!$C$2:$C$50000,C1397,全馬データ!$D$2:$D$50000,E1397,全馬データ!$K$2:$K$50000,"&lt;&gt;")=0,"",SUMIFS(全馬データ!$K$2:$K$50000,全馬データ!$A$2:$A$50000,A1397,全馬データ!$B$2:$B$50000,B1397,全馬データ!$C$2:$C$50000,C1397,全馬データ!$D$2:$D$50000,E1397)))</f>
        <v/>
      </c>
      <c r="AP1397" s="8" t="str">
        <f aca="false">IF(A1397="","",IF(AO1397="","欠損",IF(AO1397&lt;=1.1,"1.0～1.1",IF(AO1397&lt;1.3,"1.2",IF(AO1397&lt;1.5,"1.3～1.4",IF(AO1397&lt;2,"1.5～1.9","2.0以上"))))))</f>
        <v/>
      </c>
      <c r="AQ1397" s="8" t="str">
        <f aca="false">IF(A1397="","",IF(ISNUMBER(SEARCH("2歳",Z1397)),"2歳戦",IF(ISNUMBER(SEARCH("3歳未勝利",Z1397)),"3歳未勝利",IF(ISNUMBER(SEARCH("未勝利",Z1397)),"その他未勝利",IF(ISNUMBER(SEARCH("G1",Z1397)),"G1",IF(ISNUMBER(SEARCH("G2",Z1397)),"G2",IF(ISNUMBER(SEARCH("G3",Z1397)),"G3",IF(ISNUMBER(SEARCH("古馬条件",Z1397)),"古馬条件戦",IF(ISNUMBER(SEARCH("重賞",Z1397)),"重賞","分類不能")))))))))</f>
        <v/>
      </c>
    </row>
    <row r="1398" customFormat="false" ht="15.75" hidden="false" customHeight="false" outlineLevel="0" collapsed="false">
      <c r="AO1398" s="8" t="str">
        <f aca="false">IF(A1398="","",IF(COUNTIFS(全馬データ!$A$2:$A$50000,A1398,全馬データ!$B$2:$B$50000,B1398,全馬データ!$C$2:$C$50000,C1398,全馬データ!$D$2:$D$50000,E1398,全馬データ!$K$2:$K$50000,"&lt;&gt;")=0,"",SUMIFS(全馬データ!$K$2:$K$50000,全馬データ!$A$2:$A$50000,A1398,全馬データ!$B$2:$B$50000,B1398,全馬データ!$C$2:$C$50000,C1398,全馬データ!$D$2:$D$50000,E1398)))</f>
        <v/>
      </c>
      <c r="AP1398" s="8" t="str">
        <f aca="false">IF(A1398="","",IF(AO1398="","欠損",IF(AO1398&lt;=1.1,"1.0～1.1",IF(AO1398&lt;1.3,"1.2",IF(AO1398&lt;1.5,"1.3～1.4",IF(AO1398&lt;2,"1.5～1.9","2.0以上"))))))</f>
        <v/>
      </c>
      <c r="AQ1398" s="8" t="str">
        <f aca="false">IF(A1398="","",IF(ISNUMBER(SEARCH("2歳",Z1398)),"2歳戦",IF(ISNUMBER(SEARCH("3歳未勝利",Z1398)),"3歳未勝利",IF(ISNUMBER(SEARCH("未勝利",Z1398)),"その他未勝利",IF(ISNUMBER(SEARCH("G1",Z1398)),"G1",IF(ISNUMBER(SEARCH("G2",Z1398)),"G2",IF(ISNUMBER(SEARCH("G3",Z1398)),"G3",IF(ISNUMBER(SEARCH("古馬条件",Z1398)),"古馬条件戦",IF(ISNUMBER(SEARCH("重賞",Z1398)),"重賞","分類不能")))))))))</f>
        <v/>
      </c>
    </row>
    <row r="1399" customFormat="false" ht="15.75" hidden="false" customHeight="false" outlineLevel="0" collapsed="false">
      <c r="AO1399" s="8" t="str">
        <f aca="false">IF(A1399="","",IF(COUNTIFS(全馬データ!$A$2:$A$50000,A1399,全馬データ!$B$2:$B$50000,B1399,全馬データ!$C$2:$C$50000,C1399,全馬データ!$D$2:$D$50000,E1399,全馬データ!$K$2:$K$50000,"&lt;&gt;")=0,"",SUMIFS(全馬データ!$K$2:$K$50000,全馬データ!$A$2:$A$50000,A1399,全馬データ!$B$2:$B$50000,B1399,全馬データ!$C$2:$C$50000,C1399,全馬データ!$D$2:$D$50000,E1399)))</f>
        <v/>
      </c>
      <c r="AP1399" s="8" t="str">
        <f aca="false">IF(A1399="","",IF(AO1399="","欠損",IF(AO1399&lt;=1.1,"1.0～1.1",IF(AO1399&lt;1.3,"1.2",IF(AO1399&lt;1.5,"1.3～1.4",IF(AO1399&lt;2,"1.5～1.9","2.0以上"))))))</f>
        <v/>
      </c>
      <c r="AQ1399" s="8" t="str">
        <f aca="false">IF(A1399="","",IF(ISNUMBER(SEARCH("2歳",Z1399)),"2歳戦",IF(ISNUMBER(SEARCH("3歳未勝利",Z1399)),"3歳未勝利",IF(ISNUMBER(SEARCH("未勝利",Z1399)),"その他未勝利",IF(ISNUMBER(SEARCH("G1",Z1399)),"G1",IF(ISNUMBER(SEARCH("G2",Z1399)),"G2",IF(ISNUMBER(SEARCH("G3",Z1399)),"G3",IF(ISNUMBER(SEARCH("古馬条件",Z1399)),"古馬条件戦",IF(ISNUMBER(SEARCH("重賞",Z1399)),"重賞","分類不能")))))))))</f>
        <v/>
      </c>
    </row>
    <row r="1400" customFormat="false" ht="15.75" hidden="false" customHeight="false" outlineLevel="0" collapsed="false">
      <c r="AO1400" s="8" t="str">
        <f aca="false">IF(A1400="","",IF(COUNTIFS(全馬データ!$A$2:$A$50000,A1400,全馬データ!$B$2:$B$50000,B1400,全馬データ!$C$2:$C$50000,C1400,全馬データ!$D$2:$D$50000,E1400,全馬データ!$K$2:$K$50000,"&lt;&gt;")=0,"",SUMIFS(全馬データ!$K$2:$K$50000,全馬データ!$A$2:$A$50000,A1400,全馬データ!$B$2:$B$50000,B1400,全馬データ!$C$2:$C$50000,C1400,全馬データ!$D$2:$D$50000,E1400)))</f>
        <v/>
      </c>
      <c r="AP1400" s="8" t="str">
        <f aca="false">IF(A1400="","",IF(AO1400="","欠損",IF(AO1400&lt;=1.1,"1.0～1.1",IF(AO1400&lt;1.3,"1.2",IF(AO1400&lt;1.5,"1.3～1.4",IF(AO1400&lt;2,"1.5～1.9","2.0以上"))))))</f>
        <v/>
      </c>
      <c r="AQ1400" s="8" t="str">
        <f aca="false">IF(A1400="","",IF(ISNUMBER(SEARCH("2歳",Z1400)),"2歳戦",IF(ISNUMBER(SEARCH("3歳未勝利",Z1400)),"3歳未勝利",IF(ISNUMBER(SEARCH("未勝利",Z1400)),"その他未勝利",IF(ISNUMBER(SEARCH("G1",Z1400)),"G1",IF(ISNUMBER(SEARCH("G2",Z1400)),"G2",IF(ISNUMBER(SEARCH("G3",Z1400)),"G3",IF(ISNUMBER(SEARCH("古馬条件",Z1400)),"古馬条件戦",IF(ISNUMBER(SEARCH("重賞",Z1400)),"重賞","分類不能")))))))))</f>
        <v/>
      </c>
    </row>
    <row r="1401" customFormat="false" ht="15.75" hidden="false" customHeight="false" outlineLevel="0" collapsed="false">
      <c r="AO1401" s="8" t="str">
        <f aca="false">IF(A1401="","",IF(COUNTIFS(全馬データ!$A$2:$A$50000,A1401,全馬データ!$B$2:$B$50000,B1401,全馬データ!$C$2:$C$50000,C1401,全馬データ!$D$2:$D$50000,E1401,全馬データ!$K$2:$K$50000,"&lt;&gt;")=0,"",SUMIFS(全馬データ!$K$2:$K$50000,全馬データ!$A$2:$A$50000,A1401,全馬データ!$B$2:$B$50000,B1401,全馬データ!$C$2:$C$50000,C1401,全馬データ!$D$2:$D$50000,E1401)))</f>
        <v/>
      </c>
      <c r="AP1401" s="8" t="str">
        <f aca="false">IF(A1401="","",IF(AO1401="","欠損",IF(AO1401&lt;=1.1,"1.0～1.1",IF(AO1401&lt;1.3,"1.2",IF(AO1401&lt;1.5,"1.3～1.4",IF(AO1401&lt;2,"1.5～1.9","2.0以上"))))))</f>
        <v/>
      </c>
      <c r="AQ1401" s="8" t="str">
        <f aca="false">IF(A1401="","",IF(ISNUMBER(SEARCH("2歳",Z1401)),"2歳戦",IF(ISNUMBER(SEARCH("3歳未勝利",Z1401)),"3歳未勝利",IF(ISNUMBER(SEARCH("未勝利",Z1401)),"その他未勝利",IF(ISNUMBER(SEARCH("G1",Z1401)),"G1",IF(ISNUMBER(SEARCH("G2",Z1401)),"G2",IF(ISNUMBER(SEARCH("G3",Z1401)),"G3",IF(ISNUMBER(SEARCH("古馬条件",Z1401)),"古馬条件戦",IF(ISNUMBER(SEARCH("重賞",Z1401)),"重賞","分類不能")))))))))</f>
        <v/>
      </c>
    </row>
    <row r="1402" customFormat="false" ht="15.75" hidden="false" customHeight="false" outlineLevel="0" collapsed="false">
      <c r="AO1402" s="8" t="str">
        <f aca="false">IF(A1402="","",IF(COUNTIFS(全馬データ!$A$2:$A$50000,A1402,全馬データ!$B$2:$B$50000,B1402,全馬データ!$C$2:$C$50000,C1402,全馬データ!$D$2:$D$50000,E1402,全馬データ!$K$2:$K$50000,"&lt;&gt;")=0,"",SUMIFS(全馬データ!$K$2:$K$50000,全馬データ!$A$2:$A$50000,A1402,全馬データ!$B$2:$B$50000,B1402,全馬データ!$C$2:$C$50000,C1402,全馬データ!$D$2:$D$50000,E1402)))</f>
        <v/>
      </c>
      <c r="AP1402" s="8" t="str">
        <f aca="false">IF(A1402="","",IF(AO1402="","欠損",IF(AO1402&lt;=1.1,"1.0～1.1",IF(AO1402&lt;1.3,"1.2",IF(AO1402&lt;1.5,"1.3～1.4",IF(AO1402&lt;2,"1.5～1.9","2.0以上"))))))</f>
        <v/>
      </c>
      <c r="AQ1402" s="8" t="str">
        <f aca="false">IF(A1402="","",IF(ISNUMBER(SEARCH("2歳",Z1402)),"2歳戦",IF(ISNUMBER(SEARCH("3歳未勝利",Z1402)),"3歳未勝利",IF(ISNUMBER(SEARCH("未勝利",Z1402)),"その他未勝利",IF(ISNUMBER(SEARCH("G1",Z1402)),"G1",IF(ISNUMBER(SEARCH("G2",Z1402)),"G2",IF(ISNUMBER(SEARCH("G3",Z1402)),"G3",IF(ISNUMBER(SEARCH("古馬条件",Z1402)),"古馬条件戦",IF(ISNUMBER(SEARCH("重賞",Z1402)),"重賞","分類不能")))))))))</f>
        <v/>
      </c>
    </row>
    <row r="1403" customFormat="false" ht="15.75" hidden="false" customHeight="false" outlineLevel="0" collapsed="false">
      <c r="AO1403" s="8" t="str">
        <f aca="false">IF(A1403="","",IF(COUNTIFS(全馬データ!$A$2:$A$50000,A1403,全馬データ!$B$2:$B$50000,B1403,全馬データ!$C$2:$C$50000,C1403,全馬データ!$D$2:$D$50000,E1403,全馬データ!$K$2:$K$50000,"&lt;&gt;")=0,"",SUMIFS(全馬データ!$K$2:$K$50000,全馬データ!$A$2:$A$50000,A1403,全馬データ!$B$2:$B$50000,B1403,全馬データ!$C$2:$C$50000,C1403,全馬データ!$D$2:$D$50000,E1403)))</f>
        <v/>
      </c>
      <c r="AP1403" s="8" t="str">
        <f aca="false">IF(A1403="","",IF(AO1403="","欠損",IF(AO1403&lt;=1.1,"1.0～1.1",IF(AO1403&lt;1.3,"1.2",IF(AO1403&lt;1.5,"1.3～1.4",IF(AO1403&lt;2,"1.5～1.9","2.0以上"))))))</f>
        <v/>
      </c>
      <c r="AQ1403" s="8" t="str">
        <f aca="false">IF(A1403="","",IF(ISNUMBER(SEARCH("2歳",Z1403)),"2歳戦",IF(ISNUMBER(SEARCH("3歳未勝利",Z1403)),"3歳未勝利",IF(ISNUMBER(SEARCH("未勝利",Z1403)),"その他未勝利",IF(ISNUMBER(SEARCH("G1",Z1403)),"G1",IF(ISNUMBER(SEARCH("G2",Z1403)),"G2",IF(ISNUMBER(SEARCH("G3",Z1403)),"G3",IF(ISNUMBER(SEARCH("古馬条件",Z1403)),"古馬条件戦",IF(ISNUMBER(SEARCH("重賞",Z1403)),"重賞","分類不能")))))))))</f>
        <v/>
      </c>
    </row>
    <row r="1404" customFormat="false" ht="15.75" hidden="false" customHeight="false" outlineLevel="0" collapsed="false">
      <c r="AO1404" s="8" t="str">
        <f aca="false">IF(A1404="","",IF(COUNTIFS(全馬データ!$A$2:$A$50000,A1404,全馬データ!$B$2:$B$50000,B1404,全馬データ!$C$2:$C$50000,C1404,全馬データ!$D$2:$D$50000,E1404,全馬データ!$K$2:$K$50000,"&lt;&gt;")=0,"",SUMIFS(全馬データ!$K$2:$K$50000,全馬データ!$A$2:$A$50000,A1404,全馬データ!$B$2:$B$50000,B1404,全馬データ!$C$2:$C$50000,C1404,全馬データ!$D$2:$D$50000,E1404)))</f>
        <v/>
      </c>
      <c r="AP1404" s="8" t="str">
        <f aca="false">IF(A1404="","",IF(AO1404="","欠損",IF(AO1404&lt;=1.1,"1.0～1.1",IF(AO1404&lt;1.3,"1.2",IF(AO1404&lt;1.5,"1.3～1.4",IF(AO1404&lt;2,"1.5～1.9","2.0以上"))))))</f>
        <v/>
      </c>
      <c r="AQ1404" s="8" t="str">
        <f aca="false">IF(A1404="","",IF(ISNUMBER(SEARCH("2歳",Z1404)),"2歳戦",IF(ISNUMBER(SEARCH("3歳未勝利",Z1404)),"3歳未勝利",IF(ISNUMBER(SEARCH("未勝利",Z1404)),"その他未勝利",IF(ISNUMBER(SEARCH("G1",Z1404)),"G1",IF(ISNUMBER(SEARCH("G2",Z1404)),"G2",IF(ISNUMBER(SEARCH("G3",Z1404)),"G3",IF(ISNUMBER(SEARCH("古馬条件",Z1404)),"古馬条件戦",IF(ISNUMBER(SEARCH("重賞",Z1404)),"重賞","分類不能")))))))))</f>
        <v/>
      </c>
    </row>
    <row r="1405" customFormat="false" ht="15.75" hidden="false" customHeight="false" outlineLevel="0" collapsed="false">
      <c r="AO1405" s="8" t="str">
        <f aca="false">IF(A1405="","",IF(COUNTIFS(全馬データ!$A$2:$A$50000,A1405,全馬データ!$B$2:$B$50000,B1405,全馬データ!$C$2:$C$50000,C1405,全馬データ!$D$2:$D$50000,E1405,全馬データ!$K$2:$K$50000,"&lt;&gt;")=0,"",SUMIFS(全馬データ!$K$2:$K$50000,全馬データ!$A$2:$A$50000,A1405,全馬データ!$B$2:$B$50000,B1405,全馬データ!$C$2:$C$50000,C1405,全馬データ!$D$2:$D$50000,E1405)))</f>
        <v/>
      </c>
      <c r="AP1405" s="8" t="str">
        <f aca="false">IF(A1405="","",IF(AO1405="","欠損",IF(AO1405&lt;=1.1,"1.0～1.1",IF(AO1405&lt;1.3,"1.2",IF(AO1405&lt;1.5,"1.3～1.4",IF(AO1405&lt;2,"1.5～1.9","2.0以上"))))))</f>
        <v/>
      </c>
      <c r="AQ1405" s="8" t="str">
        <f aca="false">IF(A1405="","",IF(ISNUMBER(SEARCH("2歳",Z1405)),"2歳戦",IF(ISNUMBER(SEARCH("3歳未勝利",Z1405)),"3歳未勝利",IF(ISNUMBER(SEARCH("未勝利",Z1405)),"その他未勝利",IF(ISNUMBER(SEARCH("G1",Z1405)),"G1",IF(ISNUMBER(SEARCH("G2",Z1405)),"G2",IF(ISNUMBER(SEARCH("G3",Z1405)),"G3",IF(ISNUMBER(SEARCH("古馬条件",Z1405)),"古馬条件戦",IF(ISNUMBER(SEARCH("重賞",Z1405)),"重賞","分類不能")))))))))</f>
        <v/>
      </c>
    </row>
    <row r="1406" customFormat="false" ht="15.75" hidden="false" customHeight="false" outlineLevel="0" collapsed="false">
      <c r="AO1406" s="8" t="str">
        <f aca="false">IF(A1406="","",IF(COUNTIFS(全馬データ!$A$2:$A$50000,A1406,全馬データ!$B$2:$B$50000,B1406,全馬データ!$C$2:$C$50000,C1406,全馬データ!$D$2:$D$50000,E1406,全馬データ!$K$2:$K$50000,"&lt;&gt;")=0,"",SUMIFS(全馬データ!$K$2:$K$50000,全馬データ!$A$2:$A$50000,A1406,全馬データ!$B$2:$B$50000,B1406,全馬データ!$C$2:$C$50000,C1406,全馬データ!$D$2:$D$50000,E1406)))</f>
        <v/>
      </c>
      <c r="AP1406" s="8" t="str">
        <f aca="false">IF(A1406="","",IF(AO1406="","欠損",IF(AO1406&lt;=1.1,"1.0～1.1",IF(AO1406&lt;1.3,"1.2",IF(AO1406&lt;1.5,"1.3～1.4",IF(AO1406&lt;2,"1.5～1.9","2.0以上"))))))</f>
        <v/>
      </c>
      <c r="AQ1406" s="8" t="str">
        <f aca="false">IF(A1406="","",IF(ISNUMBER(SEARCH("2歳",Z1406)),"2歳戦",IF(ISNUMBER(SEARCH("3歳未勝利",Z1406)),"3歳未勝利",IF(ISNUMBER(SEARCH("未勝利",Z1406)),"その他未勝利",IF(ISNUMBER(SEARCH("G1",Z1406)),"G1",IF(ISNUMBER(SEARCH("G2",Z1406)),"G2",IF(ISNUMBER(SEARCH("G3",Z1406)),"G3",IF(ISNUMBER(SEARCH("古馬条件",Z1406)),"古馬条件戦",IF(ISNUMBER(SEARCH("重賞",Z1406)),"重賞","分類不能")))))))))</f>
        <v/>
      </c>
    </row>
    <row r="1407" customFormat="false" ht="15.75" hidden="false" customHeight="false" outlineLevel="0" collapsed="false">
      <c r="AO1407" s="8" t="str">
        <f aca="false">IF(A1407="","",IF(COUNTIFS(全馬データ!$A$2:$A$50000,A1407,全馬データ!$B$2:$B$50000,B1407,全馬データ!$C$2:$C$50000,C1407,全馬データ!$D$2:$D$50000,E1407,全馬データ!$K$2:$K$50000,"&lt;&gt;")=0,"",SUMIFS(全馬データ!$K$2:$K$50000,全馬データ!$A$2:$A$50000,A1407,全馬データ!$B$2:$B$50000,B1407,全馬データ!$C$2:$C$50000,C1407,全馬データ!$D$2:$D$50000,E1407)))</f>
        <v/>
      </c>
      <c r="AP1407" s="8" t="str">
        <f aca="false">IF(A1407="","",IF(AO1407="","欠損",IF(AO1407&lt;=1.1,"1.0～1.1",IF(AO1407&lt;1.3,"1.2",IF(AO1407&lt;1.5,"1.3～1.4",IF(AO1407&lt;2,"1.5～1.9","2.0以上"))))))</f>
        <v/>
      </c>
      <c r="AQ1407" s="8" t="str">
        <f aca="false">IF(A1407="","",IF(ISNUMBER(SEARCH("2歳",Z1407)),"2歳戦",IF(ISNUMBER(SEARCH("3歳未勝利",Z1407)),"3歳未勝利",IF(ISNUMBER(SEARCH("未勝利",Z1407)),"その他未勝利",IF(ISNUMBER(SEARCH("G1",Z1407)),"G1",IF(ISNUMBER(SEARCH("G2",Z1407)),"G2",IF(ISNUMBER(SEARCH("G3",Z1407)),"G3",IF(ISNUMBER(SEARCH("古馬条件",Z1407)),"古馬条件戦",IF(ISNUMBER(SEARCH("重賞",Z1407)),"重賞","分類不能")))))))))</f>
        <v/>
      </c>
    </row>
    <row r="1408" customFormat="false" ht="15.75" hidden="false" customHeight="false" outlineLevel="0" collapsed="false">
      <c r="AO1408" s="8" t="str">
        <f aca="false">IF(A1408="","",IF(COUNTIFS(全馬データ!$A$2:$A$50000,A1408,全馬データ!$B$2:$B$50000,B1408,全馬データ!$C$2:$C$50000,C1408,全馬データ!$D$2:$D$50000,E1408,全馬データ!$K$2:$K$50000,"&lt;&gt;")=0,"",SUMIFS(全馬データ!$K$2:$K$50000,全馬データ!$A$2:$A$50000,A1408,全馬データ!$B$2:$B$50000,B1408,全馬データ!$C$2:$C$50000,C1408,全馬データ!$D$2:$D$50000,E1408)))</f>
        <v/>
      </c>
      <c r="AP1408" s="8" t="str">
        <f aca="false">IF(A1408="","",IF(AO1408="","欠損",IF(AO1408&lt;=1.1,"1.0～1.1",IF(AO1408&lt;1.3,"1.2",IF(AO1408&lt;1.5,"1.3～1.4",IF(AO1408&lt;2,"1.5～1.9","2.0以上"))))))</f>
        <v/>
      </c>
      <c r="AQ1408" s="8" t="str">
        <f aca="false">IF(A1408="","",IF(ISNUMBER(SEARCH("2歳",Z1408)),"2歳戦",IF(ISNUMBER(SEARCH("3歳未勝利",Z1408)),"3歳未勝利",IF(ISNUMBER(SEARCH("未勝利",Z1408)),"その他未勝利",IF(ISNUMBER(SEARCH("G1",Z1408)),"G1",IF(ISNUMBER(SEARCH("G2",Z1408)),"G2",IF(ISNUMBER(SEARCH("G3",Z1408)),"G3",IF(ISNUMBER(SEARCH("古馬条件",Z1408)),"古馬条件戦",IF(ISNUMBER(SEARCH("重賞",Z1408)),"重賞","分類不能")))))))))</f>
        <v/>
      </c>
    </row>
    <row r="1409" customFormat="false" ht="15.75" hidden="false" customHeight="false" outlineLevel="0" collapsed="false">
      <c r="AO1409" s="8" t="str">
        <f aca="false">IF(A1409="","",IF(COUNTIFS(全馬データ!$A$2:$A$50000,A1409,全馬データ!$B$2:$B$50000,B1409,全馬データ!$C$2:$C$50000,C1409,全馬データ!$D$2:$D$50000,E1409,全馬データ!$K$2:$K$50000,"&lt;&gt;")=0,"",SUMIFS(全馬データ!$K$2:$K$50000,全馬データ!$A$2:$A$50000,A1409,全馬データ!$B$2:$B$50000,B1409,全馬データ!$C$2:$C$50000,C1409,全馬データ!$D$2:$D$50000,E1409)))</f>
        <v/>
      </c>
      <c r="AP1409" s="8" t="str">
        <f aca="false">IF(A1409="","",IF(AO1409="","欠損",IF(AO1409&lt;=1.1,"1.0～1.1",IF(AO1409&lt;1.3,"1.2",IF(AO1409&lt;1.5,"1.3～1.4",IF(AO1409&lt;2,"1.5～1.9","2.0以上"))))))</f>
        <v/>
      </c>
      <c r="AQ1409" s="8" t="str">
        <f aca="false">IF(A1409="","",IF(ISNUMBER(SEARCH("2歳",Z1409)),"2歳戦",IF(ISNUMBER(SEARCH("3歳未勝利",Z1409)),"3歳未勝利",IF(ISNUMBER(SEARCH("未勝利",Z1409)),"その他未勝利",IF(ISNUMBER(SEARCH("G1",Z1409)),"G1",IF(ISNUMBER(SEARCH("G2",Z1409)),"G2",IF(ISNUMBER(SEARCH("G3",Z1409)),"G3",IF(ISNUMBER(SEARCH("古馬条件",Z1409)),"古馬条件戦",IF(ISNUMBER(SEARCH("重賞",Z1409)),"重賞","分類不能")))))))))</f>
        <v/>
      </c>
    </row>
    <row r="1410" customFormat="false" ht="15.75" hidden="false" customHeight="false" outlineLevel="0" collapsed="false">
      <c r="AO1410" s="8" t="str">
        <f aca="false">IF(A1410="","",IF(COUNTIFS(全馬データ!$A$2:$A$50000,A1410,全馬データ!$B$2:$B$50000,B1410,全馬データ!$C$2:$C$50000,C1410,全馬データ!$D$2:$D$50000,E1410,全馬データ!$K$2:$K$50000,"&lt;&gt;")=0,"",SUMIFS(全馬データ!$K$2:$K$50000,全馬データ!$A$2:$A$50000,A1410,全馬データ!$B$2:$B$50000,B1410,全馬データ!$C$2:$C$50000,C1410,全馬データ!$D$2:$D$50000,E1410)))</f>
        <v/>
      </c>
      <c r="AP1410" s="8" t="str">
        <f aca="false">IF(A1410="","",IF(AO1410="","欠損",IF(AO1410&lt;=1.1,"1.0～1.1",IF(AO1410&lt;1.3,"1.2",IF(AO1410&lt;1.5,"1.3～1.4",IF(AO1410&lt;2,"1.5～1.9","2.0以上"))))))</f>
        <v/>
      </c>
      <c r="AQ1410" s="8" t="str">
        <f aca="false">IF(A1410="","",IF(ISNUMBER(SEARCH("2歳",Z1410)),"2歳戦",IF(ISNUMBER(SEARCH("3歳未勝利",Z1410)),"3歳未勝利",IF(ISNUMBER(SEARCH("未勝利",Z1410)),"その他未勝利",IF(ISNUMBER(SEARCH("G1",Z1410)),"G1",IF(ISNUMBER(SEARCH("G2",Z1410)),"G2",IF(ISNUMBER(SEARCH("G3",Z1410)),"G3",IF(ISNUMBER(SEARCH("古馬条件",Z1410)),"古馬条件戦",IF(ISNUMBER(SEARCH("重賞",Z1410)),"重賞","分類不能")))))))))</f>
        <v/>
      </c>
    </row>
    <row r="1411" customFormat="false" ht="15.75" hidden="false" customHeight="false" outlineLevel="0" collapsed="false">
      <c r="AO1411" s="8" t="str">
        <f aca="false">IF(A1411="","",IF(COUNTIFS(全馬データ!$A$2:$A$50000,A1411,全馬データ!$B$2:$B$50000,B1411,全馬データ!$C$2:$C$50000,C1411,全馬データ!$D$2:$D$50000,E1411,全馬データ!$K$2:$K$50000,"&lt;&gt;")=0,"",SUMIFS(全馬データ!$K$2:$K$50000,全馬データ!$A$2:$A$50000,A1411,全馬データ!$B$2:$B$50000,B1411,全馬データ!$C$2:$C$50000,C1411,全馬データ!$D$2:$D$50000,E1411)))</f>
        <v/>
      </c>
      <c r="AP1411" s="8" t="str">
        <f aca="false">IF(A1411="","",IF(AO1411="","欠損",IF(AO1411&lt;=1.1,"1.0～1.1",IF(AO1411&lt;1.3,"1.2",IF(AO1411&lt;1.5,"1.3～1.4",IF(AO1411&lt;2,"1.5～1.9","2.0以上"))))))</f>
        <v/>
      </c>
      <c r="AQ1411" s="8" t="str">
        <f aca="false">IF(A1411="","",IF(ISNUMBER(SEARCH("2歳",Z1411)),"2歳戦",IF(ISNUMBER(SEARCH("3歳未勝利",Z1411)),"3歳未勝利",IF(ISNUMBER(SEARCH("未勝利",Z1411)),"その他未勝利",IF(ISNUMBER(SEARCH("G1",Z1411)),"G1",IF(ISNUMBER(SEARCH("G2",Z1411)),"G2",IF(ISNUMBER(SEARCH("G3",Z1411)),"G3",IF(ISNUMBER(SEARCH("古馬条件",Z1411)),"古馬条件戦",IF(ISNUMBER(SEARCH("重賞",Z1411)),"重賞","分類不能")))))))))</f>
        <v/>
      </c>
    </row>
    <row r="1412" customFormat="false" ht="15.75" hidden="false" customHeight="false" outlineLevel="0" collapsed="false">
      <c r="AO1412" s="8" t="str">
        <f aca="false">IF(A1412="","",IF(COUNTIFS(全馬データ!$A$2:$A$50000,A1412,全馬データ!$B$2:$B$50000,B1412,全馬データ!$C$2:$C$50000,C1412,全馬データ!$D$2:$D$50000,E1412,全馬データ!$K$2:$K$50000,"&lt;&gt;")=0,"",SUMIFS(全馬データ!$K$2:$K$50000,全馬データ!$A$2:$A$50000,A1412,全馬データ!$B$2:$B$50000,B1412,全馬データ!$C$2:$C$50000,C1412,全馬データ!$D$2:$D$50000,E1412)))</f>
        <v/>
      </c>
      <c r="AP1412" s="8" t="str">
        <f aca="false">IF(A1412="","",IF(AO1412="","欠損",IF(AO1412&lt;=1.1,"1.0～1.1",IF(AO1412&lt;1.3,"1.2",IF(AO1412&lt;1.5,"1.3～1.4",IF(AO1412&lt;2,"1.5～1.9","2.0以上"))))))</f>
        <v/>
      </c>
      <c r="AQ1412" s="8" t="str">
        <f aca="false">IF(A1412="","",IF(ISNUMBER(SEARCH("2歳",Z1412)),"2歳戦",IF(ISNUMBER(SEARCH("3歳未勝利",Z1412)),"3歳未勝利",IF(ISNUMBER(SEARCH("未勝利",Z1412)),"その他未勝利",IF(ISNUMBER(SEARCH("G1",Z1412)),"G1",IF(ISNUMBER(SEARCH("G2",Z1412)),"G2",IF(ISNUMBER(SEARCH("G3",Z1412)),"G3",IF(ISNUMBER(SEARCH("古馬条件",Z1412)),"古馬条件戦",IF(ISNUMBER(SEARCH("重賞",Z1412)),"重賞","分類不能")))))))))</f>
        <v/>
      </c>
    </row>
    <row r="1413" customFormat="false" ht="15.75" hidden="false" customHeight="false" outlineLevel="0" collapsed="false">
      <c r="AO1413" s="8" t="str">
        <f aca="false">IF(A1413="","",IF(COUNTIFS(全馬データ!$A$2:$A$50000,A1413,全馬データ!$B$2:$B$50000,B1413,全馬データ!$C$2:$C$50000,C1413,全馬データ!$D$2:$D$50000,E1413,全馬データ!$K$2:$K$50000,"&lt;&gt;")=0,"",SUMIFS(全馬データ!$K$2:$K$50000,全馬データ!$A$2:$A$50000,A1413,全馬データ!$B$2:$B$50000,B1413,全馬データ!$C$2:$C$50000,C1413,全馬データ!$D$2:$D$50000,E1413)))</f>
        <v/>
      </c>
      <c r="AP1413" s="8" t="str">
        <f aca="false">IF(A1413="","",IF(AO1413="","欠損",IF(AO1413&lt;=1.1,"1.0～1.1",IF(AO1413&lt;1.3,"1.2",IF(AO1413&lt;1.5,"1.3～1.4",IF(AO1413&lt;2,"1.5～1.9","2.0以上"))))))</f>
        <v/>
      </c>
      <c r="AQ1413" s="8" t="str">
        <f aca="false">IF(A1413="","",IF(ISNUMBER(SEARCH("2歳",Z1413)),"2歳戦",IF(ISNUMBER(SEARCH("3歳未勝利",Z1413)),"3歳未勝利",IF(ISNUMBER(SEARCH("未勝利",Z1413)),"その他未勝利",IF(ISNUMBER(SEARCH("G1",Z1413)),"G1",IF(ISNUMBER(SEARCH("G2",Z1413)),"G2",IF(ISNUMBER(SEARCH("G3",Z1413)),"G3",IF(ISNUMBER(SEARCH("古馬条件",Z1413)),"古馬条件戦",IF(ISNUMBER(SEARCH("重賞",Z1413)),"重賞","分類不能")))))))))</f>
        <v/>
      </c>
    </row>
    <row r="1414" customFormat="false" ht="15.75" hidden="false" customHeight="false" outlineLevel="0" collapsed="false">
      <c r="AO1414" s="8" t="str">
        <f aca="false">IF(A1414="","",IF(COUNTIFS(全馬データ!$A$2:$A$50000,A1414,全馬データ!$B$2:$B$50000,B1414,全馬データ!$C$2:$C$50000,C1414,全馬データ!$D$2:$D$50000,E1414,全馬データ!$K$2:$K$50000,"&lt;&gt;")=0,"",SUMIFS(全馬データ!$K$2:$K$50000,全馬データ!$A$2:$A$50000,A1414,全馬データ!$B$2:$B$50000,B1414,全馬データ!$C$2:$C$50000,C1414,全馬データ!$D$2:$D$50000,E1414)))</f>
        <v/>
      </c>
      <c r="AP1414" s="8" t="str">
        <f aca="false">IF(A1414="","",IF(AO1414="","欠損",IF(AO1414&lt;=1.1,"1.0～1.1",IF(AO1414&lt;1.3,"1.2",IF(AO1414&lt;1.5,"1.3～1.4",IF(AO1414&lt;2,"1.5～1.9","2.0以上"))))))</f>
        <v/>
      </c>
      <c r="AQ1414" s="8" t="str">
        <f aca="false">IF(A1414="","",IF(ISNUMBER(SEARCH("2歳",Z1414)),"2歳戦",IF(ISNUMBER(SEARCH("3歳未勝利",Z1414)),"3歳未勝利",IF(ISNUMBER(SEARCH("未勝利",Z1414)),"その他未勝利",IF(ISNUMBER(SEARCH("G1",Z1414)),"G1",IF(ISNUMBER(SEARCH("G2",Z1414)),"G2",IF(ISNUMBER(SEARCH("G3",Z1414)),"G3",IF(ISNUMBER(SEARCH("古馬条件",Z1414)),"古馬条件戦",IF(ISNUMBER(SEARCH("重賞",Z1414)),"重賞","分類不能")))))))))</f>
        <v/>
      </c>
    </row>
    <row r="1415" customFormat="false" ht="15.75" hidden="false" customHeight="false" outlineLevel="0" collapsed="false">
      <c r="AO1415" s="8" t="str">
        <f aca="false">IF(A1415="","",IF(COUNTIFS(全馬データ!$A$2:$A$50000,A1415,全馬データ!$B$2:$B$50000,B1415,全馬データ!$C$2:$C$50000,C1415,全馬データ!$D$2:$D$50000,E1415,全馬データ!$K$2:$K$50000,"&lt;&gt;")=0,"",SUMIFS(全馬データ!$K$2:$K$50000,全馬データ!$A$2:$A$50000,A1415,全馬データ!$B$2:$B$50000,B1415,全馬データ!$C$2:$C$50000,C1415,全馬データ!$D$2:$D$50000,E1415)))</f>
        <v/>
      </c>
      <c r="AP1415" s="8" t="str">
        <f aca="false">IF(A1415="","",IF(AO1415="","欠損",IF(AO1415&lt;=1.1,"1.0～1.1",IF(AO1415&lt;1.3,"1.2",IF(AO1415&lt;1.5,"1.3～1.4",IF(AO1415&lt;2,"1.5～1.9","2.0以上"))))))</f>
        <v/>
      </c>
      <c r="AQ1415" s="8" t="str">
        <f aca="false">IF(A1415="","",IF(ISNUMBER(SEARCH("2歳",Z1415)),"2歳戦",IF(ISNUMBER(SEARCH("3歳未勝利",Z1415)),"3歳未勝利",IF(ISNUMBER(SEARCH("未勝利",Z1415)),"その他未勝利",IF(ISNUMBER(SEARCH("G1",Z1415)),"G1",IF(ISNUMBER(SEARCH("G2",Z1415)),"G2",IF(ISNUMBER(SEARCH("G3",Z1415)),"G3",IF(ISNUMBER(SEARCH("古馬条件",Z1415)),"古馬条件戦",IF(ISNUMBER(SEARCH("重賞",Z1415)),"重賞","分類不能")))))))))</f>
        <v/>
      </c>
    </row>
    <row r="1416" customFormat="false" ht="15.75" hidden="false" customHeight="false" outlineLevel="0" collapsed="false">
      <c r="AO1416" s="8" t="str">
        <f aca="false">IF(A1416="","",IF(COUNTIFS(全馬データ!$A$2:$A$50000,A1416,全馬データ!$B$2:$B$50000,B1416,全馬データ!$C$2:$C$50000,C1416,全馬データ!$D$2:$D$50000,E1416,全馬データ!$K$2:$K$50000,"&lt;&gt;")=0,"",SUMIFS(全馬データ!$K$2:$K$50000,全馬データ!$A$2:$A$50000,A1416,全馬データ!$B$2:$B$50000,B1416,全馬データ!$C$2:$C$50000,C1416,全馬データ!$D$2:$D$50000,E1416)))</f>
        <v/>
      </c>
      <c r="AP1416" s="8" t="str">
        <f aca="false">IF(A1416="","",IF(AO1416="","欠損",IF(AO1416&lt;=1.1,"1.0～1.1",IF(AO1416&lt;1.3,"1.2",IF(AO1416&lt;1.5,"1.3～1.4",IF(AO1416&lt;2,"1.5～1.9","2.0以上"))))))</f>
        <v/>
      </c>
      <c r="AQ1416" s="8" t="str">
        <f aca="false">IF(A1416="","",IF(ISNUMBER(SEARCH("2歳",Z1416)),"2歳戦",IF(ISNUMBER(SEARCH("3歳未勝利",Z1416)),"3歳未勝利",IF(ISNUMBER(SEARCH("未勝利",Z1416)),"その他未勝利",IF(ISNUMBER(SEARCH("G1",Z1416)),"G1",IF(ISNUMBER(SEARCH("G2",Z1416)),"G2",IF(ISNUMBER(SEARCH("G3",Z1416)),"G3",IF(ISNUMBER(SEARCH("古馬条件",Z1416)),"古馬条件戦",IF(ISNUMBER(SEARCH("重賞",Z1416)),"重賞","分類不能")))))))))</f>
        <v/>
      </c>
    </row>
    <row r="1417" customFormat="false" ht="15.75" hidden="false" customHeight="false" outlineLevel="0" collapsed="false">
      <c r="AO1417" s="8" t="str">
        <f aca="false">IF(A1417="","",IF(COUNTIFS(全馬データ!$A$2:$A$50000,A1417,全馬データ!$B$2:$B$50000,B1417,全馬データ!$C$2:$C$50000,C1417,全馬データ!$D$2:$D$50000,E1417,全馬データ!$K$2:$K$50000,"&lt;&gt;")=0,"",SUMIFS(全馬データ!$K$2:$K$50000,全馬データ!$A$2:$A$50000,A1417,全馬データ!$B$2:$B$50000,B1417,全馬データ!$C$2:$C$50000,C1417,全馬データ!$D$2:$D$50000,E1417)))</f>
        <v/>
      </c>
      <c r="AP1417" s="8" t="str">
        <f aca="false">IF(A1417="","",IF(AO1417="","欠損",IF(AO1417&lt;=1.1,"1.0～1.1",IF(AO1417&lt;1.3,"1.2",IF(AO1417&lt;1.5,"1.3～1.4",IF(AO1417&lt;2,"1.5～1.9","2.0以上"))))))</f>
        <v/>
      </c>
      <c r="AQ1417" s="8" t="str">
        <f aca="false">IF(A1417="","",IF(ISNUMBER(SEARCH("2歳",Z1417)),"2歳戦",IF(ISNUMBER(SEARCH("3歳未勝利",Z1417)),"3歳未勝利",IF(ISNUMBER(SEARCH("未勝利",Z1417)),"その他未勝利",IF(ISNUMBER(SEARCH("G1",Z1417)),"G1",IF(ISNUMBER(SEARCH("G2",Z1417)),"G2",IF(ISNUMBER(SEARCH("G3",Z1417)),"G3",IF(ISNUMBER(SEARCH("古馬条件",Z1417)),"古馬条件戦",IF(ISNUMBER(SEARCH("重賞",Z1417)),"重賞","分類不能")))))))))</f>
        <v/>
      </c>
    </row>
    <row r="1418" customFormat="false" ht="15.75" hidden="false" customHeight="false" outlineLevel="0" collapsed="false">
      <c r="AO1418" s="8" t="str">
        <f aca="false">IF(A1418="","",IF(COUNTIFS(全馬データ!$A$2:$A$50000,A1418,全馬データ!$B$2:$B$50000,B1418,全馬データ!$C$2:$C$50000,C1418,全馬データ!$D$2:$D$50000,E1418,全馬データ!$K$2:$K$50000,"&lt;&gt;")=0,"",SUMIFS(全馬データ!$K$2:$K$50000,全馬データ!$A$2:$A$50000,A1418,全馬データ!$B$2:$B$50000,B1418,全馬データ!$C$2:$C$50000,C1418,全馬データ!$D$2:$D$50000,E1418)))</f>
        <v/>
      </c>
      <c r="AP1418" s="8" t="str">
        <f aca="false">IF(A1418="","",IF(AO1418="","欠損",IF(AO1418&lt;=1.1,"1.0～1.1",IF(AO1418&lt;1.3,"1.2",IF(AO1418&lt;1.5,"1.3～1.4",IF(AO1418&lt;2,"1.5～1.9","2.0以上"))))))</f>
        <v/>
      </c>
      <c r="AQ1418" s="8" t="str">
        <f aca="false">IF(A1418="","",IF(ISNUMBER(SEARCH("2歳",Z1418)),"2歳戦",IF(ISNUMBER(SEARCH("3歳未勝利",Z1418)),"3歳未勝利",IF(ISNUMBER(SEARCH("未勝利",Z1418)),"その他未勝利",IF(ISNUMBER(SEARCH("G1",Z1418)),"G1",IF(ISNUMBER(SEARCH("G2",Z1418)),"G2",IF(ISNUMBER(SEARCH("G3",Z1418)),"G3",IF(ISNUMBER(SEARCH("古馬条件",Z1418)),"古馬条件戦",IF(ISNUMBER(SEARCH("重賞",Z1418)),"重賞","分類不能")))))))))</f>
        <v/>
      </c>
    </row>
    <row r="1419" customFormat="false" ht="15.75" hidden="false" customHeight="false" outlineLevel="0" collapsed="false">
      <c r="AO1419" s="8" t="str">
        <f aca="false">IF(A1419="","",IF(COUNTIFS(全馬データ!$A$2:$A$50000,A1419,全馬データ!$B$2:$B$50000,B1419,全馬データ!$C$2:$C$50000,C1419,全馬データ!$D$2:$D$50000,E1419,全馬データ!$K$2:$K$50000,"&lt;&gt;")=0,"",SUMIFS(全馬データ!$K$2:$K$50000,全馬データ!$A$2:$A$50000,A1419,全馬データ!$B$2:$B$50000,B1419,全馬データ!$C$2:$C$50000,C1419,全馬データ!$D$2:$D$50000,E1419)))</f>
        <v/>
      </c>
      <c r="AP1419" s="8" t="str">
        <f aca="false">IF(A1419="","",IF(AO1419="","欠損",IF(AO1419&lt;=1.1,"1.0～1.1",IF(AO1419&lt;1.3,"1.2",IF(AO1419&lt;1.5,"1.3～1.4",IF(AO1419&lt;2,"1.5～1.9","2.0以上"))))))</f>
        <v/>
      </c>
      <c r="AQ1419" s="8" t="str">
        <f aca="false">IF(A1419="","",IF(ISNUMBER(SEARCH("2歳",Z1419)),"2歳戦",IF(ISNUMBER(SEARCH("3歳未勝利",Z1419)),"3歳未勝利",IF(ISNUMBER(SEARCH("未勝利",Z1419)),"その他未勝利",IF(ISNUMBER(SEARCH("G1",Z1419)),"G1",IF(ISNUMBER(SEARCH("G2",Z1419)),"G2",IF(ISNUMBER(SEARCH("G3",Z1419)),"G3",IF(ISNUMBER(SEARCH("古馬条件",Z1419)),"古馬条件戦",IF(ISNUMBER(SEARCH("重賞",Z1419)),"重賞","分類不能")))))))))</f>
        <v/>
      </c>
    </row>
    <row r="1420" customFormat="false" ht="15.75" hidden="false" customHeight="false" outlineLevel="0" collapsed="false">
      <c r="AO1420" s="8" t="str">
        <f aca="false">IF(A1420="","",IF(COUNTIFS(全馬データ!$A$2:$A$50000,A1420,全馬データ!$B$2:$B$50000,B1420,全馬データ!$C$2:$C$50000,C1420,全馬データ!$D$2:$D$50000,E1420,全馬データ!$K$2:$K$50000,"&lt;&gt;")=0,"",SUMIFS(全馬データ!$K$2:$K$50000,全馬データ!$A$2:$A$50000,A1420,全馬データ!$B$2:$B$50000,B1420,全馬データ!$C$2:$C$50000,C1420,全馬データ!$D$2:$D$50000,E1420)))</f>
        <v/>
      </c>
      <c r="AP1420" s="8" t="str">
        <f aca="false">IF(A1420="","",IF(AO1420="","欠損",IF(AO1420&lt;=1.1,"1.0～1.1",IF(AO1420&lt;1.3,"1.2",IF(AO1420&lt;1.5,"1.3～1.4",IF(AO1420&lt;2,"1.5～1.9","2.0以上"))))))</f>
        <v/>
      </c>
      <c r="AQ1420" s="8" t="str">
        <f aca="false">IF(A1420="","",IF(ISNUMBER(SEARCH("2歳",Z1420)),"2歳戦",IF(ISNUMBER(SEARCH("3歳未勝利",Z1420)),"3歳未勝利",IF(ISNUMBER(SEARCH("未勝利",Z1420)),"その他未勝利",IF(ISNUMBER(SEARCH("G1",Z1420)),"G1",IF(ISNUMBER(SEARCH("G2",Z1420)),"G2",IF(ISNUMBER(SEARCH("G3",Z1420)),"G3",IF(ISNUMBER(SEARCH("古馬条件",Z1420)),"古馬条件戦",IF(ISNUMBER(SEARCH("重賞",Z1420)),"重賞","分類不能")))))))))</f>
        <v/>
      </c>
    </row>
    <row r="1421" customFormat="false" ht="15.75" hidden="false" customHeight="false" outlineLevel="0" collapsed="false">
      <c r="AO1421" s="8" t="str">
        <f aca="false">IF(A1421="","",IF(COUNTIFS(全馬データ!$A$2:$A$50000,A1421,全馬データ!$B$2:$B$50000,B1421,全馬データ!$C$2:$C$50000,C1421,全馬データ!$D$2:$D$50000,E1421,全馬データ!$K$2:$K$50000,"&lt;&gt;")=0,"",SUMIFS(全馬データ!$K$2:$K$50000,全馬データ!$A$2:$A$50000,A1421,全馬データ!$B$2:$B$50000,B1421,全馬データ!$C$2:$C$50000,C1421,全馬データ!$D$2:$D$50000,E1421)))</f>
        <v/>
      </c>
      <c r="AP1421" s="8" t="str">
        <f aca="false">IF(A1421="","",IF(AO1421="","欠損",IF(AO1421&lt;=1.1,"1.0～1.1",IF(AO1421&lt;1.3,"1.2",IF(AO1421&lt;1.5,"1.3～1.4",IF(AO1421&lt;2,"1.5～1.9","2.0以上"))))))</f>
        <v/>
      </c>
      <c r="AQ1421" s="8" t="str">
        <f aca="false">IF(A1421="","",IF(ISNUMBER(SEARCH("2歳",Z1421)),"2歳戦",IF(ISNUMBER(SEARCH("3歳未勝利",Z1421)),"3歳未勝利",IF(ISNUMBER(SEARCH("未勝利",Z1421)),"その他未勝利",IF(ISNUMBER(SEARCH("G1",Z1421)),"G1",IF(ISNUMBER(SEARCH("G2",Z1421)),"G2",IF(ISNUMBER(SEARCH("G3",Z1421)),"G3",IF(ISNUMBER(SEARCH("古馬条件",Z1421)),"古馬条件戦",IF(ISNUMBER(SEARCH("重賞",Z1421)),"重賞","分類不能")))))))))</f>
        <v/>
      </c>
    </row>
    <row r="1422" customFormat="false" ht="15.75" hidden="false" customHeight="false" outlineLevel="0" collapsed="false">
      <c r="AO1422" s="8" t="str">
        <f aca="false">IF(A1422="","",IF(COUNTIFS(全馬データ!$A$2:$A$50000,A1422,全馬データ!$B$2:$B$50000,B1422,全馬データ!$C$2:$C$50000,C1422,全馬データ!$D$2:$D$50000,E1422,全馬データ!$K$2:$K$50000,"&lt;&gt;")=0,"",SUMIFS(全馬データ!$K$2:$K$50000,全馬データ!$A$2:$A$50000,A1422,全馬データ!$B$2:$B$50000,B1422,全馬データ!$C$2:$C$50000,C1422,全馬データ!$D$2:$D$50000,E1422)))</f>
        <v/>
      </c>
      <c r="AP1422" s="8" t="str">
        <f aca="false">IF(A1422="","",IF(AO1422="","欠損",IF(AO1422&lt;=1.1,"1.0～1.1",IF(AO1422&lt;1.3,"1.2",IF(AO1422&lt;1.5,"1.3～1.4",IF(AO1422&lt;2,"1.5～1.9","2.0以上"))))))</f>
        <v/>
      </c>
      <c r="AQ1422" s="8" t="str">
        <f aca="false">IF(A1422="","",IF(ISNUMBER(SEARCH("2歳",Z1422)),"2歳戦",IF(ISNUMBER(SEARCH("3歳未勝利",Z1422)),"3歳未勝利",IF(ISNUMBER(SEARCH("未勝利",Z1422)),"その他未勝利",IF(ISNUMBER(SEARCH("G1",Z1422)),"G1",IF(ISNUMBER(SEARCH("G2",Z1422)),"G2",IF(ISNUMBER(SEARCH("G3",Z1422)),"G3",IF(ISNUMBER(SEARCH("古馬条件",Z1422)),"古馬条件戦",IF(ISNUMBER(SEARCH("重賞",Z1422)),"重賞","分類不能")))))))))</f>
        <v/>
      </c>
    </row>
    <row r="1423" customFormat="false" ht="15.75" hidden="false" customHeight="false" outlineLevel="0" collapsed="false">
      <c r="AO1423" s="8" t="str">
        <f aca="false">IF(A1423="","",IF(COUNTIFS(全馬データ!$A$2:$A$50000,A1423,全馬データ!$B$2:$B$50000,B1423,全馬データ!$C$2:$C$50000,C1423,全馬データ!$D$2:$D$50000,E1423,全馬データ!$K$2:$K$50000,"&lt;&gt;")=0,"",SUMIFS(全馬データ!$K$2:$K$50000,全馬データ!$A$2:$A$50000,A1423,全馬データ!$B$2:$B$50000,B1423,全馬データ!$C$2:$C$50000,C1423,全馬データ!$D$2:$D$50000,E1423)))</f>
        <v/>
      </c>
      <c r="AP1423" s="8" t="str">
        <f aca="false">IF(A1423="","",IF(AO1423="","欠損",IF(AO1423&lt;=1.1,"1.0～1.1",IF(AO1423&lt;1.3,"1.2",IF(AO1423&lt;1.5,"1.3～1.4",IF(AO1423&lt;2,"1.5～1.9","2.0以上"))))))</f>
        <v/>
      </c>
      <c r="AQ1423" s="8" t="str">
        <f aca="false">IF(A1423="","",IF(ISNUMBER(SEARCH("2歳",Z1423)),"2歳戦",IF(ISNUMBER(SEARCH("3歳未勝利",Z1423)),"3歳未勝利",IF(ISNUMBER(SEARCH("未勝利",Z1423)),"その他未勝利",IF(ISNUMBER(SEARCH("G1",Z1423)),"G1",IF(ISNUMBER(SEARCH("G2",Z1423)),"G2",IF(ISNUMBER(SEARCH("G3",Z1423)),"G3",IF(ISNUMBER(SEARCH("古馬条件",Z1423)),"古馬条件戦",IF(ISNUMBER(SEARCH("重賞",Z1423)),"重賞","分類不能")))))))))</f>
        <v/>
      </c>
    </row>
    <row r="1424" customFormat="false" ht="15.75" hidden="false" customHeight="false" outlineLevel="0" collapsed="false">
      <c r="AO1424" s="8" t="str">
        <f aca="false">IF(A1424="","",IF(COUNTIFS(全馬データ!$A$2:$A$50000,A1424,全馬データ!$B$2:$B$50000,B1424,全馬データ!$C$2:$C$50000,C1424,全馬データ!$D$2:$D$50000,E1424,全馬データ!$K$2:$K$50000,"&lt;&gt;")=0,"",SUMIFS(全馬データ!$K$2:$K$50000,全馬データ!$A$2:$A$50000,A1424,全馬データ!$B$2:$B$50000,B1424,全馬データ!$C$2:$C$50000,C1424,全馬データ!$D$2:$D$50000,E1424)))</f>
        <v/>
      </c>
      <c r="AP1424" s="8" t="str">
        <f aca="false">IF(A1424="","",IF(AO1424="","欠損",IF(AO1424&lt;=1.1,"1.0～1.1",IF(AO1424&lt;1.3,"1.2",IF(AO1424&lt;1.5,"1.3～1.4",IF(AO1424&lt;2,"1.5～1.9","2.0以上"))))))</f>
        <v/>
      </c>
      <c r="AQ1424" s="8" t="str">
        <f aca="false">IF(A1424="","",IF(ISNUMBER(SEARCH("2歳",Z1424)),"2歳戦",IF(ISNUMBER(SEARCH("3歳未勝利",Z1424)),"3歳未勝利",IF(ISNUMBER(SEARCH("未勝利",Z1424)),"その他未勝利",IF(ISNUMBER(SEARCH("G1",Z1424)),"G1",IF(ISNUMBER(SEARCH("G2",Z1424)),"G2",IF(ISNUMBER(SEARCH("G3",Z1424)),"G3",IF(ISNUMBER(SEARCH("古馬条件",Z1424)),"古馬条件戦",IF(ISNUMBER(SEARCH("重賞",Z1424)),"重賞","分類不能")))))))))</f>
        <v/>
      </c>
    </row>
    <row r="1425" customFormat="false" ht="15.75" hidden="false" customHeight="false" outlineLevel="0" collapsed="false">
      <c r="AO1425" s="8" t="str">
        <f aca="false">IF(A1425="","",IF(COUNTIFS(全馬データ!$A$2:$A$50000,A1425,全馬データ!$B$2:$B$50000,B1425,全馬データ!$C$2:$C$50000,C1425,全馬データ!$D$2:$D$50000,E1425,全馬データ!$K$2:$K$50000,"&lt;&gt;")=0,"",SUMIFS(全馬データ!$K$2:$K$50000,全馬データ!$A$2:$A$50000,A1425,全馬データ!$B$2:$B$50000,B1425,全馬データ!$C$2:$C$50000,C1425,全馬データ!$D$2:$D$50000,E1425)))</f>
        <v/>
      </c>
      <c r="AP1425" s="8" t="str">
        <f aca="false">IF(A1425="","",IF(AO1425="","欠損",IF(AO1425&lt;=1.1,"1.0～1.1",IF(AO1425&lt;1.3,"1.2",IF(AO1425&lt;1.5,"1.3～1.4",IF(AO1425&lt;2,"1.5～1.9","2.0以上"))))))</f>
        <v/>
      </c>
      <c r="AQ1425" s="8" t="str">
        <f aca="false">IF(A1425="","",IF(ISNUMBER(SEARCH("2歳",Z1425)),"2歳戦",IF(ISNUMBER(SEARCH("3歳未勝利",Z1425)),"3歳未勝利",IF(ISNUMBER(SEARCH("未勝利",Z1425)),"その他未勝利",IF(ISNUMBER(SEARCH("G1",Z1425)),"G1",IF(ISNUMBER(SEARCH("G2",Z1425)),"G2",IF(ISNUMBER(SEARCH("G3",Z1425)),"G3",IF(ISNUMBER(SEARCH("古馬条件",Z1425)),"古馬条件戦",IF(ISNUMBER(SEARCH("重賞",Z1425)),"重賞","分類不能")))))))))</f>
        <v/>
      </c>
    </row>
    <row r="1426" customFormat="false" ht="15.75" hidden="false" customHeight="false" outlineLevel="0" collapsed="false">
      <c r="AO1426" s="8" t="str">
        <f aca="false">IF(A1426="","",IF(COUNTIFS(全馬データ!$A$2:$A$50000,A1426,全馬データ!$B$2:$B$50000,B1426,全馬データ!$C$2:$C$50000,C1426,全馬データ!$D$2:$D$50000,E1426,全馬データ!$K$2:$K$50000,"&lt;&gt;")=0,"",SUMIFS(全馬データ!$K$2:$K$50000,全馬データ!$A$2:$A$50000,A1426,全馬データ!$B$2:$B$50000,B1426,全馬データ!$C$2:$C$50000,C1426,全馬データ!$D$2:$D$50000,E1426)))</f>
        <v/>
      </c>
      <c r="AP1426" s="8" t="str">
        <f aca="false">IF(A1426="","",IF(AO1426="","欠損",IF(AO1426&lt;=1.1,"1.0～1.1",IF(AO1426&lt;1.3,"1.2",IF(AO1426&lt;1.5,"1.3～1.4",IF(AO1426&lt;2,"1.5～1.9","2.0以上"))))))</f>
        <v/>
      </c>
      <c r="AQ1426" s="8" t="str">
        <f aca="false">IF(A1426="","",IF(ISNUMBER(SEARCH("2歳",Z1426)),"2歳戦",IF(ISNUMBER(SEARCH("3歳未勝利",Z1426)),"3歳未勝利",IF(ISNUMBER(SEARCH("未勝利",Z1426)),"その他未勝利",IF(ISNUMBER(SEARCH("G1",Z1426)),"G1",IF(ISNUMBER(SEARCH("G2",Z1426)),"G2",IF(ISNUMBER(SEARCH("G3",Z1426)),"G3",IF(ISNUMBER(SEARCH("古馬条件",Z1426)),"古馬条件戦",IF(ISNUMBER(SEARCH("重賞",Z1426)),"重賞","分類不能")))))))))</f>
        <v/>
      </c>
    </row>
    <row r="1427" customFormat="false" ht="15.75" hidden="false" customHeight="false" outlineLevel="0" collapsed="false">
      <c r="AO1427" s="8" t="str">
        <f aca="false">IF(A1427="","",IF(COUNTIFS(全馬データ!$A$2:$A$50000,A1427,全馬データ!$B$2:$B$50000,B1427,全馬データ!$C$2:$C$50000,C1427,全馬データ!$D$2:$D$50000,E1427,全馬データ!$K$2:$K$50000,"&lt;&gt;")=0,"",SUMIFS(全馬データ!$K$2:$K$50000,全馬データ!$A$2:$A$50000,A1427,全馬データ!$B$2:$B$50000,B1427,全馬データ!$C$2:$C$50000,C1427,全馬データ!$D$2:$D$50000,E1427)))</f>
        <v/>
      </c>
      <c r="AP1427" s="8" t="str">
        <f aca="false">IF(A1427="","",IF(AO1427="","欠損",IF(AO1427&lt;=1.1,"1.0～1.1",IF(AO1427&lt;1.3,"1.2",IF(AO1427&lt;1.5,"1.3～1.4",IF(AO1427&lt;2,"1.5～1.9","2.0以上"))))))</f>
        <v/>
      </c>
      <c r="AQ1427" s="8" t="str">
        <f aca="false">IF(A1427="","",IF(ISNUMBER(SEARCH("2歳",Z1427)),"2歳戦",IF(ISNUMBER(SEARCH("3歳未勝利",Z1427)),"3歳未勝利",IF(ISNUMBER(SEARCH("未勝利",Z1427)),"その他未勝利",IF(ISNUMBER(SEARCH("G1",Z1427)),"G1",IF(ISNUMBER(SEARCH("G2",Z1427)),"G2",IF(ISNUMBER(SEARCH("G3",Z1427)),"G3",IF(ISNUMBER(SEARCH("古馬条件",Z1427)),"古馬条件戦",IF(ISNUMBER(SEARCH("重賞",Z1427)),"重賞","分類不能")))))))))</f>
        <v/>
      </c>
    </row>
    <row r="1428" customFormat="false" ht="15.75" hidden="false" customHeight="false" outlineLevel="0" collapsed="false">
      <c r="AO1428" s="8" t="str">
        <f aca="false">IF(A1428="","",IF(COUNTIFS(全馬データ!$A$2:$A$50000,A1428,全馬データ!$B$2:$B$50000,B1428,全馬データ!$C$2:$C$50000,C1428,全馬データ!$D$2:$D$50000,E1428,全馬データ!$K$2:$K$50000,"&lt;&gt;")=0,"",SUMIFS(全馬データ!$K$2:$K$50000,全馬データ!$A$2:$A$50000,A1428,全馬データ!$B$2:$B$50000,B1428,全馬データ!$C$2:$C$50000,C1428,全馬データ!$D$2:$D$50000,E1428)))</f>
        <v/>
      </c>
      <c r="AP1428" s="8" t="str">
        <f aca="false">IF(A1428="","",IF(AO1428="","欠損",IF(AO1428&lt;=1.1,"1.0～1.1",IF(AO1428&lt;1.3,"1.2",IF(AO1428&lt;1.5,"1.3～1.4",IF(AO1428&lt;2,"1.5～1.9","2.0以上"))))))</f>
        <v/>
      </c>
      <c r="AQ1428" s="8" t="str">
        <f aca="false">IF(A1428="","",IF(ISNUMBER(SEARCH("2歳",Z1428)),"2歳戦",IF(ISNUMBER(SEARCH("3歳未勝利",Z1428)),"3歳未勝利",IF(ISNUMBER(SEARCH("未勝利",Z1428)),"その他未勝利",IF(ISNUMBER(SEARCH("G1",Z1428)),"G1",IF(ISNUMBER(SEARCH("G2",Z1428)),"G2",IF(ISNUMBER(SEARCH("G3",Z1428)),"G3",IF(ISNUMBER(SEARCH("古馬条件",Z1428)),"古馬条件戦",IF(ISNUMBER(SEARCH("重賞",Z1428)),"重賞","分類不能")))))))))</f>
        <v/>
      </c>
    </row>
    <row r="1429" customFormat="false" ht="15.75" hidden="false" customHeight="false" outlineLevel="0" collapsed="false">
      <c r="AO1429" s="8" t="str">
        <f aca="false">IF(A1429="","",IF(COUNTIFS(全馬データ!$A$2:$A$50000,A1429,全馬データ!$B$2:$B$50000,B1429,全馬データ!$C$2:$C$50000,C1429,全馬データ!$D$2:$D$50000,E1429,全馬データ!$K$2:$K$50000,"&lt;&gt;")=0,"",SUMIFS(全馬データ!$K$2:$K$50000,全馬データ!$A$2:$A$50000,A1429,全馬データ!$B$2:$B$50000,B1429,全馬データ!$C$2:$C$50000,C1429,全馬データ!$D$2:$D$50000,E1429)))</f>
        <v/>
      </c>
      <c r="AP1429" s="8" t="str">
        <f aca="false">IF(A1429="","",IF(AO1429="","欠損",IF(AO1429&lt;=1.1,"1.0～1.1",IF(AO1429&lt;1.3,"1.2",IF(AO1429&lt;1.5,"1.3～1.4",IF(AO1429&lt;2,"1.5～1.9","2.0以上"))))))</f>
        <v/>
      </c>
      <c r="AQ1429" s="8" t="str">
        <f aca="false">IF(A1429="","",IF(ISNUMBER(SEARCH("2歳",Z1429)),"2歳戦",IF(ISNUMBER(SEARCH("3歳未勝利",Z1429)),"3歳未勝利",IF(ISNUMBER(SEARCH("未勝利",Z1429)),"その他未勝利",IF(ISNUMBER(SEARCH("G1",Z1429)),"G1",IF(ISNUMBER(SEARCH("G2",Z1429)),"G2",IF(ISNUMBER(SEARCH("G3",Z1429)),"G3",IF(ISNUMBER(SEARCH("古馬条件",Z1429)),"古馬条件戦",IF(ISNUMBER(SEARCH("重賞",Z1429)),"重賞","分類不能")))))))))</f>
        <v/>
      </c>
    </row>
    <row r="1430" customFormat="false" ht="15.75" hidden="false" customHeight="false" outlineLevel="0" collapsed="false">
      <c r="AO1430" s="8" t="str">
        <f aca="false">IF(A1430="","",IF(COUNTIFS(全馬データ!$A$2:$A$50000,A1430,全馬データ!$B$2:$B$50000,B1430,全馬データ!$C$2:$C$50000,C1430,全馬データ!$D$2:$D$50000,E1430,全馬データ!$K$2:$K$50000,"&lt;&gt;")=0,"",SUMIFS(全馬データ!$K$2:$K$50000,全馬データ!$A$2:$A$50000,A1430,全馬データ!$B$2:$B$50000,B1430,全馬データ!$C$2:$C$50000,C1430,全馬データ!$D$2:$D$50000,E1430)))</f>
        <v/>
      </c>
      <c r="AP1430" s="8" t="str">
        <f aca="false">IF(A1430="","",IF(AO1430="","欠損",IF(AO1430&lt;=1.1,"1.0～1.1",IF(AO1430&lt;1.3,"1.2",IF(AO1430&lt;1.5,"1.3～1.4",IF(AO1430&lt;2,"1.5～1.9","2.0以上"))))))</f>
        <v/>
      </c>
      <c r="AQ1430" s="8" t="str">
        <f aca="false">IF(A1430="","",IF(ISNUMBER(SEARCH("2歳",Z1430)),"2歳戦",IF(ISNUMBER(SEARCH("3歳未勝利",Z1430)),"3歳未勝利",IF(ISNUMBER(SEARCH("未勝利",Z1430)),"その他未勝利",IF(ISNUMBER(SEARCH("G1",Z1430)),"G1",IF(ISNUMBER(SEARCH("G2",Z1430)),"G2",IF(ISNUMBER(SEARCH("G3",Z1430)),"G3",IF(ISNUMBER(SEARCH("古馬条件",Z1430)),"古馬条件戦",IF(ISNUMBER(SEARCH("重賞",Z1430)),"重賞","分類不能")))))))))</f>
        <v/>
      </c>
    </row>
    <row r="1431" customFormat="false" ht="15.75" hidden="false" customHeight="false" outlineLevel="0" collapsed="false">
      <c r="AO1431" s="8" t="str">
        <f aca="false">IF(A1431="","",IF(COUNTIFS(全馬データ!$A$2:$A$50000,A1431,全馬データ!$B$2:$B$50000,B1431,全馬データ!$C$2:$C$50000,C1431,全馬データ!$D$2:$D$50000,E1431,全馬データ!$K$2:$K$50000,"&lt;&gt;")=0,"",SUMIFS(全馬データ!$K$2:$K$50000,全馬データ!$A$2:$A$50000,A1431,全馬データ!$B$2:$B$50000,B1431,全馬データ!$C$2:$C$50000,C1431,全馬データ!$D$2:$D$50000,E1431)))</f>
        <v/>
      </c>
      <c r="AP1431" s="8" t="str">
        <f aca="false">IF(A1431="","",IF(AO1431="","欠損",IF(AO1431&lt;=1.1,"1.0～1.1",IF(AO1431&lt;1.3,"1.2",IF(AO1431&lt;1.5,"1.3～1.4",IF(AO1431&lt;2,"1.5～1.9","2.0以上"))))))</f>
        <v/>
      </c>
      <c r="AQ1431" s="8" t="str">
        <f aca="false">IF(A1431="","",IF(ISNUMBER(SEARCH("2歳",Z1431)),"2歳戦",IF(ISNUMBER(SEARCH("3歳未勝利",Z1431)),"3歳未勝利",IF(ISNUMBER(SEARCH("未勝利",Z1431)),"その他未勝利",IF(ISNUMBER(SEARCH("G1",Z1431)),"G1",IF(ISNUMBER(SEARCH("G2",Z1431)),"G2",IF(ISNUMBER(SEARCH("G3",Z1431)),"G3",IF(ISNUMBER(SEARCH("古馬条件",Z1431)),"古馬条件戦",IF(ISNUMBER(SEARCH("重賞",Z1431)),"重賞","分類不能")))))))))</f>
        <v/>
      </c>
    </row>
    <row r="1432" customFormat="false" ht="15.75" hidden="false" customHeight="false" outlineLevel="0" collapsed="false">
      <c r="AO1432" s="8" t="str">
        <f aca="false">IF(A1432="","",IF(COUNTIFS(全馬データ!$A$2:$A$50000,A1432,全馬データ!$B$2:$B$50000,B1432,全馬データ!$C$2:$C$50000,C1432,全馬データ!$D$2:$D$50000,E1432,全馬データ!$K$2:$K$50000,"&lt;&gt;")=0,"",SUMIFS(全馬データ!$K$2:$K$50000,全馬データ!$A$2:$A$50000,A1432,全馬データ!$B$2:$B$50000,B1432,全馬データ!$C$2:$C$50000,C1432,全馬データ!$D$2:$D$50000,E1432)))</f>
        <v/>
      </c>
      <c r="AP1432" s="8" t="str">
        <f aca="false">IF(A1432="","",IF(AO1432="","欠損",IF(AO1432&lt;=1.1,"1.0～1.1",IF(AO1432&lt;1.3,"1.2",IF(AO1432&lt;1.5,"1.3～1.4",IF(AO1432&lt;2,"1.5～1.9","2.0以上"))))))</f>
        <v/>
      </c>
      <c r="AQ1432" s="8" t="str">
        <f aca="false">IF(A1432="","",IF(ISNUMBER(SEARCH("2歳",Z1432)),"2歳戦",IF(ISNUMBER(SEARCH("3歳未勝利",Z1432)),"3歳未勝利",IF(ISNUMBER(SEARCH("未勝利",Z1432)),"その他未勝利",IF(ISNUMBER(SEARCH("G1",Z1432)),"G1",IF(ISNUMBER(SEARCH("G2",Z1432)),"G2",IF(ISNUMBER(SEARCH("G3",Z1432)),"G3",IF(ISNUMBER(SEARCH("古馬条件",Z1432)),"古馬条件戦",IF(ISNUMBER(SEARCH("重賞",Z1432)),"重賞","分類不能")))))))))</f>
        <v/>
      </c>
    </row>
    <row r="1433" customFormat="false" ht="15.75" hidden="false" customHeight="false" outlineLevel="0" collapsed="false">
      <c r="AO1433" s="8" t="str">
        <f aca="false">IF(A1433="","",IF(COUNTIFS(全馬データ!$A$2:$A$50000,A1433,全馬データ!$B$2:$B$50000,B1433,全馬データ!$C$2:$C$50000,C1433,全馬データ!$D$2:$D$50000,E1433,全馬データ!$K$2:$K$50000,"&lt;&gt;")=0,"",SUMIFS(全馬データ!$K$2:$K$50000,全馬データ!$A$2:$A$50000,A1433,全馬データ!$B$2:$B$50000,B1433,全馬データ!$C$2:$C$50000,C1433,全馬データ!$D$2:$D$50000,E1433)))</f>
        <v/>
      </c>
      <c r="AP1433" s="8" t="str">
        <f aca="false">IF(A1433="","",IF(AO1433="","欠損",IF(AO1433&lt;=1.1,"1.0～1.1",IF(AO1433&lt;1.3,"1.2",IF(AO1433&lt;1.5,"1.3～1.4",IF(AO1433&lt;2,"1.5～1.9","2.0以上"))))))</f>
        <v/>
      </c>
      <c r="AQ1433" s="8" t="str">
        <f aca="false">IF(A1433="","",IF(ISNUMBER(SEARCH("2歳",Z1433)),"2歳戦",IF(ISNUMBER(SEARCH("3歳未勝利",Z1433)),"3歳未勝利",IF(ISNUMBER(SEARCH("未勝利",Z1433)),"その他未勝利",IF(ISNUMBER(SEARCH("G1",Z1433)),"G1",IF(ISNUMBER(SEARCH("G2",Z1433)),"G2",IF(ISNUMBER(SEARCH("G3",Z1433)),"G3",IF(ISNUMBER(SEARCH("古馬条件",Z1433)),"古馬条件戦",IF(ISNUMBER(SEARCH("重賞",Z1433)),"重賞","分類不能")))))))))</f>
        <v/>
      </c>
    </row>
    <row r="1434" customFormat="false" ht="15.75" hidden="false" customHeight="false" outlineLevel="0" collapsed="false">
      <c r="AO1434" s="8" t="str">
        <f aca="false">IF(A1434="","",IF(COUNTIFS(全馬データ!$A$2:$A$50000,A1434,全馬データ!$B$2:$B$50000,B1434,全馬データ!$C$2:$C$50000,C1434,全馬データ!$D$2:$D$50000,E1434,全馬データ!$K$2:$K$50000,"&lt;&gt;")=0,"",SUMIFS(全馬データ!$K$2:$K$50000,全馬データ!$A$2:$A$50000,A1434,全馬データ!$B$2:$B$50000,B1434,全馬データ!$C$2:$C$50000,C1434,全馬データ!$D$2:$D$50000,E1434)))</f>
        <v/>
      </c>
      <c r="AP1434" s="8" t="str">
        <f aca="false">IF(A1434="","",IF(AO1434="","欠損",IF(AO1434&lt;=1.1,"1.0～1.1",IF(AO1434&lt;1.3,"1.2",IF(AO1434&lt;1.5,"1.3～1.4",IF(AO1434&lt;2,"1.5～1.9","2.0以上"))))))</f>
        <v/>
      </c>
      <c r="AQ1434" s="8" t="str">
        <f aca="false">IF(A1434="","",IF(ISNUMBER(SEARCH("2歳",Z1434)),"2歳戦",IF(ISNUMBER(SEARCH("3歳未勝利",Z1434)),"3歳未勝利",IF(ISNUMBER(SEARCH("未勝利",Z1434)),"その他未勝利",IF(ISNUMBER(SEARCH("G1",Z1434)),"G1",IF(ISNUMBER(SEARCH("G2",Z1434)),"G2",IF(ISNUMBER(SEARCH("G3",Z1434)),"G3",IF(ISNUMBER(SEARCH("古馬条件",Z1434)),"古馬条件戦",IF(ISNUMBER(SEARCH("重賞",Z1434)),"重賞","分類不能")))))))))</f>
        <v/>
      </c>
    </row>
    <row r="1435" customFormat="false" ht="15.75" hidden="false" customHeight="false" outlineLevel="0" collapsed="false">
      <c r="AO1435" s="8" t="str">
        <f aca="false">IF(A1435="","",IF(COUNTIFS(全馬データ!$A$2:$A$50000,A1435,全馬データ!$B$2:$B$50000,B1435,全馬データ!$C$2:$C$50000,C1435,全馬データ!$D$2:$D$50000,E1435,全馬データ!$K$2:$K$50000,"&lt;&gt;")=0,"",SUMIFS(全馬データ!$K$2:$K$50000,全馬データ!$A$2:$A$50000,A1435,全馬データ!$B$2:$B$50000,B1435,全馬データ!$C$2:$C$50000,C1435,全馬データ!$D$2:$D$50000,E1435)))</f>
        <v/>
      </c>
      <c r="AP1435" s="8" t="str">
        <f aca="false">IF(A1435="","",IF(AO1435="","欠損",IF(AO1435&lt;=1.1,"1.0～1.1",IF(AO1435&lt;1.3,"1.2",IF(AO1435&lt;1.5,"1.3～1.4",IF(AO1435&lt;2,"1.5～1.9","2.0以上"))))))</f>
        <v/>
      </c>
      <c r="AQ1435" s="8" t="str">
        <f aca="false">IF(A1435="","",IF(ISNUMBER(SEARCH("2歳",Z1435)),"2歳戦",IF(ISNUMBER(SEARCH("3歳未勝利",Z1435)),"3歳未勝利",IF(ISNUMBER(SEARCH("未勝利",Z1435)),"その他未勝利",IF(ISNUMBER(SEARCH("G1",Z1435)),"G1",IF(ISNUMBER(SEARCH("G2",Z1435)),"G2",IF(ISNUMBER(SEARCH("G3",Z1435)),"G3",IF(ISNUMBER(SEARCH("古馬条件",Z1435)),"古馬条件戦",IF(ISNUMBER(SEARCH("重賞",Z1435)),"重賞","分類不能")))))))))</f>
        <v/>
      </c>
    </row>
    <row r="1436" customFormat="false" ht="15.75" hidden="false" customHeight="false" outlineLevel="0" collapsed="false">
      <c r="AO1436" s="8" t="str">
        <f aca="false">IF(A1436="","",IF(COUNTIFS(全馬データ!$A$2:$A$50000,A1436,全馬データ!$B$2:$B$50000,B1436,全馬データ!$C$2:$C$50000,C1436,全馬データ!$D$2:$D$50000,E1436,全馬データ!$K$2:$K$50000,"&lt;&gt;")=0,"",SUMIFS(全馬データ!$K$2:$K$50000,全馬データ!$A$2:$A$50000,A1436,全馬データ!$B$2:$B$50000,B1436,全馬データ!$C$2:$C$50000,C1436,全馬データ!$D$2:$D$50000,E1436)))</f>
        <v/>
      </c>
      <c r="AP1436" s="8" t="str">
        <f aca="false">IF(A1436="","",IF(AO1436="","欠損",IF(AO1436&lt;=1.1,"1.0～1.1",IF(AO1436&lt;1.3,"1.2",IF(AO1436&lt;1.5,"1.3～1.4",IF(AO1436&lt;2,"1.5～1.9","2.0以上"))))))</f>
        <v/>
      </c>
      <c r="AQ1436" s="8" t="str">
        <f aca="false">IF(A1436="","",IF(ISNUMBER(SEARCH("2歳",Z1436)),"2歳戦",IF(ISNUMBER(SEARCH("3歳未勝利",Z1436)),"3歳未勝利",IF(ISNUMBER(SEARCH("未勝利",Z1436)),"その他未勝利",IF(ISNUMBER(SEARCH("G1",Z1436)),"G1",IF(ISNUMBER(SEARCH("G2",Z1436)),"G2",IF(ISNUMBER(SEARCH("G3",Z1436)),"G3",IF(ISNUMBER(SEARCH("古馬条件",Z1436)),"古馬条件戦",IF(ISNUMBER(SEARCH("重賞",Z1436)),"重賞","分類不能")))))))))</f>
        <v/>
      </c>
    </row>
    <row r="1437" customFormat="false" ht="15.75" hidden="false" customHeight="false" outlineLevel="0" collapsed="false">
      <c r="AO1437" s="8" t="str">
        <f aca="false">IF(A1437="","",IF(COUNTIFS(全馬データ!$A$2:$A$50000,A1437,全馬データ!$B$2:$B$50000,B1437,全馬データ!$C$2:$C$50000,C1437,全馬データ!$D$2:$D$50000,E1437,全馬データ!$K$2:$K$50000,"&lt;&gt;")=0,"",SUMIFS(全馬データ!$K$2:$K$50000,全馬データ!$A$2:$A$50000,A1437,全馬データ!$B$2:$B$50000,B1437,全馬データ!$C$2:$C$50000,C1437,全馬データ!$D$2:$D$50000,E1437)))</f>
        <v/>
      </c>
      <c r="AP1437" s="8" t="str">
        <f aca="false">IF(A1437="","",IF(AO1437="","欠損",IF(AO1437&lt;=1.1,"1.0～1.1",IF(AO1437&lt;1.3,"1.2",IF(AO1437&lt;1.5,"1.3～1.4",IF(AO1437&lt;2,"1.5～1.9","2.0以上"))))))</f>
        <v/>
      </c>
      <c r="AQ1437" s="8" t="str">
        <f aca="false">IF(A1437="","",IF(ISNUMBER(SEARCH("2歳",Z1437)),"2歳戦",IF(ISNUMBER(SEARCH("3歳未勝利",Z1437)),"3歳未勝利",IF(ISNUMBER(SEARCH("未勝利",Z1437)),"その他未勝利",IF(ISNUMBER(SEARCH("G1",Z1437)),"G1",IF(ISNUMBER(SEARCH("G2",Z1437)),"G2",IF(ISNUMBER(SEARCH("G3",Z1437)),"G3",IF(ISNUMBER(SEARCH("古馬条件",Z1437)),"古馬条件戦",IF(ISNUMBER(SEARCH("重賞",Z1437)),"重賞","分類不能")))))))))</f>
        <v/>
      </c>
    </row>
    <row r="1438" customFormat="false" ht="15.75" hidden="false" customHeight="false" outlineLevel="0" collapsed="false">
      <c r="AO1438" s="8" t="str">
        <f aca="false">IF(A1438="","",IF(COUNTIFS(全馬データ!$A$2:$A$50000,A1438,全馬データ!$B$2:$B$50000,B1438,全馬データ!$C$2:$C$50000,C1438,全馬データ!$D$2:$D$50000,E1438,全馬データ!$K$2:$K$50000,"&lt;&gt;")=0,"",SUMIFS(全馬データ!$K$2:$K$50000,全馬データ!$A$2:$A$50000,A1438,全馬データ!$B$2:$B$50000,B1438,全馬データ!$C$2:$C$50000,C1438,全馬データ!$D$2:$D$50000,E1438)))</f>
        <v/>
      </c>
      <c r="AP1438" s="8" t="str">
        <f aca="false">IF(A1438="","",IF(AO1438="","欠損",IF(AO1438&lt;=1.1,"1.0～1.1",IF(AO1438&lt;1.3,"1.2",IF(AO1438&lt;1.5,"1.3～1.4",IF(AO1438&lt;2,"1.5～1.9","2.0以上"))))))</f>
        <v/>
      </c>
      <c r="AQ1438" s="8" t="str">
        <f aca="false">IF(A1438="","",IF(ISNUMBER(SEARCH("2歳",Z1438)),"2歳戦",IF(ISNUMBER(SEARCH("3歳未勝利",Z1438)),"3歳未勝利",IF(ISNUMBER(SEARCH("未勝利",Z1438)),"その他未勝利",IF(ISNUMBER(SEARCH("G1",Z1438)),"G1",IF(ISNUMBER(SEARCH("G2",Z1438)),"G2",IF(ISNUMBER(SEARCH("G3",Z1438)),"G3",IF(ISNUMBER(SEARCH("古馬条件",Z1438)),"古馬条件戦",IF(ISNUMBER(SEARCH("重賞",Z1438)),"重賞","分類不能")))))))))</f>
        <v/>
      </c>
    </row>
    <row r="1439" customFormat="false" ht="15.75" hidden="false" customHeight="false" outlineLevel="0" collapsed="false">
      <c r="AO1439" s="8" t="str">
        <f aca="false">IF(A1439="","",IF(COUNTIFS(全馬データ!$A$2:$A$50000,A1439,全馬データ!$B$2:$B$50000,B1439,全馬データ!$C$2:$C$50000,C1439,全馬データ!$D$2:$D$50000,E1439,全馬データ!$K$2:$K$50000,"&lt;&gt;")=0,"",SUMIFS(全馬データ!$K$2:$K$50000,全馬データ!$A$2:$A$50000,A1439,全馬データ!$B$2:$B$50000,B1439,全馬データ!$C$2:$C$50000,C1439,全馬データ!$D$2:$D$50000,E1439)))</f>
        <v/>
      </c>
      <c r="AP1439" s="8" t="str">
        <f aca="false">IF(A1439="","",IF(AO1439="","欠損",IF(AO1439&lt;=1.1,"1.0～1.1",IF(AO1439&lt;1.3,"1.2",IF(AO1439&lt;1.5,"1.3～1.4",IF(AO1439&lt;2,"1.5～1.9","2.0以上"))))))</f>
        <v/>
      </c>
      <c r="AQ1439" s="8" t="str">
        <f aca="false">IF(A1439="","",IF(ISNUMBER(SEARCH("2歳",Z1439)),"2歳戦",IF(ISNUMBER(SEARCH("3歳未勝利",Z1439)),"3歳未勝利",IF(ISNUMBER(SEARCH("未勝利",Z1439)),"その他未勝利",IF(ISNUMBER(SEARCH("G1",Z1439)),"G1",IF(ISNUMBER(SEARCH("G2",Z1439)),"G2",IF(ISNUMBER(SEARCH("G3",Z1439)),"G3",IF(ISNUMBER(SEARCH("古馬条件",Z1439)),"古馬条件戦",IF(ISNUMBER(SEARCH("重賞",Z1439)),"重賞","分類不能")))))))))</f>
        <v/>
      </c>
    </row>
    <row r="1440" customFormat="false" ht="15.75" hidden="false" customHeight="false" outlineLevel="0" collapsed="false">
      <c r="AO1440" s="8" t="str">
        <f aca="false">IF(A1440="","",IF(COUNTIFS(全馬データ!$A$2:$A$50000,A1440,全馬データ!$B$2:$B$50000,B1440,全馬データ!$C$2:$C$50000,C1440,全馬データ!$D$2:$D$50000,E1440,全馬データ!$K$2:$K$50000,"&lt;&gt;")=0,"",SUMIFS(全馬データ!$K$2:$K$50000,全馬データ!$A$2:$A$50000,A1440,全馬データ!$B$2:$B$50000,B1440,全馬データ!$C$2:$C$50000,C1440,全馬データ!$D$2:$D$50000,E1440)))</f>
        <v/>
      </c>
      <c r="AP1440" s="8" t="str">
        <f aca="false">IF(A1440="","",IF(AO1440="","欠損",IF(AO1440&lt;=1.1,"1.0～1.1",IF(AO1440&lt;1.3,"1.2",IF(AO1440&lt;1.5,"1.3～1.4",IF(AO1440&lt;2,"1.5～1.9","2.0以上"))))))</f>
        <v/>
      </c>
      <c r="AQ1440" s="8" t="str">
        <f aca="false">IF(A1440="","",IF(ISNUMBER(SEARCH("2歳",Z1440)),"2歳戦",IF(ISNUMBER(SEARCH("3歳未勝利",Z1440)),"3歳未勝利",IF(ISNUMBER(SEARCH("未勝利",Z1440)),"その他未勝利",IF(ISNUMBER(SEARCH("G1",Z1440)),"G1",IF(ISNUMBER(SEARCH("G2",Z1440)),"G2",IF(ISNUMBER(SEARCH("G3",Z1440)),"G3",IF(ISNUMBER(SEARCH("古馬条件",Z1440)),"古馬条件戦",IF(ISNUMBER(SEARCH("重賞",Z1440)),"重賞","分類不能")))))))))</f>
        <v/>
      </c>
    </row>
    <row r="1441" customFormat="false" ht="15.75" hidden="false" customHeight="false" outlineLevel="0" collapsed="false">
      <c r="AO1441" s="8" t="str">
        <f aca="false">IF(A1441="","",IF(COUNTIFS(全馬データ!$A$2:$A$50000,A1441,全馬データ!$B$2:$B$50000,B1441,全馬データ!$C$2:$C$50000,C1441,全馬データ!$D$2:$D$50000,E1441,全馬データ!$K$2:$K$50000,"&lt;&gt;")=0,"",SUMIFS(全馬データ!$K$2:$K$50000,全馬データ!$A$2:$A$50000,A1441,全馬データ!$B$2:$B$50000,B1441,全馬データ!$C$2:$C$50000,C1441,全馬データ!$D$2:$D$50000,E1441)))</f>
        <v/>
      </c>
      <c r="AP1441" s="8" t="str">
        <f aca="false">IF(A1441="","",IF(AO1441="","欠損",IF(AO1441&lt;=1.1,"1.0～1.1",IF(AO1441&lt;1.3,"1.2",IF(AO1441&lt;1.5,"1.3～1.4",IF(AO1441&lt;2,"1.5～1.9","2.0以上"))))))</f>
        <v/>
      </c>
      <c r="AQ1441" s="8" t="str">
        <f aca="false">IF(A1441="","",IF(ISNUMBER(SEARCH("2歳",Z1441)),"2歳戦",IF(ISNUMBER(SEARCH("3歳未勝利",Z1441)),"3歳未勝利",IF(ISNUMBER(SEARCH("未勝利",Z1441)),"その他未勝利",IF(ISNUMBER(SEARCH("G1",Z1441)),"G1",IF(ISNUMBER(SEARCH("G2",Z1441)),"G2",IF(ISNUMBER(SEARCH("G3",Z1441)),"G3",IF(ISNUMBER(SEARCH("古馬条件",Z1441)),"古馬条件戦",IF(ISNUMBER(SEARCH("重賞",Z1441)),"重賞","分類不能")))))))))</f>
        <v/>
      </c>
    </row>
    <row r="1442" customFormat="false" ht="15.75" hidden="false" customHeight="false" outlineLevel="0" collapsed="false">
      <c r="AO1442" s="8" t="str">
        <f aca="false">IF(A1442="","",IF(COUNTIFS(全馬データ!$A$2:$A$50000,A1442,全馬データ!$B$2:$B$50000,B1442,全馬データ!$C$2:$C$50000,C1442,全馬データ!$D$2:$D$50000,E1442,全馬データ!$K$2:$K$50000,"&lt;&gt;")=0,"",SUMIFS(全馬データ!$K$2:$K$50000,全馬データ!$A$2:$A$50000,A1442,全馬データ!$B$2:$B$50000,B1442,全馬データ!$C$2:$C$50000,C1442,全馬データ!$D$2:$D$50000,E1442)))</f>
        <v/>
      </c>
      <c r="AP1442" s="8" t="str">
        <f aca="false">IF(A1442="","",IF(AO1442="","欠損",IF(AO1442&lt;=1.1,"1.0～1.1",IF(AO1442&lt;1.3,"1.2",IF(AO1442&lt;1.5,"1.3～1.4",IF(AO1442&lt;2,"1.5～1.9","2.0以上"))))))</f>
        <v/>
      </c>
      <c r="AQ1442" s="8" t="str">
        <f aca="false">IF(A1442="","",IF(ISNUMBER(SEARCH("2歳",Z1442)),"2歳戦",IF(ISNUMBER(SEARCH("3歳未勝利",Z1442)),"3歳未勝利",IF(ISNUMBER(SEARCH("未勝利",Z1442)),"その他未勝利",IF(ISNUMBER(SEARCH("G1",Z1442)),"G1",IF(ISNUMBER(SEARCH("G2",Z1442)),"G2",IF(ISNUMBER(SEARCH("G3",Z1442)),"G3",IF(ISNUMBER(SEARCH("古馬条件",Z1442)),"古馬条件戦",IF(ISNUMBER(SEARCH("重賞",Z1442)),"重賞","分類不能")))))))))</f>
        <v/>
      </c>
    </row>
    <row r="1443" customFormat="false" ht="15.75" hidden="false" customHeight="false" outlineLevel="0" collapsed="false">
      <c r="AO1443" s="8" t="str">
        <f aca="false">IF(A1443="","",IF(COUNTIFS(全馬データ!$A$2:$A$50000,A1443,全馬データ!$B$2:$B$50000,B1443,全馬データ!$C$2:$C$50000,C1443,全馬データ!$D$2:$D$50000,E1443,全馬データ!$K$2:$K$50000,"&lt;&gt;")=0,"",SUMIFS(全馬データ!$K$2:$K$50000,全馬データ!$A$2:$A$50000,A1443,全馬データ!$B$2:$B$50000,B1443,全馬データ!$C$2:$C$50000,C1443,全馬データ!$D$2:$D$50000,E1443)))</f>
        <v/>
      </c>
      <c r="AP1443" s="8" t="str">
        <f aca="false">IF(A1443="","",IF(AO1443="","欠損",IF(AO1443&lt;=1.1,"1.0～1.1",IF(AO1443&lt;1.3,"1.2",IF(AO1443&lt;1.5,"1.3～1.4",IF(AO1443&lt;2,"1.5～1.9","2.0以上"))))))</f>
        <v/>
      </c>
      <c r="AQ1443" s="8" t="str">
        <f aca="false">IF(A1443="","",IF(ISNUMBER(SEARCH("2歳",Z1443)),"2歳戦",IF(ISNUMBER(SEARCH("3歳未勝利",Z1443)),"3歳未勝利",IF(ISNUMBER(SEARCH("未勝利",Z1443)),"その他未勝利",IF(ISNUMBER(SEARCH("G1",Z1443)),"G1",IF(ISNUMBER(SEARCH("G2",Z1443)),"G2",IF(ISNUMBER(SEARCH("G3",Z1443)),"G3",IF(ISNUMBER(SEARCH("古馬条件",Z1443)),"古馬条件戦",IF(ISNUMBER(SEARCH("重賞",Z1443)),"重賞","分類不能")))))))))</f>
        <v/>
      </c>
    </row>
    <row r="1444" customFormat="false" ht="15.75" hidden="false" customHeight="false" outlineLevel="0" collapsed="false">
      <c r="AO1444" s="8" t="str">
        <f aca="false">IF(A1444="","",IF(COUNTIFS(全馬データ!$A$2:$A$50000,A1444,全馬データ!$B$2:$B$50000,B1444,全馬データ!$C$2:$C$50000,C1444,全馬データ!$D$2:$D$50000,E1444,全馬データ!$K$2:$K$50000,"&lt;&gt;")=0,"",SUMIFS(全馬データ!$K$2:$K$50000,全馬データ!$A$2:$A$50000,A1444,全馬データ!$B$2:$B$50000,B1444,全馬データ!$C$2:$C$50000,C1444,全馬データ!$D$2:$D$50000,E1444)))</f>
        <v/>
      </c>
      <c r="AP1444" s="8" t="str">
        <f aca="false">IF(A1444="","",IF(AO1444="","欠損",IF(AO1444&lt;=1.1,"1.0～1.1",IF(AO1444&lt;1.3,"1.2",IF(AO1444&lt;1.5,"1.3～1.4",IF(AO1444&lt;2,"1.5～1.9","2.0以上"))))))</f>
        <v/>
      </c>
      <c r="AQ1444" s="8" t="str">
        <f aca="false">IF(A1444="","",IF(ISNUMBER(SEARCH("2歳",Z1444)),"2歳戦",IF(ISNUMBER(SEARCH("3歳未勝利",Z1444)),"3歳未勝利",IF(ISNUMBER(SEARCH("未勝利",Z1444)),"その他未勝利",IF(ISNUMBER(SEARCH("G1",Z1444)),"G1",IF(ISNUMBER(SEARCH("G2",Z1444)),"G2",IF(ISNUMBER(SEARCH("G3",Z1444)),"G3",IF(ISNUMBER(SEARCH("古馬条件",Z1444)),"古馬条件戦",IF(ISNUMBER(SEARCH("重賞",Z1444)),"重賞","分類不能")))))))))</f>
        <v/>
      </c>
    </row>
    <row r="1445" customFormat="false" ht="15.75" hidden="false" customHeight="false" outlineLevel="0" collapsed="false">
      <c r="AO1445" s="8" t="str">
        <f aca="false">IF(A1445="","",IF(COUNTIFS(全馬データ!$A$2:$A$50000,A1445,全馬データ!$B$2:$B$50000,B1445,全馬データ!$C$2:$C$50000,C1445,全馬データ!$D$2:$D$50000,E1445,全馬データ!$K$2:$K$50000,"&lt;&gt;")=0,"",SUMIFS(全馬データ!$K$2:$K$50000,全馬データ!$A$2:$A$50000,A1445,全馬データ!$B$2:$B$50000,B1445,全馬データ!$C$2:$C$50000,C1445,全馬データ!$D$2:$D$50000,E1445)))</f>
        <v/>
      </c>
      <c r="AP1445" s="8" t="str">
        <f aca="false">IF(A1445="","",IF(AO1445="","欠損",IF(AO1445&lt;=1.1,"1.0～1.1",IF(AO1445&lt;1.3,"1.2",IF(AO1445&lt;1.5,"1.3～1.4",IF(AO1445&lt;2,"1.5～1.9","2.0以上"))))))</f>
        <v/>
      </c>
      <c r="AQ1445" s="8" t="str">
        <f aca="false">IF(A1445="","",IF(ISNUMBER(SEARCH("2歳",Z1445)),"2歳戦",IF(ISNUMBER(SEARCH("3歳未勝利",Z1445)),"3歳未勝利",IF(ISNUMBER(SEARCH("未勝利",Z1445)),"その他未勝利",IF(ISNUMBER(SEARCH("G1",Z1445)),"G1",IF(ISNUMBER(SEARCH("G2",Z1445)),"G2",IF(ISNUMBER(SEARCH("G3",Z1445)),"G3",IF(ISNUMBER(SEARCH("古馬条件",Z1445)),"古馬条件戦",IF(ISNUMBER(SEARCH("重賞",Z1445)),"重賞","分類不能")))))))))</f>
        <v/>
      </c>
    </row>
    <row r="1446" customFormat="false" ht="15.75" hidden="false" customHeight="false" outlineLevel="0" collapsed="false">
      <c r="AO1446" s="8" t="str">
        <f aca="false">IF(A1446="","",IF(COUNTIFS(全馬データ!$A$2:$A$50000,A1446,全馬データ!$B$2:$B$50000,B1446,全馬データ!$C$2:$C$50000,C1446,全馬データ!$D$2:$D$50000,E1446,全馬データ!$K$2:$K$50000,"&lt;&gt;")=0,"",SUMIFS(全馬データ!$K$2:$K$50000,全馬データ!$A$2:$A$50000,A1446,全馬データ!$B$2:$B$50000,B1446,全馬データ!$C$2:$C$50000,C1446,全馬データ!$D$2:$D$50000,E1446)))</f>
        <v/>
      </c>
      <c r="AP1446" s="8" t="str">
        <f aca="false">IF(A1446="","",IF(AO1446="","欠損",IF(AO1446&lt;=1.1,"1.0～1.1",IF(AO1446&lt;1.3,"1.2",IF(AO1446&lt;1.5,"1.3～1.4",IF(AO1446&lt;2,"1.5～1.9","2.0以上"))))))</f>
        <v/>
      </c>
      <c r="AQ1446" s="8" t="str">
        <f aca="false">IF(A1446="","",IF(ISNUMBER(SEARCH("2歳",Z1446)),"2歳戦",IF(ISNUMBER(SEARCH("3歳未勝利",Z1446)),"3歳未勝利",IF(ISNUMBER(SEARCH("未勝利",Z1446)),"その他未勝利",IF(ISNUMBER(SEARCH("G1",Z1446)),"G1",IF(ISNUMBER(SEARCH("G2",Z1446)),"G2",IF(ISNUMBER(SEARCH("G3",Z1446)),"G3",IF(ISNUMBER(SEARCH("古馬条件",Z1446)),"古馬条件戦",IF(ISNUMBER(SEARCH("重賞",Z1446)),"重賞","分類不能")))))))))</f>
        <v/>
      </c>
    </row>
    <row r="1447" customFormat="false" ht="15.75" hidden="false" customHeight="false" outlineLevel="0" collapsed="false">
      <c r="AO1447" s="8" t="str">
        <f aca="false">IF(A1447="","",IF(COUNTIFS(全馬データ!$A$2:$A$50000,A1447,全馬データ!$B$2:$B$50000,B1447,全馬データ!$C$2:$C$50000,C1447,全馬データ!$D$2:$D$50000,E1447,全馬データ!$K$2:$K$50000,"&lt;&gt;")=0,"",SUMIFS(全馬データ!$K$2:$K$50000,全馬データ!$A$2:$A$50000,A1447,全馬データ!$B$2:$B$50000,B1447,全馬データ!$C$2:$C$50000,C1447,全馬データ!$D$2:$D$50000,E1447)))</f>
        <v/>
      </c>
      <c r="AP1447" s="8" t="str">
        <f aca="false">IF(A1447="","",IF(AO1447="","欠損",IF(AO1447&lt;=1.1,"1.0～1.1",IF(AO1447&lt;1.3,"1.2",IF(AO1447&lt;1.5,"1.3～1.4",IF(AO1447&lt;2,"1.5～1.9","2.0以上"))))))</f>
        <v/>
      </c>
      <c r="AQ1447" s="8" t="str">
        <f aca="false">IF(A1447="","",IF(ISNUMBER(SEARCH("2歳",Z1447)),"2歳戦",IF(ISNUMBER(SEARCH("3歳未勝利",Z1447)),"3歳未勝利",IF(ISNUMBER(SEARCH("未勝利",Z1447)),"その他未勝利",IF(ISNUMBER(SEARCH("G1",Z1447)),"G1",IF(ISNUMBER(SEARCH("G2",Z1447)),"G2",IF(ISNUMBER(SEARCH("G3",Z1447)),"G3",IF(ISNUMBER(SEARCH("古馬条件",Z1447)),"古馬条件戦",IF(ISNUMBER(SEARCH("重賞",Z1447)),"重賞","分類不能")))))))))</f>
        <v/>
      </c>
    </row>
    <row r="1448" customFormat="false" ht="15.75" hidden="false" customHeight="false" outlineLevel="0" collapsed="false">
      <c r="AO1448" s="8" t="str">
        <f aca="false">IF(A1448="","",IF(COUNTIFS(全馬データ!$A$2:$A$50000,A1448,全馬データ!$B$2:$B$50000,B1448,全馬データ!$C$2:$C$50000,C1448,全馬データ!$D$2:$D$50000,E1448,全馬データ!$K$2:$K$50000,"&lt;&gt;")=0,"",SUMIFS(全馬データ!$K$2:$K$50000,全馬データ!$A$2:$A$50000,A1448,全馬データ!$B$2:$B$50000,B1448,全馬データ!$C$2:$C$50000,C1448,全馬データ!$D$2:$D$50000,E1448)))</f>
        <v/>
      </c>
      <c r="AP1448" s="8" t="str">
        <f aca="false">IF(A1448="","",IF(AO1448="","欠損",IF(AO1448&lt;=1.1,"1.0～1.1",IF(AO1448&lt;1.3,"1.2",IF(AO1448&lt;1.5,"1.3～1.4",IF(AO1448&lt;2,"1.5～1.9","2.0以上"))))))</f>
        <v/>
      </c>
      <c r="AQ1448" s="8" t="str">
        <f aca="false">IF(A1448="","",IF(ISNUMBER(SEARCH("2歳",Z1448)),"2歳戦",IF(ISNUMBER(SEARCH("3歳未勝利",Z1448)),"3歳未勝利",IF(ISNUMBER(SEARCH("未勝利",Z1448)),"その他未勝利",IF(ISNUMBER(SEARCH("G1",Z1448)),"G1",IF(ISNUMBER(SEARCH("G2",Z1448)),"G2",IF(ISNUMBER(SEARCH("G3",Z1448)),"G3",IF(ISNUMBER(SEARCH("古馬条件",Z1448)),"古馬条件戦",IF(ISNUMBER(SEARCH("重賞",Z1448)),"重賞","分類不能")))))))))</f>
        <v/>
      </c>
    </row>
    <row r="1449" customFormat="false" ht="15.75" hidden="false" customHeight="false" outlineLevel="0" collapsed="false">
      <c r="AO1449" s="8" t="str">
        <f aca="false">IF(A1449="","",IF(COUNTIFS(全馬データ!$A$2:$A$50000,A1449,全馬データ!$B$2:$B$50000,B1449,全馬データ!$C$2:$C$50000,C1449,全馬データ!$D$2:$D$50000,E1449,全馬データ!$K$2:$K$50000,"&lt;&gt;")=0,"",SUMIFS(全馬データ!$K$2:$K$50000,全馬データ!$A$2:$A$50000,A1449,全馬データ!$B$2:$B$50000,B1449,全馬データ!$C$2:$C$50000,C1449,全馬データ!$D$2:$D$50000,E1449)))</f>
        <v/>
      </c>
      <c r="AP1449" s="8" t="str">
        <f aca="false">IF(A1449="","",IF(AO1449="","欠損",IF(AO1449&lt;=1.1,"1.0～1.1",IF(AO1449&lt;1.3,"1.2",IF(AO1449&lt;1.5,"1.3～1.4",IF(AO1449&lt;2,"1.5～1.9","2.0以上"))))))</f>
        <v/>
      </c>
      <c r="AQ1449" s="8" t="str">
        <f aca="false">IF(A1449="","",IF(ISNUMBER(SEARCH("2歳",Z1449)),"2歳戦",IF(ISNUMBER(SEARCH("3歳未勝利",Z1449)),"3歳未勝利",IF(ISNUMBER(SEARCH("未勝利",Z1449)),"その他未勝利",IF(ISNUMBER(SEARCH("G1",Z1449)),"G1",IF(ISNUMBER(SEARCH("G2",Z1449)),"G2",IF(ISNUMBER(SEARCH("G3",Z1449)),"G3",IF(ISNUMBER(SEARCH("古馬条件",Z1449)),"古馬条件戦",IF(ISNUMBER(SEARCH("重賞",Z1449)),"重賞","分類不能")))))))))</f>
        <v/>
      </c>
    </row>
    <row r="1450" customFormat="false" ht="15.75" hidden="false" customHeight="false" outlineLevel="0" collapsed="false">
      <c r="AO1450" s="8" t="str">
        <f aca="false">IF(A1450="","",IF(COUNTIFS(全馬データ!$A$2:$A$50000,A1450,全馬データ!$B$2:$B$50000,B1450,全馬データ!$C$2:$C$50000,C1450,全馬データ!$D$2:$D$50000,E1450,全馬データ!$K$2:$K$50000,"&lt;&gt;")=0,"",SUMIFS(全馬データ!$K$2:$K$50000,全馬データ!$A$2:$A$50000,A1450,全馬データ!$B$2:$B$50000,B1450,全馬データ!$C$2:$C$50000,C1450,全馬データ!$D$2:$D$50000,E1450)))</f>
        <v/>
      </c>
      <c r="AP1450" s="8" t="str">
        <f aca="false">IF(A1450="","",IF(AO1450="","欠損",IF(AO1450&lt;=1.1,"1.0～1.1",IF(AO1450&lt;1.3,"1.2",IF(AO1450&lt;1.5,"1.3～1.4",IF(AO1450&lt;2,"1.5～1.9","2.0以上"))))))</f>
        <v/>
      </c>
      <c r="AQ1450" s="8" t="str">
        <f aca="false">IF(A1450="","",IF(ISNUMBER(SEARCH("2歳",Z1450)),"2歳戦",IF(ISNUMBER(SEARCH("3歳未勝利",Z1450)),"3歳未勝利",IF(ISNUMBER(SEARCH("未勝利",Z1450)),"その他未勝利",IF(ISNUMBER(SEARCH("G1",Z1450)),"G1",IF(ISNUMBER(SEARCH("G2",Z1450)),"G2",IF(ISNUMBER(SEARCH("G3",Z1450)),"G3",IF(ISNUMBER(SEARCH("古馬条件",Z1450)),"古馬条件戦",IF(ISNUMBER(SEARCH("重賞",Z1450)),"重賞","分類不能")))))))))</f>
        <v/>
      </c>
    </row>
    <row r="1451" customFormat="false" ht="15.75" hidden="false" customHeight="false" outlineLevel="0" collapsed="false">
      <c r="AO1451" s="8" t="str">
        <f aca="false">IF(A1451="","",IF(COUNTIFS(全馬データ!$A$2:$A$50000,A1451,全馬データ!$B$2:$B$50000,B1451,全馬データ!$C$2:$C$50000,C1451,全馬データ!$D$2:$D$50000,E1451,全馬データ!$K$2:$K$50000,"&lt;&gt;")=0,"",SUMIFS(全馬データ!$K$2:$K$50000,全馬データ!$A$2:$A$50000,A1451,全馬データ!$B$2:$B$50000,B1451,全馬データ!$C$2:$C$50000,C1451,全馬データ!$D$2:$D$50000,E1451)))</f>
        <v/>
      </c>
      <c r="AP1451" s="8" t="str">
        <f aca="false">IF(A1451="","",IF(AO1451="","欠損",IF(AO1451&lt;=1.1,"1.0～1.1",IF(AO1451&lt;1.3,"1.2",IF(AO1451&lt;1.5,"1.3～1.4",IF(AO1451&lt;2,"1.5～1.9","2.0以上"))))))</f>
        <v/>
      </c>
      <c r="AQ1451" s="8" t="str">
        <f aca="false">IF(A1451="","",IF(ISNUMBER(SEARCH("2歳",Z1451)),"2歳戦",IF(ISNUMBER(SEARCH("3歳未勝利",Z1451)),"3歳未勝利",IF(ISNUMBER(SEARCH("未勝利",Z1451)),"その他未勝利",IF(ISNUMBER(SEARCH("G1",Z1451)),"G1",IF(ISNUMBER(SEARCH("G2",Z1451)),"G2",IF(ISNUMBER(SEARCH("G3",Z1451)),"G3",IF(ISNUMBER(SEARCH("古馬条件",Z1451)),"古馬条件戦",IF(ISNUMBER(SEARCH("重賞",Z1451)),"重賞","分類不能")))))))))</f>
        <v/>
      </c>
    </row>
    <row r="1452" customFormat="false" ht="15.75" hidden="false" customHeight="false" outlineLevel="0" collapsed="false">
      <c r="AO1452" s="8" t="str">
        <f aca="false">IF(A1452="","",IF(COUNTIFS(全馬データ!$A$2:$A$50000,A1452,全馬データ!$B$2:$B$50000,B1452,全馬データ!$C$2:$C$50000,C1452,全馬データ!$D$2:$D$50000,E1452,全馬データ!$K$2:$K$50000,"&lt;&gt;")=0,"",SUMIFS(全馬データ!$K$2:$K$50000,全馬データ!$A$2:$A$50000,A1452,全馬データ!$B$2:$B$50000,B1452,全馬データ!$C$2:$C$50000,C1452,全馬データ!$D$2:$D$50000,E1452)))</f>
        <v/>
      </c>
      <c r="AP1452" s="8" t="str">
        <f aca="false">IF(A1452="","",IF(AO1452="","欠損",IF(AO1452&lt;=1.1,"1.0～1.1",IF(AO1452&lt;1.3,"1.2",IF(AO1452&lt;1.5,"1.3～1.4",IF(AO1452&lt;2,"1.5～1.9","2.0以上"))))))</f>
        <v/>
      </c>
      <c r="AQ1452" s="8" t="str">
        <f aca="false">IF(A1452="","",IF(ISNUMBER(SEARCH("2歳",Z1452)),"2歳戦",IF(ISNUMBER(SEARCH("3歳未勝利",Z1452)),"3歳未勝利",IF(ISNUMBER(SEARCH("未勝利",Z1452)),"その他未勝利",IF(ISNUMBER(SEARCH("G1",Z1452)),"G1",IF(ISNUMBER(SEARCH("G2",Z1452)),"G2",IF(ISNUMBER(SEARCH("G3",Z1452)),"G3",IF(ISNUMBER(SEARCH("古馬条件",Z1452)),"古馬条件戦",IF(ISNUMBER(SEARCH("重賞",Z1452)),"重賞","分類不能")))))))))</f>
        <v/>
      </c>
    </row>
    <row r="1453" customFormat="false" ht="15.75" hidden="false" customHeight="false" outlineLevel="0" collapsed="false">
      <c r="AO1453" s="8" t="str">
        <f aca="false">IF(A1453="","",IF(COUNTIFS(全馬データ!$A$2:$A$50000,A1453,全馬データ!$B$2:$B$50000,B1453,全馬データ!$C$2:$C$50000,C1453,全馬データ!$D$2:$D$50000,E1453,全馬データ!$K$2:$K$50000,"&lt;&gt;")=0,"",SUMIFS(全馬データ!$K$2:$K$50000,全馬データ!$A$2:$A$50000,A1453,全馬データ!$B$2:$B$50000,B1453,全馬データ!$C$2:$C$50000,C1453,全馬データ!$D$2:$D$50000,E1453)))</f>
        <v/>
      </c>
      <c r="AP1453" s="8" t="str">
        <f aca="false">IF(A1453="","",IF(AO1453="","欠損",IF(AO1453&lt;=1.1,"1.0～1.1",IF(AO1453&lt;1.3,"1.2",IF(AO1453&lt;1.5,"1.3～1.4",IF(AO1453&lt;2,"1.5～1.9","2.0以上"))))))</f>
        <v/>
      </c>
      <c r="AQ1453" s="8" t="str">
        <f aca="false">IF(A1453="","",IF(ISNUMBER(SEARCH("2歳",Z1453)),"2歳戦",IF(ISNUMBER(SEARCH("3歳未勝利",Z1453)),"3歳未勝利",IF(ISNUMBER(SEARCH("未勝利",Z1453)),"その他未勝利",IF(ISNUMBER(SEARCH("G1",Z1453)),"G1",IF(ISNUMBER(SEARCH("G2",Z1453)),"G2",IF(ISNUMBER(SEARCH("G3",Z1453)),"G3",IF(ISNUMBER(SEARCH("古馬条件",Z1453)),"古馬条件戦",IF(ISNUMBER(SEARCH("重賞",Z1453)),"重賞","分類不能")))))))))</f>
        <v/>
      </c>
    </row>
    <row r="1454" customFormat="false" ht="15.75" hidden="false" customHeight="false" outlineLevel="0" collapsed="false">
      <c r="AO1454" s="8" t="str">
        <f aca="false">IF(A1454="","",IF(COUNTIFS(全馬データ!$A$2:$A$50000,A1454,全馬データ!$B$2:$B$50000,B1454,全馬データ!$C$2:$C$50000,C1454,全馬データ!$D$2:$D$50000,E1454,全馬データ!$K$2:$K$50000,"&lt;&gt;")=0,"",SUMIFS(全馬データ!$K$2:$K$50000,全馬データ!$A$2:$A$50000,A1454,全馬データ!$B$2:$B$50000,B1454,全馬データ!$C$2:$C$50000,C1454,全馬データ!$D$2:$D$50000,E1454)))</f>
        <v/>
      </c>
      <c r="AP1454" s="8" t="str">
        <f aca="false">IF(A1454="","",IF(AO1454="","欠損",IF(AO1454&lt;=1.1,"1.0～1.1",IF(AO1454&lt;1.3,"1.2",IF(AO1454&lt;1.5,"1.3～1.4",IF(AO1454&lt;2,"1.5～1.9","2.0以上"))))))</f>
        <v/>
      </c>
      <c r="AQ1454" s="8" t="str">
        <f aca="false">IF(A1454="","",IF(ISNUMBER(SEARCH("2歳",Z1454)),"2歳戦",IF(ISNUMBER(SEARCH("3歳未勝利",Z1454)),"3歳未勝利",IF(ISNUMBER(SEARCH("未勝利",Z1454)),"その他未勝利",IF(ISNUMBER(SEARCH("G1",Z1454)),"G1",IF(ISNUMBER(SEARCH("G2",Z1454)),"G2",IF(ISNUMBER(SEARCH("G3",Z1454)),"G3",IF(ISNUMBER(SEARCH("古馬条件",Z1454)),"古馬条件戦",IF(ISNUMBER(SEARCH("重賞",Z1454)),"重賞","分類不能")))))))))</f>
        <v/>
      </c>
    </row>
    <row r="1455" customFormat="false" ht="15.75" hidden="false" customHeight="false" outlineLevel="0" collapsed="false">
      <c r="AO1455" s="8" t="str">
        <f aca="false">IF(A1455="","",IF(COUNTIFS(全馬データ!$A$2:$A$50000,A1455,全馬データ!$B$2:$B$50000,B1455,全馬データ!$C$2:$C$50000,C1455,全馬データ!$D$2:$D$50000,E1455,全馬データ!$K$2:$K$50000,"&lt;&gt;")=0,"",SUMIFS(全馬データ!$K$2:$K$50000,全馬データ!$A$2:$A$50000,A1455,全馬データ!$B$2:$B$50000,B1455,全馬データ!$C$2:$C$50000,C1455,全馬データ!$D$2:$D$50000,E1455)))</f>
        <v/>
      </c>
      <c r="AP1455" s="8" t="str">
        <f aca="false">IF(A1455="","",IF(AO1455="","欠損",IF(AO1455&lt;=1.1,"1.0～1.1",IF(AO1455&lt;1.3,"1.2",IF(AO1455&lt;1.5,"1.3～1.4",IF(AO1455&lt;2,"1.5～1.9","2.0以上"))))))</f>
        <v/>
      </c>
      <c r="AQ1455" s="8" t="str">
        <f aca="false">IF(A1455="","",IF(ISNUMBER(SEARCH("2歳",Z1455)),"2歳戦",IF(ISNUMBER(SEARCH("3歳未勝利",Z1455)),"3歳未勝利",IF(ISNUMBER(SEARCH("未勝利",Z1455)),"その他未勝利",IF(ISNUMBER(SEARCH("G1",Z1455)),"G1",IF(ISNUMBER(SEARCH("G2",Z1455)),"G2",IF(ISNUMBER(SEARCH("G3",Z1455)),"G3",IF(ISNUMBER(SEARCH("古馬条件",Z1455)),"古馬条件戦",IF(ISNUMBER(SEARCH("重賞",Z1455)),"重賞","分類不能")))))))))</f>
        <v/>
      </c>
    </row>
    <row r="1456" customFormat="false" ht="15.75" hidden="false" customHeight="false" outlineLevel="0" collapsed="false">
      <c r="AO1456" s="8" t="str">
        <f aca="false">IF(A1456="","",IF(COUNTIFS(全馬データ!$A$2:$A$50000,A1456,全馬データ!$B$2:$B$50000,B1456,全馬データ!$C$2:$C$50000,C1456,全馬データ!$D$2:$D$50000,E1456,全馬データ!$K$2:$K$50000,"&lt;&gt;")=0,"",SUMIFS(全馬データ!$K$2:$K$50000,全馬データ!$A$2:$A$50000,A1456,全馬データ!$B$2:$B$50000,B1456,全馬データ!$C$2:$C$50000,C1456,全馬データ!$D$2:$D$50000,E1456)))</f>
        <v/>
      </c>
      <c r="AP1456" s="8" t="str">
        <f aca="false">IF(A1456="","",IF(AO1456="","欠損",IF(AO1456&lt;=1.1,"1.0～1.1",IF(AO1456&lt;1.3,"1.2",IF(AO1456&lt;1.5,"1.3～1.4",IF(AO1456&lt;2,"1.5～1.9","2.0以上"))))))</f>
        <v/>
      </c>
      <c r="AQ1456" s="8" t="str">
        <f aca="false">IF(A1456="","",IF(ISNUMBER(SEARCH("2歳",Z1456)),"2歳戦",IF(ISNUMBER(SEARCH("3歳未勝利",Z1456)),"3歳未勝利",IF(ISNUMBER(SEARCH("未勝利",Z1456)),"その他未勝利",IF(ISNUMBER(SEARCH("G1",Z1456)),"G1",IF(ISNUMBER(SEARCH("G2",Z1456)),"G2",IF(ISNUMBER(SEARCH("G3",Z1456)),"G3",IF(ISNUMBER(SEARCH("古馬条件",Z1456)),"古馬条件戦",IF(ISNUMBER(SEARCH("重賞",Z1456)),"重賞","分類不能")))))))))</f>
        <v/>
      </c>
    </row>
    <row r="1457" customFormat="false" ht="15.75" hidden="false" customHeight="false" outlineLevel="0" collapsed="false">
      <c r="AO1457" s="8" t="str">
        <f aca="false">IF(A1457="","",IF(COUNTIFS(全馬データ!$A$2:$A$50000,A1457,全馬データ!$B$2:$B$50000,B1457,全馬データ!$C$2:$C$50000,C1457,全馬データ!$D$2:$D$50000,E1457,全馬データ!$K$2:$K$50000,"&lt;&gt;")=0,"",SUMIFS(全馬データ!$K$2:$K$50000,全馬データ!$A$2:$A$50000,A1457,全馬データ!$B$2:$B$50000,B1457,全馬データ!$C$2:$C$50000,C1457,全馬データ!$D$2:$D$50000,E1457)))</f>
        <v/>
      </c>
      <c r="AP1457" s="8" t="str">
        <f aca="false">IF(A1457="","",IF(AO1457="","欠損",IF(AO1457&lt;=1.1,"1.0～1.1",IF(AO1457&lt;1.3,"1.2",IF(AO1457&lt;1.5,"1.3～1.4",IF(AO1457&lt;2,"1.5～1.9","2.0以上"))))))</f>
        <v/>
      </c>
      <c r="AQ1457" s="8" t="str">
        <f aca="false">IF(A1457="","",IF(ISNUMBER(SEARCH("2歳",Z1457)),"2歳戦",IF(ISNUMBER(SEARCH("3歳未勝利",Z1457)),"3歳未勝利",IF(ISNUMBER(SEARCH("未勝利",Z1457)),"その他未勝利",IF(ISNUMBER(SEARCH("G1",Z1457)),"G1",IF(ISNUMBER(SEARCH("G2",Z1457)),"G2",IF(ISNUMBER(SEARCH("G3",Z1457)),"G3",IF(ISNUMBER(SEARCH("古馬条件",Z1457)),"古馬条件戦",IF(ISNUMBER(SEARCH("重賞",Z1457)),"重賞","分類不能")))))))))</f>
        <v/>
      </c>
    </row>
    <row r="1458" customFormat="false" ht="15.75" hidden="false" customHeight="false" outlineLevel="0" collapsed="false">
      <c r="AO1458" s="8" t="str">
        <f aca="false">IF(A1458="","",IF(COUNTIFS(全馬データ!$A$2:$A$50000,A1458,全馬データ!$B$2:$B$50000,B1458,全馬データ!$C$2:$C$50000,C1458,全馬データ!$D$2:$D$50000,E1458,全馬データ!$K$2:$K$50000,"&lt;&gt;")=0,"",SUMIFS(全馬データ!$K$2:$K$50000,全馬データ!$A$2:$A$50000,A1458,全馬データ!$B$2:$B$50000,B1458,全馬データ!$C$2:$C$50000,C1458,全馬データ!$D$2:$D$50000,E1458)))</f>
        <v/>
      </c>
      <c r="AP1458" s="8" t="str">
        <f aca="false">IF(A1458="","",IF(AO1458="","欠損",IF(AO1458&lt;=1.1,"1.0～1.1",IF(AO1458&lt;1.3,"1.2",IF(AO1458&lt;1.5,"1.3～1.4",IF(AO1458&lt;2,"1.5～1.9","2.0以上"))))))</f>
        <v/>
      </c>
      <c r="AQ1458" s="8" t="str">
        <f aca="false">IF(A1458="","",IF(ISNUMBER(SEARCH("2歳",Z1458)),"2歳戦",IF(ISNUMBER(SEARCH("3歳未勝利",Z1458)),"3歳未勝利",IF(ISNUMBER(SEARCH("未勝利",Z1458)),"その他未勝利",IF(ISNUMBER(SEARCH("G1",Z1458)),"G1",IF(ISNUMBER(SEARCH("G2",Z1458)),"G2",IF(ISNUMBER(SEARCH("G3",Z1458)),"G3",IF(ISNUMBER(SEARCH("古馬条件",Z1458)),"古馬条件戦",IF(ISNUMBER(SEARCH("重賞",Z1458)),"重賞","分類不能")))))))))</f>
        <v/>
      </c>
    </row>
    <row r="1459" customFormat="false" ht="15.75" hidden="false" customHeight="false" outlineLevel="0" collapsed="false">
      <c r="AO1459" s="8" t="str">
        <f aca="false">IF(A1459="","",IF(COUNTIFS(全馬データ!$A$2:$A$50000,A1459,全馬データ!$B$2:$B$50000,B1459,全馬データ!$C$2:$C$50000,C1459,全馬データ!$D$2:$D$50000,E1459,全馬データ!$K$2:$K$50000,"&lt;&gt;")=0,"",SUMIFS(全馬データ!$K$2:$K$50000,全馬データ!$A$2:$A$50000,A1459,全馬データ!$B$2:$B$50000,B1459,全馬データ!$C$2:$C$50000,C1459,全馬データ!$D$2:$D$50000,E1459)))</f>
        <v/>
      </c>
      <c r="AP1459" s="8" t="str">
        <f aca="false">IF(A1459="","",IF(AO1459="","欠損",IF(AO1459&lt;=1.1,"1.0～1.1",IF(AO1459&lt;1.3,"1.2",IF(AO1459&lt;1.5,"1.3～1.4",IF(AO1459&lt;2,"1.5～1.9","2.0以上"))))))</f>
        <v/>
      </c>
      <c r="AQ1459" s="8" t="str">
        <f aca="false">IF(A1459="","",IF(ISNUMBER(SEARCH("2歳",Z1459)),"2歳戦",IF(ISNUMBER(SEARCH("3歳未勝利",Z1459)),"3歳未勝利",IF(ISNUMBER(SEARCH("未勝利",Z1459)),"その他未勝利",IF(ISNUMBER(SEARCH("G1",Z1459)),"G1",IF(ISNUMBER(SEARCH("G2",Z1459)),"G2",IF(ISNUMBER(SEARCH("G3",Z1459)),"G3",IF(ISNUMBER(SEARCH("古馬条件",Z1459)),"古馬条件戦",IF(ISNUMBER(SEARCH("重賞",Z1459)),"重賞","分類不能")))))))))</f>
        <v/>
      </c>
    </row>
    <row r="1460" customFormat="false" ht="15.75" hidden="false" customHeight="false" outlineLevel="0" collapsed="false">
      <c r="AO1460" s="8" t="str">
        <f aca="false">IF(A1460="","",IF(COUNTIFS(全馬データ!$A$2:$A$50000,A1460,全馬データ!$B$2:$B$50000,B1460,全馬データ!$C$2:$C$50000,C1460,全馬データ!$D$2:$D$50000,E1460,全馬データ!$K$2:$K$50000,"&lt;&gt;")=0,"",SUMIFS(全馬データ!$K$2:$K$50000,全馬データ!$A$2:$A$50000,A1460,全馬データ!$B$2:$B$50000,B1460,全馬データ!$C$2:$C$50000,C1460,全馬データ!$D$2:$D$50000,E1460)))</f>
        <v/>
      </c>
      <c r="AP1460" s="8" t="str">
        <f aca="false">IF(A1460="","",IF(AO1460="","欠損",IF(AO1460&lt;=1.1,"1.0～1.1",IF(AO1460&lt;1.3,"1.2",IF(AO1460&lt;1.5,"1.3～1.4",IF(AO1460&lt;2,"1.5～1.9","2.0以上"))))))</f>
        <v/>
      </c>
      <c r="AQ1460" s="8" t="str">
        <f aca="false">IF(A1460="","",IF(ISNUMBER(SEARCH("2歳",Z1460)),"2歳戦",IF(ISNUMBER(SEARCH("3歳未勝利",Z1460)),"3歳未勝利",IF(ISNUMBER(SEARCH("未勝利",Z1460)),"その他未勝利",IF(ISNUMBER(SEARCH("G1",Z1460)),"G1",IF(ISNUMBER(SEARCH("G2",Z1460)),"G2",IF(ISNUMBER(SEARCH("G3",Z1460)),"G3",IF(ISNUMBER(SEARCH("古馬条件",Z1460)),"古馬条件戦",IF(ISNUMBER(SEARCH("重賞",Z1460)),"重賞","分類不能")))))))))</f>
        <v/>
      </c>
    </row>
    <row r="1461" customFormat="false" ht="15.75" hidden="false" customHeight="false" outlineLevel="0" collapsed="false">
      <c r="AO1461" s="8" t="str">
        <f aca="false">IF(A1461="","",IF(COUNTIFS(全馬データ!$A$2:$A$50000,A1461,全馬データ!$B$2:$B$50000,B1461,全馬データ!$C$2:$C$50000,C1461,全馬データ!$D$2:$D$50000,E1461,全馬データ!$K$2:$K$50000,"&lt;&gt;")=0,"",SUMIFS(全馬データ!$K$2:$K$50000,全馬データ!$A$2:$A$50000,A1461,全馬データ!$B$2:$B$50000,B1461,全馬データ!$C$2:$C$50000,C1461,全馬データ!$D$2:$D$50000,E1461)))</f>
        <v/>
      </c>
      <c r="AP1461" s="8" t="str">
        <f aca="false">IF(A1461="","",IF(AO1461="","欠損",IF(AO1461&lt;=1.1,"1.0～1.1",IF(AO1461&lt;1.3,"1.2",IF(AO1461&lt;1.5,"1.3～1.4",IF(AO1461&lt;2,"1.5～1.9","2.0以上"))))))</f>
        <v/>
      </c>
      <c r="AQ1461" s="8" t="str">
        <f aca="false">IF(A1461="","",IF(ISNUMBER(SEARCH("2歳",Z1461)),"2歳戦",IF(ISNUMBER(SEARCH("3歳未勝利",Z1461)),"3歳未勝利",IF(ISNUMBER(SEARCH("未勝利",Z1461)),"その他未勝利",IF(ISNUMBER(SEARCH("G1",Z1461)),"G1",IF(ISNUMBER(SEARCH("G2",Z1461)),"G2",IF(ISNUMBER(SEARCH("G3",Z1461)),"G3",IF(ISNUMBER(SEARCH("古馬条件",Z1461)),"古馬条件戦",IF(ISNUMBER(SEARCH("重賞",Z1461)),"重賞","分類不能")))))))))</f>
        <v/>
      </c>
    </row>
    <row r="1462" customFormat="false" ht="15.75" hidden="false" customHeight="false" outlineLevel="0" collapsed="false">
      <c r="AO1462" s="8" t="str">
        <f aca="false">IF(A1462="","",IF(COUNTIFS(全馬データ!$A$2:$A$50000,A1462,全馬データ!$B$2:$B$50000,B1462,全馬データ!$C$2:$C$50000,C1462,全馬データ!$D$2:$D$50000,E1462,全馬データ!$K$2:$K$50000,"&lt;&gt;")=0,"",SUMIFS(全馬データ!$K$2:$K$50000,全馬データ!$A$2:$A$50000,A1462,全馬データ!$B$2:$B$50000,B1462,全馬データ!$C$2:$C$50000,C1462,全馬データ!$D$2:$D$50000,E1462)))</f>
        <v/>
      </c>
      <c r="AP1462" s="8" t="str">
        <f aca="false">IF(A1462="","",IF(AO1462="","欠損",IF(AO1462&lt;=1.1,"1.0～1.1",IF(AO1462&lt;1.3,"1.2",IF(AO1462&lt;1.5,"1.3～1.4",IF(AO1462&lt;2,"1.5～1.9","2.0以上"))))))</f>
        <v/>
      </c>
      <c r="AQ1462" s="8" t="str">
        <f aca="false">IF(A1462="","",IF(ISNUMBER(SEARCH("2歳",Z1462)),"2歳戦",IF(ISNUMBER(SEARCH("3歳未勝利",Z1462)),"3歳未勝利",IF(ISNUMBER(SEARCH("未勝利",Z1462)),"その他未勝利",IF(ISNUMBER(SEARCH("G1",Z1462)),"G1",IF(ISNUMBER(SEARCH("G2",Z1462)),"G2",IF(ISNUMBER(SEARCH("G3",Z1462)),"G3",IF(ISNUMBER(SEARCH("古馬条件",Z1462)),"古馬条件戦",IF(ISNUMBER(SEARCH("重賞",Z1462)),"重賞","分類不能")))))))))</f>
        <v/>
      </c>
    </row>
    <row r="1463" customFormat="false" ht="15.75" hidden="false" customHeight="false" outlineLevel="0" collapsed="false">
      <c r="AO1463" s="8" t="str">
        <f aca="false">IF(A1463="","",IF(COUNTIFS(全馬データ!$A$2:$A$50000,A1463,全馬データ!$B$2:$B$50000,B1463,全馬データ!$C$2:$C$50000,C1463,全馬データ!$D$2:$D$50000,E1463,全馬データ!$K$2:$K$50000,"&lt;&gt;")=0,"",SUMIFS(全馬データ!$K$2:$K$50000,全馬データ!$A$2:$A$50000,A1463,全馬データ!$B$2:$B$50000,B1463,全馬データ!$C$2:$C$50000,C1463,全馬データ!$D$2:$D$50000,E1463)))</f>
        <v/>
      </c>
      <c r="AP1463" s="8" t="str">
        <f aca="false">IF(A1463="","",IF(AO1463="","欠損",IF(AO1463&lt;=1.1,"1.0～1.1",IF(AO1463&lt;1.3,"1.2",IF(AO1463&lt;1.5,"1.3～1.4",IF(AO1463&lt;2,"1.5～1.9","2.0以上"))))))</f>
        <v/>
      </c>
      <c r="AQ1463" s="8" t="str">
        <f aca="false">IF(A1463="","",IF(ISNUMBER(SEARCH("2歳",Z1463)),"2歳戦",IF(ISNUMBER(SEARCH("3歳未勝利",Z1463)),"3歳未勝利",IF(ISNUMBER(SEARCH("未勝利",Z1463)),"その他未勝利",IF(ISNUMBER(SEARCH("G1",Z1463)),"G1",IF(ISNUMBER(SEARCH("G2",Z1463)),"G2",IF(ISNUMBER(SEARCH("G3",Z1463)),"G3",IF(ISNUMBER(SEARCH("古馬条件",Z1463)),"古馬条件戦",IF(ISNUMBER(SEARCH("重賞",Z1463)),"重賞","分類不能")))))))))</f>
        <v/>
      </c>
    </row>
    <row r="1464" customFormat="false" ht="15.75" hidden="false" customHeight="false" outlineLevel="0" collapsed="false">
      <c r="AO1464" s="8" t="str">
        <f aca="false">IF(A1464="","",IF(COUNTIFS(全馬データ!$A$2:$A$50000,A1464,全馬データ!$B$2:$B$50000,B1464,全馬データ!$C$2:$C$50000,C1464,全馬データ!$D$2:$D$50000,E1464,全馬データ!$K$2:$K$50000,"&lt;&gt;")=0,"",SUMIFS(全馬データ!$K$2:$K$50000,全馬データ!$A$2:$A$50000,A1464,全馬データ!$B$2:$B$50000,B1464,全馬データ!$C$2:$C$50000,C1464,全馬データ!$D$2:$D$50000,E1464)))</f>
        <v/>
      </c>
      <c r="AP1464" s="8" t="str">
        <f aca="false">IF(A1464="","",IF(AO1464="","欠損",IF(AO1464&lt;=1.1,"1.0～1.1",IF(AO1464&lt;1.3,"1.2",IF(AO1464&lt;1.5,"1.3～1.4",IF(AO1464&lt;2,"1.5～1.9","2.0以上"))))))</f>
        <v/>
      </c>
      <c r="AQ1464" s="8" t="str">
        <f aca="false">IF(A1464="","",IF(ISNUMBER(SEARCH("2歳",Z1464)),"2歳戦",IF(ISNUMBER(SEARCH("3歳未勝利",Z1464)),"3歳未勝利",IF(ISNUMBER(SEARCH("未勝利",Z1464)),"その他未勝利",IF(ISNUMBER(SEARCH("G1",Z1464)),"G1",IF(ISNUMBER(SEARCH("G2",Z1464)),"G2",IF(ISNUMBER(SEARCH("G3",Z1464)),"G3",IF(ISNUMBER(SEARCH("古馬条件",Z1464)),"古馬条件戦",IF(ISNUMBER(SEARCH("重賞",Z1464)),"重賞","分類不能")))))))))</f>
        <v/>
      </c>
    </row>
    <row r="1465" customFormat="false" ht="15.75" hidden="false" customHeight="false" outlineLevel="0" collapsed="false">
      <c r="AO1465" s="8" t="str">
        <f aca="false">IF(A1465="","",IF(COUNTIFS(全馬データ!$A$2:$A$50000,A1465,全馬データ!$B$2:$B$50000,B1465,全馬データ!$C$2:$C$50000,C1465,全馬データ!$D$2:$D$50000,E1465,全馬データ!$K$2:$K$50000,"&lt;&gt;")=0,"",SUMIFS(全馬データ!$K$2:$K$50000,全馬データ!$A$2:$A$50000,A1465,全馬データ!$B$2:$B$50000,B1465,全馬データ!$C$2:$C$50000,C1465,全馬データ!$D$2:$D$50000,E1465)))</f>
        <v/>
      </c>
      <c r="AP1465" s="8" t="str">
        <f aca="false">IF(A1465="","",IF(AO1465="","欠損",IF(AO1465&lt;=1.1,"1.0～1.1",IF(AO1465&lt;1.3,"1.2",IF(AO1465&lt;1.5,"1.3～1.4",IF(AO1465&lt;2,"1.5～1.9","2.0以上"))))))</f>
        <v/>
      </c>
      <c r="AQ1465" s="8" t="str">
        <f aca="false">IF(A1465="","",IF(ISNUMBER(SEARCH("2歳",Z1465)),"2歳戦",IF(ISNUMBER(SEARCH("3歳未勝利",Z1465)),"3歳未勝利",IF(ISNUMBER(SEARCH("未勝利",Z1465)),"その他未勝利",IF(ISNUMBER(SEARCH("G1",Z1465)),"G1",IF(ISNUMBER(SEARCH("G2",Z1465)),"G2",IF(ISNUMBER(SEARCH("G3",Z1465)),"G3",IF(ISNUMBER(SEARCH("古馬条件",Z1465)),"古馬条件戦",IF(ISNUMBER(SEARCH("重賞",Z1465)),"重賞","分類不能")))))))))</f>
        <v/>
      </c>
    </row>
    <row r="1466" customFormat="false" ht="15.75" hidden="false" customHeight="false" outlineLevel="0" collapsed="false">
      <c r="AO1466" s="8" t="str">
        <f aca="false">IF(A1466="","",IF(COUNTIFS(全馬データ!$A$2:$A$50000,A1466,全馬データ!$B$2:$B$50000,B1466,全馬データ!$C$2:$C$50000,C1466,全馬データ!$D$2:$D$50000,E1466,全馬データ!$K$2:$K$50000,"&lt;&gt;")=0,"",SUMIFS(全馬データ!$K$2:$K$50000,全馬データ!$A$2:$A$50000,A1466,全馬データ!$B$2:$B$50000,B1466,全馬データ!$C$2:$C$50000,C1466,全馬データ!$D$2:$D$50000,E1466)))</f>
        <v/>
      </c>
      <c r="AP1466" s="8" t="str">
        <f aca="false">IF(A1466="","",IF(AO1466="","欠損",IF(AO1466&lt;=1.1,"1.0～1.1",IF(AO1466&lt;1.3,"1.2",IF(AO1466&lt;1.5,"1.3～1.4",IF(AO1466&lt;2,"1.5～1.9","2.0以上"))))))</f>
        <v/>
      </c>
      <c r="AQ1466" s="8" t="str">
        <f aca="false">IF(A1466="","",IF(ISNUMBER(SEARCH("2歳",Z1466)),"2歳戦",IF(ISNUMBER(SEARCH("3歳未勝利",Z1466)),"3歳未勝利",IF(ISNUMBER(SEARCH("未勝利",Z1466)),"その他未勝利",IF(ISNUMBER(SEARCH("G1",Z1466)),"G1",IF(ISNUMBER(SEARCH("G2",Z1466)),"G2",IF(ISNUMBER(SEARCH("G3",Z1466)),"G3",IF(ISNUMBER(SEARCH("古馬条件",Z1466)),"古馬条件戦",IF(ISNUMBER(SEARCH("重賞",Z1466)),"重賞","分類不能")))))))))</f>
        <v/>
      </c>
    </row>
    <row r="1467" customFormat="false" ht="15.75" hidden="false" customHeight="false" outlineLevel="0" collapsed="false">
      <c r="AO1467" s="8" t="str">
        <f aca="false">IF(A1467="","",IF(COUNTIFS(全馬データ!$A$2:$A$50000,A1467,全馬データ!$B$2:$B$50000,B1467,全馬データ!$C$2:$C$50000,C1467,全馬データ!$D$2:$D$50000,E1467,全馬データ!$K$2:$K$50000,"&lt;&gt;")=0,"",SUMIFS(全馬データ!$K$2:$K$50000,全馬データ!$A$2:$A$50000,A1467,全馬データ!$B$2:$B$50000,B1467,全馬データ!$C$2:$C$50000,C1467,全馬データ!$D$2:$D$50000,E1467)))</f>
        <v/>
      </c>
      <c r="AP1467" s="8" t="str">
        <f aca="false">IF(A1467="","",IF(AO1467="","欠損",IF(AO1467&lt;=1.1,"1.0～1.1",IF(AO1467&lt;1.3,"1.2",IF(AO1467&lt;1.5,"1.3～1.4",IF(AO1467&lt;2,"1.5～1.9","2.0以上"))))))</f>
        <v/>
      </c>
      <c r="AQ1467" s="8" t="str">
        <f aca="false">IF(A1467="","",IF(ISNUMBER(SEARCH("2歳",Z1467)),"2歳戦",IF(ISNUMBER(SEARCH("3歳未勝利",Z1467)),"3歳未勝利",IF(ISNUMBER(SEARCH("未勝利",Z1467)),"その他未勝利",IF(ISNUMBER(SEARCH("G1",Z1467)),"G1",IF(ISNUMBER(SEARCH("G2",Z1467)),"G2",IF(ISNUMBER(SEARCH("G3",Z1467)),"G3",IF(ISNUMBER(SEARCH("古馬条件",Z1467)),"古馬条件戦",IF(ISNUMBER(SEARCH("重賞",Z1467)),"重賞","分類不能")))))))))</f>
        <v/>
      </c>
    </row>
    <row r="1468" customFormat="false" ht="15.75" hidden="false" customHeight="false" outlineLevel="0" collapsed="false">
      <c r="AO1468" s="8" t="str">
        <f aca="false">IF(A1468="","",IF(COUNTIFS(全馬データ!$A$2:$A$50000,A1468,全馬データ!$B$2:$B$50000,B1468,全馬データ!$C$2:$C$50000,C1468,全馬データ!$D$2:$D$50000,E1468,全馬データ!$K$2:$K$50000,"&lt;&gt;")=0,"",SUMIFS(全馬データ!$K$2:$K$50000,全馬データ!$A$2:$A$50000,A1468,全馬データ!$B$2:$B$50000,B1468,全馬データ!$C$2:$C$50000,C1468,全馬データ!$D$2:$D$50000,E1468)))</f>
        <v/>
      </c>
      <c r="AP1468" s="8" t="str">
        <f aca="false">IF(A1468="","",IF(AO1468="","欠損",IF(AO1468&lt;=1.1,"1.0～1.1",IF(AO1468&lt;1.3,"1.2",IF(AO1468&lt;1.5,"1.3～1.4",IF(AO1468&lt;2,"1.5～1.9","2.0以上"))))))</f>
        <v/>
      </c>
      <c r="AQ1468" s="8" t="str">
        <f aca="false">IF(A1468="","",IF(ISNUMBER(SEARCH("2歳",Z1468)),"2歳戦",IF(ISNUMBER(SEARCH("3歳未勝利",Z1468)),"3歳未勝利",IF(ISNUMBER(SEARCH("未勝利",Z1468)),"その他未勝利",IF(ISNUMBER(SEARCH("G1",Z1468)),"G1",IF(ISNUMBER(SEARCH("G2",Z1468)),"G2",IF(ISNUMBER(SEARCH("G3",Z1468)),"G3",IF(ISNUMBER(SEARCH("古馬条件",Z1468)),"古馬条件戦",IF(ISNUMBER(SEARCH("重賞",Z1468)),"重賞","分類不能")))))))))</f>
        <v/>
      </c>
    </row>
    <row r="1469" customFormat="false" ht="15.75" hidden="false" customHeight="false" outlineLevel="0" collapsed="false">
      <c r="AO1469" s="8" t="str">
        <f aca="false">IF(A1469="","",IF(COUNTIFS(全馬データ!$A$2:$A$50000,A1469,全馬データ!$B$2:$B$50000,B1469,全馬データ!$C$2:$C$50000,C1469,全馬データ!$D$2:$D$50000,E1469,全馬データ!$K$2:$K$50000,"&lt;&gt;")=0,"",SUMIFS(全馬データ!$K$2:$K$50000,全馬データ!$A$2:$A$50000,A1469,全馬データ!$B$2:$B$50000,B1469,全馬データ!$C$2:$C$50000,C1469,全馬データ!$D$2:$D$50000,E1469)))</f>
        <v/>
      </c>
      <c r="AP1469" s="8" t="str">
        <f aca="false">IF(A1469="","",IF(AO1469="","欠損",IF(AO1469&lt;=1.1,"1.0～1.1",IF(AO1469&lt;1.3,"1.2",IF(AO1469&lt;1.5,"1.3～1.4",IF(AO1469&lt;2,"1.5～1.9","2.0以上"))))))</f>
        <v/>
      </c>
      <c r="AQ1469" s="8" t="str">
        <f aca="false">IF(A1469="","",IF(ISNUMBER(SEARCH("2歳",Z1469)),"2歳戦",IF(ISNUMBER(SEARCH("3歳未勝利",Z1469)),"3歳未勝利",IF(ISNUMBER(SEARCH("未勝利",Z1469)),"その他未勝利",IF(ISNUMBER(SEARCH("G1",Z1469)),"G1",IF(ISNUMBER(SEARCH("G2",Z1469)),"G2",IF(ISNUMBER(SEARCH("G3",Z1469)),"G3",IF(ISNUMBER(SEARCH("古馬条件",Z1469)),"古馬条件戦",IF(ISNUMBER(SEARCH("重賞",Z1469)),"重賞","分類不能")))))))))</f>
        <v/>
      </c>
    </row>
    <row r="1470" customFormat="false" ht="15.75" hidden="false" customHeight="false" outlineLevel="0" collapsed="false">
      <c r="AO1470" s="8" t="str">
        <f aca="false">IF(A1470="","",IF(COUNTIFS(全馬データ!$A$2:$A$50000,A1470,全馬データ!$B$2:$B$50000,B1470,全馬データ!$C$2:$C$50000,C1470,全馬データ!$D$2:$D$50000,E1470,全馬データ!$K$2:$K$50000,"&lt;&gt;")=0,"",SUMIFS(全馬データ!$K$2:$K$50000,全馬データ!$A$2:$A$50000,A1470,全馬データ!$B$2:$B$50000,B1470,全馬データ!$C$2:$C$50000,C1470,全馬データ!$D$2:$D$50000,E1470)))</f>
        <v/>
      </c>
      <c r="AP1470" s="8" t="str">
        <f aca="false">IF(A1470="","",IF(AO1470="","欠損",IF(AO1470&lt;=1.1,"1.0～1.1",IF(AO1470&lt;1.3,"1.2",IF(AO1470&lt;1.5,"1.3～1.4",IF(AO1470&lt;2,"1.5～1.9","2.0以上"))))))</f>
        <v/>
      </c>
      <c r="AQ1470" s="8" t="str">
        <f aca="false">IF(A1470="","",IF(ISNUMBER(SEARCH("2歳",Z1470)),"2歳戦",IF(ISNUMBER(SEARCH("3歳未勝利",Z1470)),"3歳未勝利",IF(ISNUMBER(SEARCH("未勝利",Z1470)),"その他未勝利",IF(ISNUMBER(SEARCH("G1",Z1470)),"G1",IF(ISNUMBER(SEARCH("G2",Z1470)),"G2",IF(ISNUMBER(SEARCH("G3",Z1470)),"G3",IF(ISNUMBER(SEARCH("古馬条件",Z1470)),"古馬条件戦",IF(ISNUMBER(SEARCH("重賞",Z1470)),"重賞","分類不能")))))))))</f>
        <v/>
      </c>
    </row>
    <row r="1471" customFormat="false" ht="15.75" hidden="false" customHeight="false" outlineLevel="0" collapsed="false">
      <c r="AO1471" s="8" t="str">
        <f aca="false">IF(A1471="","",IF(COUNTIFS(全馬データ!$A$2:$A$50000,A1471,全馬データ!$B$2:$B$50000,B1471,全馬データ!$C$2:$C$50000,C1471,全馬データ!$D$2:$D$50000,E1471,全馬データ!$K$2:$K$50000,"&lt;&gt;")=0,"",SUMIFS(全馬データ!$K$2:$K$50000,全馬データ!$A$2:$A$50000,A1471,全馬データ!$B$2:$B$50000,B1471,全馬データ!$C$2:$C$50000,C1471,全馬データ!$D$2:$D$50000,E1471)))</f>
        <v/>
      </c>
      <c r="AP1471" s="8" t="str">
        <f aca="false">IF(A1471="","",IF(AO1471="","欠損",IF(AO1471&lt;=1.1,"1.0～1.1",IF(AO1471&lt;1.3,"1.2",IF(AO1471&lt;1.5,"1.3～1.4",IF(AO1471&lt;2,"1.5～1.9","2.0以上"))))))</f>
        <v/>
      </c>
      <c r="AQ1471" s="8" t="str">
        <f aca="false">IF(A1471="","",IF(ISNUMBER(SEARCH("2歳",Z1471)),"2歳戦",IF(ISNUMBER(SEARCH("3歳未勝利",Z1471)),"3歳未勝利",IF(ISNUMBER(SEARCH("未勝利",Z1471)),"その他未勝利",IF(ISNUMBER(SEARCH("G1",Z1471)),"G1",IF(ISNUMBER(SEARCH("G2",Z1471)),"G2",IF(ISNUMBER(SEARCH("G3",Z1471)),"G3",IF(ISNUMBER(SEARCH("古馬条件",Z1471)),"古馬条件戦",IF(ISNUMBER(SEARCH("重賞",Z1471)),"重賞","分類不能")))))))))</f>
        <v/>
      </c>
    </row>
    <row r="1472" customFormat="false" ht="15.75" hidden="false" customHeight="false" outlineLevel="0" collapsed="false">
      <c r="AO1472" s="8" t="str">
        <f aca="false">IF(A1472="","",IF(COUNTIFS(全馬データ!$A$2:$A$50000,A1472,全馬データ!$B$2:$B$50000,B1472,全馬データ!$C$2:$C$50000,C1472,全馬データ!$D$2:$D$50000,E1472,全馬データ!$K$2:$K$50000,"&lt;&gt;")=0,"",SUMIFS(全馬データ!$K$2:$K$50000,全馬データ!$A$2:$A$50000,A1472,全馬データ!$B$2:$B$50000,B1472,全馬データ!$C$2:$C$50000,C1472,全馬データ!$D$2:$D$50000,E1472)))</f>
        <v/>
      </c>
      <c r="AP1472" s="8" t="str">
        <f aca="false">IF(A1472="","",IF(AO1472="","欠損",IF(AO1472&lt;=1.1,"1.0～1.1",IF(AO1472&lt;1.3,"1.2",IF(AO1472&lt;1.5,"1.3～1.4",IF(AO1472&lt;2,"1.5～1.9","2.0以上"))))))</f>
        <v/>
      </c>
      <c r="AQ1472" s="8" t="str">
        <f aca="false">IF(A1472="","",IF(ISNUMBER(SEARCH("2歳",Z1472)),"2歳戦",IF(ISNUMBER(SEARCH("3歳未勝利",Z1472)),"3歳未勝利",IF(ISNUMBER(SEARCH("未勝利",Z1472)),"その他未勝利",IF(ISNUMBER(SEARCH("G1",Z1472)),"G1",IF(ISNUMBER(SEARCH("G2",Z1472)),"G2",IF(ISNUMBER(SEARCH("G3",Z1472)),"G3",IF(ISNUMBER(SEARCH("古馬条件",Z1472)),"古馬条件戦",IF(ISNUMBER(SEARCH("重賞",Z1472)),"重賞","分類不能")))))))))</f>
        <v/>
      </c>
    </row>
    <row r="1473" customFormat="false" ht="15.75" hidden="false" customHeight="false" outlineLevel="0" collapsed="false">
      <c r="AO1473" s="8" t="str">
        <f aca="false">IF(A1473="","",IF(COUNTIFS(全馬データ!$A$2:$A$50000,A1473,全馬データ!$B$2:$B$50000,B1473,全馬データ!$C$2:$C$50000,C1473,全馬データ!$D$2:$D$50000,E1473,全馬データ!$K$2:$K$50000,"&lt;&gt;")=0,"",SUMIFS(全馬データ!$K$2:$K$50000,全馬データ!$A$2:$A$50000,A1473,全馬データ!$B$2:$B$50000,B1473,全馬データ!$C$2:$C$50000,C1473,全馬データ!$D$2:$D$50000,E1473)))</f>
        <v/>
      </c>
      <c r="AP1473" s="8" t="str">
        <f aca="false">IF(A1473="","",IF(AO1473="","欠損",IF(AO1473&lt;=1.1,"1.0～1.1",IF(AO1473&lt;1.3,"1.2",IF(AO1473&lt;1.5,"1.3～1.4",IF(AO1473&lt;2,"1.5～1.9","2.0以上"))))))</f>
        <v/>
      </c>
      <c r="AQ1473" s="8" t="str">
        <f aca="false">IF(A1473="","",IF(ISNUMBER(SEARCH("2歳",Z1473)),"2歳戦",IF(ISNUMBER(SEARCH("3歳未勝利",Z1473)),"3歳未勝利",IF(ISNUMBER(SEARCH("未勝利",Z1473)),"その他未勝利",IF(ISNUMBER(SEARCH("G1",Z1473)),"G1",IF(ISNUMBER(SEARCH("G2",Z1473)),"G2",IF(ISNUMBER(SEARCH("G3",Z1473)),"G3",IF(ISNUMBER(SEARCH("古馬条件",Z1473)),"古馬条件戦",IF(ISNUMBER(SEARCH("重賞",Z1473)),"重賞","分類不能")))))))))</f>
        <v/>
      </c>
    </row>
    <row r="1474" customFormat="false" ht="15.75" hidden="false" customHeight="false" outlineLevel="0" collapsed="false">
      <c r="AO1474" s="8" t="str">
        <f aca="false">IF(A1474="","",IF(COUNTIFS(全馬データ!$A$2:$A$50000,A1474,全馬データ!$B$2:$B$50000,B1474,全馬データ!$C$2:$C$50000,C1474,全馬データ!$D$2:$D$50000,E1474,全馬データ!$K$2:$K$50000,"&lt;&gt;")=0,"",SUMIFS(全馬データ!$K$2:$K$50000,全馬データ!$A$2:$A$50000,A1474,全馬データ!$B$2:$B$50000,B1474,全馬データ!$C$2:$C$50000,C1474,全馬データ!$D$2:$D$50000,E1474)))</f>
        <v/>
      </c>
      <c r="AP1474" s="8" t="str">
        <f aca="false">IF(A1474="","",IF(AO1474="","欠損",IF(AO1474&lt;=1.1,"1.0～1.1",IF(AO1474&lt;1.3,"1.2",IF(AO1474&lt;1.5,"1.3～1.4",IF(AO1474&lt;2,"1.5～1.9","2.0以上"))))))</f>
        <v/>
      </c>
      <c r="AQ1474" s="8" t="str">
        <f aca="false">IF(A1474="","",IF(ISNUMBER(SEARCH("2歳",Z1474)),"2歳戦",IF(ISNUMBER(SEARCH("3歳未勝利",Z1474)),"3歳未勝利",IF(ISNUMBER(SEARCH("未勝利",Z1474)),"その他未勝利",IF(ISNUMBER(SEARCH("G1",Z1474)),"G1",IF(ISNUMBER(SEARCH("G2",Z1474)),"G2",IF(ISNUMBER(SEARCH("G3",Z1474)),"G3",IF(ISNUMBER(SEARCH("古馬条件",Z1474)),"古馬条件戦",IF(ISNUMBER(SEARCH("重賞",Z1474)),"重賞","分類不能")))))))))</f>
        <v/>
      </c>
    </row>
    <row r="1475" customFormat="false" ht="15.75" hidden="false" customHeight="false" outlineLevel="0" collapsed="false">
      <c r="AO1475" s="8" t="str">
        <f aca="false">IF(A1475="","",IF(COUNTIFS(全馬データ!$A$2:$A$50000,A1475,全馬データ!$B$2:$B$50000,B1475,全馬データ!$C$2:$C$50000,C1475,全馬データ!$D$2:$D$50000,E1475,全馬データ!$K$2:$K$50000,"&lt;&gt;")=0,"",SUMIFS(全馬データ!$K$2:$K$50000,全馬データ!$A$2:$A$50000,A1475,全馬データ!$B$2:$B$50000,B1475,全馬データ!$C$2:$C$50000,C1475,全馬データ!$D$2:$D$50000,E1475)))</f>
        <v/>
      </c>
      <c r="AP1475" s="8" t="str">
        <f aca="false">IF(A1475="","",IF(AO1475="","欠損",IF(AO1475&lt;=1.1,"1.0～1.1",IF(AO1475&lt;1.3,"1.2",IF(AO1475&lt;1.5,"1.3～1.4",IF(AO1475&lt;2,"1.5～1.9","2.0以上"))))))</f>
        <v/>
      </c>
      <c r="AQ1475" s="8" t="str">
        <f aca="false">IF(A1475="","",IF(ISNUMBER(SEARCH("2歳",Z1475)),"2歳戦",IF(ISNUMBER(SEARCH("3歳未勝利",Z1475)),"3歳未勝利",IF(ISNUMBER(SEARCH("未勝利",Z1475)),"その他未勝利",IF(ISNUMBER(SEARCH("G1",Z1475)),"G1",IF(ISNUMBER(SEARCH("G2",Z1475)),"G2",IF(ISNUMBER(SEARCH("G3",Z1475)),"G3",IF(ISNUMBER(SEARCH("古馬条件",Z1475)),"古馬条件戦",IF(ISNUMBER(SEARCH("重賞",Z1475)),"重賞","分類不能")))))))))</f>
        <v/>
      </c>
    </row>
    <row r="1476" customFormat="false" ht="15.75" hidden="false" customHeight="false" outlineLevel="0" collapsed="false">
      <c r="AO1476" s="8" t="str">
        <f aca="false">IF(A1476="","",IF(COUNTIFS(全馬データ!$A$2:$A$50000,A1476,全馬データ!$B$2:$B$50000,B1476,全馬データ!$C$2:$C$50000,C1476,全馬データ!$D$2:$D$50000,E1476,全馬データ!$K$2:$K$50000,"&lt;&gt;")=0,"",SUMIFS(全馬データ!$K$2:$K$50000,全馬データ!$A$2:$A$50000,A1476,全馬データ!$B$2:$B$50000,B1476,全馬データ!$C$2:$C$50000,C1476,全馬データ!$D$2:$D$50000,E1476)))</f>
        <v/>
      </c>
      <c r="AP1476" s="8" t="str">
        <f aca="false">IF(A1476="","",IF(AO1476="","欠損",IF(AO1476&lt;=1.1,"1.0～1.1",IF(AO1476&lt;1.3,"1.2",IF(AO1476&lt;1.5,"1.3～1.4",IF(AO1476&lt;2,"1.5～1.9","2.0以上"))))))</f>
        <v/>
      </c>
      <c r="AQ1476" s="8" t="str">
        <f aca="false">IF(A1476="","",IF(ISNUMBER(SEARCH("2歳",Z1476)),"2歳戦",IF(ISNUMBER(SEARCH("3歳未勝利",Z1476)),"3歳未勝利",IF(ISNUMBER(SEARCH("未勝利",Z1476)),"その他未勝利",IF(ISNUMBER(SEARCH("G1",Z1476)),"G1",IF(ISNUMBER(SEARCH("G2",Z1476)),"G2",IF(ISNUMBER(SEARCH("G3",Z1476)),"G3",IF(ISNUMBER(SEARCH("古馬条件",Z1476)),"古馬条件戦",IF(ISNUMBER(SEARCH("重賞",Z1476)),"重賞","分類不能")))))))))</f>
        <v/>
      </c>
    </row>
    <row r="1477" customFormat="false" ht="15.75" hidden="false" customHeight="false" outlineLevel="0" collapsed="false">
      <c r="AO1477" s="8" t="str">
        <f aca="false">IF(A1477="","",IF(COUNTIFS(全馬データ!$A$2:$A$50000,A1477,全馬データ!$B$2:$B$50000,B1477,全馬データ!$C$2:$C$50000,C1477,全馬データ!$D$2:$D$50000,E1477,全馬データ!$K$2:$K$50000,"&lt;&gt;")=0,"",SUMIFS(全馬データ!$K$2:$K$50000,全馬データ!$A$2:$A$50000,A1477,全馬データ!$B$2:$B$50000,B1477,全馬データ!$C$2:$C$50000,C1477,全馬データ!$D$2:$D$50000,E1477)))</f>
        <v/>
      </c>
      <c r="AP1477" s="8" t="str">
        <f aca="false">IF(A1477="","",IF(AO1477="","欠損",IF(AO1477&lt;=1.1,"1.0～1.1",IF(AO1477&lt;1.3,"1.2",IF(AO1477&lt;1.5,"1.3～1.4",IF(AO1477&lt;2,"1.5～1.9","2.0以上"))))))</f>
        <v/>
      </c>
      <c r="AQ1477" s="8" t="str">
        <f aca="false">IF(A1477="","",IF(ISNUMBER(SEARCH("2歳",Z1477)),"2歳戦",IF(ISNUMBER(SEARCH("3歳未勝利",Z1477)),"3歳未勝利",IF(ISNUMBER(SEARCH("未勝利",Z1477)),"その他未勝利",IF(ISNUMBER(SEARCH("G1",Z1477)),"G1",IF(ISNUMBER(SEARCH("G2",Z1477)),"G2",IF(ISNUMBER(SEARCH("G3",Z1477)),"G3",IF(ISNUMBER(SEARCH("古馬条件",Z1477)),"古馬条件戦",IF(ISNUMBER(SEARCH("重賞",Z1477)),"重賞","分類不能")))))))))</f>
        <v/>
      </c>
    </row>
    <row r="1478" customFormat="false" ht="15.75" hidden="false" customHeight="false" outlineLevel="0" collapsed="false">
      <c r="AO1478" s="8" t="str">
        <f aca="false">IF(A1478="","",IF(COUNTIFS(全馬データ!$A$2:$A$50000,A1478,全馬データ!$B$2:$B$50000,B1478,全馬データ!$C$2:$C$50000,C1478,全馬データ!$D$2:$D$50000,E1478,全馬データ!$K$2:$K$50000,"&lt;&gt;")=0,"",SUMIFS(全馬データ!$K$2:$K$50000,全馬データ!$A$2:$A$50000,A1478,全馬データ!$B$2:$B$50000,B1478,全馬データ!$C$2:$C$50000,C1478,全馬データ!$D$2:$D$50000,E1478)))</f>
        <v/>
      </c>
      <c r="AP1478" s="8" t="str">
        <f aca="false">IF(A1478="","",IF(AO1478="","欠損",IF(AO1478&lt;=1.1,"1.0～1.1",IF(AO1478&lt;1.3,"1.2",IF(AO1478&lt;1.5,"1.3～1.4",IF(AO1478&lt;2,"1.5～1.9","2.0以上"))))))</f>
        <v/>
      </c>
      <c r="AQ1478" s="8" t="str">
        <f aca="false">IF(A1478="","",IF(ISNUMBER(SEARCH("2歳",Z1478)),"2歳戦",IF(ISNUMBER(SEARCH("3歳未勝利",Z1478)),"3歳未勝利",IF(ISNUMBER(SEARCH("未勝利",Z1478)),"その他未勝利",IF(ISNUMBER(SEARCH("G1",Z1478)),"G1",IF(ISNUMBER(SEARCH("G2",Z1478)),"G2",IF(ISNUMBER(SEARCH("G3",Z1478)),"G3",IF(ISNUMBER(SEARCH("古馬条件",Z1478)),"古馬条件戦",IF(ISNUMBER(SEARCH("重賞",Z1478)),"重賞","分類不能")))))))))</f>
        <v/>
      </c>
    </row>
    <row r="1479" customFormat="false" ht="15.75" hidden="false" customHeight="false" outlineLevel="0" collapsed="false">
      <c r="AO1479" s="8" t="str">
        <f aca="false">IF(A1479="","",IF(COUNTIFS(全馬データ!$A$2:$A$50000,A1479,全馬データ!$B$2:$B$50000,B1479,全馬データ!$C$2:$C$50000,C1479,全馬データ!$D$2:$D$50000,E1479,全馬データ!$K$2:$K$50000,"&lt;&gt;")=0,"",SUMIFS(全馬データ!$K$2:$K$50000,全馬データ!$A$2:$A$50000,A1479,全馬データ!$B$2:$B$50000,B1479,全馬データ!$C$2:$C$50000,C1479,全馬データ!$D$2:$D$50000,E1479)))</f>
        <v/>
      </c>
      <c r="AP1479" s="8" t="str">
        <f aca="false">IF(A1479="","",IF(AO1479="","欠損",IF(AO1479&lt;=1.1,"1.0～1.1",IF(AO1479&lt;1.3,"1.2",IF(AO1479&lt;1.5,"1.3～1.4",IF(AO1479&lt;2,"1.5～1.9","2.0以上"))))))</f>
        <v/>
      </c>
      <c r="AQ1479" s="8" t="str">
        <f aca="false">IF(A1479="","",IF(ISNUMBER(SEARCH("2歳",Z1479)),"2歳戦",IF(ISNUMBER(SEARCH("3歳未勝利",Z1479)),"3歳未勝利",IF(ISNUMBER(SEARCH("未勝利",Z1479)),"その他未勝利",IF(ISNUMBER(SEARCH("G1",Z1479)),"G1",IF(ISNUMBER(SEARCH("G2",Z1479)),"G2",IF(ISNUMBER(SEARCH("G3",Z1479)),"G3",IF(ISNUMBER(SEARCH("古馬条件",Z1479)),"古馬条件戦",IF(ISNUMBER(SEARCH("重賞",Z1479)),"重賞","分類不能")))))))))</f>
        <v/>
      </c>
    </row>
    <row r="1480" customFormat="false" ht="15.75" hidden="false" customHeight="false" outlineLevel="0" collapsed="false">
      <c r="AO1480" s="8" t="str">
        <f aca="false">IF(A1480="","",IF(COUNTIFS(全馬データ!$A$2:$A$50000,A1480,全馬データ!$B$2:$B$50000,B1480,全馬データ!$C$2:$C$50000,C1480,全馬データ!$D$2:$D$50000,E1480,全馬データ!$K$2:$K$50000,"&lt;&gt;")=0,"",SUMIFS(全馬データ!$K$2:$K$50000,全馬データ!$A$2:$A$50000,A1480,全馬データ!$B$2:$B$50000,B1480,全馬データ!$C$2:$C$50000,C1480,全馬データ!$D$2:$D$50000,E1480)))</f>
        <v/>
      </c>
      <c r="AP1480" s="8" t="str">
        <f aca="false">IF(A1480="","",IF(AO1480="","欠損",IF(AO1480&lt;=1.1,"1.0～1.1",IF(AO1480&lt;1.3,"1.2",IF(AO1480&lt;1.5,"1.3～1.4",IF(AO1480&lt;2,"1.5～1.9","2.0以上"))))))</f>
        <v/>
      </c>
      <c r="AQ1480" s="8" t="str">
        <f aca="false">IF(A1480="","",IF(ISNUMBER(SEARCH("2歳",Z1480)),"2歳戦",IF(ISNUMBER(SEARCH("3歳未勝利",Z1480)),"3歳未勝利",IF(ISNUMBER(SEARCH("未勝利",Z1480)),"その他未勝利",IF(ISNUMBER(SEARCH("G1",Z1480)),"G1",IF(ISNUMBER(SEARCH("G2",Z1480)),"G2",IF(ISNUMBER(SEARCH("G3",Z1480)),"G3",IF(ISNUMBER(SEARCH("古馬条件",Z1480)),"古馬条件戦",IF(ISNUMBER(SEARCH("重賞",Z1480)),"重賞","分類不能")))))))))</f>
        <v/>
      </c>
    </row>
    <row r="1481" customFormat="false" ht="15.75" hidden="false" customHeight="false" outlineLevel="0" collapsed="false">
      <c r="AO1481" s="8" t="str">
        <f aca="false">IF(A1481="","",IF(COUNTIFS(全馬データ!$A$2:$A$50000,A1481,全馬データ!$B$2:$B$50000,B1481,全馬データ!$C$2:$C$50000,C1481,全馬データ!$D$2:$D$50000,E1481,全馬データ!$K$2:$K$50000,"&lt;&gt;")=0,"",SUMIFS(全馬データ!$K$2:$K$50000,全馬データ!$A$2:$A$50000,A1481,全馬データ!$B$2:$B$50000,B1481,全馬データ!$C$2:$C$50000,C1481,全馬データ!$D$2:$D$50000,E1481)))</f>
        <v/>
      </c>
      <c r="AP1481" s="8" t="str">
        <f aca="false">IF(A1481="","",IF(AO1481="","欠損",IF(AO1481&lt;=1.1,"1.0～1.1",IF(AO1481&lt;1.3,"1.2",IF(AO1481&lt;1.5,"1.3～1.4",IF(AO1481&lt;2,"1.5～1.9","2.0以上"))))))</f>
        <v/>
      </c>
      <c r="AQ1481" s="8" t="str">
        <f aca="false">IF(A1481="","",IF(ISNUMBER(SEARCH("2歳",Z1481)),"2歳戦",IF(ISNUMBER(SEARCH("3歳未勝利",Z1481)),"3歳未勝利",IF(ISNUMBER(SEARCH("未勝利",Z1481)),"その他未勝利",IF(ISNUMBER(SEARCH("G1",Z1481)),"G1",IF(ISNUMBER(SEARCH("G2",Z1481)),"G2",IF(ISNUMBER(SEARCH("G3",Z1481)),"G3",IF(ISNUMBER(SEARCH("古馬条件",Z1481)),"古馬条件戦",IF(ISNUMBER(SEARCH("重賞",Z1481)),"重賞","分類不能")))))))))</f>
        <v/>
      </c>
    </row>
    <row r="1482" customFormat="false" ht="15.75" hidden="false" customHeight="false" outlineLevel="0" collapsed="false">
      <c r="AO1482" s="8" t="str">
        <f aca="false">IF(A1482="","",IF(COUNTIFS(全馬データ!$A$2:$A$50000,A1482,全馬データ!$B$2:$B$50000,B1482,全馬データ!$C$2:$C$50000,C1482,全馬データ!$D$2:$D$50000,E1482,全馬データ!$K$2:$K$50000,"&lt;&gt;")=0,"",SUMIFS(全馬データ!$K$2:$K$50000,全馬データ!$A$2:$A$50000,A1482,全馬データ!$B$2:$B$50000,B1482,全馬データ!$C$2:$C$50000,C1482,全馬データ!$D$2:$D$50000,E1482)))</f>
        <v/>
      </c>
      <c r="AP1482" s="8" t="str">
        <f aca="false">IF(A1482="","",IF(AO1482="","欠損",IF(AO1482&lt;=1.1,"1.0～1.1",IF(AO1482&lt;1.3,"1.2",IF(AO1482&lt;1.5,"1.3～1.4",IF(AO1482&lt;2,"1.5～1.9","2.0以上"))))))</f>
        <v/>
      </c>
      <c r="AQ1482" s="8" t="str">
        <f aca="false">IF(A1482="","",IF(ISNUMBER(SEARCH("2歳",Z1482)),"2歳戦",IF(ISNUMBER(SEARCH("3歳未勝利",Z1482)),"3歳未勝利",IF(ISNUMBER(SEARCH("未勝利",Z1482)),"その他未勝利",IF(ISNUMBER(SEARCH("G1",Z1482)),"G1",IF(ISNUMBER(SEARCH("G2",Z1482)),"G2",IF(ISNUMBER(SEARCH("G3",Z1482)),"G3",IF(ISNUMBER(SEARCH("古馬条件",Z1482)),"古馬条件戦",IF(ISNUMBER(SEARCH("重賞",Z1482)),"重賞","分類不能")))))))))</f>
        <v/>
      </c>
    </row>
    <row r="1483" customFormat="false" ht="15.75" hidden="false" customHeight="false" outlineLevel="0" collapsed="false">
      <c r="AO1483" s="8" t="str">
        <f aca="false">IF(A1483="","",IF(COUNTIFS(全馬データ!$A$2:$A$50000,A1483,全馬データ!$B$2:$B$50000,B1483,全馬データ!$C$2:$C$50000,C1483,全馬データ!$D$2:$D$50000,E1483,全馬データ!$K$2:$K$50000,"&lt;&gt;")=0,"",SUMIFS(全馬データ!$K$2:$K$50000,全馬データ!$A$2:$A$50000,A1483,全馬データ!$B$2:$B$50000,B1483,全馬データ!$C$2:$C$50000,C1483,全馬データ!$D$2:$D$50000,E1483)))</f>
        <v/>
      </c>
      <c r="AP1483" s="8" t="str">
        <f aca="false">IF(A1483="","",IF(AO1483="","欠損",IF(AO1483&lt;=1.1,"1.0～1.1",IF(AO1483&lt;1.3,"1.2",IF(AO1483&lt;1.5,"1.3～1.4",IF(AO1483&lt;2,"1.5～1.9","2.0以上"))))))</f>
        <v/>
      </c>
      <c r="AQ1483" s="8" t="str">
        <f aca="false">IF(A1483="","",IF(ISNUMBER(SEARCH("2歳",Z1483)),"2歳戦",IF(ISNUMBER(SEARCH("3歳未勝利",Z1483)),"3歳未勝利",IF(ISNUMBER(SEARCH("未勝利",Z1483)),"その他未勝利",IF(ISNUMBER(SEARCH("G1",Z1483)),"G1",IF(ISNUMBER(SEARCH("G2",Z1483)),"G2",IF(ISNUMBER(SEARCH("G3",Z1483)),"G3",IF(ISNUMBER(SEARCH("古馬条件",Z1483)),"古馬条件戦",IF(ISNUMBER(SEARCH("重賞",Z1483)),"重賞","分類不能")))))))))</f>
        <v/>
      </c>
    </row>
    <row r="1484" customFormat="false" ht="15.75" hidden="false" customHeight="false" outlineLevel="0" collapsed="false">
      <c r="AO1484" s="8" t="str">
        <f aca="false">IF(A1484="","",IF(COUNTIFS(全馬データ!$A$2:$A$50000,A1484,全馬データ!$B$2:$B$50000,B1484,全馬データ!$C$2:$C$50000,C1484,全馬データ!$D$2:$D$50000,E1484,全馬データ!$K$2:$K$50000,"&lt;&gt;")=0,"",SUMIFS(全馬データ!$K$2:$K$50000,全馬データ!$A$2:$A$50000,A1484,全馬データ!$B$2:$B$50000,B1484,全馬データ!$C$2:$C$50000,C1484,全馬データ!$D$2:$D$50000,E1484)))</f>
        <v/>
      </c>
      <c r="AP1484" s="8" t="str">
        <f aca="false">IF(A1484="","",IF(AO1484="","欠損",IF(AO1484&lt;=1.1,"1.0～1.1",IF(AO1484&lt;1.3,"1.2",IF(AO1484&lt;1.5,"1.3～1.4",IF(AO1484&lt;2,"1.5～1.9","2.0以上"))))))</f>
        <v/>
      </c>
      <c r="AQ1484" s="8" t="str">
        <f aca="false">IF(A1484="","",IF(ISNUMBER(SEARCH("2歳",Z1484)),"2歳戦",IF(ISNUMBER(SEARCH("3歳未勝利",Z1484)),"3歳未勝利",IF(ISNUMBER(SEARCH("未勝利",Z1484)),"その他未勝利",IF(ISNUMBER(SEARCH("G1",Z1484)),"G1",IF(ISNUMBER(SEARCH("G2",Z1484)),"G2",IF(ISNUMBER(SEARCH("G3",Z1484)),"G3",IF(ISNUMBER(SEARCH("古馬条件",Z1484)),"古馬条件戦",IF(ISNUMBER(SEARCH("重賞",Z1484)),"重賞","分類不能")))))))))</f>
        <v/>
      </c>
    </row>
    <row r="1485" customFormat="false" ht="15.75" hidden="false" customHeight="false" outlineLevel="0" collapsed="false">
      <c r="AO1485" s="8" t="str">
        <f aca="false">IF(A1485="","",IF(COUNTIFS(全馬データ!$A$2:$A$50000,A1485,全馬データ!$B$2:$B$50000,B1485,全馬データ!$C$2:$C$50000,C1485,全馬データ!$D$2:$D$50000,E1485,全馬データ!$K$2:$K$50000,"&lt;&gt;")=0,"",SUMIFS(全馬データ!$K$2:$K$50000,全馬データ!$A$2:$A$50000,A1485,全馬データ!$B$2:$B$50000,B1485,全馬データ!$C$2:$C$50000,C1485,全馬データ!$D$2:$D$50000,E1485)))</f>
        <v/>
      </c>
      <c r="AP1485" s="8" t="str">
        <f aca="false">IF(A1485="","",IF(AO1485="","欠損",IF(AO1485&lt;=1.1,"1.0～1.1",IF(AO1485&lt;1.3,"1.2",IF(AO1485&lt;1.5,"1.3～1.4",IF(AO1485&lt;2,"1.5～1.9","2.0以上"))))))</f>
        <v/>
      </c>
      <c r="AQ1485" s="8" t="str">
        <f aca="false">IF(A1485="","",IF(ISNUMBER(SEARCH("2歳",Z1485)),"2歳戦",IF(ISNUMBER(SEARCH("3歳未勝利",Z1485)),"3歳未勝利",IF(ISNUMBER(SEARCH("未勝利",Z1485)),"その他未勝利",IF(ISNUMBER(SEARCH("G1",Z1485)),"G1",IF(ISNUMBER(SEARCH("G2",Z1485)),"G2",IF(ISNUMBER(SEARCH("G3",Z1485)),"G3",IF(ISNUMBER(SEARCH("古馬条件",Z1485)),"古馬条件戦",IF(ISNUMBER(SEARCH("重賞",Z1485)),"重賞","分類不能")))))))))</f>
        <v/>
      </c>
    </row>
    <row r="1486" customFormat="false" ht="15.75" hidden="false" customHeight="false" outlineLevel="0" collapsed="false">
      <c r="AO1486" s="8" t="str">
        <f aca="false">IF(A1486="","",IF(COUNTIFS(全馬データ!$A$2:$A$50000,A1486,全馬データ!$B$2:$B$50000,B1486,全馬データ!$C$2:$C$50000,C1486,全馬データ!$D$2:$D$50000,E1486,全馬データ!$K$2:$K$50000,"&lt;&gt;")=0,"",SUMIFS(全馬データ!$K$2:$K$50000,全馬データ!$A$2:$A$50000,A1486,全馬データ!$B$2:$B$50000,B1486,全馬データ!$C$2:$C$50000,C1486,全馬データ!$D$2:$D$50000,E1486)))</f>
        <v/>
      </c>
      <c r="AP1486" s="8" t="str">
        <f aca="false">IF(A1486="","",IF(AO1486="","欠損",IF(AO1486&lt;=1.1,"1.0～1.1",IF(AO1486&lt;1.3,"1.2",IF(AO1486&lt;1.5,"1.3～1.4",IF(AO1486&lt;2,"1.5～1.9","2.0以上"))))))</f>
        <v/>
      </c>
      <c r="AQ1486" s="8" t="str">
        <f aca="false">IF(A1486="","",IF(ISNUMBER(SEARCH("2歳",Z1486)),"2歳戦",IF(ISNUMBER(SEARCH("3歳未勝利",Z1486)),"3歳未勝利",IF(ISNUMBER(SEARCH("未勝利",Z1486)),"その他未勝利",IF(ISNUMBER(SEARCH("G1",Z1486)),"G1",IF(ISNUMBER(SEARCH("G2",Z1486)),"G2",IF(ISNUMBER(SEARCH("G3",Z1486)),"G3",IF(ISNUMBER(SEARCH("古馬条件",Z1486)),"古馬条件戦",IF(ISNUMBER(SEARCH("重賞",Z1486)),"重賞","分類不能")))))))))</f>
        <v/>
      </c>
    </row>
    <row r="1487" customFormat="false" ht="15.75" hidden="false" customHeight="false" outlineLevel="0" collapsed="false">
      <c r="AO1487" s="8" t="str">
        <f aca="false">IF(A1487="","",IF(COUNTIFS(全馬データ!$A$2:$A$50000,A1487,全馬データ!$B$2:$B$50000,B1487,全馬データ!$C$2:$C$50000,C1487,全馬データ!$D$2:$D$50000,E1487,全馬データ!$K$2:$K$50000,"&lt;&gt;")=0,"",SUMIFS(全馬データ!$K$2:$K$50000,全馬データ!$A$2:$A$50000,A1487,全馬データ!$B$2:$B$50000,B1487,全馬データ!$C$2:$C$50000,C1487,全馬データ!$D$2:$D$50000,E1487)))</f>
        <v/>
      </c>
      <c r="AP1487" s="8" t="str">
        <f aca="false">IF(A1487="","",IF(AO1487="","欠損",IF(AO1487&lt;=1.1,"1.0～1.1",IF(AO1487&lt;1.3,"1.2",IF(AO1487&lt;1.5,"1.3～1.4",IF(AO1487&lt;2,"1.5～1.9","2.0以上"))))))</f>
        <v/>
      </c>
      <c r="AQ1487" s="8" t="str">
        <f aca="false">IF(A1487="","",IF(ISNUMBER(SEARCH("2歳",Z1487)),"2歳戦",IF(ISNUMBER(SEARCH("3歳未勝利",Z1487)),"3歳未勝利",IF(ISNUMBER(SEARCH("未勝利",Z1487)),"その他未勝利",IF(ISNUMBER(SEARCH("G1",Z1487)),"G1",IF(ISNUMBER(SEARCH("G2",Z1487)),"G2",IF(ISNUMBER(SEARCH("G3",Z1487)),"G3",IF(ISNUMBER(SEARCH("古馬条件",Z1487)),"古馬条件戦",IF(ISNUMBER(SEARCH("重賞",Z1487)),"重賞","分類不能")))))))))</f>
        <v/>
      </c>
    </row>
    <row r="1488" customFormat="false" ht="15.75" hidden="false" customHeight="false" outlineLevel="0" collapsed="false">
      <c r="AO1488" s="8" t="str">
        <f aca="false">IF(A1488="","",IF(COUNTIFS(全馬データ!$A$2:$A$50000,A1488,全馬データ!$B$2:$B$50000,B1488,全馬データ!$C$2:$C$50000,C1488,全馬データ!$D$2:$D$50000,E1488,全馬データ!$K$2:$K$50000,"&lt;&gt;")=0,"",SUMIFS(全馬データ!$K$2:$K$50000,全馬データ!$A$2:$A$50000,A1488,全馬データ!$B$2:$B$50000,B1488,全馬データ!$C$2:$C$50000,C1488,全馬データ!$D$2:$D$50000,E1488)))</f>
        <v/>
      </c>
      <c r="AP1488" s="8" t="str">
        <f aca="false">IF(A1488="","",IF(AO1488="","欠損",IF(AO1488&lt;=1.1,"1.0～1.1",IF(AO1488&lt;1.3,"1.2",IF(AO1488&lt;1.5,"1.3～1.4",IF(AO1488&lt;2,"1.5～1.9","2.0以上"))))))</f>
        <v/>
      </c>
      <c r="AQ1488" s="8" t="str">
        <f aca="false">IF(A1488="","",IF(ISNUMBER(SEARCH("2歳",Z1488)),"2歳戦",IF(ISNUMBER(SEARCH("3歳未勝利",Z1488)),"3歳未勝利",IF(ISNUMBER(SEARCH("未勝利",Z1488)),"その他未勝利",IF(ISNUMBER(SEARCH("G1",Z1488)),"G1",IF(ISNUMBER(SEARCH("G2",Z1488)),"G2",IF(ISNUMBER(SEARCH("G3",Z1488)),"G3",IF(ISNUMBER(SEARCH("古馬条件",Z1488)),"古馬条件戦",IF(ISNUMBER(SEARCH("重賞",Z1488)),"重賞","分類不能")))))))))</f>
        <v/>
      </c>
    </row>
    <row r="1489" customFormat="false" ht="15.75" hidden="false" customHeight="false" outlineLevel="0" collapsed="false">
      <c r="AO1489" s="8" t="str">
        <f aca="false">IF(A1489="","",IF(COUNTIFS(全馬データ!$A$2:$A$50000,A1489,全馬データ!$B$2:$B$50000,B1489,全馬データ!$C$2:$C$50000,C1489,全馬データ!$D$2:$D$50000,E1489,全馬データ!$K$2:$K$50000,"&lt;&gt;")=0,"",SUMIFS(全馬データ!$K$2:$K$50000,全馬データ!$A$2:$A$50000,A1489,全馬データ!$B$2:$B$50000,B1489,全馬データ!$C$2:$C$50000,C1489,全馬データ!$D$2:$D$50000,E1489)))</f>
        <v/>
      </c>
      <c r="AP1489" s="8" t="str">
        <f aca="false">IF(A1489="","",IF(AO1489="","欠損",IF(AO1489&lt;=1.1,"1.0～1.1",IF(AO1489&lt;1.3,"1.2",IF(AO1489&lt;1.5,"1.3～1.4",IF(AO1489&lt;2,"1.5～1.9","2.0以上"))))))</f>
        <v/>
      </c>
      <c r="AQ1489" s="8" t="str">
        <f aca="false">IF(A1489="","",IF(ISNUMBER(SEARCH("2歳",Z1489)),"2歳戦",IF(ISNUMBER(SEARCH("3歳未勝利",Z1489)),"3歳未勝利",IF(ISNUMBER(SEARCH("未勝利",Z1489)),"その他未勝利",IF(ISNUMBER(SEARCH("G1",Z1489)),"G1",IF(ISNUMBER(SEARCH("G2",Z1489)),"G2",IF(ISNUMBER(SEARCH("G3",Z1489)),"G3",IF(ISNUMBER(SEARCH("古馬条件",Z1489)),"古馬条件戦",IF(ISNUMBER(SEARCH("重賞",Z1489)),"重賞","分類不能")))))))))</f>
        <v/>
      </c>
    </row>
    <row r="1490" customFormat="false" ht="15.75" hidden="false" customHeight="false" outlineLevel="0" collapsed="false">
      <c r="AO1490" s="8" t="str">
        <f aca="false">IF(A1490="","",IF(COUNTIFS(全馬データ!$A$2:$A$50000,A1490,全馬データ!$B$2:$B$50000,B1490,全馬データ!$C$2:$C$50000,C1490,全馬データ!$D$2:$D$50000,E1490,全馬データ!$K$2:$K$50000,"&lt;&gt;")=0,"",SUMIFS(全馬データ!$K$2:$K$50000,全馬データ!$A$2:$A$50000,A1490,全馬データ!$B$2:$B$50000,B1490,全馬データ!$C$2:$C$50000,C1490,全馬データ!$D$2:$D$50000,E1490)))</f>
        <v/>
      </c>
      <c r="AP1490" s="8" t="str">
        <f aca="false">IF(A1490="","",IF(AO1490="","欠損",IF(AO1490&lt;=1.1,"1.0～1.1",IF(AO1490&lt;1.3,"1.2",IF(AO1490&lt;1.5,"1.3～1.4",IF(AO1490&lt;2,"1.5～1.9","2.0以上"))))))</f>
        <v/>
      </c>
      <c r="AQ1490" s="8" t="str">
        <f aca="false">IF(A1490="","",IF(ISNUMBER(SEARCH("2歳",Z1490)),"2歳戦",IF(ISNUMBER(SEARCH("3歳未勝利",Z1490)),"3歳未勝利",IF(ISNUMBER(SEARCH("未勝利",Z1490)),"その他未勝利",IF(ISNUMBER(SEARCH("G1",Z1490)),"G1",IF(ISNUMBER(SEARCH("G2",Z1490)),"G2",IF(ISNUMBER(SEARCH("G3",Z1490)),"G3",IF(ISNUMBER(SEARCH("古馬条件",Z1490)),"古馬条件戦",IF(ISNUMBER(SEARCH("重賞",Z1490)),"重賞","分類不能")))))))))</f>
        <v/>
      </c>
    </row>
    <row r="1491" customFormat="false" ht="15.75" hidden="false" customHeight="false" outlineLevel="0" collapsed="false">
      <c r="AO1491" s="8" t="str">
        <f aca="false">IF(A1491="","",IF(COUNTIFS(全馬データ!$A$2:$A$50000,A1491,全馬データ!$B$2:$B$50000,B1491,全馬データ!$C$2:$C$50000,C1491,全馬データ!$D$2:$D$50000,E1491,全馬データ!$K$2:$K$50000,"&lt;&gt;")=0,"",SUMIFS(全馬データ!$K$2:$K$50000,全馬データ!$A$2:$A$50000,A1491,全馬データ!$B$2:$B$50000,B1491,全馬データ!$C$2:$C$50000,C1491,全馬データ!$D$2:$D$50000,E1491)))</f>
        <v/>
      </c>
      <c r="AP1491" s="8" t="str">
        <f aca="false">IF(A1491="","",IF(AO1491="","欠損",IF(AO1491&lt;=1.1,"1.0～1.1",IF(AO1491&lt;1.3,"1.2",IF(AO1491&lt;1.5,"1.3～1.4",IF(AO1491&lt;2,"1.5～1.9","2.0以上"))))))</f>
        <v/>
      </c>
      <c r="AQ1491" s="8" t="str">
        <f aca="false">IF(A1491="","",IF(ISNUMBER(SEARCH("2歳",Z1491)),"2歳戦",IF(ISNUMBER(SEARCH("3歳未勝利",Z1491)),"3歳未勝利",IF(ISNUMBER(SEARCH("未勝利",Z1491)),"その他未勝利",IF(ISNUMBER(SEARCH("G1",Z1491)),"G1",IF(ISNUMBER(SEARCH("G2",Z1491)),"G2",IF(ISNUMBER(SEARCH("G3",Z1491)),"G3",IF(ISNUMBER(SEARCH("古馬条件",Z1491)),"古馬条件戦",IF(ISNUMBER(SEARCH("重賞",Z1491)),"重賞","分類不能")))))))))</f>
        <v/>
      </c>
    </row>
    <row r="1492" customFormat="false" ht="15.75" hidden="false" customHeight="false" outlineLevel="0" collapsed="false">
      <c r="AO1492" s="8" t="str">
        <f aca="false">IF(A1492="","",IF(COUNTIFS(全馬データ!$A$2:$A$50000,A1492,全馬データ!$B$2:$B$50000,B1492,全馬データ!$C$2:$C$50000,C1492,全馬データ!$D$2:$D$50000,E1492,全馬データ!$K$2:$K$50000,"&lt;&gt;")=0,"",SUMIFS(全馬データ!$K$2:$K$50000,全馬データ!$A$2:$A$50000,A1492,全馬データ!$B$2:$B$50000,B1492,全馬データ!$C$2:$C$50000,C1492,全馬データ!$D$2:$D$50000,E1492)))</f>
        <v/>
      </c>
      <c r="AP1492" s="8" t="str">
        <f aca="false">IF(A1492="","",IF(AO1492="","欠損",IF(AO1492&lt;=1.1,"1.0～1.1",IF(AO1492&lt;1.3,"1.2",IF(AO1492&lt;1.5,"1.3～1.4",IF(AO1492&lt;2,"1.5～1.9","2.0以上"))))))</f>
        <v/>
      </c>
      <c r="AQ1492" s="8" t="str">
        <f aca="false">IF(A1492="","",IF(ISNUMBER(SEARCH("2歳",Z1492)),"2歳戦",IF(ISNUMBER(SEARCH("3歳未勝利",Z1492)),"3歳未勝利",IF(ISNUMBER(SEARCH("未勝利",Z1492)),"その他未勝利",IF(ISNUMBER(SEARCH("G1",Z1492)),"G1",IF(ISNUMBER(SEARCH("G2",Z1492)),"G2",IF(ISNUMBER(SEARCH("G3",Z1492)),"G3",IF(ISNUMBER(SEARCH("古馬条件",Z1492)),"古馬条件戦",IF(ISNUMBER(SEARCH("重賞",Z1492)),"重賞","分類不能")))))))))</f>
        <v/>
      </c>
    </row>
    <row r="1493" customFormat="false" ht="15.75" hidden="false" customHeight="false" outlineLevel="0" collapsed="false">
      <c r="AO1493" s="8" t="str">
        <f aca="false">IF(A1493="","",IF(COUNTIFS(全馬データ!$A$2:$A$50000,A1493,全馬データ!$B$2:$B$50000,B1493,全馬データ!$C$2:$C$50000,C1493,全馬データ!$D$2:$D$50000,E1493,全馬データ!$K$2:$K$50000,"&lt;&gt;")=0,"",SUMIFS(全馬データ!$K$2:$K$50000,全馬データ!$A$2:$A$50000,A1493,全馬データ!$B$2:$B$50000,B1493,全馬データ!$C$2:$C$50000,C1493,全馬データ!$D$2:$D$50000,E1493)))</f>
        <v/>
      </c>
      <c r="AP1493" s="8" t="str">
        <f aca="false">IF(A1493="","",IF(AO1493="","欠損",IF(AO1493&lt;=1.1,"1.0～1.1",IF(AO1493&lt;1.3,"1.2",IF(AO1493&lt;1.5,"1.3～1.4",IF(AO1493&lt;2,"1.5～1.9","2.0以上"))))))</f>
        <v/>
      </c>
      <c r="AQ1493" s="8" t="str">
        <f aca="false">IF(A1493="","",IF(ISNUMBER(SEARCH("2歳",Z1493)),"2歳戦",IF(ISNUMBER(SEARCH("3歳未勝利",Z1493)),"3歳未勝利",IF(ISNUMBER(SEARCH("未勝利",Z1493)),"その他未勝利",IF(ISNUMBER(SEARCH("G1",Z1493)),"G1",IF(ISNUMBER(SEARCH("G2",Z1493)),"G2",IF(ISNUMBER(SEARCH("G3",Z1493)),"G3",IF(ISNUMBER(SEARCH("古馬条件",Z1493)),"古馬条件戦",IF(ISNUMBER(SEARCH("重賞",Z1493)),"重賞","分類不能")))))))))</f>
        <v/>
      </c>
    </row>
    <row r="1494" customFormat="false" ht="15.75" hidden="false" customHeight="false" outlineLevel="0" collapsed="false">
      <c r="AO1494" s="8" t="str">
        <f aca="false">IF(A1494="","",IF(COUNTIFS(全馬データ!$A$2:$A$50000,A1494,全馬データ!$B$2:$B$50000,B1494,全馬データ!$C$2:$C$50000,C1494,全馬データ!$D$2:$D$50000,E1494,全馬データ!$K$2:$K$50000,"&lt;&gt;")=0,"",SUMIFS(全馬データ!$K$2:$K$50000,全馬データ!$A$2:$A$50000,A1494,全馬データ!$B$2:$B$50000,B1494,全馬データ!$C$2:$C$50000,C1494,全馬データ!$D$2:$D$50000,E1494)))</f>
        <v/>
      </c>
      <c r="AP1494" s="8" t="str">
        <f aca="false">IF(A1494="","",IF(AO1494="","欠損",IF(AO1494&lt;=1.1,"1.0～1.1",IF(AO1494&lt;1.3,"1.2",IF(AO1494&lt;1.5,"1.3～1.4",IF(AO1494&lt;2,"1.5～1.9","2.0以上"))))))</f>
        <v/>
      </c>
      <c r="AQ1494" s="8" t="str">
        <f aca="false">IF(A1494="","",IF(ISNUMBER(SEARCH("2歳",Z1494)),"2歳戦",IF(ISNUMBER(SEARCH("3歳未勝利",Z1494)),"3歳未勝利",IF(ISNUMBER(SEARCH("未勝利",Z1494)),"その他未勝利",IF(ISNUMBER(SEARCH("G1",Z1494)),"G1",IF(ISNUMBER(SEARCH("G2",Z1494)),"G2",IF(ISNUMBER(SEARCH("G3",Z1494)),"G3",IF(ISNUMBER(SEARCH("古馬条件",Z1494)),"古馬条件戦",IF(ISNUMBER(SEARCH("重賞",Z1494)),"重賞","分類不能")))))))))</f>
        <v/>
      </c>
    </row>
    <row r="1495" customFormat="false" ht="15.75" hidden="false" customHeight="false" outlineLevel="0" collapsed="false">
      <c r="AO1495" s="8" t="str">
        <f aca="false">IF(A1495="","",IF(COUNTIFS(全馬データ!$A$2:$A$50000,A1495,全馬データ!$B$2:$B$50000,B1495,全馬データ!$C$2:$C$50000,C1495,全馬データ!$D$2:$D$50000,E1495,全馬データ!$K$2:$K$50000,"&lt;&gt;")=0,"",SUMIFS(全馬データ!$K$2:$K$50000,全馬データ!$A$2:$A$50000,A1495,全馬データ!$B$2:$B$50000,B1495,全馬データ!$C$2:$C$50000,C1495,全馬データ!$D$2:$D$50000,E1495)))</f>
        <v/>
      </c>
      <c r="AP1495" s="8" t="str">
        <f aca="false">IF(A1495="","",IF(AO1495="","欠損",IF(AO1495&lt;=1.1,"1.0～1.1",IF(AO1495&lt;1.3,"1.2",IF(AO1495&lt;1.5,"1.3～1.4",IF(AO1495&lt;2,"1.5～1.9","2.0以上"))))))</f>
        <v/>
      </c>
      <c r="AQ1495" s="8" t="str">
        <f aca="false">IF(A1495="","",IF(ISNUMBER(SEARCH("2歳",Z1495)),"2歳戦",IF(ISNUMBER(SEARCH("3歳未勝利",Z1495)),"3歳未勝利",IF(ISNUMBER(SEARCH("未勝利",Z1495)),"その他未勝利",IF(ISNUMBER(SEARCH("G1",Z1495)),"G1",IF(ISNUMBER(SEARCH("G2",Z1495)),"G2",IF(ISNUMBER(SEARCH("G3",Z1495)),"G3",IF(ISNUMBER(SEARCH("古馬条件",Z1495)),"古馬条件戦",IF(ISNUMBER(SEARCH("重賞",Z1495)),"重賞","分類不能")))))))))</f>
        <v/>
      </c>
    </row>
    <row r="1496" customFormat="false" ht="15.75" hidden="false" customHeight="false" outlineLevel="0" collapsed="false">
      <c r="AO1496" s="8" t="str">
        <f aca="false">IF(A1496="","",IF(COUNTIFS(全馬データ!$A$2:$A$50000,A1496,全馬データ!$B$2:$B$50000,B1496,全馬データ!$C$2:$C$50000,C1496,全馬データ!$D$2:$D$50000,E1496,全馬データ!$K$2:$K$50000,"&lt;&gt;")=0,"",SUMIFS(全馬データ!$K$2:$K$50000,全馬データ!$A$2:$A$50000,A1496,全馬データ!$B$2:$B$50000,B1496,全馬データ!$C$2:$C$50000,C1496,全馬データ!$D$2:$D$50000,E1496)))</f>
        <v/>
      </c>
      <c r="AP1496" s="8" t="str">
        <f aca="false">IF(A1496="","",IF(AO1496="","欠損",IF(AO1496&lt;=1.1,"1.0～1.1",IF(AO1496&lt;1.3,"1.2",IF(AO1496&lt;1.5,"1.3～1.4",IF(AO1496&lt;2,"1.5～1.9","2.0以上"))))))</f>
        <v/>
      </c>
      <c r="AQ1496" s="8" t="str">
        <f aca="false">IF(A1496="","",IF(ISNUMBER(SEARCH("2歳",Z1496)),"2歳戦",IF(ISNUMBER(SEARCH("3歳未勝利",Z1496)),"3歳未勝利",IF(ISNUMBER(SEARCH("未勝利",Z1496)),"その他未勝利",IF(ISNUMBER(SEARCH("G1",Z1496)),"G1",IF(ISNUMBER(SEARCH("G2",Z1496)),"G2",IF(ISNUMBER(SEARCH("G3",Z1496)),"G3",IF(ISNUMBER(SEARCH("古馬条件",Z1496)),"古馬条件戦",IF(ISNUMBER(SEARCH("重賞",Z1496)),"重賞","分類不能")))))))))</f>
        <v/>
      </c>
    </row>
    <row r="1497" customFormat="false" ht="15.75" hidden="false" customHeight="false" outlineLevel="0" collapsed="false">
      <c r="AO1497" s="8" t="str">
        <f aca="false">IF(A1497="","",IF(COUNTIFS(全馬データ!$A$2:$A$50000,A1497,全馬データ!$B$2:$B$50000,B1497,全馬データ!$C$2:$C$50000,C1497,全馬データ!$D$2:$D$50000,E1497,全馬データ!$K$2:$K$50000,"&lt;&gt;")=0,"",SUMIFS(全馬データ!$K$2:$K$50000,全馬データ!$A$2:$A$50000,A1497,全馬データ!$B$2:$B$50000,B1497,全馬データ!$C$2:$C$50000,C1497,全馬データ!$D$2:$D$50000,E1497)))</f>
        <v/>
      </c>
      <c r="AP1497" s="8" t="str">
        <f aca="false">IF(A1497="","",IF(AO1497="","欠損",IF(AO1497&lt;=1.1,"1.0～1.1",IF(AO1497&lt;1.3,"1.2",IF(AO1497&lt;1.5,"1.3～1.4",IF(AO1497&lt;2,"1.5～1.9","2.0以上"))))))</f>
        <v/>
      </c>
      <c r="AQ1497" s="8" t="str">
        <f aca="false">IF(A1497="","",IF(ISNUMBER(SEARCH("2歳",Z1497)),"2歳戦",IF(ISNUMBER(SEARCH("3歳未勝利",Z1497)),"3歳未勝利",IF(ISNUMBER(SEARCH("未勝利",Z1497)),"その他未勝利",IF(ISNUMBER(SEARCH("G1",Z1497)),"G1",IF(ISNUMBER(SEARCH("G2",Z1497)),"G2",IF(ISNUMBER(SEARCH("G3",Z1497)),"G3",IF(ISNUMBER(SEARCH("古馬条件",Z1497)),"古馬条件戦",IF(ISNUMBER(SEARCH("重賞",Z1497)),"重賞","分類不能")))))))))</f>
        <v/>
      </c>
    </row>
    <row r="1498" customFormat="false" ht="15.75" hidden="false" customHeight="false" outlineLevel="0" collapsed="false">
      <c r="AO1498" s="8" t="str">
        <f aca="false">IF(A1498="","",IF(COUNTIFS(全馬データ!$A$2:$A$50000,A1498,全馬データ!$B$2:$B$50000,B1498,全馬データ!$C$2:$C$50000,C1498,全馬データ!$D$2:$D$50000,E1498,全馬データ!$K$2:$K$50000,"&lt;&gt;")=0,"",SUMIFS(全馬データ!$K$2:$K$50000,全馬データ!$A$2:$A$50000,A1498,全馬データ!$B$2:$B$50000,B1498,全馬データ!$C$2:$C$50000,C1498,全馬データ!$D$2:$D$50000,E1498)))</f>
        <v/>
      </c>
      <c r="AP1498" s="8" t="str">
        <f aca="false">IF(A1498="","",IF(AO1498="","欠損",IF(AO1498&lt;=1.1,"1.0～1.1",IF(AO1498&lt;1.3,"1.2",IF(AO1498&lt;1.5,"1.3～1.4",IF(AO1498&lt;2,"1.5～1.9","2.0以上"))))))</f>
        <v/>
      </c>
      <c r="AQ1498" s="8" t="str">
        <f aca="false">IF(A1498="","",IF(ISNUMBER(SEARCH("2歳",Z1498)),"2歳戦",IF(ISNUMBER(SEARCH("3歳未勝利",Z1498)),"3歳未勝利",IF(ISNUMBER(SEARCH("未勝利",Z1498)),"その他未勝利",IF(ISNUMBER(SEARCH("G1",Z1498)),"G1",IF(ISNUMBER(SEARCH("G2",Z1498)),"G2",IF(ISNUMBER(SEARCH("G3",Z1498)),"G3",IF(ISNUMBER(SEARCH("古馬条件",Z1498)),"古馬条件戦",IF(ISNUMBER(SEARCH("重賞",Z1498)),"重賞","分類不能")))))))))</f>
        <v/>
      </c>
    </row>
    <row r="1499" customFormat="false" ht="15.75" hidden="false" customHeight="false" outlineLevel="0" collapsed="false">
      <c r="AO1499" s="8" t="str">
        <f aca="false">IF(A1499="","",IF(COUNTIFS(全馬データ!$A$2:$A$50000,A1499,全馬データ!$B$2:$B$50000,B1499,全馬データ!$C$2:$C$50000,C1499,全馬データ!$D$2:$D$50000,E1499,全馬データ!$K$2:$K$50000,"&lt;&gt;")=0,"",SUMIFS(全馬データ!$K$2:$K$50000,全馬データ!$A$2:$A$50000,A1499,全馬データ!$B$2:$B$50000,B1499,全馬データ!$C$2:$C$50000,C1499,全馬データ!$D$2:$D$50000,E1499)))</f>
        <v/>
      </c>
      <c r="AP1499" s="8" t="str">
        <f aca="false">IF(A1499="","",IF(AO1499="","欠損",IF(AO1499&lt;=1.1,"1.0～1.1",IF(AO1499&lt;1.3,"1.2",IF(AO1499&lt;1.5,"1.3～1.4",IF(AO1499&lt;2,"1.5～1.9","2.0以上"))))))</f>
        <v/>
      </c>
      <c r="AQ1499" s="8" t="str">
        <f aca="false">IF(A1499="","",IF(ISNUMBER(SEARCH("2歳",Z1499)),"2歳戦",IF(ISNUMBER(SEARCH("3歳未勝利",Z1499)),"3歳未勝利",IF(ISNUMBER(SEARCH("未勝利",Z1499)),"その他未勝利",IF(ISNUMBER(SEARCH("G1",Z1499)),"G1",IF(ISNUMBER(SEARCH("G2",Z1499)),"G2",IF(ISNUMBER(SEARCH("G3",Z1499)),"G3",IF(ISNUMBER(SEARCH("古馬条件",Z1499)),"古馬条件戦",IF(ISNUMBER(SEARCH("重賞",Z1499)),"重賞","分類不能")))))))))</f>
        <v/>
      </c>
    </row>
    <row r="1500" customFormat="false" ht="15.75" hidden="false" customHeight="false" outlineLevel="0" collapsed="false">
      <c r="AO1500" s="8" t="str">
        <f aca="false">IF(A1500="","",IF(COUNTIFS(全馬データ!$A$2:$A$50000,A1500,全馬データ!$B$2:$B$50000,B1500,全馬データ!$C$2:$C$50000,C1500,全馬データ!$D$2:$D$50000,E1500,全馬データ!$K$2:$K$50000,"&lt;&gt;")=0,"",SUMIFS(全馬データ!$K$2:$K$50000,全馬データ!$A$2:$A$50000,A1500,全馬データ!$B$2:$B$50000,B1500,全馬データ!$C$2:$C$50000,C1500,全馬データ!$D$2:$D$50000,E1500)))</f>
        <v/>
      </c>
      <c r="AP1500" s="8" t="str">
        <f aca="false">IF(A1500="","",IF(AO1500="","欠損",IF(AO1500&lt;=1.1,"1.0～1.1",IF(AO1500&lt;1.3,"1.2",IF(AO1500&lt;1.5,"1.3～1.4",IF(AO1500&lt;2,"1.5～1.9","2.0以上"))))))</f>
        <v/>
      </c>
      <c r="AQ1500" s="8" t="str">
        <f aca="false">IF(A1500="","",IF(ISNUMBER(SEARCH("2歳",Z1500)),"2歳戦",IF(ISNUMBER(SEARCH("3歳未勝利",Z1500)),"3歳未勝利",IF(ISNUMBER(SEARCH("未勝利",Z1500)),"その他未勝利",IF(ISNUMBER(SEARCH("G1",Z1500)),"G1",IF(ISNUMBER(SEARCH("G2",Z1500)),"G2",IF(ISNUMBER(SEARCH("G3",Z1500)),"G3",IF(ISNUMBER(SEARCH("古馬条件",Z1500)),"古馬条件戦",IF(ISNUMBER(SEARCH("重賞",Z1500)),"重賞","分類不能")))))))))</f>
        <v/>
      </c>
    </row>
    <row r="1501" customFormat="false" ht="15.75" hidden="false" customHeight="false" outlineLevel="0" collapsed="false">
      <c r="AO1501" s="8" t="str">
        <f aca="false">IF(A1501="","",IF(COUNTIFS(全馬データ!$A$2:$A$50000,A1501,全馬データ!$B$2:$B$50000,B1501,全馬データ!$C$2:$C$50000,C1501,全馬データ!$D$2:$D$50000,E1501,全馬データ!$K$2:$K$50000,"&lt;&gt;")=0,"",SUMIFS(全馬データ!$K$2:$K$50000,全馬データ!$A$2:$A$50000,A1501,全馬データ!$B$2:$B$50000,B1501,全馬データ!$C$2:$C$50000,C1501,全馬データ!$D$2:$D$50000,E1501)))</f>
        <v/>
      </c>
      <c r="AP1501" s="8" t="str">
        <f aca="false">IF(A1501="","",IF(AO1501="","欠損",IF(AO1501&lt;=1.1,"1.0～1.1",IF(AO1501&lt;1.3,"1.2",IF(AO1501&lt;1.5,"1.3～1.4",IF(AO1501&lt;2,"1.5～1.9","2.0以上"))))))</f>
        <v/>
      </c>
      <c r="AQ1501" s="8" t="str">
        <f aca="false">IF(A1501="","",IF(ISNUMBER(SEARCH("2歳",Z1501)),"2歳戦",IF(ISNUMBER(SEARCH("3歳未勝利",Z1501)),"3歳未勝利",IF(ISNUMBER(SEARCH("未勝利",Z1501)),"その他未勝利",IF(ISNUMBER(SEARCH("G1",Z1501)),"G1",IF(ISNUMBER(SEARCH("G2",Z1501)),"G2",IF(ISNUMBER(SEARCH("G3",Z1501)),"G3",IF(ISNUMBER(SEARCH("古馬条件",Z1501)),"古馬条件戦",IF(ISNUMBER(SEARCH("重賞",Z1501)),"重賞","分類不能")))))))))</f>
        <v/>
      </c>
    </row>
    <row r="1502" customFormat="false" ht="15.75" hidden="false" customHeight="false" outlineLevel="0" collapsed="false">
      <c r="AO1502" s="8" t="str">
        <f aca="false">IF(A1502="","",IF(COUNTIFS(全馬データ!$A$2:$A$50000,A1502,全馬データ!$B$2:$B$50000,B1502,全馬データ!$C$2:$C$50000,C1502,全馬データ!$D$2:$D$50000,E1502,全馬データ!$K$2:$K$50000,"&lt;&gt;")=0,"",SUMIFS(全馬データ!$K$2:$K$50000,全馬データ!$A$2:$A$50000,A1502,全馬データ!$B$2:$B$50000,B1502,全馬データ!$C$2:$C$50000,C1502,全馬データ!$D$2:$D$50000,E1502)))</f>
        <v/>
      </c>
      <c r="AP1502" s="8" t="str">
        <f aca="false">IF(A1502="","",IF(AO1502="","欠損",IF(AO1502&lt;=1.1,"1.0～1.1",IF(AO1502&lt;1.3,"1.2",IF(AO1502&lt;1.5,"1.3～1.4",IF(AO1502&lt;2,"1.5～1.9","2.0以上"))))))</f>
        <v/>
      </c>
      <c r="AQ1502" s="8" t="str">
        <f aca="false">IF(A1502="","",IF(ISNUMBER(SEARCH("2歳",Z1502)),"2歳戦",IF(ISNUMBER(SEARCH("3歳未勝利",Z1502)),"3歳未勝利",IF(ISNUMBER(SEARCH("未勝利",Z1502)),"その他未勝利",IF(ISNUMBER(SEARCH("G1",Z1502)),"G1",IF(ISNUMBER(SEARCH("G2",Z1502)),"G2",IF(ISNUMBER(SEARCH("G3",Z1502)),"G3",IF(ISNUMBER(SEARCH("古馬条件",Z1502)),"古馬条件戦",IF(ISNUMBER(SEARCH("重賞",Z1502)),"重賞","分類不能")))))))))</f>
        <v/>
      </c>
    </row>
    <row r="1503" customFormat="false" ht="15.75" hidden="false" customHeight="false" outlineLevel="0" collapsed="false">
      <c r="AO1503" s="8" t="str">
        <f aca="false">IF(A1503="","",IF(COUNTIFS(全馬データ!$A$2:$A$50000,A1503,全馬データ!$B$2:$B$50000,B1503,全馬データ!$C$2:$C$50000,C1503,全馬データ!$D$2:$D$50000,E1503,全馬データ!$K$2:$K$50000,"&lt;&gt;")=0,"",SUMIFS(全馬データ!$K$2:$K$50000,全馬データ!$A$2:$A$50000,A1503,全馬データ!$B$2:$B$50000,B1503,全馬データ!$C$2:$C$50000,C1503,全馬データ!$D$2:$D$50000,E1503)))</f>
        <v/>
      </c>
      <c r="AP1503" s="8" t="str">
        <f aca="false">IF(A1503="","",IF(AO1503="","欠損",IF(AO1503&lt;=1.1,"1.0～1.1",IF(AO1503&lt;1.3,"1.2",IF(AO1503&lt;1.5,"1.3～1.4",IF(AO1503&lt;2,"1.5～1.9","2.0以上"))))))</f>
        <v/>
      </c>
      <c r="AQ1503" s="8" t="str">
        <f aca="false">IF(A1503="","",IF(ISNUMBER(SEARCH("2歳",Z1503)),"2歳戦",IF(ISNUMBER(SEARCH("3歳未勝利",Z1503)),"3歳未勝利",IF(ISNUMBER(SEARCH("未勝利",Z1503)),"その他未勝利",IF(ISNUMBER(SEARCH("G1",Z1503)),"G1",IF(ISNUMBER(SEARCH("G2",Z1503)),"G2",IF(ISNUMBER(SEARCH("G3",Z1503)),"G3",IF(ISNUMBER(SEARCH("古馬条件",Z1503)),"古馬条件戦",IF(ISNUMBER(SEARCH("重賞",Z1503)),"重賞","分類不能")))))))))</f>
        <v/>
      </c>
    </row>
    <row r="1504" customFormat="false" ht="15.75" hidden="false" customHeight="false" outlineLevel="0" collapsed="false">
      <c r="AO1504" s="8" t="str">
        <f aca="false">IF(A1504="","",IF(COUNTIFS(全馬データ!$A$2:$A$50000,A1504,全馬データ!$B$2:$B$50000,B1504,全馬データ!$C$2:$C$50000,C1504,全馬データ!$D$2:$D$50000,E1504,全馬データ!$K$2:$K$50000,"&lt;&gt;")=0,"",SUMIFS(全馬データ!$K$2:$K$50000,全馬データ!$A$2:$A$50000,A1504,全馬データ!$B$2:$B$50000,B1504,全馬データ!$C$2:$C$50000,C1504,全馬データ!$D$2:$D$50000,E1504)))</f>
        <v/>
      </c>
      <c r="AP1504" s="8" t="str">
        <f aca="false">IF(A1504="","",IF(AO1504="","欠損",IF(AO1504&lt;=1.1,"1.0～1.1",IF(AO1504&lt;1.3,"1.2",IF(AO1504&lt;1.5,"1.3～1.4",IF(AO1504&lt;2,"1.5～1.9","2.0以上"))))))</f>
        <v/>
      </c>
      <c r="AQ1504" s="8" t="str">
        <f aca="false">IF(A1504="","",IF(ISNUMBER(SEARCH("2歳",Z1504)),"2歳戦",IF(ISNUMBER(SEARCH("3歳未勝利",Z1504)),"3歳未勝利",IF(ISNUMBER(SEARCH("未勝利",Z1504)),"その他未勝利",IF(ISNUMBER(SEARCH("G1",Z1504)),"G1",IF(ISNUMBER(SEARCH("G2",Z1504)),"G2",IF(ISNUMBER(SEARCH("G3",Z1504)),"G3",IF(ISNUMBER(SEARCH("古馬条件",Z1504)),"古馬条件戦",IF(ISNUMBER(SEARCH("重賞",Z1504)),"重賞","分類不能")))))))))</f>
        <v/>
      </c>
    </row>
    <row r="1505" customFormat="false" ht="15.75" hidden="false" customHeight="false" outlineLevel="0" collapsed="false">
      <c r="AO1505" s="8" t="str">
        <f aca="false">IF(A1505="","",IF(COUNTIFS(全馬データ!$A$2:$A$50000,A1505,全馬データ!$B$2:$B$50000,B1505,全馬データ!$C$2:$C$50000,C1505,全馬データ!$D$2:$D$50000,E1505,全馬データ!$K$2:$K$50000,"&lt;&gt;")=0,"",SUMIFS(全馬データ!$K$2:$K$50000,全馬データ!$A$2:$A$50000,A1505,全馬データ!$B$2:$B$50000,B1505,全馬データ!$C$2:$C$50000,C1505,全馬データ!$D$2:$D$50000,E1505)))</f>
        <v/>
      </c>
      <c r="AP1505" s="8" t="str">
        <f aca="false">IF(A1505="","",IF(AO1505="","欠損",IF(AO1505&lt;=1.1,"1.0～1.1",IF(AO1505&lt;1.3,"1.2",IF(AO1505&lt;1.5,"1.3～1.4",IF(AO1505&lt;2,"1.5～1.9","2.0以上"))))))</f>
        <v/>
      </c>
      <c r="AQ1505" s="8" t="str">
        <f aca="false">IF(A1505="","",IF(ISNUMBER(SEARCH("2歳",Z1505)),"2歳戦",IF(ISNUMBER(SEARCH("3歳未勝利",Z1505)),"3歳未勝利",IF(ISNUMBER(SEARCH("未勝利",Z1505)),"その他未勝利",IF(ISNUMBER(SEARCH("G1",Z1505)),"G1",IF(ISNUMBER(SEARCH("G2",Z1505)),"G2",IF(ISNUMBER(SEARCH("G3",Z1505)),"G3",IF(ISNUMBER(SEARCH("古馬条件",Z1505)),"古馬条件戦",IF(ISNUMBER(SEARCH("重賞",Z1505)),"重賞","分類不能")))))))))</f>
        <v/>
      </c>
    </row>
    <row r="1506" customFormat="false" ht="15.75" hidden="false" customHeight="false" outlineLevel="0" collapsed="false">
      <c r="AO1506" s="8" t="str">
        <f aca="false">IF(A1506="","",IF(COUNTIFS(全馬データ!$A$2:$A$50000,A1506,全馬データ!$B$2:$B$50000,B1506,全馬データ!$C$2:$C$50000,C1506,全馬データ!$D$2:$D$50000,E1506,全馬データ!$K$2:$K$50000,"&lt;&gt;")=0,"",SUMIFS(全馬データ!$K$2:$K$50000,全馬データ!$A$2:$A$50000,A1506,全馬データ!$B$2:$B$50000,B1506,全馬データ!$C$2:$C$50000,C1506,全馬データ!$D$2:$D$50000,E1506)))</f>
        <v/>
      </c>
      <c r="AP1506" s="8" t="str">
        <f aca="false">IF(A1506="","",IF(AO1506="","欠損",IF(AO1506&lt;=1.1,"1.0～1.1",IF(AO1506&lt;1.3,"1.2",IF(AO1506&lt;1.5,"1.3～1.4",IF(AO1506&lt;2,"1.5～1.9","2.0以上"))))))</f>
        <v/>
      </c>
      <c r="AQ1506" s="8" t="str">
        <f aca="false">IF(A1506="","",IF(ISNUMBER(SEARCH("2歳",Z1506)),"2歳戦",IF(ISNUMBER(SEARCH("3歳未勝利",Z1506)),"3歳未勝利",IF(ISNUMBER(SEARCH("未勝利",Z1506)),"その他未勝利",IF(ISNUMBER(SEARCH("G1",Z1506)),"G1",IF(ISNUMBER(SEARCH("G2",Z1506)),"G2",IF(ISNUMBER(SEARCH("G3",Z1506)),"G3",IF(ISNUMBER(SEARCH("古馬条件",Z1506)),"古馬条件戦",IF(ISNUMBER(SEARCH("重賞",Z1506)),"重賞","分類不能")))))))))</f>
        <v/>
      </c>
    </row>
    <row r="1507" customFormat="false" ht="15.75" hidden="false" customHeight="false" outlineLevel="0" collapsed="false">
      <c r="AO1507" s="8" t="str">
        <f aca="false">IF(A1507="","",IF(COUNTIFS(全馬データ!$A$2:$A$50000,A1507,全馬データ!$B$2:$B$50000,B1507,全馬データ!$C$2:$C$50000,C1507,全馬データ!$D$2:$D$50000,E1507,全馬データ!$K$2:$K$50000,"&lt;&gt;")=0,"",SUMIFS(全馬データ!$K$2:$K$50000,全馬データ!$A$2:$A$50000,A1507,全馬データ!$B$2:$B$50000,B1507,全馬データ!$C$2:$C$50000,C1507,全馬データ!$D$2:$D$50000,E1507)))</f>
        <v/>
      </c>
      <c r="AP1507" s="8" t="str">
        <f aca="false">IF(A1507="","",IF(AO1507="","欠損",IF(AO1507&lt;=1.1,"1.0～1.1",IF(AO1507&lt;1.3,"1.2",IF(AO1507&lt;1.5,"1.3～1.4",IF(AO1507&lt;2,"1.5～1.9","2.0以上"))))))</f>
        <v/>
      </c>
      <c r="AQ1507" s="8" t="str">
        <f aca="false">IF(A1507="","",IF(ISNUMBER(SEARCH("2歳",Z1507)),"2歳戦",IF(ISNUMBER(SEARCH("3歳未勝利",Z1507)),"3歳未勝利",IF(ISNUMBER(SEARCH("未勝利",Z1507)),"その他未勝利",IF(ISNUMBER(SEARCH("G1",Z1507)),"G1",IF(ISNUMBER(SEARCH("G2",Z1507)),"G2",IF(ISNUMBER(SEARCH("G3",Z1507)),"G3",IF(ISNUMBER(SEARCH("古馬条件",Z1507)),"古馬条件戦",IF(ISNUMBER(SEARCH("重賞",Z1507)),"重賞","分類不能")))))))))</f>
        <v/>
      </c>
    </row>
    <row r="1508" customFormat="false" ht="15.75" hidden="false" customHeight="false" outlineLevel="0" collapsed="false">
      <c r="AO1508" s="8" t="str">
        <f aca="false">IF(A1508="","",IF(COUNTIFS(全馬データ!$A$2:$A$50000,A1508,全馬データ!$B$2:$B$50000,B1508,全馬データ!$C$2:$C$50000,C1508,全馬データ!$D$2:$D$50000,E1508,全馬データ!$K$2:$K$50000,"&lt;&gt;")=0,"",SUMIFS(全馬データ!$K$2:$K$50000,全馬データ!$A$2:$A$50000,A1508,全馬データ!$B$2:$B$50000,B1508,全馬データ!$C$2:$C$50000,C1508,全馬データ!$D$2:$D$50000,E1508)))</f>
        <v/>
      </c>
      <c r="AP1508" s="8" t="str">
        <f aca="false">IF(A1508="","",IF(AO1508="","欠損",IF(AO1508&lt;=1.1,"1.0～1.1",IF(AO1508&lt;1.3,"1.2",IF(AO1508&lt;1.5,"1.3～1.4",IF(AO1508&lt;2,"1.5～1.9","2.0以上"))))))</f>
        <v/>
      </c>
      <c r="AQ1508" s="8" t="str">
        <f aca="false">IF(A1508="","",IF(ISNUMBER(SEARCH("2歳",Z1508)),"2歳戦",IF(ISNUMBER(SEARCH("3歳未勝利",Z1508)),"3歳未勝利",IF(ISNUMBER(SEARCH("未勝利",Z1508)),"その他未勝利",IF(ISNUMBER(SEARCH("G1",Z1508)),"G1",IF(ISNUMBER(SEARCH("G2",Z1508)),"G2",IF(ISNUMBER(SEARCH("G3",Z1508)),"G3",IF(ISNUMBER(SEARCH("古馬条件",Z1508)),"古馬条件戦",IF(ISNUMBER(SEARCH("重賞",Z1508)),"重賞","分類不能")))))))))</f>
        <v/>
      </c>
    </row>
    <row r="1509" customFormat="false" ht="15.75" hidden="false" customHeight="false" outlineLevel="0" collapsed="false">
      <c r="AO1509" s="8" t="str">
        <f aca="false">IF(A1509="","",IF(COUNTIFS(全馬データ!$A$2:$A$50000,A1509,全馬データ!$B$2:$B$50000,B1509,全馬データ!$C$2:$C$50000,C1509,全馬データ!$D$2:$D$50000,E1509,全馬データ!$K$2:$K$50000,"&lt;&gt;")=0,"",SUMIFS(全馬データ!$K$2:$K$50000,全馬データ!$A$2:$A$50000,A1509,全馬データ!$B$2:$B$50000,B1509,全馬データ!$C$2:$C$50000,C1509,全馬データ!$D$2:$D$50000,E1509)))</f>
        <v/>
      </c>
      <c r="AP1509" s="8" t="str">
        <f aca="false">IF(A1509="","",IF(AO1509="","欠損",IF(AO1509&lt;=1.1,"1.0～1.1",IF(AO1509&lt;1.3,"1.2",IF(AO1509&lt;1.5,"1.3～1.4",IF(AO1509&lt;2,"1.5～1.9","2.0以上"))))))</f>
        <v/>
      </c>
      <c r="AQ1509" s="8" t="str">
        <f aca="false">IF(A1509="","",IF(ISNUMBER(SEARCH("2歳",Z1509)),"2歳戦",IF(ISNUMBER(SEARCH("3歳未勝利",Z1509)),"3歳未勝利",IF(ISNUMBER(SEARCH("未勝利",Z1509)),"その他未勝利",IF(ISNUMBER(SEARCH("G1",Z1509)),"G1",IF(ISNUMBER(SEARCH("G2",Z1509)),"G2",IF(ISNUMBER(SEARCH("G3",Z1509)),"G3",IF(ISNUMBER(SEARCH("古馬条件",Z1509)),"古馬条件戦",IF(ISNUMBER(SEARCH("重賞",Z1509)),"重賞","分類不能")))))))))</f>
        <v/>
      </c>
    </row>
    <row r="1510" customFormat="false" ht="15.75" hidden="false" customHeight="false" outlineLevel="0" collapsed="false">
      <c r="AO1510" s="8" t="str">
        <f aca="false">IF(A1510="","",IF(COUNTIFS(全馬データ!$A$2:$A$50000,A1510,全馬データ!$B$2:$B$50000,B1510,全馬データ!$C$2:$C$50000,C1510,全馬データ!$D$2:$D$50000,E1510,全馬データ!$K$2:$K$50000,"&lt;&gt;")=0,"",SUMIFS(全馬データ!$K$2:$K$50000,全馬データ!$A$2:$A$50000,A1510,全馬データ!$B$2:$B$50000,B1510,全馬データ!$C$2:$C$50000,C1510,全馬データ!$D$2:$D$50000,E1510)))</f>
        <v/>
      </c>
      <c r="AP1510" s="8" t="str">
        <f aca="false">IF(A1510="","",IF(AO1510="","欠損",IF(AO1510&lt;=1.1,"1.0～1.1",IF(AO1510&lt;1.3,"1.2",IF(AO1510&lt;1.5,"1.3～1.4",IF(AO1510&lt;2,"1.5～1.9","2.0以上"))))))</f>
        <v/>
      </c>
      <c r="AQ1510" s="8" t="str">
        <f aca="false">IF(A1510="","",IF(ISNUMBER(SEARCH("2歳",Z1510)),"2歳戦",IF(ISNUMBER(SEARCH("3歳未勝利",Z1510)),"3歳未勝利",IF(ISNUMBER(SEARCH("未勝利",Z1510)),"その他未勝利",IF(ISNUMBER(SEARCH("G1",Z1510)),"G1",IF(ISNUMBER(SEARCH("G2",Z1510)),"G2",IF(ISNUMBER(SEARCH("G3",Z1510)),"G3",IF(ISNUMBER(SEARCH("古馬条件",Z1510)),"古馬条件戦",IF(ISNUMBER(SEARCH("重賞",Z1510)),"重賞","分類不能")))))))))</f>
        <v/>
      </c>
    </row>
    <row r="1511" customFormat="false" ht="15.75" hidden="false" customHeight="false" outlineLevel="0" collapsed="false">
      <c r="AO1511" s="8" t="str">
        <f aca="false">IF(A1511="","",IF(COUNTIFS(全馬データ!$A$2:$A$50000,A1511,全馬データ!$B$2:$B$50000,B1511,全馬データ!$C$2:$C$50000,C1511,全馬データ!$D$2:$D$50000,E1511,全馬データ!$K$2:$K$50000,"&lt;&gt;")=0,"",SUMIFS(全馬データ!$K$2:$K$50000,全馬データ!$A$2:$A$50000,A1511,全馬データ!$B$2:$B$50000,B1511,全馬データ!$C$2:$C$50000,C1511,全馬データ!$D$2:$D$50000,E1511)))</f>
        <v/>
      </c>
      <c r="AP1511" s="8" t="str">
        <f aca="false">IF(A1511="","",IF(AO1511="","欠損",IF(AO1511&lt;=1.1,"1.0～1.1",IF(AO1511&lt;1.3,"1.2",IF(AO1511&lt;1.5,"1.3～1.4",IF(AO1511&lt;2,"1.5～1.9","2.0以上"))))))</f>
        <v/>
      </c>
      <c r="AQ1511" s="8" t="str">
        <f aca="false">IF(A1511="","",IF(ISNUMBER(SEARCH("2歳",Z1511)),"2歳戦",IF(ISNUMBER(SEARCH("3歳未勝利",Z1511)),"3歳未勝利",IF(ISNUMBER(SEARCH("未勝利",Z1511)),"その他未勝利",IF(ISNUMBER(SEARCH("G1",Z1511)),"G1",IF(ISNUMBER(SEARCH("G2",Z1511)),"G2",IF(ISNUMBER(SEARCH("G3",Z1511)),"G3",IF(ISNUMBER(SEARCH("古馬条件",Z1511)),"古馬条件戦",IF(ISNUMBER(SEARCH("重賞",Z1511)),"重賞","分類不能")))))))))</f>
        <v/>
      </c>
    </row>
    <row r="1512" customFormat="false" ht="15.75" hidden="false" customHeight="false" outlineLevel="0" collapsed="false">
      <c r="AO1512" s="8" t="str">
        <f aca="false">IF(A1512="","",IF(COUNTIFS(全馬データ!$A$2:$A$50000,A1512,全馬データ!$B$2:$B$50000,B1512,全馬データ!$C$2:$C$50000,C1512,全馬データ!$D$2:$D$50000,E1512,全馬データ!$K$2:$K$50000,"&lt;&gt;")=0,"",SUMIFS(全馬データ!$K$2:$K$50000,全馬データ!$A$2:$A$50000,A1512,全馬データ!$B$2:$B$50000,B1512,全馬データ!$C$2:$C$50000,C1512,全馬データ!$D$2:$D$50000,E1512)))</f>
        <v/>
      </c>
      <c r="AP1512" s="8" t="str">
        <f aca="false">IF(A1512="","",IF(AO1512="","欠損",IF(AO1512&lt;=1.1,"1.0～1.1",IF(AO1512&lt;1.3,"1.2",IF(AO1512&lt;1.5,"1.3～1.4",IF(AO1512&lt;2,"1.5～1.9","2.0以上"))))))</f>
        <v/>
      </c>
      <c r="AQ1512" s="8" t="str">
        <f aca="false">IF(A1512="","",IF(ISNUMBER(SEARCH("2歳",Z1512)),"2歳戦",IF(ISNUMBER(SEARCH("3歳未勝利",Z1512)),"3歳未勝利",IF(ISNUMBER(SEARCH("未勝利",Z1512)),"その他未勝利",IF(ISNUMBER(SEARCH("G1",Z1512)),"G1",IF(ISNUMBER(SEARCH("G2",Z1512)),"G2",IF(ISNUMBER(SEARCH("G3",Z1512)),"G3",IF(ISNUMBER(SEARCH("古馬条件",Z1512)),"古馬条件戦",IF(ISNUMBER(SEARCH("重賞",Z1512)),"重賞","分類不能")))))))))</f>
        <v/>
      </c>
    </row>
    <row r="1513" customFormat="false" ht="15.75" hidden="false" customHeight="false" outlineLevel="0" collapsed="false">
      <c r="AO1513" s="8" t="str">
        <f aca="false">IF(A1513="","",IF(COUNTIFS(全馬データ!$A$2:$A$50000,A1513,全馬データ!$B$2:$B$50000,B1513,全馬データ!$C$2:$C$50000,C1513,全馬データ!$D$2:$D$50000,E1513,全馬データ!$K$2:$K$50000,"&lt;&gt;")=0,"",SUMIFS(全馬データ!$K$2:$K$50000,全馬データ!$A$2:$A$50000,A1513,全馬データ!$B$2:$B$50000,B1513,全馬データ!$C$2:$C$50000,C1513,全馬データ!$D$2:$D$50000,E1513)))</f>
        <v/>
      </c>
      <c r="AP1513" s="8" t="str">
        <f aca="false">IF(A1513="","",IF(AO1513="","欠損",IF(AO1513&lt;=1.1,"1.0～1.1",IF(AO1513&lt;1.3,"1.2",IF(AO1513&lt;1.5,"1.3～1.4",IF(AO1513&lt;2,"1.5～1.9","2.0以上"))))))</f>
        <v/>
      </c>
      <c r="AQ1513" s="8" t="str">
        <f aca="false">IF(A1513="","",IF(ISNUMBER(SEARCH("2歳",Z1513)),"2歳戦",IF(ISNUMBER(SEARCH("3歳未勝利",Z1513)),"3歳未勝利",IF(ISNUMBER(SEARCH("未勝利",Z1513)),"その他未勝利",IF(ISNUMBER(SEARCH("G1",Z1513)),"G1",IF(ISNUMBER(SEARCH("G2",Z1513)),"G2",IF(ISNUMBER(SEARCH("G3",Z1513)),"G3",IF(ISNUMBER(SEARCH("古馬条件",Z1513)),"古馬条件戦",IF(ISNUMBER(SEARCH("重賞",Z1513)),"重賞","分類不能")))))))))</f>
        <v/>
      </c>
    </row>
    <row r="1514" customFormat="false" ht="15.75" hidden="false" customHeight="false" outlineLevel="0" collapsed="false">
      <c r="AO1514" s="8" t="str">
        <f aca="false">IF(A1514="","",IF(COUNTIFS(全馬データ!$A$2:$A$50000,A1514,全馬データ!$B$2:$B$50000,B1514,全馬データ!$C$2:$C$50000,C1514,全馬データ!$D$2:$D$50000,E1514,全馬データ!$K$2:$K$50000,"&lt;&gt;")=0,"",SUMIFS(全馬データ!$K$2:$K$50000,全馬データ!$A$2:$A$50000,A1514,全馬データ!$B$2:$B$50000,B1514,全馬データ!$C$2:$C$50000,C1514,全馬データ!$D$2:$D$50000,E1514)))</f>
        <v/>
      </c>
      <c r="AP1514" s="8" t="str">
        <f aca="false">IF(A1514="","",IF(AO1514="","欠損",IF(AO1514&lt;=1.1,"1.0～1.1",IF(AO1514&lt;1.3,"1.2",IF(AO1514&lt;1.5,"1.3～1.4",IF(AO1514&lt;2,"1.5～1.9","2.0以上"))))))</f>
        <v/>
      </c>
      <c r="AQ1514" s="8" t="str">
        <f aca="false">IF(A1514="","",IF(ISNUMBER(SEARCH("2歳",Z1514)),"2歳戦",IF(ISNUMBER(SEARCH("3歳未勝利",Z1514)),"3歳未勝利",IF(ISNUMBER(SEARCH("未勝利",Z1514)),"その他未勝利",IF(ISNUMBER(SEARCH("G1",Z1514)),"G1",IF(ISNUMBER(SEARCH("G2",Z1514)),"G2",IF(ISNUMBER(SEARCH("G3",Z1514)),"G3",IF(ISNUMBER(SEARCH("古馬条件",Z1514)),"古馬条件戦",IF(ISNUMBER(SEARCH("重賞",Z1514)),"重賞","分類不能")))))))))</f>
        <v/>
      </c>
    </row>
    <row r="1515" customFormat="false" ht="15.75" hidden="false" customHeight="false" outlineLevel="0" collapsed="false">
      <c r="AO1515" s="8" t="str">
        <f aca="false">IF(A1515="","",IF(COUNTIFS(全馬データ!$A$2:$A$50000,A1515,全馬データ!$B$2:$B$50000,B1515,全馬データ!$C$2:$C$50000,C1515,全馬データ!$D$2:$D$50000,E1515,全馬データ!$K$2:$K$50000,"&lt;&gt;")=0,"",SUMIFS(全馬データ!$K$2:$K$50000,全馬データ!$A$2:$A$50000,A1515,全馬データ!$B$2:$B$50000,B1515,全馬データ!$C$2:$C$50000,C1515,全馬データ!$D$2:$D$50000,E1515)))</f>
        <v/>
      </c>
      <c r="AP1515" s="8" t="str">
        <f aca="false">IF(A1515="","",IF(AO1515="","欠損",IF(AO1515&lt;=1.1,"1.0～1.1",IF(AO1515&lt;1.3,"1.2",IF(AO1515&lt;1.5,"1.3～1.4",IF(AO1515&lt;2,"1.5～1.9","2.0以上"))))))</f>
        <v/>
      </c>
      <c r="AQ1515" s="8" t="str">
        <f aca="false">IF(A1515="","",IF(ISNUMBER(SEARCH("2歳",Z1515)),"2歳戦",IF(ISNUMBER(SEARCH("3歳未勝利",Z1515)),"3歳未勝利",IF(ISNUMBER(SEARCH("未勝利",Z1515)),"その他未勝利",IF(ISNUMBER(SEARCH("G1",Z1515)),"G1",IF(ISNUMBER(SEARCH("G2",Z1515)),"G2",IF(ISNUMBER(SEARCH("G3",Z1515)),"G3",IF(ISNUMBER(SEARCH("古馬条件",Z1515)),"古馬条件戦",IF(ISNUMBER(SEARCH("重賞",Z1515)),"重賞","分類不能")))))))))</f>
        <v/>
      </c>
    </row>
    <row r="1516" customFormat="false" ht="15.75" hidden="false" customHeight="false" outlineLevel="0" collapsed="false">
      <c r="AO1516" s="8" t="str">
        <f aca="false">IF(A1516="","",IF(COUNTIFS(全馬データ!$A$2:$A$50000,A1516,全馬データ!$B$2:$B$50000,B1516,全馬データ!$C$2:$C$50000,C1516,全馬データ!$D$2:$D$50000,E1516,全馬データ!$K$2:$K$50000,"&lt;&gt;")=0,"",SUMIFS(全馬データ!$K$2:$K$50000,全馬データ!$A$2:$A$50000,A1516,全馬データ!$B$2:$B$50000,B1516,全馬データ!$C$2:$C$50000,C1516,全馬データ!$D$2:$D$50000,E1516)))</f>
        <v/>
      </c>
      <c r="AP1516" s="8" t="str">
        <f aca="false">IF(A1516="","",IF(AO1516="","欠損",IF(AO1516&lt;=1.1,"1.0～1.1",IF(AO1516&lt;1.3,"1.2",IF(AO1516&lt;1.5,"1.3～1.4",IF(AO1516&lt;2,"1.5～1.9","2.0以上"))))))</f>
        <v/>
      </c>
      <c r="AQ1516" s="8" t="str">
        <f aca="false">IF(A1516="","",IF(ISNUMBER(SEARCH("2歳",Z1516)),"2歳戦",IF(ISNUMBER(SEARCH("3歳未勝利",Z1516)),"3歳未勝利",IF(ISNUMBER(SEARCH("未勝利",Z1516)),"その他未勝利",IF(ISNUMBER(SEARCH("G1",Z1516)),"G1",IF(ISNUMBER(SEARCH("G2",Z1516)),"G2",IF(ISNUMBER(SEARCH("G3",Z1516)),"G3",IF(ISNUMBER(SEARCH("古馬条件",Z1516)),"古馬条件戦",IF(ISNUMBER(SEARCH("重賞",Z1516)),"重賞","分類不能")))))))))</f>
        <v/>
      </c>
    </row>
    <row r="1517" customFormat="false" ht="15.75" hidden="false" customHeight="false" outlineLevel="0" collapsed="false">
      <c r="AO1517" s="8" t="str">
        <f aca="false">IF(A1517="","",IF(COUNTIFS(全馬データ!$A$2:$A$50000,A1517,全馬データ!$B$2:$B$50000,B1517,全馬データ!$C$2:$C$50000,C1517,全馬データ!$D$2:$D$50000,E1517,全馬データ!$K$2:$K$50000,"&lt;&gt;")=0,"",SUMIFS(全馬データ!$K$2:$K$50000,全馬データ!$A$2:$A$50000,A1517,全馬データ!$B$2:$B$50000,B1517,全馬データ!$C$2:$C$50000,C1517,全馬データ!$D$2:$D$50000,E1517)))</f>
        <v/>
      </c>
      <c r="AP1517" s="8" t="str">
        <f aca="false">IF(A1517="","",IF(AO1517="","欠損",IF(AO1517&lt;=1.1,"1.0～1.1",IF(AO1517&lt;1.3,"1.2",IF(AO1517&lt;1.5,"1.3～1.4",IF(AO1517&lt;2,"1.5～1.9","2.0以上"))))))</f>
        <v/>
      </c>
      <c r="AQ1517" s="8" t="str">
        <f aca="false">IF(A1517="","",IF(ISNUMBER(SEARCH("2歳",Z1517)),"2歳戦",IF(ISNUMBER(SEARCH("3歳未勝利",Z1517)),"3歳未勝利",IF(ISNUMBER(SEARCH("未勝利",Z1517)),"その他未勝利",IF(ISNUMBER(SEARCH("G1",Z1517)),"G1",IF(ISNUMBER(SEARCH("G2",Z1517)),"G2",IF(ISNUMBER(SEARCH("G3",Z1517)),"G3",IF(ISNUMBER(SEARCH("古馬条件",Z1517)),"古馬条件戦",IF(ISNUMBER(SEARCH("重賞",Z1517)),"重賞","分類不能")))))))))</f>
        <v/>
      </c>
    </row>
    <row r="1518" customFormat="false" ht="15.75" hidden="false" customHeight="false" outlineLevel="0" collapsed="false">
      <c r="AO1518" s="8" t="str">
        <f aca="false">IF(A1518="","",IF(COUNTIFS(全馬データ!$A$2:$A$50000,A1518,全馬データ!$B$2:$B$50000,B1518,全馬データ!$C$2:$C$50000,C1518,全馬データ!$D$2:$D$50000,E1518,全馬データ!$K$2:$K$50000,"&lt;&gt;")=0,"",SUMIFS(全馬データ!$K$2:$K$50000,全馬データ!$A$2:$A$50000,A1518,全馬データ!$B$2:$B$50000,B1518,全馬データ!$C$2:$C$50000,C1518,全馬データ!$D$2:$D$50000,E1518)))</f>
        <v/>
      </c>
      <c r="AP1518" s="8" t="str">
        <f aca="false">IF(A1518="","",IF(AO1518="","欠損",IF(AO1518&lt;=1.1,"1.0～1.1",IF(AO1518&lt;1.3,"1.2",IF(AO1518&lt;1.5,"1.3～1.4",IF(AO1518&lt;2,"1.5～1.9","2.0以上"))))))</f>
        <v/>
      </c>
      <c r="AQ1518" s="8" t="str">
        <f aca="false">IF(A1518="","",IF(ISNUMBER(SEARCH("2歳",Z1518)),"2歳戦",IF(ISNUMBER(SEARCH("3歳未勝利",Z1518)),"3歳未勝利",IF(ISNUMBER(SEARCH("未勝利",Z1518)),"その他未勝利",IF(ISNUMBER(SEARCH("G1",Z1518)),"G1",IF(ISNUMBER(SEARCH("G2",Z1518)),"G2",IF(ISNUMBER(SEARCH("G3",Z1518)),"G3",IF(ISNUMBER(SEARCH("古馬条件",Z1518)),"古馬条件戦",IF(ISNUMBER(SEARCH("重賞",Z1518)),"重賞","分類不能")))))))))</f>
        <v/>
      </c>
    </row>
    <row r="1519" customFormat="false" ht="15.75" hidden="false" customHeight="false" outlineLevel="0" collapsed="false">
      <c r="AO1519" s="8" t="str">
        <f aca="false">IF(A1519="","",IF(COUNTIFS(全馬データ!$A$2:$A$50000,A1519,全馬データ!$B$2:$B$50000,B1519,全馬データ!$C$2:$C$50000,C1519,全馬データ!$D$2:$D$50000,E1519,全馬データ!$K$2:$K$50000,"&lt;&gt;")=0,"",SUMIFS(全馬データ!$K$2:$K$50000,全馬データ!$A$2:$A$50000,A1519,全馬データ!$B$2:$B$50000,B1519,全馬データ!$C$2:$C$50000,C1519,全馬データ!$D$2:$D$50000,E1519)))</f>
        <v/>
      </c>
      <c r="AP1519" s="8" t="str">
        <f aca="false">IF(A1519="","",IF(AO1519="","欠損",IF(AO1519&lt;=1.1,"1.0～1.1",IF(AO1519&lt;1.3,"1.2",IF(AO1519&lt;1.5,"1.3～1.4",IF(AO1519&lt;2,"1.5～1.9","2.0以上"))))))</f>
        <v/>
      </c>
      <c r="AQ1519" s="8" t="str">
        <f aca="false">IF(A1519="","",IF(ISNUMBER(SEARCH("2歳",Z1519)),"2歳戦",IF(ISNUMBER(SEARCH("3歳未勝利",Z1519)),"3歳未勝利",IF(ISNUMBER(SEARCH("未勝利",Z1519)),"その他未勝利",IF(ISNUMBER(SEARCH("G1",Z1519)),"G1",IF(ISNUMBER(SEARCH("G2",Z1519)),"G2",IF(ISNUMBER(SEARCH("G3",Z1519)),"G3",IF(ISNUMBER(SEARCH("古馬条件",Z1519)),"古馬条件戦",IF(ISNUMBER(SEARCH("重賞",Z1519)),"重賞","分類不能")))))))))</f>
        <v/>
      </c>
    </row>
    <row r="1520" customFormat="false" ht="15.75" hidden="false" customHeight="false" outlineLevel="0" collapsed="false">
      <c r="AO1520" s="8" t="str">
        <f aca="false">IF(A1520="","",IF(COUNTIFS(全馬データ!$A$2:$A$50000,A1520,全馬データ!$B$2:$B$50000,B1520,全馬データ!$C$2:$C$50000,C1520,全馬データ!$D$2:$D$50000,E1520,全馬データ!$K$2:$K$50000,"&lt;&gt;")=0,"",SUMIFS(全馬データ!$K$2:$K$50000,全馬データ!$A$2:$A$50000,A1520,全馬データ!$B$2:$B$50000,B1520,全馬データ!$C$2:$C$50000,C1520,全馬データ!$D$2:$D$50000,E1520)))</f>
        <v/>
      </c>
      <c r="AP1520" s="8" t="str">
        <f aca="false">IF(A1520="","",IF(AO1520="","欠損",IF(AO1520&lt;=1.1,"1.0～1.1",IF(AO1520&lt;1.3,"1.2",IF(AO1520&lt;1.5,"1.3～1.4",IF(AO1520&lt;2,"1.5～1.9","2.0以上"))))))</f>
        <v/>
      </c>
      <c r="AQ1520" s="8" t="str">
        <f aca="false">IF(A1520="","",IF(ISNUMBER(SEARCH("2歳",Z1520)),"2歳戦",IF(ISNUMBER(SEARCH("3歳未勝利",Z1520)),"3歳未勝利",IF(ISNUMBER(SEARCH("未勝利",Z1520)),"その他未勝利",IF(ISNUMBER(SEARCH("G1",Z1520)),"G1",IF(ISNUMBER(SEARCH("G2",Z1520)),"G2",IF(ISNUMBER(SEARCH("G3",Z1520)),"G3",IF(ISNUMBER(SEARCH("古馬条件",Z1520)),"古馬条件戦",IF(ISNUMBER(SEARCH("重賞",Z1520)),"重賞","分類不能")))))))))</f>
        <v/>
      </c>
    </row>
    <row r="1521" customFormat="false" ht="15.75" hidden="false" customHeight="false" outlineLevel="0" collapsed="false">
      <c r="AO1521" s="8" t="str">
        <f aca="false">IF(A1521="","",IF(COUNTIFS(全馬データ!$A$2:$A$50000,A1521,全馬データ!$B$2:$B$50000,B1521,全馬データ!$C$2:$C$50000,C1521,全馬データ!$D$2:$D$50000,E1521,全馬データ!$K$2:$K$50000,"&lt;&gt;")=0,"",SUMIFS(全馬データ!$K$2:$K$50000,全馬データ!$A$2:$A$50000,A1521,全馬データ!$B$2:$B$50000,B1521,全馬データ!$C$2:$C$50000,C1521,全馬データ!$D$2:$D$50000,E1521)))</f>
        <v/>
      </c>
      <c r="AP1521" s="8" t="str">
        <f aca="false">IF(A1521="","",IF(AO1521="","欠損",IF(AO1521&lt;=1.1,"1.0～1.1",IF(AO1521&lt;1.3,"1.2",IF(AO1521&lt;1.5,"1.3～1.4",IF(AO1521&lt;2,"1.5～1.9","2.0以上"))))))</f>
        <v/>
      </c>
      <c r="AQ1521" s="8" t="str">
        <f aca="false">IF(A1521="","",IF(ISNUMBER(SEARCH("2歳",Z1521)),"2歳戦",IF(ISNUMBER(SEARCH("3歳未勝利",Z1521)),"3歳未勝利",IF(ISNUMBER(SEARCH("未勝利",Z1521)),"その他未勝利",IF(ISNUMBER(SEARCH("G1",Z1521)),"G1",IF(ISNUMBER(SEARCH("G2",Z1521)),"G2",IF(ISNUMBER(SEARCH("G3",Z1521)),"G3",IF(ISNUMBER(SEARCH("古馬条件",Z1521)),"古馬条件戦",IF(ISNUMBER(SEARCH("重賞",Z1521)),"重賞","分類不能")))))))))</f>
        <v/>
      </c>
    </row>
    <row r="1522" customFormat="false" ht="15.75" hidden="false" customHeight="false" outlineLevel="0" collapsed="false">
      <c r="AO1522" s="8" t="str">
        <f aca="false">IF(A1522="","",IF(COUNTIFS(全馬データ!$A$2:$A$50000,A1522,全馬データ!$B$2:$B$50000,B1522,全馬データ!$C$2:$C$50000,C1522,全馬データ!$D$2:$D$50000,E1522,全馬データ!$K$2:$K$50000,"&lt;&gt;")=0,"",SUMIFS(全馬データ!$K$2:$K$50000,全馬データ!$A$2:$A$50000,A1522,全馬データ!$B$2:$B$50000,B1522,全馬データ!$C$2:$C$50000,C1522,全馬データ!$D$2:$D$50000,E1522)))</f>
        <v/>
      </c>
      <c r="AP1522" s="8" t="str">
        <f aca="false">IF(A1522="","",IF(AO1522="","欠損",IF(AO1522&lt;=1.1,"1.0～1.1",IF(AO1522&lt;1.3,"1.2",IF(AO1522&lt;1.5,"1.3～1.4",IF(AO1522&lt;2,"1.5～1.9","2.0以上"))))))</f>
        <v/>
      </c>
      <c r="AQ1522" s="8" t="str">
        <f aca="false">IF(A1522="","",IF(ISNUMBER(SEARCH("2歳",Z1522)),"2歳戦",IF(ISNUMBER(SEARCH("3歳未勝利",Z1522)),"3歳未勝利",IF(ISNUMBER(SEARCH("未勝利",Z1522)),"その他未勝利",IF(ISNUMBER(SEARCH("G1",Z1522)),"G1",IF(ISNUMBER(SEARCH("G2",Z1522)),"G2",IF(ISNUMBER(SEARCH("G3",Z1522)),"G3",IF(ISNUMBER(SEARCH("古馬条件",Z1522)),"古馬条件戦",IF(ISNUMBER(SEARCH("重賞",Z1522)),"重賞","分類不能")))))))))</f>
        <v/>
      </c>
    </row>
    <row r="1523" customFormat="false" ht="15.75" hidden="false" customHeight="false" outlineLevel="0" collapsed="false">
      <c r="AO1523" s="8" t="str">
        <f aca="false">IF(A1523="","",IF(COUNTIFS(全馬データ!$A$2:$A$50000,A1523,全馬データ!$B$2:$B$50000,B1523,全馬データ!$C$2:$C$50000,C1523,全馬データ!$D$2:$D$50000,E1523,全馬データ!$K$2:$K$50000,"&lt;&gt;")=0,"",SUMIFS(全馬データ!$K$2:$K$50000,全馬データ!$A$2:$A$50000,A1523,全馬データ!$B$2:$B$50000,B1523,全馬データ!$C$2:$C$50000,C1523,全馬データ!$D$2:$D$50000,E1523)))</f>
        <v/>
      </c>
      <c r="AP1523" s="8" t="str">
        <f aca="false">IF(A1523="","",IF(AO1523="","欠損",IF(AO1523&lt;=1.1,"1.0～1.1",IF(AO1523&lt;1.3,"1.2",IF(AO1523&lt;1.5,"1.3～1.4",IF(AO1523&lt;2,"1.5～1.9","2.0以上"))))))</f>
        <v/>
      </c>
      <c r="AQ1523" s="8" t="str">
        <f aca="false">IF(A1523="","",IF(ISNUMBER(SEARCH("2歳",Z1523)),"2歳戦",IF(ISNUMBER(SEARCH("3歳未勝利",Z1523)),"3歳未勝利",IF(ISNUMBER(SEARCH("未勝利",Z1523)),"その他未勝利",IF(ISNUMBER(SEARCH("G1",Z1523)),"G1",IF(ISNUMBER(SEARCH("G2",Z1523)),"G2",IF(ISNUMBER(SEARCH("G3",Z1523)),"G3",IF(ISNUMBER(SEARCH("古馬条件",Z1523)),"古馬条件戦",IF(ISNUMBER(SEARCH("重賞",Z1523)),"重賞","分類不能")))))))))</f>
        <v/>
      </c>
    </row>
    <row r="1524" customFormat="false" ht="15.75" hidden="false" customHeight="false" outlineLevel="0" collapsed="false">
      <c r="AO1524" s="8" t="str">
        <f aca="false">IF(A1524="","",IF(COUNTIFS(全馬データ!$A$2:$A$50000,A1524,全馬データ!$B$2:$B$50000,B1524,全馬データ!$C$2:$C$50000,C1524,全馬データ!$D$2:$D$50000,E1524,全馬データ!$K$2:$K$50000,"&lt;&gt;")=0,"",SUMIFS(全馬データ!$K$2:$K$50000,全馬データ!$A$2:$A$50000,A1524,全馬データ!$B$2:$B$50000,B1524,全馬データ!$C$2:$C$50000,C1524,全馬データ!$D$2:$D$50000,E1524)))</f>
        <v/>
      </c>
      <c r="AP1524" s="8" t="str">
        <f aca="false">IF(A1524="","",IF(AO1524="","欠損",IF(AO1524&lt;=1.1,"1.0～1.1",IF(AO1524&lt;1.3,"1.2",IF(AO1524&lt;1.5,"1.3～1.4",IF(AO1524&lt;2,"1.5～1.9","2.0以上"))))))</f>
        <v/>
      </c>
      <c r="AQ1524" s="8" t="str">
        <f aca="false">IF(A1524="","",IF(ISNUMBER(SEARCH("2歳",Z1524)),"2歳戦",IF(ISNUMBER(SEARCH("3歳未勝利",Z1524)),"3歳未勝利",IF(ISNUMBER(SEARCH("未勝利",Z1524)),"その他未勝利",IF(ISNUMBER(SEARCH("G1",Z1524)),"G1",IF(ISNUMBER(SEARCH("G2",Z1524)),"G2",IF(ISNUMBER(SEARCH("G3",Z1524)),"G3",IF(ISNUMBER(SEARCH("古馬条件",Z1524)),"古馬条件戦",IF(ISNUMBER(SEARCH("重賞",Z1524)),"重賞","分類不能")))))))))</f>
        <v/>
      </c>
    </row>
    <row r="1525" customFormat="false" ht="15.75" hidden="false" customHeight="false" outlineLevel="0" collapsed="false">
      <c r="AO1525" s="8" t="str">
        <f aca="false">IF(A1525="","",IF(COUNTIFS(全馬データ!$A$2:$A$50000,A1525,全馬データ!$B$2:$B$50000,B1525,全馬データ!$C$2:$C$50000,C1525,全馬データ!$D$2:$D$50000,E1525,全馬データ!$K$2:$K$50000,"&lt;&gt;")=0,"",SUMIFS(全馬データ!$K$2:$K$50000,全馬データ!$A$2:$A$50000,A1525,全馬データ!$B$2:$B$50000,B1525,全馬データ!$C$2:$C$50000,C1525,全馬データ!$D$2:$D$50000,E1525)))</f>
        <v/>
      </c>
      <c r="AP1525" s="8" t="str">
        <f aca="false">IF(A1525="","",IF(AO1525="","欠損",IF(AO1525&lt;=1.1,"1.0～1.1",IF(AO1525&lt;1.3,"1.2",IF(AO1525&lt;1.5,"1.3～1.4",IF(AO1525&lt;2,"1.5～1.9","2.0以上"))))))</f>
        <v/>
      </c>
      <c r="AQ1525" s="8" t="str">
        <f aca="false">IF(A1525="","",IF(ISNUMBER(SEARCH("2歳",Z1525)),"2歳戦",IF(ISNUMBER(SEARCH("3歳未勝利",Z1525)),"3歳未勝利",IF(ISNUMBER(SEARCH("未勝利",Z1525)),"その他未勝利",IF(ISNUMBER(SEARCH("G1",Z1525)),"G1",IF(ISNUMBER(SEARCH("G2",Z1525)),"G2",IF(ISNUMBER(SEARCH("G3",Z1525)),"G3",IF(ISNUMBER(SEARCH("古馬条件",Z1525)),"古馬条件戦",IF(ISNUMBER(SEARCH("重賞",Z1525)),"重賞","分類不能")))))))))</f>
        <v/>
      </c>
    </row>
    <row r="1526" customFormat="false" ht="15.75" hidden="false" customHeight="false" outlineLevel="0" collapsed="false">
      <c r="AO1526" s="8" t="str">
        <f aca="false">IF(A1526="","",IF(COUNTIFS(全馬データ!$A$2:$A$50000,A1526,全馬データ!$B$2:$B$50000,B1526,全馬データ!$C$2:$C$50000,C1526,全馬データ!$D$2:$D$50000,E1526,全馬データ!$K$2:$K$50000,"&lt;&gt;")=0,"",SUMIFS(全馬データ!$K$2:$K$50000,全馬データ!$A$2:$A$50000,A1526,全馬データ!$B$2:$B$50000,B1526,全馬データ!$C$2:$C$50000,C1526,全馬データ!$D$2:$D$50000,E1526)))</f>
        <v/>
      </c>
      <c r="AP1526" s="8" t="str">
        <f aca="false">IF(A1526="","",IF(AO1526="","欠損",IF(AO1526&lt;=1.1,"1.0～1.1",IF(AO1526&lt;1.3,"1.2",IF(AO1526&lt;1.5,"1.3～1.4",IF(AO1526&lt;2,"1.5～1.9","2.0以上"))))))</f>
        <v/>
      </c>
      <c r="AQ1526" s="8" t="str">
        <f aca="false">IF(A1526="","",IF(ISNUMBER(SEARCH("2歳",Z1526)),"2歳戦",IF(ISNUMBER(SEARCH("3歳未勝利",Z1526)),"3歳未勝利",IF(ISNUMBER(SEARCH("未勝利",Z1526)),"その他未勝利",IF(ISNUMBER(SEARCH("G1",Z1526)),"G1",IF(ISNUMBER(SEARCH("G2",Z1526)),"G2",IF(ISNUMBER(SEARCH("G3",Z1526)),"G3",IF(ISNUMBER(SEARCH("古馬条件",Z1526)),"古馬条件戦",IF(ISNUMBER(SEARCH("重賞",Z1526)),"重賞","分類不能")))))))))</f>
        <v/>
      </c>
    </row>
    <row r="1527" customFormat="false" ht="15.75" hidden="false" customHeight="false" outlineLevel="0" collapsed="false">
      <c r="AO1527" s="8" t="str">
        <f aca="false">IF(A1527="","",IF(COUNTIFS(全馬データ!$A$2:$A$50000,A1527,全馬データ!$B$2:$B$50000,B1527,全馬データ!$C$2:$C$50000,C1527,全馬データ!$D$2:$D$50000,E1527,全馬データ!$K$2:$K$50000,"&lt;&gt;")=0,"",SUMIFS(全馬データ!$K$2:$K$50000,全馬データ!$A$2:$A$50000,A1527,全馬データ!$B$2:$B$50000,B1527,全馬データ!$C$2:$C$50000,C1527,全馬データ!$D$2:$D$50000,E1527)))</f>
        <v/>
      </c>
      <c r="AP1527" s="8" t="str">
        <f aca="false">IF(A1527="","",IF(AO1527="","欠損",IF(AO1527&lt;=1.1,"1.0～1.1",IF(AO1527&lt;1.3,"1.2",IF(AO1527&lt;1.5,"1.3～1.4",IF(AO1527&lt;2,"1.5～1.9","2.0以上"))))))</f>
        <v/>
      </c>
      <c r="AQ1527" s="8" t="str">
        <f aca="false">IF(A1527="","",IF(ISNUMBER(SEARCH("2歳",Z1527)),"2歳戦",IF(ISNUMBER(SEARCH("3歳未勝利",Z1527)),"3歳未勝利",IF(ISNUMBER(SEARCH("未勝利",Z1527)),"その他未勝利",IF(ISNUMBER(SEARCH("G1",Z1527)),"G1",IF(ISNUMBER(SEARCH("G2",Z1527)),"G2",IF(ISNUMBER(SEARCH("G3",Z1527)),"G3",IF(ISNUMBER(SEARCH("古馬条件",Z1527)),"古馬条件戦",IF(ISNUMBER(SEARCH("重賞",Z1527)),"重賞","分類不能")))))))))</f>
        <v/>
      </c>
    </row>
    <row r="1528" customFormat="false" ht="15.75" hidden="false" customHeight="false" outlineLevel="0" collapsed="false">
      <c r="AO1528" s="8" t="str">
        <f aca="false">IF(A1528="","",IF(COUNTIFS(全馬データ!$A$2:$A$50000,A1528,全馬データ!$B$2:$B$50000,B1528,全馬データ!$C$2:$C$50000,C1528,全馬データ!$D$2:$D$50000,E1528,全馬データ!$K$2:$K$50000,"&lt;&gt;")=0,"",SUMIFS(全馬データ!$K$2:$K$50000,全馬データ!$A$2:$A$50000,A1528,全馬データ!$B$2:$B$50000,B1528,全馬データ!$C$2:$C$50000,C1528,全馬データ!$D$2:$D$50000,E1528)))</f>
        <v/>
      </c>
      <c r="AP1528" s="8" t="str">
        <f aca="false">IF(A1528="","",IF(AO1528="","欠損",IF(AO1528&lt;=1.1,"1.0～1.1",IF(AO1528&lt;1.3,"1.2",IF(AO1528&lt;1.5,"1.3～1.4",IF(AO1528&lt;2,"1.5～1.9","2.0以上"))))))</f>
        <v/>
      </c>
      <c r="AQ1528" s="8" t="str">
        <f aca="false">IF(A1528="","",IF(ISNUMBER(SEARCH("2歳",Z1528)),"2歳戦",IF(ISNUMBER(SEARCH("3歳未勝利",Z1528)),"3歳未勝利",IF(ISNUMBER(SEARCH("未勝利",Z1528)),"その他未勝利",IF(ISNUMBER(SEARCH("G1",Z1528)),"G1",IF(ISNUMBER(SEARCH("G2",Z1528)),"G2",IF(ISNUMBER(SEARCH("G3",Z1528)),"G3",IF(ISNUMBER(SEARCH("古馬条件",Z1528)),"古馬条件戦",IF(ISNUMBER(SEARCH("重賞",Z1528)),"重賞","分類不能")))))))))</f>
        <v/>
      </c>
    </row>
    <row r="1529" customFormat="false" ht="15.75" hidden="false" customHeight="false" outlineLevel="0" collapsed="false">
      <c r="AO1529" s="8" t="str">
        <f aca="false">IF(A1529="","",IF(COUNTIFS(全馬データ!$A$2:$A$50000,A1529,全馬データ!$B$2:$B$50000,B1529,全馬データ!$C$2:$C$50000,C1529,全馬データ!$D$2:$D$50000,E1529,全馬データ!$K$2:$K$50000,"&lt;&gt;")=0,"",SUMIFS(全馬データ!$K$2:$K$50000,全馬データ!$A$2:$A$50000,A1529,全馬データ!$B$2:$B$50000,B1529,全馬データ!$C$2:$C$50000,C1529,全馬データ!$D$2:$D$50000,E1529)))</f>
        <v/>
      </c>
      <c r="AP1529" s="8" t="str">
        <f aca="false">IF(A1529="","",IF(AO1529="","欠損",IF(AO1529&lt;=1.1,"1.0～1.1",IF(AO1529&lt;1.3,"1.2",IF(AO1529&lt;1.5,"1.3～1.4",IF(AO1529&lt;2,"1.5～1.9","2.0以上"))))))</f>
        <v/>
      </c>
      <c r="AQ1529" s="8" t="str">
        <f aca="false">IF(A1529="","",IF(ISNUMBER(SEARCH("2歳",Z1529)),"2歳戦",IF(ISNUMBER(SEARCH("3歳未勝利",Z1529)),"3歳未勝利",IF(ISNUMBER(SEARCH("未勝利",Z1529)),"その他未勝利",IF(ISNUMBER(SEARCH("G1",Z1529)),"G1",IF(ISNUMBER(SEARCH("G2",Z1529)),"G2",IF(ISNUMBER(SEARCH("G3",Z1529)),"G3",IF(ISNUMBER(SEARCH("古馬条件",Z1529)),"古馬条件戦",IF(ISNUMBER(SEARCH("重賞",Z1529)),"重賞","分類不能")))))))))</f>
        <v/>
      </c>
    </row>
    <row r="1530" customFormat="false" ht="15.75" hidden="false" customHeight="false" outlineLevel="0" collapsed="false">
      <c r="AO1530" s="8" t="str">
        <f aca="false">IF(A1530="","",IF(COUNTIFS(全馬データ!$A$2:$A$50000,A1530,全馬データ!$B$2:$B$50000,B1530,全馬データ!$C$2:$C$50000,C1530,全馬データ!$D$2:$D$50000,E1530,全馬データ!$K$2:$K$50000,"&lt;&gt;")=0,"",SUMIFS(全馬データ!$K$2:$K$50000,全馬データ!$A$2:$A$50000,A1530,全馬データ!$B$2:$B$50000,B1530,全馬データ!$C$2:$C$50000,C1530,全馬データ!$D$2:$D$50000,E1530)))</f>
        <v/>
      </c>
      <c r="AP1530" s="8" t="str">
        <f aca="false">IF(A1530="","",IF(AO1530="","欠損",IF(AO1530&lt;=1.1,"1.0～1.1",IF(AO1530&lt;1.3,"1.2",IF(AO1530&lt;1.5,"1.3～1.4",IF(AO1530&lt;2,"1.5～1.9","2.0以上"))))))</f>
        <v/>
      </c>
      <c r="AQ1530" s="8" t="str">
        <f aca="false">IF(A1530="","",IF(ISNUMBER(SEARCH("2歳",Z1530)),"2歳戦",IF(ISNUMBER(SEARCH("3歳未勝利",Z1530)),"3歳未勝利",IF(ISNUMBER(SEARCH("未勝利",Z1530)),"その他未勝利",IF(ISNUMBER(SEARCH("G1",Z1530)),"G1",IF(ISNUMBER(SEARCH("G2",Z1530)),"G2",IF(ISNUMBER(SEARCH("G3",Z1530)),"G3",IF(ISNUMBER(SEARCH("古馬条件",Z1530)),"古馬条件戦",IF(ISNUMBER(SEARCH("重賞",Z1530)),"重賞","分類不能")))))))))</f>
        <v/>
      </c>
    </row>
    <row r="1531" customFormat="false" ht="15.75" hidden="false" customHeight="false" outlineLevel="0" collapsed="false">
      <c r="AO1531" s="8" t="str">
        <f aca="false">IF(A1531="","",IF(COUNTIFS(全馬データ!$A$2:$A$50000,A1531,全馬データ!$B$2:$B$50000,B1531,全馬データ!$C$2:$C$50000,C1531,全馬データ!$D$2:$D$50000,E1531,全馬データ!$K$2:$K$50000,"&lt;&gt;")=0,"",SUMIFS(全馬データ!$K$2:$K$50000,全馬データ!$A$2:$A$50000,A1531,全馬データ!$B$2:$B$50000,B1531,全馬データ!$C$2:$C$50000,C1531,全馬データ!$D$2:$D$50000,E1531)))</f>
        <v/>
      </c>
      <c r="AP1531" s="8" t="str">
        <f aca="false">IF(A1531="","",IF(AO1531="","欠損",IF(AO1531&lt;=1.1,"1.0～1.1",IF(AO1531&lt;1.3,"1.2",IF(AO1531&lt;1.5,"1.3～1.4",IF(AO1531&lt;2,"1.5～1.9","2.0以上"))))))</f>
        <v/>
      </c>
      <c r="AQ1531" s="8" t="str">
        <f aca="false">IF(A1531="","",IF(ISNUMBER(SEARCH("2歳",Z1531)),"2歳戦",IF(ISNUMBER(SEARCH("3歳未勝利",Z1531)),"3歳未勝利",IF(ISNUMBER(SEARCH("未勝利",Z1531)),"その他未勝利",IF(ISNUMBER(SEARCH("G1",Z1531)),"G1",IF(ISNUMBER(SEARCH("G2",Z1531)),"G2",IF(ISNUMBER(SEARCH("G3",Z1531)),"G3",IF(ISNUMBER(SEARCH("古馬条件",Z1531)),"古馬条件戦",IF(ISNUMBER(SEARCH("重賞",Z1531)),"重賞","分類不能")))))))))</f>
        <v/>
      </c>
    </row>
    <row r="1532" customFormat="false" ht="15.75" hidden="false" customHeight="false" outlineLevel="0" collapsed="false">
      <c r="AO1532" s="8" t="str">
        <f aca="false">IF(A1532="","",IF(COUNTIFS(全馬データ!$A$2:$A$50000,A1532,全馬データ!$B$2:$B$50000,B1532,全馬データ!$C$2:$C$50000,C1532,全馬データ!$D$2:$D$50000,E1532,全馬データ!$K$2:$K$50000,"&lt;&gt;")=0,"",SUMIFS(全馬データ!$K$2:$K$50000,全馬データ!$A$2:$A$50000,A1532,全馬データ!$B$2:$B$50000,B1532,全馬データ!$C$2:$C$50000,C1532,全馬データ!$D$2:$D$50000,E1532)))</f>
        <v/>
      </c>
      <c r="AP1532" s="8" t="str">
        <f aca="false">IF(A1532="","",IF(AO1532="","欠損",IF(AO1532&lt;=1.1,"1.0～1.1",IF(AO1532&lt;1.3,"1.2",IF(AO1532&lt;1.5,"1.3～1.4",IF(AO1532&lt;2,"1.5～1.9","2.0以上"))))))</f>
        <v/>
      </c>
      <c r="AQ1532" s="8" t="str">
        <f aca="false">IF(A1532="","",IF(ISNUMBER(SEARCH("2歳",Z1532)),"2歳戦",IF(ISNUMBER(SEARCH("3歳未勝利",Z1532)),"3歳未勝利",IF(ISNUMBER(SEARCH("未勝利",Z1532)),"その他未勝利",IF(ISNUMBER(SEARCH("G1",Z1532)),"G1",IF(ISNUMBER(SEARCH("G2",Z1532)),"G2",IF(ISNUMBER(SEARCH("G3",Z1532)),"G3",IF(ISNUMBER(SEARCH("古馬条件",Z1532)),"古馬条件戦",IF(ISNUMBER(SEARCH("重賞",Z1532)),"重賞","分類不能")))))))))</f>
        <v/>
      </c>
    </row>
    <row r="1533" customFormat="false" ht="15.75" hidden="false" customHeight="false" outlineLevel="0" collapsed="false">
      <c r="AO1533" s="8" t="str">
        <f aca="false">IF(A1533="","",IF(COUNTIFS(全馬データ!$A$2:$A$50000,A1533,全馬データ!$B$2:$B$50000,B1533,全馬データ!$C$2:$C$50000,C1533,全馬データ!$D$2:$D$50000,E1533,全馬データ!$K$2:$K$50000,"&lt;&gt;")=0,"",SUMIFS(全馬データ!$K$2:$K$50000,全馬データ!$A$2:$A$50000,A1533,全馬データ!$B$2:$B$50000,B1533,全馬データ!$C$2:$C$50000,C1533,全馬データ!$D$2:$D$50000,E1533)))</f>
        <v/>
      </c>
      <c r="AP1533" s="8" t="str">
        <f aca="false">IF(A1533="","",IF(AO1533="","欠損",IF(AO1533&lt;=1.1,"1.0～1.1",IF(AO1533&lt;1.3,"1.2",IF(AO1533&lt;1.5,"1.3～1.4",IF(AO1533&lt;2,"1.5～1.9","2.0以上"))))))</f>
        <v/>
      </c>
      <c r="AQ1533" s="8" t="str">
        <f aca="false">IF(A1533="","",IF(ISNUMBER(SEARCH("2歳",Z1533)),"2歳戦",IF(ISNUMBER(SEARCH("3歳未勝利",Z1533)),"3歳未勝利",IF(ISNUMBER(SEARCH("未勝利",Z1533)),"その他未勝利",IF(ISNUMBER(SEARCH("G1",Z1533)),"G1",IF(ISNUMBER(SEARCH("G2",Z1533)),"G2",IF(ISNUMBER(SEARCH("G3",Z1533)),"G3",IF(ISNUMBER(SEARCH("古馬条件",Z1533)),"古馬条件戦",IF(ISNUMBER(SEARCH("重賞",Z1533)),"重賞","分類不能")))))))))</f>
        <v/>
      </c>
    </row>
    <row r="1534" customFormat="false" ht="15.75" hidden="false" customHeight="false" outlineLevel="0" collapsed="false">
      <c r="AO1534" s="8" t="str">
        <f aca="false">IF(A1534="","",IF(COUNTIFS(全馬データ!$A$2:$A$50000,A1534,全馬データ!$B$2:$B$50000,B1534,全馬データ!$C$2:$C$50000,C1534,全馬データ!$D$2:$D$50000,E1534,全馬データ!$K$2:$K$50000,"&lt;&gt;")=0,"",SUMIFS(全馬データ!$K$2:$K$50000,全馬データ!$A$2:$A$50000,A1534,全馬データ!$B$2:$B$50000,B1534,全馬データ!$C$2:$C$50000,C1534,全馬データ!$D$2:$D$50000,E1534)))</f>
        <v/>
      </c>
      <c r="AP1534" s="8" t="str">
        <f aca="false">IF(A1534="","",IF(AO1534="","欠損",IF(AO1534&lt;=1.1,"1.0～1.1",IF(AO1534&lt;1.3,"1.2",IF(AO1534&lt;1.5,"1.3～1.4",IF(AO1534&lt;2,"1.5～1.9","2.0以上"))))))</f>
        <v/>
      </c>
      <c r="AQ1534" s="8" t="str">
        <f aca="false">IF(A1534="","",IF(ISNUMBER(SEARCH("2歳",Z1534)),"2歳戦",IF(ISNUMBER(SEARCH("3歳未勝利",Z1534)),"3歳未勝利",IF(ISNUMBER(SEARCH("未勝利",Z1534)),"その他未勝利",IF(ISNUMBER(SEARCH("G1",Z1534)),"G1",IF(ISNUMBER(SEARCH("G2",Z1534)),"G2",IF(ISNUMBER(SEARCH("G3",Z1534)),"G3",IF(ISNUMBER(SEARCH("古馬条件",Z1534)),"古馬条件戦",IF(ISNUMBER(SEARCH("重賞",Z1534)),"重賞","分類不能")))))))))</f>
        <v/>
      </c>
    </row>
    <row r="1535" customFormat="false" ht="15.75" hidden="false" customHeight="false" outlineLevel="0" collapsed="false">
      <c r="AO1535" s="8" t="str">
        <f aca="false">IF(A1535="","",IF(COUNTIFS(全馬データ!$A$2:$A$50000,A1535,全馬データ!$B$2:$B$50000,B1535,全馬データ!$C$2:$C$50000,C1535,全馬データ!$D$2:$D$50000,E1535,全馬データ!$K$2:$K$50000,"&lt;&gt;")=0,"",SUMIFS(全馬データ!$K$2:$K$50000,全馬データ!$A$2:$A$50000,A1535,全馬データ!$B$2:$B$50000,B1535,全馬データ!$C$2:$C$50000,C1535,全馬データ!$D$2:$D$50000,E1535)))</f>
        <v/>
      </c>
      <c r="AP1535" s="8" t="str">
        <f aca="false">IF(A1535="","",IF(AO1535="","欠損",IF(AO1535&lt;=1.1,"1.0～1.1",IF(AO1535&lt;1.3,"1.2",IF(AO1535&lt;1.5,"1.3～1.4",IF(AO1535&lt;2,"1.5～1.9","2.0以上"))))))</f>
        <v/>
      </c>
      <c r="AQ1535" s="8" t="str">
        <f aca="false">IF(A1535="","",IF(ISNUMBER(SEARCH("2歳",Z1535)),"2歳戦",IF(ISNUMBER(SEARCH("3歳未勝利",Z1535)),"3歳未勝利",IF(ISNUMBER(SEARCH("未勝利",Z1535)),"その他未勝利",IF(ISNUMBER(SEARCH("G1",Z1535)),"G1",IF(ISNUMBER(SEARCH("G2",Z1535)),"G2",IF(ISNUMBER(SEARCH("G3",Z1535)),"G3",IF(ISNUMBER(SEARCH("古馬条件",Z1535)),"古馬条件戦",IF(ISNUMBER(SEARCH("重賞",Z1535)),"重賞","分類不能")))))))))</f>
        <v/>
      </c>
    </row>
    <row r="1536" customFormat="false" ht="15.75" hidden="false" customHeight="false" outlineLevel="0" collapsed="false">
      <c r="AO1536" s="8" t="str">
        <f aca="false">IF(A1536="","",IF(COUNTIFS(全馬データ!$A$2:$A$50000,A1536,全馬データ!$B$2:$B$50000,B1536,全馬データ!$C$2:$C$50000,C1536,全馬データ!$D$2:$D$50000,E1536,全馬データ!$K$2:$K$50000,"&lt;&gt;")=0,"",SUMIFS(全馬データ!$K$2:$K$50000,全馬データ!$A$2:$A$50000,A1536,全馬データ!$B$2:$B$50000,B1536,全馬データ!$C$2:$C$50000,C1536,全馬データ!$D$2:$D$50000,E1536)))</f>
        <v/>
      </c>
      <c r="AP1536" s="8" t="str">
        <f aca="false">IF(A1536="","",IF(AO1536="","欠損",IF(AO1536&lt;=1.1,"1.0～1.1",IF(AO1536&lt;1.3,"1.2",IF(AO1536&lt;1.5,"1.3～1.4",IF(AO1536&lt;2,"1.5～1.9","2.0以上"))))))</f>
        <v/>
      </c>
      <c r="AQ1536" s="8" t="str">
        <f aca="false">IF(A1536="","",IF(ISNUMBER(SEARCH("2歳",Z1536)),"2歳戦",IF(ISNUMBER(SEARCH("3歳未勝利",Z1536)),"3歳未勝利",IF(ISNUMBER(SEARCH("未勝利",Z1536)),"その他未勝利",IF(ISNUMBER(SEARCH("G1",Z1536)),"G1",IF(ISNUMBER(SEARCH("G2",Z1536)),"G2",IF(ISNUMBER(SEARCH("G3",Z1536)),"G3",IF(ISNUMBER(SEARCH("古馬条件",Z1536)),"古馬条件戦",IF(ISNUMBER(SEARCH("重賞",Z1536)),"重賞","分類不能")))))))))</f>
        <v/>
      </c>
    </row>
    <row r="1537" customFormat="false" ht="15.75" hidden="false" customHeight="false" outlineLevel="0" collapsed="false">
      <c r="AO1537" s="8" t="str">
        <f aca="false">IF(A1537="","",IF(COUNTIFS(全馬データ!$A$2:$A$50000,A1537,全馬データ!$B$2:$B$50000,B1537,全馬データ!$C$2:$C$50000,C1537,全馬データ!$D$2:$D$50000,E1537,全馬データ!$K$2:$K$50000,"&lt;&gt;")=0,"",SUMIFS(全馬データ!$K$2:$K$50000,全馬データ!$A$2:$A$50000,A1537,全馬データ!$B$2:$B$50000,B1537,全馬データ!$C$2:$C$50000,C1537,全馬データ!$D$2:$D$50000,E1537)))</f>
        <v/>
      </c>
      <c r="AP1537" s="8" t="str">
        <f aca="false">IF(A1537="","",IF(AO1537="","欠損",IF(AO1537&lt;=1.1,"1.0～1.1",IF(AO1537&lt;1.3,"1.2",IF(AO1537&lt;1.5,"1.3～1.4",IF(AO1537&lt;2,"1.5～1.9","2.0以上"))))))</f>
        <v/>
      </c>
      <c r="AQ1537" s="8" t="str">
        <f aca="false">IF(A1537="","",IF(ISNUMBER(SEARCH("2歳",Z1537)),"2歳戦",IF(ISNUMBER(SEARCH("3歳未勝利",Z1537)),"3歳未勝利",IF(ISNUMBER(SEARCH("未勝利",Z1537)),"その他未勝利",IF(ISNUMBER(SEARCH("G1",Z1537)),"G1",IF(ISNUMBER(SEARCH("G2",Z1537)),"G2",IF(ISNUMBER(SEARCH("G3",Z1537)),"G3",IF(ISNUMBER(SEARCH("古馬条件",Z1537)),"古馬条件戦",IF(ISNUMBER(SEARCH("重賞",Z1537)),"重賞","分類不能")))))))))</f>
        <v/>
      </c>
    </row>
    <row r="1538" customFormat="false" ht="15.75" hidden="false" customHeight="false" outlineLevel="0" collapsed="false">
      <c r="AO1538" s="8" t="str">
        <f aca="false">IF(A1538="","",IF(COUNTIFS(全馬データ!$A$2:$A$50000,A1538,全馬データ!$B$2:$B$50000,B1538,全馬データ!$C$2:$C$50000,C1538,全馬データ!$D$2:$D$50000,E1538,全馬データ!$K$2:$K$50000,"&lt;&gt;")=0,"",SUMIFS(全馬データ!$K$2:$K$50000,全馬データ!$A$2:$A$50000,A1538,全馬データ!$B$2:$B$50000,B1538,全馬データ!$C$2:$C$50000,C1538,全馬データ!$D$2:$D$50000,E1538)))</f>
        <v/>
      </c>
      <c r="AP1538" s="8" t="str">
        <f aca="false">IF(A1538="","",IF(AO1538="","欠損",IF(AO1538&lt;=1.1,"1.0～1.1",IF(AO1538&lt;1.3,"1.2",IF(AO1538&lt;1.5,"1.3～1.4",IF(AO1538&lt;2,"1.5～1.9","2.0以上"))))))</f>
        <v/>
      </c>
      <c r="AQ1538" s="8" t="str">
        <f aca="false">IF(A1538="","",IF(ISNUMBER(SEARCH("2歳",Z1538)),"2歳戦",IF(ISNUMBER(SEARCH("3歳未勝利",Z1538)),"3歳未勝利",IF(ISNUMBER(SEARCH("未勝利",Z1538)),"その他未勝利",IF(ISNUMBER(SEARCH("G1",Z1538)),"G1",IF(ISNUMBER(SEARCH("G2",Z1538)),"G2",IF(ISNUMBER(SEARCH("G3",Z1538)),"G3",IF(ISNUMBER(SEARCH("古馬条件",Z1538)),"古馬条件戦",IF(ISNUMBER(SEARCH("重賞",Z1538)),"重賞","分類不能")))))))))</f>
        <v/>
      </c>
    </row>
    <row r="1539" customFormat="false" ht="15.75" hidden="false" customHeight="false" outlineLevel="0" collapsed="false">
      <c r="AO1539" s="8" t="str">
        <f aca="false">IF(A1539="","",IF(COUNTIFS(全馬データ!$A$2:$A$50000,A1539,全馬データ!$B$2:$B$50000,B1539,全馬データ!$C$2:$C$50000,C1539,全馬データ!$D$2:$D$50000,E1539,全馬データ!$K$2:$K$50000,"&lt;&gt;")=0,"",SUMIFS(全馬データ!$K$2:$K$50000,全馬データ!$A$2:$A$50000,A1539,全馬データ!$B$2:$B$50000,B1539,全馬データ!$C$2:$C$50000,C1539,全馬データ!$D$2:$D$50000,E1539)))</f>
        <v/>
      </c>
      <c r="AP1539" s="8" t="str">
        <f aca="false">IF(A1539="","",IF(AO1539="","欠損",IF(AO1539&lt;=1.1,"1.0～1.1",IF(AO1539&lt;1.3,"1.2",IF(AO1539&lt;1.5,"1.3～1.4",IF(AO1539&lt;2,"1.5～1.9","2.0以上"))))))</f>
        <v/>
      </c>
      <c r="AQ1539" s="8" t="str">
        <f aca="false">IF(A1539="","",IF(ISNUMBER(SEARCH("2歳",Z1539)),"2歳戦",IF(ISNUMBER(SEARCH("3歳未勝利",Z1539)),"3歳未勝利",IF(ISNUMBER(SEARCH("未勝利",Z1539)),"その他未勝利",IF(ISNUMBER(SEARCH("G1",Z1539)),"G1",IF(ISNUMBER(SEARCH("G2",Z1539)),"G2",IF(ISNUMBER(SEARCH("G3",Z1539)),"G3",IF(ISNUMBER(SEARCH("古馬条件",Z1539)),"古馬条件戦",IF(ISNUMBER(SEARCH("重賞",Z1539)),"重賞","分類不能")))))))))</f>
        <v/>
      </c>
    </row>
    <row r="1540" customFormat="false" ht="15.75" hidden="false" customHeight="false" outlineLevel="0" collapsed="false">
      <c r="AO1540" s="8" t="str">
        <f aca="false">IF(A1540="","",IF(COUNTIFS(全馬データ!$A$2:$A$50000,A1540,全馬データ!$B$2:$B$50000,B1540,全馬データ!$C$2:$C$50000,C1540,全馬データ!$D$2:$D$50000,E1540,全馬データ!$K$2:$K$50000,"&lt;&gt;")=0,"",SUMIFS(全馬データ!$K$2:$K$50000,全馬データ!$A$2:$A$50000,A1540,全馬データ!$B$2:$B$50000,B1540,全馬データ!$C$2:$C$50000,C1540,全馬データ!$D$2:$D$50000,E1540)))</f>
        <v/>
      </c>
      <c r="AP1540" s="8" t="str">
        <f aca="false">IF(A1540="","",IF(AO1540="","欠損",IF(AO1540&lt;=1.1,"1.0～1.1",IF(AO1540&lt;1.3,"1.2",IF(AO1540&lt;1.5,"1.3～1.4",IF(AO1540&lt;2,"1.5～1.9","2.0以上"))))))</f>
        <v/>
      </c>
      <c r="AQ1540" s="8" t="str">
        <f aca="false">IF(A1540="","",IF(ISNUMBER(SEARCH("2歳",Z1540)),"2歳戦",IF(ISNUMBER(SEARCH("3歳未勝利",Z1540)),"3歳未勝利",IF(ISNUMBER(SEARCH("未勝利",Z1540)),"その他未勝利",IF(ISNUMBER(SEARCH("G1",Z1540)),"G1",IF(ISNUMBER(SEARCH("G2",Z1540)),"G2",IF(ISNUMBER(SEARCH("G3",Z1540)),"G3",IF(ISNUMBER(SEARCH("古馬条件",Z1540)),"古馬条件戦",IF(ISNUMBER(SEARCH("重賞",Z1540)),"重賞","分類不能")))))))))</f>
        <v/>
      </c>
    </row>
    <row r="1541" customFormat="false" ht="15.75" hidden="false" customHeight="false" outlineLevel="0" collapsed="false">
      <c r="AO1541" s="8" t="str">
        <f aca="false">IF(A1541="","",IF(COUNTIFS(全馬データ!$A$2:$A$50000,A1541,全馬データ!$B$2:$B$50000,B1541,全馬データ!$C$2:$C$50000,C1541,全馬データ!$D$2:$D$50000,E1541,全馬データ!$K$2:$K$50000,"&lt;&gt;")=0,"",SUMIFS(全馬データ!$K$2:$K$50000,全馬データ!$A$2:$A$50000,A1541,全馬データ!$B$2:$B$50000,B1541,全馬データ!$C$2:$C$50000,C1541,全馬データ!$D$2:$D$50000,E1541)))</f>
        <v/>
      </c>
      <c r="AP1541" s="8" t="str">
        <f aca="false">IF(A1541="","",IF(AO1541="","欠損",IF(AO1541&lt;=1.1,"1.0～1.1",IF(AO1541&lt;1.3,"1.2",IF(AO1541&lt;1.5,"1.3～1.4",IF(AO1541&lt;2,"1.5～1.9","2.0以上"))))))</f>
        <v/>
      </c>
      <c r="AQ1541" s="8" t="str">
        <f aca="false">IF(A1541="","",IF(ISNUMBER(SEARCH("2歳",Z1541)),"2歳戦",IF(ISNUMBER(SEARCH("3歳未勝利",Z1541)),"3歳未勝利",IF(ISNUMBER(SEARCH("未勝利",Z1541)),"その他未勝利",IF(ISNUMBER(SEARCH("G1",Z1541)),"G1",IF(ISNUMBER(SEARCH("G2",Z1541)),"G2",IF(ISNUMBER(SEARCH("G3",Z1541)),"G3",IF(ISNUMBER(SEARCH("古馬条件",Z1541)),"古馬条件戦",IF(ISNUMBER(SEARCH("重賞",Z1541)),"重賞","分類不能")))))))))</f>
        <v/>
      </c>
    </row>
    <row r="1542" customFormat="false" ht="15.75" hidden="false" customHeight="false" outlineLevel="0" collapsed="false">
      <c r="AO1542" s="8" t="str">
        <f aca="false">IF(A1542="","",IF(COUNTIFS(全馬データ!$A$2:$A$50000,A1542,全馬データ!$B$2:$B$50000,B1542,全馬データ!$C$2:$C$50000,C1542,全馬データ!$D$2:$D$50000,E1542,全馬データ!$K$2:$K$50000,"&lt;&gt;")=0,"",SUMIFS(全馬データ!$K$2:$K$50000,全馬データ!$A$2:$A$50000,A1542,全馬データ!$B$2:$B$50000,B1542,全馬データ!$C$2:$C$50000,C1542,全馬データ!$D$2:$D$50000,E1542)))</f>
        <v/>
      </c>
      <c r="AP1542" s="8" t="str">
        <f aca="false">IF(A1542="","",IF(AO1542="","欠損",IF(AO1542&lt;=1.1,"1.0～1.1",IF(AO1542&lt;1.3,"1.2",IF(AO1542&lt;1.5,"1.3～1.4",IF(AO1542&lt;2,"1.5～1.9","2.0以上"))))))</f>
        <v/>
      </c>
      <c r="AQ1542" s="8" t="str">
        <f aca="false">IF(A1542="","",IF(ISNUMBER(SEARCH("2歳",Z1542)),"2歳戦",IF(ISNUMBER(SEARCH("3歳未勝利",Z1542)),"3歳未勝利",IF(ISNUMBER(SEARCH("未勝利",Z1542)),"その他未勝利",IF(ISNUMBER(SEARCH("G1",Z1542)),"G1",IF(ISNUMBER(SEARCH("G2",Z1542)),"G2",IF(ISNUMBER(SEARCH("G3",Z1542)),"G3",IF(ISNUMBER(SEARCH("古馬条件",Z1542)),"古馬条件戦",IF(ISNUMBER(SEARCH("重賞",Z1542)),"重賞","分類不能")))))))))</f>
        <v/>
      </c>
    </row>
    <row r="1543" customFormat="false" ht="15.75" hidden="false" customHeight="false" outlineLevel="0" collapsed="false">
      <c r="AO1543" s="8" t="str">
        <f aca="false">IF(A1543="","",IF(COUNTIFS(全馬データ!$A$2:$A$50000,A1543,全馬データ!$B$2:$B$50000,B1543,全馬データ!$C$2:$C$50000,C1543,全馬データ!$D$2:$D$50000,E1543,全馬データ!$K$2:$K$50000,"&lt;&gt;")=0,"",SUMIFS(全馬データ!$K$2:$K$50000,全馬データ!$A$2:$A$50000,A1543,全馬データ!$B$2:$B$50000,B1543,全馬データ!$C$2:$C$50000,C1543,全馬データ!$D$2:$D$50000,E1543)))</f>
        <v/>
      </c>
      <c r="AP1543" s="8" t="str">
        <f aca="false">IF(A1543="","",IF(AO1543="","欠損",IF(AO1543&lt;=1.1,"1.0～1.1",IF(AO1543&lt;1.3,"1.2",IF(AO1543&lt;1.5,"1.3～1.4",IF(AO1543&lt;2,"1.5～1.9","2.0以上"))))))</f>
        <v/>
      </c>
      <c r="AQ1543" s="8" t="str">
        <f aca="false">IF(A1543="","",IF(ISNUMBER(SEARCH("2歳",Z1543)),"2歳戦",IF(ISNUMBER(SEARCH("3歳未勝利",Z1543)),"3歳未勝利",IF(ISNUMBER(SEARCH("未勝利",Z1543)),"その他未勝利",IF(ISNUMBER(SEARCH("G1",Z1543)),"G1",IF(ISNUMBER(SEARCH("G2",Z1543)),"G2",IF(ISNUMBER(SEARCH("G3",Z1543)),"G3",IF(ISNUMBER(SEARCH("古馬条件",Z1543)),"古馬条件戦",IF(ISNUMBER(SEARCH("重賞",Z1543)),"重賞","分類不能")))))))))</f>
        <v/>
      </c>
    </row>
    <row r="1544" customFormat="false" ht="15.75" hidden="false" customHeight="false" outlineLevel="0" collapsed="false">
      <c r="AO1544" s="8" t="str">
        <f aca="false">IF(A1544="","",IF(COUNTIFS(全馬データ!$A$2:$A$50000,A1544,全馬データ!$B$2:$B$50000,B1544,全馬データ!$C$2:$C$50000,C1544,全馬データ!$D$2:$D$50000,E1544,全馬データ!$K$2:$K$50000,"&lt;&gt;")=0,"",SUMIFS(全馬データ!$K$2:$K$50000,全馬データ!$A$2:$A$50000,A1544,全馬データ!$B$2:$B$50000,B1544,全馬データ!$C$2:$C$50000,C1544,全馬データ!$D$2:$D$50000,E1544)))</f>
        <v/>
      </c>
      <c r="AP1544" s="8" t="str">
        <f aca="false">IF(A1544="","",IF(AO1544="","欠損",IF(AO1544&lt;=1.1,"1.0～1.1",IF(AO1544&lt;1.3,"1.2",IF(AO1544&lt;1.5,"1.3～1.4",IF(AO1544&lt;2,"1.5～1.9","2.0以上"))))))</f>
        <v/>
      </c>
      <c r="AQ1544" s="8" t="str">
        <f aca="false">IF(A1544="","",IF(ISNUMBER(SEARCH("2歳",Z1544)),"2歳戦",IF(ISNUMBER(SEARCH("3歳未勝利",Z1544)),"3歳未勝利",IF(ISNUMBER(SEARCH("未勝利",Z1544)),"その他未勝利",IF(ISNUMBER(SEARCH("G1",Z1544)),"G1",IF(ISNUMBER(SEARCH("G2",Z1544)),"G2",IF(ISNUMBER(SEARCH("G3",Z1544)),"G3",IF(ISNUMBER(SEARCH("古馬条件",Z1544)),"古馬条件戦",IF(ISNUMBER(SEARCH("重賞",Z1544)),"重賞","分類不能")))))))))</f>
        <v/>
      </c>
    </row>
    <row r="1545" customFormat="false" ht="15.75" hidden="false" customHeight="false" outlineLevel="0" collapsed="false">
      <c r="AO1545" s="8" t="str">
        <f aca="false">IF(A1545="","",IF(COUNTIFS(全馬データ!$A$2:$A$50000,A1545,全馬データ!$B$2:$B$50000,B1545,全馬データ!$C$2:$C$50000,C1545,全馬データ!$D$2:$D$50000,E1545,全馬データ!$K$2:$K$50000,"&lt;&gt;")=0,"",SUMIFS(全馬データ!$K$2:$K$50000,全馬データ!$A$2:$A$50000,A1545,全馬データ!$B$2:$B$50000,B1545,全馬データ!$C$2:$C$50000,C1545,全馬データ!$D$2:$D$50000,E1545)))</f>
        <v/>
      </c>
      <c r="AP1545" s="8" t="str">
        <f aca="false">IF(A1545="","",IF(AO1545="","欠損",IF(AO1545&lt;=1.1,"1.0～1.1",IF(AO1545&lt;1.3,"1.2",IF(AO1545&lt;1.5,"1.3～1.4",IF(AO1545&lt;2,"1.5～1.9","2.0以上"))))))</f>
        <v/>
      </c>
      <c r="AQ1545" s="8" t="str">
        <f aca="false">IF(A1545="","",IF(ISNUMBER(SEARCH("2歳",Z1545)),"2歳戦",IF(ISNUMBER(SEARCH("3歳未勝利",Z1545)),"3歳未勝利",IF(ISNUMBER(SEARCH("未勝利",Z1545)),"その他未勝利",IF(ISNUMBER(SEARCH("G1",Z1545)),"G1",IF(ISNUMBER(SEARCH("G2",Z1545)),"G2",IF(ISNUMBER(SEARCH("G3",Z1545)),"G3",IF(ISNUMBER(SEARCH("古馬条件",Z1545)),"古馬条件戦",IF(ISNUMBER(SEARCH("重賞",Z1545)),"重賞","分類不能")))))))))</f>
        <v/>
      </c>
    </row>
    <row r="1546" customFormat="false" ht="15.75" hidden="false" customHeight="false" outlineLevel="0" collapsed="false">
      <c r="AO1546" s="8" t="str">
        <f aca="false">IF(A1546="","",IF(COUNTIFS(全馬データ!$A$2:$A$50000,A1546,全馬データ!$B$2:$B$50000,B1546,全馬データ!$C$2:$C$50000,C1546,全馬データ!$D$2:$D$50000,E1546,全馬データ!$K$2:$K$50000,"&lt;&gt;")=0,"",SUMIFS(全馬データ!$K$2:$K$50000,全馬データ!$A$2:$A$50000,A1546,全馬データ!$B$2:$B$50000,B1546,全馬データ!$C$2:$C$50000,C1546,全馬データ!$D$2:$D$50000,E1546)))</f>
        <v/>
      </c>
      <c r="AP1546" s="8" t="str">
        <f aca="false">IF(A1546="","",IF(AO1546="","欠損",IF(AO1546&lt;=1.1,"1.0～1.1",IF(AO1546&lt;1.3,"1.2",IF(AO1546&lt;1.5,"1.3～1.4",IF(AO1546&lt;2,"1.5～1.9","2.0以上"))))))</f>
        <v/>
      </c>
      <c r="AQ1546" s="8" t="str">
        <f aca="false">IF(A1546="","",IF(ISNUMBER(SEARCH("2歳",Z1546)),"2歳戦",IF(ISNUMBER(SEARCH("3歳未勝利",Z1546)),"3歳未勝利",IF(ISNUMBER(SEARCH("未勝利",Z1546)),"その他未勝利",IF(ISNUMBER(SEARCH("G1",Z1546)),"G1",IF(ISNUMBER(SEARCH("G2",Z1546)),"G2",IF(ISNUMBER(SEARCH("G3",Z1546)),"G3",IF(ISNUMBER(SEARCH("古馬条件",Z1546)),"古馬条件戦",IF(ISNUMBER(SEARCH("重賞",Z1546)),"重賞","分類不能")))))))))</f>
        <v/>
      </c>
    </row>
    <row r="1547" customFormat="false" ht="15.75" hidden="false" customHeight="false" outlineLevel="0" collapsed="false">
      <c r="AO1547" s="8" t="str">
        <f aca="false">IF(A1547="","",IF(COUNTIFS(全馬データ!$A$2:$A$50000,A1547,全馬データ!$B$2:$B$50000,B1547,全馬データ!$C$2:$C$50000,C1547,全馬データ!$D$2:$D$50000,E1547,全馬データ!$K$2:$K$50000,"&lt;&gt;")=0,"",SUMIFS(全馬データ!$K$2:$K$50000,全馬データ!$A$2:$A$50000,A1547,全馬データ!$B$2:$B$50000,B1547,全馬データ!$C$2:$C$50000,C1547,全馬データ!$D$2:$D$50000,E1547)))</f>
        <v/>
      </c>
      <c r="AP1547" s="8" t="str">
        <f aca="false">IF(A1547="","",IF(AO1547="","欠損",IF(AO1547&lt;=1.1,"1.0～1.1",IF(AO1547&lt;1.3,"1.2",IF(AO1547&lt;1.5,"1.3～1.4",IF(AO1547&lt;2,"1.5～1.9","2.0以上"))))))</f>
        <v/>
      </c>
      <c r="AQ1547" s="8" t="str">
        <f aca="false">IF(A1547="","",IF(ISNUMBER(SEARCH("2歳",Z1547)),"2歳戦",IF(ISNUMBER(SEARCH("3歳未勝利",Z1547)),"3歳未勝利",IF(ISNUMBER(SEARCH("未勝利",Z1547)),"その他未勝利",IF(ISNUMBER(SEARCH("G1",Z1547)),"G1",IF(ISNUMBER(SEARCH("G2",Z1547)),"G2",IF(ISNUMBER(SEARCH("G3",Z1547)),"G3",IF(ISNUMBER(SEARCH("古馬条件",Z1547)),"古馬条件戦",IF(ISNUMBER(SEARCH("重賞",Z1547)),"重賞","分類不能")))))))))</f>
        <v/>
      </c>
    </row>
    <row r="1548" customFormat="false" ht="15.75" hidden="false" customHeight="false" outlineLevel="0" collapsed="false">
      <c r="AO1548" s="8" t="str">
        <f aca="false">IF(A1548="","",IF(COUNTIFS(全馬データ!$A$2:$A$50000,A1548,全馬データ!$B$2:$B$50000,B1548,全馬データ!$C$2:$C$50000,C1548,全馬データ!$D$2:$D$50000,E1548,全馬データ!$K$2:$K$50000,"&lt;&gt;")=0,"",SUMIFS(全馬データ!$K$2:$K$50000,全馬データ!$A$2:$A$50000,A1548,全馬データ!$B$2:$B$50000,B1548,全馬データ!$C$2:$C$50000,C1548,全馬データ!$D$2:$D$50000,E1548)))</f>
        <v/>
      </c>
      <c r="AP1548" s="8" t="str">
        <f aca="false">IF(A1548="","",IF(AO1548="","欠損",IF(AO1548&lt;=1.1,"1.0～1.1",IF(AO1548&lt;1.3,"1.2",IF(AO1548&lt;1.5,"1.3～1.4",IF(AO1548&lt;2,"1.5～1.9","2.0以上"))))))</f>
        <v/>
      </c>
      <c r="AQ1548" s="8" t="str">
        <f aca="false">IF(A1548="","",IF(ISNUMBER(SEARCH("2歳",Z1548)),"2歳戦",IF(ISNUMBER(SEARCH("3歳未勝利",Z1548)),"3歳未勝利",IF(ISNUMBER(SEARCH("未勝利",Z1548)),"その他未勝利",IF(ISNUMBER(SEARCH("G1",Z1548)),"G1",IF(ISNUMBER(SEARCH("G2",Z1548)),"G2",IF(ISNUMBER(SEARCH("G3",Z1548)),"G3",IF(ISNUMBER(SEARCH("古馬条件",Z1548)),"古馬条件戦",IF(ISNUMBER(SEARCH("重賞",Z1548)),"重賞","分類不能")))))))))</f>
        <v/>
      </c>
    </row>
    <row r="1549" customFormat="false" ht="15.75" hidden="false" customHeight="false" outlineLevel="0" collapsed="false">
      <c r="AO1549" s="8" t="str">
        <f aca="false">IF(A1549="","",IF(COUNTIFS(全馬データ!$A$2:$A$50000,A1549,全馬データ!$B$2:$B$50000,B1549,全馬データ!$C$2:$C$50000,C1549,全馬データ!$D$2:$D$50000,E1549,全馬データ!$K$2:$K$50000,"&lt;&gt;")=0,"",SUMIFS(全馬データ!$K$2:$K$50000,全馬データ!$A$2:$A$50000,A1549,全馬データ!$B$2:$B$50000,B1549,全馬データ!$C$2:$C$50000,C1549,全馬データ!$D$2:$D$50000,E1549)))</f>
        <v/>
      </c>
      <c r="AP1549" s="8" t="str">
        <f aca="false">IF(A1549="","",IF(AO1549="","欠損",IF(AO1549&lt;=1.1,"1.0～1.1",IF(AO1549&lt;1.3,"1.2",IF(AO1549&lt;1.5,"1.3～1.4",IF(AO1549&lt;2,"1.5～1.9","2.0以上"))))))</f>
        <v/>
      </c>
      <c r="AQ1549" s="8" t="str">
        <f aca="false">IF(A1549="","",IF(ISNUMBER(SEARCH("2歳",Z1549)),"2歳戦",IF(ISNUMBER(SEARCH("3歳未勝利",Z1549)),"3歳未勝利",IF(ISNUMBER(SEARCH("未勝利",Z1549)),"その他未勝利",IF(ISNUMBER(SEARCH("G1",Z1549)),"G1",IF(ISNUMBER(SEARCH("G2",Z1549)),"G2",IF(ISNUMBER(SEARCH("G3",Z1549)),"G3",IF(ISNUMBER(SEARCH("古馬条件",Z1549)),"古馬条件戦",IF(ISNUMBER(SEARCH("重賞",Z1549)),"重賞","分類不能")))))))))</f>
        <v/>
      </c>
    </row>
    <row r="1550" customFormat="false" ht="15.75" hidden="false" customHeight="false" outlineLevel="0" collapsed="false">
      <c r="AO1550" s="8" t="str">
        <f aca="false">IF(A1550="","",IF(COUNTIFS(全馬データ!$A$2:$A$50000,A1550,全馬データ!$B$2:$B$50000,B1550,全馬データ!$C$2:$C$50000,C1550,全馬データ!$D$2:$D$50000,E1550,全馬データ!$K$2:$K$50000,"&lt;&gt;")=0,"",SUMIFS(全馬データ!$K$2:$K$50000,全馬データ!$A$2:$A$50000,A1550,全馬データ!$B$2:$B$50000,B1550,全馬データ!$C$2:$C$50000,C1550,全馬データ!$D$2:$D$50000,E1550)))</f>
        <v/>
      </c>
      <c r="AP1550" s="8" t="str">
        <f aca="false">IF(A1550="","",IF(AO1550="","欠損",IF(AO1550&lt;=1.1,"1.0～1.1",IF(AO1550&lt;1.3,"1.2",IF(AO1550&lt;1.5,"1.3～1.4",IF(AO1550&lt;2,"1.5～1.9","2.0以上"))))))</f>
        <v/>
      </c>
      <c r="AQ1550" s="8" t="str">
        <f aca="false">IF(A1550="","",IF(ISNUMBER(SEARCH("2歳",Z1550)),"2歳戦",IF(ISNUMBER(SEARCH("3歳未勝利",Z1550)),"3歳未勝利",IF(ISNUMBER(SEARCH("未勝利",Z1550)),"その他未勝利",IF(ISNUMBER(SEARCH("G1",Z1550)),"G1",IF(ISNUMBER(SEARCH("G2",Z1550)),"G2",IF(ISNUMBER(SEARCH("G3",Z1550)),"G3",IF(ISNUMBER(SEARCH("古馬条件",Z1550)),"古馬条件戦",IF(ISNUMBER(SEARCH("重賞",Z1550)),"重賞","分類不能")))))))))</f>
        <v/>
      </c>
    </row>
    <row r="1551" customFormat="false" ht="15.75" hidden="false" customHeight="false" outlineLevel="0" collapsed="false">
      <c r="AO1551" s="8" t="str">
        <f aca="false">IF(A1551="","",IF(COUNTIFS(全馬データ!$A$2:$A$50000,A1551,全馬データ!$B$2:$B$50000,B1551,全馬データ!$C$2:$C$50000,C1551,全馬データ!$D$2:$D$50000,E1551,全馬データ!$K$2:$K$50000,"&lt;&gt;")=0,"",SUMIFS(全馬データ!$K$2:$K$50000,全馬データ!$A$2:$A$50000,A1551,全馬データ!$B$2:$B$50000,B1551,全馬データ!$C$2:$C$50000,C1551,全馬データ!$D$2:$D$50000,E1551)))</f>
        <v/>
      </c>
      <c r="AP1551" s="8" t="str">
        <f aca="false">IF(A1551="","",IF(AO1551="","欠損",IF(AO1551&lt;=1.1,"1.0～1.1",IF(AO1551&lt;1.3,"1.2",IF(AO1551&lt;1.5,"1.3～1.4",IF(AO1551&lt;2,"1.5～1.9","2.0以上"))))))</f>
        <v/>
      </c>
      <c r="AQ1551" s="8" t="str">
        <f aca="false">IF(A1551="","",IF(ISNUMBER(SEARCH("2歳",Z1551)),"2歳戦",IF(ISNUMBER(SEARCH("3歳未勝利",Z1551)),"3歳未勝利",IF(ISNUMBER(SEARCH("未勝利",Z1551)),"その他未勝利",IF(ISNUMBER(SEARCH("G1",Z1551)),"G1",IF(ISNUMBER(SEARCH("G2",Z1551)),"G2",IF(ISNUMBER(SEARCH("G3",Z1551)),"G3",IF(ISNUMBER(SEARCH("古馬条件",Z1551)),"古馬条件戦",IF(ISNUMBER(SEARCH("重賞",Z1551)),"重賞","分類不能")))))))))</f>
        <v/>
      </c>
    </row>
    <row r="1552" customFormat="false" ht="15.75" hidden="false" customHeight="false" outlineLevel="0" collapsed="false">
      <c r="AO1552" s="8" t="str">
        <f aca="false">IF(A1552="","",IF(COUNTIFS(全馬データ!$A$2:$A$50000,A1552,全馬データ!$B$2:$B$50000,B1552,全馬データ!$C$2:$C$50000,C1552,全馬データ!$D$2:$D$50000,E1552,全馬データ!$K$2:$K$50000,"&lt;&gt;")=0,"",SUMIFS(全馬データ!$K$2:$K$50000,全馬データ!$A$2:$A$50000,A1552,全馬データ!$B$2:$B$50000,B1552,全馬データ!$C$2:$C$50000,C1552,全馬データ!$D$2:$D$50000,E1552)))</f>
        <v/>
      </c>
      <c r="AP1552" s="8" t="str">
        <f aca="false">IF(A1552="","",IF(AO1552="","欠損",IF(AO1552&lt;=1.1,"1.0～1.1",IF(AO1552&lt;1.3,"1.2",IF(AO1552&lt;1.5,"1.3～1.4",IF(AO1552&lt;2,"1.5～1.9","2.0以上"))))))</f>
        <v/>
      </c>
      <c r="AQ1552" s="8" t="str">
        <f aca="false">IF(A1552="","",IF(ISNUMBER(SEARCH("2歳",Z1552)),"2歳戦",IF(ISNUMBER(SEARCH("3歳未勝利",Z1552)),"3歳未勝利",IF(ISNUMBER(SEARCH("未勝利",Z1552)),"その他未勝利",IF(ISNUMBER(SEARCH("G1",Z1552)),"G1",IF(ISNUMBER(SEARCH("G2",Z1552)),"G2",IF(ISNUMBER(SEARCH("G3",Z1552)),"G3",IF(ISNUMBER(SEARCH("古馬条件",Z1552)),"古馬条件戦",IF(ISNUMBER(SEARCH("重賞",Z1552)),"重賞","分類不能")))))))))</f>
        <v/>
      </c>
    </row>
    <row r="1553" customFormat="false" ht="15.75" hidden="false" customHeight="false" outlineLevel="0" collapsed="false">
      <c r="AO1553" s="8" t="str">
        <f aca="false">IF(A1553="","",IF(COUNTIFS(全馬データ!$A$2:$A$50000,A1553,全馬データ!$B$2:$B$50000,B1553,全馬データ!$C$2:$C$50000,C1553,全馬データ!$D$2:$D$50000,E1553,全馬データ!$K$2:$K$50000,"&lt;&gt;")=0,"",SUMIFS(全馬データ!$K$2:$K$50000,全馬データ!$A$2:$A$50000,A1553,全馬データ!$B$2:$B$50000,B1553,全馬データ!$C$2:$C$50000,C1553,全馬データ!$D$2:$D$50000,E1553)))</f>
        <v/>
      </c>
      <c r="AP1553" s="8" t="str">
        <f aca="false">IF(A1553="","",IF(AO1553="","欠損",IF(AO1553&lt;=1.1,"1.0～1.1",IF(AO1553&lt;1.3,"1.2",IF(AO1553&lt;1.5,"1.3～1.4",IF(AO1553&lt;2,"1.5～1.9","2.0以上"))))))</f>
        <v/>
      </c>
      <c r="AQ1553" s="8" t="str">
        <f aca="false">IF(A1553="","",IF(ISNUMBER(SEARCH("2歳",Z1553)),"2歳戦",IF(ISNUMBER(SEARCH("3歳未勝利",Z1553)),"3歳未勝利",IF(ISNUMBER(SEARCH("未勝利",Z1553)),"その他未勝利",IF(ISNUMBER(SEARCH("G1",Z1553)),"G1",IF(ISNUMBER(SEARCH("G2",Z1553)),"G2",IF(ISNUMBER(SEARCH("G3",Z1553)),"G3",IF(ISNUMBER(SEARCH("古馬条件",Z1553)),"古馬条件戦",IF(ISNUMBER(SEARCH("重賞",Z1553)),"重賞","分類不能")))))))))</f>
        <v/>
      </c>
    </row>
    <row r="1554" customFormat="false" ht="15.75" hidden="false" customHeight="false" outlineLevel="0" collapsed="false">
      <c r="AO1554" s="8" t="str">
        <f aca="false">IF(A1554="","",IF(COUNTIFS(全馬データ!$A$2:$A$50000,A1554,全馬データ!$B$2:$B$50000,B1554,全馬データ!$C$2:$C$50000,C1554,全馬データ!$D$2:$D$50000,E1554,全馬データ!$K$2:$K$50000,"&lt;&gt;")=0,"",SUMIFS(全馬データ!$K$2:$K$50000,全馬データ!$A$2:$A$50000,A1554,全馬データ!$B$2:$B$50000,B1554,全馬データ!$C$2:$C$50000,C1554,全馬データ!$D$2:$D$50000,E1554)))</f>
        <v/>
      </c>
      <c r="AP1554" s="8" t="str">
        <f aca="false">IF(A1554="","",IF(AO1554="","欠損",IF(AO1554&lt;=1.1,"1.0～1.1",IF(AO1554&lt;1.3,"1.2",IF(AO1554&lt;1.5,"1.3～1.4",IF(AO1554&lt;2,"1.5～1.9","2.0以上"))))))</f>
        <v/>
      </c>
      <c r="AQ1554" s="8" t="str">
        <f aca="false">IF(A1554="","",IF(ISNUMBER(SEARCH("2歳",Z1554)),"2歳戦",IF(ISNUMBER(SEARCH("3歳未勝利",Z1554)),"3歳未勝利",IF(ISNUMBER(SEARCH("未勝利",Z1554)),"その他未勝利",IF(ISNUMBER(SEARCH("G1",Z1554)),"G1",IF(ISNUMBER(SEARCH("G2",Z1554)),"G2",IF(ISNUMBER(SEARCH("G3",Z1554)),"G3",IF(ISNUMBER(SEARCH("古馬条件",Z1554)),"古馬条件戦",IF(ISNUMBER(SEARCH("重賞",Z1554)),"重賞","分類不能")))))))))</f>
        <v/>
      </c>
    </row>
    <row r="1555" customFormat="false" ht="15.75" hidden="false" customHeight="false" outlineLevel="0" collapsed="false">
      <c r="AO1555" s="8" t="str">
        <f aca="false">IF(A1555="","",IF(COUNTIFS(全馬データ!$A$2:$A$50000,A1555,全馬データ!$B$2:$B$50000,B1555,全馬データ!$C$2:$C$50000,C1555,全馬データ!$D$2:$D$50000,E1555,全馬データ!$K$2:$K$50000,"&lt;&gt;")=0,"",SUMIFS(全馬データ!$K$2:$K$50000,全馬データ!$A$2:$A$50000,A1555,全馬データ!$B$2:$B$50000,B1555,全馬データ!$C$2:$C$50000,C1555,全馬データ!$D$2:$D$50000,E1555)))</f>
        <v/>
      </c>
      <c r="AP1555" s="8" t="str">
        <f aca="false">IF(A1555="","",IF(AO1555="","欠損",IF(AO1555&lt;=1.1,"1.0～1.1",IF(AO1555&lt;1.3,"1.2",IF(AO1555&lt;1.5,"1.3～1.4",IF(AO1555&lt;2,"1.5～1.9","2.0以上"))))))</f>
        <v/>
      </c>
      <c r="AQ1555" s="8" t="str">
        <f aca="false">IF(A1555="","",IF(ISNUMBER(SEARCH("2歳",Z1555)),"2歳戦",IF(ISNUMBER(SEARCH("3歳未勝利",Z1555)),"3歳未勝利",IF(ISNUMBER(SEARCH("未勝利",Z1555)),"その他未勝利",IF(ISNUMBER(SEARCH("G1",Z1555)),"G1",IF(ISNUMBER(SEARCH("G2",Z1555)),"G2",IF(ISNUMBER(SEARCH("G3",Z1555)),"G3",IF(ISNUMBER(SEARCH("古馬条件",Z1555)),"古馬条件戦",IF(ISNUMBER(SEARCH("重賞",Z1555)),"重賞","分類不能")))))))))</f>
        <v/>
      </c>
    </row>
    <row r="1556" customFormat="false" ht="15.75" hidden="false" customHeight="false" outlineLevel="0" collapsed="false">
      <c r="AO1556" s="8" t="str">
        <f aca="false">IF(A1556="","",IF(COUNTIFS(全馬データ!$A$2:$A$50000,A1556,全馬データ!$B$2:$B$50000,B1556,全馬データ!$C$2:$C$50000,C1556,全馬データ!$D$2:$D$50000,E1556,全馬データ!$K$2:$K$50000,"&lt;&gt;")=0,"",SUMIFS(全馬データ!$K$2:$K$50000,全馬データ!$A$2:$A$50000,A1556,全馬データ!$B$2:$B$50000,B1556,全馬データ!$C$2:$C$50000,C1556,全馬データ!$D$2:$D$50000,E1556)))</f>
        <v/>
      </c>
      <c r="AP1556" s="8" t="str">
        <f aca="false">IF(A1556="","",IF(AO1556="","欠損",IF(AO1556&lt;=1.1,"1.0～1.1",IF(AO1556&lt;1.3,"1.2",IF(AO1556&lt;1.5,"1.3～1.4",IF(AO1556&lt;2,"1.5～1.9","2.0以上"))))))</f>
        <v/>
      </c>
      <c r="AQ1556" s="8" t="str">
        <f aca="false">IF(A1556="","",IF(ISNUMBER(SEARCH("2歳",Z1556)),"2歳戦",IF(ISNUMBER(SEARCH("3歳未勝利",Z1556)),"3歳未勝利",IF(ISNUMBER(SEARCH("未勝利",Z1556)),"その他未勝利",IF(ISNUMBER(SEARCH("G1",Z1556)),"G1",IF(ISNUMBER(SEARCH("G2",Z1556)),"G2",IF(ISNUMBER(SEARCH("G3",Z1556)),"G3",IF(ISNUMBER(SEARCH("古馬条件",Z1556)),"古馬条件戦",IF(ISNUMBER(SEARCH("重賞",Z1556)),"重賞","分類不能")))))))))</f>
        <v/>
      </c>
    </row>
    <row r="1557" customFormat="false" ht="15.75" hidden="false" customHeight="false" outlineLevel="0" collapsed="false">
      <c r="AO1557" s="8" t="str">
        <f aca="false">IF(A1557="","",IF(COUNTIFS(全馬データ!$A$2:$A$50000,A1557,全馬データ!$B$2:$B$50000,B1557,全馬データ!$C$2:$C$50000,C1557,全馬データ!$D$2:$D$50000,E1557,全馬データ!$K$2:$K$50000,"&lt;&gt;")=0,"",SUMIFS(全馬データ!$K$2:$K$50000,全馬データ!$A$2:$A$50000,A1557,全馬データ!$B$2:$B$50000,B1557,全馬データ!$C$2:$C$50000,C1557,全馬データ!$D$2:$D$50000,E1557)))</f>
        <v/>
      </c>
      <c r="AP1557" s="8" t="str">
        <f aca="false">IF(A1557="","",IF(AO1557="","欠損",IF(AO1557&lt;=1.1,"1.0～1.1",IF(AO1557&lt;1.3,"1.2",IF(AO1557&lt;1.5,"1.3～1.4",IF(AO1557&lt;2,"1.5～1.9","2.0以上"))))))</f>
        <v/>
      </c>
      <c r="AQ1557" s="8" t="str">
        <f aca="false">IF(A1557="","",IF(ISNUMBER(SEARCH("2歳",Z1557)),"2歳戦",IF(ISNUMBER(SEARCH("3歳未勝利",Z1557)),"3歳未勝利",IF(ISNUMBER(SEARCH("未勝利",Z1557)),"その他未勝利",IF(ISNUMBER(SEARCH("G1",Z1557)),"G1",IF(ISNUMBER(SEARCH("G2",Z1557)),"G2",IF(ISNUMBER(SEARCH("G3",Z1557)),"G3",IF(ISNUMBER(SEARCH("古馬条件",Z1557)),"古馬条件戦",IF(ISNUMBER(SEARCH("重賞",Z1557)),"重賞","分類不能")))))))))</f>
        <v/>
      </c>
    </row>
    <row r="1558" customFormat="false" ht="15.75" hidden="false" customHeight="false" outlineLevel="0" collapsed="false">
      <c r="AO1558" s="8" t="str">
        <f aca="false">IF(A1558="","",IF(COUNTIFS(全馬データ!$A$2:$A$50000,A1558,全馬データ!$B$2:$B$50000,B1558,全馬データ!$C$2:$C$50000,C1558,全馬データ!$D$2:$D$50000,E1558,全馬データ!$K$2:$K$50000,"&lt;&gt;")=0,"",SUMIFS(全馬データ!$K$2:$K$50000,全馬データ!$A$2:$A$50000,A1558,全馬データ!$B$2:$B$50000,B1558,全馬データ!$C$2:$C$50000,C1558,全馬データ!$D$2:$D$50000,E1558)))</f>
        <v/>
      </c>
      <c r="AP1558" s="8" t="str">
        <f aca="false">IF(A1558="","",IF(AO1558="","欠損",IF(AO1558&lt;=1.1,"1.0～1.1",IF(AO1558&lt;1.3,"1.2",IF(AO1558&lt;1.5,"1.3～1.4",IF(AO1558&lt;2,"1.5～1.9","2.0以上"))))))</f>
        <v/>
      </c>
      <c r="AQ1558" s="8" t="str">
        <f aca="false">IF(A1558="","",IF(ISNUMBER(SEARCH("2歳",Z1558)),"2歳戦",IF(ISNUMBER(SEARCH("3歳未勝利",Z1558)),"3歳未勝利",IF(ISNUMBER(SEARCH("未勝利",Z1558)),"その他未勝利",IF(ISNUMBER(SEARCH("G1",Z1558)),"G1",IF(ISNUMBER(SEARCH("G2",Z1558)),"G2",IF(ISNUMBER(SEARCH("G3",Z1558)),"G3",IF(ISNUMBER(SEARCH("古馬条件",Z1558)),"古馬条件戦",IF(ISNUMBER(SEARCH("重賞",Z1558)),"重賞","分類不能")))))))))</f>
        <v/>
      </c>
    </row>
    <row r="1559" customFormat="false" ht="15.75" hidden="false" customHeight="false" outlineLevel="0" collapsed="false">
      <c r="AO1559" s="8" t="str">
        <f aca="false">IF(A1559="","",IF(COUNTIFS(全馬データ!$A$2:$A$50000,A1559,全馬データ!$B$2:$B$50000,B1559,全馬データ!$C$2:$C$50000,C1559,全馬データ!$D$2:$D$50000,E1559,全馬データ!$K$2:$K$50000,"&lt;&gt;")=0,"",SUMIFS(全馬データ!$K$2:$K$50000,全馬データ!$A$2:$A$50000,A1559,全馬データ!$B$2:$B$50000,B1559,全馬データ!$C$2:$C$50000,C1559,全馬データ!$D$2:$D$50000,E1559)))</f>
        <v/>
      </c>
      <c r="AP1559" s="8" t="str">
        <f aca="false">IF(A1559="","",IF(AO1559="","欠損",IF(AO1559&lt;=1.1,"1.0～1.1",IF(AO1559&lt;1.3,"1.2",IF(AO1559&lt;1.5,"1.3～1.4",IF(AO1559&lt;2,"1.5～1.9","2.0以上"))))))</f>
        <v/>
      </c>
      <c r="AQ1559" s="8" t="str">
        <f aca="false">IF(A1559="","",IF(ISNUMBER(SEARCH("2歳",Z1559)),"2歳戦",IF(ISNUMBER(SEARCH("3歳未勝利",Z1559)),"3歳未勝利",IF(ISNUMBER(SEARCH("未勝利",Z1559)),"その他未勝利",IF(ISNUMBER(SEARCH("G1",Z1559)),"G1",IF(ISNUMBER(SEARCH("G2",Z1559)),"G2",IF(ISNUMBER(SEARCH("G3",Z1559)),"G3",IF(ISNUMBER(SEARCH("古馬条件",Z1559)),"古馬条件戦",IF(ISNUMBER(SEARCH("重賞",Z1559)),"重賞","分類不能")))))))))</f>
        <v/>
      </c>
    </row>
    <row r="1560" customFormat="false" ht="15.75" hidden="false" customHeight="false" outlineLevel="0" collapsed="false">
      <c r="AO1560" s="8" t="str">
        <f aca="false">IF(A1560="","",IF(COUNTIFS(全馬データ!$A$2:$A$50000,A1560,全馬データ!$B$2:$B$50000,B1560,全馬データ!$C$2:$C$50000,C1560,全馬データ!$D$2:$D$50000,E1560,全馬データ!$K$2:$K$50000,"&lt;&gt;")=0,"",SUMIFS(全馬データ!$K$2:$K$50000,全馬データ!$A$2:$A$50000,A1560,全馬データ!$B$2:$B$50000,B1560,全馬データ!$C$2:$C$50000,C1560,全馬データ!$D$2:$D$50000,E1560)))</f>
        <v/>
      </c>
      <c r="AP1560" s="8" t="str">
        <f aca="false">IF(A1560="","",IF(AO1560="","欠損",IF(AO1560&lt;=1.1,"1.0～1.1",IF(AO1560&lt;1.3,"1.2",IF(AO1560&lt;1.5,"1.3～1.4",IF(AO1560&lt;2,"1.5～1.9","2.0以上"))))))</f>
        <v/>
      </c>
      <c r="AQ1560" s="8" t="str">
        <f aca="false">IF(A1560="","",IF(ISNUMBER(SEARCH("2歳",Z1560)),"2歳戦",IF(ISNUMBER(SEARCH("3歳未勝利",Z1560)),"3歳未勝利",IF(ISNUMBER(SEARCH("未勝利",Z1560)),"その他未勝利",IF(ISNUMBER(SEARCH("G1",Z1560)),"G1",IF(ISNUMBER(SEARCH("G2",Z1560)),"G2",IF(ISNUMBER(SEARCH("G3",Z1560)),"G3",IF(ISNUMBER(SEARCH("古馬条件",Z1560)),"古馬条件戦",IF(ISNUMBER(SEARCH("重賞",Z1560)),"重賞","分類不能")))))))))</f>
        <v/>
      </c>
    </row>
    <row r="1561" customFormat="false" ht="15.75" hidden="false" customHeight="false" outlineLevel="0" collapsed="false">
      <c r="AO1561" s="8" t="str">
        <f aca="false">IF(A1561="","",IF(COUNTIFS(全馬データ!$A$2:$A$50000,A1561,全馬データ!$B$2:$B$50000,B1561,全馬データ!$C$2:$C$50000,C1561,全馬データ!$D$2:$D$50000,E1561,全馬データ!$K$2:$K$50000,"&lt;&gt;")=0,"",SUMIFS(全馬データ!$K$2:$K$50000,全馬データ!$A$2:$A$50000,A1561,全馬データ!$B$2:$B$50000,B1561,全馬データ!$C$2:$C$50000,C1561,全馬データ!$D$2:$D$50000,E1561)))</f>
        <v/>
      </c>
      <c r="AP1561" s="8" t="str">
        <f aca="false">IF(A1561="","",IF(AO1561="","欠損",IF(AO1561&lt;=1.1,"1.0～1.1",IF(AO1561&lt;1.3,"1.2",IF(AO1561&lt;1.5,"1.3～1.4",IF(AO1561&lt;2,"1.5～1.9","2.0以上"))))))</f>
        <v/>
      </c>
      <c r="AQ1561" s="8" t="str">
        <f aca="false">IF(A1561="","",IF(ISNUMBER(SEARCH("2歳",Z1561)),"2歳戦",IF(ISNUMBER(SEARCH("3歳未勝利",Z1561)),"3歳未勝利",IF(ISNUMBER(SEARCH("未勝利",Z1561)),"その他未勝利",IF(ISNUMBER(SEARCH("G1",Z1561)),"G1",IF(ISNUMBER(SEARCH("G2",Z1561)),"G2",IF(ISNUMBER(SEARCH("G3",Z1561)),"G3",IF(ISNUMBER(SEARCH("古馬条件",Z1561)),"古馬条件戦",IF(ISNUMBER(SEARCH("重賞",Z1561)),"重賞","分類不能")))))))))</f>
        <v/>
      </c>
    </row>
    <row r="1562" customFormat="false" ht="15.75" hidden="false" customHeight="false" outlineLevel="0" collapsed="false">
      <c r="AO1562" s="8" t="str">
        <f aca="false">IF(A1562="","",IF(COUNTIFS(全馬データ!$A$2:$A$50000,A1562,全馬データ!$B$2:$B$50000,B1562,全馬データ!$C$2:$C$50000,C1562,全馬データ!$D$2:$D$50000,E1562,全馬データ!$K$2:$K$50000,"&lt;&gt;")=0,"",SUMIFS(全馬データ!$K$2:$K$50000,全馬データ!$A$2:$A$50000,A1562,全馬データ!$B$2:$B$50000,B1562,全馬データ!$C$2:$C$50000,C1562,全馬データ!$D$2:$D$50000,E1562)))</f>
        <v/>
      </c>
      <c r="AP1562" s="8" t="str">
        <f aca="false">IF(A1562="","",IF(AO1562="","欠損",IF(AO1562&lt;=1.1,"1.0～1.1",IF(AO1562&lt;1.3,"1.2",IF(AO1562&lt;1.5,"1.3～1.4",IF(AO1562&lt;2,"1.5～1.9","2.0以上"))))))</f>
        <v/>
      </c>
      <c r="AQ1562" s="8" t="str">
        <f aca="false">IF(A1562="","",IF(ISNUMBER(SEARCH("2歳",Z1562)),"2歳戦",IF(ISNUMBER(SEARCH("3歳未勝利",Z1562)),"3歳未勝利",IF(ISNUMBER(SEARCH("未勝利",Z1562)),"その他未勝利",IF(ISNUMBER(SEARCH("G1",Z1562)),"G1",IF(ISNUMBER(SEARCH("G2",Z1562)),"G2",IF(ISNUMBER(SEARCH("G3",Z1562)),"G3",IF(ISNUMBER(SEARCH("古馬条件",Z1562)),"古馬条件戦",IF(ISNUMBER(SEARCH("重賞",Z1562)),"重賞","分類不能")))))))))</f>
        <v/>
      </c>
    </row>
    <row r="1563" customFormat="false" ht="15.75" hidden="false" customHeight="false" outlineLevel="0" collapsed="false">
      <c r="AO1563" s="8" t="str">
        <f aca="false">IF(A1563="","",IF(COUNTIFS(全馬データ!$A$2:$A$50000,A1563,全馬データ!$B$2:$B$50000,B1563,全馬データ!$C$2:$C$50000,C1563,全馬データ!$D$2:$D$50000,E1563,全馬データ!$K$2:$K$50000,"&lt;&gt;")=0,"",SUMIFS(全馬データ!$K$2:$K$50000,全馬データ!$A$2:$A$50000,A1563,全馬データ!$B$2:$B$50000,B1563,全馬データ!$C$2:$C$50000,C1563,全馬データ!$D$2:$D$50000,E1563)))</f>
        <v/>
      </c>
      <c r="AP1563" s="8" t="str">
        <f aca="false">IF(A1563="","",IF(AO1563="","欠損",IF(AO1563&lt;=1.1,"1.0～1.1",IF(AO1563&lt;1.3,"1.2",IF(AO1563&lt;1.5,"1.3～1.4",IF(AO1563&lt;2,"1.5～1.9","2.0以上"))))))</f>
        <v/>
      </c>
      <c r="AQ1563" s="8" t="str">
        <f aca="false">IF(A1563="","",IF(ISNUMBER(SEARCH("2歳",Z1563)),"2歳戦",IF(ISNUMBER(SEARCH("3歳未勝利",Z1563)),"3歳未勝利",IF(ISNUMBER(SEARCH("未勝利",Z1563)),"その他未勝利",IF(ISNUMBER(SEARCH("G1",Z1563)),"G1",IF(ISNUMBER(SEARCH("G2",Z1563)),"G2",IF(ISNUMBER(SEARCH("G3",Z1563)),"G3",IF(ISNUMBER(SEARCH("古馬条件",Z1563)),"古馬条件戦",IF(ISNUMBER(SEARCH("重賞",Z1563)),"重賞","分類不能")))))))))</f>
        <v/>
      </c>
    </row>
    <row r="1564" customFormat="false" ht="15.75" hidden="false" customHeight="false" outlineLevel="0" collapsed="false">
      <c r="AO1564" s="8" t="str">
        <f aca="false">IF(A1564="","",IF(COUNTIFS(全馬データ!$A$2:$A$50000,A1564,全馬データ!$B$2:$B$50000,B1564,全馬データ!$C$2:$C$50000,C1564,全馬データ!$D$2:$D$50000,E1564,全馬データ!$K$2:$K$50000,"&lt;&gt;")=0,"",SUMIFS(全馬データ!$K$2:$K$50000,全馬データ!$A$2:$A$50000,A1564,全馬データ!$B$2:$B$50000,B1564,全馬データ!$C$2:$C$50000,C1564,全馬データ!$D$2:$D$50000,E1564)))</f>
        <v/>
      </c>
      <c r="AP1564" s="8" t="str">
        <f aca="false">IF(A1564="","",IF(AO1564="","欠損",IF(AO1564&lt;=1.1,"1.0～1.1",IF(AO1564&lt;1.3,"1.2",IF(AO1564&lt;1.5,"1.3～1.4",IF(AO1564&lt;2,"1.5～1.9","2.0以上"))))))</f>
        <v/>
      </c>
      <c r="AQ1564" s="8" t="str">
        <f aca="false">IF(A1564="","",IF(ISNUMBER(SEARCH("2歳",Z1564)),"2歳戦",IF(ISNUMBER(SEARCH("3歳未勝利",Z1564)),"3歳未勝利",IF(ISNUMBER(SEARCH("未勝利",Z1564)),"その他未勝利",IF(ISNUMBER(SEARCH("G1",Z1564)),"G1",IF(ISNUMBER(SEARCH("G2",Z1564)),"G2",IF(ISNUMBER(SEARCH("G3",Z1564)),"G3",IF(ISNUMBER(SEARCH("古馬条件",Z1564)),"古馬条件戦",IF(ISNUMBER(SEARCH("重賞",Z1564)),"重賞","分類不能")))))))))</f>
        <v/>
      </c>
    </row>
    <row r="1565" customFormat="false" ht="15.75" hidden="false" customHeight="false" outlineLevel="0" collapsed="false">
      <c r="AO1565" s="8" t="str">
        <f aca="false">IF(A1565="","",IF(COUNTIFS(全馬データ!$A$2:$A$50000,A1565,全馬データ!$B$2:$B$50000,B1565,全馬データ!$C$2:$C$50000,C1565,全馬データ!$D$2:$D$50000,E1565,全馬データ!$K$2:$K$50000,"&lt;&gt;")=0,"",SUMIFS(全馬データ!$K$2:$K$50000,全馬データ!$A$2:$A$50000,A1565,全馬データ!$B$2:$B$50000,B1565,全馬データ!$C$2:$C$50000,C1565,全馬データ!$D$2:$D$50000,E1565)))</f>
        <v/>
      </c>
      <c r="AP1565" s="8" t="str">
        <f aca="false">IF(A1565="","",IF(AO1565="","欠損",IF(AO1565&lt;=1.1,"1.0～1.1",IF(AO1565&lt;1.3,"1.2",IF(AO1565&lt;1.5,"1.3～1.4",IF(AO1565&lt;2,"1.5～1.9","2.0以上"))))))</f>
        <v/>
      </c>
      <c r="AQ1565" s="8" t="str">
        <f aca="false">IF(A1565="","",IF(ISNUMBER(SEARCH("2歳",Z1565)),"2歳戦",IF(ISNUMBER(SEARCH("3歳未勝利",Z1565)),"3歳未勝利",IF(ISNUMBER(SEARCH("未勝利",Z1565)),"その他未勝利",IF(ISNUMBER(SEARCH("G1",Z1565)),"G1",IF(ISNUMBER(SEARCH("G2",Z1565)),"G2",IF(ISNUMBER(SEARCH("G3",Z1565)),"G3",IF(ISNUMBER(SEARCH("古馬条件",Z1565)),"古馬条件戦",IF(ISNUMBER(SEARCH("重賞",Z1565)),"重賞","分類不能")))))))))</f>
        <v/>
      </c>
    </row>
    <row r="1566" customFormat="false" ht="15.75" hidden="false" customHeight="false" outlineLevel="0" collapsed="false">
      <c r="AO1566" s="8" t="str">
        <f aca="false">IF(A1566="","",IF(COUNTIFS(全馬データ!$A$2:$A$50000,A1566,全馬データ!$B$2:$B$50000,B1566,全馬データ!$C$2:$C$50000,C1566,全馬データ!$D$2:$D$50000,E1566,全馬データ!$K$2:$K$50000,"&lt;&gt;")=0,"",SUMIFS(全馬データ!$K$2:$K$50000,全馬データ!$A$2:$A$50000,A1566,全馬データ!$B$2:$B$50000,B1566,全馬データ!$C$2:$C$50000,C1566,全馬データ!$D$2:$D$50000,E1566)))</f>
        <v/>
      </c>
      <c r="AP1566" s="8" t="str">
        <f aca="false">IF(A1566="","",IF(AO1566="","欠損",IF(AO1566&lt;=1.1,"1.0～1.1",IF(AO1566&lt;1.3,"1.2",IF(AO1566&lt;1.5,"1.3～1.4",IF(AO1566&lt;2,"1.5～1.9","2.0以上"))))))</f>
        <v/>
      </c>
      <c r="AQ1566" s="8" t="str">
        <f aca="false">IF(A1566="","",IF(ISNUMBER(SEARCH("2歳",Z1566)),"2歳戦",IF(ISNUMBER(SEARCH("3歳未勝利",Z1566)),"3歳未勝利",IF(ISNUMBER(SEARCH("未勝利",Z1566)),"その他未勝利",IF(ISNUMBER(SEARCH("G1",Z1566)),"G1",IF(ISNUMBER(SEARCH("G2",Z1566)),"G2",IF(ISNUMBER(SEARCH("G3",Z1566)),"G3",IF(ISNUMBER(SEARCH("古馬条件",Z1566)),"古馬条件戦",IF(ISNUMBER(SEARCH("重賞",Z1566)),"重賞","分類不能")))))))))</f>
        <v/>
      </c>
    </row>
    <row r="1567" customFormat="false" ht="15.75" hidden="false" customHeight="false" outlineLevel="0" collapsed="false">
      <c r="AO1567" s="8" t="str">
        <f aca="false">IF(A1567="","",IF(COUNTIFS(全馬データ!$A$2:$A$50000,A1567,全馬データ!$B$2:$B$50000,B1567,全馬データ!$C$2:$C$50000,C1567,全馬データ!$D$2:$D$50000,E1567,全馬データ!$K$2:$K$50000,"&lt;&gt;")=0,"",SUMIFS(全馬データ!$K$2:$K$50000,全馬データ!$A$2:$A$50000,A1567,全馬データ!$B$2:$B$50000,B1567,全馬データ!$C$2:$C$50000,C1567,全馬データ!$D$2:$D$50000,E1567)))</f>
        <v/>
      </c>
      <c r="AP1567" s="8" t="str">
        <f aca="false">IF(A1567="","",IF(AO1567="","欠損",IF(AO1567&lt;=1.1,"1.0～1.1",IF(AO1567&lt;1.3,"1.2",IF(AO1567&lt;1.5,"1.3～1.4",IF(AO1567&lt;2,"1.5～1.9","2.0以上"))))))</f>
        <v/>
      </c>
      <c r="AQ1567" s="8" t="str">
        <f aca="false">IF(A1567="","",IF(ISNUMBER(SEARCH("2歳",Z1567)),"2歳戦",IF(ISNUMBER(SEARCH("3歳未勝利",Z1567)),"3歳未勝利",IF(ISNUMBER(SEARCH("未勝利",Z1567)),"その他未勝利",IF(ISNUMBER(SEARCH("G1",Z1567)),"G1",IF(ISNUMBER(SEARCH("G2",Z1567)),"G2",IF(ISNUMBER(SEARCH("G3",Z1567)),"G3",IF(ISNUMBER(SEARCH("古馬条件",Z1567)),"古馬条件戦",IF(ISNUMBER(SEARCH("重賞",Z1567)),"重賞","分類不能")))))))))</f>
        <v/>
      </c>
    </row>
    <row r="1568" customFormat="false" ht="15.75" hidden="false" customHeight="false" outlineLevel="0" collapsed="false">
      <c r="AO1568" s="8" t="str">
        <f aca="false">IF(A1568="","",IF(COUNTIFS(全馬データ!$A$2:$A$50000,A1568,全馬データ!$B$2:$B$50000,B1568,全馬データ!$C$2:$C$50000,C1568,全馬データ!$D$2:$D$50000,E1568,全馬データ!$K$2:$K$50000,"&lt;&gt;")=0,"",SUMIFS(全馬データ!$K$2:$K$50000,全馬データ!$A$2:$A$50000,A1568,全馬データ!$B$2:$B$50000,B1568,全馬データ!$C$2:$C$50000,C1568,全馬データ!$D$2:$D$50000,E1568)))</f>
        <v/>
      </c>
      <c r="AP1568" s="8" t="str">
        <f aca="false">IF(A1568="","",IF(AO1568="","欠損",IF(AO1568&lt;=1.1,"1.0～1.1",IF(AO1568&lt;1.3,"1.2",IF(AO1568&lt;1.5,"1.3～1.4",IF(AO1568&lt;2,"1.5～1.9","2.0以上"))))))</f>
        <v/>
      </c>
      <c r="AQ1568" s="8" t="str">
        <f aca="false">IF(A1568="","",IF(ISNUMBER(SEARCH("2歳",Z1568)),"2歳戦",IF(ISNUMBER(SEARCH("3歳未勝利",Z1568)),"3歳未勝利",IF(ISNUMBER(SEARCH("未勝利",Z1568)),"その他未勝利",IF(ISNUMBER(SEARCH("G1",Z1568)),"G1",IF(ISNUMBER(SEARCH("G2",Z1568)),"G2",IF(ISNUMBER(SEARCH("G3",Z1568)),"G3",IF(ISNUMBER(SEARCH("古馬条件",Z1568)),"古馬条件戦",IF(ISNUMBER(SEARCH("重賞",Z1568)),"重賞","分類不能")))))))))</f>
        <v/>
      </c>
    </row>
    <row r="1569" customFormat="false" ht="15.75" hidden="false" customHeight="false" outlineLevel="0" collapsed="false">
      <c r="AO1569" s="8" t="str">
        <f aca="false">IF(A1569="","",IF(COUNTIFS(全馬データ!$A$2:$A$50000,A1569,全馬データ!$B$2:$B$50000,B1569,全馬データ!$C$2:$C$50000,C1569,全馬データ!$D$2:$D$50000,E1569,全馬データ!$K$2:$K$50000,"&lt;&gt;")=0,"",SUMIFS(全馬データ!$K$2:$K$50000,全馬データ!$A$2:$A$50000,A1569,全馬データ!$B$2:$B$50000,B1569,全馬データ!$C$2:$C$50000,C1569,全馬データ!$D$2:$D$50000,E1569)))</f>
        <v/>
      </c>
      <c r="AP1569" s="8" t="str">
        <f aca="false">IF(A1569="","",IF(AO1569="","欠損",IF(AO1569&lt;=1.1,"1.0～1.1",IF(AO1569&lt;1.3,"1.2",IF(AO1569&lt;1.5,"1.3～1.4",IF(AO1569&lt;2,"1.5～1.9","2.0以上"))))))</f>
        <v/>
      </c>
      <c r="AQ1569" s="8" t="str">
        <f aca="false">IF(A1569="","",IF(ISNUMBER(SEARCH("2歳",Z1569)),"2歳戦",IF(ISNUMBER(SEARCH("3歳未勝利",Z1569)),"3歳未勝利",IF(ISNUMBER(SEARCH("未勝利",Z1569)),"その他未勝利",IF(ISNUMBER(SEARCH("G1",Z1569)),"G1",IF(ISNUMBER(SEARCH("G2",Z1569)),"G2",IF(ISNUMBER(SEARCH("G3",Z1569)),"G3",IF(ISNUMBER(SEARCH("古馬条件",Z1569)),"古馬条件戦",IF(ISNUMBER(SEARCH("重賞",Z1569)),"重賞","分類不能")))))))))</f>
        <v/>
      </c>
    </row>
    <row r="1570" customFormat="false" ht="15.75" hidden="false" customHeight="false" outlineLevel="0" collapsed="false">
      <c r="AO1570" s="8" t="str">
        <f aca="false">IF(A1570="","",IF(COUNTIFS(全馬データ!$A$2:$A$50000,A1570,全馬データ!$B$2:$B$50000,B1570,全馬データ!$C$2:$C$50000,C1570,全馬データ!$D$2:$D$50000,E1570,全馬データ!$K$2:$K$50000,"&lt;&gt;")=0,"",SUMIFS(全馬データ!$K$2:$K$50000,全馬データ!$A$2:$A$50000,A1570,全馬データ!$B$2:$B$50000,B1570,全馬データ!$C$2:$C$50000,C1570,全馬データ!$D$2:$D$50000,E1570)))</f>
        <v/>
      </c>
      <c r="AP1570" s="8" t="str">
        <f aca="false">IF(A1570="","",IF(AO1570="","欠損",IF(AO1570&lt;=1.1,"1.0～1.1",IF(AO1570&lt;1.3,"1.2",IF(AO1570&lt;1.5,"1.3～1.4",IF(AO1570&lt;2,"1.5～1.9","2.0以上"))))))</f>
        <v/>
      </c>
      <c r="AQ1570" s="8" t="str">
        <f aca="false">IF(A1570="","",IF(ISNUMBER(SEARCH("2歳",Z1570)),"2歳戦",IF(ISNUMBER(SEARCH("3歳未勝利",Z1570)),"3歳未勝利",IF(ISNUMBER(SEARCH("未勝利",Z1570)),"その他未勝利",IF(ISNUMBER(SEARCH("G1",Z1570)),"G1",IF(ISNUMBER(SEARCH("G2",Z1570)),"G2",IF(ISNUMBER(SEARCH("G3",Z1570)),"G3",IF(ISNUMBER(SEARCH("古馬条件",Z1570)),"古馬条件戦",IF(ISNUMBER(SEARCH("重賞",Z1570)),"重賞","分類不能")))))))))</f>
        <v/>
      </c>
    </row>
    <row r="1571" customFormat="false" ht="15.75" hidden="false" customHeight="false" outlineLevel="0" collapsed="false">
      <c r="AO1571" s="8" t="str">
        <f aca="false">IF(A1571="","",IF(COUNTIFS(全馬データ!$A$2:$A$50000,A1571,全馬データ!$B$2:$B$50000,B1571,全馬データ!$C$2:$C$50000,C1571,全馬データ!$D$2:$D$50000,E1571,全馬データ!$K$2:$K$50000,"&lt;&gt;")=0,"",SUMIFS(全馬データ!$K$2:$K$50000,全馬データ!$A$2:$A$50000,A1571,全馬データ!$B$2:$B$50000,B1571,全馬データ!$C$2:$C$50000,C1571,全馬データ!$D$2:$D$50000,E1571)))</f>
        <v/>
      </c>
      <c r="AP1571" s="8" t="str">
        <f aca="false">IF(A1571="","",IF(AO1571="","欠損",IF(AO1571&lt;=1.1,"1.0～1.1",IF(AO1571&lt;1.3,"1.2",IF(AO1571&lt;1.5,"1.3～1.4",IF(AO1571&lt;2,"1.5～1.9","2.0以上"))))))</f>
        <v/>
      </c>
      <c r="AQ1571" s="8" t="str">
        <f aca="false">IF(A1571="","",IF(ISNUMBER(SEARCH("2歳",Z1571)),"2歳戦",IF(ISNUMBER(SEARCH("3歳未勝利",Z1571)),"3歳未勝利",IF(ISNUMBER(SEARCH("未勝利",Z1571)),"その他未勝利",IF(ISNUMBER(SEARCH("G1",Z1571)),"G1",IF(ISNUMBER(SEARCH("G2",Z1571)),"G2",IF(ISNUMBER(SEARCH("G3",Z1571)),"G3",IF(ISNUMBER(SEARCH("古馬条件",Z1571)),"古馬条件戦",IF(ISNUMBER(SEARCH("重賞",Z1571)),"重賞","分類不能")))))))))</f>
        <v/>
      </c>
    </row>
    <row r="1572" customFormat="false" ht="15.75" hidden="false" customHeight="false" outlineLevel="0" collapsed="false">
      <c r="AO1572" s="8" t="str">
        <f aca="false">IF(A1572="","",IF(COUNTIFS(全馬データ!$A$2:$A$50000,A1572,全馬データ!$B$2:$B$50000,B1572,全馬データ!$C$2:$C$50000,C1572,全馬データ!$D$2:$D$50000,E1572,全馬データ!$K$2:$K$50000,"&lt;&gt;")=0,"",SUMIFS(全馬データ!$K$2:$K$50000,全馬データ!$A$2:$A$50000,A1572,全馬データ!$B$2:$B$50000,B1572,全馬データ!$C$2:$C$50000,C1572,全馬データ!$D$2:$D$50000,E1572)))</f>
        <v/>
      </c>
      <c r="AP1572" s="8" t="str">
        <f aca="false">IF(A1572="","",IF(AO1572="","欠損",IF(AO1572&lt;=1.1,"1.0～1.1",IF(AO1572&lt;1.3,"1.2",IF(AO1572&lt;1.5,"1.3～1.4",IF(AO1572&lt;2,"1.5～1.9","2.0以上"))))))</f>
        <v/>
      </c>
      <c r="AQ1572" s="8" t="str">
        <f aca="false">IF(A1572="","",IF(ISNUMBER(SEARCH("2歳",Z1572)),"2歳戦",IF(ISNUMBER(SEARCH("3歳未勝利",Z1572)),"3歳未勝利",IF(ISNUMBER(SEARCH("未勝利",Z1572)),"その他未勝利",IF(ISNUMBER(SEARCH("G1",Z1572)),"G1",IF(ISNUMBER(SEARCH("G2",Z1572)),"G2",IF(ISNUMBER(SEARCH("G3",Z1572)),"G3",IF(ISNUMBER(SEARCH("古馬条件",Z1572)),"古馬条件戦",IF(ISNUMBER(SEARCH("重賞",Z1572)),"重賞","分類不能")))))))))</f>
        <v/>
      </c>
    </row>
    <row r="1573" customFormat="false" ht="15.75" hidden="false" customHeight="false" outlineLevel="0" collapsed="false">
      <c r="AO1573" s="8" t="str">
        <f aca="false">IF(A1573="","",IF(COUNTIFS(全馬データ!$A$2:$A$50000,A1573,全馬データ!$B$2:$B$50000,B1573,全馬データ!$C$2:$C$50000,C1573,全馬データ!$D$2:$D$50000,E1573,全馬データ!$K$2:$K$50000,"&lt;&gt;")=0,"",SUMIFS(全馬データ!$K$2:$K$50000,全馬データ!$A$2:$A$50000,A1573,全馬データ!$B$2:$B$50000,B1573,全馬データ!$C$2:$C$50000,C1573,全馬データ!$D$2:$D$50000,E1573)))</f>
        <v/>
      </c>
      <c r="AP1573" s="8" t="str">
        <f aca="false">IF(A1573="","",IF(AO1573="","欠損",IF(AO1573&lt;=1.1,"1.0～1.1",IF(AO1573&lt;1.3,"1.2",IF(AO1573&lt;1.5,"1.3～1.4",IF(AO1573&lt;2,"1.5～1.9","2.0以上"))))))</f>
        <v/>
      </c>
      <c r="AQ1573" s="8" t="str">
        <f aca="false">IF(A1573="","",IF(ISNUMBER(SEARCH("2歳",Z1573)),"2歳戦",IF(ISNUMBER(SEARCH("3歳未勝利",Z1573)),"3歳未勝利",IF(ISNUMBER(SEARCH("未勝利",Z1573)),"その他未勝利",IF(ISNUMBER(SEARCH("G1",Z1573)),"G1",IF(ISNUMBER(SEARCH("G2",Z1573)),"G2",IF(ISNUMBER(SEARCH("G3",Z1573)),"G3",IF(ISNUMBER(SEARCH("古馬条件",Z1573)),"古馬条件戦",IF(ISNUMBER(SEARCH("重賞",Z1573)),"重賞","分類不能")))))))))</f>
        <v/>
      </c>
    </row>
    <row r="1574" customFormat="false" ht="15.75" hidden="false" customHeight="false" outlineLevel="0" collapsed="false">
      <c r="AO1574" s="8" t="str">
        <f aca="false">IF(A1574="","",IF(COUNTIFS(全馬データ!$A$2:$A$50000,A1574,全馬データ!$B$2:$B$50000,B1574,全馬データ!$C$2:$C$50000,C1574,全馬データ!$D$2:$D$50000,E1574,全馬データ!$K$2:$K$50000,"&lt;&gt;")=0,"",SUMIFS(全馬データ!$K$2:$K$50000,全馬データ!$A$2:$A$50000,A1574,全馬データ!$B$2:$B$50000,B1574,全馬データ!$C$2:$C$50000,C1574,全馬データ!$D$2:$D$50000,E1574)))</f>
        <v/>
      </c>
      <c r="AP1574" s="8" t="str">
        <f aca="false">IF(A1574="","",IF(AO1574="","欠損",IF(AO1574&lt;=1.1,"1.0～1.1",IF(AO1574&lt;1.3,"1.2",IF(AO1574&lt;1.5,"1.3～1.4",IF(AO1574&lt;2,"1.5～1.9","2.0以上"))))))</f>
        <v/>
      </c>
      <c r="AQ1574" s="8" t="str">
        <f aca="false">IF(A1574="","",IF(ISNUMBER(SEARCH("2歳",Z1574)),"2歳戦",IF(ISNUMBER(SEARCH("3歳未勝利",Z1574)),"3歳未勝利",IF(ISNUMBER(SEARCH("未勝利",Z1574)),"その他未勝利",IF(ISNUMBER(SEARCH("G1",Z1574)),"G1",IF(ISNUMBER(SEARCH("G2",Z1574)),"G2",IF(ISNUMBER(SEARCH("G3",Z1574)),"G3",IF(ISNUMBER(SEARCH("古馬条件",Z1574)),"古馬条件戦",IF(ISNUMBER(SEARCH("重賞",Z1574)),"重賞","分類不能")))))))))</f>
        <v/>
      </c>
    </row>
    <row r="1575" customFormat="false" ht="15.75" hidden="false" customHeight="false" outlineLevel="0" collapsed="false">
      <c r="AO1575" s="8" t="str">
        <f aca="false">IF(A1575="","",IF(COUNTIFS(全馬データ!$A$2:$A$50000,A1575,全馬データ!$B$2:$B$50000,B1575,全馬データ!$C$2:$C$50000,C1575,全馬データ!$D$2:$D$50000,E1575,全馬データ!$K$2:$K$50000,"&lt;&gt;")=0,"",SUMIFS(全馬データ!$K$2:$K$50000,全馬データ!$A$2:$A$50000,A1575,全馬データ!$B$2:$B$50000,B1575,全馬データ!$C$2:$C$50000,C1575,全馬データ!$D$2:$D$50000,E1575)))</f>
        <v/>
      </c>
      <c r="AP1575" s="8" t="str">
        <f aca="false">IF(A1575="","",IF(AO1575="","欠損",IF(AO1575&lt;=1.1,"1.0～1.1",IF(AO1575&lt;1.3,"1.2",IF(AO1575&lt;1.5,"1.3～1.4",IF(AO1575&lt;2,"1.5～1.9","2.0以上"))))))</f>
        <v/>
      </c>
      <c r="AQ1575" s="8" t="str">
        <f aca="false">IF(A1575="","",IF(ISNUMBER(SEARCH("2歳",Z1575)),"2歳戦",IF(ISNUMBER(SEARCH("3歳未勝利",Z1575)),"3歳未勝利",IF(ISNUMBER(SEARCH("未勝利",Z1575)),"その他未勝利",IF(ISNUMBER(SEARCH("G1",Z1575)),"G1",IF(ISNUMBER(SEARCH("G2",Z1575)),"G2",IF(ISNUMBER(SEARCH("G3",Z1575)),"G3",IF(ISNUMBER(SEARCH("古馬条件",Z1575)),"古馬条件戦",IF(ISNUMBER(SEARCH("重賞",Z1575)),"重賞","分類不能")))))))))</f>
        <v/>
      </c>
    </row>
    <row r="1576" customFormat="false" ht="15.75" hidden="false" customHeight="false" outlineLevel="0" collapsed="false">
      <c r="AO1576" s="8" t="str">
        <f aca="false">IF(A1576="","",IF(COUNTIFS(全馬データ!$A$2:$A$50000,A1576,全馬データ!$B$2:$B$50000,B1576,全馬データ!$C$2:$C$50000,C1576,全馬データ!$D$2:$D$50000,E1576,全馬データ!$K$2:$K$50000,"&lt;&gt;")=0,"",SUMIFS(全馬データ!$K$2:$K$50000,全馬データ!$A$2:$A$50000,A1576,全馬データ!$B$2:$B$50000,B1576,全馬データ!$C$2:$C$50000,C1576,全馬データ!$D$2:$D$50000,E1576)))</f>
        <v/>
      </c>
      <c r="AP1576" s="8" t="str">
        <f aca="false">IF(A1576="","",IF(AO1576="","欠損",IF(AO1576&lt;=1.1,"1.0～1.1",IF(AO1576&lt;1.3,"1.2",IF(AO1576&lt;1.5,"1.3～1.4",IF(AO1576&lt;2,"1.5～1.9","2.0以上"))))))</f>
        <v/>
      </c>
      <c r="AQ1576" s="8" t="str">
        <f aca="false">IF(A1576="","",IF(ISNUMBER(SEARCH("2歳",Z1576)),"2歳戦",IF(ISNUMBER(SEARCH("3歳未勝利",Z1576)),"3歳未勝利",IF(ISNUMBER(SEARCH("未勝利",Z1576)),"その他未勝利",IF(ISNUMBER(SEARCH("G1",Z1576)),"G1",IF(ISNUMBER(SEARCH("G2",Z1576)),"G2",IF(ISNUMBER(SEARCH("G3",Z1576)),"G3",IF(ISNUMBER(SEARCH("古馬条件",Z1576)),"古馬条件戦",IF(ISNUMBER(SEARCH("重賞",Z1576)),"重賞","分類不能")))))))))</f>
        <v/>
      </c>
    </row>
    <row r="1577" customFormat="false" ht="15.75" hidden="false" customHeight="false" outlineLevel="0" collapsed="false">
      <c r="AO1577" s="8" t="str">
        <f aca="false">IF(A1577="","",IF(COUNTIFS(全馬データ!$A$2:$A$50000,A1577,全馬データ!$B$2:$B$50000,B1577,全馬データ!$C$2:$C$50000,C1577,全馬データ!$D$2:$D$50000,E1577,全馬データ!$K$2:$K$50000,"&lt;&gt;")=0,"",SUMIFS(全馬データ!$K$2:$K$50000,全馬データ!$A$2:$A$50000,A1577,全馬データ!$B$2:$B$50000,B1577,全馬データ!$C$2:$C$50000,C1577,全馬データ!$D$2:$D$50000,E1577)))</f>
        <v/>
      </c>
      <c r="AP1577" s="8" t="str">
        <f aca="false">IF(A1577="","",IF(AO1577="","欠損",IF(AO1577&lt;=1.1,"1.0～1.1",IF(AO1577&lt;1.3,"1.2",IF(AO1577&lt;1.5,"1.3～1.4",IF(AO1577&lt;2,"1.5～1.9","2.0以上"))))))</f>
        <v/>
      </c>
      <c r="AQ1577" s="8" t="str">
        <f aca="false">IF(A1577="","",IF(ISNUMBER(SEARCH("2歳",Z1577)),"2歳戦",IF(ISNUMBER(SEARCH("3歳未勝利",Z1577)),"3歳未勝利",IF(ISNUMBER(SEARCH("未勝利",Z1577)),"その他未勝利",IF(ISNUMBER(SEARCH("G1",Z1577)),"G1",IF(ISNUMBER(SEARCH("G2",Z1577)),"G2",IF(ISNUMBER(SEARCH("G3",Z1577)),"G3",IF(ISNUMBER(SEARCH("古馬条件",Z1577)),"古馬条件戦",IF(ISNUMBER(SEARCH("重賞",Z1577)),"重賞","分類不能")))))))))</f>
        <v/>
      </c>
    </row>
    <row r="1578" customFormat="false" ht="15.75" hidden="false" customHeight="false" outlineLevel="0" collapsed="false">
      <c r="AO1578" s="8" t="str">
        <f aca="false">IF(A1578="","",IF(COUNTIFS(全馬データ!$A$2:$A$50000,A1578,全馬データ!$B$2:$B$50000,B1578,全馬データ!$C$2:$C$50000,C1578,全馬データ!$D$2:$D$50000,E1578,全馬データ!$K$2:$K$50000,"&lt;&gt;")=0,"",SUMIFS(全馬データ!$K$2:$K$50000,全馬データ!$A$2:$A$50000,A1578,全馬データ!$B$2:$B$50000,B1578,全馬データ!$C$2:$C$50000,C1578,全馬データ!$D$2:$D$50000,E1578)))</f>
        <v/>
      </c>
      <c r="AP1578" s="8" t="str">
        <f aca="false">IF(A1578="","",IF(AO1578="","欠損",IF(AO1578&lt;=1.1,"1.0～1.1",IF(AO1578&lt;1.3,"1.2",IF(AO1578&lt;1.5,"1.3～1.4",IF(AO1578&lt;2,"1.5～1.9","2.0以上"))))))</f>
        <v/>
      </c>
      <c r="AQ1578" s="8" t="str">
        <f aca="false">IF(A1578="","",IF(ISNUMBER(SEARCH("2歳",Z1578)),"2歳戦",IF(ISNUMBER(SEARCH("3歳未勝利",Z1578)),"3歳未勝利",IF(ISNUMBER(SEARCH("未勝利",Z1578)),"その他未勝利",IF(ISNUMBER(SEARCH("G1",Z1578)),"G1",IF(ISNUMBER(SEARCH("G2",Z1578)),"G2",IF(ISNUMBER(SEARCH("G3",Z1578)),"G3",IF(ISNUMBER(SEARCH("古馬条件",Z1578)),"古馬条件戦",IF(ISNUMBER(SEARCH("重賞",Z1578)),"重賞","分類不能")))))))))</f>
        <v/>
      </c>
    </row>
    <row r="1579" customFormat="false" ht="15.75" hidden="false" customHeight="false" outlineLevel="0" collapsed="false">
      <c r="AO1579" s="8" t="str">
        <f aca="false">IF(A1579="","",IF(COUNTIFS(全馬データ!$A$2:$A$50000,A1579,全馬データ!$B$2:$B$50000,B1579,全馬データ!$C$2:$C$50000,C1579,全馬データ!$D$2:$D$50000,E1579,全馬データ!$K$2:$K$50000,"&lt;&gt;")=0,"",SUMIFS(全馬データ!$K$2:$K$50000,全馬データ!$A$2:$A$50000,A1579,全馬データ!$B$2:$B$50000,B1579,全馬データ!$C$2:$C$50000,C1579,全馬データ!$D$2:$D$50000,E1579)))</f>
        <v/>
      </c>
      <c r="AP1579" s="8" t="str">
        <f aca="false">IF(A1579="","",IF(AO1579="","欠損",IF(AO1579&lt;=1.1,"1.0～1.1",IF(AO1579&lt;1.3,"1.2",IF(AO1579&lt;1.5,"1.3～1.4",IF(AO1579&lt;2,"1.5～1.9","2.0以上"))))))</f>
        <v/>
      </c>
      <c r="AQ1579" s="8" t="str">
        <f aca="false">IF(A1579="","",IF(ISNUMBER(SEARCH("2歳",Z1579)),"2歳戦",IF(ISNUMBER(SEARCH("3歳未勝利",Z1579)),"3歳未勝利",IF(ISNUMBER(SEARCH("未勝利",Z1579)),"その他未勝利",IF(ISNUMBER(SEARCH("G1",Z1579)),"G1",IF(ISNUMBER(SEARCH("G2",Z1579)),"G2",IF(ISNUMBER(SEARCH("G3",Z1579)),"G3",IF(ISNUMBER(SEARCH("古馬条件",Z1579)),"古馬条件戦",IF(ISNUMBER(SEARCH("重賞",Z1579)),"重賞","分類不能")))))))))</f>
        <v/>
      </c>
    </row>
    <row r="1580" customFormat="false" ht="15.75" hidden="false" customHeight="false" outlineLevel="0" collapsed="false">
      <c r="AO1580" s="8" t="str">
        <f aca="false">IF(A1580="","",IF(COUNTIFS(全馬データ!$A$2:$A$50000,A1580,全馬データ!$B$2:$B$50000,B1580,全馬データ!$C$2:$C$50000,C1580,全馬データ!$D$2:$D$50000,E1580,全馬データ!$K$2:$K$50000,"&lt;&gt;")=0,"",SUMIFS(全馬データ!$K$2:$K$50000,全馬データ!$A$2:$A$50000,A1580,全馬データ!$B$2:$B$50000,B1580,全馬データ!$C$2:$C$50000,C1580,全馬データ!$D$2:$D$50000,E1580)))</f>
        <v/>
      </c>
      <c r="AP1580" s="8" t="str">
        <f aca="false">IF(A1580="","",IF(AO1580="","欠損",IF(AO1580&lt;=1.1,"1.0～1.1",IF(AO1580&lt;1.3,"1.2",IF(AO1580&lt;1.5,"1.3～1.4",IF(AO1580&lt;2,"1.5～1.9","2.0以上"))))))</f>
        <v/>
      </c>
      <c r="AQ1580" s="8" t="str">
        <f aca="false">IF(A1580="","",IF(ISNUMBER(SEARCH("2歳",Z1580)),"2歳戦",IF(ISNUMBER(SEARCH("3歳未勝利",Z1580)),"3歳未勝利",IF(ISNUMBER(SEARCH("未勝利",Z1580)),"その他未勝利",IF(ISNUMBER(SEARCH("G1",Z1580)),"G1",IF(ISNUMBER(SEARCH("G2",Z1580)),"G2",IF(ISNUMBER(SEARCH("G3",Z1580)),"G3",IF(ISNUMBER(SEARCH("古馬条件",Z1580)),"古馬条件戦",IF(ISNUMBER(SEARCH("重賞",Z1580)),"重賞","分類不能")))))))))</f>
        <v/>
      </c>
    </row>
    <row r="1581" customFormat="false" ht="15.75" hidden="false" customHeight="false" outlineLevel="0" collapsed="false">
      <c r="AO1581" s="8" t="str">
        <f aca="false">IF(A1581="","",IF(COUNTIFS(全馬データ!$A$2:$A$50000,A1581,全馬データ!$B$2:$B$50000,B1581,全馬データ!$C$2:$C$50000,C1581,全馬データ!$D$2:$D$50000,E1581,全馬データ!$K$2:$K$50000,"&lt;&gt;")=0,"",SUMIFS(全馬データ!$K$2:$K$50000,全馬データ!$A$2:$A$50000,A1581,全馬データ!$B$2:$B$50000,B1581,全馬データ!$C$2:$C$50000,C1581,全馬データ!$D$2:$D$50000,E1581)))</f>
        <v/>
      </c>
      <c r="AP1581" s="8" t="str">
        <f aca="false">IF(A1581="","",IF(AO1581="","欠損",IF(AO1581&lt;=1.1,"1.0～1.1",IF(AO1581&lt;1.3,"1.2",IF(AO1581&lt;1.5,"1.3～1.4",IF(AO1581&lt;2,"1.5～1.9","2.0以上"))))))</f>
        <v/>
      </c>
      <c r="AQ1581" s="8" t="str">
        <f aca="false">IF(A1581="","",IF(ISNUMBER(SEARCH("2歳",Z1581)),"2歳戦",IF(ISNUMBER(SEARCH("3歳未勝利",Z1581)),"3歳未勝利",IF(ISNUMBER(SEARCH("未勝利",Z1581)),"その他未勝利",IF(ISNUMBER(SEARCH("G1",Z1581)),"G1",IF(ISNUMBER(SEARCH("G2",Z1581)),"G2",IF(ISNUMBER(SEARCH("G3",Z1581)),"G3",IF(ISNUMBER(SEARCH("古馬条件",Z1581)),"古馬条件戦",IF(ISNUMBER(SEARCH("重賞",Z1581)),"重賞","分類不能")))))))))</f>
        <v/>
      </c>
    </row>
    <row r="1582" customFormat="false" ht="15.75" hidden="false" customHeight="false" outlineLevel="0" collapsed="false">
      <c r="AO1582" s="8" t="str">
        <f aca="false">IF(A1582="","",IF(COUNTIFS(全馬データ!$A$2:$A$50000,A1582,全馬データ!$B$2:$B$50000,B1582,全馬データ!$C$2:$C$50000,C1582,全馬データ!$D$2:$D$50000,E1582,全馬データ!$K$2:$K$50000,"&lt;&gt;")=0,"",SUMIFS(全馬データ!$K$2:$K$50000,全馬データ!$A$2:$A$50000,A1582,全馬データ!$B$2:$B$50000,B1582,全馬データ!$C$2:$C$50000,C1582,全馬データ!$D$2:$D$50000,E1582)))</f>
        <v/>
      </c>
      <c r="AP1582" s="8" t="str">
        <f aca="false">IF(A1582="","",IF(AO1582="","欠損",IF(AO1582&lt;=1.1,"1.0～1.1",IF(AO1582&lt;1.3,"1.2",IF(AO1582&lt;1.5,"1.3～1.4",IF(AO1582&lt;2,"1.5～1.9","2.0以上"))))))</f>
        <v/>
      </c>
      <c r="AQ1582" s="8" t="str">
        <f aca="false">IF(A1582="","",IF(ISNUMBER(SEARCH("2歳",Z1582)),"2歳戦",IF(ISNUMBER(SEARCH("3歳未勝利",Z1582)),"3歳未勝利",IF(ISNUMBER(SEARCH("未勝利",Z1582)),"その他未勝利",IF(ISNUMBER(SEARCH("G1",Z1582)),"G1",IF(ISNUMBER(SEARCH("G2",Z1582)),"G2",IF(ISNUMBER(SEARCH("G3",Z1582)),"G3",IF(ISNUMBER(SEARCH("古馬条件",Z1582)),"古馬条件戦",IF(ISNUMBER(SEARCH("重賞",Z1582)),"重賞","分類不能")))))))))</f>
        <v/>
      </c>
    </row>
    <row r="1583" customFormat="false" ht="15.75" hidden="false" customHeight="false" outlineLevel="0" collapsed="false">
      <c r="AO1583" s="8" t="str">
        <f aca="false">IF(A1583="","",IF(COUNTIFS(全馬データ!$A$2:$A$50000,A1583,全馬データ!$B$2:$B$50000,B1583,全馬データ!$C$2:$C$50000,C1583,全馬データ!$D$2:$D$50000,E1583,全馬データ!$K$2:$K$50000,"&lt;&gt;")=0,"",SUMIFS(全馬データ!$K$2:$K$50000,全馬データ!$A$2:$A$50000,A1583,全馬データ!$B$2:$B$50000,B1583,全馬データ!$C$2:$C$50000,C1583,全馬データ!$D$2:$D$50000,E1583)))</f>
        <v/>
      </c>
      <c r="AP1583" s="8" t="str">
        <f aca="false">IF(A1583="","",IF(AO1583="","欠損",IF(AO1583&lt;=1.1,"1.0～1.1",IF(AO1583&lt;1.3,"1.2",IF(AO1583&lt;1.5,"1.3～1.4",IF(AO1583&lt;2,"1.5～1.9","2.0以上"))))))</f>
        <v/>
      </c>
      <c r="AQ1583" s="8" t="str">
        <f aca="false">IF(A1583="","",IF(ISNUMBER(SEARCH("2歳",Z1583)),"2歳戦",IF(ISNUMBER(SEARCH("3歳未勝利",Z1583)),"3歳未勝利",IF(ISNUMBER(SEARCH("未勝利",Z1583)),"その他未勝利",IF(ISNUMBER(SEARCH("G1",Z1583)),"G1",IF(ISNUMBER(SEARCH("G2",Z1583)),"G2",IF(ISNUMBER(SEARCH("G3",Z1583)),"G3",IF(ISNUMBER(SEARCH("古馬条件",Z1583)),"古馬条件戦",IF(ISNUMBER(SEARCH("重賞",Z1583)),"重賞","分類不能")))))))))</f>
        <v/>
      </c>
    </row>
    <row r="1584" customFormat="false" ht="15.75" hidden="false" customHeight="false" outlineLevel="0" collapsed="false">
      <c r="AO1584" s="8" t="str">
        <f aca="false">IF(A1584="","",IF(COUNTIFS(全馬データ!$A$2:$A$50000,A1584,全馬データ!$B$2:$B$50000,B1584,全馬データ!$C$2:$C$50000,C1584,全馬データ!$D$2:$D$50000,E1584,全馬データ!$K$2:$K$50000,"&lt;&gt;")=0,"",SUMIFS(全馬データ!$K$2:$K$50000,全馬データ!$A$2:$A$50000,A1584,全馬データ!$B$2:$B$50000,B1584,全馬データ!$C$2:$C$50000,C1584,全馬データ!$D$2:$D$50000,E1584)))</f>
        <v/>
      </c>
      <c r="AP1584" s="8" t="str">
        <f aca="false">IF(A1584="","",IF(AO1584="","欠損",IF(AO1584&lt;=1.1,"1.0～1.1",IF(AO1584&lt;1.3,"1.2",IF(AO1584&lt;1.5,"1.3～1.4",IF(AO1584&lt;2,"1.5～1.9","2.0以上"))))))</f>
        <v/>
      </c>
      <c r="AQ1584" s="8" t="str">
        <f aca="false">IF(A1584="","",IF(ISNUMBER(SEARCH("2歳",Z1584)),"2歳戦",IF(ISNUMBER(SEARCH("3歳未勝利",Z1584)),"3歳未勝利",IF(ISNUMBER(SEARCH("未勝利",Z1584)),"その他未勝利",IF(ISNUMBER(SEARCH("G1",Z1584)),"G1",IF(ISNUMBER(SEARCH("G2",Z1584)),"G2",IF(ISNUMBER(SEARCH("G3",Z1584)),"G3",IF(ISNUMBER(SEARCH("古馬条件",Z1584)),"古馬条件戦",IF(ISNUMBER(SEARCH("重賞",Z1584)),"重賞","分類不能")))))))))</f>
        <v/>
      </c>
    </row>
    <row r="1585" customFormat="false" ht="15.75" hidden="false" customHeight="false" outlineLevel="0" collapsed="false">
      <c r="AO1585" s="8" t="str">
        <f aca="false">IF(A1585="","",IF(COUNTIFS(全馬データ!$A$2:$A$50000,A1585,全馬データ!$B$2:$B$50000,B1585,全馬データ!$C$2:$C$50000,C1585,全馬データ!$D$2:$D$50000,E1585,全馬データ!$K$2:$K$50000,"&lt;&gt;")=0,"",SUMIFS(全馬データ!$K$2:$K$50000,全馬データ!$A$2:$A$50000,A1585,全馬データ!$B$2:$B$50000,B1585,全馬データ!$C$2:$C$50000,C1585,全馬データ!$D$2:$D$50000,E1585)))</f>
        <v/>
      </c>
      <c r="AP1585" s="8" t="str">
        <f aca="false">IF(A1585="","",IF(AO1585="","欠損",IF(AO1585&lt;=1.1,"1.0～1.1",IF(AO1585&lt;1.3,"1.2",IF(AO1585&lt;1.5,"1.3～1.4",IF(AO1585&lt;2,"1.5～1.9","2.0以上"))))))</f>
        <v/>
      </c>
      <c r="AQ1585" s="8" t="str">
        <f aca="false">IF(A1585="","",IF(ISNUMBER(SEARCH("2歳",Z1585)),"2歳戦",IF(ISNUMBER(SEARCH("3歳未勝利",Z1585)),"3歳未勝利",IF(ISNUMBER(SEARCH("未勝利",Z1585)),"その他未勝利",IF(ISNUMBER(SEARCH("G1",Z1585)),"G1",IF(ISNUMBER(SEARCH("G2",Z1585)),"G2",IF(ISNUMBER(SEARCH("G3",Z1585)),"G3",IF(ISNUMBER(SEARCH("古馬条件",Z1585)),"古馬条件戦",IF(ISNUMBER(SEARCH("重賞",Z1585)),"重賞","分類不能")))))))))</f>
        <v/>
      </c>
    </row>
    <row r="1586" customFormat="false" ht="15.75" hidden="false" customHeight="false" outlineLevel="0" collapsed="false">
      <c r="AO1586" s="8" t="str">
        <f aca="false">IF(A1586="","",IF(COUNTIFS(全馬データ!$A$2:$A$50000,A1586,全馬データ!$B$2:$B$50000,B1586,全馬データ!$C$2:$C$50000,C1586,全馬データ!$D$2:$D$50000,E1586,全馬データ!$K$2:$K$50000,"&lt;&gt;")=0,"",SUMIFS(全馬データ!$K$2:$K$50000,全馬データ!$A$2:$A$50000,A1586,全馬データ!$B$2:$B$50000,B1586,全馬データ!$C$2:$C$50000,C1586,全馬データ!$D$2:$D$50000,E1586)))</f>
        <v/>
      </c>
      <c r="AP1586" s="8" t="str">
        <f aca="false">IF(A1586="","",IF(AO1586="","欠損",IF(AO1586&lt;=1.1,"1.0～1.1",IF(AO1586&lt;1.3,"1.2",IF(AO1586&lt;1.5,"1.3～1.4",IF(AO1586&lt;2,"1.5～1.9","2.0以上"))))))</f>
        <v/>
      </c>
      <c r="AQ1586" s="8" t="str">
        <f aca="false">IF(A1586="","",IF(ISNUMBER(SEARCH("2歳",Z1586)),"2歳戦",IF(ISNUMBER(SEARCH("3歳未勝利",Z1586)),"3歳未勝利",IF(ISNUMBER(SEARCH("未勝利",Z1586)),"その他未勝利",IF(ISNUMBER(SEARCH("G1",Z1586)),"G1",IF(ISNUMBER(SEARCH("G2",Z1586)),"G2",IF(ISNUMBER(SEARCH("G3",Z1586)),"G3",IF(ISNUMBER(SEARCH("古馬条件",Z1586)),"古馬条件戦",IF(ISNUMBER(SEARCH("重賞",Z1586)),"重賞","分類不能")))))))))</f>
        <v/>
      </c>
    </row>
    <row r="1587" customFormat="false" ht="15.75" hidden="false" customHeight="false" outlineLevel="0" collapsed="false">
      <c r="AO1587" s="8" t="str">
        <f aca="false">IF(A1587="","",IF(COUNTIFS(全馬データ!$A$2:$A$50000,A1587,全馬データ!$B$2:$B$50000,B1587,全馬データ!$C$2:$C$50000,C1587,全馬データ!$D$2:$D$50000,E1587,全馬データ!$K$2:$K$50000,"&lt;&gt;")=0,"",SUMIFS(全馬データ!$K$2:$K$50000,全馬データ!$A$2:$A$50000,A1587,全馬データ!$B$2:$B$50000,B1587,全馬データ!$C$2:$C$50000,C1587,全馬データ!$D$2:$D$50000,E1587)))</f>
        <v/>
      </c>
      <c r="AP1587" s="8" t="str">
        <f aca="false">IF(A1587="","",IF(AO1587="","欠損",IF(AO1587&lt;=1.1,"1.0～1.1",IF(AO1587&lt;1.3,"1.2",IF(AO1587&lt;1.5,"1.3～1.4",IF(AO1587&lt;2,"1.5～1.9","2.0以上"))))))</f>
        <v/>
      </c>
      <c r="AQ1587" s="8" t="str">
        <f aca="false">IF(A1587="","",IF(ISNUMBER(SEARCH("2歳",Z1587)),"2歳戦",IF(ISNUMBER(SEARCH("3歳未勝利",Z1587)),"3歳未勝利",IF(ISNUMBER(SEARCH("未勝利",Z1587)),"その他未勝利",IF(ISNUMBER(SEARCH("G1",Z1587)),"G1",IF(ISNUMBER(SEARCH("G2",Z1587)),"G2",IF(ISNUMBER(SEARCH("G3",Z1587)),"G3",IF(ISNUMBER(SEARCH("古馬条件",Z1587)),"古馬条件戦",IF(ISNUMBER(SEARCH("重賞",Z1587)),"重賞","分類不能")))))))))</f>
        <v/>
      </c>
    </row>
    <row r="1588" customFormat="false" ht="15.75" hidden="false" customHeight="false" outlineLevel="0" collapsed="false">
      <c r="AO1588" s="8" t="str">
        <f aca="false">IF(A1588="","",IF(COUNTIFS(全馬データ!$A$2:$A$50000,A1588,全馬データ!$B$2:$B$50000,B1588,全馬データ!$C$2:$C$50000,C1588,全馬データ!$D$2:$D$50000,E1588,全馬データ!$K$2:$K$50000,"&lt;&gt;")=0,"",SUMIFS(全馬データ!$K$2:$K$50000,全馬データ!$A$2:$A$50000,A1588,全馬データ!$B$2:$B$50000,B1588,全馬データ!$C$2:$C$50000,C1588,全馬データ!$D$2:$D$50000,E1588)))</f>
        <v/>
      </c>
      <c r="AP1588" s="8" t="str">
        <f aca="false">IF(A1588="","",IF(AO1588="","欠損",IF(AO1588&lt;=1.1,"1.0～1.1",IF(AO1588&lt;1.3,"1.2",IF(AO1588&lt;1.5,"1.3～1.4",IF(AO1588&lt;2,"1.5～1.9","2.0以上"))))))</f>
        <v/>
      </c>
      <c r="AQ1588" s="8" t="str">
        <f aca="false">IF(A1588="","",IF(ISNUMBER(SEARCH("2歳",Z1588)),"2歳戦",IF(ISNUMBER(SEARCH("3歳未勝利",Z1588)),"3歳未勝利",IF(ISNUMBER(SEARCH("未勝利",Z1588)),"その他未勝利",IF(ISNUMBER(SEARCH("G1",Z1588)),"G1",IF(ISNUMBER(SEARCH("G2",Z1588)),"G2",IF(ISNUMBER(SEARCH("G3",Z1588)),"G3",IF(ISNUMBER(SEARCH("古馬条件",Z1588)),"古馬条件戦",IF(ISNUMBER(SEARCH("重賞",Z1588)),"重賞","分類不能")))))))))</f>
        <v/>
      </c>
    </row>
    <row r="1589" customFormat="false" ht="15.75" hidden="false" customHeight="false" outlineLevel="0" collapsed="false">
      <c r="AO1589" s="8" t="str">
        <f aca="false">IF(A1589="","",IF(COUNTIFS(全馬データ!$A$2:$A$50000,A1589,全馬データ!$B$2:$B$50000,B1589,全馬データ!$C$2:$C$50000,C1589,全馬データ!$D$2:$D$50000,E1589,全馬データ!$K$2:$K$50000,"&lt;&gt;")=0,"",SUMIFS(全馬データ!$K$2:$K$50000,全馬データ!$A$2:$A$50000,A1589,全馬データ!$B$2:$B$50000,B1589,全馬データ!$C$2:$C$50000,C1589,全馬データ!$D$2:$D$50000,E1589)))</f>
        <v/>
      </c>
      <c r="AP1589" s="8" t="str">
        <f aca="false">IF(A1589="","",IF(AO1589="","欠損",IF(AO1589&lt;=1.1,"1.0～1.1",IF(AO1589&lt;1.3,"1.2",IF(AO1589&lt;1.5,"1.3～1.4",IF(AO1589&lt;2,"1.5～1.9","2.0以上"))))))</f>
        <v/>
      </c>
      <c r="AQ1589" s="8" t="str">
        <f aca="false">IF(A1589="","",IF(ISNUMBER(SEARCH("2歳",Z1589)),"2歳戦",IF(ISNUMBER(SEARCH("3歳未勝利",Z1589)),"3歳未勝利",IF(ISNUMBER(SEARCH("未勝利",Z1589)),"その他未勝利",IF(ISNUMBER(SEARCH("G1",Z1589)),"G1",IF(ISNUMBER(SEARCH("G2",Z1589)),"G2",IF(ISNUMBER(SEARCH("G3",Z1589)),"G3",IF(ISNUMBER(SEARCH("古馬条件",Z1589)),"古馬条件戦",IF(ISNUMBER(SEARCH("重賞",Z1589)),"重賞","分類不能")))))))))</f>
        <v/>
      </c>
    </row>
    <row r="1590" customFormat="false" ht="15.75" hidden="false" customHeight="false" outlineLevel="0" collapsed="false">
      <c r="AO1590" s="8" t="str">
        <f aca="false">IF(A1590="","",IF(COUNTIFS(全馬データ!$A$2:$A$50000,A1590,全馬データ!$B$2:$B$50000,B1590,全馬データ!$C$2:$C$50000,C1590,全馬データ!$D$2:$D$50000,E1590,全馬データ!$K$2:$K$50000,"&lt;&gt;")=0,"",SUMIFS(全馬データ!$K$2:$K$50000,全馬データ!$A$2:$A$50000,A1590,全馬データ!$B$2:$B$50000,B1590,全馬データ!$C$2:$C$50000,C1590,全馬データ!$D$2:$D$50000,E1590)))</f>
        <v/>
      </c>
      <c r="AP1590" s="8" t="str">
        <f aca="false">IF(A1590="","",IF(AO1590="","欠損",IF(AO1590&lt;=1.1,"1.0～1.1",IF(AO1590&lt;1.3,"1.2",IF(AO1590&lt;1.5,"1.3～1.4",IF(AO1590&lt;2,"1.5～1.9","2.0以上"))))))</f>
        <v/>
      </c>
      <c r="AQ1590" s="8" t="str">
        <f aca="false">IF(A1590="","",IF(ISNUMBER(SEARCH("2歳",Z1590)),"2歳戦",IF(ISNUMBER(SEARCH("3歳未勝利",Z1590)),"3歳未勝利",IF(ISNUMBER(SEARCH("未勝利",Z1590)),"その他未勝利",IF(ISNUMBER(SEARCH("G1",Z1590)),"G1",IF(ISNUMBER(SEARCH("G2",Z1590)),"G2",IF(ISNUMBER(SEARCH("G3",Z1590)),"G3",IF(ISNUMBER(SEARCH("古馬条件",Z1590)),"古馬条件戦",IF(ISNUMBER(SEARCH("重賞",Z1590)),"重賞","分類不能")))))))))</f>
        <v/>
      </c>
    </row>
    <row r="1591" customFormat="false" ht="15.75" hidden="false" customHeight="false" outlineLevel="0" collapsed="false">
      <c r="AO1591" s="8" t="str">
        <f aca="false">IF(A1591="","",IF(COUNTIFS(全馬データ!$A$2:$A$50000,A1591,全馬データ!$B$2:$B$50000,B1591,全馬データ!$C$2:$C$50000,C1591,全馬データ!$D$2:$D$50000,E1591,全馬データ!$K$2:$K$50000,"&lt;&gt;")=0,"",SUMIFS(全馬データ!$K$2:$K$50000,全馬データ!$A$2:$A$50000,A1591,全馬データ!$B$2:$B$50000,B1591,全馬データ!$C$2:$C$50000,C1591,全馬データ!$D$2:$D$50000,E1591)))</f>
        <v/>
      </c>
      <c r="AP1591" s="8" t="str">
        <f aca="false">IF(A1591="","",IF(AO1591="","欠損",IF(AO1591&lt;=1.1,"1.0～1.1",IF(AO1591&lt;1.3,"1.2",IF(AO1591&lt;1.5,"1.3～1.4",IF(AO1591&lt;2,"1.5～1.9","2.0以上"))))))</f>
        <v/>
      </c>
      <c r="AQ1591" s="8" t="str">
        <f aca="false">IF(A1591="","",IF(ISNUMBER(SEARCH("2歳",Z1591)),"2歳戦",IF(ISNUMBER(SEARCH("3歳未勝利",Z1591)),"3歳未勝利",IF(ISNUMBER(SEARCH("未勝利",Z1591)),"その他未勝利",IF(ISNUMBER(SEARCH("G1",Z1591)),"G1",IF(ISNUMBER(SEARCH("G2",Z1591)),"G2",IF(ISNUMBER(SEARCH("G3",Z1591)),"G3",IF(ISNUMBER(SEARCH("古馬条件",Z1591)),"古馬条件戦",IF(ISNUMBER(SEARCH("重賞",Z1591)),"重賞","分類不能")))))))))</f>
        <v/>
      </c>
    </row>
    <row r="1592" customFormat="false" ht="15.75" hidden="false" customHeight="false" outlineLevel="0" collapsed="false">
      <c r="AO1592" s="8" t="str">
        <f aca="false">IF(A1592="","",IF(COUNTIFS(全馬データ!$A$2:$A$50000,A1592,全馬データ!$B$2:$B$50000,B1592,全馬データ!$C$2:$C$50000,C1592,全馬データ!$D$2:$D$50000,E1592,全馬データ!$K$2:$K$50000,"&lt;&gt;")=0,"",SUMIFS(全馬データ!$K$2:$K$50000,全馬データ!$A$2:$A$50000,A1592,全馬データ!$B$2:$B$50000,B1592,全馬データ!$C$2:$C$50000,C1592,全馬データ!$D$2:$D$50000,E1592)))</f>
        <v/>
      </c>
      <c r="AP1592" s="8" t="str">
        <f aca="false">IF(A1592="","",IF(AO1592="","欠損",IF(AO1592&lt;=1.1,"1.0～1.1",IF(AO1592&lt;1.3,"1.2",IF(AO1592&lt;1.5,"1.3～1.4",IF(AO1592&lt;2,"1.5～1.9","2.0以上"))))))</f>
        <v/>
      </c>
      <c r="AQ1592" s="8" t="str">
        <f aca="false">IF(A1592="","",IF(ISNUMBER(SEARCH("2歳",Z1592)),"2歳戦",IF(ISNUMBER(SEARCH("3歳未勝利",Z1592)),"3歳未勝利",IF(ISNUMBER(SEARCH("未勝利",Z1592)),"その他未勝利",IF(ISNUMBER(SEARCH("G1",Z1592)),"G1",IF(ISNUMBER(SEARCH("G2",Z1592)),"G2",IF(ISNUMBER(SEARCH("G3",Z1592)),"G3",IF(ISNUMBER(SEARCH("古馬条件",Z1592)),"古馬条件戦",IF(ISNUMBER(SEARCH("重賞",Z1592)),"重賞","分類不能")))))))))</f>
        <v/>
      </c>
    </row>
    <row r="1593" customFormat="false" ht="15.75" hidden="false" customHeight="false" outlineLevel="0" collapsed="false">
      <c r="AO1593" s="8" t="str">
        <f aca="false">IF(A1593="","",IF(COUNTIFS(全馬データ!$A$2:$A$50000,A1593,全馬データ!$B$2:$B$50000,B1593,全馬データ!$C$2:$C$50000,C1593,全馬データ!$D$2:$D$50000,E1593,全馬データ!$K$2:$K$50000,"&lt;&gt;")=0,"",SUMIFS(全馬データ!$K$2:$K$50000,全馬データ!$A$2:$A$50000,A1593,全馬データ!$B$2:$B$50000,B1593,全馬データ!$C$2:$C$50000,C1593,全馬データ!$D$2:$D$50000,E1593)))</f>
        <v/>
      </c>
      <c r="AP1593" s="8" t="str">
        <f aca="false">IF(A1593="","",IF(AO1593="","欠損",IF(AO1593&lt;=1.1,"1.0～1.1",IF(AO1593&lt;1.3,"1.2",IF(AO1593&lt;1.5,"1.3～1.4",IF(AO1593&lt;2,"1.5～1.9","2.0以上"))))))</f>
        <v/>
      </c>
      <c r="AQ1593" s="8" t="str">
        <f aca="false">IF(A1593="","",IF(ISNUMBER(SEARCH("2歳",Z1593)),"2歳戦",IF(ISNUMBER(SEARCH("3歳未勝利",Z1593)),"3歳未勝利",IF(ISNUMBER(SEARCH("未勝利",Z1593)),"その他未勝利",IF(ISNUMBER(SEARCH("G1",Z1593)),"G1",IF(ISNUMBER(SEARCH("G2",Z1593)),"G2",IF(ISNUMBER(SEARCH("G3",Z1593)),"G3",IF(ISNUMBER(SEARCH("古馬条件",Z1593)),"古馬条件戦",IF(ISNUMBER(SEARCH("重賞",Z1593)),"重賞","分類不能")))))))))</f>
        <v/>
      </c>
    </row>
    <row r="1594" customFormat="false" ht="15.75" hidden="false" customHeight="false" outlineLevel="0" collapsed="false">
      <c r="AO1594" s="8" t="str">
        <f aca="false">IF(A1594="","",IF(COUNTIFS(全馬データ!$A$2:$A$50000,A1594,全馬データ!$B$2:$B$50000,B1594,全馬データ!$C$2:$C$50000,C1594,全馬データ!$D$2:$D$50000,E1594,全馬データ!$K$2:$K$50000,"&lt;&gt;")=0,"",SUMIFS(全馬データ!$K$2:$K$50000,全馬データ!$A$2:$A$50000,A1594,全馬データ!$B$2:$B$50000,B1594,全馬データ!$C$2:$C$50000,C1594,全馬データ!$D$2:$D$50000,E1594)))</f>
        <v/>
      </c>
      <c r="AP1594" s="8" t="str">
        <f aca="false">IF(A1594="","",IF(AO1594="","欠損",IF(AO1594&lt;=1.1,"1.0～1.1",IF(AO1594&lt;1.3,"1.2",IF(AO1594&lt;1.5,"1.3～1.4",IF(AO1594&lt;2,"1.5～1.9","2.0以上"))))))</f>
        <v/>
      </c>
      <c r="AQ1594" s="8" t="str">
        <f aca="false">IF(A1594="","",IF(ISNUMBER(SEARCH("2歳",Z1594)),"2歳戦",IF(ISNUMBER(SEARCH("3歳未勝利",Z1594)),"3歳未勝利",IF(ISNUMBER(SEARCH("未勝利",Z1594)),"その他未勝利",IF(ISNUMBER(SEARCH("G1",Z1594)),"G1",IF(ISNUMBER(SEARCH("G2",Z1594)),"G2",IF(ISNUMBER(SEARCH("G3",Z1594)),"G3",IF(ISNUMBER(SEARCH("古馬条件",Z1594)),"古馬条件戦",IF(ISNUMBER(SEARCH("重賞",Z1594)),"重賞","分類不能")))))))))</f>
        <v/>
      </c>
    </row>
    <row r="1595" customFormat="false" ht="15.75" hidden="false" customHeight="false" outlineLevel="0" collapsed="false">
      <c r="AO1595" s="8" t="str">
        <f aca="false">IF(A1595="","",IF(COUNTIFS(全馬データ!$A$2:$A$50000,A1595,全馬データ!$B$2:$B$50000,B1595,全馬データ!$C$2:$C$50000,C1595,全馬データ!$D$2:$D$50000,E1595,全馬データ!$K$2:$K$50000,"&lt;&gt;")=0,"",SUMIFS(全馬データ!$K$2:$K$50000,全馬データ!$A$2:$A$50000,A1595,全馬データ!$B$2:$B$50000,B1595,全馬データ!$C$2:$C$50000,C1595,全馬データ!$D$2:$D$50000,E1595)))</f>
        <v/>
      </c>
      <c r="AP1595" s="8" t="str">
        <f aca="false">IF(A1595="","",IF(AO1595="","欠損",IF(AO1595&lt;=1.1,"1.0～1.1",IF(AO1595&lt;1.3,"1.2",IF(AO1595&lt;1.5,"1.3～1.4",IF(AO1595&lt;2,"1.5～1.9","2.0以上"))))))</f>
        <v/>
      </c>
      <c r="AQ1595" s="8" t="str">
        <f aca="false">IF(A1595="","",IF(ISNUMBER(SEARCH("2歳",Z1595)),"2歳戦",IF(ISNUMBER(SEARCH("3歳未勝利",Z1595)),"3歳未勝利",IF(ISNUMBER(SEARCH("未勝利",Z1595)),"その他未勝利",IF(ISNUMBER(SEARCH("G1",Z1595)),"G1",IF(ISNUMBER(SEARCH("G2",Z1595)),"G2",IF(ISNUMBER(SEARCH("G3",Z1595)),"G3",IF(ISNUMBER(SEARCH("古馬条件",Z1595)),"古馬条件戦",IF(ISNUMBER(SEARCH("重賞",Z1595)),"重賞","分類不能")))))))))</f>
        <v/>
      </c>
    </row>
    <row r="1596" customFormat="false" ht="15.75" hidden="false" customHeight="false" outlineLevel="0" collapsed="false">
      <c r="AO1596" s="8" t="str">
        <f aca="false">IF(A1596="","",IF(COUNTIFS(全馬データ!$A$2:$A$50000,A1596,全馬データ!$B$2:$B$50000,B1596,全馬データ!$C$2:$C$50000,C1596,全馬データ!$D$2:$D$50000,E1596,全馬データ!$K$2:$K$50000,"&lt;&gt;")=0,"",SUMIFS(全馬データ!$K$2:$K$50000,全馬データ!$A$2:$A$50000,A1596,全馬データ!$B$2:$B$50000,B1596,全馬データ!$C$2:$C$50000,C1596,全馬データ!$D$2:$D$50000,E1596)))</f>
        <v/>
      </c>
      <c r="AP1596" s="8" t="str">
        <f aca="false">IF(A1596="","",IF(AO1596="","欠損",IF(AO1596&lt;=1.1,"1.0～1.1",IF(AO1596&lt;1.3,"1.2",IF(AO1596&lt;1.5,"1.3～1.4",IF(AO1596&lt;2,"1.5～1.9","2.0以上"))))))</f>
        <v/>
      </c>
      <c r="AQ1596" s="8" t="str">
        <f aca="false">IF(A1596="","",IF(ISNUMBER(SEARCH("2歳",Z1596)),"2歳戦",IF(ISNUMBER(SEARCH("3歳未勝利",Z1596)),"3歳未勝利",IF(ISNUMBER(SEARCH("未勝利",Z1596)),"その他未勝利",IF(ISNUMBER(SEARCH("G1",Z1596)),"G1",IF(ISNUMBER(SEARCH("G2",Z1596)),"G2",IF(ISNUMBER(SEARCH("G3",Z1596)),"G3",IF(ISNUMBER(SEARCH("古馬条件",Z1596)),"古馬条件戦",IF(ISNUMBER(SEARCH("重賞",Z1596)),"重賞","分類不能")))))))))</f>
        <v/>
      </c>
    </row>
    <row r="1597" customFormat="false" ht="15.75" hidden="false" customHeight="false" outlineLevel="0" collapsed="false">
      <c r="AO1597" s="8" t="str">
        <f aca="false">IF(A1597="","",IF(COUNTIFS(全馬データ!$A$2:$A$50000,A1597,全馬データ!$B$2:$B$50000,B1597,全馬データ!$C$2:$C$50000,C1597,全馬データ!$D$2:$D$50000,E1597,全馬データ!$K$2:$K$50000,"&lt;&gt;")=0,"",SUMIFS(全馬データ!$K$2:$K$50000,全馬データ!$A$2:$A$50000,A1597,全馬データ!$B$2:$B$50000,B1597,全馬データ!$C$2:$C$50000,C1597,全馬データ!$D$2:$D$50000,E1597)))</f>
        <v/>
      </c>
      <c r="AP1597" s="8" t="str">
        <f aca="false">IF(A1597="","",IF(AO1597="","欠損",IF(AO1597&lt;=1.1,"1.0～1.1",IF(AO1597&lt;1.3,"1.2",IF(AO1597&lt;1.5,"1.3～1.4",IF(AO1597&lt;2,"1.5～1.9","2.0以上"))))))</f>
        <v/>
      </c>
      <c r="AQ1597" s="8" t="str">
        <f aca="false">IF(A1597="","",IF(ISNUMBER(SEARCH("2歳",Z1597)),"2歳戦",IF(ISNUMBER(SEARCH("3歳未勝利",Z1597)),"3歳未勝利",IF(ISNUMBER(SEARCH("未勝利",Z1597)),"その他未勝利",IF(ISNUMBER(SEARCH("G1",Z1597)),"G1",IF(ISNUMBER(SEARCH("G2",Z1597)),"G2",IF(ISNUMBER(SEARCH("G3",Z1597)),"G3",IF(ISNUMBER(SEARCH("古馬条件",Z1597)),"古馬条件戦",IF(ISNUMBER(SEARCH("重賞",Z1597)),"重賞","分類不能")))))))))</f>
        <v/>
      </c>
    </row>
    <row r="1598" customFormat="false" ht="15.75" hidden="false" customHeight="false" outlineLevel="0" collapsed="false">
      <c r="AO1598" s="8" t="str">
        <f aca="false">IF(A1598="","",IF(COUNTIFS(全馬データ!$A$2:$A$50000,A1598,全馬データ!$B$2:$B$50000,B1598,全馬データ!$C$2:$C$50000,C1598,全馬データ!$D$2:$D$50000,E1598,全馬データ!$K$2:$K$50000,"&lt;&gt;")=0,"",SUMIFS(全馬データ!$K$2:$K$50000,全馬データ!$A$2:$A$50000,A1598,全馬データ!$B$2:$B$50000,B1598,全馬データ!$C$2:$C$50000,C1598,全馬データ!$D$2:$D$50000,E1598)))</f>
        <v/>
      </c>
      <c r="AP1598" s="8" t="str">
        <f aca="false">IF(A1598="","",IF(AO1598="","欠損",IF(AO1598&lt;=1.1,"1.0～1.1",IF(AO1598&lt;1.3,"1.2",IF(AO1598&lt;1.5,"1.3～1.4",IF(AO1598&lt;2,"1.5～1.9","2.0以上"))))))</f>
        <v/>
      </c>
      <c r="AQ1598" s="8" t="str">
        <f aca="false">IF(A1598="","",IF(ISNUMBER(SEARCH("2歳",Z1598)),"2歳戦",IF(ISNUMBER(SEARCH("3歳未勝利",Z1598)),"3歳未勝利",IF(ISNUMBER(SEARCH("未勝利",Z1598)),"その他未勝利",IF(ISNUMBER(SEARCH("G1",Z1598)),"G1",IF(ISNUMBER(SEARCH("G2",Z1598)),"G2",IF(ISNUMBER(SEARCH("G3",Z1598)),"G3",IF(ISNUMBER(SEARCH("古馬条件",Z1598)),"古馬条件戦",IF(ISNUMBER(SEARCH("重賞",Z1598)),"重賞","分類不能")))))))))</f>
        <v/>
      </c>
    </row>
    <row r="1599" customFormat="false" ht="15.75" hidden="false" customHeight="false" outlineLevel="0" collapsed="false">
      <c r="AO1599" s="8" t="str">
        <f aca="false">IF(A1599="","",IF(COUNTIFS(全馬データ!$A$2:$A$50000,A1599,全馬データ!$B$2:$B$50000,B1599,全馬データ!$C$2:$C$50000,C1599,全馬データ!$D$2:$D$50000,E1599,全馬データ!$K$2:$K$50000,"&lt;&gt;")=0,"",SUMIFS(全馬データ!$K$2:$K$50000,全馬データ!$A$2:$A$50000,A1599,全馬データ!$B$2:$B$50000,B1599,全馬データ!$C$2:$C$50000,C1599,全馬データ!$D$2:$D$50000,E1599)))</f>
        <v/>
      </c>
      <c r="AP1599" s="8" t="str">
        <f aca="false">IF(A1599="","",IF(AO1599="","欠損",IF(AO1599&lt;=1.1,"1.0～1.1",IF(AO1599&lt;1.3,"1.2",IF(AO1599&lt;1.5,"1.3～1.4",IF(AO1599&lt;2,"1.5～1.9","2.0以上"))))))</f>
        <v/>
      </c>
      <c r="AQ1599" s="8" t="str">
        <f aca="false">IF(A1599="","",IF(ISNUMBER(SEARCH("2歳",Z1599)),"2歳戦",IF(ISNUMBER(SEARCH("3歳未勝利",Z1599)),"3歳未勝利",IF(ISNUMBER(SEARCH("未勝利",Z1599)),"その他未勝利",IF(ISNUMBER(SEARCH("G1",Z1599)),"G1",IF(ISNUMBER(SEARCH("G2",Z1599)),"G2",IF(ISNUMBER(SEARCH("G3",Z1599)),"G3",IF(ISNUMBER(SEARCH("古馬条件",Z1599)),"古馬条件戦",IF(ISNUMBER(SEARCH("重賞",Z1599)),"重賞","分類不能")))))))))</f>
        <v/>
      </c>
    </row>
    <row r="1600" customFormat="false" ht="15.75" hidden="false" customHeight="false" outlineLevel="0" collapsed="false">
      <c r="AO1600" s="8" t="str">
        <f aca="false">IF(A1600="","",IF(COUNTIFS(全馬データ!$A$2:$A$50000,A1600,全馬データ!$B$2:$B$50000,B1600,全馬データ!$C$2:$C$50000,C1600,全馬データ!$D$2:$D$50000,E1600,全馬データ!$K$2:$K$50000,"&lt;&gt;")=0,"",SUMIFS(全馬データ!$K$2:$K$50000,全馬データ!$A$2:$A$50000,A1600,全馬データ!$B$2:$B$50000,B1600,全馬データ!$C$2:$C$50000,C1600,全馬データ!$D$2:$D$50000,E1600)))</f>
        <v/>
      </c>
      <c r="AP1600" s="8" t="str">
        <f aca="false">IF(A1600="","",IF(AO1600="","欠損",IF(AO1600&lt;=1.1,"1.0～1.1",IF(AO1600&lt;1.3,"1.2",IF(AO1600&lt;1.5,"1.3～1.4",IF(AO1600&lt;2,"1.5～1.9","2.0以上"))))))</f>
        <v/>
      </c>
      <c r="AQ1600" s="8" t="str">
        <f aca="false">IF(A1600="","",IF(ISNUMBER(SEARCH("2歳",Z1600)),"2歳戦",IF(ISNUMBER(SEARCH("3歳未勝利",Z1600)),"3歳未勝利",IF(ISNUMBER(SEARCH("未勝利",Z1600)),"その他未勝利",IF(ISNUMBER(SEARCH("G1",Z1600)),"G1",IF(ISNUMBER(SEARCH("G2",Z1600)),"G2",IF(ISNUMBER(SEARCH("G3",Z1600)),"G3",IF(ISNUMBER(SEARCH("古馬条件",Z1600)),"古馬条件戦",IF(ISNUMBER(SEARCH("重賞",Z1600)),"重賞","分類不能")))))))))</f>
        <v/>
      </c>
    </row>
    <row r="1601" customFormat="false" ht="15.75" hidden="false" customHeight="false" outlineLevel="0" collapsed="false">
      <c r="AO1601" s="8" t="str">
        <f aca="false">IF(A1601="","",IF(COUNTIFS(全馬データ!$A$2:$A$50000,A1601,全馬データ!$B$2:$B$50000,B1601,全馬データ!$C$2:$C$50000,C1601,全馬データ!$D$2:$D$50000,E1601,全馬データ!$K$2:$K$50000,"&lt;&gt;")=0,"",SUMIFS(全馬データ!$K$2:$K$50000,全馬データ!$A$2:$A$50000,A1601,全馬データ!$B$2:$B$50000,B1601,全馬データ!$C$2:$C$50000,C1601,全馬データ!$D$2:$D$50000,E1601)))</f>
        <v/>
      </c>
      <c r="AP1601" s="8" t="str">
        <f aca="false">IF(A1601="","",IF(AO1601="","欠損",IF(AO1601&lt;=1.1,"1.0～1.1",IF(AO1601&lt;1.3,"1.2",IF(AO1601&lt;1.5,"1.3～1.4",IF(AO1601&lt;2,"1.5～1.9","2.0以上"))))))</f>
        <v/>
      </c>
      <c r="AQ1601" s="8" t="str">
        <f aca="false">IF(A1601="","",IF(ISNUMBER(SEARCH("2歳",Z1601)),"2歳戦",IF(ISNUMBER(SEARCH("3歳未勝利",Z1601)),"3歳未勝利",IF(ISNUMBER(SEARCH("未勝利",Z1601)),"その他未勝利",IF(ISNUMBER(SEARCH("G1",Z1601)),"G1",IF(ISNUMBER(SEARCH("G2",Z1601)),"G2",IF(ISNUMBER(SEARCH("G3",Z1601)),"G3",IF(ISNUMBER(SEARCH("古馬条件",Z1601)),"古馬条件戦",IF(ISNUMBER(SEARCH("重賞",Z1601)),"重賞","分類不能")))))))))</f>
        <v/>
      </c>
    </row>
    <row r="1602" customFormat="false" ht="15.75" hidden="false" customHeight="false" outlineLevel="0" collapsed="false">
      <c r="AO1602" s="8" t="str">
        <f aca="false">IF(A1602="","",IF(COUNTIFS(全馬データ!$A$2:$A$50000,A1602,全馬データ!$B$2:$B$50000,B1602,全馬データ!$C$2:$C$50000,C1602,全馬データ!$D$2:$D$50000,E1602,全馬データ!$K$2:$K$50000,"&lt;&gt;")=0,"",SUMIFS(全馬データ!$K$2:$K$50000,全馬データ!$A$2:$A$50000,A1602,全馬データ!$B$2:$B$50000,B1602,全馬データ!$C$2:$C$50000,C1602,全馬データ!$D$2:$D$50000,E1602)))</f>
        <v/>
      </c>
      <c r="AP1602" s="8" t="str">
        <f aca="false">IF(A1602="","",IF(AO1602="","欠損",IF(AO1602&lt;=1.1,"1.0～1.1",IF(AO1602&lt;1.3,"1.2",IF(AO1602&lt;1.5,"1.3～1.4",IF(AO1602&lt;2,"1.5～1.9","2.0以上"))))))</f>
        <v/>
      </c>
      <c r="AQ1602" s="8" t="str">
        <f aca="false">IF(A1602="","",IF(ISNUMBER(SEARCH("2歳",Z1602)),"2歳戦",IF(ISNUMBER(SEARCH("3歳未勝利",Z1602)),"3歳未勝利",IF(ISNUMBER(SEARCH("未勝利",Z1602)),"その他未勝利",IF(ISNUMBER(SEARCH("G1",Z1602)),"G1",IF(ISNUMBER(SEARCH("G2",Z1602)),"G2",IF(ISNUMBER(SEARCH("G3",Z1602)),"G3",IF(ISNUMBER(SEARCH("古馬条件",Z1602)),"古馬条件戦",IF(ISNUMBER(SEARCH("重賞",Z1602)),"重賞","分類不能")))))))))</f>
        <v/>
      </c>
    </row>
    <row r="1603" customFormat="false" ht="15.75" hidden="false" customHeight="false" outlineLevel="0" collapsed="false">
      <c r="AO1603" s="8" t="str">
        <f aca="false">IF(A1603="","",IF(COUNTIFS(全馬データ!$A$2:$A$50000,A1603,全馬データ!$B$2:$B$50000,B1603,全馬データ!$C$2:$C$50000,C1603,全馬データ!$D$2:$D$50000,E1603,全馬データ!$K$2:$K$50000,"&lt;&gt;")=0,"",SUMIFS(全馬データ!$K$2:$K$50000,全馬データ!$A$2:$A$50000,A1603,全馬データ!$B$2:$B$50000,B1603,全馬データ!$C$2:$C$50000,C1603,全馬データ!$D$2:$D$50000,E1603)))</f>
        <v/>
      </c>
      <c r="AP1603" s="8" t="str">
        <f aca="false">IF(A1603="","",IF(AO1603="","欠損",IF(AO1603&lt;=1.1,"1.0～1.1",IF(AO1603&lt;1.3,"1.2",IF(AO1603&lt;1.5,"1.3～1.4",IF(AO1603&lt;2,"1.5～1.9","2.0以上"))))))</f>
        <v/>
      </c>
      <c r="AQ1603" s="8" t="str">
        <f aca="false">IF(A1603="","",IF(ISNUMBER(SEARCH("2歳",Z1603)),"2歳戦",IF(ISNUMBER(SEARCH("3歳未勝利",Z1603)),"3歳未勝利",IF(ISNUMBER(SEARCH("未勝利",Z1603)),"その他未勝利",IF(ISNUMBER(SEARCH("G1",Z1603)),"G1",IF(ISNUMBER(SEARCH("G2",Z1603)),"G2",IF(ISNUMBER(SEARCH("G3",Z1603)),"G3",IF(ISNUMBER(SEARCH("古馬条件",Z1603)),"古馬条件戦",IF(ISNUMBER(SEARCH("重賞",Z1603)),"重賞","分類不能")))))))))</f>
        <v/>
      </c>
    </row>
    <row r="1604" customFormat="false" ht="15.75" hidden="false" customHeight="false" outlineLevel="0" collapsed="false">
      <c r="AO1604" s="8" t="str">
        <f aca="false">IF(A1604="","",IF(COUNTIFS(全馬データ!$A$2:$A$50000,A1604,全馬データ!$B$2:$B$50000,B1604,全馬データ!$C$2:$C$50000,C1604,全馬データ!$D$2:$D$50000,E1604,全馬データ!$K$2:$K$50000,"&lt;&gt;")=0,"",SUMIFS(全馬データ!$K$2:$K$50000,全馬データ!$A$2:$A$50000,A1604,全馬データ!$B$2:$B$50000,B1604,全馬データ!$C$2:$C$50000,C1604,全馬データ!$D$2:$D$50000,E1604)))</f>
        <v/>
      </c>
      <c r="AP1604" s="8" t="str">
        <f aca="false">IF(A1604="","",IF(AO1604="","欠損",IF(AO1604&lt;=1.1,"1.0～1.1",IF(AO1604&lt;1.3,"1.2",IF(AO1604&lt;1.5,"1.3～1.4",IF(AO1604&lt;2,"1.5～1.9","2.0以上"))))))</f>
        <v/>
      </c>
      <c r="AQ1604" s="8" t="str">
        <f aca="false">IF(A1604="","",IF(ISNUMBER(SEARCH("2歳",Z1604)),"2歳戦",IF(ISNUMBER(SEARCH("3歳未勝利",Z1604)),"3歳未勝利",IF(ISNUMBER(SEARCH("未勝利",Z1604)),"その他未勝利",IF(ISNUMBER(SEARCH("G1",Z1604)),"G1",IF(ISNUMBER(SEARCH("G2",Z1604)),"G2",IF(ISNUMBER(SEARCH("G3",Z1604)),"G3",IF(ISNUMBER(SEARCH("古馬条件",Z1604)),"古馬条件戦",IF(ISNUMBER(SEARCH("重賞",Z1604)),"重賞","分類不能")))))))))</f>
        <v/>
      </c>
    </row>
    <row r="1605" customFormat="false" ht="15.75" hidden="false" customHeight="false" outlineLevel="0" collapsed="false">
      <c r="AO1605" s="8" t="str">
        <f aca="false">IF(A1605="","",IF(COUNTIFS(全馬データ!$A$2:$A$50000,A1605,全馬データ!$B$2:$B$50000,B1605,全馬データ!$C$2:$C$50000,C1605,全馬データ!$D$2:$D$50000,E1605,全馬データ!$K$2:$K$50000,"&lt;&gt;")=0,"",SUMIFS(全馬データ!$K$2:$K$50000,全馬データ!$A$2:$A$50000,A1605,全馬データ!$B$2:$B$50000,B1605,全馬データ!$C$2:$C$50000,C1605,全馬データ!$D$2:$D$50000,E1605)))</f>
        <v/>
      </c>
      <c r="AP1605" s="8" t="str">
        <f aca="false">IF(A1605="","",IF(AO1605="","欠損",IF(AO1605&lt;=1.1,"1.0～1.1",IF(AO1605&lt;1.3,"1.2",IF(AO1605&lt;1.5,"1.3～1.4",IF(AO1605&lt;2,"1.5～1.9","2.0以上"))))))</f>
        <v/>
      </c>
      <c r="AQ1605" s="8" t="str">
        <f aca="false">IF(A1605="","",IF(ISNUMBER(SEARCH("2歳",Z1605)),"2歳戦",IF(ISNUMBER(SEARCH("3歳未勝利",Z1605)),"3歳未勝利",IF(ISNUMBER(SEARCH("未勝利",Z1605)),"その他未勝利",IF(ISNUMBER(SEARCH("G1",Z1605)),"G1",IF(ISNUMBER(SEARCH("G2",Z1605)),"G2",IF(ISNUMBER(SEARCH("G3",Z1605)),"G3",IF(ISNUMBER(SEARCH("古馬条件",Z1605)),"古馬条件戦",IF(ISNUMBER(SEARCH("重賞",Z1605)),"重賞","分類不能")))))))))</f>
        <v/>
      </c>
    </row>
    <row r="1606" customFormat="false" ht="15.75" hidden="false" customHeight="false" outlineLevel="0" collapsed="false">
      <c r="AO1606" s="8" t="str">
        <f aca="false">IF(A1606="","",IF(COUNTIFS(全馬データ!$A$2:$A$50000,A1606,全馬データ!$B$2:$B$50000,B1606,全馬データ!$C$2:$C$50000,C1606,全馬データ!$D$2:$D$50000,E1606,全馬データ!$K$2:$K$50000,"&lt;&gt;")=0,"",SUMIFS(全馬データ!$K$2:$K$50000,全馬データ!$A$2:$A$50000,A1606,全馬データ!$B$2:$B$50000,B1606,全馬データ!$C$2:$C$50000,C1606,全馬データ!$D$2:$D$50000,E1606)))</f>
        <v/>
      </c>
      <c r="AP1606" s="8" t="str">
        <f aca="false">IF(A1606="","",IF(AO1606="","欠損",IF(AO1606&lt;=1.1,"1.0～1.1",IF(AO1606&lt;1.3,"1.2",IF(AO1606&lt;1.5,"1.3～1.4",IF(AO1606&lt;2,"1.5～1.9","2.0以上"))))))</f>
        <v/>
      </c>
      <c r="AQ1606" s="8" t="str">
        <f aca="false">IF(A1606="","",IF(ISNUMBER(SEARCH("2歳",Z1606)),"2歳戦",IF(ISNUMBER(SEARCH("3歳未勝利",Z1606)),"3歳未勝利",IF(ISNUMBER(SEARCH("未勝利",Z1606)),"その他未勝利",IF(ISNUMBER(SEARCH("G1",Z1606)),"G1",IF(ISNUMBER(SEARCH("G2",Z1606)),"G2",IF(ISNUMBER(SEARCH("G3",Z1606)),"G3",IF(ISNUMBER(SEARCH("古馬条件",Z1606)),"古馬条件戦",IF(ISNUMBER(SEARCH("重賞",Z1606)),"重賞","分類不能")))))))))</f>
        <v/>
      </c>
    </row>
    <row r="1607" customFormat="false" ht="15.75" hidden="false" customHeight="false" outlineLevel="0" collapsed="false">
      <c r="AO1607" s="8" t="str">
        <f aca="false">IF(A1607="","",IF(COUNTIFS(全馬データ!$A$2:$A$50000,A1607,全馬データ!$B$2:$B$50000,B1607,全馬データ!$C$2:$C$50000,C1607,全馬データ!$D$2:$D$50000,E1607,全馬データ!$K$2:$K$50000,"&lt;&gt;")=0,"",SUMIFS(全馬データ!$K$2:$K$50000,全馬データ!$A$2:$A$50000,A1607,全馬データ!$B$2:$B$50000,B1607,全馬データ!$C$2:$C$50000,C1607,全馬データ!$D$2:$D$50000,E1607)))</f>
        <v/>
      </c>
      <c r="AP1607" s="8" t="str">
        <f aca="false">IF(A1607="","",IF(AO1607="","欠損",IF(AO1607&lt;=1.1,"1.0～1.1",IF(AO1607&lt;1.3,"1.2",IF(AO1607&lt;1.5,"1.3～1.4",IF(AO1607&lt;2,"1.5～1.9","2.0以上"))))))</f>
        <v/>
      </c>
      <c r="AQ1607" s="8" t="str">
        <f aca="false">IF(A1607="","",IF(ISNUMBER(SEARCH("2歳",Z1607)),"2歳戦",IF(ISNUMBER(SEARCH("3歳未勝利",Z1607)),"3歳未勝利",IF(ISNUMBER(SEARCH("未勝利",Z1607)),"その他未勝利",IF(ISNUMBER(SEARCH("G1",Z1607)),"G1",IF(ISNUMBER(SEARCH("G2",Z1607)),"G2",IF(ISNUMBER(SEARCH("G3",Z1607)),"G3",IF(ISNUMBER(SEARCH("古馬条件",Z1607)),"古馬条件戦",IF(ISNUMBER(SEARCH("重賞",Z1607)),"重賞","分類不能")))))))))</f>
        <v/>
      </c>
    </row>
    <row r="1608" customFormat="false" ht="15.75" hidden="false" customHeight="false" outlineLevel="0" collapsed="false">
      <c r="AO1608" s="8" t="str">
        <f aca="false">IF(A1608="","",IF(COUNTIFS(全馬データ!$A$2:$A$50000,A1608,全馬データ!$B$2:$B$50000,B1608,全馬データ!$C$2:$C$50000,C1608,全馬データ!$D$2:$D$50000,E1608,全馬データ!$K$2:$K$50000,"&lt;&gt;")=0,"",SUMIFS(全馬データ!$K$2:$K$50000,全馬データ!$A$2:$A$50000,A1608,全馬データ!$B$2:$B$50000,B1608,全馬データ!$C$2:$C$50000,C1608,全馬データ!$D$2:$D$50000,E1608)))</f>
        <v/>
      </c>
      <c r="AP1608" s="8" t="str">
        <f aca="false">IF(A1608="","",IF(AO1608="","欠損",IF(AO1608&lt;=1.1,"1.0～1.1",IF(AO1608&lt;1.3,"1.2",IF(AO1608&lt;1.5,"1.3～1.4",IF(AO1608&lt;2,"1.5～1.9","2.0以上"))))))</f>
        <v/>
      </c>
      <c r="AQ1608" s="8" t="str">
        <f aca="false">IF(A1608="","",IF(ISNUMBER(SEARCH("2歳",Z1608)),"2歳戦",IF(ISNUMBER(SEARCH("3歳未勝利",Z1608)),"3歳未勝利",IF(ISNUMBER(SEARCH("未勝利",Z1608)),"その他未勝利",IF(ISNUMBER(SEARCH("G1",Z1608)),"G1",IF(ISNUMBER(SEARCH("G2",Z1608)),"G2",IF(ISNUMBER(SEARCH("G3",Z1608)),"G3",IF(ISNUMBER(SEARCH("古馬条件",Z1608)),"古馬条件戦",IF(ISNUMBER(SEARCH("重賞",Z1608)),"重賞","分類不能")))))))))</f>
        <v/>
      </c>
    </row>
    <row r="1609" customFormat="false" ht="15.75" hidden="false" customHeight="false" outlineLevel="0" collapsed="false">
      <c r="AO1609" s="8" t="str">
        <f aca="false">IF(A1609="","",IF(COUNTIFS(全馬データ!$A$2:$A$50000,A1609,全馬データ!$B$2:$B$50000,B1609,全馬データ!$C$2:$C$50000,C1609,全馬データ!$D$2:$D$50000,E1609,全馬データ!$K$2:$K$50000,"&lt;&gt;")=0,"",SUMIFS(全馬データ!$K$2:$K$50000,全馬データ!$A$2:$A$50000,A1609,全馬データ!$B$2:$B$50000,B1609,全馬データ!$C$2:$C$50000,C1609,全馬データ!$D$2:$D$50000,E1609)))</f>
        <v/>
      </c>
      <c r="AP1609" s="8" t="str">
        <f aca="false">IF(A1609="","",IF(AO1609="","欠損",IF(AO1609&lt;=1.1,"1.0～1.1",IF(AO1609&lt;1.3,"1.2",IF(AO1609&lt;1.5,"1.3～1.4",IF(AO1609&lt;2,"1.5～1.9","2.0以上"))))))</f>
        <v/>
      </c>
      <c r="AQ1609" s="8" t="str">
        <f aca="false">IF(A1609="","",IF(ISNUMBER(SEARCH("2歳",Z1609)),"2歳戦",IF(ISNUMBER(SEARCH("3歳未勝利",Z1609)),"3歳未勝利",IF(ISNUMBER(SEARCH("未勝利",Z1609)),"その他未勝利",IF(ISNUMBER(SEARCH("G1",Z1609)),"G1",IF(ISNUMBER(SEARCH("G2",Z1609)),"G2",IF(ISNUMBER(SEARCH("G3",Z1609)),"G3",IF(ISNUMBER(SEARCH("古馬条件",Z1609)),"古馬条件戦",IF(ISNUMBER(SEARCH("重賞",Z1609)),"重賞","分類不能")))))))))</f>
        <v/>
      </c>
    </row>
    <row r="1610" customFormat="false" ht="15.75" hidden="false" customHeight="false" outlineLevel="0" collapsed="false">
      <c r="AO1610" s="8" t="str">
        <f aca="false">IF(A1610="","",IF(COUNTIFS(全馬データ!$A$2:$A$50000,A1610,全馬データ!$B$2:$B$50000,B1610,全馬データ!$C$2:$C$50000,C1610,全馬データ!$D$2:$D$50000,E1610,全馬データ!$K$2:$K$50000,"&lt;&gt;")=0,"",SUMIFS(全馬データ!$K$2:$K$50000,全馬データ!$A$2:$A$50000,A1610,全馬データ!$B$2:$B$50000,B1610,全馬データ!$C$2:$C$50000,C1610,全馬データ!$D$2:$D$50000,E1610)))</f>
        <v/>
      </c>
      <c r="AP1610" s="8" t="str">
        <f aca="false">IF(A1610="","",IF(AO1610="","欠損",IF(AO1610&lt;=1.1,"1.0～1.1",IF(AO1610&lt;1.3,"1.2",IF(AO1610&lt;1.5,"1.3～1.4",IF(AO1610&lt;2,"1.5～1.9","2.0以上"))))))</f>
        <v/>
      </c>
      <c r="AQ1610" s="8" t="str">
        <f aca="false">IF(A1610="","",IF(ISNUMBER(SEARCH("2歳",Z1610)),"2歳戦",IF(ISNUMBER(SEARCH("3歳未勝利",Z1610)),"3歳未勝利",IF(ISNUMBER(SEARCH("未勝利",Z1610)),"その他未勝利",IF(ISNUMBER(SEARCH("G1",Z1610)),"G1",IF(ISNUMBER(SEARCH("G2",Z1610)),"G2",IF(ISNUMBER(SEARCH("G3",Z1610)),"G3",IF(ISNUMBER(SEARCH("古馬条件",Z1610)),"古馬条件戦",IF(ISNUMBER(SEARCH("重賞",Z1610)),"重賞","分類不能")))))))))</f>
        <v/>
      </c>
    </row>
    <row r="1611" customFormat="false" ht="15.75" hidden="false" customHeight="false" outlineLevel="0" collapsed="false">
      <c r="AO1611" s="8" t="str">
        <f aca="false">IF(A1611="","",IF(COUNTIFS(全馬データ!$A$2:$A$50000,A1611,全馬データ!$B$2:$B$50000,B1611,全馬データ!$C$2:$C$50000,C1611,全馬データ!$D$2:$D$50000,E1611,全馬データ!$K$2:$K$50000,"&lt;&gt;")=0,"",SUMIFS(全馬データ!$K$2:$K$50000,全馬データ!$A$2:$A$50000,A1611,全馬データ!$B$2:$B$50000,B1611,全馬データ!$C$2:$C$50000,C1611,全馬データ!$D$2:$D$50000,E1611)))</f>
        <v/>
      </c>
      <c r="AP1611" s="8" t="str">
        <f aca="false">IF(A1611="","",IF(AO1611="","欠損",IF(AO1611&lt;=1.1,"1.0～1.1",IF(AO1611&lt;1.3,"1.2",IF(AO1611&lt;1.5,"1.3～1.4",IF(AO1611&lt;2,"1.5～1.9","2.0以上"))))))</f>
        <v/>
      </c>
      <c r="AQ1611" s="8" t="str">
        <f aca="false">IF(A1611="","",IF(ISNUMBER(SEARCH("2歳",Z1611)),"2歳戦",IF(ISNUMBER(SEARCH("3歳未勝利",Z1611)),"3歳未勝利",IF(ISNUMBER(SEARCH("未勝利",Z1611)),"その他未勝利",IF(ISNUMBER(SEARCH("G1",Z1611)),"G1",IF(ISNUMBER(SEARCH("G2",Z1611)),"G2",IF(ISNUMBER(SEARCH("G3",Z1611)),"G3",IF(ISNUMBER(SEARCH("古馬条件",Z1611)),"古馬条件戦",IF(ISNUMBER(SEARCH("重賞",Z1611)),"重賞","分類不能")))))))))</f>
        <v/>
      </c>
    </row>
    <row r="1612" customFormat="false" ht="15.75" hidden="false" customHeight="false" outlineLevel="0" collapsed="false">
      <c r="AO1612" s="8" t="str">
        <f aca="false">IF(A1612="","",IF(COUNTIFS(全馬データ!$A$2:$A$50000,A1612,全馬データ!$B$2:$B$50000,B1612,全馬データ!$C$2:$C$50000,C1612,全馬データ!$D$2:$D$50000,E1612,全馬データ!$K$2:$K$50000,"&lt;&gt;")=0,"",SUMIFS(全馬データ!$K$2:$K$50000,全馬データ!$A$2:$A$50000,A1612,全馬データ!$B$2:$B$50000,B1612,全馬データ!$C$2:$C$50000,C1612,全馬データ!$D$2:$D$50000,E1612)))</f>
        <v/>
      </c>
      <c r="AP1612" s="8" t="str">
        <f aca="false">IF(A1612="","",IF(AO1612="","欠損",IF(AO1612&lt;=1.1,"1.0～1.1",IF(AO1612&lt;1.3,"1.2",IF(AO1612&lt;1.5,"1.3～1.4",IF(AO1612&lt;2,"1.5～1.9","2.0以上"))))))</f>
        <v/>
      </c>
      <c r="AQ1612" s="8" t="str">
        <f aca="false">IF(A1612="","",IF(ISNUMBER(SEARCH("2歳",Z1612)),"2歳戦",IF(ISNUMBER(SEARCH("3歳未勝利",Z1612)),"3歳未勝利",IF(ISNUMBER(SEARCH("未勝利",Z1612)),"その他未勝利",IF(ISNUMBER(SEARCH("G1",Z1612)),"G1",IF(ISNUMBER(SEARCH("G2",Z1612)),"G2",IF(ISNUMBER(SEARCH("G3",Z1612)),"G3",IF(ISNUMBER(SEARCH("古馬条件",Z1612)),"古馬条件戦",IF(ISNUMBER(SEARCH("重賞",Z1612)),"重賞","分類不能")))))))))</f>
        <v/>
      </c>
    </row>
    <row r="1613" customFormat="false" ht="15.75" hidden="false" customHeight="false" outlineLevel="0" collapsed="false">
      <c r="AO1613" s="8" t="str">
        <f aca="false">IF(A1613="","",IF(COUNTIFS(全馬データ!$A$2:$A$50000,A1613,全馬データ!$B$2:$B$50000,B1613,全馬データ!$C$2:$C$50000,C1613,全馬データ!$D$2:$D$50000,E1613,全馬データ!$K$2:$K$50000,"&lt;&gt;")=0,"",SUMIFS(全馬データ!$K$2:$K$50000,全馬データ!$A$2:$A$50000,A1613,全馬データ!$B$2:$B$50000,B1613,全馬データ!$C$2:$C$50000,C1613,全馬データ!$D$2:$D$50000,E1613)))</f>
        <v/>
      </c>
      <c r="AP1613" s="8" t="str">
        <f aca="false">IF(A1613="","",IF(AO1613="","欠損",IF(AO1613&lt;=1.1,"1.0～1.1",IF(AO1613&lt;1.3,"1.2",IF(AO1613&lt;1.5,"1.3～1.4",IF(AO1613&lt;2,"1.5～1.9","2.0以上"))))))</f>
        <v/>
      </c>
      <c r="AQ1613" s="8" t="str">
        <f aca="false">IF(A1613="","",IF(ISNUMBER(SEARCH("2歳",Z1613)),"2歳戦",IF(ISNUMBER(SEARCH("3歳未勝利",Z1613)),"3歳未勝利",IF(ISNUMBER(SEARCH("未勝利",Z1613)),"その他未勝利",IF(ISNUMBER(SEARCH("G1",Z1613)),"G1",IF(ISNUMBER(SEARCH("G2",Z1613)),"G2",IF(ISNUMBER(SEARCH("G3",Z1613)),"G3",IF(ISNUMBER(SEARCH("古馬条件",Z1613)),"古馬条件戦",IF(ISNUMBER(SEARCH("重賞",Z1613)),"重賞","分類不能")))))))))</f>
        <v/>
      </c>
    </row>
    <row r="1614" customFormat="false" ht="15.75" hidden="false" customHeight="false" outlineLevel="0" collapsed="false">
      <c r="AO1614" s="8" t="str">
        <f aca="false">IF(A1614="","",IF(COUNTIFS(全馬データ!$A$2:$A$50000,A1614,全馬データ!$B$2:$B$50000,B1614,全馬データ!$C$2:$C$50000,C1614,全馬データ!$D$2:$D$50000,E1614,全馬データ!$K$2:$K$50000,"&lt;&gt;")=0,"",SUMIFS(全馬データ!$K$2:$K$50000,全馬データ!$A$2:$A$50000,A1614,全馬データ!$B$2:$B$50000,B1614,全馬データ!$C$2:$C$50000,C1614,全馬データ!$D$2:$D$50000,E1614)))</f>
        <v/>
      </c>
      <c r="AP1614" s="8" t="str">
        <f aca="false">IF(A1614="","",IF(AO1614="","欠損",IF(AO1614&lt;=1.1,"1.0～1.1",IF(AO1614&lt;1.3,"1.2",IF(AO1614&lt;1.5,"1.3～1.4",IF(AO1614&lt;2,"1.5～1.9","2.0以上"))))))</f>
        <v/>
      </c>
      <c r="AQ1614" s="8" t="str">
        <f aca="false">IF(A1614="","",IF(ISNUMBER(SEARCH("2歳",Z1614)),"2歳戦",IF(ISNUMBER(SEARCH("3歳未勝利",Z1614)),"3歳未勝利",IF(ISNUMBER(SEARCH("未勝利",Z1614)),"その他未勝利",IF(ISNUMBER(SEARCH("G1",Z1614)),"G1",IF(ISNUMBER(SEARCH("G2",Z1614)),"G2",IF(ISNUMBER(SEARCH("G3",Z1614)),"G3",IF(ISNUMBER(SEARCH("古馬条件",Z1614)),"古馬条件戦",IF(ISNUMBER(SEARCH("重賞",Z1614)),"重賞","分類不能")))))))))</f>
        <v/>
      </c>
    </row>
    <row r="1615" customFormat="false" ht="15.75" hidden="false" customHeight="false" outlineLevel="0" collapsed="false">
      <c r="AO1615" s="8" t="str">
        <f aca="false">IF(A1615="","",IF(COUNTIFS(全馬データ!$A$2:$A$50000,A1615,全馬データ!$B$2:$B$50000,B1615,全馬データ!$C$2:$C$50000,C1615,全馬データ!$D$2:$D$50000,E1615,全馬データ!$K$2:$K$50000,"&lt;&gt;")=0,"",SUMIFS(全馬データ!$K$2:$K$50000,全馬データ!$A$2:$A$50000,A1615,全馬データ!$B$2:$B$50000,B1615,全馬データ!$C$2:$C$50000,C1615,全馬データ!$D$2:$D$50000,E1615)))</f>
        <v/>
      </c>
      <c r="AP1615" s="8" t="str">
        <f aca="false">IF(A1615="","",IF(AO1615="","欠損",IF(AO1615&lt;=1.1,"1.0～1.1",IF(AO1615&lt;1.3,"1.2",IF(AO1615&lt;1.5,"1.3～1.4",IF(AO1615&lt;2,"1.5～1.9","2.0以上"))))))</f>
        <v/>
      </c>
      <c r="AQ1615" s="8" t="str">
        <f aca="false">IF(A1615="","",IF(ISNUMBER(SEARCH("2歳",Z1615)),"2歳戦",IF(ISNUMBER(SEARCH("3歳未勝利",Z1615)),"3歳未勝利",IF(ISNUMBER(SEARCH("未勝利",Z1615)),"その他未勝利",IF(ISNUMBER(SEARCH("G1",Z1615)),"G1",IF(ISNUMBER(SEARCH("G2",Z1615)),"G2",IF(ISNUMBER(SEARCH("G3",Z1615)),"G3",IF(ISNUMBER(SEARCH("古馬条件",Z1615)),"古馬条件戦",IF(ISNUMBER(SEARCH("重賞",Z1615)),"重賞","分類不能")))))))))</f>
        <v/>
      </c>
    </row>
    <row r="1616" customFormat="false" ht="15.75" hidden="false" customHeight="false" outlineLevel="0" collapsed="false">
      <c r="AO1616" s="8" t="str">
        <f aca="false">IF(A1616="","",IF(COUNTIFS(全馬データ!$A$2:$A$50000,A1616,全馬データ!$B$2:$B$50000,B1616,全馬データ!$C$2:$C$50000,C1616,全馬データ!$D$2:$D$50000,E1616,全馬データ!$K$2:$K$50000,"&lt;&gt;")=0,"",SUMIFS(全馬データ!$K$2:$K$50000,全馬データ!$A$2:$A$50000,A1616,全馬データ!$B$2:$B$50000,B1616,全馬データ!$C$2:$C$50000,C1616,全馬データ!$D$2:$D$50000,E1616)))</f>
        <v/>
      </c>
      <c r="AP1616" s="8" t="str">
        <f aca="false">IF(A1616="","",IF(AO1616="","欠損",IF(AO1616&lt;=1.1,"1.0～1.1",IF(AO1616&lt;1.3,"1.2",IF(AO1616&lt;1.5,"1.3～1.4",IF(AO1616&lt;2,"1.5～1.9","2.0以上"))))))</f>
        <v/>
      </c>
      <c r="AQ1616" s="8" t="str">
        <f aca="false">IF(A1616="","",IF(ISNUMBER(SEARCH("2歳",Z1616)),"2歳戦",IF(ISNUMBER(SEARCH("3歳未勝利",Z1616)),"3歳未勝利",IF(ISNUMBER(SEARCH("未勝利",Z1616)),"その他未勝利",IF(ISNUMBER(SEARCH("G1",Z1616)),"G1",IF(ISNUMBER(SEARCH("G2",Z1616)),"G2",IF(ISNUMBER(SEARCH("G3",Z1616)),"G3",IF(ISNUMBER(SEARCH("古馬条件",Z1616)),"古馬条件戦",IF(ISNUMBER(SEARCH("重賞",Z1616)),"重賞","分類不能")))))))))</f>
        <v/>
      </c>
    </row>
    <row r="1617" customFormat="false" ht="15.75" hidden="false" customHeight="false" outlineLevel="0" collapsed="false">
      <c r="AO1617" s="8" t="str">
        <f aca="false">IF(A1617="","",IF(COUNTIFS(全馬データ!$A$2:$A$50000,A1617,全馬データ!$B$2:$B$50000,B1617,全馬データ!$C$2:$C$50000,C1617,全馬データ!$D$2:$D$50000,E1617,全馬データ!$K$2:$K$50000,"&lt;&gt;")=0,"",SUMIFS(全馬データ!$K$2:$K$50000,全馬データ!$A$2:$A$50000,A1617,全馬データ!$B$2:$B$50000,B1617,全馬データ!$C$2:$C$50000,C1617,全馬データ!$D$2:$D$50000,E1617)))</f>
        <v/>
      </c>
      <c r="AP1617" s="8" t="str">
        <f aca="false">IF(A1617="","",IF(AO1617="","欠損",IF(AO1617&lt;=1.1,"1.0～1.1",IF(AO1617&lt;1.3,"1.2",IF(AO1617&lt;1.5,"1.3～1.4",IF(AO1617&lt;2,"1.5～1.9","2.0以上"))))))</f>
        <v/>
      </c>
      <c r="AQ1617" s="8" t="str">
        <f aca="false">IF(A1617="","",IF(ISNUMBER(SEARCH("2歳",Z1617)),"2歳戦",IF(ISNUMBER(SEARCH("3歳未勝利",Z1617)),"3歳未勝利",IF(ISNUMBER(SEARCH("未勝利",Z1617)),"その他未勝利",IF(ISNUMBER(SEARCH("G1",Z1617)),"G1",IF(ISNUMBER(SEARCH("G2",Z1617)),"G2",IF(ISNUMBER(SEARCH("G3",Z1617)),"G3",IF(ISNUMBER(SEARCH("古馬条件",Z1617)),"古馬条件戦",IF(ISNUMBER(SEARCH("重賞",Z1617)),"重賞","分類不能")))))))))</f>
        <v/>
      </c>
    </row>
    <row r="1618" customFormat="false" ht="15.75" hidden="false" customHeight="false" outlineLevel="0" collapsed="false">
      <c r="AO1618" s="8" t="str">
        <f aca="false">IF(A1618="","",IF(COUNTIFS(全馬データ!$A$2:$A$50000,A1618,全馬データ!$B$2:$B$50000,B1618,全馬データ!$C$2:$C$50000,C1618,全馬データ!$D$2:$D$50000,E1618,全馬データ!$K$2:$K$50000,"&lt;&gt;")=0,"",SUMIFS(全馬データ!$K$2:$K$50000,全馬データ!$A$2:$A$50000,A1618,全馬データ!$B$2:$B$50000,B1618,全馬データ!$C$2:$C$50000,C1618,全馬データ!$D$2:$D$50000,E1618)))</f>
        <v/>
      </c>
      <c r="AP1618" s="8" t="str">
        <f aca="false">IF(A1618="","",IF(AO1618="","欠損",IF(AO1618&lt;=1.1,"1.0～1.1",IF(AO1618&lt;1.3,"1.2",IF(AO1618&lt;1.5,"1.3～1.4",IF(AO1618&lt;2,"1.5～1.9","2.0以上"))))))</f>
        <v/>
      </c>
      <c r="AQ1618" s="8" t="str">
        <f aca="false">IF(A1618="","",IF(ISNUMBER(SEARCH("2歳",Z1618)),"2歳戦",IF(ISNUMBER(SEARCH("3歳未勝利",Z1618)),"3歳未勝利",IF(ISNUMBER(SEARCH("未勝利",Z1618)),"その他未勝利",IF(ISNUMBER(SEARCH("G1",Z1618)),"G1",IF(ISNUMBER(SEARCH("G2",Z1618)),"G2",IF(ISNUMBER(SEARCH("G3",Z1618)),"G3",IF(ISNUMBER(SEARCH("古馬条件",Z1618)),"古馬条件戦",IF(ISNUMBER(SEARCH("重賞",Z1618)),"重賞","分類不能")))))))))</f>
        <v/>
      </c>
    </row>
    <row r="1619" customFormat="false" ht="15.75" hidden="false" customHeight="false" outlineLevel="0" collapsed="false">
      <c r="AO1619" s="8" t="str">
        <f aca="false">IF(A1619="","",IF(COUNTIFS(全馬データ!$A$2:$A$50000,A1619,全馬データ!$B$2:$B$50000,B1619,全馬データ!$C$2:$C$50000,C1619,全馬データ!$D$2:$D$50000,E1619,全馬データ!$K$2:$K$50000,"&lt;&gt;")=0,"",SUMIFS(全馬データ!$K$2:$K$50000,全馬データ!$A$2:$A$50000,A1619,全馬データ!$B$2:$B$50000,B1619,全馬データ!$C$2:$C$50000,C1619,全馬データ!$D$2:$D$50000,E1619)))</f>
        <v/>
      </c>
      <c r="AP1619" s="8" t="str">
        <f aca="false">IF(A1619="","",IF(AO1619="","欠損",IF(AO1619&lt;=1.1,"1.0～1.1",IF(AO1619&lt;1.3,"1.2",IF(AO1619&lt;1.5,"1.3～1.4",IF(AO1619&lt;2,"1.5～1.9","2.0以上"))))))</f>
        <v/>
      </c>
      <c r="AQ1619" s="8" t="str">
        <f aca="false">IF(A1619="","",IF(ISNUMBER(SEARCH("2歳",Z1619)),"2歳戦",IF(ISNUMBER(SEARCH("3歳未勝利",Z1619)),"3歳未勝利",IF(ISNUMBER(SEARCH("未勝利",Z1619)),"その他未勝利",IF(ISNUMBER(SEARCH("G1",Z1619)),"G1",IF(ISNUMBER(SEARCH("G2",Z1619)),"G2",IF(ISNUMBER(SEARCH("G3",Z1619)),"G3",IF(ISNUMBER(SEARCH("古馬条件",Z1619)),"古馬条件戦",IF(ISNUMBER(SEARCH("重賞",Z1619)),"重賞","分類不能")))))))))</f>
        <v/>
      </c>
    </row>
    <row r="1620" customFormat="false" ht="15.75" hidden="false" customHeight="false" outlineLevel="0" collapsed="false">
      <c r="AO1620" s="8" t="str">
        <f aca="false">IF(A1620="","",IF(COUNTIFS(全馬データ!$A$2:$A$50000,A1620,全馬データ!$B$2:$B$50000,B1620,全馬データ!$C$2:$C$50000,C1620,全馬データ!$D$2:$D$50000,E1620,全馬データ!$K$2:$K$50000,"&lt;&gt;")=0,"",SUMIFS(全馬データ!$K$2:$K$50000,全馬データ!$A$2:$A$50000,A1620,全馬データ!$B$2:$B$50000,B1620,全馬データ!$C$2:$C$50000,C1620,全馬データ!$D$2:$D$50000,E1620)))</f>
        <v/>
      </c>
      <c r="AP1620" s="8" t="str">
        <f aca="false">IF(A1620="","",IF(AO1620="","欠損",IF(AO1620&lt;=1.1,"1.0～1.1",IF(AO1620&lt;1.3,"1.2",IF(AO1620&lt;1.5,"1.3～1.4",IF(AO1620&lt;2,"1.5～1.9","2.0以上"))))))</f>
        <v/>
      </c>
      <c r="AQ1620" s="8" t="str">
        <f aca="false">IF(A1620="","",IF(ISNUMBER(SEARCH("2歳",Z1620)),"2歳戦",IF(ISNUMBER(SEARCH("3歳未勝利",Z1620)),"3歳未勝利",IF(ISNUMBER(SEARCH("未勝利",Z1620)),"その他未勝利",IF(ISNUMBER(SEARCH("G1",Z1620)),"G1",IF(ISNUMBER(SEARCH("G2",Z1620)),"G2",IF(ISNUMBER(SEARCH("G3",Z1620)),"G3",IF(ISNUMBER(SEARCH("古馬条件",Z1620)),"古馬条件戦",IF(ISNUMBER(SEARCH("重賞",Z1620)),"重賞","分類不能")))))))))</f>
        <v/>
      </c>
    </row>
    <row r="1621" customFormat="false" ht="15.75" hidden="false" customHeight="false" outlineLevel="0" collapsed="false">
      <c r="AO1621" s="8" t="str">
        <f aca="false">IF(A1621="","",IF(COUNTIFS(全馬データ!$A$2:$A$50000,A1621,全馬データ!$B$2:$B$50000,B1621,全馬データ!$C$2:$C$50000,C1621,全馬データ!$D$2:$D$50000,E1621,全馬データ!$K$2:$K$50000,"&lt;&gt;")=0,"",SUMIFS(全馬データ!$K$2:$K$50000,全馬データ!$A$2:$A$50000,A1621,全馬データ!$B$2:$B$50000,B1621,全馬データ!$C$2:$C$50000,C1621,全馬データ!$D$2:$D$50000,E1621)))</f>
        <v/>
      </c>
      <c r="AP1621" s="8" t="str">
        <f aca="false">IF(A1621="","",IF(AO1621="","欠損",IF(AO1621&lt;=1.1,"1.0～1.1",IF(AO1621&lt;1.3,"1.2",IF(AO1621&lt;1.5,"1.3～1.4",IF(AO1621&lt;2,"1.5～1.9","2.0以上"))))))</f>
        <v/>
      </c>
      <c r="AQ1621" s="8" t="str">
        <f aca="false">IF(A1621="","",IF(ISNUMBER(SEARCH("2歳",Z1621)),"2歳戦",IF(ISNUMBER(SEARCH("3歳未勝利",Z1621)),"3歳未勝利",IF(ISNUMBER(SEARCH("未勝利",Z1621)),"その他未勝利",IF(ISNUMBER(SEARCH("G1",Z1621)),"G1",IF(ISNUMBER(SEARCH("G2",Z1621)),"G2",IF(ISNUMBER(SEARCH("G3",Z1621)),"G3",IF(ISNUMBER(SEARCH("古馬条件",Z1621)),"古馬条件戦",IF(ISNUMBER(SEARCH("重賞",Z1621)),"重賞","分類不能")))))))))</f>
        <v/>
      </c>
    </row>
    <row r="1622" customFormat="false" ht="15.75" hidden="false" customHeight="false" outlineLevel="0" collapsed="false">
      <c r="AO1622" s="8" t="str">
        <f aca="false">IF(A1622="","",IF(COUNTIFS(全馬データ!$A$2:$A$50000,A1622,全馬データ!$B$2:$B$50000,B1622,全馬データ!$C$2:$C$50000,C1622,全馬データ!$D$2:$D$50000,E1622,全馬データ!$K$2:$K$50000,"&lt;&gt;")=0,"",SUMIFS(全馬データ!$K$2:$K$50000,全馬データ!$A$2:$A$50000,A1622,全馬データ!$B$2:$B$50000,B1622,全馬データ!$C$2:$C$50000,C1622,全馬データ!$D$2:$D$50000,E1622)))</f>
        <v/>
      </c>
      <c r="AP1622" s="8" t="str">
        <f aca="false">IF(A1622="","",IF(AO1622="","欠損",IF(AO1622&lt;=1.1,"1.0～1.1",IF(AO1622&lt;1.3,"1.2",IF(AO1622&lt;1.5,"1.3～1.4",IF(AO1622&lt;2,"1.5～1.9","2.0以上"))))))</f>
        <v/>
      </c>
      <c r="AQ1622" s="8" t="str">
        <f aca="false">IF(A1622="","",IF(ISNUMBER(SEARCH("2歳",Z1622)),"2歳戦",IF(ISNUMBER(SEARCH("3歳未勝利",Z1622)),"3歳未勝利",IF(ISNUMBER(SEARCH("未勝利",Z1622)),"その他未勝利",IF(ISNUMBER(SEARCH("G1",Z1622)),"G1",IF(ISNUMBER(SEARCH("G2",Z1622)),"G2",IF(ISNUMBER(SEARCH("G3",Z1622)),"G3",IF(ISNUMBER(SEARCH("古馬条件",Z1622)),"古馬条件戦",IF(ISNUMBER(SEARCH("重賞",Z1622)),"重賞","分類不能")))))))))</f>
        <v/>
      </c>
    </row>
    <row r="1623" customFormat="false" ht="15.75" hidden="false" customHeight="false" outlineLevel="0" collapsed="false">
      <c r="AO1623" s="8" t="str">
        <f aca="false">IF(A1623="","",IF(COUNTIFS(全馬データ!$A$2:$A$50000,A1623,全馬データ!$B$2:$B$50000,B1623,全馬データ!$C$2:$C$50000,C1623,全馬データ!$D$2:$D$50000,E1623,全馬データ!$K$2:$K$50000,"&lt;&gt;")=0,"",SUMIFS(全馬データ!$K$2:$K$50000,全馬データ!$A$2:$A$50000,A1623,全馬データ!$B$2:$B$50000,B1623,全馬データ!$C$2:$C$50000,C1623,全馬データ!$D$2:$D$50000,E1623)))</f>
        <v/>
      </c>
      <c r="AP1623" s="8" t="str">
        <f aca="false">IF(A1623="","",IF(AO1623="","欠損",IF(AO1623&lt;=1.1,"1.0～1.1",IF(AO1623&lt;1.3,"1.2",IF(AO1623&lt;1.5,"1.3～1.4",IF(AO1623&lt;2,"1.5～1.9","2.0以上"))))))</f>
        <v/>
      </c>
      <c r="AQ1623" s="8" t="str">
        <f aca="false">IF(A1623="","",IF(ISNUMBER(SEARCH("2歳",Z1623)),"2歳戦",IF(ISNUMBER(SEARCH("3歳未勝利",Z1623)),"3歳未勝利",IF(ISNUMBER(SEARCH("未勝利",Z1623)),"その他未勝利",IF(ISNUMBER(SEARCH("G1",Z1623)),"G1",IF(ISNUMBER(SEARCH("G2",Z1623)),"G2",IF(ISNUMBER(SEARCH("G3",Z1623)),"G3",IF(ISNUMBER(SEARCH("古馬条件",Z1623)),"古馬条件戦",IF(ISNUMBER(SEARCH("重賞",Z1623)),"重賞","分類不能")))))))))</f>
        <v/>
      </c>
    </row>
    <row r="1624" customFormat="false" ht="15.75" hidden="false" customHeight="false" outlineLevel="0" collapsed="false">
      <c r="AO1624" s="8" t="str">
        <f aca="false">IF(A1624="","",IF(COUNTIFS(全馬データ!$A$2:$A$50000,A1624,全馬データ!$B$2:$B$50000,B1624,全馬データ!$C$2:$C$50000,C1624,全馬データ!$D$2:$D$50000,E1624,全馬データ!$K$2:$K$50000,"&lt;&gt;")=0,"",SUMIFS(全馬データ!$K$2:$K$50000,全馬データ!$A$2:$A$50000,A1624,全馬データ!$B$2:$B$50000,B1624,全馬データ!$C$2:$C$50000,C1624,全馬データ!$D$2:$D$50000,E1624)))</f>
        <v/>
      </c>
      <c r="AP1624" s="8" t="str">
        <f aca="false">IF(A1624="","",IF(AO1624="","欠損",IF(AO1624&lt;=1.1,"1.0～1.1",IF(AO1624&lt;1.3,"1.2",IF(AO1624&lt;1.5,"1.3～1.4",IF(AO1624&lt;2,"1.5～1.9","2.0以上"))))))</f>
        <v/>
      </c>
      <c r="AQ1624" s="8" t="str">
        <f aca="false">IF(A1624="","",IF(ISNUMBER(SEARCH("2歳",Z1624)),"2歳戦",IF(ISNUMBER(SEARCH("3歳未勝利",Z1624)),"3歳未勝利",IF(ISNUMBER(SEARCH("未勝利",Z1624)),"その他未勝利",IF(ISNUMBER(SEARCH("G1",Z1624)),"G1",IF(ISNUMBER(SEARCH("G2",Z1624)),"G2",IF(ISNUMBER(SEARCH("G3",Z1624)),"G3",IF(ISNUMBER(SEARCH("古馬条件",Z1624)),"古馬条件戦",IF(ISNUMBER(SEARCH("重賞",Z1624)),"重賞","分類不能")))))))))</f>
        <v/>
      </c>
    </row>
    <row r="1625" customFormat="false" ht="15.75" hidden="false" customHeight="false" outlineLevel="0" collapsed="false">
      <c r="AO1625" s="8" t="str">
        <f aca="false">IF(A1625="","",IF(COUNTIFS(全馬データ!$A$2:$A$50000,A1625,全馬データ!$B$2:$B$50000,B1625,全馬データ!$C$2:$C$50000,C1625,全馬データ!$D$2:$D$50000,E1625,全馬データ!$K$2:$K$50000,"&lt;&gt;")=0,"",SUMIFS(全馬データ!$K$2:$K$50000,全馬データ!$A$2:$A$50000,A1625,全馬データ!$B$2:$B$50000,B1625,全馬データ!$C$2:$C$50000,C1625,全馬データ!$D$2:$D$50000,E1625)))</f>
        <v/>
      </c>
      <c r="AP1625" s="8" t="str">
        <f aca="false">IF(A1625="","",IF(AO1625="","欠損",IF(AO1625&lt;=1.1,"1.0～1.1",IF(AO1625&lt;1.3,"1.2",IF(AO1625&lt;1.5,"1.3～1.4",IF(AO1625&lt;2,"1.5～1.9","2.0以上"))))))</f>
        <v/>
      </c>
      <c r="AQ1625" s="8" t="str">
        <f aca="false">IF(A1625="","",IF(ISNUMBER(SEARCH("2歳",Z1625)),"2歳戦",IF(ISNUMBER(SEARCH("3歳未勝利",Z1625)),"3歳未勝利",IF(ISNUMBER(SEARCH("未勝利",Z1625)),"その他未勝利",IF(ISNUMBER(SEARCH("G1",Z1625)),"G1",IF(ISNUMBER(SEARCH("G2",Z1625)),"G2",IF(ISNUMBER(SEARCH("G3",Z1625)),"G3",IF(ISNUMBER(SEARCH("古馬条件",Z1625)),"古馬条件戦",IF(ISNUMBER(SEARCH("重賞",Z1625)),"重賞","分類不能")))))))))</f>
        <v/>
      </c>
    </row>
    <row r="1626" customFormat="false" ht="15.75" hidden="false" customHeight="false" outlineLevel="0" collapsed="false">
      <c r="AO1626" s="8" t="str">
        <f aca="false">IF(A1626="","",IF(COUNTIFS(全馬データ!$A$2:$A$50000,A1626,全馬データ!$B$2:$B$50000,B1626,全馬データ!$C$2:$C$50000,C1626,全馬データ!$D$2:$D$50000,E1626,全馬データ!$K$2:$K$50000,"&lt;&gt;")=0,"",SUMIFS(全馬データ!$K$2:$K$50000,全馬データ!$A$2:$A$50000,A1626,全馬データ!$B$2:$B$50000,B1626,全馬データ!$C$2:$C$50000,C1626,全馬データ!$D$2:$D$50000,E1626)))</f>
        <v/>
      </c>
      <c r="AP1626" s="8" t="str">
        <f aca="false">IF(A1626="","",IF(AO1626="","欠損",IF(AO1626&lt;=1.1,"1.0～1.1",IF(AO1626&lt;1.3,"1.2",IF(AO1626&lt;1.5,"1.3～1.4",IF(AO1626&lt;2,"1.5～1.9","2.0以上"))))))</f>
        <v/>
      </c>
      <c r="AQ1626" s="8" t="str">
        <f aca="false">IF(A1626="","",IF(ISNUMBER(SEARCH("2歳",Z1626)),"2歳戦",IF(ISNUMBER(SEARCH("3歳未勝利",Z1626)),"3歳未勝利",IF(ISNUMBER(SEARCH("未勝利",Z1626)),"その他未勝利",IF(ISNUMBER(SEARCH("G1",Z1626)),"G1",IF(ISNUMBER(SEARCH("G2",Z1626)),"G2",IF(ISNUMBER(SEARCH("G3",Z1626)),"G3",IF(ISNUMBER(SEARCH("古馬条件",Z1626)),"古馬条件戦",IF(ISNUMBER(SEARCH("重賞",Z1626)),"重賞","分類不能")))))))))</f>
        <v/>
      </c>
    </row>
    <row r="1627" customFormat="false" ht="15.75" hidden="false" customHeight="false" outlineLevel="0" collapsed="false">
      <c r="AO1627" s="8" t="str">
        <f aca="false">IF(A1627="","",IF(COUNTIFS(全馬データ!$A$2:$A$50000,A1627,全馬データ!$B$2:$B$50000,B1627,全馬データ!$C$2:$C$50000,C1627,全馬データ!$D$2:$D$50000,E1627,全馬データ!$K$2:$K$50000,"&lt;&gt;")=0,"",SUMIFS(全馬データ!$K$2:$K$50000,全馬データ!$A$2:$A$50000,A1627,全馬データ!$B$2:$B$50000,B1627,全馬データ!$C$2:$C$50000,C1627,全馬データ!$D$2:$D$50000,E1627)))</f>
        <v/>
      </c>
      <c r="AP1627" s="8" t="str">
        <f aca="false">IF(A1627="","",IF(AO1627="","欠損",IF(AO1627&lt;=1.1,"1.0～1.1",IF(AO1627&lt;1.3,"1.2",IF(AO1627&lt;1.5,"1.3～1.4",IF(AO1627&lt;2,"1.5～1.9","2.0以上"))))))</f>
        <v/>
      </c>
      <c r="AQ1627" s="8" t="str">
        <f aca="false">IF(A1627="","",IF(ISNUMBER(SEARCH("2歳",Z1627)),"2歳戦",IF(ISNUMBER(SEARCH("3歳未勝利",Z1627)),"3歳未勝利",IF(ISNUMBER(SEARCH("未勝利",Z1627)),"その他未勝利",IF(ISNUMBER(SEARCH("G1",Z1627)),"G1",IF(ISNUMBER(SEARCH("G2",Z1627)),"G2",IF(ISNUMBER(SEARCH("G3",Z1627)),"G3",IF(ISNUMBER(SEARCH("古馬条件",Z1627)),"古馬条件戦",IF(ISNUMBER(SEARCH("重賞",Z1627)),"重賞","分類不能")))))))))</f>
        <v/>
      </c>
    </row>
    <row r="1628" customFormat="false" ht="15.75" hidden="false" customHeight="false" outlineLevel="0" collapsed="false">
      <c r="AO1628" s="8" t="str">
        <f aca="false">IF(A1628="","",IF(COUNTIFS(全馬データ!$A$2:$A$50000,A1628,全馬データ!$B$2:$B$50000,B1628,全馬データ!$C$2:$C$50000,C1628,全馬データ!$D$2:$D$50000,E1628,全馬データ!$K$2:$K$50000,"&lt;&gt;")=0,"",SUMIFS(全馬データ!$K$2:$K$50000,全馬データ!$A$2:$A$50000,A1628,全馬データ!$B$2:$B$50000,B1628,全馬データ!$C$2:$C$50000,C1628,全馬データ!$D$2:$D$50000,E1628)))</f>
        <v/>
      </c>
      <c r="AP1628" s="8" t="str">
        <f aca="false">IF(A1628="","",IF(AO1628="","欠損",IF(AO1628&lt;=1.1,"1.0～1.1",IF(AO1628&lt;1.3,"1.2",IF(AO1628&lt;1.5,"1.3～1.4",IF(AO1628&lt;2,"1.5～1.9","2.0以上"))))))</f>
        <v/>
      </c>
      <c r="AQ1628" s="8" t="str">
        <f aca="false">IF(A1628="","",IF(ISNUMBER(SEARCH("2歳",Z1628)),"2歳戦",IF(ISNUMBER(SEARCH("3歳未勝利",Z1628)),"3歳未勝利",IF(ISNUMBER(SEARCH("未勝利",Z1628)),"その他未勝利",IF(ISNUMBER(SEARCH("G1",Z1628)),"G1",IF(ISNUMBER(SEARCH("G2",Z1628)),"G2",IF(ISNUMBER(SEARCH("G3",Z1628)),"G3",IF(ISNUMBER(SEARCH("古馬条件",Z1628)),"古馬条件戦",IF(ISNUMBER(SEARCH("重賞",Z1628)),"重賞","分類不能")))))))))</f>
        <v/>
      </c>
    </row>
    <row r="1629" customFormat="false" ht="15.75" hidden="false" customHeight="false" outlineLevel="0" collapsed="false">
      <c r="AO1629" s="8" t="str">
        <f aca="false">IF(A1629="","",IF(COUNTIFS(全馬データ!$A$2:$A$50000,A1629,全馬データ!$B$2:$B$50000,B1629,全馬データ!$C$2:$C$50000,C1629,全馬データ!$D$2:$D$50000,E1629,全馬データ!$K$2:$K$50000,"&lt;&gt;")=0,"",SUMIFS(全馬データ!$K$2:$K$50000,全馬データ!$A$2:$A$50000,A1629,全馬データ!$B$2:$B$50000,B1629,全馬データ!$C$2:$C$50000,C1629,全馬データ!$D$2:$D$50000,E1629)))</f>
        <v/>
      </c>
      <c r="AP1629" s="8" t="str">
        <f aca="false">IF(A1629="","",IF(AO1629="","欠損",IF(AO1629&lt;=1.1,"1.0～1.1",IF(AO1629&lt;1.3,"1.2",IF(AO1629&lt;1.5,"1.3～1.4",IF(AO1629&lt;2,"1.5～1.9","2.0以上"))))))</f>
        <v/>
      </c>
      <c r="AQ1629" s="8" t="str">
        <f aca="false">IF(A1629="","",IF(ISNUMBER(SEARCH("2歳",Z1629)),"2歳戦",IF(ISNUMBER(SEARCH("3歳未勝利",Z1629)),"3歳未勝利",IF(ISNUMBER(SEARCH("未勝利",Z1629)),"その他未勝利",IF(ISNUMBER(SEARCH("G1",Z1629)),"G1",IF(ISNUMBER(SEARCH("G2",Z1629)),"G2",IF(ISNUMBER(SEARCH("G3",Z1629)),"G3",IF(ISNUMBER(SEARCH("古馬条件",Z1629)),"古馬条件戦",IF(ISNUMBER(SEARCH("重賞",Z1629)),"重賞","分類不能")))))))))</f>
        <v/>
      </c>
    </row>
    <row r="1630" customFormat="false" ht="15.75" hidden="false" customHeight="false" outlineLevel="0" collapsed="false">
      <c r="AO1630" s="8" t="str">
        <f aca="false">IF(A1630="","",IF(COUNTIFS(全馬データ!$A$2:$A$50000,A1630,全馬データ!$B$2:$B$50000,B1630,全馬データ!$C$2:$C$50000,C1630,全馬データ!$D$2:$D$50000,E1630,全馬データ!$K$2:$K$50000,"&lt;&gt;")=0,"",SUMIFS(全馬データ!$K$2:$K$50000,全馬データ!$A$2:$A$50000,A1630,全馬データ!$B$2:$B$50000,B1630,全馬データ!$C$2:$C$50000,C1630,全馬データ!$D$2:$D$50000,E1630)))</f>
        <v/>
      </c>
      <c r="AP1630" s="8" t="str">
        <f aca="false">IF(A1630="","",IF(AO1630="","欠損",IF(AO1630&lt;=1.1,"1.0～1.1",IF(AO1630&lt;1.3,"1.2",IF(AO1630&lt;1.5,"1.3～1.4",IF(AO1630&lt;2,"1.5～1.9","2.0以上"))))))</f>
        <v/>
      </c>
      <c r="AQ1630" s="8" t="str">
        <f aca="false">IF(A1630="","",IF(ISNUMBER(SEARCH("2歳",Z1630)),"2歳戦",IF(ISNUMBER(SEARCH("3歳未勝利",Z1630)),"3歳未勝利",IF(ISNUMBER(SEARCH("未勝利",Z1630)),"その他未勝利",IF(ISNUMBER(SEARCH("G1",Z1630)),"G1",IF(ISNUMBER(SEARCH("G2",Z1630)),"G2",IF(ISNUMBER(SEARCH("G3",Z1630)),"G3",IF(ISNUMBER(SEARCH("古馬条件",Z1630)),"古馬条件戦",IF(ISNUMBER(SEARCH("重賞",Z1630)),"重賞","分類不能")))))))))</f>
        <v/>
      </c>
    </row>
    <row r="1631" customFormat="false" ht="15.75" hidden="false" customHeight="false" outlineLevel="0" collapsed="false">
      <c r="AO1631" s="8" t="str">
        <f aca="false">IF(A1631="","",IF(COUNTIFS(全馬データ!$A$2:$A$50000,A1631,全馬データ!$B$2:$B$50000,B1631,全馬データ!$C$2:$C$50000,C1631,全馬データ!$D$2:$D$50000,E1631,全馬データ!$K$2:$K$50000,"&lt;&gt;")=0,"",SUMIFS(全馬データ!$K$2:$K$50000,全馬データ!$A$2:$A$50000,A1631,全馬データ!$B$2:$B$50000,B1631,全馬データ!$C$2:$C$50000,C1631,全馬データ!$D$2:$D$50000,E1631)))</f>
        <v/>
      </c>
      <c r="AP1631" s="8" t="str">
        <f aca="false">IF(A1631="","",IF(AO1631="","欠損",IF(AO1631&lt;=1.1,"1.0～1.1",IF(AO1631&lt;1.3,"1.2",IF(AO1631&lt;1.5,"1.3～1.4",IF(AO1631&lt;2,"1.5～1.9","2.0以上"))))))</f>
        <v/>
      </c>
      <c r="AQ1631" s="8" t="str">
        <f aca="false">IF(A1631="","",IF(ISNUMBER(SEARCH("2歳",Z1631)),"2歳戦",IF(ISNUMBER(SEARCH("3歳未勝利",Z1631)),"3歳未勝利",IF(ISNUMBER(SEARCH("未勝利",Z1631)),"その他未勝利",IF(ISNUMBER(SEARCH("G1",Z1631)),"G1",IF(ISNUMBER(SEARCH("G2",Z1631)),"G2",IF(ISNUMBER(SEARCH("G3",Z1631)),"G3",IF(ISNUMBER(SEARCH("古馬条件",Z1631)),"古馬条件戦",IF(ISNUMBER(SEARCH("重賞",Z1631)),"重賞","分類不能")))))))))</f>
        <v/>
      </c>
    </row>
    <row r="1632" customFormat="false" ht="15.75" hidden="false" customHeight="false" outlineLevel="0" collapsed="false">
      <c r="AO1632" s="8" t="str">
        <f aca="false">IF(A1632="","",IF(COUNTIFS(全馬データ!$A$2:$A$50000,A1632,全馬データ!$B$2:$B$50000,B1632,全馬データ!$C$2:$C$50000,C1632,全馬データ!$D$2:$D$50000,E1632,全馬データ!$K$2:$K$50000,"&lt;&gt;")=0,"",SUMIFS(全馬データ!$K$2:$K$50000,全馬データ!$A$2:$A$50000,A1632,全馬データ!$B$2:$B$50000,B1632,全馬データ!$C$2:$C$50000,C1632,全馬データ!$D$2:$D$50000,E1632)))</f>
        <v/>
      </c>
      <c r="AP1632" s="8" t="str">
        <f aca="false">IF(A1632="","",IF(AO1632="","欠損",IF(AO1632&lt;=1.1,"1.0～1.1",IF(AO1632&lt;1.3,"1.2",IF(AO1632&lt;1.5,"1.3～1.4",IF(AO1632&lt;2,"1.5～1.9","2.0以上"))))))</f>
        <v/>
      </c>
      <c r="AQ1632" s="8" t="str">
        <f aca="false">IF(A1632="","",IF(ISNUMBER(SEARCH("2歳",Z1632)),"2歳戦",IF(ISNUMBER(SEARCH("3歳未勝利",Z1632)),"3歳未勝利",IF(ISNUMBER(SEARCH("未勝利",Z1632)),"その他未勝利",IF(ISNUMBER(SEARCH("G1",Z1632)),"G1",IF(ISNUMBER(SEARCH("G2",Z1632)),"G2",IF(ISNUMBER(SEARCH("G3",Z1632)),"G3",IF(ISNUMBER(SEARCH("古馬条件",Z1632)),"古馬条件戦",IF(ISNUMBER(SEARCH("重賞",Z1632)),"重賞","分類不能")))))))))</f>
        <v/>
      </c>
    </row>
    <row r="1633" customFormat="false" ht="15.75" hidden="false" customHeight="false" outlineLevel="0" collapsed="false">
      <c r="AO1633" s="8" t="str">
        <f aca="false">IF(A1633="","",IF(COUNTIFS(全馬データ!$A$2:$A$50000,A1633,全馬データ!$B$2:$B$50000,B1633,全馬データ!$C$2:$C$50000,C1633,全馬データ!$D$2:$D$50000,E1633,全馬データ!$K$2:$K$50000,"&lt;&gt;")=0,"",SUMIFS(全馬データ!$K$2:$K$50000,全馬データ!$A$2:$A$50000,A1633,全馬データ!$B$2:$B$50000,B1633,全馬データ!$C$2:$C$50000,C1633,全馬データ!$D$2:$D$50000,E1633)))</f>
        <v/>
      </c>
      <c r="AP1633" s="8" t="str">
        <f aca="false">IF(A1633="","",IF(AO1633="","欠損",IF(AO1633&lt;=1.1,"1.0～1.1",IF(AO1633&lt;1.3,"1.2",IF(AO1633&lt;1.5,"1.3～1.4",IF(AO1633&lt;2,"1.5～1.9","2.0以上"))))))</f>
        <v/>
      </c>
      <c r="AQ1633" s="8" t="str">
        <f aca="false">IF(A1633="","",IF(ISNUMBER(SEARCH("2歳",Z1633)),"2歳戦",IF(ISNUMBER(SEARCH("3歳未勝利",Z1633)),"3歳未勝利",IF(ISNUMBER(SEARCH("未勝利",Z1633)),"その他未勝利",IF(ISNUMBER(SEARCH("G1",Z1633)),"G1",IF(ISNUMBER(SEARCH("G2",Z1633)),"G2",IF(ISNUMBER(SEARCH("G3",Z1633)),"G3",IF(ISNUMBER(SEARCH("古馬条件",Z1633)),"古馬条件戦",IF(ISNUMBER(SEARCH("重賞",Z1633)),"重賞","分類不能")))))))))</f>
        <v/>
      </c>
    </row>
    <row r="1634" customFormat="false" ht="15.75" hidden="false" customHeight="false" outlineLevel="0" collapsed="false">
      <c r="AO1634" s="8" t="str">
        <f aca="false">IF(A1634="","",IF(COUNTIFS(全馬データ!$A$2:$A$50000,A1634,全馬データ!$B$2:$B$50000,B1634,全馬データ!$C$2:$C$50000,C1634,全馬データ!$D$2:$D$50000,E1634,全馬データ!$K$2:$K$50000,"&lt;&gt;")=0,"",SUMIFS(全馬データ!$K$2:$K$50000,全馬データ!$A$2:$A$50000,A1634,全馬データ!$B$2:$B$50000,B1634,全馬データ!$C$2:$C$50000,C1634,全馬データ!$D$2:$D$50000,E1634)))</f>
        <v/>
      </c>
      <c r="AP1634" s="8" t="str">
        <f aca="false">IF(A1634="","",IF(AO1634="","欠損",IF(AO1634&lt;=1.1,"1.0～1.1",IF(AO1634&lt;1.3,"1.2",IF(AO1634&lt;1.5,"1.3～1.4",IF(AO1634&lt;2,"1.5～1.9","2.0以上"))))))</f>
        <v/>
      </c>
      <c r="AQ1634" s="8" t="str">
        <f aca="false">IF(A1634="","",IF(ISNUMBER(SEARCH("2歳",Z1634)),"2歳戦",IF(ISNUMBER(SEARCH("3歳未勝利",Z1634)),"3歳未勝利",IF(ISNUMBER(SEARCH("未勝利",Z1634)),"その他未勝利",IF(ISNUMBER(SEARCH("G1",Z1634)),"G1",IF(ISNUMBER(SEARCH("G2",Z1634)),"G2",IF(ISNUMBER(SEARCH("G3",Z1634)),"G3",IF(ISNUMBER(SEARCH("古馬条件",Z1634)),"古馬条件戦",IF(ISNUMBER(SEARCH("重賞",Z1634)),"重賞","分類不能")))))))))</f>
        <v/>
      </c>
    </row>
    <row r="1635" customFormat="false" ht="15.75" hidden="false" customHeight="false" outlineLevel="0" collapsed="false">
      <c r="AO1635" s="8" t="str">
        <f aca="false">IF(A1635="","",IF(COUNTIFS(全馬データ!$A$2:$A$50000,A1635,全馬データ!$B$2:$B$50000,B1635,全馬データ!$C$2:$C$50000,C1635,全馬データ!$D$2:$D$50000,E1635,全馬データ!$K$2:$K$50000,"&lt;&gt;")=0,"",SUMIFS(全馬データ!$K$2:$K$50000,全馬データ!$A$2:$A$50000,A1635,全馬データ!$B$2:$B$50000,B1635,全馬データ!$C$2:$C$50000,C1635,全馬データ!$D$2:$D$50000,E1635)))</f>
        <v/>
      </c>
      <c r="AP1635" s="8" t="str">
        <f aca="false">IF(A1635="","",IF(AO1635="","欠損",IF(AO1635&lt;=1.1,"1.0～1.1",IF(AO1635&lt;1.3,"1.2",IF(AO1635&lt;1.5,"1.3～1.4",IF(AO1635&lt;2,"1.5～1.9","2.0以上"))))))</f>
        <v/>
      </c>
      <c r="AQ1635" s="8" t="str">
        <f aca="false">IF(A1635="","",IF(ISNUMBER(SEARCH("2歳",Z1635)),"2歳戦",IF(ISNUMBER(SEARCH("3歳未勝利",Z1635)),"3歳未勝利",IF(ISNUMBER(SEARCH("未勝利",Z1635)),"その他未勝利",IF(ISNUMBER(SEARCH("G1",Z1635)),"G1",IF(ISNUMBER(SEARCH("G2",Z1635)),"G2",IF(ISNUMBER(SEARCH("G3",Z1635)),"G3",IF(ISNUMBER(SEARCH("古馬条件",Z1635)),"古馬条件戦",IF(ISNUMBER(SEARCH("重賞",Z1635)),"重賞","分類不能")))))))))</f>
        <v/>
      </c>
    </row>
    <row r="1636" customFormat="false" ht="15.75" hidden="false" customHeight="false" outlineLevel="0" collapsed="false">
      <c r="AO1636" s="8" t="str">
        <f aca="false">IF(A1636="","",IF(COUNTIFS(全馬データ!$A$2:$A$50000,A1636,全馬データ!$B$2:$B$50000,B1636,全馬データ!$C$2:$C$50000,C1636,全馬データ!$D$2:$D$50000,E1636,全馬データ!$K$2:$K$50000,"&lt;&gt;")=0,"",SUMIFS(全馬データ!$K$2:$K$50000,全馬データ!$A$2:$A$50000,A1636,全馬データ!$B$2:$B$50000,B1636,全馬データ!$C$2:$C$50000,C1636,全馬データ!$D$2:$D$50000,E1636)))</f>
        <v/>
      </c>
      <c r="AP1636" s="8" t="str">
        <f aca="false">IF(A1636="","",IF(AO1636="","欠損",IF(AO1636&lt;=1.1,"1.0～1.1",IF(AO1636&lt;1.3,"1.2",IF(AO1636&lt;1.5,"1.3～1.4",IF(AO1636&lt;2,"1.5～1.9","2.0以上"))))))</f>
        <v/>
      </c>
      <c r="AQ1636" s="8" t="str">
        <f aca="false">IF(A1636="","",IF(ISNUMBER(SEARCH("2歳",Z1636)),"2歳戦",IF(ISNUMBER(SEARCH("3歳未勝利",Z1636)),"3歳未勝利",IF(ISNUMBER(SEARCH("未勝利",Z1636)),"その他未勝利",IF(ISNUMBER(SEARCH("G1",Z1636)),"G1",IF(ISNUMBER(SEARCH("G2",Z1636)),"G2",IF(ISNUMBER(SEARCH("G3",Z1636)),"G3",IF(ISNUMBER(SEARCH("古馬条件",Z1636)),"古馬条件戦",IF(ISNUMBER(SEARCH("重賞",Z1636)),"重賞","分類不能")))))))))</f>
        <v/>
      </c>
    </row>
    <row r="1637" customFormat="false" ht="15.75" hidden="false" customHeight="false" outlineLevel="0" collapsed="false">
      <c r="AO1637" s="8" t="str">
        <f aca="false">IF(A1637="","",IF(COUNTIFS(全馬データ!$A$2:$A$50000,A1637,全馬データ!$B$2:$B$50000,B1637,全馬データ!$C$2:$C$50000,C1637,全馬データ!$D$2:$D$50000,E1637,全馬データ!$K$2:$K$50000,"&lt;&gt;")=0,"",SUMIFS(全馬データ!$K$2:$K$50000,全馬データ!$A$2:$A$50000,A1637,全馬データ!$B$2:$B$50000,B1637,全馬データ!$C$2:$C$50000,C1637,全馬データ!$D$2:$D$50000,E1637)))</f>
        <v/>
      </c>
      <c r="AP1637" s="8" t="str">
        <f aca="false">IF(A1637="","",IF(AO1637="","欠損",IF(AO1637&lt;=1.1,"1.0～1.1",IF(AO1637&lt;1.3,"1.2",IF(AO1637&lt;1.5,"1.3～1.4",IF(AO1637&lt;2,"1.5～1.9","2.0以上"))))))</f>
        <v/>
      </c>
      <c r="AQ1637" s="8" t="str">
        <f aca="false">IF(A1637="","",IF(ISNUMBER(SEARCH("2歳",Z1637)),"2歳戦",IF(ISNUMBER(SEARCH("3歳未勝利",Z1637)),"3歳未勝利",IF(ISNUMBER(SEARCH("未勝利",Z1637)),"その他未勝利",IF(ISNUMBER(SEARCH("G1",Z1637)),"G1",IF(ISNUMBER(SEARCH("G2",Z1637)),"G2",IF(ISNUMBER(SEARCH("G3",Z1637)),"G3",IF(ISNUMBER(SEARCH("古馬条件",Z1637)),"古馬条件戦",IF(ISNUMBER(SEARCH("重賞",Z1637)),"重賞","分類不能")))))))))</f>
        <v/>
      </c>
    </row>
    <row r="1638" customFormat="false" ht="15.75" hidden="false" customHeight="false" outlineLevel="0" collapsed="false">
      <c r="AO1638" s="8" t="str">
        <f aca="false">IF(A1638="","",IF(COUNTIFS(全馬データ!$A$2:$A$50000,A1638,全馬データ!$B$2:$B$50000,B1638,全馬データ!$C$2:$C$50000,C1638,全馬データ!$D$2:$D$50000,E1638,全馬データ!$K$2:$K$50000,"&lt;&gt;")=0,"",SUMIFS(全馬データ!$K$2:$K$50000,全馬データ!$A$2:$A$50000,A1638,全馬データ!$B$2:$B$50000,B1638,全馬データ!$C$2:$C$50000,C1638,全馬データ!$D$2:$D$50000,E1638)))</f>
        <v/>
      </c>
      <c r="AP1638" s="8" t="str">
        <f aca="false">IF(A1638="","",IF(AO1638="","欠損",IF(AO1638&lt;=1.1,"1.0～1.1",IF(AO1638&lt;1.3,"1.2",IF(AO1638&lt;1.5,"1.3～1.4",IF(AO1638&lt;2,"1.5～1.9","2.0以上"))))))</f>
        <v/>
      </c>
      <c r="AQ1638" s="8" t="str">
        <f aca="false">IF(A1638="","",IF(ISNUMBER(SEARCH("2歳",Z1638)),"2歳戦",IF(ISNUMBER(SEARCH("3歳未勝利",Z1638)),"3歳未勝利",IF(ISNUMBER(SEARCH("未勝利",Z1638)),"その他未勝利",IF(ISNUMBER(SEARCH("G1",Z1638)),"G1",IF(ISNUMBER(SEARCH("G2",Z1638)),"G2",IF(ISNUMBER(SEARCH("G3",Z1638)),"G3",IF(ISNUMBER(SEARCH("古馬条件",Z1638)),"古馬条件戦",IF(ISNUMBER(SEARCH("重賞",Z1638)),"重賞","分類不能")))))))))</f>
        <v/>
      </c>
    </row>
    <row r="1639" customFormat="false" ht="15.75" hidden="false" customHeight="false" outlineLevel="0" collapsed="false">
      <c r="AO1639" s="8" t="str">
        <f aca="false">IF(A1639="","",IF(COUNTIFS(全馬データ!$A$2:$A$50000,A1639,全馬データ!$B$2:$B$50000,B1639,全馬データ!$C$2:$C$50000,C1639,全馬データ!$D$2:$D$50000,E1639,全馬データ!$K$2:$K$50000,"&lt;&gt;")=0,"",SUMIFS(全馬データ!$K$2:$K$50000,全馬データ!$A$2:$A$50000,A1639,全馬データ!$B$2:$B$50000,B1639,全馬データ!$C$2:$C$50000,C1639,全馬データ!$D$2:$D$50000,E1639)))</f>
        <v/>
      </c>
      <c r="AP1639" s="8" t="str">
        <f aca="false">IF(A1639="","",IF(AO1639="","欠損",IF(AO1639&lt;=1.1,"1.0～1.1",IF(AO1639&lt;1.3,"1.2",IF(AO1639&lt;1.5,"1.3～1.4",IF(AO1639&lt;2,"1.5～1.9","2.0以上"))))))</f>
        <v/>
      </c>
      <c r="AQ1639" s="8" t="str">
        <f aca="false">IF(A1639="","",IF(ISNUMBER(SEARCH("2歳",Z1639)),"2歳戦",IF(ISNUMBER(SEARCH("3歳未勝利",Z1639)),"3歳未勝利",IF(ISNUMBER(SEARCH("未勝利",Z1639)),"その他未勝利",IF(ISNUMBER(SEARCH("G1",Z1639)),"G1",IF(ISNUMBER(SEARCH("G2",Z1639)),"G2",IF(ISNUMBER(SEARCH("G3",Z1639)),"G3",IF(ISNUMBER(SEARCH("古馬条件",Z1639)),"古馬条件戦",IF(ISNUMBER(SEARCH("重賞",Z1639)),"重賞","分類不能")))))))))</f>
        <v/>
      </c>
    </row>
    <row r="1640" customFormat="false" ht="15.75" hidden="false" customHeight="false" outlineLevel="0" collapsed="false">
      <c r="AO1640" s="8" t="str">
        <f aca="false">IF(A1640="","",IF(COUNTIFS(全馬データ!$A$2:$A$50000,A1640,全馬データ!$B$2:$B$50000,B1640,全馬データ!$C$2:$C$50000,C1640,全馬データ!$D$2:$D$50000,E1640,全馬データ!$K$2:$K$50000,"&lt;&gt;")=0,"",SUMIFS(全馬データ!$K$2:$K$50000,全馬データ!$A$2:$A$50000,A1640,全馬データ!$B$2:$B$50000,B1640,全馬データ!$C$2:$C$50000,C1640,全馬データ!$D$2:$D$50000,E1640)))</f>
        <v/>
      </c>
      <c r="AP1640" s="8" t="str">
        <f aca="false">IF(A1640="","",IF(AO1640="","欠損",IF(AO1640&lt;=1.1,"1.0～1.1",IF(AO1640&lt;1.3,"1.2",IF(AO1640&lt;1.5,"1.3～1.4",IF(AO1640&lt;2,"1.5～1.9","2.0以上"))))))</f>
        <v/>
      </c>
      <c r="AQ1640" s="8" t="str">
        <f aca="false">IF(A1640="","",IF(ISNUMBER(SEARCH("2歳",Z1640)),"2歳戦",IF(ISNUMBER(SEARCH("3歳未勝利",Z1640)),"3歳未勝利",IF(ISNUMBER(SEARCH("未勝利",Z1640)),"その他未勝利",IF(ISNUMBER(SEARCH("G1",Z1640)),"G1",IF(ISNUMBER(SEARCH("G2",Z1640)),"G2",IF(ISNUMBER(SEARCH("G3",Z1640)),"G3",IF(ISNUMBER(SEARCH("古馬条件",Z1640)),"古馬条件戦",IF(ISNUMBER(SEARCH("重賞",Z1640)),"重賞","分類不能")))))))))</f>
        <v/>
      </c>
    </row>
    <row r="1641" customFormat="false" ht="15.75" hidden="false" customHeight="false" outlineLevel="0" collapsed="false">
      <c r="AO1641" s="8" t="str">
        <f aca="false">IF(A1641="","",IF(COUNTIFS(全馬データ!$A$2:$A$50000,A1641,全馬データ!$B$2:$B$50000,B1641,全馬データ!$C$2:$C$50000,C1641,全馬データ!$D$2:$D$50000,E1641,全馬データ!$K$2:$K$50000,"&lt;&gt;")=0,"",SUMIFS(全馬データ!$K$2:$K$50000,全馬データ!$A$2:$A$50000,A1641,全馬データ!$B$2:$B$50000,B1641,全馬データ!$C$2:$C$50000,C1641,全馬データ!$D$2:$D$50000,E1641)))</f>
        <v/>
      </c>
      <c r="AP1641" s="8" t="str">
        <f aca="false">IF(A1641="","",IF(AO1641="","欠損",IF(AO1641&lt;=1.1,"1.0～1.1",IF(AO1641&lt;1.3,"1.2",IF(AO1641&lt;1.5,"1.3～1.4",IF(AO1641&lt;2,"1.5～1.9","2.0以上"))))))</f>
        <v/>
      </c>
      <c r="AQ1641" s="8" t="str">
        <f aca="false">IF(A1641="","",IF(ISNUMBER(SEARCH("2歳",Z1641)),"2歳戦",IF(ISNUMBER(SEARCH("3歳未勝利",Z1641)),"3歳未勝利",IF(ISNUMBER(SEARCH("未勝利",Z1641)),"その他未勝利",IF(ISNUMBER(SEARCH("G1",Z1641)),"G1",IF(ISNUMBER(SEARCH("G2",Z1641)),"G2",IF(ISNUMBER(SEARCH("G3",Z1641)),"G3",IF(ISNUMBER(SEARCH("古馬条件",Z1641)),"古馬条件戦",IF(ISNUMBER(SEARCH("重賞",Z1641)),"重賞","分類不能")))))))))</f>
        <v/>
      </c>
    </row>
    <row r="1642" customFormat="false" ht="15.75" hidden="false" customHeight="false" outlineLevel="0" collapsed="false">
      <c r="AO1642" s="8" t="str">
        <f aca="false">IF(A1642="","",IF(COUNTIFS(全馬データ!$A$2:$A$50000,A1642,全馬データ!$B$2:$B$50000,B1642,全馬データ!$C$2:$C$50000,C1642,全馬データ!$D$2:$D$50000,E1642,全馬データ!$K$2:$K$50000,"&lt;&gt;")=0,"",SUMIFS(全馬データ!$K$2:$K$50000,全馬データ!$A$2:$A$50000,A1642,全馬データ!$B$2:$B$50000,B1642,全馬データ!$C$2:$C$50000,C1642,全馬データ!$D$2:$D$50000,E1642)))</f>
        <v/>
      </c>
      <c r="AP1642" s="8" t="str">
        <f aca="false">IF(A1642="","",IF(AO1642="","欠損",IF(AO1642&lt;=1.1,"1.0～1.1",IF(AO1642&lt;1.3,"1.2",IF(AO1642&lt;1.5,"1.3～1.4",IF(AO1642&lt;2,"1.5～1.9","2.0以上"))))))</f>
        <v/>
      </c>
      <c r="AQ1642" s="8" t="str">
        <f aca="false">IF(A1642="","",IF(ISNUMBER(SEARCH("2歳",Z1642)),"2歳戦",IF(ISNUMBER(SEARCH("3歳未勝利",Z1642)),"3歳未勝利",IF(ISNUMBER(SEARCH("未勝利",Z1642)),"その他未勝利",IF(ISNUMBER(SEARCH("G1",Z1642)),"G1",IF(ISNUMBER(SEARCH("G2",Z1642)),"G2",IF(ISNUMBER(SEARCH("G3",Z1642)),"G3",IF(ISNUMBER(SEARCH("古馬条件",Z1642)),"古馬条件戦",IF(ISNUMBER(SEARCH("重賞",Z1642)),"重賞","分類不能")))))))))</f>
        <v/>
      </c>
    </row>
    <row r="1643" customFormat="false" ht="15.75" hidden="false" customHeight="false" outlineLevel="0" collapsed="false">
      <c r="AO1643" s="8" t="str">
        <f aca="false">IF(A1643="","",IF(COUNTIFS(全馬データ!$A$2:$A$50000,A1643,全馬データ!$B$2:$B$50000,B1643,全馬データ!$C$2:$C$50000,C1643,全馬データ!$D$2:$D$50000,E1643,全馬データ!$K$2:$K$50000,"&lt;&gt;")=0,"",SUMIFS(全馬データ!$K$2:$K$50000,全馬データ!$A$2:$A$50000,A1643,全馬データ!$B$2:$B$50000,B1643,全馬データ!$C$2:$C$50000,C1643,全馬データ!$D$2:$D$50000,E1643)))</f>
        <v/>
      </c>
      <c r="AP1643" s="8" t="str">
        <f aca="false">IF(A1643="","",IF(AO1643="","欠損",IF(AO1643&lt;=1.1,"1.0～1.1",IF(AO1643&lt;1.3,"1.2",IF(AO1643&lt;1.5,"1.3～1.4",IF(AO1643&lt;2,"1.5～1.9","2.0以上"))))))</f>
        <v/>
      </c>
      <c r="AQ1643" s="8" t="str">
        <f aca="false">IF(A1643="","",IF(ISNUMBER(SEARCH("2歳",Z1643)),"2歳戦",IF(ISNUMBER(SEARCH("3歳未勝利",Z1643)),"3歳未勝利",IF(ISNUMBER(SEARCH("未勝利",Z1643)),"その他未勝利",IF(ISNUMBER(SEARCH("G1",Z1643)),"G1",IF(ISNUMBER(SEARCH("G2",Z1643)),"G2",IF(ISNUMBER(SEARCH("G3",Z1643)),"G3",IF(ISNUMBER(SEARCH("古馬条件",Z1643)),"古馬条件戦",IF(ISNUMBER(SEARCH("重賞",Z1643)),"重賞","分類不能")))))))))</f>
        <v/>
      </c>
    </row>
    <row r="1644" customFormat="false" ht="15.75" hidden="false" customHeight="false" outlineLevel="0" collapsed="false">
      <c r="AO1644" s="8" t="str">
        <f aca="false">IF(A1644="","",IF(COUNTIFS(全馬データ!$A$2:$A$50000,A1644,全馬データ!$B$2:$B$50000,B1644,全馬データ!$C$2:$C$50000,C1644,全馬データ!$D$2:$D$50000,E1644,全馬データ!$K$2:$K$50000,"&lt;&gt;")=0,"",SUMIFS(全馬データ!$K$2:$K$50000,全馬データ!$A$2:$A$50000,A1644,全馬データ!$B$2:$B$50000,B1644,全馬データ!$C$2:$C$50000,C1644,全馬データ!$D$2:$D$50000,E1644)))</f>
        <v/>
      </c>
      <c r="AP1644" s="8" t="str">
        <f aca="false">IF(A1644="","",IF(AO1644="","欠損",IF(AO1644&lt;=1.1,"1.0～1.1",IF(AO1644&lt;1.3,"1.2",IF(AO1644&lt;1.5,"1.3～1.4",IF(AO1644&lt;2,"1.5～1.9","2.0以上"))))))</f>
        <v/>
      </c>
      <c r="AQ1644" s="8" t="str">
        <f aca="false">IF(A1644="","",IF(ISNUMBER(SEARCH("2歳",Z1644)),"2歳戦",IF(ISNUMBER(SEARCH("3歳未勝利",Z1644)),"3歳未勝利",IF(ISNUMBER(SEARCH("未勝利",Z1644)),"その他未勝利",IF(ISNUMBER(SEARCH("G1",Z1644)),"G1",IF(ISNUMBER(SEARCH("G2",Z1644)),"G2",IF(ISNUMBER(SEARCH("G3",Z1644)),"G3",IF(ISNUMBER(SEARCH("古馬条件",Z1644)),"古馬条件戦",IF(ISNUMBER(SEARCH("重賞",Z1644)),"重賞","分類不能")))))))))</f>
        <v/>
      </c>
    </row>
    <row r="1645" customFormat="false" ht="15.75" hidden="false" customHeight="false" outlineLevel="0" collapsed="false">
      <c r="AO1645" s="8" t="str">
        <f aca="false">IF(A1645="","",IF(COUNTIFS(全馬データ!$A$2:$A$50000,A1645,全馬データ!$B$2:$B$50000,B1645,全馬データ!$C$2:$C$50000,C1645,全馬データ!$D$2:$D$50000,E1645,全馬データ!$K$2:$K$50000,"&lt;&gt;")=0,"",SUMIFS(全馬データ!$K$2:$K$50000,全馬データ!$A$2:$A$50000,A1645,全馬データ!$B$2:$B$50000,B1645,全馬データ!$C$2:$C$50000,C1645,全馬データ!$D$2:$D$50000,E1645)))</f>
        <v/>
      </c>
      <c r="AP1645" s="8" t="str">
        <f aca="false">IF(A1645="","",IF(AO1645="","欠損",IF(AO1645&lt;=1.1,"1.0～1.1",IF(AO1645&lt;1.3,"1.2",IF(AO1645&lt;1.5,"1.3～1.4",IF(AO1645&lt;2,"1.5～1.9","2.0以上"))))))</f>
        <v/>
      </c>
      <c r="AQ1645" s="8" t="str">
        <f aca="false">IF(A1645="","",IF(ISNUMBER(SEARCH("2歳",Z1645)),"2歳戦",IF(ISNUMBER(SEARCH("3歳未勝利",Z1645)),"3歳未勝利",IF(ISNUMBER(SEARCH("未勝利",Z1645)),"その他未勝利",IF(ISNUMBER(SEARCH("G1",Z1645)),"G1",IF(ISNUMBER(SEARCH("G2",Z1645)),"G2",IF(ISNUMBER(SEARCH("G3",Z1645)),"G3",IF(ISNUMBER(SEARCH("古馬条件",Z1645)),"古馬条件戦",IF(ISNUMBER(SEARCH("重賞",Z1645)),"重賞","分類不能")))))))))</f>
        <v/>
      </c>
    </row>
    <row r="1646" customFormat="false" ht="15.75" hidden="false" customHeight="false" outlineLevel="0" collapsed="false">
      <c r="AO1646" s="8" t="str">
        <f aca="false">IF(A1646="","",IF(COUNTIFS(全馬データ!$A$2:$A$50000,A1646,全馬データ!$B$2:$B$50000,B1646,全馬データ!$C$2:$C$50000,C1646,全馬データ!$D$2:$D$50000,E1646,全馬データ!$K$2:$K$50000,"&lt;&gt;")=0,"",SUMIFS(全馬データ!$K$2:$K$50000,全馬データ!$A$2:$A$50000,A1646,全馬データ!$B$2:$B$50000,B1646,全馬データ!$C$2:$C$50000,C1646,全馬データ!$D$2:$D$50000,E1646)))</f>
        <v/>
      </c>
      <c r="AP1646" s="8" t="str">
        <f aca="false">IF(A1646="","",IF(AO1646="","欠損",IF(AO1646&lt;=1.1,"1.0～1.1",IF(AO1646&lt;1.3,"1.2",IF(AO1646&lt;1.5,"1.3～1.4",IF(AO1646&lt;2,"1.5～1.9","2.0以上"))))))</f>
        <v/>
      </c>
      <c r="AQ1646" s="8" t="str">
        <f aca="false">IF(A1646="","",IF(ISNUMBER(SEARCH("2歳",Z1646)),"2歳戦",IF(ISNUMBER(SEARCH("3歳未勝利",Z1646)),"3歳未勝利",IF(ISNUMBER(SEARCH("未勝利",Z1646)),"その他未勝利",IF(ISNUMBER(SEARCH("G1",Z1646)),"G1",IF(ISNUMBER(SEARCH("G2",Z1646)),"G2",IF(ISNUMBER(SEARCH("G3",Z1646)),"G3",IF(ISNUMBER(SEARCH("古馬条件",Z1646)),"古馬条件戦",IF(ISNUMBER(SEARCH("重賞",Z1646)),"重賞","分類不能")))))))))</f>
        <v/>
      </c>
    </row>
    <row r="1647" customFormat="false" ht="15.75" hidden="false" customHeight="false" outlineLevel="0" collapsed="false">
      <c r="AO1647" s="8" t="str">
        <f aca="false">IF(A1647="","",IF(COUNTIFS(全馬データ!$A$2:$A$50000,A1647,全馬データ!$B$2:$B$50000,B1647,全馬データ!$C$2:$C$50000,C1647,全馬データ!$D$2:$D$50000,E1647,全馬データ!$K$2:$K$50000,"&lt;&gt;")=0,"",SUMIFS(全馬データ!$K$2:$K$50000,全馬データ!$A$2:$A$50000,A1647,全馬データ!$B$2:$B$50000,B1647,全馬データ!$C$2:$C$50000,C1647,全馬データ!$D$2:$D$50000,E1647)))</f>
        <v/>
      </c>
      <c r="AP1647" s="8" t="str">
        <f aca="false">IF(A1647="","",IF(AO1647="","欠損",IF(AO1647&lt;=1.1,"1.0～1.1",IF(AO1647&lt;1.3,"1.2",IF(AO1647&lt;1.5,"1.3～1.4",IF(AO1647&lt;2,"1.5～1.9","2.0以上"))))))</f>
        <v/>
      </c>
      <c r="AQ1647" s="8" t="str">
        <f aca="false">IF(A1647="","",IF(ISNUMBER(SEARCH("2歳",Z1647)),"2歳戦",IF(ISNUMBER(SEARCH("3歳未勝利",Z1647)),"3歳未勝利",IF(ISNUMBER(SEARCH("未勝利",Z1647)),"その他未勝利",IF(ISNUMBER(SEARCH("G1",Z1647)),"G1",IF(ISNUMBER(SEARCH("G2",Z1647)),"G2",IF(ISNUMBER(SEARCH("G3",Z1647)),"G3",IF(ISNUMBER(SEARCH("古馬条件",Z1647)),"古馬条件戦",IF(ISNUMBER(SEARCH("重賞",Z1647)),"重賞","分類不能")))))))))</f>
        <v/>
      </c>
    </row>
    <row r="1648" customFormat="false" ht="15.75" hidden="false" customHeight="false" outlineLevel="0" collapsed="false">
      <c r="AO1648" s="8" t="str">
        <f aca="false">IF(A1648="","",IF(COUNTIFS(全馬データ!$A$2:$A$50000,A1648,全馬データ!$B$2:$B$50000,B1648,全馬データ!$C$2:$C$50000,C1648,全馬データ!$D$2:$D$50000,E1648,全馬データ!$K$2:$K$50000,"&lt;&gt;")=0,"",SUMIFS(全馬データ!$K$2:$K$50000,全馬データ!$A$2:$A$50000,A1648,全馬データ!$B$2:$B$50000,B1648,全馬データ!$C$2:$C$50000,C1648,全馬データ!$D$2:$D$50000,E1648)))</f>
        <v/>
      </c>
      <c r="AP1648" s="8" t="str">
        <f aca="false">IF(A1648="","",IF(AO1648="","欠損",IF(AO1648&lt;=1.1,"1.0～1.1",IF(AO1648&lt;1.3,"1.2",IF(AO1648&lt;1.5,"1.3～1.4",IF(AO1648&lt;2,"1.5～1.9","2.0以上"))))))</f>
        <v/>
      </c>
      <c r="AQ1648" s="8" t="str">
        <f aca="false">IF(A1648="","",IF(ISNUMBER(SEARCH("2歳",Z1648)),"2歳戦",IF(ISNUMBER(SEARCH("3歳未勝利",Z1648)),"3歳未勝利",IF(ISNUMBER(SEARCH("未勝利",Z1648)),"その他未勝利",IF(ISNUMBER(SEARCH("G1",Z1648)),"G1",IF(ISNUMBER(SEARCH("G2",Z1648)),"G2",IF(ISNUMBER(SEARCH("G3",Z1648)),"G3",IF(ISNUMBER(SEARCH("古馬条件",Z1648)),"古馬条件戦",IF(ISNUMBER(SEARCH("重賞",Z1648)),"重賞","分類不能")))))))))</f>
        <v/>
      </c>
    </row>
    <row r="1649" customFormat="false" ht="15.75" hidden="false" customHeight="false" outlineLevel="0" collapsed="false">
      <c r="AO1649" s="8" t="str">
        <f aca="false">IF(A1649="","",IF(COUNTIFS(全馬データ!$A$2:$A$50000,A1649,全馬データ!$B$2:$B$50000,B1649,全馬データ!$C$2:$C$50000,C1649,全馬データ!$D$2:$D$50000,E1649,全馬データ!$K$2:$K$50000,"&lt;&gt;")=0,"",SUMIFS(全馬データ!$K$2:$K$50000,全馬データ!$A$2:$A$50000,A1649,全馬データ!$B$2:$B$50000,B1649,全馬データ!$C$2:$C$50000,C1649,全馬データ!$D$2:$D$50000,E1649)))</f>
        <v/>
      </c>
      <c r="AP1649" s="8" t="str">
        <f aca="false">IF(A1649="","",IF(AO1649="","欠損",IF(AO1649&lt;=1.1,"1.0～1.1",IF(AO1649&lt;1.3,"1.2",IF(AO1649&lt;1.5,"1.3～1.4",IF(AO1649&lt;2,"1.5～1.9","2.0以上"))))))</f>
        <v/>
      </c>
      <c r="AQ1649" s="8" t="str">
        <f aca="false">IF(A1649="","",IF(ISNUMBER(SEARCH("2歳",Z1649)),"2歳戦",IF(ISNUMBER(SEARCH("3歳未勝利",Z1649)),"3歳未勝利",IF(ISNUMBER(SEARCH("未勝利",Z1649)),"その他未勝利",IF(ISNUMBER(SEARCH("G1",Z1649)),"G1",IF(ISNUMBER(SEARCH("G2",Z1649)),"G2",IF(ISNUMBER(SEARCH("G3",Z1649)),"G3",IF(ISNUMBER(SEARCH("古馬条件",Z1649)),"古馬条件戦",IF(ISNUMBER(SEARCH("重賞",Z1649)),"重賞","分類不能")))))))))</f>
        <v/>
      </c>
    </row>
    <row r="1650" customFormat="false" ht="15.75" hidden="false" customHeight="false" outlineLevel="0" collapsed="false">
      <c r="AO1650" s="8" t="str">
        <f aca="false">IF(A1650="","",IF(COUNTIFS(全馬データ!$A$2:$A$50000,A1650,全馬データ!$B$2:$B$50000,B1650,全馬データ!$C$2:$C$50000,C1650,全馬データ!$D$2:$D$50000,E1650,全馬データ!$K$2:$K$50000,"&lt;&gt;")=0,"",SUMIFS(全馬データ!$K$2:$K$50000,全馬データ!$A$2:$A$50000,A1650,全馬データ!$B$2:$B$50000,B1650,全馬データ!$C$2:$C$50000,C1650,全馬データ!$D$2:$D$50000,E1650)))</f>
        <v/>
      </c>
      <c r="AP1650" s="8" t="str">
        <f aca="false">IF(A1650="","",IF(AO1650="","欠損",IF(AO1650&lt;=1.1,"1.0～1.1",IF(AO1650&lt;1.3,"1.2",IF(AO1650&lt;1.5,"1.3～1.4",IF(AO1650&lt;2,"1.5～1.9","2.0以上"))))))</f>
        <v/>
      </c>
      <c r="AQ1650" s="8" t="str">
        <f aca="false">IF(A1650="","",IF(ISNUMBER(SEARCH("2歳",Z1650)),"2歳戦",IF(ISNUMBER(SEARCH("3歳未勝利",Z1650)),"3歳未勝利",IF(ISNUMBER(SEARCH("未勝利",Z1650)),"その他未勝利",IF(ISNUMBER(SEARCH("G1",Z1650)),"G1",IF(ISNUMBER(SEARCH("G2",Z1650)),"G2",IF(ISNUMBER(SEARCH("G3",Z1650)),"G3",IF(ISNUMBER(SEARCH("古馬条件",Z1650)),"古馬条件戦",IF(ISNUMBER(SEARCH("重賞",Z1650)),"重賞","分類不能")))))))))</f>
        <v/>
      </c>
    </row>
    <row r="1651" customFormat="false" ht="15.75" hidden="false" customHeight="false" outlineLevel="0" collapsed="false">
      <c r="AO1651" s="8" t="str">
        <f aca="false">IF(A1651="","",IF(COUNTIFS(全馬データ!$A$2:$A$50000,A1651,全馬データ!$B$2:$B$50000,B1651,全馬データ!$C$2:$C$50000,C1651,全馬データ!$D$2:$D$50000,E1651,全馬データ!$K$2:$K$50000,"&lt;&gt;")=0,"",SUMIFS(全馬データ!$K$2:$K$50000,全馬データ!$A$2:$A$50000,A1651,全馬データ!$B$2:$B$50000,B1651,全馬データ!$C$2:$C$50000,C1651,全馬データ!$D$2:$D$50000,E1651)))</f>
        <v/>
      </c>
      <c r="AP1651" s="8" t="str">
        <f aca="false">IF(A1651="","",IF(AO1651="","欠損",IF(AO1651&lt;=1.1,"1.0～1.1",IF(AO1651&lt;1.3,"1.2",IF(AO1651&lt;1.5,"1.3～1.4",IF(AO1651&lt;2,"1.5～1.9","2.0以上"))))))</f>
        <v/>
      </c>
      <c r="AQ1651" s="8" t="str">
        <f aca="false">IF(A1651="","",IF(ISNUMBER(SEARCH("2歳",Z1651)),"2歳戦",IF(ISNUMBER(SEARCH("3歳未勝利",Z1651)),"3歳未勝利",IF(ISNUMBER(SEARCH("未勝利",Z1651)),"その他未勝利",IF(ISNUMBER(SEARCH("G1",Z1651)),"G1",IF(ISNUMBER(SEARCH("G2",Z1651)),"G2",IF(ISNUMBER(SEARCH("G3",Z1651)),"G3",IF(ISNUMBER(SEARCH("古馬条件",Z1651)),"古馬条件戦",IF(ISNUMBER(SEARCH("重賞",Z1651)),"重賞","分類不能")))))))))</f>
        <v/>
      </c>
    </row>
    <row r="1652" customFormat="false" ht="15.75" hidden="false" customHeight="false" outlineLevel="0" collapsed="false">
      <c r="AO1652" s="8" t="str">
        <f aca="false">IF(A1652="","",IF(COUNTIFS(全馬データ!$A$2:$A$50000,A1652,全馬データ!$B$2:$B$50000,B1652,全馬データ!$C$2:$C$50000,C1652,全馬データ!$D$2:$D$50000,E1652,全馬データ!$K$2:$K$50000,"&lt;&gt;")=0,"",SUMIFS(全馬データ!$K$2:$K$50000,全馬データ!$A$2:$A$50000,A1652,全馬データ!$B$2:$B$50000,B1652,全馬データ!$C$2:$C$50000,C1652,全馬データ!$D$2:$D$50000,E1652)))</f>
        <v/>
      </c>
      <c r="AP1652" s="8" t="str">
        <f aca="false">IF(A1652="","",IF(AO1652="","欠損",IF(AO1652&lt;=1.1,"1.0～1.1",IF(AO1652&lt;1.3,"1.2",IF(AO1652&lt;1.5,"1.3～1.4",IF(AO1652&lt;2,"1.5～1.9","2.0以上"))))))</f>
        <v/>
      </c>
      <c r="AQ1652" s="8" t="str">
        <f aca="false">IF(A1652="","",IF(ISNUMBER(SEARCH("2歳",Z1652)),"2歳戦",IF(ISNUMBER(SEARCH("3歳未勝利",Z1652)),"3歳未勝利",IF(ISNUMBER(SEARCH("未勝利",Z1652)),"その他未勝利",IF(ISNUMBER(SEARCH("G1",Z1652)),"G1",IF(ISNUMBER(SEARCH("G2",Z1652)),"G2",IF(ISNUMBER(SEARCH("G3",Z1652)),"G3",IF(ISNUMBER(SEARCH("古馬条件",Z1652)),"古馬条件戦",IF(ISNUMBER(SEARCH("重賞",Z1652)),"重賞","分類不能")))))))))</f>
        <v/>
      </c>
    </row>
    <row r="1653" customFormat="false" ht="15.75" hidden="false" customHeight="false" outlineLevel="0" collapsed="false">
      <c r="AO1653" s="8" t="str">
        <f aca="false">IF(A1653="","",IF(COUNTIFS(全馬データ!$A$2:$A$50000,A1653,全馬データ!$B$2:$B$50000,B1653,全馬データ!$C$2:$C$50000,C1653,全馬データ!$D$2:$D$50000,E1653,全馬データ!$K$2:$K$50000,"&lt;&gt;")=0,"",SUMIFS(全馬データ!$K$2:$K$50000,全馬データ!$A$2:$A$50000,A1653,全馬データ!$B$2:$B$50000,B1653,全馬データ!$C$2:$C$50000,C1653,全馬データ!$D$2:$D$50000,E1653)))</f>
        <v/>
      </c>
      <c r="AP1653" s="8" t="str">
        <f aca="false">IF(A1653="","",IF(AO1653="","欠損",IF(AO1653&lt;=1.1,"1.0～1.1",IF(AO1653&lt;1.3,"1.2",IF(AO1653&lt;1.5,"1.3～1.4",IF(AO1653&lt;2,"1.5～1.9","2.0以上"))))))</f>
        <v/>
      </c>
      <c r="AQ1653" s="8" t="str">
        <f aca="false">IF(A1653="","",IF(ISNUMBER(SEARCH("2歳",Z1653)),"2歳戦",IF(ISNUMBER(SEARCH("3歳未勝利",Z1653)),"3歳未勝利",IF(ISNUMBER(SEARCH("未勝利",Z1653)),"その他未勝利",IF(ISNUMBER(SEARCH("G1",Z1653)),"G1",IF(ISNUMBER(SEARCH("G2",Z1653)),"G2",IF(ISNUMBER(SEARCH("G3",Z1653)),"G3",IF(ISNUMBER(SEARCH("古馬条件",Z1653)),"古馬条件戦",IF(ISNUMBER(SEARCH("重賞",Z1653)),"重賞","分類不能")))))))))</f>
        <v/>
      </c>
    </row>
    <row r="1654" customFormat="false" ht="15.75" hidden="false" customHeight="false" outlineLevel="0" collapsed="false">
      <c r="AO1654" s="8" t="str">
        <f aca="false">IF(A1654="","",IF(COUNTIFS(全馬データ!$A$2:$A$50000,A1654,全馬データ!$B$2:$B$50000,B1654,全馬データ!$C$2:$C$50000,C1654,全馬データ!$D$2:$D$50000,E1654,全馬データ!$K$2:$K$50000,"&lt;&gt;")=0,"",SUMIFS(全馬データ!$K$2:$K$50000,全馬データ!$A$2:$A$50000,A1654,全馬データ!$B$2:$B$50000,B1654,全馬データ!$C$2:$C$50000,C1654,全馬データ!$D$2:$D$50000,E1654)))</f>
        <v/>
      </c>
      <c r="AP1654" s="8" t="str">
        <f aca="false">IF(A1654="","",IF(AO1654="","欠損",IF(AO1654&lt;=1.1,"1.0～1.1",IF(AO1654&lt;1.3,"1.2",IF(AO1654&lt;1.5,"1.3～1.4",IF(AO1654&lt;2,"1.5～1.9","2.0以上"))))))</f>
        <v/>
      </c>
      <c r="AQ1654" s="8" t="str">
        <f aca="false">IF(A1654="","",IF(ISNUMBER(SEARCH("2歳",Z1654)),"2歳戦",IF(ISNUMBER(SEARCH("3歳未勝利",Z1654)),"3歳未勝利",IF(ISNUMBER(SEARCH("未勝利",Z1654)),"その他未勝利",IF(ISNUMBER(SEARCH("G1",Z1654)),"G1",IF(ISNUMBER(SEARCH("G2",Z1654)),"G2",IF(ISNUMBER(SEARCH("G3",Z1654)),"G3",IF(ISNUMBER(SEARCH("古馬条件",Z1654)),"古馬条件戦",IF(ISNUMBER(SEARCH("重賞",Z1654)),"重賞","分類不能")))))))))</f>
        <v/>
      </c>
    </row>
    <row r="1655" customFormat="false" ht="15.75" hidden="false" customHeight="false" outlineLevel="0" collapsed="false">
      <c r="AO1655" s="8" t="str">
        <f aca="false">IF(A1655="","",IF(COUNTIFS(全馬データ!$A$2:$A$50000,A1655,全馬データ!$B$2:$B$50000,B1655,全馬データ!$C$2:$C$50000,C1655,全馬データ!$D$2:$D$50000,E1655,全馬データ!$K$2:$K$50000,"&lt;&gt;")=0,"",SUMIFS(全馬データ!$K$2:$K$50000,全馬データ!$A$2:$A$50000,A1655,全馬データ!$B$2:$B$50000,B1655,全馬データ!$C$2:$C$50000,C1655,全馬データ!$D$2:$D$50000,E1655)))</f>
        <v/>
      </c>
      <c r="AP1655" s="8" t="str">
        <f aca="false">IF(A1655="","",IF(AO1655="","欠損",IF(AO1655&lt;=1.1,"1.0～1.1",IF(AO1655&lt;1.3,"1.2",IF(AO1655&lt;1.5,"1.3～1.4",IF(AO1655&lt;2,"1.5～1.9","2.0以上"))))))</f>
        <v/>
      </c>
      <c r="AQ1655" s="8" t="str">
        <f aca="false">IF(A1655="","",IF(ISNUMBER(SEARCH("2歳",Z1655)),"2歳戦",IF(ISNUMBER(SEARCH("3歳未勝利",Z1655)),"3歳未勝利",IF(ISNUMBER(SEARCH("未勝利",Z1655)),"その他未勝利",IF(ISNUMBER(SEARCH("G1",Z1655)),"G1",IF(ISNUMBER(SEARCH("G2",Z1655)),"G2",IF(ISNUMBER(SEARCH("G3",Z1655)),"G3",IF(ISNUMBER(SEARCH("古馬条件",Z1655)),"古馬条件戦",IF(ISNUMBER(SEARCH("重賞",Z1655)),"重賞","分類不能")))))))))</f>
        <v/>
      </c>
    </row>
    <row r="1656" customFormat="false" ht="15.75" hidden="false" customHeight="false" outlineLevel="0" collapsed="false">
      <c r="AO1656" s="8" t="str">
        <f aca="false">IF(A1656="","",IF(COUNTIFS(全馬データ!$A$2:$A$50000,A1656,全馬データ!$B$2:$B$50000,B1656,全馬データ!$C$2:$C$50000,C1656,全馬データ!$D$2:$D$50000,E1656,全馬データ!$K$2:$K$50000,"&lt;&gt;")=0,"",SUMIFS(全馬データ!$K$2:$K$50000,全馬データ!$A$2:$A$50000,A1656,全馬データ!$B$2:$B$50000,B1656,全馬データ!$C$2:$C$50000,C1656,全馬データ!$D$2:$D$50000,E1656)))</f>
        <v/>
      </c>
      <c r="AP1656" s="8" t="str">
        <f aca="false">IF(A1656="","",IF(AO1656="","欠損",IF(AO1656&lt;=1.1,"1.0～1.1",IF(AO1656&lt;1.3,"1.2",IF(AO1656&lt;1.5,"1.3～1.4",IF(AO1656&lt;2,"1.5～1.9","2.0以上"))))))</f>
        <v/>
      </c>
      <c r="AQ1656" s="8" t="str">
        <f aca="false">IF(A1656="","",IF(ISNUMBER(SEARCH("2歳",Z1656)),"2歳戦",IF(ISNUMBER(SEARCH("3歳未勝利",Z1656)),"3歳未勝利",IF(ISNUMBER(SEARCH("未勝利",Z1656)),"その他未勝利",IF(ISNUMBER(SEARCH("G1",Z1656)),"G1",IF(ISNUMBER(SEARCH("G2",Z1656)),"G2",IF(ISNUMBER(SEARCH("G3",Z1656)),"G3",IF(ISNUMBER(SEARCH("古馬条件",Z1656)),"古馬条件戦",IF(ISNUMBER(SEARCH("重賞",Z1656)),"重賞","分類不能")))))))))</f>
        <v/>
      </c>
    </row>
    <row r="1657" customFormat="false" ht="15.75" hidden="false" customHeight="false" outlineLevel="0" collapsed="false">
      <c r="AO1657" s="8" t="str">
        <f aca="false">IF(A1657="","",IF(COUNTIFS(全馬データ!$A$2:$A$50000,A1657,全馬データ!$B$2:$B$50000,B1657,全馬データ!$C$2:$C$50000,C1657,全馬データ!$D$2:$D$50000,E1657,全馬データ!$K$2:$K$50000,"&lt;&gt;")=0,"",SUMIFS(全馬データ!$K$2:$K$50000,全馬データ!$A$2:$A$50000,A1657,全馬データ!$B$2:$B$50000,B1657,全馬データ!$C$2:$C$50000,C1657,全馬データ!$D$2:$D$50000,E1657)))</f>
        <v/>
      </c>
      <c r="AP1657" s="8" t="str">
        <f aca="false">IF(A1657="","",IF(AO1657="","欠損",IF(AO1657&lt;=1.1,"1.0～1.1",IF(AO1657&lt;1.3,"1.2",IF(AO1657&lt;1.5,"1.3～1.4",IF(AO1657&lt;2,"1.5～1.9","2.0以上"))))))</f>
        <v/>
      </c>
      <c r="AQ1657" s="8" t="str">
        <f aca="false">IF(A1657="","",IF(ISNUMBER(SEARCH("2歳",Z1657)),"2歳戦",IF(ISNUMBER(SEARCH("3歳未勝利",Z1657)),"3歳未勝利",IF(ISNUMBER(SEARCH("未勝利",Z1657)),"その他未勝利",IF(ISNUMBER(SEARCH("G1",Z1657)),"G1",IF(ISNUMBER(SEARCH("G2",Z1657)),"G2",IF(ISNUMBER(SEARCH("G3",Z1657)),"G3",IF(ISNUMBER(SEARCH("古馬条件",Z1657)),"古馬条件戦",IF(ISNUMBER(SEARCH("重賞",Z1657)),"重賞","分類不能")))))))))</f>
        <v/>
      </c>
    </row>
    <row r="1658" customFormat="false" ht="15.75" hidden="false" customHeight="false" outlineLevel="0" collapsed="false">
      <c r="AO1658" s="8" t="str">
        <f aca="false">IF(A1658="","",IF(COUNTIFS(全馬データ!$A$2:$A$50000,A1658,全馬データ!$B$2:$B$50000,B1658,全馬データ!$C$2:$C$50000,C1658,全馬データ!$D$2:$D$50000,E1658,全馬データ!$K$2:$K$50000,"&lt;&gt;")=0,"",SUMIFS(全馬データ!$K$2:$K$50000,全馬データ!$A$2:$A$50000,A1658,全馬データ!$B$2:$B$50000,B1658,全馬データ!$C$2:$C$50000,C1658,全馬データ!$D$2:$D$50000,E1658)))</f>
        <v/>
      </c>
      <c r="AP1658" s="8" t="str">
        <f aca="false">IF(A1658="","",IF(AO1658="","欠損",IF(AO1658&lt;=1.1,"1.0～1.1",IF(AO1658&lt;1.3,"1.2",IF(AO1658&lt;1.5,"1.3～1.4",IF(AO1658&lt;2,"1.5～1.9","2.0以上"))))))</f>
        <v/>
      </c>
      <c r="AQ1658" s="8" t="str">
        <f aca="false">IF(A1658="","",IF(ISNUMBER(SEARCH("2歳",Z1658)),"2歳戦",IF(ISNUMBER(SEARCH("3歳未勝利",Z1658)),"3歳未勝利",IF(ISNUMBER(SEARCH("未勝利",Z1658)),"その他未勝利",IF(ISNUMBER(SEARCH("G1",Z1658)),"G1",IF(ISNUMBER(SEARCH("G2",Z1658)),"G2",IF(ISNUMBER(SEARCH("G3",Z1658)),"G3",IF(ISNUMBER(SEARCH("古馬条件",Z1658)),"古馬条件戦",IF(ISNUMBER(SEARCH("重賞",Z1658)),"重賞","分類不能")))))))))</f>
        <v/>
      </c>
    </row>
    <row r="1659" customFormat="false" ht="15.75" hidden="false" customHeight="false" outlineLevel="0" collapsed="false">
      <c r="AO1659" s="8" t="str">
        <f aca="false">IF(A1659="","",IF(COUNTIFS(全馬データ!$A$2:$A$50000,A1659,全馬データ!$B$2:$B$50000,B1659,全馬データ!$C$2:$C$50000,C1659,全馬データ!$D$2:$D$50000,E1659,全馬データ!$K$2:$K$50000,"&lt;&gt;")=0,"",SUMIFS(全馬データ!$K$2:$K$50000,全馬データ!$A$2:$A$50000,A1659,全馬データ!$B$2:$B$50000,B1659,全馬データ!$C$2:$C$50000,C1659,全馬データ!$D$2:$D$50000,E1659)))</f>
        <v/>
      </c>
      <c r="AP1659" s="8" t="str">
        <f aca="false">IF(A1659="","",IF(AO1659="","欠損",IF(AO1659&lt;=1.1,"1.0～1.1",IF(AO1659&lt;1.3,"1.2",IF(AO1659&lt;1.5,"1.3～1.4",IF(AO1659&lt;2,"1.5～1.9","2.0以上"))))))</f>
        <v/>
      </c>
      <c r="AQ1659" s="8" t="str">
        <f aca="false">IF(A1659="","",IF(ISNUMBER(SEARCH("2歳",Z1659)),"2歳戦",IF(ISNUMBER(SEARCH("3歳未勝利",Z1659)),"3歳未勝利",IF(ISNUMBER(SEARCH("未勝利",Z1659)),"その他未勝利",IF(ISNUMBER(SEARCH("G1",Z1659)),"G1",IF(ISNUMBER(SEARCH("G2",Z1659)),"G2",IF(ISNUMBER(SEARCH("G3",Z1659)),"G3",IF(ISNUMBER(SEARCH("古馬条件",Z1659)),"古馬条件戦",IF(ISNUMBER(SEARCH("重賞",Z1659)),"重賞","分類不能")))))))))</f>
        <v/>
      </c>
    </row>
    <row r="1660" customFormat="false" ht="15.75" hidden="false" customHeight="false" outlineLevel="0" collapsed="false">
      <c r="AO1660" s="8" t="str">
        <f aca="false">IF(A1660="","",IF(COUNTIFS(全馬データ!$A$2:$A$50000,A1660,全馬データ!$B$2:$B$50000,B1660,全馬データ!$C$2:$C$50000,C1660,全馬データ!$D$2:$D$50000,E1660,全馬データ!$K$2:$K$50000,"&lt;&gt;")=0,"",SUMIFS(全馬データ!$K$2:$K$50000,全馬データ!$A$2:$A$50000,A1660,全馬データ!$B$2:$B$50000,B1660,全馬データ!$C$2:$C$50000,C1660,全馬データ!$D$2:$D$50000,E1660)))</f>
        <v/>
      </c>
      <c r="AP1660" s="8" t="str">
        <f aca="false">IF(A1660="","",IF(AO1660="","欠損",IF(AO1660&lt;=1.1,"1.0～1.1",IF(AO1660&lt;1.3,"1.2",IF(AO1660&lt;1.5,"1.3～1.4",IF(AO1660&lt;2,"1.5～1.9","2.0以上"))))))</f>
        <v/>
      </c>
      <c r="AQ1660" s="8" t="str">
        <f aca="false">IF(A1660="","",IF(ISNUMBER(SEARCH("2歳",Z1660)),"2歳戦",IF(ISNUMBER(SEARCH("3歳未勝利",Z1660)),"3歳未勝利",IF(ISNUMBER(SEARCH("未勝利",Z1660)),"その他未勝利",IF(ISNUMBER(SEARCH("G1",Z1660)),"G1",IF(ISNUMBER(SEARCH("G2",Z1660)),"G2",IF(ISNUMBER(SEARCH("G3",Z1660)),"G3",IF(ISNUMBER(SEARCH("古馬条件",Z1660)),"古馬条件戦",IF(ISNUMBER(SEARCH("重賞",Z1660)),"重賞","分類不能")))))))))</f>
        <v/>
      </c>
    </row>
    <row r="1661" customFormat="false" ht="15.75" hidden="false" customHeight="false" outlineLevel="0" collapsed="false">
      <c r="AO1661" s="8" t="str">
        <f aca="false">IF(A1661="","",IF(COUNTIFS(全馬データ!$A$2:$A$50000,A1661,全馬データ!$B$2:$B$50000,B1661,全馬データ!$C$2:$C$50000,C1661,全馬データ!$D$2:$D$50000,E1661,全馬データ!$K$2:$K$50000,"&lt;&gt;")=0,"",SUMIFS(全馬データ!$K$2:$K$50000,全馬データ!$A$2:$A$50000,A1661,全馬データ!$B$2:$B$50000,B1661,全馬データ!$C$2:$C$50000,C1661,全馬データ!$D$2:$D$50000,E1661)))</f>
        <v/>
      </c>
      <c r="AP1661" s="8" t="str">
        <f aca="false">IF(A1661="","",IF(AO1661="","欠損",IF(AO1661&lt;=1.1,"1.0～1.1",IF(AO1661&lt;1.3,"1.2",IF(AO1661&lt;1.5,"1.3～1.4",IF(AO1661&lt;2,"1.5～1.9","2.0以上"))))))</f>
        <v/>
      </c>
      <c r="AQ1661" s="8" t="str">
        <f aca="false">IF(A1661="","",IF(ISNUMBER(SEARCH("2歳",Z1661)),"2歳戦",IF(ISNUMBER(SEARCH("3歳未勝利",Z1661)),"3歳未勝利",IF(ISNUMBER(SEARCH("未勝利",Z1661)),"その他未勝利",IF(ISNUMBER(SEARCH("G1",Z1661)),"G1",IF(ISNUMBER(SEARCH("G2",Z1661)),"G2",IF(ISNUMBER(SEARCH("G3",Z1661)),"G3",IF(ISNUMBER(SEARCH("古馬条件",Z1661)),"古馬条件戦",IF(ISNUMBER(SEARCH("重賞",Z1661)),"重賞","分類不能")))))))))</f>
        <v/>
      </c>
    </row>
    <row r="1662" customFormat="false" ht="15.75" hidden="false" customHeight="false" outlineLevel="0" collapsed="false">
      <c r="AO1662" s="8" t="str">
        <f aca="false">IF(A1662="","",IF(COUNTIFS(全馬データ!$A$2:$A$50000,A1662,全馬データ!$B$2:$B$50000,B1662,全馬データ!$C$2:$C$50000,C1662,全馬データ!$D$2:$D$50000,E1662,全馬データ!$K$2:$K$50000,"&lt;&gt;")=0,"",SUMIFS(全馬データ!$K$2:$K$50000,全馬データ!$A$2:$A$50000,A1662,全馬データ!$B$2:$B$50000,B1662,全馬データ!$C$2:$C$50000,C1662,全馬データ!$D$2:$D$50000,E1662)))</f>
        <v/>
      </c>
      <c r="AP1662" s="8" t="str">
        <f aca="false">IF(A1662="","",IF(AO1662="","欠損",IF(AO1662&lt;=1.1,"1.0～1.1",IF(AO1662&lt;1.3,"1.2",IF(AO1662&lt;1.5,"1.3～1.4",IF(AO1662&lt;2,"1.5～1.9","2.0以上"))))))</f>
        <v/>
      </c>
      <c r="AQ1662" s="8" t="str">
        <f aca="false">IF(A1662="","",IF(ISNUMBER(SEARCH("2歳",Z1662)),"2歳戦",IF(ISNUMBER(SEARCH("3歳未勝利",Z1662)),"3歳未勝利",IF(ISNUMBER(SEARCH("未勝利",Z1662)),"その他未勝利",IF(ISNUMBER(SEARCH("G1",Z1662)),"G1",IF(ISNUMBER(SEARCH("G2",Z1662)),"G2",IF(ISNUMBER(SEARCH("G3",Z1662)),"G3",IF(ISNUMBER(SEARCH("古馬条件",Z1662)),"古馬条件戦",IF(ISNUMBER(SEARCH("重賞",Z1662)),"重賞","分類不能")))))))))</f>
        <v/>
      </c>
    </row>
    <row r="1663" customFormat="false" ht="15.75" hidden="false" customHeight="false" outlineLevel="0" collapsed="false">
      <c r="AO1663" s="8" t="str">
        <f aca="false">IF(A1663="","",IF(COUNTIFS(全馬データ!$A$2:$A$50000,A1663,全馬データ!$B$2:$B$50000,B1663,全馬データ!$C$2:$C$50000,C1663,全馬データ!$D$2:$D$50000,E1663,全馬データ!$K$2:$K$50000,"&lt;&gt;")=0,"",SUMIFS(全馬データ!$K$2:$K$50000,全馬データ!$A$2:$A$50000,A1663,全馬データ!$B$2:$B$50000,B1663,全馬データ!$C$2:$C$50000,C1663,全馬データ!$D$2:$D$50000,E1663)))</f>
        <v/>
      </c>
      <c r="AP1663" s="8" t="str">
        <f aca="false">IF(A1663="","",IF(AO1663="","欠損",IF(AO1663&lt;=1.1,"1.0～1.1",IF(AO1663&lt;1.3,"1.2",IF(AO1663&lt;1.5,"1.3～1.4",IF(AO1663&lt;2,"1.5～1.9","2.0以上"))))))</f>
        <v/>
      </c>
      <c r="AQ1663" s="8" t="str">
        <f aca="false">IF(A1663="","",IF(ISNUMBER(SEARCH("2歳",Z1663)),"2歳戦",IF(ISNUMBER(SEARCH("3歳未勝利",Z1663)),"3歳未勝利",IF(ISNUMBER(SEARCH("未勝利",Z1663)),"その他未勝利",IF(ISNUMBER(SEARCH("G1",Z1663)),"G1",IF(ISNUMBER(SEARCH("G2",Z1663)),"G2",IF(ISNUMBER(SEARCH("G3",Z1663)),"G3",IF(ISNUMBER(SEARCH("古馬条件",Z1663)),"古馬条件戦",IF(ISNUMBER(SEARCH("重賞",Z1663)),"重賞","分類不能")))))))))</f>
        <v/>
      </c>
    </row>
    <row r="1664" customFormat="false" ht="15.75" hidden="false" customHeight="false" outlineLevel="0" collapsed="false">
      <c r="AO1664" s="8" t="str">
        <f aca="false">IF(A1664="","",IF(COUNTIFS(全馬データ!$A$2:$A$50000,A1664,全馬データ!$B$2:$B$50000,B1664,全馬データ!$C$2:$C$50000,C1664,全馬データ!$D$2:$D$50000,E1664,全馬データ!$K$2:$K$50000,"&lt;&gt;")=0,"",SUMIFS(全馬データ!$K$2:$K$50000,全馬データ!$A$2:$A$50000,A1664,全馬データ!$B$2:$B$50000,B1664,全馬データ!$C$2:$C$50000,C1664,全馬データ!$D$2:$D$50000,E1664)))</f>
        <v/>
      </c>
      <c r="AP1664" s="8" t="str">
        <f aca="false">IF(A1664="","",IF(AO1664="","欠損",IF(AO1664&lt;=1.1,"1.0～1.1",IF(AO1664&lt;1.3,"1.2",IF(AO1664&lt;1.5,"1.3～1.4",IF(AO1664&lt;2,"1.5～1.9","2.0以上"))))))</f>
        <v/>
      </c>
      <c r="AQ1664" s="8" t="str">
        <f aca="false">IF(A1664="","",IF(ISNUMBER(SEARCH("2歳",Z1664)),"2歳戦",IF(ISNUMBER(SEARCH("3歳未勝利",Z1664)),"3歳未勝利",IF(ISNUMBER(SEARCH("未勝利",Z1664)),"その他未勝利",IF(ISNUMBER(SEARCH("G1",Z1664)),"G1",IF(ISNUMBER(SEARCH("G2",Z1664)),"G2",IF(ISNUMBER(SEARCH("G3",Z1664)),"G3",IF(ISNUMBER(SEARCH("古馬条件",Z1664)),"古馬条件戦",IF(ISNUMBER(SEARCH("重賞",Z1664)),"重賞","分類不能")))))))))</f>
        <v/>
      </c>
    </row>
    <row r="1665" customFormat="false" ht="15.75" hidden="false" customHeight="false" outlineLevel="0" collapsed="false">
      <c r="AO1665" s="8" t="str">
        <f aca="false">IF(A1665="","",IF(COUNTIFS(全馬データ!$A$2:$A$50000,A1665,全馬データ!$B$2:$B$50000,B1665,全馬データ!$C$2:$C$50000,C1665,全馬データ!$D$2:$D$50000,E1665,全馬データ!$K$2:$K$50000,"&lt;&gt;")=0,"",SUMIFS(全馬データ!$K$2:$K$50000,全馬データ!$A$2:$A$50000,A1665,全馬データ!$B$2:$B$50000,B1665,全馬データ!$C$2:$C$50000,C1665,全馬データ!$D$2:$D$50000,E1665)))</f>
        <v/>
      </c>
      <c r="AP1665" s="8" t="str">
        <f aca="false">IF(A1665="","",IF(AO1665="","欠損",IF(AO1665&lt;=1.1,"1.0～1.1",IF(AO1665&lt;1.3,"1.2",IF(AO1665&lt;1.5,"1.3～1.4",IF(AO1665&lt;2,"1.5～1.9","2.0以上"))))))</f>
        <v/>
      </c>
      <c r="AQ1665" s="8" t="str">
        <f aca="false">IF(A1665="","",IF(ISNUMBER(SEARCH("2歳",Z1665)),"2歳戦",IF(ISNUMBER(SEARCH("3歳未勝利",Z1665)),"3歳未勝利",IF(ISNUMBER(SEARCH("未勝利",Z1665)),"その他未勝利",IF(ISNUMBER(SEARCH("G1",Z1665)),"G1",IF(ISNUMBER(SEARCH("G2",Z1665)),"G2",IF(ISNUMBER(SEARCH("G3",Z1665)),"G3",IF(ISNUMBER(SEARCH("古馬条件",Z1665)),"古馬条件戦",IF(ISNUMBER(SEARCH("重賞",Z1665)),"重賞","分類不能")))))))))</f>
        <v/>
      </c>
    </row>
    <row r="1666" customFormat="false" ht="15.75" hidden="false" customHeight="false" outlineLevel="0" collapsed="false">
      <c r="AO1666" s="8" t="str">
        <f aca="false">IF(A1666="","",IF(COUNTIFS(全馬データ!$A$2:$A$50000,A1666,全馬データ!$B$2:$B$50000,B1666,全馬データ!$C$2:$C$50000,C1666,全馬データ!$D$2:$D$50000,E1666,全馬データ!$K$2:$K$50000,"&lt;&gt;")=0,"",SUMIFS(全馬データ!$K$2:$K$50000,全馬データ!$A$2:$A$50000,A1666,全馬データ!$B$2:$B$50000,B1666,全馬データ!$C$2:$C$50000,C1666,全馬データ!$D$2:$D$50000,E1666)))</f>
        <v/>
      </c>
      <c r="AP1666" s="8" t="str">
        <f aca="false">IF(A1666="","",IF(AO1666="","欠損",IF(AO1666&lt;=1.1,"1.0～1.1",IF(AO1666&lt;1.3,"1.2",IF(AO1666&lt;1.5,"1.3～1.4",IF(AO1666&lt;2,"1.5～1.9","2.0以上"))))))</f>
        <v/>
      </c>
      <c r="AQ1666" s="8" t="str">
        <f aca="false">IF(A1666="","",IF(ISNUMBER(SEARCH("2歳",Z1666)),"2歳戦",IF(ISNUMBER(SEARCH("3歳未勝利",Z1666)),"3歳未勝利",IF(ISNUMBER(SEARCH("未勝利",Z1666)),"その他未勝利",IF(ISNUMBER(SEARCH("G1",Z1666)),"G1",IF(ISNUMBER(SEARCH("G2",Z1666)),"G2",IF(ISNUMBER(SEARCH("G3",Z1666)),"G3",IF(ISNUMBER(SEARCH("古馬条件",Z1666)),"古馬条件戦",IF(ISNUMBER(SEARCH("重賞",Z1666)),"重賞","分類不能")))))))))</f>
        <v/>
      </c>
    </row>
    <row r="1667" customFormat="false" ht="15.75" hidden="false" customHeight="false" outlineLevel="0" collapsed="false">
      <c r="AO1667" s="8" t="str">
        <f aca="false">IF(A1667="","",IF(COUNTIFS(全馬データ!$A$2:$A$50000,A1667,全馬データ!$B$2:$B$50000,B1667,全馬データ!$C$2:$C$50000,C1667,全馬データ!$D$2:$D$50000,E1667,全馬データ!$K$2:$K$50000,"&lt;&gt;")=0,"",SUMIFS(全馬データ!$K$2:$K$50000,全馬データ!$A$2:$A$50000,A1667,全馬データ!$B$2:$B$50000,B1667,全馬データ!$C$2:$C$50000,C1667,全馬データ!$D$2:$D$50000,E1667)))</f>
        <v/>
      </c>
      <c r="AP1667" s="8" t="str">
        <f aca="false">IF(A1667="","",IF(AO1667="","欠損",IF(AO1667&lt;=1.1,"1.0～1.1",IF(AO1667&lt;1.3,"1.2",IF(AO1667&lt;1.5,"1.3～1.4",IF(AO1667&lt;2,"1.5～1.9","2.0以上"))))))</f>
        <v/>
      </c>
      <c r="AQ1667" s="8" t="str">
        <f aca="false">IF(A1667="","",IF(ISNUMBER(SEARCH("2歳",Z1667)),"2歳戦",IF(ISNUMBER(SEARCH("3歳未勝利",Z1667)),"3歳未勝利",IF(ISNUMBER(SEARCH("未勝利",Z1667)),"その他未勝利",IF(ISNUMBER(SEARCH("G1",Z1667)),"G1",IF(ISNUMBER(SEARCH("G2",Z1667)),"G2",IF(ISNUMBER(SEARCH("G3",Z1667)),"G3",IF(ISNUMBER(SEARCH("古馬条件",Z1667)),"古馬条件戦",IF(ISNUMBER(SEARCH("重賞",Z1667)),"重賞","分類不能")))))))))</f>
        <v/>
      </c>
    </row>
    <row r="1668" customFormat="false" ht="15.75" hidden="false" customHeight="false" outlineLevel="0" collapsed="false">
      <c r="AO1668" s="8" t="str">
        <f aca="false">IF(A1668="","",IF(COUNTIFS(全馬データ!$A$2:$A$50000,A1668,全馬データ!$B$2:$B$50000,B1668,全馬データ!$C$2:$C$50000,C1668,全馬データ!$D$2:$D$50000,E1668,全馬データ!$K$2:$K$50000,"&lt;&gt;")=0,"",SUMIFS(全馬データ!$K$2:$K$50000,全馬データ!$A$2:$A$50000,A1668,全馬データ!$B$2:$B$50000,B1668,全馬データ!$C$2:$C$50000,C1668,全馬データ!$D$2:$D$50000,E1668)))</f>
        <v/>
      </c>
      <c r="AP1668" s="8" t="str">
        <f aca="false">IF(A1668="","",IF(AO1668="","欠損",IF(AO1668&lt;=1.1,"1.0～1.1",IF(AO1668&lt;1.3,"1.2",IF(AO1668&lt;1.5,"1.3～1.4",IF(AO1668&lt;2,"1.5～1.9","2.0以上"))))))</f>
        <v/>
      </c>
      <c r="AQ1668" s="8" t="str">
        <f aca="false">IF(A1668="","",IF(ISNUMBER(SEARCH("2歳",Z1668)),"2歳戦",IF(ISNUMBER(SEARCH("3歳未勝利",Z1668)),"3歳未勝利",IF(ISNUMBER(SEARCH("未勝利",Z1668)),"その他未勝利",IF(ISNUMBER(SEARCH("G1",Z1668)),"G1",IF(ISNUMBER(SEARCH("G2",Z1668)),"G2",IF(ISNUMBER(SEARCH("G3",Z1668)),"G3",IF(ISNUMBER(SEARCH("古馬条件",Z1668)),"古馬条件戦",IF(ISNUMBER(SEARCH("重賞",Z1668)),"重賞","分類不能")))))))))</f>
        <v/>
      </c>
    </row>
    <row r="1669" customFormat="false" ht="15.75" hidden="false" customHeight="false" outlineLevel="0" collapsed="false">
      <c r="AO1669" s="8" t="str">
        <f aca="false">IF(A1669="","",IF(COUNTIFS(全馬データ!$A$2:$A$50000,A1669,全馬データ!$B$2:$B$50000,B1669,全馬データ!$C$2:$C$50000,C1669,全馬データ!$D$2:$D$50000,E1669,全馬データ!$K$2:$K$50000,"&lt;&gt;")=0,"",SUMIFS(全馬データ!$K$2:$K$50000,全馬データ!$A$2:$A$50000,A1669,全馬データ!$B$2:$B$50000,B1669,全馬データ!$C$2:$C$50000,C1669,全馬データ!$D$2:$D$50000,E1669)))</f>
        <v/>
      </c>
      <c r="AP1669" s="8" t="str">
        <f aca="false">IF(A1669="","",IF(AO1669="","欠損",IF(AO1669&lt;=1.1,"1.0～1.1",IF(AO1669&lt;1.3,"1.2",IF(AO1669&lt;1.5,"1.3～1.4",IF(AO1669&lt;2,"1.5～1.9","2.0以上"))))))</f>
        <v/>
      </c>
      <c r="AQ1669" s="8" t="str">
        <f aca="false">IF(A1669="","",IF(ISNUMBER(SEARCH("2歳",Z1669)),"2歳戦",IF(ISNUMBER(SEARCH("3歳未勝利",Z1669)),"3歳未勝利",IF(ISNUMBER(SEARCH("未勝利",Z1669)),"その他未勝利",IF(ISNUMBER(SEARCH("G1",Z1669)),"G1",IF(ISNUMBER(SEARCH("G2",Z1669)),"G2",IF(ISNUMBER(SEARCH("G3",Z1669)),"G3",IF(ISNUMBER(SEARCH("古馬条件",Z1669)),"古馬条件戦",IF(ISNUMBER(SEARCH("重賞",Z1669)),"重賞","分類不能")))))))))</f>
        <v/>
      </c>
    </row>
    <row r="1670" customFormat="false" ht="15.75" hidden="false" customHeight="false" outlineLevel="0" collapsed="false">
      <c r="AO1670" s="8" t="str">
        <f aca="false">IF(A1670="","",IF(COUNTIFS(全馬データ!$A$2:$A$50000,A1670,全馬データ!$B$2:$B$50000,B1670,全馬データ!$C$2:$C$50000,C1670,全馬データ!$D$2:$D$50000,E1670,全馬データ!$K$2:$K$50000,"&lt;&gt;")=0,"",SUMIFS(全馬データ!$K$2:$K$50000,全馬データ!$A$2:$A$50000,A1670,全馬データ!$B$2:$B$50000,B1670,全馬データ!$C$2:$C$50000,C1670,全馬データ!$D$2:$D$50000,E1670)))</f>
        <v/>
      </c>
      <c r="AP1670" s="8" t="str">
        <f aca="false">IF(A1670="","",IF(AO1670="","欠損",IF(AO1670&lt;=1.1,"1.0～1.1",IF(AO1670&lt;1.3,"1.2",IF(AO1670&lt;1.5,"1.3～1.4",IF(AO1670&lt;2,"1.5～1.9","2.0以上"))))))</f>
        <v/>
      </c>
      <c r="AQ1670" s="8" t="str">
        <f aca="false">IF(A1670="","",IF(ISNUMBER(SEARCH("2歳",Z1670)),"2歳戦",IF(ISNUMBER(SEARCH("3歳未勝利",Z1670)),"3歳未勝利",IF(ISNUMBER(SEARCH("未勝利",Z1670)),"その他未勝利",IF(ISNUMBER(SEARCH("G1",Z1670)),"G1",IF(ISNUMBER(SEARCH("G2",Z1670)),"G2",IF(ISNUMBER(SEARCH("G3",Z1670)),"G3",IF(ISNUMBER(SEARCH("古馬条件",Z1670)),"古馬条件戦",IF(ISNUMBER(SEARCH("重賞",Z1670)),"重賞","分類不能")))))))))</f>
        <v/>
      </c>
    </row>
    <row r="1671" customFormat="false" ht="15.75" hidden="false" customHeight="false" outlineLevel="0" collapsed="false">
      <c r="AO1671" s="8" t="str">
        <f aca="false">IF(A1671="","",IF(COUNTIFS(全馬データ!$A$2:$A$50000,A1671,全馬データ!$B$2:$B$50000,B1671,全馬データ!$C$2:$C$50000,C1671,全馬データ!$D$2:$D$50000,E1671,全馬データ!$K$2:$K$50000,"&lt;&gt;")=0,"",SUMIFS(全馬データ!$K$2:$K$50000,全馬データ!$A$2:$A$50000,A1671,全馬データ!$B$2:$B$50000,B1671,全馬データ!$C$2:$C$50000,C1671,全馬データ!$D$2:$D$50000,E1671)))</f>
        <v/>
      </c>
      <c r="AP1671" s="8" t="str">
        <f aca="false">IF(A1671="","",IF(AO1671="","欠損",IF(AO1671&lt;=1.1,"1.0～1.1",IF(AO1671&lt;1.3,"1.2",IF(AO1671&lt;1.5,"1.3～1.4",IF(AO1671&lt;2,"1.5～1.9","2.0以上"))))))</f>
        <v/>
      </c>
      <c r="AQ1671" s="8" t="str">
        <f aca="false">IF(A1671="","",IF(ISNUMBER(SEARCH("2歳",Z1671)),"2歳戦",IF(ISNUMBER(SEARCH("3歳未勝利",Z1671)),"3歳未勝利",IF(ISNUMBER(SEARCH("未勝利",Z1671)),"その他未勝利",IF(ISNUMBER(SEARCH("G1",Z1671)),"G1",IF(ISNUMBER(SEARCH("G2",Z1671)),"G2",IF(ISNUMBER(SEARCH("G3",Z1671)),"G3",IF(ISNUMBER(SEARCH("古馬条件",Z1671)),"古馬条件戦",IF(ISNUMBER(SEARCH("重賞",Z1671)),"重賞","分類不能")))))))))</f>
        <v/>
      </c>
    </row>
    <row r="1672" customFormat="false" ht="15.75" hidden="false" customHeight="false" outlineLevel="0" collapsed="false">
      <c r="AO1672" s="8" t="str">
        <f aca="false">IF(A1672="","",IF(COUNTIFS(全馬データ!$A$2:$A$50000,A1672,全馬データ!$B$2:$B$50000,B1672,全馬データ!$C$2:$C$50000,C1672,全馬データ!$D$2:$D$50000,E1672,全馬データ!$K$2:$K$50000,"&lt;&gt;")=0,"",SUMIFS(全馬データ!$K$2:$K$50000,全馬データ!$A$2:$A$50000,A1672,全馬データ!$B$2:$B$50000,B1672,全馬データ!$C$2:$C$50000,C1672,全馬データ!$D$2:$D$50000,E1672)))</f>
        <v/>
      </c>
      <c r="AP1672" s="8" t="str">
        <f aca="false">IF(A1672="","",IF(AO1672="","欠損",IF(AO1672&lt;=1.1,"1.0～1.1",IF(AO1672&lt;1.3,"1.2",IF(AO1672&lt;1.5,"1.3～1.4",IF(AO1672&lt;2,"1.5～1.9","2.0以上"))))))</f>
        <v/>
      </c>
      <c r="AQ1672" s="8" t="str">
        <f aca="false">IF(A1672="","",IF(ISNUMBER(SEARCH("2歳",Z1672)),"2歳戦",IF(ISNUMBER(SEARCH("3歳未勝利",Z1672)),"3歳未勝利",IF(ISNUMBER(SEARCH("未勝利",Z1672)),"その他未勝利",IF(ISNUMBER(SEARCH("G1",Z1672)),"G1",IF(ISNUMBER(SEARCH("G2",Z1672)),"G2",IF(ISNUMBER(SEARCH("G3",Z1672)),"G3",IF(ISNUMBER(SEARCH("古馬条件",Z1672)),"古馬条件戦",IF(ISNUMBER(SEARCH("重賞",Z1672)),"重賞","分類不能")))))))))</f>
        <v/>
      </c>
    </row>
    <row r="1673" customFormat="false" ht="15.75" hidden="false" customHeight="false" outlineLevel="0" collapsed="false">
      <c r="AO1673" s="8" t="str">
        <f aca="false">IF(A1673="","",IF(COUNTIFS(全馬データ!$A$2:$A$50000,A1673,全馬データ!$B$2:$B$50000,B1673,全馬データ!$C$2:$C$50000,C1673,全馬データ!$D$2:$D$50000,E1673,全馬データ!$K$2:$K$50000,"&lt;&gt;")=0,"",SUMIFS(全馬データ!$K$2:$K$50000,全馬データ!$A$2:$A$50000,A1673,全馬データ!$B$2:$B$50000,B1673,全馬データ!$C$2:$C$50000,C1673,全馬データ!$D$2:$D$50000,E1673)))</f>
        <v/>
      </c>
      <c r="AP1673" s="8" t="str">
        <f aca="false">IF(A1673="","",IF(AO1673="","欠損",IF(AO1673&lt;=1.1,"1.0～1.1",IF(AO1673&lt;1.3,"1.2",IF(AO1673&lt;1.5,"1.3～1.4",IF(AO1673&lt;2,"1.5～1.9","2.0以上"))))))</f>
        <v/>
      </c>
      <c r="AQ1673" s="8" t="str">
        <f aca="false">IF(A1673="","",IF(ISNUMBER(SEARCH("2歳",Z1673)),"2歳戦",IF(ISNUMBER(SEARCH("3歳未勝利",Z1673)),"3歳未勝利",IF(ISNUMBER(SEARCH("未勝利",Z1673)),"その他未勝利",IF(ISNUMBER(SEARCH("G1",Z1673)),"G1",IF(ISNUMBER(SEARCH("G2",Z1673)),"G2",IF(ISNUMBER(SEARCH("G3",Z1673)),"G3",IF(ISNUMBER(SEARCH("古馬条件",Z1673)),"古馬条件戦",IF(ISNUMBER(SEARCH("重賞",Z1673)),"重賞","分類不能")))))))))</f>
        <v/>
      </c>
    </row>
    <row r="1674" customFormat="false" ht="15.75" hidden="false" customHeight="false" outlineLevel="0" collapsed="false">
      <c r="AO1674" s="8" t="str">
        <f aca="false">IF(A1674="","",IF(COUNTIFS(全馬データ!$A$2:$A$50000,A1674,全馬データ!$B$2:$B$50000,B1674,全馬データ!$C$2:$C$50000,C1674,全馬データ!$D$2:$D$50000,E1674,全馬データ!$K$2:$K$50000,"&lt;&gt;")=0,"",SUMIFS(全馬データ!$K$2:$K$50000,全馬データ!$A$2:$A$50000,A1674,全馬データ!$B$2:$B$50000,B1674,全馬データ!$C$2:$C$50000,C1674,全馬データ!$D$2:$D$50000,E1674)))</f>
        <v/>
      </c>
      <c r="AP1674" s="8" t="str">
        <f aca="false">IF(A1674="","",IF(AO1674="","欠損",IF(AO1674&lt;=1.1,"1.0～1.1",IF(AO1674&lt;1.3,"1.2",IF(AO1674&lt;1.5,"1.3～1.4",IF(AO1674&lt;2,"1.5～1.9","2.0以上"))))))</f>
        <v/>
      </c>
      <c r="AQ1674" s="8" t="str">
        <f aca="false">IF(A1674="","",IF(ISNUMBER(SEARCH("2歳",Z1674)),"2歳戦",IF(ISNUMBER(SEARCH("3歳未勝利",Z1674)),"3歳未勝利",IF(ISNUMBER(SEARCH("未勝利",Z1674)),"その他未勝利",IF(ISNUMBER(SEARCH("G1",Z1674)),"G1",IF(ISNUMBER(SEARCH("G2",Z1674)),"G2",IF(ISNUMBER(SEARCH("G3",Z1674)),"G3",IF(ISNUMBER(SEARCH("古馬条件",Z1674)),"古馬条件戦",IF(ISNUMBER(SEARCH("重賞",Z1674)),"重賞","分類不能")))))))))</f>
        <v/>
      </c>
    </row>
    <row r="1675" customFormat="false" ht="15.75" hidden="false" customHeight="false" outlineLevel="0" collapsed="false">
      <c r="AO1675" s="8" t="str">
        <f aca="false">IF(A1675="","",IF(COUNTIFS(全馬データ!$A$2:$A$50000,A1675,全馬データ!$B$2:$B$50000,B1675,全馬データ!$C$2:$C$50000,C1675,全馬データ!$D$2:$D$50000,E1675,全馬データ!$K$2:$K$50000,"&lt;&gt;")=0,"",SUMIFS(全馬データ!$K$2:$K$50000,全馬データ!$A$2:$A$50000,A1675,全馬データ!$B$2:$B$50000,B1675,全馬データ!$C$2:$C$50000,C1675,全馬データ!$D$2:$D$50000,E1675)))</f>
        <v/>
      </c>
      <c r="AP1675" s="8" t="str">
        <f aca="false">IF(A1675="","",IF(AO1675="","欠損",IF(AO1675&lt;=1.1,"1.0～1.1",IF(AO1675&lt;1.3,"1.2",IF(AO1675&lt;1.5,"1.3～1.4",IF(AO1675&lt;2,"1.5～1.9","2.0以上"))))))</f>
        <v/>
      </c>
      <c r="AQ1675" s="8" t="str">
        <f aca="false">IF(A1675="","",IF(ISNUMBER(SEARCH("2歳",Z1675)),"2歳戦",IF(ISNUMBER(SEARCH("3歳未勝利",Z1675)),"3歳未勝利",IF(ISNUMBER(SEARCH("未勝利",Z1675)),"その他未勝利",IF(ISNUMBER(SEARCH("G1",Z1675)),"G1",IF(ISNUMBER(SEARCH("G2",Z1675)),"G2",IF(ISNUMBER(SEARCH("G3",Z1675)),"G3",IF(ISNUMBER(SEARCH("古馬条件",Z1675)),"古馬条件戦",IF(ISNUMBER(SEARCH("重賞",Z1675)),"重賞","分類不能")))))))))</f>
        <v/>
      </c>
    </row>
    <row r="1676" customFormat="false" ht="15.75" hidden="false" customHeight="false" outlineLevel="0" collapsed="false">
      <c r="AO1676" s="8" t="str">
        <f aca="false">IF(A1676="","",IF(COUNTIFS(全馬データ!$A$2:$A$50000,A1676,全馬データ!$B$2:$B$50000,B1676,全馬データ!$C$2:$C$50000,C1676,全馬データ!$D$2:$D$50000,E1676,全馬データ!$K$2:$K$50000,"&lt;&gt;")=0,"",SUMIFS(全馬データ!$K$2:$K$50000,全馬データ!$A$2:$A$50000,A1676,全馬データ!$B$2:$B$50000,B1676,全馬データ!$C$2:$C$50000,C1676,全馬データ!$D$2:$D$50000,E1676)))</f>
        <v/>
      </c>
      <c r="AP1676" s="8" t="str">
        <f aca="false">IF(A1676="","",IF(AO1676="","欠損",IF(AO1676&lt;=1.1,"1.0～1.1",IF(AO1676&lt;1.3,"1.2",IF(AO1676&lt;1.5,"1.3～1.4",IF(AO1676&lt;2,"1.5～1.9","2.0以上"))))))</f>
        <v/>
      </c>
      <c r="AQ1676" s="8" t="str">
        <f aca="false">IF(A1676="","",IF(ISNUMBER(SEARCH("2歳",Z1676)),"2歳戦",IF(ISNUMBER(SEARCH("3歳未勝利",Z1676)),"3歳未勝利",IF(ISNUMBER(SEARCH("未勝利",Z1676)),"その他未勝利",IF(ISNUMBER(SEARCH("G1",Z1676)),"G1",IF(ISNUMBER(SEARCH("G2",Z1676)),"G2",IF(ISNUMBER(SEARCH("G3",Z1676)),"G3",IF(ISNUMBER(SEARCH("古馬条件",Z1676)),"古馬条件戦",IF(ISNUMBER(SEARCH("重賞",Z1676)),"重賞","分類不能")))))))))</f>
        <v/>
      </c>
    </row>
    <row r="1677" customFormat="false" ht="15.75" hidden="false" customHeight="false" outlineLevel="0" collapsed="false">
      <c r="AO1677" s="8" t="str">
        <f aca="false">IF(A1677="","",IF(COUNTIFS(全馬データ!$A$2:$A$50000,A1677,全馬データ!$B$2:$B$50000,B1677,全馬データ!$C$2:$C$50000,C1677,全馬データ!$D$2:$D$50000,E1677,全馬データ!$K$2:$K$50000,"&lt;&gt;")=0,"",SUMIFS(全馬データ!$K$2:$K$50000,全馬データ!$A$2:$A$50000,A1677,全馬データ!$B$2:$B$50000,B1677,全馬データ!$C$2:$C$50000,C1677,全馬データ!$D$2:$D$50000,E1677)))</f>
        <v/>
      </c>
      <c r="AP1677" s="8" t="str">
        <f aca="false">IF(A1677="","",IF(AO1677="","欠損",IF(AO1677&lt;=1.1,"1.0～1.1",IF(AO1677&lt;1.3,"1.2",IF(AO1677&lt;1.5,"1.3～1.4",IF(AO1677&lt;2,"1.5～1.9","2.0以上"))))))</f>
        <v/>
      </c>
      <c r="AQ1677" s="8" t="str">
        <f aca="false">IF(A1677="","",IF(ISNUMBER(SEARCH("2歳",Z1677)),"2歳戦",IF(ISNUMBER(SEARCH("3歳未勝利",Z1677)),"3歳未勝利",IF(ISNUMBER(SEARCH("未勝利",Z1677)),"その他未勝利",IF(ISNUMBER(SEARCH("G1",Z1677)),"G1",IF(ISNUMBER(SEARCH("G2",Z1677)),"G2",IF(ISNUMBER(SEARCH("G3",Z1677)),"G3",IF(ISNUMBER(SEARCH("古馬条件",Z1677)),"古馬条件戦",IF(ISNUMBER(SEARCH("重賞",Z1677)),"重賞","分類不能")))))))))</f>
        <v/>
      </c>
    </row>
    <row r="1678" customFormat="false" ht="15.75" hidden="false" customHeight="false" outlineLevel="0" collapsed="false">
      <c r="AO1678" s="8" t="str">
        <f aca="false">IF(A1678="","",IF(COUNTIFS(全馬データ!$A$2:$A$50000,A1678,全馬データ!$B$2:$B$50000,B1678,全馬データ!$C$2:$C$50000,C1678,全馬データ!$D$2:$D$50000,E1678,全馬データ!$K$2:$K$50000,"&lt;&gt;")=0,"",SUMIFS(全馬データ!$K$2:$K$50000,全馬データ!$A$2:$A$50000,A1678,全馬データ!$B$2:$B$50000,B1678,全馬データ!$C$2:$C$50000,C1678,全馬データ!$D$2:$D$50000,E1678)))</f>
        <v/>
      </c>
      <c r="AP1678" s="8" t="str">
        <f aca="false">IF(A1678="","",IF(AO1678="","欠損",IF(AO1678&lt;=1.1,"1.0～1.1",IF(AO1678&lt;1.3,"1.2",IF(AO1678&lt;1.5,"1.3～1.4",IF(AO1678&lt;2,"1.5～1.9","2.0以上"))))))</f>
        <v/>
      </c>
      <c r="AQ1678" s="8" t="str">
        <f aca="false">IF(A1678="","",IF(ISNUMBER(SEARCH("2歳",Z1678)),"2歳戦",IF(ISNUMBER(SEARCH("3歳未勝利",Z1678)),"3歳未勝利",IF(ISNUMBER(SEARCH("未勝利",Z1678)),"その他未勝利",IF(ISNUMBER(SEARCH("G1",Z1678)),"G1",IF(ISNUMBER(SEARCH("G2",Z1678)),"G2",IF(ISNUMBER(SEARCH("G3",Z1678)),"G3",IF(ISNUMBER(SEARCH("古馬条件",Z1678)),"古馬条件戦",IF(ISNUMBER(SEARCH("重賞",Z1678)),"重賞","分類不能")))))))))</f>
        <v/>
      </c>
    </row>
    <row r="1679" customFormat="false" ht="15.75" hidden="false" customHeight="false" outlineLevel="0" collapsed="false">
      <c r="AO1679" s="8" t="str">
        <f aca="false">IF(A1679="","",IF(COUNTIFS(全馬データ!$A$2:$A$50000,A1679,全馬データ!$B$2:$B$50000,B1679,全馬データ!$C$2:$C$50000,C1679,全馬データ!$D$2:$D$50000,E1679,全馬データ!$K$2:$K$50000,"&lt;&gt;")=0,"",SUMIFS(全馬データ!$K$2:$K$50000,全馬データ!$A$2:$A$50000,A1679,全馬データ!$B$2:$B$50000,B1679,全馬データ!$C$2:$C$50000,C1679,全馬データ!$D$2:$D$50000,E1679)))</f>
        <v/>
      </c>
      <c r="AP1679" s="8" t="str">
        <f aca="false">IF(A1679="","",IF(AO1679="","欠損",IF(AO1679&lt;=1.1,"1.0～1.1",IF(AO1679&lt;1.3,"1.2",IF(AO1679&lt;1.5,"1.3～1.4",IF(AO1679&lt;2,"1.5～1.9","2.0以上"))))))</f>
        <v/>
      </c>
      <c r="AQ1679" s="8" t="str">
        <f aca="false">IF(A1679="","",IF(ISNUMBER(SEARCH("2歳",Z1679)),"2歳戦",IF(ISNUMBER(SEARCH("3歳未勝利",Z1679)),"3歳未勝利",IF(ISNUMBER(SEARCH("未勝利",Z1679)),"その他未勝利",IF(ISNUMBER(SEARCH("G1",Z1679)),"G1",IF(ISNUMBER(SEARCH("G2",Z1679)),"G2",IF(ISNUMBER(SEARCH("G3",Z1679)),"G3",IF(ISNUMBER(SEARCH("古馬条件",Z1679)),"古馬条件戦",IF(ISNUMBER(SEARCH("重賞",Z1679)),"重賞","分類不能")))))))))</f>
        <v/>
      </c>
    </row>
    <row r="1680" customFormat="false" ht="15.75" hidden="false" customHeight="false" outlineLevel="0" collapsed="false">
      <c r="AO1680" s="8" t="str">
        <f aca="false">IF(A1680="","",IF(COUNTIFS(全馬データ!$A$2:$A$50000,A1680,全馬データ!$B$2:$B$50000,B1680,全馬データ!$C$2:$C$50000,C1680,全馬データ!$D$2:$D$50000,E1680,全馬データ!$K$2:$K$50000,"&lt;&gt;")=0,"",SUMIFS(全馬データ!$K$2:$K$50000,全馬データ!$A$2:$A$50000,A1680,全馬データ!$B$2:$B$50000,B1680,全馬データ!$C$2:$C$50000,C1680,全馬データ!$D$2:$D$50000,E1680)))</f>
        <v/>
      </c>
      <c r="AP1680" s="8" t="str">
        <f aca="false">IF(A1680="","",IF(AO1680="","欠損",IF(AO1680&lt;=1.1,"1.0～1.1",IF(AO1680&lt;1.3,"1.2",IF(AO1680&lt;1.5,"1.3～1.4",IF(AO1680&lt;2,"1.5～1.9","2.0以上"))))))</f>
        <v/>
      </c>
      <c r="AQ1680" s="8" t="str">
        <f aca="false">IF(A1680="","",IF(ISNUMBER(SEARCH("2歳",Z1680)),"2歳戦",IF(ISNUMBER(SEARCH("3歳未勝利",Z1680)),"3歳未勝利",IF(ISNUMBER(SEARCH("未勝利",Z1680)),"その他未勝利",IF(ISNUMBER(SEARCH("G1",Z1680)),"G1",IF(ISNUMBER(SEARCH("G2",Z1680)),"G2",IF(ISNUMBER(SEARCH("G3",Z1680)),"G3",IF(ISNUMBER(SEARCH("古馬条件",Z1680)),"古馬条件戦",IF(ISNUMBER(SEARCH("重賞",Z1680)),"重賞","分類不能")))))))))</f>
        <v/>
      </c>
    </row>
    <row r="1681" customFormat="false" ht="15.75" hidden="false" customHeight="false" outlineLevel="0" collapsed="false">
      <c r="AO1681" s="8" t="str">
        <f aca="false">IF(A1681="","",IF(COUNTIFS(全馬データ!$A$2:$A$50000,A1681,全馬データ!$B$2:$B$50000,B1681,全馬データ!$C$2:$C$50000,C1681,全馬データ!$D$2:$D$50000,E1681,全馬データ!$K$2:$K$50000,"&lt;&gt;")=0,"",SUMIFS(全馬データ!$K$2:$K$50000,全馬データ!$A$2:$A$50000,A1681,全馬データ!$B$2:$B$50000,B1681,全馬データ!$C$2:$C$50000,C1681,全馬データ!$D$2:$D$50000,E1681)))</f>
        <v/>
      </c>
      <c r="AP1681" s="8" t="str">
        <f aca="false">IF(A1681="","",IF(AO1681="","欠損",IF(AO1681&lt;=1.1,"1.0～1.1",IF(AO1681&lt;1.3,"1.2",IF(AO1681&lt;1.5,"1.3～1.4",IF(AO1681&lt;2,"1.5～1.9","2.0以上"))))))</f>
        <v/>
      </c>
      <c r="AQ1681" s="8" t="str">
        <f aca="false">IF(A1681="","",IF(ISNUMBER(SEARCH("2歳",Z1681)),"2歳戦",IF(ISNUMBER(SEARCH("3歳未勝利",Z1681)),"3歳未勝利",IF(ISNUMBER(SEARCH("未勝利",Z1681)),"その他未勝利",IF(ISNUMBER(SEARCH("G1",Z1681)),"G1",IF(ISNUMBER(SEARCH("G2",Z1681)),"G2",IF(ISNUMBER(SEARCH("G3",Z1681)),"G3",IF(ISNUMBER(SEARCH("古馬条件",Z1681)),"古馬条件戦",IF(ISNUMBER(SEARCH("重賞",Z1681)),"重賞","分類不能")))))))))</f>
        <v/>
      </c>
    </row>
    <row r="1682" customFormat="false" ht="15.75" hidden="false" customHeight="false" outlineLevel="0" collapsed="false">
      <c r="AO1682" s="8" t="str">
        <f aca="false">IF(A1682="","",IF(COUNTIFS(全馬データ!$A$2:$A$50000,A1682,全馬データ!$B$2:$B$50000,B1682,全馬データ!$C$2:$C$50000,C1682,全馬データ!$D$2:$D$50000,E1682,全馬データ!$K$2:$K$50000,"&lt;&gt;")=0,"",SUMIFS(全馬データ!$K$2:$K$50000,全馬データ!$A$2:$A$50000,A1682,全馬データ!$B$2:$B$50000,B1682,全馬データ!$C$2:$C$50000,C1682,全馬データ!$D$2:$D$50000,E1682)))</f>
        <v/>
      </c>
      <c r="AP1682" s="8" t="str">
        <f aca="false">IF(A1682="","",IF(AO1682="","欠損",IF(AO1682&lt;=1.1,"1.0～1.1",IF(AO1682&lt;1.3,"1.2",IF(AO1682&lt;1.5,"1.3～1.4",IF(AO1682&lt;2,"1.5～1.9","2.0以上"))))))</f>
        <v/>
      </c>
      <c r="AQ1682" s="8" t="str">
        <f aca="false">IF(A1682="","",IF(ISNUMBER(SEARCH("2歳",Z1682)),"2歳戦",IF(ISNUMBER(SEARCH("3歳未勝利",Z1682)),"3歳未勝利",IF(ISNUMBER(SEARCH("未勝利",Z1682)),"その他未勝利",IF(ISNUMBER(SEARCH("G1",Z1682)),"G1",IF(ISNUMBER(SEARCH("G2",Z1682)),"G2",IF(ISNUMBER(SEARCH("G3",Z1682)),"G3",IF(ISNUMBER(SEARCH("古馬条件",Z1682)),"古馬条件戦",IF(ISNUMBER(SEARCH("重賞",Z1682)),"重賞","分類不能")))))))))</f>
        <v/>
      </c>
    </row>
    <row r="1683" customFormat="false" ht="15.75" hidden="false" customHeight="false" outlineLevel="0" collapsed="false">
      <c r="AO1683" s="8" t="str">
        <f aca="false">IF(A1683="","",IF(COUNTIFS(全馬データ!$A$2:$A$50000,A1683,全馬データ!$B$2:$B$50000,B1683,全馬データ!$C$2:$C$50000,C1683,全馬データ!$D$2:$D$50000,E1683,全馬データ!$K$2:$K$50000,"&lt;&gt;")=0,"",SUMIFS(全馬データ!$K$2:$K$50000,全馬データ!$A$2:$A$50000,A1683,全馬データ!$B$2:$B$50000,B1683,全馬データ!$C$2:$C$50000,C1683,全馬データ!$D$2:$D$50000,E1683)))</f>
        <v/>
      </c>
      <c r="AP1683" s="8" t="str">
        <f aca="false">IF(A1683="","",IF(AO1683="","欠損",IF(AO1683&lt;=1.1,"1.0～1.1",IF(AO1683&lt;1.3,"1.2",IF(AO1683&lt;1.5,"1.3～1.4",IF(AO1683&lt;2,"1.5～1.9","2.0以上"))))))</f>
        <v/>
      </c>
      <c r="AQ1683" s="8" t="str">
        <f aca="false">IF(A1683="","",IF(ISNUMBER(SEARCH("2歳",Z1683)),"2歳戦",IF(ISNUMBER(SEARCH("3歳未勝利",Z1683)),"3歳未勝利",IF(ISNUMBER(SEARCH("未勝利",Z1683)),"その他未勝利",IF(ISNUMBER(SEARCH("G1",Z1683)),"G1",IF(ISNUMBER(SEARCH("G2",Z1683)),"G2",IF(ISNUMBER(SEARCH("G3",Z1683)),"G3",IF(ISNUMBER(SEARCH("古馬条件",Z1683)),"古馬条件戦",IF(ISNUMBER(SEARCH("重賞",Z1683)),"重賞","分類不能")))))))))</f>
        <v/>
      </c>
    </row>
    <row r="1684" customFormat="false" ht="15.75" hidden="false" customHeight="false" outlineLevel="0" collapsed="false">
      <c r="AO1684" s="8" t="str">
        <f aca="false">IF(A1684="","",IF(COUNTIFS(全馬データ!$A$2:$A$50000,A1684,全馬データ!$B$2:$B$50000,B1684,全馬データ!$C$2:$C$50000,C1684,全馬データ!$D$2:$D$50000,E1684,全馬データ!$K$2:$K$50000,"&lt;&gt;")=0,"",SUMIFS(全馬データ!$K$2:$K$50000,全馬データ!$A$2:$A$50000,A1684,全馬データ!$B$2:$B$50000,B1684,全馬データ!$C$2:$C$50000,C1684,全馬データ!$D$2:$D$50000,E1684)))</f>
        <v/>
      </c>
      <c r="AP1684" s="8" t="str">
        <f aca="false">IF(A1684="","",IF(AO1684="","欠損",IF(AO1684&lt;=1.1,"1.0～1.1",IF(AO1684&lt;1.3,"1.2",IF(AO1684&lt;1.5,"1.3～1.4",IF(AO1684&lt;2,"1.5～1.9","2.0以上"))))))</f>
        <v/>
      </c>
      <c r="AQ1684" s="8" t="str">
        <f aca="false">IF(A1684="","",IF(ISNUMBER(SEARCH("2歳",Z1684)),"2歳戦",IF(ISNUMBER(SEARCH("3歳未勝利",Z1684)),"3歳未勝利",IF(ISNUMBER(SEARCH("未勝利",Z1684)),"その他未勝利",IF(ISNUMBER(SEARCH("G1",Z1684)),"G1",IF(ISNUMBER(SEARCH("G2",Z1684)),"G2",IF(ISNUMBER(SEARCH("G3",Z1684)),"G3",IF(ISNUMBER(SEARCH("古馬条件",Z1684)),"古馬条件戦",IF(ISNUMBER(SEARCH("重賞",Z1684)),"重賞","分類不能")))))))))</f>
        <v/>
      </c>
    </row>
    <row r="1685" customFormat="false" ht="15.75" hidden="false" customHeight="false" outlineLevel="0" collapsed="false">
      <c r="AO1685" s="8" t="str">
        <f aca="false">IF(A1685="","",IF(COUNTIFS(全馬データ!$A$2:$A$50000,A1685,全馬データ!$B$2:$B$50000,B1685,全馬データ!$C$2:$C$50000,C1685,全馬データ!$D$2:$D$50000,E1685,全馬データ!$K$2:$K$50000,"&lt;&gt;")=0,"",SUMIFS(全馬データ!$K$2:$K$50000,全馬データ!$A$2:$A$50000,A1685,全馬データ!$B$2:$B$50000,B1685,全馬データ!$C$2:$C$50000,C1685,全馬データ!$D$2:$D$50000,E1685)))</f>
        <v/>
      </c>
      <c r="AP1685" s="8" t="str">
        <f aca="false">IF(A1685="","",IF(AO1685="","欠損",IF(AO1685&lt;=1.1,"1.0～1.1",IF(AO1685&lt;1.3,"1.2",IF(AO1685&lt;1.5,"1.3～1.4",IF(AO1685&lt;2,"1.5～1.9","2.0以上"))))))</f>
        <v/>
      </c>
      <c r="AQ1685" s="8" t="str">
        <f aca="false">IF(A1685="","",IF(ISNUMBER(SEARCH("2歳",Z1685)),"2歳戦",IF(ISNUMBER(SEARCH("3歳未勝利",Z1685)),"3歳未勝利",IF(ISNUMBER(SEARCH("未勝利",Z1685)),"その他未勝利",IF(ISNUMBER(SEARCH("G1",Z1685)),"G1",IF(ISNUMBER(SEARCH("G2",Z1685)),"G2",IF(ISNUMBER(SEARCH("G3",Z1685)),"G3",IF(ISNUMBER(SEARCH("古馬条件",Z1685)),"古馬条件戦",IF(ISNUMBER(SEARCH("重賞",Z1685)),"重賞","分類不能")))))))))</f>
        <v/>
      </c>
    </row>
    <row r="1686" customFormat="false" ht="15.75" hidden="false" customHeight="false" outlineLevel="0" collapsed="false">
      <c r="AO1686" s="8" t="str">
        <f aca="false">IF(A1686="","",IF(COUNTIFS(全馬データ!$A$2:$A$50000,A1686,全馬データ!$B$2:$B$50000,B1686,全馬データ!$C$2:$C$50000,C1686,全馬データ!$D$2:$D$50000,E1686,全馬データ!$K$2:$K$50000,"&lt;&gt;")=0,"",SUMIFS(全馬データ!$K$2:$K$50000,全馬データ!$A$2:$A$50000,A1686,全馬データ!$B$2:$B$50000,B1686,全馬データ!$C$2:$C$50000,C1686,全馬データ!$D$2:$D$50000,E1686)))</f>
        <v/>
      </c>
      <c r="AP1686" s="8" t="str">
        <f aca="false">IF(A1686="","",IF(AO1686="","欠損",IF(AO1686&lt;=1.1,"1.0～1.1",IF(AO1686&lt;1.3,"1.2",IF(AO1686&lt;1.5,"1.3～1.4",IF(AO1686&lt;2,"1.5～1.9","2.0以上"))))))</f>
        <v/>
      </c>
      <c r="AQ1686" s="8" t="str">
        <f aca="false">IF(A1686="","",IF(ISNUMBER(SEARCH("2歳",Z1686)),"2歳戦",IF(ISNUMBER(SEARCH("3歳未勝利",Z1686)),"3歳未勝利",IF(ISNUMBER(SEARCH("未勝利",Z1686)),"その他未勝利",IF(ISNUMBER(SEARCH("G1",Z1686)),"G1",IF(ISNUMBER(SEARCH("G2",Z1686)),"G2",IF(ISNUMBER(SEARCH("G3",Z1686)),"G3",IF(ISNUMBER(SEARCH("古馬条件",Z1686)),"古馬条件戦",IF(ISNUMBER(SEARCH("重賞",Z1686)),"重賞","分類不能")))))))))</f>
        <v/>
      </c>
    </row>
    <row r="1687" customFormat="false" ht="15.75" hidden="false" customHeight="false" outlineLevel="0" collapsed="false">
      <c r="AO1687" s="8" t="str">
        <f aca="false">IF(A1687="","",IF(COUNTIFS(全馬データ!$A$2:$A$50000,A1687,全馬データ!$B$2:$B$50000,B1687,全馬データ!$C$2:$C$50000,C1687,全馬データ!$D$2:$D$50000,E1687,全馬データ!$K$2:$K$50000,"&lt;&gt;")=0,"",SUMIFS(全馬データ!$K$2:$K$50000,全馬データ!$A$2:$A$50000,A1687,全馬データ!$B$2:$B$50000,B1687,全馬データ!$C$2:$C$50000,C1687,全馬データ!$D$2:$D$50000,E1687)))</f>
        <v/>
      </c>
      <c r="AP1687" s="8" t="str">
        <f aca="false">IF(A1687="","",IF(AO1687="","欠損",IF(AO1687&lt;=1.1,"1.0～1.1",IF(AO1687&lt;1.3,"1.2",IF(AO1687&lt;1.5,"1.3～1.4",IF(AO1687&lt;2,"1.5～1.9","2.0以上"))))))</f>
        <v/>
      </c>
      <c r="AQ1687" s="8" t="str">
        <f aca="false">IF(A1687="","",IF(ISNUMBER(SEARCH("2歳",Z1687)),"2歳戦",IF(ISNUMBER(SEARCH("3歳未勝利",Z1687)),"3歳未勝利",IF(ISNUMBER(SEARCH("未勝利",Z1687)),"その他未勝利",IF(ISNUMBER(SEARCH("G1",Z1687)),"G1",IF(ISNUMBER(SEARCH("G2",Z1687)),"G2",IF(ISNUMBER(SEARCH("G3",Z1687)),"G3",IF(ISNUMBER(SEARCH("古馬条件",Z1687)),"古馬条件戦",IF(ISNUMBER(SEARCH("重賞",Z1687)),"重賞","分類不能")))))))))</f>
        <v/>
      </c>
    </row>
    <row r="1688" customFormat="false" ht="15.75" hidden="false" customHeight="false" outlineLevel="0" collapsed="false">
      <c r="AO1688" s="8" t="str">
        <f aca="false">IF(A1688="","",IF(COUNTIFS(全馬データ!$A$2:$A$50000,A1688,全馬データ!$B$2:$B$50000,B1688,全馬データ!$C$2:$C$50000,C1688,全馬データ!$D$2:$D$50000,E1688,全馬データ!$K$2:$K$50000,"&lt;&gt;")=0,"",SUMIFS(全馬データ!$K$2:$K$50000,全馬データ!$A$2:$A$50000,A1688,全馬データ!$B$2:$B$50000,B1688,全馬データ!$C$2:$C$50000,C1688,全馬データ!$D$2:$D$50000,E1688)))</f>
        <v/>
      </c>
      <c r="AP1688" s="8" t="str">
        <f aca="false">IF(A1688="","",IF(AO1688="","欠損",IF(AO1688&lt;=1.1,"1.0～1.1",IF(AO1688&lt;1.3,"1.2",IF(AO1688&lt;1.5,"1.3～1.4",IF(AO1688&lt;2,"1.5～1.9","2.0以上"))))))</f>
        <v/>
      </c>
      <c r="AQ1688" s="8" t="str">
        <f aca="false">IF(A1688="","",IF(ISNUMBER(SEARCH("2歳",Z1688)),"2歳戦",IF(ISNUMBER(SEARCH("3歳未勝利",Z1688)),"3歳未勝利",IF(ISNUMBER(SEARCH("未勝利",Z1688)),"その他未勝利",IF(ISNUMBER(SEARCH("G1",Z1688)),"G1",IF(ISNUMBER(SEARCH("G2",Z1688)),"G2",IF(ISNUMBER(SEARCH("G3",Z1688)),"G3",IF(ISNUMBER(SEARCH("古馬条件",Z1688)),"古馬条件戦",IF(ISNUMBER(SEARCH("重賞",Z1688)),"重賞","分類不能")))))))))</f>
        <v/>
      </c>
    </row>
    <row r="1689" customFormat="false" ht="15.75" hidden="false" customHeight="false" outlineLevel="0" collapsed="false">
      <c r="AO1689" s="8" t="str">
        <f aca="false">IF(A1689="","",IF(COUNTIFS(全馬データ!$A$2:$A$50000,A1689,全馬データ!$B$2:$B$50000,B1689,全馬データ!$C$2:$C$50000,C1689,全馬データ!$D$2:$D$50000,E1689,全馬データ!$K$2:$K$50000,"&lt;&gt;")=0,"",SUMIFS(全馬データ!$K$2:$K$50000,全馬データ!$A$2:$A$50000,A1689,全馬データ!$B$2:$B$50000,B1689,全馬データ!$C$2:$C$50000,C1689,全馬データ!$D$2:$D$50000,E1689)))</f>
        <v/>
      </c>
      <c r="AP1689" s="8" t="str">
        <f aca="false">IF(A1689="","",IF(AO1689="","欠損",IF(AO1689&lt;=1.1,"1.0～1.1",IF(AO1689&lt;1.3,"1.2",IF(AO1689&lt;1.5,"1.3～1.4",IF(AO1689&lt;2,"1.5～1.9","2.0以上"))))))</f>
        <v/>
      </c>
      <c r="AQ1689" s="8" t="str">
        <f aca="false">IF(A1689="","",IF(ISNUMBER(SEARCH("2歳",Z1689)),"2歳戦",IF(ISNUMBER(SEARCH("3歳未勝利",Z1689)),"3歳未勝利",IF(ISNUMBER(SEARCH("未勝利",Z1689)),"その他未勝利",IF(ISNUMBER(SEARCH("G1",Z1689)),"G1",IF(ISNUMBER(SEARCH("G2",Z1689)),"G2",IF(ISNUMBER(SEARCH("G3",Z1689)),"G3",IF(ISNUMBER(SEARCH("古馬条件",Z1689)),"古馬条件戦",IF(ISNUMBER(SEARCH("重賞",Z1689)),"重賞","分類不能")))))))))</f>
        <v/>
      </c>
    </row>
    <row r="1690" customFormat="false" ht="15.75" hidden="false" customHeight="false" outlineLevel="0" collapsed="false">
      <c r="AO1690" s="8" t="str">
        <f aca="false">IF(A1690="","",IF(COUNTIFS(全馬データ!$A$2:$A$50000,A1690,全馬データ!$B$2:$B$50000,B1690,全馬データ!$C$2:$C$50000,C1690,全馬データ!$D$2:$D$50000,E1690,全馬データ!$K$2:$K$50000,"&lt;&gt;")=0,"",SUMIFS(全馬データ!$K$2:$K$50000,全馬データ!$A$2:$A$50000,A1690,全馬データ!$B$2:$B$50000,B1690,全馬データ!$C$2:$C$50000,C1690,全馬データ!$D$2:$D$50000,E1690)))</f>
        <v/>
      </c>
      <c r="AP1690" s="8" t="str">
        <f aca="false">IF(A1690="","",IF(AO1690="","欠損",IF(AO1690&lt;=1.1,"1.0～1.1",IF(AO1690&lt;1.3,"1.2",IF(AO1690&lt;1.5,"1.3～1.4",IF(AO1690&lt;2,"1.5～1.9","2.0以上"))))))</f>
        <v/>
      </c>
      <c r="AQ1690" s="8" t="str">
        <f aca="false">IF(A1690="","",IF(ISNUMBER(SEARCH("2歳",Z1690)),"2歳戦",IF(ISNUMBER(SEARCH("3歳未勝利",Z1690)),"3歳未勝利",IF(ISNUMBER(SEARCH("未勝利",Z1690)),"その他未勝利",IF(ISNUMBER(SEARCH("G1",Z1690)),"G1",IF(ISNUMBER(SEARCH("G2",Z1690)),"G2",IF(ISNUMBER(SEARCH("G3",Z1690)),"G3",IF(ISNUMBER(SEARCH("古馬条件",Z1690)),"古馬条件戦",IF(ISNUMBER(SEARCH("重賞",Z1690)),"重賞","分類不能")))))))))</f>
        <v/>
      </c>
    </row>
    <row r="1691" customFormat="false" ht="15.75" hidden="false" customHeight="false" outlineLevel="0" collapsed="false">
      <c r="AO1691" s="8" t="str">
        <f aca="false">IF(A1691="","",IF(COUNTIFS(全馬データ!$A$2:$A$50000,A1691,全馬データ!$B$2:$B$50000,B1691,全馬データ!$C$2:$C$50000,C1691,全馬データ!$D$2:$D$50000,E1691,全馬データ!$K$2:$K$50000,"&lt;&gt;")=0,"",SUMIFS(全馬データ!$K$2:$K$50000,全馬データ!$A$2:$A$50000,A1691,全馬データ!$B$2:$B$50000,B1691,全馬データ!$C$2:$C$50000,C1691,全馬データ!$D$2:$D$50000,E1691)))</f>
        <v/>
      </c>
      <c r="AP1691" s="8" t="str">
        <f aca="false">IF(A1691="","",IF(AO1691="","欠損",IF(AO1691&lt;=1.1,"1.0～1.1",IF(AO1691&lt;1.3,"1.2",IF(AO1691&lt;1.5,"1.3～1.4",IF(AO1691&lt;2,"1.5～1.9","2.0以上"))))))</f>
        <v/>
      </c>
      <c r="AQ1691" s="8" t="str">
        <f aca="false">IF(A1691="","",IF(ISNUMBER(SEARCH("2歳",Z1691)),"2歳戦",IF(ISNUMBER(SEARCH("3歳未勝利",Z1691)),"3歳未勝利",IF(ISNUMBER(SEARCH("未勝利",Z1691)),"その他未勝利",IF(ISNUMBER(SEARCH("G1",Z1691)),"G1",IF(ISNUMBER(SEARCH("G2",Z1691)),"G2",IF(ISNUMBER(SEARCH("G3",Z1691)),"G3",IF(ISNUMBER(SEARCH("古馬条件",Z1691)),"古馬条件戦",IF(ISNUMBER(SEARCH("重賞",Z1691)),"重賞","分類不能")))))))))</f>
        <v/>
      </c>
    </row>
    <row r="1692" customFormat="false" ht="15.75" hidden="false" customHeight="false" outlineLevel="0" collapsed="false">
      <c r="AO1692" s="8" t="str">
        <f aca="false">IF(A1692="","",IF(COUNTIFS(全馬データ!$A$2:$A$50000,A1692,全馬データ!$B$2:$B$50000,B1692,全馬データ!$C$2:$C$50000,C1692,全馬データ!$D$2:$D$50000,E1692,全馬データ!$K$2:$K$50000,"&lt;&gt;")=0,"",SUMIFS(全馬データ!$K$2:$K$50000,全馬データ!$A$2:$A$50000,A1692,全馬データ!$B$2:$B$50000,B1692,全馬データ!$C$2:$C$50000,C1692,全馬データ!$D$2:$D$50000,E1692)))</f>
        <v/>
      </c>
      <c r="AP1692" s="8" t="str">
        <f aca="false">IF(A1692="","",IF(AO1692="","欠損",IF(AO1692&lt;=1.1,"1.0～1.1",IF(AO1692&lt;1.3,"1.2",IF(AO1692&lt;1.5,"1.3～1.4",IF(AO1692&lt;2,"1.5～1.9","2.0以上"))))))</f>
        <v/>
      </c>
      <c r="AQ1692" s="8" t="str">
        <f aca="false">IF(A1692="","",IF(ISNUMBER(SEARCH("2歳",Z1692)),"2歳戦",IF(ISNUMBER(SEARCH("3歳未勝利",Z1692)),"3歳未勝利",IF(ISNUMBER(SEARCH("未勝利",Z1692)),"その他未勝利",IF(ISNUMBER(SEARCH("G1",Z1692)),"G1",IF(ISNUMBER(SEARCH("G2",Z1692)),"G2",IF(ISNUMBER(SEARCH("G3",Z1692)),"G3",IF(ISNUMBER(SEARCH("古馬条件",Z1692)),"古馬条件戦",IF(ISNUMBER(SEARCH("重賞",Z1692)),"重賞","分類不能")))))))))</f>
        <v/>
      </c>
    </row>
    <row r="1693" customFormat="false" ht="15.75" hidden="false" customHeight="false" outlineLevel="0" collapsed="false">
      <c r="AO1693" s="8" t="str">
        <f aca="false">IF(A1693="","",IF(COUNTIFS(全馬データ!$A$2:$A$50000,A1693,全馬データ!$B$2:$B$50000,B1693,全馬データ!$C$2:$C$50000,C1693,全馬データ!$D$2:$D$50000,E1693,全馬データ!$K$2:$K$50000,"&lt;&gt;")=0,"",SUMIFS(全馬データ!$K$2:$K$50000,全馬データ!$A$2:$A$50000,A1693,全馬データ!$B$2:$B$50000,B1693,全馬データ!$C$2:$C$50000,C1693,全馬データ!$D$2:$D$50000,E1693)))</f>
        <v/>
      </c>
      <c r="AP1693" s="8" t="str">
        <f aca="false">IF(A1693="","",IF(AO1693="","欠損",IF(AO1693&lt;=1.1,"1.0～1.1",IF(AO1693&lt;1.3,"1.2",IF(AO1693&lt;1.5,"1.3～1.4",IF(AO1693&lt;2,"1.5～1.9","2.0以上"))))))</f>
        <v/>
      </c>
      <c r="AQ1693" s="8" t="str">
        <f aca="false">IF(A1693="","",IF(ISNUMBER(SEARCH("2歳",Z1693)),"2歳戦",IF(ISNUMBER(SEARCH("3歳未勝利",Z1693)),"3歳未勝利",IF(ISNUMBER(SEARCH("未勝利",Z1693)),"その他未勝利",IF(ISNUMBER(SEARCH("G1",Z1693)),"G1",IF(ISNUMBER(SEARCH("G2",Z1693)),"G2",IF(ISNUMBER(SEARCH("G3",Z1693)),"G3",IF(ISNUMBER(SEARCH("古馬条件",Z1693)),"古馬条件戦",IF(ISNUMBER(SEARCH("重賞",Z1693)),"重賞","分類不能")))))))))</f>
        <v/>
      </c>
    </row>
    <row r="1694" customFormat="false" ht="15.75" hidden="false" customHeight="false" outlineLevel="0" collapsed="false">
      <c r="AO1694" s="8" t="str">
        <f aca="false">IF(A1694="","",IF(COUNTIFS(全馬データ!$A$2:$A$50000,A1694,全馬データ!$B$2:$B$50000,B1694,全馬データ!$C$2:$C$50000,C1694,全馬データ!$D$2:$D$50000,E1694,全馬データ!$K$2:$K$50000,"&lt;&gt;")=0,"",SUMIFS(全馬データ!$K$2:$K$50000,全馬データ!$A$2:$A$50000,A1694,全馬データ!$B$2:$B$50000,B1694,全馬データ!$C$2:$C$50000,C1694,全馬データ!$D$2:$D$50000,E1694)))</f>
        <v/>
      </c>
      <c r="AP1694" s="8" t="str">
        <f aca="false">IF(A1694="","",IF(AO1694="","欠損",IF(AO1694&lt;=1.1,"1.0～1.1",IF(AO1694&lt;1.3,"1.2",IF(AO1694&lt;1.5,"1.3～1.4",IF(AO1694&lt;2,"1.5～1.9","2.0以上"))))))</f>
        <v/>
      </c>
      <c r="AQ1694" s="8" t="str">
        <f aca="false">IF(A1694="","",IF(ISNUMBER(SEARCH("2歳",Z1694)),"2歳戦",IF(ISNUMBER(SEARCH("3歳未勝利",Z1694)),"3歳未勝利",IF(ISNUMBER(SEARCH("未勝利",Z1694)),"その他未勝利",IF(ISNUMBER(SEARCH("G1",Z1694)),"G1",IF(ISNUMBER(SEARCH("G2",Z1694)),"G2",IF(ISNUMBER(SEARCH("G3",Z1694)),"G3",IF(ISNUMBER(SEARCH("古馬条件",Z1694)),"古馬条件戦",IF(ISNUMBER(SEARCH("重賞",Z1694)),"重賞","分類不能")))))))))</f>
        <v/>
      </c>
    </row>
    <row r="1695" customFormat="false" ht="15.75" hidden="false" customHeight="false" outlineLevel="0" collapsed="false">
      <c r="AO1695" s="8" t="str">
        <f aca="false">IF(A1695="","",IF(COUNTIFS(全馬データ!$A$2:$A$50000,A1695,全馬データ!$B$2:$B$50000,B1695,全馬データ!$C$2:$C$50000,C1695,全馬データ!$D$2:$D$50000,E1695,全馬データ!$K$2:$K$50000,"&lt;&gt;")=0,"",SUMIFS(全馬データ!$K$2:$K$50000,全馬データ!$A$2:$A$50000,A1695,全馬データ!$B$2:$B$50000,B1695,全馬データ!$C$2:$C$50000,C1695,全馬データ!$D$2:$D$50000,E1695)))</f>
        <v/>
      </c>
      <c r="AP1695" s="8" t="str">
        <f aca="false">IF(A1695="","",IF(AO1695="","欠損",IF(AO1695&lt;=1.1,"1.0～1.1",IF(AO1695&lt;1.3,"1.2",IF(AO1695&lt;1.5,"1.3～1.4",IF(AO1695&lt;2,"1.5～1.9","2.0以上"))))))</f>
        <v/>
      </c>
      <c r="AQ1695" s="8" t="str">
        <f aca="false">IF(A1695="","",IF(ISNUMBER(SEARCH("2歳",Z1695)),"2歳戦",IF(ISNUMBER(SEARCH("3歳未勝利",Z1695)),"3歳未勝利",IF(ISNUMBER(SEARCH("未勝利",Z1695)),"その他未勝利",IF(ISNUMBER(SEARCH("G1",Z1695)),"G1",IF(ISNUMBER(SEARCH("G2",Z1695)),"G2",IF(ISNUMBER(SEARCH("G3",Z1695)),"G3",IF(ISNUMBER(SEARCH("古馬条件",Z1695)),"古馬条件戦",IF(ISNUMBER(SEARCH("重賞",Z1695)),"重賞","分類不能")))))))))</f>
        <v/>
      </c>
    </row>
    <row r="1696" customFormat="false" ht="15.75" hidden="false" customHeight="false" outlineLevel="0" collapsed="false">
      <c r="AO1696" s="8" t="str">
        <f aca="false">IF(A1696="","",IF(COUNTIFS(全馬データ!$A$2:$A$50000,A1696,全馬データ!$B$2:$B$50000,B1696,全馬データ!$C$2:$C$50000,C1696,全馬データ!$D$2:$D$50000,E1696,全馬データ!$K$2:$K$50000,"&lt;&gt;")=0,"",SUMIFS(全馬データ!$K$2:$K$50000,全馬データ!$A$2:$A$50000,A1696,全馬データ!$B$2:$B$50000,B1696,全馬データ!$C$2:$C$50000,C1696,全馬データ!$D$2:$D$50000,E1696)))</f>
        <v/>
      </c>
      <c r="AP1696" s="8" t="str">
        <f aca="false">IF(A1696="","",IF(AO1696="","欠損",IF(AO1696&lt;=1.1,"1.0～1.1",IF(AO1696&lt;1.3,"1.2",IF(AO1696&lt;1.5,"1.3～1.4",IF(AO1696&lt;2,"1.5～1.9","2.0以上"))))))</f>
        <v/>
      </c>
      <c r="AQ1696" s="8" t="str">
        <f aca="false">IF(A1696="","",IF(ISNUMBER(SEARCH("2歳",Z1696)),"2歳戦",IF(ISNUMBER(SEARCH("3歳未勝利",Z1696)),"3歳未勝利",IF(ISNUMBER(SEARCH("未勝利",Z1696)),"その他未勝利",IF(ISNUMBER(SEARCH("G1",Z1696)),"G1",IF(ISNUMBER(SEARCH("G2",Z1696)),"G2",IF(ISNUMBER(SEARCH("G3",Z1696)),"G3",IF(ISNUMBER(SEARCH("古馬条件",Z1696)),"古馬条件戦",IF(ISNUMBER(SEARCH("重賞",Z1696)),"重賞","分類不能")))))))))</f>
        <v/>
      </c>
    </row>
    <row r="1697" customFormat="false" ht="15.75" hidden="false" customHeight="false" outlineLevel="0" collapsed="false">
      <c r="AO1697" s="8" t="str">
        <f aca="false">IF(A1697="","",IF(COUNTIFS(全馬データ!$A$2:$A$50000,A1697,全馬データ!$B$2:$B$50000,B1697,全馬データ!$C$2:$C$50000,C1697,全馬データ!$D$2:$D$50000,E1697,全馬データ!$K$2:$K$50000,"&lt;&gt;")=0,"",SUMIFS(全馬データ!$K$2:$K$50000,全馬データ!$A$2:$A$50000,A1697,全馬データ!$B$2:$B$50000,B1697,全馬データ!$C$2:$C$50000,C1697,全馬データ!$D$2:$D$50000,E1697)))</f>
        <v/>
      </c>
      <c r="AP1697" s="8" t="str">
        <f aca="false">IF(A1697="","",IF(AO1697="","欠損",IF(AO1697&lt;=1.1,"1.0～1.1",IF(AO1697&lt;1.3,"1.2",IF(AO1697&lt;1.5,"1.3～1.4",IF(AO1697&lt;2,"1.5～1.9","2.0以上"))))))</f>
        <v/>
      </c>
      <c r="AQ1697" s="8" t="str">
        <f aca="false">IF(A1697="","",IF(ISNUMBER(SEARCH("2歳",Z1697)),"2歳戦",IF(ISNUMBER(SEARCH("3歳未勝利",Z1697)),"3歳未勝利",IF(ISNUMBER(SEARCH("未勝利",Z1697)),"その他未勝利",IF(ISNUMBER(SEARCH("G1",Z1697)),"G1",IF(ISNUMBER(SEARCH("G2",Z1697)),"G2",IF(ISNUMBER(SEARCH("G3",Z1697)),"G3",IF(ISNUMBER(SEARCH("古馬条件",Z1697)),"古馬条件戦",IF(ISNUMBER(SEARCH("重賞",Z1697)),"重賞","分類不能")))))))))</f>
        <v/>
      </c>
    </row>
    <row r="1698" customFormat="false" ht="15.75" hidden="false" customHeight="false" outlineLevel="0" collapsed="false">
      <c r="AO1698" s="8" t="str">
        <f aca="false">IF(A1698="","",IF(COUNTIFS(全馬データ!$A$2:$A$50000,A1698,全馬データ!$B$2:$B$50000,B1698,全馬データ!$C$2:$C$50000,C1698,全馬データ!$D$2:$D$50000,E1698,全馬データ!$K$2:$K$50000,"&lt;&gt;")=0,"",SUMIFS(全馬データ!$K$2:$K$50000,全馬データ!$A$2:$A$50000,A1698,全馬データ!$B$2:$B$50000,B1698,全馬データ!$C$2:$C$50000,C1698,全馬データ!$D$2:$D$50000,E1698)))</f>
        <v/>
      </c>
      <c r="AP1698" s="8" t="str">
        <f aca="false">IF(A1698="","",IF(AO1698="","欠損",IF(AO1698&lt;=1.1,"1.0～1.1",IF(AO1698&lt;1.3,"1.2",IF(AO1698&lt;1.5,"1.3～1.4",IF(AO1698&lt;2,"1.5～1.9","2.0以上"))))))</f>
        <v/>
      </c>
      <c r="AQ1698" s="8" t="str">
        <f aca="false">IF(A1698="","",IF(ISNUMBER(SEARCH("2歳",Z1698)),"2歳戦",IF(ISNUMBER(SEARCH("3歳未勝利",Z1698)),"3歳未勝利",IF(ISNUMBER(SEARCH("未勝利",Z1698)),"その他未勝利",IF(ISNUMBER(SEARCH("G1",Z1698)),"G1",IF(ISNUMBER(SEARCH("G2",Z1698)),"G2",IF(ISNUMBER(SEARCH("G3",Z1698)),"G3",IF(ISNUMBER(SEARCH("古馬条件",Z1698)),"古馬条件戦",IF(ISNUMBER(SEARCH("重賞",Z1698)),"重賞","分類不能")))))))))</f>
        <v/>
      </c>
    </row>
    <row r="1699" customFormat="false" ht="15.75" hidden="false" customHeight="false" outlineLevel="0" collapsed="false">
      <c r="AO1699" s="8" t="str">
        <f aca="false">IF(A1699="","",IF(COUNTIFS(全馬データ!$A$2:$A$50000,A1699,全馬データ!$B$2:$B$50000,B1699,全馬データ!$C$2:$C$50000,C1699,全馬データ!$D$2:$D$50000,E1699,全馬データ!$K$2:$K$50000,"&lt;&gt;")=0,"",SUMIFS(全馬データ!$K$2:$K$50000,全馬データ!$A$2:$A$50000,A1699,全馬データ!$B$2:$B$50000,B1699,全馬データ!$C$2:$C$50000,C1699,全馬データ!$D$2:$D$50000,E1699)))</f>
        <v/>
      </c>
      <c r="AP1699" s="8" t="str">
        <f aca="false">IF(A1699="","",IF(AO1699="","欠損",IF(AO1699&lt;=1.1,"1.0～1.1",IF(AO1699&lt;1.3,"1.2",IF(AO1699&lt;1.5,"1.3～1.4",IF(AO1699&lt;2,"1.5～1.9","2.0以上"))))))</f>
        <v/>
      </c>
      <c r="AQ1699" s="8" t="str">
        <f aca="false">IF(A1699="","",IF(ISNUMBER(SEARCH("2歳",Z1699)),"2歳戦",IF(ISNUMBER(SEARCH("3歳未勝利",Z1699)),"3歳未勝利",IF(ISNUMBER(SEARCH("未勝利",Z1699)),"その他未勝利",IF(ISNUMBER(SEARCH("G1",Z1699)),"G1",IF(ISNUMBER(SEARCH("G2",Z1699)),"G2",IF(ISNUMBER(SEARCH("G3",Z1699)),"G3",IF(ISNUMBER(SEARCH("古馬条件",Z1699)),"古馬条件戦",IF(ISNUMBER(SEARCH("重賞",Z1699)),"重賞","分類不能")))))))))</f>
        <v/>
      </c>
    </row>
    <row r="1700" customFormat="false" ht="15.75" hidden="false" customHeight="false" outlineLevel="0" collapsed="false">
      <c r="AO1700" s="8" t="str">
        <f aca="false">IF(A1700="","",IF(COUNTIFS(全馬データ!$A$2:$A$50000,A1700,全馬データ!$B$2:$B$50000,B1700,全馬データ!$C$2:$C$50000,C1700,全馬データ!$D$2:$D$50000,E1700,全馬データ!$K$2:$K$50000,"&lt;&gt;")=0,"",SUMIFS(全馬データ!$K$2:$K$50000,全馬データ!$A$2:$A$50000,A1700,全馬データ!$B$2:$B$50000,B1700,全馬データ!$C$2:$C$50000,C1700,全馬データ!$D$2:$D$50000,E1700)))</f>
        <v/>
      </c>
      <c r="AP1700" s="8" t="str">
        <f aca="false">IF(A1700="","",IF(AO1700="","欠損",IF(AO1700&lt;=1.1,"1.0～1.1",IF(AO1700&lt;1.3,"1.2",IF(AO1700&lt;1.5,"1.3～1.4",IF(AO1700&lt;2,"1.5～1.9","2.0以上"))))))</f>
        <v/>
      </c>
      <c r="AQ1700" s="8" t="str">
        <f aca="false">IF(A1700="","",IF(ISNUMBER(SEARCH("2歳",Z1700)),"2歳戦",IF(ISNUMBER(SEARCH("3歳未勝利",Z1700)),"3歳未勝利",IF(ISNUMBER(SEARCH("未勝利",Z1700)),"その他未勝利",IF(ISNUMBER(SEARCH("G1",Z1700)),"G1",IF(ISNUMBER(SEARCH("G2",Z1700)),"G2",IF(ISNUMBER(SEARCH("G3",Z1700)),"G3",IF(ISNUMBER(SEARCH("古馬条件",Z1700)),"古馬条件戦",IF(ISNUMBER(SEARCH("重賞",Z1700)),"重賞","分類不能")))))))))</f>
        <v/>
      </c>
    </row>
    <row r="1701" customFormat="false" ht="15.75" hidden="false" customHeight="false" outlineLevel="0" collapsed="false">
      <c r="AO1701" s="8" t="str">
        <f aca="false">IF(A1701="","",IF(COUNTIFS(全馬データ!$A$2:$A$50000,A1701,全馬データ!$B$2:$B$50000,B1701,全馬データ!$C$2:$C$50000,C1701,全馬データ!$D$2:$D$50000,E1701,全馬データ!$K$2:$K$50000,"&lt;&gt;")=0,"",SUMIFS(全馬データ!$K$2:$K$50000,全馬データ!$A$2:$A$50000,A1701,全馬データ!$B$2:$B$50000,B1701,全馬データ!$C$2:$C$50000,C1701,全馬データ!$D$2:$D$50000,E1701)))</f>
        <v/>
      </c>
      <c r="AP1701" s="8" t="str">
        <f aca="false">IF(A1701="","",IF(AO1701="","欠損",IF(AO1701&lt;=1.1,"1.0～1.1",IF(AO1701&lt;1.3,"1.2",IF(AO1701&lt;1.5,"1.3～1.4",IF(AO1701&lt;2,"1.5～1.9","2.0以上"))))))</f>
        <v/>
      </c>
      <c r="AQ1701" s="8" t="str">
        <f aca="false">IF(A1701="","",IF(ISNUMBER(SEARCH("2歳",Z1701)),"2歳戦",IF(ISNUMBER(SEARCH("3歳未勝利",Z1701)),"3歳未勝利",IF(ISNUMBER(SEARCH("未勝利",Z1701)),"その他未勝利",IF(ISNUMBER(SEARCH("G1",Z1701)),"G1",IF(ISNUMBER(SEARCH("G2",Z1701)),"G2",IF(ISNUMBER(SEARCH("G3",Z1701)),"G3",IF(ISNUMBER(SEARCH("古馬条件",Z1701)),"古馬条件戦",IF(ISNUMBER(SEARCH("重賞",Z1701)),"重賞","分類不能")))))))))</f>
        <v/>
      </c>
    </row>
    <row r="1702" customFormat="false" ht="15.75" hidden="false" customHeight="false" outlineLevel="0" collapsed="false">
      <c r="AO1702" s="8" t="str">
        <f aca="false">IF(A1702="","",IF(COUNTIFS(全馬データ!$A$2:$A$50000,A1702,全馬データ!$B$2:$B$50000,B1702,全馬データ!$C$2:$C$50000,C1702,全馬データ!$D$2:$D$50000,E1702,全馬データ!$K$2:$K$50000,"&lt;&gt;")=0,"",SUMIFS(全馬データ!$K$2:$K$50000,全馬データ!$A$2:$A$50000,A1702,全馬データ!$B$2:$B$50000,B1702,全馬データ!$C$2:$C$50000,C1702,全馬データ!$D$2:$D$50000,E1702)))</f>
        <v/>
      </c>
      <c r="AP1702" s="8" t="str">
        <f aca="false">IF(A1702="","",IF(AO1702="","欠損",IF(AO1702&lt;=1.1,"1.0～1.1",IF(AO1702&lt;1.3,"1.2",IF(AO1702&lt;1.5,"1.3～1.4",IF(AO1702&lt;2,"1.5～1.9","2.0以上"))))))</f>
        <v/>
      </c>
      <c r="AQ1702" s="8" t="str">
        <f aca="false">IF(A1702="","",IF(ISNUMBER(SEARCH("2歳",Z1702)),"2歳戦",IF(ISNUMBER(SEARCH("3歳未勝利",Z1702)),"3歳未勝利",IF(ISNUMBER(SEARCH("未勝利",Z1702)),"その他未勝利",IF(ISNUMBER(SEARCH("G1",Z1702)),"G1",IF(ISNUMBER(SEARCH("G2",Z1702)),"G2",IF(ISNUMBER(SEARCH("G3",Z1702)),"G3",IF(ISNUMBER(SEARCH("古馬条件",Z1702)),"古馬条件戦",IF(ISNUMBER(SEARCH("重賞",Z1702)),"重賞","分類不能")))))))))</f>
        <v/>
      </c>
    </row>
    <row r="1703" customFormat="false" ht="15.75" hidden="false" customHeight="false" outlineLevel="0" collapsed="false">
      <c r="AO1703" s="8" t="str">
        <f aca="false">IF(A1703="","",IF(COUNTIFS(全馬データ!$A$2:$A$50000,A1703,全馬データ!$B$2:$B$50000,B1703,全馬データ!$C$2:$C$50000,C1703,全馬データ!$D$2:$D$50000,E1703,全馬データ!$K$2:$K$50000,"&lt;&gt;")=0,"",SUMIFS(全馬データ!$K$2:$K$50000,全馬データ!$A$2:$A$50000,A1703,全馬データ!$B$2:$B$50000,B1703,全馬データ!$C$2:$C$50000,C1703,全馬データ!$D$2:$D$50000,E1703)))</f>
        <v/>
      </c>
      <c r="AP1703" s="8" t="str">
        <f aca="false">IF(A1703="","",IF(AO1703="","欠損",IF(AO1703&lt;=1.1,"1.0～1.1",IF(AO1703&lt;1.3,"1.2",IF(AO1703&lt;1.5,"1.3～1.4",IF(AO1703&lt;2,"1.5～1.9","2.0以上"))))))</f>
        <v/>
      </c>
      <c r="AQ1703" s="8" t="str">
        <f aca="false">IF(A1703="","",IF(ISNUMBER(SEARCH("2歳",Z1703)),"2歳戦",IF(ISNUMBER(SEARCH("3歳未勝利",Z1703)),"3歳未勝利",IF(ISNUMBER(SEARCH("未勝利",Z1703)),"その他未勝利",IF(ISNUMBER(SEARCH("G1",Z1703)),"G1",IF(ISNUMBER(SEARCH("G2",Z1703)),"G2",IF(ISNUMBER(SEARCH("G3",Z1703)),"G3",IF(ISNUMBER(SEARCH("古馬条件",Z1703)),"古馬条件戦",IF(ISNUMBER(SEARCH("重賞",Z1703)),"重賞","分類不能")))))))))</f>
        <v/>
      </c>
    </row>
    <row r="1704" customFormat="false" ht="15.75" hidden="false" customHeight="false" outlineLevel="0" collapsed="false">
      <c r="AO1704" s="8" t="str">
        <f aca="false">IF(A1704="","",IF(COUNTIFS(全馬データ!$A$2:$A$50000,A1704,全馬データ!$B$2:$B$50000,B1704,全馬データ!$C$2:$C$50000,C1704,全馬データ!$D$2:$D$50000,E1704,全馬データ!$K$2:$K$50000,"&lt;&gt;")=0,"",SUMIFS(全馬データ!$K$2:$K$50000,全馬データ!$A$2:$A$50000,A1704,全馬データ!$B$2:$B$50000,B1704,全馬データ!$C$2:$C$50000,C1704,全馬データ!$D$2:$D$50000,E1704)))</f>
        <v/>
      </c>
      <c r="AP1704" s="8" t="str">
        <f aca="false">IF(A1704="","",IF(AO1704="","欠損",IF(AO1704&lt;=1.1,"1.0～1.1",IF(AO1704&lt;1.3,"1.2",IF(AO1704&lt;1.5,"1.3～1.4",IF(AO1704&lt;2,"1.5～1.9","2.0以上"))))))</f>
        <v/>
      </c>
      <c r="AQ1704" s="8" t="str">
        <f aca="false">IF(A1704="","",IF(ISNUMBER(SEARCH("2歳",Z1704)),"2歳戦",IF(ISNUMBER(SEARCH("3歳未勝利",Z1704)),"3歳未勝利",IF(ISNUMBER(SEARCH("未勝利",Z1704)),"その他未勝利",IF(ISNUMBER(SEARCH("G1",Z1704)),"G1",IF(ISNUMBER(SEARCH("G2",Z1704)),"G2",IF(ISNUMBER(SEARCH("G3",Z1704)),"G3",IF(ISNUMBER(SEARCH("古馬条件",Z1704)),"古馬条件戦",IF(ISNUMBER(SEARCH("重賞",Z1704)),"重賞","分類不能")))))))))</f>
        <v/>
      </c>
    </row>
    <row r="1705" customFormat="false" ht="15.75" hidden="false" customHeight="false" outlineLevel="0" collapsed="false">
      <c r="AO1705" s="8" t="str">
        <f aca="false">IF(A1705="","",IF(COUNTIFS(全馬データ!$A$2:$A$50000,A1705,全馬データ!$B$2:$B$50000,B1705,全馬データ!$C$2:$C$50000,C1705,全馬データ!$D$2:$D$50000,E1705,全馬データ!$K$2:$K$50000,"&lt;&gt;")=0,"",SUMIFS(全馬データ!$K$2:$K$50000,全馬データ!$A$2:$A$50000,A1705,全馬データ!$B$2:$B$50000,B1705,全馬データ!$C$2:$C$50000,C1705,全馬データ!$D$2:$D$50000,E1705)))</f>
        <v/>
      </c>
      <c r="AP1705" s="8" t="str">
        <f aca="false">IF(A1705="","",IF(AO1705="","欠損",IF(AO1705&lt;=1.1,"1.0～1.1",IF(AO1705&lt;1.3,"1.2",IF(AO1705&lt;1.5,"1.3～1.4",IF(AO1705&lt;2,"1.5～1.9","2.0以上"))))))</f>
        <v/>
      </c>
      <c r="AQ1705" s="8" t="str">
        <f aca="false">IF(A1705="","",IF(ISNUMBER(SEARCH("2歳",Z1705)),"2歳戦",IF(ISNUMBER(SEARCH("3歳未勝利",Z1705)),"3歳未勝利",IF(ISNUMBER(SEARCH("未勝利",Z1705)),"その他未勝利",IF(ISNUMBER(SEARCH("G1",Z1705)),"G1",IF(ISNUMBER(SEARCH("G2",Z1705)),"G2",IF(ISNUMBER(SEARCH("G3",Z1705)),"G3",IF(ISNUMBER(SEARCH("古馬条件",Z1705)),"古馬条件戦",IF(ISNUMBER(SEARCH("重賞",Z1705)),"重賞","分類不能")))))))))</f>
        <v/>
      </c>
    </row>
    <row r="1706" customFormat="false" ht="15.75" hidden="false" customHeight="false" outlineLevel="0" collapsed="false">
      <c r="AO1706" s="8" t="str">
        <f aca="false">IF(A1706="","",IF(COUNTIFS(全馬データ!$A$2:$A$50000,A1706,全馬データ!$B$2:$B$50000,B1706,全馬データ!$C$2:$C$50000,C1706,全馬データ!$D$2:$D$50000,E1706,全馬データ!$K$2:$K$50000,"&lt;&gt;")=0,"",SUMIFS(全馬データ!$K$2:$K$50000,全馬データ!$A$2:$A$50000,A1706,全馬データ!$B$2:$B$50000,B1706,全馬データ!$C$2:$C$50000,C1706,全馬データ!$D$2:$D$50000,E1706)))</f>
        <v/>
      </c>
      <c r="AP1706" s="8" t="str">
        <f aca="false">IF(A1706="","",IF(AO1706="","欠損",IF(AO1706&lt;=1.1,"1.0～1.1",IF(AO1706&lt;1.3,"1.2",IF(AO1706&lt;1.5,"1.3～1.4",IF(AO1706&lt;2,"1.5～1.9","2.0以上"))))))</f>
        <v/>
      </c>
      <c r="AQ1706" s="8" t="str">
        <f aca="false">IF(A1706="","",IF(ISNUMBER(SEARCH("2歳",Z1706)),"2歳戦",IF(ISNUMBER(SEARCH("3歳未勝利",Z1706)),"3歳未勝利",IF(ISNUMBER(SEARCH("未勝利",Z1706)),"その他未勝利",IF(ISNUMBER(SEARCH("G1",Z1706)),"G1",IF(ISNUMBER(SEARCH("G2",Z1706)),"G2",IF(ISNUMBER(SEARCH("G3",Z1706)),"G3",IF(ISNUMBER(SEARCH("古馬条件",Z1706)),"古馬条件戦",IF(ISNUMBER(SEARCH("重賞",Z1706)),"重賞","分類不能")))))))))</f>
        <v/>
      </c>
    </row>
    <row r="1707" customFormat="false" ht="15.75" hidden="false" customHeight="false" outlineLevel="0" collapsed="false">
      <c r="AO1707" s="8" t="str">
        <f aca="false">IF(A1707="","",IF(COUNTIFS(全馬データ!$A$2:$A$50000,A1707,全馬データ!$B$2:$B$50000,B1707,全馬データ!$C$2:$C$50000,C1707,全馬データ!$D$2:$D$50000,E1707,全馬データ!$K$2:$K$50000,"&lt;&gt;")=0,"",SUMIFS(全馬データ!$K$2:$K$50000,全馬データ!$A$2:$A$50000,A1707,全馬データ!$B$2:$B$50000,B1707,全馬データ!$C$2:$C$50000,C1707,全馬データ!$D$2:$D$50000,E1707)))</f>
        <v/>
      </c>
      <c r="AP1707" s="8" t="str">
        <f aca="false">IF(A1707="","",IF(AO1707="","欠損",IF(AO1707&lt;=1.1,"1.0～1.1",IF(AO1707&lt;1.3,"1.2",IF(AO1707&lt;1.5,"1.3～1.4",IF(AO1707&lt;2,"1.5～1.9","2.0以上"))))))</f>
        <v/>
      </c>
      <c r="AQ1707" s="8" t="str">
        <f aca="false">IF(A1707="","",IF(ISNUMBER(SEARCH("2歳",Z1707)),"2歳戦",IF(ISNUMBER(SEARCH("3歳未勝利",Z1707)),"3歳未勝利",IF(ISNUMBER(SEARCH("未勝利",Z1707)),"その他未勝利",IF(ISNUMBER(SEARCH("G1",Z1707)),"G1",IF(ISNUMBER(SEARCH("G2",Z1707)),"G2",IF(ISNUMBER(SEARCH("G3",Z1707)),"G3",IF(ISNUMBER(SEARCH("古馬条件",Z1707)),"古馬条件戦",IF(ISNUMBER(SEARCH("重賞",Z1707)),"重賞","分類不能")))))))))</f>
        <v/>
      </c>
    </row>
    <row r="1708" customFormat="false" ht="15.75" hidden="false" customHeight="false" outlineLevel="0" collapsed="false">
      <c r="AO1708" s="8" t="str">
        <f aca="false">IF(A1708="","",IF(COUNTIFS(全馬データ!$A$2:$A$50000,A1708,全馬データ!$B$2:$B$50000,B1708,全馬データ!$C$2:$C$50000,C1708,全馬データ!$D$2:$D$50000,E1708,全馬データ!$K$2:$K$50000,"&lt;&gt;")=0,"",SUMIFS(全馬データ!$K$2:$K$50000,全馬データ!$A$2:$A$50000,A1708,全馬データ!$B$2:$B$50000,B1708,全馬データ!$C$2:$C$50000,C1708,全馬データ!$D$2:$D$50000,E1708)))</f>
        <v/>
      </c>
      <c r="AP1708" s="8" t="str">
        <f aca="false">IF(A1708="","",IF(AO1708="","欠損",IF(AO1708&lt;=1.1,"1.0～1.1",IF(AO1708&lt;1.3,"1.2",IF(AO1708&lt;1.5,"1.3～1.4",IF(AO1708&lt;2,"1.5～1.9","2.0以上"))))))</f>
        <v/>
      </c>
      <c r="AQ1708" s="8" t="str">
        <f aca="false">IF(A1708="","",IF(ISNUMBER(SEARCH("2歳",Z1708)),"2歳戦",IF(ISNUMBER(SEARCH("3歳未勝利",Z1708)),"3歳未勝利",IF(ISNUMBER(SEARCH("未勝利",Z1708)),"その他未勝利",IF(ISNUMBER(SEARCH("G1",Z1708)),"G1",IF(ISNUMBER(SEARCH("G2",Z1708)),"G2",IF(ISNUMBER(SEARCH("G3",Z1708)),"G3",IF(ISNUMBER(SEARCH("古馬条件",Z1708)),"古馬条件戦",IF(ISNUMBER(SEARCH("重賞",Z1708)),"重賞","分類不能")))))))))</f>
        <v/>
      </c>
    </row>
    <row r="1709" customFormat="false" ht="15.75" hidden="false" customHeight="false" outlineLevel="0" collapsed="false">
      <c r="AO1709" s="8" t="str">
        <f aca="false">IF(A1709="","",IF(COUNTIFS(全馬データ!$A$2:$A$50000,A1709,全馬データ!$B$2:$B$50000,B1709,全馬データ!$C$2:$C$50000,C1709,全馬データ!$D$2:$D$50000,E1709,全馬データ!$K$2:$K$50000,"&lt;&gt;")=0,"",SUMIFS(全馬データ!$K$2:$K$50000,全馬データ!$A$2:$A$50000,A1709,全馬データ!$B$2:$B$50000,B1709,全馬データ!$C$2:$C$50000,C1709,全馬データ!$D$2:$D$50000,E1709)))</f>
        <v/>
      </c>
      <c r="AP1709" s="8" t="str">
        <f aca="false">IF(A1709="","",IF(AO1709="","欠損",IF(AO1709&lt;=1.1,"1.0～1.1",IF(AO1709&lt;1.3,"1.2",IF(AO1709&lt;1.5,"1.3～1.4",IF(AO1709&lt;2,"1.5～1.9","2.0以上"))))))</f>
        <v/>
      </c>
      <c r="AQ1709" s="8" t="str">
        <f aca="false">IF(A1709="","",IF(ISNUMBER(SEARCH("2歳",Z1709)),"2歳戦",IF(ISNUMBER(SEARCH("3歳未勝利",Z1709)),"3歳未勝利",IF(ISNUMBER(SEARCH("未勝利",Z1709)),"その他未勝利",IF(ISNUMBER(SEARCH("G1",Z1709)),"G1",IF(ISNUMBER(SEARCH("G2",Z1709)),"G2",IF(ISNUMBER(SEARCH("G3",Z1709)),"G3",IF(ISNUMBER(SEARCH("古馬条件",Z1709)),"古馬条件戦",IF(ISNUMBER(SEARCH("重賞",Z1709)),"重賞","分類不能")))))))))</f>
        <v/>
      </c>
    </row>
    <row r="1710" customFormat="false" ht="15.75" hidden="false" customHeight="false" outlineLevel="0" collapsed="false">
      <c r="AO1710" s="8" t="str">
        <f aca="false">IF(A1710="","",IF(COUNTIFS(全馬データ!$A$2:$A$50000,A1710,全馬データ!$B$2:$B$50000,B1710,全馬データ!$C$2:$C$50000,C1710,全馬データ!$D$2:$D$50000,E1710,全馬データ!$K$2:$K$50000,"&lt;&gt;")=0,"",SUMIFS(全馬データ!$K$2:$K$50000,全馬データ!$A$2:$A$50000,A1710,全馬データ!$B$2:$B$50000,B1710,全馬データ!$C$2:$C$50000,C1710,全馬データ!$D$2:$D$50000,E1710)))</f>
        <v/>
      </c>
      <c r="AP1710" s="8" t="str">
        <f aca="false">IF(A1710="","",IF(AO1710="","欠損",IF(AO1710&lt;=1.1,"1.0～1.1",IF(AO1710&lt;1.3,"1.2",IF(AO1710&lt;1.5,"1.3～1.4",IF(AO1710&lt;2,"1.5～1.9","2.0以上"))))))</f>
        <v/>
      </c>
      <c r="AQ1710" s="8" t="str">
        <f aca="false">IF(A1710="","",IF(ISNUMBER(SEARCH("2歳",Z1710)),"2歳戦",IF(ISNUMBER(SEARCH("3歳未勝利",Z1710)),"3歳未勝利",IF(ISNUMBER(SEARCH("未勝利",Z1710)),"その他未勝利",IF(ISNUMBER(SEARCH("G1",Z1710)),"G1",IF(ISNUMBER(SEARCH("G2",Z1710)),"G2",IF(ISNUMBER(SEARCH("G3",Z1710)),"G3",IF(ISNUMBER(SEARCH("古馬条件",Z1710)),"古馬条件戦",IF(ISNUMBER(SEARCH("重賞",Z1710)),"重賞","分類不能")))))))))</f>
        <v/>
      </c>
    </row>
    <row r="1711" customFormat="false" ht="15.75" hidden="false" customHeight="false" outlineLevel="0" collapsed="false">
      <c r="AO1711" s="8" t="str">
        <f aca="false">IF(A1711="","",IF(COUNTIFS(全馬データ!$A$2:$A$50000,A1711,全馬データ!$B$2:$B$50000,B1711,全馬データ!$C$2:$C$50000,C1711,全馬データ!$D$2:$D$50000,E1711,全馬データ!$K$2:$K$50000,"&lt;&gt;")=0,"",SUMIFS(全馬データ!$K$2:$K$50000,全馬データ!$A$2:$A$50000,A1711,全馬データ!$B$2:$B$50000,B1711,全馬データ!$C$2:$C$50000,C1711,全馬データ!$D$2:$D$50000,E1711)))</f>
        <v/>
      </c>
      <c r="AP1711" s="8" t="str">
        <f aca="false">IF(A1711="","",IF(AO1711="","欠損",IF(AO1711&lt;=1.1,"1.0～1.1",IF(AO1711&lt;1.3,"1.2",IF(AO1711&lt;1.5,"1.3～1.4",IF(AO1711&lt;2,"1.5～1.9","2.0以上"))))))</f>
        <v/>
      </c>
      <c r="AQ1711" s="8" t="str">
        <f aca="false">IF(A1711="","",IF(ISNUMBER(SEARCH("2歳",Z1711)),"2歳戦",IF(ISNUMBER(SEARCH("3歳未勝利",Z1711)),"3歳未勝利",IF(ISNUMBER(SEARCH("未勝利",Z1711)),"その他未勝利",IF(ISNUMBER(SEARCH("G1",Z1711)),"G1",IF(ISNUMBER(SEARCH("G2",Z1711)),"G2",IF(ISNUMBER(SEARCH("G3",Z1711)),"G3",IF(ISNUMBER(SEARCH("古馬条件",Z1711)),"古馬条件戦",IF(ISNUMBER(SEARCH("重賞",Z1711)),"重賞","分類不能")))))))))</f>
        <v/>
      </c>
    </row>
    <row r="1712" customFormat="false" ht="15.75" hidden="false" customHeight="false" outlineLevel="0" collapsed="false">
      <c r="AO1712" s="8" t="str">
        <f aca="false">IF(A1712="","",IF(COUNTIFS(全馬データ!$A$2:$A$50000,A1712,全馬データ!$B$2:$B$50000,B1712,全馬データ!$C$2:$C$50000,C1712,全馬データ!$D$2:$D$50000,E1712,全馬データ!$K$2:$K$50000,"&lt;&gt;")=0,"",SUMIFS(全馬データ!$K$2:$K$50000,全馬データ!$A$2:$A$50000,A1712,全馬データ!$B$2:$B$50000,B1712,全馬データ!$C$2:$C$50000,C1712,全馬データ!$D$2:$D$50000,E1712)))</f>
        <v/>
      </c>
      <c r="AP1712" s="8" t="str">
        <f aca="false">IF(A1712="","",IF(AO1712="","欠損",IF(AO1712&lt;=1.1,"1.0～1.1",IF(AO1712&lt;1.3,"1.2",IF(AO1712&lt;1.5,"1.3～1.4",IF(AO1712&lt;2,"1.5～1.9","2.0以上"))))))</f>
        <v/>
      </c>
      <c r="AQ1712" s="8" t="str">
        <f aca="false">IF(A1712="","",IF(ISNUMBER(SEARCH("2歳",Z1712)),"2歳戦",IF(ISNUMBER(SEARCH("3歳未勝利",Z1712)),"3歳未勝利",IF(ISNUMBER(SEARCH("未勝利",Z1712)),"その他未勝利",IF(ISNUMBER(SEARCH("G1",Z1712)),"G1",IF(ISNUMBER(SEARCH("G2",Z1712)),"G2",IF(ISNUMBER(SEARCH("G3",Z1712)),"G3",IF(ISNUMBER(SEARCH("古馬条件",Z1712)),"古馬条件戦",IF(ISNUMBER(SEARCH("重賞",Z1712)),"重賞","分類不能")))))))))</f>
        <v/>
      </c>
    </row>
    <row r="1713" customFormat="false" ht="15.75" hidden="false" customHeight="false" outlineLevel="0" collapsed="false">
      <c r="AO1713" s="8" t="str">
        <f aca="false">IF(A1713="","",IF(COUNTIFS(全馬データ!$A$2:$A$50000,A1713,全馬データ!$B$2:$B$50000,B1713,全馬データ!$C$2:$C$50000,C1713,全馬データ!$D$2:$D$50000,E1713,全馬データ!$K$2:$K$50000,"&lt;&gt;")=0,"",SUMIFS(全馬データ!$K$2:$K$50000,全馬データ!$A$2:$A$50000,A1713,全馬データ!$B$2:$B$50000,B1713,全馬データ!$C$2:$C$50000,C1713,全馬データ!$D$2:$D$50000,E1713)))</f>
        <v/>
      </c>
      <c r="AP1713" s="8" t="str">
        <f aca="false">IF(A1713="","",IF(AO1713="","欠損",IF(AO1713&lt;=1.1,"1.0～1.1",IF(AO1713&lt;1.3,"1.2",IF(AO1713&lt;1.5,"1.3～1.4",IF(AO1713&lt;2,"1.5～1.9","2.0以上"))))))</f>
        <v/>
      </c>
      <c r="AQ1713" s="8" t="str">
        <f aca="false">IF(A1713="","",IF(ISNUMBER(SEARCH("2歳",Z1713)),"2歳戦",IF(ISNUMBER(SEARCH("3歳未勝利",Z1713)),"3歳未勝利",IF(ISNUMBER(SEARCH("未勝利",Z1713)),"その他未勝利",IF(ISNUMBER(SEARCH("G1",Z1713)),"G1",IF(ISNUMBER(SEARCH("G2",Z1713)),"G2",IF(ISNUMBER(SEARCH("G3",Z1713)),"G3",IF(ISNUMBER(SEARCH("古馬条件",Z1713)),"古馬条件戦",IF(ISNUMBER(SEARCH("重賞",Z1713)),"重賞","分類不能")))))))))</f>
        <v/>
      </c>
    </row>
    <row r="1714" customFormat="false" ht="15.75" hidden="false" customHeight="false" outlineLevel="0" collapsed="false">
      <c r="AO1714" s="8" t="str">
        <f aca="false">IF(A1714="","",IF(COUNTIFS(全馬データ!$A$2:$A$50000,A1714,全馬データ!$B$2:$B$50000,B1714,全馬データ!$C$2:$C$50000,C1714,全馬データ!$D$2:$D$50000,E1714,全馬データ!$K$2:$K$50000,"&lt;&gt;")=0,"",SUMIFS(全馬データ!$K$2:$K$50000,全馬データ!$A$2:$A$50000,A1714,全馬データ!$B$2:$B$50000,B1714,全馬データ!$C$2:$C$50000,C1714,全馬データ!$D$2:$D$50000,E1714)))</f>
        <v/>
      </c>
      <c r="AP1714" s="8" t="str">
        <f aca="false">IF(A1714="","",IF(AO1714="","欠損",IF(AO1714&lt;=1.1,"1.0～1.1",IF(AO1714&lt;1.3,"1.2",IF(AO1714&lt;1.5,"1.3～1.4",IF(AO1714&lt;2,"1.5～1.9","2.0以上"))))))</f>
        <v/>
      </c>
      <c r="AQ1714" s="8" t="str">
        <f aca="false">IF(A1714="","",IF(ISNUMBER(SEARCH("2歳",Z1714)),"2歳戦",IF(ISNUMBER(SEARCH("3歳未勝利",Z1714)),"3歳未勝利",IF(ISNUMBER(SEARCH("未勝利",Z1714)),"その他未勝利",IF(ISNUMBER(SEARCH("G1",Z1714)),"G1",IF(ISNUMBER(SEARCH("G2",Z1714)),"G2",IF(ISNUMBER(SEARCH("G3",Z1714)),"G3",IF(ISNUMBER(SEARCH("古馬条件",Z1714)),"古馬条件戦",IF(ISNUMBER(SEARCH("重賞",Z1714)),"重賞","分類不能")))))))))</f>
        <v/>
      </c>
    </row>
    <row r="1715" customFormat="false" ht="15.75" hidden="false" customHeight="false" outlineLevel="0" collapsed="false">
      <c r="AO1715" s="8" t="str">
        <f aca="false">IF(A1715="","",IF(COUNTIFS(全馬データ!$A$2:$A$50000,A1715,全馬データ!$B$2:$B$50000,B1715,全馬データ!$C$2:$C$50000,C1715,全馬データ!$D$2:$D$50000,E1715,全馬データ!$K$2:$K$50000,"&lt;&gt;")=0,"",SUMIFS(全馬データ!$K$2:$K$50000,全馬データ!$A$2:$A$50000,A1715,全馬データ!$B$2:$B$50000,B1715,全馬データ!$C$2:$C$50000,C1715,全馬データ!$D$2:$D$50000,E1715)))</f>
        <v/>
      </c>
      <c r="AP1715" s="8" t="str">
        <f aca="false">IF(A1715="","",IF(AO1715="","欠損",IF(AO1715&lt;=1.1,"1.0～1.1",IF(AO1715&lt;1.3,"1.2",IF(AO1715&lt;1.5,"1.3～1.4",IF(AO1715&lt;2,"1.5～1.9","2.0以上"))))))</f>
        <v/>
      </c>
      <c r="AQ1715" s="8" t="str">
        <f aca="false">IF(A1715="","",IF(ISNUMBER(SEARCH("2歳",Z1715)),"2歳戦",IF(ISNUMBER(SEARCH("3歳未勝利",Z1715)),"3歳未勝利",IF(ISNUMBER(SEARCH("未勝利",Z1715)),"その他未勝利",IF(ISNUMBER(SEARCH("G1",Z1715)),"G1",IF(ISNUMBER(SEARCH("G2",Z1715)),"G2",IF(ISNUMBER(SEARCH("G3",Z1715)),"G3",IF(ISNUMBER(SEARCH("古馬条件",Z1715)),"古馬条件戦",IF(ISNUMBER(SEARCH("重賞",Z1715)),"重賞","分類不能")))))))))</f>
        <v/>
      </c>
    </row>
    <row r="1716" customFormat="false" ht="15.75" hidden="false" customHeight="false" outlineLevel="0" collapsed="false">
      <c r="AO1716" s="8" t="str">
        <f aca="false">IF(A1716="","",IF(COUNTIFS(全馬データ!$A$2:$A$50000,A1716,全馬データ!$B$2:$B$50000,B1716,全馬データ!$C$2:$C$50000,C1716,全馬データ!$D$2:$D$50000,E1716,全馬データ!$K$2:$K$50000,"&lt;&gt;")=0,"",SUMIFS(全馬データ!$K$2:$K$50000,全馬データ!$A$2:$A$50000,A1716,全馬データ!$B$2:$B$50000,B1716,全馬データ!$C$2:$C$50000,C1716,全馬データ!$D$2:$D$50000,E1716)))</f>
        <v/>
      </c>
      <c r="AP1716" s="8" t="str">
        <f aca="false">IF(A1716="","",IF(AO1716="","欠損",IF(AO1716&lt;=1.1,"1.0～1.1",IF(AO1716&lt;1.3,"1.2",IF(AO1716&lt;1.5,"1.3～1.4",IF(AO1716&lt;2,"1.5～1.9","2.0以上"))))))</f>
        <v/>
      </c>
      <c r="AQ1716" s="8" t="str">
        <f aca="false">IF(A1716="","",IF(ISNUMBER(SEARCH("2歳",Z1716)),"2歳戦",IF(ISNUMBER(SEARCH("3歳未勝利",Z1716)),"3歳未勝利",IF(ISNUMBER(SEARCH("未勝利",Z1716)),"その他未勝利",IF(ISNUMBER(SEARCH("G1",Z1716)),"G1",IF(ISNUMBER(SEARCH("G2",Z1716)),"G2",IF(ISNUMBER(SEARCH("G3",Z1716)),"G3",IF(ISNUMBER(SEARCH("古馬条件",Z1716)),"古馬条件戦",IF(ISNUMBER(SEARCH("重賞",Z1716)),"重賞","分類不能")))))))))</f>
        <v/>
      </c>
    </row>
    <row r="1717" customFormat="false" ht="15.75" hidden="false" customHeight="false" outlineLevel="0" collapsed="false">
      <c r="AO1717" s="8" t="str">
        <f aca="false">IF(A1717="","",IF(COUNTIFS(全馬データ!$A$2:$A$50000,A1717,全馬データ!$B$2:$B$50000,B1717,全馬データ!$C$2:$C$50000,C1717,全馬データ!$D$2:$D$50000,E1717,全馬データ!$K$2:$K$50000,"&lt;&gt;")=0,"",SUMIFS(全馬データ!$K$2:$K$50000,全馬データ!$A$2:$A$50000,A1717,全馬データ!$B$2:$B$50000,B1717,全馬データ!$C$2:$C$50000,C1717,全馬データ!$D$2:$D$50000,E1717)))</f>
        <v/>
      </c>
      <c r="AP1717" s="8" t="str">
        <f aca="false">IF(A1717="","",IF(AO1717="","欠損",IF(AO1717&lt;=1.1,"1.0～1.1",IF(AO1717&lt;1.3,"1.2",IF(AO1717&lt;1.5,"1.3～1.4",IF(AO1717&lt;2,"1.5～1.9","2.0以上"))))))</f>
        <v/>
      </c>
      <c r="AQ1717" s="8" t="str">
        <f aca="false">IF(A1717="","",IF(ISNUMBER(SEARCH("2歳",Z1717)),"2歳戦",IF(ISNUMBER(SEARCH("3歳未勝利",Z1717)),"3歳未勝利",IF(ISNUMBER(SEARCH("未勝利",Z1717)),"その他未勝利",IF(ISNUMBER(SEARCH("G1",Z1717)),"G1",IF(ISNUMBER(SEARCH("G2",Z1717)),"G2",IF(ISNUMBER(SEARCH("G3",Z1717)),"G3",IF(ISNUMBER(SEARCH("古馬条件",Z1717)),"古馬条件戦",IF(ISNUMBER(SEARCH("重賞",Z1717)),"重賞","分類不能")))))))))</f>
        <v/>
      </c>
    </row>
    <row r="1718" customFormat="false" ht="15.75" hidden="false" customHeight="false" outlineLevel="0" collapsed="false">
      <c r="AO1718" s="8" t="str">
        <f aca="false">IF(A1718="","",IF(COUNTIFS(全馬データ!$A$2:$A$50000,A1718,全馬データ!$B$2:$B$50000,B1718,全馬データ!$C$2:$C$50000,C1718,全馬データ!$D$2:$D$50000,E1718,全馬データ!$K$2:$K$50000,"&lt;&gt;")=0,"",SUMIFS(全馬データ!$K$2:$K$50000,全馬データ!$A$2:$A$50000,A1718,全馬データ!$B$2:$B$50000,B1718,全馬データ!$C$2:$C$50000,C1718,全馬データ!$D$2:$D$50000,E1718)))</f>
        <v/>
      </c>
      <c r="AP1718" s="8" t="str">
        <f aca="false">IF(A1718="","",IF(AO1718="","欠損",IF(AO1718&lt;=1.1,"1.0～1.1",IF(AO1718&lt;1.3,"1.2",IF(AO1718&lt;1.5,"1.3～1.4",IF(AO1718&lt;2,"1.5～1.9","2.0以上"))))))</f>
        <v/>
      </c>
      <c r="AQ1718" s="8" t="str">
        <f aca="false">IF(A1718="","",IF(ISNUMBER(SEARCH("2歳",Z1718)),"2歳戦",IF(ISNUMBER(SEARCH("3歳未勝利",Z1718)),"3歳未勝利",IF(ISNUMBER(SEARCH("未勝利",Z1718)),"その他未勝利",IF(ISNUMBER(SEARCH("G1",Z1718)),"G1",IF(ISNUMBER(SEARCH("G2",Z1718)),"G2",IF(ISNUMBER(SEARCH("G3",Z1718)),"G3",IF(ISNUMBER(SEARCH("古馬条件",Z1718)),"古馬条件戦",IF(ISNUMBER(SEARCH("重賞",Z1718)),"重賞","分類不能")))))))))</f>
        <v/>
      </c>
    </row>
    <row r="1719" customFormat="false" ht="15.75" hidden="false" customHeight="false" outlineLevel="0" collapsed="false">
      <c r="AO1719" s="8" t="str">
        <f aca="false">IF(A1719="","",IF(COUNTIFS(全馬データ!$A$2:$A$50000,A1719,全馬データ!$B$2:$B$50000,B1719,全馬データ!$C$2:$C$50000,C1719,全馬データ!$D$2:$D$50000,E1719,全馬データ!$K$2:$K$50000,"&lt;&gt;")=0,"",SUMIFS(全馬データ!$K$2:$K$50000,全馬データ!$A$2:$A$50000,A1719,全馬データ!$B$2:$B$50000,B1719,全馬データ!$C$2:$C$50000,C1719,全馬データ!$D$2:$D$50000,E1719)))</f>
        <v/>
      </c>
      <c r="AP1719" s="8" t="str">
        <f aca="false">IF(A1719="","",IF(AO1719="","欠損",IF(AO1719&lt;=1.1,"1.0～1.1",IF(AO1719&lt;1.3,"1.2",IF(AO1719&lt;1.5,"1.3～1.4",IF(AO1719&lt;2,"1.5～1.9","2.0以上"))))))</f>
        <v/>
      </c>
      <c r="AQ1719" s="8" t="str">
        <f aca="false">IF(A1719="","",IF(ISNUMBER(SEARCH("2歳",Z1719)),"2歳戦",IF(ISNUMBER(SEARCH("3歳未勝利",Z1719)),"3歳未勝利",IF(ISNUMBER(SEARCH("未勝利",Z1719)),"その他未勝利",IF(ISNUMBER(SEARCH("G1",Z1719)),"G1",IF(ISNUMBER(SEARCH("G2",Z1719)),"G2",IF(ISNUMBER(SEARCH("G3",Z1719)),"G3",IF(ISNUMBER(SEARCH("古馬条件",Z1719)),"古馬条件戦",IF(ISNUMBER(SEARCH("重賞",Z1719)),"重賞","分類不能")))))))))</f>
        <v/>
      </c>
    </row>
    <row r="1720" customFormat="false" ht="15.75" hidden="false" customHeight="false" outlineLevel="0" collapsed="false">
      <c r="AO1720" s="8" t="str">
        <f aca="false">IF(A1720="","",IF(COUNTIFS(全馬データ!$A$2:$A$50000,A1720,全馬データ!$B$2:$B$50000,B1720,全馬データ!$C$2:$C$50000,C1720,全馬データ!$D$2:$D$50000,E1720,全馬データ!$K$2:$K$50000,"&lt;&gt;")=0,"",SUMIFS(全馬データ!$K$2:$K$50000,全馬データ!$A$2:$A$50000,A1720,全馬データ!$B$2:$B$50000,B1720,全馬データ!$C$2:$C$50000,C1720,全馬データ!$D$2:$D$50000,E1720)))</f>
        <v/>
      </c>
      <c r="AP1720" s="8" t="str">
        <f aca="false">IF(A1720="","",IF(AO1720="","欠損",IF(AO1720&lt;=1.1,"1.0～1.1",IF(AO1720&lt;1.3,"1.2",IF(AO1720&lt;1.5,"1.3～1.4",IF(AO1720&lt;2,"1.5～1.9","2.0以上"))))))</f>
        <v/>
      </c>
      <c r="AQ1720" s="8" t="str">
        <f aca="false">IF(A1720="","",IF(ISNUMBER(SEARCH("2歳",Z1720)),"2歳戦",IF(ISNUMBER(SEARCH("3歳未勝利",Z1720)),"3歳未勝利",IF(ISNUMBER(SEARCH("未勝利",Z1720)),"その他未勝利",IF(ISNUMBER(SEARCH("G1",Z1720)),"G1",IF(ISNUMBER(SEARCH("G2",Z1720)),"G2",IF(ISNUMBER(SEARCH("G3",Z1720)),"G3",IF(ISNUMBER(SEARCH("古馬条件",Z1720)),"古馬条件戦",IF(ISNUMBER(SEARCH("重賞",Z1720)),"重賞","分類不能")))))))))</f>
        <v/>
      </c>
    </row>
    <row r="1721" customFormat="false" ht="15.75" hidden="false" customHeight="false" outlineLevel="0" collapsed="false">
      <c r="AO1721" s="8" t="str">
        <f aca="false">IF(A1721="","",IF(COUNTIFS(全馬データ!$A$2:$A$50000,A1721,全馬データ!$B$2:$B$50000,B1721,全馬データ!$C$2:$C$50000,C1721,全馬データ!$D$2:$D$50000,E1721,全馬データ!$K$2:$K$50000,"&lt;&gt;")=0,"",SUMIFS(全馬データ!$K$2:$K$50000,全馬データ!$A$2:$A$50000,A1721,全馬データ!$B$2:$B$50000,B1721,全馬データ!$C$2:$C$50000,C1721,全馬データ!$D$2:$D$50000,E1721)))</f>
        <v/>
      </c>
      <c r="AP1721" s="8" t="str">
        <f aca="false">IF(A1721="","",IF(AO1721="","欠損",IF(AO1721&lt;=1.1,"1.0～1.1",IF(AO1721&lt;1.3,"1.2",IF(AO1721&lt;1.5,"1.3～1.4",IF(AO1721&lt;2,"1.5～1.9","2.0以上"))))))</f>
        <v/>
      </c>
      <c r="AQ1721" s="8" t="str">
        <f aca="false">IF(A1721="","",IF(ISNUMBER(SEARCH("2歳",Z1721)),"2歳戦",IF(ISNUMBER(SEARCH("3歳未勝利",Z1721)),"3歳未勝利",IF(ISNUMBER(SEARCH("未勝利",Z1721)),"その他未勝利",IF(ISNUMBER(SEARCH("G1",Z1721)),"G1",IF(ISNUMBER(SEARCH("G2",Z1721)),"G2",IF(ISNUMBER(SEARCH("G3",Z1721)),"G3",IF(ISNUMBER(SEARCH("古馬条件",Z1721)),"古馬条件戦",IF(ISNUMBER(SEARCH("重賞",Z1721)),"重賞","分類不能")))))))))</f>
        <v/>
      </c>
    </row>
    <row r="1722" customFormat="false" ht="15.75" hidden="false" customHeight="false" outlineLevel="0" collapsed="false">
      <c r="AO1722" s="8" t="str">
        <f aca="false">IF(A1722="","",IF(COUNTIFS(全馬データ!$A$2:$A$50000,A1722,全馬データ!$B$2:$B$50000,B1722,全馬データ!$C$2:$C$50000,C1722,全馬データ!$D$2:$D$50000,E1722,全馬データ!$K$2:$K$50000,"&lt;&gt;")=0,"",SUMIFS(全馬データ!$K$2:$K$50000,全馬データ!$A$2:$A$50000,A1722,全馬データ!$B$2:$B$50000,B1722,全馬データ!$C$2:$C$50000,C1722,全馬データ!$D$2:$D$50000,E1722)))</f>
        <v/>
      </c>
      <c r="AP1722" s="8" t="str">
        <f aca="false">IF(A1722="","",IF(AO1722="","欠損",IF(AO1722&lt;=1.1,"1.0～1.1",IF(AO1722&lt;1.3,"1.2",IF(AO1722&lt;1.5,"1.3～1.4",IF(AO1722&lt;2,"1.5～1.9","2.0以上"))))))</f>
        <v/>
      </c>
      <c r="AQ1722" s="8" t="str">
        <f aca="false">IF(A1722="","",IF(ISNUMBER(SEARCH("2歳",Z1722)),"2歳戦",IF(ISNUMBER(SEARCH("3歳未勝利",Z1722)),"3歳未勝利",IF(ISNUMBER(SEARCH("未勝利",Z1722)),"その他未勝利",IF(ISNUMBER(SEARCH("G1",Z1722)),"G1",IF(ISNUMBER(SEARCH("G2",Z1722)),"G2",IF(ISNUMBER(SEARCH("G3",Z1722)),"G3",IF(ISNUMBER(SEARCH("古馬条件",Z1722)),"古馬条件戦",IF(ISNUMBER(SEARCH("重賞",Z1722)),"重賞","分類不能")))))))))</f>
        <v/>
      </c>
    </row>
    <row r="1723" customFormat="false" ht="15.75" hidden="false" customHeight="false" outlineLevel="0" collapsed="false">
      <c r="AO1723" s="8" t="str">
        <f aca="false">IF(A1723="","",IF(COUNTIFS(全馬データ!$A$2:$A$50000,A1723,全馬データ!$B$2:$B$50000,B1723,全馬データ!$C$2:$C$50000,C1723,全馬データ!$D$2:$D$50000,E1723,全馬データ!$K$2:$K$50000,"&lt;&gt;")=0,"",SUMIFS(全馬データ!$K$2:$K$50000,全馬データ!$A$2:$A$50000,A1723,全馬データ!$B$2:$B$50000,B1723,全馬データ!$C$2:$C$50000,C1723,全馬データ!$D$2:$D$50000,E1723)))</f>
        <v/>
      </c>
      <c r="AP1723" s="8" t="str">
        <f aca="false">IF(A1723="","",IF(AO1723="","欠損",IF(AO1723&lt;=1.1,"1.0～1.1",IF(AO1723&lt;1.3,"1.2",IF(AO1723&lt;1.5,"1.3～1.4",IF(AO1723&lt;2,"1.5～1.9","2.0以上"))))))</f>
        <v/>
      </c>
      <c r="AQ1723" s="8" t="str">
        <f aca="false">IF(A1723="","",IF(ISNUMBER(SEARCH("2歳",Z1723)),"2歳戦",IF(ISNUMBER(SEARCH("3歳未勝利",Z1723)),"3歳未勝利",IF(ISNUMBER(SEARCH("未勝利",Z1723)),"その他未勝利",IF(ISNUMBER(SEARCH("G1",Z1723)),"G1",IF(ISNUMBER(SEARCH("G2",Z1723)),"G2",IF(ISNUMBER(SEARCH("G3",Z1723)),"G3",IF(ISNUMBER(SEARCH("古馬条件",Z1723)),"古馬条件戦",IF(ISNUMBER(SEARCH("重賞",Z1723)),"重賞","分類不能")))))))))</f>
        <v/>
      </c>
    </row>
    <row r="1724" customFormat="false" ht="15.75" hidden="false" customHeight="false" outlineLevel="0" collapsed="false">
      <c r="AO1724" s="8" t="str">
        <f aca="false">IF(A1724="","",IF(COUNTIFS(全馬データ!$A$2:$A$50000,A1724,全馬データ!$B$2:$B$50000,B1724,全馬データ!$C$2:$C$50000,C1724,全馬データ!$D$2:$D$50000,E1724,全馬データ!$K$2:$K$50000,"&lt;&gt;")=0,"",SUMIFS(全馬データ!$K$2:$K$50000,全馬データ!$A$2:$A$50000,A1724,全馬データ!$B$2:$B$50000,B1724,全馬データ!$C$2:$C$50000,C1724,全馬データ!$D$2:$D$50000,E1724)))</f>
        <v/>
      </c>
      <c r="AP1724" s="8" t="str">
        <f aca="false">IF(A1724="","",IF(AO1724="","欠損",IF(AO1724&lt;=1.1,"1.0～1.1",IF(AO1724&lt;1.3,"1.2",IF(AO1724&lt;1.5,"1.3～1.4",IF(AO1724&lt;2,"1.5～1.9","2.0以上"))))))</f>
        <v/>
      </c>
      <c r="AQ1724" s="8" t="str">
        <f aca="false">IF(A1724="","",IF(ISNUMBER(SEARCH("2歳",Z1724)),"2歳戦",IF(ISNUMBER(SEARCH("3歳未勝利",Z1724)),"3歳未勝利",IF(ISNUMBER(SEARCH("未勝利",Z1724)),"その他未勝利",IF(ISNUMBER(SEARCH("G1",Z1724)),"G1",IF(ISNUMBER(SEARCH("G2",Z1724)),"G2",IF(ISNUMBER(SEARCH("G3",Z1724)),"G3",IF(ISNUMBER(SEARCH("古馬条件",Z1724)),"古馬条件戦",IF(ISNUMBER(SEARCH("重賞",Z1724)),"重賞","分類不能")))))))))</f>
        <v/>
      </c>
    </row>
    <row r="1725" customFormat="false" ht="15.75" hidden="false" customHeight="false" outlineLevel="0" collapsed="false">
      <c r="AO1725" s="8" t="str">
        <f aca="false">IF(A1725="","",IF(COUNTIFS(全馬データ!$A$2:$A$50000,A1725,全馬データ!$B$2:$B$50000,B1725,全馬データ!$C$2:$C$50000,C1725,全馬データ!$D$2:$D$50000,E1725,全馬データ!$K$2:$K$50000,"&lt;&gt;")=0,"",SUMIFS(全馬データ!$K$2:$K$50000,全馬データ!$A$2:$A$50000,A1725,全馬データ!$B$2:$B$50000,B1725,全馬データ!$C$2:$C$50000,C1725,全馬データ!$D$2:$D$50000,E1725)))</f>
        <v/>
      </c>
      <c r="AP1725" s="8" t="str">
        <f aca="false">IF(A1725="","",IF(AO1725="","欠損",IF(AO1725&lt;=1.1,"1.0～1.1",IF(AO1725&lt;1.3,"1.2",IF(AO1725&lt;1.5,"1.3～1.4",IF(AO1725&lt;2,"1.5～1.9","2.0以上"))))))</f>
        <v/>
      </c>
      <c r="AQ1725" s="8" t="str">
        <f aca="false">IF(A1725="","",IF(ISNUMBER(SEARCH("2歳",Z1725)),"2歳戦",IF(ISNUMBER(SEARCH("3歳未勝利",Z1725)),"3歳未勝利",IF(ISNUMBER(SEARCH("未勝利",Z1725)),"その他未勝利",IF(ISNUMBER(SEARCH("G1",Z1725)),"G1",IF(ISNUMBER(SEARCH("G2",Z1725)),"G2",IF(ISNUMBER(SEARCH("G3",Z1725)),"G3",IF(ISNUMBER(SEARCH("古馬条件",Z1725)),"古馬条件戦",IF(ISNUMBER(SEARCH("重賞",Z1725)),"重賞","分類不能")))))))))</f>
        <v/>
      </c>
    </row>
    <row r="1726" customFormat="false" ht="15.75" hidden="false" customHeight="false" outlineLevel="0" collapsed="false">
      <c r="AO1726" s="8" t="str">
        <f aca="false">IF(A1726="","",IF(COUNTIFS(全馬データ!$A$2:$A$50000,A1726,全馬データ!$B$2:$B$50000,B1726,全馬データ!$C$2:$C$50000,C1726,全馬データ!$D$2:$D$50000,E1726,全馬データ!$K$2:$K$50000,"&lt;&gt;")=0,"",SUMIFS(全馬データ!$K$2:$K$50000,全馬データ!$A$2:$A$50000,A1726,全馬データ!$B$2:$B$50000,B1726,全馬データ!$C$2:$C$50000,C1726,全馬データ!$D$2:$D$50000,E1726)))</f>
        <v/>
      </c>
      <c r="AP1726" s="8" t="str">
        <f aca="false">IF(A1726="","",IF(AO1726="","欠損",IF(AO1726&lt;=1.1,"1.0～1.1",IF(AO1726&lt;1.3,"1.2",IF(AO1726&lt;1.5,"1.3～1.4",IF(AO1726&lt;2,"1.5～1.9","2.0以上"))))))</f>
        <v/>
      </c>
      <c r="AQ1726" s="8" t="str">
        <f aca="false">IF(A1726="","",IF(ISNUMBER(SEARCH("2歳",Z1726)),"2歳戦",IF(ISNUMBER(SEARCH("3歳未勝利",Z1726)),"3歳未勝利",IF(ISNUMBER(SEARCH("未勝利",Z1726)),"その他未勝利",IF(ISNUMBER(SEARCH("G1",Z1726)),"G1",IF(ISNUMBER(SEARCH("G2",Z1726)),"G2",IF(ISNUMBER(SEARCH("G3",Z1726)),"G3",IF(ISNUMBER(SEARCH("古馬条件",Z1726)),"古馬条件戦",IF(ISNUMBER(SEARCH("重賞",Z1726)),"重賞","分類不能")))))))))</f>
        <v/>
      </c>
    </row>
    <row r="1727" customFormat="false" ht="15.75" hidden="false" customHeight="false" outlineLevel="0" collapsed="false">
      <c r="AO1727" s="8" t="str">
        <f aca="false">IF(A1727="","",IF(COUNTIFS(全馬データ!$A$2:$A$50000,A1727,全馬データ!$B$2:$B$50000,B1727,全馬データ!$C$2:$C$50000,C1727,全馬データ!$D$2:$D$50000,E1727,全馬データ!$K$2:$K$50000,"&lt;&gt;")=0,"",SUMIFS(全馬データ!$K$2:$K$50000,全馬データ!$A$2:$A$50000,A1727,全馬データ!$B$2:$B$50000,B1727,全馬データ!$C$2:$C$50000,C1727,全馬データ!$D$2:$D$50000,E1727)))</f>
        <v/>
      </c>
      <c r="AP1727" s="8" t="str">
        <f aca="false">IF(A1727="","",IF(AO1727="","欠損",IF(AO1727&lt;=1.1,"1.0～1.1",IF(AO1727&lt;1.3,"1.2",IF(AO1727&lt;1.5,"1.3～1.4",IF(AO1727&lt;2,"1.5～1.9","2.0以上"))))))</f>
        <v/>
      </c>
      <c r="AQ1727" s="8" t="str">
        <f aca="false">IF(A1727="","",IF(ISNUMBER(SEARCH("2歳",Z1727)),"2歳戦",IF(ISNUMBER(SEARCH("3歳未勝利",Z1727)),"3歳未勝利",IF(ISNUMBER(SEARCH("未勝利",Z1727)),"その他未勝利",IF(ISNUMBER(SEARCH("G1",Z1727)),"G1",IF(ISNUMBER(SEARCH("G2",Z1727)),"G2",IF(ISNUMBER(SEARCH("G3",Z1727)),"G3",IF(ISNUMBER(SEARCH("古馬条件",Z1727)),"古馬条件戦",IF(ISNUMBER(SEARCH("重賞",Z1727)),"重賞","分類不能")))))))))</f>
        <v/>
      </c>
    </row>
    <row r="1728" customFormat="false" ht="15.75" hidden="false" customHeight="false" outlineLevel="0" collapsed="false">
      <c r="AO1728" s="8" t="str">
        <f aca="false">IF(A1728="","",IF(COUNTIFS(全馬データ!$A$2:$A$50000,A1728,全馬データ!$B$2:$B$50000,B1728,全馬データ!$C$2:$C$50000,C1728,全馬データ!$D$2:$D$50000,E1728,全馬データ!$K$2:$K$50000,"&lt;&gt;")=0,"",SUMIFS(全馬データ!$K$2:$K$50000,全馬データ!$A$2:$A$50000,A1728,全馬データ!$B$2:$B$50000,B1728,全馬データ!$C$2:$C$50000,C1728,全馬データ!$D$2:$D$50000,E1728)))</f>
        <v/>
      </c>
      <c r="AP1728" s="8" t="str">
        <f aca="false">IF(A1728="","",IF(AO1728="","欠損",IF(AO1728&lt;=1.1,"1.0～1.1",IF(AO1728&lt;1.3,"1.2",IF(AO1728&lt;1.5,"1.3～1.4",IF(AO1728&lt;2,"1.5～1.9","2.0以上"))))))</f>
        <v/>
      </c>
      <c r="AQ1728" s="8" t="str">
        <f aca="false">IF(A1728="","",IF(ISNUMBER(SEARCH("2歳",Z1728)),"2歳戦",IF(ISNUMBER(SEARCH("3歳未勝利",Z1728)),"3歳未勝利",IF(ISNUMBER(SEARCH("未勝利",Z1728)),"その他未勝利",IF(ISNUMBER(SEARCH("G1",Z1728)),"G1",IF(ISNUMBER(SEARCH("G2",Z1728)),"G2",IF(ISNUMBER(SEARCH("G3",Z1728)),"G3",IF(ISNUMBER(SEARCH("古馬条件",Z1728)),"古馬条件戦",IF(ISNUMBER(SEARCH("重賞",Z1728)),"重賞","分類不能")))))))))</f>
        <v/>
      </c>
    </row>
    <row r="1729" customFormat="false" ht="15.75" hidden="false" customHeight="false" outlineLevel="0" collapsed="false">
      <c r="AO1729" s="8" t="str">
        <f aca="false">IF(A1729="","",IF(COUNTIFS(全馬データ!$A$2:$A$50000,A1729,全馬データ!$B$2:$B$50000,B1729,全馬データ!$C$2:$C$50000,C1729,全馬データ!$D$2:$D$50000,E1729,全馬データ!$K$2:$K$50000,"&lt;&gt;")=0,"",SUMIFS(全馬データ!$K$2:$K$50000,全馬データ!$A$2:$A$50000,A1729,全馬データ!$B$2:$B$50000,B1729,全馬データ!$C$2:$C$50000,C1729,全馬データ!$D$2:$D$50000,E1729)))</f>
        <v/>
      </c>
      <c r="AP1729" s="8" t="str">
        <f aca="false">IF(A1729="","",IF(AO1729="","欠損",IF(AO1729&lt;=1.1,"1.0～1.1",IF(AO1729&lt;1.3,"1.2",IF(AO1729&lt;1.5,"1.3～1.4",IF(AO1729&lt;2,"1.5～1.9","2.0以上"))))))</f>
        <v/>
      </c>
      <c r="AQ1729" s="8" t="str">
        <f aca="false">IF(A1729="","",IF(ISNUMBER(SEARCH("2歳",Z1729)),"2歳戦",IF(ISNUMBER(SEARCH("3歳未勝利",Z1729)),"3歳未勝利",IF(ISNUMBER(SEARCH("未勝利",Z1729)),"その他未勝利",IF(ISNUMBER(SEARCH("G1",Z1729)),"G1",IF(ISNUMBER(SEARCH("G2",Z1729)),"G2",IF(ISNUMBER(SEARCH("G3",Z1729)),"G3",IF(ISNUMBER(SEARCH("古馬条件",Z1729)),"古馬条件戦",IF(ISNUMBER(SEARCH("重賞",Z1729)),"重賞","分類不能")))))))))</f>
        <v/>
      </c>
    </row>
    <row r="1730" customFormat="false" ht="15.75" hidden="false" customHeight="false" outlineLevel="0" collapsed="false">
      <c r="AO1730" s="8" t="str">
        <f aca="false">IF(A1730="","",IF(COUNTIFS(全馬データ!$A$2:$A$50000,A1730,全馬データ!$B$2:$B$50000,B1730,全馬データ!$C$2:$C$50000,C1730,全馬データ!$D$2:$D$50000,E1730,全馬データ!$K$2:$K$50000,"&lt;&gt;")=0,"",SUMIFS(全馬データ!$K$2:$K$50000,全馬データ!$A$2:$A$50000,A1730,全馬データ!$B$2:$B$50000,B1730,全馬データ!$C$2:$C$50000,C1730,全馬データ!$D$2:$D$50000,E1730)))</f>
        <v/>
      </c>
      <c r="AP1730" s="8" t="str">
        <f aca="false">IF(A1730="","",IF(AO1730="","欠損",IF(AO1730&lt;=1.1,"1.0～1.1",IF(AO1730&lt;1.3,"1.2",IF(AO1730&lt;1.5,"1.3～1.4",IF(AO1730&lt;2,"1.5～1.9","2.0以上"))))))</f>
        <v/>
      </c>
      <c r="AQ1730" s="8" t="str">
        <f aca="false">IF(A1730="","",IF(ISNUMBER(SEARCH("2歳",Z1730)),"2歳戦",IF(ISNUMBER(SEARCH("3歳未勝利",Z1730)),"3歳未勝利",IF(ISNUMBER(SEARCH("未勝利",Z1730)),"その他未勝利",IF(ISNUMBER(SEARCH("G1",Z1730)),"G1",IF(ISNUMBER(SEARCH("G2",Z1730)),"G2",IF(ISNUMBER(SEARCH("G3",Z1730)),"G3",IF(ISNUMBER(SEARCH("古馬条件",Z1730)),"古馬条件戦",IF(ISNUMBER(SEARCH("重賞",Z1730)),"重賞","分類不能")))))))))</f>
        <v/>
      </c>
    </row>
    <row r="1731" customFormat="false" ht="15.75" hidden="false" customHeight="false" outlineLevel="0" collapsed="false">
      <c r="AO1731" s="8" t="str">
        <f aca="false">IF(A1731="","",IF(COUNTIFS(全馬データ!$A$2:$A$50000,A1731,全馬データ!$B$2:$B$50000,B1731,全馬データ!$C$2:$C$50000,C1731,全馬データ!$D$2:$D$50000,E1731,全馬データ!$K$2:$K$50000,"&lt;&gt;")=0,"",SUMIFS(全馬データ!$K$2:$K$50000,全馬データ!$A$2:$A$50000,A1731,全馬データ!$B$2:$B$50000,B1731,全馬データ!$C$2:$C$50000,C1731,全馬データ!$D$2:$D$50000,E1731)))</f>
        <v/>
      </c>
      <c r="AP1731" s="8" t="str">
        <f aca="false">IF(A1731="","",IF(AO1731="","欠損",IF(AO1731&lt;=1.1,"1.0～1.1",IF(AO1731&lt;1.3,"1.2",IF(AO1731&lt;1.5,"1.3～1.4",IF(AO1731&lt;2,"1.5～1.9","2.0以上"))))))</f>
        <v/>
      </c>
      <c r="AQ1731" s="8" t="str">
        <f aca="false">IF(A1731="","",IF(ISNUMBER(SEARCH("2歳",Z1731)),"2歳戦",IF(ISNUMBER(SEARCH("3歳未勝利",Z1731)),"3歳未勝利",IF(ISNUMBER(SEARCH("未勝利",Z1731)),"その他未勝利",IF(ISNUMBER(SEARCH("G1",Z1731)),"G1",IF(ISNUMBER(SEARCH("G2",Z1731)),"G2",IF(ISNUMBER(SEARCH("G3",Z1731)),"G3",IF(ISNUMBER(SEARCH("古馬条件",Z1731)),"古馬条件戦",IF(ISNUMBER(SEARCH("重賞",Z1731)),"重賞","分類不能")))))))))</f>
        <v/>
      </c>
    </row>
    <row r="1732" customFormat="false" ht="15.75" hidden="false" customHeight="false" outlineLevel="0" collapsed="false">
      <c r="AO1732" s="8" t="str">
        <f aca="false">IF(A1732="","",IF(COUNTIFS(全馬データ!$A$2:$A$50000,A1732,全馬データ!$B$2:$B$50000,B1732,全馬データ!$C$2:$C$50000,C1732,全馬データ!$D$2:$D$50000,E1732,全馬データ!$K$2:$K$50000,"&lt;&gt;")=0,"",SUMIFS(全馬データ!$K$2:$K$50000,全馬データ!$A$2:$A$50000,A1732,全馬データ!$B$2:$B$50000,B1732,全馬データ!$C$2:$C$50000,C1732,全馬データ!$D$2:$D$50000,E1732)))</f>
        <v/>
      </c>
      <c r="AP1732" s="8" t="str">
        <f aca="false">IF(A1732="","",IF(AO1732="","欠損",IF(AO1732&lt;=1.1,"1.0～1.1",IF(AO1732&lt;1.3,"1.2",IF(AO1732&lt;1.5,"1.3～1.4",IF(AO1732&lt;2,"1.5～1.9","2.0以上"))))))</f>
        <v/>
      </c>
      <c r="AQ1732" s="8" t="str">
        <f aca="false">IF(A1732="","",IF(ISNUMBER(SEARCH("2歳",Z1732)),"2歳戦",IF(ISNUMBER(SEARCH("3歳未勝利",Z1732)),"3歳未勝利",IF(ISNUMBER(SEARCH("未勝利",Z1732)),"その他未勝利",IF(ISNUMBER(SEARCH("G1",Z1732)),"G1",IF(ISNUMBER(SEARCH("G2",Z1732)),"G2",IF(ISNUMBER(SEARCH("G3",Z1732)),"G3",IF(ISNUMBER(SEARCH("古馬条件",Z1732)),"古馬条件戦",IF(ISNUMBER(SEARCH("重賞",Z1732)),"重賞","分類不能")))))))))</f>
        <v/>
      </c>
    </row>
    <row r="1733" customFormat="false" ht="15.75" hidden="false" customHeight="false" outlineLevel="0" collapsed="false">
      <c r="AO1733" s="8" t="str">
        <f aca="false">IF(A1733="","",IF(COUNTIFS(全馬データ!$A$2:$A$50000,A1733,全馬データ!$B$2:$B$50000,B1733,全馬データ!$C$2:$C$50000,C1733,全馬データ!$D$2:$D$50000,E1733,全馬データ!$K$2:$K$50000,"&lt;&gt;")=0,"",SUMIFS(全馬データ!$K$2:$K$50000,全馬データ!$A$2:$A$50000,A1733,全馬データ!$B$2:$B$50000,B1733,全馬データ!$C$2:$C$50000,C1733,全馬データ!$D$2:$D$50000,E1733)))</f>
        <v/>
      </c>
      <c r="AP1733" s="8" t="str">
        <f aca="false">IF(A1733="","",IF(AO1733="","欠損",IF(AO1733&lt;=1.1,"1.0～1.1",IF(AO1733&lt;1.3,"1.2",IF(AO1733&lt;1.5,"1.3～1.4",IF(AO1733&lt;2,"1.5～1.9","2.0以上"))))))</f>
        <v/>
      </c>
      <c r="AQ1733" s="8" t="str">
        <f aca="false">IF(A1733="","",IF(ISNUMBER(SEARCH("2歳",Z1733)),"2歳戦",IF(ISNUMBER(SEARCH("3歳未勝利",Z1733)),"3歳未勝利",IF(ISNUMBER(SEARCH("未勝利",Z1733)),"その他未勝利",IF(ISNUMBER(SEARCH("G1",Z1733)),"G1",IF(ISNUMBER(SEARCH("G2",Z1733)),"G2",IF(ISNUMBER(SEARCH("G3",Z1733)),"G3",IF(ISNUMBER(SEARCH("古馬条件",Z1733)),"古馬条件戦",IF(ISNUMBER(SEARCH("重賞",Z1733)),"重賞","分類不能")))))))))</f>
        <v/>
      </c>
    </row>
    <row r="1734" customFormat="false" ht="15.75" hidden="false" customHeight="false" outlineLevel="0" collapsed="false">
      <c r="AO1734" s="8" t="str">
        <f aca="false">IF(A1734="","",IF(COUNTIFS(全馬データ!$A$2:$A$50000,A1734,全馬データ!$B$2:$B$50000,B1734,全馬データ!$C$2:$C$50000,C1734,全馬データ!$D$2:$D$50000,E1734,全馬データ!$K$2:$K$50000,"&lt;&gt;")=0,"",SUMIFS(全馬データ!$K$2:$K$50000,全馬データ!$A$2:$A$50000,A1734,全馬データ!$B$2:$B$50000,B1734,全馬データ!$C$2:$C$50000,C1734,全馬データ!$D$2:$D$50000,E1734)))</f>
        <v/>
      </c>
      <c r="AP1734" s="8" t="str">
        <f aca="false">IF(A1734="","",IF(AO1734="","欠損",IF(AO1734&lt;=1.1,"1.0～1.1",IF(AO1734&lt;1.3,"1.2",IF(AO1734&lt;1.5,"1.3～1.4",IF(AO1734&lt;2,"1.5～1.9","2.0以上"))))))</f>
        <v/>
      </c>
      <c r="AQ1734" s="8" t="str">
        <f aca="false">IF(A1734="","",IF(ISNUMBER(SEARCH("2歳",Z1734)),"2歳戦",IF(ISNUMBER(SEARCH("3歳未勝利",Z1734)),"3歳未勝利",IF(ISNUMBER(SEARCH("未勝利",Z1734)),"その他未勝利",IF(ISNUMBER(SEARCH("G1",Z1734)),"G1",IF(ISNUMBER(SEARCH("G2",Z1734)),"G2",IF(ISNUMBER(SEARCH("G3",Z1734)),"G3",IF(ISNUMBER(SEARCH("古馬条件",Z1734)),"古馬条件戦",IF(ISNUMBER(SEARCH("重賞",Z1734)),"重賞","分類不能")))))))))</f>
        <v/>
      </c>
    </row>
    <row r="1735" customFormat="false" ht="15.75" hidden="false" customHeight="false" outlineLevel="0" collapsed="false">
      <c r="AO1735" s="8" t="str">
        <f aca="false">IF(A1735="","",IF(COUNTIFS(全馬データ!$A$2:$A$50000,A1735,全馬データ!$B$2:$B$50000,B1735,全馬データ!$C$2:$C$50000,C1735,全馬データ!$D$2:$D$50000,E1735,全馬データ!$K$2:$K$50000,"&lt;&gt;")=0,"",SUMIFS(全馬データ!$K$2:$K$50000,全馬データ!$A$2:$A$50000,A1735,全馬データ!$B$2:$B$50000,B1735,全馬データ!$C$2:$C$50000,C1735,全馬データ!$D$2:$D$50000,E1735)))</f>
        <v/>
      </c>
      <c r="AP1735" s="8" t="str">
        <f aca="false">IF(A1735="","",IF(AO1735="","欠損",IF(AO1735&lt;=1.1,"1.0～1.1",IF(AO1735&lt;1.3,"1.2",IF(AO1735&lt;1.5,"1.3～1.4",IF(AO1735&lt;2,"1.5～1.9","2.0以上"))))))</f>
        <v/>
      </c>
      <c r="AQ1735" s="8" t="str">
        <f aca="false">IF(A1735="","",IF(ISNUMBER(SEARCH("2歳",Z1735)),"2歳戦",IF(ISNUMBER(SEARCH("3歳未勝利",Z1735)),"3歳未勝利",IF(ISNUMBER(SEARCH("未勝利",Z1735)),"その他未勝利",IF(ISNUMBER(SEARCH("G1",Z1735)),"G1",IF(ISNUMBER(SEARCH("G2",Z1735)),"G2",IF(ISNUMBER(SEARCH("G3",Z1735)),"G3",IF(ISNUMBER(SEARCH("古馬条件",Z1735)),"古馬条件戦",IF(ISNUMBER(SEARCH("重賞",Z1735)),"重賞","分類不能")))))))))</f>
        <v/>
      </c>
    </row>
    <row r="1736" customFormat="false" ht="15.75" hidden="false" customHeight="false" outlineLevel="0" collapsed="false">
      <c r="AO1736" s="8" t="str">
        <f aca="false">IF(A1736="","",IF(COUNTIFS(全馬データ!$A$2:$A$50000,A1736,全馬データ!$B$2:$B$50000,B1736,全馬データ!$C$2:$C$50000,C1736,全馬データ!$D$2:$D$50000,E1736,全馬データ!$K$2:$K$50000,"&lt;&gt;")=0,"",SUMIFS(全馬データ!$K$2:$K$50000,全馬データ!$A$2:$A$50000,A1736,全馬データ!$B$2:$B$50000,B1736,全馬データ!$C$2:$C$50000,C1736,全馬データ!$D$2:$D$50000,E1736)))</f>
        <v/>
      </c>
      <c r="AP1736" s="8" t="str">
        <f aca="false">IF(A1736="","",IF(AO1736="","欠損",IF(AO1736&lt;=1.1,"1.0～1.1",IF(AO1736&lt;1.3,"1.2",IF(AO1736&lt;1.5,"1.3～1.4",IF(AO1736&lt;2,"1.5～1.9","2.0以上"))))))</f>
        <v/>
      </c>
      <c r="AQ1736" s="8" t="str">
        <f aca="false">IF(A1736="","",IF(ISNUMBER(SEARCH("2歳",Z1736)),"2歳戦",IF(ISNUMBER(SEARCH("3歳未勝利",Z1736)),"3歳未勝利",IF(ISNUMBER(SEARCH("未勝利",Z1736)),"その他未勝利",IF(ISNUMBER(SEARCH("G1",Z1736)),"G1",IF(ISNUMBER(SEARCH("G2",Z1736)),"G2",IF(ISNUMBER(SEARCH("G3",Z1736)),"G3",IF(ISNUMBER(SEARCH("古馬条件",Z1736)),"古馬条件戦",IF(ISNUMBER(SEARCH("重賞",Z1736)),"重賞","分類不能")))))))))</f>
        <v/>
      </c>
    </row>
    <row r="1737" customFormat="false" ht="15.75" hidden="false" customHeight="false" outlineLevel="0" collapsed="false">
      <c r="AO1737" s="8" t="str">
        <f aca="false">IF(A1737="","",IF(COUNTIFS(全馬データ!$A$2:$A$50000,A1737,全馬データ!$B$2:$B$50000,B1737,全馬データ!$C$2:$C$50000,C1737,全馬データ!$D$2:$D$50000,E1737,全馬データ!$K$2:$K$50000,"&lt;&gt;")=0,"",SUMIFS(全馬データ!$K$2:$K$50000,全馬データ!$A$2:$A$50000,A1737,全馬データ!$B$2:$B$50000,B1737,全馬データ!$C$2:$C$50000,C1737,全馬データ!$D$2:$D$50000,E1737)))</f>
        <v/>
      </c>
      <c r="AP1737" s="8" t="str">
        <f aca="false">IF(A1737="","",IF(AO1737="","欠損",IF(AO1737&lt;=1.1,"1.0～1.1",IF(AO1737&lt;1.3,"1.2",IF(AO1737&lt;1.5,"1.3～1.4",IF(AO1737&lt;2,"1.5～1.9","2.0以上"))))))</f>
        <v/>
      </c>
      <c r="AQ1737" s="8" t="str">
        <f aca="false">IF(A1737="","",IF(ISNUMBER(SEARCH("2歳",Z1737)),"2歳戦",IF(ISNUMBER(SEARCH("3歳未勝利",Z1737)),"3歳未勝利",IF(ISNUMBER(SEARCH("未勝利",Z1737)),"その他未勝利",IF(ISNUMBER(SEARCH("G1",Z1737)),"G1",IF(ISNUMBER(SEARCH("G2",Z1737)),"G2",IF(ISNUMBER(SEARCH("G3",Z1737)),"G3",IF(ISNUMBER(SEARCH("古馬条件",Z1737)),"古馬条件戦",IF(ISNUMBER(SEARCH("重賞",Z1737)),"重賞","分類不能")))))))))</f>
        <v/>
      </c>
    </row>
    <row r="1738" customFormat="false" ht="15.75" hidden="false" customHeight="false" outlineLevel="0" collapsed="false">
      <c r="AO1738" s="8" t="str">
        <f aca="false">IF(A1738="","",IF(COUNTIFS(全馬データ!$A$2:$A$50000,A1738,全馬データ!$B$2:$B$50000,B1738,全馬データ!$C$2:$C$50000,C1738,全馬データ!$D$2:$D$50000,E1738,全馬データ!$K$2:$K$50000,"&lt;&gt;")=0,"",SUMIFS(全馬データ!$K$2:$K$50000,全馬データ!$A$2:$A$50000,A1738,全馬データ!$B$2:$B$50000,B1738,全馬データ!$C$2:$C$50000,C1738,全馬データ!$D$2:$D$50000,E1738)))</f>
        <v/>
      </c>
      <c r="AP1738" s="8" t="str">
        <f aca="false">IF(A1738="","",IF(AO1738="","欠損",IF(AO1738&lt;=1.1,"1.0～1.1",IF(AO1738&lt;1.3,"1.2",IF(AO1738&lt;1.5,"1.3～1.4",IF(AO1738&lt;2,"1.5～1.9","2.0以上"))))))</f>
        <v/>
      </c>
      <c r="AQ1738" s="8" t="str">
        <f aca="false">IF(A1738="","",IF(ISNUMBER(SEARCH("2歳",Z1738)),"2歳戦",IF(ISNUMBER(SEARCH("3歳未勝利",Z1738)),"3歳未勝利",IF(ISNUMBER(SEARCH("未勝利",Z1738)),"その他未勝利",IF(ISNUMBER(SEARCH("G1",Z1738)),"G1",IF(ISNUMBER(SEARCH("G2",Z1738)),"G2",IF(ISNUMBER(SEARCH("G3",Z1738)),"G3",IF(ISNUMBER(SEARCH("古馬条件",Z1738)),"古馬条件戦",IF(ISNUMBER(SEARCH("重賞",Z1738)),"重賞","分類不能")))))))))</f>
        <v/>
      </c>
    </row>
    <row r="1739" customFormat="false" ht="15.75" hidden="false" customHeight="false" outlineLevel="0" collapsed="false">
      <c r="AO1739" s="8" t="str">
        <f aca="false">IF(A1739="","",IF(COUNTIFS(全馬データ!$A$2:$A$50000,A1739,全馬データ!$B$2:$B$50000,B1739,全馬データ!$C$2:$C$50000,C1739,全馬データ!$D$2:$D$50000,E1739,全馬データ!$K$2:$K$50000,"&lt;&gt;")=0,"",SUMIFS(全馬データ!$K$2:$K$50000,全馬データ!$A$2:$A$50000,A1739,全馬データ!$B$2:$B$50000,B1739,全馬データ!$C$2:$C$50000,C1739,全馬データ!$D$2:$D$50000,E1739)))</f>
        <v/>
      </c>
      <c r="AP1739" s="8" t="str">
        <f aca="false">IF(A1739="","",IF(AO1739="","欠損",IF(AO1739&lt;=1.1,"1.0～1.1",IF(AO1739&lt;1.3,"1.2",IF(AO1739&lt;1.5,"1.3～1.4",IF(AO1739&lt;2,"1.5～1.9","2.0以上"))))))</f>
        <v/>
      </c>
      <c r="AQ1739" s="8" t="str">
        <f aca="false">IF(A1739="","",IF(ISNUMBER(SEARCH("2歳",Z1739)),"2歳戦",IF(ISNUMBER(SEARCH("3歳未勝利",Z1739)),"3歳未勝利",IF(ISNUMBER(SEARCH("未勝利",Z1739)),"その他未勝利",IF(ISNUMBER(SEARCH("G1",Z1739)),"G1",IF(ISNUMBER(SEARCH("G2",Z1739)),"G2",IF(ISNUMBER(SEARCH("G3",Z1739)),"G3",IF(ISNUMBER(SEARCH("古馬条件",Z1739)),"古馬条件戦",IF(ISNUMBER(SEARCH("重賞",Z1739)),"重賞","分類不能")))))))))</f>
        <v/>
      </c>
    </row>
    <row r="1740" customFormat="false" ht="15.75" hidden="false" customHeight="false" outlineLevel="0" collapsed="false">
      <c r="AO1740" s="8" t="str">
        <f aca="false">IF(A1740="","",IF(COUNTIFS(全馬データ!$A$2:$A$50000,A1740,全馬データ!$B$2:$B$50000,B1740,全馬データ!$C$2:$C$50000,C1740,全馬データ!$D$2:$D$50000,E1740,全馬データ!$K$2:$K$50000,"&lt;&gt;")=0,"",SUMIFS(全馬データ!$K$2:$K$50000,全馬データ!$A$2:$A$50000,A1740,全馬データ!$B$2:$B$50000,B1740,全馬データ!$C$2:$C$50000,C1740,全馬データ!$D$2:$D$50000,E1740)))</f>
        <v/>
      </c>
      <c r="AP1740" s="8" t="str">
        <f aca="false">IF(A1740="","",IF(AO1740="","欠損",IF(AO1740&lt;=1.1,"1.0～1.1",IF(AO1740&lt;1.3,"1.2",IF(AO1740&lt;1.5,"1.3～1.4",IF(AO1740&lt;2,"1.5～1.9","2.0以上"))))))</f>
        <v/>
      </c>
      <c r="AQ1740" s="8" t="str">
        <f aca="false">IF(A1740="","",IF(ISNUMBER(SEARCH("2歳",Z1740)),"2歳戦",IF(ISNUMBER(SEARCH("3歳未勝利",Z1740)),"3歳未勝利",IF(ISNUMBER(SEARCH("未勝利",Z1740)),"その他未勝利",IF(ISNUMBER(SEARCH("G1",Z1740)),"G1",IF(ISNUMBER(SEARCH("G2",Z1740)),"G2",IF(ISNUMBER(SEARCH("G3",Z1740)),"G3",IF(ISNUMBER(SEARCH("古馬条件",Z1740)),"古馬条件戦",IF(ISNUMBER(SEARCH("重賞",Z1740)),"重賞","分類不能")))))))))</f>
        <v/>
      </c>
    </row>
    <row r="1741" customFormat="false" ht="15.75" hidden="false" customHeight="false" outlineLevel="0" collapsed="false">
      <c r="AO1741" s="8" t="str">
        <f aca="false">IF(A1741="","",IF(COUNTIFS(全馬データ!$A$2:$A$50000,A1741,全馬データ!$B$2:$B$50000,B1741,全馬データ!$C$2:$C$50000,C1741,全馬データ!$D$2:$D$50000,E1741,全馬データ!$K$2:$K$50000,"&lt;&gt;")=0,"",SUMIFS(全馬データ!$K$2:$K$50000,全馬データ!$A$2:$A$50000,A1741,全馬データ!$B$2:$B$50000,B1741,全馬データ!$C$2:$C$50000,C1741,全馬データ!$D$2:$D$50000,E1741)))</f>
        <v/>
      </c>
      <c r="AP1741" s="8" t="str">
        <f aca="false">IF(A1741="","",IF(AO1741="","欠損",IF(AO1741&lt;=1.1,"1.0～1.1",IF(AO1741&lt;1.3,"1.2",IF(AO1741&lt;1.5,"1.3～1.4",IF(AO1741&lt;2,"1.5～1.9","2.0以上"))))))</f>
        <v/>
      </c>
      <c r="AQ1741" s="8" t="str">
        <f aca="false">IF(A1741="","",IF(ISNUMBER(SEARCH("2歳",Z1741)),"2歳戦",IF(ISNUMBER(SEARCH("3歳未勝利",Z1741)),"3歳未勝利",IF(ISNUMBER(SEARCH("未勝利",Z1741)),"その他未勝利",IF(ISNUMBER(SEARCH("G1",Z1741)),"G1",IF(ISNUMBER(SEARCH("G2",Z1741)),"G2",IF(ISNUMBER(SEARCH("G3",Z1741)),"G3",IF(ISNUMBER(SEARCH("古馬条件",Z1741)),"古馬条件戦",IF(ISNUMBER(SEARCH("重賞",Z1741)),"重賞","分類不能")))))))))</f>
        <v/>
      </c>
    </row>
    <row r="1742" customFormat="false" ht="15.75" hidden="false" customHeight="false" outlineLevel="0" collapsed="false">
      <c r="AO1742" s="8" t="str">
        <f aca="false">IF(A1742="","",IF(COUNTIFS(全馬データ!$A$2:$A$50000,A1742,全馬データ!$B$2:$B$50000,B1742,全馬データ!$C$2:$C$50000,C1742,全馬データ!$D$2:$D$50000,E1742,全馬データ!$K$2:$K$50000,"&lt;&gt;")=0,"",SUMIFS(全馬データ!$K$2:$K$50000,全馬データ!$A$2:$A$50000,A1742,全馬データ!$B$2:$B$50000,B1742,全馬データ!$C$2:$C$50000,C1742,全馬データ!$D$2:$D$50000,E1742)))</f>
        <v/>
      </c>
      <c r="AP1742" s="8" t="str">
        <f aca="false">IF(A1742="","",IF(AO1742="","欠損",IF(AO1742&lt;=1.1,"1.0～1.1",IF(AO1742&lt;1.3,"1.2",IF(AO1742&lt;1.5,"1.3～1.4",IF(AO1742&lt;2,"1.5～1.9","2.0以上"))))))</f>
        <v/>
      </c>
      <c r="AQ1742" s="8" t="str">
        <f aca="false">IF(A1742="","",IF(ISNUMBER(SEARCH("2歳",Z1742)),"2歳戦",IF(ISNUMBER(SEARCH("3歳未勝利",Z1742)),"3歳未勝利",IF(ISNUMBER(SEARCH("未勝利",Z1742)),"その他未勝利",IF(ISNUMBER(SEARCH("G1",Z1742)),"G1",IF(ISNUMBER(SEARCH("G2",Z1742)),"G2",IF(ISNUMBER(SEARCH("G3",Z1742)),"G3",IF(ISNUMBER(SEARCH("古馬条件",Z1742)),"古馬条件戦",IF(ISNUMBER(SEARCH("重賞",Z1742)),"重賞","分類不能")))))))))</f>
        <v/>
      </c>
    </row>
    <row r="1743" customFormat="false" ht="15.75" hidden="false" customHeight="false" outlineLevel="0" collapsed="false">
      <c r="AO1743" s="8" t="str">
        <f aca="false">IF(A1743="","",IF(COUNTIFS(全馬データ!$A$2:$A$50000,A1743,全馬データ!$B$2:$B$50000,B1743,全馬データ!$C$2:$C$50000,C1743,全馬データ!$D$2:$D$50000,E1743,全馬データ!$K$2:$K$50000,"&lt;&gt;")=0,"",SUMIFS(全馬データ!$K$2:$K$50000,全馬データ!$A$2:$A$50000,A1743,全馬データ!$B$2:$B$50000,B1743,全馬データ!$C$2:$C$50000,C1743,全馬データ!$D$2:$D$50000,E1743)))</f>
        <v/>
      </c>
      <c r="AP1743" s="8" t="str">
        <f aca="false">IF(A1743="","",IF(AO1743="","欠損",IF(AO1743&lt;=1.1,"1.0～1.1",IF(AO1743&lt;1.3,"1.2",IF(AO1743&lt;1.5,"1.3～1.4",IF(AO1743&lt;2,"1.5～1.9","2.0以上"))))))</f>
        <v/>
      </c>
      <c r="AQ1743" s="8" t="str">
        <f aca="false">IF(A1743="","",IF(ISNUMBER(SEARCH("2歳",Z1743)),"2歳戦",IF(ISNUMBER(SEARCH("3歳未勝利",Z1743)),"3歳未勝利",IF(ISNUMBER(SEARCH("未勝利",Z1743)),"その他未勝利",IF(ISNUMBER(SEARCH("G1",Z1743)),"G1",IF(ISNUMBER(SEARCH("G2",Z1743)),"G2",IF(ISNUMBER(SEARCH("G3",Z1743)),"G3",IF(ISNUMBER(SEARCH("古馬条件",Z1743)),"古馬条件戦",IF(ISNUMBER(SEARCH("重賞",Z1743)),"重賞","分類不能")))))))))</f>
        <v/>
      </c>
    </row>
    <row r="1744" customFormat="false" ht="15.75" hidden="false" customHeight="false" outlineLevel="0" collapsed="false">
      <c r="AO1744" s="8" t="str">
        <f aca="false">IF(A1744="","",IF(COUNTIFS(全馬データ!$A$2:$A$50000,A1744,全馬データ!$B$2:$B$50000,B1744,全馬データ!$C$2:$C$50000,C1744,全馬データ!$D$2:$D$50000,E1744,全馬データ!$K$2:$K$50000,"&lt;&gt;")=0,"",SUMIFS(全馬データ!$K$2:$K$50000,全馬データ!$A$2:$A$50000,A1744,全馬データ!$B$2:$B$50000,B1744,全馬データ!$C$2:$C$50000,C1744,全馬データ!$D$2:$D$50000,E1744)))</f>
        <v/>
      </c>
      <c r="AP1744" s="8" t="str">
        <f aca="false">IF(A1744="","",IF(AO1744="","欠損",IF(AO1744&lt;=1.1,"1.0～1.1",IF(AO1744&lt;1.3,"1.2",IF(AO1744&lt;1.5,"1.3～1.4",IF(AO1744&lt;2,"1.5～1.9","2.0以上"))))))</f>
        <v/>
      </c>
      <c r="AQ1744" s="8" t="str">
        <f aca="false">IF(A1744="","",IF(ISNUMBER(SEARCH("2歳",Z1744)),"2歳戦",IF(ISNUMBER(SEARCH("3歳未勝利",Z1744)),"3歳未勝利",IF(ISNUMBER(SEARCH("未勝利",Z1744)),"その他未勝利",IF(ISNUMBER(SEARCH("G1",Z1744)),"G1",IF(ISNUMBER(SEARCH("G2",Z1744)),"G2",IF(ISNUMBER(SEARCH("G3",Z1744)),"G3",IF(ISNUMBER(SEARCH("古馬条件",Z1744)),"古馬条件戦",IF(ISNUMBER(SEARCH("重賞",Z1744)),"重賞","分類不能")))))))))</f>
        <v/>
      </c>
    </row>
    <row r="1745" customFormat="false" ht="15.75" hidden="false" customHeight="false" outlineLevel="0" collapsed="false">
      <c r="AO1745" s="8" t="str">
        <f aca="false">IF(A1745="","",IF(COUNTIFS(全馬データ!$A$2:$A$50000,A1745,全馬データ!$B$2:$B$50000,B1745,全馬データ!$C$2:$C$50000,C1745,全馬データ!$D$2:$D$50000,E1745,全馬データ!$K$2:$K$50000,"&lt;&gt;")=0,"",SUMIFS(全馬データ!$K$2:$K$50000,全馬データ!$A$2:$A$50000,A1745,全馬データ!$B$2:$B$50000,B1745,全馬データ!$C$2:$C$50000,C1745,全馬データ!$D$2:$D$50000,E1745)))</f>
        <v/>
      </c>
      <c r="AP1745" s="8" t="str">
        <f aca="false">IF(A1745="","",IF(AO1745="","欠損",IF(AO1745&lt;=1.1,"1.0～1.1",IF(AO1745&lt;1.3,"1.2",IF(AO1745&lt;1.5,"1.3～1.4",IF(AO1745&lt;2,"1.5～1.9","2.0以上"))))))</f>
        <v/>
      </c>
      <c r="AQ1745" s="8" t="str">
        <f aca="false">IF(A1745="","",IF(ISNUMBER(SEARCH("2歳",Z1745)),"2歳戦",IF(ISNUMBER(SEARCH("3歳未勝利",Z1745)),"3歳未勝利",IF(ISNUMBER(SEARCH("未勝利",Z1745)),"その他未勝利",IF(ISNUMBER(SEARCH("G1",Z1745)),"G1",IF(ISNUMBER(SEARCH("G2",Z1745)),"G2",IF(ISNUMBER(SEARCH("G3",Z1745)),"G3",IF(ISNUMBER(SEARCH("古馬条件",Z1745)),"古馬条件戦",IF(ISNUMBER(SEARCH("重賞",Z1745)),"重賞","分類不能")))))))))</f>
        <v/>
      </c>
    </row>
    <row r="1746" customFormat="false" ht="15.75" hidden="false" customHeight="false" outlineLevel="0" collapsed="false">
      <c r="AO1746" s="8" t="str">
        <f aca="false">IF(A1746="","",IF(COUNTIFS(全馬データ!$A$2:$A$50000,A1746,全馬データ!$B$2:$B$50000,B1746,全馬データ!$C$2:$C$50000,C1746,全馬データ!$D$2:$D$50000,E1746,全馬データ!$K$2:$K$50000,"&lt;&gt;")=0,"",SUMIFS(全馬データ!$K$2:$K$50000,全馬データ!$A$2:$A$50000,A1746,全馬データ!$B$2:$B$50000,B1746,全馬データ!$C$2:$C$50000,C1746,全馬データ!$D$2:$D$50000,E1746)))</f>
        <v/>
      </c>
      <c r="AP1746" s="8" t="str">
        <f aca="false">IF(A1746="","",IF(AO1746="","欠損",IF(AO1746&lt;=1.1,"1.0～1.1",IF(AO1746&lt;1.3,"1.2",IF(AO1746&lt;1.5,"1.3～1.4",IF(AO1746&lt;2,"1.5～1.9","2.0以上"))))))</f>
        <v/>
      </c>
      <c r="AQ1746" s="8" t="str">
        <f aca="false">IF(A1746="","",IF(ISNUMBER(SEARCH("2歳",Z1746)),"2歳戦",IF(ISNUMBER(SEARCH("3歳未勝利",Z1746)),"3歳未勝利",IF(ISNUMBER(SEARCH("未勝利",Z1746)),"その他未勝利",IF(ISNUMBER(SEARCH("G1",Z1746)),"G1",IF(ISNUMBER(SEARCH("G2",Z1746)),"G2",IF(ISNUMBER(SEARCH("G3",Z1746)),"G3",IF(ISNUMBER(SEARCH("古馬条件",Z1746)),"古馬条件戦",IF(ISNUMBER(SEARCH("重賞",Z1746)),"重賞","分類不能")))))))))</f>
        <v/>
      </c>
    </row>
    <row r="1747" customFormat="false" ht="15.75" hidden="false" customHeight="false" outlineLevel="0" collapsed="false">
      <c r="AO1747" s="8" t="str">
        <f aca="false">IF(A1747="","",IF(COUNTIFS(全馬データ!$A$2:$A$50000,A1747,全馬データ!$B$2:$B$50000,B1747,全馬データ!$C$2:$C$50000,C1747,全馬データ!$D$2:$D$50000,E1747,全馬データ!$K$2:$K$50000,"&lt;&gt;")=0,"",SUMIFS(全馬データ!$K$2:$K$50000,全馬データ!$A$2:$A$50000,A1747,全馬データ!$B$2:$B$50000,B1747,全馬データ!$C$2:$C$50000,C1747,全馬データ!$D$2:$D$50000,E1747)))</f>
        <v/>
      </c>
      <c r="AP1747" s="8" t="str">
        <f aca="false">IF(A1747="","",IF(AO1747="","欠損",IF(AO1747&lt;=1.1,"1.0～1.1",IF(AO1747&lt;1.3,"1.2",IF(AO1747&lt;1.5,"1.3～1.4",IF(AO1747&lt;2,"1.5～1.9","2.0以上"))))))</f>
        <v/>
      </c>
      <c r="AQ1747" s="8" t="str">
        <f aca="false">IF(A1747="","",IF(ISNUMBER(SEARCH("2歳",Z1747)),"2歳戦",IF(ISNUMBER(SEARCH("3歳未勝利",Z1747)),"3歳未勝利",IF(ISNUMBER(SEARCH("未勝利",Z1747)),"その他未勝利",IF(ISNUMBER(SEARCH("G1",Z1747)),"G1",IF(ISNUMBER(SEARCH("G2",Z1747)),"G2",IF(ISNUMBER(SEARCH("G3",Z1747)),"G3",IF(ISNUMBER(SEARCH("古馬条件",Z1747)),"古馬条件戦",IF(ISNUMBER(SEARCH("重賞",Z1747)),"重賞","分類不能")))))))))</f>
        <v/>
      </c>
    </row>
    <row r="1748" customFormat="false" ht="15.75" hidden="false" customHeight="false" outlineLevel="0" collapsed="false">
      <c r="AO1748" s="8" t="str">
        <f aca="false">IF(A1748="","",IF(COUNTIFS(全馬データ!$A$2:$A$50000,A1748,全馬データ!$B$2:$B$50000,B1748,全馬データ!$C$2:$C$50000,C1748,全馬データ!$D$2:$D$50000,E1748,全馬データ!$K$2:$K$50000,"&lt;&gt;")=0,"",SUMIFS(全馬データ!$K$2:$K$50000,全馬データ!$A$2:$A$50000,A1748,全馬データ!$B$2:$B$50000,B1748,全馬データ!$C$2:$C$50000,C1748,全馬データ!$D$2:$D$50000,E1748)))</f>
        <v/>
      </c>
      <c r="AP1748" s="8" t="str">
        <f aca="false">IF(A1748="","",IF(AO1748="","欠損",IF(AO1748&lt;=1.1,"1.0～1.1",IF(AO1748&lt;1.3,"1.2",IF(AO1748&lt;1.5,"1.3～1.4",IF(AO1748&lt;2,"1.5～1.9","2.0以上"))))))</f>
        <v/>
      </c>
      <c r="AQ1748" s="8" t="str">
        <f aca="false">IF(A1748="","",IF(ISNUMBER(SEARCH("2歳",Z1748)),"2歳戦",IF(ISNUMBER(SEARCH("3歳未勝利",Z1748)),"3歳未勝利",IF(ISNUMBER(SEARCH("未勝利",Z1748)),"その他未勝利",IF(ISNUMBER(SEARCH("G1",Z1748)),"G1",IF(ISNUMBER(SEARCH("G2",Z1748)),"G2",IF(ISNUMBER(SEARCH("G3",Z1748)),"G3",IF(ISNUMBER(SEARCH("古馬条件",Z1748)),"古馬条件戦",IF(ISNUMBER(SEARCH("重賞",Z1748)),"重賞","分類不能")))))))))</f>
        <v/>
      </c>
    </row>
    <row r="1749" customFormat="false" ht="15.75" hidden="false" customHeight="false" outlineLevel="0" collapsed="false">
      <c r="AO1749" s="8" t="str">
        <f aca="false">IF(A1749="","",IF(COUNTIFS(全馬データ!$A$2:$A$50000,A1749,全馬データ!$B$2:$B$50000,B1749,全馬データ!$C$2:$C$50000,C1749,全馬データ!$D$2:$D$50000,E1749,全馬データ!$K$2:$K$50000,"&lt;&gt;")=0,"",SUMIFS(全馬データ!$K$2:$K$50000,全馬データ!$A$2:$A$50000,A1749,全馬データ!$B$2:$B$50000,B1749,全馬データ!$C$2:$C$50000,C1749,全馬データ!$D$2:$D$50000,E1749)))</f>
        <v/>
      </c>
      <c r="AP1749" s="8" t="str">
        <f aca="false">IF(A1749="","",IF(AO1749="","欠損",IF(AO1749&lt;=1.1,"1.0～1.1",IF(AO1749&lt;1.3,"1.2",IF(AO1749&lt;1.5,"1.3～1.4",IF(AO1749&lt;2,"1.5～1.9","2.0以上"))))))</f>
        <v/>
      </c>
      <c r="AQ1749" s="8" t="str">
        <f aca="false">IF(A1749="","",IF(ISNUMBER(SEARCH("2歳",Z1749)),"2歳戦",IF(ISNUMBER(SEARCH("3歳未勝利",Z1749)),"3歳未勝利",IF(ISNUMBER(SEARCH("未勝利",Z1749)),"その他未勝利",IF(ISNUMBER(SEARCH("G1",Z1749)),"G1",IF(ISNUMBER(SEARCH("G2",Z1749)),"G2",IF(ISNUMBER(SEARCH("G3",Z1749)),"G3",IF(ISNUMBER(SEARCH("古馬条件",Z1749)),"古馬条件戦",IF(ISNUMBER(SEARCH("重賞",Z1749)),"重賞","分類不能")))))))))</f>
        <v/>
      </c>
    </row>
    <row r="1750" customFormat="false" ht="15.75" hidden="false" customHeight="false" outlineLevel="0" collapsed="false">
      <c r="AO1750" s="8" t="str">
        <f aca="false">IF(A1750="","",IF(COUNTIFS(全馬データ!$A$2:$A$50000,A1750,全馬データ!$B$2:$B$50000,B1750,全馬データ!$C$2:$C$50000,C1750,全馬データ!$D$2:$D$50000,E1750,全馬データ!$K$2:$K$50000,"&lt;&gt;")=0,"",SUMIFS(全馬データ!$K$2:$K$50000,全馬データ!$A$2:$A$50000,A1750,全馬データ!$B$2:$B$50000,B1750,全馬データ!$C$2:$C$50000,C1750,全馬データ!$D$2:$D$50000,E1750)))</f>
        <v/>
      </c>
      <c r="AP1750" s="8" t="str">
        <f aca="false">IF(A1750="","",IF(AO1750="","欠損",IF(AO1750&lt;=1.1,"1.0～1.1",IF(AO1750&lt;1.3,"1.2",IF(AO1750&lt;1.5,"1.3～1.4",IF(AO1750&lt;2,"1.5～1.9","2.0以上"))))))</f>
        <v/>
      </c>
      <c r="AQ1750" s="8" t="str">
        <f aca="false">IF(A1750="","",IF(ISNUMBER(SEARCH("2歳",Z1750)),"2歳戦",IF(ISNUMBER(SEARCH("3歳未勝利",Z1750)),"3歳未勝利",IF(ISNUMBER(SEARCH("未勝利",Z1750)),"その他未勝利",IF(ISNUMBER(SEARCH("G1",Z1750)),"G1",IF(ISNUMBER(SEARCH("G2",Z1750)),"G2",IF(ISNUMBER(SEARCH("G3",Z1750)),"G3",IF(ISNUMBER(SEARCH("古馬条件",Z1750)),"古馬条件戦",IF(ISNUMBER(SEARCH("重賞",Z1750)),"重賞","分類不能")))))))))</f>
        <v/>
      </c>
    </row>
    <row r="1751" customFormat="false" ht="15.75" hidden="false" customHeight="false" outlineLevel="0" collapsed="false">
      <c r="AO1751" s="8" t="str">
        <f aca="false">IF(A1751="","",IF(COUNTIFS(全馬データ!$A$2:$A$50000,A1751,全馬データ!$B$2:$B$50000,B1751,全馬データ!$C$2:$C$50000,C1751,全馬データ!$D$2:$D$50000,E1751,全馬データ!$K$2:$K$50000,"&lt;&gt;")=0,"",SUMIFS(全馬データ!$K$2:$K$50000,全馬データ!$A$2:$A$50000,A1751,全馬データ!$B$2:$B$50000,B1751,全馬データ!$C$2:$C$50000,C1751,全馬データ!$D$2:$D$50000,E1751)))</f>
        <v/>
      </c>
      <c r="AP1751" s="8" t="str">
        <f aca="false">IF(A1751="","",IF(AO1751="","欠損",IF(AO1751&lt;=1.1,"1.0～1.1",IF(AO1751&lt;1.3,"1.2",IF(AO1751&lt;1.5,"1.3～1.4",IF(AO1751&lt;2,"1.5～1.9","2.0以上"))))))</f>
        <v/>
      </c>
      <c r="AQ1751" s="8" t="str">
        <f aca="false">IF(A1751="","",IF(ISNUMBER(SEARCH("2歳",Z1751)),"2歳戦",IF(ISNUMBER(SEARCH("3歳未勝利",Z1751)),"3歳未勝利",IF(ISNUMBER(SEARCH("未勝利",Z1751)),"その他未勝利",IF(ISNUMBER(SEARCH("G1",Z1751)),"G1",IF(ISNUMBER(SEARCH("G2",Z1751)),"G2",IF(ISNUMBER(SEARCH("G3",Z1751)),"G3",IF(ISNUMBER(SEARCH("古馬条件",Z1751)),"古馬条件戦",IF(ISNUMBER(SEARCH("重賞",Z1751)),"重賞","分類不能")))))))))</f>
        <v/>
      </c>
    </row>
    <row r="1752" customFormat="false" ht="15.75" hidden="false" customHeight="false" outlineLevel="0" collapsed="false">
      <c r="AO1752" s="8" t="str">
        <f aca="false">IF(A1752="","",IF(COUNTIFS(全馬データ!$A$2:$A$50000,A1752,全馬データ!$B$2:$B$50000,B1752,全馬データ!$C$2:$C$50000,C1752,全馬データ!$D$2:$D$50000,E1752,全馬データ!$K$2:$K$50000,"&lt;&gt;")=0,"",SUMIFS(全馬データ!$K$2:$K$50000,全馬データ!$A$2:$A$50000,A1752,全馬データ!$B$2:$B$50000,B1752,全馬データ!$C$2:$C$50000,C1752,全馬データ!$D$2:$D$50000,E1752)))</f>
        <v/>
      </c>
      <c r="AP1752" s="8" t="str">
        <f aca="false">IF(A1752="","",IF(AO1752="","欠損",IF(AO1752&lt;=1.1,"1.0～1.1",IF(AO1752&lt;1.3,"1.2",IF(AO1752&lt;1.5,"1.3～1.4",IF(AO1752&lt;2,"1.5～1.9","2.0以上"))))))</f>
        <v/>
      </c>
      <c r="AQ1752" s="8" t="str">
        <f aca="false">IF(A1752="","",IF(ISNUMBER(SEARCH("2歳",Z1752)),"2歳戦",IF(ISNUMBER(SEARCH("3歳未勝利",Z1752)),"3歳未勝利",IF(ISNUMBER(SEARCH("未勝利",Z1752)),"その他未勝利",IF(ISNUMBER(SEARCH("G1",Z1752)),"G1",IF(ISNUMBER(SEARCH("G2",Z1752)),"G2",IF(ISNUMBER(SEARCH("G3",Z1752)),"G3",IF(ISNUMBER(SEARCH("古馬条件",Z1752)),"古馬条件戦",IF(ISNUMBER(SEARCH("重賞",Z1752)),"重賞","分類不能")))))))))</f>
        <v/>
      </c>
    </row>
    <row r="1753" customFormat="false" ht="15.75" hidden="false" customHeight="false" outlineLevel="0" collapsed="false">
      <c r="AO1753" s="8" t="str">
        <f aca="false">IF(A1753="","",IF(COUNTIFS(全馬データ!$A$2:$A$50000,A1753,全馬データ!$B$2:$B$50000,B1753,全馬データ!$C$2:$C$50000,C1753,全馬データ!$D$2:$D$50000,E1753,全馬データ!$K$2:$K$50000,"&lt;&gt;")=0,"",SUMIFS(全馬データ!$K$2:$K$50000,全馬データ!$A$2:$A$50000,A1753,全馬データ!$B$2:$B$50000,B1753,全馬データ!$C$2:$C$50000,C1753,全馬データ!$D$2:$D$50000,E1753)))</f>
        <v/>
      </c>
      <c r="AP1753" s="8" t="str">
        <f aca="false">IF(A1753="","",IF(AO1753="","欠損",IF(AO1753&lt;=1.1,"1.0～1.1",IF(AO1753&lt;1.3,"1.2",IF(AO1753&lt;1.5,"1.3～1.4",IF(AO1753&lt;2,"1.5～1.9","2.0以上"))))))</f>
        <v/>
      </c>
      <c r="AQ1753" s="8" t="str">
        <f aca="false">IF(A1753="","",IF(ISNUMBER(SEARCH("2歳",Z1753)),"2歳戦",IF(ISNUMBER(SEARCH("3歳未勝利",Z1753)),"3歳未勝利",IF(ISNUMBER(SEARCH("未勝利",Z1753)),"その他未勝利",IF(ISNUMBER(SEARCH("G1",Z1753)),"G1",IF(ISNUMBER(SEARCH("G2",Z1753)),"G2",IF(ISNUMBER(SEARCH("G3",Z1753)),"G3",IF(ISNUMBER(SEARCH("古馬条件",Z1753)),"古馬条件戦",IF(ISNUMBER(SEARCH("重賞",Z1753)),"重賞","分類不能")))))))))</f>
        <v/>
      </c>
    </row>
    <row r="1754" customFormat="false" ht="15.75" hidden="false" customHeight="false" outlineLevel="0" collapsed="false">
      <c r="AO1754" s="8" t="str">
        <f aca="false">IF(A1754="","",IF(COUNTIFS(全馬データ!$A$2:$A$50000,A1754,全馬データ!$B$2:$B$50000,B1754,全馬データ!$C$2:$C$50000,C1754,全馬データ!$D$2:$D$50000,E1754,全馬データ!$K$2:$K$50000,"&lt;&gt;")=0,"",SUMIFS(全馬データ!$K$2:$K$50000,全馬データ!$A$2:$A$50000,A1754,全馬データ!$B$2:$B$50000,B1754,全馬データ!$C$2:$C$50000,C1754,全馬データ!$D$2:$D$50000,E1754)))</f>
        <v/>
      </c>
      <c r="AP1754" s="8" t="str">
        <f aca="false">IF(A1754="","",IF(AO1754="","欠損",IF(AO1754&lt;=1.1,"1.0～1.1",IF(AO1754&lt;1.3,"1.2",IF(AO1754&lt;1.5,"1.3～1.4",IF(AO1754&lt;2,"1.5～1.9","2.0以上"))))))</f>
        <v/>
      </c>
      <c r="AQ1754" s="8" t="str">
        <f aca="false">IF(A1754="","",IF(ISNUMBER(SEARCH("2歳",Z1754)),"2歳戦",IF(ISNUMBER(SEARCH("3歳未勝利",Z1754)),"3歳未勝利",IF(ISNUMBER(SEARCH("未勝利",Z1754)),"その他未勝利",IF(ISNUMBER(SEARCH("G1",Z1754)),"G1",IF(ISNUMBER(SEARCH("G2",Z1754)),"G2",IF(ISNUMBER(SEARCH("G3",Z1754)),"G3",IF(ISNUMBER(SEARCH("古馬条件",Z1754)),"古馬条件戦",IF(ISNUMBER(SEARCH("重賞",Z1754)),"重賞","分類不能")))))))))</f>
        <v/>
      </c>
    </row>
    <row r="1755" customFormat="false" ht="15.75" hidden="false" customHeight="false" outlineLevel="0" collapsed="false">
      <c r="AO1755" s="8" t="str">
        <f aca="false">IF(A1755="","",IF(COUNTIFS(全馬データ!$A$2:$A$50000,A1755,全馬データ!$B$2:$B$50000,B1755,全馬データ!$C$2:$C$50000,C1755,全馬データ!$D$2:$D$50000,E1755,全馬データ!$K$2:$K$50000,"&lt;&gt;")=0,"",SUMIFS(全馬データ!$K$2:$K$50000,全馬データ!$A$2:$A$50000,A1755,全馬データ!$B$2:$B$50000,B1755,全馬データ!$C$2:$C$50000,C1755,全馬データ!$D$2:$D$50000,E1755)))</f>
        <v/>
      </c>
      <c r="AP1755" s="8" t="str">
        <f aca="false">IF(A1755="","",IF(AO1755="","欠損",IF(AO1755&lt;=1.1,"1.0～1.1",IF(AO1755&lt;1.3,"1.2",IF(AO1755&lt;1.5,"1.3～1.4",IF(AO1755&lt;2,"1.5～1.9","2.0以上"))))))</f>
        <v/>
      </c>
      <c r="AQ1755" s="8" t="str">
        <f aca="false">IF(A1755="","",IF(ISNUMBER(SEARCH("2歳",Z1755)),"2歳戦",IF(ISNUMBER(SEARCH("3歳未勝利",Z1755)),"3歳未勝利",IF(ISNUMBER(SEARCH("未勝利",Z1755)),"その他未勝利",IF(ISNUMBER(SEARCH("G1",Z1755)),"G1",IF(ISNUMBER(SEARCH("G2",Z1755)),"G2",IF(ISNUMBER(SEARCH("G3",Z1755)),"G3",IF(ISNUMBER(SEARCH("古馬条件",Z1755)),"古馬条件戦",IF(ISNUMBER(SEARCH("重賞",Z1755)),"重賞","分類不能")))))))))</f>
        <v/>
      </c>
    </row>
    <row r="1756" customFormat="false" ht="15.75" hidden="false" customHeight="false" outlineLevel="0" collapsed="false">
      <c r="AO1756" s="8" t="str">
        <f aca="false">IF(A1756="","",IF(COUNTIFS(全馬データ!$A$2:$A$50000,A1756,全馬データ!$B$2:$B$50000,B1756,全馬データ!$C$2:$C$50000,C1756,全馬データ!$D$2:$D$50000,E1756,全馬データ!$K$2:$K$50000,"&lt;&gt;")=0,"",SUMIFS(全馬データ!$K$2:$K$50000,全馬データ!$A$2:$A$50000,A1756,全馬データ!$B$2:$B$50000,B1756,全馬データ!$C$2:$C$50000,C1756,全馬データ!$D$2:$D$50000,E1756)))</f>
        <v/>
      </c>
      <c r="AP1756" s="8" t="str">
        <f aca="false">IF(A1756="","",IF(AO1756="","欠損",IF(AO1756&lt;=1.1,"1.0～1.1",IF(AO1756&lt;1.3,"1.2",IF(AO1756&lt;1.5,"1.3～1.4",IF(AO1756&lt;2,"1.5～1.9","2.0以上"))))))</f>
        <v/>
      </c>
      <c r="AQ1756" s="8" t="str">
        <f aca="false">IF(A1756="","",IF(ISNUMBER(SEARCH("2歳",Z1756)),"2歳戦",IF(ISNUMBER(SEARCH("3歳未勝利",Z1756)),"3歳未勝利",IF(ISNUMBER(SEARCH("未勝利",Z1756)),"その他未勝利",IF(ISNUMBER(SEARCH("G1",Z1756)),"G1",IF(ISNUMBER(SEARCH("G2",Z1756)),"G2",IF(ISNUMBER(SEARCH("G3",Z1756)),"G3",IF(ISNUMBER(SEARCH("古馬条件",Z1756)),"古馬条件戦",IF(ISNUMBER(SEARCH("重賞",Z1756)),"重賞","分類不能")))))))))</f>
        <v/>
      </c>
    </row>
    <row r="1757" customFormat="false" ht="15.75" hidden="false" customHeight="false" outlineLevel="0" collapsed="false">
      <c r="AO1757" s="8" t="str">
        <f aca="false">IF(A1757="","",IF(COUNTIFS(全馬データ!$A$2:$A$50000,A1757,全馬データ!$B$2:$B$50000,B1757,全馬データ!$C$2:$C$50000,C1757,全馬データ!$D$2:$D$50000,E1757,全馬データ!$K$2:$K$50000,"&lt;&gt;")=0,"",SUMIFS(全馬データ!$K$2:$K$50000,全馬データ!$A$2:$A$50000,A1757,全馬データ!$B$2:$B$50000,B1757,全馬データ!$C$2:$C$50000,C1757,全馬データ!$D$2:$D$50000,E1757)))</f>
        <v/>
      </c>
      <c r="AP1757" s="8" t="str">
        <f aca="false">IF(A1757="","",IF(AO1757="","欠損",IF(AO1757&lt;=1.1,"1.0～1.1",IF(AO1757&lt;1.3,"1.2",IF(AO1757&lt;1.5,"1.3～1.4",IF(AO1757&lt;2,"1.5～1.9","2.0以上"))))))</f>
        <v/>
      </c>
      <c r="AQ1757" s="8" t="str">
        <f aca="false">IF(A1757="","",IF(ISNUMBER(SEARCH("2歳",Z1757)),"2歳戦",IF(ISNUMBER(SEARCH("3歳未勝利",Z1757)),"3歳未勝利",IF(ISNUMBER(SEARCH("未勝利",Z1757)),"その他未勝利",IF(ISNUMBER(SEARCH("G1",Z1757)),"G1",IF(ISNUMBER(SEARCH("G2",Z1757)),"G2",IF(ISNUMBER(SEARCH("G3",Z1757)),"G3",IF(ISNUMBER(SEARCH("古馬条件",Z1757)),"古馬条件戦",IF(ISNUMBER(SEARCH("重賞",Z1757)),"重賞","分類不能")))))))))</f>
        <v/>
      </c>
    </row>
    <row r="1758" customFormat="false" ht="15.75" hidden="false" customHeight="false" outlineLevel="0" collapsed="false">
      <c r="AO1758" s="8" t="str">
        <f aca="false">IF(A1758="","",IF(COUNTIFS(全馬データ!$A$2:$A$50000,A1758,全馬データ!$B$2:$B$50000,B1758,全馬データ!$C$2:$C$50000,C1758,全馬データ!$D$2:$D$50000,E1758,全馬データ!$K$2:$K$50000,"&lt;&gt;")=0,"",SUMIFS(全馬データ!$K$2:$K$50000,全馬データ!$A$2:$A$50000,A1758,全馬データ!$B$2:$B$50000,B1758,全馬データ!$C$2:$C$50000,C1758,全馬データ!$D$2:$D$50000,E1758)))</f>
        <v/>
      </c>
      <c r="AP1758" s="8" t="str">
        <f aca="false">IF(A1758="","",IF(AO1758="","欠損",IF(AO1758&lt;=1.1,"1.0～1.1",IF(AO1758&lt;1.3,"1.2",IF(AO1758&lt;1.5,"1.3～1.4",IF(AO1758&lt;2,"1.5～1.9","2.0以上"))))))</f>
        <v/>
      </c>
      <c r="AQ1758" s="8" t="str">
        <f aca="false">IF(A1758="","",IF(ISNUMBER(SEARCH("2歳",Z1758)),"2歳戦",IF(ISNUMBER(SEARCH("3歳未勝利",Z1758)),"3歳未勝利",IF(ISNUMBER(SEARCH("未勝利",Z1758)),"その他未勝利",IF(ISNUMBER(SEARCH("G1",Z1758)),"G1",IF(ISNUMBER(SEARCH("G2",Z1758)),"G2",IF(ISNUMBER(SEARCH("G3",Z1758)),"G3",IF(ISNUMBER(SEARCH("古馬条件",Z1758)),"古馬条件戦",IF(ISNUMBER(SEARCH("重賞",Z1758)),"重賞","分類不能")))))))))</f>
        <v/>
      </c>
    </row>
    <row r="1759" customFormat="false" ht="15.75" hidden="false" customHeight="false" outlineLevel="0" collapsed="false">
      <c r="AO1759" s="8" t="str">
        <f aca="false">IF(A1759="","",IF(COUNTIFS(全馬データ!$A$2:$A$50000,A1759,全馬データ!$B$2:$B$50000,B1759,全馬データ!$C$2:$C$50000,C1759,全馬データ!$D$2:$D$50000,E1759,全馬データ!$K$2:$K$50000,"&lt;&gt;")=0,"",SUMIFS(全馬データ!$K$2:$K$50000,全馬データ!$A$2:$A$50000,A1759,全馬データ!$B$2:$B$50000,B1759,全馬データ!$C$2:$C$50000,C1759,全馬データ!$D$2:$D$50000,E1759)))</f>
        <v/>
      </c>
      <c r="AP1759" s="8" t="str">
        <f aca="false">IF(A1759="","",IF(AO1759="","欠損",IF(AO1759&lt;=1.1,"1.0～1.1",IF(AO1759&lt;1.3,"1.2",IF(AO1759&lt;1.5,"1.3～1.4",IF(AO1759&lt;2,"1.5～1.9","2.0以上"))))))</f>
        <v/>
      </c>
      <c r="AQ1759" s="8" t="str">
        <f aca="false">IF(A1759="","",IF(ISNUMBER(SEARCH("2歳",Z1759)),"2歳戦",IF(ISNUMBER(SEARCH("3歳未勝利",Z1759)),"3歳未勝利",IF(ISNUMBER(SEARCH("未勝利",Z1759)),"その他未勝利",IF(ISNUMBER(SEARCH("G1",Z1759)),"G1",IF(ISNUMBER(SEARCH("G2",Z1759)),"G2",IF(ISNUMBER(SEARCH("G3",Z1759)),"G3",IF(ISNUMBER(SEARCH("古馬条件",Z1759)),"古馬条件戦",IF(ISNUMBER(SEARCH("重賞",Z1759)),"重賞","分類不能")))))))))</f>
        <v/>
      </c>
    </row>
    <row r="1760" customFormat="false" ht="15.75" hidden="false" customHeight="false" outlineLevel="0" collapsed="false">
      <c r="AO1760" s="8" t="str">
        <f aca="false">IF(A1760="","",IF(COUNTIFS(全馬データ!$A$2:$A$50000,A1760,全馬データ!$B$2:$B$50000,B1760,全馬データ!$C$2:$C$50000,C1760,全馬データ!$D$2:$D$50000,E1760,全馬データ!$K$2:$K$50000,"&lt;&gt;")=0,"",SUMIFS(全馬データ!$K$2:$K$50000,全馬データ!$A$2:$A$50000,A1760,全馬データ!$B$2:$B$50000,B1760,全馬データ!$C$2:$C$50000,C1760,全馬データ!$D$2:$D$50000,E1760)))</f>
        <v/>
      </c>
      <c r="AP1760" s="8" t="str">
        <f aca="false">IF(A1760="","",IF(AO1760="","欠損",IF(AO1760&lt;=1.1,"1.0～1.1",IF(AO1760&lt;1.3,"1.2",IF(AO1760&lt;1.5,"1.3～1.4",IF(AO1760&lt;2,"1.5～1.9","2.0以上"))))))</f>
        <v/>
      </c>
      <c r="AQ1760" s="8" t="str">
        <f aca="false">IF(A1760="","",IF(ISNUMBER(SEARCH("2歳",Z1760)),"2歳戦",IF(ISNUMBER(SEARCH("3歳未勝利",Z1760)),"3歳未勝利",IF(ISNUMBER(SEARCH("未勝利",Z1760)),"その他未勝利",IF(ISNUMBER(SEARCH("G1",Z1760)),"G1",IF(ISNUMBER(SEARCH("G2",Z1760)),"G2",IF(ISNUMBER(SEARCH("G3",Z1760)),"G3",IF(ISNUMBER(SEARCH("古馬条件",Z1760)),"古馬条件戦",IF(ISNUMBER(SEARCH("重賞",Z1760)),"重賞","分類不能")))))))))</f>
        <v/>
      </c>
    </row>
    <row r="1761" customFormat="false" ht="15.75" hidden="false" customHeight="false" outlineLevel="0" collapsed="false">
      <c r="AO1761" s="8" t="str">
        <f aca="false">IF(A1761="","",IF(COUNTIFS(全馬データ!$A$2:$A$50000,A1761,全馬データ!$B$2:$B$50000,B1761,全馬データ!$C$2:$C$50000,C1761,全馬データ!$D$2:$D$50000,E1761,全馬データ!$K$2:$K$50000,"&lt;&gt;")=0,"",SUMIFS(全馬データ!$K$2:$K$50000,全馬データ!$A$2:$A$50000,A1761,全馬データ!$B$2:$B$50000,B1761,全馬データ!$C$2:$C$50000,C1761,全馬データ!$D$2:$D$50000,E1761)))</f>
        <v/>
      </c>
      <c r="AP1761" s="8" t="str">
        <f aca="false">IF(A1761="","",IF(AO1761="","欠損",IF(AO1761&lt;=1.1,"1.0～1.1",IF(AO1761&lt;1.3,"1.2",IF(AO1761&lt;1.5,"1.3～1.4",IF(AO1761&lt;2,"1.5～1.9","2.0以上"))))))</f>
        <v/>
      </c>
      <c r="AQ1761" s="8" t="str">
        <f aca="false">IF(A1761="","",IF(ISNUMBER(SEARCH("2歳",Z1761)),"2歳戦",IF(ISNUMBER(SEARCH("3歳未勝利",Z1761)),"3歳未勝利",IF(ISNUMBER(SEARCH("未勝利",Z1761)),"その他未勝利",IF(ISNUMBER(SEARCH("G1",Z1761)),"G1",IF(ISNUMBER(SEARCH("G2",Z1761)),"G2",IF(ISNUMBER(SEARCH("G3",Z1761)),"G3",IF(ISNUMBER(SEARCH("古馬条件",Z1761)),"古馬条件戦",IF(ISNUMBER(SEARCH("重賞",Z1761)),"重賞","分類不能")))))))))</f>
        <v/>
      </c>
    </row>
    <row r="1762" customFormat="false" ht="15.75" hidden="false" customHeight="false" outlineLevel="0" collapsed="false">
      <c r="AO1762" s="8" t="str">
        <f aca="false">IF(A1762="","",IF(COUNTIFS(全馬データ!$A$2:$A$50000,A1762,全馬データ!$B$2:$B$50000,B1762,全馬データ!$C$2:$C$50000,C1762,全馬データ!$D$2:$D$50000,E1762,全馬データ!$K$2:$K$50000,"&lt;&gt;")=0,"",SUMIFS(全馬データ!$K$2:$K$50000,全馬データ!$A$2:$A$50000,A1762,全馬データ!$B$2:$B$50000,B1762,全馬データ!$C$2:$C$50000,C1762,全馬データ!$D$2:$D$50000,E1762)))</f>
        <v/>
      </c>
      <c r="AP1762" s="8" t="str">
        <f aca="false">IF(A1762="","",IF(AO1762="","欠損",IF(AO1762&lt;=1.1,"1.0～1.1",IF(AO1762&lt;1.3,"1.2",IF(AO1762&lt;1.5,"1.3～1.4",IF(AO1762&lt;2,"1.5～1.9","2.0以上"))))))</f>
        <v/>
      </c>
      <c r="AQ1762" s="8" t="str">
        <f aca="false">IF(A1762="","",IF(ISNUMBER(SEARCH("2歳",Z1762)),"2歳戦",IF(ISNUMBER(SEARCH("3歳未勝利",Z1762)),"3歳未勝利",IF(ISNUMBER(SEARCH("未勝利",Z1762)),"その他未勝利",IF(ISNUMBER(SEARCH("G1",Z1762)),"G1",IF(ISNUMBER(SEARCH("G2",Z1762)),"G2",IF(ISNUMBER(SEARCH("G3",Z1762)),"G3",IF(ISNUMBER(SEARCH("古馬条件",Z1762)),"古馬条件戦",IF(ISNUMBER(SEARCH("重賞",Z1762)),"重賞","分類不能")))))))))</f>
        <v/>
      </c>
    </row>
    <row r="1763" customFormat="false" ht="15.75" hidden="false" customHeight="false" outlineLevel="0" collapsed="false">
      <c r="AO1763" s="8" t="str">
        <f aca="false">IF(A1763="","",IF(COUNTIFS(全馬データ!$A$2:$A$50000,A1763,全馬データ!$B$2:$B$50000,B1763,全馬データ!$C$2:$C$50000,C1763,全馬データ!$D$2:$D$50000,E1763,全馬データ!$K$2:$K$50000,"&lt;&gt;")=0,"",SUMIFS(全馬データ!$K$2:$K$50000,全馬データ!$A$2:$A$50000,A1763,全馬データ!$B$2:$B$50000,B1763,全馬データ!$C$2:$C$50000,C1763,全馬データ!$D$2:$D$50000,E1763)))</f>
        <v/>
      </c>
      <c r="AP1763" s="8" t="str">
        <f aca="false">IF(A1763="","",IF(AO1763="","欠損",IF(AO1763&lt;=1.1,"1.0～1.1",IF(AO1763&lt;1.3,"1.2",IF(AO1763&lt;1.5,"1.3～1.4",IF(AO1763&lt;2,"1.5～1.9","2.0以上"))))))</f>
        <v/>
      </c>
      <c r="AQ1763" s="8" t="str">
        <f aca="false">IF(A1763="","",IF(ISNUMBER(SEARCH("2歳",Z1763)),"2歳戦",IF(ISNUMBER(SEARCH("3歳未勝利",Z1763)),"3歳未勝利",IF(ISNUMBER(SEARCH("未勝利",Z1763)),"その他未勝利",IF(ISNUMBER(SEARCH("G1",Z1763)),"G1",IF(ISNUMBER(SEARCH("G2",Z1763)),"G2",IF(ISNUMBER(SEARCH("G3",Z1763)),"G3",IF(ISNUMBER(SEARCH("古馬条件",Z1763)),"古馬条件戦",IF(ISNUMBER(SEARCH("重賞",Z1763)),"重賞","分類不能")))))))))</f>
        <v/>
      </c>
    </row>
    <row r="1764" customFormat="false" ht="15.75" hidden="false" customHeight="false" outlineLevel="0" collapsed="false">
      <c r="AO1764" s="8" t="str">
        <f aca="false">IF(A1764="","",IF(COUNTIFS(全馬データ!$A$2:$A$50000,A1764,全馬データ!$B$2:$B$50000,B1764,全馬データ!$C$2:$C$50000,C1764,全馬データ!$D$2:$D$50000,E1764,全馬データ!$K$2:$K$50000,"&lt;&gt;")=0,"",SUMIFS(全馬データ!$K$2:$K$50000,全馬データ!$A$2:$A$50000,A1764,全馬データ!$B$2:$B$50000,B1764,全馬データ!$C$2:$C$50000,C1764,全馬データ!$D$2:$D$50000,E1764)))</f>
        <v/>
      </c>
      <c r="AP1764" s="8" t="str">
        <f aca="false">IF(A1764="","",IF(AO1764="","欠損",IF(AO1764&lt;=1.1,"1.0～1.1",IF(AO1764&lt;1.3,"1.2",IF(AO1764&lt;1.5,"1.3～1.4",IF(AO1764&lt;2,"1.5～1.9","2.0以上"))))))</f>
        <v/>
      </c>
      <c r="AQ1764" s="8" t="str">
        <f aca="false">IF(A1764="","",IF(ISNUMBER(SEARCH("2歳",Z1764)),"2歳戦",IF(ISNUMBER(SEARCH("3歳未勝利",Z1764)),"3歳未勝利",IF(ISNUMBER(SEARCH("未勝利",Z1764)),"その他未勝利",IF(ISNUMBER(SEARCH("G1",Z1764)),"G1",IF(ISNUMBER(SEARCH("G2",Z1764)),"G2",IF(ISNUMBER(SEARCH("G3",Z1764)),"G3",IF(ISNUMBER(SEARCH("古馬条件",Z1764)),"古馬条件戦",IF(ISNUMBER(SEARCH("重賞",Z1764)),"重賞","分類不能")))))))))</f>
        <v/>
      </c>
    </row>
    <row r="1765" customFormat="false" ht="15.75" hidden="false" customHeight="false" outlineLevel="0" collapsed="false">
      <c r="AO1765" s="8" t="str">
        <f aca="false">IF(A1765="","",IF(COUNTIFS(全馬データ!$A$2:$A$50000,A1765,全馬データ!$B$2:$B$50000,B1765,全馬データ!$C$2:$C$50000,C1765,全馬データ!$D$2:$D$50000,E1765,全馬データ!$K$2:$K$50000,"&lt;&gt;")=0,"",SUMIFS(全馬データ!$K$2:$K$50000,全馬データ!$A$2:$A$50000,A1765,全馬データ!$B$2:$B$50000,B1765,全馬データ!$C$2:$C$50000,C1765,全馬データ!$D$2:$D$50000,E1765)))</f>
        <v/>
      </c>
      <c r="AP1765" s="8" t="str">
        <f aca="false">IF(A1765="","",IF(AO1765="","欠損",IF(AO1765&lt;=1.1,"1.0～1.1",IF(AO1765&lt;1.3,"1.2",IF(AO1765&lt;1.5,"1.3～1.4",IF(AO1765&lt;2,"1.5～1.9","2.0以上"))))))</f>
        <v/>
      </c>
      <c r="AQ1765" s="8" t="str">
        <f aca="false">IF(A1765="","",IF(ISNUMBER(SEARCH("2歳",Z1765)),"2歳戦",IF(ISNUMBER(SEARCH("3歳未勝利",Z1765)),"3歳未勝利",IF(ISNUMBER(SEARCH("未勝利",Z1765)),"その他未勝利",IF(ISNUMBER(SEARCH("G1",Z1765)),"G1",IF(ISNUMBER(SEARCH("G2",Z1765)),"G2",IF(ISNUMBER(SEARCH("G3",Z1765)),"G3",IF(ISNUMBER(SEARCH("古馬条件",Z1765)),"古馬条件戦",IF(ISNUMBER(SEARCH("重賞",Z1765)),"重賞","分類不能")))))))))</f>
        <v/>
      </c>
    </row>
    <row r="1766" customFormat="false" ht="15.75" hidden="false" customHeight="false" outlineLevel="0" collapsed="false">
      <c r="AO1766" s="8" t="str">
        <f aca="false">IF(A1766="","",IF(COUNTIFS(全馬データ!$A$2:$A$50000,A1766,全馬データ!$B$2:$B$50000,B1766,全馬データ!$C$2:$C$50000,C1766,全馬データ!$D$2:$D$50000,E1766,全馬データ!$K$2:$K$50000,"&lt;&gt;")=0,"",SUMIFS(全馬データ!$K$2:$K$50000,全馬データ!$A$2:$A$50000,A1766,全馬データ!$B$2:$B$50000,B1766,全馬データ!$C$2:$C$50000,C1766,全馬データ!$D$2:$D$50000,E1766)))</f>
        <v/>
      </c>
      <c r="AP1766" s="8" t="str">
        <f aca="false">IF(A1766="","",IF(AO1766="","欠損",IF(AO1766&lt;=1.1,"1.0～1.1",IF(AO1766&lt;1.3,"1.2",IF(AO1766&lt;1.5,"1.3～1.4",IF(AO1766&lt;2,"1.5～1.9","2.0以上"))))))</f>
        <v/>
      </c>
      <c r="AQ1766" s="8" t="str">
        <f aca="false">IF(A1766="","",IF(ISNUMBER(SEARCH("2歳",Z1766)),"2歳戦",IF(ISNUMBER(SEARCH("3歳未勝利",Z1766)),"3歳未勝利",IF(ISNUMBER(SEARCH("未勝利",Z1766)),"その他未勝利",IF(ISNUMBER(SEARCH("G1",Z1766)),"G1",IF(ISNUMBER(SEARCH("G2",Z1766)),"G2",IF(ISNUMBER(SEARCH("G3",Z1766)),"G3",IF(ISNUMBER(SEARCH("古馬条件",Z1766)),"古馬条件戦",IF(ISNUMBER(SEARCH("重賞",Z1766)),"重賞","分類不能")))))))))</f>
        <v/>
      </c>
    </row>
    <row r="1767" customFormat="false" ht="15.75" hidden="false" customHeight="false" outlineLevel="0" collapsed="false">
      <c r="AO1767" s="8" t="str">
        <f aca="false">IF(A1767="","",IF(COUNTIFS(全馬データ!$A$2:$A$50000,A1767,全馬データ!$B$2:$B$50000,B1767,全馬データ!$C$2:$C$50000,C1767,全馬データ!$D$2:$D$50000,E1767,全馬データ!$K$2:$K$50000,"&lt;&gt;")=0,"",SUMIFS(全馬データ!$K$2:$K$50000,全馬データ!$A$2:$A$50000,A1767,全馬データ!$B$2:$B$50000,B1767,全馬データ!$C$2:$C$50000,C1767,全馬データ!$D$2:$D$50000,E1767)))</f>
        <v/>
      </c>
      <c r="AP1767" s="8" t="str">
        <f aca="false">IF(A1767="","",IF(AO1767="","欠損",IF(AO1767&lt;=1.1,"1.0～1.1",IF(AO1767&lt;1.3,"1.2",IF(AO1767&lt;1.5,"1.3～1.4",IF(AO1767&lt;2,"1.5～1.9","2.0以上"))))))</f>
        <v/>
      </c>
      <c r="AQ1767" s="8" t="str">
        <f aca="false">IF(A1767="","",IF(ISNUMBER(SEARCH("2歳",Z1767)),"2歳戦",IF(ISNUMBER(SEARCH("3歳未勝利",Z1767)),"3歳未勝利",IF(ISNUMBER(SEARCH("未勝利",Z1767)),"その他未勝利",IF(ISNUMBER(SEARCH("G1",Z1767)),"G1",IF(ISNUMBER(SEARCH("G2",Z1767)),"G2",IF(ISNUMBER(SEARCH("G3",Z1767)),"G3",IF(ISNUMBER(SEARCH("古馬条件",Z1767)),"古馬条件戦",IF(ISNUMBER(SEARCH("重賞",Z1767)),"重賞","分類不能")))))))))</f>
        <v/>
      </c>
    </row>
    <row r="1768" customFormat="false" ht="15.75" hidden="false" customHeight="false" outlineLevel="0" collapsed="false">
      <c r="AO1768" s="8" t="str">
        <f aca="false">IF(A1768="","",IF(COUNTIFS(全馬データ!$A$2:$A$50000,A1768,全馬データ!$B$2:$B$50000,B1768,全馬データ!$C$2:$C$50000,C1768,全馬データ!$D$2:$D$50000,E1768,全馬データ!$K$2:$K$50000,"&lt;&gt;")=0,"",SUMIFS(全馬データ!$K$2:$K$50000,全馬データ!$A$2:$A$50000,A1768,全馬データ!$B$2:$B$50000,B1768,全馬データ!$C$2:$C$50000,C1768,全馬データ!$D$2:$D$50000,E1768)))</f>
        <v/>
      </c>
      <c r="AP1768" s="8" t="str">
        <f aca="false">IF(A1768="","",IF(AO1768="","欠損",IF(AO1768&lt;=1.1,"1.0～1.1",IF(AO1768&lt;1.3,"1.2",IF(AO1768&lt;1.5,"1.3～1.4",IF(AO1768&lt;2,"1.5～1.9","2.0以上"))))))</f>
        <v/>
      </c>
      <c r="AQ1768" s="8" t="str">
        <f aca="false">IF(A1768="","",IF(ISNUMBER(SEARCH("2歳",Z1768)),"2歳戦",IF(ISNUMBER(SEARCH("3歳未勝利",Z1768)),"3歳未勝利",IF(ISNUMBER(SEARCH("未勝利",Z1768)),"その他未勝利",IF(ISNUMBER(SEARCH("G1",Z1768)),"G1",IF(ISNUMBER(SEARCH("G2",Z1768)),"G2",IF(ISNUMBER(SEARCH("G3",Z1768)),"G3",IF(ISNUMBER(SEARCH("古馬条件",Z1768)),"古馬条件戦",IF(ISNUMBER(SEARCH("重賞",Z1768)),"重賞","分類不能")))))))))</f>
        <v/>
      </c>
    </row>
    <row r="1769" customFormat="false" ht="15.75" hidden="false" customHeight="false" outlineLevel="0" collapsed="false">
      <c r="AO1769" s="8" t="str">
        <f aca="false">IF(A1769="","",IF(COUNTIFS(全馬データ!$A$2:$A$50000,A1769,全馬データ!$B$2:$B$50000,B1769,全馬データ!$C$2:$C$50000,C1769,全馬データ!$D$2:$D$50000,E1769,全馬データ!$K$2:$K$50000,"&lt;&gt;")=0,"",SUMIFS(全馬データ!$K$2:$K$50000,全馬データ!$A$2:$A$50000,A1769,全馬データ!$B$2:$B$50000,B1769,全馬データ!$C$2:$C$50000,C1769,全馬データ!$D$2:$D$50000,E1769)))</f>
        <v/>
      </c>
      <c r="AP1769" s="8" t="str">
        <f aca="false">IF(A1769="","",IF(AO1769="","欠損",IF(AO1769&lt;=1.1,"1.0～1.1",IF(AO1769&lt;1.3,"1.2",IF(AO1769&lt;1.5,"1.3～1.4",IF(AO1769&lt;2,"1.5～1.9","2.0以上"))))))</f>
        <v/>
      </c>
      <c r="AQ1769" s="8" t="str">
        <f aca="false">IF(A1769="","",IF(ISNUMBER(SEARCH("2歳",Z1769)),"2歳戦",IF(ISNUMBER(SEARCH("3歳未勝利",Z1769)),"3歳未勝利",IF(ISNUMBER(SEARCH("未勝利",Z1769)),"その他未勝利",IF(ISNUMBER(SEARCH("G1",Z1769)),"G1",IF(ISNUMBER(SEARCH("G2",Z1769)),"G2",IF(ISNUMBER(SEARCH("G3",Z1769)),"G3",IF(ISNUMBER(SEARCH("古馬条件",Z1769)),"古馬条件戦",IF(ISNUMBER(SEARCH("重賞",Z1769)),"重賞","分類不能")))))))))</f>
        <v/>
      </c>
    </row>
    <row r="1770" customFormat="false" ht="15.75" hidden="false" customHeight="false" outlineLevel="0" collapsed="false">
      <c r="AO1770" s="8" t="str">
        <f aca="false">IF(A1770="","",IF(COUNTIFS(全馬データ!$A$2:$A$50000,A1770,全馬データ!$B$2:$B$50000,B1770,全馬データ!$C$2:$C$50000,C1770,全馬データ!$D$2:$D$50000,E1770,全馬データ!$K$2:$K$50000,"&lt;&gt;")=0,"",SUMIFS(全馬データ!$K$2:$K$50000,全馬データ!$A$2:$A$50000,A1770,全馬データ!$B$2:$B$50000,B1770,全馬データ!$C$2:$C$50000,C1770,全馬データ!$D$2:$D$50000,E1770)))</f>
        <v/>
      </c>
      <c r="AP1770" s="8" t="str">
        <f aca="false">IF(A1770="","",IF(AO1770="","欠損",IF(AO1770&lt;=1.1,"1.0～1.1",IF(AO1770&lt;1.3,"1.2",IF(AO1770&lt;1.5,"1.3～1.4",IF(AO1770&lt;2,"1.5～1.9","2.0以上"))))))</f>
        <v/>
      </c>
      <c r="AQ1770" s="8" t="str">
        <f aca="false">IF(A1770="","",IF(ISNUMBER(SEARCH("2歳",Z1770)),"2歳戦",IF(ISNUMBER(SEARCH("3歳未勝利",Z1770)),"3歳未勝利",IF(ISNUMBER(SEARCH("未勝利",Z1770)),"その他未勝利",IF(ISNUMBER(SEARCH("G1",Z1770)),"G1",IF(ISNUMBER(SEARCH("G2",Z1770)),"G2",IF(ISNUMBER(SEARCH("G3",Z1770)),"G3",IF(ISNUMBER(SEARCH("古馬条件",Z1770)),"古馬条件戦",IF(ISNUMBER(SEARCH("重賞",Z1770)),"重賞","分類不能")))))))))</f>
        <v/>
      </c>
    </row>
    <row r="1771" customFormat="false" ht="15.75" hidden="false" customHeight="false" outlineLevel="0" collapsed="false">
      <c r="AO1771" s="8" t="str">
        <f aca="false">IF(A1771="","",IF(COUNTIFS(全馬データ!$A$2:$A$50000,A1771,全馬データ!$B$2:$B$50000,B1771,全馬データ!$C$2:$C$50000,C1771,全馬データ!$D$2:$D$50000,E1771,全馬データ!$K$2:$K$50000,"&lt;&gt;")=0,"",SUMIFS(全馬データ!$K$2:$K$50000,全馬データ!$A$2:$A$50000,A1771,全馬データ!$B$2:$B$50000,B1771,全馬データ!$C$2:$C$50000,C1771,全馬データ!$D$2:$D$50000,E1771)))</f>
        <v/>
      </c>
      <c r="AP1771" s="8" t="str">
        <f aca="false">IF(A1771="","",IF(AO1771="","欠損",IF(AO1771&lt;=1.1,"1.0～1.1",IF(AO1771&lt;1.3,"1.2",IF(AO1771&lt;1.5,"1.3～1.4",IF(AO1771&lt;2,"1.5～1.9","2.0以上"))))))</f>
        <v/>
      </c>
      <c r="AQ1771" s="8" t="str">
        <f aca="false">IF(A1771="","",IF(ISNUMBER(SEARCH("2歳",Z1771)),"2歳戦",IF(ISNUMBER(SEARCH("3歳未勝利",Z1771)),"3歳未勝利",IF(ISNUMBER(SEARCH("未勝利",Z1771)),"その他未勝利",IF(ISNUMBER(SEARCH("G1",Z1771)),"G1",IF(ISNUMBER(SEARCH("G2",Z1771)),"G2",IF(ISNUMBER(SEARCH("G3",Z1771)),"G3",IF(ISNUMBER(SEARCH("古馬条件",Z1771)),"古馬条件戦",IF(ISNUMBER(SEARCH("重賞",Z1771)),"重賞","分類不能")))))))))</f>
        <v/>
      </c>
    </row>
    <row r="1772" customFormat="false" ht="15.75" hidden="false" customHeight="false" outlineLevel="0" collapsed="false">
      <c r="AO1772" s="8" t="str">
        <f aca="false">IF(A1772="","",IF(COUNTIFS(全馬データ!$A$2:$A$50000,A1772,全馬データ!$B$2:$B$50000,B1772,全馬データ!$C$2:$C$50000,C1772,全馬データ!$D$2:$D$50000,E1772,全馬データ!$K$2:$K$50000,"&lt;&gt;")=0,"",SUMIFS(全馬データ!$K$2:$K$50000,全馬データ!$A$2:$A$50000,A1772,全馬データ!$B$2:$B$50000,B1772,全馬データ!$C$2:$C$50000,C1772,全馬データ!$D$2:$D$50000,E1772)))</f>
        <v/>
      </c>
      <c r="AP1772" s="8" t="str">
        <f aca="false">IF(A1772="","",IF(AO1772="","欠損",IF(AO1772&lt;=1.1,"1.0～1.1",IF(AO1772&lt;1.3,"1.2",IF(AO1772&lt;1.5,"1.3～1.4",IF(AO1772&lt;2,"1.5～1.9","2.0以上"))))))</f>
        <v/>
      </c>
      <c r="AQ1772" s="8" t="str">
        <f aca="false">IF(A1772="","",IF(ISNUMBER(SEARCH("2歳",Z1772)),"2歳戦",IF(ISNUMBER(SEARCH("3歳未勝利",Z1772)),"3歳未勝利",IF(ISNUMBER(SEARCH("未勝利",Z1772)),"その他未勝利",IF(ISNUMBER(SEARCH("G1",Z1772)),"G1",IF(ISNUMBER(SEARCH("G2",Z1772)),"G2",IF(ISNUMBER(SEARCH("G3",Z1772)),"G3",IF(ISNUMBER(SEARCH("古馬条件",Z1772)),"古馬条件戦",IF(ISNUMBER(SEARCH("重賞",Z1772)),"重賞","分類不能")))))))))</f>
        <v/>
      </c>
    </row>
    <row r="1773" customFormat="false" ht="15.75" hidden="false" customHeight="false" outlineLevel="0" collapsed="false">
      <c r="AO1773" s="8" t="str">
        <f aca="false">IF(A1773="","",IF(COUNTIFS(全馬データ!$A$2:$A$50000,A1773,全馬データ!$B$2:$B$50000,B1773,全馬データ!$C$2:$C$50000,C1773,全馬データ!$D$2:$D$50000,E1773,全馬データ!$K$2:$K$50000,"&lt;&gt;")=0,"",SUMIFS(全馬データ!$K$2:$K$50000,全馬データ!$A$2:$A$50000,A1773,全馬データ!$B$2:$B$50000,B1773,全馬データ!$C$2:$C$50000,C1773,全馬データ!$D$2:$D$50000,E1773)))</f>
        <v/>
      </c>
      <c r="AP1773" s="8" t="str">
        <f aca="false">IF(A1773="","",IF(AO1773="","欠損",IF(AO1773&lt;=1.1,"1.0～1.1",IF(AO1773&lt;1.3,"1.2",IF(AO1773&lt;1.5,"1.3～1.4",IF(AO1773&lt;2,"1.5～1.9","2.0以上"))))))</f>
        <v/>
      </c>
      <c r="AQ1773" s="8" t="str">
        <f aca="false">IF(A1773="","",IF(ISNUMBER(SEARCH("2歳",Z1773)),"2歳戦",IF(ISNUMBER(SEARCH("3歳未勝利",Z1773)),"3歳未勝利",IF(ISNUMBER(SEARCH("未勝利",Z1773)),"その他未勝利",IF(ISNUMBER(SEARCH("G1",Z1773)),"G1",IF(ISNUMBER(SEARCH("G2",Z1773)),"G2",IF(ISNUMBER(SEARCH("G3",Z1773)),"G3",IF(ISNUMBER(SEARCH("古馬条件",Z1773)),"古馬条件戦",IF(ISNUMBER(SEARCH("重賞",Z1773)),"重賞","分類不能")))))))))</f>
        <v/>
      </c>
    </row>
    <row r="1774" customFormat="false" ht="15.75" hidden="false" customHeight="false" outlineLevel="0" collapsed="false">
      <c r="AO1774" s="8" t="str">
        <f aca="false">IF(A1774="","",IF(COUNTIFS(全馬データ!$A$2:$A$50000,A1774,全馬データ!$B$2:$B$50000,B1774,全馬データ!$C$2:$C$50000,C1774,全馬データ!$D$2:$D$50000,E1774,全馬データ!$K$2:$K$50000,"&lt;&gt;")=0,"",SUMIFS(全馬データ!$K$2:$K$50000,全馬データ!$A$2:$A$50000,A1774,全馬データ!$B$2:$B$50000,B1774,全馬データ!$C$2:$C$50000,C1774,全馬データ!$D$2:$D$50000,E1774)))</f>
        <v/>
      </c>
      <c r="AP1774" s="8" t="str">
        <f aca="false">IF(A1774="","",IF(AO1774="","欠損",IF(AO1774&lt;=1.1,"1.0～1.1",IF(AO1774&lt;1.3,"1.2",IF(AO1774&lt;1.5,"1.3～1.4",IF(AO1774&lt;2,"1.5～1.9","2.0以上"))))))</f>
        <v/>
      </c>
      <c r="AQ1774" s="8" t="str">
        <f aca="false">IF(A1774="","",IF(ISNUMBER(SEARCH("2歳",Z1774)),"2歳戦",IF(ISNUMBER(SEARCH("3歳未勝利",Z1774)),"3歳未勝利",IF(ISNUMBER(SEARCH("未勝利",Z1774)),"その他未勝利",IF(ISNUMBER(SEARCH("G1",Z1774)),"G1",IF(ISNUMBER(SEARCH("G2",Z1774)),"G2",IF(ISNUMBER(SEARCH("G3",Z1774)),"G3",IF(ISNUMBER(SEARCH("古馬条件",Z1774)),"古馬条件戦",IF(ISNUMBER(SEARCH("重賞",Z1774)),"重賞","分類不能")))))))))</f>
        <v/>
      </c>
    </row>
    <row r="1775" customFormat="false" ht="15.75" hidden="false" customHeight="false" outlineLevel="0" collapsed="false">
      <c r="AO1775" s="8" t="str">
        <f aca="false">IF(A1775="","",IF(COUNTIFS(全馬データ!$A$2:$A$50000,A1775,全馬データ!$B$2:$B$50000,B1775,全馬データ!$C$2:$C$50000,C1775,全馬データ!$D$2:$D$50000,E1775,全馬データ!$K$2:$K$50000,"&lt;&gt;")=0,"",SUMIFS(全馬データ!$K$2:$K$50000,全馬データ!$A$2:$A$50000,A1775,全馬データ!$B$2:$B$50000,B1775,全馬データ!$C$2:$C$50000,C1775,全馬データ!$D$2:$D$50000,E1775)))</f>
        <v/>
      </c>
      <c r="AP1775" s="8" t="str">
        <f aca="false">IF(A1775="","",IF(AO1775="","欠損",IF(AO1775&lt;=1.1,"1.0～1.1",IF(AO1775&lt;1.3,"1.2",IF(AO1775&lt;1.5,"1.3～1.4",IF(AO1775&lt;2,"1.5～1.9","2.0以上"))))))</f>
        <v/>
      </c>
      <c r="AQ1775" s="8" t="str">
        <f aca="false">IF(A1775="","",IF(ISNUMBER(SEARCH("2歳",Z1775)),"2歳戦",IF(ISNUMBER(SEARCH("3歳未勝利",Z1775)),"3歳未勝利",IF(ISNUMBER(SEARCH("未勝利",Z1775)),"その他未勝利",IF(ISNUMBER(SEARCH("G1",Z1775)),"G1",IF(ISNUMBER(SEARCH("G2",Z1775)),"G2",IF(ISNUMBER(SEARCH("G3",Z1775)),"G3",IF(ISNUMBER(SEARCH("古馬条件",Z1775)),"古馬条件戦",IF(ISNUMBER(SEARCH("重賞",Z1775)),"重賞","分類不能")))))))))</f>
        <v/>
      </c>
    </row>
    <row r="1776" customFormat="false" ht="15.75" hidden="false" customHeight="false" outlineLevel="0" collapsed="false">
      <c r="AO1776" s="8" t="str">
        <f aca="false">IF(A1776="","",IF(COUNTIFS(全馬データ!$A$2:$A$50000,A1776,全馬データ!$B$2:$B$50000,B1776,全馬データ!$C$2:$C$50000,C1776,全馬データ!$D$2:$D$50000,E1776,全馬データ!$K$2:$K$50000,"&lt;&gt;")=0,"",SUMIFS(全馬データ!$K$2:$K$50000,全馬データ!$A$2:$A$50000,A1776,全馬データ!$B$2:$B$50000,B1776,全馬データ!$C$2:$C$50000,C1776,全馬データ!$D$2:$D$50000,E1776)))</f>
        <v/>
      </c>
      <c r="AP1776" s="8" t="str">
        <f aca="false">IF(A1776="","",IF(AO1776="","欠損",IF(AO1776&lt;=1.1,"1.0～1.1",IF(AO1776&lt;1.3,"1.2",IF(AO1776&lt;1.5,"1.3～1.4",IF(AO1776&lt;2,"1.5～1.9","2.0以上"))))))</f>
        <v/>
      </c>
      <c r="AQ1776" s="8" t="str">
        <f aca="false">IF(A1776="","",IF(ISNUMBER(SEARCH("2歳",Z1776)),"2歳戦",IF(ISNUMBER(SEARCH("3歳未勝利",Z1776)),"3歳未勝利",IF(ISNUMBER(SEARCH("未勝利",Z1776)),"その他未勝利",IF(ISNUMBER(SEARCH("G1",Z1776)),"G1",IF(ISNUMBER(SEARCH("G2",Z1776)),"G2",IF(ISNUMBER(SEARCH("G3",Z1776)),"G3",IF(ISNUMBER(SEARCH("古馬条件",Z1776)),"古馬条件戦",IF(ISNUMBER(SEARCH("重賞",Z1776)),"重賞","分類不能")))))))))</f>
        <v/>
      </c>
    </row>
    <row r="1777" customFormat="false" ht="15.75" hidden="false" customHeight="false" outlineLevel="0" collapsed="false">
      <c r="AO1777" s="8" t="str">
        <f aca="false">IF(A1777="","",IF(COUNTIFS(全馬データ!$A$2:$A$50000,A1777,全馬データ!$B$2:$B$50000,B1777,全馬データ!$C$2:$C$50000,C1777,全馬データ!$D$2:$D$50000,E1777,全馬データ!$K$2:$K$50000,"&lt;&gt;")=0,"",SUMIFS(全馬データ!$K$2:$K$50000,全馬データ!$A$2:$A$50000,A1777,全馬データ!$B$2:$B$50000,B1777,全馬データ!$C$2:$C$50000,C1777,全馬データ!$D$2:$D$50000,E1777)))</f>
        <v/>
      </c>
      <c r="AP1777" s="8" t="str">
        <f aca="false">IF(A1777="","",IF(AO1777="","欠損",IF(AO1777&lt;=1.1,"1.0～1.1",IF(AO1777&lt;1.3,"1.2",IF(AO1777&lt;1.5,"1.3～1.4",IF(AO1777&lt;2,"1.5～1.9","2.0以上"))))))</f>
        <v/>
      </c>
      <c r="AQ1777" s="8" t="str">
        <f aca="false">IF(A1777="","",IF(ISNUMBER(SEARCH("2歳",Z1777)),"2歳戦",IF(ISNUMBER(SEARCH("3歳未勝利",Z1777)),"3歳未勝利",IF(ISNUMBER(SEARCH("未勝利",Z1777)),"その他未勝利",IF(ISNUMBER(SEARCH("G1",Z1777)),"G1",IF(ISNUMBER(SEARCH("G2",Z1777)),"G2",IF(ISNUMBER(SEARCH("G3",Z1777)),"G3",IF(ISNUMBER(SEARCH("古馬条件",Z1777)),"古馬条件戦",IF(ISNUMBER(SEARCH("重賞",Z1777)),"重賞","分類不能")))))))))</f>
        <v/>
      </c>
    </row>
    <row r="1778" customFormat="false" ht="15.75" hidden="false" customHeight="false" outlineLevel="0" collapsed="false">
      <c r="AO1778" s="8" t="str">
        <f aca="false">IF(A1778="","",IF(COUNTIFS(全馬データ!$A$2:$A$50000,A1778,全馬データ!$B$2:$B$50000,B1778,全馬データ!$C$2:$C$50000,C1778,全馬データ!$D$2:$D$50000,E1778,全馬データ!$K$2:$K$50000,"&lt;&gt;")=0,"",SUMIFS(全馬データ!$K$2:$K$50000,全馬データ!$A$2:$A$50000,A1778,全馬データ!$B$2:$B$50000,B1778,全馬データ!$C$2:$C$50000,C1778,全馬データ!$D$2:$D$50000,E1778)))</f>
        <v/>
      </c>
      <c r="AP1778" s="8" t="str">
        <f aca="false">IF(A1778="","",IF(AO1778="","欠損",IF(AO1778&lt;=1.1,"1.0～1.1",IF(AO1778&lt;1.3,"1.2",IF(AO1778&lt;1.5,"1.3～1.4",IF(AO1778&lt;2,"1.5～1.9","2.0以上"))))))</f>
        <v/>
      </c>
      <c r="AQ1778" s="8" t="str">
        <f aca="false">IF(A1778="","",IF(ISNUMBER(SEARCH("2歳",Z1778)),"2歳戦",IF(ISNUMBER(SEARCH("3歳未勝利",Z1778)),"3歳未勝利",IF(ISNUMBER(SEARCH("未勝利",Z1778)),"その他未勝利",IF(ISNUMBER(SEARCH("G1",Z1778)),"G1",IF(ISNUMBER(SEARCH("G2",Z1778)),"G2",IF(ISNUMBER(SEARCH("G3",Z1778)),"G3",IF(ISNUMBER(SEARCH("古馬条件",Z1778)),"古馬条件戦",IF(ISNUMBER(SEARCH("重賞",Z1778)),"重賞","分類不能")))))))))</f>
        <v/>
      </c>
    </row>
    <row r="1779" customFormat="false" ht="15.75" hidden="false" customHeight="false" outlineLevel="0" collapsed="false">
      <c r="AO1779" s="8" t="str">
        <f aca="false">IF(A1779="","",IF(COUNTIFS(全馬データ!$A$2:$A$50000,A1779,全馬データ!$B$2:$B$50000,B1779,全馬データ!$C$2:$C$50000,C1779,全馬データ!$D$2:$D$50000,E1779,全馬データ!$K$2:$K$50000,"&lt;&gt;")=0,"",SUMIFS(全馬データ!$K$2:$K$50000,全馬データ!$A$2:$A$50000,A1779,全馬データ!$B$2:$B$50000,B1779,全馬データ!$C$2:$C$50000,C1779,全馬データ!$D$2:$D$50000,E1779)))</f>
        <v/>
      </c>
      <c r="AP1779" s="8" t="str">
        <f aca="false">IF(A1779="","",IF(AO1779="","欠損",IF(AO1779&lt;=1.1,"1.0～1.1",IF(AO1779&lt;1.3,"1.2",IF(AO1779&lt;1.5,"1.3～1.4",IF(AO1779&lt;2,"1.5～1.9","2.0以上"))))))</f>
        <v/>
      </c>
      <c r="AQ1779" s="8" t="str">
        <f aca="false">IF(A1779="","",IF(ISNUMBER(SEARCH("2歳",Z1779)),"2歳戦",IF(ISNUMBER(SEARCH("3歳未勝利",Z1779)),"3歳未勝利",IF(ISNUMBER(SEARCH("未勝利",Z1779)),"その他未勝利",IF(ISNUMBER(SEARCH("G1",Z1779)),"G1",IF(ISNUMBER(SEARCH("G2",Z1779)),"G2",IF(ISNUMBER(SEARCH("G3",Z1779)),"G3",IF(ISNUMBER(SEARCH("古馬条件",Z1779)),"古馬条件戦",IF(ISNUMBER(SEARCH("重賞",Z1779)),"重賞","分類不能")))))))))</f>
        <v/>
      </c>
    </row>
    <row r="1780" customFormat="false" ht="15.75" hidden="false" customHeight="false" outlineLevel="0" collapsed="false">
      <c r="AO1780" s="8" t="str">
        <f aca="false">IF(A1780="","",IF(COUNTIFS(全馬データ!$A$2:$A$50000,A1780,全馬データ!$B$2:$B$50000,B1780,全馬データ!$C$2:$C$50000,C1780,全馬データ!$D$2:$D$50000,E1780,全馬データ!$K$2:$K$50000,"&lt;&gt;")=0,"",SUMIFS(全馬データ!$K$2:$K$50000,全馬データ!$A$2:$A$50000,A1780,全馬データ!$B$2:$B$50000,B1780,全馬データ!$C$2:$C$50000,C1780,全馬データ!$D$2:$D$50000,E1780)))</f>
        <v/>
      </c>
      <c r="AP1780" s="8" t="str">
        <f aca="false">IF(A1780="","",IF(AO1780="","欠損",IF(AO1780&lt;=1.1,"1.0～1.1",IF(AO1780&lt;1.3,"1.2",IF(AO1780&lt;1.5,"1.3～1.4",IF(AO1780&lt;2,"1.5～1.9","2.0以上"))))))</f>
        <v/>
      </c>
      <c r="AQ1780" s="8" t="str">
        <f aca="false">IF(A1780="","",IF(ISNUMBER(SEARCH("2歳",Z1780)),"2歳戦",IF(ISNUMBER(SEARCH("3歳未勝利",Z1780)),"3歳未勝利",IF(ISNUMBER(SEARCH("未勝利",Z1780)),"その他未勝利",IF(ISNUMBER(SEARCH("G1",Z1780)),"G1",IF(ISNUMBER(SEARCH("G2",Z1780)),"G2",IF(ISNUMBER(SEARCH("G3",Z1780)),"G3",IF(ISNUMBER(SEARCH("古馬条件",Z1780)),"古馬条件戦",IF(ISNUMBER(SEARCH("重賞",Z1780)),"重賞","分類不能")))))))))</f>
        <v/>
      </c>
    </row>
    <row r="1781" customFormat="false" ht="15.75" hidden="false" customHeight="false" outlineLevel="0" collapsed="false">
      <c r="AO1781" s="8" t="str">
        <f aca="false">IF(A1781="","",IF(COUNTIFS(全馬データ!$A$2:$A$50000,A1781,全馬データ!$B$2:$B$50000,B1781,全馬データ!$C$2:$C$50000,C1781,全馬データ!$D$2:$D$50000,E1781,全馬データ!$K$2:$K$50000,"&lt;&gt;")=0,"",SUMIFS(全馬データ!$K$2:$K$50000,全馬データ!$A$2:$A$50000,A1781,全馬データ!$B$2:$B$50000,B1781,全馬データ!$C$2:$C$50000,C1781,全馬データ!$D$2:$D$50000,E1781)))</f>
        <v/>
      </c>
      <c r="AP1781" s="8" t="str">
        <f aca="false">IF(A1781="","",IF(AO1781="","欠損",IF(AO1781&lt;=1.1,"1.0～1.1",IF(AO1781&lt;1.3,"1.2",IF(AO1781&lt;1.5,"1.3～1.4",IF(AO1781&lt;2,"1.5～1.9","2.0以上"))))))</f>
        <v/>
      </c>
      <c r="AQ1781" s="8" t="str">
        <f aca="false">IF(A1781="","",IF(ISNUMBER(SEARCH("2歳",Z1781)),"2歳戦",IF(ISNUMBER(SEARCH("3歳未勝利",Z1781)),"3歳未勝利",IF(ISNUMBER(SEARCH("未勝利",Z1781)),"その他未勝利",IF(ISNUMBER(SEARCH("G1",Z1781)),"G1",IF(ISNUMBER(SEARCH("G2",Z1781)),"G2",IF(ISNUMBER(SEARCH("G3",Z1781)),"G3",IF(ISNUMBER(SEARCH("古馬条件",Z1781)),"古馬条件戦",IF(ISNUMBER(SEARCH("重賞",Z1781)),"重賞","分類不能")))))))))</f>
        <v/>
      </c>
    </row>
    <row r="1782" customFormat="false" ht="15.75" hidden="false" customHeight="false" outlineLevel="0" collapsed="false">
      <c r="AO1782" s="8" t="str">
        <f aca="false">IF(A1782="","",IF(COUNTIFS(全馬データ!$A$2:$A$50000,A1782,全馬データ!$B$2:$B$50000,B1782,全馬データ!$C$2:$C$50000,C1782,全馬データ!$D$2:$D$50000,E1782,全馬データ!$K$2:$K$50000,"&lt;&gt;")=0,"",SUMIFS(全馬データ!$K$2:$K$50000,全馬データ!$A$2:$A$50000,A1782,全馬データ!$B$2:$B$50000,B1782,全馬データ!$C$2:$C$50000,C1782,全馬データ!$D$2:$D$50000,E1782)))</f>
        <v/>
      </c>
      <c r="AP1782" s="8" t="str">
        <f aca="false">IF(A1782="","",IF(AO1782="","欠損",IF(AO1782&lt;=1.1,"1.0～1.1",IF(AO1782&lt;1.3,"1.2",IF(AO1782&lt;1.5,"1.3～1.4",IF(AO1782&lt;2,"1.5～1.9","2.0以上"))))))</f>
        <v/>
      </c>
      <c r="AQ1782" s="8" t="str">
        <f aca="false">IF(A1782="","",IF(ISNUMBER(SEARCH("2歳",Z1782)),"2歳戦",IF(ISNUMBER(SEARCH("3歳未勝利",Z1782)),"3歳未勝利",IF(ISNUMBER(SEARCH("未勝利",Z1782)),"その他未勝利",IF(ISNUMBER(SEARCH("G1",Z1782)),"G1",IF(ISNUMBER(SEARCH("G2",Z1782)),"G2",IF(ISNUMBER(SEARCH("G3",Z1782)),"G3",IF(ISNUMBER(SEARCH("古馬条件",Z1782)),"古馬条件戦",IF(ISNUMBER(SEARCH("重賞",Z1782)),"重賞","分類不能")))))))))</f>
        <v/>
      </c>
    </row>
    <row r="1783" customFormat="false" ht="15.75" hidden="false" customHeight="false" outlineLevel="0" collapsed="false">
      <c r="AO1783" s="8" t="str">
        <f aca="false">IF(A1783="","",IF(COUNTIFS(全馬データ!$A$2:$A$50000,A1783,全馬データ!$B$2:$B$50000,B1783,全馬データ!$C$2:$C$50000,C1783,全馬データ!$D$2:$D$50000,E1783,全馬データ!$K$2:$K$50000,"&lt;&gt;")=0,"",SUMIFS(全馬データ!$K$2:$K$50000,全馬データ!$A$2:$A$50000,A1783,全馬データ!$B$2:$B$50000,B1783,全馬データ!$C$2:$C$50000,C1783,全馬データ!$D$2:$D$50000,E1783)))</f>
        <v/>
      </c>
      <c r="AP1783" s="8" t="str">
        <f aca="false">IF(A1783="","",IF(AO1783="","欠損",IF(AO1783&lt;=1.1,"1.0～1.1",IF(AO1783&lt;1.3,"1.2",IF(AO1783&lt;1.5,"1.3～1.4",IF(AO1783&lt;2,"1.5～1.9","2.0以上"))))))</f>
        <v/>
      </c>
      <c r="AQ1783" s="8" t="str">
        <f aca="false">IF(A1783="","",IF(ISNUMBER(SEARCH("2歳",Z1783)),"2歳戦",IF(ISNUMBER(SEARCH("3歳未勝利",Z1783)),"3歳未勝利",IF(ISNUMBER(SEARCH("未勝利",Z1783)),"その他未勝利",IF(ISNUMBER(SEARCH("G1",Z1783)),"G1",IF(ISNUMBER(SEARCH("G2",Z1783)),"G2",IF(ISNUMBER(SEARCH("G3",Z1783)),"G3",IF(ISNUMBER(SEARCH("古馬条件",Z1783)),"古馬条件戦",IF(ISNUMBER(SEARCH("重賞",Z1783)),"重賞","分類不能")))))))))</f>
        <v/>
      </c>
    </row>
    <row r="1784" customFormat="false" ht="15.75" hidden="false" customHeight="false" outlineLevel="0" collapsed="false">
      <c r="AO1784" s="8" t="str">
        <f aca="false">IF(A1784="","",IF(COUNTIFS(全馬データ!$A$2:$A$50000,A1784,全馬データ!$B$2:$B$50000,B1784,全馬データ!$C$2:$C$50000,C1784,全馬データ!$D$2:$D$50000,E1784,全馬データ!$K$2:$K$50000,"&lt;&gt;")=0,"",SUMIFS(全馬データ!$K$2:$K$50000,全馬データ!$A$2:$A$50000,A1784,全馬データ!$B$2:$B$50000,B1784,全馬データ!$C$2:$C$50000,C1784,全馬データ!$D$2:$D$50000,E1784)))</f>
        <v/>
      </c>
      <c r="AP1784" s="8" t="str">
        <f aca="false">IF(A1784="","",IF(AO1784="","欠損",IF(AO1784&lt;=1.1,"1.0～1.1",IF(AO1784&lt;1.3,"1.2",IF(AO1784&lt;1.5,"1.3～1.4",IF(AO1784&lt;2,"1.5～1.9","2.0以上"))))))</f>
        <v/>
      </c>
      <c r="AQ1784" s="8" t="str">
        <f aca="false">IF(A1784="","",IF(ISNUMBER(SEARCH("2歳",Z1784)),"2歳戦",IF(ISNUMBER(SEARCH("3歳未勝利",Z1784)),"3歳未勝利",IF(ISNUMBER(SEARCH("未勝利",Z1784)),"その他未勝利",IF(ISNUMBER(SEARCH("G1",Z1784)),"G1",IF(ISNUMBER(SEARCH("G2",Z1784)),"G2",IF(ISNUMBER(SEARCH("G3",Z1784)),"G3",IF(ISNUMBER(SEARCH("古馬条件",Z1784)),"古馬条件戦",IF(ISNUMBER(SEARCH("重賞",Z1784)),"重賞","分類不能")))))))))</f>
        <v/>
      </c>
    </row>
    <row r="1785" customFormat="false" ht="15.75" hidden="false" customHeight="false" outlineLevel="0" collapsed="false">
      <c r="AO1785" s="8" t="str">
        <f aca="false">IF(A1785="","",IF(COUNTIFS(全馬データ!$A$2:$A$50000,A1785,全馬データ!$B$2:$B$50000,B1785,全馬データ!$C$2:$C$50000,C1785,全馬データ!$D$2:$D$50000,E1785,全馬データ!$K$2:$K$50000,"&lt;&gt;")=0,"",SUMIFS(全馬データ!$K$2:$K$50000,全馬データ!$A$2:$A$50000,A1785,全馬データ!$B$2:$B$50000,B1785,全馬データ!$C$2:$C$50000,C1785,全馬データ!$D$2:$D$50000,E1785)))</f>
        <v/>
      </c>
      <c r="AP1785" s="8" t="str">
        <f aca="false">IF(A1785="","",IF(AO1785="","欠損",IF(AO1785&lt;=1.1,"1.0～1.1",IF(AO1785&lt;1.3,"1.2",IF(AO1785&lt;1.5,"1.3～1.4",IF(AO1785&lt;2,"1.5～1.9","2.0以上"))))))</f>
        <v/>
      </c>
      <c r="AQ1785" s="8" t="str">
        <f aca="false">IF(A1785="","",IF(ISNUMBER(SEARCH("2歳",Z1785)),"2歳戦",IF(ISNUMBER(SEARCH("3歳未勝利",Z1785)),"3歳未勝利",IF(ISNUMBER(SEARCH("未勝利",Z1785)),"その他未勝利",IF(ISNUMBER(SEARCH("G1",Z1785)),"G1",IF(ISNUMBER(SEARCH("G2",Z1785)),"G2",IF(ISNUMBER(SEARCH("G3",Z1785)),"G3",IF(ISNUMBER(SEARCH("古馬条件",Z1785)),"古馬条件戦",IF(ISNUMBER(SEARCH("重賞",Z1785)),"重賞","分類不能")))))))))</f>
        <v/>
      </c>
    </row>
    <row r="1786" customFormat="false" ht="15.75" hidden="false" customHeight="false" outlineLevel="0" collapsed="false">
      <c r="AO1786" s="8" t="str">
        <f aca="false">IF(A1786="","",IF(COUNTIFS(全馬データ!$A$2:$A$50000,A1786,全馬データ!$B$2:$B$50000,B1786,全馬データ!$C$2:$C$50000,C1786,全馬データ!$D$2:$D$50000,E1786,全馬データ!$K$2:$K$50000,"&lt;&gt;")=0,"",SUMIFS(全馬データ!$K$2:$K$50000,全馬データ!$A$2:$A$50000,A1786,全馬データ!$B$2:$B$50000,B1786,全馬データ!$C$2:$C$50000,C1786,全馬データ!$D$2:$D$50000,E1786)))</f>
        <v/>
      </c>
      <c r="AP1786" s="8" t="str">
        <f aca="false">IF(A1786="","",IF(AO1786="","欠損",IF(AO1786&lt;=1.1,"1.0～1.1",IF(AO1786&lt;1.3,"1.2",IF(AO1786&lt;1.5,"1.3～1.4",IF(AO1786&lt;2,"1.5～1.9","2.0以上"))))))</f>
        <v/>
      </c>
      <c r="AQ1786" s="8" t="str">
        <f aca="false">IF(A1786="","",IF(ISNUMBER(SEARCH("2歳",Z1786)),"2歳戦",IF(ISNUMBER(SEARCH("3歳未勝利",Z1786)),"3歳未勝利",IF(ISNUMBER(SEARCH("未勝利",Z1786)),"その他未勝利",IF(ISNUMBER(SEARCH("G1",Z1786)),"G1",IF(ISNUMBER(SEARCH("G2",Z1786)),"G2",IF(ISNUMBER(SEARCH("G3",Z1786)),"G3",IF(ISNUMBER(SEARCH("古馬条件",Z1786)),"古馬条件戦",IF(ISNUMBER(SEARCH("重賞",Z1786)),"重賞","分類不能")))))))))</f>
        <v/>
      </c>
    </row>
    <row r="1787" customFormat="false" ht="15.75" hidden="false" customHeight="false" outlineLevel="0" collapsed="false">
      <c r="AO1787" s="8" t="str">
        <f aca="false">IF(A1787="","",IF(COUNTIFS(全馬データ!$A$2:$A$50000,A1787,全馬データ!$B$2:$B$50000,B1787,全馬データ!$C$2:$C$50000,C1787,全馬データ!$D$2:$D$50000,E1787,全馬データ!$K$2:$K$50000,"&lt;&gt;")=0,"",SUMIFS(全馬データ!$K$2:$K$50000,全馬データ!$A$2:$A$50000,A1787,全馬データ!$B$2:$B$50000,B1787,全馬データ!$C$2:$C$50000,C1787,全馬データ!$D$2:$D$50000,E1787)))</f>
        <v/>
      </c>
      <c r="AP1787" s="8" t="str">
        <f aca="false">IF(A1787="","",IF(AO1787="","欠損",IF(AO1787&lt;=1.1,"1.0～1.1",IF(AO1787&lt;1.3,"1.2",IF(AO1787&lt;1.5,"1.3～1.4",IF(AO1787&lt;2,"1.5～1.9","2.0以上"))))))</f>
        <v/>
      </c>
      <c r="AQ1787" s="8" t="str">
        <f aca="false">IF(A1787="","",IF(ISNUMBER(SEARCH("2歳",Z1787)),"2歳戦",IF(ISNUMBER(SEARCH("3歳未勝利",Z1787)),"3歳未勝利",IF(ISNUMBER(SEARCH("未勝利",Z1787)),"その他未勝利",IF(ISNUMBER(SEARCH("G1",Z1787)),"G1",IF(ISNUMBER(SEARCH("G2",Z1787)),"G2",IF(ISNUMBER(SEARCH("G3",Z1787)),"G3",IF(ISNUMBER(SEARCH("古馬条件",Z1787)),"古馬条件戦",IF(ISNUMBER(SEARCH("重賞",Z1787)),"重賞","分類不能")))))))))</f>
        <v/>
      </c>
    </row>
    <row r="1788" customFormat="false" ht="15.75" hidden="false" customHeight="false" outlineLevel="0" collapsed="false">
      <c r="AO1788" s="8" t="str">
        <f aca="false">IF(A1788="","",IF(COUNTIFS(全馬データ!$A$2:$A$50000,A1788,全馬データ!$B$2:$B$50000,B1788,全馬データ!$C$2:$C$50000,C1788,全馬データ!$D$2:$D$50000,E1788,全馬データ!$K$2:$K$50000,"&lt;&gt;")=0,"",SUMIFS(全馬データ!$K$2:$K$50000,全馬データ!$A$2:$A$50000,A1788,全馬データ!$B$2:$B$50000,B1788,全馬データ!$C$2:$C$50000,C1788,全馬データ!$D$2:$D$50000,E1788)))</f>
        <v/>
      </c>
      <c r="AP1788" s="8" t="str">
        <f aca="false">IF(A1788="","",IF(AO1788="","欠損",IF(AO1788&lt;=1.1,"1.0～1.1",IF(AO1788&lt;1.3,"1.2",IF(AO1788&lt;1.5,"1.3～1.4",IF(AO1788&lt;2,"1.5～1.9","2.0以上"))))))</f>
        <v/>
      </c>
      <c r="AQ1788" s="8" t="str">
        <f aca="false">IF(A1788="","",IF(ISNUMBER(SEARCH("2歳",Z1788)),"2歳戦",IF(ISNUMBER(SEARCH("3歳未勝利",Z1788)),"3歳未勝利",IF(ISNUMBER(SEARCH("未勝利",Z1788)),"その他未勝利",IF(ISNUMBER(SEARCH("G1",Z1788)),"G1",IF(ISNUMBER(SEARCH("G2",Z1788)),"G2",IF(ISNUMBER(SEARCH("G3",Z1788)),"G3",IF(ISNUMBER(SEARCH("古馬条件",Z1788)),"古馬条件戦",IF(ISNUMBER(SEARCH("重賞",Z1788)),"重賞","分類不能")))))))))</f>
        <v/>
      </c>
    </row>
    <row r="1789" customFormat="false" ht="15.75" hidden="false" customHeight="false" outlineLevel="0" collapsed="false">
      <c r="AO1789" s="8" t="str">
        <f aca="false">IF(A1789="","",IF(COUNTIFS(全馬データ!$A$2:$A$50000,A1789,全馬データ!$B$2:$B$50000,B1789,全馬データ!$C$2:$C$50000,C1789,全馬データ!$D$2:$D$50000,E1789,全馬データ!$K$2:$K$50000,"&lt;&gt;")=0,"",SUMIFS(全馬データ!$K$2:$K$50000,全馬データ!$A$2:$A$50000,A1789,全馬データ!$B$2:$B$50000,B1789,全馬データ!$C$2:$C$50000,C1789,全馬データ!$D$2:$D$50000,E1789)))</f>
        <v/>
      </c>
      <c r="AP1789" s="8" t="str">
        <f aca="false">IF(A1789="","",IF(AO1789="","欠損",IF(AO1789&lt;=1.1,"1.0～1.1",IF(AO1789&lt;1.3,"1.2",IF(AO1789&lt;1.5,"1.3～1.4",IF(AO1789&lt;2,"1.5～1.9","2.0以上"))))))</f>
        <v/>
      </c>
      <c r="AQ1789" s="8" t="str">
        <f aca="false">IF(A1789="","",IF(ISNUMBER(SEARCH("2歳",Z1789)),"2歳戦",IF(ISNUMBER(SEARCH("3歳未勝利",Z1789)),"3歳未勝利",IF(ISNUMBER(SEARCH("未勝利",Z1789)),"その他未勝利",IF(ISNUMBER(SEARCH("G1",Z1789)),"G1",IF(ISNUMBER(SEARCH("G2",Z1789)),"G2",IF(ISNUMBER(SEARCH("G3",Z1789)),"G3",IF(ISNUMBER(SEARCH("古馬条件",Z1789)),"古馬条件戦",IF(ISNUMBER(SEARCH("重賞",Z1789)),"重賞","分類不能")))))))))</f>
        <v/>
      </c>
    </row>
    <row r="1790" customFormat="false" ht="15.75" hidden="false" customHeight="false" outlineLevel="0" collapsed="false">
      <c r="AO1790" s="8" t="str">
        <f aca="false">IF(A1790="","",IF(COUNTIFS(全馬データ!$A$2:$A$50000,A1790,全馬データ!$B$2:$B$50000,B1790,全馬データ!$C$2:$C$50000,C1790,全馬データ!$D$2:$D$50000,E1790,全馬データ!$K$2:$K$50000,"&lt;&gt;")=0,"",SUMIFS(全馬データ!$K$2:$K$50000,全馬データ!$A$2:$A$50000,A1790,全馬データ!$B$2:$B$50000,B1790,全馬データ!$C$2:$C$50000,C1790,全馬データ!$D$2:$D$50000,E1790)))</f>
        <v/>
      </c>
      <c r="AP1790" s="8" t="str">
        <f aca="false">IF(A1790="","",IF(AO1790="","欠損",IF(AO1790&lt;=1.1,"1.0～1.1",IF(AO1790&lt;1.3,"1.2",IF(AO1790&lt;1.5,"1.3～1.4",IF(AO1790&lt;2,"1.5～1.9","2.0以上"))))))</f>
        <v/>
      </c>
      <c r="AQ1790" s="8" t="str">
        <f aca="false">IF(A1790="","",IF(ISNUMBER(SEARCH("2歳",Z1790)),"2歳戦",IF(ISNUMBER(SEARCH("3歳未勝利",Z1790)),"3歳未勝利",IF(ISNUMBER(SEARCH("未勝利",Z1790)),"その他未勝利",IF(ISNUMBER(SEARCH("G1",Z1790)),"G1",IF(ISNUMBER(SEARCH("G2",Z1790)),"G2",IF(ISNUMBER(SEARCH("G3",Z1790)),"G3",IF(ISNUMBER(SEARCH("古馬条件",Z1790)),"古馬条件戦",IF(ISNUMBER(SEARCH("重賞",Z1790)),"重賞","分類不能")))))))))</f>
        <v/>
      </c>
    </row>
    <row r="1791" customFormat="false" ht="15.75" hidden="false" customHeight="false" outlineLevel="0" collapsed="false">
      <c r="AO1791" s="8" t="str">
        <f aca="false">IF(A1791="","",IF(COUNTIFS(全馬データ!$A$2:$A$50000,A1791,全馬データ!$B$2:$B$50000,B1791,全馬データ!$C$2:$C$50000,C1791,全馬データ!$D$2:$D$50000,E1791,全馬データ!$K$2:$K$50000,"&lt;&gt;")=0,"",SUMIFS(全馬データ!$K$2:$K$50000,全馬データ!$A$2:$A$50000,A1791,全馬データ!$B$2:$B$50000,B1791,全馬データ!$C$2:$C$50000,C1791,全馬データ!$D$2:$D$50000,E1791)))</f>
        <v/>
      </c>
      <c r="AP1791" s="8" t="str">
        <f aca="false">IF(A1791="","",IF(AO1791="","欠損",IF(AO1791&lt;=1.1,"1.0～1.1",IF(AO1791&lt;1.3,"1.2",IF(AO1791&lt;1.5,"1.3～1.4",IF(AO1791&lt;2,"1.5～1.9","2.0以上"))))))</f>
        <v/>
      </c>
      <c r="AQ1791" s="8" t="str">
        <f aca="false">IF(A1791="","",IF(ISNUMBER(SEARCH("2歳",Z1791)),"2歳戦",IF(ISNUMBER(SEARCH("3歳未勝利",Z1791)),"3歳未勝利",IF(ISNUMBER(SEARCH("未勝利",Z1791)),"その他未勝利",IF(ISNUMBER(SEARCH("G1",Z1791)),"G1",IF(ISNUMBER(SEARCH("G2",Z1791)),"G2",IF(ISNUMBER(SEARCH("G3",Z1791)),"G3",IF(ISNUMBER(SEARCH("古馬条件",Z1791)),"古馬条件戦",IF(ISNUMBER(SEARCH("重賞",Z1791)),"重賞","分類不能")))))))))</f>
        <v/>
      </c>
    </row>
    <row r="1792" customFormat="false" ht="15.75" hidden="false" customHeight="false" outlineLevel="0" collapsed="false">
      <c r="AO1792" s="8" t="str">
        <f aca="false">IF(A1792="","",IF(COUNTIFS(全馬データ!$A$2:$A$50000,A1792,全馬データ!$B$2:$B$50000,B1792,全馬データ!$C$2:$C$50000,C1792,全馬データ!$D$2:$D$50000,E1792,全馬データ!$K$2:$K$50000,"&lt;&gt;")=0,"",SUMIFS(全馬データ!$K$2:$K$50000,全馬データ!$A$2:$A$50000,A1792,全馬データ!$B$2:$B$50000,B1792,全馬データ!$C$2:$C$50000,C1792,全馬データ!$D$2:$D$50000,E1792)))</f>
        <v/>
      </c>
      <c r="AP1792" s="8" t="str">
        <f aca="false">IF(A1792="","",IF(AO1792="","欠損",IF(AO1792&lt;=1.1,"1.0～1.1",IF(AO1792&lt;1.3,"1.2",IF(AO1792&lt;1.5,"1.3～1.4",IF(AO1792&lt;2,"1.5～1.9","2.0以上"))))))</f>
        <v/>
      </c>
      <c r="AQ1792" s="8" t="str">
        <f aca="false">IF(A1792="","",IF(ISNUMBER(SEARCH("2歳",Z1792)),"2歳戦",IF(ISNUMBER(SEARCH("3歳未勝利",Z1792)),"3歳未勝利",IF(ISNUMBER(SEARCH("未勝利",Z1792)),"その他未勝利",IF(ISNUMBER(SEARCH("G1",Z1792)),"G1",IF(ISNUMBER(SEARCH("G2",Z1792)),"G2",IF(ISNUMBER(SEARCH("G3",Z1792)),"G3",IF(ISNUMBER(SEARCH("古馬条件",Z1792)),"古馬条件戦",IF(ISNUMBER(SEARCH("重賞",Z1792)),"重賞","分類不能")))))))))</f>
        <v/>
      </c>
    </row>
    <row r="1793" customFormat="false" ht="15.75" hidden="false" customHeight="false" outlineLevel="0" collapsed="false">
      <c r="AO1793" s="8" t="str">
        <f aca="false">IF(A1793="","",IF(COUNTIFS(全馬データ!$A$2:$A$50000,A1793,全馬データ!$B$2:$B$50000,B1793,全馬データ!$C$2:$C$50000,C1793,全馬データ!$D$2:$D$50000,E1793,全馬データ!$K$2:$K$50000,"&lt;&gt;")=0,"",SUMIFS(全馬データ!$K$2:$K$50000,全馬データ!$A$2:$A$50000,A1793,全馬データ!$B$2:$B$50000,B1793,全馬データ!$C$2:$C$50000,C1793,全馬データ!$D$2:$D$50000,E1793)))</f>
        <v/>
      </c>
      <c r="AP1793" s="8" t="str">
        <f aca="false">IF(A1793="","",IF(AO1793="","欠損",IF(AO1793&lt;=1.1,"1.0～1.1",IF(AO1793&lt;1.3,"1.2",IF(AO1793&lt;1.5,"1.3～1.4",IF(AO1793&lt;2,"1.5～1.9","2.0以上"))))))</f>
        <v/>
      </c>
      <c r="AQ1793" s="8" t="str">
        <f aca="false">IF(A1793="","",IF(ISNUMBER(SEARCH("2歳",Z1793)),"2歳戦",IF(ISNUMBER(SEARCH("3歳未勝利",Z1793)),"3歳未勝利",IF(ISNUMBER(SEARCH("未勝利",Z1793)),"その他未勝利",IF(ISNUMBER(SEARCH("G1",Z1793)),"G1",IF(ISNUMBER(SEARCH("G2",Z1793)),"G2",IF(ISNUMBER(SEARCH("G3",Z1793)),"G3",IF(ISNUMBER(SEARCH("古馬条件",Z1793)),"古馬条件戦",IF(ISNUMBER(SEARCH("重賞",Z1793)),"重賞","分類不能")))))))))</f>
        <v/>
      </c>
    </row>
    <row r="1794" customFormat="false" ht="15.75" hidden="false" customHeight="false" outlineLevel="0" collapsed="false">
      <c r="AO1794" s="8" t="str">
        <f aca="false">IF(A1794="","",IF(COUNTIFS(全馬データ!$A$2:$A$50000,A1794,全馬データ!$B$2:$B$50000,B1794,全馬データ!$C$2:$C$50000,C1794,全馬データ!$D$2:$D$50000,E1794,全馬データ!$K$2:$K$50000,"&lt;&gt;")=0,"",SUMIFS(全馬データ!$K$2:$K$50000,全馬データ!$A$2:$A$50000,A1794,全馬データ!$B$2:$B$50000,B1794,全馬データ!$C$2:$C$50000,C1794,全馬データ!$D$2:$D$50000,E1794)))</f>
        <v/>
      </c>
      <c r="AP1794" s="8" t="str">
        <f aca="false">IF(A1794="","",IF(AO1794="","欠損",IF(AO1794&lt;=1.1,"1.0～1.1",IF(AO1794&lt;1.3,"1.2",IF(AO1794&lt;1.5,"1.3～1.4",IF(AO1794&lt;2,"1.5～1.9","2.0以上"))))))</f>
        <v/>
      </c>
      <c r="AQ1794" s="8" t="str">
        <f aca="false">IF(A1794="","",IF(ISNUMBER(SEARCH("2歳",Z1794)),"2歳戦",IF(ISNUMBER(SEARCH("3歳未勝利",Z1794)),"3歳未勝利",IF(ISNUMBER(SEARCH("未勝利",Z1794)),"その他未勝利",IF(ISNUMBER(SEARCH("G1",Z1794)),"G1",IF(ISNUMBER(SEARCH("G2",Z1794)),"G2",IF(ISNUMBER(SEARCH("G3",Z1794)),"G3",IF(ISNUMBER(SEARCH("古馬条件",Z1794)),"古馬条件戦",IF(ISNUMBER(SEARCH("重賞",Z1794)),"重賞","分類不能")))))))))</f>
        <v/>
      </c>
    </row>
    <row r="1795" customFormat="false" ht="15.75" hidden="false" customHeight="false" outlineLevel="0" collapsed="false">
      <c r="AO1795" s="8" t="str">
        <f aca="false">IF(A1795="","",IF(COUNTIFS(全馬データ!$A$2:$A$50000,A1795,全馬データ!$B$2:$B$50000,B1795,全馬データ!$C$2:$C$50000,C1795,全馬データ!$D$2:$D$50000,E1795,全馬データ!$K$2:$K$50000,"&lt;&gt;")=0,"",SUMIFS(全馬データ!$K$2:$K$50000,全馬データ!$A$2:$A$50000,A1795,全馬データ!$B$2:$B$50000,B1795,全馬データ!$C$2:$C$50000,C1795,全馬データ!$D$2:$D$50000,E1795)))</f>
        <v/>
      </c>
      <c r="AP1795" s="8" t="str">
        <f aca="false">IF(A1795="","",IF(AO1795="","欠損",IF(AO1795&lt;=1.1,"1.0～1.1",IF(AO1795&lt;1.3,"1.2",IF(AO1795&lt;1.5,"1.3～1.4",IF(AO1795&lt;2,"1.5～1.9","2.0以上"))))))</f>
        <v/>
      </c>
      <c r="AQ1795" s="8" t="str">
        <f aca="false">IF(A1795="","",IF(ISNUMBER(SEARCH("2歳",Z1795)),"2歳戦",IF(ISNUMBER(SEARCH("3歳未勝利",Z1795)),"3歳未勝利",IF(ISNUMBER(SEARCH("未勝利",Z1795)),"その他未勝利",IF(ISNUMBER(SEARCH("G1",Z1795)),"G1",IF(ISNUMBER(SEARCH("G2",Z1795)),"G2",IF(ISNUMBER(SEARCH("G3",Z1795)),"G3",IF(ISNUMBER(SEARCH("古馬条件",Z1795)),"古馬条件戦",IF(ISNUMBER(SEARCH("重賞",Z1795)),"重賞","分類不能")))))))))</f>
        <v/>
      </c>
    </row>
    <row r="1796" customFormat="false" ht="15.75" hidden="false" customHeight="false" outlineLevel="0" collapsed="false">
      <c r="AO1796" s="8" t="str">
        <f aca="false">IF(A1796="","",IF(COUNTIFS(全馬データ!$A$2:$A$50000,A1796,全馬データ!$B$2:$B$50000,B1796,全馬データ!$C$2:$C$50000,C1796,全馬データ!$D$2:$D$50000,E1796,全馬データ!$K$2:$K$50000,"&lt;&gt;")=0,"",SUMIFS(全馬データ!$K$2:$K$50000,全馬データ!$A$2:$A$50000,A1796,全馬データ!$B$2:$B$50000,B1796,全馬データ!$C$2:$C$50000,C1796,全馬データ!$D$2:$D$50000,E1796)))</f>
        <v/>
      </c>
      <c r="AP1796" s="8" t="str">
        <f aca="false">IF(A1796="","",IF(AO1796="","欠損",IF(AO1796&lt;=1.1,"1.0～1.1",IF(AO1796&lt;1.3,"1.2",IF(AO1796&lt;1.5,"1.3～1.4",IF(AO1796&lt;2,"1.5～1.9","2.0以上"))))))</f>
        <v/>
      </c>
      <c r="AQ1796" s="8" t="str">
        <f aca="false">IF(A1796="","",IF(ISNUMBER(SEARCH("2歳",Z1796)),"2歳戦",IF(ISNUMBER(SEARCH("3歳未勝利",Z1796)),"3歳未勝利",IF(ISNUMBER(SEARCH("未勝利",Z1796)),"その他未勝利",IF(ISNUMBER(SEARCH("G1",Z1796)),"G1",IF(ISNUMBER(SEARCH("G2",Z1796)),"G2",IF(ISNUMBER(SEARCH("G3",Z1796)),"G3",IF(ISNUMBER(SEARCH("古馬条件",Z1796)),"古馬条件戦",IF(ISNUMBER(SEARCH("重賞",Z1796)),"重賞","分類不能")))))))))</f>
        <v/>
      </c>
    </row>
    <row r="1797" customFormat="false" ht="15.75" hidden="false" customHeight="false" outlineLevel="0" collapsed="false">
      <c r="AO1797" s="8" t="str">
        <f aca="false">IF(A1797="","",IF(COUNTIFS(全馬データ!$A$2:$A$50000,A1797,全馬データ!$B$2:$B$50000,B1797,全馬データ!$C$2:$C$50000,C1797,全馬データ!$D$2:$D$50000,E1797,全馬データ!$K$2:$K$50000,"&lt;&gt;")=0,"",SUMIFS(全馬データ!$K$2:$K$50000,全馬データ!$A$2:$A$50000,A1797,全馬データ!$B$2:$B$50000,B1797,全馬データ!$C$2:$C$50000,C1797,全馬データ!$D$2:$D$50000,E1797)))</f>
        <v/>
      </c>
      <c r="AP1797" s="8" t="str">
        <f aca="false">IF(A1797="","",IF(AO1797="","欠損",IF(AO1797&lt;=1.1,"1.0～1.1",IF(AO1797&lt;1.3,"1.2",IF(AO1797&lt;1.5,"1.3～1.4",IF(AO1797&lt;2,"1.5～1.9","2.0以上"))))))</f>
        <v/>
      </c>
      <c r="AQ1797" s="8" t="str">
        <f aca="false">IF(A1797="","",IF(ISNUMBER(SEARCH("2歳",Z1797)),"2歳戦",IF(ISNUMBER(SEARCH("3歳未勝利",Z1797)),"3歳未勝利",IF(ISNUMBER(SEARCH("未勝利",Z1797)),"その他未勝利",IF(ISNUMBER(SEARCH("G1",Z1797)),"G1",IF(ISNUMBER(SEARCH("G2",Z1797)),"G2",IF(ISNUMBER(SEARCH("G3",Z1797)),"G3",IF(ISNUMBER(SEARCH("古馬条件",Z1797)),"古馬条件戦",IF(ISNUMBER(SEARCH("重賞",Z1797)),"重賞","分類不能")))))))))</f>
        <v/>
      </c>
    </row>
    <row r="1798" customFormat="false" ht="15.75" hidden="false" customHeight="false" outlineLevel="0" collapsed="false">
      <c r="AO1798" s="8" t="str">
        <f aca="false">IF(A1798="","",IF(COUNTIFS(全馬データ!$A$2:$A$50000,A1798,全馬データ!$B$2:$B$50000,B1798,全馬データ!$C$2:$C$50000,C1798,全馬データ!$D$2:$D$50000,E1798,全馬データ!$K$2:$K$50000,"&lt;&gt;")=0,"",SUMIFS(全馬データ!$K$2:$K$50000,全馬データ!$A$2:$A$50000,A1798,全馬データ!$B$2:$B$50000,B1798,全馬データ!$C$2:$C$50000,C1798,全馬データ!$D$2:$D$50000,E1798)))</f>
        <v/>
      </c>
      <c r="AP1798" s="8" t="str">
        <f aca="false">IF(A1798="","",IF(AO1798="","欠損",IF(AO1798&lt;=1.1,"1.0～1.1",IF(AO1798&lt;1.3,"1.2",IF(AO1798&lt;1.5,"1.3～1.4",IF(AO1798&lt;2,"1.5～1.9","2.0以上"))))))</f>
        <v/>
      </c>
      <c r="AQ1798" s="8" t="str">
        <f aca="false">IF(A1798="","",IF(ISNUMBER(SEARCH("2歳",Z1798)),"2歳戦",IF(ISNUMBER(SEARCH("3歳未勝利",Z1798)),"3歳未勝利",IF(ISNUMBER(SEARCH("未勝利",Z1798)),"その他未勝利",IF(ISNUMBER(SEARCH("G1",Z1798)),"G1",IF(ISNUMBER(SEARCH("G2",Z1798)),"G2",IF(ISNUMBER(SEARCH("G3",Z1798)),"G3",IF(ISNUMBER(SEARCH("古馬条件",Z1798)),"古馬条件戦",IF(ISNUMBER(SEARCH("重賞",Z1798)),"重賞","分類不能")))))))))</f>
        <v/>
      </c>
    </row>
    <row r="1799" customFormat="false" ht="15.75" hidden="false" customHeight="false" outlineLevel="0" collapsed="false">
      <c r="AO1799" s="8" t="str">
        <f aca="false">IF(A1799="","",IF(COUNTIFS(全馬データ!$A$2:$A$50000,A1799,全馬データ!$B$2:$B$50000,B1799,全馬データ!$C$2:$C$50000,C1799,全馬データ!$D$2:$D$50000,E1799,全馬データ!$K$2:$K$50000,"&lt;&gt;")=0,"",SUMIFS(全馬データ!$K$2:$K$50000,全馬データ!$A$2:$A$50000,A1799,全馬データ!$B$2:$B$50000,B1799,全馬データ!$C$2:$C$50000,C1799,全馬データ!$D$2:$D$50000,E1799)))</f>
        <v/>
      </c>
      <c r="AP1799" s="8" t="str">
        <f aca="false">IF(A1799="","",IF(AO1799="","欠損",IF(AO1799&lt;=1.1,"1.0～1.1",IF(AO1799&lt;1.3,"1.2",IF(AO1799&lt;1.5,"1.3～1.4",IF(AO1799&lt;2,"1.5～1.9","2.0以上"))))))</f>
        <v/>
      </c>
      <c r="AQ1799" s="8" t="str">
        <f aca="false">IF(A1799="","",IF(ISNUMBER(SEARCH("2歳",Z1799)),"2歳戦",IF(ISNUMBER(SEARCH("3歳未勝利",Z1799)),"3歳未勝利",IF(ISNUMBER(SEARCH("未勝利",Z1799)),"その他未勝利",IF(ISNUMBER(SEARCH("G1",Z1799)),"G1",IF(ISNUMBER(SEARCH("G2",Z1799)),"G2",IF(ISNUMBER(SEARCH("G3",Z1799)),"G3",IF(ISNUMBER(SEARCH("古馬条件",Z1799)),"古馬条件戦",IF(ISNUMBER(SEARCH("重賞",Z1799)),"重賞","分類不能")))))))))</f>
        <v/>
      </c>
    </row>
    <row r="1800" customFormat="false" ht="15.75" hidden="false" customHeight="false" outlineLevel="0" collapsed="false">
      <c r="AO1800" s="8" t="str">
        <f aca="false">IF(A1800="","",IF(COUNTIFS(全馬データ!$A$2:$A$50000,A1800,全馬データ!$B$2:$B$50000,B1800,全馬データ!$C$2:$C$50000,C1800,全馬データ!$D$2:$D$50000,E1800,全馬データ!$K$2:$K$50000,"&lt;&gt;")=0,"",SUMIFS(全馬データ!$K$2:$K$50000,全馬データ!$A$2:$A$50000,A1800,全馬データ!$B$2:$B$50000,B1800,全馬データ!$C$2:$C$50000,C1800,全馬データ!$D$2:$D$50000,E1800)))</f>
        <v/>
      </c>
      <c r="AP1800" s="8" t="str">
        <f aca="false">IF(A1800="","",IF(AO1800="","欠損",IF(AO1800&lt;=1.1,"1.0～1.1",IF(AO1800&lt;1.3,"1.2",IF(AO1800&lt;1.5,"1.3～1.4",IF(AO1800&lt;2,"1.5～1.9","2.0以上"))))))</f>
        <v/>
      </c>
      <c r="AQ1800" s="8" t="str">
        <f aca="false">IF(A1800="","",IF(ISNUMBER(SEARCH("2歳",Z1800)),"2歳戦",IF(ISNUMBER(SEARCH("3歳未勝利",Z1800)),"3歳未勝利",IF(ISNUMBER(SEARCH("未勝利",Z1800)),"その他未勝利",IF(ISNUMBER(SEARCH("G1",Z1800)),"G1",IF(ISNUMBER(SEARCH("G2",Z1800)),"G2",IF(ISNUMBER(SEARCH("G3",Z1800)),"G3",IF(ISNUMBER(SEARCH("古馬条件",Z1800)),"古馬条件戦",IF(ISNUMBER(SEARCH("重賞",Z1800)),"重賞","分類不能")))))))))</f>
        <v/>
      </c>
    </row>
    <row r="1801" customFormat="false" ht="15.75" hidden="false" customHeight="false" outlineLevel="0" collapsed="false">
      <c r="AO1801" s="8" t="str">
        <f aca="false">IF(A1801="","",IF(COUNTIFS(全馬データ!$A$2:$A$50000,A1801,全馬データ!$B$2:$B$50000,B1801,全馬データ!$C$2:$C$50000,C1801,全馬データ!$D$2:$D$50000,E1801,全馬データ!$K$2:$K$50000,"&lt;&gt;")=0,"",SUMIFS(全馬データ!$K$2:$K$50000,全馬データ!$A$2:$A$50000,A1801,全馬データ!$B$2:$B$50000,B1801,全馬データ!$C$2:$C$50000,C1801,全馬データ!$D$2:$D$50000,E1801)))</f>
        <v/>
      </c>
      <c r="AP1801" s="8" t="str">
        <f aca="false">IF(A1801="","",IF(AO1801="","欠損",IF(AO1801&lt;=1.1,"1.0～1.1",IF(AO1801&lt;1.3,"1.2",IF(AO1801&lt;1.5,"1.3～1.4",IF(AO1801&lt;2,"1.5～1.9","2.0以上"))))))</f>
        <v/>
      </c>
      <c r="AQ1801" s="8" t="str">
        <f aca="false">IF(A1801="","",IF(ISNUMBER(SEARCH("2歳",Z1801)),"2歳戦",IF(ISNUMBER(SEARCH("3歳未勝利",Z1801)),"3歳未勝利",IF(ISNUMBER(SEARCH("未勝利",Z1801)),"その他未勝利",IF(ISNUMBER(SEARCH("G1",Z1801)),"G1",IF(ISNUMBER(SEARCH("G2",Z1801)),"G2",IF(ISNUMBER(SEARCH("G3",Z1801)),"G3",IF(ISNUMBER(SEARCH("古馬条件",Z1801)),"古馬条件戦",IF(ISNUMBER(SEARCH("重賞",Z1801)),"重賞","分類不能")))))))))</f>
        <v/>
      </c>
    </row>
    <row r="1802" customFormat="false" ht="15.75" hidden="false" customHeight="false" outlineLevel="0" collapsed="false">
      <c r="AO1802" s="8" t="str">
        <f aca="false">IF(A1802="","",IF(COUNTIFS(全馬データ!$A$2:$A$50000,A1802,全馬データ!$B$2:$B$50000,B1802,全馬データ!$C$2:$C$50000,C1802,全馬データ!$D$2:$D$50000,E1802,全馬データ!$K$2:$K$50000,"&lt;&gt;")=0,"",SUMIFS(全馬データ!$K$2:$K$50000,全馬データ!$A$2:$A$50000,A1802,全馬データ!$B$2:$B$50000,B1802,全馬データ!$C$2:$C$50000,C1802,全馬データ!$D$2:$D$50000,E1802)))</f>
        <v/>
      </c>
      <c r="AP1802" s="8" t="str">
        <f aca="false">IF(A1802="","",IF(AO1802="","欠損",IF(AO1802&lt;=1.1,"1.0～1.1",IF(AO1802&lt;1.3,"1.2",IF(AO1802&lt;1.5,"1.3～1.4",IF(AO1802&lt;2,"1.5～1.9","2.0以上"))))))</f>
        <v/>
      </c>
      <c r="AQ1802" s="8" t="str">
        <f aca="false">IF(A1802="","",IF(ISNUMBER(SEARCH("2歳",Z1802)),"2歳戦",IF(ISNUMBER(SEARCH("3歳未勝利",Z1802)),"3歳未勝利",IF(ISNUMBER(SEARCH("未勝利",Z1802)),"その他未勝利",IF(ISNUMBER(SEARCH("G1",Z1802)),"G1",IF(ISNUMBER(SEARCH("G2",Z1802)),"G2",IF(ISNUMBER(SEARCH("G3",Z1802)),"G3",IF(ISNUMBER(SEARCH("古馬条件",Z1802)),"古馬条件戦",IF(ISNUMBER(SEARCH("重賞",Z1802)),"重賞","分類不能")))))))))</f>
        <v/>
      </c>
    </row>
    <row r="1803" customFormat="false" ht="15.75" hidden="false" customHeight="false" outlineLevel="0" collapsed="false">
      <c r="AO1803" s="8" t="str">
        <f aca="false">IF(A1803="","",IF(COUNTIFS(全馬データ!$A$2:$A$50000,A1803,全馬データ!$B$2:$B$50000,B1803,全馬データ!$C$2:$C$50000,C1803,全馬データ!$D$2:$D$50000,E1803,全馬データ!$K$2:$K$50000,"&lt;&gt;")=0,"",SUMIFS(全馬データ!$K$2:$K$50000,全馬データ!$A$2:$A$50000,A1803,全馬データ!$B$2:$B$50000,B1803,全馬データ!$C$2:$C$50000,C1803,全馬データ!$D$2:$D$50000,E1803)))</f>
        <v/>
      </c>
      <c r="AP1803" s="8" t="str">
        <f aca="false">IF(A1803="","",IF(AO1803="","欠損",IF(AO1803&lt;=1.1,"1.0～1.1",IF(AO1803&lt;1.3,"1.2",IF(AO1803&lt;1.5,"1.3～1.4",IF(AO1803&lt;2,"1.5～1.9","2.0以上"))))))</f>
        <v/>
      </c>
      <c r="AQ1803" s="8" t="str">
        <f aca="false">IF(A1803="","",IF(ISNUMBER(SEARCH("2歳",Z1803)),"2歳戦",IF(ISNUMBER(SEARCH("3歳未勝利",Z1803)),"3歳未勝利",IF(ISNUMBER(SEARCH("未勝利",Z1803)),"その他未勝利",IF(ISNUMBER(SEARCH("G1",Z1803)),"G1",IF(ISNUMBER(SEARCH("G2",Z1803)),"G2",IF(ISNUMBER(SEARCH("G3",Z1803)),"G3",IF(ISNUMBER(SEARCH("古馬条件",Z1803)),"古馬条件戦",IF(ISNUMBER(SEARCH("重賞",Z1803)),"重賞","分類不能")))))))))</f>
        <v/>
      </c>
    </row>
    <row r="1804" customFormat="false" ht="15.75" hidden="false" customHeight="false" outlineLevel="0" collapsed="false">
      <c r="AO1804" s="8" t="str">
        <f aca="false">IF(A1804="","",IF(COUNTIFS(全馬データ!$A$2:$A$50000,A1804,全馬データ!$B$2:$B$50000,B1804,全馬データ!$C$2:$C$50000,C1804,全馬データ!$D$2:$D$50000,E1804,全馬データ!$K$2:$K$50000,"&lt;&gt;")=0,"",SUMIFS(全馬データ!$K$2:$K$50000,全馬データ!$A$2:$A$50000,A1804,全馬データ!$B$2:$B$50000,B1804,全馬データ!$C$2:$C$50000,C1804,全馬データ!$D$2:$D$50000,E1804)))</f>
        <v/>
      </c>
      <c r="AP1804" s="8" t="str">
        <f aca="false">IF(A1804="","",IF(AO1804="","欠損",IF(AO1804&lt;=1.1,"1.0～1.1",IF(AO1804&lt;1.3,"1.2",IF(AO1804&lt;1.5,"1.3～1.4",IF(AO1804&lt;2,"1.5～1.9","2.0以上"))))))</f>
        <v/>
      </c>
      <c r="AQ1804" s="8" t="str">
        <f aca="false">IF(A1804="","",IF(ISNUMBER(SEARCH("2歳",Z1804)),"2歳戦",IF(ISNUMBER(SEARCH("3歳未勝利",Z1804)),"3歳未勝利",IF(ISNUMBER(SEARCH("未勝利",Z1804)),"その他未勝利",IF(ISNUMBER(SEARCH("G1",Z1804)),"G1",IF(ISNUMBER(SEARCH("G2",Z1804)),"G2",IF(ISNUMBER(SEARCH("G3",Z1804)),"G3",IF(ISNUMBER(SEARCH("古馬条件",Z1804)),"古馬条件戦",IF(ISNUMBER(SEARCH("重賞",Z1804)),"重賞","分類不能")))))))))</f>
        <v/>
      </c>
    </row>
    <row r="1805" customFormat="false" ht="15.75" hidden="false" customHeight="false" outlineLevel="0" collapsed="false">
      <c r="AO1805" s="8" t="str">
        <f aca="false">IF(A1805="","",IF(COUNTIFS(全馬データ!$A$2:$A$50000,A1805,全馬データ!$B$2:$B$50000,B1805,全馬データ!$C$2:$C$50000,C1805,全馬データ!$D$2:$D$50000,E1805,全馬データ!$K$2:$K$50000,"&lt;&gt;")=0,"",SUMIFS(全馬データ!$K$2:$K$50000,全馬データ!$A$2:$A$50000,A1805,全馬データ!$B$2:$B$50000,B1805,全馬データ!$C$2:$C$50000,C1805,全馬データ!$D$2:$D$50000,E1805)))</f>
        <v/>
      </c>
      <c r="AP1805" s="8" t="str">
        <f aca="false">IF(A1805="","",IF(AO1805="","欠損",IF(AO1805&lt;=1.1,"1.0～1.1",IF(AO1805&lt;1.3,"1.2",IF(AO1805&lt;1.5,"1.3～1.4",IF(AO1805&lt;2,"1.5～1.9","2.0以上"))))))</f>
        <v/>
      </c>
      <c r="AQ1805" s="8" t="str">
        <f aca="false">IF(A1805="","",IF(ISNUMBER(SEARCH("2歳",Z1805)),"2歳戦",IF(ISNUMBER(SEARCH("3歳未勝利",Z1805)),"3歳未勝利",IF(ISNUMBER(SEARCH("未勝利",Z1805)),"その他未勝利",IF(ISNUMBER(SEARCH("G1",Z1805)),"G1",IF(ISNUMBER(SEARCH("G2",Z1805)),"G2",IF(ISNUMBER(SEARCH("G3",Z1805)),"G3",IF(ISNUMBER(SEARCH("古馬条件",Z1805)),"古馬条件戦",IF(ISNUMBER(SEARCH("重賞",Z1805)),"重賞","分類不能")))))))))</f>
        <v/>
      </c>
    </row>
    <row r="1806" customFormat="false" ht="15.75" hidden="false" customHeight="false" outlineLevel="0" collapsed="false">
      <c r="AO1806" s="8" t="str">
        <f aca="false">IF(A1806="","",IF(COUNTIFS(全馬データ!$A$2:$A$50000,A1806,全馬データ!$B$2:$B$50000,B1806,全馬データ!$C$2:$C$50000,C1806,全馬データ!$D$2:$D$50000,E1806,全馬データ!$K$2:$K$50000,"&lt;&gt;")=0,"",SUMIFS(全馬データ!$K$2:$K$50000,全馬データ!$A$2:$A$50000,A1806,全馬データ!$B$2:$B$50000,B1806,全馬データ!$C$2:$C$50000,C1806,全馬データ!$D$2:$D$50000,E1806)))</f>
        <v/>
      </c>
      <c r="AP1806" s="8" t="str">
        <f aca="false">IF(A1806="","",IF(AO1806="","欠損",IF(AO1806&lt;=1.1,"1.0～1.1",IF(AO1806&lt;1.3,"1.2",IF(AO1806&lt;1.5,"1.3～1.4",IF(AO1806&lt;2,"1.5～1.9","2.0以上"))))))</f>
        <v/>
      </c>
      <c r="AQ1806" s="8" t="str">
        <f aca="false">IF(A1806="","",IF(ISNUMBER(SEARCH("2歳",Z1806)),"2歳戦",IF(ISNUMBER(SEARCH("3歳未勝利",Z1806)),"3歳未勝利",IF(ISNUMBER(SEARCH("未勝利",Z1806)),"その他未勝利",IF(ISNUMBER(SEARCH("G1",Z1806)),"G1",IF(ISNUMBER(SEARCH("G2",Z1806)),"G2",IF(ISNUMBER(SEARCH("G3",Z1806)),"G3",IF(ISNUMBER(SEARCH("古馬条件",Z1806)),"古馬条件戦",IF(ISNUMBER(SEARCH("重賞",Z1806)),"重賞","分類不能")))))))))</f>
        <v/>
      </c>
    </row>
    <row r="1807" customFormat="false" ht="15.75" hidden="false" customHeight="false" outlineLevel="0" collapsed="false">
      <c r="AO1807" s="8" t="str">
        <f aca="false">IF(A1807="","",IF(COUNTIFS(全馬データ!$A$2:$A$50000,A1807,全馬データ!$B$2:$B$50000,B1807,全馬データ!$C$2:$C$50000,C1807,全馬データ!$D$2:$D$50000,E1807,全馬データ!$K$2:$K$50000,"&lt;&gt;")=0,"",SUMIFS(全馬データ!$K$2:$K$50000,全馬データ!$A$2:$A$50000,A1807,全馬データ!$B$2:$B$50000,B1807,全馬データ!$C$2:$C$50000,C1807,全馬データ!$D$2:$D$50000,E1807)))</f>
        <v/>
      </c>
      <c r="AP1807" s="8" t="str">
        <f aca="false">IF(A1807="","",IF(AO1807="","欠損",IF(AO1807&lt;=1.1,"1.0～1.1",IF(AO1807&lt;1.3,"1.2",IF(AO1807&lt;1.5,"1.3～1.4",IF(AO1807&lt;2,"1.5～1.9","2.0以上"))))))</f>
        <v/>
      </c>
      <c r="AQ1807" s="8" t="str">
        <f aca="false">IF(A1807="","",IF(ISNUMBER(SEARCH("2歳",Z1807)),"2歳戦",IF(ISNUMBER(SEARCH("3歳未勝利",Z1807)),"3歳未勝利",IF(ISNUMBER(SEARCH("未勝利",Z1807)),"その他未勝利",IF(ISNUMBER(SEARCH("G1",Z1807)),"G1",IF(ISNUMBER(SEARCH("G2",Z1807)),"G2",IF(ISNUMBER(SEARCH("G3",Z1807)),"G3",IF(ISNUMBER(SEARCH("古馬条件",Z1807)),"古馬条件戦",IF(ISNUMBER(SEARCH("重賞",Z1807)),"重賞","分類不能")))))))))</f>
        <v/>
      </c>
    </row>
    <row r="1808" customFormat="false" ht="15.75" hidden="false" customHeight="false" outlineLevel="0" collapsed="false">
      <c r="AO1808" s="8" t="str">
        <f aca="false">IF(A1808="","",IF(COUNTIFS(全馬データ!$A$2:$A$50000,A1808,全馬データ!$B$2:$B$50000,B1808,全馬データ!$C$2:$C$50000,C1808,全馬データ!$D$2:$D$50000,E1808,全馬データ!$K$2:$K$50000,"&lt;&gt;")=0,"",SUMIFS(全馬データ!$K$2:$K$50000,全馬データ!$A$2:$A$50000,A1808,全馬データ!$B$2:$B$50000,B1808,全馬データ!$C$2:$C$50000,C1808,全馬データ!$D$2:$D$50000,E1808)))</f>
        <v/>
      </c>
      <c r="AP1808" s="8" t="str">
        <f aca="false">IF(A1808="","",IF(AO1808="","欠損",IF(AO1808&lt;=1.1,"1.0～1.1",IF(AO1808&lt;1.3,"1.2",IF(AO1808&lt;1.5,"1.3～1.4",IF(AO1808&lt;2,"1.5～1.9","2.0以上"))))))</f>
        <v/>
      </c>
      <c r="AQ1808" s="8" t="str">
        <f aca="false">IF(A1808="","",IF(ISNUMBER(SEARCH("2歳",Z1808)),"2歳戦",IF(ISNUMBER(SEARCH("3歳未勝利",Z1808)),"3歳未勝利",IF(ISNUMBER(SEARCH("未勝利",Z1808)),"その他未勝利",IF(ISNUMBER(SEARCH("G1",Z1808)),"G1",IF(ISNUMBER(SEARCH("G2",Z1808)),"G2",IF(ISNUMBER(SEARCH("G3",Z1808)),"G3",IF(ISNUMBER(SEARCH("古馬条件",Z1808)),"古馬条件戦",IF(ISNUMBER(SEARCH("重賞",Z1808)),"重賞","分類不能")))))))))</f>
        <v/>
      </c>
    </row>
    <row r="1809" customFormat="false" ht="15.75" hidden="false" customHeight="false" outlineLevel="0" collapsed="false">
      <c r="AO1809" s="8" t="str">
        <f aca="false">IF(A1809="","",IF(COUNTIFS(全馬データ!$A$2:$A$50000,A1809,全馬データ!$B$2:$B$50000,B1809,全馬データ!$C$2:$C$50000,C1809,全馬データ!$D$2:$D$50000,E1809,全馬データ!$K$2:$K$50000,"&lt;&gt;")=0,"",SUMIFS(全馬データ!$K$2:$K$50000,全馬データ!$A$2:$A$50000,A1809,全馬データ!$B$2:$B$50000,B1809,全馬データ!$C$2:$C$50000,C1809,全馬データ!$D$2:$D$50000,E1809)))</f>
        <v/>
      </c>
      <c r="AP1809" s="8" t="str">
        <f aca="false">IF(A1809="","",IF(AO1809="","欠損",IF(AO1809&lt;=1.1,"1.0～1.1",IF(AO1809&lt;1.3,"1.2",IF(AO1809&lt;1.5,"1.3～1.4",IF(AO1809&lt;2,"1.5～1.9","2.0以上"))))))</f>
        <v/>
      </c>
      <c r="AQ1809" s="8" t="str">
        <f aca="false">IF(A1809="","",IF(ISNUMBER(SEARCH("2歳",Z1809)),"2歳戦",IF(ISNUMBER(SEARCH("3歳未勝利",Z1809)),"3歳未勝利",IF(ISNUMBER(SEARCH("未勝利",Z1809)),"その他未勝利",IF(ISNUMBER(SEARCH("G1",Z1809)),"G1",IF(ISNUMBER(SEARCH("G2",Z1809)),"G2",IF(ISNUMBER(SEARCH("G3",Z1809)),"G3",IF(ISNUMBER(SEARCH("古馬条件",Z1809)),"古馬条件戦",IF(ISNUMBER(SEARCH("重賞",Z1809)),"重賞","分類不能")))))))))</f>
        <v/>
      </c>
    </row>
    <row r="1810" customFormat="false" ht="15.75" hidden="false" customHeight="false" outlineLevel="0" collapsed="false">
      <c r="AO1810" s="8" t="str">
        <f aca="false">IF(A1810="","",IF(COUNTIFS(全馬データ!$A$2:$A$50000,A1810,全馬データ!$B$2:$B$50000,B1810,全馬データ!$C$2:$C$50000,C1810,全馬データ!$D$2:$D$50000,E1810,全馬データ!$K$2:$K$50000,"&lt;&gt;")=0,"",SUMIFS(全馬データ!$K$2:$K$50000,全馬データ!$A$2:$A$50000,A1810,全馬データ!$B$2:$B$50000,B1810,全馬データ!$C$2:$C$50000,C1810,全馬データ!$D$2:$D$50000,E1810)))</f>
        <v/>
      </c>
      <c r="AP1810" s="8" t="str">
        <f aca="false">IF(A1810="","",IF(AO1810="","欠損",IF(AO1810&lt;=1.1,"1.0～1.1",IF(AO1810&lt;1.3,"1.2",IF(AO1810&lt;1.5,"1.3～1.4",IF(AO1810&lt;2,"1.5～1.9","2.0以上"))))))</f>
        <v/>
      </c>
      <c r="AQ1810" s="8" t="str">
        <f aca="false">IF(A1810="","",IF(ISNUMBER(SEARCH("2歳",Z1810)),"2歳戦",IF(ISNUMBER(SEARCH("3歳未勝利",Z1810)),"3歳未勝利",IF(ISNUMBER(SEARCH("未勝利",Z1810)),"その他未勝利",IF(ISNUMBER(SEARCH("G1",Z1810)),"G1",IF(ISNUMBER(SEARCH("G2",Z1810)),"G2",IF(ISNUMBER(SEARCH("G3",Z1810)),"G3",IF(ISNUMBER(SEARCH("古馬条件",Z1810)),"古馬条件戦",IF(ISNUMBER(SEARCH("重賞",Z1810)),"重賞","分類不能")))))))))</f>
        <v/>
      </c>
    </row>
    <row r="1811" customFormat="false" ht="15.75" hidden="false" customHeight="false" outlineLevel="0" collapsed="false">
      <c r="AO1811" s="8" t="str">
        <f aca="false">IF(A1811="","",IF(COUNTIFS(全馬データ!$A$2:$A$50000,A1811,全馬データ!$B$2:$B$50000,B1811,全馬データ!$C$2:$C$50000,C1811,全馬データ!$D$2:$D$50000,E1811,全馬データ!$K$2:$K$50000,"&lt;&gt;")=0,"",SUMIFS(全馬データ!$K$2:$K$50000,全馬データ!$A$2:$A$50000,A1811,全馬データ!$B$2:$B$50000,B1811,全馬データ!$C$2:$C$50000,C1811,全馬データ!$D$2:$D$50000,E1811)))</f>
        <v/>
      </c>
      <c r="AP1811" s="8" t="str">
        <f aca="false">IF(A1811="","",IF(AO1811="","欠損",IF(AO1811&lt;=1.1,"1.0～1.1",IF(AO1811&lt;1.3,"1.2",IF(AO1811&lt;1.5,"1.3～1.4",IF(AO1811&lt;2,"1.5～1.9","2.0以上"))))))</f>
        <v/>
      </c>
      <c r="AQ1811" s="8" t="str">
        <f aca="false">IF(A1811="","",IF(ISNUMBER(SEARCH("2歳",Z1811)),"2歳戦",IF(ISNUMBER(SEARCH("3歳未勝利",Z1811)),"3歳未勝利",IF(ISNUMBER(SEARCH("未勝利",Z1811)),"その他未勝利",IF(ISNUMBER(SEARCH("G1",Z1811)),"G1",IF(ISNUMBER(SEARCH("G2",Z1811)),"G2",IF(ISNUMBER(SEARCH("G3",Z1811)),"G3",IF(ISNUMBER(SEARCH("古馬条件",Z1811)),"古馬条件戦",IF(ISNUMBER(SEARCH("重賞",Z1811)),"重賞","分類不能")))))))))</f>
        <v/>
      </c>
    </row>
    <row r="1812" customFormat="false" ht="15.75" hidden="false" customHeight="false" outlineLevel="0" collapsed="false">
      <c r="AO1812" s="8" t="str">
        <f aca="false">IF(A1812="","",IF(COUNTIFS(全馬データ!$A$2:$A$50000,A1812,全馬データ!$B$2:$B$50000,B1812,全馬データ!$C$2:$C$50000,C1812,全馬データ!$D$2:$D$50000,E1812,全馬データ!$K$2:$K$50000,"&lt;&gt;")=0,"",SUMIFS(全馬データ!$K$2:$K$50000,全馬データ!$A$2:$A$50000,A1812,全馬データ!$B$2:$B$50000,B1812,全馬データ!$C$2:$C$50000,C1812,全馬データ!$D$2:$D$50000,E1812)))</f>
        <v/>
      </c>
      <c r="AP1812" s="8" t="str">
        <f aca="false">IF(A1812="","",IF(AO1812="","欠損",IF(AO1812&lt;=1.1,"1.0～1.1",IF(AO1812&lt;1.3,"1.2",IF(AO1812&lt;1.5,"1.3～1.4",IF(AO1812&lt;2,"1.5～1.9","2.0以上"))))))</f>
        <v/>
      </c>
      <c r="AQ1812" s="8" t="str">
        <f aca="false">IF(A1812="","",IF(ISNUMBER(SEARCH("2歳",Z1812)),"2歳戦",IF(ISNUMBER(SEARCH("3歳未勝利",Z1812)),"3歳未勝利",IF(ISNUMBER(SEARCH("未勝利",Z1812)),"その他未勝利",IF(ISNUMBER(SEARCH("G1",Z1812)),"G1",IF(ISNUMBER(SEARCH("G2",Z1812)),"G2",IF(ISNUMBER(SEARCH("G3",Z1812)),"G3",IF(ISNUMBER(SEARCH("古馬条件",Z1812)),"古馬条件戦",IF(ISNUMBER(SEARCH("重賞",Z1812)),"重賞","分類不能")))))))))</f>
        <v/>
      </c>
    </row>
    <row r="1813" customFormat="false" ht="15.75" hidden="false" customHeight="false" outlineLevel="0" collapsed="false">
      <c r="AO1813" s="8" t="str">
        <f aca="false">IF(A1813="","",IF(COUNTIFS(全馬データ!$A$2:$A$50000,A1813,全馬データ!$B$2:$B$50000,B1813,全馬データ!$C$2:$C$50000,C1813,全馬データ!$D$2:$D$50000,E1813,全馬データ!$K$2:$K$50000,"&lt;&gt;")=0,"",SUMIFS(全馬データ!$K$2:$K$50000,全馬データ!$A$2:$A$50000,A1813,全馬データ!$B$2:$B$50000,B1813,全馬データ!$C$2:$C$50000,C1813,全馬データ!$D$2:$D$50000,E1813)))</f>
        <v/>
      </c>
      <c r="AP1813" s="8" t="str">
        <f aca="false">IF(A1813="","",IF(AO1813="","欠損",IF(AO1813&lt;=1.1,"1.0～1.1",IF(AO1813&lt;1.3,"1.2",IF(AO1813&lt;1.5,"1.3～1.4",IF(AO1813&lt;2,"1.5～1.9","2.0以上"))))))</f>
        <v/>
      </c>
      <c r="AQ1813" s="8" t="str">
        <f aca="false">IF(A1813="","",IF(ISNUMBER(SEARCH("2歳",Z1813)),"2歳戦",IF(ISNUMBER(SEARCH("3歳未勝利",Z1813)),"3歳未勝利",IF(ISNUMBER(SEARCH("未勝利",Z1813)),"その他未勝利",IF(ISNUMBER(SEARCH("G1",Z1813)),"G1",IF(ISNUMBER(SEARCH("G2",Z1813)),"G2",IF(ISNUMBER(SEARCH("G3",Z1813)),"G3",IF(ISNUMBER(SEARCH("古馬条件",Z1813)),"古馬条件戦",IF(ISNUMBER(SEARCH("重賞",Z1813)),"重賞","分類不能")))))))))</f>
        <v/>
      </c>
    </row>
    <row r="1814" customFormat="false" ht="15.75" hidden="false" customHeight="false" outlineLevel="0" collapsed="false">
      <c r="AO1814" s="8" t="str">
        <f aca="false">IF(A1814="","",IF(COUNTIFS(全馬データ!$A$2:$A$50000,A1814,全馬データ!$B$2:$B$50000,B1814,全馬データ!$C$2:$C$50000,C1814,全馬データ!$D$2:$D$50000,E1814,全馬データ!$K$2:$K$50000,"&lt;&gt;")=0,"",SUMIFS(全馬データ!$K$2:$K$50000,全馬データ!$A$2:$A$50000,A1814,全馬データ!$B$2:$B$50000,B1814,全馬データ!$C$2:$C$50000,C1814,全馬データ!$D$2:$D$50000,E1814)))</f>
        <v/>
      </c>
      <c r="AP1814" s="8" t="str">
        <f aca="false">IF(A1814="","",IF(AO1814="","欠損",IF(AO1814&lt;=1.1,"1.0～1.1",IF(AO1814&lt;1.3,"1.2",IF(AO1814&lt;1.5,"1.3～1.4",IF(AO1814&lt;2,"1.5～1.9","2.0以上"))))))</f>
        <v/>
      </c>
      <c r="AQ1814" s="8" t="str">
        <f aca="false">IF(A1814="","",IF(ISNUMBER(SEARCH("2歳",Z1814)),"2歳戦",IF(ISNUMBER(SEARCH("3歳未勝利",Z1814)),"3歳未勝利",IF(ISNUMBER(SEARCH("未勝利",Z1814)),"その他未勝利",IF(ISNUMBER(SEARCH("G1",Z1814)),"G1",IF(ISNUMBER(SEARCH("G2",Z1814)),"G2",IF(ISNUMBER(SEARCH("G3",Z1814)),"G3",IF(ISNUMBER(SEARCH("古馬条件",Z1814)),"古馬条件戦",IF(ISNUMBER(SEARCH("重賞",Z1814)),"重賞","分類不能")))))))))</f>
        <v/>
      </c>
    </row>
    <row r="1815" customFormat="false" ht="15.75" hidden="false" customHeight="false" outlineLevel="0" collapsed="false">
      <c r="AO1815" s="8" t="str">
        <f aca="false">IF(A1815="","",IF(COUNTIFS(全馬データ!$A$2:$A$50000,A1815,全馬データ!$B$2:$B$50000,B1815,全馬データ!$C$2:$C$50000,C1815,全馬データ!$D$2:$D$50000,E1815,全馬データ!$K$2:$K$50000,"&lt;&gt;")=0,"",SUMIFS(全馬データ!$K$2:$K$50000,全馬データ!$A$2:$A$50000,A1815,全馬データ!$B$2:$B$50000,B1815,全馬データ!$C$2:$C$50000,C1815,全馬データ!$D$2:$D$50000,E1815)))</f>
        <v/>
      </c>
      <c r="AP1815" s="8" t="str">
        <f aca="false">IF(A1815="","",IF(AO1815="","欠損",IF(AO1815&lt;=1.1,"1.0～1.1",IF(AO1815&lt;1.3,"1.2",IF(AO1815&lt;1.5,"1.3～1.4",IF(AO1815&lt;2,"1.5～1.9","2.0以上"))))))</f>
        <v/>
      </c>
      <c r="AQ1815" s="8" t="str">
        <f aca="false">IF(A1815="","",IF(ISNUMBER(SEARCH("2歳",Z1815)),"2歳戦",IF(ISNUMBER(SEARCH("3歳未勝利",Z1815)),"3歳未勝利",IF(ISNUMBER(SEARCH("未勝利",Z1815)),"その他未勝利",IF(ISNUMBER(SEARCH("G1",Z1815)),"G1",IF(ISNUMBER(SEARCH("G2",Z1815)),"G2",IF(ISNUMBER(SEARCH("G3",Z1815)),"G3",IF(ISNUMBER(SEARCH("古馬条件",Z1815)),"古馬条件戦",IF(ISNUMBER(SEARCH("重賞",Z1815)),"重賞","分類不能")))))))))</f>
        <v/>
      </c>
    </row>
    <row r="1816" customFormat="false" ht="15.75" hidden="false" customHeight="false" outlineLevel="0" collapsed="false">
      <c r="AO1816" s="8" t="str">
        <f aca="false">IF(A1816="","",IF(COUNTIFS(全馬データ!$A$2:$A$50000,A1816,全馬データ!$B$2:$B$50000,B1816,全馬データ!$C$2:$C$50000,C1816,全馬データ!$D$2:$D$50000,E1816,全馬データ!$K$2:$K$50000,"&lt;&gt;")=0,"",SUMIFS(全馬データ!$K$2:$K$50000,全馬データ!$A$2:$A$50000,A1816,全馬データ!$B$2:$B$50000,B1816,全馬データ!$C$2:$C$50000,C1816,全馬データ!$D$2:$D$50000,E1816)))</f>
        <v/>
      </c>
      <c r="AP1816" s="8" t="str">
        <f aca="false">IF(A1816="","",IF(AO1816="","欠損",IF(AO1816&lt;=1.1,"1.0～1.1",IF(AO1816&lt;1.3,"1.2",IF(AO1816&lt;1.5,"1.3～1.4",IF(AO1816&lt;2,"1.5～1.9","2.0以上"))))))</f>
        <v/>
      </c>
      <c r="AQ1816" s="8" t="str">
        <f aca="false">IF(A1816="","",IF(ISNUMBER(SEARCH("2歳",Z1816)),"2歳戦",IF(ISNUMBER(SEARCH("3歳未勝利",Z1816)),"3歳未勝利",IF(ISNUMBER(SEARCH("未勝利",Z1816)),"その他未勝利",IF(ISNUMBER(SEARCH("G1",Z1816)),"G1",IF(ISNUMBER(SEARCH("G2",Z1816)),"G2",IF(ISNUMBER(SEARCH("G3",Z1816)),"G3",IF(ISNUMBER(SEARCH("古馬条件",Z1816)),"古馬条件戦",IF(ISNUMBER(SEARCH("重賞",Z1816)),"重賞","分類不能")))))))))</f>
        <v/>
      </c>
    </row>
    <row r="1817" customFormat="false" ht="15.75" hidden="false" customHeight="false" outlineLevel="0" collapsed="false">
      <c r="AO1817" s="8" t="str">
        <f aca="false">IF(A1817="","",IF(COUNTIFS(全馬データ!$A$2:$A$50000,A1817,全馬データ!$B$2:$B$50000,B1817,全馬データ!$C$2:$C$50000,C1817,全馬データ!$D$2:$D$50000,E1817,全馬データ!$K$2:$K$50000,"&lt;&gt;")=0,"",SUMIFS(全馬データ!$K$2:$K$50000,全馬データ!$A$2:$A$50000,A1817,全馬データ!$B$2:$B$50000,B1817,全馬データ!$C$2:$C$50000,C1817,全馬データ!$D$2:$D$50000,E1817)))</f>
        <v/>
      </c>
      <c r="AP1817" s="8" t="str">
        <f aca="false">IF(A1817="","",IF(AO1817="","欠損",IF(AO1817&lt;=1.1,"1.0～1.1",IF(AO1817&lt;1.3,"1.2",IF(AO1817&lt;1.5,"1.3～1.4",IF(AO1817&lt;2,"1.5～1.9","2.0以上"))))))</f>
        <v/>
      </c>
      <c r="AQ1817" s="8" t="str">
        <f aca="false">IF(A1817="","",IF(ISNUMBER(SEARCH("2歳",Z1817)),"2歳戦",IF(ISNUMBER(SEARCH("3歳未勝利",Z1817)),"3歳未勝利",IF(ISNUMBER(SEARCH("未勝利",Z1817)),"その他未勝利",IF(ISNUMBER(SEARCH("G1",Z1817)),"G1",IF(ISNUMBER(SEARCH("G2",Z1817)),"G2",IF(ISNUMBER(SEARCH("G3",Z1817)),"G3",IF(ISNUMBER(SEARCH("古馬条件",Z1817)),"古馬条件戦",IF(ISNUMBER(SEARCH("重賞",Z1817)),"重賞","分類不能")))))))))</f>
        <v/>
      </c>
    </row>
    <row r="1818" customFormat="false" ht="15.75" hidden="false" customHeight="false" outlineLevel="0" collapsed="false">
      <c r="AO1818" s="8" t="str">
        <f aca="false">IF(A1818="","",IF(COUNTIFS(全馬データ!$A$2:$A$50000,A1818,全馬データ!$B$2:$B$50000,B1818,全馬データ!$C$2:$C$50000,C1818,全馬データ!$D$2:$D$50000,E1818,全馬データ!$K$2:$K$50000,"&lt;&gt;")=0,"",SUMIFS(全馬データ!$K$2:$K$50000,全馬データ!$A$2:$A$50000,A1818,全馬データ!$B$2:$B$50000,B1818,全馬データ!$C$2:$C$50000,C1818,全馬データ!$D$2:$D$50000,E1818)))</f>
        <v/>
      </c>
      <c r="AP1818" s="8" t="str">
        <f aca="false">IF(A1818="","",IF(AO1818="","欠損",IF(AO1818&lt;=1.1,"1.0～1.1",IF(AO1818&lt;1.3,"1.2",IF(AO1818&lt;1.5,"1.3～1.4",IF(AO1818&lt;2,"1.5～1.9","2.0以上"))))))</f>
        <v/>
      </c>
      <c r="AQ1818" s="8" t="str">
        <f aca="false">IF(A1818="","",IF(ISNUMBER(SEARCH("2歳",Z1818)),"2歳戦",IF(ISNUMBER(SEARCH("3歳未勝利",Z1818)),"3歳未勝利",IF(ISNUMBER(SEARCH("未勝利",Z1818)),"その他未勝利",IF(ISNUMBER(SEARCH("G1",Z1818)),"G1",IF(ISNUMBER(SEARCH("G2",Z1818)),"G2",IF(ISNUMBER(SEARCH("G3",Z1818)),"G3",IF(ISNUMBER(SEARCH("古馬条件",Z1818)),"古馬条件戦",IF(ISNUMBER(SEARCH("重賞",Z1818)),"重賞","分類不能")))))))))</f>
        <v/>
      </c>
    </row>
    <row r="1819" customFormat="false" ht="15.75" hidden="false" customHeight="false" outlineLevel="0" collapsed="false">
      <c r="AO1819" s="8" t="str">
        <f aca="false">IF(A1819="","",IF(COUNTIFS(全馬データ!$A$2:$A$50000,A1819,全馬データ!$B$2:$B$50000,B1819,全馬データ!$C$2:$C$50000,C1819,全馬データ!$D$2:$D$50000,E1819,全馬データ!$K$2:$K$50000,"&lt;&gt;")=0,"",SUMIFS(全馬データ!$K$2:$K$50000,全馬データ!$A$2:$A$50000,A1819,全馬データ!$B$2:$B$50000,B1819,全馬データ!$C$2:$C$50000,C1819,全馬データ!$D$2:$D$50000,E1819)))</f>
        <v/>
      </c>
      <c r="AP1819" s="8" t="str">
        <f aca="false">IF(A1819="","",IF(AO1819="","欠損",IF(AO1819&lt;=1.1,"1.0～1.1",IF(AO1819&lt;1.3,"1.2",IF(AO1819&lt;1.5,"1.3～1.4",IF(AO1819&lt;2,"1.5～1.9","2.0以上"))))))</f>
        <v/>
      </c>
      <c r="AQ1819" s="8" t="str">
        <f aca="false">IF(A1819="","",IF(ISNUMBER(SEARCH("2歳",Z1819)),"2歳戦",IF(ISNUMBER(SEARCH("3歳未勝利",Z1819)),"3歳未勝利",IF(ISNUMBER(SEARCH("未勝利",Z1819)),"その他未勝利",IF(ISNUMBER(SEARCH("G1",Z1819)),"G1",IF(ISNUMBER(SEARCH("G2",Z1819)),"G2",IF(ISNUMBER(SEARCH("G3",Z1819)),"G3",IF(ISNUMBER(SEARCH("古馬条件",Z1819)),"古馬条件戦",IF(ISNUMBER(SEARCH("重賞",Z1819)),"重賞","分類不能")))))))))</f>
        <v/>
      </c>
    </row>
    <row r="1820" customFormat="false" ht="15.75" hidden="false" customHeight="false" outlineLevel="0" collapsed="false">
      <c r="AO1820" s="8" t="str">
        <f aca="false">IF(A1820="","",IF(COUNTIFS(全馬データ!$A$2:$A$50000,A1820,全馬データ!$B$2:$B$50000,B1820,全馬データ!$C$2:$C$50000,C1820,全馬データ!$D$2:$D$50000,E1820,全馬データ!$K$2:$K$50000,"&lt;&gt;")=0,"",SUMIFS(全馬データ!$K$2:$K$50000,全馬データ!$A$2:$A$50000,A1820,全馬データ!$B$2:$B$50000,B1820,全馬データ!$C$2:$C$50000,C1820,全馬データ!$D$2:$D$50000,E1820)))</f>
        <v/>
      </c>
      <c r="AP1820" s="8" t="str">
        <f aca="false">IF(A1820="","",IF(AO1820="","欠損",IF(AO1820&lt;=1.1,"1.0～1.1",IF(AO1820&lt;1.3,"1.2",IF(AO1820&lt;1.5,"1.3～1.4",IF(AO1820&lt;2,"1.5～1.9","2.0以上"))))))</f>
        <v/>
      </c>
      <c r="AQ1820" s="8" t="str">
        <f aca="false">IF(A1820="","",IF(ISNUMBER(SEARCH("2歳",Z1820)),"2歳戦",IF(ISNUMBER(SEARCH("3歳未勝利",Z1820)),"3歳未勝利",IF(ISNUMBER(SEARCH("未勝利",Z1820)),"その他未勝利",IF(ISNUMBER(SEARCH("G1",Z1820)),"G1",IF(ISNUMBER(SEARCH("G2",Z1820)),"G2",IF(ISNUMBER(SEARCH("G3",Z1820)),"G3",IF(ISNUMBER(SEARCH("古馬条件",Z1820)),"古馬条件戦",IF(ISNUMBER(SEARCH("重賞",Z1820)),"重賞","分類不能")))))))))</f>
        <v/>
      </c>
    </row>
    <row r="1821" customFormat="false" ht="15.75" hidden="false" customHeight="false" outlineLevel="0" collapsed="false">
      <c r="AO1821" s="8" t="str">
        <f aca="false">IF(A1821="","",IF(COUNTIFS(全馬データ!$A$2:$A$50000,A1821,全馬データ!$B$2:$B$50000,B1821,全馬データ!$C$2:$C$50000,C1821,全馬データ!$D$2:$D$50000,E1821,全馬データ!$K$2:$K$50000,"&lt;&gt;")=0,"",SUMIFS(全馬データ!$K$2:$K$50000,全馬データ!$A$2:$A$50000,A1821,全馬データ!$B$2:$B$50000,B1821,全馬データ!$C$2:$C$50000,C1821,全馬データ!$D$2:$D$50000,E1821)))</f>
        <v/>
      </c>
      <c r="AP1821" s="8" t="str">
        <f aca="false">IF(A1821="","",IF(AO1821="","欠損",IF(AO1821&lt;=1.1,"1.0～1.1",IF(AO1821&lt;1.3,"1.2",IF(AO1821&lt;1.5,"1.3～1.4",IF(AO1821&lt;2,"1.5～1.9","2.0以上"))))))</f>
        <v/>
      </c>
      <c r="AQ1821" s="8" t="str">
        <f aca="false">IF(A1821="","",IF(ISNUMBER(SEARCH("2歳",Z1821)),"2歳戦",IF(ISNUMBER(SEARCH("3歳未勝利",Z1821)),"3歳未勝利",IF(ISNUMBER(SEARCH("未勝利",Z1821)),"その他未勝利",IF(ISNUMBER(SEARCH("G1",Z1821)),"G1",IF(ISNUMBER(SEARCH("G2",Z1821)),"G2",IF(ISNUMBER(SEARCH("G3",Z1821)),"G3",IF(ISNUMBER(SEARCH("古馬条件",Z1821)),"古馬条件戦",IF(ISNUMBER(SEARCH("重賞",Z1821)),"重賞","分類不能")))))))))</f>
        <v/>
      </c>
    </row>
    <row r="1822" customFormat="false" ht="15.75" hidden="false" customHeight="false" outlineLevel="0" collapsed="false">
      <c r="AO1822" s="8" t="str">
        <f aca="false">IF(A1822="","",IF(COUNTIFS(全馬データ!$A$2:$A$50000,A1822,全馬データ!$B$2:$B$50000,B1822,全馬データ!$C$2:$C$50000,C1822,全馬データ!$D$2:$D$50000,E1822,全馬データ!$K$2:$K$50000,"&lt;&gt;")=0,"",SUMIFS(全馬データ!$K$2:$K$50000,全馬データ!$A$2:$A$50000,A1822,全馬データ!$B$2:$B$50000,B1822,全馬データ!$C$2:$C$50000,C1822,全馬データ!$D$2:$D$50000,E1822)))</f>
        <v/>
      </c>
      <c r="AP1822" s="8" t="str">
        <f aca="false">IF(A1822="","",IF(AO1822="","欠損",IF(AO1822&lt;=1.1,"1.0～1.1",IF(AO1822&lt;1.3,"1.2",IF(AO1822&lt;1.5,"1.3～1.4",IF(AO1822&lt;2,"1.5～1.9","2.0以上"))))))</f>
        <v/>
      </c>
      <c r="AQ1822" s="8" t="str">
        <f aca="false">IF(A1822="","",IF(ISNUMBER(SEARCH("2歳",Z1822)),"2歳戦",IF(ISNUMBER(SEARCH("3歳未勝利",Z1822)),"3歳未勝利",IF(ISNUMBER(SEARCH("未勝利",Z1822)),"その他未勝利",IF(ISNUMBER(SEARCH("G1",Z1822)),"G1",IF(ISNUMBER(SEARCH("G2",Z1822)),"G2",IF(ISNUMBER(SEARCH("G3",Z1822)),"G3",IF(ISNUMBER(SEARCH("古馬条件",Z1822)),"古馬条件戦",IF(ISNUMBER(SEARCH("重賞",Z1822)),"重賞","分類不能")))))))))</f>
        <v/>
      </c>
    </row>
    <row r="1823" customFormat="false" ht="15.75" hidden="false" customHeight="false" outlineLevel="0" collapsed="false">
      <c r="AO1823" s="8" t="str">
        <f aca="false">IF(A1823="","",IF(COUNTIFS(全馬データ!$A$2:$A$50000,A1823,全馬データ!$B$2:$B$50000,B1823,全馬データ!$C$2:$C$50000,C1823,全馬データ!$D$2:$D$50000,E1823,全馬データ!$K$2:$K$50000,"&lt;&gt;")=0,"",SUMIFS(全馬データ!$K$2:$K$50000,全馬データ!$A$2:$A$50000,A1823,全馬データ!$B$2:$B$50000,B1823,全馬データ!$C$2:$C$50000,C1823,全馬データ!$D$2:$D$50000,E1823)))</f>
        <v/>
      </c>
      <c r="AP1823" s="8" t="str">
        <f aca="false">IF(A1823="","",IF(AO1823="","欠損",IF(AO1823&lt;=1.1,"1.0～1.1",IF(AO1823&lt;1.3,"1.2",IF(AO1823&lt;1.5,"1.3～1.4",IF(AO1823&lt;2,"1.5～1.9","2.0以上"))))))</f>
        <v/>
      </c>
      <c r="AQ1823" s="8" t="str">
        <f aca="false">IF(A1823="","",IF(ISNUMBER(SEARCH("2歳",Z1823)),"2歳戦",IF(ISNUMBER(SEARCH("3歳未勝利",Z1823)),"3歳未勝利",IF(ISNUMBER(SEARCH("未勝利",Z1823)),"その他未勝利",IF(ISNUMBER(SEARCH("G1",Z1823)),"G1",IF(ISNUMBER(SEARCH("G2",Z1823)),"G2",IF(ISNUMBER(SEARCH("G3",Z1823)),"G3",IF(ISNUMBER(SEARCH("古馬条件",Z1823)),"古馬条件戦",IF(ISNUMBER(SEARCH("重賞",Z1823)),"重賞","分類不能")))))))))</f>
        <v/>
      </c>
    </row>
    <row r="1824" customFormat="false" ht="15.75" hidden="false" customHeight="false" outlineLevel="0" collapsed="false">
      <c r="AO1824" s="8" t="str">
        <f aca="false">IF(A1824="","",IF(COUNTIFS(全馬データ!$A$2:$A$50000,A1824,全馬データ!$B$2:$B$50000,B1824,全馬データ!$C$2:$C$50000,C1824,全馬データ!$D$2:$D$50000,E1824,全馬データ!$K$2:$K$50000,"&lt;&gt;")=0,"",SUMIFS(全馬データ!$K$2:$K$50000,全馬データ!$A$2:$A$50000,A1824,全馬データ!$B$2:$B$50000,B1824,全馬データ!$C$2:$C$50000,C1824,全馬データ!$D$2:$D$50000,E1824)))</f>
        <v/>
      </c>
      <c r="AP1824" s="8" t="str">
        <f aca="false">IF(A1824="","",IF(AO1824="","欠損",IF(AO1824&lt;=1.1,"1.0～1.1",IF(AO1824&lt;1.3,"1.2",IF(AO1824&lt;1.5,"1.3～1.4",IF(AO1824&lt;2,"1.5～1.9","2.0以上"))))))</f>
        <v/>
      </c>
      <c r="AQ1824" s="8" t="str">
        <f aca="false">IF(A1824="","",IF(ISNUMBER(SEARCH("2歳",Z1824)),"2歳戦",IF(ISNUMBER(SEARCH("3歳未勝利",Z1824)),"3歳未勝利",IF(ISNUMBER(SEARCH("未勝利",Z1824)),"その他未勝利",IF(ISNUMBER(SEARCH("G1",Z1824)),"G1",IF(ISNUMBER(SEARCH("G2",Z1824)),"G2",IF(ISNUMBER(SEARCH("G3",Z1824)),"G3",IF(ISNUMBER(SEARCH("古馬条件",Z1824)),"古馬条件戦",IF(ISNUMBER(SEARCH("重賞",Z1824)),"重賞","分類不能")))))))))</f>
        <v/>
      </c>
    </row>
    <row r="1825" customFormat="false" ht="15.75" hidden="false" customHeight="false" outlineLevel="0" collapsed="false">
      <c r="AO1825" s="8" t="str">
        <f aca="false">IF(A1825="","",IF(COUNTIFS(全馬データ!$A$2:$A$50000,A1825,全馬データ!$B$2:$B$50000,B1825,全馬データ!$C$2:$C$50000,C1825,全馬データ!$D$2:$D$50000,E1825,全馬データ!$K$2:$K$50000,"&lt;&gt;")=0,"",SUMIFS(全馬データ!$K$2:$K$50000,全馬データ!$A$2:$A$50000,A1825,全馬データ!$B$2:$B$50000,B1825,全馬データ!$C$2:$C$50000,C1825,全馬データ!$D$2:$D$50000,E1825)))</f>
        <v/>
      </c>
      <c r="AP1825" s="8" t="str">
        <f aca="false">IF(A1825="","",IF(AO1825="","欠損",IF(AO1825&lt;=1.1,"1.0～1.1",IF(AO1825&lt;1.3,"1.2",IF(AO1825&lt;1.5,"1.3～1.4",IF(AO1825&lt;2,"1.5～1.9","2.0以上"))))))</f>
        <v/>
      </c>
      <c r="AQ1825" s="8" t="str">
        <f aca="false">IF(A1825="","",IF(ISNUMBER(SEARCH("2歳",Z1825)),"2歳戦",IF(ISNUMBER(SEARCH("3歳未勝利",Z1825)),"3歳未勝利",IF(ISNUMBER(SEARCH("未勝利",Z1825)),"その他未勝利",IF(ISNUMBER(SEARCH("G1",Z1825)),"G1",IF(ISNUMBER(SEARCH("G2",Z1825)),"G2",IF(ISNUMBER(SEARCH("G3",Z1825)),"G3",IF(ISNUMBER(SEARCH("古馬条件",Z1825)),"古馬条件戦",IF(ISNUMBER(SEARCH("重賞",Z1825)),"重賞","分類不能")))))))))</f>
        <v/>
      </c>
    </row>
    <row r="1826" customFormat="false" ht="15.75" hidden="false" customHeight="false" outlineLevel="0" collapsed="false">
      <c r="AO1826" s="8" t="str">
        <f aca="false">IF(A1826="","",IF(COUNTIFS(全馬データ!$A$2:$A$50000,A1826,全馬データ!$B$2:$B$50000,B1826,全馬データ!$C$2:$C$50000,C1826,全馬データ!$D$2:$D$50000,E1826,全馬データ!$K$2:$K$50000,"&lt;&gt;")=0,"",SUMIFS(全馬データ!$K$2:$K$50000,全馬データ!$A$2:$A$50000,A1826,全馬データ!$B$2:$B$50000,B1826,全馬データ!$C$2:$C$50000,C1826,全馬データ!$D$2:$D$50000,E1826)))</f>
        <v/>
      </c>
      <c r="AP1826" s="8" t="str">
        <f aca="false">IF(A1826="","",IF(AO1826="","欠損",IF(AO1826&lt;=1.1,"1.0～1.1",IF(AO1826&lt;1.3,"1.2",IF(AO1826&lt;1.5,"1.3～1.4",IF(AO1826&lt;2,"1.5～1.9","2.0以上"))))))</f>
        <v/>
      </c>
      <c r="AQ1826" s="8" t="str">
        <f aca="false">IF(A1826="","",IF(ISNUMBER(SEARCH("2歳",Z1826)),"2歳戦",IF(ISNUMBER(SEARCH("3歳未勝利",Z1826)),"3歳未勝利",IF(ISNUMBER(SEARCH("未勝利",Z1826)),"その他未勝利",IF(ISNUMBER(SEARCH("G1",Z1826)),"G1",IF(ISNUMBER(SEARCH("G2",Z1826)),"G2",IF(ISNUMBER(SEARCH("G3",Z1826)),"G3",IF(ISNUMBER(SEARCH("古馬条件",Z1826)),"古馬条件戦",IF(ISNUMBER(SEARCH("重賞",Z1826)),"重賞","分類不能")))))))))</f>
        <v/>
      </c>
    </row>
    <row r="1827" customFormat="false" ht="15.75" hidden="false" customHeight="false" outlineLevel="0" collapsed="false">
      <c r="AO1827" s="8" t="str">
        <f aca="false">IF(A1827="","",IF(COUNTIFS(全馬データ!$A$2:$A$50000,A1827,全馬データ!$B$2:$B$50000,B1827,全馬データ!$C$2:$C$50000,C1827,全馬データ!$D$2:$D$50000,E1827,全馬データ!$K$2:$K$50000,"&lt;&gt;")=0,"",SUMIFS(全馬データ!$K$2:$K$50000,全馬データ!$A$2:$A$50000,A1827,全馬データ!$B$2:$B$50000,B1827,全馬データ!$C$2:$C$50000,C1827,全馬データ!$D$2:$D$50000,E1827)))</f>
        <v/>
      </c>
      <c r="AP1827" s="8" t="str">
        <f aca="false">IF(A1827="","",IF(AO1827="","欠損",IF(AO1827&lt;=1.1,"1.0～1.1",IF(AO1827&lt;1.3,"1.2",IF(AO1827&lt;1.5,"1.3～1.4",IF(AO1827&lt;2,"1.5～1.9","2.0以上"))))))</f>
        <v/>
      </c>
      <c r="AQ1827" s="8" t="str">
        <f aca="false">IF(A1827="","",IF(ISNUMBER(SEARCH("2歳",Z1827)),"2歳戦",IF(ISNUMBER(SEARCH("3歳未勝利",Z1827)),"3歳未勝利",IF(ISNUMBER(SEARCH("未勝利",Z1827)),"その他未勝利",IF(ISNUMBER(SEARCH("G1",Z1827)),"G1",IF(ISNUMBER(SEARCH("G2",Z1827)),"G2",IF(ISNUMBER(SEARCH("G3",Z1827)),"G3",IF(ISNUMBER(SEARCH("古馬条件",Z1827)),"古馬条件戦",IF(ISNUMBER(SEARCH("重賞",Z1827)),"重賞","分類不能")))))))))</f>
        <v/>
      </c>
    </row>
    <row r="1828" customFormat="false" ht="15.75" hidden="false" customHeight="false" outlineLevel="0" collapsed="false">
      <c r="AO1828" s="8" t="str">
        <f aca="false">IF(A1828="","",IF(COUNTIFS(全馬データ!$A$2:$A$50000,A1828,全馬データ!$B$2:$B$50000,B1828,全馬データ!$C$2:$C$50000,C1828,全馬データ!$D$2:$D$50000,E1828,全馬データ!$K$2:$K$50000,"&lt;&gt;")=0,"",SUMIFS(全馬データ!$K$2:$K$50000,全馬データ!$A$2:$A$50000,A1828,全馬データ!$B$2:$B$50000,B1828,全馬データ!$C$2:$C$50000,C1828,全馬データ!$D$2:$D$50000,E1828)))</f>
        <v/>
      </c>
      <c r="AP1828" s="8" t="str">
        <f aca="false">IF(A1828="","",IF(AO1828="","欠損",IF(AO1828&lt;=1.1,"1.0～1.1",IF(AO1828&lt;1.3,"1.2",IF(AO1828&lt;1.5,"1.3～1.4",IF(AO1828&lt;2,"1.5～1.9","2.0以上"))))))</f>
        <v/>
      </c>
      <c r="AQ1828" s="8" t="str">
        <f aca="false">IF(A1828="","",IF(ISNUMBER(SEARCH("2歳",Z1828)),"2歳戦",IF(ISNUMBER(SEARCH("3歳未勝利",Z1828)),"3歳未勝利",IF(ISNUMBER(SEARCH("未勝利",Z1828)),"その他未勝利",IF(ISNUMBER(SEARCH("G1",Z1828)),"G1",IF(ISNUMBER(SEARCH("G2",Z1828)),"G2",IF(ISNUMBER(SEARCH("G3",Z1828)),"G3",IF(ISNUMBER(SEARCH("古馬条件",Z1828)),"古馬条件戦",IF(ISNUMBER(SEARCH("重賞",Z1828)),"重賞","分類不能")))))))))</f>
        <v/>
      </c>
    </row>
    <row r="1829" customFormat="false" ht="15.75" hidden="false" customHeight="false" outlineLevel="0" collapsed="false">
      <c r="AO1829" s="8" t="str">
        <f aca="false">IF(A1829="","",IF(COUNTIFS(全馬データ!$A$2:$A$50000,A1829,全馬データ!$B$2:$B$50000,B1829,全馬データ!$C$2:$C$50000,C1829,全馬データ!$D$2:$D$50000,E1829,全馬データ!$K$2:$K$50000,"&lt;&gt;")=0,"",SUMIFS(全馬データ!$K$2:$K$50000,全馬データ!$A$2:$A$50000,A1829,全馬データ!$B$2:$B$50000,B1829,全馬データ!$C$2:$C$50000,C1829,全馬データ!$D$2:$D$50000,E1829)))</f>
        <v/>
      </c>
      <c r="AP1829" s="8" t="str">
        <f aca="false">IF(A1829="","",IF(AO1829="","欠損",IF(AO1829&lt;=1.1,"1.0～1.1",IF(AO1829&lt;1.3,"1.2",IF(AO1829&lt;1.5,"1.3～1.4",IF(AO1829&lt;2,"1.5～1.9","2.0以上"))))))</f>
        <v/>
      </c>
      <c r="AQ1829" s="8" t="str">
        <f aca="false">IF(A1829="","",IF(ISNUMBER(SEARCH("2歳",Z1829)),"2歳戦",IF(ISNUMBER(SEARCH("3歳未勝利",Z1829)),"3歳未勝利",IF(ISNUMBER(SEARCH("未勝利",Z1829)),"その他未勝利",IF(ISNUMBER(SEARCH("G1",Z1829)),"G1",IF(ISNUMBER(SEARCH("G2",Z1829)),"G2",IF(ISNUMBER(SEARCH("G3",Z1829)),"G3",IF(ISNUMBER(SEARCH("古馬条件",Z1829)),"古馬条件戦",IF(ISNUMBER(SEARCH("重賞",Z1829)),"重賞","分類不能")))))))))</f>
        <v/>
      </c>
    </row>
    <row r="1830" customFormat="false" ht="15.75" hidden="false" customHeight="false" outlineLevel="0" collapsed="false">
      <c r="AO1830" s="8" t="str">
        <f aca="false">IF(A1830="","",IF(COUNTIFS(全馬データ!$A$2:$A$50000,A1830,全馬データ!$B$2:$B$50000,B1830,全馬データ!$C$2:$C$50000,C1830,全馬データ!$D$2:$D$50000,E1830,全馬データ!$K$2:$K$50000,"&lt;&gt;")=0,"",SUMIFS(全馬データ!$K$2:$K$50000,全馬データ!$A$2:$A$50000,A1830,全馬データ!$B$2:$B$50000,B1830,全馬データ!$C$2:$C$50000,C1830,全馬データ!$D$2:$D$50000,E1830)))</f>
        <v/>
      </c>
      <c r="AP1830" s="8" t="str">
        <f aca="false">IF(A1830="","",IF(AO1830="","欠損",IF(AO1830&lt;=1.1,"1.0～1.1",IF(AO1830&lt;1.3,"1.2",IF(AO1830&lt;1.5,"1.3～1.4",IF(AO1830&lt;2,"1.5～1.9","2.0以上"))))))</f>
        <v/>
      </c>
      <c r="AQ1830" s="8" t="str">
        <f aca="false">IF(A1830="","",IF(ISNUMBER(SEARCH("2歳",Z1830)),"2歳戦",IF(ISNUMBER(SEARCH("3歳未勝利",Z1830)),"3歳未勝利",IF(ISNUMBER(SEARCH("未勝利",Z1830)),"その他未勝利",IF(ISNUMBER(SEARCH("G1",Z1830)),"G1",IF(ISNUMBER(SEARCH("G2",Z1830)),"G2",IF(ISNUMBER(SEARCH("G3",Z1830)),"G3",IF(ISNUMBER(SEARCH("古馬条件",Z1830)),"古馬条件戦",IF(ISNUMBER(SEARCH("重賞",Z1830)),"重賞","分類不能")))))))))</f>
        <v/>
      </c>
    </row>
    <row r="1831" customFormat="false" ht="15.75" hidden="false" customHeight="false" outlineLevel="0" collapsed="false">
      <c r="AO1831" s="8" t="str">
        <f aca="false">IF(A1831="","",IF(COUNTIFS(全馬データ!$A$2:$A$50000,A1831,全馬データ!$B$2:$B$50000,B1831,全馬データ!$C$2:$C$50000,C1831,全馬データ!$D$2:$D$50000,E1831,全馬データ!$K$2:$K$50000,"&lt;&gt;")=0,"",SUMIFS(全馬データ!$K$2:$K$50000,全馬データ!$A$2:$A$50000,A1831,全馬データ!$B$2:$B$50000,B1831,全馬データ!$C$2:$C$50000,C1831,全馬データ!$D$2:$D$50000,E1831)))</f>
        <v/>
      </c>
      <c r="AP1831" s="8" t="str">
        <f aca="false">IF(A1831="","",IF(AO1831="","欠損",IF(AO1831&lt;=1.1,"1.0～1.1",IF(AO1831&lt;1.3,"1.2",IF(AO1831&lt;1.5,"1.3～1.4",IF(AO1831&lt;2,"1.5～1.9","2.0以上"))))))</f>
        <v/>
      </c>
      <c r="AQ1831" s="8" t="str">
        <f aca="false">IF(A1831="","",IF(ISNUMBER(SEARCH("2歳",Z1831)),"2歳戦",IF(ISNUMBER(SEARCH("3歳未勝利",Z1831)),"3歳未勝利",IF(ISNUMBER(SEARCH("未勝利",Z1831)),"その他未勝利",IF(ISNUMBER(SEARCH("G1",Z1831)),"G1",IF(ISNUMBER(SEARCH("G2",Z1831)),"G2",IF(ISNUMBER(SEARCH("G3",Z1831)),"G3",IF(ISNUMBER(SEARCH("古馬条件",Z1831)),"古馬条件戦",IF(ISNUMBER(SEARCH("重賞",Z1831)),"重賞","分類不能")))))))))</f>
        <v/>
      </c>
    </row>
    <row r="1832" customFormat="false" ht="15.75" hidden="false" customHeight="false" outlineLevel="0" collapsed="false">
      <c r="AO1832" s="8" t="str">
        <f aca="false">IF(A1832="","",IF(COUNTIFS(全馬データ!$A$2:$A$50000,A1832,全馬データ!$B$2:$B$50000,B1832,全馬データ!$C$2:$C$50000,C1832,全馬データ!$D$2:$D$50000,E1832,全馬データ!$K$2:$K$50000,"&lt;&gt;")=0,"",SUMIFS(全馬データ!$K$2:$K$50000,全馬データ!$A$2:$A$50000,A1832,全馬データ!$B$2:$B$50000,B1832,全馬データ!$C$2:$C$50000,C1832,全馬データ!$D$2:$D$50000,E1832)))</f>
        <v/>
      </c>
      <c r="AP1832" s="8" t="str">
        <f aca="false">IF(A1832="","",IF(AO1832="","欠損",IF(AO1832&lt;=1.1,"1.0～1.1",IF(AO1832&lt;1.3,"1.2",IF(AO1832&lt;1.5,"1.3～1.4",IF(AO1832&lt;2,"1.5～1.9","2.0以上"))))))</f>
        <v/>
      </c>
      <c r="AQ1832" s="8" t="str">
        <f aca="false">IF(A1832="","",IF(ISNUMBER(SEARCH("2歳",Z1832)),"2歳戦",IF(ISNUMBER(SEARCH("3歳未勝利",Z1832)),"3歳未勝利",IF(ISNUMBER(SEARCH("未勝利",Z1832)),"その他未勝利",IF(ISNUMBER(SEARCH("G1",Z1832)),"G1",IF(ISNUMBER(SEARCH("G2",Z1832)),"G2",IF(ISNUMBER(SEARCH("G3",Z1832)),"G3",IF(ISNUMBER(SEARCH("古馬条件",Z1832)),"古馬条件戦",IF(ISNUMBER(SEARCH("重賞",Z1832)),"重賞","分類不能")))))))))</f>
        <v/>
      </c>
    </row>
    <row r="1833" customFormat="false" ht="15.75" hidden="false" customHeight="false" outlineLevel="0" collapsed="false">
      <c r="AO1833" s="8" t="str">
        <f aca="false">IF(A1833="","",IF(COUNTIFS(全馬データ!$A$2:$A$50000,A1833,全馬データ!$B$2:$B$50000,B1833,全馬データ!$C$2:$C$50000,C1833,全馬データ!$D$2:$D$50000,E1833,全馬データ!$K$2:$K$50000,"&lt;&gt;")=0,"",SUMIFS(全馬データ!$K$2:$K$50000,全馬データ!$A$2:$A$50000,A1833,全馬データ!$B$2:$B$50000,B1833,全馬データ!$C$2:$C$50000,C1833,全馬データ!$D$2:$D$50000,E1833)))</f>
        <v/>
      </c>
      <c r="AP1833" s="8" t="str">
        <f aca="false">IF(A1833="","",IF(AO1833="","欠損",IF(AO1833&lt;=1.1,"1.0～1.1",IF(AO1833&lt;1.3,"1.2",IF(AO1833&lt;1.5,"1.3～1.4",IF(AO1833&lt;2,"1.5～1.9","2.0以上"))))))</f>
        <v/>
      </c>
      <c r="AQ1833" s="8" t="str">
        <f aca="false">IF(A1833="","",IF(ISNUMBER(SEARCH("2歳",Z1833)),"2歳戦",IF(ISNUMBER(SEARCH("3歳未勝利",Z1833)),"3歳未勝利",IF(ISNUMBER(SEARCH("未勝利",Z1833)),"その他未勝利",IF(ISNUMBER(SEARCH("G1",Z1833)),"G1",IF(ISNUMBER(SEARCH("G2",Z1833)),"G2",IF(ISNUMBER(SEARCH("G3",Z1833)),"G3",IF(ISNUMBER(SEARCH("古馬条件",Z1833)),"古馬条件戦",IF(ISNUMBER(SEARCH("重賞",Z1833)),"重賞","分類不能")))))))))</f>
        <v/>
      </c>
    </row>
    <row r="1834" customFormat="false" ht="15.75" hidden="false" customHeight="false" outlineLevel="0" collapsed="false">
      <c r="AO1834" s="8" t="str">
        <f aca="false">IF(A1834="","",IF(COUNTIFS(全馬データ!$A$2:$A$50000,A1834,全馬データ!$B$2:$B$50000,B1834,全馬データ!$C$2:$C$50000,C1834,全馬データ!$D$2:$D$50000,E1834,全馬データ!$K$2:$K$50000,"&lt;&gt;")=0,"",SUMIFS(全馬データ!$K$2:$K$50000,全馬データ!$A$2:$A$50000,A1834,全馬データ!$B$2:$B$50000,B1834,全馬データ!$C$2:$C$50000,C1834,全馬データ!$D$2:$D$50000,E1834)))</f>
        <v/>
      </c>
      <c r="AP1834" s="8" t="str">
        <f aca="false">IF(A1834="","",IF(AO1834="","欠損",IF(AO1834&lt;=1.1,"1.0～1.1",IF(AO1834&lt;1.3,"1.2",IF(AO1834&lt;1.5,"1.3～1.4",IF(AO1834&lt;2,"1.5～1.9","2.0以上"))))))</f>
        <v/>
      </c>
      <c r="AQ1834" s="8" t="str">
        <f aca="false">IF(A1834="","",IF(ISNUMBER(SEARCH("2歳",Z1834)),"2歳戦",IF(ISNUMBER(SEARCH("3歳未勝利",Z1834)),"3歳未勝利",IF(ISNUMBER(SEARCH("未勝利",Z1834)),"その他未勝利",IF(ISNUMBER(SEARCH("G1",Z1834)),"G1",IF(ISNUMBER(SEARCH("G2",Z1834)),"G2",IF(ISNUMBER(SEARCH("G3",Z1834)),"G3",IF(ISNUMBER(SEARCH("古馬条件",Z1834)),"古馬条件戦",IF(ISNUMBER(SEARCH("重賞",Z1834)),"重賞","分類不能")))))))))</f>
        <v/>
      </c>
    </row>
    <row r="1835" customFormat="false" ht="15.75" hidden="false" customHeight="false" outlineLevel="0" collapsed="false">
      <c r="AO1835" s="8" t="str">
        <f aca="false">IF(A1835="","",IF(COUNTIFS(全馬データ!$A$2:$A$50000,A1835,全馬データ!$B$2:$B$50000,B1835,全馬データ!$C$2:$C$50000,C1835,全馬データ!$D$2:$D$50000,E1835,全馬データ!$K$2:$K$50000,"&lt;&gt;")=0,"",SUMIFS(全馬データ!$K$2:$K$50000,全馬データ!$A$2:$A$50000,A1835,全馬データ!$B$2:$B$50000,B1835,全馬データ!$C$2:$C$50000,C1835,全馬データ!$D$2:$D$50000,E1835)))</f>
        <v/>
      </c>
      <c r="AP1835" s="8" t="str">
        <f aca="false">IF(A1835="","",IF(AO1835="","欠損",IF(AO1835&lt;=1.1,"1.0～1.1",IF(AO1835&lt;1.3,"1.2",IF(AO1835&lt;1.5,"1.3～1.4",IF(AO1835&lt;2,"1.5～1.9","2.0以上"))))))</f>
        <v/>
      </c>
      <c r="AQ1835" s="8" t="str">
        <f aca="false">IF(A1835="","",IF(ISNUMBER(SEARCH("2歳",Z1835)),"2歳戦",IF(ISNUMBER(SEARCH("3歳未勝利",Z1835)),"3歳未勝利",IF(ISNUMBER(SEARCH("未勝利",Z1835)),"その他未勝利",IF(ISNUMBER(SEARCH("G1",Z1835)),"G1",IF(ISNUMBER(SEARCH("G2",Z1835)),"G2",IF(ISNUMBER(SEARCH("G3",Z1835)),"G3",IF(ISNUMBER(SEARCH("古馬条件",Z1835)),"古馬条件戦",IF(ISNUMBER(SEARCH("重賞",Z1835)),"重賞","分類不能")))))))))</f>
        <v/>
      </c>
    </row>
    <row r="1836" customFormat="false" ht="15.75" hidden="false" customHeight="false" outlineLevel="0" collapsed="false">
      <c r="AO1836" s="8" t="str">
        <f aca="false">IF(A1836="","",IF(COUNTIFS(全馬データ!$A$2:$A$50000,A1836,全馬データ!$B$2:$B$50000,B1836,全馬データ!$C$2:$C$50000,C1836,全馬データ!$D$2:$D$50000,E1836,全馬データ!$K$2:$K$50000,"&lt;&gt;")=0,"",SUMIFS(全馬データ!$K$2:$K$50000,全馬データ!$A$2:$A$50000,A1836,全馬データ!$B$2:$B$50000,B1836,全馬データ!$C$2:$C$50000,C1836,全馬データ!$D$2:$D$50000,E1836)))</f>
        <v/>
      </c>
      <c r="AP1836" s="8" t="str">
        <f aca="false">IF(A1836="","",IF(AO1836="","欠損",IF(AO1836&lt;=1.1,"1.0～1.1",IF(AO1836&lt;1.3,"1.2",IF(AO1836&lt;1.5,"1.3～1.4",IF(AO1836&lt;2,"1.5～1.9","2.0以上"))))))</f>
        <v/>
      </c>
      <c r="AQ1836" s="8" t="str">
        <f aca="false">IF(A1836="","",IF(ISNUMBER(SEARCH("2歳",Z1836)),"2歳戦",IF(ISNUMBER(SEARCH("3歳未勝利",Z1836)),"3歳未勝利",IF(ISNUMBER(SEARCH("未勝利",Z1836)),"その他未勝利",IF(ISNUMBER(SEARCH("G1",Z1836)),"G1",IF(ISNUMBER(SEARCH("G2",Z1836)),"G2",IF(ISNUMBER(SEARCH("G3",Z1836)),"G3",IF(ISNUMBER(SEARCH("古馬条件",Z1836)),"古馬条件戦",IF(ISNUMBER(SEARCH("重賞",Z1836)),"重賞","分類不能")))))))))</f>
        <v/>
      </c>
    </row>
    <row r="1837" customFormat="false" ht="15.75" hidden="false" customHeight="false" outlineLevel="0" collapsed="false">
      <c r="AO1837" s="8" t="str">
        <f aca="false">IF(A1837="","",IF(COUNTIFS(全馬データ!$A$2:$A$50000,A1837,全馬データ!$B$2:$B$50000,B1837,全馬データ!$C$2:$C$50000,C1837,全馬データ!$D$2:$D$50000,E1837,全馬データ!$K$2:$K$50000,"&lt;&gt;")=0,"",SUMIFS(全馬データ!$K$2:$K$50000,全馬データ!$A$2:$A$50000,A1837,全馬データ!$B$2:$B$50000,B1837,全馬データ!$C$2:$C$50000,C1837,全馬データ!$D$2:$D$50000,E1837)))</f>
        <v/>
      </c>
      <c r="AP1837" s="8" t="str">
        <f aca="false">IF(A1837="","",IF(AO1837="","欠損",IF(AO1837&lt;=1.1,"1.0～1.1",IF(AO1837&lt;1.3,"1.2",IF(AO1837&lt;1.5,"1.3～1.4",IF(AO1837&lt;2,"1.5～1.9","2.0以上"))))))</f>
        <v/>
      </c>
      <c r="AQ1837" s="8" t="str">
        <f aca="false">IF(A1837="","",IF(ISNUMBER(SEARCH("2歳",Z1837)),"2歳戦",IF(ISNUMBER(SEARCH("3歳未勝利",Z1837)),"3歳未勝利",IF(ISNUMBER(SEARCH("未勝利",Z1837)),"その他未勝利",IF(ISNUMBER(SEARCH("G1",Z1837)),"G1",IF(ISNUMBER(SEARCH("G2",Z1837)),"G2",IF(ISNUMBER(SEARCH("G3",Z1837)),"G3",IF(ISNUMBER(SEARCH("古馬条件",Z1837)),"古馬条件戦",IF(ISNUMBER(SEARCH("重賞",Z1837)),"重賞","分類不能")))))))))</f>
        <v/>
      </c>
    </row>
    <row r="1838" customFormat="false" ht="15.75" hidden="false" customHeight="false" outlineLevel="0" collapsed="false">
      <c r="AO1838" s="8" t="str">
        <f aca="false">IF(A1838="","",IF(COUNTIFS(全馬データ!$A$2:$A$50000,A1838,全馬データ!$B$2:$B$50000,B1838,全馬データ!$C$2:$C$50000,C1838,全馬データ!$D$2:$D$50000,E1838,全馬データ!$K$2:$K$50000,"&lt;&gt;")=0,"",SUMIFS(全馬データ!$K$2:$K$50000,全馬データ!$A$2:$A$50000,A1838,全馬データ!$B$2:$B$50000,B1838,全馬データ!$C$2:$C$50000,C1838,全馬データ!$D$2:$D$50000,E1838)))</f>
        <v/>
      </c>
      <c r="AP1838" s="8" t="str">
        <f aca="false">IF(A1838="","",IF(AO1838="","欠損",IF(AO1838&lt;=1.1,"1.0～1.1",IF(AO1838&lt;1.3,"1.2",IF(AO1838&lt;1.5,"1.3～1.4",IF(AO1838&lt;2,"1.5～1.9","2.0以上"))))))</f>
        <v/>
      </c>
      <c r="AQ1838" s="8" t="str">
        <f aca="false">IF(A1838="","",IF(ISNUMBER(SEARCH("2歳",Z1838)),"2歳戦",IF(ISNUMBER(SEARCH("3歳未勝利",Z1838)),"3歳未勝利",IF(ISNUMBER(SEARCH("未勝利",Z1838)),"その他未勝利",IF(ISNUMBER(SEARCH("G1",Z1838)),"G1",IF(ISNUMBER(SEARCH("G2",Z1838)),"G2",IF(ISNUMBER(SEARCH("G3",Z1838)),"G3",IF(ISNUMBER(SEARCH("古馬条件",Z1838)),"古馬条件戦",IF(ISNUMBER(SEARCH("重賞",Z1838)),"重賞","分類不能")))))))))</f>
        <v/>
      </c>
    </row>
    <row r="1839" customFormat="false" ht="15.75" hidden="false" customHeight="false" outlineLevel="0" collapsed="false">
      <c r="AO1839" s="8" t="str">
        <f aca="false">IF(A1839="","",IF(COUNTIFS(全馬データ!$A$2:$A$50000,A1839,全馬データ!$B$2:$B$50000,B1839,全馬データ!$C$2:$C$50000,C1839,全馬データ!$D$2:$D$50000,E1839,全馬データ!$K$2:$K$50000,"&lt;&gt;")=0,"",SUMIFS(全馬データ!$K$2:$K$50000,全馬データ!$A$2:$A$50000,A1839,全馬データ!$B$2:$B$50000,B1839,全馬データ!$C$2:$C$50000,C1839,全馬データ!$D$2:$D$50000,E1839)))</f>
        <v/>
      </c>
      <c r="AP1839" s="8" t="str">
        <f aca="false">IF(A1839="","",IF(AO1839="","欠損",IF(AO1839&lt;=1.1,"1.0～1.1",IF(AO1839&lt;1.3,"1.2",IF(AO1839&lt;1.5,"1.3～1.4",IF(AO1839&lt;2,"1.5～1.9","2.0以上"))))))</f>
        <v/>
      </c>
      <c r="AQ1839" s="8" t="str">
        <f aca="false">IF(A1839="","",IF(ISNUMBER(SEARCH("2歳",Z1839)),"2歳戦",IF(ISNUMBER(SEARCH("3歳未勝利",Z1839)),"3歳未勝利",IF(ISNUMBER(SEARCH("未勝利",Z1839)),"その他未勝利",IF(ISNUMBER(SEARCH("G1",Z1839)),"G1",IF(ISNUMBER(SEARCH("G2",Z1839)),"G2",IF(ISNUMBER(SEARCH("G3",Z1839)),"G3",IF(ISNUMBER(SEARCH("古馬条件",Z1839)),"古馬条件戦",IF(ISNUMBER(SEARCH("重賞",Z1839)),"重賞","分類不能")))))))))</f>
        <v/>
      </c>
    </row>
    <row r="1840" customFormat="false" ht="15.75" hidden="false" customHeight="false" outlineLevel="0" collapsed="false">
      <c r="AO1840" s="8" t="str">
        <f aca="false">IF(A1840="","",IF(COUNTIFS(全馬データ!$A$2:$A$50000,A1840,全馬データ!$B$2:$B$50000,B1840,全馬データ!$C$2:$C$50000,C1840,全馬データ!$D$2:$D$50000,E1840,全馬データ!$K$2:$K$50000,"&lt;&gt;")=0,"",SUMIFS(全馬データ!$K$2:$K$50000,全馬データ!$A$2:$A$50000,A1840,全馬データ!$B$2:$B$50000,B1840,全馬データ!$C$2:$C$50000,C1840,全馬データ!$D$2:$D$50000,E1840)))</f>
        <v/>
      </c>
      <c r="AP1840" s="8" t="str">
        <f aca="false">IF(A1840="","",IF(AO1840="","欠損",IF(AO1840&lt;=1.1,"1.0～1.1",IF(AO1840&lt;1.3,"1.2",IF(AO1840&lt;1.5,"1.3～1.4",IF(AO1840&lt;2,"1.5～1.9","2.0以上"))))))</f>
        <v/>
      </c>
      <c r="AQ1840" s="8" t="str">
        <f aca="false">IF(A1840="","",IF(ISNUMBER(SEARCH("2歳",Z1840)),"2歳戦",IF(ISNUMBER(SEARCH("3歳未勝利",Z1840)),"3歳未勝利",IF(ISNUMBER(SEARCH("未勝利",Z1840)),"その他未勝利",IF(ISNUMBER(SEARCH("G1",Z1840)),"G1",IF(ISNUMBER(SEARCH("G2",Z1840)),"G2",IF(ISNUMBER(SEARCH("G3",Z1840)),"G3",IF(ISNUMBER(SEARCH("古馬条件",Z1840)),"古馬条件戦",IF(ISNUMBER(SEARCH("重賞",Z1840)),"重賞","分類不能")))))))))</f>
        <v/>
      </c>
    </row>
    <row r="1841" customFormat="false" ht="15.75" hidden="false" customHeight="false" outlineLevel="0" collapsed="false">
      <c r="AO1841" s="8" t="str">
        <f aca="false">IF(A1841="","",IF(COUNTIFS(全馬データ!$A$2:$A$50000,A1841,全馬データ!$B$2:$B$50000,B1841,全馬データ!$C$2:$C$50000,C1841,全馬データ!$D$2:$D$50000,E1841,全馬データ!$K$2:$K$50000,"&lt;&gt;")=0,"",SUMIFS(全馬データ!$K$2:$K$50000,全馬データ!$A$2:$A$50000,A1841,全馬データ!$B$2:$B$50000,B1841,全馬データ!$C$2:$C$50000,C1841,全馬データ!$D$2:$D$50000,E1841)))</f>
        <v/>
      </c>
      <c r="AP1841" s="8" t="str">
        <f aca="false">IF(A1841="","",IF(AO1841="","欠損",IF(AO1841&lt;=1.1,"1.0～1.1",IF(AO1841&lt;1.3,"1.2",IF(AO1841&lt;1.5,"1.3～1.4",IF(AO1841&lt;2,"1.5～1.9","2.0以上"))))))</f>
        <v/>
      </c>
      <c r="AQ1841" s="8" t="str">
        <f aca="false">IF(A1841="","",IF(ISNUMBER(SEARCH("2歳",Z1841)),"2歳戦",IF(ISNUMBER(SEARCH("3歳未勝利",Z1841)),"3歳未勝利",IF(ISNUMBER(SEARCH("未勝利",Z1841)),"その他未勝利",IF(ISNUMBER(SEARCH("G1",Z1841)),"G1",IF(ISNUMBER(SEARCH("G2",Z1841)),"G2",IF(ISNUMBER(SEARCH("G3",Z1841)),"G3",IF(ISNUMBER(SEARCH("古馬条件",Z1841)),"古馬条件戦",IF(ISNUMBER(SEARCH("重賞",Z1841)),"重賞","分類不能")))))))))</f>
        <v/>
      </c>
    </row>
    <row r="1842" customFormat="false" ht="15.75" hidden="false" customHeight="false" outlineLevel="0" collapsed="false">
      <c r="AO1842" s="8" t="str">
        <f aca="false">IF(A1842="","",IF(COUNTIFS(全馬データ!$A$2:$A$50000,A1842,全馬データ!$B$2:$B$50000,B1842,全馬データ!$C$2:$C$50000,C1842,全馬データ!$D$2:$D$50000,E1842,全馬データ!$K$2:$K$50000,"&lt;&gt;")=0,"",SUMIFS(全馬データ!$K$2:$K$50000,全馬データ!$A$2:$A$50000,A1842,全馬データ!$B$2:$B$50000,B1842,全馬データ!$C$2:$C$50000,C1842,全馬データ!$D$2:$D$50000,E1842)))</f>
        <v/>
      </c>
      <c r="AP1842" s="8" t="str">
        <f aca="false">IF(A1842="","",IF(AO1842="","欠損",IF(AO1842&lt;=1.1,"1.0～1.1",IF(AO1842&lt;1.3,"1.2",IF(AO1842&lt;1.5,"1.3～1.4",IF(AO1842&lt;2,"1.5～1.9","2.0以上"))))))</f>
        <v/>
      </c>
      <c r="AQ1842" s="8" t="str">
        <f aca="false">IF(A1842="","",IF(ISNUMBER(SEARCH("2歳",Z1842)),"2歳戦",IF(ISNUMBER(SEARCH("3歳未勝利",Z1842)),"3歳未勝利",IF(ISNUMBER(SEARCH("未勝利",Z1842)),"その他未勝利",IF(ISNUMBER(SEARCH("G1",Z1842)),"G1",IF(ISNUMBER(SEARCH("G2",Z1842)),"G2",IF(ISNUMBER(SEARCH("G3",Z1842)),"G3",IF(ISNUMBER(SEARCH("古馬条件",Z1842)),"古馬条件戦",IF(ISNUMBER(SEARCH("重賞",Z1842)),"重賞","分類不能")))))))))</f>
        <v/>
      </c>
    </row>
    <row r="1843" customFormat="false" ht="15.75" hidden="false" customHeight="false" outlineLevel="0" collapsed="false">
      <c r="AO1843" s="8" t="str">
        <f aca="false">IF(A1843="","",IF(COUNTIFS(全馬データ!$A$2:$A$50000,A1843,全馬データ!$B$2:$B$50000,B1843,全馬データ!$C$2:$C$50000,C1843,全馬データ!$D$2:$D$50000,E1843,全馬データ!$K$2:$K$50000,"&lt;&gt;")=0,"",SUMIFS(全馬データ!$K$2:$K$50000,全馬データ!$A$2:$A$50000,A1843,全馬データ!$B$2:$B$50000,B1843,全馬データ!$C$2:$C$50000,C1843,全馬データ!$D$2:$D$50000,E1843)))</f>
        <v/>
      </c>
      <c r="AP1843" s="8" t="str">
        <f aca="false">IF(A1843="","",IF(AO1843="","欠損",IF(AO1843&lt;=1.1,"1.0～1.1",IF(AO1843&lt;1.3,"1.2",IF(AO1843&lt;1.5,"1.3～1.4",IF(AO1843&lt;2,"1.5～1.9","2.0以上"))))))</f>
        <v/>
      </c>
      <c r="AQ1843" s="8" t="str">
        <f aca="false">IF(A1843="","",IF(ISNUMBER(SEARCH("2歳",Z1843)),"2歳戦",IF(ISNUMBER(SEARCH("3歳未勝利",Z1843)),"3歳未勝利",IF(ISNUMBER(SEARCH("未勝利",Z1843)),"その他未勝利",IF(ISNUMBER(SEARCH("G1",Z1843)),"G1",IF(ISNUMBER(SEARCH("G2",Z1843)),"G2",IF(ISNUMBER(SEARCH("G3",Z1843)),"G3",IF(ISNUMBER(SEARCH("古馬条件",Z1843)),"古馬条件戦",IF(ISNUMBER(SEARCH("重賞",Z1843)),"重賞","分類不能")))))))))</f>
        <v/>
      </c>
    </row>
    <row r="1844" customFormat="false" ht="15.75" hidden="false" customHeight="false" outlineLevel="0" collapsed="false">
      <c r="AO1844" s="8" t="str">
        <f aca="false">IF(A1844="","",IF(COUNTIFS(全馬データ!$A$2:$A$50000,A1844,全馬データ!$B$2:$B$50000,B1844,全馬データ!$C$2:$C$50000,C1844,全馬データ!$D$2:$D$50000,E1844,全馬データ!$K$2:$K$50000,"&lt;&gt;")=0,"",SUMIFS(全馬データ!$K$2:$K$50000,全馬データ!$A$2:$A$50000,A1844,全馬データ!$B$2:$B$50000,B1844,全馬データ!$C$2:$C$50000,C1844,全馬データ!$D$2:$D$50000,E1844)))</f>
        <v/>
      </c>
      <c r="AP1844" s="8" t="str">
        <f aca="false">IF(A1844="","",IF(AO1844="","欠損",IF(AO1844&lt;=1.1,"1.0～1.1",IF(AO1844&lt;1.3,"1.2",IF(AO1844&lt;1.5,"1.3～1.4",IF(AO1844&lt;2,"1.5～1.9","2.0以上"))))))</f>
        <v/>
      </c>
      <c r="AQ1844" s="8" t="str">
        <f aca="false">IF(A1844="","",IF(ISNUMBER(SEARCH("2歳",Z1844)),"2歳戦",IF(ISNUMBER(SEARCH("3歳未勝利",Z1844)),"3歳未勝利",IF(ISNUMBER(SEARCH("未勝利",Z1844)),"その他未勝利",IF(ISNUMBER(SEARCH("G1",Z1844)),"G1",IF(ISNUMBER(SEARCH("G2",Z1844)),"G2",IF(ISNUMBER(SEARCH("G3",Z1844)),"G3",IF(ISNUMBER(SEARCH("古馬条件",Z1844)),"古馬条件戦",IF(ISNUMBER(SEARCH("重賞",Z1844)),"重賞","分類不能")))))))))</f>
        <v/>
      </c>
    </row>
    <row r="1845" customFormat="false" ht="15.75" hidden="false" customHeight="false" outlineLevel="0" collapsed="false">
      <c r="AO1845" s="8" t="str">
        <f aca="false">IF(A1845="","",IF(COUNTIFS(全馬データ!$A$2:$A$50000,A1845,全馬データ!$B$2:$B$50000,B1845,全馬データ!$C$2:$C$50000,C1845,全馬データ!$D$2:$D$50000,E1845,全馬データ!$K$2:$K$50000,"&lt;&gt;")=0,"",SUMIFS(全馬データ!$K$2:$K$50000,全馬データ!$A$2:$A$50000,A1845,全馬データ!$B$2:$B$50000,B1845,全馬データ!$C$2:$C$50000,C1845,全馬データ!$D$2:$D$50000,E1845)))</f>
        <v/>
      </c>
      <c r="AP1845" s="8" t="str">
        <f aca="false">IF(A1845="","",IF(AO1845="","欠損",IF(AO1845&lt;=1.1,"1.0～1.1",IF(AO1845&lt;1.3,"1.2",IF(AO1845&lt;1.5,"1.3～1.4",IF(AO1845&lt;2,"1.5～1.9","2.0以上"))))))</f>
        <v/>
      </c>
      <c r="AQ1845" s="8" t="str">
        <f aca="false">IF(A1845="","",IF(ISNUMBER(SEARCH("2歳",Z1845)),"2歳戦",IF(ISNUMBER(SEARCH("3歳未勝利",Z1845)),"3歳未勝利",IF(ISNUMBER(SEARCH("未勝利",Z1845)),"その他未勝利",IF(ISNUMBER(SEARCH("G1",Z1845)),"G1",IF(ISNUMBER(SEARCH("G2",Z1845)),"G2",IF(ISNUMBER(SEARCH("G3",Z1845)),"G3",IF(ISNUMBER(SEARCH("古馬条件",Z1845)),"古馬条件戦",IF(ISNUMBER(SEARCH("重賞",Z1845)),"重賞","分類不能")))))))))</f>
        <v/>
      </c>
    </row>
    <row r="1846" customFormat="false" ht="15.75" hidden="false" customHeight="false" outlineLevel="0" collapsed="false">
      <c r="AO1846" s="8" t="str">
        <f aca="false">IF(A1846="","",IF(COUNTIFS(全馬データ!$A$2:$A$50000,A1846,全馬データ!$B$2:$B$50000,B1846,全馬データ!$C$2:$C$50000,C1846,全馬データ!$D$2:$D$50000,E1846,全馬データ!$K$2:$K$50000,"&lt;&gt;")=0,"",SUMIFS(全馬データ!$K$2:$K$50000,全馬データ!$A$2:$A$50000,A1846,全馬データ!$B$2:$B$50000,B1846,全馬データ!$C$2:$C$50000,C1846,全馬データ!$D$2:$D$50000,E1846)))</f>
        <v/>
      </c>
      <c r="AP1846" s="8" t="str">
        <f aca="false">IF(A1846="","",IF(AO1846="","欠損",IF(AO1846&lt;=1.1,"1.0～1.1",IF(AO1846&lt;1.3,"1.2",IF(AO1846&lt;1.5,"1.3～1.4",IF(AO1846&lt;2,"1.5～1.9","2.0以上"))))))</f>
        <v/>
      </c>
      <c r="AQ1846" s="8" t="str">
        <f aca="false">IF(A1846="","",IF(ISNUMBER(SEARCH("2歳",Z1846)),"2歳戦",IF(ISNUMBER(SEARCH("3歳未勝利",Z1846)),"3歳未勝利",IF(ISNUMBER(SEARCH("未勝利",Z1846)),"その他未勝利",IF(ISNUMBER(SEARCH("G1",Z1846)),"G1",IF(ISNUMBER(SEARCH("G2",Z1846)),"G2",IF(ISNUMBER(SEARCH("G3",Z1846)),"G3",IF(ISNUMBER(SEARCH("古馬条件",Z1846)),"古馬条件戦",IF(ISNUMBER(SEARCH("重賞",Z1846)),"重賞","分類不能")))))))))</f>
        <v/>
      </c>
    </row>
    <row r="1847" customFormat="false" ht="15.75" hidden="false" customHeight="false" outlineLevel="0" collapsed="false">
      <c r="AO1847" s="8" t="str">
        <f aca="false">IF(A1847="","",IF(COUNTIFS(全馬データ!$A$2:$A$50000,A1847,全馬データ!$B$2:$B$50000,B1847,全馬データ!$C$2:$C$50000,C1847,全馬データ!$D$2:$D$50000,E1847,全馬データ!$K$2:$K$50000,"&lt;&gt;")=0,"",SUMIFS(全馬データ!$K$2:$K$50000,全馬データ!$A$2:$A$50000,A1847,全馬データ!$B$2:$B$50000,B1847,全馬データ!$C$2:$C$50000,C1847,全馬データ!$D$2:$D$50000,E1847)))</f>
        <v/>
      </c>
      <c r="AP1847" s="8" t="str">
        <f aca="false">IF(A1847="","",IF(AO1847="","欠損",IF(AO1847&lt;=1.1,"1.0～1.1",IF(AO1847&lt;1.3,"1.2",IF(AO1847&lt;1.5,"1.3～1.4",IF(AO1847&lt;2,"1.5～1.9","2.0以上"))))))</f>
        <v/>
      </c>
      <c r="AQ1847" s="8" t="str">
        <f aca="false">IF(A1847="","",IF(ISNUMBER(SEARCH("2歳",Z1847)),"2歳戦",IF(ISNUMBER(SEARCH("3歳未勝利",Z1847)),"3歳未勝利",IF(ISNUMBER(SEARCH("未勝利",Z1847)),"その他未勝利",IF(ISNUMBER(SEARCH("G1",Z1847)),"G1",IF(ISNUMBER(SEARCH("G2",Z1847)),"G2",IF(ISNUMBER(SEARCH("G3",Z1847)),"G3",IF(ISNUMBER(SEARCH("古馬条件",Z1847)),"古馬条件戦",IF(ISNUMBER(SEARCH("重賞",Z1847)),"重賞","分類不能")))))))))</f>
        <v/>
      </c>
    </row>
    <row r="1848" customFormat="false" ht="15.75" hidden="false" customHeight="false" outlineLevel="0" collapsed="false">
      <c r="AO1848" s="8" t="str">
        <f aca="false">IF(A1848="","",IF(COUNTIFS(全馬データ!$A$2:$A$50000,A1848,全馬データ!$B$2:$B$50000,B1848,全馬データ!$C$2:$C$50000,C1848,全馬データ!$D$2:$D$50000,E1848,全馬データ!$K$2:$K$50000,"&lt;&gt;")=0,"",SUMIFS(全馬データ!$K$2:$K$50000,全馬データ!$A$2:$A$50000,A1848,全馬データ!$B$2:$B$50000,B1848,全馬データ!$C$2:$C$50000,C1848,全馬データ!$D$2:$D$50000,E1848)))</f>
        <v/>
      </c>
      <c r="AP1848" s="8" t="str">
        <f aca="false">IF(A1848="","",IF(AO1848="","欠損",IF(AO1848&lt;=1.1,"1.0～1.1",IF(AO1848&lt;1.3,"1.2",IF(AO1848&lt;1.5,"1.3～1.4",IF(AO1848&lt;2,"1.5～1.9","2.0以上"))))))</f>
        <v/>
      </c>
      <c r="AQ1848" s="8" t="str">
        <f aca="false">IF(A1848="","",IF(ISNUMBER(SEARCH("2歳",Z1848)),"2歳戦",IF(ISNUMBER(SEARCH("3歳未勝利",Z1848)),"3歳未勝利",IF(ISNUMBER(SEARCH("未勝利",Z1848)),"その他未勝利",IF(ISNUMBER(SEARCH("G1",Z1848)),"G1",IF(ISNUMBER(SEARCH("G2",Z1848)),"G2",IF(ISNUMBER(SEARCH("G3",Z1848)),"G3",IF(ISNUMBER(SEARCH("古馬条件",Z1848)),"古馬条件戦",IF(ISNUMBER(SEARCH("重賞",Z1848)),"重賞","分類不能")))))))))</f>
        <v/>
      </c>
    </row>
    <row r="1849" customFormat="false" ht="15.75" hidden="false" customHeight="false" outlineLevel="0" collapsed="false">
      <c r="AO1849" s="8" t="str">
        <f aca="false">IF(A1849="","",IF(COUNTIFS(全馬データ!$A$2:$A$50000,A1849,全馬データ!$B$2:$B$50000,B1849,全馬データ!$C$2:$C$50000,C1849,全馬データ!$D$2:$D$50000,E1849,全馬データ!$K$2:$K$50000,"&lt;&gt;")=0,"",SUMIFS(全馬データ!$K$2:$K$50000,全馬データ!$A$2:$A$50000,A1849,全馬データ!$B$2:$B$50000,B1849,全馬データ!$C$2:$C$50000,C1849,全馬データ!$D$2:$D$50000,E1849)))</f>
        <v/>
      </c>
      <c r="AP1849" s="8" t="str">
        <f aca="false">IF(A1849="","",IF(AO1849="","欠損",IF(AO1849&lt;=1.1,"1.0～1.1",IF(AO1849&lt;1.3,"1.2",IF(AO1849&lt;1.5,"1.3～1.4",IF(AO1849&lt;2,"1.5～1.9","2.0以上"))))))</f>
        <v/>
      </c>
      <c r="AQ1849" s="8" t="str">
        <f aca="false">IF(A1849="","",IF(ISNUMBER(SEARCH("2歳",Z1849)),"2歳戦",IF(ISNUMBER(SEARCH("3歳未勝利",Z1849)),"3歳未勝利",IF(ISNUMBER(SEARCH("未勝利",Z1849)),"その他未勝利",IF(ISNUMBER(SEARCH("G1",Z1849)),"G1",IF(ISNUMBER(SEARCH("G2",Z1849)),"G2",IF(ISNUMBER(SEARCH("G3",Z1849)),"G3",IF(ISNUMBER(SEARCH("古馬条件",Z1849)),"古馬条件戦",IF(ISNUMBER(SEARCH("重賞",Z1849)),"重賞","分類不能")))))))))</f>
        <v/>
      </c>
    </row>
    <row r="1850" customFormat="false" ht="15.75" hidden="false" customHeight="false" outlineLevel="0" collapsed="false">
      <c r="AO1850" s="8" t="str">
        <f aca="false">IF(A1850="","",IF(COUNTIFS(全馬データ!$A$2:$A$50000,A1850,全馬データ!$B$2:$B$50000,B1850,全馬データ!$C$2:$C$50000,C1850,全馬データ!$D$2:$D$50000,E1850,全馬データ!$K$2:$K$50000,"&lt;&gt;")=0,"",SUMIFS(全馬データ!$K$2:$K$50000,全馬データ!$A$2:$A$50000,A1850,全馬データ!$B$2:$B$50000,B1850,全馬データ!$C$2:$C$50000,C1850,全馬データ!$D$2:$D$50000,E1850)))</f>
        <v/>
      </c>
      <c r="AP1850" s="8" t="str">
        <f aca="false">IF(A1850="","",IF(AO1850="","欠損",IF(AO1850&lt;=1.1,"1.0～1.1",IF(AO1850&lt;1.3,"1.2",IF(AO1850&lt;1.5,"1.3～1.4",IF(AO1850&lt;2,"1.5～1.9","2.0以上"))))))</f>
        <v/>
      </c>
      <c r="AQ1850" s="8" t="str">
        <f aca="false">IF(A1850="","",IF(ISNUMBER(SEARCH("2歳",Z1850)),"2歳戦",IF(ISNUMBER(SEARCH("3歳未勝利",Z1850)),"3歳未勝利",IF(ISNUMBER(SEARCH("未勝利",Z1850)),"その他未勝利",IF(ISNUMBER(SEARCH("G1",Z1850)),"G1",IF(ISNUMBER(SEARCH("G2",Z1850)),"G2",IF(ISNUMBER(SEARCH("G3",Z1850)),"G3",IF(ISNUMBER(SEARCH("古馬条件",Z1850)),"古馬条件戦",IF(ISNUMBER(SEARCH("重賞",Z1850)),"重賞","分類不能")))))))))</f>
        <v/>
      </c>
    </row>
    <row r="1851" customFormat="false" ht="15.75" hidden="false" customHeight="false" outlineLevel="0" collapsed="false">
      <c r="AO1851" s="8" t="str">
        <f aca="false">IF(A1851="","",IF(COUNTIFS(全馬データ!$A$2:$A$50000,A1851,全馬データ!$B$2:$B$50000,B1851,全馬データ!$C$2:$C$50000,C1851,全馬データ!$D$2:$D$50000,E1851,全馬データ!$K$2:$K$50000,"&lt;&gt;")=0,"",SUMIFS(全馬データ!$K$2:$K$50000,全馬データ!$A$2:$A$50000,A1851,全馬データ!$B$2:$B$50000,B1851,全馬データ!$C$2:$C$50000,C1851,全馬データ!$D$2:$D$50000,E1851)))</f>
        <v/>
      </c>
      <c r="AP1851" s="8" t="str">
        <f aca="false">IF(A1851="","",IF(AO1851="","欠損",IF(AO1851&lt;=1.1,"1.0～1.1",IF(AO1851&lt;1.3,"1.2",IF(AO1851&lt;1.5,"1.3～1.4",IF(AO1851&lt;2,"1.5～1.9","2.0以上"))))))</f>
        <v/>
      </c>
      <c r="AQ1851" s="8" t="str">
        <f aca="false">IF(A1851="","",IF(ISNUMBER(SEARCH("2歳",Z1851)),"2歳戦",IF(ISNUMBER(SEARCH("3歳未勝利",Z1851)),"3歳未勝利",IF(ISNUMBER(SEARCH("未勝利",Z1851)),"その他未勝利",IF(ISNUMBER(SEARCH("G1",Z1851)),"G1",IF(ISNUMBER(SEARCH("G2",Z1851)),"G2",IF(ISNUMBER(SEARCH("G3",Z1851)),"G3",IF(ISNUMBER(SEARCH("古馬条件",Z1851)),"古馬条件戦",IF(ISNUMBER(SEARCH("重賞",Z1851)),"重賞","分類不能")))))))))</f>
        <v/>
      </c>
    </row>
    <row r="1852" customFormat="false" ht="15.75" hidden="false" customHeight="false" outlineLevel="0" collapsed="false">
      <c r="AO1852" s="8" t="str">
        <f aca="false">IF(A1852="","",IF(COUNTIFS(全馬データ!$A$2:$A$50000,A1852,全馬データ!$B$2:$B$50000,B1852,全馬データ!$C$2:$C$50000,C1852,全馬データ!$D$2:$D$50000,E1852,全馬データ!$K$2:$K$50000,"&lt;&gt;")=0,"",SUMIFS(全馬データ!$K$2:$K$50000,全馬データ!$A$2:$A$50000,A1852,全馬データ!$B$2:$B$50000,B1852,全馬データ!$C$2:$C$50000,C1852,全馬データ!$D$2:$D$50000,E1852)))</f>
        <v/>
      </c>
      <c r="AP1852" s="8" t="str">
        <f aca="false">IF(A1852="","",IF(AO1852="","欠損",IF(AO1852&lt;=1.1,"1.0～1.1",IF(AO1852&lt;1.3,"1.2",IF(AO1852&lt;1.5,"1.3～1.4",IF(AO1852&lt;2,"1.5～1.9","2.0以上"))))))</f>
        <v/>
      </c>
      <c r="AQ1852" s="8" t="str">
        <f aca="false">IF(A1852="","",IF(ISNUMBER(SEARCH("2歳",Z1852)),"2歳戦",IF(ISNUMBER(SEARCH("3歳未勝利",Z1852)),"3歳未勝利",IF(ISNUMBER(SEARCH("未勝利",Z1852)),"その他未勝利",IF(ISNUMBER(SEARCH("G1",Z1852)),"G1",IF(ISNUMBER(SEARCH("G2",Z1852)),"G2",IF(ISNUMBER(SEARCH("G3",Z1852)),"G3",IF(ISNUMBER(SEARCH("古馬条件",Z1852)),"古馬条件戦",IF(ISNUMBER(SEARCH("重賞",Z1852)),"重賞","分類不能")))))))))</f>
        <v/>
      </c>
    </row>
    <row r="1853" customFormat="false" ht="15.75" hidden="false" customHeight="false" outlineLevel="0" collapsed="false">
      <c r="AO1853" s="8" t="str">
        <f aca="false">IF(A1853="","",IF(COUNTIFS(全馬データ!$A$2:$A$50000,A1853,全馬データ!$B$2:$B$50000,B1853,全馬データ!$C$2:$C$50000,C1853,全馬データ!$D$2:$D$50000,E1853,全馬データ!$K$2:$K$50000,"&lt;&gt;")=0,"",SUMIFS(全馬データ!$K$2:$K$50000,全馬データ!$A$2:$A$50000,A1853,全馬データ!$B$2:$B$50000,B1853,全馬データ!$C$2:$C$50000,C1853,全馬データ!$D$2:$D$50000,E1853)))</f>
        <v/>
      </c>
      <c r="AP1853" s="8" t="str">
        <f aca="false">IF(A1853="","",IF(AO1853="","欠損",IF(AO1853&lt;=1.1,"1.0～1.1",IF(AO1853&lt;1.3,"1.2",IF(AO1853&lt;1.5,"1.3～1.4",IF(AO1853&lt;2,"1.5～1.9","2.0以上"))))))</f>
        <v/>
      </c>
      <c r="AQ1853" s="8" t="str">
        <f aca="false">IF(A1853="","",IF(ISNUMBER(SEARCH("2歳",Z1853)),"2歳戦",IF(ISNUMBER(SEARCH("3歳未勝利",Z1853)),"3歳未勝利",IF(ISNUMBER(SEARCH("未勝利",Z1853)),"その他未勝利",IF(ISNUMBER(SEARCH("G1",Z1853)),"G1",IF(ISNUMBER(SEARCH("G2",Z1853)),"G2",IF(ISNUMBER(SEARCH("G3",Z1853)),"G3",IF(ISNUMBER(SEARCH("古馬条件",Z1853)),"古馬条件戦",IF(ISNUMBER(SEARCH("重賞",Z1853)),"重賞","分類不能")))))))))</f>
        <v/>
      </c>
    </row>
    <row r="1854" customFormat="false" ht="15.75" hidden="false" customHeight="false" outlineLevel="0" collapsed="false">
      <c r="AO1854" s="8" t="str">
        <f aca="false">IF(A1854="","",IF(COUNTIFS(全馬データ!$A$2:$A$50000,A1854,全馬データ!$B$2:$B$50000,B1854,全馬データ!$C$2:$C$50000,C1854,全馬データ!$D$2:$D$50000,E1854,全馬データ!$K$2:$K$50000,"&lt;&gt;")=0,"",SUMIFS(全馬データ!$K$2:$K$50000,全馬データ!$A$2:$A$50000,A1854,全馬データ!$B$2:$B$50000,B1854,全馬データ!$C$2:$C$50000,C1854,全馬データ!$D$2:$D$50000,E1854)))</f>
        <v/>
      </c>
      <c r="AP1854" s="8" t="str">
        <f aca="false">IF(A1854="","",IF(AO1854="","欠損",IF(AO1854&lt;=1.1,"1.0～1.1",IF(AO1854&lt;1.3,"1.2",IF(AO1854&lt;1.5,"1.3～1.4",IF(AO1854&lt;2,"1.5～1.9","2.0以上"))))))</f>
        <v/>
      </c>
      <c r="AQ1854" s="8" t="str">
        <f aca="false">IF(A1854="","",IF(ISNUMBER(SEARCH("2歳",Z1854)),"2歳戦",IF(ISNUMBER(SEARCH("3歳未勝利",Z1854)),"3歳未勝利",IF(ISNUMBER(SEARCH("未勝利",Z1854)),"その他未勝利",IF(ISNUMBER(SEARCH("G1",Z1854)),"G1",IF(ISNUMBER(SEARCH("G2",Z1854)),"G2",IF(ISNUMBER(SEARCH("G3",Z1854)),"G3",IF(ISNUMBER(SEARCH("古馬条件",Z1854)),"古馬条件戦",IF(ISNUMBER(SEARCH("重賞",Z1854)),"重賞","分類不能")))))))))</f>
        <v/>
      </c>
    </row>
    <row r="1855" customFormat="false" ht="15.75" hidden="false" customHeight="false" outlineLevel="0" collapsed="false">
      <c r="AO1855" s="8" t="str">
        <f aca="false">IF(A1855="","",IF(COUNTIFS(全馬データ!$A$2:$A$50000,A1855,全馬データ!$B$2:$B$50000,B1855,全馬データ!$C$2:$C$50000,C1855,全馬データ!$D$2:$D$50000,E1855,全馬データ!$K$2:$K$50000,"&lt;&gt;")=0,"",SUMIFS(全馬データ!$K$2:$K$50000,全馬データ!$A$2:$A$50000,A1855,全馬データ!$B$2:$B$50000,B1855,全馬データ!$C$2:$C$50000,C1855,全馬データ!$D$2:$D$50000,E1855)))</f>
        <v/>
      </c>
      <c r="AP1855" s="8" t="str">
        <f aca="false">IF(A1855="","",IF(AO1855="","欠損",IF(AO1855&lt;=1.1,"1.0～1.1",IF(AO1855&lt;1.3,"1.2",IF(AO1855&lt;1.5,"1.3～1.4",IF(AO1855&lt;2,"1.5～1.9","2.0以上"))))))</f>
        <v/>
      </c>
      <c r="AQ1855" s="8" t="str">
        <f aca="false">IF(A1855="","",IF(ISNUMBER(SEARCH("2歳",Z1855)),"2歳戦",IF(ISNUMBER(SEARCH("3歳未勝利",Z1855)),"3歳未勝利",IF(ISNUMBER(SEARCH("未勝利",Z1855)),"その他未勝利",IF(ISNUMBER(SEARCH("G1",Z1855)),"G1",IF(ISNUMBER(SEARCH("G2",Z1855)),"G2",IF(ISNUMBER(SEARCH("G3",Z1855)),"G3",IF(ISNUMBER(SEARCH("古馬条件",Z1855)),"古馬条件戦",IF(ISNUMBER(SEARCH("重賞",Z1855)),"重賞","分類不能")))))))))</f>
        <v/>
      </c>
    </row>
    <row r="1856" customFormat="false" ht="15.75" hidden="false" customHeight="false" outlineLevel="0" collapsed="false">
      <c r="AO1856" s="8" t="str">
        <f aca="false">IF(A1856="","",IF(COUNTIFS(全馬データ!$A$2:$A$50000,A1856,全馬データ!$B$2:$B$50000,B1856,全馬データ!$C$2:$C$50000,C1856,全馬データ!$D$2:$D$50000,E1856,全馬データ!$K$2:$K$50000,"&lt;&gt;")=0,"",SUMIFS(全馬データ!$K$2:$K$50000,全馬データ!$A$2:$A$50000,A1856,全馬データ!$B$2:$B$50000,B1856,全馬データ!$C$2:$C$50000,C1856,全馬データ!$D$2:$D$50000,E1856)))</f>
        <v/>
      </c>
      <c r="AP1856" s="8" t="str">
        <f aca="false">IF(A1856="","",IF(AO1856="","欠損",IF(AO1856&lt;=1.1,"1.0～1.1",IF(AO1856&lt;1.3,"1.2",IF(AO1856&lt;1.5,"1.3～1.4",IF(AO1856&lt;2,"1.5～1.9","2.0以上"))))))</f>
        <v/>
      </c>
      <c r="AQ1856" s="8" t="str">
        <f aca="false">IF(A1856="","",IF(ISNUMBER(SEARCH("2歳",Z1856)),"2歳戦",IF(ISNUMBER(SEARCH("3歳未勝利",Z1856)),"3歳未勝利",IF(ISNUMBER(SEARCH("未勝利",Z1856)),"その他未勝利",IF(ISNUMBER(SEARCH("G1",Z1856)),"G1",IF(ISNUMBER(SEARCH("G2",Z1856)),"G2",IF(ISNUMBER(SEARCH("G3",Z1856)),"G3",IF(ISNUMBER(SEARCH("古馬条件",Z1856)),"古馬条件戦",IF(ISNUMBER(SEARCH("重賞",Z1856)),"重賞","分類不能")))))))))</f>
        <v/>
      </c>
    </row>
    <row r="1857" customFormat="false" ht="15.75" hidden="false" customHeight="false" outlineLevel="0" collapsed="false">
      <c r="AO1857" s="8" t="str">
        <f aca="false">IF(A1857="","",IF(COUNTIFS(全馬データ!$A$2:$A$50000,A1857,全馬データ!$B$2:$B$50000,B1857,全馬データ!$C$2:$C$50000,C1857,全馬データ!$D$2:$D$50000,E1857,全馬データ!$K$2:$K$50000,"&lt;&gt;")=0,"",SUMIFS(全馬データ!$K$2:$K$50000,全馬データ!$A$2:$A$50000,A1857,全馬データ!$B$2:$B$50000,B1857,全馬データ!$C$2:$C$50000,C1857,全馬データ!$D$2:$D$50000,E1857)))</f>
        <v/>
      </c>
      <c r="AP1857" s="8" t="str">
        <f aca="false">IF(A1857="","",IF(AO1857="","欠損",IF(AO1857&lt;=1.1,"1.0～1.1",IF(AO1857&lt;1.3,"1.2",IF(AO1857&lt;1.5,"1.3～1.4",IF(AO1857&lt;2,"1.5～1.9","2.0以上"))))))</f>
        <v/>
      </c>
      <c r="AQ1857" s="8" t="str">
        <f aca="false">IF(A1857="","",IF(ISNUMBER(SEARCH("2歳",Z1857)),"2歳戦",IF(ISNUMBER(SEARCH("3歳未勝利",Z1857)),"3歳未勝利",IF(ISNUMBER(SEARCH("未勝利",Z1857)),"その他未勝利",IF(ISNUMBER(SEARCH("G1",Z1857)),"G1",IF(ISNUMBER(SEARCH("G2",Z1857)),"G2",IF(ISNUMBER(SEARCH("G3",Z1857)),"G3",IF(ISNUMBER(SEARCH("古馬条件",Z1857)),"古馬条件戦",IF(ISNUMBER(SEARCH("重賞",Z1857)),"重賞","分類不能")))))))))</f>
        <v/>
      </c>
    </row>
    <row r="1858" customFormat="false" ht="15.75" hidden="false" customHeight="false" outlineLevel="0" collapsed="false">
      <c r="AO1858" s="8" t="str">
        <f aca="false">IF(A1858="","",IF(COUNTIFS(全馬データ!$A$2:$A$50000,A1858,全馬データ!$B$2:$B$50000,B1858,全馬データ!$C$2:$C$50000,C1858,全馬データ!$D$2:$D$50000,E1858,全馬データ!$K$2:$K$50000,"&lt;&gt;")=0,"",SUMIFS(全馬データ!$K$2:$K$50000,全馬データ!$A$2:$A$50000,A1858,全馬データ!$B$2:$B$50000,B1858,全馬データ!$C$2:$C$50000,C1858,全馬データ!$D$2:$D$50000,E1858)))</f>
        <v/>
      </c>
      <c r="AP1858" s="8" t="str">
        <f aca="false">IF(A1858="","",IF(AO1858="","欠損",IF(AO1858&lt;=1.1,"1.0～1.1",IF(AO1858&lt;1.3,"1.2",IF(AO1858&lt;1.5,"1.3～1.4",IF(AO1858&lt;2,"1.5～1.9","2.0以上"))))))</f>
        <v/>
      </c>
      <c r="AQ1858" s="8" t="str">
        <f aca="false">IF(A1858="","",IF(ISNUMBER(SEARCH("2歳",Z1858)),"2歳戦",IF(ISNUMBER(SEARCH("3歳未勝利",Z1858)),"3歳未勝利",IF(ISNUMBER(SEARCH("未勝利",Z1858)),"その他未勝利",IF(ISNUMBER(SEARCH("G1",Z1858)),"G1",IF(ISNUMBER(SEARCH("G2",Z1858)),"G2",IF(ISNUMBER(SEARCH("G3",Z1858)),"G3",IF(ISNUMBER(SEARCH("古馬条件",Z1858)),"古馬条件戦",IF(ISNUMBER(SEARCH("重賞",Z1858)),"重賞","分類不能")))))))))</f>
        <v/>
      </c>
    </row>
    <row r="1859" customFormat="false" ht="15.75" hidden="false" customHeight="false" outlineLevel="0" collapsed="false">
      <c r="AO1859" s="8" t="str">
        <f aca="false">IF(A1859="","",IF(COUNTIFS(全馬データ!$A$2:$A$50000,A1859,全馬データ!$B$2:$B$50000,B1859,全馬データ!$C$2:$C$50000,C1859,全馬データ!$D$2:$D$50000,E1859,全馬データ!$K$2:$K$50000,"&lt;&gt;")=0,"",SUMIFS(全馬データ!$K$2:$K$50000,全馬データ!$A$2:$A$50000,A1859,全馬データ!$B$2:$B$50000,B1859,全馬データ!$C$2:$C$50000,C1859,全馬データ!$D$2:$D$50000,E1859)))</f>
        <v/>
      </c>
      <c r="AP1859" s="8" t="str">
        <f aca="false">IF(A1859="","",IF(AO1859="","欠損",IF(AO1859&lt;=1.1,"1.0～1.1",IF(AO1859&lt;1.3,"1.2",IF(AO1859&lt;1.5,"1.3～1.4",IF(AO1859&lt;2,"1.5～1.9","2.0以上"))))))</f>
        <v/>
      </c>
      <c r="AQ1859" s="8" t="str">
        <f aca="false">IF(A1859="","",IF(ISNUMBER(SEARCH("2歳",Z1859)),"2歳戦",IF(ISNUMBER(SEARCH("3歳未勝利",Z1859)),"3歳未勝利",IF(ISNUMBER(SEARCH("未勝利",Z1859)),"その他未勝利",IF(ISNUMBER(SEARCH("G1",Z1859)),"G1",IF(ISNUMBER(SEARCH("G2",Z1859)),"G2",IF(ISNUMBER(SEARCH("G3",Z1859)),"G3",IF(ISNUMBER(SEARCH("古馬条件",Z1859)),"古馬条件戦",IF(ISNUMBER(SEARCH("重賞",Z1859)),"重賞","分類不能")))))))))</f>
        <v/>
      </c>
    </row>
    <row r="1860" customFormat="false" ht="15.75" hidden="false" customHeight="false" outlineLevel="0" collapsed="false">
      <c r="AO1860" s="8" t="str">
        <f aca="false">IF(A1860="","",IF(COUNTIFS(全馬データ!$A$2:$A$50000,A1860,全馬データ!$B$2:$B$50000,B1860,全馬データ!$C$2:$C$50000,C1860,全馬データ!$D$2:$D$50000,E1860,全馬データ!$K$2:$K$50000,"&lt;&gt;")=0,"",SUMIFS(全馬データ!$K$2:$K$50000,全馬データ!$A$2:$A$50000,A1860,全馬データ!$B$2:$B$50000,B1860,全馬データ!$C$2:$C$50000,C1860,全馬データ!$D$2:$D$50000,E1860)))</f>
        <v/>
      </c>
      <c r="AP1860" s="8" t="str">
        <f aca="false">IF(A1860="","",IF(AO1860="","欠損",IF(AO1860&lt;=1.1,"1.0～1.1",IF(AO1860&lt;1.3,"1.2",IF(AO1860&lt;1.5,"1.3～1.4",IF(AO1860&lt;2,"1.5～1.9","2.0以上"))))))</f>
        <v/>
      </c>
      <c r="AQ1860" s="8" t="str">
        <f aca="false">IF(A1860="","",IF(ISNUMBER(SEARCH("2歳",Z1860)),"2歳戦",IF(ISNUMBER(SEARCH("3歳未勝利",Z1860)),"3歳未勝利",IF(ISNUMBER(SEARCH("未勝利",Z1860)),"その他未勝利",IF(ISNUMBER(SEARCH("G1",Z1860)),"G1",IF(ISNUMBER(SEARCH("G2",Z1860)),"G2",IF(ISNUMBER(SEARCH("G3",Z1860)),"G3",IF(ISNUMBER(SEARCH("古馬条件",Z1860)),"古馬条件戦",IF(ISNUMBER(SEARCH("重賞",Z1860)),"重賞","分類不能")))))))))</f>
        <v/>
      </c>
    </row>
    <row r="1861" customFormat="false" ht="15.75" hidden="false" customHeight="false" outlineLevel="0" collapsed="false">
      <c r="AO1861" s="8" t="str">
        <f aca="false">IF(A1861="","",IF(COUNTIFS(全馬データ!$A$2:$A$50000,A1861,全馬データ!$B$2:$B$50000,B1861,全馬データ!$C$2:$C$50000,C1861,全馬データ!$D$2:$D$50000,E1861,全馬データ!$K$2:$K$50000,"&lt;&gt;")=0,"",SUMIFS(全馬データ!$K$2:$K$50000,全馬データ!$A$2:$A$50000,A1861,全馬データ!$B$2:$B$50000,B1861,全馬データ!$C$2:$C$50000,C1861,全馬データ!$D$2:$D$50000,E1861)))</f>
        <v/>
      </c>
      <c r="AP1861" s="8" t="str">
        <f aca="false">IF(A1861="","",IF(AO1861="","欠損",IF(AO1861&lt;=1.1,"1.0～1.1",IF(AO1861&lt;1.3,"1.2",IF(AO1861&lt;1.5,"1.3～1.4",IF(AO1861&lt;2,"1.5～1.9","2.0以上"))))))</f>
        <v/>
      </c>
      <c r="AQ1861" s="8" t="str">
        <f aca="false">IF(A1861="","",IF(ISNUMBER(SEARCH("2歳",Z1861)),"2歳戦",IF(ISNUMBER(SEARCH("3歳未勝利",Z1861)),"3歳未勝利",IF(ISNUMBER(SEARCH("未勝利",Z1861)),"その他未勝利",IF(ISNUMBER(SEARCH("G1",Z1861)),"G1",IF(ISNUMBER(SEARCH("G2",Z1861)),"G2",IF(ISNUMBER(SEARCH("G3",Z1861)),"G3",IF(ISNUMBER(SEARCH("古馬条件",Z1861)),"古馬条件戦",IF(ISNUMBER(SEARCH("重賞",Z1861)),"重賞","分類不能")))))))))</f>
        <v/>
      </c>
    </row>
    <row r="1862" customFormat="false" ht="15.75" hidden="false" customHeight="false" outlineLevel="0" collapsed="false">
      <c r="AO1862" s="8" t="str">
        <f aca="false">IF(A1862="","",IF(COUNTIFS(全馬データ!$A$2:$A$50000,A1862,全馬データ!$B$2:$B$50000,B1862,全馬データ!$C$2:$C$50000,C1862,全馬データ!$D$2:$D$50000,E1862,全馬データ!$K$2:$K$50000,"&lt;&gt;")=0,"",SUMIFS(全馬データ!$K$2:$K$50000,全馬データ!$A$2:$A$50000,A1862,全馬データ!$B$2:$B$50000,B1862,全馬データ!$C$2:$C$50000,C1862,全馬データ!$D$2:$D$50000,E1862)))</f>
        <v/>
      </c>
      <c r="AP1862" s="8" t="str">
        <f aca="false">IF(A1862="","",IF(AO1862="","欠損",IF(AO1862&lt;=1.1,"1.0～1.1",IF(AO1862&lt;1.3,"1.2",IF(AO1862&lt;1.5,"1.3～1.4",IF(AO1862&lt;2,"1.5～1.9","2.0以上"))))))</f>
        <v/>
      </c>
      <c r="AQ1862" s="8" t="str">
        <f aca="false">IF(A1862="","",IF(ISNUMBER(SEARCH("2歳",Z1862)),"2歳戦",IF(ISNUMBER(SEARCH("3歳未勝利",Z1862)),"3歳未勝利",IF(ISNUMBER(SEARCH("未勝利",Z1862)),"その他未勝利",IF(ISNUMBER(SEARCH("G1",Z1862)),"G1",IF(ISNUMBER(SEARCH("G2",Z1862)),"G2",IF(ISNUMBER(SEARCH("G3",Z1862)),"G3",IF(ISNUMBER(SEARCH("古馬条件",Z1862)),"古馬条件戦",IF(ISNUMBER(SEARCH("重賞",Z1862)),"重賞","分類不能")))))))))</f>
        <v/>
      </c>
    </row>
    <row r="1863" customFormat="false" ht="15.75" hidden="false" customHeight="false" outlineLevel="0" collapsed="false">
      <c r="AO1863" s="8" t="str">
        <f aca="false">IF(A1863="","",IF(COUNTIFS(全馬データ!$A$2:$A$50000,A1863,全馬データ!$B$2:$B$50000,B1863,全馬データ!$C$2:$C$50000,C1863,全馬データ!$D$2:$D$50000,E1863,全馬データ!$K$2:$K$50000,"&lt;&gt;")=0,"",SUMIFS(全馬データ!$K$2:$K$50000,全馬データ!$A$2:$A$50000,A1863,全馬データ!$B$2:$B$50000,B1863,全馬データ!$C$2:$C$50000,C1863,全馬データ!$D$2:$D$50000,E1863)))</f>
        <v/>
      </c>
      <c r="AP1863" s="8" t="str">
        <f aca="false">IF(A1863="","",IF(AO1863="","欠損",IF(AO1863&lt;=1.1,"1.0～1.1",IF(AO1863&lt;1.3,"1.2",IF(AO1863&lt;1.5,"1.3～1.4",IF(AO1863&lt;2,"1.5～1.9","2.0以上"))))))</f>
        <v/>
      </c>
      <c r="AQ1863" s="8" t="str">
        <f aca="false">IF(A1863="","",IF(ISNUMBER(SEARCH("2歳",Z1863)),"2歳戦",IF(ISNUMBER(SEARCH("3歳未勝利",Z1863)),"3歳未勝利",IF(ISNUMBER(SEARCH("未勝利",Z1863)),"その他未勝利",IF(ISNUMBER(SEARCH("G1",Z1863)),"G1",IF(ISNUMBER(SEARCH("G2",Z1863)),"G2",IF(ISNUMBER(SEARCH("G3",Z1863)),"G3",IF(ISNUMBER(SEARCH("古馬条件",Z1863)),"古馬条件戦",IF(ISNUMBER(SEARCH("重賞",Z1863)),"重賞","分類不能")))))))))</f>
        <v/>
      </c>
    </row>
    <row r="1864" customFormat="false" ht="15.75" hidden="false" customHeight="false" outlineLevel="0" collapsed="false">
      <c r="AO1864" s="8" t="str">
        <f aca="false">IF(A1864="","",IF(COUNTIFS(全馬データ!$A$2:$A$50000,A1864,全馬データ!$B$2:$B$50000,B1864,全馬データ!$C$2:$C$50000,C1864,全馬データ!$D$2:$D$50000,E1864,全馬データ!$K$2:$K$50000,"&lt;&gt;")=0,"",SUMIFS(全馬データ!$K$2:$K$50000,全馬データ!$A$2:$A$50000,A1864,全馬データ!$B$2:$B$50000,B1864,全馬データ!$C$2:$C$50000,C1864,全馬データ!$D$2:$D$50000,E1864)))</f>
        <v/>
      </c>
      <c r="AP1864" s="8" t="str">
        <f aca="false">IF(A1864="","",IF(AO1864="","欠損",IF(AO1864&lt;=1.1,"1.0～1.1",IF(AO1864&lt;1.3,"1.2",IF(AO1864&lt;1.5,"1.3～1.4",IF(AO1864&lt;2,"1.5～1.9","2.0以上"))))))</f>
        <v/>
      </c>
      <c r="AQ1864" s="8" t="str">
        <f aca="false">IF(A1864="","",IF(ISNUMBER(SEARCH("2歳",Z1864)),"2歳戦",IF(ISNUMBER(SEARCH("3歳未勝利",Z1864)),"3歳未勝利",IF(ISNUMBER(SEARCH("未勝利",Z1864)),"その他未勝利",IF(ISNUMBER(SEARCH("G1",Z1864)),"G1",IF(ISNUMBER(SEARCH("G2",Z1864)),"G2",IF(ISNUMBER(SEARCH("G3",Z1864)),"G3",IF(ISNUMBER(SEARCH("古馬条件",Z1864)),"古馬条件戦",IF(ISNUMBER(SEARCH("重賞",Z1864)),"重賞","分類不能")))))))))</f>
        <v/>
      </c>
    </row>
    <row r="1865" customFormat="false" ht="15.75" hidden="false" customHeight="false" outlineLevel="0" collapsed="false">
      <c r="AO1865" s="8" t="str">
        <f aca="false">IF(A1865="","",IF(COUNTIFS(全馬データ!$A$2:$A$50000,A1865,全馬データ!$B$2:$B$50000,B1865,全馬データ!$C$2:$C$50000,C1865,全馬データ!$D$2:$D$50000,E1865,全馬データ!$K$2:$K$50000,"&lt;&gt;")=0,"",SUMIFS(全馬データ!$K$2:$K$50000,全馬データ!$A$2:$A$50000,A1865,全馬データ!$B$2:$B$50000,B1865,全馬データ!$C$2:$C$50000,C1865,全馬データ!$D$2:$D$50000,E1865)))</f>
        <v/>
      </c>
      <c r="AP1865" s="8" t="str">
        <f aca="false">IF(A1865="","",IF(AO1865="","欠損",IF(AO1865&lt;=1.1,"1.0～1.1",IF(AO1865&lt;1.3,"1.2",IF(AO1865&lt;1.5,"1.3～1.4",IF(AO1865&lt;2,"1.5～1.9","2.0以上"))))))</f>
        <v/>
      </c>
      <c r="AQ1865" s="8" t="str">
        <f aca="false">IF(A1865="","",IF(ISNUMBER(SEARCH("2歳",Z1865)),"2歳戦",IF(ISNUMBER(SEARCH("3歳未勝利",Z1865)),"3歳未勝利",IF(ISNUMBER(SEARCH("未勝利",Z1865)),"その他未勝利",IF(ISNUMBER(SEARCH("G1",Z1865)),"G1",IF(ISNUMBER(SEARCH("G2",Z1865)),"G2",IF(ISNUMBER(SEARCH("G3",Z1865)),"G3",IF(ISNUMBER(SEARCH("古馬条件",Z1865)),"古馬条件戦",IF(ISNUMBER(SEARCH("重賞",Z1865)),"重賞","分類不能")))))))))</f>
        <v/>
      </c>
    </row>
    <row r="1866" customFormat="false" ht="15.75" hidden="false" customHeight="false" outlineLevel="0" collapsed="false">
      <c r="AO1866" s="8" t="str">
        <f aca="false">IF(A1866="","",IF(COUNTIFS(全馬データ!$A$2:$A$50000,A1866,全馬データ!$B$2:$B$50000,B1866,全馬データ!$C$2:$C$50000,C1866,全馬データ!$D$2:$D$50000,E1866,全馬データ!$K$2:$K$50000,"&lt;&gt;")=0,"",SUMIFS(全馬データ!$K$2:$K$50000,全馬データ!$A$2:$A$50000,A1866,全馬データ!$B$2:$B$50000,B1866,全馬データ!$C$2:$C$50000,C1866,全馬データ!$D$2:$D$50000,E1866)))</f>
        <v/>
      </c>
      <c r="AP1866" s="8" t="str">
        <f aca="false">IF(A1866="","",IF(AO1866="","欠損",IF(AO1866&lt;=1.1,"1.0～1.1",IF(AO1866&lt;1.3,"1.2",IF(AO1866&lt;1.5,"1.3～1.4",IF(AO1866&lt;2,"1.5～1.9","2.0以上"))))))</f>
        <v/>
      </c>
      <c r="AQ1866" s="8" t="str">
        <f aca="false">IF(A1866="","",IF(ISNUMBER(SEARCH("2歳",Z1866)),"2歳戦",IF(ISNUMBER(SEARCH("3歳未勝利",Z1866)),"3歳未勝利",IF(ISNUMBER(SEARCH("未勝利",Z1866)),"その他未勝利",IF(ISNUMBER(SEARCH("G1",Z1866)),"G1",IF(ISNUMBER(SEARCH("G2",Z1866)),"G2",IF(ISNUMBER(SEARCH("G3",Z1866)),"G3",IF(ISNUMBER(SEARCH("古馬条件",Z1866)),"古馬条件戦",IF(ISNUMBER(SEARCH("重賞",Z1866)),"重賞","分類不能")))))))))</f>
        <v/>
      </c>
    </row>
    <row r="1867" customFormat="false" ht="15.75" hidden="false" customHeight="false" outlineLevel="0" collapsed="false">
      <c r="AO1867" s="8" t="str">
        <f aca="false">IF(A1867="","",IF(COUNTIFS(全馬データ!$A$2:$A$50000,A1867,全馬データ!$B$2:$B$50000,B1867,全馬データ!$C$2:$C$50000,C1867,全馬データ!$D$2:$D$50000,E1867,全馬データ!$K$2:$K$50000,"&lt;&gt;")=0,"",SUMIFS(全馬データ!$K$2:$K$50000,全馬データ!$A$2:$A$50000,A1867,全馬データ!$B$2:$B$50000,B1867,全馬データ!$C$2:$C$50000,C1867,全馬データ!$D$2:$D$50000,E1867)))</f>
        <v/>
      </c>
      <c r="AP1867" s="8" t="str">
        <f aca="false">IF(A1867="","",IF(AO1867="","欠損",IF(AO1867&lt;=1.1,"1.0～1.1",IF(AO1867&lt;1.3,"1.2",IF(AO1867&lt;1.5,"1.3～1.4",IF(AO1867&lt;2,"1.5～1.9","2.0以上"))))))</f>
        <v/>
      </c>
      <c r="AQ1867" s="8" t="str">
        <f aca="false">IF(A1867="","",IF(ISNUMBER(SEARCH("2歳",Z1867)),"2歳戦",IF(ISNUMBER(SEARCH("3歳未勝利",Z1867)),"3歳未勝利",IF(ISNUMBER(SEARCH("未勝利",Z1867)),"その他未勝利",IF(ISNUMBER(SEARCH("G1",Z1867)),"G1",IF(ISNUMBER(SEARCH("G2",Z1867)),"G2",IF(ISNUMBER(SEARCH("G3",Z1867)),"G3",IF(ISNUMBER(SEARCH("古馬条件",Z1867)),"古馬条件戦",IF(ISNUMBER(SEARCH("重賞",Z1867)),"重賞","分類不能")))))))))</f>
        <v/>
      </c>
    </row>
    <row r="1868" customFormat="false" ht="15.75" hidden="false" customHeight="false" outlineLevel="0" collapsed="false">
      <c r="AO1868" s="8" t="str">
        <f aca="false">IF(A1868="","",IF(COUNTIFS(全馬データ!$A$2:$A$50000,A1868,全馬データ!$B$2:$B$50000,B1868,全馬データ!$C$2:$C$50000,C1868,全馬データ!$D$2:$D$50000,E1868,全馬データ!$K$2:$K$50000,"&lt;&gt;")=0,"",SUMIFS(全馬データ!$K$2:$K$50000,全馬データ!$A$2:$A$50000,A1868,全馬データ!$B$2:$B$50000,B1868,全馬データ!$C$2:$C$50000,C1868,全馬データ!$D$2:$D$50000,E1868)))</f>
        <v/>
      </c>
      <c r="AP1868" s="8" t="str">
        <f aca="false">IF(A1868="","",IF(AO1868="","欠損",IF(AO1868&lt;=1.1,"1.0～1.1",IF(AO1868&lt;1.3,"1.2",IF(AO1868&lt;1.5,"1.3～1.4",IF(AO1868&lt;2,"1.5～1.9","2.0以上"))))))</f>
        <v/>
      </c>
      <c r="AQ1868" s="8" t="str">
        <f aca="false">IF(A1868="","",IF(ISNUMBER(SEARCH("2歳",Z1868)),"2歳戦",IF(ISNUMBER(SEARCH("3歳未勝利",Z1868)),"3歳未勝利",IF(ISNUMBER(SEARCH("未勝利",Z1868)),"その他未勝利",IF(ISNUMBER(SEARCH("G1",Z1868)),"G1",IF(ISNUMBER(SEARCH("G2",Z1868)),"G2",IF(ISNUMBER(SEARCH("G3",Z1868)),"G3",IF(ISNUMBER(SEARCH("古馬条件",Z1868)),"古馬条件戦",IF(ISNUMBER(SEARCH("重賞",Z1868)),"重賞","分類不能")))))))))</f>
        <v/>
      </c>
    </row>
    <row r="1869" customFormat="false" ht="15.75" hidden="false" customHeight="false" outlineLevel="0" collapsed="false">
      <c r="AO1869" s="8" t="str">
        <f aca="false">IF(A1869="","",IF(COUNTIFS(全馬データ!$A$2:$A$50000,A1869,全馬データ!$B$2:$B$50000,B1869,全馬データ!$C$2:$C$50000,C1869,全馬データ!$D$2:$D$50000,E1869,全馬データ!$K$2:$K$50000,"&lt;&gt;")=0,"",SUMIFS(全馬データ!$K$2:$K$50000,全馬データ!$A$2:$A$50000,A1869,全馬データ!$B$2:$B$50000,B1869,全馬データ!$C$2:$C$50000,C1869,全馬データ!$D$2:$D$50000,E1869)))</f>
        <v/>
      </c>
      <c r="AP1869" s="8" t="str">
        <f aca="false">IF(A1869="","",IF(AO1869="","欠損",IF(AO1869&lt;=1.1,"1.0～1.1",IF(AO1869&lt;1.3,"1.2",IF(AO1869&lt;1.5,"1.3～1.4",IF(AO1869&lt;2,"1.5～1.9","2.0以上"))))))</f>
        <v/>
      </c>
      <c r="AQ1869" s="8" t="str">
        <f aca="false">IF(A1869="","",IF(ISNUMBER(SEARCH("2歳",Z1869)),"2歳戦",IF(ISNUMBER(SEARCH("3歳未勝利",Z1869)),"3歳未勝利",IF(ISNUMBER(SEARCH("未勝利",Z1869)),"その他未勝利",IF(ISNUMBER(SEARCH("G1",Z1869)),"G1",IF(ISNUMBER(SEARCH("G2",Z1869)),"G2",IF(ISNUMBER(SEARCH("G3",Z1869)),"G3",IF(ISNUMBER(SEARCH("古馬条件",Z1869)),"古馬条件戦",IF(ISNUMBER(SEARCH("重賞",Z1869)),"重賞","分類不能")))))))))</f>
        <v/>
      </c>
    </row>
    <row r="1870" customFormat="false" ht="15.75" hidden="false" customHeight="false" outlineLevel="0" collapsed="false">
      <c r="AO1870" s="8" t="str">
        <f aca="false">IF(A1870="","",IF(COUNTIFS(全馬データ!$A$2:$A$50000,A1870,全馬データ!$B$2:$B$50000,B1870,全馬データ!$C$2:$C$50000,C1870,全馬データ!$D$2:$D$50000,E1870,全馬データ!$K$2:$K$50000,"&lt;&gt;")=0,"",SUMIFS(全馬データ!$K$2:$K$50000,全馬データ!$A$2:$A$50000,A1870,全馬データ!$B$2:$B$50000,B1870,全馬データ!$C$2:$C$50000,C1870,全馬データ!$D$2:$D$50000,E1870)))</f>
        <v/>
      </c>
      <c r="AP1870" s="8" t="str">
        <f aca="false">IF(A1870="","",IF(AO1870="","欠損",IF(AO1870&lt;=1.1,"1.0～1.1",IF(AO1870&lt;1.3,"1.2",IF(AO1870&lt;1.5,"1.3～1.4",IF(AO1870&lt;2,"1.5～1.9","2.0以上"))))))</f>
        <v/>
      </c>
      <c r="AQ1870" s="8" t="str">
        <f aca="false">IF(A1870="","",IF(ISNUMBER(SEARCH("2歳",Z1870)),"2歳戦",IF(ISNUMBER(SEARCH("3歳未勝利",Z1870)),"3歳未勝利",IF(ISNUMBER(SEARCH("未勝利",Z1870)),"その他未勝利",IF(ISNUMBER(SEARCH("G1",Z1870)),"G1",IF(ISNUMBER(SEARCH("G2",Z1870)),"G2",IF(ISNUMBER(SEARCH("G3",Z1870)),"G3",IF(ISNUMBER(SEARCH("古馬条件",Z1870)),"古馬条件戦",IF(ISNUMBER(SEARCH("重賞",Z1870)),"重賞","分類不能")))))))))</f>
        <v/>
      </c>
    </row>
    <row r="1871" customFormat="false" ht="15.75" hidden="false" customHeight="false" outlineLevel="0" collapsed="false">
      <c r="AO1871" s="8" t="str">
        <f aca="false">IF(A1871="","",IF(COUNTIFS(全馬データ!$A$2:$A$50000,A1871,全馬データ!$B$2:$B$50000,B1871,全馬データ!$C$2:$C$50000,C1871,全馬データ!$D$2:$D$50000,E1871,全馬データ!$K$2:$K$50000,"&lt;&gt;")=0,"",SUMIFS(全馬データ!$K$2:$K$50000,全馬データ!$A$2:$A$50000,A1871,全馬データ!$B$2:$B$50000,B1871,全馬データ!$C$2:$C$50000,C1871,全馬データ!$D$2:$D$50000,E1871)))</f>
        <v/>
      </c>
      <c r="AP1871" s="8" t="str">
        <f aca="false">IF(A1871="","",IF(AO1871="","欠損",IF(AO1871&lt;=1.1,"1.0～1.1",IF(AO1871&lt;1.3,"1.2",IF(AO1871&lt;1.5,"1.3～1.4",IF(AO1871&lt;2,"1.5～1.9","2.0以上"))))))</f>
        <v/>
      </c>
      <c r="AQ1871" s="8" t="str">
        <f aca="false">IF(A1871="","",IF(ISNUMBER(SEARCH("2歳",Z1871)),"2歳戦",IF(ISNUMBER(SEARCH("3歳未勝利",Z1871)),"3歳未勝利",IF(ISNUMBER(SEARCH("未勝利",Z1871)),"その他未勝利",IF(ISNUMBER(SEARCH("G1",Z1871)),"G1",IF(ISNUMBER(SEARCH("G2",Z1871)),"G2",IF(ISNUMBER(SEARCH("G3",Z1871)),"G3",IF(ISNUMBER(SEARCH("古馬条件",Z1871)),"古馬条件戦",IF(ISNUMBER(SEARCH("重賞",Z1871)),"重賞","分類不能")))))))))</f>
        <v/>
      </c>
    </row>
    <row r="1872" customFormat="false" ht="15.75" hidden="false" customHeight="false" outlineLevel="0" collapsed="false">
      <c r="AO1872" s="8" t="str">
        <f aca="false">IF(A1872="","",IF(COUNTIFS(全馬データ!$A$2:$A$50000,A1872,全馬データ!$B$2:$B$50000,B1872,全馬データ!$C$2:$C$50000,C1872,全馬データ!$D$2:$D$50000,E1872,全馬データ!$K$2:$K$50000,"&lt;&gt;")=0,"",SUMIFS(全馬データ!$K$2:$K$50000,全馬データ!$A$2:$A$50000,A1872,全馬データ!$B$2:$B$50000,B1872,全馬データ!$C$2:$C$50000,C1872,全馬データ!$D$2:$D$50000,E1872)))</f>
        <v/>
      </c>
      <c r="AP1872" s="8" t="str">
        <f aca="false">IF(A1872="","",IF(AO1872="","欠損",IF(AO1872&lt;=1.1,"1.0～1.1",IF(AO1872&lt;1.3,"1.2",IF(AO1872&lt;1.5,"1.3～1.4",IF(AO1872&lt;2,"1.5～1.9","2.0以上"))))))</f>
        <v/>
      </c>
      <c r="AQ1872" s="8" t="str">
        <f aca="false">IF(A1872="","",IF(ISNUMBER(SEARCH("2歳",Z1872)),"2歳戦",IF(ISNUMBER(SEARCH("3歳未勝利",Z1872)),"3歳未勝利",IF(ISNUMBER(SEARCH("未勝利",Z1872)),"その他未勝利",IF(ISNUMBER(SEARCH("G1",Z1872)),"G1",IF(ISNUMBER(SEARCH("G2",Z1872)),"G2",IF(ISNUMBER(SEARCH("G3",Z1872)),"G3",IF(ISNUMBER(SEARCH("古馬条件",Z1872)),"古馬条件戦",IF(ISNUMBER(SEARCH("重賞",Z1872)),"重賞","分類不能")))))))))</f>
        <v/>
      </c>
    </row>
    <row r="1873" customFormat="false" ht="15.75" hidden="false" customHeight="false" outlineLevel="0" collapsed="false">
      <c r="AO1873" s="8" t="str">
        <f aca="false">IF(A1873="","",IF(COUNTIFS(全馬データ!$A$2:$A$50000,A1873,全馬データ!$B$2:$B$50000,B1873,全馬データ!$C$2:$C$50000,C1873,全馬データ!$D$2:$D$50000,E1873,全馬データ!$K$2:$K$50000,"&lt;&gt;")=0,"",SUMIFS(全馬データ!$K$2:$K$50000,全馬データ!$A$2:$A$50000,A1873,全馬データ!$B$2:$B$50000,B1873,全馬データ!$C$2:$C$50000,C1873,全馬データ!$D$2:$D$50000,E1873)))</f>
        <v/>
      </c>
      <c r="AP1873" s="8" t="str">
        <f aca="false">IF(A1873="","",IF(AO1873="","欠損",IF(AO1873&lt;=1.1,"1.0～1.1",IF(AO1873&lt;1.3,"1.2",IF(AO1873&lt;1.5,"1.3～1.4",IF(AO1873&lt;2,"1.5～1.9","2.0以上"))))))</f>
        <v/>
      </c>
      <c r="AQ1873" s="8" t="str">
        <f aca="false">IF(A1873="","",IF(ISNUMBER(SEARCH("2歳",Z1873)),"2歳戦",IF(ISNUMBER(SEARCH("3歳未勝利",Z1873)),"3歳未勝利",IF(ISNUMBER(SEARCH("未勝利",Z1873)),"その他未勝利",IF(ISNUMBER(SEARCH("G1",Z1873)),"G1",IF(ISNUMBER(SEARCH("G2",Z1873)),"G2",IF(ISNUMBER(SEARCH("G3",Z1873)),"G3",IF(ISNUMBER(SEARCH("古馬条件",Z1873)),"古馬条件戦",IF(ISNUMBER(SEARCH("重賞",Z1873)),"重賞","分類不能")))))))))</f>
        <v/>
      </c>
    </row>
    <row r="1874" customFormat="false" ht="15.75" hidden="false" customHeight="false" outlineLevel="0" collapsed="false">
      <c r="AO1874" s="8" t="str">
        <f aca="false">IF(A1874="","",IF(COUNTIFS(全馬データ!$A$2:$A$50000,A1874,全馬データ!$B$2:$B$50000,B1874,全馬データ!$C$2:$C$50000,C1874,全馬データ!$D$2:$D$50000,E1874,全馬データ!$K$2:$K$50000,"&lt;&gt;")=0,"",SUMIFS(全馬データ!$K$2:$K$50000,全馬データ!$A$2:$A$50000,A1874,全馬データ!$B$2:$B$50000,B1874,全馬データ!$C$2:$C$50000,C1874,全馬データ!$D$2:$D$50000,E1874)))</f>
        <v/>
      </c>
      <c r="AP1874" s="8" t="str">
        <f aca="false">IF(A1874="","",IF(AO1874="","欠損",IF(AO1874&lt;=1.1,"1.0～1.1",IF(AO1874&lt;1.3,"1.2",IF(AO1874&lt;1.5,"1.3～1.4",IF(AO1874&lt;2,"1.5～1.9","2.0以上"))))))</f>
        <v/>
      </c>
      <c r="AQ1874" s="8" t="str">
        <f aca="false">IF(A1874="","",IF(ISNUMBER(SEARCH("2歳",Z1874)),"2歳戦",IF(ISNUMBER(SEARCH("3歳未勝利",Z1874)),"3歳未勝利",IF(ISNUMBER(SEARCH("未勝利",Z1874)),"その他未勝利",IF(ISNUMBER(SEARCH("G1",Z1874)),"G1",IF(ISNUMBER(SEARCH("G2",Z1874)),"G2",IF(ISNUMBER(SEARCH("G3",Z1874)),"G3",IF(ISNUMBER(SEARCH("古馬条件",Z1874)),"古馬条件戦",IF(ISNUMBER(SEARCH("重賞",Z1874)),"重賞","分類不能")))))))))</f>
        <v/>
      </c>
    </row>
    <row r="1875" customFormat="false" ht="15.75" hidden="false" customHeight="false" outlineLevel="0" collapsed="false">
      <c r="AO1875" s="8" t="str">
        <f aca="false">IF(A1875="","",IF(COUNTIFS(全馬データ!$A$2:$A$50000,A1875,全馬データ!$B$2:$B$50000,B1875,全馬データ!$C$2:$C$50000,C1875,全馬データ!$D$2:$D$50000,E1875,全馬データ!$K$2:$K$50000,"&lt;&gt;")=0,"",SUMIFS(全馬データ!$K$2:$K$50000,全馬データ!$A$2:$A$50000,A1875,全馬データ!$B$2:$B$50000,B1875,全馬データ!$C$2:$C$50000,C1875,全馬データ!$D$2:$D$50000,E1875)))</f>
        <v/>
      </c>
      <c r="AP1875" s="8" t="str">
        <f aca="false">IF(A1875="","",IF(AO1875="","欠損",IF(AO1875&lt;=1.1,"1.0～1.1",IF(AO1875&lt;1.3,"1.2",IF(AO1875&lt;1.5,"1.3～1.4",IF(AO1875&lt;2,"1.5～1.9","2.0以上"))))))</f>
        <v/>
      </c>
      <c r="AQ1875" s="8" t="str">
        <f aca="false">IF(A1875="","",IF(ISNUMBER(SEARCH("2歳",Z1875)),"2歳戦",IF(ISNUMBER(SEARCH("3歳未勝利",Z1875)),"3歳未勝利",IF(ISNUMBER(SEARCH("未勝利",Z1875)),"その他未勝利",IF(ISNUMBER(SEARCH("G1",Z1875)),"G1",IF(ISNUMBER(SEARCH("G2",Z1875)),"G2",IF(ISNUMBER(SEARCH("G3",Z1875)),"G3",IF(ISNUMBER(SEARCH("古馬条件",Z1875)),"古馬条件戦",IF(ISNUMBER(SEARCH("重賞",Z1875)),"重賞","分類不能")))))))))</f>
        <v/>
      </c>
    </row>
    <row r="1876" customFormat="false" ht="15.75" hidden="false" customHeight="false" outlineLevel="0" collapsed="false">
      <c r="AO1876" s="8" t="str">
        <f aca="false">IF(A1876="","",IF(COUNTIFS(全馬データ!$A$2:$A$50000,A1876,全馬データ!$B$2:$B$50000,B1876,全馬データ!$C$2:$C$50000,C1876,全馬データ!$D$2:$D$50000,E1876,全馬データ!$K$2:$K$50000,"&lt;&gt;")=0,"",SUMIFS(全馬データ!$K$2:$K$50000,全馬データ!$A$2:$A$50000,A1876,全馬データ!$B$2:$B$50000,B1876,全馬データ!$C$2:$C$50000,C1876,全馬データ!$D$2:$D$50000,E1876)))</f>
        <v/>
      </c>
      <c r="AP1876" s="8" t="str">
        <f aca="false">IF(A1876="","",IF(AO1876="","欠損",IF(AO1876&lt;=1.1,"1.0～1.1",IF(AO1876&lt;1.3,"1.2",IF(AO1876&lt;1.5,"1.3～1.4",IF(AO1876&lt;2,"1.5～1.9","2.0以上"))))))</f>
        <v/>
      </c>
      <c r="AQ1876" s="8" t="str">
        <f aca="false">IF(A1876="","",IF(ISNUMBER(SEARCH("2歳",Z1876)),"2歳戦",IF(ISNUMBER(SEARCH("3歳未勝利",Z1876)),"3歳未勝利",IF(ISNUMBER(SEARCH("未勝利",Z1876)),"その他未勝利",IF(ISNUMBER(SEARCH("G1",Z1876)),"G1",IF(ISNUMBER(SEARCH("G2",Z1876)),"G2",IF(ISNUMBER(SEARCH("G3",Z1876)),"G3",IF(ISNUMBER(SEARCH("古馬条件",Z1876)),"古馬条件戦",IF(ISNUMBER(SEARCH("重賞",Z1876)),"重賞","分類不能")))))))))</f>
        <v/>
      </c>
    </row>
    <row r="1877" customFormat="false" ht="15.75" hidden="false" customHeight="false" outlineLevel="0" collapsed="false">
      <c r="AO1877" s="8" t="str">
        <f aca="false">IF(A1877="","",IF(COUNTIFS(全馬データ!$A$2:$A$50000,A1877,全馬データ!$B$2:$B$50000,B1877,全馬データ!$C$2:$C$50000,C1877,全馬データ!$D$2:$D$50000,E1877,全馬データ!$K$2:$K$50000,"&lt;&gt;")=0,"",SUMIFS(全馬データ!$K$2:$K$50000,全馬データ!$A$2:$A$50000,A1877,全馬データ!$B$2:$B$50000,B1877,全馬データ!$C$2:$C$50000,C1877,全馬データ!$D$2:$D$50000,E1877)))</f>
        <v/>
      </c>
      <c r="AP1877" s="8" t="str">
        <f aca="false">IF(A1877="","",IF(AO1877="","欠損",IF(AO1877&lt;=1.1,"1.0～1.1",IF(AO1877&lt;1.3,"1.2",IF(AO1877&lt;1.5,"1.3～1.4",IF(AO1877&lt;2,"1.5～1.9","2.0以上"))))))</f>
        <v/>
      </c>
      <c r="AQ1877" s="8" t="str">
        <f aca="false">IF(A1877="","",IF(ISNUMBER(SEARCH("2歳",Z1877)),"2歳戦",IF(ISNUMBER(SEARCH("3歳未勝利",Z1877)),"3歳未勝利",IF(ISNUMBER(SEARCH("未勝利",Z1877)),"その他未勝利",IF(ISNUMBER(SEARCH("G1",Z1877)),"G1",IF(ISNUMBER(SEARCH("G2",Z1877)),"G2",IF(ISNUMBER(SEARCH("G3",Z1877)),"G3",IF(ISNUMBER(SEARCH("古馬条件",Z1877)),"古馬条件戦",IF(ISNUMBER(SEARCH("重賞",Z1877)),"重賞","分類不能")))))))))</f>
        <v/>
      </c>
    </row>
    <row r="1878" customFormat="false" ht="15.75" hidden="false" customHeight="false" outlineLevel="0" collapsed="false">
      <c r="AO1878" s="8" t="str">
        <f aca="false">IF(A1878="","",IF(COUNTIFS(全馬データ!$A$2:$A$50000,A1878,全馬データ!$B$2:$B$50000,B1878,全馬データ!$C$2:$C$50000,C1878,全馬データ!$D$2:$D$50000,E1878,全馬データ!$K$2:$K$50000,"&lt;&gt;")=0,"",SUMIFS(全馬データ!$K$2:$K$50000,全馬データ!$A$2:$A$50000,A1878,全馬データ!$B$2:$B$50000,B1878,全馬データ!$C$2:$C$50000,C1878,全馬データ!$D$2:$D$50000,E1878)))</f>
        <v/>
      </c>
      <c r="AP1878" s="8" t="str">
        <f aca="false">IF(A1878="","",IF(AO1878="","欠損",IF(AO1878&lt;=1.1,"1.0～1.1",IF(AO1878&lt;1.3,"1.2",IF(AO1878&lt;1.5,"1.3～1.4",IF(AO1878&lt;2,"1.5～1.9","2.0以上"))))))</f>
        <v/>
      </c>
      <c r="AQ1878" s="8" t="str">
        <f aca="false">IF(A1878="","",IF(ISNUMBER(SEARCH("2歳",Z1878)),"2歳戦",IF(ISNUMBER(SEARCH("3歳未勝利",Z1878)),"3歳未勝利",IF(ISNUMBER(SEARCH("未勝利",Z1878)),"その他未勝利",IF(ISNUMBER(SEARCH("G1",Z1878)),"G1",IF(ISNUMBER(SEARCH("G2",Z1878)),"G2",IF(ISNUMBER(SEARCH("G3",Z1878)),"G3",IF(ISNUMBER(SEARCH("古馬条件",Z1878)),"古馬条件戦",IF(ISNUMBER(SEARCH("重賞",Z1878)),"重賞","分類不能")))))))))</f>
        <v/>
      </c>
    </row>
    <row r="1879" customFormat="false" ht="15.75" hidden="false" customHeight="false" outlineLevel="0" collapsed="false">
      <c r="AO1879" s="8" t="str">
        <f aca="false">IF(A1879="","",IF(COUNTIFS(全馬データ!$A$2:$A$50000,A1879,全馬データ!$B$2:$B$50000,B1879,全馬データ!$C$2:$C$50000,C1879,全馬データ!$D$2:$D$50000,E1879,全馬データ!$K$2:$K$50000,"&lt;&gt;")=0,"",SUMIFS(全馬データ!$K$2:$K$50000,全馬データ!$A$2:$A$50000,A1879,全馬データ!$B$2:$B$50000,B1879,全馬データ!$C$2:$C$50000,C1879,全馬データ!$D$2:$D$50000,E1879)))</f>
        <v/>
      </c>
      <c r="AP1879" s="8" t="str">
        <f aca="false">IF(A1879="","",IF(AO1879="","欠損",IF(AO1879&lt;=1.1,"1.0～1.1",IF(AO1879&lt;1.3,"1.2",IF(AO1879&lt;1.5,"1.3～1.4",IF(AO1879&lt;2,"1.5～1.9","2.0以上"))))))</f>
        <v/>
      </c>
      <c r="AQ1879" s="8" t="str">
        <f aca="false">IF(A1879="","",IF(ISNUMBER(SEARCH("2歳",Z1879)),"2歳戦",IF(ISNUMBER(SEARCH("3歳未勝利",Z1879)),"3歳未勝利",IF(ISNUMBER(SEARCH("未勝利",Z1879)),"その他未勝利",IF(ISNUMBER(SEARCH("G1",Z1879)),"G1",IF(ISNUMBER(SEARCH("G2",Z1879)),"G2",IF(ISNUMBER(SEARCH("G3",Z1879)),"G3",IF(ISNUMBER(SEARCH("古馬条件",Z1879)),"古馬条件戦",IF(ISNUMBER(SEARCH("重賞",Z1879)),"重賞","分類不能")))))))))</f>
        <v/>
      </c>
    </row>
    <row r="1880" customFormat="false" ht="15.75" hidden="false" customHeight="false" outlineLevel="0" collapsed="false">
      <c r="AO1880" s="8" t="str">
        <f aca="false">IF(A1880="","",IF(COUNTIFS(全馬データ!$A$2:$A$50000,A1880,全馬データ!$B$2:$B$50000,B1880,全馬データ!$C$2:$C$50000,C1880,全馬データ!$D$2:$D$50000,E1880,全馬データ!$K$2:$K$50000,"&lt;&gt;")=0,"",SUMIFS(全馬データ!$K$2:$K$50000,全馬データ!$A$2:$A$50000,A1880,全馬データ!$B$2:$B$50000,B1880,全馬データ!$C$2:$C$50000,C1880,全馬データ!$D$2:$D$50000,E1880)))</f>
        <v/>
      </c>
      <c r="AP1880" s="8" t="str">
        <f aca="false">IF(A1880="","",IF(AO1880="","欠損",IF(AO1880&lt;=1.1,"1.0～1.1",IF(AO1880&lt;1.3,"1.2",IF(AO1880&lt;1.5,"1.3～1.4",IF(AO1880&lt;2,"1.5～1.9","2.0以上"))))))</f>
        <v/>
      </c>
      <c r="AQ1880" s="8" t="str">
        <f aca="false">IF(A1880="","",IF(ISNUMBER(SEARCH("2歳",Z1880)),"2歳戦",IF(ISNUMBER(SEARCH("3歳未勝利",Z1880)),"3歳未勝利",IF(ISNUMBER(SEARCH("未勝利",Z1880)),"その他未勝利",IF(ISNUMBER(SEARCH("G1",Z1880)),"G1",IF(ISNUMBER(SEARCH("G2",Z1880)),"G2",IF(ISNUMBER(SEARCH("G3",Z1880)),"G3",IF(ISNUMBER(SEARCH("古馬条件",Z1880)),"古馬条件戦",IF(ISNUMBER(SEARCH("重賞",Z1880)),"重賞","分類不能")))))))))</f>
        <v/>
      </c>
    </row>
    <row r="1881" customFormat="false" ht="15.75" hidden="false" customHeight="false" outlineLevel="0" collapsed="false">
      <c r="AO1881" s="8" t="str">
        <f aca="false">IF(A1881="","",IF(COUNTIFS(全馬データ!$A$2:$A$50000,A1881,全馬データ!$B$2:$B$50000,B1881,全馬データ!$C$2:$C$50000,C1881,全馬データ!$D$2:$D$50000,E1881,全馬データ!$K$2:$K$50000,"&lt;&gt;")=0,"",SUMIFS(全馬データ!$K$2:$K$50000,全馬データ!$A$2:$A$50000,A1881,全馬データ!$B$2:$B$50000,B1881,全馬データ!$C$2:$C$50000,C1881,全馬データ!$D$2:$D$50000,E1881)))</f>
        <v/>
      </c>
      <c r="AP1881" s="8" t="str">
        <f aca="false">IF(A1881="","",IF(AO1881="","欠損",IF(AO1881&lt;=1.1,"1.0～1.1",IF(AO1881&lt;1.3,"1.2",IF(AO1881&lt;1.5,"1.3～1.4",IF(AO1881&lt;2,"1.5～1.9","2.0以上"))))))</f>
        <v/>
      </c>
      <c r="AQ1881" s="8" t="str">
        <f aca="false">IF(A1881="","",IF(ISNUMBER(SEARCH("2歳",Z1881)),"2歳戦",IF(ISNUMBER(SEARCH("3歳未勝利",Z1881)),"3歳未勝利",IF(ISNUMBER(SEARCH("未勝利",Z1881)),"その他未勝利",IF(ISNUMBER(SEARCH("G1",Z1881)),"G1",IF(ISNUMBER(SEARCH("G2",Z1881)),"G2",IF(ISNUMBER(SEARCH("G3",Z1881)),"G3",IF(ISNUMBER(SEARCH("古馬条件",Z1881)),"古馬条件戦",IF(ISNUMBER(SEARCH("重賞",Z1881)),"重賞","分類不能")))))))))</f>
        <v/>
      </c>
    </row>
    <row r="1882" customFormat="false" ht="15.75" hidden="false" customHeight="false" outlineLevel="0" collapsed="false">
      <c r="AO1882" s="8" t="str">
        <f aca="false">IF(A1882="","",IF(COUNTIFS(全馬データ!$A$2:$A$50000,A1882,全馬データ!$B$2:$B$50000,B1882,全馬データ!$C$2:$C$50000,C1882,全馬データ!$D$2:$D$50000,E1882,全馬データ!$K$2:$K$50000,"&lt;&gt;")=0,"",SUMIFS(全馬データ!$K$2:$K$50000,全馬データ!$A$2:$A$50000,A1882,全馬データ!$B$2:$B$50000,B1882,全馬データ!$C$2:$C$50000,C1882,全馬データ!$D$2:$D$50000,E1882)))</f>
        <v/>
      </c>
      <c r="AP1882" s="8" t="str">
        <f aca="false">IF(A1882="","",IF(AO1882="","欠損",IF(AO1882&lt;=1.1,"1.0～1.1",IF(AO1882&lt;1.3,"1.2",IF(AO1882&lt;1.5,"1.3～1.4",IF(AO1882&lt;2,"1.5～1.9","2.0以上"))))))</f>
        <v/>
      </c>
      <c r="AQ1882" s="8" t="str">
        <f aca="false">IF(A1882="","",IF(ISNUMBER(SEARCH("2歳",Z1882)),"2歳戦",IF(ISNUMBER(SEARCH("3歳未勝利",Z1882)),"3歳未勝利",IF(ISNUMBER(SEARCH("未勝利",Z1882)),"その他未勝利",IF(ISNUMBER(SEARCH("G1",Z1882)),"G1",IF(ISNUMBER(SEARCH("G2",Z1882)),"G2",IF(ISNUMBER(SEARCH("G3",Z1882)),"G3",IF(ISNUMBER(SEARCH("古馬条件",Z1882)),"古馬条件戦",IF(ISNUMBER(SEARCH("重賞",Z1882)),"重賞","分類不能")))))))))</f>
        <v/>
      </c>
    </row>
    <row r="1883" customFormat="false" ht="15.75" hidden="false" customHeight="false" outlineLevel="0" collapsed="false">
      <c r="AO1883" s="8" t="str">
        <f aca="false">IF(A1883="","",IF(COUNTIFS(全馬データ!$A$2:$A$50000,A1883,全馬データ!$B$2:$B$50000,B1883,全馬データ!$C$2:$C$50000,C1883,全馬データ!$D$2:$D$50000,E1883,全馬データ!$K$2:$K$50000,"&lt;&gt;")=0,"",SUMIFS(全馬データ!$K$2:$K$50000,全馬データ!$A$2:$A$50000,A1883,全馬データ!$B$2:$B$50000,B1883,全馬データ!$C$2:$C$50000,C1883,全馬データ!$D$2:$D$50000,E1883)))</f>
        <v/>
      </c>
      <c r="AP1883" s="8" t="str">
        <f aca="false">IF(A1883="","",IF(AO1883="","欠損",IF(AO1883&lt;=1.1,"1.0～1.1",IF(AO1883&lt;1.3,"1.2",IF(AO1883&lt;1.5,"1.3～1.4",IF(AO1883&lt;2,"1.5～1.9","2.0以上"))))))</f>
        <v/>
      </c>
      <c r="AQ1883" s="8" t="str">
        <f aca="false">IF(A1883="","",IF(ISNUMBER(SEARCH("2歳",Z1883)),"2歳戦",IF(ISNUMBER(SEARCH("3歳未勝利",Z1883)),"3歳未勝利",IF(ISNUMBER(SEARCH("未勝利",Z1883)),"その他未勝利",IF(ISNUMBER(SEARCH("G1",Z1883)),"G1",IF(ISNUMBER(SEARCH("G2",Z1883)),"G2",IF(ISNUMBER(SEARCH("G3",Z1883)),"G3",IF(ISNUMBER(SEARCH("古馬条件",Z1883)),"古馬条件戦",IF(ISNUMBER(SEARCH("重賞",Z1883)),"重賞","分類不能")))))))))</f>
        <v/>
      </c>
    </row>
    <row r="1884" customFormat="false" ht="15.75" hidden="false" customHeight="false" outlineLevel="0" collapsed="false">
      <c r="AO1884" s="8" t="str">
        <f aca="false">IF(A1884="","",IF(COUNTIFS(全馬データ!$A$2:$A$50000,A1884,全馬データ!$B$2:$B$50000,B1884,全馬データ!$C$2:$C$50000,C1884,全馬データ!$D$2:$D$50000,E1884,全馬データ!$K$2:$K$50000,"&lt;&gt;")=0,"",SUMIFS(全馬データ!$K$2:$K$50000,全馬データ!$A$2:$A$50000,A1884,全馬データ!$B$2:$B$50000,B1884,全馬データ!$C$2:$C$50000,C1884,全馬データ!$D$2:$D$50000,E1884)))</f>
        <v/>
      </c>
      <c r="AP1884" s="8" t="str">
        <f aca="false">IF(A1884="","",IF(AO1884="","欠損",IF(AO1884&lt;=1.1,"1.0～1.1",IF(AO1884&lt;1.3,"1.2",IF(AO1884&lt;1.5,"1.3～1.4",IF(AO1884&lt;2,"1.5～1.9","2.0以上"))))))</f>
        <v/>
      </c>
      <c r="AQ1884" s="8" t="str">
        <f aca="false">IF(A1884="","",IF(ISNUMBER(SEARCH("2歳",Z1884)),"2歳戦",IF(ISNUMBER(SEARCH("3歳未勝利",Z1884)),"3歳未勝利",IF(ISNUMBER(SEARCH("未勝利",Z1884)),"その他未勝利",IF(ISNUMBER(SEARCH("G1",Z1884)),"G1",IF(ISNUMBER(SEARCH("G2",Z1884)),"G2",IF(ISNUMBER(SEARCH("G3",Z1884)),"G3",IF(ISNUMBER(SEARCH("古馬条件",Z1884)),"古馬条件戦",IF(ISNUMBER(SEARCH("重賞",Z1884)),"重賞","分類不能")))))))))</f>
        <v/>
      </c>
    </row>
    <row r="1885" customFormat="false" ht="15.75" hidden="false" customHeight="false" outlineLevel="0" collapsed="false">
      <c r="AO1885" s="8" t="str">
        <f aca="false">IF(A1885="","",IF(COUNTIFS(全馬データ!$A$2:$A$50000,A1885,全馬データ!$B$2:$B$50000,B1885,全馬データ!$C$2:$C$50000,C1885,全馬データ!$D$2:$D$50000,E1885,全馬データ!$K$2:$K$50000,"&lt;&gt;")=0,"",SUMIFS(全馬データ!$K$2:$K$50000,全馬データ!$A$2:$A$50000,A1885,全馬データ!$B$2:$B$50000,B1885,全馬データ!$C$2:$C$50000,C1885,全馬データ!$D$2:$D$50000,E1885)))</f>
        <v/>
      </c>
      <c r="AP1885" s="8" t="str">
        <f aca="false">IF(A1885="","",IF(AO1885="","欠損",IF(AO1885&lt;=1.1,"1.0～1.1",IF(AO1885&lt;1.3,"1.2",IF(AO1885&lt;1.5,"1.3～1.4",IF(AO1885&lt;2,"1.5～1.9","2.0以上"))))))</f>
        <v/>
      </c>
      <c r="AQ1885" s="8" t="str">
        <f aca="false">IF(A1885="","",IF(ISNUMBER(SEARCH("2歳",Z1885)),"2歳戦",IF(ISNUMBER(SEARCH("3歳未勝利",Z1885)),"3歳未勝利",IF(ISNUMBER(SEARCH("未勝利",Z1885)),"その他未勝利",IF(ISNUMBER(SEARCH("G1",Z1885)),"G1",IF(ISNUMBER(SEARCH("G2",Z1885)),"G2",IF(ISNUMBER(SEARCH("G3",Z1885)),"G3",IF(ISNUMBER(SEARCH("古馬条件",Z1885)),"古馬条件戦",IF(ISNUMBER(SEARCH("重賞",Z1885)),"重賞","分類不能")))))))))</f>
        <v/>
      </c>
    </row>
    <row r="1886" customFormat="false" ht="15.75" hidden="false" customHeight="false" outlineLevel="0" collapsed="false">
      <c r="AO1886" s="8" t="str">
        <f aca="false">IF(A1886="","",IF(COUNTIFS(全馬データ!$A$2:$A$50000,A1886,全馬データ!$B$2:$B$50000,B1886,全馬データ!$C$2:$C$50000,C1886,全馬データ!$D$2:$D$50000,E1886,全馬データ!$K$2:$K$50000,"&lt;&gt;")=0,"",SUMIFS(全馬データ!$K$2:$K$50000,全馬データ!$A$2:$A$50000,A1886,全馬データ!$B$2:$B$50000,B1886,全馬データ!$C$2:$C$50000,C1886,全馬データ!$D$2:$D$50000,E1886)))</f>
        <v/>
      </c>
      <c r="AP1886" s="8" t="str">
        <f aca="false">IF(A1886="","",IF(AO1886="","欠損",IF(AO1886&lt;=1.1,"1.0～1.1",IF(AO1886&lt;1.3,"1.2",IF(AO1886&lt;1.5,"1.3～1.4",IF(AO1886&lt;2,"1.5～1.9","2.0以上"))))))</f>
        <v/>
      </c>
      <c r="AQ1886" s="8" t="str">
        <f aca="false">IF(A1886="","",IF(ISNUMBER(SEARCH("2歳",Z1886)),"2歳戦",IF(ISNUMBER(SEARCH("3歳未勝利",Z1886)),"3歳未勝利",IF(ISNUMBER(SEARCH("未勝利",Z1886)),"その他未勝利",IF(ISNUMBER(SEARCH("G1",Z1886)),"G1",IF(ISNUMBER(SEARCH("G2",Z1886)),"G2",IF(ISNUMBER(SEARCH("G3",Z1886)),"G3",IF(ISNUMBER(SEARCH("古馬条件",Z1886)),"古馬条件戦",IF(ISNUMBER(SEARCH("重賞",Z1886)),"重賞","分類不能")))))))))</f>
        <v/>
      </c>
    </row>
    <row r="1887" customFormat="false" ht="15.75" hidden="false" customHeight="false" outlineLevel="0" collapsed="false">
      <c r="AO1887" s="8" t="str">
        <f aca="false">IF(A1887="","",IF(COUNTIFS(全馬データ!$A$2:$A$50000,A1887,全馬データ!$B$2:$B$50000,B1887,全馬データ!$C$2:$C$50000,C1887,全馬データ!$D$2:$D$50000,E1887,全馬データ!$K$2:$K$50000,"&lt;&gt;")=0,"",SUMIFS(全馬データ!$K$2:$K$50000,全馬データ!$A$2:$A$50000,A1887,全馬データ!$B$2:$B$50000,B1887,全馬データ!$C$2:$C$50000,C1887,全馬データ!$D$2:$D$50000,E1887)))</f>
        <v/>
      </c>
      <c r="AP1887" s="8" t="str">
        <f aca="false">IF(A1887="","",IF(AO1887="","欠損",IF(AO1887&lt;=1.1,"1.0～1.1",IF(AO1887&lt;1.3,"1.2",IF(AO1887&lt;1.5,"1.3～1.4",IF(AO1887&lt;2,"1.5～1.9","2.0以上"))))))</f>
        <v/>
      </c>
      <c r="AQ1887" s="8" t="str">
        <f aca="false">IF(A1887="","",IF(ISNUMBER(SEARCH("2歳",Z1887)),"2歳戦",IF(ISNUMBER(SEARCH("3歳未勝利",Z1887)),"3歳未勝利",IF(ISNUMBER(SEARCH("未勝利",Z1887)),"その他未勝利",IF(ISNUMBER(SEARCH("G1",Z1887)),"G1",IF(ISNUMBER(SEARCH("G2",Z1887)),"G2",IF(ISNUMBER(SEARCH("G3",Z1887)),"G3",IF(ISNUMBER(SEARCH("古馬条件",Z1887)),"古馬条件戦",IF(ISNUMBER(SEARCH("重賞",Z1887)),"重賞","分類不能")))))))))</f>
        <v/>
      </c>
    </row>
    <row r="1888" customFormat="false" ht="15.75" hidden="false" customHeight="false" outlineLevel="0" collapsed="false">
      <c r="AO1888" s="8" t="str">
        <f aca="false">IF(A1888="","",IF(COUNTIFS(全馬データ!$A$2:$A$50000,A1888,全馬データ!$B$2:$B$50000,B1888,全馬データ!$C$2:$C$50000,C1888,全馬データ!$D$2:$D$50000,E1888,全馬データ!$K$2:$K$50000,"&lt;&gt;")=0,"",SUMIFS(全馬データ!$K$2:$K$50000,全馬データ!$A$2:$A$50000,A1888,全馬データ!$B$2:$B$50000,B1888,全馬データ!$C$2:$C$50000,C1888,全馬データ!$D$2:$D$50000,E1888)))</f>
        <v/>
      </c>
      <c r="AP1888" s="8" t="str">
        <f aca="false">IF(A1888="","",IF(AO1888="","欠損",IF(AO1888&lt;=1.1,"1.0～1.1",IF(AO1888&lt;1.3,"1.2",IF(AO1888&lt;1.5,"1.3～1.4",IF(AO1888&lt;2,"1.5～1.9","2.0以上"))))))</f>
        <v/>
      </c>
      <c r="AQ1888" s="8" t="str">
        <f aca="false">IF(A1888="","",IF(ISNUMBER(SEARCH("2歳",Z1888)),"2歳戦",IF(ISNUMBER(SEARCH("3歳未勝利",Z1888)),"3歳未勝利",IF(ISNUMBER(SEARCH("未勝利",Z1888)),"その他未勝利",IF(ISNUMBER(SEARCH("G1",Z1888)),"G1",IF(ISNUMBER(SEARCH("G2",Z1888)),"G2",IF(ISNUMBER(SEARCH("G3",Z1888)),"G3",IF(ISNUMBER(SEARCH("古馬条件",Z1888)),"古馬条件戦",IF(ISNUMBER(SEARCH("重賞",Z1888)),"重賞","分類不能")))))))))</f>
        <v/>
      </c>
    </row>
    <row r="1889" customFormat="false" ht="15.75" hidden="false" customHeight="false" outlineLevel="0" collapsed="false">
      <c r="AO1889" s="8" t="str">
        <f aca="false">IF(A1889="","",IF(COUNTIFS(全馬データ!$A$2:$A$50000,A1889,全馬データ!$B$2:$B$50000,B1889,全馬データ!$C$2:$C$50000,C1889,全馬データ!$D$2:$D$50000,E1889,全馬データ!$K$2:$K$50000,"&lt;&gt;")=0,"",SUMIFS(全馬データ!$K$2:$K$50000,全馬データ!$A$2:$A$50000,A1889,全馬データ!$B$2:$B$50000,B1889,全馬データ!$C$2:$C$50000,C1889,全馬データ!$D$2:$D$50000,E1889)))</f>
        <v/>
      </c>
      <c r="AP1889" s="8" t="str">
        <f aca="false">IF(A1889="","",IF(AO1889="","欠損",IF(AO1889&lt;=1.1,"1.0～1.1",IF(AO1889&lt;1.3,"1.2",IF(AO1889&lt;1.5,"1.3～1.4",IF(AO1889&lt;2,"1.5～1.9","2.0以上"))))))</f>
        <v/>
      </c>
      <c r="AQ1889" s="8" t="str">
        <f aca="false">IF(A1889="","",IF(ISNUMBER(SEARCH("2歳",Z1889)),"2歳戦",IF(ISNUMBER(SEARCH("3歳未勝利",Z1889)),"3歳未勝利",IF(ISNUMBER(SEARCH("未勝利",Z1889)),"その他未勝利",IF(ISNUMBER(SEARCH("G1",Z1889)),"G1",IF(ISNUMBER(SEARCH("G2",Z1889)),"G2",IF(ISNUMBER(SEARCH("G3",Z1889)),"G3",IF(ISNUMBER(SEARCH("古馬条件",Z1889)),"古馬条件戦",IF(ISNUMBER(SEARCH("重賞",Z1889)),"重賞","分類不能")))))))))</f>
        <v/>
      </c>
    </row>
    <row r="1890" customFormat="false" ht="15.75" hidden="false" customHeight="false" outlineLevel="0" collapsed="false">
      <c r="AO1890" s="8" t="str">
        <f aca="false">IF(A1890="","",IF(COUNTIFS(全馬データ!$A$2:$A$50000,A1890,全馬データ!$B$2:$B$50000,B1890,全馬データ!$C$2:$C$50000,C1890,全馬データ!$D$2:$D$50000,E1890,全馬データ!$K$2:$K$50000,"&lt;&gt;")=0,"",SUMIFS(全馬データ!$K$2:$K$50000,全馬データ!$A$2:$A$50000,A1890,全馬データ!$B$2:$B$50000,B1890,全馬データ!$C$2:$C$50000,C1890,全馬データ!$D$2:$D$50000,E1890)))</f>
        <v/>
      </c>
      <c r="AP1890" s="8" t="str">
        <f aca="false">IF(A1890="","",IF(AO1890="","欠損",IF(AO1890&lt;=1.1,"1.0～1.1",IF(AO1890&lt;1.3,"1.2",IF(AO1890&lt;1.5,"1.3～1.4",IF(AO1890&lt;2,"1.5～1.9","2.0以上"))))))</f>
        <v/>
      </c>
      <c r="AQ1890" s="8" t="str">
        <f aca="false">IF(A1890="","",IF(ISNUMBER(SEARCH("2歳",Z1890)),"2歳戦",IF(ISNUMBER(SEARCH("3歳未勝利",Z1890)),"3歳未勝利",IF(ISNUMBER(SEARCH("未勝利",Z1890)),"その他未勝利",IF(ISNUMBER(SEARCH("G1",Z1890)),"G1",IF(ISNUMBER(SEARCH("G2",Z1890)),"G2",IF(ISNUMBER(SEARCH("G3",Z1890)),"G3",IF(ISNUMBER(SEARCH("古馬条件",Z1890)),"古馬条件戦",IF(ISNUMBER(SEARCH("重賞",Z1890)),"重賞","分類不能")))))))))</f>
        <v/>
      </c>
    </row>
    <row r="1891" customFormat="false" ht="15.75" hidden="false" customHeight="false" outlineLevel="0" collapsed="false">
      <c r="AO1891" s="8" t="str">
        <f aca="false">IF(A1891="","",IF(COUNTIFS(全馬データ!$A$2:$A$50000,A1891,全馬データ!$B$2:$B$50000,B1891,全馬データ!$C$2:$C$50000,C1891,全馬データ!$D$2:$D$50000,E1891,全馬データ!$K$2:$K$50000,"&lt;&gt;")=0,"",SUMIFS(全馬データ!$K$2:$K$50000,全馬データ!$A$2:$A$50000,A1891,全馬データ!$B$2:$B$50000,B1891,全馬データ!$C$2:$C$50000,C1891,全馬データ!$D$2:$D$50000,E1891)))</f>
        <v/>
      </c>
      <c r="AP1891" s="8" t="str">
        <f aca="false">IF(A1891="","",IF(AO1891="","欠損",IF(AO1891&lt;=1.1,"1.0～1.1",IF(AO1891&lt;1.3,"1.2",IF(AO1891&lt;1.5,"1.3～1.4",IF(AO1891&lt;2,"1.5～1.9","2.0以上"))))))</f>
        <v/>
      </c>
      <c r="AQ1891" s="8" t="str">
        <f aca="false">IF(A1891="","",IF(ISNUMBER(SEARCH("2歳",Z1891)),"2歳戦",IF(ISNUMBER(SEARCH("3歳未勝利",Z1891)),"3歳未勝利",IF(ISNUMBER(SEARCH("未勝利",Z1891)),"その他未勝利",IF(ISNUMBER(SEARCH("G1",Z1891)),"G1",IF(ISNUMBER(SEARCH("G2",Z1891)),"G2",IF(ISNUMBER(SEARCH("G3",Z1891)),"G3",IF(ISNUMBER(SEARCH("古馬条件",Z1891)),"古馬条件戦",IF(ISNUMBER(SEARCH("重賞",Z1891)),"重賞","分類不能")))))))))</f>
        <v/>
      </c>
    </row>
    <row r="1892" customFormat="false" ht="15.75" hidden="false" customHeight="false" outlineLevel="0" collapsed="false">
      <c r="AO1892" s="8" t="str">
        <f aca="false">IF(A1892="","",IF(COUNTIFS(全馬データ!$A$2:$A$50000,A1892,全馬データ!$B$2:$B$50000,B1892,全馬データ!$C$2:$C$50000,C1892,全馬データ!$D$2:$D$50000,E1892,全馬データ!$K$2:$K$50000,"&lt;&gt;")=0,"",SUMIFS(全馬データ!$K$2:$K$50000,全馬データ!$A$2:$A$50000,A1892,全馬データ!$B$2:$B$50000,B1892,全馬データ!$C$2:$C$50000,C1892,全馬データ!$D$2:$D$50000,E1892)))</f>
        <v/>
      </c>
      <c r="AP1892" s="8" t="str">
        <f aca="false">IF(A1892="","",IF(AO1892="","欠損",IF(AO1892&lt;=1.1,"1.0～1.1",IF(AO1892&lt;1.3,"1.2",IF(AO1892&lt;1.5,"1.3～1.4",IF(AO1892&lt;2,"1.5～1.9","2.0以上"))))))</f>
        <v/>
      </c>
      <c r="AQ1892" s="8" t="str">
        <f aca="false">IF(A1892="","",IF(ISNUMBER(SEARCH("2歳",Z1892)),"2歳戦",IF(ISNUMBER(SEARCH("3歳未勝利",Z1892)),"3歳未勝利",IF(ISNUMBER(SEARCH("未勝利",Z1892)),"その他未勝利",IF(ISNUMBER(SEARCH("G1",Z1892)),"G1",IF(ISNUMBER(SEARCH("G2",Z1892)),"G2",IF(ISNUMBER(SEARCH("G3",Z1892)),"G3",IF(ISNUMBER(SEARCH("古馬条件",Z1892)),"古馬条件戦",IF(ISNUMBER(SEARCH("重賞",Z1892)),"重賞","分類不能")))))))))</f>
        <v/>
      </c>
    </row>
    <row r="1893" customFormat="false" ht="15.75" hidden="false" customHeight="false" outlineLevel="0" collapsed="false">
      <c r="AO1893" s="8" t="str">
        <f aca="false">IF(A1893="","",IF(COUNTIFS(全馬データ!$A$2:$A$50000,A1893,全馬データ!$B$2:$B$50000,B1893,全馬データ!$C$2:$C$50000,C1893,全馬データ!$D$2:$D$50000,E1893,全馬データ!$K$2:$K$50000,"&lt;&gt;")=0,"",SUMIFS(全馬データ!$K$2:$K$50000,全馬データ!$A$2:$A$50000,A1893,全馬データ!$B$2:$B$50000,B1893,全馬データ!$C$2:$C$50000,C1893,全馬データ!$D$2:$D$50000,E1893)))</f>
        <v/>
      </c>
      <c r="AP1893" s="8" t="str">
        <f aca="false">IF(A1893="","",IF(AO1893="","欠損",IF(AO1893&lt;=1.1,"1.0～1.1",IF(AO1893&lt;1.3,"1.2",IF(AO1893&lt;1.5,"1.3～1.4",IF(AO1893&lt;2,"1.5～1.9","2.0以上"))))))</f>
        <v/>
      </c>
      <c r="AQ1893" s="8" t="str">
        <f aca="false">IF(A1893="","",IF(ISNUMBER(SEARCH("2歳",Z1893)),"2歳戦",IF(ISNUMBER(SEARCH("3歳未勝利",Z1893)),"3歳未勝利",IF(ISNUMBER(SEARCH("未勝利",Z1893)),"その他未勝利",IF(ISNUMBER(SEARCH("G1",Z1893)),"G1",IF(ISNUMBER(SEARCH("G2",Z1893)),"G2",IF(ISNUMBER(SEARCH("G3",Z1893)),"G3",IF(ISNUMBER(SEARCH("古馬条件",Z1893)),"古馬条件戦",IF(ISNUMBER(SEARCH("重賞",Z1893)),"重賞","分類不能")))))))))</f>
        <v/>
      </c>
    </row>
    <row r="1894" customFormat="false" ht="15.75" hidden="false" customHeight="false" outlineLevel="0" collapsed="false">
      <c r="AO1894" s="8" t="str">
        <f aca="false">IF(A1894="","",IF(COUNTIFS(全馬データ!$A$2:$A$50000,A1894,全馬データ!$B$2:$B$50000,B1894,全馬データ!$C$2:$C$50000,C1894,全馬データ!$D$2:$D$50000,E1894,全馬データ!$K$2:$K$50000,"&lt;&gt;")=0,"",SUMIFS(全馬データ!$K$2:$K$50000,全馬データ!$A$2:$A$50000,A1894,全馬データ!$B$2:$B$50000,B1894,全馬データ!$C$2:$C$50000,C1894,全馬データ!$D$2:$D$50000,E1894)))</f>
        <v/>
      </c>
      <c r="AP1894" s="8" t="str">
        <f aca="false">IF(A1894="","",IF(AO1894="","欠損",IF(AO1894&lt;=1.1,"1.0～1.1",IF(AO1894&lt;1.3,"1.2",IF(AO1894&lt;1.5,"1.3～1.4",IF(AO1894&lt;2,"1.5～1.9","2.0以上"))))))</f>
        <v/>
      </c>
      <c r="AQ1894" s="8" t="str">
        <f aca="false">IF(A1894="","",IF(ISNUMBER(SEARCH("2歳",Z1894)),"2歳戦",IF(ISNUMBER(SEARCH("3歳未勝利",Z1894)),"3歳未勝利",IF(ISNUMBER(SEARCH("未勝利",Z1894)),"その他未勝利",IF(ISNUMBER(SEARCH("G1",Z1894)),"G1",IF(ISNUMBER(SEARCH("G2",Z1894)),"G2",IF(ISNUMBER(SEARCH("G3",Z1894)),"G3",IF(ISNUMBER(SEARCH("古馬条件",Z1894)),"古馬条件戦",IF(ISNUMBER(SEARCH("重賞",Z1894)),"重賞","分類不能")))))))))</f>
        <v/>
      </c>
    </row>
    <row r="1895" customFormat="false" ht="15.75" hidden="false" customHeight="false" outlineLevel="0" collapsed="false">
      <c r="AO1895" s="8" t="str">
        <f aca="false">IF(A1895="","",IF(COUNTIFS(全馬データ!$A$2:$A$50000,A1895,全馬データ!$B$2:$B$50000,B1895,全馬データ!$C$2:$C$50000,C1895,全馬データ!$D$2:$D$50000,E1895,全馬データ!$K$2:$K$50000,"&lt;&gt;")=0,"",SUMIFS(全馬データ!$K$2:$K$50000,全馬データ!$A$2:$A$50000,A1895,全馬データ!$B$2:$B$50000,B1895,全馬データ!$C$2:$C$50000,C1895,全馬データ!$D$2:$D$50000,E1895)))</f>
        <v/>
      </c>
      <c r="AP1895" s="8" t="str">
        <f aca="false">IF(A1895="","",IF(AO1895="","欠損",IF(AO1895&lt;=1.1,"1.0～1.1",IF(AO1895&lt;1.3,"1.2",IF(AO1895&lt;1.5,"1.3～1.4",IF(AO1895&lt;2,"1.5～1.9","2.0以上"))))))</f>
        <v/>
      </c>
      <c r="AQ1895" s="8" t="str">
        <f aca="false">IF(A1895="","",IF(ISNUMBER(SEARCH("2歳",Z1895)),"2歳戦",IF(ISNUMBER(SEARCH("3歳未勝利",Z1895)),"3歳未勝利",IF(ISNUMBER(SEARCH("未勝利",Z1895)),"その他未勝利",IF(ISNUMBER(SEARCH("G1",Z1895)),"G1",IF(ISNUMBER(SEARCH("G2",Z1895)),"G2",IF(ISNUMBER(SEARCH("G3",Z1895)),"G3",IF(ISNUMBER(SEARCH("古馬条件",Z1895)),"古馬条件戦",IF(ISNUMBER(SEARCH("重賞",Z1895)),"重賞","分類不能")))))))))</f>
        <v/>
      </c>
    </row>
    <row r="1896" customFormat="false" ht="15.75" hidden="false" customHeight="false" outlineLevel="0" collapsed="false">
      <c r="AO1896" s="8" t="str">
        <f aca="false">IF(A1896="","",IF(COUNTIFS(全馬データ!$A$2:$A$50000,A1896,全馬データ!$B$2:$B$50000,B1896,全馬データ!$C$2:$C$50000,C1896,全馬データ!$D$2:$D$50000,E1896,全馬データ!$K$2:$K$50000,"&lt;&gt;")=0,"",SUMIFS(全馬データ!$K$2:$K$50000,全馬データ!$A$2:$A$50000,A1896,全馬データ!$B$2:$B$50000,B1896,全馬データ!$C$2:$C$50000,C1896,全馬データ!$D$2:$D$50000,E1896)))</f>
        <v/>
      </c>
      <c r="AP1896" s="8" t="str">
        <f aca="false">IF(A1896="","",IF(AO1896="","欠損",IF(AO1896&lt;=1.1,"1.0～1.1",IF(AO1896&lt;1.3,"1.2",IF(AO1896&lt;1.5,"1.3～1.4",IF(AO1896&lt;2,"1.5～1.9","2.0以上"))))))</f>
        <v/>
      </c>
      <c r="AQ1896" s="8" t="str">
        <f aca="false">IF(A1896="","",IF(ISNUMBER(SEARCH("2歳",Z1896)),"2歳戦",IF(ISNUMBER(SEARCH("3歳未勝利",Z1896)),"3歳未勝利",IF(ISNUMBER(SEARCH("未勝利",Z1896)),"その他未勝利",IF(ISNUMBER(SEARCH("G1",Z1896)),"G1",IF(ISNUMBER(SEARCH("G2",Z1896)),"G2",IF(ISNUMBER(SEARCH("G3",Z1896)),"G3",IF(ISNUMBER(SEARCH("古馬条件",Z1896)),"古馬条件戦",IF(ISNUMBER(SEARCH("重賞",Z1896)),"重賞","分類不能")))))))))</f>
        <v/>
      </c>
    </row>
    <row r="1897" customFormat="false" ht="15.75" hidden="false" customHeight="false" outlineLevel="0" collapsed="false">
      <c r="AO1897" s="8" t="str">
        <f aca="false">IF(A1897="","",IF(COUNTIFS(全馬データ!$A$2:$A$50000,A1897,全馬データ!$B$2:$B$50000,B1897,全馬データ!$C$2:$C$50000,C1897,全馬データ!$D$2:$D$50000,E1897,全馬データ!$K$2:$K$50000,"&lt;&gt;")=0,"",SUMIFS(全馬データ!$K$2:$K$50000,全馬データ!$A$2:$A$50000,A1897,全馬データ!$B$2:$B$50000,B1897,全馬データ!$C$2:$C$50000,C1897,全馬データ!$D$2:$D$50000,E1897)))</f>
        <v/>
      </c>
      <c r="AP1897" s="8" t="str">
        <f aca="false">IF(A1897="","",IF(AO1897="","欠損",IF(AO1897&lt;=1.1,"1.0～1.1",IF(AO1897&lt;1.3,"1.2",IF(AO1897&lt;1.5,"1.3～1.4",IF(AO1897&lt;2,"1.5～1.9","2.0以上"))))))</f>
        <v/>
      </c>
      <c r="AQ1897" s="8" t="str">
        <f aca="false">IF(A1897="","",IF(ISNUMBER(SEARCH("2歳",Z1897)),"2歳戦",IF(ISNUMBER(SEARCH("3歳未勝利",Z1897)),"3歳未勝利",IF(ISNUMBER(SEARCH("未勝利",Z1897)),"その他未勝利",IF(ISNUMBER(SEARCH("G1",Z1897)),"G1",IF(ISNUMBER(SEARCH("G2",Z1897)),"G2",IF(ISNUMBER(SEARCH("G3",Z1897)),"G3",IF(ISNUMBER(SEARCH("古馬条件",Z1897)),"古馬条件戦",IF(ISNUMBER(SEARCH("重賞",Z1897)),"重賞","分類不能")))))))))</f>
        <v/>
      </c>
    </row>
    <row r="1898" customFormat="false" ht="15.75" hidden="false" customHeight="false" outlineLevel="0" collapsed="false">
      <c r="AO1898" s="8" t="str">
        <f aca="false">IF(A1898="","",IF(COUNTIFS(全馬データ!$A$2:$A$50000,A1898,全馬データ!$B$2:$B$50000,B1898,全馬データ!$C$2:$C$50000,C1898,全馬データ!$D$2:$D$50000,E1898,全馬データ!$K$2:$K$50000,"&lt;&gt;")=0,"",SUMIFS(全馬データ!$K$2:$K$50000,全馬データ!$A$2:$A$50000,A1898,全馬データ!$B$2:$B$50000,B1898,全馬データ!$C$2:$C$50000,C1898,全馬データ!$D$2:$D$50000,E1898)))</f>
        <v/>
      </c>
      <c r="AP1898" s="8" t="str">
        <f aca="false">IF(A1898="","",IF(AO1898="","欠損",IF(AO1898&lt;=1.1,"1.0～1.1",IF(AO1898&lt;1.3,"1.2",IF(AO1898&lt;1.5,"1.3～1.4",IF(AO1898&lt;2,"1.5～1.9","2.0以上"))))))</f>
        <v/>
      </c>
      <c r="AQ1898" s="8" t="str">
        <f aca="false">IF(A1898="","",IF(ISNUMBER(SEARCH("2歳",Z1898)),"2歳戦",IF(ISNUMBER(SEARCH("3歳未勝利",Z1898)),"3歳未勝利",IF(ISNUMBER(SEARCH("未勝利",Z1898)),"その他未勝利",IF(ISNUMBER(SEARCH("G1",Z1898)),"G1",IF(ISNUMBER(SEARCH("G2",Z1898)),"G2",IF(ISNUMBER(SEARCH("G3",Z1898)),"G3",IF(ISNUMBER(SEARCH("古馬条件",Z1898)),"古馬条件戦",IF(ISNUMBER(SEARCH("重賞",Z1898)),"重賞","分類不能")))))))))</f>
        <v/>
      </c>
    </row>
    <row r="1899" customFormat="false" ht="15.75" hidden="false" customHeight="false" outlineLevel="0" collapsed="false">
      <c r="AO1899" s="8" t="str">
        <f aca="false">IF(A1899="","",IF(COUNTIFS(全馬データ!$A$2:$A$50000,A1899,全馬データ!$B$2:$B$50000,B1899,全馬データ!$C$2:$C$50000,C1899,全馬データ!$D$2:$D$50000,E1899,全馬データ!$K$2:$K$50000,"&lt;&gt;")=0,"",SUMIFS(全馬データ!$K$2:$K$50000,全馬データ!$A$2:$A$50000,A1899,全馬データ!$B$2:$B$50000,B1899,全馬データ!$C$2:$C$50000,C1899,全馬データ!$D$2:$D$50000,E1899)))</f>
        <v/>
      </c>
      <c r="AP1899" s="8" t="str">
        <f aca="false">IF(A1899="","",IF(AO1899="","欠損",IF(AO1899&lt;=1.1,"1.0～1.1",IF(AO1899&lt;1.3,"1.2",IF(AO1899&lt;1.5,"1.3～1.4",IF(AO1899&lt;2,"1.5～1.9","2.0以上"))))))</f>
        <v/>
      </c>
      <c r="AQ1899" s="8" t="str">
        <f aca="false">IF(A1899="","",IF(ISNUMBER(SEARCH("2歳",Z1899)),"2歳戦",IF(ISNUMBER(SEARCH("3歳未勝利",Z1899)),"3歳未勝利",IF(ISNUMBER(SEARCH("未勝利",Z1899)),"その他未勝利",IF(ISNUMBER(SEARCH("G1",Z1899)),"G1",IF(ISNUMBER(SEARCH("G2",Z1899)),"G2",IF(ISNUMBER(SEARCH("G3",Z1899)),"G3",IF(ISNUMBER(SEARCH("古馬条件",Z1899)),"古馬条件戦",IF(ISNUMBER(SEARCH("重賞",Z1899)),"重賞","分類不能")))))))))</f>
        <v/>
      </c>
    </row>
    <row r="1900" customFormat="false" ht="15.75" hidden="false" customHeight="false" outlineLevel="0" collapsed="false">
      <c r="AO1900" s="8" t="str">
        <f aca="false">IF(A1900="","",IF(COUNTIFS(全馬データ!$A$2:$A$50000,A1900,全馬データ!$B$2:$B$50000,B1900,全馬データ!$C$2:$C$50000,C1900,全馬データ!$D$2:$D$50000,E1900,全馬データ!$K$2:$K$50000,"&lt;&gt;")=0,"",SUMIFS(全馬データ!$K$2:$K$50000,全馬データ!$A$2:$A$50000,A1900,全馬データ!$B$2:$B$50000,B1900,全馬データ!$C$2:$C$50000,C1900,全馬データ!$D$2:$D$50000,E1900)))</f>
        <v/>
      </c>
      <c r="AP1900" s="8" t="str">
        <f aca="false">IF(A1900="","",IF(AO1900="","欠損",IF(AO1900&lt;=1.1,"1.0～1.1",IF(AO1900&lt;1.3,"1.2",IF(AO1900&lt;1.5,"1.3～1.4",IF(AO1900&lt;2,"1.5～1.9","2.0以上"))))))</f>
        <v/>
      </c>
      <c r="AQ1900" s="8" t="str">
        <f aca="false">IF(A1900="","",IF(ISNUMBER(SEARCH("2歳",Z1900)),"2歳戦",IF(ISNUMBER(SEARCH("3歳未勝利",Z1900)),"3歳未勝利",IF(ISNUMBER(SEARCH("未勝利",Z1900)),"その他未勝利",IF(ISNUMBER(SEARCH("G1",Z1900)),"G1",IF(ISNUMBER(SEARCH("G2",Z1900)),"G2",IF(ISNUMBER(SEARCH("G3",Z1900)),"G3",IF(ISNUMBER(SEARCH("古馬条件",Z1900)),"古馬条件戦",IF(ISNUMBER(SEARCH("重賞",Z1900)),"重賞","分類不能")))))))))</f>
        <v/>
      </c>
    </row>
    <row r="1901" customFormat="false" ht="15.75" hidden="false" customHeight="false" outlineLevel="0" collapsed="false">
      <c r="AO1901" s="8" t="str">
        <f aca="false">IF(A1901="","",IF(COUNTIFS(全馬データ!$A$2:$A$50000,A1901,全馬データ!$B$2:$B$50000,B1901,全馬データ!$C$2:$C$50000,C1901,全馬データ!$D$2:$D$50000,E1901,全馬データ!$K$2:$K$50000,"&lt;&gt;")=0,"",SUMIFS(全馬データ!$K$2:$K$50000,全馬データ!$A$2:$A$50000,A1901,全馬データ!$B$2:$B$50000,B1901,全馬データ!$C$2:$C$50000,C1901,全馬データ!$D$2:$D$50000,E1901)))</f>
        <v/>
      </c>
      <c r="AP1901" s="8" t="str">
        <f aca="false">IF(A1901="","",IF(AO1901="","欠損",IF(AO1901&lt;=1.1,"1.0～1.1",IF(AO1901&lt;1.3,"1.2",IF(AO1901&lt;1.5,"1.3～1.4",IF(AO1901&lt;2,"1.5～1.9","2.0以上"))))))</f>
        <v/>
      </c>
      <c r="AQ1901" s="8" t="str">
        <f aca="false">IF(A1901="","",IF(ISNUMBER(SEARCH("2歳",Z1901)),"2歳戦",IF(ISNUMBER(SEARCH("3歳未勝利",Z1901)),"3歳未勝利",IF(ISNUMBER(SEARCH("未勝利",Z1901)),"その他未勝利",IF(ISNUMBER(SEARCH("G1",Z1901)),"G1",IF(ISNUMBER(SEARCH("G2",Z1901)),"G2",IF(ISNUMBER(SEARCH("G3",Z1901)),"G3",IF(ISNUMBER(SEARCH("古馬条件",Z1901)),"古馬条件戦",IF(ISNUMBER(SEARCH("重賞",Z1901)),"重賞","分類不能")))))))))</f>
        <v/>
      </c>
    </row>
    <row r="1902" customFormat="false" ht="15.75" hidden="false" customHeight="false" outlineLevel="0" collapsed="false">
      <c r="AO1902" s="8" t="str">
        <f aca="false">IF(A1902="","",IF(COUNTIFS(全馬データ!$A$2:$A$50000,A1902,全馬データ!$B$2:$B$50000,B1902,全馬データ!$C$2:$C$50000,C1902,全馬データ!$D$2:$D$50000,E1902,全馬データ!$K$2:$K$50000,"&lt;&gt;")=0,"",SUMIFS(全馬データ!$K$2:$K$50000,全馬データ!$A$2:$A$50000,A1902,全馬データ!$B$2:$B$50000,B1902,全馬データ!$C$2:$C$50000,C1902,全馬データ!$D$2:$D$50000,E1902)))</f>
        <v/>
      </c>
      <c r="AP1902" s="8" t="str">
        <f aca="false">IF(A1902="","",IF(AO1902="","欠損",IF(AO1902&lt;=1.1,"1.0～1.1",IF(AO1902&lt;1.3,"1.2",IF(AO1902&lt;1.5,"1.3～1.4",IF(AO1902&lt;2,"1.5～1.9","2.0以上"))))))</f>
        <v/>
      </c>
      <c r="AQ1902" s="8" t="str">
        <f aca="false">IF(A1902="","",IF(ISNUMBER(SEARCH("2歳",Z1902)),"2歳戦",IF(ISNUMBER(SEARCH("3歳未勝利",Z1902)),"3歳未勝利",IF(ISNUMBER(SEARCH("未勝利",Z1902)),"その他未勝利",IF(ISNUMBER(SEARCH("G1",Z1902)),"G1",IF(ISNUMBER(SEARCH("G2",Z1902)),"G2",IF(ISNUMBER(SEARCH("G3",Z1902)),"G3",IF(ISNUMBER(SEARCH("古馬条件",Z1902)),"古馬条件戦",IF(ISNUMBER(SEARCH("重賞",Z1902)),"重賞","分類不能")))))))))</f>
        <v/>
      </c>
    </row>
    <row r="1903" customFormat="false" ht="15.75" hidden="false" customHeight="false" outlineLevel="0" collapsed="false">
      <c r="AO1903" s="8" t="str">
        <f aca="false">IF(A1903="","",IF(COUNTIFS(全馬データ!$A$2:$A$50000,A1903,全馬データ!$B$2:$B$50000,B1903,全馬データ!$C$2:$C$50000,C1903,全馬データ!$D$2:$D$50000,E1903,全馬データ!$K$2:$K$50000,"&lt;&gt;")=0,"",SUMIFS(全馬データ!$K$2:$K$50000,全馬データ!$A$2:$A$50000,A1903,全馬データ!$B$2:$B$50000,B1903,全馬データ!$C$2:$C$50000,C1903,全馬データ!$D$2:$D$50000,E1903)))</f>
        <v/>
      </c>
      <c r="AP1903" s="8" t="str">
        <f aca="false">IF(A1903="","",IF(AO1903="","欠損",IF(AO1903&lt;=1.1,"1.0～1.1",IF(AO1903&lt;1.3,"1.2",IF(AO1903&lt;1.5,"1.3～1.4",IF(AO1903&lt;2,"1.5～1.9","2.0以上"))))))</f>
        <v/>
      </c>
      <c r="AQ1903" s="8" t="str">
        <f aca="false">IF(A1903="","",IF(ISNUMBER(SEARCH("2歳",Z1903)),"2歳戦",IF(ISNUMBER(SEARCH("3歳未勝利",Z1903)),"3歳未勝利",IF(ISNUMBER(SEARCH("未勝利",Z1903)),"その他未勝利",IF(ISNUMBER(SEARCH("G1",Z1903)),"G1",IF(ISNUMBER(SEARCH("G2",Z1903)),"G2",IF(ISNUMBER(SEARCH("G3",Z1903)),"G3",IF(ISNUMBER(SEARCH("古馬条件",Z1903)),"古馬条件戦",IF(ISNUMBER(SEARCH("重賞",Z1903)),"重賞","分類不能")))))))))</f>
        <v/>
      </c>
    </row>
    <row r="1904" customFormat="false" ht="15.75" hidden="false" customHeight="false" outlineLevel="0" collapsed="false">
      <c r="AO1904" s="8" t="str">
        <f aca="false">IF(A1904="","",IF(COUNTIFS(全馬データ!$A$2:$A$50000,A1904,全馬データ!$B$2:$B$50000,B1904,全馬データ!$C$2:$C$50000,C1904,全馬データ!$D$2:$D$50000,E1904,全馬データ!$K$2:$K$50000,"&lt;&gt;")=0,"",SUMIFS(全馬データ!$K$2:$K$50000,全馬データ!$A$2:$A$50000,A1904,全馬データ!$B$2:$B$50000,B1904,全馬データ!$C$2:$C$50000,C1904,全馬データ!$D$2:$D$50000,E1904)))</f>
        <v/>
      </c>
      <c r="AP1904" s="8" t="str">
        <f aca="false">IF(A1904="","",IF(AO1904="","欠損",IF(AO1904&lt;=1.1,"1.0～1.1",IF(AO1904&lt;1.3,"1.2",IF(AO1904&lt;1.5,"1.3～1.4",IF(AO1904&lt;2,"1.5～1.9","2.0以上"))))))</f>
        <v/>
      </c>
      <c r="AQ1904" s="8" t="str">
        <f aca="false">IF(A1904="","",IF(ISNUMBER(SEARCH("2歳",Z1904)),"2歳戦",IF(ISNUMBER(SEARCH("3歳未勝利",Z1904)),"3歳未勝利",IF(ISNUMBER(SEARCH("未勝利",Z1904)),"その他未勝利",IF(ISNUMBER(SEARCH("G1",Z1904)),"G1",IF(ISNUMBER(SEARCH("G2",Z1904)),"G2",IF(ISNUMBER(SEARCH("G3",Z1904)),"G3",IF(ISNUMBER(SEARCH("古馬条件",Z1904)),"古馬条件戦",IF(ISNUMBER(SEARCH("重賞",Z1904)),"重賞","分類不能")))))))))</f>
        <v/>
      </c>
    </row>
    <row r="1905" customFormat="false" ht="15.75" hidden="false" customHeight="false" outlineLevel="0" collapsed="false">
      <c r="AO1905" s="8" t="str">
        <f aca="false">IF(A1905="","",IF(COUNTIFS(全馬データ!$A$2:$A$50000,A1905,全馬データ!$B$2:$B$50000,B1905,全馬データ!$C$2:$C$50000,C1905,全馬データ!$D$2:$D$50000,E1905,全馬データ!$K$2:$K$50000,"&lt;&gt;")=0,"",SUMIFS(全馬データ!$K$2:$K$50000,全馬データ!$A$2:$A$50000,A1905,全馬データ!$B$2:$B$50000,B1905,全馬データ!$C$2:$C$50000,C1905,全馬データ!$D$2:$D$50000,E1905)))</f>
        <v/>
      </c>
      <c r="AP1905" s="8" t="str">
        <f aca="false">IF(A1905="","",IF(AO1905="","欠損",IF(AO1905&lt;=1.1,"1.0～1.1",IF(AO1905&lt;1.3,"1.2",IF(AO1905&lt;1.5,"1.3～1.4",IF(AO1905&lt;2,"1.5～1.9","2.0以上"))))))</f>
        <v/>
      </c>
      <c r="AQ1905" s="8" t="str">
        <f aca="false">IF(A1905="","",IF(ISNUMBER(SEARCH("2歳",Z1905)),"2歳戦",IF(ISNUMBER(SEARCH("3歳未勝利",Z1905)),"3歳未勝利",IF(ISNUMBER(SEARCH("未勝利",Z1905)),"その他未勝利",IF(ISNUMBER(SEARCH("G1",Z1905)),"G1",IF(ISNUMBER(SEARCH("G2",Z1905)),"G2",IF(ISNUMBER(SEARCH("G3",Z1905)),"G3",IF(ISNUMBER(SEARCH("古馬条件",Z1905)),"古馬条件戦",IF(ISNUMBER(SEARCH("重賞",Z1905)),"重賞","分類不能")))))))))</f>
        <v/>
      </c>
    </row>
    <row r="1906" customFormat="false" ht="15.75" hidden="false" customHeight="false" outlineLevel="0" collapsed="false">
      <c r="AO1906" s="8" t="str">
        <f aca="false">IF(A1906="","",IF(COUNTIFS(全馬データ!$A$2:$A$50000,A1906,全馬データ!$B$2:$B$50000,B1906,全馬データ!$C$2:$C$50000,C1906,全馬データ!$D$2:$D$50000,E1906,全馬データ!$K$2:$K$50000,"&lt;&gt;")=0,"",SUMIFS(全馬データ!$K$2:$K$50000,全馬データ!$A$2:$A$50000,A1906,全馬データ!$B$2:$B$50000,B1906,全馬データ!$C$2:$C$50000,C1906,全馬データ!$D$2:$D$50000,E1906)))</f>
        <v/>
      </c>
      <c r="AP1906" s="8" t="str">
        <f aca="false">IF(A1906="","",IF(AO1906="","欠損",IF(AO1906&lt;=1.1,"1.0～1.1",IF(AO1906&lt;1.3,"1.2",IF(AO1906&lt;1.5,"1.3～1.4",IF(AO1906&lt;2,"1.5～1.9","2.0以上"))))))</f>
        <v/>
      </c>
      <c r="AQ1906" s="8" t="str">
        <f aca="false">IF(A1906="","",IF(ISNUMBER(SEARCH("2歳",Z1906)),"2歳戦",IF(ISNUMBER(SEARCH("3歳未勝利",Z1906)),"3歳未勝利",IF(ISNUMBER(SEARCH("未勝利",Z1906)),"その他未勝利",IF(ISNUMBER(SEARCH("G1",Z1906)),"G1",IF(ISNUMBER(SEARCH("G2",Z1906)),"G2",IF(ISNUMBER(SEARCH("G3",Z1906)),"G3",IF(ISNUMBER(SEARCH("古馬条件",Z1906)),"古馬条件戦",IF(ISNUMBER(SEARCH("重賞",Z1906)),"重賞","分類不能")))))))))</f>
        <v/>
      </c>
    </row>
    <row r="1907" customFormat="false" ht="15.75" hidden="false" customHeight="false" outlineLevel="0" collapsed="false">
      <c r="AO1907" s="8" t="str">
        <f aca="false">IF(A1907="","",IF(COUNTIFS(全馬データ!$A$2:$A$50000,A1907,全馬データ!$B$2:$B$50000,B1907,全馬データ!$C$2:$C$50000,C1907,全馬データ!$D$2:$D$50000,E1907,全馬データ!$K$2:$K$50000,"&lt;&gt;")=0,"",SUMIFS(全馬データ!$K$2:$K$50000,全馬データ!$A$2:$A$50000,A1907,全馬データ!$B$2:$B$50000,B1907,全馬データ!$C$2:$C$50000,C1907,全馬データ!$D$2:$D$50000,E1907)))</f>
        <v/>
      </c>
      <c r="AP1907" s="8" t="str">
        <f aca="false">IF(A1907="","",IF(AO1907="","欠損",IF(AO1907&lt;=1.1,"1.0～1.1",IF(AO1907&lt;1.3,"1.2",IF(AO1907&lt;1.5,"1.3～1.4",IF(AO1907&lt;2,"1.5～1.9","2.0以上"))))))</f>
        <v/>
      </c>
      <c r="AQ1907" s="8" t="str">
        <f aca="false">IF(A1907="","",IF(ISNUMBER(SEARCH("2歳",Z1907)),"2歳戦",IF(ISNUMBER(SEARCH("3歳未勝利",Z1907)),"3歳未勝利",IF(ISNUMBER(SEARCH("未勝利",Z1907)),"その他未勝利",IF(ISNUMBER(SEARCH("G1",Z1907)),"G1",IF(ISNUMBER(SEARCH("G2",Z1907)),"G2",IF(ISNUMBER(SEARCH("G3",Z1907)),"G3",IF(ISNUMBER(SEARCH("古馬条件",Z1907)),"古馬条件戦",IF(ISNUMBER(SEARCH("重賞",Z1907)),"重賞","分類不能")))))))))</f>
        <v/>
      </c>
    </row>
    <row r="1908" customFormat="false" ht="15.75" hidden="false" customHeight="false" outlineLevel="0" collapsed="false">
      <c r="AO1908" s="8" t="str">
        <f aca="false">IF(A1908="","",IF(COUNTIFS(全馬データ!$A$2:$A$50000,A1908,全馬データ!$B$2:$B$50000,B1908,全馬データ!$C$2:$C$50000,C1908,全馬データ!$D$2:$D$50000,E1908,全馬データ!$K$2:$K$50000,"&lt;&gt;")=0,"",SUMIFS(全馬データ!$K$2:$K$50000,全馬データ!$A$2:$A$50000,A1908,全馬データ!$B$2:$B$50000,B1908,全馬データ!$C$2:$C$50000,C1908,全馬データ!$D$2:$D$50000,E1908)))</f>
        <v/>
      </c>
      <c r="AP1908" s="8" t="str">
        <f aca="false">IF(A1908="","",IF(AO1908="","欠損",IF(AO1908&lt;=1.1,"1.0～1.1",IF(AO1908&lt;1.3,"1.2",IF(AO1908&lt;1.5,"1.3～1.4",IF(AO1908&lt;2,"1.5～1.9","2.0以上"))))))</f>
        <v/>
      </c>
      <c r="AQ1908" s="8" t="str">
        <f aca="false">IF(A1908="","",IF(ISNUMBER(SEARCH("2歳",Z1908)),"2歳戦",IF(ISNUMBER(SEARCH("3歳未勝利",Z1908)),"3歳未勝利",IF(ISNUMBER(SEARCH("未勝利",Z1908)),"その他未勝利",IF(ISNUMBER(SEARCH("G1",Z1908)),"G1",IF(ISNUMBER(SEARCH("G2",Z1908)),"G2",IF(ISNUMBER(SEARCH("G3",Z1908)),"G3",IF(ISNUMBER(SEARCH("古馬条件",Z1908)),"古馬条件戦",IF(ISNUMBER(SEARCH("重賞",Z1908)),"重賞","分類不能")))))))))</f>
        <v/>
      </c>
    </row>
    <row r="1909" customFormat="false" ht="15.75" hidden="false" customHeight="false" outlineLevel="0" collapsed="false">
      <c r="AO1909" s="8" t="str">
        <f aca="false">IF(A1909="","",IF(COUNTIFS(全馬データ!$A$2:$A$50000,A1909,全馬データ!$B$2:$B$50000,B1909,全馬データ!$C$2:$C$50000,C1909,全馬データ!$D$2:$D$50000,E1909,全馬データ!$K$2:$K$50000,"&lt;&gt;")=0,"",SUMIFS(全馬データ!$K$2:$K$50000,全馬データ!$A$2:$A$50000,A1909,全馬データ!$B$2:$B$50000,B1909,全馬データ!$C$2:$C$50000,C1909,全馬データ!$D$2:$D$50000,E1909)))</f>
        <v/>
      </c>
      <c r="AP1909" s="8" t="str">
        <f aca="false">IF(A1909="","",IF(AO1909="","欠損",IF(AO1909&lt;=1.1,"1.0～1.1",IF(AO1909&lt;1.3,"1.2",IF(AO1909&lt;1.5,"1.3～1.4",IF(AO1909&lt;2,"1.5～1.9","2.0以上"))))))</f>
        <v/>
      </c>
      <c r="AQ1909" s="8" t="str">
        <f aca="false">IF(A1909="","",IF(ISNUMBER(SEARCH("2歳",Z1909)),"2歳戦",IF(ISNUMBER(SEARCH("3歳未勝利",Z1909)),"3歳未勝利",IF(ISNUMBER(SEARCH("未勝利",Z1909)),"その他未勝利",IF(ISNUMBER(SEARCH("G1",Z1909)),"G1",IF(ISNUMBER(SEARCH("G2",Z1909)),"G2",IF(ISNUMBER(SEARCH("G3",Z1909)),"G3",IF(ISNUMBER(SEARCH("古馬条件",Z1909)),"古馬条件戦",IF(ISNUMBER(SEARCH("重賞",Z1909)),"重賞","分類不能")))))))))</f>
        <v/>
      </c>
    </row>
    <row r="1910" customFormat="false" ht="15.75" hidden="false" customHeight="false" outlineLevel="0" collapsed="false">
      <c r="AO1910" s="8" t="str">
        <f aca="false">IF(A1910="","",IF(COUNTIFS(全馬データ!$A$2:$A$50000,A1910,全馬データ!$B$2:$B$50000,B1910,全馬データ!$C$2:$C$50000,C1910,全馬データ!$D$2:$D$50000,E1910,全馬データ!$K$2:$K$50000,"&lt;&gt;")=0,"",SUMIFS(全馬データ!$K$2:$K$50000,全馬データ!$A$2:$A$50000,A1910,全馬データ!$B$2:$B$50000,B1910,全馬データ!$C$2:$C$50000,C1910,全馬データ!$D$2:$D$50000,E1910)))</f>
        <v/>
      </c>
      <c r="AP1910" s="8" t="str">
        <f aca="false">IF(A1910="","",IF(AO1910="","欠損",IF(AO1910&lt;=1.1,"1.0～1.1",IF(AO1910&lt;1.3,"1.2",IF(AO1910&lt;1.5,"1.3～1.4",IF(AO1910&lt;2,"1.5～1.9","2.0以上"))))))</f>
        <v/>
      </c>
      <c r="AQ1910" s="8" t="str">
        <f aca="false">IF(A1910="","",IF(ISNUMBER(SEARCH("2歳",Z1910)),"2歳戦",IF(ISNUMBER(SEARCH("3歳未勝利",Z1910)),"3歳未勝利",IF(ISNUMBER(SEARCH("未勝利",Z1910)),"その他未勝利",IF(ISNUMBER(SEARCH("G1",Z1910)),"G1",IF(ISNUMBER(SEARCH("G2",Z1910)),"G2",IF(ISNUMBER(SEARCH("G3",Z1910)),"G3",IF(ISNUMBER(SEARCH("古馬条件",Z1910)),"古馬条件戦",IF(ISNUMBER(SEARCH("重賞",Z1910)),"重賞","分類不能")))))))))</f>
        <v/>
      </c>
    </row>
    <row r="1911" customFormat="false" ht="15.75" hidden="false" customHeight="false" outlineLevel="0" collapsed="false">
      <c r="AO1911" s="8" t="str">
        <f aca="false">IF(A1911="","",IF(COUNTIFS(全馬データ!$A$2:$A$50000,A1911,全馬データ!$B$2:$B$50000,B1911,全馬データ!$C$2:$C$50000,C1911,全馬データ!$D$2:$D$50000,E1911,全馬データ!$K$2:$K$50000,"&lt;&gt;")=0,"",SUMIFS(全馬データ!$K$2:$K$50000,全馬データ!$A$2:$A$50000,A1911,全馬データ!$B$2:$B$50000,B1911,全馬データ!$C$2:$C$50000,C1911,全馬データ!$D$2:$D$50000,E1911)))</f>
        <v/>
      </c>
      <c r="AP1911" s="8" t="str">
        <f aca="false">IF(A1911="","",IF(AO1911="","欠損",IF(AO1911&lt;=1.1,"1.0～1.1",IF(AO1911&lt;1.3,"1.2",IF(AO1911&lt;1.5,"1.3～1.4",IF(AO1911&lt;2,"1.5～1.9","2.0以上"))))))</f>
        <v/>
      </c>
      <c r="AQ1911" s="8" t="str">
        <f aca="false">IF(A1911="","",IF(ISNUMBER(SEARCH("2歳",Z1911)),"2歳戦",IF(ISNUMBER(SEARCH("3歳未勝利",Z1911)),"3歳未勝利",IF(ISNUMBER(SEARCH("未勝利",Z1911)),"その他未勝利",IF(ISNUMBER(SEARCH("G1",Z1911)),"G1",IF(ISNUMBER(SEARCH("G2",Z1911)),"G2",IF(ISNUMBER(SEARCH("G3",Z1911)),"G3",IF(ISNUMBER(SEARCH("古馬条件",Z1911)),"古馬条件戦",IF(ISNUMBER(SEARCH("重賞",Z1911)),"重賞","分類不能")))))))))</f>
        <v/>
      </c>
    </row>
    <row r="1912" customFormat="false" ht="15.75" hidden="false" customHeight="false" outlineLevel="0" collapsed="false">
      <c r="AO1912" s="8" t="str">
        <f aca="false">IF(A1912="","",IF(COUNTIFS(全馬データ!$A$2:$A$50000,A1912,全馬データ!$B$2:$B$50000,B1912,全馬データ!$C$2:$C$50000,C1912,全馬データ!$D$2:$D$50000,E1912,全馬データ!$K$2:$K$50000,"&lt;&gt;")=0,"",SUMIFS(全馬データ!$K$2:$K$50000,全馬データ!$A$2:$A$50000,A1912,全馬データ!$B$2:$B$50000,B1912,全馬データ!$C$2:$C$50000,C1912,全馬データ!$D$2:$D$50000,E1912)))</f>
        <v/>
      </c>
      <c r="AP1912" s="8" t="str">
        <f aca="false">IF(A1912="","",IF(AO1912="","欠損",IF(AO1912&lt;=1.1,"1.0～1.1",IF(AO1912&lt;1.3,"1.2",IF(AO1912&lt;1.5,"1.3～1.4",IF(AO1912&lt;2,"1.5～1.9","2.0以上"))))))</f>
        <v/>
      </c>
      <c r="AQ1912" s="8" t="str">
        <f aca="false">IF(A1912="","",IF(ISNUMBER(SEARCH("2歳",Z1912)),"2歳戦",IF(ISNUMBER(SEARCH("3歳未勝利",Z1912)),"3歳未勝利",IF(ISNUMBER(SEARCH("未勝利",Z1912)),"その他未勝利",IF(ISNUMBER(SEARCH("G1",Z1912)),"G1",IF(ISNUMBER(SEARCH("G2",Z1912)),"G2",IF(ISNUMBER(SEARCH("G3",Z1912)),"G3",IF(ISNUMBER(SEARCH("古馬条件",Z1912)),"古馬条件戦",IF(ISNUMBER(SEARCH("重賞",Z1912)),"重賞","分類不能")))))))))</f>
        <v/>
      </c>
    </row>
    <row r="1913" customFormat="false" ht="15.75" hidden="false" customHeight="false" outlineLevel="0" collapsed="false">
      <c r="AO1913" s="8" t="str">
        <f aca="false">IF(A1913="","",IF(COUNTIFS(全馬データ!$A$2:$A$50000,A1913,全馬データ!$B$2:$B$50000,B1913,全馬データ!$C$2:$C$50000,C1913,全馬データ!$D$2:$D$50000,E1913,全馬データ!$K$2:$K$50000,"&lt;&gt;")=0,"",SUMIFS(全馬データ!$K$2:$K$50000,全馬データ!$A$2:$A$50000,A1913,全馬データ!$B$2:$B$50000,B1913,全馬データ!$C$2:$C$50000,C1913,全馬データ!$D$2:$D$50000,E1913)))</f>
        <v/>
      </c>
      <c r="AP1913" s="8" t="str">
        <f aca="false">IF(A1913="","",IF(AO1913="","欠損",IF(AO1913&lt;=1.1,"1.0～1.1",IF(AO1913&lt;1.3,"1.2",IF(AO1913&lt;1.5,"1.3～1.4",IF(AO1913&lt;2,"1.5～1.9","2.0以上"))))))</f>
        <v/>
      </c>
      <c r="AQ1913" s="8" t="str">
        <f aca="false">IF(A1913="","",IF(ISNUMBER(SEARCH("2歳",Z1913)),"2歳戦",IF(ISNUMBER(SEARCH("3歳未勝利",Z1913)),"3歳未勝利",IF(ISNUMBER(SEARCH("未勝利",Z1913)),"その他未勝利",IF(ISNUMBER(SEARCH("G1",Z1913)),"G1",IF(ISNUMBER(SEARCH("G2",Z1913)),"G2",IF(ISNUMBER(SEARCH("G3",Z1913)),"G3",IF(ISNUMBER(SEARCH("古馬条件",Z1913)),"古馬条件戦",IF(ISNUMBER(SEARCH("重賞",Z1913)),"重賞","分類不能")))))))))</f>
        <v/>
      </c>
    </row>
    <row r="1914" customFormat="false" ht="15.75" hidden="false" customHeight="false" outlineLevel="0" collapsed="false">
      <c r="AO1914" s="8" t="str">
        <f aca="false">IF(A1914="","",IF(COUNTIFS(全馬データ!$A$2:$A$50000,A1914,全馬データ!$B$2:$B$50000,B1914,全馬データ!$C$2:$C$50000,C1914,全馬データ!$D$2:$D$50000,E1914,全馬データ!$K$2:$K$50000,"&lt;&gt;")=0,"",SUMIFS(全馬データ!$K$2:$K$50000,全馬データ!$A$2:$A$50000,A1914,全馬データ!$B$2:$B$50000,B1914,全馬データ!$C$2:$C$50000,C1914,全馬データ!$D$2:$D$50000,E1914)))</f>
        <v/>
      </c>
      <c r="AP1914" s="8" t="str">
        <f aca="false">IF(A1914="","",IF(AO1914="","欠損",IF(AO1914&lt;=1.1,"1.0～1.1",IF(AO1914&lt;1.3,"1.2",IF(AO1914&lt;1.5,"1.3～1.4",IF(AO1914&lt;2,"1.5～1.9","2.0以上"))))))</f>
        <v/>
      </c>
      <c r="AQ1914" s="8" t="str">
        <f aca="false">IF(A1914="","",IF(ISNUMBER(SEARCH("2歳",Z1914)),"2歳戦",IF(ISNUMBER(SEARCH("3歳未勝利",Z1914)),"3歳未勝利",IF(ISNUMBER(SEARCH("未勝利",Z1914)),"その他未勝利",IF(ISNUMBER(SEARCH("G1",Z1914)),"G1",IF(ISNUMBER(SEARCH("G2",Z1914)),"G2",IF(ISNUMBER(SEARCH("G3",Z1914)),"G3",IF(ISNUMBER(SEARCH("古馬条件",Z1914)),"古馬条件戦",IF(ISNUMBER(SEARCH("重賞",Z1914)),"重賞","分類不能")))))))))</f>
        <v/>
      </c>
    </row>
    <row r="1915" customFormat="false" ht="15.75" hidden="false" customHeight="false" outlineLevel="0" collapsed="false">
      <c r="AO1915" s="8" t="str">
        <f aca="false">IF(A1915="","",IF(COUNTIFS(全馬データ!$A$2:$A$50000,A1915,全馬データ!$B$2:$B$50000,B1915,全馬データ!$C$2:$C$50000,C1915,全馬データ!$D$2:$D$50000,E1915,全馬データ!$K$2:$K$50000,"&lt;&gt;")=0,"",SUMIFS(全馬データ!$K$2:$K$50000,全馬データ!$A$2:$A$50000,A1915,全馬データ!$B$2:$B$50000,B1915,全馬データ!$C$2:$C$50000,C1915,全馬データ!$D$2:$D$50000,E1915)))</f>
        <v/>
      </c>
      <c r="AP1915" s="8" t="str">
        <f aca="false">IF(A1915="","",IF(AO1915="","欠損",IF(AO1915&lt;=1.1,"1.0～1.1",IF(AO1915&lt;1.3,"1.2",IF(AO1915&lt;1.5,"1.3～1.4",IF(AO1915&lt;2,"1.5～1.9","2.0以上"))))))</f>
        <v/>
      </c>
      <c r="AQ1915" s="8" t="str">
        <f aca="false">IF(A1915="","",IF(ISNUMBER(SEARCH("2歳",Z1915)),"2歳戦",IF(ISNUMBER(SEARCH("3歳未勝利",Z1915)),"3歳未勝利",IF(ISNUMBER(SEARCH("未勝利",Z1915)),"その他未勝利",IF(ISNUMBER(SEARCH("G1",Z1915)),"G1",IF(ISNUMBER(SEARCH("G2",Z1915)),"G2",IF(ISNUMBER(SEARCH("G3",Z1915)),"G3",IF(ISNUMBER(SEARCH("古馬条件",Z1915)),"古馬条件戦",IF(ISNUMBER(SEARCH("重賞",Z1915)),"重賞","分類不能")))))))))</f>
        <v/>
      </c>
    </row>
    <row r="1916" customFormat="false" ht="15.75" hidden="false" customHeight="false" outlineLevel="0" collapsed="false">
      <c r="AO1916" s="8" t="str">
        <f aca="false">IF(A1916="","",IF(COUNTIFS(全馬データ!$A$2:$A$50000,A1916,全馬データ!$B$2:$B$50000,B1916,全馬データ!$C$2:$C$50000,C1916,全馬データ!$D$2:$D$50000,E1916,全馬データ!$K$2:$K$50000,"&lt;&gt;")=0,"",SUMIFS(全馬データ!$K$2:$K$50000,全馬データ!$A$2:$A$50000,A1916,全馬データ!$B$2:$B$50000,B1916,全馬データ!$C$2:$C$50000,C1916,全馬データ!$D$2:$D$50000,E1916)))</f>
        <v/>
      </c>
      <c r="AP1916" s="8" t="str">
        <f aca="false">IF(A1916="","",IF(AO1916="","欠損",IF(AO1916&lt;=1.1,"1.0～1.1",IF(AO1916&lt;1.3,"1.2",IF(AO1916&lt;1.5,"1.3～1.4",IF(AO1916&lt;2,"1.5～1.9","2.0以上"))))))</f>
        <v/>
      </c>
      <c r="AQ1916" s="8" t="str">
        <f aca="false">IF(A1916="","",IF(ISNUMBER(SEARCH("2歳",Z1916)),"2歳戦",IF(ISNUMBER(SEARCH("3歳未勝利",Z1916)),"3歳未勝利",IF(ISNUMBER(SEARCH("未勝利",Z1916)),"その他未勝利",IF(ISNUMBER(SEARCH("G1",Z1916)),"G1",IF(ISNUMBER(SEARCH("G2",Z1916)),"G2",IF(ISNUMBER(SEARCH("G3",Z1916)),"G3",IF(ISNUMBER(SEARCH("古馬条件",Z1916)),"古馬条件戦",IF(ISNUMBER(SEARCH("重賞",Z1916)),"重賞","分類不能")))))))))</f>
        <v/>
      </c>
    </row>
    <row r="1917" customFormat="false" ht="15.75" hidden="false" customHeight="false" outlineLevel="0" collapsed="false">
      <c r="AO1917" s="8" t="str">
        <f aca="false">IF(A1917="","",IF(COUNTIFS(全馬データ!$A$2:$A$50000,A1917,全馬データ!$B$2:$B$50000,B1917,全馬データ!$C$2:$C$50000,C1917,全馬データ!$D$2:$D$50000,E1917,全馬データ!$K$2:$K$50000,"&lt;&gt;")=0,"",SUMIFS(全馬データ!$K$2:$K$50000,全馬データ!$A$2:$A$50000,A1917,全馬データ!$B$2:$B$50000,B1917,全馬データ!$C$2:$C$50000,C1917,全馬データ!$D$2:$D$50000,E1917)))</f>
        <v/>
      </c>
      <c r="AP1917" s="8" t="str">
        <f aca="false">IF(A1917="","",IF(AO1917="","欠損",IF(AO1917&lt;=1.1,"1.0～1.1",IF(AO1917&lt;1.3,"1.2",IF(AO1917&lt;1.5,"1.3～1.4",IF(AO1917&lt;2,"1.5～1.9","2.0以上"))))))</f>
        <v/>
      </c>
      <c r="AQ1917" s="8" t="str">
        <f aca="false">IF(A1917="","",IF(ISNUMBER(SEARCH("2歳",Z1917)),"2歳戦",IF(ISNUMBER(SEARCH("3歳未勝利",Z1917)),"3歳未勝利",IF(ISNUMBER(SEARCH("未勝利",Z1917)),"その他未勝利",IF(ISNUMBER(SEARCH("G1",Z1917)),"G1",IF(ISNUMBER(SEARCH("G2",Z1917)),"G2",IF(ISNUMBER(SEARCH("G3",Z1917)),"G3",IF(ISNUMBER(SEARCH("古馬条件",Z1917)),"古馬条件戦",IF(ISNUMBER(SEARCH("重賞",Z1917)),"重賞","分類不能")))))))))</f>
        <v/>
      </c>
    </row>
    <row r="1918" customFormat="false" ht="15.75" hidden="false" customHeight="false" outlineLevel="0" collapsed="false">
      <c r="AO1918" s="8" t="str">
        <f aca="false">IF(A1918="","",IF(COUNTIFS(全馬データ!$A$2:$A$50000,A1918,全馬データ!$B$2:$B$50000,B1918,全馬データ!$C$2:$C$50000,C1918,全馬データ!$D$2:$D$50000,E1918,全馬データ!$K$2:$K$50000,"&lt;&gt;")=0,"",SUMIFS(全馬データ!$K$2:$K$50000,全馬データ!$A$2:$A$50000,A1918,全馬データ!$B$2:$B$50000,B1918,全馬データ!$C$2:$C$50000,C1918,全馬データ!$D$2:$D$50000,E1918)))</f>
        <v/>
      </c>
      <c r="AP1918" s="8" t="str">
        <f aca="false">IF(A1918="","",IF(AO1918="","欠損",IF(AO1918&lt;=1.1,"1.0～1.1",IF(AO1918&lt;1.3,"1.2",IF(AO1918&lt;1.5,"1.3～1.4",IF(AO1918&lt;2,"1.5～1.9","2.0以上"))))))</f>
        <v/>
      </c>
      <c r="AQ1918" s="8" t="str">
        <f aca="false">IF(A1918="","",IF(ISNUMBER(SEARCH("2歳",Z1918)),"2歳戦",IF(ISNUMBER(SEARCH("3歳未勝利",Z1918)),"3歳未勝利",IF(ISNUMBER(SEARCH("未勝利",Z1918)),"その他未勝利",IF(ISNUMBER(SEARCH("G1",Z1918)),"G1",IF(ISNUMBER(SEARCH("G2",Z1918)),"G2",IF(ISNUMBER(SEARCH("G3",Z1918)),"G3",IF(ISNUMBER(SEARCH("古馬条件",Z1918)),"古馬条件戦",IF(ISNUMBER(SEARCH("重賞",Z1918)),"重賞","分類不能")))))))))</f>
        <v/>
      </c>
    </row>
    <row r="1919" customFormat="false" ht="15.75" hidden="false" customHeight="false" outlineLevel="0" collapsed="false">
      <c r="AO1919" s="8" t="str">
        <f aca="false">IF(A1919="","",IF(COUNTIFS(全馬データ!$A$2:$A$50000,A1919,全馬データ!$B$2:$B$50000,B1919,全馬データ!$C$2:$C$50000,C1919,全馬データ!$D$2:$D$50000,E1919,全馬データ!$K$2:$K$50000,"&lt;&gt;")=0,"",SUMIFS(全馬データ!$K$2:$K$50000,全馬データ!$A$2:$A$50000,A1919,全馬データ!$B$2:$B$50000,B1919,全馬データ!$C$2:$C$50000,C1919,全馬データ!$D$2:$D$50000,E1919)))</f>
        <v/>
      </c>
      <c r="AP1919" s="8" t="str">
        <f aca="false">IF(A1919="","",IF(AO1919="","欠損",IF(AO1919&lt;=1.1,"1.0～1.1",IF(AO1919&lt;1.3,"1.2",IF(AO1919&lt;1.5,"1.3～1.4",IF(AO1919&lt;2,"1.5～1.9","2.0以上"))))))</f>
        <v/>
      </c>
      <c r="AQ1919" s="8" t="str">
        <f aca="false">IF(A1919="","",IF(ISNUMBER(SEARCH("2歳",Z1919)),"2歳戦",IF(ISNUMBER(SEARCH("3歳未勝利",Z1919)),"3歳未勝利",IF(ISNUMBER(SEARCH("未勝利",Z1919)),"その他未勝利",IF(ISNUMBER(SEARCH("G1",Z1919)),"G1",IF(ISNUMBER(SEARCH("G2",Z1919)),"G2",IF(ISNUMBER(SEARCH("G3",Z1919)),"G3",IF(ISNUMBER(SEARCH("古馬条件",Z1919)),"古馬条件戦",IF(ISNUMBER(SEARCH("重賞",Z1919)),"重賞","分類不能")))))))))</f>
        <v/>
      </c>
    </row>
    <row r="1920" customFormat="false" ht="15.75" hidden="false" customHeight="false" outlineLevel="0" collapsed="false">
      <c r="AO1920" s="8" t="str">
        <f aca="false">IF(A1920="","",IF(COUNTIFS(全馬データ!$A$2:$A$50000,A1920,全馬データ!$B$2:$B$50000,B1920,全馬データ!$C$2:$C$50000,C1920,全馬データ!$D$2:$D$50000,E1920,全馬データ!$K$2:$K$50000,"&lt;&gt;")=0,"",SUMIFS(全馬データ!$K$2:$K$50000,全馬データ!$A$2:$A$50000,A1920,全馬データ!$B$2:$B$50000,B1920,全馬データ!$C$2:$C$50000,C1920,全馬データ!$D$2:$D$50000,E1920)))</f>
        <v/>
      </c>
      <c r="AP1920" s="8" t="str">
        <f aca="false">IF(A1920="","",IF(AO1920="","欠損",IF(AO1920&lt;=1.1,"1.0～1.1",IF(AO1920&lt;1.3,"1.2",IF(AO1920&lt;1.5,"1.3～1.4",IF(AO1920&lt;2,"1.5～1.9","2.0以上"))))))</f>
        <v/>
      </c>
      <c r="AQ1920" s="8" t="str">
        <f aca="false">IF(A1920="","",IF(ISNUMBER(SEARCH("2歳",Z1920)),"2歳戦",IF(ISNUMBER(SEARCH("3歳未勝利",Z1920)),"3歳未勝利",IF(ISNUMBER(SEARCH("未勝利",Z1920)),"その他未勝利",IF(ISNUMBER(SEARCH("G1",Z1920)),"G1",IF(ISNUMBER(SEARCH("G2",Z1920)),"G2",IF(ISNUMBER(SEARCH("G3",Z1920)),"G3",IF(ISNUMBER(SEARCH("古馬条件",Z1920)),"古馬条件戦",IF(ISNUMBER(SEARCH("重賞",Z1920)),"重賞","分類不能")))))))))</f>
        <v/>
      </c>
    </row>
    <row r="1921" customFormat="false" ht="15.75" hidden="false" customHeight="false" outlineLevel="0" collapsed="false">
      <c r="AO1921" s="8" t="str">
        <f aca="false">IF(A1921="","",IF(COUNTIFS(全馬データ!$A$2:$A$50000,A1921,全馬データ!$B$2:$B$50000,B1921,全馬データ!$C$2:$C$50000,C1921,全馬データ!$D$2:$D$50000,E1921,全馬データ!$K$2:$K$50000,"&lt;&gt;")=0,"",SUMIFS(全馬データ!$K$2:$K$50000,全馬データ!$A$2:$A$50000,A1921,全馬データ!$B$2:$B$50000,B1921,全馬データ!$C$2:$C$50000,C1921,全馬データ!$D$2:$D$50000,E1921)))</f>
        <v/>
      </c>
      <c r="AP1921" s="8" t="str">
        <f aca="false">IF(A1921="","",IF(AO1921="","欠損",IF(AO1921&lt;=1.1,"1.0～1.1",IF(AO1921&lt;1.3,"1.2",IF(AO1921&lt;1.5,"1.3～1.4",IF(AO1921&lt;2,"1.5～1.9","2.0以上"))))))</f>
        <v/>
      </c>
      <c r="AQ1921" s="8" t="str">
        <f aca="false">IF(A1921="","",IF(ISNUMBER(SEARCH("2歳",Z1921)),"2歳戦",IF(ISNUMBER(SEARCH("3歳未勝利",Z1921)),"3歳未勝利",IF(ISNUMBER(SEARCH("未勝利",Z1921)),"その他未勝利",IF(ISNUMBER(SEARCH("G1",Z1921)),"G1",IF(ISNUMBER(SEARCH("G2",Z1921)),"G2",IF(ISNUMBER(SEARCH("G3",Z1921)),"G3",IF(ISNUMBER(SEARCH("古馬条件",Z1921)),"古馬条件戦",IF(ISNUMBER(SEARCH("重賞",Z1921)),"重賞","分類不能")))))))))</f>
        <v/>
      </c>
    </row>
    <row r="1922" customFormat="false" ht="15.75" hidden="false" customHeight="false" outlineLevel="0" collapsed="false">
      <c r="AO1922" s="8" t="str">
        <f aca="false">IF(A1922="","",IF(COUNTIFS(全馬データ!$A$2:$A$50000,A1922,全馬データ!$B$2:$B$50000,B1922,全馬データ!$C$2:$C$50000,C1922,全馬データ!$D$2:$D$50000,E1922,全馬データ!$K$2:$K$50000,"&lt;&gt;")=0,"",SUMIFS(全馬データ!$K$2:$K$50000,全馬データ!$A$2:$A$50000,A1922,全馬データ!$B$2:$B$50000,B1922,全馬データ!$C$2:$C$50000,C1922,全馬データ!$D$2:$D$50000,E1922)))</f>
        <v/>
      </c>
      <c r="AP1922" s="8" t="str">
        <f aca="false">IF(A1922="","",IF(AO1922="","欠損",IF(AO1922&lt;=1.1,"1.0～1.1",IF(AO1922&lt;1.3,"1.2",IF(AO1922&lt;1.5,"1.3～1.4",IF(AO1922&lt;2,"1.5～1.9","2.0以上"))))))</f>
        <v/>
      </c>
      <c r="AQ1922" s="8" t="str">
        <f aca="false">IF(A1922="","",IF(ISNUMBER(SEARCH("2歳",Z1922)),"2歳戦",IF(ISNUMBER(SEARCH("3歳未勝利",Z1922)),"3歳未勝利",IF(ISNUMBER(SEARCH("未勝利",Z1922)),"その他未勝利",IF(ISNUMBER(SEARCH("G1",Z1922)),"G1",IF(ISNUMBER(SEARCH("G2",Z1922)),"G2",IF(ISNUMBER(SEARCH("G3",Z1922)),"G3",IF(ISNUMBER(SEARCH("古馬条件",Z1922)),"古馬条件戦",IF(ISNUMBER(SEARCH("重賞",Z1922)),"重賞","分類不能")))))))))</f>
        <v/>
      </c>
    </row>
    <row r="1923" customFormat="false" ht="15.75" hidden="false" customHeight="false" outlineLevel="0" collapsed="false">
      <c r="AO1923" s="8" t="str">
        <f aca="false">IF(A1923="","",IF(COUNTIFS(全馬データ!$A$2:$A$50000,A1923,全馬データ!$B$2:$B$50000,B1923,全馬データ!$C$2:$C$50000,C1923,全馬データ!$D$2:$D$50000,E1923,全馬データ!$K$2:$K$50000,"&lt;&gt;")=0,"",SUMIFS(全馬データ!$K$2:$K$50000,全馬データ!$A$2:$A$50000,A1923,全馬データ!$B$2:$B$50000,B1923,全馬データ!$C$2:$C$50000,C1923,全馬データ!$D$2:$D$50000,E1923)))</f>
        <v/>
      </c>
      <c r="AP1923" s="8" t="str">
        <f aca="false">IF(A1923="","",IF(AO1923="","欠損",IF(AO1923&lt;=1.1,"1.0～1.1",IF(AO1923&lt;1.3,"1.2",IF(AO1923&lt;1.5,"1.3～1.4",IF(AO1923&lt;2,"1.5～1.9","2.0以上"))))))</f>
        <v/>
      </c>
      <c r="AQ1923" s="8" t="str">
        <f aca="false">IF(A1923="","",IF(ISNUMBER(SEARCH("2歳",Z1923)),"2歳戦",IF(ISNUMBER(SEARCH("3歳未勝利",Z1923)),"3歳未勝利",IF(ISNUMBER(SEARCH("未勝利",Z1923)),"その他未勝利",IF(ISNUMBER(SEARCH("G1",Z1923)),"G1",IF(ISNUMBER(SEARCH("G2",Z1923)),"G2",IF(ISNUMBER(SEARCH("G3",Z1923)),"G3",IF(ISNUMBER(SEARCH("古馬条件",Z1923)),"古馬条件戦",IF(ISNUMBER(SEARCH("重賞",Z1923)),"重賞","分類不能")))))))))</f>
        <v/>
      </c>
    </row>
    <row r="1924" customFormat="false" ht="15.75" hidden="false" customHeight="false" outlineLevel="0" collapsed="false">
      <c r="AO1924" s="8" t="str">
        <f aca="false">IF(A1924="","",IF(COUNTIFS(全馬データ!$A$2:$A$50000,A1924,全馬データ!$B$2:$B$50000,B1924,全馬データ!$C$2:$C$50000,C1924,全馬データ!$D$2:$D$50000,E1924,全馬データ!$K$2:$K$50000,"&lt;&gt;")=0,"",SUMIFS(全馬データ!$K$2:$K$50000,全馬データ!$A$2:$A$50000,A1924,全馬データ!$B$2:$B$50000,B1924,全馬データ!$C$2:$C$50000,C1924,全馬データ!$D$2:$D$50000,E1924)))</f>
        <v/>
      </c>
      <c r="AP1924" s="8" t="str">
        <f aca="false">IF(A1924="","",IF(AO1924="","欠損",IF(AO1924&lt;=1.1,"1.0～1.1",IF(AO1924&lt;1.3,"1.2",IF(AO1924&lt;1.5,"1.3～1.4",IF(AO1924&lt;2,"1.5～1.9","2.0以上"))))))</f>
        <v/>
      </c>
      <c r="AQ1924" s="8" t="str">
        <f aca="false">IF(A1924="","",IF(ISNUMBER(SEARCH("2歳",Z1924)),"2歳戦",IF(ISNUMBER(SEARCH("3歳未勝利",Z1924)),"3歳未勝利",IF(ISNUMBER(SEARCH("未勝利",Z1924)),"その他未勝利",IF(ISNUMBER(SEARCH("G1",Z1924)),"G1",IF(ISNUMBER(SEARCH("G2",Z1924)),"G2",IF(ISNUMBER(SEARCH("G3",Z1924)),"G3",IF(ISNUMBER(SEARCH("古馬条件",Z1924)),"古馬条件戦",IF(ISNUMBER(SEARCH("重賞",Z1924)),"重賞","分類不能")))))))))</f>
        <v/>
      </c>
    </row>
    <row r="1925" customFormat="false" ht="15.75" hidden="false" customHeight="false" outlineLevel="0" collapsed="false">
      <c r="AO1925" s="8" t="str">
        <f aca="false">IF(A1925="","",IF(COUNTIFS(全馬データ!$A$2:$A$50000,A1925,全馬データ!$B$2:$B$50000,B1925,全馬データ!$C$2:$C$50000,C1925,全馬データ!$D$2:$D$50000,E1925,全馬データ!$K$2:$K$50000,"&lt;&gt;")=0,"",SUMIFS(全馬データ!$K$2:$K$50000,全馬データ!$A$2:$A$50000,A1925,全馬データ!$B$2:$B$50000,B1925,全馬データ!$C$2:$C$50000,C1925,全馬データ!$D$2:$D$50000,E1925)))</f>
        <v/>
      </c>
      <c r="AP1925" s="8" t="str">
        <f aca="false">IF(A1925="","",IF(AO1925="","欠損",IF(AO1925&lt;=1.1,"1.0～1.1",IF(AO1925&lt;1.3,"1.2",IF(AO1925&lt;1.5,"1.3～1.4",IF(AO1925&lt;2,"1.5～1.9","2.0以上"))))))</f>
        <v/>
      </c>
      <c r="AQ1925" s="8" t="str">
        <f aca="false">IF(A1925="","",IF(ISNUMBER(SEARCH("2歳",Z1925)),"2歳戦",IF(ISNUMBER(SEARCH("3歳未勝利",Z1925)),"3歳未勝利",IF(ISNUMBER(SEARCH("未勝利",Z1925)),"その他未勝利",IF(ISNUMBER(SEARCH("G1",Z1925)),"G1",IF(ISNUMBER(SEARCH("G2",Z1925)),"G2",IF(ISNUMBER(SEARCH("G3",Z1925)),"G3",IF(ISNUMBER(SEARCH("古馬条件",Z1925)),"古馬条件戦",IF(ISNUMBER(SEARCH("重賞",Z1925)),"重賞","分類不能")))))))))</f>
        <v/>
      </c>
    </row>
    <row r="1926" customFormat="false" ht="15.75" hidden="false" customHeight="false" outlineLevel="0" collapsed="false">
      <c r="AO1926" s="8" t="str">
        <f aca="false">IF(A1926="","",IF(COUNTIFS(全馬データ!$A$2:$A$50000,A1926,全馬データ!$B$2:$B$50000,B1926,全馬データ!$C$2:$C$50000,C1926,全馬データ!$D$2:$D$50000,E1926,全馬データ!$K$2:$K$50000,"&lt;&gt;")=0,"",SUMIFS(全馬データ!$K$2:$K$50000,全馬データ!$A$2:$A$50000,A1926,全馬データ!$B$2:$B$50000,B1926,全馬データ!$C$2:$C$50000,C1926,全馬データ!$D$2:$D$50000,E1926)))</f>
        <v/>
      </c>
      <c r="AP1926" s="8" t="str">
        <f aca="false">IF(A1926="","",IF(AO1926="","欠損",IF(AO1926&lt;=1.1,"1.0～1.1",IF(AO1926&lt;1.3,"1.2",IF(AO1926&lt;1.5,"1.3～1.4",IF(AO1926&lt;2,"1.5～1.9","2.0以上"))))))</f>
        <v/>
      </c>
      <c r="AQ1926" s="8" t="str">
        <f aca="false">IF(A1926="","",IF(ISNUMBER(SEARCH("2歳",Z1926)),"2歳戦",IF(ISNUMBER(SEARCH("3歳未勝利",Z1926)),"3歳未勝利",IF(ISNUMBER(SEARCH("未勝利",Z1926)),"その他未勝利",IF(ISNUMBER(SEARCH("G1",Z1926)),"G1",IF(ISNUMBER(SEARCH("G2",Z1926)),"G2",IF(ISNUMBER(SEARCH("G3",Z1926)),"G3",IF(ISNUMBER(SEARCH("古馬条件",Z1926)),"古馬条件戦",IF(ISNUMBER(SEARCH("重賞",Z1926)),"重賞","分類不能")))))))))</f>
        <v/>
      </c>
    </row>
    <row r="1927" customFormat="false" ht="15.75" hidden="false" customHeight="false" outlineLevel="0" collapsed="false">
      <c r="AO1927" s="8" t="str">
        <f aca="false">IF(A1927="","",IF(COUNTIFS(全馬データ!$A$2:$A$50000,A1927,全馬データ!$B$2:$B$50000,B1927,全馬データ!$C$2:$C$50000,C1927,全馬データ!$D$2:$D$50000,E1927,全馬データ!$K$2:$K$50000,"&lt;&gt;")=0,"",SUMIFS(全馬データ!$K$2:$K$50000,全馬データ!$A$2:$A$50000,A1927,全馬データ!$B$2:$B$50000,B1927,全馬データ!$C$2:$C$50000,C1927,全馬データ!$D$2:$D$50000,E1927)))</f>
        <v/>
      </c>
      <c r="AP1927" s="8" t="str">
        <f aca="false">IF(A1927="","",IF(AO1927="","欠損",IF(AO1927&lt;=1.1,"1.0～1.1",IF(AO1927&lt;1.3,"1.2",IF(AO1927&lt;1.5,"1.3～1.4",IF(AO1927&lt;2,"1.5～1.9","2.0以上"))))))</f>
        <v/>
      </c>
      <c r="AQ1927" s="8" t="str">
        <f aca="false">IF(A1927="","",IF(ISNUMBER(SEARCH("2歳",Z1927)),"2歳戦",IF(ISNUMBER(SEARCH("3歳未勝利",Z1927)),"3歳未勝利",IF(ISNUMBER(SEARCH("未勝利",Z1927)),"その他未勝利",IF(ISNUMBER(SEARCH("G1",Z1927)),"G1",IF(ISNUMBER(SEARCH("G2",Z1927)),"G2",IF(ISNUMBER(SEARCH("G3",Z1927)),"G3",IF(ISNUMBER(SEARCH("古馬条件",Z1927)),"古馬条件戦",IF(ISNUMBER(SEARCH("重賞",Z1927)),"重賞","分類不能")))))))))</f>
        <v/>
      </c>
    </row>
    <row r="1928" customFormat="false" ht="15.75" hidden="false" customHeight="false" outlineLevel="0" collapsed="false">
      <c r="AO1928" s="8" t="str">
        <f aca="false">IF(A1928="","",IF(COUNTIFS(全馬データ!$A$2:$A$50000,A1928,全馬データ!$B$2:$B$50000,B1928,全馬データ!$C$2:$C$50000,C1928,全馬データ!$D$2:$D$50000,E1928,全馬データ!$K$2:$K$50000,"&lt;&gt;")=0,"",SUMIFS(全馬データ!$K$2:$K$50000,全馬データ!$A$2:$A$50000,A1928,全馬データ!$B$2:$B$50000,B1928,全馬データ!$C$2:$C$50000,C1928,全馬データ!$D$2:$D$50000,E1928)))</f>
        <v/>
      </c>
      <c r="AP1928" s="8" t="str">
        <f aca="false">IF(A1928="","",IF(AO1928="","欠損",IF(AO1928&lt;=1.1,"1.0～1.1",IF(AO1928&lt;1.3,"1.2",IF(AO1928&lt;1.5,"1.3～1.4",IF(AO1928&lt;2,"1.5～1.9","2.0以上"))))))</f>
        <v/>
      </c>
      <c r="AQ1928" s="8" t="str">
        <f aca="false">IF(A1928="","",IF(ISNUMBER(SEARCH("2歳",Z1928)),"2歳戦",IF(ISNUMBER(SEARCH("3歳未勝利",Z1928)),"3歳未勝利",IF(ISNUMBER(SEARCH("未勝利",Z1928)),"その他未勝利",IF(ISNUMBER(SEARCH("G1",Z1928)),"G1",IF(ISNUMBER(SEARCH("G2",Z1928)),"G2",IF(ISNUMBER(SEARCH("G3",Z1928)),"G3",IF(ISNUMBER(SEARCH("古馬条件",Z1928)),"古馬条件戦",IF(ISNUMBER(SEARCH("重賞",Z1928)),"重賞","分類不能")))))))))</f>
        <v/>
      </c>
    </row>
    <row r="1929" customFormat="false" ht="15.75" hidden="false" customHeight="false" outlineLevel="0" collapsed="false">
      <c r="AO1929" s="8" t="str">
        <f aca="false">IF(A1929="","",IF(COUNTIFS(全馬データ!$A$2:$A$50000,A1929,全馬データ!$B$2:$B$50000,B1929,全馬データ!$C$2:$C$50000,C1929,全馬データ!$D$2:$D$50000,E1929,全馬データ!$K$2:$K$50000,"&lt;&gt;")=0,"",SUMIFS(全馬データ!$K$2:$K$50000,全馬データ!$A$2:$A$50000,A1929,全馬データ!$B$2:$B$50000,B1929,全馬データ!$C$2:$C$50000,C1929,全馬データ!$D$2:$D$50000,E1929)))</f>
        <v/>
      </c>
      <c r="AP1929" s="8" t="str">
        <f aca="false">IF(A1929="","",IF(AO1929="","欠損",IF(AO1929&lt;=1.1,"1.0～1.1",IF(AO1929&lt;1.3,"1.2",IF(AO1929&lt;1.5,"1.3～1.4",IF(AO1929&lt;2,"1.5～1.9","2.0以上"))))))</f>
        <v/>
      </c>
      <c r="AQ1929" s="8" t="str">
        <f aca="false">IF(A1929="","",IF(ISNUMBER(SEARCH("2歳",Z1929)),"2歳戦",IF(ISNUMBER(SEARCH("3歳未勝利",Z1929)),"3歳未勝利",IF(ISNUMBER(SEARCH("未勝利",Z1929)),"その他未勝利",IF(ISNUMBER(SEARCH("G1",Z1929)),"G1",IF(ISNUMBER(SEARCH("G2",Z1929)),"G2",IF(ISNUMBER(SEARCH("G3",Z1929)),"G3",IF(ISNUMBER(SEARCH("古馬条件",Z1929)),"古馬条件戦",IF(ISNUMBER(SEARCH("重賞",Z1929)),"重賞","分類不能")))))))))</f>
        <v/>
      </c>
    </row>
    <row r="1930" customFormat="false" ht="15.75" hidden="false" customHeight="false" outlineLevel="0" collapsed="false">
      <c r="AO1930" s="8" t="str">
        <f aca="false">IF(A1930="","",IF(COUNTIFS(全馬データ!$A$2:$A$50000,A1930,全馬データ!$B$2:$B$50000,B1930,全馬データ!$C$2:$C$50000,C1930,全馬データ!$D$2:$D$50000,E1930,全馬データ!$K$2:$K$50000,"&lt;&gt;")=0,"",SUMIFS(全馬データ!$K$2:$K$50000,全馬データ!$A$2:$A$50000,A1930,全馬データ!$B$2:$B$50000,B1930,全馬データ!$C$2:$C$50000,C1930,全馬データ!$D$2:$D$50000,E1930)))</f>
        <v/>
      </c>
      <c r="AP1930" s="8" t="str">
        <f aca="false">IF(A1930="","",IF(AO1930="","欠損",IF(AO1930&lt;=1.1,"1.0～1.1",IF(AO1930&lt;1.3,"1.2",IF(AO1930&lt;1.5,"1.3～1.4",IF(AO1930&lt;2,"1.5～1.9","2.0以上"))))))</f>
        <v/>
      </c>
      <c r="AQ1930" s="8" t="str">
        <f aca="false">IF(A1930="","",IF(ISNUMBER(SEARCH("2歳",Z1930)),"2歳戦",IF(ISNUMBER(SEARCH("3歳未勝利",Z1930)),"3歳未勝利",IF(ISNUMBER(SEARCH("未勝利",Z1930)),"その他未勝利",IF(ISNUMBER(SEARCH("G1",Z1930)),"G1",IF(ISNUMBER(SEARCH("G2",Z1930)),"G2",IF(ISNUMBER(SEARCH("G3",Z1930)),"G3",IF(ISNUMBER(SEARCH("古馬条件",Z1930)),"古馬条件戦",IF(ISNUMBER(SEARCH("重賞",Z1930)),"重賞","分類不能")))))))))</f>
        <v/>
      </c>
    </row>
    <row r="1931" customFormat="false" ht="15.75" hidden="false" customHeight="false" outlineLevel="0" collapsed="false">
      <c r="AO1931" s="8" t="str">
        <f aca="false">IF(A1931="","",IF(COUNTIFS(全馬データ!$A$2:$A$50000,A1931,全馬データ!$B$2:$B$50000,B1931,全馬データ!$C$2:$C$50000,C1931,全馬データ!$D$2:$D$50000,E1931,全馬データ!$K$2:$K$50000,"&lt;&gt;")=0,"",SUMIFS(全馬データ!$K$2:$K$50000,全馬データ!$A$2:$A$50000,A1931,全馬データ!$B$2:$B$50000,B1931,全馬データ!$C$2:$C$50000,C1931,全馬データ!$D$2:$D$50000,E1931)))</f>
        <v/>
      </c>
      <c r="AP1931" s="8" t="str">
        <f aca="false">IF(A1931="","",IF(AO1931="","欠損",IF(AO1931&lt;=1.1,"1.0～1.1",IF(AO1931&lt;1.3,"1.2",IF(AO1931&lt;1.5,"1.3～1.4",IF(AO1931&lt;2,"1.5～1.9","2.0以上"))))))</f>
        <v/>
      </c>
      <c r="AQ1931" s="8" t="str">
        <f aca="false">IF(A1931="","",IF(ISNUMBER(SEARCH("2歳",Z1931)),"2歳戦",IF(ISNUMBER(SEARCH("3歳未勝利",Z1931)),"3歳未勝利",IF(ISNUMBER(SEARCH("未勝利",Z1931)),"その他未勝利",IF(ISNUMBER(SEARCH("G1",Z1931)),"G1",IF(ISNUMBER(SEARCH("G2",Z1931)),"G2",IF(ISNUMBER(SEARCH("G3",Z1931)),"G3",IF(ISNUMBER(SEARCH("古馬条件",Z1931)),"古馬条件戦",IF(ISNUMBER(SEARCH("重賞",Z1931)),"重賞","分類不能")))))))))</f>
        <v/>
      </c>
    </row>
    <row r="1932" customFormat="false" ht="15.75" hidden="false" customHeight="false" outlineLevel="0" collapsed="false">
      <c r="AO1932" s="8" t="str">
        <f aca="false">IF(A1932="","",IF(COUNTIFS(全馬データ!$A$2:$A$50000,A1932,全馬データ!$B$2:$B$50000,B1932,全馬データ!$C$2:$C$50000,C1932,全馬データ!$D$2:$D$50000,E1932,全馬データ!$K$2:$K$50000,"&lt;&gt;")=0,"",SUMIFS(全馬データ!$K$2:$K$50000,全馬データ!$A$2:$A$50000,A1932,全馬データ!$B$2:$B$50000,B1932,全馬データ!$C$2:$C$50000,C1932,全馬データ!$D$2:$D$50000,E1932)))</f>
        <v/>
      </c>
      <c r="AP1932" s="8" t="str">
        <f aca="false">IF(A1932="","",IF(AO1932="","欠損",IF(AO1932&lt;=1.1,"1.0～1.1",IF(AO1932&lt;1.3,"1.2",IF(AO1932&lt;1.5,"1.3～1.4",IF(AO1932&lt;2,"1.5～1.9","2.0以上"))))))</f>
        <v/>
      </c>
      <c r="AQ1932" s="8" t="str">
        <f aca="false">IF(A1932="","",IF(ISNUMBER(SEARCH("2歳",Z1932)),"2歳戦",IF(ISNUMBER(SEARCH("3歳未勝利",Z1932)),"3歳未勝利",IF(ISNUMBER(SEARCH("未勝利",Z1932)),"その他未勝利",IF(ISNUMBER(SEARCH("G1",Z1932)),"G1",IF(ISNUMBER(SEARCH("G2",Z1932)),"G2",IF(ISNUMBER(SEARCH("G3",Z1932)),"G3",IF(ISNUMBER(SEARCH("古馬条件",Z1932)),"古馬条件戦",IF(ISNUMBER(SEARCH("重賞",Z1932)),"重賞","分類不能")))))))))</f>
        <v/>
      </c>
    </row>
    <row r="1933" customFormat="false" ht="15.75" hidden="false" customHeight="false" outlineLevel="0" collapsed="false">
      <c r="AO1933" s="8" t="str">
        <f aca="false">IF(A1933="","",IF(COUNTIFS(全馬データ!$A$2:$A$50000,A1933,全馬データ!$B$2:$B$50000,B1933,全馬データ!$C$2:$C$50000,C1933,全馬データ!$D$2:$D$50000,E1933,全馬データ!$K$2:$K$50000,"&lt;&gt;")=0,"",SUMIFS(全馬データ!$K$2:$K$50000,全馬データ!$A$2:$A$50000,A1933,全馬データ!$B$2:$B$50000,B1933,全馬データ!$C$2:$C$50000,C1933,全馬データ!$D$2:$D$50000,E1933)))</f>
        <v/>
      </c>
      <c r="AP1933" s="8" t="str">
        <f aca="false">IF(A1933="","",IF(AO1933="","欠損",IF(AO1933&lt;=1.1,"1.0～1.1",IF(AO1933&lt;1.3,"1.2",IF(AO1933&lt;1.5,"1.3～1.4",IF(AO1933&lt;2,"1.5～1.9","2.0以上"))))))</f>
        <v/>
      </c>
      <c r="AQ1933" s="8" t="str">
        <f aca="false">IF(A1933="","",IF(ISNUMBER(SEARCH("2歳",Z1933)),"2歳戦",IF(ISNUMBER(SEARCH("3歳未勝利",Z1933)),"3歳未勝利",IF(ISNUMBER(SEARCH("未勝利",Z1933)),"その他未勝利",IF(ISNUMBER(SEARCH("G1",Z1933)),"G1",IF(ISNUMBER(SEARCH("G2",Z1933)),"G2",IF(ISNUMBER(SEARCH("G3",Z1933)),"G3",IF(ISNUMBER(SEARCH("古馬条件",Z1933)),"古馬条件戦",IF(ISNUMBER(SEARCH("重賞",Z1933)),"重賞","分類不能")))))))))</f>
        <v/>
      </c>
    </row>
    <row r="1934" customFormat="false" ht="15.75" hidden="false" customHeight="false" outlineLevel="0" collapsed="false">
      <c r="AO1934" s="8" t="str">
        <f aca="false">IF(A1934="","",IF(COUNTIFS(全馬データ!$A$2:$A$50000,A1934,全馬データ!$B$2:$B$50000,B1934,全馬データ!$C$2:$C$50000,C1934,全馬データ!$D$2:$D$50000,E1934,全馬データ!$K$2:$K$50000,"&lt;&gt;")=0,"",SUMIFS(全馬データ!$K$2:$K$50000,全馬データ!$A$2:$A$50000,A1934,全馬データ!$B$2:$B$50000,B1934,全馬データ!$C$2:$C$50000,C1934,全馬データ!$D$2:$D$50000,E1934)))</f>
        <v/>
      </c>
      <c r="AP1934" s="8" t="str">
        <f aca="false">IF(A1934="","",IF(AO1934="","欠損",IF(AO1934&lt;=1.1,"1.0～1.1",IF(AO1934&lt;1.3,"1.2",IF(AO1934&lt;1.5,"1.3～1.4",IF(AO1934&lt;2,"1.5～1.9","2.0以上"))))))</f>
        <v/>
      </c>
      <c r="AQ1934" s="8" t="str">
        <f aca="false">IF(A1934="","",IF(ISNUMBER(SEARCH("2歳",Z1934)),"2歳戦",IF(ISNUMBER(SEARCH("3歳未勝利",Z1934)),"3歳未勝利",IF(ISNUMBER(SEARCH("未勝利",Z1934)),"その他未勝利",IF(ISNUMBER(SEARCH("G1",Z1934)),"G1",IF(ISNUMBER(SEARCH("G2",Z1934)),"G2",IF(ISNUMBER(SEARCH("G3",Z1934)),"G3",IF(ISNUMBER(SEARCH("古馬条件",Z1934)),"古馬条件戦",IF(ISNUMBER(SEARCH("重賞",Z1934)),"重賞","分類不能")))))))))</f>
        <v/>
      </c>
    </row>
    <row r="1935" customFormat="false" ht="15.75" hidden="false" customHeight="false" outlineLevel="0" collapsed="false">
      <c r="AO1935" s="8" t="str">
        <f aca="false">IF(A1935="","",IF(COUNTIFS(全馬データ!$A$2:$A$50000,A1935,全馬データ!$B$2:$B$50000,B1935,全馬データ!$C$2:$C$50000,C1935,全馬データ!$D$2:$D$50000,E1935,全馬データ!$K$2:$K$50000,"&lt;&gt;")=0,"",SUMIFS(全馬データ!$K$2:$K$50000,全馬データ!$A$2:$A$50000,A1935,全馬データ!$B$2:$B$50000,B1935,全馬データ!$C$2:$C$50000,C1935,全馬データ!$D$2:$D$50000,E1935)))</f>
        <v/>
      </c>
      <c r="AP1935" s="8" t="str">
        <f aca="false">IF(A1935="","",IF(AO1935="","欠損",IF(AO1935&lt;=1.1,"1.0～1.1",IF(AO1935&lt;1.3,"1.2",IF(AO1935&lt;1.5,"1.3～1.4",IF(AO1935&lt;2,"1.5～1.9","2.0以上"))))))</f>
        <v/>
      </c>
      <c r="AQ1935" s="8" t="str">
        <f aca="false">IF(A1935="","",IF(ISNUMBER(SEARCH("2歳",Z1935)),"2歳戦",IF(ISNUMBER(SEARCH("3歳未勝利",Z1935)),"3歳未勝利",IF(ISNUMBER(SEARCH("未勝利",Z1935)),"その他未勝利",IF(ISNUMBER(SEARCH("G1",Z1935)),"G1",IF(ISNUMBER(SEARCH("G2",Z1935)),"G2",IF(ISNUMBER(SEARCH("G3",Z1935)),"G3",IF(ISNUMBER(SEARCH("古馬条件",Z1935)),"古馬条件戦",IF(ISNUMBER(SEARCH("重賞",Z1935)),"重賞","分類不能")))))))))</f>
        <v/>
      </c>
    </row>
    <row r="1936" customFormat="false" ht="15.75" hidden="false" customHeight="false" outlineLevel="0" collapsed="false">
      <c r="AO1936" s="8" t="str">
        <f aca="false">IF(A1936="","",IF(COUNTIFS(全馬データ!$A$2:$A$50000,A1936,全馬データ!$B$2:$B$50000,B1936,全馬データ!$C$2:$C$50000,C1936,全馬データ!$D$2:$D$50000,E1936,全馬データ!$K$2:$K$50000,"&lt;&gt;")=0,"",SUMIFS(全馬データ!$K$2:$K$50000,全馬データ!$A$2:$A$50000,A1936,全馬データ!$B$2:$B$50000,B1936,全馬データ!$C$2:$C$50000,C1936,全馬データ!$D$2:$D$50000,E1936)))</f>
        <v/>
      </c>
      <c r="AP1936" s="8" t="str">
        <f aca="false">IF(A1936="","",IF(AO1936="","欠損",IF(AO1936&lt;=1.1,"1.0～1.1",IF(AO1936&lt;1.3,"1.2",IF(AO1936&lt;1.5,"1.3～1.4",IF(AO1936&lt;2,"1.5～1.9","2.0以上"))))))</f>
        <v/>
      </c>
      <c r="AQ1936" s="8" t="str">
        <f aca="false">IF(A1936="","",IF(ISNUMBER(SEARCH("2歳",Z1936)),"2歳戦",IF(ISNUMBER(SEARCH("3歳未勝利",Z1936)),"3歳未勝利",IF(ISNUMBER(SEARCH("未勝利",Z1936)),"その他未勝利",IF(ISNUMBER(SEARCH("G1",Z1936)),"G1",IF(ISNUMBER(SEARCH("G2",Z1936)),"G2",IF(ISNUMBER(SEARCH("G3",Z1936)),"G3",IF(ISNUMBER(SEARCH("古馬条件",Z1936)),"古馬条件戦",IF(ISNUMBER(SEARCH("重賞",Z1936)),"重賞","分類不能")))))))))</f>
        <v/>
      </c>
    </row>
    <row r="1937" customFormat="false" ht="15.75" hidden="false" customHeight="false" outlineLevel="0" collapsed="false">
      <c r="AO1937" s="8" t="str">
        <f aca="false">IF(A1937="","",IF(COUNTIFS(全馬データ!$A$2:$A$50000,A1937,全馬データ!$B$2:$B$50000,B1937,全馬データ!$C$2:$C$50000,C1937,全馬データ!$D$2:$D$50000,E1937,全馬データ!$K$2:$K$50000,"&lt;&gt;")=0,"",SUMIFS(全馬データ!$K$2:$K$50000,全馬データ!$A$2:$A$50000,A1937,全馬データ!$B$2:$B$50000,B1937,全馬データ!$C$2:$C$50000,C1937,全馬データ!$D$2:$D$50000,E1937)))</f>
        <v/>
      </c>
      <c r="AP1937" s="8" t="str">
        <f aca="false">IF(A1937="","",IF(AO1937="","欠損",IF(AO1937&lt;=1.1,"1.0～1.1",IF(AO1937&lt;1.3,"1.2",IF(AO1937&lt;1.5,"1.3～1.4",IF(AO1937&lt;2,"1.5～1.9","2.0以上"))))))</f>
        <v/>
      </c>
      <c r="AQ1937" s="8" t="str">
        <f aca="false">IF(A1937="","",IF(ISNUMBER(SEARCH("2歳",Z1937)),"2歳戦",IF(ISNUMBER(SEARCH("3歳未勝利",Z1937)),"3歳未勝利",IF(ISNUMBER(SEARCH("未勝利",Z1937)),"その他未勝利",IF(ISNUMBER(SEARCH("G1",Z1937)),"G1",IF(ISNUMBER(SEARCH("G2",Z1937)),"G2",IF(ISNUMBER(SEARCH("G3",Z1937)),"G3",IF(ISNUMBER(SEARCH("古馬条件",Z1937)),"古馬条件戦",IF(ISNUMBER(SEARCH("重賞",Z1937)),"重賞","分類不能")))))))))</f>
        <v/>
      </c>
    </row>
    <row r="1938" customFormat="false" ht="15.75" hidden="false" customHeight="false" outlineLevel="0" collapsed="false">
      <c r="AO1938" s="8" t="str">
        <f aca="false">IF(A1938="","",IF(COUNTIFS(全馬データ!$A$2:$A$50000,A1938,全馬データ!$B$2:$B$50000,B1938,全馬データ!$C$2:$C$50000,C1938,全馬データ!$D$2:$D$50000,E1938,全馬データ!$K$2:$K$50000,"&lt;&gt;")=0,"",SUMIFS(全馬データ!$K$2:$K$50000,全馬データ!$A$2:$A$50000,A1938,全馬データ!$B$2:$B$50000,B1938,全馬データ!$C$2:$C$50000,C1938,全馬データ!$D$2:$D$50000,E1938)))</f>
        <v/>
      </c>
      <c r="AP1938" s="8" t="str">
        <f aca="false">IF(A1938="","",IF(AO1938="","欠損",IF(AO1938&lt;=1.1,"1.0～1.1",IF(AO1938&lt;1.3,"1.2",IF(AO1938&lt;1.5,"1.3～1.4",IF(AO1938&lt;2,"1.5～1.9","2.0以上"))))))</f>
        <v/>
      </c>
      <c r="AQ1938" s="8" t="str">
        <f aca="false">IF(A1938="","",IF(ISNUMBER(SEARCH("2歳",Z1938)),"2歳戦",IF(ISNUMBER(SEARCH("3歳未勝利",Z1938)),"3歳未勝利",IF(ISNUMBER(SEARCH("未勝利",Z1938)),"その他未勝利",IF(ISNUMBER(SEARCH("G1",Z1938)),"G1",IF(ISNUMBER(SEARCH("G2",Z1938)),"G2",IF(ISNUMBER(SEARCH("G3",Z1938)),"G3",IF(ISNUMBER(SEARCH("古馬条件",Z1938)),"古馬条件戦",IF(ISNUMBER(SEARCH("重賞",Z1938)),"重賞","分類不能")))))))))</f>
        <v/>
      </c>
    </row>
    <row r="1939" customFormat="false" ht="15.75" hidden="false" customHeight="false" outlineLevel="0" collapsed="false">
      <c r="AO1939" s="8" t="str">
        <f aca="false">IF(A1939="","",IF(COUNTIFS(全馬データ!$A$2:$A$50000,A1939,全馬データ!$B$2:$B$50000,B1939,全馬データ!$C$2:$C$50000,C1939,全馬データ!$D$2:$D$50000,E1939,全馬データ!$K$2:$K$50000,"&lt;&gt;")=0,"",SUMIFS(全馬データ!$K$2:$K$50000,全馬データ!$A$2:$A$50000,A1939,全馬データ!$B$2:$B$50000,B1939,全馬データ!$C$2:$C$50000,C1939,全馬データ!$D$2:$D$50000,E1939)))</f>
        <v/>
      </c>
      <c r="AP1939" s="8" t="str">
        <f aca="false">IF(A1939="","",IF(AO1939="","欠損",IF(AO1939&lt;=1.1,"1.0～1.1",IF(AO1939&lt;1.3,"1.2",IF(AO1939&lt;1.5,"1.3～1.4",IF(AO1939&lt;2,"1.5～1.9","2.0以上"))))))</f>
        <v/>
      </c>
      <c r="AQ1939" s="8" t="str">
        <f aca="false">IF(A1939="","",IF(ISNUMBER(SEARCH("2歳",Z1939)),"2歳戦",IF(ISNUMBER(SEARCH("3歳未勝利",Z1939)),"3歳未勝利",IF(ISNUMBER(SEARCH("未勝利",Z1939)),"その他未勝利",IF(ISNUMBER(SEARCH("G1",Z1939)),"G1",IF(ISNUMBER(SEARCH("G2",Z1939)),"G2",IF(ISNUMBER(SEARCH("G3",Z1939)),"G3",IF(ISNUMBER(SEARCH("古馬条件",Z1939)),"古馬条件戦",IF(ISNUMBER(SEARCH("重賞",Z1939)),"重賞","分類不能")))))))))</f>
        <v/>
      </c>
    </row>
    <row r="1940" customFormat="false" ht="15.75" hidden="false" customHeight="false" outlineLevel="0" collapsed="false">
      <c r="AO1940" s="8" t="str">
        <f aca="false">IF(A1940="","",IF(COUNTIFS(全馬データ!$A$2:$A$50000,A1940,全馬データ!$B$2:$B$50000,B1940,全馬データ!$C$2:$C$50000,C1940,全馬データ!$D$2:$D$50000,E1940,全馬データ!$K$2:$K$50000,"&lt;&gt;")=0,"",SUMIFS(全馬データ!$K$2:$K$50000,全馬データ!$A$2:$A$50000,A1940,全馬データ!$B$2:$B$50000,B1940,全馬データ!$C$2:$C$50000,C1940,全馬データ!$D$2:$D$50000,E1940)))</f>
        <v/>
      </c>
      <c r="AP1940" s="8" t="str">
        <f aca="false">IF(A1940="","",IF(AO1940="","欠損",IF(AO1940&lt;=1.1,"1.0～1.1",IF(AO1940&lt;1.3,"1.2",IF(AO1940&lt;1.5,"1.3～1.4",IF(AO1940&lt;2,"1.5～1.9","2.0以上"))))))</f>
        <v/>
      </c>
      <c r="AQ1940" s="8" t="str">
        <f aca="false">IF(A1940="","",IF(ISNUMBER(SEARCH("2歳",Z1940)),"2歳戦",IF(ISNUMBER(SEARCH("3歳未勝利",Z1940)),"3歳未勝利",IF(ISNUMBER(SEARCH("未勝利",Z1940)),"その他未勝利",IF(ISNUMBER(SEARCH("G1",Z1940)),"G1",IF(ISNUMBER(SEARCH("G2",Z1940)),"G2",IF(ISNUMBER(SEARCH("G3",Z1940)),"G3",IF(ISNUMBER(SEARCH("古馬条件",Z1940)),"古馬条件戦",IF(ISNUMBER(SEARCH("重賞",Z1940)),"重賞","分類不能")))))))))</f>
        <v/>
      </c>
    </row>
    <row r="1941" customFormat="false" ht="15.75" hidden="false" customHeight="false" outlineLevel="0" collapsed="false">
      <c r="AO1941" s="8" t="str">
        <f aca="false">IF(A1941="","",IF(COUNTIFS(全馬データ!$A$2:$A$50000,A1941,全馬データ!$B$2:$B$50000,B1941,全馬データ!$C$2:$C$50000,C1941,全馬データ!$D$2:$D$50000,E1941,全馬データ!$K$2:$K$50000,"&lt;&gt;")=0,"",SUMIFS(全馬データ!$K$2:$K$50000,全馬データ!$A$2:$A$50000,A1941,全馬データ!$B$2:$B$50000,B1941,全馬データ!$C$2:$C$50000,C1941,全馬データ!$D$2:$D$50000,E1941)))</f>
        <v/>
      </c>
      <c r="AP1941" s="8" t="str">
        <f aca="false">IF(A1941="","",IF(AO1941="","欠損",IF(AO1941&lt;=1.1,"1.0～1.1",IF(AO1941&lt;1.3,"1.2",IF(AO1941&lt;1.5,"1.3～1.4",IF(AO1941&lt;2,"1.5～1.9","2.0以上"))))))</f>
        <v/>
      </c>
      <c r="AQ1941" s="8" t="str">
        <f aca="false">IF(A1941="","",IF(ISNUMBER(SEARCH("2歳",Z1941)),"2歳戦",IF(ISNUMBER(SEARCH("3歳未勝利",Z1941)),"3歳未勝利",IF(ISNUMBER(SEARCH("未勝利",Z1941)),"その他未勝利",IF(ISNUMBER(SEARCH("G1",Z1941)),"G1",IF(ISNUMBER(SEARCH("G2",Z1941)),"G2",IF(ISNUMBER(SEARCH("G3",Z1941)),"G3",IF(ISNUMBER(SEARCH("古馬条件",Z1941)),"古馬条件戦",IF(ISNUMBER(SEARCH("重賞",Z1941)),"重賞","分類不能")))))))))</f>
        <v/>
      </c>
    </row>
    <row r="1942" customFormat="false" ht="15.75" hidden="false" customHeight="false" outlineLevel="0" collapsed="false">
      <c r="AO1942" s="8" t="str">
        <f aca="false">IF(A1942="","",IF(COUNTIFS(全馬データ!$A$2:$A$50000,A1942,全馬データ!$B$2:$B$50000,B1942,全馬データ!$C$2:$C$50000,C1942,全馬データ!$D$2:$D$50000,E1942,全馬データ!$K$2:$K$50000,"&lt;&gt;")=0,"",SUMIFS(全馬データ!$K$2:$K$50000,全馬データ!$A$2:$A$50000,A1942,全馬データ!$B$2:$B$50000,B1942,全馬データ!$C$2:$C$50000,C1942,全馬データ!$D$2:$D$50000,E1942)))</f>
        <v/>
      </c>
      <c r="AP1942" s="8" t="str">
        <f aca="false">IF(A1942="","",IF(AO1942="","欠損",IF(AO1942&lt;=1.1,"1.0～1.1",IF(AO1942&lt;1.3,"1.2",IF(AO1942&lt;1.5,"1.3～1.4",IF(AO1942&lt;2,"1.5～1.9","2.0以上"))))))</f>
        <v/>
      </c>
      <c r="AQ1942" s="8" t="str">
        <f aca="false">IF(A1942="","",IF(ISNUMBER(SEARCH("2歳",Z1942)),"2歳戦",IF(ISNUMBER(SEARCH("3歳未勝利",Z1942)),"3歳未勝利",IF(ISNUMBER(SEARCH("未勝利",Z1942)),"その他未勝利",IF(ISNUMBER(SEARCH("G1",Z1942)),"G1",IF(ISNUMBER(SEARCH("G2",Z1942)),"G2",IF(ISNUMBER(SEARCH("G3",Z1942)),"G3",IF(ISNUMBER(SEARCH("古馬条件",Z1942)),"古馬条件戦",IF(ISNUMBER(SEARCH("重賞",Z1942)),"重賞","分類不能")))))))))</f>
        <v/>
      </c>
    </row>
    <row r="1943" customFormat="false" ht="15.75" hidden="false" customHeight="false" outlineLevel="0" collapsed="false">
      <c r="AO1943" s="8" t="str">
        <f aca="false">IF(A1943="","",IF(COUNTIFS(全馬データ!$A$2:$A$50000,A1943,全馬データ!$B$2:$B$50000,B1943,全馬データ!$C$2:$C$50000,C1943,全馬データ!$D$2:$D$50000,E1943,全馬データ!$K$2:$K$50000,"&lt;&gt;")=0,"",SUMIFS(全馬データ!$K$2:$K$50000,全馬データ!$A$2:$A$50000,A1943,全馬データ!$B$2:$B$50000,B1943,全馬データ!$C$2:$C$50000,C1943,全馬データ!$D$2:$D$50000,E1943)))</f>
        <v/>
      </c>
      <c r="AP1943" s="8" t="str">
        <f aca="false">IF(A1943="","",IF(AO1943="","欠損",IF(AO1943&lt;=1.1,"1.0～1.1",IF(AO1943&lt;1.3,"1.2",IF(AO1943&lt;1.5,"1.3～1.4",IF(AO1943&lt;2,"1.5～1.9","2.0以上"))))))</f>
        <v/>
      </c>
      <c r="AQ1943" s="8" t="str">
        <f aca="false">IF(A1943="","",IF(ISNUMBER(SEARCH("2歳",Z1943)),"2歳戦",IF(ISNUMBER(SEARCH("3歳未勝利",Z1943)),"3歳未勝利",IF(ISNUMBER(SEARCH("未勝利",Z1943)),"その他未勝利",IF(ISNUMBER(SEARCH("G1",Z1943)),"G1",IF(ISNUMBER(SEARCH("G2",Z1943)),"G2",IF(ISNUMBER(SEARCH("G3",Z1943)),"G3",IF(ISNUMBER(SEARCH("古馬条件",Z1943)),"古馬条件戦",IF(ISNUMBER(SEARCH("重賞",Z1943)),"重賞","分類不能")))))))))</f>
        <v/>
      </c>
    </row>
    <row r="1944" customFormat="false" ht="15.75" hidden="false" customHeight="false" outlineLevel="0" collapsed="false">
      <c r="AO1944" s="8" t="str">
        <f aca="false">IF(A1944="","",IF(COUNTIFS(全馬データ!$A$2:$A$50000,A1944,全馬データ!$B$2:$B$50000,B1944,全馬データ!$C$2:$C$50000,C1944,全馬データ!$D$2:$D$50000,E1944,全馬データ!$K$2:$K$50000,"&lt;&gt;")=0,"",SUMIFS(全馬データ!$K$2:$K$50000,全馬データ!$A$2:$A$50000,A1944,全馬データ!$B$2:$B$50000,B1944,全馬データ!$C$2:$C$50000,C1944,全馬データ!$D$2:$D$50000,E1944)))</f>
        <v/>
      </c>
      <c r="AP1944" s="8" t="str">
        <f aca="false">IF(A1944="","",IF(AO1944="","欠損",IF(AO1944&lt;=1.1,"1.0～1.1",IF(AO1944&lt;1.3,"1.2",IF(AO1944&lt;1.5,"1.3～1.4",IF(AO1944&lt;2,"1.5～1.9","2.0以上"))))))</f>
        <v/>
      </c>
      <c r="AQ1944" s="8" t="str">
        <f aca="false">IF(A1944="","",IF(ISNUMBER(SEARCH("2歳",Z1944)),"2歳戦",IF(ISNUMBER(SEARCH("3歳未勝利",Z1944)),"3歳未勝利",IF(ISNUMBER(SEARCH("未勝利",Z1944)),"その他未勝利",IF(ISNUMBER(SEARCH("G1",Z1944)),"G1",IF(ISNUMBER(SEARCH("G2",Z1944)),"G2",IF(ISNUMBER(SEARCH("G3",Z1944)),"G3",IF(ISNUMBER(SEARCH("古馬条件",Z1944)),"古馬条件戦",IF(ISNUMBER(SEARCH("重賞",Z1944)),"重賞","分類不能")))))))))</f>
        <v/>
      </c>
    </row>
    <row r="1945" customFormat="false" ht="15.75" hidden="false" customHeight="false" outlineLevel="0" collapsed="false">
      <c r="AO1945" s="8" t="str">
        <f aca="false">IF(A1945="","",IF(COUNTIFS(全馬データ!$A$2:$A$50000,A1945,全馬データ!$B$2:$B$50000,B1945,全馬データ!$C$2:$C$50000,C1945,全馬データ!$D$2:$D$50000,E1945,全馬データ!$K$2:$K$50000,"&lt;&gt;")=0,"",SUMIFS(全馬データ!$K$2:$K$50000,全馬データ!$A$2:$A$50000,A1945,全馬データ!$B$2:$B$50000,B1945,全馬データ!$C$2:$C$50000,C1945,全馬データ!$D$2:$D$50000,E1945)))</f>
        <v/>
      </c>
      <c r="AP1945" s="8" t="str">
        <f aca="false">IF(A1945="","",IF(AO1945="","欠損",IF(AO1945&lt;=1.1,"1.0～1.1",IF(AO1945&lt;1.3,"1.2",IF(AO1945&lt;1.5,"1.3～1.4",IF(AO1945&lt;2,"1.5～1.9","2.0以上"))))))</f>
        <v/>
      </c>
      <c r="AQ1945" s="8" t="str">
        <f aca="false">IF(A1945="","",IF(ISNUMBER(SEARCH("2歳",Z1945)),"2歳戦",IF(ISNUMBER(SEARCH("3歳未勝利",Z1945)),"3歳未勝利",IF(ISNUMBER(SEARCH("未勝利",Z1945)),"その他未勝利",IF(ISNUMBER(SEARCH("G1",Z1945)),"G1",IF(ISNUMBER(SEARCH("G2",Z1945)),"G2",IF(ISNUMBER(SEARCH("G3",Z1945)),"G3",IF(ISNUMBER(SEARCH("古馬条件",Z1945)),"古馬条件戦",IF(ISNUMBER(SEARCH("重賞",Z1945)),"重賞","分類不能")))))))))</f>
        <v/>
      </c>
    </row>
    <row r="1946" customFormat="false" ht="15.75" hidden="false" customHeight="false" outlineLevel="0" collapsed="false">
      <c r="AO1946" s="8" t="str">
        <f aca="false">IF(A1946="","",IF(COUNTIFS(全馬データ!$A$2:$A$50000,A1946,全馬データ!$B$2:$B$50000,B1946,全馬データ!$C$2:$C$50000,C1946,全馬データ!$D$2:$D$50000,E1946,全馬データ!$K$2:$K$50000,"&lt;&gt;")=0,"",SUMIFS(全馬データ!$K$2:$K$50000,全馬データ!$A$2:$A$50000,A1946,全馬データ!$B$2:$B$50000,B1946,全馬データ!$C$2:$C$50000,C1946,全馬データ!$D$2:$D$50000,E1946)))</f>
        <v/>
      </c>
      <c r="AP1946" s="8" t="str">
        <f aca="false">IF(A1946="","",IF(AO1946="","欠損",IF(AO1946&lt;=1.1,"1.0～1.1",IF(AO1946&lt;1.3,"1.2",IF(AO1946&lt;1.5,"1.3～1.4",IF(AO1946&lt;2,"1.5～1.9","2.0以上"))))))</f>
        <v/>
      </c>
      <c r="AQ1946" s="8" t="str">
        <f aca="false">IF(A1946="","",IF(ISNUMBER(SEARCH("2歳",Z1946)),"2歳戦",IF(ISNUMBER(SEARCH("3歳未勝利",Z1946)),"3歳未勝利",IF(ISNUMBER(SEARCH("未勝利",Z1946)),"その他未勝利",IF(ISNUMBER(SEARCH("G1",Z1946)),"G1",IF(ISNUMBER(SEARCH("G2",Z1946)),"G2",IF(ISNUMBER(SEARCH("G3",Z1946)),"G3",IF(ISNUMBER(SEARCH("古馬条件",Z1946)),"古馬条件戦",IF(ISNUMBER(SEARCH("重賞",Z1946)),"重賞","分類不能")))))))))</f>
        <v/>
      </c>
    </row>
    <row r="1947" customFormat="false" ht="15.75" hidden="false" customHeight="false" outlineLevel="0" collapsed="false">
      <c r="AO1947" s="8" t="str">
        <f aca="false">IF(A1947="","",IF(COUNTIFS(全馬データ!$A$2:$A$50000,A1947,全馬データ!$B$2:$B$50000,B1947,全馬データ!$C$2:$C$50000,C1947,全馬データ!$D$2:$D$50000,E1947,全馬データ!$K$2:$K$50000,"&lt;&gt;")=0,"",SUMIFS(全馬データ!$K$2:$K$50000,全馬データ!$A$2:$A$50000,A1947,全馬データ!$B$2:$B$50000,B1947,全馬データ!$C$2:$C$50000,C1947,全馬データ!$D$2:$D$50000,E1947)))</f>
        <v/>
      </c>
      <c r="AP1947" s="8" t="str">
        <f aca="false">IF(A1947="","",IF(AO1947="","欠損",IF(AO1947&lt;=1.1,"1.0～1.1",IF(AO1947&lt;1.3,"1.2",IF(AO1947&lt;1.5,"1.3～1.4",IF(AO1947&lt;2,"1.5～1.9","2.0以上"))))))</f>
        <v/>
      </c>
      <c r="AQ1947" s="8" t="str">
        <f aca="false">IF(A1947="","",IF(ISNUMBER(SEARCH("2歳",Z1947)),"2歳戦",IF(ISNUMBER(SEARCH("3歳未勝利",Z1947)),"3歳未勝利",IF(ISNUMBER(SEARCH("未勝利",Z1947)),"その他未勝利",IF(ISNUMBER(SEARCH("G1",Z1947)),"G1",IF(ISNUMBER(SEARCH("G2",Z1947)),"G2",IF(ISNUMBER(SEARCH("G3",Z1947)),"G3",IF(ISNUMBER(SEARCH("古馬条件",Z1947)),"古馬条件戦",IF(ISNUMBER(SEARCH("重賞",Z1947)),"重賞","分類不能")))))))))</f>
        <v/>
      </c>
    </row>
    <row r="1948" customFormat="false" ht="15.75" hidden="false" customHeight="false" outlineLevel="0" collapsed="false">
      <c r="AO1948" s="8" t="str">
        <f aca="false">IF(A1948="","",IF(COUNTIFS(全馬データ!$A$2:$A$50000,A1948,全馬データ!$B$2:$B$50000,B1948,全馬データ!$C$2:$C$50000,C1948,全馬データ!$D$2:$D$50000,E1948,全馬データ!$K$2:$K$50000,"&lt;&gt;")=0,"",SUMIFS(全馬データ!$K$2:$K$50000,全馬データ!$A$2:$A$50000,A1948,全馬データ!$B$2:$B$50000,B1948,全馬データ!$C$2:$C$50000,C1948,全馬データ!$D$2:$D$50000,E1948)))</f>
        <v/>
      </c>
      <c r="AP1948" s="8" t="str">
        <f aca="false">IF(A1948="","",IF(AO1948="","欠損",IF(AO1948&lt;=1.1,"1.0～1.1",IF(AO1948&lt;1.3,"1.2",IF(AO1948&lt;1.5,"1.3～1.4",IF(AO1948&lt;2,"1.5～1.9","2.0以上"))))))</f>
        <v/>
      </c>
      <c r="AQ1948" s="8" t="str">
        <f aca="false">IF(A1948="","",IF(ISNUMBER(SEARCH("2歳",Z1948)),"2歳戦",IF(ISNUMBER(SEARCH("3歳未勝利",Z1948)),"3歳未勝利",IF(ISNUMBER(SEARCH("未勝利",Z1948)),"その他未勝利",IF(ISNUMBER(SEARCH("G1",Z1948)),"G1",IF(ISNUMBER(SEARCH("G2",Z1948)),"G2",IF(ISNUMBER(SEARCH("G3",Z1948)),"G3",IF(ISNUMBER(SEARCH("古馬条件",Z1948)),"古馬条件戦",IF(ISNUMBER(SEARCH("重賞",Z1948)),"重賞","分類不能")))))))))</f>
        <v/>
      </c>
    </row>
    <row r="1949" customFormat="false" ht="15.75" hidden="false" customHeight="false" outlineLevel="0" collapsed="false">
      <c r="AO1949" s="8" t="str">
        <f aca="false">IF(A1949="","",IF(COUNTIFS(全馬データ!$A$2:$A$50000,A1949,全馬データ!$B$2:$B$50000,B1949,全馬データ!$C$2:$C$50000,C1949,全馬データ!$D$2:$D$50000,E1949,全馬データ!$K$2:$K$50000,"&lt;&gt;")=0,"",SUMIFS(全馬データ!$K$2:$K$50000,全馬データ!$A$2:$A$50000,A1949,全馬データ!$B$2:$B$50000,B1949,全馬データ!$C$2:$C$50000,C1949,全馬データ!$D$2:$D$50000,E1949)))</f>
        <v/>
      </c>
      <c r="AP1949" s="8" t="str">
        <f aca="false">IF(A1949="","",IF(AO1949="","欠損",IF(AO1949&lt;=1.1,"1.0～1.1",IF(AO1949&lt;1.3,"1.2",IF(AO1949&lt;1.5,"1.3～1.4",IF(AO1949&lt;2,"1.5～1.9","2.0以上"))))))</f>
        <v/>
      </c>
      <c r="AQ1949" s="8" t="str">
        <f aca="false">IF(A1949="","",IF(ISNUMBER(SEARCH("2歳",Z1949)),"2歳戦",IF(ISNUMBER(SEARCH("3歳未勝利",Z1949)),"3歳未勝利",IF(ISNUMBER(SEARCH("未勝利",Z1949)),"その他未勝利",IF(ISNUMBER(SEARCH("G1",Z1949)),"G1",IF(ISNUMBER(SEARCH("G2",Z1949)),"G2",IF(ISNUMBER(SEARCH("G3",Z1949)),"G3",IF(ISNUMBER(SEARCH("古馬条件",Z1949)),"古馬条件戦",IF(ISNUMBER(SEARCH("重賞",Z1949)),"重賞","分類不能")))))))))</f>
        <v/>
      </c>
    </row>
    <row r="1950" customFormat="false" ht="15.75" hidden="false" customHeight="false" outlineLevel="0" collapsed="false">
      <c r="AO1950" s="8" t="str">
        <f aca="false">IF(A1950="","",IF(COUNTIFS(全馬データ!$A$2:$A$50000,A1950,全馬データ!$B$2:$B$50000,B1950,全馬データ!$C$2:$C$50000,C1950,全馬データ!$D$2:$D$50000,E1950,全馬データ!$K$2:$K$50000,"&lt;&gt;")=0,"",SUMIFS(全馬データ!$K$2:$K$50000,全馬データ!$A$2:$A$50000,A1950,全馬データ!$B$2:$B$50000,B1950,全馬データ!$C$2:$C$50000,C1950,全馬データ!$D$2:$D$50000,E1950)))</f>
        <v/>
      </c>
      <c r="AP1950" s="8" t="str">
        <f aca="false">IF(A1950="","",IF(AO1950="","欠損",IF(AO1950&lt;=1.1,"1.0～1.1",IF(AO1950&lt;1.3,"1.2",IF(AO1950&lt;1.5,"1.3～1.4",IF(AO1950&lt;2,"1.5～1.9","2.0以上"))))))</f>
        <v/>
      </c>
      <c r="AQ1950" s="8" t="str">
        <f aca="false">IF(A1950="","",IF(ISNUMBER(SEARCH("2歳",Z1950)),"2歳戦",IF(ISNUMBER(SEARCH("3歳未勝利",Z1950)),"3歳未勝利",IF(ISNUMBER(SEARCH("未勝利",Z1950)),"その他未勝利",IF(ISNUMBER(SEARCH("G1",Z1950)),"G1",IF(ISNUMBER(SEARCH("G2",Z1950)),"G2",IF(ISNUMBER(SEARCH("G3",Z1950)),"G3",IF(ISNUMBER(SEARCH("古馬条件",Z1950)),"古馬条件戦",IF(ISNUMBER(SEARCH("重賞",Z1950)),"重賞","分類不能")))))))))</f>
        <v/>
      </c>
    </row>
    <row r="1951" customFormat="false" ht="15.75" hidden="false" customHeight="false" outlineLevel="0" collapsed="false">
      <c r="AO1951" s="8" t="str">
        <f aca="false">IF(A1951="","",IF(COUNTIFS(全馬データ!$A$2:$A$50000,A1951,全馬データ!$B$2:$B$50000,B1951,全馬データ!$C$2:$C$50000,C1951,全馬データ!$D$2:$D$50000,E1951,全馬データ!$K$2:$K$50000,"&lt;&gt;")=0,"",SUMIFS(全馬データ!$K$2:$K$50000,全馬データ!$A$2:$A$50000,A1951,全馬データ!$B$2:$B$50000,B1951,全馬データ!$C$2:$C$50000,C1951,全馬データ!$D$2:$D$50000,E1951)))</f>
        <v/>
      </c>
      <c r="AP1951" s="8" t="str">
        <f aca="false">IF(A1951="","",IF(AO1951="","欠損",IF(AO1951&lt;=1.1,"1.0～1.1",IF(AO1951&lt;1.3,"1.2",IF(AO1951&lt;1.5,"1.3～1.4",IF(AO1951&lt;2,"1.5～1.9","2.0以上"))))))</f>
        <v/>
      </c>
      <c r="AQ1951" s="8" t="str">
        <f aca="false">IF(A1951="","",IF(ISNUMBER(SEARCH("2歳",Z1951)),"2歳戦",IF(ISNUMBER(SEARCH("3歳未勝利",Z1951)),"3歳未勝利",IF(ISNUMBER(SEARCH("未勝利",Z1951)),"その他未勝利",IF(ISNUMBER(SEARCH("G1",Z1951)),"G1",IF(ISNUMBER(SEARCH("G2",Z1951)),"G2",IF(ISNUMBER(SEARCH("G3",Z1951)),"G3",IF(ISNUMBER(SEARCH("古馬条件",Z1951)),"古馬条件戦",IF(ISNUMBER(SEARCH("重賞",Z1951)),"重賞","分類不能")))))))))</f>
        <v/>
      </c>
    </row>
    <row r="1952" customFormat="false" ht="15.75" hidden="false" customHeight="false" outlineLevel="0" collapsed="false">
      <c r="AO1952" s="8" t="str">
        <f aca="false">IF(A1952="","",IF(COUNTIFS(全馬データ!$A$2:$A$50000,A1952,全馬データ!$B$2:$B$50000,B1952,全馬データ!$C$2:$C$50000,C1952,全馬データ!$D$2:$D$50000,E1952,全馬データ!$K$2:$K$50000,"&lt;&gt;")=0,"",SUMIFS(全馬データ!$K$2:$K$50000,全馬データ!$A$2:$A$50000,A1952,全馬データ!$B$2:$B$50000,B1952,全馬データ!$C$2:$C$50000,C1952,全馬データ!$D$2:$D$50000,E1952)))</f>
        <v/>
      </c>
      <c r="AP1952" s="8" t="str">
        <f aca="false">IF(A1952="","",IF(AO1952="","欠損",IF(AO1952&lt;=1.1,"1.0～1.1",IF(AO1952&lt;1.3,"1.2",IF(AO1952&lt;1.5,"1.3～1.4",IF(AO1952&lt;2,"1.5～1.9","2.0以上"))))))</f>
        <v/>
      </c>
      <c r="AQ1952" s="8" t="str">
        <f aca="false">IF(A1952="","",IF(ISNUMBER(SEARCH("2歳",Z1952)),"2歳戦",IF(ISNUMBER(SEARCH("3歳未勝利",Z1952)),"3歳未勝利",IF(ISNUMBER(SEARCH("未勝利",Z1952)),"その他未勝利",IF(ISNUMBER(SEARCH("G1",Z1952)),"G1",IF(ISNUMBER(SEARCH("G2",Z1952)),"G2",IF(ISNUMBER(SEARCH("G3",Z1952)),"G3",IF(ISNUMBER(SEARCH("古馬条件",Z1952)),"古馬条件戦",IF(ISNUMBER(SEARCH("重賞",Z1952)),"重賞","分類不能")))))))))</f>
        <v/>
      </c>
    </row>
    <row r="1953" customFormat="false" ht="15.75" hidden="false" customHeight="false" outlineLevel="0" collapsed="false">
      <c r="AO1953" s="8" t="str">
        <f aca="false">IF(A1953="","",IF(COUNTIFS(全馬データ!$A$2:$A$50000,A1953,全馬データ!$B$2:$B$50000,B1953,全馬データ!$C$2:$C$50000,C1953,全馬データ!$D$2:$D$50000,E1953,全馬データ!$K$2:$K$50000,"&lt;&gt;")=0,"",SUMIFS(全馬データ!$K$2:$K$50000,全馬データ!$A$2:$A$50000,A1953,全馬データ!$B$2:$B$50000,B1953,全馬データ!$C$2:$C$50000,C1953,全馬データ!$D$2:$D$50000,E1953)))</f>
        <v/>
      </c>
      <c r="AP1953" s="8" t="str">
        <f aca="false">IF(A1953="","",IF(AO1953="","欠損",IF(AO1953&lt;=1.1,"1.0～1.1",IF(AO1953&lt;1.3,"1.2",IF(AO1953&lt;1.5,"1.3～1.4",IF(AO1953&lt;2,"1.5～1.9","2.0以上"))))))</f>
        <v/>
      </c>
      <c r="AQ1953" s="8" t="str">
        <f aca="false">IF(A1953="","",IF(ISNUMBER(SEARCH("2歳",Z1953)),"2歳戦",IF(ISNUMBER(SEARCH("3歳未勝利",Z1953)),"3歳未勝利",IF(ISNUMBER(SEARCH("未勝利",Z1953)),"その他未勝利",IF(ISNUMBER(SEARCH("G1",Z1953)),"G1",IF(ISNUMBER(SEARCH("G2",Z1953)),"G2",IF(ISNUMBER(SEARCH("G3",Z1953)),"G3",IF(ISNUMBER(SEARCH("古馬条件",Z1953)),"古馬条件戦",IF(ISNUMBER(SEARCH("重賞",Z1953)),"重賞","分類不能")))))))))</f>
        <v/>
      </c>
    </row>
    <row r="1954" customFormat="false" ht="15.75" hidden="false" customHeight="false" outlineLevel="0" collapsed="false">
      <c r="AO1954" s="8" t="str">
        <f aca="false">IF(A1954="","",IF(COUNTIFS(全馬データ!$A$2:$A$50000,A1954,全馬データ!$B$2:$B$50000,B1954,全馬データ!$C$2:$C$50000,C1954,全馬データ!$D$2:$D$50000,E1954,全馬データ!$K$2:$K$50000,"&lt;&gt;")=0,"",SUMIFS(全馬データ!$K$2:$K$50000,全馬データ!$A$2:$A$50000,A1954,全馬データ!$B$2:$B$50000,B1954,全馬データ!$C$2:$C$50000,C1954,全馬データ!$D$2:$D$50000,E1954)))</f>
        <v/>
      </c>
      <c r="AP1954" s="8" t="str">
        <f aca="false">IF(A1954="","",IF(AO1954="","欠損",IF(AO1954&lt;=1.1,"1.0～1.1",IF(AO1954&lt;1.3,"1.2",IF(AO1954&lt;1.5,"1.3～1.4",IF(AO1954&lt;2,"1.5～1.9","2.0以上"))))))</f>
        <v/>
      </c>
      <c r="AQ1954" s="8" t="str">
        <f aca="false">IF(A1954="","",IF(ISNUMBER(SEARCH("2歳",Z1954)),"2歳戦",IF(ISNUMBER(SEARCH("3歳未勝利",Z1954)),"3歳未勝利",IF(ISNUMBER(SEARCH("未勝利",Z1954)),"その他未勝利",IF(ISNUMBER(SEARCH("G1",Z1954)),"G1",IF(ISNUMBER(SEARCH("G2",Z1954)),"G2",IF(ISNUMBER(SEARCH("G3",Z1954)),"G3",IF(ISNUMBER(SEARCH("古馬条件",Z1954)),"古馬条件戦",IF(ISNUMBER(SEARCH("重賞",Z1954)),"重賞","分類不能")))))))))</f>
        <v/>
      </c>
    </row>
    <row r="1955" customFormat="false" ht="15.75" hidden="false" customHeight="false" outlineLevel="0" collapsed="false">
      <c r="AO1955" s="8" t="str">
        <f aca="false">IF(A1955="","",IF(COUNTIFS(全馬データ!$A$2:$A$50000,A1955,全馬データ!$B$2:$B$50000,B1955,全馬データ!$C$2:$C$50000,C1955,全馬データ!$D$2:$D$50000,E1955,全馬データ!$K$2:$K$50000,"&lt;&gt;")=0,"",SUMIFS(全馬データ!$K$2:$K$50000,全馬データ!$A$2:$A$50000,A1955,全馬データ!$B$2:$B$50000,B1955,全馬データ!$C$2:$C$50000,C1955,全馬データ!$D$2:$D$50000,E1955)))</f>
        <v/>
      </c>
      <c r="AP1955" s="8" t="str">
        <f aca="false">IF(A1955="","",IF(AO1955="","欠損",IF(AO1955&lt;=1.1,"1.0～1.1",IF(AO1955&lt;1.3,"1.2",IF(AO1955&lt;1.5,"1.3～1.4",IF(AO1955&lt;2,"1.5～1.9","2.0以上"))))))</f>
        <v/>
      </c>
      <c r="AQ1955" s="8" t="str">
        <f aca="false">IF(A1955="","",IF(ISNUMBER(SEARCH("2歳",Z1955)),"2歳戦",IF(ISNUMBER(SEARCH("3歳未勝利",Z1955)),"3歳未勝利",IF(ISNUMBER(SEARCH("未勝利",Z1955)),"その他未勝利",IF(ISNUMBER(SEARCH("G1",Z1955)),"G1",IF(ISNUMBER(SEARCH("G2",Z1955)),"G2",IF(ISNUMBER(SEARCH("G3",Z1955)),"G3",IF(ISNUMBER(SEARCH("古馬条件",Z1955)),"古馬条件戦",IF(ISNUMBER(SEARCH("重賞",Z1955)),"重賞","分類不能")))))))))</f>
        <v/>
      </c>
    </row>
    <row r="1956" customFormat="false" ht="15.75" hidden="false" customHeight="false" outlineLevel="0" collapsed="false">
      <c r="AO1956" s="8" t="str">
        <f aca="false">IF(A1956="","",IF(COUNTIFS(全馬データ!$A$2:$A$50000,A1956,全馬データ!$B$2:$B$50000,B1956,全馬データ!$C$2:$C$50000,C1956,全馬データ!$D$2:$D$50000,E1956,全馬データ!$K$2:$K$50000,"&lt;&gt;")=0,"",SUMIFS(全馬データ!$K$2:$K$50000,全馬データ!$A$2:$A$50000,A1956,全馬データ!$B$2:$B$50000,B1956,全馬データ!$C$2:$C$50000,C1956,全馬データ!$D$2:$D$50000,E1956)))</f>
        <v/>
      </c>
      <c r="AP1956" s="8" t="str">
        <f aca="false">IF(A1956="","",IF(AO1956="","欠損",IF(AO1956&lt;=1.1,"1.0～1.1",IF(AO1956&lt;1.3,"1.2",IF(AO1956&lt;1.5,"1.3～1.4",IF(AO1956&lt;2,"1.5～1.9","2.0以上"))))))</f>
        <v/>
      </c>
      <c r="AQ1956" s="8" t="str">
        <f aca="false">IF(A1956="","",IF(ISNUMBER(SEARCH("2歳",Z1956)),"2歳戦",IF(ISNUMBER(SEARCH("3歳未勝利",Z1956)),"3歳未勝利",IF(ISNUMBER(SEARCH("未勝利",Z1956)),"その他未勝利",IF(ISNUMBER(SEARCH("G1",Z1956)),"G1",IF(ISNUMBER(SEARCH("G2",Z1956)),"G2",IF(ISNUMBER(SEARCH("G3",Z1956)),"G3",IF(ISNUMBER(SEARCH("古馬条件",Z1956)),"古馬条件戦",IF(ISNUMBER(SEARCH("重賞",Z1956)),"重賞","分類不能")))))))))</f>
        <v/>
      </c>
    </row>
    <row r="1957" customFormat="false" ht="15.75" hidden="false" customHeight="false" outlineLevel="0" collapsed="false">
      <c r="AO1957" s="8" t="str">
        <f aca="false">IF(A1957="","",IF(COUNTIFS(全馬データ!$A$2:$A$50000,A1957,全馬データ!$B$2:$B$50000,B1957,全馬データ!$C$2:$C$50000,C1957,全馬データ!$D$2:$D$50000,E1957,全馬データ!$K$2:$K$50000,"&lt;&gt;")=0,"",SUMIFS(全馬データ!$K$2:$K$50000,全馬データ!$A$2:$A$50000,A1957,全馬データ!$B$2:$B$50000,B1957,全馬データ!$C$2:$C$50000,C1957,全馬データ!$D$2:$D$50000,E1957)))</f>
        <v/>
      </c>
      <c r="AP1957" s="8" t="str">
        <f aca="false">IF(A1957="","",IF(AO1957="","欠損",IF(AO1957&lt;=1.1,"1.0～1.1",IF(AO1957&lt;1.3,"1.2",IF(AO1957&lt;1.5,"1.3～1.4",IF(AO1957&lt;2,"1.5～1.9","2.0以上"))))))</f>
        <v/>
      </c>
      <c r="AQ1957" s="8" t="str">
        <f aca="false">IF(A1957="","",IF(ISNUMBER(SEARCH("2歳",Z1957)),"2歳戦",IF(ISNUMBER(SEARCH("3歳未勝利",Z1957)),"3歳未勝利",IF(ISNUMBER(SEARCH("未勝利",Z1957)),"その他未勝利",IF(ISNUMBER(SEARCH("G1",Z1957)),"G1",IF(ISNUMBER(SEARCH("G2",Z1957)),"G2",IF(ISNUMBER(SEARCH("G3",Z1957)),"G3",IF(ISNUMBER(SEARCH("古馬条件",Z1957)),"古馬条件戦",IF(ISNUMBER(SEARCH("重賞",Z1957)),"重賞","分類不能")))))))))</f>
        <v/>
      </c>
    </row>
    <row r="1958" customFormat="false" ht="15.75" hidden="false" customHeight="false" outlineLevel="0" collapsed="false">
      <c r="AO1958" s="8" t="str">
        <f aca="false">IF(A1958="","",IF(COUNTIFS(全馬データ!$A$2:$A$50000,A1958,全馬データ!$B$2:$B$50000,B1958,全馬データ!$C$2:$C$50000,C1958,全馬データ!$D$2:$D$50000,E1958,全馬データ!$K$2:$K$50000,"&lt;&gt;")=0,"",SUMIFS(全馬データ!$K$2:$K$50000,全馬データ!$A$2:$A$50000,A1958,全馬データ!$B$2:$B$50000,B1958,全馬データ!$C$2:$C$50000,C1958,全馬データ!$D$2:$D$50000,E1958)))</f>
        <v/>
      </c>
      <c r="AP1958" s="8" t="str">
        <f aca="false">IF(A1958="","",IF(AO1958="","欠損",IF(AO1958&lt;=1.1,"1.0～1.1",IF(AO1958&lt;1.3,"1.2",IF(AO1958&lt;1.5,"1.3～1.4",IF(AO1958&lt;2,"1.5～1.9","2.0以上"))))))</f>
        <v/>
      </c>
      <c r="AQ1958" s="8" t="str">
        <f aca="false">IF(A1958="","",IF(ISNUMBER(SEARCH("2歳",Z1958)),"2歳戦",IF(ISNUMBER(SEARCH("3歳未勝利",Z1958)),"3歳未勝利",IF(ISNUMBER(SEARCH("未勝利",Z1958)),"その他未勝利",IF(ISNUMBER(SEARCH("G1",Z1958)),"G1",IF(ISNUMBER(SEARCH("G2",Z1958)),"G2",IF(ISNUMBER(SEARCH("G3",Z1958)),"G3",IF(ISNUMBER(SEARCH("古馬条件",Z1958)),"古馬条件戦",IF(ISNUMBER(SEARCH("重賞",Z1958)),"重賞","分類不能")))))))))</f>
        <v/>
      </c>
    </row>
    <row r="1959" customFormat="false" ht="15.75" hidden="false" customHeight="false" outlineLevel="0" collapsed="false">
      <c r="AO1959" s="8" t="str">
        <f aca="false">IF(A1959="","",IF(COUNTIFS(全馬データ!$A$2:$A$50000,A1959,全馬データ!$B$2:$B$50000,B1959,全馬データ!$C$2:$C$50000,C1959,全馬データ!$D$2:$D$50000,E1959,全馬データ!$K$2:$K$50000,"&lt;&gt;")=0,"",SUMIFS(全馬データ!$K$2:$K$50000,全馬データ!$A$2:$A$50000,A1959,全馬データ!$B$2:$B$50000,B1959,全馬データ!$C$2:$C$50000,C1959,全馬データ!$D$2:$D$50000,E1959)))</f>
        <v/>
      </c>
      <c r="AP1959" s="8" t="str">
        <f aca="false">IF(A1959="","",IF(AO1959="","欠損",IF(AO1959&lt;=1.1,"1.0～1.1",IF(AO1959&lt;1.3,"1.2",IF(AO1959&lt;1.5,"1.3～1.4",IF(AO1959&lt;2,"1.5～1.9","2.0以上"))))))</f>
        <v/>
      </c>
      <c r="AQ1959" s="8" t="str">
        <f aca="false">IF(A1959="","",IF(ISNUMBER(SEARCH("2歳",Z1959)),"2歳戦",IF(ISNUMBER(SEARCH("3歳未勝利",Z1959)),"3歳未勝利",IF(ISNUMBER(SEARCH("未勝利",Z1959)),"その他未勝利",IF(ISNUMBER(SEARCH("G1",Z1959)),"G1",IF(ISNUMBER(SEARCH("G2",Z1959)),"G2",IF(ISNUMBER(SEARCH("G3",Z1959)),"G3",IF(ISNUMBER(SEARCH("古馬条件",Z1959)),"古馬条件戦",IF(ISNUMBER(SEARCH("重賞",Z1959)),"重賞","分類不能")))))))))</f>
        <v/>
      </c>
    </row>
    <row r="1960" customFormat="false" ht="15.75" hidden="false" customHeight="false" outlineLevel="0" collapsed="false">
      <c r="AO1960" s="8" t="str">
        <f aca="false">IF(A1960="","",IF(COUNTIFS(全馬データ!$A$2:$A$50000,A1960,全馬データ!$B$2:$B$50000,B1960,全馬データ!$C$2:$C$50000,C1960,全馬データ!$D$2:$D$50000,E1960,全馬データ!$K$2:$K$50000,"&lt;&gt;")=0,"",SUMIFS(全馬データ!$K$2:$K$50000,全馬データ!$A$2:$A$50000,A1960,全馬データ!$B$2:$B$50000,B1960,全馬データ!$C$2:$C$50000,C1960,全馬データ!$D$2:$D$50000,E1960)))</f>
        <v/>
      </c>
      <c r="AP1960" s="8" t="str">
        <f aca="false">IF(A1960="","",IF(AO1960="","欠損",IF(AO1960&lt;=1.1,"1.0～1.1",IF(AO1960&lt;1.3,"1.2",IF(AO1960&lt;1.5,"1.3～1.4",IF(AO1960&lt;2,"1.5～1.9","2.0以上"))))))</f>
        <v/>
      </c>
      <c r="AQ1960" s="8" t="str">
        <f aca="false">IF(A1960="","",IF(ISNUMBER(SEARCH("2歳",Z1960)),"2歳戦",IF(ISNUMBER(SEARCH("3歳未勝利",Z1960)),"3歳未勝利",IF(ISNUMBER(SEARCH("未勝利",Z1960)),"その他未勝利",IF(ISNUMBER(SEARCH("G1",Z1960)),"G1",IF(ISNUMBER(SEARCH("G2",Z1960)),"G2",IF(ISNUMBER(SEARCH("G3",Z1960)),"G3",IF(ISNUMBER(SEARCH("古馬条件",Z1960)),"古馬条件戦",IF(ISNUMBER(SEARCH("重賞",Z1960)),"重賞","分類不能")))))))))</f>
        <v/>
      </c>
    </row>
    <row r="1961" customFormat="false" ht="15.75" hidden="false" customHeight="false" outlineLevel="0" collapsed="false">
      <c r="AO1961" s="8" t="str">
        <f aca="false">IF(A1961="","",IF(COUNTIFS(全馬データ!$A$2:$A$50000,A1961,全馬データ!$B$2:$B$50000,B1961,全馬データ!$C$2:$C$50000,C1961,全馬データ!$D$2:$D$50000,E1961,全馬データ!$K$2:$K$50000,"&lt;&gt;")=0,"",SUMIFS(全馬データ!$K$2:$K$50000,全馬データ!$A$2:$A$50000,A1961,全馬データ!$B$2:$B$50000,B1961,全馬データ!$C$2:$C$50000,C1961,全馬データ!$D$2:$D$50000,E1961)))</f>
        <v/>
      </c>
      <c r="AP1961" s="8" t="str">
        <f aca="false">IF(A1961="","",IF(AO1961="","欠損",IF(AO1961&lt;=1.1,"1.0～1.1",IF(AO1961&lt;1.3,"1.2",IF(AO1961&lt;1.5,"1.3～1.4",IF(AO1961&lt;2,"1.5～1.9","2.0以上"))))))</f>
        <v/>
      </c>
      <c r="AQ1961" s="8" t="str">
        <f aca="false">IF(A1961="","",IF(ISNUMBER(SEARCH("2歳",Z1961)),"2歳戦",IF(ISNUMBER(SEARCH("3歳未勝利",Z1961)),"3歳未勝利",IF(ISNUMBER(SEARCH("未勝利",Z1961)),"その他未勝利",IF(ISNUMBER(SEARCH("G1",Z1961)),"G1",IF(ISNUMBER(SEARCH("G2",Z1961)),"G2",IF(ISNUMBER(SEARCH("G3",Z1961)),"G3",IF(ISNUMBER(SEARCH("古馬条件",Z1961)),"古馬条件戦",IF(ISNUMBER(SEARCH("重賞",Z1961)),"重賞","分類不能")))))))))</f>
        <v/>
      </c>
    </row>
    <row r="1962" customFormat="false" ht="15.75" hidden="false" customHeight="false" outlineLevel="0" collapsed="false">
      <c r="AO1962" s="8" t="str">
        <f aca="false">IF(A1962="","",IF(COUNTIFS(全馬データ!$A$2:$A$50000,A1962,全馬データ!$B$2:$B$50000,B1962,全馬データ!$C$2:$C$50000,C1962,全馬データ!$D$2:$D$50000,E1962,全馬データ!$K$2:$K$50000,"&lt;&gt;")=0,"",SUMIFS(全馬データ!$K$2:$K$50000,全馬データ!$A$2:$A$50000,A1962,全馬データ!$B$2:$B$50000,B1962,全馬データ!$C$2:$C$50000,C1962,全馬データ!$D$2:$D$50000,E1962)))</f>
        <v/>
      </c>
      <c r="AP1962" s="8" t="str">
        <f aca="false">IF(A1962="","",IF(AO1962="","欠損",IF(AO1962&lt;=1.1,"1.0～1.1",IF(AO1962&lt;1.3,"1.2",IF(AO1962&lt;1.5,"1.3～1.4",IF(AO1962&lt;2,"1.5～1.9","2.0以上"))))))</f>
        <v/>
      </c>
      <c r="AQ1962" s="8" t="str">
        <f aca="false">IF(A1962="","",IF(ISNUMBER(SEARCH("2歳",Z1962)),"2歳戦",IF(ISNUMBER(SEARCH("3歳未勝利",Z1962)),"3歳未勝利",IF(ISNUMBER(SEARCH("未勝利",Z1962)),"その他未勝利",IF(ISNUMBER(SEARCH("G1",Z1962)),"G1",IF(ISNUMBER(SEARCH("G2",Z1962)),"G2",IF(ISNUMBER(SEARCH("G3",Z1962)),"G3",IF(ISNUMBER(SEARCH("古馬条件",Z1962)),"古馬条件戦",IF(ISNUMBER(SEARCH("重賞",Z1962)),"重賞","分類不能")))))))))</f>
        <v/>
      </c>
    </row>
    <row r="1963" customFormat="false" ht="15.75" hidden="false" customHeight="false" outlineLevel="0" collapsed="false">
      <c r="AO1963" s="8" t="str">
        <f aca="false">IF(A1963="","",IF(COUNTIFS(全馬データ!$A$2:$A$50000,A1963,全馬データ!$B$2:$B$50000,B1963,全馬データ!$C$2:$C$50000,C1963,全馬データ!$D$2:$D$50000,E1963,全馬データ!$K$2:$K$50000,"&lt;&gt;")=0,"",SUMIFS(全馬データ!$K$2:$K$50000,全馬データ!$A$2:$A$50000,A1963,全馬データ!$B$2:$B$50000,B1963,全馬データ!$C$2:$C$50000,C1963,全馬データ!$D$2:$D$50000,E1963)))</f>
        <v/>
      </c>
      <c r="AP1963" s="8" t="str">
        <f aca="false">IF(A1963="","",IF(AO1963="","欠損",IF(AO1963&lt;=1.1,"1.0～1.1",IF(AO1963&lt;1.3,"1.2",IF(AO1963&lt;1.5,"1.3～1.4",IF(AO1963&lt;2,"1.5～1.9","2.0以上"))))))</f>
        <v/>
      </c>
      <c r="AQ1963" s="8" t="str">
        <f aca="false">IF(A1963="","",IF(ISNUMBER(SEARCH("2歳",Z1963)),"2歳戦",IF(ISNUMBER(SEARCH("3歳未勝利",Z1963)),"3歳未勝利",IF(ISNUMBER(SEARCH("未勝利",Z1963)),"その他未勝利",IF(ISNUMBER(SEARCH("G1",Z1963)),"G1",IF(ISNUMBER(SEARCH("G2",Z1963)),"G2",IF(ISNUMBER(SEARCH("G3",Z1963)),"G3",IF(ISNUMBER(SEARCH("古馬条件",Z1963)),"古馬条件戦",IF(ISNUMBER(SEARCH("重賞",Z1963)),"重賞","分類不能")))))))))</f>
        <v/>
      </c>
    </row>
    <row r="1964" customFormat="false" ht="15.75" hidden="false" customHeight="false" outlineLevel="0" collapsed="false">
      <c r="AO1964" s="8" t="str">
        <f aca="false">IF(A1964="","",IF(COUNTIFS(全馬データ!$A$2:$A$50000,A1964,全馬データ!$B$2:$B$50000,B1964,全馬データ!$C$2:$C$50000,C1964,全馬データ!$D$2:$D$50000,E1964,全馬データ!$K$2:$K$50000,"&lt;&gt;")=0,"",SUMIFS(全馬データ!$K$2:$K$50000,全馬データ!$A$2:$A$50000,A1964,全馬データ!$B$2:$B$50000,B1964,全馬データ!$C$2:$C$50000,C1964,全馬データ!$D$2:$D$50000,E1964)))</f>
        <v/>
      </c>
      <c r="AP1964" s="8" t="str">
        <f aca="false">IF(A1964="","",IF(AO1964="","欠損",IF(AO1964&lt;=1.1,"1.0～1.1",IF(AO1964&lt;1.3,"1.2",IF(AO1964&lt;1.5,"1.3～1.4",IF(AO1964&lt;2,"1.5～1.9","2.0以上"))))))</f>
        <v/>
      </c>
      <c r="AQ1964" s="8" t="str">
        <f aca="false">IF(A1964="","",IF(ISNUMBER(SEARCH("2歳",Z1964)),"2歳戦",IF(ISNUMBER(SEARCH("3歳未勝利",Z1964)),"3歳未勝利",IF(ISNUMBER(SEARCH("未勝利",Z1964)),"その他未勝利",IF(ISNUMBER(SEARCH("G1",Z1964)),"G1",IF(ISNUMBER(SEARCH("G2",Z1964)),"G2",IF(ISNUMBER(SEARCH("G3",Z1964)),"G3",IF(ISNUMBER(SEARCH("古馬条件",Z1964)),"古馬条件戦",IF(ISNUMBER(SEARCH("重賞",Z1964)),"重賞","分類不能")))))))))</f>
        <v/>
      </c>
    </row>
    <row r="1965" customFormat="false" ht="15.75" hidden="false" customHeight="false" outlineLevel="0" collapsed="false">
      <c r="AO1965" s="8" t="str">
        <f aca="false">IF(A1965="","",IF(COUNTIFS(全馬データ!$A$2:$A$50000,A1965,全馬データ!$B$2:$B$50000,B1965,全馬データ!$C$2:$C$50000,C1965,全馬データ!$D$2:$D$50000,E1965,全馬データ!$K$2:$K$50000,"&lt;&gt;")=0,"",SUMIFS(全馬データ!$K$2:$K$50000,全馬データ!$A$2:$A$50000,A1965,全馬データ!$B$2:$B$50000,B1965,全馬データ!$C$2:$C$50000,C1965,全馬データ!$D$2:$D$50000,E1965)))</f>
        <v/>
      </c>
      <c r="AP1965" s="8" t="str">
        <f aca="false">IF(A1965="","",IF(AO1965="","欠損",IF(AO1965&lt;=1.1,"1.0～1.1",IF(AO1965&lt;1.3,"1.2",IF(AO1965&lt;1.5,"1.3～1.4",IF(AO1965&lt;2,"1.5～1.9","2.0以上"))))))</f>
        <v/>
      </c>
      <c r="AQ1965" s="8" t="str">
        <f aca="false">IF(A1965="","",IF(ISNUMBER(SEARCH("2歳",Z1965)),"2歳戦",IF(ISNUMBER(SEARCH("3歳未勝利",Z1965)),"3歳未勝利",IF(ISNUMBER(SEARCH("未勝利",Z1965)),"その他未勝利",IF(ISNUMBER(SEARCH("G1",Z1965)),"G1",IF(ISNUMBER(SEARCH("G2",Z1965)),"G2",IF(ISNUMBER(SEARCH("G3",Z1965)),"G3",IF(ISNUMBER(SEARCH("古馬条件",Z1965)),"古馬条件戦",IF(ISNUMBER(SEARCH("重賞",Z1965)),"重賞","分類不能")))))))))</f>
        <v/>
      </c>
    </row>
    <row r="1966" customFormat="false" ht="15.75" hidden="false" customHeight="false" outlineLevel="0" collapsed="false">
      <c r="AO1966" s="8" t="str">
        <f aca="false">IF(A1966="","",IF(COUNTIFS(全馬データ!$A$2:$A$50000,A1966,全馬データ!$B$2:$B$50000,B1966,全馬データ!$C$2:$C$50000,C1966,全馬データ!$D$2:$D$50000,E1966,全馬データ!$K$2:$K$50000,"&lt;&gt;")=0,"",SUMIFS(全馬データ!$K$2:$K$50000,全馬データ!$A$2:$A$50000,A1966,全馬データ!$B$2:$B$50000,B1966,全馬データ!$C$2:$C$50000,C1966,全馬データ!$D$2:$D$50000,E1966)))</f>
        <v/>
      </c>
      <c r="AP1966" s="8" t="str">
        <f aca="false">IF(A1966="","",IF(AO1966="","欠損",IF(AO1966&lt;=1.1,"1.0～1.1",IF(AO1966&lt;1.3,"1.2",IF(AO1966&lt;1.5,"1.3～1.4",IF(AO1966&lt;2,"1.5～1.9","2.0以上"))))))</f>
        <v/>
      </c>
      <c r="AQ1966" s="8" t="str">
        <f aca="false">IF(A1966="","",IF(ISNUMBER(SEARCH("2歳",Z1966)),"2歳戦",IF(ISNUMBER(SEARCH("3歳未勝利",Z1966)),"3歳未勝利",IF(ISNUMBER(SEARCH("未勝利",Z1966)),"その他未勝利",IF(ISNUMBER(SEARCH("G1",Z1966)),"G1",IF(ISNUMBER(SEARCH("G2",Z1966)),"G2",IF(ISNUMBER(SEARCH("G3",Z1966)),"G3",IF(ISNUMBER(SEARCH("古馬条件",Z1966)),"古馬条件戦",IF(ISNUMBER(SEARCH("重賞",Z1966)),"重賞","分類不能")))))))))</f>
        <v/>
      </c>
    </row>
    <row r="1967" customFormat="false" ht="15.75" hidden="false" customHeight="false" outlineLevel="0" collapsed="false">
      <c r="AO1967" s="8" t="str">
        <f aca="false">IF(A1967="","",IF(COUNTIFS(全馬データ!$A$2:$A$50000,A1967,全馬データ!$B$2:$B$50000,B1967,全馬データ!$C$2:$C$50000,C1967,全馬データ!$D$2:$D$50000,E1967,全馬データ!$K$2:$K$50000,"&lt;&gt;")=0,"",SUMIFS(全馬データ!$K$2:$K$50000,全馬データ!$A$2:$A$50000,A1967,全馬データ!$B$2:$B$50000,B1967,全馬データ!$C$2:$C$50000,C1967,全馬データ!$D$2:$D$50000,E1967)))</f>
        <v/>
      </c>
      <c r="AP1967" s="8" t="str">
        <f aca="false">IF(A1967="","",IF(AO1967="","欠損",IF(AO1967&lt;=1.1,"1.0～1.1",IF(AO1967&lt;1.3,"1.2",IF(AO1967&lt;1.5,"1.3～1.4",IF(AO1967&lt;2,"1.5～1.9","2.0以上"))))))</f>
        <v/>
      </c>
      <c r="AQ1967" s="8" t="str">
        <f aca="false">IF(A1967="","",IF(ISNUMBER(SEARCH("2歳",Z1967)),"2歳戦",IF(ISNUMBER(SEARCH("3歳未勝利",Z1967)),"3歳未勝利",IF(ISNUMBER(SEARCH("未勝利",Z1967)),"その他未勝利",IF(ISNUMBER(SEARCH("G1",Z1967)),"G1",IF(ISNUMBER(SEARCH("G2",Z1967)),"G2",IF(ISNUMBER(SEARCH("G3",Z1967)),"G3",IF(ISNUMBER(SEARCH("古馬条件",Z1967)),"古馬条件戦",IF(ISNUMBER(SEARCH("重賞",Z1967)),"重賞","分類不能")))))))))</f>
        <v/>
      </c>
    </row>
    <row r="1968" customFormat="false" ht="15.75" hidden="false" customHeight="false" outlineLevel="0" collapsed="false">
      <c r="AO1968" s="8" t="str">
        <f aca="false">IF(A1968="","",IF(COUNTIFS(全馬データ!$A$2:$A$50000,A1968,全馬データ!$B$2:$B$50000,B1968,全馬データ!$C$2:$C$50000,C1968,全馬データ!$D$2:$D$50000,E1968,全馬データ!$K$2:$K$50000,"&lt;&gt;")=0,"",SUMIFS(全馬データ!$K$2:$K$50000,全馬データ!$A$2:$A$50000,A1968,全馬データ!$B$2:$B$50000,B1968,全馬データ!$C$2:$C$50000,C1968,全馬データ!$D$2:$D$50000,E1968)))</f>
        <v/>
      </c>
      <c r="AP1968" s="8" t="str">
        <f aca="false">IF(A1968="","",IF(AO1968="","欠損",IF(AO1968&lt;=1.1,"1.0～1.1",IF(AO1968&lt;1.3,"1.2",IF(AO1968&lt;1.5,"1.3～1.4",IF(AO1968&lt;2,"1.5～1.9","2.0以上"))))))</f>
        <v/>
      </c>
      <c r="AQ1968" s="8" t="str">
        <f aca="false">IF(A1968="","",IF(ISNUMBER(SEARCH("2歳",Z1968)),"2歳戦",IF(ISNUMBER(SEARCH("3歳未勝利",Z1968)),"3歳未勝利",IF(ISNUMBER(SEARCH("未勝利",Z1968)),"その他未勝利",IF(ISNUMBER(SEARCH("G1",Z1968)),"G1",IF(ISNUMBER(SEARCH("G2",Z1968)),"G2",IF(ISNUMBER(SEARCH("G3",Z1968)),"G3",IF(ISNUMBER(SEARCH("古馬条件",Z1968)),"古馬条件戦",IF(ISNUMBER(SEARCH("重賞",Z1968)),"重賞","分類不能")))))))))</f>
        <v/>
      </c>
    </row>
    <row r="1969" customFormat="false" ht="15.75" hidden="false" customHeight="false" outlineLevel="0" collapsed="false">
      <c r="AO1969" s="8" t="str">
        <f aca="false">IF(A1969="","",IF(COUNTIFS(全馬データ!$A$2:$A$50000,A1969,全馬データ!$B$2:$B$50000,B1969,全馬データ!$C$2:$C$50000,C1969,全馬データ!$D$2:$D$50000,E1969,全馬データ!$K$2:$K$50000,"&lt;&gt;")=0,"",SUMIFS(全馬データ!$K$2:$K$50000,全馬データ!$A$2:$A$50000,A1969,全馬データ!$B$2:$B$50000,B1969,全馬データ!$C$2:$C$50000,C1969,全馬データ!$D$2:$D$50000,E1969)))</f>
        <v/>
      </c>
      <c r="AP1969" s="8" t="str">
        <f aca="false">IF(A1969="","",IF(AO1969="","欠損",IF(AO1969&lt;=1.1,"1.0～1.1",IF(AO1969&lt;1.3,"1.2",IF(AO1969&lt;1.5,"1.3～1.4",IF(AO1969&lt;2,"1.5～1.9","2.0以上"))))))</f>
        <v/>
      </c>
      <c r="AQ1969" s="8" t="str">
        <f aca="false">IF(A1969="","",IF(ISNUMBER(SEARCH("2歳",Z1969)),"2歳戦",IF(ISNUMBER(SEARCH("3歳未勝利",Z1969)),"3歳未勝利",IF(ISNUMBER(SEARCH("未勝利",Z1969)),"その他未勝利",IF(ISNUMBER(SEARCH("G1",Z1969)),"G1",IF(ISNUMBER(SEARCH("G2",Z1969)),"G2",IF(ISNUMBER(SEARCH("G3",Z1969)),"G3",IF(ISNUMBER(SEARCH("古馬条件",Z1969)),"古馬条件戦",IF(ISNUMBER(SEARCH("重賞",Z1969)),"重賞","分類不能")))))))))</f>
        <v/>
      </c>
    </row>
    <row r="1970" customFormat="false" ht="15.75" hidden="false" customHeight="false" outlineLevel="0" collapsed="false">
      <c r="AO1970" s="8" t="str">
        <f aca="false">IF(A1970="","",IF(COUNTIFS(全馬データ!$A$2:$A$50000,A1970,全馬データ!$B$2:$B$50000,B1970,全馬データ!$C$2:$C$50000,C1970,全馬データ!$D$2:$D$50000,E1970,全馬データ!$K$2:$K$50000,"&lt;&gt;")=0,"",SUMIFS(全馬データ!$K$2:$K$50000,全馬データ!$A$2:$A$50000,A1970,全馬データ!$B$2:$B$50000,B1970,全馬データ!$C$2:$C$50000,C1970,全馬データ!$D$2:$D$50000,E1970)))</f>
        <v/>
      </c>
      <c r="AP1970" s="8" t="str">
        <f aca="false">IF(A1970="","",IF(AO1970="","欠損",IF(AO1970&lt;=1.1,"1.0～1.1",IF(AO1970&lt;1.3,"1.2",IF(AO1970&lt;1.5,"1.3～1.4",IF(AO1970&lt;2,"1.5～1.9","2.0以上"))))))</f>
        <v/>
      </c>
      <c r="AQ1970" s="8" t="str">
        <f aca="false">IF(A1970="","",IF(ISNUMBER(SEARCH("2歳",Z1970)),"2歳戦",IF(ISNUMBER(SEARCH("3歳未勝利",Z1970)),"3歳未勝利",IF(ISNUMBER(SEARCH("未勝利",Z1970)),"その他未勝利",IF(ISNUMBER(SEARCH("G1",Z1970)),"G1",IF(ISNUMBER(SEARCH("G2",Z1970)),"G2",IF(ISNUMBER(SEARCH("G3",Z1970)),"G3",IF(ISNUMBER(SEARCH("古馬条件",Z1970)),"古馬条件戦",IF(ISNUMBER(SEARCH("重賞",Z1970)),"重賞","分類不能")))))))))</f>
        <v/>
      </c>
    </row>
    <row r="1971" customFormat="false" ht="15.75" hidden="false" customHeight="false" outlineLevel="0" collapsed="false">
      <c r="AO1971" s="8" t="str">
        <f aca="false">IF(A1971="","",IF(COUNTIFS(全馬データ!$A$2:$A$50000,A1971,全馬データ!$B$2:$B$50000,B1971,全馬データ!$C$2:$C$50000,C1971,全馬データ!$D$2:$D$50000,E1971,全馬データ!$K$2:$K$50000,"&lt;&gt;")=0,"",SUMIFS(全馬データ!$K$2:$K$50000,全馬データ!$A$2:$A$50000,A1971,全馬データ!$B$2:$B$50000,B1971,全馬データ!$C$2:$C$50000,C1971,全馬データ!$D$2:$D$50000,E1971)))</f>
        <v/>
      </c>
      <c r="AP1971" s="8" t="str">
        <f aca="false">IF(A1971="","",IF(AO1971="","欠損",IF(AO1971&lt;=1.1,"1.0～1.1",IF(AO1971&lt;1.3,"1.2",IF(AO1971&lt;1.5,"1.3～1.4",IF(AO1971&lt;2,"1.5～1.9","2.0以上"))))))</f>
        <v/>
      </c>
      <c r="AQ1971" s="8" t="str">
        <f aca="false">IF(A1971="","",IF(ISNUMBER(SEARCH("2歳",Z1971)),"2歳戦",IF(ISNUMBER(SEARCH("3歳未勝利",Z1971)),"3歳未勝利",IF(ISNUMBER(SEARCH("未勝利",Z1971)),"その他未勝利",IF(ISNUMBER(SEARCH("G1",Z1971)),"G1",IF(ISNUMBER(SEARCH("G2",Z1971)),"G2",IF(ISNUMBER(SEARCH("G3",Z1971)),"G3",IF(ISNUMBER(SEARCH("古馬条件",Z1971)),"古馬条件戦",IF(ISNUMBER(SEARCH("重賞",Z1971)),"重賞","分類不能")))))))))</f>
        <v/>
      </c>
    </row>
    <row r="1972" customFormat="false" ht="15.75" hidden="false" customHeight="false" outlineLevel="0" collapsed="false">
      <c r="AO1972" s="8" t="str">
        <f aca="false">IF(A1972="","",IF(COUNTIFS(全馬データ!$A$2:$A$50000,A1972,全馬データ!$B$2:$B$50000,B1972,全馬データ!$C$2:$C$50000,C1972,全馬データ!$D$2:$D$50000,E1972,全馬データ!$K$2:$K$50000,"&lt;&gt;")=0,"",SUMIFS(全馬データ!$K$2:$K$50000,全馬データ!$A$2:$A$50000,A1972,全馬データ!$B$2:$B$50000,B1972,全馬データ!$C$2:$C$50000,C1972,全馬データ!$D$2:$D$50000,E1972)))</f>
        <v/>
      </c>
      <c r="AP1972" s="8" t="str">
        <f aca="false">IF(A1972="","",IF(AO1972="","欠損",IF(AO1972&lt;=1.1,"1.0～1.1",IF(AO1972&lt;1.3,"1.2",IF(AO1972&lt;1.5,"1.3～1.4",IF(AO1972&lt;2,"1.5～1.9","2.0以上"))))))</f>
        <v/>
      </c>
      <c r="AQ1972" s="8" t="str">
        <f aca="false">IF(A1972="","",IF(ISNUMBER(SEARCH("2歳",Z1972)),"2歳戦",IF(ISNUMBER(SEARCH("3歳未勝利",Z1972)),"3歳未勝利",IF(ISNUMBER(SEARCH("未勝利",Z1972)),"その他未勝利",IF(ISNUMBER(SEARCH("G1",Z1972)),"G1",IF(ISNUMBER(SEARCH("G2",Z1972)),"G2",IF(ISNUMBER(SEARCH("G3",Z1972)),"G3",IF(ISNUMBER(SEARCH("古馬条件",Z1972)),"古馬条件戦",IF(ISNUMBER(SEARCH("重賞",Z1972)),"重賞","分類不能")))))))))</f>
        <v/>
      </c>
    </row>
    <row r="1973" customFormat="false" ht="15.75" hidden="false" customHeight="false" outlineLevel="0" collapsed="false">
      <c r="AO1973" s="8" t="str">
        <f aca="false">IF(A1973="","",IF(COUNTIFS(全馬データ!$A$2:$A$50000,A1973,全馬データ!$B$2:$B$50000,B1973,全馬データ!$C$2:$C$50000,C1973,全馬データ!$D$2:$D$50000,E1973,全馬データ!$K$2:$K$50000,"&lt;&gt;")=0,"",SUMIFS(全馬データ!$K$2:$K$50000,全馬データ!$A$2:$A$50000,A1973,全馬データ!$B$2:$B$50000,B1973,全馬データ!$C$2:$C$50000,C1973,全馬データ!$D$2:$D$50000,E1973)))</f>
        <v/>
      </c>
      <c r="AP1973" s="8" t="str">
        <f aca="false">IF(A1973="","",IF(AO1973="","欠損",IF(AO1973&lt;=1.1,"1.0～1.1",IF(AO1973&lt;1.3,"1.2",IF(AO1973&lt;1.5,"1.3～1.4",IF(AO1973&lt;2,"1.5～1.9","2.0以上"))))))</f>
        <v/>
      </c>
      <c r="AQ1973" s="8" t="str">
        <f aca="false">IF(A1973="","",IF(ISNUMBER(SEARCH("2歳",Z1973)),"2歳戦",IF(ISNUMBER(SEARCH("3歳未勝利",Z1973)),"3歳未勝利",IF(ISNUMBER(SEARCH("未勝利",Z1973)),"その他未勝利",IF(ISNUMBER(SEARCH("G1",Z1973)),"G1",IF(ISNUMBER(SEARCH("G2",Z1973)),"G2",IF(ISNUMBER(SEARCH("G3",Z1973)),"G3",IF(ISNUMBER(SEARCH("古馬条件",Z1973)),"古馬条件戦",IF(ISNUMBER(SEARCH("重賞",Z1973)),"重賞","分類不能")))))))))</f>
        <v/>
      </c>
    </row>
    <row r="1974" customFormat="false" ht="15.75" hidden="false" customHeight="false" outlineLevel="0" collapsed="false">
      <c r="AO1974" s="8" t="str">
        <f aca="false">IF(A1974="","",IF(COUNTIFS(全馬データ!$A$2:$A$50000,A1974,全馬データ!$B$2:$B$50000,B1974,全馬データ!$C$2:$C$50000,C1974,全馬データ!$D$2:$D$50000,E1974,全馬データ!$K$2:$K$50000,"&lt;&gt;")=0,"",SUMIFS(全馬データ!$K$2:$K$50000,全馬データ!$A$2:$A$50000,A1974,全馬データ!$B$2:$B$50000,B1974,全馬データ!$C$2:$C$50000,C1974,全馬データ!$D$2:$D$50000,E1974)))</f>
        <v/>
      </c>
      <c r="AP1974" s="8" t="str">
        <f aca="false">IF(A1974="","",IF(AO1974="","欠損",IF(AO1974&lt;=1.1,"1.0～1.1",IF(AO1974&lt;1.3,"1.2",IF(AO1974&lt;1.5,"1.3～1.4",IF(AO1974&lt;2,"1.5～1.9","2.0以上"))))))</f>
        <v/>
      </c>
      <c r="AQ1974" s="8" t="str">
        <f aca="false">IF(A1974="","",IF(ISNUMBER(SEARCH("2歳",Z1974)),"2歳戦",IF(ISNUMBER(SEARCH("3歳未勝利",Z1974)),"3歳未勝利",IF(ISNUMBER(SEARCH("未勝利",Z1974)),"その他未勝利",IF(ISNUMBER(SEARCH("G1",Z1974)),"G1",IF(ISNUMBER(SEARCH("G2",Z1974)),"G2",IF(ISNUMBER(SEARCH("G3",Z1974)),"G3",IF(ISNUMBER(SEARCH("古馬条件",Z1974)),"古馬条件戦",IF(ISNUMBER(SEARCH("重賞",Z1974)),"重賞","分類不能")))))))))</f>
        <v/>
      </c>
    </row>
    <row r="1975" customFormat="false" ht="15.75" hidden="false" customHeight="false" outlineLevel="0" collapsed="false">
      <c r="AO1975" s="8" t="str">
        <f aca="false">IF(A1975="","",IF(COUNTIFS(全馬データ!$A$2:$A$50000,A1975,全馬データ!$B$2:$B$50000,B1975,全馬データ!$C$2:$C$50000,C1975,全馬データ!$D$2:$D$50000,E1975,全馬データ!$K$2:$K$50000,"&lt;&gt;")=0,"",SUMIFS(全馬データ!$K$2:$K$50000,全馬データ!$A$2:$A$50000,A1975,全馬データ!$B$2:$B$50000,B1975,全馬データ!$C$2:$C$50000,C1975,全馬データ!$D$2:$D$50000,E1975)))</f>
        <v/>
      </c>
      <c r="AP1975" s="8" t="str">
        <f aca="false">IF(A1975="","",IF(AO1975="","欠損",IF(AO1975&lt;=1.1,"1.0～1.1",IF(AO1975&lt;1.3,"1.2",IF(AO1975&lt;1.5,"1.3～1.4",IF(AO1975&lt;2,"1.5～1.9","2.0以上"))))))</f>
        <v/>
      </c>
      <c r="AQ1975" s="8" t="str">
        <f aca="false">IF(A1975="","",IF(ISNUMBER(SEARCH("2歳",Z1975)),"2歳戦",IF(ISNUMBER(SEARCH("3歳未勝利",Z1975)),"3歳未勝利",IF(ISNUMBER(SEARCH("未勝利",Z1975)),"その他未勝利",IF(ISNUMBER(SEARCH("G1",Z1975)),"G1",IF(ISNUMBER(SEARCH("G2",Z1975)),"G2",IF(ISNUMBER(SEARCH("G3",Z1975)),"G3",IF(ISNUMBER(SEARCH("古馬条件",Z1975)),"古馬条件戦",IF(ISNUMBER(SEARCH("重賞",Z1975)),"重賞","分類不能")))))))))</f>
        <v/>
      </c>
    </row>
    <row r="1976" customFormat="false" ht="15.75" hidden="false" customHeight="false" outlineLevel="0" collapsed="false">
      <c r="AO1976" s="8" t="str">
        <f aca="false">IF(A1976="","",IF(COUNTIFS(全馬データ!$A$2:$A$50000,A1976,全馬データ!$B$2:$B$50000,B1976,全馬データ!$C$2:$C$50000,C1976,全馬データ!$D$2:$D$50000,E1976,全馬データ!$K$2:$K$50000,"&lt;&gt;")=0,"",SUMIFS(全馬データ!$K$2:$K$50000,全馬データ!$A$2:$A$50000,A1976,全馬データ!$B$2:$B$50000,B1976,全馬データ!$C$2:$C$50000,C1976,全馬データ!$D$2:$D$50000,E1976)))</f>
        <v/>
      </c>
      <c r="AP1976" s="8" t="str">
        <f aca="false">IF(A1976="","",IF(AO1976="","欠損",IF(AO1976&lt;=1.1,"1.0～1.1",IF(AO1976&lt;1.3,"1.2",IF(AO1976&lt;1.5,"1.3～1.4",IF(AO1976&lt;2,"1.5～1.9","2.0以上"))))))</f>
        <v/>
      </c>
      <c r="AQ1976" s="8" t="str">
        <f aca="false">IF(A1976="","",IF(ISNUMBER(SEARCH("2歳",Z1976)),"2歳戦",IF(ISNUMBER(SEARCH("3歳未勝利",Z1976)),"3歳未勝利",IF(ISNUMBER(SEARCH("未勝利",Z1976)),"その他未勝利",IF(ISNUMBER(SEARCH("G1",Z1976)),"G1",IF(ISNUMBER(SEARCH("G2",Z1976)),"G2",IF(ISNUMBER(SEARCH("G3",Z1976)),"G3",IF(ISNUMBER(SEARCH("古馬条件",Z1976)),"古馬条件戦",IF(ISNUMBER(SEARCH("重賞",Z1976)),"重賞","分類不能")))))))))</f>
        <v/>
      </c>
    </row>
    <row r="1977" customFormat="false" ht="15.75" hidden="false" customHeight="false" outlineLevel="0" collapsed="false">
      <c r="AO1977" s="8" t="str">
        <f aca="false">IF(A1977="","",IF(COUNTIFS(全馬データ!$A$2:$A$50000,A1977,全馬データ!$B$2:$B$50000,B1977,全馬データ!$C$2:$C$50000,C1977,全馬データ!$D$2:$D$50000,E1977,全馬データ!$K$2:$K$50000,"&lt;&gt;")=0,"",SUMIFS(全馬データ!$K$2:$K$50000,全馬データ!$A$2:$A$50000,A1977,全馬データ!$B$2:$B$50000,B1977,全馬データ!$C$2:$C$50000,C1977,全馬データ!$D$2:$D$50000,E1977)))</f>
        <v/>
      </c>
      <c r="AP1977" s="8" t="str">
        <f aca="false">IF(A1977="","",IF(AO1977="","欠損",IF(AO1977&lt;=1.1,"1.0～1.1",IF(AO1977&lt;1.3,"1.2",IF(AO1977&lt;1.5,"1.3～1.4",IF(AO1977&lt;2,"1.5～1.9","2.0以上"))))))</f>
        <v/>
      </c>
      <c r="AQ1977" s="8" t="str">
        <f aca="false">IF(A1977="","",IF(ISNUMBER(SEARCH("2歳",Z1977)),"2歳戦",IF(ISNUMBER(SEARCH("3歳未勝利",Z1977)),"3歳未勝利",IF(ISNUMBER(SEARCH("未勝利",Z1977)),"その他未勝利",IF(ISNUMBER(SEARCH("G1",Z1977)),"G1",IF(ISNUMBER(SEARCH("G2",Z1977)),"G2",IF(ISNUMBER(SEARCH("G3",Z1977)),"G3",IF(ISNUMBER(SEARCH("古馬条件",Z1977)),"古馬条件戦",IF(ISNUMBER(SEARCH("重賞",Z1977)),"重賞","分類不能")))))))))</f>
        <v/>
      </c>
    </row>
    <row r="1978" customFormat="false" ht="15.75" hidden="false" customHeight="false" outlineLevel="0" collapsed="false">
      <c r="AO1978" s="8" t="str">
        <f aca="false">IF(A1978="","",IF(COUNTIFS(全馬データ!$A$2:$A$50000,A1978,全馬データ!$B$2:$B$50000,B1978,全馬データ!$C$2:$C$50000,C1978,全馬データ!$D$2:$D$50000,E1978,全馬データ!$K$2:$K$50000,"&lt;&gt;")=0,"",SUMIFS(全馬データ!$K$2:$K$50000,全馬データ!$A$2:$A$50000,A1978,全馬データ!$B$2:$B$50000,B1978,全馬データ!$C$2:$C$50000,C1978,全馬データ!$D$2:$D$50000,E1978)))</f>
        <v/>
      </c>
      <c r="AP1978" s="8" t="str">
        <f aca="false">IF(A1978="","",IF(AO1978="","欠損",IF(AO1978&lt;=1.1,"1.0～1.1",IF(AO1978&lt;1.3,"1.2",IF(AO1978&lt;1.5,"1.3～1.4",IF(AO1978&lt;2,"1.5～1.9","2.0以上"))))))</f>
        <v/>
      </c>
      <c r="AQ1978" s="8" t="str">
        <f aca="false">IF(A1978="","",IF(ISNUMBER(SEARCH("2歳",Z1978)),"2歳戦",IF(ISNUMBER(SEARCH("3歳未勝利",Z1978)),"3歳未勝利",IF(ISNUMBER(SEARCH("未勝利",Z1978)),"その他未勝利",IF(ISNUMBER(SEARCH("G1",Z1978)),"G1",IF(ISNUMBER(SEARCH("G2",Z1978)),"G2",IF(ISNUMBER(SEARCH("G3",Z1978)),"G3",IF(ISNUMBER(SEARCH("古馬条件",Z1978)),"古馬条件戦",IF(ISNUMBER(SEARCH("重賞",Z1978)),"重賞","分類不能")))))))))</f>
        <v/>
      </c>
    </row>
    <row r="1979" customFormat="false" ht="15.75" hidden="false" customHeight="false" outlineLevel="0" collapsed="false">
      <c r="AO1979" s="8" t="str">
        <f aca="false">IF(A1979="","",IF(COUNTIFS(全馬データ!$A$2:$A$50000,A1979,全馬データ!$B$2:$B$50000,B1979,全馬データ!$C$2:$C$50000,C1979,全馬データ!$D$2:$D$50000,E1979,全馬データ!$K$2:$K$50000,"&lt;&gt;")=0,"",SUMIFS(全馬データ!$K$2:$K$50000,全馬データ!$A$2:$A$50000,A1979,全馬データ!$B$2:$B$50000,B1979,全馬データ!$C$2:$C$50000,C1979,全馬データ!$D$2:$D$50000,E1979)))</f>
        <v/>
      </c>
      <c r="AP1979" s="8" t="str">
        <f aca="false">IF(A1979="","",IF(AO1979="","欠損",IF(AO1979&lt;=1.1,"1.0～1.1",IF(AO1979&lt;1.3,"1.2",IF(AO1979&lt;1.5,"1.3～1.4",IF(AO1979&lt;2,"1.5～1.9","2.0以上"))))))</f>
        <v/>
      </c>
      <c r="AQ1979" s="8" t="str">
        <f aca="false">IF(A1979="","",IF(ISNUMBER(SEARCH("2歳",Z1979)),"2歳戦",IF(ISNUMBER(SEARCH("3歳未勝利",Z1979)),"3歳未勝利",IF(ISNUMBER(SEARCH("未勝利",Z1979)),"その他未勝利",IF(ISNUMBER(SEARCH("G1",Z1979)),"G1",IF(ISNUMBER(SEARCH("G2",Z1979)),"G2",IF(ISNUMBER(SEARCH("G3",Z1979)),"G3",IF(ISNUMBER(SEARCH("古馬条件",Z1979)),"古馬条件戦",IF(ISNUMBER(SEARCH("重賞",Z1979)),"重賞","分類不能")))))))))</f>
        <v/>
      </c>
    </row>
    <row r="1980" customFormat="false" ht="15.75" hidden="false" customHeight="false" outlineLevel="0" collapsed="false">
      <c r="AO1980" s="8" t="str">
        <f aca="false">IF(A1980="","",IF(COUNTIFS(全馬データ!$A$2:$A$50000,A1980,全馬データ!$B$2:$B$50000,B1980,全馬データ!$C$2:$C$50000,C1980,全馬データ!$D$2:$D$50000,E1980,全馬データ!$K$2:$K$50000,"&lt;&gt;")=0,"",SUMIFS(全馬データ!$K$2:$K$50000,全馬データ!$A$2:$A$50000,A1980,全馬データ!$B$2:$B$50000,B1980,全馬データ!$C$2:$C$50000,C1980,全馬データ!$D$2:$D$50000,E1980)))</f>
        <v/>
      </c>
      <c r="AP1980" s="8" t="str">
        <f aca="false">IF(A1980="","",IF(AO1980="","欠損",IF(AO1980&lt;=1.1,"1.0～1.1",IF(AO1980&lt;1.3,"1.2",IF(AO1980&lt;1.5,"1.3～1.4",IF(AO1980&lt;2,"1.5～1.9","2.0以上"))))))</f>
        <v/>
      </c>
      <c r="AQ1980" s="8" t="str">
        <f aca="false">IF(A1980="","",IF(ISNUMBER(SEARCH("2歳",Z1980)),"2歳戦",IF(ISNUMBER(SEARCH("3歳未勝利",Z1980)),"3歳未勝利",IF(ISNUMBER(SEARCH("未勝利",Z1980)),"その他未勝利",IF(ISNUMBER(SEARCH("G1",Z1980)),"G1",IF(ISNUMBER(SEARCH("G2",Z1980)),"G2",IF(ISNUMBER(SEARCH("G3",Z1980)),"G3",IF(ISNUMBER(SEARCH("古馬条件",Z1980)),"古馬条件戦",IF(ISNUMBER(SEARCH("重賞",Z1980)),"重賞","分類不能")))))))))</f>
        <v/>
      </c>
    </row>
    <row r="1981" customFormat="false" ht="15.75" hidden="false" customHeight="false" outlineLevel="0" collapsed="false">
      <c r="AO1981" s="8" t="str">
        <f aca="false">IF(A1981="","",IF(COUNTIFS(全馬データ!$A$2:$A$50000,A1981,全馬データ!$B$2:$B$50000,B1981,全馬データ!$C$2:$C$50000,C1981,全馬データ!$D$2:$D$50000,E1981,全馬データ!$K$2:$K$50000,"&lt;&gt;")=0,"",SUMIFS(全馬データ!$K$2:$K$50000,全馬データ!$A$2:$A$50000,A1981,全馬データ!$B$2:$B$50000,B1981,全馬データ!$C$2:$C$50000,C1981,全馬データ!$D$2:$D$50000,E1981)))</f>
        <v/>
      </c>
      <c r="AP1981" s="8" t="str">
        <f aca="false">IF(A1981="","",IF(AO1981="","欠損",IF(AO1981&lt;=1.1,"1.0～1.1",IF(AO1981&lt;1.3,"1.2",IF(AO1981&lt;1.5,"1.3～1.4",IF(AO1981&lt;2,"1.5～1.9","2.0以上"))))))</f>
        <v/>
      </c>
      <c r="AQ1981" s="8" t="str">
        <f aca="false">IF(A1981="","",IF(ISNUMBER(SEARCH("2歳",Z1981)),"2歳戦",IF(ISNUMBER(SEARCH("3歳未勝利",Z1981)),"3歳未勝利",IF(ISNUMBER(SEARCH("未勝利",Z1981)),"その他未勝利",IF(ISNUMBER(SEARCH("G1",Z1981)),"G1",IF(ISNUMBER(SEARCH("G2",Z1981)),"G2",IF(ISNUMBER(SEARCH("G3",Z1981)),"G3",IF(ISNUMBER(SEARCH("古馬条件",Z1981)),"古馬条件戦",IF(ISNUMBER(SEARCH("重賞",Z1981)),"重賞","分類不能")))))))))</f>
        <v/>
      </c>
    </row>
    <row r="1982" customFormat="false" ht="15.75" hidden="false" customHeight="false" outlineLevel="0" collapsed="false">
      <c r="AO1982" s="8" t="str">
        <f aca="false">IF(A1982="","",IF(COUNTIFS(全馬データ!$A$2:$A$50000,A1982,全馬データ!$B$2:$B$50000,B1982,全馬データ!$C$2:$C$50000,C1982,全馬データ!$D$2:$D$50000,E1982,全馬データ!$K$2:$K$50000,"&lt;&gt;")=0,"",SUMIFS(全馬データ!$K$2:$K$50000,全馬データ!$A$2:$A$50000,A1982,全馬データ!$B$2:$B$50000,B1982,全馬データ!$C$2:$C$50000,C1982,全馬データ!$D$2:$D$50000,E1982)))</f>
        <v/>
      </c>
      <c r="AP1982" s="8" t="str">
        <f aca="false">IF(A1982="","",IF(AO1982="","欠損",IF(AO1982&lt;=1.1,"1.0～1.1",IF(AO1982&lt;1.3,"1.2",IF(AO1982&lt;1.5,"1.3～1.4",IF(AO1982&lt;2,"1.5～1.9","2.0以上"))))))</f>
        <v/>
      </c>
      <c r="AQ1982" s="8" t="str">
        <f aca="false">IF(A1982="","",IF(ISNUMBER(SEARCH("2歳",Z1982)),"2歳戦",IF(ISNUMBER(SEARCH("3歳未勝利",Z1982)),"3歳未勝利",IF(ISNUMBER(SEARCH("未勝利",Z1982)),"その他未勝利",IF(ISNUMBER(SEARCH("G1",Z1982)),"G1",IF(ISNUMBER(SEARCH("G2",Z1982)),"G2",IF(ISNUMBER(SEARCH("G3",Z1982)),"G3",IF(ISNUMBER(SEARCH("古馬条件",Z1982)),"古馬条件戦",IF(ISNUMBER(SEARCH("重賞",Z1982)),"重賞","分類不能")))))))))</f>
        <v/>
      </c>
    </row>
    <row r="1983" customFormat="false" ht="15.75" hidden="false" customHeight="false" outlineLevel="0" collapsed="false">
      <c r="AO1983" s="8" t="str">
        <f aca="false">IF(A1983="","",IF(COUNTIFS(全馬データ!$A$2:$A$50000,A1983,全馬データ!$B$2:$B$50000,B1983,全馬データ!$C$2:$C$50000,C1983,全馬データ!$D$2:$D$50000,E1983,全馬データ!$K$2:$K$50000,"&lt;&gt;")=0,"",SUMIFS(全馬データ!$K$2:$K$50000,全馬データ!$A$2:$A$50000,A1983,全馬データ!$B$2:$B$50000,B1983,全馬データ!$C$2:$C$50000,C1983,全馬データ!$D$2:$D$50000,E1983)))</f>
        <v/>
      </c>
      <c r="AP1983" s="8" t="str">
        <f aca="false">IF(A1983="","",IF(AO1983="","欠損",IF(AO1983&lt;=1.1,"1.0～1.1",IF(AO1983&lt;1.3,"1.2",IF(AO1983&lt;1.5,"1.3～1.4",IF(AO1983&lt;2,"1.5～1.9","2.0以上"))))))</f>
        <v/>
      </c>
      <c r="AQ1983" s="8" t="str">
        <f aca="false">IF(A1983="","",IF(ISNUMBER(SEARCH("2歳",Z1983)),"2歳戦",IF(ISNUMBER(SEARCH("3歳未勝利",Z1983)),"3歳未勝利",IF(ISNUMBER(SEARCH("未勝利",Z1983)),"その他未勝利",IF(ISNUMBER(SEARCH("G1",Z1983)),"G1",IF(ISNUMBER(SEARCH("G2",Z1983)),"G2",IF(ISNUMBER(SEARCH("G3",Z1983)),"G3",IF(ISNUMBER(SEARCH("古馬条件",Z1983)),"古馬条件戦",IF(ISNUMBER(SEARCH("重賞",Z1983)),"重賞","分類不能")))))))))</f>
        <v/>
      </c>
    </row>
    <row r="1984" customFormat="false" ht="15.75" hidden="false" customHeight="false" outlineLevel="0" collapsed="false">
      <c r="AO1984" s="8" t="str">
        <f aca="false">IF(A1984="","",IF(COUNTIFS(全馬データ!$A$2:$A$50000,A1984,全馬データ!$B$2:$B$50000,B1984,全馬データ!$C$2:$C$50000,C1984,全馬データ!$D$2:$D$50000,E1984,全馬データ!$K$2:$K$50000,"&lt;&gt;")=0,"",SUMIFS(全馬データ!$K$2:$K$50000,全馬データ!$A$2:$A$50000,A1984,全馬データ!$B$2:$B$50000,B1984,全馬データ!$C$2:$C$50000,C1984,全馬データ!$D$2:$D$50000,E1984)))</f>
        <v/>
      </c>
      <c r="AP1984" s="8" t="str">
        <f aca="false">IF(A1984="","",IF(AO1984="","欠損",IF(AO1984&lt;=1.1,"1.0～1.1",IF(AO1984&lt;1.3,"1.2",IF(AO1984&lt;1.5,"1.3～1.4",IF(AO1984&lt;2,"1.5～1.9","2.0以上"))))))</f>
        <v/>
      </c>
      <c r="AQ1984" s="8" t="str">
        <f aca="false">IF(A1984="","",IF(ISNUMBER(SEARCH("2歳",Z1984)),"2歳戦",IF(ISNUMBER(SEARCH("3歳未勝利",Z1984)),"3歳未勝利",IF(ISNUMBER(SEARCH("未勝利",Z1984)),"その他未勝利",IF(ISNUMBER(SEARCH("G1",Z1984)),"G1",IF(ISNUMBER(SEARCH("G2",Z1984)),"G2",IF(ISNUMBER(SEARCH("G3",Z1984)),"G3",IF(ISNUMBER(SEARCH("古馬条件",Z1984)),"古馬条件戦",IF(ISNUMBER(SEARCH("重賞",Z1984)),"重賞","分類不能")))))))))</f>
        <v/>
      </c>
    </row>
    <row r="1985" customFormat="false" ht="15.75" hidden="false" customHeight="false" outlineLevel="0" collapsed="false">
      <c r="AO1985" s="8" t="str">
        <f aca="false">IF(A1985="","",IF(COUNTIFS(全馬データ!$A$2:$A$50000,A1985,全馬データ!$B$2:$B$50000,B1985,全馬データ!$C$2:$C$50000,C1985,全馬データ!$D$2:$D$50000,E1985,全馬データ!$K$2:$K$50000,"&lt;&gt;")=0,"",SUMIFS(全馬データ!$K$2:$K$50000,全馬データ!$A$2:$A$50000,A1985,全馬データ!$B$2:$B$50000,B1985,全馬データ!$C$2:$C$50000,C1985,全馬データ!$D$2:$D$50000,E1985)))</f>
        <v/>
      </c>
      <c r="AP1985" s="8" t="str">
        <f aca="false">IF(A1985="","",IF(AO1985="","欠損",IF(AO1985&lt;=1.1,"1.0～1.1",IF(AO1985&lt;1.3,"1.2",IF(AO1985&lt;1.5,"1.3～1.4",IF(AO1985&lt;2,"1.5～1.9","2.0以上"))))))</f>
        <v/>
      </c>
      <c r="AQ1985" s="8" t="str">
        <f aca="false">IF(A1985="","",IF(ISNUMBER(SEARCH("2歳",Z1985)),"2歳戦",IF(ISNUMBER(SEARCH("3歳未勝利",Z1985)),"3歳未勝利",IF(ISNUMBER(SEARCH("未勝利",Z1985)),"その他未勝利",IF(ISNUMBER(SEARCH("G1",Z1985)),"G1",IF(ISNUMBER(SEARCH("G2",Z1985)),"G2",IF(ISNUMBER(SEARCH("G3",Z1985)),"G3",IF(ISNUMBER(SEARCH("古馬条件",Z1985)),"古馬条件戦",IF(ISNUMBER(SEARCH("重賞",Z1985)),"重賞","分類不能")))))))))</f>
        <v/>
      </c>
    </row>
    <row r="1986" customFormat="false" ht="15.75" hidden="false" customHeight="false" outlineLevel="0" collapsed="false">
      <c r="AO1986" s="8" t="str">
        <f aca="false">IF(A1986="","",IF(COUNTIFS(全馬データ!$A$2:$A$50000,A1986,全馬データ!$B$2:$B$50000,B1986,全馬データ!$C$2:$C$50000,C1986,全馬データ!$D$2:$D$50000,E1986,全馬データ!$K$2:$K$50000,"&lt;&gt;")=0,"",SUMIFS(全馬データ!$K$2:$K$50000,全馬データ!$A$2:$A$50000,A1986,全馬データ!$B$2:$B$50000,B1986,全馬データ!$C$2:$C$50000,C1986,全馬データ!$D$2:$D$50000,E1986)))</f>
        <v/>
      </c>
      <c r="AP1986" s="8" t="str">
        <f aca="false">IF(A1986="","",IF(AO1986="","欠損",IF(AO1986&lt;=1.1,"1.0～1.1",IF(AO1986&lt;1.3,"1.2",IF(AO1986&lt;1.5,"1.3～1.4",IF(AO1986&lt;2,"1.5～1.9","2.0以上"))))))</f>
        <v/>
      </c>
      <c r="AQ1986" s="8" t="str">
        <f aca="false">IF(A1986="","",IF(ISNUMBER(SEARCH("2歳",Z1986)),"2歳戦",IF(ISNUMBER(SEARCH("3歳未勝利",Z1986)),"3歳未勝利",IF(ISNUMBER(SEARCH("未勝利",Z1986)),"その他未勝利",IF(ISNUMBER(SEARCH("G1",Z1986)),"G1",IF(ISNUMBER(SEARCH("G2",Z1986)),"G2",IF(ISNUMBER(SEARCH("G3",Z1986)),"G3",IF(ISNUMBER(SEARCH("古馬条件",Z1986)),"古馬条件戦",IF(ISNUMBER(SEARCH("重賞",Z1986)),"重賞","分類不能")))))))))</f>
        <v/>
      </c>
    </row>
    <row r="1987" customFormat="false" ht="15.75" hidden="false" customHeight="false" outlineLevel="0" collapsed="false">
      <c r="AO1987" s="8" t="str">
        <f aca="false">IF(A1987="","",IF(COUNTIFS(全馬データ!$A$2:$A$50000,A1987,全馬データ!$B$2:$B$50000,B1987,全馬データ!$C$2:$C$50000,C1987,全馬データ!$D$2:$D$50000,E1987,全馬データ!$K$2:$K$50000,"&lt;&gt;")=0,"",SUMIFS(全馬データ!$K$2:$K$50000,全馬データ!$A$2:$A$50000,A1987,全馬データ!$B$2:$B$50000,B1987,全馬データ!$C$2:$C$50000,C1987,全馬データ!$D$2:$D$50000,E1987)))</f>
        <v/>
      </c>
      <c r="AP1987" s="8" t="str">
        <f aca="false">IF(A1987="","",IF(AO1987="","欠損",IF(AO1987&lt;=1.1,"1.0～1.1",IF(AO1987&lt;1.3,"1.2",IF(AO1987&lt;1.5,"1.3～1.4",IF(AO1987&lt;2,"1.5～1.9","2.0以上"))))))</f>
        <v/>
      </c>
      <c r="AQ1987" s="8" t="str">
        <f aca="false">IF(A1987="","",IF(ISNUMBER(SEARCH("2歳",Z1987)),"2歳戦",IF(ISNUMBER(SEARCH("3歳未勝利",Z1987)),"3歳未勝利",IF(ISNUMBER(SEARCH("未勝利",Z1987)),"その他未勝利",IF(ISNUMBER(SEARCH("G1",Z1987)),"G1",IF(ISNUMBER(SEARCH("G2",Z1987)),"G2",IF(ISNUMBER(SEARCH("G3",Z1987)),"G3",IF(ISNUMBER(SEARCH("古馬条件",Z1987)),"古馬条件戦",IF(ISNUMBER(SEARCH("重賞",Z1987)),"重賞","分類不能")))))))))</f>
        <v/>
      </c>
    </row>
    <row r="1988" customFormat="false" ht="15.75" hidden="false" customHeight="false" outlineLevel="0" collapsed="false">
      <c r="AO1988" s="8" t="str">
        <f aca="false">IF(A1988="","",IF(COUNTIFS(全馬データ!$A$2:$A$50000,A1988,全馬データ!$B$2:$B$50000,B1988,全馬データ!$C$2:$C$50000,C1988,全馬データ!$D$2:$D$50000,E1988,全馬データ!$K$2:$K$50000,"&lt;&gt;")=0,"",SUMIFS(全馬データ!$K$2:$K$50000,全馬データ!$A$2:$A$50000,A1988,全馬データ!$B$2:$B$50000,B1988,全馬データ!$C$2:$C$50000,C1988,全馬データ!$D$2:$D$50000,E1988)))</f>
        <v/>
      </c>
      <c r="AP1988" s="8" t="str">
        <f aca="false">IF(A1988="","",IF(AO1988="","欠損",IF(AO1988&lt;=1.1,"1.0～1.1",IF(AO1988&lt;1.3,"1.2",IF(AO1988&lt;1.5,"1.3～1.4",IF(AO1988&lt;2,"1.5～1.9","2.0以上"))))))</f>
        <v/>
      </c>
      <c r="AQ1988" s="8" t="str">
        <f aca="false">IF(A1988="","",IF(ISNUMBER(SEARCH("2歳",Z1988)),"2歳戦",IF(ISNUMBER(SEARCH("3歳未勝利",Z1988)),"3歳未勝利",IF(ISNUMBER(SEARCH("未勝利",Z1988)),"その他未勝利",IF(ISNUMBER(SEARCH("G1",Z1988)),"G1",IF(ISNUMBER(SEARCH("G2",Z1988)),"G2",IF(ISNUMBER(SEARCH("G3",Z1988)),"G3",IF(ISNUMBER(SEARCH("古馬条件",Z1988)),"古馬条件戦",IF(ISNUMBER(SEARCH("重賞",Z1988)),"重賞","分類不能")))))))))</f>
        <v/>
      </c>
    </row>
    <row r="1989" customFormat="false" ht="15.75" hidden="false" customHeight="false" outlineLevel="0" collapsed="false">
      <c r="AO1989" s="8" t="str">
        <f aca="false">IF(A1989="","",IF(COUNTIFS(全馬データ!$A$2:$A$50000,A1989,全馬データ!$B$2:$B$50000,B1989,全馬データ!$C$2:$C$50000,C1989,全馬データ!$D$2:$D$50000,E1989,全馬データ!$K$2:$K$50000,"&lt;&gt;")=0,"",SUMIFS(全馬データ!$K$2:$K$50000,全馬データ!$A$2:$A$50000,A1989,全馬データ!$B$2:$B$50000,B1989,全馬データ!$C$2:$C$50000,C1989,全馬データ!$D$2:$D$50000,E1989)))</f>
        <v/>
      </c>
      <c r="AP1989" s="8" t="str">
        <f aca="false">IF(A1989="","",IF(AO1989="","欠損",IF(AO1989&lt;=1.1,"1.0～1.1",IF(AO1989&lt;1.3,"1.2",IF(AO1989&lt;1.5,"1.3～1.4",IF(AO1989&lt;2,"1.5～1.9","2.0以上"))))))</f>
        <v/>
      </c>
      <c r="AQ1989" s="8" t="str">
        <f aca="false">IF(A1989="","",IF(ISNUMBER(SEARCH("2歳",Z1989)),"2歳戦",IF(ISNUMBER(SEARCH("3歳未勝利",Z1989)),"3歳未勝利",IF(ISNUMBER(SEARCH("未勝利",Z1989)),"その他未勝利",IF(ISNUMBER(SEARCH("G1",Z1989)),"G1",IF(ISNUMBER(SEARCH("G2",Z1989)),"G2",IF(ISNUMBER(SEARCH("G3",Z1989)),"G3",IF(ISNUMBER(SEARCH("古馬条件",Z1989)),"古馬条件戦",IF(ISNUMBER(SEARCH("重賞",Z1989)),"重賞","分類不能")))))))))</f>
        <v/>
      </c>
    </row>
    <row r="1990" customFormat="false" ht="15.75" hidden="false" customHeight="false" outlineLevel="0" collapsed="false">
      <c r="AO1990" s="8" t="str">
        <f aca="false">IF(A1990="","",IF(COUNTIFS(全馬データ!$A$2:$A$50000,A1990,全馬データ!$B$2:$B$50000,B1990,全馬データ!$C$2:$C$50000,C1990,全馬データ!$D$2:$D$50000,E1990,全馬データ!$K$2:$K$50000,"&lt;&gt;")=0,"",SUMIFS(全馬データ!$K$2:$K$50000,全馬データ!$A$2:$A$50000,A1990,全馬データ!$B$2:$B$50000,B1990,全馬データ!$C$2:$C$50000,C1990,全馬データ!$D$2:$D$50000,E1990)))</f>
        <v/>
      </c>
      <c r="AP1990" s="8" t="str">
        <f aca="false">IF(A1990="","",IF(AO1990="","欠損",IF(AO1990&lt;=1.1,"1.0～1.1",IF(AO1990&lt;1.3,"1.2",IF(AO1990&lt;1.5,"1.3～1.4",IF(AO1990&lt;2,"1.5～1.9","2.0以上"))))))</f>
        <v/>
      </c>
      <c r="AQ1990" s="8" t="str">
        <f aca="false">IF(A1990="","",IF(ISNUMBER(SEARCH("2歳",Z1990)),"2歳戦",IF(ISNUMBER(SEARCH("3歳未勝利",Z1990)),"3歳未勝利",IF(ISNUMBER(SEARCH("未勝利",Z1990)),"その他未勝利",IF(ISNUMBER(SEARCH("G1",Z1990)),"G1",IF(ISNUMBER(SEARCH("G2",Z1990)),"G2",IF(ISNUMBER(SEARCH("G3",Z1990)),"G3",IF(ISNUMBER(SEARCH("古馬条件",Z1990)),"古馬条件戦",IF(ISNUMBER(SEARCH("重賞",Z1990)),"重賞","分類不能")))))))))</f>
        <v/>
      </c>
    </row>
    <row r="1991" customFormat="false" ht="15.75" hidden="false" customHeight="false" outlineLevel="0" collapsed="false">
      <c r="AO1991" s="8" t="str">
        <f aca="false">IF(A1991="","",IF(COUNTIFS(全馬データ!$A$2:$A$50000,A1991,全馬データ!$B$2:$B$50000,B1991,全馬データ!$C$2:$C$50000,C1991,全馬データ!$D$2:$D$50000,E1991,全馬データ!$K$2:$K$50000,"&lt;&gt;")=0,"",SUMIFS(全馬データ!$K$2:$K$50000,全馬データ!$A$2:$A$50000,A1991,全馬データ!$B$2:$B$50000,B1991,全馬データ!$C$2:$C$50000,C1991,全馬データ!$D$2:$D$50000,E1991)))</f>
        <v/>
      </c>
      <c r="AP1991" s="8" t="str">
        <f aca="false">IF(A1991="","",IF(AO1991="","欠損",IF(AO1991&lt;=1.1,"1.0～1.1",IF(AO1991&lt;1.3,"1.2",IF(AO1991&lt;1.5,"1.3～1.4",IF(AO1991&lt;2,"1.5～1.9","2.0以上"))))))</f>
        <v/>
      </c>
      <c r="AQ1991" s="8" t="str">
        <f aca="false">IF(A1991="","",IF(ISNUMBER(SEARCH("2歳",Z1991)),"2歳戦",IF(ISNUMBER(SEARCH("3歳未勝利",Z1991)),"3歳未勝利",IF(ISNUMBER(SEARCH("未勝利",Z1991)),"その他未勝利",IF(ISNUMBER(SEARCH("G1",Z1991)),"G1",IF(ISNUMBER(SEARCH("G2",Z1991)),"G2",IF(ISNUMBER(SEARCH("G3",Z1991)),"G3",IF(ISNUMBER(SEARCH("古馬条件",Z1991)),"古馬条件戦",IF(ISNUMBER(SEARCH("重賞",Z1991)),"重賞","分類不能")))))))))</f>
        <v/>
      </c>
    </row>
    <row r="1992" customFormat="false" ht="15.75" hidden="false" customHeight="false" outlineLevel="0" collapsed="false">
      <c r="AO1992" s="8" t="str">
        <f aca="false">IF(A1992="","",IF(COUNTIFS(全馬データ!$A$2:$A$50000,A1992,全馬データ!$B$2:$B$50000,B1992,全馬データ!$C$2:$C$50000,C1992,全馬データ!$D$2:$D$50000,E1992,全馬データ!$K$2:$K$50000,"&lt;&gt;")=0,"",SUMIFS(全馬データ!$K$2:$K$50000,全馬データ!$A$2:$A$50000,A1992,全馬データ!$B$2:$B$50000,B1992,全馬データ!$C$2:$C$50000,C1992,全馬データ!$D$2:$D$50000,E1992)))</f>
        <v/>
      </c>
      <c r="AP1992" s="8" t="str">
        <f aca="false">IF(A1992="","",IF(AO1992="","欠損",IF(AO1992&lt;=1.1,"1.0～1.1",IF(AO1992&lt;1.3,"1.2",IF(AO1992&lt;1.5,"1.3～1.4",IF(AO1992&lt;2,"1.5～1.9","2.0以上"))))))</f>
        <v/>
      </c>
      <c r="AQ1992" s="8" t="str">
        <f aca="false">IF(A1992="","",IF(ISNUMBER(SEARCH("2歳",Z1992)),"2歳戦",IF(ISNUMBER(SEARCH("3歳未勝利",Z1992)),"3歳未勝利",IF(ISNUMBER(SEARCH("未勝利",Z1992)),"その他未勝利",IF(ISNUMBER(SEARCH("G1",Z1992)),"G1",IF(ISNUMBER(SEARCH("G2",Z1992)),"G2",IF(ISNUMBER(SEARCH("G3",Z1992)),"G3",IF(ISNUMBER(SEARCH("古馬条件",Z1992)),"古馬条件戦",IF(ISNUMBER(SEARCH("重賞",Z1992)),"重賞","分類不能")))))))))</f>
        <v/>
      </c>
    </row>
    <row r="1993" customFormat="false" ht="15.75" hidden="false" customHeight="false" outlineLevel="0" collapsed="false">
      <c r="AO1993" s="8" t="str">
        <f aca="false">IF(A1993="","",IF(COUNTIFS(全馬データ!$A$2:$A$50000,A1993,全馬データ!$B$2:$B$50000,B1993,全馬データ!$C$2:$C$50000,C1993,全馬データ!$D$2:$D$50000,E1993,全馬データ!$K$2:$K$50000,"&lt;&gt;")=0,"",SUMIFS(全馬データ!$K$2:$K$50000,全馬データ!$A$2:$A$50000,A1993,全馬データ!$B$2:$B$50000,B1993,全馬データ!$C$2:$C$50000,C1993,全馬データ!$D$2:$D$50000,E1993)))</f>
        <v/>
      </c>
      <c r="AP1993" s="8" t="str">
        <f aca="false">IF(A1993="","",IF(AO1993="","欠損",IF(AO1993&lt;=1.1,"1.0～1.1",IF(AO1993&lt;1.3,"1.2",IF(AO1993&lt;1.5,"1.3～1.4",IF(AO1993&lt;2,"1.5～1.9","2.0以上"))))))</f>
        <v/>
      </c>
      <c r="AQ1993" s="8" t="str">
        <f aca="false">IF(A1993="","",IF(ISNUMBER(SEARCH("2歳",Z1993)),"2歳戦",IF(ISNUMBER(SEARCH("3歳未勝利",Z1993)),"3歳未勝利",IF(ISNUMBER(SEARCH("未勝利",Z1993)),"その他未勝利",IF(ISNUMBER(SEARCH("G1",Z1993)),"G1",IF(ISNUMBER(SEARCH("G2",Z1993)),"G2",IF(ISNUMBER(SEARCH("G3",Z1993)),"G3",IF(ISNUMBER(SEARCH("古馬条件",Z1993)),"古馬条件戦",IF(ISNUMBER(SEARCH("重賞",Z1993)),"重賞","分類不能")))))))))</f>
        <v/>
      </c>
    </row>
    <row r="1994" customFormat="false" ht="15.75" hidden="false" customHeight="false" outlineLevel="0" collapsed="false">
      <c r="AO1994" s="8" t="str">
        <f aca="false">IF(A1994="","",IF(COUNTIFS(全馬データ!$A$2:$A$50000,A1994,全馬データ!$B$2:$B$50000,B1994,全馬データ!$C$2:$C$50000,C1994,全馬データ!$D$2:$D$50000,E1994,全馬データ!$K$2:$K$50000,"&lt;&gt;")=0,"",SUMIFS(全馬データ!$K$2:$K$50000,全馬データ!$A$2:$A$50000,A1994,全馬データ!$B$2:$B$50000,B1994,全馬データ!$C$2:$C$50000,C1994,全馬データ!$D$2:$D$50000,E1994)))</f>
        <v/>
      </c>
      <c r="AP1994" s="8" t="str">
        <f aca="false">IF(A1994="","",IF(AO1994="","欠損",IF(AO1994&lt;=1.1,"1.0～1.1",IF(AO1994&lt;1.3,"1.2",IF(AO1994&lt;1.5,"1.3～1.4",IF(AO1994&lt;2,"1.5～1.9","2.0以上"))))))</f>
        <v/>
      </c>
      <c r="AQ1994" s="8" t="str">
        <f aca="false">IF(A1994="","",IF(ISNUMBER(SEARCH("2歳",Z1994)),"2歳戦",IF(ISNUMBER(SEARCH("3歳未勝利",Z1994)),"3歳未勝利",IF(ISNUMBER(SEARCH("未勝利",Z1994)),"その他未勝利",IF(ISNUMBER(SEARCH("G1",Z1994)),"G1",IF(ISNUMBER(SEARCH("G2",Z1994)),"G2",IF(ISNUMBER(SEARCH("G3",Z1994)),"G3",IF(ISNUMBER(SEARCH("古馬条件",Z1994)),"古馬条件戦",IF(ISNUMBER(SEARCH("重賞",Z1994)),"重賞","分類不能")))))))))</f>
        <v/>
      </c>
    </row>
    <row r="1995" customFormat="false" ht="15.75" hidden="false" customHeight="false" outlineLevel="0" collapsed="false">
      <c r="AO1995" s="8" t="str">
        <f aca="false">IF(A1995="","",IF(COUNTIFS(全馬データ!$A$2:$A$50000,A1995,全馬データ!$B$2:$B$50000,B1995,全馬データ!$C$2:$C$50000,C1995,全馬データ!$D$2:$D$50000,E1995,全馬データ!$K$2:$K$50000,"&lt;&gt;")=0,"",SUMIFS(全馬データ!$K$2:$K$50000,全馬データ!$A$2:$A$50000,A1995,全馬データ!$B$2:$B$50000,B1995,全馬データ!$C$2:$C$50000,C1995,全馬データ!$D$2:$D$50000,E1995)))</f>
        <v/>
      </c>
      <c r="AP1995" s="8" t="str">
        <f aca="false">IF(A1995="","",IF(AO1995="","欠損",IF(AO1995&lt;=1.1,"1.0～1.1",IF(AO1995&lt;1.3,"1.2",IF(AO1995&lt;1.5,"1.3～1.4",IF(AO1995&lt;2,"1.5～1.9","2.0以上"))))))</f>
        <v/>
      </c>
      <c r="AQ1995" s="8" t="str">
        <f aca="false">IF(A1995="","",IF(ISNUMBER(SEARCH("2歳",Z1995)),"2歳戦",IF(ISNUMBER(SEARCH("3歳未勝利",Z1995)),"3歳未勝利",IF(ISNUMBER(SEARCH("未勝利",Z1995)),"その他未勝利",IF(ISNUMBER(SEARCH("G1",Z1995)),"G1",IF(ISNUMBER(SEARCH("G2",Z1995)),"G2",IF(ISNUMBER(SEARCH("G3",Z1995)),"G3",IF(ISNUMBER(SEARCH("古馬条件",Z1995)),"古馬条件戦",IF(ISNUMBER(SEARCH("重賞",Z1995)),"重賞","分類不能")))))))))</f>
        <v/>
      </c>
    </row>
    <row r="1996" customFormat="false" ht="15.75" hidden="false" customHeight="false" outlineLevel="0" collapsed="false">
      <c r="AO1996" s="8" t="str">
        <f aca="false">IF(A1996="","",IF(COUNTIFS(全馬データ!$A$2:$A$50000,A1996,全馬データ!$B$2:$B$50000,B1996,全馬データ!$C$2:$C$50000,C1996,全馬データ!$D$2:$D$50000,E1996,全馬データ!$K$2:$K$50000,"&lt;&gt;")=0,"",SUMIFS(全馬データ!$K$2:$K$50000,全馬データ!$A$2:$A$50000,A1996,全馬データ!$B$2:$B$50000,B1996,全馬データ!$C$2:$C$50000,C1996,全馬データ!$D$2:$D$50000,E1996)))</f>
        <v/>
      </c>
      <c r="AP1996" s="8" t="str">
        <f aca="false">IF(A1996="","",IF(AO1996="","欠損",IF(AO1996&lt;=1.1,"1.0～1.1",IF(AO1996&lt;1.3,"1.2",IF(AO1996&lt;1.5,"1.3～1.4",IF(AO1996&lt;2,"1.5～1.9","2.0以上"))))))</f>
        <v/>
      </c>
      <c r="AQ1996" s="8" t="str">
        <f aca="false">IF(A1996="","",IF(ISNUMBER(SEARCH("2歳",Z1996)),"2歳戦",IF(ISNUMBER(SEARCH("3歳未勝利",Z1996)),"3歳未勝利",IF(ISNUMBER(SEARCH("未勝利",Z1996)),"その他未勝利",IF(ISNUMBER(SEARCH("G1",Z1996)),"G1",IF(ISNUMBER(SEARCH("G2",Z1996)),"G2",IF(ISNUMBER(SEARCH("G3",Z1996)),"G3",IF(ISNUMBER(SEARCH("古馬条件",Z1996)),"古馬条件戦",IF(ISNUMBER(SEARCH("重賞",Z1996)),"重賞","分類不能")))))))))</f>
        <v/>
      </c>
    </row>
    <row r="1997" customFormat="false" ht="15.75" hidden="false" customHeight="false" outlineLevel="0" collapsed="false">
      <c r="AO1997" s="8" t="str">
        <f aca="false">IF(A1997="","",IF(COUNTIFS(全馬データ!$A$2:$A$50000,A1997,全馬データ!$B$2:$B$50000,B1997,全馬データ!$C$2:$C$50000,C1997,全馬データ!$D$2:$D$50000,E1997,全馬データ!$K$2:$K$50000,"&lt;&gt;")=0,"",SUMIFS(全馬データ!$K$2:$K$50000,全馬データ!$A$2:$A$50000,A1997,全馬データ!$B$2:$B$50000,B1997,全馬データ!$C$2:$C$50000,C1997,全馬データ!$D$2:$D$50000,E1997)))</f>
        <v/>
      </c>
      <c r="AP1997" s="8" t="str">
        <f aca="false">IF(A1997="","",IF(AO1997="","欠損",IF(AO1997&lt;=1.1,"1.0～1.1",IF(AO1997&lt;1.3,"1.2",IF(AO1997&lt;1.5,"1.3～1.4",IF(AO1997&lt;2,"1.5～1.9","2.0以上"))))))</f>
        <v/>
      </c>
      <c r="AQ1997" s="8" t="str">
        <f aca="false">IF(A1997="","",IF(ISNUMBER(SEARCH("2歳",Z1997)),"2歳戦",IF(ISNUMBER(SEARCH("3歳未勝利",Z1997)),"3歳未勝利",IF(ISNUMBER(SEARCH("未勝利",Z1997)),"その他未勝利",IF(ISNUMBER(SEARCH("G1",Z1997)),"G1",IF(ISNUMBER(SEARCH("G2",Z1997)),"G2",IF(ISNUMBER(SEARCH("G3",Z1997)),"G3",IF(ISNUMBER(SEARCH("古馬条件",Z1997)),"古馬条件戦",IF(ISNUMBER(SEARCH("重賞",Z1997)),"重賞","分類不能")))))))))</f>
        <v/>
      </c>
    </row>
    <row r="1998" customFormat="false" ht="15.75" hidden="false" customHeight="false" outlineLevel="0" collapsed="false">
      <c r="AO1998" s="8" t="str">
        <f aca="false">IF(A1998="","",IF(COUNTIFS(全馬データ!$A$2:$A$50000,A1998,全馬データ!$B$2:$B$50000,B1998,全馬データ!$C$2:$C$50000,C1998,全馬データ!$D$2:$D$50000,E1998,全馬データ!$K$2:$K$50000,"&lt;&gt;")=0,"",SUMIFS(全馬データ!$K$2:$K$50000,全馬データ!$A$2:$A$50000,A1998,全馬データ!$B$2:$B$50000,B1998,全馬データ!$C$2:$C$50000,C1998,全馬データ!$D$2:$D$50000,E1998)))</f>
        <v/>
      </c>
      <c r="AP1998" s="8" t="str">
        <f aca="false">IF(A1998="","",IF(AO1998="","欠損",IF(AO1998&lt;=1.1,"1.0～1.1",IF(AO1998&lt;1.3,"1.2",IF(AO1998&lt;1.5,"1.3～1.4",IF(AO1998&lt;2,"1.5～1.9","2.0以上"))))))</f>
        <v/>
      </c>
      <c r="AQ1998" s="8" t="str">
        <f aca="false">IF(A1998="","",IF(ISNUMBER(SEARCH("2歳",Z1998)),"2歳戦",IF(ISNUMBER(SEARCH("3歳未勝利",Z1998)),"3歳未勝利",IF(ISNUMBER(SEARCH("未勝利",Z1998)),"その他未勝利",IF(ISNUMBER(SEARCH("G1",Z1998)),"G1",IF(ISNUMBER(SEARCH("G2",Z1998)),"G2",IF(ISNUMBER(SEARCH("G3",Z1998)),"G3",IF(ISNUMBER(SEARCH("古馬条件",Z1998)),"古馬条件戦",IF(ISNUMBER(SEARCH("重賞",Z1998)),"重賞","分類不能")))))))))</f>
        <v/>
      </c>
    </row>
    <row r="1999" customFormat="false" ht="15.75" hidden="false" customHeight="false" outlineLevel="0" collapsed="false">
      <c r="AO1999" s="8" t="str">
        <f aca="false">IF(A1999="","",IF(COUNTIFS(全馬データ!$A$2:$A$50000,A1999,全馬データ!$B$2:$B$50000,B1999,全馬データ!$C$2:$C$50000,C1999,全馬データ!$D$2:$D$50000,E1999,全馬データ!$K$2:$K$50000,"&lt;&gt;")=0,"",SUMIFS(全馬データ!$K$2:$K$50000,全馬データ!$A$2:$A$50000,A1999,全馬データ!$B$2:$B$50000,B1999,全馬データ!$C$2:$C$50000,C1999,全馬データ!$D$2:$D$50000,E1999)))</f>
        <v/>
      </c>
      <c r="AP1999" s="8" t="str">
        <f aca="false">IF(A1999="","",IF(AO1999="","欠損",IF(AO1999&lt;=1.1,"1.0～1.1",IF(AO1999&lt;1.3,"1.2",IF(AO1999&lt;1.5,"1.3～1.4",IF(AO1999&lt;2,"1.5～1.9","2.0以上"))))))</f>
        <v/>
      </c>
      <c r="AQ1999" s="8" t="str">
        <f aca="false">IF(A1999="","",IF(ISNUMBER(SEARCH("2歳",Z1999)),"2歳戦",IF(ISNUMBER(SEARCH("3歳未勝利",Z1999)),"3歳未勝利",IF(ISNUMBER(SEARCH("未勝利",Z1999)),"その他未勝利",IF(ISNUMBER(SEARCH("G1",Z1999)),"G1",IF(ISNUMBER(SEARCH("G2",Z1999)),"G2",IF(ISNUMBER(SEARCH("G3",Z1999)),"G3",IF(ISNUMBER(SEARCH("古馬条件",Z1999)),"古馬条件戦",IF(ISNUMBER(SEARCH("重賞",Z1999)),"重賞","分類不能")))))))))</f>
        <v/>
      </c>
    </row>
    <row r="2000" customFormat="false" ht="15.75" hidden="false" customHeight="false" outlineLevel="0" collapsed="false">
      <c r="AO2000" s="8" t="str">
        <f aca="false">IF(A2000="","",IF(COUNTIFS(全馬データ!$A$2:$A$50000,A2000,全馬データ!$B$2:$B$50000,B2000,全馬データ!$C$2:$C$50000,C2000,全馬データ!$D$2:$D$50000,E2000,全馬データ!$K$2:$K$50000,"&lt;&gt;")=0,"",SUMIFS(全馬データ!$K$2:$K$50000,全馬データ!$A$2:$A$50000,A2000,全馬データ!$B$2:$B$50000,B2000,全馬データ!$C$2:$C$50000,C2000,全馬データ!$D$2:$D$50000,E2000)))</f>
        <v/>
      </c>
      <c r="AP2000" s="8" t="str">
        <f aca="false">IF(A2000="","",IF(AO2000="","欠損",IF(AO2000&lt;=1.1,"1.0～1.1",IF(AO2000&lt;1.3,"1.2",IF(AO2000&lt;1.5,"1.3～1.4",IF(AO2000&lt;2,"1.5～1.9","2.0以上"))))))</f>
        <v/>
      </c>
      <c r="AQ2000" s="8" t="str">
        <f aca="false">IF(A2000="","",IF(ISNUMBER(SEARCH("2歳",Z2000)),"2歳戦",IF(ISNUMBER(SEARCH("3歳未勝利",Z2000)),"3歳未勝利",IF(ISNUMBER(SEARCH("未勝利",Z2000)),"その他未勝利",IF(ISNUMBER(SEARCH("G1",Z2000)),"G1",IF(ISNUMBER(SEARCH("G2",Z2000)),"G2",IF(ISNUMBER(SEARCH("G3",Z2000)),"G3",IF(ISNUMBER(SEARCH("古馬条件",Z2000)),"古馬条件戦",IF(ISNUMBER(SEARCH("重賞",Z2000)),"重賞","分類不能")))))))))</f>
        <v/>
      </c>
    </row>
    <row r="2001" customFormat="false" ht="15.75" hidden="false" customHeight="false" outlineLevel="0" collapsed="false">
      <c r="AO2001" s="8" t="str">
        <f aca="false">IF(A2001="","",IF(COUNTIFS(全馬データ!$A$2:$A$50000,A2001,全馬データ!$B$2:$B$50000,B2001,全馬データ!$C$2:$C$50000,C2001,全馬データ!$D$2:$D$50000,E2001,全馬データ!$K$2:$K$50000,"&lt;&gt;")=0,"",SUMIFS(全馬データ!$K$2:$K$50000,全馬データ!$A$2:$A$50000,A2001,全馬データ!$B$2:$B$50000,B2001,全馬データ!$C$2:$C$50000,C2001,全馬データ!$D$2:$D$50000,E2001)))</f>
        <v/>
      </c>
      <c r="AP2001" s="8" t="str">
        <f aca="false">IF(A2001="","",IF(AO2001="","欠損",IF(AO2001&lt;=1.1,"1.0～1.1",IF(AO2001&lt;1.3,"1.2",IF(AO2001&lt;1.5,"1.3～1.4",IF(AO2001&lt;2,"1.5～1.9","2.0以上"))))))</f>
        <v/>
      </c>
      <c r="AQ2001" s="8" t="str">
        <f aca="false">IF(A2001="","",IF(ISNUMBER(SEARCH("2歳",Z2001)),"2歳戦",IF(ISNUMBER(SEARCH("3歳未勝利",Z2001)),"3歳未勝利",IF(ISNUMBER(SEARCH("未勝利",Z2001)),"その他未勝利",IF(ISNUMBER(SEARCH("G1",Z2001)),"G1",IF(ISNUMBER(SEARCH("G2",Z2001)),"G2",IF(ISNUMBER(SEARCH("G3",Z2001)),"G3",IF(ISNUMBER(SEARCH("古馬条件",Z2001)),"古馬条件戦",IF(ISNUMBER(SEARCH("重賞",Z2001)),"重賞","分類不能")))))))))</f>
        <v/>
      </c>
    </row>
    <row r="2002" customFormat="false" ht="15.75" hidden="false" customHeight="false" outlineLevel="0" collapsed="false">
      <c r="AO2002" s="8" t="str">
        <f aca="false">IF(A2002="","",IF(COUNTIFS(全馬データ!$A$2:$A$50000,A2002,全馬データ!$B$2:$B$50000,B2002,全馬データ!$C$2:$C$50000,C2002,全馬データ!$D$2:$D$50000,E2002,全馬データ!$K$2:$K$50000,"&lt;&gt;")=0,"",SUMIFS(全馬データ!$K$2:$K$50000,全馬データ!$A$2:$A$50000,A2002,全馬データ!$B$2:$B$50000,B2002,全馬データ!$C$2:$C$50000,C2002,全馬データ!$D$2:$D$50000,E2002)))</f>
        <v/>
      </c>
      <c r="AP2002" s="8" t="str">
        <f aca="false">IF(A2002="","",IF(AO2002="","欠損",IF(AO2002&lt;=1.1,"1.0～1.1",IF(AO2002&lt;1.3,"1.2",IF(AO2002&lt;1.5,"1.3～1.4",IF(AO2002&lt;2,"1.5～1.9","2.0以上"))))))</f>
        <v/>
      </c>
      <c r="AQ2002" s="8" t="str">
        <f aca="false">IF(A2002="","",IF(ISNUMBER(SEARCH("2歳",Z2002)),"2歳戦",IF(ISNUMBER(SEARCH("3歳未勝利",Z2002)),"3歳未勝利",IF(ISNUMBER(SEARCH("未勝利",Z2002)),"その他未勝利",IF(ISNUMBER(SEARCH("G1",Z2002)),"G1",IF(ISNUMBER(SEARCH("G2",Z2002)),"G2",IF(ISNUMBER(SEARCH("G3",Z2002)),"G3",IF(ISNUMBER(SEARCH("古馬条件",Z2002)),"古馬条件戦",IF(ISNUMBER(SEARCH("重賞",Z2002)),"重賞","分類不能")))))))))</f>
        <v/>
      </c>
    </row>
    <row r="2003" customFormat="false" ht="15.75" hidden="false" customHeight="false" outlineLevel="0" collapsed="false">
      <c r="AO2003" s="8" t="str">
        <f aca="false">IF(A2003="","",IF(COUNTIFS(全馬データ!$A$2:$A$50000,A2003,全馬データ!$B$2:$B$50000,B2003,全馬データ!$C$2:$C$50000,C2003,全馬データ!$D$2:$D$50000,E2003,全馬データ!$K$2:$K$50000,"&lt;&gt;")=0,"",SUMIFS(全馬データ!$K$2:$K$50000,全馬データ!$A$2:$A$50000,A2003,全馬データ!$B$2:$B$50000,B2003,全馬データ!$C$2:$C$50000,C2003,全馬データ!$D$2:$D$50000,E2003)))</f>
        <v/>
      </c>
      <c r="AP2003" s="8" t="str">
        <f aca="false">IF(A2003="","",IF(AO2003="","欠損",IF(AO2003&lt;=1.1,"1.0～1.1",IF(AO2003&lt;1.3,"1.2",IF(AO2003&lt;1.5,"1.3～1.4",IF(AO2003&lt;2,"1.5～1.9","2.0以上"))))))</f>
        <v/>
      </c>
      <c r="AQ2003" s="8" t="str">
        <f aca="false">IF(A2003="","",IF(ISNUMBER(SEARCH("2歳",Z2003)),"2歳戦",IF(ISNUMBER(SEARCH("3歳未勝利",Z2003)),"3歳未勝利",IF(ISNUMBER(SEARCH("未勝利",Z2003)),"その他未勝利",IF(ISNUMBER(SEARCH("G1",Z2003)),"G1",IF(ISNUMBER(SEARCH("G2",Z2003)),"G2",IF(ISNUMBER(SEARCH("G3",Z2003)),"G3",IF(ISNUMBER(SEARCH("古馬条件",Z2003)),"古馬条件戦",IF(ISNUMBER(SEARCH("重賞",Z2003)),"重賞","分類不能")))))))))</f>
        <v/>
      </c>
    </row>
    <row r="2004" customFormat="false" ht="15.75" hidden="false" customHeight="false" outlineLevel="0" collapsed="false">
      <c r="AO2004" s="8" t="str">
        <f aca="false">IF(A2004="","",IF(COUNTIFS(全馬データ!$A$2:$A$50000,A2004,全馬データ!$B$2:$B$50000,B2004,全馬データ!$C$2:$C$50000,C2004,全馬データ!$D$2:$D$50000,E2004,全馬データ!$K$2:$K$50000,"&lt;&gt;")=0,"",SUMIFS(全馬データ!$K$2:$K$50000,全馬データ!$A$2:$A$50000,A2004,全馬データ!$B$2:$B$50000,B2004,全馬データ!$C$2:$C$50000,C2004,全馬データ!$D$2:$D$50000,E2004)))</f>
        <v/>
      </c>
      <c r="AP2004" s="8" t="str">
        <f aca="false">IF(A2004="","",IF(AO2004="","欠損",IF(AO2004&lt;=1.1,"1.0～1.1",IF(AO2004&lt;1.3,"1.2",IF(AO2004&lt;1.5,"1.3～1.4",IF(AO2004&lt;2,"1.5～1.9","2.0以上"))))))</f>
        <v/>
      </c>
      <c r="AQ2004" s="8" t="str">
        <f aca="false">IF(A2004="","",IF(ISNUMBER(SEARCH("2歳",Z2004)),"2歳戦",IF(ISNUMBER(SEARCH("3歳未勝利",Z2004)),"3歳未勝利",IF(ISNUMBER(SEARCH("未勝利",Z2004)),"その他未勝利",IF(ISNUMBER(SEARCH("G1",Z2004)),"G1",IF(ISNUMBER(SEARCH("G2",Z2004)),"G2",IF(ISNUMBER(SEARCH("G3",Z2004)),"G3",IF(ISNUMBER(SEARCH("古馬条件",Z2004)),"古馬条件戦",IF(ISNUMBER(SEARCH("重賞",Z2004)),"重賞","分類不能")))))))))</f>
        <v/>
      </c>
    </row>
    <row r="2005" customFormat="false" ht="15.75" hidden="false" customHeight="false" outlineLevel="0" collapsed="false">
      <c r="AO2005" s="8" t="str">
        <f aca="false">IF(A2005="","",IF(COUNTIFS(全馬データ!$A$2:$A$50000,A2005,全馬データ!$B$2:$B$50000,B2005,全馬データ!$C$2:$C$50000,C2005,全馬データ!$D$2:$D$50000,E2005,全馬データ!$K$2:$K$50000,"&lt;&gt;")=0,"",SUMIFS(全馬データ!$K$2:$K$50000,全馬データ!$A$2:$A$50000,A2005,全馬データ!$B$2:$B$50000,B2005,全馬データ!$C$2:$C$50000,C2005,全馬データ!$D$2:$D$50000,E2005)))</f>
        <v/>
      </c>
      <c r="AP2005" s="8" t="str">
        <f aca="false">IF(A2005="","",IF(AO2005="","欠損",IF(AO2005&lt;=1.1,"1.0～1.1",IF(AO2005&lt;1.3,"1.2",IF(AO2005&lt;1.5,"1.3～1.4",IF(AO2005&lt;2,"1.5～1.9","2.0以上"))))))</f>
        <v/>
      </c>
      <c r="AQ2005" s="8" t="str">
        <f aca="false">IF(A2005="","",IF(ISNUMBER(SEARCH("2歳",Z2005)),"2歳戦",IF(ISNUMBER(SEARCH("3歳未勝利",Z2005)),"3歳未勝利",IF(ISNUMBER(SEARCH("未勝利",Z2005)),"その他未勝利",IF(ISNUMBER(SEARCH("G1",Z2005)),"G1",IF(ISNUMBER(SEARCH("G2",Z2005)),"G2",IF(ISNUMBER(SEARCH("G3",Z2005)),"G3",IF(ISNUMBER(SEARCH("古馬条件",Z2005)),"古馬条件戦",IF(ISNUMBER(SEARCH("重賞",Z2005)),"重賞","分類不能")))))))))</f>
        <v/>
      </c>
    </row>
    <row r="2006" customFormat="false" ht="15.75" hidden="false" customHeight="false" outlineLevel="0" collapsed="false">
      <c r="AO2006" s="8" t="str">
        <f aca="false">IF(A2006="","",IF(COUNTIFS(全馬データ!$A$2:$A$50000,A2006,全馬データ!$B$2:$B$50000,B2006,全馬データ!$C$2:$C$50000,C2006,全馬データ!$D$2:$D$50000,E2006,全馬データ!$K$2:$K$50000,"&lt;&gt;")=0,"",SUMIFS(全馬データ!$K$2:$K$50000,全馬データ!$A$2:$A$50000,A2006,全馬データ!$B$2:$B$50000,B2006,全馬データ!$C$2:$C$50000,C2006,全馬データ!$D$2:$D$50000,E2006)))</f>
        <v/>
      </c>
      <c r="AP2006" s="8" t="str">
        <f aca="false">IF(A2006="","",IF(AO2006="","欠損",IF(AO2006&lt;=1.1,"1.0～1.1",IF(AO2006&lt;1.3,"1.2",IF(AO2006&lt;1.5,"1.3～1.4",IF(AO2006&lt;2,"1.5～1.9","2.0以上"))))))</f>
        <v/>
      </c>
      <c r="AQ2006" s="8" t="str">
        <f aca="false">IF(A2006="","",IF(ISNUMBER(SEARCH("2歳",Z2006)),"2歳戦",IF(ISNUMBER(SEARCH("3歳未勝利",Z2006)),"3歳未勝利",IF(ISNUMBER(SEARCH("未勝利",Z2006)),"その他未勝利",IF(ISNUMBER(SEARCH("G1",Z2006)),"G1",IF(ISNUMBER(SEARCH("G2",Z2006)),"G2",IF(ISNUMBER(SEARCH("G3",Z2006)),"G3",IF(ISNUMBER(SEARCH("古馬条件",Z2006)),"古馬条件戦",IF(ISNUMBER(SEARCH("重賞",Z2006)),"重賞","分類不能")))))))))</f>
        <v/>
      </c>
    </row>
    <row r="2007" customFormat="false" ht="15.75" hidden="false" customHeight="false" outlineLevel="0" collapsed="false">
      <c r="AO2007" s="8" t="str">
        <f aca="false">IF(A2007="","",IF(COUNTIFS(全馬データ!$A$2:$A$50000,A2007,全馬データ!$B$2:$B$50000,B2007,全馬データ!$C$2:$C$50000,C2007,全馬データ!$D$2:$D$50000,E2007,全馬データ!$K$2:$K$50000,"&lt;&gt;")=0,"",SUMIFS(全馬データ!$K$2:$K$50000,全馬データ!$A$2:$A$50000,A2007,全馬データ!$B$2:$B$50000,B2007,全馬データ!$C$2:$C$50000,C2007,全馬データ!$D$2:$D$50000,E2007)))</f>
        <v/>
      </c>
      <c r="AP2007" s="8" t="str">
        <f aca="false">IF(A2007="","",IF(AO2007="","欠損",IF(AO2007&lt;=1.1,"1.0～1.1",IF(AO2007&lt;1.3,"1.2",IF(AO2007&lt;1.5,"1.3～1.4",IF(AO2007&lt;2,"1.5～1.9","2.0以上"))))))</f>
        <v/>
      </c>
      <c r="AQ2007" s="8" t="str">
        <f aca="false">IF(A2007="","",IF(ISNUMBER(SEARCH("2歳",Z2007)),"2歳戦",IF(ISNUMBER(SEARCH("3歳未勝利",Z2007)),"3歳未勝利",IF(ISNUMBER(SEARCH("未勝利",Z2007)),"その他未勝利",IF(ISNUMBER(SEARCH("G1",Z2007)),"G1",IF(ISNUMBER(SEARCH("G2",Z2007)),"G2",IF(ISNUMBER(SEARCH("G3",Z2007)),"G3",IF(ISNUMBER(SEARCH("古馬条件",Z2007)),"古馬条件戦",IF(ISNUMBER(SEARCH("重賞",Z2007)),"重賞","分類不能")))))))))</f>
        <v/>
      </c>
    </row>
    <row r="2008" customFormat="false" ht="15.75" hidden="false" customHeight="false" outlineLevel="0" collapsed="false">
      <c r="AO2008" s="8" t="str">
        <f aca="false">IF(A2008="","",IF(COUNTIFS(全馬データ!$A$2:$A$50000,A2008,全馬データ!$B$2:$B$50000,B2008,全馬データ!$C$2:$C$50000,C2008,全馬データ!$D$2:$D$50000,E2008,全馬データ!$K$2:$K$50000,"&lt;&gt;")=0,"",SUMIFS(全馬データ!$K$2:$K$50000,全馬データ!$A$2:$A$50000,A2008,全馬データ!$B$2:$B$50000,B2008,全馬データ!$C$2:$C$50000,C2008,全馬データ!$D$2:$D$50000,E2008)))</f>
        <v/>
      </c>
      <c r="AP2008" s="8" t="str">
        <f aca="false">IF(A2008="","",IF(AO2008="","欠損",IF(AO2008&lt;=1.1,"1.0～1.1",IF(AO2008&lt;1.3,"1.2",IF(AO2008&lt;1.5,"1.3～1.4",IF(AO2008&lt;2,"1.5～1.9","2.0以上"))))))</f>
        <v/>
      </c>
      <c r="AQ2008" s="8" t="str">
        <f aca="false">IF(A2008="","",IF(ISNUMBER(SEARCH("2歳",Z2008)),"2歳戦",IF(ISNUMBER(SEARCH("3歳未勝利",Z2008)),"3歳未勝利",IF(ISNUMBER(SEARCH("未勝利",Z2008)),"その他未勝利",IF(ISNUMBER(SEARCH("G1",Z2008)),"G1",IF(ISNUMBER(SEARCH("G2",Z2008)),"G2",IF(ISNUMBER(SEARCH("G3",Z2008)),"G3",IF(ISNUMBER(SEARCH("古馬条件",Z2008)),"古馬条件戦",IF(ISNUMBER(SEARCH("重賞",Z2008)),"重賞","分類不能")))))))))</f>
        <v/>
      </c>
    </row>
    <row r="2009" customFormat="false" ht="15.75" hidden="false" customHeight="false" outlineLevel="0" collapsed="false">
      <c r="AO2009" s="8" t="str">
        <f aca="false">IF(A2009="","",IF(COUNTIFS(全馬データ!$A$2:$A$50000,A2009,全馬データ!$B$2:$B$50000,B2009,全馬データ!$C$2:$C$50000,C2009,全馬データ!$D$2:$D$50000,E2009,全馬データ!$K$2:$K$50000,"&lt;&gt;")=0,"",SUMIFS(全馬データ!$K$2:$K$50000,全馬データ!$A$2:$A$50000,A2009,全馬データ!$B$2:$B$50000,B2009,全馬データ!$C$2:$C$50000,C2009,全馬データ!$D$2:$D$50000,E2009)))</f>
        <v/>
      </c>
      <c r="AP2009" s="8" t="str">
        <f aca="false">IF(A2009="","",IF(AO2009="","欠損",IF(AO2009&lt;=1.1,"1.0～1.1",IF(AO2009&lt;1.3,"1.2",IF(AO2009&lt;1.5,"1.3～1.4",IF(AO2009&lt;2,"1.5～1.9","2.0以上"))))))</f>
        <v/>
      </c>
      <c r="AQ2009" s="8" t="str">
        <f aca="false">IF(A2009="","",IF(ISNUMBER(SEARCH("2歳",Z2009)),"2歳戦",IF(ISNUMBER(SEARCH("3歳未勝利",Z2009)),"3歳未勝利",IF(ISNUMBER(SEARCH("未勝利",Z2009)),"その他未勝利",IF(ISNUMBER(SEARCH("G1",Z2009)),"G1",IF(ISNUMBER(SEARCH("G2",Z2009)),"G2",IF(ISNUMBER(SEARCH("G3",Z2009)),"G3",IF(ISNUMBER(SEARCH("古馬条件",Z2009)),"古馬条件戦",IF(ISNUMBER(SEARCH("重賞",Z2009)),"重賞","分類不能")))))))))</f>
        <v/>
      </c>
    </row>
    <row r="2010" customFormat="false" ht="15.75" hidden="false" customHeight="false" outlineLevel="0" collapsed="false">
      <c r="AO2010" s="8" t="str">
        <f aca="false">IF(A2010="","",IF(COUNTIFS(全馬データ!$A$2:$A$50000,A2010,全馬データ!$B$2:$B$50000,B2010,全馬データ!$C$2:$C$50000,C2010,全馬データ!$D$2:$D$50000,E2010,全馬データ!$K$2:$K$50000,"&lt;&gt;")=0,"",SUMIFS(全馬データ!$K$2:$K$50000,全馬データ!$A$2:$A$50000,A2010,全馬データ!$B$2:$B$50000,B2010,全馬データ!$C$2:$C$50000,C2010,全馬データ!$D$2:$D$50000,E2010)))</f>
        <v/>
      </c>
      <c r="AP2010" s="8" t="str">
        <f aca="false">IF(A2010="","",IF(AO2010="","欠損",IF(AO2010&lt;=1.1,"1.0～1.1",IF(AO2010&lt;1.3,"1.2",IF(AO2010&lt;1.5,"1.3～1.4",IF(AO2010&lt;2,"1.5～1.9","2.0以上"))))))</f>
        <v/>
      </c>
      <c r="AQ2010" s="8" t="str">
        <f aca="false">IF(A2010="","",IF(ISNUMBER(SEARCH("2歳",Z2010)),"2歳戦",IF(ISNUMBER(SEARCH("3歳未勝利",Z2010)),"3歳未勝利",IF(ISNUMBER(SEARCH("未勝利",Z2010)),"その他未勝利",IF(ISNUMBER(SEARCH("G1",Z2010)),"G1",IF(ISNUMBER(SEARCH("G2",Z2010)),"G2",IF(ISNUMBER(SEARCH("G3",Z2010)),"G3",IF(ISNUMBER(SEARCH("古馬条件",Z2010)),"古馬条件戦",IF(ISNUMBER(SEARCH("重賞",Z2010)),"重賞","分類不能")))))))))</f>
        <v/>
      </c>
    </row>
    <row r="2011" customFormat="false" ht="15.75" hidden="false" customHeight="false" outlineLevel="0" collapsed="false">
      <c r="AO2011" s="8" t="str">
        <f aca="false">IF(A2011="","",IF(COUNTIFS(全馬データ!$A$2:$A$50000,A2011,全馬データ!$B$2:$B$50000,B2011,全馬データ!$C$2:$C$50000,C2011,全馬データ!$D$2:$D$50000,E2011,全馬データ!$K$2:$K$50000,"&lt;&gt;")=0,"",SUMIFS(全馬データ!$K$2:$K$50000,全馬データ!$A$2:$A$50000,A2011,全馬データ!$B$2:$B$50000,B2011,全馬データ!$C$2:$C$50000,C2011,全馬データ!$D$2:$D$50000,E2011)))</f>
        <v/>
      </c>
      <c r="AP2011" s="8" t="str">
        <f aca="false">IF(A2011="","",IF(AO2011="","欠損",IF(AO2011&lt;=1.1,"1.0～1.1",IF(AO2011&lt;1.3,"1.2",IF(AO2011&lt;1.5,"1.3～1.4",IF(AO2011&lt;2,"1.5～1.9","2.0以上"))))))</f>
        <v/>
      </c>
      <c r="AQ2011" s="8" t="str">
        <f aca="false">IF(A2011="","",IF(ISNUMBER(SEARCH("2歳",Z2011)),"2歳戦",IF(ISNUMBER(SEARCH("3歳未勝利",Z2011)),"3歳未勝利",IF(ISNUMBER(SEARCH("未勝利",Z2011)),"その他未勝利",IF(ISNUMBER(SEARCH("G1",Z2011)),"G1",IF(ISNUMBER(SEARCH("G2",Z2011)),"G2",IF(ISNUMBER(SEARCH("G3",Z2011)),"G3",IF(ISNUMBER(SEARCH("古馬条件",Z2011)),"古馬条件戦",IF(ISNUMBER(SEARCH("重賞",Z2011)),"重賞","分類不能")))))))))</f>
        <v/>
      </c>
    </row>
    <row r="2012" customFormat="false" ht="15.75" hidden="false" customHeight="false" outlineLevel="0" collapsed="false">
      <c r="AO2012" s="8" t="str">
        <f aca="false">IF(A2012="","",IF(COUNTIFS(全馬データ!$A$2:$A$50000,A2012,全馬データ!$B$2:$B$50000,B2012,全馬データ!$C$2:$C$50000,C2012,全馬データ!$D$2:$D$50000,E2012,全馬データ!$K$2:$K$50000,"&lt;&gt;")=0,"",SUMIFS(全馬データ!$K$2:$K$50000,全馬データ!$A$2:$A$50000,A2012,全馬データ!$B$2:$B$50000,B2012,全馬データ!$C$2:$C$50000,C2012,全馬データ!$D$2:$D$50000,E2012)))</f>
        <v/>
      </c>
      <c r="AP2012" s="8" t="str">
        <f aca="false">IF(A2012="","",IF(AO2012="","欠損",IF(AO2012&lt;=1.1,"1.0～1.1",IF(AO2012&lt;1.3,"1.2",IF(AO2012&lt;1.5,"1.3～1.4",IF(AO2012&lt;2,"1.5～1.9","2.0以上"))))))</f>
        <v/>
      </c>
      <c r="AQ2012" s="8" t="str">
        <f aca="false">IF(A2012="","",IF(ISNUMBER(SEARCH("2歳",Z2012)),"2歳戦",IF(ISNUMBER(SEARCH("3歳未勝利",Z2012)),"3歳未勝利",IF(ISNUMBER(SEARCH("未勝利",Z2012)),"その他未勝利",IF(ISNUMBER(SEARCH("G1",Z2012)),"G1",IF(ISNUMBER(SEARCH("G2",Z2012)),"G2",IF(ISNUMBER(SEARCH("G3",Z2012)),"G3",IF(ISNUMBER(SEARCH("古馬条件",Z2012)),"古馬条件戦",IF(ISNUMBER(SEARCH("重賞",Z2012)),"重賞","分類不能")))))))))</f>
        <v/>
      </c>
    </row>
    <row r="2013" customFormat="false" ht="15.75" hidden="false" customHeight="false" outlineLevel="0" collapsed="false">
      <c r="AO2013" s="8" t="str">
        <f aca="false">IF(A2013="","",IF(COUNTIFS(全馬データ!$A$2:$A$50000,A2013,全馬データ!$B$2:$B$50000,B2013,全馬データ!$C$2:$C$50000,C2013,全馬データ!$D$2:$D$50000,E2013,全馬データ!$K$2:$K$50000,"&lt;&gt;")=0,"",SUMIFS(全馬データ!$K$2:$K$50000,全馬データ!$A$2:$A$50000,A2013,全馬データ!$B$2:$B$50000,B2013,全馬データ!$C$2:$C$50000,C2013,全馬データ!$D$2:$D$50000,E2013)))</f>
        <v/>
      </c>
      <c r="AP2013" s="8" t="str">
        <f aca="false">IF(A2013="","",IF(AO2013="","欠損",IF(AO2013&lt;=1.1,"1.0～1.1",IF(AO2013&lt;1.3,"1.2",IF(AO2013&lt;1.5,"1.3～1.4",IF(AO2013&lt;2,"1.5～1.9","2.0以上"))))))</f>
        <v/>
      </c>
      <c r="AQ2013" s="8" t="str">
        <f aca="false">IF(A2013="","",IF(ISNUMBER(SEARCH("2歳",Z2013)),"2歳戦",IF(ISNUMBER(SEARCH("3歳未勝利",Z2013)),"3歳未勝利",IF(ISNUMBER(SEARCH("未勝利",Z2013)),"その他未勝利",IF(ISNUMBER(SEARCH("G1",Z2013)),"G1",IF(ISNUMBER(SEARCH("G2",Z2013)),"G2",IF(ISNUMBER(SEARCH("G3",Z2013)),"G3",IF(ISNUMBER(SEARCH("古馬条件",Z2013)),"古馬条件戦",IF(ISNUMBER(SEARCH("重賞",Z2013)),"重賞","分類不能")))))))))</f>
        <v/>
      </c>
    </row>
    <row r="2014" customFormat="false" ht="15.75" hidden="false" customHeight="false" outlineLevel="0" collapsed="false">
      <c r="AO2014" s="8" t="str">
        <f aca="false">IF(A2014="","",IF(COUNTIFS(全馬データ!$A$2:$A$50000,A2014,全馬データ!$B$2:$B$50000,B2014,全馬データ!$C$2:$C$50000,C2014,全馬データ!$D$2:$D$50000,E2014,全馬データ!$K$2:$K$50000,"&lt;&gt;")=0,"",SUMIFS(全馬データ!$K$2:$K$50000,全馬データ!$A$2:$A$50000,A2014,全馬データ!$B$2:$B$50000,B2014,全馬データ!$C$2:$C$50000,C2014,全馬データ!$D$2:$D$50000,E2014)))</f>
        <v/>
      </c>
      <c r="AP2014" s="8" t="str">
        <f aca="false">IF(A2014="","",IF(AO2014="","欠損",IF(AO2014&lt;=1.1,"1.0～1.1",IF(AO2014&lt;1.3,"1.2",IF(AO2014&lt;1.5,"1.3～1.4",IF(AO2014&lt;2,"1.5～1.9","2.0以上"))))))</f>
        <v/>
      </c>
      <c r="AQ2014" s="8" t="str">
        <f aca="false">IF(A2014="","",IF(ISNUMBER(SEARCH("2歳",Z2014)),"2歳戦",IF(ISNUMBER(SEARCH("3歳未勝利",Z2014)),"3歳未勝利",IF(ISNUMBER(SEARCH("未勝利",Z2014)),"その他未勝利",IF(ISNUMBER(SEARCH("G1",Z2014)),"G1",IF(ISNUMBER(SEARCH("G2",Z2014)),"G2",IF(ISNUMBER(SEARCH("G3",Z2014)),"G3",IF(ISNUMBER(SEARCH("古馬条件",Z2014)),"古馬条件戦",IF(ISNUMBER(SEARCH("重賞",Z2014)),"重賞","分類不能")))))))))</f>
        <v/>
      </c>
    </row>
    <row r="2015" customFormat="false" ht="15.75" hidden="false" customHeight="false" outlineLevel="0" collapsed="false">
      <c r="AO2015" s="8" t="str">
        <f aca="false">IF(A2015="","",IF(COUNTIFS(全馬データ!$A$2:$A$50000,A2015,全馬データ!$B$2:$B$50000,B2015,全馬データ!$C$2:$C$50000,C2015,全馬データ!$D$2:$D$50000,E2015,全馬データ!$K$2:$K$50000,"&lt;&gt;")=0,"",SUMIFS(全馬データ!$K$2:$K$50000,全馬データ!$A$2:$A$50000,A2015,全馬データ!$B$2:$B$50000,B2015,全馬データ!$C$2:$C$50000,C2015,全馬データ!$D$2:$D$50000,E2015)))</f>
        <v/>
      </c>
      <c r="AP2015" s="8" t="str">
        <f aca="false">IF(A2015="","",IF(AO2015="","欠損",IF(AO2015&lt;=1.1,"1.0～1.1",IF(AO2015&lt;1.3,"1.2",IF(AO2015&lt;1.5,"1.3～1.4",IF(AO2015&lt;2,"1.5～1.9","2.0以上"))))))</f>
        <v/>
      </c>
      <c r="AQ2015" s="8" t="str">
        <f aca="false">IF(A2015="","",IF(ISNUMBER(SEARCH("2歳",Z2015)),"2歳戦",IF(ISNUMBER(SEARCH("3歳未勝利",Z2015)),"3歳未勝利",IF(ISNUMBER(SEARCH("未勝利",Z2015)),"その他未勝利",IF(ISNUMBER(SEARCH("G1",Z2015)),"G1",IF(ISNUMBER(SEARCH("G2",Z2015)),"G2",IF(ISNUMBER(SEARCH("G3",Z2015)),"G3",IF(ISNUMBER(SEARCH("古馬条件",Z2015)),"古馬条件戦",IF(ISNUMBER(SEARCH("重賞",Z2015)),"重賞","分類不能")))))))))</f>
        <v/>
      </c>
    </row>
    <row r="2016" customFormat="false" ht="15.75" hidden="false" customHeight="false" outlineLevel="0" collapsed="false">
      <c r="AO2016" s="8" t="str">
        <f aca="false">IF(A2016="","",IF(COUNTIFS(全馬データ!$A$2:$A$50000,A2016,全馬データ!$B$2:$B$50000,B2016,全馬データ!$C$2:$C$50000,C2016,全馬データ!$D$2:$D$50000,E2016,全馬データ!$K$2:$K$50000,"&lt;&gt;")=0,"",SUMIFS(全馬データ!$K$2:$K$50000,全馬データ!$A$2:$A$50000,A2016,全馬データ!$B$2:$B$50000,B2016,全馬データ!$C$2:$C$50000,C2016,全馬データ!$D$2:$D$50000,E2016)))</f>
        <v/>
      </c>
      <c r="AP2016" s="8" t="str">
        <f aca="false">IF(A2016="","",IF(AO2016="","欠損",IF(AO2016&lt;=1.1,"1.0～1.1",IF(AO2016&lt;1.3,"1.2",IF(AO2016&lt;1.5,"1.3～1.4",IF(AO2016&lt;2,"1.5～1.9","2.0以上"))))))</f>
        <v/>
      </c>
      <c r="AQ2016" s="8" t="str">
        <f aca="false">IF(A2016="","",IF(ISNUMBER(SEARCH("2歳",Z2016)),"2歳戦",IF(ISNUMBER(SEARCH("3歳未勝利",Z2016)),"3歳未勝利",IF(ISNUMBER(SEARCH("未勝利",Z2016)),"その他未勝利",IF(ISNUMBER(SEARCH("G1",Z2016)),"G1",IF(ISNUMBER(SEARCH("G2",Z2016)),"G2",IF(ISNUMBER(SEARCH("G3",Z2016)),"G3",IF(ISNUMBER(SEARCH("古馬条件",Z2016)),"古馬条件戦",IF(ISNUMBER(SEARCH("重賞",Z2016)),"重賞","分類不能")))))))))</f>
        <v/>
      </c>
    </row>
    <row r="2017" customFormat="false" ht="15.75" hidden="false" customHeight="false" outlineLevel="0" collapsed="false">
      <c r="AO2017" s="8" t="str">
        <f aca="false">IF(A2017="","",IF(COUNTIFS(全馬データ!$A$2:$A$50000,A2017,全馬データ!$B$2:$B$50000,B2017,全馬データ!$C$2:$C$50000,C2017,全馬データ!$D$2:$D$50000,E2017,全馬データ!$K$2:$K$50000,"&lt;&gt;")=0,"",SUMIFS(全馬データ!$K$2:$K$50000,全馬データ!$A$2:$A$50000,A2017,全馬データ!$B$2:$B$50000,B2017,全馬データ!$C$2:$C$50000,C2017,全馬データ!$D$2:$D$50000,E2017)))</f>
        <v/>
      </c>
      <c r="AP2017" s="8" t="str">
        <f aca="false">IF(A2017="","",IF(AO2017="","欠損",IF(AO2017&lt;=1.1,"1.0～1.1",IF(AO2017&lt;1.3,"1.2",IF(AO2017&lt;1.5,"1.3～1.4",IF(AO2017&lt;2,"1.5～1.9","2.0以上"))))))</f>
        <v/>
      </c>
      <c r="AQ2017" s="8" t="str">
        <f aca="false">IF(A2017="","",IF(ISNUMBER(SEARCH("2歳",Z2017)),"2歳戦",IF(ISNUMBER(SEARCH("3歳未勝利",Z2017)),"3歳未勝利",IF(ISNUMBER(SEARCH("未勝利",Z2017)),"その他未勝利",IF(ISNUMBER(SEARCH("G1",Z2017)),"G1",IF(ISNUMBER(SEARCH("G2",Z2017)),"G2",IF(ISNUMBER(SEARCH("G3",Z2017)),"G3",IF(ISNUMBER(SEARCH("古馬条件",Z2017)),"古馬条件戦",IF(ISNUMBER(SEARCH("重賞",Z2017)),"重賞","分類不能")))))))))</f>
        <v/>
      </c>
    </row>
    <row r="2018" customFormat="false" ht="15.75" hidden="false" customHeight="false" outlineLevel="0" collapsed="false">
      <c r="AO2018" s="8" t="str">
        <f aca="false">IF(A2018="","",IF(COUNTIFS(全馬データ!$A$2:$A$50000,A2018,全馬データ!$B$2:$B$50000,B2018,全馬データ!$C$2:$C$50000,C2018,全馬データ!$D$2:$D$50000,E2018,全馬データ!$K$2:$K$50000,"&lt;&gt;")=0,"",SUMIFS(全馬データ!$K$2:$K$50000,全馬データ!$A$2:$A$50000,A2018,全馬データ!$B$2:$B$50000,B2018,全馬データ!$C$2:$C$50000,C2018,全馬データ!$D$2:$D$50000,E2018)))</f>
        <v/>
      </c>
      <c r="AP2018" s="8" t="str">
        <f aca="false">IF(A2018="","",IF(AO2018="","欠損",IF(AO2018&lt;=1.1,"1.0～1.1",IF(AO2018&lt;1.3,"1.2",IF(AO2018&lt;1.5,"1.3～1.4",IF(AO2018&lt;2,"1.5～1.9","2.0以上"))))))</f>
        <v/>
      </c>
      <c r="AQ2018" s="8" t="str">
        <f aca="false">IF(A2018="","",IF(ISNUMBER(SEARCH("2歳",Z2018)),"2歳戦",IF(ISNUMBER(SEARCH("3歳未勝利",Z2018)),"3歳未勝利",IF(ISNUMBER(SEARCH("未勝利",Z2018)),"その他未勝利",IF(ISNUMBER(SEARCH("G1",Z2018)),"G1",IF(ISNUMBER(SEARCH("G2",Z2018)),"G2",IF(ISNUMBER(SEARCH("G3",Z2018)),"G3",IF(ISNUMBER(SEARCH("古馬条件",Z2018)),"古馬条件戦",IF(ISNUMBER(SEARCH("重賞",Z2018)),"重賞","分類不能")))))))))</f>
        <v/>
      </c>
    </row>
    <row r="2019" customFormat="false" ht="15.75" hidden="false" customHeight="false" outlineLevel="0" collapsed="false">
      <c r="AO2019" s="8" t="str">
        <f aca="false">IF(A2019="","",IF(COUNTIFS(全馬データ!$A$2:$A$50000,A2019,全馬データ!$B$2:$B$50000,B2019,全馬データ!$C$2:$C$50000,C2019,全馬データ!$D$2:$D$50000,E2019,全馬データ!$K$2:$K$50000,"&lt;&gt;")=0,"",SUMIFS(全馬データ!$K$2:$K$50000,全馬データ!$A$2:$A$50000,A2019,全馬データ!$B$2:$B$50000,B2019,全馬データ!$C$2:$C$50000,C2019,全馬データ!$D$2:$D$50000,E2019)))</f>
        <v/>
      </c>
      <c r="AP2019" s="8" t="str">
        <f aca="false">IF(A2019="","",IF(AO2019="","欠損",IF(AO2019&lt;=1.1,"1.0～1.1",IF(AO2019&lt;1.3,"1.2",IF(AO2019&lt;1.5,"1.3～1.4",IF(AO2019&lt;2,"1.5～1.9","2.0以上"))))))</f>
        <v/>
      </c>
      <c r="AQ2019" s="8" t="str">
        <f aca="false">IF(A2019="","",IF(ISNUMBER(SEARCH("2歳",Z2019)),"2歳戦",IF(ISNUMBER(SEARCH("3歳未勝利",Z2019)),"3歳未勝利",IF(ISNUMBER(SEARCH("未勝利",Z2019)),"その他未勝利",IF(ISNUMBER(SEARCH("G1",Z2019)),"G1",IF(ISNUMBER(SEARCH("G2",Z2019)),"G2",IF(ISNUMBER(SEARCH("G3",Z2019)),"G3",IF(ISNUMBER(SEARCH("古馬条件",Z2019)),"古馬条件戦",IF(ISNUMBER(SEARCH("重賞",Z2019)),"重賞","分類不能")))))))))</f>
        <v/>
      </c>
    </row>
    <row r="2020" customFormat="false" ht="15.75" hidden="false" customHeight="false" outlineLevel="0" collapsed="false">
      <c r="AO2020" s="8" t="str">
        <f aca="false">IF(A2020="","",IF(COUNTIFS(全馬データ!$A$2:$A$50000,A2020,全馬データ!$B$2:$B$50000,B2020,全馬データ!$C$2:$C$50000,C2020,全馬データ!$D$2:$D$50000,E2020,全馬データ!$K$2:$K$50000,"&lt;&gt;")=0,"",SUMIFS(全馬データ!$K$2:$K$50000,全馬データ!$A$2:$A$50000,A2020,全馬データ!$B$2:$B$50000,B2020,全馬データ!$C$2:$C$50000,C2020,全馬データ!$D$2:$D$50000,E2020)))</f>
        <v/>
      </c>
      <c r="AP2020" s="8" t="str">
        <f aca="false">IF(A2020="","",IF(AO2020="","欠損",IF(AO2020&lt;=1.1,"1.0～1.1",IF(AO2020&lt;1.3,"1.2",IF(AO2020&lt;1.5,"1.3～1.4",IF(AO2020&lt;2,"1.5～1.9","2.0以上"))))))</f>
        <v/>
      </c>
      <c r="AQ2020" s="8" t="str">
        <f aca="false">IF(A2020="","",IF(ISNUMBER(SEARCH("2歳",Z2020)),"2歳戦",IF(ISNUMBER(SEARCH("3歳未勝利",Z2020)),"3歳未勝利",IF(ISNUMBER(SEARCH("未勝利",Z2020)),"その他未勝利",IF(ISNUMBER(SEARCH("G1",Z2020)),"G1",IF(ISNUMBER(SEARCH("G2",Z2020)),"G2",IF(ISNUMBER(SEARCH("G3",Z2020)),"G3",IF(ISNUMBER(SEARCH("古馬条件",Z2020)),"古馬条件戦",IF(ISNUMBER(SEARCH("重賞",Z2020)),"重賞","分類不能")))))))))</f>
        <v/>
      </c>
    </row>
    <row r="2021" customFormat="false" ht="15.75" hidden="false" customHeight="false" outlineLevel="0" collapsed="false">
      <c r="AO2021" s="8" t="str">
        <f aca="false">IF(A2021="","",IF(COUNTIFS(全馬データ!$A$2:$A$50000,A2021,全馬データ!$B$2:$B$50000,B2021,全馬データ!$C$2:$C$50000,C2021,全馬データ!$D$2:$D$50000,E2021,全馬データ!$K$2:$K$50000,"&lt;&gt;")=0,"",SUMIFS(全馬データ!$K$2:$K$50000,全馬データ!$A$2:$A$50000,A2021,全馬データ!$B$2:$B$50000,B2021,全馬データ!$C$2:$C$50000,C2021,全馬データ!$D$2:$D$50000,E2021)))</f>
        <v/>
      </c>
      <c r="AP2021" s="8" t="str">
        <f aca="false">IF(A2021="","",IF(AO2021="","欠損",IF(AO2021&lt;=1.1,"1.0～1.1",IF(AO2021&lt;1.3,"1.2",IF(AO2021&lt;1.5,"1.3～1.4",IF(AO2021&lt;2,"1.5～1.9","2.0以上"))))))</f>
        <v/>
      </c>
      <c r="AQ2021" s="8" t="str">
        <f aca="false">IF(A2021="","",IF(ISNUMBER(SEARCH("2歳",Z2021)),"2歳戦",IF(ISNUMBER(SEARCH("3歳未勝利",Z2021)),"3歳未勝利",IF(ISNUMBER(SEARCH("未勝利",Z2021)),"その他未勝利",IF(ISNUMBER(SEARCH("G1",Z2021)),"G1",IF(ISNUMBER(SEARCH("G2",Z2021)),"G2",IF(ISNUMBER(SEARCH("G3",Z2021)),"G3",IF(ISNUMBER(SEARCH("古馬条件",Z2021)),"古馬条件戦",IF(ISNUMBER(SEARCH("重賞",Z2021)),"重賞","分類不能")))))))))</f>
        <v/>
      </c>
    </row>
    <row r="2022" customFormat="false" ht="15.75" hidden="false" customHeight="false" outlineLevel="0" collapsed="false">
      <c r="AO2022" s="8" t="str">
        <f aca="false">IF(A2022="","",IF(COUNTIFS(全馬データ!$A$2:$A$50000,A2022,全馬データ!$B$2:$B$50000,B2022,全馬データ!$C$2:$C$50000,C2022,全馬データ!$D$2:$D$50000,E2022,全馬データ!$K$2:$K$50000,"&lt;&gt;")=0,"",SUMIFS(全馬データ!$K$2:$K$50000,全馬データ!$A$2:$A$50000,A2022,全馬データ!$B$2:$B$50000,B2022,全馬データ!$C$2:$C$50000,C2022,全馬データ!$D$2:$D$50000,E2022)))</f>
        <v/>
      </c>
      <c r="AP2022" s="8" t="str">
        <f aca="false">IF(A2022="","",IF(AO2022="","欠損",IF(AO2022&lt;=1.1,"1.0～1.1",IF(AO2022&lt;1.3,"1.2",IF(AO2022&lt;1.5,"1.3～1.4",IF(AO2022&lt;2,"1.5～1.9","2.0以上"))))))</f>
        <v/>
      </c>
      <c r="AQ2022" s="8" t="str">
        <f aca="false">IF(A2022="","",IF(ISNUMBER(SEARCH("2歳",Z2022)),"2歳戦",IF(ISNUMBER(SEARCH("3歳未勝利",Z2022)),"3歳未勝利",IF(ISNUMBER(SEARCH("未勝利",Z2022)),"その他未勝利",IF(ISNUMBER(SEARCH("G1",Z2022)),"G1",IF(ISNUMBER(SEARCH("G2",Z2022)),"G2",IF(ISNUMBER(SEARCH("G3",Z2022)),"G3",IF(ISNUMBER(SEARCH("古馬条件",Z2022)),"古馬条件戦",IF(ISNUMBER(SEARCH("重賞",Z2022)),"重賞","分類不能")))))))))</f>
        <v/>
      </c>
    </row>
    <row r="2023" customFormat="false" ht="15.75" hidden="false" customHeight="false" outlineLevel="0" collapsed="false">
      <c r="AO2023" s="8" t="str">
        <f aca="false">IF(A2023="","",IF(COUNTIFS(全馬データ!$A$2:$A$50000,A2023,全馬データ!$B$2:$B$50000,B2023,全馬データ!$C$2:$C$50000,C2023,全馬データ!$D$2:$D$50000,E2023,全馬データ!$K$2:$K$50000,"&lt;&gt;")=0,"",SUMIFS(全馬データ!$K$2:$K$50000,全馬データ!$A$2:$A$50000,A2023,全馬データ!$B$2:$B$50000,B2023,全馬データ!$C$2:$C$50000,C2023,全馬データ!$D$2:$D$50000,E2023)))</f>
        <v/>
      </c>
      <c r="AP2023" s="8" t="str">
        <f aca="false">IF(A2023="","",IF(AO2023="","欠損",IF(AO2023&lt;=1.1,"1.0～1.1",IF(AO2023&lt;1.3,"1.2",IF(AO2023&lt;1.5,"1.3～1.4",IF(AO2023&lt;2,"1.5～1.9","2.0以上"))))))</f>
        <v/>
      </c>
      <c r="AQ2023" s="8" t="str">
        <f aca="false">IF(A2023="","",IF(ISNUMBER(SEARCH("2歳",Z2023)),"2歳戦",IF(ISNUMBER(SEARCH("3歳未勝利",Z2023)),"3歳未勝利",IF(ISNUMBER(SEARCH("未勝利",Z2023)),"その他未勝利",IF(ISNUMBER(SEARCH("G1",Z2023)),"G1",IF(ISNUMBER(SEARCH("G2",Z2023)),"G2",IF(ISNUMBER(SEARCH("G3",Z2023)),"G3",IF(ISNUMBER(SEARCH("古馬条件",Z2023)),"古馬条件戦",IF(ISNUMBER(SEARCH("重賞",Z2023)),"重賞","分類不能")))))))))</f>
        <v/>
      </c>
    </row>
    <row r="2024" customFormat="false" ht="15.75" hidden="false" customHeight="false" outlineLevel="0" collapsed="false">
      <c r="AO2024" s="8" t="str">
        <f aca="false">IF(A2024="","",IF(COUNTIFS(全馬データ!$A$2:$A$50000,A2024,全馬データ!$B$2:$B$50000,B2024,全馬データ!$C$2:$C$50000,C2024,全馬データ!$D$2:$D$50000,E2024,全馬データ!$K$2:$K$50000,"&lt;&gt;")=0,"",SUMIFS(全馬データ!$K$2:$K$50000,全馬データ!$A$2:$A$50000,A2024,全馬データ!$B$2:$B$50000,B2024,全馬データ!$C$2:$C$50000,C2024,全馬データ!$D$2:$D$50000,E2024)))</f>
        <v/>
      </c>
      <c r="AP2024" s="8" t="str">
        <f aca="false">IF(A2024="","",IF(AO2024="","欠損",IF(AO2024&lt;=1.1,"1.0～1.1",IF(AO2024&lt;1.3,"1.2",IF(AO2024&lt;1.5,"1.3～1.4",IF(AO2024&lt;2,"1.5～1.9","2.0以上"))))))</f>
        <v/>
      </c>
      <c r="AQ2024" s="8" t="str">
        <f aca="false">IF(A2024="","",IF(ISNUMBER(SEARCH("2歳",Z2024)),"2歳戦",IF(ISNUMBER(SEARCH("3歳未勝利",Z2024)),"3歳未勝利",IF(ISNUMBER(SEARCH("未勝利",Z2024)),"その他未勝利",IF(ISNUMBER(SEARCH("G1",Z2024)),"G1",IF(ISNUMBER(SEARCH("G2",Z2024)),"G2",IF(ISNUMBER(SEARCH("G3",Z2024)),"G3",IF(ISNUMBER(SEARCH("古馬条件",Z2024)),"古馬条件戦",IF(ISNUMBER(SEARCH("重賞",Z2024)),"重賞","分類不能")))))))))</f>
        <v/>
      </c>
    </row>
    <row r="2025" customFormat="false" ht="15.75" hidden="false" customHeight="false" outlineLevel="0" collapsed="false">
      <c r="AO2025" s="8" t="str">
        <f aca="false">IF(A2025="","",IF(COUNTIFS(全馬データ!$A$2:$A$50000,A2025,全馬データ!$B$2:$B$50000,B2025,全馬データ!$C$2:$C$50000,C2025,全馬データ!$D$2:$D$50000,E2025,全馬データ!$K$2:$K$50000,"&lt;&gt;")=0,"",SUMIFS(全馬データ!$K$2:$K$50000,全馬データ!$A$2:$A$50000,A2025,全馬データ!$B$2:$B$50000,B2025,全馬データ!$C$2:$C$50000,C2025,全馬データ!$D$2:$D$50000,E2025)))</f>
        <v/>
      </c>
      <c r="AP2025" s="8" t="str">
        <f aca="false">IF(A2025="","",IF(AO2025="","欠損",IF(AO2025&lt;=1.1,"1.0～1.1",IF(AO2025&lt;1.3,"1.2",IF(AO2025&lt;1.5,"1.3～1.4",IF(AO2025&lt;2,"1.5～1.9","2.0以上"))))))</f>
        <v/>
      </c>
      <c r="AQ2025" s="8" t="str">
        <f aca="false">IF(A2025="","",IF(ISNUMBER(SEARCH("2歳",Z2025)),"2歳戦",IF(ISNUMBER(SEARCH("3歳未勝利",Z2025)),"3歳未勝利",IF(ISNUMBER(SEARCH("未勝利",Z2025)),"その他未勝利",IF(ISNUMBER(SEARCH("G1",Z2025)),"G1",IF(ISNUMBER(SEARCH("G2",Z2025)),"G2",IF(ISNUMBER(SEARCH("G3",Z2025)),"G3",IF(ISNUMBER(SEARCH("古馬条件",Z2025)),"古馬条件戦",IF(ISNUMBER(SEARCH("重賞",Z2025)),"重賞","分類不能")))))))))</f>
        <v/>
      </c>
    </row>
    <row r="2026" customFormat="false" ht="15.75" hidden="false" customHeight="false" outlineLevel="0" collapsed="false">
      <c r="AO2026" s="8" t="str">
        <f aca="false">IF(A2026="","",IF(COUNTIFS(全馬データ!$A$2:$A$50000,A2026,全馬データ!$B$2:$B$50000,B2026,全馬データ!$C$2:$C$50000,C2026,全馬データ!$D$2:$D$50000,E2026,全馬データ!$K$2:$K$50000,"&lt;&gt;")=0,"",SUMIFS(全馬データ!$K$2:$K$50000,全馬データ!$A$2:$A$50000,A2026,全馬データ!$B$2:$B$50000,B2026,全馬データ!$C$2:$C$50000,C2026,全馬データ!$D$2:$D$50000,E2026)))</f>
        <v/>
      </c>
      <c r="AP2026" s="8" t="str">
        <f aca="false">IF(A2026="","",IF(AO2026="","欠損",IF(AO2026&lt;=1.1,"1.0～1.1",IF(AO2026&lt;1.3,"1.2",IF(AO2026&lt;1.5,"1.3～1.4",IF(AO2026&lt;2,"1.5～1.9","2.0以上"))))))</f>
        <v/>
      </c>
      <c r="AQ2026" s="8" t="str">
        <f aca="false">IF(A2026="","",IF(ISNUMBER(SEARCH("2歳",Z2026)),"2歳戦",IF(ISNUMBER(SEARCH("3歳未勝利",Z2026)),"3歳未勝利",IF(ISNUMBER(SEARCH("未勝利",Z2026)),"その他未勝利",IF(ISNUMBER(SEARCH("G1",Z2026)),"G1",IF(ISNUMBER(SEARCH("G2",Z2026)),"G2",IF(ISNUMBER(SEARCH("G3",Z2026)),"G3",IF(ISNUMBER(SEARCH("古馬条件",Z2026)),"古馬条件戦",IF(ISNUMBER(SEARCH("重賞",Z2026)),"重賞","分類不能")))))))))</f>
        <v/>
      </c>
    </row>
    <row r="2027" customFormat="false" ht="15.75" hidden="false" customHeight="false" outlineLevel="0" collapsed="false">
      <c r="AO2027" s="8" t="str">
        <f aca="false">IF(A2027="","",IF(COUNTIFS(全馬データ!$A$2:$A$50000,A2027,全馬データ!$B$2:$B$50000,B2027,全馬データ!$C$2:$C$50000,C2027,全馬データ!$D$2:$D$50000,E2027,全馬データ!$K$2:$K$50000,"&lt;&gt;")=0,"",SUMIFS(全馬データ!$K$2:$K$50000,全馬データ!$A$2:$A$50000,A2027,全馬データ!$B$2:$B$50000,B2027,全馬データ!$C$2:$C$50000,C2027,全馬データ!$D$2:$D$50000,E2027)))</f>
        <v/>
      </c>
      <c r="AP2027" s="8" t="str">
        <f aca="false">IF(A2027="","",IF(AO2027="","欠損",IF(AO2027&lt;=1.1,"1.0～1.1",IF(AO2027&lt;1.3,"1.2",IF(AO2027&lt;1.5,"1.3～1.4",IF(AO2027&lt;2,"1.5～1.9","2.0以上"))))))</f>
        <v/>
      </c>
      <c r="AQ2027" s="8" t="str">
        <f aca="false">IF(A2027="","",IF(ISNUMBER(SEARCH("2歳",Z2027)),"2歳戦",IF(ISNUMBER(SEARCH("3歳未勝利",Z2027)),"3歳未勝利",IF(ISNUMBER(SEARCH("未勝利",Z2027)),"その他未勝利",IF(ISNUMBER(SEARCH("G1",Z2027)),"G1",IF(ISNUMBER(SEARCH("G2",Z2027)),"G2",IF(ISNUMBER(SEARCH("G3",Z2027)),"G3",IF(ISNUMBER(SEARCH("古馬条件",Z2027)),"古馬条件戦",IF(ISNUMBER(SEARCH("重賞",Z2027)),"重賞","分類不能")))))))))</f>
        <v/>
      </c>
    </row>
    <row r="2028" customFormat="false" ht="15.75" hidden="false" customHeight="false" outlineLevel="0" collapsed="false">
      <c r="AO2028" s="8" t="str">
        <f aca="false">IF(A2028="","",IF(COUNTIFS(全馬データ!$A$2:$A$50000,A2028,全馬データ!$B$2:$B$50000,B2028,全馬データ!$C$2:$C$50000,C2028,全馬データ!$D$2:$D$50000,E2028,全馬データ!$K$2:$K$50000,"&lt;&gt;")=0,"",SUMIFS(全馬データ!$K$2:$K$50000,全馬データ!$A$2:$A$50000,A2028,全馬データ!$B$2:$B$50000,B2028,全馬データ!$C$2:$C$50000,C2028,全馬データ!$D$2:$D$50000,E2028)))</f>
        <v/>
      </c>
      <c r="AP2028" s="8" t="str">
        <f aca="false">IF(A2028="","",IF(AO2028="","欠損",IF(AO2028&lt;=1.1,"1.0～1.1",IF(AO2028&lt;1.3,"1.2",IF(AO2028&lt;1.5,"1.3～1.4",IF(AO2028&lt;2,"1.5～1.9","2.0以上"))))))</f>
        <v/>
      </c>
      <c r="AQ2028" s="8" t="str">
        <f aca="false">IF(A2028="","",IF(ISNUMBER(SEARCH("2歳",Z2028)),"2歳戦",IF(ISNUMBER(SEARCH("3歳未勝利",Z2028)),"3歳未勝利",IF(ISNUMBER(SEARCH("未勝利",Z2028)),"その他未勝利",IF(ISNUMBER(SEARCH("G1",Z2028)),"G1",IF(ISNUMBER(SEARCH("G2",Z2028)),"G2",IF(ISNUMBER(SEARCH("G3",Z2028)),"G3",IF(ISNUMBER(SEARCH("古馬条件",Z2028)),"古馬条件戦",IF(ISNUMBER(SEARCH("重賞",Z2028)),"重賞","分類不能")))))))))</f>
        <v/>
      </c>
    </row>
    <row r="2029" customFormat="false" ht="15.75" hidden="false" customHeight="false" outlineLevel="0" collapsed="false">
      <c r="AO2029" s="8" t="str">
        <f aca="false">IF(A2029="","",IF(COUNTIFS(全馬データ!$A$2:$A$50000,A2029,全馬データ!$B$2:$B$50000,B2029,全馬データ!$C$2:$C$50000,C2029,全馬データ!$D$2:$D$50000,E2029,全馬データ!$K$2:$K$50000,"&lt;&gt;")=0,"",SUMIFS(全馬データ!$K$2:$K$50000,全馬データ!$A$2:$A$50000,A2029,全馬データ!$B$2:$B$50000,B2029,全馬データ!$C$2:$C$50000,C2029,全馬データ!$D$2:$D$50000,E2029)))</f>
        <v/>
      </c>
      <c r="AP2029" s="8" t="str">
        <f aca="false">IF(A2029="","",IF(AO2029="","欠損",IF(AO2029&lt;=1.1,"1.0～1.1",IF(AO2029&lt;1.3,"1.2",IF(AO2029&lt;1.5,"1.3～1.4",IF(AO2029&lt;2,"1.5～1.9","2.0以上"))))))</f>
        <v/>
      </c>
      <c r="AQ2029" s="8" t="str">
        <f aca="false">IF(A2029="","",IF(ISNUMBER(SEARCH("2歳",Z2029)),"2歳戦",IF(ISNUMBER(SEARCH("3歳未勝利",Z2029)),"3歳未勝利",IF(ISNUMBER(SEARCH("未勝利",Z2029)),"その他未勝利",IF(ISNUMBER(SEARCH("G1",Z2029)),"G1",IF(ISNUMBER(SEARCH("G2",Z2029)),"G2",IF(ISNUMBER(SEARCH("G3",Z2029)),"G3",IF(ISNUMBER(SEARCH("古馬条件",Z2029)),"古馬条件戦",IF(ISNUMBER(SEARCH("重賞",Z2029)),"重賞","分類不能")))))))))</f>
        <v/>
      </c>
    </row>
    <row r="2030" customFormat="false" ht="15.75" hidden="false" customHeight="false" outlineLevel="0" collapsed="false">
      <c r="AO2030" s="8" t="str">
        <f aca="false">IF(A2030="","",IF(COUNTIFS(全馬データ!$A$2:$A$50000,A2030,全馬データ!$B$2:$B$50000,B2030,全馬データ!$C$2:$C$50000,C2030,全馬データ!$D$2:$D$50000,E2030,全馬データ!$K$2:$K$50000,"&lt;&gt;")=0,"",SUMIFS(全馬データ!$K$2:$K$50000,全馬データ!$A$2:$A$50000,A2030,全馬データ!$B$2:$B$50000,B2030,全馬データ!$C$2:$C$50000,C2030,全馬データ!$D$2:$D$50000,E2030)))</f>
        <v/>
      </c>
      <c r="AP2030" s="8" t="str">
        <f aca="false">IF(A2030="","",IF(AO2030="","欠損",IF(AO2030&lt;=1.1,"1.0～1.1",IF(AO2030&lt;1.3,"1.2",IF(AO2030&lt;1.5,"1.3～1.4",IF(AO2030&lt;2,"1.5～1.9","2.0以上"))))))</f>
        <v/>
      </c>
      <c r="AQ2030" s="8" t="str">
        <f aca="false">IF(A2030="","",IF(ISNUMBER(SEARCH("2歳",Z2030)),"2歳戦",IF(ISNUMBER(SEARCH("3歳未勝利",Z2030)),"3歳未勝利",IF(ISNUMBER(SEARCH("未勝利",Z2030)),"その他未勝利",IF(ISNUMBER(SEARCH("G1",Z2030)),"G1",IF(ISNUMBER(SEARCH("G2",Z2030)),"G2",IF(ISNUMBER(SEARCH("G3",Z2030)),"G3",IF(ISNUMBER(SEARCH("古馬条件",Z2030)),"古馬条件戦",IF(ISNUMBER(SEARCH("重賞",Z2030)),"重賞","分類不能")))))))))</f>
        <v/>
      </c>
    </row>
    <row r="2031" customFormat="false" ht="15.75" hidden="false" customHeight="false" outlineLevel="0" collapsed="false">
      <c r="AO2031" s="8" t="str">
        <f aca="false">IF(A2031="","",IF(COUNTIFS(全馬データ!$A$2:$A$50000,A2031,全馬データ!$B$2:$B$50000,B2031,全馬データ!$C$2:$C$50000,C2031,全馬データ!$D$2:$D$50000,E2031,全馬データ!$K$2:$K$50000,"&lt;&gt;")=0,"",SUMIFS(全馬データ!$K$2:$K$50000,全馬データ!$A$2:$A$50000,A2031,全馬データ!$B$2:$B$50000,B2031,全馬データ!$C$2:$C$50000,C2031,全馬データ!$D$2:$D$50000,E2031)))</f>
        <v/>
      </c>
      <c r="AP2031" s="8" t="str">
        <f aca="false">IF(A2031="","",IF(AO2031="","欠損",IF(AO2031&lt;=1.1,"1.0～1.1",IF(AO2031&lt;1.3,"1.2",IF(AO2031&lt;1.5,"1.3～1.4",IF(AO2031&lt;2,"1.5～1.9","2.0以上"))))))</f>
        <v/>
      </c>
      <c r="AQ2031" s="8" t="str">
        <f aca="false">IF(A2031="","",IF(ISNUMBER(SEARCH("2歳",Z2031)),"2歳戦",IF(ISNUMBER(SEARCH("3歳未勝利",Z2031)),"3歳未勝利",IF(ISNUMBER(SEARCH("未勝利",Z2031)),"その他未勝利",IF(ISNUMBER(SEARCH("G1",Z2031)),"G1",IF(ISNUMBER(SEARCH("G2",Z2031)),"G2",IF(ISNUMBER(SEARCH("G3",Z2031)),"G3",IF(ISNUMBER(SEARCH("古馬条件",Z2031)),"古馬条件戦",IF(ISNUMBER(SEARCH("重賞",Z2031)),"重賞","分類不能")))))))))</f>
        <v/>
      </c>
    </row>
    <row r="2032" customFormat="false" ht="15.75" hidden="false" customHeight="false" outlineLevel="0" collapsed="false">
      <c r="AO2032" s="8" t="str">
        <f aca="false">IF(A2032="","",IF(COUNTIFS(全馬データ!$A$2:$A$50000,A2032,全馬データ!$B$2:$B$50000,B2032,全馬データ!$C$2:$C$50000,C2032,全馬データ!$D$2:$D$50000,E2032,全馬データ!$K$2:$K$50000,"&lt;&gt;")=0,"",SUMIFS(全馬データ!$K$2:$K$50000,全馬データ!$A$2:$A$50000,A2032,全馬データ!$B$2:$B$50000,B2032,全馬データ!$C$2:$C$50000,C2032,全馬データ!$D$2:$D$50000,E2032)))</f>
        <v/>
      </c>
      <c r="AP2032" s="8" t="str">
        <f aca="false">IF(A2032="","",IF(AO2032="","欠損",IF(AO2032&lt;=1.1,"1.0～1.1",IF(AO2032&lt;1.3,"1.2",IF(AO2032&lt;1.5,"1.3～1.4",IF(AO2032&lt;2,"1.5～1.9","2.0以上"))))))</f>
        <v/>
      </c>
      <c r="AQ2032" s="8" t="str">
        <f aca="false">IF(A2032="","",IF(ISNUMBER(SEARCH("2歳",Z2032)),"2歳戦",IF(ISNUMBER(SEARCH("3歳未勝利",Z2032)),"3歳未勝利",IF(ISNUMBER(SEARCH("未勝利",Z2032)),"その他未勝利",IF(ISNUMBER(SEARCH("G1",Z2032)),"G1",IF(ISNUMBER(SEARCH("G2",Z2032)),"G2",IF(ISNUMBER(SEARCH("G3",Z2032)),"G3",IF(ISNUMBER(SEARCH("古馬条件",Z2032)),"古馬条件戦",IF(ISNUMBER(SEARCH("重賞",Z2032)),"重賞","分類不能")))))))))</f>
        <v/>
      </c>
    </row>
    <row r="2033" customFormat="false" ht="15.75" hidden="false" customHeight="false" outlineLevel="0" collapsed="false">
      <c r="AO2033" s="8" t="str">
        <f aca="false">IF(A2033="","",IF(COUNTIFS(全馬データ!$A$2:$A$50000,A2033,全馬データ!$B$2:$B$50000,B2033,全馬データ!$C$2:$C$50000,C2033,全馬データ!$D$2:$D$50000,E2033,全馬データ!$K$2:$K$50000,"&lt;&gt;")=0,"",SUMIFS(全馬データ!$K$2:$K$50000,全馬データ!$A$2:$A$50000,A2033,全馬データ!$B$2:$B$50000,B2033,全馬データ!$C$2:$C$50000,C2033,全馬データ!$D$2:$D$50000,E2033)))</f>
        <v/>
      </c>
      <c r="AP2033" s="8" t="str">
        <f aca="false">IF(A2033="","",IF(AO2033="","欠損",IF(AO2033&lt;=1.1,"1.0～1.1",IF(AO2033&lt;1.3,"1.2",IF(AO2033&lt;1.5,"1.3～1.4",IF(AO2033&lt;2,"1.5～1.9","2.0以上"))))))</f>
        <v/>
      </c>
      <c r="AQ2033" s="8" t="str">
        <f aca="false">IF(A2033="","",IF(ISNUMBER(SEARCH("2歳",Z2033)),"2歳戦",IF(ISNUMBER(SEARCH("3歳未勝利",Z2033)),"3歳未勝利",IF(ISNUMBER(SEARCH("未勝利",Z2033)),"その他未勝利",IF(ISNUMBER(SEARCH("G1",Z2033)),"G1",IF(ISNUMBER(SEARCH("G2",Z2033)),"G2",IF(ISNUMBER(SEARCH("G3",Z2033)),"G3",IF(ISNUMBER(SEARCH("古馬条件",Z2033)),"古馬条件戦",IF(ISNUMBER(SEARCH("重賞",Z2033)),"重賞","分類不能")))))))))</f>
        <v/>
      </c>
    </row>
    <row r="2034" customFormat="false" ht="15.75" hidden="false" customHeight="false" outlineLevel="0" collapsed="false">
      <c r="AO2034" s="8" t="str">
        <f aca="false">IF(A2034="","",IF(COUNTIFS(全馬データ!$A$2:$A$50000,A2034,全馬データ!$B$2:$B$50000,B2034,全馬データ!$C$2:$C$50000,C2034,全馬データ!$D$2:$D$50000,E2034,全馬データ!$K$2:$K$50000,"&lt;&gt;")=0,"",SUMIFS(全馬データ!$K$2:$K$50000,全馬データ!$A$2:$A$50000,A2034,全馬データ!$B$2:$B$50000,B2034,全馬データ!$C$2:$C$50000,C2034,全馬データ!$D$2:$D$50000,E2034)))</f>
        <v/>
      </c>
      <c r="AP2034" s="8" t="str">
        <f aca="false">IF(A2034="","",IF(AO2034="","欠損",IF(AO2034&lt;=1.1,"1.0～1.1",IF(AO2034&lt;1.3,"1.2",IF(AO2034&lt;1.5,"1.3～1.4",IF(AO2034&lt;2,"1.5～1.9","2.0以上"))))))</f>
        <v/>
      </c>
      <c r="AQ2034" s="8" t="str">
        <f aca="false">IF(A2034="","",IF(ISNUMBER(SEARCH("2歳",Z2034)),"2歳戦",IF(ISNUMBER(SEARCH("3歳未勝利",Z2034)),"3歳未勝利",IF(ISNUMBER(SEARCH("未勝利",Z2034)),"その他未勝利",IF(ISNUMBER(SEARCH("G1",Z2034)),"G1",IF(ISNUMBER(SEARCH("G2",Z2034)),"G2",IF(ISNUMBER(SEARCH("G3",Z2034)),"G3",IF(ISNUMBER(SEARCH("古馬条件",Z2034)),"古馬条件戦",IF(ISNUMBER(SEARCH("重賞",Z2034)),"重賞","分類不能")))))))))</f>
        <v/>
      </c>
    </row>
    <row r="2035" customFormat="false" ht="15.75" hidden="false" customHeight="false" outlineLevel="0" collapsed="false">
      <c r="AO2035" s="8" t="str">
        <f aca="false">IF(A2035="","",IF(COUNTIFS(全馬データ!$A$2:$A$50000,A2035,全馬データ!$B$2:$B$50000,B2035,全馬データ!$C$2:$C$50000,C2035,全馬データ!$D$2:$D$50000,E2035,全馬データ!$K$2:$K$50000,"&lt;&gt;")=0,"",SUMIFS(全馬データ!$K$2:$K$50000,全馬データ!$A$2:$A$50000,A2035,全馬データ!$B$2:$B$50000,B2035,全馬データ!$C$2:$C$50000,C2035,全馬データ!$D$2:$D$50000,E2035)))</f>
        <v/>
      </c>
      <c r="AP2035" s="8" t="str">
        <f aca="false">IF(A2035="","",IF(AO2035="","欠損",IF(AO2035&lt;=1.1,"1.0～1.1",IF(AO2035&lt;1.3,"1.2",IF(AO2035&lt;1.5,"1.3～1.4",IF(AO2035&lt;2,"1.5～1.9","2.0以上"))))))</f>
        <v/>
      </c>
      <c r="AQ2035" s="8" t="str">
        <f aca="false">IF(A2035="","",IF(ISNUMBER(SEARCH("2歳",Z2035)),"2歳戦",IF(ISNUMBER(SEARCH("3歳未勝利",Z2035)),"3歳未勝利",IF(ISNUMBER(SEARCH("未勝利",Z2035)),"その他未勝利",IF(ISNUMBER(SEARCH("G1",Z2035)),"G1",IF(ISNUMBER(SEARCH("G2",Z2035)),"G2",IF(ISNUMBER(SEARCH("G3",Z2035)),"G3",IF(ISNUMBER(SEARCH("古馬条件",Z2035)),"古馬条件戦",IF(ISNUMBER(SEARCH("重賞",Z2035)),"重賞","分類不能")))))))))</f>
        <v/>
      </c>
    </row>
    <row r="2036" customFormat="false" ht="15.75" hidden="false" customHeight="false" outlineLevel="0" collapsed="false">
      <c r="AO2036" s="8" t="str">
        <f aca="false">IF(A2036="","",IF(COUNTIFS(全馬データ!$A$2:$A$50000,A2036,全馬データ!$B$2:$B$50000,B2036,全馬データ!$C$2:$C$50000,C2036,全馬データ!$D$2:$D$50000,E2036,全馬データ!$K$2:$K$50000,"&lt;&gt;")=0,"",SUMIFS(全馬データ!$K$2:$K$50000,全馬データ!$A$2:$A$50000,A2036,全馬データ!$B$2:$B$50000,B2036,全馬データ!$C$2:$C$50000,C2036,全馬データ!$D$2:$D$50000,E2036)))</f>
        <v/>
      </c>
      <c r="AP2036" s="8" t="str">
        <f aca="false">IF(A2036="","",IF(AO2036="","欠損",IF(AO2036&lt;=1.1,"1.0～1.1",IF(AO2036&lt;1.3,"1.2",IF(AO2036&lt;1.5,"1.3～1.4",IF(AO2036&lt;2,"1.5～1.9","2.0以上"))))))</f>
        <v/>
      </c>
      <c r="AQ2036" s="8" t="str">
        <f aca="false">IF(A2036="","",IF(ISNUMBER(SEARCH("2歳",Z2036)),"2歳戦",IF(ISNUMBER(SEARCH("3歳未勝利",Z2036)),"3歳未勝利",IF(ISNUMBER(SEARCH("未勝利",Z2036)),"その他未勝利",IF(ISNUMBER(SEARCH("G1",Z2036)),"G1",IF(ISNUMBER(SEARCH("G2",Z2036)),"G2",IF(ISNUMBER(SEARCH("G3",Z2036)),"G3",IF(ISNUMBER(SEARCH("古馬条件",Z2036)),"古馬条件戦",IF(ISNUMBER(SEARCH("重賞",Z2036)),"重賞","分類不能")))))))))</f>
        <v/>
      </c>
    </row>
    <row r="2037" customFormat="false" ht="15.75" hidden="false" customHeight="false" outlineLevel="0" collapsed="false">
      <c r="AO2037" s="8" t="str">
        <f aca="false">IF(A2037="","",IF(COUNTIFS(全馬データ!$A$2:$A$50000,A2037,全馬データ!$B$2:$B$50000,B2037,全馬データ!$C$2:$C$50000,C2037,全馬データ!$D$2:$D$50000,E2037,全馬データ!$K$2:$K$50000,"&lt;&gt;")=0,"",SUMIFS(全馬データ!$K$2:$K$50000,全馬データ!$A$2:$A$50000,A2037,全馬データ!$B$2:$B$50000,B2037,全馬データ!$C$2:$C$50000,C2037,全馬データ!$D$2:$D$50000,E2037)))</f>
        <v/>
      </c>
      <c r="AP2037" s="8" t="str">
        <f aca="false">IF(A2037="","",IF(AO2037="","欠損",IF(AO2037&lt;=1.1,"1.0～1.1",IF(AO2037&lt;1.3,"1.2",IF(AO2037&lt;1.5,"1.3～1.4",IF(AO2037&lt;2,"1.5～1.9","2.0以上"))))))</f>
        <v/>
      </c>
      <c r="AQ2037" s="8" t="str">
        <f aca="false">IF(A2037="","",IF(ISNUMBER(SEARCH("2歳",Z2037)),"2歳戦",IF(ISNUMBER(SEARCH("3歳未勝利",Z2037)),"3歳未勝利",IF(ISNUMBER(SEARCH("未勝利",Z2037)),"その他未勝利",IF(ISNUMBER(SEARCH("G1",Z2037)),"G1",IF(ISNUMBER(SEARCH("G2",Z2037)),"G2",IF(ISNUMBER(SEARCH("G3",Z2037)),"G3",IF(ISNUMBER(SEARCH("古馬条件",Z2037)),"古馬条件戦",IF(ISNUMBER(SEARCH("重賞",Z2037)),"重賞","分類不能")))))))))</f>
        <v/>
      </c>
    </row>
    <row r="2038" customFormat="false" ht="15.75" hidden="false" customHeight="false" outlineLevel="0" collapsed="false">
      <c r="AO2038" s="8" t="str">
        <f aca="false">IF(A2038="","",IF(COUNTIFS(全馬データ!$A$2:$A$50000,A2038,全馬データ!$B$2:$B$50000,B2038,全馬データ!$C$2:$C$50000,C2038,全馬データ!$D$2:$D$50000,E2038,全馬データ!$K$2:$K$50000,"&lt;&gt;")=0,"",SUMIFS(全馬データ!$K$2:$K$50000,全馬データ!$A$2:$A$50000,A2038,全馬データ!$B$2:$B$50000,B2038,全馬データ!$C$2:$C$50000,C2038,全馬データ!$D$2:$D$50000,E2038)))</f>
        <v/>
      </c>
      <c r="AP2038" s="8" t="str">
        <f aca="false">IF(A2038="","",IF(AO2038="","欠損",IF(AO2038&lt;=1.1,"1.0～1.1",IF(AO2038&lt;1.3,"1.2",IF(AO2038&lt;1.5,"1.3～1.4",IF(AO2038&lt;2,"1.5～1.9","2.0以上"))))))</f>
        <v/>
      </c>
      <c r="AQ2038" s="8" t="str">
        <f aca="false">IF(A2038="","",IF(ISNUMBER(SEARCH("2歳",Z2038)),"2歳戦",IF(ISNUMBER(SEARCH("3歳未勝利",Z2038)),"3歳未勝利",IF(ISNUMBER(SEARCH("未勝利",Z2038)),"その他未勝利",IF(ISNUMBER(SEARCH("G1",Z2038)),"G1",IF(ISNUMBER(SEARCH("G2",Z2038)),"G2",IF(ISNUMBER(SEARCH("G3",Z2038)),"G3",IF(ISNUMBER(SEARCH("古馬条件",Z2038)),"古馬条件戦",IF(ISNUMBER(SEARCH("重賞",Z2038)),"重賞","分類不能")))))))))</f>
        <v/>
      </c>
    </row>
    <row r="2039" customFormat="false" ht="15.75" hidden="false" customHeight="false" outlineLevel="0" collapsed="false">
      <c r="AO2039" s="8" t="str">
        <f aca="false">IF(A2039="","",IF(COUNTIFS(全馬データ!$A$2:$A$50000,A2039,全馬データ!$B$2:$B$50000,B2039,全馬データ!$C$2:$C$50000,C2039,全馬データ!$D$2:$D$50000,E2039,全馬データ!$K$2:$K$50000,"&lt;&gt;")=0,"",SUMIFS(全馬データ!$K$2:$K$50000,全馬データ!$A$2:$A$50000,A2039,全馬データ!$B$2:$B$50000,B2039,全馬データ!$C$2:$C$50000,C2039,全馬データ!$D$2:$D$50000,E2039)))</f>
        <v/>
      </c>
      <c r="AP2039" s="8" t="str">
        <f aca="false">IF(A2039="","",IF(AO2039="","欠損",IF(AO2039&lt;=1.1,"1.0～1.1",IF(AO2039&lt;1.3,"1.2",IF(AO2039&lt;1.5,"1.3～1.4",IF(AO2039&lt;2,"1.5～1.9","2.0以上"))))))</f>
        <v/>
      </c>
      <c r="AQ2039" s="8" t="str">
        <f aca="false">IF(A2039="","",IF(ISNUMBER(SEARCH("2歳",Z2039)),"2歳戦",IF(ISNUMBER(SEARCH("3歳未勝利",Z2039)),"3歳未勝利",IF(ISNUMBER(SEARCH("未勝利",Z2039)),"その他未勝利",IF(ISNUMBER(SEARCH("G1",Z2039)),"G1",IF(ISNUMBER(SEARCH("G2",Z2039)),"G2",IF(ISNUMBER(SEARCH("G3",Z2039)),"G3",IF(ISNUMBER(SEARCH("古馬条件",Z2039)),"古馬条件戦",IF(ISNUMBER(SEARCH("重賞",Z2039)),"重賞","分類不能")))))))))</f>
        <v/>
      </c>
    </row>
    <row r="2040" customFormat="false" ht="15.75" hidden="false" customHeight="false" outlineLevel="0" collapsed="false">
      <c r="AO2040" s="8" t="str">
        <f aca="false">IF(A2040="","",IF(COUNTIFS(全馬データ!$A$2:$A$50000,A2040,全馬データ!$B$2:$B$50000,B2040,全馬データ!$C$2:$C$50000,C2040,全馬データ!$D$2:$D$50000,E2040,全馬データ!$K$2:$K$50000,"&lt;&gt;")=0,"",SUMIFS(全馬データ!$K$2:$K$50000,全馬データ!$A$2:$A$50000,A2040,全馬データ!$B$2:$B$50000,B2040,全馬データ!$C$2:$C$50000,C2040,全馬データ!$D$2:$D$50000,E2040)))</f>
        <v/>
      </c>
      <c r="AP2040" s="8" t="str">
        <f aca="false">IF(A2040="","",IF(AO2040="","欠損",IF(AO2040&lt;=1.1,"1.0～1.1",IF(AO2040&lt;1.3,"1.2",IF(AO2040&lt;1.5,"1.3～1.4",IF(AO2040&lt;2,"1.5～1.9","2.0以上"))))))</f>
        <v/>
      </c>
      <c r="AQ2040" s="8" t="str">
        <f aca="false">IF(A2040="","",IF(ISNUMBER(SEARCH("2歳",Z2040)),"2歳戦",IF(ISNUMBER(SEARCH("3歳未勝利",Z2040)),"3歳未勝利",IF(ISNUMBER(SEARCH("未勝利",Z2040)),"その他未勝利",IF(ISNUMBER(SEARCH("G1",Z2040)),"G1",IF(ISNUMBER(SEARCH("G2",Z2040)),"G2",IF(ISNUMBER(SEARCH("G3",Z2040)),"G3",IF(ISNUMBER(SEARCH("古馬条件",Z2040)),"古馬条件戦",IF(ISNUMBER(SEARCH("重賞",Z2040)),"重賞","分類不能")))))))))</f>
        <v/>
      </c>
    </row>
    <row r="2041" customFormat="false" ht="15.75" hidden="false" customHeight="false" outlineLevel="0" collapsed="false">
      <c r="AO2041" s="8" t="str">
        <f aca="false">IF(A2041="","",IF(COUNTIFS(全馬データ!$A$2:$A$50000,A2041,全馬データ!$B$2:$B$50000,B2041,全馬データ!$C$2:$C$50000,C2041,全馬データ!$D$2:$D$50000,E2041,全馬データ!$K$2:$K$50000,"&lt;&gt;")=0,"",SUMIFS(全馬データ!$K$2:$K$50000,全馬データ!$A$2:$A$50000,A2041,全馬データ!$B$2:$B$50000,B2041,全馬データ!$C$2:$C$50000,C2041,全馬データ!$D$2:$D$50000,E2041)))</f>
        <v/>
      </c>
      <c r="AP2041" s="8" t="str">
        <f aca="false">IF(A2041="","",IF(AO2041="","欠損",IF(AO2041&lt;=1.1,"1.0～1.1",IF(AO2041&lt;1.3,"1.2",IF(AO2041&lt;1.5,"1.3～1.4",IF(AO2041&lt;2,"1.5～1.9","2.0以上"))))))</f>
        <v/>
      </c>
      <c r="AQ2041" s="8" t="str">
        <f aca="false">IF(A2041="","",IF(ISNUMBER(SEARCH("2歳",Z2041)),"2歳戦",IF(ISNUMBER(SEARCH("3歳未勝利",Z2041)),"3歳未勝利",IF(ISNUMBER(SEARCH("未勝利",Z2041)),"その他未勝利",IF(ISNUMBER(SEARCH("G1",Z2041)),"G1",IF(ISNUMBER(SEARCH("G2",Z2041)),"G2",IF(ISNUMBER(SEARCH("G3",Z2041)),"G3",IF(ISNUMBER(SEARCH("古馬条件",Z2041)),"古馬条件戦",IF(ISNUMBER(SEARCH("重賞",Z2041)),"重賞","分類不能")))))))))</f>
        <v/>
      </c>
    </row>
    <row r="2042" customFormat="false" ht="15.75" hidden="false" customHeight="false" outlineLevel="0" collapsed="false">
      <c r="AO2042" s="8" t="str">
        <f aca="false">IF(A2042="","",IF(COUNTIFS(全馬データ!$A$2:$A$50000,A2042,全馬データ!$B$2:$B$50000,B2042,全馬データ!$C$2:$C$50000,C2042,全馬データ!$D$2:$D$50000,E2042,全馬データ!$K$2:$K$50000,"&lt;&gt;")=0,"",SUMIFS(全馬データ!$K$2:$K$50000,全馬データ!$A$2:$A$50000,A2042,全馬データ!$B$2:$B$50000,B2042,全馬データ!$C$2:$C$50000,C2042,全馬データ!$D$2:$D$50000,E2042)))</f>
        <v/>
      </c>
      <c r="AP2042" s="8" t="str">
        <f aca="false">IF(A2042="","",IF(AO2042="","欠損",IF(AO2042&lt;=1.1,"1.0～1.1",IF(AO2042&lt;1.3,"1.2",IF(AO2042&lt;1.5,"1.3～1.4",IF(AO2042&lt;2,"1.5～1.9","2.0以上"))))))</f>
        <v/>
      </c>
      <c r="AQ2042" s="8" t="str">
        <f aca="false">IF(A2042="","",IF(ISNUMBER(SEARCH("2歳",Z2042)),"2歳戦",IF(ISNUMBER(SEARCH("3歳未勝利",Z2042)),"3歳未勝利",IF(ISNUMBER(SEARCH("未勝利",Z2042)),"その他未勝利",IF(ISNUMBER(SEARCH("G1",Z2042)),"G1",IF(ISNUMBER(SEARCH("G2",Z2042)),"G2",IF(ISNUMBER(SEARCH("G3",Z2042)),"G3",IF(ISNUMBER(SEARCH("古馬条件",Z2042)),"古馬条件戦",IF(ISNUMBER(SEARCH("重賞",Z2042)),"重賞","分類不能")))))))))</f>
        <v/>
      </c>
    </row>
    <row r="2043" customFormat="false" ht="15.75" hidden="false" customHeight="false" outlineLevel="0" collapsed="false">
      <c r="AO2043" s="8" t="str">
        <f aca="false">IF(A2043="","",IF(COUNTIFS(全馬データ!$A$2:$A$50000,A2043,全馬データ!$B$2:$B$50000,B2043,全馬データ!$C$2:$C$50000,C2043,全馬データ!$D$2:$D$50000,E2043,全馬データ!$K$2:$K$50000,"&lt;&gt;")=0,"",SUMIFS(全馬データ!$K$2:$K$50000,全馬データ!$A$2:$A$50000,A2043,全馬データ!$B$2:$B$50000,B2043,全馬データ!$C$2:$C$50000,C2043,全馬データ!$D$2:$D$50000,E2043)))</f>
        <v/>
      </c>
      <c r="AP2043" s="8" t="str">
        <f aca="false">IF(A2043="","",IF(AO2043="","欠損",IF(AO2043&lt;=1.1,"1.0～1.1",IF(AO2043&lt;1.3,"1.2",IF(AO2043&lt;1.5,"1.3～1.4",IF(AO2043&lt;2,"1.5～1.9","2.0以上"))))))</f>
        <v/>
      </c>
      <c r="AQ2043" s="8" t="str">
        <f aca="false">IF(A2043="","",IF(ISNUMBER(SEARCH("2歳",Z2043)),"2歳戦",IF(ISNUMBER(SEARCH("3歳未勝利",Z2043)),"3歳未勝利",IF(ISNUMBER(SEARCH("未勝利",Z2043)),"その他未勝利",IF(ISNUMBER(SEARCH("G1",Z2043)),"G1",IF(ISNUMBER(SEARCH("G2",Z2043)),"G2",IF(ISNUMBER(SEARCH("G3",Z2043)),"G3",IF(ISNUMBER(SEARCH("古馬条件",Z2043)),"古馬条件戦",IF(ISNUMBER(SEARCH("重賞",Z2043)),"重賞","分類不能")))))))))</f>
        <v/>
      </c>
    </row>
    <row r="2044" customFormat="false" ht="15.75" hidden="false" customHeight="false" outlineLevel="0" collapsed="false">
      <c r="AO2044" s="8" t="str">
        <f aca="false">IF(A2044="","",IF(COUNTIFS(全馬データ!$A$2:$A$50000,A2044,全馬データ!$B$2:$B$50000,B2044,全馬データ!$C$2:$C$50000,C2044,全馬データ!$D$2:$D$50000,E2044,全馬データ!$K$2:$K$50000,"&lt;&gt;")=0,"",SUMIFS(全馬データ!$K$2:$K$50000,全馬データ!$A$2:$A$50000,A2044,全馬データ!$B$2:$B$50000,B2044,全馬データ!$C$2:$C$50000,C2044,全馬データ!$D$2:$D$50000,E2044)))</f>
        <v/>
      </c>
      <c r="AP2044" s="8" t="str">
        <f aca="false">IF(A2044="","",IF(AO2044="","欠損",IF(AO2044&lt;=1.1,"1.0～1.1",IF(AO2044&lt;1.3,"1.2",IF(AO2044&lt;1.5,"1.3～1.4",IF(AO2044&lt;2,"1.5～1.9","2.0以上"))))))</f>
        <v/>
      </c>
      <c r="AQ2044" s="8" t="str">
        <f aca="false">IF(A2044="","",IF(ISNUMBER(SEARCH("2歳",Z2044)),"2歳戦",IF(ISNUMBER(SEARCH("3歳未勝利",Z2044)),"3歳未勝利",IF(ISNUMBER(SEARCH("未勝利",Z2044)),"その他未勝利",IF(ISNUMBER(SEARCH("G1",Z2044)),"G1",IF(ISNUMBER(SEARCH("G2",Z2044)),"G2",IF(ISNUMBER(SEARCH("G3",Z2044)),"G3",IF(ISNUMBER(SEARCH("古馬条件",Z2044)),"古馬条件戦",IF(ISNUMBER(SEARCH("重賞",Z2044)),"重賞","分類不能")))))))))</f>
        <v/>
      </c>
    </row>
    <row r="2045" customFormat="false" ht="15.75" hidden="false" customHeight="false" outlineLevel="0" collapsed="false">
      <c r="AO2045" s="8" t="str">
        <f aca="false">IF(A2045="","",IF(COUNTIFS(全馬データ!$A$2:$A$50000,A2045,全馬データ!$B$2:$B$50000,B2045,全馬データ!$C$2:$C$50000,C2045,全馬データ!$D$2:$D$50000,E2045,全馬データ!$K$2:$K$50000,"&lt;&gt;")=0,"",SUMIFS(全馬データ!$K$2:$K$50000,全馬データ!$A$2:$A$50000,A2045,全馬データ!$B$2:$B$50000,B2045,全馬データ!$C$2:$C$50000,C2045,全馬データ!$D$2:$D$50000,E2045)))</f>
        <v/>
      </c>
      <c r="AP2045" s="8" t="str">
        <f aca="false">IF(A2045="","",IF(AO2045="","欠損",IF(AO2045&lt;=1.1,"1.0～1.1",IF(AO2045&lt;1.3,"1.2",IF(AO2045&lt;1.5,"1.3～1.4",IF(AO2045&lt;2,"1.5～1.9","2.0以上"))))))</f>
        <v/>
      </c>
      <c r="AQ2045" s="8" t="str">
        <f aca="false">IF(A2045="","",IF(ISNUMBER(SEARCH("2歳",Z2045)),"2歳戦",IF(ISNUMBER(SEARCH("3歳未勝利",Z2045)),"3歳未勝利",IF(ISNUMBER(SEARCH("未勝利",Z2045)),"その他未勝利",IF(ISNUMBER(SEARCH("G1",Z2045)),"G1",IF(ISNUMBER(SEARCH("G2",Z2045)),"G2",IF(ISNUMBER(SEARCH("G3",Z2045)),"G3",IF(ISNUMBER(SEARCH("古馬条件",Z2045)),"古馬条件戦",IF(ISNUMBER(SEARCH("重賞",Z2045)),"重賞","分類不能")))))))))</f>
        <v/>
      </c>
    </row>
    <row r="2046" customFormat="false" ht="15.75" hidden="false" customHeight="false" outlineLevel="0" collapsed="false">
      <c r="AO2046" s="8" t="str">
        <f aca="false">IF(A2046="","",IF(COUNTIFS(全馬データ!$A$2:$A$50000,A2046,全馬データ!$B$2:$B$50000,B2046,全馬データ!$C$2:$C$50000,C2046,全馬データ!$D$2:$D$50000,E2046,全馬データ!$K$2:$K$50000,"&lt;&gt;")=0,"",SUMIFS(全馬データ!$K$2:$K$50000,全馬データ!$A$2:$A$50000,A2046,全馬データ!$B$2:$B$50000,B2046,全馬データ!$C$2:$C$50000,C2046,全馬データ!$D$2:$D$50000,E2046)))</f>
        <v/>
      </c>
      <c r="AP2046" s="8" t="str">
        <f aca="false">IF(A2046="","",IF(AO2046="","欠損",IF(AO2046&lt;=1.1,"1.0～1.1",IF(AO2046&lt;1.3,"1.2",IF(AO2046&lt;1.5,"1.3～1.4",IF(AO2046&lt;2,"1.5～1.9","2.0以上"))))))</f>
        <v/>
      </c>
      <c r="AQ2046" s="8" t="str">
        <f aca="false">IF(A2046="","",IF(ISNUMBER(SEARCH("2歳",Z2046)),"2歳戦",IF(ISNUMBER(SEARCH("3歳未勝利",Z2046)),"3歳未勝利",IF(ISNUMBER(SEARCH("未勝利",Z2046)),"その他未勝利",IF(ISNUMBER(SEARCH("G1",Z2046)),"G1",IF(ISNUMBER(SEARCH("G2",Z2046)),"G2",IF(ISNUMBER(SEARCH("G3",Z2046)),"G3",IF(ISNUMBER(SEARCH("古馬条件",Z2046)),"古馬条件戦",IF(ISNUMBER(SEARCH("重賞",Z2046)),"重賞","分類不能")))))))))</f>
        <v/>
      </c>
    </row>
    <row r="2047" customFormat="false" ht="15.75" hidden="false" customHeight="false" outlineLevel="0" collapsed="false">
      <c r="AO2047" s="8" t="str">
        <f aca="false">IF(A2047="","",IF(COUNTIFS(全馬データ!$A$2:$A$50000,A2047,全馬データ!$B$2:$B$50000,B2047,全馬データ!$C$2:$C$50000,C2047,全馬データ!$D$2:$D$50000,E2047,全馬データ!$K$2:$K$50000,"&lt;&gt;")=0,"",SUMIFS(全馬データ!$K$2:$K$50000,全馬データ!$A$2:$A$50000,A2047,全馬データ!$B$2:$B$50000,B2047,全馬データ!$C$2:$C$50000,C2047,全馬データ!$D$2:$D$50000,E2047)))</f>
        <v/>
      </c>
      <c r="AP2047" s="8" t="str">
        <f aca="false">IF(A2047="","",IF(AO2047="","欠損",IF(AO2047&lt;=1.1,"1.0～1.1",IF(AO2047&lt;1.3,"1.2",IF(AO2047&lt;1.5,"1.3～1.4",IF(AO2047&lt;2,"1.5～1.9","2.0以上"))))))</f>
        <v/>
      </c>
      <c r="AQ2047" s="8" t="str">
        <f aca="false">IF(A2047="","",IF(ISNUMBER(SEARCH("2歳",Z2047)),"2歳戦",IF(ISNUMBER(SEARCH("3歳未勝利",Z2047)),"3歳未勝利",IF(ISNUMBER(SEARCH("未勝利",Z2047)),"その他未勝利",IF(ISNUMBER(SEARCH("G1",Z2047)),"G1",IF(ISNUMBER(SEARCH("G2",Z2047)),"G2",IF(ISNUMBER(SEARCH("G3",Z2047)),"G3",IF(ISNUMBER(SEARCH("古馬条件",Z2047)),"古馬条件戦",IF(ISNUMBER(SEARCH("重賞",Z2047)),"重賞","分類不能")))))))))</f>
        <v/>
      </c>
    </row>
    <row r="2048" customFormat="false" ht="15.75" hidden="false" customHeight="false" outlineLevel="0" collapsed="false">
      <c r="AO2048" s="8" t="str">
        <f aca="false">IF(A2048="","",IF(COUNTIFS(全馬データ!$A$2:$A$50000,A2048,全馬データ!$B$2:$B$50000,B2048,全馬データ!$C$2:$C$50000,C2048,全馬データ!$D$2:$D$50000,E2048,全馬データ!$K$2:$K$50000,"&lt;&gt;")=0,"",SUMIFS(全馬データ!$K$2:$K$50000,全馬データ!$A$2:$A$50000,A2048,全馬データ!$B$2:$B$50000,B2048,全馬データ!$C$2:$C$50000,C2048,全馬データ!$D$2:$D$50000,E2048)))</f>
        <v/>
      </c>
      <c r="AP2048" s="8" t="str">
        <f aca="false">IF(A2048="","",IF(AO2048="","欠損",IF(AO2048&lt;=1.1,"1.0～1.1",IF(AO2048&lt;1.3,"1.2",IF(AO2048&lt;1.5,"1.3～1.4",IF(AO2048&lt;2,"1.5～1.9","2.0以上"))))))</f>
        <v/>
      </c>
      <c r="AQ2048" s="8" t="str">
        <f aca="false">IF(A2048="","",IF(ISNUMBER(SEARCH("2歳",Z2048)),"2歳戦",IF(ISNUMBER(SEARCH("3歳未勝利",Z2048)),"3歳未勝利",IF(ISNUMBER(SEARCH("未勝利",Z2048)),"その他未勝利",IF(ISNUMBER(SEARCH("G1",Z2048)),"G1",IF(ISNUMBER(SEARCH("G2",Z2048)),"G2",IF(ISNUMBER(SEARCH("G3",Z2048)),"G3",IF(ISNUMBER(SEARCH("古馬条件",Z2048)),"古馬条件戦",IF(ISNUMBER(SEARCH("重賞",Z2048)),"重賞","分類不能")))))))))</f>
        <v/>
      </c>
    </row>
    <row r="2049" customFormat="false" ht="15.75" hidden="false" customHeight="false" outlineLevel="0" collapsed="false">
      <c r="AO2049" s="8" t="str">
        <f aca="false">IF(A2049="","",IF(COUNTIFS(全馬データ!$A$2:$A$50000,A2049,全馬データ!$B$2:$B$50000,B2049,全馬データ!$C$2:$C$50000,C2049,全馬データ!$D$2:$D$50000,E2049,全馬データ!$K$2:$K$50000,"&lt;&gt;")=0,"",SUMIFS(全馬データ!$K$2:$K$50000,全馬データ!$A$2:$A$50000,A2049,全馬データ!$B$2:$B$50000,B2049,全馬データ!$C$2:$C$50000,C2049,全馬データ!$D$2:$D$50000,E2049)))</f>
        <v/>
      </c>
      <c r="AP2049" s="8" t="str">
        <f aca="false">IF(A2049="","",IF(AO2049="","欠損",IF(AO2049&lt;=1.1,"1.0～1.1",IF(AO2049&lt;1.3,"1.2",IF(AO2049&lt;1.5,"1.3～1.4",IF(AO2049&lt;2,"1.5～1.9","2.0以上"))))))</f>
        <v/>
      </c>
      <c r="AQ2049" s="8" t="str">
        <f aca="false">IF(A2049="","",IF(ISNUMBER(SEARCH("2歳",Z2049)),"2歳戦",IF(ISNUMBER(SEARCH("3歳未勝利",Z2049)),"3歳未勝利",IF(ISNUMBER(SEARCH("未勝利",Z2049)),"その他未勝利",IF(ISNUMBER(SEARCH("G1",Z2049)),"G1",IF(ISNUMBER(SEARCH("G2",Z2049)),"G2",IF(ISNUMBER(SEARCH("G3",Z2049)),"G3",IF(ISNUMBER(SEARCH("古馬条件",Z2049)),"古馬条件戦",IF(ISNUMBER(SEARCH("重賞",Z2049)),"重賞","分類不能")))))))))</f>
        <v/>
      </c>
    </row>
    <row r="2050" customFormat="false" ht="15.75" hidden="false" customHeight="false" outlineLevel="0" collapsed="false">
      <c r="AO2050" s="8" t="str">
        <f aca="false">IF(A2050="","",IF(COUNTIFS(全馬データ!$A$2:$A$50000,A2050,全馬データ!$B$2:$B$50000,B2050,全馬データ!$C$2:$C$50000,C2050,全馬データ!$D$2:$D$50000,E2050,全馬データ!$K$2:$K$50000,"&lt;&gt;")=0,"",SUMIFS(全馬データ!$K$2:$K$50000,全馬データ!$A$2:$A$50000,A2050,全馬データ!$B$2:$B$50000,B2050,全馬データ!$C$2:$C$50000,C2050,全馬データ!$D$2:$D$50000,E2050)))</f>
        <v/>
      </c>
      <c r="AP2050" s="8" t="str">
        <f aca="false">IF(A2050="","",IF(AO2050="","欠損",IF(AO2050&lt;=1.1,"1.0～1.1",IF(AO2050&lt;1.3,"1.2",IF(AO2050&lt;1.5,"1.3～1.4",IF(AO2050&lt;2,"1.5～1.9","2.0以上"))))))</f>
        <v/>
      </c>
      <c r="AQ2050" s="8" t="str">
        <f aca="false">IF(A2050="","",IF(ISNUMBER(SEARCH("2歳",Z2050)),"2歳戦",IF(ISNUMBER(SEARCH("3歳未勝利",Z2050)),"3歳未勝利",IF(ISNUMBER(SEARCH("未勝利",Z2050)),"その他未勝利",IF(ISNUMBER(SEARCH("G1",Z2050)),"G1",IF(ISNUMBER(SEARCH("G2",Z2050)),"G2",IF(ISNUMBER(SEARCH("G3",Z2050)),"G3",IF(ISNUMBER(SEARCH("古馬条件",Z2050)),"古馬条件戦",IF(ISNUMBER(SEARCH("重賞",Z2050)),"重賞","分類不能")))))))))</f>
        <v/>
      </c>
    </row>
    <row r="2051" customFormat="false" ht="15.75" hidden="false" customHeight="false" outlineLevel="0" collapsed="false">
      <c r="AO2051" s="8" t="str">
        <f aca="false">IF(A2051="","",IF(COUNTIFS(全馬データ!$A$2:$A$50000,A2051,全馬データ!$B$2:$B$50000,B2051,全馬データ!$C$2:$C$50000,C2051,全馬データ!$D$2:$D$50000,E2051,全馬データ!$K$2:$K$50000,"&lt;&gt;")=0,"",SUMIFS(全馬データ!$K$2:$K$50000,全馬データ!$A$2:$A$50000,A2051,全馬データ!$B$2:$B$50000,B2051,全馬データ!$C$2:$C$50000,C2051,全馬データ!$D$2:$D$50000,E2051)))</f>
        <v/>
      </c>
      <c r="AP2051" s="8" t="str">
        <f aca="false">IF(A2051="","",IF(AO2051="","欠損",IF(AO2051&lt;=1.1,"1.0～1.1",IF(AO2051&lt;1.3,"1.2",IF(AO2051&lt;1.5,"1.3～1.4",IF(AO2051&lt;2,"1.5～1.9","2.0以上"))))))</f>
        <v/>
      </c>
      <c r="AQ2051" s="8" t="str">
        <f aca="false">IF(A2051="","",IF(ISNUMBER(SEARCH("2歳",Z2051)),"2歳戦",IF(ISNUMBER(SEARCH("3歳未勝利",Z2051)),"3歳未勝利",IF(ISNUMBER(SEARCH("未勝利",Z2051)),"その他未勝利",IF(ISNUMBER(SEARCH("G1",Z2051)),"G1",IF(ISNUMBER(SEARCH("G2",Z2051)),"G2",IF(ISNUMBER(SEARCH("G3",Z2051)),"G3",IF(ISNUMBER(SEARCH("古馬条件",Z2051)),"古馬条件戦",IF(ISNUMBER(SEARCH("重賞",Z2051)),"重賞","分類不能")))))))))</f>
        <v/>
      </c>
    </row>
    <row r="2052" customFormat="false" ht="15.75" hidden="false" customHeight="false" outlineLevel="0" collapsed="false">
      <c r="AO2052" s="8" t="str">
        <f aca="false">IF(A2052="","",IF(COUNTIFS(全馬データ!$A$2:$A$50000,A2052,全馬データ!$B$2:$B$50000,B2052,全馬データ!$C$2:$C$50000,C2052,全馬データ!$D$2:$D$50000,E2052,全馬データ!$K$2:$K$50000,"&lt;&gt;")=0,"",SUMIFS(全馬データ!$K$2:$K$50000,全馬データ!$A$2:$A$50000,A2052,全馬データ!$B$2:$B$50000,B2052,全馬データ!$C$2:$C$50000,C2052,全馬データ!$D$2:$D$50000,E2052)))</f>
        <v/>
      </c>
      <c r="AP2052" s="8" t="str">
        <f aca="false">IF(A2052="","",IF(AO2052="","欠損",IF(AO2052&lt;=1.1,"1.0～1.1",IF(AO2052&lt;1.3,"1.2",IF(AO2052&lt;1.5,"1.3～1.4",IF(AO2052&lt;2,"1.5～1.9","2.0以上"))))))</f>
        <v/>
      </c>
      <c r="AQ2052" s="8" t="str">
        <f aca="false">IF(A2052="","",IF(ISNUMBER(SEARCH("2歳",Z2052)),"2歳戦",IF(ISNUMBER(SEARCH("3歳未勝利",Z2052)),"3歳未勝利",IF(ISNUMBER(SEARCH("未勝利",Z2052)),"その他未勝利",IF(ISNUMBER(SEARCH("G1",Z2052)),"G1",IF(ISNUMBER(SEARCH("G2",Z2052)),"G2",IF(ISNUMBER(SEARCH("G3",Z2052)),"G3",IF(ISNUMBER(SEARCH("古馬条件",Z2052)),"古馬条件戦",IF(ISNUMBER(SEARCH("重賞",Z2052)),"重賞","分類不能")))))))))</f>
        <v/>
      </c>
    </row>
    <row r="2053" customFormat="false" ht="15.75" hidden="false" customHeight="false" outlineLevel="0" collapsed="false">
      <c r="AO2053" s="8" t="str">
        <f aca="false">IF(A2053="","",IF(COUNTIFS(全馬データ!$A$2:$A$50000,A2053,全馬データ!$B$2:$B$50000,B2053,全馬データ!$C$2:$C$50000,C2053,全馬データ!$D$2:$D$50000,E2053,全馬データ!$K$2:$K$50000,"&lt;&gt;")=0,"",SUMIFS(全馬データ!$K$2:$K$50000,全馬データ!$A$2:$A$50000,A2053,全馬データ!$B$2:$B$50000,B2053,全馬データ!$C$2:$C$50000,C2053,全馬データ!$D$2:$D$50000,E2053)))</f>
        <v/>
      </c>
      <c r="AP2053" s="8" t="str">
        <f aca="false">IF(A2053="","",IF(AO2053="","欠損",IF(AO2053&lt;=1.1,"1.0～1.1",IF(AO2053&lt;1.3,"1.2",IF(AO2053&lt;1.5,"1.3～1.4",IF(AO2053&lt;2,"1.5～1.9","2.0以上"))))))</f>
        <v/>
      </c>
      <c r="AQ2053" s="8" t="str">
        <f aca="false">IF(A2053="","",IF(ISNUMBER(SEARCH("2歳",Z2053)),"2歳戦",IF(ISNUMBER(SEARCH("3歳未勝利",Z2053)),"3歳未勝利",IF(ISNUMBER(SEARCH("未勝利",Z2053)),"その他未勝利",IF(ISNUMBER(SEARCH("G1",Z2053)),"G1",IF(ISNUMBER(SEARCH("G2",Z2053)),"G2",IF(ISNUMBER(SEARCH("G3",Z2053)),"G3",IF(ISNUMBER(SEARCH("古馬条件",Z2053)),"古馬条件戦",IF(ISNUMBER(SEARCH("重賞",Z2053)),"重賞","分類不能")))))))))</f>
        <v/>
      </c>
    </row>
    <row r="2054" customFormat="false" ht="15.75" hidden="false" customHeight="false" outlineLevel="0" collapsed="false">
      <c r="AO2054" s="8" t="str">
        <f aca="false">IF(A2054="","",IF(COUNTIFS(全馬データ!$A$2:$A$50000,A2054,全馬データ!$B$2:$B$50000,B2054,全馬データ!$C$2:$C$50000,C2054,全馬データ!$D$2:$D$50000,E2054,全馬データ!$K$2:$K$50000,"&lt;&gt;")=0,"",SUMIFS(全馬データ!$K$2:$K$50000,全馬データ!$A$2:$A$50000,A2054,全馬データ!$B$2:$B$50000,B2054,全馬データ!$C$2:$C$50000,C2054,全馬データ!$D$2:$D$50000,E2054)))</f>
        <v/>
      </c>
      <c r="AP2054" s="8" t="str">
        <f aca="false">IF(A2054="","",IF(AO2054="","欠損",IF(AO2054&lt;=1.1,"1.0～1.1",IF(AO2054&lt;1.3,"1.2",IF(AO2054&lt;1.5,"1.3～1.4",IF(AO2054&lt;2,"1.5～1.9","2.0以上"))))))</f>
        <v/>
      </c>
      <c r="AQ2054" s="8" t="str">
        <f aca="false">IF(A2054="","",IF(ISNUMBER(SEARCH("2歳",Z2054)),"2歳戦",IF(ISNUMBER(SEARCH("3歳未勝利",Z2054)),"3歳未勝利",IF(ISNUMBER(SEARCH("未勝利",Z2054)),"その他未勝利",IF(ISNUMBER(SEARCH("G1",Z2054)),"G1",IF(ISNUMBER(SEARCH("G2",Z2054)),"G2",IF(ISNUMBER(SEARCH("G3",Z2054)),"G3",IF(ISNUMBER(SEARCH("古馬条件",Z2054)),"古馬条件戦",IF(ISNUMBER(SEARCH("重賞",Z2054)),"重賞","分類不能")))))))))</f>
        <v/>
      </c>
    </row>
    <row r="2055" customFormat="false" ht="15.75" hidden="false" customHeight="false" outlineLevel="0" collapsed="false">
      <c r="AO2055" s="8" t="str">
        <f aca="false">IF(A2055="","",IF(COUNTIFS(全馬データ!$A$2:$A$50000,A2055,全馬データ!$B$2:$B$50000,B2055,全馬データ!$C$2:$C$50000,C2055,全馬データ!$D$2:$D$50000,E2055,全馬データ!$K$2:$K$50000,"&lt;&gt;")=0,"",SUMIFS(全馬データ!$K$2:$K$50000,全馬データ!$A$2:$A$50000,A2055,全馬データ!$B$2:$B$50000,B2055,全馬データ!$C$2:$C$50000,C2055,全馬データ!$D$2:$D$50000,E2055)))</f>
        <v/>
      </c>
      <c r="AP2055" s="8" t="str">
        <f aca="false">IF(A2055="","",IF(AO2055="","欠損",IF(AO2055&lt;=1.1,"1.0～1.1",IF(AO2055&lt;1.3,"1.2",IF(AO2055&lt;1.5,"1.3～1.4",IF(AO2055&lt;2,"1.5～1.9","2.0以上"))))))</f>
        <v/>
      </c>
      <c r="AQ2055" s="8" t="str">
        <f aca="false">IF(A2055="","",IF(ISNUMBER(SEARCH("2歳",Z2055)),"2歳戦",IF(ISNUMBER(SEARCH("3歳未勝利",Z2055)),"3歳未勝利",IF(ISNUMBER(SEARCH("未勝利",Z2055)),"その他未勝利",IF(ISNUMBER(SEARCH("G1",Z2055)),"G1",IF(ISNUMBER(SEARCH("G2",Z2055)),"G2",IF(ISNUMBER(SEARCH("G3",Z2055)),"G3",IF(ISNUMBER(SEARCH("古馬条件",Z2055)),"古馬条件戦",IF(ISNUMBER(SEARCH("重賞",Z2055)),"重賞","分類不能")))))))))</f>
        <v/>
      </c>
    </row>
    <row r="2056" customFormat="false" ht="15.75" hidden="false" customHeight="false" outlineLevel="0" collapsed="false">
      <c r="AO2056" s="8" t="str">
        <f aca="false">IF(A2056="","",IF(COUNTIFS(全馬データ!$A$2:$A$50000,A2056,全馬データ!$B$2:$B$50000,B2056,全馬データ!$C$2:$C$50000,C2056,全馬データ!$D$2:$D$50000,E2056,全馬データ!$K$2:$K$50000,"&lt;&gt;")=0,"",SUMIFS(全馬データ!$K$2:$K$50000,全馬データ!$A$2:$A$50000,A2056,全馬データ!$B$2:$B$50000,B2056,全馬データ!$C$2:$C$50000,C2056,全馬データ!$D$2:$D$50000,E2056)))</f>
        <v/>
      </c>
      <c r="AP2056" s="8" t="str">
        <f aca="false">IF(A2056="","",IF(AO2056="","欠損",IF(AO2056&lt;=1.1,"1.0～1.1",IF(AO2056&lt;1.3,"1.2",IF(AO2056&lt;1.5,"1.3～1.4",IF(AO2056&lt;2,"1.5～1.9","2.0以上"))))))</f>
        <v/>
      </c>
      <c r="AQ2056" s="8" t="str">
        <f aca="false">IF(A2056="","",IF(ISNUMBER(SEARCH("2歳",Z2056)),"2歳戦",IF(ISNUMBER(SEARCH("3歳未勝利",Z2056)),"3歳未勝利",IF(ISNUMBER(SEARCH("未勝利",Z2056)),"その他未勝利",IF(ISNUMBER(SEARCH("G1",Z2056)),"G1",IF(ISNUMBER(SEARCH("G2",Z2056)),"G2",IF(ISNUMBER(SEARCH("G3",Z2056)),"G3",IF(ISNUMBER(SEARCH("古馬条件",Z2056)),"古馬条件戦",IF(ISNUMBER(SEARCH("重賞",Z2056)),"重賞","分類不能")))))))))</f>
        <v/>
      </c>
    </row>
    <row r="2057" customFormat="false" ht="15.75" hidden="false" customHeight="false" outlineLevel="0" collapsed="false">
      <c r="AO2057" s="8" t="str">
        <f aca="false">IF(A2057="","",IF(COUNTIFS(全馬データ!$A$2:$A$50000,A2057,全馬データ!$B$2:$B$50000,B2057,全馬データ!$C$2:$C$50000,C2057,全馬データ!$D$2:$D$50000,E2057,全馬データ!$K$2:$K$50000,"&lt;&gt;")=0,"",SUMIFS(全馬データ!$K$2:$K$50000,全馬データ!$A$2:$A$50000,A2057,全馬データ!$B$2:$B$50000,B2057,全馬データ!$C$2:$C$50000,C2057,全馬データ!$D$2:$D$50000,E2057)))</f>
        <v/>
      </c>
      <c r="AP2057" s="8" t="str">
        <f aca="false">IF(A2057="","",IF(AO2057="","欠損",IF(AO2057&lt;=1.1,"1.0～1.1",IF(AO2057&lt;1.3,"1.2",IF(AO2057&lt;1.5,"1.3～1.4",IF(AO2057&lt;2,"1.5～1.9","2.0以上"))))))</f>
        <v/>
      </c>
      <c r="AQ2057" s="8" t="str">
        <f aca="false">IF(A2057="","",IF(ISNUMBER(SEARCH("2歳",Z2057)),"2歳戦",IF(ISNUMBER(SEARCH("3歳未勝利",Z2057)),"3歳未勝利",IF(ISNUMBER(SEARCH("未勝利",Z2057)),"その他未勝利",IF(ISNUMBER(SEARCH("G1",Z2057)),"G1",IF(ISNUMBER(SEARCH("G2",Z2057)),"G2",IF(ISNUMBER(SEARCH("G3",Z2057)),"G3",IF(ISNUMBER(SEARCH("古馬条件",Z2057)),"古馬条件戦",IF(ISNUMBER(SEARCH("重賞",Z2057)),"重賞","分類不能")))))))))</f>
        <v/>
      </c>
    </row>
    <row r="2058" customFormat="false" ht="15.75" hidden="false" customHeight="false" outlineLevel="0" collapsed="false">
      <c r="AO2058" s="8" t="str">
        <f aca="false">IF(A2058="","",IF(COUNTIFS(全馬データ!$A$2:$A$50000,A2058,全馬データ!$B$2:$B$50000,B2058,全馬データ!$C$2:$C$50000,C2058,全馬データ!$D$2:$D$50000,E2058,全馬データ!$K$2:$K$50000,"&lt;&gt;")=0,"",SUMIFS(全馬データ!$K$2:$K$50000,全馬データ!$A$2:$A$50000,A2058,全馬データ!$B$2:$B$50000,B2058,全馬データ!$C$2:$C$50000,C2058,全馬データ!$D$2:$D$50000,E2058)))</f>
        <v/>
      </c>
      <c r="AP2058" s="8" t="str">
        <f aca="false">IF(A2058="","",IF(AO2058="","欠損",IF(AO2058&lt;=1.1,"1.0～1.1",IF(AO2058&lt;1.3,"1.2",IF(AO2058&lt;1.5,"1.3～1.4",IF(AO2058&lt;2,"1.5～1.9","2.0以上"))))))</f>
        <v/>
      </c>
      <c r="AQ2058" s="8" t="str">
        <f aca="false">IF(A2058="","",IF(ISNUMBER(SEARCH("2歳",Z2058)),"2歳戦",IF(ISNUMBER(SEARCH("3歳未勝利",Z2058)),"3歳未勝利",IF(ISNUMBER(SEARCH("未勝利",Z2058)),"その他未勝利",IF(ISNUMBER(SEARCH("G1",Z2058)),"G1",IF(ISNUMBER(SEARCH("G2",Z2058)),"G2",IF(ISNUMBER(SEARCH("G3",Z2058)),"G3",IF(ISNUMBER(SEARCH("古馬条件",Z2058)),"古馬条件戦",IF(ISNUMBER(SEARCH("重賞",Z2058)),"重賞","分類不能")))))))))</f>
        <v/>
      </c>
    </row>
    <row r="2059" customFormat="false" ht="15.75" hidden="false" customHeight="false" outlineLevel="0" collapsed="false">
      <c r="AO2059" s="8" t="str">
        <f aca="false">IF(A2059="","",IF(COUNTIFS(全馬データ!$A$2:$A$50000,A2059,全馬データ!$B$2:$B$50000,B2059,全馬データ!$C$2:$C$50000,C2059,全馬データ!$D$2:$D$50000,E2059,全馬データ!$K$2:$K$50000,"&lt;&gt;")=0,"",SUMIFS(全馬データ!$K$2:$K$50000,全馬データ!$A$2:$A$50000,A2059,全馬データ!$B$2:$B$50000,B2059,全馬データ!$C$2:$C$50000,C2059,全馬データ!$D$2:$D$50000,E2059)))</f>
        <v/>
      </c>
      <c r="AP2059" s="8" t="str">
        <f aca="false">IF(A2059="","",IF(AO2059="","欠損",IF(AO2059&lt;=1.1,"1.0～1.1",IF(AO2059&lt;1.3,"1.2",IF(AO2059&lt;1.5,"1.3～1.4",IF(AO2059&lt;2,"1.5～1.9","2.0以上"))))))</f>
        <v/>
      </c>
      <c r="AQ2059" s="8" t="str">
        <f aca="false">IF(A2059="","",IF(ISNUMBER(SEARCH("2歳",Z2059)),"2歳戦",IF(ISNUMBER(SEARCH("3歳未勝利",Z2059)),"3歳未勝利",IF(ISNUMBER(SEARCH("未勝利",Z2059)),"その他未勝利",IF(ISNUMBER(SEARCH("G1",Z2059)),"G1",IF(ISNUMBER(SEARCH("G2",Z2059)),"G2",IF(ISNUMBER(SEARCH("G3",Z2059)),"G3",IF(ISNUMBER(SEARCH("古馬条件",Z2059)),"古馬条件戦",IF(ISNUMBER(SEARCH("重賞",Z2059)),"重賞","分類不能")))))))))</f>
        <v/>
      </c>
    </row>
    <row r="2060" customFormat="false" ht="15.75" hidden="false" customHeight="false" outlineLevel="0" collapsed="false">
      <c r="AO2060" s="8" t="str">
        <f aca="false">IF(A2060="","",IF(COUNTIFS(全馬データ!$A$2:$A$50000,A2060,全馬データ!$B$2:$B$50000,B2060,全馬データ!$C$2:$C$50000,C2060,全馬データ!$D$2:$D$50000,E2060,全馬データ!$K$2:$K$50000,"&lt;&gt;")=0,"",SUMIFS(全馬データ!$K$2:$K$50000,全馬データ!$A$2:$A$50000,A2060,全馬データ!$B$2:$B$50000,B2060,全馬データ!$C$2:$C$50000,C2060,全馬データ!$D$2:$D$50000,E2060)))</f>
        <v/>
      </c>
      <c r="AP2060" s="8" t="str">
        <f aca="false">IF(A2060="","",IF(AO2060="","欠損",IF(AO2060&lt;=1.1,"1.0～1.1",IF(AO2060&lt;1.3,"1.2",IF(AO2060&lt;1.5,"1.3～1.4",IF(AO2060&lt;2,"1.5～1.9","2.0以上"))))))</f>
        <v/>
      </c>
      <c r="AQ2060" s="8" t="str">
        <f aca="false">IF(A2060="","",IF(ISNUMBER(SEARCH("2歳",Z2060)),"2歳戦",IF(ISNUMBER(SEARCH("3歳未勝利",Z2060)),"3歳未勝利",IF(ISNUMBER(SEARCH("未勝利",Z2060)),"その他未勝利",IF(ISNUMBER(SEARCH("G1",Z2060)),"G1",IF(ISNUMBER(SEARCH("G2",Z2060)),"G2",IF(ISNUMBER(SEARCH("G3",Z2060)),"G3",IF(ISNUMBER(SEARCH("古馬条件",Z2060)),"古馬条件戦",IF(ISNUMBER(SEARCH("重賞",Z2060)),"重賞","分類不能")))))))))</f>
        <v/>
      </c>
    </row>
    <row r="2061" customFormat="false" ht="15.75" hidden="false" customHeight="false" outlineLevel="0" collapsed="false">
      <c r="AO2061" s="8" t="str">
        <f aca="false">IF(A2061="","",IF(COUNTIFS(全馬データ!$A$2:$A$50000,A2061,全馬データ!$B$2:$B$50000,B2061,全馬データ!$C$2:$C$50000,C2061,全馬データ!$D$2:$D$50000,E2061,全馬データ!$K$2:$K$50000,"&lt;&gt;")=0,"",SUMIFS(全馬データ!$K$2:$K$50000,全馬データ!$A$2:$A$50000,A2061,全馬データ!$B$2:$B$50000,B2061,全馬データ!$C$2:$C$50000,C2061,全馬データ!$D$2:$D$50000,E2061)))</f>
        <v/>
      </c>
      <c r="AP2061" s="8" t="str">
        <f aca="false">IF(A2061="","",IF(AO2061="","欠損",IF(AO2061&lt;=1.1,"1.0～1.1",IF(AO2061&lt;1.3,"1.2",IF(AO2061&lt;1.5,"1.3～1.4",IF(AO2061&lt;2,"1.5～1.9","2.0以上"))))))</f>
        <v/>
      </c>
      <c r="AQ2061" s="8" t="str">
        <f aca="false">IF(A2061="","",IF(ISNUMBER(SEARCH("2歳",Z2061)),"2歳戦",IF(ISNUMBER(SEARCH("3歳未勝利",Z2061)),"3歳未勝利",IF(ISNUMBER(SEARCH("未勝利",Z2061)),"その他未勝利",IF(ISNUMBER(SEARCH("G1",Z2061)),"G1",IF(ISNUMBER(SEARCH("G2",Z2061)),"G2",IF(ISNUMBER(SEARCH("G3",Z2061)),"G3",IF(ISNUMBER(SEARCH("古馬条件",Z2061)),"古馬条件戦",IF(ISNUMBER(SEARCH("重賞",Z2061)),"重賞","分類不能")))))))))</f>
        <v/>
      </c>
    </row>
    <row r="2062" customFormat="false" ht="15.75" hidden="false" customHeight="false" outlineLevel="0" collapsed="false">
      <c r="AO2062" s="8" t="str">
        <f aca="false">IF(A2062="","",IF(COUNTIFS(全馬データ!$A$2:$A$50000,A2062,全馬データ!$B$2:$B$50000,B2062,全馬データ!$C$2:$C$50000,C2062,全馬データ!$D$2:$D$50000,E2062,全馬データ!$K$2:$K$50000,"&lt;&gt;")=0,"",SUMIFS(全馬データ!$K$2:$K$50000,全馬データ!$A$2:$A$50000,A2062,全馬データ!$B$2:$B$50000,B2062,全馬データ!$C$2:$C$50000,C2062,全馬データ!$D$2:$D$50000,E2062)))</f>
        <v/>
      </c>
      <c r="AP2062" s="8" t="str">
        <f aca="false">IF(A2062="","",IF(AO2062="","欠損",IF(AO2062&lt;=1.1,"1.0～1.1",IF(AO2062&lt;1.3,"1.2",IF(AO2062&lt;1.5,"1.3～1.4",IF(AO2062&lt;2,"1.5～1.9","2.0以上"))))))</f>
        <v/>
      </c>
      <c r="AQ2062" s="8" t="str">
        <f aca="false">IF(A2062="","",IF(ISNUMBER(SEARCH("2歳",Z2062)),"2歳戦",IF(ISNUMBER(SEARCH("3歳未勝利",Z2062)),"3歳未勝利",IF(ISNUMBER(SEARCH("未勝利",Z2062)),"その他未勝利",IF(ISNUMBER(SEARCH("G1",Z2062)),"G1",IF(ISNUMBER(SEARCH("G2",Z2062)),"G2",IF(ISNUMBER(SEARCH("G3",Z2062)),"G3",IF(ISNUMBER(SEARCH("古馬条件",Z2062)),"古馬条件戦",IF(ISNUMBER(SEARCH("重賞",Z2062)),"重賞","分類不能")))))))))</f>
        <v/>
      </c>
    </row>
    <row r="2063" customFormat="false" ht="15.75" hidden="false" customHeight="false" outlineLevel="0" collapsed="false">
      <c r="AO2063" s="8" t="str">
        <f aca="false">IF(A2063="","",IF(COUNTIFS(全馬データ!$A$2:$A$50000,A2063,全馬データ!$B$2:$B$50000,B2063,全馬データ!$C$2:$C$50000,C2063,全馬データ!$D$2:$D$50000,E2063,全馬データ!$K$2:$K$50000,"&lt;&gt;")=0,"",SUMIFS(全馬データ!$K$2:$K$50000,全馬データ!$A$2:$A$50000,A2063,全馬データ!$B$2:$B$50000,B2063,全馬データ!$C$2:$C$50000,C2063,全馬データ!$D$2:$D$50000,E2063)))</f>
        <v/>
      </c>
      <c r="AP2063" s="8" t="str">
        <f aca="false">IF(A2063="","",IF(AO2063="","欠損",IF(AO2063&lt;=1.1,"1.0～1.1",IF(AO2063&lt;1.3,"1.2",IF(AO2063&lt;1.5,"1.3～1.4",IF(AO2063&lt;2,"1.5～1.9","2.0以上"))))))</f>
        <v/>
      </c>
      <c r="AQ2063" s="8" t="str">
        <f aca="false">IF(A2063="","",IF(ISNUMBER(SEARCH("2歳",Z2063)),"2歳戦",IF(ISNUMBER(SEARCH("3歳未勝利",Z2063)),"3歳未勝利",IF(ISNUMBER(SEARCH("未勝利",Z2063)),"その他未勝利",IF(ISNUMBER(SEARCH("G1",Z2063)),"G1",IF(ISNUMBER(SEARCH("G2",Z2063)),"G2",IF(ISNUMBER(SEARCH("G3",Z2063)),"G3",IF(ISNUMBER(SEARCH("古馬条件",Z2063)),"古馬条件戦",IF(ISNUMBER(SEARCH("重賞",Z2063)),"重賞","分類不能")))))))))</f>
        <v/>
      </c>
    </row>
    <row r="2064" customFormat="false" ht="15.75" hidden="false" customHeight="false" outlineLevel="0" collapsed="false">
      <c r="AO2064" s="8" t="str">
        <f aca="false">IF(A2064="","",IF(COUNTIFS(全馬データ!$A$2:$A$50000,A2064,全馬データ!$B$2:$B$50000,B2064,全馬データ!$C$2:$C$50000,C2064,全馬データ!$D$2:$D$50000,E2064,全馬データ!$K$2:$K$50000,"&lt;&gt;")=0,"",SUMIFS(全馬データ!$K$2:$K$50000,全馬データ!$A$2:$A$50000,A2064,全馬データ!$B$2:$B$50000,B2064,全馬データ!$C$2:$C$50000,C2064,全馬データ!$D$2:$D$50000,E2064)))</f>
        <v/>
      </c>
      <c r="AP2064" s="8" t="str">
        <f aca="false">IF(A2064="","",IF(AO2064="","欠損",IF(AO2064&lt;=1.1,"1.0～1.1",IF(AO2064&lt;1.3,"1.2",IF(AO2064&lt;1.5,"1.3～1.4",IF(AO2064&lt;2,"1.5～1.9","2.0以上"))))))</f>
        <v/>
      </c>
      <c r="AQ2064" s="8" t="str">
        <f aca="false">IF(A2064="","",IF(ISNUMBER(SEARCH("2歳",Z2064)),"2歳戦",IF(ISNUMBER(SEARCH("3歳未勝利",Z2064)),"3歳未勝利",IF(ISNUMBER(SEARCH("未勝利",Z2064)),"その他未勝利",IF(ISNUMBER(SEARCH("G1",Z2064)),"G1",IF(ISNUMBER(SEARCH("G2",Z2064)),"G2",IF(ISNUMBER(SEARCH("G3",Z2064)),"G3",IF(ISNUMBER(SEARCH("古馬条件",Z2064)),"古馬条件戦",IF(ISNUMBER(SEARCH("重賞",Z2064)),"重賞","分類不能")))))))))</f>
        <v/>
      </c>
    </row>
    <row r="2065" customFormat="false" ht="15.75" hidden="false" customHeight="false" outlineLevel="0" collapsed="false">
      <c r="AO2065" s="8" t="str">
        <f aca="false">IF(A2065="","",IF(COUNTIFS(全馬データ!$A$2:$A$50000,A2065,全馬データ!$B$2:$B$50000,B2065,全馬データ!$C$2:$C$50000,C2065,全馬データ!$D$2:$D$50000,E2065,全馬データ!$K$2:$K$50000,"&lt;&gt;")=0,"",SUMIFS(全馬データ!$K$2:$K$50000,全馬データ!$A$2:$A$50000,A2065,全馬データ!$B$2:$B$50000,B2065,全馬データ!$C$2:$C$50000,C2065,全馬データ!$D$2:$D$50000,E2065)))</f>
        <v/>
      </c>
      <c r="AP2065" s="8" t="str">
        <f aca="false">IF(A2065="","",IF(AO2065="","欠損",IF(AO2065&lt;=1.1,"1.0～1.1",IF(AO2065&lt;1.3,"1.2",IF(AO2065&lt;1.5,"1.3～1.4",IF(AO2065&lt;2,"1.5～1.9","2.0以上"))))))</f>
        <v/>
      </c>
      <c r="AQ2065" s="8" t="str">
        <f aca="false">IF(A2065="","",IF(ISNUMBER(SEARCH("2歳",Z2065)),"2歳戦",IF(ISNUMBER(SEARCH("3歳未勝利",Z2065)),"3歳未勝利",IF(ISNUMBER(SEARCH("未勝利",Z2065)),"その他未勝利",IF(ISNUMBER(SEARCH("G1",Z2065)),"G1",IF(ISNUMBER(SEARCH("G2",Z2065)),"G2",IF(ISNUMBER(SEARCH("G3",Z2065)),"G3",IF(ISNUMBER(SEARCH("古馬条件",Z2065)),"古馬条件戦",IF(ISNUMBER(SEARCH("重賞",Z2065)),"重賞","分類不能")))))))))</f>
        <v/>
      </c>
    </row>
    <row r="2066" customFormat="false" ht="15.75" hidden="false" customHeight="false" outlineLevel="0" collapsed="false">
      <c r="AO2066" s="8" t="str">
        <f aca="false">IF(A2066="","",IF(COUNTIFS(全馬データ!$A$2:$A$50000,A2066,全馬データ!$B$2:$B$50000,B2066,全馬データ!$C$2:$C$50000,C2066,全馬データ!$D$2:$D$50000,E2066,全馬データ!$K$2:$K$50000,"&lt;&gt;")=0,"",SUMIFS(全馬データ!$K$2:$K$50000,全馬データ!$A$2:$A$50000,A2066,全馬データ!$B$2:$B$50000,B2066,全馬データ!$C$2:$C$50000,C2066,全馬データ!$D$2:$D$50000,E2066)))</f>
        <v/>
      </c>
      <c r="AP2066" s="8" t="str">
        <f aca="false">IF(A2066="","",IF(AO2066="","欠損",IF(AO2066&lt;=1.1,"1.0～1.1",IF(AO2066&lt;1.3,"1.2",IF(AO2066&lt;1.5,"1.3～1.4",IF(AO2066&lt;2,"1.5～1.9","2.0以上"))))))</f>
        <v/>
      </c>
      <c r="AQ2066" s="8" t="str">
        <f aca="false">IF(A2066="","",IF(ISNUMBER(SEARCH("2歳",Z2066)),"2歳戦",IF(ISNUMBER(SEARCH("3歳未勝利",Z2066)),"3歳未勝利",IF(ISNUMBER(SEARCH("未勝利",Z2066)),"その他未勝利",IF(ISNUMBER(SEARCH("G1",Z2066)),"G1",IF(ISNUMBER(SEARCH("G2",Z2066)),"G2",IF(ISNUMBER(SEARCH("G3",Z2066)),"G3",IF(ISNUMBER(SEARCH("古馬条件",Z2066)),"古馬条件戦",IF(ISNUMBER(SEARCH("重賞",Z2066)),"重賞","分類不能")))))))))</f>
        <v/>
      </c>
    </row>
    <row r="2067" customFormat="false" ht="15.75" hidden="false" customHeight="false" outlineLevel="0" collapsed="false">
      <c r="AO2067" s="8" t="str">
        <f aca="false">IF(A2067="","",IF(COUNTIFS(全馬データ!$A$2:$A$50000,A2067,全馬データ!$B$2:$B$50000,B2067,全馬データ!$C$2:$C$50000,C2067,全馬データ!$D$2:$D$50000,E2067,全馬データ!$K$2:$K$50000,"&lt;&gt;")=0,"",SUMIFS(全馬データ!$K$2:$K$50000,全馬データ!$A$2:$A$50000,A2067,全馬データ!$B$2:$B$50000,B2067,全馬データ!$C$2:$C$50000,C2067,全馬データ!$D$2:$D$50000,E2067)))</f>
        <v/>
      </c>
      <c r="AP2067" s="8" t="str">
        <f aca="false">IF(A2067="","",IF(AO2067="","欠損",IF(AO2067&lt;=1.1,"1.0～1.1",IF(AO2067&lt;1.3,"1.2",IF(AO2067&lt;1.5,"1.3～1.4",IF(AO2067&lt;2,"1.5～1.9","2.0以上"))))))</f>
        <v/>
      </c>
      <c r="AQ2067" s="8" t="str">
        <f aca="false">IF(A2067="","",IF(ISNUMBER(SEARCH("2歳",Z2067)),"2歳戦",IF(ISNUMBER(SEARCH("3歳未勝利",Z2067)),"3歳未勝利",IF(ISNUMBER(SEARCH("未勝利",Z2067)),"その他未勝利",IF(ISNUMBER(SEARCH("G1",Z2067)),"G1",IF(ISNUMBER(SEARCH("G2",Z2067)),"G2",IF(ISNUMBER(SEARCH("G3",Z2067)),"G3",IF(ISNUMBER(SEARCH("古馬条件",Z2067)),"古馬条件戦",IF(ISNUMBER(SEARCH("重賞",Z2067)),"重賞","分類不能")))))))))</f>
        <v/>
      </c>
    </row>
    <row r="2068" customFormat="false" ht="15.75" hidden="false" customHeight="false" outlineLevel="0" collapsed="false">
      <c r="AO2068" s="8" t="str">
        <f aca="false">IF(A2068="","",IF(COUNTIFS(全馬データ!$A$2:$A$50000,A2068,全馬データ!$B$2:$B$50000,B2068,全馬データ!$C$2:$C$50000,C2068,全馬データ!$D$2:$D$50000,E2068,全馬データ!$K$2:$K$50000,"&lt;&gt;")=0,"",SUMIFS(全馬データ!$K$2:$K$50000,全馬データ!$A$2:$A$50000,A2068,全馬データ!$B$2:$B$50000,B2068,全馬データ!$C$2:$C$50000,C2068,全馬データ!$D$2:$D$50000,E2068)))</f>
        <v/>
      </c>
      <c r="AP2068" s="8" t="str">
        <f aca="false">IF(A2068="","",IF(AO2068="","欠損",IF(AO2068&lt;=1.1,"1.0～1.1",IF(AO2068&lt;1.3,"1.2",IF(AO2068&lt;1.5,"1.3～1.4",IF(AO2068&lt;2,"1.5～1.9","2.0以上"))))))</f>
        <v/>
      </c>
      <c r="AQ2068" s="8" t="str">
        <f aca="false">IF(A2068="","",IF(ISNUMBER(SEARCH("2歳",Z2068)),"2歳戦",IF(ISNUMBER(SEARCH("3歳未勝利",Z2068)),"3歳未勝利",IF(ISNUMBER(SEARCH("未勝利",Z2068)),"その他未勝利",IF(ISNUMBER(SEARCH("G1",Z2068)),"G1",IF(ISNUMBER(SEARCH("G2",Z2068)),"G2",IF(ISNUMBER(SEARCH("G3",Z2068)),"G3",IF(ISNUMBER(SEARCH("古馬条件",Z2068)),"古馬条件戦",IF(ISNUMBER(SEARCH("重賞",Z2068)),"重賞","分類不能")))))))))</f>
        <v/>
      </c>
    </row>
    <row r="2069" customFormat="false" ht="15.75" hidden="false" customHeight="false" outlineLevel="0" collapsed="false">
      <c r="AO2069" s="8" t="str">
        <f aca="false">IF(A2069="","",IF(COUNTIFS(全馬データ!$A$2:$A$50000,A2069,全馬データ!$B$2:$B$50000,B2069,全馬データ!$C$2:$C$50000,C2069,全馬データ!$D$2:$D$50000,E2069,全馬データ!$K$2:$K$50000,"&lt;&gt;")=0,"",SUMIFS(全馬データ!$K$2:$K$50000,全馬データ!$A$2:$A$50000,A2069,全馬データ!$B$2:$B$50000,B2069,全馬データ!$C$2:$C$50000,C2069,全馬データ!$D$2:$D$50000,E2069)))</f>
        <v/>
      </c>
      <c r="AP2069" s="8" t="str">
        <f aca="false">IF(A2069="","",IF(AO2069="","欠損",IF(AO2069&lt;=1.1,"1.0～1.1",IF(AO2069&lt;1.3,"1.2",IF(AO2069&lt;1.5,"1.3～1.4",IF(AO2069&lt;2,"1.5～1.9","2.0以上"))))))</f>
        <v/>
      </c>
      <c r="AQ2069" s="8" t="str">
        <f aca="false">IF(A2069="","",IF(ISNUMBER(SEARCH("2歳",Z2069)),"2歳戦",IF(ISNUMBER(SEARCH("3歳未勝利",Z2069)),"3歳未勝利",IF(ISNUMBER(SEARCH("未勝利",Z2069)),"その他未勝利",IF(ISNUMBER(SEARCH("G1",Z2069)),"G1",IF(ISNUMBER(SEARCH("G2",Z2069)),"G2",IF(ISNUMBER(SEARCH("G3",Z2069)),"G3",IF(ISNUMBER(SEARCH("古馬条件",Z2069)),"古馬条件戦",IF(ISNUMBER(SEARCH("重賞",Z2069)),"重賞","分類不能")))))))))</f>
        <v/>
      </c>
    </row>
    <row r="2070" customFormat="false" ht="15.75" hidden="false" customHeight="false" outlineLevel="0" collapsed="false">
      <c r="AO2070" s="8" t="str">
        <f aca="false">IF(A2070="","",IF(COUNTIFS(全馬データ!$A$2:$A$50000,A2070,全馬データ!$B$2:$B$50000,B2070,全馬データ!$C$2:$C$50000,C2070,全馬データ!$D$2:$D$50000,E2070,全馬データ!$K$2:$K$50000,"&lt;&gt;")=0,"",SUMIFS(全馬データ!$K$2:$K$50000,全馬データ!$A$2:$A$50000,A2070,全馬データ!$B$2:$B$50000,B2070,全馬データ!$C$2:$C$50000,C2070,全馬データ!$D$2:$D$50000,E2070)))</f>
        <v/>
      </c>
      <c r="AP2070" s="8" t="str">
        <f aca="false">IF(A2070="","",IF(AO2070="","欠損",IF(AO2070&lt;=1.1,"1.0～1.1",IF(AO2070&lt;1.3,"1.2",IF(AO2070&lt;1.5,"1.3～1.4",IF(AO2070&lt;2,"1.5～1.9","2.0以上"))))))</f>
        <v/>
      </c>
      <c r="AQ2070" s="8" t="str">
        <f aca="false">IF(A2070="","",IF(ISNUMBER(SEARCH("2歳",Z2070)),"2歳戦",IF(ISNUMBER(SEARCH("3歳未勝利",Z2070)),"3歳未勝利",IF(ISNUMBER(SEARCH("未勝利",Z2070)),"その他未勝利",IF(ISNUMBER(SEARCH("G1",Z2070)),"G1",IF(ISNUMBER(SEARCH("G2",Z2070)),"G2",IF(ISNUMBER(SEARCH("G3",Z2070)),"G3",IF(ISNUMBER(SEARCH("古馬条件",Z2070)),"古馬条件戦",IF(ISNUMBER(SEARCH("重賞",Z2070)),"重賞","分類不能")))))))))</f>
        <v/>
      </c>
    </row>
    <row r="2071" customFormat="false" ht="15.75" hidden="false" customHeight="false" outlineLevel="0" collapsed="false">
      <c r="AO2071" s="8" t="str">
        <f aca="false">IF(A2071="","",IF(COUNTIFS(全馬データ!$A$2:$A$50000,A2071,全馬データ!$B$2:$B$50000,B2071,全馬データ!$C$2:$C$50000,C2071,全馬データ!$D$2:$D$50000,E2071,全馬データ!$K$2:$K$50000,"&lt;&gt;")=0,"",SUMIFS(全馬データ!$K$2:$K$50000,全馬データ!$A$2:$A$50000,A2071,全馬データ!$B$2:$B$50000,B2071,全馬データ!$C$2:$C$50000,C2071,全馬データ!$D$2:$D$50000,E2071)))</f>
        <v/>
      </c>
      <c r="AP2071" s="8" t="str">
        <f aca="false">IF(A2071="","",IF(AO2071="","欠損",IF(AO2071&lt;=1.1,"1.0～1.1",IF(AO2071&lt;1.3,"1.2",IF(AO2071&lt;1.5,"1.3～1.4",IF(AO2071&lt;2,"1.5～1.9","2.0以上"))))))</f>
        <v/>
      </c>
      <c r="AQ2071" s="8" t="str">
        <f aca="false">IF(A2071="","",IF(ISNUMBER(SEARCH("2歳",Z2071)),"2歳戦",IF(ISNUMBER(SEARCH("3歳未勝利",Z2071)),"3歳未勝利",IF(ISNUMBER(SEARCH("未勝利",Z2071)),"その他未勝利",IF(ISNUMBER(SEARCH("G1",Z2071)),"G1",IF(ISNUMBER(SEARCH("G2",Z2071)),"G2",IF(ISNUMBER(SEARCH("G3",Z2071)),"G3",IF(ISNUMBER(SEARCH("古馬条件",Z2071)),"古馬条件戦",IF(ISNUMBER(SEARCH("重賞",Z2071)),"重賞","分類不能")))))))))</f>
        <v/>
      </c>
    </row>
    <row r="2072" customFormat="false" ht="15.75" hidden="false" customHeight="false" outlineLevel="0" collapsed="false">
      <c r="AO2072" s="8" t="str">
        <f aca="false">IF(A2072="","",IF(COUNTIFS(全馬データ!$A$2:$A$50000,A2072,全馬データ!$B$2:$B$50000,B2072,全馬データ!$C$2:$C$50000,C2072,全馬データ!$D$2:$D$50000,E2072,全馬データ!$K$2:$K$50000,"&lt;&gt;")=0,"",SUMIFS(全馬データ!$K$2:$K$50000,全馬データ!$A$2:$A$50000,A2072,全馬データ!$B$2:$B$50000,B2072,全馬データ!$C$2:$C$50000,C2072,全馬データ!$D$2:$D$50000,E2072)))</f>
        <v/>
      </c>
      <c r="AP2072" s="8" t="str">
        <f aca="false">IF(A2072="","",IF(AO2072="","欠損",IF(AO2072&lt;=1.1,"1.0～1.1",IF(AO2072&lt;1.3,"1.2",IF(AO2072&lt;1.5,"1.3～1.4",IF(AO2072&lt;2,"1.5～1.9","2.0以上"))))))</f>
        <v/>
      </c>
      <c r="AQ2072" s="8" t="str">
        <f aca="false">IF(A2072="","",IF(ISNUMBER(SEARCH("2歳",Z2072)),"2歳戦",IF(ISNUMBER(SEARCH("3歳未勝利",Z2072)),"3歳未勝利",IF(ISNUMBER(SEARCH("未勝利",Z2072)),"その他未勝利",IF(ISNUMBER(SEARCH("G1",Z2072)),"G1",IF(ISNUMBER(SEARCH("G2",Z2072)),"G2",IF(ISNUMBER(SEARCH("G3",Z2072)),"G3",IF(ISNUMBER(SEARCH("古馬条件",Z2072)),"古馬条件戦",IF(ISNUMBER(SEARCH("重賞",Z2072)),"重賞","分類不能")))))))))</f>
        <v/>
      </c>
    </row>
    <row r="2073" customFormat="false" ht="15.75" hidden="false" customHeight="false" outlineLevel="0" collapsed="false">
      <c r="AO2073" s="8" t="str">
        <f aca="false">IF(A2073="","",IF(COUNTIFS(全馬データ!$A$2:$A$50000,A2073,全馬データ!$B$2:$B$50000,B2073,全馬データ!$C$2:$C$50000,C2073,全馬データ!$D$2:$D$50000,E2073,全馬データ!$K$2:$K$50000,"&lt;&gt;")=0,"",SUMIFS(全馬データ!$K$2:$K$50000,全馬データ!$A$2:$A$50000,A2073,全馬データ!$B$2:$B$50000,B2073,全馬データ!$C$2:$C$50000,C2073,全馬データ!$D$2:$D$50000,E2073)))</f>
        <v/>
      </c>
      <c r="AP2073" s="8" t="str">
        <f aca="false">IF(A2073="","",IF(AO2073="","欠損",IF(AO2073&lt;=1.1,"1.0～1.1",IF(AO2073&lt;1.3,"1.2",IF(AO2073&lt;1.5,"1.3～1.4",IF(AO2073&lt;2,"1.5～1.9","2.0以上"))))))</f>
        <v/>
      </c>
      <c r="AQ2073" s="8" t="str">
        <f aca="false">IF(A2073="","",IF(ISNUMBER(SEARCH("2歳",Z2073)),"2歳戦",IF(ISNUMBER(SEARCH("3歳未勝利",Z2073)),"3歳未勝利",IF(ISNUMBER(SEARCH("未勝利",Z2073)),"その他未勝利",IF(ISNUMBER(SEARCH("G1",Z2073)),"G1",IF(ISNUMBER(SEARCH("G2",Z2073)),"G2",IF(ISNUMBER(SEARCH("G3",Z2073)),"G3",IF(ISNUMBER(SEARCH("古馬条件",Z2073)),"古馬条件戦",IF(ISNUMBER(SEARCH("重賞",Z2073)),"重賞","分類不能")))))))))</f>
        <v/>
      </c>
    </row>
    <row r="2074" customFormat="false" ht="15.75" hidden="false" customHeight="false" outlineLevel="0" collapsed="false">
      <c r="AO2074" s="8" t="str">
        <f aca="false">IF(A2074="","",IF(COUNTIFS(全馬データ!$A$2:$A$50000,A2074,全馬データ!$B$2:$B$50000,B2074,全馬データ!$C$2:$C$50000,C2074,全馬データ!$D$2:$D$50000,E2074,全馬データ!$K$2:$K$50000,"&lt;&gt;")=0,"",SUMIFS(全馬データ!$K$2:$K$50000,全馬データ!$A$2:$A$50000,A2074,全馬データ!$B$2:$B$50000,B2074,全馬データ!$C$2:$C$50000,C2074,全馬データ!$D$2:$D$50000,E2074)))</f>
        <v/>
      </c>
      <c r="AP2074" s="8" t="str">
        <f aca="false">IF(A2074="","",IF(AO2074="","欠損",IF(AO2074&lt;=1.1,"1.0～1.1",IF(AO2074&lt;1.3,"1.2",IF(AO2074&lt;1.5,"1.3～1.4",IF(AO2074&lt;2,"1.5～1.9","2.0以上"))))))</f>
        <v/>
      </c>
      <c r="AQ2074" s="8" t="str">
        <f aca="false">IF(A2074="","",IF(ISNUMBER(SEARCH("2歳",Z2074)),"2歳戦",IF(ISNUMBER(SEARCH("3歳未勝利",Z2074)),"3歳未勝利",IF(ISNUMBER(SEARCH("未勝利",Z2074)),"その他未勝利",IF(ISNUMBER(SEARCH("G1",Z2074)),"G1",IF(ISNUMBER(SEARCH("G2",Z2074)),"G2",IF(ISNUMBER(SEARCH("G3",Z2074)),"G3",IF(ISNUMBER(SEARCH("古馬条件",Z2074)),"古馬条件戦",IF(ISNUMBER(SEARCH("重賞",Z2074)),"重賞","分類不能")))))))))</f>
        <v/>
      </c>
    </row>
    <row r="2075" customFormat="false" ht="15.75" hidden="false" customHeight="false" outlineLevel="0" collapsed="false">
      <c r="AO2075" s="8" t="str">
        <f aca="false">IF(A2075="","",IF(COUNTIFS(全馬データ!$A$2:$A$50000,A2075,全馬データ!$B$2:$B$50000,B2075,全馬データ!$C$2:$C$50000,C2075,全馬データ!$D$2:$D$50000,E2075,全馬データ!$K$2:$K$50000,"&lt;&gt;")=0,"",SUMIFS(全馬データ!$K$2:$K$50000,全馬データ!$A$2:$A$50000,A2075,全馬データ!$B$2:$B$50000,B2075,全馬データ!$C$2:$C$50000,C2075,全馬データ!$D$2:$D$50000,E2075)))</f>
        <v/>
      </c>
      <c r="AP2075" s="8" t="str">
        <f aca="false">IF(A2075="","",IF(AO2075="","欠損",IF(AO2075&lt;=1.1,"1.0～1.1",IF(AO2075&lt;1.3,"1.2",IF(AO2075&lt;1.5,"1.3～1.4",IF(AO2075&lt;2,"1.5～1.9","2.0以上"))))))</f>
        <v/>
      </c>
      <c r="AQ2075" s="8" t="str">
        <f aca="false">IF(A2075="","",IF(ISNUMBER(SEARCH("2歳",Z2075)),"2歳戦",IF(ISNUMBER(SEARCH("3歳未勝利",Z2075)),"3歳未勝利",IF(ISNUMBER(SEARCH("未勝利",Z2075)),"その他未勝利",IF(ISNUMBER(SEARCH("G1",Z2075)),"G1",IF(ISNUMBER(SEARCH("G2",Z2075)),"G2",IF(ISNUMBER(SEARCH("G3",Z2075)),"G3",IF(ISNUMBER(SEARCH("古馬条件",Z2075)),"古馬条件戦",IF(ISNUMBER(SEARCH("重賞",Z2075)),"重賞","分類不能")))))))))</f>
        <v/>
      </c>
    </row>
    <row r="2076" customFormat="false" ht="15.75" hidden="false" customHeight="false" outlineLevel="0" collapsed="false">
      <c r="AO2076" s="8" t="str">
        <f aca="false">IF(A2076="","",IF(COUNTIFS(全馬データ!$A$2:$A$50000,A2076,全馬データ!$B$2:$B$50000,B2076,全馬データ!$C$2:$C$50000,C2076,全馬データ!$D$2:$D$50000,E2076,全馬データ!$K$2:$K$50000,"&lt;&gt;")=0,"",SUMIFS(全馬データ!$K$2:$K$50000,全馬データ!$A$2:$A$50000,A2076,全馬データ!$B$2:$B$50000,B2076,全馬データ!$C$2:$C$50000,C2076,全馬データ!$D$2:$D$50000,E2076)))</f>
        <v/>
      </c>
      <c r="AP2076" s="8" t="str">
        <f aca="false">IF(A2076="","",IF(AO2076="","欠損",IF(AO2076&lt;=1.1,"1.0～1.1",IF(AO2076&lt;1.3,"1.2",IF(AO2076&lt;1.5,"1.3～1.4",IF(AO2076&lt;2,"1.5～1.9","2.0以上"))))))</f>
        <v/>
      </c>
      <c r="AQ2076" s="8" t="str">
        <f aca="false">IF(A2076="","",IF(ISNUMBER(SEARCH("2歳",Z2076)),"2歳戦",IF(ISNUMBER(SEARCH("3歳未勝利",Z2076)),"3歳未勝利",IF(ISNUMBER(SEARCH("未勝利",Z2076)),"その他未勝利",IF(ISNUMBER(SEARCH("G1",Z2076)),"G1",IF(ISNUMBER(SEARCH("G2",Z2076)),"G2",IF(ISNUMBER(SEARCH("G3",Z2076)),"G3",IF(ISNUMBER(SEARCH("古馬条件",Z2076)),"古馬条件戦",IF(ISNUMBER(SEARCH("重賞",Z2076)),"重賞","分類不能")))))))))</f>
        <v/>
      </c>
    </row>
    <row r="2077" customFormat="false" ht="15.75" hidden="false" customHeight="false" outlineLevel="0" collapsed="false">
      <c r="AO2077" s="8" t="str">
        <f aca="false">IF(A2077="","",IF(COUNTIFS(全馬データ!$A$2:$A$50000,A2077,全馬データ!$B$2:$B$50000,B2077,全馬データ!$C$2:$C$50000,C2077,全馬データ!$D$2:$D$50000,E2077,全馬データ!$K$2:$K$50000,"&lt;&gt;")=0,"",SUMIFS(全馬データ!$K$2:$K$50000,全馬データ!$A$2:$A$50000,A2077,全馬データ!$B$2:$B$50000,B2077,全馬データ!$C$2:$C$50000,C2077,全馬データ!$D$2:$D$50000,E2077)))</f>
        <v/>
      </c>
      <c r="AP2077" s="8" t="str">
        <f aca="false">IF(A2077="","",IF(AO2077="","欠損",IF(AO2077&lt;=1.1,"1.0～1.1",IF(AO2077&lt;1.3,"1.2",IF(AO2077&lt;1.5,"1.3～1.4",IF(AO2077&lt;2,"1.5～1.9","2.0以上"))))))</f>
        <v/>
      </c>
      <c r="AQ2077" s="8" t="str">
        <f aca="false">IF(A2077="","",IF(ISNUMBER(SEARCH("2歳",Z2077)),"2歳戦",IF(ISNUMBER(SEARCH("3歳未勝利",Z2077)),"3歳未勝利",IF(ISNUMBER(SEARCH("未勝利",Z2077)),"その他未勝利",IF(ISNUMBER(SEARCH("G1",Z2077)),"G1",IF(ISNUMBER(SEARCH("G2",Z2077)),"G2",IF(ISNUMBER(SEARCH("G3",Z2077)),"G3",IF(ISNUMBER(SEARCH("古馬条件",Z2077)),"古馬条件戦",IF(ISNUMBER(SEARCH("重賞",Z2077)),"重賞","分類不能")))))))))</f>
        <v/>
      </c>
    </row>
    <row r="2078" customFormat="false" ht="15.75" hidden="false" customHeight="false" outlineLevel="0" collapsed="false">
      <c r="AO2078" s="8" t="str">
        <f aca="false">IF(A2078="","",IF(COUNTIFS(全馬データ!$A$2:$A$50000,A2078,全馬データ!$B$2:$B$50000,B2078,全馬データ!$C$2:$C$50000,C2078,全馬データ!$D$2:$D$50000,E2078,全馬データ!$K$2:$K$50000,"&lt;&gt;")=0,"",SUMIFS(全馬データ!$K$2:$K$50000,全馬データ!$A$2:$A$50000,A2078,全馬データ!$B$2:$B$50000,B2078,全馬データ!$C$2:$C$50000,C2078,全馬データ!$D$2:$D$50000,E2078)))</f>
        <v/>
      </c>
      <c r="AP2078" s="8" t="str">
        <f aca="false">IF(A2078="","",IF(AO2078="","欠損",IF(AO2078&lt;=1.1,"1.0～1.1",IF(AO2078&lt;1.3,"1.2",IF(AO2078&lt;1.5,"1.3～1.4",IF(AO2078&lt;2,"1.5～1.9","2.0以上"))))))</f>
        <v/>
      </c>
      <c r="AQ2078" s="8" t="str">
        <f aca="false">IF(A2078="","",IF(ISNUMBER(SEARCH("2歳",Z2078)),"2歳戦",IF(ISNUMBER(SEARCH("3歳未勝利",Z2078)),"3歳未勝利",IF(ISNUMBER(SEARCH("未勝利",Z2078)),"その他未勝利",IF(ISNUMBER(SEARCH("G1",Z2078)),"G1",IF(ISNUMBER(SEARCH("G2",Z2078)),"G2",IF(ISNUMBER(SEARCH("G3",Z2078)),"G3",IF(ISNUMBER(SEARCH("古馬条件",Z2078)),"古馬条件戦",IF(ISNUMBER(SEARCH("重賞",Z2078)),"重賞","分類不能")))))))))</f>
        <v/>
      </c>
    </row>
    <row r="2079" customFormat="false" ht="15.75" hidden="false" customHeight="false" outlineLevel="0" collapsed="false">
      <c r="AO2079" s="8" t="str">
        <f aca="false">IF(A2079="","",IF(COUNTIFS(全馬データ!$A$2:$A$50000,A2079,全馬データ!$B$2:$B$50000,B2079,全馬データ!$C$2:$C$50000,C2079,全馬データ!$D$2:$D$50000,E2079,全馬データ!$K$2:$K$50000,"&lt;&gt;")=0,"",SUMIFS(全馬データ!$K$2:$K$50000,全馬データ!$A$2:$A$50000,A2079,全馬データ!$B$2:$B$50000,B2079,全馬データ!$C$2:$C$50000,C2079,全馬データ!$D$2:$D$50000,E2079)))</f>
        <v/>
      </c>
      <c r="AP2079" s="8" t="str">
        <f aca="false">IF(A2079="","",IF(AO2079="","欠損",IF(AO2079&lt;=1.1,"1.0～1.1",IF(AO2079&lt;1.3,"1.2",IF(AO2079&lt;1.5,"1.3～1.4",IF(AO2079&lt;2,"1.5～1.9","2.0以上"))))))</f>
        <v/>
      </c>
      <c r="AQ2079" s="8" t="str">
        <f aca="false">IF(A2079="","",IF(ISNUMBER(SEARCH("2歳",Z2079)),"2歳戦",IF(ISNUMBER(SEARCH("3歳未勝利",Z2079)),"3歳未勝利",IF(ISNUMBER(SEARCH("未勝利",Z2079)),"その他未勝利",IF(ISNUMBER(SEARCH("G1",Z2079)),"G1",IF(ISNUMBER(SEARCH("G2",Z2079)),"G2",IF(ISNUMBER(SEARCH("G3",Z2079)),"G3",IF(ISNUMBER(SEARCH("古馬条件",Z2079)),"古馬条件戦",IF(ISNUMBER(SEARCH("重賞",Z2079)),"重賞","分類不能")))))))))</f>
        <v/>
      </c>
    </row>
    <row r="2080" customFormat="false" ht="15.75" hidden="false" customHeight="false" outlineLevel="0" collapsed="false">
      <c r="AO2080" s="8" t="str">
        <f aca="false">IF(A2080="","",IF(COUNTIFS(全馬データ!$A$2:$A$50000,A2080,全馬データ!$B$2:$B$50000,B2080,全馬データ!$C$2:$C$50000,C2080,全馬データ!$D$2:$D$50000,E2080,全馬データ!$K$2:$K$50000,"&lt;&gt;")=0,"",SUMIFS(全馬データ!$K$2:$K$50000,全馬データ!$A$2:$A$50000,A2080,全馬データ!$B$2:$B$50000,B2080,全馬データ!$C$2:$C$50000,C2080,全馬データ!$D$2:$D$50000,E2080)))</f>
        <v/>
      </c>
      <c r="AP2080" s="8" t="str">
        <f aca="false">IF(A2080="","",IF(AO2080="","欠損",IF(AO2080&lt;=1.1,"1.0～1.1",IF(AO2080&lt;1.3,"1.2",IF(AO2080&lt;1.5,"1.3～1.4",IF(AO2080&lt;2,"1.5～1.9","2.0以上"))))))</f>
        <v/>
      </c>
      <c r="AQ2080" s="8" t="str">
        <f aca="false">IF(A2080="","",IF(ISNUMBER(SEARCH("2歳",Z2080)),"2歳戦",IF(ISNUMBER(SEARCH("3歳未勝利",Z2080)),"3歳未勝利",IF(ISNUMBER(SEARCH("未勝利",Z2080)),"その他未勝利",IF(ISNUMBER(SEARCH("G1",Z2080)),"G1",IF(ISNUMBER(SEARCH("G2",Z2080)),"G2",IF(ISNUMBER(SEARCH("G3",Z2080)),"G3",IF(ISNUMBER(SEARCH("古馬条件",Z2080)),"古馬条件戦",IF(ISNUMBER(SEARCH("重賞",Z2080)),"重賞","分類不能")))))))))</f>
        <v/>
      </c>
    </row>
    <row r="2081" customFormat="false" ht="15.75" hidden="false" customHeight="false" outlineLevel="0" collapsed="false">
      <c r="AO2081" s="8" t="str">
        <f aca="false">IF(A2081="","",IF(COUNTIFS(全馬データ!$A$2:$A$50000,A2081,全馬データ!$B$2:$B$50000,B2081,全馬データ!$C$2:$C$50000,C2081,全馬データ!$D$2:$D$50000,E2081,全馬データ!$K$2:$K$50000,"&lt;&gt;")=0,"",SUMIFS(全馬データ!$K$2:$K$50000,全馬データ!$A$2:$A$50000,A2081,全馬データ!$B$2:$B$50000,B2081,全馬データ!$C$2:$C$50000,C2081,全馬データ!$D$2:$D$50000,E2081)))</f>
        <v/>
      </c>
      <c r="AP2081" s="8" t="str">
        <f aca="false">IF(A2081="","",IF(AO2081="","欠損",IF(AO2081&lt;=1.1,"1.0～1.1",IF(AO2081&lt;1.3,"1.2",IF(AO2081&lt;1.5,"1.3～1.4",IF(AO2081&lt;2,"1.5～1.9","2.0以上"))))))</f>
        <v/>
      </c>
      <c r="AQ2081" s="8" t="str">
        <f aca="false">IF(A2081="","",IF(ISNUMBER(SEARCH("2歳",Z2081)),"2歳戦",IF(ISNUMBER(SEARCH("3歳未勝利",Z2081)),"3歳未勝利",IF(ISNUMBER(SEARCH("未勝利",Z2081)),"その他未勝利",IF(ISNUMBER(SEARCH("G1",Z2081)),"G1",IF(ISNUMBER(SEARCH("G2",Z2081)),"G2",IF(ISNUMBER(SEARCH("G3",Z2081)),"G3",IF(ISNUMBER(SEARCH("古馬条件",Z2081)),"古馬条件戦",IF(ISNUMBER(SEARCH("重賞",Z2081)),"重賞","分類不能")))))))))</f>
        <v/>
      </c>
    </row>
    <row r="2082" customFormat="false" ht="15.75" hidden="false" customHeight="false" outlineLevel="0" collapsed="false">
      <c r="AO2082" s="8" t="str">
        <f aca="false">IF(A2082="","",IF(COUNTIFS(全馬データ!$A$2:$A$50000,A2082,全馬データ!$B$2:$B$50000,B2082,全馬データ!$C$2:$C$50000,C2082,全馬データ!$D$2:$D$50000,E2082,全馬データ!$K$2:$K$50000,"&lt;&gt;")=0,"",SUMIFS(全馬データ!$K$2:$K$50000,全馬データ!$A$2:$A$50000,A2082,全馬データ!$B$2:$B$50000,B2082,全馬データ!$C$2:$C$50000,C2082,全馬データ!$D$2:$D$50000,E2082)))</f>
        <v/>
      </c>
      <c r="AP2082" s="8" t="str">
        <f aca="false">IF(A2082="","",IF(AO2082="","欠損",IF(AO2082&lt;=1.1,"1.0～1.1",IF(AO2082&lt;1.3,"1.2",IF(AO2082&lt;1.5,"1.3～1.4",IF(AO2082&lt;2,"1.5～1.9","2.0以上"))))))</f>
        <v/>
      </c>
      <c r="AQ2082" s="8" t="str">
        <f aca="false">IF(A2082="","",IF(ISNUMBER(SEARCH("2歳",Z2082)),"2歳戦",IF(ISNUMBER(SEARCH("3歳未勝利",Z2082)),"3歳未勝利",IF(ISNUMBER(SEARCH("未勝利",Z2082)),"その他未勝利",IF(ISNUMBER(SEARCH("G1",Z2082)),"G1",IF(ISNUMBER(SEARCH("G2",Z2082)),"G2",IF(ISNUMBER(SEARCH("G3",Z2082)),"G3",IF(ISNUMBER(SEARCH("古馬条件",Z2082)),"古馬条件戦",IF(ISNUMBER(SEARCH("重賞",Z2082)),"重賞","分類不能")))))))))</f>
        <v/>
      </c>
    </row>
    <row r="2083" customFormat="false" ht="15.75" hidden="false" customHeight="false" outlineLevel="0" collapsed="false">
      <c r="AO2083" s="8" t="str">
        <f aca="false">IF(A2083="","",IF(COUNTIFS(全馬データ!$A$2:$A$50000,A2083,全馬データ!$B$2:$B$50000,B2083,全馬データ!$C$2:$C$50000,C2083,全馬データ!$D$2:$D$50000,E2083,全馬データ!$K$2:$K$50000,"&lt;&gt;")=0,"",SUMIFS(全馬データ!$K$2:$K$50000,全馬データ!$A$2:$A$50000,A2083,全馬データ!$B$2:$B$50000,B2083,全馬データ!$C$2:$C$50000,C2083,全馬データ!$D$2:$D$50000,E2083)))</f>
        <v/>
      </c>
      <c r="AP2083" s="8" t="str">
        <f aca="false">IF(A2083="","",IF(AO2083="","欠損",IF(AO2083&lt;=1.1,"1.0～1.1",IF(AO2083&lt;1.3,"1.2",IF(AO2083&lt;1.5,"1.3～1.4",IF(AO2083&lt;2,"1.5～1.9","2.0以上"))))))</f>
        <v/>
      </c>
      <c r="AQ2083" s="8" t="str">
        <f aca="false">IF(A2083="","",IF(ISNUMBER(SEARCH("2歳",Z2083)),"2歳戦",IF(ISNUMBER(SEARCH("3歳未勝利",Z2083)),"3歳未勝利",IF(ISNUMBER(SEARCH("未勝利",Z2083)),"その他未勝利",IF(ISNUMBER(SEARCH("G1",Z2083)),"G1",IF(ISNUMBER(SEARCH("G2",Z2083)),"G2",IF(ISNUMBER(SEARCH("G3",Z2083)),"G3",IF(ISNUMBER(SEARCH("古馬条件",Z2083)),"古馬条件戦",IF(ISNUMBER(SEARCH("重賞",Z2083)),"重賞","分類不能")))))))))</f>
        <v/>
      </c>
    </row>
    <row r="2084" customFormat="false" ht="15.75" hidden="false" customHeight="false" outlineLevel="0" collapsed="false">
      <c r="AO2084" s="8" t="str">
        <f aca="false">IF(A2084="","",IF(COUNTIFS(全馬データ!$A$2:$A$50000,A2084,全馬データ!$B$2:$B$50000,B2084,全馬データ!$C$2:$C$50000,C2084,全馬データ!$D$2:$D$50000,E2084,全馬データ!$K$2:$K$50000,"&lt;&gt;")=0,"",SUMIFS(全馬データ!$K$2:$K$50000,全馬データ!$A$2:$A$50000,A2084,全馬データ!$B$2:$B$50000,B2084,全馬データ!$C$2:$C$50000,C2084,全馬データ!$D$2:$D$50000,E2084)))</f>
        <v/>
      </c>
      <c r="AP2084" s="8" t="str">
        <f aca="false">IF(A2084="","",IF(AO2084="","欠損",IF(AO2084&lt;=1.1,"1.0～1.1",IF(AO2084&lt;1.3,"1.2",IF(AO2084&lt;1.5,"1.3～1.4",IF(AO2084&lt;2,"1.5～1.9","2.0以上"))))))</f>
        <v/>
      </c>
      <c r="AQ2084" s="8" t="str">
        <f aca="false">IF(A2084="","",IF(ISNUMBER(SEARCH("2歳",Z2084)),"2歳戦",IF(ISNUMBER(SEARCH("3歳未勝利",Z2084)),"3歳未勝利",IF(ISNUMBER(SEARCH("未勝利",Z2084)),"その他未勝利",IF(ISNUMBER(SEARCH("G1",Z2084)),"G1",IF(ISNUMBER(SEARCH("G2",Z2084)),"G2",IF(ISNUMBER(SEARCH("G3",Z2084)),"G3",IF(ISNUMBER(SEARCH("古馬条件",Z2084)),"古馬条件戦",IF(ISNUMBER(SEARCH("重賞",Z2084)),"重賞","分類不能")))))))))</f>
        <v/>
      </c>
    </row>
    <row r="2085" customFormat="false" ht="15.75" hidden="false" customHeight="false" outlineLevel="0" collapsed="false">
      <c r="AO2085" s="8" t="str">
        <f aca="false">IF(A2085="","",IF(COUNTIFS(全馬データ!$A$2:$A$50000,A2085,全馬データ!$B$2:$B$50000,B2085,全馬データ!$C$2:$C$50000,C2085,全馬データ!$D$2:$D$50000,E2085,全馬データ!$K$2:$K$50000,"&lt;&gt;")=0,"",SUMIFS(全馬データ!$K$2:$K$50000,全馬データ!$A$2:$A$50000,A2085,全馬データ!$B$2:$B$50000,B2085,全馬データ!$C$2:$C$50000,C2085,全馬データ!$D$2:$D$50000,E2085)))</f>
        <v/>
      </c>
      <c r="AP2085" s="8" t="str">
        <f aca="false">IF(A2085="","",IF(AO2085="","欠損",IF(AO2085&lt;=1.1,"1.0～1.1",IF(AO2085&lt;1.3,"1.2",IF(AO2085&lt;1.5,"1.3～1.4",IF(AO2085&lt;2,"1.5～1.9","2.0以上"))))))</f>
        <v/>
      </c>
      <c r="AQ2085" s="8" t="str">
        <f aca="false">IF(A2085="","",IF(ISNUMBER(SEARCH("2歳",Z2085)),"2歳戦",IF(ISNUMBER(SEARCH("3歳未勝利",Z2085)),"3歳未勝利",IF(ISNUMBER(SEARCH("未勝利",Z2085)),"その他未勝利",IF(ISNUMBER(SEARCH("G1",Z2085)),"G1",IF(ISNUMBER(SEARCH("G2",Z2085)),"G2",IF(ISNUMBER(SEARCH("G3",Z2085)),"G3",IF(ISNUMBER(SEARCH("古馬条件",Z2085)),"古馬条件戦",IF(ISNUMBER(SEARCH("重賞",Z2085)),"重賞","分類不能")))))))))</f>
        <v/>
      </c>
    </row>
    <row r="2086" customFormat="false" ht="15.75" hidden="false" customHeight="false" outlineLevel="0" collapsed="false">
      <c r="AO2086" s="8" t="str">
        <f aca="false">IF(A2086="","",IF(COUNTIFS(全馬データ!$A$2:$A$50000,A2086,全馬データ!$B$2:$B$50000,B2086,全馬データ!$C$2:$C$50000,C2086,全馬データ!$D$2:$D$50000,E2086,全馬データ!$K$2:$K$50000,"&lt;&gt;")=0,"",SUMIFS(全馬データ!$K$2:$K$50000,全馬データ!$A$2:$A$50000,A2086,全馬データ!$B$2:$B$50000,B2086,全馬データ!$C$2:$C$50000,C2086,全馬データ!$D$2:$D$50000,E2086)))</f>
        <v/>
      </c>
      <c r="AP2086" s="8" t="str">
        <f aca="false">IF(A2086="","",IF(AO2086="","欠損",IF(AO2086&lt;=1.1,"1.0～1.1",IF(AO2086&lt;1.3,"1.2",IF(AO2086&lt;1.5,"1.3～1.4",IF(AO2086&lt;2,"1.5～1.9","2.0以上"))))))</f>
        <v/>
      </c>
      <c r="AQ2086" s="8" t="str">
        <f aca="false">IF(A2086="","",IF(ISNUMBER(SEARCH("2歳",Z2086)),"2歳戦",IF(ISNUMBER(SEARCH("3歳未勝利",Z2086)),"3歳未勝利",IF(ISNUMBER(SEARCH("未勝利",Z2086)),"その他未勝利",IF(ISNUMBER(SEARCH("G1",Z2086)),"G1",IF(ISNUMBER(SEARCH("G2",Z2086)),"G2",IF(ISNUMBER(SEARCH("G3",Z2086)),"G3",IF(ISNUMBER(SEARCH("古馬条件",Z2086)),"古馬条件戦",IF(ISNUMBER(SEARCH("重賞",Z2086)),"重賞","分類不能")))))))))</f>
        <v/>
      </c>
    </row>
    <row r="2087" customFormat="false" ht="15.75" hidden="false" customHeight="false" outlineLevel="0" collapsed="false">
      <c r="AO2087" s="8" t="str">
        <f aca="false">IF(A2087="","",IF(COUNTIFS(全馬データ!$A$2:$A$50000,A2087,全馬データ!$B$2:$B$50000,B2087,全馬データ!$C$2:$C$50000,C2087,全馬データ!$D$2:$D$50000,E2087,全馬データ!$K$2:$K$50000,"&lt;&gt;")=0,"",SUMIFS(全馬データ!$K$2:$K$50000,全馬データ!$A$2:$A$50000,A2087,全馬データ!$B$2:$B$50000,B2087,全馬データ!$C$2:$C$50000,C2087,全馬データ!$D$2:$D$50000,E2087)))</f>
        <v/>
      </c>
      <c r="AP2087" s="8" t="str">
        <f aca="false">IF(A2087="","",IF(AO2087="","欠損",IF(AO2087&lt;=1.1,"1.0～1.1",IF(AO2087&lt;1.3,"1.2",IF(AO2087&lt;1.5,"1.3～1.4",IF(AO2087&lt;2,"1.5～1.9","2.0以上"))))))</f>
        <v/>
      </c>
      <c r="AQ2087" s="8" t="str">
        <f aca="false">IF(A2087="","",IF(ISNUMBER(SEARCH("2歳",Z2087)),"2歳戦",IF(ISNUMBER(SEARCH("3歳未勝利",Z2087)),"3歳未勝利",IF(ISNUMBER(SEARCH("未勝利",Z2087)),"その他未勝利",IF(ISNUMBER(SEARCH("G1",Z2087)),"G1",IF(ISNUMBER(SEARCH("G2",Z2087)),"G2",IF(ISNUMBER(SEARCH("G3",Z2087)),"G3",IF(ISNUMBER(SEARCH("古馬条件",Z2087)),"古馬条件戦",IF(ISNUMBER(SEARCH("重賞",Z2087)),"重賞","分類不能")))))))))</f>
        <v/>
      </c>
    </row>
    <row r="2088" customFormat="false" ht="15.75" hidden="false" customHeight="false" outlineLevel="0" collapsed="false">
      <c r="AO2088" s="8" t="str">
        <f aca="false">IF(A2088="","",IF(COUNTIFS(全馬データ!$A$2:$A$50000,A2088,全馬データ!$B$2:$B$50000,B2088,全馬データ!$C$2:$C$50000,C2088,全馬データ!$D$2:$D$50000,E2088,全馬データ!$K$2:$K$50000,"&lt;&gt;")=0,"",SUMIFS(全馬データ!$K$2:$K$50000,全馬データ!$A$2:$A$50000,A2088,全馬データ!$B$2:$B$50000,B2088,全馬データ!$C$2:$C$50000,C2088,全馬データ!$D$2:$D$50000,E2088)))</f>
        <v/>
      </c>
      <c r="AP2088" s="8" t="str">
        <f aca="false">IF(A2088="","",IF(AO2088="","欠損",IF(AO2088&lt;=1.1,"1.0～1.1",IF(AO2088&lt;1.3,"1.2",IF(AO2088&lt;1.5,"1.3～1.4",IF(AO2088&lt;2,"1.5～1.9","2.0以上"))))))</f>
        <v/>
      </c>
      <c r="AQ2088" s="8" t="str">
        <f aca="false">IF(A2088="","",IF(ISNUMBER(SEARCH("2歳",Z2088)),"2歳戦",IF(ISNUMBER(SEARCH("3歳未勝利",Z2088)),"3歳未勝利",IF(ISNUMBER(SEARCH("未勝利",Z2088)),"その他未勝利",IF(ISNUMBER(SEARCH("G1",Z2088)),"G1",IF(ISNUMBER(SEARCH("G2",Z2088)),"G2",IF(ISNUMBER(SEARCH("G3",Z2088)),"G3",IF(ISNUMBER(SEARCH("古馬条件",Z2088)),"古馬条件戦",IF(ISNUMBER(SEARCH("重賞",Z2088)),"重賞","分類不能")))))))))</f>
        <v/>
      </c>
    </row>
    <row r="2089" customFormat="false" ht="15.75" hidden="false" customHeight="false" outlineLevel="0" collapsed="false">
      <c r="AO2089" s="8" t="str">
        <f aca="false">IF(A2089="","",IF(COUNTIFS(全馬データ!$A$2:$A$50000,A2089,全馬データ!$B$2:$B$50000,B2089,全馬データ!$C$2:$C$50000,C2089,全馬データ!$D$2:$D$50000,E2089,全馬データ!$K$2:$K$50000,"&lt;&gt;")=0,"",SUMIFS(全馬データ!$K$2:$K$50000,全馬データ!$A$2:$A$50000,A2089,全馬データ!$B$2:$B$50000,B2089,全馬データ!$C$2:$C$50000,C2089,全馬データ!$D$2:$D$50000,E2089)))</f>
        <v/>
      </c>
      <c r="AP2089" s="8" t="str">
        <f aca="false">IF(A2089="","",IF(AO2089="","欠損",IF(AO2089&lt;=1.1,"1.0～1.1",IF(AO2089&lt;1.3,"1.2",IF(AO2089&lt;1.5,"1.3～1.4",IF(AO2089&lt;2,"1.5～1.9","2.0以上"))))))</f>
        <v/>
      </c>
      <c r="AQ2089" s="8" t="str">
        <f aca="false">IF(A2089="","",IF(ISNUMBER(SEARCH("2歳",Z2089)),"2歳戦",IF(ISNUMBER(SEARCH("3歳未勝利",Z2089)),"3歳未勝利",IF(ISNUMBER(SEARCH("未勝利",Z2089)),"その他未勝利",IF(ISNUMBER(SEARCH("G1",Z2089)),"G1",IF(ISNUMBER(SEARCH("G2",Z2089)),"G2",IF(ISNUMBER(SEARCH("G3",Z2089)),"G3",IF(ISNUMBER(SEARCH("古馬条件",Z2089)),"古馬条件戦",IF(ISNUMBER(SEARCH("重賞",Z2089)),"重賞","分類不能")))))))))</f>
        <v/>
      </c>
    </row>
    <row r="2090" customFormat="false" ht="15.75" hidden="false" customHeight="false" outlineLevel="0" collapsed="false">
      <c r="AO2090" s="8" t="str">
        <f aca="false">IF(A2090="","",IF(COUNTIFS(全馬データ!$A$2:$A$50000,A2090,全馬データ!$B$2:$B$50000,B2090,全馬データ!$C$2:$C$50000,C2090,全馬データ!$D$2:$D$50000,E2090,全馬データ!$K$2:$K$50000,"&lt;&gt;")=0,"",SUMIFS(全馬データ!$K$2:$K$50000,全馬データ!$A$2:$A$50000,A2090,全馬データ!$B$2:$B$50000,B2090,全馬データ!$C$2:$C$50000,C2090,全馬データ!$D$2:$D$50000,E2090)))</f>
        <v/>
      </c>
      <c r="AP2090" s="8" t="str">
        <f aca="false">IF(A2090="","",IF(AO2090="","欠損",IF(AO2090&lt;=1.1,"1.0～1.1",IF(AO2090&lt;1.3,"1.2",IF(AO2090&lt;1.5,"1.3～1.4",IF(AO2090&lt;2,"1.5～1.9","2.0以上"))))))</f>
        <v/>
      </c>
      <c r="AQ2090" s="8" t="str">
        <f aca="false">IF(A2090="","",IF(ISNUMBER(SEARCH("2歳",Z2090)),"2歳戦",IF(ISNUMBER(SEARCH("3歳未勝利",Z2090)),"3歳未勝利",IF(ISNUMBER(SEARCH("未勝利",Z2090)),"その他未勝利",IF(ISNUMBER(SEARCH("G1",Z2090)),"G1",IF(ISNUMBER(SEARCH("G2",Z2090)),"G2",IF(ISNUMBER(SEARCH("G3",Z2090)),"G3",IF(ISNUMBER(SEARCH("古馬条件",Z2090)),"古馬条件戦",IF(ISNUMBER(SEARCH("重賞",Z2090)),"重賞","分類不能")))))))))</f>
        <v/>
      </c>
    </row>
    <row r="2091" customFormat="false" ht="15.75" hidden="false" customHeight="false" outlineLevel="0" collapsed="false">
      <c r="AO2091" s="8" t="str">
        <f aca="false">IF(A2091="","",IF(COUNTIFS(全馬データ!$A$2:$A$50000,A2091,全馬データ!$B$2:$B$50000,B2091,全馬データ!$C$2:$C$50000,C2091,全馬データ!$D$2:$D$50000,E2091,全馬データ!$K$2:$K$50000,"&lt;&gt;")=0,"",SUMIFS(全馬データ!$K$2:$K$50000,全馬データ!$A$2:$A$50000,A2091,全馬データ!$B$2:$B$50000,B2091,全馬データ!$C$2:$C$50000,C2091,全馬データ!$D$2:$D$50000,E2091)))</f>
        <v/>
      </c>
      <c r="AP2091" s="8" t="str">
        <f aca="false">IF(A2091="","",IF(AO2091="","欠損",IF(AO2091&lt;=1.1,"1.0～1.1",IF(AO2091&lt;1.3,"1.2",IF(AO2091&lt;1.5,"1.3～1.4",IF(AO2091&lt;2,"1.5～1.9","2.0以上"))))))</f>
        <v/>
      </c>
      <c r="AQ2091" s="8" t="str">
        <f aca="false">IF(A2091="","",IF(ISNUMBER(SEARCH("2歳",Z2091)),"2歳戦",IF(ISNUMBER(SEARCH("3歳未勝利",Z2091)),"3歳未勝利",IF(ISNUMBER(SEARCH("未勝利",Z2091)),"その他未勝利",IF(ISNUMBER(SEARCH("G1",Z2091)),"G1",IF(ISNUMBER(SEARCH("G2",Z2091)),"G2",IF(ISNUMBER(SEARCH("G3",Z2091)),"G3",IF(ISNUMBER(SEARCH("古馬条件",Z2091)),"古馬条件戦",IF(ISNUMBER(SEARCH("重賞",Z2091)),"重賞","分類不能")))))))))</f>
        <v/>
      </c>
    </row>
    <row r="2092" customFormat="false" ht="15.75" hidden="false" customHeight="false" outlineLevel="0" collapsed="false">
      <c r="AO2092" s="8" t="str">
        <f aca="false">IF(A2092="","",IF(COUNTIFS(全馬データ!$A$2:$A$50000,A2092,全馬データ!$B$2:$B$50000,B2092,全馬データ!$C$2:$C$50000,C2092,全馬データ!$D$2:$D$50000,E2092,全馬データ!$K$2:$K$50000,"&lt;&gt;")=0,"",SUMIFS(全馬データ!$K$2:$K$50000,全馬データ!$A$2:$A$50000,A2092,全馬データ!$B$2:$B$50000,B2092,全馬データ!$C$2:$C$50000,C2092,全馬データ!$D$2:$D$50000,E2092)))</f>
        <v/>
      </c>
      <c r="AP2092" s="8" t="str">
        <f aca="false">IF(A2092="","",IF(AO2092="","欠損",IF(AO2092&lt;=1.1,"1.0～1.1",IF(AO2092&lt;1.3,"1.2",IF(AO2092&lt;1.5,"1.3～1.4",IF(AO2092&lt;2,"1.5～1.9","2.0以上"))))))</f>
        <v/>
      </c>
      <c r="AQ2092" s="8" t="str">
        <f aca="false">IF(A2092="","",IF(ISNUMBER(SEARCH("2歳",Z2092)),"2歳戦",IF(ISNUMBER(SEARCH("3歳未勝利",Z2092)),"3歳未勝利",IF(ISNUMBER(SEARCH("未勝利",Z2092)),"その他未勝利",IF(ISNUMBER(SEARCH("G1",Z2092)),"G1",IF(ISNUMBER(SEARCH("G2",Z2092)),"G2",IF(ISNUMBER(SEARCH("G3",Z2092)),"G3",IF(ISNUMBER(SEARCH("古馬条件",Z2092)),"古馬条件戦",IF(ISNUMBER(SEARCH("重賞",Z2092)),"重賞","分類不能")))))))))</f>
        <v/>
      </c>
    </row>
    <row r="2093" customFormat="false" ht="15.75" hidden="false" customHeight="false" outlineLevel="0" collapsed="false">
      <c r="AO2093" s="8" t="str">
        <f aca="false">IF(A2093="","",IF(COUNTIFS(全馬データ!$A$2:$A$50000,A2093,全馬データ!$B$2:$B$50000,B2093,全馬データ!$C$2:$C$50000,C2093,全馬データ!$D$2:$D$50000,E2093,全馬データ!$K$2:$K$50000,"&lt;&gt;")=0,"",SUMIFS(全馬データ!$K$2:$K$50000,全馬データ!$A$2:$A$50000,A2093,全馬データ!$B$2:$B$50000,B2093,全馬データ!$C$2:$C$50000,C2093,全馬データ!$D$2:$D$50000,E2093)))</f>
        <v/>
      </c>
      <c r="AP2093" s="8" t="str">
        <f aca="false">IF(A2093="","",IF(AO2093="","欠損",IF(AO2093&lt;=1.1,"1.0～1.1",IF(AO2093&lt;1.3,"1.2",IF(AO2093&lt;1.5,"1.3～1.4",IF(AO2093&lt;2,"1.5～1.9","2.0以上"))))))</f>
        <v/>
      </c>
      <c r="AQ2093" s="8" t="str">
        <f aca="false">IF(A2093="","",IF(ISNUMBER(SEARCH("2歳",Z2093)),"2歳戦",IF(ISNUMBER(SEARCH("3歳未勝利",Z2093)),"3歳未勝利",IF(ISNUMBER(SEARCH("未勝利",Z2093)),"その他未勝利",IF(ISNUMBER(SEARCH("G1",Z2093)),"G1",IF(ISNUMBER(SEARCH("G2",Z2093)),"G2",IF(ISNUMBER(SEARCH("G3",Z2093)),"G3",IF(ISNUMBER(SEARCH("古馬条件",Z2093)),"古馬条件戦",IF(ISNUMBER(SEARCH("重賞",Z2093)),"重賞","分類不能")))))))))</f>
        <v/>
      </c>
    </row>
    <row r="2094" customFormat="false" ht="15.75" hidden="false" customHeight="false" outlineLevel="0" collapsed="false">
      <c r="AO2094" s="8" t="str">
        <f aca="false">IF(A2094="","",IF(COUNTIFS(全馬データ!$A$2:$A$50000,A2094,全馬データ!$B$2:$B$50000,B2094,全馬データ!$C$2:$C$50000,C2094,全馬データ!$D$2:$D$50000,E2094,全馬データ!$K$2:$K$50000,"&lt;&gt;")=0,"",SUMIFS(全馬データ!$K$2:$K$50000,全馬データ!$A$2:$A$50000,A2094,全馬データ!$B$2:$B$50000,B2094,全馬データ!$C$2:$C$50000,C2094,全馬データ!$D$2:$D$50000,E2094)))</f>
        <v/>
      </c>
      <c r="AP2094" s="8" t="str">
        <f aca="false">IF(A2094="","",IF(AO2094="","欠損",IF(AO2094&lt;=1.1,"1.0～1.1",IF(AO2094&lt;1.3,"1.2",IF(AO2094&lt;1.5,"1.3～1.4",IF(AO2094&lt;2,"1.5～1.9","2.0以上"))))))</f>
        <v/>
      </c>
      <c r="AQ2094" s="8" t="str">
        <f aca="false">IF(A2094="","",IF(ISNUMBER(SEARCH("2歳",Z2094)),"2歳戦",IF(ISNUMBER(SEARCH("3歳未勝利",Z2094)),"3歳未勝利",IF(ISNUMBER(SEARCH("未勝利",Z2094)),"その他未勝利",IF(ISNUMBER(SEARCH("G1",Z2094)),"G1",IF(ISNUMBER(SEARCH("G2",Z2094)),"G2",IF(ISNUMBER(SEARCH("G3",Z2094)),"G3",IF(ISNUMBER(SEARCH("古馬条件",Z2094)),"古馬条件戦",IF(ISNUMBER(SEARCH("重賞",Z2094)),"重賞","分類不能")))))))))</f>
        <v/>
      </c>
    </row>
    <row r="2095" customFormat="false" ht="15.75" hidden="false" customHeight="false" outlineLevel="0" collapsed="false">
      <c r="AO2095" s="8" t="str">
        <f aca="false">IF(A2095="","",IF(COUNTIFS(全馬データ!$A$2:$A$50000,A2095,全馬データ!$B$2:$B$50000,B2095,全馬データ!$C$2:$C$50000,C2095,全馬データ!$D$2:$D$50000,E2095,全馬データ!$K$2:$K$50000,"&lt;&gt;")=0,"",SUMIFS(全馬データ!$K$2:$K$50000,全馬データ!$A$2:$A$50000,A2095,全馬データ!$B$2:$B$50000,B2095,全馬データ!$C$2:$C$50000,C2095,全馬データ!$D$2:$D$50000,E2095)))</f>
        <v/>
      </c>
      <c r="AP2095" s="8" t="str">
        <f aca="false">IF(A2095="","",IF(AO2095="","欠損",IF(AO2095&lt;=1.1,"1.0～1.1",IF(AO2095&lt;1.3,"1.2",IF(AO2095&lt;1.5,"1.3～1.4",IF(AO2095&lt;2,"1.5～1.9","2.0以上"))))))</f>
        <v/>
      </c>
      <c r="AQ2095" s="8" t="str">
        <f aca="false">IF(A2095="","",IF(ISNUMBER(SEARCH("2歳",Z2095)),"2歳戦",IF(ISNUMBER(SEARCH("3歳未勝利",Z2095)),"3歳未勝利",IF(ISNUMBER(SEARCH("未勝利",Z2095)),"その他未勝利",IF(ISNUMBER(SEARCH("G1",Z2095)),"G1",IF(ISNUMBER(SEARCH("G2",Z2095)),"G2",IF(ISNUMBER(SEARCH("G3",Z2095)),"G3",IF(ISNUMBER(SEARCH("古馬条件",Z2095)),"古馬条件戦",IF(ISNUMBER(SEARCH("重賞",Z2095)),"重賞","分類不能")))))))))</f>
        <v/>
      </c>
    </row>
    <row r="2096" customFormat="false" ht="15.75" hidden="false" customHeight="false" outlineLevel="0" collapsed="false">
      <c r="AO2096" s="8" t="str">
        <f aca="false">IF(A2096="","",IF(COUNTIFS(全馬データ!$A$2:$A$50000,A2096,全馬データ!$B$2:$B$50000,B2096,全馬データ!$C$2:$C$50000,C2096,全馬データ!$D$2:$D$50000,E2096,全馬データ!$K$2:$K$50000,"&lt;&gt;")=0,"",SUMIFS(全馬データ!$K$2:$K$50000,全馬データ!$A$2:$A$50000,A2096,全馬データ!$B$2:$B$50000,B2096,全馬データ!$C$2:$C$50000,C2096,全馬データ!$D$2:$D$50000,E2096)))</f>
        <v/>
      </c>
      <c r="AP2096" s="8" t="str">
        <f aca="false">IF(A2096="","",IF(AO2096="","欠損",IF(AO2096&lt;=1.1,"1.0～1.1",IF(AO2096&lt;1.3,"1.2",IF(AO2096&lt;1.5,"1.3～1.4",IF(AO2096&lt;2,"1.5～1.9","2.0以上"))))))</f>
        <v/>
      </c>
      <c r="AQ2096" s="8" t="str">
        <f aca="false">IF(A2096="","",IF(ISNUMBER(SEARCH("2歳",Z2096)),"2歳戦",IF(ISNUMBER(SEARCH("3歳未勝利",Z2096)),"3歳未勝利",IF(ISNUMBER(SEARCH("未勝利",Z2096)),"その他未勝利",IF(ISNUMBER(SEARCH("G1",Z2096)),"G1",IF(ISNUMBER(SEARCH("G2",Z2096)),"G2",IF(ISNUMBER(SEARCH("G3",Z2096)),"G3",IF(ISNUMBER(SEARCH("古馬条件",Z2096)),"古馬条件戦",IF(ISNUMBER(SEARCH("重賞",Z2096)),"重賞","分類不能")))))))))</f>
        <v/>
      </c>
    </row>
    <row r="2097" customFormat="false" ht="15.75" hidden="false" customHeight="false" outlineLevel="0" collapsed="false">
      <c r="AO2097" s="8" t="str">
        <f aca="false">IF(A2097="","",IF(COUNTIFS(全馬データ!$A$2:$A$50000,A2097,全馬データ!$B$2:$B$50000,B2097,全馬データ!$C$2:$C$50000,C2097,全馬データ!$D$2:$D$50000,E2097,全馬データ!$K$2:$K$50000,"&lt;&gt;")=0,"",SUMIFS(全馬データ!$K$2:$K$50000,全馬データ!$A$2:$A$50000,A2097,全馬データ!$B$2:$B$50000,B2097,全馬データ!$C$2:$C$50000,C2097,全馬データ!$D$2:$D$50000,E2097)))</f>
        <v/>
      </c>
      <c r="AP2097" s="8" t="str">
        <f aca="false">IF(A2097="","",IF(AO2097="","欠損",IF(AO2097&lt;=1.1,"1.0～1.1",IF(AO2097&lt;1.3,"1.2",IF(AO2097&lt;1.5,"1.3～1.4",IF(AO2097&lt;2,"1.5～1.9","2.0以上"))))))</f>
        <v/>
      </c>
      <c r="AQ2097" s="8" t="str">
        <f aca="false">IF(A2097="","",IF(ISNUMBER(SEARCH("2歳",Z2097)),"2歳戦",IF(ISNUMBER(SEARCH("3歳未勝利",Z2097)),"3歳未勝利",IF(ISNUMBER(SEARCH("未勝利",Z2097)),"その他未勝利",IF(ISNUMBER(SEARCH("G1",Z2097)),"G1",IF(ISNUMBER(SEARCH("G2",Z2097)),"G2",IF(ISNUMBER(SEARCH("G3",Z2097)),"G3",IF(ISNUMBER(SEARCH("古馬条件",Z2097)),"古馬条件戦",IF(ISNUMBER(SEARCH("重賞",Z2097)),"重賞","分類不能")))))))))</f>
        <v/>
      </c>
    </row>
    <row r="2098" customFormat="false" ht="15.75" hidden="false" customHeight="false" outlineLevel="0" collapsed="false">
      <c r="AO2098" s="8" t="str">
        <f aca="false">IF(A2098="","",IF(COUNTIFS(全馬データ!$A$2:$A$50000,A2098,全馬データ!$B$2:$B$50000,B2098,全馬データ!$C$2:$C$50000,C2098,全馬データ!$D$2:$D$50000,E2098,全馬データ!$K$2:$K$50000,"&lt;&gt;")=0,"",SUMIFS(全馬データ!$K$2:$K$50000,全馬データ!$A$2:$A$50000,A2098,全馬データ!$B$2:$B$50000,B2098,全馬データ!$C$2:$C$50000,C2098,全馬データ!$D$2:$D$50000,E2098)))</f>
        <v/>
      </c>
      <c r="AP2098" s="8" t="str">
        <f aca="false">IF(A2098="","",IF(AO2098="","欠損",IF(AO2098&lt;=1.1,"1.0～1.1",IF(AO2098&lt;1.3,"1.2",IF(AO2098&lt;1.5,"1.3～1.4",IF(AO2098&lt;2,"1.5～1.9","2.0以上"))))))</f>
        <v/>
      </c>
      <c r="AQ2098" s="8" t="str">
        <f aca="false">IF(A2098="","",IF(ISNUMBER(SEARCH("2歳",Z2098)),"2歳戦",IF(ISNUMBER(SEARCH("3歳未勝利",Z2098)),"3歳未勝利",IF(ISNUMBER(SEARCH("未勝利",Z2098)),"その他未勝利",IF(ISNUMBER(SEARCH("G1",Z2098)),"G1",IF(ISNUMBER(SEARCH("G2",Z2098)),"G2",IF(ISNUMBER(SEARCH("G3",Z2098)),"G3",IF(ISNUMBER(SEARCH("古馬条件",Z2098)),"古馬条件戦",IF(ISNUMBER(SEARCH("重賞",Z2098)),"重賞","分類不能")))))))))</f>
        <v/>
      </c>
    </row>
    <row r="2099" customFormat="false" ht="15.75" hidden="false" customHeight="false" outlineLevel="0" collapsed="false">
      <c r="AO2099" s="8" t="str">
        <f aca="false">IF(A2099="","",IF(COUNTIFS(全馬データ!$A$2:$A$50000,A2099,全馬データ!$B$2:$B$50000,B2099,全馬データ!$C$2:$C$50000,C2099,全馬データ!$D$2:$D$50000,E2099,全馬データ!$K$2:$K$50000,"&lt;&gt;")=0,"",SUMIFS(全馬データ!$K$2:$K$50000,全馬データ!$A$2:$A$50000,A2099,全馬データ!$B$2:$B$50000,B2099,全馬データ!$C$2:$C$50000,C2099,全馬データ!$D$2:$D$50000,E2099)))</f>
        <v/>
      </c>
      <c r="AP2099" s="8" t="str">
        <f aca="false">IF(A2099="","",IF(AO2099="","欠損",IF(AO2099&lt;=1.1,"1.0～1.1",IF(AO2099&lt;1.3,"1.2",IF(AO2099&lt;1.5,"1.3～1.4",IF(AO2099&lt;2,"1.5～1.9","2.0以上"))))))</f>
        <v/>
      </c>
      <c r="AQ2099" s="8" t="str">
        <f aca="false">IF(A2099="","",IF(ISNUMBER(SEARCH("2歳",Z2099)),"2歳戦",IF(ISNUMBER(SEARCH("3歳未勝利",Z2099)),"3歳未勝利",IF(ISNUMBER(SEARCH("未勝利",Z2099)),"その他未勝利",IF(ISNUMBER(SEARCH("G1",Z2099)),"G1",IF(ISNUMBER(SEARCH("G2",Z2099)),"G2",IF(ISNUMBER(SEARCH("G3",Z2099)),"G3",IF(ISNUMBER(SEARCH("古馬条件",Z2099)),"古馬条件戦",IF(ISNUMBER(SEARCH("重賞",Z2099)),"重賞","分類不能")))))))))</f>
        <v/>
      </c>
    </row>
    <row r="2100" customFormat="false" ht="15.75" hidden="false" customHeight="false" outlineLevel="0" collapsed="false">
      <c r="AO2100" s="8" t="str">
        <f aca="false">IF(A2100="","",IF(COUNTIFS(全馬データ!$A$2:$A$50000,A2100,全馬データ!$B$2:$B$50000,B2100,全馬データ!$C$2:$C$50000,C2100,全馬データ!$D$2:$D$50000,E2100,全馬データ!$K$2:$K$50000,"&lt;&gt;")=0,"",SUMIFS(全馬データ!$K$2:$K$50000,全馬データ!$A$2:$A$50000,A2100,全馬データ!$B$2:$B$50000,B2100,全馬データ!$C$2:$C$50000,C2100,全馬データ!$D$2:$D$50000,E2100)))</f>
        <v/>
      </c>
      <c r="AP2100" s="8" t="str">
        <f aca="false">IF(A2100="","",IF(AO2100="","欠損",IF(AO2100&lt;=1.1,"1.0～1.1",IF(AO2100&lt;1.3,"1.2",IF(AO2100&lt;1.5,"1.3～1.4",IF(AO2100&lt;2,"1.5～1.9","2.0以上"))))))</f>
        <v/>
      </c>
      <c r="AQ2100" s="8" t="str">
        <f aca="false">IF(A2100="","",IF(ISNUMBER(SEARCH("2歳",Z2100)),"2歳戦",IF(ISNUMBER(SEARCH("3歳未勝利",Z2100)),"3歳未勝利",IF(ISNUMBER(SEARCH("未勝利",Z2100)),"その他未勝利",IF(ISNUMBER(SEARCH("G1",Z2100)),"G1",IF(ISNUMBER(SEARCH("G2",Z2100)),"G2",IF(ISNUMBER(SEARCH("G3",Z2100)),"G3",IF(ISNUMBER(SEARCH("古馬条件",Z2100)),"古馬条件戦",IF(ISNUMBER(SEARCH("重賞",Z2100)),"重賞","分類不能")))))))))</f>
        <v/>
      </c>
    </row>
    <row r="2101" customFormat="false" ht="15.75" hidden="false" customHeight="false" outlineLevel="0" collapsed="false">
      <c r="AO2101" s="8" t="str">
        <f aca="false">IF(A2101="","",IF(COUNTIFS(全馬データ!$A$2:$A$50000,A2101,全馬データ!$B$2:$B$50000,B2101,全馬データ!$C$2:$C$50000,C2101,全馬データ!$D$2:$D$50000,E2101,全馬データ!$K$2:$K$50000,"&lt;&gt;")=0,"",SUMIFS(全馬データ!$K$2:$K$50000,全馬データ!$A$2:$A$50000,A2101,全馬データ!$B$2:$B$50000,B2101,全馬データ!$C$2:$C$50000,C2101,全馬データ!$D$2:$D$50000,E2101)))</f>
        <v/>
      </c>
      <c r="AP2101" s="8" t="str">
        <f aca="false">IF(A2101="","",IF(AO2101="","欠損",IF(AO2101&lt;=1.1,"1.0～1.1",IF(AO2101&lt;1.3,"1.2",IF(AO2101&lt;1.5,"1.3～1.4",IF(AO2101&lt;2,"1.5～1.9","2.0以上"))))))</f>
        <v/>
      </c>
      <c r="AQ2101" s="8" t="str">
        <f aca="false">IF(A2101="","",IF(ISNUMBER(SEARCH("2歳",Z2101)),"2歳戦",IF(ISNUMBER(SEARCH("3歳未勝利",Z2101)),"3歳未勝利",IF(ISNUMBER(SEARCH("未勝利",Z2101)),"その他未勝利",IF(ISNUMBER(SEARCH("G1",Z2101)),"G1",IF(ISNUMBER(SEARCH("G2",Z2101)),"G2",IF(ISNUMBER(SEARCH("G3",Z2101)),"G3",IF(ISNUMBER(SEARCH("古馬条件",Z2101)),"古馬条件戦",IF(ISNUMBER(SEARCH("重賞",Z2101)),"重賞","分類不能")))))))))</f>
        <v/>
      </c>
    </row>
    <row r="2102" customFormat="false" ht="15.75" hidden="false" customHeight="false" outlineLevel="0" collapsed="false">
      <c r="AO2102" s="8" t="str">
        <f aca="false">IF(A2102="","",IF(COUNTIFS(全馬データ!$A$2:$A$50000,A2102,全馬データ!$B$2:$B$50000,B2102,全馬データ!$C$2:$C$50000,C2102,全馬データ!$D$2:$D$50000,E2102,全馬データ!$K$2:$K$50000,"&lt;&gt;")=0,"",SUMIFS(全馬データ!$K$2:$K$50000,全馬データ!$A$2:$A$50000,A2102,全馬データ!$B$2:$B$50000,B2102,全馬データ!$C$2:$C$50000,C2102,全馬データ!$D$2:$D$50000,E2102)))</f>
        <v/>
      </c>
      <c r="AP2102" s="8" t="str">
        <f aca="false">IF(A2102="","",IF(AO2102="","欠損",IF(AO2102&lt;=1.1,"1.0～1.1",IF(AO2102&lt;1.3,"1.2",IF(AO2102&lt;1.5,"1.3～1.4",IF(AO2102&lt;2,"1.5～1.9","2.0以上"))))))</f>
        <v/>
      </c>
      <c r="AQ2102" s="8" t="str">
        <f aca="false">IF(A2102="","",IF(ISNUMBER(SEARCH("2歳",Z2102)),"2歳戦",IF(ISNUMBER(SEARCH("3歳未勝利",Z2102)),"3歳未勝利",IF(ISNUMBER(SEARCH("未勝利",Z2102)),"その他未勝利",IF(ISNUMBER(SEARCH("G1",Z2102)),"G1",IF(ISNUMBER(SEARCH("G2",Z2102)),"G2",IF(ISNUMBER(SEARCH("G3",Z2102)),"G3",IF(ISNUMBER(SEARCH("古馬条件",Z2102)),"古馬条件戦",IF(ISNUMBER(SEARCH("重賞",Z2102)),"重賞","分類不能")))))))))</f>
        <v/>
      </c>
    </row>
    <row r="2103" customFormat="false" ht="15.75" hidden="false" customHeight="false" outlineLevel="0" collapsed="false">
      <c r="AO2103" s="8" t="str">
        <f aca="false">IF(A2103="","",IF(COUNTIFS(全馬データ!$A$2:$A$50000,A2103,全馬データ!$B$2:$B$50000,B2103,全馬データ!$C$2:$C$50000,C2103,全馬データ!$D$2:$D$50000,E2103,全馬データ!$K$2:$K$50000,"&lt;&gt;")=0,"",SUMIFS(全馬データ!$K$2:$K$50000,全馬データ!$A$2:$A$50000,A2103,全馬データ!$B$2:$B$50000,B2103,全馬データ!$C$2:$C$50000,C2103,全馬データ!$D$2:$D$50000,E2103)))</f>
        <v/>
      </c>
      <c r="AP2103" s="8" t="str">
        <f aca="false">IF(A2103="","",IF(AO2103="","欠損",IF(AO2103&lt;=1.1,"1.0～1.1",IF(AO2103&lt;1.3,"1.2",IF(AO2103&lt;1.5,"1.3～1.4",IF(AO2103&lt;2,"1.5～1.9","2.0以上"))))))</f>
        <v/>
      </c>
      <c r="AQ2103" s="8" t="str">
        <f aca="false">IF(A2103="","",IF(ISNUMBER(SEARCH("2歳",Z2103)),"2歳戦",IF(ISNUMBER(SEARCH("3歳未勝利",Z2103)),"3歳未勝利",IF(ISNUMBER(SEARCH("未勝利",Z2103)),"その他未勝利",IF(ISNUMBER(SEARCH("G1",Z2103)),"G1",IF(ISNUMBER(SEARCH("G2",Z2103)),"G2",IF(ISNUMBER(SEARCH("G3",Z2103)),"G3",IF(ISNUMBER(SEARCH("古馬条件",Z2103)),"古馬条件戦",IF(ISNUMBER(SEARCH("重賞",Z2103)),"重賞","分類不能")))))))))</f>
        <v/>
      </c>
    </row>
    <row r="2104" customFormat="false" ht="15.75" hidden="false" customHeight="false" outlineLevel="0" collapsed="false">
      <c r="AO2104" s="8" t="str">
        <f aca="false">IF(A2104="","",IF(COUNTIFS(全馬データ!$A$2:$A$50000,A2104,全馬データ!$B$2:$B$50000,B2104,全馬データ!$C$2:$C$50000,C2104,全馬データ!$D$2:$D$50000,E2104,全馬データ!$K$2:$K$50000,"&lt;&gt;")=0,"",SUMIFS(全馬データ!$K$2:$K$50000,全馬データ!$A$2:$A$50000,A2104,全馬データ!$B$2:$B$50000,B2104,全馬データ!$C$2:$C$50000,C2104,全馬データ!$D$2:$D$50000,E2104)))</f>
        <v/>
      </c>
      <c r="AP2104" s="8" t="str">
        <f aca="false">IF(A2104="","",IF(AO2104="","欠損",IF(AO2104&lt;=1.1,"1.0～1.1",IF(AO2104&lt;1.3,"1.2",IF(AO2104&lt;1.5,"1.3～1.4",IF(AO2104&lt;2,"1.5～1.9","2.0以上"))))))</f>
        <v/>
      </c>
      <c r="AQ2104" s="8" t="str">
        <f aca="false">IF(A2104="","",IF(ISNUMBER(SEARCH("2歳",Z2104)),"2歳戦",IF(ISNUMBER(SEARCH("3歳未勝利",Z2104)),"3歳未勝利",IF(ISNUMBER(SEARCH("未勝利",Z2104)),"その他未勝利",IF(ISNUMBER(SEARCH("G1",Z2104)),"G1",IF(ISNUMBER(SEARCH("G2",Z2104)),"G2",IF(ISNUMBER(SEARCH("G3",Z2104)),"G3",IF(ISNUMBER(SEARCH("古馬条件",Z2104)),"古馬条件戦",IF(ISNUMBER(SEARCH("重賞",Z2104)),"重賞","分類不能")))))))))</f>
        <v/>
      </c>
    </row>
    <row r="2105" customFormat="false" ht="15.75" hidden="false" customHeight="false" outlineLevel="0" collapsed="false">
      <c r="AO2105" s="8" t="str">
        <f aca="false">IF(A2105="","",IF(COUNTIFS(全馬データ!$A$2:$A$50000,A2105,全馬データ!$B$2:$B$50000,B2105,全馬データ!$C$2:$C$50000,C2105,全馬データ!$D$2:$D$50000,E2105,全馬データ!$K$2:$K$50000,"&lt;&gt;")=0,"",SUMIFS(全馬データ!$K$2:$K$50000,全馬データ!$A$2:$A$50000,A2105,全馬データ!$B$2:$B$50000,B2105,全馬データ!$C$2:$C$50000,C2105,全馬データ!$D$2:$D$50000,E2105)))</f>
        <v/>
      </c>
      <c r="AP2105" s="8" t="str">
        <f aca="false">IF(A2105="","",IF(AO2105="","欠損",IF(AO2105&lt;=1.1,"1.0～1.1",IF(AO2105&lt;1.3,"1.2",IF(AO2105&lt;1.5,"1.3～1.4",IF(AO2105&lt;2,"1.5～1.9","2.0以上"))))))</f>
        <v/>
      </c>
      <c r="AQ2105" s="8" t="str">
        <f aca="false">IF(A2105="","",IF(ISNUMBER(SEARCH("2歳",Z2105)),"2歳戦",IF(ISNUMBER(SEARCH("3歳未勝利",Z2105)),"3歳未勝利",IF(ISNUMBER(SEARCH("未勝利",Z2105)),"その他未勝利",IF(ISNUMBER(SEARCH("G1",Z2105)),"G1",IF(ISNUMBER(SEARCH("G2",Z2105)),"G2",IF(ISNUMBER(SEARCH("G3",Z2105)),"G3",IF(ISNUMBER(SEARCH("古馬条件",Z2105)),"古馬条件戦",IF(ISNUMBER(SEARCH("重賞",Z2105)),"重賞","分類不能")))))))))</f>
        <v/>
      </c>
    </row>
    <row r="2106" customFormat="false" ht="15.75" hidden="false" customHeight="false" outlineLevel="0" collapsed="false">
      <c r="AO2106" s="8" t="str">
        <f aca="false">IF(A2106="","",IF(COUNTIFS(全馬データ!$A$2:$A$50000,A2106,全馬データ!$B$2:$B$50000,B2106,全馬データ!$C$2:$C$50000,C2106,全馬データ!$D$2:$D$50000,E2106,全馬データ!$K$2:$K$50000,"&lt;&gt;")=0,"",SUMIFS(全馬データ!$K$2:$K$50000,全馬データ!$A$2:$A$50000,A2106,全馬データ!$B$2:$B$50000,B2106,全馬データ!$C$2:$C$50000,C2106,全馬データ!$D$2:$D$50000,E2106)))</f>
        <v/>
      </c>
      <c r="AP2106" s="8" t="str">
        <f aca="false">IF(A2106="","",IF(AO2106="","欠損",IF(AO2106&lt;=1.1,"1.0～1.1",IF(AO2106&lt;1.3,"1.2",IF(AO2106&lt;1.5,"1.3～1.4",IF(AO2106&lt;2,"1.5～1.9","2.0以上"))))))</f>
        <v/>
      </c>
      <c r="AQ2106" s="8" t="str">
        <f aca="false">IF(A2106="","",IF(ISNUMBER(SEARCH("2歳",Z2106)),"2歳戦",IF(ISNUMBER(SEARCH("3歳未勝利",Z2106)),"3歳未勝利",IF(ISNUMBER(SEARCH("未勝利",Z2106)),"その他未勝利",IF(ISNUMBER(SEARCH("G1",Z2106)),"G1",IF(ISNUMBER(SEARCH("G2",Z2106)),"G2",IF(ISNUMBER(SEARCH("G3",Z2106)),"G3",IF(ISNUMBER(SEARCH("古馬条件",Z2106)),"古馬条件戦",IF(ISNUMBER(SEARCH("重賞",Z2106)),"重賞","分類不能")))))))))</f>
        <v/>
      </c>
    </row>
    <row r="2107" customFormat="false" ht="15.75" hidden="false" customHeight="false" outlineLevel="0" collapsed="false">
      <c r="AO2107" s="8" t="str">
        <f aca="false">IF(A2107="","",IF(COUNTIFS(全馬データ!$A$2:$A$50000,A2107,全馬データ!$B$2:$B$50000,B2107,全馬データ!$C$2:$C$50000,C2107,全馬データ!$D$2:$D$50000,E2107,全馬データ!$K$2:$K$50000,"&lt;&gt;")=0,"",SUMIFS(全馬データ!$K$2:$K$50000,全馬データ!$A$2:$A$50000,A2107,全馬データ!$B$2:$B$50000,B2107,全馬データ!$C$2:$C$50000,C2107,全馬データ!$D$2:$D$50000,E2107)))</f>
        <v/>
      </c>
      <c r="AP2107" s="8" t="str">
        <f aca="false">IF(A2107="","",IF(AO2107="","欠損",IF(AO2107&lt;=1.1,"1.0～1.1",IF(AO2107&lt;1.3,"1.2",IF(AO2107&lt;1.5,"1.3～1.4",IF(AO2107&lt;2,"1.5～1.9","2.0以上"))))))</f>
        <v/>
      </c>
      <c r="AQ2107" s="8" t="str">
        <f aca="false">IF(A2107="","",IF(ISNUMBER(SEARCH("2歳",Z2107)),"2歳戦",IF(ISNUMBER(SEARCH("3歳未勝利",Z2107)),"3歳未勝利",IF(ISNUMBER(SEARCH("未勝利",Z2107)),"その他未勝利",IF(ISNUMBER(SEARCH("G1",Z2107)),"G1",IF(ISNUMBER(SEARCH("G2",Z2107)),"G2",IF(ISNUMBER(SEARCH("G3",Z2107)),"G3",IF(ISNUMBER(SEARCH("古馬条件",Z2107)),"古馬条件戦",IF(ISNUMBER(SEARCH("重賞",Z2107)),"重賞","分類不能")))))))))</f>
        <v/>
      </c>
    </row>
    <row r="2108" customFormat="false" ht="15.75" hidden="false" customHeight="false" outlineLevel="0" collapsed="false">
      <c r="AO2108" s="8" t="str">
        <f aca="false">IF(A2108="","",IF(COUNTIFS(全馬データ!$A$2:$A$50000,A2108,全馬データ!$B$2:$B$50000,B2108,全馬データ!$C$2:$C$50000,C2108,全馬データ!$D$2:$D$50000,E2108,全馬データ!$K$2:$K$50000,"&lt;&gt;")=0,"",SUMIFS(全馬データ!$K$2:$K$50000,全馬データ!$A$2:$A$50000,A2108,全馬データ!$B$2:$B$50000,B2108,全馬データ!$C$2:$C$50000,C2108,全馬データ!$D$2:$D$50000,E2108)))</f>
        <v/>
      </c>
      <c r="AP2108" s="8" t="str">
        <f aca="false">IF(A2108="","",IF(AO2108="","欠損",IF(AO2108&lt;=1.1,"1.0～1.1",IF(AO2108&lt;1.3,"1.2",IF(AO2108&lt;1.5,"1.3～1.4",IF(AO2108&lt;2,"1.5～1.9","2.0以上"))))))</f>
        <v/>
      </c>
      <c r="AQ2108" s="8" t="str">
        <f aca="false">IF(A2108="","",IF(ISNUMBER(SEARCH("2歳",Z2108)),"2歳戦",IF(ISNUMBER(SEARCH("3歳未勝利",Z2108)),"3歳未勝利",IF(ISNUMBER(SEARCH("未勝利",Z2108)),"その他未勝利",IF(ISNUMBER(SEARCH("G1",Z2108)),"G1",IF(ISNUMBER(SEARCH("G2",Z2108)),"G2",IF(ISNUMBER(SEARCH("G3",Z2108)),"G3",IF(ISNUMBER(SEARCH("古馬条件",Z2108)),"古馬条件戦",IF(ISNUMBER(SEARCH("重賞",Z2108)),"重賞","分類不能")))))))))</f>
        <v/>
      </c>
    </row>
    <row r="2109" customFormat="false" ht="15.75" hidden="false" customHeight="false" outlineLevel="0" collapsed="false">
      <c r="AO2109" s="8" t="str">
        <f aca="false">IF(A2109="","",IF(COUNTIFS(全馬データ!$A$2:$A$50000,A2109,全馬データ!$B$2:$B$50000,B2109,全馬データ!$C$2:$C$50000,C2109,全馬データ!$D$2:$D$50000,E2109,全馬データ!$K$2:$K$50000,"&lt;&gt;")=0,"",SUMIFS(全馬データ!$K$2:$K$50000,全馬データ!$A$2:$A$50000,A2109,全馬データ!$B$2:$B$50000,B2109,全馬データ!$C$2:$C$50000,C2109,全馬データ!$D$2:$D$50000,E2109)))</f>
        <v/>
      </c>
      <c r="AP2109" s="8" t="str">
        <f aca="false">IF(A2109="","",IF(AO2109="","欠損",IF(AO2109&lt;=1.1,"1.0～1.1",IF(AO2109&lt;1.3,"1.2",IF(AO2109&lt;1.5,"1.3～1.4",IF(AO2109&lt;2,"1.5～1.9","2.0以上"))))))</f>
        <v/>
      </c>
      <c r="AQ2109" s="8" t="str">
        <f aca="false">IF(A2109="","",IF(ISNUMBER(SEARCH("2歳",Z2109)),"2歳戦",IF(ISNUMBER(SEARCH("3歳未勝利",Z2109)),"3歳未勝利",IF(ISNUMBER(SEARCH("未勝利",Z2109)),"その他未勝利",IF(ISNUMBER(SEARCH("G1",Z2109)),"G1",IF(ISNUMBER(SEARCH("G2",Z2109)),"G2",IF(ISNUMBER(SEARCH("G3",Z2109)),"G3",IF(ISNUMBER(SEARCH("古馬条件",Z2109)),"古馬条件戦",IF(ISNUMBER(SEARCH("重賞",Z2109)),"重賞","分類不能")))))))))</f>
        <v/>
      </c>
    </row>
    <row r="2110" customFormat="false" ht="15.75" hidden="false" customHeight="false" outlineLevel="0" collapsed="false">
      <c r="AO2110" s="8" t="str">
        <f aca="false">IF(A2110="","",IF(COUNTIFS(全馬データ!$A$2:$A$50000,A2110,全馬データ!$B$2:$B$50000,B2110,全馬データ!$C$2:$C$50000,C2110,全馬データ!$D$2:$D$50000,E2110,全馬データ!$K$2:$K$50000,"&lt;&gt;")=0,"",SUMIFS(全馬データ!$K$2:$K$50000,全馬データ!$A$2:$A$50000,A2110,全馬データ!$B$2:$B$50000,B2110,全馬データ!$C$2:$C$50000,C2110,全馬データ!$D$2:$D$50000,E2110)))</f>
        <v/>
      </c>
      <c r="AP2110" s="8" t="str">
        <f aca="false">IF(A2110="","",IF(AO2110="","欠損",IF(AO2110&lt;=1.1,"1.0～1.1",IF(AO2110&lt;1.3,"1.2",IF(AO2110&lt;1.5,"1.3～1.4",IF(AO2110&lt;2,"1.5～1.9","2.0以上"))))))</f>
        <v/>
      </c>
      <c r="AQ2110" s="8" t="str">
        <f aca="false">IF(A2110="","",IF(ISNUMBER(SEARCH("2歳",Z2110)),"2歳戦",IF(ISNUMBER(SEARCH("3歳未勝利",Z2110)),"3歳未勝利",IF(ISNUMBER(SEARCH("未勝利",Z2110)),"その他未勝利",IF(ISNUMBER(SEARCH("G1",Z2110)),"G1",IF(ISNUMBER(SEARCH("G2",Z2110)),"G2",IF(ISNUMBER(SEARCH("G3",Z2110)),"G3",IF(ISNUMBER(SEARCH("古馬条件",Z2110)),"古馬条件戦",IF(ISNUMBER(SEARCH("重賞",Z2110)),"重賞","分類不能")))))))))</f>
        <v/>
      </c>
    </row>
    <row r="2111" customFormat="false" ht="15.75" hidden="false" customHeight="false" outlineLevel="0" collapsed="false">
      <c r="AO2111" s="8" t="str">
        <f aca="false">IF(A2111="","",IF(COUNTIFS(全馬データ!$A$2:$A$50000,A2111,全馬データ!$B$2:$B$50000,B2111,全馬データ!$C$2:$C$50000,C2111,全馬データ!$D$2:$D$50000,E2111,全馬データ!$K$2:$K$50000,"&lt;&gt;")=0,"",SUMIFS(全馬データ!$K$2:$K$50000,全馬データ!$A$2:$A$50000,A2111,全馬データ!$B$2:$B$50000,B2111,全馬データ!$C$2:$C$50000,C2111,全馬データ!$D$2:$D$50000,E2111)))</f>
        <v/>
      </c>
      <c r="AP2111" s="8" t="str">
        <f aca="false">IF(A2111="","",IF(AO2111="","欠損",IF(AO2111&lt;=1.1,"1.0～1.1",IF(AO2111&lt;1.3,"1.2",IF(AO2111&lt;1.5,"1.3～1.4",IF(AO2111&lt;2,"1.5～1.9","2.0以上"))))))</f>
        <v/>
      </c>
      <c r="AQ2111" s="8" t="str">
        <f aca="false">IF(A2111="","",IF(ISNUMBER(SEARCH("2歳",Z2111)),"2歳戦",IF(ISNUMBER(SEARCH("3歳未勝利",Z2111)),"3歳未勝利",IF(ISNUMBER(SEARCH("未勝利",Z2111)),"その他未勝利",IF(ISNUMBER(SEARCH("G1",Z2111)),"G1",IF(ISNUMBER(SEARCH("G2",Z2111)),"G2",IF(ISNUMBER(SEARCH("G3",Z2111)),"G3",IF(ISNUMBER(SEARCH("古馬条件",Z2111)),"古馬条件戦",IF(ISNUMBER(SEARCH("重賞",Z2111)),"重賞","分類不能")))))))))</f>
        <v/>
      </c>
    </row>
    <row r="2112" customFormat="false" ht="15.75" hidden="false" customHeight="false" outlineLevel="0" collapsed="false">
      <c r="AO2112" s="8" t="str">
        <f aca="false">IF(A2112="","",IF(COUNTIFS(全馬データ!$A$2:$A$50000,A2112,全馬データ!$B$2:$B$50000,B2112,全馬データ!$C$2:$C$50000,C2112,全馬データ!$D$2:$D$50000,E2112,全馬データ!$K$2:$K$50000,"&lt;&gt;")=0,"",SUMIFS(全馬データ!$K$2:$K$50000,全馬データ!$A$2:$A$50000,A2112,全馬データ!$B$2:$B$50000,B2112,全馬データ!$C$2:$C$50000,C2112,全馬データ!$D$2:$D$50000,E2112)))</f>
        <v/>
      </c>
      <c r="AP2112" s="8" t="str">
        <f aca="false">IF(A2112="","",IF(AO2112="","欠損",IF(AO2112&lt;=1.1,"1.0～1.1",IF(AO2112&lt;1.3,"1.2",IF(AO2112&lt;1.5,"1.3～1.4",IF(AO2112&lt;2,"1.5～1.9","2.0以上"))))))</f>
        <v/>
      </c>
      <c r="AQ2112" s="8" t="str">
        <f aca="false">IF(A2112="","",IF(ISNUMBER(SEARCH("2歳",Z2112)),"2歳戦",IF(ISNUMBER(SEARCH("3歳未勝利",Z2112)),"3歳未勝利",IF(ISNUMBER(SEARCH("未勝利",Z2112)),"その他未勝利",IF(ISNUMBER(SEARCH("G1",Z2112)),"G1",IF(ISNUMBER(SEARCH("G2",Z2112)),"G2",IF(ISNUMBER(SEARCH("G3",Z2112)),"G3",IF(ISNUMBER(SEARCH("古馬条件",Z2112)),"古馬条件戦",IF(ISNUMBER(SEARCH("重賞",Z2112)),"重賞","分類不能")))))))))</f>
        <v/>
      </c>
    </row>
    <row r="2113" customFormat="false" ht="15.75" hidden="false" customHeight="false" outlineLevel="0" collapsed="false">
      <c r="AO2113" s="8" t="str">
        <f aca="false">IF(A2113="","",IF(COUNTIFS(全馬データ!$A$2:$A$50000,A2113,全馬データ!$B$2:$B$50000,B2113,全馬データ!$C$2:$C$50000,C2113,全馬データ!$D$2:$D$50000,E2113,全馬データ!$K$2:$K$50000,"&lt;&gt;")=0,"",SUMIFS(全馬データ!$K$2:$K$50000,全馬データ!$A$2:$A$50000,A2113,全馬データ!$B$2:$B$50000,B2113,全馬データ!$C$2:$C$50000,C2113,全馬データ!$D$2:$D$50000,E2113)))</f>
        <v/>
      </c>
      <c r="AP2113" s="8" t="str">
        <f aca="false">IF(A2113="","",IF(AO2113="","欠損",IF(AO2113&lt;=1.1,"1.0～1.1",IF(AO2113&lt;1.3,"1.2",IF(AO2113&lt;1.5,"1.3～1.4",IF(AO2113&lt;2,"1.5～1.9","2.0以上"))))))</f>
        <v/>
      </c>
      <c r="AQ2113" s="8" t="str">
        <f aca="false">IF(A2113="","",IF(ISNUMBER(SEARCH("2歳",Z2113)),"2歳戦",IF(ISNUMBER(SEARCH("3歳未勝利",Z2113)),"3歳未勝利",IF(ISNUMBER(SEARCH("未勝利",Z2113)),"その他未勝利",IF(ISNUMBER(SEARCH("G1",Z2113)),"G1",IF(ISNUMBER(SEARCH("G2",Z2113)),"G2",IF(ISNUMBER(SEARCH("G3",Z2113)),"G3",IF(ISNUMBER(SEARCH("古馬条件",Z2113)),"古馬条件戦",IF(ISNUMBER(SEARCH("重賞",Z2113)),"重賞","分類不能")))))))))</f>
        <v/>
      </c>
    </row>
    <row r="2114" customFormat="false" ht="15.75" hidden="false" customHeight="false" outlineLevel="0" collapsed="false">
      <c r="AO2114" s="8" t="str">
        <f aca="false">IF(A2114="","",IF(COUNTIFS(全馬データ!$A$2:$A$50000,A2114,全馬データ!$B$2:$B$50000,B2114,全馬データ!$C$2:$C$50000,C2114,全馬データ!$D$2:$D$50000,E2114,全馬データ!$K$2:$K$50000,"&lt;&gt;")=0,"",SUMIFS(全馬データ!$K$2:$K$50000,全馬データ!$A$2:$A$50000,A2114,全馬データ!$B$2:$B$50000,B2114,全馬データ!$C$2:$C$50000,C2114,全馬データ!$D$2:$D$50000,E2114)))</f>
        <v/>
      </c>
      <c r="AP2114" s="8" t="str">
        <f aca="false">IF(A2114="","",IF(AO2114="","欠損",IF(AO2114&lt;=1.1,"1.0～1.1",IF(AO2114&lt;1.3,"1.2",IF(AO2114&lt;1.5,"1.3～1.4",IF(AO2114&lt;2,"1.5～1.9","2.0以上"))))))</f>
        <v/>
      </c>
      <c r="AQ2114" s="8" t="str">
        <f aca="false">IF(A2114="","",IF(ISNUMBER(SEARCH("2歳",Z2114)),"2歳戦",IF(ISNUMBER(SEARCH("3歳未勝利",Z2114)),"3歳未勝利",IF(ISNUMBER(SEARCH("未勝利",Z2114)),"その他未勝利",IF(ISNUMBER(SEARCH("G1",Z2114)),"G1",IF(ISNUMBER(SEARCH("G2",Z2114)),"G2",IF(ISNUMBER(SEARCH("G3",Z2114)),"G3",IF(ISNUMBER(SEARCH("古馬条件",Z2114)),"古馬条件戦",IF(ISNUMBER(SEARCH("重賞",Z2114)),"重賞","分類不能")))))))))</f>
        <v/>
      </c>
    </row>
    <row r="2115" customFormat="false" ht="15.75" hidden="false" customHeight="false" outlineLevel="0" collapsed="false">
      <c r="AO2115" s="8" t="str">
        <f aca="false">IF(A2115="","",IF(COUNTIFS(全馬データ!$A$2:$A$50000,A2115,全馬データ!$B$2:$B$50000,B2115,全馬データ!$C$2:$C$50000,C2115,全馬データ!$D$2:$D$50000,E2115,全馬データ!$K$2:$K$50000,"&lt;&gt;")=0,"",SUMIFS(全馬データ!$K$2:$K$50000,全馬データ!$A$2:$A$50000,A2115,全馬データ!$B$2:$B$50000,B2115,全馬データ!$C$2:$C$50000,C2115,全馬データ!$D$2:$D$50000,E2115)))</f>
        <v/>
      </c>
      <c r="AP2115" s="8" t="str">
        <f aca="false">IF(A2115="","",IF(AO2115="","欠損",IF(AO2115&lt;=1.1,"1.0～1.1",IF(AO2115&lt;1.3,"1.2",IF(AO2115&lt;1.5,"1.3～1.4",IF(AO2115&lt;2,"1.5～1.9","2.0以上"))))))</f>
        <v/>
      </c>
      <c r="AQ2115" s="8" t="str">
        <f aca="false">IF(A2115="","",IF(ISNUMBER(SEARCH("2歳",Z2115)),"2歳戦",IF(ISNUMBER(SEARCH("3歳未勝利",Z2115)),"3歳未勝利",IF(ISNUMBER(SEARCH("未勝利",Z2115)),"その他未勝利",IF(ISNUMBER(SEARCH("G1",Z2115)),"G1",IF(ISNUMBER(SEARCH("G2",Z2115)),"G2",IF(ISNUMBER(SEARCH("G3",Z2115)),"G3",IF(ISNUMBER(SEARCH("古馬条件",Z2115)),"古馬条件戦",IF(ISNUMBER(SEARCH("重賞",Z2115)),"重賞","分類不能")))))))))</f>
        <v/>
      </c>
    </row>
    <row r="2116" customFormat="false" ht="15.75" hidden="false" customHeight="false" outlineLevel="0" collapsed="false">
      <c r="AO2116" s="8" t="str">
        <f aca="false">IF(A2116="","",IF(COUNTIFS(全馬データ!$A$2:$A$50000,A2116,全馬データ!$B$2:$B$50000,B2116,全馬データ!$C$2:$C$50000,C2116,全馬データ!$D$2:$D$50000,E2116,全馬データ!$K$2:$K$50000,"&lt;&gt;")=0,"",SUMIFS(全馬データ!$K$2:$K$50000,全馬データ!$A$2:$A$50000,A2116,全馬データ!$B$2:$B$50000,B2116,全馬データ!$C$2:$C$50000,C2116,全馬データ!$D$2:$D$50000,E2116)))</f>
        <v/>
      </c>
      <c r="AP2116" s="8" t="str">
        <f aca="false">IF(A2116="","",IF(AO2116="","欠損",IF(AO2116&lt;=1.1,"1.0～1.1",IF(AO2116&lt;1.3,"1.2",IF(AO2116&lt;1.5,"1.3～1.4",IF(AO2116&lt;2,"1.5～1.9","2.0以上"))))))</f>
        <v/>
      </c>
      <c r="AQ2116" s="8" t="str">
        <f aca="false">IF(A2116="","",IF(ISNUMBER(SEARCH("2歳",Z2116)),"2歳戦",IF(ISNUMBER(SEARCH("3歳未勝利",Z2116)),"3歳未勝利",IF(ISNUMBER(SEARCH("未勝利",Z2116)),"その他未勝利",IF(ISNUMBER(SEARCH("G1",Z2116)),"G1",IF(ISNUMBER(SEARCH("G2",Z2116)),"G2",IF(ISNUMBER(SEARCH("G3",Z2116)),"G3",IF(ISNUMBER(SEARCH("古馬条件",Z2116)),"古馬条件戦",IF(ISNUMBER(SEARCH("重賞",Z2116)),"重賞","分類不能")))))))))</f>
        <v/>
      </c>
    </row>
    <row r="2117" customFormat="false" ht="15.75" hidden="false" customHeight="false" outlineLevel="0" collapsed="false">
      <c r="AO2117" s="8" t="str">
        <f aca="false">IF(A2117="","",IF(COUNTIFS(全馬データ!$A$2:$A$50000,A2117,全馬データ!$B$2:$B$50000,B2117,全馬データ!$C$2:$C$50000,C2117,全馬データ!$D$2:$D$50000,E2117,全馬データ!$K$2:$K$50000,"&lt;&gt;")=0,"",SUMIFS(全馬データ!$K$2:$K$50000,全馬データ!$A$2:$A$50000,A2117,全馬データ!$B$2:$B$50000,B2117,全馬データ!$C$2:$C$50000,C2117,全馬データ!$D$2:$D$50000,E2117)))</f>
        <v/>
      </c>
      <c r="AP2117" s="8" t="str">
        <f aca="false">IF(A2117="","",IF(AO2117="","欠損",IF(AO2117&lt;=1.1,"1.0～1.1",IF(AO2117&lt;1.3,"1.2",IF(AO2117&lt;1.5,"1.3～1.4",IF(AO2117&lt;2,"1.5～1.9","2.0以上"))))))</f>
        <v/>
      </c>
      <c r="AQ2117" s="8" t="str">
        <f aca="false">IF(A2117="","",IF(ISNUMBER(SEARCH("2歳",Z2117)),"2歳戦",IF(ISNUMBER(SEARCH("3歳未勝利",Z2117)),"3歳未勝利",IF(ISNUMBER(SEARCH("未勝利",Z2117)),"その他未勝利",IF(ISNUMBER(SEARCH("G1",Z2117)),"G1",IF(ISNUMBER(SEARCH("G2",Z2117)),"G2",IF(ISNUMBER(SEARCH("G3",Z2117)),"G3",IF(ISNUMBER(SEARCH("古馬条件",Z2117)),"古馬条件戦",IF(ISNUMBER(SEARCH("重賞",Z2117)),"重賞","分類不能")))))))))</f>
        <v/>
      </c>
    </row>
    <row r="2118" customFormat="false" ht="15.75" hidden="false" customHeight="false" outlineLevel="0" collapsed="false">
      <c r="AO2118" s="8" t="str">
        <f aca="false">IF(A2118="","",IF(COUNTIFS(全馬データ!$A$2:$A$50000,A2118,全馬データ!$B$2:$B$50000,B2118,全馬データ!$C$2:$C$50000,C2118,全馬データ!$D$2:$D$50000,E2118,全馬データ!$K$2:$K$50000,"&lt;&gt;")=0,"",SUMIFS(全馬データ!$K$2:$K$50000,全馬データ!$A$2:$A$50000,A2118,全馬データ!$B$2:$B$50000,B2118,全馬データ!$C$2:$C$50000,C2118,全馬データ!$D$2:$D$50000,E2118)))</f>
        <v/>
      </c>
      <c r="AP2118" s="8" t="str">
        <f aca="false">IF(A2118="","",IF(AO2118="","欠損",IF(AO2118&lt;=1.1,"1.0～1.1",IF(AO2118&lt;1.3,"1.2",IF(AO2118&lt;1.5,"1.3～1.4",IF(AO2118&lt;2,"1.5～1.9","2.0以上"))))))</f>
        <v/>
      </c>
      <c r="AQ2118" s="8" t="str">
        <f aca="false">IF(A2118="","",IF(ISNUMBER(SEARCH("2歳",Z2118)),"2歳戦",IF(ISNUMBER(SEARCH("3歳未勝利",Z2118)),"3歳未勝利",IF(ISNUMBER(SEARCH("未勝利",Z2118)),"その他未勝利",IF(ISNUMBER(SEARCH("G1",Z2118)),"G1",IF(ISNUMBER(SEARCH("G2",Z2118)),"G2",IF(ISNUMBER(SEARCH("G3",Z2118)),"G3",IF(ISNUMBER(SEARCH("古馬条件",Z2118)),"古馬条件戦",IF(ISNUMBER(SEARCH("重賞",Z2118)),"重賞","分類不能")))))))))</f>
        <v/>
      </c>
    </row>
    <row r="2119" customFormat="false" ht="15.75" hidden="false" customHeight="false" outlineLevel="0" collapsed="false">
      <c r="AO2119" s="8" t="str">
        <f aca="false">IF(A2119="","",IF(COUNTIFS(全馬データ!$A$2:$A$50000,A2119,全馬データ!$B$2:$B$50000,B2119,全馬データ!$C$2:$C$50000,C2119,全馬データ!$D$2:$D$50000,E2119,全馬データ!$K$2:$K$50000,"&lt;&gt;")=0,"",SUMIFS(全馬データ!$K$2:$K$50000,全馬データ!$A$2:$A$50000,A2119,全馬データ!$B$2:$B$50000,B2119,全馬データ!$C$2:$C$50000,C2119,全馬データ!$D$2:$D$50000,E2119)))</f>
        <v/>
      </c>
      <c r="AP2119" s="8" t="str">
        <f aca="false">IF(A2119="","",IF(AO2119="","欠損",IF(AO2119&lt;=1.1,"1.0～1.1",IF(AO2119&lt;1.3,"1.2",IF(AO2119&lt;1.5,"1.3～1.4",IF(AO2119&lt;2,"1.5～1.9","2.0以上"))))))</f>
        <v/>
      </c>
      <c r="AQ2119" s="8" t="str">
        <f aca="false">IF(A2119="","",IF(ISNUMBER(SEARCH("2歳",Z2119)),"2歳戦",IF(ISNUMBER(SEARCH("3歳未勝利",Z2119)),"3歳未勝利",IF(ISNUMBER(SEARCH("未勝利",Z2119)),"その他未勝利",IF(ISNUMBER(SEARCH("G1",Z2119)),"G1",IF(ISNUMBER(SEARCH("G2",Z2119)),"G2",IF(ISNUMBER(SEARCH("G3",Z2119)),"G3",IF(ISNUMBER(SEARCH("古馬条件",Z2119)),"古馬条件戦",IF(ISNUMBER(SEARCH("重賞",Z2119)),"重賞","分類不能")))))))))</f>
        <v/>
      </c>
    </row>
    <row r="2120" customFormat="false" ht="15.75" hidden="false" customHeight="false" outlineLevel="0" collapsed="false">
      <c r="AO2120" s="8" t="str">
        <f aca="false">IF(A2120="","",IF(COUNTIFS(全馬データ!$A$2:$A$50000,A2120,全馬データ!$B$2:$B$50000,B2120,全馬データ!$C$2:$C$50000,C2120,全馬データ!$D$2:$D$50000,E2120,全馬データ!$K$2:$K$50000,"&lt;&gt;")=0,"",SUMIFS(全馬データ!$K$2:$K$50000,全馬データ!$A$2:$A$50000,A2120,全馬データ!$B$2:$B$50000,B2120,全馬データ!$C$2:$C$50000,C2120,全馬データ!$D$2:$D$50000,E2120)))</f>
        <v/>
      </c>
      <c r="AP2120" s="8" t="str">
        <f aca="false">IF(A2120="","",IF(AO2120="","欠損",IF(AO2120&lt;=1.1,"1.0～1.1",IF(AO2120&lt;1.3,"1.2",IF(AO2120&lt;1.5,"1.3～1.4",IF(AO2120&lt;2,"1.5～1.9","2.0以上"))))))</f>
        <v/>
      </c>
      <c r="AQ2120" s="8" t="str">
        <f aca="false">IF(A2120="","",IF(ISNUMBER(SEARCH("2歳",Z2120)),"2歳戦",IF(ISNUMBER(SEARCH("3歳未勝利",Z2120)),"3歳未勝利",IF(ISNUMBER(SEARCH("未勝利",Z2120)),"その他未勝利",IF(ISNUMBER(SEARCH("G1",Z2120)),"G1",IF(ISNUMBER(SEARCH("G2",Z2120)),"G2",IF(ISNUMBER(SEARCH("G3",Z2120)),"G3",IF(ISNUMBER(SEARCH("古馬条件",Z2120)),"古馬条件戦",IF(ISNUMBER(SEARCH("重賞",Z2120)),"重賞","分類不能")))))))))</f>
        <v/>
      </c>
    </row>
    <row r="2121" customFormat="false" ht="15.75" hidden="false" customHeight="false" outlineLevel="0" collapsed="false">
      <c r="AO2121" s="8" t="str">
        <f aca="false">IF(A2121="","",IF(COUNTIFS(全馬データ!$A$2:$A$50000,A2121,全馬データ!$B$2:$B$50000,B2121,全馬データ!$C$2:$C$50000,C2121,全馬データ!$D$2:$D$50000,E2121,全馬データ!$K$2:$K$50000,"&lt;&gt;")=0,"",SUMIFS(全馬データ!$K$2:$K$50000,全馬データ!$A$2:$A$50000,A2121,全馬データ!$B$2:$B$50000,B2121,全馬データ!$C$2:$C$50000,C2121,全馬データ!$D$2:$D$50000,E2121)))</f>
        <v/>
      </c>
      <c r="AP2121" s="8" t="str">
        <f aca="false">IF(A2121="","",IF(AO2121="","欠損",IF(AO2121&lt;=1.1,"1.0～1.1",IF(AO2121&lt;1.3,"1.2",IF(AO2121&lt;1.5,"1.3～1.4",IF(AO2121&lt;2,"1.5～1.9","2.0以上"))))))</f>
        <v/>
      </c>
      <c r="AQ2121" s="8" t="str">
        <f aca="false">IF(A2121="","",IF(ISNUMBER(SEARCH("2歳",Z2121)),"2歳戦",IF(ISNUMBER(SEARCH("3歳未勝利",Z2121)),"3歳未勝利",IF(ISNUMBER(SEARCH("未勝利",Z2121)),"その他未勝利",IF(ISNUMBER(SEARCH("G1",Z2121)),"G1",IF(ISNUMBER(SEARCH("G2",Z2121)),"G2",IF(ISNUMBER(SEARCH("G3",Z2121)),"G3",IF(ISNUMBER(SEARCH("古馬条件",Z2121)),"古馬条件戦",IF(ISNUMBER(SEARCH("重賞",Z2121)),"重賞","分類不能")))))))))</f>
        <v/>
      </c>
    </row>
    <row r="2122" customFormat="false" ht="15.75" hidden="false" customHeight="false" outlineLevel="0" collapsed="false">
      <c r="AO2122" s="8" t="str">
        <f aca="false">IF(A2122="","",IF(COUNTIFS(全馬データ!$A$2:$A$50000,A2122,全馬データ!$B$2:$B$50000,B2122,全馬データ!$C$2:$C$50000,C2122,全馬データ!$D$2:$D$50000,E2122,全馬データ!$K$2:$K$50000,"&lt;&gt;")=0,"",SUMIFS(全馬データ!$K$2:$K$50000,全馬データ!$A$2:$A$50000,A2122,全馬データ!$B$2:$B$50000,B2122,全馬データ!$C$2:$C$50000,C2122,全馬データ!$D$2:$D$50000,E2122)))</f>
        <v/>
      </c>
      <c r="AP2122" s="8" t="str">
        <f aca="false">IF(A2122="","",IF(AO2122="","欠損",IF(AO2122&lt;=1.1,"1.0～1.1",IF(AO2122&lt;1.3,"1.2",IF(AO2122&lt;1.5,"1.3～1.4",IF(AO2122&lt;2,"1.5～1.9","2.0以上"))))))</f>
        <v/>
      </c>
      <c r="AQ2122" s="8" t="str">
        <f aca="false">IF(A2122="","",IF(ISNUMBER(SEARCH("2歳",Z2122)),"2歳戦",IF(ISNUMBER(SEARCH("3歳未勝利",Z2122)),"3歳未勝利",IF(ISNUMBER(SEARCH("未勝利",Z2122)),"その他未勝利",IF(ISNUMBER(SEARCH("G1",Z2122)),"G1",IF(ISNUMBER(SEARCH("G2",Z2122)),"G2",IF(ISNUMBER(SEARCH("G3",Z2122)),"G3",IF(ISNUMBER(SEARCH("古馬条件",Z2122)),"古馬条件戦",IF(ISNUMBER(SEARCH("重賞",Z2122)),"重賞","分類不能")))))))))</f>
        <v/>
      </c>
    </row>
    <row r="2123" customFormat="false" ht="15.75" hidden="false" customHeight="false" outlineLevel="0" collapsed="false">
      <c r="AO2123" s="8" t="str">
        <f aca="false">IF(A2123="","",IF(COUNTIFS(全馬データ!$A$2:$A$50000,A2123,全馬データ!$B$2:$B$50000,B2123,全馬データ!$C$2:$C$50000,C2123,全馬データ!$D$2:$D$50000,E2123,全馬データ!$K$2:$K$50000,"&lt;&gt;")=0,"",SUMIFS(全馬データ!$K$2:$K$50000,全馬データ!$A$2:$A$50000,A2123,全馬データ!$B$2:$B$50000,B2123,全馬データ!$C$2:$C$50000,C2123,全馬データ!$D$2:$D$50000,E2123)))</f>
        <v/>
      </c>
      <c r="AP2123" s="8" t="str">
        <f aca="false">IF(A2123="","",IF(AO2123="","欠損",IF(AO2123&lt;=1.1,"1.0～1.1",IF(AO2123&lt;1.3,"1.2",IF(AO2123&lt;1.5,"1.3～1.4",IF(AO2123&lt;2,"1.5～1.9","2.0以上"))))))</f>
        <v/>
      </c>
      <c r="AQ2123" s="8" t="str">
        <f aca="false">IF(A2123="","",IF(ISNUMBER(SEARCH("2歳",Z2123)),"2歳戦",IF(ISNUMBER(SEARCH("3歳未勝利",Z2123)),"3歳未勝利",IF(ISNUMBER(SEARCH("未勝利",Z2123)),"その他未勝利",IF(ISNUMBER(SEARCH("G1",Z2123)),"G1",IF(ISNUMBER(SEARCH("G2",Z2123)),"G2",IF(ISNUMBER(SEARCH("G3",Z2123)),"G3",IF(ISNUMBER(SEARCH("古馬条件",Z2123)),"古馬条件戦",IF(ISNUMBER(SEARCH("重賞",Z2123)),"重賞","分類不能")))))))))</f>
        <v/>
      </c>
    </row>
    <row r="2124" customFormat="false" ht="15.75" hidden="false" customHeight="false" outlineLevel="0" collapsed="false">
      <c r="AO2124" s="8" t="str">
        <f aca="false">IF(A2124="","",IF(COUNTIFS(全馬データ!$A$2:$A$50000,A2124,全馬データ!$B$2:$B$50000,B2124,全馬データ!$C$2:$C$50000,C2124,全馬データ!$D$2:$D$50000,E2124,全馬データ!$K$2:$K$50000,"&lt;&gt;")=0,"",SUMIFS(全馬データ!$K$2:$K$50000,全馬データ!$A$2:$A$50000,A2124,全馬データ!$B$2:$B$50000,B2124,全馬データ!$C$2:$C$50000,C2124,全馬データ!$D$2:$D$50000,E2124)))</f>
        <v/>
      </c>
      <c r="AP2124" s="8" t="str">
        <f aca="false">IF(A2124="","",IF(AO2124="","欠損",IF(AO2124&lt;=1.1,"1.0～1.1",IF(AO2124&lt;1.3,"1.2",IF(AO2124&lt;1.5,"1.3～1.4",IF(AO2124&lt;2,"1.5～1.9","2.0以上"))))))</f>
        <v/>
      </c>
      <c r="AQ2124" s="8" t="str">
        <f aca="false">IF(A2124="","",IF(ISNUMBER(SEARCH("2歳",Z2124)),"2歳戦",IF(ISNUMBER(SEARCH("3歳未勝利",Z2124)),"3歳未勝利",IF(ISNUMBER(SEARCH("未勝利",Z2124)),"その他未勝利",IF(ISNUMBER(SEARCH("G1",Z2124)),"G1",IF(ISNUMBER(SEARCH("G2",Z2124)),"G2",IF(ISNUMBER(SEARCH("G3",Z2124)),"G3",IF(ISNUMBER(SEARCH("古馬条件",Z2124)),"古馬条件戦",IF(ISNUMBER(SEARCH("重賞",Z2124)),"重賞","分類不能")))))))))</f>
        <v/>
      </c>
    </row>
    <row r="2125" customFormat="false" ht="15.75" hidden="false" customHeight="false" outlineLevel="0" collapsed="false">
      <c r="AO2125" s="8" t="str">
        <f aca="false">IF(A2125="","",IF(COUNTIFS(全馬データ!$A$2:$A$50000,A2125,全馬データ!$B$2:$B$50000,B2125,全馬データ!$C$2:$C$50000,C2125,全馬データ!$D$2:$D$50000,E2125,全馬データ!$K$2:$K$50000,"&lt;&gt;")=0,"",SUMIFS(全馬データ!$K$2:$K$50000,全馬データ!$A$2:$A$50000,A2125,全馬データ!$B$2:$B$50000,B2125,全馬データ!$C$2:$C$50000,C2125,全馬データ!$D$2:$D$50000,E2125)))</f>
        <v/>
      </c>
      <c r="AP2125" s="8" t="str">
        <f aca="false">IF(A2125="","",IF(AO2125="","欠損",IF(AO2125&lt;=1.1,"1.0～1.1",IF(AO2125&lt;1.3,"1.2",IF(AO2125&lt;1.5,"1.3～1.4",IF(AO2125&lt;2,"1.5～1.9","2.0以上"))))))</f>
        <v/>
      </c>
      <c r="AQ2125" s="8" t="str">
        <f aca="false">IF(A2125="","",IF(ISNUMBER(SEARCH("2歳",Z2125)),"2歳戦",IF(ISNUMBER(SEARCH("3歳未勝利",Z2125)),"3歳未勝利",IF(ISNUMBER(SEARCH("未勝利",Z2125)),"その他未勝利",IF(ISNUMBER(SEARCH("G1",Z2125)),"G1",IF(ISNUMBER(SEARCH("G2",Z2125)),"G2",IF(ISNUMBER(SEARCH("G3",Z2125)),"G3",IF(ISNUMBER(SEARCH("古馬条件",Z2125)),"古馬条件戦",IF(ISNUMBER(SEARCH("重賞",Z2125)),"重賞","分類不能")))))))))</f>
        <v/>
      </c>
    </row>
    <row r="2126" customFormat="false" ht="15.75" hidden="false" customHeight="false" outlineLevel="0" collapsed="false">
      <c r="AO2126" s="8" t="str">
        <f aca="false">IF(A2126="","",IF(COUNTIFS(全馬データ!$A$2:$A$50000,A2126,全馬データ!$B$2:$B$50000,B2126,全馬データ!$C$2:$C$50000,C2126,全馬データ!$D$2:$D$50000,E2126,全馬データ!$K$2:$K$50000,"&lt;&gt;")=0,"",SUMIFS(全馬データ!$K$2:$K$50000,全馬データ!$A$2:$A$50000,A2126,全馬データ!$B$2:$B$50000,B2126,全馬データ!$C$2:$C$50000,C2126,全馬データ!$D$2:$D$50000,E2126)))</f>
        <v/>
      </c>
      <c r="AP2126" s="8" t="str">
        <f aca="false">IF(A2126="","",IF(AO2126="","欠損",IF(AO2126&lt;=1.1,"1.0～1.1",IF(AO2126&lt;1.3,"1.2",IF(AO2126&lt;1.5,"1.3～1.4",IF(AO2126&lt;2,"1.5～1.9","2.0以上"))))))</f>
        <v/>
      </c>
      <c r="AQ2126" s="8" t="str">
        <f aca="false">IF(A2126="","",IF(ISNUMBER(SEARCH("2歳",Z2126)),"2歳戦",IF(ISNUMBER(SEARCH("3歳未勝利",Z2126)),"3歳未勝利",IF(ISNUMBER(SEARCH("未勝利",Z2126)),"その他未勝利",IF(ISNUMBER(SEARCH("G1",Z2126)),"G1",IF(ISNUMBER(SEARCH("G2",Z2126)),"G2",IF(ISNUMBER(SEARCH("G3",Z2126)),"G3",IF(ISNUMBER(SEARCH("古馬条件",Z2126)),"古馬条件戦",IF(ISNUMBER(SEARCH("重賞",Z2126)),"重賞","分類不能")))))))))</f>
        <v/>
      </c>
    </row>
    <row r="2127" customFormat="false" ht="15.75" hidden="false" customHeight="false" outlineLevel="0" collapsed="false">
      <c r="AO2127" s="8" t="str">
        <f aca="false">IF(A2127="","",IF(COUNTIFS(全馬データ!$A$2:$A$50000,A2127,全馬データ!$B$2:$B$50000,B2127,全馬データ!$C$2:$C$50000,C2127,全馬データ!$D$2:$D$50000,E2127,全馬データ!$K$2:$K$50000,"&lt;&gt;")=0,"",SUMIFS(全馬データ!$K$2:$K$50000,全馬データ!$A$2:$A$50000,A2127,全馬データ!$B$2:$B$50000,B2127,全馬データ!$C$2:$C$50000,C2127,全馬データ!$D$2:$D$50000,E2127)))</f>
        <v/>
      </c>
      <c r="AP2127" s="8" t="str">
        <f aca="false">IF(A2127="","",IF(AO2127="","欠損",IF(AO2127&lt;=1.1,"1.0～1.1",IF(AO2127&lt;1.3,"1.2",IF(AO2127&lt;1.5,"1.3～1.4",IF(AO2127&lt;2,"1.5～1.9","2.0以上"))))))</f>
        <v/>
      </c>
      <c r="AQ2127" s="8" t="str">
        <f aca="false">IF(A2127="","",IF(ISNUMBER(SEARCH("2歳",Z2127)),"2歳戦",IF(ISNUMBER(SEARCH("3歳未勝利",Z2127)),"3歳未勝利",IF(ISNUMBER(SEARCH("未勝利",Z2127)),"その他未勝利",IF(ISNUMBER(SEARCH("G1",Z2127)),"G1",IF(ISNUMBER(SEARCH("G2",Z2127)),"G2",IF(ISNUMBER(SEARCH("G3",Z2127)),"G3",IF(ISNUMBER(SEARCH("古馬条件",Z2127)),"古馬条件戦",IF(ISNUMBER(SEARCH("重賞",Z2127)),"重賞","分類不能")))))))))</f>
        <v/>
      </c>
    </row>
    <row r="2128" customFormat="false" ht="15.75" hidden="false" customHeight="false" outlineLevel="0" collapsed="false">
      <c r="AO2128" s="8" t="str">
        <f aca="false">IF(A2128="","",IF(COUNTIFS(全馬データ!$A$2:$A$50000,A2128,全馬データ!$B$2:$B$50000,B2128,全馬データ!$C$2:$C$50000,C2128,全馬データ!$D$2:$D$50000,E2128,全馬データ!$K$2:$K$50000,"&lt;&gt;")=0,"",SUMIFS(全馬データ!$K$2:$K$50000,全馬データ!$A$2:$A$50000,A2128,全馬データ!$B$2:$B$50000,B2128,全馬データ!$C$2:$C$50000,C2128,全馬データ!$D$2:$D$50000,E2128)))</f>
        <v/>
      </c>
      <c r="AP2128" s="8" t="str">
        <f aca="false">IF(A2128="","",IF(AO2128="","欠損",IF(AO2128&lt;=1.1,"1.0～1.1",IF(AO2128&lt;1.3,"1.2",IF(AO2128&lt;1.5,"1.3～1.4",IF(AO2128&lt;2,"1.5～1.9","2.0以上"))))))</f>
        <v/>
      </c>
      <c r="AQ2128" s="8" t="str">
        <f aca="false">IF(A2128="","",IF(ISNUMBER(SEARCH("2歳",Z2128)),"2歳戦",IF(ISNUMBER(SEARCH("3歳未勝利",Z2128)),"3歳未勝利",IF(ISNUMBER(SEARCH("未勝利",Z2128)),"その他未勝利",IF(ISNUMBER(SEARCH("G1",Z2128)),"G1",IF(ISNUMBER(SEARCH("G2",Z2128)),"G2",IF(ISNUMBER(SEARCH("G3",Z2128)),"G3",IF(ISNUMBER(SEARCH("古馬条件",Z2128)),"古馬条件戦",IF(ISNUMBER(SEARCH("重賞",Z2128)),"重賞","分類不能")))))))))</f>
        <v/>
      </c>
    </row>
    <row r="2129" customFormat="false" ht="15.75" hidden="false" customHeight="false" outlineLevel="0" collapsed="false">
      <c r="AO2129" s="8" t="str">
        <f aca="false">IF(A2129="","",IF(COUNTIFS(全馬データ!$A$2:$A$50000,A2129,全馬データ!$B$2:$B$50000,B2129,全馬データ!$C$2:$C$50000,C2129,全馬データ!$D$2:$D$50000,E2129,全馬データ!$K$2:$K$50000,"&lt;&gt;")=0,"",SUMIFS(全馬データ!$K$2:$K$50000,全馬データ!$A$2:$A$50000,A2129,全馬データ!$B$2:$B$50000,B2129,全馬データ!$C$2:$C$50000,C2129,全馬データ!$D$2:$D$50000,E2129)))</f>
        <v/>
      </c>
      <c r="AP2129" s="8" t="str">
        <f aca="false">IF(A2129="","",IF(AO2129="","欠損",IF(AO2129&lt;=1.1,"1.0～1.1",IF(AO2129&lt;1.3,"1.2",IF(AO2129&lt;1.5,"1.3～1.4",IF(AO2129&lt;2,"1.5～1.9","2.0以上"))))))</f>
        <v/>
      </c>
      <c r="AQ2129" s="8" t="str">
        <f aca="false">IF(A2129="","",IF(ISNUMBER(SEARCH("2歳",Z2129)),"2歳戦",IF(ISNUMBER(SEARCH("3歳未勝利",Z2129)),"3歳未勝利",IF(ISNUMBER(SEARCH("未勝利",Z2129)),"その他未勝利",IF(ISNUMBER(SEARCH("G1",Z2129)),"G1",IF(ISNUMBER(SEARCH("G2",Z2129)),"G2",IF(ISNUMBER(SEARCH("G3",Z2129)),"G3",IF(ISNUMBER(SEARCH("古馬条件",Z2129)),"古馬条件戦",IF(ISNUMBER(SEARCH("重賞",Z2129)),"重賞","分類不能")))))))))</f>
        <v/>
      </c>
    </row>
    <row r="2130" customFormat="false" ht="15.75" hidden="false" customHeight="false" outlineLevel="0" collapsed="false">
      <c r="AO2130" s="8" t="str">
        <f aca="false">IF(A2130="","",IF(COUNTIFS(全馬データ!$A$2:$A$50000,A2130,全馬データ!$B$2:$B$50000,B2130,全馬データ!$C$2:$C$50000,C2130,全馬データ!$D$2:$D$50000,E2130,全馬データ!$K$2:$K$50000,"&lt;&gt;")=0,"",SUMIFS(全馬データ!$K$2:$K$50000,全馬データ!$A$2:$A$50000,A2130,全馬データ!$B$2:$B$50000,B2130,全馬データ!$C$2:$C$50000,C2130,全馬データ!$D$2:$D$50000,E2130)))</f>
        <v/>
      </c>
      <c r="AP2130" s="8" t="str">
        <f aca="false">IF(A2130="","",IF(AO2130="","欠損",IF(AO2130&lt;=1.1,"1.0～1.1",IF(AO2130&lt;1.3,"1.2",IF(AO2130&lt;1.5,"1.3～1.4",IF(AO2130&lt;2,"1.5～1.9","2.0以上"))))))</f>
        <v/>
      </c>
      <c r="AQ2130" s="8" t="str">
        <f aca="false">IF(A2130="","",IF(ISNUMBER(SEARCH("2歳",Z2130)),"2歳戦",IF(ISNUMBER(SEARCH("3歳未勝利",Z2130)),"3歳未勝利",IF(ISNUMBER(SEARCH("未勝利",Z2130)),"その他未勝利",IF(ISNUMBER(SEARCH("G1",Z2130)),"G1",IF(ISNUMBER(SEARCH("G2",Z2130)),"G2",IF(ISNUMBER(SEARCH("G3",Z2130)),"G3",IF(ISNUMBER(SEARCH("古馬条件",Z2130)),"古馬条件戦",IF(ISNUMBER(SEARCH("重賞",Z2130)),"重賞","分類不能")))))))))</f>
        <v/>
      </c>
    </row>
    <row r="2131" customFormat="false" ht="15.75" hidden="false" customHeight="false" outlineLevel="0" collapsed="false">
      <c r="AO2131" s="8" t="str">
        <f aca="false">IF(A2131="","",IF(COUNTIFS(全馬データ!$A$2:$A$50000,A2131,全馬データ!$B$2:$B$50000,B2131,全馬データ!$C$2:$C$50000,C2131,全馬データ!$D$2:$D$50000,E2131,全馬データ!$K$2:$K$50000,"&lt;&gt;")=0,"",SUMIFS(全馬データ!$K$2:$K$50000,全馬データ!$A$2:$A$50000,A2131,全馬データ!$B$2:$B$50000,B2131,全馬データ!$C$2:$C$50000,C2131,全馬データ!$D$2:$D$50000,E2131)))</f>
        <v/>
      </c>
      <c r="AP2131" s="8" t="str">
        <f aca="false">IF(A2131="","",IF(AO2131="","欠損",IF(AO2131&lt;=1.1,"1.0～1.1",IF(AO2131&lt;1.3,"1.2",IF(AO2131&lt;1.5,"1.3～1.4",IF(AO2131&lt;2,"1.5～1.9","2.0以上"))))))</f>
        <v/>
      </c>
      <c r="AQ2131" s="8" t="str">
        <f aca="false">IF(A2131="","",IF(ISNUMBER(SEARCH("2歳",Z2131)),"2歳戦",IF(ISNUMBER(SEARCH("3歳未勝利",Z2131)),"3歳未勝利",IF(ISNUMBER(SEARCH("未勝利",Z2131)),"その他未勝利",IF(ISNUMBER(SEARCH("G1",Z2131)),"G1",IF(ISNUMBER(SEARCH("G2",Z2131)),"G2",IF(ISNUMBER(SEARCH("G3",Z2131)),"G3",IF(ISNUMBER(SEARCH("古馬条件",Z2131)),"古馬条件戦",IF(ISNUMBER(SEARCH("重賞",Z2131)),"重賞","分類不能")))))))))</f>
        <v/>
      </c>
    </row>
    <row r="2132" customFormat="false" ht="15.75" hidden="false" customHeight="false" outlineLevel="0" collapsed="false">
      <c r="AO2132" s="8" t="str">
        <f aca="false">IF(A2132="","",IF(COUNTIFS(全馬データ!$A$2:$A$50000,A2132,全馬データ!$B$2:$B$50000,B2132,全馬データ!$C$2:$C$50000,C2132,全馬データ!$D$2:$D$50000,E2132,全馬データ!$K$2:$K$50000,"&lt;&gt;")=0,"",SUMIFS(全馬データ!$K$2:$K$50000,全馬データ!$A$2:$A$50000,A2132,全馬データ!$B$2:$B$50000,B2132,全馬データ!$C$2:$C$50000,C2132,全馬データ!$D$2:$D$50000,E2132)))</f>
        <v/>
      </c>
      <c r="AP2132" s="8" t="str">
        <f aca="false">IF(A2132="","",IF(AO2132="","欠損",IF(AO2132&lt;=1.1,"1.0～1.1",IF(AO2132&lt;1.3,"1.2",IF(AO2132&lt;1.5,"1.3～1.4",IF(AO2132&lt;2,"1.5～1.9","2.0以上"))))))</f>
        <v/>
      </c>
      <c r="AQ2132" s="8" t="str">
        <f aca="false">IF(A2132="","",IF(ISNUMBER(SEARCH("2歳",Z2132)),"2歳戦",IF(ISNUMBER(SEARCH("3歳未勝利",Z2132)),"3歳未勝利",IF(ISNUMBER(SEARCH("未勝利",Z2132)),"その他未勝利",IF(ISNUMBER(SEARCH("G1",Z2132)),"G1",IF(ISNUMBER(SEARCH("G2",Z2132)),"G2",IF(ISNUMBER(SEARCH("G3",Z2132)),"G3",IF(ISNUMBER(SEARCH("古馬条件",Z2132)),"古馬条件戦",IF(ISNUMBER(SEARCH("重賞",Z2132)),"重賞","分類不能")))))))))</f>
        <v/>
      </c>
    </row>
    <row r="2133" customFormat="false" ht="15.75" hidden="false" customHeight="false" outlineLevel="0" collapsed="false">
      <c r="AO2133" s="8" t="str">
        <f aca="false">IF(A2133="","",IF(COUNTIFS(全馬データ!$A$2:$A$50000,A2133,全馬データ!$B$2:$B$50000,B2133,全馬データ!$C$2:$C$50000,C2133,全馬データ!$D$2:$D$50000,E2133,全馬データ!$K$2:$K$50000,"&lt;&gt;")=0,"",SUMIFS(全馬データ!$K$2:$K$50000,全馬データ!$A$2:$A$50000,A2133,全馬データ!$B$2:$B$50000,B2133,全馬データ!$C$2:$C$50000,C2133,全馬データ!$D$2:$D$50000,E2133)))</f>
        <v/>
      </c>
      <c r="AP2133" s="8" t="str">
        <f aca="false">IF(A2133="","",IF(AO2133="","欠損",IF(AO2133&lt;=1.1,"1.0～1.1",IF(AO2133&lt;1.3,"1.2",IF(AO2133&lt;1.5,"1.3～1.4",IF(AO2133&lt;2,"1.5～1.9","2.0以上"))))))</f>
        <v/>
      </c>
      <c r="AQ2133" s="8" t="str">
        <f aca="false">IF(A2133="","",IF(ISNUMBER(SEARCH("2歳",Z2133)),"2歳戦",IF(ISNUMBER(SEARCH("3歳未勝利",Z2133)),"3歳未勝利",IF(ISNUMBER(SEARCH("未勝利",Z2133)),"その他未勝利",IF(ISNUMBER(SEARCH("G1",Z2133)),"G1",IF(ISNUMBER(SEARCH("G2",Z2133)),"G2",IF(ISNUMBER(SEARCH("G3",Z2133)),"G3",IF(ISNUMBER(SEARCH("古馬条件",Z2133)),"古馬条件戦",IF(ISNUMBER(SEARCH("重賞",Z2133)),"重賞","分類不能")))))))))</f>
        <v/>
      </c>
    </row>
    <row r="2134" customFormat="false" ht="15.75" hidden="false" customHeight="false" outlineLevel="0" collapsed="false">
      <c r="AO2134" s="8" t="str">
        <f aca="false">IF(A2134="","",IF(COUNTIFS(全馬データ!$A$2:$A$50000,A2134,全馬データ!$B$2:$B$50000,B2134,全馬データ!$C$2:$C$50000,C2134,全馬データ!$D$2:$D$50000,E2134,全馬データ!$K$2:$K$50000,"&lt;&gt;")=0,"",SUMIFS(全馬データ!$K$2:$K$50000,全馬データ!$A$2:$A$50000,A2134,全馬データ!$B$2:$B$50000,B2134,全馬データ!$C$2:$C$50000,C2134,全馬データ!$D$2:$D$50000,E2134)))</f>
        <v/>
      </c>
      <c r="AP2134" s="8" t="str">
        <f aca="false">IF(A2134="","",IF(AO2134="","欠損",IF(AO2134&lt;=1.1,"1.0～1.1",IF(AO2134&lt;1.3,"1.2",IF(AO2134&lt;1.5,"1.3～1.4",IF(AO2134&lt;2,"1.5～1.9","2.0以上"))))))</f>
        <v/>
      </c>
      <c r="AQ2134" s="8" t="str">
        <f aca="false">IF(A2134="","",IF(ISNUMBER(SEARCH("2歳",Z2134)),"2歳戦",IF(ISNUMBER(SEARCH("3歳未勝利",Z2134)),"3歳未勝利",IF(ISNUMBER(SEARCH("未勝利",Z2134)),"その他未勝利",IF(ISNUMBER(SEARCH("G1",Z2134)),"G1",IF(ISNUMBER(SEARCH("G2",Z2134)),"G2",IF(ISNUMBER(SEARCH("G3",Z2134)),"G3",IF(ISNUMBER(SEARCH("古馬条件",Z2134)),"古馬条件戦",IF(ISNUMBER(SEARCH("重賞",Z2134)),"重賞","分類不能")))))))))</f>
        <v/>
      </c>
    </row>
    <row r="2135" customFormat="false" ht="15.75" hidden="false" customHeight="false" outlineLevel="0" collapsed="false">
      <c r="AO2135" s="8" t="str">
        <f aca="false">IF(A2135="","",IF(COUNTIFS(全馬データ!$A$2:$A$50000,A2135,全馬データ!$B$2:$B$50000,B2135,全馬データ!$C$2:$C$50000,C2135,全馬データ!$D$2:$D$50000,E2135,全馬データ!$K$2:$K$50000,"&lt;&gt;")=0,"",SUMIFS(全馬データ!$K$2:$K$50000,全馬データ!$A$2:$A$50000,A2135,全馬データ!$B$2:$B$50000,B2135,全馬データ!$C$2:$C$50000,C2135,全馬データ!$D$2:$D$50000,E2135)))</f>
        <v/>
      </c>
      <c r="AP2135" s="8" t="str">
        <f aca="false">IF(A2135="","",IF(AO2135="","欠損",IF(AO2135&lt;=1.1,"1.0～1.1",IF(AO2135&lt;1.3,"1.2",IF(AO2135&lt;1.5,"1.3～1.4",IF(AO2135&lt;2,"1.5～1.9","2.0以上"))))))</f>
        <v/>
      </c>
      <c r="AQ2135" s="8" t="str">
        <f aca="false">IF(A2135="","",IF(ISNUMBER(SEARCH("2歳",Z2135)),"2歳戦",IF(ISNUMBER(SEARCH("3歳未勝利",Z2135)),"3歳未勝利",IF(ISNUMBER(SEARCH("未勝利",Z2135)),"その他未勝利",IF(ISNUMBER(SEARCH("G1",Z2135)),"G1",IF(ISNUMBER(SEARCH("G2",Z2135)),"G2",IF(ISNUMBER(SEARCH("G3",Z2135)),"G3",IF(ISNUMBER(SEARCH("古馬条件",Z2135)),"古馬条件戦",IF(ISNUMBER(SEARCH("重賞",Z2135)),"重賞","分類不能")))))))))</f>
        <v/>
      </c>
    </row>
    <row r="2136" customFormat="false" ht="15.75" hidden="false" customHeight="false" outlineLevel="0" collapsed="false">
      <c r="AO2136" s="8" t="str">
        <f aca="false">IF(A2136="","",IF(COUNTIFS(全馬データ!$A$2:$A$50000,A2136,全馬データ!$B$2:$B$50000,B2136,全馬データ!$C$2:$C$50000,C2136,全馬データ!$D$2:$D$50000,E2136,全馬データ!$K$2:$K$50000,"&lt;&gt;")=0,"",SUMIFS(全馬データ!$K$2:$K$50000,全馬データ!$A$2:$A$50000,A2136,全馬データ!$B$2:$B$50000,B2136,全馬データ!$C$2:$C$50000,C2136,全馬データ!$D$2:$D$50000,E2136)))</f>
        <v/>
      </c>
      <c r="AP2136" s="8" t="str">
        <f aca="false">IF(A2136="","",IF(AO2136="","欠損",IF(AO2136&lt;=1.1,"1.0～1.1",IF(AO2136&lt;1.3,"1.2",IF(AO2136&lt;1.5,"1.3～1.4",IF(AO2136&lt;2,"1.5～1.9","2.0以上"))))))</f>
        <v/>
      </c>
      <c r="AQ2136" s="8" t="str">
        <f aca="false">IF(A2136="","",IF(ISNUMBER(SEARCH("2歳",Z2136)),"2歳戦",IF(ISNUMBER(SEARCH("3歳未勝利",Z2136)),"3歳未勝利",IF(ISNUMBER(SEARCH("未勝利",Z2136)),"その他未勝利",IF(ISNUMBER(SEARCH("G1",Z2136)),"G1",IF(ISNUMBER(SEARCH("G2",Z2136)),"G2",IF(ISNUMBER(SEARCH("G3",Z2136)),"G3",IF(ISNUMBER(SEARCH("古馬条件",Z2136)),"古馬条件戦",IF(ISNUMBER(SEARCH("重賞",Z2136)),"重賞","分類不能")))))))))</f>
        <v/>
      </c>
    </row>
    <row r="2137" customFormat="false" ht="15.75" hidden="false" customHeight="false" outlineLevel="0" collapsed="false">
      <c r="AO2137" s="8" t="str">
        <f aca="false">IF(A2137="","",IF(COUNTIFS(全馬データ!$A$2:$A$50000,A2137,全馬データ!$B$2:$B$50000,B2137,全馬データ!$C$2:$C$50000,C2137,全馬データ!$D$2:$D$50000,E2137,全馬データ!$K$2:$K$50000,"&lt;&gt;")=0,"",SUMIFS(全馬データ!$K$2:$K$50000,全馬データ!$A$2:$A$50000,A2137,全馬データ!$B$2:$B$50000,B2137,全馬データ!$C$2:$C$50000,C2137,全馬データ!$D$2:$D$50000,E2137)))</f>
        <v/>
      </c>
      <c r="AP2137" s="8" t="str">
        <f aca="false">IF(A2137="","",IF(AO2137="","欠損",IF(AO2137&lt;=1.1,"1.0～1.1",IF(AO2137&lt;1.3,"1.2",IF(AO2137&lt;1.5,"1.3～1.4",IF(AO2137&lt;2,"1.5～1.9","2.0以上"))))))</f>
        <v/>
      </c>
      <c r="AQ2137" s="8" t="str">
        <f aca="false">IF(A2137="","",IF(ISNUMBER(SEARCH("2歳",Z2137)),"2歳戦",IF(ISNUMBER(SEARCH("3歳未勝利",Z2137)),"3歳未勝利",IF(ISNUMBER(SEARCH("未勝利",Z2137)),"その他未勝利",IF(ISNUMBER(SEARCH("G1",Z2137)),"G1",IF(ISNUMBER(SEARCH("G2",Z2137)),"G2",IF(ISNUMBER(SEARCH("G3",Z2137)),"G3",IF(ISNUMBER(SEARCH("古馬条件",Z2137)),"古馬条件戦",IF(ISNUMBER(SEARCH("重賞",Z2137)),"重賞","分類不能")))))))))</f>
        <v/>
      </c>
    </row>
    <row r="2138" customFormat="false" ht="15.75" hidden="false" customHeight="false" outlineLevel="0" collapsed="false">
      <c r="AO2138" s="8" t="str">
        <f aca="false">IF(A2138="","",IF(COUNTIFS(全馬データ!$A$2:$A$50000,A2138,全馬データ!$B$2:$B$50000,B2138,全馬データ!$C$2:$C$50000,C2138,全馬データ!$D$2:$D$50000,E2138,全馬データ!$K$2:$K$50000,"&lt;&gt;")=0,"",SUMIFS(全馬データ!$K$2:$K$50000,全馬データ!$A$2:$A$50000,A2138,全馬データ!$B$2:$B$50000,B2138,全馬データ!$C$2:$C$50000,C2138,全馬データ!$D$2:$D$50000,E2138)))</f>
        <v/>
      </c>
      <c r="AP2138" s="8" t="str">
        <f aca="false">IF(A2138="","",IF(AO2138="","欠損",IF(AO2138&lt;=1.1,"1.0～1.1",IF(AO2138&lt;1.3,"1.2",IF(AO2138&lt;1.5,"1.3～1.4",IF(AO2138&lt;2,"1.5～1.9","2.0以上"))))))</f>
        <v/>
      </c>
      <c r="AQ2138" s="8" t="str">
        <f aca="false">IF(A2138="","",IF(ISNUMBER(SEARCH("2歳",Z2138)),"2歳戦",IF(ISNUMBER(SEARCH("3歳未勝利",Z2138)),"3歳未勝利",IF(ISNUMBER(SEARCH("未勝利",Z2138)),"その他未勝利",IF(ISNUMBER(SEARCH("G1",Z2138)),"G1",IF(ISNUMBER(SEARCH("G2",Z2138)),"G2",IF(ISNUMBER(SEARCH("G3",Z2138)),"G3",IF(ISNUMBER(SEARCH("古馬条件",Z2138)),"古馬条件戦",IF(ISNUMBER(SEARCH("重賞",Z2138)),"重賞","分類不能")))))))))</f>
        <v/>
      </c>
    </row>
    <row r="2139" customFormat="false" ht="15.75" hidden="false" customHeight="false" outlineLevel="0" collapsed="false">
      <c r="AO2139" s="8" t="str">
        <f aca="false">IF(A2139="","",IF(COUNTIFS(全馬データ!$A$2:$A$50000,A2139,全馬データ!$B$2:$B$50000,B2139,全馬データ!$C$2:$C$50000,C2139,全馬データ!$D$2:$D$50000,E2139,全馬データ!$K$2:$K$50000,"&lt;&gt;")=0,"",SUMIFS(全馬データ!$K$2:$K$50000,全馬データ!$A$2:$A$50000,A2139,全馬データ!$B$2:$B$50000,B2139,全馬データ!$C$2:$C$50000,C2139,全馬データ!$D$2:$D$50000,E2139)))</f>
        <v/>
      </c>
      <c r="AP2139" s="8" t="str">
        <f aca="false">IF(A2139="","",IF(AO2139="","欠損",IF(AO2139&lt;=1.1,"1.0～1.1",IF(AO2139&lt;1.3,"1.2",IF(AO2139&lt;1.5,"1.3～1.4",IF(AO2139&lt;2,"1.5～1.9","2.0以上"))))))</f>
        <v/>
      </c>
      <c r="AQ2139" s="8" t="str">
        <f aca="false">IF(A2139="","",IF(ISNUMBER(SEARCH("2歳",Z2139)),"2歳戦",IF(ISNUMBER(SEARCH("3歳未勝利",Z2139)),"3歳未勝利",IF(ISNUMBER(SEARCH("未勝利",Z2139)),"その他未勝利",IF(ISNUMBER(SEARCH("G1",Z2139)),"G1",IF(ISNUMBER(SEARCH("G2",Z2139)),"G2",IF(ISNUMBER(SEARCH("G3",Z2139)),"G3",IF(ISNUMBER(SEARCH("古馬条件",Z2139)),"古馬条件戦",IF(ISNUMBER(SEARCH("重賞",Z2139)),"重賞","分類不能")))))))))</f>
        <v/>
      </c>
    </row>
    <row r="2140" customFormat="false" ht="15.75" hidden="false" customHeight="false" outlineLevel="0" collapsed="false">
      <c r="AO2140" s="8" t="str">
        <f aca="false">IF(A2140="","",IF(COUNTIFS(全馬データ!$A$2:$A$50000,A2140,全馬データ!$B$2:$B$50000,B2140,全馬データ!$C$2:$C$50000,C2140,全馬データ!$D$2:$D$50000,E2140,全馬データ!$K$2:$K$50000,"&lt;&gt;")=0,"",SUMIFS(全馬データ!$K$2:$K$50000,全馬データ!$A$2:$A$50000,A2140,全馬データ!$B$2:$B$50000,B2140,全馬データ!$C$2:$C$50000,C2140,全馬データ!$D$2:$D$50000,E2140)))</f>
        <v/>
      </c>
      <c r="AP2140" s="8" t="str">
        <f aca="false">IF(A2140="","",IF(AO2140="","欠損",IF(AO2140&lt;=1.1,"1.0～1.1",IF(AO2140&lt;1.3,"1.2",IF(AO2140&lt;1.5,"1.3～1.4",IF(AO2140&lt;2,"1.5～1.9","2.0以上"))))))</f>
        <v/>
      </c>
      <c r="AQ2140" s="8" t="str">
        <f aca="false">IF(A2140="","",IF(ISNUMBER(SEARCH("2歳",Z2140)),"2歳戦",IF(ISNUMBER(SEARCH("3歳未勝利",Z2140)),"3歳未勝利",IF(ISNUMBER(SEARCH("未勝利",Z2140)),"その他未勝利",IF(ISNUMBER(SEARCH("G1",Z2140)),"G1",IF(ISNUMBER(SEARCH("G2",Z2140)),"G2",IF(ISNUMBER(SEARCH("G3",Z2140)),"G3",IF(ISNUMBER(SEARCH("古馬条件",Z2140)),"古馬条件戦",IF(ISNUMBER(SEARCH("重賞",Z2140)),"重賞","分類不能")))))))))</f>
        <v/>
      </c>
    </row>
    <row r="2141" customFormat="false" ht="15.75" hidden="false" customHeight="false" outlineLevel="0" collapsed="false">
      <c r="AO2141" s="8" t="str">
        <f aca="false">IF(A2141="","",IF(COUNTIFS(全馬データ!$A$2:$A$50000,A2141,全馬データ!$B$2:$B$50000,B2141,全馬データ!$C$2:$C$50000,C2141,全馬データ!$D$2:$D$50000,E2141,全馬データ!$K$2:$K$50000,"&lt;&gt;")=0,"",SUMIFS(全馬データ!$K$2:$K$50000,全馬データ!$A$2:$A$50000,A2141,全馬データ!$B$2:$B$50000,B2141,全馬データ!$C$2:$C$50000,C2141,全馬データ!$D$2:$D$50000,E2141)))</f>
        <v/>
      </c>
      <c r="AP2141" s="8" t="str">
        <f aca="false">IF(A2141="","",IF(AO2141="","欠損",IF(AO2141&lt;=1.1,"1.0～1.1",IF(AO2141&lt;1.3,"1.2",IF(AO2141&lt;1.5,"1.3～1.4",IF(AO2141&lt;2,"1.5～1.9","2.0以上"))))))</f>
        <v/>
      </c>
      <c r="AQ2141" s="8" t="str">
        <f aca="false">IF(A2141="","",IF(ISNUMBER(SEARCH("2歳",Z2141)),"2歳戦",IF(ISNUMBER(SEARCH("3歳未勝利",Z2141)),"3歳未勝利",IF(ISNUMBER(SEARCH("未勝利",Z2141)),"その他未勝利",IF(ISNUMBER(SEARCH("G1",Z2141)),"G1",IF(ISNUMBER(SEARCH("G2",Z2141)),"G2",IF(ISNUMBER(SEARCH("G3",Z2141)),"G3",IF(ISNUMBER(SEARCH("古馬条件",Z2141)),"古馬条件戦",IF(ISNUMBER(SEARCH("重賞",Z2141)),"重賞","分類不能")))))))))</f>
        <v/>
      </c>
    </row>
    <row r="2142" customFormat="false" ht="15.75" hidden="false" customHeight="false" outlineLevel="0" collapsed="false">
      <c r="AO2142" s="8" t="str">
        <f aca="false">IF(A2142="","",IF(COUNTIFS(全馬データ!$A$2:$A$50000,A2142,全馬データ!$B$2:$B$50000,B2142,全馬データ!$C$2:$C$50000,C2142,全馬データ!$D$2:$D$50000,E2142,全馬データ!$K$2:$K$50000,"&lt;&gt;")=0,"",SUMIFS(全馬データ!$K$2:$K$50000,全馬データ!$A$2:$A$50000,A2142,全馬データ!$B$2:$B$50000,B2142,全馬データ!$C$2:$C$50000,C2142,全馬データ!$D$2:$D$50000,E2142)))</f>
        <v/>
      </c>
      <c r="AP2142" s="8" t="str">
        <f aca="false">IF(A2142="","",IF(AO2142="","欠損",IF(AO2142&lt;=1.1,"1.0～1.1",IF(AO2142&lt;1.3,"1.2",IF(AO2142&lt;1.5,"1.3～1.4",IF(AO2142&lt;2,"1.5～1.9","2.0以上"))))))</f>
        <v/>
      </c>
      <c r="AQ2142" s="8" t="str">
        <f aca="false">IF(A2142="","",IF(ISNUMBER(SEARCH("2歳",Z2142)),"2歳戦",IF(ISNUMBER(SEARCH("3歳未勝利",Z2142)),"3歳未勝利",IF(ISNUMBER(SEARCH("未勝利",Z2142)),"その他未勝利",IF(ISNUMBER(SEARCH("G1",Z2142)),"G1",IF(ISNUMBER(SEARCH("G2",Z2142)),"G2",IF(ISNUMBER(SEARCH("G3",Z2142)),"G3",IF(ISNUMBER(SEARCH("古馬条件",Z2142)),"古馬条件戦",IF(ISNUMBER(SEARCH("重賞",Z2142)),"重賞","分類不能")))))))))</f>
        <v/>
      </c>
    </row>
    <row r="2143" customFormat="false" ht="15.75" hidden="false" customHeight="false" outlineLevel="0" collapsed="false">
      <c r="AO2143" s="8" t="str">
        <f aca="false">IF(A2143="","",IF(COUNTIFS(全馬データ!$A$2:$A$50000,A2143,全馬データ!$B$2:$B$50000,B2143,全馬データ!$C$2:$C$50000,C2143,全馬データ!$D$2:$D$50000,E2143,全馬データ!$K$2:$K$50000,"&lt;&gt;")=0,"",SUMIFS(全馬データ!$K$2:$K$50000,全馬データ!$A$2:$A$50000,A2143,全馬データ!$B$2:$B$50000,B2143,全馬データ!$C$2:$C$50000,C2143,全馬データ!$D$2:$D$50000,E2143)))</f>
        <v/>
      </c>
      <c r="AP2143" s="8" t="str">
        <f aca="false">IF(A2143="","",IF(AO2143="","欠損",IF(AO2143&lt;=1.1,"1.0～1.1",IF(AO2143&lt;1.3,"1.2",IF(AO2143&lt;1.5,"1.3～1.4",IF(AO2143&lt;2,"1.5～1.9","2.0以上"))))))</f>
        <v/>
      </c>
      <c r="AQ2143" s="8" t="str">
        <f aca="false">IF(A2143="","",IF(ISNUMBER(SEARCH("2歳",Z2143)),"2歳戦",IF(ISNUMBER(SEARCH("3歳未勝利",Z2143)),"3歳未勝利",IF(ISNUMBER(SEARCH("未勝利",Z2143)),"その他未勝利",IF(ISNUMBER(SEARCH("G1",Z2143)),"G1",IF(ISNUMBER(SEARCH("G2",Z2143)),"G2",IF(ISNUMBER(SEARCH("G3",Z2143)),"G3",IF(ISNUMBER(SEARCH("古馬条件",Z2143)),"古馬条件戦",IF(ISNUMBER(SEARCH("重賞",Z2143)),"重賞","分類不能")))))))))</f>
        <v/>
      </c>
    </row>
    <row r="2144" customFormat="false" ht="15.75" hidden="false" customHeight="false" outlineLevel="0" collapsed="false">
      <c r="AO2144" s="8" t="str">
        <f aca="false">IF(A2144="","",IF(COUNTIFS(全馬データ!$A$2:$A$50000,A2144,全馬データ!$B$2:$B$50000,B2144,全馬データ!$C$2:$C$50000,C2144,全馬データ!$D$2:$D$50000,E2144,全馬データ!$K$2:$K$50000,"&lt;&gt;")=0,"",SUMIFS(全馬データ!$K$2:$K$50000,全馬データ!$A$2:$A$50000,A2144,全馬データ!$B$2:$B$50000,B2144,全馬データ!$C$2:$C$50000,C2144,全馬データ!$D$2:$D$50000,E2144)))</f>
        <v/>
      </c>
      <c r="AP2144" s="8" t="str">
        <f aca="false">IF(A2144="","",IF(AO2144="","欠損",IF(AO2144&lt;=1.1,"1.0～1.1",IF(AO2144&lt;1.3,"1.2",IF(AO2144&lt;1.5,"1.3～1.4",IF(AO2144&lt;2,"1.5～1.9","2.0以上"))))))</f>
        <v/>
      </c>
      <c r="AQ2144" s="8" t="str">
        <f aca="false">IF(A2144="","",IF(ISNUMBER(SEARCH("2歳",Z2144)),"2歳戦",IF(ISNUMBER(SEARCH("3歳未勝利",Z2144)),"3歳未勝利",IF(ISNUMBER(SEARCH("未勝利",Z2144)),"その他未勝利",IF(ISNUMBER(SEARCH("G1",Z2144)),"G1",IF(ISNUMBER(SEARCH("G2",Z2144)),"G2",IF(ISNUMBER(SEARCH("G3",Z2144)),"G3",IF(ISNUMBER(SEARCH("古馬条件",Z2144)),"古馬条件戦",IF(ISNUMBER(SEARCH("重賞",Z2144)),"重賞","分類不能")))))))))</f>
        <v/>
      </c>
    </row>
    <row r="2145" customFormat="false" ht="15.75" hidden="false" customHeight="false" outlineLevel="0" collapsed="false">
      <c r="AO2145" s="8" t="str">
        <f aca="false">IF(A2145="","",IF(COUNTIFS(全馬データ!$A$2:$A$50000,A2145,全馬データ!$B$2:$B$50000,B2145,全馬データ!$C$2:$C$50000,C2145,全馬データ!$D$2:$D$50000,E2145,全馬データ!$K$2:$K$50000,"&lt;&gt;")=0,"",SUMIFS(全馬データ!$K$2:$K$50000,全馬データ!$A$2:$A$50000,A2145,全馬データ!$B$2:$B$50000,B2145,全馬データ!$C$2:$C$50000,C2145,全馬データ!$D$2:$D$50000,E2145)))</f>
        <v/>
      </c>
      <c r="AP2145" s="8" t="str">
        <f aca="false">IF(A2145="","",IF(AO2145="","欠損",IF(AO2145&lt;=1.1,"1.0～1.1",IF(AO2145&lt;1.3,"1.2",IF(AO2145&lt;1.5,"1.3～1.4",IF(AO2145&lt;2,"1.5～1.9","2.0以上"))))))</f>
        <v/>
      </c>
      <c r="AQ2145" s="8" t="str">
        <f aca="false">IF(A2145="","",IF(ISNUMBER(SEARCH("2歳",Z2145)),"2歳戦",IF(ISNUMBER(SEARCH("3歳未勝利",Z2145)),"3歳未勝利",IF(ISNUMBER(SEARCH("未勝利",Z2145)),"その他未勝利",IF(ISNUMBER(SEARCH("G1",Z2145)),"G1",IF(ISNUMBER(SEARCH("G2",Z2145)),"G2",IF(ISNUMBER(SEARCH("G3",Z2145)),"G3",IF(ISNUMBER(SEARCH("古馬条件",Z2145)),"古馬条件戦",IF(ISNUMBER(SEARCH("重賞",Z2145)),"重賞","分類不能")))))))))</f>
        <v/>
      </c>
    </row>
    <row r="2146" customFormat="false" ht="15.75" hidden="false" customHeight="false" outlineLevel="0" collapsed="false">
      <c r="AO2146" s="8" t="str">
        <f aca="false">IF(A2146="","",IF(COUNTIFS(全馬データ!$A$2:$A$50000,A2146,全馬データ!$B$2:$B$50000,B2146,全馬データ!$C$2:$C$50000,C2146,全馬データ!$D$2:$D$50000,E2146,全馬データ!$K$2:$K$50000,"&lt;&gt;")=0,"",SUMIFS(全馬データ!$K$2:$K$50000,全馬データ!$A$2:$A$50000,A2146,全馬データ!$B$2:$B$50000,B2146,全馬データ!$C$2:$C$50000,C2146,全馬データ!$D$2:$D$50000,E2146)))</f>
        <v/>
      </c>
      <c r="AP2146" s="8" t="str">
        <f aca="false">IF(A2146="","",IF(AO2146="","欠損",IF(AO2146&lt;=1.1,"1.0～1.1",IF(AO2146&lt;1.3,"1.2",IF(AO2146&lt;1.5,"1.3～1.4",IF(AO2146&lt;2,"1.5～1.9","2.0以上"))))))</f>
        <v/>
      </c>
      <c r="AQ2146" s="8" t="str">
        <f aca="false">IF(A2146="","",IF(ISNUMBER(SEARCH("2歳",Z2146)),"2歳戦",IF(ISNUMBER(SEARCH("3歳未勝利",Z2146)),"3歳未勝利",IF(ISNUMBER(SEARCH("未勝利",Z2146)),"その他未勝利",IF(ISNUMBER(SEARCH("G1",Z2146)),"G1",IF(ISNUMBER(SEARCH("G2",Z2146)),"G2",IF(ISNUMBER(SEARCH("G3",Z2146)),"G3",IF(ISNUMBER(SEARCH("古馬条件",Z2146)),"古馬条件戦",IF(ISNUMBER(SEARCH("重賞",Z2146)),"重賞","分類不能")))))))))</f>
        <v/>
      </c>
    </row>
    <row r="2147" customFormat="false" ht="15.75" hidden="false" customHeight="false" outlineLevel="0" collapsed="false">
      <c r="AO2147" s="8" t="str">
        <f aca="false">IF(A2147="","",IF(COUNTIFS(全馬データ!$A$2:$A$50000,A2147,全馬データ!$B$2:$B$50000,B2147,全馬データ!$C$2:$C$50000,C2147,全馬データ!$D$2:$D$50000,E2147,全馬データ!$K$2:$K$50000,"&lt;&gt;")=0,"",SUMIFS(全馬データ!$K$2:$K$50000,全馬データ!$A$2:$A$50000,A2147,全馬データ!$B$2:$B$50000,B2147,全馬データ!$C$2:$C$50000,C2147,全馬データ!$D$2:$D$50000,E2147)))</f>
        <v/>
      </c>
      <c r="AP2147" s="8" t="str">
        <f aca="false">IF(A2147="","",IF(AO2147="","欠損",IF(AO2147&lt;=1.1,"1.0～1.1",IF(AO2147&lt;1.3,"1.2",IF(AO2147&lt;1.5,"1.3～1.4",IF(AO2147&lt;2,"1.5～1.9","2.0以上"))))))</f>
        <v/>
      </c>
      <c r="AQ2147" s="8" t="str">
        <f aca="false">IF(A2147="","",IF(ISNUMBER(SEARCH("2歳",Z2147)),"2歳戦",IF(ISNUMBER(SEARCH("3歳未勝利",Z2147)),"3歳未勝利",IF(ISNUMBER(SEARCH("未勝利",Z2147)),"その他未勝利",IF(ISNUMBER(SEARCH("G1",Z2147)),"G1",IF(ISNUMBER(SEARCH("G2",Z2147)),"G2",IF(ISNUMBER(SEARCH("G3",Z2147)),"G3",IF(ISNUMBER(SEARCH("古馬条件",Z2147)),"古馬条件戦",IF(ISNUMBER(SEARCH("重賞",Z2147)),"重賞","分類不能")))))))))</f>
        <v/>
      </c>
    </row>
    <row r="2148" customFormat="false" ht="15.75" hidden="false" customHeight="false" outlineLevel="0" collapsed="false">
      <c r="AO2148" s="8" t="str">
        <f aca="false">IF(A2148="","",IF(COUNTIFS(全馬データ!$A$2:$A$50000,A2148,全馬データ!$B$2:$B$50000,B2148,全馬データ!$C$2:$C$50000,C2148,全馬データ!$D$2:$D$50000,E2148,全馬データ!$K$2:$K$50000,"&lt;&gt;")=0,"",SUMIFS(全馬データ!$K$2:$K$50000,全馬データ!$A$2:$A$50000,A2148,全馬データ!$B$2:$B$50000,B2148,全馬データ!$C$2:$C$50000,C2148,全馬データ!$D$2:$D$50000,E2148)))</f>
        <v/>
      </c>
      <c r="AP2148" s="8" t="str">
        <f aca="false">IF(A2148="","",IF(AO2148="","欠損",IF(AO2148&lt;=1.1,"1.0～1.1",IF(AO2148&lt;1.3,"1.2",IF(AO2148&lt;1.5,"1.3～1.4",IF(AO2148&lt;2,"1.5～1.9","2.0以上"))))))</f>
        <v/>
      </c>
      <c r="AQ2148" s="8" t="str">
        <f aca="false">IF(A2148="","",IF(ISNUMBER(SEARCH("2歳",Z2148)),"2歳戦",IF(ISNUMBER(SEARCH("3歳未勝利",Z2148)),"3歳未勝利",IF(ISNUMBER(SEARCH("未勝利",Z2148)),"その他未勝利",IF(ISNUMBER(SEARCH("G1",Z2148)),"G1",IF(ISNUMBER(SEARCH("G2",Z2148)),"G2",IF(ISNUMBER(SEARCH("G3",Z2148)),"G3",IF(ISNUMBER(SEARCH("古馬条件",Z2148)),"古馬条件戦",IF(ISNUMBER(SEARCH("重賞",Z2148)),"重賞","分類不能")))))))))</f>
        <v/>
      </c>
    </row>
    <row r="2149" customFormat="false" ht="15.75" hidden="false" customHeight="false" outlineLevel="0" collapsed="false">
      <c r="AO2149" s="8" t="str">
        <f aca="false">IF(A2149="","",IF(COUNTIFS(全馬データ!$A$2:$A$50000,A2149,全馬データ!$B$2:$B$50000,B2149,全馬データ!$C$2:$C$50000,C2149,全馬データ!$D$2:$D$50000,E2149,全馬データ!$K$2:$K$50000,"&lt;&gt;")=0,"",SUMIFS(全馬データ!$K$2:$K$50000,全馬データ!$A$2:$A$50000,A2149,全馬データ!$B$2:$B$50000,B2149,全馬データ!$C$2:$C$50000,C2149,全馬データ!$D$2:$D$50000,E2149)))</f>
        <v/>
      </c>
      <c r="AP2149" s="8" t="str">
        <f aca="false">IF(A2149="","",IF(AO2149="","欠損",IF(AO2149&lt;=1.1,"1.0～1.1",IF(AO2149&lt;1.3,"1.2",IF(AO2149&lt;1.5,"1.3～1.4",IF(AO2149&lt;2,"1.5～1.9","2.0以上"))))))</f>
        <v/>
      </c>
      <c r="AQ2149" s="8" t="str">
        <f aca="false">IF(A2149="","",IF(ISNUMBER(SEARCH("2歳",Z2149)),"2歳戦",IF(ISNUMBER(SEARCH("3歳未勝利",Z2149)),"3歳未勝利",IF(ISNUMBER(SEARCH("未勝利",Z2149)),"その他未勝利",IF(ISNUMBER(SEARCH("G1",Z2149)),"G1",IF(ISNUMBER(SEARCH("G2",Z2149)),"G2",IF(ISNUMBER(SEARCH("G3",Z2149)),"G3",IF(ISNUMBER(SEARCH("古馬条件",Z2149)),"古馬条件戦",IF(ISNUMBER(SEARCH("重賞",Z2149)),"重賞","分類不能")))))))))</f>
        <v/>
      </c>
    </row>
    <row r="2150" customFormat="false" ht="15.75" hidden="false" customHeight="false" outlineLevel="0" collapsed="false">
      <c r="AO2150" s="8" t="str">
        <f aca="false">IF(A2150="","",IF(COUNTIFS(全馬データ!$A$2:$A$50000,A2150,全馬データ!$B$2:$B$50000,B2150,全馬データ!$C$2:$C$50000,C2150,全馬データ!$D$2:$D$50000,E2150,全馬データ!$K$2:$K$50000,"&lt;&gt;")=0,"",SUMIFS(全馬データ!$K$2:$K$50000,全馬データ!$A$2:$A$50000,A2150,全馬データ!$B$2:$B$50000,B2150,全馬データ!$C$2:$C$50000,C2150,全馬データ!$D$2:$D$50000,E2150)))</f>
        <v/>
      </c>
      <c r="AP2150" s="8" t="str">
        <f aca="false">IF(A2150="","",IF(AO2150="","欠損",IF(AO2150&lt;=1.1,"1.0～1.1",IF(AO2150&lt;1.3,"1.2",IF(AO2150&lt;1.5,"1.3～1.4",IF(AO2150&lt;2,"1.5～1.9","2.0以上"))))))</f>
        <v/>
      </c>
      <c r="AQ2150" s="8" t="str">
        <f aca="false">IF(A2150="","",IF(ISNUMBER(SEARCH("2歳",Z2150)),"2歳戦",IF(ISNUMBER(SEARCH("3歳未勝利",Z2150)),"3歳未勝利",IF(ISNUMBER(SEARCH("未勝利",Z2150)),"その他未勝利",IF(ISNUMBER(SEARCH("G1",Z2150)),"G1",IF(ISNUMBER(SEARCH("G2",Z2150)),"G2",IF(ISNUMBER(SEARCH("G3",Z2150)),"G3",IF(ISNUMBER(SEARCH("古馬条件",Z2150)),"古馬条件戦",IF(ISNUMBER(SEARCH("重賞",Z2150)),"重賞","分類不能")))))))))</f>
        <v/>
      </c>
    </row>
    <row r="2151" customFormat="false" ht="15.75" hidden="false" customHeight="false" outlineLevel="0" collapsed="false">
      <c r="AO2151" s="8" t="str">
        <f aca="false">IF(A2151="","",IF(COUNTIFS(全馬データ!$A$2:$A$50000,A2151,全馬データ!$B$2:$B$50000,B2151,全馬データ!$C$2:$C$50000,C2151,全馬データ!$D$2:$D$50000,E2151,全馬データ!$K$2:$K$50000,"&lt;&gt;")=0,"",SUMIFS(全馬データ!$K$2:$K$50000,全馬データ!$A$2:$A$50000,A2151,全馬データ!$B$2:$B$50000,B2151,全馬データ!$C$2:$C$50000,C2151,全馬データ!$D$2:$D$50000,E2151)))</f>
        <v/>
      </c>
      <c r="AP2151" s="8" t="str">
        <f aca="false">IF(A2151="","",IF(AO2151="","欠損",IF(AO2151&lt;=1.1,"1.0～1.1",IF(AO2151&lt;1.3,"1.2",IF(AO2151&lt;1.5,"1.3～1.4",IF(AO2151&lt;2,"1.5～1.9","2.0以上"))))))</f>
        <v/>
      </c>
      <c r="AQ2151" s="8" t="str">
        <f aca="false">IF(A2151="","",IF(ISNUMBER(SEARCH("2歳",Z2151)),"2歳戦",IF(ISNUMBER(SEARCH("3歳未勝利",Z2151)),"3歳未勝利",IF(ISNUMBER(SEARCH("未勝利",Z2151)),"その他未勝利",IF(ISNUMBER(SEARCH("G1",Z2151)),"G1",IF(ISNUMBER(SEARCH("G2",Z2151)),"G2",IF(ISNUMBER(SEARCH("G3",Z2151)),"G3",IF(ISNUMBER(SEARCH("古馬条件",Z2151)),"古馬条件戦",IF(ISNUMBER(SEARCH("重賞",Z2151)),"重賞","分類不能")))))))))</f>
        <v/>
      </c>
    </row>
    <row r="2152" customFormat="false" ht="15.75" hidden="false" customHeight="false" outlineLevel="0" collapsed="false">
      <c r="AO2152" s="8" t="str">
        <f aca="false">IF(A2152="","",IF(COUNTIFS(全馬データ!$A$2:$A$50000,A2152,全馬データ!$B$2:$B$50000,B2152,全馬データ!$C$2:$C$50000,C2152,全馬データ!$D$2:$D$50000,E2152,全馬データ!$K$2:$K$50000,"&lt;&gt;")=0,"",SUMIFS(全馬データ!$K$2:$K$50000,全馬データ!$A$2:$A$50000,A2152,全馬データ!$B$2:$B$50000,B2152,全馬データ!$C$2:$C$50000,C2152,全馬データ!$D$2:$D$50000,E2152)))</f>
        <v/>
      </c>
      <c r="AP2152" s="8" t="str">
        <f aca="false">IF(A2152="","",IF(AO2152="","欠損",IF(AO2152&lt;=1.1,"1.0～1.1",IF(AO2152&lt;1.3,"1.2",IF(AO2152&lt;1.5,"1.3～1.4",IF(AO2152&lt;2,"1.5～1.9","2.0以上"))))))</f>
        <v/>
      </c>
      <c r="AQ2152" s="8" t="str">
        <f aca="false">IF(A2152="","",IF(ISNUMBER(SEARCH("2歳",Z2152)),"2歳戦",IF(ISNUMBER(SEARCH("3歳未勝利",Z2152)),"3歳未勝利",IF(ISNUMBER(SEARCH("未勝利",Z2152)),"その他未勝利",IF(ISNUMBER(SEARCH("G1",Z2152)),"G1",IF(ISNUMBER(SEARCH("G2",Z2152)),"G2",IF(ISNUMBER(SEARCH("G3",Z2152)),"G3",IF(ISNUMBER(SEARCH("古馬条件",Z2152)),"古馬条件戦",IF(ISNUMBER(SEARCH("重賞",Z2152)),"重賞","分類不能")))))))))</f>
        <v/>
      </c>
    </row>
    <row r="2153" customFormat="false" ht="15.75" hidden="false" customHeight="false" outlineLevel="0" collapsed="false">
      <c r="AO2153" s="8" t="str">
        <f aca="false">IF(A2153="","",IF(COUNTIFS(全馬データ!$A$2:$A$50000,A2153,全馬データ!$B$2:$B$50000,B2153,全馬データ!$C$2:$C$50000,C2153,全馬データ!$D$2:$D$50000,E2153,全馬データ!$K$2:$K$50000,"&lt;&gt;")=0,"",SUMIFS(全馬データ!$K$2:$K$50000,全馬データ!$A$2:$A$50000,A2153,全馬データ!$B$2:$B$50000,B2153,全馬データ!$C$2:$C$50000,C2153,全馬データ!$D$2:$D$50000,E2153)))</f>
        <v/>
      </c>
      <c r="AP2153" s="8" t="str">
        <f aca="false">IF(A2153="","",IF(AO2153="","欠損",IF(AO2153&lt;=1.1,"1.0～1.1",IF(AO2153&lt;1.3,"1.2",IF(AO2153&lt;1.5,"1.3～1.4",IF(AO2153&lt;2,"1.5～1.9","2.0以上"))))))</f>
        <v/>
      </c>
      <c r="AQ2153" s="8" t="str">
        <f aca="false">IF(A2153="","",IF(ISNUMBER(SEARCH("2歳",Z2153)),"2歳戦",IF(ISNUMBER(SEARCH("3歳未勝利",Z2153)),"3歳未勝利",IF(ISNUMBER(SEARCH("未勝利",Z2153)),"その他未勝利",IF(ISNUMBER(SEARCH("G1",Z2153)),"G1",IF(ISNUMBER(SEARCH("G2",Z2153)),"G2",IF(ISNUMBER(SEARCH("G3",Z2153)),"G3",IF(ISNUMBER(SEARCH("古馬条件",Z2153)),"古馬条件戦",IF(ISNUMBER(SEARCH("重賞",Z2153)),"重賞","分類不能")))))))))</f>
        <v/>
      </c>
    </row>
    <row r="2154" customFormat="false" ht="15.75" hidden="false" customHeight="false" outlineLevel="0" collapsed="false">
      <c r="AO2154" s="8" t="str">
        <f aca="false">IF(A2154="","",IF(COUNTIFS(全馬データ!$A$2:$A$50000,A2154,全馬データ!$B$2:$B$50000,B2154,全馬データ!$C$2:$C$50000,C2154,全馬データ!$D$2:$D$50000,E2154,全馬データ!$K$2:$K$50000,"&lt;&gt;")=0,"",SUMIFS(全馬データ!$K$2:$K$50000,全馬データ!$A$2:$A$50000,A2154,全馬データ!$B$2:$B$50000,B2154,全馬データ!$C$2:$C$50000,C2154,全馬データ!$D$2:$D$50000,E2154)))</f>
        <v/>
      </c>
      <c r="AP2154" s="8" t="str">
        <f aca="false">IF(A2154="","",IF(AO2154="","欠損",IF(AO2154&lt;=1.1,"1.0～1.1",IF(AO2154&lt;1.3,"1.2",IF(AO2154&lt;1.5,"1.3～1.4",IF(AO2154&lt;2,"1.5～1.9","2.0以上"))))))</f>
        <v/>
      </c>
      <c r="AQ2154" s="8" t="str">
        <f aca="false">IF(A2154="","",IF(ISNUMBER(SEARCH("2歳",Z2154)),"2歳戦",IF(ISNUMBER(SEARCH("3歳未勝利",Z2154)),"3歳未勝利",IF(ISNUMBER(SEARCH("未勝利",Z2154)),"その他未勝利",IF(ISNUMBER(SEARCH("G1",Z2154)),"G1",IF(ISNUMBER(SEARCH("G2",Z2154)),"G2",IF(ISNUMBER(SEARCH("G3",Z2154)),"G3",IF(ISNUMBER(SEARCH("古馬条件",Z2154)),"古馬条件戦",IF(ISNUMBER(SEARCH("重賞",Z2154)),"重賞","分類不能")))))))))</f>
        <v/>
      </c>
    </row>
    <row r="2155" customFormat="false" ht="15.75" hidden="false" customHeight="false" outlineLevel="0" collapsed="false">
      <c r="AO2155" s="8" t="str">
        <f aca="false">IF(A2155="","",IF(COUNTIFS(全馬データ!$A$2:$A$50000,A2155,全馬データ!$B$2:$B$50000,B2155,全馬データ!$C$2:$C$50000,C2155,全馬データ!$D$2:$D$50000,E2155,全馬データ!$K$2:$K$50000,"&lt;&gt;")=0,"",SUMIFS(全馬データ!$K$2:$K$50000,全馬データ!$A$2:$A$50000,A2155,全馬データ!$B$2:$B$50000,B2155,全馬データ!$C$2:$C$50000,C2155,全馬データ!$D$2:$D$50000,E2155)))</f>
        <v/>
      </c>
      <c r="AP2155" s="8" t="str">
        <f aca="false">IF(A2155="","",IF(AO2155="","欠損",IF(AO2155&lt;=1.1,"1.0～1.1",IF(AO2155&lt;1.3,"1.2",IF(AO2155&lt;1.5,"1.3～1.4",IF(AO2155&lt;2,"1.5～1.9","2.0以上"))))))</f>
        <v/>
      </c>
      <c r="AQ2155" s="8" t="str">
        <f aca="false">IF(A2155="","",IF(ISNUMBER(SEARCH("2歳",Z2155)),"2歳戦",IF(ISNUMBER(SEARCH("3歳未勝利",Z2155)),"3歳未勝利",IF(ISNUMBER(SEARCH("未勝利",Z2155)),"その他未勝利",IF(ISNUMBER(SEARCH("G1",Z2155)),"G1",IF(ISNUMBER(SEARCH("G2",Z2155)),"G2",IF(ISNUMBER(SEARCH("G3",Z2155)),"G3",IF(ISNUMBER(SEARCH("古馬条件",Z2155)),"古馬条件戦",IF(ISNUMBER(SEARCH("重賞",Z2155)),"重賞","分類不能")))))))))</f>
        <v/>
      </c>
    </row>
    <row r="2156" customFormat="false" ht="15.75" hidden="false" customHeight="false" outlineLevel="0" collapsed="false">
      <c r="AO2156" s="8" t="str">
        <f aca="false">IF(A2156="","",IF(COUNTIFS(全馬データ!$A$2:$A$50000,A2156,全馬データ!$B$2:$B$50000,B2156,全馬データ!$C$2:$C$50000,C2156,全馬データ!$D$2:$D$50000,E2156,全馬データ!$K$2:$K$50000,"&lt;&gt;")=0,"",SUMIFS(全馬データ!$K$2:$K$50000,全馬データ!$A$2:$A$50000,A2156,全馬データ!$B$2:$B$50000,B2156,全馬データ!$C$2:$C$50000,C2156,全馬データ!$D$2:$D$50000,E2156)))</f>
        <v/>
      </c>
      <c r="AP2156" s="8" t="str">
        <f aca="false">IF(A2156="","",IF(AO2156="","欠損",IF(AO2156&lt;=1.1,"1.0～1.1",IF(AO2156&lt;1.3,"1.2",IF(AO2156&lt;1.5,"1.3～1.4",IF(AO2156&lt;2,"1.5～1.9","2.0以上"))))))</f>
        <v/>
      </c>
      <c r="AQ2156" s="8" t="str">
        <f aca="false">IF(A2156="","",IF(ISNUMBER(SEARCH("2歳",Z2156)),"2歳戦",IF(ISNUMBER(SEARCH("3歳未勝利",Z2156)),"3歳未勝利",IF(ISNUMBER(SEARCH("未勝利",Z2156)),"その他未勝利",IF(ISNUMBER(SEARCH("G1",Z2156)),"G1",IF(ISNUMBER(SEARCH("G2",Z2156)),"G2",IF(ISNUMBER(SEARCH("G3",Z2156)),"G3",IF(ISNUMBER(SEARCH("古馬条件",Z2156)),"古馬条件戦",IF(ISNUMBER(SEARCH("重賞",Z2156)),"重賞","分類不能")))))))))</f>
        <v/>
      </c>
    </row>
    <row r="2157" customFormat="false" ht="15.75" hidden="false" customHeight="false" outlineLevel="0" collapsed="false">
      <c r="AO2157" s="8" t="str">
        <f aca="false">IF(A2157="","",IF(COUNTIFS(全馬データ!$A$2:$A$50000,A2157,全馬データ!$B$2:$B$50000,B2157,全馬データ!$C$2:$C$50000,C2157,全馬データ!$D$2:$D$50000,E2157,全馬データ!$K$2:$K$50000,"&lt;&gt;")=0,"",SUMIFS(全馬データ!$K$2:$K$50000,全馬データ!$A$2:$A$50000,A2157,全馬データ!$B$2:$B$50000,B2157,全馬データ!$C$2:$C$50000,C2157,全馬データ!$D$2:$D$50000,E2157)))</f>
        <v/>
      </c>
      <c r="AP2157" s="8" t="str">
        <f aca="false">IF(A2157="","",IF(AO2157="","欠損",IF(AO2157&lt;=1.1,"1.0～1.1",IF(AO2157&lt;1.3,"1.2",IF(AO2157&lt;1.5,"1.3～1.4",IF(AO2157&lt;2,"1.5～1.9","2.0以上"))))))</f>
        <v/>
      </c>
      <c r="AQ2157" s="8" t="str">
        <f aca="false">IF(A2157="","",IF(ISNUMBER(SEARCH("2歳",Z2157)),"2歳戦",IF(ISNUMBER(SEARCH("3歳未勝利",Z2157)),"3歳未勝利",IF(ISNUMBER(SEARCH("未勝利",Z2157)),"その他未勝利",IF(ISNUMBER(SEARCH("G1",Z2157)),"G1",IF(ISNUMBER(SEARCH("G2",Z2157)),"G2",IF(ISNUMBER(SEARCH("G3",Z2157)),"G3",IF(ISNUMBER(SEARCH("古馬条件",Z2157)),"古馬条件戦",IF(ISNUMBER(SEARCH("重賞",Z2157)),"重賞","分類不能")))))))))</f>
        <v/>
      </c>
    </row>
    <row r="2158" customFormat="false" ht="15.75" hidden="false" customHeight="false" outlineLevel="0" collapsed="false">
      <c r="AO2158" s="8" t="str">
        <f aca="false">IF(A2158="","",IF(COUNTIFS(全馬データ!$A$2:$A$50000,A2158,全馬データ!$B$2:$B$50000,B2158,全馬データ!$C$2:$C$50000,C2158,全馬データ!$D$2:$D$50000,E2158,全馬データ!$K$2:$K$50000,"&lt;&gt;")=0,"",SUMIFS(全馬データ!$K$2:$K$50000,全馬データ!$A$2:$A$50000,A2158,全馬データ!$B$2:$B$50000,B2158,全馬データ!$C$2:$C$50000,C2158,全馬データ!$D$2:$D$50000,E2158)))</f>
        <v/>
      </c>
      <c r="AP2158" s="8" t="str">
        <f aca="false">IF(A2158="","",IF(AO2158="","欠損",IF(AO2158&lt;=1.1,"1.0～1.1",IF(AO2158&lt;1.3,"1.2",IF(AO2158&lt;1.5,"1.3～1.4",IF(AO2158&lt;2,"1.5～1.9","2.0以上"))))))</f>
        <v/>
      </c>
      <c r="AQ2158" s="8" t="str">
        <f aca="false">IF(A2158="","",IF(ISNUMBER(SEARCH("2歳",Z2158)),"2歳戦",IF(ISNUMBER(SEARCH("3歳未勝利",Z2158)),"3歳未勝利",IF(ISNUMBER(SEARCH("未勝利",Z2158)),"その他未勝利",IF(ISNUMBER(SEARCH("G1",Z2158)),"G1",IF(ISNUMBER(SEARCH("G2",Z2158)),"G2",IF(ISNUMBER(SEARCH("G3",Z2158)),"G3",IF(ISNUMBER(SEARCH("古馬条件",Z2158)),"古馬条件戦",IF(ISNUMBER(SEARCH("重賞",Z2158)),"重賞","分類不能")))))))))</f>
        <v/>
      </c>
    </row>
    <row r="2159" customFormat="false" ht="15.75" hidden="false" customHeight="false" outlineLevel="0" collapsed="false">
      <c r="AO2159" s="8" t="str">
        <f aca="false">IF(A2159="","",IF(COUNTIFS(全馬データ!$A$2:$A$50000,A2159,全馬データ!$B$2:$B$50000,B2159,全馬データ!$C$2:$C$50000,C2159,全馬データ!$D$2:$D$50000,E2159,全馬データ!$K$2:$K$50000,"&lt;&gt;")=0,"",SUMIFS(全馬データ!$K$2:$K$50000,全馬データ!$A$2:$A$50000,A2159,全馬データ!$B$2:$B$50000,B2159,全馬データ!$C$2:$C$50000,C2159,全馬データ!$D$2:$D$50000,E2159)))</f>
        <v/>
      </c>
      <c r="AP2159" s="8" t="str">
        <f aca="false">IF(A2159="","",IF(AO2159="","欠損",IF(AO2159&lt;=1.1,"1.0～1.1",IF(AO2159&lt;1.3,"1.2",IF(AO2159&lt;1.5,"1.3～1.4",IF(AO2159&lt;2,"1.5～1.9","2.0以上"))))))</f>
        <v/>
      </c>
      <c r="AQ2159" s="8" t="str">
        <f aca="false">IF(A2159="","",IF(ISNUMBER(SEARCH("2歳",Z2159)),"2歳戦",IF(ISNUMBER(SEARCH("3歳未勝利",Z2159)),"3歳未勝利",IF(ISNUMBER(SEARCH("未勝利",Z2159)),"その他未勝利",IF(ISNUMBER(SEARCH("G1",Z2159)),"G1",IF(ISNUMBER(SEARCH("G2",Z2159)),"G2",IF(ISNUMBER(SEARCH("G3",Z2159)),"G3",IF(ISNUMBER(SEARCH("古馬条件",Z2159)),"古馬条件戦",IF(ISNUMBER(SEARCH("重賞",Z2159)),"重賞","分類不能")))))))))</f>
        <v/>
      </c>
    </row>
    <row r="2160" customFormat="false" ht="15.75" hidden="false" customHeight="false" outlineLevel="0" collapsed="false">
      <c r="AO2160" s="8" t="str">
        <f aca="false">IF(A2160="","",IF(COUNTIFS(全馬データ!$A$2:$A$50000,A2160,全馬データ!$B$2:$B$50000,B2160,全馬データ!$C$2:$C$50000,C2160,全馬データ!$D$2:$D$50000,E2160,全馬データ!$K$2:$K$50000,"&lt;&gt;")=0,"",SUMIFS(全馬データ!$K$2:$K$50000,全馬データ!$A$2:$A$50000,A2160,全馬データ!$B$2:$B$50000,B2160,全馬データ!$C$2:$C$50000,C2160,全馬データ!$D$2:$D$50000,E2160)))</f>
        <v/>
      </c>
      <c r="AP2160" s="8" t="str">
        <f aca="false">IF(A2160="","",IF(AO2160="","欠損",IF(AO2160&lt;=1.1,"1.0～1.1",IF(AO2160&lt;1.3,"1.2",IF(AO2160&lt;1.5,"1.3～1.4",IF(AO2160&lt;2,"1.5～1.9","2.0以上"))))))</f>
        <v/>
      </c>
      <c r="AQ2160" s="8" t="str">
        <f aca="false">IF(A2160="","",IF(ISNUMBER(SEARCH("2歳",Z2160)),"2歳戦",IF(ISNUMBER(SEARCH("3歳未勝利",Z2160)),"3歳未勝利",IF(ISNUMBER(SEARCH("未勝利",Z2160)),"その他未勝利",IF(ISNUMBER(SEARCH("G1",Z2160)),"G1",IF(ISNUMBER(SEARCH("G2",Z2160)),"G2",IF(ISNUMBER(SEARCH("G3",Z2160)),"G3",IF(ISNUMBER(SEARCH("古馬条件",Z2160)),"古馬条件戦",IF(ISNUMBER(SEARCH("重賞",Z2160)),"重賞","分類不能")))))))))</f>
        <v/>
      </c>
    </row>
    <row r="2161" customFormat="false" ht="15.75" hidden="false" customHeight="false" outlineLevel="0" collapsed="false">
      <c r="AO2161" s="8" t="str">
        <f aca="false">IF(A2161="","",IF(COUNTIFS(全馬データ!$A$2:$A$50000,A2161,全馬データ!$B$2:$B$50000,B2161,全馬データ!$C$2:$C$50000,C2161,全馬データ!$D$2:$D$50000,E2161,全馬データ!$K$2:$K$50000,"&lt;&gt;")=0,"",SUMIFS(全馬データ!$K$2:$K$50000,全馬データ!$A$2:$A$50000,A2161,全馬データ!$B$2:$B$50000,B2161,全馬データ!$C$2:$C$50000,C2161,全馬データ!$D$2:$D$50000,E2161)))</f>
        <v/>
      </c>
      <c r="AP2161" s="8" t="str">
        <f aca="false">IF(A2161="","",IF(AO2161="","欠損",IF(AO2161&lt;=1.1,"1.0～1.1",IF(AO2161&lt;1.3,"1.2",IF(AO2161&lt;1.5,"1.3～1.4",IF(AO2161&lt;2,"1.5～1.9","2.0以上"))))))</f>
        <v/>
      </c>
      <c r="AQ2161" s="8" t="str">
        <f aca="false">IF(A2161="","",IF(ISNUMBER(SEARCH("2歳",Z2161)),"2歳戦",IF(ISNUMBER(SEARCH("3歳未勝利",Z2161)),"3歳未勝利",IF(ISNUMBER(SEARCH("未勝利",Z2161)),"その他未勝利",IF(ISNUMBER(SEARCH("G1",Z2161)),"G1",IF(ISNUMBER(SEARCH("G2",Z2161)),"G2",IF(ISNUMBER(SEARCH("G3",Z2161)),"G3",IF(ISNUMBER(SEARCH("古馬条件",Z2161)),"古馬条件戦",IF(ISNUMBER(SEARCH("重賞",Z2161)),"重賞","分類不能")))))))))</f>
        <v/>
      </c>
    </row>
    <row r="2162" customFormat="false" ht="15.75" hidden="false" customHeight="false" outlineLevel="0" collapsed="false">
      <c r="AO2162" s="8" t="str">
        <f aca="false">IF(A2162="","",IF(COUNTIFS(全馬データ!$A$2:$A$50000,A2162,全馬データ!$B$2:$B$50000,B2162,全馬データ!$C$2:$C$50000,C2162,全馬データ!$D$2:$D$50000,E2162,全馬データ!$K$2:$K$50000,"&lt;&gt;")=0,"",SUMIFS(全馬データ!$K$2:$K$50000,全馬データ!$A$2:$A$50000,A2162,全馬データ!$B$2:$B$50000,B2162,全馬データ!$C$2:$C$50000,C2162,全馬データ!$D$2:$D$50000,E2162)))</f>
        <v/>
      </c>
      <c r="AP2162" s="8" t="str">
        <f aca="false">IF(A2162="","",IF(AO2162="","欠損",IF(AO2162&lt;=1.1,"1.0～1.1",IF(AO2162&lt;1.3,"1.2",IF(AO2162&lt;1.5,"1.3～1.4",IF(AO2162&lt;2,"1.5～1.9","2.0以上"))))))</f>
        <v/>
      </c>
      <c r="AQ2162" s="8" t="str">
        <f aca="false">IF(A2162="","",IF(ISNUMBER(SEARCH("2歳",Z2162)),"2歳戦",IF(ISNUMBER(SEARCH("3歳未勝利",Z2162)),"3歳未勝利",IF(ISNUMBER(SEARCH("未勝利",Z2162)),"その他未勝利",IF(ISNUMBER(SEARCH("G1",Z2162)),"G1",IF(ISNUMBER(SEARCH("G2",Z2162)),"G2",IF(ISNUMBER(SEARCH("G3",Z2162)),"G3",IF(ISNUMBER(SEARCH("古馬条件",Z2162)),"古馬条件戦",IF(ISNUMBER(SEARCH("重賞",Z2162)),"重賞","分類不能")))))))))</f>
        <v/>
      </c>
    </row>
    <row r="2163" customFormat="false" ht="15.75" hidden="false" customHeight="false" outlineLevel="0" collapsed="false">
      <c r="AO2163" s="8" t="str">
        <f aca="false">IF(A2163="","",IF(COUNTIFS(全馬データ!$A$2:$A$50000,A2163,全馬データ!$B$2:$B$50000,B2163,全馬データ!$C$2:$C$50000,C2163,全馬データ!$D$2:$D$50000,E2163,全馬データ!$K$2:$K$50000,"&lt;&gt;")=0,"",SUMIFS(全馬データ!$K$2:$K$50000,全馬データ!$A$2:$A$50000,A2163,全馬データ!$B$2:$B$50000,B2163,全馬データ!$C$2:$C$50000,C2163,全馬データ!$D$2:$D$50000,E2163)))</f>
        <v/>
      </c>
      <c r="AP2163" s="8" t="str">
        <f aca="false">IF(A2163="","",IF(AO2163="","欠損",IF(AO2163&lt;=1.1,"1.0～1.1",IF(AO2163&lt;1.3,"1.2",IF(AO2163&lt;1.5,"1.3～1.4",IF(AO2163&lt;2,"1.5～1.9","2.0以上"))))))</f>
        <v/>
      </c>
      <c r="AQ2163" s="8" t="str">
        <f aca="false">IF(A2163="","",IF(ISNUMBER(SEARCH("2歳",Z2163)),"2歳戦",IF(ISNUMBER(SEARCH("3歳未勝利",Z2163)),"3歳未勝利",IF(ISNUMBER(SEARCH("未勝利",Z2163)),"その他未勝利",IF(ISNUMBER(SEARCH("G1",Z2163)),"G1",IF(ISNUMBER(SEARCH("G2",Z2163)),"G2",IF(ISNUMBER(SEARCH("G3",Z2163)),"G3",IF(ISNUMBER(SEARCH("古馬条件",Z2163)),"古馬条件戦",IF(ISNUMBER(SEARCH("重賞",Z2163)),"重賞","分類不能")))))))))</f>
        <v/>
      </c>
    </row>
    <row r="2164" customFormat="false" ht="15.75" hidden="false" customHeight="false" outlineLevel="0" collapsed="false">
      <c r="AO2164" s="8" t="str">
        <f aca="false">IF(A2164="","",IF(COUNTIFS(全馬データ!$A$2:$A$50000,A2164,全馬データ!$B$2:$B$50000,B2164,全馬データ!$C$2:$C$50000,C2164,全馬データ!$D$2:$D$50000,E2164,全馬データ!$K$2:$K$50000,"&lt;&gt;")=0,"",SUMIFS(全馬データ!$K$2:$K$50000,全馬データ!$A$2:$A$50000,A2164,全馬データ!$B$2:$B$50000,B2164,全馬データ!$C$2:$C$50000,C2164,全馬データ!$D$2:$D$50000,E2164)))</f>
        <v/>
      </c>
      <c r="AP2164" s="8" t="str">
        <f aca="false">IF(A2164="","",IF(AO2164="","欠損",IF(AO2164&lt;=1.1,"1.0～1.1",IF(AO2164&lt;1.3,"1.2",IF(AO2164&lt;1.5,"1.3～1.4",IF(AO2164&lt;2,"1.5～1.9","2.0以上"))))))</f>
        <v/>
      </c>
      <c r="AQ2164" s="8" t="str">
        <f aca="false">IF(A2164="","",IF(ISNUMBER(SEARCH("2歳",Z2164)),"2歳戦",IF(ISNUMBER(SEARCH("3歳未勝利",Z2164)),"3歳未勝利",IF(ISNUMBER(SEARCH("未勝利",Z2164)),"その他未勝利",IF(ISNUMBER(SEARCH("G1",Z2164)),"G1",IF(ISNUMBER(SEARCH("G2",Z2164)),"G2",IF(ISNUMBER(SEARCH("G3",Z2164)),"G3",IF(ISNUMBER(SEARCH("古馬条件",Z2164)),"古馬条件戦",IF(ISNUMBER(SEARCH("重賞",Z2164)),"重賞","分類不能")))))))))</f>
        <v/>
      </c>
    </row>
    <row r="2165" customFormat="false" ht="15.75" hidden="false" customHeight="false" outlineLevel="0" collapsed="false">
      <c r="AO2165" s="8" t="str">
        <f aca="false">IF(A2165="","",IF(COUNTIFS(全馬データ!$A$2:$A$50000,A2165,全馬データ!$B$2:$B$50000,B2165,全馬データ!$C$2:$C$50000,C2165,全馬データ!$D$2:$D$50000,E2165,全馬データ!$K$2:$K$50000,"&lt;&gt;")=0,"",SUMIFS(全馬データ!$K$2:$K$50000,全馬データ!$A$2:$A$50000,A2165,全馬データ!$B$2:$B$50000,B2165,全馬データ!$C$2:$C$50000,C2165,全馬データ!$D$2:$D$50000,E2165)))</f>
        <v/>
      </c>
      <c r="AP2165" s="8" t="str">
        <f aca="false">IF(A2165="","",IF(AO2165="","欠損",IF(AO2165&lt;=1.1,"1.0～1.1",IF(AO2165&lt;1.3,"1.2",IF(AO2165&lt;1.5,"1.3～1.4",IF(AO2165&lt;2,"1.5～1.9","2.0以上"))))))</f>
        <v/>
      </c>
      <c r="AQ2165" s="8" t="str">
        <f aca="false">IF(A2165="","",IF(ISNUMBER(SEARCH("2歳",Z2165)),"2歳戦",IF(ISNUMBER(SEARCH("3歳未勝利",Z2165)),"3歳未勝利",IF(ISNUMBER(SEARCH("未勝利",Z2165)),"その他未勝利",IF(ISNUMBER(SEARCH("G1",Z2165)),"G1",IF(ISNUMBER(SEARCH("G2",Z2165)),"G2",IF(ISNUMBER(SEARCH("G3",Z2165)),"G3",IF(ISNUMBER(SEARCH("古馬条件",Z2165)),"古馬条件戦",IF(ISNUMBER(SEARCH("重賞",Z2165)),"重賞","分類不能")))))))))</f>
        <v/>
      </c>
    </row>
    <row r="2166" customFormat="false" ht="15.75" hidden="false" customHeight="false" outlineLevel="0" collapsed="false">
      <c r="AO2166" s="8" t="str">
        <f aca="false">IF(A2166="","",IF(COUNTIFS(全馬データ!$A$2:$A$50000,A2166,全馬データ!$B$2:$B$50000,B2166,全馬データ!$C$2:$C$50000,C2166,全馬データ!$D$2:$D$50000,E2166,全馬データ!$K$2:$K$50000,"&lt;&gt;")=0,"",SUMIFS(全馬データ!$K$2:$K$50000,全馬データ!$A$2:$A$50000,A2166,全馬データ!$B$2:$B$50000,B2166,全馬データ!$C$2:$C$50000,C2166,全馬データ!$D$2:$D$50000,E2166)))</f>
        <v/>
      </c>
      <c r="AP2166" s="8" t="str">
        <f aca="false">IF(A2166="","",IF(AO2166="","欠損",IF(AO2166&lt;=1.1,"1.0～1.1",IF(AO2166&lt;1.3,"1.2",IF(AO2166&lt;1.5,"1.3～1.4",IF(AO2166&lt;2,"1.5～1.9","2.0以上"))))))</f>
        <v/>
      </c>
      <c r="AQ2166" s="8" t="str">
        <f aca="false">IF(A2166="","",IF(ISNUMBER(SEARCH("2歳",Z2166)),"2歳戦",IF(ISNUMBER(SEARCH("3歳未勝利",Z2166)),"3歳未勝利",IF(ISNUMBER(SEARCH("未勝利",Z2166)),"その他未勝利",IF(ISNUMBER(SEARCH("G1",Z2166)),"G1",IF(ISNUMBER(SEARCH("G2",Z2166)),"G2",IF(ISNUMBER(SEARCH("G3",Z2166)),"G3",IF(ISNUMBER(SEARCH("古馬条件",Z2166)),"古馬条件戦",IF(ISNUMBER(SEARCH("重賞",Z2166)),"重賞","分類不能")))))))))</f>
        <v/>
      </c>
    </row>
    <row r="2167" customFormat="false" ht="15.75" hidden="false" customHeight="false" outlineLevel="0" collapsed="false">
      <c r="AO2167" s="8" t="str">
        <f aca="false">IF(A2167="","",IF(COUNTIFS(全馬データ!$A$2:$A$50000,A2167,全馬データ!$B$2:$B$50000,B2167,全馬データ!$C$2:$C$50000,C2167,全馬データ!$D$2:$D$50000,E2167,全馬データ!$K$2:$K$50000,"&lt;&gt;")=0,"",SUMIFS(全馬データ!$K$2:$K$50000,全馬データ!$A$2:$A$50000,A2167,全馬データ!$B$2:$B$50000,B2167,全馬データ!$C$2:$C$50000,C2167,全馬データ!$D$2:$D$50000,E2167)))</f>
        <v/>
      </c>
      <c r="AP2167" s="8" t="str">
        <f aca="false">IF(A2167="","",IF(AO2167="","欠損",IF(AO2167&lt;=1.1,"1.0～1.1",IF(AO2167&lt;1.3,"1.2",IF(AO2167&lt;1.5,"1.3～1.4",IF(AO2167&lt;2,"1.5～1.9","2.0以上"))))))</f>
        <v/>
      </c>
      <c r="AQ2167" s="8" t="str">
        <f aca="false">IF(A2167="","",IF(ISNUMBER(SEARCH("2歳",Z2167)),"2歳戦",IF(ISNUMBER(SEARCH("3歳未勝利",Z2167)),"3歳未勝利",IF(ISNUMBER(SEARCH("未勝利",Z2167)),"その他未勝利",IF(ISNUMBER(SEARCH("G1",Z2167)),"G1",IF(ISNUMBER(SEARCH("G2",Z2167)),"G2",IF(ISNUMBER(SEARCH("G3",Z2167)),"G3",IF(ISNUMBER(SEARCH("古馬条件",Z2167)),"古馬条件戦",IF(ISNUMBER(SEARCH("重賞",Z2167)),"重賞","分類不能")))))))))</f>
        <v/>
      </c>
    </row>
    <row r="2168" customFormat="false" ht="15.75" hidden="false" customHeight="false" outlineLevel="0" collapsed="false">
      <c r="AO2168" s="8" t="str">
        <f aca="false">IF(A2168="","",IF(COUNTIFS(全馬データ!$A$2:$A$50000,A2168,全馬データ!$B$2:$B$50000,B2168,全馬データ!$C$2:$C$50000,C2168,全馬データ!$D$2:$D$50000,E2168,全馬データ!$K$2:$K$50000,"&lt;&gt;")=0,"",SUMIFS(全馬データ!$K$2:$K$50000,全馬データ!$A$2:$A$50000,A2168,全馬データ!$B$2:$B$50000,B2168,全馬データ!$C$2:$C$50000,C2168,全馬データ!$D$2:$D$50000,E2168)))</f>
        <v/>
      </c>
      <c r="AP2168" s="8" t="str">
        <f aca="false">IF(A2168="","",IF(AO2168="","欠損",IF(AO2168&lt;=1.1,"1.0～1.1",IF(AO2168&lt;1.3,"1.2",IF(AO2168&lt;1.5,"1.3～1.4",IF(AO2168&lt;2,"1.5～1.9","2.0以上"))))))</f>
        <v/>
      </c>
      <c r="AQ2168" s="8" t="str">
        <f aca="false">IF(A2168="","",IF(ISNUMBER(SEARCH("2歳",Z2168)),"2歳戦",IF(ISNUMBER(SEARCH("3歳未勝利",Z2168)),"3歳未勝利",IF(ISNUMBER(SEARCH("未勝利",Z2168)),"その他未勝利",IF(ISNUMBER(SEARCH("G1",Z2168)),"G1",IF(ISNUMBER(SEARCH("G2",Z2168)),"G2",IF(ISNUMBER(SEARCH("G3",Z2168)),"G3",IF(ISNUMBER(SEARCH("古馬条件",Z2168)),"古馬条件戦",IF(ISNUMBER(SEARCH("重賞",Z2168)),"重賞","分類不能")))))))))</f>
        <v/>
      </c>
    </row>
    <row r="2169" customFormat="false" ht="15.75" hidden="false" customHeight="false" outlineLevel="0" collapsed="false">
      <c r="AO2169" s="8" t="str">
        <f aca="false">IF(A2169="","",IF(COUNTIFS(全馬データ!$A$2:$A$50000,A2169,全馬データ!$B$2:$B$50000,B2169,全馬データ!$C$2:$C$50000,C2169,全馬データ!$D$2:$D$50000,E2169,全馬データ!$K$2:$K$50000,"&lt;&gt;")=0,"",SUMIFS(全馬データ!$K$2:$K$50000,全馬データ!$A$2:$A$50000,A2169,全馬データ!$B$2:$B$50000,B2169,全馬データ!$C$2:$C$50000,C2169,全馬データ!$D$2:$D$50000,E2169)))</f>
        <v/>
      </c>
      <c r="AP2169" s="8" t="str">
        <f aca="false">IF(A2169="","",IF(AO2169="","欠損",IF(AO2169&lt;=1.1,"1.0～1.1",IF(AO2169&lt;1.3,"1.2",IF(AO2169&lt;1.5,"1.3～1.4",IF(AO2169&lt;2,"1.5～1.9","2.0以上"))))))</f>
        <v/>
      </c>
      <c r="AQ2169" s="8" t="str">
        <f aca="false">IF(A2169="","",IF(ISNUMBER(SEARCH("2歳",Z2169)),"2歳戦",IF(ISNUMBER(SEARCH("3歳未勝利",Z2169)),"3歳未勝利",IF(ISNUMBER(SEARCH("未勝利",Z2169)),"その他未勝利",IF(ISNUMBER(SEARCH("G1",Z2169)),"G1",IF(ISNUMBER(SEARCH("G2",Z2169)),"G2",IF(ISNUMBER(SEARCH("G3",Z2169)),"G3",IF(ISNUMBER(SEARCH("古馬条件",Z2169)),"古馬条件戦",IF(ISNUMBER(SEARCH("重賞",Z2169)),"重賞","分類不能")))))))))</f>
        <v/>
      </c>
    </row>
    <row r="2170" customFormat="false" ht="15.75" hidden="false" customHeight="false" outlineLevel="0" collapsed="false">
      <c r="AO2170" s="8" t="str">
        <f aca="false">IF(A2170="","",IF(COUNTIFS(全馬データ!$A$2:$A$50000,A2170,全馬データ!$B$2:$B$50000,B2170,全馬データ!$C$2:$C$50000,C2170,全馬データ!$D$2:$D$50000,E2170,全馬データ!$K$2:$K$50000,"&lt;&gt;")=0,"",SUMIFS(全馬データ!$K$2:$K$50000,全馬データ!$A$2:$A$50000,A2170,全馬データ!$B$2:$B$50000,B2170,全馬データ!$C$2:$C$50000,C2170,全馬データ!$D$2:$D$50000,E2170)))</f>
        <v/>
      </c>
      <c r="AP2170" s="8" t="str">
        <f aca="false">IF(A2170="","",IF(AO2170="","欠損",IF(AO2170&lt;=1.1,"1.0～1.1",IF(AO2170&lt;1.3,"1.2",IF(AO2170&lt;1.5,"1.3～1.4",IF(AO2170&lt;2,"1.5～1.9","2.0以上"))))))</f>
        <v/>
      </c>
      <c r="AQ2170" s="8" t="str">
        <f aca="false">IF(A2170="","",IF(ISNUMBER(SEARCH("2歳",Z2170)),"2歳戦",IF(ISNUMBER(SEARCH("3歳未勝利",Z2170)),"3歳未勝利",IF(ISNUMBER(SEARCH("未勝利",Z2170)),"その他未勝利",IF(ISNUMBER(SEARCH("G1",Z2170)),"G1",IF(ISNUMBER(SEARCH("G2",Z2170)),"G2",IF(ISNUMBER(SEARCH("G3",Z2170)),"G3",IF(ISNUMBER(SEARCH("古馬条件",Z2170)),"古馬条件戦",IF(ISNUMBER(SEARCH("重賞",Z2170)),"重賞","分類不能")))))))))</f>
        <v/>
      </c>
    </row>
    <row r="2171" customFormat="false" ht="15.75" hidden="false" customHeight="false" outlineLevel="0" collapsed="false">
      <c r="AO2171" s="8" t="str">
        <f aca="false">IF(A2171="","",IF(COUNTIFS(全馬データ!$A$2:$A$50000,A2171,全馬データ!$B$2:$B$50000,B2171,全馬データ!$C$2:$C$50000,C2171,全馬データ!$D$2:$D$50000,E2171,全馬データ!$K$2:$K$50000,"&lt;&gt;")=0,"",SUMIFS(全馬データ!$K$2:$K$50000,全馬データ!$A$2:$A$50000,A2171,全馬データ!$B$2:$B$50000,B2171,全馬データ!$C$2:$C$50000,C2171,全馬データ!$D$2:$D$50000,E2171)))</f>
        <v/>
      </c>
      <c r="AP2171" s="8" t="str">
        <f aca="false">IF(A2171="","",IF(AO2171="","欠損",IF(AO2171&lt;=1.1,"1.0～1.1",IF(AO2171&lt;1.3,"1.2",IF(AO2171&lt;1.5,"1.3～1.4",IF(AO2171&lt;2,"1.5～1.9","2.0以上"))))))</f>
        <v/>
      </c>
      <c r="AQ2171" s="8" t="str">
        <f aca="false">IF(A2171="","",IF(ISNUMBER(SEARCH("2歳",Z2171)),"2歳戦",IF(ISNUMBER(SEARCH("3歳未勝利",Z2171)),"3歳未勝利",IF(ISNUMBER(SEARCH("未勝利",Z2171)),"その他未勝利",IF(ISNUMBER(SEARCH("G1",Z2171)),"G1",IF(ISNUMBER(SEARCH("G2",Z2171)),"G2",IF(ISNUMBER(SEARCH("G3",Z2171)),"G3",IF(ISNUMBER(SEARCH("古馬条件",Z2171)),"古馬条件戦",IF(ISNUMBER(SEARCH("重賞",Z2171)),"重賞","分類不能")))))))))</f>
        <v/>
      </c>
    </row>
    <row r="2172" customFormat="false" ht="15.75" hidden="false" customHeight="false" outlineLevel="0" collapsed="false">
      <c r="AO2172" s="8" t="str">
        <f aca="false">IF(A2172="","",IF(COUNTIFS(全馬データ!$A$2:$A$50000,A2172,全馬データ!$B$2:$B$50000,B2172,全馬データ!$C$2:$C$50000,C2172,全馬データ!$D$2:$D$50000,E2172,全馬データ!$K$2:$K$50000,"&lt;&gt;")=0,"",SUMIFS(全馬データ!$K$2:$K$50000,全馬データ!$A$2:$A$50000,A2172,全馬データ!$B$2:$B$50000,B2172,全馬データ!$C$2:$C$50000,C2172,全馬データ!$D$2:$D$50000,E2172)))</f>
        <v/>
      </c>
      <c r="AP2172" s="8" t="str">
        <f aca="false">IF(A2172="","",IF(AO2172="","欠損",IF(AO2172&lt;=1.1,"1.0～1.1",IF(AO2172&lt;1.3,"1.2",IF(AO2172&lt;1.5,"1.3～1.4",IF(AO2172&lt;2,"1.5～1.9","2.0以上"))))))</f>
        <v/>
      </c>
      <c r="AQ2172" s="8" t="str">
        <f aca="false">IF(A2172="","",IF(ISNUMBER(SEARCH("2歳",Z2172)),"2歳戦",IF(ISNUMBER(SEARCH("3歳未勝利",Z2172)),"3歳未勝利",IF(ISNUMBER(SEARCH("未勝利",Z2172)),"その他未勝利",IF(ISNUMBER(SEARCH("G1",Z2172)),"G1",IF(ISNUMBER(SEARCH("G2",Z2172)),"G2",IF(ISNUMBER(SEARCH("G3",Z2172)),"G3",IF(ISNUMBER(SEARCH("古馬条件",Z2172)),"古馬条件戦",IF(ISNUMBER(SEARCH("重賞",Z2172)),"重賞","分類不能")))))))))</f>
        <v/>
      </c>
    </row>
    <row r="2173" customFormat="false" ht="15.75" hidden="false" customHeight="false" outlineLevel="0" collapsed="false">
      <c r="AO2173" s="8" t="str">
        <f aca="false">IF(A2173="","",IF(COUNTIFS(全馬データ!$A$2:$A$50000,A2173,全馬データ!$B$2:$B$50000,B2173,全馬データ!$C$2:$C$50000,C2173,全馬データ!$D$2:$D$50000,E2173,全馬データ!$K$2:$K$50000,"&lt;&gt;")=0,"",SUMIFS(全馬データ!$K$2:$K$50000,全馬データ!$A$2:$A$50000,A2173,全馬データ!$B$2:$B$50000,B2173,全馬データ!$C$2:$C$50000,C2173,全馬データ!$D$2:$D$50000,E2173)))</f>
        <v/>
      </c>
      <c r="AP2173" s="8" t="str">
        <f aca="false">IF(A2173="","",IF(AO2173="","欠損",IF(AO2173&lt;=1.1,"1.0～1.1",IF(AO2173&lt;1.3,"1.2",IF(AO2173&lt;1.5,"1.3～1.4",IF(AO2173&lt;2,"1.5～1.9","2.0以上"))))))</f>
        <v/>
      </c>
      <c r="AQ2173" s="8" t="str">
        <f aca="false">IF(A2173="","",IF(ISNUMBER(SEARCH("2歳",Z2173)),"2歳戦",IF(ISNUMBER(SEARCH("3歳未勝利",Z2173)),"3歳未勝利",IF(ISNUMBER(SEARCH("未勝利",Z2173)),"その他未勝利",IF(ISNUMBER(SEARCH("G1",Z2173)),"G1",IF(ISNUMBER(SEARCH("G2",Z2173)),"G2",IF(ISNUMBER(SEARCH("G3",Z2173)),"G3",IF(ISNUMBER(SEARCH("古馬条件",Z2173)),"古馬条件戦",IF(ISNUMBER(SEARCH("重賞",Z2173)),"重賞","分類不能")))))))))</f>
        <v/>
      </c>
    </row>
    <row r="2174" customFormat="false" ht="15.75" hidden="false" customHeight="false" outlineLevel="0" collapsed="false">
      <c r="AO2174" s="8" t="str">
        <f aca="false">IF(A2174="","",IF(COUNTIFS(全馬データ!$A$2:$A$50000,A2174,全馬データ!$B$2:$B$50000,B2174,全馬データ!$C$2:$C$50000,C2174,全馬データ!$D$2:$D$50000,E2174,全馬データ!$K$2:$K$50000,"&lt;&gt;")=0,"",SUMIFS(全馬データ!$K$2:$K$50000,全馬データ!$A$2:$A$50000,A2174,全馬データ!$B$2:$B$50000,B2174,全馬データ!$C$2:$C$50000,C2174,全馬データ!$D$2:$D$50000,E2174)))</f>
        <v/>
      </c>
      <c r="AP2174" s="8" t="str">
        <f aca="false">IF(A2174="","",IF(AO2174="","欠損",IF(AO2174&lt;=1.1,"1.0～1.1",IF(AO2174&lt;1.3,"1.2",IF(AO2174&lt;1.5,"1.3～1.4",IF(AO2174&lt;2,"1.5～1.9","2.0以上"))))))</f>
        <v/>
      </c>
      <c r="AQ2174" s="8" t="str">
        <f aca="false">IF(A2174="","",IF(ISNUMBER(SEARCH("2歳",Z2174)),"2歳戦",IF(ISNUMBER(SEARCH("3歳未勝利",Z2174)),"3歳未勝利",IF(ISNUMBER(SEARCH("未勝利",Z2174)),"その他未勝利",IF(ISNUMBER(SEARCH("G1",Z2174)),"G1",IF(ISNUMBER(SEARCH("G2",Z2174)),"G2",IF(ISNUMBER(SEARCH("G3",Z2174)),"G3",IF(ISNUMBER(SEARCH("古馬条件",Z2174)),"古馬条件戦",IF(ISNUMBER(SEARCH("重賞",Z2174)),"重賞","分類不能")))))))))</f>
        <v/>
      </c>
    </row>
    <row r="2175" customFormat="false" ht="15.75" hidden="false" customHeight="false" outlineLevel="0" collapsed="false">
      <c r="AO2175" s="8" t="str">
        <f aca="false">IF(A2175="","",IF(COUNTIFS(全馬データ!$A$2:$A$50000,A2175,全馬データ!$B$2:$B$50000,B2175,全馬データ!$C$2:$C$50000,C2175,全馬データ!$D$2:$D$50000,E2175,全馬データ!$K$2:$K$50000,"&lt;&gt;")=0,"",SUMIFS(全馬データ!$K$2:$K$50000,全馬データ!$A$2:$A$50000,A2175,全馬データ!$B$2:$B$50000,B2175,全馬データ!$C$2:$C$50000,C2175,全馬データ!$D$2:$D$50000,E2175)))</f>
        <v/>
      </c>
      <c r="AP2175" s="8" t="str">
        <f aca="false">IF(A2175="","",IF(AO2175="","欠損",IF(AO2175&lt;=1.1,"1.0～1.1",IF(AO2175&lt;1.3,"1.2",IF(AO2175&lt;1.5,"1.3～1.4",IF(AO2175&lt;2,"1.5～1.9","2.0以上"))))))</f>
        <v/>
      </c>
      <c r="AQ2175" s="8" t="str">
        <f aca="false">IF(A2175="","",IF(ISNUMBER(SEARCH("2歳",Z2175)),"2歳戦",IF(ISNUMBER(SEARCH("3歳未勝利",Z2175)),"3歳未勝利",IF(ISNUMBER(SEARCH("未勝利",Z2175)),"その他未勝利",IF(ISNUMBER(SEARCH("G1",Z2175)),"G1",IF(ISNUMBER(SEARCH("G2",Z2175)),"G2",IF(ISNUMBER(SEARCH("G3",Z2175)),"G3",IF(ISNUMBER(SEARCH("古馬条件",Z2175)),"古馬条件戦",IF(ISNUMBER(SEARCH("重賞",Z2175)),"重賞","分類不能")))))))))</f>
        <v/>
      </c>
    </row>
    <row r="2176" customFormat="false" ht="15.75" hidden="false" customHeight="false" outlineLevel="0" collapsed="false">
      <c r="AO2176" s="8" t="str">
        <f aca="false">IF(A2176="","",IF(COUNTIFS(全馬データ!$A$2:$A$50000,A2176,全馬データ!$B$2:$B$50000,B2176,全馬データ!$C$2:$C$50000,C2176,全馬データ!$D$2:$D$50000,E2176,全馬データ!$K$2:$K$50000,"&lt;&gt;")=0,"",SUMIFS(全馬データ!$K$2:$K$50000,全馬データ!$A$2:$A$50000,A2176,全馬データ!$B$2:$B$50000,B2176,全馬データ!$C$2:$C$50000,C2176,全馬データ!$D$2:$D$50000,E2176)))</f>
        <v/>
      </c>
      <c r="AP2176" s="8" t="str">
        <f aca="false">IF(A2176="","",IF(AO2176="","欠損",IF(AO2176&lt;=1.1,"1.0～1.1",IF(AO2176&lt;1.3,"1.2",IF(AO2176&lt;1.5,"1.3～1.4",IF(AO2176&lt;2,"1.5～1.9","2.0以上"))))))</f>
        <v/>
      </c>
      <c r="AQ2176" s="8" t="str">
        <f aca="false">IF(A2176="","",IF(ISNUMBER(SEARCH("2歳",Z2176)),"2歳戦",IF(ISNUMBER(SEARCH("3歳未勝利",Z2176)),"3歳未勝利",IF(ISNUMBER(SEARCH("未勝利",Z2176)),"その他未勝利",IF(ISNUMBER(SEARCH("G1",Z2176)),"G1",IF(ISNUMBER(SEARCH("G2",Z2176)),"G2",IF(ISNUMBER(SEARCH("G3",Z2176)),"G3",IF(ISNUMBER(SEARCH("古馬条件",Z2176)),"古馬条件戦",IF(ISNUMBER(SEARCH("重賞",Z2176)),"重賞","分類不能")))))))))</f>
        <v/>
      </c>
    </row>
    <row r="2177" customFormat="false" ht="15.75" hidden="false" customHeight="false" outlineLevel="0" collapsed="false">
      <c r="AO2177" s="8" t="str">
        <f aca="false">IF(A2177="","",IF(COUNTIFS(全馬データ!$A$2:$A$50000,A2177,全馬データ!$B$2:$B$50000,B2177,全馬データ!$C$2:$C$50000,C2177,全馬データ!$D$2:$D$50000,E2177,全馬データ!$K$2:$K$50000,"&lt;&gt;")=0,"",SUMIFS(全馬データ!$K$2:$K$50000,全馬データ!$A$2:$A$50000,A2177,全馬データ!$B$2:$B$50000,B2177,全馬データ!$C$2:$C$50000,C2177,全馬データ!$D$2:$D$50000,E2177)))</f>
        <v/>
      </c>
      <c r="AP2177" s="8" t="str">
        <f aca="false">IF(A2177="","",IF(AO2177="","欠損",IF(AO2177&lt;=1.1,"1.0～1.1",IF(AO2177&lt;1.3,"1.2",IF(AO2177&lt;1.5,"1.3～1.4",IF(AO2177&lt;2,"1.5～1.9","2.0以上"))))))</f>
        <v/>
      </c>
      <c r="AQ2177" s="8" t="str">
        <f aca="false">IF(A2177="","",IF(ISNUMBER(SEARCH("2歳",Z2177)),"2歳戦",IF(ISNUMBER(SEARCH("3歳未勝利",Z2177)),"3歳未勝利",IF(ISNUMBER(SEARCH("未勝利",Z2177)),"その他未勝利",IF(ISNUMBER(SEARCH("G1",Z2177)),"G1",IF(ISNUMBER(SEARCH("G2",Z2177)),"G2",IF(ISNUMBER(SEARCH("G3",Z2177)),"G3",IF(ISNUMBER(SEARCH("古馬条件",Z2177)),"古馬条件戦",IF(ISNUMBER(SEARCH("重賞",Z2177)),"重賞","分類不能")))))))))</f>
        <v/>
      </c>
    </row>
    <row r="2178" customFormat="false" ht="15.75" hidden="false" customHeight="false" outlineLevel="0" collapsed="false">
      <c r="AO2178" s="8" t="str">
        <f aca="false">IF(A2178="","",IF(COUNTIFS(全馬データ!$A$2:$A$50000,A2178,全馬データ!$B$2:$B$50000,B2178,全馬データ!$C$2:$C$50000,C2178,全馬データ!$D$2:$D$50000,E2178,全馬データ!$K$2:$K$50000,"&lt;&gt;")=0,"",SUMIFS(全馬データ!$K$2:$K$50000,全馬データ!$A$2:$A$50000,A2178,全馬データ!$B$2:$B$50000,B2178,全馬データ!$C$2:$C$50000,C2178,全馬データ!$D$2:$D$50000,E2178)))</f>
        <v/>
      </c>
      <c r="AP2178" s="8" t="str">
        <f aca="false">IF(A2178="","",IF(AO2178="","欠損",IF(AO2178&lt;=1.1,"1.0～1.1",IF(AO2178&lt;1.3,"1.2",IF(AO2178&lt;1.5,"1.3～1.4",IF(AO2178&lt;2,"1.5～1.9","2.0以上"))))))</f>
        <v/>
      </c>
      <c r="AQ2178" s="8" t="str">
        <f aca="false">IF(A2178="","",IF(ISNUMBER(SEARCH("2歳",Z2178)),"2歳戦",IF(ISNUMBER(SEARCH("3歳未勝利",Z2178)),"3歳未勝利",IF(ISNUMBER(SEARCH("未勝利",Z2178)),"その他未勝利",IF(ISNUMBER(SEARCH("G1",Z2178)),"G1",IF(ISNUMBER(SEARCH("G2",Z2178)),"G2",IF(ISNUMBER(SEARCH("G3",Z2178)),"G3",IF(ISNUMBER(SEARCH("古馬条件",Z2178)),"古馬条件戦",IF(ISNUMBER(SEARCH("重賞",Z2178)),"重賞","分類不能")))))))))</f>
        <v/>
      </c>
    </row>
    <row r="2179" customFormat="false" ht="15.75" hidden="false" customHeight="false" outlineLevel="0" collapsed="false">
      <c r="AO2179" s="8" t="str">
        <f aca="false">IF(A2179="","",IF(COUNTIFS(全馬データ!$A$2:$A$50000,A2179,全馬データ!$B$2:$B$50000,B2179,全馬データ!$C$2:$C$50000,C2179,全馬データ!$D$2:$D$50000,E2179,全馬データ!$K$2:$K$50000,"&lt;&gt;")=0,"",SUMIFS(全馬データ!$K$2:$K$50000,全馬データ!$A$2:$A$50000,A2179,全馬データ!$B$2:$B$50000,B2179,全馬データ!$C$2:$C$50000,C2179,全馬データ!$D$2:$D$50000,E2179)))</f>
        <v/>
      </c>
      <c r="AP2179" s="8" t="str">
        <f aca="false">IF(A2179="","",IF(AO2179="","欠損",IF(AO2179&lt;=1.1,"1.0～1.1",IF(AO2179&lt;1.3,"1.2",IF(AO2179&lt;1.5,"1.3～1.4",IF(AO2179&lt;2,"1.5～1.9","2.0以上"))))))</f>
        <v/>
      </c>
      <c r="AQ2179" s="8" t="str">
        <f aca="false">IF(A2179="","",IF(ISNUMBER(SEARCH("2歳",Z2179)),"2歳戦",IF(ISNUMBER(SEARCH("3歳未勝利",Z2179)),"3歳未勝利",IF(ISNUMBER(SEARCH("未勝利",Z2179)),"その他未勝利",IF(ISNUMBER(SEARCH("G1",Z2179)),"G1",IF(ISNUMBER(SEARCH("G2",Z2179)),"G2",IF(ISNUMBER(SEARCH("G3",Z2179)),"G3",IF(ISNUMBER(SEARCH("古馬条件",Z2179)),"古馬条件戦",IF(ISNUMBER(SEARCH("重賞",Z2179)),"重賞","分類不能")))))))))</f>
        <v/>
      </c>
    </row>
    <row r="2180" customFormat="false" ht="15.75" hidden="false" customHeight="false" outlineLevel="0" collapsed="false">
      <c r="AO2180" s="8" t="str">
        <f aca="false">IF(A2180="","",IF(COUNTIFS(全馬データ!$A$2:$A$50000,A2180,全馬データ!$B$2:$B$50000,B2180,全馬データ!$C$2:$C$50000,C2180,全馬データ!$D$2:$D$50000,E2180,全馬データ!$K$2:$K$50000,"&lt;&gt;")=0,"",SUMIFS(全馬データ!$K$2:$K$50000,全馬データ!$A$2:$A$50000,A2180,全馬データ!$B$2:$B$50000,B2180,全馬データ!$C$2:$C$50000,C2180,全馬データ!$D$2:$D$50000,E2180)))</f>
        <v/>
      </c>
      <c r="AP2180" s="8" t="str">
        <f aca="false">IF(A2180="","",IF(AO2180="","欠損",IF(AO2180&lt;=1.1,"1.0～1.1",IF(AO2180&lt;1.3,"1.2",IF(AO2180&lt;1.5,"1.3～1.4",IF(AO2180&lt;2,"1.5～1.9","2.0以上"))))))</f>
        <v/>
      </c>
      <c r="AQ2180" s="8" t="str">
        <f aca="false">IF(A2180="","",IF(ISNUMBER(SEARCH("2歳",Z2180)),"2歳戦",IF(ISNUMBER(SEARCH("3歳未勝利",Z2180)),"3歳未勝利",IF(ISNUMBER(SEARCH("未勝利",Z2180)),"その他未勝利",IF(ISNUMBER(SEARCH("G1",Z2180)),"G1",IF(ISNUMBER(SEARCH("G2",Z2180)),"G2",IF(ISNUMBER(SEARCH("G3",Z2180)),"G3",IF(ISNUMBER(SEARCH("古馬条件",Z2180)),"古馬条件戦",IF(ISNUMBER(SEARCH("重賞",Z2180)),"重賞","分類不能")))))))))</f>
        <v/>
      </c>
    </row>
    <row r="2181" customFormat="false" ht="15.75" hidden="false" customHeight="false" outlineLevel="0" collapsed="false">
      <c r="AO2181" s="8" t="str">
        <f aca="false">IF(A2181="","",IF(COUNTIFS(全馬データ!$A$2:$A$50000,A2181,全馬データ!$B$2:$B$50000,B2181,全馬データ!$C$2:$C$50000,C2181,全馬データ!$D$2:$D$50000,E2181,全馬データ!$K$2:$K$50000,"&lt;&gt;")=0,"",SUMIFS(全馬データ!$K$2:$K$50000,全馬データ!$A$2:$A$50000,A2181,全馬データ!$B$2:$B$50000,B2181,全馬データ!$C$2:$C$50000,C2181,全馬データ!$D$2:$D$50000,E2181)))</f>
        <v/>
      </c>
      <c r="AP2181" s="8" t="str">
        <f aca="false">IF(A2181="","",IF(AO2181="","欠損",IF(AO2181&lt;=1.1,"1.0～1.1",IF(AO2181&lt;1.3,"1.2",IF(AO2181&lt;1.5,"1.3～1.4",IF(AO2181&lt;2,"1.5～1.9","2.0以上"))))))</f>
        <v/>
      </c>
      <c r="AQ2181" s="8" t="str">
        <f aca="false">IF(A2181="","",IF(ISNUMBER(SEARCH("2歳",Z2181)),"2歳戦",IF(ISNUMBER(SEARCH("3歳未勝利",Z2181)),"3歳未勝利",IF(ISNUMBER(SEARCH("未勝利",Z2181)),"その他未勝利",IF(ISNUMBER(SEARCH("G1",Z2181)),"G1",IF(ISNUMBER(SEARCH("G2",Z2181)),"G2",IF(ISNUMBER(SEARCH("G3",Z2181)),"G3",IF(ISNUMBER(SEARCH("古馬条件",Z2181)),"古馬条件戦",IF(ISNUMBER(SEARCH("重賞",Z2181)),"重賞","分類不能")))))))))</f>
        <v/>
      </c>
    </row>
    <row r="2182" customFormat="false" ht="15.75" hidden="false" customHeight="false" outlineLevel="0" collapsed="false">
      <c r="AO2182" s="8" t="str">
        <f aca="false">IF(A2182="","",IF(COUNTIFS(全馬データ!$A$2:$A$50000,A2182,全馬データ!$B$2:$B$50000,B2182,全馬データ!$C$2:$C$50000,C2182,全馬データ!$D$2:$D$50000,E2182,全馬データ!$K$2:$K$50000,"&lt;&gt;")=0,"",SUMIFS(全馬データ!$K$2:$K$50000,全馬データ!$A$2:$A$50000,A2182,全馬データ!$B$2:$B$50000,B2182,全馬データ!$C$2:$C$50000,C2182,全馬データ!$D$2:$D$50000,E2182)))</f>
        <v/>
      </c>
      <c r="AP2182" s="8" t="str">
        <f aca="false">IF(A2182="","",IF(AO2182="","欠損",IF(AO2182&lt;=1.1,"1.0～1.1",IF(AO2182&lt;1.3,"1.2",IF(AO2182&lt;1.5,"1.3～1.4",IF(AO2182&lt;2,"1.5～1.9","2.0以上"))))))</f>
        <v/>
      </c>
      <c r="AQ2182" s="8" t="str">
        <f aca="false">IF(A2182="","",IF(ISNUMBER(SEARCH("2歳",Z2182)),"2歳戦",IF(ISNUMBER(SEARCH("3歳未勝利",Z2182)),"3歳未勝利",IF(ISNUMBER(SEARCH("未勝利",Z2182)),"その他未勝利",IF(ISNUMBER(SEARCH("G1",Z2182)),"G1",IF(ISNUMBER(SEARCH("G2",Z2182)),"G2",IF(ISNUMBER(SEARCH("G3",Z2182)),"G3",IF(ISNUMBER(SEARCH("古馬条件",Z2182)),"古馬条件戦",IF(ISNUMBER(SEARCH("重賞",Z2182)),"重賞","分類不能")))))))))</f>
        <v/>
      </c>
    </row>
    <row r="2183" customFormat="false" ht="15.75" hidden="false" customHeight="false" outlineLevel="0" collapsed="false">
      <c r="AO2183" s="8" t="str">
        <f aca="false">IF(A2183="","",IF(COUNTIFS(全馬データ!$A$2:$A$50000,A2183,全馬データ!$B$2:$B$50000,B2183,全馬データ!$C$2:$C$50000,C2183,全馬データ!$D$2:$D$50000,E2183,全馬データ!$K$2:$K$50000,"&lt;&gt;")=0,"",SUMIFS(全馬データ!$K$2:$K$50000,全馬データ!$A$2:$A$50000,A2183,全馬データ!$B$2:$B$50000,B2183,全馬データ!$C$2:$C$50000,C2183,全馬データ!$D$2:$D$50000,E2183)))</f>
        <v/>
      </c>
      <c r="AP2183" s="8" t="str">
        <f aca="false">IF(A2183="","",IF(AO2183="","欠損",IF(AO2183&lt;=1.1,"1.0～1.1",IF(AO2183&lt;1.3,"1.2",IF(AO2183&lt;1.5,"1.3～1.4",IF(AO2183&lt;2,"1.5～1.9","2.0以上"))))))</f>
        <v/>
      </c>
      <c r="AQ2183" s="8" t="str">
        <f aca="false">IF(A2183="","",IF(ISNUMBER(SEARCH("2歳",Z2183)),"2歳戦",IF(ISNUMBER(SEARCH("3歳未勝利",Z2183)),"3歳未勝利",IF(ISNUMBER(SEARCH("未勝利",Z2183)),"その他未勝利",IF(ISNUMBER(SEARCH("G1",Z2183)),"G1",IF(ISNUMBER(SEARCH("G2",Z2183)),"G2",IF(ISNUMBER(SEARCH("G3",Z2183)),"G3",IF(ISNUMBER(SEARCH("古馬条件",Z2183)),"古馬条件戦",IF(ISNUMBER(SEARCH("重賞",Z2183)),"重賞","分類不能")))))))))</f>
        <v/>
      </c>
    </row>
    <row r="2184" customFormat="false" ht="15.75" hidden="false" customHeight="false" outlineLevel="0" collapsed="false">
      <c r="AO2184" s="8" t="str">
        <f aca="false">IF(A2184="","",IF(COUNTIFS(全馬データ!$A$2:$A$50000,A2184,全馬データ!$B$2:$B$50000,B2184,全馬データ!$C$2:$C$50000,C2184,全馬データ!$D$2:$D$50000,E2184,全馬データ!$K$2:$K$50000,"&lt;&gt;")=0,"",SUMIFS(全馬データ!$K$2:$K$50000,全馬データ!$A$2:$A$50000,A2184,全馬データ!$B$2:$B$50000,B2184,全馬データ!$C$2:$C$50000,C2184,全馬データ!$D$2:$D$50000,E2184)))</f>
        <v/>
      </c>
      <c r="AP2184" s="8" t="str">
        <f aca="false">IF(A2184="","",IF(AO2184="","欠損",IF(AO2184&lt;=1.1,"1.0～1.1",IF(AO2184&lt;1.3,"1.2",IF(AO2184&lt;1.5,"1.3～1.4",IF(AO2184&lt;2,"1.5～1.9","2.0以上"))))))</f>
        <v/>
      </c>
      <c r="AQ2184" s="8" t="str">
        <f aca="false">IF(A2184="","",IF(ISNUMBER(SEARCH("2歳",Z2184)),"2歳戦",IF(ISNUMBER(SEARCH("3歳未勝利",Z2184)),"3歳未勝利",IF(ISNUMBER(SEARCH("未勝利",Z2184)),"その他未勝利",IF(ISNUMBER(SEARCH("G1",Z2184)),"G1",IF(ISNUMBER(SEARCH("G2",Z2184)),"G2",IF(ISNUMBER(SEARCH("G3",Z2184)),"G3",IF(ISNUMBER(SEARCH("古馬条件",Z2184)),"古馬条件戦",IF(ISNUMBER(SEARCH("重賞",Z2184)),"重賞","分類不能")))))))))</f>
        <v/>
      </c>
    </row>
    <row r="2185" customFormat="false" ht="15.75" hidden="false" customHeight="false" outlineLevel="0" collapsed="false">
      <c r="AO2185" s="8" t="str">
        <f aca="false">IF(A2185="","",IF(COUNTIFS(全馬データ!$A$2:$A$50000,A2185,全馬データ!$B$2:$B$50000,B2185,全馬データ!$C$2:$C$50000,C2185,全馬データ!$D$2:$D$50000,E2185,全馬データ!$K$2:$K$50000,"&lt;&gt;")=0,"",SUMIFS(全馬データ!$K$2:$K$50000,全馬データ!$A$2:$A$50000,A2185,全馬データ!$B$2:$B$50000,B2185,全馬データ!$C$2:$C$50000,C2185,全馬データ!$D$2:$D$50000,E2185)))</f>
        <v/>
      </c>
      <c r="AP2185" s="8" t="str">
        <f aca="false">IF(A2185="","",IF(AO2185="","欠損",IF(AO2185&lt;=1.1,"1.0～1.1",IF(AO2185&lt;1.3,"1.2",IF(AO2185&lt;1.5,"1.3～1.4",IF(AO2185&lt;2,"1.5～1.9","2.0以上"))))))</f>
        <v/>
      </c>
      <c r="AQ2185" s="8" t="str">
        <f aca="false">IF(A2185="","",IF(ISNUMBER(SEARCH("2歳",Z2185)),"2歳戦",IF(ISNUMBER(SEARCH("3歳未勝利",Z2185)),"3歳未勝利",IF(ISNUMBER(SEARCH("未勝利",Z2185)),"その他未勝利",IF(ISNUMBER(SEARCH("G1",Z2185)),"G1",IF(ISNUMBER(SEARCH("G2",Z2185)),"G2",IF(ISNUMBER(SEARCH("G3",Z2185)),"G3",IF(ISNUMBER(SEARCH("古馬条件",Z2185)),"古馬条件戦",IF(ISNUMBER(SEARCH("重賞",Z2185)),"重賞","分類不能")))))))))</f>
        <v/>
      </c>
    </row>
    <row r="2186" customFormat="false" ht="15.75" hidden="false" customHeight="false" outlineLevel="0" collapsed="false">
      <c r="AO2186" s="8" t="str">
        <f aca="false">IF(A2186="","",IF(COUNTIFS(全馬データ!$A$2:$A$50000,A2186,全馬データ!$B$2:$B$50000,B2186,全馬データ!$C$2:$C$50000,C2186,全馬データ!$D$2:$D$50000,E2186,全馬データ!$K$2:$K$50000,"&lt;&gt;")=0,"",SUMIFS(全馬データ!$K$2:$K$50000,全馬データ!$A$2:$A$50000,A2186,全馬データ!$B$2:$B$50000,B2186,全馬データ!$C$2:$C$50000,C2186,全馬データ!$D$2:$D$50000,E2186)))</f>
        <v/>
      </c>
      <c r="AP2186" s="8" t="str">
        <f aca="false">IF(A2186="","",IF(AO2186="","欠損",IF(AO2186&lt;=1.1,"1.0～1.1",IF(AO2186&lt;1.3,"1.2",IF(AO2186&lt;1.5,"1.3～1.4",IF(AO2186&lt;2,"1.5～1.9","2.0以上"))))))</f>
        <v/>
      </c>
      <c r="AQ2186" s="8" t="str">
        <f aca="false">IF(A2186="","",IF(ISNUMBER(SEARCH("2歳",Z2186)),"2歳戦",IF(ISNUMBER(SEARCH("3歳未勝利",Z2186)),"3歳未勝利",IF(ISNUMBER(SEARCH("未勝利",Z2186)),"その他未勝利",IF(ISNUMBER(SEARCH("G1",Z2186)),"G1",IF(ISNUMBER(SEARCH("G2",Z2186)),"G2",IF(ISNUMBER(SEARCH("G3",Z2186)),"G3",IF(ISNUMBER(SEARCH("古馬条件",Z2186)),"古馬条件戦",IF(ISNUMBER(SEARCH("重賞",Z2186)),"重賞","分類不能")))))))))</f>
        <v/>
      </c>
    </row>
    <row r="2187" customFormat="false" ht="15.75" hidden="false" customHeight="false" outlineLevel="0" collapsed="false">
      <c r="AO2187" s="8" t="str">
        <f aca="false">IF(A2187="","",IF(COUNTIFS(全馬データ!$A$2:$A$50000,A2187,全馬データ!$B$2:$B$50000,B2187,全馬データ!$C$2:$C$50000,C2187,全馬データ!$D$2:$D$50000,E2187,全馬データ!$K$2:$K$50000,"&lt;&gt;")=0,"",SUMIFS(全馬データ!$K$2:$K$50000,全馬データ!$A$2:$A$50000,A2187,全馬データ!$B$2:$B$50000,B2187,全馬データ!$C$2:$C$50000,C2187,全馬データ!$D$2:$D$50000,E2187)))</f>
        <v/>
      </c>
      <c r="AP2187" s="8" t="str">
        <f aca="false">IF(A2187="","",IF(AO2187="","欠損",IF(AO2187&lt;=1.1,"1.0～1.1",IF(AO2187&lt;1.3,"1.2",IF(AO2187&lt;1.5,"1.3～1.4",IF(AO2187&lt;2,"1.5～1.9","2.0以上"))))))</f>
        <v/>
      </c>
      <c r="AQ2187" s="8" t="str">
        <f aca="false">IF(A2187="","",IF(ISNUMBER(SEARCH("2歳",Z2187)),"2歳戦",IF(ISNUMBER(SEARCH("3歳未勝利",Z2187)),"3歳未勝利",IF(ISNUMBER(SEARCH("未勝利",Z2187)),"その他未勝利",IF(ISNUMBER(SEARCH("G1",Z2187)),"G1",IF(ISNUMBER(SEARCH("G2",Z2187)),"G2",IF(ISNUMBER(SEARCH("G3",Z2187)),"G3",IF(ISNUMBER(SEARCH("古馬条件",Z2187)),"古馬条件戦",IF(ISNUMBER(SEARCH("重賞",Z2187)),"重賞","分類不能")))))))))</f>
        <v/>
      </c>
    </row>
    <row r="2188" customFormat="false" ht="15.75" hidden="false" customHeight="false" outlineLevel="0" collapsed="false">
      <c r="AO2188" s="8" t="str">
        <f aca="false">IF(A2188="","",IF(COUNTIFS(全馬データ!$A$2:$A$50000,A2188,全馬データ!$B$2:$B$50000,B2188,全馬データ!$C$2:$C$50000,C2188,全馬データ!$D$2:$D$50000,E2188,全馬データ!$K$2:$K$50000,"&lt;&gt;")=0,"",SUMIFS(全馬データ!$K$2:$K$50000,全馬データ!$A$2:$A$50000,A2188,全馬データ!$B$2:$B$50000,B2188,全馬データ!$C$2:$C$50000,C2188,全馬データ!$D$2:$D$50000,E2188)))</f>
        <v/>
      </c>
      <c r="AP2188" s="8" t="str">
        <f aca="false">IF(A2188="","",IF(AO2188="","欠損",IF(AO2188&lt;=1.1,"1.0～1.1",IF(AO2188&lt;1.3,"1.2",IF(AO2188&lt;1.5,"1.3～1.4",IF(AO2188&lt;2,"1.5～1.9","2.0以上"))))))</f>
        <v/>
      </c>
      <c r="AQ2188" s="8" t="str">
        <f aca="false">IF(A2188="","",IF(ISNUMBER(SEARCH("2歳",Z2188)),"2歳戦",IF(ISNUMBER(SEARCH("3歳未勝利",Z2188)),"3歳未勝利",IF(ISNUMBER(SEARCH("未勝利",Z2188)),"その他未勝利",IF(ISNUMBER(SEARCH("G1",Z2188)),"G1",IF(ISNUMBER(SEARCH("G2",Z2188)),"G2",IF(ISNUMBER(SEARCH("G3",Z2188)),"G3",IF(ISNUMBER(SEARCH("古馬条件",Z2188)),"古馬条件戦",IF(ISNUMBER(SEARCH("重賞",Z2188)),"重賞","分類不能")))))))))</f>
        <v/>
      </c>
    </row>
    <row r="2189" customFormat="false" ht="15.75" hidden="false" customHeight="false" outlineLevel="0" collapsed="false">
      <c r="AO2189" s="8" t="str">
        <f aca="false">IF(A2189="","",IF(COUNTIFS(全馬データ!$A$2:$A$50000,A2189,全馬データ!$B$2:$B$50000,B2189,全馬データ!$C$2:$C$50000,C2189,全馬データ!$D$2:$D$50000,E2189,全馬データ!$K$2:$K$50000,"&lt;&gt;")=0,"",SUMIFS(全馬データ!$K$2:$K$50000,全馬データ!$A$2:$A$50000,A2189,全馬データ!$B$2:$B$50000,B2189,全馬データ!$C$2:$C$50000,C2189,全馬データ!$D$2:$D$50000,E2189)))</f>
        <v/>
      </c>
      <c r="AP2189" s="8" t="str">
        <f aca="false">IF(A2189="","",IF(AO2189="","欠損",IF(AO2189&lt;=1.1,"1.0～1.1",IF(AO2189&lt;1.3,"1.2",IF(AO2189&lt;1.5,"1.3～1.4",IF(AO2189&lt;2,"1.5～1.9","2.0以上"))))))</f>
        <v/>
      </c>
      <c r="AQ2189" s="8" t="str">
        <f aca="false">IF(A2189="","",IF(ISNUMBER(SEARCH("2歳",Z2189)),"2歳戦",IF(ISNUMBER(SEARCH("3歳未勝利",Z2189)),"3歳未勝利",IF(ISNUMBER(SEARCH("未勝利",Z2189)),"その他未勝利",IF(ISNUMBER(SEARCH("G1",Z2189)),"G1",IF(ISNUMBER(SEARCH("G2",Z2189)),"G2",IF(ISNUMBER(SEARCH("G3",Z2189)),"G3",IF(ISNUMBER(SEARCH("古馬条件",Z2189)),"古馬条件戦",IF(ISNUMBER(SEARCH("重賞",Z2189)),"重賞","分類不能")))))))))</f>
        <v/>
      </c>
    </row>
    <row r="2190" customFormat="false" ht="15.75" hidden="false" customHeight="false" outlineLevel="0" collapsed="false">
      <c r="AO2190" s="8" t="str">
        <f aca="false">IF(A2190="","",IF(COUNTIFS(全馬データ!$A$2:$A$50000,A2190,全馬データ!$B$2:$B$50000,B2190,全馬データ!$C$2:$C$50000,C2190,全馬データ!$D$2:$D$50000,E2190,全馬データ!$K$2:$K$50000,"&lt;&gt;")=0,"",SUMIFS(全馬データ!$K$2:$K$50000,全馬データ!$A$2:$A$50000,A2190,全馬データ!$B$2:$B$50000,B2190,全馬データ!$C$2:$C$50000,C2190,全馬データ!$D$2:$D$50000,E2190)))</f>
        <v/>
      </c>
      <c r="AP2190" s="8" t="str">
        <f aca="false">IF(A2190="","",IF(AO2190="","欠損",IF(AO2190&lt;=1.1,"1.0～1.1",IF(AO2190&lt;1.3,"1.2",IF(AO2190&lt;1.5,"1.3～1.4",IF(AO2190&lt;2,"1.5～1.9","2.0以上"))))))</f>
        <v/>
      </c>
      <c r="AQ2190" s="8" t="str">
        <f aca="false">IF(A2190="","",IF(ISNUMBER(SEARCH("2歳",Z2190)),"2歳戦",IF(ISNUMBER(SEARCH("3歳未勝利",Z2190)),"3歳未勝利",IF(ISNUMBER(SEARCH("未勝利",Z2190)),"その他未勝利",IF(ISNUMBER(SEARCH("G1",Z2190)),"G1",IF(ISNUMBER(SEARCH("G2",Z2190)),"G2",IF(ISNUMBER(SEARCH("G3",Z2190)),"G3",IF(ISNUMBER(SEARCH("古馬条件",Z2190)),"古馬条件戦",IF(ISNUMBER(SEARCH("重賞",Z2190)),"重賞","分類不能")))))))))</f>
        <v/>
      </c>
    </row>
    <row r="2191" customFormat="false" ht="15.75" hidden="false" customHeight="false" outlineLevel="0" collapsed="false">
      <c r="AO2191" s="8" t="str">
        <f aca="false">IF(A2191="","",IF(COUNTIFS(全馬データ!$A$2:$A$50000,A2191,全馬データ!$B$2:$B$50000,B2191,全馬データ!$C$2:$C$50000,C2191,全馬データ!$D$2:$D$50000,E2191,全馬データ!$K$2:$K$50000,"&lt;&gt;")=0,"",SUMIFS(全馬データ!$K$2:$K$50000,全馬データ!$A$2:$A$50000,A2191,全馬データ!$B$2:$B$50000,B2191,全馬データ!$C$2:$C$50000,C2191,全馬データ!$D$2:$D$50000,E2191)))</f>
        <v/>
      </c>
      <c r="AP2191" s="8" t="str">
        <f aca="false">IF(A2191="","",IF(AO2191="","欠損",IF(AO2191&lt;=1.1,"1.0～1.1",IF(AO2191&lt;1.3,"1.2",IF(AO2191&lt;1.5,"1.3～1.4",IF(AO2191&lt;2,"1.5～1.9","2.0以上"))))))</f>
        <v/>
      </c>
      <c r="AQ2191" s="8" t="str">
        <f aca="false">IF(A2191="","",IF(ISNUMBER(SEARCH("2歳",Z2191)),"2歳戦",IF(ISNUMBER(SEARCH("3歳未勝利",Z2191)),"3歳未勝利",IF(ISNUMBER(SEARCH("未勝利",Z2191)),"その他未勝利",IF(ISNUMBER(SEARCH("G1",Z2191)),"G1",IF(ISNUMBER(SEARCH("G2",Z2191)),"G2",IF(ISNUMBER(SEARCH("G3",Z2191)),"G3",IF(ISNUMBER(SEARCH("古馬条件",Z2191)),"古馬条件戦",IF(ISNUMBER(SEARCH("重賞",Z2191)),"重賞","分類不能")))))))))</f>
        <v/>
      </c>
    </row>
    <row r="2192" customFormat="false" ht="15.75" hidden="false" customHeight="false" outlineLevel="0" collapsed="false">
      <c r="AO2192" s="8" t="str">
        <f aca="false">IF(A2192="","",IF(COUNTIFS(全馬データ!$A$2:$A$50000,A2192,全馬データ!$B$2:$B$50000,B2192,全馬データ!$C$2:$C$50000,C2192,全馬データ!$D$2:$D$50000,E2192,全馬データ!$K$2:$K$50000,"&lt;&gt;")=0,"",SUMIFS(全馬データ!$K$2:$K$50000,全馬データ!$A$2:$A$50000,A2192,全馬データ!$B$2:$B$50000,B2192,全馬データ!$C$2:$C$50000,C2192,全馬データ!$D$2:$D$50000,E2192)))</f>
        <v/>
      </c>
      <c r="AP2192" s="8" t="str">
        <f aca="false">IF(A2192="","",IF(AO2192="","欠損",IF(AO2192&lt;=1.1,"1.0～1.1",IF(AO2192&lt;1.3,"1.2",IF(AO2192&lt;1.5,"1.3～1.4",IF(AO2192&lt;2,"1.5～1.9","2.0以上"))))))</f>
        <v/>
      </c>
      <c r="AQ2192" s="8" t="str">
        <f aca="false">IF(A2192="","",IF(ISNUMBER(SEARCH("2歳",Z2192)),"2歳戦",IF(ISNUMBER(SEARCH("3歳未勝利",Z2192)),"3歳未勝利",IF(ISNUMBER(SEARCH("未勝利",Z2192)),"その他未勝利",IF(ISNUMBER(SEARCH("G1",Z2192)),"G1",IF(ISNUMBER(SEARCH("G2",Z2192)),"G2",IF(ISNUMBER(SEARCH("G3",Z2192)),"G3",IF(ISNUMBER(SEARCH("古馬条件",Z2192)),"古馬条件戦",IF(ISNUMBER(SEARCH("重賞",Z2192)),"重賞","分類不能")))))))))</f>
        <v/>
      </c>
    </row>
    <row r="2193" customFormat="false" ht="15.75" hidden="false" customHeight="false" outlineLevel="0" collapsed="false">
      <c r="AO2193" s="8" t="str">
        <f aca="false">IF(A2193="","",IF(COUNTIFS(全馬データ!$A$2:$A$50000,A2193,全馬データ!$B$2:$B$50000,B2193,全馬データ!$C$2:$C$50000,C2193,全馬データ!$D$2:$D$50000,E2193,全馬データ!$K$2:$K$50000,"&lt;&gt;")=0,"",SUMIFS(全馬データ!$K$2:$K$50000,全馬データ!$A$2:$A$50000,A2193,全馬データ!$B$2:$B$50000,B2193,全馬データ!$C$2:$C$50000,C2193,全馬データ!$D$2:$D$50000,E2193)))</f>
        <v/>
      </c>
      <c r="AP2193" s="8" t="str">
        <f aca="false">IF(A2193="","",IF(AO2193="","欠損",IF(AO2193&lt;=1.1,"1.0～1.1",IF(AO2193&lt;1.3,"1.2",IF(AO2193&lt;1.5,"1.3～1.4",IF(AO2193&lt;2,"1.5～1.9","2.0以上"))))))</f>
        <v/>
      </c>
      <c r="AQ2193" s="8" t="str">
        <f aca="false">IF(A2193="","",IF(ISNUMBER(SEARCH("2歳",Z2193)),"2歳戦",IF(ISNUMBER(SEARCH("3歳未勝利",Z2193)),"3歳未勝利",IF(ISNUMBER(SEARCH("未勝利",Z2193)),"その他未勝利",IF(ISNUMBER(SEARCH("G1",Z2193)),"G1",IF(ISNUMBER(SEARCH("G2",Z2193)),"G2",IF(ISNUMBER(SEARCH("G3",Z2193)),"G3",IF(ISNUMBER(SEARCH("古馬条件",Z2193)),"古馬条件戦",IF(ISNUMBER(SEARCH("重賞",Z2193)),"重賞","分類不能")))))))))</f>
        <v/>
      </c>
    </row>
    <row r="2194" customFormat="false" ht="15.75" hidden="false" customHeight="false" outlineLevel="0" collapsed="false">
      <c r="AO2194" s="8" t="str">
        <f aca="false">IF(A2194="","",IF(COUNTIFS(全馬データ!$A$2:$A$50000,A2194,全馬データ!$B$2:$B$50000,B2194,全馬データ!$C$2:$C$50000,C2194,全馬データ!$D$2:$D$50000,E2194,全馬データ!$K$2:$K$50000,"&lt;&gt;")=0,"",SUMIFS(全馬データ!$K$2:$K$50000,全馬データ!$A$2:$A$50000,A2194,全馬データ!$B$2:$B$50000,B2194,全馬データ!$C$2:$C$50000,C2194,全馬データ!$D$2:$D$50000,E2194)))</f>
        <v/>
      </c>
      <c r="AP2194" s="8" t="str">
        <f aca="false">IF(A2194="","",IF(AO2194="","欠損",IF(AO2194&lt;=1.1,"1.0～1.1",IF(AO2194&lt;1.3,"1.2",IF(AO2194&lt;1.5,"1.3～1.4",IF(AO2194&lt;2,"1.5～1.9","2.0以上"))))))</f>
        <v/>
      </c>
      <c r="AQ2194" s="8" t="str">
        <f aca="false">IF(A2194="","",IF(ISNUMBER(SEARCH("2歳",Z2194)),"2歳戦",IF(ISNUMBER(SEARCH("3歳未勝利",Z2194)),"3歳未勝利",IF(ISNUMBER(SEARCH("未勝利",Z2194)),"その他未勝利",IF(ISNUMBER(SEARCH("G1",Z2194)),"G1",IF(ISNUMBER(SEARCH("G2",Z2194)),"G2",IF(ISNUMBER(SEARCH("G3",Z2194)),"G3",IF(ISNUMBER(SEARCH("古馬条件",Z2194)),"古馬条件戦",IF(ISNUMBER(SEARCH("重賞",Z2194)),"重賞","分類不能")))))))))</f>
        <v/>
      </c>
    </row>
    <row r="2195" customFormat="false" ht="15.75" hidden="false" customHeight="false" outlineLevel="0" collapsed="false">
      <c r="AO2195" s="8" t="str">
        <f aca="false">IF(A2195="","",IF(COUNTIFS(全馬データ!$A$2:$A$50000,A2195,全馬データ!$B$2:$B$50000,B2195,全馬データ!$C$2:$C$50000,C2195,全馬データ!$D$2:$D$50000,E2195,全馬データ!$K$2:$K$50000,"&lt;&gt;")=0,"",SUMIFS(全馬データ!$K$2:$K$50000,全馬データ!$A$2:$A$50000,A2195,全馬データ!$B$2:$B$50000,B2195,全馬データ!$C$2:$C$50000,C2195,全馬データ!$D$2:$D$50000,E2195)))</f>
        <v/>
      </c>
      <c r="AP2195" s="8" t="str">
        <f aca="false">IF(A2195="","",IF(AO2195="","欠損",IF(AO2195&lt;=1.1,"1.0～1.1",IF(AO2195&lt;1.3,"1.2",IF(AO2195&lt;1.5,"1.3～1.4",IF(AO2195&lt;2,"1.5～1.9","2.0以上"))))))</f>
        <v/>
      </c>
      <c r="AQ2195" s="8" t="str">
        <f aca="false">IF(A2195="","",IF(ISNUMBER(SEARCH("2歳",Z2195)),"2歳戦",IF(ISNUMBER(SEARCH("3歳未勝利",Z2195)),"3歳未勝利",IF(ISNUMBER(SEARCH("未勝利",Z2195)),"その他未勝利",IF(ISNUMBER(SEARCH("G1",Z2195)),"G1",IF(ISNUMBER(SEARCH("G2",Z2195)),"G2",IF(ISNUMBER(SEARCH("G3",Z2195)),"G3",IF(ISNUMBER(SEARCH("古馬条件",Z2195)),"古馬条件戦",IF(ISNUMBER(SEARCH("重賞",Z2195)),"重賞","分類不能")))))))))</f>
        <v/>
      </c>
    </row>
    <row r="2196" customFormat="false" ht="15.75" hidden="false" customHeight="false" outlineLevel="0" collapsed="false">
      <c r="AO2196" s="8" t="str">
        <f aca="false">IF(A2196="","",IF(COUNTIFS(全馬データ!$A$2:$A$50000,A2196,全馬データ!$B$2:$B$50000,B2196,全馬データ!$C$2:$C$50000,C2196,全馬データ!$D$2:$D$50000,E2196,全馬データ!$K$2:$K$50000,"&lt;&gt;")=0,"",SUMIFS(全馬データ!$K$2:$K$50000,全馬データ!$A$2:$A$50000,A2196,全馬データ!$B$2:$B$50000,B2196,全馬データ!$C$2:$C$50000,C2196,全馬データ!$D$2:$D$50000,E2196)))</f>
        <v/>
      </c>
      <c r="AP2196" s="8" t="str">
        <f aca="false">IF(A2196="","",IF(AO2196="","欠損",IF(AO2196&lt;=1.1,"1.0～1.1",IF(AO2196&lt;1.3,"1.2",IF(AO2196&lt;1.5,"1.3～1.4",IF(AO2196&lt;2,"1.5～1.9","2.0以上"))))))</f>
        <v/>
      </c>
      <c r="AQ2196" s="8" t="str">
        <f aca="false">IF(A2196="","",IF(ISNUMBER(SEARCH("2歳",Z2196)),"2歳戦",IF(ISNUMBER(SEARCH("3歳未勝利",Z2196)),"3歳未勝利",IF(ISNUMBER(SEARCH("未勝利",Z2196)),"その他未勝利",IF(ISNUMBER(SEARCH("G1",Z2196)),"G1",IF(ISNUMBER(SEARCH("G2",Z2196)),"G2",IF(ISNUMBER(SEARCH("G3",Z2196)),"G3",IF(ISNUMBER(SEARCH("古馬条件",Z2196)),"古馬条件戦",IF(ISNUMBER(SEARCH("重賞",Z2196)),"重賞","分類不能")))))))))</f>
        <v/>
      </c>
    </row>
    <row r="2197" customFormat="false" ht="15.75" hidden="false" customHeight="false" outlineLevel="0" collapsed="false">
      <c r="AO2197" s="8" t="str">
        <f aca="false">IF(A2197="","",IF(COUNTIFS(全馬データ!$A$2:$A$50000,A2197,全馬データ!$B$2:$B$50000,B2197,全馬データ!$C$2:$C$50000,C2197,全馬データ!$D$2:$D$50000,E2197,全馬データ!$K$2:$K$50000,"&lt;&gt;")=0,"",SUMIFS(全馬データ!$K$2:$K$50000,全馬データ!$A$2:$A$50000,A2197,全馬データ!$B$2:$B$50000,B2197,全馬データ!$C$2:$C$50000,C2197,全馬データ!$D$2:$D$50000,E2197)))</f>
        <v/>
      </c>
      <c r="AP2197" s="8" t="str">
        <f aca="false">IF(A2197="","",IF(AO2197="","欠損",IF(AO2197&lt;=1.1,"1.0～1.1",IF(AO2197&lt;1.3,"1.2",IF(AO2197&lt;1.5,"1.3～1.4",IF(AO2197&lt;2,"1.5～1.9","2.0以上"))))))</f>
        <v/>
      </c>
      <c r="AQ2197" s="8" t="str">
        <f aca="false">IF(A2197="","",IF(ISNUMBER(SEARCH("2歳",Z2197)),"2歳戦",IF(ISNUMBER(SEARCH("3歳未勝利",Z2197)),"3歳未勝利",IF(ISNUMBER(SEARCH("未勝利",Z2197)),"その他未勝利",IF(ISNUMBER(SEARCH("G1",Z2197)),"G1",IF(ISNUMBER(SEARCH("G2",Z2197)),"G2",IF(ISNUMBER(SEARCH("G3",Z2197)),"G3",IF(ISNUMBER(SEARCH("古馬条件",Z2197)),"古馬条件戦",IF(ISNUMBER(SEARCH("重賞",Z2197)),"重賞","分類不能")))))))))</f>
        <v/>
      </c>
    </row>
    <row r="2198" customFormat="false" ht="15.75" hidden="false" customHeight="false" outlineLevel="0" collapsed="false">
      <c r="AO2198" s="8" t="str">
        <f aca="false">IF(A2198="","",IF(COUNTIFS(全馬データ!$A$2:$A$50000,A2198,全馬データ!$B$2:$B$50000,B2198,全馬データ!$C$2:$C$50000,C2198,全馬データ!$D$2:$D$50000,E2198,全馬データ!$K$2:$K$50000,"&lt;&gt;")=0,"",SUMIFS(全馬データ!$K$2:$K$50000,全馬データ!$A$2:$A$50000,A2198,全馬データ!$B$2:$B$50000,B2198,全馬データ!$C$2:$C$50000,C2198,全馬データ!$D$2:$D$50000,E2198)))</f>
        <v/>
      </c>
      <c r="AP2198" s="8" t="str">
        <f aca="false">IF(A2198="","",IF(AO2198="","欠損",IF(AO2198&lt;=1.1,"1.0～1.1",IF(AO2198&lt;1.3,"1.2",IF(AO2198&lt;1.5,"1.3～1.4",IF(AO2198&lt;2,"1.5～1.9","2.0以上"))))))</f>
        <v/>
      </c>
      <c r="AQ2198" s="8" t="str">
        <f aca="false">IF(A2198="","",IF(ISNUMBER(SEARCH("2歳",Z2198)),"2歳戦",IF(ISNUMBER(SEARCH("3歳未勝利",Z2198)),"3歳未勝利",IF(ISNUMBER(SEARCH("未勝利",Z2198)),"その他未勝利",IF(ISNUMBER(SEARCH("G1",Z2198)),"G1",IF(ISNUMBER(SEARCH("G2",Z2198)),"G2",IF(ISNUMBER(SEARCH("G3",Z2198)),"G3",IF(ISNUMBER(SEARCH("古馬条件",Z2198)),"古馬条件戦",IF(ISNUMBER(SEARCH("重賞",Z2198)),"重賞","分類不能")))))))))</f>
        <v/>
      </c>
    </row>
    <row r="2199" customFormat="false" ht="15.75" hidden="false" customHeight="false" outlineLevel="0" collapsed="false">
      <c r="AO2199" s="8" t="str">
        <f aca="false">IF(A2199="","",IF(COUNTIFS(全馬データ!$A$2:$A$50000,A2199,全馬データ!$B$2:$B$50000,B2199,全馬データ!$C$2:$C$50000,C2199,全馬データ!$D$2:$D$50000,E2199,全馬データ!$K$2:$K$50000,"&lt;&gt;")=0,"",SUMIFS(全馬データ!$K$2:$K$50000,全馬データ!$A$2:$A$50000,A2199,全馬データ!$B$2:$B$50000,B2199,全馬データ!$C$2:$C$50000,C2199,全馬データ!$D$2:$D$50000,E2199)))</f>
        <v/>
      </c>
      <c r="AP2199" s="8" t="str">
        <f aca="false">IF(A2199="","",IF(AO2199="","欠損",IF(AO2199&lt;=1.1,"1.0～1.1",IF(AO2199&lt;1.3,"1.2",IF(AO2199&lt;1.5,"1.3～1.4",IF(AO2199&lt;2,"1.5～1.9","2.0以上"))))))</f>
        <v/>
      </c>
      <c r="AQ2199" s="8" t="str">
        <f aca="false">IF(A2199="","",IF(ISNUMBER(SEARCH("2歳",Z2199)),"2歳戦",IF(ISNUMBER(SEARCH("3歳未勝利",Z2199)),"3歳未勝利",IF(ISNUMBER(SEARCH("未勝利",Z2199)),"その他未勝利",IF(ISNUMBER(SEARCH("G1",Z2199)),"G1",IF(ISNUMBER(SEARCH("G2",Z2199)),"G2",IF(ISNUMBER(SEARCH("G3",Z2199)),"G3",IF(ISNUMBER(SEARCH("古馬条件",Z2199)),"古馬条件戦",IF(ISNUMBER(SEARCH("重賞",Z2199)),"重賞","分類不能")))))))))</f>
        <v/>
      </c>
    </row>
    <row r="2200" customFormat="false" ht="15.75" hidden="false" customHeight="false" outlineLevel="0" collapsed="false">
      <c r="AO2200" s="8" t="str">
        <f aca="false">IF(A2200="","",IF(COUNTIFS(全馬データ!$A$2:$A$50000,A2200,全馬データ!$B$2:$B$50000,B2200,全馬データ!$C$2:$C$50000,C2200,全馬データ!$D$2:$D$50000,E2200,全馬データ!$K$2:$K$50000,"&lt;&gt;")=0,"",SUMIFS(全馬データ!$K$2:$K$50000,全馬データ!$A$2:$A$50000,A2200,全馬データ!$B$2:$B$50000,B2200,全馬データ!$C$2:$C$50000,C2200,全馬データ!$D$2:$D$50000,E2200)))</f>
        <v/>
      </c>
      <c r="AP2200" s="8" t="str">
        <f aca="false">IF(A2200="","",IF(AO2200="","欠損",IF(AO2200&lt;=1.1,"1.0～1.1",IF(AO2200&lt;1.3,"1.2",IF(AO2200&lt;1.5,"1.3～1.4",IF(AO2200&lt;2,"1.5～1.9","2.0以上"))))))</f>
        <v/>
      </c>
      <c r="AQ2200" s="8" t="str">
        <f aca="false">IF(A2200="","",IF(ISNUMBER(SEARCH("2歳",Z2200)),"2歳戦",IF(ISNUMBER(SEARCH("3歳未勝利",Z2200)),"3歳未勝利",IF(ISNUMBER(SEARCH("未勝利",Z2200)),"その他未勝利",IF(ISNUMBER(SEARCH("G1",Z2200)),"G1",IF(ISNUMBER(SEARCH("G2",Z2200)),"G2",IF(ISNUMBER(SEARCH("G3",Z2200)),"G3",IF(ISNUMBER(SEARCH("古馬条件",Z2200)),"古馬条件戦",IF(ISNUMBER(SEARCH("重賞",Z2200)),"重賞","分類不能")))))))))</f>
        <v/>
      </c>
    </row>
    <row r="2201" customFormat="false" ht="15.75" hidden="false" customHeight="false" outlineLevel="0" collapsed="false">
      <c r="AO2201" s="8" t="str">
        <f aca="false">IF(A2201="","",IF(COUNTIFS(全馬データ!$A$2:$A$50000,A2201,全馬データ!$B$2:$B$50000,B2201,全馬データ!$C$2:$C$50000,C2201,全馬データ!$D$2:$D$50000,E2201,全馬データ!$K$2:$K$50000,"&lt;&gt;")=0,"",SUMIFS(全馬データ!$K$2:$K$50000,全馬データ!$A$2:$A$50000,A2201,全馬データ!$B$2:$B$50000,B2201,全馬データ!$C$2:$C$50000,C2201,全馬データ!$D$2:$D$50000,E2201)))</f>
        <v/>
      </c>
      <c r="AP2201" s="8" t="str">
        <f aca="false">IF(A2201="","",IF(AO2201="","欠損",IF(AO2201&lt;=1.1,"1.0～1.1",IF(AO2201&lt;1.3,"1.2",IF(AO2201&lt;1.5,"1.3～1.4",IF(AO2201&lt;2,"1.5～1.9","2.0以上"))))))</f>
        <v/>
      </c>
      <c r="AQ2201" s="8" t="str">
        <f aca="false">IF(A2201="","",IF(ISNUMBER(SEARCH("2歳",Z2201)),"2歳戦",IF(ISNUMBER(SEARCH("3歳未勝利",Z2201)),"3歳未勝利",IF(ISNUMBER(SEARCH("未勝利",Z2201)),"その他未勝利",IF(ISNUMBER(SEARCH("G1",Z2201)),"G1",IF(ISNUMBER(SEARCH("G2",Z2201)),"G2",IF(ISNUMBER(SEARCH("G3",Z2201)),"G3",IF(ISNUMBER(SEARCH("古馬条件",Z2201)),"古馬条件戦",IF(ISNUMBER(SEARCH("重賞",Z2201)),"重賞","分類不能")))))))))</f>
        <v/>
      </c>
    </row>
    <row r="2202" customFormat="false" ht="15.75" hidden="false" customHeight="false" outlineLevel="0" collapsed="false">
      <c r="AO2202" s="8" t="str">
        <f aca="false">IF(A2202="","",IF(COUNTIFS(全馬データ!$A$2:$A$50000,A2202,全馬データ!$B$2:$B$50000,B2202,全馬データ!$C$2:$C$50000,C2202,全馬データ!$D$2:$D$50000,E2202,全馬データ!$K$2:$K$50000,"&lt;&gt;")=0,"",SUMIFS(全馬データ!$K$2:$K$50000,全馬データ!$A$2:$A$50000,A2202,全馬データ!$B$2:$B$50000,B2202,全馬データ!$C$2:$C$50000,C2202,全馬データ!$D$2:$D$50000,E2202)))</f>
        <v/>
      </c>
      <c r="AP2202" s="8" t="str">
        <f aca="false">IF(A2202="","",IF(AO2202="","欠損",IF(AO2202&lt;=1.1,"1.0～1.1",IF(AO2202&lt;1.3,"1.2",IF(AO2202&lt;1.5,"1.3～1.4",IF(AO2202&lt;2,"1.5～1.9","2.0以上"))))))</f>
        <v/>
      </c>
      <c r="AQ2202" s="8" t="str">
        <f aca="false">IF(A2202="","",IF(ISNUMBER(SEARCH("2歳",Z2202)),"2歳戦",IF(ISNUMBER(SEARCH("3歳未勝利",Z2202)),"3歳未勝利",IF(ISNUMBER(SEARCH("未勝利",Z2202)),"その他未勝利",IF(ISNUMBER(SEARCH("G1",Z2202)),"G1",IF(ISNUMBER(SEARCH("G2",Z2202)),"G2",IF(ISNUMBER(SEARCH("G3",Z2202)),"G3",IF(ISNUMBER(SEARCH("古馬条件",Z2202)),"古馬条件戦",IF(ISNUMBER(SEARCH("重賞",Z2202)),"重賞","分類不能")))))))))</f>
        <v/>
      </c>
    </row>
    <row r="2203" customFormat="false" ht="15.75" hidden="false" customHeight="false" outlineLevel="0" collapsed="false">
      <c r="AO2203" s="8" t="str">
        <f aca="false">IF(A2203="","",IF(COUNTIFS(全馬データ!$A$2:$A$50000,A2203,全馬データ!$B$2:$B$50000,B2203,全馬データ!$C$2:$C$50000,C2203,全馬データ!$D$2:$D$50000,E2203,全馬データ!$K$2:$K$50000,"&lt;&gt;")=0,"",SUMIFS(全馬データ!$K$2:$K$50000,全馬データ!$A$2:$A$50000,A2203,全馬データ!$B$2:$B$50000,B2203,全馬データ!$C$2:$C$50000,C2203,全馬データ!$D$2:$D$50000,E2203)))</f>
        <v/>
      </c>
      <c r="AP2203" s="8" t="str">
        <f aca="false">IF(A2203="","",IF(AO2203="","欠損",IF(AO2203&lt;=1.1,"1.0～1.1",IF(AO2203&lt;1.3,"1.2",IF(AO2203&lt;1.5,"1.3～1.4",IF(AO2203&lt;2,"1.5～1.9","2.0以上"))))))</f>
        <v/>
      </c>
      <c r="AQ2203" s="8" t="str">
        <f aca="false">IF(A2203="","",IF(ISNUMBER(SEARCH("2歳",Z2203)),"2歳戦",IF(ISNUMBER(SEARCH("3歳未勝利",Z2203)),"3歳未勝利",IF(ISNUMBER(SEARCH("未勝利",Z2203)),"その他未勝利",IF(ISNUMBER(SEARCH("G1",Z2203)),"G1",IF(ISNUMBER(SEARCH("G2",Z2203)),"G2",IF(ISNUMBER(SEARCH("G3",Z2203)),"G3",IF(ISNUMBER(SEARCH("古馬条件",Z2203)),"古馬条件戦",IF(ISNUMBER(SEARCH("重賞",Z2203)),"重賞","分類不能")))))))))</f>
        <v/>
      </c>
    </row>
    <row r="2204" customFormat="false" ht="15.75" hidden="false" customHeight="false" outlineLevel="0" collapsed="false">
      <c r="AO2204" s="8" t="str">
        <f aca="false">IF(A2204="","",IF(COUNTIFS(全馬データ!$A$2:$A$50000,A2204,全馬データ!$B$2:$B$50000,B2204,全馬データ!$C$2:$C$50000,C2204,全馬データ!$D$2:$D$50000,E2204,全馬データ!$K$2:$K$50000,"&lt;&gt;")=0,"",SUMIFS(全馬データ!$K$2:$K$50000,全馬データ!$A$2:$A$50000,A2204,全馬データ!$B$2:$B$50000,B2204,全馬データ!$C$2:$C$50000,C2204,全馬データ!$D$2:$D$50000,E2204)))</f>
        <v/>
      </c>
      <c r="AP2204" s="8" t="str">
        <f aca="false">IF(A2204="","",IF(AO2204="","欠損",IF(AO2204&lt;=1.1,"1.0～1.1",IF(AO2204&lt;1.3,"1.2",IF(AO2204&lt;1.5,"1.3～1.4",IF(AO2204&lt;2,"1.5～1.9","2.0以上"))))))</f>
        <v/>
      </c>
      <c r="AQ2204" s="8" t="str">
        <f aca="false">IF(A2204="","",IF(ISNUMBER(SEARCH("2歳",Z2204)),"2歳戦",IF(ISNUMBER(SEARCH("3歳未勝利",Z2204)),"3歳未勝利",IF(ISNUMBER(SEARCH("未勝利",Z2204)),"その他未勝利",IF(ISNUMBER(SEARCH("G1",Z2204)),"G1",IF(ISNUMBER(SEARCH("G2",Z2204)),"G2",IF(ISNUMBER(SEARCH("G3",Z2204)),"G3",IF(ISNUMBER(SEARCH("古馬条件",Z2204)),"古馬条件戦",IF(ISNUMBER(SEARCH("重賞",Z2204)),"重賞","分類不能")))))))))</f>
        <v/>
      </c>
    </row>
    <row r="2205" customFormat="false" ht="15.75" hidden="false" customHeight="false" outlineLevel="0" collapsed="false">
      <c r="AO2205" s="8" t="str">
        <f aca="false">IF(A2205="","",IF(COUNTIFS(全馬データ!$A$2:$A$50000,A2205,全馬データ!$B$2:$B$50000,B2205,全馬データ!$C$2:$C$50000,C2205,全馬データ!$D$2:$D$50000,E2205,全馬データ!$K$2:$K$50000,"&lt;&gt;")=0,"",SUMIFS(全馬データ!$K$2:$K$50000,全馬データ!$A$2:$A$50000,A2205,全馬データ!$B$2:$B$50000,B2205,全馬データ!$C$2:$C$50000,C2205,全馬データ!$D$2:$D$50000,E2205)))</f>
        <v/>
      </c>
      <c r="AP2205" s="8" t="str">
        <f aca="false">IF(A2205="","",IF(AO2205="","欠損",IF(AO2205&lt;=1.1,"1.0～1.1",IF(AO2205&lt;1.3,"1.2",IF(AO2205&lt;1.5,"1.3～1.4",IF(AO2205&lt;2,"1.5～1.9","2.0以上"))))))</f>
        <v/>
      </c>
      <c r="AQ2205" s="8" t="str">
        <f aca="false">IF(A2205="","",IF(ISNUMBER(SEARCH("2歳",Z2205)),"2歳戦",IF(ISNUMBER(SEARCH("3歳未勝利",Z2205)),"3歳未勝利",IF(ISNUMBER(SEARCH("未勝利",Z2205)),"その他未勝利",IF(ISNUMBER(SEARCH("G1",Z2205)),"G1",IF(ISNUMBER(SEARCH("G2",Z2205)),"G2",IF(ISNUMBER(SEARCH("G3",Z2205)),"G3",IF(ISNUMBER(SEARCH("古馬条件",Z2205)),"古馬条件戦",IF(ISNUMBER(SEARCH("重賞",Z2205)),"重賞","分類不能")))))))))</f>
        <v/>
      </c>
    </row>
    <row r="2206" customFormat="false" ht="15.75" hidden="false" customHeight="false" outlineLevel="0" collapsed="false">
      <c r="AO2206" s="8" t="str">
        <f aca="false">IF(A2206="","",IF(COUNTIFS(全馬データ!$A$2:$A$50000,A2206,全馬データ!$B$2:$B$50000,B2206,全馬データ!$C$2:$C$50000,C2206,全馬データ!$D$2:$D$50000,E2206,全馬データ!$K$2:$K$50000,"&lt;&gt;")=0,"",SUMIFS(全馬データ!$K$2:$K$50000,全馬データ!$A$2:$A$50000,A2206,全馬データ!$B$2:$B$50000,B2206,全馬データ!$C$2:$C$50000,C2206,全馬データ!$D$2:$D$50000,E2206)))</f>
        <v/>
      </c>
      <c r="AP2206" s="8" t="str">
        <f aca="false">IF(A2206="","",IF(AO2206="","欠損",IF(AO2206&lt;=1.1,"1.0～1.1",IF(AO2206&lt;1.3,"1.2",IF(AO2206&lt;1.5,"1.3～1.4",IF(AO2206&lt;2,"1.5～1.9","2.0以上"))))))</f>
        <v/>
      </c>
      <c r="AQ2206" s="8" t="str">
        <f aca="false">IF(A2206="","",IF(ISNUMBER(SEARCH("2歳",Z2206)),"2歳戦",IF(ISNUMBER(SEARCH("3歳未勝利",Z2206)),"3歳未勝利",IF(ISNUMBER(SEARCH("未勝利",Z2206)),"その他未勝利",IF(ISNUMBER(SEARCH("G1",Z2206)),"G1",IF(ISNUMBER(SEARCH("G2",Z2206)),"G2",IF(ISNUMBER(SEARCH("G3",Z2206)),"G3",IF(ISNUMBER(SEARCH("古馬条件",Z2206)),"古馬条件戦",IF(ISNUMBER(SEARCH("重賞",Z2206)),"重賞","分類不能")))))))))</f>
        <v/>
      </c>
    </row>
    <row r="2207" customFormat="false" ht="15.75" hidden="false" customHeight="false" outlineLevel="0" collapsed="false">
      <c r="AO2207" s="8" t="str">
        <f aca="false">IF(A2207="","",IF(COUNTIFS(全馬データ!$A$2:$A$50000,A2207,全馬データ!$B$2:$B$50000,B2207,全馬データ!$C$2:$C$50000,C2207,全馬データ!$D$2:$D$50000,E2207,全馬データ!$K$2:$K$50000,"&lt;&gt;")=0,"",SUMIFS(全馬データ!$K$2:$K$50000,全馬データ!$A$2:$A$50000,A2207,全馬データ!$B$2:$B$50000,B2207,全馬データ!$C$2:$C$50000,C2207,全馬データ!$D$2:$D$50000,E2207)))</f>
        <v/>
      </c>
      <c r="AP2207" s="8" t="str">
        <f aca="false">IF(A2207="","",IF(AO2207="","欠損",IF(AO2207&lt;=1.1,"1.0～1.1",IF(AO2207&lt;1.3,"1.2",IF(AO2207&lt;1.5,"1.3～1.4",IF(AO2207&lt;2,"1.5～1.9","2.0以上"))))))</f>
        <v/>
      </c>
      <c r="AQ2207" s="8" t="str">
        <f aca="false">IF(A2207="","",IF(ISNUMBER(SEARCH("2歳",Z2207)),"2歳戦",IF(ISNUMBER(SEARCH("3歳未勝利",Z2207)),"3歳未勝利",IF(ISNUMBER(SEARCH("未勝利",Z2207)),"その他未勝利",IF(ISNUMBER(SEARCH("G1",Z2207)),"G1",IF(ISNUMBER(SEARCH("G2",Z2207)),"G2",IF(ISNUMBER(SEARCH("G3",Z2207)),"G3",IF(ISNUMBER(SEARCH("古馬条件",Z2207)),"古馬条件戦",IF(ISNUMBER(SEARCH("重賞",Z2207)),"重賞","分類不能")))))))))</f>
        <v/>
      </c>
    </row>
    <row r="2208" customFormat="false" ht="15.75" hidden="false" customHeight="false" outlineLevel="0" collapsed="false">
      <c r="AO2208" s="8" t="str">
        <f aca="false">IF(A2208="","",IF(COUNTIFS(全馬データ!$A$2:$A$50000,A2208,全馬データ!$B$2:$B$50000,B2208,全馬データ!$C$2:$C$50000,C2208,全馬データ!$D$2:$D$50000,E2208,全馬データ!$K$2:$K$50000,"&lt;&gt;")=0,"",SUMIFS(全馬データ!$K$2:$K$50000,全馬データ!$A$2:$A$50000,A2208,全馬データ!$B$2:$B$50000,B2208,全馬データ!$C$2:$C$50000,C2208,全馬データ!$D$2:$D$50000,E2208)))</f>
        <v/>
      </c>
      <c r="AP2208" s="8" t="str">
        <f aca="false">IF(A2208="","",IF(AO2208="","欠損",IF(AO2208&lt;=1.1,"1.0～1.1",IF(AO2208&lt;1.3,"1.2",IF(AO2208&lt;1.5,"1.3～1.4",IF(AO2208&lt;2,"1.5～1.9","2.0以上"))))))</f>
        <v/>
      </c>
      <c r="AQ2208" s="8" t="str">
        <f aca="false">IF(A2208="","",IF(ISNUMBER(SEARCH("2歳",Z2208)),"2歳戦",IF(ISNUMBER(SEARCH("3歳未勝利",Z2208)),"3歳未勝利",IF(ISNUMBER(SEARCH("未勝利",Z2208)),"その他未勝利",IF(ISNUMBER(SEARCH("G1",Z2208)),"G1",IF(ISNUMBER(SEARCH("G2",Z2208)),"G2",IF(ISNUMBER(SEARCH("G3",Z2208)),"G3",IF(ISNUMBER(SEARCH("古馬条件",Z2208)),"古馬条件戦",IF(ISNUMBER(SEARCH("重賞",Z2208)),"重賞","分類不能")))))))))</f>
        <v/>
      </c>
    </row>
    <row r="2209" customFormat="false" ht="15.75" hidden="false" customHeight="false" outlineLevel="0" collapsed="false">
      <c r="AO2209" s="8" t="str">
        <f aca="false">IF(A2209="","",IF(COUNTIFS(全馬データ!$A$2:$A$50000,A2209,全馬データ!$B$2:$B$50000,B2209,全馬データ!$C$2:$C$50000,C2209,全馬データ!$D$2:$D$50000,E2209,全馬データ!$K$2:$K$50000,"&lt;&gt;")=0,"",SUMIFS(全馬データ!$K$2:$K$50000,全馬データ!$A$2:$A$50000,A2209,全馬データ!$B$2:$B$50000,B2209,全馬データ!$C$2:$C$50000,C2209,全馬データ!$D$2:$D$50000,E2209)))</f>
        <v/>
      </c>
      <c r="AP2209" s="8" t="str">
        <f aca="false">IF(A2209="","",IF(AO2209="","欠損",IF(AO2209&lt;=1.1,"1.0～1.1",IF(AO2209&lt;1.3,"1.2",IF(AO2209&lt;1.5,"1.3～1.4",IF(AO2209&lt;2,"1.5～1.9","2.0以上"))))))</f>
        <v/>
      </c>
      <c r="AQ2209" s="8" t="str">
        <f aca="false">IF(A2209="","",IF(ISNUMBER(SEARCH("2歳",Z2209)),"2歳戦",IF(ISNUMBER(SEARCH("3歳未勝利",Z2209)),"3歳未勝利",IF(ISNUMBER(SEARCH("未勝利",Z2209)),"その他未勝利",IF(ISNUMBER(SEARCH("G1",Z2209)),"G1",IF(ISNUMBER(SEARCH("G2",Z2209)),"G2",IF(ISNUMBER(SEARCH("G3",Z2209)),"G3",IF(ISNUMBER(SEARCH("古馬条件",Z2209)),"古馬条件戦",IF(ISNUMBER(SEARCH("重賞",Z2209)),"重賞","分類不能")))))))))</f>
        <v/>
      </c>
    </row>
    <row r="2210" customFormat="false" ht="15.75" hidden="false" customHeight="false" outlineLevel="0" collapsed="false">
      <c r="AO2210" s="8" t="str">
        <f aca="false">IF(A2210="","",IF(COUNTIFS(全馬データ!$A$2:$A$50000,A2210,全馬データ!$B$2:$B$50000,B2210,全馬データ!$C$2:$C$50000,C2210,全馬データ!$D$2:$D$50000,E2210,全馬データ!$K$2:$K$50000,"&lt;&gt;")=0,"",SUMIFS(全馬データ!$K$2:$K$50000,全馬データ!$A$2:$A$50000,A2210,全馬データ!$B$2:$B$50000,B2210,全馬データ!$C$2:$C$50000,C2210,全馬データ!$D$2:$D$50000,E2210)))</f>
        <v/>
      </c>
      <c r="AP2210" s="8" t="str">
        <f aca="false">IF(A2210="","",IF(AO2210="","欠損",IF(AO2210&lt;=1.1,"1.0～1.1",IF(AO2210&lt;1.3,"1.2",IF(AO2210&lt;1.5,"1.3～1.4",IF(AO2210&lt;2,"1.5～1.9","2.0以上"))))))</f>
        <v/>
      </c>
      <c r="AQ2210" s="8" t="str">
        <f aca="false">IF(A2210="","",IF(ISNUMBER(SEARCH("2歳",Z2210)),"2歳戦",IF(ISNUMBER(SEARCH("3歳未勝利",Z2210)),"3歳未勝利",IF(ISNUMBER(SEARCH("未勝利",Z2210)),"その他未勝利",IF(ISNUMBER(SEARCH("G1",Z2210)),"G1",IF(ISNUMBER(SEARCH("G2",Z2210)),"G2",IF(ISNUMBER(SEARCH("G3",Z2210)),"G3",IF(ISNUMBER(SEARCH("古馬条件",Z2210)),"古馬条件戦",IF(ISNUMBER(SEARCH("重賞",Z2210)),"重賞","分類不能")))))))))</f>
        <v/>
      </c>
    </row>
    <row r="2211" customFormat="false" ht="15.75" hidden="false" customHeight="false" outlineLevel="0" collapsed="false">
      <c r="AO2211" s="8" t="str">
        <f aca="false">IF(A2211="","",IF(COUNTIFS(全馬データ!$A$2:$A$50000,A2211,全馬データ!$B$2:$B$50000,B2211,全馬データ!$C$2:$C$50000,C2211,全馬データ!$D$2:$D$50000,E2211,全馬データ!$K$2:$K$50000,"&lt;&gt;")=0,"",SUMIFS(全馬データ!$K$2:$K$50000,全馬データ!$A$2:$A$50000,A2211,全馬データ!$B$2:$B$50000,B2211,全馬データ!$C$2:$C$50000,C2211,全馬データ!$D$2:$D$50000,E2211)))</f>
        <v/>
      </c>
      <c r="AP2211" s="8" t="str">
        <f aca="false">IF(A2211="","",IF(AO2211="","欠損",IF(AO2211&lt;=1.1,"1.0～1.1",IF(AO2211&lt;1.3,"1.2",IF(AO2211&lt;1.5,"1.3～1.4",IF(AO2211&lt;2,"1.5～1.9","2.0以上"))))))</f>
        <v/>
      </c>
      <c r="AQ2211" s="8" t="str">
        <f aca="false">IF(A2211="","",IF(ISNUMBER(SEARCH("2歳",Z2211)),"2歳戦",IF(ISNUMBER(SEARCH("3歳未勝利",Z2211)),"3歳未勝利",IF(ISNUMBER(SEARCH("未勝利",Z2211)),"その他未勝利",IF(ISNUMBER(SEARCH("G1",Z2211)),"G1",IF(ISNUMBER(SEARCH("G2",Z2211)),"G2",IF(ISNUMBER(SEARCH("G3",Z2211)),"G3",IF(ISNUMBER(SEARCH("古馬条件",Z2211)),"古馬条件戦",IF(ISNUMBER(SEARCH("重賞",Z2211)),"重賞","分類不能")))))))))</f>
        <v/>
      </c>
    </row>
    <row r="2212" customFormat="false" ht="15.75" hidden="false" customHeight="false" outlineLevel="0" collapsed="false">
      <c r="AO2212" s="8" t="str">
        <f aca="false">IF(A2212="","",IF(COUNTIFS(全馬データ!$A$2:$A$50000,A2212,全馬データ!$B$2:$B$50000,B2212,全馬データ!$C$2:$C$50000,C2212,全馬データ!$D$2:$D$50000,E2212,全馬データ!$K$2:$K$50000,"&lt;&gt;")=0,"",SUMIFS(全馬データ!$K$2:$K$50000,全馬データ!$A$2:$A$50000,A2212,全馬データ!$B$2:$B$50000,B2212,全馬データ!$C$2:$C$50000,C2212,全馬データ!$D$2:$D$50000,E2212)))</f>
        <v/>
      </c>
      <c r="AP2212" s="8" t="str">
        <f aca="false">IF(A2212="","",IF(AO2212="","欠損",IF(AO2212&lt;=1.1,"1.0～1.1",IF(AO2212&lt;1.3,"1.2",IF(AO2212&lt;1.5,"1.3～1.4",IF(AO2212&lt;2,"1.5～1.9","2.0以上"))))))</f>
        <v/>
      </c>
      <c r="AQ2212" s="8" t="str">
        <f aca="false">IF(A2212="","",IF(ISNUMBER(SEARCH("2歳",Z2212)),"2歳戦",IF(ISNUMBER(SEARCH("3歳未勝利",Z2212)),"3歳未勝利",IF(ISNUMBER(SEARCH("未勝利",Z2212)),"その他未勝利",IF(ISNUMBER(SEARCH("G1",Z2212)),"G1",IF(ISNUMBER(SEARCH("G2",Z2212)),"G2",IF(ISNUMBER(SEARCH("G3",Z2212)),"G3",IF(ISNUMBER(SEARCH("古馬条件",Z2212)),"古馬条件戦",IF(ISNUMBER(SEARCH("重賞",Z2212)),"重賞","分類不能")))))))))</f>
        <v/>
      </c>
    </row>
    <row r="2213" customFormat="false" ht="15.75" hidden="false" customHeight="false" outlineLevel="0" collapsed="false">
      <c r="AO2213" s="8" t="str">
        <f aca="false">IF(A2213="","",IF(COUNTIFS(全馬データ!$A$2:$A$50000,A2213,全馬データ!$B$2:$B$50000,B2213,全馬データ!$C$2:$C$50000,C2213,全馬データ!$D$2:$D$50000,E2213,全馬データ!$K$2:$K$50000,"&lt;&gt;")=0,"",SUMIFS(全馬データ!$K$2:$K$50000,全馬データ!$A$2:$A$50000,A2213,全馬データ!$B$2:$B$50000,B2213,全馬データ!$C$2:$C$50000,C2213,全馬データ!$D$2:$D$50000,E2213)))</f>
        <v/>
      </c>
      <c r="AP2213" s="8" t="str">
        <f aca="false">IF(A2213="","",IF(AO2213="","欠損",IF(AO2213&lt;=1.1,"1.0～1.1",IF(AO2213&lt;1.3,"1.2",IF(AO2213&lt;1.5,"1.3～1.4",IF(AO2213&lt;2,"1.5～1.9","2.0以上"))))))</f>
        <v/>
      </c>
      <c r="AQ2213" s="8" t="str">
        <f aca="false">IF(A2213="","",IF(ISNUMBER(SEARCH("2歳",Z2213)),"2歳戦",IF(ISNUMBER(SEARCH("3歳未勝利",Z2213)),"3歳未勝利",IF(ISNUMBER(SEARCH("未勝利",Z2213)),"その他未勝利",IF(ISNUMBER(SEARCH("G1",Z2213)),"G1",IF(ISNUMBER(SEARCH("G2",Z2213)),"G2",IF(ISNUMBER(SEARCH("G3",Z2213)),"G3",IF(ISNUMBER(SEARCH("古馬条件",Z2213)),"古馬条件戦",IF(ISNUMBER(SEARCH("重賞",Z2213)),"重賞","分類不能")))))))))</f>
        <v/>
      </c>
    </row>
    <row r="2214" customFormat="false" ht="15.75" hidden="false" customHeight="false" outlineLevel="0" collapsed="false">
      <c r="AO2214" s="8" t="str">
        <f aca="false">IF(A2214="","",IF(COUNTIFS(全馬データ!$A$2:$A$50000,A2214,全馬データ!$B$2:$B$50000,B2214,全馬データ!$C$2:$C$50000,C2214,全馬データ!$D$2:$D$50000,E2214,全馬データ!$K$2:$K$50000,"&lt;&gt;")=0,"",SUMIFS(全馬データ!$K$2:$K$50000,全馬データ!$A$2:$A$50000,A2214,全馬データ!$B$2:$B$50000,B2214,全馬データ!$C$2:$C$50000,C2214,全馬データ!$D$2:$D$50000,E2214)))</f>
        <v/>
      </c>
      <c r="AP2214" s="8" t="str">
        <f aca="false">IF(A2214="","",IF(AO2214="","欠損",IF(AO2214&lt;=1.1,"1.0～1.1",IF(AO2214&lt;1.3,"1.2",IF(AO2214&lt;1.5,"1.3～1.4",IF(AO2214&lt;2,"1.5～1.9","2.0以上"))))))</f>
        <v/>
      </c>
      <c r="AQ2214" s="8" t="str">
        <f aca="false">IF(A2214="","",IF(ISNUMBER(SEARCH("2歳",Z2214)),"2歳戦",IF(ISNUMBER(SEARCH("3歳未勝利",Z2214)),"3歳未勝利",IF(ISNUMBER(SEARCH("未勝利",Z2214)),"その他未勝利",IF(ISNUMBER(SEARCH("G1",Z2214)),"G1",IF(ISNUMBER(SEARCH("G2",Z2214)),"G2",IF(ISNUMBER(SEARCH("G3",Z2214)),"G3",IF(ISNUMBER(SEARCH("古馬条件",Z2214)),"古馬条件戦",IF(ISNUMBER(SEARCH("重賞",Z2214)),"重賞","分類不能")))))))))</f>
        <v/>
      </c>
    </row>
    <row r="2215" customFormat="false" ht="15.75" hidden="false" customHeight="false" outlineLevel="0" collapsed="false">
      <c r="AO2215" s="8" t="str">
        <f aca="false">IF(A2215="","",IF(COUNTIFS(全馬データ!$A$2:$A$50000,A2215,全馬データ!$B$2:$B$50000,B2215,全馬データ!$C$2:$C$50000,C2215,全馬データ!$D$2:$D$50000,E2215,全馬データ!$K$2:$K$50000,"&lt;&gt;")=0,"",SUMIFS(全馬データ!$K$2:$K$50000,全馬データ!$A$2:$A$50000,A2215,全馬データ!$B$2:$B$50000,B2215,全馬データ!$C$2:$C$50000,C2215,全馬データ!$D$2:$D$50000,E2215)))</f>
        <v/>
      </c>
      <c r="AP2215" s="8" t="str">
        <f aca="false">IF(A2215="","",IF(AO2215="","欠損",IF(AO2215&lt;=1.1,"1.0～1.1",IF(AO2215&lt;1.3,"1.2",IF(AO2215&lt;1.5,"1.3～1.4",IF(AO2215&lt;2,"1.5～1.9","2.0以上"))))))</f>
        <v/>
      </c>
      <c r="AQ2215" s="8" t="str">
        <f aca="false">IF(A2215="","",IF(ISNUMBER(SEARCH("2歳",Z2215)),"2歳戦",IF(ISNUMBER(SEARCH("3歳未勝利",Z2215)),"3歳未勝利",IF(ISNUMBER(SEARCH("未勝利",Z2215)),"その他未勝利",IF(ISNUMBER(SEARCH("G1",Z2215)),"G1",IF(ISNUMBER(SEARCH("G2",Z2215)),"G2",IF(ISNUMBER(SEARCH("G3",Z2215)),"G3",IF(ISNUMBER(SEARCH("古馬条件",Z2215)),"古馬条件戦",IF(ISNUMBER(SEARCH("重賞",Z2215)),"重賞","分類不能")))))))))</f>
        <v/>
      </c>
    </row>
    <row r="2216" customFormat="false" ht="15.75" hidden="false" customHeight="false" outlineLevel="0" collapsed="false">
      <c r="AO2216" s="8" t="str">
        <f aca="false">IF(A2216="","",IF(COUNTIFS(全馬データ!$A$2:$A$50000,A2216,全馬データ!$B$2:$B$50000,B2216,全馬データ!$C$2:$C$50000,C2216,全馬データ!$D$2:$D$50000,E2216,全馬データ!$K$2:$K$50000,"&lt;&gt;")=0,"",SUMIFS(全馬データ!$K$2:$K$50000,全馬データ!$A$2:$A$50000,A2216,全馬データ!$B$2:$B$50000,B2216,全馬データ!$C$2:$C$50000,C2216,全馬データ!$D$2:$D$50000,E2216)))</f>
        <v/>
      </c>
      <c r="AP2216" s="8" t="str">
        <f aca="false">IF(A2216="","",IF(AO2216="","欠損",IF(AO2216&lt;=1.1,"1.0～1.1",IF(AO2216&lt;1.3,"1.2",IF(AO2216&lt;1.5,"1.3～1.4",IF(AO2216&lt;2,"1.5～1.9","2.0以上"))))))</f>
        <v/>
      </c>
      <c r="AQ2216" s="8" t="str">
        <f aca="false">IF(A2216="","",IF(ISNUMBER(SEARCH("2歳",Z2216)),"2歳戦",IF(ISNUMBER(SEARCH("3歳未勝利",Z2216)),"3歳未勝利",IF(ISNUMBER(SEARCH("未勝利",Z2216)),"その他未勝利",IF(ISNUMBER(SEARCH("G1",Z2216)),"G1",IF(ISNUMBER(SEARCH("G2",Z2216)),"G2",IF(ISNUMBER(SEARCH("G3",Z2216)),"G3",IF(ISNUMBER(SEARCH("古馬条件",Z2216)),"古馬条件戦",IF(ISNUMBER(SEARCH("重賞",Z2216)),"重賞","分類不能")))))))))</f>
        <v/>
      </c>
    </row>
    <row r="2217" customFormat="false" ht="15.75" hidden="false" customHeight="false" outlineLevel="0" collapsed="false">
      <c r="AO2217" s="8" t="str">
        <f aca="false">IF(A2217="","",IF(COUNTIFS(全馬データ!$A$2:$A$50000,A2217,全馬データ!$B$2:$B$50000,B2217,全馬データ!$C$2:$C$50000,C2217,全馬データ!$D$2:$D$50000,E2217,全馬データ!$K$2:$K$50000,"&lt;&gt;")=0,"",SUMIFS(全馬データ!$K$2:$K$50000,全馬データ!$A$2:$A$50000,A2217,全馬データ!$B$2:$B$50000,B2217,全馬データ!$C$2:$C$50000,C2217,全馬データ!$D$2:$D$50000,E2217)))</f>
        <v/>
      </c>
      <c r="AP2217" s="8" t="str">
        <f aca="false">IF(A2217="","",IF(AO2217="","欠損",IF(AO2217&lt;=1.1,"1.0～1.1",IF(AO2217&lt;1.3,"1.2",IF(AO2217&lt;1.5,"1.3～1.4",IF(AO2217&lt;2,"1.5～1.9","2.0以上"))))))</f>
        <v/>
      </c>
      <c r="AQ2217" s="8" t="str">
        <f aca="false">IF(A2217="","",IF(ISNUMBER(SEARCH("2歳",Z2217)),"2歳戦",IF(ISNUMBER(SEARCH("3歳未勝利",Z2217)),"3歳未勝利",IF(ISNUMBER(SEARCH("未勝利",Z2217)),"その他未勝利",IF(ISNUMBER(SEARCH("G1",Z2217)),"G1",IF(ISNUMBER(SEARCH("G2",Z2217)),"G2",IF(ISNUMBER(SEARCH("G3",Z2217)),"G3",IF(ISNUMBER(SEARCH("古馬条件",Z2217)),"古馬条件戦",IF(ISNUMBER(SEARCH("重賞",Z2217)),"重賞","分類不能")))))))))</f>
        <v/>
      </c>
    </row>
    <row r="2218" customFormat="false" ht="15.75" hidden="false" customHeight="false" outlineLevel="0" collapsed="false">
      <c r="AO2218" s="8" t="str">
        <f aca="false">IF(A2218="","",IF(COUNTIFS(全馬データ!$A$2:$A$50000,A2218,全馬データ!$B$2:$B$50000,B2218,全馬データ!$C$2:$C$50000,C2218,全馬データ!$D$2:$D$50000,E2218,全馬データ!$K$2:$K$50000,"&lt;&gt;")=0,"",SUMIFS(全馬データ!$K$2:$K$50000,全馬データ!$A$2:$A$50000,A2218,全馬データ!$B$2:$B$50000,B2218,全馬データ!$C$2:$C$50000,C2218,全馬データ!$D$2:$D$50000,E2218)))</f>
        <v/>
      </c>
      <c r="AP2218" s="8" t="str">
        <f aca="false">IF(A2218="","",IF(AO2218="","欠損",IF(AO2218&lt;=1.1,"1.0～1.1",IF(AO2218&lt;1.3,"1.2",IF(AO2218&lt;1.5,"1.3～1.4",IF(AO2218&lt;2,"1.5～1.9","2.0以上"))))))</f>
        <v/>
      </c>
      <c r="AQ2218" s="8" t="str">
        <f aca="false">IF(A2218="","",IF(ISNUMBER(SEARCH("2歳",Z2218)),"2歳戦",IF(ISNUMBER(SEARCH("3歳未勝利",Z2218)),"3歳未勝利",IF(ISNUMBER(SEARCH("未勝利",Z2218)),"その他未勝利",IF(ISNUMBER(SEARCH("G1",Z2218)),"G1",IF(ISNUMBER(SEARCH("G2",Z2218)),"G2",IF(ISNUMBER(SEARCH("G3",Z2218)),"G3",IF(ISNUMBER(SEARCH("古馬条件",Z2218)),"古馬条件戦",IF(ISNUMBER(SEARCH("重賞",Z2218)),"重賞","分類不能")))))))))</f>
        <v/>
      </c>
    </row>
    <row r="2219" customFormat="false" ht="15.75" hidden="false" customHeight="false" outlineLevel="0" collapsed="false">
      <c r="AO2219" s="8" t="str">
        <f aca="false">IF(A2219="","",IF(COUNTIFS(全馬データ!$A$2:$A$50000,A2219,全馬データ!$B$2:$B$50000,B2219,全馬データ!$C$2:$C$50000,C2219,全馬データ!$D$2:$D$50000,E2219,全馬データ!$K$2:$K$50000,"&lt;&gt;")=0,"",SUMIFS(全馬データ!$K$2:$K$50000,全馬データ!$A$2:$A$50000,A2219,全馬データ!$B$2:$B$50000,B2219,全馬データ!$C$2:$C$50000,C2219,全馬データ!$D$2:$D$50000,E2219)))</f>
        <v/>
      </c>
      <c r="AP2219" s="8" t="str">
        <f aca="false">IF(A2219="","",IF(AO2219="","欠損",IF(AO2219&lt;=1.1,"1.0～1.1",IF(AO2219&lt;1.3,"1.2",IF(AO2219&lt;1.5,"1.3～1.4",IF(AO2219&lt;2,"1.5～1.9","2.0以上"))))))</f>
        <v/>
      </c>
      <c r="AQ2219" s="8" t="str">
        <f aca="false">IF(A2219="","",IF(ISNUMBER(SEARCH("2歳",Z2219)),"2歳戦",IF(ISNUMBER(SEARCH("3歳未勝利",Z2219)),"3歳未勝利",IF(ISNUMBER(SEARCH("未勝利",Z2219)),"その他未勝利",IF(ISNUMBER(SEARCH("G1",Z2219)),"G1",IF(ISNUMBER(SEARCH("G2",Z2219)),"G2",IF(ISNUMBER(SEARCH("G3",Z2219)),"G3",IF(ISNUMBER(SEARCH("古馬条件",Z2219)),"古馬条件戦",IF(ISNUMBER(SEARCH("重賞",Z2219)),"重賞","分類不能")))))))))</f>
        <v/>
      </c>
    </row>
    <row r="2220" customFormat="false" ht="15.75" hidden="false" customHeight="false" outlineLevel="0" collapsed="false">
      <c r="AO2220" s="8" t="str">
        <f aca="false">IF(A2220="","",IF(COUNTIFS(全馬データ!$A$2:$A$50000,A2220,全馬データ!$B$2:$B$50000,B2220,全馬データ!$C$2:$C$50000,C2220,全馬データ!$D$2:$D$50000,E2220,全馬データ!$K$2:$K$50000,"&lt;&gt;")=0,"",SUMIFS(全馬データ!$K$2:$K$50000,全馬データ!$A$2:$A$50000,A2220,全馬データ!$B$2:$B$50000,B2220,全馬データ!$C$2:$C$50000,C2220,全馬データ!$D$2:$D$50000,E2220)))</f>
        <v/>
      </c>
      <c r="AP2220" s="8" t="str">
        <f aca="false">IF(A2220="","",IF(AO2220="","欠損",IF(AO2220&lt;=1.1,"1.0～1.1",IF(AO2220&lt;1.3,"1.2",IF(AO2220&lt;1.5,"1.3～1.4",IF(AO2220&lt;2,"1.5～1.9","2.0以上"))))))</f>
        <v/>
      </c>
      <c r="AQ2220" s="8" t="str">
        <f aca="false">IF(A2220="","",IF(ISNUMBER(SEARCH("2歳",Z2220)),"2歳戦",IF(ISNUMBER(SEARCH("3歳未勝利",Z2220)),"3歳未勝利",IF(ISNUMBER(SEARCH("未勝利",Z2220)),"その他未勝利",IF(ISNUMBER(SEARCH("G1",Z2220)),"G1",IF(ISNUMBER(SEARCH("G2",Z2220)),"G2",IF(ISNUMBER(SEARCH("G3",Z2220)),"G3",IF(ISNUMBER(SEARCH("古馬条件",Z2220)),"古馬条件戦",IF(ISNUMBER(SEARCH("重賞",Z2220)),"重賞","分類不能")))))))))</f>
        <v/>
      </c>
    </row>
    <row r="2221" customFormat="false" ht="15.75" hidden="false" customHeight="false" outlineLevel="0" collapsed="false">
      <c r="AO2221" s="8" t="str">
        <f aca="false">IF(A2221="","",IF(COUNTIFS(全馬データ!$A$2:$A$50000,A2221,全馬データ!$B$2:$B$50000,B2221,全馬データ!$C$2:$C$50000,C2221,全馬データ!$D$2:$D$50000,E2221,全馬データ!$K$2:$K$50000,"&lt;&gt;")=0,"",SUMIFS(全馬データ!$K$2:$K$50000,全馬データ!$A$2:$A$50000,A2221,全馬データ!$B$2:$B$50000,B2221,全馬データ!$C$2:$C$50000,C2221,全馬データ!$D$2:$D$50000,E2221)))</f>
        <v/>
      </c>
      <c r="AP2221" s="8" t="str">
        <f aca="false">IF(A2221="","",IF(AO2221="","欠損",IF(AO2221&lt;=1.1,"1.0～1.1",IF(AO2221&lt;1.3,"1.2",IF(AO2221&lt;1.5,"1.3～1.4",IF(AO2221&lt;2,"1.5～1.9","2.0以上"))))))</f>
        <v/>
      </c>
      <c r="AQ2221" s="8" t="str">
        <f aca="false">IF(A2221="","",IF(ISNUMBER(SEARCH("2歳",Z2221)),"2歳戦",IF(ISNUMBER(SEARCH("3歳未勝利",Z2221)),"3歳未勝利",IF(ISNUMBER(SEARCH("未勝利",Z2221)),"その他未勝利",IF(ISNUMBER(SEARCH("G1",Z2221)),"G1",IF(ISNUMBER(SEARCH("G2",Z2221)),"G2",IF(ISNUMBER(SEARCH("G3",Z2221)),"G3",IF(ISNUMBER(SEARCH("古馬条件",Z2221)),"古馬条件戦",IF(ISNUMBER(SEARCH("重賞",Z2221)),"重賞","分類不能")))))))))</f>
        <v/>
      </c>
    </row>
    <row r="2222" customFormat="false" ht="15.75" hidden="false" customHeight="false" outlineLevel="0" collapsed="false">
      <c r="AO2222" s="8" t="str">
        <f aca="false">IF(A2222="","",IF(COUNTIFS(全馬データ!$A$2:$A$50000,A2222,全馬データ!$B$2:$B$50000,B2222,全馬データ!$C$2:$C$50000,C2222,全馬データ!$D$2:$D$50000,E2222,全馬データ!$K$2:$K$50000,"&lt;&gt;")=0,"",SUMIFS(全馬データ!$K$2:$K$50000,全馬データ!$A$2:$A$50000,A2222,全馬データ!$B$2:$B$50000,B2222,全馬データ!$C$2:$C$50000,C2222,全馬データ!$D$2:$D$50000,E2222)))</f>
        <v/>
      </c>
      <c r="AP2222" s="8" t="str">
        <f aca="false">IF(A2222="","",IF(AO2222="","欠損",IF(AO2222&lt;=1.1,"1.0～1.1",IF(AO2222&lt;1.3,"1.2",IF(AO2222&lt;1.5,"1.3～1.4",IF(AO2222&lt;2,"1.5～1.9","2.0以上"))))))</f>
        <v/>
      </c>
      <c r="AQ2222" s="8" t="str">
        <f aca="false">IF(A2222="","",IF(ISNUMBER(SEARCH("2歳",Z2222)),"2歳戦",IF(ISNUMBER(SEARCH("3歳未勝利",Z2222)),"3歳未勝利",IF(ISNUMBER(SEARCH("未勝利",Z2222)),"その他未勝利",IF(ISNUMBER(SEARCH("G1",Z2222)),"G1",IF(ISNUMBER(SEARCH("G2",Z2222)),"G2",IF(ISNUMBER(SEARCH("G3",Z2222)),"G3",IF(ISNUMBER(SEARCH("古馬条件",Z2222)),"古馬条件戦",IF(ISNUMBER(SEARCH("重賞",Z2222)),"重賞","分類不能")))))))))</f>
        <v/>
      </c>
    </row>
    <row r="2223" customFormat="false" ht="15.75" hidden="false" customHeight="false" outlineLevel="0" collapsed="false">
      <c r="AO2223" s="8" t="str">
        <f aca="false">IF(A2223="","",IF(COUNTIFS(全馬データ!$A$2:$A$50000,A2223,全馬データ!$B$2:$B$50000,B2223,全馬データ!$C$2:$C$50000,C2223,全馬データ!$D$2:$D$50000,E2223,全馬データ!$K$2:$K$50000,"&lt;&gt;")=0,"",SUMIFS(全馬データ!$K$2:$K$50000,全馬データ!$A$2:$A$50000,A2223,全馬データ!$B$2:$B$50000,B2223,全馬データ!$C$2:$C$50000,C2223,全馬データ!$D$2:$D$50000,E2223)))</f>
        <v/>
      </c>
      <c r="AP2223" s="8" t="str">
        <f aca="false">IF(A2223="","",IF(AO2223="","欠損",IF(AO2223&lt;=1.1,"1.0～1.1",IF(AO2223&lt;1.3,"1.2",IF(AO2223&lt;1.5,"1.3～1.4",IF(AO2223&lt;2,"1.5～1.9","2.0以上"))))))</f>
        <v/>
      </c>
      <c r="AQ2223" s="8" t="str">
        <f aca="false">IF(A2223="","",IF(ISNUMBER(SEARCH("2歳",Z2223)),"2歳戦",IF(ISNUMBER(SEARCH("3歳未勝利",Z2223)),"3歳未勝利",IF(ISNUMBER(SEARCH("未勝利",Z2223)),"その他未勝利",IF(ISNUMBER(SEARCH("G1",Z2223)),"G1",IF(ISNUMBER(SEARCH("G2",Z2223)),"G2",IF(ISNUMBER(SEARCH("G3",Z2223)),"G3",IF(ISNUMBER(SEARCH("古馬条件",Z2223)),"古馬条件戦",IF(ISNUMBER(SEARCH("重賞",Z2223)),"重賞","分類不能")))))))))</f>
        <v/>
      </c>
    </row>
    <row r="2224" customFormat="false" ht="15.75" hidden="false" customHeight="false" outlineLevel="0" collapsed="false">
      <c r="AO2224" s="8" t="str">
        <f aca="false">IF(A2224="","",IF(COUNTIFS(全馬データ!$A$2:$A$50000,A2224,全馬データ!$B$2:$B$50000,B2224,全馬データ!$C$2:$C$50000,C2224,全馬データ!$D$2:$D$50000,E2224,全馬データ!$K$2:$K$50000,"&lt;&gt;")=0,"",SUMIFS(全馬データ!$K$2:$K$50000,全馬データ!$A$2:$A$50000,A2224,全馬データ!$B$2:$B$50000,B2224,全馬データ!$C$2:$C$50000,C2224,全馬データ!$D$2:$D$50000,E2224)))</f>
        <v/>
      </c>
      <c r="AP2224" s="8" t="str">
        <f aca="false">IF(A2224="","",IF(AO2224="","欠損",IF(AO2224&lt;=1.1,"1.0～1.1",IF(AO2224&lt;1.3,"1.2",IF(AO2224&lt;1.5,"1.3～1.4",IF(AO2224&lt;2,"1.5～1.9","2.0以上"))))))</f>
        <v/>
      </c>
      <c r="AQ2224" s="8" t="str">
        <f aca="false">IF(A2224="","",IF(ISNUMBER(SEARCH("2歳",Z2224)),"2歳戦",IF(ISNUMBER(SEARCH("3歳未勝利",Z2224)),"3歳未勝利",IF(ISNUMBER(SEARCH("未勝利",Z2224)),"その他未勝利",IF(ISNUMBER(SEARCH("G1",Z2224)),"G1",IF(ISNUMBER(SEARCH("G2",Z2224)),"G2",IF(ISNUMBER(SEARCH("G3",Z2224)),"G3",IF(ISNUMBER(SEARCH("古馬条件",Z2224)),"古馬条件戦",IF(ISNUMBER(SEARCH("重賞",Z2224)),"重賞","分類不能")))))))))</f>
        <v/>
      </c>
    </row>
    <row r="2225" customFormat="false" ht="15.75" hidden="false" customHeight="false" outlineLevel="0" collapsed="false">
      <c r="AO2225" s="8" t="str">
        <f aca="false">IF(A2225="","",IF(COUNTIFS(全馬データ!$A$2:$A$50000,A2225,全馬データ!$B$2:$B$50000,B2225,全馬データ!$C$2:$C$50000,C2225,全馬データ!$D$2:$D$50000,E2225,全馬データ!$K$2:$K$50000,"&lt;&gt;")=0,"",SUMIFS(全馬データ!$K$2:$K$50000,全馬データ!$A$2:$A$50000,A2225,全馬データ!$B$2:$B$50000,B2225,全馬データ!$C$2:$C$50000,C2225,全馬データ!$D$2:$D$50000,E2225)))</f>
        <v/>
      </c>
      <c r="AP2225" s="8" t="str">
        <f aca="false">IF(A2225="","",IF(AO2225="","欠損",IF(AO2225&lt;=1.1,"1.0～1.1",IF(AO2225&lt;1.3,"1.2",IF(AO2225&lt;1.5,"1.3～1.4",IF(AO2225&lt;2,"1.5～1.9","2.0以上"))))))</f>
        <v/>
      </c>
      <c r="AQ2225" s="8" t="str">
        <f aca="false">IF(A2225="","",IF(ISNUMBER(SEARCH("2歳",Z2225)),"2歳戦",IF(ISNUMBER(SEARCH("3歳未勝利",Z2225)),"3歳未勝利",IF(ISNUMBER(SEARCH("未勝利",Z2225)),"その他未勝利",IF(ISNUMBER(SEARCH("G1",Z2225)),"G1",IF(ISNUMBER(SEARCH("G2",Z2225)),"G2",IF(ISNUMBER(SEARCH("G3",Z2225)),"G3",IF(ISNUMBER(SEARCH("古馬条件",Z2225)),"古馬条件戦",IF(ISNUMBER(SEARCH("重賞",Z2225)),"重賞","分類不能")))))))))</f>
        <v/>
      </c>
    </row>
    <row r="2226" customFormat="false" ht="15.75" hidden="false" customHeight="false" outlineLevel="0" collapsed="false">
      <c r="AO2226" s="8" t="str">
        <f aca="false">IF(A2226="","",IF(COUNTIFS(全馬データ!$A$2:$A$50000,A2226,全馬データ!$B$2:$B$50000,B2226,全馬データ!$C$2:$C$50000,C2226,全馬データ!$D$2:$D$50000,E2226,全馬データ!$K$2:$K$50000,"&lt;&gt;")=0,"",SUMIFS(全馬データ!$K$2:$K$50000,全馬データ!$A$2:$A$50000,A2226,全馬データ!$B$2:$B$50000,B2226,全馬データ!$C$2:$C$50000,C2226,全馬データ!$D$2:$D$50000,E2226)))</f>
        <v/>
      </c>
      <c r="AP2226" s="8" t="str">
        <f aca="false">IF(A2226="","",IF(AO2226="","欠損",IF(AO2226&lt;=1.1,"1.0～1.1",IF(AO2226&lt;1.3,"1.2",IF(AO2226&lt;1.5,"1.3～1.4",IF(AO2226&lt;2,"1.5～1.9","2.0以上"))))))</f>
        <v/>
      </c>
      <c r="AQ2226" s="8" t="str">
        <f aca="false">IF(A2226="","",IF(ISNUMBER(SEARCH("2歳",Z2226)),"2歳戦",IF(ISNUMBER(SEARCH("3歳未勝利",Z2226)),"3歳未勝利",IF(ISNUMBER(SEARCH("未勝利",Z2226)),"その他未勝利",IF(ISNUMBER(SEARCH("G1",Z2226)),"G1",IF(ISNUMBER(SEARCH("G2",Z2226)),"G2",IF(ISNUMBER(SEARCH("G3",Z2226)),"G3",IF(ISNUMBER(SEARCH("古馬条件",Z2226)),"古馬条件戦",IF(ISNUMBER(SEARCH("重賞",Z2226)),"重賞","分類不能")))))))))</f>
        <v/>
      </c>
    </row>
    <row r="2227" customFormat="false" ht="15.75" hidden="false" customHeight="false" outlineLevel="0" collapsed="false">
      <c r="AO2227" s="8" t="str">
        <f aca="false">IF(A2227="","",IF(COUNTIFS(全馬データ!$A$2:$A$50000,A2227,全馬データ!$B$2:$B$50000,B2227,全馬データ!$C$2:$C$50000,C2227,全馬データ!$D$2:$D$50000,E2227,全馬データ!$K$2:$K$50000,"&lt;&gt;")=0,"",SUMIFS(全馬データ!$K$2:$K$50000,全馬データ!$A$2:$A$50000,A2227,全馬データ!$B$2:$B$50000,B2227,全馬データ!$C$2:$C$50000,C2227,全馬データ!$D$2:$D$50000,E2227)))</f>
        <v/>
      </c>
      <c r="AP2227" s="8" t="str">
        <f aca="false">IF(A2227="","",IF(AO2227="","欠損",IF(AO2227&lt;=1.1,"1.0～1.1",IF(AO2227&lt;1.3,"1.2",IF(AO2227&lt;1.5,"1.3～1.4",IF(AO2227&lt;2,"1.5～1.9","2.0以上"))))))</f>
        <v/>
      </c>
      <c r="AQ2227" s="8" t="str">
        <f aca="false">IF(A2227="","",IF(ISNUMBER(SEARCH("2歳",Z2227)),"2歳戦",IF(ISNUMBER(SEARCH("3歳未勝利",Z2227)),"3歳未勝利",IF(ISNUMBER(SEARCH("未勝利",Z2227)),"その他未勝利",IF(ISNUMBER(SEARCH("G1",Z2227)),"G1",IF(ISNUMBER(SEARCH("G2",Z2227)),"G2",IF(ISNUMBER(SEARCH("G3",Z2227)),"G3",IF(ISNUMBER(SEARCH("古馬条件",Z2227)),"古馬条件戦",IF(ISNUMBER(SEARCH("重賞",Z2227)),"重賞","分類不能")))))))))</f>
        <v/>
      </c>
    </row>
    <row r="2228" customFormat="false" ht="15.75" hidden="false" customHeight="false" outlineLevel="0" collapsed="false">
      <c r="AO2228" s="8" t="str">
        <f aca="false">IF(A2228="","",IF(COUNTIFS(全馬データ!$A$2:$A$50000,A2228,全馬データ!$B$2:$B$50000,B2228,全馬データ!$C$2:$C$50000,C2228,全馬データ!$D$2:$D$50000,E2228,全馬データ!$K$2:$K$50000,"&lt;&gt;")=0,"",SUMIFS(全馬データ!$K$2:$K$50000,全馬データ!$A$2:$A$50000,A2228,全馬データ!$B$2:$B$50000,B2228,全馬データ!$C$2:$C$50000,C2228,全馬データ!$D$2:$D$50000,E2228)))</f>
        <v/>
      </c>
      <c r="AP2228" s="8" t="str">
        <f aca="false">IF(A2228="","",IF(AO2228="","欠損",IF(AO2228&lt;=1.1,"1.0～1.1",IF(AO2228&lt;1.3,"1.2",IF(AO2228&lt;1.5,"1.3～1.4",IF(AO2228&lt;2,"1.5～1.9","2.0以上"))))))</f>
        <v/>
      </c>
      <c r="AQ2228" s="8" t="str">
        <f aca="false">IF(A2228="","",IF(ISNUMBER(SEARCH("2歳",Z2228)),"2歳戦",IF(ISNUMBER(SEARCH("3歳未勝利",Z2228)),"3歳未勝利",IF(ISNUMBER(SEARCH("未勝利",Z2228)),"その他未勝利",IF(ISNUMBER(SEARCH("G1",Z2228)),"G1",IF(ISNUMBER(SEARCH("G2",Z2228)),"G2",IF(ISNUMBER(SEARCH("G3",Z2228)),"G3",IF(ISNUMBER(SEARCH("古馬条件",Z2228)),"古馬条件戦",IF(ISNUMBER(SEARCH("重賞",Z2228)),"重賞","分類不能")))))))))</f>
        <v/>
      </c>
    </row>
    <row r="2229" customFormat="false" ht="15.75" hidden="false" customHeight="false" outlineLevel="0" collapsed="false">
      <c r="AO2229" s="8" t="str">
        <f aca="false">IF(A2229="","",IF(COUNTIFS(全馬データ!$A$2:$A$50000,A2229,全馬データ!$B$2:$B$50000,B2229,全馬データ!$C$2:$C$50000,C2229,全馬データ!$D$2:$D$50000,E2229,全馬データ!$K$2:$K$50000,"&lt;&gt;")=0,"",SUMIFS(全馬データ!$K$2:$K$50000,全馬データ!$A$2:$A$50000,A2229,全馬データ!$B$2:$B$50000,B2229,全馬データ!$C$2:$C$50000,C2229,全馬データ!$D$2:$D$50000,E2229)))</f>
        <v/>
      </c>
      <c r="AP2229" s="8" t="str">
        <f aca="false">IF(A2229="","",IF(AO2229="","欠損",IF(AO2229&lt;=1.1,"1.0～1.1",IF(AO2229&lt;1.3,"1.2",IF(AO2229&lt;1.5,"1.3～1.4",IF(AO2229&lt;2,"1.5～1.9","2.0以上"))))))</f>
        <v/>
      </c>
      <c r="AQ2229" s="8" t="str">
        <f aca="false">IF(A2229="","",IF(ISNUMBER(SEARCH("2歳",Z2229)),"2歳戦",IF(ISNUMBER(SEARCH("3歳未勝利",Z2229)),"3歳未勝利",IF(ISNUMBER(SEARCH("未勝利",Z2229)),"その他未勝利",IF(ISNUMBER(SEARCH("G1",Z2229)),"G1",IF(ISNUMBER(SEARCH("G2",Z2229)),"G2",IF(ISNUMBER(SEARCH("G3",Z2229)),"G3",IF(ISNUMBER(SEARCH("古馬条件",Z2229)),"古馬条件戦",IF(ISNUMBER(SEARCH("重賞",Z2229)),"重賞","分類不能")))))))))</f>
        <v/>
      </c>
    </row>
    <row r="2230" customFormat="false" ht="15.75" hidden="false" customHeight="false" outlineLevel="0" collapsed="false">
      <c r="AO2230" s="8" t="str">
        <f aca="false">IF(A2230="","",IF(COUNTIFS(全馬データ!$A$2:$A$50000,A2230,全馬データ!$B$2:$B$50000,B2230,全馬データ!$C$2:$C$50000,C2230,全馬データ!$D$2:$D$50000,E2230,全馬データ!$K$2:$K$50000,"&lt;&gt;")=0,"",SUMIFS(全馬データ!$K$2:$K$50000,全馬データ!$A$2:$A$50000,A2230,全馬データ!$B$2:$B$50000,B2230,全馬データ!$C$2:$C$50000,C2230,全馬データ!$D$2:$D$50000,E2230)))</f>
        <v/>
      </c>
      <c r="AP2230" s="8" t="str">
        <f aca="false">IF(A2230="","",IF(AO2230="","欠損",IF(AO2230&lt;=1.1,"1.0～1.1",IF(AO2230&lt;1.3,"1.2",IF(AO2230&lt;1.5,"1.3～1.4",IF(AO2230&lt;2,"1.5～1.9","2.0以上"))))))</f>
        <v/>
      </c>
      <c r="AQ2230" s="8" t="str">
        <f aca="false">IF(A2230="","",IF(ISNUMBER(SEARCH("2歳",Z2230)),"2歳戦",IF(ISNUMBER(SEARCH("3歳未勝利",Z2230)),"3歳未勝利",IF(ISNUMBER(SEARCH("未勝利",Z2230)),"その他未勝利",IF(ISNUMBER(SEARCH("G1",Z2230)),"G1",IF(ISNUMBER(SEARCH("G2",Z2230)),"G2",IF(ISNUMBER(SEARCH("G3",Z2230)),"G3",IF(ISNUMBER(SEARCH("古馬条件",Z2230)),"古馬条件戦",IF(ISNUMBER(SEARCH("重賞",Z2230)),"重賞","分類不能")))))))))</f>
        <v/>
      </c>
    </row>
    <row r="2231" customFormat="false" ht="15.75" hidden="false" customHeight="false" outlineLevel="0" collapsed="false">
      <c r="AO2231" s="8" t="str">
        <f aca="false">IF(A2231="","",IF(COUNTIFS(全馬データ!$A$2:$A$50000,A2231,全馬データ!$B$2:$B$50000,B2231,全馬データ!$C$2:$C$50000,C2231,全馬データ!$D$2:$D$50000,E2231,全馬データ!$K$2:$K$50000,"&lt;&gt;")=0,"",SUMIFS(全馬データ!$K$2:$K$50000,全馬データ!$A$2:$A$50000,A2231,全馬データ!$B$2:$B$50000,B2231,全馬データ!$C$2:$C$50000,C2231,全馬データ!$D$2:$D$50000,E2231)))</f>
        <v/>
      </c>
      <c r="AP2231" s="8" t="str">
        <f aca="false">IF(A2231="","",IF(AO2231="","欠損",IF(AO2231&lt;=1.1,"1.0～1.1",IF(AO2231&lt;1.3,"1.2",IF(AO2231&lt;1.5,"1.3～1.4",IF(AO2231&lt;2,"1.5～1.9","2.0以上"))))))</f>
        <v/>
      </c>
      <c r="AQ2231" s="8" t="str">
        <f aca="false">IF(A2231="","",IF(ISNUMBER(SEARCH("2歳",Z2231)),"2歳戦",IF(ISNUMBER(SEARCH("3歳未勝利",Z2231)),"3歳未勝利",IF(ISNUMBER(SEARCH("未勝利",Z2231)),"その他未勝利",IF(ISNUMBER(SEARCH("G1",Z2231)),"G1",IF(ISNUMBER(SEARCH("G2",Z2231)),"G2",IF(ISNUMBER(SEARCH("G3",Z2231)),"G3",IF(ISNUMBER(SEARCH("古馬条件",Z2231)),"古馬条件戦",IF(ISNUMBER(SEARCH("重賞",Z2231)),"重賞","分類不能")))))))))</f>
        <v/>
      </c>
    </row>
    <row r="2232" customFormat="false" ht="15.75" hidden="false" customHeight="false" outlineLevel="0" collapsed="false">
      <c r="AO2232" s="8" t="str">
        <f aca="false">IF(A2232="","",IF(COUNTIFS(全馬データ!$A$2:$A$50000,A2232,全馬データ!$B$2:$B$50000,B2232,全馬データ!$C$2:$C$50000,C2232,全馬データ!$D$2:$D$50000,E2232,全馬データ!$K$2:$K$50000,"&lt;&gt;")=0,"",SUMIFS(全馬データ!$K$2:$K$50000,全馬データ!$A$2:$A$50000,A2232,全馬データ!$B$2:$B$50000,B2232,全馬データ!$C$2:$C$50000,C2232,全馬データ!$D$2:$D$50000,E2232)))</f>
        <v/>
      </c>
      <c r="AP2232" s="8" t="str">
        <f aca="false">IF(A2232="","",IF(AO2232="","欠損",IF(AO2232&lt;=1.1,"1.0～1.1",IF(AO2232&lt;1.3,"1.2",IF(AO2232&lt;1.5,"1.3～1.4",IF(AO2232&lt;2,"1.5～1.9","2.0以上"))))))</f>
        <v/>
      </c>
      <c r="AQ2232" s="8" t="str">
        <f aca="false">IF(A2232="","",IF(ISNUMBER(SEARCH("2歳",Z2232)),"2歳戦",IF(ISNUMBER(SEARCH("3歳未勝利",Z2232)),"3歳未勝利",IF(ISNUMBER(SEARCH("未勝利",Z2232)),"その他未勝利",IF(ISNUMBER(SEARCH("G1",Z2232)),"G1",IF(ISNUMBER(SEARCH("G2",Z2232)),"G2",IF(ISNUMBER(SEARCH("G3",Z2232)),"G3",IF(ISNUMBER(SEARCH("古馬条件",Z2232)),"古馬条件戦",IF(ISNUMBER(SEARCH("重賞",Z2232)),"重賞","分類不能")))))))))</f>
        <v/>
      </c>
    </row>
    <row r="2233" customFormat="false" ht="15.75" hidden="false" customHeight="false" outlineLevel="0" collapsed="false">
      <c r="AO2233" s="8" t="str">
        <f aca="false">IF(A2233="","",IF(COUNTIFS(全馬データ!$A$2:$A$50000,A2233,全馬データ!$B$2:$B$50000,B2233,全馬データ!$C$2:$C$50000,C2233,全馬データ!$D$2:$D$50000,E2233,全馬データ!$K$2:$K$50000,"&lt;&gt;")=0,"",SUMIFS(全馬データ!$K$2:$K$50000,全馬データ!$A$2:$A$50000,A2233,全馬データ!$B$2:$B$50000,B2233,全馬データ!$C$2:$C$50000,C2233,全馬データ!$D$2:$D$50000,E2233)))</f>
        <v/>
      </c>
      <c r="AP2233" s="8" t="str">
        <f aca="false">IF(A2233="","",IF(AO2233="","欠損",IF(AO2233&lt;=1.1,"1.0～1.1",IF(AO2233&lt;1.3,"1.2",IF(AO2233&lt;1.5,"1.3～1.4",IF(AO2233&lt;2,"1.5～1.9","2.0以上"))))))</f>
        <v/>
      </c>
      <c r="AQ2233" s="8" t="str">
        <f aca="false">IF(A2233="","",IF(ISNUMBER(SEARCH("2歳",Z2233)),"2歳戦",IF(ISNUMBER(SEARCH("3歳未勝利",Z2233)),"3歳未勝利",IF(ISNUMBER(SEARCH("未勝利",Z2233)),"その他未勝利",IF(ISNUMBER(SEARCH("G1",Z2233)),"G1",IF(ISNUMBER(SEARCH("G2",Z2233)),"G2",IF(ISNUMBER(SEARCH("G3",Z2233)),"G3",IF(ISNUMBER(SEARCH("古馬条件",Z2233)),"古馬条件戦",IF(ISNUMBER(SEARCH("重賞",Z2233)),"重賞","分類不能")))))))))</f>
        <v/>
      </c>
    </row>
    <row r="2234" customFormat="false" ht="15.75" hidden="false" customHeight="false" outlineLevel="0" collapsed="false">
      <c r="AO2234" s="8" t="str">
        <f aca="false">IF(A2234="","",IF(COUNTIFS(全馬データ!$A$2:$A$50000,A2234,全馬データ!$B$2:$B$50000,B2234,全馬データ!$C$2:$C$50000,C2234,全馬データ!$D$2:$D$50000,E2234,全馬データ!$K$2:$K$50000,"&lt;&gt;")=0,"",SUMIFS(全馬データ!$K$2:$K$50000,全馬データ!$A$2:$A$50000,A2234,全馬データ!$B$2:$B$50000,B2234,全馬データ!$C$2:$C$50000,C2234,全馬データ!$D$2:$D$50000,E2234)))</f>
        <v/>
      </c>
      <c r="AP2234" s="8" t="str">
        <f aca="false">IF(A2234="","",IF(AO2234="","欠損",IF(AO2234&lt;=1.1,"1.0～1.1",IF(AO2234&lt;1.3,"1.2",IF(AO2234&lt;1.5,"1.3～1.4",IF(AO2234&lt;2,"1.5～1.9","2.0以上"))))))</f>
        <v/>
      </c>
      <c r="AQ2234" s="8" t="str">
        <f aca="false">IF(A2234="","",IF(ISNUMBER(SEARCH("2歳",Z2234)),"2歳戦",IF(ISNUMBER(SEARCH("3歳未勝利",Z2234)),"3歳未勝利",IF(ISNUMBER(SEARCH("未勝利",Z2234)),"その他未勝利",IF(ISNUMBER(SEARCH("G1",Z2234)),"G1",IF(ISNUMBER(SEARCH("G2",Z2234)),"G2",IF(ISNUMBER(SEARCH("G3",Z2234)),"G3",IF(ISNUMBER(SEARCH("古馬条件",Z2234)),"古馬条件戦",IF(ISNUMBER(SEARCH("重賞",Z2234)),"重賞","分類不能")))))))))</f>
        <v/>
      </c>
    </row>
    <row r="2235" customFormat="false" ht="15.75" hidden="false" customHeight="false" outlineLevel="0" collapsed="false">
      <c r="AO2235" s="8" t="str">
        <f aca="false">IF(A2235="","",IF(COUNTIFS(全馬データ!$A$2:$A$50000,A2235,全馬データ!$B$2:$B$50000,B2235,全馬データ!$C$2:$C$50000,C2235,全馬データ!$D$2:$D$50000,E2235,全馬データ!$K$2:$K$50000,"&lt;&gt;")=0,"",SUMIFS(全馬データ!$K$2:$K$50000,全馬データ!$A$2:$A$50000,A2235,全馬データ!$B$2:$B$50000,B2235,全馬データ!$C$2:$C$50000,C2235,全馬データ!$D$2:$D$50000,E2235)))</f>
        <v/>
      </c>
      <c r="AP2235" s="8" t="str">
        <f aca="false">IF(A2235="","",IF(AO2235="","欠損",IF(AO2235&lt;=1.1,"1.0～1.1",IF(AO2235&lt;1.3,"1.2",IF(AO2235&lt;1.5,"1.3～1.4",IF(AO2235&lt;2,"1.5～1.9","2.0以上"))))))</f>
        <v/>
      </c>
      <c r="AQ2235" s="8" t="str">
        <f aca="false">IF(A2235="","",IF(ISNUMBER(SEARCH("2歳",Z2235)),"2歳戦",IF(ISNUMBER(SEARCH("3歳未勝利",Z2235)),"3歳未勝利",IF(ISNUMBER(SEARCH("未勝利",Z2235)),"その他未勝利",IF(ISNUMBER(SEARCH("G1",Z2235)),"G1",IF(ISNUMBER(SEARCH("G2",Z2235)),"G2",IF(ISNUMBER(SEARCH("G3",Z2235)),"G3",IF(ISNUMBER(SEARCH("古馬条件",Z2235)),"古馬条件戦",IF(ISNUMBER(SEARCH("重賞",Z2235)),"重賞","分類不能")))))))))</f>
        <v/>
      </c>
    </row>
    <row r="2236" customFormat="false" ht="15.75" hidden="false" customHeight="false" outlineLevel="0" collapsed="false">
      <c r="AO2236" s="8" t="str">
        <f aca="false">IF(A2236="","",IF(COUNTIFS(全馬データ!$A$2:$A$50000,A2236,全馬データ!$B$2:$B$50000,B2236,全馬データ!$C$2:$C$50000,C2236,全馬データ!$D$2:$D$50000,E2236,全馬データ!$K$2:$K$50000,"&lt;&gt;")=0,"",SUMIFS(全馬データ!$K$2:$K$50000,全馬データ!$A$2:$A$50000,A2236,全馬データ!$B$2:$B$50000,B2236,全馬データ!$C$2:$C$50000,C2236,全馬データ!$D$2:$D$50000,E2236)))</f>
        <v/>
      </c>
      <c r="AP2236" s="8" t="str">
        <f aca="false">IF(A2236="","",IF(AO2236="","欠損",IF(AO2236&lt;=1.1,"1.0～1.1",IF(AO2236&lt;1.3,"1.2",IF(AO2236&lt;1.5,"1.3～1.4",IF(AO2236&lt;2,"1.5～1.9","2.0以上"))))))</f>
        <v/>
      </c>
      <c r="AQ2236" s="8" t="str">
        <f aca="false">IF(A2236="","",IF(ISNUMBER(SEARCH("2歳",Z2236)),"2歳戦",IF(ISNUMBER(SEARCH("3歳未勝利",Z2236)),"3歳未勝利",IF(ISNUMBER(SEARCH("未勝利",Z2236)),"その他未勝利",IF(ISNUMBER(SEARCH("G1",Z2236)),"G1",IF(ISNUMBER(SEARCH("G2",Z2236)),"G2",IF(ISNUMBER(SEARCH("G3",Z2236)),"G3",IF(ISNUMBER(SEARCH("古馬条件",Z2236)),"古馬条件戦",IF(ISNUMBER(SEARCH("重賞",Z2236)),"重賞","分類不能")))))))))</f>
        <v/>
      </c>
    </row>
    <row r="2237" customFormat="false" ht="15.75" hidden="false" customHeight="false" outlineLevel="0" collapsed="false">
      <c r="AO2237" s="8" t="str">
        <f aca="false">IF(A2237="","",IF(COUNTIFS(全馬データ!$A$2:$A$50000,A2237,全馬データ!$B$2:$B$50000,B2237,全馬データ!$C$2:$C$50000,C2237,全馬データ!$D$2:$D$50000,E2237,全馬データ!$K$2:$K$50000,"&lt;&gt;")=0,"",SUMIFS(全馬データ!$K$2:$K$50000,全馬データ!$A$2:$A$50000,A2237,全馬データ!$B$2:$B$50000,B2237,全馬データ!$C$2:$C$50000,C2237,全馬データ!$D$2:$D$50000,E2237)))</f>
        <v/>
      </c>
      <c r="AP2237" s="8" t="str">
        <f aca="false">IF(A2237="","",IF(AO2237="","欠損",IF(AO2237&lt;=1.1,"1.0～1.1",IF(AO2237&lt;1.3,"1.2",IF(AO2237&lt;1.5,"1.3～1.4",IF(AO2237&lt;2,"1.5～1.9","2.0以上"))))))</f>
        <v/>
      </c>
      <c r="AQ2237" s="8" t="str">
        <f aca="false">IF(A2237="","",IF(ISNUMBER(SEARCH("2歳",Z2237)),"2歳戦",IF(ISNUMBER(SEARCH("3歳未勝利",Z2237)),"3歳未勝利",IF(ISNUMBER(SEARCH("未勝利",Z2237)),"その他未勝利",IF(ISNUMBER(SEARCH("G1",Z2237)),"G1",IF(ISNUMBER(SEARCH("G2",Z2237)),"G2",IF(ISNUMBER(SEARCH("G3",Z2237)),"G3",IF(ISNUMBER(SEARCH("古馬条件",Z2237)),"古馬条件戦",IF(ISNUMBER(SEARCH("重賞",Z2237)),"重賞","分類不能")))))))))</f>
        <v/>
      </c>
    </row>
    <row r="2238" customFormat="false" ht="15.75" hidden="false" customHeight="false" outlineLevel="0" collapsed="false">
      <c r="AO2238" s="8" t="str">
        <f aca="false">IF(A2238="","",IF(COUNTIFS(全馬データ!$A$2:$A$50000,A2238,全馬データ!$B$2:$B$50000,B2238,全馬データ!$C$2:$C$50000,C2238,全馬データ!$D$2:$D$50000,E2238,全馬データ!$K$2:$K$50000,"&lt;&gt;")=0,"",SUMIFS(全馬データ!$K$2:$K$50000,全馬データ!$A$2:$A$50000,A2238,全馬データ!$B$2:$B$50000,B2238,全馬データ!$C$2:$C$50000,C2238,全馬データ!$D$2:$D$50000,E2238)))</f>
        <v/>
      </c>
      <c r="AP2238" s="8" t="str">
        <f aca="false">IF(A2238="","",IF(AO2238="","欠損",IF(AO2238&lt;=1.1,"1.0～1.1",IF(AO2238&lt;1.3,"1.2",IF(AO2238&lt;1.5,"1.3～1.4",IF(AO2238&lt;2,"1.5～1.9","2.0以上"))))))</f>
        <v/>
      </c>
      <c r="AQ2238" s="8" t="str">
        <f aca="false">IF(A2238="","",IF(ISNUMBER(SEARCH("2歳",Z2238)),"2歳戦",IF(ISNUMBER(SEARCH("3歳未勝利",Z2238)),"3歳未勝利",IF(ISNUMBER(SEARCH("未勝利",Z2238)),"その他未勝利",IF(ISNUMBER(SEARCH("G1",Z2238)),"G1",IF(ISNUMBER(SEARCH("G2",Z2238)),"G2",IF(ISNUMBER(SEARCH("G3",Z2238)),"G3",IF(ISNUMBER(SEARCH("古馬条件",Z2238)),"古馬条件戦",IF(ISNUMBER(SEARCH("重賞",Z2238)),"重賞","分類不能")))))))))</f>
        <v/>
      </c>
    </row>
    <row r="2239" customFormat="false" ht="15.75" hidden="false" customHeight="false" outlineLevel="0" collapsed="false">
      <c r="AO2239" s="8" t="str">
        <f aca="false">IF(A2239="","",IF(COUNTIFS(全馬データ!$A$2:$A$50000,A2239,全馬データ!$B$2:$B$50000,B2239,全馬データ!$C$2:$C$50000,C2239,全馬データ!$D$2:$D$50000,E2239,全馬データ!$K$2:$K$50000,"&lt;&gt;")=0,"",SUMIFS(全馬データ!$K$2:$K$50000,全馬データ!$A$2:$A$50000,A2239,全馬データ!$B$2:$B$50000,B2239,全馬データ!$C$2:$C$50000,C2239,全馬データ!$D$2:$D$50000,E2239)))</f>
        <v/>
      </c>
      <c r="AP2239" s="8" t="str">
        <f aca="false">IF(A2239="","",IF(AO2239="","欠損",IF(AO2239&lt;=1.1,"1.0～1.1",IF(AO2239&lt;1.3,"1.2",IF(AO2239&lt;1.5,"1.3～1.4",IF(AO2239&lt;2,"1.5～1.9","2.0以上"))))))</f>
        <v/>
      </c>
      <c r="AQ2239" s="8" t="str">
        <f aca="false">IF(A2239="","",IF(ISNUMBER(SEARCH("2歳",Z2239)),"2歳戦",IF(ISNUMBER(SEARCH("3歳未勝利",Z2239)),"3歳未勝利",IF(ISNUMBER(SEARCH("未勝利",Z2239)),"その他未勝利",IF(ISNUMBER(SEARCH("G1",Z2239)),"G1",IF(ISNUMBER(SEARCH("G2",Z2239)),"G2",IF(ISNUMBER(SEARCH("G3",Z2239)),"G3",IF(ISNUMBER(SEARCH("古馬条件",Z2239)),"古馬条件戦",IF(ISNUMBER(SEARCH("重賞",Z2239)),"重賞","分類不能")))))))))</f>
        <v/>
      </c>
    </row>
    <row r="2240" customFormat="false" ht="15.75" hidden="false" customHeight="false" outlineLevel="0" collapsed="false">
      <c r="AO2240" s="8" t="str">
        <f aca="false">IF(A2240="","",IF(COUNTIFS(全馬データ!$A$2:$A$50000,A2240,全馬データ!$B$2:$B$50000,B2240,全馬データ!$C$2:$C$50000,C2240,全馬データ!$D$2:$D$50000,E2240,全馬データ!$K$2:$K$50000,"&lt;&gt;")=0,"",SUMIFS(全馬データ!$K$2:$K$50000,全馬データ!$A$2:$A$50000,A2240,全馬データ!$B$2:$B$50000,B2240,全馬データ!$C$2:$C$50000,C2240,全馬データ!$D$2:$D$50000,E2240)))</f>
        <v/>
      </c>
      <c r="AP2240" s="8" t="str">
        <f aca="false">IF(A2240="","",IF(AO2240="","欠損",IF(AO2240&lt;=1.1,"1.0～1.1",IF(AO2240&lt;1.3,"1.2",IF(AO2240&lt;1.5,"1.3～1.4",IF(AO2240&lt;2,"1.5～1.9","2.0以上"))))))</f>
        <v/>
      </c>
      <c r="AQ2240" s="8" t="str">
        <f aca="false">IF(A2240="","",IF(ISNUMBER(SEARCH("2歳",Z2240)),"2歳戦",IF(ISNUMBER(SEARCH("3歳未勝利",Z2240)),"3歳未勝利",IF(ISNUMBER(SEARCH("未勝利",Z2240)),"その他未勝利",IF(ISNUMBER(SEARCH("G1",Z2240)),"G1",IF(ISNUMBER(SEARCH("G2",Z2240)),"G2",IF(ISNUMBER(SEARCH("G3",Z2240)),"G3",IF(ISNUMBER(SEARCH("古馬条件",Z2240)),"古馬条件戦",IF(ISNUMBER(SEARCH("重賞",Z2240)),"重賞","分類不能")))))))))</f>
        <v/>
      </c>
    </row>
    <row r="2241" customFormat="false" ht="15.75" hidden="false" customHeight="false" outlineLevel="0" collapsed="false">
      <c r="AO2241" s="8" t="str">
        <f aca="false">IF(A2241="","",IF(COUNTIFS(全馬データ!$A$2:$A$50000,A2241,全馬データ!$B$2:$B$50000,B2241,全馬データ!$C$2:$C$50000,C2241,全馬データ!$D$2:$D$50000,E2241,全馬データ!$K$2:$K$50000,"&lt;&gt;")=0,"",SUMIFS(全馬データ!$K$2:$K$50000,全馬データ!$A$2:$A$50000,A2241,全馬データ!$B$2:$B$50000,B2241,全馬データ!$C$2:$C$50000,C2241,全馬データ!$D$2:$D$50000,E2241)))</f>
        <v/>
      </c>
      <c r="AP2241" s="8" t="str">
        <f aca="false">IF(A2241="","",IF(AO2241="","欠損",IF(AO2241&lt;=1.1,"1.0～1.1",IF(AO2241&lt;1.3,"1.2",IF(AO2241&lt;1.5,"1.3～1.4",IF(AO2241&lt;2,"1.5～1.9","2.0以上"))))))</f>
        <v/>
      </c>
      <c r="AQ2241" s="8" t="str">
        <f aca="false">IF(A2241="","",IF(ISNUMBER(SEARCH("2歳",Z2241)),"2歳戦",IF(ISNUMBER(SEARCH("3歳未勝利",Z2241)),"3歳未勝利",IF(ISNUMBER(SEARCH("未勝利",Z2241)),"その他未勝利",IF(ISNUMBER(SEARCH("G1",Z2241)),"G1",IF(ISNUMBER(SEARCH("G2",Z2241)),"G2",IF(ISNUMBER(SEARCH("G3",Z2241)),"G3",IF(ISNUMBER(SEARCH("古馬条件",Z2241)),"古馬条件戦",IF(ISNUMBER(SEARCH("重賞",Z2241)),"重賞","分類不能")))))))))</f>
        <v/>
      </c>
    </row>
    <row r="2242" customFormat="false" ht="15.75" hidden="false" customHeight="false" outlineLevel="0" collapsed="false">
      <c r="AO2242" s="8" t="str">
        <f aca="false">IF(A2242="","",IF(COUNTIFS(全馬データ!$A$2:$A$50000,A2242,全馬データ!$B$2:$B$50000,B2242,全馬データ!$C$2:$C$50000,C2242,全馬データ!$D$2:$D$50000,E2242,全馬データ!$K$2:$K$50000,"&lt;&gt;")=0,"",SUMIFS(全馬データ!$K$2:$K$50000,全馬データ!$A$2:$A$50000,A2242,全馬データ!$B$2:$B$50000,B2242,全馬データ!$C$2:$C$50000,C2242,全馬データ!$D$2:$D$50000,E2242)))</f>
        <v/>
      </c>
      <c r="AP2242" s="8" t="str">
        <f aca="false">IF(A2242="","",IF(AO2242="","欠損",IF(AO2242&lt;=1.1,"1.0～1.1",IF(AO2242&lt;1.3,"1.2",IF(AO2242&lt;1.5,"1.3～1.4",IF(AO2242&lt;2,"1.5～1.9","2.0以上"))))))</f>
        <v/>
      </c>
      <c r="AQ2242" s="8" t="str">
        <f aca="false">IF(A2242="","",IF(ISNUMBER(SEARCH("2歳",Z2242)),"2歳戦",IF(ISNUMBER(SEARCH("3歳未勝利",Z2242)),"3歳未勝利",IF(ISNUMBER(SEARCH("未勝利",Z2242)),"その他未勝利",IF(ISNUMBER(SEARCH("G1",Z2242)),"G1",IF(ISNUMBER(SEARCH("G2",Z2242)),"G2",IF(ISNUMBER(SEARCH("G3",Z2242)),"G3",IF(ISNUMBER(SEARCH("古馬条件",Z2242)),"古馬条件戦",IF(ISNUMBER(SEARCH("重賞",Z2242)),"重賞","分類不能")))))))))</f>
        <v/>
      </c>
    </row>
    <row r="2243" customFormat="false" ht="15.75" hidden="false" customHeight="false" outlineLevel="0" collapsed="false">
      <c r="AO2243" s="8" t="str">
        <f aca="false">IF(A2243="","",IF(COUNTIFS(全馬データ!$A$2:$A$50000,A2243,全馬データ!$B$2:$B$50000,B2243,全馬データ!$C$2:$C$50000,C2243,全馬データ!$D$2:$D$50000,E2243,全馬データ!$K$2:$K$50000,"&lt;&gt;")=0,"",SUMIFS(全馬データ!$K$2:$K$50000,全馬データ!$A$2:$A$50000,A2243,全馬データ!$B$2:$B$50000,B2243,全馬データ!$C$2:$C$50000,C2243,全馬データ!$D$2:$D$50000,E2243)))</f>
        <v/>
      </c>
      <c r="AP2243" s="8" t="str">
        <f aca="false">IF(A2243="","",IF(AO2243="","欠損",IF(AO2243&lt;=1.1,"1.0～1.1",IF(AO2243&lt;1.3,"1.2",IF(AO2243&lt;1.5,"1.3～1.4",IF(AO2243&lt;2,"1.5～1.9","2.0以上"))))))</f>
        <v/>
      </c>
      <c r="AQ2243" s="8" t="str">
        <f aca="false">IF(A2243="","",IF(ISNUMBER(SEARCH("2歳",Z2243)),"2歳戦",IF(ISNUMBER(SEARCH("3歳未勝利",Z2243)),"3歳未勝利",IF(ISNUMBER(SEARCH("未勝利",Z2243)),"その他未勝利",IF(ISNUMBER(SEARCH("G1",Z2243)),"G1",IF(ISNUMBER(SEARCH("G2",Z2243)),"G2",IF(ISNUMBER(SEARCH("G3",Z2243)),"G3",IF(ISNUMBER(SEARCH("古馬条件",Z2243)),"古馬条件戦",IF(ISNUMBER(SEARCH("重賞",Z2243)),"重賞","分類不能")))))))))</f>
        <v/>
      </c>
    </row>
    <row r="2244" customFormat="false" ht="15.75" hidden="false" customHeight="false" outlineLevel="0" collapsed="false">
      <c r="AO2244" s="8" t="str">
        <f aca="false">IF(A2244="","",IF(COUNTIFS(全馬データ!$A$2:$A$50000,A2244,全馬データ!$B$2:$B$50000,B2244,全馬データ!$C$2:$C$50000,C2244,全馬データ!$D$2:$D$50000,E2244,全馬データ!$K$2:$K$50000,"&lt;&gt;")=0,"",SUMIFS(全馬データ!$K$2:$K$50000,全馬データ!$A$2:$A$50000,A2244,全馬データ!$B$2:$B$50000,B2244,全馬データ!$C$2:$C$50000,C2244,全馬データ!$D$2:$D$50000,E2244)))</f>
        <v/>
      </c>
      <c r="AP2244" s="8" t="str">
        <f aca="false">IF(A2244="","",IF(AO2244="","欠損",IF(AO2244&lt;=1.1,"1.0～1.1",IF(AO2244&lt;1.3,"1.2",IF(AO2244&lt;1.5,"1.3～1.4",IF(AO2244&lt;2,"1.5～1.9","2.0以上"))))))</f>
        <v/>
      </c>
      <c r="AQ2244" s="8" t="str">
        <f aca="false">IF(A2244="","",IF(ISNUMBER(SEARCH("2歳",Z2244)),"2歳戦",IF(ISNUMBER(SEARCH("3歳未勝利",Z2244)),"3歳未勝利",IF(ISNUMBER(SEARCH("未勝利",Z2244)),"その他未勝利",IF(ISNUMBER(SEARCH("G1",Z2244)),"G1",IF(ISNUMBER(SEARCH("G2",Z2244)),"G2",IF(ISNUMBER(SEARCH("G3",Z2244)),"G3",IF(ISNUMBER(SEARCH("古馬条件",Z2244)),"古馬条件戦",IF(ISNUMBER(SEARCH("重賞",Z2244)),"重賞","分類不能")))))))))</f>
        <v/>
      </c>
    </row>
    <row r="2245" customFormat="false" ht="15.75" hidden="false" customHeight="false" outlineLevel="0" collapsed="false">
      <c r="AO2245" s="8" t="str">
        <f aca="false">IF(A2245="","",IF(COUNTIFS(全馬データ!$A$2:$A$50000,A2245,全馬データ!$B$2:$B$50000,B2245,全馬データ!$C$2:$C$50000,C2245,全馬データ!$D$2:$D$50000,E2245,全馬データ!$K$2:$K$50000,"&lt;&gt;")=0,"",SUMIFS(全馬データ!$K$2:$K$50000,全馬データ!$A$2:$A$50000,A2245,全馬データ!$B$2:$B$50000,B2245,全馬データ!$C$2:$C$50000,C2245,全馬データ!$D$2:$D$50000,E2245)))</f>
        <v/>
      </c>
      <c r="AP2245" s="8" t="str">
        <f aca="false">IF(A2245="","",IF(AO2245="","欠損",IF(AO2245&lt;=1.1,"1.0～1.1",IF(AO2245&lt;1.3,"1.2",IF(AO2245&lt;1.5,"1.3～1.4",IF(AO2245&lt;2,"1.5～1.9","2.0以上"))))))</f>
        <v/>
      </c>
      <c r="AQ2245" s="8" t="str">
        <f aca="false">IF(A2245="","",IF(ISNUMBER(SEARCH("2歳",Z2245)),"2歳戦",IF(ISNUMBER(SEARCH("3歳未勝利",Z2245)),"3歳未勝利",IF(ISNUMBER(SEARCH("未勝利",Z2245)),"その他未勝利",IF(ISNUMBER(SEARCH("G1",Z2245)),"G1",IF(ISNUMBER(SEARCH("G2",Z2245)),"G2",IF(ISNUMBER(SEARCH("G3",Z2245)),"G3",IF(ISNUMBER(SEARCH("古馬条件",Z2245)),"古馬条件戦",IF(ISNUMBER(SEARCH("重賞",Z2245)),"重賞","分類不能")))))))))</f>
        <v/>
      </c>
    </row>
    <row r="2246" customFormat="false" ht="15.75" hidden="false" customHeight="false" outlineLevel="0" collapsed="false">
      <c r="AO2246" s="8" t="str">
        <f aca="false">IF(A2246="","",IF(COUNTIFS(全馬データ!$A$2:$A$50000,A2246,全馬データ!$B$2:$B$50000,B2246,全馬データ!$C$2:$C$50000,C2246,全馬データ!$D$2:$D$50000,E2246,全馬データ!$K$2:$K$50000,"&lt;&gt;")=0,"",SUMIFS(全馬データ!$K$2:$K$50000,全馬データ!$A$2:$A$50000,A2246,全馬データ!$B$2:$B$50000,B2246,全馬データ!$C$2:$C$50000,C2246,全馬データ!$D$2:$D$50000,E2246)))</f>
        <v/>
      </c>
      <c r="AP2246" s="8" t="str">
        <f aca="false">IF(A2246="","",IF(AO2246="","欠損",IF(AO2246&lt;=1.1,"1.0～1.1",IF(AO2246&lt;1.3,"1.2",IF(AO2246&lt;1.5,"1.3～1.4",IF(AO2246&lt;2,"1.5～1.9","2.0以上"))))))</f>
        <v/>
      </c>
      <c r="AQ2246" s="8" t="str">
        <f aca="false">IF(A2246="","",IF(ISNUMBER(SEARCH("2歳",Z2246)),"2歳戦",IF(ISNUMBER(SEARCH("3歳未勝利",Z2246)),"3歳未勝利",IF(ISNUMBER(SEARCH("未勝利",Z2246)),"その他未勝利",IF(ISNUMBER(SEARCH("G1",Z2246)),"G1",IF(ISNUMBER(SEARCH("G2",Z2246)),"G2",IF(ISNUMBER(SEARCH("G3",Z2246)),"G3",IF(ISNUMBER(SEARCH("古馬条件",Z2246)),"古馬条件戦",IF(ISNUMBER(SEARCH("重賞",Z2246)),"重賞","分類不能")))))))))</f>
        <v/>
      </c>
    </row>
    <row r="2247" customFormat="false" ht="15.75" hidden="false" customHeight="false" outlineLevel="0" collapsed="false">
      <c r="AO2247" s="8" t="str">
        <f aca="false">IF(A2247="","",IF(COUNTIFS(全馬データ!$A$2:$A$50000,A2247,全馬データ!$B$2:$B$50000,B2247,全馬データ!$C$2:$C$50000,C2247,全馬データ!$D$2:$D$50000,E2247,全馬データ!$K$2:$K$50000,"&lt;&gt;")=0,"",SUMIFS(全馬データ!$K$2:$K$50000,全馬データ!$A$2:$A$50000,A2247,全馬データ!$B$2:$B$50000,B2247,全馬データ!$C$2:$C$50000,C2247,全馬データ!$D$2:$D$50000,E2247)))</f>
        <v/>
      </c>
      <c r="AP2247" s="8" t="str">
        <f aca="false">IF(A2247="","",IF(AO2247="","欠損",IF(AO2247&lt;=1.1,"1.0～1.1",IF(AO2247&lt;1.3,"1.2",IF(AO2247&lt;1.5,"1.3～1.4",IF(AO2247&lt;2,"1.5～1.9","2.0以上"))))))</f>
        <v/>
      </c>
      <c r="AQ2247" s="8" t="str">
        <f aca="false">IF(A2247="","",IF(ISNUMBER(SEARCH("2歳",Z2247)),"2歳戦",IF(ISNUMBER(SEARCH("3歳未勝利",Z2247)),"3歳未勝利",IF(ISNUMBER(SEARCH("未勝利",Z2247)),"その他未勝利",IF(ISNUMBER(SEARCH("G1",Z2247)),"G1",IF(ISNUMBER(SEARCH("G2",Z2247)),"G2",IF(ISNUMBER(SEARCH("G3",Z2247)),"G3",IF(ISNUMBER(SEARCH("古馬条件",Z2247)),"古馬条件戦",IF(ISNUMBER(SEARCH("重賞",Z2247)),"重賞","分類不能")))))))))</f>
        <v/>
      </c>
    </row>
    <row r="2248" customFormat="false" ht="15.75" hidden="false" customHeight="false" outlineLevel="0" collapsed="false">
      <c r="AO2248" s="8" t="str">
        <f aca="false">IF(A2248="","",IF(COUNTIFS(全馬データ!$A$2:$A$50000,A2248,全馬データ!$B$2:$B$50000,B2248,全馬データ!$C$2:$C$50000,C2248,全馬データ!$D$2:$D$50000,E2248,全馬データ!$K$2:$K$50000,"&lt;&gt;")=0,"",SUMIFS(全馬データ!$K$2:$K$50000,全馬データ!$A$2:$A$50000,A2248,全馬データ!$B$2:$B$50000,B2248,全馬データ!$C$2:$C$50000,C2248,全馬データ!$D$2:$D$50000,E2248)))</f>
        <v/>
      </c>
      <c r="AP2248" s="8" t="str">
        <f aca="false">IF(A2248="","",IF(AO2248="","欠損",IF(AO2248&lt;=1.1,"1.0～1.1",IF(AO2248&lt;1.3,"1.2",IF(AO2248&lt;1.5,"1.3～1.4",IF(AO2248&lt;2,"1.5～1.9","2.0以上"))))))</f>
        <v/>
      </c>
      <c r="AQ2248" s="8" t="str">
        <f aca="false">IF(A2248="","",IF(ISNUMBER(SEARCH("2歳",Z2248)),"2歳戦",IF(ISNUMBER(SEARCH("3歳未勝利",Z2248)),"3歳未勝利",IF(ISNUMBER(SEARCH("未勝利",Z2248)),"その他未勝利",IF(ISNUMBER(SEARCH("G1",Z2248)),"G1",IF(ISNUMBER(SEARCH("G2",Z2248)),"G2",IF(ISNUMBER(SEARCH("G3",Z2248)),"G3",IF(ISNUMBER(SEARCH("古馬条件",Z2248)),"古馬条件戦",IF(ISNUMBER(SEARCH("重賞",Z2248)),"重賞","分類不能")))))))))</f>
        <v/>
      </c>
    </row>
    <row r="2249" customFormat="false" ht="15.75" hidden="false" customHeight="false" outlineLevel="0" collapsed="false">
      <c r="AO2249" s="8" t="str">
        <f aca="false">IF(A2249="","",IF(COUNTIFS(全馬データ!$A$2:$A$50000,A2249,全馬データ!$B$2:$B$50000,B2249,全馬データ!$C$2:$C$50000,C2249,全馬データ!$D$2:$D$50000,E2249,全馬データ!$K$2:$K$50000,"&lt;&gt;")=0,"",SUMIFS(全馬データ!$K$2:$K$50000,全馬データ!$A$2:$A$50000,A2249,全馬データ!$B$2:$B$50000,B2249,全馬データ!$C$2:$C$50000,C2249,全馬データ!$D$2:$D$50000,E2249)))</f>
        <v/>
      </c>
      <c r="AP2249" s="8" t="str">
        <f aca="false">IF(A2249="","",IF(AO2249="","欠損",IF(AO2249&lt;=1.1,"1.0～1.1",IF(AO2249&lt;1.3,"1.2",IF(AO2249&lt;1.5,"1.3～1.4",IF(AO2249&lt;2,"1.5～1.9","2.0以上"))))))</f>
        <v/>
      </c>
      <c r="AQ2249" s="8" t="str">
        <f aca="false">IF(A2249="","",IF(ISNUMBER(SEARCH("2歳",Z2249)),"2歳戦",IF(ISNUMBER(SEARCH("3歳未勝利",Z2249)),"3歳未勝利",IF(ISNUMBER(SEARCH("未勝利",Z2249)),"その他未勝利",IF(ISNUMBER(SEARCH("G1",Z2249)),"G1",IF(ISNUMBER(SEARCH("G2",Z2249)),"G2",IF(ISNUMBER(SEARCH("G3",Z2249)),"G3",IF(ISNUMBER(SEARCH("古馬条件",Z2249)),"古馬条件戦",IF(ISNUMBER(SEARCH("重賞",Z2249)),"重賞","分類不能")))))))))</f>
        <v/>
      </c>
    </row>
    <row r="2250" customFormat="false" ht="15.75" hidden="false" customHeight="false" outlineLevel="0" collapsed="false">
      <c r="AO2250" s="8" t="str">
        <f aca="false">IF(A2250="","",IF(COUNTIFS(全馬データ!$A$2:$A$50000,A2250,全馬データ!$B$2:$B$50000,B2250,全馬データ!$C$2:$C$50000,C2250,全馬データ!$D$2:$D$50000,E2250,全馬データ!$K$2:$K$50000,"&lt;&gt;")=0,"",SUMIFS(全馬データ!$K$2:$K$50000,全馬データ!$A$2:$A$50000,A2250,全馬データ!$B$2:$B$50000,B2250,全馬データ!$C$2:$C$50000,C2250,全馬データ!$D$2:$D$50000,E2250)))</f>
        <v/>
      </c>
      <c r="AP2250" s="8" t="str">
        <f aca="false">IF(A2250="","",IF(AO2250="","欠損",IF(AO2250&lt;=1.1,"1.0～1.1",IF(AO2250&lt;1.3,"1.2",IF(AO2250&lt;1.5,"1.3～1.4",IF(AO2250&lt;2,"1.5～1.9","2.0以上"))))))</f>
        <v/>
      </c>
      <c r="AQ2250" s="8" t="str">
        <f aca="false">IF(A2250="","",IF(ISNUMBER(SEARCH("2歳",Z2250)),"2歳戦",IF(ISNUMBER(SEARCH("3歳未勝利",Z2250)),"3歳未勝利",IF(ISNUMBER(SEARCH("未勝利",Z2250)),"その他未勝利",IF(ISNUMBER(SEARCH("G1",Z2250)),"G1",IF(ISNUMBER(SEARCH("G2",Z2250)),"G2",IF(ISNUMBER(SEARCH("G3",Z2250)),"G3",IF(ISNUMBER(SEARCH("古馬条件",Z2250)),"古馬条件戦",IF(ISNUMBER(SEARCH("重賞",Z2250)),"重賞","分類不能")))))))))</f>
        <v/>
      </c>
    </row>
    <row r="2251" customFormat="false" ht="15.75" hidden="false" customHeight="false" outlineLevel="0" collapsed="false">
      <c r="AO2251" s="8" t="str">
        <f aca="false">IF(A2251="","",IF(COUNTIFS(全馬データ!$A$2:$A$50000,A2251,全馬データ!$B$2:$B$50000,B2251,全馬データ!$C$2:$C$50000,C2251,全馬データ!$D$2:$D$50000,E2251,全馬データ!$K$2:$K$50000,"&lt;&gt;")=0,"",SUMIFS(全馬データ!$K$2:$K$50000,全馬データ!$A$2:$A$50000,A2251,全馬データ!$B$2:$B$50000,B2251,全馬データ!$C$2:$C$50000,C2251,全馬データ!$D$2:$D$50000,E2251)))</f>
        <v/>
      </c>
      <c r="AP2251" s="8" t="str">
        <f aca="false">IF(A2251="","",IF(AO2251="","欠損",IF(AO2251&lt;=1.1,"1.0～1.1",IF(AO2251&lt;1.3,"1.2",IF(AO2251&lt;1.5,"1.3～1.4",IF(AO2251&lt;2,"1.5～1.9","2.0以上"))))))</f>
        <v/>
      </c>
      <c r="AQ2251" s="8" t="str">
        <f aca="false">IF(A2251="","",IF(ISNUMBER(SEARCH("2歳",Z2251)),"2歳戦",IF(ISNUMBER(SEARCH("3歳未勝利",Z2251)),"3歳未勝利",IF(ISNUMBER(SEARCH("未勝利",Z2251)),"その他未勝利",IF(ISNUMBER(SEARCH("G1",Z2251)),"G1",IF(ISNUMBER(SEARCH("G2",Z2251)),"G2",IF(ISNUMBER(SEARCH("G3",Z2251)),"G3",IF(ISNUMBER(SEARCH("古馬条件",Z2251)),"古馬条件戦",IF(ISNUMBER(SEARCH("重賞",Z2251)),"重賞","分類不能")))))))))</f>
        <v/>
      </c>
    </row>
    <row r="2252" customFormat="false" ht="15.75" hidden="false" customHeight="false" outlineLevel="0" collapsed="false">
      <c r="AO2252" s="8" t="str">
        <f aca="false">IF(A2252="","",IF(COUNTIFS(全馬データ!$A$2:$A$50000,A2252,全馬データ!$B$2:$B$50000,B2252,全馬データ!$C$2:$C$50000,C2252,全馬データ!$D$2:$D$50000,E2252,全馬データ!$K$2:$K$50000,"&lt;&gt;")=0,"",SUMIFS(全馬データ!$K$2:$K$50000,全馬データ!$A$2:$A$50000,A2252,全馬データ!$B$2:$B$50000,B2252,全馬データ!$C$2:$C$50000,C2252,全馬データ!$D$2:$D$50000,E2252)))</f>
        <v/>
      </c>
      <c r="AP2252" s="8" t="str">
        <f aca="false">IF(A2252="","",IF(AO2252="","欠損",IF(AO2252&lt;=1.1,"1.0～1.1",IF(AO2252&lt;1.3,"1.2",IF(AO2252&lt;1.5,"1.3～1.4",IF(AO2252&lt;2,"1.5～1.9","2.0以上"))))))</f>
        <v/>
      </c>
      <c r="AQ2252" s="8" t="str">
        <f aca="false">IF(A2252="","",IF(ISNUMBER(SEARCH("2歳",Z2252)),"2歳戦",IF(ISNUMBER(SEARCH("3歳未勝利",Z2252)),"3歳未勝利",IF(ISNUMBER(SEARCH("未勝利",Z2252)),"その他未勝利",IF(ISNUMBER(SEARCH("G1",Z2252)),"G1",IF(ISNUMBER(SEARCH("G2",Z2252)),"G2",IF(ISNUMBER(SEARCH("G3",Z2252)),"G3",IF(ISNUMBER(SEARCH("古馬条件",Z2252)),"古馬条件戦",IF(ISNUMBER(SEARCH("重賞",Z2252)),"重賞","分類不能")))))))))</f>
        <v/>
      </c>
    </row>
    <row r="2253" customFormat="false" ht="15.75" hidden="false" customHeight="false" outlineLevel="0" collapsed="false">
      <c r="AO2253" s="8" t="str">
        <f aca="false">IF(A2253="","",IF(COUNTIFS(全馬データ!$A$2:$A$50000,A2253,全馬データ!$B$2:$B$50000,B2253,全馬データ!$C$2:$C$50000,C2253,全馬データ!$D$2:$D$50000,E2253,全馬データ!$K$2:$K$50000,"&lt;&gt;")=0,"",SUMIFS(全馬データ!$K$2:$K$50000,全馬データ!$A$2:$A$50000,A2253,全馬データ!$B$2:$B$50000,B2253,全馬データ!$C$2:$C$50000,C2253,全馬データ!$D$2:$D$50000,E2253)))</f>
        <v/>
      </c>
      <c r="AP2253" s="8" t="str">
        <f aca="false">IF(A2253="","",IF(AO2253="","欠損",IF(AO2253&lt;=1.1,"1.0～1.1",IF(AO2253&lt;1.3,"1.2",IF(AO2253&lt;1.5,"1.3～1.4",IF(AO2253&lt;2,"1.5～1.9","2.0以上"))))))</f>
        <v/>
      </c>
      <c r="AQ2253" s="8" t="str">
        <f aca="false">IF(A2253="","",IF(ISNUMBER(SEARCH("2歳",Z2253)),"2歳戦",IF(ISNUMBER(SEARCH("3歳未勝利",Z2253)),"3歳未勝利",IF(ISNUMBER(SEARCH("未勝利",Z2253)),"その他未勝利",IF(ISNUMBER(SEARCH("G1",Z2253)),"G1",IF(ISNUMBER(SEARCH("G2",Z2253)),"G2",IF(ISNUMBER(SEARCH("G3",Z2253)),"G3",IF(ISNUMBER(SEARCH("古馬条件",Z2253)),"古馬条件戦",IF(ISNUMBER(SEARCH("重賞",Z2253)),"重賞","分類不能")))))))))</f>
        <v/>
      </c>
    </row>
    <row r="2254" customFormat="false" ht="15.75" hidden="false" customHeight="false" outlineLevel="0" collapsed="false">
      <c r="AO2254" s="8" t="str">
        <f aca="false">IF(A2254="","",IF(COUNTIFS(全馬データ!$A$2:$A$50000,A2254,全馬データ!$B$2:$B$50000,B2254,全馬データ!$C$2:$C$50000,C2254,全馬データ!$D$2:$D$50000,E2254,全馬データ!$K$2:$K$50000,"&lt;&gt;")=0,"",SUMIFS(全馬データ!$K$2:$K$50000,全馬データ!$A$2:$A$50000,A2254,全馬データ!$B$2:$B$50000,B2254,全馬データ!$C$2:$C$50000,C2254,全馬データ!$D$2:$D$50000,E2254)))</f>
        <v/>
      </c>
      <c r="AP2254" s="8" t="str">
        <f aca="false">IF(A2254="","",IF(AO2254="","欠損",IF(AO2254&lt;=1.1,"1.0～1.1",IF(AO2254&lt;1.3,"1.2",IF(AO2254&lt;1.5,"1.3～1.4",IF(AO2254&lt;2,"1.5～1.9","2.0以上"))))))</f>
        <v/>
      </c>
      <c r="AQ2254" s="8" t="str">
        <f aca="false">IF(A2254="","",IF(ISNUMBER(SEARCH("2歳",Z2254)),"2歳戦",IF(ISNUMBER(SEARCH("3歳未勝利",Z2254)),"3歳未勝利",IF(ISNUMBER(SEARCH("未勝利",Z2254)),"その他未勝利",IF(ISNUMBER(SEARCH("G1",Z2254)),"G1",IF(ISNUMBER(SEARCH("G2",Z2254)),"G2",IF(ISNUMBER(SEARCH("G3",Z2254)),"G3",IF(ISNUMBER(SEARCH("古馬条件",Z2254)),"古馬条件戦",IF(ISNUMBER(SEARCH("重賞",Z2254)),"重賞","分類不能")))))))))</f>
        <v/>
      </c>
    </row>
    <row r="2255" customFormat="false" ht="15.75" hidden="false" customHeight="false" outlineLevel="0" collapsed="false">
      <c r="AO2255" s="8" t="str">
        <f aca="false">IF(A2255="","",IF(COUNTIFS(全馬データ!$A$2:$A$50000,A2255,全馬データ!$B$2:$B$50000,B2255,全馬データ!$C$2:$C$50000,C2255,全馬データ!$D$2:$D$50000,E2255,全馬データ!$K$2:$K$50000,"&lt;&gt;")=0,"",SUMIFS(全馬データ!$K$2:$K$50000,全馬データ!$A$2:$A$50000,A2255,全馬データ!$B$2:$B$50000,B2255,全馬データ!$C$2:$C$50000,C2255,全馬データ!$D$2:$D$50000,E2255)))</f>
        <v/>
      </c>
      <c r="AP2255" s="8" t="str">
        <f aca="false">IF(A2255="","",IF(AO2255="","欠損",IF(AO2255&lt;=1.1,"1.0～1.1",IF(AO2255&lt;1.3,"1.2",IF(AO2255&lt;1.5,"1.3～1.4",IF(AO2255&lt;2,"1.5～1.9","2.0以上"))))))</f>
        <v/>
      </c>
      <c r="AQ2255" s="8" t="str">
        <f aca="false">IF(A2255="","",IF(ISNUMBER(SEARCH("2歳",Z2255)),"2歳戦",IF(ISNUMBER(SEARCH("3歳未勝利",Z2255)),"3歳未勝利",IF(ISNUMBER(SEARCH("未勝利",Z2255)),"その他未勝利",IF(ISNUMBER(SEARCH("G1",Z2255)),"G1",IF(ISNUMBER(SEARCH("G2",Z2255)),"G2",IF(ISNUMBER(SEARCH("G3",Z2255)),"G3",IF(ISNUMBER(SEARCH("古馬条件",Z2255)),"古馬条件戦",IF(ISNUMBER(SEARCH("重賞",Z2255)),"重賞","分類不能")))))))))</f>
        <v/>
      </c>
    </row>
    <row r="2256" customFormat="false" ht="15.75" hidden="false" customHeight="false" outlineLevel="0" collapsed="false">
      <c r="AO2256" s="8" t="str">
        <f aca="false">IF(A2256="","",IF(COUNTIFS(全馬データ!$A$2:$A$50000,A2256,全馬データ!$B$2:$B$50000,B2256,全馬データ!$C$2:$C$50000,C2256,全馬データ!$D$2:$D$50000,E2256,全馬データ!$K$2:$K$50000,"&lt;&gt;")=0,"",SUMIFS(全馬データ!$K$2:$K$50000,全馬データ!$A$2:$A$50000,A2256,全馬データ!$B$2:$B$50000,B2256,全馬データ!$C$2:$C$50000,C2256,全馬データ!$D$2:$D$50000,E2256)))</f>
        <v/>
      </c>
      <c r="AP2256" s="8" t="str">
        <f aca="false">IF(A2256="","",IF(AO2256="","欠損",IF(AO2256&lt;=1.1,"1.0～1.1",IF(AO2256&lt;1.3,"1.2",IF(AO2256&lt;1.5,"1.3～1.4",IF(AO2256&lt;2,"1.5～1.9","2.0以上"))))))</f>
        <v/>
      </c>
      <c r="AQ2256" s="8" t="str">
        <f aca="false">IF(A2256="","",IF(ISNUMBER(SEARCH("2歳",Z2256)),"2歳戦",IF(ISNUMBER(SEARCH("3歳未勝利",Z2256)),"3歳未勝利",IF(ISNUMBER(SEARCH("未勝利",Z2256)),"その他未勝利",IF(ISNUMBER(SEARCH("G1",Z2256)),"G1",IF(ISNUMBER(SEARCH("G2",Z2256)),"G2",IF(ISNUMBER(SEARCH("G3",Z2256)),"G3",IF(ISNUMBER(SEARCH("古馬条件",Z2256)),"古馬条件戦",IF(ISNUMBER(SEARCH("重賞",Z2256)),"重賞","分類不能")))))))))</f>
        <v/>
      </c>
    </row>
    <row r="2257" customFormat="false" ht="15.75" hidden="false" customHeight="false" outlineLevel="0" collapsed="false">
      <c r="AO2257" s="8" t="str">
        <f aca="false">IF(A2257="","",IF(COUNTIFS(全馬データ!$A$2:$A$50000,A2257,全馬データ!$B$2:$B$50000,B2257,全馬データ!$C$2:$C$50000,C2257,全馬データ!$D$2:$D$50000,E2257,全馬データ!$K$2:$K$50000,"&lt;&gt;")=0,"",SUMIFS(全馬データ!$K$2:$K$50000,全馬データ!$A$2:$A$50000,A2257,全馬データ!$B$2:$B$50000,B2257,全馬データ!$C$2:$C$50000,C2257,全馬データ!$D$2:$D$50000,E2257)))</f>
        <v/>
      </c>
      <c r="AP2257" s="8" t="str">
        <f aca="false">IF(A2257="","",IF(AO2257="","欠損",IF(AO2257&lt;=1.1,"1.0～1.1",IF(AO2257&lt;1.3,"1.2",IF(AO2257&lt;1.5,"1.3～1.4",IF(AO2257&lt;2,"1.5～1.9","2.0以上"))))))</f>
        <v/>
      </c>
      <c r="AQ2257" s="8" t="str">
        <f aca="false">IF(A2257="","",IF(ISNUMBER(SEARCH("2歳",Z2257)),"2歳戦",IF(ISNUMBER(SEARCH("3歳未勝利",Z2257)),"3歳未勝利",IF(ISNUMBER(SEARCH("未勝利",Z2257)),"その他未勝利",IF(ISNUMBER(SEARCH("G1",Z2257)),"G1",IF(ISNUMBER(SEARCH("G2",Z2257)),"G2",IF(ISNUMBER(SEARCH("G3",Z2257)),"G3",IF(ISNUMBER(SEARCH("古馬条件",Z2257)),"古馬条件戦",IF(ISNUMBER(SEARCH("重賞",Z2257)),"重賞","分類不能")))))))))</f>
        <v/>
      </c>
    </row>
    <row r="2258" customFormat="false" ht="15.75" hidden="false" customHeight="false" outlineLevel="0" collapsed="false">
      <c r="AO2258" s="8" t="str">
        <f aca="false">IF(A2258="","",IF(COUNTIFS(全馬データ!$A$2:$A$50000,A2258,全馬データ!$B$2:$B$50000,B2258,全馬データ!$C$2:$C$50000,C2258,全馬データ!$D$2:$D$50000,E2258,全馬データ!$K$2:$K$50000,"&lt;&gt;")=0,"",SUMIFS(全馬データ!$K$2:$K$50000,全馬データ!$A$2:$A$50000,A2258,全馬データ!$B$2:$B$50000,B2258,全馬データ!$C$2:$C$50000,C2258,全馬データ!$D$2:$D$50000,E2258)))</f>
        <v/>
      </c>
      <c r="AP2258" s="8" t="str">
        <f aca="false">IF(A2258="","",IF(AO2258="","欠損",IF(AO2258&lt;=1.1,"1.0～1.1",IF(AO2258&lt;1.3,"1.2",IF(AO2258&lt;1.5,"1.3～1.4",IF(AO2258&lt;2,"1.5～1.9","2.0以上"))))))</f>
        <v/>
      </c>
      <c r="AQ2258" s="8" t="str">
        <f aca="false">IF(A2258="","",IF(ISNUMBER(SEARCH("2歳",Z2258)),"2歳戦",IF(ISNUMBER(SEARCH("3歳未勝利",Z2258)),"3歳未勝利",IF(ISNUMBER(SEARCH("未勝利",Z2258)),"その他未勝利",IF(ISNUMBER(SEARCH("G1",Z2258)),"G1",IF(ISNUMBER(SEARCH("G2",Z2258)),"G2",IF(ISNUMBER(SEARCH("G3",Z2258)),"G3",IF(ISNUMBER(SEARCH("古馬条件",Z2258)),"古馬条件戦",IF(ISNUMBER(SEARCH("重賞",Z2258)),"重賞","分類不能")))))))))</f>
        <v/>
      </c>
    </row>
    <row r="2259" customFormat="false" ht="15.75" hidden="false" customHeight="false" outlineLevel="0" collapsed="false">
      <c r="AO2259" s="8" t="str">
        <f aca="false">IF(A2259="","",IF(COUNTIFS(全馬データ!$A$2:$A$50000,A2259,全馬データ!$B$2:$B$50000,B2259,全馬データ!$C$2:$C$50000,C2259,全馬データ!$D$2:$D$50000,E2259,全馬データ!$K$2:$K$50000,"&lt;&gt;")=0,"",SUMIFS(全馬データ!$K$2:$K$50000,全馬データ!$A$2:$A$50000,A2259,全馬データ!$B$2:$B$50000,B2259,全馬データ!$C$2:$C$50000,C2259,全馬データ!$D$2:$D$50000,E2259)))</f>
        <v/>
      </c>
      <c r="AP2259" s="8" t="str">
        <f aca="false">IF(A2259="","",IF(AO2259="","欠損",IF(AO2259&lt;=1.1,"1.0～1.1",IF(AO2259&lt;1.3,"1.2",IF(AO2259&lt;1.5,"1.3～1.4",IF(AO2259&lt;2,"1.5～1.9","2.0以上"))))))</f>
        <v/>
      </c>
      <c r="AQ2259" s="8" t="str">
        <f aca="false">IF(A2259="","",IF(ISNUMBER(SEARCH("2歳",Z2259)),"2歳戦",IF(ISNUMBER(SEARCH("3歳未勝利",Z2259)),"3歳未勝利",IF(ISNUMBER(SEARCH("未勝利",Z2259)),"その他未勝利",IF(ISNUMBER(SEARCH("G1",Z2259)),"G1",IF(ISNUMBER(SEARCH("G2",Z2259)),"G2",IF(ISNUMBER(SEARCH("G3",Z2259)),"G3",IF(ISNUMBER(SEARCH("古馬条件",Z2259)),"古馬条件戦",IF(ISNUMBER(SEARCH("重賞",Z2259)),"重賞","分類不能")))))))))</f>
        <v/>
      </c>
    </row>
    <row r="2260" customFormat="false" ht="15.75" hidden="false" customHeight="false" outlineLevel="0" collapsed="false">
      <c r="AO2260" s="8" t="str">
        <f aca="false">IF(A2260="","",IF(COUNTIFS(全馬データ!$A$2:$A$50000,A2260,全馬データ!$B$2:$B$50000,B2260,全馬データ!$C$2:$C$50000,C2260,全馬データ!$D$2:$D$50000,E2260,全馬データ!$K$2:$K$50000,"&lt;&gt;")=0,"",SUMIFS(全馬データ!$K$2:$K$50000,全馬データ!$A$2:$A$50000,A2260,全馬データ!$B$2:$B$50000,B2260,全馬データ!$C$2:$C$50000,C2260,全馬データ!$D$2:$D$50000,E2260)))</f>
        <v/>
      </c>
      <c r="AP2260" s="8" t="str">
        <f aca="false">IF(A2260="","",IF(AO2260="","欠損",IF(AO2260&lt;=1.1,"1.0～1.1",IF(AO2260&lt;1.3,"1.2",IF(AO2260&lt;1.5,"1.3～1.4",IF(AO2260&lt;2,"1.5～1.9","2.0以上"))))))</f>
        <v/>
      </c>
      <c r="AQ2260" s="8" t="str">
        <f aca="false">IF(A2260="","",IF(ISNUMBER(SEARCH("2歳",Z2260)),"2歳戦",IF(ISNUMBER(SEARCH("3歳未勝利",Z2260)),"3歳未勝利",IF(ISNUMBER(SEARCH("未勝利",Z2260)),"その他未勝利",IF(ISNUMBER(SEARCH("G1",Z2260)),"G1",IF(ISNUMBER(SEARCH("G2",Z2260)),"G2",IF(ISNUMBER(SEARCH("G3",Z2260)),"G3",IF(ISNUMBER(SEARCH("古馬条件",Z2260)),"古馬条件戦",IF(ISNUMBER(SEARCH("重賞",Z2260)),"重賞","分類不能")))))))))</f>
        <v/>
      </c>
    </row>
    <row r="2261" customFormat="false" ht="15.75" hidden="false" customHeight="false" outlineLevel="0" collapsed="false">
      <c r="AO2261" s="8" t="str">
        <f aca="false">IF(A2261="","",IF(COUNTIFS(全馬データ!$A$2:$A$50000,A2261,全馬データ!$B$2:$B$50000,B2261,全馬データ!$C$2:$C$50000,C2261,全馬データ!$D$2:$D$50000,E2261,全馬データ!$K$2:$K$50000,"&lt;&gt;")=0,"",SUMIFS(全馬データ!$K$2:$K$50000,全馬データ!$A$2:$A$50000,A2261,全馬データ!$B$2:$B$50000,B2261,全馬データ!$C$2:$C$50000,C2261,全馬データ!$D$2:$D$50000,E2261)))</f>
        <v/>
      </c>
      <c r="AP2261" s="8" t="str">
        <f aca="false">IF(A2261="","",IF(AO2261="","欠損",IF(AO2261&lt;=1.1,"1.0～1.1",IF(AO2261&lt;1.3,"1.2",IF(AO2261&lt;1.5,"1.3～1.4",IF(AO2261&lt;2,"1.5～1.9","2.0以上"))))))</f>
        <v/>
      </c>
      <c r="AQ2261" s="8" t="str">
        <f aca="false">IF(A2261="","",IF(ISNUMBER(SEARCH("2歳",Z2261)),"2歳戦",IF(ISNUMBER(SEARCH("3歳未勝利",Z2261)),"3歳未勝利",IF(ISNUMBER(SEARCH("未勝利",Z2261)),"その他未勝利",IF(ISNUMBER(SEARCH("G1",Z2261)),"G1",IF(ISNUMBER(SEARCH("G2",Z2261)),"G2",IF(ISNUMBER(SEARCH("G3",Z2261)),"G3",IF(ISNUMBER(SEARCH("古馬条件",Z2261)),"古馬条件戦",IF(ISNUMBER(SEARCH("重賞",Z2261)),"重賞","分類不能")))))))))</f>
        <v/>
      </c>
    </row>
    <row r="2262" customFormat="false" ht="15.75" hidden="false" customHeight="false" outlineLevel="0" collapsed="false">
      <c r="AO2262" s="8" t="str">
        <f aca="false">IF(A2262="","",IF(COUNTIFS(全馬データ!$A$2:$A$50000,A2262,全馬データ!$B$2:$B$50000,B2262,全馬データ!$C$2:$C$50000,C2262,全馬データ!$D$2:$D$50000,E2262,全馬データ!$K$2:$K$50000,"&lt;&gt;")=0,"",SUMIFS(全馬データ!$K$2:$K$50000,全馬データ!$A$2:$A$50000,A2262,全馬データ!$B$2:$B$50000,B2262,全馬データ!$C$2:$C$50000,C2262,全馬データ!$D$2:$D$50000,E2262)))</f>
        <v/>
      </c>
      <c r="AP2262" s="8" t="str">
        <f aca="false">IF(A2262="","",IF(AO2262="","欠損",IF(AO2262&lt;=1.1,"1.0～1.1",IF(AO2262&lt;1.3,"1.2",IF(AO2262&lt;1.5,"1.3～1.4",IF(AO2262&lt;2,"1.5～1.9","2.0以上"))))))</f>
        <v/>
      </c>
      <c r="AQ2262" s="8" t="str">
        <f aca="false">IF(A2262="","",IF(ISNUMBER(SEARCH("2歳",Z2262)),"2歳戦",IF(ISNUMBER(SEARCH("3歳未勝利",Z2262)),"3歳未勝利",IF(ISNUMBER(SEARCH("未勝利",Z2262)),"その他未勝利",IF(ISNUMBER(SEARCH("G1",Z2262)),"G1",IF(ISNUMBER(SEARCH("G2",Z2262)),"G2",IF(ISNUMBER(SEARCH("G3",Z2262)),"G3",IF(ISNUMBER(SEARCH("古馬条件",Z2262)),"古馬条件戦",IF(ISNUMBER(SEARCH("重賞",Z2262)),"重賞","分類不能")))))))))</f>
        <v/>
      </c>
    </row>
    <row r="2263" customFormat="false" ht="15.75" hidden="false" customHeight="false" outlineLevel="0" collapsed="false">
      <c r="AO2263" s="8" t="str">
        <f aca="false">IF(A2263="","",IF(COUNTIFS(全馬データ!$A$2:$A$50000,A2263,全馬データ!$B$2:$B$50000,B2263,全馬データ!$C$2:$C$50000,C2263,全馬データ!$D$2:$D$50000,E2263,全馬データ!$K$2:$K$50000,"&lt;&gt;")=0,"",SUMIFS(全馬データ!$K$2:$K$50000,全馬データ!$A$2:$A$50000,A2263,全馬データ!$B$2:$B$50000,B2263,全馬データ!$C$2:$C$50000,C2263,全馬データ!$D$2:$D$50000,E2263)))</f>
        <v/>
      </c>
      <c r="AP2263" s="8" t="str">
        <f aca="false">IF(A2263="","",IF(AO2263="","欠損",IF(AO2263&lt;=1.1,"1.0～1.1",IF(AO2263&lt;1.3,"1.2",IF(AO2263&lt;1.5,"1.3～1.4",IF(AO2263&lt;2,"1.5～1.9","2.0以上"))))))</f>
        <v/>
      </c>
      <c r="AQ2263" s="8" t="str">
        <f aca="false">IF(A2263="","",IF(ISNUMBER(SEARCH("2歳",Z2263)),"2歳戦",IF(ISNUMBER(SEARCH("3歳未勝利",Z2263)),"3歳未勝利",IF(ISNUMBER(SEARCH("未勝利",Z2263)),"その他未勝利",IF(ISNUMBER(SEARCH("G1",Z2263)),"G1",IF(ISNUMBER(SEARCH("G2",Z2263)),"G2",IF(ISNUMBER(SEARCH("G3",Z2263)),"G3",IF(ISNUMBER(SEARCH("古馬条件",Z2263)),"古馬条件戦",IF(ISNUMBER(SEARCH("重賞",Z2263)),"重賞","分類不能")))))))))</f>
        <v/>
      </c>
    </row>
    <row r="2264" customFormat="false" ht="15.75" hidden="false" customHeight="false" outlineLevel="0" collapsed="false">
      <c r="AO2264" s="8" t="str">
        <f aca="false">IF(A2264="","",IF(COUNTIFS(全馬データ!$A$2:$A$50000,A2264,全馬データ!$B$2:$B$50000,B2264,全馬データ!$C$2:$C$50000,C2264,全馬データ!$D$2:$D$50000,E2264,全馬データ!$K$2:$K$50000,"&lt;&gt;")=0,"",SUMIFS(全馬データ!$K$2:$K$50000,全馬データ!$A$2:$A$50000,A2264,全馬データ!$B$2:$B$50000,B2264,全馬データ!$C$2:$C$50000,C2264,全馬データ!$D$2:$D$50000,E2264)))</f>
        <v/>
      </c>
      <c r="AP2264" s="8" t="str">
        <f aca="false">IF(A2264="","",IF(AO2264="","欠損",IF(AO2264&lt;=1.1,"1.0～1.1",IF(AO2264&lt;1.3,"1.2",IF(AO2264&lt;1.5,"1.3～1.4",IF(AO2264&lt;2,"1.5～1.9","2.0以上"))))))</f>
        <v/>
      </c>
      <c r="AQ2264" s="8" t="str">
        <f aca="false">IF(A2264="","",IF(ISNUMBER(SEARCH("2歳",Z2264)),"2歳戦",IF(ISNUMBER(SEARCH("3歳未勝利",Z2264)),"3歳未勝利",IF(ISNUMBER(SEARCH("未勝利",Z2264)),"その他未勝利",IF(ISNUMBER(SEARCH("G1",Z2264)),"G1",IF(ISNUMBER(SEARCH("G2",Z2264)),"G2",IF(ISNUMBER(SEARCH("G3",Z2264)),"G3",IF(ISNUMBER(SEARCH("古馬条件",Z2264)),"古馬条件戦",IF(ISNUMBER(SEARCH("重賞",Z2264)),"重賞","分類不能")))))))))</f>
        <v/>
      </c>
    </row>
    <row r="2265" customFormat="false" ht="15.75" hidden="false" customHeight="false" outlineLevel="0" collapsed="false">
      <c r="AO2265" s="8" t="str">
        <f aca="false">IF(A2265="","",IF(COUNTIFS(全馬データ!$A$2:$A$50000,A2265,全馬データ!$B$2:$B$50000,B2265,全馬データ!$C$2:$C$50000,C2265,全馬データ!$D$2:$D$50000,E2265,全馬データ!$K$2:$K$50000,"&lt;&gt;")=0,"",SUMIFS(全馬データ!$K$2:$K$50000,全馬データ!$A$2:$A$50000,A2265,全馬データ!$B$2:$B$50000,B2265,全馬データ!$C$2:$C$50000,C2265,全馬データ!$D$2:$D$50000,E2265)))</f>
        <v/>
      </c>
      <c r="AP2265" s="8" t="str">
        <f aca="false">IF(A2265="","",IF(AO2265="","欠損",IF(AO2265&lt;=1.1,"1.0～1.1",IF(AO2265&lt;1.3,"1.2",IF(AO2265&lt;1.5,"1.3～1.4",IF(AO2265&lt;2,"1.5～1.9","2.0以上"))))))</f>
        <v/>
      </c>
      <c r="AQ2265" s="8" t="str">
        <f aca="false">IF(A2265="","",IF(ISNUMBER(SEARCH("2歳",Z2265)),"2歳戦",IF(ISNUMBER(SEARCH("3歳未勝利",Z2265)),"3歳未勝利",IF(ISNUMBER(SEARCH("未勝利",Z2265)),"その他未勝利",IF(ISNUMBER(SEARCH("G1",Z2265)),"G1",IF(ISNUMBER(SEARCH("G2",Z2265)),"G2",IF(ISNUMBER(SEARCH("G3",Z2265)),"G3",IF(ISNUMBER(SEARCH("古馬条件",Z2265)),"古馬条件戦",IF(ISNUMBER(SEARCH("重賞",Z2265)),"重賞","分類不能")))))))))</f>
        <v/>
      </c>
    </row>
    <row r="2266" customFormat="false" ht="15.75" hidden="false" customHeight="false" outlineLevel="0" collapsed="false">
      <c r="AO2266" s="8" t="str">
        <f aca="false">IF(A2266="","",IF(COUNTIFS(全馬データ!$A$2:$A$50000,A2266,全馬データ!$B$2:$B$50000,B2266,全馬データ!$C$2:$C$50000,C2266,全馬データ!$D$2:$D$50000,E2266,全馬データ!$K$2:$K$50000,"&lt;&gt;")=0,"",SUMIFS(全馬データ!$K$2:$K$50000,全馬データ!$A$2:$A$50000,A2266,全馬データ!$B$2:$B$50000,B2266,全馬データ!$C$2:$C$50000,C2266,全馬データ!$D$2:$D$50000,E2266)))</f>
        <v/>
      </c>
      <c r="AP2266" s="8" t="str">
        <f aca="false">IF(A2266="","",IF(AO2266="","欠損",IF(AO2266&lt;=1.1,"1.0～1.1",IF(AO2266&lt;1.3,"1.2",IF(AO2266&lt;1.5,"1.3～1.4",IF(AO2266&lt;2,"1.5～1.9","2.0以上"))))))</f>
        <v/>
      </c>
      <c r="AQ2266" s="8" t="str">
        <f aca="false">IF(A2266="","",IF(ISNUMBER(SEARCH("2歳",Z2266)),"2歳戦",IF(ISNUMBER(SEARCH("3歳未勝利",Z2266)),"3歳未勝利",IF(ISNUMBER(SEARCH("未勝利",Z2266)),"その他未勝利",IF(ISNUMBER(SEARCH("G1",Z2266)),"G1",IF(ISNUMBER(SEARCH("G2",Z2266)),"G2",IF(ISNUMBER(SEARCH("G3",Z2266)),"G3",IF(ISNUMBER(SEARCH("古馬条件",Z2266)),"古馬条件戦",IF(ISNUMBER(SEARCH("重賞",Z2266)),"重賞","分類不能")))))))))</f>
        <v/>
      </c>
    </row>
    <row r="2267" customFormat="false" ht="15.75" hidden="false" customHeight="false" outlineLevel="0" collapsed="false">
      <c r="AO2267" s="8" t="str">
        <f aca="false">IF(A2267="","",IF(COUNTIFS(全馬データ!$A$2:$A$50000,A2267,全馬データ!$B$2:$B$50000,B2267,全馬データ!$C$2:$C$50000,C2267,全馬データ!$D$2:$D$50000,E2267,全馬データ!$K$2:$K$50000,"&lt;&gt;")=0,"",SUMIFS(全馬データ!$K$2:$K$50000,全馬データ!$A$2:$A$50000,A2267,全馬データ!$B$2:$B$50000,B2267,全馬データ!$C$2:$C$50000,C2267,全馬データ!$D$2:$D$50000,E2267)))</f>
        <v/>
      </c>
      <c r="AP2267" s="8" t="str">
        <f aca="false">IF(A2267="","",IF(AO2267="","欠損",IF(AO2267&lt;=1.1,"1.0～1.1",IF(AO2267&lt;1.3,"1.2",IF(AO2267&lt;1.5,"1.3～1.4",IF(AO2267&lt;2,"1.5～1.9","2.0以上"))))))</f>
        <v/>
      </c>
      <c r="AQ2267" s="8" t="str">
        <f aca="false">IF(A2267="","",IF(ISNUMBER(SEARCH("2歳",Z2267)),"2歳戦",IF(ISNUMBER(SEARCH("3歳未勝利",Z2267)),"3歳未勝利",IF(ISNUMBER(SEARCH("未勝利",Z2267)),"その他未勝利",IF(ISNUMBER(SEARCH("G1",Z2267)),"G1",IF(ISNUMBER(SEARCH("G2",Z2267)),"G2",IF(ISNUMBER(SEARCH("G3",Z2267)),"G3",IF(ISNUMBER(SEARCH("古馬条件",Z2267)),"古馬条件戦",IF(ISNUMBER(SEARCH("重賞",Z2267)),"重賞","分類不能")))))))))</f>
        <v/>
      </c>
    </row>
    <row r="2268" customFormat="false" ht="15.75" hidden="false" customHeight="false" outlineLevel="0" collapsed="false">
      <c r="AO2268" s="8" t="str">
        <f aca="false">IF(A2268="","",IF(COUNTIFS(全馬データ!$A$2:$A$50000,A2268,全馬データ!$B$2:$B$50000,B2268,全馬データ!$C$2:$C$50000,C2268,全馬データ!$D$2:$D$50000,E2268,全馬データ!$K$2:$K$50000,"&lt;&gt;")=0,"",SUMIFS(全馬データ!$K$2:$K$50000,全馬データ!$A$2:$A$50000,A2268,全馬データ!$B$2:$B$50000,B2268,全馬データ!$C$2:$C$50000,C2268,全馬データ!$D$2:$D$50000,E2268)))</f>
        <v/>
      </c>
      <c r="AP2268" s="8" t="str">
        <f aca="false">IF(A2268="","",IF(AO2268="","欠損",IF(AO2268&lt;=1.1,"1.0～1.1",IF(AO2268&lt;1.3,"1.2",IF(AO2268&lt;1.5,"1.3～1.4",IF(AO2268&lt;2,"1.5～1.9","2.0以上"))))))</f>
        <v/>
      </c>
      <c r="AQ2268" s="8" t="str">
        <f aca="false">IF(A2268="","",IF(ISNUMBER(SEARCH("2歳",Z2268)),"2歳戦",IF(ISNUMBER(SEARCH("3歳未勝利",Z2268)),"3歳未勝利",IF(ISNUMBER(SEARCH("未勝利",Z2268)),"その他未勝利",IF(ISNUMBER(SEARCH("G1",Z2268)),"G1",IF(ISNUMBER(SEARCH("G2",Z2268)),"G2",IF(ISNUMBER(SEARCH("G3",Z2268)),"G3",IF(ISNUMBER(SEARCH("古馬条件",Z2268)),"古馬条件戦",IF(ISNUMBER(SEARCH("重賞",Z2268)),"重賞","分類不能")))))))))</f>
        <v/>
      </c>
    </row>
    <row r="2269" customFormat="false" ht="15.75" hidden="false" customHeight="false" outlineLevel="0" collapsed="false">
      <c r="AO2269" s="8" t="str">
        <f aca="false">IF(A2269="","",IF(COUNTIFS(全馬データ!$A$2:$A$50000,A2269,全馬データ!$B$2:$B$50000,B2269,全馬データ!$C$2:$C$50000,C2269,全馬データ!$D$2:$D$50000,E2269,全馬データ!$K$2:$K$50000,"&lt;&gt;")=0,"",SUMIFS(全馬データ!$K$2:$K$50000,全馬データ!$A$2:$A$50000,A2269,全馬データ!$B$2:$B$50000,B2269,全馬データ!$C$2:$C$50000,C2269,全馬データ!$D$2:$D$50000,E2269)))</f>
        <v/>
      </c>
      <c r="AP2269" s="8" t="str">
        <f aca="false">IF(A2269="","",IF(AO2269="","欠損",IF(AO2269&lt;=1.1,"1.0～1.1",IF(AO2269&lt;1.3,"1.2",IF(AO2269&lt;1.5,"1.3～1.4",IF(AO2269&lt;2,"1.5～1.9","2.0以上"))))))</f>
        <v/>
      </c>
      <c r="AQ2269" s="8" t="str">
        <f aca="false">IF(A2269="","",IF(ISNUMBER(SEARCH("2歳",Z2269)),"2歳戦",IF(ISNUMBER(SEARCH("3歳未勝利",Z2269)),"3歳未勝利",IF(ISNUMBER(SEARCH("未勝利",Z2269)),"その他未勝利",IF(ISNUMBER(SEARCH("G1",Z2269)),"G1",IF(ISNUMBER(SEARCH("G2",Z2269)),"G2",IF(ISNUMBER(SEARCH("G3",Z2269)),"G3",IF(ISNUMBER(SEARCH("古馬条件",Z2269)),"古馬条件戦",IF(ISNUMBER(SEARCH("重賞",Z2269)),"重賞","分類不能")))))))))</f>
        <v/>
      </c>
    </row>
    <row r="2270" customFormat="false" ht="15.75" hidden="false" customHeight="false" outlineLevel="0" collapsed="false">
      <c r="AO2270" s="8" t="str">
        <f aca="false">IF(A2270="","",IF(COUNTIFS(全馬データ!$A$2:$A$50000,A2270,全馬データ!$B$2:$B$50000,B2270,全馬データ!$C$2:$C$50000,C2270,全馬データ!$D$2:$D$50000,E2270,全馬データ!$K$2:$K$50000,"&lt;&gt;")=0,"",SUMIFS(全馬データ!$K$2:$K$50000,全馬データ!$A$2:$A$50000,A2270,全馬データ!$B$2:$B$50000,B2270,全馬データ!$C$2:$C$50000,C2270,全馬データ!$D$2:$D$50000,E2270)))</f>
        <v/>
      </c>
      <c r="AP2270" s="8" t="str">
        <f aca="false">IF(A2270="","",IF(AO2270="","欠損",IF(AO2270&lt;=1.1,"1.0～1.1",IF(AO2270&lt;1.3,"1.2",IF(AO2270&lt;1.5,"1.3～1.4",IF(AO2270&lt;2,"1.5～1.9","2.0以上"))))))</f>
        <v/>
      </c>
      <c r="AQ2270" s="8" t="str">
        <f aca="false">IF(A2270="","",IF(ISNUMBER(SEARCH("2歳",Z2270)),"2歳戦",IF(ISNUMBER(SEARCH("3歳未勝利",Z2270)),"3歳未勝利",IF(ISNUMBER(SEARCH("未勝利",Z2270)),"その他未勝利",IF(ISNUMBER(SEARCH("G1",Z2270)),"G1",IF(ISNUMBER(SEARCH("G2",Z2270)),"G2",IF(ISNUMBER(SEARCH("G3",Z2270)),"G3",IF(ISNUMBER(SEARCH("古馬条件",Z2270)),"古馬条件戦",IF(ISNUMBER(SEARCH("重賞",Z2270)),"重賞","分類不能")))))))))</f>
        <v/>
      </c>
    </row>
    <row r="2271" customFormat="false" ht="15.75" hidden="false" customHeight="false" outlineLevel="0" collapsed="false">
      <c r="AO2271" s="8" t="str">
        <f aca="false">IF(A2271="","",IF(COUNTIFS(全馬データ!$A$2:$A$50000,A2271,全馬データ!$B$2:$B$50000,B2271,全馬データ!$C$2:$C$50000,C2271,全馬データ!$D$2:$D$50000,E2271,全馬データ!$K$2:$K$50000,"&lt;&gt;")=0,"",SUMIFS(全馬データ!$K$2:$K$50000,全馬データ!$A$2:$A$50000,A2271,全馬データ!$B$2:$B$50000,B2271,全馬データ!$C$2:$C$50000,C2271,全馬データ!$D$2:$D$50000,E2271)))</f>
        <v/>
      </c>
      <c r="AP2271" s="8" t="str">
        <f aca="false">IF(A2271="","",IF(AO2271="","欠損",IF(AO2271&lt;=1.1,"1.0～1.1",IF(AO2271&lt;1.3,"1.2",IF(AO2271&lt;1.5,"1.3～1.4",IF(AO2271&lt;2,"1.5～1.9","2.0以上"))))))</f>
        <v/>
      </c>
      <c r="AQ2271" s="8" t="str">
        <f aca="false">IF(A2271="","",IF(ISNUMBER(SEARCH("2歳",Z2271)),"2歳戦",IF(ISNUMBER(SEARCH("3歳未勝利",Z2271)),"3歳未勝利",IF(ISNUMBER(SEARCH("未勝利",Z2271)),"その他未勝利",IF(ISNUMBER(SEARCH("G1",Z2271)),"G1",IF(ISNUMBER(SEARCH("G2",Z2271)),"G2",IF(ISNUMBER(SEARCH("G3",Z2271)),"G3",IF(ISNUMBER(SEARCH("古馬条件",Z2271)),"古馬条件戦",IF(ISNUMBER(SEARCH("重賞",Z2271)),"重賞","分類不能")))))))))</f>
        <v/>
      </c>
    </row>
    <row r="2272" customFormat="false" ht="15.75" hidden="false" customHeight="false" outlineLevel="0" collapsed="false">
      <c r="AO2272" s="8" t="str">
        <f aca="false">IF(A2272="","",IF(COUNTIFS(全馬データ!$A$2:$A$50000,A2272,全馬データ!$B$2:$B$50000,B2272,全馬データ!$C$2:$C$50000,C2272,全馬データ!$D$2:$D$50000,E2272,全馬データ!$K$2:$K$50000,"&lt;&gt;")=0,"",SUMIFS(全馬データ!$K$2:$K$50000,全馬データ!$A$2:$A$50000,A2272,全馬データ!$B$2:$B$50000,B2272,全馬データ!$C$2:$C$50000,C2272,全馬データ!$D$2:$D$50000,E2272)))</f>
        <v/>
      </c>
      <c r="AP2272" s="8" t="str">
        <f aca="false">IF(A2272="","",IF(AO2272="","欠損",IF(AO2272&lt;=1.1,"1.0～1.1",IF(AO2272&lt;1.3,"1.2",IF(AO2272&lt;1.5,"1.3～1.4",IF(AO2272&lt;2,"1.5～1.9","2.0以上"))))))</f>
        <v/>
      </c>
      <c r="AQ2272" s="8" t="str">
        <f aca="false">IF(A2272="","",IF(ISNUMBER(SEARCH("2歳",Z2272)),"2歳戦",IF(ISNUMBER(SEARCH("3歳未勝利",Z2272)),"3歳未勝利",IF(ISNUMBER(SEARCH("未勝利",Z2272)),"その他未勝利",IF(ISNUMBER(SEARCH("G1",Z2272)),"G1",IF(ISNUMBER(SEARCH("G2",Z2272)),"G2",IF(ISNUMBER(SEARCH("G3",Z2272)),"G3",IF(ISNUMBER(SEARCH("古馬条件",Z2272)),"古馬条件戦",IF(ISNUMBER(SEARCH("重賞",Z2272)),"重賞","分類不能")))))))))</f>
        <v/>
      </c>
    </row>
    <row r="2273" customFormat="false" ht="15.75" hidden="false" customHeight="false" outlineLevel="0" collapsed="false">
      <c r="AO2273" s="8" t="str">
        <f aca="false">IF(A2273="","",IF(COUNTIFS(全馬データ!$A$2:$A$50000,A2273,全馬データ!$B$2:$B$50000,B2273,全馬データ!$C$2:$C$50000,C2273,全馬データ!$D$2:$D$50000,E2273,全馬データ!$K$2:$K$50000,"&lt;&gt;")=0,"",SUMIFS(全馬データ!$K$2:$K$50000,全馬データ!$A$2:$A$50000,A2273,全馬データ!$B$2:$B$50000,B2273,全馬データ!$C$2:$C$50000,C2273,全馬データ!$D$2:$D$50000,E2273)))</f>
        <v/>
      </c>
      <c r="AP2273" s="8" t="str">
        <f aca="false">IF(A2273="","",IF(AO2273="","欠損",IF(AO2273&lt;=1.1,"1.0～1.1",IF(AO2273&lt;1.3,"1.2",IF(AO2273&lt;1.5,"1.3～1.4",IF(AO2273&lt;2,"1.5～1.9","2.0以上"))))))</f>
        <v/>
      </c>
      <c r="AQ2273" s="8" t="str">
        <f aca="false">IF(A2273="","",IF(ISNUMBER(SEARCH("2歳",Z2273)),"2歳戦",IF(ISNUMBER(SEARCH("3歳未勝利",Z2273)),"3歳未勝利",IF(ISNUMBER(SEARCH("未勝利",Z2273)),"その他未勝利",IF(ISNUMBER(SEARCH("G1",Z2273)),"G1",IF(ISNUMBER(SEARCH("G2",Z2273)),"G2",IF(ISNUMBER(SEARCH("G3",Z2273)),"G3",IF(ISNUMBER(SEARCH("古馬条件",Z2273)),"古馬条件戦",IF(ISNUMBER(SEARCH("重賞",Z2273)),"重賞","分類不能")))))))))</f>
        <v/>
      </c>
    </row>
    <row r="2274" customFormat="false" ht="15.75" hidden="false" customHeight="false" outlineLevel="0" collapsed="false">
      <c r="AO2274" s="8" t="str">
        <f aca="false">IF(A2274="","",IF(COUNTIFS(全馬データ!$A$2:$A$50000,A2274,全馬データ!$B$2:$B$50000,B2274,全馬データ!$C$2:$C$50000,C2274,全馬データ!$D$2:$D$50000,E2274,全馬データ!$K$2:$K$50000,"&lt;&gt;")=0,"",SUMIFS(全馬データ!$K$2:$K$50000,全馬データ!$A$2:$A$50000,A2274,全馬データ!$B$2:$B$50000,B2274,全馬データ!$C$2:$C$50000,C2274,全馬データ!$D$2:$D$50000,E2274)))</f>
        <v/>
      </c>
      <c r="AP2274" s="8" t="str">
        <f aca="false">IF(A2274="","",IF(AO2274="","欠損",IF(AO2274&lt;=1.1,"1.0～1.1",IF(AO2274&lt;1.3,"1.2",IF(AO2274&lt;1.5,"1.3～1.4",IF(AO2274&lt;2,"1.5～1.9","2.0以上"))))))</f>
        <v/>
      </c>
      <c r="AQ2274" s="8" t="str">
        <f aca="false">IF(A2274="","",IF(ISNUMBER(SEARCH("2歳",Z2274)),"2歳戦",IF(ISNUMBER(SEARCH("3歳未勝利",Z2274)),"3歳未勝利",IF(ISNUMBER(SEARCH("未勝利",Z2274)),"その他未勝利",IF(ISNUMBER(SEARCH("G1",Z2274)),"G1",IF(ISNUMBER(SEARCH("G2",Z2274)),"G2",IF(ISNUMBER(SEARCH("G3",Z2274)),"G3",IF(ISNUMBER(SEARCH("古馬条件",Z2274)),"古馬条件戦",IF(ISNUMBER(SEARCH("重賞",Z2274)),"重賞","分類不能")))))))))</f>
        <v/>
      </c>
    </row>
    <row r="2275" customFormat="false" ht="15.75" hidden="false" customHeight="false" outlineLevel="0" collapsed="false">
      <c r="AO2275" s="8" t="str">
        <f aca="false">IF(A2275="","",IF(COUNTIFS(全馬データ!$A$2:$A$50000,A2275,全馬データ!$B$2:$B$50000,B2275,全馬データ!$C$2:$C$50000,C2275,全馬データ!$D$2:$D$50000,E2275,全馬データ!$K$2:$K$50000,"&lt;&gt;")=0,"",SUMIFS(全馬データ!$K$2:$K$50000,全馬データ!$A$2:$A$50000,A2275,全馬データ!$B$2:$B$50000,B2275,全馬データ!$C$2:$C$50000,C2275,全馬データ!$D$2:$D$50000,E2275)))</f>
        <v/>
      </c>
      <c r="AP2275" s="8" t="str">
        <f aca="false">IF(A2275="","",IF(AO2275="","欠損",IF(AO2275&lt;=1.1,"1.0～1.1",IF(AO2275&lt;1.3,"1.2",IF(AO2275&lt;1.5,"1.3～1.4",IF(AO2275&lt;2,"1.5～1.9","2.0以上"))))))</f>
        <v/>
      </c>
      <c r="AQ2275" s="8" t="str">
        <f aca="false">IF(A2275="","",IF(ISNUMBER(SEARCH("2歳",Z2275)),"2歳戦",IF(ISNUMBER(SEARCH("3歳未勝利",Z2275)),"3歳未勝利",IF(ISNUMBER(SEARCH("未勝利",Z2275)),"その他未勝利",IF(ISNUMBER(SEARCH("G1",Z2275)),"G1",IF(ISNUMBER(SEARCH("G2",Z2275)),"G2",IF(ISNUMBER(SEARCH("G3",Z2275)),"G3",IF(ISNUMBER(SEARCH("古馬条件",Z2275)),"古馬条件戦",IF(ISNUMBER(SEARCH("重賞",Z2275)),"重賞","分類不能")))))))))</f>
        <v/>
      </c>
    </row>
    <row r="2276" customFormat="false" ht="15.75" hidden="false" customHeight="false" outlineLevel="0" collapsed="false">
      <c r="AO2276" s="8" t="str">
        <f aca="false">IF(A2276="","",IF(COUNTIFS(全馬データ!$A$2:$A$50000,A2276,全馬データ!$B$2:$B$50000,B2276,全馬データ!$C$2:$C$50000,C2276,全馬データ!$D$2:$D$50000,E2276,全馬データ!$K$2:$K$50000,"&lt;&gt;")=0,"",SUMIFS(全馬データ!$K$2:$K$50000,全馬データ!$A$2:$A$50000,A2276,全馬データ!$B$2:$B$50000,B2276,全馬データ!$C$2:$C$50000,C2276,全馬データ!$D$2:$D$50000,E2276)))</f>
        <v/>
      </c>
      <c r="AP2276" s="8" t="str">
        <f aca="false">IF(A2276="","",IF(AO2276="","欠損",IF(AO2276&lt;=1.1,"1.0～1.1",IF(AO2276&lt;1.3,"1.2",IF(AO2276&lt;1.5,"1.3～1.4",IF(AO2276&lt;2,"1.5～1.9","2.0以上"))))))</f>
        <v/>
      </c>
      <c r="AQ2276" s="8" t="str">
        <f aca="false">IF(A2276="","",IF(ISNUMBER(SEARCH("2歳",Z2276)),"2歳戦",IF(ISNUMBER(SEARCH("3歳未勝利",Z2276)),"3歳未勝利",IF(ISNUMBER(SEARCH("未勝利",Z2276)),"その他未勝利",IF(ISNUMBER(SEARCH("G1",Z2276)),"G1",IF(ISNUMBER(SEARCH("G2",Z2276)),"G2",IF(ISNUMBER(SEARCH("G3",Z2276)),"G3",IF(ISNUMBER(SEARCH("古馬条件",Z2276)),"古馬条件戦",IF(ISNUMBER(SEARCH("重賞",Z2276)),"重賞","分類不能")))))))))</f>
        <v/>
      </c>
    </row>
    <row r="2277" customFormat="false" ht="15.75" hidden="false" customHeight="false" outlineLevel="0" collapsed="false">
      <c r="AO2277" s="8" t="str">
        <f aca="false">IF(A2277="","",IF(COUNTIFS(全馬データ!$A$2:$A$50000,A2277,全馬データ!$B$2:$B$50000,B2277,全馬データ!$C$2:$C$50000,C2277,全馬データ!$D$2:$D$50000,E2277,全馬データ!$K$2:$K$50000,"&lt;&gt;")=0,"",SUMIFS(全馬データ!$K$2:$K$50000,全馬データ!$A$2:$A$50000,A2277,全馬データ!$B$2:$B$50000,B2277,全馬データ!$C$2:$C$50000,C2277,全馬データ!$D$2:$D$50000,E2277)))</f>
        <v/>
      </c>
      <c r="AP2277" s="8" t="str">
        <f aca="false">IF(A2277="","",IF(AO2277="","欠損",IF(AO2277&lt;=1.1,"1.0～1.1",IF(AO2277&lt;1.3,"1.2",IF(AO2277&lt;1.5,"1.3～1.4",IF(AO2277&lt;2,"1.5～1.9","2.0以上"))))))</f>
        <v/>
      </c>
      <c r="AQ2277" s="8" t="str">
        <f aca="false">IF(A2277="","",IF(ISNUMBER(SEARCH("2歳",Z2277)),"2歳戦",IF(ISNUMBER(SEARCH("3歳未勝利",Z2277)),"3歳未勝利",IF(ISNUMBER(SEARCH("未勝利",Z2277)),"その他未勝利",IF(ISNUMBER(SEARCH("G1",Z2277)),"G1",IF(ISNUMBER(SEARCH("G2",Z2277)),"G2",IF(ISNUMBER(SEARCH("G3",Z2277)),"G3",IF(ISNUMBER(SEARCH("古馬条件",Z2277)),"古馬条件戦",IF(ISNUMBER(SEARCH("重賞",Z2277)),"重賞","分類不能")))))))))</f>
        <v/>
      </c>
    </row>
    <row r="2278" customFormat="false" ht="15.75" hidden="false" customHeight="false" outlineLevel="0" collapsed="false">
      <c r="AO2278" s="8" t="str">
        <f aca="false">IF(A2278="","",IF(COUNTIFS(全馬データ!$A$2:$A$50000,A2278,全馬データ!$B$2:$B$50000,B2278,全馬データ!$C$2:$C$50000,C2278,全馬データ!$D$2:$D$50000,E2278,全馬データ!$K$2:$K$50000,"&lt;&gt;")=0,"",SUMIFS(全馬データ!$K$2:$K$50000,全馬データ!$A$2:$A$50000,A2278,全馬データ!$B$2:$B$50000,B2278,全馬データ!$C$2:$C$50000,C2278,全馬データ!$D$2:$D$50000,E2278)))</f>
        <v/>
      </c>
      <c r="AP2278" s="8" t="str">
        <f aca="false">IF(A2278="","",IF(AO2278="","欠損",IF(AO2278&lt;=1.1,"1.0～1.1",IF(AO2278&lt;1.3,"1.2",IF(AO2278&lt;1.5,"1.3～1.4",IF(AO2278&lt;2,"1.5～1.9","2.0以上"))))))</f>
        <v/>
      </c>
      <c r="AQ2278" s="8" t="str">
        <f aca="false">IF(A2278="","",IF(ISNUMBER(SEARCH("2歳",Z2278)),"2歳戦",IF(ISNUMBER(SEARCH("3歳未勝利",Z2278)),"3歳未勝利",IF(ISNUMBER(SEARCH("未勝利",Z2278)),"その他未勝利",IF(ISNUMBER(SEARCH("G1",Z2278)),"G1",IF(ISNUMBER(SEARCH("G2",Z2278)),"G2",IF(ISNUMBER(SEARCH("G3",Z2278)),"G3",IF(ISNUMBER(SEARCH("古馬条件",Z2278)),"古馬条件戦",IF(ISNUMBER(SEARCH("重賞",Z2278)),"重賞","分類不能")))))))))</f>
        <v/>
      </c>
    </row>
    <row r="2279" customFormat="false" ht="15.75" hidden="false" customHeight="false" outlineLevel="0" collapsed="false">
      <c r="AO2279" s="8" t="str">
        <f aca="false">IF(A2279="","",IF(COUNTIFS(全馬データ!$A$2:$A$50000,A2279,全馬データ!$B$2:$B$50000,B2279,全馬データ!$C$2:$C$50000,C2279,全馬データ!$D$2:$D$50000,E2279,全馬データ!$K$2:$K$50000,"&lt;&gt;")=0,"",SUMIFS(全馬データ!$K$2:$K$50000,全馬データ!$A$2:$A$50000,A2279,全馬データ!$B$2:$B$50000,B2279,全馬データ!$C$2:$C$50000,C2279,全馬データ!$D$2:$D$50000,E2279)))</f>
        <v/>
      </c>
      <c r="AP2279" s="8" t="str">
        <f aca="false">IF(A2279="","",IF(AO2279="","欠損",IF(AO2279&lt;=1.1,"1.0～1.1",IF(AO2279&lt;1.3,"1.2",IF(AO2279&lt;1.5,"1.3～1.4",IF(AO2279&lt;2,"1.5～1.9","2.0以上"))))))</f>
        <v/>
      </c>
      <c r="AQ2279" s="8" t="str">
        <f aca="false">IF(A2279="","",IF(ISNUMBER(SEARCH("2歳",Z2279)),"2歳戦",IF(ISNUMBER(SEARCH("3歳未勝利",Z2279)),"3歳未勝利",IF(ISNUMBER(SEARCH("未勝利",Z2279)),"その他未勝利",IF(ISNUMBER(SEARCH("G1",Z2279)),"G1",IF(ISNUMBER(SEARCH("G2",Z2279)),"G2",IF(ISNUMBER(SEARCH("G3",Z2279)),"G3",IF(ISNUMBER(SEARCH("古馬条件",Z2279)),"古馬条件戦",IF(ISNUMBER(SEARCH("重賞",Z2279)),"重賞","分類不能")))))))))</f>
        <v/>
      </c>
    </row>
    <row r="2280" customFormat="false" ht="15.75" hidden="false" customHeight="false" outlineLevel="0" collapsed="false">
      <c r="AO2280" s="8" t="str">
        <f aca="false">IF(A2280="","",IF(COUNTIFS(全馬データ!$A$2:$A$50000,A2280,全馬データ!$B$2:$B$50000,B2280,全馬データ!$C$2:$C$50000,C2280,全馬データ!$D$2:$D$50000,E2280,全馬データ!$K$2:$K$50000,"&lt;&gt;")=0,"",SUMIFS(全馬データ!$K$2:$K$50000,全馬データ!$A$2:$A$50000,A2280,全馬データ!$B$2:$B$50000,B2280,全馬データ!$C$2:$C$50000,C2280,全馬データ!$D$2:$D$50000,E2280)))</f>
        <v/>
      </c>
      <c r="AP2280" s="8" t="str">
        <f aca="false">IF(A2280="","",IF(AO2280="","欠損",IF(AO2280&lt;=1.1,"1.0～1.1",IF(AO2280&lt;1.3,"1.2",IF(AO2280&lt;1.5,"1.3～1.4",IF(AO2280&lt;2,"1.5～1.9","2.0以上"))))))</f>
        <v/>
      </c>
      <c r="AQ2280" s="8" t="str">
        <f aca="false">IF(A2280="","",IF(ISNUMBER(SEARCH("2歳",Z2280)),"2歳戦",IF(ISNUMBER(SEARCH("3歳未勝利",Z2280)),"3歳未勝利",IF(ISNUMBER(SEARCH("未勝利",Z2280)),"その他未勝利",IF(ISNUMBER(SEARCH("G1",Z2280)),"G1",IF(ISNUMBER(SEARCH("G2",Z2280)),"G2",IF(ISNUMBER(SEARCH("G3",Z2280)),"G3",IF(ISNUMBER(SEARCH("古馬条件",Z2280)),"古馬条件戦",IF(ISNUMBER(SEARCH("重賞",Z2280)),"重賞","分類不能")))))))))</f>
        <v/>
      </c>
    </row>
    <row r="2281" customFormat="false" ht="15.75" hidden="false" customHeight="false" outlineLevel="0" collapsed="false">
      <c r="AO2281" s="8" t="str">
        <f aca="false">IF(A2281="","",IF(COUNTIFS(全馬データ!$A$2:$A$50000,A2281,全馬データ!$B$2:$B$50000,B2281,全馬データ!$C$2:$C$50000,C2281,全馬データ!$D$2:$D$50000,E2281,全馬データ!$K$2:$K$50000,"&lt;&gt;")=0,"",SUMIFS(全馬データ!$K$2:$K$50000,全馬データ!$A$2:$A$50000,A2281,全馬データ!$B$2:$B$50000,B2281,全馬データ!$C$2:$C$50000,C2281,全馬データ!$D$2:$D$50000,E2281)))</f>
        <v/>
      </c>
      <c r="AP2281" s="8" t="str">
        <f aca="false">IF(A2281="","",IF(AO2281="","欠損",IF(AO2281&lt;=1.1,"1.0～1.1",IF(AO2281&lt;1.3,"1.2",IF(AO2281&lt;1.5,"1.3～1.4",IF(AO2281&lt;2,"1.5～1.9","2.0以上"))))))</f>
        <v/>
      </c>
      <c r="AQ2281" s="8" t="str">
        <f aca="false">IF(A2281="","",IF(ISNUMBER(SEARCH("2歳",Z2281)),"2歳戦",IF(ISNUMBER(SEARCH("3歳未勝利",Z2281)),"3歳未勝利",IF(ISNUMBER(SEARCH("未勝利",Z2281)),"その他未勝利",IF(ISNUMBER(SEARCH("G1",Z2281)),"G1",IF(ISNUMBER(SEARCH("G2",Z2281)),"G2",IF(ISNUMBER(SEARCH("G3",Z2281)),"G3",IF(ISNUMBER(SEARCH("古馬条件",Z2281)),"古馬条件戦",IF(ISNUMBER(SEARCH("重賞",Z2281)),"重賞","分類不能")))))))))</f>
        <v/>
      </c>
    </row>
    <row r="2282" customFormat="false" ht="15.75" hidden="false" customHeight="false" outlineLevel="0" collapsed="false">
      <c r="AO2282" s="8" t="str">
        <f aca="false">IF(A2282="","",IF(COUNTIFS(全馬データ!$A$2:$A$50000,A2282,全馬データ!$B$2:$B$50000,B2282,全馬データ!$C$2:$C$50000,C2282,全馬データ!$D$2:$D$50000,E2282,全馬データ!$K$2:$K$50000,"&lt;&gt;")=0,"",SUMIFS(全馬データ!$K$2:$K$50000,全馬データ!$A$2:$A$50000,A2282,全馬データ!$B$2:$B$50000,B2282,全馬データ!$C$2:$C$50000,C2282,全馬データ!$D$2:$D$50000,E2282)))</f>
        <v/>
      </c>
      <c r="AP2282" s="8" t="str">
        <f aca="false">IF(A2282="","",IF(AO2282="","欠損",IF(AO2282&lt;=1.1,"1.0～1.1",IF(AO2282&lt;1.3,"1.2",IF(AO2282&lt;1.5,"1.3～1.4",IF(AO2282&lt;2,"1.5～1.9","2.0以上"))))))</f>
        <v/>
      </c>
      <c r="AQ2282" s="8" t="str">
        <f aca="false">IF(A2282="","",IF(ISNUMBER(SEARCH("2歳",Z2282)),"2歳戦",IF(ISNUMBER(SEARCH("3歳未勝利",Z2282)),"3歳未勝利",IF(ISNUMBER(SEARCH("未勝利",Z2282)),"その他未勝利",IF(ISNUMBER(SEARCH("G1",Z2282)),"G1",IF(ISNUMBER(SEARCH("G2",Z2282)),"G2",IF(ISNUMBER(SEARCH("G3",Z2282)),"G3",IF(ISNUMBER(SEARCH("古馬条件",Z2282)),"古馬条件戦",IF(ISNUMBER(SEARCH("重賞",Z2282)),"重賞","分類不能")))))))))</f>
        <v/>
      </c>
    </row>
    <row r="2283" customFormat="false" ht="15.75" hidden="false" customHeight="false" outlineLevel="0" collapsed="false">
      <c r="AO2283" s="8" t="str">
        <f aca="false">IF(A2283="","",IF(COUNTIFS(全馬データ!$A$2:$A$50000,A2283,全馬データ!$B$2:$B$50000,B2283,全馬データ!$C$2:$C$50000,C2283,全馬データ!$D$2:$D$50000,E2283,全馬データ!$K$2:$K$50000,"&lt;&gt;")=0,"",SUMIFS(全馬データ!$K$2:$K$50000,全馬データ!$A$2:$A$50000,A2283,全馬データ!$B$2:$B$50000,B2283,全馬データ!$C$2:$C$50000,C2283,全馬データ!$D$2:$D$50000,E2283)))</f>
        <v/>
      </c>
      <c r="AP2283" s="8" t="str">
        <f aca="false">IF(A2283="","",IF(AO2283="","欠損",IF(AO2283&lt;=1.1,"1.0～1.1",IF(AO2283&lt;1.3,"1.2",IF(AO2283&lt;1.5,"1.3～1.4",IF(AO2283&lt;2,"1.5～1.9","2.0以上"))))))</f>
        <v/>
      </c>
      <c r="AQ2283" s="8" t="str">
        <f aca="false">IF(A2283="","",IF(ISNUMBER(SEARCH("2歳",Z2283)),"2歳戦",IF(ISNUMBER(SEARCH("3歳未勝利",Z2283)),"3歳未勝利",IF(ISNUMBER(SEARCH("未勝利",Z2283)),"その他未勝利",IF(ISNUMBER(SEARCH("G1",Z2283)),"G1",IF(ISNUMBER(SEARCH("G2",Z2283)),"G2",IF(ISNUMBER(SEARCH("G3",Z2283)),"G3",IF(ISNUMBER(SEARCH("古馬条件",Z2283)),"古馬条件戦",IF(ISNUMBER(SEARCH("重賞",Z2283)),"重賞","分類不能")))))))))</f>
        <v/>
      </c>
    </row>
    <row r="2284" customFormat="false" ht="15.75" hidden="false" customHeight="false" outlineLevel="0" collapsed="false">
      <c r="AO2284" s="8" t="str">
        <f aca="false">IF(A2284="","",IF(COUNTIFS(全馬データ!$A$2:$A$50000,A2284,全馬データ!$B$2:$B$50000,B2284,全馬データ!$C$2:$C$50000,C2284,全馬データ!$D$2:$D$50000,E2284,全馬データ!$K$2:$K$50000,"&lt;&gt;")=0,"",SUMIFS(全馬データ!$K$2:$K$50000,全馬データ!$A$2:$A$50000,A2284,全馬データ!$B$2:$B$50000,B2284,全馬データ!$C$2:$C$50000,C2284,全馬データ!$D$2:$D$50000,E2284)))</f>
        <v/>
      </c>
      <c r="AP2284" s="8" t="str">
        <f aca="false">IF(A2284="","",IF(AO2284="","欠損",IF(AO2284&lt;=1.1,"1.0～1.1",IF(AO2284&lt;1.3,"1.2",IF(AO2284&lt;1.5,"1.3～1.4",IF(AO2284&lt;2,"1.5～1.9","2.0以上"))))))</f>
        <v/>
      </c>
      <c r="AQ2284" s="8" t="str">
        <f aca="false">IF(A2284="","",IF(ISNUMBER(SEARCH("2歳",Z2284)),"2歳戦",IF(ISNUMBER(SEARCH("3歳未勝利",Z2284)),"3歳未勝利",IF(ISNUMBER(SEARCH("未勝利",Z2284)),"その他未勝利",IF(ISNUMBER(SEARCH("G1",Z2284)),"G1",IF(ISNUMBER(SEARCH("G2",Z2284)),"G2",IF(ISNUMBER(SEARCH("G3",Z2284)),"G3",IF(ISNUMBER(SEARCH("古馬条件",Z2284)),"古馬条件戦",IF(ISNUMBER(SEARCH("重賞",Z2284)),"重賞","分類不能")))))))))</f>
        <v/>
      </c>
    </row>
    <row r="2285" customFormat="false" ht="15.75" hidden="false" customHeight="false" outlineLevel="0" collapsed="false">
      <c r="AO2285" s="8" t="str">
        <f aca="false">IF(A2285="","",IF(COUNTIFS(全馬データ!$A$2:$A$50000,A2285,全馬データ!$B$2:$B$50000,B2285,全馬データ!$C$2:$C$50000,C2285,全馬データ!$D$2:$D$50000,E2285,全馬データ!$K$2:$K$50000,"&lt;&gt;")=0,"",SUMIFS(全馬データ!$K$2:$K$50000,全馬データ!$A$2:$A$50000,A2285,全馬データ!$B$2:$B$50000,B2285,全馬データ!$C$2:$C$50000,C2285,全馬データ!$D$2:$D$50000,E2285)))</f>
        <v/>
      </c>
      <c r="AP2285" s="8" t="str">
        <f aca="false">IF(A2285="","",IF(AO2285="","欠損",IF(AO2285&lt;=1.1,"1.0～1.1",IF(AO2285&lt;1.3,"1.2",IF(AO2285&lt;1.5,"1.3～1.4",IF(AO2285&lt;2,"1.5～1.9","2.0以上"))))))</f>
        <v/>
      </c>
      <c r="AQ2285" s="8" t="str">
        <f aca="false">IF(A2285="","",IF(ISNUMBER(SEARCH("2歳",Z2285)),"2歳戦",IF(ISNUMBER(SEARCH("3歳未勝利",Z2285)),"3歳未勝利",IF(ISNUMBER(SEARCH("未勝利",Z2285)),"その他未勝利",IF(ISNUMBER(SEARCH("G1",Z2285)),"G1",IF(ISNUMBER(SEARCH("G2",Z2285)),"G2",IF(ISNUMBER(SEARCH("G3",Z2285)),"G3",IF(ISNUMBER(SEARCH("古馬条件",Z2285)),"古馬条件戦",IF(ISNUMBER(SEARCH("重賞",Z2285)),"重賞","分類不能")))))))))</f>
        <v/>
      </c>
    </row>
    <row r="2286" customFormat="false" ht="15.75" hidden="false" customHeight="false" outlineLevel="0" collapsed="false">
      <c r="AO2286" s="8" t="str">
        <f aca="false">IF(A2286="","",IF(COUNTIFS(全馬データ!$A$2:$A$50000,A2286,全馬データ!$B$2:$B$50000,B2286,全馬データ!$C$2:$C$50000,C2286,全馬データ!$D$2:$D$50000,E2286,全馬データ!$K$2:$K$50000,"&lt;&gt;")=0,"",SUMIFS(全馬データ!$K$2:$K$50000,全馬データ!$A$2:$A$50000,A2286,全馬データ!$B$2:$B$50000,B2286,全馬データ!$C$2:$C$50000,C2286,全馬データ!$D$2:$D$50000,E2286)))</f>
        <v/>
      </c>
      <c r="AP2286" s="8" t="str">
        <f aca="false">IF(A2286="","",IF(AO2286="","欠損",IF(AO2286&lt;=1.1,"1.0～1.1",IF(AO2286&lt;1.3,"1.2",IF(AO2286&lt;1.5,"1.3～1.4",IF(AO2286&lt;2,"1.5～1.9","2.0以上"))))))</f>
        <v/>
      </c>
      <c r="AQ2286" s="8" t="str">
        <f aca="false">IF(A2286="","",IF(ISNUMBER(SEARCH("2歳",Z2286)),"2歳戦",IF(ISNUMBER(SEARCH("3歳未勝利",Z2286)),"3歳未勝利",IF(ISNUMBER(SEARCH("未勝利",Z2286)),"その他未勝利",IF(ISNUMBER(SEARCH("G1",Z2286)),"G1",IF(ISNUMBER(SEARCH("G2",Z2286)),"G2",IF(ISNUMBER(SEARCH("G3",Z2286)),"G3",IF(ISNUMBER(SEARCH("古馬条件",Z2286)),"古馬条件戦",IF(ISNUMBER(SEARCH("重賞",Z2286)),"重賞","分類不能")))))))))</f>
        <v/>
      </c>
    </row>
    <row r="2287" customFormat="false" ht="15.75" hidden="false" customHeight="false" outlineLevel="0" collapsed="false">
      <c r="AO2287" s="8" t="str">
        <f aca="false">IF(A2287="","",IF(COUNTIFS(全馬データ!$A$2:$A$50000,A2287,全馬データ!$B$2:$B$50000,B2287,全馬データ!$C$2:$C$50000,C2287,全馬データ!$D$2:$D$50000,E2287,全馬データ!$K$2:$K$50000,"&lt;&gt;")=0,"",SUMIFS(全馬データ!$K$2:$K$50000,全馬データ!$A$2:$A$50000,A2287,全馬データ!$B$2:$B$50000,B2287,全馬データ!$C$2:$C$50000,C2287,全馬データ!$D$2:$D$50000,E2287)))</f>
        <v/>
      </c>
      <c r="AP2287" s="8" t="str">
        <f aca="false">IF(A2287="","",IF(AO2287="","欠損",IF(AO2287&lt;=1.1,"1.0～1.1",IF(AO2287&lt;1.3,"1.2",IF(AO2287&lt;1.5,"1.3～1.4",IF(AO2287&lt;2,"1.5～1.9","2.0以上"))))))</f>
        <v/>
      </c>
      <c r="AQ2287" s="8" t="str">
        <f aca="false">IF(A2287="","",IF(ISNUMBER(SEARCH("2歳",Z2287)),"2歳戦",IF(ISNUMBER(SEARCH("3歳未勝利",Z2287)),"3歳未勝利",IF(ISNUMBER(SEARCH("未勝利",Z2287)),"その他未勝利",IF(ISNUMBER(SEARCH("G1",Z2287)),"G1",IF(ISNUMBER(SEARCH("G2",Z2287)),"G2",IF(ISNUMBER(SEARCH("G3",Z2287)),"G3",IF(ISNUMBER(SEARCH("古馬条件",Z2287)),"古馬条件戦",IF(ISNUMBER(SEARCH("重賞",Z2287)),"重賞","分類不能")))))))))</f>
        <v/>
      </c>
    </row>
    <row r="2288" customFormat="false" ht="15.75" hidden="false" customHeight="false" outlineLevel="0" collapsed="false">
      <c r="AO2288" s="8" t="str">
        <f aca="false">IF(A2288="","",IF(COUNTIFS(全馬データ!$A$2:$A$50000,A2288,全馬データ!$B$2:$B$50000,B2288,全馬データ!$C$2:$C$50000,C2288,全馬データ!$D$2:$D$50000,E2288,全馬データ!$K$2:$K$50000,"&lt;&gt;")=0,"",SUMIFS(全馬データ!$K$2:$K$50000,全馬データ!$A$2:$A$50000,A2288,全馬データ!$B$2:$B$50000,B2288,全馬データ!$C$2:$C$50000,C2288,全馬データ!$D$2:$D$50000,E2288)))</f>
        <v/>
      </c>
      <c r="AP2288" s="8" t="str">
        <f aca="false">IF(A2288="","",IF(AO2288="","欠損",IF(AO2288&lt;=1.1,"1.0～1.1",IF(AO2288&lt;1.3,"1.2",IF(AO2288&lt;1.5,"1.3～1.4",IF(AO2288&lt;2,"1.5～1.9","2.0以上"))))))</f>
        <v/>
      </c>
      <c r="AQ2288" s="8" t="str">
        <f aca="false">IF(A2288="","",IF(ISNUMBER(SEARCH("2歳",Z2288)),"2歳戦",IF(ISNUMBER(SEARCH("3歳未勝利",Z2288)),"3歳未勝利",IF(ISNUMBER(SEARCH("未勝利",Z2288)),"その他未勝利",IF(ISNUMBER(SEARCH("G1",Z2288)),"G1",IF(ISNUMBER(SEARCH("G2",Z2288)),"G2",IF(ISNUMBER(SEARCH("G3",Z2288)),"G3",IF(ISNUMBER(SEARCH("古馬条件",Z2288)),"古馬条件戦",IF(ISNUMBER(SEARCH("重賞",Z2288)),"重賞","分類不能")))))))))</f>
        <v/>
      </c>
    </row>
    <row r="2289" customFormat="false" ht="15.75" hidden="false" customHeight="false" outlineLevel="0" collapsed="false">
      <c r="AO2289" s="8" t="str">
        <f aca="false">IF(A2289="","",IF(COUNTIFS(全馬データ!$A$2:$A$50000,A2289,全馬データ!$B$2:$B$50000,B2289,全馬データ!$C$2:$C$50000,C2289,全馬データ!$D$2:$D$50000,E2289,全馬データ!$K$2:$K$50000,"&lt;&gt;")=0,"",SUMIFS(全馬データ!$K$2:$K$50000,全馬データ!$A$2:$A$50000,A2289,全馬データ!$B$2:$B$50000,B2289,全馬データ!$C$2:$C$50000,C2289,全馬データ!$D$2:$D$50000,E2289)))</f>
        <v/>
      </c>
      <c r="AP2289" s="8" t="str">
        <f aca="false">IF(A2289="","",IF(AO2289="","欠損",IF(AO2289&lt;=1.1,"1.0～1.1",IF(AO2289&lt;1.3,"1.2",IF(AO2289&lt;1.5,"1.3～1.4",IF(AO2289&lt;2,"1.5～1.9","2.0以上"))))))</f>
        <v/>
      </c>
      <c r="AQ2289" s="8" t="str">
        <f aca="false">IF(A2289="","",IF(ISNUMBER(SEARCH("2歳",Z2289)),"2歳戦",IF(ISNUMBER(SEARCH("3歳未勝利",Z2289)),"3歳未勝利",IF(ISNUMBER(SEARCH("未勝利",Z2289)),"その他未勝利",IF(ISNUMBER(SEARCH("G1",Z2289)),"G1",IF(ISNUMBER(SEARCH("G2",Z2289)),"G2",IF(ISNUMBER(SEARCH("G3",Z2289)),"G3",IF(ISNUMBER(SEARCH("古馬条件",Z2289)),"古馬条件戦",IF(ISNUMBER(SEARCH("重賞",Z2289)),"重賞","分類不能")))))))))</f>
        <v/>
      </c>
    </row>
    <row r="2290" customFormat="false" ht="15.75" hidden="false" customHeight="false" outlineLevel="0" collapsed="false">
      <c r="AO2290" s="8" t="str">
        <f aca="false">IF(A2290="","",IF(COUNTIFS(全馬データ!$A$2:$A$50000,A2290,全馬データ!$B$2:$B$50000,B2290,全馬データ!$C$2:$C$50000,C2290,全馬データ!$D$2:$D$50000,E2290,全馬データ!$K$2:$K$50000,"&lt;&gt;")=0,"",SUMIFS(全馬データ!$K$2:$K$50000,全馬データ!$A$2:$A$50000,A2290,全馬データ!$B$2:$B$50000,B2290,全馬データ!$C$2:$C$50000,C2290,全馬データ!$D$2:$D$50000,E2290)))</f>
        <v/>
      </c>
      <c r="AP2290" s="8" t="str">
        <f aca="false">IF(A2290="","",IF(AO2290="","欠損",IF(AO2290&lt;=1.1,"1.0～1.1",IF(AO2290&lt;1.3,"1.2",IF(AO2290&lt;1.5,"1.3～1.4",IF(AO2290&lt;2,"1.5～1.9","2.0以上"))))))</f>
        <v/>
      </c>
      <c r="AQ2290" s="8" t="str">
        <f aca="false">IF(A2290="","",IF(ISNUMBER(SEARCH("2歳",Z2290)),"2歳戦",IF(ISNUMBER(SEARCH("3歳未勝利",Z2290)),"3歳未勝利",IF(ISNUMBER(SEARCH("未勝利",Z2290)),"その他未勝利",IF(ISNUMBER(SEARCH("G1",Z2290)),"G1",IF(ISNUMBER(SEARCH("G2",Z2290)),"G2",IF(ISNUMBER(SEARCH("G3",Z2290)),"G3",IF(ISNUMBER(SEARCH("古馬条件",Z2290)),"古馬条件戦",IF(ISNUMBER(SEARCH("重賞",Z2290)),"重賞","分類不能")))))))))</f>
        <v/>
      </c>
    </row>
    <row r="2291" customFormat="false" ht="15.75" hidden="false" customHeight="false" outlineLevel="0" collapsed="false">
      <c r="AO2291" s="8" t="str">
        <f aca="false">IF(A2291="","",IF(COUNTIFS(全馬データ!$A$2:$A$50000,A2291,全馬データ!$B$2:$B$50000,B2291,全馬データ!$C$2:$C$50000,C2291,全馬データ!$D$2:$D$50000,E2291,全馬データ!$K$2:$K$50000,"&lt;&gt;")=0,"",SUMIFS(全馬データ!$K$2:$K$50000,全馬データ!$A$2:$A$50000,A2291,全馬データ!$B$2:$B$50000,B2291,全馬データ!$C$2:$C$50000,C2291,全馬データ!$D$2:$D$50000,E2291)))</f>
        <v/>
      </c>
      <c r="AP2291" s="8" t="str">
        <f aca="false">IF(A2291="","",IF(AO2291="","欠損",IF(AO2291&lt;=1.1,"1.0～1.1",IF(AO2291&lt;1.3,"1.2",IF(AO2291&lt;1.5,"1.3～1.4",IF(AO2291&lt;2,"1.5～1.9","2.0以上"))))))</f>
        <v/>
      </c>
      <c r="AQ2291" s="8" t="str">
        <f aca="false">IF(A2291="","",IF(ISNUMBER(SEARCH("2歳",Z2291)),"2歳戦",IF(ISNUMBER(SEARCH("3歳未勝利",Z2291)),"3歳未勝利",IF(ISNUMBER(SEARCH("未勝利",Z2291)),"その他未勝利",IF(ISNUMBER(SEARCH("G1",Z2291)),"G1",IF(ISNUMBER(SEARCH("G2",Z2291)),"G2",IF(ISNUMBER(SEARCH("G3",Z2291)),"G3",IF(ISNUMBER(SEARCH("古馬条件",Z2291)),"古馬条件戦",IF(ISNUMBER(SEARCH("重賞",Z2291)),"重賞","分類不能")))))))))</f>
        <v/>
      </c>
    </row>
    <row r="2292" customFormat="false" ht="15.75" hidden="false" customHeight="false" outlineLevel="0" collapsed="false">
      <c r="AO2292" s="8" t="str">
        <f aca="false">IF(A2292="","",IF(COUNTIFS(全馬データ!$A$2:$A$50000,A2292,全馬データ!$B$2:$B$50000,B2292,全馬データ!$C$2:$C$50000,C2292,全馬データ!$D$2:$D$50000,E2292,全馬データ!$K$2:$K$50000,"&lt;&gt;")=0,"",SUMIFS(全馬データ!$K$2:$K$50000,全馬データ!$A$2:$A$50000,A2292,全馬データ!$B$2:$B$50000,B2292,全馬データ!$C$2:$C$50000,C2292,全馬データ!$D$2:$D$50000,E2292)))</f>
        <v/>
      </c>
      <c r="AP2292" s="8" t="str">
        <f aca="false">IF(A2292="","",IF(AO2292="","欠損",IF(AO2292&lt;=1.1,"1.0～1.1",IF(AO2292&lt;1.3,"1.2",IF(AO2292&lt;1.5,"1.3～1.4",IF(AO2292&lt;2,"1.5～1.9","2.0以上"))))))</f>
        <v/>
      </c>
      <c r="AQ2292" s="8" t="str">
        <f aca="false">IF(A2292="","",IF(ISNUMBER(SEARCH("2歳",Z2292)),"2歳戦",IF(ISNUMBER(SEARCH("3歳未勝利",Z2292)),"3歳未勝利",IF(ISNUMBER(SEARCH("未勝利",Z2292)),"その他未勝利",IF(ISNUMBER(SEARCH("G1",Z2292)),"G1",IF(ISNUMBER(SEARCH("G2",Z2292)),"G2",IF(ISNUMBER(SEARCH("G3",Z2292)),"G3",IF(ISNUMBER(SEARCH("古馬条件",Z2292)),"古馬条件戦",IF(ISNUMBER(SEARCH("重賞",Z2292)),"重賞","分類不能")))))))))</f>
        <v/>
      </c>
    </row>
    <row r="2293" customFormat="false" ht="15.75" hidden="false" customHeight="false" outlineLevel="0" collapsed="false">
      <c r="AO2293" s="8" t="str">
        <f aca="false">IF(A2293="","",IF(COUNTIFS(全馬データ!$A$2:$A$50000,A2293,全馬データ!$B$2:$B$50000,B2293,全馬データ!$C$2:$C$50000,C2293,全馬データ!$D$2:$D$50000,E2293,全馬データ!$K$2:$K$50000,"&lt;&gt;")=0,"",SUMIFS(全馬データ!$K$2:$K$50000,全馬データ!$A$2:$A$50000,A2293,全馬データ!$B$2:$B$50000,B2293,全馬データ!$C$2:$C$50000,C2293,全馬データ!$D$2:$D$50000,E2293)))</f>
        <v/>
      </c>
      <c r="AP2293" s="8" t="str">
        <f aca="false">IF(A2293="","",IF(AO2293="","欠損",IF(AO2293&lt;=1.1,"1.0～1.1",IF(AO2293&lt;1.3,"1.2",IF(AO2293&lt;1.5,"1.3～1.4",IF(AO2293&lt;2,"1.5～1.9","2.0以上"))))))</f>
        <v/>
      </c>
      <c r="AQ2293" s="8" t="str">
        <f aca="false">IF(A2293="","",IF(ISNUMBER(SEARCH("2歳",Z2293)),"2歳戦",IF(ISNUMBER(SEARCH("3歳未勝利",Z2293)),"3歳未勝利",IF(ISNUMBER(SEARCH("未勝利",Z2293)),"その他未勝利",IF(ISNUMBER(SEARCH("G1",Z2293)),"G1",IF(ISNUMBER(SEARCH("G2",Z2293)),"G2",IF(ISNUMBER(SEARCH("G3",Z2293)),"G3",IF(ISNUMBER(SEARCH("古馬条件",Z2293)),"古馬条件戦",IF(ISNUMBER(SEARCH("重賞",Z2293)),"重賞","分類不能")))))))))</f>
        <v/>
      </c>
    </row>
    <row r="2294" customFormat="false" ht="15.75" hidden="false" customHeight="false" outlineLevel="0" collapsed="false">
      <c r="AO2294" s="8" t="str">
        <f aca="false">IF(A2294="","",IF(COUNTIFS(全馬データ!$A$2:$A$50000,A2294,全馬データ!$B$2:$B$50000,B2294,全馬データ!$C$2:$C$50000,C2294,全馬データ!$D$2:$D$50000,E2294,全馬データ!$K$2:$K$50000,"&lt;&gt;")=0,"",SUMIFS(全馬データ!$K$2:$K$50000,全馬データ!$A$2:$A$50000,A2294,全馬データ!$B$2:$B$50000,B2294,全馬データ!$C$2:$C$50000,C2294,全馬データ!$D$2:$D$50000,E2294)))</f>
        <v/>
      </c>
      <c r="AP2294" s="8" t="str">
        <f aca="false">IF(A2294="","",IF(AO2294="","欠損",IF(AO2294&lt;=1.1,"1.0～1.1",IF(AO2294&lt;1.3,"1.2",IF(AO2294&lt;1.5,"1.3～1.4",IF(AO2294&lt;2,"1.5～1.9","2.0以上"))))))</f>
        <v/>
      </c>
      <c r="AQ2294" s="8" t="str">
        <f aca="false">IF(A2294="","",IF(ISNUMBER(SEARCH("2歳",Z2294)),"2歳戦",IF(ISNUMBER(SEARCH("3歳未勝利",Z2294)),"3歳未勝利",IF(ISNUMBER(SEARCH("未勝利",Z2294)),"その他未勝利",IF(ISNUMBER(SEARCH("G1",Z2294)),"G1",IF(ISNUMBER(SEARCH("G2",Z2294)),"G2",IF(ISNUMBER(SEARCH("G3",Z2294)),"G3",IF(ISNUMBER(SEARCH("古馬条件",Z2294)),"古馬条件戦",IF(ISNUMBER(SEARCH("重賞",Z2294)),"重賞","分類不能")))))))))</f>
        <v/>
      </c>
    </row>
    <row r="2295" customFormat="false" ht="15.75" hidden="false" customHeight="false" outlineLevel="0" collapsed="false">
      <c r="AO2295" s="8" t="str">
        <f aca="false">IF(A2295="","",IF(COUNTIFS(全馬データ!$A$2:$A$50000,A2295,全馬データ!$B$2:$B$50000,B2295,全馬データ!$C$2:$C$50000,C2295,全馬データ!$D$2:$D$50000,E2295,全馬データ!$K$2:$K$50000,"&lt;&gt;")=0,"",SUMIFS(全馬データ!$K$2:$K$50000,全馬データ!$A$2:$A$50000,A2295,全馬データ!$B$2:$B$50000,B2295,全馬データ!$C$2:$C$50000,C2295,全馬データ!$D$2:$D$50000,E2295)))</f>
        <v/>
      </c>
      <c r="AP2295" s="8" t="str">
        <f aca="false">IF(A2295="","",IF(AO2295="","欠損",IF(AO2295&lt;=1.1,"1.0～1.1",IF(AO2295&lt;1.3,"1.2",IF(AO2295&lt;1.5,"1.3～1.4",IF(AO2295&lt;2,"1.5～1.9","2.0以上"))))))</f>
        <v/>
      </c>
      <c r="AQ2295" s="8" t="str">
        <f aca="false">IF(A2295="","",IF(ISNUMBER(SEARCH("2歳",Z2295)),"2歳戦",IF(ISNUMBER(SEARCH("3歳未勝利",Z2295)),"3歳未勝利",IF(ISNUMBER(SEARCH("未勝利",Z2295)),"その他未勝利",IF(ISNUMBER(SEARCH("G1",Z2295)),"G1",IF(ISNUMBER(SEARCH("G2",Z2295)),"G2",IF(ISNUMBER(SEARCH("G3",Z2295)),"G3",IF(ISNUMBER(SEARCH("古馬条件",Z2295)),"古馬条件戦",IF(ISNUMBER(SEARCH("重賞",Z2295)),"重賞","分類不能")))))))))</f>
        <v/>
      </c>
    </row>
    <row r="2296" customFormat="false" ht="15.75" hidden="false" customHeight="false" outlineLevel="0" collapsed="false">
      <c r="AO2296" s="8" t="str">
        <f aca="false">IF(A2296="","",IF(COUNTIFS(全馬データ!$A$2:$A$50000,A2296,全馬データ!$B$2:$B$50000,B2296,全馬データ!$C$2:$C$50000,C2296,全馬データ!$D$2:$D$50000,E2296,全馬データ!$K$2:$K$50000,"&lt;&gt;")=0,"",SUMIFS(全馬データ!$K$2:$K$50000,全馬データ!$A$2:$A$50000,A2296,全馬データ!$B$2:$B$50000,B2296,全馬データ!$C$2:$C$50000,C2296,全馬データ!$D$2:$D$50000,E2296)))</f>
        <v/>
      </c>
      <c r="AP2296" s="8" t="str">
        <f aca="false">IF(A2296="","",IF(AO2296="","欠損",IF(AO2296&lt;=1.1,"1.0～1.1",IF(AO2296&lt;1.3,"1.2",IF(AO2296&lt;1.5,"1.3～1.4",IF(AO2296&lt;2,"1.5～1.9","2.0以上"))))))</f>
        <v/>
      </c>
      <c r="AQ2296" s="8" t="str">
        <f aca="false">IF(A2296="","",IF(ISNUMBER(SEARCH("2歳",Z2296)),"2歳戦",IF(ISNUMBER(SEARCH("3歳未勝利",Z2296)),"3歳未勝利",IF(ISNUMBER(SEARCH("未勝利",Z2296)),"その他未勝利",IF(ISNUMBER(SEARCH("G1",Z2296)),"G1",IF(ISNUMBER(SEARCH("G2",Z2296)),"G2",IF(ISNUMBER(SEARCH("G3",Z2296)),"G3",IF(ISNUMBER(SEARCH("古馬条件",Z2296)),"古馬条件戦",IF(ISNUMBER(SEARCH("重賞",Z2296)),"重賞","分類不能")))))))))</f>
        <v/>
      </c>
    </row>
    <row r="2297" customFormat="false" ht="15.75" hidden="false" customHeight="false" outlineLevel="0" collapsed="false">
      <c r="AO2297" s="8" t="str">
        <f aca="false">IF(A2297="","",IF(COUNTIFS(全馬データ!$A$2:$A$50000,A2297,全馬データ!$B$2:$B$50000,B2297,全馬データ!$C$2:$C$50000,C2297,全馬データ!$D$2:$D$50000,E2297,全馬データ!$K$2:$K$50000,"&lt;&gt;")=0,"",SUMIFS(全馬データ!$K$2:$K$50000,全馬データ!$A$2:$A$50000,A2297,全馬データ!$B$2:$B$50000,B2297,全馬データ!$C$2:$C$50000,C2297,全馬データ!$D$2:$D$50000,E2297)))</f>
        <v/>
      </c>
      <c r="AP2297" s="8" t="str">
        <f aca="false">IF(A2297="","",IF(AO2297="","欠損",IF(AO2297&lt;=1.1,"1.0～1.1",IF(AO2297&lt;1.3,"1.2",IF(AO2297&lt;1.5,"1.3～1.4",IF(AO2297&lt;2,"1.5～1.9","2.0以上"))))))</f>
        <v/>
      </c>
      <c r="AQ2297" s="8" t="str">
        <f aca="false">IF(A2297="","",IF(ISNUMBER(SEARCH("2歳",Z2297)),"2歳戦",IF(ISNUMBER(SEARCH("3歳未勝利",Z2297)),"3歳未勝利",IF(ISNUMBER(SEARCH("未勝利",Z2297)),"その他未勝利",IF(ISNUMBER(SEARCH("G1",Z2297)),"G1",IF(ISNUMBER(SEARCH("G2",Z2297)),"G2",IF(ISNUMBER(SEARCH("G3",Z2297)),"G3",IF(ISNUMBER(SEARCH("古馬条件",Z2297)),"古馬条件戦",IF(ISNUMBER(SEARCH("重賞",Z2297)),"重賞","分類不能")))))))))</f>
        <v/>
      </c>
    </row>
    <row r="2298" customFormat="false" ht="15.75" hidden="false" customHeight="false" outlineLevel="0" collapsed="false">
      <c r="AO2298" s="8" t="str">
        <f aca="false">IF(A2298="","",IF(COUNTIFS(全馬データ!$A$2:$A$50000,A2298,全馬データ!$B$2:$B$50000,B2298,全馬データ!$C$2:$C$50000,C2298,全馬データ!$D$2:$D$50000,E2298,全馬データ!$K$2:$K$50000,"&lt;&gt;")=0,"",SUMIFS(全馬データ!$K$2:$K$50000,全馬データ!$A$2:$A$50000,A2298,全馬データ!$B$2:$B$50000,B2298,全馬データ!$C$2:$C$50000,C2298,全馬データ!$D$2:$D$50000,E2298)))</f>
        <v/>
      </c>
      <c r="AP2298" s="8" t="str">
        <f aca="false">IF(A2298="","",IF(AO2298="","欠損",IF(AO2298&lt;=1.1,"1.0～1.1",IF(AO2298&lt;1.3,"1.2",IF(AO2298&lt;1.5,"1.3～1.4",IF(AO2298&lt;2,"1.5～1.9","2.0以上"))))))</f>
        <v/>
      </c>
      <c r="AQ2298" s="8" t="str">
        <f aca="false">IF(A2298="","",IF(ISNUMBER(SEARCH("2歳",Z2298)),"2歳戦",IF(ISNUMBER(SEARCH("3歳未勝利",Z2298)),"3歳未勝利",IF(ISNUMBER(SEARCH("未勝利",Z2298)),"その他未勝利",IF(ISNUMBER(SEARCH("G1",Z2298)),"G1",IF(ISNUMBER(SEARCH("G2",Z2298)),"G2",IF(ISNUMBER(SEARCH("G3",Z2298)),"G3",IF(ISNUMBER(SEARCH("古馬条件",Z2298)),"古馬条件戦",IF(ISNUMBER(SEARCH("重賞",Z2298)),"重賞","分類不能")))))))))</f>
        <v/>
      </c>
    </row>
    <row r="2299" customFormat="false" ht="15.75" hidden="false" customHeight="false" outlineLevel="0" collapsed="false">
      <c r="AO2299" s="8" t="str">
        <f aca="false">IF(A2299="","",IF(COUNTIFS(全馬データ!$A$2:$A$50000,A2299,全馬データ!$B$2:$B$50000,B2299,全馬データ!$C$2:$C$50000,C2299,全馬データ!$D$2:$D$50000,E2299,全馬データ!$K$2:$K$50000,"&lt;&gt;")=0,"",SUMIFS(全馬データ!$K$2:$K$50000,全馬データ!$A$2:$A$50000,A2299,全馬データ!$B$2:$B$50000,B2299,全馬データ!$C$2:$C$50000,C2299,全馬データ!$D$2:$D$50000,E2299)))</f>
        <v/>
      </c>
      <c r="AP2299" s="8" t="str">
        <f aca="false">IF(A2299="","",IF(AO2299="","欠損",IF(AO2299&lt;=1.1,"1.0～1.1",IF(AO2299&lt;1.3,"1.2",IF(AO2299&lt;1.5,"1.3～1.4",IF(AO2299&lt;2,"1.5～1.9","2.0以上"))))))</f>
        <v/>
      </c>
      <c r="AQ2299" s="8" t="str">
        <f aca="false">IF(A2299="","",IF(ISNUMBER(SEARCH("2歳",Z2299)),"2歳戦",IF(ISNUMBER(SEARCH("3歳未勝利",Z2299)),"3歳未勝利",IF(ISNUMBER(SEARCH("未勝利",Z2299)),"その他未勝利",IF(ISNUMBER(SEARCH("G1",Z2299)),"G1",IF(ISNUMBER(SEARCH("G2",Z2299)),"G2",IF(ISNUMBER(SEARCH("G3",Z2299)),"G3",IF(ISNUMBER(SEARCH("古馬条件",Z2299)),"古馬条件戦",IF(ISNUMBER(SEARCH("重賞",Z2299)),"重賞","分類不能")))))))))</f>
        <v/>
      </c>
    </row>
    <row r="2300" customFormat="false" ht="15.75" hidden="false" customHeight="false" outlineLevel="0" collapsed="false">
      <c r="AO2300" s="8" t="str">
        <f aca="false">IF(A2300="","",IF(COUNTIFS(全馬データ!$A$2:$A$50000,A2300,全馬データ!$B$2:$B$50000,B2300,全馬データ!$C$2:$C$50000,C2300,全馬データ!$D$2:$D$50000,E2300,全馬データ!$K$2:$K$50000,"&lt;&gt;")=0,"",SUMIFS(全馬データ!$K$2:$K$50000,全馬データ!$A$2:$A$50000,A2300,全馬データ!$B$2:$B$50000,B2300,全馬データ!$C$2:$C$50000,C2300,全馬データ!$D$2:$D$50000,E2300)))</f>
        <v/>
      </c>
      <c r="AP2300" s="8" t="str">
        <f aca="false">IF(A2300="","",IF(AO2300="","欠損",IF(AO2300&lt;=1.1,"1.0～1.1",IF(AO2300&lt;1.3,"1.2",IF(AO2300&lt;1.5,"1.3～1.4",IF(AO2300&lt;2,"1.5～1.9","2.0以上"))))))</f>
        <v/>
      </c>
      <c r="AQ2300" s="8" t="str">
        <f aca="false">IF(A2300="","",IF(ISNUMBER(SEARCH("2歳",Z2300)),"2歳戦",IF(ISNUMBER(SEARCH("3歳未勝利",Z2300)),"3歳未勝利",IF(ISNUMBER(SEARCH("未勝利",Z2300)),"その他未勝利",IF(ISNUMBER(SEARCH("G1",Z2300)),"G1",IF(ISNUMBER(SEARCH("G2",Z2300)),"G2",IF(ISNUMBER(SEARCH("G3",Z2300)),"G3",IF(ISNUMBER(SEARCH("古馬条件",Z2300)),"古馬条件戦",IF(ISNUMBER(SEARCH("重賞",Z2300)),"重賞","分類不能")))))))))</f>
        <v/>
      </c>
    </row>
    <row r="2301" customFormat="false" ht="15.75" hidden="false" customHeight="false" outlineLevel="0" collapsed="false">
      <c r="AO2301" s="8" t="str">
        <f aca="false">IF(A2301="","",IF(COUNTIFS(全馬データ!$A$2:$A$50000,A2301,全馬データ!$B$2:$B$50000,B2301,全馬データ!$C$2:$C$50000,C2301,全馬データ!$D$2:$D$50000,E2301,全馬データ!$K$2:$K$50000,"&lt;&gt;")=0,"",SUMIFS(全馬データ!$K$2:$K$50000,全馬データ!$A$2:$A$50000,A2301,全馬データ!$B$2:$B$50000,B2301,全馬データ!$C$2:$C$50000,C2301,全馬データ!$D$2:$D$50000,E2301)))</f>
        <v/>
      </c>
      <c r="AP2301" s="8" t="str">
        <f aca="false">IF(A2301="","",IF(AO2301="","欠損",IF(AO2301&lt;=1.1,"1.0～1.1",IF(AO2301&lt;1.3,"1.2",IF(AO2301&lt;1.5,"1.3～1.4",IF(AO2301&lt;2,"1.5～1.9","2.0以上"))))))</f>
        <v/>
      </c>
      <c r="AQ2301" s="8" t="str">
        <f aca="false">IF(A2301="","",IF(ISNUMBER(SEARCH("2歳",Z2301)),"2歳戦",IF(ISNUMBER(SEARCH("3歳未勝利",Z2301)),"3歳未勝利",IF(ISNUMBER(SEARCH("未勝利",Z2301)),"その他未勝利",IF(ISNUMBER(SEARCH("G1",Z2301)),"G1",IF(ISNUMBER(SEARCH("G2",Z2301)),"G2",IF(ISNUMBER(SEARCH("G3",Z2301)),"G3",IF(ISNUMBER(SEARCH("古馬条件",Z2301)),"古馬条件戦",IF(ISNUMBER(SEARCH("重賞",Z2301)),"重賞","分類不能")))))))))</f>
        <v/>
      </c>
    </row>
    <row r="2302" customFormat="false" ht="15.75" hidden="false" customHeight="false" outlineLevel="0" collapsed="false">
      <c r="AO2302" s="8" t="str">
        <f aca="false">IF(A2302="","",IF(COUNTIFS(全馬データ!$A$2:$A$50000,A2302,全馬データ!$B$2:$B$50000,B2302,全馬データ!$C$2:$C$50000,C2302,全馬データ!$D$2:$D$50000,E2302,全馬データ!$K$2:$K$50000,"&lt;&gt;")=0,"",SUMIFS(全馬データ!$K$2:$K$50000,全馬データ!$A$2:$A$50000,A2302,全馬データ!$B$2:$B$50000,B2302,全馬データ!$C$2:$C$50000,C2302,全馬データ!$D$2:$D$50000,E2302)))</f>
        <v/>
      </c>
      <c r="AP2302" s="8" t="str">
        <f aca="false">IF(A2302="","",IF(AO2302="","欠損",IF(AO2302&lt;=1.1,"1.0～1.1",IF(AO2302&lt;1.3,"1.2",IF(AO2302&lt;1.5,"1.3～1.4",IF(AO2302&lt;2,"1.5～1.9","2.0以上"))))))</f>
        <v/>
      </c>
      <c r="AQ2302" s="8" t="str">
        <f aca="false">IF(A2302="","",IF(ISNUMBER(SEARCH("2歳",Z2302)),"2歳戦",IF(ISNUMBER(SEARCH("3歳未勝利",Z2302)),"3歳未勝利",IF(ISNUMBER(SEARCH("未勝利",Z2302)),"その他未勝利",IF(ISNUMBER(SEARCH("G1",Z2302)),"G1",IF(ISNUMBER(SEARCH("G2",Z2302)),"G2",IF(ISNUMBER(SEARCH("G3",Z2302)),"G3",IF(ISNUMBER(SEARCH("古馬条件",Z2302)),"古馬条件戦",IF(ISNUMBER(SEARCH("重賞",Z2302)),"重賞","分類不能")))))))))</f>
        <v/>
      </c>
    </row>
    <row r="2303" customFormat="false" ht="15.75" hidden="false" customHeight="false" outlineLevel="0" collapsed="false">
      <c r="AO2303" s="8" t="str">
        <f aca="false">IF(A2303="","",IF(COUNTIFS(全馬データ!$A$2:$A$50000,A2303,全馬データ!$B$2:$B$50000,B2303,全馬データ!$C$2:$C$50000,C2303,全馬データ!$D$2:$D$50000,E2303,全馬データ!$K$2:$K$50000,"&lt;&gt;")=0,"",SUMIFS(全馬データ!$K$2:$K$50000,全馬データ!$A$2:$A$50000,A2303,全馬データ!$B$2:$B$50000,B2303,全馬データ!$C$2:$C$50000,C2303,全馬データ!$D$2:$D$50000,E2303)))</f>
        <v/>
      </c>
      <c r="AP2303" s="8" t="str">
        <f aca="false">IF(A2303="","",IF(AO2303="","欠損",IF(AO2303&lt;=1.1,"1.0～1.1",IF(AO2303&lt;1.3,"1.2",IF(AO2303&lt;1.5,"1.3～1.4",IF(AO2303&lt;2,"1.5～1.9","2.0以上"))))))</f>
        <v/>
      </c>
      <c r="AQ2303" s="8" t="str">
        <f aca="false">IF(A2303="","",IF(ISNUMBER(SEARCH("2歳",Z2303)),"2歳戦",IF(ISNUMBER(SEARCH("3歳未勝利",Z2303)),"3歳未勝利",IF(ISNUMBER(SEARCH("未勝利",Z2303)),"その他未勝利",IF(ISNUMBER(SEARCH("G1",Z2303)),"G1",IF(ISNUMBER(SEARCH("G2",Z2303)),"G2",IF(ISNUMBER(SEARCH("G3",Z2303)),"G3",IF(ISNUMBER(SEARCH("古馬条件",Z2303)),"古馬条件戦",IF(ISNUMBER(SEARCH("重賞",Z2303)),"重賞","分類不能")))))))))</f>
        <v/>
      </c>
    </row>
    <row r="2304" customFormat="false" ht="15.75" hidden="false" customHeight="false" outlineLevel="0" collapsed="false">
      <c r="AO2304" s="8" t="str">
        <f aca="false">IF(A2304="","",IF(COUNTIFS(全馬データ!$A$2:$A$50000,A2304,全馬データ!$B$2:$B$50000,B2304,全馬データ!$C$2:$C$50000,C2304,全馬データ!$D$2:$D$50000,E2304,全馬データ!$K$2:$K$50000,"&lt;&gt;")=0,"",SUMIFS(全馬データ!$K$2:$K$50000,全馬データ!$A$2:$A$50000,A2304,全馬データ!$B$2:$B$50000,B2304,全馬データ!$C$2:$C$50000,C2304,全馬データ!$D$2:$D$50000,E2304)))</f>
        <v/>
      </c>
      <c r="AP2304" s="8" t="str">
        <f aca="false">IF(A2304="","",IF(AO2304="","欠損",IF(AO2304&lt;=1.1,"1.0～1.1",IF(AO2304&lt;1.3,"1.2",IF(AO2304&lt;1.5,"1.3～1.4",IF(AO2304&lt;2,"1.5～1.9","2.0以上"))))))</f>
        <v/>
      </c>
      <c r="AQ2304" s="8" t="str">
        <f aca="false">IF(A2304="","",IF(ISNUMBER(SEARCH("2歳",Z2304)),"2歳戦",IF(ISNUMBER(SEARCH("3歳未勝利",Z2304)),"3歳未勝利",IF(ISNUMBER(SEARCH("未勝利",Z2304)),"その他未勝利",IF(ISNUMBER(SEARCH("G1",Z2304)),"G1",IF(ISNUMBER(SEARCH("G2",Z2304)),"G2",IF(ISNUMBER(SEARCH("G3",Z2304)),"G3",IF(ISNUMBER(SEARCH("古馬条件",Z2304)),"古馬条件戦",IF(ISNUMBER(SEARCH("重賞",Z2304)),"重賞","分類不能")))))))))</f>
        <v/>
      </c>
    </row>
    <row r="2305" customFormat="false" ht="15.75" hidden="false" customHeight="false" outlineLevel="0" collapsed="false">
      <c r="AO2305" s="8" t="str">
        <f aca="false">IF(A2305="","",IF(COUNTIFS(全馬データ!$A$2:$A$50000,A2305,全馬データ!$B$2:$B$50000,B2305,全馬データ!$C$2:$C$50000,C2305,全馬データ!$D$2:$D$50000,E2305,全馬データ!$K$2:$K$50000,"&lt;&gt;")=0,"",SUMIFS(全馬データ!$K$2:$K$50000,全馬データ!$A$2:$A$50000,A2305,全馬データ!$B$2:$B$50000,B2305,全馬データ!$C$2:$C$50000,C2305,全馬データ!$D$2:$D$50000,E2305)))</f>
        <v/>
      </c>
      <c r="AP2305" s="8" t="str">
        <f aca="false">IF(A2305="","",IF(AO2305="","欠損",IF(AO2305&lt;=1.1,"1.0～1.1",IF(AO2305&lt;1.3,"1.2",IF(AO2305&lt;1.5,"1.3～1.4",IF(AO2305&lt;2,"1.5～1.9","2.0以上"))))))</f>
        <v/>
      </c>
      <c r="AQ2305" s="8" t="str">
        <f aca="false">IF(A2305="","",IF(ISNUMBER(SEARCH("2歳",Z2305)),"2歳戦",IF(ISNUMBER(SEARCH("3歳未勝利",Z2305)),"3歳未勝利",IF(ISNUMBER(SEARCH("未勝利",Z2305)),"その他未勝利",IF(ISNUMBER(SEARCH("G1",Z2305)),"G1",IF(ISNUMBER(SEARCH("G2",Z2305)),"G2",IF(ISNUMBER(SEARCH("G3",Z2305)),"G3",IF(ISNUMBER(SEARCH("古馬条件",Z2305)),"古馬条件戦",IF(ISNUMBER(SEARCH("重賞",Z2305)),"重賞","分類不能")))))))))</f>
        <v/>
      </c>
    </row>
    <row r="2306" customFormat="false" ht="15.75" hidden="false" customHeight="false" outlineLevel="0" collapsed="false">
      <c r="AO2306" s="8" t="str">
        <f aca="false">IF(A2306="","",IF(COUNTIFS(全馬データ!$A$2:$A$50000,A2306,全馬データ!$B$2:$B$50000,B2306,全馬データ!$C$2:$C$50000,C2306,全馬データ!$D$2:$D$50000,E2306,全馬データ!$K$2:$K$50000,"&lt;&gt;")=0,"",SUMIFS(全馬データ!$K$2:$K$50000,全馬データ!$A$2:$A$50000,A2306,全馬データ!$B$2:$B$50000,B2306,全馬データ!$C$2:$C$50000,C2306,全馬データ!$D$2:$D$50000,E2306)))</f>
        <v/>
      </c>
      <c r="AP2306" s="8" t="str">
        <f aca="false">IF(A2306="","",IF(AO2306="","欠損",IF(AO2306&lt;=1.1,"1.0～1.1",IF(AO2306&lt;1.3,"1.2",IF(AO2306&lt;1.5,"1.3～1.4",IF(AO2306&lt;2,"1.5～1.9","2.0以上"))))))</f>
        <v/>
      </c>
      <c r="AQ2306" s="8" t="str">
        <f aca="false">IF(A2306="","",IF(ISNUMBER(SEARCH("2歳",Z2306)),"2歳戦",IF(ISNUMBER(SEARCH("3歳未勝利",Z2306)),"3歳未勝利",IF(ISNUMBER(SEARCH("未勝利",Z2306)),"その他未勝利",IF(ISNUMBER(SEARCH("G1",Z2306)),"G1",IF(ISNUMBER(SEARCH("G2",Z2306)),"G2",IF(ISNUMBER(SEARCH("G3",Z2306)),"G3",IF(ISNUMBER(SEARCH("古馬条件",Z2306)),"古馬条件戦",IF(ISNUMBER(SEARCH("重賞",Z2306)),"重賞","分類不能")))))))))</f>
        <v/>
      </c>
    </row>
    <row r="2307" customFormat="false" ht="15.75" hidden="false" customHeight="false" outlineLevel="0" collapsed="false">
      <c r="AO2307" s="8" t="str">
        <f aca="false">IF(A2307="","",IF(COUNTIFS(全馬データ!$A$2:$A$50000,A2307,全馬データ!$B$2:$B$50000,B2307,全馬データ!$C$2:$C$50000,C2307,全馬データ!$D$2:$D$50000,E2307,全馬データ!$K$2:$K$50000,"&lt;&gt;")=0,"",SUMIFS(全馬データ!$K$2:$K$50000,全馬データ!$A$2:$A$50000,A2307,全馬データ!$B$2:$B$50000,B2307,全馬データ!$C$2:$C$50000,C2307,全馬データ!$D$2:$D$50000,E2307)))</f>
        <v/>
      </c>
      <c r="AP2307" s="8" t="str">
        <f aca="false">IF(A2307="","",IF(AO2307="","欠損",IF(AO2307&lt;=1.1,"1.0～1.1",IF(AO2307&lt;1.3,"1.2",IF(AO2307&lt;1.5,"1.3～1.4",IF(AO2307&lt;2,"1.5～1.9","2.0以上"))))))</f>
        <v/>
      </c>
      <c r="AQ2307" s="8" t="str">
        <f aca="false">IF(A2307="","",IF(ISNUMBER(SEARCH("2歳",Z2307)),"2歳戦",IF(ISNUMBER(SEARCH("3歳未勝利",Z2307)),"3歳未勝利",IF(ISNUMBER(SEARCH("未勝利",Z2307)),"その他未勝利",IF(ISNUMBER(SEARCH("G1",Z2307)),"G1",IF(ISNUMBER(SEARCH("G2",Z2307)),"G2",IF(ISNUMBER(SEARCH("G3",Z2307)),"G3",IF(ISNUMBER(SEARCH("古馬条件",Z2307)),"古馬条件戦",IF(ISNUMBER(SEARCH("重賞",Z2307)),"重賞","分類不能")))))))))</f>
        <v/>
      </c>
    </row>
    <row r="2308" customFormat="false" ht="15.75" hidden="false" customHeight="false" outlineLevel="0" collapsed="false">
      <c r="AO2308" s="8" t="str">
        <f aca="false">IF(A2308="","",IF(COUNTIFS(全馬データ!$A$2:$A$50000,A2308,全馬データ!$B$2:$B$50000,B2308,全馬データ!$C$2:$C$50000,C2308,全馬データ!$D$2:$D$50000,E2308,全馬データ!$K$2:$K$50000,"&lt;&gt;")=0,"",SUMIFS(全馬データ!$K$2:$K$50000,全馬データ!$A$2:$A$50000,A2308,全馬データ!$B$2:$B$50000,B2308,全馬データ!$C$2:$C$50000,C2308,全馬データ!$D$2:$D$50000,E2308)))</f>
        <v/>
      </c>
      <c r="AP2308" s="8" t="str">
        <f aca="false">IF(A2308="","",IF(AO2308="","欠損",IF(AO2308&lt;=1.1,"1.0～1.1",IF(AO2308&lt;1.3,"1.2",IF(AO2308&lt;1.5,"1.3～1.4",IF(AO2308&lt;2,"1.5～1.9","2.0以上"))))))</f>
        <v/>
      </c>
      <c r="AQ2308" s="8" t="str">
        <f aca="false">IF(A2308="","",IF(ISNUMBER(SEARCH("2歳",Z2308)),"2歳戦",IF(ISNUMBER(SEARCH("3歳未勝利",Z2308)),"3歳未勝利",IF(ISNUMBER(SEARCH("未勝利",Z2308)),"その他未勝利",IF(ISNUMBER(SEARCH("G1",Z2308)),"G1",IF(ISNUMBER(SEARCH("G2",Z2308)),"G2",IF(ISNUMBER(SEARCH("G3",Z2308)),"G3",IF(ISNUMBER(SEARCH("古馬条件",Z2308)),"古馬条件戦",IF(ISNUMBER(SEARCH("重賞",Z2308)),"重賞","分類不能")))))))))</f>
        <v/>
      </c>
    </row>
    <row r="2309" customFormat="false" ht="15.75" hidden="false" customHeight="false" outlineLevel="0" collapsed="false">
      <c r="AO2309" s="8" t="str">
        <f aca="false">IF(A2309="","",IF(COUNTIFS(全馬データ!$A$2:$A$50000,A2309,全馬データ!$B$2:$B$50000,B2309,全馬データ!$C$2:$C$50000,C2309,全馬データ!$D$2:$D$50000,E2309,全馬データ!$K$2:$K$50000,"&lt;&gt;")=0,"",SUMIFS(全馬データ!$K$2:$K$50000,全馬データ!$A$2:$A$50000,A2309,全馬データ!$B$2:$B$50000,B2309,全馬データ!$C$2:$C$50000,C2309,全馬データ!$D$2:$D$50000,E2309)))</f>
        <v/>
      </c>
      <c r="AP2309" s="8" t="str">
        <f aca="false">IF(A2309="","",IF(AO2309="","欠損",IF(AO2309&lt;=1.1,"1.0～1.1",IF(AO2309&lt;1.3,"1.2",IF(AO2309&lt;1.5,"1.3～1.4",IF(AO2309&lt;2,"1.5～1.9","2.0以上"))))))</f>
        <v/>
      </c>
      <c r="AQ2309" s="8" t="str">
        <f aca="false">IF(A2309="","",IF(ISNUMBER(SEARCH("2歳",Z2309)),"2歳戦",IF(ISNUMBER(SEARCH("3歳未勝利",Z2309)),"3歳未勝利",IF(ISNUMBER(SEARCH("未勝利",Z2309)),"その他未勝利",IF(ISNUMBER(SEARCH("G1",Z2309)),"G1",IF(ISNUMBER(SEARCH("G2",Z2309)),"G2",IF(ISNUMBER(SEARCH("G3",Z2309)),"G3",IF(ISNUMBER(SEARCH("古馬条件",Z2309)),"古馬条件戦",IF(ISNUMBER(SEARCH("重賞",Z2309)),"重賞","分類不能")))))))))</f>
        <v/>
      </c>
    </row>
    <row r="2310" customFormat="false" ht="15.75" hidden="false" customHeight="false" outlineLevel="0" collapsed="false">
      <c r="AO2310" s="8" t="str">
        <f aca="false">IF(A2310="","",IF(COUNTIFS(全馬データ!$A$2:$A$50000,A2310,全馬データ!$B$2:$B$50000,B2310,全馬データ!$C$2:$C$50000,C2310,全馬データ!$D$2:$D$50000,E2310,全馬データ!$K$2:$K$50000,"&lt;&gt;")=0,"",SUMIFS(全馬データ!$K$2:$K$50000,全馬データ!$A$2:$A$50000,A2310,全馬データ!$B$2:$B$50000,B2310,全馬データ!$C$2:$C$50000,C2310,全馬データ!$D$2:$D$50000,E2310)))</f>
        <v/>
      </c>
      <c r="AP2310" s="8" t="str">
        <f aca="false">IF(A2310="","",IF(AO2310="","欠損",IF(AO2310&lt;=1.1,"1.0～1.1",IF(AO2310&lt;1.3,"1.2",IF(AO2310&lt;1.5,"1.3～1.4",IF(AO2310&lt;2,"1.5～1.9","2.0以上"))))))</f>
        <v/>
      </c>
      <c r="AQ2310" s="8" t="str">
        <f aca="false">IF(A2310="","",IF(ISNUMBER(SEARCH("2歳",Z2310)),"2歳戦",IF(ISNUMBER(SEARCH("3歳未勝利",Z2310)),"3歳未勝利",IF(ISNUMBER(SEARCH("未勝利",Z2310)),"その他未勝利",IF(ISNUMBER(SEARCH("G1",Z2310)),"G1",IF(ISNUMBER(SEARCH("G2",Z2310)),"G2",IF(ISNUMBER(SEARCH("G3",Z2310)),"G3",IF(ISNUMBER(SEARCH("古馬条件",Z2310)),"古馬条件戦",IF(ISNUMBER(SEARCH("重賞",Z2310)),"重賞","分類不能")))))))))</f>
        <v/>
      </c>
    </row>
    <row r="2311" customFormat="false" ht="15.75" hidden="false" customHeight="false" outlineLevel="0" collapsed="false">
      <c r="AO2311" s="8" t="str">
        <f aca="false">IF(A2311="","",IF(COUNTIFS(全馬データ!$A$2:$A$50000,A2311,全馬データ!$B$2:$B$50000,B2311,全馬データ!$C$2:$C$50000,C2311,全馬データ!$D$2:$D$50000,E2311,全馬データ!$K$2:$K$50000,"&lt;&gt;")=0,"",SUMIFS(全馬データ!$K$2:$K$50000,全馬データ!$A$2:$A$50000,A2311,全馬データ!$B$2:$B$50000,B2311,全馬データ!$C$2:$C$50000,C2311,全馬データ!$D$2:$D$50000,E2311)))</f>
        <v/>
      </c>
      <c r="AP2311" s="8" t="str">
        <f aca="false">IF(A2311="","",IF(AO2311="","欠損",IF(AO2311&lt;=1.1,"1.0～1.1",IF(AO2311&lt;1.3,"1.2",IF(AO2311&lt;1.5,"1.3～1.4",IF(AO2311&lt;2,"1.5～1.9","2.0以上"))))))</f>
        <v/>
      </c>
      <c r="AQ2311" s="8" t="str">
        <f aca="false">IF(A2311="","",IF(ISNUMBER(SEARCH("2歳",Z2311)),"2歳戦",IF(ISNUMBER(SEARCH("3歳未勝利",Z2311)),"3歳未勝利",IF(ISNUMBER(SEARCH("未勝利",Z2311)),"その他未勝利",IF(ISNUMBER(SEARCH("G1",Z2311)),"G1",IF(ISNUMBER(SEARCH("G2",Z2311)),"G2",IF(ISNUMBER(SEARCH("G3",Z2311)),"G3",IF(ISNUMBER(SEARCH("古馬条件",Z2311)),"古馬条件戦",IF(ISNUMBER(SEARCH("重賞",Z2311)),"重賞","分類不能")))))))))</f>
        <v/>
      </c>
    </row>
    <row r="2312" customFormat="false" ht="15.75" hidden="false" customHeight="false" outlineLevel="0" collapsed="false">
      <c r="AO2312" s="8" t="str">
        <f aca="false">IF(A2312="","",IF(COUNTIFS(全馬データ!$A$2:$A$50000,A2312,全馬データ!$B$2:$B$50000,B2312,全馬データ!$C$2:$C$50000,C2312,全馬データ!$D$2:$D$50000,E2312,全馬データ!$K$2:$K$50000,"&lt;&gt;")=0,"",SUMIFS(全馬データ!$K$2:$K$50000,全馬データ!$A$2:$A$50000,A2312,全馬データ!$B$2:$B$50000,B2312,全馬データ!$C$2:$C$50000,C2312,全馬データ!$D$2:$D$50000,E2312)))</f>
        <v/>
      </c>
      <c r="AP2312" s="8" t="str">
        <f aca="false">IF(A2312="","",IF(AO2312="","欠損",IF(AO2312&lt;=1.1,"1.0～1.1",IF(AO2312&lt;1.3,"1.2",IF(AO2312&lt;1.5,"1.3～1.4",IF(AO2312&lt;2,"1.5～1.9","2.0以上"))))))</f>
        <v/>
      </c>
      <c r="AQ2312" s="8" t="str">
        <f aca="false">IF(A2312="","",IF(ISNUMBER(SEARCH("2歳",Z2312)),"2歳戦",IF(ISNUMBER(SEARCH("3歳未勝利",Z2312)),"3歳未勝利",IF(ISNUMBER(SEARCH("未勝利",Z2312)),"その他未勝利",IF(ISNUMBER(SEARCH("G1",Z2312)),"G1",IF(ISNUMBER(SEARCH("G2",Z2312)),"G2",IF(ISNUMBER(SEARCH("G3",Z2312)),"G3",IF(ISNUMBER(SEARCH("古馬条件",Z2312)),"古馬条件戦",IF(ISNUMBER(SEARCH("重賞",Z2312)),"重賞","分類不能")))))))))</f>
        <v/>
      </c>
    </row>
    <row r="2313" customFormat="false" ht="15.75" hidden="false" customHeight="false" outlineLevel="0" collapsed="false">
      <c r="AO2313" s="8" t="str">
        <f aca="false">IF(A2313="","",IF(COUNTIFS(全馬データ!$A$2:$A$50000,A2313,全馬データ!$B$2:$B$50000,B2313,全馬データ!$C$2:$C$50000,C2313,全馬データ!$D$2:$D$50000,E2313,全馬データ!$K$2:$K$50000,"&lt;&gt;")=0,"",SUMIFS(全馬データ!$K$2:$K$50000,全馬データ!$A$2:$A$50000,A2313,全馬データ!$B$2:$B$50000,B2313,全馬データ!$C$2:$C$50000,C2313,全馬データ!$D$2:$D$50000,E2313)))</f>
        <v/>
      </c>
      <c r="AP2313" s="8" t="str">
        <f aca="false">IF(A2313="","",IF(AO2313="","欠損",IF(AO2313&lt;=1.1,"1.0～1.1",IF(AO2313&lt;1.3,"1.2",IF(AO2313&lt;1.5,"1.3～1.4",IF(AO2313&lt;2,"1.5～1.9","2.0以上"))))))</f>
        <v/>
      </c>
      <c r="AQ2313" s="8" t="str">
        <f aca="false">IF(A2313="","",IF(ISNUMBER(SEARCH("2歳",Z2313)),"2歳戦",IF(ISNUMBER(SEARCH("3歳未勝利",Z2313)),"3歳未勝利",IF(ISNUMBER(SEARCH("未勝利",Z2313)),"その他未勝利",IF(ISNUMBER(SEARCH("G1",Z2313)),"G1",IF(ISNUMBER(SEARCH("G2",Z2313)),"G2",IF(ISNUMBER(SEARCH("G3",Z2313)),"G3",IF(ISNUMBER(SEARCH("古馬条件",Z2313)),"古馬条件戦",IF(ISNUMBER(SEARCH("重賞",Z2313)),"重賞","分類不能")))))))))</f>
        <v/>
      </c>
    </row>
    <row r="2314" customFormat="false" ht="15.75" hidden="false" customHeight="false" outlineLevel="0" collapsed="false">
      <c r="AO2314" s="8" t="str">
        <f aca="false">IF(A2314="","",IF(COUNTIFS(全馬データ!$A$2:$A$50000,A2314,全馬データ!$B$2:$B$50000,B2314,全馬データ!$C$2:$C$50000,C2314,全馬データ!$D$2:$D$50000,E2314,全馬データ!$K$2:$K$50000,"&lt;&gt;")=0,"",SUMIFS(全馬データ!$K$2:$K$50000,全馬データ!$A$2:$A$50000,A2314,全馬データ!$B$2:$B$50000,B2314,全馬データ!$C$2:$C$50000,C2314,全馬データ!$D$2:$D$50000,E2314)))</f>
        <v/>
      </c>
      <c r="AP2314" s="8" t="str">
        <f aca="false">IF(A2314="","",IF(AO2314="","欠損",IF(AO2314&lt;=1.1,"1.0～1.1",IF(AO2314&lt;1.3,"1.2",IF(AO2314&lt;1.5,"1.3～1.4",IF(AO2314&lt;2,"1.5～1.9","2.0以上"))))))</f>
        <v/>
      </c>
      <c r="AQ2314" s="8" t="str">
        <f aca="false">IF(A2314="","",IF(ISNUMBER(SEARCH("2歳",Z2314)),"2歳戦",IF(ISNUMBER(SEARCH("3歳未勝利",Z2314)),"3歳未勝利",IF(ISNUMBER(SEARCH("未勝利",Z2314)),"その他未勝利",IF(ISNUMBER(SEARCH("G1",Z2314)),"G1",IF(ISNUMBER(SEARCH("G2",Z2314)),"G2",IF(ISNUMBER(SEARCH("G3",Z2314)),"G3",IF(ISNUMBER(SEARCH("古馬条件",Z2314)),"古馬条件戦",IF(ISNUMBER(SEARCH("重賞",Z2314)),"重賞","分類不能")))))))))</f>
        <v/>
      </c>
    </row>
    <row r="2315" customFormat="false" ht="15.75" hidden="false" customHeight="false" outlineLevel="0" collapsed="false">
      <c r="AO2315" s="8" t="str">
        <f aca="false">IF(A2315="","",IF(COUNTIFS(全馬データ!$A$2:$A$50000,A2315,全馬データ!$B$2:$B$50000,B2315,全馬データ!$C$2:$C$50000,C2315,全馬データ!$D$2:$D$50000,E2315,全馬データ!$K$2:$K$50000,"&lt;&gt;")=0,"",SUMIFS(全馬データ!$K$2:$K$50000,全馬データ!$A$2:$A$50000,A2315,全馬データ!$B$2:$B$50000,B2315,全馬データ!$C$2:$C$50000,C2315,全馬データ!$D$2:$D$50000,E2315)))</f>
        <v/>
      </c>
      <c r="AP2315" s="8" t="str">
        <f aca="false">IF(A2315="","",IF(AO2315="","欠損",IF(AO2315&lt;=1.1,"1.0～1.1",IF(AO2315&lt;1.3,"1.2",IF(AO2315&lt;1.5,"1.3～1.4",IF(AO2315&lt;2,"1.5～1.9","2.0以上"))))))</f>
        <v/>
      </c>
      <c r="AQ2315" s="8" t="str">
        <f aca="false">IF(A2315="","",IF(ISNUMBER(SEARCH("2歳",Z2315)),"2歳戦",IF(ISNUMBER(SEARCH("3歳未勝利",Z2315)),"3歳未勝利",IF(ISNUMBER(SEARCH("未勝利",Z2315)),"その他未勝利",IF(ISNUMBER(SEARCH("G1",Z2315)),"G1",IF(ISNUMBER(SEARCH("G2",Z2315)),"G2",IF(ISNUMBER(SEARCH("G3",Z2315)),"G3",IF(ISNUMBER(SEARCH("古馬条件",Z2315)),"古馬条件戦",IF(ISNUMBER(SEARCH("重賞",Z2315)),"重賞","分類不能")))))))))</f>
        <v/>
      </c>
    </row>
    <row r="2316" customFormat="false" ht="15.75" hidden="false" customHeight="false" outlineLevel="0" collapsed="false">
      <c r="AO2316" s="8" t="str">
        <f aca="false">IF(A2316="","",IF(COUNTIFS(全馬データ!$A$2:$A$50000,A2316,全馬データ!$B$2:$B$50000,B2316,全馬データ!$C$2:$C$50000,C2316,全馬データ!$D$2:$D$50000,E2316,全馬データ!$K$2:$K$50000,"&lt;&gt;")=0,"",SUMIFS(全馬データ!$K$2:$K$50000,全馬データ!$A$2:$A$50000,A2316,全馬データ!$B$2:$B$50000,B2316,全馬データ!$C$2:$C$50000,C2316,全馬データ!$D$2:$D$50000,E2316)))</f>
        <v/>
      </c>
      <c r="AP2316" s="8" t="str">
        <f aca="false">IF(A2316="","",IF(AO2316="","欠損",IF(AO2316&lt;=1.1,"1.0～1.1",IF(AO2316&lt;1.3,"1.2",IF(AO2316&lt;1.5,"1.3～1.4",IF(AO2316&lt;2,"1.5～1.9","2.0以上"))))))</f>
        <v/>
      </c>
      <c r="AQ2316" s="8" t="str">
        <f aca="false">IF(A2316="","",IF(ISNUMBER(SEARCH("2歳",Z2316)),"2歳戦",IF(ISNUMBER(SEARCH("3歳未勝利",Z2316)),"3歳未勝利",IF(ISNUMBER(SEARCH("未勝利",Z2316)),"その他未勝利",IF(ISNUMBER(SEARCH("G1",Z2316)),"G1",IF(ISNUMBER(SEARCH("G2",Z2316)),"G2",IF(ISNUMBER(SEARCH("G3",Z2316)),"G3",IF(ISNUMBER(SEARCH("古馬条件",Z2316)),"古馬条件戦",IF(ISNUMBER(SEARCH("重賞",Z2316)),"重賞","分類不能")))))))))</f>
        <v/>
      </c>
    </row>
    <row r="2317" customFormat="false" ht="15.75" hidden="false" customHeight="false" outlineLevel="0" collapsed="false">
      <c r="AO2317" s="8" t="str">
        <f aca="false">IF(A2317="","",IF(COUNTIFS(全馬データ!$A$2:$A$50000,A2317,全馬データ!$B$2:$B$50000,B2317,全馬データ!$C$2:$C$50000,C2317,全馬データ!$D$2:$D$50000,E2317,全馬データ!$K$2:$K$50000,"&lt;&gt;")=0,"",SUMIFS(全馬データ!$K$2:$K$50000,全馬データ!$A$2:$A$50000,A2317,全馬データ!$B$2:$B$50000,B2317,全馬データ!$C$2:$C$50000,C2317,全馬データ!$D$2:$D$50000,E2317)))</f>
        <v/>
      </c>
      <c r="AP2317" s="8" t="str">
        <f aca="false">IF(A2317="","",IF(AO2317="","欠損",IF(AO2317&lt;=1.1,"1.0～1.1",IF(AO2317&lt;1.3,"1.2",IF(AO2317&lt;1.5,"1.3～1.4",IF(AO2317&lt;2,"1.5～1.9","2.0以上"))))))</f>
        <v/>
      </c>
      <c r="AQ2317" s="8" t="str">
        <f aca="false">IF(A2317="","",IF(ISNUMBER(SEARCH("2歳",Z2317)),"2歳戦",IF(ISNUMBER(SEARCH("3歳未勝利",Z2317)),"3歳未勝利",IF(ISNUMBER(SEARCH("未勝利",Z2317)),"その他未勝利",IF(ISNUMBER(SEARCH("G1",Z2317)),"G1",IF(ISNUMBER(SEARCH("G2",Z2317)),"G2",IF(ISNUMBER(SEARCH("G3",Z2317)),"G3",IF(ISNUMBER(SEARCH("古馬条件",Z2317)),"古馬条件戦",IF(ISNUMBER(SEARCH("重賞",Z2317)),"重賞","分類不能")))))))))</f>
        <v/>
      </c>
    </row>
    <row r="2318" customFormat="false" ht="15.75" hidden="false" customHeight="false" outlineLevel="0" collapsed="false">
      <c r="AO2318" s="8" t="str">
        <f aca="false">IF(A2318="","",IF(COUNTIFS(全馬データ!$A$2:$A$50000,A2318,全馬データ!$B$2:$B$50000,B2318,全馬データ!$C$2:$C$50000,C2318,全馬データ!$D$2:$D$50000,E2318,全馬データ!$K$2:$K$50000,"&lt;&gt;")=0,"",SUMIFS(全馬データ!$K$2:$K$50000,全馬データ!$A$2:$A$50000,A2318,全馬データ!$B$2:$B$50000,B2318,全馬データ!$C$2:$C$50000,C2318,全馬データ!$D$2:$D$50000,E2318)))</f>
        <v/>
      </c>
      <c r="AP2318" s="8" t="str">
        <f aca="false">IF(A2318="","",IF(AO2318="","欠損",IF(AO2318&lt;=1.1,"1.0～1.1",IF(AO2318&lt;1.3,"1.2",IF(AO2318&lt;1.5,"1.3～1.4",IF(AO2318&lt;2,"1.5～1.9","2.0以上"))))))</f>
        <v/>
      </c>
      <c r="AQ2318" s="8" t="str">
        <f aca="false">IF(A2318="","",IF(ISNUMBER(SEARCH("2歳",Z2318)),"2歳戦",IF(ISNUMBER(SEARCH("3歳未勝利",Z2318)),"3歳未勝利",IF(ISNUMBER(SEARCH("未勝利",Z2318)),"その他未勝利",IF(ISNUMBER(SEARCH("G1",Z2318)),"G1",IF(ISNUMBER(SEARCH("G2",Z2318)),"G2",IF(ISNUMBER(SEARCH("G3",Z2318)),"G3",IF(ISNUMBER(SEARCH("古馬条件",Z2318)),"古馬条件戦",IF(ISNUMBER(SEARCH("重賞",Z2318)),"重賞","分類不能")))))))))</f>
        <v/>
      </c>
    </row>
    <row r="2319" customFormat="false" ht="15.75" hidden="false" customHeight="false" outlineLevel="0" collapsed="false">
      <c r="AO2319" s="8" t="str">
        <f aca="false">IF(A2319="","",IF(COUNTIFS(全馬データ!$A$2:$A$50000,A2319,全馬データ!$B$2:$B$50000,B2319,全馬データ!$C$2:$C$50000,C2319,全馬データ!$D$2:$D$50000,E2319,全馬データ!$K$2:$K$50000,"&lt;&gt;")=0,"",SUMIFS(全馬データ!$K$2:$K$50000,全馬データ!$A$2:$A$50000,A2319,全馬データ!$B$2:$B$50000,B2319,全馬データ!$C$2:$C$50000,C2319,全馬データ!$D$2:$D$50000,E2319)))</f>
        <v/>
      </c>
      <c r="AP2319" s="8" t="str">
        <f aca="false">IF(A2319="","",IF(AO2319="","欠損",IF(AO2319&lt;=1.1,"1.0～1.1",IF(AO2319&lt;1.3,"1.2",IF(AO2319&lt;1.5,"1.3～1.4",IF(AO2319&lt;2,"1.5～1.9","2.0以上"))))))</f>
        <v/>
      </c>
      <c r="AQ2319" s="8" t="str">
        <f aca="false">IF(A2319="","",IF(ISNUMBER(SEARCH("2歳",Z2319)),"2歳戦",IF(ISNUMBER(SEARCH("3歳未勝利",Z2319)),"3歳未勝利",IF(ISNUMBER(SEARCH("未勝利",Z2319)),"その他未勝利",IF(ISNUMBER(SEARCH("G1",Z2319)),"G1",IF(ISNUMBER(SEARCH("G2",Z2319)),"G2",IF(ISNUMBER(SEARCH("G3",Z2319)),"G3",IF(ISNUMBER(SEARCH("古馬条件",Z2319)),"古馬条件戦",IF(ISNUMBER(SEARCH("重賞",Z2319)),"重賞","分類不能")))))))))</f>
        <v/>
      </c>
    </row>
    <row r="2320" customFormat="false" ht="15.75" hidden="false" customHeight="false" outlineLevel="0" collapsed="false">
      <c r="AO2320" s="8" t="str">
        <f aca="false">IF(A2320="","",IF(COUNTIFS(全馬データ!$A$2:$A$50000,A2320,全馬データ!$B$2:$B$50000,B2320,全馬データ!$C$2:$C$50000,C2320,全馬データ!$D$2:$D$50000,E2320,全馬データ!$K$2:$K$50000,"&lt;&gt;")=0,"",SUMIFS(全馬データ!$K$2:$K$50000,全馬データ!$A$2:$A$50000,A2320,全馬データ!$B$2:$B$50000,B2320,全馬データ!$C$2:$C$50000,C2320,全馬データ!$D$2:$D$50000,E2320)))</f>
        <v/>
      </c>
      <c r="AP2320" s="8" t="str">
        <f aca="false">IF(A2320="","",IF(AO2320="","欠損",IF(AO2320&lt;=1.1,"1.0～1.1",IF(AO2320&lt;1.3,"1.2",IF(AO2320&lt;1.5,"1.3～1.4",IF(AO2320&lt;2,"1.5～1.9","2.0以上"))))))</f>
        <v/>
      </c>
      <c r="AQ2320" s="8" t="str">
        <f aca="false">IF(A2320="","",IF(ISNUMBER(SEARCH("2歳",Z2320)),"2歳戦",IF(ISNUMBER(SEARCH("3歳未勝利",Z2320)),"3歳未勝利",IF(ISNUMBER(SEARCH("未勝利",Z2320)),"その他未勝利",IF(ISNUMBER(SEARCH("G1",Z2320)),"G1",IF(ISNUMBER(SEARCH("G2",Z2320)),"G2",IF(ISNUMBER(SEARCH("G3",Z2320)),"G3",IF(ISNUMBER(SEARCH("古馬条件",Z2320)),"古馬条件戦",IF(ISNUMBER(SEARCH("重賞",Z2320)),"重賞","分類不能")))))))))</f>
        <v/>
      </c>
    </row>
    <row r="2321" customFormat="false" ht="15.75" hidden="false" customHeight="false" outlineLevel="0" collapsed="false">
      <c r="AO2321" s="8" t="str">
        <f aca="false">IF(A2321="","",IF(COUNTIFS(全馬データ!$A$2:$A$50000,A2321,全馬データ!$B$2:$B$50000,B2321,全馬データ!$C$2:$C$50000,C2321,全馬データ!$D$2:$D$50000,E2321,全馬データ!$K$2:$K$50000,"&lt;&gt;")=0,"",SUMIFS(全馬データ!$K$2:$K$50000,全馬データ!$A$2:$A$50000,A2321,全馬データ!$B$2:$B$50000,B2321,全馬データ!$C$2:$C$50000,C2321,全馬データ!$D$2:$D$50000,E2321)))</f>
        <v/>
      </c>
      <c r="AP2321" s="8" t="str">
        <f aca="false">IF(A2321="","",IF(AO2321="","欠損",IF(AO2321&lt;=1.1,"1.0～1.1",IF(AO2321&lt;1.3,"1.2",IF(AO2321&lt;1.5,"1.3～1.4",IF(AO2321&lt;2,"1.5～1.9","2.0以上"))))))</f>
        <v/>
      </c>
      <c r="AQ2321" s="8" t="str">
        <f aca="false">IF(A2321="","",IF(ISNUMBER(SEARCH("2歳",Z2321)),"2歳戦",IF(ISNUMBER(SEARCH("3歳未勝利",Z2321)),"3歳未勝利",IF(ISNUMBER(SEARCH("未勝利",Z2321)),"その他未勝利",IF(ISNUMBER(SEARCH("G1",Z2321)),"G1",IF(ISNUMBER(SEARCH("G2",Z2321)),"G2",IF(ISNUMBER(SEARCH("G3",Z2321)),"G3",IF(ISNUMBER(SEARCH("古馬条件",Z2321)),"古馬条件戦",IF(ISNUMBER(SEARCH("重賞",Z2321)),"重賞","分類不能")))))))))</f>
        <v/>
      </c>
    </row>
    <row r="2322" customFormat="false" ht="15.75" hidden="false" customHeight="false" outlineLevel="0" collapsed="false">
      <c r="AO2322" s="8" t="str">
        <f aca="false">IF(A2322="","",IF(COUNTIFS(全馬データ!$A$2:$A$50000,A2322,全馬データ!$B$2:$B$50000,B2322,全馬データ!$C$2:$C$50000,C2322,全馬データ!$D$2:$D$50000,E2322,全馬データ!$K$2:$K$50000,"&lt;&gt;")=0,"",SUMIFS(全馬データ!$K$2:$K$50000,全馬データ!$A$2:$A$50000,A2322,全馬データ!$B$2:$B$50000,B2322,全馬データ!$C$2:$C$50000,C2322,全馬データ!$D$2:$D$50000,E2322)))</f>
        <v/>
      </c>
      <c r="AP2322" s="8" t="str">
        <f aca="false">IF(A2322="","",IF(AO2322="","欠損",IF(AO2322&lt;=1.1,"1.0～1.1",IF(AO2322&lt;1.3,"1.2",IF(AO2322&lt;1.5,"1.3～1.4",IF(AO2322&lt;2,"1.5～1.9","2.0以上"))))))</f>
        <v/>
      </c>
      <c r="AQ2322" s="8" t="str">
        <f aca="false">IF(A2322="","",IF(ISNUMBER(SEARCH("2歳",Z2322)),"2歳戦",IF(ISNUMBER(SEARCH("3歳未勝利",Z2322)),"3歳未勝利",IF(ISNUMBER(SEARCH("未勝利",Z2322)),"その他未勝利",IF(ISNUMBER(SEARCH("G1",Z2322)),"G1",IF(ISNUMBER(SEARCH("G2",Z2322)),"G2",IF(ISNUMBER(SEARCH("G3",Z2322)),"G3",IF(ISNUMBER(SEARCH("古馬条件",Z2322)),"古馬条件戦",IF(ISNUMBER(SEARCH("重賞",Z2322)),"重賞","分類不能")))))))))</f>
        <v/>
      </c>
    </row>
    <row r="2323" customFormat="false" ht="15.75" hidden="false" customHeight="false" outlineLevel="0" collapsed="false">
      <c r="AO2323" s="8" t="str">
        <f aca="false">IF(A2323="","",IF(COUNTIFS(全馬データ!$A$2:$A$50000,A2323,全馬データ!$B$2:$B$50000,B2323,全馬データ!$C$2:$C$50000,C2323,全馬データ!$D$2:$D$50000,E2323,全馬データ!$K$2:$K$50000,"&lt;&gt;")=0,"",SUMIFS(全馬データ!$K$2:$K$50000,全馬データ!$A$2:$A$50000,A2323,全馬データ!$B$2:$B$50000,B2323,全馬データ!$C$2:$C$50000,C2323,全馬データ!$D$2:$D$50000,E2323)))</f>
        <v/>
      </c>
      <c r="AP2323" s="8" t="str">
        <f aca="false">IF(A2323="","",IF(AO2323="","欠損",IF(AO2323&lt;=1.1,"1.0～1.1",IF(AO2323&lt;1.3,"1.2",IF(AO2323&lt;1.5,"1.3～1.4",IF(AO2323&lt;2,"1.5～1.9","2.0以上"))))))</f>
        <v/>
      </c>
      <c r="AQ2323" s="8" t="str">
        <f aca="false">IF(A2323="","",IF(ISNUMBER(SEARCH("2歳",Z2323)),"2歳戦",IF(ISNUMBER(SEARCH("3歳未勝利",Z2323)),"3歳未勝利",IF(ISNUMBER(SEARCH("未勝利",Z2323)),"その他未勝利",IF(ISNUMBER(SEARCH("G1",Z2323)),"G1",IF(ISNUMBER(SEARCH("G2",Z2323)),"G2",IF(ISNUMBER(SEARCH("G3",Z2323)),"G3",IF(ISNUMBER(SEARCH("古馬条件",Z2323)),"古馬条件戦",IF(ISNUMBER(SEARCH("重賞",Z2323)),"重賞","分類不能")))))))))</f>
        <v/>
      </c>
    </row>
    <row r="2324" customFormat="false" ht="15.75" hidden="false" customHeight="false" outlineLevel="0" collapsed="false">
      <c r="AO2324" s="8" t="str">
        <f aca="false">IF(A2324="","",IF(COUNTIFS(全馬データ!$A$2:$A$50000,A2324,全馬データ!$B$2:$B$50000,B2324,全馬データ!$C$2:$C$50000,C2324,全馬データ!$D$2:$D$50000,E2324,全馬データ!$K$2:$K$50000,"&lt;&gt;")=0,"",SUMIFS(全馬データ!$K$2:$K$50000,全馬データ!$A$2:$A$50000,A2324,全馬データ!$B$2:$B$50000,B2324,全馬データ!$C$2:$C$50000,C2324,全馬データ!$D$2:$D$50000,E2324)))</f>
        <v/>
      </c>
      <c r="AP2324" s="8" t="str">
        <f aca="false">IF(A2324="","",IF(AO2324="","欠損",IF(AO2324&lt;=1.1,"1.0～1.1",IF(AO2324&lt;1.3,"1.2",IF(AO2324&lt;1.5,"1.3～1.4",IF(AO2324&lt;2,"1.5～1.9","2.0以上"))))))</f>
        <v/>
      </c>
      <c r="AQ2324" s="8" t="str">
        <f aca="false">IF(A2324="","",IF(ISNUMBER(SEARCH("2歳",Z2324)),"2歳戦",IF(ISNUMBER(SEARCH("3歳未勝利",Z2324)),"3歳未勝利",IF(ISNUMBER(SEARCH("未勝利",Z2324)),"その他未勝利",IF(ISNUMBER(SEARCH("G1",Z2324)),"G1",IF(ISNUMBER(SEARCH("G2",Z2324)),"G2",IF(ISNUMBER(SEARCH("G3",Z2324)),"G3",IF(ISNUMBER(SEARCH("古馬条件",Z2324)),"古馬条件戦",IF(ISNUMBER(SEARCH("重賞",Z2324)),"重賞","分類不能")))))))))</f>
        <v/>
      </c>
    </row>
    <row r="2325" customFormat="false" ht="15.75" hidden="false" customHeight="false" outlineLevel="0" collapsed="false">
      <c r="AO2325" s="8" t="str">
        <f aca="false">IF(A2325="","",IF(COUNTIFS(全馬データ!$A$2:$A$50000,A2325,全馬データ!$B$2:$B$50000,B2325,全馬データ!$C$2:$C$50000,C2325,全馬データ!$D$2:$D$50000,E2325,全馬データ!$K$2:$K$50000,"&lt;&gt;")=0,"",SUMIFS(全馬データ!$K$2:$K$50000,全馬データ!$A$2:$A$50000,A2325,全馬データ!$B$2:$B$50000,B2325,全馬データ!$C$2:$C$50000,C2325,全馬データ!$D$2:$D$50000,E2325)))</f>
        <v/>
      </c>
      <c r="AP2325" s="8" t="str">
        <f aca="false">IF(A2325="","",IF(AO2325="","欠損",IF(AO2325&lt;=1.1,"1.0～1.1",IF(AO2325&lt;1.3,"1.2",IF(AO2325&lt;1.5,"1.3～1.4",IF(AO2325&lt;2,"1.5～1.9","2.0以上"))))))</f>
        <v/>
      </c>
      <c r="AQ2325" s="8" t="str">
        <f aca="false">IF(A2325="","",IF(ISNUMBER(SEARCH("2歳",Z2325)),"2歳戦",IF(ISNUMBER(SEARCH("3歳未勝利",Z2325)),"3歳未勝利",IF(ISNUMBER(SEARCH("未勝利",Z2325)),"その他未勝利",IF(ISNUMBER(SEARCH("G1",Z2325)),"G1",IF(ISNUMBER(SEARCH("G2",Z2325)),"G2",IF(ISNUMBER(SEARCH("G3",Z2325)),"G3",IF(ISNUMBER(SEARCH("古馬条件",Z2325)),"古馬条件戦",IF(ISNUMBER(SEARCH("重賞",Z2325)),"重賞","分類不能")))))))))</f>
        <v/>
      </c>
    </row>
    <row r="2326" customFormat="false" ht="15.75" hidden="false" customHeight="false" outlineLevel="0" collapsed="false">
      <c r="AO2326" s="8" t="str">
        <f aca="false">IF(A2326="","",IF(COUNTIFS(全馬データ!$A$2:$A$50000,A2326,全馬データ!$B$2:$B$50000,B2326,全馬データ!$C$2:$C$50000,C2326,全馬データ!$D$2:$D$50000,E2326,全馬データ!$K$2:$K$50000,"&lt;&gt;")=0,"",SUMIFS(全馬データ!$K$2:$K$50000,全馬データ!$A$2:$A$50000,A2326,全馬データ!$B$2:$B$50000,B2326,全馬データ!$C$2:$C$50000,C2326,全馬データ!$D$2:$D$50000,E2326)))</f>
        <v/>
      </c>
      <c r="AP2326" s="8" t="str">
        <f aca="false">IF(A2326="","",IF(AO2326="","欠損",IF(AO2326&lt;=1.1,"1.0～1.1",IF(AO2326&lt;1.3,"1.2",IF(AO2326&lt;1.5,"1.3～1.4",IF(AO2326&lt;2,"1.5～1.9","2.0以上"))))))</f>
        <v/>
      </c>
      <c r="AQ2326" s="8" t="str">
        <f aca="false">IF(A2326="","",IF(ISNUMBER(SEARCH("2歳",Z2326)),"2歳戦",IF(ISNUMBER(SEARCH("3歳未勝利",Z2326)),"3歳未勝利",IF(ISNUMBER(SEARCH("未勝利",Z2326)),"その他未勝利",IF(ISNUMBER(SEARCH("G1",Z2326)),"G1",IF(ISNUMBER(SEARCH("G2",Z2326)),"G2",IF(ISNUMBER(SEARCH("G3",Z2326)),"G3",IF(ISNUMBER(SEARCH("古馬条件",Z2326)),"古馬条件戦",IF(ISNUMBER(SEARCH("重賞",Z2326)),"重賞","分類不能")))))))))</f>
        <v/>
      </c>
    </row>
    <row r="2327" customFormat="false" ht="15.75" hidden="false" customHeight="false" outlineLevel="0" collapsed="false">
      <c r="AO2327" s="8" t="str">
        <f aca="false">IF(A2327="","",IF(COUNTIFS(全馬データ!$A$2:$A$50000,A2327,全馬データ!$B$2:$B$50000,B2327,全馬データ!$C$2:$C$50000,C2327,全馬データ!$D$2:$D$50000,E2327,全馬データ!$K$2:$K$50000,"&lt;&gt;")=0,"",SUMIFS(全馬データ!$K$2:$K$50000,全馬データ!$A$2:$A$50000,A2327,全馬データ!$B$2:$B$50000,B2327,全馬データ!$C$2:$C$50000,C2327,全馬データ!$D$2:$D$50000,E2327)))</f>
        <v/>
      </c>
      <c r="AP2327" s="8" t="str">
        <f aca="false">IF(A2327="","",IF(AO2327="","欠損",IF(AO2327&lt;=1.1,"1.0～1.1",IF(AO2327&lt;1.3,"1.2",IF(AO2327&lt;1.5,"1.3～1.4",IF(AO2327&lt;2,"1.5～1.9","2.0以上"))))))</f>
        <v/>
      </c>
      <c r="AQ2327" s="8" t="str">
        <f aca="false">IF(A2327="","",IF(ISNUMBER(SEARCH("2歳",Z2327)),"2歳戦",IF(ISNUMBER(SEARCH("3歳未勝利",Z2327)),"3歳未勝利",IF(ISNUMBER(SEARCH("未勝利",Z2327)),"その他未勝利",IF(ISNUMBER(SEARCH("G1",Z2327)),"G1",IF(ISNUMBER(SEARCH("G2",Z2327)),"G2",IF(ISNUMBER(SEARCH("G3",Z2327)),"G3",IF(ISNUMBER(SEARCH("古馬条件",Z2327)),"古馬条件戦",IF(ISNUMBER(SEARCH("重賞",Z2327)),"重賞","分類不能")))))))))</f>
        <v/>
      </c>
    </row>
    <row r="2328" customFormat="false" ht="15.75" hidden="false" customHeight="false" outlineLevel="0" collapsed="false">
      <c r="AO2328" s="8" t="str">
        <f aca="false">IF(A2328="","",IF(COUNTIFS(全馬データ!$A$2:$A$50000,A2328,全馬データ!$B$2:$B$50000,B2328,全馬データ!$C$2:$C$50000,C2328,全馬データ!$D$2:$D$50000,E2328,全馬データ!$K$2:$K$50000,"&lt;&gt;")=0,"",SUMIFS(全馬データ!$K$2:$K$50000,全馬データ!$A$2:$A$50000,A2328,全馬データ!$B$2:$B$50000,B2328,全馬データ!$C$2:$C$50000,C2328,全馬データ!$D$2:$D$50000,E2328)))</f>
        <v/>
      </c>
      <c r="AP2328" s="8" t="str">
        <f aca="false">IF(A2328="","",IF(AO2328="","欠損",IF(AO2328&lt;=1.1,"1.0～1.1",IF(AO2328&lt;1.3,"1.2",IF(AO2328&lt;1.5,"1.3～1.4",IF(AO2328&lt;2,"1.5～1.9","2.0以上"))))))</f>
        <v/>
      </c>
      <c r="AQ2328" s="8" t="str">
        <f aca="false">IF(A2328="","",IF(ISNUMBER(SEARCH("2歳",Z2328)),"2歳戦",IF(ISNUMBER(SEARCH("3歳未勝利",Z2328)),"3歳未勝利",IF(ISNUMBER(SEARCH("未勝利",Z2328)),"その他未勝利",IF(ISNUMBER(SEARCH("G1",Z2328)),"G1",IF(ISNUMBER(SEARCH("G2",Z2328)),"G2",IF(ISNUMBER(SEARCH("G3",Z2328)),"G3",IF(ISNUMBER(SEARCH("古馬条件",Z2328)),"古馬条件戦",IF(ISNUMBER(SEARCH("重賞",Z2328)),"重賞","分類不能")))))))))</f>
        <v/>
      </c>
    </row>
    <row r="2329" customFormat="false" ht="15.75" hidden="false" customHeight="false" outlineLevel="0" collapsed="false">
      <c r="AO2329" s="8" t="str">
        <f aca="false">IF(A2329="","",IF(COUNTIFS(全馬データ!$A$2:$A$50000,A2329,全馬データ!$B$2:$B$50000,B2329,全馬データ!$C$2:$C$50000,C2329,全馬データ!$D$2:$D$50000,E2329,全馬データ!$K$2:$K$50000,"&lt;&gt;")=0,"",SUMIFS(全馬データ!$K$2:$K$50000,全馬データ!$A$2:$A$50000,A2329,全馬データ!$B$2:$B$50000,B2329,全馬データ!$C$2:$C$50000,C2329,全馬データ!$D$2:$D$50000,E2329)))</f>
        <v/>
      </c>
      <c r="AP2329" s="8" t="str">
        <f aca="false">IF(A2329="","",IF(AO2329="","欠損",IF(AO2329&lt;=1.1,"1.0～1.1",IF(AO2329&lt;1.3,"1.2",IF(AO2329&lt;1.5,"1.3～1.4",IF(AO2329&lt;2,"1.5～1.9","2.0以上"))))))</f>
        <v/>
      </c>
      <c r="AQ2329" s="8" t="str">
        <f aca="false">IF(A2329="","",IF(ISNUMBER(SEARCH("2歳",Z2329)),"2歳戦",IF(ISNUMBER(SEARCH("3歳未勝利",Z2329)),"3歳未勝利",IF(ISNUMBER(SEARCH("未勝利",Z2329)),"その他未勝利",IF(ISNUMBER(SEARCH("G1",Z2329)),"G1",IF(ISNUMBER(SEARCH("G2",Z2329)),"G2",IF(ISNUMBER(SEARCH("G3",Z2329)),"G3",IF(ISNUMBER(SEARCH("古馬条件",Z2329)),"古馬条件戦",IF(ISNUMBER(SEARCH("重賞",Z2329)),"重賞","分類不能")))))))))</f>
        <v/>
      </c>
    </row>
    <row r="2330" customFormat="false" ht="15.75" hidden="false" customHeight="false" outlineLevel="0" collapsed="false">
      <c r="AO2330" s="8" t="str">
        <f aca="false">IF(A2330="","",IF(COUNTIFS(全馬データ!$A$2:$A$50000,A2330,全馬データ!$B$2:$B$50000,B2330,全馬データ!$C$2:$C$50000,C2330,全馬データ!$D$2:$D$50000,E2330,全馬データ!$K$2:$K$50000,"&lt;&gt;")=0,"",SUMIFS(全馬データ!$K$2:$K$50000,全馬データ!$A$2:$A$50000,A2330,全馬データ!$B$2:$B$50000,B2330,全馬データ!$C$2:$C$50000,C2330,全馬データ!$D$2:$D$50000,E2330)))</f>
        <v/>
      </c>
      <c r="AP2330" s="8" t="str">
        <f aca="false">IF(A2330="","",IF(AO2330="","欠損",IF(AO2330&lt;=1.1,"1.0～1.1",IF(AO2330&lt;1.3,"1.2",IF(AO2330&lt;1.5,"1.3～1.4",IF(AO2330&lt;2,"1.5～1.9","2.0以上"))))))</f>
        <v/>
      </c>
      <c r="AQ2330" s="8" t="str">
        <f aca="false">IF(A2330="","",IF(ISNUMBER(SEARCH("2歳",Z2330)),"2歳戦",IF(ISNUMBER(SEARCH("3歳未勝利",Z2330)),"3歳未勝利",IF(ISNUMBER(SEARCH("未勝利",Z2330)),"その他未勝利",IF(ISNUMBER(SEARCH("G1",Z2330)),"G1",IF(ISNUMBER(SEARCH("G2",Z2330)),"G2",IF(ISNUMBER(SEARCH("G3",Z2330)),"G3",IF(ISNUMBER(SEARCH("古馬条件",Z2330)),"古馬条件戦",IF(ISNUMBER(SEARCH("重賞",Z2330)),"重賞","分類不能")))))))))</f>
        <v/>
      </c>
    </row>
    <row r="2331" customFormat="false" ht="15.75" hidden="false" customHeight="false" outlineLevel="0" collapsed="false">
      <c r="AO2331" s="8" t="str">
        <f aca="false">IF(A2331="","",IF(COUNTIFS(全馬データ!$A$2:$A$50000,A2331,全馬データ!$B$2:$B$50000,B2331,全馬データ!$C$2:$C$50000,C2331,全馬データ!$D$2:$D$50000,E2331,全馬データ!$K$2:$K$50000,"&lt;&gt;")=0,"",SUMIFS(全馬データ!$K$2:$K$50000,全馬データ!$A$2:$A$50000,A2331,全馬データ!$B$2:$B$50000,B2331,全馬データ!$C$2:$C$50000,C2331,全馬データ!$D$2:$D$50000,E2331)))</f>
        <v/>
      </c>
      <c r="AP2331" s="8" t="str">
        <f aca="false">IF(A2331="","",IF(AO2331="","欠損",IF(AO2331&lt;=1.1,"1.0～1.1",IF(AO2331&lt;1.3,"1.2",IF(AO2331&lt;1.5,"1.3～1.4",IF(AO2331&lt;2,"1.5～1.9","2.0以上"))))))</f>
        <v/>
      </c>
      <c r="AQ2331" s="8" t="str">
        <f aca="false">IF(A2331="","",IF(ISNUMBER(SEARCH("2歳",Z2331)),"2歳戦",IF(ISNUMBER(SEARCH("3歳未勝利",Z2331)),"3歳未勝利",IF(ISNUMBER(SEARCH("未勝利",Z2331)),"その他未勝利",IF(ISNUMBER(SEARCH("G1",Z2331)),"G1",IF(ISNUMBER(SEARCH("G2",Z2331)),"G2",IF(ISNUMBER(SEARCH("G3",Z2331)),"G3",IF(ISNUMBER(SEARCH("古馬条件",Z2331)),"古馬条件戦",IF(ISNUMBER(SEARCH("重賞",Z2331)),"重賞","分類不能")))))))))</f>
        <v/>
      </c>
    </row>
    <row r="2332" customFormat="false" ht="15.75" hidden="false" customHeight="false" outlineLevel="0" collapsed="false">
      <c r="AO2332" s="8" t="str">
        <f aca="false">IF(A2332="","",IF(COUNTIFS(全馬データ!$A$2:$A$50000,A2332,全馬データ!$B$2:$B$50000,B2332,全馬データ!$C$2:$C$50000,C2332,全馬データ!$D$2:$D$50000,E2332,全馬データ!$K$2:$K$50000,"&lt;&gt;")=0,"",SUMIFS(全馬データ!$K$2:$K$50000,全馬データ!$A$2:$A$50000,A2332,全馬データ!$B$2:$B$50000,B2332,全馬データ!$C$2:$C$50000,C2332,全馬データ!$D$2:$D$50000,E2332)))</f>
        <v/>
      </c>
      <c r="AP2332" s="8" t="str">
        <f aca="false">IF(A2332="","",IF(AO2332="","欠損",IF(AO2332&lt;=1.1,"1.0～1.1",IF(AO2332&lt;1.3,"1.2",IF(AO2332&lt;1.5,"1.3～1.4",IF(AO2332&lt;2,"1.5～1.9","2.0以上"))))))</f>
        <v/>
      </c>
      <c r="AQ2332" s="8" t="str">
        <f aca="false">IF(A2332="","",IF(ISNUMBER(SEARCH("2歳",Z2332)),"2歳戦",IF(ISNUMBER(SEARCH("3歳未勝利",Z2332)),"3歳未勝利",IF(ISNUMBER(SEARCH("未勝利",Z2332)),"その他未勝利",IF(ISNUMBER(SEARCH("G1",Z2332)),"G1",IF(ISNUMBER(SEARCH("G2",Z2332)),"G2",IF(ISNUMBER(SEARCH("G3",Z2332)),"G3",IF(ISNUMBER(SEARCH("古馬条件",Z2332)),"古馬条件戦",IF(ISNUMBER(SEARCH("重賞",Z2332)),"重賞","分類不能")))))))))</f>
        <v/>
      </c>
    </row>
    <row r="2333" customFormat="false" ht="15.75" hidden="false" customHeight="false" outlineLevel="0" collapsed="false">
      <c r="AO2333" s="8" t="str">
        <f aca="false">IF(A2333="","",IF(COUNTIFS(全馬データ!$A$2:$A$50000,A2333,全馬データ!$B$2:$B$50000,B2333,全馬データ!$C$2:$C$50000,C2333,全馬データ!$D$2:$D$50000,E2333,全馬データ!$K$2:$K$50000,"&lt;&gt;")=0,"",SUMIFS(全馬データ!$K$2:$K$50000,全馬データ!$A$2:$A$50000,A2333,全馬データ!$B$2:$B$50000,B2333,全馬データ!$C$2:$C$50000,C2333,全馬データ!$D$2:$D$50000,E2333)))</f>
        <v/>
      </c>
      <c r="AP2333" s="8" t="str">
        <f aca="false">IF(A2333="","",IF(AO2333="","欠損",IF(AO2333&lt;=1.1,"1.0～1.1",IF(AO2333&lt;1.3,"1.2",IF(AO2333&lt;1.5,"1.3～1.4",IF(AO2333&lt;2,"1.5～1.9","2.0以上"))))))</f>
        <v/>
      </c>
      <c r="AQ2333" s="8" t="str">
        <f aca="false">IF(A2333="","",IF(ISNUMBER(SEARCH("2歳",Z2333)),"2歳戦",IF(ISNUMBER(SEARCH("3歳未勝利",Z2333)),"3歳未勝利",IF(ISNUMBER(SEARCH("未勝利",Z2333)),"その他未勝利",IF(ISNUMBER(SEARCH("G1",Z2333)),"G1",IF(ISNUMBER(SEARCH("G2",Z2333)),"G2",IF(ISNUMBER(SEARCH("G3",Z2333)),"G3",IF(ISNUMBER(SEARCH("古馬条件",Z2333)),"古馬条件戦",IF(ISNUMBER(SEARCH("重賞",Z2333)),"重賞","分類不能")))))))))</f>
        <v/>
      </c>
    </row>
    <row r="2334" customFormat="false" ht="15.75" hidden="false" customHeight="false" outlineLevel="0" collapsed="false">
      <c r="AO2334" s="8" t="str">
        <f aca="false">IF(A2334="","",IF(COUNTIFS(全馬データ!$A$2:$A$50000,A2334,全馬データ!$B$2:$B$50000,B2334,全馬データ!$C$2:$C$50000,C2334,全馬データ!$D$2:$D$50000,E2334,全馬データ!$K$2:$K$50000,"&lt;&gt;")=0,"",SUMIFS(全馬データ!$K$2:$K$50000,全馬データ!$A$2:$A$50000,A2334,全馬データ!$B$2:$B$50000,B2334,全馬データ!$C$2:$C$50000,C2334,全馬データ!$D$2:$D$50000,E2334)))</f>
        <v/>
      </c>
      <c r="AP2334" s="8" t="str">
        <f aca="false">IF(A2334="","",IF(AO2334="","欠損",IF(AO2334&lt;=1.1,"1.0～1.1",IF(AO2334&lt;1.3,"1.2",IF(AO2334&lt;1.5,"1.3～1.4",IF(AO2334&lt;2,"1.5～1.9","2.0以上"))))))</f>
        <v/>
      </c>
      <c r="AQ2334" s="8" t="str">
        <f aca="false">IF(A2334="","",IF(ISNUMBER(SEARCH("2歳",Z2334)),"2歳戦",IF(ISNUMBER(SEARCH("3歳未勝利",Z2334)),"3歳未勝利",IF(ISNUMBER(SEARCH("未勝利",Z2334)),"その他未勝利",IF(ISNUMBER(SEARCH("G1",Z2334)),"G1",IF(ISNUMBER(SEARCH("G2",Z2334)),"G2",IF(ISNUMBER(SEARCH("G3",Z2334)),"G3",IF(ISNUMBER(SEARCH("古馬条件",Z2334)),"古馬条件戦",IF(ISNUMBER(SEARCH("重賞",Z2334)),"重賞","分類不能")))))))))</f>
        <v/>
      </c>
    </row>
    <row r="2335" customFormat="false" ht="15.75" hidden="false" customHeight="false" outlineLevel="0" collapsed="false">
      <c r="AO2335" s="8" t="str">
        <f aca="false">IF(A2335="","",IF(COUNTIFS(全馬データ!$A$2:$A$50000,A2335,全馬データ!$B$2:$B$50000,B2335,全馬データ!$C$2:$C$50000,C2335,全馬データ!$D$2:$D$50000,E2335,全馬データ!$K$2:$K$50000,"&lt;&gt;")=0,"",SUMIFS(全馬データ!$K$2:$K$50000,全馬データ!$A$2:$A$50000,A2335,全馬データ!$B$2:$B$50000,B2335,全馬データ!$C$2:$C$50000,C2335,全馬データ!$D$2:$D$50000,E2335)))</f>
        <v/>
      </c>
      <c r="AP2335" s="8" t="str">
        <f aca="false">IF(A2335="","",IF(AO2335="","欠損",IF(AO2335&lt;=1.1,"1.0～1.1",IF(AO2335&lt;1.3,"1.2",IF(AO2335&lt;1.5,"1.3～1.4",IF(AO2335&lt;2,"1.5～1.9","2.0以上"))))))</f>
        <v/>
      </c>
      <c r="AQ2335" s="8" t="str">
        <f aca="false">IF(A2335="","",IF(ISNUMBER(SEARCH("2歳",Z2335)),"2歳戦",IF(ISNUMBER(SEARCH("3歳未勝利",Z2335)),"3歳未勝利",IF(ISNUMBER(SEARCH("未勝利",Z2335)),"その他未勝利",IF(ISNUMBER(SEARCH("G1",Z2335)),"G1",IF(ISNUMBER(SEARCH("G2",Z2335)),"G2",IF(ISNUMBER(SEARCH("G3",Z2335)),"G3",IF(ISNUMBER(SEARCH("古馬条件",Z2335)),"古馬条件戦",IF(ISNUMBER(SEARCH("重賞",Z2335)),"重賞","分類不能")))))))))</f>
        <v/>
      </c>
    </row>
    <row r="2336" customFormat="false" ht="15.75" hidden="false" customHeight="false" outlineLevel="0" collapsed="false">
      <c r="AO2336" s="8" t="str">
        <f aca="false">IF(A2336="","",IF(COUNTIFS(全馬データ!$A$2:$A$50000,A2336,全馬データ!$B$2:$B$50000,B2336,全馬データ!$C$2:$C$50000,C2336,全馬データ!$D$2:$D$50000,E2336,全馬データ!$K$2:$K$50000,"&lt;&gt;")=0,"",SUMIFS(全馬データ!$K$2:$K$50000,全馬データ!$A$2:$A$50000,A2336,全馬データ!$B$2:$B$50000,B2336,全馬データ!$C$2:$C$50000,C2336,全馬データ!$D$2:$D$50000,E2336)))</f>
        <v/>
      </c>
      <c r="AP2336" s="8" t="str">
        <f aca="false">IF(A2336="","",IF(AO2336="","欠損",IF(AO2336&lt;=1.1,"1.0～1.1",IF(AO2336&lt;1.3,"1.2",IF(AO2336&lt;1.5,"1.3～1.4",IF(AO2336&lt;2,"1.5～1.9","2.0以上"))))))</f>
        <v/>
      </c>
      <c r="AQ2336" s="8" t="str">
        <f aca="false">IF(A2336="","",IF(ISNUMBER(SEARCH("2歳",Z2336)),"2歳戦",IF(ISNUMBER(SEARCH("3歳未勝利",Z2336)),"3歳未勝利",IF(ISNUMBER(SEARCH("未勝利",Z2336)),"その他未勝利",IF(ISNUMBER(SEARCH("G1",Z2336)),"G1",IF(ISNUMBER(SEARCH("G2",Z2336)),"G2",IF(ISNUMBER(SEARCH("G3",Z2336)),"G3",IF(ISNUMBER(SEARCH("古馬条件",Z2336)),"古馬条件戦",IF(ISNUMBER(SEARCH("重賞",Z2336)),"重賞","分類不能")))))))))</f>
        <v/>
      </c>
    </row>
    <row r="2337" customFormat="false" ht="15.75" hidden="false" customHeight="false" outlineLevel="0" collapsed="false">
      <c r="AO2337" s="8" t="str">
        <f aca="false">IF(A2337="","",IF(COUNTIFS(全馬データ!$A$2:$A$50000,A2337,全馬データ!$B$2:$B$50000,B2337,全馬データ!$C$2:$C$50000,C2337,全馬データ!$D$2:$D$50000,E2337,全馬データ!$K$2:$K$50000,"&lt;&gt;")=0,"",SUMIFS(全馬データ!$K$2:$K$50000,全馬データ!$A$2:$A$50000,A2337,全馬データ!$B$2:$B$50000,B2337,全馬データ!$C$2:$C$50000,C2337,全馬データ!$D$2:$D$50000,E2337)))</f>
        <v/>
      </c>
      <c r="AP2337" s="8" t="str">
        <f aca="false">IF(A2337="","",IF(AO2337="","欠損",IF(AO2337&lt;=1.1,"1.0～1.1",IF(AO2337&lt;1.3,"1.2",IF(AO2337&lt;1.5,"1.3～1.4",IF(AO2337&lt;2,"1.5～1.9","2.0以上"))))))</f>
        <v/>
      </c>
      <c r="AQ2337" s="8" t="str">
        <f aca="false">IF(A2337="","",IF(ISNUMBER(SEARCH("2歳",Z2337)),"2歳戦",IF(ISNUMBER(SEARCH("3歳未勝利",Z2337)),"3歳未勝利",IF(ISNUMBER(SEARCH("未勝利",Z2337)),"その他未勝利",IF(ISNUMBER(SEARCH("G1",Z2337)),"G1",IF(ISNUMBER(SEARCH("G2",Z2337)),"G2",IF(ISNUMBER(SEARCH("G3",Z2337)),"G3",IF(ISNUMBER(SEARCH("古馬条件",Z2337)),"古馬条件戦",IF(ISNUMBER(SEARCH("重賞",Z2337)),"重賞","分類不能")))))))))</f>
        <v/>
      </c>
    </row>
    <row r="2338" customFormat="false" ht="15.75" hidden="false" customHeight="false" outlineLevel="0" collapsed="false">
      <c r="AO2338" s="8" t="str">
        <f aca="false">IF(A2338="","",IF(COUNTIFS(全馬データ!$A$2:$A$50000,A2338,全馬データ!$B$2:$B$50000,B2338,全馬データ!$C$2:$C$50000,C2338,全馬データ!$D$2:$D$50000,E2338,全馬データ!$K$2:$K$50000,"&lt;&gt;")=0,"",SUMIFS(全馬データ!$K$2:$K$50000,全馬データ!$A$2:$A$50000,A2338,全馬データ!$B$2:$B$50000,B2338,全馬データ!$C$2:$C$50000,C2338,全馬データ!$D$2:$D$50000,E2338)))</f>
        <v/>
      </c>
      <c r="AP2338" s="8" t="str">
        <f aca="false">IF(A2338="","",IF(AO2338="","欠損",IF(AO2338&lt;=1.1,"1.0～1.1",IF(AO2338&lt;1.3,"1.2",IF(AO2338&lt;1.5,"1.3～1.4",IF(AO2338&lt;2,"1.5～1.9","2.0以上"))))))</f>
        <v/>
      </c>
      <c r="AQ2338" s="8" t="str">
        <f aca="false">IF(A2338="","",IF(ISNUMBER(SEARCH("2歳",Z2338)),"2歳戦",IF(ISNUMBER(SEARCH("3歳未勝利",Z2338)),"3歳未勝利",IF(ISNUMBER(SEARCH("未勝利",Z2338)),"その他未勝利",IF(ISNUMBER(SEARCH("G1",Z2338)),"G1",IF(ISNUMBER(SEARCH("G2",Z2338)),"G2",IF(ISNUMBER(SEARCH("G3",Z2338)),"G3",IF(ISNUMBER(SEARCH("古馬条件",Z2338)),"古馬条件戦",IF(ISNUMBER(SEARCH("重賞",Z2338)),"重賞","分類不能")))))))))</f>
        <v/>
      </c>
    </row>
    <row r="2339" customFormat="false" ht="15.75" hidden="false" customHeight="false" outlineLevel="0" collapsed="false">
      <c r="AO2339" s="8" t="str">
        <f aca="false">IF(A2339="","",IF(COUNTIFS(全馬データ!$A$2:$A$50000,A2339,全馬データ!$B$2:$B$50000,B2339,全馬データ!$C$2:$C$50000,C2339,全馬データ!$D$2:$D$50000,E2339,全馬データ!$K$2:$K$50000,"&lt;&gt;")=0,"",SUMIFS(全馬データ!$K$2:$K$50000,全馬データ!$A$2:$A$50000,A2339,全馬データ!$B$2:$B$50000,B2339,全馬データ!$C$2:$C$50000,C2339,全馬データ!$D$2:$D$50000,E2339)))</f>
        <v/>
      </c>
      <c r="AP2339" s="8" t="str">
        <f aca="false">IF(A2339="","",IF(AO2339="","欠損",IF(AO2339&lt;=1.1,"1.0～1.1",IF(AO2339&lt;1.3,"1.2",IF(AO2339&lt;1.5,"1.3～1.4",IF(AO2339&lt;2,"1.5～1.9","2.0以上"))))))</f>
        <v/>
      </c>
      <c r="AQ2339" s="8" t="str">
        <f aca="false">IF(A2339="","",IF(ISNUMBER(SEARCH("2歳",Z2339)),"2歳戦",IF(ISNUMBER(SEARCH("3歳未勝利",Z2339)),"3歳未勝利",IF(ISNUMBER(SEARCH("未勝利",Z2339)),"その他未勝利",IF(ISNUMBER(SEARCH("G1",Z2339)),"G1",IF(ISNUMBER(SEARCH("G2",Z2339)),"G2",IF(ISNUMBER(SEARCH("G3",Z2339)),"G3",IF(ISNUMBER(SEARCH("古馬条件",Z2339)),"古馬条件戦",IF(ISNUMBER(SEARCH("重賞",Z2339)),"重賞","分類不能")))))))))</f>
        <v/>
      </c>
    </row>
    <row r="2340" customFormat="false" ht="15.75" hidden="false" customHeight="false" outlineLevel="0" collapsed="false">
      <c r="AO2340" s="8" t="str">
        <f aca="false">IF(A2340="","",IF(COUNTIFS(全馬データ!$A$2:$A$50000,A2340,全馬データ!$B$2:$B$50000,B2340,全馬データ!$C$2:$C$50000,C2340,全馬データ!$D$2:$D$50000,E2340,全馬データ!$K$2:$K$50000,"&lt;&gt;")=0,"",SUMIFS(全馬データ!$K$2:$K$50000,全馬データ!$A$2:$A$50000,A2340,全馬データ!$B$2:$B$50000,B2340,全馬データ!$C$2:$C$50000,C2340,全馬データ!$D$2:$D$50000,E2340)))</f>
        <v/>
      </c>
      <c r="AP2340" s="8" t="str">
        <f aca="false">IF(A2340="","",IF(AO2340="","欠損",IF(AO2340&lt;=1.1,"1.0～1.1",IF(AO2340&lt;1.3,"1.2",IF(AO2340&lt;1.5,"1.3～1.4",IF(AO2340&lt;2,"1.5～1.9","2.0以上"))))))</f>
        <v/>
      </c>
      <c r="AQ2340" s="8" t="str">
        <f aca="false">IF(A2340="","",IF(ISNUMBER(SEARCH("2歳",Z2340)),"2歳戦",IF(ISNUMBER(SEARCH("3歳未勝利",Z2340)),"3歳未勝利",IF(ISNUMBER(SEARCH("未勝利",Z2340)),"その他未勝利",IF(ISNUMBER(SEARCH("G1",Z2340)),"G1",IF(ISNUMBER(SEARCH("G2",Z2340)),"G2",IF(ISNUMBER(SEARCH("G3",Z2340)),"G3",IF(ISNUMBER(SEARCH("古馬条件",Z2340)),"古馬条件戦",IF(ISNUMBER(SEARCH("重賞",Z2340)),"重賞","分類不能")))))))))</f>
        <v/>
      </c>
    </row>
    <row r="2341" customFormat="false" ht="15.75" hidden="false" customHeight="false" outlineLevel="0" collapsed="false">
      <c r="AO2341" s="8" t="str">
        <f aca="false">IF(A2341="","",IF(COUNTIFS(全馬データ!$A$2:$A$50000,A2341,全馬データ!$B$2:$B$50000,B2341,全馬データ!$C$2:$C$50000,C2341,全馬データ!$D$2:$D$50000,E2341,全馬データ!$K$2:$K$50000,"&lt;&gt;")=0,"",SUMIFS(全馬データ!$K$2:$K$50000,全馬データ!$A$2:$A$50000,A2341,全馬データ!$B$2:$B$50000,B2341,全馬データ!$C$2:$C$50000,C2341,全馬データ!$D$2:$D$50000,E2341)))</f>
        <v/>
      </c>
      <c r="AP2341" s="8" t="str">
        <f aca="false">IF(A2341="","",IF(AO2341="","欠損",IF(AO2341&lt;=1.1,"1.0～1.1",IF(AO2341&lt;1.3,"1.2",IF(AO2341&lt;1.5,"1.3～1.4",IF(AO2341&lt;2,"1.5～1.9","2.0以上"))))))</f>
        <v/>
      </c>
      <c r="AQ2341" s="8" t="str">
        <f aca="false">IF(A2341="","",IF(ISNUMBER(SEARCH("2歳",Z2341)),"2歳戦",IF(ISNUMBER(SEARCH("3歳未勝利",Z2341)),"3歳未勝利",IF(ISNUMBER(SEARCH("未勝利",Z2341)),"その他未勝利",IF(ISNUMBER(SEARCH("G1",Z2341)),"G1",IF(ISNUMBER(SEARCH("G2",Z2341)),"G2",IF(ISNUMBER(SEARCH("G3",Z2341)),"G3",IF(ISNUMBER(SEARCH("古馬条件",Z2341)),"古馬条件戦",IF(ISNUMBER(SEARCH("重賞",Z2341)),"重賞","分類不能")))))))))</f>
        <v/>
      </c>
    </row>
    <row r="2342" customFormat="false" ht="15.75" hidden="false" customHeight="false" outlineLevel="0" collapsed="false">
      <c r="AO2342" s="8" t="str">
        <f aca="false">IF(A2342="","",IF(COUNTIFS(全馬データ!$A$2:$A$50000,A2342,全馬データ!$B$2:$B$50000,B2342,全馬データ!$C$2:$C$50000,C2342,全馬データ!$D$2:$D$50000,E2342,全馬データ!$K$2:$K$50000,"&lt;&gt;")=0,"",SUMIFS(全馬データ!$K$2:$K$50000,全馬データ!$A$2:$A$50000,A2342,全馬データ!$B$2:$B$50000,B2342,全馬データ!$C$2:$C$50000,C2342,全馬データ!$D$2:$D$50000,E2342)))</f>
        <v/>
      </c>
      <c r="AP2342" s="8" t="str">
        <f aca="false">IF(A2342="","",IF(AO2342="","欠損",IF(AO2342&lt;=1.1,"1.0～1.1",IF(AO2342&lt;1.3,"1.2",IF(AO2342&lt;1.5,"1.3～1.4",IF(AO2342&lt;2,"1.5～1.9","2.0以上"))))))</f>
        <v/>
      </c>
      <c r="AQ2342" s="8" t="str">
        <f aca="false">IF(A2342="","",IF(ISNUMBER(SEARCH("2歳",Z2342)),"2歳戦",IF(ISNUMBER(SEARCH("3歳未勝利",Z2342)),"3歳未勝利",IF(ISNUMBER(SEARCH("未勝利",Z2342)),"その他未勝利",IF(ISNUMBER(SEARCH("G1",Z2342)),"G1",IF(ISNUMBER(SEARCH("G2",Z2342)),"G2",IF(ISNUMBER(SEARCH("G3",Z2342)),"G3",IF(ISNUMBER(SEARCH("古馬条件",Z2342)),"古馬条件戦",IF(ISNUMBER(SEARCH("重賞",Z2342)),"重賞","分類不能")))))))))</f>
        <v/>
      </c>
    </row>
    <row r="2343" customFormat="false" ht="15.75" hidden="false" customHeight="false" outlineLevel="0" collapsed="false">
      <c r="AO2343" s="8" t="str">
        <f aca="false">IF(A2343="","",IF(COUNTIFS(全馬データ!$A$2:$A$50000,A2343,全馬データ!$B$2:$B$50000,B2343,全馬データ!$C$2:$C$50000,C2343,全馬データ!$D$2:$D$50000,E2343,全馬データ!$K$2:$K$50000,"&lt;&gt;")=0,"",SUMIFS(全馬データ!$K$2:$K$50000,全馬データ!$A$2:$A$50000,A2343,全馬データ!$B$2:$B$50000,B2343,全馬データ!$C$2:$C$50000,C2343,全馬データ!$D$2:$D$50000,E2343)))</f>
        <v/>
      </c>
      <c r="AP2343" s="8" t="str">
        <f aca="false">IF(A2343="","",IF(AO2343="","欠損",IF(AO2343&lt;=1.1,"1.0～1.1",IF(AO2343&lt;1.3,"1.2",IF(AO2343&lt;1.5,"1.3～1.4",IF(AO2343&lt;2,"1.5～1.9","2.0以上"))))))</f>
        <v/>
      </c>
      <c r="AQ2343" s="8" t="str">
        <f aca="false">IF(A2343="","",IF(ISNUMBER(SEARCH("2歳",Z2343)),"2歳戦",IF(ISNUMBER(SEARCH("3歳未勝利",Z2343)),"3歳未勝利",IF(ISNUMBER(SEARCH("未勝利",Z2343)),"その他未勝利",IF(ISNUMBER(SEARCH("G1",Z2343)),"G1",IF(ISNUMBER(SEARCH("G2",Z2343)),"G2",IF(ISNUMBER(SEARCH("G3",Z2343)),"G3",IF(ISNUMBER(SEARCH("古馬条件",Z2343)),"古馬条件戦",IF(ISNUMBER(SEARCH("重賞",Z2343)),"重賞","分類不能")))))))))</f>
        <v/>
      </c>
    </row>
    <row r="2344" customFormat="false" ht="15.75" hidden="false" customHeight="false" outlineLevel="0" collapsed="false">
      <c r="AO2344" s="8" t="str">
        <f aca="false">IF(A2344="","",IF(COUNTIFS(全馬データ!$A$2:$A$50000,A2344,全馬データ!$B$2:$B$50000,B2344,全馬データ!$C$2:$C$50000,C2344,全馬データ!$D$2:$D$50000,E2344,全馬データ!$K$2:$K$50000,"&lt;&gt;")=0,"",SUMIFS(全馬データ!$K$2:$K$50000,全馬データ!$A$2:$A$50000,A2344,全馬データ!$B$2:$B$50000,B2344,全馬データ!$C$2:$C$50000,C2344,全馬データ!$D$2:$D$50000,E2344)))</f>
        <v/>
      </c>
      <c r="AP2344" s="8" t="str">
        <f aca="false">IF(A2344="","",IF(AO2344="","欠損",IF(AO2344&lt;=1.1,"1.0～1.1",IF(AO2344&lt;1.3,"1.2",IF(AO2344&lt;1.5,"1.3～1.4",IF(AO2344&lt;2,"1.5～1.9","2.0以上"))))))</f>
        <v/>
      </c>
      <c r="AQ2344" s="8" t="str">
        <f aca="false">IF(A2344="","",IF(ISNUMBER(SEARCH("2歳",Z2344)),"2歳戦",IF(ISNUMBER(SEARCH("3歳未勝利",Z2344)),"3歳未勝利",IF(ISNUMBER(SEARCH("未勝利",Z2344)),"その他未勝利",IF(ISNUMBER(SEARCH("G1",Z2344)),"G1",IF(ISNUMBER(SEARCH("G2",Z2344)),"G2",IF(ISNUMBER(SEARCH("G3",Z2344)),"G3",IF(ISNUMBER(SEARCH("古馬条件",Z2344)),"古馬条件戦",IF(ISNUMBER(SEARCH("重賞",Z2344)),"重賞","分類不能")))))))))</f>
        <v/>
      </c>
    </row>
    <row r="2345" customFormat="false" ht="15.75" hidden="false" customHeight="false" outlineLevel="0" collapsed="false">
      <c r="AO2345" s="8" t="str">
        <f aca="false">IF(A2345="","",IF(COUNTIFS(全馬データ!$A$2:$A$50000,A2345,全馬データ!$B$2:$B$50000,B2345,全馬データ!$C$2:$C$50000,C2345,全馬データ!$D$2:$D$50000,E2345,全馬データ!$K$2:$K$50000,"&lt;&gt;")=0,"",SUMIFS(全馬データ!$K$2:$K$50000,全馬データ!$A$2:$A$50000,A2345,全馬データ!$B$2:$B$50000,B2345,全馬データ!$C$2:$C$50000,C2345,全馬データ!$D$2:$D$50000,E2345)))</f>
        <v/>
      </c>
      <c r="AP2345" s="8" t="str">
        <f aca="false">IF(A2345="","",IF(AO2345="","欠損",IF(AO2345&lt;=1.1,"1.0～1.1",IF(AO2345&lt;1.3,"1.2",IF(AO2345&lt;1.5,"1.3～1.4",IF(AO2345&lt;2,"1.5～1.9","2.0以上"))))))</f>
        <v/>
      </c>
      <c r="AQ2345" s="8" t="str">
        <f aca="false">IF(A2345="","",IF(ISNUMBER(SEARCH("2歳",Z2345)),"2歳戦",IF(ISNUMBER(SEARCH("3歳未勝利",Z2345)),"3歳未勝利",IF(ISNUMBER(SEARCH("未勝利",Z2345)),"その他未勝利",IF(ISNUMBER(SEARCH("G1",Z2345)),"G1",IF(ISNUMBER(SEARCH("G2",Z2345)),"G2",IF(ISNUMBER(SEARCH("G3",Z2345)),"G3",IF(ISNUMBER(SEARCH("古馬条件",Z2345)),"古馬条件戦",IF(ISNUMBER(SEARCH("重賞",Z2345)),"重賞","分類不能")))))))))</f>
        <v/>
      </c>
    </row>
    <row r="2346" customFormat="false" ht="15.75" hidden="false" customHeight="false" outlineLevel="0" collapsed="false">
      <c r="AO2346" s="8" t="str">
        <f aca="false">IF(A2346="","",IF(COUNTIFS(全馬データ!$A$2:$A$50000,A2346,全馬データ!$B$2:$B$50000,B2346,全馬データ!$C$2:$C$50000,C2346,全馬データ!$D$2:$D$50000,E2346,全馬データ!$K$2:$K$50000,"&lt;&gt;")=0,"",SUMIFS(全馬データ!$K$2:$K$50000,全馬データ!$A$2:$A$50000,A2346,全馬データ!$B$2:$B$50000,B2346,全馬データ!$C$2:$C$50000,C2346,全馬データ!$D$2:$D$50000,E2346)))</f>
        <v/>
      </c>
      <c r="AP2346" s="8" t="str">
        <f aca="false">IF(A2346="","",IF(AO2346="","欠損",IF(AO2346&lt;=1.1,"1.0～1.1",IF(AO2346&lt;1.3,"1.2",IF(AO2346&lt;1.5,"1.3～1.4",IF(AO2346&lt;2,"1.5～1.9","2.0以上"))))))</f>
        <v/>
      </c>
      <c r="AQ2346" s="8" t="str">
        <f aca="false">IF(A2346="","",IF(ISNUMBER(SEARCH("2歳",Z2346)),"2歳戦",IF(ISNUMBER(SEARCH("3歳未勝利",Z2346)),"3歳未勝利",IF(ISNUMBER(SEARCH("未勝利",Z2346)),"その他未勝利",IF(ISNUMBER(SEARCH("G1",Z2346)),"G1",IF(ISNUMBER(SEARCH("G2",Z2346)),"G2",IF(ISNUMBER(SEARCH("G3",Z2346)),"G3",IF(ISNUMBER(SEARCH("古馬条件",Z2346)),"古馬条件戦",IF(ISNUMBER(SEARCH("重賞",Z2346)),"重賞","分類不能")))))))))</f>
        <v/>
      </c>
    </row>
    <row r="2347" customFormat="false" ht="15.75" hidden="false" customHeight="false" outlineLevel="0" collapsed="false">
      <c r="AO2347" s="8" t="str">
        <f aca="false">IF(A2347="","",IF(COUNTIFS(全馬データ!$A$2:$A$50000,A2347,全馬データ!$B$2:$B$50000,B2347,全馬データ!$C$2:$C$50000,C2347,全馬データ!$D$2:$D$50000,E2347,全馬データ!$K$2:$K$50000,"&lt;&gt;")=0,"",SUMIFS(全馬データ!$K$2:$K$50000,全馬データ!$A$2:$A$50000,A2347,全馬データ!$B$2:$B$50000,B2347,全馬データ!$C$2:$C$50000,C2347,全馬データ!$D$2:$D$50000,E2347)))</f>
        <v/>
      </c>
      <c r="AP2347" s="8" t="str">
        <f aca="false">IF(A2347="","",IF(AO2347="","欠損",IF(AO2347&lt;=1.1,"1.0～1.1",IF(AO2347&lt;1.3,"1.2",IF(AO2347&lt;1.5,"1.3～1.4",IF(AO2347&lt;2,"1.5～1.9","2.0以上"))))))</f>
        <v/>
      </c>
      <c r="AQ2347" s="8" t="str">
        <f aca="false">IF(A2347="","",IF(ISNUMBER(SEARCH("2歳",Z2347)),"2歳戦",IF(ISNUMBER(SEARCH("3歳未勝利",Z2347)),"3歳未勝利",IF(ISNUMBER(SEARCH("未勝利",Z2347)),"その他未勝利",IF(ISNUMBER(SEARCH("G1",Z2347)),"G1",IF(ISNUMBER(SEARCH("G2",Z2347)),"G2",IF(ISNUMBER(SEARCH("G3",Z2347)),"G3",IF(ISNUMBER(SEARCH("古馬条件",Z2347)),"古馬条件戦",IF(ISNUMBER(SEARCH("重賞",Z2347)),"重賞","分類不能")))))))))</f>
        <v/>
      </c>
    </row>
    <row r="2348" customFormat="false" ht="15.75" hidden="false" customHeight="false" outlineLevel="0" collapsed="false">
      <c r="AO2348" s="8" t="str">
        <f aca="false">IF(A2348="","",IF(COUNTIFS(全馬データ!$A$2:$A$50000,A2348,全馬データ!$B$2:$B$50000,B2348,全馬データ!$C$2:$C$50000,C2348,全馬データ!$D$2:$D$50000,E2348,全馬データ!$K$2:$K$50000,"&lt;&gt;")=0,"",SUMIFS(全馬データ!$K$2:$K$50000,全馬データ!$A$2:$A$50000,A2348,全馬データ!$B$2:$B$50000,B2348,全馬データ!$C$2:$C$50000,C2348,全馬データ!$D$2:$D$50000,E2348)))</f>
        <v/>
      </c>
      <c r="AP2348" s="8" t="str">
        <f aca="false">IF(A2348="","",IF(AO2348="","欠損",IF(AO2348&lt;=1.1,"1.0～1.1",IF(AO2348&lt;1.3,"1.2",IF(AO2348&lt;1.5,"1.3～1.4",IF(AO2348&lt;2,"1.5～1.9","2.0以上"))))))</f>
        <v/>
      </c>
      <c r="AQ2348" s="8" t="str">
        <f aca="false">IF(A2348="","",IF(ISNUMBER(SEARCH("2歳",Z2348)),"2歳戦",IF(ISNUMBER(SEARCH("3歳未勝利",Z2348)),"3歳未勝利",IF(ISNUMBER(SEARCH("未勝利",Z2348)),"その他未勝利",IF(ISNUMBER(SEARCH("G1",Z2348)),"G1",IF(ISNUMBER(SEARCH("G2",Z2348)),"G2",IF(ISNUMBER(SEARCH("G3",Z2348)),"G3",IF(ISNUMBER(SEARCH("古馬条件",Z2348)),"古馬条件戦",IF(ISNUMBER(SEARCH("重賞",Z2348)),"重賞","分類不能")))))))))</f>
        <v/>
      </c>
    </row>
    <row r="2349" customFormat="false" ht="15.75" hidden="false" customHeight="false" outlineLevel="0" collapsed="false">
      <c r="AO2349" s="8" t="str">
        <f aca="false">IF(A2349="","",IF(COUNTIFS(全馬データ!$A$2:$A$50000,A2349,全馬データ!$B$2:$B$50000,B2349,全馬データ!$C$2:$C$50000,C2349,全馬データ!$D$2:$D$50000,E2349,全馬データ!$K$2:$K$50000,"&lt;&gt;")=0,"",SUMIFS(全馬データ!$K$2:$K$50000,全馬データ!$A$2:$A$50000,A2349,全馬データ!$B$2:$B$50000,B2349,全馬データ!$C$2:$C$50000,C2349,全馬データ!$D$2:$D$50000,E2349)))</f>
        <v/>
      </c>
      <c r="AP2349" s="8" t="str">
        <f aca="false">IF(A2349="","",IF(AO2349="","欠損",IF(AO2349&lt;=1.1,"1.0～1.1",IF(AO2349&lt;1.3,"1.2",IF(AO2349&lt;1.5,"1.3～1.4",IF(AO2349&lt;2,"1.5～1.9","2.0以上"))))))</f>
        <v/>
      </c>
      <c r="AQ2349" s="8" t="str">
        <f aca="false">IF(A2349="","",IF(ISNUMBER(SEARCH("2歳",Z2349)),"2歳戦",IF(ISNUMBER(SEARCH("3歳未勝利",Z2349)),"3歳未勝利",IF(ISNUMBER(SEARCH("未勝利",Z2349)),"その他未勝利",IF(ISNUMBER(SEARCH("G1",Z2349)),"G1",IF(ISNUMBER(SEARCH("G2",Z2349)),"G2",IF(ISNUMBER(SEARCH("G3",Z2349)),"G3",IF(ISNUMBER(SEARCH("古馬条件",Z2349)),"古馬条件戦",IF(ISNUMBER(SEARCH("重賞",Z2349)),"重賞","分類不能")))))))))</f>
        <v/>
      </c>
    </row>
    <row r="2350" customFormat="false" ht="15.75" hidden="false" customHeight="false" outlineLevel="0" collapsed="false">
      <c r="AO2350" s="8" t="str">
        <f aca="false">IF(A2350="","",IF(COUNTIFS(全馬データ!$A$2:$A$50000,A2350,全馬データ!$B$2:$B$50000,B2350,全馬データ!$C$2:$C$50000,C2350,全馬データ!$D$2:$D$50000,E2350,全馬データ!$K$2:$K$50000,"&lt;&gt;")=0,"",SUMIFS(全馬データ!$K$2:$K$50000,全馬データ!$A$2:$A$50000,A2350,全馬データ!$B$2:$B$50000,B2350,全馬データ!$C$2:$C$50000,C2350,全馬データ!$D$2:$D$50000,E2350)))</f>
        <v/>
      </c>
      <c r="AP2350" s="8" t="str">
        <f aca="false">IF(A2350="","",IF(AO2350="","欠損",IF(AO2350&lt;=1.1,"1.0～1.1",IF(AO2350&lt;1.3,"1.2",IF(AO2350&lt;1.5,"1.3～1.4",IF(AO2350&lt;2,"1.5～1.9","2.0以上"))))))</f>
        <v/>
      </c>
      <c r="AQ2350" s="8" t="str">
        <f aca="false">IF(A2350="","",IF(ISNUMBER(SEARCH("2歳",Z2350)),"2歳戦",IF(ISNUMBER(SEARCH("3歳未勝利",Z2350)),"3歳未勝利",IF(ISNUMBER(SEARCH("未勝利",Z2350)),"その他未勝利",IF(ISNUMBER(SEARCH("G1",Z2350)),"G1",IF(ISNUMBER(SEARCH("G2",Z2350)),"G2",IF(ISNUMBER(SEARCH("G3",Z2350)),"G3",IF(ISNUMBER(SEARCH("古馬条件",Z2350)),"古馬条件戦",IF(ISNUMBER(SEARCH("重賞",Z2350)),"重賞","分類不能")))))))))</f>
        <v/>
      </c>
    </row>
    <row r="2351" customFormat="false" ht="15.75" hidden="false" customHeight="false" outlineLevel="0" collapsed="false">
      <c r="AO2351" s="8" t="str">
        <f aca="false">IF(A2351="","",IF(COUNTIFS(全馬データ!$A$2:$A$50000,A2351,全馬データ!$B$2:$B$50000,B2351,全馬データ!$C$2:$C$50000,C2351,全馬データ!$D$2:$D$50000,E2351,全馬データ!$K$2:$K$50000,"&lt;&gt;")=0,"",SUMIFS(全馬データ!$K$2:$K$50000,全馬データ!$A$2:$A$50000,A2351,全馬データ!$B$2:$B$50000,B2351,全馬データ!$C$2:$C$50000,C2351,全馬データ!$D$2:$D$50000,E2351)))</f>
        <v/>
      </c>
      <c r="AP2351" s="8" t="str">
        <f aca="false">IF(A2351="","",IF(AO2351="","欠損",IF(AO2351&lt;=1.1,"1.0～1.1",IF(AO2351&lt;1.3,"1.2",IF(AO2351&lt;1.5,"1.3～1.4",IF(AO2351&lt;2,"1.5～1.9","2.0以上"))))))</f>
        <v/>
      </c>
      <c r="AQ2351" s="8" t="str">
        <f aca="false">IF(A2351="","",IF(ISNUMBER(SEARCH("2歳",Z2351)),"2歳戦",IF(ISNUMBER(SEARCH("3歳未勝利",Z2351)),"3歳未勝利",IF(ISNUMBER(SEARCH("未勝利",Z2351)),"その他未勝利",IF(ISNUMBER(SEARCH("G1",Z2351)),"G1",IF(ISNUMBER(SEARCH("G2",Z2351)),"G2",IF(ISNUMBER(SEARCH("G3",Z2351)),"G3",IF(ISNUMBER(SEARCH("古馬条件",Z2351)),"古馬条件戦",IF(ISNUMBER(SEARCH("重賞",Z2351)),"重賞","分類不能")))))))))</f>
        <v/>
      </c>
    </row>
    <row r="2352" customFormat="false" ht="15.75" hidden="false" customHeight="false" outlineLevel="0" collapsed="false">
      <c r="AO2352" s="8" t="str">
        <f aca="false">IF(A2352="","",IF(COUNTIFS(全馬データ!$A$2:$A$50000,A2352,全馬データ!$B$2:$B$50000,B2352,全馬データ!$C$2:$C$50000,C2352,全馬データ!$D$2:$D$50000,E2352,全馬データ!$K$2:$K$50000,"&lt;&gt;")=0,"",SUMIFS(全馬データ!$K$2:$K$50000,全馬データ!$A$2:$A$50000,A2352,全馬データ!$B$2:$B$50000,B2352,全馬データ!$C$2:$C$50000,C2352,全馬データ!$D$2:$D$50000,E2352)))</f>
        <v/>
      </c>
      <c r="AP2352" s="8" t="str">
        <f aca="false">IF(A2352="","",IF(AO2352="","欠損",IF(AO2352&lt;=1.1,"1.0～1.1",IF(AO2352&lt;1.3,"1.2",IF(AO2352&lt;1.5,"1.3～1.4",IF(AO2352&lt;2,"1.5～1.9","2.0以上"))))))</f>
        <v/>
      </c>
      <c r="AQ2352" s="8" t="str">
        <f aca="false">IF(A2352="","",IF(ISNUMBER(SEARCH("2歳",Z2352)),"2歳戦",IF(ISNUMBER(SEARCH("3歳未勝利",Z2352)),"3歳未勝利",IF(ISNUMBER(SEARCH("未勝利",Z2352)),"その他未勝利",IF(ISNUMBER(SEARCH("G1",Z2352)),"G1",IF(ISNUMBER(SEARCH("G2",Z2352)),"G2",IF(ISNUMBER(SEARCH("G3",Z2352)),"G3",IF(ISNUMBER(SEARCH("古馬条件",Z2352)),"古馬条件戦",IF(ISNUMBER(SEARCH("重賞",Z2352)),"重賞","分類不能")))))))))</f>
        <v/>
      </c>
    </row>
    <row r="2353" customFormat="false" ht="15.75" hidden="false" customHeight="false" outlineLevel="0" collapsed="false">
      <c r="AO2353" s="8" t="str">
        <f aca="false">IF(A2353="","",IF(COUNTIFS(全馬データ!$A$2:$A$50000,A2353,全馬データ!$B$2:$B$50000,B2353,全馬データ!$C$2:$C$50000,C2353,全馬データ!$D$2:$D$50000,E2353,全馬データ!$K$2:$K$50000,"&lt;&gt;")=0,"",SUMIFS(全馬データ!$K$2:$K$50000,全馬データ!$A$2:$A$50000,A2353,全馬データ!$B$2:$B$50000,B2353,全馬データ!$C$2:$C$50000,C2353,全馬データ!$D$2:$D$50000,E2353)))</f>
        <v/>
      </c>
      <c r="AP2353" s="8" t="str">
        <f aca="false">IF(A2353="","",IF(AO2353="","欠損",IF(AO2353&lt;=1.1,"1.0～1.1",IF(AO2353&lt;1.3,"1.2",IF(AO2353&lt;1.5,"1.3～1.4",IF(AO2353&lt;2,"1.5～1.9","2.0以上"))))))</f>
        <v/>
      </c>
      <c r="AQ2353" s="8" t="str">
        <f aca="false">IF(A2353="","",IF(ISNUMBER(SEARCH("2歳",Z2353)),"2歳戦",IF(ISNUMBER(SEARCH("3歳未勝利",Z2353)),"3歳未勝利",IF(ISNUMBER(SEARCH("未勝利",Z2353)),"その他未勝利",IF(ISNUMBER(SEARCH("G1",Z2353)),"G1",IF(ISNUMBER(SEARCH("G2",Z2353)),"G2",IF(ISNUMBER(SEARCH("G3",Z2353)),"G3",IF(ISNUMBER(SEARCH("古馬条件",Z2353)),"古馬条件戦",IF(ISNUMBER(SEARCH("重賞",Z2353)),"重賞","分類不能")))))))))</f>
        <v/>
      </c>
    </row>
    <row r="2354" customFormat="false" ht="15.75" hidden="false" customHeight="false" outlineLevel="0" collapsed="false">
      <c r="AO2354" s="8" t="str">
        <f aca="false">IF(A2354="","",IF(COUNTIFS(全馬データ!$A$2:$A$50000,A2354,全馬データ!$B$2:$B$50000,B2354,全馬データ!$C$2:$C$50000,C2354,全馬データ!$D$2:$D$50000,E2354,全馬データ!$K$2:$K$50000,"&lt;&gt;")=0,"",SUMIFS(全馬データ!$K$2:$K$50000,全馬データ!$A$2:$A$50000,A2354,全馬データ!$B$2:$B$50000,B2354,全馬データ!$C$2:$C$50000,C2354,全馬データ!$D$2:$D$50000,E2354)))</f>
        <v/>
      </c>
      <c r="AP2354" s="8" t="str">
        <f aca="false">IF(A2354="","",IF(AO2354="","欠損",IF(AO2354&lt;=1.1,"1.0～1.1",IF(AO2354&lt;1.3,"1.2",IF(AO2354&lt;1.5,"1.3～1.4",IF(AO2354&lt;2,"1.5～1.9","2.0以上"))))))</f>
        <v/>
      </c>
      <c r="AQ2354" s="8" t="str">
        <f aca="false">IF(A2354="","",IF(ISNUMBER(SEARCH("2歳",Z2354)),"2歳戦",IF(ISNUMBER(SEARCH("3歳未勝利",Z2354)),"3歳未勝利",IF(ISNUMBER(SEARCH("未勝利",Z2354)),"その他未勝利",IF(ISNUMBER(SEARCH("G1",Z2354)),"G1",IF(ISNUMBER(SEARCH("G2",Z2354)),"G2",IF(ISNUMBER(SEARCH("G3",Z2354)),"G3",IF(ISNUMBER(SEARCH("古馬条件",Z2354)),"古馬条件戦",IF(ISNUMBER(SEARCH("重賞",Z2354)),"重賞","分類不能")))))))))</f>
        <v/>
      </c>
    </row>
    <row r="2355" customFormat="false" ht="15.75" hidden="false" customHeight="false" outlineLevel="0" collapsed="false">
      <c r="AO2355" s="8" t="str">
        <f aca="false">IF(A2355="","",IF(COUNTIFS(全馬データ!$A$2:$A$50000,A2355,全馬データ!$B$2:$B$50000,B2355,全馬データ!$C$2:$C$50000,C2355,全馬データ!$D$2:$D$50000,E2355,全馬データ!$K$2:$K$50000,"&lt;&gt;")=0,"",SUMIFS(全馬データ!$K$2:$K$50000,全馬データ!$A$2:$A$50000,A2355,全馬データ!$B$2:$B$50000,B2355,全馬データ!$C$2:$C$50000,C2355,全馬データ!$D$2:$D$50000,E2355)))</f>
        <v/>
      </c>
      <c r="AP2355" s="8" t="str">
        <f aca="false">IF(A2355="","",IF(AO2355="","欠損",IF(AO2355&lt;=1.1,"1.0～1.1",IF(AO2355&lt;1.3,"1.2",IF(AO2355&lt;1.5,"1.3～1.4",IF(AO2355&lt;2,"1.5～1.9","2.0以上"))))))</f>
        <v/>
      </c>
      <c r="AQ2355" s="8" t="str">
        <f aca="false">IF(A2355="","",IF(ISNUMBER(SEARCH("2歳",Z2355)),"2歳戦",IF(ISNUMBER(SEARCH("3歳未勝利",Z2355)),"3歳未勝利",IF(ISNUMBER(SEARCH("未勝利",Z2355)),"その他未勝利",IF(ISNUMBER(SEARCH("G1",Z2355)),"G1",IF(ISNUMBER(SEARCH("G2",Z2355)),"G2",IF(ISNUMBER(SEARCH("G3",Z2355)),"G3",IF(ISNUMBER(SEARCH("古馬条件",Z2355)),"古馬条件戦",IF(ISNUMBER(SEARCH("重賞",Z2355)),"重賞","分類不能")))))))))</f>
        <v/>
      </c>
    </row>
    <row r="2356" customFormat="false" ht="15.75" hidden="false" customHeight="false" outlineLevel="0" collapsed="false">
      <c r="AO2356" s="8" t="str">
        <f aca="false">IF(A2356="","",IF(COUNTIFS(全馬データ!$A$2:$A$50000,A2356,全馬データ!$B$2:$B$50000,B2356,全馬データ!$C$2:$C$50000,C2356,全馬データ!$D$2:$D$50000,E2356,全馬データ!$K$2:$K$50000,"&lt;&gt;")=0,"",SUMIFS(全馬データ!$K$2:$K$50000,全馬データ!$A$2:$A$50000,A2356,全馬データ!$B$2:$B$50000,B2356,全馬データ!$C$2:$C$50000,C2356,全馬データ!$D$2:$D$50000,E2356)))</f>
        <v/>
      </c>
      <c r="AP2356" s="8" t="str">
        <f aca="false">IF(A2356="","",IF(AO2356="","欠損",IF(AO2356&lt;=1.1,"1.0～1.1",IF(AO2356&lt;1.3,"1.2",IF(AO2356&lt;1.5,"1.3～1.4",IF(AO2356&lt;2,"1.5～1.9","2.0以上"))))))</f>
        <v/>
      </c>
      <c r="AQ2356" s="8" t="str">
        <f aca="false">IF(A2356="","",IF(ISNUMBER(SEARCH("2歳",Z2356)),"2歳戦",IF(ISNUMBER(SEARCH("3歳未勝利",Z2356)),"3歳未勝利",IF(ISNUMBER(SEARCH("未勝利",Z2356)),"その他未勝利",IF(ISNUMBER(SEARCH("G1",Z2356)),"G1",IF(ISNUMBER(SEARCH("G2",Z2356)),"G2",IF(ISNUMBER(SEARCH("G3",Z2356)),"G3",IF(ISNUMBER(SEARCH("古馬条件",Z2356)),"古馬条件戦",IF(ISNUMBER(SEARCH("重賞",Z2356)),"重賞","分類不能")))))))))</f>
        <v/>
      </c>
    </row>
    <row r="2357" customFormat="false" ht="15.75" hidden="false" customHeight="false" outlineLevel="0" collapsed="false">
      <c r="AO2357" s="8" t="str">
        <f aca="false">IF(A2357="","",IF(COUNTIFS(全馬データ!$A$2:$A$50000,A2357,全馬データ!$B$2:$B$50000,B2357,全馬データ!$C$2:$C$50000,C2357,全馬データ!$D$2:$D$50000,E2357,全馬データ!$K$2:$K$50000,"&lt;&gt;")=0,"",SUMIFS(全馬データ!$K$2:$K$50000,全馬データ!$A$2:$A$50000,A2357,全馬データ!$B$2:$B$50000,B2357,全馬データ!$C$2:$C$50000,C2357,全馬データ!$D$2:$D$50000,E2357)))</f>
        <v/>
      </c>
      <c r="AP2357" s="8" t="str">
        <f aca="false">IF(A2357="","",IF(AO2357="","欠損",IF(AO2357&lt;=1.1,"1.0～1.1",IF(AO2357&lt;1.3,"1.2",IF(AO2357&lt;1.5,"1.3～1.4",IF(AO2357&lt;2,"1.5～1.9","2.0以上"))))))</f>
        <v/>
      </c>
      <c r="AQ2357" s="8" t="str">
        <f aca="false">IF(A2357="","",IF(ISNUMBER(SEARCH("2歳",Z2357)),"2歳戦",IF(ISNUMBER(SEARCH("3歳未勝利",Z2357)),"3歳未勝利",IF(ISNUMBER(SEARCH("未勝利",Z2357)),"その他未勝利",IF(ISNUMBER(SEARCH("G1",Z2357)),"G1",IF(ISNUMBER(SEARCH("G2",Z2357)),"G2",IF(ISNUMBER(SEARCH("G3",Z2357)),"G3",IF(ISNUMBER(SEARCH("古馬条件",Z2357)),"古馬条件戦",IF(ISNUMBER(SEARCH("重賞",Z2357)),"重賞","分類不能")))))))))</f>
        <v/>
      </c>
    </row>
    <row r="2358" customFormat="false" ht="15.75" hidden="false" customHeight="false" outlineLevel="0" collapsed="false">
      <c r="AO2358" s="8" t="str">
        <f aca="false">IF(A2358="","",IF(COUNTIFS(全馬データ!$A$2:$A$50000,A2358,全馬データ!$B$2:$B$50000,B2358,全馬データ!$C$2:$C$50000,C2358,全馬データ!$D$2:$D$50000,E2358,全馬データ!$K$2:$K$50000,"&lt;&gt;")=0,"",SUMIFS(全馬データ!$K$2:$K$50000,全馬データ!$A$2:$A$50000,A2358,全馬データ!$B$2:$B$50000,B2358,全馬データ!$C$2:$C$50000,C2358,全馬データ!$D$2:$D$50000,E2358)))</f>
        <v/>
      </c>
      <c r="AP2358" s="8" t="str">
        <f aca="false">IF(A2358="","",IF(AO2358="","欠損",IF(AO2358&lt;=1.1,"1.0～1.1",IF(AO2358&lt;1.3,"1.2",IF(AO2358&lt;1.5,"1.3～1.4",IF(AO2358&lt;2,"1.5～1.9","2.0以上"))))))</f>
        <v/>
      </c>
      <c r="AQ2358" s="8" t="str">
        <f aca="false">IF(A2358="","",IF(ISNUMBER(SEARCH("2歳",Z2358)),"2歳戦",IF(ISNUMBER(SEARCH("3歳未勝利",Z2358)),"3歳未勝利",IF(ISNUMBER(SEARCH("未勝利",Z2358)),"その他未勝利",IF(ISNUMBER(SEARCH("G1",Z2358)),"G1",IF(ISNUMBER(SEARCH("G2",Z2358)),"G2",IF(ISNUMBER(SEARCH("G3",Z2358)),"G3",IF(ISNUMBER(SEARCH("古馬条件",Z2358)),"古馬条件戦",IF(ISNUMBER(SEARCH("重賞",Z2358)),"重賞","分類不能")))))))))</f>
        <v/>
      </c>
    </row>
    <row r="2359" customFormat="false" ht="15.75" hidden="false" customHeight="false" outlineLevel="0" collapsed="false">
      <c r="AO2359" s="8" t="str">
        <f aca="false">IF(A2359="","",IF(COUNTIFS(全馬データ!$A$2:$A$50000,A2359,全馬データ!$B$2:$B$50000,B2359,全馬データ!$C$2:$C$50000,C2359,全馬データ!$D$2:$D$50000,E2359,全馬データ!$K$2:$K$50000,"&lt;&gt;")=0,"",SUMIFS(全馬データ!$K$2:$K$50000,全馬データ!$A$2:$A$50000,A2359,全馬データ!$B$2:$B$50000,B2359,全馬データ!$C$2:$C$50000,C2359,全馬データ!$D$2:$D$50000,E2359)))</f>
        <v/>
      </c>
      <c r="AP2359" s="8" t="str">
        <f aca="false">IF(A2359="","",IF(AO2359="","欠損",IF(AO2359&lt;=1.1,"1.0～1.1",IF(AO2359&lt;1.3,"1.2",IF(AO2359&lt;1.5,"1.3～1.4",IF(AO2359&lt;2,"1.5～1.9","2.0以上"))))))</f>
        <v/>
      </c>
      <c r="AQ2359" s="8" t="str">
        <f aca="false">IF(A2359="","",IF(ISNUMBER(SEARCH("2歳",Z2359)),"2歳戦",IF(ISNUMBER(SEARCH("3歳未勝利",Z2359)),"3歳未勝利",IF(ISNUMBER(SEARCH("未勝利",Z2359)),"その他未勝利",IF(ISNUMBER(SEARCH("G1",Z2359)),"G1",IF(ISNUMBER(SEARCH("G2",Z2359)),"G2",IF(ISNUMBER(SEARCH("G3",Z2359)),"G3",IF(ISNUMBER(SEARCH("古馬条件",Z2359)),"古馬条件戦",IF(ISNUMBER(SEARCH("重賞",Z2359)),"重賞","分類不能")))))))))</f>
        <v/>
      </c>
    </row>
    <row r="2360" customFormat="false" ht="15.75" hidden="false" customHeight="false" outlineLevel="0" collapsed="false">
      <c r="AO2360" s="8" t="str">
        <f aca="false">IF(A2360="","",IF(COUNTIFS(全馬データ!$A$2:$A$50000,A2360,全馬データ!$B$2:$B$50000,B2360,全馬データ!$C$2:$C$50000,C2360,全馬データ!$D$2:$D$50000,E2360,全馬データ!$K$2:$K$50000,"&lt;&gt;")=0,"",SUMIFS(全馬データ!$K$2:$K$50000,全馬データ!$A$2:$A$50000,A2360,全馬データ!$B$2:$B$50000,B2360,全馬データ!$C$2:$C$50000,C2360,全馬データ!$D$2:$D$50000,E2360)))</f>
        <v/>
      </c>
      <c r="AP2360" s="8" t="str">
        <f aca="false">IF(A2360="","",IF(AO2360="","欠損",IF(AO2360&lt;=1.1,"1.0～1.1",IF(AO2360&lt;1.3,"1.2",IF(AO2360&lt;1.5,"1.3～1.4",IF(AO2360&lt;2,"1.5～1.9","2.0以上"))))))</f>
        <v/>
      </c>
      <c r="AQ2360" s="8" t="str">
        <f aca="false">IF(A2360="","",IF(ISNUMBER(SEARCH("2歳",Z2360)),"2歳戦",IF(ISNUMBER(SEARCH("3歳未勝利",Z2360)),"3歳未勝利",IF(ISNUMBER(SEARCH("未勝利",Z2360)),"その他未勝利",IF(ISNUMBER(SEARCH("G1",Z2360)),"G1",IF(ISNUMBER(SEARCH("G2",Z2360)),"G2",IF(ISNUMBER(SEARCH("G3",Z2360)),"G3",IF(ISNUMBER(SEARCH("古馬条件",Z2360)),"古馬条件戦",IF(ISNUMBER(SEARCH("重賞",Z2360)),"重賞","分類不能")))))))))</f>
        <v/>
      </c>
    </row>
    <row r="2361" customFormat="false" ht="15.75" hidden="false" customHeight="false" outlineLevel="0" collapsed="false">
      <c r="AO2361" s="8" t="str">
        <f aca="false">IF(A2361="","",IF(COUNTIFS(全馬データ!$A$2:$A$50000,A2361,全馬データ!$B$2:$B$50000,B2361,全馬データ!$C$2:$C$50000,C2361,全馬データ!$D$2:$D$50000,E2361,全馬データ!$K$2:$K$50000,"&lt;&gt;")=0,"",SUMIFS(全馬データ!$K$2:$K$50000,全馬データ!$A$2:$A$50000,A2361,全馬データ!$B$2:$B$50000,B2361,全馬データ!$C$2:$C$50000,C2361,全馬データ!$D$2:$D$50000,E2361)))</f>
        <v/>
      </c>
      <c r="AP2361" s="8" t="str">
        <f aca="false">IF(A2361="","",IF(AO2361="","欠損",IF(AO2361&lt;=1.1,"1.0～1.1",IF(AO2361&lt;1.3,"1.2",IF(AO2361&lt;1.5,"1.3～1.4",IF(AO2361&lt;2,"1.5～1.9","2.0以上"))))))</f>
        <v/>
      </c>
      <c r="AQ2361" s="8" t="str">
        <f aca="false">IF(A2361="","",IF(ISNUMBER(SEARCH("2歳",Z2361)),"2歳戦",IF(ISNUMBER(SEARCH("3歳未勝利",Z2361)),"3歳未勝利",IF(ISNUMBER(SEARCH("未勝利",Z2361)),"その他未勝利",IF(ISNUMBER(SEARCH("G1",Z2361)),"G1",IF(ISNUMBER(SEARCH("G2",Z2361)),"G2",IF(ISNUMBER(SEARCH("G3",Z2361)),"G3",IF(ISNUMBER(SEARCH("古馬条件",Z2361)),"古馬条件戦",IF(ISNUMBER(SEARCH("重賞",Z2361)),"重賞","分類不能")))))))))</f>
        <v/>
      </c>
    </row>
    <row r="2362" customFormat="false" ht="15.75" hidden="false" customHeight="false" outlineLevel="0" collapsed="false">
      <c r="AO2362" s="8" t="str">
        <f aca="false">IF(A2362="","",IF(COUNTIFS(全馬データ!$A$2:$A$50000,A2362,全馬データ!$B$2:$B$50000,B2362,全馬データ!$C$2:$C$50000,C2362,全馬データ!$D$2:$D$50000,E2362,全馬データ!$K$2:$K$50000,"&lt;&gt;")=0,"",SUMIFS(全馬データ!$K$2:$K$50000,全馬データ!$A$2:$A$50000,A2362,全馬データ!$B$2:$B$50000,B2362,全馬データ!$C$2:$C$50000,C2362,全馬データ!$D$2:$D$50000,E2362)))</f>
        <v/>
      </c>
      <c r="AP2362" s="8" t="str">
        <f aca="false">IF(A2362="","",IF(AO2362="","欠損",IF(AO2362&lt;=1.1,"1.0～1.1",IF(AO2362&lt;1.3,"1.2",IF(AO2362&lt;1.5,"1.3～1.4",IF(AO2362&lt;2,"1.5～1.9","2.0以上"))))))</f>
        <v/>
      </c>
      <c r="AQ2362" s="8" t="str">
        <f aca="false">IF(A2362="","",IF(ISNUMBER(SEARCH("2歳",Z2362)),"2歳戦",IF(ISNUMBER(SEARCH("3歳未勝利",Z2362)),"3歳未勝利",IF(ISNUMBER(SEARCH("未勝利",Z2362)),"その他未勝利",IF(ISNUMBER(SEARCH("G1",Z2362)),"G1",IF(ISNUMBER(SEARCH("G2",Z2362)),"G2",IF(ISNUMBER(SEARCH("G3",Z2362)),"G3",IF(ISNUMBER(SEARCH("古馬条件",Z2362)),"古馬条件戦",IF(ISNUMBER(SEARCH("重賞",Z2362)),"重賞","分類不能")))))))))</f>
        <v/>
      </c>
    </row>
    <row r="2363" customFormat="false" ht="15.75" hidden="false" customHeight="false" outlineLevel="0" collapsed="false">
      <c r="AO2363" s="8" t="str">
        <f aca="false">IF(A2363="","",IF(COUNTIFS(全馬データ!$A$2:$A$50000,A2363,全馬データ!$B$2:$B$50000,B2363,全馬データ!$C$2:$C$50000,C2363,全馬データ!$D$2:$D$50000,E2363,全馬データ!$K$2:$K$50000,"&lt;&gt;")=0,"",SUMIFS(全馬データ!$K$2:$K$50000,全馬データ!$A$2:$A$50000,A2363,全馬データ!$B$2:$B$50000,B2363,全馬データ!$C$2:$C$50000,C2363,全馬データ!$D$2:$D$50000,E2363)))</f>
        <v/>
      </c>
      <c r="AP2363" s="8" t="str">
        <f aca="false">IF(A2363="","",IF(AO2363="","欠損",IF(AO2363&lt;=1.1,"1.0～1.1",IF(AO2363&lt;1.3,"1.2",IF(AO2363&lt;1.5,"1.3～1.4",IF(AO2363&lt;2,"1.5～1.9","2.0以上"))))))</f>
        <v/>
      </c>
      <c r="AQ2363" s="8" t="str">
        <f aca="false">IF(A2363="","",IF(ISNUMBER(SEARCH("2歳",Z2363)),"2歳戦",IF(ISNUMBER(SEARCH("3歳未勝利",Z2363)),"3歳未勝利",IF(ISNUMBER(SEARCH("未勝利",Z2363)),"その他未勝利",IF(ISNUMBER(SEARCH("G1",Z2363)),"G1",IF(ISNUMBER(SEARCH("G2",Z2363)),"G2",IF(ISNUMBER(SEARCH("G3",Z2363)),"G3",IF(ISNUMBER(SEARCH("古馬条件",Z2363)),"古馬条件戦",IF(ISNUMBER(SEARCH("重賞",Z2363)),"重賞","分類不能")))))))))</f>
        <v/>
      </c>
    </row>
    <row r="2364" customFormat="false" ht="15.75" hidden="false" customHeight="false" outlineLevel="0" collapsed="false">
      <c r="AO2364" s="8" t="str">
        <f aca="false">IF(A2364="","",IF(COUNTIFS(全馬データ!$A$2:$A$50000,A2364,全馬データ!$B$2:$B$50000,B2364,全馬データ!$C$2:$C$50000,C2364,全馬データ!$D$2:$D$50000,E2364,全馬データ!$K$2:$K$50000,"&lt;&gt;")=0,"",SUMIFS(全馬データ!$K$2:$K$50000,全馬データ!$A$2:$A$50000,A2364,全馬データ!$B$2:$B$50000,B2364,全馬データ!$C$2:$C$50000,C2364,全馬データ!$D$2:$D$50000,E2364)))</f>
        <v/>
      </c>
      <c r="AP2364" s="8" t="str">
        <f aca="false">IF(A2364="","",IF(AO2364="","欠損",IF(AO2364&lt;=1.1,"1.0～1.1",IF(AO2364&lt;1.3,"1.2",IF(AO2364&lt;1.5,"1.3～1.4",IF(AO2364&lt;2,"1.5～1.9","2.0以上"))))))</f>
        <v/>
      </c>
      <c r="AQ2364" s="8" t="str">
        <f aca="false">IF(A2364="","",IF(ISNUMBER(SEARCH("2歳",Z2364)),"2歳戦",IF(ISNUMBER(SEARCH("3歳未勝利",Z2364)),"3歳未勝利",IF(ISNUMBER(SEARCH("未勝利",Z2364)),"その他未勝利",IF(ISNUMBER(SEARCH("G1",Z2364)),"G1",IF(ISNUMBER(SEARCH("G2",Z2364)),"G2",IF(ISNUMBER(SEARCH("G3",Z2364)),"G3",IF(ISNUMBER(SEARCH("古馬条件",Z2364)),"古馬条件戦",IF(ISNUMBER(SEARCH("重賞",Z2364)),"重賞","分類不能")))))))))</f>
        <v/>
      </c>
    </row>
    <row r="2365" customFormat="false" ht="15.75" hidden="false" customHeight="false" outlineLevel="0" collapsed="false">
      <c r="AO2365" s="8" t="str">
        <f aca="false">IF(A2365="","",IF(COUNTIFS(全馬データ!$A$2:$A$50000,A2365,全馬データ!$B$2:$B$50000,B2365,全馬データ!$C$2:$C$50000,C2365,全馬データ!$D$2:$D$50000,E2365,全馬データ!$K$2:$K$50000,"&lt;&gt;")=0,"",SUMIFS(全馬データ!$K$2:$K$50000,全馬データ!$A$2:$A$50000,A2365,全馬データ!$B$2:$B$50000,B2365,全馬データ!$C$2:$C$50000,C2365,全馬データ!$D$2:$D$50000,E2365)))</f>
        <v/>
      </c>
      <c r="AP2365" s="8" t="str">
        <f aca="false">IF(A2365="","",IF(AO2365="","欠損",IF(AO2365&lt;=1.1,"1.0～1.1",IF(AO2365&lt;1.3,"1.2",IF(AO2365&lt;1.5,"1.3～1.4",IF(AO2365&lt;2,"1.5～1.9","2.0以上"))))))</f>
        <v/>
      </c>
      <c r="AQ2365" s="8" t="str">
        <f aca="false">IF(A2365="","",IF(ISNUMBER(SEARCH("2歳",Z2365)),"2歳戦",IF(ISNUMBER(SEARCH("3歳未勝利",Z2365)),"3歳未勝利",IF(ISNUMBER(SEARCH("未勝利",Z2365)),"その他未勝利",IF(ISNUMBER(SEARCH("G1",Z2365)),"G1",IF(ISNUMBER(SEARCH("G2",Z2365)),"G2",IF(ISNUMBER(SEARCH("G3",Z2365)),"G3",IF(ISNUMBER(SEARCH("古馬条件",Z2365)),"古馬条件戦",IF(ISNUMBER(SEARCH("重賞",Z2365)),"重賞","分類不能")))))))))</f>
        <v/>
      </c>
    </row>
    <row r="2366" customFormat="false" ht="15.75" hidden="false" customHeight="false" outlineLevel="0" collapsed="false">
      <c r="AO2366" s="8" t="str">
        <f aca="false">IF(A2366="","",IF(COUNTIFS(全馬データ!$A$2:$A$50000,A2366,全馬データ!$B$2:$B$50000,B2366,全馬データ!$C$2:$C$50000,C2366,全馬データ!$D$2:$D$50000,E2366,全馬データ!$K$2:$K$50000,"&lt;&gt;")=0,"",SUMIFS(全馬データ!$K$2:$K$50000,全馬データ!$A$2:$A$50000,A2366,全馬データ!$B$2:$B$50000,B2366,全馬データ!$C$2:$C$50000,C2366,全馬データ!$D$2:$D$50000,E2366)))</f>
        <v/>
      </c>
      <c r="AP2366" s="8" t="str">
        <f aca="false">IF(A2366="","",IF(AO2366="","欠損",IF(AO2366&lt;=1.1,"1.0～1.1",IF(AO2366&lt;1.3,"1.2",IF(AO2366&lt;1.5,"1.3～1.4",IF(AO2366&lt;2,"1.5～1.9","2.0以上"))))))</f>
        <v/>
      </c>
      <c r="AQ2366" s="8" t="str">
        <f aca="false">IF(A2366="","",IF(ISNUMBER(SEARCH("2歳",Z2366)),"2歳戦",IF(ISNUMBER(SEARCH("3歳未勝利",Z2366)),"3歳未勝利",IF(ISNUMBER(SEARCH("未勝利",Z2366)),"その他未勝利",IF(ISNUMBER(SEARCH("G1",Z2366)),"G1",IF(ISNUMBER(SEARCH("G2",Z2366)),"G2",IF(ISNUMBER(SEARCH("G3",Z2366)),"G3",IF(ISNUMBER(SEARCH("古馬条件",Z2366)),"古馬条件戦",IF(ISNUMBER(SEARCH("重賞",Z2366)),"重賞","分類不能")))))))))</f>
        <v/>
      </c>
    </row>
    <row r="2367" customFormat="false" ht="15.75" hidden="false" customHeight="false" outlineLevel="0" collapsed="false">
      <c r="AO2367" s="8" t="str">
        <f aca="false">IF(A2367="","",IF(COUNTIFS(全馬データ!$A$2:$A$50000,A2367,全馬データ!$B$2:$B$50000,B2367,全馬データ!$C$2:$C$50000,C2367,全馬データ!$D$2:$D$50000,E2367,全馬データ!$K$2:$K$50000,"&lt;&gt;")=0,"",SUMIFS(全馬データ!$K$2:$K$50000,全馬データ!$A$2:$A$50000,A2367,全馬データ!$B$2:$B$50000,B2367,全馬データ!$C$2:$C$50000,C2367,全馬データ!$D$2:$D$50000,E2367)))</f>
        <v/>
      </c>
      <c r="AP2367" s="8" t="str">
        <f aca="false">IF(A2367="","",IF(AO2367="","欠損",IF(AO2367&lt;=1.1,"1.0～1.1",IF(AO2367&lt;1.3,"1.2",IF(AO2367&lt;1.5,"1.3～1.4",IF(AO2367&lt;2,"1.5～1.9","2.0以上"))))))</f>
        <v/>
      </c>
      <c r="AQ2367" s="8" t="str">
        <f aca="false">IF(A2367="","",IF(ISNUMBER(SEARCH("2歳",Z2367)),"2歳戦",IF(ISNUMBER(SEARCH("3歳未勝利",Z2367)),"3歳未勝利",IF(ISNUMBER(SEARCH("未勝利",Z2367)),"その他未勝利",IF(ISNUMBER(SEARCH("G1",Z2367)),"G1",IF(ISNUMBER(SEARCH("G2",Z2367)),"G2",IF(ISNUMBER(SEARCH("G3",Z2367)),"G3",IF(ISNUMBER(SEARCH("古馬条件",Z2367)),"古馬条件戦",IF(ISNUMBER(SEARCH("重賞",Z2367)),"重賞","分類不能")))))))))</f>
        <v/>
      </c>
    </row>
    <row r="2368" customFormat="false" ht="15.75" hidden="false" customHeight="false" outlineLevel="0" collapsed="false">
      <c r="AO2368" s="8" t="str">
        <f aca="false">IF(A2368="","",IF(COUNTIFS(全馬データ!$A$2:$A$50000,A2368,全馬データ!$B$2:$B$50000,B2368,全馬データ!$C$2:$C$50000,C2368,全馬データ!$D$2:$D$50000,E2368,全馬データ!$K$2:$K$50000,"&lt;&gt;")=0,"",SUMIFS(全馬データ!$K$2:$K$50000,全馬データ!$A$2:$A$50000,A2368,全馬データ!$B$2:$B$50000,B2368,全馬データ!$C$2:$C$50000,C2368,全馬データ!$D$2:$D$50000,E2368)))</f>
        <v/>
      </c>
      <c r="AP2368" s="8" t="str">
        <f aca="false">IF(A2368="","",IF(AO2368="","欠損",IF(AO2368&lt;=1.1,"1.0～1.1",IF(AO2368&lt;1.3,"1.2",IF(AO2368&lt;1.5,"1.3～1.4",IF(AO2368&lt;2,"1.5～1.9","2.0以上"))))))</f>
        <v/>
      </c>
      <c r="AQ2368" s="8" t="str">
        <f aca="false">IF(A2368="","",IF(ISNUMBER(SEARCH("2歳",Z2368)),"2歳戦",IF(ISNUMBER(SEARCH("3歳未勝利",Z2368)),"3歳未勝利",IF(ISNUMBER(SEARCH("未勝利",Z2368)),"その他未勝利",IF(ISNUMBER(SEARCH("G1",Z2368)),"G1",IF(ISNUMBER(SEARCH("G2",Z2368)),"G2",IF(ISNUMBER(SEARCH("G3",Z2368)),"G3",IF(ISNUMBER(SEARCH("古馬条件",Z2368)),"古馬条件戦",IF(ISNUMBER(SEARCH("重賞",Z2368)),"重賞","分類不能")))))))))</f>
        <v/>
      </c>
    </row>
    <row r="2369" customFormat="false" ht="15.75" hidden="false" customHeight="false" outlineLevel="0" collapsed="false">
      <c r="AO2369" s="8" t="str">
        <f aca="false">IF(A2369="","",IF(COUNTIFS(全馬データ!$A$2:$A$50000,A2369,全馬データ!$B$2:$B$50000,B2369,全馬データ!$C$2:$C$50000,C2369,全馬データ!$D$2:$D$50000,E2369,全馬データ!$K$2:$K$50000,"&lt;&gt;")=0,"",SUMIFS(全馬データ!$K$2:$K$50000,全馬データ!$A$2:$A$50000,A2369,全馬データ!$B$2:$B$50000,B2369,全馬データ!$C$2:$C$50000,C2369,全馬データ!$D$2:$D$50000,E2369)))</f>
        <v/>
      </c>
      <c r="AP2369" s="8" t="str">
        <f aca="false">IF(A2369="","",IF(AO2369="","欠損",IF(AO2369&lt;=1.1,"1.0～1.1",IF(AO2369&lt;1.3,"1.2",IF(AO2369&lt;1.5,"1.3～1.4",IF(AO2369&lt;2,"1.5～1.9","2.0以上"))))))</f>
        <v/>
      </c>
      <c r="AQ2369" s="8" t="str">
        <f aca="false">IF(A2369="","",IF(ISNUMBER(SEARCH("2歳",Z2369)),"2歳戦",IF(ISNUMBER(SEARCH("3歳未勝利",Z2369)),"3歳未勝利",IF(ISNUMBER(SEARCH("未勝利",Z2369)),"その他未勝利",IF(ISNUMBER(SEARCH("G1",Z2369)),"G1",IF(ISNUMBER(SEARCH("G2",Z2369)),"G2",IF(ISNUMBER(SEARCH("G3",Z2369)),"G3",IF(ISNUMBER(SEARCH("古馬条件",Z2369)),"古馬条件戦",IF(ISNUMBER(SEARCH("重賞",Z2369)),"重賞","分類不能")))))))))</f>
        <v/>
      </c>
    </row>
    <row r="2370" customFormat="false" ht="15.75" hidden="false" customHeight="false" outlineLevel="0" collapsed="false">
      <c r="AO2370" s="8" t="str">
        <f aca="false">IF(A2370="","",IF(COUNTIFS(全馬データ!$A$2:$A$50000,A2370,全馬データ!$B$2:$B$50000,B2370,全馬データ!$C$2:$C$50000,C2370,全馬データ!$D$2:$D$50000,E2370,全馬データ!$K$2:$K$50000,"&lt;&gt;")=0,"",SUMIFS(全馬データ!$K$2:$K$50000,全馬データ!$A$2:$A$50000,A2370,全馬データ!$B$2:$B$50000,B2370,全馬データ!$C$2:$C$50000,C2370,全馬データ!$D$2:$D$50000,E2370)))</f>
        <v/>
      </c>
      <c r="AP2370" s="8" t="str">
        <f aca="false">IF(A2370="","",IF(AO2370="","欠損",IF(AO2370&lt;=1.1,"1.0～1.1",IF(AO2370&lt;1.3,"1.2",IF(AO2370&lt;1.5,"1.3～1.4",IF(AO2370&lt;2,"1.5～1.9","2.0以上"))))))</f>
        <v/>
      </c>
      <c r="AQ2370" s="8" t="str">
        <f aca="false">IF(A2370="","",IF(ISNUMBER(SEARCH("2歳",Z2370)),"2歳戦",IF(ISNUMBER(SEARCH("3歳未勝利",Z2370)),"3歳未勝利",IF(ISNUMBER(SEARCH("未勝利",Z2370)),"その他未勝利",IF(ISNUMBER(SEARCH("G1",Z2370)),"G1",IF(ISNUMBER(SEARCH("G2",Z2370)),"G2",IF(ISNUMBER(SEARCH("G3",Z2370)),"G3",IF(ISNUMBER(SEARCH("古馬条件",Z2370)),"古馬条件戦",IF(ISNUMBER(SEARCH("重賞",Z2370)),"重賞","分類不能")))))))))</f>
        <v/>
      </c>
    </row>
    <row r="2371" customFormat="false" ht="15.75" hidden="false" customHeight="false" outlineLevel="0" collapsed="false">
      <c r="AO2371" s="8" t="str">
        <f aca="false">IF(A2371="","",IF(COUNTIFS(全馬データ!$A$2:$A$50000,A2371,全馬データ!$B$2:$B$50000,B2371,全馬データ!$C$2:$C$50000,C2371,全馬データ!$D$2:$D$50000,E2371,全馬データ!$K$2:$K$50000,"&lt;&gt;")=0,"",SUMIFS(全馬データ!$K$2:$K$50000,全馬データ!$A$2:$A$50000,A2371,全馬データ!$B$2:$B$50000,B2371,全馬データ!$C$2:$C$50000,C2371,全馬データ!$D$2:$D$50000,E2371)))</f>
        <v/>
      </c>
      <c r="AP2371" s="8" t="str">
        <f aca="false">IF(A2371="","",IF(AO2371="","欠損",IF(AO2371&lt;=1.1,"1.0～1.1",IF(AO2371&lt;1.3,"1.2",IF(AO2371&lt;1.5,"1.3～1.4",IF(AO2371&lt;2,"1.5～1.9","2.0以上"))))))</f>
        <v/>
      </c>
      <c r="AQ2371" s="8" t="str">
        <f aca="false">IF(A2371="","",IF(ISNUMBER(SEARCH("2歳",Z2371)),"2歳戦",IF(ISNUMBER(SEARCH("3歳未勝利",Z2371)),"3歳未勝利",IF(ISNUMBER(SEARCH("未勝利",Z2371)),"その他未勝利",IF(ISNUMBER(SEARCH("G1",Z2371)),"G1",IF(ISNUMBER(SEARCH("G2",Z2371)),"G2",IF(ISNUMBER(SEARCH("G3",Z2371)),"G3",IF(ISNUMBER(SEARCH("古馬条件",Z2371)),"古馬条件戦",IF(ISNUMBER(SEARCH("重賞",Z2371)),"重賞","分類不能")))))))))</f>
        <v/>
      </c>
    </row>
    <row r="2372" customFormat="false" ht="15.75" hidden="false" customHeight="false" outlineLevel="0" collapsed="false">
      <c r="AO2372" s="8" t="str">
        <f aca="false">IF(A2372="","",IF(COUNTIFS(全馬データ!$A$2:$A$50000,A2372,全馬データ!$B$2:$B$50000,B2372,全馬データ!$C$2:$C$50000,C2372,全馬データ!$D$2:$D$50000,E2372,全馬データ!$K$2:$K$50000,"&lt;&gt;")=0,"",SUMIFS(全馬データ!$K$2:$K$50000,全馬データ!$A$2:$A$50000,A2372,全馬データ!$B$2:$B$50000,B2372,全馬データ!$C$2:$C$50000,C2372,全馬データ!$D$2:$D$50000,E2372)))</f>
        <v/>
      </c>
      <c r="AP2372" s="8" t="str">
        <f aca="false">IF(A2372="","",IF(AO2372="","欠損",IF(AO2372&lt;=1.1,"1.0～1.1",IF(AO2372&lt;1.3,"1.2",IF(AO2372&lt;1.5,"1.3～1.4",IF(AO2372&lt;2,"1.5～1.9","2.0以上"))))))</f>
        <v/>
      </c>
      <c r="AQ2372" s="8" t="str">
        <f aca="false">IF(A2372="","",IF(ISNUMBER(SEARCH("2歳",Z2372)),"2歳戦",IF(ISNUMBER(SEARCH("3歳未勝利",Z2372)),"3歳未勝利",IF(ISNUMBER(SEARCH("未勝利",Z2372)),"その他未勝利",IF(ISNUMBER(SEARCH("G1",Z2372)),"G1",IF(ISNUMBER(SEARCH("G2",Z2372)),"G2",IF(ISNUMBER(SEARCH("G3",Z2372)),"G3",IF(ISNUMBER(SEARCH("古馬条件",Z2372)),"古馬条件戦",IF(ISNUMBER(SEARCH("重賞",Z2372)),"重賞","分類不能")))))))))</f>
        <v/>
      </c>
    </row>
    <row r="2373" customFormat="false" ht="15.75" hidden="false" customHeight="false" outlineLevel="0" collapsed="false">
      <c r="AO2373" s="8" t="str">
        <f aca="false">IF(A2373="","",IF(COUNTIFS(全馬データ!$A$2:$A$50000,A2373,全馬データ!$B$2:$B$50000,B2373,全馬データ!$C$2:$C$50000,C2373,全馬データ!$D$2:$D$50000,E2373,全馬データ!$K$2:$K$50000,"&lt;&gt;")=0,"",SUMIFS(全馬データ!$K$2:$K$50000,全馬データ!$A$2:$A$50000,A2373,全馬データ!$B$2:$B$50000,B2373,全馬データ!$C$2:$C$50000,C2373,全馬データ!$D$2:$D$50000,E2373)))</f>
        <v/>
      </c>
      <c r="AP2373" s="8" t="str">
        <f aca="false">IF(A2373="","",IF(AO2373="","欠損",IF(AO2373&lt;=1.1,"1.0～1.1",IF(AO2373&lt;1.3,"1.2",IF(AO2373&lt;1.5,"1.3～1.4",IF(AO2373&lt;2,"1.5～1.9","2.0以上"))))))</f>
        <v/>
      </c>
      <c r="AQ2373" s="8" t="str">
        <f aca="false">IF(A2373="","",IF(ISNUMBER(SEARCH("2歳",Z2373)),"2歳戦",IF(ISNUMBER(SEARCH("3歳未勝利",Z2373)),"3歳未勝利",IF(ISNUMBER(SEARCH("未勝利",Z2373)),"その他未勝利",IF(ISNUMBER(SEARCH("G1",Z2373)),"G1",IF(ISNUMBER(SEARCH("G2",Z2373)),"G2",IF(ISNUMBER(SEARCH("G3",Z2373)),"G3",IF(ISNUMBER(SEARCH("古馬条件",Z2373)),"古馬条件戦",IF(ISNUMBER(SEARCH("重賞",Z2373)),"重賞","分類不能")))))))))</f>
        <v/>
      </c>
    </row>
    <row r="2374" customFormat="false" ht="15.75" hidden="false" customHeight="false" outlineLevel="0" collapsed="false">
      <c r="AO2374" s="8" t="str">
        <f aca="false">IF(A2374="","",IF(COUNTIFS(全馬データ!$A$2:$A$50000,A2374,全馬データ!$B$2:$B$50000,B2374,全馬データ!$C$2:$C$50000,C2374,全馬データ!$D$2:$D$50000,E2374,全馬データ!$K$2:$K$50000,"&lt;&gt;")=0,"",SUMIFS(全馬データ!$K$2:$K$50000,全馬データ!$A$2:$A$50000,A2374,全馬データ!$B$2:$B$50000,B2374,全馬データ!$C$2:$C$50000,C2374,全馬データ!$D$2:$D$50000,E2374)))</f>
        <v/>
      </c>
      <c r="AP2374" s="8" t="str">
        <f aca="false">IF(A2374="","",IF(AO2374="","欠損",IF(AO2374&lt;=1.1,"1.0～1.1",IF(AO2374&lt;1.3,"1.2",IF(AO2374&lt;1.5,"1.3～1.4",IF(AO2374&lt;2,"1.5～1.9","2.0以上"))))))</f>
        <v/>
      </c>
      <c r="AQ2374" s="8" t="str">
        <f aca="false">IF(A2374="","",IF(ISNUMBER(SEARCH("2歳",Z2374)),"2歳戦",IF(ISNUMBER(SEARCH("3歳未勝利",Z2374)),"3歳未勝利",IF(ISNUMBER(SEARCH("未勝利",Z2374)),"その他未勝利",IF(ISNUMBER(SEARCH("G1",Z2374)),"G1",IF(ISNUMBER(SEARCH("G2",Z2374)),"G2",IF(ISNUMBER(SEARCH("G3",Z2374)),"G3",IF(ISNUMBER(SEARCH("古馬条件",Z2374)),"古馬条件戦",IF(ISNUMBER(SEARCH("重賞",Z2374)),"重賞","分類不能")))))))))</f>
        <v/>
      </c>
    </row>
    <row r="2375" customFormat="false" ht="15.75" hidden="false" customHeight="false" outlineLevel="0" collapsed="false">
      <c r="AO2375" s="8" t="str">
        <f aca="false">IF(A2375="","",IF(COUNTIFS(全馬データ!$A$2:$A$50000,A2375,全馬データ!$B$2:$B$50000,B2375,全馬データ!$C$2:$C$50000,C2375,全馬データ!$D$2:$D$50000,E2375,全馬データ!$K$2:$K$50000,"&lt;&gt;")=0,"",SUMIFS(全馬データ!$K$2:$K$50000,全馬データ!$A$2:$A$50000,A2375,全馬データ!$B$2:$B$50000,B2375,全馬データ!$C$2:$C$50000,C2375,全馬データ!$D$2:$D$50000,E2375)))</f>
        <v/>
      </c>
      <c r="AP2375" s="8" t="str">
        <f aca="false">IF(A2375="","",IF(AO2375="","欠損",IF(AO2375&lt;=1.1,"1.0～1.1",IF(AO2375&lt;1.3,"1.2",IF(AO2375&lt;1.5,"1.3～1.4",IF(AO2375&lt;2,"1.5～1.9","2.0以上"))))))</f>
        <v/>
      </c>
      <c r="AQ2375" s="8" t="str">
        <f aca="false">IF(A2375="","",IF(ISNUMBER(SEARCH("2歳",Z2375)),"2歳戦",IF(ISNUMBER(SEARCH("3歳未勝利",Z2375)),"3歳未勝利",IF(ISNUMBER(SEARCH("未勝利",Z2375)),"その他未勝利",IF(ISNUMBER(SEARCH("G1",Z2375)),"G1",IF(ISNUMBER(SEARCH("G2",Z2375)),"G2",IF(ISNUMBER(SEARCH("G3",Z2375)),"G3",IF(ISNUMBER(SEARCH("古馬条件",Z2375)),"古馬条件戦",IF(ISNUMBER(SEARCH("重賞",Z2375)),"重賞","分類不能")))))))))</f>
        <v/>
      </c>
    </row>
    <row r="2376" customFormat="false" ht="15.75" hidden="false" customHeight="false" outlineLevel="0" collapsed="false">
      <c r="AO2376" s="8" t="str">
        <f aca="false">IF(A2376="","",IF(COUNTIFS(全馬データ!$A$2:$A$50000,A2376,全馬データ!$B$2:$B$50000,B2376,全馬データ!$C$2:$C$50000,C2376,全馬データ!$D$2:$D$50000,E2376,全馬データ!$K$2:$K$50000,"&lt;&gt;")=0,"",SUMIFS(全馬データ!$K$2:$K$50000,全馬データ!$A$2:$A$50000,A2376,全馬データ!$B$2:$B$50000,B2376,全馬データ!$C$2:$C$50000,C2376,全馬データ!$D$2:$D$50000,E2376)))</f>
        <v/>
      </c>
      <c r="AP2376" s="8" t="str">
        <f aca="false">IF(A2376="","",IF(AO2376="","欠損",IF(AO2376&lt;=1.1,"1.0～1.1",IF(AO2376&lt;1.3,"1.2",IF(AO2376&lt;1.5,"1.3～1.4",IF(AO2376&lt;2,"1.5～1.9","2.0以上"))))))</f>
        <v/>
      </c>
      <c r="AQ2376" s="8" t="str">
        <f aca="false">IF(A2376="","",IF(ISNUMBER(SEARCH("2歳",Z2376)),"2歳戦",IF(ISNUMBER(SEARCH("3歳未勝利",Z2376)),"3歳未勝利",IF(ISNUMBER(SEARCH("未勝利",Z2376)),"その他未勝利",IF(ISNUMBER(SEARCH("G1",Z2376)),"G1",IF(ISNUMBER(SEARCH("G2",Z2376)),"G2",IF(ISNUMBER(SEARCH("G3",Z2376)),"G3",IF(ISNUMBER(SEARCH("古馬条件",Z2376)),"古馬条件戦",IF(ISNUMBER(SEARCH("重賞",Z2376)),"重賞","分類不能")))))))))</f>
        <v/>
      </c>
    </row>
    <row r="2377" customFormat="false" ht="15.75" hidden="false" customHeight="false" outlineLevel="0" collapsed="false">
      <c r="AO2377" s="8" t="str">
        <f aca="false">IF(A2377="","",IF(COUNTIFS(全馬データ!$A$2:$A$50000,A2377,全馬データ!$B$2:$B$50000,B2377,全馬データ!$C$2:$C$50000,C2377,全馬データ!$D$2:$D$50000,E2377,全馬データ!$K$2:$K$50000,"&lt;&gt;")=0,"",SUMIFS(全馬データ!$K$2:$K$50000,全馬データ!$A$2:$A$50000,A2377,全馬データ!$B$2:$B$50000,B2377,全馬データ!$C$2:$C$50000,C2377,全馬データ!$D$2:$D$50000,E2377)))</f>
        <v/>
      </c>
      <c r="AP2377" s="8" t="str">
        <f aca="false">IF(A2377="","",IF(AO2377="","欠損",IF(AO2377&lt;=1.1,"1.0～1.1",IF(AO2377&lt;1.3,"1.2",IF(AO2377&lt;1.5,"1.3～1.4",IF(AO2377&lt;2,"1.5～1.9","2.0以上"))))))</f>
        <v/>
      </c>
      <c r="AQ2377" s="8" t="str">
        <f aca="false">IF(A2377="","",IF(ISNUMBER(SEARCH("2歳",Z2377)),"2歳戦",IF(ISNUMBER(SEARCH("3歳未勝利",Z2377)),"3歳未勝利",IF(ISNUMBER(SEARCH("未勝利",Z2377)),"その他未勝利",IF(ISNUMBER(SEARCH("G1",Z2377)),"G1",IF(ISNUMBER(SEARCH("G2",Z2377)),"G2",IF(ISNUMBER(SEARCH("G3",Z2377)),"G3",IF(ISNUMBER(SEARCH("古馬条件",Z2377)),"古馬条件戦",IF(ISNUMBER(SEARCH("重賞",Z2377)),"重賞","分類不能")))))))))</f>
        <v/>
      </c>
    </row>
    <row r="2378" customFormat="false" ht="15.75" hidden="false" customHeight="false" outlineLevel="0" collapsed="false">
      <c r="AO2378" s="8" t="str">
        <f aca="false">IF(A2378="","",IF(COUNTIFS(全馬データ!$A$2:$A$50000,A2378,全馬データ!$B$2:$B$50000,B2378,全馬データ!$C$2:$C$50000,C2378,全馬データ!$D$2:$D$50000,E2378,全馬データ!$K$2:$K$50000,"&lt;&gt;")=0,"",SUMIFS(全馬データ!$K$2:$K$50000,全馬データ!$A$2:$A$50000,A2378,全馬データ!$B$2:$B$50000,B2378,全馬データ!$C$2:$C$50000,C2378,全馬データ!$D$2:$D$50000,E2378)))</f>
        <v/>
      </c>
      <c r="AP2378" s="8" t="str">
        <f aca="false">IF(A2378="","",IF(AO2378="","欠損",IF(AO2378&lt;=1.1,"1.0～1.1",IF(AO2378&lt;1.3,"1.2",IF(AO2378&lt;1.5,"1.3～1.4",IF(AO2378&lt;2,"1.5～1.9","2.0以上"))))))</f>
        <v/>
      </c>
      <c r="AQ2378" s="8" t="str">
        <f aca="false">IF(A2378="","",IF(ISNUMBER(SEARCH("2歳",Z2378)),"2歳戦",IF(ISNUMBER(SEARCH("3歳未勝利",Z2378)),"3歳未勝利",IF(ISNUMBER(SEARCH("未勝利",Z2378)),"その他未勝利",IF(ISNUMBER(SEARCH("G1",Z2378)),"G1",IF(ISNUMBER(SEARCH("G2",Z2378)),"G2",IF(ISNUMBER(SEARCH("G3",Z2378)),"G3",IF(ISNUMBER(SEARCH("古馬条件",Z2378)),"古馬条件戦",IF(ISNUMBER(SEARCH("重賞",Z2378)),"重賞","分類不能")))))))))</f>
        <v/>
      </c>
    </row>
    <row r="2379" customFormat="false" ht="15.75" hidden="false" customHeight="false" outlineLevel="0" collapsed="false">
      <c r="AO2379" s="8" t="str">
        <f aca="false">IF(A2379="","",IF(COUNTIFS(全馬データ!$A$2:$A$50000,A2379,全馬データ!$B$2:$B$50000,B2379,全馬データ!$C$2:$C$50000,C2379,全馬データ!$D$2:$D$50000,E2379,全馬データ!$K$2:$K$50000,"&lt;&gt;")=0,"",SUMIFS(全馬データ!$K$2:$K$50000,全馬データ!$A$2:$A$50000,A2379,全馬データ!$B$2:$B$50000,B2379,全馬データ!$C$2:$C$50000,C2379,全馬データ!$D$2:$D$50000,E2379)))</f>
        <v/>
      </c>
      <c r="AP2379" s="8" t="str">
        <f aca="false">IF(A2379="","",IF(AO2379="","欠損",IF(AO2379&lt;=1.1,"1.0～1.1",IF(AO2379&lt;1.3,"1.2",IF(AO2379&lt;1.5,"1.3～1.4",IF(AO2379&lt;2,"1.5～1.9","2.0以上"))))))</f>
        <v/>
      </c>
      <c r="AQ2379" s="8" t="str">
        <f aca="false">IF(A2379="","",IF(ISNUMBER(SEARCH("2歳",Z2379)),"2歳戦",IF(ISNUMBER(SEARCH("3歳未勝利",Z2379)),"3歳未勝利",IF(ISNUMBER(SEARCH("未勝利",Z2379)),"その他未勝利",IF(ISNUMBER(SEARCH("G1",Z2379)),"G1",IF(ISNUMBER(SEARCH("G2",Z2379)),"G2",IF(ISNUMBER(SEARCH("G3",Z2379)),"G3",IF(ISNUMBER(SEARCH("古馬条件",Z2379)),"古馬条件戦",IF(ISNUMBER(SEARCH("重賞",Z2379)),"重賞","分類不能")))))))))</f>
        <v/>
      </c>
    </row>
    <row r="2380" customFormat="false" ht="15.75" hidden="false" customHeight="false" outlineLevel="0" collapsed="false">
      <c r="AO2380" s="8" t="str">
        <f aca="false">IF(A2380="","",IF(COUNTIFS(全馬データ!$A$2:$A$50000,A2380,全馬データ!$B$2:$B$50000,B2380,全馬データ!$C$2:$C$50000,C2380,全馬データ!$D$2:$D$50000,E2380,全馬データ!$K$2:$K$50000,"&lt;&gt;")=0,"",SUMIFS(全馬データ!$K$2:$K$50000,全馬データ!$A$2:$A$50000,A2380,全馬データ!$B$2:$B$50000,B2380,全馬データ!$C$2:$C$50000,C2380,全馬データ!$D$2:$D$50000,E2380)))</f>
        <v/>
      </c>
      <c r="AP2380" s="8" t="str">
        <f aca="false">IF(A2380="","",IF(AO2380="","欠損",IF(AO2380&lt;=1.1,"1.0～1.1",IF(AO2380&lt;1.3,"1.2",IF(AO2380&lt;1.5,"1.3～1.4",IF(AO2380&lt;2,"1.5～1.9","2.0以上"))))))</f>
        <v/>
      </c>
      <c r="AQ2380" s="8" t="str">
        <f aca="false">IF(A2380="","",IF(ISNUMBER(SEARCH("2歳",Z2380)),"2歳戦",IF(ISNUMBER(SEARCH("3歳未勝利",Z2380)),"3歳未勝利",IF(ISNUMBER(SEARCH("未勝利",Z2380)),"その他未勝利",IF(ISNUMBER(SEARCH("G1",Z2380)),"G1",IF(ISNUMBER(SEARCH("G2",Z2380)),"G2",IF(ISNUMBER(SEARCH("G3",Z2380)),"G3",IF(ISNUMBER(SEARCH("古馬条件",Z2380)),"古馬条件戦",IF(ISNUMBER(SEARCH("重賞",Z2380)),"重賞","分類不能")))))))))</f>
        <v/>
      </c>
    </row>
    <row r="2381" customFormat="false" ht="15.75" hidden="false" customHeight="false" outlineLevel="0" collapsed="false">
      <c r="AO2381" s="8" t="str">
        <f aca="false">IF(A2381="","",IF(COUNTIFS(全馬データ!$A$2:$A$50000,A2381,全馬データ!$B$2:$B$50000,B2381,全馬データ!$C$2:$C$50000,C2381,全馬データ!$D$2:$D$50000,E2381,全馬データ!$K$2:$K$50000,"&lt;&gt;")=0,"",SUMIFS(全馬データ!$K$2:$K$50000,全馬データ!$A$2:$A$50000,A2381,全馬データ!$B$2:$B$50000,B2381,全馬データ!$C$2:$C$50000,C2381,全馬データ!$D$2:$D$50000,E2381)))</f>
        <v/>
      </c>
      <c r="AP2381" s="8" t="str">
        <f aca="false">IF(A2381="","",IF(AO2381="","欠損",IF(AO2381&lt;=1.1,"1.0～1.1",IF(AO2381&lt;1.3,"1.2",IF(AO2381&lt;1.5,"1.3～1.4",IF(AO2381&lt;2,"1.5～1.9","2.0以上"))))))</f>
        <v/>
      </c>
      <c r="AQ2381" s="8" t="str">
        <f aca="false">IF(A2381="","",IF(ISNUMBER(SEARCH("2歳",Z2381)),"2歳戦",IF(ISNUMBER(SEARCH("3歳未勝利",Z2381)),"3歳未勝利",IF(ISNUMBER(SEARCH("未勝利",Z2381)),"その他未勝利",IF(ISNUMBER(SEARCH("G1",Z2381)),"G1",IF(ISNUMBER(SEARCH("G2",Z2381)),"G2",IF(ISNUMBER(SEARCH("G3",Z2381)),"G3",IF(ISNUMBER(SEARCH("古馬条件",Z2381)),"古馬条件戦",IF(ISNUMBER(SEARCH("重賞",Z2381)),"重賞","分類不能")))))))))</f>
        <v/>
      </c>
    </row>
    <row r="2382" customFormat="false" ht="15.75" hidden="false" customHeight="false" outlineLevel="0" collapsed="false">
      <c r="AO2382" s="8" t="str">
        <f aca="false">IF(A2382="","",IF(COUNTIFS(全馬データ!$A$2:$A$50000,A2382,全馬データ!$B$2:$B$50000,B2382,全馬データ!$C$2:$C$50000,C2382,全馬データ!$D$2:$D$50000,E2382,全馬データ!$K$2:$K$50000,"&lt;&gt;")=0,"",SUMIFS(全馬データ!$K$2:$K$50000,全馬データ!$A$2:$A$50000,A2382,全馬データ!$B$2:$B$50000,B2382,全馬データ!$C$2:$C$50000,C2382,全馬データ!$D$2:$D$50000,E2382)))</f>
        <v/>
      </c>
      <c r="AP2382" s="8" t="str">
        <f aca="false">IF(A2382="","",IF(AO2382="","欠損",IF(AO2382&lt;=1.1,"1.0～1.1",IF(AO2382&lt;1.3,"1.2",IF(AO2382&lt;1.5,"1.3～1.4",IF(AO2382&lt;2,"1.5～1.9","2.0以上"))))))</f>
        <v/>
      </c>
      <c r="AQ2382" s="8" t="str">
        <f aca="false">IF(A2382="","",IF(ISNUMBER(SEARCH("2歳",Z2382)),"2歳戦",IF(ISNUMBER(SEARCH("3歳未勝利",Z2382)),"3歳未勝利",IF(ISNUMBER(SEARCH("未勝利",Z2382)),"その他未勝利",IF(ISNUMBER(SEARCH("G1",Z2382)),"G1",IF(ISNUMBER(SEARCH("G2",Z2382)),"G2",IF(ISNUMBER(SEARCH("G3",Z2382)),"G3",IF(ISNUMBER(SEARCH("古馬条件",Z2382)),"古馬条件戦",IF(ISNUMBER(SEARCH("重賞",Z2382)),"重賞","分類不能")))))))))</f>
        <v/>
      </c>
    </row>
    <row r="2383" customFormat="false" ht="15.75" hidden="false" customHeight="false" outlineLevel="0" collapsed="false">
      <c r="AO2383" s="8" t="str">
        <f aca="false">IF(A2383="","",IF(COUNTIFS(全馬データ!$A$2:$A$50000,A2383,全馬データ!$B$2:$B$50000,B2383,全馬データ!$C$2:$C$50000,C2383,全馬データ!$D$2:$D$50000,E2383,全馬データ!$K$2:$K$50000,"&lt;&gt;")=0,"",SUMIFS(全馬データ!$K$2:$K$50000,全馬データ!$A$2:$A$50000,A2383,全馬データ!$B$2:$B$50000,B2383,全馬データ!$C$2:$C$50000,C2383,全馬データ!$D$2:$D$50000,E2383)))</f>
        <v/>
      </c>
      <c r="AP2383" s="8" t="str">
        <f aca="false">IF(A2383="","",IF(AO2383="","欠損",IF(AO2383&lt;=1.1,"1.0～1.1",IF(AO2383&lt;1.3,"1.2",IF(AO2383&lt;1.5,"1.3～1.4",IF(AO2383&lt;2,"1.5～1.9","2.0以上"))))))</f>
        <v/>
      </c>
      <c r="AQ2383" s="8" t="str">
        <f aca="false">IF(A2383="","",IF(ISNUMBER(SEARCH("2歳",Z2383)),"2歳戦",IF(ISNUMBER(SEARCH("3歳未勝利",Z2383)),"3歳未勝利",IF(ISNUMBER(SEARCH("未勝利",Z2383)),"その他未勝利",IF(ISNUMBER(SEARCH("G1",Z2383)),"G1",IF(ISNUMBER(SEARCH("G2",Z2383)),"G2",IF(ISNUMBER(SEARCH("G3",Z2383)),"G3",IF(ISNUMBER(SEARCH("古馬条件",Z2383)),"古馬条件戦",IF(ISNUMBER(SEARCH("重賞",Z2383)),"重賞","分類不能")))))))))</f>
        <v/>
      </c>
    </row>
    <row r="2384" customFormat="false" ht="15.75" hidden="false" customHeight="false" outlineLevel="0" collapsed="false">
      <c r="AO2384" s="8" t="str">
        <f aca="false">IF(A2384="","",IF(COUNTIFS(全馬データ!$A$2:$A$50000,A2384,全馬データ!$B$2:$B$50000,B2384,全馬データ!$C$2:$C$50000,C2384,全馬データ!$D$2:$D$50000,E2384,全馬データ!$K$2:$K$50000,"&lt;&gt;")=0,"",SUMIFS(全馬データ!$K$2:$K$50000,全馬データ!$A$2:$A$50000,A2384,全馬データ!$B$2:$B$50000,B2384,全馬データ!$C$2:$C$50000,C2384,全馬データ!$D$2:$D$50000,E2384)))</f>
        <v/>
      </c>
      <c r="AP2384" s="8" t="str">
        <f aca="false">IF(A2384="","",IF(AO2384="","欠損",IF(AO2384&lt;=1.1,"1.0～1.1",IF(AO2384&lt;1.3,"1.2",IF(AO2384&lt;1.5,"1.3～1.4",IF(AO2384&lt;2,"1.5～1.9","2.0以上"))))))</f>
        <v/>
      </c>
      <c r="AQ2384" s="8" t="str">
        <f aca="false">IF(A2384="","",IF(ISNUMBER(SEARCH("2歳",Z2384)),"2歳戦",IF(ISNUMBER(SEARCH("3歳未勝利",Z2384)),"3歳未勝利",IF(ISNUMBER(SEARCH("未勝利",Z2384)),"その他未勝利",IF(ISNUMBER(SEARCH("G1",Z2384)),"G1",IF(ISNUMBER(SEARCH("G2",Z2384)),"G2",IF(ISNUMBER(SEARCH("G3",Z2384)),"G3",IF(ISNUMBER(SEARCH("古馬条件",Z2384)),"古馬条件戦",IF(ISNUMBER(SEARCH("重賞",Z2384)),"重賞","分類不能")))))))))</f>
        <v/>
      </c>
    </row>
    <row r="2385" customFormat="false" ht="15.75" hidden="false" customHeight="false" outlineLevel="0" collapsed="false">
      <c r="AO2385" s="8" t="str">
        <f aca="false">IF(A2385="","",IF(COUNTIFS(全馬データ!$A$2:$A$50000,A2385,全馬データ!$B$2:$B$50000,B2385,全馬データ!$C$2:$C$50000,C2385,全馬データ!$D$2:$D$50000,E2385,全馬データ!$K$2:$K$50000,"&lt;&gt;")=0,"",SUMIFS(全馬データ!$K$2:$K$50000,全馬データ!$A$2:$A$50000,A2385,全馬データ!$B$2:$B$50000,B2385,全馬データ!$C$2:$C$50000,C2385,全馬データ!$D$2:$D$50000,E2385)))</f>
        <v/>
      </c>
      <c r="AP2385" s="8" t="str">
        <f aca="false">IF(A2385="","",IF(AO2385="","欠損",IF(AO2385&lt;=1.1,"1.0～1.1",IF(AO2385&lt;1.3,"1.2",IF(AO2385&lt;1.5,"1.3～1.4",IF(AO2385&lt;2,"1.5～1.9","2.0以上"))))))</f>
        <v/>
      </c>
      <c r="AQ2385" s="8" t="str">
        <f aca="false">IF(A2385="","",IF(ISNUMBER(SEARCH("2歳",Z2385)),"2歳戦",IF(ISNUMBER(SEARCH("3歳未勝利",Z2385)),"3歳未勝利",IF(ISNUMBER(SEARCH("未勝利",Z2385)),"その他未勝利",IF(ISNUMBER(SEARCH("G1",Z2385)),"G1",IF(ISNUMBER(SEARCH("G2",Z2385)),"G2",IF(ISNUMBER(SEARCH("G3",Z2385)),"G3",IF(ISNUMBER(SEARCH("古馬条件",Z2385)),"古馬条件戦",IF(ISNUMBER(SEARCH("重賞",Z2385)),"重賞","分類不能")))))))))</f>
        <v/>
      </c>
    </row>
    <row r="2386" customFormat="false" ht="15.75" hidden="false" customHeight="false" outlineLevel="0" collapsed="false">
      <c r="AO2386" s="8" t="str">
        <f aca="false">IF(A2386="","",IF(COUNTIFS(全馬データ!$A$2:$A$50000,A2386,全馬データ!$B$2:$B$50000,B2386,全馬データ!$C$2:$C$50000,C2386,全馬データ!$D$2:$D$50000,E2386,全馬データ!$K$2:$K$50000,"&lt;&gt;")=0,"",SUMIFS(全馬データ!$K$2:$K$50000,全馬データ!$A$2:$A$50000,A2386,全馬データ!$B$2:$B$50000,B2386,全馬データ!$C$2:$C$50000,C2386,全馬データ!$D$2:$D$50000,E2386)))</f>
        <v/>
      </c>
      <c r="AP2386" s="8" t="str">
        <f aca="false">IF(A2386="","",IF(AO2386="","欠損",IF(AO2386&lt;=1.1,"1.0～1.1",IF(AO2386&lt;1.3,"1.2",IF(AO2386&lt;1.5,"1.3～1.4",IF(AO2386&lt;2,"1.5～1.9","2.0以上"))))))</f>
        <v/>
      </c>
      <c r="AQ2386" s="8" t="str">
        <f aca="false">IF(A2386="","",IF(ISNUMBER(SEARCH("2歳",Z2386)),"2歳戦",IF(ISNUMBER(SEARCH("3歳未勝利",Z2386)),"3歳未勝利",IF(ISNUMBER(SEARCH("未勝利",Z2386)),"その他未勝利",IF(ISNUMBER(SEARCH("G1",Z2386)),"G1",IF(ISNUMBER(SEARCH("G2",Z2386)),"G2",IF(ISNUMBER(SEARCH("G3",Z2386)),"G3",IF(ISNUMBER(SEARCH("古馬条件",Z2386)),"古馬条件戦",IF(ISNUMBER(SEARCH("重賞",Z2386)),"重賞","分類不能")))))))))</f>
        <v/>
      </c>
    </row>
    <row r="2387" customFormat="false" ht="15.75" hidden="false" customHeight="false" outlineLevel="0" collapsed="false">
      <c r="AO2387" s="8" t="str">
        <f aca="false">IF(A2387="","",IF(COUNTIFS(全馬データ!$A$2:$A$50000,A2387,全馬データ!$B$2:$B$50000,B2387,全馬データ!$C$2:$C$50000,C2387,全馬データ!$D$2:$D$50000,E2387,全馬データ!$K$2:$K$50000,"&lt;&gt;")=0,"",SUMIFS(全馬データ!$K$2:$K$50000,全馬データ!$A$2:$A$50000,A2387,全馬データ!$B$2:$B$50000,B2387,全馬データ!$C$2:$C$50000,C2387,全馬データ!$D$2:$D$50000,E2387)))</f>
        <v/>
      </c>
      <c r="AP2387" s="8" t="str">
        <f aca="false">IF(A2387="","",IF(AO2387="","欠損",IF(AO2387&lt;=1.1,"1.0～1.1",IF(AO2387&lt;1.3,"1.2",IF(AO2387&lt;1.5,"1.3～1.4",IF(AO2387&lt;2,"1.5～1.9","2.0以上"))))))</f>
        <v/>
      </c>
      <c r="AQ2387" s="8" t="str">
        <f aca="false">IF(A2387="","",IF(ISNUMBER(SEARCH("2歳",Z2387)),"2歳戦",IF(ISNUMBER(SEARCH("3歳未勝利",Z2387)),"3歳未勝利",IF(ISNUMBER(SEARCH("未勝利",Z2387)),"その他未勝利",IF(ISNUMBER(SEARCH("G1",Z2387)),"G1",IF(ISNUMBER(SEARCH("G2",Z2387)),"G2",IF(ISNUMBER(SEARCH("G3",Z2387)),"G3",IF(ISNUMBER(SEARCH("古馬条件",Z2387)),"古馬条件戦",IF(ISNUMBER(SEARCH("重賞",Z2387)),"重賞","分類不能")))))))))</f>
        <v/>
      </c>
    </row>
    <row r="2388" customFormat="false" ht="15.75" hidden="false" customHeight="false" outlineLevel="0" collapsed="false">
      <c r="AO2388" s="8" t="str">
        <f aca="false">IF(A2388="","",IF(COUNTIFS(全馬データ!$A$2:$A$50000,A2388,全馬データ!$B$2:$B$50000,B2388,全馬データ!$C$2:$C$50000,C2388,全馬データ!$D$2:$D$50000,E2388,全馬データ!$K$2:$K$50000,"&lt;&gt;")=0,"",SUMIFS(全馬データ!$K$2:$K$50000,全馬データ!$A$2:$A$50000,A2388,全馬データ!$B$2:$B$50000,B2388,全馬データ!$C$2:$C$50000,C2388,全馬データ!$D$2:$D$50000,E2388)))</f>
        <v/>
      </c>
      <c r="AP2388" s="8" t="str">
        <f aca="false">IF(A2388="","",IF(AO2388="","欠損",IF(AO2388&lt;=1.1,"1.0～1.1",IF(AO2388&lt;1.3,"1.2",IF(AO2388&lt;1.5,"1.3～1.4",IF(AO2388&lt;2,"1.5～1.9","2.0以上"))))))</f>
        <v/>
      </c>
      <c r="AQ2388" s="8" t="str">
        <f aca="false">IF(A2388="","",IF(ISNUMBER(SEARCH("2歳",Z2388)),"2歳戦",IF(ISNUMBER(SEARCH("3歳未勝利",Z2388)),"3歳未勝利",IF(ISNUMBER(SEARCH("未勝利",Z2388)),"その他未勝利",IF(ISNUMBER(SEARCH("G1",Z2388)),"G1",IF(ISNUMBER(SEARCH("G2",Z2388)),"G2",IF(ISNUMBER(SEARCH("G3",Z2388)),"G3",IF(ISNUMBER(SEARCH("古馬条件",Z2388)),"古馬条件戦",IF(ISNUMBER(SEARCH("重賞",Z2388)),"重賞","分類不能")))))))))</f>
        <v/>
      </c>
    </row>
    <row r="2389" customFormat="false" ht="15.75" hidden="false" customHeight="false" outlineLevel="0" collapsed="false">
      <c r="AO2389" s="8" t="str">
        <f aca="false">IF(A2389="","",IF(COUNTIFS(全馬データ!$A$2:$A$50000,A2389,全馬データ!$B$2:$B$50000,B2389,全馬データ!$C$2:$C$50000,C2389,全馬データ!$D$2:$D$50000,E2389,全馬データ!$K$2:$K$50000,"&lt;&gt;")=0,"",SUMIFS(全馬データ!$K$2:$K$50000,全馬データ!$A$2:$A$50000,A2389,全馬データ!$B$2:$B$50000,B2389,全馬データ!$C$2:$C$50000,C2389,全馬データ!$D$2:$D$50000,E2389)))</f>
        <v/>
      </c>
      <c r="AP2389" s="8" t="str">
        <f aca="false">IF(A2389="","",IF(AO2389="","欠損",IF(AO2389&lt;=1.1,"1.0～1.1",IF(AO2389&lt;1.3,"1.2",IF(AO2389&lt;1.5,"1.3～1.4",IF(AO2389&lt;2,"1.5～1.9","2.0以上"))))))</f>
        <v/>
      </c>
      <c r="AQ2389" s="8" t="str">
        <f aca="false">IF(A2389="","",IF(ISNUMBER(SEARCH("2歳",Z2389)),"2歳戦",IF(ISNUMBER(SEARCH("3歳未勝利",Z2389)),"3歳未勝利",IF(ISNUMBER(SEARCH("未勝利",Z2389)),"その他未勝利",IF(ISNUMBER(SEARCH("G1",Z2389)),"G1",IF(ISNUMBER(SEARCH("G2",Z2389)),"G2",IF(ISNUMBER(SEARCH("G3",Z2389)),"G3",IF(ISNUMBER(SEARCH("古馬条件",Z2389)),"古馬条件戦",IF(ISNUMBER(SEARCH("重賞",Z2389)),"重賞","分類不能")))))))))</f>
        <v/>
      </c>
    </row>
    <row r="2390" customFormat="false" ht="15.75" hidden="false" customHeight="false" outlineLevel="0" collapsed="false">
      <c r="AO2390" s="8" t="str">
        <f aca="false">IF(A2390="","",IF(COUNTIFS(全馬データ!$A$2:$A$50000,A2390,全馬データ!$B$2:$B$50000,B2390,全馬データ!$C$2:$C$50000,C2390,全馬データ!$D$2:$D$50000,E2390,全馬データ!$K$2:$K$50000,"&lt;&gt;")=0,"",SUMIFS(全馬データ!$K$2:$K$50000,全馬データ!$A$2:$A$50000,A2390,全馬データ!$B$2:$B$50000,B2390,全馬データ!$C$2:$C$50000,C2390,全馬データ!$D$2:$D$50000,E2390)))</f>
        <v/>
      </c>
      <c r="AP2390" s="8" t="str">
        <f aca="false">IF(A2390="","",IF(AO2390="","欠損",IF(AO2390&lt;=1.1,"1.0～1.1",IF(AO2390&lt;1.3,"1.2",IF(AO2390&lt;1.5,"1.3～1.4",IF(AO2390&lt;2,"1.5～1.9","2.0以上"))))))</f>
        <v/>
      </c>
      <c r="AQ2390" s="8" t="str">
        <f aca="false">IF(A2390="","",IF(ISNUMBER(SEARCH("2歳",Z2390)),"2歳戦",IF(ISNUMBER(SEARCH("3歳未勝利",Z2390)),"3歳未勝利",IF(ISNUMBER(SEARCH("未勝利",Z2390)),"その他未勝利",IF(ISNUMBER(SEARCH("G1",Z2390)),"G1",IF(ISNUMBER(SEARCH("G2",Z2390)),"G2",IF(ISNUMBER(SEARCH("G3",Z2390)),"G3",IF(ISNUMBER(SEARCH("古馬条件",Z2390)),"古馬条件戦",IF(ISNUMBER(SEARCH("重賞",Z2390)),"重賞","分類不能")))))))))</f>
        <v/>
      </c>
    </row>
    <row r="2391" customFormat="false" ht="15.75" hidden="false" customHeight="false" outlineLevel="0" collapsed="false">
      <c r="AO2391" s="8" t="str">
        <f aca="false">IF(A2391="","",IF(COUNTIFS(全馬データ!$A$2:$A$50000,A2391,全馬データ!$B$2:$B$50000,B2391,全馬データ!$C$2:$C$50000,C2391,全馬データ!$D$2:$D$50000,E2391,全馬データ!$K$2:$K$50000,"&lt;&gt;")=0,"",SUMIFS(全馬データ!$K$2:$K$50000,全馬データ!$A$2:$A$50000,A2391,全馬データ!$B$2:$B$50000,B2391,全馬データ!$C$2:$C$50000,C2391,全馬データ!$D$2:$D$50000,E2391)))</f>
        <v/>
      </c>
      <c r="AP2391" s="8" t="str">
        <f aca="false">IF(A2391="","",IF(AO2391="","欠損",IF(AO2391&lt;=1.1,"1.0～1.1",IF(AO2391&lt;1.3,"1.2",IF(AO2391&lt;1.5,"1.3～1.4",IF(AO2391&lt;2,"1.5～1.9","2.0以上"))))))</f>
        <v/>
      </c>
      <c r="AQ2391" s="8" t="str">
        <f aca="false">IF(A2391="","",IF(ISNUMBER(SEARCH("2歳",Z2391)),"2歳戦",IF(ISNUMBER(SEARCH("3歳未勝利",Z2391)),"3歳未勝利",IF(ISNUMBER(SEARCH("未勝利",Z2391)),"その他未勝利",IF(ISNUMBER(SEARCH("G1",Z2391)),"G1",IF(ISNUMBER(SEARCH("G2",Z2391)),"G2",IF(ISNUMBER(SEARCH("G3",Z2391)),"G3",IF(ISNUMBER(SEARCH("古馬条件",Z2391)),"古馬条件戦",IF(ISNUMBER(SEARCH("重賞",Z2391)),"重賞","分類不能")))))))))</f>
        <v/>
      </c>
    </row>
    <row r="2392" customFormat="false" ht="15.75" hidden="false" customHeight="false" outlineLevel="0" collapsed="false">
      <c r="AO2392" s="8" t="str">
        <f aca="false">IF(A2392="","",IF(COUNTIFS(全馬データ!$A$2:$A$50000,A2392,全馬データ!$B$2:$B$50000,B2392,全馬データ!$C$2:$C$50000,C2392,全馬データ!$D$2:$D$50000,E2392,全馬データ!$K$2:$K$50000,"&lt;&gt;")=0,"",SUMIFS(全馬データ!$K$2:$K$50000,全馬データ!$A$2:$A$50000,A2392,全馬データ!$B$2:$B$50000,B2392,全馬データ!$C$2:$C$50000,C2392,全馬データ!$D$2:$D$50000,E2392)))</f>
        <v/>
      </c>
      <c r="AP2392" s="8" t="str">
        <f aca="false">IF(A2392="","",IF(AO2392="","欠損",IF(AO2392&lt;=1.1,"1.0～1.1",IF(AO2392&lt;1.3,"1.2",IF(AO2392&lt;1.5,"1.3～1.4",IF(AO2392&lt;2,"1.5～1.9","2.0以上"))))))</f>
        <v/>
      </c>
      <c r="AQ2392" s="8" t="str">
        <f aca="false">IF(A2392="","",IF(ISNUMBER(SEARCH("2歳",Z2392)),"2歳戦",IF(ISNUMBER(SEARCH("3歳未勝利",Z2392)),"3歳未勝利",IF(ISNUMBER(SEARCH("未勝利",Z2392)),"その他未勝利",IF(ISNUMBER(SEARCH("G1",Z2392)),"G1",IF(ISNUMBER(SEARCH("G2",Z2392)),"G2",IF(ISNUMBER(SEARCH("G3",Z2392)),"G3",IF(ISNUMBER(SEARCH("古馬条件",Z2392)),"古馬条件戦",IF(ISNUMBER(SEARCH("重賞",Z2392)),"重賞","分類不能")))))))))</f>
        <v/>
      </c>
    </row>
    <row r="2393" customFormat="false" ht="15.75" hidden="false" customHeight="false" outlineLevel="0" collapsed="false">
      <c r="AO2393" s="8" t="str">
        <f aca="false">IF(A2393="","",IF(COUNTIFS(全馬データ!$A$2:$A$50000,A2393,全馬データ!$B$2:$B$50000,B2393,全馬データ!$C$2:$C$50000,C2393,全馬データ!$D$2:$D$50000,E2393,全馬データ!$K$2:$K$50000,"&lt;&gt;")=0,"",SUMIFS(全馬データ!$K$2:$K$50000,全馬データ!$A$2:$A$50000,A2393,全馬データ!$B$2:$B$50000,B2393,全馬データ!$C$2:$C$50000,C2393,全馬データ!$D$2:$D$50000,E2393)))</f>
        <v/>
      </c>
      <c r="AP2393" s="8" t="str">
        <f aca="false">IF(A2393="","",IF(AO2393="","欠損",IF(AO2393&lt;=1.1,"1.0～1.1",IF(AO2393&lt;1.3,"1.2",IF(AO2393&lt;1.5,"1.3～1.4",IF(AO2393&lt;2,"1.5～1.9","2.0以上"))))))</f>
        <v/>
      </c>
      <c r="AQ2393" s="8" t="str">
        <f aca="false">IF(A2393="","",IF(ISNUMBER(SEARCH("2歳",Z2393)),"2歳戦",IF(ISNUMBER(SEARCH("3歳未勝利",Z2393)),"3歳未勝利",IF(ISNUMBER(SEARCH("未勝利",Z2393)),"その他未勝利",IF(ISNUMBER(SEARCH("G1",Z2393)),"G1",IF(ISNUMBER(SEARCH("G2",Z2393)),"G2",IF(ISNUMBER(SEARCH("G3",Z2393)),"G3",IF(ISNUMBER(SEARCH("古馬条件",Z2393)),"古馬条件戦",IF(ISNUMBER(SEARCH("重賞",Z2393)),"重賞","分類不能")))))))))</f>
        <v/>
      </c>
    </row>
    <row r="2394" customFormat="false" ht="15.75" hidden="false" customHeight="false" outlineLevel="0" collapsed="false">
      <c r="AO2394" s="8" t="str">
        <f aca="false">IF(A2394="","",IF(COUNTIFS(全馬データ!$A$2:$A$50000,A2394,全馬データ!$B$2:$B$50000,B2394,全馬データ!$C$2:$C$50000,C2394,全馬データ!$D$2:$D$50000,E2394,全馬データ!$K$2:$K$50000,"&lt;&gt;")=0,"",SUMIFS(全馬データ!$K$2:$K$50000,全馬データ!$A$2:$A$50000,A2394,全馬データ!$B$2:$B$50000,B2394,全馬データ!$C$2:$C$50000,C2394,全馬データ!$D$2:$D$50000,E2394)))</f>
        <v/>
      </c>
      <c r="AP2394" s="8" t="str">
        <f aca="false">IF(A2394="","",IF(AO2394="","欠損",IF(AO2394&lt;=1.1,"1.0～1.1",IF(AO2394&lt;1.3,"1.2",IF(AO2394&lt;1.5,"1.3～1.4",IF(AO2394&lt;2,"1.5～1.9","2.0以上"))))))</f>
        <v/>
      </c>
      <c r="AQ2394" s="8" t="str">
        <f aca="false">IF(A2394="","",IF(ISNUMBER(SEARCH("2歳",Z2394)),"2歳戦",IF(ISNUMBER(SEARCH("3歳未勝利",Z2394)),"3歳未勝利",IF(ISNUMBER(SEARCH("未勝利",Z2394)),"その他未勝利",IF(ISNUMBER(SEARCH("G1",Z2394)),"G1",IF(ISNUMBER(SEARCH("G2",Z2394)),"G2",IF(ISNUMBER(SEARCH("G3",Z2394)),"G3",IF(ISNUMBER(SEARCH("古馬条件",Z2394)),"古馬条件戦",IF(ISNUMBER(SEARCH("重賞",Z2394)),"重賞","分類不能")))))))))</f>
        <v/>
      </c>
    </row>
    <row r="2395" customFormat="false" ht="15.75" hidden="false" customHeight="false" outlineLevel="0" collapsed="false">
      <c r="AO2395" s="8" t="str">
        <f aca="false">IF(A2395="","",IF(COUNTIFS(全馬データ!$A$2:$A$50000,A2395,全馬データ!$B$2:$B$50000,B2395,全馬データ!$C$2:$C$50000,C2395,全馬データ!$D$2:$D$50000,E2395,全馬データ!$K$2:$K$50000,"&lt;&gt;")=0,"",SUMIFS(全馬データ!$K$2:$K$50000,全馬データ!$A$2:$A$50000,A2395,全馬データ!$B$2:$B$50000,B2395,全馬データ!$C$2:$C$50000,C2395,全馬データ!$D$2:$D$50000,E2395)))</f>
        <v/>
      </c>
      <c r="AP2395" s="8" t="str">
        <f aca="false">IF(A2395="","",IF(AO2395="","欠損",IF(AO2395&lt;=1.1,"1.0～1.1",IF(AO2395&lt;1.3,"1.2",IF(AO2395&lt;1.5,"1.3～1.4",IF(AO2395&lt;2,"1.5～1.9","2.0以上"))))))</f>
        <v/>
      </c>
      <c r="AQ2395" s="8" t="str">
        <f aca="false">IF(A2395="","",IF(ISNUMBER(SEARCH("2歳",Z2395)),"2歳戦",IF(ISNUMBER(SEARCH("3歳未勝利",Z2395)),"3歳未勝利",IF(ISNUMBER(SEARCH("未勝利",Z2395)),"その他未勝利",IF(ISNUMBER(SEARCH("G1",Z2395)),"G1",IF(ISNUMBER(SEARCH("G2",Z2395)),"G2",IF(ISNUMBER(SEARCH("G3",Z2395)),"G3",IF(ISNUMBER(SEARCH("古馬条件",Z2395)),"古馬条件戦",IF(ISNUMBER(SEARCH("重賞",Z2395)),"重賞","分類不能")))))))))</f>
        <v/>
      </c>
    </row>
    <row r="2396" customFormat="false" ht="15.75" hidden="false" customHeight="false" outlineLevel="0" collapsed="false">
      <c r="AO2396" s="8" t="str">
        <f aca="false">IF(A2396="","",IF(COUNTIFS(全馬データ!$A$2:$A$50000,A2396,全馬データ!$B$2:$B$50000,B2396,全馬データ!$C$2:$C$50000,C2396,全馬データ!$D$2:$D$50000,E2396,全馬データ!$K$2:$K$50000,"&lt;&gt;")=0,"",SUMIFS(全馬データ!$K$2:$K$50000,全馬データ!$A$2:$A$50000,A2396,全馬データ!$B$2:$B$50000,B2396,全馬データ!$C$2:$C$50000,C2396,全馬データ!$D$2:$D$50000,E2396)))</f>
        <v/>
      </c>
      <c r="AP2396" s="8" t="str">
        <f aca="false">IF(A2396="","",IF(AO2396="","欠損",IF(AO2396&lt;=1.1,"1.0～1.1",IF(AO2396&lt;1.3,"1.2",IF(AO2396&lt;1.5,"1.3～1.4",IF(AO2396&lt;2,"1.5～1.9","2.0以上"))))))</f>
        <v/>
      </c>
      <c r="AQ2396" s="8" t="str">
        <f aca="false">IF(A2396="","",IF(ISNUMBER(SEARCH("2歳",Z2396)),"2歳戦",IF(ISNUMBER(SEARCH("3歳未勝利",Z2396)),"3歳未勝利",IF(ISNUMBER(SEARCH("未勝利",Z2396)),"その他未勝利",IF(ISNUMBER(SEARCH("G1",Z2396)),"G1",IF(ISNUMBER(SEARCH("G2",Z2396)),"G2",IF(ISNUMBER(SEARCH("G3",Z2396)),"G3",IF(ISNUMBER(SEARCH("古馬条件",Z2396)),"古馬条件戦",IF(ISNUMBER(SEARCH("重賞",Z2396)),"重賞","分類不能")))))))))</f>
        <v/>
      </c>
    </row>
    <row r="2397" customFormat="false" ht="15.75" hidden="false" customHeight="false" outlineLevel="0" collapsed="false">
      <c r="AO2397" s="8" t="str">
        <f aca="false">IF(A2397="","",IF(COUNTIFS(全馬データ!$A$2:$A$50000,A2397,全馬データ!$B$2:$B$50000,B2397,全馬データ!$C$2:$C$50000,C2397,全馬データ!$D$2:$D$50000,E2397,全馬データ!$K$2:$K$50000,"&lt;&gt;")=0,"",SUMIFS(全馬データ!$K$2:$K$50000,全馬データ!$A$2:$A$50000,A2397,全馬データ!$B$2:$B$50000,B2397,全馬データ!$C$2:$C$50000,C2397,全馬データ!$D$2:$D$50000,E2397)))</f>
        <v/>
      </c>
      <c r="AP2397" s="8" t="str">
        <f aca="false">IF(A2397="","",IF(AO2397="","欠損",IF(AO2397&lt;=1.1,"1.0～1.1",IF(AO2397&lt;1.3,"1.2",IF(AO2397&lt;1.5,"1.3～1.4",IF(AO2397&lt;2,"1.5～1.9","2.0以上"))))))</f>
        <v/>
      </c>
      <c r="AQ2397" s="8" t="str">
        <f aca="false">IF(A2397="","",IF(ISNUMBER(SEARCH("2歳",Z2397)),"2歳戦",IF(ISNUMBER(SEARCH("3歳未勝利",Z2397)),"3歳未勝利",IF(ISNUMBER(SEARCH("未勝利",Z2397)),"その他未勝利",IF(ISNUMBER(SEARCH("G1",Z2397)),"G1",IF(ISNUMBER(SEARCH("G2",Z2397)),"G2",IF(ISNUMBER(SEARCH("G3",Z2397)),"G3",IF(ISNUMBER(SEARCH("古馬条件",Z2397)),"古馬条件戦",IF(ISNUMBER(SEARCH("重賞",Z2397)),"重賞","分類不能")))))))))</f>
        <v/>
      </c>
    </row>
    <row r="2398" customFormat="false" ht="15.75" hidden="false" customHeight="false" outlineLevel="0" collapsed="false">
      <c r="AO2398" s="8" t="str">
        <f aca="false">IF(A2398="","",IF(COUNTIFS(全馬データ!$A$2:$A$50000,A2398,全馬データ!$B$2:$B$50000,B2398,全馬データ!$C$2:$C$50000,C2398,全馬データ!$D$2:$D$50000,E2398,全馬データ!$K$2:$K$50000,"&lt;&gt;")=0,"",SUMIFS(全馬データ!$K$2:$K$50000,全馬データ!$A$2:$A$50000,A2398,全馬データ!$B$2:$B$50000,B2398,全馬データ!$C$2:$C$50000,C2398,全馬データ!$D$2:$D$50000,E2398)))</f>
        <v/>
      </c>
      <c r="AP2398" s="8" t="str">
        <f aca="false">IF(A2398="","",IF(AO2398="","欠損",IF(AO2398&lt;=1.1,"1.0～1.1",IF(AO2398&lt;1.3,"1.2",IF(AO2398&lt;1.5,"1.3～1.4",IF(AO2398&lt;2,"1.5～1.9","2.0以上"))))))</f>
        <v/>
      </c>
      <c r="AQ2398" s="8" t="str">
        <f aca="false">IF(A2398="","",IF(ISNUMBER(SEARCH("2歳",Z2398)),"2歳戦",IF(ISNUMBER(SEARCH("3歳未勝利",Z2398)),"3歳未勝利",IF(ISNUMBER(SEARCH("未勝利",Z2398)),"その他未勝利",IF(ISNUMBER(SEARCH("G1",Z2398)),"G1",IF(ISNUMBER(SEARCH("G2",Z2398)),"G2",IF(ISNUMBER(SEARCH("G3",Z2398)),"G3",IF(ISNUMBER(SEARCH("古馬条件",Z2398)),"古馬条件戦",IF(ISNUMBER(SEARCH("重賞",Z2398)),"重賞","分類不能")))))))))</f>
        <v/>
      </c>
    </row>
    <row r="2399" customFormat="false" ht="15.75" hidden="false" customHeight="false" outlineLevel="0" collapsed="false">
      <c r="AO2399" s="8" t="str">
        <f aca="false">IF(A2399="","",IF(COUNTIFS(全馬データ!$A$2:$A$50000,A2399,全馬データ!$B$2:$B$50000,B2399,全馬データ!$C$2:$C$50000,C2399,全馬データ!$D$2:$D$50000,E2399,全馬データ!$K$2:$K$50000,"&lt;&gt;")=0,"",SUMIFS(全馬データ!$K$2:$K$50000,全馬データ!$A$2:$A$50000,A2399,全馬データ!$B$2:$B$50000,B2399,全馬データ!$C$2:$C$50000,C2399,全馬データ!$D$2:$D$50000,E2399)))</f>
        <v/>
      </c>
      <c r="AP2399" s="8" t="str">
        <f aca="false">IF(A2399="","",IF(AO2399="","欠損",IF(AO2399&lt;=1.1,"1.0～1.1",IF(AO2399&lt;1.3,"1.2",IF(AO2399&lt;1.5,"1.3～1.4",IF(AO2399&lt;2,"1.5～1.9","2.0以上"))))))</f>
        <v/>
      </c>
      <c r="AQ2399" s="8" t="str">
        <f aca="false">IF(A2399="","",IF(ISNUMBER(SEARCH("2歳",Z2399)),"2歳戦",IF(ISNUMBER(SEARCH("3歳未勝利",Z2399)),"3歳未勝利",IF(ISNUMBER(SEARCH("未勝利",Z2399)),"その他未勝利",IF(ISNUMBER(SEARCH("G1",Z2399)),"G1",IF(ISNUMBER(SEARCH("G2",Z2399)),"G2",IF(ISNUMBER(SEARCH("G3",Z2399)),"G3",IF(ISNUMBER(SEARCH("古馬条件",Z2399)),"古馬条件戦",IF(ISNUMBER(SEARCH("重賞",Z2399)),"重賞","分類不能")))))))))</f>
        <v/>
      </c>
    </row>
    <row r="2400" customFormat="false" ht="15.75" hidden="false" customHeight="false" outlineLevel="0" collapsed="false">
      <c r="AO2400" s="8" t="str">
        <f aca="false">IF(A2400="","",IF(COUNTIFS(全馬データ!$A$2:$A$50000,A2400,全馬データ!$B$2:$B$50000,B2400,全馬データ!$C$2:$C$50000,C2400,全馬データ!$D$2:$D$50000,E2400,全馬データ!$K$2:$K$50000,"&lt;&gt;")=0,"",SUMIFS(全馬データ!$K$2:$K$50000,全馬データ!$A$2:$A$50000,A2400,全馬データ!$B$2:$B$50000,B2400,全馬データ!$C$2:$C$50000,C2400,全馬データ!$D$2:$D$50000,E2400)))</f>
        <v/>
      </c>
      <c r="AP2400" s="8" t="str">
        <f aca="false">IF(A2400="","",IF(AO2400="","欠損",IF(AO2400&lt;=1.1,"1.0～1.1",IF(AO2400&lt;1.3,"1.2",IF(AO2400&lt;1.5,"1.3～1.4",IF(AO2400&lt;2,"1.5～1.9","2.0以上"))))))</f>
        <v/>
      </c>
      <c r="AQ2400" s="8" t="str">
        <f aca="false">IF(A2400="","",IF(ISNUMBER(SEARCH("2歳",Z2400)),"2歳戦",IF(ISNUMBER(SEARCH("3歳未勝利",Z2400)),"3歳未勝利",IF(ISNUMBER(SEARCH("未勝利",Z2400)),"その他未勝利",IF(ISNUMBER(SEARCH("G1",Z2400)),"G1",IF(ISNUMBER(SEARCH("G2",Z2400)),"G2",IF(ISNUMBER(SEARCH("G3",Z2400)),"G3",IF(ISNUMBER(SEARCH("古馬条件",Z2400)),"古馬条件戦",IF(ISNUMBER(SEARCH("重賞",Z2400)),"重賞","分類不能")))))))))</f>
        <v/>
      </c>
    </row>
    <row r="2401" customFormat="false" ht="15.75" hidden="false" customHeight="false" outlineLevel="0" collapsed="false">
      <c r="AO2401" s="8" t="str">
        <f aca="false">IF(A2401="","",IF(COUNTIFS(全馬データ!$A$2:$A$50000,A2401,全馬データ!$B$2:$B$50000,B2401,全馬データ!$C$2:$C$50000,C2401,全馬データ!$D$2:$D$50000,E2401,全馬データ!$K$2:$K$50000,"&lt;&gt;")=0,"",SUMIFS(全馬データ!$K$2:$K$50000,全馬データ!$A$2:$A$50000,A2401,全馬データ!$B$2:$B$50000,B2401,全馬データ!$C$2:$C$50000,C2401,全馬データ!$D$2:$D$50000,E2401)))</f>
        <v/>
      </c>
      <c r="AP2401" s="8" t="str">
        <f aca="false">IF(A2401="","",IF(AO2401="","欠損",IF(AO2401&lt;=1.1,"1.0～1.1",IF(AO2401&lt;1.3,"1.2",IF(AO2401&lt;1.5,"1.3～1.4",IF(AO2401&lt;2,"1.5～1.9","2.0以上"))))))</f>
        <v/>
      </c>
      <c r="AQ2401" s="8" t="str">
        <f aca="false">IF(A2401="","",IF(ISNUMBER(SEARCH("2歳",Z2401)),"2歳戦",IF(ISNUMBER(SEARCH("3歳未勝利",Z2401)),"3歳未勝利",IF(ISNUMBER(SEARCH("未勝利",Z2401)),"その他未勝利",IF(ISNUMBER(SEARCH("G1",Z2401)),"G1",IF(ISNUMBER(SEARCH("G2",Z2401)),"G2",IF(ISNUMBER(SEARCH("G3",Z2401)),"G3",IF(ISNUMBER(SEARCH("古馬条件",Z2401)),"古馬条件戦",IF(ISNUMBER(SEARCH("重賞",Z2401)),"重賞","分類不能")))))))))</f>
        <v/>
      </c>
    </row>
    <row r="2402" customFormat="false" ht="15.75" hidden="false" customHeight="false" outlineLevel="0" collapsed="false">
      <c r="AO2402" s="8" t="str">
        <f aca="false">IF(A2402="","",IF(COUNTIFS(全馬データ!$A$2:$A$50000,A2402,全馬データ!$B$2:$B$50000,B2402,全馬データ!$C$2:$C$50000,C2402,全馬データ!$D$2:$D$50000,E2402,全馬データ!$K$2:$K$50000,"&lt;&gt;")=0,"",SUMIFS(全馬データ!$K$2:$K$50000,全馬データ!$A$2:$A$50000,A2402,全馬データ!$B$2:$B$50000,B2402,全馬データ!$C$2:$C$50000,C2402,全馬データ!$D$2:$D$50000,E2402)))</f>
        <v/>
      </c>
      <c r="AP2402" s="8" t="str">
        <f aca="false">IF(A2402="","",IF(AO2402="","欠損",IF(AO2402&lt;=1.1,"1.0～1.1",IF(AO2402&lt;1.3,"1.2",IF(AO2402&lt;1.5,"1.3～1.4",IF(AO2402&lt;2,"1.5～1.9","2.0以上"))))))</f>
        <v/>
      </c>
      <c r="AQ2402" s="8" t="str">
        <f aca="false">IF(A2402="","",IF(ISNUMBER(SEARCH("2歳",Z2402)),"2歳戦",IF(ISNUMBER(SEARCH("3歳未勝利",Z2402)),"3歳未勝利",IF(ISNUMBER(SEARCH("未勝利",Z2402)),"その他未勝利",IF(ISNUMBER(SEARCH("G1",Z2402)),"G1",IF(ISNUMBER(SEARCH("G2",Z2402)),"G2",IF(ISNUMBER(SEARCH("G3",Z2402)),"G3",IF(ISNUMBER(SEARCH("古馬条件",Z2402)),"古馬条件戦",IF(ISNUMBER(SEARCH("重賞",Z2402)),"重賞","分類不能")))))))))</f>
        <v/>
      </c>
    </row>
    <row r="2403" customFormat="false" ht="15.75" hidden="false" customHeight="false" outlineLevel="0" collapsed="false">
      <c r="AO2403" s="8" t="str">
        <f aca="false">IF(A2403="","",IF(COUNTIFS(全馬データ!$A$2:$A$50000,A2403,全馬データ!$B$2:$B$50000,B2403,全馬データ!$C$2:$C$50000,C2403,全馬データ!$D$2:$D$50000,E2403,全馬データ!$K$2:$K$50000,"&lt;&gt;")=0,"",SUMIFS(全馬データ!$K$2:$K$50000,全馬データ!$A$2:$A$50000,A2403,全馬データ!$B$2:$B$50000,B2403,全馬データ!$C$2:$C$50000,C2403,全馬データ!$D$2:$D$50000,E2403)))</f>
        <v/>
      </c>
      <c r="AP2403" s="8" t="str">
        <f aca="false">IF(A2403="","",IF(AO2403="","欠損",IF(AO2403&lt;=1.1,"1.0～1.1",IF(AO2403&lt;1.3,"1.2",IF(AO2403&lt;1.5,"1.3～1.4",IF(AO2403&lt;2,"1.5～1.9","2.0以上"))))))</f>
        <v/>
      </c>
      <c r="AQ2403" s="8" t="str">
        <f aca="false">IF(A2403="","",IF(ISNUMBER(SEARCH("2歳",Z2403)),"2歳戦",IF(ISNUMBER(SEARCH("3歳未勝利",Z2403)),"3歳未勝利",IF(ISNUMBER(SEARCH("未勝利",Z2403)),"その他未勝利",IF(ISNUMBER(SEARCH("G1",Z2403)),"G1",IF(ISNUMBER(SEARCH("G2",Z2403)),"G2",IF(ISNUMBER(SEARCH("G3",Z2403)),"G3",IF(ISNUMBER(SEARCH("古馬条件",Z2403)),"古馬条件戦",IF(ISNUMBER(SEARCH("重賞",Z2403)),"重賞","分類不能")))))))))</f>
        <v/>
      </c>
    </row>
    <row r="2404" customFormat="false" ht="15.75" hidden="false" customHeight="false" outlineLevel="0" collapsed="false">
      <c r="AO2404" s="8" t="str">
        <f aca="false">IF(A2404="","",IF(COUNTIFS(全馬データ!$A$2:$A$50000,A2404,全馬データ!$B$2:$B$50000,B2404,全馬データ!$C$2:$C$50000,C2404,全馬データ!$D$2:$D$50000,E2404,全馬データ!$K$2:$K$50000,"&lt;&gt;")=0,"",SUMIFS(全馬データ!$K$2:$K$50000,全馬データ!$A$2:$A$50000,A2404,全馬データ!$B$2:$B$50000,B2404,全馬データ!$C$2:$C$50000,C2404,全馬データ!$D$2:$D$50000,E2404)))</f>
        <v/>
      </c>
      <c r="AP2404" s="8" t="str">
        <f aca="false">IF(A2404="","",IF(AO2404="","欠損",IF(AO2404&lt;=1.1,"1.0～1.1",IF(AO2404&lt;1.3,"1.2",IF(AO2404&lt;1.5,"1.3～1.4",IF(AO2404&lt;2,"1.5～1.9","2.0以上"))))))</f>
        <v/>
      </c>
      <c r="AQ2404" s="8" t="str">
        <f aca="false">IF(A2404="","",IF(ISNUMBER(SEARCH("2歳",Z2404)),"2歳戦",IF(ISNUMBER(SEARCH("3歳未勝利",Z2404)),"3歳未勝利",IF(ISNUMBER(SEARCH("未勝利",Z2404)),"その他未勝利",IF(ISNUMBER(SEARCH("G1",Z2404)),"G1",IF(ISNUMBER(SEARCH("G2",Z2404)),"G2",IF(ISNUMBER(SEARCH("G3",Z2404)),"G3",IF(ISNUMBER(SEARCH("古馬条件",Z2404)),"古馬条件戦",IF(ISNUMBER(SEARCH("重賞",Z2404)),"重賞","分類不能")))))))))</f>
        <v/>
      </c>
    </row>
    <row r="2405" customFormat="false" ht="15.75" hidden="false" customHeight="false" outlineLevel="0" collapsed="false">
      <c r="AO2405" s="8" t="str">
        <f aca="false">IF(A2405="","",IF(COUNTIFS(全馬データ!$A$2:$A$50000,A2405,全馬データ!$B$2:$B$50000,B2405,全馬データ!$C$2:$C$50000,C2405,全馬データ!$D$2:$D$50000,E2405,全馬データ!$K$2:$K$50000,"&lt;&gt;")=0,"",SUMIFS(全馬データ!$K$2:$K$50000,全馬データ!$A$2:$A$50000,A2405,全馬データ!$B$2:$B$50000,B2405,全馬データ!$C$2:$C$50000,C2405,全馬データ!$D$2:$D$50000,E2405)))</f>
        <v/>
      </c>
      <c r="AP2405" s="8" t="str">
        <f aca="false">IF(A2405="","",IF(AO2405="","欠損",IF(AO2405&lt;=1.1,"1.0～1.1",IF(AO2405&lt;1.3,"1.2",IF(AO2405&lt;1.5,"1.3～1.4",IF(AO2405&lt;2,"1.5～1.9","2.0以上"))))))</f>
        <v/>
      </c>
      <c r="AQ2405" s="8" t="str">
        <f aca="false">IF(A2405="","",IF(ISNUMBER(SEARCH("2歳",Z2405)),"2歳戦",IF(ISNUMBER(SEARCH("3歳未勝利",Z2405)),"3歳未勝利",IF(ISNUMBER(SEARCH("未勝利",Z2405)),"その他未勝利",IF(ISNUMBER(SEARCH("G1",Z2405)),"G1",IF(ISNUMBER(SEARCH("G2",Z2405)),"G2",IF(ISNUMBER(SEARCH("G3",Z2405)),"G3",IF(ISNUMBER(SEARCH("古馬条件",Z2405)),"古馬条件戦",IF(ISNUMBER(SEARCH("重賞",Z2405)),"重賞","分類不能")))))))))</f>
        <v/>
      </c>
    </row>
    <row r="2406" customFormat="false" ht="15.75" hidden="false" customHeight="false" outlineLevel="0" collapsed="false">
      <c r="AO2406" s="8" t="str">
        <f aca="false">IF(A2406="","",IF(COUNTIFS(全馬データ!$A$2:$A$50000,A2406,全馬データ!$B$2:$B$50000,B2406,全馬データ!$C$2:$C$50000,C2406,全馬データ!$D$2:$D$50000,E2406,全馬データ!$K$2:$K$50000,"&lt;&gt;")=0,"",SUMIFS(全馬データ!$K$2:$K$50000,全馬データ!$A$2:$A$50000,A2406,全馬データ!$B$2:$B$50000,B2406,全馬データ!$C$2:$C$50000,C2406,全馬データ!$D$2:$D$50000,E2406)))</f>
        <v/>
      </c>
      <c r="AP2406" s="8" t="str">
        <f aca="false">IF(A2406="","",IF(AO2406="","欠損",IF(AO2406&lt;=1.1,"1.0～1.1",IF(AO2406&lt;1.3,"1.2",IF(AO2406&lt;1.5,"1.3～1.4",IF(AO2406&lt;2,"1.5～1.9","2.0以上"))))))</f>
        <v/>
      </c>
      <c r="AQ2406" s="8" t="str">
        <f aca="false">IF(A2406="","",IF(ISNUMBER(SEARCH("2歳",Z2406)),"2歳戦",IF(ISNUMBER(SEARCH("3歳未勝利",Z2406)),"3歳未勝利",IF(ISNUMBER(SEARCH("未勝利",Z2406)),"その他未勝利",IF(ISNUMBER(SEARCH("G1",Z2406)),"G1",IF(ISNUMBER(SEARCH("G2",Z2406)),"G2",IF(ISNUMBER(SEARCH("G3",Z2406)),"G3",IF(ISNUMBER(SEARCH("古馬条件",Z2406)),"古馬条件戦",IF(ISNUMBER(SEARCH("重賞",Z2406)),"重賞","分類不能")))))))))</f>
        <v/>
      </c>
    </row>
    <row r="2407" customFormat="false" ht="15.75" hidden="false" customHeight="false" outlineLevel="0" collapsed="false">
      <c r="AO2407" s="8" t="str">
        <f aca="false">IF(A2407="","",IF(COUNTIFS(全馬データ!$A$2:$A$50000,A2407,全馬データ!$B$2:$B$50000,B2407,全馬データ!$C$2:$C$50000,C2407,全馬データ!$D$2:$D$50000,E2407,全馬データ!$K$2:$K$50000,"&lt;&gt;")=0,"",SUMIFS(全馬データ!$K$2:$K$50000,全馬データ!$A$2:$A$50000,A2407,全馬データ!$B$2:$B$50000,B2407,全馬データ!$C$2:$C$50000,C2407,全馬データ!$D$2:$D$50000,E2407)))</f>
        <v/>
      </c>
      <c r="AP2407" s="8" t="str">
        <f aca="false">IF(A2407="","",IF(AO2407="","欠損",IF(AO2407&lt;=1.1,"1.0～1.1",IF(AO2407&lt;1.3,"1.2",IF(AO2407&lt;1.5,"1.3～1.4",IF(AO2407&lt;2,"1.5～1.9","2.0以上"))))))</f>
        <v/>
      </c>
      <c r="AQ2407" s="8" t="str">
        <f aca="false">IF(A2407="","",IF(ISNUMBER(SEARCH("2歳",Z2407)),"2歳戦",IF(ISNUMBER(SEARCH("3歳未勝利",Z2407)),"3歳未勝利",IF(ISNUMBER(SEARCH("未勝利",Z2407)),"その他未勝利",IF(ISNUMBER(SEARCH("G1",Z2407)),"G1",IF(ISNUMBER(SEARCH("G2",Z2407)),"G2",IF(ISNUMBER(SEARCH("G3",Z2407)),"G3",IF(ISNUMBER(SEARCH("古馬条件",Z2407)),"古馬条件戦",IF(ISNUMBER(SEARCH("重賞",Z2407)),"重賞","分類不能")))))))))</f>
        <v/>
      </c>
    </row>
    <row r="2408" customFormat="false" ht="15.75" hidden="false" customHeight="false" outlineLevel="0" collapsed="false">
      <c r="AO2408" s="8" t="str">
        <f aca="false">IF(A2408="","",IF(COUNTIFS(全馬データ!$A$2:$A$50000,A2408,全馬データ!$B$2:$B$50000,B2408,全馬データ!$C$2:$C$50000,C2408,全馬データ!$D$2:$D$50000,E2408,全馬データ!$K$2:$K$50000,"&lt;&gt;")=0,"",SUMIFS(全馬データ!$K$2:$K$50000,全馬データ!$A$2:$A$50000,A2408,全馬データ!$B$2:$B$50000,B2408,全馬データ!$C$2:$C$50000,C2408,全馬データ!$D$2:$D$50000,E2408)))</f>
        <v/>
      </c>
      <c r="AP2408" s="8" t="str">
        <f aca="false">IF(A2408="","",IF(AO2408="","欠損",IF(AO2408&lt;=1.1,"1.0～1.1",IF(AO2408&lt;1.3,"1.2",IF(AO2408&lt;1.5,"1.3～1.4",IF(AO2408&lt;2,"1.5～1.9","2.0以上"))))))</f>
        <v/>
      </c>
      <c r="AQ2408" s="8" t="str">
        <f aca="false">IF(A2408="","",IF(ISNUMBER(SEARCH("2歳",Z2408)),"2歳戦",IF(ISNUMBER(SEARCH("3歳未勝利",Z2408)),"3歳未勝利",IF(ISNUMBER(SEARCH("未勝利",Z2408)),"その他未勝利",IF(ISNUMBER(SEARCH("G1",Z2408)),"G1",IF(ISNUMBER(SEARCH("G2",Z2408)),"G2",IF(ISNUMBER(SEARCH("G3",Z2408)),"G3",IF(ISNUMBER(SEARCH("古馬条件",Z2408)),"古馬条件戦",IF(ISNUMBER(SEARCH("重賞",Z2408)),"重賞","分類不能")))))))))</f>
        <v/>
      </c>
    </row>
    <row r="2409" customFormat="false" ht="15.75" hidden="false" customHeight="false" outlineLevel="0" collapsed="false">
      <c r="AO2409" s="8" t="str">
        <f aca="false">IF(A2409="","",IF(COUNTIFS(全馬データ!$A$2:$A$50000,A2409,全馬データ!$B$2:$B$50000,B2409,全馬データ!$C$2:$C$50000,C2409,全馬データ!$D$2:$D$50000,E2409,全馬データ!$K$2:$K$50000,"&lt;&gt;")=0,"",SUMIFS(全馬データ!$K$2:$K$50000,全馬データ!$A$2:$A$50000,A2409,全馬データ!$B$2:$B$50000,B2409,全馬データ!$C$2:$C$50000,C2409,全馬データ!$D$2:$D$50000,E2409)))</f>
        <v/>
      </c>
      <c r="AP2409" s="8" t="str">
        <f aca="false">IF(A2409="","",IF(AO2409="","欠損",IF(AO2409&lt;=1.1,"1.0～1.1",IF(AO2409&lt;1.3,"1.2",IF(AO2409&lt;1.5,"1.3～1.4",IF(AO2409&lt;2,"1.5～1.9","2.0以上"))))))</f>
        <v/>
      </c>
      <c r="AQ2409" s="8" t="str">
        <f aca="false">IF(A2409="","",IF(ISNUMBER(SEARCH("2歳",Z2409)),"2歳戦",IF(ISNUMBER(SEARCH("3歳未勝利",Z2409)),"3歳未勝利",IF(ISNUMBER(SEARCH("未勝利",Z2409)),"その他未勝利",IF(ISNUMBER(SEARCH("G1",Z2409)),"G1",IF(ISNUMBER(SEARCH("G2",Z2409)),"G2",IF(ISNUMBER(SEARCH("G3",Z2409)),"G3",IF(ISNUMBER(SEARCH("古馬条件",Z2409)),"古馬条件戦",IF(ISNUMBER(SEARCH("重賞",Z2409)),"重賞","分類不能")))))))))</f>
        <v/>
      </c>
    </row>
    <row r="2410" customFormat="false" ht="15.75" hidden="false" customHeight="false" outlineLevel="0" collapsed="false">
      <c r="AO2410" s="8" t="str">
        <f aca="false">IF(A2410="","",IF(COUNTIFS(全馬データ!$A$2:$A$50000,A2410,全馬データ!$B$2:$B$50000,B2410,全馬データ!$C$2:$C$50000,C2410,全馬データ!$D$2:$D$50000,E2410,全馬データ!$K$2:$K$50000,"&lt;&gt;")=0,"",SUMIFS(全馬データ!$K$2:$K$50000,全馬データ!$A$2:$A$50000,A2410,全馬データ!$B$2:$B$50000,B2410,全馬データ!$C$2:$C$50000,C2410,全馬データ!$D$2:$D$50000,E2410)))</f>
        <v/>
      </c>
      <c r="AP2410" s="8" t="str">
        <f aca="false">IF(A2410="","",IF(AO2410="","欠損",IF(AO2410&lt;=1.1,"1.0～1.1",IF(AO2410&lt;1.3,"1.2",IF(AO2410&lt;1.5,"1.3～1.4",IF(AO2410&lt;2,"1.5～1.9","2.0以上"))))))</f>
        <v/>
      </c>
      <c r="AQ2410" s="8" t="str">
        <f aca="false">IF(A2410="","",IF(ISNUMBER(SEARCH("2歳",Z2410)),"2歳戦",IF(ISNUMBER(SEARCH("3歳未勝利",Z2410)),"3歳未勝利",IF(ISNUMBER(SEARCH("未勝利",Z2410)),"その他未勝利",IF(ISNUMBER(SEARCH("G1",Z2410)),"G1",IF(ISNUMBER(SEARCH("G2",Z2410)),"G2",IF(ISNUMBER(SEARCH("G3",Z2410)),"G3",IF(ISNUMBER(SEARCH("古馬条件",Z2410)),"古馬条件戦",IF(ISNUMBER(SEARCH("重賞",Z2410)),"重賞","分類不能")))))))))</f>
        <v/>
      </c>
    </row>
    <row r="2411" customFormat="false" ht="15.75" hidden="false" customHeight="false" outlineLevel="0" collapsed="false">
      <c r="AO2411" s="8" t="str">
        <f aca="false">IF(A2411="","",IF(COUNTIFS(全馬データ!$A$2:$A$50000,A2411,全馬データ!$B$2:$B$50000,B2411,全馬データ!$C$2:$C$50000,C2411,全馬データ!$D$2:$D$50000,E2411,全馬データ!$K$2:$K$50000,"&lt;&gt;")=0,"",SUMIFS(全馬データ!$K$2:$K$50000,全馬データ!$A$2:$A$50000,A2411,全馬データ!$B$2:$B$50000,B2411,全馬データ!$C$2:$C$50000,C2411,全馬データ!$D$2:$D$50000,E2411)))</f>
        <v/>
      </c>
      <c r="AP2411" s="8" t="str">
        <f aca="false">IF(A2411="","",IF(AO2411="","欠損",IF(AO2411&lt;=1.1,"1.0～1.1",IF(AO2411&lt;1.3,"1.2",IF(AO2411&lt;1.5,"1.3～1.4",IF(AO2411&lt;2,"1.5～1.9","2.0以上"))))))</f>
        <v/>
      </c>
      <c r="AQ2411" s="8" t="str">
        <f aca="false">IF(A2411="","",IF(ISNUMBER(SEARCH("2歳",Z2411)),"2歳戦",IF(ISNUMBER(SEARCH("3歳未勝利",Z2411)),"3歳未勝利",IF(ISNUMBER(SEARCH("未勝利",Z2411)),"その他未勝利",IF(ISNUMBER(SEARCH("G1",Z2411)),"G1",IF(ISNUMBER(SEARCH("G2",Z2411)),"G2",IF(ISNUMBER(SEARCH("G3",Z2411)),"G3",IF(ISNUMBER(SEARCH("古馬条件",Z2411)),"古馬条件戦",IF(ISNUMBER(SEARCH("重賞",Z2411)),"重賞","分類不能")))))))))</f>
        <v/>
      </c>
    </row>
    <row r="2412" customFormat="false" ht="15.75" hidden="false" customHeight="false" outlineLevel="0" collapsed="false">
      <c r="AO2412" s="8" t="str">
        <f aca="false">IF(A2412="","",IF(COUNTIFS(全馬データ!$A$2:$A$50000,A2412,全馬データ!$B$2:$B$50000,B2412,全馬データ!$C$2:$C$50000,C2412,全馬データ!$D$2:$D$50000,E2412,全馬データ!$K$2:$K$50000,"&lt;&gt;")=0,"",SUMIFS(全馬データ!$K$2:$K$50000,全馬データ!$A$2:$A$50000,A2412,全馬データ!$B$2:$B$50000,B2412,全馬データ!$C$2:$C$50000,C2412,全馬データ!$D$2:$D$50000,E2412)))</f>
        <v/>
      </c>
      <c r="AP2412" s="8" t="str">
        <f aca="false">IF(A2412="","",IF(AO2412="","欠損",IF(AO2412&lt;=1.1,"1.0～1.1",IF(AO2412&lt;1.3,"1.2",IF(AO2412&lt;1.5,"1.3～1.4",IF(AO2412&lt;2,"1.5～1.9","2.0以上"))))))</f>
        <v/>
      </c>
      <c r="AQ2412" s="8" t="str">
        <f aca="false">IF(A2412="","",IF(ISNUMBER(SEARCH("2歳",Z2412)),"2歳戦",IF(ISNUMBER(SEARCH("3歳未勝利",Z2412)),"3歳未勝利",IF(ISNUMBER(SEARCH("未勝利",Z2412)),"その他未勝利",IF(ISNUMBER(SEARCH("G1",Z2412)),"G1",IF(ISNUMBER(SEARCH("G2",Z2412)),"G2",IF(ISNUMBER(SEARCH("G3",Z2412)),"G3",IF(ISNUMBER(SEARCH("古馬条件",Z2412)),"古馬条件戦",IF(ISNUMBER(SEARCH("重賞",Z2412)),"重賞","分類不能")))))))))</f>
        <v/>
      </c>
    </row>
    <row r="2413" customFormat="false" ht="15.75" hidden="false" customHeight="false" outlineLevel="0" collapsed="false">
      <c r="AO2413" s="8" t="str">
        <f aca="false">IF(A2413="","",IF(COUNTIFS(全馬データ!$A$2:$A$50000,A2413,全馬データ!$B$2:$B$50000,B2413,全馬データ!$C$2:$C$50000,C2413,全馬データ!$D$2:$D$50000,E2413,全馬データ!$K$2:$K$50000,"&lt;&gt;")=0,"",SUMIFS(全馬データ!$K$2:$K$50000,全馬データ!$A$2:$A$50000,A2413,全馬データ!$B$2:$B$50000,B2413,全馬データ!$C$2:$C$50000,C2413,全馬データ!$D$2:$D$50000,E2413)))</f>
        <v/>
      </c>
      <c r="AP2413" s="8" t="str">
        <f aca="false">IF(A2413="","",IF(AO2413="","欠損",IF(AO2413&lt;=1.1,"1.0～1.1",IF(AO2413&lt;1.3,"1.2",IF(AO2413&lt;1.5,"1.3～1.4",IF(AO2413&lt;2,"1.5～1.9","2.0以上"))))))</f>
        <v/>
      </c>
      <c r="AQ2413" s="8" t="str">
        <f aca="false">IF(A2413="","",IF(ISNUMBER(SEARCH("2歳",Z2413)),"2歳戦",IF(ISNUMBER(SEARCH("3歳未勝利",Z2413)),"3歳未勝利",IF(ISNUMBER(SEARCH("未勝利",Z2413)),"その他未勝利",IF(ISNUMBER(SEARCH("G1",Z2413)),"G1",IF(ISNUMBER(SEARCH("G2",Z2413)),"G2",IF(ISNUMBER(SEARCH("G3",Z2413)),"G3",IF(ISNUMBER(SEARCH("古馬条件",Z2413)),"古馬条件戦",IF(ISNUMBER(SEARCH("重賞",Z2413)),"重賞","分類不能")))))))))</f>
        <v/>
      </c>
    </row>
    <row r="2414" customFormat="false" ht="15.75" hidden="false" customHeight="false" outlineLevel="0" collapsed="false">
      <c r="AO2414" s="8" t="str">
        <f aca="false">IF(A2414="","",IF(COUNTIFS(全馬データ!$A$2:$A$50000,A2414,全馬データ!$B$2:$B$50000,B2414,全馬データ!$C$2:$C$50000,C2414,全馬データ!$D$2:$D$50000,E2414,全馬データ!$K$2:$K$50000,"&lt;&gt;")=0,"",SUMIFS(全馬データ!$K$2:$K$50000,全馬データ!$A$2:$A$50000,A2414,全馬データ!$B$2:$B$50000,B2414,全馬データ!$C$2:$C$50000,C2414,全馬データ!$D$2:$D$50000,E2414)))</f>
        <v/>
      </c>
      <c r="AP2414" s="8" t="str">
        <f aca="false">IF(A2414="","",IF(AO2414="","欠損",IF(AO2414&lt;=1.1,"1.0～1.1",IF(AO2414&lt;1.3,"1.2",IF(AO2414&lt;1.5,"1.3～1.4",IF(AO2414&lt;2,"1.5～1.9","2.0以上"))))))</f>
        <v/>
      </c>
      <c r="AQ2414" s="8" t="str">
        <f aca="false">IF(A2414="","",IF(ISNUMBER(SEARCH("2歳",Z2414)),"2歳戦",IF(ISNUMBER(SEARCH("3歳未勝利",Z2414)),"3歳未勝利",IF(ISNUMBER(SEARCH("未勝利",Z2414)),"その他未勝利",IF(ISNUMBER(SEARCH("G1",Z2414)),"G1",IF(ISNUMBER(SEARCH("G2",Z2414)),"G2",IF(ISNUMBER(SEARCH("G3",Z2414)),"G3",IF(ISNUMBER(SEARCH("古馬条件",Z2414)),"古馬条件戦",IF(ISNUMBER(SEARCH("重賞",Z2414)),"重賞","分類不能")))))))))</f>
        <v/>
      </c>
    </row>
    <row r="2415" customFormat="false" ht="15.75" hidden="false" customHeight="false" outlineLevel="0" collapsed="false">
      <c r="AO2415" s="8" t="str">
        <f aca="false">IF(A2415="","",IF(COUNTIFS(全馬データ!$A$2:$A$50000,A2415,全馬データ!$B$2:$B$50000,B2415,全馬データ!$C$2:$C$50000,C2415,全馬データ!$D$2:$D$50000,E2415,全馬データ!$K$2:$K$50000,"&lt;&gt;")=0,"",SUMIFS(全馬データ!$K$2:$K$50000,全馬データ!$A$2:$A$50000,A2415,全馬データ!$B$2:$B$50000,B2415,全馬データ!$C$2:$C$50000,C2415,全馬データ!$D$2:$D$50000,E2415)))</f>
        <v/>
      </c>
      <c r="AP2415" s="8" t="str">
        <f aca="false">IF(A2415="","",IF(AO2415="","欠損",IF(AO2415&lt;=1.1,"1.0～1.1",IF(AO2415&lt;1.3,"1.2",IF(AO2415&lt;1.5,"1.3～1.4",IF(AO2415&lt;2,"1.5～1.9","2.0以上"))))))</f>
        <v/>
      </c>
      <c r="AQ2415" s="8" t="str">
        <f aca="false">IF(A2415="","",IF(ISNUMBER(SEARCH("2歳",Z2415)),"2歳戦",IF(ISNUMBER(SEARCH("3歳未勝利",Z2415)),"3歳未勝利",IF(ISNUMBER(SEARCH("未勝利",Z2415)),"その他未勝利",IF(ISNUMBER(SEARCH("G1",Z2415)),"G1",IF(ISNUMBER(SEARCH("G2",Z2415)),"G2",IF(ISNUMBER(SEARCH("G3",Z2415)),"G3",IF(ISNUMBER(SEARCH("古馬条件",Z2415)),"古馬条件戦",IF(ISNUMBER(SEARCH("重賞",Z2415)),"重賞","分類不能")))))))))</f>
        <v/>
      </c>
    </row>
    <row r="2416" customFormat="false" ht="15.75" hidden="false" customHeight="false" outlineLevel="0" collapsed="false">
      <c r="AO2416" s="8" t="str">
        <f aca="false">IF(A2416="","",IF(COUNTIFS(全馬データ!$A$2:$A$50000,A2416,全馬データ!$B$2:$B$50000,B2416,全馬データ!$C$2:$C$50000,C2416,全馬データ!$D$2:$D$50000,E2416,全馬データ!$K$2:$K$50000,"&lt;&gt;")=0,"",SUMIFS(全馬データ!$K$2:$K$50000,全馬データ!$A$2:$A$50000,A2416,全馬データ!$B$2:$B$50000,B2416,全馬データ!$C$2:$C$50000,C2416,全馬データ!$D$2:$D$50000,E2416)))</f>
        <v/>
      </c>
      <c r="AP2416" s="8" t="str">
        <f aca="false">IF(A2416="","",IF(AO2416="","欠損",IF(AO2416&lt;=1.1,"1.0～1.1",IF(AO2416&lt;1.3,"1.2",IF(AO2416&lt;1.5,"1.3～1.4",IF(AO2416&lt;2,"1.5～1.9","2.0以上"))))))</f>
        <v/>
      </c>
      <c r="AQ2416" s="8" t="str">
        <f aca="false">IF(A2416="","",IF(ISNUMBER(SEARCH("2歳",Z2416)),"2歳戦",IF(ISNUMBER(SEARCH("3歳未勝利",Z2416)),"3歳未勝利",IF(ISNUMBER(SEARCH("未勝利",Z2416)),"その他未勝利",IF(ISNUMBER(SEARCH("G1",Z2416)),"G1",IF(ISNUMBER(SEARCH("G2",Z2416)),"G2",IF(ISNUMBER(SEARCH("G3",Z2416)),"G3",IF(ISNUMBER(SEARCH("古馬条件",Z2416)),"古馬条件戦",IF(ISNUMBER(SEARCH("重賞",Z2416)),"重賞","分類不能")))))))))</f>
        <v/>
      </c>
    </row>
    <row r="2417" customFormat="false" ht="15.75" hidden="false" customHeight="false" outlineLevel="0" collapsed="false">
      <c r="AO2417" s="8" t="str">
        <f aca="false">IF(A2417="","",IF(COUNTIFS(全馬データ!$A$2:$A$50000,A2417,全馬データ!$B$2:$B$50000,B2417,全馬データ!$C$2:$C$50000,C2417,全馬データ!$D$2:$D$50000,E2417,全馬データ!$K$2:$K$50000,"&lt;&gt;")=0,"",SUMIFS(全馬データ!$K$2:$K$50000,全馬データ!$A$2:$A$50000,A2417,全馬データ!$B$2:$B$50000,B2417,全馬データ!$C$2:$C$50000,C2417,全馬データ!$D$2:$D$50000,E2417)))</f>
        <v/>
      </c>
      <c r="AP2417" s="8" t="str">
        <f aca="false">IF(A2417="","",IF(AO2417="","欠損",IF(AO2417&lt;=1.1,"1.0～1.1",IF(AO2417&lt;1.3,"1.2",IF(AO2417&lt;1.5,"1.3～1.4",IF(AO2417&lt;2,"1.5～1.9","2.0以上"))))))</f>
        <v/>
      </c>
      <c r="AQ2417" s="8" t="str">
        <f aca="false">IF(A2417="","",IF(ISNUMBER(SEARCH("2歳",Z2417)),"2歳戦",IF(ISNUMBER(SEARCH("3歳未勝利",Z2417)),"3歳未勝利",IF(ISNUMBER(SEARCH("未勝利",Z2417)),"その他未勝利",IF(ISNUMBER(SEARCH("G1",Z2417)),"G1",IF(ISNUMBER(SEARCH("G2",Z2417)),"G2",IF(ISNUMBER(SEARCH("G3",Z2417)),"G3",IF(ISNUMBER(SEARCH("古馬条件",Z2417)),"古馬条件戦",IF(ISNUMBER(SEARCH("重賞",Z2417)),"重賞","分類不能")))))))))</f>
        <v/>
      </c>
    </row>
    <row r="2418" customFormat="false" ht="15.75" hidden="false" customHeight="false" outlineLevel="0" collapsed="false">
      <c r="AO2418" s="8" t="str">
        <f aca="false">IF(A2418="","",IF(COUNTIFS(全馬データ!$A$2:$A$50000,A2418,全馬データ!$B$2:$B$50000,B2418,全馬データ!$C$2:$C$50000,C2418,全馬データ!$D$2:$D$50000,E2418,全馬データ!$K$2:$K$50000,"&lt;&gt;")=0,"",SUMIFS(全馬データ!$K$2:$K$50000,全馬データ!$A$2:$A$50000,A2418,全馬データ!$B$2:$B$50000,B2418,全馬データ!$C$2:$C$50000,C2418,全馬データ!$D$2:$D$50000,E2418)))</f>
        <v/>
      </c>
      <c r="AP2418" s="8" t="str">
        <f aca="false">IF(A2418="","",IF(AO2418="","欠損",IF(AO2418&lt;=1.1,"1.0～1.1",IF(AO2418&lt;1.3,"1.2",IF(AO2418&lt;1.5,"1.3～1.4",IF(AO2418&lt;2,"1.5～1.9","2.0以上"))))))</f>
        <v/>
      </c>
      <c r="AQ2418" s="8" t="str">
        <f aca="false">IF(A2418="","",IF(ISNUMBER(SEARCH("2歳",Z2418)),"2歳戦",IF(ISNUMBER(SEARCH("3歳未勝利",Z2418)),"3歳未勝利",IF(ISNUMBER(SEARCH("未勝利",Z2418)),"その他未勝利",IF(ISNUMBER(SEARCH("G1",Z2418)),"G1",IF(ISNUMBER(SEARCH("G2",Z2418)),"G2",IF(ISNUMBER(SEARCH("G3",Z2418)),"G3",IF(ISNUMBER(SEARCH("古馬条件",Z2418)),"古馬条件戦",IF(ISNUMBER(SEARCH("重賞",Z2418)),"重賞","分類不能")))))))))</f>
        <v/>
      </c>
    </row>
    <row r="2419" customFormat="false" ht="15.75" hidden="false" customHeight="false" outlineLevel="0" collapsed="false">
      <c r="AO2419" s="8" t="str">
        <f aca="false">IF(A2419="","",IF(COUNTIFS(全馬データ!$A$2:$A$50000,A2419,全馬データ!$B$2:$B$50000,B2419,全馬データ!$C$2:$C$50000,C2419,全馬データ!$D$2:$D$50000,E2419,全馬データ!$K$2:$K$50000,"&lt;&gt;")=0,"",SUMIFS(全馬データ!$K$2:$K$50000,全馬データ!$A$2:$A$50000,A2419,全馬データ!$B$2:$B$50000,B2419,全馬データ!$C$2:$C$50000,C2419,全馬データ!$D$2:$D$50000,E2419)))</f>
        <v/>
      </c>
      <c r="AP2419" s="8" t="str">
        <f aca="false">IF(A2419="","",IF(AO2419="","欠損",IF(AO2419&lt;=1.1,"1.0～1.1",IF(AO2419&lt;1.3,"1.2",IF(AO2419&lt;1.5,"1.3～1.4",IF(AO2419&lt;2,"1.5～1.9","2.0以上"))))))</f>
        <v/>
      </c>
      <c r="AQ2419" s="8" t="str">
        <f aca="false">IF(A2419="","",IF(ISNUMBER(SEARCH("2歳",Z2419)),"2歳戦",IF(ISNUMBER(SEARCH("3歳未勝利",Z2419)),"3歳未勝利",IF(ISNUMBER(SEARCH("未勝利",Z2419)),"その他未勝利",IF(ISNUMBER(SEARCH("G1",Z2419)),"G1",IF(ISNUMBER(SEARCH("G2",Z2419)),"G2",IF(ISNUMBER(SEARCH("G3",Z2419)),"G3",IF(ISNUMBER(SEARCH("古馬条件",Z2419)),"古馬条件戦",IF(ISNUMBER(SEARCH("重賞",Z2419)),"重賞","分類不能")))))))))</f>
        <v/>
      </c>
    </row>
    <row r="2420" customFormat="false" ht="15.75" hidden="false" customHeight="false" outlineLevel="0" collapsed="false">
      <c r="AO2420" s="8" t="str">
        <f aca="false">IF(A2420="","",IF(COUNTIFS(全馬データ!$A$2:$A$50000,A2420,全馬データ!$B$2:$B$50000,B2420,全馬データ!$C$2:$C$50000,C2420,全馬データ!$D$2:$D$50000,E2420,全馬データ!$K$2:$K$50000,"&lt;&gt;")=0,"",SUMIFS(全馬データ!$K$2:$K$50000,全馬データ!$A$2:$A$50000,A2420,全馬データ!$B$2:$B$50000,B2420,全馬データ!$C$2:$C$50000,C2420,全馬データ!$D$2:$D$50000,E2420)))</f>
        <v/>
      </c>
      <c r="AP2420" s="8" t="str">
        <f aca="false">IF(A2420="","",IF(AO2420="","欠損",IF(AO2420&lt;=1.1,"1.0～1.1",IF(AO2420&lt;1.3,"1.2",IF(AO2420&lt;1.5,"1.3～1.4",IF(AO2420&lt;2,"1.5～1.9","2.0以上"))))))</f>
        <v/>
      </c>
      <c r="AQ2420" s="8" t="str">
        <f aca="false">IF(A2420="","",IF(ISNUMBER(SEARCH("2歳",Z2420)),"2歳戦",IF(ISNUMBER(SEARCH("3歳未勝利",Z2420)),"3歳未勝利",IF(ISNUMBER(SEARCH("未勝利",Z2420)),"その他未勝利",IF(ISNUMBER(SEARCH("G1",Z2420)),"G1",IF(ISNUMBER(SEARCH("G2",Z2420)),"G2",IF(ISNUMBER(SEARCH("G3",Z2420)),"G3",IF(ISNUMBER(SEARCH("古馬条件",Z2420)),"古馬条件戦",IF(ISNUMBER(SEARCH("重賞",Z2420)),"重賞","分類不能")))))))))</f>
        <v/>
      </c>
    </row>
    <row r="2421" customFormat="false" ht="15.75" hidden="false" customHeight="false" outlineLevel="0" collapsed="false">
      <c r="AO2421" s="8" t="str">
        <f aca="false">IF(A2421="","",IF(COUNTIFS(全馬データ!$A$2:$A$50000,A2421,全馬データ!$B$2:$B$50000,B2421,全馬データ!$C$2:$C$50000,C2421,全馬データ!$D$2:$D$50000,E2421,全馬データ!$K$2:$K$50000,"&lt;&gt;")=0,"",SUMIFS(全馬データ!$K$2:$K$50000,全馬データ!$A$2:$A$50000,A2421,全馬データ!$B$2:$B$50000,B2421,全馬データ!$C$2:$C$50000,C2421,全馬データ!$D$2:$D$50000,E2421)))</f>
        <v/>
      </c>
      <c r="AP2421" s="8" t="str">
        <f aca="false">IF(A2421="","",IF(AO2421="","欠損",IF(AO2421&lt;=1.1,"1.0～1.1",IF(AO2421&lt;1.3,"1.2",IF(AO2421&lt;1.5,"1.3～1.4",IF(AO2421&lt;2,"1.5～1.9","2.0以上"))))))</f>
        <v/>
      </c>
      <c r="AQ2421" s="8" t="str">
        <f aca="false">IF(A2421="","",IF(ISNUMBER(SEARCH("2歳",Z2421)),"2歳戦",IF(ISNUMBER(SEARCH("3歳未勝利",Z2421)),"3歳未勝利",IF(ISNUMBER(SEARCH("未勝利",Z2421)),"その他未勝利",IF(ISNUMBER(SEARCH("G1",Z2421)),"G1",IF(ISNUMBER(SEARCH("G2",Z2421)),"G2",IF(ISNUMBER(SEARCH("G3",Z2421)),"G3",IF(ISNUMBER(SEARCH("古馬条件",Z2421)),"古馬条件戦",IF(ISNUMBER(SEARCH("重賞",Z2421)),"重賞","分類不能")))))))))</f>
        <v/>
      </c>
    </row>
    <row r="2422" customFormat="false" ht="15.75" hidden="false" customHeight="false" outlineLevel="0" collapsed="false">
      <c r="AO2422" s="8" t="str">
        <f aca="false">IF(A2422="","",IF(COUNTIFS(全馬データ!$A$2:$A$50000,A2422,全馬データ!$B$2:$B$50000,B2422,全馬データ!$C$2:$C$50000,C2422,全馬データ!$D$2:$D$50000,E2422,全馬データ!$K$2:$K$50000,"&lt;&gt;")=0,"",SUMIFS(全馬データ!$K$2:$K$50000,全馬データ!$A$2:$A$50000,A2422,全馬データ!$B$2:$B$50000,B2422,全馬データ!$C$2:$C$50000,C2422,全馬データ!$D$2:$D$50000,E2422)))</f>
        <v/>
      </c>
      <c r="AP2422" s="8" t="str">
        <f aca="false">IF(A2422="","",IF(AO2422="","欠損",IF(AO2422&lt;=1.1,"1.0～1.1",IF(AO2422&lt;1.3,"1.2",IF(AO2422&lt;1.5,"1.3～1.4",IF(AO2422&lt;2,"1.5～1.9","2.0以上"))))))</f>
        <v/>
      </c>
      <c r="AQ2422" s="8" t="str">
        <f aca="false">IF(A2422="","",IF(ISNUMBER(SEARCH("2歳",Z2422)),"2歳戦",IF(ISNUMBER(SEARCH("3歳未勝利",Z2422)),"3歳未勝利",IF(ISNUMBER(SEARCH("未勝利",Z2422)),"その他未勝利",IF(ISNUMBER(SEARCH("G1",Z2422)),"G1",IF(ISNUMBER(SEARCH("G2",Z2422)),"G2",IF(ISNUMBER(SEARCH("G3",Z2422)),"G3",IF(ISNUMBER(SEARCH("古馬条件",Z2422)),"古馬条件戦",IF(ISNUMBER(SEARCH("重賞",Z2422)),"重賞","分類不能")))))))))</f>
        <v/>
      </c>
    </row>
    <row r="2423" customFormat="false" ht="15.75" hidden="false" customHeight="false" outlineLevel="0" collapsed="false">
      <c r="AO2423" s="8" t="str">
        <f aca="false">IF(A2423="","",IF(COUNTIFS(全馬データ!$A$2:$A$50000,A2423,全馬データ!$B$2:$B$50000,B2423,全馬データ!$C$2:$C$50000,C2423,全馬データ!$D$2:$D$50000,E2423,全馬データ!$K$2:$K$50000,"&lt;&gt;")=0,"",SUMIFS(全馬データ!$K$2:$K$50000,全馬データ!$A$2:$A$50000,A2423,全馬データ!$B$2:$B$50000,B2423,全馬データ!$C$2:$C$50000,C2423,全馬データ!$D$2:$D$50000,E2423)))</f>
        <v/>
      </c>
      <c r="AP2423" s="8" t="str">
        <f aca="false">IF(A2423="","",IF(AO2423="","欠損",IF(AO2423&lt;=1.1,"1.0～1.1",IF(AO2423&lt;1.3,"1.2",IF(AO2423&lt;1.5,"1.3～1.4",IF(AO2423&lt;2,"1.5～1.9","2.0以上"))))))</f>
        <v/>
      </c>
      <c r="AQ2423" s="8" t="str">
        <f aca="false">IF(A2423="","",IF(ISNUMBER(SEARCH("2歳",Z2423)),"2歳戦",IF(ISNUMBER(SEARCH("3歳未勝利",Z2423)),"3歳未勝利",IF(ISNUMBER(SEARCH("未勝利",Z2423)),"その他未勝利",IF(ISNUMBER(SEARCH("G1",Z2423)),"G1",IF(ISNUMBER(SEARCH("G2",Z2423)),"G2",IF(ISNUMBER(SEARCH("G3",Z2423)),"G3",IF(ISNUMBER(SEARCH("古馬条件",Z2423)),"古馬条件戦",IF(ISNUMBER(SEARCH("重賞",Z2423)),"重賞","分類不能")))))))))</f>
        <v/>
      </c>
    </row>
    <row r="2424" customFormat="false" ht="15.75" hidden="false" customHeight="false" outlineLevel="0" collapsed="false">
      <c r="AO2424" s="8" t="str">
        <f aca="false">IF(A2424="","",IF(COUNTIFS(全馬データ!$A$2:$A$50000,A2424,全馬データ!$B$2:$B$50000,B2424,全馬データ!$C$2:$C$50000,C2424,全馬データ!$D$2:$D$50000,E2424,全馬データ!$K$2:$K$50000,"&lt;&gt;")=0,"",SUMIFS(全馬データ!$K$2:$K$50000,全馬データ!$A$2:$A$50000,A2424,全馬データ!$B$2:$B$50000,B2424,全馬データ!$C$2:$C$50000,C2424,全馬データ!$D$2:$D$50000,E2424)))</f>
        <v/>
      </c>
      <c r="AP2424" s="8" t="str">
        <f aca="false">IF(A2424="","",IF(AO2424="","欠損",IF(AO2424&lt;=1.1,"1.0～1.1",IF(AO2424&lt;1.3,"1.2",IF(AO2424&lt;1.5,"1.3～1.4",IF(AO2424&lt;2,"1.5～1.9","2.0以上"))))))</f>
        <v/>
      </c>
      <c r="AQ2424" s="8" t="str">
        <f aca="false">IF(A2424="","",IF(ISNUMBER(SEARCH("2歳",Z2424)),"2歳戦",IF(ISNUMBER(SEARCH("3歳未勝利",Z2424)),"3歳未勝利",IF(ISNUMBER(SEARCH("未勝利",Z2424)),"その他未勝利",IF(ISNUMBER(SEARCH("G1",Z2424)),"G1",IF(ISNUMBER(SEARCH("G2",Z2424)),"G2",IF(ISNUMBER(SEARCH("G3",Z2424)),"G3",IF(ISNUMBER(SEARCH("古馬条件",Z2424)),"古馬条件戦",IF(ISNUMBER(SEARCH("重賞",Z2424)),"重賞","分類不能")))))))))</f>
        <v/>
      </c>
    </row>
    <row r="2425" customFormat="false" ht="15.75" hidden="false" customHeight="false" outlineLevel="0" collapsed="false">
      <c r="AO2425" s="8" t="str">
        <f aca="false">IF(A2425="","",IF(COUNTIFS(全馬データ!$A$2:$A$50000,A2425,全馬データ!$B$2:$B$50000,B2425,全馬データ!$C$2:$C$50000,C2425,全馬データ!$D$2:$D$50000,E2425,全馬データ!$K$2:$K$50000,"&lt;&gt;")=0,"",SUMIFS(全馬データ!$K$2:$K$50000,全馬データ!$A$2:$A$50000,A2425,全馬データ!$B$2:$B$50000,B2425,全馬データ!$C$2:$C$50000,C2425,全馬データ!$D$2:$D$50000,E2425)))</f>
        <v/>
      </c>
      <c r="AP2425" s="8" t="str">
        <f aca="false">IF(A2425="","",IF(AO2425="","欠損",IF(AO2425&lt;=1.1,"1.0～1.1",IF(AO2425&lt;1.3,"1.2",IF(AO2425&lt;1.5,"1.3～1.4",IF(AO2425&lt;2,"1.5～1.9","2.0以上"))))))</f>
        <v/>
      </c>
      <c r="AQ2425" s="8" t="str">
        <f aca="false">IF(A2425="","",IF(ISNUMBER(SEARCH("2歳",Z2425)),"2歳戦",IF(ISNUMBER(SEARCH("3歳未勝利",Z2425)),"3歳未勝利",IF(ISNUMBER(SEARCH("未勝利",Z2425)),"その他未勝利",IF(ISNUMBER(SEARCH("G1",Z2425)),"G1",IF(ISNUMBER(SEARCH("G2",Z2425)),"G2",IF(ISNUMBER(SEARCH("G3",Z2425)),"G3",IF(ISNUMBER(SEARCH("古馬条件",Z2425)),"古馬条件戦",IF(ISNUMBER(SEARCH("重賞",Z2425)),"重賞","分類不能")))))))))</f>
        <v/>
      </c>
    </row>
    <row r="2426" customFormat="false" ht="15.75" hidden="false" customHeight="false" outlineLevel="0" collapsed="false">
      <c r="AO2426" s="8" t="str">
        <f aca="false">IF(A2426="","",IF(COUNTIFS(全馬データ!$A$2:$A$50000,A2426,全馬データ!$B$2:$B$50000,B2426,全馬データ!$C$2:$C$50000,C2426,全馬データ!$D$2:$D$50000,E2426,全馬データ!$K$2:$K$50000,"&lt;&gt;")=0,"",SUMIFS(全馬データ!$K$2:$K$50000,全馬データ!$A$2:$A$50000,A2426,全馬データ!$B$2:$B$50000,B2426,全馬データ!$C$2:$C$50000,C2426,全馬データ!$D$2:$D$50000,E2426)))</f>
        <v/>
      </c>
      <c r="AP2426" s="8" t="str">
        <f aca="false">IF(A2426="","",IF(AO2426="","欠損",IF(AO2426&lt;=1.1,"1.0～1.1",IF(AO2426&lt;1.3,"1.2",IF(AO2426&lt;1.5,"1.3～1.4",IF(AO2426&lt;2,"1.5～1.9","2.0以上"))))))</f>
        <v/>
      </c>
      <c r="AQ2426" s="8" t="str">
        <f aca="false">IF(A2426="","",IF(ISNUMBER(SEARCH("2歳",Z2426)),"2歳戦",IF(ISNUMBER(SEARCH("3歳未勝利",Z2426)),"3歳未勝利",IF(ISNUMBER(SEARCH("未勝利",Z2426)),"その他未勝利",IF(ISNUMBER(SEARCH("G1",Z2426)),"G1",IF(ISNUMBER(SEARCH("G2",Z2426)),"G2",IF(ISNUMBER(SEARCH("G3",Z2426)),"G3",IF(ISNUMBER(SEARCH("古馬条件",Z2426)),"古馬条件戦",IF(ISNUMBER(SEARCH("重賞",Z2426)),"重賞","分類不能")))))))))</f>
        <v/>
      </c>
    </row>
    <row r="2427" customFormat="false" ht="15.75" hidden="false" customHeight="false" outlineLevel="0" collapsed="false">
      <c r="AO2427" s="8" t="str">
        <f aca="false">IF(A2427="","",IF(COUNTIFS(全馬データ!$A$2:$A$50000,A2427,全馬データ!$B$2:$B$50000,B2427,全馬データ!$C$2:$C$50000,C2427,全馬データ!$D$2:$D$50000,E2427,全馬データ!$K$2:$K$50000,"&lt;&gt;")=0,"",SUMIFS(全馬データ!$K$2:$K$50000,全馬データ!$A$2:$A$50000,A2427,全馬データ!$B$2:$B$50000,B2427,全馬データ!$C$2:$C$50000,C2427,全馬データ!$D$2:$D$50000,E2427)))</f>
        <v/>
      </c>
      <c r="AP2427" s="8" t="str">
        <f aca="false">IF(A2427="","",IF(AO2427="","欠損",IF(AO2427&lt;=1.1,"1.0～1.1",IF(AO2427&lt;1.3,"1.2",IF(AO2427&lt;1.5,"1.3～1.4",IF(AO2427&lt;2,"1.5～1.9","2.0以上"))))))</f>
        <v/>
      </c>
      <c r="AQ2427" s="8" t="str">
        <f aca="false">IF(A2427="","",IF(ISNUMBER(SEARCH("2歳",Z2427)),"2歳戦",IF(ISNUMBER(SEARCH("3歳未勝利",Z2427)),"3歳未勝利",IF(ISNUMBER(SEARCH("未勝利",Z2427)),"その他未勝利",IF(ISNUMBER(SEARCH("G1",Z2427)),"G1",IF(ISNUMBER(SEARCH("G2",Z2427)),"G2",IF(ISNUMBER(SEARCH("G3",Z2427)),"G3",IF(ISNUMBER(SEARCH("古馬条件",Z2427)),"古馬条件戦",IF(ISNUMBER(SEARCH("重賞",Z2427)),"重賞","分類不能")))))))))</f>
        <v/>
      </c>
    </row>
    <row r="2428" customFormat="false" ht="15.75" hidden="false" customHeight="false" outlineLevel="0" collapsed="false">
      <c r="AO2428" s="8" t="str">
        <f aca="false">IF(A2428="","",IF(COUNTIFS(全馬データ!$A$2:$A$50000,A2428,全馬データ!$B$2:$B$50000,B2428,全馬データ!$C$2:$C$50000,C2428,全馬データ!$D$2:$D$50000,E2428,全馬データ!$K$2:$K$50000,"&lt;&gt;")=0,"",SUMIFS(全馬データ!$K$2:$K$50000,全馬データ!$A$2:$A$50000,A2428,全馬データ!$B$2:$B$50000,B2428,全馬データ!$C$2:$C$50000,C2428,全馬データ!$D$2:$D$50000,E2428)))</f>
        <v/>
      </c>
      <c r="AP2428" s="8" t="str">
        <f aca="false">IF(A2428="","",IF(AO2428="","欠損",IF(AO2428&lt;=1.1,"1.0～1.1",IF(AO2428&lt;1.3,"1.2",IF(AO2428&lt;1.5,"1.3～1.4",IF(AO2428&lt;2,"1.5～1.9","2.0以上"))))))</f>
        <v/>
      </c>
      <c r="AQ2428" s="8" t="str">
        <f aca="false">IF(A2428="","",IF(ISNUMBER(SEARCH("2歳",Z2428)),"2歳戦",IF(ISNUMBER(SEARCH("3歳未勝利",Z2428)),"3歳未勝利",IF(ISNUMBER(SEARCH("未勝利",Z2428)),"その他未勝利",IF(ISNUMBER(SEARCH("G1",Z2428)),"G1",IF(ISNUMBER(SEARCH("G2",Z2428)),"G2",IF(ISNUMBER(SEARCH("G3",Z2428)),"G3",IF(ISNUMBER(SEARCH("古馬条件",Z2428)),"古馬条件戦",IF(ISNUMBER(SEARCH("重賞",Z2428)),"重賞","分類不能")))))))))</f>
        <v/>
      </c>
    </row>
    <row r="2429" customFormat="false" ht="15.75" hidden="false" customHeight="false" outlineLevel="0" collapsed="false">
      <c r="AO2429" s="8" t="str">
        <f aca="false">IF(A2429="","",IF(COUNTIFS(全馬データ!$A$2:$A$50000,A2429,全馬データ!$B$2:$B$50000,B2429,全馬データ!$C$2:$C$50000,C2429,全馬データ!$D$2:$D$50000,E2429,全馬データ!$K$2:$K$50000,"&lt;&gt;")=0,"",SUMIFS(全馬データ!$K$2:$K$50000,全馬データ!$A$2:$A$50000,A2429,全馬データ!$B$2:$B$50000,B2429,全馬データ!$C$2:$C$50000,C2429,全馬データ!$D$2:$D$50000,E2429)))</f>
        <v/>
      </c>
      <c r="AP2429" s="8" t="str">
        <f aca="false">IF(A2429="","",IF(AO2429="","欠損",IF(AO2429&lt;=1.1,"1.0～1.1",IF(AO2429&lt;1.3,"1.2",IF(AO2429&lt;1.5,"1.3～1.4",IF(AO2429&lt;2,"1.5～1.9","2.0以上"))))))</f>
        <v/>
      </c>
      <c r="AQ2429" s="8" t="str">
        <f aca="false">IF(A2429="","",IF(ISNUMBER(SEARCH("2歳",Z2429)),"2歳戦",IF(ISNUMBER(SEARCH("3歳未勝利",Z2429)),"3歳未勝利",IF(ISNUMBER(SEARCH("未勝利",Z2429)),"その他未勝利",IF(ISNUMBER(SEARCH("G1",Z2429)),"G1",IF(ISNUMBER(SEARCH("G2",Z2429)),"G2",IF(ISNUMBER(SEARCH("G3",Z2429)),"G3",IF(ISNUMBER(SEARCH("古馬条件",Z2429)),"古馬条件戦",IF(ISNUMBER(SEARCH("重賞",Z2429)),"重賞","分類不能")))))))))</f>
        <v/>
      </c>
    </row>
    <row r="2430" customFormat="false" ht="15.75" hidden="false" customHeight="false" outlineLevel="0" collapsed="false">
      <c r="AO2430" s="8" t="str">
        <f aca="false">IF(A2430="","",IF(COUNTIFS(全馬データ!$A$2:$A$50000,A2430,全馬データ!$B$2:$B$50000,B2430,全馬データ!$C$2:$C$50000,C2430,全馬データ!$D$2:$D$50000,E2430,全馬データ!$K$2:$K$50000,"&lt;&gt;")=0,"",SUMIFS(全馬データ!$K$2:$K$50000,全馬データ!$A$2:$A$50000,A2430,全馬データ!$B$2:$B$50000,B2430,全馬データ!$C$2:$C$50000,C2430,全馬データ!$D$2:$D$50000,E2430)))</f>
        <v/>
      </c>
      <c r="AP2430" s="8" t="str">
        <f aca="false">IF(A2430="","",IF(AO2430="","欠損",IF(AO2430&lt;=1.1,"1.0～1.1",IF(AO2430&lt;1.3,"1.2",IF(AO2430&lt;1.5,"1.3～1.4",IF(AO2430&lt;2,"1.5～1.9","2.0以上"))))))</f>
        <v/>
      </c>
      <c r="AQ2430" s="8" t="str">
        <f aca="false">IF(A2430="","",IF(ISNUMBER(SEARCH("2歳",Z2430)),"2歳戦",IF(ISNUMBER(SEARCH("3歳未勝利",Z2430)),"3歳未勝利",IF(ISNUMBER(SEARCH("未勝利",Z2430)),"その他未勝利",IF(ISNUMBER(SEARCH("G1",Z2430)),"G1",IF(ISNUMBER(SEARCH("G2",Z2430)),"G2",IF(ISNUMBER(SEARCH("G3",Z2430)),"G3",IF(ISNUMBER(SEARCH("古馬条件",Z2430)),"古馬条件戦",IF(ISNUMBER(SEARCH("重賞",Z2430)),"重賞","分類不能")))))))))</f>
        <v/>
      </c>
    </row>
    <row r="2431" customFormat="false" ht="15.75" hidden="false" customHeight="false" outlineLevel="0" collapsed="false">
      <c r="AO2431" s="8" t="str">
        <f aca="false">IF(A2431="","",IF(COUNTIFS(全馬データ!$A$2:$A$50000,A2431,全馬データ!$B$2:$B$50000,B2431,全馬データ!$C$2:$C$50000,C2431,全馬データ!$D$2:$D$50000,E2431,全馬データ!$K$2:$K$50000,"&lt;&gt;")=0,"",SUMIFS(全馬データ!$K$2:$K$50000,全馬データ!$A$2:$A$50000,A2431,全馬データ!$B$2:$B$50000,B2431,全馬データ!$C$2:$C$50000,C2431,全馬データ!$D$2:$D$50000,E2431)))</f>
        <v/>
      </c>
      <c r="AP2431" s="8" t="str">
        <f aca="false">IF(A2431="","",IF(AO2431="","欠損",IF(AO2431&lt;=1.1,"1.0～1.1",IF(AO2431&lt;1.3,"1.2",IF(AO2431&lt;1.5,"1.3～1.4",IF(AO2431&lt;2,"1.5～1.9","2.0以上"))))))</f>
        <v/>
      </c>
      <c r="AQ2431" s="8" t="str">
        <f aca="false">IF(A2431="","",IF(ISNUMBER(SEARCH("2歳",Z2431)),"2歳戦",IF(ISNUMBER(SEARCH("3歳未勝利",Z2431)),"3歳未勝利",IF(ISNUMBER(SEARCH("未勝利",Z2431)),"その他未勝利",IF(ISNUMBER(SEARCH("G1",Z2431)),"G1",IF(ISNUMBER(SEARCH("G2",Z2431)),"G2",IF(ISNUMBER(SEARCH("G3",Z2431)),"G3",IF(ISNUMBER(SEARCH("古馬条件",Z2431)),"古馬条件戦",IF(ISNUMBER(SEARCH("重賞",Z2431)),"重賞","分類不能")))))))))</f>
        <v/>
      </c>
    </row>
    <row r="2432" customFormat="false" ht="15.75" hidden="false" customHeight="false" outlineLevel="0" collapsed="false">
      <c r="AO2432" s="8" t="str">
        <f aca="false">IF(A2432="","",IF(COUNTIFS(全馬データ!$A$2:$A$50000,A2432,全馬データ!$B$2:$B$50000,B2432,全馬データ!$C$2:$C$50000,C2432,全馬データ!$D$2:$D$50000,E2432,全馬データ!$K$2:$K$50000,"&lt;&gt;")=0,"",SUMIFS(全馬データ!$K$2:$K$50000,全馬データ!$A$2:$A$50000,A2432,全馬データ!$B$2:$B$50000,B2432,全馬データ!$C$2:$C$50000,C2432,全馬データ!$D$2:$D$50000,E2432)))</f>
        <v/>
      </c>
      <c r="AP2432" s="8" t="str">
        <f aca="false">IF(A2432="","",IF(AO2432="","欠損",IF(AO2432&lt;=1.1,"1.0～1.1",IF(AO2432&lt;1.3,"1.2",IF(AO2432&lt;1.5,"1.3～1.4",IF(AO2432&lt;2,"1.5～1.9","2.0以上"))))))</f>
        <v/>
      </c>
      <c r="AQ2432" s="8" t="str">
        <f aca="false">IF(A2432="","",IF(ISNUMBER(SEARCH("2歳",Z2432)),"2歳戦",IF(ISNUMBER(SEARCH("3歳未勝利",Z2432)),"3歳未勝利",IF(ISNUMBER(SEARCH("未勝利",Z2432)),"その他未勝利",IF(ISNUMBER(SEARCH("G1",Z2432)),"G1",IF(ISNUMBER(SEARCH("G2",Z2432)),"G2",IF(ISNUMBER(SEARCH("G3",Z2432)),"G3",IF(ISNUMBER(SEARCH("古馬条件",Z2432)),"古馬条件戦",IF(ISNUMBER(SEARCH("重賞",Z2432)),"重賞","分類不能")))))))))</f>
        <v/>
      </c>
    </row>
    <row r="2433" customFormat="false" ht="15.75" hidden="false" customHeight="false" outlineLevel="0" collapsed="false">
      <c r="AO2433" s="8" t="str">
        <f aca="false">IF(A2433="","",IF(COUNTIFS(全馬データ!$A$2:$A$50000,A2433,全馬データ!$B$2:$B$50000,B2433,全馬データ!$C$2:$C$50000,C2433,全馬データ!$D$2:$D$50000,E2433,全馬データ!$K$2:$K$50000,"&lt;&gt;")=0,"",SUMIFS(全馬データ!$K$2:$K$50000,全馬データ!$A$2:$A$50000,A2433,全馬データ!$B$2:$B$50000,B2433,全馬データ!$C$2:$C$50000,C2433,全馬データ!$D$2:$D$50000,E2433)))</f>
        <v/>
      </c>
      <c r="AP2433" s="8" t="str">
        <f aca="false">IF(A2433="","",IF(AO2433="","欠損",IF(AO2433&lt;=1.1,"1.0～1.1",IF(AO2433&lt;1.3,"1.2",IF(AO2433&lt;1.5,"1.3～1.4",IF(AO2433&lt;2,"1.5～1.9","2.0以上"))))))</f>
        <v/>
      </c>
      <c r="AQ2433" s="8" t="str">
        <f aca="false">IF(A2433="","",IF(ISNUMBER(SEARCH("2歳",Z2433)),"2歳戦",IF(ISNUMBER(SEARCH("3歳未勝利",Z2433)),"3歳未勝利",IF(ISNUMBER(SEARCH("未勝利",Z2433)),"その他未勝利",IF(ISNUMBER(SEARCH("G1",Z2433)),"G1",IF(ISNUMBER(SEARCH("G2",Z2433)),"G2",IF(ISNUMBER(SEARCH("G3",Z2433)),"G3",IF(ISNUMBER(SEARCH("古馬条件",Z2433)),"古馬条件戦",IF(ISNUMBER(SEARCH("重賞",Z2433)),"重賞","分類不能")))))))))</f>
        <v/>
      </c>
    </row>
    <row r="2434" customFormat="false" ht="15.75" hidden="false" customHeight="false" outlineLevel="0" collapsed="false">
      <c r="AO2434" s="8" t="str">
        <f aca="false">IF(A2434="","",IF(COUNTIFS(全馬データ!$A$2:$A$50000,A2434,全馬データ!$B$2:$B$50000,B2434,全馬データ!$C$2:$C$50000,C2434,全馬データ!$D$2:$D$50000,E2434,全馬データ!$K$2:$K$50000,"&lt;&gt;")=0,"",SUMIFS(全馬データ!$K$2:$K$50000,全馬データ!$A$2:$A$50000,A2434,全馬データ!$B$2:$B$50000,B2434,全馬データ!$C$2:$C$50000,C2434,全馬データ!$D$2:$D$50000,E2434)))</f>
        <v/>
      </c>
      <c r="AP2434" s="8" t="str">
        <f aca="false">IF(A2434="","",IF(AO2434="","欠損",IF(AO2434&lt;=1.1,"1.0～1.1",IF(AO2434&lt;1.3,"1.2",IF(AO2434&lt;1.5,"1.3～1.4",IF(AO2434&lt;2,"1.5～1.9","2.0以上"))))))</f>
        <v/>
      </c>
      <c r="AQ2434" s="8" t="str">
        <f aca="false">IF(A2434="","",IF(ISNUMBER(SEARCH("2歳",Z2434)),"2歳戦",IF(ISNUMBER(SEARCH("3歳未勝利",Z2434)),"3歳未勝利",IF(ISNUMBER(SEARCH("未勝利",Z2434)),"その他未勝利",IF(ISNUMBER(SEARCH("G1",Z2434)),"G1",IF(ISNUMBER(SEARCH("G2",Z2434)),"G2",IF(ISNUMBER(SEARCH("G3",Z2434)),"G3",IF(ISNUMBER(SEARCH("古馬条件",Z2434)),"古馬条件戦",IF(ISNUMBER(SEARCH("重賞",Z2434)),"重賞","分類不能")))))))))</f>
        <v/>
      </c>
    </row>
    <row r="2435" customFormat="false" ht="15.75" hidden="false" customHeight="false" outlineLevel="0" collapsed="false">
      <c r="AO2435" s="8" t="str">
        <f aca="false">IF(A2435="","",IF(COUNTIFS(全馬データ!$A$2:$A$50000,A2435,全馬データ!$B$2:$B$50000,B2435,全馬データ!$C$2:$C$50000,C2435,全馬データ!$D$2:$D$50000,E2435,全馬データ!$K$2:$K$50000,"&lt;&gt;")=0,"",SUMIFS(全馬データ!$K$2:$K$50000,全馬データ!$A$2:$A$50000,A2435,全馬データ!$B$2:$B$50000,B2435,全馬データ!$C$2:$C$50000,C2435,全馬データ!$D$2:$D$50000,E2435)))</f>
        <v/>
      </c>
      <c r="AP2435" s="8" t="str">
        <f aca="false">IF(A2435="","",IF(AO2435="","欠損",IF(AO2435&lt;=1.1,"1.0～1.1",IF(AO2435&lt;1.3,"1.2",IF(AO2435&lt;1.5,"1.3～1.4",IF(AO2435&lt;2,"1.5～1.9","2.0以上"))))))</f>
        <v/>
      </c>
      <c r="AQ2435" s="8" t="str">
        <f aca="false">IF(A2435="","",IF(ISNUMBER(SEARCH("2歳",Z2435)),"2歳戦",IF(ISNUMBER(SEARCH("3歳未勝利",Z2435)),"3歳未勝利",IF(ISNUMBER(SEARCH("未勝利",Z2435)),"その他未勝利",IF(ISNUMBER(SEARCH("G1",Z2435)),"G1",IF(ISNUMBER(SEARCH("G2",Z2435)),"G2",IF(ISNUMBER(SEARCH("G3",Z2435)),"G3",IF(ISNUMBER(SEARCH("古馬条件",Z2435)),"古馬条件戦",IF(ISNUMBER(SEARCH("重賞",Z2435)),"重賞","分類不能")))))))))</f>
        <v/>
      </c>
    </row>
    <row r="2436" customFormat="false" ht="15.75" hidden="false" customHeight="false" outlineLevel="0" collapsed="false">
      <c r="AO2436" s="8" t="str">
        <f aca="false">IF(A2436="","",IF(COUNTIFS(全馬データ!$A$2:$A$50000,A2436,全馬データ!$B$2:$B$50000,B2436,全馬データ!$C$2:$C$50000,C2436,全馬データ!$D$2:$D$50000,E2436,全馬データ!$K$2:$K$50000,"&lt;&gt;")=0,"",SUMIFS(全馬データ!$K$2:$K$50000,全馬データ!$A$2:$A$50000,A2436,全馬データ!$B$2:$B$50000,B2436,全馬データ!$C$2:$C$50000,C2436,全馬データ!$D$2:$D$50000,E2436)))</f>
        <v/>
      </c>
      <c r="AP2436" s="8" t="str">
        <f aca="false">IF(A2436="","",IF(AO2436="","欠損",IF(AO2436&lt;=1.1,"1.0～1.1",IF(AO2436&lt;1.3,"1.2",IF(AO2436&lt;1.5,"1.3～1.4",IF(AO2436&lt;2,"1.5～1.9","2.0以上"))))))</f>
        <v/>
      </c>
      <c r="AQ2436" s="8" t="str">
        <f aca="false">IF(A2436="","",IF(ISNUMBER(SEARCH("2歳",Z2436)),"2歳戦",IF(ISNUMBER(SEARCH("3歳未勝利",Z2436)),"3歳未勝利",IF(ISNUMBER(SEARCH("未勝利",Z2436)),"その他未勝利",IF(ISNUMBER(SEARCH("G1",Z2436)),"G1",IF(ISNUMBER(SEARCH("G2",Z2436)),"G2",IF(ISNUMBER(SEARCH("G3",Z2436)),"G3",IF(ISNUMBER(SEARCH("古馬条件",Z2436)),"古馬条件戦",IF(ISNUMBER(SEARCH("重賞",Z2436)),"重賞","分類不能")))))))))</f>
        <v/>
      </c>
    </row>
    <row r="2437" customFormat="false" ht="15.75" hidden="false" customHeight="false" outlineLevel="0" collapsed="false">
      <c r="AO2437" s="8" t="str">
        <f aca="false">IF(A2437="","",IF(COUNTIFS(全馬データ!$A$2:$A$50000,A2437,全馬データ!$B$2:$B$50000,B2437,全馬データ!$C$2:$C$50000,C2437,全馬データ!$D$2:$D$50000,E2437,全馬データ!$K$2:$K$50000,"&lt;&gt;")=0,"",SUMIFS(全馬データ!$K$2:$K$50000,全馬データ!$A$2:$A$50000,A2437,全馬データ!$B$2:$B$50000,B2437,全馬データ!$C$2:$C$50000,C2437,全馬データ!$D$2:$D$50000,E2437)))</f>
        <v/>
      </c>
      <c r="AP2437" s="8" t="str">
        <f aca="false">IF(A2437="","",IF(AO2437="","欠損",IF(AO2437&lt;=1.1,"1.0～1.1",IF(AO2437&lt;1.3,"1.2",IF(AO2437&lt;1.5,"1.3～1.4",IF(AO2437&lt;2,"1.5～1.9","2.0以上"))))))</f>
        <v/>
      </c>
      <c r="AQ2437" s="8" t="str">
        <f aca="false">IF(A2437="","",IF(ISNUMBER(SEARCH("2歳",Z2437)),"2歳戦",IF(ISNUMBER(SEARCH("3歳未勝利",Z2437)),"3歳未勝利",IF(ISNUMBER(SEARCH("未勝利",Z2437)),"その他未勝利",IF(ISNUMBER(SEARCH("G1",Z2437)),"G1",IF(ISNUMBER(SEARCH("G2",Z2437)),"G2",IF(ISNUMBER(SEARCH("G3",Z2437)),"G3",IF(ISNUMBER(SEARCH("古馬条件",Z2437)),"古馬条件戦",IF(ISNUMBER(SEARCH("重賞",Z2437)),"重賞","分類不能")))))))))</f>
        <v/>
      </c>
    </row>
    <row r="2438" customFormat="false" ht="15.75" hidden="false" customHeight="false" outlineLevel="0" collapsed="false">
      <c r="AO2438" s="8" t="str">
        <f aca="false">IF(A2438="","",IF(COUNTIFS(全馬データ!$A$2:$A$50000,A2438,全馬データ!$B$2:$B$50000,B2438,全馬データ!$C$2:$C$50000,C2438,全馬データ!$D$2:$D$50000,E2438,全馬データ!$K$2:$K$50000,"&lt;&gt;")=0,"",SUMIFS(全馬データ!$K$2:$K$50000,全馬データ!$A$2:$A$50000,A2438,全馬データ!$B$2:$B$50000,B2438,全馬データ!$C$2:$C$50000,C2438,全馬データ!$D$2:$D$50000,E2438)))</f>
        <v/>
      </c>
      <c r="AP2438" s="8" t="str">
        <f aca="false">IF(A2438="","",IF(AO2438="","欠損",IF(AO2438&lt;=1.1,"1.0～1.1",IF(AO2438&lt;1.3,"1.2",IF(AO2438&lt;1.5,"1.3～1.4",IF(AO2438&lt;2,"1.5～1.9","2.0以上"))))))</f>
        <v/>
      </c>
      <c r="AQ2438" s="8" t="str">
        <f aca="false">IF(A2438="","",IF(ISNUMBER(SEARCH("2歳",Z2438)),"2歳戦",IF(ISNUMBER(SEARCH("3歳未勝利",Z2438)),"3歳未勝利",IF(ISNUMBER(SEARCH("未勝利",Z2438)),"その他未勝利",IF(ISNUMBER(SEARCH("G1",Z2438)),"G1",IF(ISNUMBER(SEARCH("G2",Z2438)),"G2",IF(ISNUMBER(SEARCH("G3",Z2438)),"G3",IF(ISNUMBER(SEARCH("古馬条件",Z2438)),"古馬条件戦",IF(ISNUMBER(SEARCH("重賞",Z2438)),"重賞","分類不能")))))))))</f>
        <v/>
      </c>
    </row>
    <row r="2439" customFormat="false" ht="15.75" hidden="false" customHeight="false" outlineLevel="0" collapsed="false">
      <c r="AO2439" s="8" t="str">
        <f aca="false">IF(A2439="","",IF(COUNTIFS(全馬データ!$A$2:$A$50000,A2439,全馬データ!$B$2:$B$50000,B2439,全馬データ!$C$2:$C$50000,C2439,全馬データ!$D$2:$D$50000,E2439,全馬データ!$K$2:$K$50000,"&lt;&gt;")=0,"",SUMIFS(全馬データ!$K$2:$K$50000,全馬データ!$A$2:$A$50000,A2439,全馬データ!$B$2:$B$50000,B2439,全馬データ!$C$2:$C$50000,C2439,全馬データ!$D$2:$D$50000,E2439)))</f>
        <v/>
      </c>
      <c r="AP2439" s="8" t="str">
        <f aca="false">IF(A2439="","",IF(AO2439="","欠損",IF(AO2439&lt;=1.1,"1.0～1.1",IF(AO2439&lt;1.3,"1.2",IF(AO2439&lt;1.5,"1.3～1.4",IF(AO2439&lt;2,"1.5～1.9","2.0以上"))))))</f>
        <v/>
      </c>
      <c r="AQ2439" s="8" t="str">
        <f aca="false">IF(A2439="","",IF(ISNUMBER(SEARCH("2歳",Z2439)),"2歳戦",IF(ISNUMBER(SEARCH("3歳未勝利",Z2439)),"3歳未勝利",IF(ISNUMBER(SEARCH("未勝利",Z2439)),"その他未勝利",IF(ISNUMBER(SEARCH("G1",Z2439)),"G1",IF(ISNUMBER(SEARCH("G2",Z2439)),"G2",IF(ISNUMBER(SEARCH("G3",Z2439)),"G3",IF(ISNUMBER(SEARCH("古馬条件",Z2439)),"古馬条件戦",IF(ISNUMBER(SEARCH("重賞",Z2439)),"重賞","分類不能")))))))))</f>
        <v/>
      </c>
    </row>
    <row r="2440" customFormat="false" ht="15.75" hidden="false" customHeight="false" outlineLevel="0" collapsed="false">
      <c r="AO2440" s="8" t="str">
        <f aca="false">IF(A2440="","",IF(COUNTIFS(全馬データ!$A$2:$A$50000,A2440,全馬データ!$B$2:$B$50000,B2440,全馬データ!$C$2:$C$50000,C2440,全馬データ!$D$2:$D$50000,E2440,全馬データ!$K$2:$K$50000,"&lt;&gt;")=0,"",SUMIFS(全馬データ!$K$2:$K$50000,全馬データ!$A$2:$A$50000,A2440,全馬データ!$B$2:$B$50000,B2440,全馬データ!$C$2:$C$50000,C2440,全馬データ!$D$2:$D$50000,E2440)))</f>
        <v/>
      </c>
      <c r="AP2440" s="8" t="str">
        <f aca="false">IF(A2440="","",IF(AO2440="","欠損",IF(AO2440&lt;=1.1,"1.0～1.1",IF(AO2440&lt;1.3,"1.2",IF(AO2440&lt;1.5,"1.3～1.4",IF(AO2440&lt;2,"1.5～1.9","2.0以上"))))))</f>
        <v/>
      </c>
      <c r="AQ2440" s="8" t="str">
        <f aca="false">IF(A2440="","",IF(ISNUMBER(SEARCH("2歳",Z2440)),"2歳戦",IF(ISNUMBER(SEARCH("3歳未勝利",Z2440)),"3歳未勝利",IF(ISNUMBER(SEARCH("未勝利",Z2440)),"その他未勝利",IF(ISNUMBER(SEARCH("G1",Z2440)),"G1",IF(ISNUMBER(SEARCH("G2",Z2440)),"G2",IF(ISNUMBER(SEARCH("G3",Z2440)),"G3",IF(ISNUMBER(SEARCH("古馬条件",Z2440)),"古馬条件戦",IF(ISNUMBER(SEARCH("重賞",Z2440)),"重賞","分類不能")))))))))</f>
        <v/>
      </c>
    </row>
    <row r="2441" customFormat="false" ht="15.75" hidden="false" customHeight="false" outlineLevel="0" collapsed="false">
      <c r="AO2441" s="8" t="str">
        <f aca="false">IF(A2441="","",IF(COUNTIFS(全馬データ!$A$2:$A$50000,A2441,全馬データ!$B$2:$B$50000,B2441,全馬データ!$C$2:$C$50000,C2441,全馬データ!$D$2:$D$50000,E2441,全馬データ!$K$2:$K$50000,"&lt;&gt;")=0,"",SUMIFS(全馬データ!$K$2:$K$50000,全馬データ!$A$2:$A$50000,A2441,全馬データ!$B$2:$B$50000,B2441,全馬データ!$C$2:$C$50000,C2441,全馬データ!$D$2:$D$50000,E2441)))</f>
        <v/>
      </c>
      <c r="AP2441" s="8" t="str">
        <f aca="false">IF(A2441="","",IF(AO2441="","欠損",IF(AO2441&lt;=1.1,"1.0～1.1",IF(AO2441&lt;1.3,"1.2",IF(AO2441&lt;1.5,"1.3～1.4",IF(AO2441&lt;2,"1.5～1.9","2.0以上"))))))</f>
        <v/>
      </c>
      <c r="AQ2441" s="8" t="str">
        <f aca="false">IF(A2441="","",IF(ISNUMBER(SEARCH("2歳",Z2441)),"2歳戦",IF(ISNUMBER(SEARCH("3歳未勝利",Z2441)),"3歳未勝利",IF(ISNUMBER(SEARCH("未勝利",Z2441)),"その他未勝利",IF(ISNUMBER(SEARCH("G1",Z2441)),"G1",IF(ISNUMBER(SEARCH("G2",Z2441)),"G2",IF(ISNUMBER(SEARCH("G3",Z2441)),"G3",IF(ISNUMBER(SEARCH("古馬条件",Z2441)),"古馬条件戦",IF(ISNUMBER(SEARCH("重賞",Z2441)),"重賞","分類不能")))))))))</f>
        <v/>
      </c>
    </row>
    <row r="2442" customFormat="false" ht="15.75" hidden="false" customHeight="false" outlineLevel="0" collapsed="false">
      <c r="AO2442" s="8" t="str">
        <f aca="false">IF(A2442="","",IF(COUNTIFS(全馬データ!$A$2:$A$50000,A2442,全馬データ!$B$2:$B$50000,B2442,全馬データ!$C$2:$C$50000,C2442,全馬データ!$D$2:$D$50000,E2442,全馬データ!$K$2:$K$50000,"&lt;&gt;")=0,"",SUMIFS(全馬データ!$K$2:$K$50000,全馬データ!$A$2:$A$50000,A2442,全馬データ!$B$2:$B$50000,B2442,全馬データ!$C$2:$C$50000,C2442,全馬データ!$D$2:$D$50000,E2442)))</f>
        <v/>
      </c>
      <c r="AP2442" s="8" t="str">
        <f aca="false">IF(A2442="","",IF(AO2442="","欠損",IF(AO2442&lt;=1.1,"1.0～1.1",IF(AO2442&lt;1.3,"1.2",IF(AO2442&lt;1.5,"1.3～1.4",IF(AO2442&lt;2,"1.5～1.9","2.0以上"))))))</f>
        <v/>
      </c>
      <c r="AQ2442" s="8" t="str">
        <f aca="false">IF(A2442="","",IF(ISNUMBER(SEARCH("2歳",Z2442)),"2歳戦",IF(ISNUMBER(SEARCH("3歳未勝利",Z2442)),"3歳未勝利",IF(ISNUMBER(SEARCH("未勝利",Z2442)),"その他未勝利",IF(ISNUMBER(SEARCH("G1",Z2442)),"G1",IF(ISNUMBER(SEARCH("G2",Z2442)),"G2",IF(ISNUMBER(SEARCH("G3",Z2442)),"G3",IF(ISNUMBER(SEARCH("古馬条件",Z2442)),"古馬条件戦",IF(ISNUMBER(SEARCH("重賞",Z2442)),"重賞","分類不能")))))))))</f>
        <v/>
      </c>
    </row>
    <row r="2443" customFormat="false" ht="15.75" hidden="false" customHeight="false" outlineLevel="0" collapsed="false">
      <c r="AO2443" s="8" t="str">
        <f aca="false">IF(A2443="","",IF(COUNTIFS(全馬データ!$A$2:$A$50000,A2443,全馬データ!$B$2:$B$50000,B2443,全馬データ!$C$2:$C$50000,C2443,全馬データ!$D$2:$D$50000,E2443,全馬データ!$K$2:$K$50000,"&lt;&gt;")=0,"",SUMIFS(全馬データ!$K$2:$K$50000,全馬データ!$A$2:$A$50000,A2443,全馬データ!$B$2:$B$50000,B2443,全馬データ!$C$2:$C$50000,C2443,全馬データ!$D$2:$D$50000,E2443)))</f>
        <v/>
      </c>
      <c r="AP2443" s="8" t="str">
        <f aca="false">IF(A2443="","",IF(AO2443="","欠損",IF(AO2443&lt;=1.1,"1.0～1.1",IF(AO2443&lt;1.3,"1.2",IF(AO2443&lt;1.5,"1.3～1.4",IF(AO2443&lt;2,"1.5～1.9","2.0以上"))))))</f>
        <v/>
      </c>
      <c r="AQ2443" s="8" t="str">
        <f aca="false">IF(A2443="","",IF(ISNUMBER(SEARCH("2歳",Z2443)),"2歳戦",IF(ISNUMBER(SEARCH("3歳未勝利",Z2443)),"3歳未勝利",IF(ISNUMBER(SEARCH("未勝利",Z2443)),"その他未勝利",IF(ISNUMBER(SEARCH("G1",Z2443)),"G1",IF(ISNUMBER(SEARCH("G2",Z2443)),"G2",IF(ISNUMBER(SEARCH("G3",Z2443)),"G3",IF(ISNUMBER(SEARCH("古馬条件",Z2443)),"古馬条件戦",IF(ISNUMBER(SEARCH("重賞",Z2443)),"重賞","分類不能")))))))))</f>
        <v/>
      </c>
    </row>
    <row r="2444" customFormat="false" ht="15.75" hidden="false" customHeight="false" outlineLevel="0" collapsed="false">
      <c r="AO2444" s="8" t="str">
        <f aca="false">IF(A2444="","",IF(COUNTIFS(全馬データ!$A$2:$A$50000,A2444,全馬データ!$B$2:$B$50000,B2444,全馬データ!$C$2:$C$50000,C2444,全馬データ!$D$2:$D$50000,E2444,全馬データ!$K$2:$K$50000,"&lt;&gt;")=0,"",SUMIFS(全馬データ!$K$2:$K$50000,全馬データ!$A$2:$A$50000,A2444,全馬データ!$B$2:$B$50000,B2444,全馬データ!$C$2:$C$50000,C2444,全馬データ!$D$2:$D$50000,E2444)))</f>
        <v/>
      </c>
      <c r="AP2444" s="8" t="str">
        <f aca="false">IF(A2444="","",IF(AO2444="","欠損",IF(AO2444&lt;=1.1,"1.0～1.1",IF(AO2444&lt;1.3,"1.2",IF(AO2444&lt;1.5,"1.3～1.4",IF(AO2444&lt;2,"1.5～1.9","2.0以上"))))))</f>
        <v/>
      </c>
      <c r="AQ2444" s="8" t="str">
        <f aca="false">IF(A2444="","",IF(ISNUMBER(SEARCH("2歳",Z2444)),"2歳戦",IF(ISNUMBER(SEARCH("3歳未勝利",Z2444)),"3歳未勝利",IF(ISNUMBER(SEARCH("未勝利",Z2444)),"その他未勝利",IF(ISNUMBER(SEARCH("G1",Z2444)),"G1",IF(ISNUMBER(SEARCH("G2",Z2444)),"G2",IF(ISNUMBER(SEARCH("G3",Z2444)),"G3",IF(ISNUMBER(SEARCH("古馬条件",Z2444)),"古馬条件戦",IF(ISNUMBER(SEARCH("重賞",Z2444)),"重賞","分類不能")))))))))</f>
        <v/>
      </c>
    </row>
    <row r="2445" customFormat="false" ht="15.75" hidden="false" customHeight="false" outlineLevel="0" collapsed="false">
      <c r="AO2445" s="8" t="str">
        <f aca="false">IF(A2445="","",IF(COUNTIFS(全馬データ!$A$2:$A$50000,A2445,全馬データ!$B$2:$B$50000,B2445,全馬データ!$C$2:$C$50000,C2445,全馬データ!$D$2:$D$50000,E2445,全馬データ!$K$2:$K$50000,"&lt;&gt;")=0,"",SUMIFS(全馬データ!$K$2:$K$50000,全馬データ!$A$2:$A$50000,A2445,全馬データ!$B$2:$B$50000,B2445,全馬データ!$C$2:$C$50000,C2445,全馬データ!$D$2:$D$50000,E2445)))</f>
        <v/>
      </c>
      <c r="AP2445" s="8" t="str">
        <f aca="false">IF(A2445="","",IF(AO2445="","欠損",IF(AO2445&lt;=1.1,"1.0～1.1",IF(AO2445&lt;1.3,"1.2",IF(AO2445&lt;1.5,"1.3～1.4",IF(AO2445&lt;2,"1.5～1.9","2.0以上"))))))</f>
        <v/>
      </c>
      <c r="AQ2445" s="8" t="str">
        <f aca="false">IF(A2445="","",IF(ISNUMBER(SEARCH("2歳",Z2445)),"2歳戦",IF(ISNUMBER(SEARCH("3歳未勝利",Z2445)),"3歳未勝利",IF(ISNUMBER(SEARCH("未勝利",Z2445)),"その他未勝利",IF(ISNUMBER(SEARCH("G1",Z2445)),"G1",IF(ISNUMBER(SEARCH("G2",Z2445)),"G2",IF(ISNUMBER(SEARCH("G3",Z2445)),"G3",IF(ISNUMBER(SEARCH("古馬条件",Z2445)),"古馬条件戦",IF(ISNUMBER(SEARCH("重賞",Z2445)),"重賞","分類不能")))))))))</f>
        <v/>
      </c>
    </row>
    <row r="2446" customFormat="false" ht="15.75" hidden="false" customHeight="false" outlineLevel="0" collapsed="false">
      <c r="AO2446" s="8" t="str">
        <f aca="false">IF(A2446="","",IF(COUNTIFS(全馬データ!$A$2:$A$50000,A2446,全馬データ!$B$2:$B$50000,B2446,全馬データ!$C$2:$C$50000,C2446,全馬データ!$D$2:$D$50000,E2446,全馬データ!$K$2:$K$50000,"&lt;&gt;")=0,"",SUMIFS(全馬データ!$K$2:$K$50000,全馬データ!$A$2:$A$50000,A2446,全馬データ!$B$2:$B$50000,B2446,全馬データ!$C$2:$C$50000,C2446,全馬データ!$D$2:$D$50000,E2446)))</f>
        <v/>
      </c>
      <c r="AP2446" s="8" t="str">
        <f aca="false">IF(A2446="","",IF(AO2446="","欠損",IF(AO2446&lt;=1.1,"1.0～1.1",IF(AO2446&lt;1.3,"1.2",IF(AO2446&lt;1.5,"1.3～1.4",IF(AO2446&lt;2,"1.5～1.9","2.0以上"))))))</f>
        <v/>
      </c>
      <c r="AQ2446" s="8" t="str">
        <f aca="false">IF(A2446="","",IF(ISNUMBER(SEARCH("2歳",Z2446)),"2歳戦",IF(ISNUMBER(SEARCH("3歳未勝利",Z2446)),"3歳未勝利",IF(ISNUMBER(SEARCH("未勝利",Z2446)),"その他未勝利",IF(ISNUMBER(SEARCH("G1",Z2446)),"G1",IF(ISNUMBER(SEARCH("G2",Z2446)),"G2",IF(ISNUMBER(SEARCH("G3",Z2446)),"G3",IF(ISNUMBER(SEARCH("古馬条件",Z2446)),"古馬条件戦",IF(ISNUMBER(SEARCH("重賞",Z2446)),"重賞","分類不能")))))))))</f>
        <v/>
      </c>
    </row>
    <row r="2447" customFormat="false" ht="15.75" hidden="false" customHeight="false" outlineLevel="0" collapsed="false">
      <c r="AO2447" s="8" t="str">
        <f aca="false">IF(A2447="","",IF(COUNTIFS(全馬データ!$A$2:$A$50000,A2447,全馬データ!$B$2:$B$50000,B2447,全馬データ!$C$2:$C$50000,C2447,全馬データ!$D$2:$D$50000,E2447,全馬データ!$K$2:$K$50000,"&lt;&gt;")=0,"",SUMIFS(全馬データ!$K$2:$K$50000,全馬データ!$A$2:$A$50000,A2447,全馬データ!$B$2:$B$50000,B2447,全馬データ!$C$2:$C$50000,C2447,全馬データ!$D$2:$D$50000,E2447)))</f>
        <v/>
      </c>
      <c r="AP2447" s="8" t="str">
        <f aca="false">IF(A2447="","",IF(AO2447="","欠損",IF(AO2447&lt;=1.1,"1.0～1.1",IF(AO2447&lt;1.3,"1.2",IF(AO2447&lt;1.5,"1.3～1.4",IF(AO2447&lt;2,"1.5～1.9","2.0以上"))))))</f>
        <v/>
      </c>
      <c r="AQ2447" s="8" t="str">
        <f aca="false">IF(A2447="","",IF(ISNUMBER(SEARCH("2歳",Z2447)),"2歳戦",IF(ISNUMBER(SEARCH("3歳未勝利",Z2447)),"3歳未勝利",IF(ISNUMBER(SEARCH("未勝利",Z2447)),"その他未勝利",IF(ISNUMBER(SEARCH("G1",Z2447)),"G1",IF(ISNUMBER(SEARCH("G2",Z2447)),"G2",IF(ISNUMBER(SEARCH("G3",Z2447)),"G3",IF(ISNUMBER(SEARCH("古馬条件",Z2447)),"古馬条件戦",IF(ISNUMBER(SEARCH("重賞",Z2447)),"重賞","分類不能")))))))))</f>
        <v/>
      </c>
    </row>
    <row r="2448" customFormat="false" ht="15.75" hidden="false" customHeight="false" outlineLevel="0" collapsed="false">
      <c r="AO2448" s="8" t="str">
        <f aca="false">IF(A2448="","",IF(COUNTIFS(全馬データ!$A$2:$A$50000,A2448,全馬データ!$B$2:$B$50000,B2448,全馬データ!$C$2:$C$50000,C2448,全馬データ!$D$2:$D$50000,E2448,全馬データ!$K$2:$K$50000,"&lt;&gt;")=0,"",SUMIFS(全馬データ!$K$2:$K$50000,全馬データ!$A$2:$A$50000,A2448,全馬データ!$B$2:$B$50000,B2448,全馬データ!$C$2:$C$50000,C2448,全馬データ!$D$2:$D$50000,E2448)))</f>
        <v/>
      </c>
      <c r="AP2448" s="8" t="str">
        <f aca="false">IF(A2448="","",IF(AO2448="","欠損",IF(AO2448&lt;=1.1,"1.0～1.1",IF(AO2448&lt;1.3,"1.2",IF(AO2448&lt;1.5,"1.3～1.4",IF(AO2448&lt;2,"1.5～1.9","2.0以上"))))))</f>
        <v/>
      </c>
      <c r="AQ2448" s="8" t="str">
        <f aca="false">IF(A2448="","",IF(ISNUMBER(SEARCH("2歳",Z2448)),"2歳戦",IF(ISNUMBER(SEARCH("3歳未勝利",Z2448)),"3歳未勝利",IF(ISNUMBER(SEARCH("未勝利",Z2448)),"その他未勝利",IF(ISNUMBER(SEARCH("G1",Z2448)),"G1",IF(ISNUMBER(SEARCH("G2",Z2448)),"G2",IF(ISNUMBER(SEARCH("G3",Z2448)),"G3",IF(ISNUMBER(SEARCH("古馬条件",Z2448)),"古馬条件戦",IF(ISNUMBER(SEARCH("重賞",Z2448)),"重賞","分類不能")))))))))</f>
        <v/>
      </c>
    </row>
    <row r="2449" customFormat="false" ht="15.75" hidden="false" customHeight="false" outlineLevel="0" collapsed="false">
      <c r="AO2449" s="8" t="str">
        <f aca="false">IF(A2449="","",IF(COUNTIFS(全馬データ!$A$2:$A$50000,A2449,全馬データ!$B$2:$B$50000,B2449,全馬データ!$C$2:$C$50000,C2449,全馬データ!$D$2:$D$50000,E2449,全馬データ!$K$2:$K$50000,"&lt;&gt;")=0,"",SUMIFS(全馬データ!$K$2:$K$50000,全馬データ!$A$2:$A$50000,A2449,全馬データ!$B$2:$B$50000,B2449,全馬データ!$C$2:$C$50000,C2449,全馬データ!$D$2:$D$50000,E2449)))</f>
        <v/>
      </c>
      <c r="AP2449" s="8" t="str">
        <f aca="false">IF(A2449="","",IF(AO2449="","欠損",IF(AO2449&lt;=1.1,"1.0～1.1",IF(AO2449&lt;1.3,"1.2",IF(AO2449&lt;1.5,"1.3～1.4",IF(AO2449&lt;2,"1.5～1.9","2.0以上"))))))</f>
        <v/>
      </c>
      <c r="AQ2449" s="8" t="str">
        <f aca="false">IF(A2449="","",IF(ISNUMBER(SEARCH("2歳",Z2449)),"2歳戦",IF(ISNUMBER(SEARCH("3歳未勝利",Z2449)),"3歳未勝利",IF(ISNUMBER(SEARCH("未勝利",Z2449)),"その他未勝利",IF(ISNUMBER(SEARCH("G1",Z2449)),"G1",IF(ISNUMBER(SEARCH("G2",Z2449)),"G2",IF(ISNUMBER(SEARCH("G3",Z2449)),"G3",IF(ISNUMBER(SEARCH("古馬条件",Z2449)),"古馬条件戦",IF(ISNUMBER(SEARCH("重賞",Z2449)),"重賞","分類不能")))))))))</f>
        <v/>
      </c>
    </row>
    <row r="2450" customFormat="false" ht="15.75" hidden="false" customHeight="false" outlineLevel="0" collapsed="false">
      <c r="AO2450" s="8" t="str">
        <f aca="false">IF(A2450="","",IF(COUNTIFS(全馬データ!$A$2:$A$50000,A2450,全馬データ!$B$2:$B$50000,B2450,全馬データ!$C$2:$C$50000,C2450,全馬データ!$D$2:$D$50000,E2450,全馬データ!$K$2:$K$50000,"&lt;&gt;")=0,"",SUMIFS(全馬データ!$K$2:$K$50000,全馬データ!$A$2:$A$50000,A2450,全馬データ!$B$2:$B$50000,B2450,全馬データ!$C$2:$C$50000,C2450,全馬データ!$D$2:$D$50000,E2450)))</f>
        <v/>
      </c>
      <c r="AP2450" s="8" t="str">
        <f aca="false">IF(A2450="","",IF(AO2450="","欠損",IF(AO2450&lt;=1.1,"1.0～1.1",IF(AO2450&lt;1.3,"1.2",IF(AO2450&lt;1.5,"1.3～1.4",IF(AO2450&lt;2,"1.5～1.9","2.0以上"))))))</f>
        <v/>
      </c>
      <c r="AQ2450" s="8" t="str">
        <f aca="false">IF(A2450="","",IF(ISNUMBER(SEARCH("2歳",Z2450)),"2歳戦",IF(ISNUMBER(SEARCH("3歳未勝利",Z2450)),"3歳未勝利",IF(ISNUMBER(SEARCH("未勝利",Z2450)),"その他未勝利",IF(ISNUMBER(SEARCH("G1",Z2450)),"G1",IF(ISNUMBER(SEARCH("G2",Z2450)),"G2",IF(ISNUMBER(SEARCH("G3",Z2450)),"G3",IF(ISNUMBER(SEARCH("古馬条件",Z2450)),"古馬条件戦",IF(ISNUMBER(SEARCH("重賞",Z2450)),"重賞","分類不能")))))))))</f>
        <v/>
      </c>
    </row>
    <row r="2451" customFormat="false" ht="15.75" hidden="false" customHeight="false" outlineLevel="0" collapsed="false">
      <c r="AO2451" s="8" t="str">
        <f aca="false">IF(A2451="","",IF(COUNTIFS(全馬データ!$A$2:$A$50000,A2451,全馬データ!$B$2:$B$50000,B2451,全馬データ!$C$2:$C$50000,C2451,全馬データ!$D$2:$D$50000,E2451,全馬データ!$K$2:$K$50000,"&lt;&gt;")=0,"",SUMIFS(全馬データ!$K$2:$K$50000,全馬データ!$A$2:$A$50000,A2451,全馬データ!$B$2:$B$50000,B2451,全馬データ!$C$2:$C$50000,C2451,全馬データ!$D$2:$D$50000,E2451)))</f>
        <v/>
      </c>
      <c r="AP2451" s="8" t="str">
        <f aca="false">IF(A2451="","",IF(AO2451="","欠損",IF(AO2451&lt;=1.1,"1.0～1.1",IF(AO2451&lt;1.3,"1.2",IF(AO2451&lt;1.5,"1.3～1.4",IF(AO2451&lt;2,"1.5～1.9","2.0以上"))))))</f>
        <v/>
      </c>
      <c r="AQ2451" s="8" t="str">
        <f aca="false">IF(A2451="","",IF(ISNUMBER(SEARCH("2歳",Z2451)),"2歳戦",IF(ISNUMBER(SEARCH("3歳未勝利",Z2451)),"3歳未勝利",IF(ISNUMBER(SEARCH("未勝利",Z2451)),"その他未勝利",IF(ISNUMBER(SEARCH("G1",Z2451)),"G1",IF(ISNUMBER(SEARCH("G2",Z2451)),"G2",IF(ISNUMBER(SEARCH("G3",Z2451)),"G3",IF(ISNUMBER(SEARCH("古馬条件",Z2451)),"古馬条件戦",IF(ISNUMBER(SEARCH("重賞",Z2451)),"重賞","分類不能")))))))))</f>
        <v/>
      </c>
    </row>
    <row r="2452" customFormat="false" ht="15.75" hidden="false" customHeight="false" outlineLevel="0" collapsed="false">
      <c r="AO2452" s="8" t="str">
        <f aca="false">IF(A2452="","",IF(COUNTIFS(全馬データ!$A$2:$A$50000,A2452,全馬データ!$B$2:$B$50000,B2452,全馬データ!$C$2:$C$50000,C2452,全馬データ!$D$2:$D$50000,E2452,全馬データ!$K$2:$K$50000,"&lt;&gt;")=0,"",SUMIFS(全馬データ!$K$2:$K$50000,全馬データ!$A$2:$A$50000,A2452,全馬データ!$B$2:$B$50000,B2452,全馬データ!$C$2:$C$50000,C2452,全馬データ!$D$2:$D$50000,E2452)))</f>
        <v/>
      </c>
      <c r="AP2452" s="8" t="str">
        <f aca="false">IF(A2452="","",IF(AO2452="","欠損",IF(AO2452&lt;=1.1,"1.0～1.1",IF(AO2452&lt;1.3,"1.2",IF(AO2452&lt;1.5,"1.3～1.4",IF(AO2452&lt;2,"1.5～1.9","2.0以上"))))))</f>
        <v/>
      </c>
      <c r="AQ2452" s="8" t="str">
        <f aca="false">IF(A2452="","",IF(ISNUMBER(SEARCH("2歳",Z2452)),"2歳戦",IF(ISNUMBER(SEARCH("3歳未勝利",Z2452)),"3歳未勝利",IF(ISNUMBER(SEARCH("未勝利",Z2452)),"その他未勝利",IF(ISNUMBER(SEARCH("G1",Z2452)),"G1",IF(ISNUMBER(SEARCH("G2",Z2452)),"G2",IF(ISNUMBER(SEARCH("G3",Z2452)),"G3",IF(ISNUMBER(SEARCH("古馬条件",Z2452)),"古馬条件戦",IF(ISNUMBER(SEARCH("重賞",Z2452)),"重賞","分類不能")))))))))</f>
        <v/>
      </c>
    </row>
    <row r="2453" customFormat="false" ht="15.75" hidden="false" customHeight="false" outlineLevel="0" collapsed="false">
      <c r="AO2453" s="8" t="str">
        <f aca="false">IF(A2453="","",IF(COUNTIFS(全馬データ!$A$2:$A$50000,A2453,全馬データ!$B$2:$B$50000,B2453,全馬データ!$C$2:$C$50000,C2453,全馬データ!$D$2:$D$50000,E2453,全馬データ!$K$2:$K$50000,"&lt;&gt;")=0,"",SUMIFS(全馬データ!$K$2:$K$50000,全馬データ!$A$2:$A$50000,A2453,全馬データ!$B$2:$B$50000,B2453,全馬データ!$C$2:$C$50000,C2453,全馬データ!$D$2:$D$50000,E2453)))</f>
        <v/>
      </c>
      <c r="AP2453" s="8" t="str">
        <f aca="false">IF(A2453="","",IF(AO2453="","欠損",IF(AO2453&lt;=1.1,"1.0～1.1",IF(AO2453&lt;1.3,"1.2",IF(AO2453&lt;1.5,"1.3～1.4",IF(AO2453&lt;2,"1.5～1.9","2.0以上"))))))</f>
        <v/>
      </c>
      <c r="AQ2453" s="8" t="str">
        <f aca="false">IF(A2453="","",IF(ISNUMBER(SEARCH("2歳",Z2453)),"2歳戦",IF(ISNUMBER(SEARCH("3歳未勝利",Z2453)),"3歳未勝利",IF(ISNUMBER(SEARCH("未勝利",Z2453)),"その他未勝利",IF(ISNUMBER(SEARCH("G1",Z2453)),"G1",IF(ISNUMBER(SEARCH("G2",Z2453)),"G2",IF(ISNUMBER(SEARCH("G3",Z2453)),"G3",IF(ISNUMBER(SEARCH("古馬条件",Z2453)),"古馬条件戦",IF(ISNUMBER(SEARCH("重賞",Z2453)),"重賞","分類不能")))))))))</f>
        <v/>
      </c>
    </row>
    <row r="2454" customFormat="false" ht="15.75" hidden="false" customHeight="false" outlineLevel="0" collapsed="false">
      <c r="AO2454" s="8" t="str">
        <f aca="false">IF(A2454="","",IF(COUNTIFS(全馬データ!$A$2:$A$50000,A2454,全馬データ!$B$2:$B$50000,B2454,全馬データ!$C$2:$C$50000,C2454,全馬データ!$D$2:$D$50000,E2454,全馬データ!$K$2:$K$50000,"&lt;&gt;")=0,"",SUMIFS(全馬データ!$K$2:$K$50000,全馬データ!$A$2:$A$50000,A2454,全馬データ!$B$2:$B$50000,B2454,全馬データ!$C$2:$C$50000,C2454,全馬データ!$D$2:$D$50000,E2454)))</f>
        <v/>
      </c>
      <c r="AP2454" s="8" t="str">
        <f aca="false">IF(A2454="","",IF(AO2454="","欠損",IF(AO2454&lt;=1.1,"1.0～1.1",IF(AO2454&lt;1.3,"1.2",IF(AO2454&lt;1.5,"1.3～1.4",IF(AO2454&lt;2,"1.5～1.9","2.0以上"))))))</f>
        <v/>
      </c>
      <c r="AQ2454" s="8" t="str">
        <f aca="false">IF(A2454="","",IF(ISNUMBER(SEARCH("2歳",Z2454)),"2歳戦",IF(ISNUMBER(SEARCH("3歳未勝利",Z2454)),"3歳未勝利",IF(ISNUMBER(SEARCH("未勝利",Z2454)),"その他未勝利",IF(ISNUMBER(SEARCH("G1",Z2454)),"G1",IF(ISNUMBER(SEARCH("G2",Z2454)),"G2",IF(ISNUMBER(SEARCH("G3",Z2454)),"G3",IF(ISNUMBER(SEARCH("古馬条件",Z2454)),"古馬条件戦",IF(ISNUMBER(SEARCH("重賞",Z2454)),"重賞","分類不能")))))))))</f>
        <v/>
      </c>
    </row>
    <row r="2455" customFormat="false" ht="15.75" hidden="false" customHeight="false" outlineLevel="0" collapsed="false">
      <c r="AO2455" s="8" t="str">
        <f aca="false">IF(A2455="","",IF(COUNTIFS(全馬データ!$A$2:$A$50000,A2455,全馬データ!$B$2:$B$50000,B2455,全馬データ!$C$2:$C$50000,C2455,全馬データ!$D$2:$D$50000,E2455,全馬データ!$K$2:$K$50000,"&lt;&gt;")=0,"",SUMIFS(全馬データ!$K$2:$K$50000,全馬データ!$A$2:$A$50000,A2455,全馬データ!$B$2:$B$50000,B2455,全馬データ!$C$2:$C$50000,C2455,全馬データ!$D$2:$D$50000,E2455)))</f>
        <v/>
      </c>
      <c r="AP2455" s="8" t="str">
        <f aca="false">IF(A2455="","",IF(AO2455="","欠損",IF(AO2455&lt;=1.1,"1.0～1.1",IF(AO2455&lt;1.3,"1.2",IF(AO2455&lt;1.5,"1.3～1.4",IF(AO2455&lt;2,"1.5～1.9","2.0以上"))))))</f>
        <v/>
      </c>
      <c r="AQ2455" s="8" t="str">
        <f aca="false">IF(A2455="","",IF(ISNUMBER(SEARCH("2歳",Z2455)),"2歳戦",IF(ISNUMBER(SEARCH("3歳未勝利",Z2455)),"3歳未勝利",IF(ISNUMBER(SEARCH("未勝利",Z2455)),"その他未勝利",IF(ISNUMBER(SEARCH("G1",Z2455)),"G1",IF(ISNUMBER(SEARCH("G2",Z2455)),"G2",IF(ISNUMBER(SEARCH("G3",Z2455)),"G3",IF(ISNUMBER(SEARCH("古馬条件",Z2455)),"古馬条件戦",IF(ISNUMBER(SEARCH("重賞",Z2455)),"重賞","分類不能")))))))))</f>
        <v/>
      </c>
    </row>
    <row r="2456" customFormat="false" ht="15.75" hidden="false" customHeight="false" outlineLevel="0" collapsed="false">
      <c r="AO2456" s="8" t="str">
        <f aca="false">IF(A2456="","",IF(COUNTIFS(全馬データ!$A$2:$A$50000,A2456,全馬データ!$B$2:$B$50000,B2456,全馬データ!$C$2:$C$50000,C2456,全馬データ!$D$2:$D$50000,E2456,全馬データ!$K$2:$K$50000,"&lt;&gt;")=0,"",SUMIFS(全馬データ!$K$2:$K$50000,全馬データ!$A$2:$A$50000,A2456,全馬データ!$B$2:$B$50000,B2456,全馬データ!$C$2:$C$50000,C2456,全馬データ!$D$2:$D$50000,E2456)))</f>
        <v/>
      </c>
      <c r="AP2456" s="8" t="str">
        <f aca="false">IF(A2456="","",IF(AO2456="","欠損",IF(AO2456&lt;=1.1,"1.0～1.1",IF(AO2456&lt;1.3,"1.2",IF(AO2456&lt;1.5,"1.3～1.4",IF(AO2456&lt;2,"1.5～1.9","2.0以上"))))))</f>
        <v/>
      </c>
      <c r="AQ2456" s="8" t="str">
        <f aca="false">IF(A2456="","",IF(ISNUMBER(SEARCH("2歳",Z2456)),"2歳戦",IF(ISNUMBER(SEARCH("3歳未勝利",Z2456)),"3歳未勝利",IF(ISNUMBER(SEARCH("未勝利",Z2456)),"その他未勝利",IF(ISNUMBER(SEARCH("G1",Z2456)),"G1",IF(ISNUMBER(SEARCH("G2",Z2456)),"G2",IF(ISNUMBER(SEARCH("G3",Z2456)),"G3",IF(ISNUMBER(SEARCH("古馬条件",Z2456)),"古馬条件戦",IF(ISNUMBER(SEARCH("重賞",Z2456)),"重賞","分類不能")))))))))</f>
        <v/>
      </c>
    </row>
    <row r="2457" customFormat="false" ht="15.75" hidden="false" customHeight="false" outlineLevel="0" collapsed="false">
      <c r="AO2457" s="8" t="str">
        <f aca="false">IF(A2457="","",IF(COUNTIFS(全馬データ!$A$2:$A$50000,A2457,全馬データ!$B$2:$B$50000,B2457,全馬データ!$C$2:$C$50000,C2457,全馬データ!$D$2:$D$50000,E2457,全馬データ!$K$2:$K$50000,"&lt;&gt;")=0,"",SUMIFS(全馬データ!$K$2:$K$50000,全馬データ!$A$2:$A$50000,A2457,全馬データ!$B$2:$B$50000,B2457,全馬データ!$C$2:$C$50000,C2457,全馬データ!$D$2:$D$50000,E2457)))</f>
        <v/>
      </c>
      <c r="AP2457" s="8" t="str">
        <f aca="false">IF(A2457="","",IF(AO2457="","欠損",IF(AO2457&lt;=1.1,"1.0～1.1",IF(AO2457&lt;1.3,"1.2",IF(AO2457&lt;1.5,"1.3～1.4",IF(AO2457&lt;2,"1.5～1.9","2.0以上"))))))</f>
        <v/>
      </c>
      <c r="AQ2457" s="8" t="str">
        <f aca="false">IF(A2457="","",IF(ISNUMBER(SEARCH("2歳",Z2457)),"2歳戦",IF(ISNUMBER(SEARCH("3歳未勝利",Z2457)),"3歳未勝利",IF(ISNUMBER(SEARCH("未勝利",Z2457)),"その他未勝利",IF(ISNUMBER(SEARCH("G1",Z2457)),"G1",IF(ISNUMBER(SEARCH("G2",Z2457)),"G2",IF(ISNUMBER(SEARCH("G3",Z2457)),"G3",IF(ISNUMBER(SEARCH("古馬条件",Z2457)),"古馬条件戦",IF(ISNUMBER(SEARCH("重賞",Z2457)),"重賞","分類不能")))))))))</f>
        <v/>
      </c>
    </row>
    <row r="2458" customFormat="false" ht="15.75" hidden="false" customHeight="false" outlineLevel="0" collapsed="false">
      <c r="AO2458" s="8" t="str">
        <f aca="false">IF(A2458="","",IF(COUNTIFS(全馬データ!$A$2:$A$50000,A2458,全馬データ!$B$2:$B$50000,B2458,全馬データ!$C$2:$C$50000,C2458,全馬データ!$D$2:$D$50000,E2458,全馬データ!$K$2:$K$50000,"&lt;&gt;")=0,"",SUMIFS(全馬データ!$K$2:$K$50000,全馬データ!$A$2:$A$50000,A2458,全馬データ!$B$2:$B$50000,B2458,全馬データ!$C$2:$C$50000,C2458,全馬データ!$D$2:$D$50000,E2458)))</f>
        <v/>
      </c>
      <c r="AP2458" s="8" t="str">
        <f aca="false">IF(A2458="","",IF(AO2458="","欠損",IF(AO2458&lt;=1.1,"1.0～1.1",IF(AO2458&lt;1.3,"1.2",IF(AO2458&lt;1.5,"1.3～1.4",IF(AO2458&lt;2,"1.5～1.9","2.0以上"))))))</f>
        <v/>
      </c>
      <c r="AQ2458" s="8" t="str">
        <f aca="false">IF(A2458="","",IF(ISNUMBER(SEARCH("2歳",Z2458)),"2歳戦",IF(ISNUMBER(SEARCH("3歳未勝利",Z2458)),"3歳未勝利",IF(ISNUMBER(SEARCH("未勝利",Z2458)),"その他未勝利",IF(ISNUMBER(SEARCH("G1",Z2458)),"G1",IF(ISNUMBER(SEARCH("G2",Z2458)),"G2",IF(ISNUMBER(SEARCH("G3",Z2458)),"G3",IF(ISNUMBER(SEARCH("古馬条件",Z2458)),"古馬条件戦",IF(ISNUMBER(SEARCH("重賞",Z2458)),"重賞","分類不能")))))))))</f>
        <v/>
      </c>
    </row>
    <row r="2459" customFormat="false" ht="15.75" hidden="false" customHeight="false" outlineLevel="0" collapsed="false">
      <c r="AO2459" s="8" t="str">
        <f aca="false">IF(A2459="","",IF(COUNTIFS(全馬データ!$A$2:$A$50000,A2459,全馬データ!$B$2:$B$50000,B2459,全馬データ!$C$2:$C$50000,C2459,全馬データ!$D$2:$D$50000,E2459,全馬データ!$K$2:$K$50000,"&lt;&gt;")=0,"",SUMIFS(全馬データ!$K$2:$K$50000,全馬データ!$A$2:$A$50000,A2459,全馬データ!$B$2:$B$50000,B2459,全馬データ!$C$2:$C$50000,C2459,全馬データ!$D$2:$D$50000,E2459)))</f>
        <v/>
      </c>
      <c r="AP2459" s="8" t="str">
        <f aca="false">IF(A2459="","",IF(AO2459="","欠損",IF(AO2459&lt;=1.1,"1.0～1.1",IF(AO2459&lt;1.3,"1.2",IF(AO2459&lt;1.5,"1.3～1.4",IF(AO2459&lt;2,"1.5～1.9","2.0以上"))))))</f>
        <v/>
      </c>
      <c r="AQ2459" s="8" t="str">
        <f aca="false">IF(A2459="","",IF(ISNUMBER(SEARCH("2歳",Z2459)),"2歳戦",IF(ISNUMBER(SEARCH("3歳未勝利",Z2459)),"3歳未勝利",IF(ISNUMBER(SEARCH("未勝利",Z2459)),"その他未勝利",IF(ISNUMBER(SEARCH("G1",Z2459)),"G1",IF(ISNUMBER(SEARCH("G2",Z2459)),"G2",IF(ISNUMBER(SEARCH("G3",Z2459)),"G3",IF(ISNUMBER(SEARCH("古馬条件",Z2459)),"古馬条件戦",IF(ISNUMBER(SEARCH("重賞",Z2459)),"重賞","分類不能")))))))))</f>
        <v/>
      </c>
    </row>
    <row r="2460" customFormat="false" ht="15.75" hidden="false" customHeight="false" outlineLevel="0" collapsed="false">
      <c r="AO2460" s="8" t="str">
        <f aca="false">IF(A2460="","",IF(COUNTIFS(全馬データ!$A$2:$A$50000,A2460,全馬データ!$B$2:$B$50000,B2460,全馬データ!$C$2:$C$50000,C2460,全馬データ!$D$2:$D$50000,E2460,全馬データ!$K$2:$K$50000,"&lt;&gt;")=0,"",SUMIFS(全馬データ!$K$2:$K$50000,全馬データ!$A$2:$A$50000,A2460,全馬データ!$B$2:$B$50000,B2460,全馬データ!$C$2:$C$50000,C2460,全馬データ!$D$2:$D$50000,E2460)))</f>
        <v/>
      </c>
      <c r="AP2460" s="8" t="str">
        <f aca="false">IF(A2460="","",IF(AO2460="","欠損",IF(AO2460&lt;=1.1,"1.0～1.1",IF(AO2460&lt;1.3,"1.2",IF(AO2460&lt;1.5,"1.3～1.4",IF(AO2460&lt;2,"1.5～1.9","2.0以上"))))))</f>
        <v/>
      </c>
      <c r="AQ2460" s="8" t="str">
        <f aca="false">IF(A2460="","",IF(ISNUMBER(SEARCH("2歳",Z2460)),"2歳戦",IF(ISNUMBER(SEARCH("3歳未勝利",Z2460)),"3歳未勝利",IF(ISNUMBER(SEARCH("未勝利",Z2460)),"その他未勝利",IF(ISNUMBER(SEARCH("G1",Z2460)),"G1",IF(ISNUMBER(SEARCH("G2",Z2460)),"G2",IF(ISNUMBER(SEARCH("G3",Z2460)),"G3",IF(ISNUMBER(SEARCH("古馬条件",Z2460)),"古馬条件戦",IF(ISNUMBER(SEARCH("重賞",Z2460)),"重賞","分類不能")))))))))</f>
        <v/>
      </c>
    </row>
    <row r="2461" customFormat="false" ht="15.75" hidden="false" customHeight="false" outlineLevel="0" collapsed="false">
      <c r="AO2461" s="8" t="str">
        <f aca="false">IF(A2461="","",IF(COUNTIFS(全馬データ!$A$2:$A$50000,A2461,全馬データ!$B$2:$B$50000,B2461,全馬データ!$C$2:$C$50000,C2461,全馬データ!$D$2:$D$50000,E2461,全馬データ!$K$2:$K$50000,"&lt;&gt;")=0,"",SUMIFS(全馬データ!$K$2:$K$50000,全馬データ!$A$2:$A$50000,A2461,全馬データ!$B$2:$B$50000,B2461,全馬データ!$C$2:$C$50000,C2461,全馬データ!$D$2:$D$50000,E2461)))</f>
        <v/>
      </c>
      <c r="AP2461" s="8" t="str">
        <f aca="false">IF(A2461="","",IF(AO2461="","欠損",IF(AO2461&lt;=1.1,"1.0～1.1",IF(AO2461&lt;1.3,"1.2",IF(AO2461&lt;1.5,"1.3～1.4",IF(AO2461&lt;2,"1.5～1.9","2.0以上"))))))</f>
        <v/>
      </c>
      <c r="AQ2461" s="8" t="str">
        <f aca="false">IF(A2461="","",IF(ISNUMBER(SEARCH("2歳",Z2461)),"2歳戦",IF(ISNUMBER(SEARCH("3歳未勝利",Z2461)),"3歳未勝利",IF(ISNUMBER(SEARCH("未勝利",Z2461)),"その他未勝利",IF(ISNUMBER(SEARCH("G1",Z2461)),"G1",IF(ISNUMBER(SEARCH("G2",Z2461)),"G2",IF(ISNUMBER(SEARCH("G3",Z2461)),"G3",IF(ISNUMBER(SEARCH("古馬条件",Z2461)),"古馬条件戦",IF(ISNUMBER(SEARCH("重賞",Z2461)),"重賞","分類不能")))))))))</f>
        <v/>
      </c>
    </row>
    <row r="2462" customFormat="false" ht="15.75" hidden="false" customHeight="false" outlineLevel="0" collapsed="false">
      <c r="AO2462" s="8" t="str">
        <f aca="false">IF(A2462="","",IF(COUNTIFS(全馬データ!$A$2:$A$50000,A2462,全馬データ!$B$2:$B$50000,B2462,全馬データ!$C$2:$C$50000,C2462,全馬データ!$D$2:$D$50000,E2462,全馬データ!$K$2:$K$50000,"&lt;&gt;")=0,"",SUMIFS(全馬データ!$K$2:$K$50000,全馬データ!$A$2:$A$50000,A2462,全馬データ!$B$2:$B$50000,B2462,全馬データ!$C$2:$C$50000,C2462,全馬データ!$D$2:$D$50000,E2462)))</f>
        <v/>
      </c>
      <c r="AP2462" s="8" t="str">
        <f aca="false">IF(A2462="","",IF(AO2462="","欠損",IF(AO2462&lt;=1.1,"1.0～1.1",IF(AO2462&lt;1.3,"1.2",IF(AO2462&lt;1.5,"1.3～1.4",IF(AO2462&lt;2,"1.5～1.9","2.0以上"))))))</f>
        <v/>
      </c>
      <c r="AQ2462" s="8" t="str">
        <f aca="false">IF(A2462="","",IF(ISNUMBER(SEARCH("2歳",Z2462)),"2歳戦",IF(ISNUMBER(SEARCH("3歳未勝利",Z2462)),"3歳未勝利",IF(ISNUMBER(SEARCH("未勝利",Z2462)),"その他未勝利",IF(ISNUMBER(SEARCH("G1",Z2462)),"G1",IF(ISNUMBER(SEARCH("G2",Z2462)),"G2",IF(ISNUMBER(SEARCH("G3",Z2462)),"G3",IF(ISNUMBER(SEARCH("古馬条件",Z2462)),"古馬条件戦",IF(ISNUMBER(SEARCH("重賞",Z2462)),"重賞","分類不能")))))))))</f>
        <v/>
      </c>
    </row>
    <row r="2463" customFormat="false" ht="15.75" hidden="false" customHeight="false" outlineLevel="0" collapsed="false">
      <c r="AO2463" s="8" t="str">
        <f aca="false">IF(A2463="","",IF(COUNTIFS(全馬データ!$A$2:$A$50000,A2463,全馬データ!$B$2:$B$50000,B2463,全馬データ!$C$2:$C$50000,C2463,全馬データ!$D$2:$D$50000,E2463,全馬データ!$K$2:$K$50000,"&lt;&gt;")=0,"",SUMIFS(全馬データ!$K$2:$K$50000,全馬データ!$A$2:$A$50000,A2463,全馬データ!$B$2:$B$50000,B2463,全馬データ!$C$2:$C$50000,C2463,全馬データ!$D$2:$D$50000,E2463)))</f>
        <v/>
      </c>
      <c r="AP2463" s="8" t="str">
        <f aca="false">IF(A2463="","",IF(AO2463="","欠損",IF(AO2463&lt;=1.1,"1.0～1.1",IF(AO2463&lt;1.3,"1.2",IF(AO2463&lt;1.5,"1.3～1.4",IF(AO2463&lt;2,"1.5～1.9","2.0以上"))))))</f>
        <v/>
      </c>
      <c r="AQ2463" s="8" t="str">
        <f aca="false">IF(A2463="","",IF(ISNUMBER(SEARCH("2歳",Z2463)),"2歳戦",IF(ISNUMBER(SEARCH("3歳未勝利",Z2463)),"3歳未勝利",IF(ISNUMBER(SEARCH("未勝利",Z2463)),"その他未勝利",IF(ISNUMBER(SEARCH("G1",Z2463)),"G1",IF(ISNUMBER(SEARCH("G2",Z2463)),"G2",IF(ISNUMBER(SEARCH("G3",Z2463)),"G3",IF(ISNUMBER(SEARCH("古馬条件",Z2463)),"古馬条件戦",IF(ISNUMBER(SEARCH("重賞",Z2463)),"重賞","分類不能")))))))))</f>
        <v/>
      </c>
    </row>
    <row r="2464" customFormat="false" ht="15.75" hidden="false" customHeight="false" outlineLevel="0" collapsed="false">
      <c r="AO2464" s="8" t="str">
        <f aca="false">IF(A2464="","",IF(COUNTIFS(全馬データ!$A$2:$A$50000,A2464,全馬データ!$B$2:$B$50000,B2464,全馬データ!$C$2:$C$50000,C2464,全馬データ!$D$2:$D$50000,E2464,全馬データ!$K$2:$K$50000,"&lt;&gt;")=0,"",SUMIFS(全馬データ!$K$2:$K$50000,全馬データ!$A$2:$A$50000,A2464,全馬データ!$B$2:$B$50000,B2464,全馬データ!$C$2:$C$50000,C2464,全馬データ!$D$2:$D$50000,E2464)))</f>
        <v/>
      </c>
      <c r="AP2464" s="8" t="str">
        <f aca="false">IF(A2464="","",IF(AO2464="","欠損",IF(AO2464&lt;=1.1,"1.0～1.1",IF(AO2464&lt;1.3,"1.2",IF(AO2464&lt;1.5,"1.3～1.4",IF(AO2464&lt;2,"1.5～1.9","2.0以上"))))))</f>
        <v/>
      </c>
      <c r="AQ2464" s="8" t="str">
        <f aca="false">IF(A2464="","",IF(ISNUMBER(SEARCH("2歳",Z2464)),"2歳戦",IF(ISNUMBER(SEARCH("3歳未勝利",Z2464)),"3歳未勝利",IF(ISNUMBER(SEARCH("未勝利",Z2464)),"その他未勝利",IF(ISNUMBER(SEARCH("G1",Z2464)),"G1",IF(ISNUMBER(SEARCH("G2",Z2464)),"G2",IF(ISNUMBER(SEARCH("G3",Z2464)),"G3",IF(ISNUMBER(SEARCH("古馬条件",Z2464)),"古馬条件戦",IF(ISNUMBER(SEARCH("重賞",Z2464)),"重賞","分類不能")))))))))</f>
        <v/>
      </c>
    </row>
    <row r="2465" customFormat="false" ht="15.75" hidden="false" customHeight="false" outlineLevel="0" collapsed="false">
      <c r="AO2465" s="8" t="str">
        <f aca="false">IF(A2465="","",IF(COUNTIFS(全馬データ!$A$2:$A$50000,A2465,全馬データ!$B$2:$B$50000,B2465,全馬データ!$C$2:$C$50000,C2465,全馬データ!$D$2:$D$50000,E2465,全馬データ!$K$2:$K$50000,"&lt;&gt;")=0,"",SUMIFS(全馬データ!$K$2:$K$50000,全馬データ!$A$2:$A$50000,A2465,全馬データ!$B$2:$B$50000,B2465,全馬データ!$C$2:$C$50000,C2465,全馬データ!$D$2:$D$50000,E2465)))</f>
        <v/>
      </c>
      <c r="AP2465" s="8" t="str">
        <f aca="false">IF(A2465="","",IF(AO2465="","欠損",IF(AO2465&lt;=1.1,"1.0～1.1",IF(AO2465&lt;1.3,"1.2",IF(AO2465&lt;1.5,"1.3～1.4",IF(AO2465&lt;2,"1.5～1.9","2.0以上"))))))</f>
        <v/>
      </c>
      <c r="AQ2465" s="8" t="str">
        <f aca="false">IF(A2465="","",IF(ISNUMBER(SEARCH("2歳",Z2465)),"2歳戦",IF(ISNUMBER(SEARCH("3歳未勝利",Z2465)),"3歳未勝利",IF(ISNUMBER(SEARCH("未勝利",Z2465)),"その他未勝利",IF(ISNUMBER(SEARCH("G1",Z2465)),"G1",IF(ISNUMBER(SEARCH("G2",Z2465)),"G2",IF(ISNUMBER(SEARCH("G3",Z2465)),"G3",IF(ISNUMBER(SEARCH("古馬条件",Z2465)),"古馬条件戦",IF(ISNUMBER(SEARCH("重賞",Z2465)),"重賞","分類不能")))))))))</f>
        <v/>
      </c>
    </row>
    <row r="2466" customFormat="false" ht="15.75" hidden="false" customHeight="false" outlineLevel="0" collapsed="false">
      <c r="AO2466" s="8" t="str">
        <f aca="false">IF(A2466="","",IF(COUNTIFS(全馬データ!$A$2:$A$50000,A2466,全馬データ!$B$2:$B$50000,B2466,全馬データ!$C$2:$C$50000,C2466,全馬データ!$D$2:$D$50000,E2466,全馬データ!$K$2:$K$50000,"&lt;&gt;")=0,"",SUMIFS(全馬データ!$K$2:$K$50000,全馬データ!$A$2:$A$50000,A2466,全馬データ!$B$2:$B$50000,B2466,全馬データ!$C$2:$C$50000,C2466,全馬データ!$D$2:$D$50000,E2466)))</f>
        <v/>
      </c>
      <c r="AP2466" s="8" t="str">
        <f aca="false">IF(A2466="","",IF(AO2466="","欠損",IF(AO2466&lt;=1.1,"1.0～1.1",IF(AO2466&lt;1.3,"1.2",IF(AO2466&lt;1.5,"1.3～1.4",IF(AO2466&lt;2,"1.5～1.9","2.0以上"))))))</f>
        <v/>
      </c>
      <c r="AQ2466" s="8" t="str">
        <f aca="false">IF(A2466="","",IF(ISNUMBER(SEARCH("2歳",Z2466)),"2歳戦",IF(ISNUMBER(SEARCH("3歳未勝利",Z2466)),"3歳未勝利",IF(ISNUMBER(SEARCH("未勝利",Z2466)),"その他未勝利",IF(ISNUMBER(SEARCH("G1",Z2466)),"G1",IF(ISNUMBER(SEARCH("G2",Z2466)),"G2",IF(ISNUMBER(SEARCH("G3",Z2466)),"G3",IF(ISNUMBER(SEARCH("古馬条件",Z2466)),"古馬条件戦",IF(ISNUMBER(SEARCH("重賞",Z2466)),"重賞","分類不能")))))))))</f>
        <v/>
      </c>
    </row>
    <row r="2467" customFormat="false" ht="15.75" hidden="false" customHeight="false" outlineLevel="0" collapsed="false">
      <c r="AO2467" s="8" t="str">
        <f aca="false">IF(A2467="","",IF(COUNTIFS(全馬データ!$A$2:$A$50000,A2467,全馬データ!$B$2:$B$50000,B2467,全馬データ!$C$2:$C$50000,C2467,全馬データ!$D$2:$D$50000,E2467,全馬データ!$K$2:$K$50000,"&lt;&gt;")=0,"",SUMIFS(全馬データ!$K$2:$K$50000,全馬データ!$A$2:$A$50000,A2467,全馬データ!$B$2:$B$50000,B2467,全馬データ!$C$2:$C$50000,C2467,全馬データ!$D$2:$D$50000,E2467)))</f>
        <v/>
      </c>
      <c r="AP2467" s="8" t="str">
        <f aca="false">IF(A2467="","",IF(AO2467="","欠損",IF(AO2467&lt;=1.1,"1.0～1.1",IF(AO2467&lt;1.3,"1.2",IF(AO2467&lt;1.5,"1.3～1.4",IF(AO2467&lt;2,"1.5～1.9","2.0以上"))))))</f>
        <v/>
      </c>
      <c r="AQ2467" s="8" t="str">
        <f aca="false">IF(A2467="","",IF(ISNUMBER(SEARCH("2歳",Z2467)),"2歳戦",IF(ISNUMBER(SEARCH("3歳未勝利",Z2467)),"3歳未勝利",IF(ISNUMBER(SEARCH("未勝利",Z2467)),"その他未勝利",IF(ISNUMBER(SEARCH("G1",Z2467)),"G1",IF(ISNUMBER(SEARCH("G2",Z2467)),"G2",IF(ISNUMBER(SEARCH("G3",Z2467)),"G3",IF(ISNUMBER(SEARCH("古馬条件",Z2467)),"古馬条件戦",IF(ISNUMBER(SEARCH("重賞",Z2467)),"重賞","分類不能")))))))))</f>
        <v/>
      </c>
    </row>
    <row r="2468" customFormat="false" ht="15.75" hidden="false" customHeight="false" outlineLevel="0" collapsed="false">
      <c r="AO2468" s="8" t="str">
        <f aca="false">IF(A2468="","",IF(COUNTIFS(全馬データ!$A$2:$A$50000,A2468,全馬データ!$B$2:$B$50000,B2468,全馬データ!$C$2:$C$50000,C2468,全馬データ!$D$2:$D$50000,E2468,全馬データ!$K$2:$K$50000,"&lt;&gt;")=0,"",SUMIFS(全馬データ!$K$2:$K$50000,全馬データ!$A$2:$A$50000,A2468,全馬データ!$B$2:$B$50000,B2468,全馬データ!$C$2:$C$50000,C2468,全馬データ!$D$2:$D$50000,E2468)))</f>
        <v/>
      </c>
      <c r="AP2468" s="8" t="str">
        <f aca="false">IF(A2468="","",IF(AO2468="","欠損",IF(AO2468&lt;=1.1,"1.0～1.1",IF(AO2468&lt;1.3,"1.2",IF(AO2468&lt;1.5,"1.3～1.4",IF(AO2468&lt;2,"1.5～1.9","2.0以上"))))))</f>
        <v/>
      </c>
      <c r="AQ2468" s="8" t="str">
        <f aca="false">IF(A2468="","",IF(ISNUMBER(SEARCH("2歳",Z2468)),"2歳戦",IF(ISNUMBER(SEARCH("3歳未勝利",Z2468)),"3歳未勝利",IF(ISNUMBER(SEARCH("未勝利",Z2468)),"その他未勝利",IF(ISNUMBER(SEARCH("G1",Z2468)),"G1",IF(ISNUMBER(SEARCH("G2",Z2468)),"G2",IF(ISNUMBER(SEARCH("G3",Z2468)),"G3",IF(ISNUMBER(SEARCH("古馬条件",Z2468)),"古馬条件戦",IF(ISNUMBER(SEARCH("重賞",Z2468)),"重賞","分類不能")))))))))</f>
        <v/>
      </c>
    </row>
    <row r="2469" customFormat="false" ht="15.75" hidden="false" customHeight="false" outlineLevel="0" collapsed="false">
      <c r="AO2469" s="8" t="str">
        <f aca="false">IF(A2469="","",IF(COUNTIFS(全馬データ!$A$2:$A$50000,A2469,全馬データ!$B$2:$B$50000,B2469,全馬データ!$C$2:$C$50000,C2469,全馬データ!$D$2:$D$50000,E2469,全馬データ!$K$2:$K$50000,"&lt;&gt;")=0,"",SUMIFS(全馬データ!$K$2:$K$50000,全馬データ!$A$2:$A$50000,A2469,全馬データ!$B$2:$B$50000,B2469,全馬データ!$C$2:$C$50000,C2469,全馬データ!$D$2:$D$50000,E2469)))</f>
        <v/>
      </c>
      <c r="AP2469" s="8" t="str">
        <f aca="false">IF(A2469="","",IF(AO2469="","欠損",IF(AO2469&lt;=1.1,"1.0～1.1",IF(AO2469&lt;1.3,"1.2",IF(AO2469&lt;1.5,"1.3～1.4",IF(AO2469&lt;2,"1.5～1.9","2.0以上"))))))</f>
        <v/>
      </c>
      <c r="AQ2469" s="8" t="str">
        <f aca="false">IF(A2469="","",IF(ISNUMBER(SEARCH("2歳",Z2469)),"2歳戦",IF(ISNUMBER(SEARCH("3歳未勝利",Z2469)),"3歳未勝利",IF(ISNUMBER(SEARCH("未勝利",Z2469)),"その他未勝利",IF(ISNUMBER(SEARCH("G1",Z2469)),"G1",IF(ISNUMBER(SEARCH("G2",Z2469)),"G2",IF(ISNUMBER(SEARCH("G3",Z2469)),"G3",IF(ISNUMBER(SEARCH("古馬条件",Z2469)),"古馬条件戦",IF(ISNUMBER(SEARCH("重賞",Z2469)),"重賞","分類不能")))))))))</f>
        <v/>
      </c>
    </row>
    <row r="2470" customFormat="false" ht="15.75" hidden="false" customHeight="false" outlineLevel="0" collapsed="false">
      <c r="AO2470" s="8" t="str">
        <f aca="false">IF(A2470="","",IF(COUNTIFS(全馬データ!$A$2:$A$50000,A2470,全馬データ!$B$2:$B$50000,B2470,全馬データ!$C$2:$C$50000,C2470,全馬データ!$D$2:$D$50000,E2470,全馬データ!$K$2:$K$50000,"&lt;&gt;")=0,"",SUMIFS(全馬データ!$K$2:$K$50000,全馬データ!$A$2:$A$50000,A2470,全馬データ!$B$2:$B$50000,B2470,全馬データ!$C$2:$C$50000,C2470,全馬データ!$D$2:$D$50000,E2470)))</f>
        <v/>
      </c>
      <c r="AP2470" s="8" t="str">
        <f aca="false">IF(A2470="","",IF(AO2470="","欠損",IF(AO2470&lt;=1.1,"1.0～1.1",IF(AO2470&lt;1.3,"1.2",IF(AO2470&lt;1.5,"1.3～1.4",IF(AO2470&lt;2,"1.5～1.9","2.0以上"))))))</f>
        <v/>
      </c>
      <c r="AQ2470" s="8" t="str">
        <f aca="false">IF(A2470="","",IF(ISNUMBER(SEARCH("2歳",Z2470)),"2歳戦",IF(ISNUMBER(SEARCH("3歳未勝利",Z2470)),"3歳未勝利",IF(ISNUMBER(SEARCH("未勝利",Z2470)),"その他未勝利",IF(ISNUMBER(SEARCH("G1",Z2470)),"G1",IF(ISNUMBER(SEARCH("G2",Z2470)),"G2",IF(ISNUMBER(SEARCH("G3",Z2470)),"G3",IF(ISNUMBER(SEARCH("古馬条件",Z2470)),"古馬条件戦",IF(ISNUMBER(SEARCH("重賞",Z2470)),"重賞","分類不能")))))))))</f>
        <v/>
      </c>
    </row>
    <row r="2471" customFormat="false" ht="15.75" hidden="false" customHeight="false" outlineLevel="0" collapsed="false">
      <c r="AO2471" s="8" t="str">
        <f aca="false">IF(A2471="","",IF(COUNTIFS(全馬データ!$A$2:$A$50000,A2471,全馬データ!$B$2:$B$50000,B2471,全馬データ!$C$2:$C$50000,C2471,全馬データ!$D$2:$D$50000,E2471,全馬データ!$K$2:$K$50000,"&lt;&gt;")=0,"",SUMIFS(全馬データ!$K$2:$K$50000,全馬データ!$A$2:$A$50000,A2471,全馬データ!$B$2:$B$50000,B2471,全馬データ!$C$2:$C$50000,C2471,全馬データ!$D$2:$D$50000,E2471)))</f>
        <v/>
      </c>
      <c r="AP2471" s="8" t="str">
        <f aca="false">IF(A2471="","",IF(AO2471="","欠損",IF(AO2471&lt;=1.1,"1.0～1.1",IF(AO2471&lt;1.3,"1.2",IF(AO2471&lt;1.5,"1.3～1.4",IF(AO2471&lt;2,"1.5～1.9","2.0以上"))))))</f>
        <v/>
      </c>
      <c r="AQ2471" s="8" t="str">
        <f aca="false">IF(A2471="","",IF(ISNUMBER(SEARCH("2歳",Z2471)),"2歳戦",IF(ISNUMBER(SEARCH("3歳未勝利",Z2471)),"3歳未勝利",IF(ISNUMBER(SEARCH("未勝利",Z2471)),"その他未勝利",IF(ISNUMBER(SEARCH("G1",Z2471)),"G1",IF(ISNUMBER(SEARCH("G2",Z2471)),"G2",IF(ISNUMBER(SEARCH("G3",Z2471)),"G3",IF(ISNUMBER(SEARCH("古馬条件",Z2471)),"古馬条件戦",IF(ISNUMBER(SEARCH("重賞",Z2471)),"重賞","分類不能")))))))))</f>
        <v/>
      </c>
    </row>
    <row r="2472" customFormat="false" ht="15.75" hidden="false" customHeight="false" outlineLevel="0" collapsed="false">
      <c r="AO2472" s="8" t="str">
        <f aca="false">IF(A2472="","",IF(COUNTIFS(全馬データ!$A$2:$A$50000,A2472,全馬データ!$B$2:$B$50000,B2472,全馬データ!$C$2:$C$50000,C2472,全馬データ!$D$2:$D$50000,E2472,全馬データ!$K$2:$K$50000,"&lt;&gt;")=0,"",SUMIFS(全馬データ!$K$2:$K$50000,全馬データ!$A$2:$A$50000,A2472,全馬データ!$B$2:$B$50000,B2472,全馬データ!$C$2:$C$50000,C2472,全馬データ!$D$2:$D$50000,E2472)))</f>
        <v/>
      </c>
      <c r="AP2472" s="8" t="str">
        <f aca="false">IF(A2472="","",IF(AO2472="","欠損",IF(AO2472&lt;=1.1,"1.0～1.1",IF(AO2472&lt;1.3,"1.2",IF(AO2472&lt;1.5,"1.3～1.4",IF(AO2472&lt;2,"1.5～1.9","2.0以上"))))))</f>
        <v/>
      </c>
      <c r="AQ2472" s="8" t="str">
        <f aca="false">IF(A2472="","",IF(ISNUMBER(SEARCH("2歳",Z2472)),"2歳戦",IF(ISNUMBER(SEARCH("3歳未勝利",Z2472)),"3歳未勝利",IF(ISNUMBER(SEARCH("未勝利",Z2472)),"その他未勝利",IF(ISNUMBER(SEARCH("G1",Z2472)),"G1",IF(ISNUMBER(SEARCH("G2",Z2472)),"G2",IF(ISNUMBER(SEARCH("G3",Z2472)),"G3",IF(ISNUMBER(SEARCH("古馬条件",Z2472)),"古馬条件戦",IF(ISNUMBER(SEARCH("重賞",Z2472)),"重賞","分類不能")))))))))</f>
        <v/>
      </c>
    </row>
    <row r="2473" customFormat="false" ht="15.75" hidden="false" customHeight="false" outlineLevel="0" collapsed="false">
      <c r="AO2473" s="8" t="str">
        <f aca="false">IF(A2473="","",IF(COUNTIFS(全馬データ!$A$2:$A$50000,A2473,全馬データ!$B$2:$B$50000,B2473,全馬データ!$C$2:$C$50000,C2473,全馬データ!$D$2:$D$50000,E2473,全馬データ!$K$2:$K$50000,"&lt;&gt;")=0,"",SUMIFS(全馬データ!$K$2:$K$50000,全馬データ!$A$2:$A$50000,A2473,全馬データ!$B$2:$B$50000,B2473,全馬データ!$C$2:$C$50000,C2473,全馬データ!$D$2:$D$50000,E2473)))</f>
        <v/>
      </c>
      <c r="AP2473" s="8" t="str">
        <f aca="false">IF(A2473="","",IF(AO2473="","欠損",IF(AO2473&lt;=1.1,"1.0～1.1",IF(AO2473&lt;1.3,"1.2",IF(AO2473&lt;1.5,"1.3～1.4",IF(AO2473&lt;2,"1.5～1.9","2.0以上"))))))</f>
        <v/>
      </c>
      <c r="AQ2473" s="8" t="str">
        <f aca="false">IF(A2473="","",IF(ISNUMBER(SEARCH("2歳",Z2473)),"2歳戦",IF(ISNUMBER(SEARCH("3歳未勝利",Z2473)),"3歳未勝利",IF(ISNUMBER(SEARCH("未勝利",Z2473)),"その他未勝利",IF(ISNUMBER(SEARCH("G1",Z2473)),"G1",IF(ISNUMBER(SEARCH("G2",Z2473)),"G2",IF(ISNUMBER(SEARCH("G3",Z2473)),"G3",IF(ISNUMBER(SEARCH("古馬条件",Z2473)),"古馬条件戦",IF(ISNUMBER(SEARCH("重賞",Z2473)),"重賞","分類不能")))))))))</f>
        <v/>
      </c>
    </row>
    <row r="2474" customFormat="false" ht="15.75" hidden="false" customHeight="false" outlineLevel="0" collapsed="false">
      <c r="AO2474" s="8" t="str">
        <f aca="false">IF(A2474="","",IF(COUNTIFS(全馬データ!$A$2:$A$50000,A2474,全馬データ!$B$2:$B$50000,B2474,全馬データ!$C$2:$C$50000,C2474,全馬データ!$D$2:$D$50000,E2474,全馬データ!$K$2:$K$50000,"&lt;&gt;")=0,"",SUMIFS(全馬データ!$K$2:$K$50000,全馬データ!$A$2:$A$50000,A2474,全馬データ!$B$2:$B$50000,B2474,全馬データ!$C$2:$C$50000,C2474,全馬データ!$D$2:$D$50000,E2474)))</f>
        <v/>
      </c>
      <c r="AP2474" s="8" t="str">
        <f aca="false">IF(A2474="","",IF(AO2474="","欠損",IF(AO2474&lt;=1.1,"1.0～1.1",IF(AO2474&lt;1.3,"1.2",IF(AO2474&lt;1.5,"1.3～1.4",IF(AO2474&lt;2,"1.5～1.9","2.0以上"))))))</f>
        <v/>
      </c>
      <c r="AQ2474" s="8" t="str">
        <f aca="false">IF(A2474="","",IF(ISNUMBER(SEARCH("2歳",Z2474)),"2歳戦",IF(ISNUMBER(SEARCH("3歳未勝利",Z2474)),"3歳未勝利",IF(ISNUMBER(SEARCH("未勝利",Z2474)),"その他未勝利",IF(ISNUMBER(SEARCH("G1",Z2474)),"G1",IF(ISNUMBER(SEARCH("G2",Z2474)),"G2",IF(ISNUMBER(SEARCH("G3",Z2474)),"G3",IF(ISNUMBER(SEARCH("古馬条件",Z2474)),"古馬条件戦",IF(ISNUMBER(SEARCH("重賞",Z2474)),"重賞","分類不能")))))))))</f>
        <v/>
      </c>
    </row>
    <row r="2475" customFormat="false" ht="15.75" hidden="false" customHeight="false" outlineLevel="0" collapsed="false">
      <c r="AO2475" s="8" t="str">
        <f aca="false">IF(A2475="","",IF(COUNTIFS(全馬データ!$A$2:$A$50000,A2475,全馬データ!$B$2:$B$50000,B2475,全馬データ!$C$2:$C$50000,C2475,全馬データ!$D$2:$D$50000,E2475,全馬データ!$K$2:$K$50000,"&lt;&gt;")=0,"",SUMIFS(全馬データ!$K$2:$K$50000,全馬データ!$A$2:$A$50000,A2475,全馬データ!$B$2:$B$50000,B2475,全馬データ!$C$2:$C$50000,C2475,全馬データ!$D$2:$D$50000,E2475)))</f>
        <v/>
      </c>
      <c r="AP2475" s="8" t="str">
        <f aca="false">IF(A2475="","",IF(AO2475="","欠損",IF(AO2475&lt;=1.1,"1.0～1.1",IF(AO2475&lt;1.3,"1.2",IF(AO2475&lt;1.5,"1.3～1.4",IF(AO2475&lt;2,"1.5～1.9","2.0以上"))))))</f>
        <v/>
      </c>
      <c r="AQ2475" s="8" t="str">
        <f aca="false">IF(A2475="","",IF(ISNUMBER(SEARCH("2歳",Z2475)),"2歳戦",IF(ISNUMBER(SEARCH("3歳未勝利",Z2475)),"3歳未勝利",IF(ISNUMBER(SEARCH("未勝利",Z2475)),"その他未勝利",IF(ISNUMBER(SEARCH("G1",Z2475)),"G1",IF(ISNUMBER(SEARCH("G2",Z2475)),"G2",IF(ISNUMBER(SEARCH("G3",Z2475)),"G3",IF(ISNUMBER(SEARCH("古馬条件",Z2475)),"古馬条件戦",IF(ISNUMBER(SEARCH("重賞",Z2475)),"重賞","分類不能")))))))))</f>
        <v/>
      </c>
    </row>
    <row r="2476" customFormat="false" ht="15.75" hidden="false" customHeight="false" outlineLevel="0" collapsed="false">
      <c r="AO2476" s="8" t="str">
        <f aca="false">IF(A2476="","",IF(COUNTIFS(全馬データ!$A$2:$A$50000,A2476,全馬データ!$B$2:$B$50000,B2476,全馬データ!$C$2:$C$50000,C2476,全馬データ!$D$2:$D$50000,E2476,全馬データ!$K$2:$K$50000,"&lt;&gt;")=0,"",SUMIFS(全馬データ!$K$2:$K$50000,全馬データ!$A$2:$A$50000,A2476,全馬データ!$B$2:$B$50000,B2476,全馬データ!$C$2:$C$50000,C2476,全馬データ!$D$2:$D$50000,E2476)))</f>
        <v/>
      </c>
      <c r="AP2476" s="8" t="str">
        <f aca="false">IF(A2476="","",IF(AO2476="","欠損",IF(AO2476&lt;=1.1,"1.0～1.1",IF(AO2476&lt;1.3,"1.2",IF(AO2476&lt;1.5,"1.3～1.4",IF(AO2476&lt;2,"1.5～1.9","2.0以上"))))))</f>
        <v/>
      </c>
      <c r="AQ2476" s="8" t="str">
        <f aca="false">IF(A2476="","",IF(ISNUMBER(SEARCH("2歳",Z2476)),"2歳戦",IF(ISNUMBER(SEARCH("3歳未勝利",Z2476)),"3歳未勝利",IF(ISNUMBER(SEARCH("未勝利",Z2476)),"その他未勝利",IF(ISNUMBER(SEARCH("G1",Z2476)),"G1",IF(ISNUMBER(SEARCH("G2",Z2476)),"G2",IF(ISNUMBER(SEARCH("G3",Z2476)),"G3",IF(ISNUMBER(SEARCH("古馬条件",Z2476)),"古馬条件戦",IF(ISNUMBER(SEARCH("重賞",Z2476)),"重賞","分類不能")))))))))</f>
        <v/>
      </c>
    </row>
    <row r="2477" customFormat="false" ht="15.75" hidden="false" customHeight="false" outlineLevel="0" collapsed="false">
      <c r="AO2477" s="8" t="str">
        <f aca="false">IF(A2477="","",IF(COUNTIFS(全馬データ!$A$2:$A$50000,A2477,全馬データ!$B$2:$B$50000,B2477,全馬データ!$C$2:$C$50000,C2477,全馬データ!$D$2:$D$50000,E2477,全馬データ!$K$2:$K$50000,"&lt;&gt;")=0,"",SUMIFS(全馬データ!$K$2:$K$50000,全馬データ!$A$2:$A$50000,A2477,全馬データ!$B$2:$B$50000,B2477,全馬データ!$C$2:$C$50000,C2477,全馬データ!$D$2:$D$50000,E2477)))</f>
        <v/>
      </c>
      <c r="AP2477" s="8" t="str">
        <f aca="false">IF(A2477="","",IF(AO2477="","欠損",IF(AO2477&lt;=1.1,"1.0～1.1",IF(AO2477&lt;1.3,"1.2",IF(AO2477&lt;1.5,"1.3～1.4",IF(AO2477&lt;2,"1.5～1.9","2.0以上"))))))</f>
        <v/>
      </c>
      <c r="AQ2477" s="8" t="str">
        <f aca="false">IF(A2477="","",IF(ISNUMBER(SEARCH("2歳",Z2477)),"2歳戦",IF(ISNUMBER(SEARCH("3歳未勝利",Z2477)),"3歳未勝利",IF(ISNUMBER(SEARCH("未勝利",Z2477)),"その他未勝利",IF(ISNUMBER(SEARCH("G1",Z2477)),"G1",IF(ISNUMBER(SEARCH("G2",Z2477)),"G2",IF(ISNUMBER(SEARCH("G3",Z2477)),"G3",IF(ISNUMBER(SEARCH("古馬条件",Z2477)),"古馬条件戦",IF(ISNUMBER(SEARCH("重賞",Z2477)),"重賞","分類不能")))))))))</f>
        <v/>
      </c>
    </row>
    <row r="2478" customFormat="false" ht="15.75" hidden="false" customHeight="false" outlineLevel="0" collapsed="false">
      <c r="AO2478" s="8" t="str">
        <f aca="false">IF(A2478="","",IF(COUNTIFS(全馬データ!$A$2:$A$50000,A2478,全馬データ!$B$2:$B$50000,B2478,全馬データ!$C$2:$C$50000,C2478,全馬データ!$D$2:$D$50000,E2478,全馬データ!$K$2:$K$50000,"&lt;&gt;")=0,"",SUMIFS(全馬データ!$K$2:$K$50000,全馬データ!$A$2:$A$50000,A2478,全馬データ!$B$2:$B$50000,B2478,全馬データ!$C$2:$C$50000,C2478,全馬データ!$D$2:$D$50000,E2478)))</f>
        <v/>
      </c>
      <c r="AP2478" s="8" t="str">
        <f aca="false">IF(A2478="","",IF(AO2478="","欠損",IF(AO2478&lt;=1.1,"1.0～1.1",IF(AO2478&lt;1.3,"1.2",IF(AO2478&lt;1.5,"1.3～1.4",IF(AO2478&lt;2,"1.5～1.9","2.0以上"))))))</f>
        <v/>
      </c>
      <c r="AQ2478" s="8" t="str">
        <f aca="false">IF(A2478="","",IF(ISNUMBER(SEARCH("2歳",Z2478)),"2歳戦",IF(ISNUMBER(SEARCH("3歳未勝利",Z2478)),"3歳未勝利",IF(ISNUMBER(SEARCH("未勝利",Z2478)),"その他未勝利",IF(ISNUMBER(SEARCH("G1",Z2478)),"G1",IF(ISNUMBER(SEARCH("G2",Z2478)),"G2",IF(ISNUMBER(SEARCH("G3",Z2478)),"G3",IF(ISNUMBER(SEARCH("古馬条件",Z2478)),"古馬条件戦",IF(ISNUMBER(SEARCH("重賞",Z2478)),"重賞","分類不能")))))))))</f>
        <v/>
      </c>
    </row>
    <row r="2479" customFormat="false" ht="15.75" hidden="false" customHeight="false" outlineLevel="0" collapsed="false">
      <c r="AO2479" s="8" t="str">
        <f aca="false">IF(A2479="","",IF(COUNTIFS(全馬データ!$A$2:$A$50000,A2479,全馬データ!$B$2:$B$50000,B2479,全馬データ!$C$2:$C$50000,C2479,全馬データ!$D$2:$D$50000,E2479,全馬データ!$K$2:$K$50000,"&lt;&gt;")=0,"",SUMIFS(全馬データ!$K$2:$K$50000,全馬データ!$A$2:$A$50000,A2479,全馬データ!$B$2:$B$50000,B2479,全馬データ!$C$2:$C$50000,C2479,全馬データ!$D$2:$D$50000,E2479)))</f>
        <v/>
      </c>
      <c r="AP2479" s="8" t="str">
        <f aca="false">IF(A2479="","",IF(AO2479="","欠損",IF(AO2479&lt;=1.1,"1.0～1.1",IF(AO2479&lt;1.3,"1.2",IF(AO2479&lt;1.5,"1.3～1.4",IF(AO2479&lt;2,"1.5～1.9","2.0以上"))))))</f>
        <v/>
      </c>
      <c r="AQ2479" s="8" t="str">
        <f aca="false">IF(A2479="","",IF(ISNUMBER(SEARCH("2歳",Z2479)),"2歳戦",IF(ISNUMBER(SEARCH("3歳未勝利",Z2479)),"3歳未勝利",IF(ISNUMBER(SEARCH("未勝利",Z2479)),"その他未勝利",IF(ISNUMBER(SEARCH("G1",Z2479)),"G1",IF(ISNUMBER(SEARCH("G2",Z2479)),"G2",IF(ISNUMBER(SEARCH("G3",Z2479)),"G3",IF(ISNUMBER(SEARCH("古馬条件",Z2479)),"古馬条件戦",IF(ISNUMBER(SEARCH("重賞",Z2479)),"重賞","分類不能")))))))))</f>
        <v/>
      </c>
    </row>
    <row r="2480" customFormat="false" ht="15.75" hidden="false" customHeight="false" outlineLevel="0" collapsed="false">
      <c r="AO2480" s="8" t="str">
        <f aca="false">IF(A2480="","",IF(COUNTIFS(全馬データ!$A$2:$A$50000,A2480,全馬データ!$B$2:$B$50000,B2480,全馬データ!$C$2:$C$50000,C2480,全馬データ!$D$2:$D$50000,E2480,全馬データ!$K$2:$K$50000,"&lt;&gt;")=0,"",SUMIFS(全馬データ!$K$2:$K$50000,全馬データ!$A$2:$A$50000,A2480,全馬データ!$B$2:$B$50000,B2480,全馬データ!$C$2:$C$50000,C2480,全馬データ!$D$2:$D$50000,E2480)))</f>
        <v/>
      </c>
      <c r="AP2480" s="8" t="str">
        <f aca="false">IF(A2480="","",IF(AO2480="","欠損",IF(AO2480&lt;=1.1,"1.0～1.1",IF(AO2480&lt;1.3,"1.2",IF(AO2480&lt;1.5,"1.3～1.4",IF(AO2480&lt;2,"1.5～1.9","2.0以上"))))))</f>
        <v/>
      </c>
      <c r="AQ2480" s="8" t="str">
        <f aca="false">IF(A2480="","",IF(ISNUMBER(SEARCH("2歳",Z2480)),"2歳戦",IF(ISNUMBER(SEARCH("3歳未勝利",Z2480)),"3歳未勝利",IF(ISNUMBER(SEARCH("未勝利",Z2480)),"その他未勝利",IF(ISNUMBER(SEARCH("G1",Z2480)),"G1",IF(ISNUMBER(SEARCH("G2",Z2480)),"G2",IF(ISNUMBER(SEARCH("G3",Z2480)),"G3",IF(ISNUMBER(SEARCH("古馬条件",Z2480)),"古馬条件戦",IF(ISNUMBER(SEARCH("重賞",Z2480)),"重賞","分類不能")))))))))</f>
        <v/>
      </c>
    </row>
    <row r="2481" customFormat="false" ht="15.75" hidden="false" customHeight="false" outlineLevel="0" collapsed="false">
      <c r="AO2481" s="8" t="str">
        <f aca="false">IF(A2481="","",IF(COUNTIFS(全馬データ!$A$2:$A$50000,A2481,全馬データ!$B$2:$B$50000,B2481,全馬データ!$C$2:$C$50000,C2481,全馬データ!$D$2:$D$50000,E2481,全馬データ!$K$2:$K$50000,"&lt;&gt;")=0,"",SUMIFS(全馬データ!$K$2:$K$50000,全馬データ!$A$2:$A$50000,A2481,全馬データ!$B$2:$B$50000,B2481,全馬データ!$C$2:$C$50000,C2481,全馬データ!$D$2:$D$50000,E2481)))</f>
        <v/>
      </c>
      <c r="AP2481" s="8" t="str">
        <f aca="false">IF(A2481="","",IF(AO2481="","欠損",IF(AO2481&lt;=1.1,"1.0～1.1",IF(AO2481&lt;1.3,"1.2",IF(AO2481&lt;1.5,"1.3～1.4",IF(AO2481&lt;2,"1.5～1.9","2.0以上"))))))</f>
        <v/>
      </c>
      <c r="AQ2481" s="8" t="str">
        <f aca="false">IF(A2481="","",IF(ISNUMBER(SEARCH("2歳",Z2481)),"2歳戦",IF(ISNUMBER(SEARCH("3歳未勝利",Z2481)),"3歳未勝利",IF(ISNUMBER(SEARCH("未勝利",Z2481)),"その他未勝利",IF(ISNUMBER(SEARCH("G1",Z2481)),"G1",IF(ISNUMBER(SEARCH("G2",Z2481)),"G2",IF(ISNUMBER(SEARCH("G3",Z2481)),"G3",IF(ISNUMBER(SEARCH("古馬条件",Z2481)),"古馬条件戦",IF(ISNUMBER(SEARCH("重賞",Z2481)),"重賞","分類不能")))))))))</f>
        <v/>
      </c>
    </row>
    <row r="2482" customFormat="false" ht="15.75" hidden="false" customHeight="false" outlineLevel="0" collapsed="false">
      <c r="AO2482" s="8" t="str">
        <f aca="false">IF(A2482="","",IF(COUNTIFS(全馬データ!$A$2:$A$50000,A2482,全馬データ!$B$2:$B$50000,B2482,全馬データ!$C$2:$C$50000,C2482,全馬データ!$D$2:$D$50000,E2482,全馬データ!$K$2:$K$50000,"&lt;&gt;")=0,"",SUMIFS(全馬データ!$K$2:$K$50000,全馬データ!$A$2:$A$50000,A2482,全馬データ!$B$2:$B$50000,B2482,全馬データ!$C$2:$C$50000,C2482,全馬データ!$D$2:$D$50000,E2482)))</f>
        <v/>
      </c>
      <c r="AP2482" s="8" t="str">
        <f aca="false">IF(A2482="","",IF(AO2482="","欠損",IF(AO2482&lt;=1.1,"1.0～1.1",IF(AO2482&lt;1.3,"1.2",IF(AO2482&lt;1.5,"1.3～1.4",IF(AO2482&lt;2,"1.5～1.9","2.0以上"))))))</f>
        <v/>
      </c>
      <c r="AQ2482" s="8" t="str">
        <f aca="false">IF(A2482="","",IF(ISNUMBER(SEARCH("2歳",Z2482)),"2歳戦",IF(ISNUMBER(SEARCH("3歳未勝利",Z2482)),"3歳未勝利",IF(ISNUMBER(SEARCH("未勝利",Z2482)),"その他未勝利",IF(ISNUMBER(SEARCH("G1",Z2482)),"G1",IF(ISNUMBER(SEARCH("G2",Z2482)),"G2",IF(ISNUMBER(SEARCH("G3",Z2482)),"G3",IF(ISNUMBER(SEARCH("古馬条件",Z2482)),"古馬条件戦",IF(ISNUMBER(SEARCH("重賞",Z2482)),"重賞","分類不能")))))))))</f>
        <v/>
      </c>
    </row>
    <row r="2483" customFormat="false" ht="15.75" hidden="false" customHeight="false" outlineLevel="0" collapsed="false">
      <c r="AO2483" s="8" t="str">
        <f aca="false">IF(A2483="","",IF(COUNTIFS(全馬データ!$A$2:$A$50000,A2483,全馬データ!$B$2:$B$50000,B2483,全馬データ!$C$2:$C$50000,C2483,全馬データ!$D$2:$D$50000,E2483,全馬データ!$K$2:$K$50000,"&lt;&gt;")=0,"",SUMIFS(全馬データ!$K$2:$K$50000,全馬データ!$A$2:$A$50000,A2483,全馬データ!$B$2:$B$50000,B2483,全馬データ!$C$2:$C$50000,C2483,全馬データ!$D$2:$D$50000,E2483)))</f>
        <v/>
      </c>
      <c r="AP2483" s="8" t="str">
        <f aca="false">IF(A2483="","",IF(AO2483="","欠損",IF(AO2483&lt;=1.1,"1.0～1.1",IF(AO2483&lt;1.3,"1.2",IF(AO2483&lt;1.5,"1.3～1.4",IF(AO2483&lt;2,"1.5～1.9","2.0以上"))))))</f>
        <v/>
      </c>
      <c r="AQ2483" s="8" t="str">
        <f aca="false">IF(A2483="","",IF(ISNUMBER(SEARCH("2歳",Z2483)),"2歳戦",IF(ISNUMBER(SEARCH("3歳未勝利",Z2483)),"3歳未勝利",IF(ISNUMBER(SEARCH("未勝利",Z2483)),"その他未勝利",IF(ISNUMBER(SEARCH("G1",Z2483)),"G1",IF(ISNUMBER(SEARCH("G2",Z2483)),"G2",IF(ISNUMBER(SEARCH("G3",Z2483)),"G3",IF(ISNUMBER(SEARCH("古馬条件",Z2483)),"古馬条件戦",IF(ISNUMBER(SEARCH("重賞",Z2483)),"重賞","分類不能")))))))))</f>
        <v/>
      </c>
    </row>
    <row r="2484" customFormat="false" ht="15.75" hidden="false" customHeight="false" outlineLevel="0" collapsed="false">
      <c r="AO2484" s="8" t="str">
        <f aca="false">IF(A2484="","",IF(COUNTIFS(全馬データ!$A$2:$A$50000,A2484,全馬データ!$B$2:$B$50000,B2484,全馬データ!$C$2:$C$50000,C2484,全馬データ!$D$2:$D$50000,E2484,全馬データ!$K$2:$K$50000,"&lt;&gt;")=0,"",SUMIFS(全馬データ!$K$2:$K$50000,全馬データ!$A$2:$A$50000,A2484,全馬データ!$B$2:$B$50000,B2484,全馬データ!$C$2:$C$50000,C2484,全馬データ!$D$2:$D$50000,E2484)))</f>
        <v/>
      </c>
      <c r="AP2484" s="8" t="str">
        <f aca="false">IF(A2484="","",IF(AO2484="","欠損",IF(AO2484&lt;=1.1,"1.0～1.1",IF(AO2484&lt;1.3,"1.2",IF(AO2484&lt;1.5,"1.3～1.4",IF(AO2484&lt;2,"1.5～1.9","2.0以上"))))))</f>
        <v/>
      </c>
      <c r="AQ2484" s="8" t="str">
        <f aca="false">IF(A2484="","",IF(ISNUMBER(SEARCH("2歳",Z2484)),"2歳戦",IF(ISNUMBER(SEARCH("3歳未勝利",Z2484)),"3歳未勝利",IF(ISNUMBER(SEARCH("未勝利",Z2484)),"その他未勝利",IF(ISNUMBER(SEARCH("G1",Z2484)),"G1",IF(ISNUMBER(SEARCH("G2",Z2484)),"G2",IF(ISNUMBER(SEARCH("G3",Z2484)),"G3",IF(ISNUMBER(SEARCH("古馬条件",Z2484)),"古馬条件戦",IF(ISNUMBER(SEARCH("重賞",Z2484)),"重賞","分類不能")))))))))</f>
        <v/>
      </c>
    </row>
    <row r="2485" customFormat="false" ht="15.75" hidden="false" customHeight="false" outlineLevel="0" collapsed="false">
      <c r="AO2485" s="8" t="str">
        <f aca="false">IF(A2485="","",IF(COUNTIFS(全馬データ!$A$2:$A$50000,A2485,全馬データ!$B$2:$B$50000,B2485,全馬データ!$C$2:$C$50000,C2485,全馬データ!$D$2:$D$50000,E2485,全馬データ!$K$2:$K$50000,"&lt;&gt;")=0,"",SUMIFS(全馬データ!$K$2:$K$50000,全馬データ!$A$2:$A$50000,A2485,全馬データ!$B$2:$B$50000,B2485,全馬データ!$C$2:$C$50000,C2485,全馬データ!$D$2:$D$50000,E2485)))</f>
        <v/>
      </c>
      <c r="AP2485" s="8" t="str">
        <f aca="false">IF(A2485="","",IF(AO2485="","欠損",IF(AO2485&lt;=1.1,"1.0～1.1",IF(AO2485&lt;1.3,"1.2",IF(AO2485&lt;1.5,"1.3～1.4",IF(AO2485&lt;2,"1.5～1.9","2.0以上"))))))</f>
        <v/>
      </c>
      <c r="AQ2485" s="8" t="str">
        <f aca="false">IF(A2485="","",IF(ISNUMBER(SEARCH("2歳",Z2485)),"2歳戦",IF(ISNUMBER(SEARCH("3歳未勝利",Z2485)),"3歳未勝利",IF(ISNUMBER(SEARCH("未勝利",Z2485)),"その他未勝利",IF(ISNUMBER(SEARCH("G1",Z2485)),"G1",IF(ISNUMBER(SEARCH("G2",Z2485)),"G2",IF(ISNUMBER(SEARCH("G3",Z2485)),"G3",IF(ISNUMBER(SEARCH("古馬条件",Z2485)),"古馬条件戦",IF(ISNUMBER(SEARCH("重賞",Z2485)),"重賞","分類不能")))))))))</f>
        <v/>
      </c>
    </row>
    <row r="2486" customFormat="false" ht="15.75" hidden="false" customHeight="false" outlineLevel="0" collapsed="false">
      <c r="AO2486" s="8" t="str">
        <f aca="false">IF(A2486="","",IF(COUNTIFS(全馬データ!$A$2:$A$50000,A2486,全馬データ!$B$2:$B$50000,B2486,全馬データ!$C$2:$C$50000,C2486,全馬データ!$D$2:$D$50000,E2486,全馬データ!$K$2:$K$50000,"&lt;&gt;")=0,"",SUMIFS(全馬データ!$K$2:$K$50000,全馬データ!$A$2:$A$50000,A2486,全馬データ!$B$2:$B$50000,B2486,全馬データ!$C$2:$C$50000,C2486,全馬データ!$D$2:$D$50000,E2486)))</f>
        <v/>
      </c>
      <c r="AP2486" s="8" t="str">
        <f aca="false">IF(A2486="","",IF(AO2486="","欠損",IF(AO2486&lt;=1.1,"1.0～1.1",IF(AO2486&lt;1.3,"1.2",IF(AO2486&lt;1.5,"1.3～1.4",IF(AO2486&lt;2,"1.5～1.9","2.0以上"))))))</f>
        <v/>
      </c>
      <c r="AQ2486" s="8" t="str">
        <f aca="false">IF(A2486="","",IF(ISNUMBER(SEARCH("2歳",Z2486)),"2歳戦",IF(ISNUMBER(SEARCH("3歳未勝利",Z2486)),"3歳未勝利",IF(ISNUMBER(SEARCH("未勝利",Z2486)),"その他未勝利",IF(ISNUMBER(SEARCH("G1",Z2486)),"G1",IF(ISNUMBER(SEARCH("G2",Z2486)),"G2",IF(ISNUMBER(SEARCH("G3",Z2486)),"G3",IF(ISNUMBER(SEARCH("古馬条件",Z2486)),"古馬条件戦",IF(ISNUMBER(SEARCH("重賞",Z2486)),"重賞","分類不能")))))))))</f>
        <v/>
      </c>
    </row>
    <row r="2487" customFormat="false" ht="15.75" hidden="false" customHeight="false" outlineLevel="0" collapsed="false">
      <c r="AO2487" s="8" t="str">
        <f aca="false">IF(A2487="","",IF(COUNTIFS(全馬データ!$A$2:$A$50000,A2487,全馬データ!$B$2:$B$50000,B2487,全馬データ!$C$2:$C$50000,C2487,全馬データ!$D$2:$D$50000,E2487,全馬データ!$K$2:$K$50000,"&lt;&gt;")=0,"",SUMIFS(全馬データ!$K$2:$K$50000,全馬データ!$A$2:$A$50000,A2487,全馬データ!$B$2:$B$50000,B2487,全馬データ!$C$2:$C$50000,C2487,全馬データ!$D$2:$D$50000,E2487)))</f>
        <v/>
      </c>
      <c r="AP2487" s="8" t="str">
        <f aca="false">IF(A2487="","",IF(AO2487="","欠損",IF(AO2487&lt;=1.1,"1.0～1.1",IF(AO2487&lt;1.3,"1.2",IF(AO2487&lt;1.5,"1.3～1.4",IF(AO2487&lt;2,"1.5～1.9","2.0以上"))))))</f>
        <v/>
      </c>
      <c r="AQ2487" s="8" t="str">
        <f aca="false">IF(A2487="","",IF(ISNUMBER(SEARCH("2歳",Z2487)),"2歳戦",IF(ISNUMBER(SEARCH("3歳未勝利",Z2487)),"3歳未勝利",IF(ISNUMBER(SEARCH("未勝利",Z2487)),"その他未勝利",IF(ISNUMBER(SEARCH("G1",Z2487)),"G1",IF(ISNUMBER(SEARCH("G2",Z2487)),"G2",IF(ISNUMBER(SEARCH("G3",Z2487)),"G3",IF(ISNUMBER(SEARCH("古馬条件",Z2487)),"古馬条件戦",IF(ISNUMBER(SEARCH("重賞",Z2487)),"重賞","分類不能")))))))))</f>
        <v/>
      </c>
    </row>
    <row r="2488" customFormat="false" ht="15.75" hidden="false" customHeight="false" outlineLevel="0" collapsed="false">
      <c r="AO2488" s="8" t="str">
        <f aca="false">IF(A2488="","",IF(COUNTIFS(全馬データ!$A$2:$A$50000,A2488,全馬データ!$B$2:$B$50000,B2488,全馬データ!$C$2:$C$50000,C2488,全馬データ!$D$2:$D$50000,E2488,全馬データ!$K$2:$K$50000,"&lt;&gt;")=0,"",SUMIFS(全馬データ!$K$2:$K$50000,全馬データ!$A$2:$A$50000,A2488,全馬データ!$B$2:$B$50000,B2488,全馬データ!$C$2:$C$50000,C2488,全馬データ!$D$2:$D$50000,E2488)))</f>
        <v/>
      </c>
      <c r="AP2488" s="8" t="str">
        <f aca="false">IF(A2488="","",IF(AO2488="","欠損",IF(AO2488&lt;=1.1,"1.0～1.1",IF(AO2488&lt;1.3,"1.2",IF(AO2488&lt;1.5,"1.3～1.4",IF(AO2488&lt;2,"1.5～1.9","2.0以上"))))))</f>
        <v/>
      </c>
      <c r="AQ2488" s="8" t="str">
        <f aca="false">IF(A2488="","",IF(ISNUMBER(SEARCH("2歳",Z2488)),"2歳戦",IF(ISNUMBER(SEARCH("3歳未勝利",Z2488)),"3歳未勝利",IF(ISNUMBER(SEARCH("未勝利",Z2488)),"その他未勝利",IF(ISNUMBER(SEARCH("G1",Z2488)),"G1",IF(ISNUMBER(SEARCH("G2",Z2488)),"G2",IF(ISNUMBER(SEARCH("G3",Z2488)),"G3",IF(ISNUMBER(SEARCH("古馬条件",Z2488)),"古馬条件戦",IF(ISNUMBER(SEARCH("重賞",Z2488)),"重賞","分類不能")))))))))</f>
        <v/>
      </c>
    </row>
    <row r="2489" customFormat="false" ht="15.75" hidden="false" customHeight="false" outlineLevel="0" collapsed="false">
      <c r="AO2489" s="8" t="str">
        <f aca="false">IF(A2489="","",IF(COUNTIFS(全馬データ!$A$2:$A$50000,A2489,全馬データ!$B$2:$B$50000,B2489,全馬データ!$C$2:$C$50000,C2489,全馬データ!$D$2:$D$50000,E2489,全馬データ!$K$2:$K$50000,"&lt;&gt;")=0,"",SUMIFS(全馬データ!$K$2:$K$50000,全馬データ!$A$2:$A$50000,A2489,全馬データ!$B$2:$B$50000,B2489,全馬データ!$C$2:$C$50000,C2489,全馬データ!$D$2:$D$50000,E2489)))</f>
        <v/>
      </c>
      <c r="AP2489" s="8" t="str">
        <f aca="false">IF(A2489="","",IF(AO2489="","欠損",IF(AO2489&lt;=1.1,"1.0～1.1",IF(AO2489&lt;1.3,"1.2",IF(AO2489&lt;1.5,"1.3～1.4",IF(AO2489&lt;2,"1.5～1.9","2.0以上"))))))</f>
        <v/>
      </c>
      <c r="AQ2489" s="8" t="str">
        <f aca="false">IF(A2489="","",IF(ISNUMBER(SEARCH("2歳",Z2489)),"2歳戦",IF(ISNUMBER(SEARCH("3歳未勝利",Z2489)),"3歳未勝利",IF(ISNUMBER(SEARCH("未勝利",Z2489)),"その他未勝利",IF(ISNUMBER(SEARCH("G1",Z2489)),"G1",IF(ISNUMBER(SEARCH("G2",Z2489)),"G2",IF(ISNUMBER(SEARCH("G3",Z2489)),"G3",IF(ISNUMBER(SEARCH("古馬条件",Z2489)),"古馬条件戦",IF(ISNUMBER(SEARCH("重賞",Z2489)),"重賞","分類不能")))))))))</f>
        <v/>
      </c>
    </row>
    <row r="2490" customFormat="false" ht="15.75" hidden="false" customHeight="false" outlineLevel="0" collapsed="false">
      <c r="AO2490" s="8" t="str">
        <f aca="false">IF(A2490="","",IF(COUNTIFS(全馬データ!$A$2:$A$50000,A2490,全馬データ!$B$2:$B$50000,B2490,全馬データ!$C$2:$C$50000,C2490,全馬データ!$D$2:$D$50000,E2490,全馬データ!$K$2:$K$50000,"&lt;&gt;")=0,"",SUMIFS(全馬データ!$K$2:$K$50000,全馬データ!$A$2:$A$50000,A2490,全馬データ!$B$2:$B$50000,B2490,全馬データ!$C$2:$C$50000,C2490,全馬データ!$D$2:$D$50000,E2490)))</f>
        <v/>
      </c>
      <c r="AP2490" s="8" t="str">
        <f aca="false">IF(A2490="","",IF(AO2490="","欠損",IF(AO2490&lt;=1.1,"1.0～1.1",IF(AO2490&lt;1.3,"1.2",IF(AO2490&lt;1.5,"1.3～1.4",IF(AO2490&lt;2,"1.5～1.9","2.0以上"))))))</f>
        <v/>
      </c>
      <c r="AQ2490" s="8" t="str">
        <f aca="false">IF(A2490="","",IF(ISNUMBER(SEARCH("2歳",Z2490)),"2歳戦",IF(ISNUMBER(SEARCH("3歳未勝利",Z2490)),"3歳未勝利",IF(ISNUMBER(SEARCH("未勝利",Z2490)),"その他未勝利",IF(ISNUMBER(SEARCH("G1",Z2490)),"G1",IF(ISNUMBER(SEARCH("G2",Z2490)),"G2",IF(ISNUMBER(SEARCH("G3",Z2490)),"G3",IF(ISNUMBER(SEARCH("古馬条件",Z2490)),"古馬条件戦",IF(ISNUMBER(SEARCH("重賞",Z2490)),"重賞","分類不能")))))))))</f>
        <v/>
      </c>
    </row>
    <row r="2491" customFormat="false" ht="15.75" hidden="false" customHeight="false" outlineLevel="0" collapsed="false">
      <c r="AO2491" s="8" t="str">
        <f aca="false">IF(A2491="","",IF(COUNTIFS(全馬データ!$A$2:$A$50000,A2491,全馬データ!$B$2:$B$50000,B2491,全馬データ!$C$2:$C$50000,C2491,全馬データ!$D$2:$D$50000,E2491,全馬データ!$K$2:$K$50000,"&lt;&gt;")=0,"",SUMIFS(全馬データ!$K$2:$K$50000,全馬データ!$A$2:$A$50000,A2491,全馬データ!$B$2:$B$50000,B2491,全馬データ!$C$2:$C$50000,C2491,全馬データ!$D$2:$D$50000,E2491)))</f>
        <v/>
      </c>
      <c r="AP2491" s="8" t="str">
        <f aca="false">IF(A2491="","",IF(AO2491="","欠損",IF(AO2491&lt;=1.1,"1.0～1.1",IF(AO2491&lt;1.3,"1.2",IF(AO2491&lt;1.5,"1.3～1.4",IF(AO2491&lt;2,"1.5～1.9","2.0以上"))))))</f>
        <v/>
      </c>
      <c r="AQ2491" s="8" t="str">
        <f aca="false">IF(A2491="","",IF(ISNUMBER(SEARCH("2歳",Z2491)),"2歳戦",IF(ISNUMBER(SEARCH("3歳未勝利",Z2491)),"3歳未勝利",IF(ISNUMBER(SEARCH("未勝利",Z2491)),"その他未勝利",IF(ISNUMBER(SEARCH("G1",Z2491)),"G1",IF(ISNUMBER(SEARCH("G2",Z2491)),"G2",IF(ISNUMBER(SEARCH("G3",Z2491)),"G3",IF(ISNUMBER(SEARCH("古馬条件",Z2491)),"古馬条件戦",IF(ISNUMBER(SEARCH("重賞",Z2491)),"重賞","分類不能")))))))))</f>
        <v/>
      </c>
    </row>
    <row r="2492" customFormat="false" ht="15.75" hidden="false" customHeight="false" outlineLevel="0" collapsed="false">
      <c r="AO2492" s="8" t="str">
        <f aca="false">IF(A2492="","",IF(COUNTIFS(全馬データ!$A$2:$A$50000,A2492,全馬データ!$B$2:$B$50000,B2492,全馬データ!$C$2:$C$50000,C2492,全馬データ!$D$2:$D$50000,E2492,全馬データ!$K$2:$K$50000,"&lt;&gt;")=0,"",SUMIFS(全馬データ!$K$2:$K$50000,全馬データ!$A$2:$A$50000,A2492,全馬データ!$B$2:$B$50000,B2492,全馬データ!$C$2:$C$50000,C2492,全馬データ!$D$2:$D$50000,E2492)))</f>
        <v/>
      </c>
      <c r="AP2492" s="8" t="str">
        <f aca="false">IF(A2492="","",IF(AO2492="","欠損",IF(AO2492&lt;=1.1,"1.0～1.1",IF(AO2492&lt;1.3,"1.2",IF(AO2492&lt;1.5,"1.3～1.4",IF(AO2492&lt;2,"1.5～1.9","2.0以上"))))))</f>
        <v/>
      </c>
      <c r="AQ2492" s="8" t="str">
        <f aca="false">IF(A2492="","",IF(ISNUMBER(SEARCH("2歳",Z2492)),"2歳戦",IF(ISNUMBER(SEARCH("3歳未勝利",Z2492)),"3歳未勝利",IF(ISNUMBER(SEARCH("未勝利",Z2492)),"その他未勝利",IF(ISNUMBER(SEARCH("G1",Z2492)),"G1",IF(ISNUMBER(SEARCH("G2",Z2492)),"G2",IF(ISNUMBER(SEARCH("G3",Z2492)),"G3",IF(ISNUMBER(SEARCH("古馬条件",Z2492)),"古馬条件戦",IF(ISNUMBER(SEARCH("重賞",Z2492)),"重賞","分類不能")))))))))</f>
        <v/>
      </c>
    </row>
    <row r="2493" customFormat="false" ht="15.75" hidden="false" customHeight="false" outlineLevel="0" collapsed="false">
      <c r="AO2493" s="8" t="str">
        <f aca="false">IF(A2493="","",IF(COUNTIFS(全馬データ!$A$2:$A$50000,A2493,全馬データ!$B$2:$B$50000,B2493,全馬データ!$C$2:$C$50000,C2493,全馬データ!$D$2:$D$50000,E2493,全馬データ!$K$2:$K$50000,"&lt;&gt;")=0,"",SUMIFS(全馬データ!$K$2:$K$50000,全馬データ!$A$2:$A$50000,A2493,全馬データ!$B$2:$B$50000,B2493,全馬データ!$C$2:$C$50000,C2493,全馬データ!$D$2:$D$50000,E2493)))</f>
        <v/>
      </c>
      <c r="AP2493" s="8" t="str">
        <f aca="false">IF(A2493="","",IF(AO2493="","欠損",IF(AO2493&lt;=1.1,"1.0～1.1",IF(AO2493&lt;1.3,"1.2",IF(AO2493&lt;1.5,"1.3～1.4",IF(AO2493&lt;2,"1.5～1.9","2.0以上"))))))</f>
        <v/>
      </c>
      <c r="AQ2493" s="8" t="str">
        <f aca="false">IF(A2493="","",IF(ISNUMBER(SEARCH("2歳",Z2493)),"2歳戦",IF(ISNUMBER(SEARCH("3歳未勝利",Z2493)),"3歳未勝利",IF(ISNUMBER(SEARCH("未勝利",Z2493)),"その他未勝利",IF(ISNUMBER(SEARCH("G1",Z2493)),"G1",IF(ISNUMBER(SEARCH("G2",Z2493)),"G2",IF(ISNUMBER(SEARCH("G3",Z2493)),"G3",IF(ISNUMBER(SEARCH("古馬条件",Z2493)),"古馬条件戦",IF(ISNUMBER(SEARCH("重賞",Z2493)),"重賞","分類不能")))))))))</f>
        <v/>
      </c>
    </row>
    <row r="2494" customFormat="false" ht="15.75" hidden="false" customHeight="false" outlineLevel="0" collapsed="false">
      <c r="AO2494" s="8" t="str">
        <f aca="false">IF(A2494="","",IF(COUNTIFS(全馬データ!$A$2:$A$50000,A2494,全馬データ!$B$2:$B$50000,B2494,全馬データ!$C$2:$C$50000,C2494,全馬データ!$D$2:$D$50000,E2494,全馬データ!$K$2:$K$50000,"&lt;&gt;")=0,"",SUMIFS(全馬データ!$K$2:$K$50000,全馬データ!$A$2:$A$50000,A2494,全馬データ!$B$2:$B$50000,B2494,全馬データ!$C$2:$C$50000,C2494,全馬データ!$D$2:$D$50000,E2494)))</f>
        <v/>
      </c>
      <c r="AP2494" s="8" t="str">
        <f aca="false">IF(A2494="","",IF(AO2494="","欠損",IF(AO2494&lt;=1.1,"1.0～1.1",IF(AO2494&lt;1.3,"1.2",IF(AO2494&lt;1.5,"1.3～1.4",IF(AO2494&lt;2,"1.5～1.9","2.0以上"))))))</f>
        <v/>
      </c>
      <c r="AQ2494" s="8" t="str">
        <f aca="false">IF(A2494="","",IF(ISNUMBER(SEARCH("2歳",Z2494)),"2歳戦",IF(ISNUMBER(SEARCH("3歳未勝利",Z2494)),"3歳未勝利",IF(ISNUMBER(SEARCH("未勝利",Z2494)),"その他未勝利",IF(ISNUMBER(SEARCH("G1",Z2494)),"G1",IF(ISNUMBER(SEARCH("G2",Z2494)),"G2",IF(ISNUMBER(SEARCH("G3",Z2494)),"G3",IF(ISNUMBER(SEARCH("古馬条件",Z2494)),"古馬条件戦",IF(ISNUMBER(SEARCH("重賞",Z2494)),"重賞","分類不能")))))))))</f>
        <v/>
      </c>
    </row>
    <row r="2495" customFormat="false" ht="15.75" hidden="false" customHeight="false" outlineLevel="0" collapsed="false">
      <c r="AO2495" s="8" t="str">
        <f aca="false">IF(A2495="","",IF(COUNTIFS(全馬データ!$A$2:$A$50000,A2495,全馬データ!$B$2:$B$50000,B2495,全馬データ!$C$2:$C$50000,C2495,全馬データ!$D$2:$D$50000,E2495,全馬データ!$K$2:$K$50000,"&lt;&gt;")=0,"",SUMIFS(全馬データ!$K$2:$K$50000,全馬データ!$A$2:$A$50000,A2495,全馬データ!$B$2:$B$50000,B2495,全馬データ!$C$2:$C$50000,C2495,全馬データ!$D$2:$D$50000,E2495)))</f>
        <v/>
      </c>
      <c r="AP2495" s="8" t="str">
        <f aca="false">IF(A2495="","",IF(AO2495="","欠損",IF(AO2495&lt;=1.1,"1.0～1.1",IF(AO2495&lt;1.3,"1.2",IF(AO2495&lt;1.5,"1.3～1.4",IF(AO2495&lt;2,"1.5～1.9","2.0以上"))))))</f>
        <v/>
      </c>
      <c r="AQ2495" s="8" t="str">
        <f aca="false">IF(A2495="","",IF(ISNUMBER(SEARCH("2歳",Z2495)),"2歳戦",IF(ISNUMBER(SEARCH("3歳未勝利",Z2495)),"3歳未勝利",IF(ISNUMBER(SEARCH("未勝利",Z2495)),"その他未勝利",IF(ISNUMBER(SEARCH("G1",Z2495)),"G1",IF(ISNUMBER(SEARCH("G2",Z2495)),"G2",IF(ISNUMBER(SEARCH("G3",Z2495)),"G3",IF(ISNUMBER(SEARCH("古馬条件",Z2495)),"古馬条件戦",IF(ISNUMBER(SEARCH("重賞",Z2495)),"重賞","分類不能")))))))))</f>
        <v/>
      </c>
    </row>
    <row r="2496" customFormat="false" ht="15.75" hidden="false" customHeight="false" outlineLevel="0" collapsed="false">
      <c r="AO2496" s="8" t="str">
        <f aca="false">IF(A2496="","",IF(COUNTIFS(全馬データ!$A$2:$A$50000,A2496,全馬データ!$B$2:$B$50000,B2496,全馬データ!$C$2:$C$50000,C2496,全馬データ!$D$2:$D$50000,E2496,全馬データ!$K$2:$K$50000,"&lt;&gt;")=0,"",SUMIFS(全馬データ!$K$2:$K$50000,全馬データ!$A$2:$A$50000,A2496,全馬データ!$B$2:$B$50000,B2496,全馬データ!$C$2:$C$50000,C2496,全馬データ!$D$2:$D$50000,E2496)))</f>
        <v/>
      </c>
      <c r="AP2496" s="8" t="str">
        <f aca="false">IF(A2496="","",IF(AO2496="","欠損",IF(AO2496&lt;=1.1,"1.0～1.1",IF(AO2496&lt;1.3,"1.2",IF(AO2496&lt;1.5,"1.3～1.4",IF(AO2496&lt;2,"1.5～1.9","2.0以上"))))))</f>
        <v/>
      </c>
      <c r="AQ2496" s="8" t="str">
        <f aca="false">IF(A2496="","",IF(ISNUMBER(SEARCH("2歳",Z2496)),"2歳戦",IF(ISNUMBER(SEARCH("3歳未勝利",Z2496)),"3歳未勝利",IF(ISNUMBER(SEARCH("未勝利",Z2496)),"その他未勝利",IF(ISNUMBER(SEARCH("G1",Z2496)),"G1",IF(ISNUMBER(SEARCH("G2",Z2496)),"G2",IF(ISNUMBER(SEARCH("G3",Z2496)),"G3",IF(ISNUMBER(SEARCH("古馬条件",Z2496)),"古馬条件戦",IF(ISNUMBER(SEARCH("重賞",Z2496)),"重賞","分類不能")))))))))</f>
        <v/>
      </c>
    </row>
    <row r="2497" customFormat="false" ht="15.75" hidden="false" customHeight="false" outlineLevel="0" collapsed="false">
      <c r="AO2497" s="8" t="str">
        <f aca="false">IF(A2497="","",IF(COUNTIFS(全馬データ!$A$2:$A$50000,A2497,全馬データ!$B$2:$B$50000,B2497,全馬データ!$C$2:$C$50000,C2497,全馬データ!$D$2:$D$50000,E2497,全馬データ!$K$2:$K$50000,"&lt;&gt;")=0,"",SUMIFS(全馬データ!$K$2:$K$50000,全馬データ!$A$2:$A$50000,A2497,全馬データ!$B$2:$B$50000,B2497,全馬データ!$C$2:$C$50000,C2497,全馬データ!$D$2:$D$50000,E2497)))</f>
        <v/>
      </c>
      <c r="AP2497" s="8" t="str">
        <f aca="false">IF(A2497="","",IF(AO2497="","欠損",IF(AO2497&lt;=1.1,"1.0～1.1",IF(AO2497&lt;1.3,"1.2",IF(AO2497&lt;1.5,"1.3～1.4",IF(AO2497&lt;2,"1.5～1.9","2.0以上"))))))</f>
        <v/>
      </c>
      <c r="AQ2497" s="8" t="str">
        <f aca="false">IF(A2497="","",IF(ISNUMBER(SEARCH("2歳",Z2497)),"2歳戦",IF(ISNUMBER(SEARCH("3歳未勝利",Z2497)),"3歳未勝利",IF(ISNUMBER(SEARCH("未勝利",Z2497)),"その他未勝利",IF(ISNUMBER(SEARCH("G1",Z2497)),"G1",IF(ISNUMBER(SEARCH("G2",Z2497)),"G2",IF(ISNUMBER(SEARCH("G3",Z2497)),"G3",IF(ISNUMBER(SEARCH("古馬条件",Z2497)),"古馬条件戦",IF(ISNUMBER(SEARCH("重賞",Z2497)),"重賞","分類不能")))))))))</f>
        <v/>
      </c>
    </row>
    <row r="2498" customFormat="false" ht="15.75" hidden="false" customHeight="false" outlineLevel="0" collapsed="false">
      <c r="AO2498" s="8" t="str">
        <f aca="false">IF(A2498="","",IF(COUNTIFS(全馬データ!$A$2:$A$50000,A2498,全馬データ!$B$2:$B$50000,B2498,全馬データ!$C$2:$C$50000,C2498,全馬データ!$D$2:$D$50000,E2498,全馬データ!$K$2:$K$50000,"&lt;&gt;")=0,"",SUMIFS(全馬データ!$K$2:$K$50000,全馬データ!$A$2:$A$50000,A2498,全馬データ!$B$2:$B$50000,B2498,全馬データ!$C$2:$C$50000,C2498,全馬データ!$D$2:$D$50000,E2498)))</f>
        <v/>
      </c>
      <c r="AP2498" s="8" t="str">
        <f aca="false">IF(A2498="","",IF(AO2498="","欠損",IF(AO2498&lt;=1.1,"1.0～1.1",IF(AO2498&lt;1.3,"1.2",IF(AO2498&lt;1.5,"1.3～1.4",IF(AO2498&lt;2,"1.5～1.9","2.0以上"))))))</f>
        <v/>
      </c>
      <c r="AQ2498" s="8" t="str">
        <f aca="false">IF(A2498="","",IF(ISNUMBER(SEARCH("2歳",Z2498)),"2歳戦",IF(ISNUMBER(SEARCH("3歳未勝利",Z2498)),"3歳未勝利",IF(ISNUMBER(SEARCH("未勝利",Z2498)),"その他未勝利",IF(ISNUMBER(SEARCH("G1",Z2498)),"G1",IF(ISNUMBER(SEARCH("G2",Z2498)),"G2",IF(ISNUMBER(SEARCH("G3",Z2498)),"G3",IF(ISNUMBER(SEARCH("古馬条件",Z2498)),"古馬条件戦",IF(ISNUMBER(SEARCH("重賞",Z2498)),"重賞","分類不能")))))))))</f>
        <v/>
      </c>
    </row>
    <row r="2499" customFormat="false" ht="15.75" hidden="false" customHeight="false" outlineLevel="0" collapsed="false">
      <c r="AO2499" s="8" t="str">
        <f aca="false">IF(A2499="","",IF(COUNTIFS(全馬データ!$A$2:$A$50000,A2499,全馬データ!$B$2:$B$50000,B2499,全馬データ!$C$2:$C$50000,C2499,全馬データ!$D$2:$D$50000,E2499,全馬データ!$K$2:$K$50000,"&lt;&gt;")=0,"",SUMIFS(全馬データ!$K$2:$K$50000,全馬データ!$A$2:$A$50000,A2499,全馬データ!$B$2:$B$50000,B2499,全馬データ!$C$2:$C$50000,C2499,全馬データ!$D$2:$D$50000,E2499)))</f>
        <v/>
      </c>
      <c r="AP2499" s="8" t="str">
        <f aca="false">IF(A2499="","",IF(AO2499="","欠損",IF(AO2499&lt;=1.1,"1.0～1.1",IF(AO2499&lt;1.3,"1.2",IF(AO2499&lt;1.5,"1.3～1.4",IF(AO2499&lt;2,"1.5～1.9","2.0以上"))))))</f>
        <v/>
      </c>
      <c r="AQ2499" s="8" t="str">
        <f aca="false">IF(A2499="","",IF(ISNUMBER(SEARCH("2歳",Z2499)),"2歳戦",IF(ISNUMBER(SEARCH("3歳未勝利",Z2499)),"3歳未勝利",IF(ISNUMBER(SEARCH("未勝利",Z2499)),"その他未勝利",IF(ISNUMBER(SEARCH("G1",Z2499)),"G1",IF(ISNUMBER(SEARCH("G2",Z2499)),"G2",IF(ISNUMBER(SEARCH("G3",Z2499)),"G3",IF(ISNUMBER(SEARCH("古馬条件",Z2499)),"古馬条件戦",IF(ISNUMBER(SEARCH("重賞",Z2499)),"重賞","分類不能")))))))))</f>
        <v/>
      </c>
    </row>
    <row r="2500" customFormat="false" ht="15.75" hidden="false" customHeight="false" outlineLevel="0" collapsed="false">
      <c r="AO2500" s="8" t="str">
        <f aca="false">IF(A2500="","",IF(COUNTIFS(全馬データ!$A$2:$A$50000,A2500,全馬データ!$B$2:$B$50000,B2500,全馬データ!$C$2:$C$50000,C2500,全馬データ!$D$2:$D$50000,E2500,全馬データ!$K$2:$K$50000,"&lt;&gt;")=0,"",SUMIFS(全馬データ!$K$2:$K$50000,全馬データ!$A$2:$A$50000,A2500,全馬データ!$B$2:$B$50000,B2500,全馬データ!$C$2:$C$50000,C2500,全馬データ!$D$2:$D$50000,E2500)))</f>
        <v/>
      </c>
      <c r="AP2500" s="8" t="str">
        <f aca="false">IF(A2500="","",IF(AO2500="","欠損",IF(AO2500&lt;=1.1,"1.0～1.1",IF(AO2500&lt;1.3,"1.2",IF(AO2500&lt;1.5,"1.3～1.4",IF(AO2500&lt;2,"1.5～1.9","2.0以上"))))))</f>
        <v/>
      </c>
      <c r="AQ2500" s="8" t="str">
        <f aca="false">IF(A2500="","",IF(ISNUMBER(SEARCH("2歳",Z2500)),"2歳戦",IF(ISNUMBER(SEARCH("3歳未勝利",Z2500)),"3歳未勝利",IF(ISNUMBER(SEARCH("未勝利",Z2500)),"その他未勝利",IF(ISNUMBER(SEARCH("G1",Z2500)),"G1",IF(ISNUMBER(SEARCH("G2",Z2500)),"G2",IF(ISNUMBER(SEARCH("G3",Z2500)),"G3",IF(ISNUMBER(SEARCH("古馬条件",Z2500)),"古馬条件戦",IF(ISNUMBER(SEARCH("重賞",Z2500)),"重賞","分類不能")))))))))</f>
        <v/>
      </c>
    </row>
    <row r="2501" customFormat="false" ht="15.75" hidden="false" customHeight="false" outlineLevel="0" collapsed="false">
      <c r="AO2501" s="8" t="str">
        <f aca="false">IF(A2501="","",IF(COUNTIFS(全馬データ!$A$2:$A$50000,A2501,全馬データ!$B$2:$B$50000,B2501,全馬データ!$C$2:$C$50000,C2501,全馬データ!$D$2:$D$50000,E2501,全馬データ!$K$2:$K$50000,"&lt;&gt;")=0,"",SUMIFS(全馬データ!$K$2:$K$50000,全馬データ!$A$2:$A$50000,A2501,全馬データ!$B$2:$B$50000,B2501,全馬データ!$C$2:$C$50000,C2501,全馬データ!$D$2:$D$50000,E2501)))</f>
        <v/>
      </c>
      <c r="AP2501" s="8" t="str">
        <f aca="false">IF(A2501="","",IF(AO2501="","欠損",IF(AO2501&lt;=1.1,"1.0～1.1",IF(AO2501&lt;1.3,"1.2",IF(AO2501&lt;1.5,"1.3～1.4",IF(AO2501&lt;2,"1.5～1.9","2.0以上"))))))</f>
        <v/>
      </c>
      <c r="AQ2501" s="8" t="str">
        <f aca="false">IF(A2501="","",IF(ISNUMBER(SEARCH("2歳",Z2501)),"2歳戦",IF(ISNUMBER(SEARCH("3歳未勝利",Z2501)),"3歳未勝利",IF(ISNUMBER(SEARCH("未勝利",Z2501)),"その他未勝利",IF(ISNUMBER(SEARCH("G1",Z2501)),"G1",IF(ISNUMBER(SEARCH("G2",Z2501)),"G2",IF(ISNUMBER(SEARCH("G3",Z2501)),"G3",IF(ISNUMBER(SEARCH("古馬条件",Z2501)),"古馬条件戦",IF(ISNUMBER(SEARCH("重賞",Z2501)),"重賞","分類不能")))))))))</f>
        <v/>
      </c>
    </row>
    <row r="2502" customFormat="false" ht="15.75" hidden="false" customHeight="false" outlineLevel="0" collapsed="false">
      <c r="AO2502" s="8" t="str">
        <f aca="false">IF(A2502="","",IF(COUNTIFS(全馬データ!$A$2:$A$50000,A2502,全馬データ!$B$2:$B$50000,B2502,全馬データ!$C$2:$C$50000,C2502,全馬データ!$D$2:$D$50000,E2502,全馬データ!$K$2:$K$50000,"&lt;&gt;")=0,"",SUMIFS(全馬データ!$K$2:$K$50000,全馬データ!$A$2:$A$50000,A2502,全馬データ!$B$2:$B$50000,B2502,全馬データ!$C$2:$C$50000,C2502,全馬データ!$D$2:$D$50000,E2502)))</f>
        <v/>
      </c>
      <c r="AP2502" s="8" t="str">
        <f aca="false">IF(A2502="","",IF(AO2502="","欠損",IF(AO2502&lt;=1.1,"1.0～1.1",IF(AO2502&lt;1.3,"1.2",IF(AO2502&lt;1.5,"1.3～1.4",IF(AO2502&lt;2,"1.5～1.9","2.0以上"))))))</f>
        <v/>
      </c>
      <c r="AQ2502" s="8" t="str">
        <f aca="false">IF(A2502="","",IF(ISNUMBER(SEARCH("2歳",Z2502)),"2歳戦",IF(ISNUMBER(SEARCH("3歳未勝利",Z2502)),"3歳未勝利",IF(ISNUMBER(SEARCH("未勝利",Z2502)),"その他未勝利",IF(ISNUMBER(SEARCH("G1",Z2502)),"G1",IF(ISNUMBER(SEARCH("G2",Z2502)),"G2",IF(ISNUMBER(SEARCH("G3",Z2502)),"G3",IF(ISNUMBER(SEARCH("古馬条件",Z2502)),"古馬条件戦",IF(ISNUMBER(SEARCH("重賞",Z2502)),"重賞","分類不能")))))))))</f>
        <v/>
      </c>
    </row>
    <row r="2503" customFormat="false" ht="15.75" hidden="false" customHeight="false" outlineLevel="0" collapsed="false">
      <c r="AO2503" s="8" t="str">
        <f aca="false">IF(A2503="","",IF(COUNTIFS(全馬データ!$A$2:$A$50000,A2503,全馬データ!$B$2:$B$50000,B2503,全馬データ!$C$2:$C$50000,C2503,全馬データ!$D$2:$D$50000,E2503,全馬データ!$K$2:$K$50000,"&lt;&gt;")=0,"",SUMIFS(全馬データ!$K$2:$K$50000,全馬データ!$A$2:$A$50000,A2503,全馬データ!$B$2:$B$50000,B2503,全馬データ!$C$2:$C$50000,C2503,全馬データ!$D$2:$D$50000,E2503)))</f>
        <v/>
      </c>
      <c r="AP2503" s="8" t="str">
        <f aca="false">IF(A2503="","",IF(AO2503="","欠損",IF(AO2503&lt;=1.1,"1.0～1.1",IF(AO2503&lt;1.3,"1.2",IF(AO2503&lt;1.5,"1.3～1.4",IF(AO2503&lt;2,"1.5～1.9","2.0以上"))))))</f>
        <v/>
      </c>
      <c r="AQ2503" s="8" t="str">
        <f aca="false">IF(A2503="","",IF(ISNUMBER(SEARCH("2歳",Z2503)),"2歳戦",IF(ISNUMBER(SEARCH("3歳未勝利",Z2503)),"3歳未勝利",IF(ISNUMBER(SEARCH("未勝利",Z2503)),"その他未勝利",IF(ISNUMBER(SEARCH("G1",Z2503)),"G1",IF(ISNUMBER(SEARCH("G2",Z2503)),"G2",IF(ISNUMBER(SEARCH("G3",Z2503)),"G3",IF(ISNUMBER(SEARCH("古馬条件",Z2503)),"古馬条件戦",IF(ISNUMBER(SEARCH("重賞",Z2503)),"重賞","分類不能")))))))))</f>
        <v/>
      </c>
    </row>
    <row r="2504" customFormat="false" ht="15.75" hidden="false" customHeight="false" outlineLevel="0" collapsed="false">
      <c r="AO2504" s="8" t="str">
        <f aca="false">IF(A2504="","",IF(COUNTIFS(全馬データ!$A$2:$A$50000,A2504,全馬データ!$B$2:$B$50000,B2504,全馬データ!$C$2:$C$50000,C2504,全馬データ!$D$2:$D$50000,E2504,全馬データ!$K$2:$K$50000,"&lt;&gt;")=0,"",SUMIFS(全馬データ!$K$2:$K$50000,全馬データ!$A$2:$A$50000,A2504,全馬データ!$B$2:$B$50000,B2504,全馬データ!$C$2:$C$50000,C2504,全馬データ!$D$2:$D$50000,E2504)))</f>
        <v/>
      </c>
      <c r="AP2504" s="8" t="str">
        <f aca="false">IF(A2504="","",IF(AO2504="","欠損",IF(AO2504&lt;=1.1,"1.0～1.1",IF(AO2504&lt;1.3,"1.2",IF(AO2504&lt;1.5,"1.3～1.4",IF(AO2504&lt;2,"1.5～1.9","2.0以上"))))))</f>
        <v/>
      </c>
      <c r="AQ2504" s="8" t="str">
        <f aca="false">IF(A2504="","",IF(ISNUMBER(SEARCH("2歳",Z2504)),"2歳戦",IF(ISNUMBER(SEARCH("3歳未勝利",Z2504)),"3歳未勝利",IF(ISNUMBER(SEARCH("未勝利",Z2504)),"その他未勝利",IF(ISNUMBER(SEARCH("G1",Z2504)),"G1",IF(ISNUMBER(SEARCH("G2",Z2504)),"G2",IF(ISNUMBER(SEARCH("G3",Z2504)),"G3",IF(ISNUMBER(SEARCH("古馬条件",Z2504)),"古馬条件戦",IF(ISNUMBER(SEARCH("重賞",Z2504)),"重賞","分類不能")))))))))</f>
        <v/>
      </c>
    </row>
    <row r="2505" customFormat="false" ht="15.75" hidden="false" customHeight="false" outlineLevel="0" collapsed="false">
      <c r="AO2505" s="8" t="str">
        <f aca="false">IF(A2505="","",IF(COUNTIFS(全馬データ!$A$2:$A$50000,A2505,全馬データ!$B$2:$B$50000,B2505,全馬データ!$C$2:$C$50000,C2505,全馬データ!$D$2:$D$50000,E2505,全馬データ!$K$2:$K$50000,"&lt;&gt;")=0,"",SUMIFS(全馬データ!$K$2:$K$50000,全馬データ!$A$2:$A$50000,A2505,全馬データ!$B$2:$B$50000,B2505,全馬データ!$C$2:$C$50000,C2505,全馬データ!$D$2:$D$50000,E2505)))</f>
        <v/>
      </c>
      <c r="AP2505" s="8" t="str">
        <f aca="false">IF(A2505="","",IF(AO2505="","欠損",IF(AO2505&lt;=1.1,"1.0～1.1",IF(AO2505&lt;1.3,"1.2",IF(AO2505&lt;1.5,"1.3～1.4",IF(AO2505&lt;2,"1.5～1.9","2.0以上"))))))</f>
        <v/>
      </c>
      <c r="AQ2505" s="8" t="str">
        <f aca="false">IF(A2505="","",IF(ISNUMBER(SEARCH("2歳",Z2505)),"2歳戦",IF(ISNUMBER(SEARCH("3歳未勝利",Z2505)),"3歳未勝利",IF(ISNUMBER(SEARCH("未勝利",Z2505)),"その他未勝利",IF(ISNUMBER(SEARCH("G1",Z2505)),"G1",IF(ISNUMBER(SEARCH("G2",Z2505)),"G2",IF(ISNUMBER(SEARCH("G3",Z2505)),"G3",IF(ISNUMBER(SEARCH("古馬条件",Z2505)),"古馬条件戦",IF(ISNUMBER(SEARCH("重賞",Z2505)),"重賞","分類不能")))))))))</f>
        <v/>
      </c>
    </row>
    <row r="2506" customFormat="false" ht="15.75" hidden="false" customHeight="false" outlineLevel="0" collapsed="false">
      <c r="AO2506" s="8" t="str">
        <f aca="false">IF(A2506="","",IF(COUNTIFS(全馬データ!$A$2:$A$50000,A2506,全馬データ!$B$2:$B$50000,B2506,全馬データ!$C$2:$C$50000,C2506,全馬データ!$D$2:$D$50000,E2506,全馬データ!$K$2:$K$50000,"&lt;&gt;")=0,"",SUMIFS(全馬データ!$K$2:$K$50000,全馬データ!$A$2:$A$50000,A2506,全馬データ!$B$2:$B$50000,B2506,全馬データ!$C$2:$C$50000,C2506,全馬データ!$D$2:$D$50000,E2506)))</f>
        <v/>
      </c>
      <c r="AP2506" s="8" t="str">
        <f aca="false">IF(A2506="","",IF(AO2506="","欠損",IF(AO2506&lt;=1.1,"1.0～1.1",IF(AO2506&lt;1.3,"1.2",IF(AO2506&lt;1.5,"1.3～1.4",IF(AO2506&lt;2,"1.5～1.9","2.0以上"))))))</f>
        <v/>
      </c>
      <c r="AQ2506" s="8" t="str">
        <f aca="false">IF(A2506="","",IF(ISNUMBER(SEARCH("2歳",Z2506)),"2歳戦",IF(ISNUMBER(SEARCH("3歳未勝利",Z2506)),"3歳未勝利",IF(ISNUMBER(SEARCH("未勝利",Z2506)),"その他未勝利",IF(ISNUMBER(SEARCH("G1",Z2506)),"G1",IF(ISNUMBER(SEARCH("G2",Z2506)),"G2",IF(ISNUMBER(SEARCH("G3",Z2506)),"G3",IF(ISNUMBER(SEARCH("古馬条件",Z2506)),"古馬条件戦",IF(ISNUMBER(SEARCH("重賞",Z2506)),"重賞","分類不能")))))))))</f>
        <v/>
      </c>
    </row>
    <row r="2507" customFormat="false" ht="15.75" hidden="false" customHeight="false" outlineLevel="0" collapsed="false">
      <c r="AO2507" s="8" t="str">
        <f aca="false">IF(A2507="","",IF(COUNTIFS(全馬データ!$A$2:$A$50000,A2507,全馬データ!$B$2:$B$50000,B2507,全馬データ!$C$2:$C$50000,C2507,全馬データ!$D$2:$D$50000,E2507,全馬データ!$K$2:$K$50000,"&lt;&gt;")=0,"",SUMIFS(全馬データ!$K$2:$K$50000,全馬データ!$A$2:$A$50000,A2507,全馬データ!$B$2:$B$50000,B2507,全馬データ!$C$2:$C$50000,C2507,全馬データ!$D$2:$D$50000,E2507)))</f>
        <v/>
      </c>
      <c r="AP2507" s="8" t="str">
        <f aca="false">IF(A2507="","",IF(AO2507="","欠損",IF(AO2507&lt;=1.1,"1.0～1.1",IF(AO2507&lt;1.3,"1.2",IF(AO2507&lt;1.5,"1.3～1.4",IF(AO2507&lt;2,"1.5～1.9","2.0以上"))))))</f>
        <v/>
      </c>
      <c r="AQ2507" s="8" t="str">
        <f aca="false">IF(A2507="","",IF(ISNUMBER(SEARCH("2歳",Z2507)),"2歳戦",IF(ISNUMBER(SEARCH("3歳未勝利",Z2507)),"3歳未勝利",IF(ISNUMBER(SEARCH("未勝利",Z2507)),"その他未勝利",IF(ISNUMBER(SEARCH("G1",Z2507)),"G1",IF(ISNUMBER(SEARCH("G2",Z2507)),"G2",IF(ISNUMBER(SEARCH("G3",Z2507)),"G3",IF(ISNUMBER(SEARCH("古馬条件",Z2507)),"古馬条件戦",IF(ISNUMBER(SEARCH("重賞",Z2507)),"重賞","分類不能")))))))))</f>
        <v/>
      </c>
    </row>
    <row r="2508" customFormat="false" ht="15.75" hidden="false" customHeight="false" outlineLevel="0" collapsed="false">
      <c r="AO2508" s="8" t="str">
        <f aca="false">IF(A2508="","",IF(COUNTIFS(全馬データ!$A$2:$A$50000,A2508,全馬データ!$B$2:$B$50000,B2508,全馬データ!$C$2:$C$50000,C2508,全馬データ!$D$2:$D$50000,E2508,全馬データ!$K$2:$K$50000,"&lt;&gt;")=0,"",SUMIFS(全馬データ!$K$2:$K$50000,全馬データ!$A$2:$A$50000,A2508,全馬データ!$B$2:$B$50000,B2508,全馬データ!$C$2:$C$50000,C2508,全馬データ!$D$2:$D$50000,E2508)))</f>
        <v/>
      </c>
      <c r="AP2508" s="8" t="str">
        <f aca="false">IF(A2508="","",IF(AO2508="","欠損",IF(AO2508&lt;=1.1,"1.0～1.1",IF(AO2508&lt;1.3,"1.2",IF(AO2508&lt;1.5,"1.3～1.4",IF(AO2508&lt;2,"1.5～1.9","2.0以上"))))))</f>
        <v/>
      </c>
      <c r="AQ2508" s="8" t="str">
        <f aca="false">IF(A2508="","",IF(ISNUMBER(SEARCH("2歳",Z2508)),"2歳戦",IF(ISNUMBER(SEARCH("3歳未勝利",Z2508)),"3歳未勝利",IF(ISNUMBER(SEARCH("未勝利",Z2508)),"その他未勝利",IF(ISNUMBER(SEARCH("G1",Z2508)),"G1",IF(ISNUMBER(SEARCH("G2",Z2508)),"G2",IF(ISNUMBER(SEARCH("G3",Z2508)),"G3",IF(ISNUMBER(SEARCH("古馬条件",Z2508)),"古馬条件戦",IF(ISNUMBER(SEARCH("重賞",Z2508)),"重賞","分類不能")))))))))</f>
        <v/>
      </c>
    </row>
    <row r="2509" customFormat="false" ht="15.75" hidden="false" customHeight="false" outlineLevel="0" collapsed="false">
      <c r="AO2509" s="8" t="str">
        <f aca="false">IF(A2509="","",IF(COUNTIFS(全馬データ!$A$2:$A$50000,A2509,全馬データ!$B$2:$B$50000,B2509,全馬データ!$C$2:$C$50000,C2509,全馬データ!$D$2:$D$50000,E2509,全馬データ!$K$2:$K$50000,"&lt;&gt;")=0,"",SUMIFS(全馬データ!$K$2:$K$50000,全馬データ!$A$2:$A$50000,A2509,全馬データ!$B$2:$B$50000,B2509,全馬データ!$C$2:$C$50000,C2509,全馬データ!$D$2:$D$50000,E2509)))</f>
        <v/>
      </c>
      <c r="AP2509" s="8" t="str">
        <f aca="false">IF(A2509="","",IF(AO2509="","欠損",IF(AO2509&lt;=1.1,"1.0～1.1",IF(AO2509&lt;1.3,"1.2",IF(AO2509&lt;1.5,"1.3～1.4",IF(AO2509&lt;2,"1.5～1.9","2.0以上"))))))</f>
        <v/>
      </c>
      <c r="AQ2509" s="8" t="str">
        <f aca="false">IF(A2509="","",IF(ISNUMBER(SEARCH("2歳",Z2509)),"2歳戦",IF(ISNUMBER(SEARCH("3歳未勝利",Z2509)),"3歳未勝利",IF(ISNUMBER(SEARCH("未勝利",Z2509)),"その他未勝利",IF(ISNUMBER(SEARCH("G1",Z2509)),"G1",IF(ISNUMBER(SEARCH("G2",Z2509)),"G2",IF(ISNUMBER(SEARCH("G3",Z2509)),"G3",IF(ISNUMBER(SEARCH("古馬条件",Z2509)),"古馬条件戦",IF(ISNUMBER(SEARCH("重賞",Z2509)),"重賞","分類不能")))))))))</f>
        <v/>
      </c>
    </row>
    <row r="2510" customFormat="false" ht="15.75" hidden="false" customHeight="false" outlineLevel="0" collapsed="false">
      <c r="AO2510" s="8" t="str">
        <f aca="false">IF(A2510="","",IF(COUNTIFS(全馬データ!$A$2:$A$50000,A2510,全馬データ!$B$2:$B$50000,B2510,全馬データ!$C$2:$C$50000,C2510,全馬データ!$D$2:$D$50000,E2510,全馬データ!$K$2:$K$50000,"&lt;&gt;")=0,"",SUMIFS(全馬データ!$K$2:$K$50000,全馬データ!$A$2:$A$50000,A2510,全馬データ!$B$2:$B$50000,B2510,全馬データ!$C$2:$C$50000,C2510,全馬データ!$D$2:$D$50000,E2510)))</f>
        <v/>
      </c>
      <c r="AP2510" s="8" t="str">
        <f aca="false">IF(A2510="","",IF(AO2510="","欠損",IF(AO2510&lt;=1.1,"1.0～1.1",IF(AO2510&lt;1.3,"1.2",IF(AO2510&lt;1.5,"1.3～1.4",IF(AO2510&lt;2,"1.5～1.9","2.0以上"))))))</f>
        <v/>
      </c>
      <c r="AQ2510" s="8" t="str">
        <f aca="false">IF(A2510="","",IF(ISNUMBER(SEARCH("2歳",Z2510)),"2歳戦",IF(ISNUMBER(SEARCH("3歳未勝利",Z2510)),"3歳未勝利",IF(ISNUMBER(SEARCH("未勝利",Z2510)),"その他未勝利",IF(ISNUMBER(SEARCH("G1",Z2510)),"G1",IF(ISNUMBER(SEARCH("G2",Z2510)),"G2",IF(ISNUMBER(SEARCH("G3",Z2510)),"G3",IF(ISNUMBER(SEARCH("古馬条件",Z2510)),"古馬条件戦",IF(ISNUMBER(SEARCH("重賞",Z2510)),"重賞","分類不能")))))))))</f>
        <v/>
      </c>
    </row>
    <row r="2511" customFormat="false" ht="15.75" hidden="false" customHeight="false" outlineLevel="0" collapsed="false">
      <c r="AO2511" s="8" t="str">
        <f aca="false">IF(A2511="","",IF(COUNTIFS(全馬データ!$A$2:$A$50000,A2511,全馬データ!$B$2:$B$50000,B2511,全馬データ!$C$2:$C$50000,C2511,全馬データ!$D$2:$D$50000,E2511,全馬データ!$K$2:$K$50000,"&lt;&gt;")=0,"",SUMIFS(全馬データ!$K$2:$K$50000,全馬データ!$A$2:$A$50000,A2511,全馬データ!$B$2:$B$50000,B2511,全馬データ!$C$2:$C$50000,C2511,全馬データ!$D$2:$D$50000,E2511)))</f>
        <v/>
      </c>
      <c r="AP2511" s="8" t="str">
        <f aca="false">IF(A2511="","",IF(AO2511="","欠損",IF(AO2511&lt;=1.1,"1.0～1.1",IF(AO2511&lt;1.3,"1.2",IF(AO2511&lt;1.5,"1.3～1.4",IF(AO2511&lt;2,"1.5～1.9","2.0以上"))))))</f>
        <v/>
      </c>
      <c r="AQ2511" s="8" t="str">
        <f aca="false">IF(A2511="","",IF(ISNUMBER(SEARCH("2歳",Z2511)),"2歳戦",IF(ISNUMBER(SEARCH("3歳未勝利",Z2511)),"3歳未勝利",IF(ISNUMBER(SEARCH("未勝利",Z2511)),"その他未勝利",IF(ISNUMBER(SEARCH("G1",Z2511)),"G1",IF(ISNUMBER(SEARCH("G2",Z2511)),"G2",IF(ISNUMBER(SEARCH("G3",Z2511)),"G3",IF(ISNUMBER(SEARCH("古馬条件",Z2511)),"古馬条件戦",IF(ISNUMBER(SEARCH("重賞",Z2511)),"重賞","分類不能")))))))))</f>
        <v/>
      </c>
    </row>
    <row r="2512" customFormat="false" ht="15.75" hidden="false" customHeight="false" outlineLevel="0" collapsed="false">
      <c r="AO2512" s="8" t="str">
        <f aca="false">IF(A2512="","",IF(COUNTIFS(全馬データ!$A$2:$A$50000,A2512,全馬データ!$B$2:$B$50000,B2512,全馬データ!$C$2:$C$50000,C2512,全馬データ!$D$2:$D$50000,E2512,全馬データ!$K$2:$K$50000,"&lt;&gt;")=0,"",SUMIFS(全馬データ!$K$2:$K$50000,全馬データ!$A$2:$A$50000,A2512,全馬データ!$B$2:$B$50000,B2512,全馬データ!$C$2:$C$50000,C2512,全馬データ!$D$2:$D$50000,E2512)))</f>
        <v/>
      </c>
      <c r="AP2512" s="8" t="str">
        <f aca="false">IF(A2512="","",IF(AO2512="","欠損",IF(AO2512&lt;=1.1,"1.0～1.1",IF(AO2512&lt;1.3,"1.2",IF(AO2512&lt;1.5,"1.3～1.4",IF(AO2512&lt;2,"1.5～1.9","2.0以上"))))))</f>
        <v/>
      </c>
      <c r="AQ2512" s="8" t="str">
        <f aca="false">IF(A2512="","",IF(ISNUMBER(SEARCH("2歳",Z2512)),"2歳戦",IF(ISNUMBER(SEARCH("3歳未勝利",Z2512)),"3歳未勝利",IF(ISNUMBER(SEARCH("未勝利",Z2512)),"その他未勝利",IF(ISNUMBER(SEARCH("G1",Z2512)),"G1",IF(ISNUMBER(SEARCH("G2",Z2512)),"G2",IF(ISNUMBER(SEARCH("G3",Z2512)),"G3",IF(ISNUMBER(SEARCH("古馬条件",Z2512)),"古馬条件戦",IF(ISNUMBER(SEARCH("重賞",Z2512)),"重賞","分類不能")))))))))</f>
        <v/>
      </c>
    </row>
    <row r="2513" customFormat="false" ht="15.75" hidden="false" customHeight="false" outlineLevel="0" collapsed="false">
      <c r="AO2513" s="8" t="str">
        <f aca="false">IF(A2513="","",IF(COUNTIFS(全馬データ!$A$2:$A$50000,A2513,全馬データ!$B$2:$B$50000,B2513,全馬データ!$C$2:$C$50000,C2513,全馬データ!$D$2:$D$50000,E2513,全馬データ!$K$2:$K$50000,"&lt;&gt;")=0,"",SUMIFS(全馬データ!$K$2:$K$50000,全馬データ!$A$2:$A$50000,A2513,全馬データ!$B$2:$B$50000,B2513,全馬データ!$C$2:$C$50000,C2513,全馬データ!$D$2:$D$50000,E2513)))</f>
        <v/>
      </c>
      <c r="AP2513" s="8" t="str">
        <f aca="false">IF(A2513="","",IF(AO2513="","欠損",IF(AO2513&lt;=1.1,"1.0～1.1",IF(AO2513&lt;1.3,"1.2",IF(AO2513&lt;1.5,"1.3～1.4",IF(AO2513&lt;2,"1.5～1.9","2.0以上"))))))</f>
        <v/>
      </c>
      <c r="AQ2513" s="8" t="str">
        <f aca="false">IF(A2513="","",IF(ISNUMBER(SEARCH("2歳",Z2513)),"2歳戦",IF(ISNUMBER(SEARCH("3歳未勝利",Z2513)),"3歳未勝利",IF(ISNUMBER(SEARCH("未勝利",Z2513)),"その他未勝利",IF(ISNUMBER(SEARCH("G1",Z2513)),"G1",IF(ISNUMBER(SEARCH("G2",Z2513)),"G2",IF(ISNUMBER(SEARCH("G3",Z2513)),"G3",IF(ISNUMBER(SEARCH("古馬条件",Z2513)),"古馬条件戦",IF(ISNUMBER(SEARCH("重賞",Z2513)),"重賞","分類不能")))))))))</f>
        <v/>
      </c>
    </row>
    <row r="2514" customFormat="false" ht="15.75" hidden="false" customHeight="false" outlineLevel="0" collapsed="false">
      <c r="AO2514" s="8" t="str">
        <f aca="false">IF(A2514="","",IF(COUNTIFS(全馬データ!$A$2:$A$50000,A2514,全馬データ!$B$2:$B$50000,B2514,全馬データ!$C$2:$C$50000,C2514,全馬データ!$D$2:$D$50000,E2514,全馬データ!$K$2:$K$50000,"&lt;&gt;")=0,"",SUMIFS(全馬データ!$K$2:$K$50000,全馬データ!$A$2:$A$50000,A2514,全馬データ!$B$2:$B$50000,B2514,全馬データ!$C$2:$C$50000,C2514,全馬データ!$D$2:$D$50000,E2514)))</f>
        <v/>
      </c>
      <c r="AP2514" s="8" t="str">
        <f aca="false">IF(A2514="","",IF(AO2514="","欠損",IF(AO2514&lt;=1.1,"1.0～1.1",IF(AO2514&lt;1.3,"1.2",IF(AO2514&lt;1.5,"1.3～1.4",IF(AO2514&lt;2,"1.5～1.9","2.0以上"))))))</f>
        <v/>
      </c>
      <c r="AQ2514" s="8" t="str">
        <f aca="false">IF(A2514="","",IF(ISNUMBER(SEARCH("2歳",Z2514)),"2歳戦",IF(ISNUMBER(SEARCH("3歳未勝利",Z2514)),"3歳未勝利",IF(ISNUMBER(SEARCH("未勝利",Z2514)),"その他未勝利",IF(ISNUMBER(SEARCH("G1",Z2514)),"G1",IF(ISNUMBER(SEARCH("G2",Z2514)),"G2",IF(ISNUMBER(SEARCH("G3",Z2514)),"G3",IF(ISNUMBER(SEARCH("古馬条件",Z2514)),"古馬条件戦",IF(ISNUMBER(SEARCH("重賞",Z2514)),"重賞","分類不能")))))))))</f>
        <v/>
      </c>
    </row>
    <row r="2515" customFormat="false" ht="15.75" hidden="false" customHeight="false" outlineLevel="0" collapsed="false">
      <c r="AO2515" s="8" t="str">
        <f aca="false">IF(A2515="","",IF(COUNTIFS(全馬データ!$A$2:$A$50000,A2515,全馬データ!$B$2:$B$50000,B2515,全馬データ!$C$2:$C$50000,C2515,全馬データ!$D$2:$D$50000,E2515,全馬データ!$K$2:$K$50000,"&lt;&gt;")=0,"",SUMIFS(全馬データ!$K$2:$K$50000,全馬データ!$A$2:$A$50000,A2515,全馬データ!$B$2:$B$50000,B2515,全馬データ!$C$2:$C$50000,C2515,全馬データ!$D$2:$D$50000,E2515)))</f>
        <v/>
      </c>
      <c r="AP2515" s="8" t="str">
        <f aca="false">IF(A2515="","",IF(AO2515="","欠損",IF(AO2515&lt;=1.1,"1.0～1.1",IF(AO2515&lt;1.3,"1.2",IF(AO2515&lt;1.5,"1.3～1.4",IF(AO2515&lt;2,"1.5～1.9","2.0以上"))))))</f>
        <v/>
      </c>
      <c r="AQ2515" s="8" t="str">
        <f aca="false">IF(A2515="","",IF(ISNUMBER(SEARCH("2歳",Z2515)),"2歳戦",IF(ISNUMBER(SEARCH("3歳未勝利",Z2515)),"3歳未勝利",IF(ISNUMBER(SEARCH("未勝利",Z2515)),"その他未勝利",IF(ISNUMBER(SEARCH("G1",Z2515)),"G1",IF(ISNUMBER(SEARCH("G2",Z2515)),"G2",IF(ISNUMBER(SEARCH("G3",Z2515)),"G3",IF(ISNUMBER(SEARCH("古馬条件",Z2515)),"古馬条件戦",IF(ISNUMBER(SEARCH("重賞",Z2515)),"重賞","分類不能")))))))))</f>
        <v/>
      </c>
    </row>
    <row r="2516" customFormat="false" ht="15.75" hidden="false" customHeight="false" outlineLevel="0" collapsed="false">
      <c r="AO2516" s="8" t="str">
        <f aca="false">IF(A2516="","",IF(COUNTIFS(全馬データ!$A$2:$A$50000,A2516,全馬データ!$B$2:$B$50000,B2516,全馬データ!$C$2:$C$50000,C2516,全馬データ!$D$2:$D$50000,E2516,全馬データ!$K$2:$K$50000,"&lt;&gt;")=0,"",SUMIFS(全馬データ!$K$2:$K$50000,全馬データ!$A$2:$A$50000,A2516,全馬データ!$B$2:$B$50000,B2516,全馬データ!$C$2:$C$50000,C2516,全馬データ!$D$2:$D$50000,E2516)))</f>
        <v/>
      </c>
      <c r="AP2516" s="8" t="str">
        <f aca="false">IF(A2516="","",IF(AO2516="","欠損",IF(AO2516&lt;=1.1,"1.0～1.1",IF(AO2516&lt;1.3,"1.2",IF(AO2516&lt;1.5,"1.3～1.4",IF(AO2516&lt;2,"1.5～1.9","2.0以上"))))))</f>
        <v/>
      </c>
      <c r="AQ2516" s="8" t="str">
        <f aca="false">IF(A2516="","",IF(ISNUMBER(SEARCH("2歳",Z2516)),"2歳戦",IF(ISNUMBER(SEARCH("3歳未勝利",Z2516)),"3歳未勝利",IF(ISNUMBER(SEARCH("未勝利",Z2516)),"その他未勝利",IF(ISNUMBER(SEARCH("G1",Z2516)),"G1",IF(ISNUMBER(SEARCH("G2",Z2516)),"G2",IF(ISNUMBER(SEARCH("G3",Z2516)),"G3",IF(ISNUMBER(SEARCH("古馬条件",Z2516)),"古馬条件戦",IF(ISNUMBER(SEARCH("重賞",Z2516)),"重賞","分類不能")))))))))</f>
        <v/>
      </c>
    </row>
    <row r="2517" customFormat="false" ht="15.75" hidden="false" customHeight="false" outlineLevel="0" collapsed="false">
      <c r="AO2517" s="8" t="str">
        <f aca="false">IF(A2517="","",IF(COUNTIFS(全馬データ!$A$2:$A$50000,A2517,全馬データ!$B$2:$B$50000,B2517,全馬データ!$C$2:$C$50000,C2517,全馬データ!$D$2:$D$50000,E2517,全馬データ!$K$2:$K$50000,"&lt;&gt;")=0,"",SUMIFS(全馬データ!$K$2:$K$50000,全馬データ!$A$2:$A$50000,A2517,全馬データ!$B$2:$B$50000,B2517,全馬データ!$C$2:$C$50000,C2517,全馬データ!$D$2:$D$50000,E2517)))</f>
        <v/>
      </c>
      <c r="AP2517" s="8" t="str">
        <f aca="false">IF(A2517="","",IF(AO2517="","欠損",IF(AO2517&lt;=1.1,"1.0～1.1",IF(AO2517&lt;1.3,"1.2",IF(AO2517&lt;1.5,"1.3～1.4",IF(AO2517&lt;2,"1.5～1.9","2.0以上"))))))</f>
        <v/>
      </c>
      <c r="AQ2517" s="8" t="str">
        <f aca="false">IF(A2517="","",IF(ISNUMBER(SEARCH("2歳",Z2517)),"2歳戦",IF(ISNUMBER(SEARCH("3歳未勝利",Z2517)),"3歳未勝利",IF(ISNUMBER(SEARCH("未勝利",Z2517)),"その他未勝利",IF(ISNUMBER(SEARCH("G1",Z2517)),"G1",IF(ISNUMBER(SEARCH("G2",Z2517)),"G2",IF(ISNUMBER(SEARCH("G3",Z2517)),"G3",IF(ISNUMBER(SEARCH("古馬条件",Z2517)),"古馬条件戦",IF(ISNUMBER(SEARCH("重賞",Z2517)),"重賞","分類不能")))))))))</f>
        <v/>
      </c>
    </row>
    <row r="2518" customFormat="false" ht="15.75" hidden="false" customHeight="false" outlineLevel="0" collapsed="false">
      <c r="AO2518" s="8" t="str">
        <f aca="false">IF(A2518="","",IF(COUNTIFS(全馬データ!$A$2:$A$50000,A2518,全馬データ!$B$2:$B$50000,B2518,全馬データ!$C$2:$C$50000,C2518,全馬データ!$D$2:$D$50000,E2518,全馬データ!$K$2:$K$50000,"&lt;&gt;")=0,"",SUMIFS(全馬データ!$K$2:$K$50000,全馬データ!$A$2:$A$50000,A2518,全馬データ!$B$2:$B$50000,B2518,全馬データ!$C$2:$C$50000,C2518,全馬データ!$D$2:$D$50000,E2518)))</f>
        <v/>
      </c>
      <c r="AP2518" s="8" t="str">
        <f aca="false">IF(A2518="","",IF(AO2518="","欠損",IF(AO2518&lt;=1.1,"1.0～1.1",IF(AO2518&lt;1.3,"1.2",IF(AO2518&lt;1.5,"1.3～1.4",IF(AO2518&lt;2,"1.5～1.9","2.0以上"))))))</f>
        <v/>
      </c>
      <c r="AQ2518" s="8" t="str">
        <f aca="false">IF(A2518="","",IF(ISNUMBER(SEARCH("2歳",Z2518)),"2歳戦",IF(ISNUMBER(SEARCH("3歳未勝利",Z2518)),"3歳未勝利",IF(ISNUMBER(SEARCH("未勝利",Z2518)),"その他未勝利",IF(ISNUMBER(SEARCH("G1",Z2518)),"G1",IF(ISNUMBER(SEARCH("G2",Z2518)),"G2",IF(ISNUMBER(SEARCH("G3",Z2518)),"G3",IF(ISNUMBER(SEARCH("古馬条件",Z2518)),"古馬条件戦",IF(ISNUMBER(SEARCH("重賞",Z2518)),"重賞","分類不能")))))))))</f>
        <v/>
      </c>
    </row>
    <row r="2519" customFormat="false" ht="15.75" hidden="false" customHeight="false" outlineLevel="0" collapsed="false">
      <c r="AO2519" s="8" t="str">
        <f aca="false">IF(A2519="","",IF(COUNTIFS(全馬データ!$A$2:$A$50000,A2519,全馬データ!$B$2:$B$50000,B2519,全馬データ!$C$2:$C$50000,C2519,全馬データ!$D$2:$D$50000,E2519,全馬データ!$K$2:$K$50000,"&lt;&gt;")=0,"",SUMIFS(全馬データ!$K$2:$K$50000,全馬データ!$A$2:$A$50000,A2519,全馬データ!$B$2:$B$50000,B2519,全馬データ!$C$2:$C$50000,C2519,全馬データ!$D$2:$D$50000,E2519)))</f>
        <v/>
      </c>
      <c r="AP2519" s="8" t="str">
        <f aca="false">IF(A2519="","",IF(AO2519="","欠損",IF(AO2519&lt;=1.1,"1.0～1.1",IF(AO2519&lt;1.3,"1.2",IF(AO2519&lt;1.5,"1.3～1.4",IF(AO2519&lt;2,"1.5～1.9","2.0以上"))))))</f>
        <v/>
      </c>
      <c r="AQ2519" s="8" t="str">
        <f aca="false">IF(A2519="","",IF(ISNUMBER(SEARCH("2歳",Z2519)),"2歳戦",IF(ISNUMBER(SEARCH("3歳未勝利",Z2519)),"3歳未勝利",IF(ISNUMBER(SEARCH("未勝利",Z2519)),"その他未勝利",IF(ISNUMBER(SEARCH("G1",Z2519)),"G1",IF(ISNUMBER(SEARCH("G2",Z2519)),"G2",IF(ISNUMBER(SEARCH("G3",Z2519)),"G3",IF(ISNUMBER(SEARCH("古馬条件",Z2519)),"古馬条件戦",IF(ISNUMBER(SEARCH("重賞",Z2519)),"重賞","分類不能")))))))))</f>
        <v/>
      </c>
    </row>
    <row r="2520" customFormat="false" ht="15.75" hidden="false" customHeight="false" outlineLevel="0" collapsed="false">
      <c r="AO2520" s="8" t="str">
        <f aca="false">IF(A2520="","",IF(COUNTIFS(全馬データ!$A$2:$A$50000,A2520,全馬データ!$B$2:$B$50000,B2520,全馬データ!$C$2:$C$50000,C2520,全馬データ!$D$2:$D$50000,E2520,全馬データ!$K$2:$K$50000,"&lt;&gt;")=0,"",SUMIFS(全馬データ!$K$2:$K$50000,全馬データ!$A$2:$A$50000,A2520,全馬データ!$B$2:$B$50000,B2520,全馬データ!$C$2:$C$50000,C2520,全馬データ!$D$2:$D$50000,E2520)))</f>
        <v/>
      </c>
      <c r="AP2520" s="8" t="str">
        <f aca="false">IF(A2520="","",IF(AO2520="","欠損",IF(AO2520&lt;=1.1,"1.0～1.1",IF(AO2520&lt;1.3,"1.2",IF(AO2520&lt;1.5,"1.3～1.4",IF(AO2520&lt;2,"1.5～1.9","2.0以上"))))))</f>
        <v/>
      </c>
      <c r="AQ2520" s="8" t="str">
        <f aca="false">IF(A2520="","",IF(ISNUMBER(SEARCH("2歳",Z2520)),"2歳戦",IF(ISNUMBER(SEARCH("3歳未勝利",Z2520)),"3歳未勝利",IF(ISNUMBER(SEARCH("未勝利",Z2520)),"その他未勝利",IF(ISNUMBER(SEARCH("G1",Z2520)),"G1",IF(ISNUMBER(SEARCH("G2",Z2520)),"G2",IF(ISNUMBER(SEARCH("G3",Z2520)),"G3",IF(ISNUMBER(SEARCH("古馬条件",Z2520)),"古馬条件戦",IF(ISNUMBER(SEARCH("重賞",Z2520)),"重賞","分類不能")))))))))</f>
        <v/>
      </c>
    </row>
    <row r="2521" customFormat="false" ht="15.75" hidden="false" customHeight="false" outlineLevel="0" collapsed="false">
      <c r="AO2521" s="8" t="str">
        <f aca="false">IF(A2521="","",IF(COUNTIFS(全馬データ!$A$2:$A$50000,A2521,全馬データ!$B$2:$B$50000,B2521,全馬データ!$C$2:$C$50000,C2521,全馬データ!$D$2:$D$50000,E2521,全馬データ!$K$2:$K$50000,"&lt;&gt;")=0,"",SUMIFS(全馬データ!$K$2:$K$50000,全馬データ!$A$2:$A$50000,A2521,全馬データ!$B$2:$B$50000,B2521,全馬データ!$C$2:$C$50000,C2521,全馬データ!$D$2:$D$50000,E2521)))</f>
        <v/>
      </c>
      <c r="AP2521" s="8" t="str">
        <f aca="false">IF(A2521="","",IF(AO2521="","欠損",IF(AO2521&lt;=1.1,"1.0～1.1",IF(AO2521&lt;1.3,"1.2",IF(AO2521&lt;1.5,"1.3～1.4",IF(AO2521&lt;2,"1.5～1.9","2.0以上"))))))</f>
        <v/>
      </c>
      <c r="AQ2521" s="8" t="str">
        <f aca="false">IF(A2521="","",IF(ISNUMBER(SEARCH("2歳",Z2521)),"2歳戦",IF(ISNUMBER(SEARCH("3歳未勝利",Z2521)),"3歳未勝利",IF(ISNUMBER(SEARCH("未勝利",Z2521)),"その他未勝利",IF(ISNUMBER(SEARCH("G1",Z2521)),"G1",IF(ISNUMBER(SEARCH("G2",Z2521)),"G2",IF(ISNUMBER(SEARCH("G3",Z2521)),"G3",IF(ISNUMBER(SEARCH("古馬条件",Z2521)),"古馬条件戦",IF(ISNUMBER(SEARCH("重賞",Z2521)),"重賞","分類不能")))))))))</f>
        <v/>
      </c>
    </row>
    <row r="2522" customFormat="false" ht="15.75" hidden="false" customHeight="false" outlineLevel="0" collapsed="false">
      <c r="AO2522" s="8" t="str">
        <f aca="false">IF(A2522="","",IF(COUNTIFS(全馬データ!$A$2:$A$50000,A2522,全馬データ!$B$2:$B$50000,B2522,全馬データ!$C$2:$C$50000,C2522,全馬データ!$D$2:$D$50000,E2522,全馬データ!$K$2:$K$50000,"&lt;&gt;")=0,"",SUMIFS(全馬データ!$K$2:$K$50000,全馬データ!$A$2:$A$50000,A2522,全馬データ!$B$2:$B$50000,B2522,全馬データ!$C$2:$C$50000,C2522,全馬データ!$D$2:$D$50000,E2522)))</f>
        <v/>
      </c>
      <c r="AP2522" s="8" t="str">
        <f aca="false">IF(A2522="","",IF(AO2522="","欠損",IF(AO2522&lt;=1.1,"1.0～1.1",IF(AO2522&lt;1.3,"1.2",IF(AO2522&lt;1.5,"1.3～1.4",IF(AO2522&lt;2,"1.5～1.9","2.0以上"))))))</f>
        <v/>
      </c>
      <c r="AQ2522" s="8" t="str">
        <f aca="false">IF(A2522="","",IF(ISNUMBER(SEARCH("2歳",Z2522)),"2歳戦",IF(ISNUMBER(SEARCH("3歳未勝利",Z2522)),"3歳未勝利",IF(ISNUMBER(SEARCH("未勝利",Z2522)),"その他未勝利",IF(ISNUMBER(SEARCH("G1",Z2522)),"G1",IF(ISNUMBER(SEARCH("G2",Z2522)),"G2",IF(ISNUMBER(SEARCH("G3",Z2522)),"G3",IF(ISNUMBER(SEARCH("古馬条件",Z2522)),"古馬条件戦",IF(ISNUMBER(SEARCH("重賞",Z2522)),"重賞","分類不能")))))))))</f>
        <v/>
      </c>
    </row>
    <row r="2523" customFormat="false" ht="15.75" hidden="false" customHeight="false" outlineLevel="0" collapsed="false">
      <c r="AO2523" s="8" t="str">
        <f aca="false">IF(A2523="","",IF(COUNTIFS(全馬データ!$A$2:$A$50000,A2523,全馬データ!$B$2:$B$50000,B2523,全馬データ!$C$2:$C$50000,C2523,全馬データ!$D$2:$D$50000,E2523,全馬データ!$K$2:$K$50000,"&lt;&gt;")=0,"",SUMIFS(全馬データ!$K$2:$K$50000,全馬データ!$A$2:$A$50000,A2523,全馬データ!$B$2:$B$50000,B2523,全馬データ!$C$2:$C$50000,C2523,全馬データ!$D$2:$D$50000,E2523)))</f>
        <v/>
      </c>
      <c r="AP2523" s="8" t="str">
        <f aca="false">IF(A2523="","",IF(AO2523="","欠損",IF(AO2523&lt;=1.1,"1.0～1.1",IF(AO2523&lt;1.3,"1.2",IF(AO2523&lt;1.5,"1.3～1.4",IF(AO2523&lt;2,"1.5～1.9","2.0以上"))))))</f>
        <v/>
      </c>
      <c r="AQ2523" s="8" t="str">
        <f aca="false">IF(A2523="","",IF(ISNUMBER(SEARCH("2歳",Z2523)),"2歳戦",IF(ISNUMBER(SEARCH("3歳未勝利",Z2523)),"3歳未勝利",IF(ISNUMBER(SEARCH("未勝利",Z2523)),"その他未勝利",IF(ISNUMBER(SEARCH("G1",Z2523)),"G1",IF(ISNUMBER(SEARCH("G2",Z2523)),"G2",IF(ISNUMBER(SEARCH("G3",Z2523)),"G3",IF(ISNUMBER(SEARCH("古馬条件",Z2523)),"古馬条件戦",IF(ISNUMBER(SEARCH("重賞",Z2523)),"重賞","分類不能")))))))))</f>
        <v/>
      </c>
    </row>
    <row r="2524" customFormat="false" ht="15.75" hidden="false" customHeight="false" outlineLevel="0" collapsed="false">
      <c r="AO2524" s="8" t="str">
        <f aca="false">IF(A2524="","",IF(COUNTIFS(全馬データ!$A$2:$A$50000,A2524,全馬データ!$B$2:$B$50000,B2524,全馬データ!$C$2:$C$50000,C2524,全馬データ!$D$2:$D$50000,E2524,全馬データ!$K$2:$K$50000,"&lt;&gt;")=0,"",SUMIFS(全馬データ!$K$2:$K$50000,全馬データ!$A$2:$A$50000,A2524,全馬データ!$B$2:$B$50000,B2524,全馬データ!$C$2:$C$50000,C2524,全馬データ!$D$2:$D$50000,E2524)))</f>
        <v/>
      </c>
      <c r="AP2524" s="8" t="str">
        <f aca="false">IF(A2524="","",IF(AO2524="","欠損",IF(AO2524&lt;=1.1,"1.0～1.1",IF(AO2524&lt;1.3,"1.2",IF(AO2524&lt;1.5,"1.3～1.4",IF(AO2524&lt;2,"1.5～1.9","2.0以上"))))))</f>
        <v/>
      </c>
      <c r="AQ2524" s="8" t="str">
        <f aca="false">IF(A2524="","",IF(ISNUMBER(SEARCH("2歳",Z2524)),"2歳戦",IF(ISNUMBER(SEARCH("3歳未勝利",Z2524)),"3歳未勝利",IF(ISNUMBER(SEARCH("未勝利",Z2524)),"その他未勝利",IF(ISNUMBER(SEARCH("G1",Z2524)),"G1",IF(ISNUMBER(SEARCH("G2",Z2524)),"G2",IF(ISNUMBER(SEARCH("G3",Z2524)),"G3",IF(ISNUMBER(SEARCH("古馬条件",Z2524)),"古馬条件戦",IF(ISNUMBER(SEARCH("重賞",Z2524)),"重賞","分類不能")))))))))</f>
        <v/>
      </c>
    </row>
    <row r="2525" customFormat="false" ht="15.75" hidden="false" customHeight="false" outlineLevel="0" collapsed="false">
      <c r="AO2525" s="8" t="str">
        <f aca="false">IF(A2525="","",IF(COUNTIFS(全馬データ!$A$2:$A$50000,A2525,全馬データ!$B$2:$B$50000,B2525,全馬データ!$C$2:$C$50000,C2525,全馬データ!$D$2:$D$50000,E2525,全馬データ!$K$2:$K$50000,"&lt;&gt;")=0,"",SUMIFS(全馬データ!$K$2:$K$50000,全馬データ!$A$2:$A$50000,A2525,全馬データ!$B$2:$B$50000,B2525,全馬データ!$C$2:$C$50000,C2525,全馬データ!$D$2:$D$50000,E2525)))</f>
        <v/>
      </c>
      <c r="AP2525" s="8" t="str">
        <f aca="false">IF(A2525="","",IF(AO2525="","欠損",IF(AO2525&lt;=1.1,"1.0～1.1",IF(AO2525&lt;1.3,"1.2",IF(AO2525&lt;1.5,"1.3～1.4",IF(AO2525&lt;2,"1.5～1.9","2.0以上"))))))</f>
        <v/>
      </c>
      <c r="AQ2525" s="8" t="str">
        <f aca="false">IF(A2525="","",IF(ISNUMBER(SEARCH("2歳",Z2525)),"2歳戦",IF(ISNUMBER(SEARCH("3歳未勝利",Z2525)),"3歳未勝利",IF(ISNUMBER(SEARCH("未勝利",Z2525)),"その他未勝利",IF(ISNUMBER(SEARCH("G1",Z2525)),"G1",IF(ISNUMBER(SEARCH("G2",Z2525)),"G2",IF(ISNUMBER(SEARCH("G3",Z2525)),"G3",IF(ISNUMBER(SEARCH("古馬条件",Z2525)),"古馬条件戦",IF(ISNUMBER(SEARCH("重賞",Z2525)),"重賞","分類不能")))))))))</f>
        <v/>
      </c>
    </row>
    <row r="2526" customFormat="false" ht="15.75" hidden="false" customHeight="false" outlineLevel="0" collapsed="false">
      <c r="AO2526" s="8" t="str">
        <f aca="false">IF(A2526="","",IF(COUNTIFS(全馬データ!$A$2:$A$50000,A2526,全馬データ!$B$2:$B$50000,B2526,全馬データ!$C$2:$C$50000,C2526,全馬データ!$D$2:$D$50000,E2526,全馬データ!$K$2:$K$50000,"&lt;&gt;")=0,"",SUMIFS(全馬データ!$K$2:$K$50000,全馬データ!$A$2:$A$50000,A2526,全馬データ!$B$2:$B$50000,B2526,全馬データ!$C$2:$C$50000,C2526,全馬データ!$D$2:$D$50000,E2526)))</f>
        <v/>
      </c>
      <c r="AP2526" s="8" t="str">
        <f aca="false">IF(A2526="","",IF(AO2526="","欠損",IF(AO2526&lt;=1.1,"1.0～1.1",IF(AO2526&lt;1.3,"1.2",IF(AO2526&lt;1.5,"1.3～1.4",IF(AO2526&lt;2,"1.5～1.9","2.0以上"))))))</f>
        <v/>
      </c>
      <c r="AQ2526" s="8" t="str">
        <f aca="false">IF(A2526="","",IF(ISNUMBER(SEARCH("2歳",Z2526)),"2歳戦",IF(ISNUMBER(SEARCH("3歳未勝利",Z2526)),"3歳未勝利",IF(ISNUMBER(SEARCH("未勝利",Z2526)),"その他未勝利",IF(ISNUMBER(SEARCH("G1",Z2526)),"G1",IF(ISNUMBER(SEARCH("G2",Z2526)),"G2",IF(ISNUMBER(SEARCH("G3",Z2526)),"G3",IF(ISNUMBER(SEARCH("古馬条件",Z2526)),"古馬条件戦",IF(ISNUMBER(SEARCH("重賞",Z2526)),"重賞","分類不能")))))))))</f>
        <v/>
      </c>
    </row>
    <row r="2527" customFormat="false" ht="15.75" hidden="false" customHeight="false" outlineLevel="0" collapsed="false">
      <c r="AO2527" s="8" t="str">
        <f aca="false">IF(A2527="","",IF(COUNTIFS(全馬データ!$A$2:$A$50000,A2527,全馬データ!$B$2:$B$50000,B2527,全馬データ!$C$2:$C$50000,C2527,全馬データ!$D$2:$D$50000,E2527,全馬データ!$K$2:$K$50000,"&lt;&gt;")=0,"",SUMIFS(全馬データ!$K$2:$K$50000,全馬データ!$A$2:$A$50000,A2527,全馬データ!$B$2:$B$50000,B2527,全馬データ!$C$2:$C$50000,C2527,全馬データ!$D$2:$D$50000,E2527)))</f>
        <v/>
      </c>
      <c r="AP2527" s="8" t="str">
        <f aca="false">IF(A2527="","",IF(AO2527="","欠損",IF(AO2527&lt;=1.1,"1.0～1.1",IF(AO2527&lt;1.3,"1.2",IF(AO2527&lt;1.5,"1.3～1.4",IF(AO2527&lt;2,"1.5～1.9","2.0以上"))))))</f>
        <v/>
      </c>
      <c r="AQ2527" s="8" t="str">
        <f aca="false">IF(A2527="","",IF(ISNUMBER(SEARCH("2歳",Z2527)),"2歳戦",IF(ISNUMBER(SEARCH("3歳未勝利",Z2527)),"3歳未勝利",IF(ISNUMBER(SEARCH("未勝利",Z2527)),"その他未勝利",IF(ISNUMBER(SEARCH("G1",Z2527)),"G1",IF(ISNUMBER(SEARCH("G2",Z2527)),"G2",IF(ISNUMBER(SEARCH("G3",Z2527)),"G3",IF(ISNUMBER(SEARCH("古馬条件",Z2527)),"古馬条件戦",IF(ISNUMBER(SEARCH("重賞",Z2527)),"重賞","分類不能")))))))))</f>
        <v/>
      </c>
    </row>
    <row r="2528" customFormat="false" ht="15.75" hidden="false" customHeight="false" outlineLevel="0" collapsed="false">
      <c r="AO2528" s="8" t="str">
        <f aca="false">IF(A2528="","",IF(COUNTIFS(全馬データ!$A$2:$A$50000,A2528,全馬データ!$B$2:$B$50000,B2528,全馬データ!$C$2:$C$50000,C2528,全馬データ!$D$2:$D$50000,E2528,全馬データ!$K$2:$K$50000,"&lt;&gt;")=0,"",SUMIFS(全馬データ!$K$2:$K$50000,全馬データ!$A$2:$A$50000,A2528,全馬データ!$B$2:$B$50000,B2528,全馬データ!$C$2:$C$50000,C2528,全馬データ!$D$2:$D$50000,E2528)))</f>
        <v/>
      </c>
      <c r="AP2528" s="8" t="str">
        <f aca="false">IF(A2528="","",IF(AO2528="","欠損",IF(AO2528&lt;=1.1,"1.0～1.1",IF(AO2528&lt;1.3,"1.2",IF(AO2528&lt;1.5,"1.3～1.4",IF(AO2528&lt;2,"1.5～1.9","2.0以上"))))))</f>
        <v/>
      </c>
      <c r="AQ2528" s="8" t="str">
        <f aca="false">IF(A2528="","",IF(ISNUMBER(SEARCH("2歳",Z2528)),"2歳戦",IF(ISNUMBER(SEARCH("3歳未勝利",Z2528)),"3歳未勝利",IF(ISNUMBER(SEARCH("未勝利",Z2528)),"その他未勝利",IF(ISNUMBER(SEARCH("G1",Z2528)),"G1",IF(ISNUMBER(SEARCH("G2",Z2528)),"G2",IF(ISNUMBER(SEARCH("G3",Z2528)),"G3",IF(ISNUMBER(SEARCH("古馬条件",Z2528)),"古馬条件戦",IF(ISNUMBER(SEARCH("重賞",Z2528)),"重賞","分類不能")))))))))</f>
        <v/>
      </c>
    </row>
    <row r="2529" customFormat="false" ht="15.75" hidden="false" customHeight="false" outlineLevel="0" collapsed="false">
      <c r="AO2529" s="8" t="str">
        <f aca="false">IF(A2529="","",IF(COUNTIFS(全馬データ!$A$2:$A$50000,A2529,全馬データ!$B$2:$B$50000,B2529,全馬データ!$C$2:$C$50000,C2529,全馬データ!$D$2:$D$50000,E2529,全馬データ!$K$2:$K$50000,"&lt;&gt;")=0,"",SUMIFS(全馬データ!$K$2:$K$50000,全馬データ!$A$2:$A$50000,A2529,全馬データ!$B$2:$B$50000,B2529,全馬データ!$C$2:$C$50000,C2529,全馬データ!$D$2:$D$50000,E2529)))</f>
        <v/>
      </c>
      <c r="AP2529" s="8" t="str">
        <f aca="false">IF(A2529="","",IF(AO2529="","欠損",IF(AO2529&lt;=1.1,"1.0～1.1",IF(AO2529&lt;1.3,"1.2",IF(AO2529&lt;1.5,"1.3～1.4",IF(AO2529&lt;2,"1.5～1.9","2.0以上"))))))</f>
        <v/>
      </c>
      <c r="AQ2529" s="8" t="str">
        <f aca="false">IF(A2529="","",IF(ISNUMBER(SEARCH("2歳",Z2529)),"2歳戦",IF(ISNUMBER(SEARCH("3歳未勝利",Z2529)),"3歳未勝利",IF(ISNUMBER(SEARCH("未勝利",Z2529)),"その他未勝利",IF(ISNUMBER(SEARCH("G1",Z2529)),"G1",IF(ISNUMBER(SEARCH("G2",Z2529)),"G2",IF(ISNUMBER(SEARCH("G3",Z2529)),"G3",IF(ISNUMBER(SEARCH("古馬条件",Z2529)),"古馬条件戦",IF(ISNUMBER(SEARCH("重賞",Z2529)),"重賞","分類不能")))))))))</f>
        <v/>
      </c>
    </row>
    <row r="2530" customFormat="false" ht="15.75" hidden="false" customHeight="false" outlineLevel="0" collapsed="false">
      <c r="AO2530" s="8" t="str">
        <f aca="false">IF(A2530="","",IF(COUNTIFS(全馬データ!$A$2:$A$50000,A2530,全馬データ!$B$2:$B$50000,B2530,全馬データ!$C$2:$C$50000,C2530,全馬データ!$D$2:$D$50000,E2530,全馬データ!$K$2:$K$50000,"&lt;&gt;")=0,"",SUMIFS(全馬データ!$K$2:$K$50000,全馬データ!$A$2:$A$50000,A2530,全馬データ!$B$2:$B$50000,B2530,全馬データ!$C$2:$C$50000,C2530,全馬データ!$D$2:$D$50000,E2530)))</f>
        <v/>
      </c>
      <c r="AP2530" s="8" t="str">
        <f aca="false">IF(A2530="","",IF(AO2530="","欠損",IF(AO2530&lt;=1.1,"1.0～1.1",IF(AO2530&lt;1.3,"1.2",IF(AO2530&lt;1.5,"1.3～1.4",IF(AO2530&lt;2,"1.5～1.9","2.0以上"))))))</f>
        <v/>
      </c>
      <c r="AQ2530" s="8" t="str">
        <f aca="false">IF(A2530="","",IF(ISNUMBER(SEARCH("2歳",Z2530)),"2歳戦",IF(ISNUMBER(SEARCH("3歳未勝利",Z2530)),"3歳未勝利",IF(ISNUMBER(SEARCH("未勝利",Z2530)),"その他未勝利",IF(ISNUMBER(SEARCH("G1",Z2530)),"G1",IF(ISNUMBER(SEARCH("G2",Z2530)),"G2",IF(ISNUMBER(SEARCH("G3",Z2530)),"G3",IF(ISNUMBER(SEARCH("古馬条件",Z2530)),"古馬条件戦",IF(ISNUMBER(SEARCH("重賞",Z2530)),"重賞","分類不能")))))))))</f>
        <v/>
      </c>
    </row>
    <row r="2531" customFormat="false" ht="15.75" hidden="false" customHeight="false" outlineLevel="0" collapsed="false">
      <c r="AO2531" s="8" t="str">
        <f aca="false">IF(A2531="","",IF(COUNTIFS(全馬データ!$A$2:$A$50000,A2531,全馬データ!$B$2:$B$50000,B2531,全馬データ!$C$2:$C$50000,C2531,全馬データ!$D$2:$D$50000,E2531,全馬データ!$K$2:$K$50000,"&lt;&gt;")=0,"",SUMIFS(全馬データ!$K$2:$K$50000,全馬データ!$A$2:$A$50000,A2531,全馬データ!$B$2:$B$50000,B2531,全馬データ!$C$2:$C$50000,C2531,全馬データ!$D$2:$D$50000,E2531)))</f>
        <v/>
      </c>
      <c r="AP2531" s="8" t="str">
        <f aca="false">IF(A2531="","",IF(AO2531="","欠損",IF(AO2531&lt;=1.1,"1.0～1.1",IF(AO2531&lt;1.3,"1.2",IF(AO2531&lt;1.5,"1.3～1.4",IF(AO2531&lt;2,"1.5～1.9","2.0以上"))))))</f>
        <v/>
      </c>
      <c r="AQ2531" s="8" t="str">
        <f aca="false">IF(A2531="","",IF(ISNUMBER(SEARCH("2歳",Z2531)),"2歳戦",IF(ISNUMBER(SEARCH("3歳未勝利",Z2531)),"3歳未勝利",IF(ISNUMBER(SEARCH("未勝利",Z2531)),"その他未勝利",IF(ISNUMBER(SEARCH("G1",Z2531)),"G1",IF(ISNUMBER(SEARCH("G2",Z2531)),"G2",IF(ISNUMBER(SEARCH("G3",Z2531)),"G3",IF(ISNUMBER(SEARCH("古馬条件",Z2531)),"古馬条件戦",IF(ISNUMBER(SEARCH("重賞",Z2531)),"重賞","分類不能")))))))))</f>
        <v/>
      </c>
    </row>
    <row r="2532" customFormat="false" ht="15.75" hidden="false" customHeight="false" outlineLevel="0" collapsed="false">
      <c r="AO2532" s="8" t="str">
        <f aca="false">IF(A2532="","",IF(COUNTIFS(全馬データ!$A$2:$A$50000,A2532,全馬データ!$B$2:$B$50000,B2532,全馬データ!$C$2:$C$50000,C2532,全馬データ!$D$2:$D$50000,E2532,全馬データ!$K$2:$K$50000,"&lt;&gt;")=0,"",SUMIFS(全馬データ!$K$2:$K$50000,全馬データ!$A$2:$A$50000,A2532,全馬データ!$B$2:$B$50000,B2532,全馬データ!$C$2:$C$50000,C2532,全馬データ!$D$2:$D$50000,E2532)))</f>
        <v/>
      </c>
      <c r="AP2532" s="8" t="str">
        <f aca="false">IF(A2532="","",IF(AO2532="","欠損",IF(AO2532&lt;=1.1,"1.0～1.1",IF(AO2532&lt;1.3,"1.2",IF(AO2532&lt;1.5,"1.3～1.4",IF(AO2532&lt;2,"1.5～1.9","2.0以上"))))))</f>
        <v/>
      </c>
      <c r="AQ2532" s="8" t="str">
        <f aca="false">IF(A2532="","",IF(ISNUMBER(SEARCH("2歳",Z2532)),"2歳戦",IF(ISNUMBER(SEARCH("3歳未勝利",Z2532)),"3歳未勝利",IF(ISNUMBER(SEARCH("未勝利",Z2532)),"その他未勝利",IF(ISNUMBER(SEARCH("G1",Z2532)),"G1",IF(ISNUMBER(SEARCH("G2",Z2532)),"G2",IF(ISNUMBER(SEARCH("G3",Z2532)),"G3",IF(ISNUMBER(SEARCH("古馬条件",Z2532)),"古馬条件戦",IF(ISNUMBER(SEARCH("重賞",Z2532)),"重賞","分類不能")))))))))</f>
        <v/>
      </c>
    </row>
    <row r="2533" customFormat="false" ht="15.75" hidden="false" customHeight="false" outlineLevel="0" collapsed="false">
      <c r="AO2533" s="8" t="str">
        <f aca="false">IF(A2533="","",IF(COUNTIFS(全馬データ!$A$2:$A$50000,A2533,全馬データ!$B$2:$B$50000,B2533,全馬データ!$C$2:$C$50000,C2533,全馬データ!$D$2:$D$50000,E2533,全馬データ!$K$2:$K$50000,"&lt;&gt;")=0,"",SUMIFS(全馬データ!$K$2:$K$50000,全馬データ!$A$2:$A$50000,A2533,全馬データ!$B$2:$B$50000,B2533,全馬データ!$C$2:$C$50000,C2533,全馬データ!$D$2:$D$50000,E2533)))</f>
        <v/>
      </c>
      <c r="AP2533" s="8" t="str">
        <f aca="false">IF(A2533="","",IF(AO2533="","欠損",IF(AO2533&lt;=1.1,"1.0～1.1",IF(AO2533&lt;1.3,"1.2",IF(AO2533&lt;1.5,"1.3～1.4",IF(AO2533&lt;2,"1.5～1.9","2.0以上"))))))</f>
        <v/>
      </c>
      <c r="AQ2533" s="8" t="str">
        <f aca="false">IF(A2533="","",IF(ISNUMBER(SEARCH("2歳",Z2533)),"2歳戦",IF(ISNUMBER(SEARCH("3歳未勝利",Z2533)),"3歳未勝利",IF(ISNUMBER(SEARCH("未勝利",Z2533)),"その他未勝利",IF(ISNUMBER(SEARCH("G1",Z2533)),"G1",IF(ISNUMBER(SEARCH("G2",Z2533)),"G2",IF(ISNUMBER(SEARCH("G3",Z2533)),"G3",IF(ISNUMBER(SEARCH("古馬条件",Z2533)),"古馬条件戦",IF(ISNUMBER(SEARCH("重賞",Z2533)),"重賞","分類不能")))))))))</f>
        <v/>
      </c>
    </row>
    <row r="2534" customFormat="false" ht="15.75" hidden="false" customHeight="false" outlineLevel="0" collapsed="false">
      <c r="AO2534" s="8" t="str">
        <f aca="false">IF(A2534="","",IF(COUNTIFS(全馬データ!$A$2:$A$50000,A2534,全馬データ!$B$2:$B$50000,B2534,全馬データ!$C$2:$C$50000,C2534,全馬データ!$D$2:$D$50000,E2534,全馬データ!$K$2:$K$50000,"&lt;&gt;")=0,"",SUMIFS(全馬データ!$K$2:$K$50000,全馬データ!$A$2:$A$50000,A2534,全馬データ!$B$2:$B$50000,B2534,全馬データ!$C$2:$C$50000,C2534,全馬データ!$D$2:$D$50000,E2534)))</f>
        <v/>
      </c>
      <c r="AP2534" s="8" t="str">
        <f aca="false">IF(A2534="","",IF(AO2534="","欠損",IF(AO2534&lt;=1.1,"1.0～1.1",IF(AO2534&lt;1.3,"1.2",IF(AO2534&lt;1.5,"1.3～1.4",IF(AO2534&lt;2,"1.5～1.9","2.0以上"))))))</f>
        <v/>
      </c>
      <c r="AQ2534" s="8" t="str">
        <f aca="false">IF(A2534="","",IF(ISNUMBER(SEARCH("2歳",Z2534)),"2歳戦",IF(ISNUMBER(SEARCH("3歳未勝利",Z2534)),"3歳未勝利",IF(ISNUMBER(SEARCH("未勝利",Z2534)),"その他未勝利",IF(ISNUMBER(SEARCH("G1",Z2534)),"G1",IF(ISNUMBER(SEARCH("G2",Z2534)),"G2",IF(ISNUMBER(SEARCH("G3",Z2534)),"G3",IF(ISNUMBER(SEARCH("古馬条件",Z2534)),"古馬条件戦",IF(ISNUMBER(SEARCH("重賞",Z2534)),"重賞","分類不能")))))))))</f>
        <v/>
      </c>
    </row>
    <row r="2535" customFormat="false" ht="15.75" hidden="false" customHeight="false" outlineLevel="0" collapsed="false">
      <c r="AO2535" s="8" t="str">
        <f aca="false">IF(A2535="","",IF(COUNTIFS(全馬データ!$A$2:$A$50000,A2535,全馬データ!$B$2:$B$50000,B2535,全馬データ!$C$2:$C$50000,C2535,全馬データ!$D$2:$D$50000,E2535,全馬データ!$K$2:$K$50000,"&lt;&gt;")=0,"",SUMIFS(全馬データ!$K$2:$K$50000,全馬データ!$A$2:$A$50000,A2535,全馬データ!$B$2:$B$50000,B2535,全馬データ!$C$2:$C$50000,C2535,全馬データ!$D$2:$D$50000,E2535)))</f>
        <v/>
      </c>
      <c r="AP2535" s="8" t="str">
        <f aca="false">IF(A2535="","",IF(AO2535="","欠損",IF(AO2535&lt;=1.1,"1.0～1.1",IF(AO2535&lt;1.3,"1.2",IF(AO2535&lt;1.5,"1.3～1.4",IF(AO2535&lt;2,"1.5～1.9","2.0以上"))))))</f>
        <v/>
      </c>
      <c r="AQ2535" s="8" t="str">
        <f aca="false">IF(A2535="","",IF(ISNUMBER(SEARCH("2歳",Z2535)),"2歳戦",IF(ISNUMBER(SEARCH("3歳未勝利",Z2535)),"3歳未勝利",IF(ISNUMBER(SEARCH("未勝利",Z2535)),"その他未勝利",IF(ISNUMBER(SEARCH("G1",Z2535)),"G1",IF(ISNUMBER(SEARCH("G2",Z2535)),"G2",IF(ISNUMBER(SEARCH("G3",Z2535)),"G3",IF(ISNUMBER(SEARCH("古馬条件",Z2535)),"古馬条件戦",IF(ISNUMBER(SEARCH("重賞",Z2535)),"重賞","分類不能")))))))))</f>
        <v/>
      </c>
    </row>
    <row r="2536" customFormat="false" ht="15.75" hidden="false" customHeight="false" outlineLevel="0" collapsed="false">
      <c r="AO2536" s="8" t="str">
        <f aca="false">IF(A2536="","",IF(COUNTIFS(全馬データ!$A$2:$A$50000,A2536,全馬データ!$B$2:$B$50000,B2536,全馬データ!$C$2:$C$50000,C2536,全馬データ!$D$2:$D$50000,E2536,全馬データ!$K$2:$K$50000,"&lt;&gt;")=0,"",SUMIFS(全馬データ!$K$2:$K$50000,全馬データ!$A$2:$A$50000,A2536,全馬データ!$B$2:$B$50000,B2536,全馬データ!$C$2:$C$50000,C2536,全馬データ!$D$2:$D$50000,E2536)))</f>
        <v/>
      </c>
      <c r="AP2536" s="8" t="str">
        <f aca="false">IF(A2536="","",IF(AO2536="","欠損",IF(AO2536&lt;=1.1,"1.0～1.1",IF(AO2536&lt;1.3,"1.2",IF(AO2536&lt;1.5,"1.3～1.4",IF(AO2536&lt;2,"1.5～1.9","2.0以上"))))))</f>
        <v/>
      </c>
      <c r="AQ2536" s="8" t="str">
        <f aca="false">IF(A2536="","",IF(ISNUMBER(SEARCH("2歳",Z2536)),"2歳戦",IF(ISNUMBER(SEARCH("3歳未勝利",Z2536)),"3歳未勝利",IF(ISNUMBER(SEARCH("未勝利",Z2536)),"その他未勝利",IF(ISNUMBER(SEARCH("G1",Z2536)),"G1",IF(ISNUMBER(SEARCH("G2",Z2536)),"G2",IF(ISNUMBER(SEARCH("G3",Z2536)),"G3",IF(ISNUMBER(SEARCH("古馬条件",Z2536)),"古馬条件戦",IF(ISNUMBER(SEARCH("重賞",Z2536)),"重賞","分類不能")))))))))</f>
        <v/>
      </c>
    </row>
    <row r="2537" customFormat="false" ht="15.75" hidden="false" customHeight="false" outlineLevel="0" collapsed="false">
      <c r="AO2537" s="8" t="str">
        <f aca="false">IF(A2537="","",IF(COUNTIFS(全馬データ!$A$2:$A$50000,A2537,全馬データ!$B$2:$B$50000,B2537,全馬データ!$C$2:$C$50000,C2537,全馬データ!$D$2:$D$50000,E2537,全馬データ!$K$2:$K$50000,"&lt;&gt;")=0,"",SUMIFS(全馬データ!$K$2:$K$50000,全馬データ!$A$2:$A$50000,A2537,全馬データ!$B$2:$B$50000,B2537,全馬データ!$C$2:$C$50000,C2537,全馬データ!$D$2:$D$50000,E2537)))</f>
        <v/>
      </c>
      <c r="AP2537" s="8" t="str">
        <f aca="false">IF(A2537="","",IF(AO2537="","欠損",IF(AO2537&lt;=1.1,"1.0～1.1",IF(AO2537&lt;1.3,"1.2",IF(AO2537&lt;1.5,"1.3～1.4",IF(AO2537&lt;2,"1.5～1.9","2.0以上"))))))</f>
        <v/>
      </c>
      <c r="AQ2537" s="8" t="str">
        <f aca="false">IF(A2537="","",IF(ISNUMBER(SEARCH("2歳",Z2537)),"2歳戦",IF(ISNUMBER(SEARCH("3歳未勝利",Z2537)),"3歳未勝利",IF(ISNUMBER(SEARCH("未勝利",Z2537)),"その他未勝利",IF(ISNUMBER(SEARCH("G1",Z2537)),"G1",IF(ISNUMBER(SEARCH("G2",Z2537)),"G2",IF(ISNUMBER(SEARCH("G3",Z2537)),"G3",IF(ISNUMBER(SEARCH("古馬条件",Z2537)),"古馬条件戦",IF(ISNUMBER(SEARCH("重賞",Z2537)),"重賞","分類不能")))))))))</f>
        <v/>
      </c>
    </row>
    <row r="2538" customFormat="false" ht="15.75" hidden="false" customHeight="false" outlineLevel="0" collapsed="false">
      <c r="AO2538" s="8" t="str">
        <f aca="false">IF(A2538="","",IF(COUNTIFS(全馬データ!$A$2:$A$50000,A2538,全馬データ!$B$2:$B$50000,B2538,全馬データ!$C$2:$C$50000,C2538,全馬データ!$D$2:$D$50000,E2538,全馬データ!$K$2:$K$50000,"&lt;&gt;")=0,"",SUMIFS(全馬データ!$K$2:$K$50000,全馬データ!$A$2:$A$50000,A2538,全馬データ!$B$2:$B$50000,B2538,全馬データ!$C$2:$C$50000,C2538,全馬データ!$D$2:$D$50000,E2538)))</f>
        <v/>
      </c>
      <c r="AP2538" s="8" t="str">
        <f aca="false">IF(A2538="","",IF(AO2538="","欠損",IF(AO2538&lt;=1.1,"1.0～1.1",IF(AO2538&lt;1.3,"1.2",IF(AO2538&lt;1.5,"1.3～1.4",IF(AO2538&lt;2,"1.5～1.9","2.0以上"))))))</f>
        <v/>
      </c>
      <c r="AQ2538" s="8" t="str">
        <f aca="false">IF(A2538="","",IF(ISNUMBER(SEARCH("2歳",Z2538)),"2歳戦",IF(ISNUMBER(SEARCH("3歳未勝利",Z2538)),"3歳未勝利",IF(ISNUMBER(SEARCH("未勝利",Z2538)),"その他未勝利",IF(ISNUMBER(SEARCH("G1",Z2538)),"G1",IF(ISNUMBER(SEARCH("G2",Z2538)),"G2",IF(ISNUMBER(SEARCH("G3",Z2538)),"G3",IF(ISNUMBER(SEARCH("古馬条件",Z2538)),"古馬条件戦",IF(ISNUMBER(SEARCH("重賞",Z2538)),"重賞","分類不能")))))))))</f>
        <v/>
      </c>
    </row>
    <row r="2539" customFormat="false" ht="15.75" hidden="false" customHeight="false" outlineLevel="0" collapsed="false">
      <c r="AO2539" s="8" t="str">
        <f aca="false">IF(A2539="","",IF(COUNTIFS(全馬データ!$A$2:$A$50000,A2539,全馬データ!$B$2:$B$50000,B2539,全馬データ!$C$2:$C$50000,C2539,全馬データ!$D$2:$D$50000,E2539,全馬データ!$K$2:$K$50000,"&lt;&gt;")=0,"",SUMIFS(全馬データ!$K$2:$K$50000,全馬データ!$A$2:$A$50000,A2539,全馬データ!$B$2:$B$50000,B2539,全馬データ!$C$2:$C$50000,C2539,全馬データ!$D$2:$D$50000,E2539)))</f>
        <v/>
      </c>
      <c r="AP2539" s="8" t="str">
        <f aca="false">IF(A2539="","",IF(AO2539="","欠損",IF(AO2539&lt;=1.1,"1.0～1.1",IF(AO2539&lt;1.3,"1.2",IF(AO2539&lt;1.5,"1.3～1.4",IF(AO2539&lt;2,"1.5～1.9","2.0以上"))))))</f>
        <v/>
      </c>
      <c r="AQ2539" s="8" t="str">
        <f aca="false">IF(A2539="","",IF(ISNUMBER(SEARCH("2歳",Z2539)),"2歳戦",IF(ISNUMBER(SEARCH("3歳未勝利",Z2539)),"3歳未勝利",IF(ISNUMBER(SEARCH("未勝利",Z2539)),"その他未勝利",IF(ISNUMBER(SEARCH("G1",Z2539)),"G1",IF(ISNUMBER(SEARCH("G2",Z2539)),"G2",IF(ISNUMBER(SEARCH("G3",Z2539)),"G3",IF(ISNUMBER(SEARCH("古馬条件",Z2539)),"古馬条件戦",IF(ISNUMBER(SEARCH("重賞",Z2539)),"重賞","分類不能")))))))))</f>
        <v/>
      </c>
    </row>
    <row r="2540" customFormat="false" ht="15.75" hidden="false" customHeight="false" outlineLevel="0" collapsed="false">
      <c r="AO2540" s="8" t="str">
        <f aca="false">IF(A2540="","",IF(COUNTIFS(全馬データ!$A$2:$A$50000,A2540,全馬データ!$B$2:$B$50000,B2540,全馬データ!$C$2:$C$50000,C2540,全馬データ!$D$2:$D$50000,E2540,全馬データ!$K$2:$K$50000,"&lt;&gt;")=0,"",SUMIFS(全馬データ!$K$2:$K$50000,全馬データ!$A$2:$A$50000,A2540,全馬データ!$B$2:$B$50000,B2540,全馬データ!$C$2:$C$50000,C2540,全馬データ!$D$2:$D$50000,E2540)))</f>
        <v/>
      </c>
      <c r="AP2540" s="8" t="str">
        <f aca="false">IF(A2540="","",IF(AO2540="","欠損",IF(AO2540&lt;=1.1,"1.0～1.1",IF(AO2540&lt;1.3,"1.2",IF(AO2540&lt;1.5,"1.3～1.4",IF(AO2540&lt;2,"1.5～1.9","2.0以上"))))))</f>
        <v/>
      </c>
      <c r="AQ2540" s="8" t="str">
        <f aca="false">IF(A2540="","",IF(ISNUMBER(SEARCH("2歳",Z2540)),"2歳戦",IF(ISNUMBER(SEARCH("3歳未勝利",Z2540)),"3歳未勝利",IF(ISNUMBER(SEARCH("未勝利",Z2540)),"その他未勝利",IF(ISNUMBER(SEARCH("G1",Z2540)),"G1",IF(ISNUMBER(SEARCH("G2",Z2540)),"G2",IF(ISNUMBER(SEARCH("G3",Z2540)),"G3",IF(ISNUMBER(SEARCH("古馬条件",Z2540)),"古馬条件戦",IF(ISNUMBER(SEARCH("重賞",Z2540)),"重賞","分類不能")))))))))</f>
        <v/>
      </c>
    </row>
    <row r="2541" customFormat="false" ht="15.75" hidden="false" customHeight="false" outlineLevel="0" collapsed="false">
      <c r="AO2541" s="8" t="str">
        <f aca="false">IF(A2541="","",IF(COUNTIFS(全馬データ!$A$2:$A$50000,A2541,全馬データ!$B$2:$B$50000,B2541,全馬データ!$C$2:$C$50000,C2541,全馬データ!$D$2:$D$50000,E2541,全馬データ!$K$2:$K$50000,"&lt;&gt;")=0,"",SUMIFS(全馬データ!$K$2:$K$50000,全馬データ!$A$2:$A$50000,A2541,全馬データ!$B$2:$B$50000,B2541,全馬データ!$C$2:$C$50000,C2541,全馬データ!$D$2:$D$50000,E2541)))</f>
        <v/>
      </c>
      <c r="AP2541" s="8" t="str">
        <f aca="false">IF(A2541="","",IF(AO2541="","欠損",IF(AO2541&lt;=1.1,"1.0～1.1",IF(AO2541&lt;1.3,"1.2",IF(AO2541&lt;1.5,"1.3～1.4",IF(AO2541&lt;2,"1.5～1.9","2.0以上"))))))</f>
        <v/>
      </c>
      <c r="AQ2541" s="8" t="str">
        <f aca="false">IF(A2541="","",IF(ISNUMBER(SEARCH("2歳",Z2541)),"2歳戦",IF(ISNUMBER(SEARCH("3歳未勝利",Z2541)),"3歳未勝利",IF(ISNUMBER(SEARCH("未勝利",Z2541)),"その他未勝利",IF(ISNUMBER(SEARCH("G1",Z2541)),"G1",IF(ISNUMBER(SEARCH("G2",Z2541)),"G2",IF(ISNUMBER(SEARCH("G3",Z2541)),"G3",IF(ISNUMBER(SEARCH("古馬条件",Z2541)),"古馬条件戦",IF(ISNUMBER(SEARCH("重賞",Z2541)),"重賞","分類不能")))))))))</f>
        <v/>
      </c>
    </row>
    <row r="2542" customFormat="false" ht="15.75" hidden="false" customHeight="false" outlineLevel="0" collapsed="false">
      <c r="AO2542" s="8" t="str">
        <f aca="false">IF(A2542="","",IF(COUNTIFS(全馬データ!$A$2:$A$50000,A2542,全馬データ!$B$2:$B$50000,B2542,全馬データ!$C$2:$C$50000,C2542,全馬データ!$D$2:$D$50000,E2542,全馬データ!$K$2:$K$50000,"&lt;&gt;")=0,"",SUMIFS(全馬データ!$K$2:$K$50000,全馬データ!$A$2:$A$50000,A2542,全馬データ!$B$2:$B$50000,B2542,全馬データ!$C$2:$C$50000,C2542,全馬データ!$D$2:$D$50000,E2542)))</f>
        <v/>
      </c>
      <c r="AP2542" s="8" t="str">
        <f aca="false">IF(A2542="","",IF(AO2542="","欠損",IF(AO2542&lt;=1.1,"1.0～1.1",IF(AO2542&lt;1.3,"1.2",IF(AO2542&lt;1.5,"1.3～1.4",IF(AO2542&lt;2,"1.5～1.9","2.0以上"))))))</f>
        <v/>
      </c>
      <c r="AQ2542" s="8" t="str">
        <f aca="false">IF(A2542="","",IF(ISNUMBER(SEARCH("2歳",Z2542)),"2歳戦",IF(ISNUMBER(SEARCH("3歳未勝利",Z2542)),"3歳未勝利",IF(ISNUMBER(SEARCH("未勝利",Z2542)),"その他未勝利",IF(ISNUMBER(SEARCH("G1",Z2542)),"G1",IF(ISNUMBER(SEARCH("G2",Z2542)),"G2",IF(ISNUMBER(SEARCH("G3",Z2542)),"G3",IF(ISNUMBER(SEARCH("古馬条件",Z2542)),"古馬条件戦",IF(ISNUMBER(SEARCH("重賞",Z2542)),"重賞","分類不能")))))))))</f>
        <v/>
      </c>
    </row>
    <row r="2543" customFormat="false" ht="15.75" hidden="false" customHeight="false" outlineLevel="0" collapsed="false">
      <c r="AO2543" s="8" t="str">
        <f aca="false">IF(A2543="","",IF(COUNTIFS(全馬データ!$A$2:$A$50000,A2543,全馬データ!$B$2:$B$50000,B2543,全馬データ!$C$2:$C$50000,C2543,全馬データ!$D$2:$D$50000,E2543,全馬データ!$K$2:$K$50000,"&lt;&gt;")=0,"",SUMIFS(全馬データ!$K$2:$K$50000,全馬データ!$A$2:$A$50000,A2543,全馬データ!$B$2:$B$50000,B2543,全馬データ!$C$2:$C$50000,C2543,全馬データ!$D$2:$D$50000,E2543)))</f>
        <v/>
      </c>
      <c r="AP2543" s="8" t="str">
        <f aca="false">IF(A2543="","",IF(AO2543="","欠損",IF(AO2543&lt;=1.1,"1.0～1.1",IF(AO2543&lt;1.3,"1.2",IF(AO2543&lt;1.5,"1.3～1.4",IF(AO2543&lt;2,"1.5～1.9","2.0以上"))))))</f>
        <v/>
      </c>
      <c r="AQ2543" s="8" t="str">
        <f aca="false">IF(A2543="","",IF(ISNUMBER(SEARCH("2歳",Z2543)),"2歳戦",IF(ISNUMBER(SEARCH("3歳未勝利",Z2543)),"3歳未勝利",IF(ISNUMBER(SEARCH("未勝利",Z2543)),"その他未勝利",IF(ISNUMBER(SEARCH("G1",Z2543)),"G1",IF(ISNUMBER(SEARCH("G2",Z2543)),"G2",IF(ISNUMBER(SEARCH("G3",Z2543)),"G3",IF(ISNUMBER(SEARCH("古馬条件",Z2543)),"古馬条件戦",IF(ISNUMBER(SEARCH("重賞",Z2543)),"重賞","分類不能")))))))))</f>
        <v/>
      </c>
    </row>
    <row r="2544" customFormat="false" ht="15.75" hidden="false" customHeight="false" outlineLevel="0" collapsed="false">
      <c r="AO2544" s="8" t="str">
        <f aca="false">IF(A2544="","",IF(COUNTIFS(全馬データ!$A$2:$A$50000,A2544,全馬データ!$B$2:$B$50000,B2544,全馬データ!$C$2:$C$50000,C2544,全馬データ!$D$2:$D$50000,E2544,全馬データ!$K$2:$K$50000,"&lt;&gt;")=0,"",SUMIFS(全馬データ!$K$2:$K$50000,全馬データ!$A$2:$A$50000,A2544,全馬データ!$B$2:$B$50000,B2544,全馬データ!$C$2:$C$50000,C2544,全馬データ!$D$2:$D$50000,E2544)))</f>
        <v/>
      </c>
      <c r="AP2544" s="8" t="str">
        <f aca="false">IF(A2544="","",IF(AO2544="","欠損",IF(AO2544&lt;=1.1,"1.0～1.1",IF(AO2544&lt;1.3,"1.2",IF(AO2544&lt;1.5,"1.3～1.4",IF(AO2544&lt;2,"1.5～1.9","2.0以上"))))))</f>
        <v/>
      </c>
      <c r="AQ2544" s="8" t="str">
        <f aca="false">IF(A2544="","",IF(ISNUMBER(SEARCH("2歳",Z2544)),"2歳戦",IF(ISNUMBER(SEARCH("3歳未勝利",Z2544)),"3歳未勝利",IF(ISNUMBER(SEARCH("未勝利",Z2544)),"その他未勝利",IF(ISNUMBER(SEARCH("G1",Z2544)),"G1",IF(ISNUMBER(SEARCH("G2",Z2544)),"G2",IF(ISNUMBER(SEARCH("G3",Z2544)),"G3",IF(ISNUMBER(SEARCH("古馬条件",Z2544)),"古馬条件戦",IF(ISNUMBER(SEARCH("重賞",Z2544)),"重賞","分類不能")))))))))</f>
        <v/>
      </c>
    </row>
    <row r="2545" customFormat="false" ht="15.75" hidden="false" customHeight="false" outlineLevel="0" collapsed="false">
      <c r="AO2545" s="8" t="str">
        <f aca="false">IF(A2545="","",IF(COUNTIFS(全馬データ!$A$2:$A$50000,A2545,全馬データ!$B$2:$B$50000,B2545,全馬データ!$C$2:$C$50000,C2545,全馬データ!$D$2:$D$50000,E2545,全馬データ!$K$2:$K$50000,"&lt;&gt;")=0,"",SUMIFS(全馬データ!$K$2:$K$50000,全馬データ!$A$2:$A$50000,A2545,全馬データ!$B$2:$B$50000,B2545,全馬データ!$C$2:$C$50000,C2545,全馬データ!$D$2:$D$50000,E2545)))</f>
        <v/>
      </c>
      <c r="AP2545" s="8" t="str">
        <f aca="false">IF(A2545="","",IF(AO2545="","欠損",IF(AO2545&lt;=1.1,"1.0～1.1",IF(AO2545&lt;1.3,"1.2",IF(AO2545&lt;1.5,"1.3～1.4",IF(AO2545&lt;2,"1.5～1.9","2.0以上"))))))</f>
        <v/>
      </c>
      <c r="AQ2545" s="8" t="str">
        <f aca="false">IF(A2545="","",IF(ISNUMBER(SEARCH("2歳",Z2545)),"2歳戦",IF(ISNUMBER(SEARCH("3歳未勝利",Z2545)),"3歳未勝利",IF(ISNUMBER(SEARCH("未勝利",Z2545)),"その他未勝利",IF(ISNUMBER(SEARCH("G1",Z2545)),"G1",IF(ISNUMBER(SEARCH("G2",Z2545)),"G2",IF(ISNUMBER(SEARCH("G3",Z2545)),"G3",IF(ISNUMBER(SEARCH("古馬条件",Z2545)),"古馬条件戦",IF(ISNUMBER(SEARCH("重賞",Z2545)),"重賞","分類不能")))))))))</f>
        <v/>
      </c>
    </row>
    <row r="2546" customFormat="false" ht="15.75" hidden="false" customHeight="false" outlineLevel="0" collapsed="false">
      <c r="AO2546" s="8" t="str">
        <f aca="false">IF(A2546="","",IF(COUNTIFS(全馬データ!$A$2:$A$50000,A2546,全馬データ!$B$2:$B$50000,B2546,全馬データ!$C$2:$C$50000,C2546,全馬データ!$D$2:$D$50000,E2546,全馬データ!$K$2:$K$50000,"&lt;&gt;")=0,"",SUMIFS(全馬データ!$K$2:$K$50000,全馬データ!$A$2:$A$50000,A2546,全馬データ!$B$2:$B$50000,B2546,全馬データ!$C$2:$C$50000,C2546,全馬データ!$D$2:$D$50000,E2546)))</f>
        <v/>
      </c>
      <c r="AP2546" s="8" t="str">
        <f aca="false">IF(A2546="","",IF(AO2546="","欠損",IF(AO2546&lt;=1.1,"1.0～1.1",IF(AO2546&lt;1.3,"1.2",IF(AO2546&lt;1.5,"1.3～1.4",IF(AO2546&lt;2,"1.5～1.9","2.0以上"))))))</f>
        <v/>
      </c>
      <c r="AQ2546" s="8" t="str">
        <f aca="false">IF(A2546="","",IF(ISNUMBER(SEARCH("2歳",Z2546)),"2歳戦",IF(ISNUMBER(SEARCH("3歳未勝利",Z2546)),"3歳未勝利",IF(ISNUMBER(SEARCH("未勝利",Z2546)),"その他未勝利",IF(ISNUMBER(SEARCH("G1",Z2546)),"G1",IF(ISNUMBER(SEARCH("G2",Z2546)),"G2",IF(ISNUMBER(SEARCH("G3",Z2546)),"G3",IF(ISNUMBER(SEARCH("古馬条件",Z2546)),"古馬条件戦",IF(ISNUMBER(SEARCH("重賞",Z2546)),"重賞","分類不能")))))))))</f>
        <v/>
      </c>
    </row>
    <row r="2547" customFormat="false" ht="15.75" hidden="false" customHeight="false" outlineLevel="0" collapsed="false">
      <c r="AO2547" s="8" t="str">
        <f aca="false">IF(A2547="","",IF(COUNTIFS(全馬データ!$A$2:$A$50000,A2547,全馬データ!$B$2:$B$50000,B2547,全馬データ!$C$2:$C$50000,C2547,全馬データ!$D$2:$D$50000,E2547,全馬データ!$K$2:$K$50000,"&lt;&gt;")=0,"",SUMIFS(全馬データ!$K$2:$K$50000,全馬データ!$A$2:$A$50000,A2547,全馬データ!$B$2:$B$50000,B2547,全馬データ!$C$2:$C$50000,C2547,全馬データ!$D$2:$D$50000,E2547)))</f>
        <v/>
      </c>
      <c r="AP2547" s="8" t="str">
        <f aca="false">IF(A2547="","",IF(AO2547="","欠損",IF(AO2547&lt;=1.1,"1.0～1.1",IF(AO2547&lt;1.3,"1.2",IF(AO2547&lt;1.5,"1.3～1.4",IF(AO2547&lt;2,"1.5～1.9","2.0以上"))))))</f>
        <v/>
      </c>
      <c r="AQ2547" s="8" t="str">
        <f aca="false">IF(A2547="","",IF(ISNUMBER(SEARCH("2歳",Z2547)),"2歳戦",IF(ISNUMBER(SEARCH("3歳未勝利",Z2547)),"3歳未勝利",IF(ISNUMBER(SEARCH("未勝利",Z2547)),"その他未勝利",IF(ISNUMBER(SEARCH("G1",Z2547)),"G1",IF(ISNUMBER(SEARCH("G2",Z2547)),"G2",IF(ISNUMBER(SEARCH("G3",Z2547)),"G3",IF(ISNUMBER(SEARCH("古馬条件",Z2547)),"古馬条件戦",IF(ISNUMBER(SEARCH("重賞",Z2547)),"重賞","分類不能")))))))))</f>
        <v/>
      </c>
    </row>
    <row r="2548" customFormat="false" ht="15.75" hidden="false" customHeight="false" outlineLevel="0" collapsed="false">
      <c r="AO2548" s="8" t="str">
        <f aca="false">IF(A2548="","",IF(COUNTIFS(全馬データ!$A$2:$A$50000,A2548,全馬データ!$B$2:$B$50000,B2548,全馬データ!$C$2:$C$50000,C2548,全馬データ!$D$2:$D$50000,E2548,全馬データ!$K$2:$K$50000,"&lt;&gt;")=0,"",SUMIFS(全馬データ!$K$2:$K$50000,全馬データ!$A$2:$A$50000,A2548,全馬データ!$B$2:$B$50000,B2548,全馬データ!$C$2:$C$50000,C2548,全馬データ!$D$2:$D$50000,E2548)))</f>
        <v/>
      </c>
      <c r="AP2548" s="8" t="str">
        <f aca="false">IF(A2548="","",IF(AO2548="","欠損",IF(AO2548&lt;=1.1,"1.0～1.1",IF(AO2548&lt;1.3,"1.2",IF(AO2548&lt;1.5,"1.3～1.4",IF(AO2548&lt;2,"1.5～1.9","2.0以上"))))))</f>
        <v/>
      </c>
      <c r="AQ2548" s="8" t="str">
        <f aca="false">IF(A2548="","",IF(ISNUMBER(SEARCH("2歳",Z2548)),"2歳戦",IF(ISNUMBER(SEARCH("3歳未勝利",Z2548)),"3歳未勝利",IF(ISNUMBER(SEARCH("未勝利",Z2548)),"その他未勝利",IF(ISNUMBER(SEARCH("G1",Z2548)),"G1",IF(ISNUMBER(SEARCH("G2",Z2548)),"G2",IF(ISNUMBER(SEARCH("G3",Z2548)),"G3",IF(ISNUMBER(SEARCH("古馬条件",Z2548)),"古馬条件戦",IF(ISNUMBER(SEARCH("重賞",Z2548)),"重賞","分類不能")))))))))</f>
        <v/>
      </c>
    </row>
    <row r="2549" customFormat="false" ht="15.75" hidden="false" customHeight="false" outlineLevel="0" collapsed="false">
      <c r="AO2549" s="8" t="str">
        <f aca="false">IF(A2549="","",IF(COUNTIFS(全馬データ!$A$2:$A$50000,A2549,全馬データ!$B$2:$B$50000,B2549,全馬データ!$C$2:$C$50000,C2549,全馬データ!$D$2:$D$50000,E2549,全馬データ!$K$2:$K$50000,"&lt;&gt;")=0,"",SUMIFS(全馬データ!$K$2:$K$50000,全馬データ!$A$2:$A$50000,A2549,全馬データ!$B$2:$B$50000,B2549,全馬データ!$C$2:$C$50000,C2549,全馬データ!$D$2:$D$50000,E2549)))</f>
        <v/>
      </c>
      <c r="AP2549" s="8" t="str">
        <f aca="false">IF(A2549="","",IF(AO2549="","欠損",IF(AO2549&lt;=1.1,"1.0～1.1",IF(AO2549&lt;1.3,"1.2",IF(AO2549&lt;1.5,"1.3～1.4",IF(AO2549&lt;2,"1.5～1.9","2.0以上"))))))</f>
        <v/>
      </c>
      <c r="AQ2549" s="8" t="str">
        <f aca="false">IF(A2549="","",IF(ISNUMBER(SEARCH("2歳",Z2549)),"2歳戦",IF(ISNUMBER(SEARCH("3歳未勝利",Z2549)),"3歳未勝利",IF(ISNUMBER(SEARCH("未勝利",Z2549)),"その他未勝利",IF(ISNUMBER(SEARCH("G1",Z2549)),"G1",IF(ISNUMBER(SEARCH("G2",Z2549)),"G2",IF(ISNUMBER(SEARCH("G3",Z2549)),"G3",IF(ISNUMBER(SEARCH("古馬条件",Z2549)),"古馬条件戦",IF(ISNUMBER(SEARCH("重賞",Z2549)),"重賞","分類不能")))))))))</f>
        <v/>
      </c>
    </row>
    <row r="2550" customFormat="false" ht="15.75" hidden="false" customHeight="false" outlineLevel="0" collapsed="false">
      <c r="AO2550" s="8" t="str">
        <f aca="false">IF(A2550="","",IF(COUNTIFS(全馬データ!$A$2:$A$50000,A2550,全馬データ!$B$2:$B$50000,B2550,全馬データ!$C$2:$C$50000,C2550,全馬データ!$D$2:$D$50000,E2550,全馬データ!$K$2:$K$50000,"&lt;&gt;")=0,"",SUMIFS(全馬データ!$K$2:$K$50000,全馬データ!$A$2:$A$50000,A2550,全馬データ!$B$2:$B$50000,B2550,全馬データ!$C$2:$C$50000,C2550,全馬データ!$D$2:$D$50000,E2550)))</f>
        <v/>
      </c>
      <c r="AP2550" s="8" t="str">
        <f aca="false">IF(A2550="","",IF(AO2550="","欠損",IF(AO2550&lt;=1.1,"1.0～1.1",IF(AO2550&lt;1.3,"1.2",IF(AO2550&lt;1.5,"1.3～1.4",IF(AO2550&lt;2,"1.5～1.9","2.0以上"))))))</f>
        <v/>
      </c>
      <c r="AQ2550" s="8" t="str">
        <f aca="false">IF(A2550="","",IF(ISNUMBER(SEARCH("2歳",Z2550)),"2歳戦",IF(ISNUMBER(SEARCH("3歳未勝利",Z2550)),"3歳未勝利",IF(ISNUMBER(SEARCH("未勝利",Z2550)),"その他未勝利",IF(ISNUMBER(SEARCH("G1",Z2550)),"G1",IF(ISNUMBER(SEARCH("G2",Z2550)),"G2",IF(ISNUMBER(SEARCH("G3",Z2550)),"G3",IF(ISNUMBER(SEARCH("古馬条件",Z2550)),"古馬条件戦",IF(ISNUMBER(SEARCH("重賞",Z2550)),"重賞","分類不能")))))))))</f>
        <v/>
      </c>
    </row>
    <row r="2551" customFormat="false" ht="15.75" hidden="false" customHeight="false" outlineLevel="0" collapsed="false">
      <c r="AO2551" s="8" t="str">
        <f aca="false">IF(A2551="","",IF(COUNTIFS(全馬データ!$A$2:$A$50000,A2551,全馬データ!$B$2:$B$50000,B2551,全馬データ!$C$2:$C$50000,C2551,全馬データ!$D$2:$D$50000,E2551,全馬データ!$K$2:$K$50000,"&lt;&gt;")=0,"",SUMIFS(全馬データ!$K$2:$K$50000,全馬データ!$A$2:$A$50000,A2551,全馬データ!$B$2:$B$50000,B2551,全馬データ!$C$2:$C$50000,C2551,全馬データ!$D$2:$D$50000,E2551)))</f>
        <v/>
      </c>
      <c r="AP2551" s="8" t="str">
        <f aca="false">IF(A2551="","",IF(AO2551="","欠損",IF(AO2551&lt;=1.1,"1.0～1.1",IF(AO2551&lt;1.3,"1.2",IF(AO2551&lt;1.5,"1.3～1.4",IF(AO2551&lt;2,"1.5～1.9","2.0以上"))))))</f>
        <v/>
      </c>
      <c r="AQ2551" s="8" t="str">
        <f aca="false">IF(A2551="","",IF(ISNUMBER(SEARCH("2歳",Z2551)),"2歳戦",IF(ISNUMBER(SEARCH("3歳未勝利",Z2551)),"3歳未勝利",IF(ISNUMBER(SEARCH("未勝利",Z2551)),"その他未勝利",IF(ISNUMBER(SEARCH("G1",Z2551)),"G1",IF(ISNUMBER(SEARCH("G2",Z2551)),"G2",IF(ISNUMBER(SEARCH("G3",Z2551)),"G3",IF(ISNUMBER(SEARCH("古馬条件",Z2551)),"古馬条件戦",IF(ISNUMBER(SEARCH("重賞",Z2551)),"重賞","分類不能")))))))))</f>
        <v/>
      </c>
    </row>
    <row r="2552" customFormat="false" ht="15.75" hidden="false" customHeight="false" outlineLevel="0" collapsed="false">
      <c r="AO2552" s="8" t="str">
        <f aca="false">IF(A2552="","",IF(COUNTIFS(全馬データ!$A$2:$A$50000,A2552,全馬データ!$B$2:$B$50000,B2552,全馬データ!$C$2:$C$50000,C2552,全馬データ!$D$2:$D$50000,E2552,全馬データ!$K$2:$K$50000,"&lt;&gt;")=0,"",SUMIFS(全馬データ!$K$2:$K$50000,全馬データ!$A$2:$A$50000,A2552,全馬データ!$B$2:$B$50000,B2552,全馬データ!$C$2:$C$50000,C2552,全馬データ!$D$2:$D$50000,E2552)))</f>
        <v/>
      </c>
      <c r="AP2552" s="8" t="str">
        <f aca="false">IF(A2552="","",IF(AO2552="","欠損",IF(AO2552&lt;=1.1,"1.0～1.1",IF(AO2552&lt;1.3,"1.2",IF(AO2552&lt;1.5,"1.3～1.4",IF(AO2552&lt;2,"1.5～1.9","2.0以上"))))))</f>
        <v/>
      </c>
      <c r="AQ2552" s="8" t="str">
        <f aca="false">IF(A2552="","",IF(ISNUMBER(SEARCH("2歳",Z2552)),"2歳戦",IF(ISNUMBER(SEARCH("3歳未勝利",Z2552)),"3歳未勝利",IF(ISNUMBER(SEARCH("未勝利",Z2552)),"その他未勝利",IF(ISNUMBER(SEARCH("G1",Z2552)),"G1",IF(ISNUMBER(SEARCH("G2",Z2552)),"G2",IF(ISNUMBER(SEARCH("G3",Z2552)),"G3",IF(ISNUMBER(SEARCH("古馬条件",Z2552)),"古馬条件戦",IF(ISNUMBER(SEARCH("重賞",Z2552)),"重賞","分類不能")))))))))</f>
        <v/>
      </c>
    </row>
    <row r="2553" customFormat="false" ht="15.75" hidden="false" customHeight="false" outlineLevel="0" collapsed="false">
      <c r="AO2553" s="8" t="str">
        <f aca="false">IF(A2553="","",IF(COUNTIFS(全馬データ!$A$2:$A$50000,A2553,全馬データ!$B$2:$B$50000,B2553,全馬データ!$C$2:$C$50000,C2553,全馬データ!$D$2:$D$50000,E2553,全馬データ!$K$2:$K$50000,"&lt;&gt;")=0,"",SUMIFS(全馬データ!$K$2:$K$50000,全馬データ!$A$2:$A$50000,A2553,全馬データ!$B$2:$B$50000,B2553,全馬データ!$C$2:$C$50000,C2553,全馬データ!$D$2:$D$50000,E2553)))</f>
        <v/>
      </c>
      <c r="AP2553" s="8" t="str">
        <f aca="false">IF(A2553="","",IF(AO2553="","欠損",IF(AO2553&lt;=1.1,"1.0～1.1",IF(AO2553&lt;1.3,"1.2",IF(AO2553&lt;1.5,"1.3～1.4",IF(AO2553&lt;2,"1.5～1.9","2.0以上"))))))</f>
        <v/>
      </c>
      <c r="AQ2553" s="8" t="str">
        <f aca="false">IF(A2553="","",IF(ISNUMBER(SEARCH("2歳",Z2553)),"2歳戦",IF(ISNUMBER(SEARCH("3歳未勝利",Z2553)),"3歳未勝利",IF(ISNUMBER(SEARCH("未勝利",Z2553)),"その他未勝利",IF(ISNUMBER(SEARCH("G1",Z2553)),"G1",IF(ISNUMBER(SEARCH("G2",Z2553)),"G2",IF(ISNUMBER(SEARCH("G3",Z2553)),"G3",IF(ISNUMBER(SEARCH("古馬条件",Z2553)),"古馬条件戦",IF(ISNUMBER(SEARCH("重賞",Z2553)),"重賞","分類不能")))))))))</f>
        <v/>
      </c>
    </row>
    <row r="2554" customFormat="false" ht="15.75" hidden="false" customHeight="false" outlineLevel="0" collapsed="false">
      <c r="AO2554" s="8" t="str">
        <f aca="false">IF(A2554="","",IF(COUNTIFS(全馬データ!$A$2:$A$50000,A2554,全馬データ!$B$2:$B$50000,B2554,全馬データ!$C$2:$C$50000,C2554,全馬データ!$D$2:$D$50000,E2554,全馬データ!$K$2:$K$50000,"&lt;&gt;")=0,"",SUMIFS(全馬データ!$K$2:$K$50000,全馬データ!$A$2:$A$50000,A2554,全馬データ!$B$2:$B$50000,B2554,全馬データ!$C$2:$C$50000,C2554,全馬データ!$D$2:$D$50000,E2554)))</f>
        <v/>
      </c>
      <c r="AP2554" s="8" t="str">
        <f aca="false">IF(A2554="","",IF(AO2554="","欠損",IF(AO2554&lt;=1.1,"1.0～1.1",IF(AO2554&lt;1.3,"1.2",IF(AO2554&lt;1.5,"1.3～1.4",IF(AO2554&lt;2,"1.5～1.9","2.0以上"))))))</f>
        <v/>
      </c>
      <c r="AQ2554" s="8" t="str">
        <f aca="false">IF(A2554="","",IF(ISNUMBER(SEARCH("2歳",Z2554)),"2歳戦",IF(ISNUMBER(SEARCH("3歳未勝利",Z2554)),"3歳未勝利",IF(ISNUMBER(SEARCH("未勝利",Z2554)),"その他未勝利",IF(ISNUMBER(SEARCH("G1",Z2554)),"G1",IF(ISNUMBER(SEARCH("G2",Z2554)),"G2",IF(ISNUMBER(SEARCH("G3",Z2554)),"G3",IF(ISNUMBER(SEARCH("古馬条件",Z2554)),"古馬条件戦",IF(ISNUMBER(SEARCH("重賞",Z2554)),"重賞","分類不能")))))))))</f>
        <v/>
      </c>
    </row>
    <row r="2555" customFormat="false" ht="15.75" hidden="false" customHeight="false" outlineLevel="0" collapsed="false">
      <c r="AO2555" s="8" t="str">
        <f aca="false">IF(A2555="","",IF(COUNTIFS(全馬データ!$A$2:$A$50000,A2555,全馬データ!$B$2:$B$50000,B2555,全馬データ!$C$2:$C$50000,C2555,全馬データ!$D$2:$D$50000,E2555,全馬データ!$K$2:$K$50000,"&lt;&gt;")=0,"",SUMIFS(全馬データ!$K$2:$K$50000,全馬データ!$A$2:$A$50000,A2555,全馬データ!$B$2:$B$50000,B2555,全馬データ!$C$2:$C$50000,C2555,全馬データ!$D$2:$D$50000,E2555)))</f>
        <v/>
      </c>
      <c r="AP2555" s="8" t="str">
        <f aca="false">IF(A2555="","",IF(AO2555="","欠損",IF(AO2555&lt;=1.1,"1.0～1.1",IF(AO2555&lt;1.3,"1.2",IF(AO2555&lt;1.5,"1.3～1.4",IF(AO2555&lt;2,"1.5～1.9","2.0以上"))))))</f>
        <v/>
      </c>
      <c r="AQ2555" s="8" t="str">
        <f aca="false">IF(A2555="","",IF(ISNUMBER(SEARCH("2歳",Z2555)),"2歳戦",IF(ISNUMBER(SEARCH("3歳未勝利",Z2555)),"3歳未勝利",IF(ISNUMBER(SEARCH("未勝利",Z2555)),"その他未勝利",IF(ISNUMBER(SEARCH("G1",Z2555)),"G1",IF(ISNUMBER(SEARCH("G2",Z2555)),"G2",IF(ISNUMBER(SEARCH("G3",Z2555)),"G3",IF(ISNUMBER(SEARCH("古馬条件",Z2555)),"古馬条件戦",IF(ISNUMBER(SEARCH("重賞",Z2555)),"重賞","分類不能")))))))))</f>
        <v/>
      </c>
    </row>
    <row r="2556" customFormat="false" ht="15.75" hidden="false" customHeight="false" outlineLevel="0" collapsed="false">
      <c r="AO2556" s="8" t="str">
        <f aca="false">IF(A2556="","",IF(COUNTIFS(全馬データ!$A$2:$A$50000,A2556,全馬データ!$B$2:$B$50000,B2556,全馬データ!$C$2:$C$50000,C2556,全馬データ!$D$2:$D$50000,E2556,全馬データ!$K$2:$K$50000,"&lt;&gt;")=0,"",SUMIFS(全馬データ!$K$2:$K$50000,全馬データ!$A$2:$A$50000,A2556,全馬データ!$B$2:$B$50000,B2556,全馬データ!$C$2:$C$50000,C2556,全馬データ!$D$2:$D$50000,E2556)))</f>
        <v/>
      </c>
      <c r="AP2556" s="8" t="str">
        <f aca="false">IF(A2556="","",IF(AO2556="","欠損",IF(AO2556&lt;=1.1,"1.0～1.1",IF(AO2556&lt;1.3,"1.2",IF(AO2556&lt;1.5,"1.3～1.4",IF(AO2556&lt;2,"1.5～1.9","2.0以上"))))))</f>
        <v/>
      </c>
      <c r="AQ2556" s="8" t="str">
        <f aca="false">IF(A2556="","",IF(ISNUMBER(SEARCH("2歳",Z2556)),"2歳戦",IF(ISNUMBER(SEARCH("3歳未勝利",Z2556)),"3歳未勝利",IF(ISNUMBER(SEARCH("未勝利",Z2556)),"その他未勝利",IF(ISNUMBER(SEARCH("G1",Z2556)),"G1",IF(ISNUMBER(SEARCH("G2",Z2556)),"G2",IF(ISNUMBER(SEARCH("G3",Z2556)),"G3",IF(ISNUMBER(SEARCH("古馬条件",Z2556)),"古馬条件戦",IF(ISNUMBER(SEARCH("重賞",Z2556)),"重賞","分類不能")))))))))</f>
        <v/>
      </c>
    </row>
    <row r="2557" customFormat="false" ht="15.75" hidden="false" customHeight="false" outlineLevel="0" collapsed="false">
      <c r="AO2557" s="8" t="str">
        <f aca="false">IF(A2557="","",IF(COUNTIFS(全馬データ!$A$2:$A$50000,A2557,全馬データ!$B$2:$B$50000,B2557,全馬データ!$C$2:$C$50000,C2557,全馬データ!$D$2:$D$50000,E2557,全馬データ!$K$2:$K$50000,"&lt;&gt;")=0,"",SUMIFS(全馬データ!$K$2:$K$50000,全馬データ!$A$2:$A$50000,A2557,全馬データ!$B$2:$B$50000,B2557,全馬データ!$C$2:$C$50000,C2557,全馬データ!$D$2:$D$50000,E2557)))</f>
        <v/>
      </c>
      <c r="AP2557" s="8" t="str">
        <f aca="false">IF(A2557="","",IF(AO2557="","欠損",IF(AO2557&lt;=1.1,"1.0～1.1",IF(AO2557&lt;1.3,"1.2",IF(AO2557&lt;1.5,"1.3～1.4",IF(AO2557&lt;2,"1.5～1.9","2.0以上"))))))</f>
        <v/>
      </c>
      <c r="AQ2557" s="8" t="str">
        <f aca="false">IF(A2557="","",IF(ISNUMBER(SEARCH("2歳",Z2557)),"2歳戦",IF(ISNUMBER(SEARCH("3歳未勝利",Z2557)),"3歳未勝利",IF(ISNUMBER(SEARCH("未勝利",Z2557)),"その他未勝利",IF(ISNUMBER(SEARCH("G1",Z2557)),"G1",IF(ISNUMBER(SEARCH("G2",Z2557)),"G2",IF(ISNUMBER(SEARCH("G3",Z2557)),"G3",IF(ISNUMBER(SEARCH("古馬条件",Z2557)),"古馬条件戦",IF(ISNUMBER(SEARCH("重賞",Z2557)),"重賞","分類不能")))))))))</f>
        <v/>
      </c>
    </row>
    <row r="2558" customFormat="false" ht="15.75" hidden="false" customHeight="false" outlineLevel="0" collapsed="false">
      <c r="AO2558" s="8" t="str">
        <f aca="false">IF(A2558="","",IF(COUNTIFS(全馬データ!$A$2:$A$50000,A2558,全馬データ!$B$2:$B$50000,B2558,全馬データ!$C$2:$C$50000,C2558,全馬データ!$D$2:$D$50000,E2558,全馬データ!$K$2:$K$50000,"&lt;&gt;")=0,"",SUMIFS(全馬データ!$K$2:$K$50000,全馬データ!$A$2:$A$50000,A2558,全馬データ!$B$2:$B$50000,B2558,全馬データ!$C$2:$C$50000,C2558,全馬データ!$D$2:$D$50000,E2558)))</f>
        <v/>
      </c>
      <c r="AP2558" s="8" t="str">
        <f aca="false">IF(A2558="","",IF(AO2558="","欠損",IF(AO2558&lt;=1.1,"1.0～1.1",IF(AO2558&lt;1.3,"1.2",IF(AO2558&lt;1.5,"1.3～1.4",IF(AO2558&lt;2,"1.5～1.9","2.0以上"))))))</f>
        <v/>
      </c>
      <c r="AQ2558" s="8" t="str">
        <f aca="false">IF(A2558="","",IF(ISNUMBER(SEARCH("2歳",Z2558)),"2歳戦",IF(ISNUMBER(SEARCH("3歳未勝利",Z2558)),"3歳未勝利",IF(ISNUMBER(SEARCH("未勝利",Z2558)),"その他未勝利",IF(ISNUMBER(SEARCH("G1",Z2558)),"G1",IF(ISNUMBER(SEARCH("G2",Z2558)),"G2",IF(ISNUMBER(SEARCH("G3",Z2558)),"G3",IF(ISNUMBER(SEARCH("古馬条件",Z2558)),"古馬条件戦",IF(ISNUMBER(SEARCH("重賞",Z2558)),"重賞","分類不能")))))))))</f>
        <v/>
      </c>
    </row>
    <row r="2559" customFormat="false" ht="15.75" hidden="false" customHeight="false" outlineLevel="0" collapsed="false">
      <c r="AO2559" s="8" t="str">
        <f aca="false">IF(A2559="","",IF(COUNTIFS(全馬データ!$A$2:$A$50000,A2559,全馬データ!$B$2:$B$50000,B2559,全馬データ!$C$2:$C$50000,C2559,全馬データ!$D$2:$D$50000,E2559,全馬データ!$K$2:$K$50000,"&lt;&gt;")=0,"",SUMIFS(全馬データ!$K$2:$K$50000,全馬データ!$A$2:$A$50000,A2559,全馬データ!$B$2:$B$50000,B2559,全馬データ!$C$2:$C$50000,C2559,全馬データ!$D$2:$D$50000,E2559)))</f>
        <v/>
      </c>
      <c r="AP2559" s="8" t="str">
        <f aca="false">IF(A2559="","",IF(AO2559="","欠損",IF(AO2559&lt;=1.1,"1.0～1.1",IF(AO2559&lt;1.3,"1.2",IF(AO2559&lt;1.5,"1.3～1.4",IF(AO2559&lt;2,"1.5～1.9","2.0以上"))))))</f>
        <v/>
      </c>
      <c r="AQ2559" s="8" t="str">
        <f aca="false">IF(A2559="","",IF(ISNUMBER(SEARCH("2歳",Z2559)),"2歳戦",IF(ISNUMBER(SEARCH("3歳未勝利",Z2559)),"3歳未勝利",IF(ISNUMBER(SEARCH("未勝利",Z2559)),"その他未勝利",IF(ISNUMBER(SEARCH("G1",Z2559)),"G1",IF(ISNUMBER(SEARCH("G2",Z2559)),"G2",IF(ISNUMBER(SEARCH("G3",Z2559)),"G3",IF(ISNUMBER(SEARCH("古馬条件",Z2559)),"古馬条件戦",IF(ISNUMBER(SEARCH("重賞",Z2559)),"重賞","分類不能")))))))))</f>
        <v/>
      </c>
    </row>
    <row r="2560" customFormat="false" ht="15.75" hidden="false" customHeight="false" outlineLevel="0" collapsed="false">
      <c r="AO2560" s="8" t="str">
        <f aca="false">IF(A2560="","",IF(COUNTIFS(全馬データ!$A$2:$A$50000,A2560,全馬データ!$B$2:$B$50000,B2560,全馬データ!$C$2:$C$50000,C2560,全馬データ!$D$2:$D$50000,E2560,全馬データ!$K$2:$K$50000,"&lt;&gt;")=0,"",SUMIFS(全馬データ!$K$2:$K$50000,全馬データ!$A$2:$A$50000,A2560,全馬データ!$B$2:$B$50000,B2560,全馬データ!$C$2:$C$50000,C2560,全馬データ!$D$2:$D$50000,E2560)))</f>
        <v/>
      </c>
      <c r="AP2560" s="8" t="str">
        <f aca="false">IF(A2560="","",IF(AO2560="","欠損",IF(AO2560&lt;=1.1,"1.0～1.1",IF(AO2560&lt;1.3,"1.2",IF(AO2560&lt;1.5,"1.3～1.4",IF(AO2560&lt;2,"1.5～1.9","2.0以上"))))))</f>
        <v/>
      </c>
      <c r="AQ2560" s="8" t="str">
        <f aca="false">IF(A2560="","",IF(ISNUMBER(SEARCH("2歳",Z2560)),"2歳戦",IF(ISNUMBER(SEARCH("3歳未勝利",Z2560)),"3歳未勝利",IF(ISNUMBER(SEARCH("未勝利",Z2560)),"その他未勝利",IF(ISNUMBER(SEARCH("G1",Z2560)),"G1",IF(ISNUMBER(SEARCH("G2",Z2560)),"G2",IF(ISNUMBER(SEARCH("G3",Z2560)),"G3",IF(ISNUMBER(SEARCH("古馬条件",Z2560)),"古馬条件戦",IF(ISNUMBER(SEARCH("重賞",Z2560)),"重賞","分類不能")))))))))</f>
        <v/>
      </c>
    </row>
    <row r="2561" customFormat="false" ht="15.75" hidden="false" customHeight="false" outlineLevel="0" collapsed="false">
      <c r="AO2561" s="8" t="str">
        <f aca="false">IF(A2561="","",IF(COUNTIFS(全馬データ!$A$2:$A$50000,A2561,全馬データ!$B$2:$B$50000,B2561,全馬データ!$C$2:$C$50000,C2561,全馬データ!$D$2:$D$50000,E2561,全馬データ!$K$2:$K$50000,"&lt;&gt;")=0,"",SUMIFS(全馬データ!$K$2:$K$50000,全馬データ!$A$2:$A$50000,A2561,全馬データ!$B$2:$B$50000,B2561,全馬データ!$C$2:$C$50000,C2561,全馬データ!$D$2:$D$50000,E2561)))</f>
        <v/>
      </c>
      <c r="AP2561" s="8" t="str">
        <f aca="false">IF(A2561="","",IF(AO2561="","欠損",IF(AO2561&lt;=1.1,"1.0～1.1",IF(AO2561&lt;1.3,"1.2",IF(AO2561&lt;1.5,"1.3～1.4",IF(AO2561&lt;2,"1.5～1.9","2.0以上"))))))</f>
        <v/>
      </c>
      <c r="AQ2561" s="8" t="str">
        <f aca="false">IF(A2561="","",IF(ISNUMBER(SEARCH("2歳",Z2561)),"2歳戦",IF(ISNUMBER(SEARCH("3歳未勝利",Z2561)),"3歳未勝利",IF(ISNUMBER(SEARCH("未勝利",Z2561)),"その他未勝利",IF(ISNUMBER(SEARCH("G1",Z2561)),"G1",IF(ISNUMBER(SEARCH("G2",Z2561)),"G2",IF(ISNUMBER(SEARCH("G3",Z2561)),"G3",IF(ISNUMBER(SEARCH("古馬条件",Z2561)),"古馬条件戦",IF(ISNUMBER(SEARCH("重賞",Z2561)),"重賞","分類不能")))))))))</f>
        <v/>
      </c>
    </row>
    <row r="2562" customFormat="false" ht="15.75" hidden="false" customHeight="false" outlineLevel="0" collapsed="false">
      <c r="AO2562" s="8" t="str">
        <f aca="false">IF(A2562="","",IF(COUNTIFS(全馬データ!$A$2:$A$50000,A2562,全馬データ!$B$2:$B$50000,B2562,全馬データ!$C$2:$C$50000,C2562,全馬データ!$D$2:$D$50000,E2562,全馬データ!$K$2:$K$50000,"&lt;&gt;")=0,"",SUMIFS(全馬データ!$K$2:$K$50000,全馬データ!$A$2:$A$50000,A2562,全馬データ!$B$2:$B$50000,B2562,全馬データ!$C$2:$C$50000,C2562,全馬データ!$D$2:$D$50000,E2562)))</f>
        <v/>
      </c>
      <c r="AP2562" s="8" t="str">
        <f aca="false">IF(A2562="","",IF(AO2562="","欠損",IF(AO2562&lt;=1.1,"1.0～1.1",IF(AO2562&lt;1.3,"1.2",IF(AO2562&lt;1.5,"1.3～1.4",IF(AO2562&lt;2,"1.5～1.9","2.0以上"))))))</f>
        <v/>
      </c>
      <c r="AQ2562" s="8" t="str">
        <f aca="false">IF(A2562="","",IF(ISNUMBER(SEARCH("2歳",Z2562)),"2歳戦",IF(ISNUMBER(SEARCH("3歳未勝利",Z2562)),"3歳未勝利",IF(ISNUMBER(SEARCH("未勝利",Z2562)),"その他未勝利",IF(ISNUMBER(SEARCH("G1",Z2562)),"G1",IF(ISNUMBER(SEARCH("G2",Z2562)),"G2",IF(ISNUMBER(SEARCH("G3",Z2562)),"G3",IF(ISNUMBER(SEARCH("古馬条件",Z2562)),"古馬条件戦",IF(ISNUMBER(SEARCH("重賞",Z2562)),"重賞","分類不能")))))))))</f>
        <v/>
      </c>
    </row>
    <row r="2563" customFormat="false" ht="15.75" hidden="false" customHeight="false" outlineLevel="0" collapsed="false">
      <c r="AO2563" s="8" t="str">
        <f aca="false">IF(A2563="","",IF(COUNTIFS(全馬データ!$A$2:$A$50000,A2563,全馬データ!$B$2:$B$50000,B2563,全馬データ!$C$2:$C$50000,C2563,全馬データ!$D$2:$D$50000,E2563,全馬データ!$K$2:$K$50000,"&lt;&gt;")=0,"",SUMIFS(全馬データ!$K$2:$K$50000,全馬データ!$A$2:$A$50000,A2563,全馬データ!$B$2:$B$50000,B2563,全馬データ!$C$2:$C$50000,C2563,全馬データ!$D$2:$D$50000,E2563)))</f>
        <v/>
      </c>
      <c r="AP2563" s="8" t="str">
        <f aca="false">IF(A2563="","",IF(AO2563="","欠損",IF(AO2563&lt;=1.1,"1.0～1.1",IF(AO2563&lt;1.3,"1.2",IF(AO2563&lt;1.5,"1.3～1.4",IF(AO2563&lt;2,"1.5～1.9","2.0以上"))))))</f>
        <v/>
      </c>
      <c r="AQ2563" s="8" t="str">
        <f aca="false">IF(A2563="","",IF(ISNUMBER(SEARCH("2歳",Z2563)),"2歳戦",IF(ISNUMBER(SEARCH("3歳未勝利",Z2563)),"3歳未勝利",IF(ISNUMBER(SEARCH("未勝利",Z2563)),"その他未勝利",IF(ISNUMBER(SEARCH("G1",Z2563)),"G1",IF(ISNUMBER(SEARCH("G2",Z2563)),"G2",IF(ISNUMBER(SEARCH("G3",Z2563)),"G3",IF(ISNUMBER(SEARCH("古馬条件",Z2563)),"古馬条件戦",IF(ISNUMBER(SEARCH("重賞",Z2563)),"重賞","分類不能")))))))))</f>
        <v/>
      </c>
    </row>
    <row r="2564" customFormat="false" ht="15.75" hidden="false" customHeight="false" outlineLevel="0" collapsed="false">
      <c r="AO2564" s="8" t="str">
        <f aca="false">IF(A2564="","",IF(COUNTIFS(全馬データ!$A$2:$A$50000,A2564,全馬データ!$B$2:$B$50000,B2564,全馬データ!$C$2:$C$50000,C2564,全馬データ!$D$2:$D$50000,E2564,全馬データ!$K$2:$K$50000,"&lt;&gt;")=0,"",SUMIFS(全馬データ!$K$2:$K$50000,全馬データ!$A$2:$A$50000,A2564,全馬データ!$B$2:$B$50000,B2564,全馬データ!$C$2:$C$50000,C2564,全馬データ!$D$2:$D$50000,E2564)))</f>
        <v/>
      </c>
      <c r="AP2564" s="8" t="str">
        <f aca="false">IF(A2564="","",IF(AO2564="","欠損",IF(AO2564&lt;=1.1,"1.0～1.1",IF(AO2564&lt;1.3,"1.2",IF(AO2564&lt;1.5,"1.3～1.4",IF(AO2564&lt;2,"1.5～1.9","2.0以上"))))))</f>
        <v/>
      </c>
      <c r="AQ2564" s="8" t="str">
        <f aca="false">IF(A2564="","",IF(ISNUMBER(SEARCH("2歳",Z2564)),"2歳戦",IF(ISNUMBER(SEARCH("3歳未勝利",Z2564)),"3歳未勝利",IF(ISNUMBER(SEARCH("未勝利",Z2564)),"その他未勝利",IF(ISNUMBER(SEARCH("G1",Z2564)),"G1",IF(ISNUMBER(SEARCH("G2",Z2564)),"G2",IF(ISNUMBER(SEARCH("G3",Z2564)),"G3",IF(ISNUMBER(SEARCH("古馬条件",Z2564)),"古馬条件戦",IF(ISNUMBER(SEARCH("重賞",Z2564)),"重賞","分類不能")))))))))</f>
        <v/>
      </c>
    </row>
    <row r="2565" customFormat="false" ht="15.75" hidden="false" customHeight="false" outlineLevel="0" collapsed="false">
      <c r="AO2565" s="8" t="str">
        <f aca="false">IF(A2565="","",IF(COUNTIFS(全馬データ!$A$2:$A$50000,A2565,全馬データ!$B$2:$B$50000,B2565,全馬データ!$C$2:$C$50000,C2565,全馬データ!$D$2:$D$50000,E2565,全馬データ!$K$2:$K$50000,"&lt;&gt;")=0,"",SUMIFS(全馬データ!$K$2:$K$50000,全馬データ!$A$2:$A$50000,A2565,全馬データ!$B$2:$B$50000,B2565,全馬データ!$C$2:$C$50000,C2565,全馬データ!$D$2:$D$50000,E2565)))</f>
        <v/>
      </c>
      <c r="AP2565" s="8" t="str">
        <f aca="false">IF(A2565="","",IF(AO2565="","欠損",IF(AO2565&lt;=1.1,"1.0～1.1",IF(AO2565&lt;1.3,"1.2",IF(AO2565&lt;1.5,"1.3～1.4",IF(AO2565&lt;2,"1.5～1.9","2.0以上"))))))</f>
        <v/>
      </c>
      <c r="AQ2565" s="8" t="str">
        <f aca="false">IF(A2565="","",IF(ISNUMBER(SEARCH("2歳",Z2565)),"2歳戦",IF(ISNUMBER(SEARCH("3歳未勝利",Z2565)),"3歳未勝利",IF(ISNUMBER(SEARCH("未勝利",Z2565)),"その他未勝利",IF(ISNUMBER(SEARCH("G1",Z2565)),"G1",IF(ISNUMBER(SEARCH("G2",Z2565)),"G2",IF(ISNUMBER(SEARCH("G3",Z2565)),"G3",IF(ISNUMBER(SEARCH("古馬条件",Z2565)),"古馬条件戦",IF(ISNUMBER(SEARCH("重賞",Z2565)),"重賞","分類不能")))))))))</f>
        <v/>
      </c>
    </row>
    <row r="2566" customFormat="false" ht="15.75" hidden="false" customHeight="false" outlineLevel="0" collapsed="false">
      <c r="AO2566" s="8" t="str">
        <f aca="false">IF(A2566="","",IF(COUNTIFS(全馬データ!$A$2:$A$50000,A2566,全馬データ!$B$2:$B$50000,B2566,全馬データ!$C$2:$C$50000,C2566,全馬データ!$D$2:$D$50000,E2566,全馬データ!$K$2:$K$50000,"&lt;&gt;")=0,"",SUMIFS(全馬データ!$K$2:$K$50000,全馬データ!$A$2:$A$50000,A2566,全馬データ!$B$2:$B$50000,B2566,全馬データ!$C$2:$C$50000,C2566,全馬データ!$D$2:$D$50000,E2566)))</f>
        <v/>
      </c>
      <c r="AP2566" s="8" t="str">
        <f aca="false">IF(A2566="","",IF(AO2566="","欠損",IF(AO2566&lt;=1.1,"1.0～1.1",IF(AO2566&lt;1.3,"1.2",IF(AO2566&lt;1.5,"1.3～1.4",IF(AO2566&lt;2,"1.5～1.9","2.0以上"))))))</f>
        <v/>
      </c>
      <c r="AQ2566" s="8" t="str">
        <f aca="false">IF(A2566="","",IF(ISNUMBER(SEARCH("2歳",Z2566)),"2歳戦",IF(ISNUMBER(SEARCH("3歳未勝利",Z2566)),"3歳未勝利",IF(ISNUMBER(SEARCH("未勝利",Z2566)),"その他未勝利",IF(ISNUMBER(SEARCH("G1",Z2566)),"G1",IF(ISNUMBER(SEARCH("G2",Z2566)),"G2",IF(ISNUMBER(SEARCH("G3",Z2566)),"G3",IF(ISNUMBER(SEARCH("古馬条件",Z2566)),"古馬条件戦",IF(ISNUMBER(SEARCH("重賞",Z2566)),"重賞","分類不能")))))))))</f>
        <v/>
      </c>
    </row>
    <row r="2567" customFormat="false" ht="15.75" hidden="false" customHeight="false" outlineLevel="0" collapsed="false">
      <c r="AO2567" s="8" t="str">
        <f aca="false">IF(A2567="","",IF(COUNTIFS(全馬データ!$A$2:$A$50000,A2567,全馬データ!$B$2:$B$50000,B2567,全馬データ!$C$2:$C$50000,C2567,全馬データ!$D$2:$D$50000,E2567,全馬データ!$K$2:$K$50000,"&lt;&gt;")=0,"",SUMIFS(全馬データ!$K$2:$K$50000,全馬データ!$A$2:$A$50000,A2567,全馬データ!$B$2:$B$50000,B2567,全馬データ!$C$2:$C$50000,C2567,全馬データ!$D$2:$D$50000,E2567)))</f>
        <v/>
      </c>
      <c r="AP2567" s="8" t="str">
        <f aca="false">IF(A2567="","",IF(AO2567="","欠損",IF(AO2567&lt;=1.1,"1.0～1.1",IF(AO2567&lt;1.3,"1.2",IF(AO2567&lt;1.5,"1.3～1.4",IF(AO2567&lt;2,"1.5～1.9","2.0以上"))))))</f>
        <v/>
      </c>
      <c r="AQ2567" s="8" t="str">
        <f aca="false">IF(A2567="","",IF(ISNUMBER(SEARCH("2歳",Z2567)),"2歳戦",IF(ISNUMBER(SEARCH("3歳未勝利",Z2567)),"3歳未勝利",IF(ISNUMBER(SEARCH("未勝利",Z2567)),"その他未勝利",IF(ISNUMBER(SEARCH("G1",Z2567)),"G1",IF(ISNUMBER(SEARCH("G2",Z2567)),"G2",IF(ISNUMBER(SEARCH("G3",Z2567)),"G3",IF(ISNUMBER(SEARCH("古馬条件",Z2567)),"古馬条件戦",IF(ISNUMBER(SEARCH("重賞",Z2567)),"重賞","分類不能")))))))))</f>
        <v/>
      </c>
    </row>
    <row r="2568" customFormat="false" ht="15.75" hidden="false" customHeight="false" outlineLevel="0" collapsed="false">
      <c r="AO2568" s="8" t="str">
        <f aca="false">IF(A2568="","",IF(COUNTIFS(全馬データ!$A$2:$A$50000,A2568,全馬データ!$B$2:$B$50000,B2568,全馬データ!$C$2:$C$50000,C2568,全馬データ!$D$2:$D$50000,E2568,全馬データ!$K$2:$K$50000,"&lt;&gt;")=0,"",SUMIFS(全馬データ!$K$2:$K$50000,全馬データ!$A$2:$A$50000,A2568,全馬データ!$B$2:$B$50000,B2568,全馬データ!$C$2:$C$50000,C2568,全馬データ!$D$2:$D$50000,E2568)))</f>
        <v/>
      </c>
      <c r="AP2568" s="8" t="str">
        <f aca="false">IF(A2568="","",IF(AO2568="","欠損",IF(AO2568&lt;=1.1,"1.0～1.1",IF(AO2568&lt;1.3,"1.2",IF(AO2568&lt;1.5,"1.3～1.4",IF(AO2568&lt;2,"1.5～1.9","2.0以上"))))))</f>
        <v/>
      </c>
      <c r="AQ2568" s="8" t="str">
        <f aca="false">IF(A2568="","",IF(ISNUMBER(SEARCH("2歳",Z2568)),"2歳戦",IF(ISNUMBER(SEARCH("3歳未勝利",Z2568)),"3歳未勝利",IF(ISNUMBER(SEARCH("未勝利",Z2568)),"その他未勝利",IF(ISNUMBER(SEARCH("G1",Z2568)),"G1",IF(ISNUMBER(SEARCH("G2",Z2568)),"G2",IF(ISNUMBER(SEARCH("G3",Z2568)),"G3",IF(ISNUMBER(SEARCH("古馬条件",Z2568)),"古馬条件戦",IF(ISNUMBER(SEARCH("重賞",Z2568)),"重賞","分類不能")))))))))</f>
        <v/>
      </c>
    </row>
    <row r="2569" customFormat="false" ht="15.75" hidden="false" customHeight="false" outlineLevel="0" collapsed="false">
      <c r="AO2569" s="8" t="str">
        <f aca="false">IF(A2569="","",IF(COUNTIFS(全馬データ!$A$2:$A$50000,A2569,全馬データ!$B$2:$B$50000,B2569,全馬データ!$C$2:$C$50000,C2569,全馬データ!$D$2:$D$50000,E2569,全馬データ!$K$2:$K$50000,"&lt;&gt;")=0,"",SUMIFS(全馬データ!$K$2:$K$50000,全馬データ!$A$2:$A$50000,A2569,全馬データ!$B$2:$B$50000,B2569,全馬データ!$C$2:$C$50000,C2569,全馬データ!$D$2:$D$50000,E2569)))</f>
        <v/>
      </c>
      <c r="AP2569" s="8" t="str">
        <f aca="false">IF(A2569="","",IF(AO2569="","欠損",IF(AO2569&lt;=1.1,"1.0～1.1",IF(AO2569&lt;1.3,"1.2",IF(AO2569&lt;1.5,"1.3～1.4",IF(AO2569&lt;2,"1.5～1.9","2.0以上"))))))</f>
        <v/>
      </c>
      <c r="AQ2569" s="8" t="str">
        <f aca="false">IF(A2569="","",IF(ISNUMBER(SEARCH("2歳",Z2569)),"2歳戦",IF(ISNUMBER(SEARCH("3歳未勝利",Z2569)),"3歳未勝利",IF(ISNUMBER(SEARCH("未勝利",Z2569)),"その他未勝利",IF(ISNUMBER(SEARCH("G1",Z2569)),"G1",IF(ISNUMBER(SEARCH("G2",Z2569)),"G2",IF(ISNUMBER(SEARCH("G3",Z2569)),"G3",IF(ISNUMBER(SEARCH("古馬条件",Z2569)),"古馬条件戦",IF(ISNUMBER(SEARCH("重賞",Z2569)),"重賞","分類不能")))))))))</f>
        <v/>
      </c>
    </row>
    <row r="2570" customFormat="false" ht="15.75" hidden="false" customHeight="false" outlineLevel="0" collapsed="false">
      <c r="AO2570" s="8" t="str">
        <f aca="false">IF(A2570="","",IF(COUNTIFS(全馬データ!$A$2:$A$50000,A2570,全馬データ!$B$2:$B$50000,B2570,全馬データ!$C$2:$C$50000,C2570,全馬データ!$D$2:$D$50000,E2570,全馬データ!$K$2:$K$50000,"&lt;&gt;")=0,"",SUMIFS(全馬データ!$K$2:$K$50000,全馬データ!$A$2:$A$50000,A2570,全馬データ!$B$2:$B$50000,B2570,全馬データ!$C$2:$C$50000,C2570,全馬データ!$D$2:$D$50000,E2570)))</f>
        <v/>
      </c>
      <c r="AP2570" s="8" t="str">
        <f aca="false">IF(A2570="","",IF(AO2570="","欠損",IF(AO2570&lt;=1.1,"1.0～1.1",IF(AO2570&lt;1.3,"1.2",IF(AO2570&lt;1.5,"1.3～1.4",IF(AO2570&lt;2,"1.5～1.9","2.0以上"))))))</f>
        <v/>
      </c>
      <c r="AQ2570" s="8" t="str">
        <f aca="false">IF(A2570="","",IF(ISNUMBER(SEARCH("2歳",Z2570)),"2歳戦",IF(ISNUMBER(SEARCH("3歳未勝利",Z2570)),"3歳未勝利",IF(ISNUMBER(SEARCH("未勝利",Z2570)),"その他未勝利",IF(ISNUMBER(SEARCH("G1",Z2570)),"G1",IF(ISNUMBER(SEARCH("G2",Z2570)),"G2",IF(ISNUMBER(SEARCH("G3",Z2570)),"G3",IF(ISNUMBER(SEARCH("古馬条件",Z2570)),"古馬条件戦",IF(ISNUMBER(SEARCH("重賞",Z2570)),"重賞","分類不能")))))))))</f>
        <v/>
      </c>
    </row>
    <row r="2571" customFormat="false" ht="15.75" hidden="false" customHeight="false" outlineLevel="0" collapsed="false">
      <c r="AO2571" s="8" t="str">
        <f aca="false">IF(A2571="","",IF(COUNTIFS(全馬データ!$A$2:$A$50000,A2571,全馬データ!$B$2:$B$50000,B2571,全馬データ!$C$2:$C$50000,C2571,全馬データ!$D$2:$D$50000,E2571,全馬データ!$K$2:$K$50000,"&lt;&gt;")=0,"",SUMIFS(全馬データ!$K$2:$K$50000,全馬データ!$A$2:$A$50000,A2571,全馬データ!$B$2:$B$50000,B2571,全馬データ!$C$2:$C$50000,C2571,全馬データ!$D$2:$D$50000,E2571)))</f>
        <v/>
      </c>
      <c r="AP2571" s="8" t="str">
        <f aca="false">IF(A2571="","",IF(AO2571="","欠損",IF(AO2571&lt;=1.1,"1.0～1.1",IF(AO2571&lt;1.3,"1.2",IF(AO2571&lt;1.5,"1.3～1.4",IF(AO2571&lt;2,"1.5～1.9","2.0以上"))))))</f>
        <v/>
      </c>
      <c r="AQ2571" s="8" t="str">
        <f aca="false">IF(A2571="","",IF(ISNUMBER(SEARCH("2歳",Z2571)),"2歳戦",IF(ISNUMBER(SEARCH("3歳未勝利",Z2571)),"3歳未勝利",IF(ISNUMBER(SEARCH("未勝利",Z2571)),"その他未勝利",IF(ISNUMBER(SEARCH("G1",Z2571)),"G1",IF(ISNUMBER(SEARCH("G2",Z2571)),"G2",IF(ISNUMBER(SEARCH("G3",Z2571)),"G3",IF(ISNUMBER(SEARCH("古馬条件",Z2571)),"古馬条件戦",IF(ISNUMBER(SEARCH("重賞",Z2571)),"重賞","分類不能")))))))))</f>
        <v/>
      </c>
    </row>
    <row r="2572" customFormat="false" ht="15.75" hidden="false" customHeight="false" outlineLevel="0" collapsed="false">
      <c r="AO2572" s="8" t="str">
        <f aca="false">IF(A2572="","",IF(COUNTIFS(全馬データ!$A$2:$A$50000,A2572,全馬データ!$B$2:$B$50000,B2572,全馬データ!$C$2:$C$50000,C2572,全馬データ!$D$2:$D$50000,E2572,全馬データ!$K$2:$K$50000,"&lt;&gt;")=0,"",SUMIFS(全馬データ!$K$2:$K$50000,全馬データ!$A$2:$A$50000,A2572,全馬データ!$B$2:$B$50000,B2572,全馬データ!$C$2:$C$50000,C2572,全馬データ!$D$2:$D$50000,E2572)))</f>
        <v/>
      </c>
      <c r="AP2572" s="8" t="str">
        <f aca="false">IF(A2572="","",IF(AO2572="","欠損",IF(AO2572&lt;=1.1,"1.0～1.1",IF(AO2572&lt;1.3,"1.2",IF(AO2572&lt;1.5,"1.3～1.4",IF(AO2572&lt;2,"1.5～1.9","2.0以上"))))))</f>
        <v/>
      </c>
      <c r="AQ2572" s="8" t="str">
        <f aca="false">IF(A2572="","",IF(ISNUMBER(SEARCH("2歳",Z2572)),"2歳戦",IF(ISNUMBER(SEARCH("3歳未勝利",Z2572)),"3歳未勝利",IF(ISNUMBER(SEARCH("未勝利",Z2572)),"その他未勝利",IF(ISNUMBER(SEARCH("G1",Z2572)),"G1",IF(ISNUMBER(SEARCH("G2",Z2572)),"G2",IF(ISNUMBER(SEARCH("G3",Z2572)),"G3",IF(ISNUMBER(SEARCH("古馬条件",Z2572)),"古馬条件戦",IF(ISNUMBER(SEARCH("重賞",Z2572)),"重賞","分類不能")))))))))</f>
        <v/>
      </c>
    </row>
    <row r="2573" customFormat="false" ht="15.75" hidden="false" customHeight="false" outlineLevel="0" collapsed="false">
      <c r="AO2573" s="8" t="str">
        <f aca="false">IF(A2573="","",IF(COUNTIFS(全馬データ!$A$2:$A$50000,A2573,全馬データ!$B$2:$B$50000,B2573,全馬データ!$C$2:$C$50000,C2573,全馬データ!$D$2:$D$50000,E2573,全馬データ!$K$2:$K$50000,"&lt;&gt;")=0,"",SUMIFS(全馬データ!$K$2:$K$50000,全馬データ!$A$2:$A$50000,A2573,全馬データ!$B$2:$B$50000,B2573,全馬データ!$C$2:$C$50000,C2573,全馬データ!$D$2:$D$50000,E2573)))</f>
        <v/>
      </c>
      <c r="AP2573" s="8" t="str">
        <f aca="false">IF(A2573="","",IF(AO2573="","欠損",IF(AO2573&lt;=1.1,"1.0～1.1",IF(AO2573&lt;1.3,"1.2",IF(AO2573&lt;1.5,"1.3～1.4",IF(AO2573&lt;2,"1.5～1.9","2.0以上"))))))</f>
        <v/>
      </c>
      <c r="AQ2573" s="8" t="str">
        <f aca="false">IF(A2573="","",IF(ISNUMBER(SEARCH("2歳",Z2573)),"2歳戦",IF(ISNUMBER(SEARCH("3歳未勝利",Z2573)),"3歳未勝利",IF(ISNUMBER(SEARCH("未勝利",Z2573)),"その他未勝利",IF(ISNUMBER(SEARCH("G1",Z2573)),"G1",IF(ISNUMBER(SEARCH("G2",Z2573)),"G2",IF(ISNUMBER(SEARCH("G3",Z2573)),"G3",IF(ISNUMBER(SEARCH("古馬条件",Z2573)),"古馬条件戦",IF(ISNUMBER(SEARCH("重賞",Z2573)),"重賞","分類不能")))))))))</f>
        <v/>
      </c>
    </row>
    <row r="2574" customFormat="false" ht="15.75" hidden="false" customHeight="false" outlineLevel="0" collapsed="false">
      <c r="AO2574" s="8" t="str">
        <f aca="false">IF(A2574="","",IF(COUNTIFS(全馬データ!$A$2:$A$50000,A2574,全馬データ!$B$2:$B$50000,B2574,全馬データ!$C$2:$C$50000,C2574,全馬データ!$D$2:$D$50000,E2574,全馬データ!$K$2:$K$50000,"&lt;&gt;")=0,"",SUMIFS(全馬データ!$K$2:$K$50000,全馬データ!$A$2:$A$50000,A2574,全馬データ!$B$2:$B$50000,B2574,全馬データ!$C$2:$C$50000,C2574,全馬データ!$D$2:$D$50000,E2574)))</f>
        <v/>
      </c>
      <c r="AP2574" s="8" t="str">
        <f aca="false">IF(A2574="","",IF(AO2574="","欠損",IF(AO2574&lt;=1.1,"1.0～1.1",IF(AO2574&lt;1.3,"1.2",IF(AO2574&lt;1.5,"1.3～1.4",IF(AO2574&lt;2,"1.5～1.9","2.0以上"))))))</f>
        <v/>
      </c>
      <c r="AQ2574" s="8" t="str">
        <f aca="false">IF(A2574="","",IF(ISNUMBER(SEARCH("2歳",Z2574)),"2歳戦",IF(ISNUMBER(SEARCH("3歳未勝利",Z2574)),"3歳未勝利",IF(ISNUMBER(SEARCH("未勝利",Z2574)),"その他未勝利",IF(ISNUMBER(SEARCH("G1",Z2574)),"G1",IF(ISNUMBER(SEARCH("G2",Z2574)),"G2",IF(ISNUMBER(SEARCH("G3",Z2574)),"G3",IF(ISNUMBER(SEARCH("古馬条件",Z2574)),"古馬条件戦",IF(ISNUMBER(SEARCH("重賞",Z2574)),"重賞","分類不能")))))))))</f>
        <v/>
      </c>
    </row>
    <row r="2575" customFormat="false" ht="15.75" hidden="false" customHeight="false" outlineLevel="0" collapsed="false">
      <c r="AO2575" s="8" t="str">
        <f aca="false">IF(A2575="","",IF(COUNTIFS(全馬データ!$A$2:$A$50000,A2575,全馬データ!$B$2:$B$50000,B2575,全馬データ!$C$2:$C$50000,C2575,全馬データ!$D$2:$D$50000,E2575,全馬データ!$K$2:$K$50000,"&lt;&gt;")=0,"",SUMIFS(全馬データ!$K$2:$K$50000,全馬データ!$A$2:$A$50000,A2575,全馬データ!$B$2:$B$50000,B2575,全馬データ!$C$2:$C$50000,C2575,全馬データ!$D$2:$D$50000,E2575)))</f>
        <v/>
      </c>
      <c r="AP2575" s="8" t="str">
        <f aca="false">IF(A2575="","",IF(AO2575="","欠損",IF(AO2575&lt;=1.1,"1.0～1.1",IF(AO2575&lt;1.3,"1.2",IF(AO2575&lt;1.5,"1.3～1.4",IF(AO2575&lt;2,"1.5～1.9","2.0以上"))))))</f>
        <v/>
      </c>
      <c r="AQ2575" s="8" t="str">
        <f aca="false">IF(A2575="","",IF(ISNUMBER(SEARCH("2歳",Z2575)),"2歳戦",IF(ISNUMBER(SEARCH("3歳未勝利",Z2575)),"3歳未勝利",IF(ISNUMBER(SEARCH("未勝利",Z2575)),"その他未勝利",IF(ISNUMBER(SEARCH("G1",Z2575)),"G1",IF(ISNUMBER(SEARCH("G2",Z2575)),"G2",IF(ISNUMBER(SEARCH("G3",Z2575)),"G3",IF(ISNUMBER(SEARCH("古馬条件",Z2575)),"古馬条件戦",IF(ISNUMBER(SEARCH("重賞",Z2575)),"重賞","分類不能")))))))))</f>
        <v/>
      </c>
    </row>
    <row r="2576" customFormat="false" ht="15.75" hidden="false" customHeight="false" outlineLevel="0" collapsed="false">
      <c r="AO2576" s="8" t="str">
        <f aca="false">IF(A2576="","",IF(COUNTIFS(全馬データ!$A$2:$A$50000,A2576,全馬データ!$B$2:$B$50000,B2576,全馬データ!$C$2:$C$50000,C2576,全馬データ!$D$2:$D$50000,E2576,全馬データ!$K$2:$K$50000,"&lt;&gt;")=0,"",SUMIFS(全馬データ!$K$2:$K$50000,全馬データ!$A$2:$A$50000,A2576,全馬データ!$B$2:$B$50000,B2576,全馬データ!$C$2:$C$50000,C2576,全馬データ!$D$2:$D$50000,E2576)))</f>
        <v/>
      </c>
      <c r="AP2576" s="8" t="str">
        <f aca="false">IF(A2576="","",IF(AO2576="","欠損",IF(AO2576&lt;=1.1,"1.0～1.1",IF(AO2576&lt;1.3,"1.2",IF(AO2576&lt;1.5,"1.3～1.4",IF(AO2576&lt;2,"1.5～1.9","2.0以上"))))))</f>
        <v/>
      </c>
      <c r="AQ2576" s="8" t="str">
        <f aca="false">IF(A2576="","",IF(ISNUMBER(SEARCH("2歳",Z2576)),"2歳戦",IF(ISNUMBER(SEARCH("3歳未勝利",Z2576)),"3歳未勝利",IF(ISNUMBER(SEARCH("未勝利",Z2576)),"その他未勝利",IF(ISNUMBER(SEARCH("G1",Z2576)),"G1",IF(ISNUMBER(SEARCH("G2",Z2576)),"G2",IF(ISNUMBER(SEARCH("G3",Z2576)),"G3",IF(ISNUMBER(SEARCH("古馬条件",Z2576)),"古馬条件戦",IF(ISNUMBER(SEARCH("重賞",Z2576)),"重賞","分類不能")))))))))</f>
        <v/>
      </c>
    </row>
    <row r="2577" customFormat="false" ht="15.75" hidden="false" customHeight="false" outlineLevel="0" collapsed="false">
      <c r="AO2577" s="8" t="str">
        <f aca="false">IF(A2577="","",IF(COUNTIFS(全馬データ!$A$2:$A$50000,A2577,全馬データ!$B$2:$B$50000,B2577,全馬データ!$C$2:$C$50000,C2577,全馬データ!$D$2:$D$50000,E2577,全馬データ!$K$2:$K$50000,"&lt;&gt;")=0,"",SUMIFS(全馬データ!$K$2:$K$50000,全馬データ!$A$2:$A$50000,A2577,全馬データ!$B$2:$B$50000,B2577,全馬データ!$C$2:$C$50000,C2577,全馬データ!$D$2:$D$50000,E2577)))</f>
        <v/>
      </c>
      <c r="AP2577" s="8" t="str">
        <f aca="false">IF(A2577="","",IF(AO2577="","欠損",IF(AO2577&lt;=1.1,"1.0～1.1",IF(AO2577&lt;1.3,"1.2",IF(AO2577&lt;1.5,"1.3～1.4",IF(AO2577&lt;2,"1.5～1.9","2.0以上"))))))</f>
        <v/>
      </c>
      <c r="AQ2577" s="8" t="str">
        <f aca="false">IF(A2577="","",IF(ISNUMBER(SEARCH("2歳",Z2577)),"2歳戦",IF(ISNUMBER(SEARCH("3歳未勝利",Z2577)),"3歳未勝利",IF(ISNUMBER(SEARCH("未勝利",Z2577)),"その他未勝利",IF(ISNUMBER(SEARCH("G1",Z2577)),"G1",IF(ISNUMBER(SEARCH("G2",Z2577)),"G2",IF(ISNUMBER(SEARCH("G3",Z2577)),"G3",IF(ISNUMBER(SEARCH("古馬条件",Z2577)),"古馬条件戦",IF(ISNUMBER(SEARCH("重賞",Z2577)),"重賞","分類不能")))))))))</f>
        <v/>
      </c>
    </row>
    <row r="2578" customFormat="false" ht="15.75" hidden="false" customHeight="false" outlineLevel="0" collapsed="false">
      <c r="AO2578" s="8" t="str">
        <f aca="false">IF(A2578="","",IF(COUNTIFS(全馬データ!$A$2:$A$50000,A2578,全馬データ!$B$2:$B$50000,B2578,全馬データ!$C$2:$C$50000,C2578,全馬データ!$D$2:$D$50000,E2578,全馬データ!$K$2:$K$50000,"&lt;&gt;")=0,"",SUMIFS(全馬データ!$K$2:$K$50000,全馬データ!$A$2:$A$50000,A2578,全馬データ!$B$2:$B$50000,B2578,全馬データ!$C$2:$C$50000,C2578,全馬データ!$D$2:$D$50000,E2578)))</f>
        <v/>
      </c>
      <c r="AP2578" s="8" t="str">
        <f aca="false">IF(A2578="","",IF(AO2578="","欠損",IF(AO2578&lt;=1.1,"1.0～1.1",IF(AO2578&lt;1.3,"1.2",IF(AO2578&lt;1.5,"1.3～1.4",IF(AO2578&lt;2,"1.5～1.9","2.0以上"))))))</f>
        <v/>
      </c>
      <c r="AQ2578" s="8" t="str">
        <f aca="false">IF(A2578="","",IF(ISNUMBER(SEARCH("2歳",Z2578)),"2歳戦",IF(ISNUMBER(SEARCH("3歳未勝利",Z2578)),"3歳未勝利",IF(ISNUMBER(SEARCH("未勝利",Z2578)),"その他未勝利",IF(ISNUMBER(SEARCH("G1",Z2578)),"G1",IF(ISNUMBER(SEARCH("G2",Z2578)),"G2",IF(ISNUMBER(SEARCH("G3",Z2578)),"G3",IF(ISNUMBER(SEARCH("古馬条件",Z2578)),"古馬条件戦",IF(ISNUMBER(SEARCH("重賞",Z2578)),"重賞","分類不能")))))))))</f>
        <v/>
      </c>
    </row>
    <row r="2579" customFormat="false" ht="15.75" hidden="false" customHeight="false" outlineLevel="0" collapsed="false">
      <c r="AO2579" s="8" t="str">
        <f aca="false">IF(A2579="","",IF(COUNTIFS(全馬データ!$A$2:$A$50000,A2579,全馬データ!$B$2:$B$50000,B2579,全馬データ!$C$2:$C$50000,C2579,全馬データ!$D$2:$D$50000,E2579,全馬データ!$K$2:$K$50000,"&lt;&gt;")=0,"",SUMIFS(全馬データ!$K$2:$K$50000,全馬データ!$A$2:$A$50000,A2579,全馬データ!$B$2:$B$50000,B2579,全馬データ!$C$2:$C$50000,C2579,全馬データ!$D$2:$D$50000,E2579)))</f>
        <v/>
      </c>
      <c r="AP2579" s="8" t="str">
        <f aca="false">IF(A2579="","",IF(AO2579="","欠損",IF(AO2579&lt;=1.1,"1.0～1.1",IF(AO2579&lt;1.3,"1.2",IF(AO2579&lt;1.5,"1.3～1.4",IF(AO2579&lt;2,"1.5～1.9","2.0以上"))))))</f>
        <v/>
      </c>
      <c r="AQ2579" s="8" t="str">
        <f aca="false">IF(A2579="","",IF(ISNUMBER(SEARCH("2歳",Z2579)),"2歳戦",IF(ISNUMBER(SEARCH("3歳未勝利",Z2579)),"3歳未勝利",IF(ISNUMBER(SEARCH("未勝利",Z2579)),"その他未勝利",IF(ISNUMBER(SEARCH("G1",Z2579)),"G1",IF(ISNUMBER(SEARCH("G2",Z2579)),"G2",IF(ISNUMBER(SEARCH("G3",Z2579)),"G3",IF(ISNUMBER(SEARCH("古馬条件",Z2579)),"古馬条件戦",IF(ISNUMBER(SEARCH("重賞",Z2579)),"重賞","分類不能")))))))))</f>
        <v/>
      </c>
    </row>
    <row r="2580" customFormat="false" ht="15.75" hidden="false" customHeight="false" outlineLevel="0" collapsed="false">
      <c r="AO2580" s="8" t="str">
        <f aca="false">IF(A2580="","",IF(COUNTIFS(全馬データ!$A$2:$A$50000,A2580,全馬データ!$B$2:$B$50000,B2580,全馬データ!$C$2:$C$50000,C2580,全馬データ!$D$2:$D$50000,E2580,全馬データ!$K$2:$K$50000,"&lt;&gt;")=0,"",SUMIFS(全馬データ!$K$2:$K$50000,全馬データ!$A$2:$A$50000,A2580,全馬データ!$B$2:$B$50000,B2580,全馬データ!$C$2:$C$50000,C2580,全馬データ!$D$2:$D$50000,E2580)))</f>
        <v/>
      </c>
      <c r="AP2580" s="8" t="str">
        <f aca="false">IF(A2580="","",IF(AO2580="","欠損",IF(AO2580&lt;=1.1,"1.0～1.1",IF(AO2580&lt;1.3,"1.2",IF(AO2580&lt;1.5,"1.3～1.4",IF(AO2580&lt;2,"1.5～1.9","2.0以上"))))))</f>
        <v/>
      </c>
      <c r="AQ2580" s="8" t="str">
        <f aca="false">IF(A2580="","",IF(ISNUMBER(SEARCH("2歳",Z2580)),"2歳戦",IF(ISNUMBER(SEARCH("3歳未勝利",Z2580)),"3歳未勝利",IF(ISNUMBER(SEARCH("未勝利",Z2580)),"その他未勝利",IF(ISNUMBER(SEARCH("G1",Z2580)),"G1",IF(ISNUMBER(SEARCH("G2",Z2580)),"G2",IF(ISNUMBER(SEARCH("G3",Z2580)),"G3",IF(ISNUMBER(SEARCH("古馬条件",Z2580)),"古馬条件戦",IF(ISNUMBER(SEARCH("重賞",Z2580)),"重賞","分類不能")))))))))</f>
        <v/>
      </c>
    </row>
    <row r="2581" customFormat="false" ht="15.75" hidden="false" customHeight="false" outlineLevel="0" collapsed="false">
      <c r="AO2581" s="8" t="str">
        <f aca="false">IF(A2581="","",IF(COUNTIFS(全馬データ!$A$2:$A$50000,A2581,全馬データ!$B$2:$B$50000,B2581,全馬データ!$C$2:$C$50000,C2581,全馬データ!$D$2:$D$50000,E2581,全馬データ!$K$2:$K$50000,"&lt;&gt;")=0,"",SUMIFS(全馬データ!$K$2:$K$50000,全馬データ!$A$2:$A$50000,A2581,全馬データ!$B$2:$B$50000,B2581,全馬データ!$C$2:$C$50000,C2581,全馬データ!$D$2:$D$50000,E2581)))</f>
        <v/>
      </c>
      <c r="AP2581" s="8" t="str">
        <f aca="false">IF(A2581="","",IF(AO2581="","欠損",IF(AO2581&lt;=1.1,"1.0～1.1",IF(AO2581&lt;1.3,"1.2",IF(AO2581&lt;1.5,"1.3～1.4",IF(AO2581&lt;2,"1.5～1.9","2.0以上"))))))</f>
        <v/>
      </c>
      <c r="AQ2581" s="8" t="str">
        <f aca="false">IF(A2581="","",IF(ISNUMBER(SEARCH("2歳",Z2581)),"2歳戦",IF(ISNUMBER(SEARCH("3歳未勝利",Z2581)),"3歳未勝利",IF(ISNUMBER(SEARCH("未勝利",Z2581)),"その他未勝利",IF(ISNUMBER(SEARCH("G1",Z2581)),"G1",IF(ISNUMBER(SEARCH("G2",Z2581)),"G2",IF(ISNUMBER(SEARCH("G3",Z2581)),"G3",IF(ISNUMBER(SEARCH("古馬条件",Z2581)),"古馬条件戦",IF(ISNUMBER(SEARCH("重賞",Z2581)),"重賞","分類不能")))))))))</f>
        <v/>
      </c>
    </row>
    <row r="2582" customFormat="false" ht="15.75" hidden="false" customHeight="false" outlineLevel="0" collapsed="false">
      <c r="AO2582" s="8" t="str">
        <f aca="false">IF(A2582="","",IF(COUNTIFS(全馬データ!$A$2:$A$50000,A2582,全馬データ!$B$2:$B$50000,B2582,全馬データ!$C$2:$C$50000,C2582,全馬データ!$D$2:$D$50000,E2582,全馬データ!$K$2:$K$50000,"&lt;&gt;")=0,"",SUMIFS(全馬データ!$K$2:$K$50000,全馬データ!$A$2:$A$50000,A2582,全馬データ!$B$2:$B$50000,B2582,全馬データ!$C$2:$C$50000,C2582,全馬データ!$D$2:$D$50000,E2582)))</f>
        <v/>
      </c>
      <c r="AP2582" s="8" t="str">
        <f aca="false">IF(A2582="","",IF(AO2582="","欠損",IF(AO2582&lt;=1.1,"1.0～1.1",IF(AO2582&lt;1.3,"1.2",IF(AO2582&lt;1.5,"1.3～1.4",IF(AO2582&lt;2,"1.5～1.9","2.0以上"))))))</f>
        <v/>
      </c>
      <c r="AQ2582" s="8" t="str">
        <f aca="false">IF(A2582="","",IF(ISNUMBER(SEARCH("2歳",Z2582)),"2歳戦",IF(ISNUMBER(SEARCH("3歳未勝利",Z2582)),"3歳未勝利",IF(ISNUMBER(SEARCH("未勝利",Z2582)),"その他未勝利",IF(ISNUMBER(SEARCH("G1",Z2582)),"G1",IF(ISNUMBER(SEARCH("G2",Z2582)),"G2",IF(ISNUMBER(SEARCH("G3",Z2582)),"G3",IF(ISNUMBER(SEARCH("古馬条件",Z2582)),"古馬条件戦",IF(ISNUMBER(SEARCH("重賞",Z2582)),"重賞","分類不能")))))))))</f>
        <v/>
      </c>
    </row>
    <row r="2583" customFormat="false" ht="15.75" hidden="false" customHeight="false" outlineLevel="0" collapsed="false">
      <c r="AO2583" s="8" t="str">
        <f aca="false">IF(A2583="","",IF(COUNTIFS(全馬データ!$A$2:$A$50000,A2583,全馬データ!$B$2:$B$50000,B2583,全馬データ!$C$2:$C$50000,C2583,全馬データ!$D$2:$D$50000,E2583,全馬データ!$K$2:$K$50000,"&lt;&gt;")=0,"",SUMIFS(全馬データ!$K$2:$K$50000,全馬データ!$A$2:$A$50000,A2583,全馬データ!$B$2:$B$50000,B2583,全馬データ!$C$2:$C$50000,C2583,全馬データ!$D$2:$D$50000,E2583)))</f>
        <v/>
      </c>
      <c r="AP2583" s="8" t="str">
        <f aca="false">IF(A2583="","",IF(AO2583="","欠損",IF(AO2583&lt;=1.1,"1.0～1.1",IF(AO2583&lt;1.3,"1.2",IF(AO2583&lt;1.5,"1.3～1.4",IF(AO2583&lt;2,"1.5～1.9","2.0以上"))))))</f>
        <v/>
      </c>
      <c r="AQ2583" s="8" t="str">
        <f aca="false">IF(A2583="","",IF(ISNUMBER(SEARCH("2歳",Z2583)),"2歳戦",IF(ISNUMBER(SEARCH("3歳未勝利",Z2583)),"3歳未勝利",IF(ISNUMBER(SEARCH("未勝利",Z2583)),"その他未勝利",IF(ISNUMBER(SEARCH("G1",Z2583)),"G1",IF(ISNUMBER(SEARCH("G2",Z2583)),"G2",IF(ISNUMBER(SEARCH("G3",Z2583)),"G3",IF(ISNUMBER(SEARCH("古馬条件",Z2583)),"古馬条件戦",IF(ISNUMBER(SEARCH("重賞",Z2583)),"重賞","分類不能")))))))))</f>
        <v/>
      </c>
    </row>
    <row r="2584" customFormat="false" ht="15.75" hidden="false" customHeight="false" outlineLevel="0" collapsed="false">
      <c r="AO2584" s="8" t="str">
        <f aca="false">IF(A2584="","",IF(COUNTIFS(全馬データ!$A$2:$A$50000,A2584,全馬データ!$B$2:$B$50000,B2584,全馬データ!$C$2:$C$50000,C2584,全馬データ!$D$2:$D$50000,E2584,全馬データ!$K$2:$K$50000,"&lt;&gt;")=0,"",SUMIFS(全馬データ!$K$2:$K$50000,全馬データ!$A$2:$A$50000,A2584,全馬データ!$B$2:$B$50000,B2584,全馬データ!$C$2:$C$50000,C2584,全馬データ!$D$2:$D$50000,E2584)))</f>
        <v/>
      </c>
      <c r="AP2584" s="8" t="str">
        <f aca="false">IF(A2584="","",IF(AO2584="","欠損",IF(AO2584&lt;=1.1,"1.0～1.1",IF(AO2584&lt;1.3,"1.2",IF(AO2584&lt;1.5,"1.3～1.4",IF(AO2584&lt;2,"1.5～1.9","2.0以上"))))))</f>
        <v/>
      </c>
      <c r="AQ2584" s="8" t="str">
        <f aca="false">IF(A2584="","",IF(ISNUMBER(SEARCH("2歳",Z2584)),"2歳戦",IF(ISNUMBER(SEARCH("3歳未勝利",Z2584)),"3歳未勝利",IF(ISNUMBER(SEARCH("未勝利",Z2584)),"その他未勝利",IF(ISNUMBER(SEARCH("G1",Z2584)),"G1",IF(ISNUMBER(SEARCH("G2",Z2584)),"G2",IF(ISNUMBER(SEARCH("G3",Z2584)),"G3",IF(ISNUMBER(SEARCH("古馬条件",Z2584)),"古馬条件戦",IF(ISNUMBER(SEARCH("重賞",Z2584)),"重賞","分類不能")))))))))</f>
        <v/>
      </c>
    </row>
    <row r="2585" customFormat="false" ht="15.75" hidden="false" customHeight="false" outlineLevel="0" collapsed="false">
      <c r="AO2585" s="8" t="str">
        <f aca="false">IF(A2585="","",IF(COUNTIFS(全馬データ!$A$2:$A$50000,A2585,全馬データ!$B$2:$B$50000,B2585,全馬データ!$C$2:$C$50000,C2585,全馬データ!$D$2:$D$50000,E2585,全馬データ!$K$2:$K$50000,"&lt;&gt;")=0,"",SUMIFS(全馬データ!$K$2:$K$50000,全馬データ!$A$2:$A$50000,A2585,全馬データ!$B$2:$B$50000,B2585,全馬データ!$C$2:$C$50000,C2585,全馬データ!$D$2:$D$50000,E2585)))</f>
        <v/>
      </c>
      <c r="AP2585" s="8" t="str">
        <f aca="false">IF(A2585="","",IF(AO2585="","欠損",IF(AO2585&lt;=1.1,"1.0～1.1",IF(AO2585&lt;1.3,"1.2",IF(AO2585&lt;1.5,"1.3～1.4",IF(AO2585&lt;2,"1.5～1.9","2.0以上"))))))</f>
        <v/>
      </c>
      <c r="AQ2585" s="8" t="str">
        <f aca="false">IF(A2585="","",IF(ISNUMBER(SEARCH("2歳",Z2585)),"2歳戦",IF(ISNUMBER(SEARCH("3歳未勝利",Z2585)),"3歳未勝利",IF(ISNUMBER(SEARCH("未勝利",Z2585)),"その他未勝利",IF(ISNUMBER(SEARCH("G1",Z2585)),"G1",IF(ISNUMBER(SEARCH("G2",Z2585)),"G2",IF(ISNUMBER(SEARCH("G3",Z2585)),"G3",IF(ISNUMBER(SEARCH("古馬条件",Z2585)),"古馬条件戦",IF(ISNUMBER(SEARCH("重賞",Z2585)),"重賞","分類不能")))))))))</f>
        <v/>
      </c>
    </row>
    <row r="2586" customFormat="false" ht="15.75" hidden="false" customHeight="false" outlineLevel="0" collapsed="false">
      <c r="AO2586" s="8" t="str">
        <f aca="false">IF(A2586="","",IF(COUNTIFS(全馬データ!$A$2:$A$50000,A2586,全馬データ!$B$2:$B$50000,B2586,全馬データ!$C$2:$C$50000,C2586,全馬データ!$D$2:$D$50000,E2586,全馬データ!$K$2:$K$50000,"&lt;&gt;")=0,"",SUMIFS(全馬データ!$K$2:$K$50000,全馬データ!$A$2:$A$50000,A2586,全馬データ!$B$2:$B$50000,B2586,全馬データ!$C$2:$C$50000,C2586,全馬データ!$D$2:$D$50000,E2586)))</f>
        <v/>
      </c>
      <c r="AP2586" s="8" t="str">
        <f aca="false">IF(A2586="","",IF(AO2586="","欠損",IF(AO2586&lt;=1.1,"1.0～1.1",IF(AO2586&lt;1.3,"1.2",IF(AO2586&lt;1.5,"1.3～1.4",IF(AO2586&lt;2,"1.5～1.9","2.0以上"))))))</f>
        <v/>
      </c>
      <c r="AQ2586" s="8" t="str">
        <f aca="false">IF(A2586="","",IF(ISNUMBER(SEARCH("2歳",Z2586)),"2歳戦",IF(ISNUMBER(SEARCH("3歳未勝利",Z2586)),"3歳未勝利",IF(ISNUMBER(SEARCH("未勝利",Z2586)),"その他未勝利",IF(ISNUMBER(SEARCH("G1",Z2586)),"G1",IF(ISNUMBER(SEARCH("G2",Z2586)),"G2",IF(ISNUMBER(SEARCH("G3",Z2586)),"G3",IF(ISNUMBER(SEARCH("古馬条件",Z2586)),"古馬条件戦",IF(ISNUMBER(SEARCH("重賞",Z2586)),"重賞","分類不能")))))))))</f>
        <v/>
      </c>
    </row>
    <row r="2587" customFormat="false" ht="15.75" hidden="false" customHeight="false" outlineLevel="0" collapsed="false">
      <c r="AO2587" s="8" t="str">
        <f aca="false">IF(A2587="","",IF(COUNTIFS(全馬データ!$A$2:$A$50000,A2587,全馬データ!$B$2:$B$50000,B2587,全馬データ!$C$2:$C$50000,C2587,全馬データ!$D$2:$D$50000,E2587,全馬データ!$K$2:$K$50000,"&lt;&gt;")=0,"",SUMIFS(全馬データ!$K$2:$K$50000,全馬データ!$A$2:$A$50000,A2587,全馬データ!$B$2:$B$50000,B2587,全馬データ!$C$2:$C$50000,C2587,全馬データ!$D$2:$D$50000,E2587)))</f>
        <v/>
      </c>
      <c r="AP2587" s="8" t="str">
        <f aca="false">IF(A2587="","",IF(AO2587="","欠損",IF(AO2587&lt;=1.1,"1.0～1.1",IF(AO2587&lt;1.3,"1.2",IF(AO2587&lt;1.5,"1.3～1.4",IF(AO2587&lt;2,"1.5～1.9","2.0以上"))))))</f>
        <v/>
      </c>
      <c r="AQ2587" s="8" t="str">
        <f aca="false">IF(A2587="","",IF(ISNUMBER(SEARCH("2歳",Z2587)),"2歳戦",IF(ISNUMBER(SEARCH("3歳未勝利",Z2587)),"3歳未勝利",IF(ISNUMBER(SEARCH("未勝利",Z2587)),"その他未勝利",IF(ISNUMBER(SEARCH("G1",Z2587)),"G1",IF(ISNUMBER(SEARCH("G2",Z2587)),"G2",IF(ISNUMBER(SEARCH("G3",Z2587)),"G3",IF(ISNUMBER(SEARCH("古馬条件",Z2587)),"古馬条件戦",IF(ISNUMBER(SEARCH("重賞",Z2587)),"重賞","分類不能")))))))))</f>
        <v/>
      </c>
    </row>
    <row r="2588" customFormat="false" ht="15.75" hidden="false" customHeight="false" outlineLevel="0" collapsed="false">
      <c r="AO2588" s="8" t="str">
        <f aca="false">IF(A2588="","",IF(COUNTIFS(全馬データ!$A$2:$A$50000,A2588,全馬データ!$B$2:$B$50000,B2588,全馬データ!$C$2:$C$50000,C2588,全馬データ!$D$2:$D$50000,E2588,全馬データ!$K$2:$K$50000,"&lt;&gt;")=0,"",SUMIFS(全馬データ!$K$2:$K$50000,全馬データ!$A$2:$A$50000,A2588,全馬データ!$B$2:$B$50000,B2588,全馬データ!$C$2:$C$50000,C2588,全馬データ!$D$2:$D$50000,E2588)))</f>
        <v/>
      </c>
      <c r="AP2588" s="8" t="str">
        <f aca="false">IF(A2588="","",IF(AO2588="","欠損",IF(AO2588&lt;=1.1,"1.0～1.1",IF(AO2588&lt;1.3,"1.2",IF(AO2588&lt;1.5,"1.3～1.4",IF(AO2588&lt;2,"1.5～1.9","2.0以上"))))))</f>
        <v/>
      </c>
      <c r="AQ2588" s="8" t="str">
        <f aca="false">IF(A2588="","",IF(ISNUMBER(SEARCH("2歳",Z2588)),"2歳戦",IF(ISNUMBER(SEARCH("3歳未勝利",Z2588)),"3歳未勝利",IF(ISNUMBER(SEARCH("未勝利",Z2588)),"その他未勝利",IF(ISNUMBER(SEARCH("G1",Z2588)),"G1",IF(ISNUMBER(SEARCH("G2",Z2588)),"G2",IF(ISNUMBER(SEARCH("G3",Z2588)),"G3",IF(ISNUMBER(SEARCH("古馬条件",Z2588)),"古馬条件戦",IF(ISNUMBER(SEARCH("重賞",Z2588)),"重賞","分類不能")))))))))</f>
        <v/>
      </c>
    </row>
    <row r="2589" customFormat="false" ht="15.75" hidden="false" customHeight="false" outlineLevel="0" collapsed="false">
      <c r="AO2589" s="8" t="str">
        <f aca="false">IF(A2589="","",IF(COUNTIFS(全馬データ!$A$2:$A$50000,A2589,全馬データ!$B$2:$B$50000,B2589,全馬データ!$C$2:$C$50000,C2589,全馬データ!$D$2:$D$50000,E2589,全馬データ!$K$2:$K$50000,"&lt;&gt;")=0,"",SUMIFS(全馬データ!$K$2:$K$50000,全馬データ!$A$2:$A$50000,A2589,全馬データ!$B$2:$B$50000,B2589,全馬データ!$C$2:$C$50000,C2589,全馬データ!$D$2:$D$50000,E2589)))</f>
        <v/>
      </c>
      <c r="AP2589" s="8" t="str">
        <f aca="false">IF(A2589="","",IF(AO2589="","欠損",IF(AO2589&lt;=1.1,"1.0～1.1",IF(AO2589&lt;1.3,"1.2",IF(AO2589&lt;1.5,"1.3～1.4",IF(AO2589&lt;2,"1.5～1.9","2.0以上"))))))</f>
        <v/>
      </c>
      <c r="AQ2589" s="8" t="str">
        <f aca="false">IF(A2589="","",IF(ISNUMBER(SEARCH("2歳",Z2589)),"2歳戦",IF(ISNUMBER(SEARCH("3歳未勝利",Z2589)),"3歳未勝利",IF(ISNUMBER(SEARCH("未勝利",Z2589)),"その他未勝利",IF(ISNUMBER(SEARCH("G1",Z2589)),"G1",IF(ISNUMBER(SEARCH("G2",Z2589)),"G2",IF(ISNUMBER(SEARCH("G3",Z2589)),"G3",IF(ISNUMBER(SEARCH("古馬条件",Z2589)),"古馬条件戦",IF(ISNUMBER(SEARCH("重賞",Z2589)),"重賞","分類不能")))))))))</f>
        <v/>
      </c>
    </row>
    <row r="2590" customFormat="false" ht="15.75" hidden="false" customHeight="false" outlineLevel="0" collapsed="false">
      <c r="AO2590" s="8" t="str">
        <f aca="false">IF(A2590="","",IF(COUNTIFS(全馬データ!$A$2:$A$50000,A2590,全馬データ!$B$2:$B$50000,B2590,全馬データ!$C$2:$C$50000,C2590,全馬データ!$D$2:$D$50000,E2590,全馬データ!$K$2:$K$50000,"&lt;&gt;")=0,"",SUMIFS(全馬データ!$K$2:$K$50000,全馬データ!$A$2:$A$50000,A2590,全馬データ!$B$2:$B$50000,B2590,全馬データ!$C$2:$C$50000,C2590,全馬データ!$D$2:$D$50000,E2590)))</f>
        <v/>
      </c>
      <c r="AP2590" s="8" t="str">
        <f aca="false">IF(A2590="","",IF(AO2590="","欠損",IF(AO2590&lt;=1.1,"1.0～1.1",IF(AO2590&lt;1.3,"1.2",IF(AO2590&lt;1.5,"1.3～1.4",IF(AO2590&lt;2,"1.5～1.9","2.0以上"))))))</f>
        <v/>
      </c>
      <c r="AQ2590" s="8" t="str">
        <f aca="false">IF(A2590="","",IF(ISNUMBER(SEARCH("2歳",Z2590)),"2歳戦",IF(ISNUMBER(SEARCH("3歳未勝利",Z2590)),"3歳未勝利",IF(ISNUMBER(SEARCH("未勝利",Z2590)),"その他未勝利",IF(ISNUMBER(SEARCH("G1",Z2590)),"G1",IF(ISNUMBER(SEARCH("G2",Z2590)),"G2",IF(ISNUMBER(SEARCH("G3",Z2590)),"G3",IF(ISNUMBER(SEARCH("古馬条件",Z2590)),"古馬条件戦",IF(ISNUMBER(SEARCH("重賞",Z2590)),"重賞","分類不能")))))))))</f>
        <v/>
      </c>
    </row>
    <row r="2591" customFormat="false" ht="15.75" hidden="false" customHeight="false" outlineLevel="0" collapsed="false">
      <c r="AO2591" s="8" t="str">
        <f aca="false">IF(A2591="","",IF(COUNTIFS(全馬データ!$A$2:$A$50000,A2591,全馬データ!$B$2:$B$50000,B2591,全馬データ!$C$2:$C$50000,C2591,全馬データ!$D$2:$D$50000,E2591,全馬データ!$K$2:$K$50000,"&lt;&gt;")=0,"",SUMIFS(全馬データ!$K$2:$K$50000,全馬データ!$A$2:$A$50000,A2591,全馬データ!$B$2:$B$50000,B2591,全馬データ!$C$2:$C$50000,C2591,全馬データ!$D$2:$D$50000,E2591)))</f>
        <v/>
      </c>
      <c r="AP2591" s="8" t="str">
        <f aca="false">IF(A2591="","",IF(AO2591="","欠損",IF(AO2591&lt;=1.1,"1.0～1.1",IF(AO2591&lt;1.3,"1.2",IF(AO2591&lt;1.5,"1.3～1.4",IF(AO2591&lt;2,"1.5～1.9","2.0以上"))))))</f>
        <v/>
      </c>
      <c r="AQ2591" s="8" t="str">
        <f aca="false">IF(A2591="","",IF(ISNUMBER(SEARCH("2歳",Z2591)),"2歳戦",IF(ISNUMBER(SEARCH("3歳未勝利",Z2591)),"3歳未勝利",IF(ISNUMBER(SEARCH("未勝利",Z2591)),"その他未勝利",IF(ISNUMBER(SEARCH("G1",Z2591)),"G1",IF(ISNUMBER(SEARCH("G2",Z2591)),"G2",IF(ISNUMBER(SEARCH("G3",Z2591)),"G3",IF(ISNUMBER(SEARCH("古馬条件",Z2591)),"古馬条件戦",IF(ISNUMBER(SEARCH("重賞",Z2591)),"重賞","分類不能")))))))))</f>
        <v/>
      </c>
    </row>
    <row r="2592" customFormat="false" ht="15.75" hidden="false" customHeight="false" outlineLevel="0" collapsed="false">
      <c r="AO2592" s="8" t="str">
        <f aca="false">IF(A2592="","",IF(COUNTIFS(全馬データ!$A$2:$A$50000,A2592,全馬データ!$B$2:$B$50000,B2592,全馬データ!$C$2:$C$50000,C2592,全馬データ!$D$2:$D$50000,E2592,全馬データ!$K$2:$K$50000,"&lt;&gt;")=0,"",SUMIFS(全馬データ!$K$2:$K$50000,全馬データ!$A$2:$A$50000,A2592,全馬データ!$B$2:$B$50000,B2592,全馬データ!$C$2:$C$50000,C2592,全馬データ!$D$2:$D$50000,E2592)))</f>
        <v/>
      </c>
      <c r="AP2592" s="8" t="str">
        <f aca="false">IF(A2592="","",IF(AO2592="","欠損",IF(AO2592&lt;=1.1,"1.0～1.1",IF(AO2592&lt;1.3,"1.2",IF(AO2592&lt;1.5,"1.3～1.4",IF(AO2592&lt;2,"1.5～1.9","2.0以上"))))))</f>
        <v/>
      </c>
      <c r="AQ2592" s="8" t="str">
        <f aca="false">IF(A2592="","",IF(ISNUMBER(SEARCH("2歳",Z2592)),"2歳戦",IF(ISNUMBER(SEARCH("3歳未勝利",Z2592)),"3歳未勝利",IF(ISNUMBER(SEARCH("未勝利",Z2592)),"その他未勝利",IF(ISNUMBER(SEARCH("G1",Z2592)),"G1",IF(ISNUMBER(SEARCH("G2",Z2592)),"G2",IF(ISNUMBER(SEARCH("G3",Z2592)),"G3",IF(ISNUMBER(SEARCH("古馬条件",Z2592)),"古馬条件戦",IF(ISNUMBER(SEARCH("重賞",Z2592)),"重賞","分類不能")))))))))</f>
        <v/>
      </c>
    </row>
    <row r="2593" customFormat="false" ht="15.75" hidden="false" customHeight="false" outlineLevel="0" collapsed="false">
      <c r="AO2593" s="8" t="str">
        <f aca="false">IF(A2593="","",IF(COUNTIFS(全馬データ!$A$2:$A$50000,A2593,全馬データ!$B$2:$B$50000,B2593,全馬データ!$C$2:$C$50000,C2593,全馬データ!$D$2:$D$50000,E2593,全馬データ!$K$2:$K$50000,"&lt;&gt;")=0,"",SUMIFS(全馬データ!$K$2:$K$50000,全馬データ!$A$2:$A$50000,A2593,全馬データ!$B$2:$B$50000,B2593,全馬データ!$C$2:$C$50000,C2593,全馬データ!$D$2:$D$50000,E2593)))</f>
        <v/>
      </c>
      <c r="AP2593" s="8" t="str">
        <f aca="false">IF(A2593="","",IF(AO2593="","欠損",IF(AO2593&lt;=1.1,"1.0～1.1",IF(AO2593&lt;1.3,"1.2",IF(AO2593&lt;1.5,"1.3～1.4",IF(AO2593&lt;2,"1.5～1.9","2.0以上"))))))</f>
        <v/>
      </c>
      <c r="AQ2593" s="8" t="str">
        <f aca="false">IF(A2593="","",IF(ISNUMBER(SEARCH("2歳",Z2593)),"2歳戦",IF(ISNUMBER(SEARCH("3歳未勝利",Z2593)),"3歳未勝利",IF(ISNUMBER(SEARCH("未勝利",Z2593)),"その他未勝利",IF(ISNUMBER(SEARCH("G1",Z2593)),"G1",IF(ISNUMBER(SEARCH("G2",Z2593)),"G2",IF(ISNUMBER(SEARCH("G3",Z2593)),"G3",IF(ISNUMBER(SEARCH("古馬条件",Z2593)),"古馬条件戦",IF(ISNUMBER(SEARCH("重賞",Z2593)),"重賞","分類不能")))))))))</f>
        <v/>
      </c>
    </row>
    <row r="2594" customFormat="false" ht="15.75" hidden="false" customHeight="false" outlineLevel="0" collapsed="false">
      <c r="AO2594" s="8" t="str">
        <f aca="false">IF(A2594="","",IF(COUNTIFS(全馬データ!$A$2:$A$50000,A2594,全馬データ!$B$2:$B$50000,B2594,全馬データ!$C$2:$C$50000,C2594,全馬データ!$D$2:$D$50000,E2594,全馬データ!$K$2:$K$50000,"&lt;&gt;")=0,"",SUMIFS(全馬データ!$K$2:$K$50000,全馬データ!$A$2:$A$50000,A2594,全馬データ!$B$2:$B$50000,B2594,全馬データ!$C$2:$C$50000,C2594,全馬データ!$D$2:$D$50000,E2594)))</f>
        <v/>
      </c>
      <c r="AP2594" s="8" t="str">
        <f aca="false">IF(A2594="","",IF(AO2594="","欠損",IF(AO2594&lt;=1.1,"1.0～1.1",IF(AO2594&lt;1.3,"1.2",IF(AO2594&lt;1.5,"1.3～1.4",IF(AO2594&lt;2,"1.5～1.9","2.0以上"))))))</f>
        <v/>
      </c>
      <c r="AQ2594" s="8" t="str">
        <f aca="false">IF(A2594="","",IF(ISNUMBER(SEARCH("2歳",Z2594)),"2歳戦",IF(ISNUMBER(SEARCH("3歳未勝利",Z2594)),"3歳未勝利",IF(ISNUMBER(SEARCH("未勝利",Z2594)),"その他未勝利",IF(ISNUMBER(SEARCH("G1",Z2594)),"G1",IF(ISNUMBER(SEARCH("G2",Z2594)),"G2",IF(ISNUMBER(SEARCH("G3",Z2594)),"G3",IF(ISNUMBER(SEARCH("古馬条件",Z2594)),"古馬条件戦",IF(ISNUMBER(SEARCH("重賞",Z2594)),"重賞","分類不能")))))))))</f>
        <v/>
      </c>
    </row>
    <row r="2595" customFormat="false" ht="15.75" hidden="false" customHeight="false" outlineLevel="0" collapsed="false">
      <c r="AO2595" s="8" t="str">
        <f aca="false">IF(A2595="","",IF(COUNTIFS(全馬データ!$A$2:$A$50000,A2595,全馬データ!$B$2:$B$50000,B2595,全馬データ!$C$2:$C$50000,C2595,全馬データ!$D$2:$D$50000,E2595,全馬データ!$K$2:$K$50000,"&lt;&gt;")=0,"",SUMIFS(全馬データ!$K$2:$K$50000,全馬データ!$A$2:$A$50000,A2595,全馬データ!$B$2:$B$50000,B2595,全馬データ!$C$2:$C$50000,C2595,全馬データ!$D$2:$D$50000,E2595)))</f>
        <v/>
      </c>
      <c r="AP2595" s="8" t="str">
        <f aca="false">IF(A2595="","",IF(AO2595="","欠損",IF(AO2595&lt;=1.1,"1.0～1.1",IF(AO2595&lt;1.3,"1.2",IF(AO2595&lt;1.5,"1.3～1.4",IF(AO2595&lt;2,"1.5～1.9","2.0以上"))))))</f>
        <v/>
      </c>
      <c r="AQ2595" s="8" t="str">
        <f aca="false">IF(A2595="","",IF(ISNUMBER(SEARCH("2歳",Z2595)),"2歳戦",IF(ISNUMBER(SEARCH("3歳未勝利",Z2595)),"3歳未勝利",IF(ISNUMBER(SEARCH("未勝利",Z2595)),"その他未勝利",IF(ISNUMBER(SEARCH("G1",Z2595)),"G1",IF(ISNUMBER(SEARCH("G2",Z2595)),"G2",IF(ISNUMBER(SEARCH("G3",Z2595)),"G3",IF(ISNUMBER(SEARCH("古馬条件",Z2595)),"古馬条件戦",IF(ISNUMBER(SEARCH("重賞",Z2595)),"重賞","分類不能")))))))))</f>
        <v/>
      </c>
    </row>
    <row r="2596" customFormat="false" ht="15.75" hidden="false" customHeight="false" outlineLevel="0" collapsed="false">
      <c r="AO2596" s="8" t="str">
        <f aca="false">IF(A2596="","",IF(COUNTIFS(全馬データ!$A$2:$A$50000,A2596,全馬データ!$B$2:$B$50000,B2596,全馬データ!$C$2:$C$50000,C2596,全馬データ!$D$2:$D$50000,E2596,全馬データ!$K$2:$K$50000,"&lt;&gt;")=0,"",SUMIFS(全馬データ!$K$2:$K$50000,全馬データ!$A$2:$A$50000,A2596,全馬データ!$B$2:$B$50000,B2596,全馬データ!$C$2:$C$50000,C2596,全馬データ!$D$2:$D$50000,E2596)))</f>
        <v/>
      </c>
      <c r="AP2596" s="8" t="str">
        <f aca="false">IF(A2596="","",IF(AO2596="","欠損",IF(AO2596&lt;=1.1,"1.0～1.1",IF(AO2596&lt;1.3,"1.2",IF(AO2596&lt;1.5,"1.3～1.4",IF(AO2596&lt;2,"1.5～1.9","2.0以上"))))))</f>
        <v/>
      </c>
      <c r="AQ2596" s="8" t="str">
        <f aca="false">IF(A2596="","",IF(ISNUMBER(SEARCH("2歳",Z2596)),"2歳戦",IF(ISNUMBER(SEARCH("3歳未勝利",Z2596)),"3歳未勝利",IF(ISNUMBER(SEARCH("未勝利",Z2596)),"その他未勝利",IF(ISNUMBER(SEARCH("G1",Z2596)),"G1",IF(ISNUMBER(SEARCH("G2",Z2596)),"G2",IF(ISNUMBER(SEARCH("G3",Z2596)),"G3",IF(ISNUMBER(SEARCH("古馬条件",Z2596)),"古馬条件戦",IF(ISNUMBER(SEARCH("重賞",Z2596)),"重賞","分類不能")))))))))</f>
        <v/>
      </c>
    </row>
    <row r="2597" customFormat="false" ht="15.75" hidden="false" customHeight="false" outlineLevel="0" collapsed="false">
      <c r="AO2597" s="8" t="str">
        <f aca="false">IF(A2597="","",IF(COUNTIFS(全馬データ!$A$2:$A$50000,A2597,全馬データ!$B$2:$B$50000,B2597,全馬データ!$C$2:$C$50000,C2597,全馬データ!$D$2:$D$50000,E2597,全馬データ!$K$2:$K$50000,"&lt;&gt;")=0,"",SUMIFS(全馬データ!$K$2:$K$50000,全馬データ!$A$2:$A$50000,A2597,全馬データ!$B$2:$B$50000,B2597,全馬データ!$C$2:$C$50000,C2597,全馬データ!$D$2:$D$50000,E2597)))</f>
        <v/>
      </c>
      <c r="AP2597" s="8" t="str">
        <f aca="false">IF(A2597="","",IF(AO2597="","欠損",IF(AO2597&lt;=1.1,"1.0～1.1",IF(AO2597&lt;1.3,"1.2",IF(AO2597&lt;1.5,"1.3～1.4",IF(AO2597&lt;2,"1.5～1.9","2.0以上"))))))</f>
        <v/>
      </c>
      <c r="AQ2597" s="8" t="str">
        <f aca="false">IF(A2597="","",IF(ISNUMBER(SEARCH("2歳",Z2597)),"2歳戦",IF(ISNUMBER(SEARCH("3歳未勝利",Z2597)),"3歳未勝利",IF(ISNUMBER(SEARCH("未勝利",Z2597)),"その他未勝利",IF(ISNUMBER(SEARCH("G1",Z2597)),"G1",IF(ISNUMBER(SEARCH("G2",Z2597)),"G2",IF(ISNUMBER(SEARCH("G3",Z2597)),"G3",IF(ISNUMBER(SEARCH("古馬条件",Z2597)),"古馬条件戦",IF(ISNUMBER(SEARCH("重賞",Z2597)),"重賞","分類不能")))))))))</f>
        <v/>
      </c>
    </row>
    <row r="2598" customFormat="false" ht="15.75" hidden="false" customHeight="false" outlineLevel="0" collapsed="false">
      <c r="AO2598" s="8" t="str">
        <f aca="false">IF(A2598="","",IF(COUNTIFS(全馬データ!$A$2:$A$50000,A2598,全馬データ!$B$2:$B$50000,B2598,全馬データ!$C$2:$C$50000,C2598,全馬データ!$D$2:$D$50000,E2598,全馬データ!$K$2:$K$50000,"&lt;&gt;")=0,"",SUMIFS(全馬データ!$K$2:$K$50000,全馬データ!$A$2:$A$50000,A2598,全馬データ!$B$2:$B$50000,B2598,全馬データ!$C$2:$C$50000,C2598,全馬データ!$D$2:$D$50000,E2598)))</f>
        <v/>
      </c>
      <c r="AP2598" s="8" t="str">
        <f aca="false">IF(A2598="","",IF(AO2598="","欠損",IF(AO2598&lt;=1.1,"1.0～1.1",IF(AO2598&lt;1.3,"1.2",IF(AO2598&lt;1.5,"1.3～1.4",IF(AO2598&lt;2,"1.5～1.9","2.0以上"))))))</f>
        <v/>
      </c>
      <c r="AQ2598" s="8" t="str">
        <f aca="false">IF(A2598="","",IF(ISNUMBER(SEARCH("2歳",Z2598)),"2歳戦",IF(ISNUMBER(SEARCH("3歳未勝利",Z2598)),"3歳未勝利",IF(ISNUMBER(SEARCH("未勝利",Z2598)),"その他未勝利",IF(ISNUMBER(SEARCH("G1",Z2598)),"G1",IF(ISNUMBER(SEARCH("G2",Z2598)),"G2",IF(ISNUMBER(SEARCH("G3",Z2598)),"G3",IF(ISNUMBER(SEARCH("古馬条件",Z2598)),"古馬条件戦",IF(ISNUMBER(SEARCH("重賞",Z2598)),"重賞","分類不能")))))))))</f>
        <v/>
      </c>
    </row>
    <row r="2599" customFormat="false" ht="15.75" hidden="false" customHeight="false" outlineLevel="0" collapsed="false">
      <c r="AO2599" s="8" t="str">
        <f aca="false">IF(A2599="","",IF(COUNTIFS(全馬データ!$A$2:$A$50000,A2599,全馬データ!$B$2:$B$50000,B2599,全馬データ!$C$2:$C$50000,C2599,全馬データ!$D$2:$D$50000,E2599,全馬データ!$K$2:$K$50000,"&lt;&gt;")=0,"",SUMIFS(全馬データ!$K$2:$K$50000,全馬データ!$A$2:$A$50000,A2599,全馬データ!$B$2:$B$50000,B2599,全馬データ!$C$2:$C$50000,C2599,全馬データ!$D$2:$D$50000,E2599)))</f>
        <v/>
      </c>
      <c r="AP2599" s="8" t="str">
        <f aca="false">IF(A2599="","",IF(AO2599="","欠損",IF(AO2599&lt;=1.1,"1.0～1.1",IF(AO2599&lt;1.3,"1.2",IF(AO2599&lt;1.5,"1.3～1.4",IF(AO2599&lt;2,"1.5～1.9","2.0以上"))))))</f>
        <v/>
      </c>
      <c r="AQ2599" s="8" t="str">
        <f aca="false">IF(A2599="","",IF(ISNUMBER(SEARCH("2歳",Z2599)),"2歳戦",IF(ISNUMBER(SEARCH("3歳未勝利",Z2599)),"3歳未勝利",IF(ISNUMBER(SEARCH("未勝利",Z2599)),"その他未勝利",IF(ISNUMBER(SEARCH("G1",Z2599)),"G1",IF(ISNUMBER(SEARCH("G2",Z2599)),"G2",IF(ISNUMBER(SEARCH("G3",Z2599)),"G3",IF(ISNUMBER(SEARCH("古馬条件",Z2599)),"古馬条件戦",IF(ISNUMBER(SEARCH("重賞",Z2599)),"重賞","分類不能")))))))))</f>
        <v/>
      </c>
    </row>
    <row r="2600" customFormat="false" ht="15.75" hidden="false" customHeight="false" outlineLevel="0" collapsed="false">
      <c r="AO2600" s="8" t="str">
        <f aca="false">IF(A2600="","",IF(COUNTIFS(全馬データ!$A$2:$A$50000,A2600,全馬データ!$B$2:$B$50000,B2600,全馬データ!$C$2:$C$50000,C2600,全馬データ!$D$2:$D$50000,E2600,全馬データ!$K$2:$K$50000,"&lt;&gt;")=0,"",SUMIFS(全馬データ!$K$2:$K$50000,全馬データ!$A$2:$A$50000,A2600,全馬データ!$B$2:$B$50000,B2600,全馬データ!$C$2:$C$50000,C2600,全馬データ!$D$2:$D$50000,E2600)))</f>
        <v/>
      </c>
      <c r="AP2600" s="8" t="str">
        <f aca="false">IF(A2600="","",IF(AO2600="","欠損",IF(AO2600&lt;=1.1,"1.0～1.1",IF(AO2600&lt;1.3,"1.2",IF(AO2600&lt;1.5,"1.3～1.4",IF(AO2600&lt;2,"1.5～1.9","2.0以上"))))))</f>
        <v/>
      </c>
      <c r="AQ2600" s="8" t="str">
        <f aca="false">IF(A2600="","",IF(ISNUMBER(SEARCH("2歳",Z2600)),"2歳戦",IF(ISNUMBER(SEARCH("3歳未勝利",Z2600)),"3歳未勝利",IF(ISNUMBER(SEARCH("未勝利",Z2600)),"その他未勝利",IF(ISNUMBER(SEARCH("G1",Z2600)),"G1",IF(ISNUMBER(SEARCH("G2",Z2600)),"G2",IF(ISNUMBER(SEARCH("G3",Z2600)),"G3",IF(ISNUMBER(SEARCH("古馬条件",Z2600)),"古馬条件戦",IF(ISNUMBER(SEARCH("重賞",Z2600)),"重賞","分類不能")))))))))</f>
        <v/>
      </c>
    </row>
    <row r="2601" customFormat="false" ht="15.75" hidden="false" customHeight="false" outlineLevel="0" collapsed="false">
      <c r="AO2601" s="8" t="str">
        <f aca="false">IF(A2601="","",IF(COUNTIFS(全馬データ!$A$2:$A$50000,A2601,全馬データ!$B$2:$B$50000,B2601,全馬データ!$C$2:$C$50000,C2601,全馬データ!$D$2:$D$50000,E2601,全馬データ!$K$2:$K$50000,"&lt;&gt;")=0,"",SUMIFS(全馬データ!$K$2:$K$50000,全馬データ!$A$2:$A$50000,A2601,全馬データ!$B$2:$B$50000,B2601,全馬データ!$C$2:$C$50000,C2601,全馬データ!$D$2:$D$50000,E2601)))</f>
        <v/>
      </c>
      <c r="AP2601" s="8" t="str">
        <f aca="false">IF(A2601="","",IF(AO2601="","欠損",IF(AO2601&lt;=1.1,"1.0～1.1",IF(AO2601&lt;1.3,"1.2",IF(AO2601&lt;1.5,"1.3～1.4",IF(AO2601&lt;2,"1.5～1.9","2.0以上"))))))</f>
        <v/>
      </c>
      <c r="AQ2601" s="8" t="str">
        <f aca="false">IF(A2601="","",IF(ISNUMBER(SEARCH("2歳",Z2601)),"2歳戦",IF(ISNUMBER(SEARCH("3歳未勝利",Z2601)),"3歳未勝利",IF(ISNUMBER(SEARCH("未勝利",Z2601)),"その他未勝利",IF(ISNUMBER(SEARCH("G1",Z2601)),"G1",IF(ISNUMBER(SEARCH("G2",Z2601)),"G2",IF(ISNUMBER(SEARCH("G3",Z2601)),"G3",IF(ISNUMBER(SEARCH("古馬条件",Z2601)),"古馬条件戦",IF(ISNUMBER(SEARCH("重賞",Z2601)),"重賞","分類不能")))))))))</f>
        <v/>
      </c>
    </row>
    <row r="2602" customFormat="false" ht="15.75" hidden="false" customHeight="false" outlineLevel="0" collapsed="false">
      <c r="AO2602" s="8" t="str">
        <f aca="false">IF(A2602="","",IF(COUNTIFS(全馬データ!$A$2:$A$50000,A2602,全馬データ!$B$2:$B$50000,B2602,全馬データ!$C$2:$C$50000,C2602,全馬データ!$D$2:$D$50000,E2602,全馬データ!$K$2:$K$50000,"&lt;&gt;")=0,"",SUMIFS(全馬データ!$K$2:$K$50000,全馬データ!$A$2:$A$50000,A2602,全馬データ!$B$2:$B$50000,B2602,全馬データ!$C$2:$C$50000,C2602,全馬データ!$D$2:$D$50000,E2602)))</f>
        <v/>
      </c>
      <c r="AP2602" s="8" t="str">
        <f aca="false">IF(A2602="","",IF(AO2602="","欠損",IF(AO2602&lt;=1.1,"1.0～1.1",IF(AO2602&lt;1.3,"1.2",IF(AO2602&lt;1.5,"1.3～1.4",IF(AO2602&lt;2,"1.5～1.9","2.0以上"))))))</f>
        <v/>
      </c>
      <c r="AQ2602" s="8" t="str">
        <f aca="false">IF(A2602="","",IF(ISNUMBER(SEARCH("2歳",Z2602)),"2歳戦",IF(ISNUMBER(SEARCH("3歳未勝利",Z2602)),"3歳未勝利",IF(ISNUMBER(SEARCH("未勝利",Z2602)),"その他未勝利",IF(ISNUMBER(SEARCH("G1",Z2602)),"G1",IF(ISNUMBER(SEARCH("G2",Z2602)),"G2",IF(ISNUMBER(SEARCH("G3",Z2602)),"G3",IF(ISNUMBER(SEARCH("古馬条件",Z2602)),"古馬条件戦",IF(ISNUMBER(SEARCH("重賞",Z2602)),"重賞","分類不能")))))))))</f>
        <v/>
      </c>
    </row>
    <row r="2603" customFormat="false" ht="15.75" hidden="false" customHeight="false" outlineLevel="0" collapsed="false">
      <c r="AO2603" s="8" t="str">
        <f aca="false">IF(A2603="","",IF(COUNTIFS(全馬データ!$A$2:$A$50000,A2603,全馬データ!$B$2:$B$50000,B2603,全馬データ!$C$2:$C$50000,C2603,全馬データ!$D$2:$D$50000,E2603,全馬データ!$K$2:$K$50000,"&lt;&gt;")=0,"",SUMIFS(全馬データ!$K$2:$K$50000,全馬データ!$A$2:$A$50000,A2603,全馬データ!$B$2:$B$50000,B2603,全馬データ!$C$2:$C$50000,C2603,全馬データ!$D$2:$D$50000,E2603)))</f>
        <v/>
      </c>
      <c r="AP2603" s="8" t="str">
        <f aca="false">IF(A2603="","",IF(AO2603="","欠損",IF(AO2603&lt;=1.1,"1.0～1.1",IF(AO2603&lt;1.3,"1.2",IF(AO2603&lt;1.5,"1.3～1.4",IF(AO2603&lt;2,"1.5～1.9","2.0以上"))))))</f>
        <v/>
      </c>
      <c r="AQ2603" s="8" t="str">
        <f aca="false">IF(A2603="","",IF(ISNUMBER(SEARCH("2歳",Z2603)),"2歳戦",IF(ISNUMBER(SEARCH("3歳未勝利",Z2603)),"3歳未勝利",IF(ISNUMBER(SEARCH("未勝利",Z2603)),"その他未勝利",IF(ISNUMBER(SEARCH("G1",Z2603)),"G1",IF(ISNUMBER(SEARCH("G2",Z2603)),"G2",IF(ISNUMBER(SEARCH("G3",Z2603)),"G3",IF(ISNUMBER(SEARCH("古馬条件",Z2603)),"古馬条件戦",IF(ISNUMBER(SEARCH("重賞",Z2603)),"重賞","分類不能")))))))))</f>
        <v/>
      </c>
    </row>
    <row r="2604" customFormat="false" ht="15.75" hidden="false" customHeight="false" outlineLevel="0" collapsed="false">
      <c r="AO2604" s="8" t="str">
        <f aca="false">IF(A2604="","",IF(COUNTIFS(全馬データ!$A$2:$A$50000,A2604,全馬データ!$B$2:$B$50000,B2604,全馬データ!$C$2:$C$50000,C2604,全馬データ!$D$2:$D$50000,E2604,全馬データ!$K$2:$K$50000,"&lt;&gt;")=0,"",SUMIFS(全馬データ!$K$2:$K$50000,全馬データ!$A$2:$A$50000,A2604,全馬データ!$B$2:$B$50000,B2604,全馬データ!$C$2:$C$50000,C2604,全馬データ!$D$2:$D$50000,E2604)))</f>
        <v/>
      </c>
      <c r="AP2604" s="8" t="str">
        <f aca="false">IF(A2604="","",IF(AO2604="","欠損",IF(AO2604&lt;=1.1,"1.0～1.1",IF(AO2604&lt;1.3,"1.2",IF(AO2604&lt;1.5,"1.3～1.4",IF(AO2604&lt;2,"1.5～1.9","2.0以上"))))))</f>
        <v/>
      </c>
      <c r="AQ2604" s="8" t="str">
        <f aca="false">IF(A2604="","",IF(ISNUMBER(SEARCH("2歳",Z2604)),"2歳戦",IF(ISNUMBER(SEARCH("3歳未勝利",Z2604)),"3歳未勝利",IF(ISNUMBER(SEARCH("未勝利",Z2604)),"その他未勝利",IF(ISNUMBER(SEARCH("G1",Z2604)),"G1",IF(ISNUMBER(SEARCH("G2",Z2604)),"G2",IF(ISNUMBER(SEARCH("G3",Z2604)),"G3",IF(ISNUMBER(SEARCH("古馬条件",Z2604)),"古馬条件戦",IF(ISNUMBER(SEARCH("重賞",Z2604)),"重賞","分類不能")))))))))</f>
        <v/>
      </c>
    </row>
    <row r="2605" customFormat="false" ht="15.75" hidden="false" customHeight="false" outlineLevel="0" collapsed="false">
      <c r="AO2605" s="8" t="str">
        <f aca="false">IF(A2605="","",IF(COUNTIFS(全馬データ!$A$2:$A$50000,A2605,全馬データ!$B$2:$B$50000,B2605,全馬データ!$C$2:$C$50000,C2605,全馬データ!$D$2:$D$50000,E2605,全馬データ!$K$2:$K$50000,"&lt;&gt;")=0,"",SUMIFS(全馬データ!$K$2:$K$50000,全馬データ!$A$2:$A$50000,A2605,全馬データ!$B$2:$B$50000,B2605,全馬データ!$C$2:$C$50000,C2605,全馬データ!$D$2:$D$50000,E2605)))</f>
        <v/>
      </c>
      <c r="AP2605" s="8" t="str">
        <f aca="false">IF(A2605="","",IF(AO2605="","欠損",IF(AO2605&lt;=1.1,"1.0～1.1",IF(AO2605&lt;1.3,"1.2",IF(AO2605&lt;1.5,"1.3～1.4",IF(AO2605&lt;2,"1.5～1.9","2.0以上"))))))</f>
        <v/>
      </c>
      <c r="AQ2605" s="8" t="str">
        <f aca="false">IF(A2605="","",IF(ISNUMBER(SEARCH("2歳",Z2605)),"2歳戦",IF(ISNUMBER(SEARCH("3歳未勝利",Z2605)),"3歳未勝利",IF(ISNUMBER(SEARCH("未勝利",Z2605)),"その他未勝利",IF(ISNUMBER(SEARCH("G1",Z2605)),"G1",IF(ISNUMBER(SEARCH("G2",Z2605)),"G2",IF(ISNUMBER(SEARCH("G3",Z2605)),"G3",IF(ISNUMBER(SEARCH("古馬条件",Z2605)),"古馬条件戦",IF(ISNUMBER(SEARCH("重賞",Z2605)),"重賞","分類不能")))))))))</f>
        <v/>
      </c>
    </row>
    <row r="2606" customFormat="false" ht="15.75" hidden="false" customHeight="false" outlineLevel="0" collapsed="false">
      <c r="AO2606" s="8" t="str">
        <f aca="false">IF(A2606="","",IF(COUNTIFS(全馬データ!$A$2:$A$50000,A2606,全馬データ!$B$2:$B$50000,B2606,全馬データ!$C$2:$C$50000,C2606,全馬データ!$D$2:$D$50000,E2606,全馬データ!$K$2:$K$50000,"&lt;&gt;")=0,"",SUMIFS(全馬データ!$K$2:$K$50000,全馬データ!$A$2:$A$50000,A2606,全馬データ!$B$2:$B$50000,B2606,全馬データ!$C$2:$C$50000,C2606,全馬データ!$D$2:$D$50000,E2606)))</f>
        <v/>
      </c>
      <c r="AP2606" s="8" t="str">
        <f aca="false">IF(A2606="","",IF(AO2606="","欠損",IF(AO2606&lt;=1.1,"1.0～1.1",IF(AO2606&lt;1.3,"1.2",IF(AO2606&lt;1.5,"1.3～1.4",IF(AO2606&lt;2,"1.5～1.9","2.0以上"))))))</f>
        <v/>
      </c>
      <c r="AQ2606" s="8" t="str">
        <f aca="false">IF(A2606="","",IF(ISNUMBER(SEARCH("2歳",Z2606)),"2歳戦",IF(ISNUMBER(SEARCH("3歳未勝利",Z2606)),"3歳未勝利",IF(ISNUMBER(SEARCH("未勝利",Z2606)),"その他未勝利",IF(ISNUMBER(SEARCH("G1",Z2606)),"G1",IF(ISNUMBER(SEARCH("G2",Z2606)),"G2",IF(ISNUMBER(SEARCH("G3",Z2606)),"G3",IF(ISNUMBER(SEARCH("古馬条件",Z2606)),"古馬条件戦",IF(ISNUMBER(SEARCH("重賞",Z2606)),"重賞","分類不能")))))))))</f>
        <v/>
      </c>
    </row>
    <row r="2607" customFormat="false" ht="15.75" hidden="false" customHeight="false" outlineLevel="0" collapsed="false">
      <c r="AO2607" s="8" t="str">
        <f aca="false">IF(A2607="","",IF(COUNTIFS(全馬データ!$A$2:$A$50000,A2607,全馬データ!$B$2:$B$50000,B2607,全馬データ!$C$2:$C$50000,C2607,全馬データ!$D$2:$D$50000,E2607,全馬データ!$K$2:$K$50000,"&lt;&gt;")=0,"",SUMIFS(全馬データ!$K$2:$K$50000,全馬データ!$A$2:$A$50000,A2607,全馬データ!$B$2:$B$50000,B2607,全馬データ!$C$2:$C$50000,C2607,全馬データ!$D$2:$D$50000,E2607)))</f>
        <v/>
      </c>
      <c r="AP2607" s="8" t="str">
        <f aca="false">IF(A2607="","",IF(AO2607="","欠損",IF(AO2607&lt;=1.1,"1.0～1.1",IF(AO2607&lt;1.3,"1.2",IF(AO2607&lt;1.5,"1.3～1.4",IF(AO2607&lt;2,"1.5～1.9","2.0以上"))))))</f>
        <v/>
      </c>
      <c r="AQ2607" s="8" t="str">
        <f aca="false">IF(A2607="","",IF(ISNUMBER(SEARCH("2歳",Z2607)),"2歳戦",IF(ISNUMBER(SEARCH("3歳未勝利",Z2607)),"3歳未勝利",IF(ISNUMBER(SEARCH("未勝利",Z2607)),"その他未勝利",IF(ISNUMBER(SEARCH("G1",Z2607)),"G1",IF(ISNUMBER(SEARCH("G2",Z2607)),"G2",IF(ISNUMBER(SEARCH("G3",Z2607)),"G3",IF(ISNUMBER(SEARCH("古馬条件",Z2607)),"古馬条件戦",IF(ISNUMBER(SEARCH("重賞",Z2607)),"重賞","分類不能")))))))))</f>
        <v/>
      </c>
    </row>
    <row r="2608" customFormat="false" ht="15.75" hidden="false" customHeight="false" outlineLevel="0" collapsed="false">
      <c r="AO2608" s="8" t="str">
        <f aca="false">IF(A2608="","",IF(COUNTIFS(全馬データ!$A$2:$A$50000,A2608,全馬データ!$B$2:$B$50000,B2608,全馬データ!$C$2:$C$50000,C2608,全馬データ!$D$2:$D$50000,E2608,全馬データ!$K$2:$K$50000,"&lt;&gt;")=0,"",SUMIFS(全馬データ!$K$2:$K$50000,全馬データ!$A$2:$A$50000,A2608,全馬データ!$B$2:$B$50000,B2608,全馬データ!$C$2:$C$50000,C2608,全馬データ!$D$2:$D$50000,E2608)))</f>
        <v/>
      </c>
      <c r="AP2608" s="8" t="str">
        <f aca="false">IF(A2608="","",IF(AO2608="","欠損",IF(AO2608&lt;=1.1,"1.0～1.1",IF(AO2608&lt;1.3,"1.2",IF(AO2608&lt;1.5,"1.3～1.4",IF(AO2608&lt;2,"1.5～1.9","2.0以上"))))))</f>
        <v/>
      </c>
      <c r="AQ2608" s="8" t="str">
        <f aca="false">IF(A2608="","",IF(ISNUMBER(SEARCH("2歳",Z2608)),"2歳戦",IF(ISNUMBER(SEARCH("3歳未勝利",Z2608)),"3歳未勝利",IF(ISNUMBER(SEARCH("未勝利",Z2608)),"その他未勝利",IF(ISNUMBER(SEARCH("G1",Z2608)),"G1",IF(ISNUMBER(SEARCH("G2",Z2608)),"G2",IF(ISNUMBER(SEARCH("G3",Z2608)),"G3",IF(ISNUMBER(SEARCH("古馬条件",Z2608)),"古馬条件戦",IF(ISNUMBER(SEARCH("重賞",Z2608)),"重賞","分類不能")))))))))</f>
        <v/>
      </c>
    </row>
    <row r="2609" customFormat="false" ht="15.75" hidden="false" customHeight="false" outlineLevel="0" collapsed="false">
      <c r="AO2609" s="8" t="str">
        <f aca="false">IF(A2609="","",IF(COUNTIFS(全馬データ!$A$2:$A$50000,A2609,全馬データ!$B$2:$B$50000,B2609,全馬データ!$C$2:$C$50000,C2609,全馬データ!$D$2:$D$50000,E2609,全馬データ!$K$2:$K$50000,"&lt;&gt;")=0,"",SUMIFS(全馬データ!$K$2:$K$50000,全馬データ!$A$2:$A$50000,A2609,全馬データ!$B$2:$B$50000,B2609,全馬データ!$C$2:$C$50000,C2609,全馬データ!$D$2:$D$50000,E2609)))</f>
        <v/>
      </c>
      <c r="AP2609" s="8" t="str">
        <f aca="false">IF(A2609="","",IF(AO2609="","欠損",IF(AO2609&lt;=1.1,"1.0～1.1",IF(AO2609&lt;1.3,"1.2",IF(AO2609&lt;1.5,"1.3～1.4",IF(AO2609&lt;2,"1.5～1.9","2.0以上"))))))</f>
        <v/>
      </c>
      <c r="AQ2609" s="8" t="str">
        <f aca="false">IF(A2609="","",IF(ISNUMBER(SEARCH("2歳",Z2609)),"2歳戦",IF(ISNUMBER(SEARCH("3歳未勝利",Z2609)),"3歳未勝利",IF(ISNUMBER(SEARCH("未勝利",Z2609)),"その他未勝利",IF(ISNUMBER(SEARCH("G1",Z2609)),"G1",IF(ISNUMBER(SEARCH("G2",Z2609)),"G2",IF(ISNUMBER(SEARCH("G3",Z2609)),"G3",IF(ISNUMBER(SEARCH("古馬条件",Z2609)),"古馬条件戦",IF(ISNUMBER(SEARCH("重賞",Z2609)),"重賞","分類不能")))))))))</f>
        <v/>
      </c>
    </row>
    <row r="2610" customFormat="false" ht="15.75" hidden="false" customHeight="false" outlineLevel="0" collapsed="false">
      <c r="AO2610" s="8" t="str">
        <f aca="false">IF(A2610="","",IF(COUNTIFS(全馬データ!$A$2:$A$50000,A2610,全馬データ!$B$2:$B$50000,B2610,全馬データ!$C$2:$C$50000,C2610,全馬データ!$D$2:$D$50000,E2610,全馬データ!$K$2:$K$50000,"&lt;&gt;")=0,"",SUMIFS(全馬データ!$K$2:$K$50000,全馬データ!$A$2:$A$50000,A2610,全馬データ!$B$2:$B$50000,B2610,全馬データ!$C$2:$C$50000,C2610,全馬データ!$D$2:$D$50000,E2610)))</f>
        <v/>
      </c>
      <c r="AP2610" s="8" t="str">
        <f aca="false">IF(A2610="","",IF(AO2610="","欠損",IF(AO2610&lt;=1.1,"1.0～1.1",IF(AO2610&lt;1.3,"1.2",IF(AO2610&lt;1.5,"1.3～1.4",IF(AO2610&lt;2,"1.5～1.9","2.0以上"))))))</f>
        <v/>
      </c>
      <c r="AQ2610" s="8" t="str">
        <f aca="false">IF(A2610="","",IF(ISNUMBER(SEARCH("2歳",Z2610)),"2歳戦",IF(ISNUMBER(SEARCH("3歳未勝利",Z2610)),"3歳未勝利",IF(ISNUMBER(SEARCH("未勝利",Z2610)),"その他未勝利",IF(ISNUMBER(SEARCH("G1",Z2610)),"G1",IF(ISNUMBER(SEARCH("G2",Z2610)),"G2",IF(ISNUMBER(SEARCH("G3",Z2610)),"G3",IF(ISNUMBER(SEARCH("古馬条件",Z2610)),"古馬条件戦",IF(ISNUMBER(SEARCH("重賞",Z2610)),"重賞","分類不能")))))))))</f>
        <v/>
      </c>
    </row>
    <row r="2611" customFormat="false" ht="15.75" hidden="false" customHeight="false" outlineLevel="0" collapsed="false">
      <c r="AO2611" s="8" t="str">
        <f aca="false">IF(A2611="","",IF(COUNTIFS(全馬データ!$A$2:$A$50000,A2611,全馬データ!$B$2:$B$50000,B2611,全馬データ!$C$2:$C$50000,C2611,全馬データ!$D$2:$D$50000,E2611,全馬データ!$K$2:$K$50000,"&lt;&gt;")=0,"",SUMIFS(全馬データ!$K$2:$K$50000,全馬データ!$A$2:$A$50000,A2611,全馬データ!$B$2:$B$50000,B2611,全馬データ!$C$2:$C$50000,C2611,全馬データ!$D$2:$D$50000,E2611)))</f>
        <v/>
      </c>
      <c r="AP2611" s="8" t="str">
        <f aca="false">IF(A2611="","",IF(AO2611="","欠損",IF(AO2611&lt;=1.1,"1.0～1.1",IF(AO2611&lt;1.3,"1.2",IF(AO2611&lt;1.5,"1.3～1.4",IF(AO2611&lt;2,"1.5～1.9","2.0以上"))))))</f>
        <v/>
      </c>
      <c r="AQ2611" s="8" t="str">
        <f aca="false">IF(A2611="","",IF(ISNUMBER(SEARCH("2歳",Z2611)),"2歳戦",IF(ISNUMBER(SEARCH("3歳未勝利",Z2611)),"3歳未勝利",IF(ISNUMBER(SEARCH("未勝利",Z2611)),"その他未勝利",IF(ISNUMBER(SEARCH("G1",Z2611)),"G1",IF(ISNUMBER(SEARCH("G2",Z2611)),"G2",IF(ISNUMBER(SEARCH("G3",Z2611)),"G3",IF(ISNUMBER(SEARCH("古馬条件",Z2611)),"古馬条件戦",IF(ISNUMBER(SEARCH("重賞",Z2611)),"重賞","分類不能")))))))))</f>
        <v/>
      </c>
    </row>
    <row r="2612" customFormat="false" ht="15.75" hidden="false" customHeight="false" outlineLevel="0" collapsed="false">
      <c r="AO2612" s="8" t="str">
        <f aca="false">IF(A2612="","",IF(COUNTIFS(全馬データ!$A$2:$A$50000,A2612,全馬データ!$B$2:$B$50000,B2612,全馬データ!$C$2:$C$50000,C2612,全馬データ!$D$2:$D$50000,E2612,全馬データ!$K$2:$K$50000,"&lt;&gt;")=0,"",SUMIFS(全馬データ!$K$2:$K$50000,全馬データ!$A$2:$A$50000,A2612,全馬データ!$B$2:$B$50000,B2612,全馬データ!$C$2:$C$50000,C2612,全馬データ!$D$2:$D$50000,E2612)))</f>
        <v/>
      </c>
      <c r="AP2612" s="8" t="str">
        <f aca="false">IF(A2612="","",IF(AO2612="","欠損",IF(AO2612&lt;=1.1,"1.0～1.1",IF(AO2612&lt;1.3,"1.2",IF(AO2612&lt;1.5,"1.3～1.4",IF(AO2612&lt;2,"1.5～1.9","2.0以上"))))))</f>
        <v/>
      </c>
      <c r="AQ2612" s="8" t="str">
        <f aca="false">IF(A2612="","",IF(ISNUMBER(SEARCH("2歳",Z2612)),"2歳戦",IF(ISNUMBER(SEARCH("3歳未勝利",Z2612)),"3歳未勝利",IF(ISNUMBER(SEARCH("未勝利",Z2612)),"その他未勝利",IF(ISNUMBER(SEARCH("G1",Z2612)),"G1",IF(ISNUMBER(SEARCH("G2",Z2612)),"G2",IF(ISNUMBER(SEARCH("G3",Z2612)),"G3",IF(ISNUMBER(SEARCH("古馬条件",Z2612)),"古馬条件戦",IF(ISNUMBER(SEARCH("重賞",Z2612)),"重賞","分類不能")))))))))</f>
        <v/>
      </c>
    </row>
    <row r="2613" customFormat="false" ht="15.75" hidden="false" customHeight="false" outlineLevel="0" collapsed="false">
      <c r="AO2613" s="8" t="str">
        <f aca="false">IF(A2613="","",IF(COUNTIFS(全馬データ!$A$2:$A$50000,A2613,全馬データ!$B$2:$B$50000,B2613,全馬データ!$C$2:$C$50000,C2613,全馬データ!$D$2:$D$50000,E2613,全馬データ!$K$2:$K$50000,"&lt;&gt;")=0,"",SUMIFS(全馬データ!$K$2:$K$50000,全馬データ!$A$2:$A$50000,A2613,全馬データ!$B$2:$B$50000,B2613,全馬データ!$C$2:$C$50000,C2613,全馬データ!$D$2:$D$50000,E2613)))</f>
        <v/>
      </c>
      <c r="AP2613" s="8" t="str">
        <f aca="false">IF(A2613="","",IF(AO2613="","欠損",IF(AO2613&lt;=1.1,"1.0～1.1",IF(AO2613&lt;1.3,"1.2",IF(AO2613&lt;1.5,"1.3～1.4",IF(AO2613&lt;2,"1.5～1.9","2.0以上"))))))</f>
        <v/>
      </c>
      <c r="AQ2613" s="8" t="str">
        <f aca="false">IF(A2613="","",IF(ISNUMBER(SEARCH("2歳",Z2613)),"2歳戦",IF(ISNUMBER(SEARCH("3歳未勝利",Z2613)),"3歳未勝利",IF(ISNUMBER(SEARCH("未勝利",Z2613)),"その他未勝利",IF(ISNUMBER(SEARCH("G1",Z2613)),"G1",IF(ISNUMBER(SEARCH("G2",Z2613)),"G2",IF(ISNUMBER(SEARCH("G3",Z2613)),"G3",IF(ISNUMBER(SEARCH("古馬条件",Z2613)),"古馬条件戦",IF(ISNUMBER(SEARCH("重賞",Z2613)),"重賞","分類不能")))))))))</f>
        <v/>
      </c>
    </row>
    <row r="2614" customFormat="false" ht="15.75" hidden="false" customHeight="false" outlineLevel="0" collapsed="false">
      <c r="AO2614" s="8" t="str">
        <f aca="false">IF(A2614="","",IF(COUNTIFS(全馬データ!$A$2:$A$50000,A2614,全馬データ!$B$2:$B$50000,B2614,全馬データ!$C$2:$C$50000,C2614,全馬データ!$D$2:$D$50000,E2614,全馬データ!$K$2:$K$50000,"&lt;&gt;")=0,"",SUMIFS(全馬データ!$K$2:$K$50000,全馬データ!$A$2:$A$50000,A2614,全馬データ!$B$2:$B$50000,B2614,全馬データ!$C$2:$C$50000,C2614,全馬データ!$D$2:$D$50000,E2614)))</f>
        <v/>
      </c>
      <c r="AP2614" s="8" t="str">
        <f aca="false">IF(A2614="","",IF(AO2614="","欠損",IF(AO2614&lt;=1.1,"1.0～1.1",IF(AO2614&lt;1.3,"1.2",IF(AO2614&lt;1.5,"1.3～1.4",IF(AO2614&lt;2,"1.5～1.9","2.0以上"))))))</f>
        <v/>
      </c>
      <c r="AQ2614" s="8" t="str">
        <f aca="false">IF(A2614="","",IF(ISNUMBER(SEARCH("2歳",Z2614)),"2歳戦",IF(ISNUMBER(SEARCH("3歳未勝利",Z2614)),"3歳未勝利",IF(ISNUMBER(SEARCH("未勝利",Z2614)),"その他未勝利",IF(ISNUMBER(SEARCH("G1",Z2614)),"G1",IF(ISNUMBER(SEARCH("G2",Z2614)),"G2",IF(ISNUMBER(SEARCH("G3",Z2614)),"G3",IF(ISNUMBER(SEARCH("古馬条件",Z2614)),"古馬条件戦",IF(ISNUMBER(SEARCH("重賞",Z2614)),"重賞","分類不能")))))))))</f>
        <v/>
      </c>
    </row>
    <row r="2615" customFormat="false" ht="15.75" hidden="false" customHeight="false" outlineLevel="0" collapsed="false">
      <c r="AO2615" s="8" t="str">
        <f aca="false">IF(A2615="","",IF(COUNTIFS(全馬データ!$A$2:$A$50000,A2615,全馬データ!$B$2:$B$50000,B2615,全馬データ!$C$2:$C$50000,C2615,全馬データ!$D$2:$D$50000,E2615,全馬データ!$K$2:$K$50000,"&lt;&gt;")=0,"",SUMIFS(全馬データ!$K$2:$K$50000,全馬データ!$A$2:$A$50000,A2615,全馬データ!$B$2:$B$50000,B2615,全馬データ!$C$2:$C$50000,C2615,全馬データ!$D$2:$D$50000,E2615)))</f>
        <v/>
      </c>
      <c r="AP2615" s="8" t="str">
        <f aca="false">IF(A2615="","",IF(AO2615="","欠損",IF(AO2615&lt;=1.1,"1.0～1.1",IF(AO2615&lt;1.3,"1.2",IF(AO2615&lt;1.5,"1.3～1.4",IF(AO2615&lt;2,"1.5～1.9","2.0以上"))))))</f>
        <v/>
      </c>
      <c r="AQ2615" s="8" t="str">
        <f aca="false">IF(A2615="","",IF(ISNUMBER(SEARCH("2歳",Z2615)),"2歳戦",IF(ISNUMBER(SEARCH("3歳未勝利",Z2615)),"3歳未勝利",IF(ISNUMBER(SEARCH("未勝利",Z2615)),"その他未勝利",IF(ISNUMBER(SEARCH("G1",Z2615)),"G1",IF(ISNUMBER(SEARCH("G2",Z2615)),"G2",IF(ISNUMBER(SEARCH("G3",Z2615)),"G3",IF(ISNUMBER(SEARCH("古馬条件",Z2615)),"古馬条件戦",IF(ISNUMBER(SEARCH("重賞",Z2615)),"重賞","分類不能")))))))))</f>
        <v/>
      </c>
    </row>
    <row r="2616" customFormat="false" ht="15.75" hidden="false" customHeight="false" outlineLevel="0" collapsed="false">
      <c r="AO2616" s="8" t="str">
        <f aca="false">IF(A2616="","",IF(COUNTIFS(全馬データ!$A$2:$A$50000,A2616,全馬データ!$B$2:$B$50000,B2616,全馬データ!$C$2:$C$50000,C2616,全馬データ!$D$2:$D$50000,E2616,全馬データ!$K$2:$K$50000,"&lt;&gt;")=0,"",SUMIFS(全馬データ!$K$2:$K$50000,全馬データ!$A$2:$A$50000,A2616,全馬データ!$B$2:$B$50000,B2616,全馬データ!$C$2:$C$50000,C2616,全馬データ!$D$2:$D$50000,E2616)))</f>
        <v/>
      </c>
      <c r="AP2616" s="8" t="str">
        <f aca="false">IF(A2616="","",IF(AO2616="","欠損",IF(AO2616&lt;=1.1,"1.0～1.1",IF(AO2616&lt;1.3,"1.2",IF(AO2616&lt;1.5,"1.3～1.4",IF(AO2616&lt;2,"1.5～1.9","2.0以上"))))))</f>
        <v/>
      </c>
      <c r="AQ2616" s="8" t="str">
        <f aca="false">IF(A2616="","",IF(ISNUMBER(SEARCH("2歳",Z2616)),"2歳戦",IF(ISNUMBER(SEARCH("3歳未勝利",Z2616)),"3歳未勝利",IF(ISNUMBER(SEARCH("未勝利",Z2616)),"その他未勝利",IF(ISNUMBER(SEARCH("G1",Z2616)),"G1",IF(ISNUMBER(SEARCH("G2",Z2616)),"G2",IF(ISNUMBER(SEARCH("G3",Z2616)),"G3",IF(ISNUMBER(SEARCH("古馬条件",Z2616)),"古馬条件戦",IF(ISNUMBER(SEARCH("重賞",Z2616)),"重賞","分類不能")))))))))</f>
        <v/>
      </c>
    </row>
    <row r="2617" customFormat="false" ht="15.75" hidden="false" customHeight="false" outlineLevel="0" collapsed="false">
      <c r="AO2617" s="8" t="str">
        <f aca="false">IF(A2617="","",IF(COUNTIFS(全馬データ!$A$2:$A$50000,A2617,全馬データ!$B$2:$B$50000,B2617,全馬データ!$C$2:$C$50000,C2617,全馬データ!$D$2:$D$50000,E2617,全馬データ!$K$2:$K$50000,"&lt;&gt;")=0,"",SUMIFS(全馬データ!$K$2:$K$50000,全馬データ!$A$2:$A$50000,A2617,全馬データ!$B$2:$B$50000,B2617,全馬データ!$C$2:$C$50000,C2617,全馬データ!$D$2:$D$50000,E2617)))</f>
        <v/>
      </c>
      <c r="AP2617" s="8" t="str">
        <f aca="false">IF(A2617="","",IF(AO2617="","欠損",IF(AO2617&lt;=1.1,"1.0～1.1",IF(AO2617&lt;1.3,"1.2",IF(AO2617&lt;1.5,"1.3～1.4",IF(AO2617&lt;2,"1.5～1.9","2.0以上"))))))</f>
        <v/>
      </c>
      <c r="AQ2617" s="8" t="str">
        <f aca="false">IF(A2617="","",IF(ISNUMBER(SEARCH("2歳",Z2617)),"2歳戦",IF(ISNUMBER(SEARCH("3歳未勝利",Z2617)),"3歳未勝利",IF(ISNUMBER(SEARCH("未勝利",Z2617)),"その他未勝利",IF(ISNUMBER(SEARCH("G1",Z2617)),"G1",IF(ISNUMBER(SEARCH("G2",Z2617)),"G2",IF(ISNUMBER(SEARCH("G3",Z2617)),"G3",IF(ISNUMBER(SEARCH("古馬条件",Z2617)),"古馬条件戦",IF(ISNUMBER(SEARCH("重賞",Z2617)),"重賞","分類不能")))))))))</f>
        <v/>
      </c>
    </row>
    <row r="2618" customFormat="false" ht="15.75" hidden="false" customHeight="false" outlineLevel="0" collapsed="false">
      <c r="AO2618" s="8" t="str">
        <f aca="false">IF(A2618="","",IF(COUNTIFS(全馬データ!$A$2:$A$50000,A2618,全馬データ!$B$2:$B$50000,B2618,全馬データ!$C$2:$C$50000,C2618,全馬データ!$D$2:$D$50000,E2618,全馬データ!$K$2:$K$50000,"&lt;&gt;")=0,"",SUMIFS(全馬データ!$K$2:$K$50000,全馬データ!$A$2:$A$50000,A2618,全馬データ!$B$2:$B$50000,B2618,全馬データ!$C$2:$C$50000,C2618,全馬データ!$D$2:$D$50000,E2618)))</f>
        <v/>
      </c>
      <c r="AP2618" s="8" t="str">
        <f aca="false">IF(A2618="","",IF(AO2618="","欠損",IF(AO2618&lt;=1.1,"1.0～1.1",IF(AO2618&lt;1.3,"1.2",IF(AO2618&lt;1.5,"1.3～1.4",IF(AO2618&lt;2,"1.5～1.9","2.0以上"))))))</f>
        <v/>
      </c>
      <c r="AQ2618" s="8" t="str">
        <f aca="false">IF(A2618="","",IF(ISNUMBER(SEARCH("2歳",Z2618)),"2歳戦",IF(ISNUMBER(SEARCH("3歳未勝利",Z2618)),"3歳未勝利",IF(ISNUMBER(SEARCH("未勝利",Z2618)),"その他未勝利",IF(ISNUMBER(SEARCH("G1",Z2618)),"G1",IF(ISNUMBER(SEARCH("G2",Z2618)),"G2",IF(ISNUMBER(SEARCH("G3",Z2618)),"G3",IF(ISNUMBER(SEARCH("古馬条件",Z2618)),"古馬条件戦",IF(ISNUMBER(SEARCH("重賞",Z2618)),"重賞","分類不能")))))))))</f>
        <v/>
      </c>
    </row>
    <row r="2619" customFormat="false" ht="15.75" hidden="false" customHeight="false" outlineLevel="0" collapsed="false">
      <c r="AO2619" s="8" t="str">
        <f aca="false">IF(A2619="","",IF(COUNTIFS(全馬データ!$A$2:$A$50000,A2619,全馬データ!$B$2:$B$50000,B2619,全馬データ!$C$2:$C$50000,C2619,全馬データ!$D$2:$D$50000,E2619,全馬データ!$K$2:$K$50000,"&lt;&gt;")=0,"",SUMIFS(全馬データ!$K$2:$K$50000,全馬データ!$A$2:$A$50000,A2619,全馬データ!$B$2:$B$50000,B2619,全馬データ!$C$2:$C$50000,C2619,全馬データ!$D$2:$D$50000,E2619)))</f>
        <v/>
      </c>
      <c r="AP2619" s="8" t="str">
        <f aca="false">IF(A2619="","",IF(AO2619="","欠損",IF(AO2619&lt;=1.1,"1.0～1.1",IF(AO2619&lt;1.3,"1.2",IF(AO2619&lt;1.5,"1.3～1.4",IF(AO2619&lt;2,"1.5～1.9","2.0以上"))))))</f>
        <v/>
      </c>
      <c r="AQ2619" s="8" t="str">
        <f aca="false">IF(A2619="","",IF(ISNUMBER(SEARCH("2歳",Z2619)),"2歳戦",IF(ISNUMBER(SEARCH("3歳未勝利",Z2619)),"3歳未勝利",IF(ISNUMBER(SEARCH("未勝利",Z2619)),"その他未勝利",IF(ISNUMBER(SEARCH("G1",Z2619)),"G1",IF(ISNUMBER(SEARCH("G2",Z2619)),"G2",IF(ISNUMBER(SEARCH("G3",Z2619)),"G3",IF(ISNUMBER(SEARCH("古馬条件",Z2619)),"古馬条件戦",IF(ISNUMBER(SEARCH("重賞",Z2619)),"重賞","分類不能")))))))))</f>
        <v/>
      </c>
    </row>
    <row r="2620" customFormat="false" ht="15.75" hidden="false" customHeight="false" outlineLevel="0" collapsed="false">
      <c r="AO2620" s="8" t="str">
        <f aca="false">IF(A2620="","",IF(COUNTIFS(全馬データ!$A$2:$A$50000,A2620,全馬データ!$B$2:$B$50000,B2620,全馬データ!$C$2:$C$50000,C2620,全馬データ!$D$2:$D$50000,E2620,全馬データ!$K$2:$K$50000,"&lt;&gt;")=0,"",SUMIFS(全馬データ!$K$2:$K$50000,全馬データ!$A$2:$A$50000,A2620,全馬データ!$B$2:$B$50000,B2620,全馬データ!$C$2:$C$50000,C2620,全馬データ!$D$2:$D$50000,E2620)))</f>
        <v/>
      </c>
      <c r="AP2620" s="8" t="str">
        <f aca="false">IF(A2620="","",IF(AO2620="","欠損",IF(AO2620&lt;=1.1,"1.0～1.1",IF(AO2620&lt;1.3,"1.2",IF(AO2620&lt;1.5,"1.3～1.4",IF(AO2620&lt;2,"1.5～1.9","2.0以上"))))))</f>
        <v/>
      </c>
      <c r="AQ2620" s="8" t="str">
        <f aca="false">IF(A2620="","",IF(ISNUMBER(SEARCH("2歳",Z2620)),"2歳戦",IF(ISNUMBER(SEARCH("3歳未勝利",Z2620)),"3歳未勝利",IF(ISNUMBER(SEARCH("未勝利",Z2620)),"その他未勝利",IF(ISNUMBER(SEARCH("G1",Z2620)),"G1",IF(ISNUMBER(SEARCH("G2",Z2620)),"G2",IF(ISNUMBER(SEARCH("G3",Z2620)),"G3",IF(ISNUMBER(SEARCH("古馬条件",Z2620)),"古馬条件戦",IF(ISNUMBER(SEARCH("重賞",Z2620)),"重賞","分類不能")))))))))</f>
        <v/>
      </c>
    </row>
    <row r="2621" customFormat="false" ht="15.75" hidden="false" customHeight="false" outlineLevel="0" collapsed="false">
      <c r="AO2621" s="8" t="str">
        <f aca="false">IF(A2621="","",IF(COUNTIFS(全馬データ!$A$2:$A$50000,A2621,全馬データ!$B$2:$B$50000,B2621,全馬データ!$C$2:$C$50000,C2621,全馬データ!$D$2:$D$50000,E2621,全馬データ!$K$2:$K$50000,"&lt;&gt;")=0,"",SUMIFS(全馬データ!$K$2:$K$50000,全馬データ!$A$2:$A$50000,A2621,全馬データ!$B$2:$B$50000,B2621,全馬データ!$C$2:$C$50000,C2621,全馬データ!$D$2:$D$50000,E2621)))</f>
        <v/>
      </c>
      <c r="AP2621" s="8" t="str">
        <f aca="false">IF(A2621="","",IF(AO2621="","欠損",IF(AO2621&lt;=1.1,"1.0～1.1",IF(AO2621&lt;1.3,"1.2",IF(AO2621&lt;1.5,"1.3～1.4",IF(AO2621&lt;2,"1.5～1.9","2.0以上"))))))</f>
        <v/>
      </c>
      <c r="AQ2621" s="8" t="str">
        <f aca="false">IF(A2621="","",IF(ISNUMBER(SEARCH("2歳",Z2621)),"2歳戦",IF(ISNUMBER(SEARCH("3歳未勝利",Z2621)),"3歳未勝利",IF(ISNUMBER(SEARCH("未勝利",Z2621)),"その他未勝利",IF(ISNUMBER(SEARCH("G1",Z2621)),"G1",IF(ISNUMBER(SEARCH("G2",Z2621)),"G2",IF(ISNUMBER(SEARCH("G3",Z2621)),"G3",IF(ISNUMBER(SEARCH("古馬条件",Z2621)),"古馬条件戦",IF(ISNUMBER(SEARCH("重賞",Z2621)),"重賞","分類不能")))))))))</f>
        <v/>
      </c>
    </row>
    <row r="2622" customFormat="false" ht="15.75" hidden="false" customHeight="false" outlineLevel="0" collapsed="false">
      <c r="AO2622" s="8" t="str">
        <f aca="false">IF(A2622="","",IF(COUNTIFS(全馬データ!$A$2:$A$50000,A2622,全馬データ!$B$2:$B$50000,B2622,全馬データ!$C$2:$C$50000,C2622,全馬データ!$D$2:$D$50000,E2622,全馬データ!$K$2:$K$50000,"&lt;&gt;")=0,"",SUMIFS(全馬データ!$K$2:$K$50000,全馬データ!$A$2:$A$50000,A2622,全馬データ!$B$2:$B$50000,B2622,全馬データ!$C$2:$C$50000,C2622,全馬データ!$D$2:$D$50000,E2622)))</f>
        <v/>
      </c>
      <c r="AP2622" s="8" t="str">
        <f aca="false">IF(A2622="","",IF(AO2622="","欠損",IF(AO2622&lt;=1.1,"1.0～1.1",IF(AO2622&lt;1.3,"1.2",IF(AO2622&lt;1.5,"1.3～1.4",IF(AO2622&lt;2,"1.5～1.9","2.0以上"))))))</f>
        <v/>
      </c>
      <c r="AQ2622" s="8" t="str">
        <f aca="false">IF(A2622="","",IF(ISNUMBER(SEARCH("2歳",Z2622)),"2歳戦",IF(ISNUMBER(SEARCH("3歳未勝利",Z2622)),"3歳未勝利",IF(ISNUMBER(SEARCH("未勝利",Z2622)),"その他未勝利",IF(ISNUMBER(SEARCH("G1",Z2622)),"G1",IF(ISNUMBER(SEARCH("G2",Z2622)),"G2",IF(ISNUMBER(SEARCH("G3",Z2622)),"G3",IF(ISNUMBER(SEARCH("古馬条件",Z2622)),"古馬条件戦",IF(ISNUMBER(SEARCH("重賞",Z2622)),"重賞","分類不能")))))))))</f>
        <v/>
      </c>
    </row>
    <row r="2623" customFormat="false" ht="15.75" hidden="false" customHeight="false" outlineLevel="0" collapsed="false">
      <c r="AO2623" s="8" t="str">
        <f aca="false">IF(A2623="","",IF(COUNTIFS(全馬データ!$A$2:$A$50000,A2623,全馬データ!$B$2:$B$50000,B2623,全馬データ!$C$2:$C$50000,C2623,全馬データ!$D$2:$D$50000,E2623,全馬データ!$K$2:$K$50000,"&lt;&gt;")=0,"",SUMIFS(全馬データ!$K$2:$K$50000,全馬データ!$A$2:$A$50000,A2623,全馬データ!$B$2:$B$50000,B2623,全馬データ!$C$2:$C$50000,C2623,全馬データ!$D$2:$D$50000,E2623)))</f>
        <v/>
      </c>
      <c r="AP2623" s="8" t="str">
        <f aca="false">IF(A2623="","",IF(AO2623="","欠損",IF(AO2623&lt;=1.1,"1.0～1.1",IF(AO2623&lt;1.3,"1.2",IF(AO2623&lt;1.5,"1.3～1.4",IF(AO2623&lt;2,"1.5～1.9","2.0以上"))))))</f>
        <v/>
      </c>
      <c r="AQ2623" s="8" t="str">
        <f aca="false">IF(A2623="","",IF(ISNUMBER(SEARCH("2歳",Z2623)),"2歳戦",IF(ISNUMBER(SEARCH("3歳未勝利",Z2623)),"3歳未勝利",IF(ISNUMBER(SEARCH("未勝利",Z2623)),"その他未勝利",IF(ISNUMBER(SEARCH("G1",Z2623)),"G1",IF(ISNUMBER(SEARCH("G2",Z2623)),"G2",IF(ISNUMBER(SEARCH("G3",Z2623)),"G3",IF(ISNUMBER(SEARCH("古馬条件",Z2623)),"古馬条件戦",IF(ISNUMBER(SEARCH("重賞",Z2623)),"重賞","分類不能")))))))))</f>
        <v/>
      </c>
    </row>
    <row r="2624" customFormat="false" ht="15.75" hidden="false" customHeight="false" outlineLevel="0" collapsed="false">
      <c r="AO2624" s="8" t="str">
        <f aca="false">IF(A2624="","",IF(COUNTIFS(全馬データ!$A$2:$A$50000,A2624,全馬データ!$B$2:$B$50000,B2624,全馬データ!$C$2:$C$50000,C2624,全馬データ!$D$2:$D$50000,E2624,全馬データ!$K$2:$K$50000,"&lt;&gt;")=0,"",SUMIFS(全馬データ!$K$2:$K$50000,全馬データ!$A$2:$A$50000,A2624,全馬データ!$B$2:$B$50000,B2624,全馬データ!$C$2:$C$50000,C2624,全馬データ!$D$2:$D$50000,E2624)))</f>
        <v/>
      </c>
      <c r="AP2624" s="8" t="str">
        <f aca="false">IF(A2624="","",IF(AO2624="","欠損",IF(AO2624&lt;=1.1,"1.0～1.1",IF(AO2624&lt;1.3,"1.2",IF(AO2624&lt;1.5,"1.3～1.4",IF(AO2624&lt;2,"1.5～1.9","2.0以上"))))))</f>
        <v/>
      </c>
      <c r="AQ2624" s="8" t="str">
        <f aca="false">IF(A2624="","",IF(ISNUMBER(SEARCH("2歳",Z2624)),"2歳戦",IF(ISNUMBER(SEARCH("3歳未勝利",Z2624)),"3歳未勝利",IF(ISNUMBER(SEARCH("未勝利",Z2624)),"その他未勝利",IF(ISNUMBER(SEARCH("G1",Z2624)),"G1",IF(ISNUMBER(SEARCH("G2",Z2624)),"G2",IF(ISNUMBER(SEARCH("G3",Z2624)),"G3",IF(ISNUMBER(SEARCH("古馬条件",Z2624)),"古馬条件戦",IF(ISNUMBER(SEARCH("重賞",Z2624)),"重賞","分類不能")))))))))</f>
        <v/>
      </c>
    </row>
    <row r="2625" customFormat="false" ht="15.75" hidden="false" customHeight="false" outlineLevel="0" collapsed="false">
      <c r="AO2625" s="8" t="str">
        <f aca="false">IF(A2625="","",IF(COUNTIFS(全馬データ!$A$2:$A$50000,A2625,全馬データ!$B$2:$B$50000,B2625,全馬データ!$C$2:$C$50000,C2625,全馬データ!$D$2:$D$50000,E2625,全馬データ!$K$2:$K$50000,"&lt;&gt;")=0,"",SUMIFS(全馬データ!$K$2:$K$50000,全馬データ!$A$2:$A$50000,A2625,全馬データ!$B$2:$B$50000,B2625,全馬データ!$C$2:$C$50000,C2625,全馬データ!$D$2:$D$50000,E2625)))</f>
        <v/>
      </c>
      <c r="AP2625" s="8" t="str">
        <f aca="false">IF(A2625="","",IF(AO2625="","欠損",IF(AO2625&lt;=1.1,"1.0～1.1",IF(AO2625&lt;1.3,"1.2",IF(AO2625&lt;1.5,"1.3～1.4",IF(AO2625&lt;2,"1.5～1.9","2.0以上"))))))</f>
        <v/>
      </c>
      <c r="AQ2625" s="8" t="str">
        <f aca="false">IF(A2625="","",IF(ISNUMBER(SEARCH("2歳",Z2625)),"2歳戦",IF(ISNUMBER(SEARCH("3歳未勝利",Z2625)),"3歳未勝利",IF(ISNUMBER(SEARCH("未勝利",Z2625)),"その他未勝利",IF(ISNUMBER(SEARCH("G1",Z2625)),"G1",IF(ISNUMBER(SEARCH("G2",Z2625)),"G2",IF(ISNUMBER(SEARCH("G3",Z2625)),"G3",IF(ISNUMBER(SEARCH("古馬条件",Z2625)),"古馬条件戦",IF(ISNUMBER(SEARCH("重賞",Z2625)),"重賞","分類不能")))))))))</f>
        <v/>
      </c>
    </row>
    <row r="2626" customFormat="false" ht="15.75" hidden="false" customHeight="false" outlineLevel="0" collapsed="false">
      <c r="AO2626" s="8" t="str">
        <f aca="false">IF(A2626="","",IF(COUNTIFS(全馬データ!$A$2:$A$50000,A2626,全馬データ!$B$2:$B$50000,B2626,全馬データ!$C$2:$C$50000,C2626,全馬データ!$D$2:$D$50000,E2626,全馬データ!$K$2:$K$50000,"&lt;&gt;")=0,"",SUMIFS(全馬データ!$K$2:$K$50000,全馬データ!$A$2:$A$50000,A2626,全馬データ!$B$2:$B$50000,B2626,全馬データ!$C$2:$C$50000,C2626,全馬データ!$D$2:$D$50000,E2626)))</f>
        <v/>
      </c>
      <c r="AP2626" s="8" t="str">
        <f aca="false">IF(A2626="","",IF(AO2626="","欠損",IF(AO2626&lt;=1.1,"1.0～1.1",IF(AO2626&lt;1.3,"1.2",IF(AO2626&lt;1.5,"1.3～1.4",IF(AO2626&lt;2,"1.5～1.9","2.0以上"))))))</f>
        <v/>
      </c>
      <c r="AQ2626" s="8" t="str">
        <f aca="false">IF(A2626="","",IF(ISNUMBER(SEARCH("2歳",Z2626)),"2歳戦",IF(ISNUMBER(SEARCH("3歳未勝利",Z2626)),"3歳未勝利",IF(ISNUMBER(SEARCH("未勝利",Z2626)),"その他未勝利",IF(ISNUMBER(SEARCH("G1",Z2626)),"G1",IF(ISNUMBER(SEARCH("G2",Z2626)),"G2",IF(ISNUMBER(SEARCH("G3",Z2626)),"G3",IF(ISNUMBER(SEARCH("古馬条件",Z2626)),"古馬条件戦",IF(ISNUMBER(SEARCH("重賞",Z2626)),"重賞","分類不能")))))))))</f>
        <v/>
      </c>
    </row>
    <row r="2627" customFormat="false" ht="15.75" hidden="false" customHeight="false" outlineLevel="0" collapsed="false">
      <c r="AO2627" s="8" t="str">
        <f aca="false">IF(A2627="","",IF(COUNTIFS(全馬データ!$A$2:$A$50000,A2627,全馬データ!$B$2:$B$50000,B2627,全馬データ!$C$2:$C$50000,C2627,全馬データ!$D$2:$D$50000,E2627,全馬データ!$K$2:$K$50000,"&lt;&gt;")=0,"",SUMIFS(全馬データ!$K$2:$K$50000,全馬データ!$A$2:$A$50000,A2627,全馬データ!$B$2:$B$50000,B2627,全馬データ!$C$2:$C$50000,C2627,全馬データ!$D$2:$D$50000,E2627)))</f>
        <v/>
      </c>
      <c r="AP2627" s="8" t="str">
        <f aca="false">IF(A2627="","",IF(AO2627="","欠損",IF(AO2627&lt;=1.1,"1.0～1.1",IF(AO2627&lt;1.3,"1.2",IF(AO2627&lt;1.5,"1.3～1.4",IF(AO2627&lt;2,"1.5～1.9","2.0以上"))))))</f>
        <v/>
      </c>
      <c r="AQ2627" s="8" t="str">
        <f aca="false">IF(A2627="","",IF(ISNUMBER(SEARCH("2歳",Z2627)),"2歳戦",IF(ISNUMBER(SEARCH("3歳未勝利",Z2627)),"3歳未勝利",IF(ISNUMBER(SEARCH("未勝利",Z2627)),"その他未勝利",IF(ISNUMBER(SEARCH("G1",Z2627)),"G1",IF(ISNUMBER(SEARCH("G2",Z2627)),"G2",IF(ISNUMBER(SEARCH("G3",Z2627)),"G3",IF(ISNUMBER(SEARCH("古馬条件",Z2627)),"古馬条件戦",IF(ISNUMBER(SEARCH("重賞",Z2627)),"重賞","分類不能")))))))))</f>
        <v/>
      </c>
    </row>
    <row r="2628" customFormat="false" ht="15.75" hidden="false" customHeight="false" outlineLevel="0" collapsed="false">
      <c r="AO2628" s="8" t="str">
        <f aca="false">IF(A2628="","",IF(COUNTIFS(全馬データ!$A$2:$A$50000,A2628,全馬データ!$B$2:$B$50000,B2628,全馬データ!$C$2:$C$50000,C2628,全馬データ!$D$2:$D$50000,E2628,全馬データ!$K$2:$K$50000,"&lt;&gt;")=0,"",SUMIFS(全馬データ!$K$2:$K$50000,全馬データ!$A$2:$A$50000,A2628,全馬データ!$B$2:$B$50000,B2628,全馬データ!$C$2:$C$50000,C2628,全馬データ!$D$2:$D$50000,E2628)))</f>
        <v/>
      </c>
      <c r="AP2628" s="8" t="str">
        <f aca="false">IF(A2628="","",IF(AO2628="","欠損",IF(AO2628&lt;=1.1,"1.0～1.1",IF(AO2628&lt;1.3,"1.2",IF(AO2628&lt;1.5,"1.3～1.4",IF(AO2628&lt;2,"1.5～1.9","2.0以上"))))))</f>
        <v/>
      </c>
      <c r="AQ2628" s="8" t="str">
        <f aca="false">IF(A2628="","",IF(ISNUMBER(SEARCH("2歳",Z2628)),"2歳戦",IF(ISNUMBER(SEARCH("3歳未勝利",Z2628)),"3歳未勝利",IF(ISNUMBER(SEARCH("未勝利",Z2628)),"その他未勝利",IF(ISNUMBER(SEARCH("G1",Z2628)),"G1",IF(ISNUMBER(SEARCH("G2",Z2628)),"G2",IF(ISNUMBER(SEARCH("G3",Z2628)),"G3",IF(ISNUMBER(SEARCH("古馬条件",Z2628)),"古馬条件戦",IF(ISNUMBER(SEARCH("重賞",Z2628)),"重賞","分類不能")))))))))</f>
        <v/>
      </c>
    </row>
    <row r="2629" customFormat="false" ht="15.75" hidden="false" customHeight="false" outlineLevel="0" collapsed="false">
      <c r="AO2629" s="8" t="str">
        <f aca="false">IF(A2629="","",IF(COUNTIFS(全馬データ!$A$2:$A$50000,A2629,全馬データ!$B$2:$B$50000,B2629,全馬データ!$C$2:$C$50000,C2629,全馬データ!$D$2:$D$50000,E2629,全馬データ!$K$2:$K$50000,"&lt;&gt;")=0,"",SUMIFS(全馬データ!$K$2:$K$50000,全馬データ!$A$2:$A$50000,A2629,全馬データ!$B$2:$B$50000,B2629,全馬データ!$C$2:$C$50000,C2629,全馬データ!$D$2:$D$50000,E2629)))</f>
        <v/>
      </c>
      <c r="AP2629" s="8" t="str">
        <f aca="false">IF(A2629="","",IF(AO2629="","欠損",IF(AO2629&lt;=1.1,"1.0～1.1",IF(AO2629&lt;1.3,"1.2",IF(AO2629&lt;1.5,"1.3～1.4",IF(AO2629&lt;2,"1.5～1.9","2.0以上"))))))</f>
        <v/>
      </c>
      <c r="AQ2629" s="8" t="str">
        <f aca="false">IF(A2629="","",IF(ISNUMBER(SEARCH("2歳",Z2629)),"2歳戦",IF(ISNUMBER(SEARCH("3歳未勝利",Z2629)),"3歳未勝利",IF(ISNUMBER(SEARCH("未勝利",Z2629)),"その他未勝利",IF(ISNUMBER(SEARCH("G1",Z2629)),"G1",IF(ISNUMBER(SEARCH("G2",Z2629)),"G2",IF(ISNUMBER(SEARCH("G3",Z2629)),"G3",IF(ISNUMBER(SEARCH("古馬条件",Z2629)),"古馬条件戦",IF(ISNUMBER(SEARCH("重賞",Z2629)),"重賞","分類不能")))))))))</f>
        <v/>
      </c>
    </row>
    <row r="2630" customFormat="false" ht="15.75" hidden="false" customHeight="false" outlineLevel="0" collapsed="false">
      <c r="AO2630" s="8" t="str">
        <f aca="false">IF(A2630="","",IF(COUNTIFS(全馬データ!$A$2:$A$50000,A2630,全馬データ!$B$2:$B$50000,B2630,全馬データ!$C$2:$C$50000,C2630,全馬データ!$D$2:$D$50000,E2630,全馬データ!$K$2:$K$50000,"&lt;&gt;")=0,"",SUMIFS(全馬データ!$K$2:$K$50000,全馬データ!$A$2:$A$50000,A2630,全馬データ!$B$2:$B$50000,B2630,全馬データ!$C$2:$C$50000,C2630,全馬データ!$D$2:$D$50000,E2630)))</f>
        <v/>
      </c>
      <c r="AP2630" s="8" t="str">
        <f aca="false">IF(A2630="","",IF(AO2630="","欠損",IF(AO2630&lt;=1.1,"1.0～1.1",IF(AO2630&lt;1.3,"1.2",IF(AO2630&lt;1.5,"1.3～1.4",IF(AO2630&lt;2,"1.5～1.9","2.0以上"))))))</f>
        <v/>
      </c>
      <c r="AQ2630" s="8" t="str">
        <f aca="false">IF(A2630="","",IF(ISNUMBER(SEARCH("2歳",Z2630)),"2歳戦",IF(ISNUMBER(SEARCH("3歳未勝利",Z2630)),"3歳未勝利",IF(ISNUMBER(SEARCH("未勝利",Z2630)),"その他未勝利",IF(ISNUMBER(SEARCH("G1",Z2630)),"G1",IF(ISNUMBER(SEARCH("G2",Z2630)),"G2",IF(ISNUMBER(SEARCH("G3",Z2630)),"G3",IF(ISNUMBER(SEARCH("古馬条件",Z2630)),"古馬条件戦",IF(ISNUMBER(SEARCH("重賞",Z2630)),"重賞","分類不能")))))))))</f>
        <v/>
      </c>
    </row>
    <row r="2631" customFormat="false" ht="15.75" hidden="false" customHeight="false" outlineLevel="0" collapsed="false">
      <c r="AO2631" s="8" t="str">
        <f aca="false">IF(A2631="","",IF(COUNTIFS(全馬データ!$A$2:$A$50000,A2631,全馬データ!$B$2:$B$50000,B2631,全馬データ!$C$2:$C$50000,C2631,全馬データ!$D$2:$D$50000,E2631,全馬データ!$K$2:$K$50000,"&lt;&gt;")=0,"",SUMIFS(全馬データ!$K$2:$K$50000,全馬データ!$A$2:$A$50000,A2631,全馬データ!$B$2:$B$50000,B2631,全馬データ!$C$2:$C$50000,C2631,全馬データ!$D$2:$D$50000,E2631)))</f>
        <v/>
      </c>
      <c r="AP2631" s="8" t="str">
        <f aca="false">IF(A2631="","",IF(AO2631="","欠損",IF(AO2631&lt;=1.1,"1.0～1.1",IF(AO2631&lt;1.3,"1.2",IF(AO2631&lt;1.5,"1.3～1.4",IF(AO2631&lt;2,"1.5～1.9","2.0以上"))))))</f>
        <v/>
      </c>
      <c r="AQ2631" s="8" t="str">
        <f aca="false">IF(A2631="","",IF(ISNUMBER(SEARCH("2歳",Z2631)),"2歳戦",IF(ISNUMBER(SEARCH("3歳未勝利",Z2631)),"3歳未勝利",IF(ISNUMBER(SEARCH("未勝利",Z2631)),"その他未勝利",IF(ISNUMBER(SEARCH("G1",Z2631)),"G1",IF(ISNUMBER(SEARCH("G2",Z2631)),"G2",IF(ISNUMBER(SEARCH("G3",Z2631)),"G3",IF(ISNUMBER(SEARCH("古馬条件",Z2631)),"古馬条件戦",IF(ISNUMBER(SEARCH("重賞",Z2631)),"重賞","分類不能")))))))))</f>
        <v/>
      </c>
    </row>
    <row r="2632" customFormat="false" ht="15.75" hidden="false" customHeight="false" outlineLevel="0" collapsed="false">
      <c r="AO2632" s="8" t="str">
        <f aca="false">IF(A2632="","",IF(COUNTIFS(全馬データ!$A$2:$A$50000,A2632,全馬データ!$B$2:$B$50000,B2632,全馬データ!$C$2:$C$50000,C2632,全馬データ!$D$2:$D$50000,E2632,全馬データ!$K$2:$K$50000,"&lt;&gt;")=0,"",SUMIFS(全馬データ!$K$2:$K$50000,全馬データ!$A$2:$A$50000,A2632,全馬データ!$B$2:$B$50000,B2632,全馬データ!$C$2:$C$50000,C2632,全馬データ!$D$2:$D$50000,E2632)))</f>
        <v/>
      </c>
      <c r="AP2632" s="8" t="str">
        <f aca="false">IF(A2632="","",IF(AO2632="","欠損",IF(AO2632&lt;=1.1,"1.0～1.1",IF(AO2632&lt;1.3,"1.2",IF(AO2632&lt;1.5,"1.3～1.4",IF(AO2632&lt;2,"1.5～1.9","2.0以上"))))))</f>
        <v/>
      </c>
      <c r="AQ2632" s="8" t="str">
        <f aca="false">IF(A2632="","",IF(ISNUMBER(SEARCH("2歳",Z2632)),"2歳戦",IF(ISNUMBER(SEARCH("3歳未勝利",Z2632)),"3歳未勝利",IF(ISNUMBER(SEARCH("未勝利",Z2632)),"その他未勝利",IF(ISNUMBER(SEARCH("G1",Z2632)),"G1",IF(ISNUMBER(SEARCH("G2",Z2632)),"G2",IF(ISNUMBER(SEARCH("G3",Z2632)),"G3",IF(ISNUMBER(SEARCH("古馬条件",Z2632)),"古馬条件戦",IF(ISNUMBER(SEARCH("重賞",Z2632)),"重賞","分類不能")))))))))</f>
        <v/>
      </c>
    </row>
    <row r="2633" customFormat="false" ht="15.75" hidden="false" customHeight="false" outlineLevel="0" collapsed="false">
      <c r="AO2633" s="8" t="str">
        <f aca="false">IF(A2633="","",IF(COUNTIFS(全馬データ!$A$2:$A$50000,A2633,全馬データ!$B$2:$B$50000,B2633,全馬データ!$C$2:$C$50000,C2633,全馬データ!$D$2:$D$50000,E2633,全馬データ!$K$2:$K$50000,"&lt;&gt;")=0,"",SUMIFS(全馬データ!$K$2:$K$50000,全馬データ!$A$2:$A$50000,A2633,全馬データ!$B$2:$B$50000,B2633,全馬データ!$C$2:$C$50000,C2633,全馬データ!$D$2:$D$50000,E2633)))</f>
        <v/>
      </c>
      <c r="AP2633" s="8" t="str">
        <f aca="false">IF(A2633="","",IF(AO2633="","欠損",IF(AO2633&lt;=1.1,"1.0～1.1",IF(AO2633&lt;1.3,"1.2",IF(AO2633&lt;1.5,"1.3～1.4",IF(AO2633&lt;2,"1.5～1.9","2.0以上"))))))</f>
        <v/>
      </c>
      <c r="AQ2633" s="8" t="str">
        <f aca="false">IF(A2633="","",IF(ISNUMBER(SEARCH("2歳",Z2633)),"2歳戦",IF(ISNUMBER(SEARCH("3歳未勝利",Z2633)),"3歳未勝利",IF(ISNUMBER(SEARCH("未勝利",Z2633)),"その他未勝利",IF(ISNUMBER(SEARCH("G1",Z2633)),"G1",IF(ISNUMBER(SEARCH("G2",Z2633)),"G2",IF(ISNUMBER(SEARCH("G3",Z2633)),"G3",IF(ISNUMBER(SEARCH("古馬条件",Z2633)),"古馬条件戦",IF(ISNUMBER(SEARCH("重賞",Z2633)),"重賞","分類不能")))))))))</f>
        <v/>
      </c>
    </row>
    <row r="2634" customFormat="false" ht="15.75" hidden="false" customHeight="false" outlineLevel="0" collapsed="false">
      <c r="AO2634" s="8" t="str">
        <f aca="false">IF(A2634="","",IF(COUNTIFS(全馬データ!$A$2:$A$50000,A2634,全馬データ!$B$2:$B$50000,B2634,全馬データ!$C$2:$C$50000,C2634,全馬データ!$D$2:$D$50000,E2634,全馬データ!$K$2:$K$50000,"&lt;&gt;")=0,"",SUMIFS(全馬データ!$K$2:$K$50000,全馬データ!$A$2:$A$50000,A2634,全馬データ!$B$2:$B$50000,B2634,全馬データ!$C$2:$C$50000,C2634,全馬データ!$D$2:$D$50000,E2634)))</f>
        <v/>
      </c>
      <c r="AP2634" s="8" t="str">
        <f aca="false">IF(A2634="","",IF(AO2634="","欠損",IF(AO2634&lt;=1.1,"1.0～1.1",IF(AO2634&lt;1.3,"1.2",IF(AO2634&lt;1.5,"1.3～1.4",IF(AO2634&lt;2,"1.5～1.9","2.0以上"))))))</f>
        <v/>
      </c>
      <c r="AQ2634" s="8" t="str">
        <f aca="false">IF(A2634="","",IF(ISNUMBER(SEARCH("2歳",Z2634)),"2歳戦",IF(ISNUMBER(SEARCH("3歳未勝利",Z2634)),"3歳未勝利",IF(ISNUMBER(SEARCH("未勝利",Z2634)),"その他未勝利",IF(ISNUMBER(SEARCH("G1",Z2634)),"G1",IF(ISNUMBER(SEARCH("G2",Z2634)),"G2",IF(ISNUMBER(SEARCH("G3",Z2634)),"G3",IF(ISNUMBER(SEARCH("古馬条件",Z2634)),"古馬条件戦",IF(ISNUMBER(SEARCH("重賞",Z2634)),"重賞","分類不能")))))))))</f>
        <v/>
      </c>
    </row>
    <row r="2635" customFormat="false" ht="15.75" hidden="false" customHeight="false" outlineLevel="0" collapsed="false">
      <c r="AO2635" s="8" t="str">
        <f aca="false">IF(A2635="","",IF(COUNTIFS(全馬データ!$A$2:$A$50000,A2635,全馬データ!$B$2:$B$50000,B2635,全馬データ!$C$2:$C$50000,C2635,全馬データ!$D$2:$D$50000,E2635,全馬データ!$K$2:$K$50000,"&lt;&gt;")=0,"",SUMIFS(全馬データ!$K$2:$K$50000,全馬データ!$A$2:$A$50000,A2635,全馬データ!$B$2:$B$50000,B2635,全馬データ!$C$2:$C$50000,C2635,全馬データ!$D$2:$D$50000,E2635)))</f>
        <v/>
      </c>
      <c r="AP2635" s="8" t="str">
        <f aca="false">IF(A2635="","",IF(AO2635="","欠損",IF(AO2635&lt;=1.1,"1.0～1.1",IF(AO2635&lt;1.3,"1.2",IF(AO2635&lt;1.5,"1.3～1.4",IF(AO2635&lt;2,"1.5～1.9","2.0以上"))))))</f>
        <v/>
      </c>
      <c r="AQ2635" s="8" t="str">
        <f aca="false">IF(A2635="","",IF(ISNUMBER(SEARCH("2歳",Z2635)),"2歳戦",IF(ISNUMBER(SEARCH("3歳未勝利",Z2635)),"3歳未勝利",IF(ISNUMBER(SEARCH("未勝利",Z2635)),"その他未勝利",IF(ISNUMBER(SEARCH("G1",Z2635)),"G1",IF(ISNUMBER(SEARCH("G2",Z2635)),"G2",IF(ISNUMBER(SEARCH("G3",Z2635)),"G3",IF(ISNUMBER(SEARCH("古馬条件",Z2635)),"古馬条件戦",IF(ISNUMBER(SEARCH("重賞",Z2635)),"重賞","分類不能")))))))))</f>
        <v/>
      </c>
    </row>
    <row r="2636" customFormat="false" ht="15.75" hidden="false" customHeight="false" outlineLevel="0" collapsed="false">
      <c r="AO2636" s="8" t="str">
        <f aca="false">IF(A2636="","",IF(COUNTIFS(全馬データ!$A$2:$A$50000,A2636,全馬データ!$B$2:$B$50000,B2636,全馬データ!$C$2:$C$50000,C2636,全馬データ!$D$2:$D$50000,E2636,全馬データ!$K$2:$K$50000,"&lt;&gt;")=0,"",SUMIFS(全馬データ!$K$2:$K$50000,全馬データ!$A$2:$A$50000,A2636,全馬データ!$B$2:$B$50000,B2636,全馬データ!$C$2:$C$50000,C2636,全馬データ!$D$2:$D$50000,E2636)))</f>
        <v/>
      </c>
      <c r="AP2636" s="8" t="str">
        <f aca="false">IF(A2636="","",IF(AO2636="","欠損",IF(AO2636&lt;=1.1,"1.0～1.1",IF(AO2636&lt;1.3,"1.2",IF(AO2636&lt;1.5,"1.3～1.4",IF(AO2636&lt;2,"1.5～1.9","2.0以上"))))))</f>
        <v/>
      </c>
      <c r="AQ2636" s="8" t="str">
        <f aca="false">IF(A2636="","",IF(ISNUMBER(SEARCH("2歳",Z2636)),"2歳戦",IF(ISNUMBER(SEARCH("3歳未勝利",Z2636)),"3歳未勝利",IF(ISNUMBER(SEARCH("未勝利",Z2636)),"その他未勝利",IF(ISNUMBER(SEARCH("G1",Z2636)),"G1",IF(ISNUMBER(SEARCH("G2",Z2636)),"G2",IF(ISNUMBER(SEARCH("G3",Z2636)),"G3",IF(ISNUMBER(SEARCH("古馬条件",Z2636)),"古馬条件戦",IF(ISNUMBER(SEARCH("重賞",Z2636)),"重賞","分類不能")))))))))</f>
        <v/>
      </c>
    </row>
    <row r="2637" customFormat="false" ht="15.75" hidden="false" customHeight="false" outlineLevel="0" collapsed="false">
      <c r="AO2637" s="8" t="str">
        <f aca="false">IF(A2637="","",IF(COUNTIFS(全馬データ!$A$2:$A$50000,A2637,全馬データ!$B$2:$B$50000,B2637,全馬データ!$C$2:$C$50000,C2637,全馬データ!$D$2:$D$50000,E2637,全馬データ!$K$2:$K$50000,"&lt;&gt;")=0,"",SUMIFS(全馬データ!$K$2:$K$50000,全馬データ!$A$2:$A$50000,A2637,全馬データ!$B$2:$B$50000,B2637,全馬データ!$C$2:$C$50000,C2637,全馬データ!$D$2:$D$50000,E2637)))</f>
        <v/>
      </c>
      <c r="AP2637" s="8" t="str">
        <f aca="false">IF(A2637="","",IF(AO2637="","欠損",IF(AO2637&lt;=1.1,"1.0～1.1",IF(AO2637&lt;1.3,"1.2",IF(AO2637&lt;1.5,"1.3～1.4",IF(AO2637&lt;2,"1.5～1.9","2.0以上"))))))</f>
        <v/>
      </c>
      <c r="AQ2637" s="8" t="str">
        <f aca="false">IF(A2637="","",IF(ISNUMBER(SEARCH("2歳",Z2637)),"2歳戦",IF(ISNUMBER(SEARCH("3歳未勝利",Z2637)),"3歳未勝利",IF(ISNUMBER(SEARCH("未勝利",Z2637)),"その他未勝利",IF(ISNUMBER(SEARCH("G1",Z2637)),"G1",IF(ISNUMBER(SEARCH("G2",Z2637)),"G2",IF(ISNUMBER(SEARCH("G3",Z2637)),"G3",IF(ISNUMBER(SEARCH("古馬条件",Z2637)),"古馬条件戦",IF(ISNUMBER(SEARCH("重賞",Z2637)),"重賞","分類不能")))))))))</f>
        <v/>
      </c>
    </row>
    <row r="2638" customFormat="false" ht="15.75" hidden="false" customHeight="false" outlineLevel="0" collapsed="false">
      <c r="AO2638" s="8" t="str">
        <f aca="false">IF(A2638="","",IF(COUNTIFS(全馬データ!$A$2:$A$50000,A2638,全馬データ!$B$2:$B$50000,B2638,全馬データ!$C$2:$C$50000,C2638,全馬データ!$D$2:$D$50000,E2638,全馬データ!$K$2:$K$50000,"&lt;&gt;")=0,"",SUMIFS(全馬データ!$K$2:$K$50000,全馬データ!$A$2:$A$50000,A2638,全馬データ!$B$2:$B$50000,B2638,全馬データ!$C$2:$C$50000,C2638,全馬データ!$D$2:$D$50000,E2638)))</f>
        <v/>
      </c>
      <c r="AP2638" s="8" t="str">
        <f aca="false">IF(A2638="","",IF(AO2638="","欠損",IF(AO2638&lt;=1.1,"1.0～1.1",IF(AO2638&lt;1.3,"1.2",IF(AO2638&lt;1.5,"1.3～1.4",IF(AO2638&lt;2,"1.5～1.9","2.0以上"))))))</f>
        <v/>
      </c>
      <c r="AQ2638" s="8" t="str">
        <f aca="false">IF(A2638="","",IF(ISNUMBER(SEARCH("2歳",Z2638)),"2歳戦",IF(ISNUMBER(SEARCH("3歳未勝利",Z2638)),"3歳未勝利",IF(ISNUMBER(SEARCH("未勝利",Z2638)),"その他未勝利",IF(ISNUMBER(SEARCH("G1",Z2638)),"G1",IF(ISNUMBER(SEARCH("G2",Z2638)),"G2",IF(ISNUMBER(SEARCH("G3",Z2638)),"G3",IF(ISNUMBER(SEARCH("古馬条件",Z2638)),"古馬条件戦",IF(ISNUMBER(SEARCH("重賞",Z2638)),"重賞","分類不能")))))))))</f>
        <v/>
      </c>
    </row>
    <row r="2639" customFormat="false" ht="15.75" hidden="false" customHeight="false" outlineLevel="0" collapsed="false">
      <c r="AO2639" s="8" t="str">
        <f aca="false">IF(A2639="","",IF(COUNTIFS(全馬データ!$A$2:$A$50000,A2639,全馬データ!$B$2:$B$50000,B2639,全馬データ!$C$2:$C$50000,C2639,全馬データ!$D$2:$D$50000,E2639,全馬データ!$K$2:$K$50000,"&lt;&gt;")=0,"",SUMIFS(全馬データ!$K$2:$K$50000,全馬データ!$A$2:$A$50000,A2639,全馬データ!$B$2:$B$50000,B2639,全馬データ!$C$2:$C$50000,C2639,全馬データ!$D$2:$D$50000,E2639)))</f>
        <v/>
      </c>
      <c r="AP2639" s="8" t="str">
        <f aca="false">IF(A2639="","",IF(AO2639="","欠損",IF(AO2639&lt;=1.1,"1.0～1.1",IF(AO2639&lt;1.3,"1.2",IF(AO2639&lt;1.5,"1.3～1.4",IF(AO2639&lt;2,"1.5～1.9","2.0以上"))))))</f>
        <v/>
      </c>
      <c r="AQ2639" s="8" t="str">
        <f aca="false">IF(A2639="","",IF(ISNUMBER(SEARCH("2歳",Z2639)),"2歳戦",IF(ISNUMBER(SEARCH("3歳未勝利",Z2639)),"3歳未勝利",IF(ISNUMBER(SEARCH("未勝利",Z2639)),"その他未勝利",IF(ISNUMBER(SEARCH("G1",Z2639)),"G1",IF(ISNUMBER(SEARCH("G2",Z2639)),"G2",IF(ISNUMBER(SEARCH("G3",Z2639)),"G3",IF(ISNUMBER(SEARCH("古馬条件",Z2639)),"古馬条件戦",IF(ISNUMBER(SEARCH("重賞",Z2639)),"重賞","分類不能")))))))))</f>
        <v/>
      </c>
    </row>
    <row r="2640" customFormat="false" ht="15.75" hidden="false" customHeight="false" outlineLevel="0" collapsed="false">
      <c r="AO2640" s="8" t="str">
        <f aca="false">IF(A2640="","",IF(COUNTIFS(全馬データ!$A$2:$A$50000,A2640,全馬データ!$B$2:$B$50000,B2640,全馬データ!$C$2:$C$50000,C2640,全馬データ!$D$2:$D$50000,E2640,全馬データ!$K$2:$K$50000,"&lt;&gt;")=0,"",SUMIFS(全馬データ!$K$2:$K$50000,全馬データ!$A$2:$A$50000,A2640,全馬データ!$B$2:$B$50000,B2640,全馬データ!$C$2:$C$50000,C2640,全馬データ!$D$2:$D$50000,E2640)))</f>
        <v/>
      </c>
      <c r="AP2640" s="8" t="str">
        <f aca="false">IF(A2640="","",IF(AO2640="","欠損",IF(AO2640&lt;=1.1,"1.0～1.1",IF(AO2640&lt;1.3,"1.2",IF(AO2640&lt;1.5,"1.3～1.4",IF(AO2640&lt;2,"1.5～1.9","2.0以上"))))))</f>
        <v/>
      </c>
      <c r="AQ2640" s="8" t="str">
        <f aca="false">IF(A2640="","",IF(ISNUMBER(SEARCH("2歳",Z2640)),"2歳戦",IF(ISNUMBER(SEARCH("3歳未勝利",Z2640)),"3歳未勝利",IF(ISNUMBER(SEARCH("未勝利",Z2640)),"その他未勝利",IF(ISNUMBER(SEARCH("G1",Z2640)),"G1",IF(ISNUMBER(SEARCH("G2",Z2640)),"G2",IF(ISNUMBER(SEARCH("G3",Z2640)),"G3",IF(ISNUMBER(SEARCH("古馬条件",Z2640)),"古馬条件戦",IF(ISNUMBER(SEARCH("重賞",Z2640)),"重賞","分類不能")))))))))</f>
        <v/>
      </c>
    </row>
    <row r="2641" customFormat="false" ht="15.75" hidden="false" customHeight="false" outlineLevel="0" collapsed="false">
      <c r="AO2641" s="8" t="str">
        <f aca="false">IF(A2641="","",IF(COUNTIFS(全馬データ!$A$2:$A$50000,A2641,全馬データ!$B$2:$B$50000,B2641,全馬データ!$C$2:$C$50000,C2641,全馬データ!$D$2:$D$50000,E2641,全馬データ!$K$2:$K$50000,"&lt;&gt;")=0,"",SUMIFS(全馬データ!$K$2:$K$50000,全馬データ!$A$2:$A$50000,A2641,全馬データ!$B$2:$B$50000,B2641,全馬データ!$C$2:$C$50000,C2641,全馬データ!$D$2:$D$50000,E2641)))</f>
        <v/>
      </c>
      <c r="AP2641" s="8" t="str">
        <f aca="false">IF(A2641="","",IF(AO2641="","欠損",IF(AO2641&lt;=1.1,"1.0～1.1",IF(AO2641&lt;1.3,"1.2",IF(AO2641&lt;1.5,"1.3～1.4",IF(AO2641&lt;2,"1.5～1.9","2.0以上"))))))</f>
        <v/>
      </c>
      <c r="AQ2641" s="8" t="str">
        <f aca="false">IF(A2641="","",IF(ISNUMBER(SEARCH("2歳",Z2641)),"2歳戦",IF(ISNUMBER(SEARCH("3歳未勝利",Z2641)),"3歳未勝利",IF(ISNUMBER(SEARCH("未勝利",Z2641)),"その他未勝利",IF(ISNUMBER(SEARCH("G1",Z2641)),"G1",IF(ISNUMBER(SEARCH("G2",Z2641)),"G2",IF(ISNUMBER(SEARCH("G3",Z2641)),"G3",IF(ISNUMBER(SEARCH("古馬条件",Z2641)),"古馬条件戦",IF(ISNUMBER(SEARCH("重賞",Z2641)),"重賞","分類不能")))))))))</f>
        <v/>
      </c>
    </row>
    <row r="2642" customFormat="false" ht="15.75" hidden="false" customHeight="false" outlineLevel="0" collapsed="false">
      <c r="AO2642" s="8" t="str">
        <f aca="false">IF(A2642="","",IF(COUNTIFS(全馬データ!$A$2:$A$50000,A2642,全馬データ!$B$2:$B$50000,B2642,全馬データ!$C$2:$C$50000,C2642,全馬データ!$D$2:$D$50000,E2642,全馬データ!$K$2:$K$50000,"&lt;&gt;")=0,"",SUMIFS(全馬データ!$K$2:$K$50000,全馬データ!$A$2:$A$50000,A2642,全馬データ!$B$2:$B$50000,B2642,全馬データ!$C$2:$C$50000,C2642,全馬データ!$D$2:$D$50000,E2642)))</f>
        <v/>
      </c>
      <c r="AP2642" s="8" t="str">
        <f aca="false">IF(A2642="","",IF(AO2642="","欠損",IF(AO2642&lt;=1.1,"1.0～1.1",IF(AO2642&lt;1.3,"1.2",IF(AO2642&lt;1.5,"1.3～1.4",IF(AO2642&lt;2,"1.5～1.9","2.0以上"))))))</f>
        <v/>
      </c>
      <c r="AQ2642" s="8" t="str">
        <f aca="false">IF(A2642="","",IF(ISNUMBER(SEARCH("2歳",Z2642)),"2歳戦",IF(ISNUMBER(SEARCH("3歳未勝利",Z2642)),"3歳未勝利",IF(ISNUMBER(SEARCH("未勝利",Z2642)),"その他未勝利",IF(ISNUMBER(SEARCH("G1",Z2642)),"G1",IF(ISNUMBER(SEARCH("G2",Z2642)),"G2",IF(ISNUMBER(SEARCH("G3",Z2642)),"G3",IF(ISNUMBER(SEARCH("古馬条件",Z2642)),"古馬条件戦",IF(ISNUMBER(SEARCH("重賞",Z2642)),"重賞","分類不能")))))))))</f>
        <v/>
      </c>
    </row>
    <row r="2643" customFormat="false" ht="15.75" hidden="false" customHeight="false" outlineLevel="0" collapsed="false">
      <c r="AO2643" s="8" t="str">
        <f aca="false">IF(A2643="","",IF(COUNTIFS(全馬データ!$A$2:$A$50000,A2643,全馬データ!$B$2:$B$50000,B2643,全馬データ!$C$2:$C$50000,C2643,全馬データ!$D$2:$D$50000,E2643,全馬データ!$K$2:$K$50000,"&lt;&gt;")=0,"",SUMIFS(全馬データ!$K$2:$K$50000,全馬データ!$A$2:$A$50000,A2643,全馬データ!$B$2:$B$50000,B2643,全馬データ!$C$2:$C$50000,C2643,全馬データ!$D$2:$D$50000,E2643)))</f>
        <v/>
      </c>
      <c r="AP2643" s="8" t="str">
        <f aca="false">IF(A2643="","",IF(AO2643="","欠損",IF(AO2643&lt;=1.1,"1.0～1.1",IF(AO2643&lt;1.3,"1.2",IF(AO2643&lt;1.5,"1.3～1.4",IF(AO2643&lt;2,"1.5～1.9","2.0以上"))))))</f>
        <v/>
      </c>
      <c r="AQ2643" s="8" t="str">
        <f aca="false">IF(A2643="","",IF(ISNUMBER(SEARCH("2歳",Z2643)),"2歳戦",IF(ISNUMBER(SEARCH("3歳未勝利",Z2643)),"3歳未勝利",IF(ISNUMBER(SEARCH("未勝利",Z2643)),"その他未勝利",IF(ISNUMBER(SEARCH("G1",Z2643)),"G1",IF(ISNUMBER(SEARCH("G2",Z2643)),"G2",IF(ISNUMBER(SEARCH("G3",Z2643)),"G3",IF(ISNUMBER(SEARCH("古馬条件",Z2643)),"古馬条件戦",IF(ISNUMBER(SEARCH("重賞",Z2643)),"重賞","分類不能")))))))))</f>
        <v/>
      </c>
    </row>
    <row r="2644" customFormat="false" ht="15.75" hidden="false" customHeight="false" outlineLevel="0" collapsed="false">
      <c r="AO2644" s="8" t="str">
        <f aca="false">IF(A2644="","",IF(COUNTIFS(全馬データ!$A$2:$A$50000,A2644,全馬データ!$B$2:$B$50000,B2644,全馬データ!$C$2:$C$50000,C2644,全馬データ!$D$2:$D$50000,E2644,全馬データ!$K$2:$K$50000,"&lt;&gt;")=0,"",SUMIFS(全馬データ!$K$2:$K$50000,全馬データ!$A$2:$A$50000,A2644,全馬データ!$B$2:$B$50000,B2644,全馬データ!$C$2:$C$50000,C2644,全馬データ!$D$2:$D$50000,E2644)))</f>
        <v/>
      </c>
      <c r="AP2644" s="8" t="str">
        <f aca="false">IF(A2644="","",IF(AO2644="","欠損",IF(AO2644&lt;=1.1,"1.0～1.1",IF(AO2644&lt;1.3,"1.2",IF(AO2644&lt;1.5,"1.3～1.4",IF(AO2644&lt;2,"1.5～1.9","2.0以上"))))))</f>
        <v/>
      </c>
      <c r="AQ2644" s="8" t="str">
        <f aca="false">IF(A2644="","",IF(ISNUMBER(SEARCH("2歳",Z2644)),"2歳戦",IF(ISNUMBER(SEARCH("3歳未勝利",Z2644)),"3歳未勝利",IF(ISNUMBER(SEARCH("未勝利",Z2644)),"その他未勝利",IF(ISNUMBER(SEARCH("G1",Z2644)),"G1",IF(ISNUMBER(SEARCH("G2",Z2644)),"G2",IF(ISNUMBER(SEARCH("G3",Z2644)),"G3",IF(ISNUMBER(SEARCH("古馬条件",Z2644)),"古馬条件戦",IF(ISNUMBER(SEARCH("重賞",Z2644)),"重賞","分類不能")))))))))</f>
        <v/>
      </c>
    </row>
    <row r="2645" customFormat="false" ht="15.75" hidden="false" customHeight="false" outlineLevel="0" collapsed="false">
      <c r="AO2645" s="8" t="str">
        <f aca="false">IF(A2645="","",IF(COUNTIFS(全馬データ!$A$2:$A$50000,A2645,全馬データ!$B$2:$B$50000,B2645,全馬データ!$C$2:$C$50000,C2645,全馬データ!$D$2:$D$50000,E2645,全馬データ!$K$2:$K$50000,"&lt;&gt;")=0,"",SUMIFS(全馬データ!$K$2:$K$50000,全馬データ!$A$2:$A$50000,A2645,全馬データ!$B$2:$B$50000,B2645,全馬データ!$C$2:$C$50000,C2645,全馬データ!$D$2:$D$50000,E2645)))</f>
        <v/>
      </c>
      <c r="AP2645" s="8" t="str">
        <f aca="false">IF(A2645="","",IF(AO2645="","欠損",IF(AO2645&lt;=1.1,"1.0～1.1",IF(AO2645&lt;1.3,"1.2",IF(AO2645&lt;1.5,"1.3～1.4",IF(AO2645&lt;2,"1.5～1.9","2.0以上"))))))</f>
        <v/>
      </c>
      <c r="AQ2645" s="8" t="str">
        <f aca="false">IF(A2645="","",IF(ISNUMBER(SEARCH("2歳",Z2645)),"2歳戦",IF(ISNUMBER(SEARCH("3歳未勝利",Z2645)),"3歳未勝利",IF(ISNUMBER(SEARCH("未勝利",Z2645)),"その他未勝利",IF(ISNUMBER(SEARCH("G1",Z2645)),"G1",IF(ISNUMBER(SEARCH("G2",Z2645)),"G2",IF(ISNUMBER(SEARCH("G3",Z2645)),"G3",IF(ISNUMBER(SEARCH("古馬条件",Z2645)),"古馬条件戦",IF(ISNUMBER(SEARCH("重賞",Z2645)),"重賞","分類不能")))))))))</f>
        <v/>
      </c>
    </row>
    <row r="2646" customFormat="false" ht="15.75" hidden="false" customHeight="false" outlineLevel="0" collapsed="false">
      <c r="AO2646" s="8" t="str">
        <f aca="false">IF(A2646="","",IF(COUNTIFS(全馬データ!$A$2:$A$50000,A2646,全馬データ!$B$2:$B$50000,B2646,全馬データ!$C$2:$C$50000,C2646,全馬データ!$D$2:$D$50000,E2646,全馬データ!$K$2:$K$50000,"&lt;&gt;")=0,"",SUMIFS(全馬データ!$K$2:$K$50000,全馬データ!$A$2:$A$50000,A2646,全馬データ!$B$2:$B$50000,B2646,全馬データ!$C$2:$C$50000,C2646,全馬データ!$D$2:$D$50000,E2646)))</f>
        <v/>
      </c>
      <c r="AP2646" s="8" t="str">
        <f aca="false">IF(A2646="","",IF(AO2646="","欠損",IF(AO2646&lt;=1.1,"1.0～1.1",IF(AO2646&lt;1.3,"1.2",IF(AO2646&lt;1.5,"1.3～1.4",IF(AO2646&lt;2,"1.5～1.9","2.0以上"))))))</f>
        <v/>
      </c>
      <c r="AQ2646" s="8" t="str">
        <f aca="false">IF(A2646="","",IF(ISNUMBER(SEARCH("2歳",Z2646)),"2歳戦",IF(ISNUMBER(SEARCH("3歳未勝利",Z2646)),"3歳未勝利",IF(ISNUMBER(SEARCH("未勝利",Z2646)),"その他未勝利",IF(ISNUMBER(SEARCH("G1",Z2646)),"G1",IF(ISNUMBER(SEARCH("G2",Z2646)),"G2",IF(ISNUMBER(SEARCH("G3",Z2646)),"G3",IF(ISNUMBER(SEARCH("古馬条件",Z2646)),"古馬条件戦",IF(ISNUMBER(SEARCH("重賞",Z2646)),"重賞","分類不能")))))))))</f>
        <v/>
      </c>
    </row>
    <row r="2647" customFormat="false" ht="15.75" hidden="false" customHeight="false" outlineLevel="0" collapsed="false">
      <c r="AO2647" s="8" t="str">
        <f aca="false">IF(A2647="","",IF(COUNTIFS(全馬データ!$A$2:$A$50000,A2647,全馬データ!$B$2:$B$50000,B2647,全馬データ!$C$2:$C$50000,C2647,全馬データ!$D$2:$D$50000,E2647,全馬データ!$K$2:$K$50000,"&lt;&gt;")=0,"",SUMIFS(全馬データ!$K$2:$K$50000,全馬データ!$A$2:$A$50000,A2647,全馬データ!$B$2:$B$50000,B2647,全馬データ!$C$2:$C$50000,C2647,全馬データ!$D$2:$D$50000,E2647)))</f>
        <v/>
      </c>
      <c r="AP2647" s="8" t="str">
        <f aca="false">IF(A2647="","",IF(AO2647="","欠損",IF(AO2647&lt;=1.1,"1.0～1.1",IF(AO2647&lt;1.3,"1.2",IF(AO2647&lt;1.5,"1.3～1.4",IF(AO2647&lt;2,"1.5～1.9","2.0以上"))))))</f>
        <v/>
      </c>
      <c r="AQ2647" s="8" t="str">
        <f aca="false">IF(A2647="","",IF(ISNUMBER(SEARCH("2歳",Z2647)),"2歳戦",IF(ISNUMBER(SEARCH("3歳未勝利",Z2647)),"3歳未勝利",IF(ISNUMBER(SEARCH("未勝利",Z2647)),"その他未勝利",IF(ISNUMBER(SEARCH("G1",Z2647)),"G1",IF(ISNUMBER(SEARCH("G2",Z2647)),"G2",IF(ISNUMBER(SEARCH("G3",Z2647)),"G3",IF(ISNUMBER(SEARCH("古馬条件",Z2647)),"古馬条件戦",IF(ISNUMBER(SEARCH("重賞",Z2647)),"重賞","分類不能")))))))))</f>
        <v/>
      </c>
    </row>
    <row r="2648" customFormat="false" ht="15.75" hidden="false" customHeight="false" outlineLevel="0" collapsed="false">
      <c r="AO2648" s="8" t="str">
        <f aca="false">IF(A2648="","",IF(COUNTIFS(全馬データ!$A$2:$A$50000,A2648,全馬データ!$B$2:$B$50000,B2648,全馬データ!$C$2:$C$50000,C2648,全馬データ!$D$2:$D$50000,E2648,全馬データ!$K$2:$K$50000,"&lt;&gt;")=0,"",SUMIFS(全馬データ!$K$2:$K$50000,全馬データ!$A$2:$A$50000,A2648,全馬データ!$B$2:$B$50000,B2648,全馬データ!$C$2:$C$50000,C2648,全馬データ!$D$2:$D$50000,E2648)))</f>
        <v/>
      </c>
      <c r="AP2648" s="8" t="str">
        <f aca="false">IF(A2648="","",IF(AO2648="","欠損",IF(AO2648&lt;=1.1,"1.0～1.1",IF(AO2648&lt;1.3,"1.2",IF(AO2648&lt;1.5,"1.3～1.4",IF(AO2648&lt;2,"1.5～1.9","2.0以上"))))))</f>
        <v/>
      </c>
      <c r="AQ2648" s="8" t="str">
        <f aca="false">IF(A2648="","",IF(ISNUMBER(SEARCH("2歳",Z2648)),"2歳戦",IF(ISNUMBER(SEARCH("3歳未勝利",Z2648)),"3歳未勝利",IF(ISNUMBER(SEARCH("未勝利",Z2648)),"その他未勝利",IF(ISNUMBER(SEARCH("G1",Z2648)),"G1",IF(ISNUMBER(SEARCH("G2",Z2648)),"G2",IF(ISNUMBER(SEARCH("G3",Z2648)),"G3",IF(ISNUMBER(SEARCH("古馬条件",Z2648)),"古馬条件戦",IF(ISNUMBER(SEARCH("重賞",Z2648)),"重賞","分類不能")))))))))</f>
        <v/>
      </c>
    </row>
    <row r="2649" customFormat="false" ht="15.75" hidden="false" customHeight="false" outlineLevel="0" collapsed="false">
      <c r="AO2649" s="8" t="str">
        <f aca="false">IF(A2649="","",IF(COUNTIFS(全馬データ!$A$2:$A$50000,A2649,全馬データ!$B$2:$B$50000,B2649,全馬データ!$C$2:$C$50000,C2649,全馬データ!$D$2:$D$50000,E2649,全馬データ!$K$2:$K$50000,"&lt;&gt;")=0,"",SUMIFS(全馬データ!$K$2:$K$50000,全馬データ!$A$2:$A$50000,A2649,全馬データ!$B$2:$B$50000,B2649,全馬データ!$C$2:$C$50000,C2649,全馬データ!$D$2:$D$50000,E2649)))</f>
        <v/>
      </c>
      <c r="AP2649" s="8" t="str">
        <f aca="false">IF(A2649="","",IF(AO2649="","欠損",IF(AO2649&lt;=1.1,"1.0～1.1",IF(AO2649&lt;1.3,"1.2",IF(AO2649&lt;1.5,"1.3～1.4",IF(AO2649&lt;2,"1.5～1.9","2.0以上"))))))</f>
        <v/>
      </c>
      <c r="AQ2649" s="8" t="str">
        <f aca="false">IF(A2649="","",IF(ISNUMBER(SEARCH("2歳",Z2649)),"2歳戦",IF(ISNUMBER(SEARCH("3歳未勝利",Z2649)),"3歳未勝利",IF(ISNUMBER(SEARCH("未勝利",Z2649)),"その他未勝利",IF(ISNUMBER(SEARCH("G1",Z2649)),"G1",IF(ISNUMBER(SEARCH("G2",Z2649)),"G2",IF(ISNUMBER(SEARCH("G3",Z2649)),"G3",IF(ISNUMBER(SEARCH("古馬条件",Z2649)),"古馬条件戦",IF(ISNUMBER(SEARCH("重賞",Z2649)),"重賞","分類不能")))))))))</f>
        <v/>
      </c>
    </row>
    <row r="2650" customFormat="false" ht="15.75" hidden="false" customHeight="false" outlineLevel="0" collapsed="false">
      <c r="AO2650" s="8" t="str">
        <f aca="false">IF(A2650="","",IF(COUNTIFS(全馬データ!$A$2:$A$50000,A2650,全馬データ!$B$2:$B$50000,B2650,全馬データ!$C$2:$C$50000,C2650,全馬データ!$D$2:$D$50000,E2650,全馬データ!$K$2:$K$50000,"&lt;&gt;")=0,"",SUMIFS(全馬データ!$K$2:$K$50000,全馬データ!$A$2:$A$50000,A2650,全馬データ!$B$2:$B$50000,B2650,全馬データ!$C$2:$C$50000,C2650,全馬データ!$D$2:$D$50000,E2650)))</f>
        <v/>
      </c>
      <c r="AP2650" s="8" t="str">
        <f aca="false">IF(A2650="","",IF(AO2650="","欠損",IF(AO2650&lt;=1.1,"1.0～1.1",IF(AO2650&lt;1.3,"1.2",IF(AO2650&lt;1.5,"1.3～1.4",IF(AO2650&lt;2,"1.5～1.9","2.0以上"))))))</f>
        <v/>
      </c>
      <c r="AQ2650" s="8" t="str">
        <f aca="false">IF(A2650="","",IF(ISNUMBER(SEARCH("2歳",Z2650)),"2歳戦",IF(ISNUMBER(SEARCH("3歳未勝利",Z2650)),"3歳未勝利",IF(ISNUMBER(SEARCH("未勝利",Z2650)),"その他未勝利",IF(ISNUMBER(SEARCH("G1",Z2650)),"G1",IF(ISNUMBER(SEARCH("G2",Z2650)),"G2",IF(ISNUMBER(SEARCH("G3",Z2650)),"G3",IF(ISNUMBER(SEARCH("古馬条件",Z2650)),"古馬条件戦",IF(ISNUMBER(SEARCH("重賞",Z2650)),"重賞","分類不能")))))))))</f>
        <v/>
      </c>
    </row>
    <row r="2651" customFormat="false" ht="15.75" hidden="false" customHeight="false" outlineLevel="0" collapsed="false">
      <c r="AO2651" s="8" t="str">
        <f aca="false">IF(A2651="","",IF(COUNTIFS(全馬データ!$A$2:$A$50000,A2651,全馬データ!$B$2:$B$50000,B2651,全馬データ!$C$2:$C$50000,C2651,全馬データ!$D$2:$D$50000,E2651,全馬データ!$K$2:$K$50000,"&lt;&gt;")=0,"",SUMIFS(全馬データ!$K$2:$K$50000,全馬データ!$A$2:$A$50000,A2651,全馬データ!$B$2:$B$50000,B2651,全馬データ!$C$2:$C$50000,C2651,全馬データ!$D$2:$D$50000,E2651)))</f>
        <v/>
      </c>
      <c r="AP2651" s="8" t="str">
        <f aca="false">IF(A2651="","",IF(AO2651="","欠損",IF(AO2651&lt;=1.1,"1.0～1.1",IF(AO2651&lt;1.3,"1.2",IF(AO2651&lt;1.5,"1.3～1.4",IF(AO2651&lt;2,"1.5～1.9","2.0以上"))))))</f>
        <v/>
      </c>
      <c r="AQ2651" s="8" t="str">
        <f aca="false">IF(A2651="","",IF(ISNUMBER(SEARCH("2歳",Z2651)),"2歳戦",IF(ISNUMBER(SEARCH("3歳未勝利",Z2651)),"3歳未勝利",IF(ISNUMBER(SEARCH("未勝利",Z2651)),"その他未勝利",IF(ISNUMBER(SEARCH("G1",Z2651)),"G1",IF(ISNUMBER(SEARCH("G2",Z2651)),"G2",IF(ISNUMBER(SEARCH("G3",Z2651)),"G3",IF(ISNUMBER(SEARCH("古馬条件",Z2651)),"古馬条件戦",IF(ISNUMBER(SEARCH("重賞",Z2651)),"重賞","分類不能")))))))))</f>
        <v/>
      </c>
    </row>
    <row r="2652" customFormat="false" ht="15.75" hidden="false" customHeight="false" outlineLevel="0" collapsed="false">
      <c r="AO2652" s="8" t="str">
        <f aca="false">IF(A2652="","",IF(COUNTIFS(全馬データ!$A$2:$A$50000,A2652,全馬データ!$B$2:$B$50000,B2652,全馬データ!$C$2:$C$50000,C2652,全馬データ!$D$2:$D$50000,E2652,全馬データ!$K$2:$K$50000,"&lt;&gt;")=0,"",SUMIFS(全馬データ!$K$2:$K$50000,全馬データ!$A$2:$A$50000,A2652,全馬データ!$B$2:$B$50000,B2652,全馬データ!$C$2:$C$50000,C2652,全馬データ!$D$2:$D$50000,E2652)))</f>
        <v/>
      </c>
      <c r="AP2652" s="8" t="str">
        <f aca="false">IF(A2652="","",IF(AO2652="","欠損",IF(AO2652&lt;=1.1,"1.0～1.1",IF(AO2652&lt;1.3,"1.2",IF(AO2652&lt;1.5,"1.3～1.4",IF(AO2652&lt;2,"1.5～1.9","2.0以上"))))))</f>
        <v/>
      </c>
      <c r="AQ2652" s="8" t="str">
        <f aca="false">IF(A2652="","",IF(ISNUMBER(SEARCH("2歳",Z2652)),"2歳戦",IF(ISNUMBER(SEARCH("3歳未勝利",Z2652)),"3歳未勝利",IF(ISNUMBER(SEARCH("未勝利",Z2652)),"その他未勝利",IF(ISNUMBER(SEARCH("G1",Z2652)),"G1",IF(ISNUMBER(SEARCH("G2",Z2652)),"G2",IF(ISNUMBER(SEARCH("G3",Z2652)),"G3",IF(ISNUMBER(SEARCH("古馬条件",Z2652)),"古馬条件戦",IF(ISNUMBER(SEARCH("重賞",Z2652)),"重賞","分類不能")))))))))</f>
        <v/>
      </c>
    </row>
    <row r="2653" customFormat="false" ht="15.75" hidden="false" customHeight="false" outlineLevel="0" collapsed="false">
      <c r="AO2653" s="8" t="str">
        <f aca="false">IF(A2653="","",IF(COUNTIFS(全馬データ!$A$2:$A$50000,A2653,全馬データ!$B$2:$B$50000,B2653,全馬データ!$C$2:$C$50000,C2653,全馬データ!$D$2:$D$50000,E2653,全馬データ!$K$2:$K$50000,"&lt;&gt;")=0,"",SUMIFS(全馬データ!$K$2:$K$50000,全馬データ!$A$2:$A$50000,A2653,全馬データ!$B$2:$B$50000,B2653,全馬データ!$C$2:$C$50000,C2653,全馬データ!$D$2:$D$50000,E2653)))</f>
        <v/>
      </c>
      <c r="AP2653" s="8" t="str">
        <f aca="false">IF(A2653="","",IF(AO2653="","欠損",IF(AO2653&lt;=1.1,"1.0～1.1",IF(AO2653&lt;1.3,"1.2",IF(AO2653&lt;1.5,"1.3～1.4",IF(AO2653&lt;2,"1.5～1.9","2.0以上"))))))</f>
        <v/>
      </c>
      <c r="AQ2653" s="8" t="str">
        <f aca="false">IF(A2653="","",IF(ISNUMBER(SEARCH("2歳",Z2653)),"2歳戦",IF(ISNUMBER(SEARCH("3歳未勝利",Z2653)),"3歳未勝利",IF(ISNUMBER(SEARCH("未勝利",Z2653)),"その他未勝利",IF(ISNUMBER(SEARCH("G1",Z2653)),"G1",IF(ISNUMBER(SEARCH("G2",Z2653)),"G2",IF(ISNUMBER(SEARCH("G3",Z2653)),"G3",IF(ISNUMBER(SEARCH("古馬条件",Z2653)),"古馬条件戦",IF(ISNUMBER(SEARCH("重賞",Z2653)),"重賞","分類不能")))))))))</f>
        <v/>
      </c>
    </row>
    <row r="2654" customFormat="false" ht="15.75" hidden="false" customHeight="false" outlineLevel="0" collapsed="false">
      <c r="AO2654" s="8" t="str">
        <f aca="false">IF(A2654="","",IF(COUNTIFS(全馬データ!$A$2:$A$50000,A2654,全馬データ!$B$2:$B$50000,B2654,全馬データ!$C$2:$C$50000,C2654,全馬データ!$D$2:$D$50000,E2654,全馬データ!$K$2:$K$50000,"&lt;&gt;")=0,"",SUMIFS(全馬データ!$K$2:$K$50000,全馬データ!$A$2:$A$50000,A2654,全馬データ!$B$2:$B$50000,B2654,全馬データ!$C$2:$C$50000,C2654,全馬データ!$D$2:$D$50000,E2654)))</f>
        <v/>
      </c>
      <c r="AP2654" s="8" t="str">
        <f aca="false">IF(A2654="","",IF(AO2654="","欠損",IF(AO2654&lt;=1.1,"1.0～1.1",IF(AO2654&lt;1.3,"1.2",IF(AO2654&lt;1.5,"1.3～1.4",IF(AO2654&lt;2,"1.5～1.9","2.0以上"))))))</f>
        <v/>
      </c>
      <c r="AQ2654" s="8" t="str">
        <f aca="false">IF(A2654="","",IF(ISNUMBER(SEARCH("2歳",Z2654)),"2歳戦",IF(ISNUMBER(SEARCH("3歳未勝利",Z2654)),"3歳未勝利",IF(ISNUMBER(SEARCH("未勝利",Z2654)),"その他未勝利",IF(ISNUMBER(SEARCH("G1",Z2654)),"G1",IF(ISNUMBER(SEARCH("G2",Z2654)),"G2",IF(ISNUMBER(SEARCH("G3",Z2654)),"G3",IF(ISNUMBER(SEARCH("古馬条件",Z2654)),"古馬条件戦",IF(ISNUMBER(SEARCH("重賞",Z2654)),"重賞","分類不能")))))))))</f>
        <v/>
      </c>
    </row>
    <row r="2655" customFormat="false" ht="15.75" hidden="false" customHeight="false" outlineLevel="0" collapsed="false">
      <c r="AO2655" s="8" t="str">
        <f aca="false">IF(A2655="","",IF(COUNTIFS(全馬データ!$A$2:$A$50000,A2655,全馬データ!$B$2:$B$50000,B2655,全馬データ!$C$2:$C$50000,C2655,全馬データ!$D$2:$D$50000,E2655,全馬データ!$K$2:$K$50000,"&lt;&gt;")=0,"",SUMIFS(全馬データ!$K$2:$K$50000,全馬データ!$A$2:$A$50000,A2655,全馬データ!$B$2:$B$50000,B2655,全馬データ!$C$2:$C$50000,C2655,全馬データ!$D$2:$D$50000,E2655)))</f>
        <v/>
      </c>
      <c r="AP2655" s="8" t="str">
        <f aca="false">IF(A2655="","",IF(AO2655="","欠損",IF(AO2655&lt;=1.1,"1.0～1.1",IF(AO2655&lt;1.3,"1.2",IF(AO2655&lt;1.5,"1.3～1.4",IF(AO2655&lt;2,"1.5～1.9","2.0以上"))))))</f>
        <v/>
      </c>
      <c r="AQ2655" s="8" t="str">
        <f aca="false">IF(A2655="","",IF(ISNUMBER(SEARCH("2歳",Z2655)),"2歳戦",IF(ISNUMBER(SEARCH("3歳未勝利",Z2655)),"3歳未勝利",IF(ISNUMBER(SEARCH("未勝利",Z2655)),"その他未勝利",IF(ISNUMBER(SEARCH("G1",Z2655)),"G1",IF(ISNUMBER(SEARCH("G2",Z2655)),"G2",IF(ISNUMBER(SEARCH("G3",Z2655)),"G3",IF(ISNUMBER(SEARCH("古馬条件",Z2655)),"古馬条件戦",IF(ISNUMBER(SEARCH("重賞",Z2655)),"重賞","分類不能")))))))))</f>
        <v/>
      </c>
    </row>
    <row r="2656" customFormat="false" ht="15.75" hidden="false" customHeight="false" outlineLevel="0" collapsed="false">
      <c r="AO2656" s="8" t="str">
        <f aca="false">IF(A2656="","",IF(COUNTIFS(全馬データ!$A$2:$A$50000,A2656,全馬データ!$B$2:$B$50000,B2656,全馬データ!$C$2:$C$50000,C2656,全馬データ!$D$2:$D$50000,E2656,全馬データ!$K$2:$K$50000,"&lt;&gt;")=0,"",SUMIFS(全馬データ!$K$2:$K$50000,全馬データ!$A$2:$A$50000,A2656,全馬データ!$B$2:$B$50000,B2656,全馬データ!$C$2:$C$50000,C2656,全馬データ!$D$2:$D$50000,E2656)))</f>
        <v/>
      </c>
      <c r="AP2656" s="8" t="str">
        <f aca="false">IF(A2656="","",IF(AO2656="","欠損",IF(AO2656&lt;=1.1,"1.0～1.1",IF(AO2656&lt;1.3,"1.2",IF(AO2656&lt;1.5,"1.3～1.4",IF(AO2656&lt;2,"1.5～1.9","2.0以上"))))))</f>
        <v/>
      </c>
      <c r="AQ2656" s="8" t="str">
        <f aca="false">IF(A2656="","",IF(ISNUMBER(SEARCH("2歳",Z2656)),"2歳戦",IF(ISNUMBER(SEARCH("3歳未勝利",Z2656)),"3歳未勝利",IF(ISNUMBER(SEARCH("未勝利",Z2656)),"その他未勝利",IF(ISNUMBER(SEARCH("G1",Z2656)),"G1",IF(ISNUMBER(SEARCH("G2",Z2656)),"G2",IF(ISNUMBER(SEARCH("G3",Z2656)),"G3",IF(ISNUMBER(SEARCH("古馬条件",Z2656)),"古馬条件戦",IF(ISNUMBER(SEARCH("重賞",Z2656)),"重賞","分類不能")))))))))</f>
        <v/>
      </c>
    </row>
    <row r="2657" customFormat="false" ht="15.75" hidden="false" customHeight="false" outlineLevel="0" collapsed="false">
      <c r="AO2657" s="8" t="str">
        <f aca="false">IF(A2657="","",IF(COUNTIFS(全馬データ!$A$2:$A$50000,A2657,全馬データ!$B$2:$B$50000,B2657,全馬データ!$C$2:$C$50000,C2657,全馬データ!$D$2:$D$50000,E2657,全馬データ!$K$2:$K$50000,"&lt;&gt;")=0,"",SUMIFS(全馬データ!$K$2:$K$50000,全馬データ!$A$2:$A$50000,A2657,全馬データ!$B$2:$B$50000,B2657,全馬データ!$C$2:$C$50000,C2657,全馬データ!$D$2:$D$50000,E2657)))</f>
        <v/>
      </c>
      <c r="AP2657" s="8" t="str">
        <f aca="false">IF(A2657="","",IF(AO2657="","欠損",IF(AO2657&lt;=1.1,"1.0～1.1",IF(AO2657&lt;1.3,"1.2",IF(AO2657&lt;1.5,"1.3～1.4",IF(AO2657&lt;2,"1.5～1.9","2.0以上"))))))</f>
        <v/>
      </c>
      <c r="AQ2657" s="8" t="str">
        <f aca="false">IF(A2657="","",IF(ISNUMBER(SEARCH("2歳",Z2657)),"2歳戦",IF(ISNUMBER(SEARCH("3歳未勝利",Z2657)),"3歳未勝利",IF(ISNUMBER(SEARCH("未勝利",Z2657)),"その他未勝利",IF(ISNUMBER(SEARCH("G1",Z2657)),"G1",IF(ISNUMBER(SEARCH("G2",Z2657)),"G2",IF(ISNUMBER(SEARCH("G3",Z2657)),"G3",IF(ISNUMBER(SEARCH("古馬条件",Z2657)),"古馬条件戦",IF(ISNUMBER(SEARCH("重賞",Z2657)),"重賞","分類不能")))))))))</f>
        <v/>
      </c>
    </row>
    <row r="2658" customFormat="false" ht="15.75" hidden="false" customHeight="false" outlineLevel="0" collapsed="false">
      <c r="AO2658" s="8" t="str">
        <f aca="false">IF(A2658="","",IF(COUNTIFS(全馬データ!$A$2:$A$50000,A2658,全馬データ!$B$2:$B$50000,B2658,全馬データ!$C$2:$C$50000,C2658,全馬データ!$D$2:$D$50000,E2658,全馬データ!$K$2:$K$50000,"&lt;&gt;")=0,"",SUMIFS(全馬データ!$K$2:$K$50000,全馬データ!$A$2:$A$50000,A2658,全馬データ!$B$2:$B$50000,B2658,全馬データ!$C$2:$C$50000,C2658,全馬データ!$D$2:$D$50000,E2658)))</f>
        <v/>
      </c>
      <c r="AP2658" s="8" t="str">
        <f aca="false">IF(A2658="","",IF(AO2658="","欠損",IF(AO2658&lt;=1.1,"1.0～1.1",IF(AO2658&lt;1.3,"1.2",IF(AO2658&lt;1.5,"1.3～1.4",IF(AO2658&lt;2,"1.5～1.9","2.0以上"))))))</f>
        <v/>
      </c>
      <c r="AQ2658" s="8" t="str">
        <f aca="false">IF(A2658="","",IF(ISNUMBER(SEARCH("2歳",Z2658)),"2歳戦",IF(ISNUMBER(SEARCH("3歳未勝利",Z2658)),"3歳未勝利",IF(ISNUMBER(SEARCH("未勝利",Z2658)),"その他未勝利",IF(ISNUMBER(SEARCH("G1",Z2658)),"G1",IF(ISNUMBER(SEARCH("G2",Z2658)),"G2",IF(ISNUMBER(SEARCH("G3",Z2658)),"G3",IF(ISNUMBER(SEARCH("古馬条件",Z2658)),"古馬条件戦",IF(ISNUMBER(SEARCH("重賞",Z2658)),"重賞","分類不能")))))))))</f>
        <v/>
      </c>
    </row>
    <row r="2659" customFormat="false" ht="15.75" hidden="false" customHeight="false" outlineLevel="0" collapsed="false">
      <c r="AO2659" s="8" t="str">
        <f aca="false">IF(A2659="","",IF(COUNTIFS(全馬データ!$A$2:$A$50000,A2659,全馬データ!$B$2:$B$50000,B2659,全馬データ!$C$2:$C$50000,C2659,全馬データ!$D$2:$D$50000,E2659,全馬データ!$K$2:$K$50000,"&lt;&gt;")=0,"",SUMIFS(全馬データ!$K$2:$K$50000,全馬データ!$A$2:$A$50000,A2659,全馬データ!$B$2:$B$50000,B2659,全馬データ!$C$2:$C$50000,C2659,全馬データ!$D$2:$D$50000,E2659)))</f>
        <v/>
      </c>
      <c r="AP2659" s="8" t="str">
        <f aca="false">IF(A2659="","",IF(AO2659="","欠損",IF(AO2659&lt;=1.1,"1.0～1.1",IF(AO2659&lt;1.3,"1.2",IF(AO2659&lt;1.5,"1.3～1.4",IF(AO2659&lt;2,"1.5～1.9","2.0以上"))))))</f>
        <v/>
      </c>
      <c r="AQ2659" s="8" t="str">
        <f aca="false">IF(A2659="","",IF(ISNUMBER(SEARCH("2歳",Z2659)),"2歳戦",IF(ISNUMBER(SEARCH("3歳未勝利",Z2659)),"3歳未勝利",IF(ISNUMBER(SEARCH("未勝利",Z2659)),"その他未勝利",IF(ISNUMBER(SEARCH("G1",Z2659)),"G1",IF(ISNUMBER(SEARCH("G2",Z2659)),"G2",IF(ISNUMBER(SEARCH("G3",Z2659)),"G3",IF(ISNUMBER(SEARCH("古馬条件",Z2659)),"古馬条件戦",IF(ISNUMBER(SEARCH("重賞",Z2659)),"重賞","分類不能")))))))))</f>
        <v/>
      </c>
    </row>
    <row r="2660" customFormat="false" ht="15.75" hidden="false" customHeight="false" outlineLevel="0" collapsed="false">
      <c r="AO2660" s="8" t="str">
        <f aca="false">IF(A2660="","",IF(COUNTIFS(全馬データ!$A$2:$A$50000,A2660,全馬データ!$B$2:$B$50000,B2660,全馬データ!$C$2:$C$50000,C2660,全馬データ!$D$2:$D$50000,E2660,全馬データ!$K$2:$K$50000,"&lt;&gt;")=0,"",SUMIFS(全馬データ!$K$2:$K$50000,全馬データ!$A$2:$A$50000,A2660,全馬データ!$B$2:$B$50000,B2660,全馬データ!$C$2:$C$50000,C2660,全馬データ!$D$2:$D$50000,E2660)))</f>
        <v/>
      </c>
      <c r="AP2660" s="8" t="str">
        <f aca="false">IF(A2660="","",IF(AO2660="","欠損",IF(AO2660&lt;=1.1,"1.0～1.1",IF(AO2660&lt;1.3,"1.2",IF(AO2660&lt;1.5,"1.3～1.4",IF(AO2660&lt;2,"1.5～1.9","2.0以上"))))))</f>
        <v/>
      </c>
      <c r="AQ2660" s="8" t="str">
        <f aca="false">IF(A2660="","",IF(ISNUMBER(SEARCH("2歳",Z2660)),"2歳戦",IF(ISNUMBER(SEARCH("3歳未勝利",Z2660)),"3歳未勝利",IF(ISNUMBER(SEARCH("未勝利",Z2660)),"その他未勝利",IF(ISNUMBER(SEARCH("G1",Z2660)),"G1",IF(ISNUMBER(SEARCH("G2",Z2660)),"G2",IF(ISNUMBER(SEARCH("G3",Z2660)),"G3",IF(ISNUMBER(SEARCH("古馬条件",Z2660)),"古馬条件戦",IF(ISNUMBER(SEARCH("重賞",Z2660)),"重賞","分類不能")))))))))</f>
        <v/>
      </c>
    </row>
    <row r="2661" customFormat="false" ht="15.75" hidden="false" customHeight="false" outlineLevel="0" collapsed="false">
      <c r="AO2661" s="8" t="str">
        <f aca="false">IF(A2661="","",IF(COUNTIFS(全馬データ!$A$2:$A$50000,A2661,全馬データ!$B$2:$B$50000,B2661,全馬データ!$C$2:$C$50000,C2661,全馬データ!$D$2:$D$50000,E2661,全馬データ!$K$2:$K$50000,"&lt;&gt;")=0,"",SUMIFS(全馬データ!$K$2:$K$50000,全馬データ!$A$2:$A$50000,A2661,全馬データ!$B$2:$B$50000,B2661,全馬データ!$C$2:$C$50000,C2661,全馬データ!$D$2:$D$50000,E2661)))</f>
        <v/>
      </c>
      <c r="AP2661" s="8" t="str">
        <f aca="false">IF(A2661="","",IF(AO2661="","欠損",IF(AO2661&lt;=1.1,"1.0～1.1",IF(AO2661&lt;1.3,"1.2",IF(AO2661&lt;1.5,"1.3～1.4",IF(AO2661&lt;2,"1.5～1.9","2.0以上"))))))</f>
        <v/>
      </c>
      <c r="AQ2661" s="8" t="str">
        <f aca="false">IF(A2661="","",IF(ISNUMBER(SEARCH("2歳",Z2661)),"2歳戦",IF(ISNUMBER(SEARCH("3歳未勝利",Z2661)),"3歳未勝利",IF(ISNUMBER(SEARCH("未勝利",Z2661)),"その他未勝利",IF(ISNUMBER(SEARCH("G1",Z2661)),"G1",IF(ISNUMBER(SEARCH("G2",Z2661)),"G2",IF(ISNUMBER(SEARCH("G3",Z2661)),"G3",IF(ISNUMBER(SEARCH("古馬条件",Z2661)),"古馬条件戦",IF(ISNUMBER(SEARCH("重賞",Z2661)),"重賞","分類不能")))))))))</f>
        <v/>
      </c>
    </row>
    <row r="2662" customFormat="false" ht="15.75" hidden="false" customHeight="false" outlineLevel="0" collapsed="false">
      <c r="AO2662" s="8" t="str">
        <f aca="false">IF(A2662="","",IF(COUNTIFS(全馬データ!$A$2:$A$50000,A2662,全馬データ!$B$2:$B$50000,B2662,全馬データ!$C$2:$C$50000,C2662,全馬データ!$D$2:$D$50000,E2662,全馬データ!$K$2:$K$50000,"&lt;&gt;")=0,"",SUMIFS(全馬データ!$K$2:$K$50000,全馬データ!$A$2:$A$50000,A2662,全馬データ!$B$2:$B$50000,B2662,全馬データ!$C$2:$C$50000,C2662,全馬データ!$D$2:$D$50000,E2662)))</f>
        <v/>
      </c>
      <c r="AP2662" s="8" t="str">
        <f aca="false">IF(A2662="","",IF(AO2662="","欠損",IF(AO2662&lt;=1.1,"1.0～1.1",IF(AO2662&lt;1.3,"1.2",IF(AO2662&lt;1.5,"1.3～1.4",IF(AO2662&lt;2,"1.5～1.9","2.0以上"))))))</f>
        <v/>
      </c>
      <c r="AQ2662" s="8" t="str">
        <f aca="false">IF(A2662="","",IF(ISNUMBER(SEARCH("2歳",Z2662)),"2歳戦",IF(ISNUMBER(SEARCH("3歳未勝利",Z2662)),"3歳未勝利",IF(ISNUMBER(SEARCH("未勝利",Z2662)),"その他未勝利",IF(ISNUMBER(SEARCH("G1",Z2662)),"G1",IF(ISNUMBER(SEARCH("G2",Z2662)),"G2",IF(ISNUMBER(SEARCH("G3",Z2662)),"G3",IF(ISNUMBER(SEARCH("古馬条件",Z2662)),"古馬条件戦",IF(ISNUMBER(SEARCH("重賞",Z2662)),"重賞","分類不能")))))))))</f>
        <v/>
      </c>
    </row>
    <row r="2663" customFormat="false" ht="15.75" hidden="false" customHeight="false" outlineLevel="0" collapsed="false">
      <c r="AO2663" s="8" t="str">
        <f aca="false">IF(A2663="","",IF(COUNTIFS(全馬データ!$A$2:$A$50000,A2663,全馬データ!$B$2:$B$50000,B2663,全馬データ!$C$2:$C$50000,C2663,全馬データ!$D$2:$D$50000,E2663,全馬データ!$K$2:$K$50000,"&lt;&gt;")=0,"",SUMIFS(全馬データ!$K$2:$K$50000,全馬データ!$A$2:$A$50000,A2663,全馬データ!$B$2:$B$50000,B2663,全馬データ!$C$2:$C$50000,C2663,全馬データ!$D$2:$D$50000,E2663)))</f>
        <v/>
      </c>
      <c r="AP2663" s="8" t="str">
        <f aca="false">IF(A2663="","",IF(AO2663="","欠損",IF(AO2663&lt;=1.1,"1.0～1.1",IF(AO2663&lt;1.3,"1.2",IF(AO2663&lt;1.5,"1.3～1.4",IF(AO2663&lt;2,"1.5～1.9","2.0以上"))))))</f>
        <v/>
      </c>
      <c r="AQ2663" s="8" t="str">
        <f aca="false">IF(A2663="","",IF(ISNUMBER(SEARCH("2歳",Z2663)),"2歳戦",IF(ISNUMBER(SEARCH("3歳未勝利",Z2663)),"3歳未勝利",IF(ISNUMBER(SEARCH("未勝利",Z2663)),"その他未勝利",IF(ISNUMBER(SEARCH("G1",Z2663)),"G1",IF(ISNUMBER(SEARCH("G2",Z2663)),"G2",IF(ISNUMBER(SEARCH("G3",Z2663)),"G3",IF(ISNUMBER(SEARCH("古馬条件",Z2663)),"古馬条件戦",IF(ISNUMBER(SEARCH("重賞",Z2663)),"重賞","分類不能")))))))))</f>
        <v/>
      </c>
    </row>
    <row r="2664" customFormat="false" ht="15.75" hidden="false" customHeight="false" outlineLevel="0" collapsed="false">
      <c r="AO2664" s="8" t="str">
        <f aca="false">IF(A2664="","",IF(COUNTIFS(全馬データ!$A$2:$A$50000,A2664,全馬データ!$B$2:$B$50000,B2664,全馬データ!$C$2:$C$50000,C2664,全馬データ!$D$2:$D$50000,E2664,全馬データ!$K$2:$K$50000,"&lt;&gt;")=0,"",SUMIFS(全馬データ!$K$2:$K$50000,全馬データ!$A$2:$A$50000,A2664,全馬データ!$B$2:$B$50000,B2664,全馬データ!$C$2:$C$50000,C2664,全馬データ!$D$2:$D$50000,E2664)))</f>
        <v/>
      </c>
      <c r="AP2664" s="8" t="str">
        <f aca="false">IF(A2664="","",IF(AO2664="","欠損",IF(AO2664&lt;=1.1,"1.0～1.1",IF(AO2664&lt;1.3,"1.2",IF(AO2664&lt;1.5,"1.3～1.4",IF(AO2664&lt;2,"1.5～1.9","2.0以上"))))))</f>
        <v/>
      </c>
      <c r="AQ2664" s="8" t="str">
        <f aca="false">IF(A2664="","",IF(ISNUMBER(SEARCH("2歳",Z2664)),"2歳戦",IF(ISNUMBER(SEARCH("3歳未勝利",Z2664)),"3歳未勝利",IF(ISNUMBER(SEARCH("未勝利",Z2664)),"その他未勝利",IF(ISNUMBER(SEARCH("G1",Z2664)),"G1",IF(ISNUMBER(SEARCH("G2",Z2664)),"G2",IF(ISNUMBER(SEARCH("G3",Z2664)),"G3",IF(ISNUMBER(SEARCH("古馬条件",Z2664)),"古馬条件戦",IF(ISNUMBER(SEARCH("重賞",Z2664)),"重賞","分類不能")))))))))</f>
        <v/>
      </c>
    </row>
    <row r="2665" customFormat="false" ht="15.75" hidden="false" customHeight="false" outlineLevel="0" collapsed="false">
      <c r="AO2665" s="8" t="str">
        <f aca="false">IF(A2665="","",IF(COUNTIFS(全馬データ!$A$2:$A$50000,A2665,全馬データ!$B$2:$B$50000,B2665,全馬データ!$C$2:$C$50000,C2665,全馬データ!$D$2:$D$50000,E2665,全馬データ!$K$2:$K$50000,"&lt;&gt;")=0,"",SUMIFS(全馬データ!$K$2:$K$50000,全馬データ!$A$2:$A$50000,A2665,全馬データ!$B$2:$B$50000,B2665,全馬データ!$C$2:$C$50000,C2665,全馬データ!$D$2:$D$50000,E2665)))</f>
        <v/>
      </c>
      <c r="AP2665" s="8" t="str">
        <f aca="false">IF(A2665="","",IF(AO2665="","欠損",IF(AO2665&lt;=1.1,"1.0～1.1",IF(AO2665&lt;1.3,"1.2",IF(AO2665&lt;1.5,"1.3～1.4",IF(AO2665&lt;2,"1.5～1.9","2.0以上"))))))</f>
        <v/>
      </c>
      <c r="AQ2665" s="8" t="str">
        <f aca="false">IF(A2665="","",IF(ISNUMBER(SEARCH("2歳",Z2665)),"2歳戦",IF(ISNUMBER(SEARCH("3歳未勝利",Z2665)),"3歳未勝利",IF(ISNUMBER(SEARCH("未勝利",Z2665)),"その他未勝利",IF(ISNUMBER(SEARCH("G1",Z2665)),"G1",IF(ISNUMBER(SEARCH("G2",Z2665)),"G2",IF(ISNUMBER(SEARCH("G3",Z2665)),"G3",IF(ISNUMBER(SEARCH("古馬条件",Z2665)),"古馬条件戦",IF(ISNUMBER(SEARCH("重賞",Z2665)),"重賞","分類不能")))))))))</f>
        <v/>
      </c>
    </row>
    <row r="2666" customFormat="false" ht="15.75" hidden="false" customHeight="false" outlineLevel="0" collapsed="false">
      <c r="AO2666" s="8" t="str">
        <f aca="false">IF(A2666="","",IF(COUNTIFS(全馬データ!$A$2:$A$50000,A2666,全馬データ!$B$2:$B$50000,B2666,全馬データ!$C$2:$C$50000,C2666,全馬データ!$D$2:$D$50000,E2666,全馬データ!$K$2:$K$50000,"&lt;&gt;")=0,"",SUMIFS(全馬データ!$K$2:$K$50000,全馬データ!$A$2:$A$50000,A2666,全馬データ!$B$2:$B$50000,B2666,全馬データ!$C$2:$C$50000,C2666,全馬データ!$D$2:$D$50000,E2666)))</f>
        <v/>
      </c>
      <c r="AP2666" s="8" t="str">
        <f aca="false">IF(A2666="","",IF(AO2666="","欠損",IF(AO2666&lt;=1.1,"1.0～1.1",IF(AO2666&lt;1.3,"1.2",IF(AO2666&lt;1.5,"1.3～1.4",IF(AO2666&lt;2,"1.5～1.9","2.0以上"))))))</f>
        <v/>
      </c>
      <c r="AQ2666" s="8" t="str">
        <f aca="false">IF(A2666="","",IF(ISNUMBER(SEARCH("2歳",Z2666)),"2歳戦",IF(ISNUMBER(SEARCH("3歳未勝利",Z2666)),"3歳未勝利",IF(ISNUMBER(SEARCH("未勝利",Z2666)),"その他未勝利",IF(ISNUMBER(SEARCH("G1",Z2666)),"G1",IF(ISNUMBER(SEARCH("G2",Z2666)),"G2",IF(ISNUMBER(SEARCH("G3",Z2666)),"G3",IF(ISNUMBER(SEARCH("古馬条件",Z2666)),"古馬条件戦",IF(ISNUMBER(SEARCH("重賞",Z2666)),"重賞","分類不能")))))))))</f>
        <v/>
      </c>
    </row>
    <row r="2667" customFormat="false" ht="15.75" hidden="false" customHeight="false" outlineLevel="0" collapsed="false">
      <c r="AO2667" s="8" t="str">
        <f aca="false">IF(A2667="","",IF(COUNTIFS(全馬データ!$A$2:$A$50000,A2667,全馬データ!$B$2:$B$50000,B2667,全馬データ!$C$2:$C$50000,C2667,全馬データ!$D$2:$D$50000,E2667,全馬データ!$K$2:$K$50000,"&lt;&gt;")=0,"",SUMIFS(全馬データ!$K$2:$K$50000,全馬データ!$A$2:$A$50000,A2667,全馬データ!$B$2:$B$50000,B2667,全馬データ!$C$2:$C$50000,C2667,全馬データ!$D$2:$D$50000,E2667)))</f>
        <v/>
      </c>
      <c r="AP2667" s="8" t="str">
        <f aca="false">IF(A2667="","",IF(AO2667="","欠損",IF(AO2667&lt;=1.1,"1.0～1.1",IF(AO2667&lt;1.3,"1.2",IF(AO2667&lt;1.5,"1.3～1.4",IF(AO2667&lt;2,"1.5～1.9","2.0以上"))))))</f>
        <v/>
      </c>
      <c r="AQ2667" s="8" t="str">
        <f aca="false">IF(A2667="","",IF(ISNUMBER(SEARCH("2歳",Z2667)),"2歳戦",IF(ISNUMBER(SEARCH("3歳未勝利",Z2667)),"3歳未勝利",IF(ISNUMBER(SEARCH("未勝利",Z2667)),"その他未勝利",IF(ISNUMBER(SEARCH("G1",Z2667)),"G1",IF(ISNUMBER(SEARCH("G2",Z2667)),"G2",IF(ISNUMBER(SEARCH("G3",Z2667)),"G3",IF(ISNUMBER(SEARCH("古馬条件",Z2667)),"古馬条件戦",IF(ISNUMBER(SEARCH("重賞",Z2667)),"重賞","分類不能")))))))))</f>
        <v/>
      </c>
    </row>
    <row r="2668" customFormat="false" ht="15.75" hidden="false" customHeight="false" outlineLevel="0" collapsed="false">
      <c r="AO2668" s="8" t="str">
        <f aca="false">IF(A2668="","",IF(COUNTIFS(全馬データ!$A$2:$A$50000,A2668,全馬データ!$B$2:$B$50000,B2668,全馬データ!$C$2:$C$50000,C2668,全馬データ!$D$2:$D$50000,E2668,全馬データ!$K$2:$K$50000,"&lt;&gt;")=0,"",SUMIFS(全馬データ!$K$2:$K$50000,全馬データ!$A$2:$A$50000,A2668,全馬データ!$B$2:$B$50000,B2668,全馬データ!$C$2:$C$50000,C2668,全馬データ!$D$2:$D$50000,E2668)))</f>
        <v/>
      </c>
      <c r="AP2668" s="8" t="str">
        <f aca="false">IF(A2668="","",IF(AO2668="","欠損",IF(AO2668&lt;=1.1,"1.0～1.1",IF(AO2668&lt;1.3,"1.2",IF(AO2668&lt;1.5,"1.3～1.4",IF(AO2668&lt;2,"1.5～1.9","2.0以上"))))))</f>
        <v/>
      </c>
      <c r="AQ2668" s="8" t="str">
        <f aca="false">IF(A2668="","",IF(ISNUMBER(SEARCH("2歳",Z2668)),"2歳戦",IF(ISNUMBER(SEARCH("3歳未勝利",Z2668)),"3歳未勝利",IF(ISNUMBER(SEARCH("未勝利",Z2668)),"その他未勝利",IF(ISNUMBER(SEARCH("G1",Z2668)),"G1",IF(ISNUMBER(SEARCH("G2",Z2668)),"G2",IF(ISNUMBER(SEARCH("G3",Z2668)),"G3",IF(ISNUMBER(SEARCH("古馬条件",Z2668)),"古馬条件戦",IF(ISNUMBER(SEARCH("重賞",Z2668)),"重賞","分類不能")))))))))</f>
        <v/>
      </c>
    </row>
    <row r="2669" customFormat="false" ht="15.75" hidden="false" customHeight="false" outlineLevel="0" collapsed="false">
      <c r="AO2669" s="8" t="str">
        <f aca="false">IF(A2669="","",IF(COUNTIFS(全馬データ!$A$2:$A$50000,A2669,全馬データ!$B$2:$B$50000,B2669,全馬データ!$C$2:$C$50000,C2669,全馬データ!$D$2:$D$50000,E2669,全馬データ!$K$2:$K$50000,"&lt;&gt;")=0,"",SUMIFS(全馬データ!$K$2:$K$50000,全馬データ!$A$2:$A$50000,A2669,全馬データ!$B$2:$B$50000,B2669,全馬データ!$C$2:$C$50000,C2669,全馬データ!$D$2:$D$50000,E2669)))</f>
        <v/>
      </c>
      <c r="AP2669" s="8" t="str">
        <f aca="false">IF(A2669="","",IF(AO2669="","欠損",IF(AO2669&lt;=1.1,"1.0～1.1",IF(AO2669&lt;1.3,"1.2",IF(AO2669&lt;1.5,"1.3～1.4",IF(AO2669&lt;2,"1.5～1.9","2.0以上"))))))</f>
        <v/>
      </c>
      <c r="AQ2669" s="8" t="str">
        <f aca="false">IF(A2669="","",IF(ISNUMBER(SEARCH("2歳",Z2669)),"2歳戦",IF(ISNUMBER(SEARCH("3歳未勝利",Z2669)),"3歳未勝利",IF(ISNUMBER(SEARCH("未勝利",Z2669)),"その他未勝利",IF(ISNUMBER(SEARCH("G1",Z2669)),"G1",IF(ISNUMBER(SEARCH("G2",Z2669)),"G2",IF(ISNUMBER(SEARCH("G3",Z2669)),"G3",IF(ISNUMBER(SEARCH("古馬条件",Z2669)),"古馬条件戦",IF(ISNUMBER(SEARCH("重賞",Z2669)),"重賞","分類不能")))))))))</f>
        <v/>
      </c>
    </row>
    <row r="2670" customFormat="false" ht="15.75" hidden="false" customHeight="false" outlineLevel="0" collapsed="false">
      <c r="AO2670" s="8" t="str">
        <f aca="false">IF(A2670="","",IF(COUNTIFS(全馬データ!$A$2:$A$50000,A2670,全馬データ!$B$2:$B$50000,B2670,全馬データ!$C$2:$C$50000,C2670,全馬データ!$D$2:$D$50000,E2670,全馬データ!$K$2:$K$50000,"&lt;&gt;")=0,"",SUMIFS(全馬データ!$K$2:$K$50000,全馬データ!$A$2:$A$50000,A2670,全馬データ!$B$2:$B$50000,B2670,全馬データ!$C$2:$C$50000,C2670,全馬データ!$D$2:$D$50000,E2670)))</f>
        <v/>
      </c>
      <c r="AP2670" s="8" t="str">
        <f aca="false">IF(A2670="","",IF(AO2670="","欠損",IF(AO2670&lt;=1.1,"1.0～1.1",IF(AO2670&lt;1.3,"1.2",IF(AO2670&lt;1.5,"1.3～1.4",IF(AO2670&lt;2,"1.5～1.9","2.0以上"))))))</f>
        <v/>
      </c>
      <c r="AQ2670" s="8" t="str">
        <f aca="false">IF(A2670="","",IF(ISNUMBER(SEARCH("2歳",Z2670)),"2歳戦",IF(ISNUMBER(SEARCH("3歳未勝利",Z2670)),"3歳未勝利",IF(ISNUMBER(SEARCH("未勝利",Z2670)),"その他未勝利",IF(ISNUMBER(SEARCH("G1",Z2670)),"G1",IF(ISNUMBER(SEARCH("G2",Z2670)),"G2",IF(ISNUMBER(SEARCH("G3",Z2670)),"G3",IF(ISNUMBER(SEARCH("古馬条件",Z2670)),"古馬条件戦",IF(ISNUMBER(SEARCH("重賞",Z2670)),"重賞","分類不能")))))))))</f>
        <v/>
      </c>
    </row>
    <row r="2671" customFormat="false" ht="15.75" hidden="false" customHeight="false" outlineLevel="0" collapsed="false">
      <c r="AO2671" s="8" t="str">
        <f aca="false">IF(A2671="","",IF(COUNTIFS(全馬データ!$A$2:$A$50000,A2671,全馬データ!$B$2:$B$50000,B2671,全馬データ!$C$2:$C$50000,C2671,全馬データ!$D$2:$D$50000,E2671,全馬データ!$K$2:$K$50000,"&lt;&gt;")=0,"",SUMIFS(全馬データ!$K$2:$K$50000,全馬データ!$A$2:$A$50000,A2671,全馬データ!$B$2:$B$50000,B2671,全馬データ!$C$2:$C$50000,C2671,全馬データ!$D$2:$D$50000,E2671)))</f>
        <v/>
      </c>
      <c r="AP2671" s="8" t="str">
        <f aca="false">IF(A2671="","",IF(AO2671="","欠損",IF(AO2671&lt;=1.1,"1.0～1.1",IF(AO2671&lt;1.3,"1.2",IF(AO2671&lt;1.5,"1.3～1.4",IF(AO2671&lt;2,"1.5～1.9","2.0以上"))))))</f>
        <v/>
      </c>
      <c r="AQ2671" s="8" t="str">
        <f aca="false">IF(A2671="","",IF(ISNUMBER(SEARCH("2歳",Z2671)),"2歳戦",IF(ISNUMBER(SEARCH("3歳未勝利",Z2671)),"3歳未勝利",IF(ISNUMBER(SEARCH("未勝利",Z2671)),"その他未勝利",IF(ISNUMBER(SEARCH("G1",Z2671)),"G1",IF(ISNUMBER(SEARCH("G2",Z2671)),"G2",IF(ISNUMBER(SEARCH("G3",Z2671)),"G3",IF(ISNUMBER(SEARCH("古馬条件",Z2671)),"古馬条件戦",IF(ISNUMBER(SEARCH("重賞",Z2671)),"重賞","分類不能")))))))))</f>
        <v/>
      </c>
    </row>
    <row r="2672" customFormat="false" ht="15.75" hidden="false" customHeight="false" outlineLevel="0" collapsed="false">
      <c r="AO2672" s="8" t="str">
        <f aca="false">IF(A2672="","",IF(COUNTIFS(全馬データ!$A$2:$A$50000,A2672,全馬データ!$B$2:$B$50000,B2672,全馬データ!$C$2:$C$50000,C2672,全馬データ!$D$2:$D$50000,E2672,全馬データ!$K$2:$K$50000,"&lt;&gt;")=0,"",SUMIFS(全馬データ!$K$2:$K$50000,全馬データ!$A$2:$A$50000,A2672,全馬データ!$B$2:$B$50000,B2672,全馬データ!$C$2:$C$50000,C2672,全馬データ!$D$2:$D$50000,E2672)))</f>
        <v/>
      </c>
      <c r="AP2672" s="8" t="str">
        <f aca="false">IF(A2672="","",IF(AO2672="","欠損",IF(AO2672&lt;=1.1,"1.0～1.1",IF(AO2672&lt;1.3,"1.2",IF(AO2672&lt;1.5,"1.3～1.4",IF(AO2672&lt;2,"1.5～1.9","2.0以上"))))))</f>
        <v/>
      </c>
      <c r="AQ2672" s="8" t="str">
        <f aca="false">IF(A2672="","",IF(ISNUMBER(SEARCH("2歳",Z2672)),"2歳戦",IF(ISNUMBER(SEARCH("3歳未勝利",Z2672)),"3歳未勝利",IF(ISNUMBER(SEARCH("未勝利",Z2672)),"その他未勝利",IF(ISNUMBER(SEARCH("G1",Z2672)),"G1",IF(ISNUMBER(SEARCH("G2",Z2672)),"G2",IF(ISNUMBER(SEARCH("G3",Z2672)),"G3",IF(ISNUMBER(SEARCH("古馬条件",Z2672)),"古馬条件戦",IF(ISNUMBER(SEARCH("重賞",Z2672)),"重賞","分類不能")))))))))</f>
        <v/>
      </c>
    </row>
    <row r="2673" customFormat="false" ht="15.75" hidden="false" customHeight="false" outlineLevel="0" collapsed="false">
      <c r="AO2673" s="8" t="str">
        <f aca="false">IF(A2673="","",IF(COUNTIFS(全馬データ!$A$2:$A$50000,A2673,全馬データ!$B$2:$B$50000,B2673,全馬データ!$C$2:$C$50000,C2673,全馬データ!$D$2:$D$50000,E2673,全馬データ!$K$2:$K$50000,"&lt;&gt;")=0,"",SUMIFS(全馬データ!$K$2:$K$50000,全馬データ!$A$2:$A$50000,A2673,全馬データ!$B$2:$B$50000,B2673,全馬データ!$C$2:$C$50000,C2673,全馬データ!$D$2:$D$50000,E2673)))</f>
        <v/>
      </c>
      <c r="AP2673" s="8" t="str">
        <f aca="false">IF(A2673="","",IF(AO2673="","欠損",IF(AO2673&lt;=1.1,"1.0～1.1",IF(AO2673&lt;1.3,"1.2",IF(AO2673&lt;1.5,"1.3～1.4",IF(AO2673&lt;2,"1.5～1.9","2.0以上"))))))</f>
        <v/>
      </c>
      <c r="AQ2673" s="8" t="str">
        <f aca="false">IF(A2673="","",IF(ISNUMBER(SEARCH("2歳",Z2673)),"2歳戦",IF(ISNUMBER(SEARCH("3歳未勝利",Z2673)),"3歳未勝利",IF(ISNUMBER(SEARCH("未勝利",Z2673)),"その他未勝利",IF(ISNUMBER(SEARCH("G1",Z2673)),"G1",IF(ISNUMBER(SEARCH("G2",Z2673)),"G2",IF(ISNUMBER(SEARCH("G3",Z2673)),"G3",IF(ISNUMBER(SEARCH("古馬条件",Z2673)),"古馬条件戦",IF(ISNUMBER(SEARCH("重賞",Z2673)),"重賞","分類不能")))))))))</f>
        <v/>
      </c>
    </row>
    <row r="2674" customFormat="false" ht="15.75" hidden="false" customHeight="false" outlineLevel="0" collapsed="false">
      <c r="AO2674" s="8" t="str">
        <f aca="false">IF(A2674="","",IF(COUNTIFS(全馬データ!$A$2:$A$50000,A2674,全馬データ!$B$2:$B$50000,B2674,全馬データ!$C$2:$C$50000,C2674,全馬データ!$D$2:$D$50000,E2674,全馬データ!$K$2:$K$50000,"&lt;&gt;")=0,"",SUMIFS(全馬データ!$K$2:$K$50000,全馬データ!$A$2:$A$50000,A2674,全馬データ!$B$2:$B$50000,B2674,全馬データ!$C$2:$C$50000,C2674,全馬データ!$D$2:$D$50000,E2674)))</f>
        <v/>
      </c>
      <c r="AP2674" s="8" t="str">
        <f aca="false">IF(A2674="","",IF(AO2674="","欠損",IF(AO2674&lt;=1.1,"1.0～1.1",IF(AO2674&lt;1.3,"1.2",IF(AO2674&lt;1.5,"1.3～1.4",IF(AO2674&lt;2,"1.5～1.9","2.0以上"))))))</f>
        <v/>
      </c>
      <c r="AQ2674" s="8" t="str">
        <f aca="false">IF(A2674="","",IF(ISNUMBER(SEARCH("2歳",Z2674)),"2歳戦",IF(ISNUMBER(SEARCH("3歳未勝利",Z2674)),"3歳未勝利",IF(ISNUMBER(SEARCH("未勝利",Z2674)),"その他未勝利",IF(ISNUMBER(SEARCH("G1",Z2674)),"G1",IF(ISNUMBER(SEARCH("G2",Z2674)),"G2",IF(ISNUMBER(SEARCH("G3",Z2674)),"G3",IF(ISNUMBER(SEARCH("古馬条件",Z2674)),"古馬条件戦",IF(ISNUMBER(SEARCH("重賞",Z2674)),"重賞","分類不能")))))))))</f>
        <v/>
      </c>
    </row>
    <row r="2675" customFormat="false" ht="15.75" hidden="false" customHeight="false" outlineLevel="0" collapsed="false">
      <c r="AO2675" s="8" t="str">
        <f aca="false">IF(A2675="","",IF(COUNTIFS(全馬データ!$A$2:$A$50000,A2675,全馬データ!$B$2:$B$50000,B2675,全馬データ!$C$2:$C$50000,C2675,全馬データ!$D$2:$D$50000,E2675,全馬データ!$K$2:$K$50000,"&lt;&gt;")=0,"",SUMIFS(全馬データ!$K$2:$K$50000,全馬データ!$A$2:$A$50000,A2675,全馬データ!$B$2:$B$50000,B2675,全馬データ!$C$2:$C$50000,C2675,全馬データ!$D$2:$D$50000,E2675)))</f>
        <v/>
      </c>
      <c r="AP2675" s="8" t="str">
        <f aca="false">IF(A2675="","",IF(AO2675="","欠損",IF(AO2675&lt;=1.1,"1.0～1.1",IF(AO2675&lt;1.3,"1.2",IF(AO2675&lt;1.5,"1.3～1.4",IF(AO2675&lt;2,"1.5～1.9","2.0以上"))))))</f>
        <v/>
      </c>
      <c r="AQ2675" s="8" t="str">
        <f aca="false">IF(A2675="","",IF(ISNUMBER(SEARCH("2歳",Z2675)),"2歳戦",IF(ISNUMBER(SEARCH("3歳未勝利",Z2675)),"3歳未勝利",IF(ISNUMBER(SEARCH("未勝利",Z2675)),"その他未勝利",IF(ISNUMBER(SEARCH("G1",Z2675)),"G1",IF(ISNUMBER(SEARCH("G2",Z2675)),"G2",IF(ISNUMBER(SEARCH("G3",Z2675)),"G3",IF(ISNUMBER(SEARCH("古馬条件",Z2675)),"古馬条件戦",IF(ISNUMBER(SEARCH("重賞",Z2675)),"重賞","分類不能")))))))))</f>
        <v/>
      </c>
    </row>
    <row r="2676" customFormat="false" ht="15.75" hidden="false" customHeight="false" outlineLevel="0" collapsed="false">
      <c r="AO2676" s="8" t="str">
        <f aca="false">IF(A2676="","",IF(COUNTIFS(全馬データ!$A$2:$A$50000,A2676,全馬データ!$B$2:$B$50000,B2676,全馬データ!$C$2:$C$50000,C2676,全馬データ!$D$2:$D$50000,E2676,全馬データ!$K$2:$K$50000,"&lt;&gt;")=0,"",SUMIFS(全馬データ!$K$2:$K$50000,全馬データ!$A$2:$A$50000,A2676,全馬データ!$B$2:$B$50000,B2676,全馬データ!$C$2:$C$50000,C2676,全馬データ!$D$2:$D$50000,E2676)))</f>
        <v/>
      </c>
      <c r="AP2676" s="8" t="str">
        <f aca="false">IF(A2676="","",IF(AO2676="","欠損",IF(AO2676&lt;=1.1,"1.0～1.1",IF(AO2676&lt;1.3,"1.2",IF(AO2676&lt;1.5,"1.3～1.4",IF(AO2676&lt;2,"1.5～1.9","2.0以上"))))))</f>
        <v/>
      </c>
      <c r="AQ2676" s="8" t="str">
        <f aca="false">IF(A2676="","",IF(ISNUMBER(SEARCH("2歳",Z2676)),"2歳戦",IF(ISNUMBER(SEARCH("3歳未勝利",Z2676)),"3歳未勝利",IF(ISNUMBER(SEARCH("未勝利",Z2676)),"その他未勝利",IF(ISNUMBER(SEARCH("G1",Z2676)),"G1",IF(ISNUMBER(SEARCH("G2",Z2676)),"G2",IF(ISNUMBER(SEARCH("G3",Z2676)),"G3",IF(ISNUMBER(SEARCH("古馬条件",Z2676)),"古馬条件戦",IF(ISNUMBER(SEARCH("重賞",Z2676)),"重賞","分類不能")))))))))</f>
        <v/>
      </c>
    </row>
    <row r="2677" customFormat="false" ht="15.75" hidden="false" customHeight="false" outlineLevel="0" collapsed="false">
      <c r="AO2677" s="8" t="str">
        <f aca="false">IF(A2677="","",IF(COUNTIFS(全馬データ!$A$2:$A$50000,A2677,全馬データ!$B$2:$B$50000,B2677,全馬データ!$C$2:$C$50000,C2677,全馬データ!$D$2:$D$50000,E2677,全馬データ!$K$2:$K$50000,"&lt;&gt;")=0,"",SUMIFS(全馬データ!$K$2:$K$50000,全馬データ!$A$2:$A$50000,A2677,全馬データ!$B$2:$B$50000,B2677,全馬データ!$C$2:$C$50000,C2677,全馬データ!$D$2:$D$50000,E2677)))</f>
        <v/>
      </c>
      <c r="AP2677" s="8" t="str">
        <f aca="false">IF(A2677="","",IF(AO2677="","欠損",IF(AO2677&lt;=1.1,"1.0～1.1",IF(AO2677&lt;1.3,"1.2",IF(AO2677&lt;1.5,"1.3～1.4",IF(AO2677&lt;2,"1.5～1.9","2.0以上"))))))</f>
        <v/>
      </c>
      <c r="AQ2677" s="8" t="str">
        <f aca="false">IF(A2677="","",IF(ISNUMBER(SEARCH("2歳",Z2677)),"2歳戦",IF(ISNUMBER(SEARCH("3歳未勝利",Z2677)),"3歳未勝利",IF(ISNUMBER(SEARCH("未勝利",Z2677)),"その他未勝利",IF(ISNUMBER(SEARCH("G1",Z2677)),"G1",IF(ISNUMBER(SEARCH("G2",Z2677)),"G2",IF(ISNUMBER(SEARCH("G3",Z2677)),"G3",IF(ISNUMBER(SEARCH("古馬条件",Z2677)),"古馬条件戦",IF(ISNUMBER(SEARCH("重賞",Z2677)),"重賞","分類不能")))))))))</f>
        <v/>
      </c>
    </row>
    <row r="2678" customFormat="false" ht="15.75" hidden="false" customHeight="false" outlineLevel="0" collapsed="false">
      <c r="AO2678" s="8" t="str">
        <f aca="false">IF(A2678="","",IF(COUNTIFS(全馬データ!$A$2:$A$50000,A2678,全馬データ!$B$2:$B$50000,B2678,全馬データ!$C$2:$C$50000,C2678,全馬データ!$D$2:$D$50000,E2678,全馬データ!$K$2:$K$50000,"&lt;&gt;")=0,"",SUMIFS(全馬データ!$K$2:$K$50000,全馬データ!$A$2:$A$50000,A2678,全馬データ!$B$2:$B$50000,B2678,全馬データ!$C$2:$C$50000,C2678,全馬データ!$D$2:$D$50000,E2678)))</f>
        <v/>
      </c>
      <c r="AP2678" s="8" t="str">
        <f aca="false">IF(A2678="","",IF(AO2678="","欠損",IF(AO2678&lt;=1.1,"1.0～1.1",IF(AO2678&lt;1.3,"1.2",IF(AO2678&lt;1.5,"1.3～1.4",IF(AO2678&lt;2,"1.5～1.9","2.0以上"))))))</f>
        <v/>
      </c>
      <c r="AQ2678" s="8" t="str">
        <f aca="false">IF(A2678="","",IF(ISNUMBER(SEARCH("2歳",Z2678)),"2歳戦",IF(ISNUMBER(SEARCH("3歳未勝利",Z2678)),"3歳未勝利",IF(ISNUMBER(SEARCH("未勝利",Z2678)),"その他未勝利",IF(ISNUMBER(SEARCH("G1",Z2678)),"G1",IF(ISNUMBER(SEARCH("G2",Z2678)),"G2",IF(ISNUMBER(SEARCH("G3",Z2678)),"G3",IF(ISNUMBER(SEARCH("古馬条件",Z2678)),"古馬条件戦",IF(ISNUMBER(SEARCH("重賞",Z2678)),"重賞","分類不能")))))))))</f>
        <v/>
      </c>
    </row>
    <row r="2679" customFormat="false" ht="15.75" hidden="false" customHeight="false" outlineLevel="0" collapsed="false">
      <c r="AO2679" s="8" t="str">
        <f aca="false">IF(A2679="","",IF(COUNTIFS(全馬データ!$A$2:$A$50000,A2679,全馬データ!$B$2:$B$50000,B2679,全馬データ!$C$2:$C$50000,C2679,全馬データ!$D$2:$D$50000,E2679,全馬データ!$K$2:$K$50000,"&lt;&gt;")=0,"",SUMIFS(全馬データ!$K$2:$K$50000,全馬データ!$A$2:$A$50000,A2679,全馬データ!$B$2:$B$50000,B2679,全馬データ!$C$2:$C$50000,C2679,全馬データ!$D$2:$D$50000,E2679)))</f>
        <v/>
      </c>
      <c r="AP2679" s="8" t="str">
        <f aca="false">IF(A2679="","",IF(AO2679="","欠損",IF(AO2679&lt;=1.1,"1.0～1.1",IF(AO2679&lt;1.3,"1.2",IF(AO2679&lt;1.5,"1.3～1.4",IF(AO2679&lt;2,"1.5～1.9","2.0以上"))))))</f>
        <v/>
      </c>
      <c r="AQ2679" s="8" t="str">
        <f aca="false">IF(A2679="","",IF(ISNUMBER(SEARCH("2歳",Z2679)),"2歳戦",IF(ISNUMBER(SEARCH("3歳未勝利",Z2679)),"3歳未勝利",IF(ISNUMBER(SEARCH("未勝利",Z2679)),"その他未勝利",IF(ISNUMBER(SEARCH("G1",Z2679)),"G1",IF(ISNUMBER(SEARCH("G2",Z2679)),"G2",IF(ISNUMBER(SEARCH("G3",Z2679)),"G3",IF(ISNUMBER(SEARCH("古馬条件",Z2679)),"古馬条件戦",IF(ISNUMBER(SEARCH("重賞",Z2679)),"重賞","分類不能")))))))))</f>
        <v/>
      </c>
    </row>
    <row r="2680" customFormat="false" ht="15.75" hidden="false" customHeight="false" outlineLevel="0" collapsed="false">
      <c r="AO2680" s="8" t="str">
        <f aca="false">IF(A2680="","",IF(COUNTIFS(全馬データ!$A$2:$A$50000,A2680,全馬データ!$B$2:$B$50000,B2680,全馬データ!$C$2:$C$50000,C2680,全馬データ!$D$2:$D$50000,E2680,全馬データ!$K$2:$K$50000,"&lt;&gt;")=0,"",SUMIFS(全馬データ!$K$2:$K$50000,全馬データ!$A$2:$A$50000,A2680,全馬データ!$B$2:$B$50000,B2680,全馬データ!$C$2:$C$50000,C2680,全馬データ!$D$2:$D$50000,E2680)))</f>
        <v/>
      </c>
      <c r="AP2680" s="8" t="str">
        <f aca="false">IF(A2680="","",IF(AO2680="","欠損",IF(AO2680&lt;=1.1,"1.0～1.1",IF(AO2680&lt;1.3,"1.2",IF(AO2680&lt;1.5,"1.3～1.4",IF(AO2680&lt;2,"1.5～1.9","2.0以上"))))))</f>
        <v/>
      </c>
      <c r="AQ2680" s="8" t="str">
        <f aca="false">IF(A2680="","",IF(ISNUMBER(SEARCH("2歳",Z2680)),"2歳戦",IF(ISNUMBER(SEARCH("3歳未勝利",Z2680)),"3歳未勝利",IF(ISNUMBER(SEARCH("未勝利",Z2680)),"その他未勝利",IF(ISNUMBER(SEARCH("G1",Z2680)),"G1",IF(ISNUMBER(SEARCH("G2",Z2680)),"G2",IF(ISNUMBER(SEARCH("G3",Z2680)),"G3",IF(ISNUMBER(SEARCH("古馬条件",Z2680)),"古馬条件戦",IF(ISNUMBER(SEARCH("重賞",Z2680)),"重賞","分類不能")))))))))</f>
        <v/>
      </c>
    </row>
    <row r="2681" customFormat="false" ht="15.75" hidden="false" customHeight="false" outlineLevel="0" collapsed="false">
      <c r="AO2681" s="8" t="str">
        <f aca="false">IF(A2681="","",IF(COUNTIFS(全馬データ!$A$2:$A$50000,A2681,全馬データ!$B$2:$B$50000,B2681,全馬データ!$C$2:$C$50000,C2681,全馬データ!$D$2:$D$50000,E2681,全馬データ!$K$2:$K$50000,"&lt;&gt;")=0,"",SUMIFS(全馬データ!$K$2:$K$50000,全馬データ!$A$2:$A$50000,A2681,全馬データ!$B$2:$B$50000,B2681,全馬データ!$C$2:$C$50000,C2681,全馬データ!$D$2:$D$50000,E2681)))</f>
        <v/>
      </c>
      <c r="AP2681" s="8" t="str">
        <f aca="false">IF(A2681="","",IF(AO2681="","欠損",IF(AO2681&lt;=1.1,"1.0～1.1",IF(AO2681&lt;1.3,"1.2",IF(AO2681&lt;1.5,"1.3～1.4",IF(AO2681&lt;2,"1.5～1.9","2.0以上"))))))</f>
        <v/>
      </c>
      <c r="AQ2681" s="8" t="str">
        <f aca="false">IF(A2681="","",IF(ISNUMBER(SEARCH("2歳",Z2681)),"2歳戦",IF(ISNUMBER(SEARCH("3歳未勝利",Z2681)),"3歳未勝利",IF(ISNUMBER(SEARCH("未勝利",Z2681)),"その他未勝利",IF(ISNUMBER(SEARCH("G1",Z2681)),"G1",IF(ISNUMBER(SEARCH("G2",Z2681)),"G2",IF(ISNUMBER(SEARCH("G3",Z2681)),"G3",IF(ISNUMBER(SEARCH("古馬条件",Z2681)),"古馬条件戦",IF(ISNUMBER(SEARCH("重賞",Z2681)),"重賞","分類不能")))))))))</f>
        <v/>
      </c>
    </row>
    <row r="2682" customFormat="false" ht="15.75" hidden="false" customHeight="false" outlineLevel="0" collapsed="false">
      <c r="AO2682" s="8" t="str">
        <f aca="false">IF(A2682="","",IF(COUNTIFS(全馬データ!$A$2:$A$50000,A2682,全馬データ!$B$2:$B$50000,B2682,全馬データ!$C$2:$C$50000,C2682,全馬データ!$D$2:$D$50000,E2682,全馬データ!$K$2:$K$50000,"&lt;&gt;")=0,"",SUMIFS(全馬データ!$K$2:$K$50000,全馬データ!$A$2:$A$50000,A2682,全馬データ!$B$2:$B$50000,B2682,全馬データ!$C$2:$C$50000,C2682,全馬データ!$D$2:$D$50000,E2682)))</f>
        <v/>
      </c>
      <c r="AP2682" s="8" t="str">
        <f aca="false">IF(A2682="","",IF(AO2682="","欠損",IF(AO2682&lt;=1.1,"1.0～1.1",IF(AO2682&lt;1.3,"1.2",IF(AO2682&lt;1.5,"1.3～1.4",IF(AO2682&lt;2,"1.5～1.9","2.0以上"))))))</f>
        <v/>
      </c>
      <c r="AQ2682" s="8" t="str">
        <f aca="false">IF(A2682="","",IF(ISNUMBER(SEARCH("2歳",Z2682)),"2歳戦",IF(ISNUMBER(SEARCH("3歳未勝利",Z2682)),"3歳未勝利",IF(ISNUMBER(SEARCH("未勝利",Z2682)),"その他未勝利",IF(ISNUMBER(SEARCH("G1",Z2682)),"G1",IF(ISNUMBER(SEARCH("G2",Z2682)),"G2",IF(ISNUMBER(SEARCH("G3",Z2682)),"G3",IF(ISNUMBER(SEARCH("古馬条件",Z2682)),"古馬条件戦",IF(ISNUMBER(SEARCH("重賞",Z2682)),"重賞","分類不能")))))))))</f>
        <v/>
      </c>
    </row>
    <row r="2683" customFormat="false" ht="15.75" hidden="false" customHeight="false" outlineLevel="0" collapsed="false">
      <c r="AO2683" s="8" t="str">
        <f aca="false">IF(A2683="","",IF(COUNTIFS(全馬データ!$A$2:$A$50000,A2683,全馬データ!$B$2:$B$50000,B2683,全馬データ!$C$2:$C$50000,C2683,全馬データ!$D$2:$D$50000,E2683,全馬データ!$K$2:$K$50000,"&lt;&gt;")=0,"",SUMIFS(全馬データ!$K$2:$K$50000,全馬データ!$A$2:$A$50000,A2683,全馬データ!$B$2:$B$50000,B2683,全馬データ!$C$2:$C$50000,C2683,全馬データ!$D$2:$D$50000,E2683)))</f>
        <v/>
      </c>
      <c r="AP2683" s="8" t="str">
        <f aca="false">IF(A2683="","",IF(AO2683="","欠損",IF(AO2683&lt;=1.1,"1.0～1.1",IF(AO2683&lt;1.3,"1.2",IF(AO2683&lt;1.5,"1.3～1.4",IF(AO2683&lt;2,"1.5～1.9","2.0以上"))))))</f>
        <v/>
      </c>
      <c r="AQ2683" s="8" t="str">
        <f aca="false">IF(A2683="","",IF(ISNUMBER(SEARCH("2歳",Z2683)),"2歳戦",IF(ISNUMBER(SEARCH("3歳未勝利",Z2683)),"3歳未勝利",IF(ISNUMBER(SEARCH("未勝利",Z2683)),"その他未勝利",IF(ISNUMBER(SEARCH("G1",Z2683)),"G1",IF(ISNUMBER(SEARCH("G2",Z2683)),"G2",IF(ISNUMBER(SEARCH("G3",Z2683)),"G3",IF(ISNUMBER(SEARCH("古馬条件",Z2683)),"古馬条件戦",IF(ISNUMBER(SEARCH("重賞",Z2683)),"重賞","分類不能")))))))))</f>
        <v/>
      </c>
    </row>
    <row r="2684" customFormat="false" ht="15.75" hidden="false" customHeight="false" outlineLevel="0" collapsed="false">
      <c r="AO2684" s="8" t="str">
        <f aca="false">IF(A2684="","",IF(COUNTIFS(全馬データ!$A$2:$A$50000,A2684,全馬データ!$B$2:$B$50000,B2684,全馬データ!$C$2:$C$50000,C2684,全馬データ!$D$2:$D$50000,E2684,全馬データ!$K$2:$K$50000,"&lt;&gt;")=0,"",SUMIFS(全馬データ!$K$2:$K$50000,全馬データ!$A$2:$A$50000,A2684,全馬データ!$B$2:$B$50000,B2684,全馬データ!$C$2:$C$50000,C2684,全馬データ!$D$2:$D$50000,E2684)))</f>
        <v/>
      </c>
      <c r="AP2684" s="8" t="str">
        <f aca="false">IF(A2684="","",IF(AO2684="","欠損",IF(AO2684&lt;=1.1,"1.0～1.1",IF(AO2684&lt;1.3,"1.2",IF(AO2684&lt;1.5,"1.3～1.4",IF(AO2684&lt;2,"1.5～1.9","2.0以上"))))))</f>
        <v/>
      </c>
      <c r="AQ2684" s="8" t="str">
        <f aca="false">IF(A2684="","",IF(ISNUMBER(SEARCH("2歳",Z2684)),"2歳戦",IF(ISNUMBER(SEARCH("3歳未勝利",Z2684)),"3歳未勝利",IF(ISNUMBER(SEARCH("未勝利",Z2684)),"その他未勝利",IF(ISNUMBER(SEARCH("G1",Z2684)),"G1",IF(ISNUMBER(SEARCH("G2",Z2684)),"G2",IF(ISNUMBER(SEARCH("G3",Z2684)),"G3",IF(ISNUMBER(SEARCH("古馬条件",Z2684)),"古馬条件戦",IF(ISNUMBER(SEARCH("重賞",Z2684)),"重賞","分類不能")))))))))</f>
        <v/>
      </c>
    </row>
    <row r="2685" customFormat="false" ht="15.75" hidden="false" customHeight="false" outlineLevel="0" collapsed="false">
      <c r="AO2685" s="8" t="str">
        <f aca="false">IF(A2685="","",IF(COUNTIFS(全馬データ!$A$2:$A$50000,A2685,全馬データ!$B$2:$B$50000,B2685,全馬データ!$C$2:$C$50000,C2685,全馬データ!$D$2:$D$50000,E2685,全馬データ!$K$2:$K$50000,"&lt;&gt;")=0,"",SUMIFS(全馬データ!$K$2:$K$50000,全馬データ!$A$2:$A$50000,A2685,全馬データ!$B$2:$B$50000,B2685,全馬データ!$C$2:$C$50000,C2685,全馬データ!$D$2:$D$50000,E2685)))</f>
        <v/>
      </c>
      <c r="AP2685" s="8" t="str">
        <f aca="false">IF(A2685="","",IF(AO2685="","欠損",IF(AO2685&lt;=1.1,"1.0～1.1",IF(AO2685&lt;1.3,"1.2",IF(AO2685&lt;1.5,"1.3～1.4",IF(AO2685&lt;2,"1.5～1.9","2.0以上"))))))</f>
        <v/>
      </c>
      <c r="AQ2685" s="8" t="str">
        <f aca="false">IF(A2685="","",IF(ISNUMBER(SEARCH("2歳",Z2685)),"2歳戦",IF(ISNUMBER(SEARCH("3歳未勝利",Z2685)),"3歳未勝利",IF(ISNUMBER(SEARCH("未勝利",Z2685)),"その他未勝利",IF(ISNUMBER(SEARCH("G1",Z2685)),"G1",IF(ISNUMBER(SEARCH("G2",Z2685)),"G2",IF(ISNUMBER(SEARCH("G3",Z2685)),"G3",IF(ISNUMBER(SEARCH("古馬条件",Z2685)),"古馬条件戦",IF(ISNUMBER(SEARCH("重賞",Z2685)),"重賞","分類不能")))))))))</f>
        <v/>
      </c>
    </row>
    <row r="2686" customFormat="false" ht="15.75" hidden="false" customHeight="false" outlineLevel="0" collapsed="false">
      <c r="AO2686" s="8" t="str">
        <f aca="false">IF(A2686="","",IF(COUNTIFS(全馬データ!$A$2:$A$50000,A2686,全馬データ!$B$2:$B$50000,B2686,全馬データ!$C$2:$C$50000,C2686,全馬データ!$D$2:$D$50000,E2686,全馬データ!$K$2:$K$50000,"&lt;&gt;")=0,"",SUMIFS(全馬データ!$K$2:$K$50000,全馬データ!$A$2:$A$50000,A2686,全馬データ!$B$2:$B$50000,B2686,全馬データ!$C$2:$C$50000,C2686,全馬データ!$D$2:$D$50000,E2686)))</f>
        <v/>
      </c>
      <c r="AP2686" s="8" t="str">
        <f aca="false">IF(A2686="","",IF(AO2686="","欠損",IF(AO2686&lt;=1.1,"1.0～1.1",IF(AO2686&lt;1.3,"1.2",IF(AO2686&lt;1.5,"1.3～1.4",IF(AO2686&lt;2,"1.5～1.9","2.0以上"))))))</f>
        <v/>
      </c>
      <c r="AQ2686" s="8" t="str">
        <f aca="false">IF(A2686="","",IF(ISNUMBER(SEARCH("2歳",Z2686)),"2歳戦",IF(ISNUMBER(SEARCH("3歳未勝利",Z2686)),"3歳未勝利",IF(ISNUMBER(SEARCH("未勝利",Z2686)),"その他未勝利",IF(ISNUMBER(SEARCH("G1",Z2686)),"G1",IF(ISNUMBER(SEARCH("G2",Z2686)),"G2",IF(ISNUMBER(SEARCH("G3",Z2686)),"G3",IF(ISNUMBER(SEARCH("古馬条件",Z2686)),"古馬条件戦",IF(ISNUMBER(SEARCH("重賞",Z2686)),"重賞","分類不能")))))))))</f>
        <v/>
      </c>
    </row>
    <row r="2687" customFormat="false" ht="15.75" hidden="false" customHeight="false" outlineLevel="0" collapsed="false">
      <c r="AO2687" s="8" t="str">
        <f aca="false">IF(A2687="","",IF(COUNTIFS(全馬データ!$A$2:$A$50000,A2687,全馬データ!$B$2:$B$50000,B2687,全馬データ!$C$2:$C$50000,C2687,全馬データ!$D$2:$D$50000,E2687,全馬データ!$K$2:$K$50000,"&lt;&gt;")=0,"",SUMIFS(全馬データ!$K$2:$K$50000,全馬データ!$A$2:$A$50000,A2687,全馬データ!$B$2:$B$50000,B2687,全馬データ!$C$2:$C$50000,C2687,全馬データ!$D$2:$D$50000,E2687)))</f>
        <v/>
      </c>
      <c r="AP2687" s="8" t="str">
        <f aca="false">IF(A2687="","",IF(AO2687="","欠損",IF(AO2687&lt;=1.1,"1.0～1.1",IF(AO2687&lt;1.3,"1.2",IF(AO2687&lt;1.5,"1.3～1.4",IF(AO2687&lt;2,"1.5～1.9","2.0以上"))))))</f>
        <v/>
      </c>
      <c r="AQ2687" s="8" t="str">
        <f aca="false">IF(A2687="","",IF(ISNUMBER(SEARCH("2歳",Z2687)),"2歳戦",IF(ISNUMBER(SEARCH("3歳未勝利",Z2687)),"3歳未勝利",IF(ISNUMBER(SEARCH("未勝利",Z2687)),"その他未勝利",IF(ISNUMBER(SEARCH("G1",Z2687)),"G1",IF(ISNUMBER(SEARCH("G2",Z2687)),"G2",IF(ISNUMBER(SEARCH("G3",Z2687)),"G3",IF(ISNUMBER(SEARCH("古馬条件",Z2687)),"古馬条件戦",IF(ISNUMBER(SEARCH("重賞",Z2687)),"重賞","分類不能")))))))))</f>
        <v/>
      </c>
    </row>
    <row r="2688" customFormat="false" ht="15.75" hidden="false" customHeight="false" outlineLevel="0" collapsed="false">
      <c r="AO2688" s="8" t="str">
        <f aca="false">IF(A2688="","",IF(COUNTIFS(全馬データ!$A$2:$A$50000,A2688,全馬データ!$B$2:$B$50000,B2688,全馬データ!$C$2:$C$50000,C2688,全馬データ!$D$2:$D$50000,E2688,全馬データ!$K$2:$K$50000,"&lt;&gt;")=0,"",SUMIFS(全馬データ!$K$2:$K$50000,全馬データ!$A$2:$A$50000,A2688,全馬データ!$B$2:$B$50000,B2688,全馬データ!$C$2:$C$50000,C2688,全馬データ!$D$2:$D$50000,E2688)))</f>
        <v/>
      </c>
      <c r="AP2688" s="8" t="str">
        <f aca="false">IF(A2688="","",IF(AO2688="","欠損",IF(AO2688&lt;=1.1,"1.0～1.1",IF(AO2688&lt;1.3,"1.2",IF(AO2688&lt;1.5,"1.3～1.4",IF(AO2688&lt;2,"1.5～1.9","2.0以上"))))))</f>
        <v/>
      </c>
      <c r="AQ2688" s="8" t="str">
        <f aca="false">IF(A2688="","",IF(ISNUMBER(SEARCH("2歳",Z2688)),"2歳戦",IF(ISNUMBER(SEARCH("3歳未勝利",Z2688)),"3歳未勝利",IF(ISNUMBER(SEARCH("未勝利",Z2688)),"その他未勝利",IF(ISNUMBER(SEARCH("G1",Z2688)),"G1",IF(ISNUMBER(SEARCH("G2",Z2688)),"G2",IF(ISNUMBER(SEARCH("G3",Z2688)),"G3",IF(ISNUMBER(SEARCH("古馬条件",Z2688)),"古馬条件戦",IF(ISNUMBER(SEARCH("重賞",Z2688)),"重賞","分類不能")))))))))</f>
        <v/>
      </c>
    </row>
    <row r="2689" customFormat="false" ht="15.75" hidden="false" customHeight="false" outlineLevel="0" collapsed="false">
      <c r="AO2689" s="8" t="str">
        <f aca="false">IF(A2689="","",IF(COUNTIFS(全馬データ!$A$2:$A$50000,A2689,全馬データ!$B$2:$B$50000,B2689,全馬データ!$C$2:$C$50000,C2689,全馬データ!$D$2:$D$50000,E2689,全馬データ!$K$2:$K$50000,"&lt;&gt;")=0,"",SUMIFS(全馬データ!$K$2:$K$50000,全馬データ!$A$2:$A$50000,A2689,全馬データ!$B$2:$B$50000,B2689,全馬データ!$C$2:$C$50000,C2689,全馬データ!$D$2:$D$50000,E2689)))</f>
        <v/>
      </c>
      <c r="AP2689" s="8" t="str">
        <f aca="false">IF(A2689="","",IF(AO2689="","欠損",IF(AO2689&lt;=1.1,"1.0～1.1",IF(AO2689&lt;1.3,"1.2",IF(AO2689&lt;1.5,"1.3～1.4",IF(AO2689&lt;2,"1.5～1.9","2.0以上"))))))</f>
        <v/>
      </c>
      <c r="AQ2689" s="8" t="str">
        <f aca="false">IF(A2689="","",IF(ISNUMBER(SEARCH("2歳",Z2689)),"2歳戦",IF(ISNUMBER(SEARCH("3歳未勝利",Z2689)),"3歳未勝利",IF(ISNUMBER(SEARCH("未勝利",Z2689)),"その他未勝利",IF(ISNUMBER(SEARCH("G1",Z2689)),"G1",IF(ISNUMBER(SEARCH("G2",Z2689)),"G2",IF(ISNUMBER(SEARCH("G3",Z2689)),"G3",IF(ISNUMBER(SEARCH("古馬条件",Z2689)),"古馬条件戦",IF(ISNUMBER(SEARCH("重賞",Z2689)),"重賞","分類不能")))))))))</f>
        <v/>
      </c>
    </row>
    <row r="2690" customFormat="false" ht="15.75" hidden="false" customHeight="false" outlineLevel="0" collapsed="false">
      <c r="AO2690" s="8" t="str">
        <f aca="false">IF(A2690="","",IF(COUNTIFS(全馬データ!$A$2:$A$50000,A2690,全馬データ!$B$2:$B$50000,B2690,全馬データ!$C$2:$C$50000,C2690,全馬データ!$D$2:$D$50000,E2690,全馬データ!$K$2:$K$50000,"&lt;&gt;")=0,"",SUMIFS(全馬データ!$K$2:$K$50000,全馬データ!$A$2:$A$50000,A2690,全馬データ!$B$2:$B$50000,B2690,全馬データ!$C$2:$C$50000,C2690,全馬データ!$D$2:$D$50000,E2690)))</f>
        <v/>
      </c>
      <c r="AP2690" s="8" t="str">
        <f aca="false">IF(A2690="","",IF(AO2690="","欠損",IF(AO2690&lt;=1.1,"1.0～1.1",IF(AO2690&lt;1.3,"1.2",IF(AO2690&lt;1.5,"1.3～1.4",IF(AO2690&lt;2,"1.5～1.9","2.0以上"))))))</f>
        <v/>
      </c>
      <c r="AQ2690" s="8" t="str">
        <f aca="false">IF(A2690="","",IF(ISNUMBER(SEARCH("2歳",Z2690)),"2歳戦",IF(ISNUMBER(SEARCH("3歳未勝利",Z2690)),"3歳未勝利",IF(ISNUMBER(SEARCH("未勝利",Z2690)),"その他未勝利",IF(ISNUMBER(SEARCH("G1",Z2690)),"G1",IF(ISNUMBER(SEARCH("G2",Z2690)),"G2",IF(ISNUMBER(SEARCH("G3",Z2690)),"G3",IF(ISNUMBER(SEARCH("古馬条件",Z2690)),"古馬条件戦",IF(ISNUMBER(SEARCH("重賞",Z2690)),"重賞","分類不能")))))))))</f>
        <v/>
      </c>
    </row>
    <row r="2691" customFormat="false" ht="15.75" hidden="false" customHeight="false" outlineLevel="0" collapsed="false">
      <c r="AO2691" s="8" t="str">
        <f aca="false">IF(A2691="","",IF(COUNTIFS(全馬データ!$A$2:$A$50000,A2691,全馬データ!$B$2:$B$50000,B2691,全馬データ!$C$2:$C$50000,C2691,全馬データ!$D$2:$D$50000,E2691,全馬データ!$K$2:$K$50000,"&lt;&gt;")=0,"",SUMIFS(全馬データ!$K$2:$K$50000,全馬データ!$A$2:$A$50000,A2691,全馬データ!$B$2:$B$50000,B2691,全馬データ!$C$2:$C$50000,C2691,全馬データ!$D$2:$D$50000,E2691)))</f>
        <v/>
      </c>
      <c r="AP2691" s="8" t="str">
        <f aca="false">IF(A2691="","",IF(AO2691="","欠損",IF(AO2691&lt;=1.1,"1.0～1.1",IF(AO2691&lt;1.3,"1.2",IF(AO2691&lt;1.5,"1.3～1.4",IF(AO2691&lt;2,"1.5～1.9","2.0以上"))))))</f>
        <v/>
      </c>
      <c r="AQ2691" s="8" t="str">
        <f aca="false">IF(A2691="","",IF(ISNUMBER(SEARCH("2歳",Z2691)),"2歳戦",IF(ISNUMBER(SEARCH("3歳未勝利",Z2691)),"3歳未勝利",IF(ISNUMBER(SEARCH("未勝利",Z2691)),"その他未勝利",IF(ISNUMBER(SEARCH("G1",Z2691)),"G1",IF(ISNUMBER(SEARCH("G2",Z2691)),"G2",IF(ISNUMBER(SEARCH("G3",Z2691)),"G3",IF(ISNUMBER(SEARCH("古馬条件",Z2691)),"古馬条件戦",IF(ISNUMBER(SEARCH("重賞",Z2691)),"重賞","分類不能")))))))))</f>
        <v/>
      </c>
    </row>
    <row r="2692" customFormat="false" ht="15.75" hidden="false" customHeight="false" outlineLevel="0" collapsed="false">
      <c r="AO2692" s="8" t="str">
        <f aca="false">IF(A2692="","",IF(COUNTIFS(全馬データ!$A$2:$A$50000,A2692,全馬データ!$B$2:$B$50000,B2692,全馬データ!$C$2:$C$50000,C2692,全馬データ!$D$2:$D$50000,E2692,全馬データ!$K$2:$K$50000,"&lt;&gt;")=0,"",SUMIFS(全馬データ!$K$2:$K$50000,全馬データ!$A$2:$A$50000,A2692,全馬データ!$B$2:$B$50000,B2692,全馬データ!$C$2:$C$50000,C2692,全馬データ!$D$2:$D$50000,E2692)))</f>
        <v/>
      </c>
      <c r="AP2692" s="8" t="str">
        <f aca="false">IF(A2692="","",IF(AO2692="","欠損",IF(AO2692&lt;=1.1,"1.0～1.1",IF(AO2692&lt;1.3,"1.2",IF(AO2692&lt;1.5,"1.3～1.4",IF(AO2692&lt;2,"1.5～1.9","2.0以上"))))))</f>
        <v/>
      </c>
      <c r="AQ2692" s="8" t="str">
        <f aca="false">IF(A2692="","",IF(ISNUMBER(SEARCH("2歳",Z2692)),"2歳戦",IF(ISNUMBER(SEARCH("3歳未勝利",Z2692)),"3歳未勝利",IF(ISNUMBER(SEARCH("未勝利",Z2692)),"その他未勝利",IF(ISNUMBER(SEARCH("G1",Z2692)),"G1",IF(ISNUMBER(SEARCH("G2",Z2692)),"G2",IF(ISNUMBER(SEARCH("G3",Z2692)),"G3",IF(ISNUMBER(SEARCH("古馬条件",Z2692)),"古馬条件戦",IF(ISNUMBER(SEARCH("重賞",Z2692)),"重賞","分類不能")))))))))</f>
        <v/>
      </c>
    </row>
    <row r="2693" customFormat="false" ht="15.75" hidden="false" customHeight="false" outlineLevel="0" collapsed="false">
      <c r="AO2693" s="8" t="str">
        <f aca="false">IF(A2693="","",IF(COUNTIFS(全馬データ!$A$2:$A$50000,A2693,全馬データ!$B$2:$B$50000,B2693,全馬データ!$C$2:$C$50000,C2693,全馬データ!$D$2:$D$50000,E2693,全馬データ!$K$2:$K$50000,"&lt;&gt;")=0,"",SUMIFS(全馬データ!$K$2:$K$50000,全馬データ!$A$2:$A$50000,A2693,全馬データ!$B$2:$B$50000,B2693,全馬データ!$C$2:$C$50000,C2693,全馬データ!$D$2:$D$50000,E2693)))</f>
        <v/>
      </c>
      <c r="AP2693" s="8" t="str">
        <f aca="false">IF(A2693="","",IF(AO2693="","欠損",IF(AO2693&lt;=1.1,"1.0～1.1",IF(AO2693&lt;1.3,"1.2",IF(AO2693&lt;1.5,"1.3～1.4",IF(AO2693&lt;2,"1.5～1.9","2.0以上"))))))</f>
        <v/>
      </c>
      <c r="AQ2693" s="8" t="str">
        <f aca="false">IF(A2693="","",IF(ISNUMBER(SEARCH("2歳",Z2693)),"2歳戦",IF(ISNUMBER(SEARCH("3歳未勝利",Z2693)),"3歳未勝利",IF(ISNUMBER(SEARCH("未勝利",Z2693)),"その他未勝利",IF(ISNUMBER(SEARCH("G1",Z2693)),"G1",IF(ISNUMBER(SEARCH("G2",Z2693)),"G2",IF(ISNUMBER(SEARCH("G3",Z2693)),"G3",IF(ISNUMBER(SEARCH("古馬条件",Z2693)),"古馬条件戦",IF(ISNUMBER(SEARCH("重賞",Z2693)),"重賞","分類不能")))))))))</f>
        <v/>
      </c>
    </row>
    <row r="2694" customFormat="false" ht="15.75" hidden="false" customHeight="false" outlineLevel="0" collapsed="false">
      <c r="AO2694" s="8" t="str">
        <f aca="false">IF(A2694="","",IF(COUNTIFS(全馬データ!$A$2:$A$50000,A2694,全馬データ!$B$2:$B$50000,B2694,全馬データ!$C$2:$C$50000,C2694,全馬データ!$D$2:$D$50000,E2694,全馬データ!$K$2:$K$50000,"&lt;&gt;")=0,"",SUMIFS(全馬データ!$K$2:$K$50000,全馬データ!$A$2:$A$50000,A2694,全馬データ!$B$2:$B$50000,B2694,全馬データ!$C$2:$C$50000,C2694,全馬データ!$D$2:$D$50000,E2694)))</f>
        <v/>
      </c>
      <c r="AP2694" s="8" t="str">
        <f aca="false">IF(A2694="","",IF(AO2694="","欠損",IF(AO2694&lt;=1.1,"1.0～1.1",IF(AO2694&lt;1.3,"1.2",IF(AO2694&lt;1.5,"1.3～1.4",IF(AO2694&lt;2,"1.5～1.9","2.0以上"))))))</f>
        <v/>
      </c>
      <c r="AQ2694" s="8" t="str">
        <f aca="false">IF(A2694="","",IF(ISNUMBER(SEARCH("2歳",Z2694)),"2歳戦",IF(ISNUMBER(SEARCH("3歳未勝利",Z2694)),"3歳未勝利",IF(ISNUMBER(SEARCH("未勝利",Z2694)),"その他未勝利",IF(ISNUMBER(SEARCH("G1",Z2694)),"G1",IF(ISNUMBER(SEARCH("G2",Z2694)),"G2",IF(ISNUMBER(SEARCH("G3",Z2694)),"G3",IF(ISNUMBER(SEARCH("古馬条件",Z2694)),"古馬条件戦",IF(ISNUMBER(SEARCH("重賞",Z2694)),"重賞","分類不能")))))))))</f>
        <v/>
      </c>
    </row>
    <row r="2695" customFormat="false" ht="15.75" hidden="false" customHeight="false" outlineLevel="0" collapsed="false">
      <c r="AO2695" s="8" t="str">
        <f aca="false">IF(A2695="","",IF(COUNTIFS(全馬データ!$A$2:$A$50000,A2695,全馬データ!$B$2:$B$50000,B2695,全馬データ!$C$2:$C$50000,C2695,全馬データ!$D$2:$D$50000,E2695,全馬データ!$K$2:$K$50000,"&lt;&gt;")=0,"",SUMIFS(全馬データ!$K$2:$K$50000,全馬データ!$A$2:$A$50000,A2695,全馬データ!$B$2:$B$50000,B2695,全馬データ!$C$2:$C$50000,C2695,全馬データ!$D$2:$D$50000,E2695)))</f>
        <v/>
      </c>
      <c r="AP2695" s="8" t="str">
        <f aca="false">IF(A2695="","",IF(AO2695="","欠損",IF(AO2695&lt;=1.1,"1.0～1.1",IF(AO2695&lt;1.3,"1.2",IF(AO2695&lt;1.5,"1.3～1.4",IF(AO2695&lt;2,"1.5～1.9","2.0以上"))))))</f>
        <v/>
      </c>
      <c r="AQ2695" s="8" t="str">
        <f aca="false">IF(A2695="","",IF(ISNUMBER(SEARCH("2歳",Z2695)),"2歳戦",IF(ISNUMBER(SEARCH("3歳未勝利",Z2695)),"3歳未勝利",IF(ISNUMBER(SEARCH("未勝利",Z2695)),"その他未勝利",IF(ISNUMBER(SEARCH("G1",Z2695)),"G1",IF(ISNUMBER(SEARCH("G2",Z2695)),"G2",IF(ISNUMBER(SEARCH("G3",Z2695)),"G3",IF(ISNUMBER(SEARCH("古馬条件",Z2695)),"古馬条件戦",IF(ISNUMBER(SEARCH("重賞",Z2695)),"重賞","分類不能")))))))))</f>
        <v/>
      </c>
    </row>
    <row r="2696" customFormat="false" ht="15.75" hidden="false" customHeight="false" outlineLevel="0" collapsed="false">
      <c r="AO2696" s="8" t="str">
        <f aca="false">IF(A2696="","",IF(COUNTIFS(全馬データ!$A$2:$A$50000,A2696,全馬データ!$B$2:$B$50000,B2696,全馬データ!$C$2:$C$50000,C2696,全馬データ!$D$2:$D$50000,E2696,全馬データ!$K$2:$K$50000,"&lt;&gt;")=0,"",SUMIFS(全馬データ!$K$2:$K$50000,全馬データ!$A$2:$A$50000,A2696,全馬データ!$B$2:$B$50000,B2696,全馬データ!$C$2:$C$50000,C2696,全馬データ!$D$2:$D$50000,E2696)))</f>
        <v/>
      </c>
      <c r="AP2696" s="8" t="str">
        <f aca="false">IF(A2696="","",IF(AO2696="","欠損",IF(AO2696&lt;=1.1,"1.0～1.1",IF(AO2696&lt;1.3,"1.2",IF(AO2696&lt;1.5,"1.3～1.4",IF(AO2696&lt;2,"1.5～1.9","2.0以上"))))))</f>
        <v/>
      </c>
      <c r="AQ2696" s="8" t="str">
        <f aca="false">IF(A2696="","",IF(ISNUMBER(SEARCH("2歳",Z2696)),"2歳戦",IF(ISNUMBER(SEARCH("3歳未勝利",Z2696)),"3歳未勝利",IF(ISNUMBER(SEARCH("未勝利",Z2696)),"その他未勝利",IF(ISNUMBER(SEARCH("G1",Z2696)),"G1",IF(ISNUMBER(SEARCH("G2",Z2696)),"G2",IF(ISNUMBER(SEARCH("G3",Z2696)),"G3",IF(ISNUMBER(SEARCH("古馬条件",Z2696)),"古馬条件戦",IF(ISNUMBER(SEARCH("重賞",Z2696)),"重賞","分類不能")))))))))</f>
        <v/>
      </c>
    </row>
    <row r="2697" customFormat="false" ht="15.75" hidden="false" customHeight="false" outlineLevel="0" collapsed="false">
      <c r="AO2697" s="8" t="str">
        <f aca="false">IF(A2697="","",IF(COUNTIFS(全馬データ!$A$2:$A$50000,A2697,全馬データ!$B$2:$B$50000,B2697,全馬データ!$C$2:$C$50000,C2697,全馬データ!$D$2:$D$50000,E2697,全馬データ!$K$2:$K$50000,"&lt;&gt;")=0,"",SUMIFS(全馬データ!$K$2:$K$50000,全馬データ!$A$2:$A$50000,A2697,全馬データ!$B$2:$B$50000,B2697,全馬データ!$C$2:$C$50000,C2697,全馬データ!$D$2:$D$50000,E2697)))</f>
        <v/>
      </c>
      <c r="AP2697" s="8" t="str">
        <f aca="false">IF(A2697="","",IF(AO2697="","欠損",IF(AO2697&lt;=1.1,"1.0～1.1",IF(AO2697&lt;1.3,"1.2",IF(AO2697&lt;1.5,"1.3～1.4",IF(AO2697&lt;2,"1.5～1.9","2.0以上"))))))</f>
        <v/>
      </c>
      <c r="AQ2697" s="8" t="str">
        <f aca="false">IF(A2697="","",IF(ISNUMBER(SEARCH("2歳",Z2697)),"2歳戦",IF(ISNUMBER(SEARCH("3歳未勝利",Z2697)),"3歳未勝利",IF(ISNUMBER(SEARCH("未勝利",Z2697)),"その他未勝利",IF(ISNUMBER(SEARCH("G1",Z2697)),"G1",IF(ISNUMBER(SEARCH("G2",Z2697)),"G2",IF(ISNUMBER(SEARCH("G3",Z2697)),"G3",IF(ISNUMBER(SEARCH("古馬条件",Z2697)),"古馬条件戦",IF(ISNUMBER(SEARCH("重賞",Z2697)),"重賞","分類不能")))))))))</f>
        <v/>
      </c>
    </row>
    <row r="2698" customFormat="false" ht="15.75" hidden="false" customHeight="false" outlineLevel="0" collapsed="false">
      <c r="AO2698" s="8" t="str">
        <f aca="false">IF(A2698="","",IF(COUNTIFS(全馬データ!$A$2:$A$50000,A2698,全馬データ!$B$2:$B$50000,B2698,全馬データ!$C$2:$C$50000,C2698,全馬データ!$D$2:$D$50000,E2698,全馬データ!$K$2:$K$50000,"&lt;&gt;")=0,"",SUMIFS(全馬データ!$K$2:$K$50000,全馬データ!$A$2:$A$50000,A2698,全馬データ!$B$2:$B$50000,B2698,全馬データ!$C$2:$C$50000,C2698,全馬データ!$D$2:$D$50000,E2698)))</f>
        <v/>
      </c>
      <c r="AP2698" s="8" t="str">
        <f aca="false">IF(A2698="","",IF(AO2698="","欠損",IF(AO2698&lt;=1.1,"1.0～1.1",IF(AO2698&lt;1.3,"1.2",IF(AO2698&lt;1.5,"1.3～1.4",IF(AO2698&lt;2,"1.5～1.9","2.0以上"))))))</f>
        <v/>
      </c>
      <c r="AQ2698" s="8" t="str">
        <f aca="false">IF(A2698="","",IF(ISNUMBER(SEARCH("2歳",Z2698)),"2歳戦",IF(ISNUMBER(SEARCH("3歳未勝利",Z2698)),"3歳未勝利",IF(ISNUMBER(SEARCH("未勝利",Z2698)),"その他未勝利",IF(ISNUMBER(SEARCH("G1",Z2698)),"G1",IF(ISNUMBER(SEARCH("G2",Z2698)),"G2",IF(ISNUMBER(SEARCH("G3",Z2698)),"G3",IF(ISNUMBER(SEARCH("古馬条件",Z2698)),"古馬条件戦",IF(ISNUMBER(SEARCH("重賞",Z2698)),"重賞","分類不能")))))))))</f>
        <v/>
      </c>
    </row>
    <row r="2699" customFormat="false" ht="15.75" hidden="false" customHeight="false" outlineLevel="0" collapsed="false">
      <c r="AO2699" s="8" t="str">
        <f aca="false">IF(A2699="","",IF(COUNTIFS(全馬データ!$A$2:$A$50000,A2699,全馬データ!$B$2:$B$50000,B2699,全馬データ!$C$2:$C$50000,C2699,全馬データ!$D$2:$D$50000,E2699,全馬データ!$K$2:$K$50000,"&lt;&gt;")=0,"",SUMIFS(全馬データ!$K$2:$K$50000,全馬データ!$A$2:$A$50000,A2699,全馬データ!$B$2:$B$50000,B2699,全馬データ!$C$2:$C$50000,C2699,全馬データ!$D$2:$D$50000,E2699)))</f>
        <v/>
      </c>
      <c r="AP2699" s="8" t="str">
        <f aca="false">IF(A2699="","",IF(AO2699="","欠損",IF(AO2699&lt;=1.1,"1.0～1.1",IF(AO2699&lt;1.3,"1.2",IF(AO2699&lt;1.5,"1.3～1.4",IF(AO2699&lt;2,"1.5～1.9","2.0以上"))))))</f>
        <v/>
      </c>
      <c r="AQ2699" s="8" t="str">
        <f aca="false">IF(A2699="","",IF(ISNUMBER(SEARCH("2歳",Z2699)),"2歳戦",IF(ISNUMBER(SEARCH("3歳未勝利",Z2699)),"3歳未勝利",IF(ISNUMBER(SEARCH("未勝利",Z2699)),"その他未勝利",IF(ISNUMBER(SEARCH("G1",Z2699)),"G1",IF(ISNUMBER(SEARCH("G2",Z2699)),"G2",IF(ISNUMBER(SEARCH("G3",Z2699)),"G3",IF(ISNUMBER(SEARCH("古馬条件",Z2699)),"古馬条件戦",IF(ISNUMBER(SEARCH("重賞",Z2699)),"重賞","分類不能")))))))))</f>
        <v/>
      </c>
    </row>
    <row r="2700" customFormat="false" ht="15.75" hidden="false" customHeight="false" outlineLevel="0" collapsed="false">
      <c r="AO2700" s="8" t="str">
        <f aca="false">IF(A2700="","",IF(COUNTIFS(全馬データ!$A$2:$A$50000,A2700,全馬データ!$B$2:$B$50000,B2700,全馬データ!$C$2:$C$50000,C2700,全馬データ!$D$2:$D$50000,E2700,全馬データ!$K$2:$K$50000,"&lt;&gt;")=0,"",SUMIFS(全馬データ!$K$2:$K$50000,全馬データ!$A$2:$A$50000,A2700,全馬データ!$B$2:$B$50000,B2700,全馬データ!$C$2:$C$50000,C2700,全馬データ!$D$2:$D$50000,E2700)))</f>
        <v/>
      </c>
      <c r="AP2700" s="8" t="str">
        <f aca="false">IF(A2700="","",IF(AO2700="","欠損",IF(AO2700&lt;=1.1,"1.0～1.1",IF(AO2700&lt;1.3,"1.2",IF(AO2700&lt;1.5,"1.3～1.4",IF(AO2700&lt;2,"1.5～1.9","2.0以上"))))))</f>
        <v/>
      </c>
      <c r="AQ2700" s="8" t="str">
        <f aca="false">IF(A2700="","",IF(ISNUMBER(SEARCH("2歳",Z2700)),"2歳戦",IF(ISNUMBER(SEARCH("3歳未勝利",Z2700)),"3歳未勝利",IF(ISNUMBER(SEARCH("未勝利",Z2700)),"その他未勝利",IF(ISNUMBER(SEARCH("G1",Z2700)),"G1",IF(ISNUMBER(SEARCH("G2",Z2700)),"G2",IF(ISNUMBER(SEARCH("G3",Z2700)),"G3",IF(ISNUMBER(SEARCH("古馬条件",Z2700)),"古馬条件戦",IF(ISNUMBER(SEARCH("重賞",Z2700)),"重賞","分類不能")))))))))</f>
        <v/>
      </c>
    </row>
    <row r="2701" customFormat="false" ht="15.75" hidden="false" customHeight="false" outlineLevel="0" collapsed="false">
      <c r="AO2701" s="8" t="str">
        <f aca="false">IF(A2701="","",IF(COUNTIFS(全馬データ!$A$2:$A$50000,A2701,全馬データ!$B$2:$B$50000,B2701,全馬データ!$C$2:$C$50000,C2701,全馬データ!$D$2:$D$50000,E2701,全馬データ!$K$2:$K$50000,"&lt;&gt;")=0,"",SUMIFS(全馬データ!$K$2:$K$50000,全馬データ!$A$2:$A$50000,A2701,全馬データ!$B$2:$B$50000,B2701,全馬データ!$C$2:$C$50000,C2701,全馬データ!$D$2:$D$50000,E2701)))</f>
        <v/>
      </c>
      <c r="AP2701" s="8" t="str">
        <f aca="false">IF(A2701="","",IF(AO2701="","欠損",IF(AO2701&lt;=1.1,"1.0～1.1",IF(AO2701&lt;1.3,"1.2",IF(AO2701&lt;1.5,"1.3～1.4",IF(AO2701&lt;2,"1.5～1.9","2.0以上"))))))</f>
        <v/>
      </c>
      <c r="AQ2701" s="8" t="str">
        <f aca="false">IF(A2701="","",IF(ISNUMBER(SEARCH("2歳",Z2701)),"2歳戦",IF(ISNUMBER(SEARCH("3歳未勝利",Z2701)),"3歳未勝利",IF(ISNUMBER(SEARCH("未勝利",Z2701)),"その他未勝利",IF(ISNUMBER(SEARCH("G1",Z2701)),"G1",IF(ISNUMBER(SEARCH("G2",Z2701)),"G2",IF(ISNUMBER(SEARCH("G3",Z2701)),"G3",IF(ISNUMBER(SEARCH("古馬条件",Z2701)),"古馬条件戦",IF(ISNUMBER(SEARCH("重賞",Z2701)),"重賞","分類不能")))))))))</f>
        <v/>
      </c>
    </row>
    <row r="2702" customFormat="false" ht="15.75" hidden="false" customHeight="false" outlineLevel="0" collapsed="false">
      <c r="AO2702" s="8" t="str">
        <f aca="false">IF(A2702="","",IF(COUNTIFS(全馬データ!$A$2:$A$50000,A2702,全馬データ!$B$2:$B$50000,B2702,全馬データ!$C$2:$C$50000,C2702,全馬データ!$D$2:$D$50000,E2702,全馬データ!$K$2:$K$50000,"&lt;&gt;")=0,"",SUMIFS(全馬データ!$K$2:$K$50000,全馬データ!$A$2:$A$50000,A2702,全馬データ!$B$2:$B$50000,B2702,全馬データ!$C$2:$C$50000,C2702,全馬データ!$D$2:$D$50000,E2702)))</f>
        <v/>
      </c>
      <c r="AP2702" s="8" t="str">
        <f aca="false">IF(A2702="","",IF(AO2702="","欠損",IF(AO2702&lt;=1.1,"1.0～1.1",IF(AO2702&lt;1.3,"1.2",IF(AO2702&lt;1.5,"1.3～1.4",IF(AO2702&lt;2,"1.5～1.9","2.0以上"))))))</f>
        <v/>
      </c>
      <c r="AQ2702" s="8" t="str">
        <f aca="false">IF(A2702="","",IF(ISNUMBER(SEARCH("2歳",Z2702)),"2歳戦",IF(ISNUMBER(SEARCH("3歳未勝利",Z2702)),"3歳未勝利",IF(ISNUMBER(SEARCH("未勝利",Z2702)),"その他未勝利",IF(ISNUMBER(SEARCH("G1",Z2702)),"G1",IF(ISNUMBER(SEARCH("G2",Z2702)),"G2",IF(ISNUMBER(SEARCH("G3",Z2702)),"G3",IF(ISNUMBER(SEARCH("古馬条件",Z2702)),"古馬条件戦",IF(ISNUMBER(SEARCH("重賞",Z2702)),"重賞","分類不能")))))))))</f>
        <v/>
      </c>
    </row>
    <row r="2703" customFormat="false" ht="15.75" hidden="false" customHeight="false" outlineLevel="0" collapsed="false">
      <c r="AO2703" s="8" t="str">
        <f aca="false">IF(A2703="","",IF(COUNTIFS(全馬データ!$A$2:$A$50000,A2703,全馬データ!$B$2:$B$50000,B2703,全馬データ!$C$2:$C$50000,C2703,全馬データ!$D$2:$D$50000,E2703,全馬データ!$K$2:$K$50000,"&lt;&gt;")=0,"",SUMIFS(全馬データ!$K$2:$K$50000,全馬データ!$A$2:$A$50000,A2703,全馬データ!$B$2:$B$50000,B2703,全馬データ!$C$2:$C$50000,C2703,全馬データ!$D$2:$D$50000,E2703)))</f>
        <v/>
      </c>
      <c r="AP2703" s="8" t="str">
        <f aca="false">IF(A2703="","",IF(AO2703="","欠損",IF(AO2703&lt;=1.1,"1.0～1.1",IF(AO2703&lt;1.3,"1.2",IF(AO2703&lt;1.5,"1.3～1.4",IF(AO2703&lt;2,"1.5～1.9","2.0以上"))))))</f>
        <v/>
      </c>
      <c r="AQ2703" s="8" t="str">
        <f aca="false">IF(A2703="","",IF(ISNUMBER(SEARCH("2歳",Z2703)),"2歳戦",IF(ISNUMBER(SEARCH("3歳未勝利",Z2703)),"3歳未勝利",IF(ISNUMBER(SEARCH("未勝利",Z2703)),"その他未勝利",IF(ISNUMBER(SEARCH("G1",Z2703)),"G1",IF(ISNUMBER(SEARCH("G2",Z2703)),"G2",IF(ISNUMBER(SEARCH("G3",Z2703)),"G3",IF(ISNUMBER(SEARCH("古馬条件",Z2703)),"古馬条件戦",IF(ISNUMBER(SEARCH("重賞",Z2703)),"重賞","分類不能")))))))))</f>
        <v/>
      </c>
    </row>
    <row r="2704" customFormat="false" ht="15.75" hidden="false" customHeight="false" outlineLevel="0" collapsed="false">
      <c r="AO2704" s="8" t="str">
        <f aca="false">IF(A2704="","",IF(COUNTIFS(全馬データ!$A$2:$A$50000,A2704,全馬データ!$B$2:$B$50000,B2704,全馬データ!$C$2:$C$50000,C2704,全馬データ!$D$2:$D$50000,E2704,全馬データ!$K$2:$K$50000,"&lt;&gt;")=0,"",SUMIFS(全馬データ!$K$2:$K$50000,全馬データ!$A$2:$A$50000,A2704,全馬データ!$B$2:$B$50000,B2704,全馬データ!$C$2:$C$50000,C2704,全馬データ!$D$2:$D$50000,E2704)))</f>
        <v/>
      </c>
      <c r="AP2704" s="8" t="str">
        <f aca="false">IF(A2704="","",IF(AO2704="","欠損",IF(AO2704&lt;=1.1,"1.0～1.1",IF(AO2704&lt;1.3,"1.2",IF(AO2704&lt;1.5,"1.3～1.4",IF(AO2704&lt;2,"1.5～1.9","2.0以上"))))))</f>
        <v/>
      </c>
      <c r="AQ2704" s="8" t="str">
        <f aca="false">IF(A2704="","",IF(ISNUMBER(SEARCH("2歳",Z2704)),"2歳戦",IF(ISNUMBER(SEARCH("3歳未勝利",Z2704)),"3歳未勝利",IF(ISNUMBER(SEARCH("未勝利",Z2704)),"その他未勝利",IF(ISNUMBER(SEARCH("G1",Z2704)),"G1",IF(ISNUMBER(SEARCH("G2",Z2704)),"G2",IF(ISNUMBER(SEARCH("G3",Z2704)),"G3",IF(ISNUMBER(SEARCH("古馬条件",Z2704)),"古馬条件戦",IF(ISNUMBER(SEARCH("重賞",Z2704)),"重賞","分類不能")))))))))</f>
        <v/>
      </c>
    </row>
    <row r="2705" customFormat="false" ht="15.75" hidden="false" customHeight="false" outlineLevel="0" collapsed="false">
      <c r="AO2705" s="8" t="str">
        <f aca="false">IF(A2705="","",IF(COUNTIFS(全馬データ!$A$2:$A$50000,A2705,全馬データ!$B$2:$B$50000,B2705,全馬データ!$C$2:$C$50000,C2705,全馬データ!$D$2:$D$50000,E2705,全馬データ!$K$2:$K$50000,"&lt;&gt;")=0,"",SUMIFS(全馬データ!$K$2:$K$50000,全馬データ!$A$2:$A$50000,A2705,全馬データ!$B$2:$B$50000,B2705,全馬データ!$C$2:$C$50000,C2705,全馬データ!$D$2:$D$50000,E2705)))</f>
        <v/>
      </c>
      <c r="AP2705" s="8" t="str">
        <f aca="false">IF(A2705="","",IF(AO2705="","欠損",IF(AO2705&lt;=1.1,"1.0～1.1",IF(AO2705&lt;1.3,"1.2",IF(AO2705&lt;1.5,"1.3～1.4",IF(AO2705&lt;2,"1.5～1.9","2.0以上"))))))</f>
        <v/>
      </c>
      <c r="AQ2705" s="8" t="str">
        <f aca="false">IF(A2705="","",IF(ISNUMBER(SEARCH("2歳",Z2705)),"2歳戦",IF(ISNUMBER(SEARCH("3歳未勝利",Z2705)),"3歳未勝利",IF(ISNUMBER(SEARCH("未勝利",Z2705)),"その他未勝利",IF(ISNUMBER(SEARCH("G1",Z2705)),"G1",IF(ISNUMBER(SEARCH("G2",Z2705)),"G2",IF(ISNUMBER(SEARCH("G3",Z2705)),"G3",IF(ISNUMBER(SEARCH("古馬条件",Z2705)),"古馬条件戦",IF(ISNUMBER(SEARCH("重賞",Z2705)),"重賞","分類不能")))))))))</f>
        <v/>
      </c>
    </row>
    <row r="2706" customFormat="false" ht="15.75" hidden="false" customHeight="false" outlineLevel="0" collapsed="false">
      <c r="AO2706" s="8" t="str">
        <f aca="false">IF(A2706="","",IF(COUNTIFS(全馬データ!$A$2:$A$50000,A2706,全馬データ!$B$2:$B$50000,B2706,全馬データ!$C$2:$C$50000,C2706,全馬データ!$D$2:$D$50000,E2706,全馬データ!$K$2:$K$50000,"&lt;&gt;")=0,"",SUMIFS(全馬データ!$K$2:$K$50000,全馬データ!$A$2:$A$50000,A2706,全馬データ!$B$2:$B$50000,B2706,全馬データ!$C$2:$C$50000,C2706,全馬データ!$D$2:$D$50000,E2706)))</f>
        <v/>
      </c>
      <c r="AP2706" s="8" t="str">
        <f aca="false">IF(A2706="","",IF(AO2706="","欠損",IF(AO2706&lt;=1.1,"1.0～1.1",IF(AO2706&lt;1.3,"1.2",IF(AO2706&lt;1.5,"1.3～1.4",IF(AO2706&lt;2,"1.5～1.9","2.0以上"))))))</f>
        <v/>
      </c>
      <c r="AQ2706" s="8" t="str">
        <f aca="false">IF(A2706="","",IF(ISNUMBER(SEARCH("2歳",Z2706)),"2歳戦",IF(ISNUMBER(SEARCH("3歳未勝利",Z2706)),"3歳未勝利",IF(ISNUMBER(SEARCH("未勝利",Z2706)),"その他未勝利",IF(ISNUMBER(SEARCH("G1",Z2706)),"G1",IF(ISNUMBER(SEARCH("G2",Z2706)),"G2",IF(ISNUMBER(SEARCH("G3",Z2706)),"G3",IF(ISNUMBER(SEARCH("古馬条件",Z2706)),"古馬条件戦",IF(ISNUMBER(SEARCH("重賞",Z2706)),"重賞","分類不能")))))))))</f>
        <v/>
      </c>
    </row>
    <row r="2707" customFormat="false" ht="15.75" hidden="false" customHeight="false" outlineLevel="0" collapsed="false">
      <c r="AO2707" s="8" t="str">
        <f aca="false">IF(A2707="","",IF(COUNTIFS(全馬データ!$A$2:$A$50000,A2707,全馬データ!$B$2:$B$50000,B2707,全馬データ!$C$2:$C$50000,C2707,全馬データ!$D$2:$D$50000,E2707,全馬データ!$K$2:$K$50000,"&lt;&gt;")=0,"",SUMIFS(全馬データ!$K$2:$K$50000,全馬データ!$A$2:$A$50000,A2707,全馬データ!$B$2:$B$50000,B2707,全馬データ!$C$2:$C$50000,C2707,全馬データ!$D$2:$D$50000,E2707)))</f>
        <v/>
      </c>
      <c r="AP2707" s="8" t="str">
        <f aca="false">IF(A2707="","",IF(AO2707="","欠損",IF(AO2707&lt;=1.1,"1.0～1.1",IF(AO2707&lt;1.3,"1.2",IF(AO2707&lt;1.5,"1.3～1.4",IF(AO2707&lt;2,"1.5～1.9","2.0以上"))))))</f>
        <v/>
      </c>
      <c r="AQ2707" s="8" t="str">
        <f aca="false">IF(A2707="","",IF(ISNUMBER(SEARCH("2歳",Z2707)),"2歳戦",IF(ISNUMBER(SEARCH("3歳未勝利",Z2707)),"3歳未勝利",IF(ISNUMBER(SEARCH("未勝利",Z2707)),"その他未勝利",IF(ISNUMBER(SEARCH("G1",Z2707)),"G1",IF(ISNUMBER(SEARCH("G2",Z2707)),"G2",IF(ISNUMBER(SEARCH("G3",Z2707)),"G3",IF(ISNUMBER(SEARCH("古馬条件",Z2707)),"古馬条件戦",IF(ISNUMBER(SEARCH("重賞",Z2707)),"重賞","分類不能")))))))))</f>
        <v/>
      </c>
    </row>
    <row r="2708" customFormat="false" ht="15.75" hidden="false" customHeight="false" outlineLevel="0" collapsed="false">
      <c r="AO2708" s="8" t="str">
        <f aca="false">IF(A2708="","",IF(COUNTIFS(全馬データ!$A$2:$A$50000,A2708,全馬データ!$B$2:$B$50000,B2708,全馬データ!$C$2:$C$50000,C2708,全馬データ!$D$2:$D$50000,E2708,全馬データ!$K$2:$K$50000,"&lt;&gt;")=0,"",SUMIFS(全馬データ!$K$2:$K$50000,全馬データ!$A$2:$A$50000,A2708,全馬データ!$B$2:$B$50000,B2708,全馬データ!$C$2:$C$50000,C2708,全馬データ!$D$2:$D$50000,E2708)))</f>
        <v/>
      </c>
      <c r="AP2708" s="8" t="str">
        <f aca="false">IF(A2708="","",IF(AO2708="","欠損",IF(AO2708&lt;=1.1,"1.0～1.1",IF(AO2708&lt;1.3,"1.2",IF(AO2708&lt;1.5,"1.3～1.4",IF(AO2708&lt;2,"1.5～1.9","2.0以上"))))))</f>
        <v/>
      </c>
      <c r="AQ2708" s="8" t="str">
        <f aca="false">IF(A2708="","",IF(ISNUMBER(SEARCH("2歳",Z2708)),"2歳戦",IF(ISNUMBER(SEARCH("3歳未勝利",Z2708)),"3歳未勝利",IF(ISNUMBER(SEARCH("未勝利",Z2708)),"その他未勝利",IF(ISNUMBER(SEARCH("G1",Z2708)),"G1",IF(ISNUMBER(SEARCH("G2",Z2708)),"G2",IF(ISNUMBER(SEARCH("G3",Z2708)),"G3",IF(ISNUMBER(SEARCH("古馬条件",Z2708)),"古馬条件戦",IF(ISNUMBER(SEARCH("重賞",Z2708)),"重賞","分類不能")))))))))</f>
        <v/>
      </c>
    </row>
    <row r="2709" customFormat="false" ht="15.75" hidden="false" customHeight="false" outlineLevel="0" collapsed="false">
      <c r="AO2709" s="8" t="str">
        <f aca="false">IF(A2709="","",IF(COUNTIFS(全馬データ!$A$2:$A$50000,A2709,全馬データ!$B$2:$B$50000,B2709,全馬データ!$C$2:$C$50000,C2709,全馬データ!$D$2:$D$50000,E2709,全馬データ!$K$2:$K$50000,"&lt;&gt;")=0,"",SUMIFS(全馬データ!$K$2:$K$50000,全馬データ!$A$2:$A$50000,A2709,全馬データ!$B$2:$B$50000,B2709,全馬データ!$C$2:$C$50000,C2709,全馬データ!$D$2:$D$50000,E2709)))</f>
        <v/>
      </c>
      <c r="AP2709" s="8" t="str">
        <f aca="false">IF(A2709="","",IF(AO2709="","欠損",IF(AO2709&lt;=1.1,"1.0～1.1",IF(AO2709&lt;1.3,"1.2",IF(AO2709&lt;1.5,"1.3～1.4",IF(AO2709&lt;2,"1.5～1.9","2.0以上"))))))</f>
        <v/>
      </c>
      <c r="AQ2709" s="8" t="str">
        <f aca="false">IF(A2709="","",IF(ISNUMBER(SEARCH("2歳",Z2709)),"2歳戦",IF(ISNUMBER(SEARCH("3歳未勝利",Z2709)),"3歳未勝利",IF(ISNUMBER(SEARCH("未勝利",Z2709)),"その他未勝利",IF(ISNUMBER(SEARCH("G1",Z2709)),"G1",IF(ISNUMBER(SEARCH("G2",Z2709)),"G2",IF(ISNUMBER(SEARCH("G3",Z2709)),"G3",IF(ISNUMBER(SEARCH("古馬条件",Z2709)),"古馬条件戦",IF(ISNUMBER(SEARCH("重賞",Z2709)),"重賞","分類不能")))))))))</f>
        <v/>
      </c>
    </row>
    <row r="2710" customFormat="false" ht="15.75" hidden="false" customHeight="false" outlineLevel="0" collapsed="false">
      <c r="AO2710" s="8" t="str">
        <f aca="false">IF(A2710="","",IF(COUNTIFS(全馬データ!$A$2:$A$50000,A2710,全馬データ!$B$2:$B$50000,B2710,全馬データ!$C$2:$C$50000,C2710,全馬データ!$D$2:$D$50000,E2710,全馬データ!$K$2:$K$50000,"&lt;&gt;")=0,"",SUMIFS(全馬データ!$K$2:$K$50000,全馬データ!$A$2:$A$50000,A2710,全馬データ!$B$2:$B$50000,B2710,全馬データ!$C$2:$C$50000,C2710,全馬データ!$D$2:$D$50000,E2710)))</f>
        <v/>
      </c>
      <c r="AP2710" s="8" t="str">
        <f aca="false">IF(A2710="","",IF(AO2710="","欠損",IF(AO2710&lt;=1.1,"1.0～1.1",IF(AO2710&lt;1.3,"1.2",IF(AO2710&lt;1.5,"1.3～1.4",IF(AO2710&lt;2,"1.5～1.9","2.0以上"))))))</f>
        <v/>
      </c>
      <c r="AQ2710" s="8" t="str">
        <f aca="false">IF(A2710="","",IF(ISNUMBER(SEARCH("2歳",Z2710)),"2歳戦",IF(ISNUMBER(SEARCH("3歳未勝利",Z2710)),"3歳未勝利",IF(ISNUMBER(SEARCH("未勝利",Z2710)),"その他未勝利",IF(ISNUMBER(SEARCH("G1",Z2710)),"G1",IF(ISNUMBER(SEARCH("G2",Z2710)),"G2",IF(ISNUMBER(SEARCH("G3",Z2710)),"G3",IF(ISNUMBER(SEARCH("古馬条件",Z2710)),"古馬条件戦",IF(ISNUMBER(SEARCH("重賞",Z2710)),"重賞","分類不能")))))))))</f>
        <v/>
      </c>
    </row>
    <row r="2711" customFormat="false" ht="15.75" hidden="false" customHeight="false" outlineLevel="0" collapsed="false">
      <c r="AO2711" s="8" t="str">
        <f aca="false">IF(A2711="","",IF(COUNTIFS(全馬データ!$A$2:$A$50000,A2711,全馬データ!$B$2:$B$50000,B2711,全馬データ!$C$2:$C$50000,C2711,全馬データ!$D$2:$D$50000,E2711,全馬データ!$K$2:$K$50000,"&lt;&gt;")=0,"",SUMIFS(全馬データ!$K$2:$K$50000,全馬データ!$A$2:$A$50000,A2711,全馬データ!$B$2:$B$50000,B2711,全馬データ!$C$2:$C$50000,C2711,全馬データ!$D$2:$D$50000,E2711)))</f>
        <v/>
      </c>
      <c r="AP2711" s="8" t="str">
        <f aca="false">IF(A2711="","",IF(AO2711="","欠損",IF(AO2711&lt;=1.1,"1.0～1.1",IF(AO2711&lt;1.3,"1.2",IF(AO2711&lt;1.5,"1.3～1.4",IF(AO2711&lt;2,"1.5～1.9","2.0以上"))))))</f>
        <v/>
      </c>
      <c r="AQ2711" s="8" t="str">
        <f aca="false">IF(A2711="","",IF(ISNUMBER(SEARCH("2歳",Z2711)),"2歳戦",IF(ISNUMBER(SEARCH("3歳未勝利",Z2711)),"3歳未勝利",IF(ISNUMBER(SEARCH("未勝利",Z2711)),"その他未勝利",IF(ISNUMBER(SEARCH("G1",Z2711)),"G1",IF(ISNUMBER(SEARCH("G2",Z2711)),"G2",IF(ISNUMBER(SEARCH("G3",Z2711)),"G3",IF(ISNUMBER(SEARCH("古馬条件",Z2711)),"古馬条件戦",IF(ISNUMBER(SEARCH("重賞",Z2711)),"重賞","分類不能")))))))))</f>
        <v/>
      </c>
    </row>
    <row r="2712" customFormat="false" ht="15.75" hidden="false" customHeight="false" outlineLevel="0" collapsed="false">
      <c r="AO2712" s="8" t="str">
        <f aca="false">IF(A2712="","",IF(COUNTIFS(全馬データ!$A$2:$A$50000,A2712,全馬データ!$B$2:$B$50000,B2712,全馬データ!$C$2:$C$50000,C2712,全馬データ!$D$2:$D$50000,E2712,全馬データ!$K$2:$K$50000,"&lt;&gt;")=0,"",SUMIFS(全馬データ!$K$2:$K$50000,全馬データ!$A$2:$A$50000,A2712,全馬データ!$B$2:$B$50000,B2712,全馬データ!$C$2:$C$50000,C2712,全馬データ!$D$2:$D$50000,E2712)))</f>
        <v/>
      </c>
      <c r="AP2712" s="8" t="str">
        <f aca="false">IF(A2712="","",IF(AO2712="","欠損",IF(AO2712&lt;=1.1,"1.0～1.1",IF(AO2712&lt;1.3,"1.2",IF(AO2712&lt;1.5,"1.3～1.4",IF(AO2712&lt;2,"1.5～1.9","2.0以上"))))))</f>
        <v/>
      </c>
      <c r="AQ2712" s="8" t="str">
        <f aca="false">IF(A2712="","",IF(ISNUMBER(SEARCH("2歳",Z2712)),"2歳戦",IF(ISNUMBER(SEARCH("3歳未勝利",Z2712)),"3歳未勝利",IF(ISNUMBER(SEARCH("未勝利",Z2712)),"その他未勝利",IF(ISNUMBER(SEARCH("G1",Z2712)),"G1",IF(ISNUMBER(SEARCH("G2",Z2712)),"G2",IF(ISNUMBER(SEARCH("G3",Z2712)),"G3",IF(ISNUMBER(SEARCH("古馬条件",Z2712)),"古馬条件戦",IF(ISNUMBER(SEARCH("重賞",Z2712)),"重賞","分類不能")))))))))</f>
        <v/>
      </c>
    </row>
    <row r="2713" customFormat="false" ht="15.75" hidden="false" customHeight="false" outlineLevel="0" collapsed="false">
      <c r="AO2713" s="8" t="str">
        <f aca="false">IF(A2713="","",IF(COUNTIFS(全馬データ!$A$2:$A$50000,A2713,全馬データ!$B$2:$B$50000,B2713,全馬データ!$C$2:$C$50000,C2713,全馬データ!$D$2:$D$50000,E2713,全馬データ!$K$2:$K$50000,"&lt;&gt;")=0,"",SUMIFS(全馬データ!$K$2:$K$50000,全馬データ!$A$2:$A$50000,A2713,全馬データ!$B$2:$B$50000,B2713,全馬データ!$C$2:$C$50000,C2713,全馬データ!$D$2:$D$50000,E2713)))</f>
        <v/>
      </c>
      <c r="AP2713" s="8" t="str">
        <f aca="false">IF(A2713="","",IF(AO2713="","欠損",IF(AO2713&lt;=1.1,"1.0～1.1",IF(AO2713&lt;1.3,"1.2",IF(AO2713&lt;1.5,"1.3～1.4",IF(AO2713&lt;2,"1.5～1.9","2.0以上"))))))</f>
        <v/>
      </c>
      <c r="AQ2713" s="8" t="str">
        <f aca="false">IF(A2713="","",IF(ISNUMBER(SEARCH("2歳",Z2713)),"2歳戦",IF(ISNUMBER(SEARCH("3歳未勝利",Z2713)),"3歳未勝利",IF(ISNUMBER(SEARCH("未勝利",Z2713)),"その他未勝利",IF(ISNUMBER(SEARCH("G1",Z2713)),"G1",IF(ISNUMBER(SEARCH("G2",Z2713)),"G2",IF(ISNUMBER(SEARCH("G3",Z2713)),"G3",IF(ISNUMBER(SEARCH("古馬条件",Z2713)),"古馬条件戦",IF(ISNUMBER(SEARCH("重賞",Z2713)),"重賞","分類不能")))))))))</f>
        <v/>
      </c>
    </row>
    <row r="2714" customFormat="false" ht="15.75" hidden="false" customHeight="false" outlineLevel="0" collapsed="false">
      <c r="AO2714" s="8" t="str">
        <f aca="false">IF(A2714="","",IF(COUNTIFS(全馬データ!$A$2:$A$50000,A2714,全馬データ!$B$2:$B$50000,B2714,全馬データ!$C$2:$C$50000,C2714,全馬データ!$D$2:$D$50000,E2714,全馬データ!$K$2:$K$50000,"&lt;&gt;")=0,"",SUMIFS(全馬データ!$K$2:$K$50000,全馬データ!$A$2:$A$50000,A2714,全馬データ!$B$2:$B$50000,B2714,全馬データ!$C$2:$C$50000,C2714,全馬データ!$D$2:$D$50000,E2714)))</f>
        <v/>
      </c>
      <c r="AP2714" s="8" t="str">
        <f aca="false">IF(A2714="","",IF(AO2714="","欠損",IF(AO2714&lt;=1.1,"1.0～1.1",IF(AO2714&lt;1.3,"1.2",IF(AO2714&lt;1.5,"1.3～1.4",IF(AO2714&lt;2,"1.5～1.9","2.0以上"))))))</f>
        <v/>
      </c>
      <c r="AQ2714" s="8" t="str">
        <f aca="false">IF(A2714="","",IF(ISNUMBER(SEARCH("2歳",Z2714)),"2歳戦",IF(ISNUMBER(SEARCH("3歳未勝利",Z2714)),"3歳未勝利",IF(ISNUMBER(SEARCH("未勝利",Z2714)),"その他未勝利",IF(ISNUMBER(SEARCH("G1",Z2714)),"G1",IF(ISNUMBER(SEARCH("G2",Z2714)),"G2",IF(ISNUMBER(SEARCH("G3",Z2714)),"G3",IF(ISNUMBER(SEARCH("古馬条件",Z2714)),"古馬条件戦",IF(ISNUMBER(SEARCH("重賞",Z2714)),"重賞","分類不能")))))))))</f>
        <v/>
      </c>
    </row>
    <row r="2715" customFormat="false" ht="15.75" hidden="false" customHeight="false" outlineLevel="0" collapsed="false">
      <c r="AO2715" s="8" t="str">
        <f aca="false">IF(A2715="","",IF(COUNTIFS(全馬データ!$A$2:$A$50000,A2715,全馬データ!$B$2:$B$50000,B2715,全馬データ!$C$2:$C$50000,C2715,全馬データ!$D$2:$D$50000,E2715,全馬データ!$K$2:$K$50000,"&lt;&gt;")=0,"",SUMIFS(全馬データ!$K$2:$K$50000,全馬データ!$A$2:$A$50000,A2715,全馬データ!$B$2:$B$50000,B2715,全馬データ!$C$2:$C$50000,C2715,全馬データ!$D$2:$D$50000,E2715)))</f>
        <v/>
      </c>
      <c r="AP2715" s="8" t="str">
        <f aca="false">IF(A2715="","",IF(AO2715="","欠損",IF(AO2715&lt;=1.1,"1.0～1.1",IF(AO2715&lt;1.3,"1.2",IF(AO2715&lt;1.5,"1.3～1.4",IF(AO2715&lt;2,"1.5～1.9","2.0以上"))))))</f>
        <v/>
      </c>
      <c r="AQ2715" s="8" t="str">
        <f aca="false">IF(A2715="","",IF(ISNUMBER(SEARCH("2歳",Z2715)),"2歳戦",IF(ISNUMBER(SEARCH("3歳未勝利",Z2715)),"3歳未勝利",IF(ISNUMBER(SEARCH("未勝利",Z2715)),"その他未勝利",IF(ISNUMBER(SEARCH("G1",Z2715)),"G1",IF(ISNUMBER(SEARCH("G2",Z2715)),"G2",IF(ISNUMBER(SEARCH("G3",Z2715)),"G3",IF(ISNUMBER(SEARCH("古馬条件",Z2715)),"古馬条件戦",IF(ISNUMBER(SEARCH("重賞",Z2715)),"重賞","分類不能")))))))))</f>
        <v/>
      </c>
    </row>
    <row r="2716" customFormat="false" ht="15.75" hidden="false" customHeight="false" outlineLevel="0" collapsed="false">
      <c r="AO2716" s="8" t="str">
        <f aca="false">IF(A2716="","",IF(COUNTIFS(全馬データ!$A$2:$A$50000,A2716,全馬データ!$B$2:$B$50000,B2716,全馬データ!$C$2:$C$50000,C2716,全馬データ!$D$2:$D$50000,E2716,全馬データ!$K$2:$K$50000,"&lt;&gt;")=0,"",SUMIFS(全馬データ!$K$2:$K$50000,全馬データ!$A$2:$A$50000,A2716,全馬データ!$B$2:$B$50000,B2716,全馬データ!$C$2:$C$50000,C2716,全馬データ!$D$2:$D$50000,E2716)))</f>
        <v/>
      </c>
      <c r="AP2716" s="8" t="str">
        <f aca="false">IF(A2716="","",IF(AO2716="","欠損",IF(AO2716&lt;=1.1,"1.0～1.1",IF(AO2716&lt;1.3,"1.2",IF(AO2716&lt;1.5,"1.3～1.4",IF(AO2716&lt;2,"1.5～1.9","2.0以上"))))))</f>
        <v/>
      </c>
      <c r="AQ2716" s="8" t="str">
        <f aca="false">IF(A2716="","",IF(ISNUMBER(SEARCH("2歳",Z2716)),"2歳戦",IF(ISNUMBER(SEARCH("3歳未勝利",Z2716)),"3歳未勝利",IF(ISNUMBER(SEARCH("未勝利",Z2716)),"その他未勝利",IF(ISNUMBER(SEARCH("G1",Z2716)),"G1",IF(ISNUMBER(SEARCH("G2",Z2716)),"G2",IF(ISNUMBER(SEARCH("G3",Z2716)),"G3",IF(ISNUMBER(SEARCH("古馬条件",Z2716)),"古馬条件戦",IF(ISNUMBER(SEARCH("重賞",Z2716)),"重賞","分類不能")))))))))</f>
        <v/>
      </c>
    </row>
    <row r="2717" customFormat="false" ht="15.75" hidden="false" customHeight="false" outlineLevel="0" collapsed="false">
      <c r="AO2717" s="8" t="str">
        <f aca="false">IF(A2717="","",IF(COUNTIFS(全馬データ!$A$2:$A$50000,A2717,全馬データ!$B$2:$B$50000,B2717,全馬データ!$C$2:$C$50000,C2717,全馬データ!$D$2:$D$50000,E2717,全馬データ!$K$2:$K$50000,"&lt;&gt;")=0,"",SUMIFS(全馬データ!$K$2:$K$50000,全馬データ!$A$2:$A$50000,A2717,全馬データ!$B$2:$B$50000,B2717,全馬データ!$C$2:$C$50000,C2717,全馬データ!$D$2:$D$50000,E2717)))</f>
        <v/>
      </c>
      <c r="AP2717" s="8" t="str">
        <f aca="false">IF(A2717="","",IF(AO2717="","欠損",IF(AO2717&lt;=1.1,"1.0～1.1",IF(AO2717&lt;1.3,"1.2",IF(AO2717&lt;1.5,"1.3～1.4",IF(AO2717&lt;2,"1.5～1.9","2.0以上"))))))</f>
        <v/>
      </c>
      <c r="AQ2717" s="8" t="str">
        <f aca="false">IF(A2717="","",IF(ISNUMBER(SEARCH("2歳",Z2717)),"2歳戦",IF(ISNUMBER(SEARCH("3歳未勝利",Z2717)),"3歳未勝利",IF(ISNUMBER(SEARCH("未勝利",Z2717)),"その他未勝利",IF(ISNUMBER(SEARCH("G1",Z2717)),"G1",IF(ISNUMBER(SEARCH("G2",Z2717)),"G2",IF(ISNUMBER(SEARCH("G3",Z2717)),"G3",IF(ISNUMBER(SEARCH("古馬条件",Z2717)),"古馬条件戦",IF(ISNUMBER(SEARCH("重賞",Z2717)),"重賞","分類不能")))))))))</f>
        <v/>
      </c>
    </row>
    <row r="2718" customFormat="false" ht="15.75" hidden="false" customHeight="false" outlineLevel="0" collapsed="false">
      <c r="AO2718" s="8" t="str">
        <f aca="false">IF(A2718="","",IF(COUNTIFS(全馬データ!$A$2:$A$50000,A2718,全馬データ!$B$2:$B$50000,B2718,全馬データ!$C$2:$C$50000,C2718,全馬データ!$D$2:$D$50000,E2718,全馬データ!$K$2:$K$50000,"&lt;&gt;")=0,"",SUMIFS(全馬データ!$K$2:$K$50000,全馬データ!$A$2:$A$50000,A2718,全馬データ!$B$2:$B$50000,B2718,全馬データ!$C$2:$C$50000,C2718,全馬データ!$D$2:$D$50000,E2718)))</f>
        <v/>
      </c>
      <c r="AP2718" s="8" t="str">
        <f aca="false">IF(A2718="","",IF(AO2718="","欠損",IF(AO2718&lt;=1.1,"1.0～1.1",IF(AO2718&lt;1.3,"1.2",IF(AO2718&lt;1.5,"1.3～1.4",IF(AO2718&lt;2,"1.5～1.9","2.0以上"))))))</f>
        <v/>
      </c>
      <c r="AQ2718" s="8" t="str">
        <f aca="false">IF(A2718="","",IF(ISNUMBER(SEARCH("2歳",Z2718)),"2歳戦",IF(ISNUMBER(SEARCH("3歳未勝利",Z2718)),"3歳未勝利",IF(ISNUMBER(SEARCH("未勝利",Z2718)),"その他未勝利",IF(ISNUMBER(SEARCH("G1",Z2718)),"G1",IF(ISNUMBER(SEARCH("G2",Z2718)),"G2",IF(ISNUMBER(SEARCH("G3",Z2718)),"G3",IF(ISNUMBER(SEARCH("古馬条件",Z2718)),"古馬条件戦",IF(ISNUMBER(SEARCH("重賞",Z2718)),"重賞","分類不能")))))))))</f>
        <v/>
      </c>
    </row>
    <row r="2719" customFormat="false" ht="15.75" hidden="false" customHeight="false" outlineLevel="0" collapsed="false">
      <c r="AO2719" s="8" t="str">
        <f aca="false">IF(A2719="","",IF(COUNTIFS(全馬データ!$A$2:$A$50000,A2719,全馬データ!$B$2:$B$50000,B2719,全馬データ!$C$2:$C$50000,C2719,全馬データ!$D$2:$D$50000,E2719,全馬データ!$K$2:$K$50000,"&lt;&gt;")=0,"",SUMIFS(全馬データ!$K$2:$K$50000,全馬データ!$A$2:$A$50000,A2719,全馬データ!$B$2:$B$50000,B2719,全馬データ!$C$2:$C$50000,C2719,全馬データ!$D$2:$D$50000,E2719)))</f>
        <v/>
      </c>
      <c r="AP2719" s="8" t="str">
        <f aca="false">IF(A2719="","",IF(AO2719="","欠損",IF(AO2719&lt;=1.1,"1.0～1.1",IF(AO2719&lt;1.3,"1.2",IF(AO2719&lt;1.5,"1.3～1.4",IF(AO2719&lt;2,"1.5～1.9","2.0以上"))))))</f>
        <v/>
      </c>
      <c r="AQ2719" s="8" t="str">
        <f aca="false">IF(A2719="","",IF(ISNUMBER(SEARCH("2歳",Z2719)),"2歳戦",IF(ISNUMBER(SEARCH("3歳未勝利",Z2719)),"3歳未勝利",IF(ISNUMBER(SEARCH("未勝利",Z2719)),"その他未勝利",IF(ISNUMBER(SEARCH("G1",Z2719)),"G1",IF(ISNUMBER(SEARCH("G2",Z2719)),"G2",IF(ISNUMBER(SEARCH("G3",Z2719)),"G3",IF(ISNUMBER(SEARCH("古馬条件",Z2719)),"古馬条件戦",IF(ISNUMBER(SEARCH("重賞",Z2719)),"重賞","分類不能")))))))))</f>
        <v/>
      </c>
    </row>
    <row r="2720" customFormat="false" ht="15.75" hidden="false" customHeight="false" outlineLevel="0" collapsed="false">
      <c r="AO2720" s="8" t="str">
        <f aca="false">IF(A2720="","",IF(COUNTIFS(全馬データ!$A$2:$A$50000,A2720,全馬データ!$B$2:$B$50000,B2720,全馬データ!$C$2:$C$50000,C2720,全馬データ!$D$2:$D$50000,E2720,全馬データ!$K$2:$K$50000,"&lt;&gt;")=0,"",SUMIFS(全馬データ!$K$2:$K$50000,全馬データ!$A$2:$A$50000,A2720,全馬データ!$B$2:$B$50000,B2720,全馬データ!$C$2:$C$50000,C2720,全馬データ!$D$2:$D$50000,E2720)))</f>
        <v/>
      </c>
      <c r="AP2720" s="8" t="str">
        <f aca="false">IF(A2720="","",IF(AO2720="","欠損",IF(AO2720&lt;=1.1,"1.0～1.1",IF(AO2720&lt;1.3,"1.2",IF(AO2720&lt;1.5,"1.3～1.4",IF(AO2720&lt;2,"1.5～1.9","2.0以上"))))))</f>
        <v/>
      </c>
      <c r="AQ2720" s="8" t="str">
        <f aca="false">IF(A2720="","",IF(ISNUMBER(SEARCH("2歳",Z2720)),"2歳戦",IF(ISNUMBER(SEARCH("3歳未勝利",Z2720)),"3歳未勝利",IF(ISNUMBER(SEARCH("未勝利",Z2720)),"その他未勝利",IF(ISNUMBER(SEARCH("G1",Z2720)),"G1",IF(ISNUMBER(SEARCH("G2",Z2720)),"G2",IF(ISNUMBER(SEARCH("G3",Z2720)),"G3",IF(ISNUMBER(SEARCH("古馬条件",Z2720)),"古馬条件戦",IF(ISNUMBER(SEARCH("重賞",Z2720)),"重賞","分類不能")))))))))</f>
        <v/>
      </c>
    </row>
    <row r="2721" customFormat="false" ht="15.75" hidden="false" customHeight="false" outlineLevel="0" collapsed="false">
      <c r="AO2721" s="8" t="str">
        <f aca="false">IF(A2721="","",IF(COUNTIFS(全馬データ!$A$2:$A$50000,A2721,全馬データ!$B$2:$B$50000,B2721,全馬データ!$C$2:$C$50000,C2721,全馬データ!$D$2:$D$50000,E2721,全馬データ!$K$2:$K$50000,"&lt;&gt;")=0,"",SUMIFS(全馬データ!$K$2:$K$50000,全馬データ!$A$2:$A$50000,A2721,全馬データ!$B$2:$B$50000,B2721,全馬データ!$C$2:$C$50000,C2721,全馬データ!$D$2:$D$50000,E2721)))</f>
        <v/>
      </c>
      <c r="AP2721" s="8" t="str">
        <f aca="false">IF(A2721="","",IF(AO2721="","欠損",IF(AO2721&lt;=1.1,"1.0～1.1",IF(AO2721&lt;1.3,"1.2",IF(AO2721&lt;1.5,"1.3～1.4",IF(AO2721&lt;2,"1.5～1.9","2.0以上"))))))</f>
        <v/>
      </c>
      <c r="AQ2721" s="8" t="str">
        <f aca="false">IF(A2721="","",IF(ISNUMBER(SEARCH("2歳",Z2721)),"2歳戦",IF(ISNUMBER(SEARCH("3歳未勝利",Z2721)),"3歳未勝利",IF(ISNUMBER(SEARCH("未勝利",Z2721)),"その他未勝利",IF(ISNUMBER(SEARCH("G1",Z2721)),"G1",IF(ISNUMBER(SEARCH("G2",Z2721)),"G2",IF(ISNUMBER(SEARCH("G3",Z2721)),"G3",IF(ISNUMBER(SEARCH("古馬条件",Z2721)),"古馬条件戦",IF(ISNUMBER(SEARCH("重賞",Z2721)),"重賞","分類不能")))))))))</f>
        <v/>
      </c>
    </row>
    <row r="2722" customFormat="false" ht="15.75" hidden="false" customHeight="false" outlineLevel="0" collapsed="false">
      <c r="AO2722" s="8" t="str">
        <f aca="false">IF(A2722="","",IF(COUNTIFS(全馬データ!$A$2:$A$50000,A2722,全馬データ!$B$2:$B$50000,B2722,全馬データ!$C$2:$C$50000,C2722,全馬データ!$D$2:$D$50000,E2722,全馬データ!$K$2:$K$50000,"&lt;&gt;")=0,"",SUMIFS(全馬データ!$K$2:$K$50000,全馬データ!$A$2:$A$50000,A2722,全馬データ!$B$2:$B$50000,B2722,全馬データ!$C$2:$C$50000,C2722,全馬データ!$D$2:$D$50000,E2722)))</f>
        <v/>
      </c>
      <c r="AP2722" s="8" t="str">
        <f aca="false">IF(A2722="","",IF(AO2722="","欠損",IF(AO2722&lt;=1.1,"1.0～1.1",IF(AO2722&lt;1.3,"1.2",IF(AO2722&lt;1.5,"1.3～1.4",IF(AO2722&lt;2,"1.5～1.9","2.0以上"))))))</f>
        <v/>
      </c>
      <c r="AQ2722" s="8" t="str">
        <f aca="false">IF(A2722="","",IF(ISNUMBER(SEARCH("2歳",Z2722)),"2歳戦",IF(ISNUMBER(SEARCH("3歳未勝利",Z2722)),"3歳未勝利",IF(ISNUMBER(SEARCH("未勝利",Z2722)),"その他未勝利",IF(ISNUMBER(SEARCH("G1",Z2722)),"G1",IF(ISNUMBER(SEARCH("G2",Z2722)),"G2",IF(ISNUMBER(SEARCH("G3",Z2722)),"G3",IF(ISNUMBER(SEARCH("古馬条件",Z2722)),"古馬条件戦",IF(ISNUMBER(SEARCH("重賞",Z2722)),"重賞","分類不能")))))))))</f>
        <v/>
      </c>
    </row>
    <row r="2723" customFormat="false" ht="15.75" hidden="false" customHeight="false" outlineLevel="0" collapsed="false">
      <c r="AO2723" s="8" t="str">
        <f aca="false">IF(A2723="","",IF(COUNTIFS(全馬データ!$A$2:$A$50000,A2723,全馬データ!$B$2:$B$50000,B2723,全馬データ!$C$2:$C$50000,C2723,全馬データ!$D$2:$D$50000,E2723,全馬データ!$K$2:$K$50000,"&lt;&gt;")=0,"",SUMIFS(全馬データ!$K$2:$K$50000,全馬データ!$A$2:$A$50000,A2723,全馬データ!$B$2:$B$50000,B2723,全馬データ!$C$2:$C$50000,C2723,全馬データ!$D$2:$D$50000,E2723)))</f>
        <v/>
      </c>
      <c r="AP2723" s="8" t="str">
        <f aca="false">IF(A2723="","",IF(AO2723="","欠損",IF(AO2723&lt;=1.1,"1.0～1.1",IF(AO2723&lt;1.3,"1.2",IF(AO2723&lt;1.5,"1.3～1.4",IF(AO2723&lt;2,"1.5～1.9","2.0以上"))))))</f>
        <v/>
      </c>
      <c r="AQ2723" s="8" t="str">
        <f aca="false">IF(A2723="","",IF(ISNUMBER(SEARCH("2歳",Z2723)),"2歳戦",IF(ISNUMBER(SEARCH("3歳未勝利",Z2723)),"3歳未勝利",IF(ISNUMBER(SEARCH("未勝利",Z2723)),"その他未勝利",IF(ISNUMBER(SEARCH("G1",Z2723)),"G1",IF(ISNUMBER(SEARCH("G2",Z2723)),"G2",IF(ISNUMBER(SEARCH("G3",Z2723)),"G3",IF(ISNUMBER(SEARCH("古馬条件",Z2723)),"古馬条件戦",IF(ISNUMBER(SEARCH("重賞",Z2723)),"重賞","分類不能")))))))))</f>
        <v/>
      </c>
    </row>
    <row r="2724" customFormat="false" ht="15.75" hidden="false" customHeight="false" outlineLevel="0" collapsed="false">
      <c r="AO2724" s="8" t="str">
        <f aca="false">IF(A2724="","",IF(COUNTIFS(全馬データ!$A$2:$A$50000,A2724,全馬データ!$B$2:$B$50000,B2724,全馬データ!$C$2:$C$50000,C2724,全馬データ!$D$2:$D$50000,E2724,全馬データ!$K$2:$K$50000,"&lt;&gt;")=0,"",SUMIFS(全馬データ!$K$2:$K$50000,全馬データ!$A$2:$A$50000,A2724,全馬データ!$B$2:$B$50000,B2724,全馬データ!$C$2:$C$50000,C2724,全馬データ!$D$2:$D$50000,E2724)))</f>
        <v/>
      </c>
      <c r="AP2724" s="8" t="str">
        <f aca="false">IF(A2724="","",IF(AO2724="","欠損",IF(AO2724&lt;=1.1,"1.0～1.1",IF(AO2724&lt;1.3,"1.2",IF(AO2724&lt;1.5,"1.3～1.4",IF(AO2724&lt;2,"1.5～1.9","2.0以上"))))))</f>
        <v/>
      </c>
      <c r="AQ2724" s="8" t="str">
        <f aca="false">IF(A2724="","",IF(ISNUMBER(SEARCH("2歳",Z2724)),"2歳戦",IF(ISNUMBER(SEARCH("3歳未勝利",Z2724)),"3歳未勝利",IF(ISNUMBER(SEARCH("未勝利",Z2724)),"その他未勝利",IF(ISNUMBER(SEARCH("G1",Z2724)),"G1",IF(ISNUMBER(SEARCH("G2",Z2724)),"G2",IF(ISNUMBER(SEARCH("G3",Z2724)),"G3",IF(ISNUMBER(SEARCH("古馬条件",Z2724)),"古馬条件戦",IF(ISNUMBER(SEARCH("重賞",Z2724)),"重賞","分類不能")))))))))</f>
        <v/>
      </c>
    </row>
    <row r="2725" customFormat="false" ht="15.75" hidden="false" customHeight="false" outlineLevel="0" collapsed="false">
      <c r="AO2725" s="8" t="str">
        <f aca="false">IF(A2725="","",IF(COUNTIFS(全馬データ!$A$2:$A$50000,A2725,全馬データ!$B$2:$B$50000,B2725,全馬データ!$C$2:$C$50000,C2725,全馬データ!$D$2:$D$50000,E2725,全馬データ!$K$2:$K$50000,"&lt;&gt;")=0,"",SUMIFS(全馬データ!$K$2:$K$50000,全馬データ!$A$2:$A$50000,A2725,全馬データ!$B$2:$B$50000,B2725,全馬データ!$C$2:$C$50000,C2725,全馬データ!$D$2:$D$50000,E2725)))</f>
        <v/>
      </c>
      <c r="AP2725" s="8" t="str">
        <f aca="false">IF(A2725="","",IF(AO2725="","欠損",IF(AO2725&lt;=1.1,"1.0～1.1",IF(AO2725&lt;1.3,"1.2",IF(AO2725&lt;1.5,"1.3～1.4",IF(AO2725&lt;2,"1.5～1.9","2.0以上"))))))</f>
        <v/>
      </c>
      <c r="AQ2725" s="8" t="str">
        <f aca="false">IF(A2725="","",IF(ISNUMBER(SEARCH("2歳",Z2725)),"2歳戦",IF(ISNUMBER(SEARCH("3歳未勝利",Z2725)),"3歳未勝利",IF(ISNUMBER(SEARCH("未勝利",Z2725)),"その他未勝利",IF(ISNUMBER(SEARCH("G1",Z2725)),"G1",IF(ISNUMBER(SEARCH("G2",Z2725)),"G2",IF(ISNUMBER(SEARCH("G3",Z2725)),"G3",IF(ISNUMBER(SEARCH("古馬条件",Z2725)),"古馬条件戦",IF(ISNUMBER(SEARCH("重賞",Z2725)),"重賞","分類不能")))))))))</f>
        <v/>
      </c>
    </row>
    <row r="2726" customFormat="false" ht="15.75" hidden="false" customHeight="false" outlineLevel="0" collapsed="false">
      <c r="AO2726" s="8" t="str">
        <f aca="false">IF(A2726="","",IF(COUNTIFS(全馬データ!$A$2:$A$50000,A2726,全馬データ!$B$2:$B$50000,B2726,全馬データ!$C$2:$C$50000,C2726,全馬データ!$D$2:$D$50000,E2726,全馬データ!$K$2:$K$50000,"&lt;&gt;")=0,"",SUMIFS(全馬データ!$K$2:$K$50000,全馬データ!$A$2:$A$50000,A2726,全馬データ!$B$2:$B$50000,B2726,全馬データ!$C$2:$C$50000,C2726,全馬データ!$D$2:$D$50000,E2726)))</f>
        <v/>
      </c>
      <c r="AP2726" s="8" t="str">
        <f aca="false">IF(A2726="","",IF(AO2726="","欠損",IF(AO2726&lt;=1.1,"1.0～1.1",IF(AO2726&lt;1.3,"1.2",IF(AO2726&lt;1.5,"1.3～1.4",IF(AO2726&lt;2,"1.5～1.9","2.0以上"))))))</f>
        <v/>
      </c>
      <c r="AQ2726" s="8" t="str">
        <f aca="false">IF(A2726="","",IF(ISNUMBER(SEARCH("2歳",Z2726)),"2歳戦",IF(ISNUMBER(SEARCH("3歳未勝利",Z2726)),"3歳未勝利",IF(ISNUMBER(SEARCH("未勝利",Z2726)),"その他未勝利",IF(ISNUMBER(SEARCH("G1",Z2726)),"G1",IF(ISNUMBER(SEARCH("G2",Z2726)),"G2",IF(ISNUMBER(SEARCH("G3",Z2726)),"G3",IF(ISNUMBER(SEARCH("古馬条件",Z2726)),"古馬条件戦",IF(ISNUMBER(SEARCH("重賞",Z2726)),"重賞","分類不能")))))))))</f>
        <v/>
      </c>
    </row>
    <row r="2727" customFormat="false" ht="15.75" hidden="false" customHeight="false" outlineLevel="0" collapsed="false">
      <c r="AO2727" s="8" t="str">
        <f aca="false">IF(A2727="","",IF(COUNTIFS(全馬データ!$A$2:$A$50000,A2727,全馬データ!$B$2:$B$50000,B2727,全馬データ!$C$2:$C$50000,C2727,全馬データ!$D$2:$D$50000,E2727,全馬データ!$K$2:$K$50000,"&lt;&gt;")=0,"",SUMIFS(全馬データ!$K$2:$K$50000,全馬データ!$A$2:$A$50000,A2727,全馬データ!$B$2:$B$50000,B2727,全馬データ!$C$2:$C$50000,C2727,全馬データ!$D$2:$D$50000,E2727)))</f>
        <v/>
      </c>
      <c r="AP2727" s="8" t="str">
        <f aca="false">IF(A2727="","",IF(AO2727="","欠損",IF(AO2727&lt;=1.1,"1.0～1.1",IF(AO2727&lt;1.3,"1.2",IF(AO2727&lt;1.5,"1.3～1.4",IF(AO2727&lt;2,"1.5～1.9","2.0以上"))))))</f>
        <v/>
      </c>
      <c r="AQ2727" s="8" t="str">
        <f aca="false">IF(A2727="","",IF(ISNUMBER(SEARCH("2歳",Z2727)),"2歳戦",IF(ISNUMBER(SEARCH("3歳未勝利",Z2727)),"3歳未勝利",IF(ISNUMBER(SEARCH("未勝利",Z2727)),"その他未勝利",IF(ISNUMBER(SEARCH("G1",Z2727)),"G1",IF(ISNUMBER(SEARCH("G2",Z2727)),"G2",IF(ISNUMBER(SEARCH("G3",Z2727)),"G3",IF(ISNUMBER(SEARCH("古馬条件",Z2727)),"古馬条件戦",IF(ISNUMBER(SEARCH("重賞",Z2727)),"重賞","分類不能")))))))))</f>
        <v/>
      </c>
    </row>
    <row r="2728" customFormat="false" ht="15.75" hidden="false" customHeight="false" outlineLevel="0" collapsed="false">
      <c r="AO2728" s="8" t="str">
        <f aca="false">IF(A2728="","",IF(COUNTIFS(全馬データ!$A$2:$A$50000,A2728,全馬データ!$B$2:$B$50000,B2728,全馬データ!$C$2:$C$50000,C2728,全馬データ!$D$2:$D$50000,E2728,全馬データ!$K$2:$K$50000,"&lt;&gt;")=0,"",SUMIFS(全馬データ!$K$2:$K$50000,全馬データ!$A$2:$A$50000,A2728,全馬データ!$B$2:$B$50000,B2728,全馬データ!$C$2:$C$50000,C2728,全馬データ!$D$2:$D$50000,E2728)))</f>
        <v/>
      </c>
      <c r="AP2728" s="8" t="str">
        <f aca="false">IF(A2728="","",IF(AO2728="","欠損",IF(AO2728&lt;=1.1,"1.0～1.1",IF(AO2728&lt;1.3,"1.2",IF(AO2728&lt;1.5,"1.3～1.4",IF(AO2728&lt;2,"1.5～1.9","2.0以上"))))))</f>
        <v/>
      </c>
      <c r="AQ2728" s="8" t="str">
        <f aca="false">IF(A2728="","",IF(ISNUMBER(SEARCH("2歳",Z2728)),"2歳戦",IF(ISNUMBER(SEARCH("3歳未勝利",Z2728)),"3歳未勝利",IF(ISNUMBER(SEARCH("未勝利",Z2728)),"その他未勝利",IF(ISNUMBER(SEARCH("G1",Z2728)),"G1",IF(ISNUMBER(SEARCH("G2",Z2728)),"G2",IF(ISNUMBER(SEARCH("G3",Z2728)),"G3",IF(ISNUMBER(SEARCH("古馬条件",Z2728)),"古馬条件戦",IF(ISNUMBER(SEARCH("重賞",Z2728)),"重賞","分類不能")))))))))</f>
        <v/>
      </c>
    </row>
    <row r="2729" customFormat="false" ht="15.75" hidden="false" customHeight="false" outlineLevel="0" collapsed="false">
      <c r="AO2729" s="8" t="str">
        <f aca="false">IF(A2729="","",IF(COUNTIFS(全馬データ!$A$2:$A$50000,A2729,全馬データ!$B$2:$B$50000,B2729,全馬データ!$C$2:$C$50000,C2729,全馬データ!$D$2:$D$50000,E2729,全馬データ!$K$2:$K$50000,"&lt;&gt;")=0,"",SUMIFS(全馬データ!$K$2:$K$50000,全馬データ!$A$2:$A$50000,A2729,全馬データ!$B$2:$B$50000,B2729,全馬データ!$C$2:$C$50000,C2729,全馬データ!$D$2:$D$50000,E2729)))</f>
        <v/>
      </c>
      <c r="AP2729" s="8" t="str">
        <f aca="false">IF(A2729="","",IF(AO2729="","欠損",IF(AO2729&lt;=1.1,"1.0～1.1",IF(AO2729&lt;1.3,"1.2",IF(AO2729&lt;1.5,"1.3～1.4",IF(AO2729&lt;2,"1.5～1.9","2.0以上"))))))</f>
        <v/>
      </c>
      <c r="AQ2729" s="8" t="str">
        <f aca="false">IF(A2729="","",IF(ISNUMBER(SEARCH("2歳",Z2729)),"2歳戦",IF(ISNUMBER(SEARCH("3歳未勝利",Z2729)),"3歳未勝利",IF(ISNUMBER(SEARCH("未勝利",Z2729)),"その他未勝利",IF(ISNUMBER(SEARCH("G1",Z2729)),"G1",IF(ISNUMBER(SEARCH("G2",Z2729)),"G2",IF(ISNUMBER(SEARCH("G3",Z2729)),"G3",IF(ISNUMBER(SEARCH("古馬条件",Z2729)),"古馬条件戦",IF(ISNUMBER(SEARCH("重賞",Z2729)),"重賞","分類不能")))))))))</f>
        <v/>
      </c>
    </row>
    <row r="2730" customFormat="false" ht="15.75" hidden="false" customHeight="false" outlineLevel="0" collapsed="false">
      <c r="AO2730" s="8" t="str">
        <f aca="false">IF(A2730="","",IF(COUNTIFS(全馬データ!$A$2:$A$50000,A2730,全馬データ!$B$2:$B$50000,B2730,全馬データ!$C$2:$C$50000,C2730,全馬データ!$D$2:$D$50000,E2730,全馬データ!$K$2:$K$50000,"&lt;&gt;")=0,"",SUMIFS(全馬データ!$K$2:$K$50000,全馬データ!$A$2:$A$50000,A2730,全馬データ!$B$2:$B$50000,B2730,全馬データ!$C$2:$C$50000,C2730,全馬データ!$D$2:$D$50000,E2730)))</f>
        <v/>
      </c>
      <c r="AP2730" s="8" t="str">
        <f aca="false">IF(A2730="","",IF(AO2730="","欠損",IF(AO2730&lt;=1.1,"1.0～1.1",IF(AO2730&lt;1.3,"1.2",IF(AO2730&lt;1.5,"1.3～1.4",IF(AO2730&lt;2,"1.5～1.9","2.0以上"))))))</f>
        <v/>
      </c>
      <c r="AQ2730" s="8" t="str">
        <f aca="false">IF(A2730="","",IF(ISNUMBER(SEARCH("2歳",Z2730)),"2歳戦",IF(ISNUMBER(SEARCH("3歳未勝利",Z2730)),"3歳未勝利",IF(ISNUMBER(SEARCH("未勝利",Z2730)),"その他未勝利",IF(ISNUMBER(SEARCH("G1",Z2730)),"G1",IF(ISNUMBER(SEARCH("G2",Z2730)),"G2",IF(ISNUMBER(SEARCH("G3",Z2730)),"G3",IF(ISNUMBER(SEARCH("古馬条件",Z2730)),"古馬条件戦",IF(ISNUMBER(SEARCH("重賞",Z2730)),"重賞","分類不能")))))))))</f>
        <v/>
      </c>
    </row>
    <row r="2731" customFormat="false" ht="15.75" hidden="false" customHeight="false" outlineLevel="0" collapsed="false">
      <c r="AO2731" s="8" t="str">
        <f aca="false">IF(A2731="","",IF(COUNTIFS(全馬データ!$A$2:$A$50000,A2731,全馬データ!$B$2:$B$50000,B2731,全馬データ!$C$2:$C$50000,C2731,全馬データ!$D$2:$D$50000,E2731,全馬データ!$K$2:$K$50000,"&lt;&gt;")=0,"",SUMIFS(全馬データ!$K$2:$K$50000,全馬データ!$A$2:$A$50000,A2731,全馬データ!$B$2:$B$50000,B2731,全馬データ!$C$2:$C$50000,C2731,全馬データ!$D$2:$D$50000,E2731)))</f>
        <v/>
      </c>
      <c r="AP2731" s="8" t="str">
        <f aca="false">IF(A2731="","",IF(AO2731="","欠損",IF(AO2731&lt;=1.1,"1.0～1.1",IF(AO2731&lt;1.3,"1.2",IF(AO2731&lt;1.5,"1.3～1.4",IF(AO2731&lt;2,"1.5～1.9","2.0以上"))))))</f>
        <v/>
      </c>
      <c r="AQ2731" s="8" t="str">
        <f aca="false">IF(A2731="","",IF(ISNUMBER(SEARCH("2歳",Z2731)),"2歳戦",IF(ISNUMBER(SEARCH("3歳未勝利",Z2731)),"3歳未勝利",IF(ISNUMBER(SEARCH("未勝利",Z2731)),"その他未勝利",IF(ISNUMBER(SEARCH("G1",Z2731)),"G1",IF(ISNUMBER(SEARCH("G2",Z2731)),"G2",IF(ISNUMBER(SEARCH("G3",Z2731)),"G3",IF(ISNUMBER(SEARCH("古馬条件",Z2731)),"古馬条件戦",IF(ISNUMBER(SEARCH("重賞",Z2731)),"重賞","分類不能")))))))))</f>
        <v/>
      </c>
    </row>
    <row r="2732" customFormat="false" ht="15.75" hidden="false" customHeight="false" outlineLevel="0" collapsed="false">
      <c r="AO2732" s="8" t="str">
        <f aca="false">IF(A2732="","",IF(COUNTIFS(全馬データ!$A$2:$A$50000,A2732,全馬データ!$B$2:$B$50000,B2732,全馬データ!$C$2:$C$50000,C2732,全馬データ!$D$2:$D$50000,E2732,全馬データ!$K$2:$K$50000,"&lt;&gt;")=0,"",SUMIFS(全馬データ!$K$2:$K$50000,全馬データ!$A$2:$A$50000,A2732,全馬データ!$B$2:$B$50000,B2732,全馬データ!$C$2:$C$50000,C2732,全馬データ!$D$2:$D$50000,E2732)))</f>
        <v/>
      </c>
      <c r="AP2732" s="8" t="str">
        <f aca="false">IF(A2732="","",IF(AO2732="","欠損",IF(AO2732&lt;=1.1,"1.0～1.1",IF(AO2732&lt;1.3,"1.2",IF(AO2732&lt;1.5,"1.3～1.4",IF(AO2732&lt;2,"1.5～1.9","2.0以上"))))))</f>
        <v/>
      </c>
      <c r="AQ2732" s="8" t="str">
        <f aca="false">IF(A2732="","",IF(ISNUMBER(SEARCH("2歳",Z2732)),"2歳戦",IF(ISNUMBER(SEARCH("3歳未勝利",Z2732)),"3歳未勝利",IF(ISNUMBER(SEARCH("未勝利",Z2732)),"その他未勝利",IF(ISNUMBER(SEARCH("G1",Z2732)),"G1",IF(ISNUMBER(SEARCH("G2",Z2732)),"G2",IF(ISNUMBER(SEARCH("G3",Z2732)),"G3",IF(ISNUMBER(SEARCH("古馬条件",Z2732)),"古馬条件戦",IF(ISNUMBER(SEARCH("重賞",Z2732)),"重賞","分類不能")))))))))</f>
        <v/>
      </c>
    </row>
    <row r="2733" customFormat="false" ht="15.75" hidden="false" customHeight="false" outlineLevel="0" collapsed="false">
      <c r="AO2733" s="8" t="str">
        <f aca="false">IF(A2733="","",IF(COUNTIFS(全馬データ!$A$2:$A$50000,A2733,全馬データ!$B$2:$B$50000,B2733,全馬データ!$C$2:$C$50000,C2733,全馬データ!$D$2:$D$50000,E2733,全馬データ!$K$2:$K$50000,"&lt;&gt;")=0,"",SUMIFS(全馬データ!$K$2:$K$50000,全馬データ!$A$2:$A$50000,A2733,全馬データ!$B$2:$B$50000,B2733,全馬データ!$C$2:$C$50000,C2733,全馬データ!$D$2:$D$50000,E2733)))</f>
        <v/>
      </c>
      <c r="AP2733" s="8" t="str">
        <f aca="false">IF(A2733="","",IF(AO2733="","欠損",IF(AO2733&lt;=1.1,"1.0～1.1",IF(AO2733&lt;1.3,"1.2",IF(AO2733&lt;1.5,"1.3～1.4",IF(AO2733&lt;2,"1.5～1.9","2.0以上"))))))</f>
        <v/>
      </c>
      <c r="AQ2733" s="8" t="str">
        <f aca="false">IF(A2733="","",IF(ISNUMBER(SEARCH("2歳",Z2733)),"2歳戦",IF(ISNUMBER(SEARCH("3歳未勝利",Z2733)),"3歳未勝利",IF(ISNUMBER(SEARCH("未勝利",Z2733)),"その他未勝利",IF(ISNUMBER(SEARCH("G1",Z2733)),"G1",IF(ISNUMBER(SEARCH("G2",Z2733)),"G2",IF(ISNUMBER(SEARCH("G3",Z2733)),"G3",IF(ISNUMBER(SEARCH("古馬条件",Z2733)),"古馬条件戦",IF(ISNUMBER(SEARCH("重賞",Z2733)),"重賞","分類不能")))))))))</f>
        <v/>
      </c>
    </row>
    <row r="2734" customFormat="false" ht="15.75" hidden="false" customHeight="false" outlineLevel="0" collapsed="false">
      <c r="AO2734" s="8" t="str">
        <f aca="false">IF(A2734="","",IF(COUNTIFS(全馬データ!$A$2:$A$50000,A2734,全馬データ!$B$2:$B$50000,B2734,全馬データ!$C$2:$C$50000,C2734,全馬データ!$D$2:$D$50000,E2734,全馬データ!$K$2:$K$50000,"&lt;&gt;")=0,"",SUMIFS(全馬データ!$K$2:$K$50000,全馬データ!$A$2:$A$50000,A2734,全馬データ!$B$2:$B$50000,B2734,全馬データ!$C$2:$C$50000,C2734,全馬データ!$D$2:$D$50000,E2734)))</f>
        <v/>
      </c>
      <c r="AP2734" s="8" t="str">
        <f aca="false">IF(A2734="","",IF(AO2734="","欠損",IF(AO2734&lt;=1.1,"1.0～1.1",IF(AO2734&lt;1.3,"1.2",IF(AO2734&lt;1.5,"1.3～1.4",IF(AO2734&lt;2,"1.5～1.9","2.0以上"))))))</f>
        <v/>
      </c>
      <c r="AQ2734" s="8" t="str">
        <f aca="false">IF(A2734="","",IF(ISNUMBER(SEARCH("2歳",Z2734)),"2歳戦",IF(ISNUMBER(SEARCH("3歳未勝利",Z2734)),"3歳未勝利",IF(ISNUMBER(SEARCH("未勝利",Z2734)),"その他未勝利",IF(ISNUMBER(SEARCH("G1",Z2734)),"G1",IF(ISNUMBER(SEARCH("G2",Z2734)),"G2",IF(ISNUMBER(SEARCH("G3",Z2734)),"G3",IF(ISNUMBER(SEARCH("古馬条件",Z2734)),"古馬条件戦",IF(ISNUMBER(SEARCH("重賞",Z2734)),"重賞","分類不能")))))))))</f>
        <v/>
      </c>
    </row>
    <row r="2735" customFormat="false" ht="15.75" hidden="false" customHeight="false" outlineLevel="0" collapsed="false">
      <c r="AO2735" s="8" t="str">
        <f aca="false">IF(A2735="","",IF(COUNTIFS(全馬データ!$A$2:$A$50000,A2735,全馬データ!$B$2:$B$50000,B2735,全馬データ!$C$2:$C$50000,C2735,全馬データ!$D$2:$D$50000,E2735,全馬データ!$K$2:$K$50000,"&lt;&gt;")=0,"",SUMIFS(全馬データ!$K$2:$K$50000,全馬データ!$A$2:$A$50000,A2735,全馬データ!$B$2:$B$50000,B2735,全馬データ!$C$2:$C$50000,C2735,全馬データ!$D$2:$D$50000,E2735)))</f>
        <v/>
      </c>
      <c r="AP2735" s="8" t="str">
        <f aca="false">IF(A2735="","",IF(AO2735="","欠損",IF(AO2735&lt;=1.1,"1.0～1.1",IF(AO2735&lt;1.3,"1.2",IF(AO2735&lt;1.5,"1.3～1.4",IF(AO2735&lt;2,"1.5～1.9","2.0以上"))))))</f>
        <v/>
      </c>
      <c r="AQ2735" s="8" t="str">
        <f aca="false">IF(A2735="","",IF(ISNUMBER(SEARCH("2歳",Z2735)),"2歳戦",IF(ISNUMBER(SEARCH("3歳未勝利",Z2735)),"3歳未勝利",IF(ISNUMBER(SEARCH("未勝利",Z2735)),"その他未勝利",IF(ISNUMBER(SEARCH("G1",Z2735)),"G1",IF(ISNUMBER(SEARCH("G2",Z2735)),"G2",IF(ISNUMBER(SEARCH("G3",Z2735)),"G3",IF(ISNUMBER(SEARCH("古馬条件",Z2735)),"古馬条件戦",IF(ISNUMBER(SEARCH("重賞",Z2735)),"重賞","分類不能")))))))))</f>
        <v/>
      </c>
    </row>
    <row r="2736" customFormat="false" ht="15.75" hidden="false" customHeight="false" outlineLevel="0" collapsed="false">
      <c r="AO2736" s="8" t="str">
        <f aca="false">IF(A2736="","",IF(COUNTIFS(全馬データ!$A$2:$A$50000,A2736,全馬データ!$B$2:$B$50000,B2736,全馬データ!$C$2:$C$50000,C2736,全馬データ!$D$2:$D$50000,E2736,全馬データ!$K$2:$K$50000,"&lt;&gt;")=0,"",SUMIFS(全馬データ!$K$2:$K$50000,全馬データ!$A$2:$A$50000,A2736,全馬データ!$B$2:$B$50000,B2736,全馬データ!$C$2:$C$50000,C2736,全馬データ!$D$2:$D$50000,E2736)))</f>
        <v/>
      </c>
      <c r="AP2736" s="8" t="str">
        <f aca="false">IF(A2736="","",IF(AO2736="","欠損",IF(AO2736&lt;=1.1,"1.0～1.1",IF(AO2736&lt;1.3,"1.2",IF(AO2736&lt;1.5,"1.3～1.4",IF(AO2736&lt;2,"1.5～1.9","2.0以上"))))))</f>
        <v/>
      </c>
      <c r="AQ2736" s="8" t="str">
        <f aca="false">IF(A2736="","",IF(ISNUMBER(SEARCH("2歳",Z2736)),"2歳戦",IF(ISNUMBER(SEARCH("3歳未勝利",Z2736)),"3歳未勝利",IF(ISNUMBER(SEARCH("未勝利",Z2736)),"その他未勝利",IF(ISNUMBER(SEARCH("G1",Z2736)),"G1",IF(ISNUMBER(SEARCH("G2",Z2736)),"G2",IF(ISNUMBER(SEARCH("G3",Z2736)),"G3",IF(ISNUMBER(SEARCH("古馬条件",Z2736)),"古馬条件戦",IF(ISNUMBER(SEARCH("重賞",Z2736)),"重賞","分類不能")))))))))</f>
        <v/>
      </c>
    </row>
    <row r="2737" customFormat="false" ht="15.75" hidden="false" customHeight="false" outlineLevel="0" collapsed="false">
      <c r="AO2737" s="8" t="str">
        <f aca="false">IF(A2737="","",IF(COUNTIFS(全馬データ!$A$2:$A$50000,A2737,全馬データ!$B$2:$B$50000,B2737,全馬データ!$C$2:$C$50000,C2737,全馬データ!$D$2:$D$50000,E2737,全馬データ!$K$2:$K$50000,"&lt;&gt;")=0,"",SUMIFS(全馬データ!$K$2:$K$50000,全馬データ!$A$2:$A$50000,A2737,全馬データ!$B$2:$B$50000,B2737,全馬データ!$C$2:$C$50000,C2737,全馬データ!$D$2:$D$50000,E2737)))</f>
        <v/>
      </c>
      <c r="AP2737" s="8" t="str">
        <f aca="false">IF(A2737="","",IF(AO2737="","欠損",IF(AO2737&lt;=1.1,"1.0～1.1",IF(AO2737&lt;1.3,"1.2",IF(AO2737&lt;1.5,"1.3～1.4",IF(AO2737&lt;2,"1.5～1.9","2.0以上"))))))</f>
        <v/>
      </c>
      <c r="AQ2737" s="8" t="str">
        <f aca="false">IF(A2737="","",IF(ISNUMBER(SEARCH("2歳",Z2737)),"2歳戦",IF(ISNUMBER(SEARCH("3歳未勝利",Z2737)),"3歳未勝利",IF(ISNUMBER(SEARCH("未勝利",Z2737)),"その他未勝利",IF(ISNUMBER(SEARCH("G1",Z2737)),"G1",IF(ISNUMBER(SEARCH("G2",Z2737)),"G2",IF(ISNUMBER(SEARCH("G3",Z2737)),"G3",IF(ISNUMBER(SEARCH("古馬条件",Z2737)),"古馬条件戦",IF(ISNUMBER(SEARCH("重賞",Z2737)),"重賞","分類不能")))))))))</f>
        <v/>
      </c>
    </row>
    <row r="2738" customFormat="false" ht="15.75" hidden="false" customHeight="false" outlineLevel="0" collapsed="false">
      <c r="AO2738" s="8" t="str">
        <f aca="false">IF(A2738="","",IF(COUNTIFS(全馬データ!$A$2:$A$50000,A2738,全馬データ!$B$2:$B$50000,B2738,全馬データ!$C$2:$C$50000,C2738,全馬データ!$D$2:$D$50000,E2738,全馬データ!$K$2:$K$50000,"&lt;&gt;")=0,"",SUMIFS(全馬データ!$K$2:$K$50000,全馬データ!$A$2:$A$50000,A2738,全馬データ!$B$2:$B$50000,B2738,全馬データ!$C$2:$C$50000,C2738,全馬データ!$D$2:$D$50000,E2738)))</f>
        <v/>
      </c>
      <c r="AP2738" s="8" t="str">
        <f aca="false">IF(A2738="","",IF(AO2738="","欠損",IF(AO2738&lt;=1.1,"1.0～1.1",IF(AO2738&lt;1.3,"1.2",IF(AO2738&lt;1.5,"1.3～1.4",IF(AO2738&lt;2,"1.5～1.9","2.0以上"))))))</f>
        <v/>
      </c>
      <c r="AQ2738" s="8" t="str">
        <f aca="false">IF(A2738="","",IF(ISNUMBER(SEARCH("2歳",Z2738)),"2歳戦",IF(ISNUMBER(SEARCH("3歳未勝利",Z2738)),"3歳未勝利",IF(ISNUMBER(SEARCH("未勝利",Z2738)),"その他未勝利",IF(ISNUMBER(SEARCH("G1",Z2738)),"G1",IF(ISNUMBER(SEARCH("G2",Z2738)),"G2",IF(ISNUMBER(SEARCH("G3",Z2738)),"G3",IF(ISNUMBER(SEARCH("古馬条件",Z2738)),"古馬条件戦",IF(ISNUMBER(SEARCH("重賞",Z2738)),"重賞","分類不能")))))))))</f>
        <v/>
      </c>
    </row>
    <row r="2739" customFormat="false" ht="15.75" hidden="false" customHeight="false" outlineLevel="0" collapsed="false">
      <c r="AO2739" s="8" t="str">
        <f aca="false">IF(A2739="","",IF(COUNTIFS(全馬データ!$A$2:$A$50000,A2739,全馬データ!$B$2:$B$50000,B2739,全馬データ!$C$2:$C$50000,C2739,全馬データ!$D$2:$D$50000,E2739,全馬データ!$K$2:$K$50000,"&lt;&gt;")=0,"",SUMIFS(全馬データ!$K$2:$K$50000,全馬データ!$A$2:$A$50000,A2739,全馬データ!$B$2:$B$50000,B2739,全馬データ!$C$2:$C$50000,C2739,全馬データ!$D$2:$D$50000,E2739)))</f>
        <v/>
      </c>
      <c r="AP2739" s="8" t="str">
        <f aca="false">IF(A2739="","",IF(AO2739="","欠損",IF(AO2739&lt;=1.1,"1.0～1.1",IF(AO2739&lt;1.3,"1.2",IF(AO2739&lt;1.5,"1.3～1.4",IF(AO2739&lt;2,"1.5～1.9","2.0以上"))))))</f>
        <v/>
      </c>
      <c r="AQ2739" s="8" t="str">
        <f aca="false">IF(A2739="","",IF(ISNUMBER(SEARCH("2歳",Z2739)),"2歳戦",IF(ISNUMBER(SEARCH("3歳未勝利",Z2739)),"3歳未勝利",IF(ISNUMBER(SEARCH("未勝利",Z2739)),"その他未勝利",IF(ISNUMBER(SEARCH("G1",Z2739)),"G1",IF(ISNUMBER(SEARCH("G2",Z2739)),"G2",IF(ISNUMBER(SEARCH("G3",Z2739)),"G3",IF(ISNUMBER(SEARCH("古馬条件",Z2739)),"古馬条件戦",IF(ISNUMBER(SEARCH("重賞",Z2739)),"重賞","分類不能")))))))))</f>
        <v/>
      </c>
    </row>
    <row r="2740" customFormat="false" ht="15.75" hidden="false" customHeight="false" outlineLevel="0" collapsed="false">
      <c r="AO2740" s="8" t="str">
        <f aca="false">IF(A2740="","",IF(COUNTIFS(全馬データ!$A$2:$A$50000,A2740,全馬データ!$B$2:$B$50000,B2740,全馬データ!$C$2:$C$50000,C2740,全馬データ!$D$2:$D$50000,E2740,全馬データ!$K$2:$K$50000,"&lt;&gt;")=0,"",SUMIFS(全馬データ!$K$2:$K$50000,全馬データ!$A$2:$A$50000,A2740,全馬データ!$B$2:$B$50000,B2740,全馬データ!$C$2:$C$50000,C2740,全馬データ!$D$2:$D$50000,E2740)))</f>
        <v/>
      </c>
      <c r="AP2740" s="8" t="str">
        <f aca="false">IF(A2740="","",IF(AO2740="","欠損",IF(AO2740&lt;=1.1,"1.0～1.1",IF(AO2740&lt;1.3,"1.2",IF(AO2740&lt;1.5,"1.3～1.4",IF(AO2740&lt;2,"1.5～1.9","2.0以上"))))))</f>
        <v/>
      </c>
      <c r="AQ2740" s="8" t="str">
        <f aca="false">IF(A2740="","",IF(ISNUMBER(SEARCH("2歳",Z2740)),"2歳戦",IF(ISNUMBER(SEARCH("3歳未勝利",Z2740)),"3歳未勝利",IF(ISNUMBER(SEARCH("未勝利",Z2740)),"その他未勝利",IF(ISNUMBER(SEARCH("G1",Z2740)),"G1",IF(ISNUMBER(SEARCH("G2",Z2740)),"G2",IF(ISNUMBER(SEARCH("G3",Z2740)),"G3",IF(ISNUMBER(SEARCH("古馬条件",Z2740)),"古馬条件戦",IF(ISNUMBER(SEARCH("重賞",Z2740)),"重賞","分類不能")))))))))</f>
        <v/>
      </c>
    </row>
    <row r="2741" customFormat="false" ht="15.75" hidden="false" customHeight="false" outlineLevel="0" collapsed="false">
      <c r="AO2741" s="8" t="str">
        <f aca="false">IF(A2741="","",IF(COUNTIFS(全馬データ!$A$2:$A$50000,A2741,全馬データ!$B$2:$B$50000,B2741,全馬データ!$C$2:$C$50000,C2741,全馬データ!$D$2:$D$50000,E2741,全馬データ!$K$2:$K$50000,"&lt;&gt;")=0,"",SUMIFS(全馬データ!$K$2:$K$50000,全馬データ!$A$2:$A$50000,A2741,全馬データ!$B$2:$B$50000,B2741,全馬データ!$C$2:$C$50000,C2741,全馬データ!$D$2:$D$50000,E2741)))</f>
        <v/>
      </c>
      <c r="AP2741" s="8" t="str">
        <f aca="false">IF(A2741="","",IF(AO2741="","欠損",IF(AO2741&lt;=1.1,"1.0～1.1",IF(AO2741&lt;1.3,"1.2",IF(AO2741&lt;1.5,"1.3～1.4",IF(AO2741&lt;2,"1.5～1.9","2.0以上"))))))</f>
        <v/>
      </c>
      <c r="AQ2741" s="8" t="str">
        <f aca="false">IF(A2741="","",IF(ISNUMBER(SEARCH("2歳",Z2741)),"2歳戦",IF(ISNUMBER(SEARCH("3歳未勝利",Z2741)),"3歳未勝利",IF(ISNUMBER(SEARCH("未勝利",Z2741)),"その他未勝利",IF(ISNUMBER(SEARCH("G1",Z2741)),"G1",IF(ISNUMBER(SEARCH("G2",Z2741)),"G2",IF(ISNUMBER(SEARCH("G3",Z2741)),"G3",IF(ISNUMBER(SEARCH("古馬条件",Z2741)),"古馬条件戦",IF(ISNUMBER(SEARCH("重賞",Z2741)),"重賞","分類不能")))))))))</f>
        <v/>
      </c>
    </row>
    <row r="2742" customFormat="false" ht="15.75" hidden="false" customHeight="false" outlineLevel="0" collapsed="false">
      <c r="AO2742" s="8" t="str">
        <f aca="false">IF(A2742="","",IF(COUNTIFS(全馬データ!$A$2:$A$50000,A2742,全馬データ!$B$2:$B$50000,B2742,全馬データ!$C$2:$C$50000,C2742,全馬データ!$D$2:$D$50000,E2742,全馬データ!$K$2:$K$50000,"&lt;&gt;")=0,"",SUMIFS(全馬データ!$K$2:$K$50000,全馬データ!$A$2:$A$50000,A2742,全馬データ!$B$2:$B$50000,B2742,全馬データ!$C$2:$C$50000,C2742,全馬データ!$D$2:$D$50000,E2742)))</f>
        <v/>
      </c>
      <c r="AP2742" s="8" t="str">
        <f aca="false">IF(A2742="","",IF(AO2742="","欠損",IF(AO2742&lt;=1.1,"1.0～1.1",IF(AO2742&lt;1.3,"1.2",IF(AO2742&lt;1.5,"1.3～1.4",IF(AO2742&lt;2,"1.5～1.9","2.0以上"))))))</f>
        <v/>
      </c>
      <c r="AQ2742" s="8" t="str">
        <f aca="false">IF(A2742="","",IF(ISNUMBER(SEARCH("2歳",Z2742)),"2歳戦",IF(ISNUMBER(SEARCH("3歳未勝利",Z2742)),"3歳未勝利",IF(ISNUMBER(SEARCH("未勝利",Z2742)),"その他未勝利",IF(ISNUMBER(SEARCH("G1",Z2742)),"G1",IF(ISNUMBER(SEARCH("G2",Z2742)),"G2",IF(ISNUMBER(SEARCH("G3",Z2742)),"G3",IF(ISNUMBER(SEARCH("古馬条件",Z2742)),"古馬条件戦",IF(ISNUMBER(SEARCH("重賞",Z2742)),"重賞","分類不能")))))))))</f>
        <v/>
      </c>
    </row>
    <row r="2743" customFormat="false" ht="15.75" hidden="false" customHeight="false" outlineLevel="0" collapsed="false">
      <c r="AO2743" s="8" t="str">
        <f aca="false">IF(A2743="","",IF(COUNTIFS(全馬データ!$A$2:$A$50000,A2743,全馬データ!$B$2:$B$50000,B2743,全馬データ!$C$2:$C$50000,C2743,全馬データ!$D$2:$D$50000,E2743,全馬データ!$K$2:$K$50000,"&lt;&gt;")=0,"",SUMIFS(全馬データ!$K$2:$K$50000,全馬データ!$A$2:$A$50000,A2743,全馬データ!$B$2:$B$50000,B2743,全馬データ!$C$2:$C$50000,C2743,全馬データ!$D$2:$D$50000,E2743)))</f>
        <v/>
      </c>
      <c r="AP2743" s="8" t="str">
        <f aca="false">IF(A2743="","",IF(AO2743="","欠損",IF(AO2743&lt;=1.1,"1.0～1.1",IF(AO2743&lt;1.3,"1.2",IF(AO2743&lt;1.5,"1.3～1.4",IF(AO2743&lt;2,"1.5～1.9","2.0以上"))))))</f>
        <v/>
      </c>
      <c r="AQ2743" s="8" t="str">
        <f aca="false">IF(A2743="","",IF(ISNUMBER(SEARCH("2歳",Z2743)),"2歳戦",IF(ISNUMBER(SEARCH("3歳未勝利",Z2743)),"3歳未勝利",IF(ISNUMBER(SEARCH("未勝利",Z2743)),"その他未勝利",IF(ISNUMBER(SEARCH("G1",Z2743)),"G1",IF(ISNUMBER(SEARCH("G2",Z2743)),"G2",IF(ISNUMBER(SEARCH("G3",Z2743)),"G3",IF(ISNUMBER(SEARCH("古馬条件",Z2743)),"古馬条件戦",IF(ISNUMBER(SEARCH("重賞",Z2743)),"重賞","分類不能")))))))))</f>
        <v/>
      </c>
    </row>
    <row r="2744" customFormat="false" ht="15.75" hidden="false" customHeight="false" outlineLevel="0" collapsed="false">
      <c r="AO2744" s="8" t="str">
        <f aca="false">IF(A2744="","",IF(COUNTIFS(全馬データ!$A$2:$A$50000,A2744,全馬データ!$B$2:$B$50000,B2744,全馬データ!$C$2:$C$50000,C2744,全馬データ!$D$2:$D$50000,E2744,全馬データ!$K$2:$K$50000,"&lt;&gt;")=0,"",SUMIFS(全馬データ!$K$2:$K$50000,全馬データ!$A$2:$A$50000,A2744,全馬データ!$B$2:$B$50000,B2744,全馬データ!$C$2:$C$50000,C2744,全馬データ!$D$2:$D$50000,E2744)))</f>
        <v/>
      </c>
      <c r="AP2744" s="8" t="str">
        <f aca="false">IF(A2744="","",IF(AO2744="","欠損",IF(AO2744&lt;=1.1,"1.0～1.1",IF(AO2744&lt;1.3,"1.2",IF(AO2744&lt;1.5,"1.3～1.4",IF(AO2744&lt;2,"1.5～1.9","2.0以上"))))))</f>
        <v/>
      </c>
      <c r="AQ2744" s="8" t="str">
        <f aca="false">IF(A2744="","",IF(ISNUMBER(SEARCH("2歳",Z2744)),"2歳戦",IF(ISNUMBER(SEARCH("3歳未勝利",Z2744)),"3歳未勝利",IF(ISNUMBER(SEARCH("未勝利",Z2744)),"その他未勝利",IF(ISNUMBER(SEARCH("G1",Z2744)),"G1",IF(ISNUMBER(SEARCH("G2",Z2744)),"G2",IF(ISNUMBER(SEARCH("G3",Z2744)),"G3",IF(ISNUMBER(SEARCH("古馬条件",Z2744)),"古馬条件戦",IF(ISNUMBER(SEARCH("重賞",Z2744)),"重賞","分類不能")))))))))</f>
        <v/>
      </c>
    </row>
    <row r="2745" customFormat="false" ht="15.75" hidden="false" customHeight="false" outlineLevel="0" collapsed="false">
      <c r="AO2745" s="8" t="str">
        <f aca="false">IF(A2745="","",IF(COUNTIFS(全馬データ!$A$2:$A$50000,A2745,全馬データ!$B$2:$B$50000,B2745,全馬データ!$C$2:$C$50000,C2745,全馬データ!$D$2:$D$50000,E2745,全馬データ!$K$2:$K$50000,"&lt;&gt;")=0,"",SUMIFS(全馬データ!$K$2:$K$50000,全馬データ!$A$2:$A$50000,A2745,全馬データ!$B$2:$B$50000,B2745,全馬データ!$C$2:$C$50000,C2745,全馬データ!$D$2:$D$50000,E2745)))</f>
        <v/>
      </c>
      <c r="AP2745" s="8" t="str">
        <f aca="false">IF(A2745="","",IF(AO2745="","欠損",IF(AO2745&lt;=1.1,"1.0～1.1",IF(AO2745&lt;1.3,"1.2",IF(AO2745&lt;1.5,"1.3～1.4",IF(AO2745&lt;2,"1.5～1.9","2.0以上"))))))</f>
        <v/>
      </c>
      <c r="AQ2745" s="8" t="str">
        <f aca="false">IF(A2745="","",IF(ISNUMBER(SEARCH("2歳",Z2745)),"2歳戦",IF(ISNUMBER(SEARCH("3歳未勝利",Z2745)),"3歳未勝利",IF(ISNUMBER(SEARCH("未勝利",Z2745)),"その他未勝利",IF(ISNUMBER(SEARCH("G1",Z2745)),"G1",IF(ISNUMBER(SEARCH("G2",Z2745)),"G2",IF(ISNUMBER(SEARCH("G3",Z2745)),"G3",IF(ISNUMBER(SEARCH("古馬条件",Z2745)),"古馬条件戦",IF(ISNUMBER(SEARCH("重賞",Z2745)),"重賞","分類不能")))))))))</f>
        <v/>
      </c>
    </row>
    <row r="2746" customFormat="false" ht="15.75" hidden="false" customHeight="false" outlineLevel="0" collapsed="false">
      <c r="AO2746" s="8" t="str">
        <f aca="false">IF(A2746="","",IF(COUNTIFS(全馬データ!$A$2:$A$50000,A2746,全馬データ!$B$2:$B$50000,B2746,全馬データ!$C$2:$C$50000,C2746,全馬データ!$D$2:$D$50000,E2746,全馬データ!$K$2:$K$50000,"&lt;&gt;")=0,"",SUMIFS(全馬データ!$K$2:$K$50000,全馬データ!$A$2:$A$50000,A2746,全馬データ!$B$2:$B$50000,B2746,全馬データ!$C$2:$C$50000,C2746,全馬データ!$D$2:$D$50000,E2746)))</f>
        <v/>
      </c>
      <c r="AP2746" s="8" t="str">
        <f aca="false">IF(A2746="","",IF(AO2746="","欠損",IF(AO2746&lt;=1.1,"1.0～1.1",IF(AO2746&lt;1.3,"1.2",IF(AO2746&lt;1.5,"1.3～1.4",IF(AO2746&lt;2,"1.5～1.9","2.0以上"))))))</f>
        <v/>
      </c>
      <c r="AQ2746" s="8" t="str">
        <f aca="false">IF(A2746="","",IF(ISNUMBER(SEARCH("2歳",Z2746)),"2歳戦",IF(ISNUMBER(SEARCH("3歳未勝利",Z2746)),"3歳未勝利",IF(ISNUMBER(SEARCH("未勝利",Z2746)),"その他未勝利",IF(ISNUMBER(SEARCH("G1",Z2746)),"G1",IF(ISNUMBER(SEARCH("G2",Z2746)),"G2",IF(ISNUMBER(SEARCH("G3",Z2746)),"G3",IF(ISNUMBER(SEARCH("古馬条件",Z2746)),"古馬条件戦",IF(ISNUMBER(SEARCH("重賞",Z2746)),"重賞","分類不能")))))))))</f>
        <v/>
      </c>
    </row>
    <row r="2747" customFormat="false" ht="15.75" hidden="false" customHeight="false" outlineLevel="0" collapsed="false">
      <c r="AO2747" s="8" t="str">
        <f aca="false">IF(A2747="","",IF(COUNTIFS(全馬データ!$A$2:$A$50000,A2747,全馬データ!$B$2:$B$50000,B2747,全馬データ!$C$2:$C$50000,C2747,全馬データ!$D$2:$D$50000,E2747,全馬データ!$K$2:$K$50000,"&lt;&gt;")=0,"",SUMIFS(全馬データ!$K$2:$K$50000,全馬データ!$A$2:$A$50000,A2747,全馬データ!$B$2:$B$50000,B2747,全馬データ!$C$2:$C$50000,C2747,全馬データ!$D$2:$D$50000,E2747)))</f>
        <v/>
      </c>
      <c r="AP2747" s="8" t="str">
        <f aca="false">IF(A2747="","",IF(AO2747="","欠損",IF(AO2747&lt;=1.1,"1.0～1.1",IF(AO2747&lt;1.3,"1.2",IF(AO2747&lt;1.5,"1.3～1.4",IF(AO2747&lt;2,"1.5～1.9","2.0以上"))))))</f>
        <v/>
      </c>
      <c r="AQ2747" s="8" t="str">
        <f aca="false">IF(A2747="","",IF(ISNUMBER(SEARCH("2歳",Z2747)),"2歳戦",IF(ISNUMBER(SEARCH("3歳未勝利",Z2747)),"3歳未勝利",IF(ISNUMBER(SEARCH("未勝利",Z2747)),"その他未勝利",IF(ISNUMBER(SEARCH("G1",Z2747)),"G1",IF(ISNUMBER(SEARCH("G2",Z2747)),"G2",IF(ISNUMBER(SEARCH("G3",Z2747)),"G3",IF(ISNUMBER(SEARCH("古馬条件",Z2747)),"古馬条件戦",IF(ISNUMBER(SEARCH("重賞",Z2747)),"重賞","分類不能")))))))))</f>
        <v/>
      </c>
    </row>
    <row r="2748" customFormat="false" ht="15.75" hidden="false" customHeight="false" outlineLevel="0" collapsed="false">
      <c r="AO2748" s="8" t="str">
        <f aca="false">IF(A2748="","",IF(COUNTIFS(全馬データ!$A$2:$A$50000,A2748,全馬データ!$B$2:$B$50000,B2748,全馬データ!$C$2:$C$50000,C2748,全馬データ!$D$2:$D$50000,E2748,全馬データ!$K$2:$K$50000,"&lt;&gt;")=0,"",SUMIFS(全馬データ!$K$2:$K$50000,全馬データ!$A$2:$A$50000,A2748,全馬データ!$B$2:$B$50000,B2748,全馬データ!$C$2:$C$50000,C2748,全馬データ!$D$2:$D$50000,E2748)))</f>
        <v/>
      </c>
      <c r="AP2748" s="8" t="str">
        <f aca="false">IF(A2748="","",IF(AO2748="","欠損",IF(AO2748&lt;=1.1,"1.0～1.1",IF(AO2748&lt;1.3,"1.2",IF(AO2748&lt;1.5,"1.3～1.4",IF(AO2748&lt;2,"1.5～1.9","2.0以上"))))))</f>
        <v/>
      </c>
      <c r="AQ2748" s="8" t="str">
        <f aca="false">IF(A2748="","",IF(ISNUMBER(SEARCH("2歳",Z2748)),"2歳戦",IF(ISNUMBER(SEARCH("3歳未勝利",Z2748)),"3歳未勝利",IF(ISNUMBER(SEARCH("未勝利",Z2748)),"その他未勝利",IF(ISNUMBER(SEARCH("G1",Z2748)),"G1",IF(ISNUMBER(SEARCH("G2",Z2748)),"G2",IF(ISNUMBER(SEARCH("G3",Z2748)),"G3",IF(ISNUMBER(SEARCH("古馬条件",Z2748)),"古馬条件戦",IF(ISNUMBER(SEARCH("重賞",Z2748)),"重賞","分類不能")))))))))</f>
        <v/>
      </c>
    </row>
    <row r="2749" customFormat="false" ht="15.75" hidden="false" customHeight="false" outlineLevel="0" collapsed="false">
      <c r="AO2749" s="8" t="str">
        <f aca="false">IF(A2749="","",IF(COUNTIFS(全馬データ!$A$2:$A$50000,A2749,全馬データ!$B$2:$B$50000,B2749,全馬データ!$C$2:$C$50000,C2749,全馬データ!$D$2:$D$50000,E2749,全馬データ!$K$2:$K$50000,"&lt;&gt;")=0,"",SUMIFS(全馬データ!$K$2:$K$50000,全馬データ!$A$2:$A$50000,A2749,全馬データ!$B$2:$B$50000,B2749,全馬データ!$C$2:$C$50000,C2749,全馬データ!$D$2:$D$50000,E2749)))</f>
        <v/>
      </c>
      <c r="AP2749" s="8" t="str">
        <f aca="false">IF(A2749="","",IF(AO2749="","欠損",IF(AO2749&lt;=1.1,"1.0～1.1",IF(AO2749&lt;1.3,"1.2",IF(AO2749&lt;1.5,"1.3～1.4",IF(AO2749&lt;2,"1.5～1.9","2.0以上"))))))</f>
        <v/>
      </c>
      <c r="AQ2749" s="8" t="str">
        <f aca="false">IF(A2749="","",IF(ISNUMBER(SEARCH("2歳",Z2749)),"2歳戦",IF(ISNUMBER(SEARCH("3歳未勝利",Z2749)),"3歳未勝利",IF(ISNUMBER(SEARCH("未勝利",Z2749)),"その他未勝利",IF(ISNUMBER(SEARCH("G1",Z2749)),"G1",IF(ISNUMBER(SEARCH("G2",Z2749)),"G2",IF(ISNUMBER(SEARCH("G3",Z2749)),"G3",IF(ISNUMBER(SEARCH("古馬条件",Z2749)),"古馬条件戦",IF(ISNUMBER(SEARCH("重賞",Z2749)),"重賞","分類不能")))))))))</f>
        <v/>
      </c>
    </row>
    <row r="2750" customFormat="false" ht="15.75" hidden="false" customHeight="false" outlineLevel="0" collapsed="false">
      <c r="AO2750" s="8" t="str">
        <f aca="false">IF(A2750="","",IF(COUNTIFS(全馬データ!$A$2:$A$50000,A2750,全馬データ!$B$2:$B$50000,B2750,全馬データ!$C$2:$C$50000,C2750,全馬データ!$D$2:$D$50000,E2750,全馬データ!$K$2:$K$50000,"&lt;&gt;")=0,"",SUMIFS(全馬データ!$K$2:$K$50000,全馬データ!$A$2:$A$50000,A2750,全馬データ!$B$2:$B$50000,B2750,全馬データ!$C$2:$C$50000,C2750,全馬データ!$D$2:$D$50000,E2750)))</f>
        <v/>
      </c>
      <c r="AP2750" s="8" t="str">
        <f aca="false">IF(A2750="","",IF(AO2750="","欠損",IF(AO2750&lt;=1.1,"1.0～1.1",IF(AO2750&lt;1.3,"1.2",IF(AO2750&lt;1.5,"1.3～1.4",IF(AO2750&lt;2,"1.5～1.9","2.0以上"))))))</f>
        <v/>
      </c>
      <c r="AQ2750" s="8" t="str">
        <f aca="false">IF(A2750="","",IF(ISNUMBER(SEARCH("2歳",Z2750)),"2歳戦",IF(ISNUMBER(SEARCH("3歳未勝利",Z2750)),"3歳未勝利",IF(ISNUMBER(SEARCH("未勝利",Z2750)),"その他未勝利",IF(ISNUMBER(SEARCH("G1",Z2750)),"G1",IF(ISNUMBER(SEARCH("G2",Z2750)),"G2",IF(ISNUMBER(SEARCH("G3",Z2750)),"G3",IF(ISNUMBER(SEARCH("古馬条件",Z2750)),"古馬条件戦",IF(ISNUMBER(SEARCH("重賞",Z2750)),"重賞","分類不能")))))))))</f>
        <v/>
      </c>
    </row>
    <row r="2751" customFormat="false" ht="15.75" hidden="false" customHeight="false" outlineLevel="0" collapsed="false">
      <c r="AO2751" s="8" t="str">
        <f aca="false">IF(A2751="","",IF(COUNTIFS(全馬データ!$A$2:$A$50000,A2751,全馬データ!$B$2:$B$50000,B2751,全馬データ!$C$2:$C$50000,C2751,全馬データ!$D$2:$D$50000,E2751,全馬データ!$K$2:$K$50000,"&lt;&gt;")=0,"",SUMIFS(全馬データ!$K$2:$K$50000,全馬データ!$A$2:$A$50000,A2751,全馬データ!$B$2:$B$50000,B2751,全馬データ!$C$2:$C$50000,C2751,全馬データ!$D$2:$D$50000,E2751)))</f>
        <v/>
      </c>
      <c r="AP2751" s="8" t="str">
        <f aca="false">IF(A2751="","",IF(AO2751="","欠損",IF(AO2751&lt;=1.1,"1.0～1.1",IF(AO2751&lt;1.3,"1.2",IF(AO2751&lt;1.5,"1.3～1.4",IF(AO2751&lt;2,"1.5～1.9","2.0以上"))))))</f>
        <v/>
      </c>
      <c r="AQ2751" s="8" t="str">
        <f aca="false">IF(A2751="","",IF(ISNUMBER(SEARCH("2歳",Z2751)),"2歳戦",IF(ISNUMBER(SEARCH("3歳未勝利",Z2751)),"3歳未勝利",IF(ISNUMBER(SEARCH("未勝利",Z2751)),"その他未勝利",IF(ISNUMBER(SEARCH("G1",Z2751)),"G1",IF(ISNUMBER(SEARCH("G2",Z2751)),"G2",IF(ISNUMBER(SEARCH("G3",Z2751)),"G3",IF(ISNUMBER(SEARCH("古馬条件",Z2751)),"古馬条件戦",IF(ISNUMBER(SEARCH("重賞",Z2751)),"重賞","分類不能")))))))))</f>
        <v/>
      </c>
    </row>
    <row r="2752" customFormat="false" ht="15.75" hidden="false" customHeight="false" outlineLevel="0" collapsed="false">
      <c r="AO2752" s="8" t="str">
        <f aca="false">IF(A2752="","",IF(COUNTIFS(全馬データ!$A$2:$A$50000,A2752,全馬データ!$B$2:$B$50000,B2752,全馬データ!$C$2:$C$50000,C2752,全馬データ!$D$2:$D$50000,E2752,全馬データ!$K$2:$K$50000,"&lt;&gt;")=0,"",SUMIFS(全馬データ!$K$2:$K$50000,全馬データ!$A$2:$A$50000,A2752,全馬データ!$B$2:$B$50000,B2752,全馬データ!$C$2:$C$50000,C2752,全馬データ!$D$2:$D$50000,E2752)))</f>
        <v/>
      </c>
      <c r="AP2752" s="8" t="str">
        <f aca="false">IF(A2752="","",IF(AO2752="","欠損",IF(AO2752&lt;=1.1,"1.0～1.1",IF(AO2752&lt;1.3,"1.2",IF(AO2752&lt;1.5,"1.3～1.4",IF(AO2752&lt;2,"1.5～1.9","2.0以上"))))))</f>
        <v/>
      </c>
      <c r="AQ2752" s="8" t="str">
        <f aca="false">IF(A2752="","",IF(ISNUMBER(SEARCH("2歳",Z2752)),"2歳戦",IF(ISNUMBER(SEARCH("3歳未勝利",Z2752)),"3歳未勝利",IF(ISNUMBER(SEARCH("未勝利",Z2752)),"その他未勝利",IF(ISNUMBER(SEARCH("G1",Z2752)),"G1",IF(ISNUMBER(SEARCH("G2",Z2752)),"G2",IF(ISNUMBER(SEARCH("G3",Z2752)),"G3",IF(ISNUMBER(SEARCH("古馬条件",Z2752)),"古馬条件戦",IF(ISNUMBER(SEARCH("重賞",Z2752)),"重賞","分類不能")))))))))</f>
        <v/>
      </c>
    </row>
    <row r="2753" customFormat="false" ht="15.75" hidden="false" customHeight="false" outlineLevel="0" collapsed="false">
      <c r="AO2753" s="8" t="str">
        <f aca="false">IF(A2753="","",IF(COUNTIFS(全馬データ!$A$2:$A$50000,A2753,全馬データ!$B$2:$B$50000,B2753,全馬データ!$C$2:$C$50000,C2753,全馬データ!$D$2:$D$50000,E2753,全馬データ!$K$2:$K$50000,"&lt;&gt;")=0,"",SUMIFS(全馬データ!$K$2:$K$50000,全馬データ!$A$2:$A$50000,A2753,全馬データ!$B$2:$B$50000,B2753,全馬データ!$C$2:$C$50000,C2753,全馬データ!$D$2:$D$50000,E2753)))</f>
        <v/>
      </c>
      <c r="AP2753" s="8" t="str">
        <f aca="false">IF(A2753="","",IF(AO2753="","欠損",IF(AO2753&lt;=1.1,"1.0～1.1",IF(AO2753&lt;1.3,"1.2",IF(AO2753&lt;1.5,"1.3～1.4",IF(AO2753&lt;2,"1.5～1.9","2.0以上"))))))</f>
        <v/>
      </c>
      <c r="AQ2753" s="8" t="str">
        <f aca="false">IF(A2753="","",IF(ISNUMBER(SEARCH("2歳",Z2753)),"2歳戦",IF(ISNUMBER(SEARCH("3歳未勝利",Z2753)),"3歳未勝利",IF(ISNUMBER(SEARCH("未勝利",Z2753)),"その他未勝利",IF(ISNUMBER(SEARCH("G1",Z2753)),"G1",IF(ISNUMBER(SEARCH("G2",Z2753)),"G2",IF(ISNUMBER(SEARCH("G3",Z2753)),"G3",IF(ISNUMBER(SEARCH("古馬条件",Z2753)),"古馬条件戦",IF(ISNUMBER(SEARCH("重賞",Z2753)),"重賞","分類不能")))))))))</f>
        <v/>
      </c>
    </row>
    <row r="2754" customFormat="false" ht="15.75" hidden="false" customHeight="false" outlineLevel="0" collapsed="false">
      <c r="AO2754" s="8" t="str">
        <f aca="false">IF(A2754="","",IF(COUNTIFS(全馬データ!$A$2:$A$50000,A2754,全馬データ!$B$2:$B$50000,B2754,全馬データ!$C$2:$C$50000,C2754,全馬データ!$D$2:$D$50000,E2754,全馬データ!$K$2:$K$50000,"&lt;&gt;")=0,"",SUMIFS(全馬データ!$K$2:$K$50000,全馬データ!$A$2:$A$50000,A2754,全馬データ!$B$2:$B$50000,B2754,全馬データ!$C$2:$C$50000,C2754,全馬データ!$D$2:$D$50000,E2754)))</f>
        <v/>
      </c>
      <c r="AP2754" s="8" t="str">
        <f aca="false">IF(A2754="","",IF(AO2754="","欠損",IF(AO2754&lt;=1.1,"1.0～1.1",IF(AO2754&lt;1.3,"1.2",IF(AO2754&lt;1.5,"1.3～1.4",IF(AO2754&lt;2,"1.5～1.9","2.0以上"))))))</f>
        <v/>
      </c>
      <c r="AQ2754" s="8" t="str">
        <f aca="false">IF(A2754="","",IF(ISNUMBER(SEARCH("2歳",Z2754)),"2歳戦",IF(ISNUMBER(SEARCH("3歳未勝利",Z2754)),"3歳未勝利",IF(ISNUMBER(SEARCH("未勝利",Z2754)),"その他未勝利",IF(ISNUMBER(SEARCH("G1",Z2754)),"G1",IF(ISNUMBER(SEARCH("G2",Z2754)),"G2",IF(ISNUMBER(SEARCH("G3",Z2754)),"G3",IF(ISNUMBER(SEARCH("古馬条件",Z2754)),"古馬条件戦",IF(ISNUMBER(SEARCH("重賞",Z2754)),"重賞","分類不能")))))))))</f>
        <v/>
      </c>
    </row>
    <row r="2755" customFormat="false" ht="15.75" hidden="false" customHeight="false" outlineLevel="0" collapsed="false">
      <c r="AO2755" s="8" t="str">
        <f aca="false">IF(A2755="","",IF(COUNTIFS(全馬データ!$A$2:$A$50000,A2755,全馬データ!$B$2:$B$50000,B2755,全馬データ!$C$2:$C$50000,C2755,全馬データ!$D$2:$D$50000,E2755,全馬データ!$K$2:$K$50000,"&lt;&gt;")=0,"",SUMIFS(全馬データ!$K$2:$K$50000,全馬データ!$A$2:$A$50000,A2755,全馬データ!$B$2:$B$50000,B2755,全馬データ!$C$2:$C$50000,C2755,全馬データ!$D$2:$D$50000,E2755)))</f>
        <v/>
      </c>
      <c r="AP2755" s="8" t="str">
        <f aca="false">IF(A2755="","",IF(AO2755="","欠損",IF(AO2755&lt;=1.1,"1.0～1.1",IF(AO2755&lt;1.3,"1.2",IF(AO2755&lt;1.5,"1.3～1.4",IF(AO2755&lt;2,"1.5～1.9","2.0以上"))))))</f>
        <v/>
      </c>
      <c r="AQ2755" s="8" t="str">
        <f aca="false">IF(A2755="","",IF(ISNUMBER(SEARCH("2歳",Z2755)),"2歳戦",IF(ISNUMBER(SEARCH("3歳未勝利",Z2755)),"3歳未勝利",IF(ISNUMBER(SEARCH("未勝利",Z2755)),"その他未勝利",IF(ISNUMBER(SEARCH("G1",Z2755)),"G1",IF(ISNUMBER(SEARCH("G2",Z2755)),"G2",IF(ISNUMBER(SEARCH("G3",Z2755)),"G3",IF(ISNUMBER(SEARCH("古馬条件",Z2755)),"古馬条件戦",IF(ISNUMBER(SEARCH("重賞",Z2755)),"重賞","分類不能")))))))))</f>
        <v/>
      </c>
    </row>
    <row r="2756" customFormat="false" ht="15.75" hidden="false" customHeight="false" outlineLevel="0" collapsed="false">
      <c r="AO2756" s="8" t="str">
        <f aca="false">IF(A2756="","",IF(COUNTIFS(全馬データ!$A$2:$A$50000,A2756,全馬データ!$B$2:$B$50000,B2756,全馬データ!$C$2:$C$50000,C2756,全馬データ!$D$2:$D$50000,E2756,全馬データ!$K$2:$K$50000,"&lt;&gt;")=0,"",SUMIFS(全馬データ!$K$2:$K$50000,全馬データ!$A$2:$A$50000,A2756,全馬データ!$B$2:$B$50000,B2756,全馬データ!$C$2:$C$50000,C2756,全馬データ!$D$2:$D$50000,E2756)))</f>
        <v/>
      </c>
      <c r="AP2756" s="8" t="str">
        <f aca="false">IF(A2756="","",IF(AO2756="","欠損",IF(AO2756&lt;=1.1,"1.0～1.1",IF(AO2756&lt;1.3,"1.2",IF(AO2756&lt;1.5,"1.3～1.4",IF(AO2756&lt;2,"1.5～1.9","2.0以上"))))))</f>
        <v/>
      </c>
      <c r="AQ2756" s="8" t="str">
        <f aca="false">IF(A2756="","",IF(ISNUMBER(SEARCH("2歳",Z2756)),"2歳戦",IF(ISNUMBER(SEARCH("3歳未勝利",Z2756)),"3歳未勝利",IF(ISNUMBER(SEARCH("未勝利",Z2756)),"その他未勝利",IF(ISNUMBER(SEARCH("G1",Z2756)),"G1",IF(ISNUMBER(SEARCH("G2",Z2756)),"G2",IF(ISNUMBER(SEARCH("G3",Z2756)),"G3",IF(ISNUMBER(SEARCH("古馬条件",Z2756)),"古馬条件戦",IF(ISNUMBER(SEARCH("重賞",Z2756)),"重賞","分類不能")))))))))</f>
        <v/>
      </c>
    </row>
    <row r="2757" customFormat="false" ht="15.75" hidden="false" customHeight="false" outlineLevel="0" collapsed="false">
      <c r="AO2757" s="8" t="str">
        <f aca="false">IF(A2757="","",IF(COUNTIFS(全馬データ!$A$2:$A$50000,A2757,全馬データ!$B$2:$B$50000,B2757,全馬データ!$C$2:$C$50000,C2757,全馬データ!$D$2:$D$50000,E2757,全馬データ!$K$2:$K$50000,"&lt;&gt;")=0,"",SUMIFS(全馬データ!$K$2:$K$50000,全馬データ!$A$2:$A$50000,A2757,全馬データ!$B$2:$B$50000,B2757,全馬データ!$C$2:$C$50000,C2757,全馬データ!$D$2:$D$50000,E2757)))</f>
        <v/>
      </c>
      <c r="AP2757" s="8" t="str">
        <f aca="false">IF(A2757="","",IF(AO2757="","欠損",IF(AO2757&lt;=1.1,"1.0～1.1",IF(AO2757&lt;1.3,"1.2",IF(AO2757&lt;1.5,"1.3～1.4",IF(AO2757&lt;2,"1.5～1.9","2.0以上"))))))</f>
        <v/>
      </c>
      <c r="AQ2757" s="8" t="str">
        <f aca="false">IF(A2757="","",IF(ISNUMBER(SEARCH("2歳",Z2757)),"2歳戦",IF(ISNUMBER(SEARCH("3歳未勝利",Z2757)),"3歳未勝利",IF(ISNUMBER(SEARCH("未勝利",Z2757)),"その他未勝利",IF(ISNUMBER(SEARCH("G1",Z2757)),"G1",IF(ISNUMBER(SEARCH("G2",Z2757)),"G2",IF(ISNUMBER(SEARCH("G3",Z2757)),"G3",IF(ISNUMBER(SEARCH("古馬条件",Z2757)),"古馬条件戦",IF(ISNUMBER(SEARCH("重賞",Z2757)),"重賞","分類不能")))))))))</f>
        <v/>
      </c>
    </row>
    <row r="2758" customFormat="false" ht="15.75" hidden="false" customHeight="false" outlineLevel="0" collapsed="false">
      <c r="AO2758" s="8" t="str">
        <f aca="false">IF(A2758="","",IF(COUNTIFS(全馬データ!$A$2:$A$50000,A2758,全馬データ!$B$2:$B$50000,B2758,全馬データ!$C$2:$C$50000,C2758,全馬データ!$D$2:$D$50000,E2758,全馬データ!$K$2:$K$50000,"&lt;&gt;")=0,"",SUMIFS(全馬データ!$K$2:$K$50000,全馬データ!$A$2:$A$50000,A2758,全馬データ!$B$2:$B$50000,B2758,全馬データ!$C$2:$C$50000,C2758,全馬データ!$D$2:$D$50000,E2758)))</f>
        <v/>
      </c>
      <c r="AP2758" s="8" t="str">
        <f aca="false">IF(A2758="","",IF(AO2758="","欠損",IF(AO2758&lt;=1.1,"1.0～1.1",IF(AO2758&lt;1.3,"1.2",IF(AO2758&lt;1.5,"1.3～1.4",IF(AO2758&lt;2,"1.5～1.9","2.0以上"))))))</f>
        <v/>
      </c>
      <c r="AQ2758" s="8" t="str">
        <f aca="false">IF(A2758="","",IF(ISNUMBER(SEARCH("2歳",Z2758)),"2歳戦",IF(ISNUMBER(SEARCH("3歳未勝利",Z2758)),"3歳未勝利",IF(ISNUMBER(SEARCH("未勝利",Z2758)),"その他未勝利",IF(ISNUMBER(SEARCH("G1",Z2758)),"G1",IF(ISNUMBER(SEARCH("G2",Z2758)),"G2",IF(ISNUMBER(SEARCH("G3",Z2758)),"G3",IF(ISNUMBER(SEARCH("古馬条件",Z2758)),"古馬条件戦",IF(ISNUMBER(SEARCH("重賞",Z2758)),"重賞","分類不能")))))))))</f>
        <v/>
      </c>
    </row>
    <row r="2759" customFormat="false" ht="15.75" hidden="false" customHeight="false" outlineLevel="0" collapsed="false">
      <c r="AO2759" s="8" t="str">
        <f aca="false">IF(A2759="","",IF(COUNTIFS(全馬データ!$A$2:$A$50000,A2759,全馬データ!$B$2:$B$50000,B2759,全馬データ!$C$2:$C$50000,C2759,全馬データ!$D$2:$D$50000,E2759,全馬データ!$K$2:$K$50000,"&lt;&gt;")=0,"",SUMIFS(全馬データ!$K$2:$K$50000,全馬データ!$A$2:$A$50000,A2759,全馬データ!$B$2:$B$50000,B2759,全馬データ!$C$2:$C$50000,C2759,全馬データ!$D$2:$D$50000,E2759)))</f>
        <v/>
      </c>
      <c r="AP2759" s="8" t="str">
        <f aca="false">IF(A2759="","",IF(AO2759="","欠損",IF(AO2759&lt;=1.1,"1.0～1.1",IF(AO2759&lt;1.3,"1.2",IF(AO2759&lt;1.5,"1.3～1.4",IF(AO2759&lt;2,"1.5～1.9","2.0以上"))))))</f>
        <v/>
      </c>
      <c r="AQ2759" s="8" t="str">
        <f aca="false">IF(A2759="","",IF(ISNUMBER(SEARCH("2歳",Z2759)),"2歳戦",IF(ISNUMBER(SEARCH("3歳未勝利",Z2759)),"3歳未勝利",IF(ISNUMBER(SEARCH("未勝利",Z2759)),"その他未勝利",IF(ISNUMBER(SEARCH("G1",Z2759)),"G1",IF(ISNUMBER(SEARCH("G2",Z2759)),"G2",IF(ISNUMBER(SEARCH("G3",Z2759)),"G3",IF(ISNUMBER(SEARCH("古馬条件",Z2759)),"古馬条件戦",IF(ISNUMBER(SEARCH("重賞",Z2759)),"重賞","分類不能")))))))))</f>
        <v/>
      </c>
    </row>
    <row r="2760" customFormat="false" ht="15.75" hidden="false" customHeight="false" outlineLevel="0" collapsed="false">
      <c r="AO2760" s="8" t="str">
        <f aca="false">IF(A2760="","",IF(COUNTIFS(全馬データ!$A$2:$A$50000,A2760,全馬データ!$B$2:$B$50000,B2760,全馬データ!$C$2:$C$50000,C2760,全馬データ!$D$2:$D$50000,E2760,全馬データ!$K$2:$K$50000,"&lt;&gt;")=0,"",SUMIFS(全馬データ!$K$2:$K$50000,全馬データ!$A$2:$A$50000,A2760,全馬データ!$B$2:$B$50000,B2760,全馬データ!$C$2:$C$50000,C2760,全馬データ!$D$2:$D$50000,E2760)))</f>
        <v/>
      </c>
      <c r="AP2760" s="8" t="str">
        <f aca="false">IF(A2760="","",IF(AO2760="","欠損",IF(AO2760&lt;=1.1,"1.0～1.1",IF(AO2760&lt;1.3,"1.2",IF(AO2760&lt;1.5,"1.3～1.4",IF(AO2760&lt;2,"1.5～1.9","2.0以上"))))))</f>
        <v/>
      </c>
      <c r="AQ2760" s="8" t="str">
        <f aca="false">IF(A2760="","",IF(ISNUMBER(SEARCH("2歳",Z2760)),"2歳戦",IF(ISNUMBER(SEARCH("3歳未勝利",Z2760)),"3歳未勝利",IF(ISNUMBER(SEARCH("未勝利",Z2760)),"その他未勝利",IF(ISNUMBER(SEARCH("G1",Z2760)),"G1",IF(ISNUMBER(SEARCH("G2",Z2760)),"G2",IF(ISNUMBER(SEARCH("G3",Z2760)),"G3",IF(ISNUMBER(SEARCH("古馬条件",Z2760)),"古馬条件戦",IF(ISNUMBER(SEARCH("重賞",Z2760)),"重賞","分類不能")))))))))</f>
        <v/>
      </c>
    </row>
    <row r="2761" customFormat="false" ht="15.75" hidden="false" customHeight="false" outlineLevel="0" collapsed="false">
      <c r="AO2761" s="8" t="str">
        <f aca="false">IF(A2761="","",IF(COUNTIFS(全馬データ!$A$2:$A$50000,A2761,全馬データ!$B$2:$B$50000,B2761,全馬データ!$C$2:$C$50000,C2761,全馬データ!$D$2:$D$50000,E2761,全馬データ!$K$2:$K$50000,"&lt;&gt;")=0,"",SUMIFS(全馬データ!$K$2:$K$50000,全馬データ!$A$2:$A$50000,A2761,全馬データ!$B$2:$B$50000,B2761,全馬データ!$C$2:$C$50000,C2761,全馬データ!$D$2:$D$50000,E2761)))</f>
        <v/>
      </c>
      <c r="AP2761" s="8" t="str">
        <f aca="false">IF(A2761="","",IF(AO2761="","欠損",IF(AO2761&lt;=1.1,"1.0～1.1",IF(AO2761&lt;1.3,"1.2",IF(AO2761&lt;1.5,"1.3～1.4",IF(AO2761&lt;2,"1.5～1.9","2.0以上"))))))</f>
        <v/>
      </c>
      <c r="AQ2761" s="8" t="str">
        <f aca="false">IF(A2761="","",IF(ISNUMBER(SEARCH("2歳",Z2761)),"2歳戦",IF(ISNUMBER(SEARCH("3歳未勝利",Z2761)),"3歳未勝利",IF(ISNUMBER(SEARCH("未勝利",Z2761)),"その他未勝利",IF(ISNUMBER(SEARCH("G1",Z2761)),"G1",IF(ISNUMBER(SEARCH("G2",Z2761)),"G2",IF(ISNUMBER(SEARCH("G3",Z2761)),"G3",IF(ISNUMBER(SEARCH("古馬条件",Z2761)),"古馬条件戦",IF(ISNUMBER(SEARCH("重賞",Z2761)),"重賞","分類不能")))))))))</f>
        <v/>
      </c>
    </row>
    <row r="2762" customFormat="false" ht="15.75" hidden="false" customHeight="false" outlineLevel="0" collapsed="false">
      <c r="AO2762" s="8" t="str">
        <f aca="false">IF(A2762="","",IF(COUNTIFS(全馬データ!$A$2:$A$50000,A2762,全馬データ!$B$2:$B$50000,B2762,全馬データ!$C$2:$C$50000,C2762,全馬データ!$D$2:$D$50000,E2762,全馬データ!$K$2:$K$50000,"&lt;&gt;")=0,"",SUMIFS(全馬データ!$K$2:$K$50000,全馬データ!$A$2:$A$50000,A2762,全馬データ!$B$2:$B$50000,B2762,全馬データ!$C$2:$C$50000,C2762,全馬データ!$D$2:$D$50000,E2762)))</f>
        <v/>
      </c>
      <c r="AP2762" s="8" t="str">
        <f aca="false">IF(A2762="","",IF(AO2762="","欠損",IF(AO2762&lt;=1.1,"1.0～1.1",IF(AO2762&lt;1.3,"1.2",IF(AO2762&lt;1.5,"1.3～1.4",IF(AO2762&lt;2,"1.5～1.9","2.0以上"))))))</f>
        <v/>
      </c>
      <c r="AQ2762" s="8" t="str">
        <f aca="false">IF(A2762="","",IF(ISNUMBER(SEARCH("2歳",Z2762)),"2歳戦",IF(ISNUMBER(SEARCH("3歳未勝利",Z2762)),"3歳未勝利",IF(ISNUMBER(SEARCH("未勝利",Z2762)),"その他未勝利",IF(ISNUMBER(SEARCH("G1",Z2762)),"G1",IF(ISNUMBER(SEARCH("G2",Z2762)),"G2",IF(ISNUMBER(SEARCH("G3",Z2762)),"G3",IF(ISNUMBER(SEARCH("古馬条件",Z2762)),"古馬条件戦",IF(ISNUMBER(SEARCH("重賞",Z2762)),"重賞","分類不能")))))))))</f>
        <v/>
      </c>
    </row>
    <row r="2763" customFormat="false" ht="15.75" hidden="false" customHeight="false" outlineLevel="0" collapsed="false">
      <c r="AO2763" s="8" t="str">
        <f aca="false">IF(A2763="","",IF(COUNTIFS(全馬データ!$A$2:$A$50000,A2763,全馬データ!$B$2:$B$50000,B2763,全馬データ!$C$2:$C$50000,C2763,全馬データ!$D$2:$D$50000,E2763,全馬データ!$K$2:$K$50000,"&lt;&gt;")=0,"",SUMIFS(全馬データ!$K$2:$K$50000,全馬データ!$A$2:$A$50000,A2763,全馬データ!$B$2:$B$50000,B2763,全馬データ!$C$2:$C$50000,C2763,全馬データ!$D$2:$D$50000,E2763)))</f>
        <v/>
      </c>
      <c r="AP2763" s="8" t="str">
        <f aca="false">IF(A2763="","",IF(AO2763="","欠損",IF(AO2763&lt;=1.1,"1.0～1.1",IF(AO2763&lt;1.3,"1.2",IF(AO2763&lt;1.5,"1.3～1.4",IF(AO2763&lt;2,"1.5～1.9","2.0以上"))))))</f>
        <v/>
      </c>
      <c r="AQ2763" s="8" t="str">
        <f aca="false">IF(A2763="","",IF(ISNUMBER(SEARCH("2歳",Z2763)),"2歳戦",IF(ISNUMBER(SEARCH("3歳未勝利",Z2763)),"3歳未勝利",IF(ISNUMBER(SEARCH("未勝利",Z2763)),"その他未勝利",IF(ISNUMBER(SEARCH("G1",Z2763)),"G1",IF(ISNUMBER(SEARCH("G2",Z2763)),"G2",IF(ISNUMBER(SEARCH("G3",Z2763)),"G3",IF(ISNUMBER(SEARCH("古馬条件",Z2763)),"古馬条件戦",IF(ISNUMBER(SEARCH("重賞",Z2763)),"重賞","分類不能")))))))))</f>
        <v/>
      </c>
    </row>
    <row r="2764" customFormat="false" ht="15.75" hidden="false" customHeight="false" outlineLevel="0" collapsed="false">
      <c r="AO2764" s="8" t="str">
        <f aca="false">IF(A2764="","",IF(COUNTIFS(全馬データ!$A$2:$A$50000,A2764,全馬データ!$B$2:$B$50000,B2764,全馬データ!$C$2:$C$50000,C2764,全馬データ!$D$2:$D$50000,E2764,全馬データ!$K$2:$K$50000,"&lt;&gt;")=0,"",SUMIFS(全馬データ!$K$2:$K$50000,全馬データ!$A$2:$A$50000,A2764,全馬データ!$B$2:$B$50000,B2764,全馬データ!$C$2:$C$50000,C2764,全馬データ!$D$2:$D$50000,E2764)))</f>
        <v/>
      </c>
      <c r="AP2764" s="8" t="str">
        <f aca="false">IF(A2764="","",IF(AO2764="","欠損",IF(AO2764&lt;=1.1,"1.0～1.1",IF(AO2764&lt;1.3,"1.2",IF(AO2764&lt;1.5,"1.3～1.4",IF(AO2764&lt;2,"1.5～1.9","2.0以上"))))))</f>
        <v/>
      </c>
      <c r="AQ2764" s="8" t="str">
        <f aca="false">IF(A2764="","",IF(ISNUMBER(SEARCH("2歳",Z2764)),"2歳戦",IF(ISNUMBER(SEARCH("3歳未勝利",Z2764)),"3歳未勝利",IF(ISNUMBER(SEARCH("未勝利",Z2764)),"その他未勝利",IF(ISNUMBER(SEARCH("G1",Z2764)),"G1",IF(ISNUMBER(SEARCH("G2",Z2764)),"G2",IF(ISNUMBER(SEARCH("G3",Z2764)),"G3",IF(ISNUMBER(SEARCH("古馬条件",Z2764)),"古馬条件戦",IF(ISNUMBER(SEARCH("重賞",Z2764)),"重賞","分類不能")))))))))</f>
        <v/>
      </c>
    </row>
    <row r="2765" customFormat="false" ht="15.75" hidden="false" customHeight="false" outlineLevel="0" collapsed="false">
      <c r="AO2765" s="8" t="str">
        <f aca="false">IF(A2765="","",IF(COUNTIFS(全馬データ!$A$2:$A$50000,A2765,全馬データ!$B$2:$B$50000,B2765,全馬データ!$C$2:$C$50000,C2765,全馬データ!$D$2:$D$50000,E2765,全馬データ!$K$2:$K$50000,"&lt;&gt;")=0,"",SUMIFS(全馬データ!$K$2:$K$50000,全馬データ!$A$2:$A$50000,A2765,全馬データ!$B$2:$B$50000,B2765,全馬データ!$C$2:$C$50000,C2765,全馬データ!$D$2:$D$50000,E2765)))</f>
        <v/>
      </c>
      <c r="AP2765" s="8" t="str">
        <f aca="false">IF(A2765="","",IF(AO2765="","欠損",IF(AO2765&lt;=1.1,"1.0～1.1",IF(AO2765&lt;1.3,"1.2",IF(AO2765&lt;1.5,"1.3～1.4",IF(AO2765&lt;2,"1.5～1.9","2.0以上"))))))</f>
        <v/>
      </c>
      <c r="AQ2765" s="8" t="str">
        <f aca="false">IF(A2765="","",IF(ISNUMBER(SEARCH("2歳",Z2765)),"2歳戦",IF(ISNUMBER(SEARCH("3歳未勝利",Z2765)),"3歳未勝利",IF(ISNUMBER(SEARCH("未勝利",Z2765)),"その他未勝利",IF(ISNUMBER(SEARCH("G1",Z2765)),"G1",IF(ISNUMBER(SEARCH("G2",Z2765)),"G2",IF(ISNUMBER(SEARCH("G3",Z2765)),"G3",IF(ISNUMBER(SEARCH("古馬条件",Z2765)),"古馬条件戦",IF(ISNUMBER(SEARCH("重賞",Z2765)),"重賞","分類不能")))))))))</f>
        <v/>
      </c>
    </row>
    <row r="2766" customFormat="false" ht="15.75" hidden="false" customHeight="false" outlineLevel="0" collapsed="false">
      <c r="AO2766" s="8" t="str">
        <f aca="false">IF(A2766="","",IF(COUNTIFS(全馬データ!$A$2:$A$50000,A2766,全馬データ!$B$2:$B$50000,B2766,全馬データ!$C$2:$C$50000,C2766,全馬データ!$D$2:$D$50000,E2766,全馬データ!$K$2:$K$50000,"&lt;&gt;")=0,"",SUMIFS(全馬データ!$K$2:$K$50000,全馬データ!$A$2:$A$50000,A2766,全馬データ!$B$2:$B$50000,B2766,全馬データ!$C$2:$C$50000,C2766,全馬データ!$D$2:$D$50000,E2766)))</f>
        <v/>
      </c>
      <c r="AP2766" s="8" t="str">
        <f aca="false">IF(A2766="","",IF(AO2766="","欠損",IF(AO2766&lt;=1.1,"1.0～1.1",IF(AO2766&lt;1.3,"1.2",IF(AO2766&lt;1.5,"1.3～1.4",IF(AO2766&lt;2,"1.5～1.9","2.0以上"))))))</f>
        <v/>
      </c>
      <c r="AQ2766" s="8" t="str">
        <f aca="false">IF(A2766="","",IF(ISNUMBER(SEARCH("2歳",Z2766)),"2歳戦",IF(ISNUMBER(SEARCH("3歳未勝利",Z2766)),"3歳未勝利",IF(ISNUMBER(SEARCH("未勝利",Z2766)),"その他未勝利",IF(ISNUMBER(SEARCH("G1",Z2766)),"G1",IF(ISNUMBER(SEARCH("G2",Z2766)),"G2",IF(ISNUMBER(SEARCH("G3",Z2766)),"G3",IF(ISNUMBER(SEARCH("古馬条件",Z2766)),"古馬条件戦",IF(ISNUMBER(SEARCH("重賞",Z2766)),"重賞","分類不能")))))))))</f>
        <v/>
      </c>
    </row>
    <row r="2767" customFormat="false" ht="15.75" hidden="false" customHeight="false" outlineLevel="0" collapsed="false">
      <c r="AO2767" s="8" t="str">
        <f aca="false">IF(A2767="","",IF(COUNTIFS(全馬データ!$A$2:$A$50000,A2767,全馬データ!$B$2:$B$50000,B2767,全馬データ!$C$2:$C$50000,C2767,全馬データ!$D$2:$D$50000,E2767,全馬データ!$K$2:$K$50000,"&lt;&gt;")=0,"",SUMIFS(全馬データ!$K$2:$K$50000,全馬データ!$A$2:$A$50000,A2767,全馬データ!$B$2:$B$50000,B2767,全馬データ!$C$2:$C$50000,C2767,全馬データ!$D$2:$D$50000,E2767)))</f>
        <v/>
      </c>
      <c r="AP2767" s="8" t="str">
        <f aca="false">IF(A2767="","",IF(AO2767="","欠損",IF(AO2767&lt;=1.1,"1.0～1.1",IF(AO2767&lt;1.3,"1.2",IF(AO2767&lt;1.5,"1.3～1.4",IF(AO2767&lt;2,"1.5～1.9","2.0以上"))))))</f>
        <v/>
      </c>
      <c r="AQ2767" s="8" t="str">
        <f aca="false">IF(A2767="","",IF(ISNUMBER(SEARCH("2歳",Z2767)),"2歳戦",IF(ISNUMBER(SEARCH("3歳未勝利",Z2767)),"3歳未勝利",IF(ISNUMBER(SEARCH("未勝利",Z2767)),"その他未勝利",IF(ISNUMBER(SEARCH("G1",Z2767)),"G1",IF(ISNUMBER(SEARCH("G2",Z2767)),"G2",IF(ISNUMBER(SEARCH("G3",Z2767)),"G3",IF(ISNUMBER(SEARCH("古馬条件",Z2767)),"古馬条件戦",IF(ISNUMBER(SEARCH("重賞",Z2767)),"重賞","分類不能")))))))))</f>
        <v/>
      </c>
    </row>
    <row r="2768" customFormat="false" ht="15.75" hidden="false" customHeight="false" outlineLevel="0" collapsed="false">
      <c r="AO2768" s="8" t="str">
        <f aca="false">IF(A2768="","",IF(COUNTIFS(全馬データ!$A$2:$A$50000,A2768,全馬データ!$B$2:$B$50000,B2768,全馬データ!$C$2:$C$50000,C2768,全馬データ!$D$2:$D$50000,E2768,全馬データ!$K$2:$K$50000,"&lt;&gt;")=0,"",SUMIFS(全馬データ!$K$2:$K$50000,全馬データ!$A$2:$A$50000,A2768,全馬データ!$B$2:$B$50000,B2768,全馬データ!$C$2:$C$50000,C2768,全馬データ!$D$2:$D$50000,E2768)))</f>
        <v/>
      </c>
      <c r="AP2768" s="8" t="str">
        <f aca="false">IF(A2768="","",IF(AO2768="","欠損",IF(AO2768&lt;=1.1,"1.0～1.1",IF(AO2768&lt;1.3,"1.2",IF(AO2768&lt;1.5,"1.3～1.4",IF(AO2768&lt;2,"1.5～1.9","2.0以上"))))))</f>
        <v/>
      </c>
      <c r="AQ2768" s="8" t="str">
        <f aca="false">IF(A2768="","",IF(ISNUMBER(SEARCH("2歳",Z2768)),"2歳戦",IF(ISNUMBER(SEARCH("3歳未勝利",Z2768)),"3歳未勝利",IF(ISNUMBER(SEARCH("未勝利",Z2768)),"その他未勝利",IF(ISNUMBER(SEARCH("G1",Z2768)),"G1",IF(ISNUMBER(SEARCH("G2",Z2768)),"G2",IF(ISNUMBER(SEARCH("G3",Z2768)),"G3",IF(ISNUMBER(SEARCH("古馬条件",Z2768)),"古馬条件戦",IF(ISNUMBER(SEARCH("重賞",Z2768)),"重賞","分類不能")))))))))</f>
        <v/>
      </c>
    </row>
    <row r="2769" customFormat="false" ht="15.75" hidden="false" customHeight="false" outlineLevel="0" collapsed="false">
      <c r="AO2769" s="8" t="str">
        <f aca="false">IF(A2769="","",IF(COUNTIFS(全馬データ!$A$2:$A$50000,A2769,全馬データ!$B$2:$B$50000,B2769,全馬データ!$C$2:$C$50000,C2769,全馬データ!$D$2:$D$50000,E2769,全馬データ!$K$2:$K$50000,"&lt;&gt;")=0,"",SUMIFS(全馬データ!$K$2:$K$50000,全馬データ!$A$2:$A$50000,A2769,全馬データ!$B$2:$B$50000,B2769,全馬データ!$C$2:$C$50000,C2769,全馬データ!$D$2:$D$50000,E2769)))</f>
        <v/>
      </c>
      <c r="AP2769" s="8" t="str">
        <f aca="false">IF(A2769="","",IF(AO2769="","欠損",IF(AO2769&lt;=1.1,"1.0～1.1",IF(AO2769&lt;1.3,"1.2",IF(AO2769&lt;1.5,"1.3～1.4",IF(AO2769&lt;2,"1.5～1.9","2.0以上"))))))</f>
        <v/>
      </c>
      <c r="AQ2769" s="8" t="str">
        <f aca="false">IF(A2769="","",IF(ISNUMBER(SEARCH("2歳",Z2769)),"2歳戦",IF(ISNUMBER(SEARCH("3歳未勝利",Z2769)),"3歳未勝利",IF(ISNUMBER(SEARCH("未勝利",Z2769)),"その他未勝利",IF(ISNUMBER(SEARCH("G1",Z2769)),"G1",IF(ISNUMBER(SEARCH("G2",Z2769)),"G2",IF(ISNUMBER(SEARCH("G3",Z2769)),"G3",IF(ISNUMBER(SEARCH("古馬条件",Z2769)),"古馬条件戦",IF(ISNUMBER(SEARCH("重賞",Z2769)),"重賞","分類不能")))))))))</f>
        <v/>
      </c>
    </row>
    <row r="2770" customFormat="false" ht="15.75" hidden="false" customHeight="false" outlineLevel="0" collapsed="false">
      <c r="AO2770" s="8" t="str">
        <f aca="false">IF(A2770="","",IF(COUNTIFS(全馬データ!$A$2:$A$50000,A2770,全馬データ!$B$2:$B$50000,B2770,全馬データ!$C$2:$C$50000,C2770,全馬データ!$D$2:$D$50000,E2770,全馬データ!$K$2:$K$50000,"&lt;&gt;")=0,"",SUMIFS(全馬データ!$K$2:$K$50000,全馬データ!$A$2:$A$50000,A2770,全馬データ!$B$2:$B$50000,B2770,全馬データ!$C$2:$C$50000,C2770,全馬データ!$D$2:$D$50000,E2770)))</f>
        <v/>
      </c>
      <c r="AP2770" s="8" t="str">
        <f aca="false">IF(A2770="","",IF(AO2770="","欠損",IF(AO2770&lt;=1.1,"1.0～1.1",IF(AO2770&lt;1.3,"1.2",IF(AO2770&lt;1.5,"1.3～1.4",IF(AO2770&lt;2,"1.5～1.9","2.0以上"))))))</f>
        <v/>
      </c>
      <c r="AQ2770" s="8" t="str">
        <f aca="false">IF(A2770="","",IF(ISNUMBER(SEARCH("2歳",Z2770)),"2歳戦",IF(ISNUMBER(SEARCH("3歳未勝利",Z2770)),"3歳未勝利",IF(ISNUMBER(SEARCH("未勝利",Z2770)),"その他未勝利",IF(ISNUMBER(SEARCH("G1",Z2770)),"G1",IF(ISNUMBER(SEARCH("G2",Z2770)),"G2",IF(ISNUMBER(SEARCH("G3",Z2770)),"G3",IF(ISNUMBER(SEARCH("古馬条件",Z2770)),"古馬条件戦",IF(ISNUMBER(SEARCH("重賞",Z2770)),"重賞","分類不能")))))))))</f>
        <v/>
      </c>
    </row>
    <row r="2771" customFormat="false" ht="15.75" hidden="false" customHeight="false" outlineLevel="0" collapsed="false">
      <c r="AO2771" s="8" t="str">
        <f aca="false">IF(A2771="","",IF(COUNTIFS(全馬データ!$A$2:$A$50000,A2771,全馬データ!$B$2:$B$50000,B2771,全馬データ!$C$2:$C$50000,C2771,全馬データ!$D$2:$D$50000,E2771,全馬データ!$K$2:$K$50000,"&lt;&gt;")=0,"",SUMIFS(全馬データ!$K$2:$K$50000,全馬データ!$A$2:$A$50000,A2771,全馬データ!$B$2:$B$50000,B2771,全馬データ!$C$2:$C$50000,C2771,全馬データ!$D$2:$D$50000,E2771)))</f>
        <v/>
      </c>
      <c r="AP2771" s="8" t="str">
        <f aca="false">IF(A2771="","",IF(AO2771="","欠損",IF(AO2771&lt;=1.1,"1.0～1.1",IF(AO2771&lt;1.3,"1.2",IF(AO2771&lt;1.5,"1.3～1.4",IF(AO2771&lt;2,"1.5～1.9","2.0以上"))))))</f>
        <v/>
      </c>
      <c r="AQ2771" s="8" t="str">
        <f aca="false">IF(A2771="","",IF(ISNUMBER(SEARCH("2歳",Z2771)),"2歳戦",IF(ISNUMBER(SEARCH("3歳未勝利",Z2771)),"3歳未勝利",IF(ISNUMBER(SEARCH("未勝利",Z2771)),"その他未勝利",IF(ISNUMBER(SEARCH("G1",Z2771)),"G1",IF(ISNUMBER(SEARCH("G2",Z2771)),"G2",IF(ISNUMBER(SEARCH("G3",Z2771)),"G3",IF(ISNUMBER(SEARCH("古馬条件",Z2771)),"古馬条件戦",IF(ISNUMBER(SEARCH("重賞",Z2771)),"重賞","分類不能")))))))))</f>
        <v/>
      </c>
    </row>
    <row r="2772" customFormat="false" ht="15.75" hidden="false" customHeight="false" outlineLevel="0" collapsed="false">
      <c r="AO2772" s="8" t="str">
        <f aca="false">IF(A2772="","",IF(COUNTIFS(全馬データ!$A$2:$A$50000,A2772,全馬データ!$B$2:$B$50000,B2772,全馬データ!$C$2:$C$50000,C2772,全馬データ!$D$2:$D$50000,E2772,全馬データ!$K$2:$K$50000,"&lt;&gt;")=0,"",SUMIFS(全馬データ!$K$2:$K$50000,全馬データ!$A$2:$A$50000,A2772,全馬データ!$B$2:$B$50000,B2772,全馬データ!$C$2:$C$50000,C2772,全馬データ!$D$2:$D$50000,E2772)))</f>
        <v/>
      </c>
      <c r="AP2772" s="8" t="str">
        <f aca="false">IF(A2772="","",IF(AO2772="","欠損",IF(AO2772&lt;=1.1,"1.0～1.1",IF(AO2772&lt;1.3,"1.2",IF(AO2772&lt;1.5,"1.3～1.4",IF(AO2772&lt;2,"1.5～1.9","2.0以上"))))))</f>
        <v/>
      </c>
      <c r="AQ2772" s="8" t="str">
        <f aca="false">IF(A2772="","",IF(ISNUMBER(SEARCH("2歳",Z2772)),"2歳戦",IF(ISNUMBER(SEARCH("3歳未勝利",Z2772)),"3歳未勝利",IF(ISNUMBER(SEARCH("未勝利",Z2772)),"その他未勝利",IF(ISNUMBER(SEARCH("G1",Z2772)),"G1",IF(ISNUMBER(SEARCH("G2",Z2772)),"G2",IF(ISNUMBER(SEARCH("G3",Z2772)),"G3",IF(ISNUMBER(SEARCH("古馬条件",Z2772)),"古馬条件戦",IF(ISNUMBER(SEARCH("重賞",Z2772)),"重賞","分類不能")))))))))</f>
        <v/>
      </c>
    </row>
    <row r="2773" customFormat="false" ht="15.75" hidden="false" customHeight="false" outlineLevel="0" collapsed="false">
      <c r="AO2773" s="8" t="str">
        <f aca="false">IF(A2773="","",IF(COUNTIFS(全馬データ!$A$2:$A$50000,A2773,全馬データ!$B$2:$B$50000,B2773,全馬データ!$C$2:$C$50000,C2773,全馬データ!$D$2:$D$50000,E2773,全馬データ!$K$2:$K$50000,"&lt;&gt;")=0,"",SUMIFS(全馬データ!$K$2:$K$50000,全馬データ!$A$2:$A$50000,A2773,全馬データ!$B$2:$B$50000,B2773,全馬データ!$C$2:$C$50000,C2773,全馬データ!$D$2:$D$50000,E2773)))</f>
        <v/>
      </c>
      <c r="AP2773" s="8" t="str">
        <f aca="false">IF(A2773="","",IF(AO2773="","欠損",IF(AO2773&lt;=1.1,"1.0～1.1",IF(AO2773&lt;1.3,"1.2",IF(AO2773&lt;1.5,"1.3～1.4",IF(AO2773&lt;2,"1.5～1.9","2.0以上"))))))</f>
        <v/>
      </c>
      <c r="AQ2773" s="8" t="str">
        <f aca="false">IF(A2773="","",IF(ISNUMBER(SEARCH("2歳",Z2773)),"2歳戦",IF(ISNUMBER(SEARCH("3歳未勝利",Z2773)),"3歳未勝利",IF(ISNUMBER(SEARCH("未勝利",Z2773)),"その他未勝利",IF(ISNUMBER(SEARCH("G1",Z2773)),"G1",IF(ISNUMBER(SEARCH("G2",Z2773)),"G2",IF(ISNUMBER(SEARCH("G3",Z2773)),"G3",IF(ISNUMBER(SEARCH("古馬条件",Z2773)),"古馬条件戦",IF(ISNUMBER(SEARCH("重賞",Z2773)),"重賞","分類不能")))))))))</f>
        <v/>
      </c>
    </row>
    <row r="2774" customFormat="false" ht="15.75" hidden="false" customHeight="false" outlineLevel="0" collapsed="false">
      <c r="AO2774" s="8" t="str">
        <f aca="false">IF(A2774="","",IF(COUNTIFS(全馬データ!$A$2:$A$50000,A2774,全馬データ!$B$2:$B$50000,B2774,全馬データ!$C$2:$C$50000,C2774,全馬データ!$D$2:$D$50000,E2774,全馬データ!$K$2:$K$50000,"&lt;&gt;")=0,"",SUMIFS(全馬データ!$K$2:$K$50000,全馬データ!$A$2:$A$50000,A2774,全馬データ!$B$2:$B$50000,B2774,全馬データ!$C$2:$C$50000,C2774,全馬データ!$D$2:$D$50000,E2774)))</f>
        <v/>
      </c>
      <c r="AP2774" s="8" t="str">
        <f aca="false">IF(A2774="","",IF(AO2774="","欠損",IF(AO2774&lt;=1.1,"1.0～1.1",IF(AO2774&lt;1.3,"1.2",IF(AO2774&lt;1.5,"1.3～1.4",IF(AO2774&lt;2,"1.5～1.9","2.0以上"))))))</f>
        <v/>
      </c>
      <c r="AQ2774" s="8" t="str">
        <f aca="false">IF(A2774="","",IF(ISNUMBER(SEARCH("2歳",Z2774)),"2歳戦",IF(ISNUMBER(SEARCH("3歳未勝利",Z2774)),"3歳未勝利",IF(ISNUMBER(SEARCH("未勝利",Z2774)),"その他未勝利",IF(ISNUMBER(SEARCH("G1",Z2774)),"G1",IF(ISNUMBER(SEARCH("G2",Z2774)),"G2",IF(ISNUMBER(SEARCH("G3",Z2774)),"G3",IF(ISNUMBER(SEARCH("古馬条件",Z2774)),"古馬条件戦",IF(ISNUMBER(SEARCH("重賞",Z2774)),"重賞","分類不能")))))))))</f>
        <v/>
      </c>
    </row>
    <row r="2775" customFormat="false" ht="15.75" hidden="false" customHeight="false" outlineLevel="0" collapsed="false">
      <c r="AO2775" s="8" t="str">
        <f aca="false">IF(A2775="","",IF(COUNTIFS(全馬データ!$A$2:$A$50000,A2775,全馬データ!$B$2:$B$50000,B2775,全馬データ!$C$2:$C$50000,C2775,全馬データ!$D$2:$D$50000,E2775,全馬データ!$K$2:$K$50000,"&lt;&gt;")=0,"",SUMIFS(全馬データ!$K$2:$K$50000,全馬データ!$A$2:$A$50000,A2775,全馬データ!$B$2:$B$50000,B2775,全馬データ!$C$2:$C$50000,C2775,全馬データ!$D$2:$D$50000,E2775)))</f>
        <v/>
      </c>
      <c r="AP2775" s="8" t="str">
        <f aca="false">IF(A2775="","",IF(AO2775="","欠損",IF(AO2775&lt;=1.1,"1.0～1.1",IF(AO2775&lt;1.3,"1.2",IF(AO2775&lt;1.5,"1.3～1.4",IF(AO2775&lt;2,"1.5～1.9","2.0以上"))))))</f>
        <v/>
      </c>
      <c r="AQ2775" s="8" t="str">
        <f aca="false">IF(A2775="","",IF(ISNUMBER(SEARCH("2歳",Z2775)),"2歳戦",IF(ISNUMBER(SEARCH("3歳未勝利",Z2775)),"3歳未勝利",IF(ISNUMBER(SEARCH("未勝利",Z2775)),"その他未勝利",IF(ISNUMBER(SEARCH("G1",Z2775)),"G1",IF(ISNUMBER(SEARCH("G2",Z2775)),"G2",IF(ISNUMBER(SEARCH("G3",Z2775)),"G3",IF(ISNUMBER(SEARCH("古馬条件",Z2775)),"古馬条件戦",IF(ISNUMBER(SEARCH("重賞",Z2775)),"重賞","分類不能")))))))))</f>
        <v/>
      </c>
    </row>
    <row r="2776" customFormat="false" ht="15.75" hidden="false" customHeight="false" outlineLevel="0" collapsed="false">
      <c r="AO2776" s="8" t="str">
        <f aca="false">IF(A2776="","",IF(COUNTIFS(全馬データ!$A$2:$A$50000,A2776,全馬データ!$B$2:$B$50000,B2776,全馬データ!$C$2:$C$50000,C2776,全馬データ!$D$2:$D$50000,E2776,全馬データ!$K$2:$K$50000,"&lt;&gt;")=0,"",SUMIFS(全馬データ!$K$2:$K$50000,全馬データ!$A$2:$A$50000,A2776,全馬データ!$B$2:$B$50000,B2776,全馬データ!$C$2:$C$50000,C2776,全馬データ!$D$2:$D$50000,E2776)))</f>
        <v/>
      </c>
      <c r="AP2776" s="8" t="str">
        <f aca="false">IF(A2776="","",IF(AO2776="","欠損",IF(AO2776&lt;=1.1,"1.0～1.1",IF(AO2776&lt;1.3,"1.2",IF(AO2776&lt;1.5,"1.3～1.4",IF(AO2776&lt;2,"1.5～1.9","2.0以上"))))))</f>
        <v/>
      </c>
      <c r="AQ2776" s="8" t="str">
        <f aca="false">IF(A2776="","",IF(ISNUMBER(SEARCH("2歳",Z2776)),"2歳戦",IF(ISNUMBER(SEARCH("3歳未勝利",Z2776)),"3歳未勝利",IF(ISNUMBER(SEARCH("未勝利",Z2776)),"その他未勝利",IF(ISNUMBER(SEARCH("G1",Z2776)),"G1",IF(ISNUMBER(SEARCH("G2",Z2776)),"G2",IF(ISNUMBER(SEARCH("G3",Z2776)),"G3",IF(ISNUMBER(SEARCH("古馬条件",Z2776)),"古馬条件戦",IF(ISNUMBER(SEARCH("重賞",Z2776)),"重賞","分類不能")))))))))</f>
        <v/>
      </c>
    </row>
    <row r="2777" customFormat="false" ht="15.75" hidden="false" customHeight="false" outlineLevel="0" collapsed="false">
      <c r="AO2777" s="8" t="str">
        <f aca="false">IF(A2777="","",IF(COUNTIFS(全馬データ!$A$2:$A$50000,A2777,全馬データ!$B$2:$B$50000,B2777,全馬データ!$C$2:$C$50000,C2777,全馬データ!$D$2:$D$50000,E2777,全馬データ!$K$2:$K$50000,"&lt;&gt;")=0,"",SUMIFS(全馬データ!$K$2:$K$50000,全馬データ!$A$2:$A$50000,A2777,全馬データ!$B$2:$B$50000,B2777,全馬データ!$C$2:$C$50000,C2777,全馬データ!$D$2:$D$50000,E2777)))</f>
        <v/>
      </c>
      <c r="AP2777" s="8" t="str">
        <f aca="false">IF(A2777="","",IF(AO2777="","欠損",IF(AO2777&lt;=1.1,"1.0～1.1",IF(AO2777&lt;1.3,"1.2",IF(AO2777&lt;1.5,"1.3～1.4",IF(AO2777&lt;2,"1.5～1.9","2.0以上"))))))</f>
        <v/>
      </c>
      <c r="AQ2777" s="8" t="str">
        <f aca="false">IF(A2777="","",IF(ISNUMBER(SEARCH("2歳",Z2777)),"2歳戦",IF(ISNUMBER(SEARCH("3歳未勝利",Z2777)),"3歳未勝利",IF(ISNUMBER(SEARCH("未勝利",Z2777)),"その他未勝利",IF(ISNUMBER(SEARCH("G1",Z2777)),"G1",IF(ISNUMBER(SEARCH("G2",Z2777)),"G2",IF(ISNUMBER(SEARCH("G3",Z2777)),"G3",IF(ISNUMBER(SEARCH("古馬条件",Z2777)),"古馬条件戦",IF(ISNUMBER(SEARCH("重賞",Z2777)),"重賞","分類不能")))))))))</f>
        <v/>
      </c>
    </row>
    <row r="2778" customFormat="false" ht="15.75" hidden="false" customHeight="false" outlineLevel="0" collapsed="false">
      <c r="AO2778" s="8" t="str">
        <f aca="false">IF(A2778="","",IF(COUNTIFS(全馬データ!$A$2:$A$50000,A2778,全馬データ!$B$2:$B$50000,B2778,全馬データ!$C$2:$C$50000,C2778,全馬データ!$D$2:$D$50000,E2778,全馬データ!$K$2:$K$50000,"&lt;&gt;")=0,"",SUMIFS(全馬データ!$K$2:$K$50000,全馬データ!$A$2:$A$50000,A2778,全馬データ!$B$2:$B$50000,B2778,全馬データ!$C$2:$C$50000,C2778,全馬データ!$D$2:$D$50000,E2778)))</f>
        <v/>
      </c>
      <c r="AP2778" s="8" t="str">
        <f aca="false">IF(A2778="","",IF(AO2778="","欠損",IF(AO2778&lt;=1.1,"1.0～1.1",IF(AO2778&lt;1.3,"1.2",IF(AO2778&lt;1.5,"1.3～1.4",IF(AO2778&lt;2,"1.5～1.9","2.0以上"))))))</f>
        <v/>
      </c>
      <c r="AQ2778" s="8" t="str">
        <f aca="false">IF(A2778="","",IF(ISNUMBER(SEARCH("2歳",Z2778)),"2歳戦",IF(ISNUMBER(SEARCH("3歳未勝利",Z2778)),"3歳未勝利",IF(ISNUMBER(SEARCH("未勝利",Z2778)),"その他未勝利",IF(ISNUMBER(SEARCH("G1",Z2778)),"G1",IF(ISNUMBER(SEARCH("G2",Z2778)),"G2",IF(ISNUMBER(SEARCH("G3",Z2778)),"G3",IF(ISNUMBER(SEARCH("古馬条件",Z2778)),"古馬条件戦",IF(ISNUMBER(SEARCH("重賞",Z2778)),"重賞","分類不能")))))))))</f>
        <v/>
      </c>
    </row>
    <row r="2779" customFormat="false" ht="15.75" hidden="false" customHeight="false" outlineLevel="0" collapsed="false">
      <c r="AO2779" s="8" t="str">
        <f aca="false">IF(A2779="","",IF(COUNTIFS(全馬データ!$A$2:$A$50000,A2779,全馬データ!$B$2:$B$50000,B2779,全馬データ!$C$2:$C$50000,C2779,全馬データ!$D$2:$D$50000,E2779,全馬データ!$K$2:$K$50000,"&lt;&gt;")=0,"",SUMIFS(全馬データ!$K$2:$K$50000,全馬データ!$A$2:$A$50000,A2779,全馬データ!$B$2:$B$50000,B2779,全馬データ!$C$2:$C$50000,C2779,全馬データ!$D$2:$D$50000,E2779)))</f>
        <v/>
      </c>
      <c r="AP2779" s="8" t="str">
        <f aca="false">IF(A2779="","",IF(AO2779="","欠損",IF(AO2779&lt;=1.1,"1.0～1.1",IF(AO2779&lt;1.3,"1.2",IF(AO2779&lt;1.5,"1.3～1.4",IF(AO2779&lt;2,"1.5～1.9","2.0以上"))))))</f>
        <v/>
      </c>
      <c r="AQ2779" s="8" t="str">
        <f aca="false">IF(A2779="","",IF(ISNUMBER(SEARCH("2歳",Z2779)),"2歳戦",IF(ISNUMBER(SEARCH("3歳未勝利",Z2779)),"3歳未勝利",IF(ISNUMBER(SEARCH("未勝利",Z2779)),"その他未勝利",IF(ISNUMBER(SEARCH("G1",Z2779)),"G1",IF(ISNUMBER(SEARCH("G2",Z2779)),"G2",IF(ISNUMBER(SEARCH("G3",Z2779)),"G3",IF(ISNUMBER(SEARCH("古馬条件",Z2779)),"古馬条件戦",IF(ISNUMBER(SEARCH("重賞",Z2779)),"重賞","分類不能")))))))))</f>
        <v/>
      </c>
    </row>
    <row r="2780" customFormat="false" ht="15.75" hidden="false" customHeight="false" outlineLevel="0" collapsed="false">
      <c r="AO2780" s="8" t="str">
        <f aca="false">IF(A2780="","",IF(COUNTIFS(全馬データ!$A$2:$A$50000,A2780,全馬データ!$B$2:$B$50000,B2780,全馬データ!$C$2:$C$50000,C2780,全馬データ!$D$2:$D$50000,E2780,全馬データ!$K$2:$K$50000,"&lt;&gt;")=0,"",SUMIFS(全馬データ!$K$2:$K$50000,全馬データ!$A$2:$A$50000,A2780,全馬データ!$B$2:$B$50000,B2780,全馬データ!$C$2:$C$50000,C2780,全馬データ!$D$2:$D$50000,E2780)))</f>
        <v/>
      </c>
      <c r="AP2780" s="8" t="str">
        <f aca="false">IF(A2780="","",IF(AO2780="","欠損",IF(AO2780&lt;=1.1,"1.0～1.1",IF(AO2780&lt;1.3,"1.2",IF(AO2780&lt;1.5,"1.3～1.4",IF(AO2780&lt;2,"1.5～1.9","2.0以上"))))))</f>
        <v/>
      </c>
      <c r="AQ2780" s="8" t="str">
        <f aca="false">IF(A2780="","",IF(ISNUMBER(SEARCH("2歳",Z2780)),"2歳戦",IF(ISNUMBER(SEARCH("3歳未勝利",Z2780)),"3歳未勝利",IF(ISNUMBER(SEARCH("未勝利",Z2780)),"その他未勝利",IF(ISNUMBER(SEARCH("G1",Z2780)),"G1",IF(ISNUMBER(SEARCH("G2",Z2780)),"G2",IF(ISNUMBER(SEARCH("G3",Z2780)),"G3",IF(ISNUMBER(SEARCH("古馬条件",Z2780)),"古馬条件戦",IF(ISNUMBER(SEARCH("重賞",Z2780)),"重賞","分類不能")))))))))</f>
        <v/>
      </c>
    </row>
    <row r="2781" customFormat="false" ht="15.75" hidden="false" customHeight="false" outlineLevel="0" collapsed="false">
      <c r="AO2781" s="8" t="str">
        <f aca="false">IF(A2781="","",IF(COUNTIFS(全馬データ!$A$2:$A$50000,A2781,全馬データ!$B$2:$B$50000,B2781,全馬データ!$C$2:$C$50000,C2781,全馬データ!$D$2:$D$50000,E2781,全馬データ!$K$2:$K$50000,"&lt;&gt;")=0,"",SUMIFS(全馬データ!$K$2:$K$50000,全馬データ!$A$2:$A$50000,A2781,全馬データ!$B$2:$B$50000,B2781,全馬データ!$C$2:$C$50000,C2781,全馬データ!$D$2:$D$50000,E2781)))</f>
        <v/>
      </c>
      <c r="AP2781" s="8" t="str">
        <f aca="false">IF(A2781="","",IF(AO2781="","欠損",IF(AO2781&lt;=1.1,"1.0～1.1",IF(AO2781&lt;1.3,"1.2",IF(AO2781&lt;1.5,"1.3～1.4",IF(AO2781&lt;2,"1.5～1.9","2.0以上"))))))</f>
        <v/>
      </c>
      <c r="AQ2781" s="8" t="str">
        <f aca="false">IF(A2781="","",IF(ISNUMBER(SEARCH("2歳",Z2781)),"2歳戦",IF(ISNUMBER(SEARCH("3歳未勝利",Z2781)),"3歳未勝利",IF(ISNUMBER(SEARCH("未勝利",Z2781)),"その他未勝利",IF(ISNUMBER(SEARCH("G1",Z2781)),"G1",IF(ISNUMBER(SEARCH("G2",Z2781)),"G2",IF(ISNUMBER(SEARCH("G3",Z2781)),"G3",IF(ISNUMBER(SEARCH("古馬条件",Z2781)),"古馬条件戦",IF(ISNUMBER(SEARCH("重賞",Z2781)),"重賞","分類不能")))))))))</f>
        <v/>
      </c>
    </row>
    <row r="2782" customFormat="false" ht="15.75" hidden="false" customHeight="false" outlineLevel="0" collapsed="false">
      <c r="AO2782" s="8" t="str">
        <f aca="false">IF(A2782="","",IF(COUNTIFS(全馬データ!$A$2:$A$50000,A2782,全馬データ!$B$2:$B$50000,B2782,全馬データ!$C$2:$C$50000,C2782,全馬データ!$D$2:$D$50000,E2782,全馬データ!$K$2:$K$50000,"&lt;&gt;")=0,"",SUMIFS(全馬データ!$K$2:$K$50000,全馬データ!$A$2:$A$50000,A2782,全馬データ!$B$2:$B$50000,B2782,全馬データ!$C$2:$C$50000,C2782,全馬データ!$D$2:$D$50000,E2782)))</f>
        <v/>
      </c>
      <c r="AP2782" s="8" t="str">
        <f aca="false">IF(A2782="","",IF(AO2782="","欠損",IF(AO2782&lt;=1.1,"1.0～1.1",IF(AO2782&lt;1.3,"1.2",IF(AO2782&lt;1.5,"1.3～1.4",IF(AO2782&lt;2,"1.5～1.9","2.0以上"))))))</f>
        <v/>
      </c>
      <c r="AQ2782" s="8" t="str">
        <f aca="false">IF(A2782="","",IF(ISNUMBER(SEARCH("2歳",Z2782)),"2歳戦",IF(ISNUMBER(SEARCH("3歳未勝利",Z2782)),"3歳未勝利",IF(ISNUMBER(SEARCH("未勝利",Z2782)),"その他未勝利",IF(ISNUMBER(SEARCH("G1",Z2782)),"G1",IF(ISNUMBER(SEARCH("G2",Z2782)),"G2",IF(ISNUMBER(SEARCH("G3",Z2782)),"G3",IF(ISNUMBER(SEARCH("古馬条件",Z2782)),"古馬条件戦",IF(ISNUMBER(SEARCH("重賞",Z2782)),"重賞","分類不能")))))))))</f>
        <v/>
      </c>
    </row>
    <row r="2783" customFormat="false" ht="15.75" hidden="false" customHeight="false" outlineLevel="0" collapsed="false">
      <c r="AO2783" s="8" t="str">
        <f aca="false">IF(A2783="","",IF(COUNTIFS(全馬データ!$A$2:$A$50000,A2783,全馬データ!$B$2:$B$50000,B2783,全馬データ!$C$2:$C$50000,C2783,全馬データ!$D$2:$D$50000,E2783,全馬データ!$K$2:$K$50000,"&lt;&gt;")=0,"",SUMIFS(全馬データ!$K$2:$K$50000,全馬データ!$A$2:$A$50000,A2783,全馬データ!$B$2:$B$50000,B2783,全馬データ!$C$2:$C$50000,C2783,全馬データ!$D$2:$D$50000,E2783)))</f>
        <v/>
      </c>
      <c r="AP2783" s="8" t="str">
        <f aca="false">IF(A2783="","",IF(AO2783="","欠損",IF(AO2783&lt;=1.1,"1.0～1.1",IF(AO2783&lt;1.3,"1.2",IF(AO2783&lt;1.5,"1.3～1.4",IF(AO2783&lt;2,"1.5～1.9","2.0以上"))))))</f>
        <v/>
      </c>
      <c r="AQ2783" s="8" t="str">
        <f aca="false">IF(A2783="","",IF(ISNUMBER(SEARCH("2歳",Z2783)),"2歳戦",IF(ISNUMBER(SEARCH("3歳未勝利",Z2783)),"3歳未勝利",IF(ISNUMBER(SEARCH("未勝利",Z2783)),"その他未勝利",IF(ISNUMBER(SEARCH("G1",Z2783)),"G1",IF(ISNUMBER(SEARCH("G2",Z2783)),"G2",IF(ISNUMBER(SEARCH("G3",Z2783)),"G3",IF(ISNUMBER(SEARCH("古馬条件",Z2783)),"古馬条件戦",IF(ISNUMBER(SEARCH("重賞",Z2783)),"重賞","分類不能")))))))))</f>
        <v/>
      </c>
    </row>
    <row r="2784" customFormat="false" ht="15.75" hidden="false" customHeight="false" outlineLevel="0" collapsed="false">
      <c r="AO2784" s="8" t="str">
        <f aca="false">IF(A2784="","",IF(COUNTIFS(全馬データ!$A$2:$A$50000,A2784,全馬データ!$B$2:$B$50000,B2784,全馬データ!$C$2:$C$50000,C2784,全馬データ!$D$2:$D$50000,E2784,全馬データ!$K$2:$K$50000,"&lt;&gt;")=0,"",SUMIFS(全馬データ!$K$2:$K$50000,全馬データ!$A$2:$A$50000,A2784,全馬データ!$B$2:$B$50000,B2784,全馬データ!$C$2:$C$50000,C2784,全馬データ!$D$2:$D$50000,E2784)))</f>
        <v/>
      </c>
      <c r="AP2784" s="8" t="str">
        <f aca="false">IF(A2784="","",IF(AO2784="","欠損",IF(AO2784&lt;=1.1,"1.0～1.1",IF(AO2784&lt;1.3,"1.2",IF(AO2784&lt;1.5,"1.3～1.4",IF(AO2784&lt;2,"1.5～1.9","2.0以上"))))))</f>
        <v/>
      </c>
      <c r="AQ2784" s="8" t="str">
        <f aca="false">IF(A2784="","",IF(ISNUMBER(SEARCH("2歳",Z2784)),"2歳戦",IF(ISNUMBER(SEARCH("3歳未勝利",Z2784)),"3歳未勝利",IF(ISNUMBER(SEARCH("未勝利",Z2784)),"その他未勝利",IF(ISNUMBER(SEARCH("G1",Z2784)),"G1",IF(ISNUMBER(SEARCH("G2",Z2784)),"G2",IF(ISNUMBER(SEARCH("G3",Z2784)),"G3",IF(ISNUMBER(SEARCH("古馬条件",Z2784)),"古馬条件戦",IF(ISNUMBER(SEARCH("重賞",Z2784)),"重賞","分類不能")))))))))</f>
        <v/>
      </c>
    </row>
    <row r="2785" customFormat="false" ht="15.75" hidden="false" customHeight="false" outlineLevel="0" collapsed="false">
      <c r="AO2785" s="8" t="str">
        <f aca="false">IF(A2785="","",IF(COUNTIFS(全馬データ!$A$2:$A$50000,A2785,全馬データ!$B$2:$B$50000,B2785,全馬データ!$C$2:$C$50000,C2785,全馬データ!$D$2:$D$50000,E2785,全馬データ!$K$2:$K$50000,"&lt;&gt;")=0,"",SUMIFS(全馬データ!$K$2:$K$50000,全馬データ!$A$2:$A$50000,A2785,全馬データ!$B$2:$B$50000,B2785,全馬データ!$C$2:$C$50000,C2785,全馬データ!$D$2:$D$50000,E2785)))</f>
        <v/>
      </c>
      <c r="AP2785" s="8" t="str">
        <f aca="false">IF(A2785="","",IF(AO2785="","欠損",IF(AO2785&lt;=1.1,"1.0～1.1",IF(AO2785&lt;1.3,"1.2",IF(AO2785&lt;1.5,"1.3～1.4",IF(AO2785&lt;2,"1.5～1.9","2.0以上"))))))</f>
        <v/>
      </c>
      <c r="AQ2785" s="8" t="str">
        <f aca="false">IF(A2785="","",IF(ISNUMBER(SEARCH("2歳",Z2785)),"2歳戦",IF(ISNUMBER(SEARCH("3歳未勝利",Z2785)),"3歳未勝利",IF(ISNUMBER(SEARCH("未勝利",Z2785)),"その他未勝利",IF(ISNUMBER(SEARCH("G1",Z2785)),"G1",IF(ISNUMBER(SEARCH("G2",Z2785)),"G2",IF(ISNUMBER(SEARCH("G3",Z2785)),"G3",IF(ISNUMBER(SEARCH("古馬条件",Z2785)),"古馬条件戦",IF(ISNUMBER(SEARCH("重賞",Z2785)),"重賞","分類不能")))))))))</f>
        <v/>
      </c>
    </row>
    <row r="2786" customFormat="false" ht="15.75" hidden="false" customHeight="false" outlineLevel="0" collapsed="false">
      <c r="AO2786" s="8" t="str">
        <f aca="false">IF(A2786="","",IF(COUNTIFS(全馬データ!$A$2:$A$50000,A2786,全馬データ!$B$2:$B$50000,B2786,全馬データ!$C$2:$C$50000,C2786,全馬データ!$D$2:$D$50000,E2786,全馬データ!$K$2:$K$50000,"&lt;&gt;")=0,"",SUMIFS(全馬データ!$K$2:$K$50000,全馬データ!$A$2:$A$50000,A2786,全馬データ!$B$2:$B$50000,B2786,全馬データ!$C$2:$C$50000,C2786,全馬データ!$D$2:$D$50000,E2786)))</f>
        <v/>
      </c>
      <c r="AP2786" s="8" t="str">
        <f aca="false">IF(A2786="","",IF(AO2786="","欠損",IF(AO2786&lt;=1.1,"1.0～1.1",IF(AO2786&lt;1.3,"1.2",IF(AO2786&lt;1.5,"1.3～1.4",IF(AO2786&lt;2,"1.5～1.9","2.0以上"))))))</f>
        <v/>
      </c>
      <c r="AQ2786" s="8" t="str">
        <f aca="false">IF(A2786="","",IF(ISNUMBER(SEARCH("2歳",Z2786)),"2歳戦",IF(ISNUMBER(SEARCH("3歳未勝利",Z2786)),"3歳未勝利",IF(ISNUMBER(SEARCH("未勝利",Z2786)),"その他未勝利",IF(ISNUMBER(SEARCH("G1",Z2786)),"G1",IF(ISNUMBER(SEARCH("G2",Z2786)),"G2",IF(ISNUMBER(SEARCH("G3",Z2786)),"G3",IF(ISNUMBER(SEARCH("古馬条件",Z2786)),"古馬条件戦",IF(ISNUMBER(SEARCH("重賞",Z2786)),"重賞","分類不能")))))))))</f>
        <v/>
      </c>
    </row>
    <row r="2787" customFormat="false" ht="15.75" hidden="false" customHeight="false" outlineLevel="0" collapsed="false">
      <c r="AO2787" s="8" t="str">
        <f aca="false">IF(A2787="","",IF(COUNTIFS(全馬データ!$A$2:$A$50000,A2787,全馬データ!$B$2:$B$50000,B2787,全馬データ!$C$2:$C$50000,C2787,全馬データ!$D$2:$D$50000,E2787,全馬データ!$K$2:$K$50000,"&lt;&gt;")=0,"",SUMIFS(全馬データ!$K$2:$K$50000,全馬データ!$A$2:$A$50000,A2787,全馬データ!$B$2:$B$50000,B2787,全馬データ!$C$2:$C$50000,C2787,全馬データ!$D$2:$D$50000,E2787)))</f>
        <v/>
      </c>
      <c r="AP2787" s="8" t="str">
        <f aca="false">IF(A2787="","",IF(AO2787="","欠損",IF(AO2787&lt;=1.1,"1.0～1.1",IF(AO2787&lt;1.3,"1.2",IF(AO2787&lt;1.5,"1.3～1.4",IF(AO2787&lt;2,"1.5～1.9","2.0以上"))))))</f>
        <v/>
      </c>
      <c r="AQ2787" s="8" t="str">
        <f aca="false">IF(A2787="","",IF(ISNUMBER(SEARCH("2歳",Z2787)),"2歳戦",IF(ISNUMBER(SEARCH("3歳未勝利",Z2787)),"3歳未勝利",IF(ISNUMBER(SEARCH("未勝利",Z2787)),"その他未勝利",IF(ISNUMBER(SEARCH("G1",Z2787)),"G1",IF(ISNUMBER(SEARCH("G2",Z2787)),"G2",IF(ISNUMBER(SEARCH("G3",Z2787)),"G3",IF(ISNUMBER(SEARCH("古馬条件",Z2787)),"古馬条件戦",IF(ISNUMBER(SEARCH("重賞",Z2787)),"重賞","分類不能")))))))))</f>
        <v/>
      </c>
    </row>
    <row r="2788" customFormat="false" ht="15.75" hidden="false" customHeight="false" outlineLevel="0" collapsed="false">
      <c r="AO2788" s="8" t="str">
        <f aca="false">IF(A2788="","",IF(COUNTIFS(全馬データ!$A$2:$A$50000,A2788,全馬データ!$B$2:$B$50000,B2788,全馬データ!$C$2:$C$50000,C2788,全馬データ!$D$2:$D$50000,E2788,全馬データ!$K$2:$K$50000,"&lt;&gt;")=0,"",SUMIFS(全馬データ!$K$2:$K$50000,全馬データ!$A$2:$A$50000,A2788,全馬データ!$B$2:$B$50000,B2788,全馬データ!$C$2:$C$50000,C2788,全馬データ!$D$2:$D$50000,E2788)))</f>
        <v/>
      </c>
      <c r="AP2788" s="8" t="str">
        <f aca="false">IF(A2788="","",IF(AO2788="","欠損",IF(AO2788&lt;=1.1,"1.0～1.1",IF(AO2788&lt;1.3,"1.2",IF(AO2788&lt;1.5,"1.3～1.4",IF(AO2788&lt;2,"1.5～1.9","2.0以上"))))))</f>
        <v/>
      </c>
      <c r="AQ2788" s="8" t="str">
        <f aca="false">IF(A2788="","",IF(ISNUMBER(SEARCH("2歳",Z2788)),"2歳戦",IF(ISNUMBER(SEARCH("3歳未勝利",Z2788)),"3歳未勝利",IF(ISNUMBER(SEARCH("未勝利",Z2788)),"その他未勝利",IF(ISNUMBER(SEARCH("G1",Z2788)),"G1",IF(ISNUMBER(SEARCH("G2",Z2788)),"G2",IF(ISNUMBER(SEARCH("G3",Z2788)),"G3",IF(ISNUMBER(SEARCH("古馬条件",Z2788)),"古馬条件戦",IF(ISNUMBER(SEARCH("重賞",Z2788)),"重賞","分類不能")))))))))</f>
        <v/>
      </c>
    </row>
    <row r="2789" customFormat="false" ht="15.75" hidden="false" customHeight="false" outlineLevel="0" collapsed="false">
      <c r="AO2789" s="8" t="str">
        <f aca="false">IF(A2789="","",IF(COUNTIFS(全馬データ!$A$2:$A$50000,A2789,全馬データ!$B$2:$B$50000,B2789,全馬データ!$C$2:$C$50000,C2789,全馬データ!$D$2:$D$50000,E2789,全馬データ!$K$2:$K$50000,"&lt;&gt;")=0,"",SUMIFS(全馬データ!$K$2:$K$50000,全馬データ!$A$2:$A$50000,A2789,全馬データ!$B$2:$B$50000,B2789,全馬データ!$C$2:$C$50000,C2789,全馬データ!$D$2:$D$50000,E2789)))</f>
        <v/>
      </c>
      <c r="AP2789" s="8" t="str">
        <f aca="false">IF(A2789="","",IF(AO2789="","欠損",IF(AO2789&lt;=1.1,"1.0～1.1",IF(AO2789&lt;1.3,"1.2",IF(AO2789&lt;1.5,"1.3～1.4",IF(AO2789&lt;2,"1.5～1.9","2.0以上"))))))</f>
        <v/>
      </c>
      <c r="AQ2789" s="8" t="str">
        <f aca="false">IF(A2789="","",IF(ISNUMBER(SEARCH("2歳",Z2789)),"2歳戦",IF(ISNUMBER(SEARCH("3歳未勝利",Z2789)),"3歳未勝利",IF(ISNUMBER(SEARCH("未勝利",Z2789)),"その他未勝利",IF(ISNUMBER(SEARCH("G1",Z2789)),"G1",IF(ISNUMBER(SEARCH("G2",Z2789)),"G2",IF(ISNUMBER(SEARCH("G3",Z2789)),"G3",IF(ISNUMBER(SEARCH("古馬条件",Z2789)),"古馬条件戦",IF(ISNUMBER(SEARCH("重賞",Z2789)),"重賞","分類不能")))))))))</f>
        <v/>
      </c>
    </row>
    <row r="2790" customFormat="false" ht="15.75" hidden="false" customHeight="false" outlineLevel="0" collapsed="false">
      <c r="AO2790" s="8" t="str">
        <f aca="false">IF(A2790="","",IF(COUNTIFS(全馬データ!$A$2:$A$50000,A2790,全馬データ!$B$2:$B$50000,B2790,全馬データ!$C$2:$C$50000,C2790,全馬データ!$D$2:$D$50000,E2790,全馬データ!$K$2:$K$50000,"&lt;&gt;")=0,"",SUMIFS(全馬データ!$K$2:$K$50000,全馬データ!$A$2:$A$50000,A2790,全馬データ!$B$2:$B$50000,B2790,全馬データ!$C$2:$C$50000,C2790,全馬データ!$D$2:$D$50000,E2790)))</f>
        <v/>
      </c>
      <c r="AP2790" s="8" t="str">
        <f aca="false">IF(A2790="","",IF(AO2790="","欠損",IF(AO2790&lt;=1.1,"1.0～1.1",IF(AO2790&lt;1.3,"1.2",IF(AO2790&lt;1.5,"1.3～1.4",IF(AO2790&lt;2,"1.5～1.9","2.0以上"))))))</f>
        <v/>
      </c>
      <c r="AQ2790" s="8" t="str">
        <f aca="false">IF(A2790="","",IF(ISNUMBER(SEARCH("2歳",Z2790)),"2歳戦",IF(ISNUMBER(SEARCH("3歳未勝利",Z2790)),"3歳未勝利",IF(ISNUMBER(SEARCH("未勝利",Z2790)),"その他未勝利",IF(ISNUMBER(SEARCH("G1",Z2790)),"G1",IF(ISNUMBER(SEARCH("G2",Z2790)),"G2",IF(ISNUMBER(SEARCH("G3",Z2790)),"G3",IF(ISNUMBER(SEARCH("古馬条件",Z2790)),"古馬条件戦",IF(ISNUMBER(SEARCH("重賞",Z2790)),"重賞","分類不能")))))))))</f>
        <v/>
      </c>
    </row>
    <row r="2791" customFormat="false" ht="15.75" hidden="false" customHeight="false" outlineLevel="0" collapsed="false">
      <c r="AO2791" s="8" t="str">
        <f aca="false">IF(A2791="","",IF(COUNTIFS(全馬データ!$A$2:$A$50000,A2791,全馬データ!$B$2:$B$50000,B2791,全馬データ!$C$2:$C$50000,C2791,全馬データ!$D$2:$D$50000,E2791,全馬データ!$K$2:$K$50000,"&lt;&gt;")=0,"",SUMIFS(全馬データ!$K$2:$K$50000,全馬データ!$A$2:$A$50000,A2791,全馬データ!$B$2:$B$50000,B2791,全馬データ!$C$2:$C$50000,C2791,全馬データ!$D$2:$D$50000,E2791)))</f>
        <v/>
      </c>
      <c r="AP2791" s="8" t="str">
        <f aca="false">IF(A2791="","",IF(AO2791="","欠損",IF(AO2791&lt;=1.1,"1.0～1.1",IF(AO2791&lt;1.3,"1.2",IF(AO2791&lt;1.5,"1.3～1.4",IF(AO2791&lt;2,"1.5～1.9","2.0以上"))))))</f>
        <v/>
      </c>
      <c r="AQ2791" s="8" t="str">
        <f aca="false">IF(A2791="","",IF(ISNUMBER(SEARCH("2歳",Z2791)),"2歳戦",IF(ISNUMBER(SEARCH("3歳未勝利",Z2791)),"3歳未勝利",IF(ISNUMBER(SEARCH("未勝利",Z2791)),"その他未勝利",IF(ISNUMBER(SEARCH("G1",Z2791)),"G1",IF(ISNUMBER(SEARCH("G2",Z2791)),"G2",IF(ISNUMBER(SEARCH("G3",Z2791)),"G3",IF(ISNUMBER(SEARCH("古馬条件",Z2791)),"古馬条件戦",IF(ISNUMBER(SEARCH("重賞",Z2791)),"重賞","分類不能")))))))))</f>
        <v/>
      </c>
    </row>
    <row r="2792" customFormat="false" ht="15.75" hidden="false" customHeight="false" outlineLevel="0" collapsed="false">
      <c r="AO2792" s="8" t="str">
        <f aca="false">IF(A2792="","",IF(COUNTIFS(全馬データ!$A$2:$A$50000,A2792,全馬データ!$B$2:$B$50000,B2792,全馬データ!$C$2:$C$50000,C2792,全馬データ!$D$2:$D$50000,E2792,全馬データ!$K$2:$K$50000,"&lt;&gt;")=0,"",SUMIFS(全馬データ!$K$2:$K$50000,全馬データ!$A$2:$A$50000,A2792,全馬データ!$B$2:$B$50000,B2792,全馬データ!$C$2:$C$50000,C2792,全馬データ!$D$2:$D$50000,E2792)))</f>
        <v/>
      </c>
      <c r="AP2792" s="8" t="str">
        <f aca="false">IF(A2792="","",IF(AO2792="","欠損",IF(AO2792&lt;=1.1,"1.0～1.1",IF(AO2792&lt;1.3,"1.2",IF(AO2792&lt;1.5,"1.3～1.4",IF(AO2792&lt;2,"1.5～1.9","2.0以上"))))))</f>
        <v/>
      </c>
      <c r="AQ2792" s="8" t="str">
        <f aca="false">IF(A2792="","",IF(ISNUMBER(SEARCH("2歳",Z2792)),"2歳戦",IF(ISNUMBER(SEARCH("3歳未勝利",Z2792)),"3歳未勝利",IF(ISNUMBER(SEARCH("未勝利",Z2792)),"その他未勝利",IF(ISNUMBER(SEARCH("G1",Z2792)),"G1",IF(ISNUMBER(SEARCH("G2",Z2792)),"G2",IF(ISNUMBER(SEARCH("G3",Z2792)),"G3",IF(ISNUMBER(SEARCH("古馬条件",Z2792)),"古馬条件戦",IF(ISNUMBER(SEARCH("重賞",Z2792)),"重賞","分類不能")))))))))</f>
        <v/>
      </c>
    </row>
    <row r="2793" customFormat="false" ht="15.75" hidden="false" customHeight="false" outlineLevel="0" collapsed="false">
      <c r="AO2793" s="8" t="str">
        <f aca="false">IF(A2793="","",IF(COUNTIFS(全馬データ!$A$2:$A$50000,A2793,全馬データ!$B$2:$B$50000,B2793,全馬データ!$C$2:$C$50000,C2793,全馬データ!$D$2:$D$50000,E2793,全馬データ!$K$2:$K$50000,"&lt;&gt;")=0,"",SUMIFS(全馬データ!$K$2:$K$50000,全馬データ!$A$2:$A$50000,A2793,全馬データ!$B$2:$B$50000,B2793,全馬データ!$C$2:$C$50000,C2793,全馬データ!$D$2:$D$50000,E2793)))</f>
        <v/>
      </c>
      <c r="AP2793" s="8" t="str">
        <f aca="false">IF(A2793="","",IF(AO2793="","欠損",IF(AO2793&lt;=1.1,"1.0～1.1",IF(AO2793&lt;1.3,"1.2",IF(AO2793&lt;1.5,"1.3～1.4",IF(AO2793&lt;2,"1.5～1.9","2.0以上"))))))</f>
        <v/>
      </c>
      <c r="AQ2793" s="8" t="str">
        <f aca="false">IF(A2793="","",IF(ISNUMBER(SEARCH("2歳",Z2793)),"2歳戦",IF(ISNUMBER(SEARCH("3歳未勝利",Z2793)),"3歳未勝利",IF(ISNUMBER(SEARCH("未勝利",Z2793)),"その他未勝利",IF(ISNUMBER(SEARCH("G1",Z2793)),"G1",IF(ISNUMBER(SEARCH("G2",Z2793)),"G2",IF(ISNUMBER(SEARCH("G3",Z2793)),"G3",IF(ISNUMBER(SEARCH("古馬条件",Z2793)),"古馬条件戦",IF(ISNUMBER(SEARCH("重賞",Z2793)),"重賞","分類不能")))))))))</f>
        <v/>
      </c>
    </row>
    <row r="2794" customFormat="false" ht="15.75" hidden="false" customHeight="false" outlineLevel="0" collapsed="false">
      <c r="AO2794" s="8" t="str">
        <f aca="false">IF(A2794="","",IF(COUNTIFS(全馬データ!$A$2:$A$50000,A2794,全馬データ!$B$2:$B$50000,B2794,全馬データ!$C$2:$C$50000,C2794,全馬データ!$D$2:$D$50000,E2794,全馬データ!$K$2:$K$50000,"&lt;&gt;")=0,"",SUMIFS(全馬データ!$K$2:$K$50000,全馬データ!$A$2:$A$50000,A2794,全馬データ!$B$2:$B$50000,B2794,全馬データ!$C$2:$C$50000,C2794,全馬データ!$D$2:$D$50000,E2794)))</f>
        <v/>
      </c>
      <c r="AP2794" s="8" t="str">
        <f aca="false">IF(A2794="","",IF(AO2794="","欠損",IF(AO2794&lt;=1.1,"1.0～1.1",IF(AO2794&lt;1.3,"1.2",IF(AO2794&lt;1.5,"1.3～1.4",IF(AO2794&lt;2,"1.5～1.9","2.0以上"))))))</f>
        <v/>
      </c>
      <c r="AQ2794" s="8" t="str">
        <f aca="false">IF(A2794="","",IF(ISNUMBER(SEARCH("2歳",Z2794)),"2歳戦",IF(ISNUMBER(SEARCH("3歳未勝利",Z2794)),"3歳未勝利",IF(ISNUMBER(SEARCH("未勝利",Z2794)),"その他未勝利",IF(ISNUMBER(SEARCH("G1",Z2794)),"G1",IF(ISNUMBER(SEARCH("G2",Z2794)),"G2",IF(ISNUMBER(SEARCH("G3",Z2794)),"G3",IF(ISNUMBER(SEARCH("古馬条件",Z2794)),"古馬条件戦",IF(ISNUMBER(SEARCH("重賞",Z2794)),"重賞","分類不能")))))))))</f>
        <v/>
      </c>
    </row>
    <row r="2795" customFormat="false" ht="15.75" hidden="false" customHeight="false" outlineLevel="0" collapsed="false">
      <c r="AO2795" s="8" t="str">
        <f aca="false">IF(A2795="","",IF(COUNTIFS(全馬データ!$A$2:$A$50000,A2795,全馬データ!$B$2:$B$50000,B2795,全馬データ!$C$2:$C$50000,C2795,全馬データ!$D$2:$D$50000,E2795,全馬データ!$K$2:$K$50000,"&lt;&gt;")=0,"",SUMIFS(全馬データ!$K$2:$K$50000,全馬データ!$A$2:$A$50000,A2795,全馬データ!$B$2:$B$50000,B2795,全馬データ!$C$2:$C$50000,C2795,全馬データ!$D$2:$D$50000,E2795)))</f>
        <v/>
      </c>
      <c r="AP2795" s="8" t="str">
        <f aca="false">IF(A2795="","",IF(AO2795="","欠損",IF(AO2795&lt;=1.1,"1.0～1.1",IF(AO2795&lt;1.3,"1.2",IF(AO2795&lt;1.5,"1.3～1.4",IF(AO2795&lt;2,"1.5～1.9","2.0以上"))))))</f>
        <v/>
      </c>
      <c r="AQ2795" s="8" t="str">
        <f aca="false">IF(A2795="","",IF(ISNUMBER(SEARCH("2歳",Z2795)),"2歳戦",IF(ISNUMBER(SEARCH("3歳未勝利",Z2795)),"3歳未勝利",IF(ISNUMBER(SEARCH("未勝利",Z2795)),"その他未勝利",IF(ISNUMBER(SEARCH("G1",Z2795)),"G1",IF(ISNUMBER(SEARCH("G2",Z2795)),"G2",IF(ISNUMBER(SEARCH("G3",Z2795)),"G3",IF(ISNUMBER(SEARCH("古馬条件",Z2795)),"古馬条件戦",IF(ISNUMBER(SEARCH("重賞",Z2795)),"重賞","分類不能")))))))))</f>
        <v/>
      </c>
    </row>
    <row r="2796" customFormat="false" ht="15.75" hidden="false" customHeight="false" outlineLevel="0" collapsed="false">
      <c r="AO2796" s="8" t="str">
        <f aca="false">IF(A2796="","",IF(COUNTIFS(全馬データ!$A$2:$A$50000,A2796,全馬データ!$B$2:$B$50000,B2796,全馬データ!$C$2:$C$50000,C2796,全馬データ!$D$2:$D$50000,E2796,全馬データ!$K$2:$K$50000,"&lt;&gt;")=0,"",SUMIFS(全馬データ!$K$2:$K$50000,全馬データ!$A$2:$A$50000,A2796,全馬データ!$B$2:$B$50000,B2796,全馬データ!$C$2:$C$50000,C2796,全馬データ!$D$2:$D$50000,E2796)))</f>
        <v/>
      </c>
      <c r="AP2796" s="8" t="str">
        <f aca="false">IF(A2796="","",IF(AO2796="","欠損",IF(AO2796&lt;=1.1,"1.0～1.1",IF(AO2796&lt;1.3,"1.2",IF(AO2796&lt;1.5,"1.3～1.4",IF(AO2796&lt;2,"1.5～1.9","2.0以上"))))))</f>
        <v/>
      </c>
      <c r="AQ2796" s="8" t="str">
        <f aca="false">IF(A2796="","",IF(ISNUMBER(SEARCH("2歳",Z2796)),"2歳戦",IF(ISNUMBER(SEARCH("3歳未勝利",Z2796)),"3歳未勝利",IF(ISNUMBER(SEARCH("未勝利",Z2796)),"その他未勝利",IF(ISNUMBER(SEARCH("G1",Z2796)),"G1",IF(ISNUMBER(SEARCH("G2",Z2796)),"G2",IF(ISNUMBER(SEARCH("G3",Z2796)),"G3",IF(ISNUMBER(SEARCH("古馬条件",Z2796)),"古馬条件戦",IF(ISNUMBER(SEARCH("重賞",Z2796)),"重賞","分類不能")))))))))</f>
        <v/>
      </c>
    </row>
    <row r="2797" customFormat="false" ht="15.75" hidden="false" customHeight="false" outlineLevel="0" collapsed="false">
      <c r="AO2797" s="8" t="str">
        <f aca="false">IF(A2797="","",IF(COUNTIFS(全馬データ!$A$2:$A$50000,A2797,全馬データ!$B$2:$B$50000,B2797,全馬データ!$C$2:$C$50000,C2797,全馬データ!$D$2:$D$50000,E2797,全馬データ!$K$2:$K$50000,"&lt;&gt;")=0,"",SUMIFS(全馬データ!$K$2:$K$50000,全馬データ!$A$2:$A$50000,A2797,全馬データ!$B$2:$B$50000,B2797,全馬データ!$C$2:$C$50000,C2797,全馬データ!$D$2:$D$50000,E2797)))</f>
        <v/>
      </c>
      <c r="AP2797" s="8" t="str">
        <f aca="false">IF(A2797="","",IF(AO2797="","欠損",IF(AO2797&lt;=1.1,"1.0～1.1",IF(AO2797&lt;1.3,"1.2",IF(AO2797&lt;1.5,"1.3～1.4",IF(AO2797&lt;2,"1.5～1.9","2.0以上"))))))</f>
        <v/>
      </c>
      <c r="AQ2797" s="8" t="str">
        <f aca="false">IF(A2797="","",IF(ISNUMBER(SEARCH("2歳",Z2797)),"2歳戦",IF(ISNUMBER(SEARCH("3歳未勝利",Z2797)),"3歳未勝利",IF(ISNUMBER(SEARCH("未勝利",Z2797)),"その他未勝利",IF(ISNUMBER(SEARCH("G1",Z2797)),"G1",IF(ISNUMBER(SEARCH("G2",Z2797)),"G2",IF(ISNUMBER(SEARCH("G3",Z2797)),"G3",IF(ISNUMBER(SEARCH("古馬条件",Z2797)),"古馬条件戦",IF(ISNUMBER(SEARCH("重賞",Z2797)),"重賞","分類不能")))))))))</f>
        <v/>
      </c>
    </row>
    <row r="2798" customFormat="false" ht="15.75" hidden="false" customHeight="false" outlineLevel="0" collapsed="false">
      <c r="AO2798" s="8" t="str">
        <f aca="false">IF(A2798="","",IF(COUNTIFS(全馬データ!$A$2:$A$50000,A2798,全馬データ!$B$2:$B$50000,B2798,全馬データ!$C$2:$C$50000,C2798,全馬データ!$D$2:$D$50000,E2798,全馬データ!$K$2:$K$50000,"&lt;&gt;")=0,"",SUMIFS(全馬データ!$K$2:$K$50000,全馬データ!$A$2:$A$50000,A2798,全馬データ!$B$2:$B$50000,B2798,全馬データ!$C$2:$C$50000,C2798,全馬データ!$D$2:$D$50000,E2798)))</f>
        <v/>
      </c>
      <c r="AP2798" s="8" t="str">
        <f aca="false">IF(A2798="","",IF(AO2798="","欠損",IF(AO2798&lt;=1.1,"1.0～1.1",IF(AO2798&lt;1.3,"1.2",IF(AO2798&lt;1.5,"1.3～1.4",IF(AO2798&lt;2,"1.5～1.9","2.0以上"))))))</f>
        <v/>
      </c>
      <c r="AQ2798" s="8" t="str">
        <f aca="false">IF(A2798="","",IF(ISNUMBER(SEARCH("2歳",Z2798)),"2歳戦",IF(ISNUMBER(SEARCH("3歳未勝利",Z2798)),"3歳未勝利",IF(ISNUMBER(SEARCH("未勝利",Z2798)),"その他未勝利",IF(ISNUMBER(SEARCH("G1",Z2798)),"G1",IF(ISNUMBER(SEARCH("G2",Z2798)),"G2",IF(ISNUMBER(SEARCH("G3",Z2798)),"G3",IF(ISNUMBER(SEARCH("古馬条件",Z2798)),"古馬条件戦",IF(ISNUMBER(SEARCH("重賞",Z2798)),"重賞","分類不能")))))))))</f>
        <v/>
      </c>
    </row>
    <row r="2799" customFormat="false" ht="15.75" hidden="false" customHeight="false" outlineLevel="0" collapsed="false">
      <c r="AO2799" s="8" t="str">
        <f aca="false">IF(A2799="","",IF(COUNTIFS(全馬データ!$A$2:$A$50000,A2799,全馬データ!$B$2:$B$50000,B2799,全馬データ!$C$2:$C$50000,C2799,全馬データ!$D$2:$D$50000,E2799,全馬データ!$K$2:$K$50000,"&lt;&gt;")=0,"",SUMIFS(全馬データ!$K$2:$K$50000,全馬データ!$A$2:$A$50000,A2799,全馬データ!$B$2:$B$50000,B2799,全馬データ!$C$2:$C$50000,C2799,全馬データ!$D$2:$D$50000,E2799)))</f>
        <v/>
      </c>
      <c r="AP2799" s="8" t="str">
        <f aca="false">IF(A2799="","",IF(AO2799="","欠損",IF(AO2799&lt;=1.1,"1.0～1.1",IF(AO2799&lt;1.3,"1.2",IF(AO2799&lt;1.5,"1.3～1.4",IF(AO2799&lt;2,"1.5～1.9","2.0以上"))))))</f>
        <v/>
      </c>
      <c r="AQ2799" s="8" t="str">
        <f aca="false">IF(A2799="","",IF(ISNUMBER(SEARCH("2歳",Z2799)),"2歳戦",IF(ISNUMBER(SEARCH("3歳未勝利",Z2799)),"3歳未勝利",IF(ISNUMBER(SEARCH("未勝利",Z2799)),"その他未勝利",IF(ISNUMBER(SEARCH("G1",Z2799)),"G1",IF(ISNUMBER(SEARCH("G2",Z2799)),"G2",IF(ISNUMBER(SEARCH("G3",Z2799)),"G3",IF(ISNUMBER(SEARCH("古馬条件",Z2799)),"古馬条件戦",IF(ISNUMBER(SEARCH("重賞",Z2799)),"重賞","分類不能")))))))))</f>
        <v/>
      </c>
    </row>
    <row r="2800" customFormat="false" ht="15.75" hidden="false" customHeight="false" outlineLevel="0" collapsed="false">
      <c r="AO2800" s="8" t="str">
        <f aca="false">IF(A2800="","",IF(COUNTIFS(全馬データ!$A$2:$A$50000,A2800,全馬データ!$B$2:$B$50000,B2800,全馬データ!$C$2:$C$50000,C2800,全馬データ!$D$2:$D$50000,E2800,全馬データ!$K$2:$K$50000,"&lt;&gt;")=0,"",SUMIFS(全馬データ!$K$2:$K$50000,全馬データ!$A$2:$A$50000,A2800,全馬データ!$B$2:$B$50000,B2800,全馬データ!$C$2:$C$50000,C2800,全馬データ!$D$2:$D$50000,E2800)))</f>
        <v/>
      </c>
      <c r="AP2800" s="8" t="str">
        <f aca="false">IF(A2800="","",IF(AO2800="","欠損",IF(AO2800&lt;=1.1,"1.0～1.1",IF(AO2800&lt;1.3,"1.2",IF(AO2800&lt;1.5,"1.3～1.4",IF(AO2800&lt;2,"1.5～1.9","2.0以上"))))))</f>
        <v/>
      </c>
      <c r="AQ2800" s="8" t="str">
        <f aca="false">IF(A2800="","",IF(ISNUMBER(SEARCH("2歳",Z2800)),"2歳戦",IF(ISNUMBER(SEARCH("3歳未勝利",Z2800)),"3歳未勝利",IF(ISNUMBER(SEARCH("未勝利",Z2800)),"その他未勝利",IF(ISNUMBER(SEARCH("G1",Z2800)),"G1",IF(ISNUMBER(SEARCH("G2",Z2800)),"G2",IF(ISNUMBER(SEARCH("G3",Z2800)),"G3",IF(ISNUMBER(SEARCH("古馬条件",Z2800)),"古馬条件戦",IF(ISNUMBER(SEARCH("重賞",Z2800)),"重賞","分類不能")))))))))</f>
        <v/>
      </c>
    </row>
    <row r="2801" customFormat="false" ht="15.75" hidden="false" customHeight="false" outlineLevel="0" collapsed="false">
      <c r="AO2801" s="8" t="str">
        <f aca="false">IF(A2801="","",IF(COUNTIFS(全馬データ!$A$2:$A$50000,A2801,全馬データ!$B$2:$B$50000,B2801,全馬データ!$C$2:$C$50000,C2801,全馬データ!$D$2:$D$50000,E2801,全馬データ!$K$2:$K$50000,"&lt;&gt;")=0,"",SUMIFS(全馬データ!$K$2:$K$50000,全馬データ!$A$2:$A$50000,A2801,全馬データ!$B$2:$B$50000,B2801,全馬データ!$C$2:$C$50000,C2801,全馬データ!$D$2:$D$50000,E2801)))</f>
        <v/>
      </c>
      <c r="AP2801" s="8" t="str">
        <f aca="false">IF(A2801="","",IF(AO2801="","欠損",IF(AO2801&lt;=1.1,"1.0～1.1",IF(AO2801&lt;1.3,"1.2",IF(AO2801&lt;1.5,"1.3～1.4",IF(AO2801&lt;2,"1.5～1.9","2.0以上"))))))</f>
        <v/>
      </c>
      <c r="AQ2801" s="8" t="str">
        <f aca="false">IF(A2801="","",IF(ISNUMBER(SEARCH("2歳",Z2801)),"2歳戦",IF(ISNUMBER(SEARCH("3歳未勝利",Z2801)),"3歳未勝利",IF(ISNUMBER(SEARCH("未勝利",Z2801)),"その他未勝利",IF(ISNUMBER(SEARCH("G1",Z2801)),"G1",IF(ISNUMBER(SEARCH("G2",Z2801)),"G2",IF(ISNUMBER(SEARCH("G3",Z2801)),"G3",IF(ISNUMBER(SEARCH("古馬条件",Z2801)),"古馬条件戦",IF(ISNUMBER(SEARCH("重賞",Z2801)),"重賞","分類不能")))))))))</f>
        <v/>
      </c>
    </row>
    <row r="2802" customFormat="false" ht="15.75" hidden="false" customHeight="false" outlineLevel="0" collapsed="false">
      <c r="AO2802" s="8" t="str">
        <f aca="false">IF(A2802="","",IF(COUNTIFS(全馬データ!$A$2:$A$50000,A2802,全馬データ!$B$2:$B$50000,B2802,全馬データ!$C$2:$C$50000,C2802,全馬データ!$D$2:$D$50000,E2802,全馬データ!$K$2:$K$50000,"&lt;&gt;")=0,"",SUMIFS(全馬データ!$K$2:$K$50000,全馬データ!$A$2:$A$50000,A2802,全馬データ!$B$2:$B$50000,B2802,全馬データ!$C$2:$C$50000,C2802,全馬データ!$D$2:$D$50000,E2802)))</f>
        <v/>
      </c>
      <c r="AP2802" s="8" t="str">
        <f aca="false">IF(A2802="","",IF(AO2802="","欠損",IF(AO2802&lt;=1.1,"1.0～1.1",IF(AO2802&lt;1.3,"1.2",IF(AO2802&lt;1.5,"1.3～1.4",IF(AO2802&lt;2,"1.5～1.9","2.0以上"))))))</f>
        <v/>
      </c>
      <c r="AQ2802" s="8" t="str">
        <f aca="false">IF(A2802="","",IF(ISNUMBER(SEARCH("2歳",Z2802)),"2歳戦",IF(ISNUMBER(SEARCH("3歳未勝利",Z2802)),"3歳未勝利",IF(ISNUMBER(SEARCH("未勝利",Z2802)),"その他未勝利",IF(ISNUMBER(SEARCH("G1",Z2802)),"G1",IF(ISNUMBER(SEARCH("G2",Z2802)),"G2",IF(ISNUMBER(SEARCH("G3",Z2802)),"G3",IF(ISNUMBER(SEARCH("古馬条件",Z2802)),"古馬条件戦",IF(ISNUMBER(SEARCH("重賞",Z2802)),"重賞","分類不能")))))))))</f>
        <v/>
      </c>
    </row>
    <row r="2803" customFormat="false" ht="15.75" hidden="false" customHeight="false" outlineLevel="0" collapsed="false">
      <c r="AO2803" s="8" t="str">
        <f aca="false">IF(A2803="","",IF(COUNTIFS(全馬データ!$A$2:$A$50000,A2803,全馬データ!$B$2:$B$50000,B2803,全馬データ!$C$2:$C$50000,C2803,全馬データ!$D$2:$D$50000,E2803,全馬データ!$K$2:$K$50000,"&lt;&gt;")=0,"",SUMIFS(全馬データ!$K$2:$K$50000,全馬データ!$A$2:$A$50000,A2803,全馬データ!$B$2:$B$50000,B2803,全馬データ!$C$2:$C$50000,C2803,全馬データ!$D$2:$D$50000,E2803)))</f>
        <v/>
      </c>
      <c r="AP2803" s="8" t="str">
        <f aca="false">IF(A2803="","",IF(AO2803="","欠損",IF(AO2803&lt;=1.1,"1.0～1.1",IF(AO2803&lt;1.3,"1.2",IF(AO2803&lt;1.5,"1.3～1.4",IF(AO2803&lt;2,"1.5～1.9","2.0以上"))))))</f>
        <v/>
      </c>
      <c r="AQ2803" s="8" t="str">
        <f aca="false">IF(A2803="","",IF(ISNUMBER(SEARCH("2歳",Z2803)),"2歳戦",IF(ISNUMBER(SEARCH("3歳未勝利",Z2803)),"3歳未勝利",IF(ISNUMBER(SEARCH("未勝利",Z2803)),"その他未勝利",IF(ISNUMBER(SEARCH("G1",Z2803)),"G1",IF(ISNUMBER(SEARCH("G2",Z2803)),"G2",IF(ISNUMBER(SEARCH("G3",Z2803)),"G3",IF(ISNUMBER(SEARCH("古馬条件",Z2803)),"古馬条件戦",IF(ISNUMBER(SEARCH("重賞",Z2803)),"重賞","分類不能")))))))))</f>
        <v/>
      </c>
    </row>
    <row r="2804" customFormat="false" ht="15.75" hidden="false" customHeight="false" outlineLevel="0" collapsed="false">
      <c r="AO2804" s="8" t="str">
        <f aca="false">IF(A2804="","",IF(COUNTIFS(全馬データ!$A$2:$A$50000,A2804,全馬データ!$B$2:$B$50000,B2804,全馬データ!$C$2:$C$50000,C2804,全馬データ!$D$2:$D$50000,E2804,全馬データ!$K$2:$K$50000,"&lt;&gt;")=0,"",SUMIFS(全馬データ!$K$2:$K$50000,全馬データ!$A$2:$A$50000,A2804,全馬データ!$B$2:$B$50000,B2804,全馬データ!$C$2:$C$50000,C2804,全馬データ!$D$2:$D$50000,E2804)))</f>
        <v/>
      </c>
      <c r="AP2804" s="8" t="str">
        <f aca="false">IF(A2804="","",IF(AO2804="","欠損",IF(AO2804&lt;=1.1,"1.0～1.1",IF(AO2804&lt;1.3,"1.2",IF(AO2804&lt;1.5,"1.3～1.4",IF(AO2804&lt;2,"1.5～1.9","2.0以上"))))))</f>
        <v/>
      </c>
      <c r="AQ2804" s="8" t="str">
        <f aca="false">IF(A2804="","",IF(ISNUMBER(SEARCH("2歳",Z2804)),"2歳戦",IF(ISNUMBER(SEARCH("3歳未勝利",Z2804)),"3歳未勝利",IF(ISNUMBER(SEARCH("未勝利",Z2804)),"その他未勝利",IF(ISNUMBER(SEARCH("G1",Z2804)),"G1",IF(ISNUMBER(SEARCH("G2",Z2804)),"G2",IF(ISNUMBER(SEARCH("G3",Z2804)),"G3",IF(ISNUMBER(SEARCH("古馬条件",Z2804)),"古馬条件戦",IF(ISNUMBER(SEARCH("重賞",Z2804)),"重賞","分類不能")))))))))</f>
        <v/>
      </c>
    </row>
    <row r="2805" customFormat="false" ht="15.75" hidden="false" customHeight="false" outlineLevel="0" collapsed="false">
      <c r="AO2805" s="8" t="str">
        <f aca="false">IF(A2805="","",IF(COUNTIFS(全馬データ!$A$2:$A$50000,A2805,全馬データ!$B$2:$B$50000,B2805,全馬データ!$C$2:$C$50000,C2805,全馬データ!$D$2:$D$50000,E2805,全馬データ!$K$2:$K$50000,"&lt;&gt;")=0,"",SUMIFS(全馬データ!$K$2:$K$50000,全馬データ!$A$2:$A$50000,A2805,全馬データ!$B$2:$B$50000,B2805,全馬データ!$C$2:$C$50000,C2805,全馬データ!$D$2:$D$50000,E2805)))</f>
        <v/>
      </c>
      <c r="AP2805" s="8" t="str">
        <f aca="false">IF(A2805="","",IF(AO2805="","欠損",IF(AO2805&lt;=1.1,"1.0～1.1",IF(AO2805&lt;1.3,"1.2",IF(AO2805&lt;1.5,"1.3～1.4",IF(AO2805&lt;2,"1.5～1.9","2.0以上"))))))</f>
        <v/>
      </c>
      <c r="AQ2805" s="8" t="str">
        <f aca="false">IF(A2805="","",IF(ISNUMBER(SEARCH("2歳",Z2805)),"2歳戦",IF(ISNUMBER(SEARCH("3歳未勝利",Z2805)),"3歳未勝利",IF(ISNUMBER(SEARCH("未勝利",Z2805)),"その他未勝利",IF(ISNUMBER(SEARCH("G1",Z2805)),"G1",IF(ISNUMBER(SEARCH("G2",Z2805)),"G2",IF(ISNUMBER(SEARCH("G3",Z2805)),"G3",IF(ISNUMBER(SEARCH("古馬条件",Z2805)),"古馬条件戦",IF(ISNUMBER(SEARCH("重賞",Z2805)),"重賞","分類不能")))))))))</f>
        <v/>
      </c>
    </row>
    <row r="2806" customFormat="false" ht="15.75" hidden="false" customHeight="false" outlineLevel="0" collapsed="false">
      <c r="AO2806" s="8" t="str">
        <f aca="false">IF(A2806="","",IF(COUNTIFS(全馬データ!$A$2:$A$50000,A2806,全馬データ!$B$2:$B$50000,B2806,全馬データ!$C$2:$C$50000,C2806,全馬データ!$D$2:$D$50000,E2806,全馬データ!$K$2:$K$50000,"&lt;&gt;")=0,"",SUMIFS(全馬データ!$K$2:$K$50000,全馬データ!$A$2:$A$50000,A2806,全馬データ!$B$2:$B$50000,B2806,全馬データ!$C$2:$C$50000,C2806,全馬データ!$D$2:$D$50000,E2806)))</f>
        <v/>
      </c>
      <c r="AP2806" s="8" t="str">
        <f aca="false">IF(A2806="","",IF(AO2806="","欠損",IF(AO2806&lt;=1.1,"1.0～1.1",IF(AO2806&lt;1.3,"1.2",IF(AO2806&lt;1.5,"1.3～1.4",IF(AO2806&lt;2,"1.5～1.9","2.0以上"))))))</f>
        <v/>
      </c>
      <c r="AQ2806" s="8" t="str">
        <f aca="false">IF(A2806="","",IF(ISNUMBER(SEARCH("2歳",Z2806)),"2歳戦",IF(ISNUMBER(SEARCH("3歳未勝利",Z2806)),"3歳未勝利",IF(ISNUMBER(SEARCH("未勝利",Z2806)),"その他未勝利",IF(ISNUMBER(SEARCH("G1",Z2806)),"G1",IF(ISNUMBER(SEARCH("G2",Z2806)),"G2",IF(ISNUMBER(SEARCH("G3",Z2806)),"G3",IF(ISNUMBER(SEARCH("古馬条件",Z2806)),"古馬条件戦",IF(ISNUMBER(SEARCH("重賞",Z2806)),"重賞","分類不能")))))))))</f>
        <v/>
      </c>
    </row>
    <row r="2807" customFormat="false" ht="15.75" hidden="false" customHeight="false" outlineLevel="0" collapsed="false">
      <c r="AO2807" s="8" t="str">
        <f aca="false">IF(A2807="","",IF(COUNTIFS(全馬データ!$A$2:$A$50000,A2807,全馬データ!$B$2:$B$50000,B2807,全馬データ!$C$2:$C$50000,C2807,全馬データ!$D$2:$D$50000,E2807,全馬データ!$K$2:$K$50000,"&lt;&gt;")=0,"",SUMIFS(全馬データ!$K$2:$K$50000,全馬データ!$A$2:$A$50000,A2807,全馬データ!$B$2:$B$50000,B2807,全馬データ!$C$2:$C$50000,C2807,全馬データ!$D$2:$D$50000,E2807)))</f>
        <v/>
      </c>
      <c r="AP2807" s="8" t="str">
        <f aca="false">IF(A2807="","",IF(AO2807="","欠損",IF(AO2807&lt;=1.1,"1.0～1.1",IF(AO2807&lt;1.3,"1.2",IF(AO2807&lt;1.5,"1.3～1.4",IF(AO2807&lt;2,"1.5～1.9","2.0以上"))))))</f>
        <v/>
      </c>
      <c r="AQ2807" s="8" t="str">
        <f aca="false">IF(A2807="","",IF(ISNUMBER(SEARCH("2歳",Z2807)),"2歳戦",IF(ISNUMBER(SEARCH("3歳未勝利",Z2807)),"3歳未勝利",IF(ISNUMBER(SEARCH("未勝利",Z2807)),"その他未勝利",IF(ISNUMBER(SEARCH("G1",Z2807)),"G1",IF(ISNUMBER(SEARCH("G2",Z2807)),"G2",IF(ISNUMBER(SEARCH("G3",Z2807)),"G3",IF(ISNUMBER(SEARCH("古馬条件",Z2807)),"古馬条件戦",IF(ISNUMBER(SEARCH("重賞",Z2807)),"重賞","分類不能")))))))))</f>
        <v/>
      </c>
    </row>
    <row r="2808" customFormat="false" ht="15.75" hidden="false" customHeight="false" outlineLevel="0" collapsed="false">
      <c r="AO2808" s="8" t="str">
        <f aca="false">IF(A2808="","",IF(COUNTIFS(全馬データ!$A$2:$A$50000,A2808,全馬データ!$B$2:$B$50000,B2808,全馬データ!$C$2:$C$50000,C2808,全馬データ!$D$2:$D$50000,E2808,全馬データ!$K$2:$K$50000,"&lt;&gt;")=0,"",SUMIFS(全馬データ!$K$2:$K$50000,全馬データ!$A$2:$A$50000,A2808,全馬データ!$B$2:$B$50000,B2808,全馬データ!$C$2:$C$50000,C2808,全馬データ!$D$2:$D$50000,E2808)))</f>
        <v/>
      </c>
      <c r="AP2808" s="8" t="str">
        <f aca="false">IF(A2808="","",IF(AO2808="","欠損",IF(AO2808&lt;=1.1,"1.0～1.1",IF(AO2808&lt;1.3,"1.2",IF(AO2808&lt;1.5,"1.3～1.4",IF(AO2808&lt;2,"1.5～1.9","2.0以上"))))))</f>
        <v/>
      </c>
      <c r="AQ2808" s="8" t="str">
        <f aca="false">IF(A2808="","",IF(ISNUMBER(SEARCH("2歳",Z2808)),"2歳戦",IF(ISNUMBER(SEARCH("3歳未勝利",Z2808)),"3歳未勝利",IF(ISNUMBER(SEARCH("未勝利",Z2808)),"その他未勝利",IF(ISNUMBER(SEARCH("G1",Z2808)),"G1",IF(ISNUMBER(SEARCH("G2",Z2808)),"G2",IF(ISNUMBER(SEARCH("G3",Z2808)),"G3",IF(ISNUMBER(SEARCH("古馬条件",Z2808)),"古馬条件戦",IF(ISNUMBER(SEARCH("重賞",Z2808)),"重賞","分類不能")))))))))</f>
        <v/>
      </c>
    </row>
    <row r="2809" customFormat="false" ht="15.75" hidden="false" customHeight="false" outlineLevel="0" collapsed="false">
      <c r="AO2809" s="8" t="str">
        <f aca="false">IF(A2809="","",IF(COUNTIFS(全馬データ!$A$2:$A$50000,A2809,全馬データ!$B$2:$B$50000,B2809,全馬データ!$C$2:$C$50000,C2809,全馬データ!$D$2:$D$50000,E2809,全馬データ!$K$2:$K$50000,"&lt;&gt;")=0,"",SUMIFS(全馬データ!$K$2:$K$50000,全馬データ!$A$2:$A$50000,A2809,全馬データ!$B$2:$B$50000,B2809,全馬データ!$C$2:$C$50000,C2809,全馬データ!$D$2:$D$50000,E2809)))</f>
        <v/>
      </c>
      <c r="AP2809" s="8" t="str">
        <f aca="false">IF(A2809="","",IF(AO2809="","欠損",IF(AO2809&lt;=1.1,"1.0～1.1",IF(AO2809&lt;1.3,"1.2",IF(AO2809&lt;1.5,"1.3～1.4",IF(AO2809&lt;2,"1.5～1.9","2.0以上"))))))</f>
        <v/>
      </c>
      <c r="AQ2809" s="8" t="str">
        <f aca="false">IF(A2809="","",IF(ISNUMBER(SEARCH("2歳",Z2809)),"2歳戦",IF(ISNUMBER(SEARCH("3歳未勝利",Z2809)),"3歳未勝利",IF(ISNUMBER(SEARCH("未勝利",Z2809)),"その他未勝利",IF(ISNUMBER(SEARCH("G1",Z2809)),"G1",IF(ISNUMBER(SEARCH("G2",Z2809)),"G2",IF(ISNUMBER(SEARCH("G3",Z2809)),"G3",IF(ISNUMBER(SEARCH("古馬条件",Z2809)),"古馬条件戦",IF(ISNUMBER(SEARCH("重賞",Z2809)),"重賞","分類不能")))))))))</f>
        <v/>
      </c>
    </row>
    <row r="2810" customFormat="false" ht="15.75" hidden="false" customHeight="false" outlineLevel="0" collapsed="false">
      <c r="AO2810" s="8" t="str">
        <f aca="false">IF(A2810="","",IF(COUNTIFS(全馬データ!$A$2:$A$50000,A2810,全馬データ!$B$2:$B$50000,B2810,全馬データ!$C$2:$C$50000,C2810,全馬データ!$D$2:$D$50000,E2810,全馬データ!$K$2:$K$50000,"&lt;&gt;")=0,"",SUMIFS(全馬データ!$K$2:$K$50000,全馬データ!$A$2:$A$50000,A2810,全馬データ!$B$2:$B$50000,B2810,全馬データ!$C$2:$C$50000,C2810,全馬データ!$D$2:$D$50000,E2810)))</f>
        <v/>
      </c>
      <c r="AP2810" s="8" t="str">
        <f aca="false">IF(A2810="","",IF(AO2810="","欠損",IF(AO2810&lt;=1.1,"1.0～1.1",IF(AO2810&lt;1.3,"1.2",IF(AO2810&lt;1.5,"1.3～1.4",IF(AO2810&lt;2,"1.5～1.9","2.0以上"))))))</f>
        <v/>
      </c>
      <c r="AQ2810" s="8" t="str">
        <f aca="false">IF(A2810="","",IF(ISNUMBER(SEARCH("2歳",Z2810)),"2歳戦",IF(ISNUMBER(SEARCH("3歳未勝利",Z2810)),"3歳未勝利",IF(ISNUMBER(SEARCH("未勝利",Z2810)),"その他未勝利",IF(ISNUMBER(SEARCH("G1",Z2810)),"G1",IF(ISNUMBER(SEARCH("G2",Z2810)),"G2",IF(ISNUMBER(SEARCH("G3",Z2810)),"G3",IF(ISNUMBER(SEARCH("古馬条件",Z2810)),"古馬条件戦",IF(ISNUMBER(SEARCH("重賞",Z2810)),"重賞","分類不能")))))))))</f>
        <v/>
      </c>
    </row>
    <row r="2811" customFormat="false" ht="15.75" hidden="false" customHeight="false" outlineLevel="0" collapsed="false">
      <c r="AO2811" s="8" t="str">
        <f aca="false">IF(A2811="","",IF(COUNTIFS(全馬データ!$A$2:$A$50000,A2811,全馬データ!$B$2:$B$50000,B2811,全馬データ!$C$2:$C$50000,C2811,全馬データ!$D$2:$D$50000,E2811,全馬データ!$K$2:$K$50000,"&lt;&gt;")=0,"",SUMIFS(全馬データ!$K$2:$K$50000,全馬データ!$A$2:$A$50000,A2811,全馬データ!$B$2:$B$50000,B2811,全馬データ!$C$2:$C$50000,C2811,全馬データ!$D$2:$D$50000,E2811)))</f>
        <v/>
      </c>
      <c r="AP2811" s="8" t="str">
        <f aca="false">IF(A2811="","",IF(AO2811="","欠損",IF(AO2811&lt;=1.1,"1.0～1.1",IF(AO2811&lt;1.3,"1.2",IF(AO2811&lt;1.5,"1.3～1.4",IF(AO2811&lt;2,"1.5～1.9","2.0以上"))))))</f>
        <v/>
      </c>
      <c r="AQ2811" s="8" t="str">
        <f aca="false">IF(A2811="","",IF(ISNUMBER(SEARCH("2歳",Z2811)),"2歳戦",IF(ISNUMBER(SEARCH("3歳未勝利",Z2811)),"3歳未勝利",IF(ISNUMBER(SEARCH("未勝利",Z2811)),"その他未勝利",IF(ISNUMBER(SEARCH("G1",Z2811)),"G1",IF(ISNUMBER(SEARCH("G2",Z2811)),"G2",IF(ISNUMBER(SEARCH("G3",Z2811)),"G3",IF(ISNUMBER(SEARCH("古馬条件",Z2811)),"古馬条件戦",IF(ISNUMBER(SEARCH("重賞",Z2811)),"重賞","分類不能")))))))))</f>
        <v/>
      </c>
    </row>
    <row r="2812" customFormat="false" ht="15.75" hidden="false" customHeight="false" outlineLevel="0" collapsed="false">
      <c r="AO2812" s="8" t="str">
        <f aca="false">IF(A2812="","",IF(COUNTIFS(全馬データ!$A$2:$A$50000,A2812,全馬データ!$B$2:$B$50000,B2812,全馬データ!$C$2:$C$50000,C2812,全馬データ!$D$2:$D$50000,E2812,全馬データ!$K$2:$K$50000,"&lt;&gt;")=0,"",SUMIFS(全馬データ!$K$2:$K$50000,全馬データ!$A$2:$A$50000,A2812,全馬データ!$B$2:$B$50000,B2812,全馬データ!$C$2:$C$50000,C2812,全馬データ!$D$2:$D$50000,E2812)))</f>
        <v/>
      </c>
      <c r="AP2812" s="8" t="str">
        <f aca="false">IF(A2812="","",IF(AO2812="","欠損",IF(AO2812&lt;=1.1,"1.0～1.1",IF(AO2812&lt;1.3,"1.2",IF(AO2812&lt;1.5,"1.3～1.4",IF(AO2812&lt;2,"1.5～1.9","2.0以上"))))))</f>
        <v/>
      </c>
      <c r="AQ2812" s="8" t="str">
        <f aca="false">IF(A2812="","",IF(ISNUMBER(SEARCH("2歳",Z2812)),"2歳戦",IF(ISNUMBER(SEARCH("3歳未勝利",Z2812)),"3歳未勝利",IF(ISNUMBER(SEARCH("未勝利",Z2812)),"その他未勝利",IF(ISNUMBER(SEARCH("G1",Z2812)),"G1",IF(ISNUMBER(SEARCH("G2",Z2812)),"G2",IF(ISNUMBER(SEARCH("G3",Z2812)),"G3",IF(ISNUMBER(SEARCH("古馬条件",Z2812)),"古馬条件戦",IF(ISNUMBER(SEARCH("重賞",Z2812)),"重賞","分類不能")))))))))</f>
        <v/>
      </c>
    </row>
    <row r="2813" customFormat="false" ht="15.75" hidden="false" customHeight="false" outlineLevel="0" collapsed="false">
      <c r="AO2813" s="8" t="str">
        <f aca="false">IF(A2813="","",IF(COUNTIFS(全馬データ!$A$2:$A$50000,A2813,全馬データ!$B$2:$B$50000,B2813,全馬データ!$C$2:$C$50000,C2813,全馬データ!$D$2:$D$50000,E2813,全馬データ!$K$2:$K$50000,"&lt;&gt;")=0,"",SUMIFS(全馬データ!$K$2:$K$50000,全馬データ!$A$2:$A$50000,A2813,全馬データ!$B$2:$B$50000,B2813,全馬データ!$C$2:$C$50000,C2813,全馬データ!$D$2:$D$50000,E2813)))</f>
        <v/>
      </c>
      <c r="AP2813" s="8" t="str">
        <f aca="false">IF(A2813="","",IF(AO2813="","欠損",IF(AO2813&lt;=1.1,"1.0～1.1",IF(AO2813&lt;1.3,"1.2",IF(AO2813&lt;1.5,"1.3～1.4",IF(AO2813&lt;2,"1.5～1.9","2.0以上"))))))</f>
        <v/>
      </c>
      <c r="AQ2813" s="8" t="str">
        <f aca="false">IF(A2813="","",IF(ISNUMBER(SEARCH("2歳",Z2813)),"2歳戦",IF(ISNUMBER(SEARCH("3歳未勝利",Z2813)),"3歳未勝利",IF(ISNUMBER(SEARCH("未勝利",Z2813)),"その他未勝利",IF(ISNUMBER(SEARCH("G1",Z2813)),"G1",IF(ISNUMBER(SEARCH("G2",Z2813)),"G2",IF(ISNUMBER(SEARCH("G3",Z2813)),"G3",IF(ISNUMBER(SEARCH("古馬条件",Z2813)),"古馬条件戦",IF(ISNUMBER(SEARCH("重賞",Z2813)),"重賞","分類不能")))))))))</f>
        <v/>
      </c>
    </row>
    <row r="2814" customFormat="false" ht="15.75" hidden="false" customHeight="false" outlineLevel="0" collapsed="false">
      <c r="AO2814" s="8" t="str">
        <f aca="false">IF(A2814="","",IF(COUNTIFS(全馬データ!$A$2:$A$50000,A2814,全馬データ!$B$2:$B$50000,B2814,全馬データ!$C$2:$C$50000,C2814,全馬データ!$D$2:$D$50000,E2814,全馬データ!$K$2:$K$50000,"&lt;&gt;")=0,"",SUMIFS(全馬データ!$K$2:$K$50000,全馬データ!$A$2:$A$50000,A2814,全馬データ!$B$2:$B$50000,B2814,全馬データ!$C$2:$C$50000,C2814,全馬データ!$D$2:$D$50000,E2814)))</f>
        <v/>
      </c>
      <c r="AP2814" s="8" t="str">
        <f aca="false">IF(A2814="","",IF(AO2814="","欠損",IF(AO2814&lt;=1.1,"1.0～1.1",IF(AO2814&lt;1.3,"1.2",IF(AO2814&lt;1.5,"1.3～1.4",IF(AO2814&lt;2,"1.5～1.9","2.0以上"))))))</f>
        <v/>
      </c>
      <c r="AQ2814" s="8" t="str">
        <f aca="false">IF(A2814="","",IF(ISNUMBER(SEARCH("2歳",Z2814)),"2歳戦",IF(ISNUMBER(SEARCH("3歳未勝利",Z2814)),"3歳未勝利",IF(ISNUMBER(SEARCH("未勝利",Z2814)),"その他未勝利",IF(ISNUMBER(SEARCH("G1",Z2814)),"G1",IF(ISNUMBER(SEARCH("G2",Z2814)),"G2",IF(ISNUMBER(SEARCH("G3",Z2814)),"G3",IF(ISNUMBER(SEARCH("古馬条件",Z2814)),"古馬条件戦",IF(ISNUMBER(SEARCH("重賞",Z2814)),"重賞","分類不能")))))))))</f>
        <v/>
      </c>
    </row>
    <row r="2815" customFormat="false" ht="15.75" hidden="false" customHeight="false" outlineLevel="0" collapsed="false">
      <c r="AO2815" s="8" t="str">
        <f aca="false">IF(A2815="","",IF(COUNTIFS(全馬データ!$A$2:$A$50000,A2815,全馬データ!$B$2:$B$50000,B2815,全馬データ!$C$2:$C$50000,C2815,全馬データ!$D$2:$D$50000,E2815,全馬データ!$K$2:$K$50000,"&lt;&gt;")=0,"",SUMIFS(全馬データ!$K$2:$K$50000,全馬データ!$A$2:$A$50000,A2815,全馬データ!$B$2:$B$50000,B2815,全馬データ!$C$2:$C$50000,C2815,全馬データ!$D$2:$D$50000,E2815)))</f>
        <v/>
      </c>
      <c r="AP2815" s="8" t="str">
        <f aca="false">IF(A2815="","",IF(AO2815="","欠損",IF(AO2815&lt;=1.1,"1.0～1.1",IF(AO2815&lt;1.3,"1.2",IF(AO2815&lt;1.5,"1.3～1.4",IF(AO2815&lt;2,"1.5～1.9","2.0以上"))))))</f>
        <v/>
      </c>
      <c r="AQ2815" s="8" t="str">
        <f aca="false">IF(A2815="","",IF(ISNUMBER(SEARCH("2歳",Z2815)),"2歳戦",IF(ISNUMBER(SEARCH("3歳未勝利",Z2815)),"3歳未勝利",IF(ISNUMBER(SEARCH("未勝利",Z2815)),"その他未勝利",IF(ISNUMBER(SEARCH("G1",Z2815)),"G1",IF(ISNUMBER(SEARCH("G2",Z2815)),"G2",IF(ISNUMBER(SEARCH("G3",Z2815)),"G3",IF(ISNUMBER(SEARCH("古馬条件",Z2815)),"古馬条件戦",IF(ISNUMBER(SEARCH("重賞",Z2815)),"重賞","分類不能")))))))))</f>
        <v/>
      </c>
    </row>
    <row r="2816" customFormat="false" ht="15.75" hidden="false" customHeight="false" outlineLevel="0" collapsed="false">
      <c r="AO2816" s="8" t="str">
        <f aca="false">IF(A2816="","",IF(COUNTIFS(全馬データ!$A$2:$A$50000,A2816,全馬データ!$B$2:$B$50000,B2816,全馬データ!$C$2:$C$50000,C2816,全馬データ!$D$2:$D$50000,E2816,全馬データ!$K$2:$K$50000,"&lt;&gt;")=0,"",SUMIFS(全馬データ!$K$2:$K$50000,全馬データ!$A$2:$A$50000,A2816,全馬データ!$B$2:$B$50000,B2816,全馬データ!$C$2:$C$50000,C2816,全馬データ!$D$2:$D$50000,E2816)))</f>
        <v/>
      </c>
      <c r="AP2816" s="8" t="str">
        <f aca="false">IF(A2816="","",IF(AO2816="","欠損",IF(AO2816&lt;=1.1,"1.0～1.1",IF(AO2816&lt;1.3,"1.2",IF(AO2816&lt;1.5,"1.3～1.4",IF(AO2816&lt;2,"1.5～1.9","2.0以上"))))))</f>
        <v/>
      </c>
      <c r="AQ2816" s="8" t="str">
        <f aca="false">IF(A2816="","",IF(ISNUMBER(SEARCH("2歳",Z2816)),"2歳戦",IF(ISNUMBER(SEARCH("3歳未勝利",Z2816)),"3歳未勝利",IF(ISNUMBER(SEARCH("未勝利",Z2816)),"その他未勝利",IF(ISNUMBER(SEARCH("G1",Z2816)),"G1",IF(ISNUMBER(SEARCH("G2",Z2816)),"G2",IF(ISNUMBER(SEARCH("G3",Z2816)),"G3",IF(ISNUMBER(SEARCH("古馬条件",Z2816)),"古馬条件戦",IF(ISNUMBER(SEARCH("重賞",Z2816)),"重賞","分類不能")))))))))</f>
        <v/>
      </c>
    </row>
    <row r="2817" customFormat="false" ht="15.75" hidden="false" customHeight="false" outlineLevel="0" collapsed="false">
      <c r="AO2817" s="8" t="str">
        <f aca="false">IF(A2817="","",IF(COUNTIFS(全馬データ!$A$2:$A$50000,A2817,全馬データ!$B$2:$B$50000,B2817,全馬データ!$C$2:$C$50000,C2817,全馬データ!$D$2:$D$50000,E2817,全馬データ!$K$2:$K$50000,"&lt;&gt;")=0,"",SUMIFS(全馬データ!$K$2:$K$50000,全馬データ!$A$2:$A$50000,A2817,全馬データ!$B$2:$B$50000,B2817,全馬データ!$C$2:$C$50000,C2817,全馬データ!$D$2:$D$50000,E2817)))</f>
        <v/>
      </c>
      <c r="AP2817" s="8" t="str">
        <f aca="false">IF(A2817="","",IF(AO2817="","欠損",IF(AO2817&lt;=1.1,"1.0～1.1",IF(AO2817&lt;1.3,"1.2",IF(AO2817&lt;1.5,"1.3～1.4",IF(AO2817&lt;2,"1.5～1.9","2.0以上"))))))</f>
        <v/>
      </c>
      <c r="AQ2817" s="8" t="str">
        <f aca="false">IF(A2817="","",IF(ISNUMBER(SEARCH("2歳",Z2817)),"2歳戦",IF(ISNUMBER(SEARCH("3歳未勝利",Z2817)),"3歳未勝利",IF(ISNUMBER(SEARCH("未勝利",Z2817)),"その他未勝利",IF(ISNUMBER(SEARCH("G1",Z2817)),"G1",IF(ISNUMBER(SEARCH("G2",Z2817)),"G2",IF(ISNUMBER(SEARCH("G3",Z2817)),"G3",IF(ISNUMBER(SEARCH("古馬条件",Z2817)),"古馬条件戦",IF(ISNUMBER(SEARCH("重賞",Z2817)),"重賞","分類不能")))))))))</f>
        <v/>
      </c>
    </row>
    <row r="2818" customFormat="false" ht="15.75" hidden="false" customHeight="false" outlineLevel="0" collapsed="false">
      <c r="AO2818" s="8" t="str">
        <f aca="false">IF(A2818="","",IF(COUNTIFS(全馬データ!$A$2:$A$50000,A2818,全馬データ!$B$2:$B$50000,B2818,全馬データ!$C$2:$C$50000,C2818,全馬データ!$D$2:$D$50000,E2818,全馬データ!$K$2:$K$50000,"&lt;&gt;")=0,"",SUMIFS(全馬データ!$K$2:$K$50000,全馬データ!$A$2:$A$50000,A2818,全馬データ!$B$2:$B$50000,B2818,全馬データ!$C$2:$C$50000,C2818,全馬データ!$D$2:$D$50000,E2818)))</f>
        <v/>
      </c>
      <c r="AP2818" s="8" t="str">
        <f aca="false">IF(A2818="","",IF(AO2818="","欠損",IF(AO2818&lt;=1.1,"1.0～1.1",IF(AO2818&lt;1.3,"1.2",IF(AO2818&lt;1.5,"1.3～1.4",IF(AO2818&lt;2,"1.5～1.9","2.0以上"))))))</f>
        <v/>
      </c>
      <c r="AQ2818" s="8" t="str">
        <f aca="false">IF(A2818="","",IF(ISNUMBER(SEARCH("2歳",Z2818)),"2歳戦",IF(ISNUMBER(SEARCH("3歳未勝利",Z2818)),"3歳未勝利",IF(ISNUMBER(SEARCH("未勝利",Z2818)),"その他未勝利",IF(ISNUMBER(SEARCH("G1",Z2818)),"G1",IF(ISNUMBER(SEARCH("G2",Z2818)),"G2",IF(ISNUMBER(SEARCH("G3",Z2818)),"G3",IF(ISNUMBER(SEARCH("古馬条件",Z2818)),"古馬条件戦",IF(ISNUMBER(SEARCH("重賞",Z2818)),"重賞","分類不能")))))))))</f>
        <v/>
      </c>
    </row>
    <row r="2819" customFormat="false" ht="15.75" hidden="false" customHeight="false" outlineLevel="0" collapsed="false">
      <c r="AO2819" s="8" t="str">
        <f aca="false">IF(A2819="","",IF(COUNTIFS(全馬データ!$A$2:$A$50000,A2819,全馬データ!$B$2:$B$50000,B2819,全馬データ!$C$2:$C$50000,C2819,全馬データ!$D$2:$D$50000,E2819,全馬データ!$K$2:$K$50000,"&lt;&gt;")=0,"",SUMIFS(全馬データ!$K$2:$K$50000,全馬データ!$A$2:$A$50000,A2819,全馬データ!$B$2:$B$50000,B2819,全馬データ!$C$2:$C$50000,C2819,全馬データ!$D$2:$D$50000,E2819)))</f>
        <v/>
      </c>
      <c r="AP2819" s="8" t="str">
        <f aca="false">IF(A2819="","",IF(AO2819="","欠損",IF(AO2819&lt;=1.1,"1.0～1.1",IF(AO2819&lt;1.3,"1.2",IF(AO2819&lt;1.5,"1.3～1.4",IF(AO2819&lt;2,"1.5～1.9","2.0以上"))))))</f>
        <v/>
      </c>
      <c r="AQ2819" s="8" t="str">
        <f aca="false">IF(A2819="","",IF(ISNUMBER(SEARCH("2歳",Z2819)),"2歳戦",IF(ISNUMBER(SEARCH("3歳未勝利",Z2819)),"3歳未勝利",IF(ISNUMBER(SEARCH("未勝利",Z2819)),"その他未勝利",IF(ISNUMBER(SEARCH("G1",Z2819)),"G1",IF(ISNUMBER(SEARCH("G2",Z2819)),"G2",IF(ISNUMBER(SEARCH("G3",Z2819)),"G3",IF(ISNUMBER(SEARCH("古馬条件",Z2819)),"古馬条件戦",IF(ISNUMBER(SEARCH("重賞",Z2819)),"重賞","分類不能")))))))))</f>
        <v/>
      </c>
    </row>
    <row r="2820" customFormat="false" ht="15.75" hidden="false" customHeight="false" outlineLevel="0" collapsed="false">
      <c r="AO2820" s="8" t="str">
        <f aca="false">IF(A2820="","",IF(COUNTIFS(全馬データ!$A$2:$A$50000,A2820,全馬データ!$B$2:$B$50000,B2820,全馬データ!$C$2:$C$50000,C2820,全馬データ!$D$2:$D$50000,E2820,全馬データ!$K$2:$K$50000,"&lt;&gt;")=0,"",SUMIFS(全馬データ!$K$2:$K$50000,全馬データ!$A$2:$A$50000,A2820,全馬データ!$B$2:$B$50000,B2820,全馬データ!$C$2:$C$50000,C2820,全馬データ!$D$2:$D$50000,E2820)))</f>
        <v/>
      </c>
      <c r="AP2820" s="8" t="str">
        <f aca="false">IF(A2820="","",IF(AO2820="","欠損",IF(AO2820&lt;=1.1,"1.0～1.1",IF(AO2820&lt;1.3,"1.2",IF(AO2820&lt;1.5,"1.3～1.4",IF(AO2820&lt;2,"1.5～1.9","2.0以上"))))))</f>
        <v/>
      </c>
      <c r="AQ2820" s="8" t="str">
        <f aca="false">IF(A2820="","",IF(ISNUMBER(SEARCH("2歳",Z2820)),"2歳戦",IF(ISNUMBER(SEARCH("3歳未勝利",Z2820)),"3歳未勝利",IF(ISNUMBER(SEARCH("未勝利",Z2820)),"その他未勝利",IF(ISNUMBER(SEARCH("G1",Z2820)),"G1",IF(ISNUMBER(SEARCH("G2",Z2820)),"G2",IF(ISNUMBER(SEARCH("G3",Z2820)),"G3",IF(ISNUMBER(SEARCH("古馬条件",Z2820)),"古馬条件戦",IF(ISNUMBER(SEARCH("重賞",Z2820)),"重賞","分類不能")))))))))</f>
        <v/>
      </c>
    </row>
    <row r="2821" customFormat="false" ht="15.75" hidden="false" customHeight="false" outlineLevel="0" collapsed="false">
      <c r="AO2821" s="8" t="str">
        <f aca="false">IF(A2821="","",IF(COUNTIFS(全馬データ!$A$2:$A$50000,A2821,全馬データ!$B$2:$B$50000,B2821,全馬データ!$C$2:$C$50000,C2821,全馬データ!$D$2:$D$50000,E2821,全馬データ!$K$2:$K$50000,"&lt;&gt;")=0,"",SUMIFS(全馬データ!$K$2:$K$50000,全馬データ!$A$2:$A$50000,A2821,全馬データ!$B$2:$B$50000,B2821,全馬データ!$C$2:$C$50000,C2821,全馬データ!$D$2:$D$50000,E2821)))</f>
        <v/>
      </c>
      <c r="AP2821" s="8" t="str">
        <f aca="false">IF(A2821="","",IF(AO2821="","欠損",IF(AO2821&lt;=1.1,"1.0～1.1",IF(AO2821&lt;1.3,"1.2",IF(AO2821&lt;1.5,"1.3～1.4",IF(AO2821&lt;2,"1.5～1.9","2.0以上"))))))</f>
        <v/>
      </c>
      <c r="AQ2821" s="8" t="str">
        <f aca="false">IF(A2821="","",IF(ISNUMBER(SEARCH("2歳",Z2821)),"2歳戦",IF(ISNUMBER(SEARCH("3歳未勝利",Z2821)),"3歳未勝利",IF(ISNUMBER(SEARCH("未勝利",Z2821)),"その他未勝利",IF(ISNUMBER(SEARCH("G1",Z2821)),"G1",IF(ISNUMBER(SEARCH("G2",Z2821)),"G2",IF(ISNUMBER(SEARCH("G3",Z2821)),"G3",IF(ISNUMBER(SEARCH("古馬条件",Z2821)),"古馬条件戦",IF(ISNUMBER(SEARCH("重賞",Z2821)),"重賞","分類不能")))))))))</f>
        <v/>
      </c>
    </row>
    <row r="2822" customFormat="false" ht="15.75" hidden="false" customHeight="false" outlineLevel="0" collapsed="false">
      <c r="AO2822" s="8" t="str">
        <f aca="false">IF(A2822="","",IF(COUNTIFS(全馬データ!$A$2:$A$50000,A2822,全馬データ!$B$2:$B$50000,B2822,全馬データ!$C$2:$C$50000,C2822,全馬データ!$D$2:$D$50000,E2822,全馬データ!$K$2:$K$50000,"&lt;&gt;")=0,"",SUMIFS(全馬データ!$K$2:$K$50000,全馬データ!$A$2:$A$50000,A2822,全馬データ!$B$2:$B$50000,B2822,全馬データ!$C$2:$C$50000,C2822,全馬データ!$D$2:$D$50000,E2822)))</f>
        <v/>
      </c>
      <c r="AP2822" s="8" t="str">
        <f aca="false">IF(A2822="","",IF(AO2822="","欠損",IF(AO2822&lt;=1.1,"1.0～1.1",IF(AO2822&lt;1.3,"1.2",IF(AO2822&lt;1.5,"1.3～1.4",IF(AO2822&lt;2,"1.5～1.9","2.0以上"))))))</f>
        <v/>
      </c>
      <c r="AQ2822" s="8" t="str">
        <f aca="false">IF(A2822="","",IF(ISNUMBER(SEARCH("2歳",Z2822)),"2歳戦",IF(ISNUMBER(SEARCH("3歳未勝利",Z2822)),"3歳未勝利",IF(ISNUMBER(SEARCH("未勝利",Z2822)),"その他未勝利",IF(ISNUMBER(SEARCH("G1",Z2822)),"G1",IF(ISNUMBER(SEARCH("G2",Z2822)),"G2",IF(ISNUMBER(SEARCH("G3",Z2822)),"G3",IF(ISNUMBER(SEARCH("古馬条件",Z2822)),"古馬条件戦",IF(ISNUMBER(SEARCH("重賞",Z2822)),"重賞","分類不能")))))))))</f>
        <v/>
      </c>
    </row>
    <row r="2823" customFormat="false" ht="15.75" hidden="false" customHeight="false" outlineLevel="0" collapsed="false">
      <c r="AO2823" s="8" t="str">
        <f aca="false">IF(A2823="","",IF(COUNTIFS(全馬データ!$A$2:$A$50000,A2823,全馬データ!$B$2:$B$50000,B2823,全馬データ!$C$2:$C$50000,C2823,全馬データ!$D$2:$D$50000,E2823,全馬データ!$K$2:$K$50000,"&lt;&gt;")=0,"",SUMIFS(全馬データ!$K$2:$K$50000,全馬データ!$A$2:$A$50000,A2823,全馬データ!$B$2:$B$50000,B2823,全馬データ!$C$2:$C$50000,C2823,全馬データ!$D$2:$D$50000,E2823)))</f>
        <v/>
      </c>
      <c r="AP2823" s="8" t="str">
        <f aca="false">IF(A2823="","",IF(AO2823="","欠損",IF(AO2823&lt;=1.1,"1.0～1.1",IF(AO2823&lt;1.3,"1.2",IF(AO2823&lt;1.5,"1.3～1.4",IF(AO2823&lt;2,"1.5～1.9","2.0以上"))))))</f>
        <v/>
      </c>
      <c r="AQ2823" s="8" t="str">
        <f aca="false">IF(A2823="","",IF(ISNUMBER(SEARCH("2歳",Z2823)),"2歳戦",IF(ISNUMBER(SEARCH("3歳未勝利",Z2823)),"3歳未勝利",IF(ISNUMBER(SEARCH("未勝利",Z2823)),"その他未勝利",IF(ISNUMBER(SEARCH("G1",Z2823)),"G1",IF(ISNUMBER(SEARCH("G2",Z2823)),"G2",IF(ISNUMBER(SEARCH("G3",Z2823)),"G3",IF(ISNUMBER(SEARCH("古馬条件",Z2823)),"古馬条件戦",IF(ISNUMBER(SEARCH("重賞",Z2823)),"重賞","分類不能")))))))))</f>
        <v/>
      </c>
    </row>
    <row r="2824" customFormat="false" ht="15.75" hidden="false" customHeight="false" outlineLevel="0" collapsed="false">
      <c r="AO2824" s="8" t="str">
        <f aca="false">IF(A2824="","",IF(COUNTIFS(全馬データ!$A$2:$A$50000,A2824,全馬データ!$B$2:$B$50000,B2824,全馬データ!$C$2:$C$50000,C2824,全馬データ!$D$2:$D$50000,E2824,全馬データ!$K$2:$K$50000,"&lt;&gt;")=0,"",SUMIFS(全馬データ!$K$2:$K$50000,全馬データ!$A$2:$A$50000,A2824,全馬データ!$B$2:$B$50000,B2824,全馬データ!$C$2:$C$50000,C2824,全馬データ!$D$2:$D$50000,E2824)))</f>
        <v/>
      </c>
      <c r="AP2824" s="8" t="str">
        <f aca="false">IF(A2824="","",IF(AO2824="","欠損",IF(AO2824&lt;=1.1,"1.0～1.1",IF(AO2824&lt;1.3,"1.2",IF(AO2824&lt;1.5,"1.3～1.4",IF(AO2824&lt;2,"1.5～1.9","2.0以上"))))))</f>
        <v/>
      </c>
      <c r="AQ2824" s="8" t="str">
        <f aca="false">IF(A2824="","",IF(ISNUMBER(SEARCH("2歳",Z2824)),"2歳戦",IF(ISNUMBER(SEARCH("3歳未勝利",Z2824)),"3歳未勝利",IF(ISNUMBER(SEARCH("未勝利",Z2824)),"その他未勝利",IF(ISNUMBER(SEARCH("G1",Z2824)),"G1",IF(ISNUMBER(SEARCH("G2",Z2824)),"G2",IF(ISNUMBER(SEARCH("G3",Z2824)),"G3",IF(ISNUMBER(SEARCH("古馬条件",Z2824)),"古馬条件戦",IF(ISNUMBER(SEARCH("重賞",Z2824)),"重賞","分類不能")))))))))</f>
        <v/>
      </c>
    </row>
    <row r="2825" customFormat="false" ht="15.75" hidden="false" customHeight="false" outlineLevel="0" collapsed="false">
      <c r="AO2825" s="8" t="str">
        <f aca="false">IF(A2825="","",IF(COUNTIFS(全馬データ!$A$2:$A$50000,A2825,全馬データ!$B$2:$B$50000,B2825,全馬データ!$C$2:$C$50000,C2825,全馬データ!$D$2:$D$50000,E2825,全馬データ!$K$2:$K$50000,"&lt;&gt;")=0,"",SUMIFS(全馬データ!$K$2:$K$50000,全馬データ!$A$2:$A$50000,A2825,全馬データ!$B$2:$B$50000,B2825,全馬データ!$C$2:$C$50000,C2825,全馬データ!$D$2:$D$50000,E2825)))</f>
        <v/>
      </c>
      <c r="AP2825" s="8" t="str">
        <f aca="false">IF(A2825="","",IF(AO2825="","欠損",IF(AO2825&lt;=1.1,"1.0～1.1",IF(AO2825&lt;1.3,"1.2",IF(AO2825&lt;1.5,"1.3～1.4",IF(AO2825&lt;2,"1.5～1.9","2.0以上"))))))</f>
        <v/>
      </c>
      <c r="AQ2825" s="8" t="str">
        <f aca="false">IF(A2825="","",IF(ISNUMBER(SEARCH("2歳",Z2825)),"2歳戦",IF(ISNUMBER(SEARCH("3歳未勝利",Z2825)),"3歳未勝利",IF(ISNUMBER(SEARCH("未勝利",Z2825)),"その他未勝利",IF(ISNUMBER(SEARCH("G1",Z2825)),"G1",IF(ISNUMBER(SEARCH("G2",Z2825)),"G2",IF(ISNUMBER(SEARCH("G3",Z2825)),"G3",IF(ISNUMBER(SEARCH("古馬条件",Z2825)),"古馬条件戦",IF(ISNUMBER(SEARCH("重賞",Z2825)),"重賞","分類不能")))))))))</f>
        <v/>
      </c>
    </row>
    <row r="2826" customFormat="false" ht="15.75" hidden="false" customHeight="false" outlineLevel="0" collapsed="false">
      <c r="AO2826" s="8" t="str">
        <f aca="false">IF(A2826="","",IF(COUNTIFS(全馬データ!$A$2:$A$50000,A2826,全馬データ!$B$2:$B$50000,B2826,全馬データ!$C$2:$C$50000,C2826,全馬データ!$D$2:$D$50000,E2826,全馬データ!$K$2:$K$50000,"&lt;&gt;")=0,"",SUMIFS(全馬データ!$K$2:$K$50000,全馬データ!$A$2:$A$50000,A2826,全馬データ!$B$2:$B$50000,B2826,全馬データ!$C$2:$C$50000,C2826,全馬データ!$D$2:$D$50000,E2826)))</f>
        <v/>
      </c>
      <c r="AP2826" s="8" t="str">
        <f aca="false">IF(A2826="","",IF(AO2826="","欠損",IF(AO2826&lt;=1.1,"1.0～1.1",IF(AO2826&lt;1.3,"1.2",IF(AO2826&lt;1.5,"1.3～1.4",IF(AO2826&lt;2,"1.5～1.9","2.0以上"))))))</f>
        <v/>
      </c>
      <c r="AQ2826" s="8" t="str">
        <f aca="false">IF(A2826="","",IF(ISNUMBER(SEARCH("2歳",Z2826)),"2歳戦",IF(ISNUMBER(SEARCH("3歳未勝利",Z2826)),"3歳未勝利",IF(ISNUMBER(SEARCH("未勝利",Z2826)),"その他未勝利",IF(ISNUMBER(SEARCH("G1",Z2826)),"G1",IF(ISNUMBER(SEARCH("G2",Z2826)),"G2",IF(ISNUMBER(SEARCH("G3",Z2826)),"G3",IF(ISNUMBER(SEARCH("古馬条件",Z2826)),"古馬条件戦",IF(ISNUMBER(SEARCH("重賞",Z2826)),"重賞","分類不能")))))))))</f>
        <v/>
      </c>
    </row>
    <row r="2827" customFormat="false" ht="15.75" hidden="false" customHeight="false" outlineLevel="0" collapsed="false">
      <c r="AO2827" s="8" t="str">
        <f aca="false">IF(A2827="","",IF(COUNTIFS(全馬データ!$A$2:$A$50000,A2827,全馬データ!$B$2:$B$50000,B2827,全馬データ!$C$2:$C$50000,C2827,全馬データ!$D$2:$D$50000,E2827,全馬データ!$K$2:$K$50000,"&lt;&gt;")=0,"",SUMIFS(全馬データ!$K$2:$K$50000,全馬データ!$A$2:$A$50000,A2827,全馬データ!$B$2:$B$50000,B2827,全馬データ!$C$2:$C$50000,C2827,全馬データ!$D$2:$D$50000,E2827)))</f>
        <v/>
      </c>
      <c r="AP2827" s="8" t="str">
        <f aca="false">IF(A2827="","",IF(AO2827="","欠損",IF(AO2827&lt;=1.1,"1.0～1.1",IF(AO2827&lt;1.3,"1.2",IF(AO2827&lt;1.5,"1.3～1.4",IF(AO2827&lt;2,"1.5～1.9","2.0以上"))))))</f>
        <v/>
      </c>
      <c r="AQ2827" s="8" t="str">
        <f aca="false">IF(A2827="","",IF(ISNUMBER(SEARCH("2歳",Z2827)),"2歳戦",IF(ISNUMBER(SEARCH("3歳未勝利",Z2827)),"3歳未勝利",IF(ISNUMBER(SEARCH("未勝利",Z2827)),"その他未勝利",IF(ISNUMBER(SEARCH("G1",Z2827)),"G1",IF(ISNUMBER(SEARCH("G2",Z2827)),"G2",IF(ISNUMBER(SEARCH("G3",Z2827)),"G3",IF(ISNUMBER(SEARCH("古馬条件",Z2827)),"古馬条件戦",IF(ISNUMBER(SEARCH("重賞",Z2827)),"重賞","分類不能")))))))))</f>
        <v/>
      </c>
    </row>
    <row r="2828" customFormat="false" ht="15.75" hidden="false" customHeight="false" outlineLevel="0" collapsed="false">
      <c r="AO2828" s="8" t="str">
        <f aca="false">IF(A2828="","",IF(COUNTIFS(全馬データ!$A$2:$A$50000,A2828,全馬データ!$B$2:$B$50000,B2828,全馬データ!$C$2:$C$50000,C2828,全馬データ!$D$2:$D$50000,E2828,全馬データ!$K$2:$K$50000,"&lt;&gt;")=0,"",SUMIFS(全馬データ!$K$2:$K$50000,全馬データ!$A$2:$A$50000,A2828,全馬データ!$B$2:$B$50000,B2828,全馬データ!$C$2:$C$50000,C2828,全馬データ!$D$2:$D$50000,E2828)))</f>
        <v/>
      </c>
      <c r="AP2828" s="8" t="str">
        <f aca="false">IF(A2828="","",IF(AO2828="","欠損",IF(AO2828&lt;=1.1,"1.0～1.1",IF(AO2828&lt;1.3,"1.2",IF(AO2828&lt;1.5,"1.3～1.4",IF(AO2828&lt;2,"1.5～1.9","2.0以上"))))))</f>
        <v/>
      </c>
      <c r="AQ2828" s="8" t="str">
        <f aca="false">IF(A2828="","",IF(ISNUMBER(SEARCH("2歳",Z2828)),"2歳戦",IF(ISNUMBER(SEARCH("3歳未勝利",Z2828)),"3歳未勝利",IF(ISNUMBER(SEARCH("未勝利",Z2828)),"その他未勝利",IF(ISNUMBER(SEARCH("G1",Z2828)),"G1",IF(ISNUMBER(SEARCH("G2",Z2828)),"G2",IF(ISNUMBER(SEARCH("G3",Z2828)),"G3",IF(ISNUMBER(SEARCH("古馬条件",Z2828)),"古馬条件戦",IF(ISNUMBER(SEARCH("重賞",Z2828)),"重賞","分類不能")))))))))</f>
        <v/>
      </c>
    </row>
    <row r="2829" customFormat="false" ht="15.75" hidden="false" customHeight="false" outlineLevel="0" collapsed="false">
      <c r="AO2829" s="8" t="str">
        <f aca="false">IF(A2829="","",IF(COUNTIFS(全馬データ!$A$2:$A$50000,A2829,全馬データ!$B$2:$B$50000,B2829,全馬データ!$C$2:$C$50000,C2829,全馬データ!$D$2:$D$50000,E2829,全馬データ!$K$2:$K$50000,"&lt;&gt;")=0,"",SUMIFS(全馬データ!$K$2:$K$50000,全馬データ!$A$2:$A$50000,A2829,全馬データ!$B$2:$B$50000,B2829,全馬データ!$C$2:$C$50000,C2829,全馬データ!$D$2:$D$50000,E2829)))</f>
        <v/>
      </c>
      <c r="AP2829" s="8" t="str">
        <f aca="false">IF(A2829="","",IF(AO2829="","欠損",IF(AO2829&lt;=1.1,"1.0～1.1",IF(AO2829&lt;1.3,"1.2",IF(AO2829&lt;1.5,"1.3～1.4",IF(AO2829&lt;2,"1.5～1.9","2.0以上"))))))</f>
        <v/>
      </c>
      <c r="AQ2829" s="8" t="str">
        <f aca="false">IF(A2829="","",IF(ISNUMBER(SEARCH("2歳",Z2829)),"2歳戦",IF(ISNUMBER(SEARCH("3歳未勝利",Z2829)),"3歳未勝利",IF(ISNUMBER(SEARCH("未勝利",Z2829)),"その他未勝利",IF(ISNUMBER(SEARCH("G1",Z2829)),"G1",IF(ISNUMBER(SEARCH("G2",Z2829)),"G2",IF(ISNUMBER(SEARCH("G3",Z2829)),"G3",IF(ISNUMBER(SEARCH("古馬条件",Z2829)),"古馬条件戦",IF(ISNUMBER(SEARCH("重賞",Z2829)),"重賞","分類不能")))))))))</f>
        <v/>
      </c>
    </row>
    <row r="2830" customFormat="false" ht="15.75" hidden="false" customHeight="false" outlineLevel="0" collapsed="false">
      <c r="AO2830" s="8" t="str">
        <f aca="false">IF(A2830="","",IF(COUNTIFS(全馬データ!$A$2:$A$50000,A2830,全馬データ!$B$2:$B$50000,B2830,全馬データ!$C$2:$C$50000,C2830,全馬データ!$D$2:$D$50000,E2830,全馬データ!$K$2:$K$50000,"&lt;&gt;")=0,"",SUMIFS(全馬データ!$K$2:$K$50000,全馬データ!$A$2:$A$50000,A2830,全馬データ!$B$2:$B$50000,B2830,全馬データ!$C$2:$C$50000,C2830,全馬データ!$D$2:$D$50000,E2830)))</f>
        <v/>
      </c>
      <c r="AP2830" s="8" t="str">
        <f aca="false">IF(A2830="","",IF(AO2830="","欠損",IF(AO2830&lt;=1.1,"1.0～1.1",IF(AO2830&lt;1.3,"1.2",IF(AO2830&lt;1.5,"1.3～1.4",IF(AO2830&lt;2,"1.5～1.9","2.0以上"))))))</f>
        <v/>
      </c>
      <c r="AQ2830" s="8" t="str">
        <f aca="false">IF(A2830="","",IF(ISNUMBER(SEARCH("2歳",Z2830)),"2歳戦",IF(ISNUMBER(SEARCH("3歳未勝利",Z2830)),"3歳未勝利",IF(ISNUMBER(SEARCH("未勝利",Z2830)),"その他未勝利",IF(ISNUMBER(SEARCH("G1",Z2830)),"G1",IF(ISNUMBER(SEARCH("G2",Z2830)),"G2",IF(ISNUMBER(SEARCH("G3",Z2830)),"G3",IF(ISNUMBER(SEARCH("古馬条件",Z2830)),"古馬条件戦",IF(ISNUMBER(SEARCH("重賞",Z2830)),"重賞","分類不能")))))))))</f>
        <v/>
      </c>
    </row>
    <row r="2831" customFormat="false" ht="15.75" hidden="false" customHeight="false" outlineLevel="0" collapsed="false">
      <c r="AO2831" s="8" t="str">
        <f aca="false">IF(A2831="","",IF(COUNTIFS(全馬データ!$A$2:$A$50000,A2831,全馬データ!$B$2:$B$50000,B2831,全馬データ!$C$2:$C$50000,C2831,全馬データ!$D$2:$D$50000,E2831,全馬データ!$K$2:$K$50000,"&lt;&gt;")=0,"",SUMIFS(全馬データ!$K$2:$K$50000,全馬データ!$A$2:$A$50000,A2831,全馬データ!$B$2:$B$50000,B2831,全馬データ!$C$2:$C$50000,C2831,全馬データ!$D$2:$D$50000,E2831)))</f>
        <v/>
      </c>
      <c r="AP2831" s="8" t="str">
        <f aca="false">IF(A2831="","",IF(AO2831="","欠損",IF(AO2831&lt;=1.1,"1.0～1.1",IF(AO2831&lt;1.3,"1.2",IF(AO2831&lt;1.5,"1.3～1.4",IF(AO2831&lt;2,"1.5～1.9","2.0以上"))))))</f>
        <v/>
      </c>
      <c r="AQ2831" s="8" t="str">
        <f aca="false">IF(A2831="","",IF(ISNUMBER(SEARCH("2歳",Z2831)),"2歳戦",IF(ISNUMBER(SEARCH("3歳未勝利",Z2831)),"3歳未勝利",IF(ISNUMBER(SEARCH("未勝利",Z2831)),"その他未勝利",IF(ISNUMBER(SEARCH("G1",Z2831)),"G1",IF(ISNUMBER(SEARCH("G2",Z2831)),"G2",IF(ISNUMBER(SEARCH("G3",Z2831)),"G3",IF(ISNUMBER(SEARCH("古馬条件",Z2831)),"古馬条件戦",IF(ISNUMBER(SEARCH("重賞",Z2831)),"重賞","分類不能")))))))))</f>
        <v/>
      </c>
    </row>
    <row r="2832" customFormat="false" ht="15.75" hidden="false" customHeight="false" outlineLevel="0" collapsed="false">
      <c r="AO2832" s="8" t="str">
        <f aca="false">IF(A2832="","",IF(COUNTIFS(全馬データ!$A$2:$A$50000,A2832,全馬データ!$B$2:$B$50000,B2832,全馬データ!$C$2:$C$50000,C2832,全馬データ!$D$2:$D$50000,E2832,全馬データ!$K$2:$K$50000,"&lt;&gt;")=0,"",SUMIFS(全馬データ!$K$2:$K$50000,全馬データ!$A$2:$A$50000,A2832,全馬データ!$B$2:$B$50000,B2832,全馬データ!$C$2:$C$50000,C2832,全馬データ!$D$2:$D$50000,E2832)))</f>
        <v/>
      </c>
      <c r="AP2832" s="8" t="str">
        <f aca="false">IF(A2832="","",IF(AO2832="","欠損",IF(AO2832&lt;=1.1,"1.0～1.1",IF(AO2832&lt;1.3,"1.2",IF(AO2832&lt;1.5,"1.3～1.4",IF(AO2832&lt;2,"1.5～1.9","2.0以上"))))))</f>
        <v/>
      </c>
      <c r="AQ2832" s="8" t="str">
        <f aca="false">IF(A2832="","",IF(ISNUMBER(SEARCH("2歳",Z2832)),"2歳戦",IF(ISNUMBER(SEARCH("3歳未勝利",Z2832)),"3歳未勝利",IF(ISNUMBER(SEARCH("未勝利",Z2832)),"その他未勝利",IF(ISNUMBER(SEARCH("G1",Z2832)),"G1",IF(ISNUMBER(SEARCH("G2",Z2832)),"G2",IF(ISNUMBER(SEARCH("G3",Z2832)),"G3",IF(ISNUMBER(SEARCH("古馬条件",Z2832)),"古馬条件戦",IF(ISNUMBER(SEARCH("重賞",Z2832)),"重賞","分類不能")))))))))</f>
        <v/>
      </c>
    </row>
    <row r="2833" customFormat="false" ht="15.75" hidden="false" customHeight="false" outlineLevel="0" collapsed="false">
      <c r="AO2833" s="8" t="str">
        <f aca="false">IF(A2833="","",IF(COUNTIFS(全馬データ!$A$2:$A$50000,A2833,全馬データ!$B$2:$B$50000,B2833,全馬データ!$C$2:$C$50000,C2833,全馬データ!$D$2:$D$50000,E2833,全馬データ!$K$2:$K$50000,"&lt;&gt;")=0,"",SUMIFS(全馬データ!$K$2:$K$50000,全馬データ!$A$2:$A$50000,A2833,全馬データ!$B$2:$B$50000,B2833,全馬データ!$C$2:$C$50000,C2833,全馬データ!$D$2:$D$50000,E2833)))</f>
        <v/>
      </c>
      <c r="AP2833" s="8" t="str">
        <f aca="false">IF(A2833="","",IF(AO2833="","欠損",IF(AO2833&lt;=1.1,"1.0～1.1",IF(AO2833&lt;1.3,"1.2",IF(AO2833&lt;1.5,"1.3～1.4",IF(AO2833&lt;2,"1.5～1.9","2.0以上"))))))</f>
        <v/>
      </c>
      <c r="AQ2833" s="8" t="str">
        <f aca="false">IF(A2833="","",IF(ISNUMBER(SEARCH("2歳",Z2833)),"2歳戦",IF(ISNUMBER(SEARCH("3歳未勝利",Z2833)),"3歳未勝利",IF(ISNUMBER(SEARCH("未勝利",Z2833)),"その他未勝利",IF(ISNUMBER(SEARCH("G1",Z2833)),"G1",IF(ISNUMBER(SEARCH("G2",Z2833)),"G2",IF(ISNUMBER(SEARCH("G3",Z2833)),"G3",IF(ISNUMBER(SEARCH("古馬条件",Z2833)),"古馬条件戦",IF(ISNUMBER(SEARCH("重賞",Z2833)),"重賞","分類不能")))))))))</f>
        <v/>
      </c>
    </row>
    <row r="2834" customFormat="false" ht="15.75" hidden="false" customHeight="false" outlineLevel="0" collapsed="false">
      <c r="AO2834" s="8" t="str">
        <f aca="false">IF(A2834="","",IF(COUNTIFS(全馬データ!$A$2:$A$50000,A2834,全馬データ!$B$2:$B$50000,B2834,全馬データ!$C$2:$C$50000,C2834,全馬データ!$D$2:$D$50000,E2834,全馬データ!$K$2:$K$50000,"&lt;&gt;")=0,"",SUMIFS(全馬データ!$K$2:$K$50000,全馬データ!$A$2:$A$50000,A2834,全馬データ!$B$2:$B$50000,B2834,全馬データ!$C$2:$C$50000,C2834,全馬データ!$D$2:$D$50000,E2834)))</f>
        <v/>
      </c>
      <c r="AP2834" s="8" t="str">
        <f aca="false">IF(A2834="","",IF(AO2834="","欠損",IF(AO2834&lt;=1.1,"1.0～1.1",IF(AO2834&lt;1.3,"1.2",IF(AO2834&lt;1.5,"1.3～1.4",IF(AO2834&lt;2,"1.5～1.9","2.0以上"))))))</f>
        <v/>
      </c>
      <c r="AQ2834" s="8" t="str">
        <f aca="false">IF(A2834="","",IF(ISNUMBER(SEARCH("2歳",Z2834)),"2歳戦",IF(ISNUMBER(SEARCH("3歳未勝利",Z2834)),"3歳未勝利",IF(ISNUMBER(SEARCH("未勝利",Z2834)),"その他未勝利",IF(ISNUMBER(SEARCH("G1",Z2834)),"G1",IF(ISNUMBER(SEARCH("G2",Z2834)),"G2",IF(ISNUMBER(SEARCH("G3",Z2834)),"G3",IF(ISNUMBER(SEARCH("古馬条件",Z2834)),"古馬条件戦",IF(ISNUMBER(SEARCH("重賞",Z2834)),"重賞","分類不能")))))))))</f>
        <v/>
      </c>
    </row>
    <row r="2835" customFormat="false" ht="15.75" hidden="false" customHeight="false" outlineLevel="0" collapsed="false">
      <c r="AO2835" s="8" t="str">
        <f aca="false">IF(A2835="","",IF(COUNTIFS(全馬データ!$A$2:$A$50000,A2835,全馬データ!$B$2:$B$50000,B2835,全馬データ!$C$2:$C$50000,C2835,全馬データ!$D$2:$D$50000,E2835,全馬データ!$K$2:$K$50000,"&lt;&gt;")=0,"",SUMIFS(全馬データ!$K$2:$K$50000,全馬データ!$A$2:$A$50000,A2835,全馬データ!$B$2:$B$50000,B2835,全馬データ!$C$2:$C$50000,C2835,全馬データ!$D$2:$D$50000,E2835)))</f>
        <v/>
      </c>
      <c r="AP2835" s="8" t="str">
        <f aca="false">IF(A2835="","",IF(AO2835="","欠損",IF(AO2835&lt;=1.1,"1.0～1.1",IF(AO2835&lt;1.3,"1.2",IF(AO2835&lt;1.5,"1.3～1.4",IF(AO2835&lt;2,"1.5～1.9","2.0以上"))))))</f>
        <v/>
      </c>
      <c r="AQ2835" s="8" t="str">
        <f aca="false">IF(A2835="","",IF(ISNUMBER(SEARCH("2歳",Z2835)),"2歳戦",IF(ISNUMBER(SEARCH("3歳未勝利",Z2835)),"3歳未勝利",IF(ISNUMBER(SEARCH("未勝利",Z2835)),"その他未勝利",IF(ISNUMBER(SEARCH("G1",Z2835)),"G1",IF(ISNUMBER(SEARCH("G2",Z2835)),"G2",IF(ISNUMBER(SEARCH("G3",Z2835)),"G3",IF(ISNUMBER(SEARCH("古馬条件",Z2835)),"古馬条件戦",IF(ISNUMBER(SEARCH("重賞",Z2835)),"重賞","分類不能")))))))))</f>
        <v/>
      </c>
    </row>
    <row r="2836" customFormat="false" ht="15.75" hidden="false" customHeight="false" outlineLevel="0" collapsed="false">
      <c r="AO2836" s="8" t="str">
        <f aca="false">IF(A2836="","",IF(COUNTIFS(全馬データ!$A$2:$A$50000,A2836,全馬データ!$B$2:$B$50000,B2836,全馬データ!$C$2:$C$50000,C2836,全馬データ!$D$2:$D$50000,E2836,全馬データ!$K$2:$K$50000,"&lt;&gt;")=0,"",SUMIFS(全馬データ!$K$2:$K$50000,全馬データ!$A$2:$A$50000,A2836,全馬データ!$B$2:$B$50000,B2836,全馬データ!$C$2:$C$50000,C2836,全馬データ!$D$2:$D$50000,E2836)))</f>
        <v/>
      </c>
      <c r="AP2836" s="8" t="str">
        <f aca="false">IF(A2836="","",IF(AO2836="","欠損",IF(AO2836&lt;=1.1,"1.0～1.1",IF(AO2836&lt;1.3,"1.2",IF(AO2836&lt;1.5,"1.3～1.4",IF(AO2836&lt;2,"1.5～1.9","2.0以上"))))))</f>
        <v/>
      </c>
      <c r="AQ2836" s="8" t="str">
        <f aca="false">IF(A2836="","",IF(ISNUMBER(SEARCH("2歳",Z2836)),"2歳戦",IF(ISNUMBER(SEARCH("3歳未勝利",Z2836)),"3歳未勝利",IF(ISNUMBER(SEARCH("未勝利",Z2836)),"その他未勝利",IF(ISNUMBER(SEARCH("G1",Z2836)),"G1",IF(ISNUMBER(SEARCH("G2",Z2836)),"G2",IF(ISNUMBER(SEARCH("G3",Z2836)),"G3",IF(ISNUMBER(SEARCH("古馬条件",Z2836)),"古馬条件戦",IF(ISNUMBER(SEARCH("重賞",Z2836)),"重賞","分類不能")))))))))</f>
        <v/>
      </c>
    </row>
    <row r="2837" customFormat="false" ht="15.75" hidden="false" customHeight="false" outlineLevel="0" collapsed="false">
      <c r="AO2837" s="8" t="str">
        <f aca="false">IF(A2837="","",IF(COUNTIFS(全馬データ!$A$2:$A$50000,A2837,全馬データ!$B$2:$B$50000,B2837,全馬データ!$C$2:$C$50000,C2837,全馬データ!$D$2:$D$50000,E2837,全馬データ!$K$2:$K$50000,"&lt;&gt;")=0,"",SUMIFS(全馬データ!$K$2:$K$50000,全馬データ!$A$2:$A$50000,A2837,全馬データ!$B$2:$B$50000,B2837,全馬データ!$C$2:$C$50000,C2837,全馬データ!$D$2:$D$50000,E2837)))</f>
        <v/>
      </c>
      <c r="AP2837" s="8" t="str">
        <f aca="false">IF(A2837="","",IF(AO2837="","欠損",IF(AO2837&lt;=1.1,"1.0～1.1",IF(AO2837&lt;1.3,"1.2",IF(AO2837&lt;1.5,"1.3～1.4",IF(AO2837&lt;2,"1.5～1.9","2.0以上"))))))</f>
        <v/>
      </c>
      <c r="AQ2837" s="8" t="str">
        <f aca="false">IF(A2837="","",IF(ISNUMBER(SEARCH("2歳",Z2837)),"2歳戦",IF(ISNUMBER(SEARCH("3歳未勝利",Z2837)),"3歳未勝利",IF(ISNUMBER(SEARCH("未勝利",Z2837)),"その他未勝利",IF(ISNUMBER(SEARCH("G1",Z2837)),"G1",IF(ISNUMBER(SEARCH("G2",Z2837)),"G2",IF(ISNUMBER(SEARCH("G3",Z2837)),"G3",IF(ISNUMBER(SEARCH("古馬条件",Z2837)),"古馬条件戦",IF(ISNUMBER(SEARCH("重賞",Z2837)),"重賞","分類不能")))))))))</f>
        <v/>
      </c>
    </row>
    <row r="2838" customFormat="false" ht="15.75" hidden="false" customHeight="false" outlineLevel="0" collapsed="false">
      <c r="AO2838" s="8" t="str">
        <f aca="false">IF(A2838="","",IF(COUNTIFS(全馬データ!$A$2:$A$50000,A2838,全馬データ!$B$2:$B$50000,B2838,全馬データ!$C$2:$C$50000,C2838,全馬データ!$D$2:$D$50000,E2838,全馬データ!$K$2:$K$50000,"&lt;&gt;")=0,"",SUMIFS(全馬データ!$K$2:$K$50000,全馬データ!$A$2:$A$50000,A2838,全馬データ!$B$2:$B$50000,B2838,全馬データ!$C$2:$C$50000,C2838,全馬データ!$D$2:$D$50000,E2838)))</f>
        <v/>
      </c>
      <c r="AP2838" s="8" t="str">
        <f aca="false">IF(A2838="","",IF(AO2838="","欠損",IF(AO2838&lt;=1.1,"1.0～1.1",IF(AO2838&lt;1.3,"1.2",IF(AO2838&lt;1.5,"1.3～1.4",IF(AO2838&lt;2,"1.5～1.9","2.0以上"))))))</f>
        <v/>
      </c>
      <c r="AQ2838" s="8" t="str">
        <f aca="false">IF(A2838="","",IF(ISNUMBER(SEARCH("2歳",Z2838)),"2歳戦",IF(ISNUMBER(SEARCH("3歳未勝利",Z2838)),"3歳未勝利",IF(ISNUMBER(SEARCH("未勝利",Z2838)),"その他未勝利",IF(ISNUMBER(SEARCH("G1",Z2838)),"G1",IF(ISNUMBER(SEARCH("G2",Z2838)),"G2",IF(ISNUMBER(SEARCH("G3",Z2838)),"G3",IF(ISNUMBER(SEARCH("古馬条件",Z2838)),"古馬条件戦",IF(ISNUMBER(SEARCH("重賞",Z2838)),"重賞","分類不能")))))))))</f>
        <v/>
      </c>
    </row>
    <row r="2839" customFormat="false" ht="15.75" hidden="false" customHeight="false" outlineLevel="0" collapsed="false">
      <c r="AO2839" s="8" t="str">
        <f aca="false">IF(A2839="","",IF(COUNTIFS(全馬データ!$A$2:$A$50000,A2839,全馬データ!$B$2:$B$50000,B2839,全馬データ!$C$2:$C$50000,C2839,全馬データ!$D$2:$D$50000,E2839,全馬データ!$K$2:$K$50000,"&lt;&gt;")=0,"",SUMIFS(全馬データ!$K$2:$K$50000,全馬データ!$A$2:$A$50000,A2839,全馬データ!$B$2:$B$50000,B2839,全馬データ!$C$2:$C$50000,C2839,全馬データ!$D$2:$D$50000,E2839)))</f>
        <v/>
      </c>
      <c r="AP2839" s="8" t="str">
        <f aca="false">IF(A2839="","",IF(AO2839="","欠損",IF(AO2839&lt;=1.1,"1.0～1.1",IF(AO2839&lt;1.3,"1.2",IF(AO2839&lt;1.5,"1.3～1.4",IF(AO2839&lt;2,"1.5～1.9","2.0以上"))))))</f>
        <v/>
      </c>
      <c r="AQ2839" s="8" t="str">
        <f aca="false">IF(A2839="","",IF(ISNUMBER(SEARCH("2歳",Z2839)),"2歳戦",IF(ISNUMBER(SEARCH("3歳未勝利",Z2839)),"3歳未勝利",IF(ISNUMBER(SEARCH("未勝利",Z2839)),"その他未勝利",IF(ISNUMBER(SEARCH("G1",Z2839)),"G1",IF(ISNUMBER(SEARCH("G2",Z2839)),"G2",IF(ISNUMBER(SEARCH("G3",Z2839)),"G3",IF(ISNUMBER(SEARCH("古馬条件",Z2839)),"古馬条件戦",IF(ISNUMBER(SEARCH("重賞",Z2839)),"重賞","分類不能")))))))))</f>
        <v/>
      </c>
    </row>
    <row r="2840" customFormat="false" ht="15.75" hidden="false" customHeight="false" outlineLevel="0" collapsed="false">
      <c r="AO2840" s="8" t="str">
        <f aca="false">IF(A2840="","",IF(COUNTIFS(全馬データ!$A$2:$A$50000,A2840,全馬データ!$B$2:$B$50000,B2840,全馬データ!$C$2:$C$50000,C2840,全馬データ!$D$2:$D$50000,E2840,全馬データ!$K$2:$K$50000,"&lt;&gt;")=0,"",SUMIFS(全馬データ!$K$2:$K$50000,全馬データ!$A$2:$A$50000,A2840,全馬データ!$B$2:$B$50000,B2840,全馬データ!$C$2:$C$50000,C2840,全馬データ!$D$2:$D$50000,E2840)))</f>
        <v/>
      </c>
      <c r="AP2840" s="8" t="str">
        <f aca="false">IF(A2840="","",IF(AO2840="","欠損",IF(AO2840&lt;=1.1,"1.0～1.1",IF(AO2840&lt;1.3,"1.2",IF(AO2840&lt;1.5,"1.3～1.4",IF(AO2840&lt;2,"1.5～1.9","2.0以上"))))))</f>
        <v/>
      </c>
      <c r="AQ2840" s="8" t="str">
        <f aca="false">IF(A2840="","",IF(ISNUMBER(SEARCH("2歳",Z2840)),"2歳戦",IF(ISNUMBER(SEARCH("3歳未勝利",Z2840)),"3歳未勝利",IF(ISNUMBER(SEARCH("未勝利",Z2840)),"その他未勝利",IF(ISNUMBER(SEARCH("G1",Z2840)),"G1",IF(ISNUMBER(SEARCH("G2",Z2840)),"G2",IF(ISNUMBER(SEARCH("G3",Z2840)),"G3",IF(ISNUMBER(SEARCH("古馬条件",Z2840)),"古馬条件戦",IF(ISNUMBER(SEARCH("重賞",Z2840)),"重賞","分類不能")))))))))</f>
        <v/>
      </c>
    </row>
    <row r="2841" customFormat="false" ht="15.75" hidden="false" customHeight="false" outlineLevel="0" collapsed="false">
      <c r="AO2841" s="8" t="str">
        <f aca="false">IF(A2841="","",IF(COUNTIFS(全馬データ!$A$2:$A$50000,A2841,全馬データ!$B$2:$B$50000,B2841,全馬データ!$C$2:$C$50000,C2841,全馬データ!$D$2:$D$50000,E2841,全馬データ!$K$2:$K$50000,"&lt;&gt;")=0,"",SUMIFS(全馬データ!$K$2:$K$50000,全馬データ!$A$2:$A$50000,A2841,全馬データ!$B$2:$B$50000,B2841,全馬データ!$C$2:$C$50000,C2841,全馬データ!$D$2:$D$50000,E2841)))</f>
        <v/>
      </c>
      <c r="AP2841" s="8" t="str">
        <f aca="false">IF(A2841="","",IF(AO2841="","欠損",IF(AO2841&lt;=1.1,"1.0～1.1",IF(AO2841&lt;1.3,"1.2",IF(AO2841&lt;1.5,"1.3～1.4",IF(AO2841&lt;2,"1.5～1.9","2.0以上"))))))</f>
        <v/>
      </c>
      <c r="AQ2841" s="8" t="str">
        <f aca="false">IF(A2841="","",IF(ISNUMBER(SEARCH("2歳",Z2841)),"2歳戦",IF(ISNUMBER(SEARCH("3歳未勝利",Z2841)),"3歳未勝利",IF(ISNUMBER(SEARCH("未勝利",Z2841)),"その他未勝利",IF(ISNUMBER(SEARCH("G1",Z2841)),"G1",IF(ISNUMBER(SEARCH("G2",Z2841)),"G2",IF(ISNUMBER(SEARCH("G3",Z2841)),"G3",IF(ISNUMBER(SEARCH("古馬条件",Z2841)),"古馬条件戦",IF(ISNUMBER(SEARCH("重賞",Z2841)),"重賞","分類不能")))))))))</f>
        <v/>
      </c>
    </row>
    <row r="2842" customFormat="false" ht="15.75" hidden="false" customHeight="false" outlineLevel="0" collapsed="false">
      <c r="AO2842" s="8" t="str">
        <f aca="false">IF(A2842="","",IF(COUNTIFS(全馬データ!$A$2:$A$50000,A2842,全馬データ!$B$2:$B$50000,B2842,全馬データ!$C$2:$C$50000,C2842,全馬データ!$D$2:$D$50000,E2842,全馬データ!$K$2:$K$50000,"&lt;&gt;")=0,"",SUMIFS(全馬データ!$K$2:$K$50000,全馬データ!$A$2:$A$50000,A2842,全馬データ!$B$2:$B$50000,B2842,全馬データ!$C$2:$C$50000,C2842,全馬データ!$D$2:$D$50000,E2842)))</f>
        <v/>
      </c>
      <c r="AP2842" s="8" t="str">
        <f aca="false">IF(A2842="","",IF(AO2842="","欠損",IF(AO2842&lt;=1.1,"1.0～1.1",IF(AO2842&lt;1.3,"1.2",IF(AO2842&lt;1.5,"1.3～1.4",IF(AO2842&lt;2,"1.5～1.9","2.0以上"))))))</f>
        <v/>
      </c>
      <c r="AQ2842" s="8" t="str">
        <f aca="false">IF(A2842="","",IF(ISNUMBER(SEARCH("2歳",Z2842)),"2歳戦",IF(ISNUMBER(SEARCH("3歳未勝利",Z2842)),"3歳未勝利",IF(ISNUMBER(SEARCH("未勝利",Z2842)),"その他未勝利",IF(ISNUMBER(SEARCH("G1",Z2842)),"G1",IF(ISNUMBER(SEARCH("G2",Z2842)),"G2",IF(ISNUMBER(SEARCH("G3",Z2842)),"G3",IF(ISNUMBER(SEARCH("古馬条件",Z2842)),"古馬条件戦",IF(ISNUMBER(SEARCH("重賞",Z2842)),"重賞","分類不能")))))))))</f>
        <v/>
      </c>
    </row>
    <row r="2843" customFormat="false" ht="15.75" hidden="false" customHeight="false" outlineLevel="0" collapsed="false">
      <c r="AO2843" s="8" t="str">
        <f aca="false">IF(A2843="","",IF(COUNTIFS(全馬データ!$A$2:$A$50000,A2843,全馬データ!$B$2:$B$50000,B2843,全馬データ!$C$2:$C$50000,C2843,全馬データ!$D$2:$D$50000,E2843,全馬データ!$K$2:$K$50000,"&lt;&gt;")=0,"",SUMIFS(全馬データ!$K$2:$K$50000,全馬データ!$A$2:$A$50000,A2843,全馬データ!$B$2:$B$50000,B2843,全馬データ!$C$2:$C$50000,C2843,全馬データ!$D$2:$D$50000,E2843)))</f>
        <v/>
      </c>
      <c r="AP2843" s="8" t="str">
        <f aca="false">IF(A2843="","",IF(AO2843="","欠損",IF(AO2843&lt;=1.1,"1.0～1.1",IF(AO2843&lt;1.3,"1.2",IF(AO2843&lt;1.5,"1.3～1.4",IF(AO2843&lt;2,"1.5～1.9","2.0以上"))))))</f>
        <v/>
      </c>
      <c r="AQ2843" s="8" t="str">
        <f aca="false">IF(A2843="","",IF(ISNUMBER(SEARCH("2歳",Z2843)),"2歳戦",IF(ISNUMBER(SEARCH("3歳未勝利",Z2843)),"3歳未勝利",IF(ISNUMBER(SEARCH("未勝利",Z2843)),"その他未勝利",IF(ISNUMBER(SEARCH("G1",Z2843)),"G1",IF(ISNUMBER(SEARCH("G2",Z2843)),"G2",IF(ISNUMBER(SEARCH("G3",Z2843)),"G3",IF(ISNUMBER(SEARCH("古馬条件",Z2843)),"古馬条件戦",IF(ISNUMBER(SEARCH("重賞",Z2843)),"重賞","分類不能")))))))))</f>
        <v/>
      </c>
    </row>
    <row r="2844" customFormat="false" ht="15.75" hidden="false" customHeight="false" outlineLevel="0" collapsed="false">
      <c r="AO2844" s="8" t="str">
        <f aca="false">IF(A2844="","",IF(COUNTIFS(全馬データ!$A$2:$A$50000,A2844,全馬データ!$B$2:$B$50000,B2844,全馬データ!$C$2:$C$50000,C2844,全馬データ!$D$2:$D$50000,E2844,全馬データ!$K$2:$K$50000,"&lt;&gt;")=0,"",SUMIFS(全馬データ!$K$2:$K$50000,全馬データ!$A$2:$A$50000,A2844,全馬データ!$B$2:$B$50000,B2844,全馬データ!$C$2:$C$50000,C2844,全馬データ!$D$2:$D$50000,E2844)))</f>
        <v/>
      </c>
      <c r="AP2844" s="8" t="str">
        <f aca="false">IF(A2844="","",IF(AO2844="","欠損",IF(AO2844&lt;=1.1,"1.0～1.1",IF(AO2844&lt;1.3,"1.2",IF(AO2844&lt;1.5,"1.3～1.4",IF(AO2844&lt;2,"1.5～1.9","2.0以上"))))))</f>
        <v/>
      </c>
      <c r="AQ2844" s="8" t="str">
        <f aca="false">IF(A2844="","",IF(ISNUMBER(SEARCH("2歳",Z2844)),"2歳戦",IF(ISNUMBER(SEARCH("3歳未勝利",Z2844)),"3歳未勝利",IF(ISNUMBER(SEARCH("未勝利",Z2844)),"その他未勝利",IF(ISNUMBER(SEARCH("G1",Z2844)),"G1",IF(ISNUMBER(SEARCH("G2",Z2844)),"G2",IF(ISNUMBER(SEARCH("G3",Z2844)),"G3",IF(ISNUMBER(SEARCH("古馬条件",Z2844)),"古馬条件戦",IF(ISNUMBER(SEARCH("重賞",Z2844)),"重賞","分類不能")))))))))</f>
        <v/>
      </c>
    </row>
    <row r="2845" customFormat="false" ht="15.75" hidden="false" customHeight="false" outlineLevel="0" collapsed="false">
      <c r="AO2845" s="8" t="str">
        <f aca="false">IF(A2845="","",IF(COUNTIFS(全馬データ!$A$2:$A$50000,A2845,全馬データ!$B$2:$B$50000,B2845,全馬データ!$C$2:$C$50000,C2845,全馬データ!$D$2:$D$50000,E2845,全馬データ!$K$2:$K$50000,"&lt;&gt;")=0,"",SUMIFS(全馬データ!$K$2:$K$50000,全馬データ!$A$2:$A$50000,A2845,全馬データ!$B$2:$B$50000,B2845,全馬データ!$C$2:$C$50000,C2845,全馬データ!$D$2:$D$50000,E2845)))</f>
        <v/>
      </c>
      <c r="AP2845" s="8" t="str">
        <f aca="false">IF(A2845="","",IF(AO2845="","欠損",IF(AO2845&lt;=1.1,"1.0～1.1",IF(AO2845&lt;1.3,"1.2",IF(AO2845&lt;1.5,"1.3～1.4",IF(AO2845&lt;2,"1.5～1.9","2.0以上"))))))</f>
        <v/>
      </c>
      <c r="AQ2845" s="8" t="str">
        <f aca="false">IF(A2845="","",IF(ISNUMBER(SEARCH("2歳",Z2845)),"2歳戦",IF(ISNUMBER(SEARCH("3歳未勝利",Z2845)),"3歳未勝利",IF(ISNUMBER(SEARCH("未勝利",Z2845)),"その他未勝利",IF(ISNUMBER(SEARCH("G1",Z2845)),"G1",IF(ISNUMBER(SEARCH("G2",Z2845)),"G2",IF(ISNUMBER(SEARCH("G3",Z2845)),"G3",IF(ISNUMBER(SEARCH("古馬条件",Z2845)),"古馬条件戦",IF(ISNUMBER(SEARCH("重賞",Z2845)),"重賞","分類不能")))))))))</f>
        <v/>
      </c>
    </row>
    <row r="2846" customFormat="false" ht="15.75" hidden="false" customHeight="false" outlineLevel="0" collapsed="false">
      <c r="AO2846" s="8" t="str">
        <f aca="false">IF(A2846="","",IF(COUNTIFS(全馬データ!$A$2:$A$50000,A2846,全馬データ!$B$2:$B$50000,B2846,全馬データ!$C$2:$C$50000,C2846,全馬データ!$D$2:$D$50000,E2846,全馬データ!$K$2:$K$50000,"&lt;&gt;")=0,"",SUMIFS(全馬データ!$K$2:$K$50000,全馬データ!$A$2:$A$50000,A2846,全馬データ!$B$2:$B$50000,B2846,全馬データ!$C$2:$C$50000,C2846,全馬データ!$D$2:$D$50000,E2846)))</f>
        <v/>
      </c>
      <c r="AP2846" s="8" t="str">
        <f aca="false">IF(A2846="","",IF(AO2846="","欠損",IF(AO2846&lt;=1.1,"1.0～1.1",IF(AO2846&lt;1.3,"1.2",IF(AO2846&lt;1.5,"1.3～1.4",IF(AO2846&lt;2,"1.5～1.9","2.0以上"))))))</f>
        <v/>
      </c>
      <c r="AQ2846" s="8" t="str">
        <f aca="false">IF(A2846="","",IF(ISNUMBER(SEARCH("2歳",Z2846)),"2歳戦",IF(ISNUMBER(SEARCH("3歳未勝利",Z2846)),"3歳未勝利",IF(ISNUMBER(SEARCH("未勝利",Z2846)),"その他未勝利",IF(ISNUMBER(SEARCH("G1",Z2846)),"G1",IF(ISNUMBER(SEARCH("G2",Z2846)),"G2",IF(ISNUMBER(SEARCH("G3",Z2846)),"G3",IF(ISNUMBER(SEARCH("古馬条件",Z2846)),"古馬条件戦",IF(ISNUMBER(SEARCH("重賞",Z2846)),"重賞","分類不能")))))))))</f>
        <v/>
      </c>
    </row>
    <row r="2847" customFormat="false" ht="15.75" hidden="false" customHeight="false" outlineLevel="0" collapsed="false">
      <c r="AO2847" s="8" t="str">
        <f aca="false">IF(A2847="","",IF(COUNTIFS(全馬データ!$A$2:$A$50000,A2847,全馬データ!$B$2:$B$50000,B2847,全馬データ!$C$2:$C$50000,C2847,全馬データ!$D$2:$D$50000,E2847,全馬データ!$K$2:$K$50000,"&lt;&gt;")=0,"",SUMIFS(全馬データ!$K$2:$K$50000,全馬データ!$A$2:$A$50000,A2847,全馬データ!$B$2:$B$50000,B2847,全馬データ!$C$2:$C$50000,C2847,全馬データ!$D$2:$D$50000,E2847)))</f>
        <v/>
      </c>
      <c r="AP2847" s="8" t="str">
        <f aca="false">IF(A2847="","",IF(AO2847="","欠損",IF(AO2847&lt;=1.1,"1.0～1.1",IF(AO2847&lt;1.3,"1.2",IF(AO2847&lt;1.5,"1.3～1.4",IF(AO2847&lt;2,"1.5～1.9","2.0以上"))))))</f>
        <v/>
      </c>
      <c r="AQ2847" s="8" t="str">
        <f aca="false">IF(A2847="","",IF(ISNUMBER(SEARCH("2歳",Z2847)),"2歳戦",IF(ISNUMBER(SEARCH("3歳未勝利",Z2847)),"3歳未勝利",IF(ISNUMBER(SEARCH("未勝利",Z2847)),"その他未勝利",IF(ISNUMBER(SEARCH("G1",Z2847)),"G1",IF(ISNUMBER(SEARCH("G2",Z2847)),"G2",IF(ISNUMBER(SEARCH("G3",Z2847)),"G3",IF(ISNUMBER(SEARCH("古馬条件",Z2847)),"古馬条件戦",IF(ISNUMBER(SEARCH("重賞",Z2847)),"重賞","分類不能")))))))))</f>
        <v/>
      </c>
    </row>
    <row r="2848" customFormat="false" ht="15.75" hidden="false" customHeight="false" outlineLevel="0" collapsed="false">
      <c r="AO2848" s="8" t="str">
        <f aca="false">IF(A2848="","",IF(COUNTIFS(全馬データ!$A$2:$A$50000,A2848,全馬データ!$B$2:$B$50000,B2848,全馬データ!$C$2:$C$50000,C2848,全馬データ!$D$2:$D$50000,E2848,全馬データ!$K$2:$K$50000,"&lt;&gt;")=0,"",SUMIFS(全馬データ!$K$2:$K$50000,全馬データ!$A$2:$A$50000,A2848,全馬データ!$B$2:$B$50000,B2848,全馬データ!$C$2:$C$50000,C2848,全馬データ!$D$2:$D$50000,E2848)))</f>
        <v/>
      </c>
      <c r="AP2848" s="8" t="str">
        <f aca="false">IF(A2848="","",IF(AO2848="","欠損",IF(AO2848&lt;=1.1,"1.0～1.1",IF(AO2848&lt;1.3,"1.2",IF(AO2848&lt;1.5,"1.3～1.4",IF(AO2848&lt;2,"1.5～1.9","2.0以上"))))))</f>
        <v/>
      </c>
      <c r="AQ2848" s="8" t="str">
        <f aca="false">IF(A2848="","",IF(ISNUMBER(SEARCH("2歳",Z2848)),"2歳戦",IF(ISNUMBER(SEARCH("3歳未勝利",Z2848)),"3歳未勝利",IF(ISNUMBER(SEARCH("未勝利",Z2848)),"その他未勝利",IF(ISNUMBER(SEARCH("G1",Z2848)),"G1",IF(ISNUMBER(SEARCH("G2",Z2848)),"G2",IF(ISNUMBER(SEARCH("G3",Z2848)),"G3",IF(ISNUMBER(SEARCH("古馬条件",Z2848)),"古馬条件戦",IF(ISNUMBER(SEARCH("重賞",Z2848)),"重賞","分類不能")))))))))</f>
        <v/>
      </c>
    </row>
    <row r="2849" customFormat="false" ht="15.75" hidden="false" customHeight="false" outlineLevel="0" collapsed="false">
      <c r="AO2849" s="8" t="str">
        <f aca="false">IF(A2849="","",IF(COUNTIFS(全馬データ!$A$2:$A$50000,A2849,全馬データ!$B$2:$B$50000,B2849,全馬データ!$C$2:$C$50000,C2849,全馬データ!$D$2:$D$50000,E2849,全馬データ!$K$2:$K$50000,"&lt;&gt;")=0,"",SUMIFS(全馬データ!$K$2:$K$50000,全馬データ!$A$2:$A$50000,A2849,全馬データ!$B$2:$B$50000,B2849,全馬データ!$C$2:$C$50000,C2849,全馬データ!$D$2:$D$50000,E2849)))</f>
        <v/>
      </c>
      <c r="AP2849" s="8" t="str">
        <f aca="false">IF(A2849="","",IF(AO2849="","欠損",IF(AO2849&lt;=1.1,"1.0～1.1",IF(AO2849&lt;1.3,"1.2",IF(AO2849&lt;1.5,"1.3～1.4",IF(AO2849&lt;2,"1.5～1.9","2.0以上"))))))</f>
        <v/>
      </c>
      <c r="AQ2849" s="8" t="str">
        <f aca="false">IF(A2849="","",IF(ISNUMBER(SEARCH("2歳",Z2849)),"2歳戦",IF(ISNUMBER(SEARCH("3歳未勝利",Z2849)),"3歳未勝利",IF(ISNUMBER(SEARCH("未勝利",Z2849)),"その他未勝利",IF(ISNUMBER(SEARCH("G1",Z2849)),"G1",IF(ISNUMBER(SEARCH("G2",Z2849)),"G2",IF(ISNUMBER(SEARCH("G3",Z2849)),"G3",IF(ISNUMBER(SEARCH("古馬条件",Z2849)),"古馬条件戦",IF(ISNUMBER(SEARCH("重賞",Z2849)),"重賞","分類不能")))))))))</f>
        <v/>
      </c>
    </row>
    <row r="2850" customFormat="false" ht="15.75" hidden="false" customHeight="false" outlineLevel="0" collapsed="false">
      <c r="AO2850" s="8" t="str">
        <f aca="false">IF(A2850="","",IF(COUNTIFS(全馬データ!$A$2:$A$50000,A2850,全馬データ!$B$2:$B$50000,B2850,全馬データ!$C$2:$C$50000,C2850,全馬データ!$D$2:$D$50000,E2850,全馬データ!$K$2:$K$50000,"&lt;&gt;")=0,"",SUMIFS(全馬データ!$K$2:$K$50000,全馬データ!$A$2:$A$50000,A2850,全馬データ!$B$2:$B$50000,B2850,全馬データ!$C$2:$C$50000,C2850,全馬データ!$D$2:$D$50000,E2850)))</f>
        <v/>
      </c>
      <c r="AP2850" s="8" t="str">
        <f aca="false">IF(A2850="","",IF(AO2850="","欠損",IF(AO2850&lt;=1.1,"1.0～1.1",IF(AO2850&lt;1.3,"1.2",IF(AO2850&lt;1.5,"1.3～1.4",IF(AO2850&lt;2,"1.5～1.9","2.0以上"))))))</f>
        <v/>
      </c>
      <c r="AQ2850" s="8" t="str">
        <f aca="false">IF(A2850="","",IF(ISNUMBER(SEARCH("2歳",Z2850)),"2歳戦",IF(ISNUMBER(SEARCH("3歳未勝利",Z2850)),"3歳未勝利",IF(ISNUMBER(SEARCH("未勝利",Z2850)),"その他未勝利",IF(ISNUMBER(SEARCH("G1",Z2850)),"G1",IF(ISNUMBER(SEARCH("G2",Z2850)),"G2",IF(ISNUMBER(SEARCH("G3",Z2850)),"G3",IF(ISNUMBER(SEARCH("古馬条件",Z2850)),"古馬条件戦",IF(ISNUMBER(SEARCH("重賞",Z2850)),"重賞","分類不能")))))))))</f>
        <v/>
      </c>
    </row>
    <row r="2851" customFormat="false" ht="15.75" hidden="false" customHeight="false" outlineLevel="0" collapsed="false">
      <c r="AO2851" s="8" t="str">
        <f aca="false">IF(A2851="","",IF(COUNTIFS(全馬データ!$A$2:$A$50000,A2851,全馬データ!$B$2:$B$50000,B2851,全馬データ!$C$2:$C$50000,C2851,全馬データ!$D$2:$D$50000,E2851,全馬データ!$K$2:$K$50000,"&lt;&gt;")=0,"",SUMIFS(全馬データ!$K$2:$K$50000,全馬データ!$A$2:$A$50000,A2851,全馬データ!$B$2:$B$50000,B2851,全馬データ!$C$2:$C$50000,C2851,全馬データ!$D$2:$D$50000,E2851)))</f>
        <v/>
      </c>
      <c r="AP2851" s="8" t="str">
        <f aca="false">IF(A2851="","",IF(AO2851="","欠損",IF(AO2851&lt;=1.1,"1.0～1.1",IF(AO2851&lt;1.3,"1.2",IF(AO2851&lt;1.5,"1.3～1.4",IF(AO2851&lt;2,"1.5～1.9","2.0以上"))))))</f>
        <v/>
      </c>
      <c r="AQ2851" s="8" t="str">
        <f aca="false">IF(A2851="","",IF(ISNUMBER(SEARCH("2歳",Z2851)),"2歳戦",IF(ISNUMBER(SEARCH("3歳未勝利",Z2851)),"3歳未勝利",IF(ISNUMBER(SEARCH("未勝利",Z2851)),"その他未勝利",IF(ISNUMBER(SEARCH("G1",Z2851)),"G1",IF(ISNUMBER(SEARCH("G2",Z2851)),"G2",IF(ISNUMBER(SEARCH("G3",Z2851)),"G3",IF(ISNUMBER(SEARCH("古馬条件",Z2851)),"古馬条件戦",IF(ISNUMBER(SEARCH("重賞",Z2851)),"重賞","分類不能")))))))))</f>
        <v/>
      </c>
    </row>
    <row r="2852" customFormat="false" ht="15.75" hidden="false" customHeight="false" outlineLevel="0" collapsed="false">
      <c r="AO2852" s="8" t="str">
        <f aca="false">IF(A2852="","",IF(COUNTIFS(全馬データ!$A$2:$A$50000,A2852,全馬データ!$B$2:$B$50000,B2852,全馬データ!$C$2:$C$50000,C2852,全馬データ!$D$2:$D$50000,E2852,全馬データ!$K$2:$K$50000,"&lt;&gt;")=0,"",SUMIFS(全馬データ!$K$2:$K$50000,全馬データ!$A$2:$A$50000,A2852,全馬データ!$B$2:$B$50000,B2852,全馬データ!$C$2:$C$50000,C2852,全馬データ!$D$2:$D$50000,E2852)))</f>
        <v/>
      </c>
      <c r="AP2852" s="8" t="str">
        <f aca="false">IF(A2852="","",IF(AO2852="","欠損",IF(AO2852&lt;=1.1,"1.0～1.1",IF(AO2852&lt;1.3,"1.2",IF(AO2852&lt;1.5,"1.3～1.4",IF(AO2852&lt;2,"1.5～1.9","2.0以上"))))))</f>
        <v/>
      </c>
      <c r="AQ2852" s="8" t="str">
        <f aca="false">IF(A2852="","",IF(ISNUMBER(SEARCH("2歳",Z2852)),"2歳戦",IF(ISNUMBER(SEARCH("3歳未勝利",Z2852)),"3歳未勝利",IF(ISNUMBER(SEARCH("未勝利",Z2852)),"その他未勝利",IF(ISNUMBER(SEARCH("G1",Z2852)),"G1",IF(ISNUMBER(SEARCH("G2",Z2852)),"G2",IF(ISNUMBER(SEARCH("G3",Z2852)),"G3",IF(ISNUMBER(SEARCH("古馬条件",Z2852)),"古馬条件戦",IF(ISNUMBER(SEARCH("重賞",Z2852)),"重賞","分類不能")))))))))</f>
        <v/>
      </c>
    </row>
    <row r="2853" customFormat="false" ht="15.75" hidden="false" customHeight="false" outlineLevel="0" collapsed="false">
      <c r="AO2853" s="8" t="str">
        <f aca="false">IF(A2853="","",IF(COUNTIFS(全馬データ!$A$2:$A$50000,A2853,全馬データ!$B$2:$B$50000,B2853,全馬データ!$C$2:$C$50000,C2853,全馬データ!$D$2:$D$50000,E2853,全馬データ!$K$2:$K$50000,"&lt;&gt;")=0,"",SUMIFS(全馬データ!$K$2:$K$50000,全馬データ!$A$2:$A$50000,A2853,全馬データ!$B$2:$B$50000,B2853,全馬データ!$C$2:$C$50000,C2853,全馬データ!$D$2:$D$50000,E2853)))</f>
        <v/>
      </c>
      <c r="AP2853" s="8" t="str">
        <f aca="false">IF(A2853="","",IF(AO2853="","欠損",IF(AO2853&lt;=1.1,"1.0～1.1",IF(AO2853&lt;1.3,"1.2",IF(AO2853&lt;1.5,"1.3～1.4",IF(AO2853&lt;2,"1.5～1.9","2.0以上"))))))</f>
        <v/>
      </c>
      <c r="AQ2853" s="8" t="str">
        <f aca="false">IF(A2853="","",IF(ISNUMBER(SEARCH("2歳",Z2853)),"2歳戦",IF(ISNUMBER(SEARCH("3歳未勝利",Z2853)),"3歳未勝利",IF(ISNUMBER(SEARCH("未勝利",Z2853)),"その他未勝利",IF(ISNUMBER(SEARCH("G1",Z2853)),"G1",IF(ISNUMBER(SEARCH("G2",Z2853)),"G2",IF(ISNUMBER(SEARCH("G3",Z2853)),"G3",IF(ISNUMBER(SEARCH("古馬条件",Z2853)),"古馬条件戦",IF(ISNUMBER(SEARCH("重賞",Z2853)),"重賞","分類不能")))))))))</f>
        <v/>
      </c>
    </row>
    <row r="2854" customFormat="false" ht="15.75" hidden="false" customHeight="false" outlineLevel="0" collapsed="false">
      <c r="AO2854" s="8" t="str">
        <f aca="false">IF(A2854="","",IF(COUNTIFS(全馬データ!$A$2:$A$50000,A2854,全馬データ!$B$2:$B$50000,B2854,全馬データ!$C$2:$C$50000,C2854,全馬データ!$D$2:$D$50000,E2854,全馬データ!$K$2:$K$50000,"&lt;&gt;")=0,"",SUMIFS(全馬データ!$K$2:$K$50000,全馬データ!$A$2:$A$50000,A2854,全馬データ!$B$2:$B$50000,B2854,全馬データ!$C$2:$C$50000,C2854,全馬データ!$D$2:$D$50000,E2854)))</f>
        <v/>
      </c>
      <c r="AP2854" s="8" t="str">
        <f aca="false">IF(A2854="","",IF(AO2854="","欠損",IF(AO2854&lt;=1.1,"1.0～1.1",IF(AO2854&lt;1.3,"1.2",IF(AO2854&lt;1.5,"1.3～1.4",IF(AO2854&lt;2,"1.5～1.9","2.0以上"))))))</f>
        <v/>
      </c>
      <c r="AQ2854" s="8" t="str">
        <f aca="false">IF(A2854="","",IF(ISNUMBER(SEARCH("2歳",Z2854)),"2歳戦",IF(ISNUMBER(SEARCH("3歳未勝利",Z2854)),"3歳未勝利",IF(ISNUMBER(SEARCH("未勝利",Z2854)),"その他未勝利",IF(ISNUMBER(SEARCH("G1",Z2854)),"G1",IF(ISNUMBER(SEARCH("G2",Z2854)),"G2",IF(ISNUMBER(SEARCH("G3",Z2854)),"G3",IF(ISNUMBER(SEARCH("古馬条件",Z2854)),"古馬条件戦",IF(ISNUMBER(SEARCH("重賞",Z2854)),"重賞","分類不能")))))))))</f>
        <v/>
      </c>
    </row>
    <row r="2855" customFormat="false" ht="15.75" hidden="false" customHeight="false" outlineLevel="0" collapsed="false">
      <c r="AO2855" s="8" t="str">
        <f aca="false">IF(A2855="","",IF(COUNTIFS(全馬データ!$A$2:$A$50000,A2855,全馬データ!$B$2:$B$50000,B2855,全馬データ!$C$2:$C$50000,C2855,全馬データ!$D$2:$D$50000,E2855,全馬データ!$K$2:$K$50000,"&lt;&gt;")=0,"",SUMIFS(全馬データ!$K$2:$K$50000,全馬データ!$A$2:$A$50000,A2855,全馬データ!$B$2:$B$50000,B2855,全馬データ!$C$2:$C$50000,C2855,全馬データ!$D$2:$D$50000,E2855)))</f>
        <v/>
      </c>
      <c r="AP2855" s="8" t="str">
        <f aca="false">IF(A2855="","",IF(AO2855="","欠損",IF(AO2855&lt;=1.1,"1.0～1.1",IF(AO2855&lt;1.3,"1.2",IF(AO2855&lt;1.5,"1.3～1.4",IF(AO2855&lt;2,"1.5～1.9","2.0以上"))))))</f>
        <v/>
      </c>
      <c r="AQ2855" s="8" t="str">
        <f aca="false">IF(A2855="","",IF(ISNUMBER(SEARCH("2歳",Z2855)),"2歳戦",IF(ISNUMBER(SEARCH("3歳未勝利",Z2855)),"3歳未勝利",IF(ISNUMBER(SEARCH("未勝利",Z2855)),"その他未勝利",IF(ISNUMBER(SEARCH("G1",Z2855)),"G1",IF(ISNUMBER(SEARCH("G2",Z2855)),"G2",IF(ISNUMBER(SEARCH("G3",Z2855)),"G3",IF(ISNUMBER(SEARCH("古馬条件",Z2855)),"古馬条件戦",IF(ISNUMBER(SEARCH("重賞",Z2855)),"重賞","分類不能")))))))))</f>
        <v/>
      </c>
    </row>
    <row r="2856" customFormat="false" ht="15.75" hidden="false" customHeight="false" outlineLevel="0" collapsed="false">
      <c r="AO2856" s="8" t="str">
        <f aca="false">IF(A2856="","",IF(COUNTIFS(全馬データ!$A$2:$A$50000,A2856,全馬データ!$B$2:$B$50000,B2856,全馬データ!$C$2:$C$50000,C2856,全馬データ!$D$2:$D$50000,E2856,全馬データ!$K$2:$K$50000,"&lt;&gt;")=0,"",SUMIFS(全馬データ!$K$2:$K$50000,全馬データ!$A$2:$A$50000,A2856,全馬データ!$B$2:$B$50000,B2856,全馬データ!$C$2:$C$50000,C2856,全馬データ!$D$2:$D$50000,E2856)))</f>
        <v/>
      </c>
      <c r="AP2856" s="8" t="str">
        <f aca="false">IF(A2856="","",IF(AO2856="","欠損",IF(AO2856&lt;=1.1,"1.0～1.1",IF(AO2856&lt;1.3,"1.2",IF(AO2856&lt;1.5,"1.3～1.4",IF(AO2856&lt;2,"1.5～1.9","2.0以上"))))))</f>
        <v/>
      </c>
      <c r="AQ2856" s="8" t="str">
        <f aca="false">IF(A2856="","",IF(ISNUMBER(SEARCH("2歳",Z2856)),"2歳戦",IF(ISNUMBER(SEARCH("3歳未勝利",Z2856)),"3歳未勝利",IF(ISNUMBER(SEARCH("未勝利",Z2856)),"その他未勝利",IF(ISNUMBER(SEARCH("G1",Z2856)),"G1",IF(ISNUMBER(SEARCH("G2",Z2856)),"G2",IF(ISNUMBER(SEARCH("G3",Z2856)),"G3",IF(ISNUMBER(SEARCH("古馬条件",Z2856)),"古馬条件戦",IF(ISNUMBER(SEARCH("重賞",Z2856)),"重賞","分類不能")))))))))</f>
        <v/>
      </c>
    </row>
    <row r="2857" customFormat="false" ht="15.75" hidden="false" customHeight="false" outlineLevel="0" collapsed="false">
      <c r="AO2857" s="8" t="str">
        <f aca="false">IF(A2857="","",IF(COUNTIFS(全馬データ!$A$2:$A$50000,A2857,全馬データ!$B$2:$B$50000,B2857,全馬データ!$C$2:$C$50000,C2857,全馬データ!$D$2:$D$50000,E2857,全馬データ!$K$2:$K$50000,"&lt;&gt;")=0,"",SUMIFS(全馬データ!$K$2:$K$50000,全馬データ!$A$2:$A$50000,A2857,全馬データ!$B$2:$B$50000,B2857,全馬データ!$C$2:$C$50000,C2857,全馬データ!$D$2:$D$50000,E2857)))</f>
        <v/>
      </c>
      <c r="AP2857" s="8" t="str">
        <f aca="false">IF(A2857="","",IF(AO2857="","欠損",IF(AO2857&lt;=1.1,"1.0～1.1",IF(AO2857&lt;1.3,"1.2",IF(AO2857&lt;1.5,"1.3～1.4",IF(AO2857&lt;2,"1.5～1.9","2.0以上"))))))</f>
        <v/>
      </c>
      <c r="AQ2857" s="8" t="str">
        <f aca="false">IF(A2857="","",IF(ISNUMBER(SEARCH("2歳",Z2857)),"2歳戦",IF(ISNUMBER(SEARCH("3歳未勝利",Z2857)),"3歳未勝利",IF(ISNUMBER(SEARCH("未勝利",Z2857)),"その他未勝利",IF(ISNUMBER(SEARCH("G1",Z2857)),"G1",IF(ISNUMBER(SEARCH("G2",Z2857)),"G2",IF(ISNUMBER(SEARCH("G3",Z2857)),"G3",IF(ISNUMBER(SEARCH("古馬条件",Z2857)),"古馬条件戦",IF(ISNUMBER(SEARCH("重賞",Z2857)),"重賞","分類不能")))))))))</f>
        <v/>
      </c>
    </row>
    <row r="2858" customFormat="false" ht="15.75" hidden="false" customHeight="false" outlineLevel="0" collapsed="false">
      <c r="AO2858" s="8" t="str">
        <f aca="false">IF(A2858="","",IF(COUNTIFS(全馬データ!$A$2:$A$50000,A2858,全馬データ!$B$2:$B$50000,B2858,全馬データ!$C$2:$C$50000,C2858,全馬データ!$D$2:$D$50000,E2858,全馬データ!$K$2:$K$50000,"&lt;&gt;")=0,"",SUMIFS(全馬データ!$K$2:$K$50000,全馬データ!$A$2:$A$50000,A2858,全馬データ!$B$2:$B$50000,B2858,全馬データ!$C$2:$C$50000,C2858,全馬データ!$D$2:$D$50000,E2858)))</f>
        <v/>
      </c>
      <c r="AP2858" s="8" t="str">
        <f aca="false">IF(A2858="","",IF(AO2858="","欠損",IF(AO2858&lt;=1.1,"1.0～1.1",IF(AO2858&lt;1.3,"1.2",IF(AO2858&lt;1.5,"1.3～1.4",IF(AO2858&lt;2,"1.5～1.9","2.0以上"))))))</f>
        <v/>
      </c>
      <c r="AQ2858" s="8" t="str">
        <f aca="false">IF(A2858="","",IF(ISNUMBER(SEARCH("2歳",Z2858)),"2歳戦",IF(ISNUMBER(SEARCH("3歳未勝利",Z2858)),"3歳未勝利",IF(ISNUMBER(SEARCH("未勝利",Z2858)),"その他未勝利",IF(ISNUMBER(SEARCH("G1",Z2858)),"G1",IF(ISNUMBER(SEARCH("G2",Z2858)),"G2",IF(ISNUMBER(SEARCH("G3",Z2858)),"G3",IF(ISNUMBER(SEARCH("古馬条件",Z2858)),"古馬条件戦",IF(ISNUMBER(SEARCH("重賞",Z2858)),"重賞","分類不能")))))))))</f>
        <v/>
      </c>
    </row>
    <row r="2859" customFormat="false" ht="15.75" hidden="false" customHeight="false" outlineLevel="0" collapsed="false">
      <c r="AO2859" s="8" t="str">
        <f aca="false">IF(A2859="","",IF(COUNTIFS(全馬データ!$A$2:$A$50000,A2859,全馬データ!$B$2:$B$50000,B2859,全馬データ!$C$2:$C$50000,C2859,全馬データ!$D$2:$D$50000,E2859,全馬データ!$K$2:$K$50000,"&lt;&gt;")=0,"",SUMIFS(全馬データ!$K$2:$K$50000,全馬データ!$A$2:$A$50000,A2859,全馬データ!$B$2:$B$50000,B2859,全馬データ!$C$2:$C$50000,C2859,全馬データ!$D$2:$D$50000,E2859)))</f>
        <v/>
      </c>
      <c r="AP2859" s="8" t="str">
        <f aca="false">IF(A2859="","",IF(AO2859="","欠損",IF(AO2859&lt;=1.1,"1.0～1.1",IF(AO2859&lt;1.3,"1.2",IF(AO2859&lt;1.5,"1.3～1.4",IF(AO2859&lt;2,"1.5～1.9","2.0以上"))))))</f>
        <v/>
      </c>
      <c r="AQ2859" s="8" t="str">
        <f aca="false">IF(A2859="","",IF(ISNUMBER(SEARCH("2歳",Z2859)),"2歳戦",IF(ISNUMBER(SEARCH("3歳未勝利",Z2859)),"3歳未勝利",IF(ISNUMBER(SEARCH("未勝利",Z2859)),"その他未勝利",IF(ISNUMBER(SEARCH("G1",Z2859)),"G1",IF(ISNUMBER(SEARCH("G2",Z2859)),"G2",IF(ISNUMBER(SEARCH("G3",Z2859)),"G3",IF(ISNUMBER(SEARCH("古馬条件",Z2859)),"古馬条件戦",IF(ISNUMBER(SEARCH("重賞",Z2859)),"重賞","分類不能")))))))))</f>
        <v/>
      </c>
    </row>
    <row r="2860" customFormat="false" ht="15.75" hidden="false" customHeight="false" outlineLevel="0" collapsed="false">
      <c r="AO2860" s="8" t="str">
        <f aca="false">IF(A2860="","",IF(COUNTIFS(全馬データ!$A$2:$A$50000,A2860,全馬データ!$B$2:$B$50000,B2860,全馬データ!$C$2:$C$50000,C2860,全馬データ!$D$2:$D$50000,E2860,全馬データ!$K$2:$K$50000,"&lt;&gt;")=0,"",SUMIFS(全馬データ!$K$2:$K$50000,全馬データ!$A$2:$A$50000,A2860,全馬データ!$B$2:$B$50000,B2860,全馬データ!$C$2:$C$50000,C2860,全馬データ!$D$2:$D$50000,E2860)))</f>
        <v/>
      </c>
      <c r="AP2860" s="8" t="str">
        <f aca="false">IF(A2860="","",IF(AO2860="","欠損",IF(AO2860&lt;=1.1,"1.0～1.1",IF(AO2860&lt;1.3,"1.2",IF(AO2860&lt;1.5,"1.3～1.4",IF(AO2860&lt;2,"1.5～1.9","2.0以上"))))))</f>
        <v/>
      </c>
      <c r="AQ2860" s="8" t="str">
        <f aca="false">IF(A2860="","",IF(ISNUMBER(SEARCH("2歳",Z2860)),"2歳戦",IF(ISNUMBER(SEARCH("3歳未勝利",Z2860)),"3歳未勝利",IF(ISNUMBER(SEARCH("未勝利",Z2860)),"その他未勝利",IF(ISNUMBER(SEARCH("G1",Z2860)),"G1",IF(ISNUMBER(SEARCH("G2",Z2860)),"G2",IF(ISNUMBER(SEARCH("G3",Z2860)),"G3",IF(ISNUMBER(SEARCH("古馬条件",Z2860)),"古馬条件戦",IF(ISNUMBER(SEARCH("重賞",Z2860)),"重賞","分類不能")))))))))</f>
        <v/>
      </c>
    </row>
    <row r="2861" customFormat="false" ht="15.75" hidden="false" customHeight="false" outlineLevel="0" collapsed="false">
      <c r="AO2861" s="8" t="str">
        <f aca="false">IF(A2861="","",IF(COUNTIFS(全馬データ!$A$2:$A$50000,A2861,全馬データ!$B$2:$B$50000,B2861,全馬データ!$C$2:$C$50000,C2861,全馬データ!$D$2:$D$50000,E2861,全馬データ!$K$2:$K$50000,"&lt;&gt;")=0,"",SUMIFS(全馬データ!$K$2:$K$50000,全馬データ!$A$2:$A$50000,A2861,全馬データ!$B$2:$B$50000,B2861,全馬データ!$C$2:$C$50000,C2861,全馬データ!$D$2:$D$50000,E2861)))</f>
        <v/>
      </c>
      <c r="AP2861" s="8" t="str">
        <f aca="false">IF(A2861="","",IF(AO2861="","欠損",IF(AO2861&lt;=1.1,"1.0～1.1",IF(AO2861&lt;1.3,"1.2",IF(AO2861&lt;1.5,"1.3～1.4",IF(AO2861&lt;2,"1.5～1.9","2.0以上"))))))</f>
        <v/>
      </c>
      <c r="AQ2861" s="8" t="str">
        <f aca="false">IF(A2861="","",IF(ISNUMBER(SEARCH("2歳",Z2861)),"2歳戦",IF(ISNUMBER(SEARCH("3歳未勝利",Z2861)),"3歳未勝利",IF(ISNUMBER(SEARCH("未勝利",Z2861)),"その他未勝利",IF(ISNUMBER(SEARCH("G1",Z2861)),"G1",IF(ISNUMBER(SEARCH("G2",Z2861)),"G2",IF(ISNUMBER(SEARCH("G3",Z2861)),"G3",IF(ISNUMBER(SEARCH("古馬条件",Z2861)),"古馬条件戦",IF(ISNUMBER(SEARCH("重賞",Z2861)),"重賞","分類不能")))))))))</f>
        <v/>
      </c>
    </row>
    <row r="2862" customFormat="false" ht="15.75" hidden="false" customHeight="false" outlineLevel="0" collapsed="false">
      <c r="AO2862" s="8" t="str">
        <f aca="false">IF(A2862="","",IF(COUNTIFS(全馬データ!$A$2:$A$50000,A2862,全馬データ!$B$2:$B$50000,B2862,全馬データ!$C$2:$C$50000,C2862,全馬データ!$D$2:$D$50000,E2862,全馬データ!$K$2:$K$50000,"&lt;&gt;")=0,"",SUMIFS(全馬データ!$K$2:$K$50000,全馬データ!$A$2:$A$50000,A2862,全馬データ!$B$2:$B$50000,B2862,全馬データ!$C$2:$C$50000,C2862,全馬データ!$D$2:$D$50000,E2862)))</f>
        <v/>
      </c>
      <c r="AP2862" s="8" t="str">
        <f aca="false">IF(A2862="","",IF(AO2862="","欠損",IF(AO2862&lt;=1.1,"1.0～1.1",IF(AO2862&lt;1.3,"1.2",IF(AO2862&lt;1.5,"1.3～1.4",IF(AO2862&lt;2,"1.5～1.9","2.0以上"))))))</f>
        <v/>
      </c>
      <c r="AQ2862" s="8" t="str">
        <f aca="false">IF(A2862="","",IF(ISNUMBER(SEARCH("2歳",Z2862)),"2歳戦",IF(ISNUMBER(SEARCH("3歳未勝利",Z2862)),"3歳未勝利",IF(ISNUMBER(SEARCH("未勝利",Z2862)),"その他未勝利",IF(ISNUMBER(SEARCH("G1",Z2862)),"G1",IF(ISNUMBER(SEARCH("G2",Z2862)),"G2",IF(ISNUMBER(SEARCH("G3",Z2862)),"G3",IF(ISNUMBER(SEARCH("古馬条件",Z2862)),"古馬条件戦",IF(ISNUMBER(SEARCH("重賞",Z2862)),"重賞","分類不能")))))))))</f>
        <v/>
      </c>
    </row>
    <row r="2863" customFormat="false" ht="15.75" hidden="false" customHeight="false" outlineLevel="0" collapsed="false">
      <c r="AO2863" s="8" t="str">
        <f aca="false">IF(A2863="","",IF(COUNTIFS(全馬データ!$A$2:$A$50000,A2863,全馬データ!$B$2:$B$50000,B2863,全馬データ!$C$2:$C$50000,C2863,全馬データ!$D$2:$D$50000,E2863,全馬データ!$K$2:$K$50000,"&lt;&gt;")=0,"",SUMIFS(全馬データ!$K$2:$K$50000,全馬データ!$A$2:$A$50000,A2863,全馬データ!$B$2:$B$50000,B2863,全馬データ!$C$2:$C$50000,C2863,全馬データ!$D$2:$D$50000,E2863)))</f>
        <v/>
      </c>
      <c r="AP2863" s="8" t="str">
        <f aca="false">IF(A2863="","",IF(AO2863="","欠損",IF(AO2863&lt;=1.1,"1.0～1.1",IF(AO2863&lt;1.3,"1.2",IF(AO2863&lt;1.5,"1.3～1.4",IF(AO2863&lt;2,"1.5～1.9","2.0以上"))))))</f>
        <v/>
      </c>
      <c r="AQ2863" s="8" t="str">
        <f aca="false">IF(A2863="","",IF(ISNUMBER(SEARCH("2歳",Z2863)),"2歳戦",IF(ISNUMBER(SEARCH("3歳未勝利",Z2863)),"3歳未勝利",IF(ISNUMBER(SEARCH("未勝利",Z2863)),"その他未勝利",IF(ISNUMBER(SEARCH("G1",Z2863)),"G1",IF(ISNUMBER(SEARCH("G2",Z2863)),"G2",IF(ISNUMBER(SEARCH("G3",Z2863)),"G3",IF(ISNUMBER(SEARCH("古馬条件",Z2863)),"古馬条件戦",IF(ISNUMBER(SEARCH("重賞",Z2863)),"重賞","分類不能")))))))))</f>
        <v/>
      </c>
    </row>
    <row r="2864" customFormat="false" ht="15.75" hidden="false" customHeight="false" outlineLevel="0" collapsed="false">
      <c r="AO2864" s="8" t="str">
        <f aca="false">IF(A2864="","",IF(COUNTIFS(全馬データ!$A$2:$A$50000,A2864,全馬データ!$B$2:$B$50000,B2864,全馬データ!$C$2:$C$50000,C2864,全馬データ!$D$2:$D$50000,E2864,全馬データ!$K$2:$K$50000,"&lt;&gt;")=0,"",SUMIFS(全馬データ!$K$2:$K$50000,全馬データ!$A$2:$A$50000,A2864,全馬データ!$B$2:$B$50000,B2864,全馬データ!$C$2:$C$50000,C2864,全馬データ!$D$2:$D$50000,E2864)))</f>
        <v/>
      </c>
      <c r="AP2864" s="8" t="str">
        <f aca="false">IF(A2864="","",IF(AO2864="","欠損",IF(AO2864&lt;=1.1,"1.0～1.1",IF(AO2864&lt;1.3,"1.2",IF(AO2864&lt;1.5,"1.3～1.4",IF(AO2864&lt;2,"1.5～1.9","2.0以上"))))))</f>
        <v/>
      </c>
      <c r="AQ2864" s="8" t="str">
        <f aca="false">IF(A2864="","",IF(ISNUMBER(SEARCH("2歳",Z2864)),"2歳戦",IF(ISNUMBER(SEARCH("3歳未勝利",Z2864)),"3歳未勝利",IF(ISNUMBER(SEARCH("未勝利",Z2864)),"その他未勝利",IF(ISNUMBER(SEARCH("G1",Z2864)),"G1",IF(ISNUMBER(SEARCH("G2",Z2864)),"G2",IF(ISNUMBER(SEARCH("G3",Z2864)),"G3",IF(ISNUMBER(SEARCH("古馬条件",Z2864)),"古馬条件戦",IF(ISNUMBER(SEARCH("重賞",Z2864)),"重賞","分類不能")))))))))</f>
        <v/>
      </c>
    </row>
    <row r="2865" customFormat="false" ht="15.75" hidden="false" customHeight="false" outlineLevel="0" collapsed="false">
      <c r="AO2865" s="8" t="str">
        <f aca="false">IF(A2865="","",IF(COUNTIFS(全馬データ!$A$2:$A$50000,A2865,全馬データ!$B$2:$B$50000,B2865,全馬データ!$C$2:$C$50000,C2865,全馬データ!$D$2:$D$50000,E2865,全馬データ!$K$2:$K$50000,"&lt;&gt;")=0,"",SUMIFS(全馬データ!$K$2:$K$50000,全馬データ!$A$2:$A$50000,A2865,全馬データ!$B$2:$B$50000,B2865,全馬データ!$C$2:$C$50000,C2865,全馬データ!$D$2:$D$50000,E2865)))</f>
        <v/>
      </c>
      <c r="AP2865" s="8" t="str">
        <f aca="false">IF(A2865="","",IF(AO2865="","欠損",IF(AO2865&lt;=1.1,"1.0～1.1",IF(AO2865&lt;1.3,"1.2",IF(AO2865&lt;1.5,"1.3～1.4",IF(AO2865&lt;2,"1.5～1.9","2.0以上"))))))</f>
        <v/>
      </c>
      <c r="AQ2865" s="8" t="str">
        <f aca="false">IF(A2865="","",IF(ISNUMBER(SEARCH("2歳",Z2865)),"2歳戦",IF(ISNUMBER(SEARCH("3歳未勝利",Z2865)),"3歳未勝利",IF(ISNUMBER(SEARCH("未勝利",Z2865)),"その他未勝利",IF(ISNUMBER(SEARCH("G1",Z2865)),"G1",IF(ISNUMBER(SEARCH("G2",Z2865)),"G2",IF(ISNUMBER(SEARCH("G3",Z2865)),"G3",IF(ISNUMBER(SEARCH("古馬条件",Z2865)),"古馬条件戦",IF(ISNUMBER(SEARCH("重賞",Z2865)),"重賞","分類不能")))))))))</f>
        <v/>
      </c>
    </row>
    <row r="2866" customFormat="false" ht="15.75" hidden="false" customHeight="false" outlineLevel="0" collapsed="false">
      <c r="AO2866" s="8" t="str">
        <f aca="false">IF(A2866="","",IF(COUNTIFS(全馬データ!$A$2:$A$50000,A2866,全馬データ!$B$2:$B$50000,B2866,全馬データ!$C$2:$C$50000,C2866,全馬データ!$D$2:$D$50000,E2866,全馬データ!$K$2:$K$50000,"&lt;&gt;")=0,"",SUMIFS(全馬データ!$K$2:$K$50000,全馬データ!$A$2:$A$50000,A2866,全馬データ!$B$2:$B$50000,B2866,全馬データ!$C$2:$C$50000,C2866,全馬データ!$D$2:$D$50000,E2866)))</f>
        <v/>
      </c>
      <c r="AP2866" s="8" t="str">
        <f aca="false">IF(A2866="","",IF(AO2866="","欠損",IF(AO2866&lt;=1.1,"1.0～1.1",IF(AO2866&lt;1.3,"1.2",IF(AO2866&lt;1.5,"1.3～1.4",IF(AO2866&lt;2,"1.5～1.9","2.0以上"))))))</f>
        <v/>
      </c>
      <c r="AQ2866" s="8" t="str">
        <f aca="false">IF(A2866="","",IF(ISNUMBER(SEARCH("2歳",Z2866)),"2歳戦",IF(ISNUMBER(SEARCH("3歳未勝利",Z2866)),"3歳未勝利",IF(ISNUMBER(SEARCH("未勝利",Z2866)),"その他未勝利",IF(ISNUMBER(SEARCH("G1",Z2866)),"G1",IF(ISNUMBER(SEARCH("G2",Z2866)),"G2",IF(ISNUMBER(SEARCH("G3",Z2866)),"G3",IF(ISNUMBER(SEARCH("古馬条件",Z2866)),"古馬条件戦",IF(ISNUMBER(SEARCH("重賞",Z2866)),"重賞","分類不能")))))))))</f>
        <v/>
      </c>
    </row>
    <row r="2867" customFormat="false" ht="15.75" hidden="false" customHeight="false" outlineLevel="0" collapsed="false">
      <c r="AO2867" s="8" t="str">
        <f aca="false">IF(A2867="","",IF(COUNTIFS(全馬データ!$A$2:$A$50000,A2867,全馬データ!$B$2:$B$50000,B2867,全馬データ!$C$2:$C$50000,C2867,全馬データ!$D$2:$D$50000,E2867,全馬データ!$K$2:$K$50000,"&lt;&gt;")=0,"",SUMIFS(全馬データ!$K$2:$K$50000,全馬データ!$A$2:$A$50000,A2867,全馬データ!$B$2:$B$50000,B2867,全馬データ!$C$2:$C$50000,C2867,全馬データ!$D$2:$D$50000,E2867)))</f>
        <v/>
      </c>
      <c r="AP2867" s="8" t="str">
        <f aca="false">IF(A2867="","",IF(AO2867="","欠損",IF(AO2867&lt;=1.1,"1.0～1.1",IF(AO2867&lt;1.3,"1.2",IF(AO2867&lt;1.5,"1.3～1.4",IF(AO2867&lt;2,"1.5～1.9","2.0以上"))))))</f>
        <v/>
      </c>
      <c r="AQ2867" s="8" t="str">
        <f aca="false">IF(A2867="","",IF(ISNUMBER(SEARCH("2歳",Z2867)),"2歳戦",IF(ISNUMBER(SEARCH("3歳未勝利",Z2867)),"3歳未勝利",IF(ISNUMBER(SEARCH("未勝利",Z2867)),"その他未勝利",IF(ISNUMBER(SEARCH("G1",Z2867)),"G1",IF(ISNUMBER(SEARCH("G2",Z2867)),"G2",IF(ISNUMBER(SEARCH("G3",Z2867)),"G3",IF(ISNUMBER(SEARCH("古馬条件",Z2867)),"古馬条件戦",IF(ISNUMBER(SEARCH("重賞",Z2867)),"重賞","分類不能")))))))))</f>
        <v/>
      </c>
    </row>
    <row r="2868" customFormat="false" ht="15.75" hidden="false" customHeight="false" outlineLevel="0" collapsed="false">
      <c r="AO2868" s="8" t="str">
        <f aca="false">IF(A2868="","",IF(COUNTIFS(全馬データ!$A$2:$A$50000,A2868,全馬データ!$B$2:$B$50000,B2868,全馬データ!$C$2:$C$50000,C2868,全馬データ!$D$2:$D$50000,E2868,全馬データ!$K$2:$K$50000,"&lt;&gt;")=0,"",SUMIFS(全馬データ!$K$2:$K$50000,全馬データ!$A$2:$A$50000,A2868,全馬データ!$B$2:$B$50000,B2868,全馬データ!$C$2:$C$50000,C2868,全馬データ!$D$2:$D$50000,E2868)))</f>
        <v/>
      </c>
      <c r="AP2868" s="8" t="str">
        <f aca="false">IF(A2868="","",IF(AO2868="","欠損",IF(AO2868&lt;=1.1,"1.0～1.1",IF(AO2868&lt;1.3,"1.2",IF(AO2868&lt;1.5,"1.3～1.4",IF(AO2868&lt;2,"1.5～1.9","2.0以上"))))))</f>
        <v/>
      </c>
      <c r="AQ2868" s="8" t="str">
        <f aca="false">IF(A2868="","",IF(ISNUMBER(SEARCH("2歳",Z2868)),"2歳戦",IF(ISNUMBER(SEARCH("3歳未勝利",Z2868)),"3歳未勝利",IF(ISNUMBER(SEARCH("未勝利",Z2868)),"その他未勝利",IF(ISNUMBER(SEARCH("G1",Z2868)),"G1",IF(ISNUMBER(SEARCH("G2",Z2868)),"G2",IF(ISNUMBER(SEARCH("G3",Z2868)),"G3",IF(ISNUMBER(SEARCH("古馬条件",Z2868)),"古馬条件戦",IF(ISNUMBER(SEARCH("重賞",Z2868)),"重賞","分類不能")))))))))</f>
        <v/>
      </c>
    </row>
    <row r="2869" customFormat="false" ht="15.75" hidden="false" customHeight="false" outlineLevel="0" collapsed="false">
      <c r="AO2869" s="8" t="str">
        <f aca="false">IF(A2869="","",IF(COUNTIFS(全馬データ!$A$2:$A$50000,A2869,全馬データ!$B$2:$B$50000,B2869,全馬データ!$C$2:$C$50000,C2869,全馬データ!$D$2:$D$50000,E2869,全馬データ!$K$2:$K$50000,"&lt;&gt;")=0,"",SUMIFS(全馬データ!$K$2:$K$50000,全馬データ!$A$2:$A$50000,A2869,全馬データ!$B$2:$B$50000,B2869,全馬データ!$C$2:$C$50000,C2869,全馬データ!$D$2:$D$50000,E2869)))</f>
        <v/>
      </c>
      <c r="AP2869" s="8" t="str">
        <f aca="false">IF(A2869="","",IF(AO2869="","欠損",IF(AO2869&lt;=1.1,"1.0～1.1",IF(AO2869&lt;1.3,"1.2",IF(AO2869&lt;1.5,"1.3～1.4",IF(AO2869&lt;2,"1.5～1.9","2.0以上"))))))</f>
        <v/>
      </c>
      <c r="AQ2869" s="8" t="str">
        <f aca="false">IF(A2869="","",IF(ISNUMBER(SEARCH("2歳",Z2869)),"2歳戦",IF(ISNUMBER(SEARCH("3歳未勝利",Z2869)),"3歳未勝利",IF(ISNUMBER(SEARCH("未勝利",Z2869)),"その他未勝利",IF(ISNUMBER(SEARCH("G1",Z2869)),"G1",IF(ISNUMBER(SEARCH("G2",Z2869)),"G2",IF(ISNUMBER(SEARCH("G3",Z2869)),"G3",IF(ISNUMBER(SEARCH("古馬条件",Z2869)),"古馬条件戦",IF(ISNUMBER(SEARCH("重賞",Z2869)),"重賞","分類不能")))))))))</f>
        <v/>
      </c>
    </row>
    <row r="2870" customFormat="false" ht="15.75" hidden="false" customHeight="false" outlineLevel="0" collapsed="false">
      <c r="AO2870" s="8" t="str">
        <f aca="false">IF(A2870="","",IF(COUNTIFS(全馬データ!$A$2:$A$50000,A2870,全馬データ!$B$2:$B$50000,B2870,全馬データ!$C$2:$C$50000,C2870,全馬データ!$D$2:$D$50000,E2870,全馬データ!$K$2:$K$50000,"&lt;&gt;")=0,"",SUMIFS(全馬データ!$K$2:$K$50000,全馬データ!$A$2:$A$50000,A2870,全馬データ!$B$2:$B$50000,B2870,全馬データ!$C$2:$C$50000,C2870,全馬データ!$D$2:$D$50000,E2870)))</f>
        <v/>
      </c>
      <c r="AP2870" s="8" t="str">
        <f aca="false">IF(A2870="","",IF(AO2870="","欠損",IF(AO2870&lt;=1.1,"1.0～1.1",IF(AO2870&lt;1.3,"1.2",IF(AO2870&lt;1.5,"1.3～1.4",IF(AO2870&lt;2,"1.5～1.9","2.0以上"))))))</f>
        <v/>
      </c>
      <c r="AQ2870" s="8" t="str">
        <f aca="false">IF(A2870="","",IF(ISNUMBER(SEARCH("2歳",Z2870)),"2歳戦",IF(ISNUMBER(SEARCH("3歳未勝利",Z2870)),"3歳未勝利",IF(ISNUMBER(SEARCH("未勝利",Z2870)),"その他未勝利",IF(ISNUMBER(SEARCH("G1",Z2870)),"G1",IF(ISNUMBER(SEARCH("G2",Z2870)),"G2",IF(ISNUMBER(SEARCH("G3",Z2870)),"G3",IF(ISNUMBER(SEARCH("古馬条件",Z2870)),"古馬条件戦",IF(ISNUMBER(SEARCH("重賞",Z2870)),"重賞","分類不能")))))))))</f>
        <v/>
      </c>
    </row>
    <row r="2871" customFormat="false" ht="15.75" hidden="false" customHeight="false" outlineLevel="0" collapsed="false">
      <c r="AO2871" s="8" t="str">
        <f aca="false">IF(A2871="","",IF(COUNTIFS(全馬データ!$A$2:$A$50000,A2871,全馬データ!$B$2:$B$50000,B2871,全馬データ!$C$2:$C$50000,C2871,全馬データ!$D$2:$D$50000,E2871,全馬データ!$K$2:$K$50000,"&lt;&gt;")=0,"",SUMIFS(全馬データ!$K$2:$K$50000,全馬データ!$A$2:$A$50000,A2871,全馬データ!$B$2:$B$50000,B2871,全馬データ!$C$2:$C$50000,C2871,全馬データ!$D$2:$D$50000,E2871)))</f>
        <v/>
      </c>
      <c r="AP2871" s="8" t="str">
        <f aca="false">IF(A2871="","",IF(AO2871="","欠損",IF(AO2871&lt;=1.1,"1.0～1.1",IF(AO2871&lt;1.3,"1.2",IF(AO2871&lt;1.5,"1.3～1.4",IF(AO2871&lt;2,"1.5～1.9","2.0以上"))))))</f>
        <v/>
      </c>
      <c r="AQ2871" s="8" t="str">
        <f aca="false">IF(A2871="","",IF(ISNUMBER(SEARCH("2歳",Z2871)),"2歳戦",IF(ISNUMBER(SEARCH("3歳未勝利",Z2871)),"3歳未勝利",IF(ISNUMBER(SEARCH("未勝利",Z2871)),"その他未勝利",IF(ISNUMBER(SEARCH("G1",Z2871)),"G1",IF(ISNUMBER(SEARCH("G2",Z2871)),"G2",IF(ISNUMBER(SEARCH("G3",Z2871)),"G3",IF(ISNUMBER(SEARCH("古馬条件",Z2871)),"古馬条件戦",IF(ISNUMBER(SEARCH("重賞",Z2871)),"重賞","分類不能")))))))))</f>
        <v/>
      </c>
    </row>
    <row r="2872" customFormat="false" ht="15.75" hidden="false" customHeight="false" outlineLevel="0" collapsed="false">
      <c r="AO2872" s="8" t="str">
        <f aca="false">IF(A2872="","",IF(COUNTIFS(全馬データ!$A$2:$A$50000,A2872,全馬データ!$B$2:$B$50000,B2872,全馬データ!$C$2:$C$50000,C2872,全馬データ!$D$2:$D$50000,E2872,全馬データ!$K$2:$K$50000,"&lt;&gt;")=0,"",SUMIFS(全馬データ!$K$2:$K$50000,全馬データ!$A$2:$A$50000,A2872,全馬データ!$B$2:$B$50000,B2872,全馬データ!$C$2:$C$50000,C2872,全馬データ!$D$2:$D$50000,E2872)))</f>
        <v/>
      </c>
      <c r="AP2872" s="8" t="str">
        <f aca="false">IF(A2872="","",IF(AO2872="","欠損",IF(AO2872&lt;=1.1,"1.0～1.1",IF(AO2872&lt;1.3,"1.2",IF(AO2872&lt;1.5,"1.3～1.4",IF(AO2872&lt;2,"1.5～1.9","2.0以上"))))))</f>
        <v/>
      </c>
      <c r="AQ2872" s="8" t="str">
        <f aca="false">IF(A2872="","",IF(ISNUMBER(SEARCH("2歳",Z2872)),"2歳戦",IF(ISNUMBER(SEARCH("3歳未勝利",Z2872)),"3歳未勝利",IF(ISNUMBER(SEARCH("未勝利",Z2872)),"その他未勝利",IF(ISNUMBER(SEARCH("G1",Z2872)),"G1",IF(ISNUMBER(SEARCH("G2",Z2872)),"G2",IF(ISNUMBER(SEARCH("G3",Z2872)),"G3",IF(ISNUMBER(SEARCH("古馬条件",Z2872)),"古馬条件戦",IF(ISNUMBER(SEARCH("重賞",Z2872)),"重賞","分類不能")))))))))</f>
        <v/>
      </c>
    </row>
    <row r="2873" customFormat="false" ht="15.75" hidden="false" customHeight="false" outlineLevel="0" collapsed="false">
      <c r="AO2873" s="8" t="str">
        <f aca="false">IF(A2873="","",IF(COUNTIFS(全馬データ!$A$2:$A$50000,A2873,全馬データ!$B$2:$B$50000,B2873,全馬データ!$C$2:$C$50000,C2873,全馬データ!$D$2:$D$50000,E2873,全馬データ!$K$2:$K$50000,"&lt;&gt;")=0,"",SUMIFS(全馬データ!$K$2:$K$50000,全馬データ!$A$2:$A$50000,A2873,全馬データ!$B$2:$B$50000,B2873,全馬データ!$C$2:$C$50000,C2873,全馬データ!$D$2:$D$50000,E2873)))</f>
        <v/>
      </c>
      <c r="AP2873" s="8" t="str">
        <f aca="false">IF(A2873="","",IF(AO2873="","欠損",IF(AO2873&lt;=1.1,"1.0～1.1",IF(AO2873&lt;1.3,"1.2",IF(AO2873&lt;1.5,"1.3～1.4",IF(AO2873&lt;2,"1.5～1.9","2.0以上"))))))</f>
        <v/>
      </c>
      <c r="AQ2873" s="8" t="str">
        <f aca="false">IF(A2873="","",IF(ISNUMBER(SEARCH("2歳",Z2873)),"2歳戦",IF(ISNUMBER(SEARCH("3歳未勝利",Z2873)),"3歳未勝利",IF(ISNUMBER(SEARCH("未勝利",Z2873)),"その他未勝利",IF(ISNUMBER(SEARCH("G1",Z2873)),"G1",IF(ISNUMBER(SEARCH("G2",Z2873)),"G2",IF(ISNUMBER(SEARCH("G3",Z2873)),"G3",IF(ISNUMBER(SEARCH("古馬条件",Z2873)),"古馬条件戦",IF(ISNUMBER(SEARCH("重賞",Z2873)),"重賞","分類不能")))))))))</f>
        <v/>
      </c>
    </row>
    <row r="2874" customFormat="false" ht="15.75" hidden="false" customHeight="false" outlineLevel="0" collapsed="false">
      <c r="AO2874" s="8" t="str">
        <f aca="false">IF(A2874="","",IF(COUNTIFS(全馬データ!$A$2:$A$50000,A2874,全馬データ!$B$2:$B$50000,B2874,全馬データ!$C$2:$C$50000,C2874,全馬データ!$D$2:$D$50000,E2874,全馬データ!$K$2:$K$50000,"&lt;&gt;")=0,"",SUMIFS(全馬データ!$K$2:$K$50000,全馬データ!$A$2:$A$50000,A2874,全馬データ!$B$2:$B$50000,B2874,全馬データ!$C$2:$C$50000,C2874,全馬データ!$D$2:$D$50000,E2874)))</f>
        <v/>
      </c>
      <c r="AP2874" s="8" t="str">
        <f aca="false">IF(A2874="","",IF(AO2874="","欠損",IF(AO2874&lt;=1.1,"1.0～1.1",IF(AO2874&lt;1.3,"1.2",IF(AO2874&lt;1.5,"1.3～1.4",IF(AO2874&lt;2,"1.5～1.9","2.0以上"))))))</f>
        <v/>
      </c>
      <c r="AQ2874" s="8" t="str">
        <f aca="false">IF(A2874="","",IF(ISNUMBER(SEARCH("2歳",Z2874)),"2歳戦",IF(ISNUMBER(SEARCH("3歳未勝利",Z2874)),"3歳未勝利",IF(ISNUMBER(SEARCH("未勝利",Z2874)),"その他未勝利",IF(ISNUMBER(SEARCH("G1",Z2874)),"G1",IF(ISNUMBER(SEARCH("G2",Z2874)),"G2",IF(ISNUMBER(SEARCH("G3",Z2874)),"G3",IF(ISNUMBER(SEARCH("古馬条件",Z2874)),"古馬条件戦",IF(ISNUMBER(SEARCH("重賞",Z2874)),"重賞","分類不能")))))))))</f>
        <v/>
      </c>
    </row>
    <row r="2875" customFormat="false" ht="15.75" hidden="false" customHeight="false" outlineLevel="0" collapsed="false">
      <c r="AO2875" s="8" t="str">
        <f aca="false">IF(A2875="","",IF(COUNTIFS(全馬データ!$A$2:$A$50000,A2875,全馬データ!$B$2:$B$50000,B2875,全馬データ!$C$2:$C$50000,C2875,全馬データ!$D$2:$D$50000,E2875,全馬データ!$K$2:$K$50000,"&lt;&gt;")=0,"",SUMIFS(全馬データ!$K$2:$K$50000,全馬データ!$A$2:$A$50000,A2875,全馬データ!$B$2:$B$50000,B2875,全馬データ!$C$2:$C$50000,C2875,全馬データ!$D$2:$D$50000,E2875)))</f>
        <v/>
      </c>
      <c r="AP2875" s="8" t="str">
        <f aca="false">IF(A2875="","",IF(AO2875="","欠損",IF(AO2875&lt;=1.1,"1.0～1.1",IF(AO2875&lt;1.3,"1.2",IF(AO2875&lt;1.5,"1.3～1.4",IF(AO2875&lt;2,"1.5～1.9","2.0以上"))))))</f>
        <v/>
      </c>
      <c r="AQ2875" s="8" t="str">
        <f aca="false">IF(A2875="","",IF(ISNUMBER(SEARCH("2歳",Z2875)),"2歳戦",IF(ISNUMBER(SEARCH("3歳未勝利",Z2875)),"3歳未勝利",IF(ISNUMBER(SEARCH("未勝利",Z2875)),"その他未勝利",IF(ISNUMBER(SEARCH("G1",Z2875)),"G1",IF(ISNUMBER(SEARCH("G2",Z2875)),"G2",IF(ISNUMBER(SEARCH("G3",Z2875)),"G3",IF(ISNUMBER(SEARCH("古馬条件",Z2875)),"古馬条件戦",IF(ISNUMBER(SEARCH("重賞",Z2875)),"重賞","分類不能")))))))))</f>
        <v/>
      </c>
    </row>
    <row r="2876" customFormat="false" ht="15.75" hidden="false" customHeight="false" outlineLevel="0" collapsed="false">
      <c r="AO2876" s="8" t="str">
        <f aca="false">IF(A2876="","",IF(COUNTIFS(全馬データ!$A$2:$A$50000,A2876,全馬データ!$B$2:$B$50000,B2876,全馬データ!$C$2:$C$50000,C2876,全馬データ!$D$2:$D$50000,E2876,全馬データ!$K$2:$K$50000,"&lt;&gt;")=0,"",SUMIFS(全馬データ!$K$2:$K$50000,全馬データ!$A$2:$A$50000,A2876,全馬データ!$B$2:$B$50000,B2876,全馬データ!$C$2:$C$50000,C2876,全馬データ!$D$2:$D$50000,E2876)))</f>
        <v/>
      </c>
      <c r="AP2876" s="8" t="str">
        <f aca="false">IF(A2876="","",IF(AO2876="","欠損",IF(AO2876&lt;=1.1,"1.0～1.1",IF(AO2876&lt;1.3,"1.2",IF(AO2876&lt;1.5,"1.3～1.4",IF(AO2876&lt;2,"1.5～1.9","2.0以上"))))))</f>
        <v/>
      </c>
      <c r="AQ2876" s="8" t="str">
        <f aca="false">IF(A2876="","",IF(ISNUMBER(SEARCH("2歳",Z2876)),"2歳戦",IF(ISNUMBER(SEARCH("3歳未勝利",Z2876)),"3歳未勝利",IF(ISNUMBER(SEARCH("未勝利",Z2876)),"その他未勝利",IF(ISNUMBER(SEARCH("G1",Z2876)),"G1",IF(ISNUMBER(SEARCH("G2",Z2876)),"G2",IF(ISNUMBER(SEARCH("G3",Z2876)),"G3",IF(ISNUMBER(SEARCH("古馬条件",Z2876)),"古馬条件戦",IF(ISNUMBER(SEARCH("重賞",Z2876)),"重賞","分類不能")))))))))</f>
        <v/>
      </c>
    </row>
    <row r="2877" customFormat="false" ht="15.75" hidden="false" customHeight="false" outlineLevel="0" collapsed="false">
      <c r="AO2877" s="8" t="str">
        <f aca="false">IF(A2877="","",IF(COUNTIFS(全馬データ!$A$2:$A$50000,A2877,全馬データ!$B$2:$B$50000,B2877,全馬データ!$C$2:$C$50000,C2877,全馬データ!$D$2:$D$50000,E2877,全馬データ!$K$2:$K$50000,"&lt;&gt;")=0,"",SUMIFS(全馬データ!$K$2:$K$50000,全馬データ!$A$2:$A$50000,A2877,全馬データ!$B$2:$B$50000,B2877,全馬データ!$C$2:$C$50000,C2877,全馬データ!$D$2:$D$50000,E2877)))</f>
        <v/>
      </c>
      <c r="AP2877" s="8" t="str">
        <f aca="false">IF(A2877="","",IF(AO2877="","欠損",IF(AO2877&lt;=1.1,"1.0～1.1",IF(AO2877&lt;1.3,"1.2",IF(AO2877&lt;1.5,"1.3～1.4",IF(AO2877&lt;2,"1.5～1.9","2.0以上"))))))</f>
        <v/>
      </c>
      <c r="AQ2877" s="8" t="str">
        <f aca="false">IF(A2877="","",IF(ISNUMBER(SEARCH("2歳",Z2877)),"2歳戦",IF(ISNUMBER(SEARCH("3歳未勝利",Z2877)),"3歳未勝利",IF(ISNUMBER(SEARCH("未勝利",Z2877)),"その他未勝利",IF(ISNUMBER(SEARCH("G1",Z2877)),"G1",IF(ISNUMBER(SEARCH("G2",Z2877)),"G2",IF(ISNUMBER(SEARCH("G3",Z2877)),"G3",IF(ISNUMBER(SEARCH("古馬条件",Z2877)),"古馬条件戦",IF(ISNUMBER(SEARCH("重賞",Z2877)),"重賞","分類不能")))))))))</f>
        <v/>
      </c>
    </row>
    <row r="2878" customFormat="false" ht="15.75" hidden="false" customHeight="false" outlineLevel="0" collapsed="false">
      <c r="AO2878" s="8" t="str">
        <f aca="false">IF(A2878="","",IF(COUNTIFS(全馬データ!$A$2:$A$50000,A2878,全馬データ!$B$2:$B$50000,B2878,全馬データ!$C$2:$C$50000,C2878,全馬データ!$D$2:$D$50000,E2878,全馬データ!$K$2:$K$50000,"&lt;&gt;")=0,"",SUMIFS(全馬データ!$K$2:$K$50000,全馬データ!$A$2:$A$50000,A2878,全馬データ!$B$2:$B$50000,B2878,全馬データ!$C$2:$C$50000,C2878,全馬データ!$D$2:$D$50000,E2878)))</f>
        <v/>
      </c>
      <c r="AP2878" s="8" t="str">
        <f aca="false">IF(A2878="","",IF(AO2878="","欠損",IF(AO2878&lt;=1.1,"1.0～1.1",IF(AO2878&lt;1.3,"1.2",IF(AO2878&lt;1.5,"1.3～1.4",IF(AO2878&lt;2,"1.5～1.9","2.0以上"))))))</f>
        <v/>
      </c>
      <c r="AQ2878" s="8" t="str">
        <f aca="false">IF(A2878="","",IF(ISNUMBER(SEARCH("2歳",Z2878)),"2歳戦",IF(ISNUMBER(SEARCH("3歳未勝利",Z2878)),"3歳未勝利",IF(ISNUMBER(SEARCH("未勝利",Z2878)),"その他未勝利",IF(ISNUMBER(SEARCH("G1",Z2878)),"G1",IF(ISNUMBER(SEARCH("G2",Z2878)),"G2",IF(ISNUMBER(SEARCH("G3",Z2878)),"G3",IF(ISNUMBER(SEARCH("古馬条件",Z2878)),"古馬条件戦",IF(ISNUMBER(SEARCH("重賞",Z2878)),"重賞","分類不能")))))))))</f>
        <v/>
      </c>
    </row>
    <row r="2879" customFormat="false" ht="15.75" hidden="false" customHeight="false" outlineLevel="0" collapsed="false">
      <c r="AO2879" s="8" t="str">
        <f aca="false">IF(A2879="","",IF(COUNTIFS(全馬データ!$A$2:$A$50000,A2879,全馬データ!$B$2:$B$50000,B2879,全馬データ!$C$2:$C$50000,C2879,全馬データ!$D$2:$D$50000,E2879,全馬データ!$K$2:$K$50000,"&lt;&gt;")=0,"",SUMIFS(全馬データ!$K$2:$K$50000,全馬データ!$A$2:$A$50000,A2879,全馬データ!$B$2:$B$50000,B2879,全馬データ!$C$2:$C$50000,C2879,全馬データ!$D$2:$D$50000,E2879)))</f>
        <v/>
      </c>
      <c r="AP2879" s="8" t="str">
        <f aca="false">IF(A2879="","",IF(AO2879="","欠損",IF(AO2879&lt;=1.1,"1.0～1.1",IF(AO2879&lt;1.3,"1.2",IF(AO2879&lt;1.5,"1.3～1.4",IF(AO2879&lt;2,"1.5～1.9","2.0以上"))))))</f>
        <v/>
      </c>
      <c r="AQ2879" s="8" t="str">
        <f aca="false">IF(A2879="","",IF(ISNUMBER(SEARCH("2歳",Z2879)),"2歳戦",IF(ISNUMBER(SEARCH("3歳未勝利",Z2879)),"3歳未勝利",IF(ISNUMBER(SEARCH("未勝利",Z2879)),"その他未勝利",IF(ISNUMBER(SEARCH("G1",Z2879)),"G1",IF(ISNUMBER(SEARCH("G2",Z2879)),"G2",IF(ISNUMBER(SEARCH("G3",Z2879)),"G3",IF(ISNUMBER(SEARCH("古馬条件",Z2879)),"古馬条件戦",IF(ISNUMBER(SEARCH("重賞",Z2879)),"重賞","分類不能")))))))))</f>
        <v/>
      </c>
    </row>
    <row r="2880" customFormat="false" ht="15.75" hidden="false" customHeight="false" outlineLevel="0" collapsed="false">
      <c r="AO2880" s="8" t="str">
        <f aca="false">IF(A2880="","",IF(COUNTIFS(全馬データ!$A$2:$A$50000,A2880,全馬データ!$B$2:$B$50000,B2880,全馬データ!$C$2:$C$50000,C2880,全馬データ!$D$2:$D$50000,E2880,全馬データ!$K$2:$K$50000,"&lt;&gt;")=0,"",SUMIFS(全馬データ!$K$2:$K$50000,全馬データ!$A$2:$A$50000,A2880,全馬データ!$B$2:$B$50000,B2880,全馬データ!$C$2:$C$50000,C2880,全馬データ!$D$2:$D$50000,E2880)))</f>
        <v/>
      </c>
      <c r="AP2880" s="8" t="str">
        <f aca="false">IF(A2880="","",IF(AO2880="","欠損",IF(AO2880&lt;=1.1,"1.0～1.1",IF(AO2880&lt;1.3,"1.2",IF(AO2880&lt;1.5,"1.3～1.4",IF(AO2880&lt;2,"1.5～1.9","2.0以上"))))))</f>
        <v/>
      </c>
      <c r="AQ2880" s="8" t="str">
        <f aca="false">IF(A2880="","",IF(ISNUMBER(SEARCH("2歳",Z2880)),"2歳戦",IF(ISNUMBER(SEARCH("3歳未勝利",Z2880)),"3歳未勝利",IF(ISNUMBER(SEARCH("未勝利",Z2880)),"その他未勝利",IF(ISNUMBER(SEARCH("G1",Z2880)),"G1",IF(ISNUMBER(SEARCH("G2",Z2880)),"G2",IF(ISNUMBER(SEARCH("G3",Z2880)),"G3",IF(ISNUMBER(SEARCH("古馬条件",Z2880)),"古馬条件戦",IF(ISNUMBER(SEARCH("重賞",Z2880)),"重賞","分類不能")))))))))</f>
        <v/>
      </c>
    </row>
    <row r="2881" customFormat="false" ht="15.75" hidden="false" customHeight="false" outlineLevel="0" collapsed="false">
      <c r="AO2881" s="8" t="str">
        <f aca="false">IF(A2881="","",IF(COUNTIFS(全馬データ!$A$2:$A$50000,A2881,全馬データ!$B$2:$B$50000,B2881,全馬データ!$C$2:$C$50000,C2881,全馬データ!$D$2:$D$50000,E2881,全馬データ!$K$2:$K$50000,"&lt;&gt;")=0,"",SUMIFS(全馬データ!$K$2:$K$50000,全馬データ!$A$2:$A$50000,A2881,全馬データ!$B$2:$B$50000,B2881,全馬データ!$C$2:$C$50000,C2881,全馬データ!$D$2:$D$50000,E2881)))</f>
        <v/>
      </c>
      <c r="AP2881" s="8" t="str">
        <f aca="false">IF(A2881="","",IF(AO2881="","欠損",IF(AO2881&lt;=1.1,"1.0～1.1",IF(AO2881&lt;1.3,"1.2",IF(AO2881&lt;1.5,"1.3～1.4",IF(AO2881&lt;2,"1.5～1.9","2.0以上"))))))</f>
        <v/>
      </c>
      <c r="AQ2881" s="8" t="str">
        <f aca="false">IF(A2881="","",IF(ISNUMBER(SEARCH("2歳",Z2881)),"2歳戦",IF(ISNUMBER(SEARCH("3歳未勝利",Z2881)),"3歳未勝利",IF(ISNUMBER(SEARCH("未勝利",Z2881)),"その他未勝利",IF(ISNUMBER(SEARCH("G1",Z2881)),"G1",IF(ISNUMBER(SEARCH("G2",Z2881)),"G2",IF(ISNUMBER(SEARCH("G3",Z2881)),"G3",IF(ISNUMBER(SEARCH("古馬条件",Z2881)),"古馬条件戦",IF(ISNUMBER(SEARCH("重賞",Z2881)),"重賞","分類不能")))))))))</f>
        <v/>
      </c>
    </row>
    <row r="2882" customFormat="false" ht="15.75" hidden="false" customHeight="false" outlineLevel="0" collapsed="false">
      <c r="AO2882" s="8" t="str">
        <f aca="false">IF(A2882="","",IF(COUNTIFS(全馬データ!$A$2:$A$50000,A2882,全馬データ!$B$2:$B$50000,B2882,全馬データ!$C$2:$C$50000,C2882,全馬データ!$D$2:$D$50000,E2882,全馬データ!$K$2:$K$50000,"&lt;&gt;")=0,"",SUMIFS(全馬データ!$K$2:$K$50000,全馬データ!$A$2:$A$50000,A2882,全馬データ!$B$2:$B$50000,B2882,全馬データ!$C$2:$C$50000,C2882,全馬データ!$D$2:$D$50000,E2882)))</f>
        <v/>
      </c>
      <c r="AP2882" s="8" t="str">
        <f aca="false">IF(A2882="","",IF(AO2882="","欠損",IF(AO2882&lt;=1.1,"1.0～1.1",IF(AO2882&lt;1.3,"1.2",IF(AO2882&lt;1.5,"1.3～1.4",IF(AO2882&lt;2,"1.5～1.9","2.0以上"))))))</f>
        <v/>
      </c>
      <c r="AQ2882" s="8" t="str">
        <f aca="false">IF(A2882="","",IF(ISNUMBER(SEARCH("2歳",Z2882)),"2歳戦",IF(ISNUMBER(SEARCH("3歳未勝利",Z2882)),"3歳未勝利",IF(ISNUMBER(SEARCH("未勝利",Z2882)),"その他未勝利",IF(ISNUMBER(SEARCH("G1",Z2882)),"G1",IF(ISNUMBER(SEARCH("G2",Z2882)),"G2",IF(ISNUMBER(SEARCH("G3",Z2882)),"G3",IF(ISNUMBER(SEARCH("古馬条件",Z2882)),"古馬条件戦",IF(ISNUMBER(SEARCH("重賞",Z2882)),"重賞","分類不能")))))))))</f>
        <v/>
      </c>
    </row>
    <row r="2883" customFormat="false" ht="15.75" hidden="false" customHeight="false" outlineLevel="0" collapsed="false">
      <c r="AO2883" s="8" t="str">
        <f aca="false">IF(A2883="","",IF(COUNTIFS(全馬データ!$A$2:$A$50000,A2883,全馬データ!$B$2:$B$50000,B2883,全馬データ!$C$2:$C$50000,C2883,全馬データ!$D$2:$D$50000,E2883,全馬データ!$K$2:$K$50000,"&lt;&gt;")=0,"",SUMIFS(全馬データ!$K$2:$K$50000,全馬データ!$A$2:$A$50000,A2883,全馬データ!$B$2:$B$50000,B2883,全馬データ!$C$2:$C$50000,C2883,全馬データ!$D$2:$D$50000,E2883)))</f>
        <v/>
      </c>
      <c r="AP2883" s="8" t="str">
        <f aca="false">IF(A2883="","",IF(AO2883="","欠損",IF(AO2883&lt;=1.1,"1.0～1.1",IF(AO2883&lt;1.3,"1.2",IF(AO2883&lt;1.5,"1.3～1.4",IF(AO2883&lt;2,"1.5～1.9","2.0以上"))))))</f>
        <v/>
      </c>
      <c r="AQ2883" s="8" t="str">
        <f aca="false">IF(A2883="","",IF(ISNUMBER(SEARCH("2歳",Z2883)),"2歳戦",IF(ISNUMBER(SEARCH("3歳未勝利",Z2883)),"3歳未勝利",IF(ISNUMBER(SEARCH("未勝利",Z2883)),"その他未勝利",IF(ISNUMBER(SEARCH("G1",Z2883)),"G1",IF(ISNUMBER(SEARCH("G2",Z2883)),"G2",IF(ISNUMBER(SEARCH("G3",Z2883)),"G3",IF(ISNUMBER(SEARCH("古馬条件",Z2883)),"古馬条件戦",IF(ISNUMBER(SEARCH("重賞",Z2883)),"重賞","分類不能")))))))))</f>
        <v/>
      </c>
    </row>
    <row r="2884" customFormat="false" ht="15.75" hidden="false" customHeight="false" outlineLevel="0" collapsed="false">
      <c r="AO2884" s="8" t="str">
        <f aca="false">IF(A2884="","",IF(COUNTIFS(全馬データ!$A$2:$A$50000,A2884,全馬データ!$B$2:$B$50000,B2884,全馬データ!$C$2:$C$50000,C2884,全馬データ!$D$2:$D$50000,E2884,全馬データ!$K$2:$K$50000,"&lt;&gt;")=0,"",SUMIFS(全馬データ!$K$2:$K$50000,全馬データ!$A$2:$A$50000,A2884,全馬データ!$B$2:$B$50000,B2884,全馬データ!$C$2:$C$50000,C2884,全馬データ!$D$2:$D$50000,E2884)))</f>
        <v/>
      </c>
      <c r="AP2884" s="8" t="str">
        <f aca="false">IF(A2884="","",IF(AO2884="","欠損",IF(AO2884&lt;=1.1,"1.0～1.1",IF(AO2884&lt;1.3,"1.2",IF(AO2884&lt;1.5,"1.3～1.4",IF(AO2884&lt;2,"1.5～1.9","2.0以上"))))))</f>
        <v/>
      </c>
      <c r="AQ2884" s="8" t="str">
        <f aca="false">IF(A2884="","",IF(ISNUMBER(SEARCH("2歳",Z2884)),"2歳戦",IF(ISNUMBER(SEARCH("3歳未勝利",Z2884)),"3歳未勝利",IF(ISNUMBER(SEARCH("未勝利",Z2884)),"その他未勝利",IF(ISNUMBER(SEARCH("G1",Z2884)),"G1",IF(ISNUMBER(SEARCH("G2",Z2884)),"G2",IF(ISNUMBER(SEARCH("G3",Z2884)),"G3",IF(ISNUMBER(SEARCH("古馬条件",Z2884)),"古馬条件戦",IF(ISNUMBER(SEARCH("重賞",Z2884)),"重賞","分類不能")))))))))</f>
        <v/>
      </c>
    </row>
    <row r="2885" customFormat="false" ht="15.75" hidden="false" customHeight="false" outlineLevel="0" collapsed="false">
      <c r="AO2885" s="8" t="str">
        <f aca="false">IF(A2885="","",IF(COUNTIFS(全馬データ!$A$2:$A$50000,A2885,全馬データ!$B$2:$B$50000,B2885,全馬データ!$C$2:$C$50000,C2885,全馬データ!$D$2:$D$50000,E2885,全馬データ!$K$2:$K$50000,"&lt;&gt;")=0,"",SUMIFS(全馬データ!$K$2:$K$50000,全馬データ!$A$2:$A$50000,A2885,全馬データ!$B$2:$B$50000,B2885,全馬データ!$C$2:$C$50000,C2885,全馬データ!$D$2:$D$50000,E2885)))</f>
        <v/>
      </c>
      <c r="AP2885" s="8" t="str">
        <f aca="false">IF(A2885="","",IF(AO2885="","欠損",IF(AO2885&lt;=1.1,"1.0～1.1",IF(AO2885&lt;1.3,"1.2",IF(AO2885&lt;1.5,"1.3～1.4",IF(AO2885&lt;2,"1.5～1.9","2.0以上"))))))</f>
        <v/>
      </c>
      <c r="AQ2885" s="8" t="str">
        <f aca="false">IF(A2885="","",IF(ISNUMBER(SEARCH("2歳",Z2885)),"2歳戦",IF(ISNUMBER(SEARCH("3歳未勝利",Z2885)),"3歳未勝利",IF(ISNUMBER(SEARCH("未勝利",Z2885)),"その他未勝利",IF(ISNUMBER(SEARCH("G1",Z2885)),"G1",IF(ISNUMBER(SEARCH("G2",Z2885)),"G2",IF(ISNUMBER(SEARCH("G3",Z2885)),"G3",IF(ISNUMBER(SEARCH("古馬条件",Z2885)),"古馬条件戦",IF(ISNUMBER(SEARCH("重賞",Z2885)),"重賞","分類不能")))))))))</f>
        <v/>
      </c>
    </row>
    <row r="2886" customFormat="false" ht="15.75" hidden="false" customHeight="false" outlineLevel="0" collapsed="false">
      <c r="AO2886" s="8" t="str">
        <f aca="false">IF(A2886="","",IF(COUNTIFS(全馬データ!$A$2:$A$50000,A2886,全馬データ!$B$2:$B$50000,B2886,全馬データ!$C$2:$C$50000,C2886,全馬データ!$D$2:$D$50000,E2886,全馬データ!$K$2:$K$50000,"&lt;&gt;")=0,"",SUMIFS(全馬データ!$K$2:$K$50000,全馬データ!$A$2:$A$50000,A2886,全馬データ!$B$2:$B$50000,B2886,全馬データ!$C$2:$C$50000,C2886,全馬データ!$D$2:$D$50000,E2886)))</f>
        <v/>
      </c>
      <c r="AP2886" s="8" t="str">
        <f aca="false">IF(A2886="","",IF(AO2886="","欠損",IF(AO2886&lt;=1.1,"1.0～1.1",IF(AO2886&lt;1.3,"1.2",IF(AO2886&lt;1.5,"1.3～1.4",IF(AO2886&lt;2,"1.5～1.9","2.0以上"))))))</f>
        <v/>
      </c>
      <c r="AQ2886" s="8" t="str">
        <f aca="false">IF(A2886="","",IF(ISNUMBER(SEARCH("2歳",Z2886)),"2歳戦",IF(ISNUMBER(SEARCH("3歳未勝利",Z2886)),"3歳未勝利",IF(ISNUMBER(SEARCH("未勝利",Z2886)),"その他未勝利",IF(ISNUMBER(SEARCH("G1",Z2886)),"G1",IF(ISNUMBER(SEARCH("G2",Z2886)),"G2",IF(ISNUMBER(SEARCH("G3",Z2886)),"G3",IF(ISNUMBER(SEARCH("古馬条件",Z2886)),"古馬条件戦",IF(ISNUMBER(SEARCH("重賞",Z2886)),"重賞","分類不能")))))))))</f>
        <v/>
      </c>
    </row>
    <row r="2887" customFormat="false" ht="15.75" hidden="false" customHeight="false" outlineLevel="0" collapsed="false">
      <c r="AO2887" s="8" t="str">
        <f aca="false">IF(A2887="","",IF(COUNTIFS(全馬データ!$A$2:$A$50000,A2887,全馬データ!$B$2:$B$50000,B2887,全馬データ!$C$2:$C$50000,C2887,全馬データ!$D$2:$D$50000,E2887,全馬データ!$K$2:$K$50000,"&lt;&gt;")=0,"",SUMIFS(全馬データ!$K$2:$K$50000,全馬データ!$A$2:$A$50000,A2887,全馬データ!$B$2:$B$50000,B2887,全馬データ!$C$2:$C$50000,C2887,全馬データ!$D$2:$D$50000,E2887)))</f>
        <v/>
      </c>
      <c r="AP2887" s="8" t="str">
        <f aca="false">IF(A2887="","",IF(AO2887="","欠損",IF(AO2887&lt;=1.1,"1.0～1.1",IF(AO2887&lt;1.3,"1.2",IF(AO2887&lt;1.5,"1.3～1.4",IF(AO2887&lt;2,"1.5～1.9","2.0以上"))))))</f>
        <v/>
      </c>
      <c r="AQ2887" s="8" t="str">
        <f aca="false">IF(A2887="","",IF(ISNUMBER(SEARCH("2歳",Z2887)),"2歳戦",IF(ISNUMBER(SEARCH("3歳未勝利",Z2887)),"3歳未勝利",IF(ISNUMBER(SEARCH("未勝利",Z2887)),"その他未勝利",IF(ISNUMBER(SEARCH("G1",Z2887)),"G1",IF(ISNUMBER(SEARCH("G2",Z2887)),"G2",IF(ISNUMBER(SEARCH("G3",Z2887)),"G3",IF(ISNUMBER(SEARCH("古馬条件",Z2887)),"古馬条件戦",IF(ISNUMBER(SEARCH("重賞",Z2887)),"重賞","分類不能")))))))))</f>
        <v/>
      </c>
    </row>
    <row r="2888" customFormat="false" ht="15.75" hidden="false" customHeight="false" outlineLevel="0" collapsed="false">
      <c r="AO2888" s="8" t="str">
        <f aca="false">IF(A2888="","",IF(COUNTIFS(全馬データ!$A$2:$A$50000,A2888,全馬データ!$B$2:$B$50000,B2888,全馬データ!$C$2:$C$50000,C2888,全馬データ!$D$2:$D$50000,E2888,全馬データ!$K$2:$K$50000,"&lt;&gt;")=0,"",SUMIFS(全馬データ!$K$2:$K$50000,全馬データ!$A$2:$A$50000,A2888,全馬データ!$B$2:$B$50000,B2888,全馬データ!$C$2:$C$50000,C2888,全馬データ!$D$2:$D$50000,E2888)))</f>
        <v/>
      </c>
      <c r="AP2888" s="8" t="str">
        <f aca="false">IF(A2888="","",IF(AO2888="","欠損",IF(AO2888&lt;=1.1,"1.0～1.1",IF(AO2888&lt;1.3,"1.2",IF(AO2888&lt;1.5,"1.3～1.4",IF(AO2888&lt;2,"1.5～1.9","2.0以上"))))))</f>
        <v/>
      </c>
      <c r="AQ2888" s="8" t="str">
        <f aca="false">IF(A2888="","",IF(ISNUMBER(SEARCH("2歳",Z2888)),"2歳戦",IF(ISNUMBER(SEARCH("3歳未勝利",Z2888)),"3歳未勝利",IF(ISNUMBER(SEARCH("未勝利",Z2888)),"その他未勝利",IF(ISNUMBER(SEARCH("G1",Z2888)),"G1",IF(ISNUMBER(SEARCH("G2",Z2888)),"G2",IF(ISNUMBER(SEARCH("G3",Z2888)),"G3",IF(ISNUMBER(SEARCH("古馬条件",Z2888)),"古馬条件戦",IF(ISNUMBER(SEARCH("重賞",Z2888)),"重賞","分類不能")))))))))</f>
        <v/>
      </c>
    </row>
    <row r="2889" customFormat="false" ht="15.75" hidden="false" customHeight="false" outlineLevel="0" collapsed="false">
      <c r="AO2889" s="8" t="str">
        <f aca="false">IF(A2889="","",IF(COUNTIFS(全馬データ!$A$2:$A$50000,A2889,全馬データ!$B$2:$B$50000,B2889,全馬データ!$C$2:$C$50000,C2889,全馬データ!$D$2:$D$50000,E2889,全馬データ!$K$2:$K$50000,"&lt;&gt;")=0,"",SUMIFS(全馬データ!$K$2:$K$50000,全馬データ!$A$2:$A$50000,A2889,全馬データ!$B$2:$B$50000,B2889,全馬データ!$C$2:$C$50000,C2889,全馬データ!$D$2:$D$50000,E2889)))</f>
        <v/>
      </c>
      <c r="AP2889" s="8" t="str">
        <f aca="false">IF(A2889="","",IF(AO2889="","欠損",IF(AO2889&lt;=1.1,"1.0～1.1",IF(AO2889&lt;1.3,"1.2",IF(AO2889&lt;1.5,"1.3～1.4",IF(AO2889&lt;2,"1.5～1.9","2.0以上"))))))</f>
        <v/>
      </c>
      <c r="AQ2889" s="8" t="str">
        <f aca="false">IF(A2889="","",IF(ISNUMBER(SEARCH("2歳",Z2889)),"2歳戦",IF(ISNUMBER(SEARCH("3歳未勝利",Z2889)),"3歳未勝利",IF(ISNUMBER(SEARCH("未勝利",Z2889)),"その他未勝利",IF(ISNUMBER(SEARCH("G1",Z2889)),"G1",IF(ISNUMBER(SEARCH("G2",Z2889)),"G2",IF(ISNUMBER(SEARCH("G3",Z2889)),"G3",IF(ISNUMBER(SEARCH("古馬条件",Z2889)),"古馬条件戦",IF(ISNUMBER(SEARCH("重賞",Z2889)),"重賞","分類不能")))))))))</f>
        <v/>
      </c>
    </row>
    <row r="2890" customFormat="false" ht="15.75" hidden="false" customHeight="false" outlineLevel="0" collapsed="false">
      <c r="AO2890" s="8" t="str">
        <f aca="false">IF(A2890="","",IF(COUNTIFS(全馬データ!$A$2:$A$50000,A2890,全馬データ!$B$2:$B$50000,B2890,全馬データ!$C$2:$C$50000,C2890,全馬データ!$D$2:$D$50000,E2890,全馬データ!$K$2:$K$50000,"&lt;&gt;")=0,"",SUMIFS(全馬データ!$K$2:$K$50000,全馬データ!$A$2:$A$50000,A2890,全馬データ!$B$2:$B$50000,B2890,全馬データ!$C$2:$C$50000,C2890,全馬データ!$D$2:$D$50000,E2890)))</f>
        <v/>
      </c>
      <c r="AP2890" s="8" t="str">
        <f aca="false">IF(A2890="","",IF(AO2890="","欠損",IF(AO2890&lt;=1.1,"1.0～1.1",IF(AO2890&lt;1.3,"1.2",IF(AO2890&lt;1.5,"1.3～1.4",IF(AO2890&lt;2,"1.5～1.9","2.0以上"))))))</f>
        <v/>
      </c>
      <c r="AQ2890" s="8" t="str">
        <f aca="false">IF(A2890="","",IF(ISNUMBER(SEARCH("2歳",Z2890)),"2歳戦",IF(ISNUMBER(SEARCH("3歳未勝利",Z2890)),"3歳未勝利",IF(ISNUMBER(SEARCH("未勝利",Z2890)),"その他未勝利",IF(ISNUMBER(SEARCH("G1",Z2890)),"G1",IF(ISNUMBER(SEARCH("G2",Z2890)),"G2",IF(ISNUMBER(SEARCH("G3",Z2890)),"G3",IF(ISNUMBER(SEARCH("古馬条件",Z2890)),"古馬条件戦",IF(ISNUMBER(SEARCH("重賞",Z2890)),"重賞","分類不能")))))))))</f>
        <v/>
      </c>
    </row>
    <row r="2891" customFormat="false" ht="15.75" hidden="false" customHeight="false" outlineLevel="0" collapsed="false">
      <c r="AO2891" s="8" t="str">
        <f aca="false">IF(A2891="","",IF(COUNTIFS(全馬データ!$A$2:$A$50000,A2891,全馬データ!$B$2:$B$50000,B2891,全馬データ!$C$2:$C$50000,C2891,全馬データ!$D$2:$D$50000,E2891,全馬データ!$K$2:$K$50000,"&lt;&gt;")=0,"",SUMIFS(全馬データ!$K$2:$K$50000,全馬データ!$A$2:$A$50000,A2891,全馬データ!$B$2:$B$50000,B2891,全馬データ!$C$2:$C$50000,C2891,全馬データ!$D$2:$D$50000,E2891)))</f>
        <v/>
      </c>
      <c r="AP2891" s="8" t="str">
        <f aca="false">IF(A2891="","",IF(AO2891="","欠損",IF(AO2891&lt;=1.1,"1.0～1.1",IF(AO2891&lt;1.3,"1.2",IF(AO2891&lt;1.5,"1.3～1.4",IF(AO2891&lt;2,"1.5～1.9","2.0以上"))))))</f>
        <v/>
      </c>
      <c r="AQ2891" s="8" t="str">
        <f aca="false">IF(A2891="","",IF(ISNUMBER(SEARCH("2歳",Z2891)),"2歳戦",IF(ISNUMBER(SEARCH("3歳未勝利",Z2891)),"3歳未勝利",IF(ISNUMBER(SEARCH("未勝利",Z2891)),"その他未勝利",IF(ISNUMBER(SEARCH("G1",Z2891)),"G1",IF(ISNUMBER(SEARCH("G2",Z2891)),"G2",IF(ISNUMBER(SEARCH("G3",Z2891)),"G3",IF(ISNUMBER(SEARCH("古馬条件",Z2891)),"古馬条件戦",IF(ISNUMBER(SEARCH("重賞",Z2891)),"重賞","分類不能")))))))))</f>
        <v/>
      </c>
    </row>
    <row r="2892" customFormat="false" ht="15.75" hidden="false" customHeight="false" outlineLevel="0" collapsed="false">
      <c r="AO2892" s="8" t="str">
        <f aca="false">IF(A2892="","",IF(COUNTIFS(全馬データ!$A$2:$A$50000,A2892,全馬データ!$B$2:$B$50000,B2892,全馬データ!$C$2:$C$50000,C2892,全馬データ!$D$2:$D$50000,E2892,全馬データ!$K$2:$K$50000,"&lt;&gt;")=0,"",SUMIFS(全馬データ!$K$2:$K$50000,全馬データ!$A$2:$A$50000,A2892,全馬データ!$B$2:$B$50000,B2892,全馬データ!$C$2:$C$50000,C2892,全馬データ!$D$2:$D$50000,E2892)))</f>
        <v/>
      </c>
      <c r="AP2892" s="8" t="str">
        <f aca="false">IF(A2892="","",IF(AO2892="","欠損",IF(AO2892&lt;=1.1,"1.0～1.1",IF(AO2892&lt;1.3,"1.2",IF(AO2892&lt;1.5,"1.3～1.4",IF(AO2892&lt;2,"1.5～1.9","2.0以上"))))))</f>
        <v/>
      </c>
      <c r="AQ2892" s="8" t="str">
        <f aca="false">IF(A2892="","",IF(ISNUMBER(SEARCH("2歳",Z2892)),"2歳戦",IF(ISNUMBER(SEARCH("3歳未勝利",Z2892)),"3歳未勝利",IF(ISNUMBER(SEARCH("未勝利",Z2892)),"その他未勝利",IF(ISNUMBER(SEARCH("G1",Z2892)),"G1",IF(ISNUMBER(SEARCH("G2",Z2892)),"G2",IF(ISNUMBER(SEARCH("G3",Z2892)),"G3",IF(ISNUMBER(SEARCH("古馬条件",Z2892)),"古馬条件戦",IF(ISNUMBER(SEARCH("重賞",Z2892)),"重賞","分類不能")))))))))</f>
        <v/>
      </c>
    </row>
    <row r="2893" customFormat="false" ht="15.75" hidden="false" customHeight="false" outlineLevel="0" collapsed="false">
      <c r="AO2893" s="8" t="str">
        <f aca="false">IF(A2893="","",IF(COUNTIFS(全馬データ!$A$2:$A$50000,A2893,全馬データ!$B$2:$B$50000,B2893,全馬データ!$C$2:$C$50000,C2893,全馬データ!$D$2:$D$50000,E2893,全馬データ!$K$2:$K$50000,"&lt;&gt;")=0,"",SUMIFS(全馬データ!$K$2:$K$50000,全馬データ!$A$2:$A$50000,A2893,全馬データ!$B$2:$B$50000,B2893,全馬データ!$C$2:$C$50000,C2893,全馬データ!$D$2:$D$50000,E2893)))</f>
        <v/>
      </c>
      <c r="AP2893" s="8" t="str">
        <f aca="false">IF(A2893="","",IF(AO2893="","欠損",IF(AO2893&lt;=1.1,"1.0～1.1",IF(AO2893&lt;1.3,"1.2",IF(AO2893&lt;1.5,"1.3～1.4",IF(AO2893&lt;2,"1.5～1.9","2.0以上"))))))</f>
        <v/>
      </c>
      <c r="AQ2893" s="8" t="str">
        <f aca="false">IF(A2893="","",IF(ISNUMBER(SEARCH("2歳",Z2893)),"2歳戦",IF(ISNUMBER(SEARCH("3歳未勝利",Z2893)),"3歳未勝利",IF(ISNUMBER(SEARCH("未勝利",Z2893)),"その他未勝利",IF(ISNUMBER(SEARCH("G1",Z2893)),"G1",IF(ISNUMBER(SEARCH("G2",Z2893)),"G2",IF(ISNUMBER(SEARCH("G3",Z2893)),"G3",IF(ISNUMBER(SEARCH("古馬条件",Z2893)),"古馬条件戦",IF(ISNUMBER(SEARCH("重賞",Z2893)),"重賞","分類不能")))))))))</f>
        <v/>
      </c>
    </row>
    <row r="2894" customFormat="false" ht="15.75" hidden="false" customHeight="false" outlineLevel="0" collapsed="false">
      <c r="AO2894" s="8" t="str">
        <f aca="false">IF(A2894="","",IF(COUNTIFS(全馬データ!$A$2:$A$50000,A2894,全馬データ!$B$2:$B$50000,B2894,全馬データ!$C$2:$C$50000,C2894,全馬データ!$D$2:$D$50000,E2894,全馬データ!$K$2:$K$50000,"&lt;&gt;")=0,"",SUMIFS(全馬データ!$K$2:$K$50000,全馬データ!$A$2:$A$50000,A2894,全馬データ!$B$2:$B$50000,B2894,全馬データ!$C$2:$C$50000,C2894,全馬データ!$D$2:$D$50000,E2894)))</f>
        <v/>
      </c>
      <c r="AP2894" s="8" t="str">
        <f aca="false">IF(A2894="","",IF(AO2894="","欠損",IF(AO2894&lt;=1.1,"1.0～1.1",IF(AO2894&lt;1.3,"1.2",IF(AO2894&lt;1.5,"1.3～1.4",IF(AO2894&lt;2,"1.5～1.9","2.0以上"))))))</f>
        <v/>
      </c>
      <c r="AQ2894" s="8" t="str">
        <f aca="false">IF(A2894="","",IF(ISNUMBER(SEARCH("2歳",Z2894)),"2歳戦",IF(ISNUMBER(SEARCH("3歳未勝利",Z2894)),"3歳未勝利",IF(ISNUMBER(SEARCH("未勝利",Z2894)),"その他未勝利",IF(ISNUMBER(SEARCH("G1",Z2894)),"G1",IF(ISNUMBER(SEARCH("G2",Z2894)),"G2",IF(ISNUMBER(SEARCH("G3",Z2894)),"G3",IF(ISNUMBER(SEARCH("古馬条件",Z2894)),"古馬条件戦",IF(ISNUMBER(SEARCH("重賞",Z2894)),"重賞","分類不能")))))))))</f>
        <v/>
      </c>
    </row>
    <row r="2895" customFormat="false" ht="15.75" hidden="false" customHeight="false" outlineLevel="0" collapsed="false">
      <c r="AO2895" s="8" t="str">
        <f aca="false">IF(A2895="","",IF(COUNTIFS(全馬データ!$A$2:$A$50000,A2895,全馬データ!$B$2:$B$50000,B2895,全馬データ!$C$2:$C$50000,C2895,全馬データ!$D$2:$D$50000,E2895,全馬データ!$K$2:$K$50000,"&lt;&gt;")=0,"",SUMIFS(全馬データ!$K$2:$K$50000,全馬データ!$A$2:$A$50000,A2895,全馬データ!$B$2:$B$50000,B2895,全馬データ!$C$2:$C$50000,C2895,全馬データ!$D$2:$D$50000,E2895)))</f>
        <v/>
      </c>
      <c r="AP2895" s="8" t="str">
        <f aca="false">IF(A2895="","",IF(AO2895="","欠損",IF(AO2895&lt;=1.1,"1.0～1.1",IF(AO2895&lt;1.3,"1.2",IF(AO2895&lt;1.5,"1.3～1.4",IF(AO2895&lt;2,"1.5～1.9","2.0以上"))))))</f>
        <v/>
      </c>
      <c r="AQ2895" s="8" t="str">
        <f aca="false">IF(A2895="","",IF(ISNUMBER(SEARCH("2歳",Z2895)),"2歳戦",IF(ISNUMBER(SEARCH("3歳未勝利",Z2895)),"3歳未勝利",IF(ISNUMBER(SEARCH("未勝利",Z2895)),"その他未勝利",IF(ISNUMBER(SEARCH("G1",Z2895)),"G1",IF(ISNUMBER(SEARCH("G2",Z2895)),"G2",IF(ISNUMBER(SEARCH("G3",Z2895)),"G3",IF(ISNUMBER(SEARCH("古馬条件",Z2895)),"古馬条件戦",IF(ISNUMBER(SEARCH("重賞",Z2895)),"重賞","分類不能")))))))))</f>
        <v/>
      </c>
    </row>
    <row r="2896" customFormat="false" ht="15.75" hidden="false" customHeight="false" outlineLevel="0" collapsed="false">
      <c r="AO2896" s="8" t="str">
        <f aca="false">IF(A2896="","",IF(COUNTIFS(全馬データ!$A$2:$A$50000,A2896,全馬データ!$B$2:$B$50000,B2896,全馬データ!$C$2:$C$50000,C2896,全馬データ!$D$2:$D$50000,E2896,全馬データ!$K$2:$K$50000,"&lt;&gt;")=0,"",SUMIFS(全馬データ!$K$2:$K$50000,全馬データ!$A$2:$A$50000,A2896,全馬データ!$B$2:$B$50000,B2896,全馬データ!$C$2:$C$50000,C2896,全馬データ!$D$2:$D$50000,E2896)))</f>
        <v/>
      </c>
      <c r="AP2896" s="8" t="str">
        <f aca="false">IF(A2896="","",IF(AO2896="","欠損",IF(AO2896&lt;=1.1,"1.0～1.1",IF(AO2896&lt;1.3,"1.2",IF(AO2896&lt;1.5,"1.3～1.4",IF(AO2896&lt;2,"1.5～1.9","2.0以上"))))))</f>
        <v/>
      </c>
      <c r="AQ2896" s="8" t="str">
        <f aca="false">IF(A2896="","",IF(ISNUMBER(SEARCH("2歳",Z2896)),"2歳戦",IF(ISNUMBER(SEARCH("3歳未勝利",Z2896)),"3歳未勝利",IF(ISNUMBER(SEARCH("未勝利",Z2896)),"その他未勝利",IF(ISNUMBER(SEARCH("G1",Z2896)),"G1",IF(ISNUMBER(SEARCH("G2",Z2896)),"G2",IF(ISNUMBER(SEARCH("G3",Z2896)),"G3",IF(ISNUMBER(SEARCH("古馬条件",Z2896)),"古馬条件戦",IF(ISNUMBER(SEARCH("重賞",Z2896)),"重賞","分類不能")))))))))</f>
        <v/>
      </c>
    </row>
    <row r="2897" customFormat="false" ht="15.75" hidden="false" customHeight="false" outlineLevel="0" collapsed="false">
      <c r="AO2897" s="8" t="str">
        <f aca="false">IF(A2897="","",IF(COUNTIFS(全馬データ!$A$2:$A$50000,A2897,全馬データ!$B$2:$B$50000,B2897,全馬データ!$C$2:$C$50000,C2897,全馬データ!$D$2:$D$50000,E2897,全馬データ!$K$2:$K$50000,"&lt;&gt;")=0,"",SUMIFS(全馬データ!$K$2:$K$50000,全馬データ!$A$2:$A$50000,A2897,全馬データ!$B$2:$B$50000,B2897,全馬データ!$C$2:$C$50000,C2897,全馬データ!$D$2:$D$50000,E2897)))</f>
        <v/>
      </c>
      <c r="AP2897" s="8" t="str">
        <f aca="false">IF(A2897="","",IF(AO2897="","欠損",IF(AO2897&lt;=1.1,"1.0～1.1",IF(AO2897&lt;1.3,"1.2",IF(AO2897&lt;1.5,"1.3～1.4",IF(AO2897&lt;2,"1.5～1.9","2.0以上"))))))</f>
        <v/>
      </c>
      <c r="AQ2897" s="8" t="str">
        <f aca="false">IF(A2897="","",IF(ISNUMBER(SEARCH("2歳",Z2897)),"2歳戦",IF(ISNUMBER(SEARCH("3歳未勝利",Z2897)),"3歳未勝利",IF(ISNUMBER(SEARCH("未勝利",Z2897)),"その他未勝利",IF(ISNUMBER(SEARCH("G1",Z2897)),"G1",IF(ISNUMBER(SEARCH("G2",Z2897)),"G2",IF(ISNUMBER(SEARCH("G3",Z2897)),"G3",IF(ISNUMBER(SEARCH("古馬条件",Z2897)),"古馬条件戦",IF(ISNUMBER(SEARCH("重賞",Z2897)),"重賞","分類不能")))))))))</f>
        <v/>
      </c>
    </row>
    <row r="2898" customFormat="false" ht="15.75" hidden="false" customHeight="false" outlineLevel="0" collapsed="false">
      <c r="AO2898" s="8" t="str">
        <f aca="false">IF(A2898="","",IF(COUNTIFS(全馬データ!$A$2:$A$50000,A2898,全馬データ!$B$2:$B$50000,B2898,全馬データ!$C$2:$C$50000,C2898,全馬データ!$D$2:$D$50000,E2898,全馬データ!$K$2:$K$50000,"&lt;&gt;")=0,"",SUMIFS(全馬データ!$K$2:$K$50000,全馬データ!$A$2:$A$50000,A2898,全馬データ!$B$2:$B$50000,B2898,全馬データ!$C$2:$C$50000,C2898,全馬データ!$D$2:$D$50000,E2898)))</f>
        <v/>
      </c>
      <c r="AP2898" s="8" t="str">
        <f aca="false">IF(A2898="","",IF(AO2898="","欠損",IF(AO2898&lt;=1.1,"1.0～1.1",IF(AO2898&lt;1.3,"1.2",IF(AO2898&lt;1.5,"1.3～1.4",IF(AO2898&lt;2,"1.5～1.9","2.0以上"))))))</f>
        <v/>
      </c>
      <c r="AQ2898" s="8" t="str">
        <f aca="false">IF(A2898="","",IF(ISNUMBER(SEARCH("2歳",Z2898)),"2歳戦",IF(ISNUMBER(SEARCH("3歳未勝利",Z2898)),"3歳未勝利",IF(ISNUMBER(SEARCH("未勝利",Z2898)),"その他未勝利",IF(ISNUMBER(SEARCH("G1",Z2898)),"G1",IF(ISNUMBER(SEARCH("G2",Z2898)),"G2",IF(ISNUMBER(SEARCH("G3",Z2898)),"G3",IF(ISNUMBER(SEARCH("古馬条件",Z2898)),"古馬条件戦",IF(ISNUMBER(SEARCH("重賞",Z2898)),"重賞","分類不能")))))))))</f>
        <v/>
      </c>
    </row>
    <row r="2899" customFormat="false" ht="15.75" hidden="false" customHeight="false" outlineLevel="0" collapsed="false">
      <c r="AO2899" s="8" t="str">
        <f aca="false">IF(A2899="","",IF(COUNTIFS(全馬データ!$A$2:$A$50000,A2899,全馬データ!$B$2:$B$50000,B2899,全馬データ!$C$2:$C$50000,C2899,全馬データ!$D$2:$D$50000,E2899,全馬データ!$K$2:$K$50000,"&lt;&gt;")=0,"",SUMIFS(全馬データ!$K$2:$K$50000,全馬データ!$A$2:$A$50000,A2899,全馬データ!$B$2:$B$50000,B2899,全馬データ!$C$2:$C$50000,C2899,全馬データ!$D$2:$D$50000,E2899)))</f>
        <v/>
      </c>
      <c r="AP2899" s="8" t="str">
        <f aca="false">IF(A2899="","",IF(AO2899="","欠損",IF(AO2899&lt;=1.1,"1.0～1.1",IF(AO2899&lt;1.3,"1.2",IF(AO2899&lt;1.5,"1.3～1.4",IF(AO2899&lt;2,"1.5～1.9","2.0以上"))))))</f>
        <v/>
      </c>
      <c r="AQ2899" s="8" t="str">
        <f aca="false">IF(A2899="","",IF(ISNUMBER(SEARCH("2歳",Z2899)),"2歳戦",IF(ISNUMBER(SEARCH("3歳未勝利",Z2899)),"3歳未勝利",IF(ISNUMBER(SEARCH("未勝利",Z2899)),"その他未勝利",IF(ISNUMBER(SEARCH("G1",Z2899)),"G1",IF(ISNUMBER(SEARCH("G2",Z2899)),"G2",IF(ISNUMBER(SEARCH("G3",Z2899)),"G3",IF(ISNUMBER(SEARCH("古馬条件",Z2899)),"古馬条件戦",IF(ISNUMBER(SEARCH("重賞",Z2899)),"重賞","分類不能")))))))))</f>
        <v/>
      </c>
    </row>
    <row r="2900" customFormat="false" ht="15.75" hidden="false" customHeight="false" outlineLevel="0" collapsed="false">
      <c r="AO2900" s="8" t="str">
        <f aca="false">IF(A2900="","",IF(COUNTIFS(全馬データ!$A$2:$A$50000,A2900,全馬データ!$B$2:$B$50000,B2900,全馬データ!$C$2:$C$50000,C2900,全馬データ!$D$2:$D$50000,E2900,全馬データ!$K$2:$K$50000,"&lt;&gt;")=0,"",SUMIFS(全馬データ!$K$2:$K$50000,全馬データ!$A$2:$A$50000,A2900,全馬データ!$B$2:$B$50000,B2900,全馬データ!$C$2:$C$50000,C2900,全馬データ!$D$2:$D$50000,E2900)))</f>
        <v/>
      </c>
      <c r="AP2900" s="8" t="str">
        <f aca="false">IF(A2900="","",IF(AO2900="","欠損",IF(AO2900&lt;=1.1,"1.0～1.1",IF(AO2900&lt;1.3,"1.2",IF(AO2900&lt;1.5,"1.3～1.4",IF(AO2900&lt;2,"1.5～1.9","2.0以上"))))))</f>
        <v/>
      </c>
      <c r="AQ2900" s="8" t="str">
        <f aca="false">IF(A2900="","",IF(ISNUMBER(SEARCH("2歳",Z2900)),"2歳戦",IF(ISNUMBER(SEARCH("3歳未勝利",Z2900)),"3歳未勝利",IF(ISNUMBER(SEARCH("未勝利",Z2900)),"その他未勝利",IF(ISNUMBER(SEARCH("G1",Z2900)),"G1",IF(ISNUMBER(SEARCH("G2",Z2900)),"G2",IF(ISNUMBER(SEARCH("G3",Z2900)),"G3",IF(ISNUMBER(SEARCH("古馬条件",Z2900)),"古馬条件戦",IF(ISNUMBER(SEARCH("重賞",Z2900)),"重賞","分類不能")))))))))</f>
        <v/>
      </c>
    </row>
    <row r="2901" customFormat="false" ht="15.75" hidden="false" customHeight="false" outlineLevel="0" collapsed="false">
      <c r="AO2901" s="8" t="str">
        <f aca="false">IF(A2901="","",IF(COUNTIFS(全馬データ!$A$2:$A$50000,A2901,全馬データ!$B$2:$B$50000,B2901,全馬データ!$C$2:$C$50000,C2901,全馬データ!$D$2:$D$50000,E2901,全馬データ!$K$2:$K$50000,"&lt;&gt;")=0,"",SUMIFS(全馬データ!$K$2:$K$50000,全馬データ!$A$2:$A$50000,A2901,全馬データ!$B$2:$B$50000,B2901,全馬データ!$C$2:$C$50000,C2901,全馬データ!$D$2:$D$50000,E2901)))</f>
        <v/>
      </c>
      <c r="AP2901" s="8" t="str">
        <f aca="false">IF(A2901="","",IF(AO2901="","欠損",IF(AO2901&lt;=1.1,"1.0～1.1",IF(AO2901&lt;1.3,"1.2",IF(AO2901&lt;1.5,"1.3～1.4",IF(AO2901&lt;2,"1.5～1.9","2.0以上"))))))</f>
        <v/>
      </c>
      <c r="AQ2901" s="8" t="str">
        <f aca="false">IF(A2901="","",IF(ISNUMBER(SEARCH("2歳",Z2901)),"2歳戦",IF(ISNUMBER(SEARCH("3歳未勝利",Z2901)),"3歳未勝利",IF(ISNUMBER(SEARCH("未勝利",Z2901)),"その他未勝利",IF(ISNUMBER(SEARCH("G1",Z2901)),"G1",IF(ISNUMBER(SEARCH("G2",Z2901)),"G2",IF(ISNUMBER(SEARCH("G3",Z2901)),"G3",IF(ISNUMBER(SEARCH("古馬条件",Z2901)),"古馬条件戦",IF(ISNUMBER(SEARCH("重賞",Z2901)),"重賞","分類不能")))))))))</f>
        <v/>
      </c>
    </row>
    <row r="2902" customFormat="false" ht="15.75" hidden="false" customHeight="false" outlineLevel="0" collapsed="false">
      <c r="AO2902" s="8" t="str">
        <f aca="false">IF(A2902="","",IF(COUNTIFS(全馬データ!$A$2:$A$50000,A2902,全馬データ!$B$2:$B$50000,B2902,全馬データ!$C$2:$C$50000,C2902,全馬データ!$D$2:$D$50000,E2902,全馬データ!$K$2:$K$50000,"&lt;&gt;")=0,"",SUMIFS(全馬データ!$K$2:$K$50000,全馬データ!$A$2:$A$50000,A2902,全馬データ!$B$2:$B$50000,B2902,全馬データ!$C$2:$C$50000,C2902,全馬データ!$D$2:$D$50000,E2902)))</f>
        <v/>
      </c>
      <c r="AP2902" s="8" t="str">
        <f aca="false">IF(A2902="","",IF(AO2902="","欠損",IF(AO2902&lt;=1.1,"1.0～1.1",IF(AO2902&lt;1.3,"1.2",IF(AO2902&lt;1.5,"1.3～1.4",IF(AO2902&lt;2,"1.5～1.9","2.0以上"))))))</f>
        <v/>
      </c>
      <c r="AQ2902" s="8" t="str">
        <f aca="false">IF(A2902="","",IF(ISNUMBER(SEARCH("2歳",Z2902)),"2歳戦",IF(ISNUMBER(SEARCH("3歳未勝利",Z2902)),"3歳未勝利",IF(ISNUMBER(SEARCH("未勝利",Z2902)),"その他未勝利",IF(ISNUMBER(SEARCH("G1",Z2902)),"G1",IF(ISNUMBER(SEARCH("G2",Z2902)),"G2",IF(ISNUMBER(SEARCH("G3",Z2902)),"G3",IF(ISNUMBER(SEARCH("古馬条件",Z2902)),"古馬条件戦",IF(ISNUMBER(SEARCH("重賞",Z2902)),"重賞","分類不能")))))))))</f>
        <v/>
      </c>
    </row>
    <row r="2903" customFormat="false" ht="15.75" hidden="false" customHeight="false" outlineLevel="0" collapsed="false">
      <c r="AO2903" s="8" t="str">
        <f aca="false">IF(A2903="","",IF(COUNTIFS(全馬データ!$A$2:$A$50000,A2903,全馬データ!$B$2:$B$50000,B2903,全馬データ!$C$2:$C$50000,C2903,全馬データ!$D$2:$D$50000,E2903,全馬データ!$K$2:$K$50000,"&lt;&gt;")=0,"",SUMIFS(全馬データ!$K$2:$K$50000,全馬データ!$A$2:$A$50000,A2903,全馬データ!$B$2:$B$50000,B2903,全馬データ!$C$2:$C$50000,C2903,全馬データ!$D$2:$D$50000,E2903)))</f>
        <v/>
      </c>
      <c r="AP2903" s="8" t="str">
        <f aca="false">IF(A2903="","",IF(AO2903="","欠損",IF(AO2903&lt;=1.1,"1.0～1.1",IF(AO2903&lt;1.3,"1.2",IF(AO2903&lt;1.5,"1.3～1.4",IF(AO2903&lt;2,"1.5～1.9","2.0以上"))))))</f>
        <v/>
      </c>
      <c r="AQ2903" s="8" t="str">
        <f aca="false">IF(A2903="","",IF(ISNUMBER(SEARCH("2歳",Z2903)),"2歳戦",IF(ISNUMBER(SEARCH("3歳未勝利",Z2903)),"3歳未勝利",IF(ISNUMBER(SEARCH("未勝利",Z2903)),"その他未勝利",IF(ISNUMBER(SEARCH("G1",Z2903)),"G1",IF(ISNUMBER(SEARCH("G2",Z2903)),"G2",IF(ISNUMBER(SEARCH("G3",Z2903)),"G3",IF(ISNUMBER(SEARCH("古馬条件",Z2903)),"古馬条件戦",IF(ISNUMBER(SEARCH("重賞",Z2903)),"重賞","分類不能")))))))))</f>
        <v/>
      </c>
    </row>
    <row r="2904" customFormat="false" ht="15.75" hidden="false" customHeight="false" outlineLevel="0" collapsed="false">
      <c r="AO2904" s="8" t="str">
        <f aca="false">IF(A2904="","",IF(COUNTIFS(全馬データ!$A$2:$A$50000,A2904,全馬データ!$B$2:$B$50000,B2904,全馬データ!$C$2:$C$50000,C2904,全馬データ!$D$2:$D$50000,E2904,全馬データ!$K$2:$K$50000,"&lt;&gt;")=0,"",SUMIFS(全馬データ!$K$2:$K$50000,全馬データ!$A$2:$A$50000,A2904,全馬データ!$B$2:$B$50000,B2904,全馬データ!$C$2:$C$50000,C2904,全馬データ!$D$2:$D$50000,E2904)))</f>
        <v/>
      </c>
      <c r="AP2904" s="8" t="str">
        <f aca="false">IF(A2904="","",IF(AO2904="","欠損",IF(AO2904&lt;=1.1,"1.0～1.1",IF(AO2904&lt;1.3,"1.2",IF(AO2904&lt;1.5,"1.3～1.4",IF(AO2904&lt;2,"1.5～1.9","2.0以上"))))))</f>
        <v/>
      </c>
      <c r="AQ2904" s="8" t="str">
        <f aca="false">IF(A2904="","",IF(ISNUMBER(SEARCH("2歳",Z2904)),"2歳戦",IF(ISNUMBER(SEARCH("3歳未勝利",Z2904)),"3歳未勝利",IF(ISNUMBER(SEARCH("未勝利",Z2904)),"その他未勝利",IF(ISNUMBER(SEARCH("G1",Z2904)),"G1",IF(ISNUMBER(SEARCH("G2",Z2904)),"G2",IF(ISNUMBER(SEARCH("G3",Z2904)),"G3",IF(ISNUMBER(SEARCH("古馬条件",Z2904)),"古馬条件戦",IF(ISNUMBER(SEARCH("重賞",Z2904)),"重賞","分類不能")))))))))</f>
        <v/>
      </c>
    </row>
    <row r="2905" customFormat="false" ht="15.75" hidden="false" customHeight="false" outlineLevel="0" collapsed="false">
      <c r="AO2905" s="8" t="str">
        <f aca="false">IF(A2905="","",IF(COUNTIFS(全馬データ!$A$2:$A$50000,A2905,全馬データ!$B$2:$B$50000,B2905,全馬データ!$C$2:$C$50000,C2905,全馬データ!$D$2:$D$50000,E2905,全馬データ!$K$2:$K$50000,"&lt;&gt;")=0,"",SUMIFS(全馬データ!$K$2:$K$50000,全馬データ!$A$2:$A$50000,A2905,全馬データ!$B$2:$B$50000,B2905,全馬データ!$C$2:$C$50000,C2905,全馬データ!$D$2:$D$50000,E2905)))</f>
        <v/>
      </c>
      <c r="AP2905" s="8" t="str">
        <f aca="false">IF(A2905="","",IF(AO2905="","欠損",IF(AO2905&lt;=1.1,"1.0～1.1",IF(AO2905&lt;1.3,"1.2",IF(AO2905&lt;1.5,"1.3～1.4",IF(AO2905&lt;2,"1.5～1.9","2.0以上"))))))</f>
        <v/>
      </c>
      <c r="AQ2905" s="8" t="str">
        <f aca="false">IF(A2905="","",IF(ISNUMBER(SEARCH("2歳",Z2905)),"2歳戦",IF(ISNUMBER(SEARCH("3歳未勝利",Z2905)),"3歳未勝利",IF(ISNUMBER(SEARCH("未勝利",Z2905)),"その他未勝利",IF(ISNUMBER(SEARCH("G1",Z2905)),"G1",IF(ISNUMBER(SEARCH("G2",Z2905)),"G2",IF(ISNUMBER(SEARCH("G3",Z2905)),"G3",IF(ISNUMBER(SEARCH("古馬条件",Z2905)),"古馬条件戦",IF(ISNUMBER(SEARCH("重賞",Z2905)),"重賞","分類不能")))))))))</f>
        <v/>
      </c>
    </row>
    <row r="2906" customFormat="false" ht="15.75" hidden="false" customHeight="false" outlineLevel="0" collapsed="false">
      <c r="AO2906" s="8" t="str">
        <f aca="false">IF(A2906="","",IF(COUNTIFS(全馬データ!$A$2:$A$50000,A2906,全馬データ!$B$2:$B$50000,B2906,全馬データ!$C$2:$C$50000,C2906,全馬データ!$D$2:$D$50000,E2906,全馬データ!$K$2:$K$50000,"&lt;&gt;")=0,"",SUMIFS(全馬データ!$K$2:$K$50000,全馬データ!$A$2:$A$50000,A2906,全馬データ!$B$2:$B$50000,B2906,全馬データ!$C$2:$C$50000,C2906,全馬データ!$D$2:$D$50000,E2906)))</f>
        <v/>
      </c>
      <c r="AP2906" s="8" t="str">
        <f aca="false">IF(A2906="","",IF(AO2906="","欠損",IF(AO2906&lt;=1.1,"1.0～1.1",IF(AO2906&lt;1.3,"1.2",IF(AO2906&lt;1.5,"1.3～1.4",IF(AO2906&lt;2,"1.5～1.9","2.0以上"))))))</f>
        <v/>
      </c>
      <c r="AQ2906" s="8" t="str">
        <f aca="false">IF(A2906="","",IF(ISNUMBER(SEARCH("2歳",Z2906)),"2歳戦",IF(ISNUMBER(SEARCH("3歳未勝利",Z2906)),"3歳未勝利",IF(ISNUMBER(SEARCH("未勝利",Z2906)),"その他未勝利",IF(ISNUMBER(SEARCH("G1",Z2906)),"G1",IF(ISNUMBER(SEARCH("G2",Z2906)),"G2",IF(ISNUMBER(SEARCH("G3",Z2906)),"G3",IF(ISNUMBER(SEARCH("古馬条件",Z2906)),"古馬条件戦",IF(ISNUMBER(SEARCH("重賞",Z2906)),"重賞","分類不能")))))))))</f>
        <v/>
      </c>
    </row>
    <row r="2907" customFormat="false" ht="15.75" hidden="false" customHeight="false" outlineLevel="0" collapsed="false">
      <c r="AO2907" s="8" t="str">
        <f aca="false">IF(A2907="","",IF(COUNTIFS(全馬データ!$A$2:$A$50000,A2907,全馬データ!$B$2:$B$50000,B2907,全馬データ!$C$2:$C$50000,C2907,全馬データ!$D$2:$D$50000,E2907,全馬データ!$K$2:$K$50000,"&lt;&gt;")=0,"",SUMIFS(全馬データ!$K$2:$K$50000,全馬データ!$A$2:$A$50000,A2907,全馬データ!$B$2:$B$50000,B2907,全馬データ!$C$2:$C$50000,C2907,全馬データ!$D$2:$D$50000,E2907)))</f>
        <v/>
      </c>
      <c r="AP2907" s="8" t="str">
        <f aca="false">IF(A2907="","",IF(AO2907="","欠損",IF(AO2907&lt;=1.1,"1.0～1.1",IF(AO2907&lt;1.3,"1.2",IF(AO2907&lt;1.5,"1.3～1.4",IF(AO2907&lt;2,"1.5～1.9","2.0以上"))))))</f>
        <v/>
      </c>
      <c r="AQ2907" s="8" t="str">
        <f aca="false">IF(A2907="","",IF(ISNUMBER(SEARCH("2歳",Z2907)),"2歳戦",IF(ISNUMBER(SEARCH("3歳未勝利",Z2907)),"3歳未勝利",IF(ISNUMBER(SEARCH("未勝利",Z2907)),"その他未勝利",IF(ISNUMBER(SEARCH("G1",Z2907)),"G1",IF(ISNUMBER(SEARCH("G2",Z2907)),"G2",IF(ISNUMBER(SEARCH("G3",Z2907)),"G3",IF(ISNUMBER(SEARCH("古馬条件",Z2907)),"古馬条件戦",IF(ISNUMBER(SEARCH("重賞",Z2907)),"重賞","分類不能")))))))))</f>
        <v/>
      </c>
    </row>
    <row r="2908" customFormat="false" ht="15.75" hidden="false" customHeight="false" outlineLevel="0" collapsed="false">
      <c r="AO2908" s="8" t="str">
        <f aca="false">IF(A2908="","",IF(COUNTIFS(全馬データ!$A$2:$A$50000,A2908,全馬データ!$B$2:$B$50000,B2908,全馬データ!$C$2:$C$50000,C2908,全馬データ!$D$2:$D$50000,E2908,全馬データ!$K$2:$K$50000,"&lt;&gt;")=0,"",SUMIFS(全馬データ!$K$2:$K$50000,全馬データ!$A$2:$A$50000,A2908,全馬データ!$B$2:$B$50000,B2908,全馬データ!$C$2:$C$50000,C2908,全馬データ!$D$2:$D$50000,E2908)))</f>
        <v/>
      </c>
      <c r="AP2908" s="8" t="str">
        <f aca="false">IF(A2908="","",IF(AO2908="","欠損",IF(AO2908&lt;=1.1,"1.0～1.1",IF(AO2908&lt;1.3,"1.2",IF(AO2908&lt;1.5,"1.3～1.4",IF(AO2908&lt;2,"1.5～1.9","2.0以上"))))))</f>
        <v/>
      </c>
      <c r="AQ2908" s="8" t="str">
        <f aca="false">IF(A2908="","",IF(ISNUMBER(SEARCH("2歳",Z2908)),"2歳戦",IF(ISNUMBER(SEARCH("3歳未勝利",Z2908)),"3歳未勝利",IF(ISNUMBER(SEARCH("未勝利",Z2908)),"その他未勝利",IF(ISNUMBER(SEARCH("G1",Z2908)),"G1",IF(ISNUMBER(SEARCH("G2",Z2908)),"G2",IF(ISNUMBER(SEARCH("G3",Z2908)),"G3",IF(ISNUMBER(SEARCH("古馬条件",Z2908)),"古馬条件戦",IF(ISNUMBER(SEARCH("重賞",Z2908)),"重賞","分類不能")))))))))</f>
        <v/>
      </c>
    </row>
    <row r="2909" customFormat="false" ht="15.75" hidden="false" customHeight="false" outlineLevel="0" collapsed="false">
      <c r="AO2909" s="8" t="str">
        <f aca="false">IF(A2909="","",IF(COUNTIFS(全馬データ!$A$2:$A$50000,A2909,全馬データ!$B$2:$B$50000,B2909,全馬データ!$C$2:$C$50000,C2909,全馬データ!$D$2:$D$50000,E2909,全馬データ!$K$2:$K$50000,"&lt;&gt;")=0,"",SUMIFS(全馬データ!$K$2:$K$50000,全馬データ!$A$2:$A$50000,A2909,全馬データ!$B$2:$B$50000,B2909,全馬データ!$C$2:$C$50000,C2909,全馬データ!$D$2:$D$50000,E2909)))</f>
        <v/>
      </c>
      <c r="AP2909" s="8" t="str">
        <f aca="false">IF(A2909="","",IF(AO2909="","欠損",IF(AO2909&lt;=1.1,"1.0～1.1",IF(AO2909&lt;1.3,"1.2",IF(AO2909&lt;1.5,"1.3～1.4",IF(AO2909&lt;2,"1.5～1.9","2.0以上"))))))</f>
        <v/>
      </c>
      <c r="AQ2909" s="8" t="str">
        <f aca="false">IF(A2909="","",IF(ISNUMBER(SEARCH("2歳",Z2909)),"2歳戦",IF(ISNUMBER(SEARCH("3歳未勝利",Z2909)),"3歳未勝利",IF(ISNUMBER(SEARCH("未勝利",Z2909)),"その他未勝利",IF(ISNUMBER(SEARCH("G1",Z2909)),"G1",IF(ISNUMBER(SEARCH("G2",Z2909)),"G2",IF(ISNUMBER(SEARCH("G3",Z2909)),"G3",IF(ISNUMBER(SEARCH("古馬条件",Z2909)),"古馬条件戦",IF(ISNUMBER(SEARCH("重賞",Z2909)),"重賞","分類不能")))))))))</f>
        <v/>
      </c>
    </row>
    <row r="2910" customFormat="false" ht="15.75" hidden="false" customHeight="false" outlineLevel="0" collapsed="false">
      <c r="AO2910" s="8" t="str">
        <f aca="false">IF(A2910="","",IF(COUNTIFS(全馬データ!$A$2:$A$50000,A2910,全馬データ!$B$2:$B$50000,B2910,全馬データ!$C$2:$C$50000,C2910,全馬データ!$D$2:$D$50000,E2910,全馬データ!$K$2:$K$50000,"&lt;&gt;")=0,"",SUMIFS(全馬データ!$K$2:$K$50000,全馬データ!$A$2:$A$50000,A2910,全馬データ!$B$2:$B$50000,B2910,全馬データ!$C$2:$C$50000,C2910,全馬データ!$D$2:$D$50000,E2910)))</f>
        <v/>
      </c>
      <c r="AP2910" s="8" t="str">
        <f aca="false">IF(A2910="","",IF(AO2910="","欠損",IF(AO2910&lt;=1.1,"1.0～1.1",IF(AO2910&lt;1.3,"1.2",IF(AO2910&lt;1.5,"1.3～1.4",IF(AO2910&lt;2,"1.5～1.9","2.0以上"))))))</f>
        <v/>
      </c>
      <c r="AQ2910" s="8" t="str">
        <f aca="false">IF(A2910="","",IF(ISNUMBER(SEARCH("2歳",Z2910)),"2歳戦",IF(ISNUMBER(SEARCH("3歳未勝利",Z2910)),"3歳未勝利",IF(ISNUMBER(SEARCH("未勝利",Z2910)),"その他未勝利",IF(ISNUMBER(SEARCH("G1",Z2910)),"G1",IF(ISNUMBER(SEARCH("G2",Z2910)),"G2",IF(ISNUMBER(SEARCH("G3",Z2910)),"G3",IF(ISNUMBER(SEARCH("古馬条件",Z2910)),"古馬条件戦",IF(ISNUMBER(SEARCH("重賞",Z2910)),"重賞","分類不能")))))))))</f>
        <v/>
      </c>
    </row>
    <row r="2911" customFormat="false" ht="15.75" hidden="false" customHeight="false" outlineLevel="0" collapsed="false">
      <c r="AO2911" s="8" t="str">
        <f aca="false">IF(A2911="","",IF(COUNTIFS(全馬データ!$A$2:$A$50000,A2911,全馬データ!$B$2:$B$50000,B2911,全馬データ!$C$2:$C$50000,C2911,全馬データ!$D$2:$D$50000,E2911,全馬データ!$K$2:$K$50000,"&lt;&gt;")=0,"",SUMIFS(全馬データ!$K$2:$K$50000,全馬データ!$A$2:$A$50000,A2911,全馬データ!$B$2:$B$50000,B2911,全馬データ!$C$2:$C$50000,C2911,全馬データ!$D$2:$D$50000,E2911)))</f>
        <v/>
      </c>
      <c r="AP2911" s="8" t="str">
        <f aca="false">IF(A2911="","",IF(AO2911="","欠損",IF(AO2911&lt;=1.1,"1.0～1.1",IF(AO2911&lt;1.3,"1.2",IF(AO2911&lt;1.5,"1.3～1.4",IF(AO2911&lt;2,"1.5～1.9","2.0以上"))))))</f>
        <v/>
      </c>
      <c r="AQ2911" s="8" t="str">
        <f aca="false">IF(A2911="","",IF(ISNUMBER(SEARCH("2歳",Z2911)),"2歳戦",IF(ISNUMBER(SEARCH("3歳未勝利",Z2911)),"3歳未勝利",IF(ISNUMBER(SEARCH("未勝利",Z2911)),"その他未勝利",IF(ISNUMBER(SEARCH("G1",Z2911)),"G1",IF(ISNUMBER(SEARCH("G2",Z2911)),"G2",IF(ISNUMBER(SEARCH("G3",Z2911)),"G3",IF(ISNUMBER(SEARCH("古馬条件",Z2911)),"古馬条件戦",IF(ISNUMBER(SEARCH("重賞",Z2911)),"重賞","分類不能")))))))))</f>
        <v/>
      </c>
    </row>
    <row r="2912" customFormat="false" ht="15.75" hidden="false" customHeight="false" outlineLevel="0" collapsed="false">
      <c r="AO2912" s="8" t="str">
        <f aca="false">IF(A2912="","",IF(COUNTIFS(全馬データ!$A$2:$A$50000,A2912,全馬データ!$B$2:$B$50000,B2912,全馬データ!$C$2:$C$50000,C2912,全馬データ!$D$2:$D$50000,E2912,全馬データ!$K$2:$K$50000,"&lt;&gt;")=0,"",SUMIFS(全馬データ!$K$2:$K$50000,全馬データ!$A$2:$A$50000,A2912,全馬データ!$B$2:$B$50000,B2912,全馬データ!$C$2:$C$50000,C2912,全馬データ!$D$2:$D$50000,E2912)))</f>
        <v/>
      </c>
      <c r="AP2912" s="8" t="str">
        <f aca="false">IF(A2912="","",IF(AO2912="","欠損",IF(AO2912&lt;=1.1,"1.0～1.1",IF(AO2912&lt;1.3,"1.2",IF(AO2912&lt;1.5,"1.3～1.4",IF(AO2912&lt;2,"1.5～1.9","2.0以上"))))))</f>
        <v/>
      </c>
      <c r="AQ2912" s="8" t="str">
        <f aca="false">IF(A2912="","",IF(ISNUMBER(SEARCH("2歳",Z2912)),"2歳戦",IF(ISNUMBER(SEARCH("3歳未勝利",Z2912)),"3歳未勝利",IF(ISNUMBER(SEARCH("未勝利",Z2912)),"その他未勝利",IF(ISNUMBER(SEARCH("G1",Z2912)),"G1",IF(ISNUMBER(SEARCH("G2",Z2912)),"G2",IF(ISNUMBER(SEARCH("G3",Z2912)),"G3",IF(ISNUMBER(SEARCH("古馬条件",Z2912)),"古馬条件戦",IF(ISNUMBER(SEARCH("重賞",Z2912)),"重賞","分類不能")))))))))</f>
        <v/>
      </c>
    </row>
    <row r="2913" customFormat="false" ht="15.75" hidden="false" customHeight="false" outlineLevel="0" collapsed="false">
      <c r="AO2913" s="8" t="str">
        <f aca="false">IF(A2913="","",IF(COUNTIFS(全馬データ!$A$2:$A$50000,A2913,全馬データ!$B$2:$B$50000,B2913,全馬データ!$C$2:$C$50000,C2913,全馬データ!$D$2:$D$50000,E2913,全馬データ!$K$2:$K$50000,"&lt;&gt;")=0,"",SUMIFS(全馬データ!$K$2:$K$50000,全馬データ!$A$2:$A$50000,A2913,全馬データ!$B$2:$B$50000,B2913,全馬データ!$C$2:$C$50000,C2913,全馬データ!$D$2:$D$50000,E2913)))</f>
        <v/>
      </c>
      <c r="AP2913" s="8" t="str">
        <f aca="false">IF(A2913="","",IF(AO2913="","欠損",IF(AO2913&lt;=1.1,"1.0～1.1",IF(AO2913&lt;1.3,"1.2",IF(AO2913&lt;1.5,"1.3～1.4",IF(AO2913&lt;2,"1.5～1.9","2.0以上"))))))</f>
        <v/>
      </c>
      <c r="AQ2913" s="8" t="str">
        <f aca="false">IF(A2913="","",IF(ISNUMBER(SEARCH("2歳",Z2913)),"2歳戦",IF(ISNUMBER(SEARCH("3歳未勝利",Z2913)),"3歳未勝利",IF(ISNUMBER(SEARCH("未勝利",Z2913)),"その他未勝利",IF(ISNUMBER(SEARCH("G1",Z2913)),"G1",IF(ISNUMBER(SEARCH("G2",Z2913)),"G2",IF(ISNUMBER(SEARCH("G3",Z2913)),"G3",IF(ISNUMBER(SEARCH("古馬条件",Z2913)),"古馬条件戦",IF(ISNUMBER(SEARCH("重賞",Z2913)),"重賞","分類不能")))))))))</f>
        <v/>
      </c>
    </row>
    <row r="2914" customFormat="false" ht="15.75" hidden="false" customHeight="false" outlineLevel="0" collapsed="false">
      <c r="AO2914" s="8" t="str">
        <f aca="false">IF(A2914="","",IF(COUNTIFS(全馬データ!$A$2:$A$50000,A2914,全馬データ!$B$2:$B$50000,B2914,全馬データ!$C$2:$C$50000,C2914,全馬データ!$D$2:$D$50000,E2914,全馬データ!$K$2:$K$50000,"&lt;&gt;")=0,"",SUMIFS(全馬データ!$K$2:$K$50000,全馬データ!$A$2:$A$50000,A2914,全馬データ!$B$2:$B$50000,B2914,全馬データ!$C$2:$C$50000,C2914,全馬データ!$D$2:$D$50000,E2914)))</f>
        <v/>
      </c>
      <c r="AP2914" s="8" t="str">
        <f aca="false">IF(A2914="","",IF(AO2914="","欠損",IF(AO2914&lt;=1.1,"1.0～1.1",IF(AO2914&lt;1.3,"1.2",IF(AO2914&lt;1.5,"1.3～1.4",IF(AO2914&lt;2,"1.5～1.9","2.0以上"))))))</f>
        <v/>
      </c>
      <c r="AQ2914" s="8" t="str">
        <f aca="false">IF(A2914="","",IF(ISNUMBER(SEARCH("2歳",Z2914)),"2歳戦",IF(ISNUMBER(SEARCH("3歳未勝利",Z2914)),"3歳未勝利",IF(ISNUMBER(SEARCH("未勝利",Z2914)),"その他未勝利",IF(ISNUMBER(SEARCH("G1",Z2914)),"G1",IF(ISNUMBER(SEARCH("G2",Z2914)),"G2",IF(ISNUMBER(SEARCH("G3",Z2914)),"G3",IF(ISNUMBER(SEARCH("古馬条件",Z2914)),"古馬条件戦",IF(ISNUMBER(SEARCH("重賞",Z2914)),"重賞","分類不能")))))))))</f>
        <v/>
      </c>
    </row>
    <row r="2915" customFormat="false" ht="15.75" hidden="false" customHeight="false" outlineLevel="0" collapsed="false">
      <c r="AO2915" s="8" t="str">
        <f aca="false">IF(A2915="","",IF(COUNTIFS(全馬データ!$A$2:$A$50000,A2915,全馬データ!$B$2:$B$50000,B2915,全馬データ!$C$2:$C$50000,C2915,全馬データ!$D$2:$D$50000,E2915,全馬データ!$K$2:$K$50000,"&lt;&gt;")=0,"",SUMIFS(全馬データ!$K$2:$K$50000,全馬データ!$A$2:$A$50000,A2915,全馬データ!$B$2:$B$50000,B2915,全馬データ!$C$2:$C$50000,C2915,全馬データ!$D$2:$D$50000,E2915)))</f>
        <v/>
      </c>
      <c r="AP2915" s="8" t="str">
        <f aca="false">IF(A2915="","",IF(AO2915="","欠損",IF(AO2915&lt;=1.1,"1.0～1.1",IF(AO2915&lt;1.3,"1.2",IF(AO2915&lt;1.5,"1.3～1.4",IF(AO2915&lt;2,"1.5～1.9","2.0以上"))))))</f>
        <v/>
      </c>
      <c r="AQ2915" s="8" t="str">
        <f aca="false">IF(A2915="","",IF(ISNUMBER(SEARCH("2歳",Z2915)),"2歳戦",IF(ISNUMBER(SEARCH("3歳未勝利",Z2915)),"3歳未勝利",IF(ISNUMBER(SEARCH("未勝利",Z2915)),"その他未勝利",IF(ISNUMBER(SEARCH("G1",Z2915)),"G1",IF(ISNUMBER(SEARCH("G2",Z2915)),"G2",IF(ISNUMBER(SEARCH("G3",Z2915)),"G3",IF(ISNUMBER(SEARCH("古馬条件",Z2915)),"古馬条件戦",IF(ISNUMBER(SEARCH("重賞",Z2915)),"重賞","分類不能")))))))))</f>
        <v/>
      </c>
    </row>
    <row r="2916" customFormat="false" ht="15.75" hidden="false" customHeight="false" outlineLevel="0" collapsed="false">
      <c r="AO2916" s="8" t="str">
        <f aca="false">IF(A2916="","",IF(COUNTIFS(全馬データ!$A$2:$A$50000,A2916,全馬データ!$B$2:$B$50000,B2916,全馬データ!$C$2:$C$50000,C2916,全馬データ!$D$2:$D$50000,E2916,全馬データ!$K$2:$K$50000,"&lt;&gt;")=0,"",SUMIFS(全馬データ!$K$2:$K$50000,全馬データ!$A$2:$A$50000,A2916,全馬データ!$B$2:$B$50000,B2916,全馬データ!$C$2:$C$50000,C2916,全馬データ!$D$2:$D$50000,E2916)))</f>
        <v/>
      </c>
      <c r="AP2916" s="8" t="str">
        <f aca="false">IF(A2916="","",IF(AO2916="","欠損",IF(AO2916&lt;=1.1,"1.0～1.1",IF(AO2916&lt;1.3,"1.2",IF(AO2916&lt;1.5,"1.3～1.4",IF(AO2916&lt;2,"1.5～1.9","2.0以上"))))))</f>
        <v/>
      </c>
      <c r="AQ2916" s="8" t="str">
        <f aca="false">IF(A2916="","",IF(ISNUMBER(SEARCH("2歳",Z2916)),"2歳戦",IF(ISNUMBER(SEARCH("3歳未勝利",Z2916)),"3歳未勝利",IF(ISNUMBER(SEARCH("未勝利",Z2916)),"その他未勝利",IF(ISNUMBER(SEARCH("G1",Z2916)),"G1",IF(ISNUMBER(SEARCH("G2",Z2916)),"G2",IF(ISNUMBER(SEARCH("G3",Z2916)),"G3",IF(ISNUMBER(SEARCH("古馬条件",Z2916)),"古馬条件戦",IF(ISNUMBER(SEARCH("重賞",Z2916)),"重賞","分類不能")))))))))</f>
        <v/>
      </c>
    </row>
    <row r="2917" customFormat="false" ht="15.75" hidden="false" customHeight="false" outlineLevel="0" collapsed="false">
      <c r="AO2917" s="8" t="str">
        <f aca="false">IF(A2917="","",IF(COUNTIFS(全馬データ!$A$2:$A$50000,A2917,全馬データ!$B$2:$B$50000,B2917,全馬データ!$C$2:$C$50000,C2917,全馬データ!$D$2:$D$50000,E2917,全馬データ!$K$2:$K$50000,"&lt;&gt;")=0,"",SUMIFS(全馬データ!$K$2:$K$50000,全馬データ!$A$2:$A$50000,A2917,全馬データ!$B$2:$B$50000,B2917,全馬データ!$C$2:$C$50000,C2917,全馬データ!$D$2:$D$50000,E2917)))</f>
        <v/>
      </c>
      <c r="AP2917" s="8" t="str">
        <f aca="false">IF(A2917="","",IF(AO2917="","欠損",IF(AO2917&lt;=1.1,"1.0～1.1",IF(AO2917&lt;1.3,"1.2",IF(AO2917&lt;1.5,"1.3～1.4",IF(AO2917&lt;2,"1.5～1.9","2.0以上"))))))</f>
        <v/>
      </c>
      <c r="AQ2917" s="8" t="str">
        <f aca="false">IF(A2917="","",IF(ISNUMBER(SEARCH("2歳",Z2917)),"2歳戦",IF(ISNUMBER(SEARCH("3歳未勝利",Z2917)),"3歳未勝利",IF(ISNUMBER(SEARCH("未勝利",Z2917)),"その他未勝利",IF(ISNUMBER(SEARCH("G1",Z2917)),"G1",IF(ISNUMBER(SEARCH("G2",Z2917)),"G2",IF(ISNUMBER(SEARCH("G3",Z2917)),"G3",IF(ISNUMBER(SEARCH("古馬条件",Z2917)),"古馬条件戦",IF(ISNUMBER(SEARCH("重賞",Z2917)),"重賞","分類不能")))))))))</f>
        <v/>
      </c>
    </row>
    <row r="2918" customFormat="false" ht="15.75" hidden="false" customHeight="false" outlineLevel="0" collapsed="false">
      <c r="AO2918" s="8" t="str">
        <f aca="false">IF(A2918="","",IF(COUNTIFS(全馬データ!$A$2:$A$50000,A2918,全馬データ!$B$2:$B$50000,B2918,全馬データ!$C$2:$C$50000,C2918,全馬データ!$D$2:$D$50000,E2918,全馬データ!$K$2:$K$50000,"&lt;&gt;")=0,"",SUMIFS(全馬データ!$K$2:$K$50000,全馬データ!$A$2:$A$50000,A2918,全馬データ!$B$2:$B$50000,B2918,全馬データ!$C$2:$C$50000,C2918,全馬データ!$D$2:$D$50000,E2918)))</f>
        <v/>
      </c>
      <c r="AP2918" s="8" t="str">
        <f aca="false">IF(A2918="","",IF(AO2918="","欠損",IF(AO2918&lt;=1.1,"1.0～1.1",IF(AO2918&lt;1.3,"1.2",IF(AO2918&lt;1.5,"1.3～1.4",IF(AO2918&lt;2,"1.5～1.9","2.0以上"))))))</f>
        <v/>
      </c>
      <c r="AQ2918" s="8" t="str">
        <f aca="false">IF(A2918="","",IF(ISNUMBER(SEARCH("2歳",Z2918)),"2歳戦",IF(ISNUMBER(SEARCH("3歳未勝利",Z2918)),"3歳未勝利",IF(ISNUMBER(SEARCH("未勝利",Z2918)),"その他未勝利",IF(ISNUMBER(SEARCH("G1",Z2918)),"G1",IF(ISNUMBER(SEARCH("G2",Z2918)),"G2",IF(ISNUMBER(SEARCH("G3",Z2918)),"G3",IF(ISNUMBER(SEARCH("古馬条件",Z2918)),"古馬条件戦",IF(ISNUMBER(SEARCH("重賞",Z2918)),"重賞","分類不能")))))))))</f>
        <v/>
      </c>
    </row>
    <row r="2919" customFormat="false" ht="15.75" hidden="false" customHeight="false" outlineLevel="0" collapsed="false">
      <c r="AO2919" s="8" t="str">
        <f aca="false">IF(A2919="","",IF(COUNTIFS(全馬データ!$A$2:$A$50000,A2919,全馬データ!$B$2:$B$50000,B2919,全馬データ!$C$2:$C$50000,C2919,全馬データ!$D$2:$D$50000,E2919,全馬データ!$K$2:$K$50000,"&lt;&gt;")=0,"",SUMIFS(全馬データ!$K$2:$K$50000,全馬データ!$A$2:$A$50000,A2919,全馬データ!$B$2:$B$50000,B2919,全馬データ!$C$2:$C$50000,C2919,全馬データ!$D$2:$D$50000,E2919)))</f>
        <v/>
      </c>
      <c r="AP2919" s="8" t="str">
        <f aca="false">IF(A2919="","",IF(AO2919="","欠損",IF(AO2919&lt;=1.1,"1.0～1.1",IF(AO2919&lt;1.3,"1.2",IF(AO2919&lt;1.5,"1.3～1.4",IF(AO2919&lt;2,"1.5～1.9","2.0以上"))))))</f>
        <v/>
      </c>
      <c r="AQ2919" s="8" t="str">
        <f aca="false">IF(A2919="","",IF(ISNUMBER(SEARCH("2歳",Z2919)),"2歳戦",IF(ISNUMBER(SEARCH("3歳未勝利",Z2919)),"3歳未勝利",IF(ISNUMBER(SEARCH("未勝利",Z2919)),"その他未勝利",IF(ISNUMBER(SEARCH("G1",Z2919)),"G1",IF(ISNUMBER(SEARCH("G2",Z2919)),"G2",IF(ISNUMBER(SEARCH("G3",Z2919)),"G3",IF(ISNUMBER(SEARCH("古馬条件",Z2919)),"古馬条件戦",IF(ISNUMBER(SEARCH("重賞",Z2919)),"重賞","分類不能")))))))))</f>
        <v/>
      </c>
    </row>
    <row r="2920" customFormat="false" ht="15.75" hidden="false" customHeight="false" outlineLevel="0" collapsed="false">
      <c r="AO2920" s="8" t="str">
        <f aca="false">IF(A2920="","",IF(COUNTIFS(全馬データ!$A$2:$A$50000,A2920,全馬データ!$B$2:$B$50000,B2920,全馬データ!$C$2:$C$50000,C2920,全馬データ!$D$2:$D$50000,E2920,全馬データ!$K$2:$K$50000,"&lt;&gt;")=0,"",SUMIFS(全馬データ!$K$2:$K$50000,全馬データ!$A$2:$A$50000,A2920,全馬データ!$B$2:$B$50000,B2920,全馬データ!$C$2:$C$50000,C2920,全馬データ!$D$2:$D$50000,E2920)))</f>
        <v/>
      </c>
      <c r="AP2920" s="8" t="str">
        <f aca="false">IF(A2920="","",IF(AO2920="","欠損",IF(AO2920&lt;=1.1,"1.0～1.1",IF(AO2920&lt;1.3,"1.2",IF(AO2920&lt;1.5,"1.3～1.4",IF(AO2920&lt;2,"1.5～1.9","2.0以上"))))))</f>
        <v/>
      </c>
      <c r="AQ2920" s="8" t="str">
        <f aca="false">IF(A2920="","",IF(ISNUMBER(SEARCH("2歳",Z2920)),"2歳戦",IF(ISNUMBER(SEARCH("3歳未勝利",Z2920)),"3歳未勝利",IF(ISNUMBER(SEARCH("未勝利",Z2920)),"その他未勝利",IF(ISNUMBER(SEARCH("G1",Z2920)),"G1",IF(ISNUMBER(SEARCH("G2",Z2920)),"G2",IF(ISNUMBER(SEARCH("G3",Z2920)),"G3",IF(ISNUMBER(SEARCH("古馬条件",Z2920)),"古馬条件戦",IF(ISNUMBER(SEARCH("重賞",Z2920)),"重賞","分類不能")))))))))</f>
        <v/>
      </c>
    </row>
    <row r="2921" customFormat="false" ht="15.75" hidden="false" customHeight="false" outlineLevel="0" collapsed="false">
      <c r="AO2921" s="8" t="str">
        <f aca="false">IF(A2921="","",IF(COUNTIFS(全馬データ!$A$2:$A$50000,A2921,全馬データ!$B$2:$B$50000,B2921,全馬データ!$C$2:$C$50000,C2921,全馬データ!$D$2:$D$50000,E2921,全馬データ!$K$2:$K$50000,"&lt;&gt;")=0,"",SUMIFS(全馬データ!$K$2:$K$50000,全馬データ!$A$2:$A$50000,A2921,全馬データ!$B$2:$B$50000,B2921,全馬データ!$C$2:$C$50000,C2921,全馬データ!$D$2:$D$50000,E2921)))</f>
        <v/>
      </c>
      <c r="AP2921" s="8" t="str">
        <f aca="false">IF(A2921="","",IF(AO2921="","欠損",IF(AO2921&lt;=1.1,"1.0～1.1",IF(AO2921&lt;1.3,"1.2",IF(AO2921&lt;1.5,"1.3～1.4",IF(AO2921&lt;2,"1.5～1.9","2.0以上"))))))</f>
        <v/>
      </c>
      <c r="AQ2921" s="8" t="str">
        <f aca="false">IF(A2921="","",IF(ISNUMBER(SEARCH("2歳",Z2921)),"2歳戦",IF(ISNUMBER(SEARCH("3歳未勝利",Z2921)),"3歳未勝利",IF(ISNUMBER(SEARCH("未勝利",Z2921)),"その他未勝利",IF(ISNUMBER(SEARCH("G1",Z2921)),"G1",IF(ISNUMBER(SEARCH("G2",Z2921)),"G2",IF(ISNUMBER(SEARCH("G3",Z2921)),"G3",IF(ISNUMBER(SEARCH("古馬条件",Z2921)),"古馬条件戦",IF(ISNUMBER(SEARCH("重賞",Z2921)),"重賞","分類不能")))))))))</f>
        <v/>
      </c>
    </row>
    <row r="2922" customFormat="false" ht="15.75" hidden="false" customHeight="false" outlineLevel="0" collapsed="false">
      <c r="AO2922" s="8" t="str">
        <f aca="false">IF(A2922="","",IF(COUNTIFS(全馬データ!$A$2:$A$50000,A2922,全馬データ!$B$2:$B$50000,B2922,全馬データ!$C$2:$C$50000,C2922,全馬データ!$D$2:$D$50000,E2922,全馬データ!$K$2:$K$50000,"&lt;&gt;")=0,"",SUMIFS(全馬データ!$K$2:$K$50000,全馬データ!$A$2:$A$50000,A2922,全馬データ!$B$2:$B$50000,B2922,全馬データ!$C$2:$C$50000,C2922,全馬データ!$D$2:$D$50000,E2922)))</f>
        <v/>
      </c>
      <c r="AP2922" s="8" t="str">
        <f aca="false">IF(A2922="","",IF(AO2922="","欠損",IF(AO2922&lt;=1.1,"1.0～1.1",IF(AO2922&lt;1.3,"1.2",IF(AO2922&lt;1.5,"1.3～1.4",IF(AO2922&lt;2,"1.5～1.9","2.0以上"))))))</f>
        <v/>
      </c>
      <c r="AQ2922" s="8" t="str">
        <f aca="false">IF(A2922="","",IF(ISNUMBER(SEARCH("2歳",Z2922)),"2歳戦",IF(ISNUMBER(SEARCH("3歳未勝利",Z2922)),"3歳未勝利",IF(ISNUMBER(SEARCH("未勝利",Z2922)),"その他未勝利",IF(ISNUMBER(SEARCH("G1",Z2922)),"G1",IF(ISNUMBER(SEARCH("G2",Z2922)),"G2",IF(ISNUMBER(SEARCH("G3",Z2922)),"G3",IF(ISNUMBER(SEARCH("古馬条件",Z2922)),"古馬条件戦",IF(ISNUMBER(SEARCH("重賞",Z2922)),"重賞","分類不能")))))))))</f>
        <v/>
      </c>
    </row>
    <row r="2923" customFormat="false" ht="15.75" hidden="false" customHeight="false" outlineLevel="0" collapsed="false">
      <c r="AO2923" s="8" t="str">
        <f aca="false">IF(A2923="","",IF(COUNTIFS(全馬データ!$A$2:$A$50000,A2923,全馬データ!$B$2:$B$50000,B2923,全馬データ!$C$2:$C$50000,C2923,全馬データ!$D$2:$D$50000,E2923,全馬データ!$K$2:$K$50000,"&lt;&gt;")=0,"",SUMIFS(全馬データ!$K$2:$K$50000,全馬データ!$A$2:$A$50000,A2923,全馬データ!$B$2:$B$50000,B2923,全馬データ!$C$2:$C$50000,C2923,全馬データ!$D$2:$D$50000,E2923)))</f>
        <v/>
      </c>
      <c r="AP2923" s="8" t="str">
        <f aca="false">IF(A2923="","",IF(AO2923="","欠損",IF(AO2923&lt;=1.1,"1.0～1.1",IF(AO2923&lt;1.3,"1.2",IF(AO2923&lt;1.5,"1.3～1.4",IF(AO2923&lt;2,"1.5～1.9","2.0以上"))))))</f>
        <v/>
      </c>
      <c r="AQ2923" s="8" t="str">
        <f aca="false">IF(A2923="","",IF(ISNUMBER(SEARCH("2歳",Z2923)),"2歳戦",IF(ISNUMBER(SEARCH("3歳未勝利",Z2923)),"3歳未勝利",IF(ISNUMBER(SEARCH("未勝利",Z2923)),"その他未勝利",IF(ISNUMBER(SEARCH("G1",Z2923)),"G1",IF(ISNUMBER(SEARCH("G2",Z2923)),"G2",IF(ISNUMBER(SEARCH("G3",Z2923)),"G3",IF(ISNUMBER(SEARCH("古馬条件",Z2923)),"古馬条件戦",IF(ISNUMBER(SEARCH("重賞",Z2923)),"重賞","分類不能")))))))))</f>
        <v/>
      </c>
    </row>
    <row r="2924" customFormat="false" ht="15.75" hidden="false" customHeight="false" outlineLevel="0" collapsed="false">
      <c r="AO2924" s="8" t="str">
        <f aca="false">IF(A2924="","",IF(COUNTIFS(全馬データ!$A$2:$A$50000,A2924,全馬データ!$B$2:$B$50000,B2924,全馬データ!$C$2:$C$50000,C2924,全馬データ!$D$2:$D$50000,E2924,全馬データ!$K$2:$K$50000,"&lt;&gt;")=0,"",SUMIFS(全馬データ!$K$2:$K$50000,全馬データ!$A$2:$A$50000,A2924,全馬データ!$B$2:$B$50000,B2924,全馬データ!$C$2:$C$50000,C2924,全馬データ!$D$2:$D$50000,E2924)))</f>
        <v/>
      </c>
      <c r="AP2924" s="8" t="str">
        <f aca="false">IF(A2924="","",IF(AO2924="","欠損",IF(AO2924&lt;=1.1,"1.0～1.1",IF(AO2924&lt;1.3,"1.2",IF(AO2924&lt;1.5,"1.3～1.4",IF(AO2924&lt;2,"1.5～1.9","2.0以上"))))))</f>
        <v/>
      </c>
      <c r="AQ2924" s="8" t="str">
        <f aca="false">IF(A2924="","",IF(ISNUMBER(SEARCH("2歳",Z2924)),"2歳戦",IF(ISNUMBER(SEARCH("3歳未勝利",Z2924)),"3歳未勝利",IF(ISNUMBER(SEARCH("未勝利",Z2924)),"その他未勝利",IF(ISNUMBER(SEARCH("G1",Z2924)),"G1",IF(ISNUMBER(SEARCH("G2",Z2924)),"G2",IF(ISNUMBER(SEARCH("G3",Z2924)),"G3",IF(ISNUMBER(SEARCH("古馬条件",Z2924)),"古馬条件戦",IF(ISNUMBER(SEARCH("重賞",Z2924)),"重賞","分類不能")))))))))</f>
        <v/>
      </c>
    </row>
    <row r="2925" customFormat="false" ht="15.75" hidden="false" customHeight="false" outlineLevel="0" collapsed="false">
      <c r="AO2925" s="8" t="str">
        <f aca="false">IF(A2925="","",IF(COUNTIFS(全馬データ!$A$2:$A$50000,A2925,全馬データ!$B$2:$B$50000,B2925,全馬データ!$C$2:$C$50000,C2925,全馬データ!$D$2:$D$50000,E2925,全馬データ!$K$2:$K$50000,"&lt;&gt;")=0,"",SUMIFS(全馬データ!$K$2:$K$50000,全馬データ!$A$2:$A$50000,A2925,全馬データ!$B$2:$B$50000,B2925,全馬データ!$C$2:$C$50000,C2925,全馬データ!$D$2:$D$50000,E2925)))</f>
        <v/>
      </c>
      <c r="AP2925" s="8" t="str">
        <f aca="false">IF(A2925="","",IF(AO2925="","欠損",IF(AO2925&lt;=1.1,"1.0～1.1",IF(AO2925&lt;1.3,"1.2",IF(AO2925&lt;1.5,"1.3～1.4",IF(AO2925&lt;2,"1.5～1.9","2.0以上"))))))</f>
        <v/>
      </c>
      <c r="AQ2925" s="8" t="str">
        <f aca="false">IF(A2925="","",IF(ISNUMBER(SEARCH("2歳",Z2925)),"2歳戦",IF(ISNUMBER(SEARCH("3歳未勝利",Z2925)),"3歳未勝利",IF(ISNUMBER(SEARCH("未勝利",Z2925)),"その他未勝利",IF(ISNUMBER(SEARCH("G1",Z2925)),"G1",IF(ISNUMBER(SEARCH("G2",Z2925)),"G2",IF(ISNUMBER(SEARCH("G3",Z2925)),"G3",IF(ISNUMBER(SEARCH("古馬条件",Z2925)),"古馬条件戦",IF(ISNUMBER(SEARCH("重賞",Z2925)),"重賞","分類不能")))))))))</f>
        <v/>
      </c>
    </row>
    <row r="2926" customFormat="false" ht="15.75" hidden="false" customHeight="false" outlineLevel="0" collapsed="false">
      <c r="AO2926" s="8" t="str">
        <f aca="false">IF(A2926="","",IF(COUNTIFS(全馬データ!$A$2:$A$50000,A2926,全馬データ!$B$2:$B$50000,B2926,全馬データ!$C$2:$C$50000,C2926,全馬データ!$D$2:$D$50000,E2926,全馬データ!$K$2:$K$50000,"&lt;&gt;")=0,"",SUMIFS(全馬データ!$K$2:$K$50000,全馬データ!$A$2:$A$50000,A2926,全馬データ!$B$2:$B$50000,B2926,全馬データ!$C$2:$C$50000,C2926,全馬データ!$D$2:$D$50000,E2926)))</f>
        <v/>
      </c>
      <c r="AP2926" s="8" t="str">
        <f aca="false">IF(A2926="","",IF(AO2926="","欠損",IF(AO2926&lt;=1.1,"1.0～1.1",IF(AO2926&lt;1.3,"1.2",IF(AO2926&lt;1.5,"1.3～1.4",IF(AO2926&lt;2,"1.5～1.9","2.0以上"))))))</f>
        <v/>
      </c>
      <c r="AQ2926" s="8" t="str">
        <f aca="false">IF(A2926="","",IF(ISNUMBER(SEARCH("2歳",Z2926)),"2歳戦",IF(ISNUMBER(SEARCH("3歳未勝利",Z2926)),"3歳未勝利",IF(ISNUMBER(SEARCH("未勝利",Z2926)),"その他未勝利",IF(ISNUMBER(SEARCH("G1",Z2926)),"G1",IF(ISNUMBER(SEARCH("G2",Z2926)),"G2",IF(ISNUMBER(SEARCH("G3",Z2926)),"G3",IF(ISNUMBER(SEARCH("古馬条件",Z2926)),"古馬条件戦",IF(ISNUMBER(SEARCH("重賞",Z2926)),"重賞","分類不能")))))))))</f>
        <v/>
      </c>
    </row>
    <row r="2927" customFormat="false" ht="15.75" hidden="false" customHeight="false" outlineLevel="0" collapsed="false">
      <c r="AO2927" s="8" t="str">
        <f aca="false">IF(A2927="","",IF(COUNTIFS(全馬データ!$A$2:$A$50000,A2927,全馬データ!$B$2:$B$50000,B2927,全馬データ!$C$2:$C$50000,C2927,全馬データ!$D$2:$D$50000,E2927,全馬データ!$K$2:$K$50000,"&lt;&gt;")=0,"",SUMIFS(全馬データ!$K$2:$K$50000,全馬データ!$A$2:$A$50000,A2927,全馬データ!$B$2:$B$50000,B2927,全馬データ!$C$2:$C$50000,C2927,全馬データ!$D$2:$D$50000,E2927)))</f>
        <v/>
      </c>
      <c r="AP2927" s="8" t="str">
        <f aca="false">IF(A2927="","",IF(AO2927="","欠損",IF(AO2927&lt;=1.1,"1.0～1.1",IF(AO2927&lt;1.3,"1.2",IF(AO2927&lt;1.5,"1.3～1.4",IF(AO2927&lt;2,"1.5～1.9","2.0以上"))))))</f>
        <v/>
      </c>
      <c r="AQ2927" s="8" t="str">
        <f aca="false">IF(A2927="","",IF(ISNUMBER(SEARCH("2歳",Z2927)),"2歳戦",IF(ISNUMBER(SEARCH("3歳未勝利",Z2927)),"3歳未勝利",IF(ISNUMBER(SEARCH("未勝利",Z2927)),"その他未勝利",IF(ISNUMBER(SEARCH("G1",Z2927)),"G1",IF(ISNUMBER(SEARCH("G2",Z2927)),"G2",IF(ISNUMBER(SEARCH("G3",Z2927)),"G3",IF(ISNUMBER(SEARCH("古馬条件",Z2927)),"古馬条件戦",IF(ISNUMBER(SEARCH("重賞",Z2927)),"重賞","分類不能")))))))))</f>
        <v/>
      </c>
    </row>
    <row r="2928" customFormat="false" ht="15.75" hidden="false" customHeight="false" outlineLevel="0" collapsed="false">
      <c r="AO2928" s="8" t="str">
        <f aca="false">IF(A2928="","",IF(COUNTIFS(全馬データ!$A$2:$A$50000,A2928,全馬データ!$B$2:$B$50000,B2928,全馬データ!$C$2:$C$50000,C2928,全馬データ!$D$2:$D$50000,E2928,全馬データ!$K$2:$K$50000,"&lt;&gt;")=0,"",SUMIFS(全馬データ!$K$2:$K$50000,全馬データ!$A$2:$A$50000,A2928,全馬データ!$B$2:$B$50000,B2928,全馬データ!$C$2:$C$50000,C2928,全馬データ!$D$2:$D$50000,E2928)))</f>
        <v/>
      </c>
      <c r="AP2928" s="8" t="str">
        <f aca="false">IF(A2928="","",IF(AO2928="","欠損",IF(AO2928&lt;=1.1,"1.0～1.1",IF(AO2928&lt;1.3,"1.2",IF(AO2928&lt;1.5,"1.3～1.4",IF(AO2928&lt;2,"1.5～1.9","2.0以上"))))))</f>
        <v/>
      </c>
      <c r="AQ2928" s="8" t="str">
        <f aca="false">IF(A2928="","",IF(ISNUMBER(SEARCH("2歳",Z2928)),"2歳戦",IF(ISNUMBER(SEARCH("3歳未勝利",Z2928)),"3歳未勝利",IF(ISNUMBER(SEARCH("未勝利",Z2928)),"その他未勝利",IF(ISNUMBER(SEARCH("G1",Z2928)),"G1",IF(ISNUMBER(SEARCH("G2",Z2928)),"G2",IF(ISNUMBER(SEARCH("G3",Z2928)),"G3",IF(ISNUMBER(SEARCH("古馬条件",Z2928)),"古馬条件戦",IF(ISNUMBER(SEARCH("重賞",Z2928)),"重賞","分類不能")))))))))</f>
        <v/>
      </c>
    </row>
    <row r="2929" customFormat="false" ht="15.75" hidden="false" customHeight="false" outlineLevel="0" collapsed="false">
      <c r="AO2929" s="8" t="str">
        <f aca="false">IF(A2929="","",IF(COUNTIFS(全馬データ!$A$2:$A$50000,A2929,全馬データ!$B$2:$B$50000,B2929,全馬データ!$C$2:$C$50000,C2929,全馬データ!$D$2:$D$50000,E2929,全馬データ!$K$2:$K$50000,"&lt;&gt;")=0,"",SUMIFS(全馬データ!$K$2:$K$50000,全馬データ!$A$2:$A$50000,A2929,全馬データ!$B$2:$B$50000,B2929,全馬データ!$C$2:$C$50000,C2929,全馬データ!$D$2:$D$50000,E2929)))</f>
        <v/>
      </c>
      <c r="AP2929" s="8" t="str">
        <f aca="false">IF(A2929="","",IF(AO2929="","欠損",IF(AO2929&lt;=1.1,"1.0～1.1",IF(AO2929&lt;1.3,"1.2",IF(AO2929&lt;1.5,"1.3～1.4",IF(AO2929&lt;2,"1.5～1.9","2.0以上"))))))</f>
        <v/>
      </c>
      <c r="AQ2929" s="8" t="str">
        <f aca="false">IF(A2929="","",IF(ISNUMBER(SEARCH("2歳",Z2929)),"2歳戦",IF(ISNUMBER(SEARCH("3歳未勝利",Z2929)),"3歳未勝利",IF(ISNUMBER(SEARCH("未勝利",Z2929)),"その他未勝利",IF(ISNUMBER(SEARCH("G1",Z2929)),"G1",IF(ISNUMBER(SEARCH("G2",Z2929)),"G2",IF(ISNUMBER(SEARCH("G3",Z2929)),"G3",IF(ISNUMBER(SEARCH("古馬条件",Z2929)),"古馬条件戦",IF(ISNUMBER(SEARCH("重賞",Z2929)),"重賞","分類不能")))))))))</f>
        <v/>
      </c>
    </row>
    <row r="2930" customFormat="false" ht="15.75" hidden="false" customHeight="false" outlineLevel="0" collapsed="false">
      <c r="AO2930" s="8" t="str">
        <f aca="false">IF(A2930="","",IF(COUNTIFS(全馬データ!$A$2:$A$50000,A2930,全馬データ!$B$2:$B$50000,B2930,全馬データ!$C$2:$C$50000,C2930,全馬データ!$D$2:$D$50000,E2930,全馬データ!$K$2:$K$50000,"&lt;&gt;")=0,"",SUMIFS(全馬データ!$K$2:$K$50000,全馬データ!$A$2:$A$50000,A2930,全馬データ!$B$2:$B$50000,B2930,全馬データ!$C$2:$C$50000,C2930,全馬データ!$D$2:$D$50000,E2930)))</f>
        <v/>
      </c>
      <c r="AP2930" s="8" t="str">
        <f aca="false">IF(A2930="","",IF(AO2930="","欠損",IF(AO2930&lt;=1.1,"1.0～1.1",IF(AO2930&lt;1.3,"1.2",IF(AO2930&lt;1.5,"1.3～1.4",IF(AO2930&lt;2,"1.5～1.9","2.0以上"))))))</f>
        <v/>
      </c>
      <c r="AQ2930" s="8" t="str">
        <f aca="false">IF(A2930="","",IF(ISNUMBER(SEARCH("2歳",Z2930)),"2歳戦",IF(ISNUMBER(SEARCH("3歳未勝利",Z2930)),"3歳未勝利",IF(ISNUMBER(SEARCH("未勝利",Z2930)),"その他未勝利",IF(ISNUMBER(SEARCH("G1",Z2930)),"G1",IF(ISNUMBER(SEARCH("G2",Z2930)),"G2",IF(ISNUMBER(SEARCH("G3",Z2930)),"G3",IF(ISNUMBER(SEARCH("古馬条件",Z2930)),"古馬条件戦",IF(ISNUMBER(SEARCH("重賞",Z2930)),"重賞","分類不能")))))))))</f>
        <v/>
      </c>
    </row>
    <row r="2931" customFormat="false" ht="15.75" hidden="false" customHeight="false" outlineLevel="0" collapsed="false">
      <c r="AO2931" s="8" t="str">
        <f aca="false">IF(A2931="","",IF(COUNTIFS(全馬データ!$A$2:$A$50000,A2931,全馬データ!$B$2:$B$50000,B2931,全馬データ!$C$2:$C$50000,C2931,全馬データ!$D$2:$D$50000,E2931,全馬データ!$K$2:$K$50000,"&lt;&gt;")=0,"",SUMIFS(全馬データ!$K$2:$K$50000,全馬データ!$A$2:$A$50000,A2931,全馬データ!$B$2:$B$50000,B2931,全馬データ!$C$2:$C$50000,C2931,全馬データ!$D$2:$D$50000,E2931)))</f>
        <v/>
      </c>
      <c r="AP2931" s="8" t="str">
        <f aca="false">IF(A2931="","",IF(AO2931="","欠損",IF(AO2931&lt;=1.1,"1.0～1.1",IF(AO2931&lt;1.3,"1.2",IF(AO2931&lt;1.5,"1.3～1.4",IF(AO2931&lt;2,"1.5～1.9","2.0以上"))))))</f>
        <v/>
      </c>
      <c r="AQ2931" s="8" t="str">
        <f aca="false">IF(A2931="","",IF(ISNUMBER(SEARCH("2歳",Z2931)),"2歳戦",IF(ISNUMBER(SEARCH("3歳未勝利",Z2931)),"3歳未勝利",IF(ISNUMBER(SEARCH("未勝利",Z2931)),"その他未勝利",IF(ISNUMBER(SEARCH("G1",Z2931)),"G1",IF(ISNUMBER(SEARCH("G2",Z2931)),"G2",IF(ISNUMBER(SEARCH("G3",Z2931)),"G3",IF(ISNUMBER(SEARCH("古馬条件",Z2931)),"古馬条件戦",IF(ISNUMBER(SEARCH("重賞",Z2931)),"重賞","分類不能")))))))))</f>
        <v/>
      </c>
    </row>
    <row r="2932" customFormat="false" ht="15.75" hidden="false" customHeight="false" outlineLevel="0" collapsed="false">
      <c r="AO2932" s="8" t="str">
        <f aca="false">IF(A2932="","",IF(COUNTIFS(全馬データ!$A$2:$A$50000,A2932,全馬データ!$B$2:$B$50000,B2932,全馬データ!$C$2:$C$50000,C2932,全馬データ!$D$2:$D$50000,E2932,全馬データ!$K$2:$K$50000,"&lt;&gt;")=0,"",SUMIFS(全馬データ!$K$2:$K$50000,全馬データ!$A$2:$A$50000,A2932,全馬データ!$B$2:$B$50000,B2932,全馬データ!$C$2:$C$50000,C2932,全馬データ!$D$2:$D$50000,E2932)))</f>
        <v/>
      </c>
      <c r="AP2932" s="8" t="str">
        <f aca="false">IF(A2932="","",IF(AO2932="","欠損",IF(AO2932&lt;=1.1,"1.0～1.1",IF(AO2932&lt;1.3,"1.2",IF(AO2932&lt;1.5,"1.3～1.4",IF(AO2932&lt;2,"1.5～1.9","2.0以上"))))))</f>
        <v/>
      </c>
      <c r="AQ2932" s="8" t="str">
        <f aca="false">IF(A2932="","",IF(ISNUMBER(SEARCH("2歳",Z2932)),"2歳戦",IF(ISNUMBER(SEARCH("3歳未勝利",Z2932)),"3歳未勝利",IF(ISNUMBER(SEARCH("未勝利",Z2932)),"その他未勝利",IF(ISNUMBER(SEARCH("G1",Z2932)),"G1",IF(ISNUMBER(SEARCH("G2",Z2932)),"G2",IF(ISNUMBER(SEARCH("G3",Z2932)),"G3",IF(ISNUMBER(SEARCH("古馬条件",Z2932)),"古馬条件戦",IF(ISNUMBER(SEARCH("重賞",Z2932)),"重賞","分類不能")))))))))</f>
        <v/>
      </c>
    </row>
    <row r="2933" customFormat="false" ht="15.75" hidden="false" customHeight="false" outlineLevel="0" collapsed="false">
      <c r="AO2933" s="8" t="str">
        <f aca="false">IF(A2933="","",IF(COUNTIFS(全馬データ!$A$2:$A$50000,A2933,全馬データ!$B$2:$B$50000,B2933,全馬データ!$C$2:$C$50000,C2933,全馬データ!$D$2:$D$50000,E2933,全馬データ!$K$2:$K$50000,"&lt;&gt;")=0,"",SUMIFS(全馬データ!$K$2:$K$50000,全馬データ!$A$2:$A$50000,A2933,全馬データ!$B$2:$B$50000,B2933,全馬データ!$C$2:$C$50000,C2933,全馬データ!$D$2:$D$50000,E2933)))</f>
        <v/>
      </c>
      <c r="AP2933" s="8" t="str">
        <f aca="false">IF(A2933="","",IF(AO2933="","欠損",IF(AO2933&lt;=1.1,"1.0～1.1",IF(AO2933&lt;1.3,"1.2",IF(AO2933&lt;1.5,"1.3～1.4",IF(AO2933&lt;2,"1.5～1.9","2.0以上"))))))</f>
        <v/>
      </c>
      <c r="AQ2933" s="8" t="str">
        <f aca="false">IF(A2933="","",IF(ISNUMBER(SEARCH("2歳",Z2933)),"2歳戦",IF(ISNUMBER(SEARCH("3歳未勝利",Z2933)),"3歳未勝利",IF(ISNUMBER(SEARCH("未勝利",Z2933)),"その他未勝利",IF(ISNUMBER(SEARCH("G1",Z2933)),"G1",IF(ISNUMBER(SEARCH("G2",Z2933)),"G2",IF(ISNUMBER(SEARCH("G3",Z2933)),"G3",IF(ISNUMBER(SEARCH("古馬条件",Z2933)),"古馬条件戦",IF(ISNUMBER(SEARCH("重賞",Z2933)),"重賞","分類不能")))))))))</f>
        <v/>
      </c>
    </row>
    <row r="2934" customFormat="false" ht="15.75" hidden="false" customHeight="false" outlineLevel="0" collapsed="false">
      <c r="AO2934" s="8" t="str">
        <f aca="false">IF(A2934="","",IF(COUNTIFS(全馬データ!$A$2:$A$50000,A2934,全馬データ!$B$2:$B$50000,B2934,全馬データ!$C$2:$C$50000,C2934,全馬データ!$D$2:$D$50000,E2934,全馬データ!$K$2:$K$50000,"&lt;&gt;")=0,"",SUMIFS(全馬データ!$K$2:$K$50000,全馬データ!$A$2:$A$50000,A2934,全馬データ!$B$2:$B$50000,B2934,全馬データ!$C$2:$C$50000,C2934,全馬データ!$D$2:$D$50000,E2934)))</f>
        <v/>
      </c>
      <c r="AP2934" s="8" t="str">
        <f aca="false">IF(A2934="","",IF(AO2934="","欠損",IF(AO2934&lt;=1.1,"1.0～1.1",IF(AO2934&lt;1.3,"1.2",IF(AO2934&lt;1.5,"1.3～1.4",IF(AO2934&lt;2,"1.5～1.9","2.0以上"))))))</f>
        <v/>
      </c>
      <c r="AQ2934" s="8" t="str">
        <f aca="false">IF(A2934="","",IF(ISNUMBER(SEARCH("2歳",Z2934)),"2歳戦",IF(ISNUMBER(SEARCH("3歳未勝利",Z2934)),"3歳未勝利",IF(ISNUMBER(SEARCH("未勝利",Z2934)),"その他未勝利",IF(ISNUMBER(SEARCH("G1",Z2934)),"G1",IF(ISNUMBER(SEARCH("G2",Z2934)),"G2",IF(ISNUMBER(SEARCH("G3",Z2934)),"G3",IF(ISNUMBER(SEARCH("古馬条件",Z2934)),"古馬条件戦",IF(ISNUMBER(SEARCH("重賞",Z2934)),"重賞","分類不能")))))))))</f>
        <v/>
      </c>
    </row>
    <row r="2935" customFormat="false" ht="15.75" hidden="false" customHeight="false" outlineLevel="0" collapsed="false">
      <c r="AO2935" s="8" t="str">
        <f aca="false">IF(A2935="","",IF(COUNTIFS(全馬データ!$A$2:$A$50000,A2935,全馬データ!$B$2:$B$50000,B2935,全馬データ!$C$2:$C$50000,C2935,全馬データ!$D$2:$D$50000,E2935,全馬データ!$K$2:$K$50000,"&lt;&gt;")=0,"",SUMIFS(全馬データ!$K$2:$K$50000,全馬データ!$A$2:$A$50000,A2935,全馬データ!$B$2:$B$50000,B2935,全馬データ!$C$2:$C$50000,C2935,全馬データ!$D$2:$D$50000,E2935)))</f>
        <v/>
      </c>
      <c r="AP2935" s="8" t="str">
        <f aca="false">IF(A2935="","",IF(AO2935="","欠損",IF(AO2935&lt;=1.1,"1.0～1.1",IF(AO2935&lt;1.3,"1.2",IF(AO2935&lt;1.5,"1.3～1.4",IF(AO2935&lt;2,"1.5～1.9","2.0以上"))))))</f>
        <v/>
      </c>
      <c r="AQ2935" s="8" t="str">
        <f aca="false">IF(A2935="","",IF(ISNUMBER(SEARCH("2歳",Z2935)),"2歳戦",IF(ISNUMBER(SEARCH("3歳未勝利",Z2935)),"3歳未勝利",IF(ISNUMBER(SEARCH("未勝利",Z2935)),"その他未勝利",IF(ISNUMBER(SEARCH("G1",Z2935)),"G1",IF(ISNUMBER(SEARCH("G2",Z2935)),"G2",IF(ISNUMBER(SEARCH("G3",Z2935)),"G3",IF(ISNUMBER(SEARCH("古馬条件",Z2935)),"古馬条件戦",IF(ISNUMBER(SEARCH("重賞",Z2935)),"重賞","分類不能")))))))))</f>
        <v/>
      </c>
    </row>
    <row r="2936" customFormat="false" ht="15.75" hidden="false" customHeight="false" outlineLevel="0" collapsed="false">
      <c r="AO2936" s="8" t="str">
        <f aca="false">IF(A2936="","",IF(COUNTIFS(全馬データ!$A$2:$A$50000,A2936,全馬データ!$B$2:$B$50000,B2936,全馬データ!$C$2:$C$50000,C2936,全馬データ!$D$2:$D$50000,E2936,全馬データ!$K$2:$K$50000,"&lt;&gt;")=0,"",SUMIFS(全馬データ!$K$2:$K$50000,全馬データ!$A$2:$A$50000,A2936,全馬データ!$B$2:$B$50000,B2936,全馬データ!$C$2:$C$50000,C2936,全馬データ!$D$2:$D$50000,E2936)))</f>
        <v/>
      </c>
      <c r="AP2936" s="8" t="str">
        <f aca="false">IF(A2936="","",IF(AO2936="","欠損",IF(AO2936&lt;=1.1,"1.0～1.1",IF(AO2936&lt;1.3,"1.2",IF(AO2936&lt;1.5,"1.3～1.4",IF(AO2936&lt;2,"1.5～1.9","2.0以上"))))))</f>
        <v/>
      </c>
      <c r="AQ2936" s="8" t="str">
        <f aca="false">IF(A2936="","",IF(ISNUMBER(SEARCH("2歳",Z2936)),"2歳戦",IF(ISNUMBER(SEARCH("3歳未勝利",Z2936)),"3歳未勝利",IF(ISNUMBER(SEARCH("未勝利",Z2936)),"その他未勝利",IF(ISNUMBER(SEARCH("G1",Z2936)),"G1",IF(ISNUMBER(SEARCH("G2",Z2936)),"G2",IF(ISNUMBER(SEARCH("G3",Z2936)),"G3",IF(ISNUMBER(SEARCH("古馬条件",Z2936)),"古馬条件戦",IF(ISNUMBER(SEARCH("重賞",Z2936)),"重賞","分類不能")))))))))</f>
        <v/>
      </c>
    </row>
    <row r="2937" customFormat="false" ht="15.75" hidden="false" customHeight="false" outlineLevel="0" collapsed="false">
      <c r="AO2937" s="8" t="str">
        <f aca="false">IF(A2937="","",IF(COUNTIFS(全馬データ!$A$2:$A$50000,A2937,全馬データ!$B$2:$B$50000,B2937,全馬データ!$C$2:$C$50000,C2937,全馬データ!$D$2:$D$50000,E2937,全馬データ!$K$2:$K$50000,"&lt;&gt;")=0,"",SUMIFS(全馬データ!$K$2:$K$50000,全馬データ!$A$2:$A$50000,A2937,全馬データ!$B$2:$B$50000,B2937,全馬データ!$C$2:$C$50000,C2937,全馬データ!$D$2:$D$50000,E2937)))</f>
        <v/>
      </c>
      <c r="AP2937" s="8" t="str">
        <f aca="false">IF(A2937="","",IF(AO2937="","欠損",IF(AO2937&lt;=1.1,"1.0～1.1",IF(AO2937&lt;1.3,"1.2",IF(AO2937&lt;1.5,"1.3～1.4",IF(AO2937&lt;2,"1.5～1.9","2.0以上"))))))</f>
        <v/>
      </c>
      <c r="AQ2937" s="8" t="str">
        <f aca="false">IF(A2937="","",IF(ISNUMBER(SEARCH("2歳",Z2937)),"2歳戦",IF(ISNUMBER(SEARCH("3歳未勝利",Z2937)),"3歳未勝利",IF(ISNUMBER(SEARCH("未勝利",Z2937)),"その他未勝利",IF(ISNUMBER(SEARCH("G1",Z2937)),"G1",IF(ISNUMBER(SEARCH("G2",Z2937)),"G2",IF(ISNUMBER(SEARCH("G3",Z2937)),"G3",IF(ISNUMBER(SEARCH("古馬条件",Z2937)),"古馬条件戦",IF(ISNUMBER(SEARCH("重賞",Z2937)),"重賞","分類不能")))))))))</f>
        <v/>
      </c>
    </row>
    <row r="2938" customFormat="false" ht="15.75" hidden="false" customHeight="false" outlineLevel="0" collapsed="false">
      <c r="AO2938" s="8" t="str">
        <f aca="false">IF(A2938="","",IF(COUNTIFS(全馬データ!$A$2:$A$50000,A2938,全馬データ!$B$2:$B$50000,B2938,全馬データ!$C$2:$C$50000,C2938,全馬データ!$D$2:$D$50000,E2938,全馬データ!$K$2:$K$50000,"&lt;&gt;")=0,"",SUMIFS(全馬データ!$K$2:$K$50000,全馬データ!$A$2:$A$50000,A2938,全馬データ!$B$2:$B$50000,B2938,全馬データ!$C$2:$C$50000,C2938,全馬データ!$D$2:$D$50000,E2938)))</f>
        <v/>
      </c>
      <c r="AP2938" s="8" t="str">
        <f aca="false">IF(A2938="","",IF(AO2938="","欠損",IF(AO2938&lt;=1.1,"1.0～1.1",IF(AO2938&lt;1.3,"1.2",IF(AO2938&lt;1.5,"1.3～1.4",IF(AO2938&lt;2,"1.5～1.9","2.0以上"))))))</f>
        <v/>
      </c>
      <c r="AQ2938" s="8" t="str">
        <f aca="false">IF(A2938="","",IF(ISNUMBER(SEARCH("2歳",Z2938)),"2歳戦",IF(ISNUMBER(SEARCH("3歳未勝利",Z2938)),"3歳未勝利",IF(ISNUMBER(SEARCH("未勝利",Z2938)),"その他未勝利",IF(ISNUMBER(SEARCH("G1",Z2938)),"G1",IF(ISNUMBER(SEARCH("G2",Z2938)),"G2",IF(ISNUMBER(SEARCH("G3",Z2938)),"G3",IF(ISNUMBER(SEARCH("古馬条件",Z2938)),"古馬条件戦",IF(ISNUMBER(SEARCH("重賞",Z2938)),"重賞","分類不能")))))))))</f>
        <v/>
      </c>
    </row>
    <row r="2939" customFormat="false" ht="15.75" hidden="false" customHeight="false" outlineLevel="0" collapsed="false">
      <c r="AO2939" s="8" t="str">
        <f aca="false">IF(A2939="","",IF(COUNTIFS(全馬データ!$A$2:$A$50000,A2939,全馬データ!$B$2:$B$50000,B2939,全馬データ!$C$2:$C$50000,C2939,全馬データ!$D$2:$D$50000,E2939,全馬データ!$K$2:$K$50000,"&lt;&gt;")=0,"",SUMIFS(全馬データ!$K$2:$K$50000,全馬データ!$A$2:$A$50000,A2939,全馬データ!$B$2:$B$50000,B2939,全馬データ!$C$2:$C$50000,C2939,全馬データ!$D$2:$D$50000,E2939)))</f>
        <v/>
      </c>
      <c r="AP2939" s="8" t="str">
        <f aca="false">IF(A2939="","",IF(AO2939="","欠損",IF(AO2939&lt;=1.1,"1.0～1.1",IF(AO2939&lt;1.3,"1.2",IF(AO2939&lt;1.5,"1.3～1.4",IF(AO2939&lt;2,"1.5～1.9","2.0以上"))))))</f>
        <v/>
      </c>
      <c r="AQ2939" s="8" t="str">
        <f aca="false">IF(A2939="","",IF(ISNUMBER(SEARCH("2歳",Z2939)),"2歳戦",IF(ISNUMBER(SEARCH("3歳未勝利",Z2939)),"3歳未勝利",IF(ISNUMBER(SEARCH("未勝利",Z2939)),"その他未勝利",IF(ISNUMBER(SEARCH("G1",Z2939)),"G1",IF(ISNUMBER(SEARCH("G2",Z2939)),"G2",IF(ISNUMBER(SEARCH("G3",Z2939)),"G3",IF(ISNUMBER(SEARCH("古馬条件",Z2939)),"古馬条件戦",IF(ISNUMBER(SEARCH("重賞",Z2939)),"重賞","分類不能")))))))))</f>
        <v/>
      </c>
    </row>
    <row r="2940" customFormat="false" ht="15.75" hidden="false" customHeight="false" outlineLevel="0" collapsed="false">
      <c r="AO2940" s="8" t="str">
        <f aca="false">IF(A2940="","",IF(COUNTIFS(全馬データ!$A$2:$A$50000,A2940,全馬データ!$B$2:$B$50000,B2940,全馬データ!$C$2:$C$50000,C2940,全馬データ!$D$2:$D$50000,E2940,全馬データ!$K$2:$K$50000,"&lt;&gt;")=0,"",SUMIFS(全馬データ!$K$2:$K$50000,全馬データ!$A$2:$A$50000,A2940,全馬データ!$B$2:$B$50000,B2940,全馬データ!$C$2:$C$50000,C2940,全馬データ!$D$2:$D$50000,E2940)))</f>
        <v/>
      </c>
      <c r="AP2940" s="8" t="str">
        <f aca="false">IF(A2940="","",IF(AO2940="","欠損",IF(AO2940&lt;=1.1,"1.0～1.1",IF(AO2940&lt;1.3,"1.2",IF(AO2940&lt;1.5,"1.3～1.4",IF(AO2940&lt;2,"1.5～1.9","2.0以上"))))))</f>
        <v/>
      </c>
      <c r="AQ2940" s="8" t="str">
        <f aca="false">IF(A2940="","",IF(ISNUMBER(SEARCH("2歳",Z2940)),"2歳戦",IF(ISNUMBER(SEARCH("3歳未勝利",Z2940)),"3歳未勝利",IF(ISNUMBER(SEARCH("未勝利",Z2940)),"その他未勝利",IF(ISNUMBER(SEARCH("G1",Z2940)),"G1",IF(ISNUMBER(SEARCH("G2",Z2940)),"G2",IF(ISNUMBER(SEARCH("G3",Z2940)),"G3",IF(ISNUMBER(SEARCH("古馬条件",Z2940)),"古馬条件戦",IF(ISNUMBER(SEARCH("重賞",Z2940)),"重賞","分類不能")))))))))</f>
        <v/>
      </c>
    </row>
    <row r="2941" customFormat="false" ht="15.75" hidden="false" customHeight="false" outlineLevel="0" collapsed="false">
      <c r="AO2941" s="8" t="str">
        <f aca="false">IF(A2941="","",IF(COUNTIFS(全馬データ!$A$2:$A$50000,A2941,全馬データ!$B$2:$B$50000,B2941,全馬データ!$C$2:$C$50000,C2941,全馬データ!$D$2:$D$50000,E2941,全馬データ!$K$2:$K$50000,"&lt;&gt;")=0,"",SUMIFS(全馬データ!$K$2:$K$50000,全馬データ!$A$2:$A$50000,A2941,全馬データ!$B$2:$B$50000,B2941,全馬データ!$C$2:$C$50000,C2941,全馬データ!$D$2:$D$50000,E2941)))</f>
        <v/>
      </c>
      <c r="AP2941" s="8" t="str">
        <f aca="false">IF(A2941="","",IF(AO2941="","欠損",IF(AO2941&lt;=1.1,"1.0～1.1",IF(AO2941&lt;1.3,"1.2",IF(AO2941&lt;1.5,"1.3～1.4",IF(AO2941&lt;2,"1.5～1.9","2.0以上"))))))</f>
        <v/>
      </c>
      <c r="AQ2941" s="8" t="str">
        <f aca="false">IF(A2941="","",IF(ISNUMBER(SEARCH("2歳",Z2941)),"2歳戦",IF(ISNUMBER(SEARCH("3歳未勝利",Z2941)),"3歳未勝利",IF(ISNUMBER(SEARCH("未勝利",Z2941)),"その他未勝利",IF(ISNUMBER(SEARCH("G1",Z2941)),"G1",IF(ISNUMBER(SEARCH("G2",Z2941)),"G2",IF(ISNUMBER(SEARCH("G3",Z2941)),"G3",IF(ISNUMBER(SEARCH("古馬条件",Z2941)),"古馬条件戦",IF(ISNUMBER(SEARCH("重賞",Z2941)),"重賞","分類不能")))))))))</f>
        <v/>
      </c>
    </row>
    <row r="2942" customFormat="false" ht="15.75" hidden="false" customHeight="false" outlineLevel="0" collapsed="false">
      <c r="AO2942" s="8" t="str">
        <f aca="false">IF(A2942="","",IF(COUNTIFS(全馬データ!$A$2:$A$50000,A2942,全馬データ!$B$2:$B$50000,B2942,全馬データ!$C$2:$C$50000,C2942,全馬データ!$D$2:$D$50000,E2942,全馬データ!$K$2:$K$50000,"&lt;&gt;")=0,"",SUMIFS(全馬データ!$K$2:$K$50000,全馬データ!$A$2:$A$50000,A2942,全馬データ!$B$2:$B$50000,B2942,全馬データ!$C$2:$C$50000,C2942,全馬データ!$D$2:$D$50000,E2942)))</f>
        <v/>
      </c>
      <c r="AP2942" s="8" t="str">
        <f aca="false">IF(A2942="","",IF(AO2942="","欠損",IF(AO2942&lt;=1.1,"1.0～1.1",IF(AO2942&lt;1.3,"1.2",IF(AO2942&lt;1.5,"1.3～1.4",IF(AO2942&lt;2,"1.5～1.9","2.0以上"))))))</f>
        <v/>
      </c>
      <c r="AQ2942" s="8" t="str">
        <f aca="false">IF(A2942="","",IF(ISNUMBER(SEARCH("2歳",Z2942)),"2歳戦",IF(ISNUMBER(SEARCH("3歳未勝利",Z2942)),"3歳未勝利",IF(ISNUMBER(SEARCH("未勝利",Z2942)),"その他未勝利",IF(ISNUMBER(SEARCH("G1",Z2942)),"G1",IF(ISNUMBER(SEARCH("G2",Z2942)),"G2",IF(ISNUMBER(SEARCH("G3",Z2942)),"G3",IF(ISNUMBER(SEARCH("古馬条件",Z2942)),"古馬条件戦",IF(ISNUMBER(SEARCH("重賞",Z2942)),"重賞","分類不能")))))))))</f>
        <v/>
      </c>
    </row>
    <row r="2943" customFormat="false" ht="15.75" hidden="false" customHeight="false" outlineLevel="0" collapsed="false">
      <c r="AO2943" s="8" t="str">
        <f aca="false">IF(A2943="","",IF(COUNTIFS(全馬データ!$A$2:$A$50000,A2943,全馬データ!$B$2:$B$50000,B2943,全馬データ!$C$2:$C$50000,C2943,全馬データ!$D$2:$D$50000,E2943,全馬データ!$K$2:$K$50000,"&lt;&gt;")=0,"",SUMIFS(全馬データ!$K$2:$K$50000,全馬データ!$A$2:$A$50000,A2943,全馬データ!$B$2:$B$50000,B2943,全馬データ!$C$2:$C$50000,C2943,全馬データ!$D$2:$D$50000,E2943)))</f>
        <v/>
      </c>
      <c r="AP2943" s="8" t="str">
        <f aca="false">IF(A2943="","",IF(AO2943="","欠損",IF(AO2943&lt;=1.1,"1.0～1.1",IF(AO2943&lt;1.3,"1.2",IF(AO2943&lt;1.5,"1.3～1.4",IF(AO2943&lt;2,"1.5～1.9","2.0以上"))))))</f>
        <v/>
      </c>
      <c r="AQ2943" s="8" t="str">
        <f aca="false">IF(A2943="","",IF(ISNUMBER(SEARCH("2歳",Z2943)),"2歳戦",IF(ISNUMBER(SEARCH("3歳未勝利",Z2943)),"3歳未勝利",IF(ISNUMBER(SEARCH("未勝利",Z2943)),"その他未勝利",IF(ISNUMBER(SEARCH("G1",Z2943)),"G1",IF(ISNUMBER(SEARCH("G2",Z2943)),"G2",IF(ISNUMBER(SEARCH("G3",Z2943)),"G3",IF(ISNUMBER(SEARCH("古馬条件",Z2943)),"古馬条件戦",IF(ISNUMBER(SEARCH("重賞",Z2943)),"重賞","分類不能")))))))))</f>
        <v/>
      </c>
    </row>
    <row r="2944" customFormat="false" ht="15.75" hidden="false" customHeight="false" outlineLevel="0" collapsed="false">
      <c r="AO2944" s="8" t="str">
        <f aca="false">IF(A2944="","",IF(COUNTIFS(全馬データ!$A$2:$A$50000,A2944,全馬データ!$B$2:$B$50000,B2944,全馬データ!$C$2:$C$50000,C2944,全馬データ!$D$2:$D$50000,E2944,全馬データ!$K$2:$K$50000,"&lt;&gt;")=0,"",SUMIFS(全馬データ!$K$2:$K$50000,全馬データ!$A$2:$A$50000,A2944,全馬データ!$B$2:$B$50000,B2944,全馬データ!$C$2:$C$50000,C2944,全馬データ!$D$2:$D$50000,E2944)))</f>
        <v/>
      </c>
      <c r="AP2944" s="8" t="str">
        <f aca="false">IF(A2944="","",IF(AO2944="","欠損",IF(AO2944&lt;=1.1,"1.0～1.1",IF(AO2944&lt;1.3,"1.2",IF(AO2944&lt;1.5,"1.3～1.4",IF(AO2944&lt;2,"1.5～1.9","2.0以上"))))))</f>
        <v/>
      </c>
      <c r="AQ2944" s="8" t="str">
        <f aca="false">IF(A2944="","",IF(ISNUMBER(SEARCH("2歳",Z2944)),"2歳戦",IF(ISNUMBER(SEARCH("3歳未勝利",Z2944)),"3歳未勝利",IF(ISNUMBER(SEARCH("未勝利",Z2944)),"その他未勝利",IF(ISNUMBER(SEARCH("G1",Z2944)),"G1",IF(ISNUMBER(SEARCH("G2",Z2944)),"G2",IF(ISNUMBER(SEARCH("G3",Z2944)),"G3",IF(ISNUMBER(SEARCH("古馬条件",Z2944)),"古馬条件戦",IF(ISNUMBER(SEARCH("重賞",Z2944)),"重賞","分類不能")))))))))</f>
        <v/>
      </c>
    </row>
    <row r="2945" customFormat="false" ht="15.75" hidden="false" customHeight="false" outlineLevel="0" collapsed="false">
      <c r="AO2945" s="8" t="str">
        <f aca="false">IF(A2945="","",IF(COUNTIFS(全馬データ!$A$2:$A$50000,A2945,全馬データ!$B$2:$B$50000,B2945,全馬データ!$C$2:$C$50000,C2945,全馬データ!$D$2:$D$50000,E2945,全馬データ!$K$2:$K$50000,"&lt;&gt;")=0,"",SUMIFS(全馬データ!$K$2:$K$50000,全馬データ!$A$2:$A$50000,A2945,全馬データ!$B$2:$B$50000,B2945,全馬データ!$C$2:$C$50000,C2945,全馬データ!$D$2:$D$50000,E2945)))</f>
        <v/>
      </c>
      <c r="AP2945" s="8" t="str">
        <f aca="false">IF(A2945="","",IF(AO2945="","欠損",IF(AO2945&lt;=1.1,"1.0～1.1",IF(AO2945&lt;1.3,"1.2",IF(AO2945&lt;1.5,"1.3～1.4",IF(AO2945&lt;2,"1.5～1.9","2.0以上"))))))</f>
        <v/>
      </c>
      <c r="AQ2945" s="8" t="str">
        <f aca="false">IF(A2945="","",IF(ISNUMBER(SEARCH("2歳",Z2945)),"2歳戦",IF(ISNUMBER(SEARCH("3歳未勝利",Z2945)),"3歳未勝利",IF(ISNUMBER(SEARCH("未勝利",Z2945)),"その他未勝利",IF(ISNUMBER(SEARCH("G1",Z2945)),"G1",IF(ISNUMBER(SEARCH("G2",Z2945)),"G2",IF(ISNUMBER(SEARCH("G3",Z2945)),"G3",IF(ISNUMBER(SEARCH("古馬条件",Z2945)),"古馬条件戦",IF(ISNUMBER(SEARCH("重賞",Z2945)),"重賞","分類不能")))))))))</f>
        <v/>
      </c>
    </row>
    <row r="2946" customFormat="false" ht="15.75" hidden="false" customHeight="false" outlineLevel="0" collapsed="false">
      <c r="AO2946" s="8" t="str">
        <f aca="false">IF(A2946="","",IF(COUNTIFS(全馬データ!$A$2:$A$50000,A2946,全馬データ!$B$2:$B$50000,B2946,全馬データ!$C$2:$C$50000,C2946,全馬データ!$D$2:$D$50000,E2946,全馬データ!$K$2:$K$50000,"&lt;&gt;")=0,"",SUMIFS(全馬データ!$K$2:$K$50000,全馬データ!$A$2:$A$50000,A2946,全馬データ!$B$2:$B$50000,B2946,全馬データ!$C$2:$C$50000,C2946,全馬データ!$D$2:$D$50000,E2946)))</f>
        <v/>
      </c>
      <c r="AP2946" s="8" t="str">
        <f aca="false">IF(A2946="","",IF(AO2946="","欠損",IF(AO2946&lt;=1.1,"1.0～1.1",IF(AO2946&lt;1.3,"1.2",IF(AO2946&lt;1.5,"1.3～1.4",IF(AO2946&lt;2,"1.5～1.9","2.0以上"))))))</f>
        <v/>
      </c>
      <c r="AQ2946" s="8" t="str">
        <f aca="false">IF(A2946="","",IF(ISNUMBER(SEARCH("2歳",Z2946)),"2歳戦",IF(ISNUMBER(SEARCH("3歳未勝利",Z2946)),"3歳未勝利",IF(ISNUMBER(SEARCH("未勝利",Z2946)),"その他未勝利",IF(ISNUMBER(SEARCH("G1",Z2946)),"G1",IF(ISNUMBER(SEARCH("G2",Z2946)),"G2",IF(ISNUMBER(SEARCH("G3",Z2946)),"G3",IF(ISNUMBER(SEARCH("古馬条件",Z2946)),"古馬条件戦",IF(ISNUMBER(SEARCH("重賞",Z2946)),"重賞","分類不能")))))))))</f>
        <v/>
      </c>
    </row>
    <row r="2947" customFormat="false" ht="15.75" hidden="false" customHeight="false" outlineLevel="0" collapsed="false">
      <c r="AO2947" s="8" t="str">
        <f aca="false">IF(A2947="","",IF(COUNTIFS(全馬データ!$A$2:$A$50000,A2947,全馬データ!$B$2:$B$50000,B2947,全馬データ!$C$2:$C$50000,C2947,全馬データ!$D$2:$D$50000,E2947,全馬データ!$K$2:$K$50000,"&lt;&gt;")=0,"",SUMIFS(全馬データ!$K$2:$K$50000,全馬データ!$A$2:$A$50000,A2947,全馬データ!$B$2:$B$50000,B2947,全馬データ!$C$2:$C$50000,C2947,全馬データ!$D$2:$D$50000,E2947)))</f>
        <v/>
      </c>
      <c r="AP2947" s="8" t="str">
        <f aca="false">IF(A2947="","",IF(AO2947="","欠損",IF(AO2947&lt;=1.1,"1.0～1.1",IF(AO2947&lt;1.3,"1.2",IF(AO2947&lt;1.5,"1.3～1.4",IF(AO2947&lt;2,"1.5～1.9","2.0以上"))))))</f>
        <v/>
      </c>
      <c r="AQ2947" s="8" t="str">
        <f aca="false">IF(A2947="","",IF(ISNUMBER(SEARCH("2歳",Z2947)),"2歳戦",IF(ISNUMBER(SEARCH("3歳未勝利",Z2947)),"3歳未勝利",IF(ISNUMBER(SEARCH("未勝利",Z2947)),"その他未勝利",IF(ISNUMBER(SEARCH("G1",Z2947)),"G1",IF(ISNUMBER(SEARCH("G2",Z2947)),"G2",IF(ISNUMBER(SEARCH("G3",Z2947)),"G3",IF(ISNUMBER(SEARCH("古馬条件",Z2947)),"古馬条件戦",IF(ISNUMBER(SEARCH("重賞",Z2947)),"重賞","分類不能")))))))))</f>
        <v/>
      </c>
    </row>
    <row r="2948" customFormat="false" ht="15.75" hidden="false" customHeight="false" outlineLevel="0" collapsed="false">
      <c r="AO2948" s="8" t="str">
        <f aca="false">IF(A2948="","",IF(COUNTIFS(全馬データ!$A$2:$A$50000,A2948,全馬データ!$B$2:$B$50000,B2948,全馬データ!$C$2:$C$50000,C2948,全馬データ!$D$2:$D$50000,E2948,全馬データ!$K$2:$K$50000,"&lt;&gt;")=0,"",SUMIFS(全馬データ!$K$2:$K$50000,全馬データ!$A$2:$A$50000,A2948,全馬データ!$B$2:$B$50000,B2948,全馬データ!$C$2:$C$50000,C2948,全馬データ!$D$2:$D$50000,E2948)))</f>
        <v/>
      </c>
      <c r="AP2948" s="8" t="str">
        <f aca="false">IF(A2948="","",IF(AO2948="","欠損",IF(AO2948&lt;=1.1,"1.0～1.1",IF(AO2948&lt;1.3,"1.2",IF(AO2948&lt;1.5,"1.3～1.4",IF(AO2948&lt;2,"1.5～1.9","2.0以上"))))))</f>
        <v/>
      </c>
      <c r="AQ2948" s="8" t="str">
        <f aca="false">IF(A2948="","",IF(ISNUMBER(SEARCH("2歳",Z2948)),"2歳戦",IF(ISNUMBER(SEARCH("3歳未勝利",Z2948)),"3歳未勝利",IF(ISNUMBER(SEARCH("未勝利",Z2948)),"その他未勝利",IF(ISNUMBER(SEARCH("G1",Z2948)),"G1",IF(ISNUMBER(SEARCH("G2",Z2948)),"G2",IF(ISNUMBER(SEARCH("G3",Z2948)),"G3",IF(ISNUMBER(SEARCH("古馬条件",Z2948)),"古馬条件戦",IF(ISNUMBER(SEARCH("重賞",Z2948)),"重賞","分類不能")))))))))</f>
        <v/>
      </c>
    </row>
    <row r="2949" customFormat="false" ht="15.75" hidden="false" customHeight="false" outlineLevel="0" collapsed="false">
      <c r="AO2949" s="8" t="str">
        <f aca="false">IF(A2949="","",IF(COUNTIFS(全馬データ!$A$2:$A$50000,A2949,全馬データ!$B$2:$B$50000,B2949,全馬データ!$C$2:$C$50000,C2949,全馬データ!$D$2:$D$50000,E2949,全馬データ!$K$2:$K$50000,"&lt;&gt;")=0,"",SUMIFS(全馬データ!$K$2:$K$50000,全馬データ!$A$2:$A$50000,A2949,全馬データ!$B$2:$B$50000,B2949,全馬データ!$C$2:$C$50000,C2949,全馬データ!$D$2:$D$50000,E2949)))</f>
        <v/>
      </c>
      <c r="AP2949" s="8" t="str">
        <f aca="false">IF(A2949="","",IF(AO2949="","欠損",IF(AO2949&lt;=1.1,"1.0～1.1",IF(AO2949&lt;1.3,"1.2",IF(AO2949&lt;1.5,"1.3～1.4",IF(AO2949&lt;2,"1.5～1.9","2.0以上"))))))</f>
        <v/>
      </c>
      <c r="AQ2949" s="8" t="str">
        <f aca="false">IF(A2949="","",IF(ISNUMBER(SEARCH("2歳",Z2949)),"2歳戦",IF(ISNUMBER(SEARCH("3歳未勝利",Z2949)),"3歳未勝利",IF(ISNUMBER(SEARCH("未勝利",Z2949)),"その他未勝利",IF(ISNUMBER(SEARCH("G1",Z2949)),"G1",IF(ISNUMBER(SEARCH("G2",Z2949)),"G2",IF(ISNUMBER(SEARCH("G3",Z2949)),"G3",IF(ISNUMBER(SEARCH("古馬条件",Z2949)),"古馬条件戦",IF(ISNUMBER(SEARCH("重賞",Z2949)),"重賞","分類不能")))))))))</f>
        <v/>
      </c>
    </row>
    <row r="2950" customFormat="false" ht="15.75" hidden="false" customHeight="false" outlineLevel="0" collapsed="false">
      <c r="AO2950" s="8" t="str">
        <f aca="false">IF(A2950="","",IF(COUNTIFS(全馬データ!$A$2:$A$50000,A2950,全馬データ!$B$2:$B$50000,B2950,全馬データ!$C$2:$C$50000,C2950,全馬データ!$D$2:$D$50000,E2950,全馬データ!$K$2:$K$50000,"&lt;&gt;")=0,"",SUMIFS(全馬データ!$K$2:$K$50000,全馬データ!$A$2:$A$50000,A2950,全馬データ!$B$2:$B$50000,B2950,全馬データ!$C$2:$C$50000,C2950,全馬データ!$D$2:$D$50000,E2950)))</f>
        <v/>
      </c>
      <c r="AP2950" s="8" t="str">
        <f aca="false">IF(A2950="","",IF(AO2950="","欠損",IF(AO2950&lt;=1.1,"1.0～1.1",IF(AO2950&lt;1.3,"1.2",IF(AO2950&lt;1.5,"1.3～1.4",IF(AO2950&lt;2,"1.5～1.9","2.0以上"))))))</f>
        <v/>
      </c>
      <c r="AQ2950" s="8" t="str">
        <f aca="false">IF(A2950="","",IF(ISNUMBER(SEARCH("2歳",Z2950)),"2歳戦",IF(ISNUMBER(SEARCH("3歳未勝利",Z2950)),"3歳未勝利",IF(ISNUMBER(SEARCH("未勝利",Z2950)),"その他未勝利",IF(ISNUMBER(SEARCH("G1",Z2950)),"G1",IF(ISNUMBER(SEARCH("G2",Z2950)),"G2",IF(ISNUMBER(SEARCH("G3",Z2950)),"G3",IF(ISNUMBER(SEARCH("古馬条件",Z2950)),"古馬条件戦",IF(ISNUMBER(SEARCH("重賞",Z2950)),"重賞","分類不能")))))))))</f>
        <v/>
      </c>
    </row>
    <row r="2951" customFormat="false" ht="15.75" hidden="false" customHeight="false" outlineLevel="0" collapsed="false">
      <c r="AO2951" s="8" t="str">
        <f aca="false">IF(A2951="","",IF(COUNTIFS(全馬データ!$A$2:$A$50000,A2951,全馬データ!$B$2:$B$50000,B2951,全馬データ!$C$2:$C$50000,C2951,全馬データ!$D$2:$D$50000,E2951,全馬データ!$K$2:$K$50000,"&lt;&gt;")=0,"",SUMIFS(全馬データ!$K$2:$K$50000,全馬データ!$A$2:$A$50000,A2951,全馬データ!$B$2:$B$50000,B2951,全馬データ!$C$2:$C$50000,C2951,全馬データ!$D$2:$D$50000,E2951)))</f>
        <v/>
      </c>
      <c r="AP2951" s="8" t="str">
        <f aca="false">IF(A2951="","",IF(AO2951="","欠損",IF(AO2951&lt;=1.1,"1.0～1.1",IF(AO2951&lt;1.3,"1.2",IF(AO2951&lt;1.5,"1.3～1.4",IF(AO2951&lt;2,"1.5～1.9","2.0以上"))))))</f>
        <v/>
      </c>
      <c r="AQ2951" s="8" t="str">
        <f aca="false">IF(A2951="","",IF(ISNUMBER(SEARCH("2歳",Z2951)),"2歳戦",IF(ISNUMBER(SEARCH("3歳未勝利",Z2951)),"3歳未勝利",IF(ISNUMBER(SEARCH("未勝利",Z2951)),"その他未勝利",IF(ISNUMBER(SEARCH("G1",Z2951)),"G1",IF(ISNUMBER(SEARCH("G2",Z2951)),"G2",IF(ISNUMBER(SEARCH("G3",Z2951)),"G3",IF(ISNUMBER(SEARCH("古馬条件",Z2951)),"古馬条件戦",IF(ISNUMBER(SEARCH("重賞",Z2951)),"重賞","分類不能")))))))))</f>
        <v/>
      </c>
    </row>
    <row r="2952" customFormat="false" ht="15.75" hidden="false" customHeight="false" outlineLevel="0" collapsed="false">
      <c r="AO2952" s="8" t="str">
        <f aca="false">IF(A2952="","",IF(COUNTIFS(全馬データ!$A$2:$A$50000,A2952,全馬データ!$B$2:$B$50000,B2952,全馬データ!$C$2:$C$50000,C2952,全馬データ!$D$2:$D$50000,E2952,全馬データ!$K$2:$K$50000,"&lt;&gt;")=0,"",SUMIFS(全馬データ!$K$2:$K$50000,全馬データ!$A$2:$A$50000,A2952,全馬データ!$B$2:$B$50000,B2952,全馬データ!$C$2:$C$50000,C2952,全馬データ!$D$2:$D$50000,E2952)))</f>
        <v/>
      </c>
      <c r="AP2952" s="8" t="str">
        <f aca="false">IF(A2952="","",IF(AO2952="","欠損",IF(AO2952&lt;=1.1,"1.0～1.1",IF(AO2952&lt;1.3,"1.2",IF(AO2952&lt;1.5,"1.3～1.4",IF(AO2952&lt;2,"1.5～1.9","2.0以上"))))))</f>
        <v/>
      </c>
      <c r="AQ2952" s="8" t="str">
        <f aca="false">IF(A2952="","",IF(ISNUMBER(SEARCH("2歳",Z2952)),"2歳戦",IF(ISNUMBER(SEARCH("3歳未勝利",Z2952)),"3歳未勝利",IF(ISNUMBER(SEARCH("未勝利",Z2952)),"その他未勝利",IF(ISNUMBER(SEARCH("G1",Z2952)),"G1",IF(ISNUMBER(SEARCH("G2",Z2952)),"G2",IF(ISNUMBER(SEARCH("G3",Z2952)),"G3",IF(ISNUMBER(SEARCH("古馬条件",Z2952)),"古馬条件戦",IF(ISNUMBER(SEARCH("重賞",Z2952)),"重賞","分類不能")))))))))</f>
        <v/>
      </c>
    </row>
    <row r="2953" customFormat="false" ht="15.75" hidden="false" customHeight="false" outlineLevel="0" collapsed="false">
      <c r="AO2953" s="8" t="str">
        <f aca="false">IF(A2953="","",IF(COUNTIFS(全馬データ!$A$2:$A$50000,A2953,全馬データ!$B$2:$B$50000,B2953,全馬データ!$C$2:$C$50000,C2953,全馬データ!$D$2:$D$50000,E2953,全馬データ!$K$2:$K$50000,"&lt;&gt;")=0,"",SUMIFS(全馬データ!$K$2:$K$50000,全馬データ!$A$2:$A$50000,A2953,全馬データ!$B$2:$B$50000,B2953,全馬データ!$C$2:$C$50000,C2953,全馬データ!$D$2:$D$50000,E2953)))</f>
        <v/>
      </c>
      <c r="AP2953" s="8" t="str">
        <f aca="false">IF(A2953="","",IF(AO2953="","欠損",IF(AO2953&lt;=1.1,"1.0～1.1",IF(AO2953&lt;1.3,"1.2",IF(AO2953&lt;1.5,"1.3～1.4",IF(AO2953&lt;2,"1.5～1.9","2.0以上"))))))</f>
        <v/>
      </c>
      <c r="AQ2953" s="8" t="str">
        <f aca="false">IF(A2953="","",IF(ISNUMBER(SEARCH("2歳",Z2953)),"2歳戦",IF(ISNUMBER(SEARCH("3歳未勝利",Z2953)),"3歳未勝利",IF(ISNUMBER(SEARCH("未勝利",Z2953)),"その他未勝利",IF(ISNUMBER(SEARCH("G1",Z2953)),"G1",IF(ISNUMBER(SEARCH("G2",Z2953)),"G2",IF(ISNUMBER(SEARCH("G3",Z2953)),"G3",IF(ISNUMBER(SEARCH("古馬条件",Z2953)),"古馬条件戦",IF(ISNUMBER(SEARCH("重賞",Z2953)),"重賞","分類不能")))))))))</f>
        <v/>
      </c>
    </row>
    <row r="2954" customFormat="false" ht="15.75" hidden="false" customHeight="false" outlineLevel="0" collapsed="false">
      <c r="AO2954" s="8" t="str">
        <f aca="false">IF(A2954="","",IF(COUNTIFS(全馬データ!$A$2:$A$50000,A2954,全馬データ!$B$2:$B$50000,B2954,全馬データ!$C$2:$C$50000,C2954,全馬データ!$D$2:$D$50000,E2954,全馬データ!$K$2:$K$50000,"&lt;&gt;")=0,"",SUMIFS(全馬データ!$K$2:$K$50000,全馬データ!$A$2:$A$50000,A2954,全馬データ!$B$2:$B$50000,B2954,全馬データ!$C$2:$C$50000,C2954,全馬データ!$D$2:$D$50000,E2954)))</f>
        <v/>
      </c>
      <c r="AP2954" s="8" t="str">
        <f aca="false">IF(A2954="","",IF(AO2954="","欠損",IF(AO2954&lt;=1.1,"1.0～1.1",IF(AO2954&lt;1.3,"1.2",IF(AO2954&lt;1.5,"1.3～1.4",IF(AO2954&lt;2,"1.5～1.9","2.0以上"))))))</f>
        <v/>
      </c>
      <c r="AQ2954" s="8" t="str">
        <f aca="false">IF(A2954="","",IF(ISNUMBER(SEARCH("2歳",Z2954)),"2歳戦",IF(ISNUMBER(SEARCH("3歳未勝利",Z2954)),"3歳未勝利",IF(ISNUMBER(SEARCH("未勝利",Z2954)),"その他未勝利",IF(ISNUMBER(SEARCH("G1",Z2954)),"G1",IF(ISNUMBER(SEARCH("G2",Z2954)),"G2",IF(ISNUMBER(SEARCH("G3",Z2954)),"G3",IF(ISNUMBER(SEARCH("古馬条件",Z2954)),"古馬条件戦",IF(ISNUMBER(SEARCH("重賞",Z2954)),"重賞","分類不能")))))))))</f>
        <v/>
      </c>
    </row>
    <row r="2955" customFormat="false" ht="15.75" hidden="false" customHeight="false" outlineLevel="0" collapsed="false">
      <c r="AO2955" s="8" t="str">
        <f aca="false">IF(A2955="","",IF(COUNTIFS(全馬データ!$A$2:$A$50000,A2955,全馬データ!$B$2:$B$50000,B2955,全馬データ!$C$2:$C$50000,C2955,全馬データ!$D$2:$D$50000,E2955,全馬データ!$K$2:$K$50000,"&lt;&gt;")=0,"",SUMIFS(全馬データ!$K$2:$K$50000,全馬データ!$A$2:$A$50000,A2955,全馬データ!$B$2:$B$50000,B2955,全馬データ!$C$2:$C$50000,C2955,全馬データ!$D$2:$D$50000,E2955)))</f>
        <v/>
      </c>
      <c r="AP2955" s="8" t="str">
        <f aca="false">IF(A2955="","",IF(AO2955="","欠損",IF(AO2955&lt;=1.1,"1.0～1.1",IF(AO2955&lt;1.3,"1.2",IF(AO2955&lt;1.5,"1.3～1.4",IF(AO2955&lt;2,"1.5～1.9","2.0以上"))))))</f>
        <v/>
      </c>
      <c r="AQ2955" s="8" t="str">
        <f aca="false">IF(A2955="","",IF(ISNUMBER(SEARCH("2歳",Z2955)),"2歳戦",IF(ISNUMBER(SEARCH("3歳未勝利",Z2955)),"3歳未勝利",IF(ISNUMBER(SEARCH("未勝利",Z2955)),"その他未勝利",IF(ISNUMBER(SEARCH("G1",Z2955)),"G1",IF(ISNUMBER(SEARCH("G2",Z2955)),"G2",IF(ISNUMBER(SEARCH("G3",Z2955)),"G3",IF(ISNUMBER(SEARCH("古馬条件",Z2955)),"古馬条件戦",IF(ISNUMBER(SEARCH("重賞",Z2955)),"重賞","分類不能")))))))))</f>
        <v/>
      </c>
    </row>
    <row r="2956" customFormat="false" ht="15.75" hidden="false" customHeight="false" outlineLevel="0" collapsed="false">
      <c r="AO2956" s="8" t="str">
        <f aca="false">IF(A2956="","",IF(COUNTIFS(全馬データ!$A$2:$A$50000,A2956,全馬データ!$B$2:$B$50000,B2956,全馬データ!$C$2:$C$50000,C2956,全馬データ!$D$2:$D$50000,E2956,全馬データ!$K$2:$K$50000,"&lt;&gt;")=0,"",SUMIFS(全馬データ!$K$2:$K$50000,全馬データ!$A$2:$A$50000,A2956,全馬データ!$B$2:$B$50000,B2956,全馬データ!$C$2:$C$50000,C2956,全馬データ!$D$2:$D$50000,E2956)))</f>
        <v/>
      </c>
      <c r="AP2956" s="8" t="str">
        <f aca="false">IF(A2956="","",IF(AO2956="","欠損",IF(AO2956&lt;=1.1,"1.0～1.1",IF(AO2956&lt;1.3,"1.2",IF(AO2956&lt;1.5,"1.3～1.4",IF(AO2956&lt;2,"1.5～1.9","2.0以上"))))))</f>
        <v/>
      </c>
      <c r="AQ2956" s="8" t="str">
        <f aca="false">IF(A2956="","",IF(ISNUMBER(SEARCH("2歳",Z2956)),"2歳戦",IF(ISNUMBER(SEARCH("3歳未勝利",Z2956)),"3歳未勝利",IF(ISNUMBER(SEARCH("未勝利",Z2956)),"その他未勝利",IF(ISNUMBER(SEARCH("G1",Z2956)),"G1",IF(ISNUMBER(SEARCH("G2",Z2956)),"G2",IF(ISNUMBER(SEARCH("G3",Z2956)),"G3",IF(ISNUMBER(SEARCH("古馬条件",Z2956)),"古馬条件戦",IF(ISNUMBER(SEARCH("重賞",Z2956)),"重賞","分類不能")))))))))</f>
        <v/>
      </c>
    </row>
    <row r="2957" customFormat="false" ht="15.75" hidden="false" customHeight="false" outlineLevel="0" collapsed="false">
      <c r="AO2957" s="8" t="str">
        <f aca="false">IF(A2957="","",IF(COUNTIFS(全馬データ!$A$2:$A$50000,A2957,全馬データ!$B$2:$B$50000,B2957,全馬データ!$C$2:$C$50000,C2957,全馬データ!$D$2:$D$50000,E2957,全馬データ!$K$2:$K$50000,"&lt;&gt;")=0,"",SUMIFS(全馬データ!$K$2:$K$50000,全馬データ!$A$2:$A$50000,A2957,全馬データ!$B$2:$B$50000,B2957,全馬データ!$C$2:$C$50000,C2957,全馬データ!$D$2:$D$50000,E2957)))</f>
        <v/>
      </c>
      <c r="AP2957" s="8" t="str">
        <f aca="false">IF(A2957="","",IF(AO2957="","欠損",IF(AO2957&lt;=1.1,"1.0～1.1",IF(AO2957&lt;1.3,"1.2",IF(AO2957&lt;1.5,"1.3～1.4",IF(AO2957&lt;2,"1.5～1.9","2.0以上"))))))</f>
        <v/>
      </c>
      <c r="AQ2957" s="8" t="str">
        <f aca="false">IF(A2957="","",IF(ISNUMBER(SEARCH("2歳",Z2957)),"2歳戦",IF(ISNUMBER(SEARCH("3歳未勝利",Z2957)),"3歳未勝利",IF(ISNUMBER(SEARCH("未勝利",Z2957)),"その他未勝利",IF(ISNUMBER(SEARCH("G1",Z2957)),"G1",IF(ISNUMBER(SEARCH("G2",Z2957)),"G2",IF(ISNUMBER(SEARCH("G3",Z2957)),"G3",IF(ISNUMBER(SEARCH("古馬条件",Z2957)),"古馬条件戦",IF(ISNUMBER(SEARCH("重賞",Z2957)),"重賞","分類不能")))))))))</f>
        <v/>
      </c>
    </row>
    <row r="2958" customFormat="false" ht="15.75" hidden="false" customHeight="false" outlineLevel="0" collapsed="false">
      <c r="AO2958" s="8" t="str">
        <f aca="false">IF(A2958="","",IF(COUNTIFS(全馬データ!$A$2:$A$50000,A2958,全馬データ!$B$2:$B$50000,B2958,全馬データ!$C$2:$C$50000,C2958,全馬データ!$D$2:$D$50000,E2958,全馬データ!$K$2:$K$50000,"&lt;&gt;")=0,"",SUMIFS(全馬データ!$K$2:$K$50000,全馬データ!$A$2:$A$50000,A2958,全馬データ!$B$2:$B$50000,B2958,全馬データ!$C$2:$C$50000,C2958,全馬データ!$D$2:$D$50000,E2958)))</f>
        <v/>
      </c>
      <c r="AP2958" s="8" t="str">
        <f aca="false">IF(A2958="","",IF(AO2958="","欠損",IF(AO2958&lt;=1.1,"1.0～1.1",IF(AO2958&lt;1.3,"1.2",IF(AO2958&lt;1.5,"1.3～1.4",IF(AO2958&lt;2,"1.5～1.9","2.0以上"))))))</f>
        <v/>
      </c>
      <c r="AQ2958" s="8" t="str">
        <f aca="false">IF(A2958="","",IF(ISNUMBER(SEARCH("2歳",Z2958)),"2歳戦",IF(ISNUMBER(SEARCH("3歳未勝利",Z2958)),"3歳未勝利",IF(ISNUMBER(SEARCH("未勝利",Z2958)),"その他未勝利",IF(ISNUMBER(SEARCH("G1",Z2958)),"G1",IF(ISNUMBER(SEARCH("G2",Z2958)),"G2",IF(ISNUMBER(SEARCH("G3",Z2958)),"G3",IF(ISNUMBER(SEARCH("古馬条件",Z2958)),"古馬条件戦",IF(ISNUMBER(SEARCH("重賞",Z2958)),"重賞","分類不能")))))))))</f>
        <v/>
      </c>
    </row>
    <row r="2959" customFormat="false" ht="15.75" hidden="false" customHeight="false" outlineLevel="0" collapsed="false">
      <c r="AO2959" s="8" t="str">
        <f aca="false">IF(A2959="","",IF(COUNTIFS(全馬データ!$A$2:$A$50000,A2959,全馬データ!$B$2:$B$50000,B2959,全馬データ!$C$2:$C$50000,C2959,全馬データ!$D$2:$D$50000,E2959,全馬データ!$K$2:$K$50000,"&lt;&gt;")=0,"",SUMIFS(全馬データ!$K$2:$K$50000,全馬データ!$A$2:$A$50000,A2959,全馬データ!$B$2:$B$50000,B2959,全馬データ!$C$2:$C$50000,C2959,全馬データ!$D$2:$D$50000,E2959)))</f>
        <v/>
      </c>
      <c r="AP2959" s="8" t="str">
        <f aca="false">IF(A2959="","",IF(AO2959="","欠損",IF(AO2959&lt;=1.1,"1.0～1.1",IF(AO2959&lt;1.3,"1.2",IF(AO2959&lt;1.5,"1.3～1.4",IF(AO2959&lt;2,"1.5～1.9","2.0以上"))))))</f>
        <v/>
      </c>
      <c r="AQ2959" s="8" t="str">
        <f aca="false">IF(A2959="","",IF(ISNUMBER(SEARCH("2歳",Z2959)),"2歳戦",IF(ISNUMBER(SEARCH("3歳未勝利",Z2959)),"3歳未勝利",IF(ISNUMBER(SEARCH("未勝利",Z2959)),"その他未勝利",IF(ISNUMBER(SEARCH("G1",Z2959)),"G1",IF(ISNUMBER(SEARCH("G2",Z2959)),"G2",IF(ISNUMBER(SEARCH("G3",Z2959)),"G3",IF(ISNUMBER(SEARCH("古馬条件",Z2959)),"古馬条件戦",IF(ISNUMBER(SEARCH("重賞",Z2959)),"重賞","分類不能")))))))))</f>
        <v/>
      </c>
    </row>
    <row r="2960" customFormat="false" ht="15.75" hidden="false" customHeight="false" outlineLevel="0" collapsed="false">
      <c r="AO2960" s="8" t="str">
        <f aca="false">IF(A2960="","",IF(COUNTIFS(全馬データ!$A$2:$A$50000,A2960,全馬データ!$B$2:$B$50000,B2960,全馬データ!$C$2:$C$50000,C2960,全馬データ!$D$2:$D$50000,E2960,全馬データ!$K$2:$K$50000,"&lt;&gt;")=0,"",SUMIFS(全馬データ!$K$2:$K$50000,全馬データ!$A$2:$A$50000,A2960,全馬データ!$B$2:$B$50000,B2960,全馬データ!$C$2:$C$50000,C2960,全馬データ!$D$2:$D$50000,E2960)))</f>
        <v/>
      </c>
      <c r="AP2960" s="8" t="str">
        <f aca="false">IF(A2960="","",IF(AO2960="","欠損",IF(AO2960&lt;=1.1,"1.0～1.1",IF(AO2960&lt;1.3,"1.2",IF(AO2960&lt;1.5,"1.3～1.4",IF(AO2960&lt;2,"1.5～1.9","2.0以上"))))))</f>
        <v/>
      </c>
      <c r="AQ2960" s="8" t="str">
        <f aca="false">IF(A2960="","",IF(ISNUMBER(SEARCH("2歳",Z2960)),"2歳戦",IF(ISNUMBER(SEARCH("3歳未勝利",Z2960)),"3歳未勝利",IF(ISNUMBER(SEARCH("未勝利",Z2960)),"その他未勝利",IF(ISNUMBER(SEARCH("G1",Z2960)),"G1",IF(ISNUMBER(SEARCH("G2",Z2960)),"G2",IF(ISNUMBER(SEARCH("G3",Z2960)),"G3",IF(ISNUMBER(SEARCH("古馬条件",Z2960)),"古馬条件戦",IF(ISNUMBER(SEARCH("重賞",Z2960)),"重賞","分類不能")))))))))</f>
        <v/>
      </c>
    </row>
    <row r="2961" customFormat="false" ht="15.75" hidden="false" customHeight="false" outlineLevel="0" collapsed="false">
      <c r="AO2961" s="8" t="str">
        <f aca="false">IF(A2961="","",IF(COUNTIFS(全馬データ!$A$2:$A$50000,A2961,全馬データ!$B$2:$B$50000,B2961,全馬データ!$C$2:$C$50000,C2961,全馬データ!$D$2:$D$50000,E2961,全馬データ!$K$2:$K$50000,"&lt;&gt;")=0,"",SUMIFS(全馬データ!$K$2:$K$50000,全馬データ!$A$2:$A$50000,A2961,全馬データ!$B$2:$B$50000,B2961,全馬データ!$C$2:$C$50000,C2961,全馬データ!$D$2:$D$50000,E2961)))</f>
        <v/>
      </c>
      <c r="AP2961" s="8" t="str">
        <f aca="false">IF(A2961="","",IF(AO2961="","欠損",IF(AO2961&lt;=1.1,"1.0～1.1",IF(AO2961&lt;1.3,"1.2",IF(AO2961&lt;1.5,"1.3～1.4",IF(AO2961&lt;2,"1.5～1.9","2.0以上"))))))</f>
        <v/>
      </c>
      <c r="AQ2961" s="8" t="str">
        <f aca="false">IF(A2961="","",IF(ISNUMBER(SEARCH("2歳",Z2961)),"2歳戦",IF(ISNUMBER(SEARCH("3歳未勝利",Z2961)),"3歳未勝利",IF(ISNUMBER(SEARCH("未勝利",Z2961)),"その他未勝利",IF(ISNUMBER(SEARCH("G1",Z2961)),"G1",IF(ISNUMBER(SEARCH("G2",Z2961)),"G2",IF(ISNUMBER(SEARCH("G3",Z2961)),"G3",IF(ISNUMBER(SEARCH("古馬条件",Z2961)),"古馬条件戦",IF(ISNUMBER(SEARCH("重賞",Z2961)),"重賞","分類不能")))))))))</f>
        <v/>
      </c>
    </row>
    <row r="2962" customFormat="false" ht="15.75" hidden="false" customHeight="false" outlineLevel="0" collapsed="false">
      <c r="AO2962" s="8" t="str">
        <f aca="false">IF(A2962="","",IF(COUNTIFS(全馬データ!$A$2:$A$50000,A2962,全馬データ!$B$2:$B$50000,B2962,全馬データ!$C$2:$C$50000,C2962,全馬データ!$D$2:$D$50000,E2962,全馬データ!$K$2:$K$50000,"&lt;&gt;")=0,"",SUMIFS(全馬データ!$K$2:$K$50000,全馬データ!$A$2:$A$50000,A2962,全馬データ!$B$2:$B$50000,B2962,全馬データ!$C$2:$C$50000,C2962,全馬データ!$D$2:$D$50000,E2962)))</f>
        <v/>
      </c>
      <c r="AP2962" s="8" t="str">
        <f aca="false">IF(A2962="","",IF(AO2962="","欠損",IF(AO2962&lt;=1.1,"1.0～1.1",IF(AO2962&lt;1.3,"1.2",IF(AO2962&lt;1.5,"1.3～1.4",IF(AO2962&lt;2,"1.5～1.9","2.0以上"))))))</f>
        <v/>
      </c>
      <c r="AQ2962" s="8" t="str">
        <f aca="false">IF(A2962="","",IF(ISNUMBER(SEARCH("2歳",Z2962)),"2歳戦",IF(ISNUMBER(SEARCH("3歳未勝利",Z2962)),"3歳未勝利",IF(ISNUMBER(SEARCH("未勝利",Z2962)),"その他未勝利",IF(ISNUMBER(SEARCH("G1",Z2962)),"G1",IF(ISNUMBER(SEARCH("G2",Z2962)),"G2",IF(ISNUMBER(SEARCH("G3",Z2962)),"G3",IF(ISNUMBER(SEARCH("古馬条件",Z2962)),"古馬条件戦",IF(ISNUMBER(SEARCH("重賞",Z2962)),"重賞","分類不能")))))))))</f>
        <v/>
      </c>
    </row>
    <row r="2963" customFormat="false" ht="15.75" hidden="false" customHeight="false" outlineLevel="0" collapsed="false">
      <c r="AO2963" s="8" t="str">
        <f aca="false">IF(A2963="","",IF(COUNTIFS(全馬データ!$A$2:$A$50000,A2963,全馬データ!$B$2:$B$50000,B2963,全馬データ!$C$2:$C$50000,C2963,全馬データ!$D$2:$D$50000,E2963,全馬データ!$K$2:$K$50000,"&lt;&gt;")=0,"",SUMIFS(全馬データ!$K$2:$K$50000,全馬データ!$A$2:$A$50000,A2963,全馬データ!$B$2:$B$50000,B2963,全馬データ!$C$2:$C$50000,C2963,全馬データ!$D$2:$D$50000,E2963)))</f>
        <v/>
      </c>
      <c r="AP2963" s="8" t="str">
        <f aca="false">IF(A2963="","",IF(AO2963="","欠損",IF(AO2963&lt;=1.1,"1.0～1.1",IF(AO2963&lt;1.3,"1.2",IF(AO2963&lt;1.5,"1.3～1.4",IF(AO2963&lt;2,"1.5～1.9","2.0以上"))))))</f>
        <v/>
      </c>
      <c r="AQ2963" s="8" t="str">
        <f aca="false">IF(A2963="","",IF(ISNUMBER(SEARCH("2歳",Z2963)),"2歳戦",IF(ISNUMBER(SEARCH("3歳未勝利",Z2963)),"3歳未勝利",IF(ISNUMBER(SEARCH("未勝利",Z2963)),"その他未勝利",IF(ISNUMBER(SEARCH("G1",Z2963)),"G1",IF(ISNUMBER(SEARCH("G2",Z2963)),"G2",IF(ISNUMBER(SEARCH("G3",Z2963)),"G3",IF(ISNUMBER(SEARCH("古馬条件",Z2963)),"古馬条件戦",IF(ISNUMBER(SEARCH("重賞",Z2963)),"重賞","分類不能")))))))))</f>
        <v/>
      </c>
    </row>
    <row r="2964" customFormat="false" ht="15.75" hidden="false" customHeight="false" outlineLevel="0" collapsed="false">
      <c r="AO2964" s="8" t="str">
        <f aca="false">IF(A2964="","",IF(COUNTIFS(全馬データ!$A$2:$A$50000,A2964,全馬データ!$B$2:$B$50000,B2964,全馬データ!$C$2:$C$50000,C2964,全馬データ!$D$2:$D$50000,E2964,全馬データ!$K$2:$K$50000,"&lt;&gt;")=0,"",SUMIFS(全馬データ!$K$2:$K$50000,全馬データ!$A$2:$A$50000,A2964,全馬データ!$B$2:$B$50000,B2964,全馬データ!$C$2:$C$50000,C2964,全馬データ!$D$2:$D$50000,E2964)))</f>
        <v/>
      </c>
      <c r="AP2964" s="8" t="str">
        <f aca="false">IF(A2964="","",IF(AO2964="","欠損",IF(AO2964&lt;=1.1,"1.0～1.1",IF(AO2964&lt;1.3,"1.2",IF(AO2964&lt;1.5,"1.3～1.4",IF(AO2964&lt;2,"1.5～1.9","2.0以上"))))))</f>
        <v/>
      </c>
      <c r="AQ2964" s="8" t="str">
        <f aca="false">IF(A2964="","",IF(ISNUMBER(SEARCH("2歳",Z2964)),"2歳戦",IF(ISNUMBER(SEARCH("3歳未勝利",Z2964)),"3歳未勝利",IF(ISNUMBER(SEARCH("未勝利",Z2964)),"その他未勝利",IF(ISNUMBER(SEARCH("G1",Z2964)),"G1",IF(ISNUMBER(SEARCH("G2",Z2964)),"G2",IF(ISNUMBER(SEARCH("G3",Z2964)),"G3",IF(ISNUMBER(SEARCH("古馬条件",Z2964)),"古馬条件戦",IF(ISNUMBER(SEARCH("重賞",Z2964)),"重賞","分類不能")))))))))</f>
        <v/>
      </c>
    </row>
    <row r="2965" customFormat="false" ht="15.75" hidden="false" customHeight="false" outlineLevel="0" collapsed="false">
      <c r="AO2965" s="8" t="str">
        <f aca="false">IF(A2965="","",IF(COUNTIFS(全馬データ!$A$2:$A$50000,A2965,全馬データ!$B$2:$B$50000,B2965,全馬データ!$C$2:$C$50000,C2965,全馬データ!$D$2:$D$50000,E2965,全馬データ!$K$2:$K$50000,"&lt;&gt;")=0,"",SUMIFS(全馬データ!$K$2:$K$50000,全馬データ!$A$2:$A$50000,A2965,全馬データ!$B$2:$B$50000,B2965,全馬データ!$C$2:$C$50000,C2965,全馬データ!$D$2:$D$50000,E2965)))</f>
        <v/>
      </c>
      <c r="AP2965" s="8" t="str">
        <f aca="false">IF(A2965="","",IF(AO2965="","欠損",IF(AO2965&lt;=1.1,"1.0～1.1",IF(AO2965&lt;1.3,"1.2",IF(AO2965&lt;1.5,"1.3～1.4",IF(AO2965&lt;2,"1.5～1.9","2.0以上"))))))</f>
        <v/>
      </c>
      <c r="AQ2965" s="8" t="str">
        <f aca="false">IF(A2965="","",IF(ISNUMBER(SEARCH("2歳",Z2965)),"2歳戦",IF(ISNUMBER(SEARCH("3歳未勝利",Z2965)),"3歳未勝利",IF(ISNUMBER(SEARCH("未勝利",Z2965)),"その他未勝利",IF(ISNUMBER(SEARCH("G1",Z2965)),"G1",IF(ISNUMBER(SEARCH("G2",Z2965)),"G2",IF(ISNUMBER(SEARCH("G3",Z2965)),"G3",IF(ISNUMBER(SEARCH("古馬条件",Z2965)),"古馬条件戦",IF(ISNUMBER(SEARCH("重賞",Z2965)),"重賞","分類不能")))))))))</f>
        <v/>
      </c>
    </row>
    <row r="2966" customFormat="false" ht="15.75" hidden="false" customHeight="false" outlineLevel="0" collapsed="false">
      <c r="AO2966" s="8" t="str">
        <f aca="false">IF(A2966="","",IF(COUNTIFS(全馬データ!$A$2:$A$50000,A2966,全馬データ!$B$2:$B$50000,B2966,全馬データ!$C$2:$C$50000,C2966,全馬データ!$D$2:$D$50000,E2966,全馬データ!$K$2:$K$50000,"&lt;&gt;")=0,"",SUMIFS(全馬データ!$K$2:$K$50000,全馬データ!$A$2:$A$50000,A2966,全馬データ!$B$2:$B$50000,B2966,全馬データ!$C$2:$C$50000,C2966,全馬データ!$D$2:$D$50000,E2966)))</f>
        <v/>
      </c>
      <c r="AP2966" s="8" t="str">
        <f aca="false">IF(A2966="","",IF(AO2966="","欠損",IF(AO2966&lt;=1.1,"1.0～1.1",IF(AO2966&lt;1.3,"1.2",IF(AO2966&lt;1.5,"1.3～1.4",IF(AO2966&lt;2,"1.5～1.9","2.0以上"))))))</f>
        <v/>
      </c>
      <c r="AQ2966" s="8" t="str">
        <f aca="false">IF(A2966="","",IF(ISNUMBER(SEARCH("2歳",Z2966)),"2歳戦",IF(ISNUMBER(SEARCH("3歳未勝利",Z2966)),"3歳未勝利",IF(ISNUMBER(SEARCH("未勝利",Z2966)),"その他未勝利",IF(ISNUMBER(SEARCH("G1",Z2966)),"G1",IF(ISNUMBER(SEARCH("G2",Z2966)),"G2",IF(ISNUMBER(SEARCH("G3",Z2966)),"G3",IF(ISNUMBER(SEARCH("古馬条件",Z2966)),"古馬条件戦",IF(ISNUMBER(SEARCH("重賞",Z2966)),"重賞","分類不能")))))))))</f>
        <v/>
      </c>
    </row>
    <row r="2967" customFormat="false" ht="15.75" hidden="false" customHeight="false" outlineLevel="0" collapsed="false">
      <c r="AO2967" s="8" t="str">
        <f aca="false">IF(A2967="","",IF(COUNTIFS(全馬データ!$A$2:$A$50000,A2967,全馬データ!$B$2:$B$50000,B2967,全馬データ!$C$2:$C$50000,C2967,全馬データ!$D$2:$D$50000,E2967,全馬データ!$K$2:$K$50000,"&lt;&gt;")=0,"",SUMIFS(全馬データ!$K$2:$K$50000,全馬データ!$A$2:$A$50000,A2967,全馬データ!$B$2:$B$50000,B2967,全馬データ!$C$2:$C$50000,C2967,全馬データ!$D$2:$D$50000,E2967)))</f>
        <v/>
      </c>
      <c r="AP2967" s="8" t="str">
        <f aca="false">IF(A2967="","",IF(AO2967="","欠損",IF(AO2967&lt;=1.1,"1.0～1.1",IF(AO2967&lt;1.3,"1.2",IF(AO2967&lt;1.5,"1.3～1.4",IF(AO2967&lt;2,"1.5～1.9","2.0以上"))))))</f>
        <v/>
      </c>
      <c r="AQ2967" s="8" t="str">
        <f aca="false">IF(A2967="","",IF(ISNUMBER(SEARCH("2歳",Z2967)),"2歳戦",IF(ISNUMBER(SEARCH("3歳未勝利",Z2967)),"3歳未勝利",IF(ISNUMBER(SEARCH("未勝利",Z2967)),"その他未勝利",IF(ISNUMBER(SEARCH("G1",Z2967)),"G1",IF(ISNUMBER(SEARCH("G2",Z2967)),"G2",IF(ISNUMBER(SEARCH("G3",Z2967)),"G3",IF(ISNUMBER(SEARCH("古馬条件",Z2967)),"古馬条件戦",IF(ISNUMBER(SEARCH("重賞",Z2967)),"重賞","分類不能")))))))))</f>
        <v/>
      </c>
    </row>
    <row r="2968" customFormat="false" ht="15.75" hidden="false" customHeight="false" outlineLevel="0" collapsed="false">
      <c r="AO2968" s="8" t="str">
        <f aca="false">IF(A2968="","",IF(COUNTIFS(全馬データ!$A$2:$A$50000,A2968,全馬データ!$B$2:$B$50000,B2968,全馬データ!$C$2:$C$50000,C2968,全馬データ!$D$2:$D$50000,E2968,全馬データ!$K$2:$K$50000,"&lt;&gt;")=0,"",SUMIFS(全馬データ!$K$2:$K$50000,全馬データ!$A$2:$A$50000,A2968,全馬データ!$B$2:$B$50000,B2968,全馬データ!$C$2:$C$50000,C2968,全馬データ!$D$2:$D$50000,E2968)))</f>
        <v/>
      </c>
      <c r="AP2968" s="8" t="str">
        <f aca="false">IF(A2968="","",IF(AO2968="","欠損",IF(AO2968&lt;=1.1,"1.0～1.1",IF(AO2968&lt;1.3,"1.2",IF(AO2968&lt;1.5,"1.3～1.4",IF(AO2968&lt;2,"1.5～1.9","2.0以上"))))))</f>
        <v/>
      </c>
      <c r="AQ2968" s="8" t="str">
        <f aca="false">IF(A2968="","",IF(ISNUMBER(SEARCH("2歳",Z2968)),"2歳戦",IF(ISNUMBER(SEARCH("3歳未勝利",Z2968)),"3歳未勝利",IF(ISNUMBER(SEARCH("未勝利",Z2968)),"その他未勝利",IF(ISNUMBER(SEARCH("G1",Z2968)),"G1",IF(ISNUMBER(SEARCH("G2",Z2968)),"G2",IF(ISNUMBER(SEARCH("G3",Z2968)),"G3",IF(ISNUMBER(SEARCH("古馬条件",Z2968)),"古馬条件戦",IF(ISNUMBER(SEARCH("重賞",Z2968)),"重賞","分類不能")))))))))</f>
        <v/>
      </c>
    </row>
    <row r="2969" customFormat="false" ht="15.75" hidden="false" customHeight="false" outlineLevel="0" collapsed="false">
      <c r="AO2969" s="8" t="str">
        <f aca="false">IF(A2969="","",IF(COUNTIFS(全馬データ!$A$2:$A$50000,A2969,全馬データ!$B$2:$B$50000,B2969,全馬データ!$C$2:$C$50000,C2969,全馬データ!$D$2:$D$50000,E2969,全馬データ!$K$2:$K$50000,"&lt;&gt;")=0,"",SUMIFS(全馬データ!$K$2:$K$50000,全馬データ!$A$2:$A$50000,A2969,全馬データ!$B$2:$B$50000,B2969,全馬データ!$C$2:$C$50000,C2969,全馬データ!$D$2:$D$50000,E2969)))</f>
        <v/>
      </c>
      <c r="AP2969" s="8" t="str">
        <f aca="false">IF(A2969="","",IF(AO2969="","欠損",IF(AO2969&lt;=1.1,"1.0～1.1",IF(AO2969&lt;1.3,"1.2",IF(AO2969&lt;1.5,"1.3～1.4",IF(AO2969&lt;2,"1.5～1.9","2.0以上"))))))</f>
        <v/>
      </c>
      <c r="AQ2969" s="8" t="str">
        <f aca="false">IF(A2969="","",IF(ISNUMBER(SEARCH("2歳",Z2969)),"2歳戦",IF(ISNUMBER(SEARCH("3歳未勝利",Z2969)),"3歳未勝利",IF(ISNUMBER(SEARCH("未勝利",Z2969)),"その他未勝利",IF(ISNUMBER(SEARCH("G1",Z2969)),"G1",IF(ISNUMBER(SEARCH("G2",Z2969)),"G2",IF(ISNUMBER(SEARCH("G3",Z2969)),"G3",IF(ISNUMBER(SEARCH("古馬条件",Z2969)),"古馬条件戦",IF(ISNUMBER(SEARCH("重賞",Z2969)),"重賞","分類不能")))))))))</f>
        <v/>
      </c>
    </row>
    <row r="2970" customFormat="false" ht="15.75" hidden="false" customHeight="false" outlineLevel="0" collapsed="false">
      <c r="AO2970" s="8" t="str">
        <f aca="false">IF(A2970="","",IF(COUNTIFS(全馬データ!$A$2:$A$50000,A2970,全馬データ!$B$2:$B$50000,B2970,全馬データ!$C$2:$C$50000,C2970,全馬データ!$D$2:$D$50000,E2970,全馬データ!$K$2:$K$50000,"&lt;&gt;")=0,"",SUMIFS(全馬データ!$K$2:$K$50000,全馬データ!$A$2:$A$50000,A2970,全馬データ!$B$2:$B$50000,B2970,全馬データ!$C$2:$C$50000,C2970,全馬データ!$D$2:$D$50000,E2970)))</f>
        <v/>
      </c>
      <c r="AP2970" s="8" t="str">
        <f aca="false">IF(A2970="","",IF(AO2970="","欠損",IF(AO2970&lt;=1.1,"1.0～1.1",IF(AO2970&lt;1.3,"1.2",IF(AO2970&lt;1.5,"1.3～1.4",IF(AO2970&lt;2,"1.5～1.9","2.0以上"))))))</f>
        <v/>
      </c>
      <c r="AQ2970" s="8" t="str">
        <f aca="false">IF(A2970="","",IF(ISNUMBER(SEARCH("2歳",Z2970)),"2歳戦",IF(ISNUMBER(SEARCH("3歳未勝利",Z2970)),"3歳未勝利",IF(ISNUMBER(SEARCH("未勝利",Z2970)),"その他未勝利",IF(ISNUMBER(SEARCH("G1",Z2970)),"G1",IF(ISNUMBER(SEARCH("G2",Z2970)),"G2",IF(ISNUMBER(SEARCH("G3",Z2970)),"G3",IF(ISNUMBER(SEARCH("古馬条件",Z2970)),"古馬条件戦",IF(ISNUMBER(SEARCH("重賞",Z2970)),"重賞","分類不能")))))))))</f>
        <v/>
      </c>
    </row>
    <row r="2971" customFormat="false" ht="15.75" hidden="false" customHeight="false" outlineLevel="0" collapsed="false">
      <c r="AO2971" s="8" t="str">
        <f aca="false">IF(A2971="","",IF(COUNTIFS(全馬データ!$A$2:$A$50000,A2971,全馬データ!$B$2:$B$50000,B2971,全馬データ!$C$2:$C$50000,C2971,全馬データ!$D$2:$D$50000,E2971,全馬データ!$K$2:$K$50000,"&lt;&gt;")=0,"",SUMIFS(全馬データ!$K$2:$K$50000,全馬データ!$A$2:$A$50000,A2971,全馬データ!$B$2:$B$50000,B2971,全馬データ!$C$2:$C$50000,C2971,全馬データ!$D$2:$D$50000,E2971)))</f>
        <v/>
      </c>
      <c r="AP2971" s="8" t="str">
        <f aca="false">IF(A2971="","",IF(AO2971="","欠損",IF(AO2971&lt;=1.1,"1.0～1.1",IF(AO2971&lt;1.3,"1.2",IF(AO2971&lt;1.5,"1.3～1.4",IF(AO2971&lt;2,"1.5～1.9","2.0以上"))))))</f>
        <v/>
      </c>
      <c r="AQ2971" s="8" t="str">
        <f aca="false">IF(A2971="","",IF(ISNUMBER(SEARCH("2歳",Z2971)),"2歳戦",IF(ISNUMBER(SEARCH("3歳未勝利",Z2971)),"3歳未勝利",IF(ISNUMBER(SEARCH("未勝利",Z2971)),"その他未勝利",IF(ISNUMBER(SEARCH("G1",Z2971)),"G1",IF(ISNUMBER(SEARCH("G2",Z2971)),"G2",IF(ISNUMBER(SEARCH("G3",Z2971)),"G3",IF(ISNUMBER(SEARCH("古馬条件",Z2971)),"古馬条件戦",IF(ISNUMBER(SEARCH("重賞",Z2971)),"重賞","分類不能")))))))))</f>
        <v/>
      </c>
    </row>
    <row r="2972" customFormat="false" ht="15.75" hidden="false" customHeight="false" outlineLevel="0" collapsed="false">
      <c r="AO2972" s="8" t="str">
        <f aca="false">IF(A2972="","",IF(COUNTIFS(全馬データ!$A$2:$A$50000,A2972,全馬データ!$B$2:$B$50000,B2972,全馬データ!$C$2:$C$50000,C2972,全馬データ!$D$2:$D$50000,E2972,全馬データ!$K$2:$K$50000,"&lt;&gt;")=0,"",SUMIFS(全馬データ!$K$2:$K$50000,全馬データ!$A$2:$A$50000,A2972,全馬データ!$B$2:$B$50000,B2972,全馬データ!$C$2:$C$50000,C2972,全馬データ!$D$2:$D$50000,E2972)))</f>
        <v/>
      </c>
      <c r="AP2972" s="8" t="str">
        <f aca="false">IF(A2972="","",IF(AO2972="","欠損",IF(AO2972&lt;=1.1,"1.0～1.1",IF(AO2972&lt;1.3,"1.2",IF(AO2972&lt;1.5,"1.3～1.4",IF(AO2972&lt;2,"1.5～1.9","2.0以上"))))))</f>
        <v/>
      </c>
      <c r="AQ2972" s="8" t="str">
        <f aca="false">IF(A2972="","",IF(ISNUMBER(SEARCH("2歳",Z2972)),"2歳戦",IF(ISNUMBER(SEARCH("3歳未勝利",Z2972)),"3歳未勝利",IF(ISNUMBER(SEARCH("未勝利",Z2972)),"その他未勝利",IF(ISNUMBER(SEARCH("G1",Z2972)),"G1",IF(ISNUMBER(SEARCH("G2",Z2972)),"G2",IF(ISNUMBER(SEARCH("G3",Z2972)),"G3",IF(ISNUMBER(SEARCH("古馬条件",Z2972)),"古馬条件戦",IF(ISNUMBER(SEARCH("重賞",Z2972)),"重賞","分類不能")))))))))</f>
        <v/>
      </c>
    </row>
    <row r="2973" customFormat="false" ht="15.75" hidden="false" customHeight="false" outlineLevel="0" collapsed="false">
      <c r="AO2973" s="8" t="str">
        <f aca="false">IF(A2973="","",IF(COUNTIFS(全馬データ!$A$2:$A$50000,A2973,全馬データ!$B$2:$B$50000,B2973,全馬データ!$C$2:$C$50000,C2973,全馬データ!$D$2:$D$50000,E2973,全馬データ!$K$2:$K$50000,"&lt;&gt;")=0,"",SUMIFS(全馬データ!$K$2:$K$50000,全馬データ!$A$2:$A$50000,A2973,全馬データ!$B$2:$B$50000,B2973,全馬データ!$C$2:$C$50000,C2973,全馬データ!$D$2:$D$50000,E2973)))</f>
        <v/>
      </c>
      <c r="AP2973" s="8" t="str">
        <f aca="false">IF(A2973="","",IF(AO2973="","欠損",IF(AO2973&lt;=1.1,"1.0～1.1",IF(AO2973&lt;1.3,"1.2",IF(AO2973&lt;1.5,"1.3～1.4",IF(AO2973&lt;2,"1.5～1.9","2.0以上"))))))</f>
        <v/>
      </c>
      <c r="AQ2973" s="8" t="str">
        <f aca="false">IF(A2973="","",IF(ISNUMBER(SEARCH("2歳",Z2973)),"2歳戦",IF(ISNUMBER(SEARCH("3歳未勝利",Z2973)),"3歳未勝利",IF(ISNUMBER(SEARCH("未勝利",Z2973)),"その他未勝利",IF(ISNUMBER(SEARCH("G1",Z2973)),"G1",IF(ISNUMBER(SEARCH("G2",Z2973)),"G2",IF(ISNUMBER(SEARCH("G3",Z2973)),"G3",IF(ISNUMBER(SEARCH("古馬条件",Z2973)),"古馬条件戦",IF(ISNUMBER(SEARCH("重賞",Z2973)),"重賞","分類不能")))))))))</f>
        <v/>
      </c>
    </row>
    <row r="2974" customFormat="false" ht="15.75" hidden="false" customHeight="false" outlineLevel="0" collapsed="false">
      <c r="AO2974" s="8" t="str">
        <f aca="false">IF(A2974="","",IF(COUNTIFS(全馬データ!$A$2:$A$50000,A2974,全馬データ!$B$2:$B$50000,B2974,全馬データ!$C$2:$C$50000,C2974,全馬データ!$D$2:$D$50000,E2974,全馬データ!$K$2:$K$50000,"&lt;&gt;")=0,"",SUMIFS(全馬データ!$K$2:$K$50000,全馬データ!$A$2:$A$50000,A2974,全馬データ!$B$2:$B$50000,B2974,全馬データ!$C$2:$C$50000,C2974,全馬データ!$D$2:$D$50000,E2974)))</f>
        <v/>
      </c>
      <c r="AP2974" s="8" t="str">
        <f aca="false">IF(A2974="","",IF(AO2974="","欠損",IF(AO2974&lt;=1.1,"1.0～1.1",IF(AO2974&lt;1.3,"1.2",IF(AO2974&lt;1.5,"1.3～1.4",IF(AO2974&lt;2,"1.5～1.9","2.0以上"))))))</f>
        <v/>
      </c>
      <c r="AQ2974" s="8" t="str">
        <f aca="false">IF(A2974="","",IF(ISNUMBER(SEARCH("2歳",Z2974)),"2歳戦",IF(ISNUMBER(SEARCH("3歳未勝利",Z2974)),"3歳未勝利",IF(ISNUMBER(SEARCH("未勝利",Z2974)),"その他未勝利",IF(ISNUMBER(SEARCH("G1",Z2974)),"G1",IF(ISNUMBER(SEARCH("G2",Z2974)),"G2",IF(ISNUMBER(SEARCH("G3",Z2974)),"G3",IF(ISNUMBER(SEARCH("古馬条件",Z2974)),"古馬条件戦",IF(ISNUMBER(SEARCH("重賞",Z2974)),"重賞","分類不能")))))))))</f>
        <v/>
      </c>
    </row>
    <row r="2975" customFormat="false" ht="15.75" hidden="false" customHeight="false" outlineLevel="0" collapsed="false">
      <c r="AO2975" s="8" t="str">
        <f aca="false">IF(A2975="","",IF(COUNTIFS(全馬データ!$A$2:$A$50000,A2975,全馬データ!$B$2:$B$50000,B2975,全馬データ!$C$2:$C$50000,C2975,全馬データ!$D$2:$D$50000,E2975,全馬データ!$K$2:$K$50000,"&lt;&gt;")=0,"",SUMIFS(全馬データ!$K$2:$K$50000,全馬データ!$A$2:$A$50000,A2975,全馬データ!$B$2:$B$50000,B2975,全馬データ!$C$2:$C$50000,C2975,全馬データ!$D$2:$D$50000,E2975)))</f>
        <v/>
      </c>
      <c r="AP2975" s="8" t="str">
        <f aca="false">IF(A2975="","",IF(AO2975="","欠損",IF(AO2975&lt;=1.1,"1.0～1.1",IF(AO2975&lt;1.3,"1.2",IF(AO2975&lt;1.5,"1.3～1.4",IF(AO2975&lt;2,"1.5～1.9","2.0以上"))))))</f>
        <v/>
      </c>
      <c r="AQ2975" s="8" t="str">
        <f aca="false">IF(A2975="","",IF(ISNUMBER(SEARCH("2歳",Z2975)),"2歳戦",IF(ISNUMBER(SEARCH("3歳未勝利",Z2975)),"3歳未勝利",IF(ISNUMBER(SEARCH("未勝利",Z2975)),"その他未勝利",IF(ISNUMBER(SEARCH("G1",Z2975)),"G1",IF(ISNUMBER(SEARCH("G2",Z2975)),"G2",IF(ISNUMBER(SEARCH("G3",Z2975)),"G3",IF(ISNUMBER(SEARCH("古馬条件",Z2975)),"古馬条件戦",IF(ISNUMBER(SEARCH("重賞",Z2975)),"重賞","分類不能")))))))))</f>
        <v/>
      </c>
    </row>
    <row r="2976" customFormat="false" ht="15.75" hidden="false" customHeight="false" outlineLevel="0" collapsed="false">
      <c r="AO2976" s="8" t="str">
        <f aca="false">IF(A2976="","",IF(COUNTIFS(全馬データ!$A$2:$A$50000,A2976,全馬データ!$B$2:$B$50000,B2976,全馬データ!$C$2:$C$50000,C2976,全馬データ!$D$2:$D$50000,E2976,全馬データ!$K$2:$K$50000,"&lt;&gt;")=0,"",SUMIFS(全馬データ!$K$2:$K$50000,全馬データ!$A$2:$A$50000,A2976,全馬データ!$B$2:$B$50000,B2976,全馬データ!$C$2:$C$50000,C2976,全馬データ!$D$2:$D$50000,E2976)))</f>
        <v/>
      </c>
      <c r="AP2976" s="8" t="str">
        <f aca="false">IF(A2976="","",IF(AO2976="","欠損",IF(AO2976&lt;=1.1,"1.0～1.1",IF(AO2976&lt;1.3,"1.2",IF(AO2976&lt;1.5,"1.3～1.4",IF(AO2976&lt;2,"1.5～1.9","2.0以上"))))))</f>
        <v/>
      </c>
      <c r="AQ2976" s="8" t="str">
        <f aca="false">IF(A2976="","",IF(ISNUMBER(SEARCH("2歳",Z2976)),"2歳戦",IF(ISNUMBER(SEARCH("3歳未勝利",Z2976)),"3歳未勝利",IF(ISNUMBER(SEARCH("未勝利",Z2976)),"その他未勝利",IF(ISNUMBER(SEARCH("G1",Z2976)),"G1",IF(ISNUMBER(SEARCH("G2",Z2976)),"G2",IF(ISNUMBER(SEARCH("G3",Z2976)),"G3",IF(ISNUMBER(SEARCH("古馬条件",Z2976)),"古馬条件戦",IF(ISNUMBER(SEARCH("重賞",Z2976)),"重賞","分類不能")))))))))</f>
        <v/>
      </c>
    </row>
    <row r="2977" customFormat="false" ht="15.75" hidden="false" customHeight="false" outlineLevel="0" collapsed="false">
      <c r="AO2977" s="8" t="str">
        <f aca="false">IF(A2977="","",IF(COUNTIFS(全馬データ!$A$2:$A$50000,A2977,全馬データ!$B$2:$B$50000,B2977,全馬データ!$C$2:$C$50000,C2977,全馬データ!$D$2:$D$50000,E2977,全馬データ!$K$2:$K$50000,"&lt;&gt;")=0,"",SUMIFS(全馬データ!$K$2:$K$50000,全馬データ!$A$2:$A$50000,A2977,全馬データ!$B$2:$B$50000,B2977,全馬データ!$C$2:$C$50000,C2977,全馬データ!$D$2:$D$50000,E2977)))</f>
        <v/>
      </c>
      <c r="AP2977" s="8" t="str">
        <f aca="false">IF(A2977="","",IF(AO2977="","欠損",IF(AO2977&lt;=1.1,"1.0～1.1",IF(AO2977&lt;1.3,"1.2",IF(AO2977&lt;1.5,"1.3～1.4",IF(AO2977&lt;2,"1.5～1.9","2.0以上"))))))</f>
        <v/>
      </c>
      <c r="AQ2977" s="8" t="str">
        <f aca="false">IF(A2977="","",IF(ISNUMBER(SEARCH("2歳",Z2977)),"2歳戦",IF(ISNUMBER(SEARCH("3歳未勝利",Z2977)),"3歳未勝利",IF(ISNUMBER(SEARCH("未勝利",Z2977)),"その他未勝利",IF(ISNUMBER(SEARCH("G1",Z2977)),"G1",IF(ISNUMBER(SEARCH("G2",Z2977)),"G2",IF(ISNUMBER(SEARCH("G3",Z2977)),"G3",IF(ISNUMBER(SEARCH("古馬条件",Z2977)),"古馬条件戦",IF(ISNUMBER(SEARCH("重賞",Z2977)),"重賞","分類不能")))))))))</f>
        <v/>
      </c>
    </row>
    <row r="2978" customFormat="false" ht="15.75" hidden="false" customHeight="false" outlineLevel="0" collapsed="false">
      <c r="AO2978" s="8" t="str">
        <f aca="false">IF(A2978="","",IF(COUNTIFS(全馬データ!$A$2:$A$50000,A2978,全馬データ!$B$2:$B$50000,B2978,全馬データ!$C$2:$C$50000,C2978,全馬データ!$D$2:$D$50000,E2978,全馬データ!$K$2:$K$50000,"&lt;&gt;")=0,"",SUMIFS(全馬データ!$K$2:$K$50000,全馬データ!$A$2:$A$50000,A2978,全馬データ!$B$2:$B$50000,B2978,全馬データ!$C$2:$C$50000,C2978,全馬データ!$D$2:$D$50000,E2978)))</f>
        <v/>
      </c>
      <c r="AP2978" s="8" t="str">
        <f aca="false">IF(A2978="","",IF(AO2978="","欠損",IF(AO2978&lt;=1.1,"1.0～1.1",IF(AO2978&lt;1.3,"1.2",IF(AO2978&lt;1.5,"1.3～1.4",IF(AO2978&lt;2,"1.5～1.9","2.0以上"))))))</f>
        <v/>
      </c>
      <c r="AQ2978" s="8" t="str">
        <f aca="false">IF(A2978="","",IF(ISNUMBER(SEARCH("2歳",Z2978)),"2歳戦",IF(ISNUMBER(SEARCH("3歳未勝利",Z2978)),"3歳未勝利",IF(ISNUMBER(SEARCH("未勝利",Z2978)),"その他未勝利",IF(ISNUMBER(SEARCH("G1",Z2978)),"G1",IF(ISNUMBER(SEARCH("G2",Z2978)),"G2",IF(ISNUMBER(SEARCH("G3",Z2978)),"G3",IF(ISNUMBER(SEARCH("古馬条件",Z2978)),"古馬条件戦",IF(ISNUMBER(SEARCH("重賞",Z2978)),"重賞","分類不能")))))))))</f>
        <v/>
      </c>
    </row>
    <row r="2979" customFormat="false" ht="15.75" hidden="false" customHeight="false" outlineLevel="0" collapsed="false">
      <c r="AO2979" s="8" t="str">
        <f aca="false">IF(A2979="","",IF(COUNTIFS(全馬データ!$A$2:$A$50000,A2979,全馬データ!$B$2:$B$50000,B2979,全馬データ!$C$2:$C$50000,C2979,全馬データ!$D$2:$D$50000,E2979,全馬データ!$K$2:$K$50000,"&lt;&gt;")=0,"",SUMIFS(全馬データ!$K$2:$K$50000,全馬データ!$A$2:$A$50000,A2979,全馬データ!$B$2:$B$50000,B2979,全馬データ!$C$2:$C$50000,C2979,全馬データ!$D$2:$D$50000,E2979)))</f>
        <v/>
      </c>
      <c r="AP2979" s="8" t="str">
        <f aca="false">IF(A2979="","",IF(AO2979="","欠損",IF(AO2979&lt;=1.1,"1.0～1.1",IF(AO2979&lt;1.3,"1.2",IF(AO2979&lt;1.5,"1.3～1.4",IF(AO2979&lt;2,"1.5～1.9","2.0以上"))))))</f>
        <v/>
      </c>
      <c r="AQ2979" s="8" t="str">
        <f aca="false">IF(A2979="","",IF(ISNUMBER(SEARCH("2歳",Z2979)),"2歳戦",IF(ISNUMBER(SEARCH("3歳未勝利",Z2979)),"3歳未勝利",IF(ISNUMBER(SEARCH("未勝利",Z2979)),"その他未勝利",IF(ISNUMBER(SEARCH("G1",Z2979)),"G1",IF(ISNUMBER(SEARCH("G2",Z2979)),"G2",IF(ISNUMBER(SEARCH("G3",Z2979)),"G3",IF(ISNUMBER(SEARCH("古馬条件",Z2979)),"古馬条件戦",IF(ISNUMBER(SEARCH("重賞",Z2979)),"重賞","分類不能")))))))))</f>
        <v/>
      </c>
    </row>
    <row r="2980" customFormat="false" ht="15.75" hidden="false" customHeight="false" outlineLevel="0" collapsed="false">
      <c r="AO2980" s="8" t="str">
        <f aca="false">IF(A2980="","",IF(COUNTIFS(全馬データ!$A$2:$A$50000,A2980,全馬データ!$B$2:$B$50000,B2980,全馬データ!$C$2:$C$50000,C2980,全馬データ!$D$2:$D$50000,E2980,全馬データ!$K$2:$K$50000,"&lt;&gt;")=0,"",SUMIFS(全馬データ!$K$2:$K$50000,全馬データ!$A$2:$A$50000,A2980,全馬データ!$B$2:$B$50000,B2980,全馬データ!$C$2:$C$50000,C2980,全馬データ!$D$2:$D$50000,E2980)))</f>
        <v/>
      </c>
      <c r="AP2980" s="8" t="str">
        <f aca="false">IF(A2980="","",IF(AO2980="","欠損",IF(AO2980&lt;=1.1,"1.0～1.1",IF(AO2980&lt;1.3,"1.2",IF(AO2980&lt;1.5,"1.3～1.4",IF(AO2980&lt;2,"1.5～1.9","2.0以上"))))))</f>
        <v/>
      </c>
      <c r="AQ2980" s="8" t="str">
        <f aca="false">IF(A2980="","",IF(ISNUMBER(SEARCH("2歳",Z2980)),"2歳戦",IF(ISNUMBER(SEARCH("3歳未勝利",Z2980)),"3歳未勝利",IF(ISNUMBER(SEARCH("未勝利",Z2980)),"その他未勝利",IF(ISNUMBER(SEARCH("G1",Z2980)),"G1",IF(ISNUMBER(SEARCH("G2",Z2980)),"G2",IF(ISNUMBER(SEARCH("G3",Z2980)),"G3",IF(ISNUMBER(SEARCH("古馬条件",Z2980)),"古馬条件戦",IF(ISNUMBER(SEARCH("重賞",Z2980)),"重賞","分類不能")))))))))</f>
        <v/>
      </c>
    </row>
    <row r="2981" customFormat="false" ht="15.75" hidden="false" customHeight="false" outlineLevel="0" collapsed="false">
      <c r="AO2981" s="8" t="str">
        <f aca="false">IF(A2981="","",IF(COUNTIFS(全馬データ!$A$2:$A$50000,A2981,全馬データ!$B$2:$B$50000,B2981,全馬データ!$C$2:$C$50000,C2981,全馬データ!$D$2:$D$50000,E2981,全馬データ!$K$2:$K$50000,"&lt;&gt;")=0,"",SUMIFS(全馬データ!$K$2:$K$50000,全馬データ!$A$2:$A$50000,A2981,全馬データ!$B$2:$B$50000,B2981,全馬データ!$C$2:$C$50000,C2981,全馬データ!$D$2:$D$50000,E2981)))</f>
        <v/>
      </c>
      <c r="AP2981" s="8" t="str">
        <f aca="false">IF(A2981="","",IF(AO2981="","欠損",IF(AO2981&lt;=1.1,"1.0～1.1",IF(AO2981&lt;1.3,"1.2",IF(AO2981&lt;1.5,"1.3～1.4",IF(AO2981&lt;2,"1.5～1.9","2.0以上"))))))</f>
        <v/>
      </c>
      <c r="AQ2981" s="8" t="str">
        <f aca="false">IF(A2981="","",IF(ISNUMBER(SEARCH("2歳",Z2981)),"2歳戦",IF(ISNUMBER(SEARCH("3歳未勝利",Z2981)),"3歳未勝利",IF(ISNUMBER(SEARCH("未勝利",Z2981)),"その他未勝利",IF(ISNUMBER(SEARCH("G1",Z2981)),"G1",IF(ISNUMBER(SEARCH("G2",Z2981)),"G2",IF(ISNUMBER(SEARCH("G3",Z2981)),"G3",IF(ISNUMBER(SEARCH("古馬条件",Z2981)),"古馬条件戦",IF(ISNUMBER(SEARCH("重賞",Z2981)),"重賞","分類不能")))))))))</f>
        <v/>
      </c>
    </row>
    <row r="2982" customFormat="false" ht="15.75" hidden="false" customHeight="false" outlineLevel="0" collapsed="false">
      <c r="AO2982" s="8" t="str">
        <f aca="false">IF(A2982="","",IF(COUNTIFS(全馬データ!$A$2:$A$50000,A2982,全馬データ!$B$2:$B$50000,B2982,全馬データ!$C$2:$C$50000,C2982,全馬データ!$D$2:$D$50000,E2982,全馬データ!$K$2:$K$50000,"&lt;&gt;")=0,"",SUMIFS(全馬データ!$K$2:$K$50000,全馬データ!$A$2:$A$50000,A2982,全馬データ!$B$2:$B$50000,B2982,全馬データ!$C$2:$C$50000,C2982,全馬データ!$D$2:$D$50000,E2982)))</f>
        <v/>
      </c>
      <c r="AP2982" s="8" t="str">
        <f aca="false">IF(A2982="","",IF(AO2982="","欠損",IF(AO2982&lt;=1.1,"1.0～1.1",IF(AO2982&lt;1.3,"1.2",IF(AO2982&lt;1.5,"1.3～1.4",IF(AO2982&lt;2,"1.5～1.9","2.0以上"))))))</f>
        <v/>
      </c>
      <c r="AQ2982" s="8" t="str">
        <f aca="false">IF(A2982="","",IF(ISNUMBER(SEARCH("2歳",Z2982)),"2歳戦",IF(ISNUMBER(SEARCH("3歳未勝利",Z2982)),"3歳未勝利",IF(ISNUMBER(SEARCH("未勝利",Z2982)),"その他未勝利",IF(ISNUMBER(SEARCH("G1",Z2982)),"G1",IF(ISNUMBER(SEARCH("G2",Z2982)),"G2",IF(ISNUMBER(SEARCH("G3",Z2982)),"G3",IF(ISNUMBER(SEARCH("古馬条件",Z2982)),"古馬条件戦",IF(ISNUMBER(SEARCH("重賞",Z2982)),"重賞","分類不能")))))))))</f>
        <v/>
      </c>
    </row>
    <row r="2983" customFormat="false" ht="15.75" hidden="false" customHeight="false" outlineLevel="0" collapsed="false">
      <c r="AO2983" s="8" t="str">
        <f aca="false">IF(A2983="","",IF(COUNTIFS(全馬データ!$A$2:$A$50000,A2983,全馬データ!$B$2:$B$50000,B2983,全馬データ!$C$2:$C$50000,C2983,全馬データ!$D$2:$D$50000,E2983,全馬データ!$K$2:$K$50000,"&lt;&gt;")=0,"",SUMIFS(全馬データ!$K$2:$K$50000,全馬データ!$A$2:$A$50000,A2983,全馬データ!$B$2:$B$50000,B2983,全馬データ!$C$2:$C$50000,C2983,全馬データ!$D$2:$D$50000,E2983)))</f>
        <v/>
      </c>
      <c r="AP2983" s="8" t="str">
        <f aca="false">IF(A2983="","",IF(AO2983="","欠損",IF(AO2983&lt;=1.1,"1.0～1.1",IF(AO2983&lt;1.3,"1.2",IF(AO2983&lt;1.5,"1.3～1.4",IF(AO2983&lt;2,"1.5～1.9","2.0以上"))))))</f>
        <v/>
      </c>
      <c r="AQ2983" s="8" t="str">
        <f aca="false">IF(A2983="","",IF(ISNUMBER(SEARCH("2歳",Z2983)),"2歳戦",IF(ISNUMBER(SEARCH("3歳未勝利",Z2983)),"3歳未勝利",IF(ISNUMBER(SEARCH("未勝利",Z2983)),"その他未勝利",IF(ISNUMBER(SEARCH("G1",Z2983)),"G1",IF(ISNUMBER(SEARCH("G2",Z2983)),"G2",IF(ISNUMBER(SEARCH("G3",Z2983)),"G3",IF(ISNUMBER(SEARCH("古馬条件",Z2983)),"古馬条件戦",IF(ISNUMBER(SEARCH("重賞",Z2983)),"重賞","分類不能")))))))))</f>
        <v/>
      </c>
    </row>
    <row r="2984" customFormat="false" ht="15.75" hidden="false" customHeight="false" outlineLevel="0" collapsed="false">
      <c r="AO2984" s="8" t="str">
        <f aca="false">IF(A2984="","",IF(COUNTIFS(全馬データ!$A$2:$A$50000,A2984,全馬データ!$B$2:$B$50000,B2984,全馬データ!$C$2:$C$50000,C2984,全馬データ!$D$2:$D$50000,E2984,全馬データ!$K$2:$K$50000,"&lt;&gt;")=0,"",SUMIFS(全馬データ!$K$2:$K$50000,全馬データ!$A$2:$A$50000,A2984,全馬データ!$B$2:$B$50000,B2984,全馬データ!$C$2:$C$50000,C2984,全馬データ!$D$2:$D$50000,E2984)))</f>
        <v/>
      </c>
      <c r="AP2984" s="8" t="str">
        <f aca="false">IF(A2984="","",IF(AO2984="","欠損",IF(AO2984&lt;=1.1,"1.0～1.1",IF(AO2984&lt;1.3,"1.2",IF(AO2984&lt;1.5,"1.3～1.4",IF(AO2984&lt;2,"1.5～1.9","2.0以上"))))))</f>
        <v/>
      </c>
      <c r="AQ2984" s="8" t="str">
        <f aca="false">IF(A2984="","",IF(ISNUMBER(SEARCH("2歳",Z2984)),"2歳戦",IF(ISNUMBER(SEARCH("3歳未勝利",Z2984)),"3歳未勝利",IF(ISNUMBER(SEARCH("未勝利",Z2984)),"その他未勝利",IF(ISNUMBER(SEARCH("G1",Z2984)),"G1",IF(ISNUMBER(SEARCH("G2",Z2984)),"G2",IF(ISNUMBER(SEARCH("G3",Z2984)),"G3",IF(ISNUMBER(SEARCH("古馬条件",Z2984)),"古馬条件戦",IF(ISNUMBER(SEARCH("重賞",Z2984)),"重賞","分類不能")))))))))</f>
        <v/>
      </c>
    </row>
    <row r="2985" customFormat="false" ht="15.75" hidden="false" customHeight="false" outlineLevel="0" collapsed="false">
      <c r="AO2985" s="8" t="str">
        <f aca="false">IF(A2985="","",IF(COUNTIFS(全馬データ!$A$2:$A$50000,A2985,全馬データ!$B$2:$B$50000,B2985,全馬データ!$C$2:$C$50000,C2985,全馬データ!$D$2:$D$50000,E2985,全馬データ!$K$2:$K$50000,"&lt;&gt;")=0,"",SUMIFS(全馬データ!$K$2:$K$50000,全馬データ!$A$2:$A$50000,A2985,全馬データ!$B$2:$B$50000,B2985,全馬データ!$C$2:$C$50000,C2985,全馬データ!$D$2:$D$50000,E2985)))</f>
        <v/>
      </c>
      <c r="AP2985" s="8" t="str">
        <f aca="false">IF(A2985="","",IF(AO2985="","欠損",IF(AO2985&lt;=1.1,"1.0～1.1",IF(AO2985&lt;1.3,"1.2",IF(AO2985&lt;1.5,"1.3～1.4",IF(AO2985&lt;2,"1.5～1.9","2.0以上"))))))</f>
        <v/>
      </c>
      <c r="AQ2985" s="8" t="str">
        <f aca="false">IF(A2985="","",IF(ISNUMBER(SEARCH("2歳",Z2985)),"2歳戦",IF(ISNUMBER(SEARCH("3歳未勝利",Z2985)),"3歳未勝利",IF(ISNUMBER(SEARCH("未勝利",Z2985)),"その他未勝利",IF(ISNUMBER(SEARCH("G1",Z2985)),"G1",IF(ISNUMBER(SEARCH("G2",Z2985)),"G2",IF(ISNUMBER(SEARCH("G3",Z2985)),"G3",IF(ISNUMBER(SEARCH("古馬条件",Z2985)),"古馬条件戦",IF(ISNUMBER(SEARCH("重賞",Z2985)),"重賞","分類不能")))))))))</f>
        <v/>
      </c>
    </row>
    <row r="2986" customFormat="false" ht="15.75" hidden="false" customHeight="false" outlineLevel="0" collapsed="false">
      <c r="AO2986" s="8" t="str">
        <f aca="false">IF(A2986="","",IF(COUNTIFS(全馬データ!$A$2:$A$50000,A2986,全馬データ!$B$2:$B$50000,B2986,全馬データ!$C$2:$C$50000,C2986,全馬データ!$D$2:$D$50000,E2986,全馬データ!$K$2:$K$50000,"&lt;&gt;")=0,"",SUMIFS(全馬データ!$K$2:$K$50000,全馬データ!$A$2:$A$50000,A2986,全馬データ!$B$2:$B$50000,B2986,全馬データ!$C$2:$C$50000,C2986,全馬データ!$D$2:$D$50000,E2986)))</f>
        <v/>
      </c>
      <c r="AP2986" s="8" t="str">
        <f aca="false">IF(A2986="","",IF(AO2986="","欠損",IF(AO2986&lt;=1.1,"1.0～1.1",IF(AO2986&lt;1.3,"1.2",IF(AO2986&lt;1.5,"1.3～1.4",IF(AO2986&lt;2,"1.5～1.9","2.0以上"))))))</f>
        <v/>
      </c>
      <c r="AQ2986" s="8" t="str">
        <f aca="false">IF(A2986="","",IF(ISNUMBER(SEARCH("2歳",Z2986)),"2歳戦",IF(ISNUMBER(SEARCH("3歳未勝利",Z2986)),"3歳未勝利",IF(ISNUMBER(SEARCH("未勝利",Z2986)),"その他未勝利",IF(ISNUMBER(SEARCH("G1",Z2986)),"G1",IF(ISNUMBER(SEARCH("G2",Z2986)),"G2",IF(ISNUMBER(SEARCH("G3",Z2986)),"G3",IF(ISNUMBER(SEARCH("古馬条件",Z2986)),"古馬条件戦",IF(ISNUMBER(SEARCH("重賞",Z2986)),"重賞","分類不能")))))))))</f>
        <v/>
      </c>
    </row>
    <row r="2987" customFormat="false" ht="15.75" hidden="false" customHeight="false" outlineLevel="0" collapsed="false">
      <c r="AO2987" s="8" t="str">
        <f aca="false">IF(A2987="","",IF(COUNTIFS(全馬データ!$A$2:$A$50000,A2987,全馬データ!$B$2:$B$50000,B2987,全馬データ!$C$2:$C$50000,C2987,全馬データ!$D$2:$D$50000,E2987,全馬データ!$K$2:$K$50000,"&lt;&gt;")=0,"",SUMIFS(全馬データ!$K$2:$K$50000,全馬データ!$A$2:$A$50000,A2987,全馬データ!$B$2:$B$50000,B2987,全馬データ!$C$2:$C$50000,C2987,全馬データ!$D$2:$D$50000,E2987)))</f>
        <v/>
      </c>
      <c r="AP2987" s="8" t="str">
        <f aca="false">IF(A2987="","",IF(AO2987="","欠損",IF(AO2987&lt;=1.1,"1.0～1.1",IF(AO2987&lt;1.3,"1.2",IF(AO2987&lt;1.5,"1.3～1.4",IF(AO2987&lt;2,"1.5～1.9","2.0以上"))))))</f>
        <v/>
      </c>
      <c r="AQ2987" s="8" t="str">
        <f aca="false">IF(A2987="","",IF(ISNUMBER(SEARCH("2歳",Z2987)),"2歳戦",IF(ISNUMBER(SEARCH("3歳未勝利",Z2987)),"3歳未勝利",IF(ISNUMBER(SEARCH("未勝利",Z2987)),"その他未勝利",IF(ISNUMBER(SEARCH("G1",Z2987)),"G1",IF(ISNUMBER(SEARCH("G2",Z2987)),"G2",IF(ISNUMBER(SEARCH("G3",Z2987)),"G3",IF(ISNUMBER(SEARCH("古馬条件",Z2987)),"古馬条件戦",IF(ISNUMBER(SEARCH("重賞",Z2987)),"重賞","分類不能")))))))))</f>
        <v/>
      </c>
    </row>
    <row r="2988" customFormat="false" ht="15.75" hidden="false" customHeight="false" outlineLevel="0" collapsed="false">
      <c r="AO2988" s="8" t="str">
        <f aca="false">IF(A2988="","",IF(COUNTIFS(全馬データ!$A$2:$A$50000,A2988,全馬データ!$B$2:$B$50000,B2988,全馬データ!$C$2:$C$50000,C2988,全馬データ!$D$2:$D$50000,E2988,全馬データ!$K$2:$K$50000,"&lt;&gt;")=0,"",SUMIFS(全馬データ!$K$2:$K$50000,全馬データ!$A$2:$A$50000,A2988,全馬データ!$B$2:$B$50000,B2988,全馬データ!$C$2:$C$50000,C2988,全馬データ!$D$2:$D$50000,E2988)))</f>
        <v/>
      </c>
      <c r="AP2988" s="8" t="str">
        <f aca="false">IF(A2988="","",IF(AO2988="","欠損",IF(AO2988&lt;=1.1,"1.0～1.1",IF(AO2988&lt;1.3,"1.2",IF(AO2988&lt;1.5,"1.3～1.4",IF(AO2988&lt;2,"1.5～1.9","2.0以上"))))))</f>
        <v/>
      </c>
      <c r="AQ2988" s="8" t="str">
        <f aca="false">IF(A2988="","",IF(ISNUMBER(SEARCH("2歳",Z2988)),"2歳戦",IF(ISNUMBER(SEARCH("3歳未勝利",Z2988)),"3歳未勝利",IF(ISNUMBER(SEARCH("未勝利",Z2988)),"その他未勝利",IF(ISNUMBER(SEARCH("G1",Z2988)),"G1",IF(ISNUMBER(SEARCH("G2",Z2988)),"G2",IF(ISNUMBER(SEARCH("G3",Z2988)),"G3",IF(ISNUMBER(SEARCH("古馬条件",Z2988)),"古馬条件戦",IF(ISNUMBER(SEARCH("重賞",Z2988)),"重賞","分類不能")))))))))</f>
        <v/>
      </c>
    </row>
    <row r="2989" customFormat="false" ht="15.75" hidden="false" customHeight="false" outlineLevel="0" collapsed="false">
      <c r="AO2989" s="8" t="str">
        <f aca="false">IF(A2989="","",IF(COUNTIFS(全馬データ!$A$2:$A$50000,A2989,全馬データ!$B$2:$B$50000,B2989,全馬データ!$C$2:$C$50000,C2989,全馬データ!$D$2:$D$50000,E2989,全馬データ!$K$2:$K$50000,"&lt;&gt;")=0,"",SUMIFS(全馬データ!$K$2:$K$50000,全馬データ!$A$2:$A$50000,A2989,全馬データ!$B$2:$B$50000,B2989,全馬データ!$C$2:$C$50000,C2989,全馬データ!$D$2:$D$50000,E2989)))</f>
        <v/>
      </c>
      <c r="AP2989" s="8" t="str">
        <f aca="false">IF(A2989="","",IF(AO2989="","欠損",IF(AO2989&lt;=1.1,"1.0～1.1",IF(AO2989&lt;1.3,"1.2",IF(AO2989&lt;1.5,"1.3～1.4",IF(AO2989&lt;2,"1.5～1.9","2.0以上"))))))</f>
        <v/>
      </c>
      <c r="AQ2989" s="8" t="str">
        <f aca="false">IF(A2989="","",IF(ISNUMBER(SEARCH("2歳",Z2989)),"2歳戦",IF(ISNUMBER(SEARCH("3歳未勝利",Z2989)),"3歳未勝利",IF(ISNUMBER(SEARCH("未勝利",Z2989)),"その他未勝利",IF(ISNUMBER(SEARCH("G1",Z2989)),"G1",IF(ISNUMBER(SEARCH("G2",Z2989)),"G2",IF(ISNUMBER(SEARCH("G3",Z2989)),"G3",IF(ISNUMBER(SEARCH("古馬条件",Z2989)),"古馬条件戦",IF(ISNUMBER(SEARCH("重賞",Z2989)),"重賞","分類不能")))))))))</f>
        <v/>
      </c>
    </row>
    <row r="2990" customFormat="false" ht="15.75" hidden="false" customHeight="false" outlineLevel="0" collapsed="false">
      <c r="AO2990" s="8" t="str">
        <f aca="false">IF(A2990="","",IF(COUNTIFS(全馬データ!$A$2:$A$50000,A2990,全馬データ!$B$2:$B$50000,B2990,全馬データ!$C$2:$C$50000,C2990,全馬データ!$D$2:$D$50000,E2990,全馬データ!$K$2:$K$50000,"&lt;&gt;")=0,"",SUMIFS(全馬データ!$K$2:$K$50000,全馬データ!$A$2:$A$50000,A2990,全馬データ!$B$2:$B$50000,B2990,全馬データ!$C$2:$C$50000,C2990,全馬データ!$D$2:$D$50000,E2990)))</f>
        <v/>
      </c>
      <c r="AP2990" s="8" t="str">
        <f aca="false">IF(A2990="","",IF(AO2990="","欠損",IF(AO2990&lt;=1.1,"1.0～1.1",IF(AO2990&lt;1.3,"1.2",IF(AO2990&lt;1.5,"1.3～1.4",IF(AO2990&lt;2,"1.5～1.9","2.0以上"))))))</f>
        <v/>
      </c>
      <c r="AQ2990" s="8" t="str">
        <f aca="false">IF(A2990="","",IF(ISNUMBER(SEARCH("2歳",Z2990)),"2歳戦",IF(ISNUMBER(SEARCH("3歳未勝利",Z2990)),"3歳未勝利",IF(ISNUMBER(SEARCH("未勝利",Z2990)),"その他未勝利",IF(ISNUMBER(SEARCH("G1",Z2990)),"G1",IF(ISNUMBER(SEARCH("G2",Z2990)),"G2",IF(ISNUMBER(SEARCH("G3",Z2990)),"G3",IF(ISNUMBER(SEARCH("古馬条件",Z2990)),"古馬条件戦",IF(ISNUMBER(SEARCH("重賞",Z2990)),"重賞","分類不能")))))))))</f>
        <v/>
      </c>
    </row>
    <row r="2991" customFormat="false" ht="15.75" hidden="false" customHeight="false" outlineLevel="0" collapsed="false">
      <c r="AO2991" s="8" t="str">
        <f aca="false">IF(A2991="","",IF(COUNTIFS(全馬データ!$A$2:$A$50000,A2991,全馬データ!$B$2:$B$50000,B2991,全馬データ!$C$2:$C$50000,C2991,全馬データ!$D$2:$D$50000,E2991,全馬データ!$K$2:$K$50000,"&lt;&gt;")=0,"",SUMIFS(全馬データ!$K$2:$K$50000,全馬データ!$A$2:$A$50000,A2991,全馬データ!$B$2:$B$50000,B2991,全馬データ!$C$2:$C$50000,C2991,全馬データ!$D$2:$D$50000,E2991)))</f>
        <v/>
      </c>
      <c r="AP2991" s="8" t="str">
        <f aca="false">IF(A2991="","",IF(AO2991="","欠損",IF(AO2991&lt;=1.1,"1.0～1.1",IF(AO2991&lt;1.3,"1.2",IF(AO2991&lt;1.5,"1.3～1.4",IF(AO2991&lt;2,"1.5～1.9","2.0以上"))))))</f>
        <v/>
      </c>
      <c r="AQ2991" s="8" t="str">
        <f aca="false">IF(A2991="","",IF(ISNUMBER(SEARCH("2歳",Z2991)),"2歳戦",IF(ISNUMBER(SEARCH("3歳未勝利",Z2991)),"3歳未勝利",IF(ISNUMBER(SEARCH("未勝利",Z2991)),"その他未勝利",IF(ISNUMBER(SEARCH("G1",Z2991)),"G1",IF(ISNUMBER(SEARCH("G2",Z2991)),"G2",IF(ISNUMBER(SEARCH("G3",Z2991)),"G3",IF(ISNUMBER(SEARCH("古馬条件",Z2991)),"古馬条件戦",IF(ISNUMBER(SEARCH("重賞",Z2991)),"重賞","分類不能")))))))))</f>
        <v/>
      </c>
    </row>
    <row r="2992" customFormat="false" ht="15.75" hidden="false" customHeight="false" outlineLevel="0" collapsed="false">
      <c r="AO2992" s="8" t="str">
        <f aca="false">IF(A2992="","",IF(COUNTIFS(全馬データ!$A$2:$A$50000,A2992,全馬データ!$B$2:$B$50000,B2992,全馬データ!$C$2:$C$50000,C2992,全馬データ!$D$2:$D$50000,E2992,全馬データ!$K$2:$K$50000,"&lt;&gt;")=0,"",SUMIFS(全馬データ!$K$2:$K$50000,全馬データ!$A$2:$A$50000,A2992,全馬データ!$B$2:$B$50000,B2992,全馬データ!$C$2:$C$50000,C2992,全馬データ!$D$2:$D$50000,E2992)))</f>
        <v/>
      </c>
      <c r="AP2992" s="8" t="str">
        <f aca="false">IF(A2992="","",IF(AO2992="","欠損",IF(AO2992&lt;=1.1,"1.0～1.1",IF(AO2992&lt;1.3,"1.2",IF(AO2992&lt;1.5,"1.3～1.4",IF(AO2992&lt;2,"1.5～1.9","2.0以上"))))))</f>
        <v/>
      </c>
      <c r="AQ2992" s="8" t="str">
        <f aca="false">IF(A2992="","",IF(ISNUMBER(SEARCH("2歳",Z2992)),"2歳戦",IF(ISNUMBER(SEARCH("3歳未勝利",Z2992)),"3歳未勝利",IF(ISNUMBER(SEARCH("未勝利",Z2992)),"その他未勝利",IF(ISNUMBER(SEARCH("G1",Z2992)),"G1",IF(ISNUMBER(SEARCH("G2",Z2992)),"G2",IF(ISNUMBER(SEARCH("G3",Z2992)),"G3",IF(ISNUMBER(SEARCH("古馬条件",Z2992)),"古馬条件戦",IF(ISNUMBER(SEARCH("重賞",Z2992)),"重賞","分類不能")))))))))</f>
        <v/>
      </c>
    </row>
    <row r="2993" customFormat="false" ht="15.75" hidden="false" customHeight="false" outlineLevel="0" collapsed="false">
      <c r="AO2993" s="8" t="str">
        <f aca="false">IF(A2993="","",IF(COUNTIFS(全馬データ!$A$2:$A$50000,A2993,全馬データ!$B$2:$B$50000,B2993,全馬データ!$C$2:$C$50000,C2993,全馬データ!$D$2:$D$50000,E2993,全馬データ!$K$2:$K$50000,"&lt;&gt;")=0,"",SUMIFS(全馬データ!$K$2:$K$50000,全馬データ!$A$2:$A$50000,A2993,全馬データ!$B$2:$B$50000,B2993,全馬データ!$C$2:$C$50000,C2993,全馬データ!$D$2:$D$50000,E2993)))</f>
        <v/>
      </c>
      <c r="AP2993" s="8" t="str">
        <f aca="false">IF(A2993="","",IF(AO2993="","欠損",IF(AO2993&lt;=1.1,"1.0～1.1",IF(AO2993&lt;1.3,"1.2",IF(AO2993&lt;1.5,"1.3～1.4",IF(AO2993&lt;2,"1.5～1.9","2.0以上"))))))</f>
        <v/>
      </c>
      <c r="AQ2993" s="8" t="str">
        <f aca="false">IF(A2993="","",IF(ISNUMBER(SEARCH("2歳",Z2993)),"2歳戦",IF(ISNUMBER(SEARCH("3歳未勝利",Z2993)),"3歳未勝利",IF(ISNUMBER(SEARCH("未勝利",Z2993)),"その他未勝利",IF(ISNUMBER(SEARCH("G1",Z2993)),"G1",IF(ISNUMBER(SEARCH("G2",Z2993)),"G2",IF(ISNUMBER(SEARCH("G3",Z2993)),"G3",IF(ISNUMBER(SEARCH("古馬条件",Z2993)),"古馬条件戦",IF(ISNUMBER(SEARCH("重賞",Z2993)),"重賞","分類不能")))))))))</f>
        <v/>
      </c>
    </row>
    <row r="2994" customFormat="false" ht="15.75" hidden="false" customHeight="false" outlineLevel="0" collapsed="false">
      <c r="AO2994" s="8" t="str">
        <f aca="false">IF(A2994="","",IF(COUNTIFS(全馬データ!$A$2:$A$50000,A2994,全馬データ!$B$2:$B$50000,B2994,全馬データ!$C$2:$C$50000,C2994,全馬データ!$D$2:$D$50000,E2994,全馬データ!$K$2:$K$50000,"&lt;&gt;")=0,"",SUMIFS(全馬データ!$K$2:$K$50000,全馬データ!$A$2:$A$50000,A2994,全馬データ!$B$2:$B$50000,B2994,全馬データ!$C$2:$C$50000,C2994,全馬データ!$D$2:$D$50000,E2994)))</f>
        <v/>
      </c>
      <c r="AP2994" s="8" t="str">
        <f aca="false">IF(A2994="","",IF(AO2994="","欠損",IF(AO2994&lt;=1.1,"1.0～1.1",IF(AO2994&lt;1.3,"1.2",IF(AO2994&lt;1.5,"1.3～1.4",IF(AO2994&lt;2,"1.5～1.9","2.0以上"))))))</f>
        <v/>
      </c>
      <c r="AQ2994" s="8" t="str">
        <f aca="false">IF(A2994="","",IF(ISNUMBER(SEARCH("2歳",Z2994)),"2歳戦",IF(ISNUMBER(SEARCH("3歳未勝利",Z2994)),"3歳未勝利",IF(ISNUMBER(SEARCH("未勝利",Z2994)),"その他未勝利",IF(ISNUMBER(SEARCH("G1",Z2994)),"G1",IF(ISNUMBER(SEARCH("G2",Z2994)),"G2",IF(ISNUMBER(SEARCH("G3",Z2994)),"G3",IF(ISNUMBER(SEARCH("古馬条件",Z2994)),"古馬条件戦",IF(ISNUMBER(SEARCH("重賞",Z2994)),"重賞","分類不能")))))))))</f>
        <v/>
      </c>
    </row>
    <row r="2995" customFormat="false" ht="15.75" hidden="false" customHeight="false" outlineLevel="0" collapsed="false">
      <c r="AO2995" s="8" t="str">
        <f aca="false">IF(A2995="","",IF(COUNTIFS(全馬データ!$A$2:$A$50000,A2995,全馬データ!$B$2:$B$50000,B2995,全馬データ!$C$2:$C$50000,C2995,全馬データ!$D$2:$D$50000,E2995,全馬データ!$K$2:$K$50000,"&lt;&gt;")=0,"",SUMIFS(全馬データ!$K$2:$K$50000,全馬データ!$A$2:$A$50000,A2995,全馬データ!$B$2:$B$50000,B2995,全馬データ!$C$2:$C$50000,C2995,全馬データ!$D$2:$D$50000,E2995)))</f>
        <v/>
      </c>
      <c r="AP2995" s="8" t="str">
        <f aca="false">IF(A2995="","",IF(AO2995="","欠損",IF(AO2995&lt;=1.1,"1.0～1.1",IF(AO2995&lt;1.3,"1.2",IF(AO2995&lt;1.5,"1.3～1.4",IF(AO2995&lt;2,"1.5～1.9","2.0以上"))))))</f>
        <v/>
      </c>
      <c r="AQ2995" s="8" t="str">
        <f aca="false">IF(A2995="","",IF(ISNUMBER(SEARCH("2歳",Z2995)),"2歳戦",IF(ISNUMBER(SEARCH("3歳未勝利",Z2995)),"3歳未勝利",IF(ISNUMBER(SEARCH("未勝利",Z2995)),"その他未勝利",IF(ISNUMBER(SEARCH("G1",Z2995)),"G1",IF(ISNUMBER(SEARCH("G2",Z2995)),"G2",IF(ISNUMBER(SEARCH("G3",Z2995)),"G3",IF(ISNUMBER(SEARCH("古馬条件",Z2995)),"古馬条件戦",IF(ISNUMBER(SEARCH("重賞",Z2995)),"重賞","分類不能")))))))))</f>
        <v/>
      </c>
    </row>
    <row r="2996" customFormat="false" ht="15.75" hidden="false" customHeight="false" outlineLevel="0" collapsed="false">
      <c r="AO2996" s="8" t="str">
        <f aca="false">IF(A2996="","",IF(COUNTIFS(全馬データ!$A$2:$A$50000,A2996,全馬データ!$B$2:$B$50000,B2996,全馬データ!$C$2:$C$50000,C2996,全馬データ!$D$2:$D$50000,E2996,全馬データ!$K$2:$K$50000,"&lt;&gt;")=0,"",SUMIFS(全馬データ!$K$2:$K$50000,全馬データ!$A$2:$A$50000,A2996,全馬データ!$B$2:$B$50000,B2996,全馬データ!$C$2:$C$50000,C2996,全馬データ!$D$2:$D$50000,E2996)))</f>
        <v/>
      </c>
      <c r="AP2996" s="8" t="str">
        <f aca="false">IF(A2996="","",IF(AO2996="","欠損",IF(AO2996&lt;=1.1,"1.0～1.1",IF(AO2996&lt;1.3,"1.2",IF(AO2996&lt;1.5,"1.3～1.4",IF(AO2996&lt;2,"1.5～1.9","2.0以上"))))))</f>
        <v/>
      </c>
      <c r="AQ2996" s="8" t="str">
        <f aca="false">IF(A2996="","",IF(ISNUMBER(SEARCH("2歳",Z2996)),"2歳戦",IF(ISNUMBER(SEARCH("3歳未勝利",Z2996)),"3歳未勝利",IF(ISNUMBER(SEARCH("未勝利",Z2996)),"その他未勝利",IF(ISNUMBER(SEARCH("G1",Z2996)),"G1",IF(ISNUMBER(SEARCH("G2",Z2996)),"G2",IF(ISNUMBER(SEARCH("G3",Z2996)),"G3",IF(ISNUMBER(SEARCH("古馬条件",Z2996)),"古馬条件戦",IF(ISNUMBER(SEARCH("重賞",Z2996)),"重賞","分類不能")))))))))</f>
        <v/>
      </c>
    </row>
    <row r="2997" customFormat="false" ht="15.75" hidden="false" customHeight="false" outlineLevel="0" collapsed="false">
      <c r="AO2997" s="8" t="str">
        <f aca="false">IF(A2997="","",IF(COUNTIFS(全馬データ!$A$2:$A$50000,A2997,全馬データ!$B$2:$B$50000,B2997,全馬データ!$C$2:$C$50000,C2997,全馬データ!$D$2:$D$50000,E2997,全馬データ!$K$2:$K$50000,"&lt;&gt;")=0,"",SUMIFS(全馬データ!$K$2:$K$50000,全馬データ!$A$2:$A$50000,A2997,全馬データ!$B$2:$B$50000,B2997,全馬データ!$C$2:$C$50000,C2997,全馬データ!$D$2:$D$50000,E2997)))</f>
        <v/>
      </c>
      <c r="AP2997" s="8" t="str">
        <f aca="false">IF(A2997="","",IF(AO2997="","欠損",IF(AO2997&lt;=1.1,"1.0～1.1",IF(AO2997&lt;1.3,"1.2",IF(AO2997&lt;1.5,"1.3～1.4",IF(AO2997&lt;2,"1.5～1.9","2.0以上"))))))</f>
        <v/>
      </c>
      <c r="AQ2997" s="8" t="str">
        <f aca="false">IF(A2997="","",IF(ISNUMBER(SEARCH("2歳",Z2997)),"2歳戦",IF(ISNUMBER(SEARCH("3歳未勝利",Z2997)),"3歳未勝利",IF(ISNUMBER(SEARCH("未勝利",Z2997)),"その他未勝利",IF(ISNUMBER(SEARCH("G1",Z2997)),"G1",IF(ISNUMBER(SEARCH("G2",Z2997)),"G2",IF(ISNUMBER(SEARCH("G3",Z2997)),"G3",IF(ISNUMBER(SEARCH("古馬条件",Z2997)),"古馬条件戦",IF(ISNUMBER(SEARCH("重賞",Z2997)),"重賞","分類不能")))))))))</f>
        <v/>
      </c>
    </row>
    <row r="2998" customFormat="false" ht="15.75" hidden="false" customHeight="false" outlineLevel="0" collapsed="false">
      <c r="AO2998" s="8" t="str">
        <f aca="false">IF(A2998="","",IF(COUNTIFS(全馬データ!$A$2:$A$50000,A2998,全馬データ!$B$2:$B$50000,B2998,全馬データ!$C$2:$C$50000,C2998,全馬データ!$D$2:$D$50000,E2998,全馬データ!$K$2:$K$50000,"&lt;&gt;")=0,"",SUMIFS(全馬データ!$K$2:$K$50000,全馬データ!$A$2:$A$50000,A2998,全馬データ!$B$2:$B$50000,B2998,全馬データ!$C$2:$C$50000,C2998,全馬データ!$D$2:$D$50000,E2998)))</f>
        <v/>
      </c>
      <c r="AP2998" s="8" t="str">
        <f aca="false">IF(A2998="","",IF(AO2998="","欠損",IF(AO2998&lt;=1.1,"1.0～1.1",IF(AO2998&lt;1.3,"1.2",IF(AO2998&lt;1.5,"1.3～1.4",IF(AO2998&lt;2,"1.5～1.9","2.0以上"))))))</f>
        <v/>
      </c>
      <c r="AQ2998" s="8" t="str">
        <f aca="false">IF(A2998="","",IF(ISNUMBER(SEARCH("2歳",Z2998)),"2歳戦",IF(ISNUMBER(SEARCH("3歳未勝利",Z2998)),"3歳未勝利",IF(ISNUMBER(SEARCH("未勝利",Z2998)),"その他未勝利",IF(ISNUMBER(SEARCH("G1",Z2998)),"G1",IF(ISNUMBER(SEARCH("G2",Z2998)),"G2",IF(ISNUMBER(SEARCH("G3",Z2998)),"G3",IF(ISNUMBER(SEARCH("古馬条件",Z2998)),"古馬条件戦",IF(ISNUMBER(SEARCH("重賞",Z2998)),"重賞","分類不能")))))))))</f>
        <v/>
      </c>
    </row>
    <row r="2999" customFormat="false" ht="15.75" hidden="false" customHeight="false" outlineLevel="0" collapsed="false">
      <c r="AO2999" s="8" t="str">
        <f aca="false">IF(A2999="","",IF(COUNTIFS(全馬データ!$A$2:$A$50000,A2999,全馬データ!$B$2:$B$50000,B2999,全馬データ!$C$2:$C$50000,C2999,全馬データ!$D$2:$D$50000,E2999,全馬データ!$K$2:$K$50000,"&lt;&gt;")=0,"",SUMIFS(全馬データ!$K$2:$K$50000,全馬データ!$A$2:$A$50000,A2999,全馬データ!$B$2:$B$50000,B2999,全馬データ!$C$2:$C$50000,C2999,全馬データ!$D$2:$D$50000,E2999)))</f>
        <v/>
      </c>
      <c r="AP2999" s="8" t="str">
        <f aca="false">IF(A2999="","",IF(AO2999="","欠損",IF(AO2999&lt;=1.1,"1.0～1.1",IF(AO2999&lt;1.3,"1.2",IF(AO2999&lt;1.5,"1.3～1.4",IF(AO2999&lt;2,"1.5～1.9","2.0以上"))))))</f>
        <v/>
      </c>
      <c r="AQ2999" s="8" t="str">
        <f aca="false">IF(A2999="","",IF(ISNUMBER(SEARCH("2歳",Z2999)),"2歳戦",IF(ISNUMBER(SEARCH("3歳未勝利",Z2999)),"3歳未勝利",IF(ISNUMBER(SEARCH("未勝利",Z2999)),"その他未勝利",IF(ISNUMBER(SEARCH("G1",Z2999)),"G1",IF(ISNUMBER(SEARCH("G2",Z2999)),"G2",IF(ISNUMBER(SEARCH("G3",Z2999)),"G3",IF(ISNUMBER(SEARCH("古馬条件",Z2999)),"古馬条件戦",IF(ISNUMBER(SEARCH("重賞",Z2999)),"重賞","分類不能")))))))))</f>
        <v/>
      </c>
    </row>
    <row r="3000" customFormat="false" ht="15.75" hidden="false" customHeight="false" outlineLevel="0" collapsed="false">
      <c r="AO3000" s="8" t="str">
        <f aca="false">IF(A3000="","",IF(COUNTIFS(全馬データ!$A$2:$A$50000,A3000,全馬データ!$B$2:$B$50000,B3000,全馬データ!$C$2:$C$50000,C3000,全馬データ!$D$2:$D$50000,E3000,全馬データ!$K$2:$K$50000,"&lt;&gt;")=0,"",SUMIFS(全馬データ!$K$2:$K$50000,全馬データ!$A$2:$A$50000,A3000,全馬データ!$B$2:$B$50000,B3000,全馬データ!$C$2:$C$50000,C3000,全馬データ!$D$2:$D$50000,E3000)))</f>
        <v/>
      </c>
      <c r="AP3000" s="8" t="str">
        <f aca="false">IF(A3000="","",IF(AO3000="","欠損",IF(AO3000&lt;=1.1,"1.0～1.1",IF(AO3000&lt;1.3,"1.2",IF(AO3000&lt;1.5,"1.3～1.4",IF(AO3000&lt;2,"1.5～1.9","2.0以上"))))))</f>
        <v/>
      </c>
      <c r="AQ3000" s="8" t="str">
        <f aca="false">IF(A3000="","",IF(ISNUMBER(SEARCH("2歳",Z3000)),"2歳戦",IF(ISNUMBER(SEARCH("3歳未勝利",Z3000)),"3歳未勝利",IF(ISNUMBER(SEARCH("未勝利",Z3000)),"その他未勝利",IF(ISNUMBER(SEARCH("G1",Z3000)),"G1",IF(ISNUMBER(SEARCH("G2",Z3000)),"G2",IF(ISNUMBER(SEARCH("G3",Z3000)),"G3",IF(ISNUMBER(SEARCH("古馬条件",Z3000)),"古馬条件戦",IF(ISNUMBER(SEARCH("重賞",Z3000)),"重賞","分類不能")))))))))</f>
        <v/>
      </c>
    </row>
    <row r="3001" customFormat="false" ht="15.75" hidden="false" customHeight="false" outlineLevel="0" collapsed="false">
      <c r="AO3001" s="8" t="str">
        <f aca="false">IF(A3001="","",IF(COUNTIFS(全馬データ!$A$2:$A$50000,A3001,全馬データ!$B$2:$B$50000,B3001,全馬データ!$C$2:$C$50000,C3001,全馬データ!$D$2:$D$50000,E3001,全馬データ!$K$2:$K$50000,"&lt;&gt;")=0,"",SUMIFS(全馬データ!$K$2:$K$50000,全馬データ!$A$2:$A$50000,A3001,全馬データ!$B$2:$B$50000,B3001,全馬データ!$C$2:$C$50000,C3001,全馬データ!$D$2:$D$50000,E3001)))</f>
        <v/>
      </c>
      <c r="AP3001" s="8" t="str">
        <f aca="false">IF(A3001="","",IF(AO3001="","欠損",IF(AO3001&lt;=1.1,"1.0～1.1",IF(AO3001&lt;1.3,"1.2",IF(AO3001&lt;1.5,"1.3～1.4",IF(AO3001&lt;2,"1.5～1.9","2.0以上"))))))</f>
        <v/>
      </c>
      <c r="AQ3001" s="8" t="str">
        <f aca="false">IF(A3001="","",IF(ISNUMBER(SEARCH("2歳",Z3001)),"2歳戦",IF(ISNUMBER(SEARCH("3歳未勝利",Z3001)),"3歳未勝利",IF(ISNUMBER(SEARCH("未勝利",Z3001)),"その他未勝利",IF(ISNUMBER(SEARCH("G1",Z3001)),"G1",IF(ISNUMBER(SEARCH("G2",Z3001)),"G2",IF(ISNUMBER(SEARCH("G3",Z3001)),"G3",IF(ISNUMBER(SEARCH("古馬条件",Z3001)),"古馬条件戦",IF(ISNUMBER(SEARCH("重賞",Z3001)),"重賞","分類不能")))))))))</f>
        <v/>
      </c>
    </row>
    <row r="3002" customFormat="false" ht="15.75" hidden="false" customHeight="false" outlineLevel="0" collapsed="false">
      <c r="AO3002" s="8" t="str">
        <f aca="false">IF(A3002="","",IF(COUNTIFS(全馬データ!$A$2:$A$50000,A3002,全馬データ!$B$2:$B$50000,B3002,全馬データ!$C$2:$C$50000,C3002,全馬データ!$D$2:$D$50000,E3002,全馬データ!$K$2:$K$50000,"&lt;&gt;")=0,"",SUMIFS(全馬データ!$K$2:$K$50000,全馬データ!$A$2:$A$50000,A3002,全馬データ!$B$2:$B$50000,B3002,全馬データ!$C$2:$C$50000,C3002,全馬データ!$D$2:$D$50000,E3002)))</f>
        <v/>
      </c>
      <c r="AP3002" s="8" t="str">
        <f aca="false">IF(A3002="","",IF(AO3002="","欠損",IF(AO3002&lt;=1.1,"1.0～1.1",IF(AO3002&lt;1.3,"1.2",IF(AO3002&lt;1.5,"1.3～1.4",IF(AO3002&lt;2,"1.5～1.9","2.0以上"))))))</f>
        <v/>
      </c>
      <c r="AQ3002" s="8" t="str">
        <f aca="false">IF(A3002="","",IF(ISNUMBER(SEARCH("2歳",Z3002)),"2歳戦",IF(ISNUMBER(SEARCH("3歳未勝利",Z3002)),"3歳未勝利",IF(ISNUMBER(SEARCH("未勝利",Z3002)),"その他未勝利",IF(ISNUMBER(SEARCH("G1",Z3002)),"G1",IF(ISNUMBER(SEARCH("G2",Z3002)),"G2",IF(ISNUMBER(SEARCH("G3",Z3002)),"G3",IF(ISNUMBER(SEARCH("古馬条件",Z3002)),"古馬条件戦",IF(ISNUMBER(SEARCH("重賞",Z3002)),"重賞","分類不能")))))))))</f>
        <v/>
      </c>
    </row>
    <row r="3003" customFormat="false" ht="15.75" hidden="false" customHeight="false" outlineLevel="0" collapsed="false">
      <c r="AO3003" s="8" t="str">
        <f aca="false">IF(A3003="","",IF(COUNTIFS(全馬データ!$A$2:$A$50000,A3003,全馬データ!$B$2:$B$50000,B3003,全馬データ!$C$2:$C$50000,C3003,全馬データ!$D$2:$D$50000,E3003,全馬データ!$K$2:$K$50000,"&lt;&gt;")=0,"",SUMIFS(全馬データ!$K$2:$K$50000,全馬データ!$A$2:$A$50000,A3003,全馬データ!$B$2:$B$50000,B3003,全馬データ!$C$2:$C$50000,C3003,全馬データ!$D$2:$D$50000,E3003)))</f>
        <v/>
      </c>
      <c r="AP3003" s="8" t="str">
        <f aca="false">IF(A3003="","",IF(AO3003="","欠損",IF(AO3003&lt;=1.1,"1.0～1.1",IF(AO3003&lt;1.3,"1.2",IF(AO3003&lt;1.5,"1.3～1.4",IF(AO3003&lt;2,"1.5～1.9","2.0以上"))))))</f>
        <v/>
      </c>
      <c r="AQ3003" s="8" t="str">
        <f aca="false">IF(A3003="","",IF(ISNUMBER(SEARCH("2歳",Z3003)),"2歳戦",IF(ISNUMBER(SEARCH("3歳未勝利",Z3003)),"3歳未勝利",IF(ISNUMBER(SEARCH("未勝利",Z3003)),"その他未勝利",IF(ISNUMBER(SEARCH("G1",Z3003)),"G1",IF(ISNUMBER(SEARCH("G2",Z3003)),"G2",IF(ISNUMBER(SEARCH("G3",Z3003)),"G3",IF(ISNUMBER(SEARCH("古馬条件",Z3003)),"古馬条件戦",IF(ISNUMBER(SEARCH("重賞",Z3003)),"重賞","分類不能")))))))))</f>
        <v/>
      </c>
    </row>
    <row r="3004" customFormat="false" ht="15.75" hidden="false" customHeight="false" outlineLevel="0" collapsed="false">
      <c r="AO3004" s="8" t="str">
        <f aca="false">IF(A3004="","",IF(COUNTIFS(全馬データ!$A$2:$A$50000,A3004,全馬データ!$B$2:$B$50000,B3004,全馬データ!$C$2:$C$50000,C3004,全馬データ!$D$2:$D$50000,E3004,全馬データ!$K$2:$K$50000,"&lt;&gt;")=0,"",SUMIFS(全馬データ!$K$2:$K$50000,全馬データ!$A$2:$A$50000,A3004,全馬データ!$B$2:$B$50000,B3004,全馬データ!$C$2:$C$50000,C3004,全馬データ!$D$2:$D$50000,E3004)))</f>
        <v/>
      </c>
      <c r="AP3004" s="8" t="str">
        <f aca="false">IF(A3004="","",IF(AO3004="","欠損",IF(AO3004&lt;=1.1,"1.0～1.1",IF(AO3004&lt;1.3,"1.2",IF(AO3004&lt;1.5,"1.3～1.4",IF(AO3004&lt;2,"1.5～1.9","2.0以上"))))))</f>
        <v/>
      </c>
      <c r="AQ3004" s="8" t="str">
        <f aca="false">IF(A3004="","",IF(ISNUMBER(SEARCH("2歳",Z3004)),"2歳戦",IF(ISNUMBER(SEARCH("3歳未勝利",Z3004)),"3歳未勝利",IF(ISNUMBER(SEARCH("未勝利",Z3004)),"その他未勝利",IF(ISNUMBER(SEARCH("G1",Z3004)),"G1",IF(ISNUMBER(SEARCH("G2",Z3004)),"G2",IF(ISNUMBER(SEARCH("G3",Z3004)),"G3",IF(ISNUMBER(SEARCH("古馬条件",Z3004)),"古馬条件戦",IF(ISNUMBER(SEARCH("重賞",Z3004)),"重賞","分類不能")))))))))</f>
        <v/>
      </c>
    </row>
    <row r="3005" customFormat="false" ht="15.75" hidden="false" customHeight="false" outlineLevel="0" collapsed="false">
      <c r="AO3005" s="8" t="str">
        <f aca="false">IF(A3005="","",IF(COUNTIFS(全馬データ!$A$2:$A$50000,A3005,全馬データ!$B$2:$B$50000,B3005,全馬データ!$C$2:$C$50000,C3005,全馬データ!$D$2:$D$50000,E3005,全馬データ!$K$2:$K$50000,"&lt;&gt;")=0,"",SUMIFS(全馬データ!$K$2:$K$50000,全馬データ!$A$2:$A$50000,A3005,全馬データ!$B$2:$B$50000,B3005,全馬データ!$C$2:$C$50000,C3005,全馬データ!$D$2:$D$50000,E3005)))</f>
        <v/>
      </c>
      <c r="AP3005" s="8" t="str">
        <f aca="false">IF(A3005="","",IF(AO3005="","欠損",IF(AO3005&lt;=1.1,"1.0～1.1",IF(AO3005&lt;1.3,"1.2",IF(AO3005&lt;1.5,"1.3～1.4",IF(AO3005&lt;2,"1.5～1.9","2.0以上"))))))</f>
        <v/>
      </c>
      <c r="AQ3005" s="8" t="str">
        <f aca="false">IF(A3005="","",IF(ISNUMBER(SEARCH("2歳",Z3005)),"2歳戦",IF(ISNUMBER(SEARCH("3歳未勝利",Z3005)),"3歳未勝利",IF(ISNUMBER(SEARCH("未勝利",Z3005)),"その他未勝利",IF(ISNUMBER(SEARCH("G1",Z3005)),"G1",IF(ISNUMBER(SEARCH("G2",Z3005)),"G2",IF(ISNUMBER(SEARCH("G3",Z3005)),"G3",IF(ISNUMBER(SEARCH("古馬条件",Z3005)),"古馬条件戦",IF(ISNUMBER(SEARCH("重賞",Z3005)),"重賞","分類不能")))))))))</f>
        <v/>
      </c>
    </row>
    <row r="3006" customFormat="false" ht="15.75" hidden="false" customHeight="false" outlineLevel="0" collapsed="false">
      <c r="AO3006" s="8" t="str">
        <f aca="false">IF(A3006="","",IF(COUNTIFS(全馬データ!$A$2:$A$50000,A3006,全馬データ!$B$2:$B$50000,B3006,全馬データ!$C$2:$C$50000,C3006,全馬データ!$D$2:$D$50000,E3006,全馬データ!$K$2:$K$50000,"&lt;&gt;")=0,"",SUMIFS(全馬データ!$K$2:$K$50000,全馬データ!$A$2:$A$50000,A3006,全馬データ!$B$2:$B$50000,B3006,全馬データ!$C$2:$C$50000,C3006,全馬データ!$D$2:$D$50000,E3006)))</f>
        <v/>
      </c>
      <c r="AP3006" s="8" t="str">
        <f aca="false">IF(A3006="","",IF(AO3006="","欠損",IF(AO3006&lt;=1.1,"1.0～1.1",IF(AO3006&lt;1.3,"1.2",IF(AO3006&lt;1.5,"1.3～1.4",IF(AO3006&lt;2,"1.5～1.9","2.0以上"))))))</f>
        <v/>
      </c>
      <c r="AQ3006" s="8" t="str">
        <f aca="false">IF(A3006="","",IF(ISNUMBER(SEARCH("2歳",Z3006)),"2歳戦",IF(ISNUMBER(SEARCH("3歳未勝利",Z3006)),"3歳未勝利",IF(ISNUMBER(SEARCH("未勝利",Z3006)),"その他未勝利",IF(ISNUMBER(SEARCH("G1",Z3006)),"G1",IF(ISNUMBER(SEARCH("G2",Z3006)),"G2",IF(ISNUMBER(SEARCH("G3",Z3006)),"G3",IF(ISNUMBER(SEARCH("古馬条件",Z3006)),"古馬条件戦",IF(ISNUMBER(SEARCH("重賞",Z3006)),"重賞","分類不能")))))))))</f>
        <v/>
      </c>
    </row>
    <row r="3007" customFormat="false" ht="15.75" hidden="false" customHeight="false" outlineLevel="0" collapsed="false">
      <c r="AO3007" s="8" t="str">
        <f aca="false">IF(A3007="","",IF(COUNTIFS(全馬データ!$A$2:$A$50000,A3007,全馬データ!$B$2:$B$50000,B3007,全馬データ!$C$2:$C$50000,C3007,全馬データ!$D$2:$D$50000,E3007,全馬データ!$K$2:$K$50000,"&lt;&gt;")=0,"",SUMIFS(全馬データ!$K$2:$K$50000,全馬データ!$A$2:$A$50000,A3007,全馬データ!$B$2:$B$50000,B3007,全馬データ!$C$2:$C$50000,C3007,全馬データ!$D$2:$D$50000,E3007)))</f>
        <v/>
      </c>
      <c r="AP3007" s="8" t="str">
        <f aca="false">IF(A3007="","",IF(AO3007="","欠損",IF(AO3007&lt;=1.1,"1.0～1.1",IF(AO3007&lt;1.3,"1.2",IF(AO3007&lt;1.5,"1.3～1.4",IF(AO3007&lt;2,"1.5～1.9","2.0以上"))))))</f>
        <v/>
      </c>
      <c r="AQ3007" s="8" t="str">
        <f aca="false">IF(A3007="","",IF(ISNUMBER(SEARCH("2歳",Z3007)),"2歳戦",IF(ISNUMBER(SEARCH("3歳未勝利",Z3007)),"3歳未勝利",IF(ISNUMBER(SEARCH("未勝利",Z3007)),"その他未勝利",IF(ISNUMBER(SEARCH("G1",Z3007)),"G1",IF(ISNUMBER(SEARCH("G2",Z3007)),"G2",IF(ISNUMBER(SEARCH("G3",Z3007)),"G3",IF(ISNUMBER(SEARCH("古馬条件",Z3007)),"古馬条件戦",IF(ISNUMBER(SEARCH("重賞",Z3007)),"重賞","分類不能")))))))))</f>
        <v/>
      </c>
    </row>
    <row r="3008" customFormat="false" ht="15.75" hidden="false" customHeight="false" outlineLevel="0" collapsed="false">
      <c r="AO3008" s="8" t="str">
        <f aca="false">IF(A3008="","",IF(COUNTIFS(全馬データ!$A$2:$A$50000,A3008,全馬データ!$B$2:$B$50000,B3008,全馬データ!$C$2:$C$50000,C3008,全馬データ!$D$2:$D$50000,E3008,全馬データ!$K$2:$K$50000,"&lt;&gt;")=0,"",SUMIFS(全馬データ!$K$2:$K$50000,全馬データ!$A$2:$A$50000,A3008,全馬データ!$B$2:$B$50000,B3008,全馬データ!$C$2:$C$50000,C3008,全馬データ!$D$2:$D$50000,E3008)))</f>
        <v/>
      </c>
      <c r="AP3008" s="8" t="str">
        <f aca="false">IF(A3008="","",IF(AO3008="","欠損",IF(AO3008&lt;=1.1,"1.0～1.1",IF(AO3008&lt;1.3,"1.2",IF(AO3008&lt;1.5,"1.3～1.4",IF(AO3008&lt;2,"1.5～1.9","2.0以上"))))))</f>
        <v/>
      </c>
      <c r="AQ3008" s="8" t="str">
        <f aca="false">IF(A3008="","",IF(ISNUMBER(SEARCH("2歳",Z3008)),"2歳戦",IF(ISNUMBER(SEARCH("3歳未勝利",Z3008)),"3歳未勝利",IF(ISNUMBER(SEARCH("未勝利",Z3008)),"その他未勝利",IF(ISNUMBER(SEARCH("G1",Z3008)),"G1",IF(ISNUMBER(SEARCH("G2",Z3008)),"G2",IF(ISNUMBER(SEARCH("G3",Z3008)),"G3",IF(ISNUMBER(SEARCH("古馬条件",Z3008)),"古馬条件戦",IF(ISNUMBER(SEARCH("重賞",Z3008)),"重賞","分類不能")))))))))</f>
        <v/>
      </c>
    </row>
    <row r="3009" customFormat="false" ht="15.75" hidden="false" customHeight="false" outlineLevel="0" collapsed="false">
      <c r="AO3009" s="8" t="str">
        <f aca="false">IF(A3009="","",IF(COUNTIFS(全馬データ!$A$2:$A$50000,A3009,全馬データ!$B$2:$B$50000,B3009,全馬データ!$C$2:$C$50000,C3009,全馬データ!$D$2:$D$50000,E3009,全馬データ!$K$2:$K$50000,"&lt;&gt;")=0,"",SUMIFS(全馬データ!$K$2:$K$50000,全馬データ!$A$2:$A$50000,A3009,全馬データ!$B$2:$B$50000,B3009,全馬データ!$C$2:$C$50000,C3009,全馬データ!$D$2:$D$50000,E3009)))</f>
        <v/>
      </c>
      <c r="AP3009" s="8" t="str">
        <f aca="false">IF(A3009="","",IF(AO3009="","欠損",IF(AO3009&lt;=1.1,"1.0～1.1",IF(AO3009&lt;1.3,"1.2",IF(AO3009&lt;1.5,"1.3～1.4",IF(AO3009&lt;2,"1.5～1.9","2.0以上"))))))</f>
        <v/>
      </c>
      <c r="AQ3009" s="8" t="str">
        <f aca="false">IF(A3009="","",IF(ISNUMBER(SEARCH("2歳",Z3009)),"2歳戦",IF(ISNUMBER(SEARCH("3歳未勝利",Z3009)),"3歳未勝利",IF(ISNUMBER(SEARCH("未勝利",Z3009)),"その他未勝利",IF(ISNUMBER(SEARCH("G1",Z3009)),"G1",IF(ISNUMBER(SEARCH("G2",Z3009)),"G2",IF(ISNUMBER(SEARCH("G3",Z3009)),"G3",IF(ISNUMBER(SEARCH("古馬条件",Z3009)),"古馬条件戦",IF(ISNUMBER(SEARCH("重賞",Z3009)),"重賞","分類不能")))))))))</f>
        <v/>
      </c>
    </row>
    <row r="3010" customFormat="false" ht="15.75" hidden="false" customHeight="false" outlineLevel="0" collapsed="false">
      <c r="AO3010" s="8" t="str">
        <f aca="false">IF(A3010="","",IF(COUNTIFS(全馬データ!$A$2:$A$50000,A3010,全馬データ!$B$2:$B$50000,B3010,全馬データ!$C$2:$C$50000,C3010,全馬データ!$D$2:$D$50000,E3010,全馬データ!$K$2:$K$50000,"&lt;&gt;")=0,"",SUMIFS(全馬データ!$K$2:$K$50000,全馬データ!$A$2:$A$50000,A3010,全馬データ!$B$2:$B$50000,B3010,全馬データ!$C$2:$C$50000,C3010,全馬データ!$D$2:$D$50000,E3010)))</f>
        <v/>
      </c>
      <c r="AP3010" s="8" t="str">
        <f aca="false">IF(A3010="","",IF(AO3010="","欠損",IF(AO3010&lt;=1.1,"1.0～1.1",IF(AO3010&lt;1.3,"1.2",IF(AO3010&lt;1.5,"1.3～1.4",IF(AO3010&lt;2,"1.5～1.9","2.0以上"))))))</f>
        <v/>
      </c>
      <c r="AQ3010" s="8" t="str">
        <f aca="false">IF(A3010="","",IF(ISNUMBER(SEARCH("2歳",Z3010)),"2歳戦",IF(ISNUMBER(SEARCH("3歳未勝利",Z3010)),"3歳未勝利",IF(ISNUMBER(SEARCH("未勝利",Z3010)),"その他未勝利",IF(ISNUMBER(SEARCH("G1",Z3010)),"G1",IF(ISNUMBER(SEARCH("G2",Z3010)),"G2",IF(ISNUMBER(SEARCH("G3",Z3010)),"G3",IF(ISNUMBER(SEARCH("古馬条件",Z3010)),"古馬条件戦",IF(ISNUMBER(SEARCH("重賞",Z3010)),"重賞","分類不能")))))))))</f>
        <v/>
      </c>
    </row>
    <row r="3011" customFormat="false" ht="15.75" hidden="false" customHeight="false" outlineLevel="0" collapsed="false">
      <c r="AO3011" s="8" t="str">
        <f aca="false">IF(A3011="","",IF(COUNTIFS(全馬データ!$A$2:$A$50000,A3011,全馬データ!$B$2:$B$50000,B3011,全馬データ!$C$2:$C$50000,C3011,全馬データ!$D$2:$D$50000,E3011,全馬データ!$K$2:$K$50000,"&lt;&gt;")=0,"",SUMIFS(全馬データ!$K$2:$K$50000,全馬データ!$A$2:$A$50000,A3011,全馬データ!$B$2:$B$50000,B3011,全馬データ!$C$2:$C$50000,C3011,全馬データ!$D$2:$D$50000,E3011)))</f>
        <v/>
      </c>
      <c r="AP3011" s="8" t="str">
        <f aca="false">IF(A3011="","",IF(AO3011="","欠損",IF(AO3011&lt;=1.1,"1.0～1.1",IF(AO3011&lt;1.3,"1.2",IF(AO3011&lt;1.5,"1.3～1.4",IF(AO3011&lt;2,"1.5～1.9","2.0以上"))))))</f>
        <v/>
      </c>
      <c r="AQ3011" s="8" t="str">
        <f aca="false">IF(A3011="","",IF(ISNUMBER(SEARCH("2歳",Z3011)),"2歳戦",IF(ISNUMBER(SEARCH("3歳未勝利",Z3011)),"3歳未勝利",IF(ISNUMBER(SEARCH("未勝利",Z3011)),"その他未勝利",IF(ISNUMBER(SEARCH("G1",Z3011)),"G1",IF(ISNUMBER(SEARCH("G2",Z3011)),"G2",IF(ISNUMBER(SEARCH("G3",Z3011)),"G3",IF(ISNUMBER(SEARCH("古馬条件",Z3011)),"古馬条件戦",IF(ISNUMBER(SEARCH("重賞",Z3011)),"重賞","分類不能")))))))))</f>
        <v/>
      </c>
    </row>
    <row r="3012" customFormat="false" ht="15.75" hidden="false" customHeight="false" outlineLevel="0" collapsed="false">
      <c r="AO3012" s="8" t="str">
        <f aca="false">IF(A3012="","",IF(COUNTIFS(全馬データ!$A$2:$A$50000,A3012,全馬データ!$B$2:$B$50000,B3012,全馬データ!$C$2:$C$50000,C3012,全馬データ!$D$2:$D$50000,E3012,全馬データ!$K$2:$K$50000,"&lt;&gt;")=0,"",SUMIFS(全馬データ!$K$2:$K$50000,全馬データ!$A$2:$A$50000,A3012,全馬データ!$B$2:$B$50000,B3012,全馬データ!$C$2:$C$50000,C3012,全馬データ!$D$2:$D$50000,E3012)))</f>
        <v/>
      </c>
      <c r="AP3012" s="8" t="str">
        <f aca="false">IF(A3012="","",IF(AO3012="","欠損",IF(AO3012&lt;=1.1,"1.0～1.1",IF(AO3012&lt;1.3,"1.2",IF(AO3012&lt;1.5,"1.3～1.4",IF(AO3012&lt;2,"1.5～1.9","2.0以上"))))))</f>
        <v/>
      </c>
      <c r="AQ3012" s="8" t="str">
        <f aca="false">IF(A3012="","",IF(ISNUMBER(SEARCH("2歳",Z3012)),"2歳戦",IF(ISNUMBER(SEARCH("3歳未勝利",Z3012)),"3歳未勝利",IF(ISNUMBER(SEARCH("未勝利",Z3012)),"その他未勝利",IF(ISNUMBER(SEARCH("G1",Z3012)),"G1",IF(ISNUMBER(SEARCH("G2",Z3012)),"G2",IF(ISNUMBER(SEARCH("G3",Z3012)),"G3",IF(ISNUMBER(SEARCH("古馬条件",Z3012)),"古馬条件戦",IF(ISNUMBER(SEARCH("重賞",Z3012)),"重賞","分類不能")))))))))</f>
        <v/>
      </c>
    </row>
    <row r="3013" customFormat="false" ht="15.75" hidden="false" customHeight="false" outlineLevel="0" collapsed="false">
      <c r="AO3013" s="8" t="str">
        <f aca="false">IF(A3013="","",IF(COUNTIFS(全馬データ!$A$2:$A$50000,A3013,全馬データ!$B$2:$B$50000,B3013,全馬データ!$C$2:$C$50000,C3013,全馬データ!$D$2:$D$50000,E3013,全馬データ!$K$2:$K$50000,"&lt;&gt;")=0,"",SUMIFS(全馬データ!$K$2:$K$50000,全馬データ!$A$2:$A$50000,A3013,全馬データ!$B$2:$B$50000,B3013,全馬データ!$C$2:$C$50000,C3013,全馬データ!$D$2:$D$50000,E3013)))</f>
        <v/>
      </c>
      <c r="AP3013" s="8" t="str">
        <f aca="false">IF(A3013="","",IF(AO3013="","欠損",IF(AO3013&lt;=1.1,"1.0～1.1",IF(AO3013&lt;1.3,"1.2",IF(AO3013&lt;1.5,"1.3～1.4",IF(AO3013&lt;2,"1.5～1.9","2.0以上"))))))</f>
        <v/>
      </c>
      <c r="AQ3013" s="8" t="str">
        <f aca="false">IF(A3013="","",IF(ISNUMBER(SEARCH("2歳",Z3013)),"2歳戦",IF(ISNUMBER(SEARCH("3歳未勝利",Z3013)),"3歳未勝利",IF(ISNUMBER(SEARCH("未勝利",Z3013)),"その他未勝利",IF(ISNUMBER(SEARCH("G1",Z3013)),"G1",IF(ISNUMBER(SEARCH("G2",Z3013)),"G2",IF(ISNUMBER(SEARCH("G3",Z3013)),"G3",IF(ISNUMBER(SEARCH("古馬条件",Z3013)),"古馬条件戦",IF(ISNUMBER(SEARCH("重賞",Z3013)),"重賞","分類不能")))))))))</f>
        <v/>
      </c>
    </row>
    <row r="3014" customFormat="false" ht="15.75" hidden="false" customHeight="false" outlineLevel="0" collapsed="false">
      <c r="AO3014" s="8" t="str">
        <f aca="false">IF(A3014="","",IF(COUNTIFS(全馬データ!$A$2:$A$50000,A3014,全馬データ!$B$2:$B$50000,B3014,全馬データ!$C$2:$C$50000,C3014,全馬データ!$D$2:$D$50000,E3014,全馬データ!$K$2:$K$50000,"&lt;&gt;")=0,"",SUMIFS(全馬データ!$K$2:$K$50000,全馬データ!$A$2:$A$50000,A3014,全馬データ!$B$2:$B$50000,B3014,全馬データ!$C$2:$C$50000,C3014,全馬データ!$D$2:$D$50000,E3014)))</f>
        <v/>
      </c>
      <c r="AP3014" s="8" t="str">
        <f aca="false">IF(A3014="","",IF(AO3014="","欠損",IF(AO3014&lt;=1.1,"1.0～1.1",IF(AO3014&lt;1.3,"1.2",IF(AO3014&lt;1.5,"1.3～1.4",IF(AO3014&lt;2,"1.5～1.9","2.0以上"))))))</f>
        <v/>
      </c>
      <c r="AQ3014" s="8" t="str">
        <f aca="false">IF(A3014="","",IF(ISNUMBER(SEARCH("2歳",Z3014)),"2歳戦",IF(ISNUMBER(SEARCH("3歳未勝利",Z3014)),"3歳未勝利",IF(ISNUMBER(SEARCH("未勝利",Z3014)),"その他未勝利",IF(ISNUMBER(SEARCH("G1",Z3014)),"G1",IF(ISNUMBER(SEARCH("G2",Z3014)),"G2",IF(ISNUMBER(SEARCH("G3",Z3014)),"G3",IF(ISNUMBER(SEARCH("古馬条件",Z3014)),"古馬条件戦",IF(ISNUMBER(SEARCH("重賞",Z3014)),"重賞","分類不能")))))))))</f>
        <v/>
      </c>
    </row>
    <row r="3015" customFormat="false" ht="15.75" hidden="false" customHeight="false" outlineLevel="0" collapsed="false">
      <c r="AO3015" s="8" t="str">
        <f aca="false">IF(A3015="","",IF(COUNTIFS(全馬データ!$A$2:$A$50000,A3015,全馬データ!$B$2:$B$50000,B3015,全馬データ!$C$2:$C$50000,C3015,全馬データ!$D$2:$D$50000,E3015,全馬データ!$K$2:$K$50000,"&lt;&gt;")=0,"",SUMIFS(全馬データ!$K$2:$K$50000,全馬データ!$A$2:$A$50000,A3015,全馬データ!$B$2:$B$50000,B3015,全馬データ!$C$2:$C$50000,C3015,全馬データ!$D$2:$D$50000,E3015)))</f>
        <v/>
      </c>
      <c r="AP3015" s="8" t="str">
        <f aca="false">IF(A3015="","",IF(AO3015="","欠損",IF(AO3015&lt;=1.1,"1.0～1.1",IF(AO3015&lt;1.3,"1.2",IF(AO3015&lt;1.5,"1.3～1.4",IF(AO3015&lt;2,"1.5～1.9","2.0以上"))))))</f>
        <v/>
      </c>
      <c r="AQ3015" s="8" t="str">
        <f aca="false">IF(A3015="","",IF(ISNUMBER(SEARCH("2歳",Z3015)),"2歳戦",IF(ISNUMBER(SEARCH("3歳未勝利",Z3015)),"3歳未勝利",IF(ISNUMBER(SEARCH("未勝利",Z3015)),"その他未勝利",IF(ISNUMBER(SEARCH("G1",Z3015)),"G1",IF(ISNUMBER(SEARCH("G2",Z3015)),"G2",IF(ISNUMBER(SEARCH("G3",Z3015)),"G3",IF(ISNUMBER(SEARCH("古馬条件",Z3015)),"古馬条件戦",IF(ISNUMBER(SEARCH("重賞",Z3015)),"重賞","分類不能")))))))))</f>
        <v/>
      </c>
    </row>
    <row r="3016" customFormat="false" ht="15.75" hidden="false" customHeight="false" outlineLevel="0" collapsed="false">
      <c r="AO3016" s="8" t="str">
        <f aca="false">IF(A3016="","",IF(COUNTIFS(全馬データ!$A$2:$A$50000,A3016,全馬データ!$B$2:$B$50000,B3016,全馬データ!$C$2:$C$50000,C3016,全馬データ!$D$2:$D$50000,E3016,全馬データ!$K$2:$K$50000,"&lt;&gt;")=0,"",SUMIFS(全馬データ!$K$2:$K$50000,全馬データ!$A$2:$A$50000,A3016,全馬データ!$B$2:$B$50000,B3016,全馬データ!$C$2:$C$50000,C3016,全馬データ!$D$2:$D$50000,E3016)))</f>
        <v/>
      </c>
      <c r="AP3016" s="8" t="str">
        <f aca="false">IF(A3016="","",IF(AO3016="","欠損",IF(AO3016&lt;=1.1,"1.0～1.1",IF(AO3016&lt;1.3,"1.2",IF(AO3016&lt;1.5,"1.3～1.4",IF(AO3016&lt;2,"1.5～1.9","2.0以上"))))))</f>
        <v/>
      </c>
      <c r="AQ3016" s="8" t="str">
        <f aca="false">IF(A3016="","",IF(ISNUMBER(SEARCH("2歳",Z3016)),"2歳戦",IF(ISNUMBER(SEARCH("3歳未勝利",Z3016)),"3歳未勝利",IF(ISNUMBER(SEARCH("未勝利",Z3016)),"その他未勝利",IF(ISNUMBER(SEARCH("G1",Z3016)),"G1",IF(ISNUMBER(SEARCH("G2",Z3016)),"G2",IF(ISNUMBER(SEARCH("G3",Z3016)),"G3",IF(ISNUMBER(SEARCH("古馬条件",Z3016)),"古馬条件戦",IF(ISNUMBER(SEARCH("重賞",Z3016)),"重賞","分類不能")))))))))</f>
        <v/>
      </c>
    </row>
    <row r="3017" customFormat="false" ht="15.75" hidden="false" customHeight="false" outlineLevel="0" collapsed="false">
      <c r="AO3017" s="8" t="str">
        <f aca="false">IF(A3017="","",IF(COUNTIFS(全馬データ!$A$2:$A$50000,A3017,全馬データ!$B$2:$B$50000,B3017,全馬データ!$C$2:$C$50000,C3017,全馬データ!$D$2:$D$50000,E3017,全馬データ!$K$2:$K$50000,"&lt;&gt;")=0,"",SUMIFS(全馬データ!$K$2:$K$50000,全馬データ!$A$2:$A$50000,A3017,全馬データ!$B$2:$B$50000,B3017,全馬データ!$C$2:$C$50000,C3017,全馬データ!$D$2:$D$50000,E3017)))</f>
        <v/>
      </c>
      <c r="AP3017" s="8" t="str">
        <f aca="false">IF(A3017="","",IF(AO3017="","欠損",IF(AO3017&lt;=1.1,"1.0～1.1",IF(AO3017&lt;1.3,"1.2",IF(AO3017&lt;1.5,"1.3～1.4",IF(AO3017&lt;2,"1.5～1.9","2.0以上"))))))</f>
        <v/>
      </c>
      <c r="AQ3017" s="8" t="str">
        <f aca="false">IF(A3017="","",IF(ISNUMBER(SEARCH("2歳",Z3017)),"2歳戦",IF(ISNUMBER(SEARCH("3歳未勝利",Z3017)),"3歳未勝利",IF(ISNUMBER(SEARCH("未勝利",Z3017)),"その他未勝利",IF(ISNUMBER(SEARCH("G1",Z3017)),"G1",IF(ISNUMBER(SEARCH("G2",Z3017)),"G2",IF(ISNUMBER(SEARCH("G3",Z3017)),"G3",IF(ISNUMBER(SEARCH("古馬条件",Z3017)),"古馬条件戦",IF(ISNUMBER(SEARCH("重賞",Z3017)),"重賞","分類不能")))))))))</f>
        <v/>
      </c>
    </row>
    <row r="3018" customFormat="false" ht="15.75" hidden="false" customHeight="false" outlineLevel="0" collapsed="false">
      <c r="AO3018" s="8" t="str">
        <f aca="false">IF(A3018="","",IF(COUNTIFS(全馬データ!$A$2:$A$50000,A3018,全馬データ!$B$2:$B$50000,B3018,全馬データ!$C$2:$C$50000,C3018,全馬データ!$D$2:$D$50000,E3018,全馬データ!$K$2:$K$50000,"&lt;&gt;")=0,"",SUMIFS(全馬データ!$K$2:$K$50000,全馬データ!$A$2:$A$50000,A3018,全馬データ!$B$2:$B$50000,B3018,全馬データ!$C$2:$C$50000,C3018,全馬データ!$D$2:$D$50000,E3018)))</f>
        <v/>
      </c>
      <c r="AP3018" s="8" t="str">
        <f aca="false">IF(A3018="","",IF(AO3018="","欠損",IF(AO3018&lt;=1.1,"1.0～1.1",IF(AO3018&lt;1.3,"1.2",IF(AO3018&lt;1.5,"1.3～1.4",IF(AO3018&lt;2,"1.5～1.9","2.0以上"))))))</f>
        <v/>
      </c>
      <c r="AQ3018" s="8" t="str">
        <f aca="false">IF(A3018="","",IF(ISNUMBER(SEARCH("2歳",Z3018)),"2歳戦",IF(ISNUMBER(SEARCH("3歳未勝利",Z3018)),"3歳未勝利",IF(ISNUMBER(SEARCH("未勝利",Z3018)),"その他未勝利",IF(ISNUMBER(SEARCH("G1",Z3018)),"G1",IF(ISNUMBER(SEARCH("G2",Z3018)),"G2",IF(ISNUMBER(SEARCH("G3",Z3018)),"G3",IF(ISNUMBER(SEARCH("古馬条件",Z3018)),"古馬条件戦",IF(ISNUMBER(SEARCH("重賞",Z3018)),"重賞","分類不能")))))))))</f>
        <v/>
      </c>
    </row>
    <row r="3019" customFormat="false" ht="15.75" hidden="false" customHeight="false" outlineLevel="0" collapsed="false">
      <c r="AO3019" s="8" t="str">
        <f aca="false">IF(A3019="","",IF(COUNTIFS(全馬データ!$A$2:$A$50000,A3019,全馬データ!$B$2:$B$50000,B3019,全馬データ!$C$2:$C$50000,C3019,全馬データ!$D$2:$D$50000,E3019,全馬データ!$K$2:$K$50000,"&lt;&gt;")=0,"",SUMIFS(全馬データ!$K$2:$K$50000,全馬データ!$A$2:$A$50000,A3019,全馬データ!$B$2:$B$50000,B3019,全馬データ!$C$2:$C$50000,C3019,全馬データ!$D$2:$D$50000,E3019)))</f>
        <v/>
      </c>
      <c r="AP3019" s="8" t="str">
        <f aca="false">IF(A3019="","",IF(AO3019="","欠損",IF(AO3019&lt;=1.1,"1.0～1.1",IF(AO3019&lt;1.3,"1.2",IF(AO3019&lt;1.5,"1.3～1.4",IF(AO3019&lt;2,"1.5～1.9","2.0以上"))))))</f>
        <v/>
      </c>
      <c r="AQ3019" s="8" t="str">
        <f aca="false">IF(A3019="","",IF(ISNUMBER(SEARCH("2歳",Z3019)),"2歳戦",IF(ISNUMBER(SEARCH("3歳未勝利",Z3019)),"3歳未勝利",IF(ISNUMBER(SEARCH("未勝利",Z3019)),"その他未勝利",IF(ISNUMBER(SEARCH("G1",Z3019)),"G1",IF(ISNUMBER(SEARCH("G2",Z3019)),"G2",IF(ISNUMBER(SEARCH("G3",Z3019)),"G3",IF(ISNUMBER(SEARCH("古馬条件",Z3019)),"古馬条件戦",IF(ISNUMBER(SEARCH("重賞",Z3019)),"重賞","分類不能")))))))))</f>
        <v/>
      </c>
    </row>
    <row r="3020" customFormat="false" ht="15.75" hidden="false" customHeight="false" outlineLevel="0" collapsed="false">
      <c r="AO3020" s="8" t="str">
        <f aca="false">IF(A3020="","",IF(COUNTIFS(全馬データ!$A$2:$A$50000,A3020,全馬データ!$B$2:$B$50000,B3020,全馬データ!$C$2:$C$50000,C3020,全馬データ!$D$2:$D$50000,E3020,全馬データ!$K$2:$K$50000,"&lt;&gt;")=0,"",SUMIFS(全馬データ!$K$2:$K$50000,全馬データ!$A$2:$A$50000,A3020,全馬データ!$B$2:$B$50000,B3020,全馬データ!$C$2:$C$50000,C3020,全馬データ!$D$2:$D$50000,E3020)))</f>
        <v/>
      </c>
      <c r="AP3020" s="8" t="str">
        <f aca="false">IF(A3020="","",IF(AO3020="","欠損",IF(AO3020&lt;=1.1,"1.0～1.1",IF(AO3020&lt;1.3,"1.2",IF(AO3020&lt;1.5,"1.3～1.4",IF(AO3020&lt;2,"1.5～1.9","2.0以上"))))))</f>
        <v/>
      </c>
      <c r="AQ3020" s="8" t="str">
        <f aca="false">IF(A3020="","",IF(ISNUMBER(SEARCH("2歳",Z3020)),"2歳戦",IF(ISNUMBER(SEARCH("3歳未勝利",Z3020)),"3歳未勝利",IF(ISNUMBER(SEARCH("未勝利",Z3020)),"その他未勝利",IF(ISNUMBER(SEARCH("G1",Z3020)),"G1",IF(ISNUMBER(SEARCH("G2",Z3020)),"G2",IF(ISNUMBER(SEARCH("G3",Z3020)),"G3",IF(ISNUMBER(SEARCH("古馬条件",Z3020)),"古馬条件戦",IF(ISNUMBER(SEARCH("重賞",Z3020)),"重賞","分類不能")))))))))</f>
        <v/>
      </c>
    </row>
    <row r="3021" customFormat="false" ht="15.75" hidden="false" customHeight="false" outlineLevel="0" collapsed="false">
      <c r="AO3021" s="8" t="str">
        <f aca="false">IF(A3021="","",IF(COUNTIFS(全馬データ!$A$2:$A$50000,A3021,全馬データ!$B$2:$B$50000,B3021,全馬データ!$C$2:$C$50000,C3021,全馬データ!$D$2:$D$50000,E3021,全馬データ!$K$2:$K$50000,"&lt;&gt;")=0,"",SUMIFS(全馬データ!$K$2:$K$50000,全馬データ!$A$2:$A$50000,A3021,全馬データ!$B$2:$B$50000,B3021,全馬データ!$C$2:$C$50000,C3021,全馬データ!$D$2:$D$50000,E3021)))</f>
        <v/>
      </c>
      <c r="AP3021" s="8" t="str">
        <f aca="false">IF(A3021="","",IF(AO3021="","欠損",IF(AO3021&lt;=1.1,"1.0～1.1",IF(AO3021&lt;1.3,"1.2",IF(AO3021&lt;1.5,"1.3～1.4",IF(AO3021&lt;2,"1.5～1.9","2.0以上"))))))</f>
        <v/>
      </c>
      <c r="AQ3021" s="8" t="str">
        <f aca="false">IF(A3021="","",IF(ISNUMBER(SEARCH("2歳",Z3021)),"2歳戦",IF(ISNUMBER(SEARCH("3歳未勝利",Z3021)),"3歳未勝利",IF(ISNUMBER(SEARCH("未勝利",Z3021)),"その他未勝利",IF(ISNUMBER(SEARCH("G1",Z3021)),"G1",IF(ISNUMBER(SEARCH("G2",Z3021)),"G2",IF(ISNUMBER(SEARCH("G3",Z3021)),"G3",IF(ISNUMBER(SEARCH("古馬条件",Z3021)),"古馬条件戦",IF(ISNUMBER(SEARCH("重賞",Z3021)),"重賞","分類不能")))))))))</f>
        <v/>
      </c>
    </row>
    <row r="3022" customFormat="false" ht="15.75" hidden="false" customHeight="false" outlineLevel="0" collapsed="false">
      <c r="AO3022" s="8" t="str">
        <f aca="false">IF(A3022="","",IF(COUNTIFS(全馬データ!$A$2:$A$50000,A3022,全馬データ!$B$2:$B$50000,B3022,全馬データ!$C$2:$C$50000,C3022,全馬データ!$D$2:$D$50000,E3022,全馬データ!$K$2:$K$50000,"&lt;&gt;")=0,"",SUMIFS(全馬データ!$K$2:$K$50000,全馬データ!$A$2:$A$50000,A3022,全馬データ!$B$2:$B$50000,B3022,全馬データ!$C$2:$C$50000,C3022,全馬データ!$D$2:$D$50000,E3022)))</f>
        <v/>
      </c>
      <c r="AP3022" s="8" t="str">
        <f aca="false">IF(A3022="","",IF(AO3022="","欠損",IF(AO3022&lt;=1.1,"1.0～1.1",IF(AO3022&lt;1.3,"1.2",IF(AO3022&lt;1.5,"1.3～1.4",IF(AO3022&lt;2,"1.5～1.9","2.0以上"))))))</f>
        <v/>
      </c>
      <c r="AQ3022" s="8" t="str">
        <f aca="false">IF(A3022="","",IF(ISNUMBER(SEARCH("2歳",Z3022)),"2歳戦",IF(ISNUMBER(SEARCH("3歳未勝利",Z3022)),"3歳未勝利",IF(ISNUMBER(SEARCH("未勝利",Z3022)),"その他未勝利",IF(ISNUMBER(SEARCH("G1",Z3022)),"G1",IF(ISNUMBER(SEARCH("G2",Z3022)),"G2",IF(ISNUMBER(SEARCH("G3",Z3022)),"G3",IF(ISNUMBER(SEARCH("古馬条件",Z3022)),"古馬条件戦",IF(ISNUMBER(SEARCH("重賞",Z3022)),"重賞","分類不能")))))))))</f>
        <v/>
      </c>
    </row>
    <row r="3023" customFormat="false" ht="15.75" hidden="false" customHeight="false" outlineLevel="0" collapsed="false">
      <c r="AO3023" s="8" t="str">
        <f aca="false">IF(A3023="","",IF(COUNTIFS(全馬データ!$A$2:$A$50000,A3023,全馬データ!$B$2:$B$50000,B3023,全馬データ!$C$2:$C$50000,C3023,全馬データ!$D$2:$D$50000,E3023,全馬データ!$K$2:$K$50000,"&lt;&gt;")=0,"",SUMIFS(全馬データ!$K$2:$K$50000,全馬データ!$A$2:$A$50000,A3023,全馬データ!$B$2:$B$50000,B3023,全馬データ!$C$2:$C$50000,C3023,全馬データ!$D$2:$D$50000,E3023)))</f>
        <v/>
      </c>
      <c r="AP3023" s="8" t="str">
        <f aca="false">IF(A3023="","",IF(AO3023="","欠損",IF(AO3023&lt;=1.1,"1.0～1.1",IF(AO3023&lt;1.3,"1.2",IF(AO3023&lt;1.5,"1.3～1.4",IF(AO3023&lt;2,"1.5～1.9","2.0以上"))))))</f>
        <v/>
      </c>
      <c r="AQ3023" s="8" t="str">
        <f aca="false">IF(A3023="","",IF(ISNUMBER(SEARCH("2歳",Z3023)),"2歳戦",IF(ISNUMBER(SEARCH("3歳未勝利",Z3023)),"3歳未勝利",IF(ISNUMBER(SEARCH("未勝利",Z3023)),"その他未勝利",IF(ISNUMBER(SEARCH("G1",Z3023)),"G1",IF(ISNUMBER(SEARCH("G2",Z3023)),"G2",IF(ISNUMBER(SEARCH("G3",Z3023)),"G3",IF(ISNUMBER(SEARCH("古馬条件",Z3023)),"古馬条件戦",IF(ISNUMBER(SEARCH("重賞",Z3023)),"重賞","分類不能")))))))))</f>
        <v/>
      </c>
    </row>
    <row r="3024" customFormat="false" ht="15.75" hidden="false" customHeight="false" outlineLevel="0" collapsed="false">
      <c r="AO3024" s="8" t="str">
        <f aca="false">IF(A3024="","",IF(COUNTIFS(全馬データ!$A$2:$A$50000,A3024,全馬データ!$B$2:$B$50000,B3024,全馬データ!$C$2:$C$50000,C3024,全馬データ!$D$2:$D$50000,E3024,全馬データ!$K$2:$K$50000,"&lt;&gt;")=0,"",SUMIFS(全馬データ!$K$2:$K$50000,全馬データ!$A$2:$A$50000,A3024,全馬データ!$B$2:$B$50000,B3024,全馬データ!$C$2:$C$50000,C3024,全馬データ!$D$2:$D$50000,E3024)))</f>
        <v/>
      </c>
      <c r="AP3024" s="8" t="str">
        <f aca="false">IF(A3024="","",IF(AO3024="","欠損",IF(AO3024&lt;=1.1,"1.0～1.1",IF(AO3024&lt;1.3,"1.2",IF(AO3024&lt;1.5,"1.3～1.4",IF(AO3024&lt;2,"1.5～1.9","2.0以上"))))))</f>
        <v/>
      </c>
      <c r="AQ3024" s="8" t="str">
        <f aca="false">IF(A3024="","",IF(ISNUMBER(SEARCH("2歳",Z3024)),"2歳戦",IF(ISNUMBER(SEARCH("3歳未勝利",Z3024)),"3歳未勝利",IF(ISNUMBER(SEARCH("未勝利",Z3024)),"その他未勝利",IF(ISNUMBER(SEARCH("G1",Z3024)),"G1",IF(ISNUMBER(SEARCH("G2",Z3024)),"G2",IF(ISNUMBER(SEARCH("G3",Z3024)),"G3",IF(ISNUMBER(SEARCH("古馬条件",Z3024)),"古馬条件戦",IF(ISNUMBER(SEARCH("重賞",Z3024)),"重賞","分類不能")))))))))</f>
        <v/>
      </c>
    </row>
    <row r="3025" customFormat="false" ht="15.75" hidden="false" customHeight="false" outlineLevel="0" collapsed="false">
      <c r="AO3025" s="8" t="str">
        <f aca="false">IF(A3025="","",IF(COUNTIFS(全馬データ!$A$2:$A$50000,A3025,全馬データ!$B$2:$B$50000,B3025,全馬データ!$C$2:$C$50000,C3025,全馬データ!$D$2:$D$50000,E3025,全馬データ!$K$2:$K$50000,"&lt;&gt;")=0,"",SUMIFS(全馬データ!$K$2:$K$50000,全馬データ!$A$2:$A$50000,A3025,全馬データ!$B$2:$B$50000,B3025,全馬データ!$C$2:$C$50000,C3025,全馬データ!$D$2:$D$50000,E3025)))</f>
        <v/>
      </c>
      <c r="AP3025" s="8" t="str">
        <f aca="false">IF(A3025="","",IF(AO3025="","欠損",IF(AO3025&lt;=1.1,"1.0～1.1",IF(AO3025&lt;1.3,"1.2",IF(AO3025&lt;1.5,"1.3～1.4",IF(AO3025&lt;2,"1.5～1.9","2.0以上"))))))</f>
        <v/>
      </c>
      <c r="AQ3025" s="8" t="str">
        <f aca="false">IF(A3025="","",IF(ISNUMBER(SEARCH("2歳",Z3025)),"2歳戦",IF(ISNUMBER(SEARCH("3歳未勝利",Z3025)),"3歳未勝利",IF(ISNUMBER(SEARCH("未勝利",Z3025)),"その他未勝利",IF(ISNUMBER(SEARCH("G1",Z3025)),"G1",IF(ISNUMBER(SEARCH("G2",Z3025)),"G2",IF(ISNUMBER(SEARCH("G3",Z3025)),"G3",IF(ISNUMBER(SEARCH("古馬条件",Z3025)),"古馬条件戦",IF(ISNUMBER(SEARCH("重賞",Z3025)),"重賞","分類不能")))))))))</f>
        <v/>
      </c>
    </row>
    <row r="3026" customFormat="false" ht="15.75" hidden="false" customHeight="false" outlineLevel="0" collapsed="false">
      <c r="AO3026" s="8" t="str">
        <f aca="false">IF(A3026="","",IF(COUNTIFS(全馬データ!$A$2:$A$50000,A3026,全馬データ!$B$2:$B$50000,B3026,全馬データ!$C$2:$C$50000,C3026,全馬データ!$D$2:$D$50000,E3026,全馬データ!$K$2:$K$50000,"&lt;&gt;")=0,"",SUMIFS(全馬データ!$K$2:$K$50000,全馬データ!$A$2:$A$50000,A3026,全馬データ!$B$2:$B$50000,B3026,全馬データ!$C$2:$C$50000,C3026,全馬データ!$D$2:$D$50000,E3026)))</f>
        <v/>
      </c>
      <c r="AP3026" s="8" t="str">
        <f aca="false">IF(A3026="","",IF(AO3026="","欠損",IF(AO3026&lt;=1.1,"1.0～1.1",IF(AO3026&lt;1.3,"1.2",IF(AO3026&lt;1.5,"1.3～1.4",IF(AO3026&lt;2,"1.5～1.9","2.0以上"))))))</f>
        <v/>
      </c>
      <c r="AQ3026" s="8" t="str">
        <f aca="false">IF(A3026="","",IF(ISNUMBER(SEARCH("2歳",Z3026)),"2歳戦",IF(ISNUMBER(SEARCH("3歳未勝利",Z3026)),"3歳未勝利",IF(ISNUMBER(SEARCH("未勝利",Z3026)),"その他未勝利",IF(ISNUMBER(SEARCH("G1",Z3026)),"G1",IF(ISNUMBER(SEARCH("G2",Z3026)),"G2",IF(ISNUMBER(SEARCH("G3",Z3026)),"G3",IF(ISNUMBER(SEARCH("古馬条件",Z3026)),"古馬条件戦",IF(ISNUMBER(SEARCH("重賞",Z3026)),"重賞","分類不能")))))))))</f>
        <v/>
      </c>
    </row>
    <row r="3027" customFormat="false" ht="15.75" hidden="false" customHeight="false" outlineLevel="0" collapsed="false">
      <c r="AO3027" s="8" t="str">
        <f aca="false">IF(A3027="","",IF(COUNTIFS(全馬データ!$A$2:$A$50000,A3027,全馬データ!$B$2:$B$50000,B3027,全馬データ!$C$2:$C$50000,C3027,全馬データ!$D$2:$D$50000,E3027,全馬データ!$K$2:$K$50000,"&lt;&gt;")=0,"",SUMIFS(全馬データ!$K$2:$K$50000,全馬データ!$A$2:$A$50000,A3027,全馬データ!$B$2:$B$50000,B3027,全馬データ!$C$2:$C$50000,C3027,全馬データ!$D$2:$D$50000,E3027)))</f>
        <v/>
      </c>
      <c r="AP3027" s="8" t="str">
        <f aca="false">IF(A3027="","",IF(AO3027="","欠損",IF(AO3027&lt;=1.1,"1.0～1.1",IF(AO3027&lt;1.3,"1.2",IF(AO3027&lt;1.5,"1.3～1.4",IF(AO3027&lt;2,"1.5～1.9","2.0以上"))))))</f>
        <v/>
      </c>
      <c r="AQ3027" s="8" t="str">
        <f aca="false">IF(A3027="","",IF(ISNUMBER(SEARCH("2歳",Z3027)),"2歳戦",IF(ISNUMBER(SEARCH("3歳未勝利",Z3027)),"3歳未勝利",IF(ISNUMBER(SEARCH("未勝利",Z3027)),"その他未勝利",IF(ISNUMBER(SEARCH("G1",Z3027)),"G1",IF(ISNUMBER(SEARCH("G2",Z3027)),"G2",IF(ISNUMBER(SEARCH("G3",Z3027)),"G3",IF(ISNUMBER(SEARCH("古馬条件",Z3027)),"古馬条件戦",IF(ISNUMBER(SEARCH("重賞",Z3027)),"重賞","分類不能")))))))))</f>
        <v/>
      </c>
    </row>
    <row r="3028" customFormat="false" ht="15.75" hidden="false" customHeight="false" outlineLevel="0" collapsed="false">
      <c r="AO3028" s="8" t="str">
        <f aca="false">IF(A3028="","",IF(COUNTIFS(全馬データ!$A$2:$A$50000,A3028,全馬データ!$B$2:$B$50000,B3028,全馬データ!$C$2:$C$50000,C3028,全馬データ!$D$2:$D$50000,E3028,全馬データ!$K$2:$K$50000,"&lt;&gt;")=0,"",SUMIFS(全馬データ!$K$2:$K$50000,全馬データ!$A$2:$A$50000,A3028,全馬データ!$B$2:$B$50000,B3028,全馬データ!$C$2:$C$50000,C3028,全馬データ!$D$2:$D$50000,E3028)))</f>
        <v/>
      </c>
      <c r="AP3028" s="8" t="str">
        <f aca="false">IF(A3028="","",IF(AO3028="","欠損",IF(AO3028&lt;=1.1,"1.0～1.1",IF(AO3028&lt;1.3,"1.2",IF(AO3028&lt;1.5,"1.3～1.4",IF(AO3028&lt;2,"1.5～1.9","2.0以上"))))))</f>
        <v/>
      </c>
      <c r="AQ3028" s="8" t="str">
        <f aca="false">IF(A3028="","",IF(ISNUMBER(SEARCH("2歳",Z3028)),"2歳戦",IF(ISNUMBER(SEARCH("3歳未勝利",Z3028)),"3歳未勝利",IF(ISNUMBER(SEARCH("未勝利",Z3028)),"その他未勝利",IF(ISNUMBER(SEARCH("G1",Z3028)),"G1",IF(ISNUMBER(SEARCH("G2",Z3028)),"G2",IF(ISNUMBER(SEARCH("G3",Z3028)),"G3",IF(ISNUMBER(SEARCH("古馬条件",Z3028)),"古馬条件戦",IF(ISNUMBER(SEARCH("重賞",Z3028)),"重賞","分類不能")))))))))</f>
        <v/>
      </c>
    </row>
    <row r="3029" customFormat="false" ht="15.75" hidden="false" customHeight="false" outlineLevel="0" collapsed="false">
      <c r="AO3029" s="8" t="str">
        <f aca="false">IF(A3029="","",IF(COUNTIFS(全馬データ!$A$2:$A$50000,A3029,全馬データ!$B$2:$B$50000,B3029,全馬データ!$C$2:$C$50000,C3029,全馬データ!$D$2:$D$50000,E3029,全馬データ!$K$2:$K$50000,"&lt;&gt;")=0,"",SUMIFS(全馬データ!$K$2:$K$50000,全馬データ!$A$2:$A$50000,A3029,全馬データ!$B$2:$B$50000,B3029,全馬データ!$C$2:$C$50000,C3029,全馬データ!$D$2:$D$50000,E3029)))</f>
        <v/>
      </c>
      <c r="AP3029" s="8" t="str">
        <f aca="false">IF(A3029="","",IF(AO3029="","欠損",IF(AO3029&lt;=1.1,"1.0～1.1",IF(AO3029&lt;1.3,"1.2",IF(AO3029&lt;1.5,"1.3～1.4",IF(AO3029&lt;2,"1.5～1.9","2.0以上"))))))</f>
        <v/>
      </c>
      <c r="AQ3029" s="8" t="str">
        <f aca="false">IF(A3029="","",IF(ISNUMBER(SEARCH("2歳",Z3029)),"2歳戦",IF(ISNUMBER(SEARCH("3歳未勝利",Z3029)),"3歳未勝利",IF(ISNUMBER(SEARCH("未勝利",Z3029)),"その他未勝利",IF(ISNUMBER(SEARCH("G1",Z3029)),"G1",IF(ISNUMBER(SEARCH("G2",Z3029)),"G2",IF(ISNUMBER(SEARCH("G3",Z3029)),"G3",IF(ISNUMBER(SEARCH("古馬条件",Z3029)),"古馬条件戦",IF(ISNUMBER(SEARCH("重賞",Z3029)),"重賞","分類不能")))))))))</f>
        <v/>
      </c>
    </row>
    <row r="3030" customFormat="false" ht="15.75" hidden="false" customHeight="false" outlineLevel="0" collapsed="false">
      <c r="AO3030" s="8" t="str">
        <f aca="false">IF(A3030="","",IF(COUNTIFS(全馬データ!$A$2:$A$50000,A3030,全馬データ!$B$2:$B$50000,B3030,全馬データ!$C$2:$C$50000,C3030,全馬データ!$D$2:$D$50000,E3030,全馬データ!$K$2:$K$50000,"&lt;&gt;")=0,"",SUMIFS(全馬データ!$K$2:$K$50000,全馬データ!$A$2:$A$50000,A3030,全馬データ!$B$2:$B$50000,B3030,全馬データ!$C$2:$C$50000,C3030,全馬データ!$D$2:$D$50000,E3030)))</f>
        <v/>
      </c>
      <c r="AP3030" s="8" t="str">
        <f aca="false">IF(A3030="","",IF(AO3030="","欠損",IF(AO3030&lt;=1.1,"1.0～1.1",IF(AO3030&lt;1.3,"1.2",IF(AO3030&lt;1.5,"1.3～1.4",IF(AO3030&lt;2,"1.5～1.9","2.0以上"))))))</f>
        <v/>
      </c>
      <c r="AQ3030" s="8" t="str">
        <f aca="false">IF(A3030="","",IF(ISNUMBER(SEARCH("2歳",Z3030)),"2歳戦",IF(ISNUMBER(SEARCH("3歳未勝利",Z3030)),"3歳未勝利",IF(ISNUMBER(SEARCH("未勝利",Z3030)),"その他未勝利",IF(ISNUMBER(SEARCH("G1",Z3030)),"G1",IF(ISNUMBER(SEARCH("G2",Z3030)),"G2",IF(ISNUMBER(SEARCH("G3",Z3030)),"G3",IF(ISNUMBER(SEARCH("古馬条件",Z3030)),"古馬条件戦",IF(ISNUMBER(SEARCH("重賞",Z3030)),"重賞","分類不能")))))))))</f>
        <v/>
      </c>
    </row>
    <row r="3031" customFormat="false" ht="15.75" hidden="false" customHeight="false" outlineLevel="0" collapsed="false">
      <c r="AO3031" s="8" t="str">
        <f aca="false">IF(A3031="","",IF(COUNTIFS(全馬データ!$A$2:$A$50000,A3031,全馬データ!$B$2:$B$50000,B3031,全馬データ!$C$2:$C$50000,C3031,全馬データ!$D$2:$D$50000,E3031,全馬データ!$K$2:$K$50000,"&lt;&gt;")=0,"",SUMIFS(全馬データ!$K$2:$K$50000,全馬データ!$A$2:$A$50000,A3031,全馬データ!$B$2:$B$50000,B3031,全馬データ!$C$2:$C$50000,C3031,全馬データ!$D$2:$D$50000,E3031)))</f>
        <v/>
      </c>
      <c r="AP3031" s="8" t="str">
        <f aca="false">IF(A3031="","",IF(AO3031="","欠損",IF(AO3031&lt;=1.1,"1.0～1.1",IF(AO3031&lt;1.3,"1.2",IF(AO3031&lt;1.5,"1.3～1.4",IF(AO3031&lt;2,"1.5～1.9","2.0以上"))))))</f>
        <v/>
      </c>
      <c r="AQ3031" s="8" t="str">
        <f aca="false">IF(A3031="","",IF(ISNUMBER(SEARCH("2歳",Z3031)),"2歳戦",IF(ISNUMBER(SEARCH("3歳未勝利",Z3031)),"3歳未勝利",IF(ISNUMBER(SEARCH("未勝利",Z3031)),"その他未勝利",IF(ISNUMBER(SEARCH("G1",Z3031)),"G1",IF(ISNUMBER(SEARCH("G2",Z3031)),"G2",IF(ISNUMBER(SEARCH("G3",Z3031)),"G3",IF(ISNUMBER(SEARCH("古馬条件",Z3031)),"古馬条件戦",IF(ISNUMBER(SEARCH("重賞",Z3031)),"重賞","分類不能")))))))))</f>
        <v/>
      </c>
    </row>
    <row r="3032" customFormat="false" ht="15.75" hidden="false" customHeight="false" outlineLevel="0" collapsed="false">
      <c r="AO3032" s="8" t="str">
        <f aca="false">IF(A3032="","",IF(COUNTIFS(全馬データ!$A$2:$A$50000,A3032,全馬データ!$B$2:$B$50000,B3032,全馬データ!$C$2:$C$50000,C3032,全馬データ!$D$2:$D$50000,E3032,全馬データ!$K$2:$K$50000,"&lt;&gt;")=0,"",SUMIFS(全馬データ!$K$2:$K$50000,全馬データ!$A$2:$A$50000,A3032,全馬データ!$B$2:$B$50000,B3032,全馬データ!$C$2:$C$50000,C3032,全馬データ!$D$2:$D$50000,E3032)))</f>
        <v/>
      </c>
      <c r="AP3032" s="8" t="str">
        <f aca="false">IF(A3032="","",IF(AO3032="","欠損",IF(AO3032&lt;=1.1,"1.0～1.1",IF(AO3032&lt;1.3,"1.2",IF(AO3032&lt;1.5,"1.3～1.4",IF(AO3032&lt;2,"1.5～1.9","2.0以上"))))))</f>
        <v/>
      </c>
      <c r="AQ3032" s="8" t="str">
        <f aca="false">IF(A3032="","",IF(ISNUMBER(SEARCH("2歳",Z3032)),"2歳戦",IF(ISNUMBER(SEARCH("3歳未勝利",Z3032)),"3歳未勝利",IF(ISNUMBER(SEARCH("未勝利",Z3032)),"その他未勝利",IF(ISNUMBER(SEARCH("G1",Z3032)),"G1",IF(ISNUMBER(SEARCH("G2",Z3032)),"G2",IF(ISNUMBER(SEARCH("G3",Z3032)),"G3",IF(ISNUMBER(SEARCH("古馬条件",Z3032)),"古馬条件戦",IF(ISNUMBER(SEARCH("重賞",Z3032)),"重賞","分類不能")))))))))</f>
        <v/>
      </c>
    </row>
    <row r="3033" customFormat="false" ht="15.75" hidden="false" customHeight="false" outlineLevel="0" collapsed="false">
      <c r="AO3033" s="8" t="str">
        <f aca="false">IF(A3033="","",IF(COUNTIFS(全馬データ!$A$2:$A$50000,A3033,全馬データ!$B$2:$B$50000,B3033,全馬データ!$C$2:$C$50000,C3033,全馬データ!$D$2:$D$50000,E3033,全馬データ!$K$2:$K$50000,"&lt;&gt;")=0,"",SUMIFS(全馬データ!$K$2:$K$50000,全馬データ!$A$2:$A$50000,A3033,全馬データ!$B$2:$B$50000,B3033,全馬データ!$C$2:$C$50000,C3033,全馬データ!$D$2:$D$50000,E3033)))</f>
        <v/>
      </c>
      <c r="AP3033" s="8" t="str">
        <f aca="false">IF(A3033="","",IF(AO3033="","欠損",IF(AO3033&lt;=1.1,"1.0～1.1",IF(AO3033&lt;1.3,"1.2",IF(AO3033&lt;1.5,"1.3～1.4",IF(AO3033&lt;2,"1.5～1.9","2.0以上"))))))</f>
        <v/>
      </c>
      <c r="AQ3033" s="8" t="str">
        <f aca="false">IF(A3033="","",IF(ISNUMBER(SEARCH("2歳",Z3033)),"2歳戦",IF(ISNUMBER(SEARCH("3歳未勝利",Z3033)),"3歳未勝利",IF(ISNUMBER(SEARCH("未勝利",Z3033)),"その他未勝利",IF(ISNUMBER(SEARCH("G1",Z3033)),"G1",IF(ISNUMBER(SEARCH("G2",Z3033)),"G2",IF(ISNUMBER(SEARCH("G3",Z3033)),"G3",IF(ISNUMBER(SEARCH("古馬条件",Z3033)),"古馬条件戦",IF(ISNUMBER(SEARCH("重賞",Z3033)),"重賞","分類不能")))))))))</f>
        <v/>
      </c>
    </row>
    <row r="3034" customFormat="false" ht="15.75" hidden="false" customHeight="false" outlineLevel="0" collapsed="false">
      <c r="AO3034" s="8" t="str">
        <f aca="false">IF(A3034="","",IF(COUNTIFS(全馬データ!$A$2:$A$50000,A3034,全馬データ!$B$2:$B$50000,B3034,全馬データ!$C$2:$C$50000,C3034,全馬データ!$D$2:$D$50000,E3034,全馬データ!$K$2:$K$50000,"&lt;&gt;")=0,"",SUMIFS(全馬データ!$K$2:$K$50000,全馬データ!$A$2:$A$50000,A3034,全馬データ!$B$2:$B$50000,B3034,全馬データ!$C$2:$C$50000,C3034,全馬データ!$D$2:$D$50000,E3034)))</f>
        <v/>
      </c>
      <c r="AP3034" s="8" t="str">
        <f aca="false">IF(A3034="","",IF(AO3034="","欠損",IF(AO3034&lt;=1.1,"1.0～1.1",IF(AO3034&lt;1.3,"1.2",IF(AO3034&lt;1.5,"1.3～1.4",IF(AO3034&lt;2,"1.5～1.9","2.0以上"))))))</f>
        <v/>
      </c>
      <c r="AQ3034" s="8" t="str">
        <f aca="false">IF(A3034="","",IF(ISNUMBER(SEARCH("2歳",Z3034)),"2歳戦",IF(ISNUMBER(SEARCH("3歳未勝利",Z3034)),"3歳未勝利",IF(ISNUMBER(SEARCH("未勝利",Z3034)),"その他未勝利",IF(ISNUMBER(SEARCH("G1",Z3034)),"G1",IF(ISNUMBER(SEARCH("G2",Z3034)),"G2",IF(ISNUMBER(SEARCH("G3",Z3034)),"G3",IF(ISNUMBER(SEARCH("古馬条件",Z3034)),"古馬条件戦",IF(ISNUMBER(SEARCH("重賞",Z3034)),"重賞","分類不能")))))))))</f>
        <v/>
      </c>
    </row>
    <row r="3035" customFormat="false" ht="15.75" hidden="false" customHeight="false" outlineLevel="0" collapsed="false">
      <c r="AO3035" s="8" t="str">
        <f aca="false">IF(A3035="","",IF(COUNTIFS(全馬データ!$A$2:$A$50000,A3035,全馬データ!$B$2:$B$50000,B3035,全馬データ!$C$2:$C$50000,C3035,全馬データ!$D$2:$D$50000,E3035,全馬データ!$K$2:$K$50000,"&lt;&gt;")=0,"",SUMIFS(全馬データ!$K$2:$K$50000,全馬データ!$A$2:$A$50000,A3035,全馬データ!$B$2:$B$50000,B3035,全馬データ!$C$2:$C$50000,C3035,全馬データ!$D$2:$D$50000,E3035)))</f>
        <v/>
      </c>
      <c r="AP3035" s="8" t="str">
        <f aca="false">IF(A3035="","",IF(AO3035="","欠損",IF(AO3035&lt;=1.1,"1.0～1.1",IF(AO3035&lt;1.3,"1.2",IF(AO3035&lt;1.5,"1.3～1.4",IF(AO3035&lt;2,"1.5～1.9","2.0以上"))))))</f>
        <v/>
      </c>
      <c r="AQ3035" s="8" t="str">
        <f aca="false">IF(A3035="","",IF(ISNUMBER(SEARCH("2歳",Z3035)),"2歳戦",IF(ISNUMBER(SEARCH("3歳未勝利",Z3035)),"3歳未勝利",IF(ISNUMBER(SEARCH("未勝利",Z3035)),"その他未勝利",IF(ISNUMBER(SEARCH("G1",Z3035)),"G1",IF(ISNUMBER(SEARCH("G2",Z3035)),"G2",IF(ISNUMBER(SEARCH("G3",Z3035)),"G3",IF(ISNUMBER(SEARCH("古馬条件",Z3035)),"古馬条件戦",IF(ISNUMBER(SEARCH("重賞",Z3035)),"重賞","分類不能")))))))))</f>
        <v/>
      </c>
    </row>
    <row r="3036" customFormat="false" ht="15.75" hidden="false" customHeight="false" outlineLevel="0" collapsed="false">
      <c r="AO3036" s="8" t="str">
        <f aca="false">IF(A3036="","",IF(COUNTIFS(全馬データ!$A$2:$A$50000,A3036,全馬データ!$B$2:$B$50000,B3036,全馬データ!$C$2:$C$50000,C3036,全馬データ!$D$2:$D$50000,E3036,全馬データ!$K$2:$K$50000,"&lt;&gt;")=0,"",SUMIFS(全馬データ!$K$2:$K$50000,全馬データ!$A$2:$A$50000,A3036,全馬データ!$B$2:$B$50000,B3036,全馬データ!$C$2:$C$50000,C3036,全馬データ!$D$2:$D$50000,E3036)))</f>
        <v/>
      </c>
      <c r="AP3036" s="8" t="str">
        <f aca="false">IF(A3036="","",IF(AO3036="","欠損",IF(AO3036&lt;=1.1,"1.0～1.1",IF(AO3036&lt;1.3,"1.2",IF(AO3036&lt;1.5,"1.3～1.4",IF(AO3036&lt;2,"1.5～1.9","2.0以上"))))))</f>
        <v/>
      </c>
      <c r="AQ3036" s="8" t="str">
        <f aca="false">IF(A3036="","",IF(ISNUMBER(SEARCH("2歳",Z3036)),"2歳戦",IF(ISNUMBER(SEARCH("3歳未勝利",Z3036)),"3歳未勝利",IF(ISNUMBER(SEARCH("未勝利",Z3036)),"その他未勝利",IF(ISNUMBER(SEARCH("G1",Z3036)),"G1",IF(ISNUMBER(SEARCH("G2",Z3036)),"G2",IF(ISNUMBER(SEARCH("G3",Z3036)),"G3",IF(ISNUMBER(SEARCH("古馬条件",Z3036)),"古馬条件戦",IF(ISNUMBER(SEARCH("重賞",Z3036)),"重賞","分類不能")))))))))</f>
        <v/>
      </c>
    </row>
    <row r="3037" customFormat="false" ht="15.75" hidden="false" customHeight="false" outlineLevel="0" collapsed="false">
      <c r="AO3037" s="8" t="str">
        <f aca="false">IF(A3037="","",IF(COUNTIFS(全馬データ!$A$2:$A$50000,A3037,全馬データ!$B$2:$B$50000,B3037,全馬データ!$C$2:$C$50000,C3037,全馬データ!$D$2:$D$50000,E3037,全馬データ!$K$2:$K$50000,"&lt;&gt;")=0,"",SUMIFS(全馬データ!$K$2:$K$50000,全馬データ!$A$2:$A$50000,A3037,全馬データ!$B$2:$B$50000,B3037,全馬データ!$C$2:$C$50000,C3037,全馬データ!$D$2:$D$50000,E3037)))</f>
        <v/>
      </c>
      <c r="AP3037" s="8" t="str">
        <f aca="false">IF(A3037="","",IF(AO3037="","欠損",IF(AO3037&lt;=1.1,"1.0～1.1",IF(AO3037&lt;1.3,"1.2",IF(AO3037&lt;1.5,"1.3～1.4",IF(AO3037&lt;2,"1.5～1.9","2.0以上"))))))</f>
        <v/>
      </c>
      <c r="AQ3037" s="8" t="str">
        <f aca="false">IF(A3037="","",IF(ISNUMBER(SEARCH("2歳",Z3037)),"2歳戦",IF(ISNUMBER(SEARCH("3歳未勝利",Z3037)),"3歳未勝利",IF(ISNUMBER(SEARCH("未勝利",Z3037)),"その他未勝利",IF(ISNUMBER(SEARCH("G1",Z3037)),"G1",IF(ISNUMBER(SEARCH("G2",Z3037)),"G2",IF(ISNUMBER(SEARCH("G3",Z3037)),"G3",IF(ISNUMBER(SEARCH("古馬条件",Z3037)),"古馬条件戦",IF(ISNUMBER(SEARCH("重賞",Z3037)),"重賞","分類不能")))))))))</f>
        <v/>
      </c>
    </row>
    <row r="3038" customFormat="false" ht="15.75" hidden="false" customHeight="false" outlineLevel="0" collapsed="false">
      <c r="AO3038" s="8" t="str">
        <f aca="false">IF(A3038="","",IF(COUNTIFS(全馬データ!$A$2:$A$50000,A3038,全馬データ!$B$2:$B$50000,B3038,全馬データ!$C$2:$C$50000,C3038,全馬データ!$D$2:$D$50000,E3038,全馬データ!$K$2:$K$50000,"&lt;&gt;")=0,"",SUMIFS(全馬データ!$K$2:$K$50000,全馬データ!$A$2:$A$50000,A3038,全馬データ!$B$2:$B$50000,B3038,全馬データ!$C$2:$C$50000,C3038,全馬データ!$D$2:$D$50000,E3038)))</f>
        <v/>
      </c>
      <c r="AP3038" s="8" t="str">
        <f aca="false">IF(A3038="","",IF(AO3038="","欠損",IF(AO3038&lt;=1.1,"1.0～1.1",IF(AO3038&lt;1.3,"1.2",IF(AO3038&lt;1.5,"1.3～1.4",IF(AO3038&lt;2,"1.5～1.9","2.0以上"))))))</f>
        <v/>
      </c>
      <c r="AQ3038" s="8" t="str">
        <f aca="false">IF(A3038="","",IF(ISNUMBER(SEARCH("2歳",Z3038)),"2歳戦",IF(ISNUMBER(SEARCH("3歳未勝利",Z3038)),"3歳未勝利",IF(ISNUMBER(SEARCH("未勝利",Z3038)),"その他未勝利",IF(ISNUMBER(SEARCH("G1",Z3038)),"G1",IF(ISNUMBER(SEARCH("G2",Z3038)),"G2",IF(ISNUMBER(SEARCH("G3",Z3038)),"G3",IF(ISNUMBER(SEARCH("古馬条件",Z3038)),"古馬条件戦",IF(ISNUMBER(SEARCH("重賞",Z3038)),"重賞","分類不能")))))))))</f>
        <v/>
      </c>
    </row>
    <row r="3039" customFormat="false" ht="15.75" hidden="false" customHeight="false" outlineLevel="0" collapsed="false">
      <c r="AO3039" s="8" t="str">
        <f aca="false">IF(A3039="","",IF(COUNTIFS(全馬データ!$A$2:$A$50000,A3039,全馬データ!$B$2:$B$50000,B3039,全馬データ!$C$2:$C$50000,C3039,全馬データ!$D$2:$D$50000,E3039,全馬データ!$K$2:$K$50000,"&lt;&gt;")=0,"",SUMIFS(全馬データ!$K$2:$K$50000,全馬データ!$A$2:$A$50000,A3039,全馬データ!$B$2:$B$50000,B3039,全馬データ!$C$2:$C$50000,C3039,全馬データ!$D$2:$D$50000,E3039)))</f>
        <v/>
      </c>
      <c r="AP3039" s="8" t="str">
        <f aca="false">IF(A3039="","",IF(AO3039="","欠損",IF(AO3039&lt;=1.1,"1.0～1.1",IF(AO3039&lt;1.3,"1.2",IF(AO3039&lt;1.5,"1.3～1.4",IF(AO3039&lt;2,"1.5～1.9","2.0以上"))))))</f>
        <v/>
      </c>
      <c r="AQ3039" s="8" t="str">
        <f aca="false">IF(A3039="","",IF(ISNUMBER(SEARCH("2歳",Z3039)),"2歳戦",IF(ISNUMBER(SEARCH("3歳未勝利",Z3039)),"3歳未勝利",IF(ISNUMBER(SEARCH("未勝利",Z3039)),"その他未勝利",IF(ISNUMBER(SEARCH("G1",Z3039)),"G1",IF(ISNUMBER(SEARCH("G2",Z3039)),"G2",IF(ISNUMBER(SEARCH("G3",Z3039)),"G3",IF(ISNUMBER(SEARCH("古馬条件",Z3039)),"古馬条件戦",IF(ISNUMBER(SEARCH("重賞",Z3039)),"重賞","分類不能")))))))))</f>
        <v/>
      </c>
    </row>
    <row r="3040" customFormat="false" ht="15.75" hidden="false" customHeight="false" outlineLevel="0" collapsed="false">
      <c r="AO3040" s="8" t="str">
        <f aca="false">IF(A3040="","",IF(COUNTIFS(全馬データ!$A$2:$A$50000,A3040,全馬データ!$B$2:$B$50000,B3040,全馬データ!$C$2:$C$50000,C3040,全馬データ!$D$2:$D$50000,E3040,全馬データ!$K$2:$K$50000,"&lt;&gt;")=0,"",SUMIFS(全馬データ!$K$2:$K$50000,全馬データ!$A$2:$A$50000,A3040,全馬データ!$B$2:$B$50000,B3040,全馬データ!$C$2:$C$50000,C3040,全馬データ!$D$2:$D$50000,E3040)))</f>
        <v/>
      </c>
      <c r="AP3040" s="8" t="str">
        <f aca="false">IF(A3040="","",IF(AO3040="","欠損",IF(AO3040&lt;=1.1,"1.0～1.1",IF(AO3040&lt;1.3,"1.2",IF(AO3040&lt;1.5,"1.3～1.4",IF(AO3040&lt;2,"1.5～1.9","2.0以上"))))))</f>
        <v/>
      </c>
      <c r="AQ3040" s="8" t="str">
        <f aca="false">IF(A3040="","",IF(ISNUMBER(SEARCH("2歳",Z3040)),"2歳戦",IF(ISNUMBER(SEARCH("3歳未勝利",Z3040)),"3歳未勝利",IF(ISNUMBER(SEARCH("未勝利",Z3040)),"その他未勝利",IF(ISNUMBER(SEARCH("G1",Z3040)),"G1",IF(ISNUMBER(SEARCH("G2",Z3040)),"G2",IF(ISNUMBER(SEARCH("G3",Z3040)),"G3",IF(ISNUMBER(SEARCH("古馬条件",Z3040)),"古馬条件戦",IF(ISNUMBER(SEARCH("重賞",Z3040)),"重賞","分類不能")))))))))</f>
        <v/>
      </c>
    </row>
    <row r="3041" customFormat="false" ht="15.75" hidden="false" customHeight="false" outlineLevel="0" collapsed="false">
      <c r="AO3041" s="8" t="str">
        <f aca="false">IF(A3041="","",IF(COUNTIFS(全馬データ!$A$2:$A$50000,A3041,全馬データ!$B$2:$B$50000,B3041,全馬データ!$C$2:$C$50000,C3041,全馬データ!$D$2:$D$50000,E3041,全馬データ!$K$2:$K$50000,"&lt;&gt;")=0,"",SUMIFS(全馬データ!$K$2:$K$50000,全馬データ!$A$2:$A$50000,A3041,全馬データ!$B$2:$B$50000,B3041,全馬データ!$C$2:$C$50000,C3041,全馬データ!$D$2:$D$50000,E3041)))</f>
        <v/>
      </c>
      <c r="AP3041" s="8" t="str">
        <f aca="false">IF(A3041="","",IF(AO3041="","欠損",IF(AO3041&lt;=1.1,"1.0～1.1",IF(AO3041&lt;1.3,"1.2",IF(AO3041&lt;1.5,"1.3～1.4",IF(AO3041&lt;2,"1.5～1.9","2.0以上"))))))</f>
        <v/>
      </c>
      <c r="AQ3041" s="8" t="str">
        <f aca="false">IF(A3041="","",IF(ISNUMBER(SEARCH("2歳",Z3041)),"2歳戦",IF(ISNUMBER(SEARCH("3歳未勝利",Z3041)),"3歳未勝利",IF(ISNUMBER(SEARCH("未勝利",Z3041)),"その他未勝利",IF(ISNUMBER(SEARCH("G1",Z3041)),"G1",IF(ISNUMBER(SEARCH("G2",Z3041)),"G2",IF(ISNUMBER(SEARCH("G3",Z3041)),"G3",IF(ISNUMBER(SEARCH("古馬条件",Z3041)),"古馬条件戦",IF(ISNUMBER(SEARCH("重賞",Z3041)),"重賞","分類不能")))))))))</f>
        <v/>
      </c>
    </row>
    <row r="3042" customFormat="false" ht="15.75" hidden="false" customHeight="false" outlineLevel="0" collapsed="false">
      <c r="AO3042" s="8" t="str">
        <f aca="false">IF(A3042="","",IF(COUNTIFS(全馬データ!$A$2:$A$50000,A3042,全馬データ!$B$2:$B$50000,B3042,全馬データ!$C$2:$C$50000,C3042,全馬データ!$D$2:$D$50000,E3042,全馬データ!$K$2:$K$50000,"&lt;&gt;")=0,"",SUMIFS(全馬データ!$K$2:$K$50000,全馬データ!$A$2:$A$50000,A3042,全馬データ!$B$2:$B$50000,B3042,全馬データ!$C$2:$C$50000,C3042,全馬データ!$D$2:$D$50000,E3042)))</f>
        <v/>
      </c>
      <c r="AP3042" s="8" t="str">
        <f aca="false">IF(A3042="","",IF(AO3042="","欠損",IF(AO3042&lt;=1.1,"1.0～1.1",IF(AO3042&lt;1.3,"1.2",IF(AO3042&lt;1.5,"1.3～1.4",IF(AO3042&lt;2,"1.5～1.9","2.0以上"))))))</f>
        <v/>
      </c>
      <c r="AQ3042" s="8" t="str">
        <f aca="false">IF(A3042="","",IF(ISNUMBER(SEARCH("2歳",Z3042)),"2歳戦",IF(ISNUMBER(SEARCH("3歳未勝利",Z3042)),"3歳未勝利",IF(ISNUMBER(SEARCH("未勝利",Z3042)),"その他未勝利",IF(ISNUMBER(SEARCH("G1",Z3042)),"G1",IF(ISNUMBER(SEARCH("G2",Z3042)),"G2",IF(ISNUMBER(SEARCH("G3",Z3042)),"G3",IF(ISNUMBER(SEARCH("古馬条件",Z3042)),"古馬条件戦",IF(ISNUMBER(SEARCH("重賞",Z3042)),"重賞","分類不能")))))))))</f>
        <v/>
      </c>
    </row>
    <row r="3043" customFormat="false" ht="15.75" hidden="false" customHeight="false" outlineLevel="0" collapsed="false">
      <c r="AO3043" s="8" t="str">
        <f aca="false">IF(A3043="","",IF(COUNTIFS(全馬データ!$A$2:$A$50000,A3043,全馬データ!$B$2:$B$50000,B3043,全馬データ!$C$2:$C$50000,C3043,全馬データ!$D$2:$D$50000,E3043,全馬データ!$K$2:$K$50000,"&lt;&gt;")=0,"",SUMIFS(全馬データ!$K$2:$K$50000,全馬データ!$A$2:$A$50000,A3043,全馬データ!$B$2:$B$50000,B3043,全馬データ!$C$2:$C$50000,C3043,全馬データ!$D$2:$D$50000,E3043)))</f>
        <v/>
      </c>
      <c r="AP3043" s="8" t="str">
        <f aca="false">IF(A3043="","",IF(AO3043="","欠損",IF(AO3043&lt;=1.1,"1.0～1.1",IF(AO3043&lt;1.3,"1.2",IF(AO3043&lt;1.5,"1.3～1.4",IF(AO3043&lt;2,"1.5～1.9","2.0以上"))))))</f>
        <v/>
      </c>
      <c r="AQ3043" s="8" t="str">
        <f aca="false">IF(A3043="","",IF(ISNUMBER(SEARCH("2歳",Z3043)),"2歳戦",IF(ISNUMBER(SEARCH("3歳未勝利",Z3043)),"3歳未勝利",IF(ISNUMBER(SEARCH("未勝利",Z3043)),"その他未勝利",IF(ISNUMBER(SEARCH("G1",Z3043)),"G1",IF(ISNUMBER(SEARCH("G2",Z3043)),"G2",IF(ISNUMBER(SEARCH("G3",Z3043)),"G3",IF(ISNUMBER(SEARCH("古馬条件",Z3043)),"古馬条件戦",IF(ISNUMBER(SEARCH("重賞",Z3043)),"重賞","分類不能")))))))))</f>
        <v/>
      </c>
    </row>
    <row r="3044" customFormat="false" ht="15.75" hidden="false" customHeight="false" outlineLevel="0" collapsed="false">
      <c r="AO3044" s="8" t="str">
        <f aca="false">IF(A3044="","",IF(COUNTIFS(全馬データ!$A$2:$A$50000,A3044,全馬データ!$B$2:$B$50000,B3044,全馬データ!$C$2:$C$50000,C3044,全馬データ!$D$2:$D$50000,E3044,全馬データ!$K$2:$K$50000,"&lt;&gt;")=0,"",SUMIFS(全馬データ!$K$2:$K$50000,全馬データ!$A$2:$A$50000,A3044,全馬データ!$B$2:$B$50000,B3044,全馬データ!$C$2:$C$50000,C3044,全馬データ!$D$2:$D$50000,E3044)))</f>
        <v/>
      </c>
      <c r="AP3044" s="8" t="str">
        <f aca="false">IF(A3044="","",IF(AO3044="","欠損",IF(AO3044&lt;=1.1,"1.0～1.1",IF(AO3044&lt;1.3,"1.2",IF(AO3044&lt;1.5,"1.3～1.4",IF(AO3044&lt;2,"1.5～1.9","2.0以上"))))))</f>
        <v/>
      </c>
      <c r="AQ3044" s="8" t="str">
        <f aca="false">IF(A3044="","",IF(ISNUMBER(SEARCH("2歳",Z3044)),"2歳戦",IF(ISNUMBER(SEARCH("3歳未勝利",Z3044)),"3歳未勝利",IF(ISNUMBER(SEARCH("未勝利",Z3044)),"その他未勝利",IF(ISNUMBER(SEARCH("G1",Z3044)),"G1",IF(ISNUMBER(SEARCH("G2",Z3044)),"G2",IF(ISNUMBER(SEARCH("G3",Z3044)),"G3",IF(ISNUMBER(SEARCH("古馬条件",Z3044)),"古馬条件戦",IF(ISNUMBER(SEARCH("重賞",Z3044)),"重賞","分類不能")))))))))</f>
        <v/>
      </c>
    </row>
    <row r="3045" customFormat="false" ht="15.75" hidden="false" customHeight="false" outlineLevel="0" collapsed="false">
      <c r="AO3045" s="8" t="str">
        <f aca="false">IF(A3045="","",IF(COUNTIFS(全馬データ!$A$2:$A$50000,A3045,全馬データ!$B$2:$B$50000,B3045,全馬データ!$C$2:$C$50000,C3045,全馬データ!$D$2:$D$50000,E3045,全馬データ!$K$2:$K$50000,"&lt;&gt;")=0,"",SUMIFS(全馬データ!$K$2:$K$50000,全馬データ!$A$2:$A$50000,A3045,全馬データ!$B$2:$B$50000,B3045,全馬データ!$C$2:$C$50000,C3045,全馬データ!$D$2:$D$50000,E3045)))</f>
        <v/>
      </c>
      <c r="AP3045" s="8" t="str">
        <f aca="false">IF(A3045="","",IF(AO3045="","欠損",IF(AO3045&lt;=1.1,"1.0～1.1",IF(AO3045&lt;1.3,"1.2",IF(AO3045&lt;1.5,"1.3～1.4",IF(AO3045&lt;2,"1.5～1.9","2.0以上"))))))</f>
        <v/>
      </c>
      <c r="AQ3045" s="8" t="str">
        <f aca="false">IF(A3045="","",IF(ISNUMBER(SEARCH("2歳",Z3045)),"2歳戦",IF(ISNUMBER(SEARCH("3歳未勝利",Z3045)),"3歳未勝利",IF(ISNUMBER(SEARCH("未勝利",Z3045)),"その他未勝利",IF(ISNUMBER(SEARCH("G1",Z3045)),"G1",IF(ISNUMBER(SEARCH("G2",Z3045)),"G2",IF(ISNUMBER(SEARCH("G3",Z3045)),"G3",IF(ISNUMBER(SEARCH("古馬条件",Z3045)),"古馬条件戦",IF(ISNUMBER(SEARCH("重賞",Z3045)),"重賞","分類不能")))))))))</f>
        <v/>
      </c>
    </row>
    <row r="3046" customFormat="false" ht="15.75" hidden="false" customHeight="false" outlineLevel="0" collapsed="false">
      <c r="AO3046" s="8" t="str">
        <f aca="false">IF(A3046="","",IF(COUNTIFS(全馬データ!$A$2:$A$50000,A3046,全馬データ!$B$2:$B$50000,B3046,全馬データ!$C$2:$C$50000,C3046,全馬データ!$D$2:$D$50000,E3046,全馬データ!$K$2:$K$50000,"&lt;&gt;")=0,"",SUMIFS(全馬データ!$K$2:$K$50000,全馬データ!$A$2:$A$50000,A3046,全馬データ!$B$2:$B$50000,B3046,全馬データ!$C$2:$C$50000,C3046,全馬データ!$D$2:$D$50000,E3046)))</f>
        <v/>
      </c>
      <c r="AP3046" s="8" t="str">
        <f aca="false">IF(A3046="","",IF(AO3046="","欠損",IF(AO3046&lt;=1.1,"1.0～1.1",IF(AO3046&lt;1.3,"1.2",IF(AO3046&lt;1.5,"1.3～1.4",IF(AO3046&lt;2,"1.5～1.9","2.0以上"))))))</f>
        <v/>
      </c>
      <c r="AQ3046" s="8" t="str">
        <f aca="false">IF(A3046="","",IF(ISNUMBER(SEARCH("2歳",Z3046)),"2歳戦",IF(ISNUMBER(SEARCH("3歳未勝利",Z3046)),"3歳未勝利",IF(ISNUMBER(SEARCH("未勝利",Z3046)),"その他未勝利",IF(ISNUMBER(SEARCH("G1",Z3046)),"G1",IF(ISNUMBER(SEARCH("G2",Z3046)),"G2",IF(ISNUMBER(SEARCH("G3",Z3046)),"G3",IF(ISNUMBER(SEARCH("古馬条件",Z3046)),"古馬条件戦",IF(ISNUMBER(SEARCH("重賞",Z3046)),"重賞","分類不能")))))))))</f>
        <v/>
      </c>
    </row>
    <row r="3047" customFormat="false" ht="15.75" hidden="false" customHeight="false" outlineLevel="0" collapsed="false">
      <c r="AO3047" s="8" t="str">
        <f aca="false">IF(A3047="","",IF(COUNTIFS(全馬データ!$A$2:$A$50000,A3047,全馬データ!$B$2:$B$50000,B3047,全馬データ!$C$2:$C$50000,C3047,全馬データ!$D$2:$D$50000,E3047,全馬データ!$K$2:$K$50000,"&lt;&gt;")=0,"",SUMIFS(全馬データ!$K$2:$K$50000,全馬データ!$A$2:$A$50000,A3047,全馬データ!$B$2:$B$50000,B3047,全馬データ!$C$2:$C$50000,C3047,全馬データ!$D$2:$D$50000,E3047)))</f>
        <v/>
      </c>
      <c r="AP3047" s="8" t="str">
        <f aca="false">IF(A3047="","",IF(AO3047="","欠損",IF(AO3047&lt;=1.1,"1.0～1.1",IF(AO3047&lt;1.3,"1.2",IF(AO3047&lt;1.5,"1.3～1.4",IF(AO3047&lt;2,"1.5～1.9","2.0以上"))))))</f>
        <v/>
      </c>
      <c r="AQ3047" s="8" t="str">
        <f aca="false">IF(A3047="","",IF(ISNUMBER(SEARCH("2歳",Z3047)),"2歳戦",IF(ISNUMBER(SEARCH("3歳未勝利",Z3047)),"3歳未勝利",IF(ISNUMBER(SEARCH("未勝利",Z3047)),"その他未勝利",IF(ISNUMBER(SEARCH("G1",Z3047)),"G1",IF(ISNUMBER(SEARCH("G2",Z3047)),"G2",IF(ISNUMBER(SEARCH("G3",Z3047)),"G3",IF(ISNUMBER(SEARCH("古馬条件",Z3047)),"古馬条件戦",IF(ISNUMBER(SEARCH("重賞",Z3047)),"重賞","分類不能")))))))))</f>
        <v/>
      </c>
    </row>
    <row r="3048" customFormat="false" ht="15.75" hidden="false" customHeight="false" outlineLevel="0" collapsed="false">
      <c r="AO3048" s="8" t="str">
        <f aca="false">IF(A3048="","",IF(COUNTIFS(全馬データ!$A$2:$A$50000,A3048,全馬データ!$B$2:$B$50000,B3048,全馬データ!$C$2:$C$50000,C3048,全馬データ!$D$2:$D$50000,E3048,全馬データ!$K$2:$K$50000,"&lt;&gt;")=0,"",SUMIFS(全馬データ!$K$2:$K$50000,全馬データ!$A$2:$A$50000,A3048,全馬データ!$B$2:$B$50000,B3048,全馬データ!$C$2:$C$50000,C3048,全馬データ!$D$2:$D$50000,E3048)))</f>
        <v/>
      </c>
      <c r="AP3048" s="8" t="str">
        <f aca="false">IF(A3048="","",IF(AO3048="","欠損",IF(AO3048&lt;=1.1,"1.0～1.1",IF(AO3048&lt;1.3,"1.2",IF(AO3048&lt;1.5,"1.3～1.4",IF(AO3048&lt;2,"1.5～1.9","2.0以上"))))))</f>
        <v/>
      </c>
      <c r="AQ3048" s="8" t="str">
        <f aca="false">IF(A3048="","",IF(ISNUMBER(SEARCH("2歳",Z3048)),"2歳戦",IF(ISNUMBER(SEARCH("3歳未勝利",Z3048)),"3歳未勝利",IF(ISNUMBER(SEARCH("未勝利",Z3048)),"その他未勝利",IF(ISNUMBER(SEARCH("G1",Z3048)),"G1",IF(ISNUMBER(SEARCH("G2",Z3048)),"G2",IF(ISNUMBER(SEARCH("G3",Z3048)),"G3",IF(ISNUMBER(SEARCH("古馬条件",Z3048)),"古馬条件戦",IF(ISNUMBER(SEARCH("重賞",Z3048)),"重賞","分類不能")))))))))</f>
        <v/>
      </c>
    </row>
    <row r="3049" customFormat="false" ht="15.75" hidden="false" customHeight="false" outlineLevel="0" collapsed="false">
      <c r="AO3049" s="8" t="str">
        <f aca="false">IF(A3049="","",IF(COUNTIFS(全馬データ!$A$2:$A$50000,A3049,全馬データ!$B$2:$B$50000,B3049,全馬データ!$C$2:$C$50000,C3049,全馬データ!$D$2:$D$50000,E3049,全馬データ!$K$2:$K$50000,"&lt;&gt;")=0,"",SUMIFS(全馬データ!$K$2:$K$50000,全馬データ!$A$2:$A$50000,A3049,全馬データ!$B$2:$B$50000,B3049,全馬データ!$C$2:$C$50000,C3049,全馬データ!$D$2:$D$50000,E3049)))</f>
        <v/>
      </c>
      <c r="AP3049" s="8" t="str">
        <f aca="false">IF(A3049="","",IF(AO3049="","欠損",IF(AO3049&lt;=1.1,"1.0～1.1",IF(AO3049&lt;1.3,"1.2",IF(AO3049&lt;1.5,"1.3～1.4",IF(AO3049&lt;2,"1.5～1.9","2.0以上"))))))</f>
        <v/>
      </c>
      <c r="AQ3049" s="8" t="str">
        <f aca="false">IF(A3049="","",IF(ISNUMBER(SEARCH("2歳",Z3049)),"2歳戦",IF(ISNUMBER(SEARCH("3歳未勝利",Z3049)),"3歳未勝利",IF(ISNUMBER(SEARCH("未勝利",Z3049)),"その他未勝利",IF(ISNUMBER(SEARCH("G1",Z3049)),"G1",IF(ISNUMBER(SEARCH("G2",Z3049)),"G2",IF(ISNUMBER(SEARCH("G3",Z3049)),"G3",IF(ISNUMBER(SEARCH("古馬条件",Z3049)),"古馬条件戦",IF(ISNUMBER(SEARCH("重賞",Z3049)),"重賞","分類不能")))))))))</f>
        <v/>
      </c>
    </row>
    <row r="3050" customFormat="false" ht="15.75" hidden="false" customHeight="false" outlineLevel="0" collapsed="false">
      <c r="AO3050" s="8" t="str">
        <f aca="false">IF(A3050="","",IF(COUNTIFS(全馬データ!$A$2:$A$50000,A3050,全馬データ!$B$2:$B$50000,B3050,全馬データ!$C$2:$C$50000,C3050,全馬データ!$D$2:$D$50000,E3050,全馬データ!$K$2:$K$50000,"&lt;&gt;")=0,"",SUMIFS(全馬データ!$K$2:$K$50000,全馬データ!$A$2:$A$50000,A3050,全馬データ!$B$2:$B$50000,B3050,全馬データ!$C$2:$C$50000,C3050,全馬データ!$D$2:$D$50000,E3050)))</f>
        <v/>
      </c>
      <c r="AP3050" s="8" t="str">
        <f aca="false">IF(A3050="","",IF(AO3050="","欠損",IF(AO3050&lt;=1.1,"1.0～1.1",IF(AO3050&lt;1.3,"1.2",IF(AO3050&lt;1.5,"1.3～1.4",IF(AO3050&lt;2,"1.5～1.9","2.0以上"))))))</f>
        <v/>
      </c>
      <c r="AQ3050" s="8" t="str">
        <f aca="false">IF(A3050="","",IF(ISNUMBER(SEARCH("2歳",Z3050)),"2歳戦",IF(ISNUMBER(SEARCH("3歳未勝利",Z3050)),"3歳未勝利",IF(ISNUMBER(SEARCH("未勝利",Z3050)),"その他未勝利",IF(ISNUMBER(SEARCH("G1",Z3050)),"G1",IF(ISNUMBER(SEARCH("G2",Z3050)),"G2",IF(ISNUMBER(SEARCH("G3",Z3050)),"G3",IF(ISNUMBER(SEARCH("古馬条件",Z3050)),"古馬条件戦",IF(ISNUMBER(SEARCH("重賞",Z3050)),"重賞","分類不能")))))))))</f>
        <v/>
      </c>
    </row>
    <row r="3051" customFormat="false" ht="15.75" hidden="false" customHeight="false" outlineLevel="0" collapsed="false">
      <c r="AO3051" s="8" t="str">
        <f aca="false">IF(A3051="","",IF(COUNTIFS(全馬データ!$A$2:$A$50000,A3051,全馬データ!$B$2:$B$50000,B3051,全馬データ!$C$2:$C$50000,C3051,全馬データ!$D$2:$D$50000,E3051,全馬データ!$K$2:$K$50000,"&lt;&gt;")=0,"",SUMIFS(全馬データ!$K$2:$K$50000,全馬データ!$A$2:$A$50000,A3051,全馬データ!$B$2:$B$50000,B3051,全馬データ!$C$2:$C$50000,C3051,全馬データ!$D$2:$D$50000,E3051)))</f>
        <v/>
      </c>
      <c r="AP3051" s="8" t="str">
        <f aca="false">IF(A3051="","",IF(AO3051="","欠損",IF(AO3051&lt;=1.1,"1.0～1.1",IF(AO3051&lt;1.3,"1.2",IF(AO3051&lt;1.5,"1.3～1.4",IF(AO3051&lt;2,"1.5～1.9","2.0以上"))))))</f>
        <v/>
      </c>
      <c r="AQ3051" s="8" t="str">
        <f aca="false">IF(A3051="","",IF(ISNUMBER(SEARCH("2歳",Z3051)),"2歳戦",IF(ISNUMBER(SEARCH("3歳未勝利",Z3051)),"3歳未勝利",IF(ISNUMBER(SEARCH("未勝利",Z3051)),"その他未勝利",IF(ISNUMBER(SEARCH("G1",Z3051)),"G1",IF(ISNUMBER(SEARCH("G2",Z3051)),"G2",IF(ISNUMBER(SEARCH("G3",Z3051)),"G3",IF(ISNUMBER(SEARCH("古馬条件",Z3051)),"古馬条件戦",IF(ISNUMBER(SEARCH("重賞",Z3051)),"重賞","分類不能")))))))))</f>
        <v/>
      </c>
    </row>
    <row r="3052" customFormat="false" ht="15.75" hidden="false" customHeight="false" outlineLevel="0" collapsed="false">
      <c r="AO3052" s="8" t="str">
        <f aca="false">IF(A3052="","",IF(COUNTIFS(全馬データ!$A$2:$A$50000,A3052,全馬データ!$B$2:$B$50000,B3052,全馬データ!$C$2:$C$50000,C3052,全馬データ!$D$2:$D$50000,E3052,全馬データ!$K$2:$K$50000,"&lt;&gt;")=0,"",SUMIFS(全馬データ!$K$2:$K$50000,全馬データ!$A$2:$A$50000,A3052,全馬データ!$B$2:$B$50000,B3052,全馬データ!$C$2:$C$50000,C3052,全馬データ!$D$2:$D$50000,E3052)))</f>
        <v/>
      </c>
      <c r="AP3052" s="8" t="str">
        <f aca="false">IF(A3052="","",IF(AO3052="","欠損",IF(AO3052&lt;=1.1,"1.0～1.1",IF(AO3052&lt;1.3,"1.2",IF(AO3052&lt;1.5,"1.3～1.4",IF(AO3052&lt;2,"1.5～1.9","2.0以上"))))))</f>
        <v/>
      </c>
      <c r="AQ3052" s="8" t="str">
        <f aca="false">IF(A3052="","",IF(ISNUMBER(SEARCH("2歳",Z3052)),"2歳戦",IF(ISNUMBER(SEARCH("3歳未勝利",Z3052)),"3歳未勝利",IF(ISNUMBER(SEARCH("未勝利",Z3052)),"その他未勝利",IF(ISNUMBER(SEARCH("G1",Z3052)),"G1",IF(ISNUMBER(SEARCH("G2",Z3052)),"G2",IF(ISNUMBER(SEARCH("G3",Z3052)),"G3",IF(ISNUMBER(SEARCH("古馬条件",Z3052)),"古馬条件戦",IF(ISNUMBER(SEARCH("重賞",Z3052)),"重賞","分類不能")))))))))</f>
        <v/>
      </c>
    </row>
    <row r="3053" customFormat="false" ht="15.75" hidden="false" customHeight="false" outlineLevel="0" collapsed="false">
      <c r="AO3053" s="8" t="str">
        <f aca="false">IF(A3053="","",IF(COUNTIFS(全馬データ!$A$2:$A$50000,A3053,全馬データ!$B$2:$B$50000,B3053,全馬データ!$C$2:$C$50000,C3053,全馬データ!$D$2:$D$50000,E3053,全馬データ!$K$2:$K$50000,"&lt;&gt;")=0,"",SUMIFS(全馬データ!$K$2:$K$50000,全馬データ!$A$2:$A$50000,A3053,全馬データ!$B$2:$B$50000,B3053,全馬データ!$C$2:$C$50000,C3053,全馬データ!$D$2:$D$50000,E3053)))</f>
        <v/>
      </c>
      <c r="AP3053" s="8" t="str">
        <f aca="false">IF(A3053="","",IF(AO3053="","欠損",IF(AO3053&lt;=1.1,"1.0～1.1",IF(AO3053&lt;1.3,"1.2",IF(AO3053&lt;1.5,"1.3～1.4",IF(AO3053&lt;2,"1.5～1.9","2.0以上"))))))</f>
        <v/>
      </c>
      <c r="AQ3053" s="8" t="str">
        <f aca="false">IF(A3053="","",IF(ISNUMBER(SEARCH("2歳",Z3053)),"2歳戦",IF(ISNUMBER(SEARCH("3歳未勝利",Z3053)),"3歳未勝利",IF(ISNUMBER(SEARCH("未勝利",Z3053)),"その他未勝利",IF(ISNUMBER(SEARCH("G1",Z3053)),"G1",IF(ISNUMBER(SEARCH("G2",Z3053)),"G2",IF(ISNUMBER(SEARCH("G3",Z3053)),"G3",IF(ISNUMBER(SEARCH("古馬条件",Z3053)),"古馬条件戦",IF(ISNUMBER(SEARCH("重賞",Z3053)),"重賞","分類不能")))))))))</f>
        <v/>
      </c>
    </row>
    <row r="3054" customFormat="false" ht="15.75" hidden="false" customHeight="false" outlineLevel="0" collapsed="false">
      <c r="AO3054" s="8" t="str">
        <f aca="false">IF(A3054="","",IF(COUNTIFS(全馬データ!$A$2:$A$50000,A3054,全馬データ!$B$2:$B$50000,B3054,全馬データ!$C$2:$C$50000,C3054,全馬データ!$D$2:$D$50000,E3054,全馬データ!$K$2:$K$50000,"&lt;&gt;")=0,"",SUMIFS(全馬データ!$K$2:$K$50000,全馬データ!$A$2:$A$50000,A3054,全馬データ!$B$2:$B$50000,B3054,全馬データ!$C$2:$C$50000,C3054,全馬データ!$D$2:$D$50000,E3054)))</f>
        <v/>
      </c>
      <c r="AP3054" s="8" t="str">
        <f aca="false">IF(A3054="","",IF(AO3054="","欠損",IF(AO3054&lt;=1.1,"1.0～1.1",IF(AO3054&lt;1.3,"1.2",IF(AO3054&lt;1.5,"1.3～1.4",IF(AO3054&lt;2,"1.5～1.9","2.0以上"))))))</f>
        <v/>
      </c>
      <c r="AQ3054" s="8" t="str">
        <f aca="false">IF(A3054="","",IF(ISNUMBER(SEARCH("2歳",Z3054)),"2歳戦",IF(ISNUMBER(SEARCH("3歳未勝利",Z3054)),"3歳未勝利",IF(ISNUMBER(SEARCH("未勝利",Z3054)),"その他未勝利",IF(ISNUMBER(SEARCH("G1",Z3054)),"G1",IF(ISNUMBER(SEARCH("G2",Z3054)),"G2",IF(ISNUMBER(SEARCH("G3",Z3054)),"G3",IF(ISNUMBER(SEARCH("古馬条件",Z3054)),"古馬条件戦",IF(ISNUMBER(SEARCH("重賞",Z3054)),"重賞","分類不能")))))))))</f>
        <v/>
      </c>
    </row>
    <row r="3055" customFormat="false" ht="15.75" hidden="false" customHeight="false" outlineLevel="0" collapsed="false">
      <c r="AO3055" s="8" t="str">
        <f aca="false">IF(A3055="","",IF(COUNTIFS(全馬データ!$A$2:$A$50000,A3055,全馬データ!$B$2:$B$50000,B3055,全馬データ!$C$2:$C$50000,C3055,全馬データ!$D$2:$D$50000,E3055,全馬データ!$K$2:$K$50000,"&lt;&gt;")=0,"",SUMIFS(全馬データ!$K$2:$K$50000,全馬データ!$A$2:$A$50000,A3055,全馬データ!$B$2:$B$50000,B3055,全馬データ!$C$2:$C$50000,C3055,全馬データ!$D$2:$D$50000,E3055)))</f>
        <v/>
      </c>
      <c r="AP3055" s="8" t="str">
        <f aca="false">IF(A3055="","",IF(AO3055="","欠損",IF(AO3055&lt;=1.1,"1.0～1.1",IF(AO3055&lt;1.3,"1.2",IF(AO3055&lt;1.5,"1.3～1.4",IF(AO3055&lt;2,"1.5～1.9","2.0以上"))))))</f>
        <v/>
      </c>
      <c r="AQ3055" s="8" t="str">
        <f aca="false">IF(A3055="","",IF(ISNUMBER(SEARCH("2歳",Z3055)),"2歳戦",IF(ISNUMBER(SEARCH("3歳未勝利",Z3055)),"3歳未勝利",IF(ISNUMBER(SEARCH("未勝利",Z3055)),"その他未勝利",IF(ISNUMBER(SEARCH("G1",Z3055)),"G1",IF(ISNUMBER(SEARCH("G2",Z3055)),"G2",IF(ISNUMBER(SEARCH("G3",Z3055)),"G3",IF(ISNUMBER(SEARCH("古馬条件",Z3055)),"古馬条件戦",IF(ISNUMBER(SEARCH("重賞",Z3055)),"重賞","分類不能")))))))))</f>
        <v/>
      </c>
    </row>
    <row r="3056" customFormat="false" ht="15.75" hidden="false" customHeight="false" outlineLevel="0" collapsed="false">
      <c r="AO3056" s="8" t="str">
        <f aca="false">IF(A3056="","",IF(COUNTIFS(全馬データ!$A$2:$A$50000,A3056,全馬データ!$B$2:$B$50000,B3056,全馬データ!$C$2:$C$50000,C3056,全馬データ!$D$2:$D$50000,E3056,全馬データ!$K$2:$K$50000,"&lt;&gt;")=0,"",SUMIFS(全馬データ!$K$2:$K$50000,全馬データ!$A$2:$A$50000,A3056,全馬データ!$B$2:$B$50000,B3056,全馬データ!$C$2:$C$50000,C3056,全馬データ!$D$2:$D$50000,E3056)))</f>
        <v/>
      </c>
      <c r="AP3056" s="8" t="str">
        <f aca="false">IF(A3056="","",IF(AO3056="","欠損",IF(AO3056&lt;=1.1,"1.0～1.1",IF(AO3056&lt;1.3,"1.2",IF(AO3056&lt;1.5,"1.3～1.4",IF(AO3056&lt;2,"1.5～1.9","2.0以上"))))))</f>
        <v/>
      </c>
      <c r="AQ3056" s="8" t="str">
        <f aca="false">IF(A3056="","",IF(ISNUMBER(SEARCH("2歳",Z3056)),"2歳戦",IF(ISNUMBER(SEARCH("3歳未勝利",Z3056)),"3歳未勝利",IF(ISNUMBER(SEARCH("未勝利",Z3056)),"その他未勝利",IF(ISNUMBER(SEARCH("G1",Z3056)),"G1",IF(ISNUMBER(SEARCH("G2",Z3056)),"G2",IF(ISNUMBER(SEARCH("G3",Z3056)),"G3",IF(ISNUMBER(SEARCH("古馬条件",Z3056)),"古馬条件戦",IF(ISNUMBER(SEARCH("重賞",Z3056)),"重賞","分類不能")))))))))</f>
        <v/>
      </c>
    </row>
    <row r="3057" customFormat="false" ht="15.75" hidden="false" customHeight="false" outlineLevel="0" collapsed="false">
      <c r="AO3057" s="8" t="str">
        <f aca="false">IF(A3057="","",IF(COUNTIFS(全馬データ!$A$2:$A$50000,A3057,全馬データ!$B$2:$B$50000,B3057,全馬データ!$C$2:$C$50000,C3057,全馬データ!$D$2:$D$50000,E3057,全馬データ!$K$2:$K$50000,"&lt;&gt;")=0,"",SUMIFS(全馬データ!$K$2:$K$50000,全馬データ!$A$2:$A$50000,A3057,全馬データ!$B$2:$B$50000,B3057,全馬データ!$C$2:$C$50000,C3057,全馬データ!$D$2:$D$50000,E3057)))</f>
        <v/>
      </c>
      <c r="AP3057" s="8" t="str">
        <f aca="false">IF(A3057="","",IF(AO3057="","欠損",IF(AO3057&lt;=1.1,"1.0～1.1",IF(AO3057&lt;1.3,"1.2",IF(AO3057&lt;1.5,"1.3～1.4",IF(AO3057&lt;2,"1.5～1.9","2.0以上"))))))</f>
        <v/>
      </c>
      <c r="AQ3057" s="8" t="str">
        <f aca="false">IF(A3057="","",IF(ISNUMBER(SEARCH("2歳",Z3057)),"2歳戦",IF(ISNUMBER(SEARCH("3歳未勝利",Z3057)),"3歳未勝利",IF(ISNUMBER(SEARCH("未勝利",Z3057)),"その他未勝利",IF(ISNUMBER(SEARCH("G1",Z3057)),"G1",IF(ISNUMBER(SEARCH("G2",Z3057)),"G2",IF(ISNUMBER(SEARCH("G3",Z3057)),"G3",IF(ISNUMBER(SEARCH("古馬条件",Z3057)),"古馬条件戦",IF(ISNUMBER(SEARCH("重賞",Z3057)),"重賞","分類不能")))))))))</f>
        <v/>
      </c>
    </row>
    <row r="3058" customFormat="false" ht="15.75" hidden="false" customHeight="false" outlineLevel="0" collapsed="false">
      <c r="AO3058" s="8" t="str">
        <f aca="false">IF(A3058="","",IF(COUNTIFS(全馬データ!$A$2:$A$50000,A3058,全馬データ!$B$2:$B$50000,B3058,全馬データ!$C$2:$C$50000,C3058,全馬データ!$D$2:$D$50000,E3058,全馬データ!$K$2:$K$50000,"&lt;&gt;")=0,"",SUMIFS(全馬データ!$K$2:$K$50000,全馬データ!$A$2:$A$50000,A3058,全馬データ!$B$2:$B$50000,B3058,全馬データ!$C$2:$C$50000,C3058,全馬データ!$D$2:$D$50000,E3058)))</f>
        <v/>
      </c>
      <c r="AP3058" s="8" t="str">
        <f aca="false">IF(A3058="","",IF(AO3058="","欠損",IF(AO3058&lt;=1.1,"1.0～1.1",IF(AO3058&lt;1.3,"1.2",IF(AO3058&lt;1.5,"1.3～1.4",IF(AO3058&lt;2,"1.5～1.9","2.0以上"))))))</f>
        <v/>
      </c>
      <c r="AQ3058" s="8" t="str">
        <f aca="false">IF(A3058="","",IF(ISNUMBER(SEARCH("2歳",Z3058)),"2歳戦",IF(ISNUMBER(SEARCH("3歳未勝利",Z3058)),"3歳未勝利",IF(ISNUMBER(SEARCH("未勝利",Z3058)),"その他未勝利",IF(ISNUMBER(SEARCH("G1",Z3058)),"G1",IF(ISNUMBER(SEARCH("G2",Z3058)),"G2",IF(ISNUMBER(SEARCH("G3",Z3058)),"G3",IF(ISNUMBER(SEARCH("古馬条件",Z3058)),"古馬条件戦",IF(ISNUMBER(SEARCH("重賞",Z3058)),"重賞","分類不能")))))))))</f>
        <v/>
      </c>
    </row>
    <row r="3059" customFormat="false" ht="15.75" hidden="false" customHeight="false" outlineLevel="0" collapsed="false">
      <c r="AO3059" s="8" t="str">
        <f aca="false">IF(A3059="","",IF(COUNTIFS(全馬データ!$A$2:$A$50000,A3059,全馬データ!$B$2:$B$50000,B3059,全馬データ!$C$2:$C$50000,C3059,全馬データ!$D$2:$D$50000,E3059,全馬データ!$K$2:$K$50000,"&lt;&gt;")=0,"",SUMIFS(全馬データ!$K$2:$K$50000,全馬データ!$A$2:$A$50000,A3059,全馬データ!$B$2:$B$50000,B3059,全馬データ!$C$2:$C$50000,C3059,全馬データ!$D$2:$D$50000,E3059)))</f>
        <v/>
      </c>
      <c r="AP3059" s="8" t="str">
        <f aca="false">IF(A3059="","",IF(AO3059="","欠損",IF(AO3059&lt;=1.1,"1.0～1.1",IF(AO3059&lt;1.3,"1.2",IF(AO3059&lt;1.5,"1.3～1.4",IF(AO3059&lt;2,"1.5～1.9","2.0以上"))))))</f>
        <v/>
      </c>
      <c r="AQ3059" s="8" t="str">
        <f aca="false">IF(A3059="","",IF(ISNUMBER(SEARCH("2歳",Z3059)),"2歳戦",IF(ISNUMBER(SEARCH("3歳未勝利",Z3059)),"3歳未勝利",IF(ISNUMBER(SEARCH("未勝利",Z3059)),"その他未勝利",IF(ISNUMBER(SEARCH("G1",Z3059)),"G1",IF(ISNUMBER(SEARCH("G2",Z3059)),"G2",IF(ISNUMBER(SEARCH("G3",Z3059)),"G3",IF(ISNUMBER(SEARCH("古馬条件",Z3059)),"古馬条件戦",IF(ISNUMBER(SEARCH("重賞",Z3059)),"重賞","分類不能")))))))))</f>
        <v/>
      </c>
    </row>
    <row r="3060" customFormat="false" ht="15.75" hidden="false" customHeight="false" outlineLevel="0" collapsed="false">
      <c r="AO3060" s="8" t="str">
        <f aca="false">IF(A3060="","",IF(COUNTIFS(全馬データ!$A$2:$A$50000,A3060,全馬データ!$B$2:$B$50000,B3060,全馬データ!$C$2:$C$50000,C3060,全馬データ!$D$2:$D$50000,E3060,全馬データ!$K$2:$K$50000,"&lt;&gt;")=0,"",SUMIFS(全馬データ!$K$2:$K$50000,全馬データ!$A$2:$A$50000,A3060,全馬データ!$B$2:$B$50000,B3060,全馬データ!$C$2:$C$50000,C3060,全馬データ!$D$2:$D$50000,E3060)))</f>
        <v/>
      </c>
      <c r="AP3060" s="8" t="str">
        <f aca="false">IF(A3060="","",IF(AO3060="","欠損",IF(AO3060&lt;=1.1,"1.0～1.1",IF(AO3060&lt;1.3,"1.2",IF(AO3060&lt;1.5,"1.3～1.4",IF(AO3060&lt;2,"1.5～1.9","2.0以上"))))))</f>
        <v/>
      </c>
      <c r="AQ3060" s="8" t="str">
        <f aca="false">IF(A3060="","",IF(ISNUMBER(SEARCH("2歳",Z3060)),"2歳戦",IF(ISNUMBER(SEARCH("3歳未勝利",Z3060)),"3歳未勝利",IF(ISNUMBER(SEARCH("未勝利",Z3060)),"その他未勝利",IF(ISNUMBER(SEARCH("G1",Z3060)),"G1",IF(ISNUMBER(SEARCH("G2",Z3060)),"G2",IF(ISNUMBER(SEARCH("G3",Z3060)),"G3",IF(ISNUMBER(SEARCH("古馬条件",Z3060)),"古馬条件戦",IF(ISNUMBER(SEARCH("重賞",Z3060)),"重賞","分類不能")))))))))</f>
        <v/>
      </c>
    </row>
    <row r="3061" customFormat="false" ht="15.75" hidden="false" customHeight="false" outlineLevel="0" collapsed="false">
      <c r="AO3061" s="8" t="str">
        <f aca="false">IF(A3061="","",IF(COUNTIFS(全馬データ!$A$2:$A$50000,A3061,全馬データ!$B$2:$B$50000,B3061,全馬データ!$C$2:$C$50000,C3061,全馬データ!$D$2:$D$50000,E3061,全馬データ!$K$2:$K$50000,"&lt;&gt;")=0,"",SUMIFS(全馬データ!$K$2:$K$50000,全馬データ!$A$2:$A$50000,A3061,全馬データ!$B$2:$B$50000,B3061,全馬データ!$C$2:$C$50000,C3061,全馬データ!$D$2:$D$50000,E3061)))</f>
        <v/>
      </c>
      <c r="AP3061" s="8" t="str">
        <f aca="false">IF(A3061="","",IF(AO3061="","欠損",IF(AO3061&lt;=1.1,"1.0～1.1",IF(AO3061&lt;1.3,"1.2",IF(AO3061&lt;1.5,"1.3～1.4",IF(AO3061&lt;2,"1.5～1.9","2.0以上"))))))</f>
        <v/>
      </c>
      <c r="AQ3061" s="8" t="str">
        <f aca="false">IF(A3061="","",IF(ISNUMBER(SEARCH("2歳",Z3061)),"2歳戦",IF(ISNUMBER(SEARCH("3歳未勝利",Z3061)),"3歳未勝利",IF(ISNUMBER(SEARCH("未勝利",Z3061)),"その他未勝利",IF(ISNUMBER(SEARCH("G1",Z3061)),"G1",IF(ISNUMBER(SEARCH("G2",Z3061)),"G2",IF(ISNUMBER(SEARCH("G3",Z3061)),"G3",IF(ISNUMBER(SEARCH("古馬条件",Z3061)),"古馬条件戦",IF(ISNUMBER(SEARCH("重賞",Z3061)),"重賞","分類不能")))))))))</f>
        <v/>
      </c>
    </row>
    <row r="3062" customFormat="false" ht="15.75" hidden="false" customHeight="false" outlineLevel="0" collapsed="false">
      <c r="AO3062" s="8" t="str">
        <f aca="false">IF(A3062="","",IF(COUNTIFS(全馬データ!$A$2:$A$50000,A3062,全馬データ!$B$2:$B$50000,B3062,全馬データ!$C$2:$C$50000,C3062,全馬データ!$D$2:$D$50000,E3062,全馬データ!$K$2:$K$50000,"&lt;&gt;")=0,"",SUMIFS(全馬データ!$K$2:$K$50000,全馬データ!$A$2:$A$50000,A3062,全馬データ!$B$2:$B$50000,B3062,全馬データ!$C$2:$C$50000,C3062,全馬データ!$D$2:$D$50000,E3062)))</f>
        <v/>
      </c>
      <c r="AP3062" s="8" t="str">
        <f aca="false">IF(A3062="","",IF(AO3062="","欠損",IF(AO3062&lt;=1.1,"1.0～1.1",IF(AO3062&lt;1.3,"1.2",IF(AO3062&lt;1.5,"1.3～1.4",IF(AO3062&lt;2,"1.5～1.9","2.0以上"))))))</f>
        <v/>
      </c>
      <c r="AQ3062" s="8" t="str">
        <f aca="false">IF(A3062="","",IF(ISNUMBER(SEARCH("2歳",Z3062)),"2歳戦",IF(ISNUMBER(SEARCH("3歳未勝利",Z3062)),"3歳未勝利",IF(ISNUMBER(SEARCH("未勝利",Z3062)),"その他未勝利",IF(ISNUMBER(SEARCH("G1",Z3062)),"G1",IF(ISNUMBER(SEARCH("G2",Z3062)),"G2",IF(ISNUMBER(SEARCH("G3",Z3062)),"G3",IF(ISNUMBER(SEARCH("古馬条件",Z3062)),"古馬条件戦",IF(ISNUMBER(SEARCH("重賞",Z3062)),"重賞","分類不能")))))))))</f>
        <v/>
      </c>
    </row>
    <row r="3063" customFormat="false" ht="15.75" hidden="false" customHeight="false" outlineLevel="0" collapsed="false">
      <c r="AO3063" s="8" t="str">
        <f aca="false">IF(A3063="","",IF(COUNTIFS(全馬データ!$A$2:$A$50000,A3063,全馬データ!$B$2:$B$50000,B3063,全馬データ!$C$2:$C$50000,C3063,全馬データ!$D$2:$D$50000,E3063,全馬データ!$K$2:$K$50000,"&lt;&gt;")=0,"",SUMIFS(全馬データ!$K$2:$K$50000,全馬データ!$A$2:$A$50000,A3063,全馬データ!$B$2:$B$50000,B3063,全馬データ!$C$2:$C$50000,C3063,全馬データ!$D$2:$D$50000,E3063)))</f>
        <v/>
      </c>
      <c r="AP3063" s="8" t="str">
        <f aca="false">IF(A3063="","",IF(AO3063="","欠損",IF(AO3063&lt;=1.1,"1.0～1.1",IF(AO3063&lt;1.3,"1.2",IF(AO3063&lt;1.5,"1.3～1.4",IF(AO3063&lt;2,"1.5～1.9","2.0以上"))))))</f>
        <v/>
      </c>
      <c r="AQ3063" s="8" t="str">
        <f aca="false">IF(A3063="","",IF(ISNUMBER(SEARCH("2歳",Z3063)),"2歳戦",IF(ISNUMBER(SEARCH("3歳未勝利",Z3063)),"3歳未勝利",IF(ISNUMBER(SEARCH("未勝利",Z3063)),"その他未勝利",IF(ISNUMBER(SEARCH("G1",Z3063)),"G1",IF(ISNUMBER(SEARCH("G2",Z3063)),"G2",IF(ISNUMBER(SEARCH("G3",Z3063)),"G3",IF(ISNUMBER(SEARCH("古馬条件",Z3063)),"古馬条件戦",IF(ISNUMBER(SEARCH("重賞",Z3063)),"重賞","分類不能")))))))))</f>
        <v/>
      </c>
    </row>
    <row r="3064" customFormat="false" ht="15.75" hidden="false" customHeight="false" outlineLevel="0" collapsed="false">
      <c r="AO3064" s="8" t="str">
        <f aca="false">IF(A3064="","",IF(COUNTIFS(全馬データ!$A$2:$A$50000,A3064,全馬データ!$B$2:$B$50000,B3064,全馬データ!$C$2:$C$50000,C3064,全馬データ!$D$2:$D$50000,E3064,全馬データ!$K$2:$K$50000,"&lt;&gt;")=0,"",SUMIFS(全馬データ!$K$2:$K$50000,全馬データ!$A$2:$A$50000,A3064,全馬データ!$B$2:$B$50000,B3064,全馬データ!$C$2:$C$50000,C3064,全馬データ!$D$2:$D$50000,E3064)))</f>
        <v/>
      </c>
      <c r="AP3064" s="8" t="str">
        <f aca="false">IF(A3064="","",IF(AO3064="","欠損",IF(AO3064&lt;=1.1,"1.0～1.1",IF(AO3064&lt;1.3,"1.2",IF(AO3064&lt;1.5,"1.3～1.4",IF(AO3064&lt;2,"1.5～1.9","2.0以上"))))))</f>
        <v/>
      </c>
      <c r="AQ3064" s="8" t="str">
        <f aca="false">IF(A3064="","",IF(ISNUMBER(SEARCH("2歳",Z3064)),"2歳戦",IF(ISNUMBER(SEARCH("3歳未勝利",Z3064)),"3歳未勝利",IF(ISNUMBER(SEARCH("未勝利",Z3064)),"その他未勝利",IF(ISNUMBER(SEARCH("G1",Z3064)),"G1",IF(ISNUMBER(SEARCH("G2",Z3064)),"G2",IF(ISNUMBER(SEARCH("G3",Z3064)),"G3",IF(ISNUMBER(SEARCH("古馬条件",Z3064)),"古馬条件戦",IF(ISNUMBER(SEARCH("重賞",Z3064)),"重賞","分類不能")))))))))</f>
        <v/>
      </c>
    </row>
    <row r="3065" customFormat="false" ht="15.75" hidden="false" customHeight="false" outlineLevel="0" collapsed="false">
      <c r="AO3065" s="8" t="str">
        <f aca="false">IF(A3065="","",IF(COUNTIFS(全馬データ!$A$2:$A$50000,A3065,全馬データ!$B$2:$B$50000,B3065,全馬データ!$C$2:$C$50000,C3065,全馬データ!$D$2:$D$50000,E3065,全馬データ!$K$2:$K$50000,"&lt;&gt;")=0,"",SUMIFS(全馬データ!$K$2:$K$50000,全馬データ!$A$2:$A$50000,A3065,全馬データ!$B$2:$B$50000,B3065,全馬データ!$C$2:$C$50000,C3065,全馬データ!$D$2:$D$50000,E3065)))</f>
        <v/>
      </c>
      <c r="AP3065" s="8" t="str">
        <f aca="false">IF(A3065="","",IF(AO3065="","欠損",IF(AO3065&lt;=1.1,"1.0～1.1",IF(AO3065&lt;1.3,"1.2",IF(AO3065&lt;1.5,"1.3～1.4",IF(AO3065&lt;2,"1.5～1.9","2.0以上"))))))</f>
        <v/>
      </c>
      <c r="AQ3065" s="8" t="str">
        <f aca="false">IF(A3065="","",IF(ISNUMBER(SEARCH("2歳",Z3065)),"2歳戦",IF(ISNUMBER(SEARCH("3歳未勝利",Z3065)),"3歳未勝利",IF(ISNUMBER(SEARCH("未勝利",Z3065)),"その他未勝利",IF(ISNUMBER(SEARCH("G1",Z3065)),"G1",IF(ISNUMBER(SEARCH("G2",Z3065)),"G2",IF(ISNUMBER(SEARCH("G3",Z3065)),"G3",IF(ISNUMBER(SEARCH("古馬条件",Z3065)),"古馬条件戦",IF(ISNUMBER(SEARCH("重賞",Z3065)),"重賞","分類不能")))))))))</f>
        <v/>
      </c>
    </row>
    <row r="3066" customFormat="false" ht="15.75" hidden="false" customHeight="false" outlineLevel="0" collapsed="false">
      <c r="AO3066" s="8" t="str">
        <f aca="false">IF(A3066="","",IF(COUNTIFS(全馬データ!$A$2:$A$50000,A3066,全馬データ!$B$2:$B$50000,B3066,全馬データ!$C$2:$C$50000,C3066,全馬データ!$D$2:$D$50000,E3066,全馬データ!$K$2:$K$50000,"&lt;&gt;")=0,"",SUMIFS(全馬データ!$K$2:$K$50000,全馬データ!$A$2:$A$50000,A3066,全馬データ!$B$2:$B$50000,B3066,全馬データ!$C$2:$C$50000,C3066,全馬データ!$D$2:$D$50000,E3066)))</f>
        <v/>
      </c>
      <c r="AP3066" s="8" t="str">
        <f aca="false">IF(A3066="","",IF(AO3066="","欠損",IF(AO3066&lt;=1.1,"1.0～1.1",IF(AO3066&lt;1.3,"1.2",IF(AO3066&lt;1.5,"1.3～1.4",IF(AO3066&lt;2,"1.5～1.9","2.0以上"))))))</f>
        <v/>
      </c>
      <c r="AQ3066" s="8" t="str">
        <f aca="false">IF(A3066="","",IF(ISNUMBER(SEARCH("2歳",Z3066)),"2歳戦",IF(ISNUMBER(SEARCH("3歳未勝利",Z3066)),"3歳未勝利",IF(ISNUMBER(SEARCH("未勝利",Z3066)),"その他未勝利",IF(ISNUMBER(SEARCH("G1",Z3066)),"G1",IF(ISNUMBER(SEARCH("G2",Z3066)),"G2",IF(ISNUMBER(SEARCH("G3",Z3066)),"G3",IF(ISNUMBER(SEARCH("古馬条件",Z3066)),"古馬条件戦",IF(ISNUMBER(SEARCH("重賞",Z3066)),"重賞","分類不能")))))))))</f>
        <v/>
      </c>
    </row>
    <row r="3067" customFormat="false" ht="15.75" hidden="false" customHeight="false" outlineLevel="0" collapsed="false">
      <c r="AO3067" s="8" t="str">
        <f aca="false">IF(A3067="","",IF(COUNTIFS(全馬データ!$A$2:$A$50000,A3067,全馬データ!$B$2:$B$50000,B3067,全馬データ!$C$2:$C$50000,C3067,全馬データ!$D$2:$D$50000,E3067,全馬データ!$K$2:$K$50000,"&lt;&gt;")=0,"",SUMIFS(全馬データ!$K$2:$K$50000,全馬データ!$A$2:$A$50000,A3067,全馬データ!$B$2:$B$50000,B3067,全馬データ!$C$2:$C$50000,C3067,全馬データ!$D$2:$D$50000,E3067)))</f>
        <v/>
      </c>
      <c r="AP3067" s="8" t="str">
        <f aca="false">IF(A3067="","",IF(AO3067="","欠損",IF(AO3067&lt;=1.1,"1.0～1.1",IF(AO3067&lt;1.3,"1.2",IF(AO3067&lt;1.5,"1.3～1.4",IF(AO3067&lt;2,"1.5～1.9","2.0以上"))))))</f>
        <v/>
      </c>
      <c r="AQ3067" s="8" t="str">
        <f aca="false">IF(A3067="","",IF(ISNUMBER(SEARCH("2歳",Z3067)),"2歳戦",IF(ISNUMBER(SEARCH("3歳未勝利",Z3067)),"3歳未勝利",IF(ISNUMBER(SEARCH("未勝利",Z3067)),"その他未勝利",IF(ISNUMBER(SEARCH("G1",Z3067)),"G1",IF(ISNUMBER(SEARCH("G2",Z3067)),"G2",IF(ISNUMBER(SEARCH("G3",Z3067)),"G3",IF(ISNUMBER(SEARCH("古馬条件",Z3067)),"古馬条件戦",IF(ISNUMBER(SEARCH("重賞",Z3067)),"重賞","分類不能")))))))))</f>
        <v/>
      </c>
    </row>
    <row r="3068" customFormat="false" ht="15.75" hidden="false" customHeight="false" outlineLevel="0" collapsed="false">
      <c r="AO3068" s="8" t="str">
        <f aca="false">IF(A3068="","",IF(COUNTIFS(全馬データ!$A$2:$A$50000,A3068,全馬データ!$B$2:$B$50000,B3068,全馬データ!$C$2:$C$50000,C3068,全馬データ!$D$2:$D$50000,E3068,全馬データ!$K$2:$K$50000,"&lt;&gt;")=0,"",SUMIFS(全馬データ!$K$2:$K$50000,全馬データ!$A$2:$A$50000,A3068,全馬データ!$B$2:$B$50000,B3068,全馬データ!$C$2:$C$50000,C3068,全馬データ!$D$2:$D$50000,E3068)))</f>
        <v/>
      </c>
      <c r="AP3068" s="8" t="str">
        <f aca="false">IF(A3068="","",IF(AO3068="","欠損",IF(AO3068&lt;=1.1,"1.0～1.1",IF(AO3068&lt;1.3,"1.2",IF(AO3068&lt;1.5,"1.3～1.4",IF(AO3068&lt;2,"1.5～1.9","2.0以上"))))))</f>
        <v/>
      </c>
      <c r="AQ3068" s="8" t="str">
        <f aca="false">IF(A3068="","",IF(ISNUMBER(SEARCH("2歳",Z3068)),"2歳戦",IF(ISNUMBER(SEARCH("3歳未勝利",Z3068)),"3歳未勝利",IF(ISNUMBER(SEARCH("未勝利",Z3068)),"その他未勝利",IF(ISNUMBER(SEARCH("G1",Z3068)),"G1",IF(ISNUMBER(SEARCH("G2",Z3068)),"G2",IF(ISNUMBER(SEARCH("G3",Z3068)),"G3",IF(ISNUMBER(SEARCH("古馬条件",Z3068)),"古馬条件戦",IF(ISNUMBER(SEARCH("重賞",Z3068)),"重賞","分類不能")))))))))</f>
        <v/>
      </c>
    </row>
    <row r="3069" customFormat="false" ht="15.75" hidden="false" customHeight="false" outlineLevel="0" collapsed="false">
      <c r="AO3069" s="8" t="str">
        <f aca="false">IF(A3069="","",IF(COUNTIFS(全馬データ!$A$2:$A$50000,A3069,全馬データ!$B$2:$B$50000,B3069,全馬データ!$C$2:$C$50000,C3069,全馬データ!$D$2:$D$50000,E3069,全馬データ!$K$2:$K$50000,"&lt;&gt;")=0,"",SUMIFS(全馬データ!$K$2:$K$50000,全馬データ!$A$2:$A$50000,A3069,全馬データ!$B$2:$B$50000,B3069,全馬データ!$C$2:$C$50000,C3069,全馬データ!$D$2:$D$50000,E3069)))</f>
        <v/>
      </c>
      <c r="AP3069" s="8" t="str">
        <f aca="false">IF(A3069="","",IF(AO3069="","欠損",IF(AO3069&lt;=1.1,"1.0～1.1",IF(AO3069&lt;1.3,"1.2",IF(AO3069&lt;1.5,"1.3～1.4",IF(AO3069&lt;2,"1.5～1.9","2.0以上"))))))</f>
        <v/>
      </c>
      <c r="AQ3069" s="8" t="str">
        <f aca="false">IF(A3069="","",IF(ISNUMBER(SEARCH("2歳",Z3069)),"2歳戦",IF(ISNUMBER(SEARCH("3歳未勝利",Z3069)),"3歳未勝利",IF(ISNUMBER(SEARCH("未勝利",Z3069)),"その他未勝利",IF(ISNUMBER(SEARCH("G1",Z3069)),"G1",IF(ISNUMBER(SEARCH("G2",Z3069)),"G2",IF(ISNUMBER(SEARCH("G3",Z3069)),"G3",IF(ISNUMBER(SEARCH("古馬条件",Z3069)),"古馬条件戦",IF(ISNUMBER(SEARCH("重賞",Z3069)),"重賞","分類不能")))))))))</f>
        <v/>
      </c>
    </row>
    <row r="3070" customFormat="false" ht="15.75" hidden="false" customHeight="false" outlineLevel="0" collapsed="false">
      <c r="AO3070" s="8" t="str">
        <f aca="false">IF(A3070="","",IF(COUNTIFS(全馬データ!$A$2:$A$50000,A3070,全馬データ!$B$2:$B$50000,B3070,全馬データ!$C$2:$C$50000,C3070,全馬データ!$D$2:$D$50000,E3070,全馬データ!$K$2:$K$50000,"&lt;&gt;")=0,"",SUMIFS(全馬データ!$K$2:$K$50000,全馬データ!$A$2:$A$50000,A3070,全馬データ!$B$2:$B$50000,B3070,全馬データ!$C$2:$C$50000,C3070,全馬データ!$D$2:$D$50000,E3070)))</f>
        <v/>
      </c>
      <c r="AP3070" s="8" t="str">
        <f aca="false">IF(A3070="","",IF(AO3070="","欠損",IF(AO3070&lt;=1.1,"1.0～1.1",IF(AO3070&lt;1.3,"1.2",IF(AO3070&lt;1.5,"1.3～1.4",IF(AO3070&lt;2,"1.5～1.9","2.0以上"))))))</f>
        <v/>
      </c>
      <c r="AQ3070" s="8" t="str">
        <f aca="false">IF(A3070="","",IF(ISNUMBER(SEARCH("2歳",Z3070)),"2歳戦",IF(ISNUMBER(SEARCH("3歳未勝利",Z3070)),"3歳未勝利",IF(ISNUMBER(SEARCH("未勝利",Z3070)),"その他未勝利",IF(ISNUMBER(SEARCH("G1",Z3070)),"G1",IF(ISNUMBER(SEARCH("G2",Z3070)),"G2",IF(ISNUMBER(SEARCH("G3",Z3070)),"G3",IF(ISNUMBER(SEARCH("古馬条件",Z3070)),"古馬条件戦",IF(ISNUMBER(SEARCH("重賞",Z3070)),"重賞","分類不能")))))))))</f>
        <v/>
      </c>
    </row>
    <row r="3071" customFormat="false" ht="15.75" hidden="false" customHeight="false" outlineLevel="0" collapsed="false">
      <c r="AO3071" s="8" t="str">
        <f aca="false">IF(A3071="","",IF(COUNTIFS(全馬データ!$A$2:$A$50000,A3071,全馬データ!$B$2:$B$50000,B3071,全馬データ!$C$2:$C$50000,C3071,全馬データ!$D$2:$D$50000,E3071,全馬データ!$K$2:$K$50000,"&lt;&gt;")=0,"",SUMIFS(全馬データ!$K$2:$K$50000,全馬データ!$A$2:$A$50000,A3071,全馬データ!$B$2:$B$50000,B3071,全馬データ!$C$2:$C$50000,C3071,全馬データ!$D$2:$D$50000,E3071)))</f>
        <v/>
      </c>
      <c r="AP3071" s="8" t="str">
        <f aca="false">IF(A3071="","",IF(AO3071="","欠損",IF(AO3071&lt;=1.1,"1.0～1.1",IF(AO3071&lt;1.3,"1.2",IF(AO3071&lt;1.5,"1.3～1.4",IF(AO3071&lt;2,"1.5～1.9","2.0以上"))))))</f>
        <v/>
      </c>
      <c r="AQ3071" s="8" t="str">
        <f aca="false">IF(A3071="","",IF(ISNUMBER(SEARCH("2歳",Z3071)),"2歳戦",IF(ISNUMBER(SEARCH("3歳未勝利",Z3071)),"3歳未勝利",IF(ISNUMBER(SEARCH("未勝利",Z3071)),"その他未勝利",IF(ISNUMBER(SEARCH("G1",Z3071)),"G1",IF(ISNUMBER(SEARCH("G2",Z3071)),"G2",IF(ISNUMBER(SEARCH("G3",Z3071)),"G3",IF(ISNUMBER(SEARCH("古馬条件",Z3071)),"古馬条件戦",IF(ISNUMBER(SEARCH("重賞",Z3071)),"重賞","分類不能")))))))))</f>
        <v/>
      </c>
    </row>
    <row r="3072" customFormat="false" ht="15.75" hidden="false" customHeight="false" outlineLevel="0" collapsed="false">
      <c r="AO3072" s="8" t="str">
        <f aca="false">IF(A3072="","",IF(COUNTIFS(全馬データ!$A$2:$A$50000,A3072,全馬データ!$B$2:$B$50000,B3072,全馬データ!$C$2:$C$50000,C3072,全馬データ!$D$2:$D$50000,E3072,全馬データ!$K$2:$K$50000,"&lt;&gt;")=0,"",SUMIFS(全馬データ!$K$2:$K$50000,全馬データ!$A$2:$A$50000,A3072,全馬データ!$B$2:$B$50000,B3072,全馬データ!$C$2:$C$50000,C3072,全馬データ!$D$2:$D$50000,E3072)))</f>
        <v/>
      </c>
      <c r="AP3072" s="8" t="str">
        <f aca="false">IF(A3072="","",IF(AO3072="","欠損",IF(AO3072&lt;=1.1,"1.0～1.1",IF(AO3072&lt;1.3,"1.2",IF(AO3072&lt;1.5,"1.3～1.4",IF(AO3072&lt;2,"1.5～1.9","2.0以上"))))))</f>
        <v/>
      </c>
      <c r="AQ3072" s="8" t="str">
        <f aca="false">IF(A3072="","",IF(ISNUMBER(SEARCH("2歳",Z3072)),"2歳戦",IF(ISNUMBER(SEARCH("3歳未勝利",Z3072)),"3歳未勝利",IF(ISNUMBER(SEARCH("未勝利",Z3072)),"その他未勝利",IF(ISNUMBER(SEARCH("G1",Z3072)),"G1",IF(ISNUMBER(SEARCH("G2",Z3072)),"G2",IF(ISNUMBER(SEARCH("G3",Z3072)),"G3",IF(ISNUMBER(SEARCH("古馬条件",Z3072)),"古馬条件戦",IF(ISNUMBER(SEARCH("重賞",Z3072)),"重賞","分類不能")))))))))</f>
        <v/>
      </c>
    </row>
    <row r="3073" customFormat="false" ht="15.75" hidden="false" customHeight="false" outlineLevel="0" collapsed="false">
      <c r="AO3073" s="8" t="str">
        <f aca="false">IF(A3073="","",IF(COUNTIFS(全馬データ!$A$2:$A$50000,A3073,全馬データ!$B$2:$B$50000,B3073,全馬データ!$C$2:$C$50000,C3073,全馬データ!$D$2:$D$50000,E3073,全馬データ!$K$2:$K$50000,"&lt;&gt;")=0,"",SUMIFS(全馬データ!$K$2:$K$50000,全馬データ!$A$2:$A$50000,A3073,全馬データ!$B$2:$B$50000,B3073,全馬データ!$C$2:$C$50000,C3073,全馬データ!$D$2:$D$50000,E3073)))</f>
        <v/>
      </c>
      <c r="AP3073" s="8" t="str">
        <f aca="false">IF(A3073="","",IF(AO3073="","欠損",IF(AO3073&lt;=1.1,"1.0～1.1",IF(AO3073&lt;1.3,"1.2",IF(AO3073&lt;1.5,"1.3～1.4",IF(AO3073&lt;2,"1.5～1.9","2.0以上"))))))</f>
        <v/>
      </c>
      <c r="AQ3073" s="8" t="str">
        <f aca="false">IF(A3073="","",IF(ISNUMBER(SEARCH("2歳",Z3073)),"2歳戦",IF(ISNUMBER(SEARCH("3歳未勝利",Z3073)),"3歳未勝利",IF(ISNUMBER(SEARCH("未勝利",Z3073)),"その他未勝利",IF(ISNUMBER(SEARCH("G1",Z3073)),"G1",IF(ISNUMBER(SEARCH("G2",Z3073)),"G2",IF(ISNUMBER(SEARCH("G3",Z3073)),"G3",IF(ISNUMBER(SEARCH("古馬条件",Z3073)),"古馬条件戦",IF(ISNUMBER(SEARCH("重賞",Z3073)),"重賞","分類不能")))))))))</f>
        <v/>
      </c>
    </row>
    <row r="3074" customFormat="false" ht="15.75" hidden="false" customHeight="false" outlineLevel="0" collapsed="false">
      <c r="AO3074" s="8" t="str">
        <f aca="false">IF(A3074="","",IF(COUNTIFS(全馬データ!$A$2:$A$50000,A3074,全馬データ!$B$2:$B$50000,B3074,全馬データ!$C$2:$C$50000,C3074,全馬データ!$D$2:$D$50000,E3074,全馬データ!$K$2:$K$50000,"&lt;&gt;")=0,"",SUMIFS(全馬データ!$K$2:$K$50000,全馬データ!$A$2:$A$50000,A3074,全馬データ!$B$2:$B$50000,B3074,全馬データ!$C$2:$C$50000,C3074,全馬データ!$D$2:$D$50000,E3074)))</f>
        <v/>
      </c>
      <c r="AP3074" s="8" t="str">
        <f aca="false">IF(A3074="","",IF(AO3074="","欠損",IF(AO3074&lt;=1.1,"1.0～1.1",IF(AO3074&lt;1.3,"1.2",IF(AO3074&lt;1.5,"1.3～1.4",IF(AO3074&lt;2,"1.5～1.9","2.0以上"))))))</f>
        <v/>
      </c>
      <c r="AQ3074" s="8" t="str">
        <f aca="false">IF(A3074="","",IF(ISNUMBER(SEARCH("2歳",Z3074)),"2歳戦",IF(ISNUMBER(SEARCH("3歳未勝利",Z3074)),"3歳未勝利",IF(ISNUMBER(SEARCH("未勝利",Z3074)),"その他未勝利",IF(ISNUMBER(SEARCH("G1",Z3074)),"G1",IF(ISNUMBER(SEARCH("G2",Z3074)),"G2",IF(ISNUMBER(SEARCH("G3",Z3074)),"G3",IF(ISNUMBER(SEARCH("古馬条件",Z3074)),"古馬条件戦",IF(ISNUMBER(SEARCH("重賞",Z3074)),"重賞","分類不能")))))))))</f>
        <v/>
      </c>
    </row>
    <row r="3075" customFormat="false" ht="15.75" hidden="false" customHeight="false" outlineLevel="0" collapsed="false">
      <c r="AO3075" s="8" t="str">
        <f aca="false">IF(A3075="","",IF(COUNTIFS(全馬データ!$A$2:$A$50000,A3075,全馬データ!$B$2:$B$50000,B3075,全馬データ!$C$2:$C$50000,C3075,全馬データ!$D$2:$D$50000,E3075,全馬データ!$K$2:$K$50000,"&lt;&gt;")=0,"",SUMIFS(全馬データ!$K$2:$K$50000,全馬データ!$A$2:$A$50000,A3075,全馬データ!$B$2:$B$50000,B3075,全馬データ!$C$2:$C$50000,C3075,全馬データ!$D$2:$D$50000,E3075)))</f>
        <v/>
      </c>
      <c r="AP3075" s="8" t="str">
        <f aca="false">IF(A3075="","",IF(AO3075="","欠損",IF(AO3075&lt;=1.1,"1.0～1.1",IF(AO3075&lt;1.3,"1.2",IF(AO3075&lt;1.5,"1.3～1.4",IF(AO3075&lt;2,"1.5～1.9","2.0以上"))))))</f>
        <v/>
      </c>
      <c r="AQ3075" s="8" t="str">
        <f aca="false">IF(A3075="","",IF(ISNUMBER(SEARCH("2歳",Z3075)),"2歳戦",IF(ISNUMBER(SEARCH("3歳未勝利",Z3075)),"3歳未勝利",IF(ISNUMBER(SEARCH("未勝利",Z3075)),"その他未勝利",IF(ISNUMBER(SEARCH("G1",Z3075)),"G1",IF(ISNUMBER(SEARCH("G2",Z3075)),"G2",IF(ISNUMBER(SEARCH("G3",Z3075)),"G3",IF(ISNUMBER(SEARCH("古馬条件",Z3075)),"古馬条件戦",IF(ISNUMBER(SEARCH("重賞",Z3075)),"重賞","分類不能")))))))))</f>
        <v/>
      </c>
    </row>
    <row r="3076" customFormat="false" ht="15.75" hidden="false" customHeight="false" outlineLevel="0" collapsed="false">
      <c r="AO3076" s="8" t="str">
        <f aca="false">IF(A3076="","",IF(COUNTIFS(全馬データ!$A$2:$A$50000,A3076,全馬データ!$B$2:$B$50000,B3076,全馬データ!$C$2:$C$50000,C3076,全馬データ!$D$2:$D$50000,E3076,全馬データ!$K$2:$K$50000,"&lt;&gt;")=0,"",SUMIFS(全馬データ!$K$2:$K$50000,全馬データ!$A$2:$A$50000,A3076,全馬データ!$B$2:$B$50000,B3076,全馬データ!$C$2:$C$50000,C3076,全馬データ!$D$2:$D$50000,E3076)))</f>
        <v/>
      </c>
      <c r="AP3076" s="8" t="str">
        <f aca="false">IF(A3076="","",IF(AO3076="","欠損",IF(AO3076&lt;=1.1,"1.0～1.1",IF(AO3076&lt;1.3,"1.2",IF(AO3076&lt;1.5,"1.3～1.4",IF(AO3076&lt;2,"1.5～1.9","2.0以上"))))))</f>
        <v/>
      </c>
      <c r="AQ3076" s="8" t="str">
        <f aca="false">IF(A3076="","",IF(ISNUMBER(SEARCH("2歳",Z3076)),"2歳戦",IF(ISNUMBER(SEARCH("3歳未勝利",Z3076)),"3歳未勝利",IF(ISNUMBER(SEARCH("未勝利",Z3076)),"その他未勝利",IF(ISNUMBER(SEARCH("G1",Z3076)),"G1",IF(ISNUMBER(SEARCH("G2",Z3076)),"G2",IF(ISNUMBER(SEARCH("G3",Z3076)),"G3",IF(ISNUMBER(SEARCH("古馬条件",Z3076)),"古馬条件戦",IF(ISNUMBER(SEARCH("重賞",Z3076)),"重賞","分類不能")))))))))</f>
        <v/>
      </c>
    </row>
    <row r="3077" customFormat="false" ht="15.75" hidden="false" customHeight="false" outlineLevel="0" collapsed="false">
      <c r="AO3077" s="8" t="str">
        <f aca="false">IF(A3077="","",IF(COUNTIFS(全馬データ!$A$2:$A$50000,A3077,全馬データ!$B$2:$B$50000,B3077,全馬データ!$C$2:$C$50000,C3077,全馬データ!$D$2:$D$50000,E3077,全馬データ!$K$2:$K$50000,"&lt;&gt;")=0,"",SUMIFS(全馬データ!$K$2:$K$50000,全馬データ!$A$2:$A$50000,A3077,全馬データ!$B$2:$B$50000,B3077,全馬データ!$C$2:$C$50000,C3077,全馬データ!$D$2:$D$50000,E3077)))</f>
        <v/>
      </c>
      <c r="AP3077" s="8" t="str">
        <f aca="false">IF(A3077="","",IF(AO3077="","欠損",IF(AO3077&lt;=1.1,"1.0～1.1",IF(AO3077&lt;1.3,"1.2",IF(AO3077&lt;1.5,"1.3～1.4",IF(AO3077&lt;2,"1.5～1.9","2.0以上"))))))</f>
        <v/>
      </c>
      <c r="AQ3077" s="8" t="str">
        <f aca="false">IF(A3077="","",IF(ISNUMBER(SEARCH("2歳",Z3077)),"2歳戦",IF(ISNUMBER(SEARCH("3歳未勝利",Z3077)),"3歳未勝利",IF(ISNUMBER(SEARCH("未勝利",Z3077)),"その他未勝利",IF(ISNUMBER(SEARCH("G1",Z3077)),"G1",IF(ISNUMBER(SEARCH("G2",Z3077)),"G2",IF(ISNUMBER(SEARCH("G3",Z3077)),"G3",IF(ISNUMBER(SEARCH("古馬条件",Z3077)),"古馬条件戦",IF(ISNUMBER(SEARCH("重賞",Z3077)),"重賞","分類不能")))))))))</f>
        <v/>
      </c>
    </row>
    <row r="3078" customFormat="false" ht="15.75" hidden="false" customHeight="false" outlineLevel="0" collapsed="false">
      <c r="AO3078" s="8" t="str">
        <f aca="false">IF(A3078="","",IF(COUNTIFS(全馬データ!$A$2:$A$50000,A3078,全馬データ!$B$2:$B$50000,B3078,全馬データ!$C$2:$C$50000,C3078,全馬データ!$D$2:$D$50000,E3078,全馬データ!$K$2:$K$50000,"&lt;&gt;")=0,"",SUMIFS(全馬データ!$K$2:$K$50000,全馬データ!$A$2:$A$50000,A3078,全馬データ!$B$2:$B$50000,B3078,全馬データ!$C$2:$C$50000,C3078,全馬データ!$D$2:$D$50000,E3078)))</f>
        <v/>
      </c>
      <c r="AP3078" s="8" t="str">
        <f aca="false">IF(A3078="","",IF(AO3078="","欠損",IF(AO3078&lt;=1.1,"1.0～1.1",IF(AO3078&lt;1.3,"1.2",IF(AO3078&lt;1.5,"1.3～1.4",IF(AO3078&lt;2,"1.5～1.9","2.0以上"))))))</f>
        <v/>
      </c>
      <c r="AQ3078" s="8" t="str">
        <f aca="false">IF(A3078="","",IF(ISNUMBER(SEARCH("2歳",Z3078)),"2歳戦",IF(ISNUMBER(SEARCH("3歳未勝利",Z3078)),"3歳未勝利",IF(ISNUMBER(SEARCH("未勝利",Z3078)),"その他未勝利",IF(ISNUMBER(SEARCH("G1",Z3078)),"G1",IF(ISNUMBER(SEARCH("G2",Z3078)),"G2",IF(ISNUMBER(SEARCH("G3",Z3078)),"G3",IF(ISNUMBER(SEARCH("古馬条件",Z3078)),"古馬条件戦",IF(ISNUMBER(SEARCH("重賞",Z3078)),"重賞","分類不能")))))))))</f>
        <v/>
      </c>
    </row>
    <row r="3079" customFormat="false" ht="15.75" hidden="false" customHeight="false" outlineLevel="0" collapsed="false">
      <c r="AO3079" s="8" t="str">
        <f aca="false">IF(A3079="","",IF(COUNTIFS(全馬データ!$A$2:$A$50000,A3079,全馬データ!$B$2:$B$50000,B3079,全馬データ!$C$2:$C$50000,C3079,全馬データ!$D$2:$D$50000,E3079,全馬データ!$K$2:$K$50000,"&lt;&gt;")=0,"",SUMIFS(全馬データ!$K$2:$K$50000,全馬データ!$A$2:$A$50000,A3079,全馬データ!$B$2:$B$50000,B3079,全馬データ!$C$2:$C$50000,C3079,全馬データ!$D$2:$D$50000,E3079)))</f>
        <v/>
      </c>
      <c r="AP3079" s="8" t="str">
        <f aca="false">IF(A3079="","",IF(AO3079="","欠損",IF(AO3079&lt;=1.1,"1.0～1.1",IF(AO3079&lt;1.3,"1.2",IF(AO3079&lt;1.5,"1.3～1.4",IF(AO3079&lt;2,"1.5～1.9","2.0以上"))))))</f>
        <v/>
      </c>
      <c r="AQ3079" s="8" t="str">
        <f aca="false">IF(A3079="","",IF(ISNUMBER(SEARCH("2歳",Z3079)),"2歳戦",IF(ISNUMBER(SEARCH("3歳未勝利",Z3079)),"3歳未勝利",IF(ISNUMBER(SEARCH("未勝利",Z3079)),"その他未勝利",IF(ISNUMBER(SEARCH("G1",Z3079)),"G1",IF(ISNUMBER(SEARCH("G2",Z3079)),"G2",IF(ISNUMBER(SEARCH("G3",Z3079)),"G3",IF(ISNUMBER(SEARCH("古馬条件",Z3079)),"古馬条件戦",IF(ISNUMBER(SEARCH("重賞",Z3079)),"重賞","分類不能")))))))))</f>
        <v/>
      </c>
    </row>
    <row r="3080" customFormat="false" ht="15.75" hidden="false" customHeight="false" outlineLevel="0" collapsed="false">
      <c r="AO3080" s="8" t="str">
        <f aca="false">IF(A3080="","",IF(COUNTIFS(全馬データ!$A$2:$A$50000,A3080,全馬データ!$B$2:$B$50000,B3080,全馬データ!$C$2:$C$50000,C3080,全馬データ!$D$2:$D$50000,E3080,全馬データ!$K$2:$K$50000,"&lt;&gt;")=0,"",SUMIFS(全馬データ!$K$2:$K$50000,全馬データ!$A$2:$A$50000,A3080,全馬データ!$B$2:$B$50000,B3080,全馬データ!$C$2:$C$50000,C3080,全馬データ!$D$2:$D$50000,E3080)))</f>
        <v/>
      </c>
      <c r="AP3080" s="8" t="str">
        <f aca="false">IF(A3080="","",IF(AO3080="","欠損",IF(AO3080&lt;=1.1,"1.0～1.1",IF(AO3080&lt;1.3,"1.2",IF(AO3080&lt;1.5,"1.3～1.4",IF(AO3080&lt;2,"1.5～1.9","2.0以上"))))))</f>
        <v/>
      </c>
      <c r="AQ3080" s="8" t="str">
        <f aca="false">IF(A3080="","",IF(ISNUMBER(SEARCH("2歳",Z3080)),"2歳戦",IF(ISNUMBER(SEARCH("3歳未勝利",Z3080)),"3歳未勝利",IF(ISNUMBER(SEARCH("未勝利",Z3080)),"その他未勝利",IF(ISNUMBER(SEARCH("G1",Z3080)),"G1",IF(ISNUMBER(SEARCH("G2",Z3080)),"G2",IF(ISNUMBER(SEARCH("G3",Z3080)),"G3",IF(ISNUMBER(SEARCH("古馬条件",Z3080)),"古馬条件戦",IF(ISNUMBER(SEARCH("重賞",Z3080)),"重賞","分類不能")))))))))</f>
        <v/>
      </c>
    </row>
    <row r="3081" customFormat="false" ht="15.75" hidden="false" customHeight="false" outlineLevel="0" collapsed="false">
      <c r="AO3081" s="8" t="str">
        <f aca="false">IF(A3081="","",IF(COUNTIFS(全馬データ!$A$2:$A$50000,A3081,全馬データ!$B$2:$B$50000,B3081,全馬データ!$C$2:$C$50000,C3081,全馬データ!$D$2:$D$50000,E3081,全馬データ!$K$2:$K$50000,"&lt;&gt;")=0,"",SUMIFS(全馬データ!$K$2:$K$50000,全馬データ!$A$2:$A$50000,A3081,全馬データ!$B$2:$B$50000,B3081,全馬データ!$C$2:$C$50000,C3081,全馬データ!$D$2:$D$50000,E3081)))</f>
        <v/>
      </c>
      <c r="AP3081" s="8" t="str">
        <f aca="false">IF(A3081="","",IF(AO3081="","欠損",IF(AO3081&lt;=1.1,"1.0～1.1",IF(AO3081&lt;1.3,"1.2",IF(AO3081&lt;1.5,"1.3～1.4",IF(AO3081&lt;2,"1.5～1.9","2.0以上"))))))</f>
        <v/>
      </c>
      <c r="AQ3081" s="8" t="str">
        <f aca="false">IF(A3081="","",IF(ISNUMBER(SEARCH("2歳",Z3081)),"2歳戦",IF(ISNUMBER(SEARCH("3歳未勝利",Z3081)),"3歳未勝利",IF(ISNUMBER(SEARCH("未勝利",Z3081)),"その他未勝利",IF(ISNUMBER(SEARCH("G1",Z3081)),"G1",IF(ISNUMBER(SEARCH("G2",Z3081)),"G2",IF(ISNUMBER(SEARCH("G3",Z3081)),"G3",IF(ISNUMBER(SEARCH("古馬条件",Z3081)),"古馬条件戦",IF(ISNUMBER(SEARCH("重賞",Z3081)),"重賞","分類不能")))))))))</f>
        <v/>
      </c>
    </row>
    <row r="3082" customFormat="false" ht="15.75" hidden="false" customHeight="false" outlineLevel="0" collapsed="false">
      <c r="AO3082" s="8" t="str">
        <f aca="false">IF(A3082="","",IF(COUNTIFS(全馬データ!$A$2:$A$50000,A3082,全馬データ!$B$2:$B$50000,B3082,全馬データ!$C$2:$C$50000,C3082,全馬データ!$D$2:$D$50000,E3082,全馬データ!$K$2:$K$50000,"&lt;&gt;")=0,"",SUMIFS(全馬データ!$K$2:$K$50000,全馬データ!$A$2:$A$50000,A3082,全馬データ!$B$2:$B$50000,B3082,全馬データ!$C$2:$C$50000,C3082,全馬データ!$D$2:$D$50000,E3082)))</f>
        <v/>
      </c>
      <c r="AP3082" s="8" t="str">
        <f aca="false">IF(A3082="","",IF(AO3082="","欠損",IF(AO3082&lt;=1.1,"1.0～1.1",IF(AO3082&lt;1.3,"1.2",IF(AO3082&lt;1.5,"1.3～1.4",IF(AO3082&lt;2,"1.5～1.9","2.0以上"))))))</f>
        <v/>
      </c>
      <c r="AQ3082" s="8" t="str">
        <f aca="false">IF(A3082="","",IF(ISNUMBER(SEARCH("2歳",Z3082)),"2歳戦",IF(ISNUMBER(SEARCH("3歳未勝利",Z3082)),"3歳未勝利",IF(ISNUMBER(SEARCH("未勝利",Z3082)),"その他未勝利",IF(ISNUMBER(SEARCH("G1",Z3082)),"G1",IF(ISNUMBER(SEARCH("G2",Z3082)),"G2",IF(ISNUMBER(SEARCH("G3",Z3082)),"G3",IF(ISNUMBER(SEARCH("古馬条件",Z3082)),"古馬条件戦",IF(ISNUMBER(SEARCH("重賞",Z3082)),"重賞","分類不能")))))))))</f>
        <v/>
      </c>
    </row>
    <row r="3083" customFormat="false" ht="15.75" hidden="false" customHeight="false" outlineLevel="0" collapsed="false">
      <c r="AO3083" s="8" t="str">
        <f aca="false">IF(A3083="","",IF(COUNTIFS(全馬データ!$A$2:$A$50000,A3083,全馬データ!$B$2:$B$50000,B3083,全馬データ!$C$2:$C$50000,C3083,全馬データ!$D$2:$D$50000,E3083,全馬データ!$K$2:$K$50000,"&lt;&gt;")=0,"",SUMIFS(全馬データ!$K$2:$K$50000,全馬データ!$A$2:$A$50000,A3083,全馬データ!$B$2:$B$50000,B3083,全馬データ!$C$2:$C$50000,C3083,全馬データ!$D$2:$D$50000,E3083)))</f>
        <v/>
      </c>
      <c r="AP3083" s="8" t="str">
        <f aca="false">IF(A3083="","",IF(AO3083="","欠損",IF(AO3083&lt;=1.1,"1.0～1.1",IF(AO3083&lt;1.3,"1.2",IF(AO3083&lt;1.5,"1.3～1.4",IF(AO3083&lt;2,"1.5～1.9","2.0以上"))))))</f>
        <v/>
      </c>
      <c r="AQ3083" s="8" t="str">
        <f aca="false">IF(A3083="","",IF(ISNUMBER(SEARCH("2歳",Z3083)),"2歳戦",IF(ISNUMBER(SEARCH("3歳未勝利",Z3083)),"3歳未勝利",IF(ISNUMBER(SEARCH("未勝利",Z3083)),"その他未勝利",IF(ISNUMBER(SEARCH("G1",Z3083)),"G1",IF(ISNUMBER(SEARCH("G2",Z3083)),"G2",IF(ISNUMBER(SEARCH("G3",Z3083)),"G3",IF(ISNUMBER(SEARCH("古馬条件",Z3083)),"古馬条件戦",IF(ISNUMBER(SEARCH("重賞",Z3083)),"重賞","分類不能")))))))))</f>
        <v/>
      </c>
    </row>
    <row r="3084" customFormat="false" ht="15.75" hidden="false" customHeight="false" outlineLevel="0" collapsed="false">
      <c r="AO3084" s="8" t="str">
        <f aca="false">IF(A3084="","",IF(COUNTIFS(全馬データ!$A$2:$A$50000,A3084,全馬データ!$B$2:$B$50000,B3084,全馬データ!$C$2:$C$50000,C3084,全馬データ!$D$2:$D$50000,E3084,全馬データ!$K$2:$K$50000,"&lt;&gt;")=0,"",SUMIFS(全馬データ!$K$2:$K$50000,全馬データ!$A$2:$A$50000,A3084,全馬データ!$B$2:$B$50000,B3084,全馬データ!$C$2:$C$50000,C3084,全馬データ!$D$2:$D$50000,E3084)))</f>
        <v/>
      </c>
      <c r="AP3084" s="8" t="str">
        <f aca="false">IF(A3084="","",IF(AO3084="","欠損",IF(AO3084&lt;=1.1,"1.0～1.1",IF(AO3084&lt;1.3,"1.2",IF(AO3084&lt;1.5,"1.3～1.4",IF(AO3084&lt;2,"1.5～1.9","2.0以上"))))))</f>
        <v/>
      </c>
      <c r="AQ3084" s="8" t="str">
        <f aca="false">IF(A3084="","",IF(ISNUMBER(SEARCH("2歳",Z3084)),"2歳戦",IF(ISNUMBER(SEARCH("3歳未勝利",Z3084)),"3歳未勝利",IF(ISNUMBER(SEARCH("未勝利",Z3084)),"その他未勝利",IF(ISNUMBER(SEARCH("G1",Z3084)),"G1",IF(ISNUMBER(SEARCH("G2",Z3084)),"G2",IF(ISNUMBER(SEARCH("G3",Z3084)),"G3",IF(ISNUMBER(SEARCH("古馬条件",Z3084)),"古馬条件戦",IF(ISNUMBER(SEARCH("重賞",Z3084)),"重賞","分類不能")))))))))</f>
        <v/>
      </c>
    </row>
    <row r="3085" customFormat="false" ht="15.75" hidden="false" customHeight="false" outlineLevel="0" collapsed="false">
      <c r="AO3085" s="8" t="str">
        <f aca="false">IF(A3085="","",IF(COUNTIFS(全馬データ!$A$2:$A$50000,A3085,全馬データ!$B$2:$B$50000,B3085,全馬データ!$C$2:$C$50000,C3085,全馬データ!$D$2:$D$50000,E3085,全馬データ!$K$2:$K$50000,"&lt;&gt;")=0,"",SUMIFS(全馬データ!$K$2:$K$50000,全馬データ!$A$2:$A$50000,A3085,全馬データ!$B$2:$B$50000,B3085,全馬データ!$C$2:$C$50000,C3085,全馬データ!$D$2:$D$50000,E3085)))</f>
        <v/>
      </c>
      <c r="AP3085" s="8" t="str">
        <f aca="false">IF(A3085="","",IF(AO3085="","欠損",IF(AO3085&lt;=1.1,"1.0～1.1",IF(AO3085&lt;1.3,"1.2",IF(AO3085&lt;1.5,"1.3～1.4",IF(AO3085&lt;2,"1.5～1.9","2.0以上"))))))</f>
        <v/>
      </c>
      <c r="AQ3085" s="8" t="str">
        <f aca="false">IF(A3085="","",IF(ISNUMBER(SEARCH("2歳",Z3085)),"2歳戦",IF(ISNUMBER(SEARCH("3歳未勝利",Z3085)),"3歳未勝利",IF(ISNUMBER(SEARCH("未勝利",Z3085)),"その他未勝利",IF(ISNUMBER(SEARCH("G1",Z3085)),"G1",IF(ISNUMBER(SEARCH("G2",Z3085)),"G2",IF(ISNUMBER(SEARCH("G3",Z3085)),"G3",IF(ISNUMBER(SEARCH("古馬条件",Z3085)),"古馬条件戦",IF(ISNUMBER(SEARCH("重賞",Z3085)),"重賞","分類不能")))))))))</f>
        <v/>
      </c>
    </row>
    <row r="3086" customFormat="false" ht="15.75" hidden="false" customHeight="false" outlineLevel="0" collapsed="false">
      <c r="AO3086" s="8" t="str">
        <f aca="false">IF(A3086="","",IF(COUNTIFS(全馬データ!$A$2:$A$50000,A3086,全馬データ!$B$2:$B$50000,B3086,全馬データ!$C$2:$C$50000,C3086,全馬データ!$D$2:$D$50000,E3086,全馬データ!$K$2:$K$50000,"&lt;&gt;")=0,"",SUMIFS(全馬データ!$K$2:$K$50000,全馬データ!$A$2:$A$50000,A3086,全馬データ!$B$2:$B$50000,B3086,全馬データ!$C$2:$C$50000,C3086,全馬データ!$D$2:$D$50000,E3086)))</f>
        <v/>
      </c>
      <c r="AP3086" s="8" t="str">
        <f aca="false">IF(A3086="","",IF(AO3086="","欠損",IF(AO3086&lt;=1.1,"1.0～1.1",IF(AO3086&lt;1.3,"1.2",IF(AO3086&lt;1.5,"1.3～1.4",IF(AO3086&lt;2,"1.5～1.9","2.0以上"))))))</f>
        <v/>
      </c>
      <c r="AQ3086" s="8" t="str">
        <f aca="false">IF(A3086="","",IF(ISNUMBER(SEARCH("2歳",Z3086)),"2歳戦",IF(ISNUMBER(SEARCH("3歳未勝利",Z3086)),"3歳未勝利",IF(ISNUMBER(SEARCH("未勝利",Z3086)),"その他未勝利",IF(ISNUMBER(SEARCH("G1",Z3086)),"G1",IF(ISNUMBER(SEARCH("G2",Z3086)),"G2",IF(ISNUMBER(SEARCH("G3",Z3086)),"G3",IF(ISNUMBER(SEARCH("古馬条件",Z3086)),"古馬条件戦",IF(ISNUMBER(SEARCH("重賞",Z3086)),"重賞","分類不能")))))))))</f>
        <v/>
      </c>
    </row>
    <row r="3087" customFormat="false" ht="15.75" hidden="false" customHeight="false" outlineLevel="0" collapsed="false">
      <c r="AO3087" s="8" t="str">
        <f aca="false">IF(A3087="","",IF(COUNTIFS(全馬データ!$A$2:$A$50000,A3087,全馬データ!$B$2:$B$50000,B3087,全馬データ!$C$2:$C$50000,C3087,全馬データ!$D$2:$D$50000,E3087,全馬データ!$K$2:$K$50000,"&lt;&gt;")=0,"",SUMIFS(全馬データ!$K$2:$K$50000,全馬データ!$A$2:$A$50000,A3087,全馬データ!$B$2:$B$50000,B3087,全馬データ!$C$2:$C$50000,C3087,全馬データ!$D$2:$D$50000,E3087)))</f>
        <v/>
      </c>
      <c r="AP3087" s="8" t="str">
        <f aca="false">IF(A3087="","",IF(AO3087="","欠損",IF(AO3087&lt;=1.1,"1.0～1.1",IF(AO3087&lt;1.3,"1.2",IF(AO3087&lt;1.5,"1.3～1.4",IF(AO3087&lt;2,"1.5～1.9","2.0以上"))))))</f>
        <v/>
      </c>
      <c r="AQ3087" s="8" t="str">
        <f aca="false">IF(A3087="","",IF(ISNUMBER(SEARCH("2歳",Z3087)),"2歳戦",IF(ISNUMBER(SEARCH("3歳未勝利",Z3087)),"3歳未勝利",IF(ISNUMBER(SEARCH("未勝利",Z3087)),"その他未勝利",IF(ISNUMBER(SEARCH("G1",Z3087)),"G1",IF(ISNUMBER(SEARCH("G2",Z3087)),"G2",IF(ISNUMBER(SEARCH("G3",Z3087)),"G3",IF(ISNUMBER(SEARCH("古馬条件",Z3087)),"古馬条件戦",IF(ISNUMBER(SEARCH("重賞",Z3087)),"重賞","分類不能")))))))))</f>
        <v/>
      </c>
    </row>
    <row r="3088" customFormat="false" ht="15.75" hidden="false" customHeight="false" outlineLevel="0" collapsed="false">
      <c r="AO3088" s="8" t="str">
        <f aca="false">IF(A3088="","",IF(COUNTIFS(全馬データ!$A$2:$A$50000,A3088,全馬データ!$B$2:$B$50000,B3088,全馬データ!$C$2:$C$50000,C3088,全馬データ!$D$2:$D$50000,E3088,全馬データ!$K$2:$K$50000,"&lt;&gt;")=0,"",SUMIFS(全馬データ!$K$2:$K$50000,全馬データ!$A$2:$A$50000,A3088,全馬データ!$B$2:$B$50000,B3088,全馬データ!$C$2:$C$50000,C3088,全馬データ!$D$2:$D$50000,E3088)))</f>
        <v/>
      </c>
      <c r="AP3088" s="8" t="str">
        <f aca="false">IF(A3088="","",IF(AO3088="","欠損",IF(AO3088&lt;=1.1,"1.0～1.1",IF(AO3088&lt;1.3,"1.2",IF(AO3088&lt;1.5,"1.3～1.4",IF(AO3088&lt;2,"1.5～1.9","2.0以上"))))))</f>
        <v/>
      </c>
      <c r="AQ3088" s="8" t="str">
        <f aca="false">IF(A3088="","",IF(ISNUMBER(SEARCH("2歳",Z3088)),"2歳戦",IF(ISNUMBER(SEARCH("3歳未勝利",Z3088)),"3歳未勝利",IF(ISNUMBER(SEARCH("未勝利",Z3088)),"その他未勝利",IF(ISNUMBER(SEARCH("G1",Z3088)),"G1",IF(ISNUMBER(SEARCH("G2",Z3088)),"G2",IF(ISNUMBER(SEARCH("G3",Z3088)),"G3",IF(ISNUMBER(SEARCH("古馬条件",Z3088)),"古馬条件戦",IF(ISNUMBER(SEARCH("重賞",Z3088)),"重賞","分類不能")))))))))</f>
        <v/>
      </c>
    </row>
    <row r="3089" customFormat="false" ht="15.75" hidden="false" customHeight="false" outlineLevel="0" collapsed="false">
      <c r="AO3089" s="8" t="str">
        <f aca="false">IF(A3089="","",IF(COUNTIFS(全馬データ!$A$2:$A$50000,A3089,全馬データ!$B$2:$B$50000,B3089,全馬データ!$C$2:$C$50000,C3089,全馬データ!$D$2:$D$50000,E3089,全馬データ!$K$2:$K$50000,"&lt;&gt;")=0,"",SUMIFS(全馬データ!$K$2:$K$50000,全馬データ!$A$2:$A$50000,A3089,全馬データ!$B$2:$B$50000,B3089,全馬データ!$C$2:$C$50000,C3089,全馬データ!$D$2:$D$50000,E3089)))</f>
        <v/>
      </c>
      <c r="AP3089" s="8" t="str">
        <f aca="false">IF(A3089="","",IF(AO3089="","欠損",IF(AO3089&lt;=1.1,"1.0～1.1",IF(AO3089&lt;1.3,"1.2",IF(AO3089&lt;1.5,"1.3～1.4",IF(AO3089&lt;2,"1.5～1.9","2.0以上"))))))</f>
        <v/>
      </c>
      <c r="AQ3089" s="8" t="str">
        <f aca="false">IF(A3089="","",IF(ISNUMBER(SEARCH("2歳",Z3089)),"2歳戦",IF(ISNUMBER(SEARCH("3歳未勝利",Z3089)),"3歳未勝利",IF(ISNUMBER(SEARCH("未勝利",Z3089)),"その他未勝利",IF(ISNUMBER(SEARCH("G1",Z3089)),"G1",IF(ISNUMBER(SEARCH("G2",Z3089)),"G2",IF(ISNUMBER(SEARCH("G3",Z3089)),"G3",IF(ISNUMBER(SEARCH("古馬条件",Z3089)),"古馬条件戦",IF(ISNUMBER(SEARCH("重賞",Z3089)),"重賞","分類不能")))))))))</f>
        <v/>
      </c>
    </row>
    <row r="3090" customFormat="false" ht="15.75" hidden="false" customHeight="false" outlineLevel="0" collapsed="false">
      <c r="AO3090" s="8" t="str">
        <f aca="false">IF(A3090="","",IF(COUNTIFS(全馬データ!$A$2:$A$50000,A3090,全馬データ!$B$2:$B$50000,B3090,全馬データ!$C$2:$C$50000,C3090,全馬データ!$D$2:$D$50000,E3090,全馬データ!$K$2:$K$50000,"&lt;&gt;")=0,"",SUMIFS(全馬データ!$K$2:$K$50000,全馬データ!$A$2:$A$50000,A3090,全馬データ!$B$2:$B$50000,B3090,全馬データ!$C$2:$C$50000,C3090,全馬データ!$D$2:$D$50000,E3090)))</f>
        <v/>
      </c>
      <c r="AP3090" s="8" t="str">
        <f aca="false">IF(A3090="","",IF(AO3090="","欠損",IF(AO3090&lt;=1.1,"1.0～1.1",IF(AO3090&lt;1.3,"1.2",IF(AO3090&lt;1.5,"1.3～1.4",IF(AO3090&lt;2,"1.5～1.9","2.0以上"))))))</f>
        <v/>
      </c>
      <c r="AQ3090" s="8" t="str">
        <f aca="false">IF(A3090="","",IF(ISNUMBER(SEARCH("2歳",Z3090)),"2歳戦",IF(ISNUMBER(SEARCH("3歳未勝利",Z3090)),"3歳未勝利",IF(ISNUMBER(SEARCH("未勝利",Z3090)),"その他未勝利",IF(ISNUMBER(SEARCH("G1",Z3090)),"G1",IF(ISNUMBER(SEARCH("G2",Z3090)),"G2",IF(ISNUMBER(SEARCH("G3",Z3090)),"G3",IF(ISNUMBER(SEARCH("古馬条件",Z3090)),"古馬条件戦",IF(ISNUMBER(SEARCH("重賞",Z3090)),"重賞","分類不能")))))))))</f>
        <v/>
      </c>
    </row>
    <row r="3091" customFormat="false" ht="15.75" hidden="false" customHeight="false" outlineLevel="0" collapsed="false">
      <c r="AO3091" s="8" t="str">
        <f aca="false">IF(A3091="","",IF(COUNTIFS(全馬データ!$A$2:$A$50000,A3091,全馬データ!$B$2:$B$50000,B3091,全馬データ!$C$2:$C$50000,C3091,全馬データ!$D$2:$D$50000,E3091,全馬データ!$K$2:$K$50000,"&lt;&gt;")=0,"",SUMIFS(全馬データ!$K$2:$K$50000,全馬データ!$A$2:$A$50000,A3091,全馬データ!$B$2:$B$50000,B3091,全馬データ!$C$2:$C$50000,C3091,全馬データ!$D$2:$D$50000,E3091)))</f>
        <v/>
      </c>
      <c r="AP3091" s="8" t="str">
        <f aca="false">IF(A3091="","",IF(AO3091="","欠損",IF(AO3091&lt;=1.1,"1.0～1.1",IF(AO3091&lt;1.3,"1.2",IF(AO3091&lt;1.5,"1.3～1.4",IF(AO3091&lt;2,"1.5～1.9","2.0以上"))))))</f>
        <v/>
      </c>
      <c r="AQ3091" s="8" t="str">
        <f aca="false">IF(A3091="","",IF(ISNUMBER(SEARCH("2歳",Z3091)),"2歳戦",IF(ISNUMBER(SEARCH("3歳未勝利",Z3091)),"3歳未勝利",IF(ISNUMBER(SEARCH("未勝利",Z3091)),"その他未勝利",IF(ISNUMBER(SEARCH("G1",Z3091)),"G1",IF(ISNUMBER(SEARCH("G2",Z3091)),"G2",IF(ISNUMBER(SEARCH("G3",Z3091)),"G3",IF(ISNUMBER(SEARCH("古馬条件",Z3091)),"古馬条件戦",IF(ISNUMBER(SEARCH("重賞",Z3091)),"重賞","分類不能")))))))))</f>
        <v/>
      </c>
    </row>
    <row r="3092" customFormat="false" ht="15.75" hidden="false" customHeight="false" outlineLevel="0" collapsed="false">
      <c r="AO3092" s="8" t="str">
        <f aca="false">IF(A3092="","",IF(COUNTIFS(全馬データ!$A$2:$A$50000,A3092,全馬データ!$B$2:$B$50000,B3092,全馬データ!$C$2:$C$50000,C3092,全馬データ!$D$2:$D$50000,E3092,全馬データ!$K$2:$K$50000,"&lt;&gt;")=0,"",SUMIFS(全馬データ!$K$2:$K$50000,全馬データ!$A$2:$A$50000,A3092,全馬データ!$B$2:$B$50000,B3092,全馬データ!$C$2:$C$50000,C3092,全馬データ!$D$2:$D$50000,E3092)))</f>
        <v/>
      </c>
      <c r="AP3092" s="8" t="str">
        <f aca="false">IF(A3092="","",IF(AO3092="","欠損",IF(AO3092&lt;=1.1,"1.0～1.1",IF(AO3092&lt;1.3,"1.2",IF(AO3092&lt;1.5,"1.3～1.4",IF(AO3092&lt;2,"1.5～1.9","2.0以上"))))))</f>
        <v/>
      </c>
      <c r="AQ3092" s="8" t="str">
        <f aca="false">IF(A3092="","",IF(ISNUMBER(SEARCH("2歳",Z3092)),"2歳戦",IF(ISNUMBER(SEARCH("3歳未勝利",Z3092)),"3歳未勝利",IF(ISNUMBER(SEARCH("未勝利",Z3092)),"その他未勝利",IF(ISNUMBER(SEARCH("G1",Z3092)),"G1",IF(ISNUMBER(SEARCH("G2",Z3092)),"G2",IF(ISNUMBER(SEARCH("G3",Z3092)),"G3",IF(ISNUMBER(SEARCH("古馬条件",Z3092)),"古馬条件戦",IF(ISNUMBER(SEARCH("重賞",Z3092)),"重賞","分類不能")))))))))</f>
        <v/>
      </c>
    </row>
    <row r="3093" customFormat="false" ht="15.75" hidden="false" customHeight="false" outlineLevel="0" collapsed="false">
      <c r="AO3093" s="8" t="str">
        <f aca="false">IF(A3093="","",IF(COUNTIFS(全馬データ!$A$2:$A$50000,A3093,全馬データ!$B$2:$B$50000,B3093,全馬データ!$C$2:$C$50000,C3093,全馬データ!$D$2:$D$50000,E3093,全馬データ!$K$2:$K$50000,"&lt;&gt;")=0,"",SUMIFS(全馬データ!$K$2:$K$50000,全馬データ!$A$2:$A$50000,A3093,全馬データ!$B$2:$B$50000,B3093,全馬データ!$C$2:$C$50000,C3093,全馬データ!$D$2:$D$50000,E3093)))</f>
        <v/>
      </c>
      <c r="AP3093" s="8" t="str">
        <f aca="false">IF(A3093="","",IF(AO3093="","欠損",IF(AO3093&lt;=1.1,"1.0～1.1",IF(AO3093&lt;1.3,"1.2",IF(AO3093&lt;1.5,"1.3～1.4",IF(AO3093&lt;2,"1.5～1.9","2.0以上"))))))</f>
        <v/>
      </c>
      <c r="AQ3093" s="8" t="str">
        <f aca="false">IF(A3093="","",IF(ISNUMBER(SEARCH("2歳",Z3093)),"2歳戦",IF(ISNUMBER(SEARCH("3歳未勝利",Z3093)),"3歳未勝利",IF(ISNUMBER(SEARCH("未勝利",Z3093)),"その他未勝利",IF(ISNUMBER(SEARCH("G1",Z3093)),"G1",IF(ISNUMBER(SEARCH("G2",Z3093)),"G2",IF(ISNUMBER(SEARCH("G3",Z3093)),"G3",IF(ISNUMBER(SEARCH("古馬条件",Z3093)),"古馬条件戦",IF(ISNUMBER(SEARCH("重賞",Z3093)),"重賞","分類不能")))))))))</f>
        <v/>
      </c>
    </row>
    <row r="3094" customFormat="false" ht="15.75" hidden="false" customHeight="false" outlineLevel="0" collapsed="false">
      <c r="AO3094" s="8" t="str">
        <f aca="false">IF(A3094="","",IF(COUNTIFS(全馬データ!$A$2:$A$50000,A3094,全馬データ!$B$2:$B$50000,B3094,全馬データ!$C$2:$C$50000,C3094,全馬データ!$D$2:$D$50000,E3094,全馬データ!$K$2:$K$50000,"&lt;&gt;")=0,"",SUMIFS(全馬データ!$K$2:$K$50000,全馬データ!$A$2:$A$50000,A3094,全馬データ!$B$2:$B$50000,B3094,全馬データ!$C$2:$C$50000,C3094,全馬データ!$D$2:$D$50000,E3094)))</f>
        <v/>
      </c>
      <c r="AP3094" s="8" t="str">
        <f aca="false">IF(A3094="","",IF(AO3094="","欠損",IF(AO3094&lt;=1.1,"1.0～1.1",IF(AO3094&lt;1.3,"1.2",IF(AO3094&lt;1.5,"1.3～1.4",IF(AO3094&lt;2,"1.5～1.9","2.0以上"))))))</f>
        <v/>
      </c>
      <c r="AQ3094" s="8" t="str">
        <f aca="false">IF(A3094="","",IF(ISNUMBER(SEARCH("2歳",Z3094)),"2歳戦",IF(ISNUMBER(SEARCH("3歳未勝利",Z3094)),"3歳未勝利",IF(ISNUMBER(SEARCH("未勝利",Z3094)),"その他未勝利",IF(ISNUMBER(SEARCH("G1",Z3094)),"G1",IF(ISNUMBER(SEARCH("G2",Z3094)),"G2",IF(ISNUMBER(SEARCH("G3",Z3094)),"G3",IF(ISNUMBER(SEARCH("古馬条件",Z3094)),"古馬条件戦",IF(ISNUMBER(SEARCH("重賞",Z3094)),"重賞","分類不能")))))))))</f>
        <v/>
      </c>
    </row>
    <row r="3095" customFormat="false" ht="15.75" hidden="false" customHeight="false" outlineLevel="0" collapsed="false">
      <c r="AO3095" s="8" t="str">
        <f aca="false">IF(A3095="","",IF(COUNTIFS(全馬データ!$A$2:$A$50000,A3095,全馬データ!$B$2:$B$50000,B3095,全馬データ!$C$2:$C$50000,C3095,全馬データ!$D$2:$D$50000,E3095,全馬データ!$K$2:$K$50000,"&lt;&gt;")=0,"",SUMIFS(全馬データ!$K$2:$K$50000,全馬データ!$A$2:$A$50000,A3095,全馬データ!$B$2:$B$50000,B3095,全馬データ!$C$2:$C$50000,C3095,全馬データ!$D$2:$D$50000,E3095)))</f>
        <v/>
      </c>
      <c r="AP3095" s="8" t="str">
        <f aca="false">IF(A3095="","",IF(AO3095="","欠損",IF(AO3095&lt;=1.1,"1.0～1.1",IF(AO3095&lt;1.3,"1.2",IF(AO3095&lt;1.5,"1.3～1.4",IF(AO3095&lt;2,"1.5～1.9","2.0以上"))))))</f>
        <v/>
      </c>
      <c r="AQ3095" s="8" t="str">
        <f aca="false">IF(A3095="","",IF(ISNUMBER(SEARCH("2歳",Z3095)),"2歳戦",IF(ISNUMBER(SEARCH("3歳未勝利",Z3095)),"3歳未勝利",IF(ISNUMBER(SEARCH("未勝利",Z3095)),"その他未勝利",IF(ISNUMBER(SEARCH("G1",Z3095)),"G1",IF(ISNUMBER(SEARCH("G2",Z3095)),"G2",IF(ISNUMBER(SEARCH("G3",Z3095)),"G3",IF(ISNUMBER(SEARCH("古馬条件",Z3095)),"古馬条件戦",IF(ISNUMBER(SEARCH("重賞",Z3095)),"重賞","分類不能")))))))))</f>
        <v/>
      </c>
    </row>
    <row r="3096" customFormat="false" ht="15.75" hidden="false" customHeight="false" outlineLevel="0" collapsed="false">
      <c r="AO3096" s="8" t="str">
        <f aca="false">IF(A3096="","",IF(COUNTIFS(全馬データ!$A$2:$A$50000,A3096,全馬データ!$B$2:$B$50000,B3096,全馬データ!$C$2:$C$50000,C3096,全馬データ!$D$2:$D$50000,E3096,全馬データ!$K$2:$K$50000,"&lt;&gt;")=0,"",SUMIFS(全馬データ!$K$2:$K$50000,全馬データ!$A$2:$A$50000,A3096,全馬データ!$B$2:$B$50000,B3096,全馬データ!$C$2:$C$50000,C3096,全馬データ!$D$2:$D$50000,E3096)))</f>
        <v/>
      </c>
      <c r="AP3096" s="8" t="str">
        <f aca="false">IF(A3096="","",IF(AO3096="","欠損",IF(AO3096&lt;=1.1,"1.0～1.1",IF(AO3096&lt;1.3,"1.2",IF(AO3096&lt;1.5,"1.3～1.4",IF(AO3096&lt;2,"1.5～1.9","2.0以上"))))))</f>
        <v/>
      </c>
      <c r="AQ3096" s="8" t="str">
        <f aca="false">IF(A3096="","",IF(ISNUMBER(SEARCH("2歳",Z3096)),"2歳戦",IF(ISNUMBER(SEARCH("3歳未勝利",Z3096)),"3歳未勝利",IF(ISNUMBER(SEARCH("未勝利",Z3096)),"その他未勝利",IF(ISNUMBER(SEARCH("G1",Z3096)),"G1",IF(ISNUMBER(SEARCH("G2",Z3096)),"G2",IF(ISNUMBER(SEARCH("G3",Z3096)),"G3",IF(ISNUMBER(SEARCH("古馬条件",Z3096)),"古馬条件戦",IF(ISNUMBER(SEARCH("重賞",Z3096)),"重賞","分類不能")))))))))</f>
        <v/>
      </c>
    </row>
    <row r="3097" customFormat="false" ht="15.75" hidden="false" customHeight="false" outlineLevel="0" collapsed="false">
      <c r="AO3097" s="8" t="str">
        <f aca="false">IF(A3097="","",IF(COUNTIFS(全馬データ!$A$2:$A$50000,A3097,全馬データ!$B$2:$B$50000,B3097,全馬データ!$C$2:$C$50000,C3097,全馬データ!$D$2:$D$50000,E3097,全馬データ!$K$2:$K$50000,"&lt;&gt;")=0,"",SUMIFS(全馬データ!$K$2:$K$50000,全馬データ!$A$2:$A$50000,A3097,全馬データ!$B$2:$B$50000,B3097,全馬データ!$C$2:$C$50000,C3097,全馬データ!$D$2:$D$50000,E3097)))</f>
        <v/>
      </c>
      <c r="AP3097" s="8" t="str">
        <f aca="false">IF(A3097="","",IF(AO3097="","欠損",IF(AO3097&lt;=1.1,"1.0～1.1",IF(AO3097&lt;1.3,"1.2",IF(AO3097&lt;1.5,"1.3～1.4",IF(AO3097&lt;2,"1.5～1.9","2.0以上"))))))</f>
        <v/>
      </c>
      <c r="AQ3097" s="8" t="str">
        <f aca="false">IF(A3097="","",IF(ISNUMBER(SEARCH("2歳",Z3097)),"2歳戦",IF(ISNUMBER(SEARCH("3歳未勝利",Z3097)),"3歳未勝利",IF(ISNUMBER(SEARCH("未勝利",Z3097)),"その他未勝利",IF(ISNUMBER(SEARCH("G1",Z3097)),"G1",IF(ISNUMBER(SEARCH("G2",Z3097)),"G2",IF(ISNUMBER(SEARCH("G3",Z3097)),"G3",IF(ISNUMBER(SEARCH("古馬条件",Z3097)),"古馬条件戦",IF(ISNUMBER(SEARCH("重賞",Z3097)),"重賞","分類不能")))))))))</f>
        <v/>
      </c>
    </row>
    <row r="3098" customFormat="false" ht="15.75" hidden="false" customHeight="false" outlineLevel="0" collapsed="false">
      <c r="AO3098" s="8" t="str">
        <f aca="false">IF(A3098="","",IF(COUNTIFS(全馬データ!$A$2:$A$50000,A3098,全馬データ!$B$2:$B$50000,B3098,全馬データ!$C$2:$C$50000,C3098,全馬データ!$D$2:$D$50000,E3098,全馬データ!$K$2:$K$50000,"&lt;&gt;")=0,"",SUMIFS(全馬データ!$K$2:$K$50000,全馬データ!$A$2:$A$50000,A3098,全馬データ!$B$2:$B$50000,B3098,全馬データ!$C$2:$C$50000,C3098,全馬データ!$D$2:$D$50000,E3098)))</f>
        <v/>
      </c>
      <c r="AP3098" s="8" t="str">
        <f aca="false">IF(A3098="","",IF(AO3098="","欠損",IF(AO3098&lt;=1.1,"1.0～1.1",IF(AO3098&lt;1.3,"1.2",IF(AO3098&lt;1.5,"1.3～1.4",IF(AO3098&lt;2,"1.5～1.9","2.0以上"))))))</f>
        <v/>
      </c>
      <c r="AQ3098" s="8" t="str">
        <f aca="false">IF(A3098="","",IF(ISNUMBER(SEARCH("2歳",Z3098)),"2歳戦",IF(ISNUMBER(SEARCH("3歳未勝利",Z3098)),"3歳未勝利",IF(ISNUMBER(SEARCH("未勝利",Z3098)),"その他未勝利",IF(ISNUMBER(SEARCH("G1",Z3098)),"G1",IF(ISNUMBER(SEARCH("G2",Z3098)),"G2",IF(ISNUMBER(SEARCH("G3",Z3098)),"G3",IF(ISNUMBER(SEARCH("古馬条件",Z3098)),"古馬条件戦",IF(ISNUMBER(SEARCH("重賞",Z3098)),"重賞","分類不能")))))))))</f>
        <v/>
      </c>
    </row>
    <row r="3099" customFormat="false" ht="15.75" hidden="false" customHeight="false" outlineLevel="0" collapsed="false">
      <c r="AO3099" s="8" t="str">
        <f aca="false">IF(A3099="","",IF(COUNTIFS(全馬データ!$A$2:$A$50000,A3099,全馬データ!$B$2:$B$50000,B3099,全馬データ!$C$2:$C$50000,C3099,全馬データ!$D$2:$D$50000,E3099,全馬データ!$K$2:$K$50000,"&lt;&gt;")=0,"",SUMIFS(全馬データ!$K$2:$K$50000,全馬データ!$A$2:$A$50000,A3099,全馬データ!$B$2:$B$50000,B3099,全馬データ!$C$2:$C$50000,C3099,全馬データ!$D$2:$D$50000,E3099)))</f>
        <v/>
      </c>
      <c r="AP3099" s="8" t="str">
        <f aca="false">IF(A3099="","",IF(AO3099="","欠損",IF(AO3099&lt;=1.1,"1.0～1.1",IF(AO3099&lt;1.3,"1.2",IF(AO3099&lt;1.5,"1.3～1.4",IF(AO3099&lt;2,"1.5～1.9","2.0以上"))))))</f>
        <v/>
      </c>
      <c r="AQ3099" s="8" t="str">
        <f aca="false">IF(A3099="","",IF(ISNUMBER(SEARCH("2歳",Z3099)),"2歳戦",IF(ISNUMBER(SEARCH("3歳未勝利",Z3099)),"3歳未勝利",IF(ISNUMBER(SEARCH("未勝利",Z3099)),"その他未勝利",IF(ISNUMBER(SEARCH("G1",Z3099)),"G1",IF(ISNUMBER(SEARCH("G2",Z3099)),"G2",IF(ISNUMBER(SEARCH("G3",Z3099)),"G3",IF(ISNUMBER(SEARCH("古馬条件",Z3099)),"古馬条件戦",IF(ISNUMBER(SEARCH("重賞",Z3099)),"重賞","分類不能")))))))))</f>
        <v/>
      </c>
    </row>
    <row r="3100" customFormat="false" ht="15.75" hidden="false" customHeight="false" outlineLevel="0" collapsed="false">
      <c r="AO3100" s="8" t="str">
        <f aca="false">IF(A3100="","",IF(COUNTIFS(全馬データ!$A$2:$A$50000,A3100,全馬データ!$B$2:$B$50000,B3100,全馬データ!$C$2:$C$50000,C3100,全馬データ!$D$2:$D$50000,E3100,全馬データ!$K$2:$K$50000,"&lt;&gt;")=0,"",SUMIFS(全馬データ!$K$2:$K$50000,全馬データ!$A$2:$A$50000,A3100,全馬データ!$B$2:$B$50000,B3100,全馬データ!$C$2:$C$50000,C3100,全馬データ!$D$2:$D$50000,E3100)))</f>
        <v/>
      </c>
      <c r="AP3100" s="8" t="str">
        <f aca="false">IF(A3100="","",IF(AO3100="","欠損",IF(AO3100&lt;=1.1,"1.0～1.1",IF(AO3100&lt;1.3,"1.2",IF(AO3100&lt;1.5,"1.3～1.4",IF(AO3100&lt;2,"1.5～1.9","2.0以上"))))))</f>
        <v/>
      </c>
      <c r="AQ3100" s="8" t="str">
        <f aca="false">IF(A3100="","",IF(ISNUMBER(SEARCH("2歳",Z3100)),"2歳戦",IF(ISNUMBER(SEARCH("3歳未勝利",Z3100)),"3歳未勝利",IF(ISNUMBER(SEARCH("未勝利",Z3100)),"その他未勝利",IF(ISNUMBER(SEARCH("G1",Z3100)),"G1",IF(ISNUMBER(SEARCH("G2",Z3100)),"G2",IF(ISNUMBER(SEARCH("G3",Z3100)),"G3",IF(ISNUMBER(SEARCH("古馬条件",Z3100)),"古馬条件戦",IF(ISNUMBER(SEARCH("重賞",Z3100)),"重賞","分類不能")))))))))</f>
        <v/>
      </c>
    </row>
    <row r="3101" customFormat="false" ht="15.75" hidden="false" customHeight="false" outlineLevel="0" collapsed="false">
      <c r="AO3101" s="8" t="str">
        <f aca="false">IF(A3101="","",IF(COUNTIFS(全馬データ!$A$2:$A$50000,A3101,全馬データ!$B$2:$B$50000,B3101,全馬データ!$C$2:$C$50000,C3101,全馬データ!$D$2:$D$50000,E3101,全馬データ!$K$2:$K$50000,"&lt;&gt;")=0,"",SUMIFS(全馬データ!$K$2:$K$50000,全馬データ!$A$2:$A$50000,A3101,全馬データ!$B$2:$B$50000,B3101,全馬データ!$C$2:$C$50000,C3101,全馬データ!$D$2:$D$50000,E3101)))</f>
        <v/>
      </c>
      <c r="AP3101" s="8" t="str">
        <f aca="false">IF(A3101="","",IF(AO3101="","欠損",IF(AO3101&lt;=1.1,"1.0～1.1",IF(AO3101&lt;1.3,"1.2",IF(AO3101&lt;1.5,"1.3～1.4",IF(AO3101&lt;2,"1.5～1.9","2.0以上"))))))</f>
        <v/>
      </c>
      <c r="AQ3101" s="8" t="str">
        <f aca="false">IF(A3101="","",IF(ISNUMBER(SEARCH("2歳",Z3101)),"2歳戦",IF(ISNUMBER(SEARCH("3歳未勝利",Z3101)),"3歳未勝利",IF(ISNUMBER(SEARCH("未勝利",Z3101)),"その他未勝利",IF(ISNUMBER(SEARCH("G1",Z3101)),"G1",IF(ISNUMBER(SEARCH("G2",Z3101)),"G2",IF(ISNUMBER(SEARCH("G3",Z3101)),"G3",IF(ISNUMBER(SEARCH("古馬条件",Z3101)),"古馬条件戦",IF(ISNUMBER(SEARCH("重賞",Z3101)),"重賞","分類不能")))))))))</f>
        <v/>
      </c>
    </row>
    <row r="3102" customFormat="false" ht="15.75" hidden="false" customHeight="false" outlineLevel="0" collapsed="false">
      <c r="AO3102" s="8" t="str">
        <f aca="false">IF(A3102="","",IF(COUNTIFS(全馬データ!$A$2:$A$50000,A3102,全馬データ!$B$2:$B$50000,B3102,全馬データ!$C$2:$C$50000,C3102,全馬データ!$D$2:$D$50000,E3102,全馬データ!$K$2:$K$50000,"&lt;&gt;")=0,"",SUMIFS(全馬データ!$K$2:$K$50000,全馬データ!$A$2:$A$50000,A3102,全馬データ!$B$2:$B$50000,B3102,全馬データ!$C$2:$C$50000,C3102,全馬データ!$D$2:$D$50000,E3102)))</f>
        <v/>
      </c>
      <c r="AP3102" s="8" t="str">
        <f aca="false">IF(A3102="","",IF(AO3102="","欠損",IF(AO3102&lt;=1.1,"1.0～1.1",IF(AO3102&lt;1.3,"1.2",IF(AO3102&lt;1.5,"1.3～1.4",IF(AO3102&lt;2,"1.5～1.9","2.0以上"))))))</f>
        <v/>
      </c>
      <c r="AQ3102" s="8" t="str">
        <f aca="false">IF(A3102="","",IF(ISNUMBER(SEARCH("2歳",Z3102)),"2歳戦",IF(ISNUMBER(SEARCH("3歳未勝利",Z3102)),"3歳未勝利",IF(ISNUMBER(SEARCH("未勝利",Z3102)),"その他未勝利",IF(ISNUMBER(SEARCH("G1",Z3102)),"G1",IF(ISNUMBER(SEARCH("G2",Z3102)),"G2",IF(ISNUMBER(SEARCH("G3",Z3102)),"G3",IF(ISNUMBER(SEARCH("古馬条件",Z3102)),"古馬条件戦",IF(ISNUMBER(SEARCH("重賞",Z3102)),"重賞","分類不能")))))))))</f>
        <v/>
      </c>
    </row>
    <row r="3103" customFormat="false" ht="15.75" hidden="false" customHeight="false" outlineLevel="0" collapsed="false">
      <c r="AO3103" s="8" t="str">
        <f aca="false">IF(A3103="","",IF(COUNTIFS(全馬データ!$A$2:$A$50000,A3103,全馬データ!$B$2:$B$50000,B3103,全馬データ!$C$2:$C$50000,C3103,全馬データ!$D$2:$D$50000,E3103,全馬データ!$K$2:$K$50000,"&lt;&gt;")=0,"",SUMIFS(全馬データ!$K$2:$K$50000,全馬データ!$A$2:$A$50000,A3103,全馬データ!$B$2:$B$50000,B3103,全馬データ!$C$2:$C$50000,C3103,全馬データ!$D$2:$D$50000,E3103)))</f>
        <v/>
      </c>
      <c r="AP3103" s="8" t="str">
        <f aca="false">IF(A3103="","",IF(AO3103="","欠損",IF(AO3103&lt;=1.1,"1.0～1.1",IF(AO3103&lt;1.3,"1.2",IF(AO3103&lt;1.5,"1.3～1.4",IF(AO3103&lt;2,"1.5～1.9","2.0以上"))))))</f>
        <v/>
      </c>
      <c r="AQ3103" s="8" t="str">
        <f aca="false">IF(A3103="","",IF(ISNUMBER(SEARCH("2歳",Z3103)),"2歳戦",IF(ISNUMBER(SEARCH("3歳未勝利",Z3103)),"3歳未勝利",IF(ISNUMBER(SEARCH("未勝利",Z3103)),"その他未勝利",IF(ISNUMBER(SEARCH("G1",Z3103)),"G1",IF(ISNUMBER(SEARCH("G2",Z3103)),"G2",IF(ISNUMBER(SEARCH("G3",Z3103)),"G3",IF(ISNUMBER(SEARCH("古馬条件",Z3103)),"古馬条件戦",IF(ISNUMBER(SEARCH("重賞",Z3103)),"重賞","分類不能")))))))))</f>
        <v/>
      </c>
    </row>
    <row r="3104" customFormat="false" ht="15.75" hidden="false" customHeight="false" outlineLevel="0" collapsed="false">
      <c r="AO3104" s="8" t="str">
        <f aca="false">IF(A3104="","",IF(COUNTIFS(全馬データ!$A$2:$A$50000,A3104,全馬データ!$B$2:$B$50000,B3104,全馬データ!$C$2:$C$50000,C3104,全馬データ!$D$2:$D$50000,E3104,全馬データ!$K$2:$K$50000,"&lt;&gt;")=0,"",SUMIFS(全馬データ!$K$2:$K$50000,全馬データ!$A$2:$A$50000,A3104,全馬データ!$B$2:$B$50000,B3104,全馬データ!$C$2:$C$50000,C3104,全馬データ!$D$2:$D$50000,E3104)))</f>
        <v/>
      </c>
      <c r="AP3104" s="8" t="str">
        <f aca="false">IF(A3104="","",IF(AO3104="","欠損",IF(AO3104&lt;=1.1,"1.0～1.1",IF(AO3104&lt;1.3,"1.2",IF(AO3104&lt;1.5,"1.3～1.4",IF(AO3104&lt;2,"1.5～1.9","2.0以上"))))))</f>
        <v/>
      </c>
      <c r="AQ3104" s="8" t="str">
        <f aca="false">IF(A3104="","",IF(ISNUMBER(SEARCH("2歳",Z3104)),"2歳戦",IF(ISNUMBER(SEARCH("3歳未勝利",Z3104)),"3歳未勝利",IF(ISNUMBER(SEARCH("未勝利",Z3104)),"その他未勝利",IF(ISNUMBER(SEARCH("G1",Z3104)),"G1",IF(ISNUMBER(SEARCH("G2",Z3104)),"G2",IF(ISNUMBER(SEARCH("G3",Z3104)),"G3",IF(ISNUMBER(SEARCH("古馬条件",Z3104)),"古馬条件戦",IF(ISNUMBER(SEARCH("重賞",Z3104)),"重賞","分類不能")))))))))</f>
        <v/>
      </c>
    </row>
    <row r="3105" customFormat="false" ht="15.75" hidden="false" customHeight="false" outlineLevel="0" collapsed="false">
      <c r="AO3105" s="8" t="str">
        <f aca="false">IF(A3105="","",IF(COUNTIFS(全馬データ!$A$2:$A$50000,A3105,全馬データ!$B$2:$B$50000,B3105,全馬データ!$C$2:$C$50000,C3105,全馬データ!$D$2:$D$50000,E3105,全馬データ!$K$2:$K$50000,"&lt;&gt;")=0,"",SUMIFS(全馬データ!$K$2:$K$50000,全馬データ!$A$2:$A$50000,A3105,全馬データ!$B$2:$B$50000,B3105,全馬データ!$C$2:$C$50000,C3105,全馬データ!$D$2:$D$50000,E3105)))</f>
        <v/>
      </c>
      <c r="AP3105" s="8" t="str">
        <f aca="false">IF(A3105="","",IF(AO3105="","欠損",IF(AO3105&lt;=1.1,"1.0～1.1",IF(AO3105&lt;1.3,"1.2",IF(AO3105&lt;1.5,"1.3～1.4",IF(AO3105&lt;2,"1.5～1.9","2.0以上"))))))</f>
        <v/>
      </c>
      <c r="AQ3105" s="8" t="str">
        <f aca="false">IF(A3105="","",IF(ISNUMBER(SEARCH("2歳",Z3105)),"2歳戦",IF(ISNUMBER(SEARCH("3歳未勝利",Z3105)),"3歳未勝利",IF(ISNUMBER(SEARCH("未勝利",Z3105)),"その他未勝利",IF(ISNUMBER(SEARCH("G1",Z3105)),"G1",IF(ISNUMBER(SEARCH("G2",Z3105)),"G2",IF(ISNUMBER(SEARCH("G3",Z3105)),"G3",IF(ISNUMBER(SEARCH("古馬条件",Z3105)),"古馬条件戦",IF(ISNUMBER(SEARCH("重賞",Z3105)),"重賞","分類不能")))))))))</f>
        <v/>
      </c>
    </row>
    <row r="3106" customFormat="false" ht="15.75" hidden="false" customHeight="false" outlineLevel="0" collapsed="false">
      <c r="AO3106" s="8" t="str">
        <f aca="false">IF(A3106="","",IF(COUNTIFS(全馬データ!$A$2:$A$50000,A3106,全馬データ!$B$2:$B$50000,B3106,全馬データ!$C$2:$C$50000,C3106,全馬データ!$D$2:$D$50000,E3106,全馬データ!$K$2:$K$50000,"&lt;&gt;")=0,"",SUMIFS(全馬データ!$K$2:$K$50000,全馬データ!$A$2:$A$50000,A3106,全馬データ!$B$2:$B$50000,B3106,全馬データ!$C$2:$C$50000,C3106,全馬データ!$D$2:$D$50000,E3106)))</f>
        <v/>
      </c>
      <c r="AP3106" s="8" t="str">
        <f aca="false">IF(A3106="","",IF(AO3106="","欠損",IF(AO3106&lt;=1.1,"1.0～1.1",IF(AO3106&lt;1.3,"1.2",IF(AO3106&lt;1.5,"1.3～1.4",IF(AO3106&lt;2,"1.5～1.9","2.0以上"))))))</f>
        <v/>
      </c>
      <c r="AQ3106" s="8" t="str">
        <f aca="false">IF(A3106="","",IF(ISNUMBER(SEARCH("2歳",Z3106)),"2歳戦",IF(ISNUMBER(SEARCH("3歳未勝利",Z3106)),"3歳未勝利",IF(ISNUMBER(SEARCH("未勝利",Z3106)),"その他未勝利",IF(ISNUMBER(SEARCH("G1",Z3106)),"G1",IF(ISNUMBER(SEARCH("G2",Z3106)),"G2",IF(ISNUMBER(SEARCH("G3",Z3106)),"G3",IF(ISNUMBER(SEARCH("古馬条件",Z3106)),"古馬条件戦",IF(ISNUMBER(SEARCH("重賞",Z3106)),"重賞","分類不能")))))))))</f>
        <v/>
      </c>
    </row>
    <row r="3107" customFormat="false" ht="15.75" hidden="false" customHeight="false" outlineLevel="0" collapsed="false">
      <c r="AO3107" s="8" t="str">
        <f aca="false">IF(A3107="","",IF(COUNTIFS(全馬データ!$A$2:$A$50000,A3107,全馬データ!$B$2:$B$50000,B3107,全馬データ!$C$2:$C$50000,C3107,全馬データ!$D$2:$D$50000,E3107,全馬データ!$K$2:$K$50000,"&lt;&gt;")=0,"",SUMIFS(全馬データ!$K$2:$K$50000,全馬データ!$A$2:$A$50000,A3107,全馬データ!$B$2:$B$50000,B3107,全馬データ!$C$2:$C$50000,C3107,全馬データ!$D$2:$D$50000,E3107)))</f>
        <v/>
      </c>
      <c r="AP3107" s="8" t="str">
        <f aca="false">IF(A3107="","",IF(AO3107="","欠損",IF(AO3107&lt;=1.1,"1.0～1.1",IF(AO3107&lt;1.3,"1.2",IF(AO3107&lt;1.5,"1.3～1.4",IF(AO3107&lt;2,"1.5～1.9","2.0以上"))))))</f>
        <v/>
      </c>
      <c r="AQ3107" s="8" t="str">
        <f aca="false">IF(A3107="","",IF(ISNUMBER(SEARCH("2歳",Z3107)),"2歳戦",IF(ISNUMBER(SEARCH("3歳未勝利",Z3107)),"3歳未勝利",IF(ISNUMBER(SEARCH("未勝利",Z3107)),"その他未勝利",IF(ISNUMBER(SEARCH("G1",Z3107)),"G1",IF(ISNUMBER(SEARCH("G2",Z3107)),"G2",IF(ISNUMBER(SEARCH("G3",Z3107)),"G3",IF(ISNUMBER(SEARCH("古馬条件",Z3107)),"古馬条件戦",IF(ISNUMBER(SEARCH("重賞",Z3107)),"重賞","分類不能")))))))))</f>
        <v/>
      </c>
    </row>
    <row r="3108" customFormat="false" ht="15.75" hidden="false" customHeight="false" outlineLevel="0" collapsed="false">
      <c r="AO3108" s="8" t="str">
        <f aca="false">IF(A3108="","",IF(COUNTIFS(全馬データ!$A$2:$A$50000,A3108,全馬データ!$B$2:$B$50000,B3108,全馬データ!$C$2:$C$50000,C3108,全馬データ!$D$2:$D$50000,E3108,全馬データ!$K$2:$K$50000,"&lt;&gt;")=0,"",SUMIFS(全馬データ!$K$2:$K$50000,全馬データ!$A$2:$A$50000,A3108,全馬データ!$B$2:$B$50000,B3108,全馬データ!$C$2:$C$50000,C3108,全馬データ!$D$2:$D$50000,E3108)))</f>
        <v/>
      </c>
      <c r="AP3108" s="8" t="str">
        <f aca="false">IF(A3108="","",IF(AO3108="","欠損",IF(AO3108&lt;=1.1,"1.0～1.1",IF(AO3108&lt;1.3,"1.2",IF(AO3108&lt;1.5,"1.3～1.4",IF(AO3108&lt;2,"1.5～1.9","2.0以上"))))))</f>
        <v/>
      </c>
      <c r="AQ3108" s="8" t="str">
        <f aca="false">IF(A3108="","",IF(ISNUMBER(SEARCH("2歳",Z3108)),"2歳戦",IF(ISNUMBER(SEARCH("3歳未勝利",Z3108)),"3歳未勝利",IF(ISNUMBER(SEARCH("未勝利",Z3108)),"その他未勝利",IF(ISNUMBER(SEARCH("G1",Z3108)),"G1",IF(ISNUMBER(SEARCH("G2",Z3108)),"G2",IF(ISNUMBER(SEARCH("G3",Z3108)),"G3",IF(ISNUMBER(SEARCH("古馬条件",Z3108)),"古馬条件戦",IF(ISNUMBER(SEARCH("重賞",Z3108)),"重賞","分類不能")))))))))</f>
        <v/>
      </c>
    </row>
    <row r="3109" customFormat="false" ht="15.75" hidden="false" customHeight="false" outlineLevel="0" collapsed="false">
      <c r="AO3109" s="8" t="str">
        <f aca="false">IF(A3109="","",IF(COUNTIFS(全馬データ!$A$2:$A$50000,A3109,全馬データ!$B$2:$B$50000,B3109,全馬データ!$C$2:$C$50000,C3109,全馬データ!$D$2:$D$50000,E3109,全馬データ!$K$2:$K$50000,"&lt;&gt;")=0,"",SUMIFS(全馬データ!$K$2:$K$50000,全馬データ!$A$2:$A$50000,A3109,全馬データ!$B$2:$B$50000,B3109,全馬データ!$C$2:$C$50000,C3109,全馬データ!$D$2:$D$50000,E3109)))</f>
        <v/>
      </c>
      <c r="AP3109" s="8" t="str">
        <f aca="false">IF(A3109="","",IF(AO3109="","欠損",IF(AO3109&lt;=1.1,"1.0～1.1",IF(AO3109&lt;1.3,"1.2",IF(AO3109&lt;1.5,"1.3～1.4",IF(AO3109&lt;2,"1.5～1.9","2.0以上"))))))</f>
        <v/>
      </c>
      <c r="AQ3109" s="8" t="str">
        <f aca="false">IF(A3109="","",IF(ISNUMBER(SEARCH("2歳",Z3109)),"2歳戦",IF(ISNUMBER(SEARCH("3歳未勝利",Z3109)),"3歳未勝利",IF(ISNUMBER(SEARCH("未勝利",Z3109)),"その他未勝利",IF(ISNUMBER(SEARCH("G1",Z3109)),"G1",IF(ISNUMBER(SEARCH("G2",Z3109)),"G2",IF(ISNUMBER(SEARCH("G3",Z3109)),"G3",IF(ISNUMBER(SEARCH("古馬条件",Z3109)),"古馬条件戦",IF(ISNUMBER(SEARCH("重賞",Z3109)),"重賞","分類不能")))))))))</f>
        <v/>
      </c>
    </row>
    <row r="3110" customFormat="false" ht="15.75" hidden="false" customHeight="false" outlineLevel="0" collapsed="false">
      <c r="AO3110" s="8" t="str">
        <f aca="false">IF(A3110="","",IF(COUNTIFS(全馬データ!$A$2:$A$50000,A3110,全馬データ!$B$2:$B$50000,B3110,全馬データ!$C$2:$C$50000,C3110,全馬データ!$D$2:$D$50000,E3110,全馬データ!$K$2:$K$50000,"&lt;&gt;")=0,"",SUMIFS(全馬データ!$K$2:$K$50000,全馬データ!$A$2:$A$50000,A3110,全馬データ!$B$2:$B$50000,B3110,全馬データ!$C$2:$C$50000,C3110,全馬データ!$D$2:$D$50000,E3110)))</f>
        <v/>
      </c>
      <c r="AP3110" s="8" t="str">
        <f aca="false">IF(A3110="","",IF(AO3110="","欠損",IF(AO3110&lt;=1.1,"1.0～1.1",IF(AO3110&lt;1.3,"1.2",IF(AO3110&lt;1.5,"1.3～1.4",IF(AO3110&lt;2,"1.5～1.9","2.0以上"))))))</f>
        <v/>
      </c>
      <c r="AQ3110" s="8" t="str">
        <f aca="false">IF(A3110="","",IF(ISNUMBER(SEARCH("2歳",Z3110)),"2歳戦",IF(ISNUMBER(SEARCH("3歳未勝利",Z3110)),"3歳未勝利",IF(ISNUMBER(SEARCH("未勝利",Z3110)),"その他未勝利",IF(ISNUMBER(SEARCH("G1",Z3110)),"G1",IF(ISNUMBER(SEARCH("G2",Z3110)),"G2",IF(ISNUMBER(SEARCH("G3",Z3110)),"G3",IF(ISNUMBER(SEARCH("古馬条件",Z3110)),"古馬条件戦",IF(ISNUMBER(SEARCH("重賞",Z3110)),"重賞","分類不能")))))))))</f>
        <v/>
      </c>
    </row>
    <row r="3111" customFormat="false" ht="15.75" hidden="false" customHeight="false" outlineLevel="0" collapsed="false">
      <c r="AO3111" s="8" t="str">
        <f aca="false">IF(A3111="","",IF(COUNTIFS(全馬データ!$A$2:$A$50000,A3111,全馬データ!$B$2:$B$50000,B3111,全馬データ!$C$2:$C$50000,C3111,全馬データ!$D$2:$D$50000,E3111,全馬データ!$K$2:$K$50000,"&lt;&gt;")=0,"",SUMIFS(全馬データ!$K$2:$K$50000,全馬データ!$A$2:$A$50000,A3111,全馬データ!$B$2:$B$50000,B3111,全馬データ!$C$2:$C$50000,C3111,全馬データ!$D$2:$D$50000,E3111)))</f>
        <v/>
      </c>
      <c r="AP3111" s="8" t="str">
        <f aca="false">IF(A3111="","",IF(AO3111="","欠損",IF(AO3111&lt;=1.1,"1.0～1.1",IF(AO3111&lt;1.3,"1.2",IF(AO3111&lt;1.5,"1.3～1.4",IF(AO3111&lt;2,"1.5～1.9","2.0以上"))))))</f>
        <v/>
      </c>
      <c r="AQ3111" s="8" t="str">
        <f aca="false">IF(A3111="","",IF(ISNUMBER(SEARCH("2歳",Z3111)),"2歳戦",IF(ISNUMBER(SEARCH("3歳未勝利",Z3111)),"3歳未勝利",IF(ISNUMBER(SEARCH("未勝利",Z3111)),"その他未勝利",IF(ISNUMBER(SEARCH("G1",Z3111)),"G1",IF(ISNUMBER(SEARCH("G2",Z3111)),"G2",IF(ISNUMBER(SEARCH("G3",Z3111)),"G3",IF(ISNUMBER(SEARCH("古馬条件",Z3111)),"古馬条件戦",IF(ISNUMBER(SEARCH("重賞",Z3111)),"重賞","分類不能")))))))))</f>
        <v/>
      </c>
    </row>
    <row r="3112" customFormat="false" ht="15.75" hidden="false" customHeight="false" outlineLevel="0" collapsed="false">
      <c r="AO3112" s="8" t="str">
        <f aca="false">IF(A3112="","",IF(COUNTIFS(全馬データ!$A$2:$A$50000,A3112,全馬データ!$B$2:$B$50000,B3112,全馬データ!$C$2:$C$50000,C3112,全馬データ!$D$2:$D$50000,E3112,全馬データ!$K$2:$K$50000,"&lt;&gt;")=0,"",SUMIFS(全馬データ!$K$2:$K$50000,全馬データ!$A$2:$A$50000,A3112,全馬データ!$B$2:$B$50000,B3112,全馬データ!$C$2:$C$50000,C3112,全馬データ!$D$2:$D$50000,E3112)))</f>
        <v/>
      </c>
      <c r="AP3112" s="8" t="str">
        <f aca="false">IF(A3112="","",IF(AO3112="","欠損",IF(AO3112&lt;=1.1,"1.0～1.1",IF(AO3112&lt;1.3,"1.2",IF(AO3112&lt;1.5,"1.3～1.4",IF(AO3112&lt;2,"1.5～1.9","2.0以上"))))))</f>
        <v/>
      </c>
      <c r="AQ3112" s="8" t="str">
        <f aca="false">IF(A3112="","",IF(ISNUMBER(SEARCH("2歳",Z3112)),"2歳戦",IF(ISNUMBER(SEARCH("3歳未勝利",Z3112)),"3歳未勝利",IF(ISNUMBER(SEARCH("未勝利",Z3112)),"その他未勝利",IF(ISNUMBER(SEARCH("G1",Z3112)),"G1",IF(ISNUMBER(SEARCH("G2",Z3112)),"G2",IF(ISNUMBER(SEARCH("G3",Z3112)),"G3",IF(ISNUMBER(SEARCH("古馬条件",Z3112)),"古馬条件戦",IF(ISNUMBER(SEARCH("重賞",Z3112)),"重賞","分類不能")))))))))</f>
        <v/>
      </c>
    </row>
    <row r="3113" customFormat="false" ht="15.75" hidden="false" customHeight="false" outlineLevel="0" collapsed="false">
      <c r="AO3113" s="8" t="str">
        <f aca="false">IF(A3113="","",IF(COUNTIFS(全馬データ!$A$2:$A$50000,A3113,全馬データ!$B$2:$B$50000,B3113,全馬データ!$C$2:$C$50000,C3113,全馬データ!$D$2:$D$50000,E3113,全馬データ!$K$2:$K$50000,"&lt;&gt;")=0,"",SUMIFS(全馬データ!$K$2:$K$50000,全馬データ!$A$2:$A$50000,A3113,全馬データ!$B$2:$B$50000,B3113,全馬データ!$C$2:$C$50000,C3113,全馬データ!$D$2:$D$50000,E3113)))</f>
        <v/>
      </c>
      <c r="AP3113" s="8" t="str">
        <f aca="false">IF(A3113="","",IF(AO3113="","欠損",IF(AO3113&lt;=1.1,"1.0～1.1",IF(AO3113&lt;1.3,"1.2",IF(AO3113&lt;1.5,"1.3～1.4",IF(AO3113&lt;2,"1.5～1.9","2.0以上"))))))</f>
        <v/>
      </c>
      <c r="AQ3113" s="8" t="str">
        <f aca="false">IF(A3113="","",IF(ISNUMBER(SEARCH("2歳",Z3113)),"2歳戦",IF(ISNUMBER(SEARCH("3歳未勝利",Z3113)),"3歳未勝利",IF(ISNUMBER(SEARCH("未勝利",Z3113)),"その他未勝利",IF(ISNUMBER(SEARCH("G1",Z3113)),"G1",IF(ISNUMBER(SEARCH("G2",Z3113)),"G2",IF(ISNUMBER(SEARCH("G3",Z3113)),"G3",IF(ISNUMBER(SEARCH("古馬条件",Z3113)),"古馬条件戦",IF(ISNUMBER(SEARCH("重賞",Z3113)),"重賞","分類不能")))))))))</f>
        <v/>
      </c>
    </row>
    <row r="3114" customFormat="false" ht="15.75" hidden="false" customHeight="false" outlineLevel="0" collapsed="false">
      <c r="AO3114" s="8" t="str">
        <f aca="false">IF(A3114="","",IF(COUNTIFS(全馬データ!$A$2:$A$50000,A3114,全馬データ!$B$2:$B$50000,B3114,全馬データ!$C$2:$C$50000,C3114,全馬データ!$D$2:$D$50000,E3114,全馬データ!$K$2:$K$50000,"&lt;&gt;")=0,"",SUMIFS(全馬データ!$K$2:$K$50000,全馬データ!$A$2:$A$50000,A3114,全馬データ!$B$2:$B$50000,B3114,全馬データ!$C$2:$C$50000,C3114,全馬データ!$D$2:$D$50000,E3114)))</f>
        <v/>
      </c>
      <c r="AP3114" s="8" t="str">
        <f aca="false">IF(A3114="","",IF(AO3114="","欠損",IF(AO3114&lt;=1.1,"1.0～1.1",IF(AO3114&lt;1.3,"1.2",IF(AO3114&lt;1.5,"1.3～1.4",IF(AO3114&lt;2,"1.5～1.9","2.0以上"))))))</f>
        <v/>
      </c>
      <c r="AQ3114" s="8" t="str">
        <f aca="false">IF(A3114="","",IF(ISNUMBER(SEARCH("2歳",Z3114)),"2歳戦",IF(ISNUMBER(SEARCH("3歳未勝利",Z3114)),"3歳未勝利",IF(ISNUMBER(SEARCH("未勝利",Z3114)),"その他未勝利",IF(ISNUMBER(SEARCH("G1",Z3114)),"G1",IF(ISNUMBER(SEARCH("G2",Z3114)),"G2",IF(ISNUMBER(SEARCH("G3",Z3114)),"G3",IF(ISNUMBER(SEARCH("古馬条件",Z3114)),"古馬条件戦",IF(ISNUMBER(SEARCH("重賞",Z3114)),"重賞","分類不能")))))))))</f>
        <v/>
      </c>
    </row>
    <row r="3115" customFormat="false" ht="15.75" hidden="false" customHeight="false" outlineLevel="0" collapsed="false">
      <c r="AO3115" s="8" t="str">
        <f aca="false">IF(A3115="","",IF(COUNTIFS(全馬データ!$A$2:$A$50000,A3115,全馬データ!$B$2:$B$50000,B3115,全馬データ!$C$2:$C$50000,C3115,全馬データ!$D$2:$D$50000,E3115,全馬データ!$K$2:$K$50000,"&lt;&gt;")=0,"",SUMIFS(全馬データ!$K$2:$K$50000,全馬データ!$A$2:$A$50000,A3115,全馬データ!$B$2:$B$50000,B3115,全馬データ!$C$2:$C$50000,C3115,全馬データ!$D$2:$D$50000,E3115)))</f>
        <v/>
      </c>
      <c r="AP3115" s="8" t="str">
        <f aca="false">IF(A3115="","",IF(AO3115="","欠損",IF(AO3115&lt;=1.1,"1.0～1.1",IF(AO3115&lt;1.3,"1.2",IF(AO3115&lt;1.5,"1.3～1.4",IF(AO3115&lt;2,"1.5～1.9","2.0以上"))))))</f>
        <v/>
      </c>
      <c r="AQ3115" s="8" t="str">
        <f aca="false">IF(A3115="","",IF(ISNUMBER(SEARCH("2歳",Z3115)),"2歳戦",IF(ISNUMBER(SEARCH("3歳未勝利",Z3115)),"3歳未勝利",IF(ISNUMBER(SEARCH("未勝利",Z3115)),"その他未勝利",IF(ISNUMBER(SEARCH("G1",Z3115)),"G1",IF(ISNUMBER(SEARCH("G2",Z3115)),"G2",IF(ISNUMBER(SEARCH("G3",Z3115)),"G3",IF(ISNUMBER(SEARCH("古馬条件",Z3115)),"古馬条件戦",IF(ISNUMBER(SEARCH("重賞",Z3115)),"重賞","分類不能")))))))))</f>
        <v/>
      </c>
    </row>
    <row r="3116" customFormat="false" ht="15.75" hidden="false" customHeight="false" outlineLevel="0" collapsed="false">
      <c r="AO3116" s="8" t="str">
        <f aca="false">IF(A3116="","",IF(COUNTIFS(全馬データ!$A$2:$A$50000,A3116,全馬データ!$B$2:$B$50000,B3116,全馬データ!$C$2:$C$50000,C3116,全馬データ!$D$2:$D$50000,E3116,全馬データ!$K$2:$K$50000,"&lt;&gt;")=0,"",SUMIFS(全馬データ!$K$2:$K$50000,全馬データ!$A$2:$A$50000,A3116,全馬データ!$B$2:$B$50000,B3116,全馬データ!$C$2:$C$50000,C3116,全馬データ!$D$2:$D$50000,E3116)))</f>
        <v/>
      </c>
      <c r="AP3116" s="8" t="str">
        <f aca="false">IF(A3116="","",IF(AO3116="","欠損",IF(AO3116&lt;=1.1,"1.0～1.1",IF(AO3116&lt;1.3,"1.2",IF(AO3116&lt;1.5,"1.3～1.4",IF(AO3116&lt;2,"1.5～1.9","2.0以上"))))))</f>
        <v/>
      </c>
      <c r="AQ3116" s="8" t="str">
        <f aca="false">IF(A3116="","",IF(ISNUMBER(SEARCH("2歳",Z3116)),"2歳戦",IF(ISNUMBER(SEARCH("3歳未勝利",Z3116)),"3歳未勝利",IF(ISNUMBER(SEARCH("未勝利",Z3116)),"その他未勝利",IF(ISNUMBER(SEARCH("G1",Z3116)),"G1",IF(ISNUMBER(SEARCH("G2",Z3116)),"G2",IF(ISNUMBER(SEARCH("G3",Z3116)),"G3",IF(ISNUMBER(SEARCH("古馬条件",Z3116)),"古馬条件戦",IF(ISNUMBER(SEARCH("重賞",Z3116)),"重賞","分類不能")))))))))</f>
        <v/>
      </c>
    </row>
    <row r="3117" customFormat="false" ht="15.75" hidden="false" customHeight="false" outlineLevel="0" collapsed="false">
      <c r="AO3117" s="8" t="str">
        <f aca="false">IF(A3117="","",IF(COUNTIFS(全馬データ!$A$2:$A$50000,A3117,全馬データ!$B$2:$B$50000,B3117,全馬データ!$C$2:$C$50000,C3117,全馬データ!$D$2:$D$50000,E3117,全馬データ!$K$2:$K$50000,"&lt;&gt;")=0,"",SUMIFS(全馬データ!$K$2:$K$50000,全馬データ!$A$2:$A$50000,A3117,全馬データ!$B$2:$B$50000,B3117,全馬データ!$C$2:$C$50000,C3117,全馬データ!$D$2:$D$50000,E3117)))</f>
        <v/>
      </c>
      <c r="AP3117" s="8" t="str">
        <f aca="false">IF(A3117="","",IF(AO3117="","欠損",IF(AO3117&lt;=1.1,"1.0～1.1",IF(AO3117&lt;1.3,"1.2",IF(AO3117&lt;1.5,"1.3～1.4",IF(AO3117&lt;2,"1.5～1.9","2.0以上"))))))</f>
        <v/>
      </c>
      <c r="AQ3117" s="8" t="str">
        <f aca="false">IF(A3117="","",IF(ISNUMBER(SEARCH("2歳",Z3117)),"2歳戦",IF(ISNUMBER(SEARCH("3歳未勝利",Z3117)),"3歳未勝利",IF(ISNUMBER(SEARCH("未勝利",Z3117)),"その他未勝利",IF(ISNUMBER(SEARCH("G1",Z3117)),"G1",IF(ISNUMBER(SEARCH("G2",Z3117)),"G2",IF(ISNUMBER(SEARCH("G3",Z3117)),"G3",IF(ISNUMBER(SEARCH("古馬条件",Z3117)),"古馬条件戦",IF(ISNUMBER(SEARCH("重賞",Z3117)),"重賞","分類不能")))))))))</f>
        <v/>
      </c>
    </row>
    <row r="3118" customFormat="false" ht="15.75" hidden="false" customHeight="false" outlineLevel="0" collapsed="false">
      <c r="AO3118" s="8" t="str">
        <f aca="false">IF(A3118="","",IF(COUNTIFS(全馬データ!$A$2:$A$50000,A3118,全馬データ!$B$2:$B$50000,B3118,全馬データ!$C$2:$C$50000,C3118,全馬データ!$D$2:$D$50000,E3118,全馬データ!$K$2:$K$50000,"&lt;&gt;")=0,"",SUMIFS(全馬データ!$K$2:$K$50000,全馬データ!$A$2:$A$50000,A3118,全馬データ!$B$2:$B$50000,B3118,全馬データ!$C$2:$C$50000,C3118,全馬データ!$D$2:$D$50000,E3118)))</f>
        <v/>
      </c>
      <c r="AP3118" s="8" t="str">
        <f aca="false">IF(A3118="","",IF(AO3118="","欠損",IF(AO3118&lt;=1.1,"1.0～1.1",IF(AO3118&lt;1.3,"1.2",IF(AO3118&lt;1.5,"1.3～1.4",IF(AO3118&lt;2,"1.5～1.9","2.0以上"))))))</f>
        <v/>
      </c>
      <c r="AQ3118" s="8" t="str">
        <f aca="false">IF(A3118="","",IF(ISNUMBER(SEARCH("2歳",Z3118)),"2歳戦",IF(ISNUMBER(SEARCH("3歳未勝利",Z3118)),"3歳未勝利",IF(ISNUMBER(SEARCH("未勝利",Z3118)),"その他未勝利",IF(ISNUMBER(SEARCH("G1",Z3118)),"G1",IF(ISNUMBER(SEARCH("G2",Z3118)),"G2",IF(ISNUMBER(SEARCH("G3",Z3118)),"G3",IF(ISNUMBER(SEARCH("古馬条件",Z3118)),"古馬条件戦",IF(ISNUMBER(SEARCH("重賞",Z3118)),"重賞","分類不能")))))))))</f>
        <v/>
      </c>
    </row>
    <row r="3119" customFormat="false" ht="15.75" hidden="false" customHeight="false" outlineLevel="0" collapsed="false">
      <c r="AO3119" s="8" t="str">
        <f aca="false">IF(A3119="","",IF(COUNTIFS(全馬データ!$A$2:$A$50000,A3119,全馬データ!$B$2:$B$50000,B3119,全馬データ!$C$2:$C$50000,C3119,全馬データ!$D$2:$D$50000,E3119,全馬データ!$K$2:$K$50000,"&lt;&gt;")=0,"",SUMIFS(全馬データ!$K$2:$K$50000,全馬データ!$A$2:$A$50000,A3119,全馬データ!$B$2:$B$50000,B3119,全馬データ!$C$2:$C$50000,C3119,全馬データ!$D$2:$D$50000,E3119)))</f>
        <v/>
      </c>
      <c r="AP3119" s="8" t="str">
        <f aca="false">IF(A3119="","",IF(AO3119="","欠損",IF(AO3119&lt;=1.1,"1.0～1.1",IF(AO3119&lt;1.3,"1.2",IF(AO3119&lt;1.5,"1.3～1.4",IF(AO3119&lt;2,"1.5～1.9","2.0以上"))))))</f>
        <v/>
      </c>
      <c r="AQ3119" s="8" t="str">
        <f aca="false">IF(A3119="","",IF(ISNUMBER(SEARCH("2歳",Z3119)),"2歳戦",IF(ISNUMBER(SEARCH("3歳未勝利",Z3119)),"3歳未勝利",IF(ISNUMBER(SEARCH("未勝利",Z3119)),"その他未勝利",IF(ISNUMBER(SEARCH("G1",Z3119)),"G1",IF(ISNUMBER(SEARCH("G2",Z3119)),"G2",IF(ISNUMBER(SEARCH("G3",Z3119)),"G3",IF(ISNUMBER(SEARCH("古馬条件",Z3119)),"古馬条件戦",IF(ISNUMBER(SEARCH("重賞",Z3119)),"重賞","分類不能")))))))))</f>
        <v/>
      </c>
    </row>
    <row r="3120" customFormat="false" ht="15.75" hidden="false" customHeight="false" outlineLevel="0" collapsed="false">
      <c r="AO3120" s="8" t="str">
        <f aca="false">IF(A3120="","",IF(COUNTIFS(全馬データ!$A$2:$A$50000,A3120,全馬データ!$B$2:$B$50000,B3120,全馬データ!$C$2:$C$50000,C3120,全馬データ!$D$2:$D$50000,E3120,全馬データ!$K$2:$K$50000,"&lt;&gt;")=0,"",SUMIFS(全馬データ!$K$2:$K$50000,全馬データ!$A$2:$A$50000,A3120,全馬データ!$B$2:$B$50000,B3120,全馬データ!$C$2:$C$50000,C3120,全馬データ!$D$2:$D$50000,E3120)))</f>
        <v/>
      </c>
      <c r="AP3120" s="8" t="str">
        <f aca="false">IF(A3120="","",IF(AO3120="","欠損",IF(AO3120&lt;=1.1,"1.0～1.1",IF(AO3120&lt;1.3,"1.2",IF(AO3120&lt;1.5,"1.3～1.4",IF(AO3120&lt;2,"1.5～1.9","2.0以上"))))))</f>
        <v/>
      </c>
      <c r="AQ3120" s="8" t="str">
        <f aca="false">IF(A3120="","",IF(ISNUMBER(SEARCH("2歳",Z3120)),"2歳戦",IF(ISNUMBER(SEARCH("3歳未勝利",Z3120)),"3歳未勝利",IF(ISNUMBER(SEARCH("未勝利",Z3120)),"その他未勝利",IF(ISNUMBER(SEARCH("G1",Z3120)),"G1",IF(ISNUMBER(SEARCH("G2",Z3120)),"G2",IF(ISNUMBER(SEARCH("G3",Z3120)),"G3",IF(ISNUMBER(SEARCH("古馬条件",Z3120)),"古馬条件戦",IF(ISNUMBER(SEARCH("重賞",Z3120)),"重賞","分類不能")))))))))</f>
        <v/>
      </c>
    </row>
    <row r="3121" customFormat="false" ht="15.75" hidden="false" customHeight="false" outlineLevel="0" collapsed="false">
      <c r="AO3121" s="8" t="str">
        <f aca="false">IF(A3121="","",IF(COUNTIFS(全馬データ!$A$2:$A$50000,A3121,全馬データ!$B$2:$B$50000,B3121,全馬データ!$C$2:$C$50000,C3121,全馬データ!$D$2:$D$50000,E3121,全馬データ!$K$2:$K$50000,"&lt;&gt;")=0,"",SUMIFS(全馬データ!$K$2:$K$50000,全馬データ!$A$2:$A$50000,A3121,全馬データ!$B$2:$B$50000,B3121,全馬データ!$C$2:$C$50000,C3121,全馬データ!$D$2:$D$50000,E3121)))</f>
        <v/>
      </c>
      <c r="AP3121" s="8" t="str">
        <f aca="false">IF(A3121="","",IF(AO3121="","欠損",IF(AO3121&lt;=1.1,"1.0～1.1",IF(AO3121&lt;1.3,"1.2",IF(AO3121&lt;1.5,"1.3～1.4",IF(AO3121&lt;2,"1.5～1.9","2.0以上"))))))</f>
        <v/>
      </c>
      <c r="AQ3121" s="8" t="str">
        <f aca="false">IF(A3121="","",IF(ISNUMBER(SEARCH("2歳",Z3121)),"2歳戦",IF(ISNUMBER(SEARCH("3歳未勝利",Z3121)),"3歳未勝利",IF(ISNUMBER(SEARCH("未勝利",Z3121)),"その他未勝利",IF(ISNUMBER(SEARCH("G1",Z3121)),"G1",IF(ISNUMBER(SEARCH("G2",Z3121)),"G2",IF(ISNUMBER(SEARCH("G3",Z3121)),"G3",IF(ISNUMBER(SEARCH("古馬条件",Z3121)),"古馬条件戦",IF(ISNUMBER(SEARCH("重賞",Z3121)),"重賞","分類不能")))))))))</f>
        <v/>
      </c>
    </row>
    <row r="3122" customFormat="false" ht="15.75" hidden="false" customHeight="false" outlineLevel="0" collapsed="false">
      <c r="AO3122" s="8" t="str">
        <f aca="false">IF(A3122="","",IF(COUNTIFS(全馬データ!$A$2:$A$50000,A3122,全馬データ!$B$2:$B$50000,B3122,全馬データ!$C$2:$C$50000,C3122,全馬データ!$D$2:$D$50000,E3122,全馬データ!$K$2:$K$50000,"&lt;&gt;")=0,"",SUMIFS(全馬データ!$K$2:$K$50000,全馬データ!$A$2:$A$50000,A3122,全馬データ!$B$2:$B$50000,B3122,全馬データ!$C$2:$C$50000,C3122,全馬データ!$D$2:$D$50000,E3122)))</f>
        <v/>
      </c>
      <c r="AP3122" s="8" t="str">
        <f aca="false">IF(A3122="","",IF(AO3122="","欠損",IF(AO3122&lt;=1.1,"1.0～1.1",IF(AO3122&lt;1.3,"1.2",IF(AO3122&lt;1.5,"1.3～1.4",IF(AO3122&lt;2,"1.5～1.9","2.0以上"))))))</f>
        <v/>
      </c>
      <c r="AQ3122" s="8" t="str">
        <f aca="false">IF(A3122="","",IF(ISNUMBER(SEARCH("2歳",Z3122)),"2歳戦",IF(ISNUMBER(SEARCH("3歳未勝利",Z3122)),"3歳未勝利",IF(ISNUMBER(SEARCH("未勝利",Z3122)),"その他未勝利",IF(ISNUMBER(SEARCH("G1",Z3122)),"G1",IF(ISNUMBER(SEARCH("G2",Z3122)),"G2",IF(ISNUMBER(SEARCH("G3",Z3122)),"G3",IF(ISNUMBER(SEARCH("古馬条件",Z3122)),"古馬条件戦",IF(ISNUMBER(SEARCH("重賞",Z3122)),"重賞","分類不能")))))))))</f>
        <v/>
      </c>
    </row>
    <row r="3123" customFormat="false" ht="15.75" hidden="false" customHeight="false" outlineLevel="0" collapsed="false">
      <c r="AO3123" s="8" t="str">
        <f aca="false">IF(A3123="","",IF(COUNTIFS(全馬データ!$A$2:$A$50000,A3123,全馬データ!$B$2:$B$50000,B3123,全馬データ!$C$2:$C$50000,C3123,全馬データ!$D$2:$D$50000,E3123,全馬データ!$K$2:$K$50000,"&lt;&gt;")=0,"",SUMIFS(全馬データ!$K$2:$K$50000,全馬データ!$A$2:$A$50000,A3123,全馬データ!$B$2:$B$50000,B3123,全馬データ!$C$2:$C$50000,C3123,全馬データ!$D$2:$D$50000,E3123)))</f>
        <v/>
      </c>
      <c r="AP3123" s="8" t="str">
        <f aca="false">IF(A3123="","",IF(AO3123="","欠損",IF(AO3123&lt;=1.1,"1.0～1.1",IF(AO3123&lt;1.3,"1.2",IF(AO3123&lt;1.5,"1.3～1.4",IF(AO3123&lt;2,"1.5～1.9","2.0以上"))))))</f>
        <v/>
      </c>
      <c r="AQ3123" s="8" t="str">
        <f aca="false">IF(A3123="","",IF(ISNUMBER(SEARCH("2歳",Z3123)),"2歳戦",IF(ISNUMBER(SEARCH("3歳未勝利",Z3123)),"3歳未勝利",IF(ISNUMBER(SEARCH("未勝利",Z3123)),"その他未勝利",IF(ISNUMBER(SEARCH("G1",Z3123)),"G1",IF(ISNUMBER(SEARCH("G2",Z3123)),"G2",IF(ISNUMBER(SEARCH("G3",Z3123)),"G3",IF(ISNUMBER(SEARCH("古馬条件",Z3123)),"古馬条件戦",IF(ISNUMBER(SEARCH("重賞",Z3123)),"重賞","分類不能")))))))))</f>
        <v/>
      </c>
    </row>
    <row r="3124" customFormat="false" ht="15.75" hidden="false" customHeight="false" outlineLevel="0" collapsed="false">
      <c r="AO3124" s="8" t="str">
        <f aca="false">IF(A3124="","",IF(COUNTIFS(全馬データ!$A$2:$A$50000,A3124,全馬データ!$B$2:$B$50000,B3124,全馬データ!$C$2:$C$50000,C3124,全馬データ!$D$2:$D$50000,E3124,全馬データ!$K$2:$K$50000,"&lt;&gt;")=0,"",SUMIFS(全馬データ!$K$2:$K$50000,全馬データ!$A$2:$A$50000,A3124,全馬データ!$B$2:$B$50000,B3124,全馬データ!$C$2:$C$50000,C3124,全馬データ!$D$2:$D$50000,E3124)))</f>
        <v/>
      </c>
      <c r="AP3124" s="8" t="str">
        <f aca="false">IF(A3124="","",IF(AO3124="","欠損",IF(AO3124&lt;=1.1,"1.0～1.1",IF(AO3124&lt;1.3,"1.2",IF(AO3124&lt;1.5,"1.3～1.4",IF(AO3124&lt;2,"1.5～1.9","2.0以上"))))))</f>
        <v/>
      </c>
      <c r="AQ3124" s="8" t="str">
        <f aca="false">IF(A3124="","",IF(ISNUMBER(SEARCH("2歳",Z3124)),"2歳戦",IF(ISNUMBER(SEARCH("3歳未勝利",Z3124)),"3歳未勝利",IF(ISNUMBER(SEARCH("未勝利",Z3124)),"その他未勝利",IF(ISNUMBER(SEARCH("G1",Z3124)),"G1",IF(ISNUMBER(SEARCH("G2",Z3124)),"G2",IF(ISNUMBER(SEARCH("G3",Z3124)),"G3",IF(ISNUMBER(SEARCH("古馬条件",Z3124)),"古馬条件戦",IF(ISNUMBER(SEARCH("重賞",Z3124)),"重賞","分類不能")))))))))</f>
        <v/>
      </c>
    </row>
    <row r="3125" customFormat="false" ht="15.75" hidden="false" customHeight="false" outlineLevel="0" collapsed="false">
      <c r="AO3125" s="8" t="str">
        <f aca="false">IF(A3125="","",IF(COUNTIFS(全馬データ!$A$2:$A$50000,A3125,全馬データ!$B$2:$B$50000,B3125,全馬データ!$C$2:$C$50000,C3125,全馬データ!$D$2:$D$50000,E3125,全馬データ!$K$2:$K$50000,"&lt;&gt;")=0,"",SUMIFS(全馬データ!$K$2:$K$50000,全馬データ!$A$2:$A$50000,A3125,全馬データ!$B$2:$B$50000,B3125,全馬データ!$C$2:$C$50000,C3125,全馬データ!$D$2:$D$50000,E3125)))</f>
        <v/>
      </c>
      <c r="AP3125" s="8" t="str">
        <f aca="false">IF(A3125="","",IF(AO3125="","欠損",IF(AO3125&lt;=1.1,"1.0～1.1",IF(AO3125&lt;1.3,"1.2",IF(AO3125&lt;1.5,"1.3～1.4",IF(AO3125&lt;2,"1.5～1.9","2.0以上"))))))</f>
        <v/>
      </c>
      <c r="AQ3125" s="8" t="str">
        <f aca="false">IF(A3125="","",IF(ISNUMBER(SEARCH("2歳",Z3125)),"2歳戦",IF(ISNUMBER(SEARCH("3歳未勝利",Z3125)),"3歳未勝利",IF(ISNUMBER(SEARCH("未勝利",Z3125)),"その他未勝利",IF(ISNUMBER(SEARCH("G1",Z3125)),"G1",IF(ISNUMBER(SEARCH("G2",Z3125)),"G2",IF(ISNUMBER(SEARCH("G3",Z3125)),"G3",IF(ISNUMBER(SEARCH("古馬条件",Z3125)),"古馬条件戦",IF(ISNUMBER(SEARCH("重賞",Z3125)),"重賞","分類不能")))))))))</f>
        <v/>
      </c>
    </row>
    <row r="3126" customFormat="false" ht="15.75" hidden="false" customHeight="false" outlineLevel="0" collapsed="false">
      <c r="AO3126" s="8" t="str">
        <f aca="false">IF(A3126="","",IF(COUNTIFS(全馬データ!$A$2:$A$50000,A3126,全馬データ!$B$2:$B$50000,B3126,全馬データ!$C$2:$C$50000,C3126,全馬データ!$D$2:$D$50000,E3126,全馬データ!$K$2:$K$50000,"&lt;&gt;")=0,"",SUMIFS(全馬データ!$K$2:$K$50000,全馬データ!$A$2:$A$50000,A3126,全馬データ!$B$2:$B$50000,B3126,全馬データ!$C$2:$C$50000,C3126,全馬データ!$D$2:$D$50000,E3126)))</f>
        <v/>
      </c>
      <c r="AP3126" s="8" t="str">
        <f aca="false">IF(A3126="","",IF(AO3126="","欠損",IF(AO3126&lt;=1.1,"1.0～1.1",IF(AO3126&lt;1.3,"1.2",IF(AO3126&lt;1.5,"1.3～1.4",IF(AO3126&lt;2,"1.5～1.9","2.0以上"))))))</f>
        <v/>
      </c>
      <c r="AQ3126" s="8" t="str">
        <f aca="false">IF(A3126="","",IF(ISNUMBER(SEARCH("2歳",Z3126)),"2歳戦",IF(ISNUMBER(SEARCH("3歳未勝利",Z3126)),"3歳未勝利",IF(ISNUMBER(SEARCH("未勝利",Z3126)),"その他未勝利",IF(ISNUMBER(SEARCH("G1",Z3126)),"G1",IF(ISNUMBER(SEARCH("G2",Z3126)),"G2",IF(ISNUMBER(SEARCH("G3",Z3126)),"G3",IF(ISNUMBER(SEARCH("古馬条件",Z3126)),"古馬条件戦",IF(ISNUMBER(SEARCH("重賞",Z3126)),"重賞","分類不能")))))))))</f>
        <v/>
      </c>
    </row>
    <row r="3127" customFormat="false" ht="15.75" hidden="false" customHeight="false" outlineLevel="0" collapsed="false">
      <c r="AO3127" s="8" t="str">
        <f aca="false">IF(A3127="","",IF(COUNTIFS(全馬データ!$A$2:$A$50000,A3127,全馬データ!$B$2:$B$50000,B3127,全馬データ!$C$2:$C$50000,C3127,全馬データ!$D$2:$D$50000,E3127,全馬データ!$K$2:$K$50000,"&lt;&gt;")=0,"",SUMIFS(全馬データ!$K$2:$K$50000,全馬データ!$A$2:$A$50000,A3127,全馬データ!$B$2:$B$50000,B3127,全馬データ!$C$2:$C$50000,C3127,全馬データ!$D$2:$D$50000,E3127)))</f>
        <v/>
      </c>
      <c r="AP3127" s="8" t="str">
        <f aca="false">IF(A3127="","",IF(AO3127="","欠損",IF(AO3127&lt;=1.1,"1.0～1.1",IF(AO3127&lt;1.3,"1.2",IF(AO3127&lt;1.5,"1.3～1.4",IF(AO3127&lt;2,"1.5～1.9","2.0以上"))))))</f>
        <v/>
      </c>
      <c r="AQ3127" s="8" t="str">
        <f aca="false">IF(A3127="","",IF(ISNUMBER(SEARCH("2歳",Z3127)),"2歳戦",IF(ISNUMBER(SEARCH("3歳未勝利",Z3127)),"3歳未勝利",IF(ISNUMBER(SEARCH("未勝利",Z3127)),"その他未勝利",IF(ISNUMBER(SEARCH("G1",Z3127)),"G1",IF(ISNUMBER(SEARCH("G2",Z3127)),"G2",IF(ISNUMBER(SEARCH("G3",Z3127)),"G3",IF(ISNUMBER(SEARCH("古馬条件",Z3127)),"古馬条件戦",IF(ISNUMBER(SEARCH("重賞",Z3127)),"重賞","分類不能")))))))))</f>
        <v/>
      </c>
    </row>
    <row r="3128" customFormat="false" ht="15.75" hidden="false" customHeight="false" outlineLevel="0" collapsed="false">
      <c r="AO3128" s="8" t="str">
        <f aca="false">IF(A3128="","",IF(COUNTIFS(全馬データ!$A$2:$A$50000,A3128,全馬データ!$B$2:$B$50000,B3128,全馬データ!$C$2:$C$50000,C3128,全馬データ!$D$2:$D$50000,E3128,全馬データ!$K$2:$K$50000,"&lt;&gt;")=0,"",SUMIFS(全馬データ!$K$2:$K$50000,全馬データ!$A$2:$A$50000,A3128,全馬データ!$B$2:$B$50000,B3128,全馬データ!$C$2:$C$50000,C3128,全馬データ!$D$2:$D$50000,E3128)))</f>
        <v/>
      </c>
      <c r="AP3128" s="8" t="str">
        <f aca="false">IF(A3128="","",IF(AO3128="","欠損",IF(AO3128&lt;=1.1,"1.0～1.1",IF(AO3128&lt;1.3,"1.2",IF(AO3128&lt;1.5,"1.3～1.4",IF(AO3128&lt;2,"1.5～1.9","2.0以上"))))))</f>
        <v/>
      </c>
      <c r="AQ3128" s="8" t="str">
        <f aca="false">IF(A3128="","",IF(ISNUMBER(SEARCH("2歳",Z3128)),"2歳戦",IF(ISNUMBER(SEARCH("3歳未勝利",Z3128)),"3歳未勝利",IF(ISNUMBER(SEARCH("未勝利",Z3128)),"その他未勝利",IF(ISNUMBER(SEARCH("G1",Z3128)),"G1",IF(ISNUMBER(SEARCH("G2",Z3128)),"G2",IF(ISNUMBER(SEARCH("G3",Z3128)),"G3",IF(ISNUMBER(SEARCH("古馬条件",Z3128)),"古馬条件戦",IF(ISNUMBER(SEARCH("重賞",Z3128)),"重賞","分類不能")))))))))</f>
        <v/>
      </c>
    </row>
    <row r="3129" customFormat="false" ht="15.75" hidden="false" customHeight="false" outlineLevel="0" collapsed="false">
      <c r="AO3129" s="8" t="str">
        <f aca="false">IF(A3129="","",IF(COUNTIFS(全馬データ!$A$2:$A$50000,A3129,全馬データ!$B$2:$B$50000,B3129,全馬データ!$C$2:$C$50000,C3129,全馬データ!$D$2:$D$50000,E3129,全馬データ!$K$2:$K$50000,"&lt;&gt;")=0,"",SUMIFS(全馬データ!$K$2:$K$50000,全馬データ!$A$2:$A$50000,A3129,全馬データ!$B$2:$B$50000,B3129,全馬データ!$C$2:$C$50000,C3129,全馬データ!$D$2:$D$50000,E3129)))</f>
        <v/>
      </c>
      <c r="AP3129" s="8" t="str">
        <f aca="false">IF(A3129="","",IF(AO3129="","欠損",IF(AO3129&lt;=1.1,"1.0～1.1",IF(AO3129&lt;1.3,"1.2",IF(AO3129&lt;1.5,"1.3～1.4",IF(AO3129&lt;2,"1.5～1.9","2.0以上"))))))</f>
        <v/>
      </c>
      <c r="AQ3129" s="8" t="str">
        <f aca="false">IF(A3129="","",IF(ISNUMBER(SEARCH("2歳",Z3129)),"2歳戦",IF(ISNUMBER(SEARCH("3歳未勝利",Z3129)),"3歳未勝利",IF(ISNUMBER(SEARCH("未勝利",Z3129)),"その他未勝利",IF(ISNUMBER(SEARCH("G1",Z3129)),"G1",IF(ISNUMBER(SEARCH("G2",Z3129)),"G2",IF(ISNUMBER(SEARCH("G3",Z3129)),"G3",IF(ISNUMBER(SEARCH("古馬条件",Z3129)),"古馬条件戦",IF(ISNUMBER(SEARCH("重賞",Z3129)),"重賞","分類不能")))))))))</f>
        <v/>
      </c>
    </row>
    <row r="3130" customFormat="false" ht="15.75" hidden="false" customHeight="false" outlineLevel="0" collapsed="false">
      <c r="AO3130" s="8" t="str">
        <f aca="false">IF(A3130="","",IF(COUNTIFS(全馬データ!$A$2:$A$50000,A3130,全馬データ!$B$2:$B$50000,B3130,全馬データ!$C$2:$C$50000,C3130,全馬データ!$D$2:$D$50000,E3130,全馬データ!$K$2:$K$50000,"&lt;&gt;")=0,"",SUMIFS(全馬データ!$K$2:$K$50000,全馬データ!$A$2:$A$50000,A3130,全馬データ!$B$2:$B$50000,B3130,全馬データ!$C$2:$C$50000,C3130,全馬データ!$D$2:$D$50000,E3130)))</f>
        <v/>
      </c>
      <c r="AP3130" s="8" t="str">
        <f aca="false">IF(A3130="","",IF(AO3130="","欠損",IF(AO3130&lt;=1.1,"1.0～1.1",IF(AO3130&lt;1.3,"1.2",IF(AO3130&lt;1.5,"1.3～1.4",IF(AO3130&lt;2,"1.5～1.9","2.0以上"))))))</f>
        <v/>
      </c>
      <c r="AQ3130" s="8" t="str">
        <f aca="false">IF(A3130="","",IF(ISNUMBER(SEARCH("2歳",Z3130)),"2歳戦",IF(ISNUMBER(SEARCH("3歳未勝利",Z3130)),"3歳未勝利",IF(ISNUMBER(SEARCH("未勝利",Z3130)),"その他未勝利",IF(ISNUMBER(SEARCH("G1",Z3130)),"G1",IF(ISNUMBER(SEARCH("G2",Z3130)),"G2",IF(ISNUMBER(SEARCH("G3",Z3130)),"G3",IF(ISNUMBER(SEARCH("古馬条件",Z3130)),"古馬条件戦",IF(ISNUMBER(SEARCH("重賞",Z3130)),"重賞","分類不能")))))))))</f>
        <v/>
      </c>
    </row>
    <row r="3131" customFormat="false" ht="15.75" hidden="false" customHeight="false" outlineLevel="0" collapsed="false">
      <c r="AO3131" s="8" t="str">
        <f aca="false">IF(A3131="","",IF(COUNTIFS(全馬データ!$A$2:$A$50000,A3131,全馬データ!$B$2:$B$50000,B3131,全馬データ!$C$2:$C$50000,C3131,全馬データ!$D$2:$D$50000,E3131,全馬データ!$K$2:$K$50000,"&lt;&gt;")=0,"",SUMIFS(全馬データ!$K$2:$K$50000,全馬データ!$A$2:$A$50000,A3131,全馬データ!$B$2:$B$50000,B3131,全馬データ!$C$2:$C$50000,C3131,全馬データ!$D$2:$D$50000,E3131)))</f>
        <v/>
      </c>
      <c r="AP3131" s="8" t="str">
        <f aca="false">IF(A3131="","",IF(AO3131="","欠損",IF(AO3131&lt;=1.1,"1.0～1.1",IF(AO3131&lt;1.3,"1.2",IF(AO3131&lt;1.5,"1.3～1.4",IF(AO3131&lt;2,"1.5～1.9","2.0以上"))))))</f>
        <v/>
      </c>
      <c r="AQ3131" s="8" t="str">
        <f aca="false">IF(A3131="","",IF(ISNUMBER(SEARCH("2歳",Z3131)),"2歳戦",IF(ISNUMBER(SEARCH("3歳未勝利",Z3131)),"3歳未勝利",IF(ISNUMBER(SEARCH("未勝利",Z3131)),"その他未勝利",IF(ISNUMBER(SEARCH("G1",Z3131)),"G1",IF(ISNUMBER(SEARCH("G2",Z3131)),"G2",IF(ISNUMBER(SEARCH("G3",Z3131)),"G3",IF(ISNUMBER(SEARCH("古馬条件",Z3131)),"古馬条件戦",IF(ISNUMBER(SEARCH("重賞",Z3131)),"重賞","分類不能")))))))))</f>
        <v/>
      </c>
    </row>
    <row r="3132" customFormat="false" ht="15.75" hidden="false" customHeight="false" outlineLevel="0" collapsed="false">
      <c r="AO3132" s="8" t="str">
        <f aca="false">IF(A3132="","",IF(COUNTIFS(全馬データ!$A$2:$A$50000,A3132,全馬データ!$B$2:$B$50000,B3132,全馬データ!$C$2:$C$50000,C3132,全馬データ!$D$2:$D$50000,E3132,全馬データ!$K$2:$K$50000,"&lt;&gt;")=0,"",SUMIFS(全馬データ!$K$2:$K$50000,全馬データ!$A$2:$A$50000,A3132,全馬データ!$B$2:$B$50000,B3132,全馬データ!$C$2:$C$50000,C3132,全馬データ!$D$2:$D$50000,E3132)))</f>
        <v/>
      </c>
      <c r="AP3132" s="8" t="str">
        <f aca="false">IF(A3132="","",IF(AO3132="","欠損",IF(AO3132&lt;=1.1,"1.0～1.1",IF(AO3132&lt;1.3,"1.2",IF(AO3132&lt;1.5,"1.3～1.4",IF(AO3132&lt;2,"1.5～1.9","2.0以上"))))))</f>
        <v/>
      </c>
      <c r="AQ3132" s="8" t="str">
        <f aca="false">IF(A3132="","",IF(ISNUMBER(SEARCH("2歳",Z3132)),"2歳戦",IF(ISNUMBER(SEARCH("3歳未勝利",Z3132)),"3歳未勝利",IF(ISNUMBER(SEARCH("未勝利",Z3132)),"その他未勝利",IF(ISNUMBER(SEARCH("G1",Z3132)),"G1",IF(ISNUMBER(SEARCH("G2",Z3132)),"G2",IF(ISNUMBER(SEARCH("G3",Z3132)),"G3",IF(ISNUMBER(SEARCH("古馬条件",Z3132)),"古馬条件戦",IF(ISNUMBER(SEARCH("重賞",Z3132)),"重賞","分類不能")))))))))</f>
        <v/>
      </c>
    </row>
    <row r="3133" customFormat="false" ht="15.75" hidden="false" customHeight="false" outlineLevel="0" collapsed="false">
      <c r="AO3133" s="8" t="str">
        <f aca="false">IF(A3133="","",IF(COUNTIFS(全馬データ!$A$2:$A$50000,A3133,全馬データ!$B$2:$B$50000,B3133,全馬データ!$C$2:$C$50000,C3133,全馬データ!$D$2:$D$50000,E3133,全馬データ!$K$2:$K$50000,"&lt;&gt;")=0,"",SUMIFS(全馬データ!$K$2:$K$50000,全馬データ!$A$2:$A$50000,A3133,全馬データ!$B$2:$B$50000,B3133,全馬データ!$C$2:$C$50000,C3133,全馬データ!$D$2:$D$50000,E3133)))</f>
        <v/>
      </c>
      <c r="AP3133" s="8" t="str">
        <f aca="false">IF(A3133="","",IF(AO3133="","欠損",IF(AO3133&lt;=1.1,"1.0～1.1",IF(AO3133&lt;1.3,"1.2",IF(AO3133&lt;1.5,"1.3～1.4",IF(AO3133&lt;2,"1.5～1.9","2.0以上"))))))</f>
        <v/>
      </c>
      <c r="AQ3133" s="8" t="str">
        <f aca="false">IF(A3133="","",IF(ISNUMBER(SEARCH("2歳",Z3133)),"2歳戦",IF(ISNUMBER(SEARCH("3歳未勝利",Z3133)),"3歳未勝利",IF(ISNUMBER(SEARCH("未勝利",Z3133)),"その他未勝利",IF(ISNUMBER(SEARCH("G1",Z3133)),"G1",IF(ISNUMBER(SEARCH("G2",Z3133)),"G2",IF(ISNUMBER(SEARCH("G3",Z3133)),"G3",IF(ISNUMBER(SEARCH("古馬条件",Z3133)),"古馬条件戦",IF(ISNUMBER(SEARCH("重賞",Z3133)),"重賞","分類不能")))))))))</f>
        <v/>
      </c>
    </row>
    <row r="3134" customFormat="false" ht="15.75" hidden="false" customHeight="false" outlineLevel="0" collapsed="false">
      <c r="AO3134" s="8" t="str">
        <f aca="false">IF(A3134="","",IF(COUNTIFS(全馬データ!$A$2:$A$50000,A3134,全馬データ!$B$2:$B$50000,B3134,全馬データ!$C$2:$C$50000,C3134,全馬データ!$D$2:$D$50000,E3134,全馬データ!$K$2:$K$50000,"&lt;&gt;")=0,"",SUMIFS(全馬データ!$K$2:$K$50000,全馬データ!$A$2:$A$50000,A3134,全馬データ!$B$2:$B$50000,B3134,全馬データ!$C$2:$C$50000,C3134,全馬データ!$D$2:$D$50000,E3134)))</f>
        <v/>
      </c>
      <c r="AP3134" s="8" t="str">
        <f aca="false">IF(A3134="","",IF(AO3134="","欠損",IF(AO3134&lt;=1.1,"1.0～1.1",IF(AO3134&lt;1.3,"1.2",IF(AO3134&lt;1.5,"1.3～1.4",IF(AO3134&lt;2,"1.5～1.9","2.0以上"))))))</f>
        <v/>
      </c>
      <c r="AQ3134" s="8" t="str">
        <f aca="false">IF(A3134="","",IF(ISNUMBER(SEARCH("2歳",Z3134)),"2歳戦",IF(ISNUMBER(SEARCH("3歳未勝利",Z3134)),"3歳未勝利",IF(ISNUMBER(SEARCH("未勝利",Z3134)),"その他未勝利",IF(ISNUMBER(SEARCH("G1",Z3134)),"G1",IF(ISNUMBER(SEARCH("G2",Z3134)),"G2",IF(ISNUMBER(SEARCH("G3",Z3134)),"G3",IF(ISNUMBER(SEARCH("古馬条件",Z3134)),"古馬条件戦",IF(ISNUMBER(SEARCH("重賞",Z3134)),"重賞","分類不能")))))))))</f>
        <v/>
      </c>
    </row>
    <row r="3135" customFormat="false" ht="15.75" hidden="false" customHeight="false" outlineLevel="0" collapsed="false">
      <c r="AO3135" s="8" t="str">
        <f aca="false">IF(A3135="","",IF(COUNTIFS(全馬データ!$A$2:$A$50000,A3135,全馬データ!$B$2:$B$50000,B3135,全馬データ!$C$2:$C$50000,C3135,全馬データ!$D$2:$D$50000,E3135,全馬データ!$K$2:$K$50000,"&lt;&gt;")=0,"",SUMIFS(全馬データ!$K$2:$K$50000,全馬データ!$A$2:$A$50000,A3135,全馬データ!$B$2:$B$50000,B3135,全馬データ!$C$2:$C$50000,C3135,全馬データ!$D$2:$D$50000,E3135)))</f>
        <v/>
      </c>
      <c r="AP3135" s="8" t="str">
        <f aca="false">IF(A3135="","",IF(AO3135="","欠損",IF(AO3135&lt;=1.1,"1.0～1.1",IF(AO3135&lt;1.3,"1.2",IF(AO3135&lt;1.5,"1.3～1.4",IF(AO3135&lt;2,"1.5～1.9","2.0以上"))))))</f>
        <v/>
      </c>
      <c r="AQ3135" s="8" t="str">
        <f aca="false">IF(A3135="","",IF(ISNUMBER(SEARCH("2歳",Z3135)),"2歳戦",IF(ISNUMBER(SEARCH("3歳未勝利",Z3135)),"3歳未勝利",IF(ISNUMBER(SEARCH("未勝利",Z3135)),"その他未勝利",IF(ISNUMBER(SEARCH("G1",Z3135)),"G1",IF(ISNUMBER(SEARCH("G2",Z3135)),"G2",IF(ISNUMBER(SEARCH("G3",Z3135)),"G3",IF(ISNUMBER(SEARCH("古馬条件",Z3135)),"古馬条件戦",IF(ISNUMBER(SEARCH("重賞",Z3135)),"重賞","分類不能")))))))))</f>
        <v/>
      </c>
    </row>
    <row r="3136" customFormat="false" ht="15.75" hidden="false" customHeight="false" outlineLevel="0" collapsed="false">
      <c r="AO3136" s="8" t="str">
        <f aca="false">IF(A3136="","",IF(COUNTIFS(全馬データ!$A$2:$A$50000,A3136,全馬データ!$B$2:$B$50000,B3136,全馬データ!$C$2:$C$50000,C3136,全馬データ!$D$2:$D$50000,E3136,全馬データ!$K$2:$K$50000,"&lt;&gt;")=0,"",SUMIFS(全馬データ!$K$2:$K$50000,全馬データ!$A$2:$A$50000,A3136,全馬データ!$B$2:$B$50000,B3136,全馬データ!$C$2:$C$50000,C3136,全馬データ!$D$2:$D$50000,E3136)))</f>
        <v/>
      </c>
      <c r="AP3136" s="8" t="str">
        <f aca="false">IF(A3136="","",IF(AO3136="","欠損",IF(AO3136&lt;=1.1,"1.0～1.1",IF(AO3136&lt;1.3,"1.2",IF(AO3136&lt;1.5,"1.3～1.4",IF(AO3136&lt;2,"1.5～1.9","2.0以上"))))))</f>
        <v/>
      </c>
      <c r="AQ3136" s="8" t="str">
        <f aca="false">IF(A3136="","",IF(ISNUMBER(SEARCH("2歳",Z3136)),"2歳戦",IF(ISNUMBER(SEARCH("3歳未勝利",Z3136)),"3歳未勝利",IF(ISNUMBER(SEARCH("未勝利",Z3136)),"その他未勝利",IF(ISNUMBER(SEARCH("G1",Z3136)),"G1",IF(ISNUMBER(SEARCH("G2",Z3136)),"G2",IF(ISNUMBER(SEARCH("G3",Z3136)),"G3",IF(ISNUMBER(SEARCH("古馬条件",Z3136)),"古馬条件戦",IF(ISNUMBER(SEARCH("重賞",Z3136)),"重賞","分類不能")))))))))</f>
        <v/>
      </c>
    </row>
    <row r="3137" customFormat="false" ht="15.75" hidden="false" customHeight="false" outlineLevel="0" collapsed="false">
      <c r="AO3137" s="8" t="str">
        <f aca="false">IF(A3137="","",IF(COUNTIFS(全馬データ!$A$2:$A$50000,A3137,全馬データ!$B$2:$B$50000,B3137,全馬データ!$C$2:$C$50000,C3137,全馬データ!$D$2:$D$50000,E3137,全馬データ!$K$2:$K$50000,"&lt;&gt;")=0,"",SUMIFS(全馬データ!$K$2:$K$50000,全馬データ!$A$2:$A$50000,A3137,全馬データ!$B$2:$B$50000,B3137,全馬データ!$C$2:$C$50000,C3137,全馬データ!$D$2:$D$50000,E3137)))</f>
        <v/>
      </c>
      <c r="AP3137" s="8" t="str">
        <f aca="false">IF(A3137="","",IF(AO3137="","欠損",IF(AO3137&lt;=1.1,"1.0～1.1",IF(AO3137&lt;1.3,"1.2",IF(AO3137&lt;1.5,"1.3～1.4",IF(AO3137&lt;2,"1.5～1.9","2.0以上"))))))</f>
        <v/>
      </c>
      <c r="AQ3137" s="8" t="str">
        <f aca="false">IF(A3137="","",IF(ISNUMBER(SEARCH("2歳",Z3137)),"2歳戦",IF(ISNUMBER(SEARCH("3歳未勝利",Z3137)),"3歳未勝利",IF(ISNUMBER(SEARCH("未勝利",Z3137)),"その他未勝利",IF(ISNUMBER(SEARCH("G1",Z3137)),"G1",IF(ISNUMBER(SEARCH("G2",Z3137)),"G2",IF(ISNUMBER(SEARCH("G3",Z3137)),"G3",IF(ISNUMBER(SEARCH("古馬条件",Z3137)),"古馬条件戦",IF(ISNUMBER(SEARCH("重賞",Z3137)),"重賞","分類不能")))))))))</f>
        <v/>
      </c>
    </row>
    <row r="3138" customFormat="false" ht="15.75" hidden="false" customHeight="false" outlineLevel="0" collapsed="false">
      <c r="AO3138" s="8" t="str">
        <f aca="false">IF(A3138="","",IF(COUNTIFS(全馬データ!$A$2:$A$50000,A3138,全馬データ!$B$2:$B$50000,B3138,全馬データ!$C$2:$C$50000,C3138,全馬データ!$D$2:$D$50000,E3138,全馬データ!$K$2:$K$50000,"&lt;&gt;")=0,"",SUMIFS(全馬データ!$K$2:$K$50000,全馬データ!$A$2:$A$50000,A3138,全馬データ!$B$2:$B$50000,B3138,全馬データ!$C$2:$C$50000,C3138,全馬データ!$D$2:$D$50000,E3138)))</f>
        <v/>
      </c>
      <c r="AP3138" s="8" t="str">
        <f aca="false">IF(A3138="","",IF(AO3138="","欠損",IF(AO3138&lt;=1.1,"1.0～1.1",IF(AO3138&lt;1.3,"1.2",IF(AO3138&lt;1.5,"1.3～1.4",IF(AO3138&lt;2,"1.5～1.9","2.0以上"))))))</f>
        <v/>
      </c>
      <c r="AQ3138" s="8" t="str">
        <f aca="false">IF(A3138="","",IF(ISNUMBER(SEARCH("2歳",Z3138)),"2歳戦",IF(ISNUMBER(SEARCH("3歳未勝利",Z3138)),"3歳未勝利",IF(ISNUMBER(SEARCH("未勝利",Z3138)),"その他未勝利",IF(ISNUMBER(SEARCH("G1",Z3138)),"G1",IF(ISNUMBER(SEARCH("G2",Z3138)),"G2",IF(ISNUMBER(SEARCH("G3",Z3138)),"G3",IF(ISNUMBER(SEARCH("古馬条件",Z3138)),"古馬条件戦",IF(ISNUMBER(SEARCH("重賞",Z3138)),"重賞","分類不能")))))))))</f>
        <v/>
      </c>
    </row>
    <row r="3139" customFormat="false" ht="15.75" hidden="false" customHeight="false" outlineLevel="0" collapsed="false">
      <c r="AO3139" s="8" t="str">
        <f aca="false">IF(A3139="","",IF(COUNTIFS(全馬データ!$A$2:$A$50000,A3139,全馬データ!$B$2:$B$50000,B3139,全馬データ!$C$2:$C$50000,C3139,全馬データ!$D$2:$D$50000,E3139,全馬データ!$K$2:$K$50000,"&lt;&gt;")=0,"",SUMIFS(全馬データ!$K$2:$K$50000,全馬データ!$A$2:$A$50000,A3139,全馬データ!$B$2:$B$50000,B3139,全馬データ!$C$2:$C$50000,C3139,全馬データ!$D$2:$D$50000,E3139)))</f>
        <v/>
      </c>
      <c r="AP3139" s="8" t="str">
        <f aca="false">IF(A3139="","",IF(AO3139="","欠損",IF(AO3139&lt;=1.1,"1.0～1.1",IF(AO3139&lt;1.3,"1.2",IF(AO3139&lt;1.5,"1.3～1.4",IF(AO3139&lt;2,"1.5～1.9","2.0以上"))))))</f>
        <v/>
      </c>
      <c r="AQ3139" s="8" t="str">
        <f aca="false">IF(A3139="","",IF(ISNUMBER(SEARCH("2歳",Z3139)),"2歳戦",IF(ISNUMBER(SEARCH("3歳未勝利",Z3139)),"3歳未勝利",IF(ISNUMBER(SEARCH("未勝利",Z3139)),"その他未勝利",IF(ISNUMBER(SEARCH("G1",Z3139)),"G1",IF(ISNUMBER(SEARCH("G2",Z3139)),"G2",IF(ISNUMBER(SEARCH("G3",Z3139)),"G3",IF(ISNUMBER(SEARCH("古馬条件",Z3139)),"古馬条件戦",IF(ISNUMBER(SEARCH("重賞",Z3139)),"重賞","分類不能")))))))))</f>
        <v/>
      </c>
    </row>
    <row r="3140" customFormat="false" ht="15.75" hidden="false" customHeight="false" outlineLevel="0" collapsed="false">
      <c r="AO3140" s="8" t="str">
        <f aca="false">IF(A3140="","",IF(COUNTIFS(全馬データ!$A$2:$A$50000,A3140,全馬データ!$B$2:$B$50000,B3140,全馬データ!$C$2:$C$50000,C3140,全馬データ!$D$2:$D$50000,E3140,全馬データ!$K$2:$K$50000,"&lt;&gt;")=0,"",SUMIFS(全馬データ!$K$2:$K$50000,全馬データ!$A$2:$A$50000,A3140,全馬データ!$B$2:$B$50000,B3140,全馬データ!$C$2:$C$50000,C3140,全馬データ!$D$2:$D$50000,E3140)))</f>
        <v/>
      </c>
      <c r="AP3140" s="8" t="str">
        <f aca="false">IF(A3140="","",IF(AO3140="","欠損",IF(AO3140&lt;=1.1,"1.0～1.1",IF(AO3140&lt;1.3,"1.2",IF(AO3140&lt;1.5,"1.3～1.4",IF(AO3140&lt;2,"1.5～1.9","2.0以上"))))))</f>
        <v/>
      </c>
      <c r="AQ3140" s="8" t="str">
        <f aca="false">IF(A3140="","",IF(ISNUMBER(SEARCH("2歳",Z3140)),"2歳戦",IF(ISNUMBER(SEARCH("3歳未勝利",Z3140)),"3歳未勝利",IF(ISNUMBER(SEARCH("未勝利",Z3140)),"その他未勝利",IF(ISNUMBER(SEARCH("G1",Z3140)),"G1",IF(ISNUMBER(SEARCH("G2",Z3140)),"G2",IF(ISNUMBER(SEARCH("G3",Z3140)),"G3",IF(ISNUMBER(SEARCH("古馬条件",Z3140)),"古馬条件戦",IF(ISNUMBER(SEARCH("重賞",Z3140)),"重賞","分類不能")))))))))</f>
        <v/>
      </c>
    </row>
    <row r="3141" customFormat="false" ht="15.75" hidden="false" customHeight="false" outlineLevel="0" collapsed="false">
      <c r="AO3141" s="8" t="str">
        <f aca="false">IF(A3141="","",IF(COUNTIFS(全馬データ!$A$2:$A$50000,A3141,全馬データ!$B$2:$B$50000,B3141,全馬データ!$C$2:$C$50000,C3141,全馬データ!$D$2:$D$50000,E3141,全馬データ!$K$2:$K$50000,"&lt;&gt;")=0,"",SUMIFS(全馬データ!$K$2:$K$50000,全馬データ!$A$2:$A$50000,A3141,全馬データ!$B$2:$B$50000,B3141,全馬データ!$C$2:$C$50000,C3141,全馬データ!$D$2:$D$50000,E3141)))</f>
        <v/>
      </c>
      <c r="AP3141" s="8" t="str">
        <f aca="false">IF(A3141="","",IF(AO3141="","欠損",IF(AO3141&lt;=1.1,"1.0～1.1",IF(AO3141&lt;1.3,"1.2",IF(AO3141&lt;1.5,"1.3～1.4",IF(AO3141&lt;2,"1.5～1.9","2.0以上"))))))</f>
        <v/>
      </c>
      <c r="AQ3141" s="8" t="str">
        <f aca="false">IF(A3141="","",IF(ISNUMBER(SEARCH("2歳",Z3141)),"2歳戦",IF(ISNUMBER(SEARCH("3歳未勝利",Z3141)),"3歳未勝利",IF(ISNUMBER(SEARCH("未勝利",Z3141)),"その他未勝利",IF(ISNUMBER(SEARCH("G1",Z3141)),"G1",IF(ISNUMBER(SEARCH("G2",Z3141)),"G2",IF(ISNUMBER(SEARCH("G3",Z3141)),"G3",IF(ISNUMBER(SEARCH("古馬条件",Z3141)),"古馬条件戦",IF(ISNUMBER(SEARCH("重賞",Z3141)),"重賞","分類不能")))))))))</f>
        <v/>
      </c>
    </row>
    <row r="3142" customFormat="false" ht="15.75" hidden="false" customHeight="false" outlineLevel="0" collapsed="false">
      <c r="AO3142" s="8" t="str">
        <f aca="false">IF(A3142="","",IF(COUNTIFS(全馬データ!$A$2:$A$50000,A3142,全馬データ!$B$2:$B$50000,B3142,全馬データ!$C$2:$C$50000,C3142,全馬データ!$D$2:$D$50000,E3142,全馬データ!$K$2:$K$50000,"&lt;&gt;")=0,"",SUMIFS(全馬データ!$K$2:$K$50000,全馬データ!$A$2:$A$50000,A3142,全馬データ!$B$2:$B$50000,B3142,全馬データ!$C$2:$C$50000,C3142,全馬データ!$D$2:$D$50000,E3142)))</f>
        <v/>
      </c>
      <c r="AP3142" s="8" t="str">
        <f aca="false">IF(A3142="","",IF(AO3142="","欠損",IF(AO3142&lt;=1.1,"1.0～1.1",IF(AO3142&lt;1.3,"1.2",IF(AO3142&lt;1.5,"1.3～1.4",IF(AO3142&lt;2,"1.5～1.9","2.0以上"))))))</f>
        <v/>
      </c>
      <c r="AQ3142" s="8" t="str">
        <f aca="false">IF(A3142="","",IF(ISNUMBER(SEARCH("2歳",Z3142)),"2歳戦",IF(ISNUMBER(SEARCH("3歳未勝利",Z3142)),"3歳未勝利",IF(ISNUMBER(SEARCH("未勝利",Z3142)),"その他未勝利",IF(ISNUMBER(SEARCH("G1",Z3142)),"G1",IF(ISNUMBER(SEARCH("G2",Z3142)),"G2",IF(ISNUMBER(SEARCH("G3",Z3142)),"G3",IF(ISNUMBER(SEARCH("古馬条件",Z3142)),"古馬条件戦",IF(ISNUMBER(SEARCH("重賞",Z3142)),"重賞","分類不能")))))))))</f>
        <v/>
      </c>
    </row>
    <row r="3143" customFormat="false" ht="15.75" hidden="false" customHeight="false" outlineLevel="0" collapsed="false">
      <c r="AO3143" s="8" t="str">
        <f aca="false">IF(A3143="","",IF(COUNTIFS(全馬データ!$A$2:$A$50000,A3143,全馬データ!$B$2:$B$50000,B3143,全馬データ!$C$2:$C$50000,C3143,全馬データ!$D$2:$D$50000,E3143,全馬データ!$K$2:$K$50000,"&lt;&gt;")=0,"",SUMIFS(全馬データ!$K$2:$K$50000,全馬データ!$A$2:$A$50000,A3143,全馬データ!$B$2:$B$50000,B3143,全馬データ!$C$2:$C$50000,C3143,全馬データ!$D$2:$D$50000,E3143)))</f>
        <v/>
      </c>
      <c r="AP3143" s="8" t="str">
        <f aca="false">IF(A3143="","",IF(AO3143="","欠損",IF(AO3143&lt;=1.1,"1.0～1.1",IF(AO3143&lt;1.3,"1.2",IF(AO3143&lt;1.5,"1.3～1.4",IF(AO3143&lt;2,"1.5～1.9","2.0以上"))))))</f>
        <v/>
      </c>
      <c r="AQ3143" s="8" t="str">
        <f aca="false">IF(A3143="","",IF(ISNUMBER(SEARCH("2歳",Z3143)),"2歳戦",IF(ISNUMBER(SEARCH("3歳未勝利",Z3143)),"3歳未勝利",IF(ISNUMBER(SEARCH("未勝利",Z3143)),"その他未勝利",IF(ISNUMBER(SEARCH("G1",Z3143)),"G1",IF(ISNUMBER(SEARCH("G2",Z3143)),"G2",IF(ISNUMBER(SEARCH("G3",Z3143)),"G3",IF(ISNUMBER(SEARCH("古馬条件",Z3143)),"古馬条件戦",IF(ISNUMBER(SEARCH("重賞",Z3143)),"重賞","分類不能")))))))))</f>
        <v/>
      </c>
    </row>
    <row r="3144" customFormat="false" ht="15.75" hidden="false" customHeight="false" outlineLevel="0" collapsed="false">
      <c r="AO3144" s="8" t="str">
        <f aca="false">IF(A3144="","",IF(COUNTIFS(全馬データ!$A$2:$A$50000,A3144,全馬データ!$B$2:$B$50000,B3144,全馬データ!$C$2:$C$50000,C3144,全馬データ!$D$2:$D$50000,E3144,全馬データ!$K$2:$K$50000,"&lt;&gt;")=0,"",SUMIFS(全馬データ!$K$2:$K$50000,全馬データ!$A$2:$A$50000,A3144,全馬データ!$B$2:$B$50000,B3144,全馬データ!$C$2:$C$50000,C3144,全馬データ!$D$2:$D$50000,E3144)))</f>
        <v/>
      </c>
      <c r="AP3144" s="8" t="str">
        <f aca="false">IF(A3144="","",IF(AO3144="","欠損",IF(AO3144&lt;=1.1,"1.0～1.1",IF(AO3144&lt;1.3,"1.2",IF(AO3144&lt;1.5,"1.3～1.4",IF(AO3144&lt;2,"1.5～1.9","2.0以上"))))))</f>
        <v/>
      </c>
      <c r="AQ3144" s="8" t="str">
        <f aca="false">IF(A3144="","",IF(ISNUMBER(SEARCH("2歳",Z3144)),"2歳戦",IF(ISNUMBER(SEARCH("3歳未勝利",Z3144)),"3歳未勝利",IF(ISNUMBER(SEARCH("未勝利",Z3144)),"その他未勝利",IF(ISNUMBER(SEARCH("G1",Z3144)),"G1",IF(ISNUMBER(SEARCH("G2",Z3144)),"G2",IF(ISNUMBER(SEARCH("G3",Z3144)),"G3",IF(ISNUMBER(SEARCH("古馬条件",Z3144)),"古馬条件戦",IF(ISNUMBER(SEARCH("重賞",Z3144)),"重賞","分類不能")))))))))</f>
        <v/>
      </c>
    </row>
    <row r="3145" customFormat="false" ht="15.75" hidden="false" customHeight="false" outlineLevel="0" collapsed="false">
      <c r="AO3145" s="8" t="str">
        <f aca="false">IF(A3145="","",IF(COUNTIFS(全馬データ!$A$2:$A$50000,A3145,全馬データ!$B$2:$B$50000,B3145,全馬データ!$C$2:$C$50000,C3145,全馬データ!$D$2:$D$50000,E3145,全馬データ!$K$2:$K$50000,"&lt;&gt;")=0,"",SUMIFS(全馬データ!$K$2:$K$50000,全馬データ!$A$2:$A$50000,A3145,全馬データ!$B$2:$B$50000,B3145,全馬データ!$C$2:$C$50000,C3145,全馬データ!$D$2:$D$50000,E3145)))</f>
        <v/>
      </c>
      <c r="AP3145" s="8" t="str">
        <f aca="false">IF(A3145="","",IF(AO3145="","欠損",IF(AO3145&lt;=1.1,"1.0～1.1",IF(AO3145&lt;1.3,"1.2",IF(AO3145&lt;1.5,"1.3～1.4",IF(AO3145&lt;2,"1.5～1.9","2.0以上"))))))</f>
        <v/>
      </c>
      <c r="AQ3145" s="8" t="str">
        <f aca="false">IF(A3145="","",IF(ISNUMBER(SEARCH("2歳",Z3145)),"2歳戦",IF(ISNUMBER(SEARCH("3歳未勝利",Z3145)),"3歳未勝利",IF(ISNUMBER(SEARCH("未勝利",Z3145)),"その他未勝利",IF(ISNUMBER(SEARCH("G1",Z3145)),"G1",IF(ISNUMBER(SEARCH("G2",Z3145)),"G2",IF(ISNUMBER(SEARCH("G3",Z3145)),"G3",IF(ISNUMBER(SEARCH("古馬条件",Z3145)),"古馬条件戦",IF(ISNUMBER(SEARCH("重賞",Z3145)),"重賞","分類不能")))))))))</f>
        <v/>
      </c>
    </row>
    <row r="3146" customFormat="false" ht="15.75" hidden="false" customHeight="false" outlineLevel="0" collapsed="false">
      <c r="AO3146" s="8" t="str">
        <f aca="false">IF(A3146="","",IF(COUNTIFS(全馬データ!$A$2:$A$50000,A3146,全馬データ!$B$2:$B$50000,B3146,全馬データ!$C$2:$C$50000,C3146,全馬データ!$D$2:$D$50000,E3146,全馬データ!$K$2:$K$50000,"&lt;&gt;")=0,"",SUMIFS(全馬データ!$K$2:$K$50000,全馬データ!$A$2:$A$50000,A3146,全馬データ!$B$2:$B$50000,B3146,全馬データ!$C$2:$C$50000,C3146,全馬データ!$D$2:$D$50000,E3146)))</f>
        <v/>
      </c>
      <c r="AP3146" s="8" t="str">
        <f aca="false">IF(A3146="","",IF(AO3146="","欠損",IF(AO3146&lt;=1.1,"1.0～1.1",IF(AO3146&lt;1.3,"1.2",IF(AO3146&lt;1.5,"1.3～1.4",IF(AO3146&lt;2,"1.5～1.9","2.0以上"))))))</f>
        <v/>
      </c>
      <c r="AQ3146" s="8" t="str">
        <f aca="false">IF(A3146="","",IF(ISNUMBER(SEARCH("2歳",Z3146)),"2歳戦",IF(ISNUMBER(SEARCH("3歳未勝利",Z3146)),"3歳未勝利",IF(ISNUMBER(SEARCH("未勝利",Z3146)),"その他未勝利",IF(ISNUMBER(SEARCH("G1",Z3146)),"G1",IF(ISNUMBER(SEARCH("G2",Z3146)),"G2",IF(ISNUMBER(SEARCH("G3",Z3146)),"G3",IF(ISNUMBER(SEARCH("古馬条件",Z3146)),"古馬条件戦",IF(ISNUMBER(SEARCH("重賞",Z3146)),"重賞","分類不能")))))))))</f>
        <v/>
      </c>
    </row>
    <row r="3147" customFormat="false" ht="15.75" hidden="false" customHeight="false" outlineLevel="0" collapsed="false">
      <c r="AO3147" s="8" t="str">
        <f aca="false">IF(A3147="","",IF(COUNTIFS(全馬データ!$A$2:$A$50000,A3147,全馬データ!$B$2:$B$50000,B3147,全馬データ!$C$2:$C$50000,C3147,全馬データ!$D$2:$D$50000,E3147,全馬データ!$K$2:$K$50000,"&lt;&gt;")=0,"",SUMIFS(全馬データ!$K$2:$K$50000,全馬データ!$A$2:$A$50000,A3147,全馬データ!$B$2:$B$50000,B3147,全馬データ!$C$2:$C$50000,C3147,全馬データ!$D$2:$D$50000,E3147)))</f>
        <v/>
      </c>
      <c r="AP3147" s="8" t="str">
        <f aca="false">IF(A3147="","",IF(AO3147="","欠損",IF(AO3147&lt;=1.1,"1.0～1.1",IF(AO3147&lt;1.3,"1.2",IF(AO3147&lt;1.5,"1.3～1.4",IF(AO3147&lt;2,"1.5～1.9","2.0以上"))))))</f>
        <v/>
      </c>
      <c r="AQ3147" s="8" t="str">
        <f aca="false">IF(A3147="","",IF(ISNUMBER(SEARCH("2歳",Z3147)),"2歳戦",IF(ISNUMBER(SEARCH("3歳未勝利",Z3147)),"3歳未勝利",IF(ISNUMBER(SEARCH("未勝利",Z3147)),"その他未勝利",IF(ISNUMBER(SEARCH("G1",Z3147)),"G1",IF(ISNUMBER(SEARCH("G2",Z3147)),"G2",IF(ISNUMBER(SEARCH("G3",Z3147)),"G3",IF(ISNUMBER(SEARCH("古馬条件",Z3147)),"古馬条件戦",IF(ISNUMBER(SEARCH("重賞",Z3147)),"重賞","分類不能")))))))))</f>
        <v/>
      </c>
    </row>
    <row r="3148" customFormat="false" ht="15.75" hidden="false" customHeight="false" outlineLevel="0" collapsed="false">
      <c r="AO3148" s="8" t="str">
        <f aca="false">IF(A3148="","",IF(COUNTIFS(全馬データ!$A$2:$A$50000,A3148,全馬データ!$B$2:$B$50000,B3148,全馬データ!$C$2:$C$50000,C3148,全馬データ!$D$2:$D$50000,E3148,全馬データ!$K$2:$K$50000,"&lt;&gt;")=0,"",SUMIFS(全馬データ!$K$2:$K$50000,全馬データ!$A$2:$A$50000,A3148,全馬データ!$B$2:$B$50000,B3148,全馬データ!$C$2:$C$50000,C3148,全馬データ!$D$2:$D$50000,E3148)))</f>
        <v/>
      </c>
      <c r="AP3148" s="8" t="str">
        <f aca="false">IF(A3148="","",IF(AO3148="","欠損",IF(AO3148&lt;=1.1,"1.0～1.1",IF(AO3148&lt;1.3,"1.2",IF(AO3148&lt;1.5,"1.3～1.4",IF(AO3148&lt;2,"1.5～1.9","2.0以上"))))))</f>
        <v/>
      </c>
      <c r="AQ3148" s="8" t="str">
        <f aca="false">IF(A3148="","",IF(ISNUMBER(SEARCH("2歳",Z3148)),"2歳戦",IF(ISNUMBER(SEARCH("3歳未勝利",Z3148)),"3歳未勝利",IF(ISNUMBER(SEARCH("未勝利",Z3148)),"その他未勝利",IF(ISNUMBER(SEARCH("G1",Z3148)),"G1",IF(ISNUMBER(SEARCH("G2",Z3148)),"G2",IF(ISNUMBER(SEARCH("G3",Z3148)),"G3",IF(ISNUMBER(SEARCH("古馬条件",Z3148)),"古馬条件戦",IF(ISNUMBER(SEARCH("重賞",Z3148)),"重賞","分類不能")))))))))</f>
        <v/>
      </c>
    </row>
    <row r="3149" customFormat="false" ht="15.75" hidden="false" customHeight="false" outlineLevel="0" collapsed="false">
      <c r="AO3149" s="8" t="str">
        <f aca="false">IF(A3149="","",IF(COUNTIFS(全馬データ!$A$2:$A$50000,A3149,全馬データ!$B$2:$B$50000,B3149,全馬データ!$C$2:$C$50000,C3149,全馬データ!$D$2:$D$50000,E3149,全馬データ!$K$2:$K$50000,"&lt;&gt;")=0,"",SUMIFS(全馬データ!$K$2:$K$50000,全馬データ!$A$2:$A$50000,A3149,全馬データ!$B$2:$B$50000,B3149,全馬データ!$C$2:$C$50000,C3149,全馬データ!$D$2:$D$50000,E3149)))</f>
        <v/>
      </c>
      <c r="AP3149" s="8" t="str">
        <f aca="false">IF(A3149="","",IF(AO3149="","欠損",IF(AO3149&lt;=1.1,"1.0～1.1",IF(AO3149&lt;1.3,"1.2",IF(AO3149&lt;1.5,"1.3～1.4",IF(AO3149&lt;2,"1.5～1.9","2.0以上"))))))</f>
        <v/>
      </c>
      <c r="AQ3149" s="8" t="str">
        <f aca="false">IF(A3149="","",IF(ISNUMBER(SEARCH("2歳",Z3149)),"2歳戦",IF(ISNUMBER(SEARCH("3歳未勝利",Z3149)),"3歳未勝利",IF(ISNUMBER(SEARCH("未勝利",Z3149)),"その他未勝利",IF(ISNUMBER(SEARCH("G1",Z3149)),"G1",IF(ISNUMBER(SEARCH("G2",Z3149)),"G2",IF(ISNUMBER(SEARCH("G3",Z3149)),"G3",IF(ISNUMBER(SEARCH("古馬条件",Z3149)),"古馬条件戦",IF(ISNUMBER(SEARCH("重賞",Z3149)),"重賞","分類不能")))))))))</f>
        <v/>
      </c>
    </row>
    <row r="3150" customFormat="false" ht="15.75" hidden="false" customHeight="false" outlineLevel="0" collapsed="false">
      <c r="AO3150" s="8" t="str">
        <f aca="false">IF(A3150="","",IF(COUNTIFS(全馬データ!$A$2:$A$50000,A3150,全馬データ!$B$2:$B$50000,B3150,全馬データ!$C$2:$C$50000,C3150,全馬データ!$D$2:$D$50000,E3150,全馬データ!$K$2:$K$50000,"&lt;&gt;")=0,"",SUMIFS(全馬データ!$K$2:$K$50000,全馬データ!$A$2:$A$50000,A3150,全馬データ!$B$2:$B$50000,B3150,全馬データ!$C$2:$C$50000,C3150,全馬データ!$D$2:$D$50000,E3150)))</f>
        <v/>
      </c>
      <c r="AP3150" s="8" t="str">
        <f aca="false">IF(A3150="","",IF(AO3150="","欠損",IF(AO3150&lt;=1.1,"1.0～1.1",IF(AO3150&lt;1.3,"1.2",IF(AO3150&lt;1.5,"1.3～1.4",IF(AO3150&lt;2,"1.5～1.9","2.0以上"))))))</f>
        <v/>
      </c>
      <c r="AQ3150" s="8" t="str">
        <f aca="false">IF(A3150="","",IF(ISNUMBER(SEARCH("2歳",Z3150)),"2歳戦",IF(ISNUMBER(SEARCH("3歳未勝利",Z3150)),"3歳未勝利",IF(ISNUMBER(SEARCH("未勝利",Z3150)),"その他未勝利",IF(ISNUMBER(SEARCH("G1",Z3150)),"G1",IF(ISNUMBER(SEARCH("G2",Z3150)),"G2",IF(ISNUMBER(SEARCH("G3",Z3150)),"G3",IF(ISNUMBER(SEARCH("古馬条件",Z3150)),"古馬条件戦",IF(ISNUMBER(SEARCH("重賞",Z3150)),"重賞","分類不能")))))))))</f>
        <v/>
      </c>
    </row>
    <row r="3151" customFormat="false" ht="15.75" hidden="false" customHeight="false" outlineLevel="0" collapsed="false">
      <c r="AO3151" s="8" t="str">
        <f aca="false">IF(A3151="","",IF(COUNTIFS(全馬データ!$A$2:$A$50000,A3151,全馬データ!$B$2:$B$50000,B3151,全馬データ!$C$2:$C$50000,C3151,全馬データ!$D$2:$D$50000,E3151,全馬データ!$K$2:$K$50000,"&lt;&gt;")=0,"",SUMIFS(全馬データ!$K$2:$K$50000,全馬データ!$A$2:$A$50000,A3151,全馬データ!$B$2:$B$50000,B3151,全馬データ!$C$2:$C$50000,C3151,全馬データ!$D$2:$D$50000,E3151)))</f>
        <v/>
      </c>
      <c r="AP3151" s="8" t="str">
        <f aca="false">IF(A3151="","",IF(AO3151="","欠損",IF(AO3151&lt;=1.1,"1.0～1.1",IF(AO3151&lt;1.3,"1.2",IF(AO3151&lt;1.5,"1.3～1.4",IF(AO3151&lt;2,"1.5～1.9","2.0以上"))))))</f>
        <v/>
      </c>
      <c r="AQ3151" s="8" t="str">
        <f aca="false">IF(A3151="","",IF(ISNUMBER(SEARCH("2歳",Z3151)),"2歳戦",IF(ISNUMBER(SEARCH("3歳未勝利",Z3151)),"3歳未勝利",IF(ISNUMBER(SEARCH("未勝利",Z3151)),"その他未勝利",IF(ISNUMBER(SEARCH("G1",Z3151)),"G1",IF(ISNUMBER(SEARCH("G2",Z3151)),"G2",IF(ISNUMBER(SEARCH("G3",Z3151)),"G3",IF(ISNUMBER(SEARCH("古馬条件",Z3151)),"古馬条件戦",IF(ISNUMBER(SEARCH("重賞",Z3151)),"重賞","分類不能")))))))))</f>
        <v/>
      </c>
    </row>
    <row r="3152" customFormat="false" ht="15.75" hidden="false" customHeight="false" outlineLevel="0" collapsed="false">
      <c r="AO3152" s="8" t="str">
        <f aca="false">IF(A3152="","",IF(COUNTIFS(全馬データ!$A$2:$A$50000,A3152,全馬データ!$B$2:$B$50000,B3152,全馬データ!$C$2:$C$50000,C3152,全馬データ!$D$2:$D$50000,E3152,全馬データ!$K$2:$K$50000,"&lt;&gt;")=0,"",SUMIFS(全馬データ!$K$2:$K$50000,全馬データ!$A$2:$A$50000,A3152,全馬データ!$B$2:$B$50000,B3152,全馬データ!$C$2:$C$50000,C3152,全馬データ!$D$2:$D$50000,E3152)))</f>
        <v/>
      </c>
      <c r="AP3152" s="8" t="str">
        <f aca="false">IF(A3152="","",IF(AO3152="","欠損",IF(AO3152&lt;=1.1,"1.0～1.1",IF(AO3152&lt;1.3,"1.2",IF(AO3152&lt;1.5,"1.3～1.4",IF(AO3152&lt;2,"1.5～1.9","2.0以上"))))))</f>
        <v/>
      </c>
      <c r="AQ3152" s="8" t="str">
        <f aca="false">IF(A3152="","",IF(ISNUMBER(SEARCH("2歳",Z3152)),"2歳戦",IF(ISNUMBER(SEARCH("3歳未勝利",Z3152)),"3歳未勝利",IF(ISNUMBER(SEARCH("未勝利",Z3152)),"その他未勝利",IF(ISNUMBER(SEARCH("G1",Z3152)),"G1",IF(ISNUMBER(SEARCH("G2",Z3152)),"G2",IF(ISNUMBER(SEARCH("G3",Z3152)),"G3",IF(ISNUMBER(SEARCH("古馬条件",Z3152)),"古馬条件戦",IF(ISNUMBER(SEARCH("重賞",Z3152)),"重賞","分類不能")))))))))</f>
        <v/>
      </c>
    </row>
    <row r="3153" customFormat="false" ht="15.75" hidden="false" customHeight="false" outlineLevel="0" collapsed="false">
      <c r="AO3153" s="8" t="str">
        <f aca="false">IF(A3153="","",IF(COUNTIFS(全馬データ!$A$2:$A$50000,A3153,全馬データ!$B$2:$B$50000,B3153,全馬データ!$C$2:$C$50000,C3153,全馬データ!$D$2:$D$50000,E3153,全馬データ!$K$2:$K$50000,"&lt;&gt;")=0,"",SUMIFS(全馬データ!$K$2:$K$50000,全馬データ!$A$2:$A$50000,A3153,全馬データ!$B$2:$B$50000,B3153,全馬データ!$C$2:$C$50000,C3153,全馬データ!$D$2:$D$50000,E3153)))</f>
        <v/>
      </c>
      <c r="AP3153" s="8" t="str">
        <f aca="false">IF(A3153="","",IF(AO3153="","欠損",IF(AO3153&lt;=1.1,"1.0～1.1",IF(AO3153&lt;1.3,"1.2",IF(AO3153&lt;1.5,"1.3～1.4",IF(AO3153&lt;2,"1.5～1.9","2.0以上"))))))</f>
        <v/>
      </c>
      <c r="AQ3153" s="8" t="str">
        <f aca="false">IF(A3153="","",IF(ISNUMBER(SEARCH("2歳",Z3153)),"2歳戦",IF(ISNUMBER(SEARCH("3歳未勝利",Z3153)),"3歳未勝利",IF(ISNUMBER(SEARCH("未勝利",Z3153)),"その他未勝利",IF(ISNUMBER(SEARCH("G1",Z3153)),"G1",IF(ISNUMBER(SEARCH("G2",Z3153)),"G2",IF(ISNUMBER(SEARCH("G3",Z3153)),"G3",IF(ISNUMBER(SEARCH("古馬条件",Z3153)),"古馬条件戦",IF(ISNUMBER(SEARCH("重賞",Z3153)),"重賞","分類不能")))))))))</f>
        <v/>
      </c>
    </row>
    <row r="3154" customFormat="false" ht="15.75" hidden="false" customHeight="false" outlineLevel="0" collapsed="false">
      <c r="AO3154" s="8" t="str">
        <f aca="false">IF(A3154="","",IF(COUNTIFS(全馬データ!$A$2:$A$50000,A3154,全馬データ!$B$2:$B$50000,B3154,全馬データ!$C$2:$C$50000,C3154,全馬データ!$D$2:$D$50000,E3154,全馬データ!$K$2:$K$50000,"&lt;&gt;")=0,"",SUMIFS(全馬データ!$K$2:$K$50000,全馬データ!$A$2:$A$50000,A3154,全馬データ!$B$2:$B$50000,B3154,全馬データ!$C$2:$C$50000,C3154,全馬データ!$D$2:$D$50000,E3154)))</f>
        <v/>
      </c>
      <c r="AP3154" s="8" t="str">
        <f aca="false">IF(A3154="","",IF(AO3154="","欠損",IF(AO3154&lt;=1.1,"1.0～1.1",IF(AO3154&lt;1.3,"1.2",IF(AO3154&lt;1.5,"1.3～1.4",IF(AO3154&lt;2,"1.5～1.9","2.0以上"))))))</f>
        <v/>
      </c>
      <c r="AQ3154" s="8" t="str">
        <f aca="false">IF(A3154="","",IF(ISNUMBER(SEARCH("2歳",Z3154)),"2歳戦",IF(ISNUMBER(SEARCH("3歳未勝利",Z3154)),"3歳未勝利",IF(ISNUMBER(SEARCH("未勝利",Z3154)),"その他未勝利",IF(ISNUMBER(SEARCH("G1",Z3154)),"G1",IF(ISNUMBER(SEARCH("G2",Z3154)),"G2",IF(ISNUMBER(SEARCH("G3",Z3154)),"G3",IF(ISNUMBER(SEARCH("古馬条件",Z3154)),"古馬条件戦",IF(ISNUMBER(SEARCH("重賞",Z3154)),"重賞","分類不能")))))))))</f>
        <v/>
      </c>
    </row>
    <row r="3155" customFormat="false" ht="15.75" hidden="false" customHeight="false" outlineLevel="0" collapsed="false">
      <c r="AO3155" s="8" t="str">
        <f aca="false">IF(A3155="","",IF(COUNTIFS(全馬データ!$A$2:$A$50000,A3155,全馬データ!$B$2:$B$50000,B3155,全馬データ!$C$2:$C$50000,C3155,全馬データ!$D$2:$D$50000,E3155,全馬データ!$K$2:$K$50000,"&lt;&gt;")=0,"",SUMIFS(全馬データ!$K$2:$K$50000,全馬データ!$A$2:$A$50000,A3155,全馬データ!$B$2:$B$50000,B3155,全馬データ!$C$2:$C$50000,C3155,全馬データ!$D$2:$D$50000,E3155)))</f>
        <v/>
      </c>
      <c r="AP3155" s="8" t="str">
        <f aca="false">IF(A3155="","",IF(AO3155="","欠損",IF(AO3155&lt;=1.1,"1.0～1.1",IF(AO3155&lt;1.3,"1.2",IF(AO3155&lt;1.5,"1.3～1.4",IF(AO3155&lt;2,"1.5～1.9","2.0以上"))))))</f>
        <v/>
      </c>
      <c r="AQ3155" s="8" t="str">
        <f aca="false">IF(A3155="","",IF(ISNUMBER(SEARCH("2歳",Z3155)),"2歳戦",IF(ISNUMBER(SEARCH("3歳未勝利",Z3155)),"3歳未勝利",IF(ISNUMBER(SEARCH("未勝利",Z3155)),"その他未勝利",IF(ISNUMBER(SEARCH("G1",Z3155)),"G1",IF(ISNUMBER(SEARCH("G2",Z3155)),"G2",IF(ISNUMBER(SEARCH("G3",Z3155)),"G3",IF(ISNUMBER(SEARCH("古馬条件",Z3155)),"古馬条件戦",IF(ISNUMBER(SEARCH("重賞",Z3155)),"重賞","分類不能")))))))))</f>
        <v/>
      </c>
    </row>
    <row r="3156" customFormat="false" ht="15.75" hidden="false" customHeight="false" outlineLevel="0" collapsed="false">
      <c r="AO3156" s="8" t="str">
        <f aca="false">IF(A3156="","",IF(COUNTIFS(全馬データ!$A$2:$A$50000,A3156,全馬データ!$B$2:$B$50000,B3156,全馬データ!$C$2:$C$50000,C3156,全馬データ!$D$2:$D$50000,E3156,全馬データ!$K$2:$K$50000,"&lt;&gt;")=0,"",SUMIFS(全馬データ!$K$2:$K$50000,全馬データ!$A$2:$A$50000,A3156,全馬データ!$B$2:$B$50000,B3156,全馬データ!$C$2:$C$50000,C3156,全馬データ!$D$2:$D$50000,E3156)))</f>
        <v/>
      </c>
      <c r="AP3156" s="8" t="str">
        <f aca="false">IF(A3156="","",IF(AO3156="","欠損",IF(AO3156&lt;=1.1,"1.0～1.1",IF(AO3156&lt;1.3,"1.2",IF(AO3156&lt;1.5,"1.3～1.4",IF(AO3156&lt;2,"1.5～1.9","2.0以上"))))))</f>
        <v/>
      </c>
      <c r="AQ3156" s="8" t="str">
        <f aca="false">IF(A3156="","",IF(ISNUMBER(SEARCH("2歳",Z3156)),"2歳戦",IF(ISNUMBER(SEARCH("3歳未勝利",Z3156)),"3歳未勝利",IF(ISNUMBER(SEARCH("未勝利",Z3156)),"その他未勝利",IF(ISNUMBER(SEARCH("G1",Z3156)),"G1",IF(ISNUMBER(SEARCH("G2",Z3156)),"G2",IF(ISNUMBER(SEARCH("G3",Z3156)),"G3",IF(ISNUMBER(SEARCH("古馬条件",Z3156)),"古馬条件戦",IF(ISNUMBER(SEARCH("重賞",Z3156)),"重賞","分類不能")))))))))</f>
        <v/>
      </c>
    </row>
    <row r="3157" customFormat="false" ht="15.75" hidden="false" customHeight="false" outlineLevel="0" collapsed="false">
      <c r="AO3157" s="8" t="str">
        <f aca="false">IF(A3157="","",IF(COUNTIFS(全馬データ!$A$2:$A$50000,A3157,全馬データ!$B$2:$B$50000,B3157,全馬データ!$C$2:$C$50000,C3157,全馬データ!$D$2:$D$50000,E3157,全馬データ!$K$2:$K$50000,"&lt;&gt;")=0,"",SUMIFS(全馬データ!$K$2:$K$50000,全馬データ!$A$2:$A$50000,A3157,全馬データ!$B$2:$B$50000,B3157,全馬データ!$C$2:$C$50000,C3157,全馬データ!$D$2:$D$50000,E3157)))</f>
        <v/>
      </c>
      <c r="AP3157" s="8" t="str">
        <f aca="false">IF(A3157="","",IF(AO3157="","欠損",IF(AO3157&lt;=1.1,"1.0～1.1",IF(AO3157&lt;1.3,"1.2",IF(AO3157&lt;1.5,"1.3～1.4",IF(AO3157&lt;2,"1.5～1.9","2.0以上"))))))</f>
        <v/>
      </c>
      <c r="AQ3157" s="8" t="str">
        <f aca="false">IF(A3157="","",IF(ISNUMBER(SEARCH("2歳",Z3157)),"2歳戦",IF(ISNUMBER(SEARCH("3歳未勝利",Z3157)),"3歳未勝利",IF(ISNUMBER(SEARCH("未勝利",Z3157)),"その他未勝利",IF(ISNUMBER(SEARCH("G1",Z3157)),"G1",IF(ISNUMBER(SEARCH("G2",Z3157)),"G2",IF(ISNUMBER(SEARCH("G3",Z3157)),"G3",IF(ISNUMBER(SEARCH("古馬条件",Z3157)),"古馬条件戦",IF(ISNUMBER(SEARCH("重賞",Z3157)),"重賞","分類不能")))))))))</f>
        <v/>
      </c>
    </row>
    <row r="3158" customFormat="false" ht="15.75" hidden="false" customHeight="false" outlineLevel="0" collapsed="false">
      <c r="AO3158" s="8" t="str">
        <f aca="false">IF(A3158="","",IF(COUNTIFS(全馬データ!$A$2:$A$50000,A3158,全馬データ!$B$2:$B$50000,B3158,全馬データ!$C$2:$C$50000,C3158,全馬データ!$D$2:$D$50000,E3158,全馬データ!$K$2:$K$50000,"&lt;&gt;")=0,"",SUMIFS(全馬データ!$K$2:$K$50000,全馬データ!$A$2:$A$50000,A3158,全馬データ!$B$2:$B$50000,B3158,全馬データ!$C$2:$C$50000,C3158,全馬データ!$D$2:$D$50000,E3158)))</f>
        <v/>
      </c>
      <c r="AP3158" s="8" t="str">
        <f aca="false">IF(A3158="","",IF(AO3158="","欠損",IF(AO3158&lt;=1.1,"1.0～1.1",IF(AO3158&lt;1.3,"1.2",IF(AO3158&lt;1.5,"1.3～1.4",IF(AO3158&lt;2,"1.5～1.9","2.0以上"))))))</f>
        <v/>
      </c>
      <c r="AQ3158" s="8" t="str">
        <f aca="false">IF(A3158="","",IF(ISNUMBER(SEARCH("2歳",Z3158)),"2歳戦",IF(ISNUMBER(SEARCH("3歳未勝利",Z3158)),"3歳未勝利",IF(ISNUMBER(SEARCH("未勝利",Z3158)),"その他未勝利",IF(ISNUMBER(SEARCH("G1",Z3158)),"G1",IF(ISNUMBER(SEARCH("G2",Z3158)),"G2",IF(ISNUMBER(SEARCH("G3",Z3158)),"G3",IF(ISNUMBER(SEARCH("古馬条件",Z3158)),"古馬条件戦",IF(ISNUMBER(SEARCH("重賞",Z3158)),"重賞","分類不能")))))))))</f>
        <v/>
      </c>
    </row>
    <row r="3159" customFormat="false" ht="15.75" hidden="false" customHeight="false" outlineLevel="0" collapsed="false">
      <c r="AO3159" s="8" t="str">
        <f aca="false">IF(A3159="","",IF(COUNTIFS(全馬データ!$A$2:$A$50000,A3159,全馬データ!$B$2:$B$50000,B3159,全馬データ!$C$2:$C$50000,C3159,全馬データ!$D$2:$D$50000,E3159,全馬データ!$K$2:$K$50000,"&lt;&gt;")=0,"",SUMIFS(全馬データ!$K$2:$K$50000,全馬データ!$A$2:$A$50000,A3159,全馬データ!$B$2:$B$50000,B3159,全馬データ!$C$2:$C$50000,C3159,全馬データ!$D$2:$D$50000,E3159)))</f>
        <v/>
      </c>
      <c r="AP3159" s="8" t="str">
        <f aca="false">IF(A3159="","",IF(AO3159="","欠損",IF(AO3159&lt;=1.1,"1.0～1.1",IF(AO3159&lt;1.3,"1.2",IF(AO3159&lt;1.5,"1.3～1.4",IF(AO3159&lt;2,"1.5～1.9","2.0以上"))))))</f>
        <v/>
      </c>
      <c r="AQ3159" s="8" t="str">
        <f aca="false">IF(A3159="","",IF(ISNUMBER(SEARCH("2歳",Z3159)),"2歳戦",IF(ISNUMBER(SEARCH("3歳未勝利",Z3159)),"3歳未勝利",IF(ISNUMBER(SEARCH("未勝利",Z3159)),"その他未勝利",IF(ISNUMBER(SEARCH("G1",Z3159)),"G1",IF(ISNUMBER(SEARCH("G2",Z3159)),"G2",IF(ISNUMBER(SEARCH("G3",Z3159)),"G3",IF(ISNUMBER(SEARCH("古馬条件",Z3159)),"古馬条件戦",IF(ISNUMBER(SEARCH("重賞",Z3159)),"重賞","分類不能")))))))))</f>
        <v/>
      </c>
    </row>
    <row r="3160" customFormat="false" ht="15.75" hidden="false" customHeight="false" outlineLevel="0" collapsed="false">
      <c r="AO3160" s="8" t="str">
        <f aca="false">IF(A3160="","",IF(COUNTIFS(全馬データ!$A$2:$A$50000,A3160,全馬データ!$B$2:$B$50000,B3160,全馬データ!$C$2:$C$50000,C3160,全馬データ!$D$2:$D$50000,E3160,全馬データ!$K$2:$K$50000,"&lt;&gt;")=0,"",SUMIFS(全馬データ!$K$2:$K$50000,全馬データ!$A$2:$A$50000,A3160,全馬データ!$B$2:$B$50000,B3160,全馬データ!$C$2:$C$50000,C3160,全馬データ!$D$2:$D$50000,E3160)))</f>
        <v/>
      </c>
      <c r="AP3160" s="8" t="str">
        <f aca="false">IF(A3160="","",IF(AO3160="","欠損",IF(AO3160&lt;=1.1,"1.0～1.1",IF(AO3160&lt;1.3,"1.2",IF(AO3160&lt;1.5,"1.3～1.4",IF(AO3160&lt;2,"1.5～1.9","2.0以上"))))))</f>
        <v/>
      </c>
      <c r="AQ3160" s="8" t="str">
        <f aca="false">IF(A3160="","",IF(ISNUMBER(SEARCH("2歳",Z3160)),"2歳戦",IF(ISNUMBER(SEARCH("3歳未勝利",Z3160)),"3歳未勝利",IF(ISNUMBER(SEARCH("未勝利",Z3160)),"その他未勝利",IF(ISNUMBER(SEARCH("G1",Z3160)),"G1",IF(ISNUMBER(SEARCH("G2",Z3160)),"G2",IF(ISNUMBER(SEARCH("G3",Z3160)),"G3",IF(ISNUMBER(SEARCH("古馬条件",Z3160)),"古馬条件戦",IF(ISNUMBER(SEARCH("重賞",Z3160)),"重賞","分類不能")))))))))</f>
        <v/>
      </c>
    </row>
    <row r="3161" customFormat="false" ht="15.75" hidden="false" customHeight="false" outlineLevel="0" collapsed="false">
      <c r="AO3161" s="8" t="str">
        <f aca="false">IF(A3161="","",IF(COUNTIFS(全馬データ!$A$2:$A$50000,A3161,全馬データ!$B$2:$B$50000,B3161,全馬データ!$C$2:$C$50000,C3161,全馬データ!$D$2:$D$50000,E3161,全馬データ!$K$2:$K$50000,"&lt;&gt;")=0,"",SUMIFS(全馬データ!$K$2:$K$50000,全馬データ!$A$2:$A$50000,A3161,全馬データ!$B$2:$B$50000,B3161,全馬データ!$C$2:$C$50000,C3161,全馬データ!$D$2:$D$50000,E3161)))</f>
        <v/>
      </c>
      <c r="AP3161" s="8" t="str">
        <f aca="false">IF(A3161="","",IF(AO3161="","欠損",IF(AO3161&lt;=1.1,"1.0～1.1",IF(AO3161&lt;1.3,"1.2",IF(AO3161&lt;1.5,"1.3～1.4",IF(AO3161&lt;2,"1.5～1.9","2.0以上"))))))</f>
        <v/>
      </c>
      <c r="AQ3161" s="8" t="str">
        <f aca="false">IF(A3161="","",IF(ISNUMBER(SEARCH("2歳",Z3161)),"2歳戦",IF(ISNUMBER(SEARCH("3歳未勝利",Z3161)),"3歳未勝利",IF(ISNUMBER(SEARCH("未勝利",Z3161)),"その他未勝利",IF(ISNUMBER(SEARCH("G1",Z3161)),"G1",IF(ISNUMBER(SEARCH("G2",Z3161)),"G2",IF(ISNUMBER(SEARCH("G3",Z3161)),"G3",IF(ISNUMBER(SEARCH("古馬条件",Z3161)),"古馬条件戦",IF(ISNUMBER(SEARCH("重賞",Z3161)),"重賞","分類不能")))))))))</f>
        <v/>
      </c>
    </row>
    <row r="3162" customFormat="false" ht="15.75" hidden="false" customHeight="false" outlineLevel="0" collapsed="false">
      <c r="AO3162" s="8" t="str">
        <f aca="false">IF(A3162="","",IF(COUNTIFS(全馬データ!$A$2:$A$50000,A3162,全馬データ!$B$2:$B$50000,B3162,全馬データ!$C$2:$C$50000,C3162,全馬データ!$D$2:$D$50000,E3162,全馬データ!$K$2:$K$50000,"&lt;&gt;")=0,"",SUMIFS(全馬データ!$K$2:$K$50000,全馬データ!$A$2:$A$50000,A3162,全馬データ!$B$2:$B$50000,B3162,全馬データ!$C$2:$C$50000,C3162,全馬データ!$D$2:$D$50000,E3162)))</f>
        <v/>
      </c>
      <c r="AP3162" s="8" t="str">
        <f aca="false">IF(A3162="","",IF(AO3162="","欠損",IF(AO3162&lt;=1.1,"1.0～1.1",IF(AO3162&lt;1.3,"1.2",IF(AO3162&lt;1.5,"1.3～1.4",IF(AO3162&lt;2,"1.5～1.9","2.0以上"))))))</f>
        <v/>
      </c>
      <c r="AQ3162" s="8" t="str">
        <f aca="false">IF(A3162="","",IF(ISNUMBER(SEARCH("2歳",Z3162)),"2歳戦",IF(ISNUMBER(SEARCH("3歳未勝利",Z3162)),"3歳未勝利",IF(ISNUMBER(SEARCH("未勝利",Z3162)),"その他未勝利",IF(ISNUMBER(SEARCH("G1",Z3162)),"G1",IF(ISNUMBER(SEARCH("G2",Z3162)),"G2",IF(ISNUMBER(SEARCH("G3",Z3162)),"G3",IF(ISNUMBER(SEARCH("古馬条件",Z3162)),"古馬条件戦",IF(ISNUMBER(SEARCH("重賞",Z3162)),"重賞","分類不能")))))))))</f>
        <v/>
      </c>
    </row>
    <row r="3163" customFormat="false" ht="15.75" hidden="false" customHeight="false" outlineLevel="0" collapsed="false">
      <c r="AO3163" s="8" t="str">
        <f aca="false">IF(A3163="","",IF(COUNTIFS(全馬データ!$A$2:$A$50000,A3163,全馬データ!$B$2:$B$50000,B3163,全馬データ!$C$2:$C$50000,C3163,全馬データ!$D$2:$D$50000,E3163,全馬データ!$K$2:$K$50000,"&lt;&gt;")=0,"",SUMIFS(全馬データ!$K$2:$K$50000,全馬データ!$A$2:$A$50000,A3163,全馬データ!$B$2:$B$50000,B3163,全馬データ!$C$2:$C$50000,C3163,全馬データ!$D$2:$D$50000,E3163)))</f>
        <v/>
      </c>
      <c r="AP3163" s="8" t="str">
        <f aca="false">IF(A3163="","",IF(AO3163="","欠損",IF(AO3163&lt;=1.1,"1.0～1.1",IF(AO3163&lt;1.3,"1.2",IF(AO3163&lt;1.5,"1.3～1.4",IF(AO3163&lt;2,"1.5～1.9","2.0以上"))))))</f>
        <v/>
      </c>
      <c r="AQ3163" s="8" t="str">
        <f aca="false">IF(A3163="","",IF(ISNUMBER(SEARCH("2歳",Z3163)),"2歳戦",IF(ISNUMBER(SEARCH("3歳未勝利",Z3163)),"3歳未勝利",IF(ISNUMBER(SEARCH("未勝利",Z3163)),"その他未勝利",IF(ISNUMBER(SEARCH("G1",Z3163)),"G1",IF(ISNUMBER(SEARCH("G2",Z3163)),"G2",IF(ISNUMBER(SEARCH("G3",Z3163)),"G3",IF(ISNUMBER(SEARCH("古馬条件",Z3163)),"古馬条件戦",IF(ISNUMBER(SEARCH("重賞",Z3163)),"重賞","分類不能")))))))))</f>
        <v/>
      </c>
    </row>
    <row r="3164" customFormat="false" ht="15.75" hidden="false" customHeight="false" outlineLevel="0" collapsed="false">
      <c r="AO3164" s="8" t="str">
        <f aca="false">IF(A3164="","",IF(COUNTIFS(全馬データ!$A$2:$A$50000,A3164,全馬データ!$B$2:$B$50000,B3164,全馬データ!$C$2:$C$50000,C3164,全馬データ!$D$2:$D$50000,E3164,全馬データ!$K$2:$K$50000,"&lt;&gt;")=0,"",SUMIFS(全馬データ!$K$2:$K$50000,全馬データ!$A$2:$A$50000,A3164,全馬データ!$B$2:$B$50000,B3164,全馬データ!$C$2:$C$50000,C3164,全馬データ!$D$2:$D$50000,E3164)))</f>
        <v/>
      </c>
      <c r="AP3164" s="8" t="str">
        <f aca="false">IF(A3164="","",IF(AO3164="","欠損",IF(AO3164&lt;=1.1,"1.0～1.1",IF(AO3164&lt;1.3,"1.2",IF(AO3164&lt;1.5,"1.3～1.4",IF(AO3164&lt;2,"1.5～1.9","2.0以上"))))))</f>
        <v/>
      </c>
      <c r="AQ3164" s="8" t="str">
        <f aca="false">IF(A3164="","",IF(ISNUMBER(SEARCH("2歳",Z3164)),"2歳戦",IF(ISNUMBER(SEARCH("3歳未勝利",Z3164)),"3歳未勝利",IF(ISNUMBER(SEARCH("未勝利",Z3164)),"その他未勝利",IF(ISNUMBER(SEARCH("G1",Z3164)),"G1",IF(ISNUMBER(SEARCH("G2",Z3164)),"G2",IF(ISNUMBER(SEARCH("G3",Z3164)),"G3",IF(ISNUMBER(SEARCH("古馬条件",Z3164)),"古馬条件戦",IF(ISNUMBER(SEARCH("重賞",Z3164)),"重賞","分類不能")))))))))</f>
        <v/>
      </c>
    </row>
    <row r="3165" customFormat="false" ht="15.75" hidden="false" customHeight="false" outlineLevel="0" collapsed="false">
      <c r="AO3165" s="8" t="str">
        <f aca="false">IF(A3165="","",IF(COUNTIFS(全馬データ!$A$2:$A$50000,A3165,全馬データ!$B$2:$B$50000,B3165,全馬データ!$C$2:$C$50000,C3165,全馬データ!$D$2:$D$50000,E3165,全馬データ!$K$2:$K$50000,"&lt;&gt;")=0,"",SUMIFS(全馬データ!$K$2:$K$50000,全馬データ!$A$2:$A$50000,A3165,全馬データ!$B$2:$B$50000,B3165,全馬データ!$C$2:$C$50000,C3165,全馬データ!$D$2:$D$50000,E3165)))</f>
        <v/>
      </c>
      <c r="AP3165" s="8" t="str">
        <f aca="false">IF(A3165="","",IF(AO3165="","欠損",IF(AO3165&lt;=1.1,"1.0～1.1",IF(AO3165&lt;1.3,"1.2",IF(AO3165&lt;1.5,"1.3～1.4",IF(AO3165&lt;2,"1.5～1.9","2.0以上"))))))</f>
        <v/>
      </c>
      <c r="AQ3165" s="8" t="str">
        <f aca="false">IF(A3165="","",IF(ISNUMBER(SEARCH("2歳",Z3165)),"2歳戦",IF(ISNUMBER(SEARCH("3歳未勝利",Z3165)),"3歳未勝利",IF(ISNUMBER(SEARCH("未勝利",Z3165)),"その他未勝利",IF(ISNUMBER(SEARCH("G1",Z3165)),"G1",IF(ISNUMBER(SEARCH("G2",Z3165)),"G2",IF(ISNUMBER(SEARCH("G3",Z3165)),"G3",IF(ISNUMBER(SEARCH("古馬条件",Z3165)),"古馬条件戦",IF(ISNUMBER(SEARCH("重賞",Z3165)),"重賞","分類不能")))))))))</f>
        <v/>
      </c>
    </row>
    <row r="3166" customFormat="false" ht="15.75" hidden="false" customHeight="false" outlineLevel="0" collapsed="false">
      <c r="AO3166" s="8" t="str">
        <f aca="false">IF(A3166="","",IF(COUNTIFS(全馬データ!$A$2:$A$50000,A3166,全馬データ!$B$2:$B$50000,B3166,全馬データ!$C$2:$C$50000,C3166,全馬データ!$D$2:$D$50000,E3166,全馬データ!$K$2:$K$50000,"&lt;&gt;")=0,"",SUMIFS(全馬データ!$K$2:$K$50000,全馬データ!$A$2:$A$50000,A3166,全馬データ!$B$2:$B$50000,B3166,全馬データ!$C$2:$C$50000,C3166,全馬データ!$D$2:$D$50000,E3166)))</f>
        <v/>
      </c>
      <c r="AP3166" s="8" t="str">
        <f aca="false">IF(A3166="","",IF(AO3166="","欠損",IF(AO3166&lt;=1.1,"1.0～1.1",IF(AO3166&lt;1.3,"1.2",IF(AO3166&lt;1.5,"1.3～1.4",IF(AO3166&lt;2,"1.5～1.9","2.0以上"))))))</f>
        <v/>
      </c>
      <c r="AQ3166" s="8" t="str">
        <f aca="false">IF(A3166="","",IF(ISNUMBER(SEARCH("2歳",Z3166)),"2歳戦",IF(ISNUMBER(SEARCH("3歳未勝利",Z3166)),"3歳未勝利",IF(ISNUMBER(SEARCH("未勝利",Z3166)),"その他未勝利",IF(ISNUMBER(SEARCH("G1",Z3166)),"G1",IF(ISNUMBER(SEARCH("G2",Z3166)),"G2",IF(ISNUMBER(SEARCH("G3",Z3166)),"G3",IF(ISNUMBER(SEARCH("古馬条件",Z3166)),"古馬条件戦",IF(ISNUMBER(SEARCH("重賞",Z3166)),"重賞","分類不能")))))))))</f>
        <v/>
      </c>
    </row>
    <row r="3167" customFormat="false" ht="15.75" hidden="false" customHeight="false" outlineLevel="0" collapsed="false">
      <c r="AO3167" s="8" t="str">
        <f aca="false">IF(A3167="","",IF(COUNTIFS(全馬データ!$A$2:$A$50000,A3167,全馬データ!$B$2:$B$50000,B3167,全馬データ!$C$2:$C$50000,C3167,全馬データ!$D$2:$D$50000,E3167,全馬データ!$K$2:$K$50000,"&lt;&gt;")=0,"",SUMIFS(全馬データ!$K$2:$K$50000,全馬データ!$A$2:$A$50000,A3167,全馬データ!$B$2:$B$50000,B3167,全馬データ!$C$2:$C$50000,C3167,全馬データ!$D$2:$D$50000,E3167)))</f>
        <v/>
      </c>
      <c r="AP3167" s="8" t="str">
        <f aca="false">IF(A3167="","",IF(AO3167="","欠損",IF(AO3167&lt;=1.1,"1.0～1.1",IF(AO3167&lt;1.3,"1.2",IF(AO3167&lt;1.5,"1.3～1.4",IF(AO3167&lt;2,"1.5～1.9","2.0以上"))))))</f>
        <v/>
      </c>
      <c r="AQ3167" s="8" t="str">
        <f aca="false">IF(A3167="","",IF(ISNUMBER(SEARCH("2歳",Z3167)),"2歳戦",IF(ISNUMBER(SEARCH("3歳未勝利",Z3167)),"3歳未勝利",IF(ISNUMBER(SEARCH("未勝利",Z3167)),"その他未勝利",IF(ISNUMBER(SEARCH("G1",Z3167)),"G1",IF(ISNUMBER(SEARCH("G2",Z3167)),"G2",IF(ISNUMBER(SEARCH("G3",Z3167)),"G3",IF(ISNUMBER(SEARCH("古馬条件",Z3167)),"古馬条件戦",IF(ISNUMBER(SEARCH("重賞",Z3167)),"重賞","分類不能")))))))))</f>
        <v/>
      </c>
    </row>
    <row r="3168" customFormat="false" ht="15.75" hidden="false" customHeight="false" outlineLevel="0" collapsed="false">
      <c r="AO3168" s="8" t="str">
        <f aca="false">IF(A3168="","",IF(COUNTIFS(全馬データ!$A$2:$A$50000,A3168,全馬データ!$B$2:$B$50000,B3168,全馬データ!$C$2:$C$50000,C3168,全馬データ!$D$2:$D$50000,E3168,全馬データ!$K$2:$K$50000,"&lt;&gt;")=0,"",SUMIFS(全馬データ!$K$2:$K$50000,全馬データ!$A$2:$A$50000,A3168,全馬データ!$B$2:$B$50000,B3168,全馬データ!$C$2:$C$50000,C3168,全馬データ!$D$2:$D$50000,E3168)))</f>
        <v/>
      </c>
      <c r="AP3168" s="8" t="str">
        <f aca="false">IF(A3168="","",IF(AO3168="","欠損",IF(AO3168&lt;=1.1,"1.0～1.1",IF(AO3168&lt;1.3,"1.2",IF(AO3168&lt;1.5,"1.3～1.4",IF(AO3168&lt;2,"1.5～1.9","2.0以上"))))))</f>
        <v/>
      </c>
      <c r="AQ3168" s="8" t="str">
        <f aca="false">IF(A3168="","",IF(ISNUMBER(SEARCH("2歳",Z3168)),"2歳戦",IF(ISNUMBER(SEARCH("3歳未勝利",Z3168)),"3歳未勝利",IF(ISNUMBER(SEARCH("未勝利",Z3168)),"その他未勝利",IF(ISNUMBER(SEARCH("G1",Z3168)),"G1",IF(ISNUMBER(SEARCH("G2",Z3168)),"G2",IF(ISNUMBER(SEARCH("G3",Z3168)),"G3",IF(ISNUMBER(SEARCH("古馬条件",Z3168)),"古馬条件戦",IF(ISNUMBER(SEARCH("重賞",Z3168)),"重賞","分類不能")))))))))</f>
        <v/>
      </c>
    </row>
    <row r="3169" customFormat="false" ht="15.75" hidden="false" customHeight="false" outlineLevel="0" collapsed="false">
      <c r="AO3169" s="8" t="str">
        <f aca="false">IF(A3169="","",IF(COUNTIFS(全馬データ!$A$2:$A$50000,A3169,全馬データ!$B$2:$B$50000,B3169,全馬データ!$C$2:$C$50000,C3169,全馬データ!$D$2:$D$50000,E3169,全馬データ!$K$2:$K$50000,"&lt;&gt;")=0,"",SUMIFS(全馬データ!$K$2:$K$50000,全馬データ!$A$2:$A$50000,A3169,全馬データ!$B$2:$B$50000,B3169,全馬データ!$C$2:$C$50000,C3169,全馬データ!$D$2:$D$50000,E3169)))</f>
        <v/>
      </c>
      <c r="AP3169" s="8" t="str">
        <f aca="false">IF(A3169="","",IF(AO3169="","欠損",IF(AO3169&lt;=1.1,"1.0～1.1",IF(AO3169&lt;1.3,"1.2",IF(AO3169&lt;1.5,"1.3～1.4",IF(AO3169&lt;2,"1.5～1.9","2.0以上"))))))</f>
        <v/>
      </c>
      <c r="AQ3169" s="8" t="str">
        <f aca="false">IF(A3169="","",IF(ISNUMBER(SEARCH("2歳",Z3169)),"2歳戦",IF(ISNUMBER(SEARCH("3歳未勝利",Z3169)),"3歳未勝利",IF(ISNUMBER(SEARCH("未勝利",Z3169)),"その他未勝利",IF(ISNUMBER(SEARCH("G1",Z3169)),"G1",IF(ISNUMBER(SEARCH("G2",Z3169)),"G2",IF(ISNUMBER(SEARCH("G3",Z3169)),"G3",IF(ISNUMBER(SEARCH("古馬条件",Z3169)),"古馬条件戦",IF(ISNUMBER(SEARCH("重賞",Z3169)),"重賞","分類不能")))))))))</f>
        <v/>
      </c>
    </row>
    <row r="3170" customFormat="false" ht="15.75" hidden="false" customHeight="false" outlineLevel="0" collapsed="false">
      <c r="AO3170" s="8" t="str">
        <f aca="false">IF(A3170="","",IF(COUNTIFS(全馬データ!$A$2:$A$50000,A3170,全馬データ!$B$2:$B$50000,B3170,全馬データ!$C$2:$C$50000,C3170,全馬データ!$D$2:$D$50000,E3170,全馬データ!$K$2:$K$50000,"&lt;&gt;")=0,"",SUMIFS(全馬データ!$K$2:$K$50000,全馬データ!$A$2:$A$50000,A3170,全馬データ!$B$2:$B$50000,B3170,全馬データ!$C$2:$C$50000,C3170,全馬データ!$D$2:$D$50000,E3170)))</f>
        <v/>
      </c>
      <c r="AP3170" s="8" t="str">
        <f aca="false">IF(A3170="","",IF(AO3170="","欠損",IF(AO3170&lt;=1.1,"1.0～1.1",IF(AO3170&lt;1.3,"1.2",IF(AO3170&lt;1.5,"1.3～1.4",IF(AO3170&lt;2,"1.5～1.9","2.0以上"))))))</f>
        <v/>
      </c>
      <c r="AQ3170" s="8" t="str">
        <f aca="false">IF(A3170="","",IF(ISNUMBER(SEARCH("2歳",Z3170)),"2歳戦",IF(ISNUMBER(SEARCH("3歳未勝利",Z3170)),"3歳未勝利",IF(ISNUMBER(SEARCH("未勝利",Z3170)),"その他未勝利",IF(ISNUMBER(SEARCH("G1",Z3170)),"G1",IF(ISNUMBER(SEARCH("G2",Z3170)),"G2",IF(ISNUMBER(SEARCH("G3",Z3170)),"G3",IF(ISNUMBER(SEARCH("古馬条件",Z3170)),"古馬条件戦",IF(ISNUMBER(SEARCH("重賞",Z3170)),"重賞","分類不能")))))))))</f>
        <v/>
      </c>
    </row>
    <row r="3171" customFormat="false" ht="15.75" hidden="false" customHeight="false" outlineLevel="0" collapsed="false">
      <c r="AO3171" s="8" t="str">
        <f aca="false">IF(A3171="","",IF(COUNTIFS(全馬データ!$A$2:$A$50000,A3171,全馬データ!$B$2:$B$50000,B3171,全馬データ!$C$2:$C$50000,C3171,全馬データ!$D$2:$D$50000,E3171,全馬データ!$K$2:$K$50000,"&lt;&gt;")=0,"",SUMIFS(全馬データ!$K$2:$K$50000,全馬データ!$A$2:$A$50000,A3171,全馬データ!$B$2:$B$50000,B3171,全馬データ!$C$2:$C$50000,C3171,全馬データ!$D$2:$D$50000,E3171)))</f>
        <v/>
      </c>
      <c r="AP3171" s="8" t="str">
        <f aca="false">IF(A3171="","",IF(AO3171="","欠損",IF(AO3171&lt;=1.1,"1.0～1.1",IF(AO3171&lt;1.3,"1.2",IF(AO3171&lt;1.5,"1.3～1.4",IF(AO3171&lt;2,"1.5～1.9","2.0以上"))))))</f>
        <v/>
      </c>
      <c r="AQ3171" s="8" t="str">
        <f aca="false">IF(A3171="","",IF(ISNUMBER(SEARCH("2歳",Z3171)),"2歳戦",IF(ISNUMBER(SEARCH("3歳未勝利",Z3171)),"3歳未勝利",IF(ISNUMBER(SEARCH("未勝利",Z3171)),"その他未勝利",IF(ISNUMBER(SEARCH("G1",Z3171)),"G1",IF(ISNUMBER(SEARCH("G2",Z3171)),"G2",IF(ISNUMBER(SEARCH("G3",Z3171)),"G3",IF(ISNUMBER(SEARCH("古馬条件",Z3171)),"古馬条件戦",IF(ISNUMBER(SEARCH("重賞",Z3171)),"重賞","分類不能")))))))))</f>
        <v/>
      </c>
    </row>
    <row r="3172" customFormat="false" ht="15.75" hidden="false" customHeight="false" outlineLevel="0" collapsed="false">
      <c r="AO3172" s="8" t="str">
        <f aca="false">IF(A3172="","",IF(COUNTIFS(全馬データ!$A$2:$A$50000,A3172,全馬データ!$B$2:$B$50000,B3172,全馬データ!$C$2:$C$50000,C3172,全馬データ!$D$2:$D$50000,E3172,全馬データ!$K$2:$K$50000,"&lt;&gt;")=0,"",SUMIFS(全馬データ!$K$2:$K$50000,全馬データ!$A$2:$A$50000,A3172,全馬データ!$B$2:$B$50000,B3172,全馬データ!$C$2:$C$50000,C3172,全馬データ!$D$2:$D$50000,E3172)))</f>
        <v/>
      </c>
      <c r="AP3172" s="8" t="str">
        <f aca="false">IF(A3172="","",IF(AO3172="","欠損",IF(AO3172&lt;=1.1,"1.0～1.1",IF(AO3172&lt;1.3,"1.2",IF(AO3172&lt;1.5,"1.3～1.4",IF(AO3172&lt;2,"1.5～1.9","2.0以上"))))))</f>
        <v/>
      </c>
      <c r="AQ3172" s="8" t="str">
        <f aca="false">IF(A3172="","",IF(ISNUMBER(SEARCH("2歳",Z3172)),"2歳戦",IF(ISNUMBER(SEARCH("3歳未勝利",Z3172)),"3歳未勝利",IF(ISNUMBER(SEARCH("未勝利",Z3172)),"その他未勝利",IF(ISNUMBER(SEARCH("G1",Z3172)),"G1",IF(ISNUMBER(SEARCH("G2",Z3172)),"G2",IF(ISNUMBER(SEARCH("G3",Z3172)),"G3",IF(ISNUMBER(SEARCH("古馬条件",Z3172)),"古馬条件戦",IF(ISNUMBER(SEARCH("重賞",Z3172)),"重賞","分類不能")))))))))</f>
        <v/>
      </c>
    </row>
    <row r="3173" customFormat="false" ht="15.75" hidden="false" customHeight="false" outlineLevel="0" collapsed="false">
      <c r="AO3173" s="8" t="str">
        <f aca="false">IF(A3173="","",IF(COUNTIFS(全馬データ!$A$2:$A$50000,A3173,全馬データ!$B$2:$B$50000,B3173,全馬データ!$C$2:$C$50000,C3173,全馬データ!$D$2:$D$50000,E3173,全馬データ!$K$2:$K$50000,"&lt;&gt;")=0,"",SUMIFS(全馬データ!$K$2:$K$50000,全馬データ!$A$2:$A$50000,A3173,全馬データ!$B$2:$B$50000,B3173,全馬データ!$C$2:$C$50000,C3173,全馬データ!$D$2:$D$50000,E3173)))</f>
        <v/>
      </c>
      <c r="AP3173" s="8" t="str">
        <f aca="false">IF(A3173="","",IF(AO3173="","欠損",IF(AO3173&lt;=1.1,"1.0～1.1",IF(AO3173&lt;1.3,"1.2",IF(AO3173&lt;1.5,"1.3～1.4",IF(AO3173&lt;2,"1.5～1.9","2.0以上"))))))</f>
        <v/>
      </c>
      <c r="AQ3173" s="8" t="str">
        <f aca="false">IF(A3173="","",IF(ISNUMBER(SEARCH("2歳",Z3173)),"2歳戦",IF(ISNUMBER(SEARCH("3歳未勝利",Z3173)),"3歳未勝利",IF(ISNUMBER(SEARCH("未勝利",Z3173)),"その他未勝利",IF(ISNUMBER(SEARCH("G1",Z3173)),"G1",IF(ISNUMBER(SEARCH("G2",Z3173)),"G2",IF(ISNUMBER(SEARCH("G3",Z3173)),"G3",IF(ISNUMBER(SEARCH("古馬条件",Z3173)),"古馬条件戦",IF(ISNUMBER(SEARCH("重賞",Z3173)),"重賞","分類不能")))))))))</f>
        <v/>
      </c>
    </row>
    <row r="3174" customFormat="false" ht="15.75" hidden="false" customHeight="false" outlineLevel="0" collapsed="false">
      <c r="AO3174" s="8" t="str">
        <f aca="false">IF(A3174="","",IF(COUNTIFS(全馬データ!$A$2:$A$50000,A3174,全馬データ!$B$2:$B$50000,B3174,全馬データ!$C$2:$C$50000,C3174,全馬データ!$D$2:$D$50000,E3174,全馬データ!$K$2:$K$50000,"&lt;&gt;")=0,"",SUMIFS(全馬データ!$K$2:$K$50000,全馬データ!$A$2:$A$50000,A3174,全馬データ!$B$2:$B$50000,B3174,全馬データ!$C$2:$C$50000,C3174,全馬データ!$D$2:$D$50000,E3174)))</f>
        <v/>
      </c>
      <c r="AP3174" s="8" t="str">
        <f aca="false">IF(A3174="","",IF(AO3174="","欠損",IF(AO3174&lt;=1.1,"1.0～1.1",IF(AO3174&lt;1.3,"1.2",IF(AO3174&lt;1.5,"1.3～1.4",IF(AO3174&lt;2,"1.5～1.9","2.0以上"))))))</f>
        <v/>
      </c>
      <c r="AQ3174" s="8" t="str">
        <f aca="false">IF(A3174="","",IF(ISNUMBER(SEARCH("2歳",Z3174)),"2歳戦",IF(ISNUMBER(SEARCH("3歳未勝利",Z3174)),"3歳未勝利",IF(ISNUMBER(SEARCH("未勝利",Z3174)),"その他未勝利",IF(ISNUMBER(SEARCH("G1",Z3174)),"G1",IF(ISNUMBER(SEARCH("G2",Z3174)),"G2",IF(ISNUMBER(SEARCH("G3",Z3174)),"G3",IF(ISNUMBER(SEARCH("古馬条件",Z3174)),"古馬条件戦",IF(ISNUMBER(SEARCH("重賞",Z3174)),"重賞","分類不能")))))))))</f>
        <v/>
      </c>
    </row>
    <row r="3175" customFormat="false" ht="15.75" hidden="false" customHeight="false" outlineLevel="0" collapsed="false">
      <c r="AO3175" s="8" t="str">
        <f aca="false">IF(A3175="","",IF(COUNTIFS(全馬データ!$A$2:$A$50000,A3175,全馬データ!$B$2:$B$50000,B3175,全馬データ!$C$2:$C$50000,C3175,全馬データ!$D$2:$D$50000,E3175,全馬データ!$K$2:$K$50000,"&lt;&gt;")=0,"",SUMIFS(全馬データ!$K$2:$K$50000,全馬データ!$A$2:$A$50000,A3175,全馬データ!$B$2:$B$50000,B3175,全馬データ!$C$2:$C$50000,C3175,全馬データ!$D$2:$D$50000,E3175)))</f>
        <v/>
      </c>
      <c r="AP3175" s="8" t="str">
        <f aca="false">IF(A3175="","",IF(AO3175="","欠損",IF(AO3175&lt;=1.1,"1.0～1.1",IF(AO3175&lt;1.3,"1.2",IF(AO3175&lt;1.5,"1.3～1.4",IF(AO3175&lt;2,"1.5～1.9","2.0以上"))))))</f>
        <v/>
      </c>
      <c r="AQ3175" s="8" t="str">
        <f aca="false">IF(A3175="","",IF(ISNUMBER(SEARCH("2歳",Z3175)),"2歳戦",IF(ISNUMBER(SEARCH("3歳未勝利",Z3175)),"3歳未勝利",IF(ISNUMBER(SEARCH("未勝利",Z3175)),"その他未勝利",IF(ISNUMBER(SEARCH("G1",Z3175)),"G1",IF(ISNUMBER(SEARCH("G2",Z3175)),"G2",IF(ISNUMBER(SEARCH("G3",Z3175)),"G3",IF(ISNUMBER(SEARCH("古馬条件",Z3175)),"古馬条件戦",IF(ISNUMBER(SEARCH("重賞",Z3175)),"重賞","分類不能")))))))))</f>
        <v/>
      </c>
    </row>
    <row r="3176" customFormat="false" ht="15.75" hidden="false" customHeight="false" outlineLevel="0" collapsed="false">
      <c r="AO3176" s="8" t="str">
        <f aca="false">IF(A3176="","",IF(COUNTIFS(全馬データ!$A$2:$A$50000,A3176,全馬データ!$B$2:$B$50000,B3176,全馬データ!$C$2:$C$50000,C3176,全馬データ!$D$2:$D$50000,E3176,全馬データ!$K$2:$K$50000,"&lt;&gt;")=0,"",SUMIFS(全馬データ!$K$2:$K$50000,全馬データ!$A$2:$A$50000,A3176,全馬データ!$B$2:$B$50000,B3176,全馬データ!$C$2:$C$50000,C3176,全馬データ!$D$2:$D$50000,E3176)))</f>
        <v/>
      </c>
      <c r="AP3176" s="8" t="str">
        <f aca="false">IF(A3176="","",IF(AO3176="","欠損",IF(AO3176&lt;=1.1,"1.0～1.1",IF(AO3176&lt;1.3,"1.2",IF(AO3176&lt;1.5,"1.3～1.4",IF(AO3176&lt;2,"1.5～1.9","2.0以上"))))))</f>
        <v/>
      </c>
      <c r="AQ3176" s="8" t="str">
        <f aca="false">IF(A3176="","",IF(ISNUMBER(SEARCH("2歳",Z3176)),"2歳戦",IF(ISNUMBER(SEARCH("3歳未勝利",Z3176)),"3歳未勝利",IF(ISNUMBER(SEARCH("未勝利",Z3176)),"その他未勝利",IF(ISNUMBER(SEARCH("G1",Z3176)),"G1",IF(ISNUMBER(SEARCH("G2",Z3176)),"G2",IF(ISNUMBER(SEARCH("G3",Z3176)),"G3",IF(ISNUMBER(SEARCH("古馬条件",Z3176)),"古馬条件戦",IF(ISNUMBER(SEARCH("重賞",Z3176)),"重賞","分類不能")))))))))</f>
        <v/>
      </c>
    </row>
    <row r="3177" customFormat="false" ht="15.75" hidden="false" customHeight="false" outlineLevel="0" collapsed="false">
      <c r="AO3177" s="8" t="str">
        <f aca="false">IF(A3177="","",IF(COUNTIFS(全馬データ!$A$2:$A$50000,A3177,全馬データ!$B$2:$B$50000,B3177,全馬データ!$C$2:$C$50000,C3177,全馬データ!$D$2:$D$50000,E3177,全馬データ!$K$2:$K$50000,"&lt;&gt;")=0,"",SUMIFS(全馬データ!$K$2:$K$50000,全馬データ!$A$2:$A$50000,A3177,全馬データ!$B$2:$B$50000,B3177,全馬データ!$C$2:$C$50000,C3177,全馬データ!$D$2:$D$50000,E3177)))</f>
        <v/>
      </c>
      <c r="AP3177" s="8" t="str">
        <f aca="false">IF(A3177="","",IF(AO3177="","欠損",IF(AO3177&lt;=1.1,"1.0～1.1",IF(AO3177&lt;1.3,"1.2",IF(AO3177&lt;1.5,"1.3～1.4",IF(AO3177&lt;2,"1.5～1.9","2.0以上"))))))</f>
        <v/>
      </c>
      <c r="AQ3177" s="8" t="str">
        <f aca="false">IF(A3177="","",IF(ISNUMBER(SEARCH("2歳",Z3177)),"2歳戦",IF(ISNUMBER(SEARCH("3歳未勝利",Z3177)),"3歳未勝利",IF(ISNUMBER(SEARCH("未勝利",Z3177)),"その他未勝利",IF(ISNUMBER(SEARCH("G1",Z3177)),"G1",IF(ISNUMBER(SEARCH("G2",Z3177)),"G2",IF(ISNUMBER(SEARCH("G3",Z3177)),"G3",IF(ISNUMBER(SEARCH("古馬条件",Z3177)),"古馬条件戦",IF(ISNUMBER(SEARCH("重賞",Z3177)),"重賞","分類不能")))))))))</f>
        <v/>
      </c>
    </row>
    <row r="3178" customFormat="false" ht="15.75" hidden="false" customHeight="false" outlineLevel="0" collapsed="false">
      <c r="AO3178" s="8" t="str">
        <f aca="false">IF(A3178="","",IF(COUNTIFS(全馬データ!$A$2:$A$50000,A3178,全馬データ!$B$2:$B$50000,B3178,全馬データ!$C$2:$C$50000,C3178,全馬データ!$D$2:$D$50000,E3178,全馬データ!$K$2:$K$50000,"&lt;&gt;")=0,"",SUMIFS(全馬データ!$K$2:$K$50000,全馬データ!$A$2:$A$50000,A3178,全馬データ!$B$2:$B$50000,B3178,全馬データ!$C$2:$C$50000,C3178,全馬データ!$D$2:$D$50000,E3178)))</f>
        <v/>
      </c>
      <c r="AP3178" s="8" t="str">
        <f aca="false">IF(A3178="","",IF(AO3178="","欠損",IF(AO3178&lt;=1.1,"1.0～1.1",IF(AO3178&lt;1.3,"1.2",IF(AO3178&lt;1.5,"1.3～1.4",IF(AO3178&lt;2,"1.5～1.9","2.0以上"))))))</f>
        <v/>
      </c>
      <c r="AQ3178" s="8" t="str">
        <f aca="false">IF(A3178="","",IF(ISNUMBER(SEARCH("2歳",Z3178)),"2歳戦",IF(ISNUMBER(SEARCH("3歳未勝利",Z3178)),"3歳未勝利",IF(ISNUMBER(SEARCH("未勝利",Z3178)),"その他未勝利",IF(ISNUMBER(SEARCH("G1",Z3178)),"G1",IF(ISNUMBER(SEARCH("G2",Z3178)),"G2",IF(ISNUMBER(SEARCH("G3",Z3178)),"G3",IF(ISNUMBER(SEARCH("古馬条件",Z3178)),"古馬条件戦",IF(ISNUMBER(SEARCH("重賞",Z3178)),"重賞","分類不能")))))))))</f>
        <v/>
      </c>
    </row>
    <row r="3179" customFormat="false" ht="15.75" hidden="false" customHeight="false" outlineLevel="0" collapsed="false">
      <c r="AO3179" s="8" t="str">
        <f aca="false">IF(A3179="","",IF(COUNTIFS(全馬データ!$A$2:$A$50000,A3179,全馬データ!$B$2:$B$50000,B3179,全馬データ!$C$2:$C$50000,C3179,全馬データ!$D$2:$D$50000,E3179,全馬データ!$K$2:$K$50000,"&lt;&gt;")=0,"",SUMIFS(全馬データ!$K$2:$K$50000,全馬データ!$A$2:$A$50000,A3179,全馬データ!$B$2:$B$50000,B3179,全馬データ!$C$2:$C$50000,C3179,全馬データ!$D$2:$D$50000,E3179)))</f>
        <v/>
      </c>
      <c r="AP3179" s="8" t="str">
        <f aca="false">IF(A3179="","",IF(AO3179="","欠損",IF(AO3179&lt;=1.1,"1.0～1.1",IF(AO3179&lt;1.3,"1.2",IF(AO3179&lt;1.5,"1.3～1.4",IF(AO3179&lt;2,"1.5～1.9","2.0以上"))))))</f>
        <v/>
      </c>
      <c r="AQ3179" s="8" t="str">
        <f aca="false">IF(A3179="","",IF(ISNUMBER(SEARCH("2歳",Z3179)),"2歳戦",IF(ISNUMBER(SEARCH("3歳未勝利",Z3179)),"3歳未勝利",IF(ISNUMBER(SEARCH("未勝利",Z3179)),"その他未勝利",IF(ISNUMBER(SEARCH("G1",Z3179)),"G1",IF(ISNUMBER(SEARCH("G2",Z3179)),"G2",IF(ISNUMBER(SEARCH("G3",Z3179)),"G3",IF(ISNUMBER(SEARCH("古馬条件",Z3179)),"古馬条件戦",IF(ISNUMBER(SEARCH("重賞",Z3179)),"重賞","分類不能")))))))))</f>
        <v/>
      </c>
    </row>
    <row r="3180" customFormat="false" ht="15.75" hidden="false" customHeight="false" outlineLevel="0" collapsed="false">
      <c r="AO3180" s="8" t="str">
        <f aca="false">IF(A3180="","",IF(COUNTIFS(全馬データ!$A$2:$A$50000,A3180,全馬データ!$B$2:$B$50000,B3180,全馬データ!$C$2:$C$50000,C3180,全馬データ!$D$2:$D$50000,E3180,全馬データ!$K$2:$K$50000,"&lt;&gt;")=0,"",SUMIFS(全馬データ!$K$2:$K$50000,全馬データ!$A$2:$A$50000,A3180,全馬データ!$B$2:$B$50000,B3180,全馬データ!$C$2:$C$50000,C3180,全馬データ!$D$2:$D$50000,E3180)))</f>
        <v/>
      </c>
      <c r="AP3180" s="8" t="str">
        <f aca="false">IF(A3180="","",IF(AO3180="","欠損",IF(AO3180&lt;=1.1,"1.0～1.1",IF(AO3180&lt;1.3,"1.2",IF(AO3180&lt;1.5,"1.3～1.4",IF(AO3180&lt;2,"1.5～1.9","2.0以上"))))))</f>
        <v/>
      </c>
      <c r="AQ3180" s="8" t="str">
        <f aca="false">IF(A3180="","",IF(ISNUMBER(SEARCH("2歳",Z3180)),"2歳戦",IF(ISNUMBER(SEARCH("3歳未勝利",Z3180)),"3歳未勝利",IF(ISNUMBER(SEARCH("未勝利",Z3180)),"その他未勝利",IF(ISNUMBER(SEARCH("G1",Z3180)),"G1",IF(ISNUMBER(SEARCH("G2",Z3180)),"G2",IF(ISNUMBER(SEARCH("G3",Z3180)),"G3",IF(ISNUMBER(SEARCH("古馬条件",Z3180)),"古馬条件戦",IF(ISNUMBER(SEARCH("重賞",Z3180)),"重賞","分類不能")))))))))</f>
        <v/>
      </c>
    </row>
    <row r="3181" customFormat="false" ht="15.75" hidden="false" customHeight="false" outlineLevel="0" collapsed="false">
      <c r="AO3181" s="8" t="str">
        <f aca="false">IF(A3181="","",IF(COUNTIFS(全馬データ!$A$2:$A$50000,A3181,全馬データ!$B$2:$B$50000,B3181,全馬データ!$C$2:$C$50000,C3181,全馬データ!$D$2:$D$50000,E3181,全馬データ!$K$2:$K$50000,"&lt;&gt;")=0,"",SUMIFS(全馬データ!$K$2:$K$50000,全馬データ!$A$2:$A$50000,A3181,全馬データ!$B$2:$B$50000,B3181,全馬データ!$C$2:$C$50000,C3181,全馬データ!$D$2:$D$50000,E3181)))</f>
        <v/>
      </c>
      <c r="AP3181" s="8" t="str">
        <f aca="false">IF(A3181="","",IF(AO3181="","欠損",IF(AO3181&lt;=1.1,"1.0～1.1",IF(AO3181&lt;1.3,"1.2",IF(AO3181&lt;1.5,"1.3～1.4",IF(AO3181&lt;2,"1.5～1.9","2.0以上"))))))</f>
        <v/>
      </c>
      <c r="AQ3181" s="8" t="str">
        <f aca="false">IF(A3181="","",IF(ISNUMBER(SEARCH("2歳",Z3181)),"2歳戦",IF(ISNUMBER(SEARCH("3歳未勝利",Z3181)),"3歳未勝利",IF(ISNUMBER(SEARCH("未勝利",Z3181)),"その他未勝利",IF(ISNUMBER(SEARCH("G1",Z3181)),"G1",IF(ISNUMBER(SEARCH("G2",Z3181)),"G2",IF(ISNUMBER(SEARCH("G3",Z3181)),"G3",IF(ISNUMBER(SEARCH("古馬条件",Z3181)),"古馬条件戦",IF(ISNUMBER(SEARCH("重賞",Z3181)),"重賞","分類不能")))))))))</f>
        <v/>
      </c>
    </row>
    <row r="3182" customFormat="false" ht="15.75" hidden="false" customHeight="false" outlineLevel="0" collapsed="false">
      <c r="AO3182" s="8" t="str">
        <f aca="false">IF(A3182="","",IF(COUNTIFS(全馬データ!$A$2:$A$50000,A3182,全馬データ!$B$2:$B$50000,B3182,全馬データ!$C$2:$C$50000,C3182,全馬データ!$D$2:$D$50000,E3182,全馬データ!$K$2:$K$50000,"&lt;&gt;")=0,"",SUMIFS(全馬データ!$K$2:$K$50000,全馬データ!$A$2:$A$50000,A3182,全馬データ!$B$2:$B$50000,B3182,全馬データ!$C$2:$C$50000,C3182,全馬データ!$D$2:$D$50000,E3182)))</f>
        <v/>
      </c>
      <c r="AP3182" s="8" t="str">
        <f aca="false">IF(A3182="","",IF(AO3182="","欠損",IF(AO3182&lt;=1.1,"1.0～1.1",IF(AO3182&lt;1.3,"1.2",IF(AO3182&lt;1.5,"1.3～1.4",IF(AO3182&lt;2,"1.5～1.9","2.0以上"))))))</f>
        <v/>
      </c>
      <c r="AQ3182" s="8" t="str">
        <f aca="false">IF(A3182="","",IF(ISNUMBER(SEARCH("2歳",Z3182)),"2歳戦",IF(ISNUMBER(SEARCH("3歳未勝利",Z3182)),"3歳未勝利",IF(ISNUMBER(SEARCH("未勝利",Z3182)),"その他未勝利",IF(ISNUMBER(SEARCH("G1",Z3182)),"G1",IF(ISNUMBER(SEARCH("G2",Z3182)),"G2",IF(ISNUMBER(SEARCH("G3",Z3182)),"G3",IF(ISNUMBER(SEARCH("古馬条件",Z3182)),"古馬条件戦",IF(ISNUMBER(SEARCH("重賞",Z3182)),"重賞","分類不能")))))))))</f>
        <v/>
      </c>
    </row>
    <row r="3183" customFormat="false" ht="15.75" hidden="false" customHeight="false" outlineLevel="0" collapsed="false">
      <c r="AO3183" s="8" t="str">
        <f aca="false">IF(A3183="","",IF(COUNTIFS(全馬データ!$A$2:$A$50000,A3183,全馬データ!$B$2:$B$50000,B3183,全馬データ!$C$2:$C$50000,C3183,全馬データ!$D$2:$D$50000,E3183,全馬データ!$K$2:$K$50000,"&lt;&gt;")=0,"",SUMIFS(全馬データ!$K$2:$K$50000,全馬データ!$A$2:$A$50000,A3183,全馬データ!$B$2:$B$50000,B3183,全馬データ!$C$2:$C$50000,C3183,全馬データ!$D$2:$D$50000,E3183)))</f>
        <v/>
      </c>
      <c r="AP3183" s="8" t="str">
        <f aca="false">IF(A3183="","",IF(AO3183="","欠損",IF(AO3183&lt;=1.1,"1.0～1.1",IF(AO3183&lt;1.3,"1.2",IF(AO3183&lt;1.5,"1.3～1.4",IF(AO3183&lt;2,"1.5～1.9","2.0以上"))))))</f>
        <v/>
      </c>
      <c r="AQ3183" s="8" t="str">
        <f aca="false">IF(A3183="","",IF(ISNUMBER(SEARCH("2歳",Z3183)),"2歳戦",IF(ISNUMBER(SEARCH("3歳未勝利",Z3183)),"3歳未勝利",IF(ISNUMBER(SEARCH("未勝利",Z3183)),"その他未勝利",IF(ISNUMBER(SEARCH("G1",Z3183)),"G1",IF(ISNUMBER(SEARCH("G2",Z3183)),"G2",IF(ISNUMBER(SEARCH("G3",Z3183)),"G3",IF(ISNUMBER(SEARCH("古馬条件",Z3183)),"古馬条件戦",IF(ISNUMBER(SEARCH("重賞",Z3183)),"重賞","分類不能")))))))))</f>
        <v/>
      </c>
    </row>
    <row r="3184" customFormat="false" ht="15.75" hidden="false" customHeight="false" outlineLevel="0" collapsed="false">
      <c r="AO3184" s="8" t="str">
        <f aca="false">IF(A3184="","",IF(COUNTIFS(全馬データ!$A$2:$A$50000,A3184,全馬データ!$B$2:$B$50000,B3184,全馬データ!$C$2:$C$50000,C3184,全馬データ!$D$2:$D$50000,E3184,全馬データ!$K$2:$K$50000,"&lt;&gt;")=0,"",SUMIFS(全馬データ!$K$2:$K$50000,全馬データ!$A$2:$A$50000,A3184,全馬データ!$B$2:$B$50000,B3184,全馬データ!$C$2:$C$50000,C3184,全馬データ!$D$2:$D$50000,E3184)))</f>
        <v/>
      </c>
      <c r="AP3184" s="8" t="str">
        <f aca="false">IF(A3184="","",IF(AO3184="","欠損",IF(AO3184&lt;=1.1,"1.0～1.1",IF(AO3184&lt;1.3,"1.2",IF(AO3184&lt;1.5,"1.3～1.4",IF(AO3184&lt;2,"1.5～1.9","2.0以上"))))))</f>
        <v/>
      </c>
      <c r="AQ3184" s="8" t="str">
        <f aca="false">IF(A3184="","",IF(ISNUMBER(SEARCH("2歳",Z3184)),"2歳戦",IF(ISNUMBER(SEARCH("3歳未勝利",Z3184)),"3歳未勝利",IF(ISNUMBER(SEARCH("未勝利",Z3184)),"その他未勝利",IF(ISNUMBER(SEARCH("G1",Z3184)),"G1",IF(ISNUMBER(SEARCH("G2",Z3184)),"G2",IF(ISNUMBER(SEARCH("G3",Z3184)),"G3",IF(ISNUMBER(SEARCH("古馬条件",Z3184)),"古馬条件戦",IF(ISNUMBER(SEARCH("重賞",Z3184)),"重賞","分類不能")))))))))</f>
        <v/>
      </c>
    </row>
    <row r="3185" customFormat="false" ht="15.75" hidden="false" customHeight="false" outlineLevel="0" collapsed="false">
      <c r="AO3185" s="8" t="str">
        <f aca="false">IF(A3185="","",IF(COUNTIFS(全馬データ!$A$2:$A$50000,A3185,全馬データ!$B$2:$B$50000,B3185,全馬データ!$C$2:$C$50000,C3185,全馬データ!$D$2:$D$50000,E3185,全馬データ!$K$2:$K$50000,"&lt;&gt;")=0,"",SUMIFS(全馬データ!$K$2:$K$50000,全馬データ!$A$2:$A$50000,A3185,全馬データ!$B$2:$B$50000,B3185,全馬データ!$C$2:$C$50000,C3185,全馬データ!$D$2:$D$50000,E3185)))</f>
        <v/>
      </c>
      <c r="AP3185" s="8" t="str">
        <f aca="false">IF(A3185="","",IF(AO3185="","欠損",IF(AO3185&lt;=1.1,"1.0～1.1",IF(AO3185&lt;1.3,"1.2",IF(AO3185&lt;1.5,"1.3～1.4",IF(AO3185&lt;2,"1.5～1.9","2.0以上"))))))</f>
        <v/>
      </c>
      <c r="AQ3185" s="8" t="str">
        <f aca="false">IF(A3185="","",IF(ISNUMBER(SEARCH("2歳",Z3185)),"2歳戦",IF(ISNUMBER(SEARCH("3歳未勝利",Z3185)),"3歳未勝利",IF(ISNUMBER(SEARCH("未勝利",Z3185)),"その他未勝利",IF(ISNUMBER(SEARCH("G1",Z3185)),"G1",IF(ISNUMBER(SEARCH("G2",Z3185)),"G2",IF(ISNUMBER(SEARCH("G3",Z3185)),"G3",IF(ISNUMBER(SEARCH("古馬条件",Z3185)),"古馬条件戦",IF(ISNUMBER(SEARCH("重賞",Z3185)),"重賞","分類不能")))))))))</f>
        <v/>
      </c>
    </row>
    <row r="3186" customFormat="false" ht="15.75" hidden="false" customHeight="false" outlineLevel="0" collapsed="false">
      <c r="AO3186" s="8" t="str">
        <f aca="false">IF(A3186="","",IF(COUNTIFS(全馬データ!$A$2:$A$50000,A3186,全馬データ!$B$2:$B$50000,B3186,全馬データ!$C$2:$C$50000,C3186,全馬データ!$D$2:$D$50000,E3186,全馬データ!$K$2:$K$50000,"&lt;&gt;")=0,"",SUMIFS(全馬データ!$K$2:$K$50000,全馬データ!$A$2:$A$50000,A3186,全馬データ!$B$2:$B$50000,B3186,全馬データ!$C$2:$C$50000,C3186,全馬データ!$D$2:$D$50000,E3186)))</f>
        <v/>
      </c>
      <c r="AP3186" s="8" t="str">
        <f aca="false">IF(A3186="","",IF(AO3186="","欠損",IF(AO3186&lt;=1.1,"1.0～1.1",IF(AO3186&lt;1.3,"1.2",IF(AO3186&lt;1.5,"1.3～1.4",IF(AO3186&lt;2,"1.5～1.9","2.0以上"))))))</f>
        <v/>
      </c>
      <c r="AQ3186" s="8" t="str">
        <f aca="false">IF(A3186="","",IF(ISNUMBER(SEARCH("2歳",Z3186)),"2歳戦",IF(ISNUMBER(SEARCH("3歳未勝利",Z3186)),"3歳未勝利",IF(ISNUMBER(SEARCH("未勝利",Z3186)),"その他未勝利",IF(ISNUMBER(SEARCH("G1",Z3186)),"G1",IF(ISNUMBER(SEARCH("G2",Z3186)),"G2",IF(ISNUMBER(SEARCH("G3",Z3186)),"G3",IF(ISNUMBER(SEARCH("古馬条件",Z3186)),"古馬条件戦",IF(ISNUMBER(SEARCH("重賞",Z3186)),"重賞","分類不能")))))))))</f>
        <v/>
      </c>
    </row>
    <row r="3187" customFormat="false" ht="15.75" hidden="false" customHeight="false" outlineLevel="0" collapsed="false">
      <c r="AO3187" s="8" t="str">
        <f aca="false">IF(A3187="","",IF(COUNTIFS(全馬データ!$A$2:$A$50000,A3187,全馬データ!$B$2:$B$50000,B3187,全馬データ!$C$2:$C$50000,C3187,全馬データ!$D$2:$D$50000,E3187,全馬データ!$K$2:$K$50000,"&lt;&gt;")=0,"",SUMIFS(全馬データ!$K$2:$K$50000,全馬データ!$A$2:$A$50000,A3187,全馬データ!$B$2:$B$50000,B3187,全馬データ!$C$2:$C$50000,C3187,全馬データ!$D$2:$D$50000,E3187)))</f>
        <v/>
      </c>
      <c r="AP3187" s="8" t="str">
        <f aca="false">IF(A3187="","",IF(AO3187="","欠損",IF(AO3187&lt;=1.1,"1.0～1.1",IF(AO3187&lt;1.3,"1.2",IF(AO3187&lt;1.5,"1.3～1.4",IF(AO3187&lt;2,"1.5～1.9","2.0以上"))))))</f>
        <v/>
      </c>
      <c r="AQ3187" s="8" t="str">
        <f aca="false">IF(A3187="","",IF(ISNUMBER(SEARCH("2歳",Z3187)),"2歳戦",IF(ISNUMBER(SEARCH("3歳未勝利",Z3187)),"3歳未勝利",IF(ISNUMBER(SEARCH("未勝利",Z3187)),"その他未勝利",IF(ISNUMBER(SEARCH("G1",Z3187)),"G1",IF(ISNUMBER(SEARCH("G2",Z3187)),"G2",IF(ISNUMBER(SEARCH("G3",Z3187)),"G3",IF(ISNUMBER(SEARCH("古馬条件",Z3187)),"古馬条件戦",IF(ISNUMBER(SEARCH("重賞",Z3187)),"重賞","分類不能")))))))))</f>
        <v/>
      </c>
    </row>
    <row r="3188" customFormat="false" ht="15.75" hidden="false" customHeight="false" outlineLevel="0" collapsed="false">
      <c r="AO3188" s="8" t="str">
        <f aca="false">IF(A3188="","",IF(COUNTIFS(全馬データ!$A$2:$A$50000,A3188,全馬データ!$B$2:$B$50000,B3188,全馬データ!$C$2:$C$50000,C3188,全馬データ!$D$2:$D$50000,E3188,全馬データ!$K$2:$K$50000,"&lt;&gt;")=0,"",SUMIFS(全馬データ!$K$2:$K$50000,全馬データ!$A$2:$A$50000,A3188,全馬データ!$B$2:$B$50000,B3188,全馬データ!$C$2:$C$50000,C3188,全馬データ!$D$2:$D$50000,E3188)))</f>
        <v/>
      </c>
      <c r="AP3188" s="8" t="str">
        <f aca="false">IF(A3188="","",IF(AO3188="","欠損",IF(AO3188&lt;=1.1,"1.0～1.1",IF(AO3188&lt;1.3,"1.2",IF(AO3188&lt;1.5,"1.3～1.4",IF(AO3188&lt;2,"1.5～1.9","2.0以上"))))))</f>
        <v/>
      </c>
      <c r="AQ3188" s="8" t="str">
        <f aca="false">IF(A3188="","",IF(ISNUMBER(SEARCH("2歳",Z3188)),"2歳戦",IF(ISNUMBER(SEARCH("3歳未勝利",Z3188)),"3歳未勝利",IF(ISNUMBER(SEARCH("未勝利",Z3188)),"その他未勝利",IF(ISNUMBER(SEARCH("G1",Z3188)),"G1",IF(ISNUMBER(SEARCH("G2",Z3188)),"G2",IF(ISNUMBER(SEARCH("G3",Z3188)),"G3",IF(ISNUMBER(SEARCH("古馬条件",Z3188)),"古馬条件戦",IF(ISNUMBER(SEARCH("重賞",Z3188)),"重賞","分類不能")))))))))</f>
        <v/>
      </c>
    </row>
    <row r="3189" customFormat="false" ht="15.75" hidden="false" customHeight="false" outlineLevel="0" collapsed="false">
      <c r="AO3189" s="8" t="str">
        <f aca="false">IF(A3189="","",IF(COUNTIFS(全馬データ!$A$2:$A$50000,A3189,全馬データ!$B$2:$B$50000,B3189,全馬データ!$C$2:$C$50000,C3189,全馬データ!$D$2:$D$50000,E3189,全馬データ!$K$2:$K$50000,"&lt;&gt;")=0,"",SUMIFS(全馬データ!$K$2:$K$50000,全馬データ!$A$2:$A$50000,A3189,全馬データ!$B$2:$B$50000,B3189,全馬データ!$C$2:$C$50000,C3189,全馬データ!$D$2:$D$50000,E3189)))</f>
        <v/>
      </c>
      <c r="AP3189" s="8" t="str">
        <f aca="false">IF(A3189="","",IF(AO3189="","欠損",IF(AO3189&lt;=1.1,"1.0～1.1",IF(AO3189&lt;1.3,"1.2",IF(AO3189&lt;1.5,"1.3～1.4",IF(AO3189&lt;2,"1.5～1.9","2.0以上"))))))</f>
        <v/>
      </c>
      <c r="AQ3189" s="8" t="str">
        <f aca="false">IF(A3189="","",IF(ISNUMBER(SEARCH("2歳",Z3189)),"2歳戦",IF(ISNUMBER(SEARCH("3歳未勝利",Z3189)),"3歳未勝利",IF(ISNUMBER(SEARCH("未勝利",Z3189)),"その他未勝利",IF(ISNUMBER(SEARCH("G1",Z3189)),"G1",IF(ISNUMBER(SEARCH("G2",Z3189)),"G2",IF(ISNUMBER(SEARCH("G3",Z3189)),"G3",IF(ISNUMBER(SEARCH("古馬条件",Z3189)),"古馬条件戦",IF(ISNUMBER(SEARCH("重賞",Z3189)),"重賞","分類不能")))))))))</f>
        <v/>
      </c>
    </row>
    <row r="3190" customFormat="false" ht="15.75" hidden="false" customHeight="false" outlineLevel="0" collapsed="false">
      <c r="AO3190" s="8" t="str">
        <f aca="false">IF(A3190="","",IF(COUNTIFS(全馬データ!$A$2:$A$50000,A3190,全馬データ!$B$2:$B$50000,B3190,全馬データ!$C$2:$C$50000,C3190,全馬データ!$D$2:$D$50000,E3190,全馬データ!$K$2:$K$50000,"&lt;&gt;")=0,"",SUMIFS(全馬データ!$K$2:$K$50000,全馬データ!$A$2:$A$50000,A3190,全馬データ!$B$2:$B$50000,B3190,全馬データ!$C$2:$C$50000,C3190,全馬データ!$D$2:$D$50000,E3190)))</f>
        <v/>
      </c>
      <c r="AP3190" s="8" t="str">
        <f aca="false">IF(A3190="","",IF(AO3190="","欠損",IF(AO3190&lt;=1.1,"1.0～1.1",IF(AO3190&lt;1.3,"1.2",IF(AO3190&lt;1.5,"1.3～1.4",IF(AO3190&lt;2,"1.5～1.9","2.0以上"))))))</f>
        <v/>
      </c>
      <c r="AQ3190" s="8" t="str">
        <f aca="false">IF(A3190="","",IF(ISNUMBER(SEARCH("2歳",Z3190)),"2歳戦",IF(ISNUMBER(SEARCH("3歳未勝利",Z3190)),"3歳未勝利",IF(ISNUMBER(SEARCH("未勝利",Z3190)),"その他未勝利",IF(ISNUMBER(SEARCH("G1",Z3190)),"G1",IF(ISNUMBER(SEARCH("G2",Z3190)),"G2",IF(ISNUMBER(SEARCH("G3",Z3190)),"G3",IF(ISNUMBER(SEARCH("古馬条件",Z3190)),"古馬条件戦",IF(ISNUMBER(SEARCH("重賞",Z3190)),"重賞","分類不能")))))))))</f>
        <v/>
      </c>
    </row>
    <row r="3191" customFormat="false" ht="15.75" hidden="false" customHeight="false" outlineLevel="0" collapsed="false">
      <c r="AO3191" s="8" t="str">
        <f aca="false">IF(A3191="","",IF(COUNTIFS(全馬データ!$A$2:$A$50000,A3191,全馬データ!$B$2:$B$50000,B3191,全馬データ!$C$2:$C$50000,C3191,全馬データ!$D$2:$D$50000,E3191,全馬データ!$K$2:$K$50000,"&lt;&gt;")=0,"",SUMIFS(全馬データ!$K$2:$K$50000,全馬データ!$A$2:$A$50000,A3191,全馬データ!$B$2:$B$50000,B3191,全馬データ!$C$2:$C$50000,C3191,全馬データ!$D$2:$D$50000,E3191)))</f>
        <v/>
      </c>
      <c r="AP3191" s="8" t="str">
        <f aca="false">IF(A3191="","",IF(AO3191="","欠損",IF(AO3191&lt;=1.1,"1.0～1.1",IF(AO3191&lt;1.3,"1.2",IF(AO3191&lt;1.5,"1.3～1.4",IF(AO3191&lt;2,"1.5～1.9","2.0以上"))))))</f>
        <v/>
      </c>
      <c r="AQ3191" s="8" t="str">
        <f aca="false">IF(A3191="","",IF(ISNUMBER(SEARCH("2歳",Z3191)),"2歳戦",IF(ISNUMBER(SEARCH("3歳未勝利",Z3191)),"3歳未勝利",IF(ISNUMBER(SEARCH("未勝利",Z3191)),"その他未勝利",IF(ISNUMBER(SEARCH("G1",Z3191)),"G1",IF(ISNUMBER(SEARCH("G2",Z3191)),"G2",IF(ISNUMBER(SEARCH("G3",Z3191)),"G3",IF(ISNUMBER(SEARCH("古馬条件",Z3191)),"古馬条件戦",IF(ISNUMBER(SEARCH("重賞",Z3191)),"重賞","分類不能")))))))))</f>
        <v/>
      </c>
    </row>
    <row r="3192" customFormat="false" ht="15.75" hidden="false" customHeight="false" outlineLevel="0" collapsed="false">
      <c r="AO3192" s="8" t="str">
        <f aca="false">IF(A3192="","",IF(COUNTIFS(全馬データ!$A$2:$A$50000,A3192,全馬データ!$B$2:$B$50000,B3192,全馬データ!$C$2:$C$50000,C3192,全馬データ!$D$2:$D$50000,E3192,全馬データ!$K$2:$K$50000,"&lt;&gt;")=0,"",SUMIFS(全馬データ!$K$2:$K$50000,全馬データ!$A$2:$A$50000,A3192,全馬データ!$B$2:$B$50000,B3192,全馬データ!$C$2:$C$50000,C3192,全馬データ!$D$2:$D$50000,E3192)))</f>
        <v/>
      </c>
      <c r="AP3192" s="8" t="str">
        <f aca="false">IF(A3192="","",IF(AO3192="","欠損",IF(AO3192&lt;=1.1,"1.0～1.1",IF(AO3192&lt;1.3,"1.2",IF(AO3192&lt;1.5,"1.3～1.4",IF(AO3192&lt;2,"1.5～1.9","2.0以上"))))))</f>
        <v/>
      </c>
      <c r="AQ3192" s="8" t="str">
        <f aca="false">IF(A3192="","",IF(ISNUMBER(SEARCH("2歳",Z3192)),"2歳戦",IF(ISNUMBER(SEARCH("3歳未勝利",Z3192)),"3歳未勝利",IF(ISNUMBER(SEARCH("未勝利",Z3192)),"その他未勝利",IF(ISNUMBER(SEARCH("G1",Z3192)),"G1",IF(ISNUMBER(SEARCH("G2",Z3192)),"G2",IF(ISNUMBER(SEARCH("G3",Z3192)),"G3",IF(ISNUMBER(SEARCH("古馬条件",Z3192)),"古馬条件戦",IF(ISNUMBER(SEARCH("重賞",Z3192)),"重賞","分類不能")))))))))</f>
        <v/>
      </c>
    </row>
    <row r="3193" customFormat="false" ht="15.75" hidden="false" customHeight="false" outlineLevel="0" collapsed="false">
      <c r="AO3193" s="8" t="str">
        <f aca="false">IF(A3193="","",IF(COUNTIFS(全馬データ!$A$2:$A$50000,A3193,全馬データ!$B$2:$B$50000,B3193,全馬データ!$C$2:$C$50000,C3193,全馬データ!$D$2:$D$50000,E3193,全馬データ!$K$2:$K$50000,"&lt;&gt;")=0,"",SUMIFS(全馬データ!$K$2:$K$50000,全馬データ!$A$2:$A$50000,A3193,全馬データ!$B$2:$B$50000,B3193,全馬データ!$C$2:$C$50000,C3193,全馬データ!$D$2:$D$50000,E3193)))</f>
        <v/>
      </c>
      <c r="AP3193" s="8" t="str">
        <f aca="false">IF(A3193="","",IF(AO3193="","欠損",IF(AO3193&lt;=1.1,"1.0～1.1",IF(AO3193&lt;1.3,"1.2",IF(AO3193&lt;1.5,"1.3～1.4",IF(AO3193&lt;2,"1.5～1.9","2.0以上"))))))</f>
        <v/>
      </c>
      <c r="AQ3193" s="8" t="str">
        <f aca="false">IF(A3193="","",IF(ISNUMBER(SEARCH("2歳",Z3193)),"2歳戦",IF(ISNUMBER(SEARCH("3歳未勝利",Z3193)),"3歳未勝利",IF(ISNUMBER(SEARCH("未勝利",Z3193)),"その他未勝利",IF(ISNUMBER(SEARCH("G1",Z3193)),"G1",IF(ISNUMBER(SEARCH("G2",Z3193)),"G2",IF(ISNUMBER(SEARCH("G3",Z3193)),"G3",IF(ISNUMBER(SEARCH("古馬条件",Z3193)),"古馬条件戦",IF(ISNUMBER(SEARCH("重賞",Z3193)),"重賞","分類不能")))))))))</f>
        <v/>
      </c>
    </row>
    <row r="3194" customFormat="false" ht="15.75" hidden="false" customHeight="false" outlineLevel="0" collapsed="false">
      <c r="AO3194" s="8" t="str">
        <f aca="false">IF(A3194="","",IF(COUNTIFS(全馬データ!$A$2:$A$50000,A3194,全馬データ!$B$2:$B$50000,B3194,全馬データ!$C$2:$C$50000,C3194,全馬データ!$D$2:$D$50000,E3194,全馬データ!$K$2:$K$50000,"&lt;&gt;")=0,"",SUMIFS(全馬データ!$K$2:$K$50000,全馬データ!$A$2:$A$50000,A3194,全馬データ!$B$2:$B$50000,B3194,全馬データ!$C$2:$C$50000,C3194,全馬データ!$D$2:$D$50000,E3194)))</f>
        <v/>
      </c>
      <c r="AP3194" s="8" t="str">
        <f aca="false">IF(A3194="","",IF(AO3194="","欠損",IF(AO3194&lt;=1.1,"1.0～1.1",IF(AO3194&lt;1.3,"1.2",IF(AO3194&lt;1.5,"1.3～1.4",IF(AO3194&lt;2,"1.5～1.9","2.0以上"))))))</f>
        <v/>
      </c>
      <c r="AQ3194" s="8" t="str">
        <f aca="false">IF(A3194="","",IF(ISNUMBER(SEARCH("2歳",Z3194)),"2歳戦",IF(ISNUMBER(SEARCH("3歳未勝利",Z3194)),"3歳未勝利",IF(ISNUMBER(SEARCH("未勝利",Z3194)),"その他未勝利",IF(ISNUMBER(SEARCH("G1",Z3194)),"G1",IF(ISNUMBER(SEARCH("G2",Z3194)),"G2",IF(ISNUMBER(SEARCH("G3",Z3194)),"G3",IF(ISNUMBER(SEARCH("古馬条件",Z3194)),"古馬条件戦",IF(ISNUMBER(SEARCH("重賞",Z3194)),"重賞","分類不能")))))))))</f>
        <v/>
      </c>
    </row>
    <row r="3195" customFormat="false" ht="15.75" hidden="false" customHeight="false" outlineLevel="0" collapsed="false">
      <c r="AO3195" s="8" t="str">
        <f aca="false">IF(A3195="","",IF(COUNTIFS(全馬データ!$A$2:$A$50000,A3195,全馬データ!$B$2:$B$50000,B3195,全馬データ!$C$2:$C$50000,C3195,全馬データ!$D$2:$D$50000,E3195,全馬データ!$K$2:$K$50000,"&lt;&gt;")=0,"",SUMIFS(全馬データ!$K$2:$K$50000,全馬データ!$A$2:$A$50000,A3195,全馬データ!$B$2:$B$50000,B3195,全馬データ!$C$2:$C$50000,C3195,全馬データ!$D$2:$D$50000,E3195)))</f>
        <v/>
      </c>
      <c r="AP3195" s="8" t="str">
        <f aca="false">IF(A3195="","",IF(AO3195="","欠損",IF(AO3195&lt;=1.1,"1.0～1.1",IF(AO3195&lt;1.3,"1.2",IF(AO3195&lt;1.5,"1.3～1.4",IF(AO3195&lt;2,"1.5～1.9","2.0以上"))))))</f>
        <v/>
      </c>
      <c r="AQ3195" s="8" t="str">
        <f aca="false">IF(A3195="","",IF(ISNUMBER(SEARCH("2歳",Z3195)),"2歳戦",IF(ISNUMBER(SEARCH("3歳未勝利",Z3195)),"3歳未勝利",IF(ISNUMBER(SEARCH("未勝利",Z3195)),"その他未勝利",IF(ISNUMBER(SEARCH("G1",Z3195)),"G1",IF(ISNUMBER(SEARCH("G2",Z3195)),"G2",IF(ISNUMBER(SEARCH("G3",Z3195)),"G3",IF(ISNUMBER(SEARCH("古馬条件",Z3195)),"古馬条件戦",IF(ISNUMBER(SEARCH("重賞",Z3195)),"重賞","分類不能")))))))))</f>
        <v/>
      </c>
    </row>
    <row r="3196" customFormat="false" ht="15.75" hidden="false" customHeight="false" outlineLevel="0" collapsed="false">
      <c r="AO3196" s="8" t="str">
        <f aca="false">IF(A3196="","",IF(COUNTIFS(全馬データ!$A$2:$A$50000,A3196,全馬データ!$B$2:$B$50000,B3196,全馬データ!$C$2:$C$50000,C3196,全馬データ!$D$2:$D$50000,E3196,全馬データ!$K$2:$K$50000,"&lt;&gt;")=0,"",SUMIFS(全馬データ!$K$2:$K$50000,全馬データ!$A$2:$A$50000,A3196,全馬データ!$B$2:$B$50000,B3196,全馬データ!$C$2:$C$50000,C3196,全馬データ!$D$2:$D$50000,E3196)))</f>
        <v/>
      </c>
      <c r="AP3196" s="8" t="str">
        <f aca="false">IF(A3196="","",IF(AO3196="","欠損",IF(AO3196&lt;=1.1,"1.0～1.1",IF(AO3196&lt;1.3,"1.2",IF(AO3196&lt;1.5,"1.3～1.4",IF(AO3196&lt;2,"1.5～1.9","2.0以上"))))))</f>
        <v/>
      </c>
      <c r="AQ3196" s="8" t="str">
        <f aca="false">IF(A3196="","",IF(ISNUMBER(SEARCH("2歳",Z3196)),"2歳戦",IF(ISNUMBER(SEARCH("3歳未勝利",Z3196)),"3歳未勝利",IF(ISNUMBER(SEARCH("未勝利",Z3196)),"その他未勝利",IF(ISNUMBER(SEARCH("G1",Z3196)),"G1",IF(ISNUMBER(SEARCH("G2",Z3196)),"G2",IF(ISNUMBER(SEARCH("G3",Z3196)),"G3",IF(ISNUMBER(SEARCH("古馬条件",Z3196)),"古馬条件戦",IF(ISNUMBER(SEARCH("重賞",Z3196)),"重賞","分類不能")))))))))</f>
        <v/>
      </c>
    </row>
    <row r="3197" customFormat="false" ht="15.75" hidden="false" customHeight="false" outlineLevel="0" collapsed="false">
      <c r="AO3197" s="8" t="str">
        <f aca="false">IF(A3197="","",IF(COUNTIFS(全馬データ!$A$2:$A$50000,A3197,全馬データ!$B$2:$B$50000,B3197,全馬データ!$C$2:$C$50000,C3197,全馬データ!$D$2:$D$50000,E3197,全馬データ!$K$2:$K$50000,"&lt;&gt;")=0,"",SUMIFS(全馬データ!$K$2:$K$50000,全馬データ!$A$2:$A$50000,A3197,全馬データ!$B$2:$B$50000,B3197,全馬データ!$C$2:$C$50000,C3197,全馬データ!$D$2:$D$50000,E3197)))</f>
        <v/>
      </c>
      <c r="AP3197" s="8" t="str">
        <f aca="false">IF(A3197="","",IF(AO3197="","欠損",IF(AO3197&lt;=1.1,"1.0～1.1",IF(AO3197&lt;1.3,"1.2",IF(AO3197&lt;1.5,"1.3～1.4",IF(AO3197&lt;2,"1.5～1.9","2.0以上"))))))</f>
        <v/>
      </c>
      <c r="AQ3197" s="8" t="str">
        <f aca="false">IF(A3197="","",IF(ISNUMBER(SEARCH("2歳",Z3197)),"2歳戦",IF(ISNUMBER(SEARCH("3歳未勝利",Z3197)),"3歳未勝利",IF(ISNUMBER(SEARCH("未勝利",Z3197)),"その他未勝利",IF(ISNUMBER(SEARCH("G1",Z3197)),"G1",IF(ISNUMBER(SEARCH("G2",Z3197)),"G2",IF(ISNUMBER(SEARCH("G3",Z3197)),"G3",IF(ISNUMBER(SEARCH("古馬条件",Z3197)),"古馬条件戦",IF(ISNUMBER(SEARCH("重賞",Z3197)),"重賞","分類不能")))))))))</f>
        <v/>
      </c>
    </row>
    <row r="3198" customFormat="false" ht="15.75" hidden="false" customHeight="false" outlineLevel="0" collapsed="false">
      <c r="AO3198" s="8" t="str">
        <f aca="false">IF(A3198="","",IF(COUNTIFS(全馬データ!$A$2:$A$50000,A3198,全馬データ!$B$2:$B$50000,B3198,全馬データ!$C$2:$C$50000,C3198,全馬データ!$D$2:$D$50000,E3198,全馬データ!$K$2:$K$50000,"&lt;&gt;")=0,"",SUMIFS(全馬データ!$K$2:$K$50000,全馬データ!$A$2:$A$50000,A3198,全馬データ!$B$2:$B$50000,B3198,全馬データ!$C$2:$C$50000,C3198,全馬データ!$D$2:$D$50000,E3198)))</f>
        <v/>
      </c>
      <c r="AP3198" s="8" t="str">
        <f aca="false">IF(A3198="","",IF(AO3198="","欠損",IF(AO3198&lt;=1.1,"1.0～1.1",IF(AO3198&lt;1.3,"1.2",IF(AO3198&lt;1.5,"1.3～1.4",IF(AO3198&lt;2,"1.5～1.9","2.0以上"))))))</f>
        <v/>
      </c>
      <c r="AQ3198" s="8" t="str">
        <f aca="false">IF(A3198="","",IF(ISNUMBER(SEARCH("2歳",Z3198)),"2歳戦",IF(ISNUMBER(SEARCH("3歳未勝利",Z3198)),"3歳未勝利",IF(ISNUMBER(SEARCH("未勝利",Z3198)),"その他未勝利",IF(ISNUMBER(SEARCH("G1",Z3198)),"G1",IF(ISNUMBER(SEARCH("G2",Z3198)),"G2",IF(ISNUMBER(SEARCH("G3",Z3198)),"G3",IF(ISNUMBER(SEARCH("古馬条件",Z3198)),"古馬条件戦",IF(ISNUMBER(SEARCH("重賞",Z3198)),"重賞","分類不能")))))))))</f>
        <v/>
      </c>
    </row>
    <row r="3199" customFormat="false" ht="15.75" hidden="false" customHeight="false" outlineLevel="0" collapsed="false">
      <c r="AO3199" s="8" t="str">
        <f aca="false">IF(A3199="","",IF(COUNTIFS(全馬データ!$A$2:$A$50000,A3199,全馬データ!$B$2:$B$50000,B3199,全馬データ!$C$2:$C$50000,C3199,全馬データ!$D$2:$D$50000,E3199,全馬データ!$K$2:$K$50000,"&lt;&gt;")=0,"",SUMIFS(全馬データ!$K$2:$K$50000,全馬データ!$A$2:$A$50000,A3199,全馬データ!$B$2:$B$50000,B3199,全馬データ!$C$2:$C$50000,C3199,全馬データ!$D$2:$D$50000,E3199)))</f>
        <v/>
      </c>
      <c r="AP3199" s="8" t="str">
        <f aca="false">IF(A3199="","",IF(AO3199="","欠損",IF(AO3199&lt;=1.1,"1.0～1.1",IF(AO3199&lt;1.3,"1.2",IF(AO3199&lt;1.5,"1.3～1.4",IF(AO3199&lt;2,"1.5～1.9","2.0以上"))))))</f>
        <v/>
      </c>
      <c r="AQ3199" s="8" t="str">
        <f aca="false">IF(A3199="","",IF(ISNUMBER(SEARCH("2歳",Z3199)),"2歳戦",IF(ISNUMBER(SEARCH("3歳未勝利",Z3199)),"3歳未勝利",IF(ISNUMBER(SEARCH("未勝利",Z3199)),"その他未勝利",IF(ISNUMBER(SEARCH("G1",Z3199)),"G1",IF(ISNUMBER(SEARCH("G2",Z3199)),"G2",IF(ISNUMBER(SEARCH("G3",Z3199)),"G3",IF(ISNUMBER(SEARCH("古馬条件",Z3199)),"古馬条件戦",IF(ISNUMBER(SEARCH("重賞",Z3199)),"重賞","分類不能")))))))))</f>
        <v/>
      </c>
    </row>
    <row r="3200" customFormat="false" ht="15.75" hidden="false" customHeight="false" outlineLevel="0" collapsed="false">
      <c r="AO3200" s="8" t="str">
        <f aca="false">IF(A3200="","",IF(COUNTIFS(全馬データ!$A$2:$A$50000,A3200,全馬データ!$B$2:$B$50000,B3200,全馬データ!$C$2:$C$50000,C3200,全馬データ!$D$2:$D$50000,E3200,全馬データ!$K$2:$K$50000,"&lt;&gt;")=0,"",SUMIFS(全馬データ!$K$2:$K$50000,全馬データ!$A$2:$A$50000,A3200,全馬データ!$B$2:$B$50000,B3200,全馬データ!$C$2:$C$50000,C3200,全馬データ!$D$2:$D$50000,E3200)))</f>
        <v/>
      </c>
      <c r="AP3200" s="8" t="str">
        <f aca="false">IF(A3200="","",IF(AO3200="","欠損",IF(AO3200&lt;=1.1,"1.0～1.1",IF(AO3200&lt;1.3,"1.2",IF(AO3200&lt;1.5,"1.3～1.4",IF(AO3200&lt;2,"1.5～1.9","2.0以上"))))))</f>
        <v/>
      </c>
      <c r="AQ3200" s="8" t="str">
        <f aca="false">IF(A3200="","",IF(ISNUMBER(SEARCH("2歳",Z3200)),"2歳戦",IF(ISNUMBER(SEARCH("3歳未勝利",Z3200)),"3歳未勝利",IF(ISNUMBER(SEARCH("未勝利",Z3200)),"その他未勝利",IF(ISNUMBER(SEARCH("G1",Z3200)),"G1",IF(ISNUMBER(SEARCH("G2",Z3200)),"G2",IF(ISNUMBER(SEARCH("G3",Z3200)),"G3",IF(ISNUMBER(SEARCH("古馬条件",Z3200)),"古馬条件戦",IF(ISNUMBER(SEARCH("重賞",Z3200)),"重賞","分類不能")))))))))</f>
        <v/>
      </c>
    </row>
    <row r="3201" customFormat="false" ht="15.75" hidden="false" customHeight="false" outlineLevel="0" collapsed="false">
      <c r="AO3201" s="8" t="str">
        <f aca="false">IF(A3201="","",IF(COUNTIFS(全馬データ!$A$2:$A$50000,A3201,全馬データ!$B$2:$B$50000,B3201,全馬データ!$C$2:$C$50000,C3201,全馬データ!$D$2:$D$50000,E3201,全馬データ!$K$2:$K$50000,"&lt;&gt;")=0,"",SUMIFS(全馬データ!$K$2:$K$50000,全馬データ!$A$2:$A$50000,A3201,全馬データ!$B$2:$B$50000,B3201,全馬データ!$C$2:$C$50000,C3201,全馬データ!$D$2:$D$50000,E3201)))</f>
        <v/>
      </c>
      <c r="AP3201" s="8" t="str">
        <f aca="false">IF(A3201="","",IF(AO3201="","欠損",IF(AO3201&lt;=1.1,"1.0～1.1",IF(AO3201&lt;1.3,"1.2",IF(AO3201&lt;1.5,"1.3～1.4",IF(AO3201&lt;2,"1.5～1.9","2.0以上"))))))</f>
        <v/>
      </c>
      <c r="AQ3201" s="8" t="str">
        <f aca="false">IF(A3201="","",IF(ISNUMBER(SEARCH("2歳",Z3201)),"2歳戦",IF(ISNUMBER(SEARCH("3歳未勝利",Z3201)),"3歳未勝利",IF(ISNUMBER(SEARCH("未勝利",Z3201)),"その他未勝利",IF(ISNUMBER(SEARCH("G1",Z3201)),"G1",IF(ISNUMBER(SEARCH("G2",Z3201)),"G2",IF(ISNUMBER(SEARCH("G3",Z3201)),"G3",IF(ISNUMBER(SEARCH("古馬条件",Z3201)),"古馬条件戦",IF(ISNUMBER(SEARCH("重賞",Z3201)),"重賞","分類不能")))))))))</f>
        <v/>
      </c>
    </row>
    <row r="3202" customFormat="false" ht="15.75" hidden="false" customHeight="false" outlineLevel="0" collapsed="false">
      <c r="AO3202" s="8" t="str">
        <f aca="false">IF(A3202="","",IF(COUNTIFS(全馬データ!$A$2:$A$50000,A3202,全馬データ!$B$2:$B$50000,B3202,全馬データ!$C$2:$C$50000,C3202,全馬データ!$D$2:$D$50000,E3202,全馬データ!$K$2:$K$50000,"&lt;&gt;")=0,"",SUMIFS(全馬データ!$K$2:$K$50000,全馬データ!$A$2:$A$50000,A3202,全馬データ!$B$2:$B$50000,B3202,全馬データ!$C$2:$C$50000,C3202,全馬データ!$D$2:$D$50000,E3202)))</f>
        <v/>
      </c>
      <c r="AP3202" s="8" t="str">
        <f aca="false">IF(A3202="","",IF(AO3202="","欠損",IF(AO3202&lt;=1.1,"1.0～1.1",IF(AO3202&lt;1.3,"1.2",IF(AO3202&lt;1.5,"1.3～1.4",IF(AO3202&lt;2,"1.5～1.9","2.0以上"))))))</f>
        <v/>
      </c>
      <c r="AQ3202" s="8" t="str">
        <f aca="false">IF(A3202="","",IF(ISNUMBER(SEARCH("2歳",Z3202)),"2歳戦",IF(ISNUMBER(SEARCH("3歳未勝利",Z3202)),"3歳未勝利",IF(ISNUMBER(SEARCH("未勝利",Z3202)),"その他未勝利",IF(ISNUMBER(SEARCH("G1",Z3202)),"G1",IF(ISNUMBER(SEARCH("G2",Z3202)),"G2",IF(ISNUMBER(SEARCH("G3",Z3202)),"G3",IF(ISNUMBER(SEARCH("古馬条件",Z3202)),"古馬条件戦",IF(ISNUMBER(SEARCH("重賞",Z3202)),"重賞","分類不能")))))))))</f>
        <v/>
      </c>
    </row>
    <row r="3203" customFormat="false" ht="15.75" hidden="false" customHeight="false" outlineLevel="0" collapsed="false">
      <c r="AO3203" s="8" t="str">
        <f aca="false">IF(A3203="","",IF(COUNTIFS(全馬データ!$A$2:$A$50000,A3203,全馬データ!$B$2:$B$50000,B3203,全馬データ!$C$2:$C$50000,C3203,全馬データ!$D$2:$D$50000,E3203,全馬データ!$K$2:$K$50000,"&lt;&gt;")=0,"",SUMIFS(全馬データ!$K$2:$K$50000,全馬データ!$A$2:$A$50000,A3203,全馬データ!$B$2:$B$50000,B3203,全馬データ!$C$2:$C$50000,C3203,全馬データ!$D$2:$D$50000,E3203)))</f>
        <v/>
      </c>
      <c r="AP3203" s="8" t="str">
        <f aca="false">IF(A3203="","",IF(AO3203="","欠損",IF(AO3203&lt;=1.1,"1.0～1.1",IF(AO3203&lt;1.3,"1.2",IF(AO3203&lt;1.5,"1.3～1.4",IF(AO3203&lt;2,"1.5～1.9","2.0以上"))))))</f>
        <v/>
      </c>
      <c r="AQ3203" s="8" t="str">
        <f aca="false">IF(A3203="","",IF(ISNUMBER(SEARCH("2歳",Z3203)),"2歳戦",IF(ISNUMBER(SEARCH("3歳未勝利",Z3203)),"3歳未勝利",IF(ISNUMBER(SEARCH("未勝利",Z3203)),"その他未勝利",IF(ISNUMBER(SEARCH("G1",Z3203)),"G1",IF(ISNUMBER(SEARCH("G2",Z3203)),"G2",IF(ISNUMBER(SEARCH("G3",Z3203)),"G3",IF(ISNUMBER(SEARCH("古馬条件",Z3203)),"古馬条件戦",IF(ISNUMBER(SEARCH("重賞",Z3203)),"重賞","分類不能")))))))))</f>
        <v/>
      </c>
    </row>
    <row r="3204" customFormat="false" ht="15.75" hidden="false" customHeight="false" outlineLevel="0" collapsed="false">
      <c r="AO3204" s="8" t="str">
        <f aca="false">IF(A3204="","",IF(COUNTIFS(全馬データ!$A$2:$A$50000,A3204,全馬データ!$B$2:$B$50000,B3204,全馬データ!$C$2:$C$50000,C3204,全馬データ!$D$2:$D$50000,E3204,全馬データ!$K$2:$K$50000,"&lt;&gt;")=0,"",SUMIFS(全馬データ!$K$2:$K$50000,全馬データ!$A$2:$A$50000,A3204,全馬データ!$B$2:$B$50000,B3204,全馬データ!$C$2:$C$50000,C3204,全馬データ!$D$2:$D$50000,E3204)))</f>
        <v/>
      </c>
      <c r="AP3204" s="8" t="str">
        <f aca="false">IF(A3204="","",IF(AO3204="","欠損",IF(AO3204&lt;=1.1,"1.0～1.1",IF(AO3204&lt;1.3,"1.2",IF(AO3204&lt;1.5,"1.3～1.4",IF(AO3204&lt;2,"1.5～1.9","2.0以上"))))))</f>
        <v/>
      </c>
      <c r="AQ3204" s="8" t="str">
        <f aca="false">IF(A3204="","",IF(ISNUMBER(SEARCH("2歳",Z3204)),"2歳戦",IF(ISNUMBER(SEARCH("3歳未勝利",Z3204)),"3歳未勝利",IF(ISNUMBER(SEARCH("未勝利",Z3204)),"その他未勝利",IF(ISNUMBER(SEARCH("G1",Z3204)),"G1",IF(ISNUMBER(SEARCH("G2",Z3204)),"G2",IF(ISNUMBER(SEARCH("G3",Z3204)),"G3",IF(ISNUMBER(SEARCH("古馬条件",Z3204)),"古馬条件戦",IF(ISNUMBER(SEARCH("重賞",Z3204)),"重賞","分類不能")))))))))</f>
        <v/>
      </c>
    </row>
    <row r="3205" customFormat="false" ht="15.75" hidden="false" customHeight="false" outlineLevel="0" collapsed="false">
      <c r="AO3205" s="8" t="str">
        <f aca="false">IF(A3205="","",IF(COUNTIFS(全馬データ!$A$2:$A$50000,A3205,全馬データ!$B$2:$B$50000,B3205,全馬データ!$C$2:$C$50000,C3205,全馬データ!$D$2:$D$50000,E3205,全馬データ!$K$2:$K$50000,"&lt;&gt;")=0,"",SUMIFS(全馬データ!$K$2:$K$50000,全馬データ!$A$2:$A$50000,A3205,全馬データ!$B$2:$B$50000,B3205,全馬データ!$C$2:$C$50000,C3205,全馬データ!$D$2:$D$50000,E3205)))</f>
        <v/>
      </c>
      <c r="AP3205" s="8" t="str">
        <f aca="false">IF(A3205="","",IF(AO3205="","欠損",IF(AO3205&lt;=1.1,"1.0～1.1",IF(AO3205&lt;1.3,"1.2",IF(AO3205&lt;1.5,"1.3～1.4",IF(AO3205&lt;2,"1.5～1.9","2.0以上"))))))</f>
        <v/>
      </c>
      <c r="AQ3205" s="8" t="str">
        <f aca="false">IF(A3205="","",IF(ISNUMBER(SEARCH("2歳",Z3205)),"2歳戦",IF(ISNUMBER(SEARCH("3歳未勝利",Z3205)),"3歳未勝利",IF(ISNUMBER(SEARCH("未勝利",Z3205)),"その他未勝利",IF(ISNUMBER(SEARCH("G1",Z3205)),"G1",IF(ISNUMBER(SEARCH("G2",Z3205)),"G2",IF(ISNUMBER(SEARCH("G3",Z3205)),"G3",IF(ISNUMBER(SEARCH("古馬条件",Z3205)),"古馬条件戦",IF(ISNUMBER(SEARCH("重賞",Z3205)),"重賞","分類不能")))))))))</f>
        <v/>
      </c>
    </row>
    <row r="3206" customFormat="false" ht="15.75" hidden="false" customHeight="false" outlineLevel="0" collapsed="false">
      <c r="AO3206" s="8" t="str">
        <f aca="false">IF(A3206="","",IF(COUNTIFS(全馬データ!$A$2:$A$50000,A3206,全馬データ!$B$2:$B$50000,B3206,全馬データ!$C$2:$C$50000,C3206,全馬データ!$D$2:$D$50000,E3206,全馬データ!$K$2:$K$50000,"&lt;&gt;")=0,"",SUMIFS(全馬データ!$K$2:$K$50000,全馬データ!$A$2:$A$50000,A3206,全馬データ!$B$2:$B$50000,B3206,全馬データ!$C$2:$C$50000,C3206,全馬データ!$D$2:$D$50000,E3206)))</f>
        <v/>
      </c>
      <c r="AP3206" s="8" t="str">
        <f aca="false">IF(A3206="","",IF(AO3206="","欠損",IF(AO3206&lt;=1.1,"1.0～1.1",IF(AO3206&lt;1.3,"1.2",IF(AO3206&lt;1.5,"1.3～1.4",IF(AO3206&lt;2,"1.5～1.9","2.0以上"))))))</f>
        <v/>
      </c>
      <c r="AQ3206" s="8" t="str">
        <f aca="false">IF(A3206="","",IF(ISNUMBER(SEARCH("2歳",Z3206)),"2歳戦",IF(ISNUMBER(SEARCH("3歳未勝利",Z3206)),"3歳未勝利",IF(ISNUMBER(SEARCH("未勝利",Z3206)),"その他未勝利",IF(ISNUMBER(SEARCH("G1",Z3206)),"G1",IF(ISNUMBER(SEARCH("G2",Z3206)),"G2",IF(ISNUMBER(SEARCH("G3",Z3206)),"G3",IF(ISNUMBER(SEARCH("古馬条件",Z3206)),"古馬条件戦",IF(ISNUMBER(SEARCH("重賞",Z3206)),"重賞","分類不能")))))))))</f>
        <v/>
      </c>
    </row>
    <row r="3207" customFormat="false" ht="15.75" hidden="false" customHeight="false" outlineLevel="0" collapsed="false">
      <c r="AO3207" s="8" t="str">
        <f aca="false">IF(A3207="","",IF(COUNTIFS(全馬データ!$A$2:$A$50000,A3207,全馬データ!$B$2:$B$50000,B3207,全馬データ!$C$2:$C$50000,C3207,全馬データ!$D$2:$D$50000,E3207,全馬データ!$K$2:$K$50000,"&lt;&gt;")=0,"",SUMIFS(全馬データ!$K$2:$K$50000,全馬データ!$A$2:$A$50000,A3207,全馬データ!$B$2:$B$50000,B3207,全馬データ!$C$2:$C$50000,C3207,全馬データ!$D$2:$D$50000,E3207)))</f>
        <v/>
      </c>
      <c r="AP3207" s="8" t="str">
        <f aca="false">IF(A3207="","",IF(AO3207="","欠損",IF(AO3207&lt;=1.1,"1.0～1.1",IF(AO3207&lt;1.3,"1.2",IF(AO3207&lt;1.5,"1.3～1.4",IF(AO3207&lt;2,"1.5～1.9","2.0以上"))))))</f>
        <v/>
      </c>
      <c r="AQ3207" s="8" t="str">
        <f aca="false">IF(A3207="","",IF(ISNUMBER(SEARCH("2歳",Z3207)),"2歳戦",IF(ISNUMBER(SEARCH("3歳未勝利",Z3207)),"3歳未勝利",IF(ISNUMBER(SEARCH("未勝利",Z3207)),"その他未勝利",IF(ISNUMBER(SEARCH("G1",Z3207)),"G1",IF(ISNUMBER(SEARCH("G2",Z3207)),"G2",IF(ISNUMBER(SEARCH("G3",Z3207)),"G3",IF(ISNUMBER(SEARCH("古馬条件",Z3207)),"古馬条件戦",IF(ISNUMBER(SEARCH("重賞",Z3207)),"重賞","分類不能")))))))))</f>
        <v/>
      </c>
    </row>
    <row r="3208" customFormat="false" ht="15.75" hidden="false" customHeight="false" outlineLevel="0" collapsed="false">
      <c r="AO3208" s="8" t="str">
        <f aca="false">IF(A3208="","",IF(COUNTIFS(全馬データ!$A$2:$A$50000,A3208,全馬データ!$B$2:$B$50000,B3208,全馬データ!$C$2:$C$50000,C3208,全馬データ!$D$2:$D$50000,E3208,全馬データ!$K$2:$K$50000,"&lt;&gt;")=0,"",SUMIFS(全馬データ!$K$2:$K$50000,全馬データ!$A$2:$A$50000,A3208,全馬データ!$B$2:$B$50000,B3208,全馬データ!$C$2:$C$50000,C3208,全馬データ!$D$2:$D$50000,E3208)))</f>
        <v/>
      </c>
      <c r="AP3208" s="8" t="str">
        <f aca="false">IF(A3208="","",IF(AO3208="","欠損",IF(AO3208&lt;=1.1,"1.0～1.1",IF(AO3208&lt;1.3,"1.2",IF(AO3208&lt;1.5,"1.3～1.4",IF(AO3208&lt;2,"1.5～1.9","2.0以上"))))))</f>
        <v/>
      </c>
      <c r="AQ3208" s="8" t="str">
        <f aca="false">IF(A3208="","",IF(ISNUMBER(SEARCH("2歳",Z3208)),"2歳戦",IF(ISNUMBER(SEARCH("3歳未勝利",Z3208)),"3歳未勝利",IF(ISNUMBER(SEARCH("未勝利",Z3208)),"その他未勝利",IF(ISNUMBER(SEARCH("G1",Z3208)),"G1",IF(ISNUMBER(SEARCH("G2",Z3208)),"G2",IF(ISNUMBER(SEARCH("G3",Z3208)),"G3",IF(ISNUMBER(SEARCH("古馬条件",Z3208)),"古馬条件戦",IF(ISNUMBER(SEARCH("重賞",Z3208)),"重賞","分類不能")))))))))</f>
        <v/>
      </c>
    </row>
    <row r="3209" customFormat="false" ht="15.75" hidden="false" customHeight="false" outlineLevel="0" collapsed="false">
      <c r="AO3209" s="8" t="str">
        <f aca="false">IF(A3209="","",IF(COUNTIFS(全馬データ!$A$2:$A$50000,A3209,全馬データ!$B$2:$B$50000,B3209,全馬データ!$C$2:$C$50000,C3209,全馬データ!$D$2:$D$50000,E3209,全馬データ!$K$2:$K$50000,"&lt;&gt;")=0,"",SUMIFS(全馬データ!$K$2:$K$50000,全馬データ!$A$2:$A$50000,A3209,全馬データ!$B$2:$B$50000,B3209,全馬データ!$C$2:$C$50000,C3209,全馬データ!$D$2:$D$50000,E3209)))</f>
        <v/>
      </c>
      <c r="AP3209" s="8" t="str">
        <f aca="false">IF(A3209="","",IF(AO3209="","欠損",IF(AO3209&lt;=1.1,"1.0～1.1",IF(AO3209&lt;1.3,"1.2",IF(AO3209&lt;1.5,"1.3～1.4",IF(AO3209&lt;2,"1.5～1.9","2.0以上"))))))</f>
        <v/>
      </c>
      <c r="AQ3209" s="8" t="str">
        <f aca="false">IF(A3209="","",IF(ISNUMBER(SEARCH("2歳",Z3209)),"2歳戦",IF(ISNUMBER(SEARCH("3歳未勝利",Z3209)),"3歳未勝利",IF(ISNUMBER(SEARCH("未勝利",Z3209)),"その他未勝利",IF(ISNUMBER(SEARCH("G1",Z3209)),"G1",IF(ISNUMBER(SEARCH("G2",Z3209)),"G2",IF(ISNUMBER(SEARCH("G3",Z3209)),"G3",IF(ISNUMBER(SEARCH("古馬条件",Z3209)),"古馬条件戦",IF(ISNUMBER(SEARCH("重賞",Z3209)),"重賞","分類不能")))))))))</f>
        <v/>
      </c>
    </row>
    <row r="3210" customFormat="false" ht="15.75" hidden="false" customHeight="false" outlineLevel="0" collapsed="false">
      <c r="AO3210" s="8" t="str">
        <f aca="false">IF(A3210="","",IF(COUNTIFS(全馬データ!$A$2:$A$50000,A3210,全馬データ!$B$2:$B$50000,B3210,全馬データ!$C$2:$C$50000,C3210,全馬データ!$D$2:$D$50000,E3210,全馬データ!$K$2:$K$50000,"&lt;&gt;")=0,"",SUMIFS(全馬データ!$K$2:$K$50000,全馬データ!$A$2:$A$50000,A3210,全馬データ!$B$2:$B$50000,B3210,全馬データ!$C$2:$C$50000,C3210,全馬データ!$D$2:$D$50000,E3210)))</f>
        <v/>
      </c>
      <c r="AP3210" s="8" t="str">
        <f aca="false">IF(A3210="","",IF(AO3210="","欠損",IF(AO3210&lt;=1.1,"1.0～1.1",IF(AO3210&lt;1.3,"1.2",IF(AO3210&lt;1.5,"1.3～1.4",IF(AO3210&lt;2,"1.5～1.9","2.0以上"))))))</f>
        <v/>
      </c>
      <c r="AQ3210" s="8" t="str">
        <f aca="false">IF(A3210="","",IF(ISNUMBER(SEARCH("2歳",Z3210)),"2歳戦",IF(ISNUMBER(SEARCH("3歳未勝利",Z3210)),"3歳未勝利",IF(ISNUMBER(SEARCH("未勝利",Z3210)),"その他未勝利",IF(ISNUMBER(SEARCH("G1",Z3210)),"G1",IF(ISNUMBER(SEARCH("G2",Z3210)),"G2",IF(ISNUMBER(SEARCH("G3",Z3210)),"G3",IF(ISNUMBER(SEARCH("古馬条件",Z3210)),"古馬条件戦",IF(ISNUMBER(SEARCH("重賞",Z3210)),"重賞","分類不能")))))))))</f>
        <v/>
      </c>
    </row>
    <row r="3211" customFormat="false" ht="15.75" hidden="false" customHeight="false" outlineLevel="0" collapsed="false">
      <c r="AO3211" s="8" t="str">
        <f aca="false">IF(A3211="","",IF(COUNTIFS(全馬データ!$A$2:$A$50000,A3211,全馬データ!$B$2:$B$50000,B3211,全馬データ!$C$2:$C$50000,C3211,全馬データ!$D$2:$D$50000,E3211,全馬データ!$K$2:$K$50000,"&lt;&gt;")=0,"",SUMIFS(全馬データ!$K$2:$K$50000,全馬データ!$A$2:$A$50000,A3211,全馬データ!$B$2:$B$50000,B3211,全馬データ!$C$2:$C$50000,C3211,全馬データ!$D$2:$D$50000,E3211)))</f>
        <v/>
      </c>
      <c r="AP3211" s="8" t="str">
        <f aca="false">IF(A3211="","",IF(AO3211="","欠損",IF(AO3211&lt;=1.1,"1.0～1.1",IF(AO3211&lt;1.3,"1.2",IF(AO3211&lt;1.5,"1.3～1.4",IF(AO3211&lt;2,"1.5～1.9","2.0以上"))))))</f>
        <v/>
      </c>
      <c r="AQ3211" s="8" t="str">
        <f aca="false">IF(A3211="","",IF(ISNUMBER(SEARCH("2歳",Z3211)),"2歳戦",IF(ISNUMBER(SEARCH("3歳未勝利",Z3211)),"3歳未勝利",IF(ISNUMBER(SEARCH("未勝利",Z3211)),"その他未勝利",IF(ISNUMBER(SEARCH("G1",Z3211)),"G1",IF(ISNUMBER(SEARCH("G2",Z3211)),"G2",IF(ISNUMBER(SEARCH("G3",Z3211)),"G3",IF(ISNUMBER(SEARCH("古馬条件",Z3211)),"古馬条件戦",IF(ISNUMBER(SEARCH("重賞",Z3211)),"重賞","分類不能")))))))))</f>
        <v/>
      </c>
    </row>
    <row r="3212" customFormat="false" ht="15.75" hidden="false" customHeight="false" outlineLevel="0" collapsed="false">
      <c r="AO3212" s="8" t="str">
        <f aca="false">IF(A3212="","",IF(COUNTIFS(全馬データ!$A$2:$A$50000,A3212,全馬データ!$B$2:$B$50000,B3212,全馬データ!$C$2:$C$50000,C3212,全馬データ!$D$2:$D$50000,E3212,全馬データ!$K$2:$K$50000,"&lt;&gt;")=0,"",SUMIFS(全馬データ!$K$2:$K$50000,全馬データ!$A$2:$A$50000,A3212,全馬データ!$B$2:$B$50000,B3212,全馬データ!$C$2:$C$50000,C3212,全馬データ!$D$2:$D$50000,E3212)))</f>
        <v/>
      </c>
      <c r="AP3212" s="8" t="str">
        <f aca="false">IF(A3212="","",IF(AO3212="","欠損",IF(AO3212&lt;=1.1,"1.0～1.1",IF(AO3212&lt;1.3,"1.2",IF(AO3212&lt;1.5,"1.3～1.4",IF(AO3212&lt;2,"1.5～1.9","2.0以上"))))))</f>
        <v/>
      </c>
      <c r="AQ3212" s="8" t="str">
        <f aca="false">IF(A3212="","",IF(ISNUMBER(SEARCH("2歳",Z3212)),"2歳戦",IF(ISNUMBER(SEARCH("3歳未勝利",Z3212)),"3歳未勝利",IF(ISNUMBER(SEARCH("未勝利",Z3212)),"その他未勝利",IF(ISNUMBER(SEARCH("G1",Z3212)),"G1",IF(ISNUMBER(SEARCH("G2",Z3212)),"G2",IF(ISNUMBER(SEARCH("G3",Z3212)),"G3",IF(ISNUMBER(SEARCH("古馬条件",Z3212)),"古馬条件戦",IF(ISNUMBER(SEARCH("重賞",Z3212)),"重賞","分類不能")))))))))</f>
        <v/>
      </c>
    </row>
    <row r="3213" customFormat="false" ht="15.75" hidden="false" customHeight="false" outlineLevel="0" collapsed="false">
      <c r="AO3213" s="8" t="str">
        <f aca="false">IF(A3213="","",IF(COUNTIFS(全馬データ!$A$2:$A$50000,A3213,全馬データ!$B$2:$B$50000,B3213,全馬データ!$C$2:$C$50000,C3213,全馬データ!$D$2:$D$50000,E3213,全馬データ!$K$2:$K$50000,"&lt;&gt;")=0,"",SUMIFS(全馬データ!$K$2:$K$50000,全馬データ!$A$2:$A$50000,A3213,全馬データ!$B$2:$B$50000,B3213,全馬データ!$C$2:$C$50000,C3213,全馬データ!$D$2:$D$50000,E3213)))</f>
        <v/>
      </c>
      <c r="AP3213" s="8" t="str">
        <f aca="false">IF(A3213="","",IF(AO3213="","欠損",IF(AO3213&lt;=1.1,"1.0～1.1",IF(AO3213&lt;1.3,"1.2",IF(AO3213&lt;1.5,"1.3～1.4",IF(AO3213&lt;2,"1.5～1.9","2.0以上"))))))</f>
        <v/>
      </c>
      <c r="AQ3213" s="8" t="str">
        <f aca="false">IF(A3213="","",IF(ISNUMBER(SEARCH("2歳",Z3213)),"2歳戦",IF(ISNUMBER(SEARCH("3歳未勝利",Z3213)),"3歳未勝利",IF(ISNUMBER(SEARCH("未勝利",Z3213)),"その他未勝利",IF(ISNUMBER(SEARCH("G1",Z3213)),"G1",IF(ISNUMBER(SEARCH("G2",Z3213)),"G2",IF(ISNUMBER(SEARCH("G3",Z3213)),"G3",IF(ISNUMBER(SEARCH("古馬条件",Z3213)),"古馬条件戦",IF(ISNUMBER(SEARCH("重賞",Z3213)),"重賞","分類不能")))))))))</f>
        <v/>
      </c>
    </row>
    <row r="3214" customFormat="false" ht="15.75" hidden="false" customHeight="false" outlineLevel="0" collapsed="false">
      <c r="AO3214" s="8" t="str">
        <f aca="false">IF(A3214="","",IF(COUNTIFS(全馬データ!$A$2:$A$50000,A3214,全馬データ!$B$2:$B$50000,B3214,全馬データ!$C$2:$C$50000,C3214,全馬データ!$D$2:$D$50000,E3214,全馬データ!$K$2:$K$50000,"&lt;&gt;")=0,"",SUMIFS(全馬データ!$K$2:$K$50000,全馬データ!$A$2:$A$50000,A3214,全馬データ!$B$2:$B$50000,B3214,全馬データ!$C$2:$C$50000,C3214,全馬データ!$D$2:$D$50000,E3214)))</f>
        <v/>
      </c>
      <c r="AP3214" s="8" t="str">
        <f aca="false">IF(A3214="","",IF(AO3214="","欠損",IF(AO3214&lt;=1.1,"1.0～1.1",IF(AO3214&lt;1.3,"1.2",IF(AO3214&lt;1.5,"1.3～1.4",IF(AO3214&lt;2,"1.5～1.9","2.0以上"))))))</f>
        <v/>
      </c>
      <c r="AQ3214" s="8" t="str">
        <f aca="false">IF(A3214="","",IF(ISNUMBER(SEARCH("2歳",Z3214)),"2歳戦",IF(ISNUMBER(SEARCH("3歳未勝利",Z3214)),"3歳未勝利",IF(ISNUMBER(SEARCH("未勝利",Z3214)),"その他未勝利",IF(ISNUMBER(SEARCH("G1",Z3214)),"G1",IF(ISNUMBER(SEARCH("G2",Z3214)),"G2",IF(ISNUMBER(SEARCH("G3",Z3214)),"G3",IF(ISNUMBER(SEARCH("古馬条件",Z3214)),"古馬条件戦",IF(ISNUMBER(SEARCH("重賞",Z3214)),"重賞","分類不能")))))))))</f>
        <v/>
      </c>
    </row>
    <row r="3215" customFormat="false" ht="15.75" hidden="false" customHeight="false" outlineLevel="0" collapsed="false">
      <c r="AO3215" s="8" t="str">
        <f aca="false">IF(A3215="","",IF(COUNTIFS(全馬データ!$A$2:$A$50000,A3215,全馬データ!$B$2:$B$50000,B3215,全馬データ!$C$2:$C$50000,C3215,全馬データ!$D$2:$D$50000,E3215,全馬データ!$K$2:$K$50000,"&lt;&gt;")=0,"",SUMIFS(全馬データ!$K$2:$K$50000,全馬データ!$A$2:$A$50000,A3215,全馬データ!$B$2:$B$50000,B3215,全馬データ!$C$2:$C$50000,C3215,全馬データ!$D$2:$D$50000,E3215)))</f>
        <v/>
      </c>
      <c r="AP3215" s="8" t="str">
        <f aca="false">IF(A3215="","",IF(AO3215="","欠損",IF(AO3215&lt;=1.1,"1.0～1.1",IF(AO3215&lt;1.3,"1.2",IF(AO3215&lt;1.5,"1.3～1.4",IF(AO3215&lt;2,"1.5～1.9","2.0以上"))))))</f>
        <v/>
      </c>
      <c r="AQ3215" s="8" t="str">
        <f aca="false">IF(A3215="","",IF(ISNUMBER(SEARCH("2歳",Z3215)),"2歳戦",IF(ISNUMBER(SEARCH("3歳未勝利",Z3215)),"3歳未勝利",IF(ISNUMBER(SEARCH("未勝利",Z3215)),"その他未勝利",IF(ISNUMBER(SEARCH("G1",Z3215)),"G1",IF(ISNUMBER(SEARCH("G2",Z3215)),"G2",IF(ISNUMBER(SEARCH("G3",Z3215)),"G3",IF(ISNUMBER(SEARCH("古馬条件",Z3215)),"古馬条件戦",IF(ISNUMBER(SEARCH("重賞",Z3215)),"重賞","分類不能")))))))))</f>
        <v/>
      </c>
    </row>
    <row r="3216" customFormat="false" ht="15.75" hidden="false" customHeight="false" outlineLevel="0" collapsed="false">
      <c r="AO3216" s="8" t="str">
        <f aca="false">IF(A3216="","",IF(COUNTIFS(全馬データ!$A$2:$A$50000,A3216,全馬データ!$B$2:$B$50000,B3216,全馬データ!$C$2:$C$50000,C3216,全馬データ!$D$2:$D$50000,E3216,全馬データ!$K$2:$K$50000,"&lt;&gt;")=0,"",SUMIFS(全馬データ!$K$2:$K$50000,全馬データ!$A$2:$A$50000,A3216,全馬データ!$B$2:$B$50000,B3216,全馬データ!$C$2:$C$50000,C3216,全馬データ!$D$2:$D$50000,E3216)))</f>
        <v/>
      </c>
      <c r="AP3216" s="8" t="str">
        <f aca="false">IF(A3216="","",IF(AO3216="","欠損",IF(AO3216&lt;=1.1,"1.0～1.1",IF(AO3216&lt;1.3,"1.2",IF(AO3216&lt;1.5,"1.3～1.4",IF(AO3216&lt;2,"1.5～1.9","2.0以上"))))))</f>
        <v/>
      </c>
      <c r="AQ3216" s="8" t="str">
        <f aca="false">IF(A3216="","",IF(ISNUMBER(SEARCH("2歳",Z3216)),"2歳戦",IF(ISNUMBER(SEARCH("3歳未勝利",Z3216)),"3歳未勝利",IF(ISNUMBER(SEARCH("未勝利",Z3216)),"その他未勝利",IF(ISNUMBER(SEARCH("G1",Z3216)),"G1",IF(ISNUMBER(SEARCH("G2",Z3216)),"G2",IF(ISNUMBER(SEARCH("G3",Z3216)),"G3",IF(ISNUMBER(SEARCH("古馬条件",Z3216)),"古馬条件戦",IF(ISNUMBER(SEARCH("重賞",Z3216)),"重賞","分類不能")))))))))</f>
        <v/>
      </c>
    </row>
    <row r="3217" customFormat="false" ht="15.75" hidden="false" customHeight="false" outlineLevel="0" collapsed="false">
      <c r="AO3217" s="8" t="str">
        <f aca="false">IF(A3217="","",IF(COUNTIFS(全馬データ!$A$2:$A$50000,A3217,全馬データ!$B$2:$B$50000,B3217,全馬データ!$C$2:$C$50000,C3217,全馬データ!$D$2:$D$50000,E3217,全馬データ!$K$2:$K$50000,"&lt;&gt;")=0,"",SUMIFS(全馬データ!$K$2:$K$50000,全馬データ!$A$2:$A$50000,A3217,全馬データ!$B$2:$B$50000,B3217,全馬データ!$C$2:$C$50000,C3217,全馬データ!$D$2:$D$50000,E3217)))</f>
        <v/>
      </c>
      <c r="AP3217" s="8" t="str">
        <f aca="false">IF(A3217="","",IF(AO3217="","欠損",IF(AO3217&lt;=1.1,"1.0～1.1",IF(AO3217&lt;1.3,"1.2",IF(AO3217&lt;1.5,"1.3～1.4",IF(AO3217&lt;2,"1.5～1.9","2.0以上"))))))</f>
        <v/>
      </c>
      <c r="AQ3217" s="8" t="str">
        <f aca="false">IF(A3217="","",IF(ISNUMBER(SEARCH("2歳",Z3217)),"2歳戦",IF(ISNUMBER(SEARCH("3歳未勝利",Z3217)),"3歳未勝利",IF(ISNUMBER(SEARCH("未勝利",Z3217)),"その他未勝利",IF(ISNUMBER(SEARCH("G1",Z3217)),"G1",IF(ISNUMBER(SEARCH("G2",Z3217)),"G2",IF(ISNUMBER(SEARCH("G3",Z3217)),"G3",IF(ISNUMBER(SEARCH("古馬条件",Z3217)),"古馬条件戦",IF(ISNUMBER(SEARCH("重賞",Z3217)),"重賞","分類不能")))))))))</f>
        <v/>
      </c>
    </row>
    <row r="3218" customFormat="false" ht="15.75" hidden="false" customHeight="false" outlineLevel="0" collapsed="false">
      <c r="AO3218" s="8" t="str">
        <f aca="false">IF(A3218="","",IF(COUNTIFS(全馬データ!$A$2:$A$50000,A3218,全馬データ!$B$2:$B$50000,B3218,全馬データ!$C$2:$C$50000,C3218,全馬データ!$D$2:$D$50000,E3218,全馬データ!$K$2:$K$50000,"&lt;&gt;")=0,"",SUMIFS(全馬データ!$K$2:$K$50000,全馬データ!$A$2:$A$50000,A3218,全馬データ!$B$2:$B$50000,B3218,全馬データ!$C$2:$C$50000,C3218,全馬データ!$D$2:$D$50000,E3218)))</f>
        <v/>
      </c>
      <c r="AP3218" s="8" t="str">
        <f aca="false">IF(A3218="","",IF(AO3218="","欠損",IF(AO3218&lt;=1.1,"1.0～1.1",IF(AO3218&lt;1.3,"1.2",IF(AO3218&lt;1.5,"1.3～1.4",IF(AO3218&lt;2,"1.5～1.9","2.0以上"))))))</f>
        <v/>
      </c>
      <c r="AQ3218" s="8" t="str">
        <f aca="false">IF(A3218="","",IF(ISNUMBER(SEARCH("2歳",Z3218)),"2歳戦",IF(ISNUMBER(SEARCH("3歳未勝利",Z3218)),"3歳未勝利",IF(ISNUMBER(SEARCH("未勝利",Z3218)),"その他未勝利",IF(ISNUMBER(SEARCH("G1",Z3218)),"G1",IF(ISNUMBER(SEARCH("G2",Z3218)),"G2",IF(ISNUMBER(SEARCH("G3",Z3218)),"G3",IF(ISNUMBER(SEARCH("古馬条件",Z3218)),"古馬条件戦",IF(ISNUMBER(SEARCH("重賞",Z3218)),"重賞","分類不能")))))))))</f>
        <v/>
      </c>
    </row>
    <row r="3219" customFormat="false" ht="15.75" hidden="false" customHeight="false" outlineLevel="0" collapsed="false">
      <c r="AO3219" s="8" t="str">
        <f aca="false">IF(A3219="","",IF(COUNTIFS(全馬データ!$A$2:$A$50000,A3219,全馬データ!$B$2:$B$50000,B3219,全馬データ!$C$2:$C$50000,C3219,全馬データ!$D$2:$D$50000,E3219,全馬データ!$K$2:$K$50000,"&lt;&gt;")=0,"",SUMIFS(全馬データ!$K$2:$K$50000,全馬データ!$A$2:$A$50000,A3219,全馬データ!$B$2:$B$50000,B3219,全馬データ!$C$2:$C$50000,C3219,全馬データ!$D$2:$D$50000,E3219)))</f>
        <v/>
      </c>
      <c r="AP3219" s="8" t="str">
        <f aca="false">IF(A3219="","",IF(AO3219="","欠損",IF(AO3219&lt;=1.1,"1.0～1.1",IF(AO3219&lt;1.3,"1.2",IF(AO3219&lt;1.5,"1.3～1.4",IF(AO3219&lt;2,"1.5～1.9","2.0以上"))))))</f>
        <v/>
      </c>
      <c r="AQ3219" s="8" t="str">
        <f aca="false">IF(A3219="","",IF(ISNUMBER(SEARCH("2歳",Z3219)),"2歳戦",IF(ISNUMBER(SEARCH("3歳未勝利",Z3219)),"3歳未勝利",IF(ISNUMBER(SEARCH("未勝利",Z3219)),"その他未勝利",IF(ISNUMBER(SEARCH("G1",Z3219)),"G1",IF(ISNUMBER(SEARCH("G2",Z3219)),"G2",IF(ISNUMBER(SEARCH("G3",Z3219)),"G3",IF(ISNUMBER(SEARCH("古馬条件",Z3219)),"古馬条件戦",IF(ISNUMBER(SEARCH("重賞",Z3219)),"重賞","分類不能")))))))))</f>
        <v/>
      </c>
    </row>
    <row r="3220" customFormat="false" ht="15.75" hidden="false" customHeight="false" outlineLevel="0" collapsed="false">
      <c r="AO3220" s="8" t="str">
        <f aca="false">IF(A3220="","",IF(COUNTIFS(全馬データ!$A$2:$A$50000,A3220,全馬データ!$B$2:$B$50000,B3220,全馬データ!$C$2:$C$50000,C3220,全馬データ!$D$2:$D$50000,E3220,全馬データ!$K$2:$K$50000,"&lt;&gt;")=0,"",SUMIFS(全馬データ!$K$2:$K$50000,全馬データ!$A$2:$A$50000,A3220,全馬データ!$B$2:$B$50000,B3220,全馬データ!$C$2:$C$50000,C3220,全馬データ!$D$2:$D$50000,E3220)))</f>
        <v/>
      </c>
      <c r="AP3220" s="8" t="str">
        <f aca="false">IF(A3220="","",IF(AO3220="","欠損",IF(AO3220&lt;=1.1,"1.0～1.1",IF(AO3220&lt;1.3,"1.2",IF(AO3220&lt;1.5,"1.3～1.4",IF(AO3220&lt;2,"1.5～1.9","2.0以上"))))))</f>
        <v/>
      </c>
      <c r="AQ3220" s="8" t="str">
        <f aca="false">IF(A3220="","",IF(ISNUMBER(SEARCH("2歳",Z3220)),"2歳戦",IF(ISNUMBER(SEARCH("3歳未勝利",Z3220)),"3歳未勝利",IF(ISNUMBER(SEARCH("未勝利",Z3220)),"その他未勝利",IF(ISNUMBER(SEARCH("G1",Z3220)),"G1",IF(ISNUMBER(SEARCH("G2",Z3220)),"G2",IF(ISNUMBER(SEARCH("G3",Z3220)),"G3",IF(ISNUMBER(SEARCH("古馬条件",Z3220)),"古馬条件戦",IF(ISNUMBER(SEARCH("重賞",Z3220)),"重賞","分類不能")))))))))</f>
        <v/>
      </c>
    </row>
    <row r="3221" customFormat="false" ht="15.75" hidden="false" customHeight="false" outlineLevel="0" collapsed="false">
      <c r="AO3221" s="8" t="str">
        <f aca="false">IF(A3221="","",IF(COUNTIFS(全馬データ!$A$2:$A$50000,A3221,全馬データ!$B$2:$B$50000,B3221,全馬データ!$C$2:$C$50000,C3221,全馬データ!$D$2:$D$50000,E3221,全馬データ!$K$2:$K$50000,"&lt;&gt;")=0,"",SUMIFS(全馬データ!$K$2:$K$50000,全馬データ!$A$2:$A$50000,A3221,全馬データ!$B$2:$B$50000,B3221,全馬データ!$C$2:$C$50000,C3221,全馬データ!$D$2:$D$50000,E3221)))</f>
        <v/>
      </c>
      <c r="AP3221" s="8" t="str">
        <f aca="false">IF(A3221="","",IF(AO3221="","欠損",IF(AO3221&lt;=1.1,"1.0～1.1",IF(AO3221&lt;1.3,"1.2",IF(AO3221&lt;1.5,"1.3～1.4",IF(AO3221&lt;2,"1.5～1.9","2.0以上"))))))</f>
        <v/>
      </c>
      <c r="AQ3221" s="8" t="str">
        <f aca="false">IF(A3221="","",IF(ISNUMBER(SEARCH("2歳",Z3221)),"2歳戦",IF(ISNUMBER(SEARCH("3歳未勝利",Z3221)),"3歳未勝利",IF(ISNUMBER(SEARCH("未勝利",Z3221)),"その他未勝利",IF(ISNUMBER(SEARCH("G1",Z3221)),"G1",IF(ISNUMBER(SEARCH("G2",Z3221)),"G2",IF(ISNUMBER(SEARCH("G3",Z3221)),"G3",IF(ISNUMBER(SEARCH("古馬条件",Z3221)),"古馬条件戦",IF(ISNUMBER(SEARCH("重賞",Z3221)),"重賞","分類不能")))))))))</f>
        <v/>
      </c>
    </row>
    <row r="3222" customFormat="false" ht="15.75" hidden="false" customHeight="false" outlineLevel="0" collapsed="false">
      <c r="AO3222" s="8" t="str">
        <f aca="false">IF(A3222="","",IF(COUNTIFS(全馬データ!$A$2:$A$50000,A3222,全馬データ!$B$2:$B$50000,B3222,全馬データ!$C$2:$C$50000,C3222,全馬データ!$D$2:$D$50000,E3222,全馬データ!$K$2:$K$50000,"&lt;&gt;")=0,"",SUMIFS(全馬データ!$K$2:$K$50000,全馬データ!$A$2:$A$50000,A3222,全馬データ!$B$2:$B$50000,B3222,全馬データ!$C$2:$C$50000,C3222,全馬データ!$D$2:$D$50000,E3222)))</f>
        <v/>
      </c>
      <c r="AP3222" s="8" t="str">
        <f aca="false">IF(A3222="","",IF(AO3222="","欠損",IF(AO3222&lt;=1.1,"1.0～1.1",IF(AO3222&lt;1.3,"1.2",IF(AO3222&lt;1.5,"1.3～1.4",IF(AO3222&lt;2,"1.5～1.9","2.0以上"))))))</f>
        <v/>
      </c>
      <c r="AQ3222" s="8" t="str">
        <f aca="false">IF(A3222="","",IF(ISNUMBER(SEARCH("2歳",Z3222)),"2歳戦",IF(ISNUMBER(SEARCH("3歳未勝利",Z3222)),"3歳未勝利",IF(ISNUMBER(SEARCH("未勝利",Z3222)),"その他未勝利",IF(ISNUMBER(SEARCH("G1",Z3222)),"G1",IF(ISNUMBER(SEARCH("G2",Z3222)),"G2",IF(ISNUMBER(SEARCH("G3",Z3222)),"G3",IF(ISNUMBER(SEARCH("古馬条件",Z3222)),"古馬条件戦",IF(ISNUMBER(SEARCH("重賞",Z3222)),"重賞","分類不能")))))))))</f>
        <v/>
      </c>
    </row>
    <row r="3223" customFormat="false" ht="15.75" hidden="false" customHeight="false" outlineLevel="0" collapsed="false">
      <c r="AO3223" s="8" t="str">
        <f aca="false">IF(A3223="","",IF(COUNTIFS(全馬データ!$A$2:$A$50000,A3223,全馬データ!$B$2:$B$50000,B3223,全馬データ!$C$2:$C$50000,C3223,全馬データ!$D$2:$D$50000,E3223,全馬データ!$K$2:$K$50000,"&lt;&gt;")=0,"",SUMIFS(全馬データ!$K$2:$K$50000,全馬データ!$A$2:$A$50000,A3223,全馬データ!$B$2:$B$50000,B3223,全馬データ!$C$2:$C$50000,C3223,全馬データ!$D$2:$D$50000,E3223)))</f>
        <v/>
      </c>
      <c r="AP3223" s="8" t="str">
        <f aca="false">IF(A3223="","",IF(AO3223="","欠損",IF(AO3223&lt;=1.1,"1.0～1.1",IF(AO3223&lt;1.3,"1.2",IF(AO3223&lt;1.5,"1.3～1.4",IF(AO3223&lt;2,"1.5～1.9","2.0以上"))))))</f>
        <v/>
      </c>
      <c r="AQ3223" s="8" t="str">
        <f aca="false">IF(A3223="","",IF(ISNUMBER(SEARCH("2歳",Z3223)),"2歳戦",IF(ISNUMBER(SEARCH("3歳未勝利",Z3223)),"3歳未勝利",IF(ISNUMBER(SEARCH("未勝利",Z3223)),"その他未勝利",IF(ISNUMBER(SEARCH("G1",Z3223)),"G1",IF(ISNUMBER(SEARCH("G2",Z3223)),"G2",IF(ISNUMBER(SEARCH("G3",Z3223)),"G3",IF(ISNUMBER(SEARCH("古馬条件",Z3223)),"古馬条件戦",IF(ISNUMBER(SEARCH("重賞",Z3223)),"重賞","分類不能")))))))))</f>
        <v/>
      </c>
    </row>
    <row r="3224" customFormat="false" ht="15.75" hidden="false" customHeight="false" outlineLevel="0" collapsed="false">
      <c r="AO3224" s="8" t="str">
        <f aca="false">IF(A3224="","",IF(COUNTIFS(全馬データ!$A$2:$A$50000,A3224,全馬データ!$B$2:$B$50000,B3224,全馬データ!$C$2:$C$50000,C3224,全馬データ!$D$2:$D$50000,E3224,全馬データ!$K$2:$K$50000,"&lt;&gt;")=0,"",SUMIFS(全馬データ!$K$2:$K$50000,全馬データ!$A$2:$A$50000,A3224,全馬データ!$B$2:$B$50000,B3224,全馬データ!$C$2:$C$50000,C3224,全馬データ!$D$2:$D$50000,E3224)))</f>
        <v/>
      </c>
      <c r="AP3224" s="8" t="str">
        <f aca="false">IF(A3224="","",IF(AO3224="","欠損",IF(AO3224&lt;=1.1,"1.0～1.1",IF(AO3224&lt;1.3,"1.2",IF(AO3224&lt;1.5,"1.3～1.4",IF(AO3224&lt;2,"1.5～1.9","2.0以上"))))))</f>
        <v/>
      </c>
      <c r="AQ3224" s="8" t="str">
        <f aca="false">IF(A3224="","",IF(ISNUMBER(SEARCH("2歳",Z3224)),"2歳戦",IF(ISNUMBER(SEARCH("3歳未勝利",Z3224)),"3歳未勝利",IF(ISNUMBER(SEARCH("未勝利",Z3224)),"その他未勝利",IF(ISNUMBER(SEARCH("G1",Z3224)),"G1",IF(ISNUMBER(SEARCH("G2",Z3224)),"G2",IF(ISNUMBER(SEARCH("G3",Z3224)),"G3",IF(ISNUMBER(SEARCH("古馬条件",Z3224)),"古馬条件戦",IF(ISNUMBER(SEARCH("重賞",Z3224)),"重賞","分類不能")))))))))</f>
        <v/>
      </c>
    </row>
    <row r="3225" customFormat="false" ht="15.75" hidden="false" customHeight="false" outlineLevel="0" collapsed="false">
      <c r="AO3225" s="8" t="str">
        <f aca="false">IF(A3225="","",IF(COUNTIFS(全馬データ!$A$2:$A$50000,A3225,全馬データ!$B$2:$B$50000,B3225,全馬データ!$C$2:$C$50000,C3225,全馬データ!$D$2:$D$50000,E3225,全馬データ!$K$2:$K$50000,"&lt;&gt;")=0,"",SUMIFS(全馬データ!$K$2:$K$50000,全馬データ!$A$2:$A$50000,A3225,全馬データ!$B$2:$B$50000,B3225,全馬データ!$C$2:$C$50000,C3225,全馬データ!$D$2:$D$50000,E3225)))</f>
        <v/>
      </c>
      <c r="AP3225" s="8" t="str">
        <f aca="false">IF(A3225="","",IF(AO3225="","欠損",IF(AO3225&lt;=1.1,"1.0～1.1",IF(AO3225&lt;1.3,"1.2",IF(AO3225&lt;1.5,"1.3～1.4",IF(AO3225&lt;2,"1.5～1.9","2.0以上"))))))</f>
        <v/>
      </c>
      <c r="AQ3225" s="8" t="str">
        <f aca="false">IF(A3225="","",IF(ISNUMBER(SEARCH("2歳",Z3225)),"2歳戦",IF(ISNUMBER(SEARCH("3歳未勝利",Z3225)),"3歳未勝利",IF(ISNUMBER(SEARCH("未勝利",Z3225)),"その他未勝利",IF(ISNUMBER(SEARCH("G1",Z3225)),"G1",IF(ISNUMBER(SEARCH("G2",Z3225)),"G2",IF(ISNUMBER(SEARCH("G3",Z3225)),"G3",IF(ISNUMBER(SEARCH("古馬条件",Z3225)),"古馬条件戦",IF(ISNUMBER(SEARCH("重賞",Z3225)),"重賞","分類不能")))))))))</f>
        <v/>
      </c>
    </row>
    <row r="3226" customFormat="false" ht="15.75" hidden="false" customHeight="false" outlineLevel="0" collapsed="false">
      <c r="AO3226" s="8" t="str">
        <f aca="false">IF(A3226="","",IF(COUNTIFS(全馬データ!$A$2:$A$50000,A3226,全馬データ!$B$2:$B$50000,B3226,全馬データ!$C$2:$C$50000,C3226,全馬データ!$D$2:$D$50000,E3226,全馬データ!$K$2:$K$50000,"&lt;&gt;")=0,"",SUMIFS(全馬データ!$K$2:$K$50000,全馬データ!$A$2:$A$50000,A3226,全馬データ!$B$2:$B$50000,B3226,全馬データ!$C$2:$C$50000,C3226,全馬データ!$D$2:$D$50000,E3226)))</f>
        <v/>
      </c>
      <c r="AP3226" s="8" t="str">
        <f aca="false">IF(A3226="","",IF(AO3226="","欠損",IF(AO3226&lt;=1.1,"1.0～1.1",IF(AO3226&lt;1.3,"1.2",IF(AO3226&lt;1.5,"1.3～1.4",IF(AO3226&lt;2,"1.5～1.9","2.0以上"))))))</f>
        <v/>
      </c>
      <c r="AQ3226" s="8" t="str">
        <f aca="false">IF(A3226="","",IF(ISNUMBER(SEARCH("2歳",Z3226)),"2歳戦",IF(ISNUMBER(SEARCH("3歳未勝利",Z3226)),"3歳未勝利",IF(ISNUMBER(SEARCH("未勝利",Z3226)),"その他未勝利",IF(ISNUMBER(SEARCH("G1",Z3226)),"G1",IF(ISNUMBER(SEARCH("G2",Z3226)),"G2",IF(ISNUMBER(SEARCH("G3",Z3226)),"G3",IF(ISNUMBER(SEARCH("古馬条件",Z3226)),"古馬条件戦",IF(ISNUMBER(SEARCH("重賞",Z3226)),"重賞","分類不能")))))))))</f>
        <v/>
      </c>
    </row>
    <row r="3227" customFormat="false" ht="15.75" hidden="false" customHeight="false" outlineLevel="0" collapsed="false">
      <c r="AO3227" s="8" t="str">
        <f aca="false">IF(A3227="","",IF(COUNTIFS(全馬データ!$A$2:$A$50000,A3227,全馬データ!$B$2:$B$50000,B3227,全馬データ!$C$2:$C$50000,C3227,全馬データ!$D$2:$D$50000,E3227,全馬データ!$K$2:$K$50000,"&lt;&gt;")=0,"",SUMIFS(全馬データ!$K$2:$K$50000,全馬データ!$A$2:$A$50000,A3227,全馬データ!$B$2:$B$50000,B3227,全馬データ!$C$2:$C$50000,C3227,全馬データ!$D$2:$D$50000,E3227)))</f>
        <v/>
      </c>
      <c r="AP3227" s="8" t="str">
        <f aca="false">IF(A3227="","",IF(AO3227="","欠損",IF(AO3227&lt;=1.1,"1.0～1.1",IF(AO3227&lt;1.3,"1.2",IF(AO3227&lt;1.5,"1.3～1.4",IF(AO3227&lt;2,"1.5～1.9","2.0以上"))))))</f>
        <v/>
      </c>
      <c r="AQ3227" s="8" t="str">
        <f aca="false">IF(A3227="","",IF(ISNUMBER(SEARCH("2歳",Z3227)),"2歳戦",IF(ISNUMBER(SEARCH("3歳未勝利",Z3227)),"3歳未勝利",IF(ISNUMBER(SEARCH("未勝利",Z3227)),"その他未勝利",IF(ISNUMBER(SEARCH("G1",Z3227)),"G1",IF(ISNUMBER(SEARCH("G2",Z3227)),"G2",IF(ISNUMBER(SEARCH("G3",Z3227)),"G3",IF(ISNUMBER(SEARCH("古馬条件",Z3227)),"古馬条件戦",IF(ISNUMBER(SEARCH("重賞",Z3227)),"重賞","分類不能")))))))))</f>
        <v/>
      </c>
    </row>
    <row r="3228" customFormat="false" ht="15.75" hidden="false" customHeight="false" outlineLevel="0" collapsed="false">
      <c r="AO3228" s="8" t="str">
        <f aca="false">IF(A3228="","",IF(COUNTIFS(全馬データ!$A$2:$A$50000,A3228,全馬データ!$B$2:$B$50000,B3228,全馬データ!$C$2:$C$50000,C3228,全馬データ!$D$2:$D$50000,E3228,全馬データ!$K$2:$K$50000,"&lt;&gt;")=0,"",SUMIFS(全馬データ!$K$2:$K$50000,全馬データ!$A$2:$A$50000,A3228,全馬データ!$B$2:$B$50000,B3228,全馬データ!$C$2:$C$50000,C3228,全馬データ!$D$2:$D$50000,E3228)))</f>
        <v/>
      </c>
      <c r="AP3228" s="8" t="str">
        <f aca="false">IF(A3228="","",IF(AO3228="","欠損",IF(AO3228&lt;=1.1,"1.0～1.1",IF(AO3228&lt;1.3,"1.2",IF(AO3228&lt;1.5,"1.3～1.4",IF(AO3228&lt;2,"1.5～1.9","2.0以上"))))))</f>
        <v/>
      </c>
      <c r="AQ3228" s="8" t="str">
        <f aca="false">IF(A3228="","",IF(ISNUMBER(SEARCH("2歳",Z3228)),"2歳戦",IF(ISNUMBER(SEARCH("3歳未勝利",Z3228)),"3歳未勝利",IF(ISNUMBER(SEARCH("未勝利",Z3228)),"その他未勝利",IF(ISNUMBER(SEARCH("G1",Z3228)),"G1",IF(ISNUMBER(SEARCH("G2",Z3228)),"G2",IF(ISNUMBER(SEARCH("G3",Z3228)),"G3",IF(ISNUMBER(SEARCH("古馬条件",Z3228)),"古馬条件戦",IF(ISNUMBER(SEARCH("重賞",Z3228)),"重賞","分類不能")))))))))</f>
        <v/>
      </c>
    </row>
    <row r="3229" customFormat="false" ht="15.75" hidden="false" customHeight="false" outlineLevel="0" collapsed="false">
      <c r="AO3229" s="8" t="str">
        <f aca="false">IF(A3229="","",IF(COUNTIFS(全馬データ!$A$2:$A$50000,A3229,全馬データ!$B$2:$B$50000,B3229,全馬データ!$C$2:$C$50000,C3229,全馬データ!$D$2:$D$50000,E3229,全馬データ!$K$2:$K$50000,"&lt;&gt;")=0,"",SUMIFS(全馬データ!$K$2:$K$50000,全馬データ!$A$2:$A$50000,A3229,全馬データ!$B$2:$B$50000,B3229,全馬データ!$C$2:$C$50000,C3229,全馬データ!$D$2:$D$50000,E3229)))</f>
        <v/>
      </c>
      <c r="AP3229" s="8" t="str">
        <f aca="false">IF(A3229="","",IF(AO3229="","欠損",IF(AO3229&lt;=1.1,"1.0～1.1",IF(AO3229&lt;1.3,"1.2",IF(AO3229&lt;1.5,"1.3～1.4",IF(AO3229&lt;2,"1.5～1.9","2.0以上"))))))</f>
        <v/>
      </c>
      <c r="AQ3229" s="8" t="str">
        <f aca="false">IF(A3229="","",IF(ISNUMBER(SEARCH("2歳",Z3229)),"2歳戦",IF(ISNUMBER(SEARCH("3歳未勝利",Z3229)),"3歳未勝利",IF(ISNUMBER(SEARCH("未勝利",Z3229)),"その他未勝利",IF(ISNUMBER(SEARCH("G1",Z3229)),"G1",IF(ISNUMBER(SEARCH("G2",Z3229)),"G2",IF(ISNUMBER(SEARCH("G3",Z3229)),"G3",IF(ISNUMBER(SEARCH("古馬条件",Z3229)),"古馬条件戦",IF(ISNUMBER(SEARCH("重賞",Z3229)),"重賞","分類不能")))))))))</f>
        <v/>
      </c>
    </row>
    <row r="3230" customFormat="false" ht="15.75" hidden="false" customHeight="false" outlineLevel="0" collapsed="false">
      <c r="AO3230" s="8" t="str">
        <f aca="false">IF(A3230="","",IF(COUNTIFS(全馬データ!$A$2:$A$50000,A3230,全馬データ!$B$2:$B$50000,B3230,全馬データ!$C$2:$C$50000,C3230,全馬データ!$D$2:$D$50000,E3230,全馬データ!$K$2:$K$50000,"&lt;&gt;")=0,"",SUMIFS(全馬データ!$K$2:$K$50000,全馬データ!$A$2:$A$50000,A3230,全馬データ!$B$2:$B$50000,B3230,全馬データ!$C$2:$C$50000,C3230,全馬データ!$D$2:$D$50000,E3230)))</f>
        <v/>
      </c>
      <c r="AP3230" s="8" t="str">
        <f aca="false">IF(A3230="","",IF(AO3230="","欠損",IF(AO3230&lt;=1.1,"1.0～1.1",IF(AO3230&lt;1.3,"1.2",IF(AO3230&lt;1.5,"1.3～1.4",IF(AO3230&lt;2,"1.5～1.9","2.0以上"))))))</f>
        <v/>
      </c>
      <c r="AQ3230" s="8" t="str">
        <f aca="false">IF(A3230="","",IF(ISNUMBER(SEARCH("2歳",Z3230)),"2歳戦",IF(ISNUMBER(SEARCH("3歳未勝利",Z3230)),"3歳未勝利",IF(ISNUMBER(SEARCH("未勝利",Z3230)),"その他未勝利",IF(ISNUMBER(SEARCH("G1",Z3230)),"G1",IF(ISNUMBER(SEARCH("G2",Z3230)),"G2",IF(ISNUMBER(SEARCH("G3",Z3230)),"G3",IF(ISNUMBER(SEARCH("古馬条件",Z3230)),"古馬条件戦",IF(ISNUMBER(SEARCH("重賞",Z3230)),"重賞","分類不能")))))))))</f>
        <v/>
      </c>
    </row>
    <row r="3231" customFormat="false" ht="15.75" hidden="false" customHeight="false" outlineLevel="0" collapsed="false">
      <c r="AO3231" s="8" t="str">
        <f aca="false">IF(A3231="","",IF(COUNTIFS(全馬データ!$A$2:$A$50000,A3231,全馬データ!$B$2:$B$50000,B3231,全馬データ!$C$2:$C$50000,C3231,全馬データ!$D$2:$D$50000,E3231,全馬データ!$K$2:$K$50000,"&lt;&gt;")=0,"",SUMIFS(全馬データ!$K$2:$K$50000,全馬データ!$A$2:$A$50000,A3231,全馬データ!$B$2:$B$50000,B3231,全馬データ!$C$2:$C$50000,C3231,全馬データ!$D$2:$D$50000,E3231)))</f>
        <v/>
      </c>
      <c r="AP3231" s="8" t="str">
        <f aca="false">IF(A3231="","",IF(AO3231="","欠損",IF(AO3231&lt;=1.1,"1.0～1.1",IF(AO3231&lt;1.3,"1.2",IF(AO3231&lt;1.5,"1.3～1.4",IF(AO3231&lt;2,"1.5～1.9","2.0以上"))))))</f>
        <v/>
      </c>
      <c r="AQ3231" s="8" t="str">
        <f aca="false">IF(A3231="","",IF(ISNUMBER(SEARCH("2歳",Z3231)),"2歳戦",IF(ISNUMBER(SEARCH("3歳未勝利",Z3231)),"3歳未勝利",IF(ISNUMBER(SEARCH("未勝利",Z3231)),"その他未勝利",IF(ISNUMBER(SEARCH("G1",Z3231)),"G1",IF(ISNUMBER(SEARCH("G2",Z3231)),"G2",IF(ISNUMBER(SEARCH("G3",Z3231)),"G3",IF(ISNUMBER(SEARCH("古馬条件",Z3231)),"古馬条件戦",IF(ISNUMBER(SEARCH("重賞",Z3231)),"重賞","分類不能")))))))))</f>
        <v/>
      </c>
    </row>
    <row r="3232" customFormat="false" ht="15.75" hidden="false" customHeight="false" outlineLevel="0" collapsed="false">
      <c r="AO3232" s="8" t="str">
        <f aca="false">IF(A3232="","",IF(COUNTIFS(全馬データ!$A$2:$A$50000,A3232,全馬データ!$B$2:$B$50000,B3232,全馬データ!$C$2:$C$50000,C3232,全馬データ!$D$2:$D$50000,E3232,全馬データ!$K$2:$K$50000,"&lt;&gt;")=0,"",SUMIFS(全馬データ!$K$2:$K$50000,全馬データ!$A$2:$A$50000,A3232,全馬データ!$B$2:$B$50000,B3232,全馬データ!$C$2:$C$50000,C3232,全馬データ!$D$2:$D$50000,E3232)))</f>
        <v/>
      </c>
      <c r="AP3232" s="8" t="str">
        <f aca="false">IF(A3232="","",IF(AO3232="","欠損",IF(AO3232&lt;=1.1,"1.0～1.1",IF(AO3232&lt;1.3,"1.2",IF(AO3232&lt;1.5,"1.3～1.4",IF(AO3232&lt;2,"1.5～1.9","2.0以上"))))))</f>
        <v/>
      </c>
      <c r="AQ3232" s="8" t="str">
        <f aca="false">IF(A3232="","",IF(ISNUMBER(SEARCH("2歳",Z3232)),"2歳戦",IF(ISNUMBER(SEARCH("3歳未勝利",Z3232)),"3歳未勝利",IF(ISNUMBER(SEARCH("未勝利",Z3232)),"その他未勝利",IF(ISNUMBER(SEARCH("G1",Z3232)),"G1",IF(ISNUMBER(SEARCH("G2",Z3232)),"G2",IF(ISNUMBER(SEARCH("G3",Z3232)),"G3",IF(ISNUMBER(SEARCH("古馬条件",Z3232)),"古馬条件戦",IF(ISNUMBER(SEARCH("重賞",Z3232)),"重賞","分類不能")))))))))</f>
        <v/>
      </c>
    </row>
    <row r="3233" customFormat="false" ht="15.75" hidden="false" customHeight="false" outlineLevel="0" collapsed="false">
      <c r="AO3233" s="8" t="str">
        <f aca="false">IF(A3233="","",IF(COUNTIFS(全馬データ!$A$2:$A$50000,A3233,全馬データ!$B$2:$B$50000,B3233,全馬データ!$C$2:$C$50000,C3233,全馬データ!$D$2:$D$50000,E3233,全馬データ!$K$2:$K$50000,"&lt;&gt;")=0,"",SUMIFS(全馬データ!$K$2:$K$50000,全馬データ!$A$2:$A$50000,A3233,全馬データ!$B$2:$B$50000,B3233,全馬データ!$C$2:$C$50000,C3233,全馬データ!$D$2:$D$50000,E3233)))</f>
        <v/>
      </c>
      <c r="AP3233" s="8" t="str">
        <f aca="false">IF(A3233="","",IF(AO3233="","欠損",IF(AO3233&lt;=1.1,"1.0～1.1",IF(AO3233&lt;1.3,"1.2",IF(AO3233&lt;1.5,"1.3～1.4",IF(AO3233&lt;2,"1.5～1.9","2.0以上"))))))</f>
        <v/>
      </c>
      <c r="AQ3233" s="8" t="str">
        <f aca="false">IF(A3233="","",IF(ISNUMBER(SEARCH("2歳",Z3233)),"2歳戦",IF(ISNUMBER(SEARCH("3歳未勝利",Z3233)),"3歳未勝利",IF(ISNUMBER(SEARCH("未勝利",Z3233)),"その他未勝利",IF(ISNUMBER(SEARCH("G1",Z3233)),"G1",IF(ISNUMBER(SEARCH("G2",Z3233)),"G2",IF(ISNUMBER(SEARCH("G3",Z3233)),"G3",IF(ISNUMBER(SEARCH("古馬条件",Z3233)),"古馬条件戦",IF(ISNUMBER(SEARCH("重賞",Z3233)),"重賞","分類不能")))))))))</f>
        <v/>
      </c>
    </row>
    <row r="3234" customFormat="false" ht="15.75" hidden="false" customHeight="false" outlineLevel="0" collapsed="false">
      <c r="AO3234" s="8" t="str">
        <f aca="false">IF(A3234="","",IF(COUNTIFS(全馬データ!$A$2:$A$50000,A3234,全馬データ!$B$2:$B$50000,B3234,全馬データ!$C$2:$C$50000,C3234,全馬データ!$D$2:$D$50000,E3234,全馬データ!$K$2:$K$50000,"&lt;&gt;")=0,"",SUMIFS(全馬データ!$K$2:$K$50000,全馬データ!$A$2:$A$50000,A3234,全馬データ!$B$2:$B$50000,B3234,全馬データ!$C$2:$C$50000,C3234,全馬データ!$D$2:$D$50000,E3234)))</f>
        <v/>
      </c>
      <c r="AP3234" s="8" t="str">
        <f aca="false">IF(A3234="","",IF(AO3234="","欠損",IF(AO3234&lt;=1.1,"1.0～1.1",IF(AO3234&lt;1.3,"1.2",IF(AO3234&lt;1.5,"1.3～1.4",IF(AO3234&lt;2,"1.5～1.9","2.0以上"))))))</f>
        <v/>
      </c>
      <c r="AQ3234" s="8" t="str">
        <f aca="false">IF(A3234="","",IF(ISNUMBER(SEARCH("2歳",Z3234)),"2歳戦",IF(ISNUMBER(SEARCH("3歳未勝利",Z3234)),"3歳未勝利",IF(ISNUMBER(SEARCH("未勝利",Z3234)),"その他未勝利",IF(ISNUMBER(SEARCH("G1",Z3234)),"G1",IF(ISNUMBER(SEARCH("G2",Z3234)),"G2",IF(ISNUMBER(SEARCH("G3",Z3234)),"G3",IF(ISNUMBER(SEARCH("古馬条件",Z3234)),"古馬条件戦",IF(ISNUMBER(SEARCH("重賞",Z3234)),"重賞","分類不能")))))))))</f>
        <v/>
      </c>
    </row>
    <row r="3235" customFormat="false" ht="15.75" hidden="false" customHeight="false" outlineLevel="0" collapsed="false">
      <c r="AO3235" s="8" t="str">
        <f aca="false">IF(A3235="","",IF(COUNTIFS(全馬データ!$A$2:$A$50000,A3235,全馬データ!$B$2:$B$50000,B3235,全馬データ!$C$2:$C$50000,C3235,全馬データ!$D$2:$D$50000,E3235,全馬データ!$K$2:$K$50000,"&lt;&gt;")=0,"",SUMIFS(全馬データ!$K$2:$K$50000,全馬データ!$A$2:$A$50000,A3235,全馬データ!$B$2:$B$50000,B3235,全馬データ!$C$2:$C$50000,C3235,全馬データ!$D$2:$D$50000,E3235)))</f>
        <v/>
      </c>
      <c r="AP3235" s="8" t="str">
        <f aca="false">IF(A3235="","",IF(AO3235="","欠損",IF(AO3235&lt;=1.1,"1.0～1.1",IF(AO3235&lt;1.3,"1.2",IF(AO3235&lt;1.5,"1.3～1.4",IF(AO3235&lt;2,"1.5～1.9","2.0以上"))))))</f>
        <v/>
      </c>
      <c r="AQ3235" s="8" t="str">
        <f aca="false">IF(A3235="","",IF(ISNUMBER(SEARCH("2歳",Z3235)),"2歳戦",IF(ISNUMBER(SEARCH("3歳未勝利",Z3235)),"3歳未勝利",IF(ISNUMBER(SEARCH("未勝利",Z3235)),"その他未勝利",IF(ISNUMBER(SEARCH("G1",Z3235)),"G1",IF(ISNUMBER(SEARCH("G2",Z3235)),"G2",IF(ISNUMBER(SEARCH("G3",Z3235)),"G3",IF(ISNUMBER(SEARCH("古馬条件",Z3235)),"古馬条件戦",IF(ISNUMBER(SEARCH("重賞",Z3235)),"重賞","分類不能")))))))))</f>
        <v/>
      </c>
    </row>
    <row r="3236" customFormat="false" ht="15.75" hidden="false" customHeight="false" outlineLevel="0" collapsed="false">
      <c r="AO3236" s="8" t="str">
        <f aca="false">IF(A3236="","",IF(COUNTIFS(全馬データ!$A$2:$A$50000,A3236,全馬データ!$B$2:$B$50000,B3236,全馬データ!$C$2:$C$50000,C3236,全馬データ!$D$2:$D$50000,E3236,全馬データ!$K$2:$K$50000,"&lt;&gt;")=0,"",SUMIFS(全馬データ!$K$2:$K$50000,全馬データ!$A$2:$A$50000,A3236,全馬データ!$B$2:$B$50000,B3236,全馬データ!$C$2:$C$50000,C3236,全馬データ!$D$2:$D$50000,E3236)))</f>
        <v/>
      </c>
      <c r="AP3236" s="8" t="str">
        <f aca="false">IF(A3236="","",IF(AO3236="","欠損",IF(AO3236&lt;=1.1,"1.0～1.1",IF(AO3236&lt;1.3,"1.2",IF(AO3236&lt;1.5,"1.3～1.4",IF(AO3236&lt;2,"1.5～1.9","2.0以上"))))))</f>
        <v/>
      </c>
      <c r="AQ3236" s="8" t="str">
        <f aca="false">IF(A3236="","",IF(ISNUMBER(SEARCH("2歳",Z3236)),"2歳戦",IF(ISNUMBER(SEARCH("3歳未勝利",Z3236)),"3歳未勝利",IF(ISNUMBER(SEARCH("未勝利",Z3236)),"その他未勝利",IF(ISNUMBER(SEARCH("G1",Z3236)),"G1",IF(ISNUMBER(SEARCH("G2",Z3236)),"G2",IF(ISNUMBER(SEARCH("G3",Z3236)),"G3",IF(ISNUMBER(SEARCH("古馬条件",Z3236)),"古馬条件戦",IF(ISNUMBER(SEARCH("重賞",Z3236)),"重賞","分類不能")))))))))</f>
        <v/>
      </c>
    </row>
    <row r="3237" customFormat="false" ht="15.75" hidden="false" customHeight="false" outlineLevel="0" collapsed="false">
      <c r="AO3237" s="8" t="str">
        <f aca="false">IF(A3237="","",IF(COUNTIFS(全馬データ!$A$2:$A$50000,A3237,全馬データ!$B$2:$B$50000,B3237,全馬データ!$C$2:$C$50000,C3237,全馬データ!$D$2:$D$50000,E3237,全馬データ!$K$2:$K$50000,"&lt;&gt;")=0,"",SUMIFS(全馬データ!$K$2:$K$50000,全馬データ!$A$2:$A$50000,A3237,全馬データ!$B$2:$B$50000,B3237,全馬データ!$C$2:$C$50000,C3237,全馬データ!$D$2:$D$50000,E3237)))</f>
        <v/>
      </c>
      <c r="AP3237" s="8" t="str">
        <f aca="false">IF(A3237="","",IF(AO3237="","欠損",IF(AO3237&lt;=1.1,"1.0～1.1",IF(AO3237&lt;1.3,"1.2",IF(AO3237&lt;1.5,"1.3～1.4",IF(AO3237&lt;2,"1.5～1.9","2.0以上"))))))</f>
        <v/>
      </c>
      <c r="AQ3237" s="8" t="str">
        <f aca="false">IF(A3237="","",IF(ISNUMBER(SEARCH("2歳",Z3237)),"2歳戦",IF(ISNUMBER(SEARCH("3歳未勝利",Z3237)),"3歳未勝利",IF(ISNUMBER(SEARCH("未勝利",Z3237)),"その他未勝利",IF(ISNUMBER(SEARCH("G1",Z3237)),"G1",IF(ISNUMBER(SEARCH("G2",Z3237)),"G2",IF(ISNUMBER(SEARCH("G3",Z3237)),"G3",IF(ISNUMBER(SEARCH("古馬条件",Z3237)),"古馬条件戦",IF(ISNUMBER(SEARCH("重賞",Z3237)),"重賞","分類不能")))))))))</f>
        <v/>
      </c>
    </row>
    <row r="3238" customFormat="false" ht="15.75" hidden="false" customHeight="false" outlineLevel="0" collapsed="false">
      <c r="AO3238" s="8" t="str">
        <f aca="false">IF(A3238="","",IF(COUNTIFS(全馬データ!$A$2:$A$50000,A3238,全馬データ!$B$2:$B$50000,B3238,全馬データ!$C$2:$C$50000,C3238,全馬データ!$D$2:$D$50000,E3238,全馬データ!$K$2:$K$50000,"&lt;&gt;")=0,"",SUMIFS(全馬データ!$K$2:$K$50000,全馬データ!$A$2:$A$50000,A3238,全馬データ!$B$2:$B$50000,B3238,全馬データ!$C$2:$C$50000,C3238,全馬データ!$D$2:$D$50000,E3238)))</f>
        <v/>
      </c>
      <c r="AP3238" s="8" t="str">
        <f aca="false">IF(A3238="","",IF(AO3238="","欠損",IF(AO3238&lt;=1.1,"1.0～1.1",IF(AO3238&lt;1.3,"1.2",IF(AO3238&lt;1.5,"1.3～1.4",IF(AO3238&lt;2,"1.5～1.9","2.0以上"))))))</f>
        <v/>
      </c>
      <c r="AQ3238" s="8" t="str">
        <f aca="false">IF(A3238="","",IF(ISNUMBER(SEARCH("2歳",Z3238)),"2歳戦",IF(ISNUMBER(SEARCH("3歳未勝利",Z3238)),"3歳未勝利",IF(ISNUMBER(SEARCH("未勝利",Z3238)),"その他未勝利",IF(ISNUMBER(SEARCH("G1",Z3238)),"G1",IF(ISNUMBER(SEARCH("G2",Z3238)),"G2",IF(ISNUMBER(SEARCH("G3",Z3238)),"G3",IF(ISNUMBER(SEARCH("古馬条件",Z3238)),"古馬条件戦",IF(ISNUMBER(SEARCH("重賞",Z3238)),"重賞","分類不能")))))))))</f>
        <v/>
      </c>
    </row>
    <row r="3239" customFormat="false" ht="15.75" hidden="false" customHeight="false" outlineLevel="0" collapsed="false">
      <c r="AO3239" s="8" t="str">
        <f aca="false">IF(A3239="","",IF(COUNTIFS(全馬データ!$A$2:$A$50000,A3239,全馬データ!$B$2:$B$50000,B3239,全馬データ!$C$2:$C$50000,C3239,全馬データ!$D$2:$D$50000,E3239,全馬データ!$K$2:$K$50000,"&lt;&gt;")=0,"",SUMIFS(全馬データ!$K$2:$K$50000,全馬データ!$A$2:$A$50000,A3239,全馬データ!$B$2:$B$50000,B3239,全馬データ!$C$2:$C$50000,C3239,全馬データ!$D$2:$D$50000,E3239)))</f>
        <v/>
      </c>
      <c r="AP3239" s="8" t="str">
        <f aca="false">IF(A3239="","",IF(AO3239="","欠損",IF(AO3239&lt;=1.1,"1.0～1.1",IF(AO3239&lt;1.3,"1.2",IF(AO3239&lt;1.5,"1.3～1.4",IF(AO3239&lt;2,"1.5～1.9","2.0以上"))))))</f>
        <v/>
      </c>
      <c r="AQ3239" s="8" t="str">
        <f aca="false">IF(A3239="","",IF(ISNUMBER(SEARCH("2歳",Z3239)),"2歳戦",IF(ISNUMBER(SEARCH("3歳未勝利",Z3239)),"3歳未勝利",IF(ISNUMBER(SEARCH("未勝利",Z3239)),"その他未勝利",IF(ISNUMBER(SEARCH("G1",Z3239)),"G1",IF(ISNUMBER(SEARCH("G2",Z3239)),"G2",IF(ISNUMBER(SEARCH("G3",Z3239)),"G3",IF(ISNUMBER(SEARCH("古馬条件",Z3239)),"古馬条件戦",IF(ISNUMBER(SEARCH("重賞",Z3239)),"重賞","分類不能")))))))))</f>
        <v/>
      </c>
    </row>
    <row r="3240" customFormat="false" ht="15.75" hidden="false" customHeight="false" outlineLevel="0" collapsed="false">
      <c r="AO3240" s="8" t="str">
        <f aca="false">IF(A3240="","",IF(COUNTIFS(全馬データ!$A$2:$A$50000,A3240,全馬データ!$B$2:$B$50000,B3240,全馬データ!$C$2:$C$50000,C3240,全馬データ!$D$2:$D$50000,E3240,全馬データ!$K$2:$K$50000,"&lt;&gt;")=0,"",SUMIFS(全馬データ!$K$2:$K$50000,全馬データ!$A$2:$A$50000,A3240,全馬データ!$B$2:$B$50000,B3240,全馬データ!$C$2:$C$50000,C3240,全馬データ!$D$2:$D$50000,E3240)))</f>
        <v/>
      </c>
      <c r="AP3240" s="8" t="str">
        <f aca="false">IF(A3240="","",IF(AO3240="","欠損",IF(AO3240&lt;=1.1,"1.0～1.1",IF(AO3240&lt;1.3,"1.2",IF(AO3240&lt;1.5,"1.3～1.4",IF(AO3240&lt;2,"1.5～1.9","2.0以上"))))))</f>
        <v/>
      </c>
      <c r="AQ3240" s="8" t="str">
        <f aca="false">IF(A3240="","",IF(ISNUMBER(SEARCH("2歳",Z3240)),"2歳戦",IF(ISNUMBER(SEARCH("3歳未勝利",Z3240)),"3歳未勝利",IF(ISNUMBER(SEARCH("未勝利",Z3240)),"その他未勝利",IF(ISNUMBER(SEARCH("G1",Z3240)),"G1",IF(ISNUMBER(SEARCH("G2",Z3240)),"G2",IF(ISNUMBER(SEARCH("G3",Z3240)),"G3",IF(ISNUMBER(SEARCH("古馬条件",Z3240)),"古馬条件戦",IF(ISNUMBER(SEARCH("重賞",Z3240)),"重賞","分類不能")))))))))</f>
        <v/>
      </c>
    </row>
    <row r="3241" customFormat="false" ht="15.75" hidden="false" customHeight="false" outlineLevel="0" collapsed="false">
      <c r="AO3241" s="8" t="str">
        <f aca="false">IF(A3241="","",IF(COUNTIFS(全馬データ!$A$2:$A$50000,A3241,全馬データ!$B$2:$B$50000,B3241,全馬データ!$C$2:$C$50000,C3241,全馬データ!$D$2:$D$50000,E3241,全馬データ!$K$2:$K$50000,"&lt;&gt;")=0,"",SUMIFS(全馬データ!$K$2:$K$50000,全馬データ!$A$2:$A$50000,A3241,全馬データ!$B$2:$B$50000,B3241,全馬データ!$C$2:$C$50000,C3241,全馬データ!$D$2:$D$50000,E3241)))</f>
        <v/>
      </c>
      <c r="AP3241" s="8" t="str">
        <f aca="false">IF(A3241="","",IF(AO3241="","欠損",IF(AO3241&lt;=1.1,"1.0～1.1",IF(AO3241&lt;1.3,"1.2",IF(AO3241&lt;1.5,"1.3～1.4",IF(AO3241&lt;2,"1.5～1.9","2.0以上"))))))</f>
        <v/>
      </c>
      <c r="AQ3241" s="8" t="str">
        <f aca="false">IF(A3241="","",IF(ISNUMBER(SEARCH("2歳",Z3241)),"2歳戦",IF(ISNUMBER(SEARCH("3歳未勝利",Z3241)),"3歳未勝利",IF(ISNUMBER(SEARCH("未勝利",Z3241)),"その他未勝利",IF(ISNUMBER(SEARCH("G1",Z3241)),"G1",IF(ISNUMBER(SEARCH("G2",Z3241)),"G2",IF(ISNUMBER(SEARCH("G3",Z3241)),"G3",IF(ISNUMBER(SEARCH("古馬条件",Z3241)),"古馬条件戦",IF(ISNUMBER(SEARCH("重賞",Z3241)),"重賞","分類不能")))))))))</f>
        <v/>
      </c>
    </row>
    <row r="3242" customFormat="false" ht="15.75" hidden="false" customHeight="false" outlineLevel="0" collapsed="false">
      <c r="AO3242" s="8" t="str">
        <f aca="false">IF(A3242="","",IF(COUNTIFS(全馬データ!$A$2:$A$50000,A3242,全馬データ!$B$2:$B$50000,B3242,全馬データ!$C$2:$C$50000,C3242,全馬データ!$D$2:$D$50000,E3242,全馬データ!$K$2:$K$50000,"&lt;&gt;")=0,"",SUMIFS(全馬データ!$K$2:$K$50000,全馬データ!$A$2:$A$50000,A3242,全馬データ!$B$2:$B$50000,B3242,全馬データ!$C$2:$C$50000,C3242,全馬データ!$D$2:$D$50000,E3242)))</f>
        <v/>
      </c>
      <c r="AP3242" s="8" t="str">
        <f aca="false">IF(A3242="","",IF(AO3242="","欠損",IF(AO3242&lt;=1.1,"1.0～1.1",IF(AO3242&lt;1.3,"1.2",IF(AO3242&lt;1.5,"1.3～1.4",IF(AO3242&lt;2,"1.5～1.9","2.0以上"))))))</f>
        <v/>
      </c>
      <c r="AQ3242" s="8" t="str">
        <f aca="false">IF(A3242="","",IF(ISNUMBER(SEARCH("2歳",Z3242)),"2歳戦",IF(ISNUMBER(SEARCH("3歳未勝利",Z3242)),"3歳未勝利",IF(ISNUMBER(SEARCH("未勝利",Z3242)),"その他未勝利",IF(ISNUMBER(SEARCH("G1",Z3242)),"G1",IF(ISNUMBER(SEARCH("G2",Z3242)),"G2",IF(ISNUMBER(SEARCH("G3",Z3242)),"G3",IF(ISNUMBER(SEARCH("古馬条件",Z3242)),"古馬条件戦",IF(ISNUMBER(SEARCH("重賞",Z3242)),"重賞","分類不能")))))))))</f>
        <v/>
      </c>
    </row>
    <row r="3243" customFormat="false" ht="15.75" hidden="false" customHeight="false" outlineLevel="0" collapsed="false">
      <c r="AO3243" s="8" t="str">
        <f aca="false">IF(A3243="","",IF(COUNTIFS(全馬データ!$A$2:$A$50000,A3243,全馬データ!$B$2:$B$50000,B3243,全馬データ!$C$2:$C$50000,C3243,全馬データ!$D$2:$D$50000,E3243,全馬データ!$K$2:$K$50000,"&lt;&gt;")=0,"",SUMIFS(全馬データ!$K$2:$K$50000,全馬データ!$A$2:$A$50000,A3243,全馬データ!$B$2:$B$50000,B3243,全馬データ!$C$2:$C$50000,C3243,全馬データ!$D$2:$D$50000,E3243)))</f>
        <v/>
      </c>
      <c r="AP3243" s="8" t="str">
        <f aca="false">IF(A3243="","",IF(AO3243="","欠損",IF(AO3243&lt;=1.1,"1.0～1.1",IF(AO3243&lt;1.3,"1.2",IF(AO3243&lt;1.5,"1.3～1.4",IF(AO3243&lt;2,"1.5～1.9","2.0以上"))))))</f>
        <v/>
      </c>
      <c r="AQ3243" s="8" t="str">
        <f aca="false">IF(A3243="","",IF(ISNUMBER(SEARCH("2歳",Z3243)),"2歳戦",IF(ISNUMBER(SEARCH("3歳未勝利",Z3243)),"3歳未勝利",IF(ISNUMBER(SEARCH("未勝利",Z3243)),"その他未勝利",IF(ISNUMBER(SEARCH("G1",Z3243)),"G1",IF(ISNUMBER(SEARCH("G2",Z3243)),"G2",IF(ISNUMBER(SEARCH("G3",Z3243)),"G3",IF(ISNUMBER(SEARCH("古馬条件",Z3243)),"古馬条件戦",IF(ISNUMBER(SEARCH("重賞",Z3243)),"重賞","分類不能")))))))))</f>
        <v/>
      </c>
    </row>
    <row r="3244" customFormat="false" ht="15.75" hidden="false" customHeight="false" outlineLevel="0" collapsed="false">
      <c r="AO3244" s="8" t="str">
        <f aca="false">IF(A3244="","",IF(COUNTIFS(全馬データ!$A$2:$A$50000,A3244,全馬データ!$B$2:$B$50000,B3244,全馬データ!$C$2:$C$50000,C3244,全馬データ!$D$2:$D$50000,E3244,全馬データ!$K$2:$K$50000,"&lt;&gt;")=0,"",SUMIFS(全馬データ!$K$2:$K$50000,全馬データ!$A$2:$A$50000,A3244,全馬データ!$B$2:$B$50000,B3244,全馬データ!$C$2:$C$50000,C3244,全馬データ!$D$2:$D$50000,E3244)))</f>
        <v/>
      </c>
      <c r="AP3244" s="8" t="str">
        <f aca="false">IF(A3244="","",IF(AO3244="","欠損",IF(AO3244&lt;=1.1,"1.0～1.1",IF(AO3244&lt;1.3,"1.2",IF(AO3244&lt;1.5,"1.3～1.4",IF(AO3244&lt;2,"1.5～1.9","2.0以上"))))))</f>
        <v/>
      </c>
      <c r="AQ3244" s="8" t="str">
        <f aca="false">IF(A3244="","",IF(ISNUMBER(SEARCH("2歳",Z3244)),"2歳戦",IF(ISNUMBER(SEARCH("3歳未勝利",Z3244)),"3歳未勝利",IF(ISNUMBER(SEARCH("未勝利",Z3244)),"その他未勝利",IF(ISNUMBER(SEARCH("G1",Z3244)),"G1",IF(ISNUMBER(SEARCH("G2",Z3244)),"G2",IF(ISNUMBER(SEARCH("G3",Z3244)),"G3",IF(ISNUMBER(SEARCH("古馬条件",Z3244)),"古馬条件戦",IF(ISNUMBER(SEARCH("重賞",Z3244)),"重賞","分類不能")))))))))</f>
        <v/>
      </c>
    </row>
    <row r="3245" customFormat="false" ht="15.75" hidden="false" customHeight="false" outlineLevel="0" collapsed="false">
      <c r="AO3245" s="8" t="str">
        <f aca="false">IF(A3245="","",IF(COUNTIFS(全馬データ!$A$2:$A$50000,A3245,全馬データ!$B$2:$B$50000,B3245,全馬データ!$C$2:$C$50000,C3245,全馬データ!$D$2:$D$50000,E3245,全馬データ!$K$2:$K$50000,"&lt;&gt;")=0,"",SUMIFS(全馬データ!$K$2:$K$50000,全馬データ!$A$2:$A$50000,A3245,全馬データ!$B$2:$B$50000,B3245,全馬データ!$C$2:$C$50000,C3245,全馬データ!$D$2:$D$50000,E3245)))</f>
        <v/>
      </c>
      <c r="AP3245" s="8" t="str">
        <f aca="false">IF(A3245="","",IF(AO3245="","欠損",IF(AO3245&lt;=1.1,"1.0～1.1",IF(AO3245&lt;1.3,"1.2",IF(AO3245&lt;1.5,"1.3～1.4",IF(AO3245&lt;2,"1.5～1.9","2.0以上"))))))</f>
        <v/>
      </c>
      <c r="AQ3245" s="8" t="str">
        <f aca="false">IF(A3245="","",IF(ISNUMBER(SEARCH("2歳",Z3245)),"2歳戦",IF(ISNUMBER(SEARCH("3歳未勝利",Z3245)),"3歳未勝利",IF(ISNUMBER(SEARCH("未勝利",Z3245)),"その他未勝利",IF(ISNUMBER(SEARCH("G1",Z3245)),"G1",IF(ISNUMBER(SEARCH("G2",Z3245)),"G2",IF(ISNUMBER(SEARCH("G3",Z3245)),"G3",IF(ISNUMBER(SEARCH("古馬条件",Z3245)),"古馬条件戦",IF(ISNUMBER(SEARCH("重賞",Z3245)),"重賞","分類不能")))))))))</f>
        <v/>
      </c>
    </row>
    <row r="3246" customFormat="false" ht="15.75" hidden="false" customHeight="false" outlineLevel="0" collapsed="false">
      <c r="AO3246" s="8" t="str">
        <f aca="false">IF(A3246="","",IF(COUNTIFS(全馬データ!$A$2:$A$50000,A3246,全馬データ!$B$2:$B$50000,B3246,全馬データ!$C$2:$C$50000,C3246,全馬データ!$D$2:$D$50000,E3246,全馬データ!$K$2:$K$50000,"&lt;&gt;")=0,"",SUMIFS(全馬データ!$K$2:$K$50000,全馬データ!$A$2:$A$50000,A3246,全馬データ!$B$2:$B$50000,B3246,全馬データ!$C$2:$C$50000,C3246,全馬データ!$D$2:$D$50000,E3246)))</f>
        <v/>
      </c>
      <c r="AP3246" s="8" t="str">
        <f aca="false">IF(A3246="","",IF(AO3246="","欠損",IF(AO3246&lt;=1.1,"1.0～1.1",IF(AO3246&lt;1.3,"1.2",IF(AO3246&lt;1.5,"1.3～1.4",IF(AO3246&lt;2,"1.5～1.9","2.0以上"))))))</f>
        <v/>
      </c>
      <c r="AQ3246" s="8" t="str">
        <f aca="false">IF(A3246="","",IF(ISNUMBER(SEARCH("2歳",Z3246)),"2歳戦",IF(ISNUMBER(SEARCH("3歳未勝利",Z3246)),"3歳未勝利",IF(ISNUMBER(SEARCH("未勝利",Z3246)),"その他未勝利",IF(ISNUMBER(SEARCH("G1",Z3246)),"G1",IF(ISNUMBER(SEARCH("G2",Z3246)),"G2",IF(ISNUMBER(SEARCH("G3",Z3246)),"G3",IF(ISNUMBER(SEARCH("古馬条件",Z3246)),"古馬条件戦",IF(ISNUMBER(SEARCH("重賞",Z3246)),"重賞","分類不能")))))))))</f>
        <v/>
      </c>
    </row>
    <row r="3247" customFormat="false" ht="15.75" hidden="false" customHeight="false" outlineLevel="0" collapsed="false">
      <c r="AO3247" s="8" t="str">
        <f aca="false">IF(A3247="","",IF(COUNTIFS(全馬データ!$A$2:$A$50000,A3247,全馬データ!$B$2:$B$50000,B3247,全馬データ!$C$2:$C$50000,C3247,全馬データ!$D$2:$D$50000,E3247,全馬データ!$K$2:$K$50000,"&lt;&gt;")=0,"",SUMIFS(全馬データ!$K$2:$K$50000,全馬データ!$A$2:$A$50000,A3247,全馬データ!$B$2:$B$50000,B3247,全馬データ!$C$2:$C$50000,C3247,全馬データ!$D$2:$D$50000,E3247)))</f>
        <v/>
      </c>
      <c r="AP3247" s="8" t="str">
        <f aca="false">IF(A3247="","",IF(AO3247="","欠損",IF(AO3247&lt;=1.1,"1.0～1.1",IF(AO3247&lt;1.3,"1.2",IF(AO3247&lt;1.5,"1.3～1.4",IF(AO3247&lt;2,"1.5～1.9","2.0以上"))))))</f>
        <v/>
      </c>
      <c r="AQ3247" s="8" t="str">
        <f aca="false">IF(A3247="","",IF(ISNUMBER(SEARCH("2歳",Z3247)),"2歳戦",IF(ISNUMBER(SEARCH("3歳未勝利",Z3247)),"3歳未勝利",IF(ISNUMBER(SEARCH("未勝利",Z3247)),"その他未勝利",IF(ISNUMBER(SEARCH("G1",Z3247)),"G1",IF(ISNUMBER(SEARCH("G2",Z3247)),"G2",IF(ISNUMBER(SEARCH("G3",Z3247)),"G3",IF(ISNUMBER(SEARCH("古馬条件",Z3247)),"古馬条件戦",IF(ISNUMBER(SEARCH("重賞",Z3247)),"重賞","分類不能")))))))))</f>
        <v/>
      </c>
    </row>
    <row r="3248" customFormat="false" ht="15.75" hidden="false" customHeight="false" outlineLevel="0" collapsed="false">
      <c r="AO3248" s="8" t="str">
        <f aca="false">IF(A3248="","",IF(COUNTIFS(全馬データ!$A$2:$A$50000,A3248,全馬データ!$B$2:$B$50000,B3248,全馬データ!$C$2:$C$50000,C3248,全馬データ!$D$2:$D$50000,E3248,全馬データ!$K$2:$K$50000,"&lt;&gt;")=0,"",SUMIFS(全馬データ!$K$2:$K$50000,全馬データ!$A$2:$A$50000,A3248,全馬データ!$B$2:$B$50000,B3248,全馬データ!$C$2:$C$50000,C3248,全馬データ!$D$2:$D$50000,E3248)))</f>
        <v/>
      </c>
      <c r="AP3248" s="8" t="str">
        <f aca="false">IF(A3248="","",IF(AO3248="","欠損",IF(AO3248&lt;=1.1,"1.0～1.1",IF(AO3248&lt;1.3,"1.2",IF(AO3248&lt;1.5,"1.3～1.4",IF(AO3248&lt;2,"1.5～1.9","2.0以上"))))))</f>
        <v/>
      </c>
      <c r="AQ3248" s="8" t="str">
        <f aca="false">IF(A3248="","",IF(ISNUMBER(SEARCH("2歳",Z3248)),"2歳戦",IF(ISNUMBER(SEARCH("3歳未勝利",Z3248)),"3歳未勝利",IF(ISNUMBER(SEARCH("未勝利",Z3248)),"その他未勝利",IF(ISNUMBER(SEARCH("G1",Z3248)),"G1",IF(ISNUMBER(SEARCH("G2",Z3248)),"G2",IF(ISNUMBER(SEARCH("G3",Z3248)),"G3",IF(ISNUMBER(SEARCH("古馬条件",Z3248)),"古馬条件戦",IF(ISNUMBER(SEARCH("重賞",Z3248)),"重賞","分類不能")))))))))</f>
        <v/>
      </c>
    </row>
    <row r="3249" customFormat="false" ht="15.75" hidden="false" customHeight="false" outlineLevel="0" collapsed="false">
      <c r="AO3249" s="8" t="str">
        <f aca="false">IF(A3249="","",IF(COUNTIFS(全馬データ!$A$2:$A$50000,A3249,全馬データ!$B$2:$B$50000,B3249,全馬データ!$C$2:$C$50000,C3249,全馬データ!$D$2:$D$50000,E3249,全馬データ!$K$2:$K$50000,"&lt;&gt;")=0,"",SUMIFS(全馬データ!$K$2:$K$50000,全馬データ!$A$2:$A$50000,A3249,全馬データ!$B$2:$B$50000,B3249,全馬データ!$C$2:$C$50000,C3249,全馬データ!$D$2:$D$50000,E3249)))</f>
        <v/>
      </c>
      <c r="AP3249" s="8" t="str">
        <f aca="false">IF(A3249="","",IF(AO3249="","欠損",IF(AO3249&lt;=1.1,"1.0～1.1",IF(AO3249&lt;1.3,"1.2",IF(AO3249&lt;1.5,"1.3～1.4",IF(AO3249&lt;2,"1.5～1.9","2.0以上"))))))</f>
        <v/>
      </c>
      <c r="AQ3249" s="8" t="str">
        <f aca="false">IF(A3249="","",IF(ISNUMBER(SEARCH("2歳",Z3249)),"2歳戦",IF(ISNUMBER(SEARCH("3歳未勝利",Z3249)),"3歳未勝利",IF(ISNUMBER(SEARCH("未勝利",Z3249)),"その他未勝利",IF(ISNUMBER(SEARCH("G1",Z3249)),"G1",IF(ISNUMBER(SEARCH("G2",Z3249)),"G2",IF(ISNUMBER(SEARCH("G3",Z3249)),"G3",IF(ISNUMBER(SEARCH("古馬条件",Z3249)),"古馬条件戦",IF(ISNUMBER(SEARCH("重賞",Z3249)),"重賞","分類不能")))))))))</f>
        <v/>
      </c>
    </row>
    <row r="3250" customFormat="false" ht="15.75" hidden="false" customHeight="false" outlineLevel="0" collapsed="false">
      <c r="AO3250" s="8" t="str">
        <f aca="false">IF(A3250="","",IF(COUNTIFS(全馬データ!$A$2:$A$50000,A3250,全馬データ!$B$2:$B$50000,B3250,全馬データ!$C$2:$C$50000,C3250,全馬データ!$D$2:$D$50000,E3250,全馬データ!$K$2:$K$50000,"&lt;&gt;")=0,"",SUMIFS(全馬データ!$K$2:$K$50000,全馬データ!$A$2:$A$50000,A3250,全馬データ!$B$2:$B$50000,B3250,全馬データ!$C$2:$C$50000,C3250,全馬データ!$D$2:$D$50000,E3250)))</f>
        <v/>
      </c>
      <c r="AP3250" s="8" t="str">
        <f aca="false">IF(A3250="","",IF(AO3250="","欠損",IF(AO3250&lt;=1.1,"1.0～1.1",IF(AO3250&lt;1.3,"1.2",IF(AO3250&lt;1.5,"1.3～1.4",IF(AO3250&lt;2,"1.5～1.9","2.0以上"))))))</f>
        <v/>
      </c>
      <c r="AQ3250" s="8" t="str">
        <f aca="false">IF(A3250="","",IF(ISNUMBER(SEARCH("2歳",Z3250)),"2歳戦",IF(ISNUMBER(SEARCH("3歳未勝利",Z3250)),"3歳未勝利",IF(ISNUMBER(SEARCH("未勝利",Z3250)),"その他未勝利",IF(ISNUMBER(SEARCH("G1",Z3250)),"G1",IF(ISNUMBER(SEARCH("G2",Z3250)),"G2",IF(ISNUMBER(SEARCH("G3",Z3250)),"G3",IF(ISNUMBER(SEARCH("古馬条件",Z3250)),"古馬条件戦",IF(ISNUMBER(SEARCH("重賞",Z3250)),"重賞","分類不能")))))))))</f>
        <v/>
      </c>
    </row>
    <row r="3251" customFormat="false" ht="15.75" hidden="false" customHeight="false" outlineLevel="0" collapsed="false">
      <c r="AO3251" s="8" t="str">
        <f aca="false">IF(A3251="","",IF(COUNTIFS(全馬データ!$A$2:$A$50000,A3251,全馬データ!$B$2:$B$50000,B3251,全馬データ!$C$2:$C$50000,C3251,全馬データ!$D$2:$D$50000,E3251,全馬データ!$K$2:$K$50000,"&lt;&gt;")=0,"",SUMIFS(全馬データ!$K$2:$K$50000,全馬データ!$A$2:$A$50000,A3251,全馬データ!$B$2:$B$50000,B3251,全馬データ!$C$2:$C$50000,C3251,全馬データ!$D$2:$D$50000,E3251)))</f>
        <v/>
      </c>
      <c r="AP3251" s="8" t="str">
        <f aca="false">IF(A3251="","",IF(AO3251="","欠損",IF(AO3251&lt;=1.1,"1.0～1.1",IF(AO3251&lt;1.3,"1.2",IF(AO3251&lt;1.5,"1.3～1.4",IF(AO3251&lt;2,"1.5～1.9","2.0以上"))))))</f>
        <v/>
      </c>
      <c r="AQ3251" s="8" t="str">
        <f aca="false">IF(A3251="","",IF(ISNUMBER(SEARCH("2歳",Z3251)),"2歳戦",IF(ISNUMBER(SEARCH("3歳未勝利",Z3251)),"3歳未勝利",IF(ISNUMBER(SEARCH("未勝利",Z3251)),"その他未勝利",IF(ISNUMBER(SEARCH("G1",Z3251)),"G1",IF(ISNUMBER(SEARCH("G2",Z3251)),"G2",IF(ISNUMBER(SEARCH("G3",Z3251)),"G3",IF(ISNUMBER(SEARCH("古馬条件",Z3251)),"古馬条件戦",IF(ISNUMBER(SEARCH("重賞",Z3251)),"重賞","分類不能")))))))))</f>
        <v/>
      </c>
    </row>
    <row r="3252" customFormat="false" ht="15.75" hidden="false" customHeight="false" outlineLevel="0" collapsed="false">
      <c r="AO3252" s="8" t="str">
        <f aca="false">IF(A3252="","",IF(COUNTIFS(全馬データ!$A$2:$A$50000,A3252,全馬データ!$B$2:$B$50000,B3252,全馬データ!$C$2:$C$50000,C3252,全馬データ!$D$2:$D$50000,E3252,全馬データ!$K$2:$K$50000,"&lt;&gt;")=0,"",SUMIFS(全馬データ!$K$2:$K$50000,全馬データ!$A$2:$A$50000,A3252,全馬データ!$B$2:$B$50000,B3252,全馬データ!$C$2:$C$50000,C3252,全馬データ!$D$2:$D$50000,E3252)))</f>
        <v/>
      </c>
      <c r="AP3252" s="8" t="str">
        <f aca="false">IF(A3252="","",IF(AO3252="","欠損",IF(AO3252&lt;=1.1,"1.0～1.1",IF(AO3252&lt;1.3,"1.2",IF(AO3252&lt;1.5,"1.3～1.4",IF(AO3252&lt;2,"1.5～1.9","2.0以上"))))))</f>
        <v/>
      </c>
      <c r="AQ3252" s="8" t="str">
        <f aca="false">IF(A3252="","",IF(ISNUMBER(SEARCH("2歳",Z3252)),"2歳戦",IF(ISNUMBER(SEARCH("3歳未勝利",Z3252)),"3歳未勝利",IF(ISNUMBER(SEARCH("未勝利",Z3252)),"その他未勝利",IF(ISNUMBER(SEARCH("G1",Z3252)),"G1",IF(ISNUMBER(SEARCH("G2",Z3252)),"G2",IF(ISNUMBER(SEARCH("G3",Z3252)),"G3",IF(ISNUMBER(SEARCH("古馬条件",Z3252)),"古馬条件戦",IF(ISNUMBER(SEARCH("重賞",Z3252)),"重賞","分類不能")))))))))</f>
        <v/>
      </c>
    </row>
    <row r="3253" customFormat="false" ht="15.75" hidden="false" customHeight="false" outlineLevel="0" collapsed="false">
      <c r="AO3253" s="8" t="str">
        <f aca="false">IF(A3253="","",IF(COUNTIFS(全馬データ!$A$2:$A$50000,A3253,全馬データ!$B$2:$B$50000,B3253,全馬データ!$C$2:$C$50000,C3253,全馬データ!$D$2:$D$50000,E3253,全馬データ!$K$2:$K$50000,"&lt;&gt;")=0,"",SUMIFS(全馬データ!$K$2:$K$50000,全馬データ!$A$2:$A$50000,A3253,全馬データ!$B$2:$B$50000,B3253,全馬データ!$C$2:$C$50000,C3253,全馬データ!$D$2:$D$50000,E3253)))</f>
        <v/>
      </c>
      <c r="AP3253" s="8" t="str">
        <f aca="false">IF(A3253="","",IF(AO3253="","欠損",IF(AO3253&lt;=1.1,"1.0～1.1",IF(AO3253&lt;1.3,"1.2",IF(AO3253&lt;1.5,"1.3～1.4",IF(AO3253&lt;2,"1.5～1.9","2.0以上"))))))</f>
        <v/>
      </c>
      <c r="AQ3253" s="8" t="str">
        <f aca="false">IF(A3253="","",IF(ISNUMBER(SEARCH("2歳",Z3253)),"2歳戦",IF(ISNUMBER(SEARCH("3歳未勝利",Z3253)),"3歳未勝利",IF(ISNUMBER(SEARCH("未勝利",Z3253)),"その他未勝利",IF(ISNUMBER(SEARCH("G1",Z3253)),"G1",IF(ISNUMBER(SEARCH("G2",Z3253)),"G2",IF(ISNUMBER(SEARCH("G3",Z3253)),"G3",IF(ISNUMBER(SEARCH("古馬条件",Z3253)),"古馬条件戦",IF(ISNUMBER(SEARCH("重賞",Z3253)),"重賞","分類不能")))))))))</f>
        <v/>
      </c>
    </row>
    <row r="3254" customFormat="false" ht="15.75" hidden="false" customHeight="false" outlineLevel="0" collapsed="false">
      <c r="AO3254" s="8" t="str">
        <f aca="false">IF(A3254="","",IF(COUNTIFS(全馬データ!$A$2:$A$50000,A3254,全馬データ!$B$2:$B$50000,B3254,全馬データ!$C$2:$C$50000,C3254,全馬データ!$D$2:$D$50000,E3254,全馬データ!$K$2:$K$50000,"&lt;&gt;")=0,"",SUMIFS(全馬データ!$K$2:$K$50000,全馬データ!$A$2:$A$50000,A3254,全馬データ!$B$2:$B$50000,B3254,全馬データ!$C$2:$C$50000,C3254,全馬データ!$D$2:$D$50000,E3254)))</f>
        <v/>
      </c>
      <c r="AP3254" s="8" t="str">
        <f aca="false">IF(A3254="","",IF(AO3254="","欠損",IF(AO3254&lt;=1.1,"1.0～1.1",IF(AO3254&lt;1.3,"1.2",IF(AO3254&lt;1.5,"1.3～1.4",IF(AO3254&lt;2,"1.5～1.9","2.0以上"))))))</f>
        <v/>
      </c>
      <c r="AQ3254" s="8" t="str">
        <f aca="false">IF(A3254="","",IF(ISNUMBER(SEARCH("2歳",Z3254)),"2歳戦",IF(ISNUMBER(SEARCH("3歳未勝利",Z3254)),"3歳未勝利",IF(ISNUMBER(SEARCH("未勝利",Z3254)),"その他未勝利",IF(ISNUMBER(SEARCH("G1",Z3254)),"G1",IF(ISNUMBER(SEARCH("G2",Z3254)),"G2",IF(ISNUMBER(SEARCH("G3",Z3254)),"G3",IF(ISNUMBER(SEARCH("古馬条件",Z3254)),"古馬条件戦",IF(ISNUMBER(SEARCH("重賞",Z3254)),"重賞","分類不能")))))))))</f>
        <v/>
      </c>
    </row>
    <row r="3255" customFormat="false" ht="15.75" hidden="false" customHeight="false" outlineLevel="0" collapsed="false">
      <c r="AO3255" s="8" t="str">
        <f aca="false">IF(A3255="","",IF(COUNTIFS(全馬データ!$A$2:$A$50000,A3255,全馬データ!$B$2:$B$50000,B3255,全馬データ!$C$2:$C$50000,C3255,全馬データ!$D$2:$D$50000,E3255,全馬データ!$K$2:$K$50000,"&lt;&gt;")=0,"",SUMIFS(全馬データ!$K$2:$K$50000,全馬データ!$A$2:$A$50000,A3255,全馬データ!$B$2:$B$50000,B3255,全馬データ!$C$2:$C$50000,C3255,全馬データ!$D$2:$D$50000,E3255)))</f>
        <v/>
      </c>
      <c r="AP3255" s="8" t="str">
        <f aca="false">IF(A3255="","",IF(AO3255="","欠損",IF(AO3255&lt;=1.1,"1.0～1.1",IF(AO3255&lt;1.3,"1.2",IF(AO3255&lt;1.5,"1.3～1.4",IF(AO3255&lt;2,"1.5～1.9","2.0以上"))))))</f>
        <v/>
      </c>
      <c r="AQ3255" s="8" t="str">
        <f aca="false">IF(A3255="","",IF(ISNUMBER(SEARCH("2歳",Z3255)),"2歳戦",IF(ISNUMBER(SEARCH("3歳未勝利",Z3255)),"3歳未勝利",IF(ISNUMBER(SEARCH("未勝利",Z3255)),"その他未勝利",IF(ISNUMBER(SEARCH("G1",Z3255)),"G1",IF(ISNUMBER(SEARCH("G2",Z3255)),"G2",IF(ISNUMBER(SEARCH("G3",Z3255)),"G3",IF(ISNUMBER(SEARCH("古馬条件",Z3255)),"古馬条件戦",IF(ISNUMBER(SEARCH("重賞",Z3255)),"重賞","分類不能")))))))))</f>
        <v/>
      </c>
    </row>
    <row r="3256" customFormat="false" ht="15.75" hidden="false" customHeight="false" outlineLevel="0" collapsed="false">
      <c r="AO3256" s="8" t="str">
        <f aca="false">IF(A3256="","",IF(COUNTIFS(全馬データ!$A$2:$A$50000,A3256,全馬データ!$B$2:$B$50000,B3256,全馬データ!$C$2:$C$50000,C3256,全馬データ!$D$2:$D$50000,E3256,全馬データ!$K$2:$K$50000,"&lt;&gt;")=0,"",SUMIFS(全馬データ!$K$2:$K$50000,全馬データ!$A$2:$A$50000,A3256,全馬データ!$B$2:$B$50000,B3256,全馬データ!$C$2:$C$50000,C3256,全馬データ!$D$2:$D$50000,E3256)))</f>
        <v/>
      </c>
      <c r="AP3256" s="8" t="str">
        <f aca="false">IF(A3256="","",IF(AO3256="","欠損",IF(AO3256&lt;=1.1,"1.0～1.1",IF(AO3256&lt;1.3,"1.2",IF(AO3256&lt;1.5,"1.3～1.4",IF(AO3256&lt;2,"1.5～1.9","2.0以上"))))))</f>
        <v/>
      </c>
      <c r="AQ3256" s="8" t="str">
        <f aca="false">IF(A3256="","",IF(ISNUMBER(SEARCH("2歳",Z3256)),"2歳戦",IF(ISNUMBER(SEARCH("3歳未勝利",Z3256)),"3歳未勝利",IF(ISNUMBER(SEARCH("未勝利",Z3256)),"その他未勝利",IF(ISNUMBER(SEARCH("G1",Z3256)),"G1",IF(ISNUMBER(SEARCH("G2",Z3256)),"G2",IF(ISNUMBER(SEARCH("G3",Z3256)),"G3",IF(ISNUMBER(SEARCH("古馬条件",Z3256)),"古馬条件戦",IF(ISNUMBER(SEARCH("重賞",Z3256)),"重賞","分類不能")))))))))</f>
        <v/>
      </c>
    </row>
    <row r="3257" customFormat="false" ht="15.75" hidden="false" customHeight="false" outlineLevel="0" collapsed="false">
      <c r="AO3257" s="8" t="str">
        <f aca="false">IF(A3257="","",IF(COUNTIFS(全馬データ!$A$2:$A$50000,A3257,全馬データ!$B$2:$B$50000,B3257,全馬データ!$C$2:$C$50000,C3257,全馬データ!$D$2:$D$50000,E3257,全馬データ!$K$2:$K$50000,"&lt;&gt;")=0,"",SUMIFS(全馬データ!$K$2:$K$50000,全馬データ!$A$2:$A$50000,A3257,全馬データ!$B$2:$B$50000,B3257,全馬データ!$C$2:$C$50000,C3257,全馬データ!$D$2:$D$50000,E3257)))</f>
        <v/>
      </c>
      <c r="AP3257" s="8" t="str">
        <f aca="false">IF(A3257="","",IF(AO3257="","欠損",IF(AO3257&lt;=1.1,"1.0～1.1",IF(AO3257&lt;1.3,"1.2",IF(AO3257&lt;1.5,"1.3～1.4",IF(AO3257&lt;2,"1.5～1.9","2.0以上"))))))</f>
        <v/>
      </c>
      <c r="AQ3257" s="8" t="str">
        <f aca="false">IF(A3257="","",IF(ISNUMBER(SEARCH("2歳",Z3257)),"2歳戦",IF(ISNUMBER(SEARCH("3歳未勝利",Z3257)),"3歳未勝利",IF(ISNUMBER(SEARCH("未勝利",Z3257)),"その他未勝利",IF(ISNUMBER(SEARCH("G1",Z3257)),"G1",IF(ISNUMBER(SEARCH("G2",Z3257)),"G2",IF(ISNUMBER(SEARCH("G3",Z3257)),"G3",IF(ISNUMBER(SEARCH("古馬条件",Z3257)),"古馬条件戦",IF(ISNUMBER(SEARCH("重賞",Z3257)),"重賞","分類不能")))))))))</f>
        <v/>
      </c>
    </row>
    <row r="3258" customFormat="false" ht="15.75" hidden="false" customHeight="false" outlineLevel="0" collapsed="false">
      <c r="AO3258" s="8" t="str">
        <f aca="false">IF(A3258="","",IF(COUNTIFS(全馬データ!$A$2:$A$50000,A3258,全馬データ!$B$2:$B$50000,B3258,全馬データ!$C$2:$C$50000,C3258,全馬データ!$D$2:$D$50000,E3258,全馬データ!$K$2:$K$50000,"&lt;&gt;")=0,"",SUMIFS(全馬データ!$K$2:$K$50000,全馬データ!$A$2:$A$50000,A3258,全馬データ!$B$2:$B$50000,B3258,全馬データ!$C$2:$C$50000,C3258,全馬データ!$D$2:$D$50000,E3258)))</f>
        <v/>
      </c>
      <c r="AP3258" s="8" t="str">
        <f aca="false">IF(A3258="","",IF(AO3258="","欠損",IF(AO3258&lt;=1.1,"1.0～1.1",IF(AO3258&lt;1.3,"1.2",IF(AO3258&lt;1.5,"1.3～1.4",IF(AO3258&lt;2,"1.5～1.9","2.0以上"))))))</f>
        <v/>
      </c>
      <c r="AQ3258" s="8" t="str">
        <f aca="false">IF(A3258="","",IF(ISNUMBER(SEARCH("2歳",Z3258)),"2歳戦",IF(ISNUMBER(SEARCH("3歳未勝利",Z3258)),"3歳未勝利",IF(ISNUMBER(SEARCH("未勝利",Z3258)),"その他未勝利",IF(ISNUMBER(SEARCH("G1",Z3258)),"G1",IF(ISNUMBER(SEARCH("G2",Z3258)),"G2",IF(ISNUMBER(SEARCH("G3",Z3258)),"G3",IF(ISNUMBER(SEARCH("古馬条件",Z3258)),"古馬条件戦",IF(ISNUMBER(SEARCH("重賞",Z3258)),"重賞","分類不能")))))))))</f>
        <v/>
      </c>
    </row>
    <row r="3259" customFormat="false" ht="15.75" hidden="false" customHeight="false" outlineLevel="0" collapsed="false">
      <c r="AO3259" s="8" t="str">
        <f aca="false">IF(A3259="","",IF(COUNTIFS(全馬データ!$A$2:$A$50000,A3259,全馬データ!$B$2:$B$50000,B3259,全馬データ!$C$2:$C$50000,C3259,全馬データ!$D$2:$D$50000,E3259,全馬データ!$K$2:$K$50000,"&lt;&gt;")=0,"",SUMIFS(全馬データ!$K$2:$K$50000,全馬データ!$A$2:$A$50000,A3259,全馬データ!$B$2:$B$50000,B3259,全馬データ!$C$2:$C$50000,C3259,全馬データ!$D$2:$D$50000,E3259)))</f>
        <v/>
      </c>
      <c r="AP3259" s="8" t="str">
        <f aca="false">IF(A3259="","",IF(AO3259="","欠損",IF(AO3259&lt;=1.1,"1.0～1.1",IF(AO3259&lt;1.3,"1.2",IF(AO3259&lt;1.5,"1.3～1.4",IF(AO3259&lt;2,"1.5～1.9","2.0以上"))))))</f>
        <v/>
      </c>
      <c r="AQ3259" s="8" t="str">
        <f aca="false">IF(A3259="","",IF(ISNUMBER(SEARCH("2歳",Z3259)),"2歳戦",IF(ISNUMBER(SEARCH("3歳未勝利",Z3259)),"3歳未勝利",IF(ISNUMBER(SEARCH("未勝利",Z3259)),"その他未勝利",IF(ISNUMBER(SEARCH("G1",Z3259)),"G1",IF(ISNUMBER(SEARCH("G2",Z3259)),"G2",IF(ISNUMBER(SEARCH("G3",Z3259)),"G3",IF(ISNUMBER(SEARCH("古馬条件",Z3259)),"古馬条件戦",IF(ISNUMBER(SEARCH("重賞",Z3259)),"重賞","分類不能")))))))))</f>
        <v/>
      </c>
    </row>
    <row r="3260" customFormat="false" ht="15.75" hidden="false" customHeight="false" outlineLevel="0" collapsed="false">
      <c r="AO3260" s="8" t="str">
        <f aca="false">IF(A3260="","",IF(COUNTIFS(全馬データ!$A$2:$A$50000,A3260,全馬データ!$B$2:$B$50000,B3260,全馬データ!$C$2:$C$50000,C3260,全馬データ!$D$2:$D$50000,E3260,全馬データ!$K$2:$K$50000,"&lt;&gt;")=0,"",SUMIFS(全馬データ!$K$2:$K$50000,全馬データ!$A$2:$A$50000,A3260,全馬データ!$B$2:$B$50000,B3260,全馬データ!$C$2:$C$50000,C3260,全馬データ!$D$2:$D$50000,E3260)))</f>
        <v/>
      </c>
      <c r="AP3260" s="8" t="str">
        <f aca="false">IF(A3260="","",IF(AO3260="","欠損",IF(AO3260&lt;=1.1,"1.0～1.1",IF(AO3260&lt;1.3,"1.2",IF(AO3260&lt;1.5,"1.3～1.4",IF(AO3260&lt;2,"1.5～1.9","2.0以上"))))))</f>
        <v/>
      </c>
      <c r="AQ3260" s="8" t="str">
        <f aca="false">IF(A3260="","",IF(ISNUMBER(SEARCH("2歳",Z3260)),"2歳戦",IF(ISNUMBER(SEARCH("3歳未勝利",Z3260)),"3歳未勝利",IF(ISNUMBER(SEARCH("未勝利",Z3260)),"その他未勝利",IF(ISNUMBER(SEARCH("G1",Z3260)),"G1",IF(ISNUMBER(SEARCH("G2",Z3260)),"G2",IF(ISNUMBER(SEARCH("G3",Z3260)),"G3",IF(ISNUMBER(SEARCH("古馬条件",Z3260)),"古馬条件戦",IF(ISNUMBER(SEARCH("重賞",Z3260)),"重賞","分類不能")))))))))</f>
        <v/>
      </c>
    </row>
    <row r="3261" customFormat="false" ht="15.75" hidden="false" customHeight="false" outlineLevel="0" collapsed="false">
      <c r="AO3261" s="8" t="str">
        <f aca="false">IF(A3261="","",IF(COUNTIFS(全馬データ!$A$2:$A$50000,A3261,全馬データ!$B$2:$B$50000,B3261,全馬データ!$C$2:$C$50000,C3261,全馬データ!$D$2:$D$50000,E3261,全馬データ!$K$2:$K$50000,"&lt;&gt;")=0,"",SUMIFS(全馬データ!$K$2:$K$50000,全馬データ!$A$2:$A$50000,A3261,全馬データ!$B$2:$B$50000,B3261,全馬データ!$C$2:$C$50000,C3261,全馬データ!$D$2:$D$50000,E3261)))</f>
        <v/>
      </c>
      <c r="AP3261" s="8" t="str">
        <f aca="false">IF(A3261="","",IF(AO3261="","欠損",IF(AO3261&lt;=1.1,"1.0～1.1",IF(AO3261&lt;1.3,"1.2",IF(AO3261&lt;1.5,"1.3～1.4",IF(AO3261&lt;2,"1.5～1.9","2.0以上"))))))</f>
        <v/>
      </c>
      <c r="AQ3261" s="8" t="str">
        <f aca="false">IF(A3261="","",IF(ISNUMBER(SEARCH("2歳",Z3261)),"2歳戦",IF(ISNUMBER(SEARCH("3歳未勝利",Z3261)),"3歳未勝利",IF(ISNUMBER(SEARCH("未勝利",Z3261)),"その他未勝利",IF(ISNUMBER(SEARCH("G1",Z3261)),"G1",IF(ISNUMBER(SEARCH("G2",Z3261)),"G2",IF(ISNUMBER(SEARCH("G3",Z3261)),"G3",IF(ISNUMBER(SEARCH("古馬条件",Z3261)),"古馬条件戦",IF(ISNUMBER(SEARCH("重賞",Z3261)),"重賞","分類不能")))))))))</f>
        <v/>
      </c>
    </row>
    <row r="3262" customFormat="false" ht="15.75" hidden="false" customHeight="false" outlineLevel="0" collapsed="false">
      <c r="AO3262" s="8" t="str">
        <f aca="false">IF(A3262="","",IF(COUNTIFS(全馬データ!$A$2:$A$50000,A3262,全馬データ!$B$2:$B$50000,B3262,全馬データ!$C$2:$C$50000,C3262,全馬データ!$D$2:$D$50000,E3262,全馬データ!$K$2:$K$50000,"&lt;&gt;")=0,"",SUMIFS(全馬データ!$K$2:$K$50000,全馬データ!$A$2:$A$50000,A3262,全馬データ!$B$2:$B$50000,B3262,全馬データ!$C$2:$C$50000,C3262,全馬データ!$D$2:$D$50000,E3262)))</f>
        <v/>
      </c>
      <c r="AP3262" s="8" t="str">
        <f aca="false">IF(A3262="","",IF(AO3262="","欠損",IF(AO3262&lt;=1.1,"1.0～1.1",IF(AO3262&lt;1.3,"1.2",IF(AO3262&lt;1.5,"1.3～1.4",IF(AO3262&lt;2,"1.5～1.9","2.0以上"))))))</f>
        <v/>
      </c>
      <c r="AQ3262" s="8" t="str">
        <f aca="false">IF(A3262="","",IF(ISNUMBER(SEARCH("2歳",Z3262)),"2歳戦",IF(ISNUMBER(SEARCH("3歳未勝利",Z3262)),"3歳未勝利",IF(ISNUMBER(SEARCH("未勝利",Z3262)),"その他未勝利",IF(ISNUMBER(SEARCH("G1",Z3262)),"G1",IF(ISNUMBER(SEARCH("G2",Z3262)),"G2",IF(ISNUMBER(SEARCH("G3",Z3262)),"G3",IF(ISNUMBER(SEARCH("古馬条件",Z3262)),"古馬条件戦",IF(ISNUMBER(SEARCH("重賞",Z3262)),"重賞","分類不能")))))))))</f>
        <v/>
      </c>
    </row>
    <row r="3263" customFormat="false" ht="15.75" hidden="false" customHeight="false" outlineLevel="0" collapsed="false">
      <c r="AO3263" s="8" t="str">
        <f aca="false">IF(A3263="","",IF(COUNTIFS(全馬データ!$A$2:$A$50000,A3263,全馬データ!$B$2:$B$50000,B3263,全馬データ!$C$2:$C$50000,C3263,全馬データ!$D$2:$D$50000,E3263,全馬データ!$K$2:$K$50000,"&lt;&gt;")=0,"",SUMIFS(全馬データ!$K$2:$K$50000,全馬データ!$A$2:$A$50000,A3263,全馬データ!$B$2:$B$50000,B3263,全馬データ!$C$2:$C$50000,C3263,全馬データ!$D$2:$D$50000,E3263)))</f>
        <v/>
      </c>
      <c r="AP3263" s="8" t="str">
        <f aca="false">IF(A3263="","",IF(AO3263="","欠損",IF(AO3263&lt;=1.1,"1.0～1.1",IF(AO3263&lt;1.3,"1.2",IF(AO3263&lt;1.5,"1.3～1.4",IF(AO3263&lt;2,"1.5～1.9","2.0以上"))))))</f>
        <v/>
      </c>
      <c r="AQ3263" s="8" t="str">
        <f aca="false">IF(A3263="","",IF(ISNUMBER(SEARCH("2歳",Z3263)),"2歳戦",IF(ISNUMBER(SEARCH("3歳未勝利",Z3263)),"3歳未勝利",IF(ISNUMBER(SEARCH("未勝利",Z3263)),"その他未勝利",IF(ISNUMBER(SEARCH("G1",Z3263)),"G1",IF(ISNUMBER(SEARCH("G2",Z3263)),"G2",IF(ISNUMBER(SEARCH("G3",Z3263)),"G3",IF(ISNUMBER(SEARCH("古馬条件",Z3263)),"古馬条件戦",IF(ISNUMBER(SEARCH("重賞",Z3263)),"重賞","分類不能")))))))))</f>
        <v/>
      </c>
    </row>
    <row r="3264" customFormat="false" ht="15.75" hidden="false" customHeight="false" outlineLevel="0" collapsed="false">
      <c r="AO3264" s="8" t="str">
        <f aca="false">IF(A3264="","",IF(COUNTIFS(全馬データ!$A$2:$A$50000,A3264,全馬データ!$B$2:$B$50000,B3264,全馬データ!$C$2:$C$50000,C3264,全馬データ!$D$2:$D$50000,E3264,全馬データ!$K$2:$K$50000,"&lt;&gt;")=0,"",SUMIFS(全馬データ!$K$2:$K$50000,全馬データ!$A$2:$A$50000,A3264,全馬データ!$B$2:$B$50000,B3264,全馬データ!$C$2:$C$50000,C3264,全馬データ!$D$2:$D$50000,E3264)))</f>
        <v/>
      </c>
      <c r="AP3264" s="8" t="str">
        <f aca="false">IF(A3264="","",IF(AO3264="","欠損",IF(AO3264&lt;=1.1,"1.0～1.1",IF(AO3264&lt;1.3,"1.2",IF(AO3264&lt;1.5,"1.3～1.4",IF(AO3264&lt;2,"1.5～1.9","2.0以上"))))))</f>
        <v/>
      </c>
      <c r="AQ3264" s="8" t="str">
        <f aca="false">IF(A3264="","",IF(ISNUMBER(SEARCH("2歳",Z3264)),"2歳戦",IF(ISNUMBER(SEARCH("3歳未勝利",Z3264)),"3歳未勝利",IF(ISNUMBER(SEARCH("未勝利",Z3264)),"その他未勝利",IF(ISNUMBER(SEARCH("G1",Z3264)),"G1",IF(ISNUMBER(SEARCH("G2",Z3264)),"G2",IF(ISNUMBER(SEARCH("G3",Z3264)),"G3",IF(ISNUMBER(SEARCH("古馬条件",Z3264)),"古馬条件戦",IF(ISNUMBER(SEARCH("重賞",Z3264)),"重賞","分類不能")))))))))</f>
        <v/>
      </c>
    </row>
    <row r="3265" customFormat="false" ht="15.75" hidden="false" customHeight="false" outlineLevel="0" collapsed="false">
      <c r="AO3265" s="8" t="str">
        <f aca="false">IF(A3265="","",IF(COUNTIFS(全馬データ!$A$2:$A$50000,A3265,全馬データ!$B$2:$B$50000,B3265,全馬データ!$C$2:$C$50000,C3265,全馬データ!$D$2:$D$50000,E3265,全馬データ!$K$2:$K$50000,"&lt;&gt;")=0,"",SUMIFS(全馬データ!$K$2:$K$50000,全馬データ!$A$2:$A$50000,A3265,全馬データ!$B$2:$B$50000,B3265,全馬データ!$C$2:$C$50000,C3265,全馬データ!$D$2:$D$50000,E3265)))</f>
        <v/>
      </c>
      <c r="AP3265" s="8" t="str">
        <f aca="false">IF(A3265="","",IF(AO3265="","欠損",IF(AO3265&lt;=1.1,"1.0～1.1",IF(AO3265&lt;1.3,"1.2",IF(AO3265&lt;1.5,"1.3～1.4",IF(AO3265&lt;2,"1.5～1.9","2.0以上"))))))</f>
        <v/>
      </c>
      <c r="AQ3265" s="8" t="str">
        <f aca="false">IF(A3265="","",IF(ISNUMBER(SEARCH("2歳",Z3265)),"2歳戦",IF(ISNUMBER(SEARCH("3歳未勝利",Z3265)),"3歳未勝利",IF(ISNUMBER(SEARCH("未勝利",Z3265)),"その他未勝利",IF(ISNUMBER(SEARCH("G1",Z3265)),"G1",IF(ISNUMBER(SEARCH("G2",Z3265)),"G2",IF(ISNUMBER(SEARCH("G3",Z3265)),"G3",IF(ISNUMBER(SEARCH("古馬条件",Z3265)),"古馬条件戦",IF(ISNUMBER(SEARCH("重賞",Z3265)),"重賞","分類不能")))))))))</f>
        <v/>
      </c>
    </row>
    <row r="3266" customFormat="false" ht="15.75" hidden="false" customHeight="false" outlineLevel="0" collapsed="false">
      <c r="AO3266" s="8" t="str">
        <f aca="false">IF(A3266="","",IF(COUNTIFS(全馬データ!$A$2:$A$50000,A3266,全馬データ!$B$2:$B$50000,B3266,全馬データ!$C$2:$C$50000,C3266,全馬データ!$D$2:$D$50000,E3266,全馬データ!$K$2:$K$50000,"&lt;&gt;")=0,"",SUMIFS(全馬データ!$K$2:$K$50000,全馬データ!$A$2:$A$50000,A3266,全馬データ!$B$2:$B$50000,B3266,全馬データ!$C$2:$C$50000,C3266,全馬データ!$D$2:$D$50000,E3266)))</f>
        <v/>
      </c>
      <c r="AP3266" s="8" t="str">
        <f aca="false">IF(A3266="","",IF(AO3266="","欠損",IF(AO3266&lt;=1.1,"1.0～1.1",IF(AO3266&lt;1.3,"1.2",IF(AO3266&lt;1.5,"1.3～1.4",IF(AO3266&lt;2,"1.5～1.9","2.0以上"))))))</f>
        <v/>
      </c>
      <c r="AQ3266" s="8" t="str">
        <f aca="false">IF(A3266="","",IF(ISNUMBER(SEARCH("2歳",Z3266)),"2歳戦",IF(ISNUMBER(SEARCH("3歳未勝利",Z3266)),"3歳未勝利",IF(ISNUMBER(SEARCH("未勝利",Z3266)),"その他未勝利",IF(ISNUMBER(SEARCH("G1",Z3266)),"G1",IF(ISNUMBER(SEARCH("G2",Z3266)),"G2",IF(ISNUMBER(SEARCH("G3",Z3266)),"G3",IF(ISNUMBER(SEARCH("古馬条件",Z3266)),"古馬条件戦",IF(ISNUMBER(SEARCH("重賞",Z3266)),"重賞","分類不能")))))))))</f>
        <v/>
      </c>
    </row>
    <row r="3267" customFormat="false" ht="15.75" hidden="false" customHeight="false" outlineLevel="0" collapsed="false">
      <c r="AO3267" s="8" t="str">
        <f aca="false">IF(A3267="","",IF(COUNTIFS(全馬データ!$A$2:$A$50000,A3267,全馬データ!$B$2:$B$50000,B3267,全馬データ!$C$2:$C$50000,C3267,全馬データ!$D$2:$D$50000,E3267,全馬データ!$K$2:$K$50000,"&lt;&gt;")=0,"",SUMIFS(全馬データ!$K$2:$K$50000,全馬データ!$A$2:$A$50000,A3267,全馬データ!$B$2:$B$50000,B3267,全馬データ!$C$2:$C$50000,C3267,全馬データ!$D$2:$D$50000,E3267)))</f>
        <v/>
      </c>
      <c r="AP3267" s="8" t="str">
        <f aca="false">IF(A3267="","",IF(AO3267="","欠損",IF(AO3267&lt;=1.1,"1.0～1.1",IF(AO3267&lt;1.3,"1.2",IF(AO3267&lt;1.5,"1.3～1.4",IF(AO3267&lt;2,"1.5～1.9","2.0以上"))))))</f>
        <v/>
      </c>
      <c r="AQ3267" s="8" t="str">
        <f aca="false">IF(A3267="","",IF(ISNUMBER(SEARCH("2歳",Z3267)),"2歳戦",IF(ISNUMBER(SEARCH("3歳未勝利",Z3267)),"3歳未勝利",IF(ISNUMBER(SEARCH("未勝利",Z3267)),"その他未勝利",IF(ISNUMBER(SEARCH("G1",Z3267)),"G1",IF(ISNUMBER(SEARCH("G2",Z3267)),"G2",IF(ISNUMBER(SEARCH("G3",Z3267)),"G3",IF(ISNUMBER(SEARCH("古馬条件",Z3267)),"古馬条件戦",IF(ISNUMBER(SEARCH("重賞",Z3267)),"重賞","分類不能")))))))))</f>
        <v/>
      </c>
    </row>
    <row r="3268" customFormat="false" ht="15.75" hidden="false" customHeight="false" outlineLevel="0" collapsed="false">
      <c r="AO3268" s="8" t="str">
        <f aca="false">IF(A3268="","",IF(COUNTIFS(全馬データ!$A$2:$A$50000,A3268,全馬データ!$B$2:$B$50000,B3268,全馬データ!$C$2:$C$50000,C3268,全馬データ!$D$2:$D$50000,E3268,全馬データ!$K$2:$K$50000,"&lt;&gt;")=0,"",SUMIFS(全馬データ!$K$2:$K$50000,全馬データ!$A$2:$A$50000,A3268,全馬データ!$B$2:$B$50000,B3268,全馬データ!$C$2:$C$50000,C3268,全馬データ!$D$2:$D$50000,E3268)))</f>
        <v/>
      </c>
      <c r="AP3268" s="8" t="str">
        <f aca="false">IF(A3268="","",IF(AO3268="","欠損",IF(AO3268&lt;=1.1,"1.0～1.1",IF(AO3268&lt;1.3,"1.2",IF(AO3268&lt;1.5,"1.3～1.4",IF(AO3268&lt;2,"1.5～1.9","2.0以上"))))))</f>
        <v/>
      </c>
      <c r="AQ3268" s="8" t="str">
        <f aca="false">IF(A3268="","",IF(ISNUMBER(SEARCH("2歳",Z3268)),"2歳戦",IF(ISNUMBER(SEARCH("3歳未勝利",Z3268)),"3歳未勝利",IF(ISNUMBER(SEARCH("未勝利",Z3268)),"その他未勝利",IF(ISNUMBER(SEARCH("G1",Z3268)),"G1",IF(ISNUMBER(SEARCH("G2",Z3268)),"G2",IF(ISNUMBER(SEARCH("G3",Z3268)),"G3",IF(ISNUMBER(SEARCH("古馬条件",Z3268)),"古馬条件戦",IF(ISNUMBER(SEARCH("重賞",Z3268)),"重賞","分類不能")))))))))</f>
        <v/>
      </c>
    </row>
    <row r="3269" customFormat="false" ht="15.75" hidden="false" customHeight="false" outlineLevel="0" collapsed="false">
      <c r="AO3269" s="8" t="str">
        <f aca="false">IF(A3269="","",IF(COUNTIFS(全馬データ!$A$2:$A$50000,A3269,全馬データ!$B$2:$B$50000,B3269,全馬データ!$C$2:$C$50000,C3269,全馬データ!$D$2:$D$50000,E3269,全馬データ!$K$2:$K$50000,"&lt;&gt;")=0,"",SUMIFS(全馬データ!$K$2:$K$50000,全馬データ!$A$2:$A$50000,A3269,全馬データ!$B$2:$B$50000,B3269,全馬データ!$C$2:$C$50000,C3269,全馬データ!$D$2:$D$50000,E3269)))</f>
        <v/>
      </c>
      <c r="AP3269" s="8" t="str">
        <f aca="false">IF(A3269="","",IF(AO3269="","欠損",IF(AO3269&lt;=1.1,"1.0～1.1",IF(AO3269&lt;1.3,"1.2",IF(AO3269&lt;1.5,"1.3～1.4",IF(AO3269&lt;2,"1.5～1.9","2.0以上"))))))</f>
        <v/>
      </c>
      <c r="AQ3269" s="8" t="str">
        <f aca="false">IF(A3269="","",IF(ISNUMBER(SEARCH("2歳",Z3269)),"2歳戦",IF(ISNUMBER(SEARCH("3歳未勝利",Z3269)),"3歳未勝利",IF(ISNUMBER(SEARCH("未勝利",Z3269)),"その他未勝利",IF(ISNUMBER(SEARCH("G1",Z3269)),"G1",IF(ISNUMBER(SEARCH("G2",Z3269)),"G2",IF(ISNUMBER(SEARCH("G3",Z3269)),"G3",IF(ISNUMBER(SEARCH("古馬条件",Z3269)),"古馬条件戦",IF(ISNUMBER(SEARCH("重賞",Z3269)),"重賞","分類不能")))))))))</f>
        <v/>
      </c>
    </row>
    <row r="3270" customFormat="false" ht="15.75" hidden="false" customHeight="false" outlineLevel="0" collapsed="false">
      <c r="AO3270" s="8" t="str">
        <f aca="false">IF(A3270="","",IF(COUNTIFS(全馬データ!$A$2:$A$50000,A3270,全馬データ!$B$2:$B$50000,B3270,全馬データ!$C$2:$C$50000,C3270,全馬データ!$D$2:$D$50000,E3270,全馬データ!$K$2:$K$50000,"&lt;&gt;")=0,"",SUMIFS(全馬データ!$K$2:$K$50000,全馬データ!$A$2:$A$50000,A3270,全馬データ!$B$2:$B$50000,B3270,全馬データ!$C$2:$C$50000,C3270,全馬データ!$D$2:$D$50000,E3270)))</f>
        <v/>
      </c>
      <c r="AP3270" s="8" t="str">
        <f aca="false">IF(A3270="","",IF(AO3270="","欠損",IF(AO3270&lt;=1.1,"1.0～1.1",IF(AO3270&lt;1.3,"1.2",IF(AO3270&lt;1.5,"1.3～1.4",IF(AO3270&lt;2,"1.5～1.9","2.0以上"))))))</f>
        <v/>
      </c>
      <c r="AQ3270" s="8" t="str">
        <f aca="false">IF(A3270="","",IF(ISNUMBER(SEARCH("2歳",Z3270)),"2歳戦",IF(ISNUMBER(SEARCH("3歳未勝利",Z3270)),"3歳未勝利",IF(ISNUMBER(SEARCH("未勝利",Z3270)),"その他未勝利",IF(ISNUMBER(SEARCH("G1",Z3270)),"G1",IF(ISNUMBER(SEARCH("G2",Z3270)),"G2",IF(ISNUMBER(SEARCH("G3",Z3270)),"G3",IF(ISNUMBER(SEARCH("古馬条件",Z3270)),"古馬条件戦",IF(ISNUMBER(SEARCH("重賞",Z3270)),"重賞","分類不能")))))))))</f>
        <v/>
      </c>
    </row>
    <row r="3271" customFormat="false" ht="15.75" hidden="false" customHeight="false" outlineLevel="0" collapsed="false">
      <c r="AO3271" s="8" t="str">
        <f aca="false">IF(A3271="","",IF(COUNTIFS(全馬データ!$A$2:$A$50000,A3271,全馬データ!$B$2:$B$50000,B3271,全馬データ!$C$2:$C$50000,C3271,全馬データ!$D$2:$D$50000,E3271,全馬データ!$K$2:$K$50000,"&lt;&gt;")=0,"",SUMIFS(全馬データ!$K$2:$K$50000,全馬データ!$A$2:$A$50000,A3271,全馬データ!$B$2:$B$50000,B3271,全馬データ!$C$2:$C$50000,C3271,全馬データ!$D$2:$D$50000,E3271)))</f>
        <v/>
      </c>
      <c r="AP3271" s="8" t="str">
        <f aca="false">IF(A3271="","",IF(AO3271="","欠損",IF(AO3271&lt;=1.1,"1.0～1.1",IF(AO3271&lt;1.3,"1.2",IF(AO3271&lt;1.5,"1.3～1.4",IF(AO3271&lt;2,"1.5～1.9","2.0以上"))))))</f>
        <v/>
      </c>
      <c r="AQ3271" s="8" t="str">
        <f aca="false">IF(A3271="","",IF(ISNUMBER(SEARCH("2歳",Z3271)),"2歳戦",IF(ISNUMBER(SEARCH("3歳未勝利",Z3271)),"3歳未勝利",IF(ISNUMBER(SEARCH("未勝利",Z3271)),"その他未勝利",IF(ISNUMBER(SEARCH("G1",Z3271)),"G1",IF(ISNUMBER(SEARCH("G2",Z3271)),"G2",IF(ISNUMBER(SEARCH("G3",Z3271)),"G3",IF(ISNUMBER(SEARCH("古馬条件",Z3271)),"古馬条件戦",IF(ISNUMBER(SEARCH("重賞",Z3271)),"重賞","分類不能")))))))))</f>
        <v/>
      </c>
    </row>
    <row r="3272" customFormat="false" ht="15.75" hidden="false" customHeight="false" outlineLevel="0" collapsed="false">
      <c r="AO3272" s="8" t="str">
        <f aca="false">IF(A3272="","",IF(COUNTIFS(全馬データ!$A$2:$A$50000,A3272,全馬データ!$B$2:$B$50000,B3272,全馬データ!$C$2:$C$50000,C3272,全馬データ!$D$2:$D$50000,E3272,全馬データ!$K$2:$K$50000,"&lt;&gt;")=0,"",SUMIFS(全馬データ!$K$2:$K$50000,全馬データ!$A$2:$A$50000,A3272,全馬データ!$B$2:$B$50000,B3272,全馬データ!$C$2:$C$50000,C3272,全馬データ!$D$2:$D$50000,E3272)))</f>
        <v/>
      </c>
      <c r="AP3272" s="8" t="str">
        <f aca="false">IF(A3272="","",IF(AO3272="","欠損",IF(AO3272&lt;=1.1,"1.0～1.1",IF(AO3272&lt;1.3,"1.2",IF(AO3272&lt;1.5,"1.3～1.4",IF(AO3272&lt;2,"1.5～1.9","2.0以上"))))))</f>
        <v/>
      </c>
      <c r="AQ3272" s="8" t="str">
        <f aca="false">IF(A3272="","",IF(ISNUMBER(SEARCH("2歳",Z3272)),"2歳戦",IF(ISNUMBER(SEARCH("3歳未勝利",Z3272)),"3歳未勝利",IF(ISNUMBER(SEARCH("未勝利",Z3272)),"その他未勝利",IF(ISNUMBER(SEARCH("G1",Z3272)),"G1",IF(ISNUMBER(SEARCH("G2",Z3272)),"G2",IF(ISNUMBER(SEARCH("G3",Z3272)),"G3",IF(ISNUMBER(SEARCH("古馬条件",Z3272)),"古馬条件戦",IF(ISNUMBER(SEARCH("重賞",Z3272)),"重賞","分類不能")))))))))</f>
        <v/>
      </c>
    </row>
    <row r="3273" customFormat="false" ht="15.75" hidden="false" customHeight="false" outlineLevel="0" collapsed="false">
      <c r="AO3273" s="8" t="str">
        <f aca="false">IF(A3273="","",IF(COUNTIFS(全馬データ!$A$2:$A$50000,A3273,全馬データ!$B$2:$B$50000,B3273,全馬データ!$C$2:$C$50000,C3273,全馬データ!$D$2:$D$50000,E3273,全馬データ!$K$2:$K$50000,"&lt;&gt;")=0,"",SUMIFS(全馬データ!$K$2:$K$50000,全馬データ!$A$2:$A$50000,A3273,全馬データ!$B$2:$B$50000,B3273,全馬データ!$C$2:$C$50000,C3273,全馬データ!$D$2:$D$50000,E3273)))</f>
        <v/>
      </c>
      <c r="AP3273" s="8" t="str">
        <f aca="false">IF(A3273="","",IF(AO3273="","欠損",IF(AO3273&lt;=1.1,"1.0～1.1",IF(AO3273&lt;1.3,"1.2",IF(AO3273&lt;1.5,"1.3～1.4",IF(AO3273&lt;2,"1.5～1.9","2.0以上"))))))</f>
        <v/>
      </c>
      <c r="AQ3273" s="8" t="str">
        <f aca="false">IF(A3273="","",IF(ISNUMBER(SEARCH("2歳",Z3273)),"2歳戦",IF(ISNUMBER(SEARCH("3歳未勝利",Z3273)),"3歳未勝利",IF(ISNUMBER(SEARCH("未勝利",Z3273)),"その他未勝利",IF(ISNUMBER(SEARCH("G1",Z3273)),"G1",IF(ISNUMBER(SEARCH("G2",Z3273)),"G2",IF(ISNUMBER(SEARCH("G3",Z3273)),"G3",IF(ISNUMBER(SEARCH("古馬条件",Z3273)),"古馬条件戦",IF(ISNUMBER(SEARCH("重賞",Z3273)),"重賞","分類不能")))))))))</f>
        <v/>
      </c>
    </row>
    <row r="3274" customFormat="false" ht="15.75" hidden="false" customHeight="false" outlineLevel="0" collapsed="false">
      <c r="AO3274" s="8" t="str">
        <f aca="false">IF(A3274="","",IF(COUNTIFS(全馬データ!$A$2:$A$50000,A3274,全馬データ!$B$2:$B$50000,B3274,全馬データ!$C$2:$C$50000,C3274,全馬データ!$D$2:$D$50000,E3274,全馬データ!$K$2:$K$50000,"&lt;&gt;")=0,"",SUMIFS(全馬データ!$K$2:$K$50000,全馬データ!$A$2:$A$50000,A3274,全馬データ!$B$2:$B$50000,B3274,全馬データ!$C$2:$C$50000,C3274,全馬データ!$D$2:$D$50000,E3274)))</f>
        <v/>
      </c>
      <c r="AP3274" s="8" t="str">
        <f aca="false">IF(A3274="","",IF(AO3274="","欠損",IF(AO3274&lt;=1.1,"1.0～1.1",IF(AO3274&lt;1.3,"1.2",IF(AO3274&lt;1.5,"1.3～1.4",IF(AO3274&lt;2,"1.5～1.9","2.0以上"))))))</f>
        <v/>
      </c>
      <c r="AQ3274" s="8" t="str">
        <f aca="false">IF(A3274="","",IF(ISNUMBER(SEARCH("2歳",Z3274)),"2歳戦",IF(ISNUMBER(SEARCH("3歳未勝利",Z3274)),"3歳未勝利",IF(ISNUMBER(SEARCH("未勝利",Z3274)),"その他未勝利",IF(ISNUMBER(SEARCH("G1",Z3274)),"G1",IF(ISNUMBER(SEARCH("G2",Z3274)),"G2",IF(ISNUMBER(SEARCH("G3",Z3274)),"G3",IF(ISNUMBER(SEARCH("古馬条件",Z3274)),"古馬条件戦",IF(ISNUMBER(SEARCH("重賞",Z3274)),"重賞","分類不能")))))))))</f>
        <v/>
      </c>
    </row>
    <row r="3275" customFormat="false" ht="15.75" hidden="false" customHeight="false" outlineLevel="0" collapsed="false">
      <c r="AO3275" s="8" t="str">
        <f aca="false">IF(A3275="","",IF(COUNTIFS(全馬データ!$A$2:$A$50000,A3275,全馬データ!$B$2:$B$50000,B3275,全馬データ!$C$2:$C$50000,C3275,全馬データ!$D$2:$D$50000,E3275,全馬データ!$K$2:$K$50000,"&lt;&gt;")=0,"",SUMIFS(全馬データ!$K$2:$K$50000,全馬データ!$A$2:$A$50000,A3275,全馬データ!$B$2:$B$50000,B3275,全馬データ!$C$2:$C$50000,C3275,全馬データ!$D$2:$D$50000,E3275)))</f>
        <v/>
      </c>
      <c r="AP3275" s="8" t="str">
        <f aca="false">IF(A3275="","",IF(AO3275="","欠損",IF(AO3275&lt;=1.1,"1.0～1.1",IF(AO3275&lt;1.3,"1.2",IF(AO3275&lt;1.5,"1.3～1.4",IF(AO3275&lt;2,"1.5～1.9","2.0以上"))))))</f>
        <v/>
      </c>
      <c r="AQ3275" s="8" t="str">
        <f aca="false">IF(A3275="","",IF(ISNUMBER(SEARCH("2歳",Z3275)),"2歳戦",IF(ISNUMBER(SEARCH("3歳未勝利",Z3275)),"3歳未勝利",IF(ISNUMBER(SEARCH("未勝利",Z3275)),"その他未勝利",IF(ISNUMBER(SEARCH("G1",Z3275)),"G1",IF(ISNUMBER(SEARCH("G2",Z3275)),"G2",IF(ISNUMBER(SEARCH("G3",Z3275)),"G3",IF(ISNUMBER(SEARCH("古馬条件",Z3275)),"古馬条件戦",IF(ISNUMBER(SEARCH("重賞",Z3275)),"重賞","分類不能")))))))))</f>
        <v/>
      </c>
    </row>
    <row r="3276" customFormat="false" ht="15.75" hidden="false" customHeight="false" outlineLevel="0" collapsed="false">
      <c r="AO3276" s="8" t="str">
        <f aca="false">IF(A3276="","",IF(COUNTIFS(全馬データ!$A$2:$A$50000,A3276,全馬データ!$B$2:$B$50000,B3276,全馬データ!$C$2:$C$50000,C3276,全馬データ!$D$2:$D$50000,E3276,全馬データ!$K$2:$K$50000,"&lt;&gt;")=0,"",SUMIFS(全馬データ!$K$2:$K$50000,全馬データ!$A$2:$A$50000,A3276,全馬データ!$B$2:$B$50000,B3276,全馬データ!$C$2:$C$50000,C3276,全馬データ!$D$2:$D$50000,E3276)))</f>
        <v/>
      </c>
      <c r="AP3276" s="8" t="str">
        <f aca="false">IF(A3276="","",IF(AO3276="","欠損",IF(AO3276&lt;=1.1,"1.0～1.1",IF(AO3276&lt;1.3,"1.2",IF(AO3276&lt;1.5,"1.3～1.4",IF(AO3276&lt;2,"1.5～1.9","2.0以上"))))))</f>
        <v/>
      </c>
      <c r="AQ3276" s="8" t="str">
        <f aca="false">IF(A3276="","",IF(ISNUMBER(SEARCH("2歳",Z3276)),"2歳戦",IF(ISNUMBER(SEARCH("3歳未勝利",Z3276)),"3歳未勝利",IF(ISNUMBER(SEARCH("未勝利",Z3276)),"その他未勝利",IF(ISNUMBER(SEARCH("G1",Z3276)),"G1",IF(ISNUMBER(SEARCH("G2",Z3276)),"G2",IF(ISNUMBER(SEARCH("G3",Z3276)),"G3",IF(ISNUMBER(SEARCH("古馬条件",Z3276)),"古馬条件戦",IF(ISNUMBER(SEARCH("重賞",Z3276)),"重賞","分類不能")))))))))</f>
        <v/>
      </c>
    </row>
    <row r="3277" customFormat="false" ht="15.75" hidden="false" customHeight="false" outlineLevel="0" collapsed="false">
      <c r="AO3277" s="8" t="str">
        <f aca="false">IF(A3277="","",IF(COUNTIFS(全馬データ!$A$2:$A$50000,A3277,全馬データ!$B$2:$B$50000,B3277,全馬データ!$C$2:$C$50000,C3277,全馬データ!$D$2:$D$50000,E3277,全馬データ!$K$2:$K$50000,"&lt;&gt;")=0,"",SUMIFS(全馬データ!$K$2:$K$50000,全馬データ!$A$2:$A$50000,A3277,全馬データ!$B$2:$B$50000,B3277,全馬データ!$C$2:$C$50000,C3277,全馬データ!$D$2:$D$50000,E3277)))</f>
        <v/>
      </c>
      <c r="AP3277" s="8" t="str">
        <f aca="false">IF(A3277="","",IF(AO3277="","欠損",IF(AO3277&lt;=1.1,"1.0～1.1",IF(AO3277&lt;1.3,"1.2",IF(AO3277&lt;1.5,"1.3～1.4",IF(AO3277&lt;2,"1.5～1.9","2.0以上"))))))</f>
        <v/>
      </c>
      <c r="AQ3277" s="8" t="str">
        <f aca="false">IF(A3277="","",IF(ISNUMBER(SEARCH("2歳",Z3277)),"2歳戦",IF(ISNUMBER(SEARCH("3歳未勝利",Z3277)),"3歳未勝利",IF(ISNUMBER(SEARCH("未勝利",Z3277)),"その他未勝利",IF(ISNUMBER(SEARCH("G1",Z3277)),"G1",IF(ISNUMBER(SEARCH("G2",Z3277)),"G2",IF(ISNUMBER(SEARCH("G3",Z3277)),"G3",IF(ISNUMBER(SEARCH("古馬条件",Z3277)),"古馬条件戦",IF(ISNUMBER(SEARCH("重賞",Z3277)),"重賞","分類不能")))))))))</f>
        <v/>
      </c>
    </row>
    <row r="3278" customFormat="false" ht="15.75" hidden="false" customHeight="false" outlineLevel="0" collapsed="false">
      <c r="AO3278" s="8" t="str">
        <f aca="false">IF(A3278="","",IF(COUNTIFS(全馬データ!$A$2:$A$50000,A3278,全馬データ!$B$2:$B$50000,B3278,全馬データ!$C$2:$C$50000,C3278,全馬データ!$D$2:$D$50000,E3278,全馬データ!$K$2:$K$50000,"&lt;&gt;")=0,"",SUMIFS(全馬データ!$K$2:$K$50000,全馬データ!$A$2:$A$50000,A3278,全馬データ!$B$2:$B$50000,B3278,全馬データ!$C$2:$C$50000,C3278,全馬データ!$D$2:$D$50000,E3278)))</f>
        <v/>
      </c>
      <c r="AP3278" s="8" t="str">
        <f aca="false">IF(A3278="","",IF(AO3278="","欠損",IF(AO3278&lt;=1.1,"1.0～1.1",IF(AO3278&lt;1.3,"1.2",IF(AO3278&lt;1.5,"1.3～1.4",IF(AO3278&lt;2,"1.5～1.9","2.0以上"))))))</f>
        <v/>
      </c>
      <c r="AQ3278" s="8" t="str">
        <f aca="false">IF(A3278="","",IF(ISNUMBER(SEARCH("2歳",Z3278)),"2歳戦",IF(ISNUMBER(SEARCH("3歳未勝利",Z3278)),"3歳未勝利",IF(ISNUMBER(SEARCH("未勝利",Z3278)),"その他未勝利",IF(ISNUMBER(SEARCH("G1",Z3278)),"G1",IF(ISNUMBER(SEARCH("G2",Z3278)),"G2",IF(ISNUMBER(SEARCH("G3",Z3278)),"G3",IF(ISNUMBER(SEARCH("古馬条件",Z3278)),"古馬条件戦",IF(ISNUMBER(SEARCH("重賞",Z3278)),"重賞","分類不能")))))))))</f>
        <v/>
      </c>
    </row>
    <row r="3279" customFormat="false" ht="15.75" hidden="false" customHeight="false" outlineLevel="0" collapsed="false">
      <c r="AO3279" s="8" t="str">
        <f aca="false">IF(A3279="","",IF(COUNTIFS(全馬データ!$A$2:$A$50000,A3279,全馬データ!$B$2:$B$50000,B3279,全馬データ!$C$2:$C$50000,C3279,全馬データ!$D$2:$D$50000,E3279,全馬データ!$K$2:$K$50000,"&lt;&gt;")=0,"",SUMIFS(全馬データ!$K$2:$K$50000,全馬データ!$A$2:$A$50000,A3279,全馬データ!$B$2:$B$50000,B3279,全馬データ!$C$2:$C$50000,C3279,全馬データ!$D$2:$D$50000,E3279)))</f>
        <v/>
      </c>
      <c r="AP3279" s="8" t="str">
        <f aca="false">IF(A3279="","",IF(AO3279="","欠損",IF(AO3279&lt;=1.1,"1.0～1.1",IF(AO3279&lt;1.3,"1.2",IF(AO3279&lt;1.5,"1.3～1.4",IF(AO3279&lt;2,"1.5～1.9","2.0以上"))))))</f>
        <v/>
      </c>
      <c r="AQ3279" s="8" t="str">
        <f aca="false">IF(A3279="","",IF(ISNUMBER(SEARCH("2歳",Z3279)),"2歳戦",IF(ISNUMBER(SEARCH("3歳未勝利",Z3279)),"3歳未勝利",IF(ISNUMBER(SEARCH("未勝利",Z3279)),"その他未勝利",IF(ISNUMBER(SEARCH("G1",Z3279)),"G1",IF(ISNUMBER(SEARCH("G2",Z3279)),"G2",IF(ISNUMBER(SEARCH("G3",Z3279)),"G3",IF(ISNUMBER(SEARCH("古馬条件",Z3279)),"古馬条件戦",IF(ISNUMBER(SEARCH("重賞",Z3279)),"重賞","分類不能")))))))))</f>
        <v/>
      </c>
    </row>
    <row r="3280" customFormat="false" ht="15.75" hidden="false" customHeight="false" outlineLevel="0" collapsed="false">
      <c r="AO3280" s="8" t="str">
        <f aca="false">IF(A3280="","",IF(COUNTIFS(全馬データ!$A$2:$A$50000,A3280,全馬データ!$B$2:$B$50000,B3280,全馬データ!$C$2:$C$50000,C3280,全馬データ!$D$2:$D$50000,E3280,全馬データ!$K$2:$K$50000,"&lt;&gt;")=0,"",SUMIFS(全馬データ!$K$2:$K$50000,全馬データ!$A$2:$A$50000,A3280,全馬データ!$B$2:$B$50000,B3280,全馬データ!$C$2:$C$50000,C3280,全馬データ!$D$2:$D$50000,E3280)))</f>
        <v/>
      </c>
      <c r="AP3280" s="8" t="str">
        <f aca="false">IF(A3280="","",IF(AO3280="","欠損",IF(AO3280&lt;=1.1,"1.0～1.1",IF(AO3280&lt;1.3,"1.2",IF(AO3280&lt;1.5,"1.3～1.4",IF(AO3280&lt;2,"1.5～1.9","2.0以上"))))))</f>
        <v/>
      </c>
      <c r="AQ3280" s="8" t="str">
        <f aca="false">IF(A3280="","",IF(ISNUMBER(SEARCH("2歳",Z3280)),"2歳戦",IF(ISNUMBER(SEARCH("3歳未勝利",Z3280)),"3歳未勝利",IF(ISNUMBER(SEARCH("未勝利",Z3280)),"その他未勝利",IF(ISNUMBER(SEARCH("G1",Z3280)),"G1",IF(ISNUMBER(SEARCH("G2",Z3280)),"G2",IF(ISNUMBER(SEARCH("G3",Z3280)),"G3",IF(ISNUMBER(SEARCH("古馬条件",Z3280)),"古馬条件戦",IF(ISNUMBER(SEARCH("重賞",Z3280)),"重賞","分類不能")))))))))</f>
        <v/>
      </c>
    </row>
    <row r="3281" customFormat="false" ht="15.75" hidden="false" customHeight="false" outlineLevel="0" collapsed="false">
      <c r="AO3281" s="8" t="str">
        <f aca="false">IF(A3281="","",IF(COUNTIFS(全馬データ!$A$2:$A$50000,A3281,全馬データ!$B$2:$B$50000,B3281,全馬データ!$C$2:$C$50000,C3281,全馬データ!$D$2:$D$50000,E3281,全馬データ!$K$2:$K$50000,"&lt;&gt;")=0,"",SUMIFS(全馬データ!$K$2:$K$50000,全馬データ!$A$2:$A$50000,A3281,全馬データ!$B$2:$B$50000,B3281,全馬データ!$C$2:$C$50000,C3281,全馬データ!$D$2:$D$50000,E3281)))</f>
        <v/>
      </c>
      <c r="AP3281" s="8" t="str">
        <f aca="false">IF(A3281="","",IF(AO3281="","欠損",IF(AO3281&lt;=1.1,"1.0～1.1",IF(AO3281&lt;1.3,"1.2",IF(AO3281&lt;1.5,"1.3～1.4",IF(AO3281&lt;2,"1.5～1.9","2.0以上"))))))</f>
        <v/>
      </c>
      <c r="AQ3281" s="8" t="str">
        <f aca="false">IF(A3281="","",IF(ISNUMBER(SEARCH("2歳",Z3281)),"2歳戦",IF(ISNUMBER(SEARCH("3歳未勝利",Z3281)),"3歳未勝利",IF(ISNUMBER(SEARCH("未勝利",Z3281)),"その他未勝利",IF(ISNUMBER(SEARCH("G1",Z3281)),"G1",IF(ISNUMBER(SEARCH("G2",Z3281)),"G2",IF(ISNUMBER(SEARCH("G3",Z3281)),"G3",IF(ISNUMBER(SEARCH("古馬条件",Z3281)),"古馬条件戦",IF(ISNUMBER(SEARCH("重賞",Z3281)),"重賞","分類不能")))))))))</f>
        <v/>
      </c>
    </row>
    <row r="3282" customFormat="false" ht="15.75" hidden="false" customHeight="false" outlineLevel="0" collapsed="false">
      <c r="AO3282" s="8" t="str">
        <f aca="false">IF(A3282="","",IF(COUNTIFS(全馬データ!$A$2:$A$50000,A3282,全馬データ!$B$2:$B$50000,B3282,全馬データ!$C$2:$C$50000,C3282,全馬データ!$D$2:$D$50000,E3282,全馬データ!$K$2:$K$50000,"&lt;&gt;")=0,"",SUMIFS(全馬データ!$K$2:$K$50000,全馬データ!$A$2:$A$50000,A3282,全馬データ!$B$2:$B$50000,B3282,全馬データ!$C$2:$C$50000,C3282,全馬データ!$D$2:$D$50000,E3282)))</f>
        <v/>
      </c>
      <c r="AP3282" s="8" t="str">
        <f aca="false">IF(A3282="","",IF(AO3282="","欠損",IF(AO3282&lt;=1.1,"1.0～1.1",IF(AO3282&lt;1.3,"1.2",IF(AO3282&lt;1.5,"1.3～1.4",IF(AO3282&lt;2,"1.5～1.9","2.0以上"))))))</f>
        <v/>
      </c>
      <c r="AQ3282" s="8" t="str">
        <f aca="false">IF(A3282="","",IF(ISNUMBER(SEARCH("2歳",Z3282)),"2歳戦",IF(ISNUMBER(SEARCH("3歳未勝利",Z3282)),"3歳未勝利",IF(ISNUMBER(SEARCH("未勝利",Z3282)),"その他未勝利",IF(ISNUMBER(SEARCH("G1",Z3282)),"G1",IF(ISNUMBER(SEARCH("G2",Z3282)),"G2",IF(ISNUMBER(SEARCH("G3",Z3282)),"G3",IF(ISNUMBER(SEARCH("古馬条件",Z3282)),"古馬条件戦",IF(ISNUMBER(SEARCH("重賞",Z3282)),"重賞","分類不能")))))))))</f>
        <v/>
      </c>
    </row>
    <row r="3283" customFormat="false" ht="15.75" hidden="false" customHeight="false" outlineLevel="0" collapsed="false">
      <c r="AO3283" s="8" t="str">
        <f aca="false">IF(A3283="","",IF(COUNTIFS(全馬データ!$A$2:$A$50000,A3283,全馬データ!$B$2:$B$50000,B3283,全馬データ!$C$2:$C$50000,C3283,全馬データ!$D$2:$D$50000,E3283,全馬データ!$K$2:$K$50000,"&lt;&gt;")=0,"",SUMIFS(全馬データ!$K$2:$K$50000,全馬データ!$A$2:$A$50000,A3283,全馬データ!$B$2:$B$50000,B3283,全馬データ!$C$2:$C$50000,C3283,全馬データ!$D$2:$D$50000,E3283)))</f>
        <v/>
      </c>
      <c r="AP3283" s="8" t="str">
        <f aca="false">IF(A3283="","",IF(AO3283="","欠損",IF(AO3283&lt;=1.1,"1.0～1.1",IF(AO3283&lt;1.3,"1.2",IF(AO3283&lt;1.5,"1.3～1.4",IF(AO3283&lt;2,"1.5～1.9","2.0以上"))))))</f>
        <v/>
      </c>
      <c r="AQ3283" s="8" t="str">
        <f aca="false">IF(A3283="","",IF(ISNUMBER(SEARCH("2歳",Z3283)),"2歳戦",IF(ISNUMBER(SEARCH("3歳未勝利",Z3283)),"3歳未勝利",IF(ISNUMBER(SEARCH("未勝利",Z3283)),"その他未勝利",IF(ISNUMBER(SEARCH("G1",Z3283)),"G1",IF(ISNUMBER(SEARCH("G2",Z3283)),"G2",IF(ISNUMBER(SEARCH("G3",Z3283)),"G3",IF(ISNUMBER(SEARCH("古馬条件",Z3283)),"古馬条件戦",IF(ISNUMBER(SEARCH("重賞",Z3283)),"重賞","分類不能")))))))))</f>
        <v/>
      </c>
    </row>
    <row r="3284" customFormat="false" ht="15.75" hidden="false" customHeight="false" outlineLevel="0" collapsed="false">
      <c r="AO3284" s="8" t="str">
        <f aca="false">IF(A3284="","",IF(COUNTIFS(全馬データ!$A$2:$A$50000,A3284,全馬データ!$B$2:$B$50000,B3284,全馬データ!$C$2:$C$50000,C3284,全馬データ!$D$2:$D$50000,E3284,全馬データ!$K$2:$K$50000,"&lt;&gt;")=0,"",SUMIFS(全馬データ!$K$2:$K$50000,全馬データ!$A$2:$A$50000,A3284,全馬データ!$B$2:$B$50000,B3284,全馬データ!$C$2:$C$50000,C3284,全馬データ!$D$2:$D$50000,E3284)))</f>
        <v/>
      </c>
      <c r="AP3284" s="8" t="str">
        <f aca="false">IF(A3284="","",IF(AO3284="","欠損",IF(AO3284&lt;=1.1,"1.0～1.1",IF(AO3284&lt;1.3,"1.2",IF(AO3284&lt;1.5,"1.3～1.4",IF(AO3284&lt;2,"1.5～1.9","2.0以上"))))))</f>
        <v/>
      </c>
      <c r="AQ3284" s="8" t="str">
        <f aca="false">IF(A3284="","",IF(ISNUMBER(SEARCH("2歳",Z3284)),"2歳戦",IF(ISNUMBER(SEARCH("3歳未勝利",Z3284)),"3歳未勝利",IF(ISNUMBER(SEARCH("未勝利",Z3284)),"その他未勝利",IF(ISNUMBER(SEARCH("G1",Z3284)),"G1",IF(ISNUMBER(SEARCH("G2",Z3284)),"G2",IF(ISNUMBER(SEARCH("G3",Z3284)),"G3",IF(ISNUMBER(SEARCH("古馬条件",Z3284)),"古馬条件戦",IF(ISNUMBER(SEARCH("重賞",Z3284)),"重賞","分類不能")))))))))</f>
        <v/>
      </c>
    </row>
    <row r="3285" customFormat="false" ht="15.75" hidden="false" customHeight="false" outlineLevel="0" collapsed="false">
      <c r="AO3285" s="8" t="str">
        <f aca="false">IF(A3285="","",IF(COUNTIFS(全馬データ!$A$2:$A$50000,A3285,全馬データ!$B$2:$B$50000,B3285,全馬データ!$C$2:$C$50000,C3285,全馬データ!$D$2:$D$50000,E3285,全馬データ!$K$2:$K$50000,"&lt;&gt;")=0,"",SUMIFS(全馬データ!$K$2:$K$50000,全馬データ!$A$2:$A$50000,A3285,全馬データ!$B$2:$B$50000,B3285,全馬データ!$C$2:$C$50000,C3285,全馬データ!$D$2:$D$50000,E3285)))</f>
        <v/>
      </c>
      <c r="AP3285" s="8" t="str">
        <f aca="false">IF(A3285="","",IF(AO3285="","欠損",IF(AO3285&lt;=1.1,"1.0～1.1",IF(AO3285&lt;1.3,"1.2",IF(AO3285&lt;1.5,"1.3～1.4",IF(AO3285&lt;2,"1.5～1.9","2.0以上"))))))</f>
        <v/>
      </c>
      <c r="AQ3285" s="8" t="str">
        <f aca="false">IF(A3285="","",IF(ISNUMBER(SEARCH("2歳",Z3285)),"2歳戦",IF(ISNUMBER(SEARCH("3歳未勝利",Z3285)),"3歳未勝利",IF(ISNUMBER(SEARCH("未勝利",Z3285)),"その他未勝利",IF(ISNUMBER(SEARCH("G1",Z3285)),"G1",IF(ISNUMBER(SEARCH("G2",Z3285)),"G2",IF(ISNUMBER(SEARCH("G3",Z3285)),"G3",IF(ISNUMBER(SEARCH("古馬条件",Z3285)),"古馬条件戦",IF(ISNUMBER(SEARCH("重賞",Z3285)),"重賞","分類不能")))))))))</f>
        <v/>
      </c>
    </row>
    <row r="3286" customFormat="false" ht="15.75" hidden="false" customHeight="false" outlineLevel="0" collapsed="false">
      <c r="AO3286" s="8" t="str">
        <f aca="false">IF(A3286="","",IF(COUNTIFS(全馬データ!$A$2:$A$50000,A3286,全馬データ!$B$2:$B$50000,B3286,全馬データ!$C$2:$C$50000,C3286,全馬データ!$D$2:$D$50000,E3286,全馬データ!$K$2:$K$50000,"&lt;&gt;")=0,"",SUMIFS(全馬データ!$K$2:$K$50000,全馬データ!$A$2:$A$50000,A3286,全馬データ!$B$2:$B$50000,B3286,全馬データ!$C$2:$C$50000,C3286,全馬データ!$D$2:$D$50000,E3286)))</f>
        <v/>
      </c>
      <c r="AP3286" s="8" t="str">
        <f aca="false">IF(A3286="","",IF(AO3286="","欠損",IF(AO3286&lt;=1.1,"1.0～1.1",IF(AO3286&lt;1.3,"1.2",IF(AO3286&lt;1.5,"1.3～1.4",IF(AO3286&lt;2,"1.5～1.9","2.0以上"))))))</f>
        <v/>
      </c>
      <c r="AQ3286" s="8" t="str">
        <f aca="false">IF(A3286="","",IF(ISNUMBER(SEARCH("2歳",Z3286)),"2歳戦",IF(ISNUMBER(SEARCH("3歳未勝利",Z3286)),"3歳未勝利",IF(ISNUMBER(SEARCH("未勝利",Z3286)),"その他未勝利",IF(ISNUMBER(SEARCH("G1",Z3286)),"G1",IF(ISNUMBER(SEARCH("G2",Z3286)),"G2",IF(ISNUMBER(SEARCH("G3",Z3286)),"G3",IF(ISNUMBER(SEARCH("古馬条件",Z3286)),"古馬条件戦",IF(ISNUMBER(SEARCH("重賞",Z3286)),"重賞","分類不能")))))))))</f>
        <v/>
      </c>
    </row>
    <row r="3287" customFormat="false" ht="15.75" hidden="false" customHeight="false" outlineLevel="0" collapsed="false">
      <c r="AO3287" s="8" t="str">
        <f aca="false">IF(A3287="","",IF(COUNTIFS(全馬データ!$A$2:$A$50000,A3287,全馬データ!$B$2:$B$50000,B3287,全馬データ!$C$2:$C$50000,C3287,全馬データ!$D$2:$D$50000,E3287,全馬データ!$K$2:$K$50000,"&lt;&gt;")=0,"",SUMIFS(全馬データ!$K$2:$K$50000,全馬データ!$A$2:$A$50000,A3287,全馬データ!$B$2:$B$50000,B3287,全馬データ!$C$2:$C$50000,C3287,全馬データ!$D$2:$D$50000,E3287)))</f>
        <v/>
      </c>
      <c r="AP3287" s="8" t="str">
        <f aca="false">IF(A3287="","",IF(AO3287="","欠損",IF(AO3287&lt;=1.1,"1.0～1.1",IF(AO3287&lt;1.3,"1.2",IF(AO3287&lt;1.5,"1.3～1.4",IF(AO3287&lt;2,"1.5～1.9","2.0以上"))))))</f>
        <v/>
      </c>
      <c r="AQ3287" s="8" t="str">
        <f aca="false">IF(A3287="","",IF(ISNUMBER(SEARCH("2歳",Z3287)),"2歳戦",IF(ISNUMBER(SEARCH("3歳未勝利",Z3287)),"3歳未勝利",IF(ISNUMBER(SEARCH("未勝利",Z3287)),"その他未勝利",IF(ISNUMBER(SEARCH("G1",Z3287)),"G1",IF(ISNUMBER(SEARCH("G2",Z3287)),"G2",IF(ISNUMBER(SEARCH("G3",Z3287)),"G3",IF(ISNUMBER(SEARCH("古馬条件",Z3287)),"古馬条件戦",IF(ISNUMBER(SEARCH("重賞",Z3287)),"重賞","分類不能")))))))))</f>
        <v/>
      </c>
    </row>
    <row r="3288" customFormat="false" ht="15.75" hidden="false" customHeight="false" outlineLevel="0" collapsed="false">
      <c r="AO3288" s="8" t="str">
        <f aca="false">IF(A3288="","",IF(COUNTIFS(全馬データ!$A$2:$A$50000,A3288,全馬データ!$B$2:$B$50000,B3288,全馬データ!$C$2:$C$50000,C3288,全馬データ!$D$2:$D$50000,E3288,全馬データ!$K$2:$K$50000,"&lt;&gt;")=0,"",SUMIFS(全馬データ!$K$2:$K$50000,全馬データ!$A$2:$A$50000,A3288,全馬データ!$B$2:$B$50000,B3288,全馬データ!$C$2:$C$50000,C3288,全馬データ!$D$2:$D$50000,E3288)))</f>
        <v/>
      </c>
      <c r="AP3288" s="8" t="str">
        <f aca="false">IF(A3288="","",IF(AO3288="","欠損",IF(AO3288&lt;=1.1,"1.0～1.1",IF(AO3288&lt;1.3,"1.2",IF(AO3288&lt;1.5,"1.3～1.4",IF(AO3288&lt;2,"1.5～1.9","2.0以上"))))))</f>
        <v/>
      </c>
      <c r="AQ3288" s="8" t="str">
        <f aca="false">IF(A3288="","",IF(ISNUMBER(SEARCH("2歳",Z3288)),"2歳戦",IF(ISNUMBER(SEARCH("3歳未勝利",Z3288)),"3歳未勝利",IF(ISNUMBER(SEARCH("未勝利",Z3288)),"その他未勝利",IF(ISNUMBER(SEARCH("G1",Z3288)),"G1",IF(ISNUMBER(SEARCH("G2",Z3288)),"G2",IF(ISNUMBER(SEARCH("G3",Z3288)),"G3",IF(ISNUMBER(SEARCH("古馬条件",Z3288)),"古馬条件戦",IF(ISNUMBER(SEARCH("重賞",Z3288)),"重賞","分類不能")))))))))</f>
        <v/>
      </c>
    </row>
    <row r="3289" customFormat="false" ht="15.75" hidden="false" customHeight="false" outlineLevel="0" collapsed="false">
      <c r="AO3289" s="8" t="str">
        <f aca="false">IF(A3289="","",IF(COUNTIFS(全馬データ!$A$2:$A$50000,A3289,全馬データ!$B$2:$B$50000,B3289,全馬データ!$C$2:$C$50000,C3289,全馬データ!$D$2:$D$50000,E3289,全馬データ!$K$2:$K$50000,"&lt;&gt;")=0,"",SUMIFS(全馬データ!$K$2:$K$50000,全馬データ!$A$2:$A$50000,A3289,全馬データ!$B$2:$B$50000,B3289,全馬データ!$C$2:$C$50000,C3289,全馬データ!$D$2:$D$50000,E3289)))</f>
        <v/>
      </c>
      <c r="AP3289" s="8" t="str">
        <f aca="false">IF(A3289="","",IF(AO3289="","欠損",IF(AO3289&lt;=1.1,"1.0～1.1",IF(AO3289&lt;1.3,"1.2",IF(AO3289&lt;1.5,"1.3～1.4",IF(AO3289&lt;2,"1.5～1.9","2.0以上"))))))</f>
        <v/>
      </c>
      <c r="AQ3289" s="8" t="str">
        <f aca="false">IF(A3289="","",IF(ISNUMBER(SEARCH("2歳",Z3289)),"2歳戦",IF(ISNUMBER(SEARCH("3歳未勝利",Z3289)),"3歳未勝利",IF(ISNUMBER(SEARCH("未勝利",Z3289)),"その他未勝利",IF(ISNUMBER(SEARCH("G1",Z3289)),"G1",IF(ISNUMBER(SEARCH("G2",Z3289)),"G2",IF(ISNUMBER(SEARCH("G3",Z3289)),"G3",IF(ISNUMBER(SEARCH("古馬条件",Z3289)),"古馬条件戦",IF(ISNUMBER(SEARCH("重賞",Z3289)),"重賞","分類不能")))))))))</f>
        <v/>
      </c>
    </row>
    <row r="3290" customFormat="false" ht="15.75" hidden="false" customHeight="false" outlineLevel="0" collapsed="false">
      <c r="AO3290" s="8" t="str">
        <f aca="false">IF(A3290="","",IF(COUNTIFS(全馬データ!$A$2:$A$50000,A3290,全馬データ!$B$2:$B$50000,B3290,全馬データ!$C$2:$C$50000,C3290,全馬データ!$D$2:$D$50000,E3290,全馬データ!$K$2:$K$50000,"&lt;&gt;")=0,"",SUMIFS(全馬データ!$K$2:$K$50000,全馬データ!$A$2:$A$50000,A3290,全馬データ!$B$2:$B$50000,B3290,全馬データ!$C$2:$C$50000,C3290,全馬データ!$D$2:$D$50000,E3290)))</f>
        <v/>
      </c>
      <c r="AP3290" s="8" t="str">
        <f aca="false">IF(A3290="","",IF(AO3290="","欠損",IF(AO3290&lt;=1.1,"1.0～1.1",IF(AO3290&lt;1.3,"1.2",IF(AO3290&lt;1.5,"1.3～1.4",IF(AO3290&lt;2,"1.5～1.9","2.0以上"))))))</f>
        <v/>
      </c>
      <c r="AQ3290" s="8" t="str">
        <f aca="false">IF(A3290="","",IF(ISNUMBER(SEARCH("2歳",Z3290)),"2歳戦",IF(ISNUMBER(SEARCH("3歳未勝利",Z3290)),"3歳未勝利",IF(ISNUMBER(SEARCH("未勝利",Z3290)),"その他未勝利",IF(ISNUMBER(SEARCH("G1",Z3290)),"G1",IF(ISNUMBER(SEARCH("G2",Z3290)),"G2",IF(ISNUMBER(SEARCH("G3",Z3290)),"G3",IF(ISNUMBER(SEARCH("古馬条件",Z3290)),"古馬条件戦",IF(ISNUMBER(SEARCH("重賞",Z3290)),"重賞","分類不能")))))))))</f>
        <v/>
      </c>
    </row>
    <row r="3291" customFormat="false" ht="15.75" hidden="false" customHeight="false" outlineLevel="0" collapsed="false">
      <c r="AO3291" s="8" t="str">
        <f aca="false">IF(A3291="","",IF(COUNTIFS(全馬データ!$A$2:$A$50000,A3291,全馬データ!$B$2:$B$50000,B3291,全馬データ!$C$2:$C$50000,C3291,全馬データ!$D$2:$D$50000,E3291,全馬データ!$K$2:$K$50000,"&lt;&gt;")=0,"",SUMIFS(全馬データ!$K$2:$K$50000,全馬データ!$A$2:$A$50000,A3291,全馬データ!$B$2:$B$50000,B3291,全馬データ!$C$2:$C$50000,C3291,全馬データ!$D$2:$D$50000,E3291)))</f>
        <v/>
      </c>
      <c r="AP3291" s="8" t="str">
        <f aca="false">IF(A3291="","",IF(AO3291="","欠損",IF(AO3291&lt;=1.1,"1.0～1.1",IF(AO3291&lt;1.3,"1.2",IF(AO3291&lt;1.5,"1.3～1.4",IF(AO3291&lt;2,"1.5～1.9","2.0以上"))))))</f>
        <v/>
      </c>
      <c r="AQ3291" s="8" t="str">
        <f aca="false">IF(A3291="","",IF(ISNUMBER(SEARCH("2歳",Z3291)),"2歳戦",IF(ISNUMBER(SEARCH("3歳未勝利",Z3291)),"3歳未勝利",IF(ISNUMBER(SEARCH("未勝利",Z3291)),"その他未勝利",IF(ISNUMBER(SEARCH("G1",Z3291)),"G1",IF(ISNUMBER(SEARCH("G2",Z3291)),"G2",IF(ISNUMBER(SEARCH("G3",Z3291)),"G3",IF(ISNUMBER(SEARCH("古馬条件",Z3291)),"古馬条件戦",IF(ISNUMBER(SEARCH("重賞",Z3291)),"重賞","分類不能")))))))))</f>
        <v/>
      </c>
    </row>
    <row r="3292" customFormat="false" ht="15.75" hidden="false" customHeight="false" outlineLevel="0" collapsed="false">
      <c r="AO3292" s="8" t="str">
        <f aca="false">IF(A3292="","",IF(COUNTIFS(全馬データ!$A$2:$A$50000,A3292,全馬データ!$B$2:$B$50000,B3292,全馬データ!$C$2:$C$50000,C3292,全馬データ!$D$2:$D$50000,E3292,全馬データ!$K$2:$K$50000,"&lt;&gt;")=0,"",SUMIFS(全馬データ!$K$2:$K$50000,全馬データ!$A$2:$A$50000,A3292,全馬データ!$B$2:$B$50000,B3292,全馬データ!$C$2:$C$50000,C3292,全馬データ!$D$2:$D$50000,E3292)))</f>
        <v/>
      </c>
      <c r="AP3292" s="8" t="str">
        <f aca="false">IF(A3292="","",IF(AO3292="","欠損",IF(AO3292&lt;=1.1,"1.0～1.1",IF(AO3292&lt;1.3,"1.2",IF(AO3292&lt;1.5,"1.3～1.4",IF(AO3292&lt;2,"1.5～1.9","2.0以上"))))))</f>
        <v/>
      </c>
      <c r="AQ3292" s="8" t="str">
        <f aca="false">IF(A3292="","",IF(ISNUMBER(SEARCH("2歳",Z3292)),"2歳戦",IF(ISNUMBER(SEARCH("3歳未勝利",Z3292)),"3歳未勝利",IF(ISNUMBER(SEARCH("未勝利",Z3292)),"その他未勝利",IF(ISNUMBER(SEARCH("G1",Z3292)),"G1",IF(ISNUMBER(SEARCH("G2",Z3292)),"G2",IF(ISNUMBER(SEARCH("G3",Z3292)),"G3",IF(ISNUMBER(SEARCH("古馬条件",Z3292)),"古馬条件戦",IF(ISNUMBER(SEARCH("重賞",Z3292)),"重賞","分類不能")))))))))</f>
        <v/>
      </c>
    </row>
    <row r="3293" customFormat="false" ht="15.75" hidden="false" customHeight="false" outlineLevel="0" collapsed="false">
      <c r="AO3293" s="8" t="str">
        <f aca="false">IF(A3293="","",IF(COUNTIFS(全馬データ!$A$2:$A$50000,A3293,全馬データ!$B$2:$B$50000,B3293,全馬データ!$C$2:$C$50000,C3293,全馬データ!$D$2:$D$50000,E3293,全馬データ!$K$2:$K$50000,"&lt;&gt;")=0,"",SUMIFS(全馬データ!$K$2:$K$50000,全馬データ!$A$2:$A$50000,A3293,全馬データ!$B$2:$B$50000,B3293,全馬データ!$C$2:$C$50000,C3293,全馬データ!$D$2:$D$50000,E3293)))</f>
        <v/>
      </c>
      <c r="AP3293" s="8" t="str">
        <f aca="false">IF(A3293="","",IF(AO3293="","欠損",IF(AO3293&lt;=1.1,"1.0～1.1",IF(AO3293&lt;1.3,"1.2",IF(AO3293&lt;1.5,"1.3～1.4",IF(AO3293&lt;2,"1.5～1.9","2.0以上"))))))</f>
        <v/>
      </c>
      <c r="AQ3293" s="8" t="str">
        <f aca="false">IF(A3293="","",IF(ISNUMBER(SEARCH("2歳",Z3293)),"2歳戦",IF(ISNUMBER(SEARCH("3歳未勝利",Z3293)),"3歳未勝利",IF(ISNUMBER(SEARCH("未勝利",Z3293)),"その他未勝利",IF(ISNUMBER(SEARCH("G1",Z3293)),"G1",IF(ISNUMBER(SEARCH("G2",Z3293)),"G2",IF(ISNUMBER(SEARCH("G3",Z3293)),"G3",IF(ISNUMBER(SEARCH("古馬条件",Z3293)),"古馬条件戦",IF(ISNUMBER(SEARCH("重賞",Z3293)),"重賞","分類不能")))))))))</f>
        <v/>
      </c>
    </row>
    <row r="3294" customFormat="false" ht="15.75" hidden="false" customHeight="false" outlineLevel="0" collapsed="false">
      <c r="AO3294" s="8" t="str">
        <f aca="false">IF(A3294="","",IF(COUNTIFS(全馬データ!$A$2:$A$50000,A3294,全馬データ!$B$2:$B$50000,B3294,全馬データ!$C$2:$C$50000,C3294,全馬データ!$D$2:$D$50000,E3294,全馬データ!$K$2:$K$50000,"&lt;&gt;")=0,"",SUMIFS(全馬データ!$K$2:$K$50000,全馬データ!$A$2:$A$50000,A3294,全馬データ!$B$2:$B$50000,B3294,全馬データ!$C$2:$C$50000,C3294,全馬データ!$D$2:$D$50000,E3294)))</f>
        <v/>
      </c>
      <c r="AP3294" s="8" t="str">
        <f aca="false">IF(A3294="","",IF(AO3294="","欠損",IF(AO3294&lt;=1.1,"1.0～1.1",IF(AO3294&lt;1.3,"1.2",IF(AO3294&lt;1.5,"1.3～1.4",IF(AO3294&lt;2,"1.5～1.9","2.0以上"))))))</f>
        <v/>
      </c>
      <c r="AQ3294" s="8" t="str">
        <f aca="false">IF(A3294="","",IF(ISNUMBER(SEARCH("2歳",Z3294)),"2歳戦",IF(ISNUMBER(SEARCH("3歳未勝利",Z3294)),"3歳未勝利",IF(ISNUMBER(SEARCH("未勝利",Z3294)),"その他未勝利",IF(ISNUMBER(SEARCH("G1",Z3294)),"G1",IF(ISNUMBER(SEARCH("G2",Z3294)),"G2",IF(ISNUMBER(SEARCH("G3",Z3294)),"G3",IF(ISNUMBER(SEARCH("古馬条件",Z3294)),"古馬条件戦",IF(ISNUMBER(SEARCH("重賞",Z3294)),"重賞","分類不能")))))))))</f>
        <v/>
      </c>
    </row>
    <row r="3295" customFormat="false" ht="15.75" hidden="false" customHeight="false" outlineLevel="0" collapsed="false">
      <c r="AO3295" s="8" t="str">
        <f aca="false">IF(A3295="","",IF(COUNTIFS(全馬データ!$A$2:$A$50000,A3295,全馬データ!$B$2:$B$50000,B3295,全馬データ!$C$2:$C$50000,C3295,全馬データ!$D$2:$D$50000,E3295,全馬データ!$K$2:$K$50000,"&lt;&gt;")=0,"",SUMIFS(全馬データ!$K$2:$K$50000,全馬データ!$A$2:$A$50000,A3295,全馬データ!$B$2:$B$50000,B3295,全馬データ!$C$2:$C$50000,C3295,全馬データ!$D$2:$D$50000,E3295)))</f>
        <v/>
      </c>
      <c r="AP3295" s="8" t="str">
        <f aca="false">IF(A3295="","",IF(AO3295="","欠損",IF(AO3295&lt;=1.1,"1.0～1.1",IF(AO3295&lt;1.3,"1.2",IF(AO3295&lt;1.5,"1.3～1.4",IF(AO3295&lt;2,"1.5～1.9","2.0以上"))))))</f>
        <v/>
      </c>
      <c r="AQ3295" s="8" t="str">
        <f aca="false">IF(A3295="","",IF(ISNUMBER(SEARCH("2歳",Z3295)),"2歳戦",IF(ISNUMBER(SEARCH("3歳未勝利",Z3295)),"3歳未勝利",IF(ISNUMBER(SEARCH("未勝利",Z3295)),"その他未勝利",IF(ISNUMBER(SEARCH("G1",Z3295)),"G1",IF(ISNUMBER(SEARCH("G2",Z3295)),"G2",IF(ISNUMBER(SEARCH("G3",Z3295)),"G3",IF(ISNUMBER(SEARCH("古馬条件",Z3295)),"古馬条件戦",IF(ISNUMBER(SEARCH("重賞",Z3295)),"重賞","分類不能")))))))))</f>
        <v/>
      </c>
    </row>
    <row r="3296" customFormat="false" ht="15.75" hidden="false" customHeight="false" outlineLevel="0" collapsed="false">
      <c r="AO3296" s="8" t="str">
        <f aca="false">IF(A3296="","",IF(COUNTIFS(全馬データ!$A$2:$A$50000,A3296,全馬データ!$B$2:$B$50000,B3296,全馬データ!$C$2:$C$50000,C3296,全馬データ!$D$2:$D$50000,E3296,全馬データ!$K$2:$K$50000,"&lt;&gt;")=0,"",SUMIFS(全馬データ!$K$2:$K$50000,全馬データ!$A$2:$A$50000,A3296,全馬データ!$B$2:$B$50000,B3296,全馬データ!$C$2:$C$50000,C3296,全馬データ!$D$2:$D$50000,E3296)))</f>
        <v/>
      </c>
      <c r="AP3296" s="8" t="str">
        <f aca="false">IF(A3296="","",IF(AO3296="","欠損",IF(AO3296&lt;=1.1,"1.0～1.1",IF(AO3296&lt;1.3,"1.2",IF(AO3296&lt;1.5,"1.3～1.4",IF(AO3296&lt;2,"1.5～1.9","2.0以上"))))))</f>
        <v/>
      </c>
      <c r="AQ3296" s="8" t="str">
        <f aca="false">IF(A3296="","",IF(ISNUMBER(SEARCH("2歳",Z3296)),"2歳戦",IF(ISNUMBER(SEARCH("3歳未勝利",Z3296)),"3歳未勝利",IF(ISNUMBER(SEARCH("未勝利",Z3296)),"その他未勝利",IF(ISNUMBER(SEARCH("G1",Z3296)),"G1",IF(ISNUMBER(SEARCH("G2",Z3296)),"G2",IF(ISNUMBER(SEARCH("G3",Z3296)),"G3",IF(ISNUMBER(SEARCH("古馬条件",Z3296)),"古馬条件戦",IF(ISNUMBER(SEARCH("重賞",Z3296)),"重賞","分類不能")))))))))</f>
        <v/>
      </c>
    </row>
    <row r="3297" customFormat="false" ht="15.75" hidden="false" customHeight="false" outlineLevel="0" collapsed="false">
      <c r="AO3297" s="8" t="str">
        <f aca="false">IF(A3297="","",IF(COUNTIFS(全馬データ!$A$2:$A$50000,A3297,全馬データ!$B$2:$B$50000,B3297,全馬データ!$C$2:$C$50000,C3297,全馬データ!$D$2:$D$50000,E3297,全馬データ!$K$2:$K$50000,"&lt;&gt;")=0,"",SUMIFS(全馬データ!$K$2:$K$50000,全馬データ!$A$2:$A$50000,A3297,全馬データ!$B$2:$B$50000,B3297,全馬データ!$C$2:$C$50000,C3297,全馬データ!$D$2:$D$50000,E3297)))</f>
        <v/>
      </c>
      <c r="AP3297" s="8" t="str">
        <f aca="false">IF(A3297="","",IF(AO3297="","欠損",IF(AO3297&lt;=1.1,"1.0～1.1",IF(AO3297&lt;1.3,"1.2",IF(AO3297&lt;1.5,"1.3～1.4",IF(AO3297&lt;2,"1.5～1.9","2.0以上"))))))</f>
        <v/>
      </c>
      <c r="AQ3297" s="8" t="str">
        <f aca="false">IF(A3297="","",IF(ISNUMBER(SEARCH("2歳",Z3297)),"2歳戦",IF(ISNUMBER(SEARCH("3歳未勝利",Z3297)),"3歳未勝利",IF(ISNUMBER(SEARCH("未勝利",Z3297)),"その他未勝利",IF(ISNUMBER(SEARCH("G1",Z3297)),"G1",IF(ISNUMBER(SEARCH("G2",Z3297)),"G2",IF(ISNUMBER(SEARCH("G3",Z3297)),"G3",IF(ISNUMBER(SEARCH("古馬条件",Z3297)),"古馬条件戦",IF(ISNUMBER(SEARCH("重賞",Z3297)),"重賞","分類不能")))))))))</f>
        <v/>
      </c>
    </row>
    <row r="3298" customFormat="false" ht="15.75" hidden="false" customHeight="false" outlineLevel="0" collapsed="false">
      <c r="AO3298" s="8" t="str">
        <f aca="false">IF(A3298="","",IF(COUNTIFS(全馬データ!$A$2:$A$50000,A3298,全馬データ!$B$2:$B$50000,B3298,全馬データ!$C$2:$C$50000,C3298,全馬データ!$D$2:$D$50000,E3298,全馬データ!$K$2:$K$50000,"&lt;&gt;")=0,"",SUMIFS(全馬データ!$K$2:$K$50000,全馬データ!$A$2:$A$50000,A3298,全馬データ!$B$2:$B$50000,B3298,全馬データ!$C$2:$C$50000,C3298,全馬データ!$D$2:$D$50000,E3298)))</f>
        <v/>
      </c>
      <c r="AP3298" s="8" t="str">
        <f aca="false">IF(A3298="","",IF(AO3298="","欠損",IF(AO3298&lt;=1.1,"1.0～1.1",IF(AO3298&lt;1.3,"1.2",IF(AO3298&lt;1.5,"1.3～1.4",IF(AO3298&lt;2,"1.5～1.9","2.0以上"))))))</f>
        <v/>
      </c>
      <c r="AQ3298" s="8" t="str">
        <f aca="false">IF(A3298="","",IF(ISNUMBER(SEARCH("2歳",Z3298)),"2歳戦",IF(ISNUMBER(SEARCH("3歳未勝利",Z3298)),"3歳未勝利",IF(ISNUMBER(SEARCH("未勝利",Z3298)),"その他未勝利",IF(ISNUMBER(SEARCH("G1",Z3298)),"G1",IF(ISNUMBER(SEARCH("G2",Z3298)),"G2",IF(ISNUMBER(SEARCH("G3",Z3298)),"G3",IF(ISNUMBER(SEARCH("古馬条件",Z3298)),"古馬条件戦",IF(ISNUMBER(SEARCH("重賞",Z3298)),"重賞","分類不能")))))))))</f>
        <v/>
      </c>
    </row>
    <row r="3299" customFormat="false" ht="15.75" hidden="false" customHeight="false" outlineLevel="0" collapsed="false">
      <c r="AO3299" s="8" t="str">
        <f aca="false">IF(A3299="","",IF(COUNTIFS(全馬データ!$A$2:$A$50000,A3299,全馬データ!$B$2:$B$50000,B3299,全馬データ!$C$2:$C$50000,C3299,全馬データ!$D$2:$D$50000,E3299,全馬データ!$K$2:$K$50000,"&lt;&gt;")=0,"",SUMIFS(全馬データ!$K$2:$K$50000,全馬データ!$A$2:$A$50000,A3299,全馬データ!$B$2:$B$50000,B3299,全馬データ!$C$2:$C$50000,C3299,全馬データ!$D$2:$D$50000,E3299)))</f>
        <v/>
      </c>
      <c r="AP3299" s="8" t="str">
        <f aca="false">IF(A3299="","",IF(AO3299="","欠損",IF(AO3299&lt;=1.1,"1.0～1.1",IF(AO3299&lt;1.3,"1.2",IF(AO3299&lt;1.5,"1.3～1.4",IF(AO3299&lt;2,"1.5～1.9","2.0以上"))))))</f>
        <v/>
      </c>
      <c r="AQ3299" s="8" t="str">
        <f aca="false">IF(A3299="","",IF(ISNUMBER(SEARCH("2歳",Z3299)),"2歳戦",IF(ISNUMBER(SEARCH("3歳未勝利",Z3299)),"3歳未勝利",IF(ISNUMBER(SEARCH("未勝利",Z3299)),"その他未勝利",IF(ISNUMBER(SEARCH("G1",Z3299)),"G1",IF(ISNUMBER(SEARCH("G2",Z3299)),"G2",IF(ISNUMBER(SEARCH("G3",Z3299)),"G3",IF(ISNUMBER(SEARCH("古馬条件",Z3299)),"古馬条件戦",IF(ISNUMBER(SEARCH("重賞",Z3299)),"重賞","分類不能")))))))))</f>
        <v/>
      </c>
    </row>
    <row r="3300" customFormat="false" ht="15.75" hidden="false" customHeight="false" outlineLevel="0" collapsed="false">
      <c r="AO3300" s="8" t="str">
        <f aca="false">IF(A3300="","",IF(COUNTIFS(全馬データ!$A$2:$A$50000,A3300,全馬データ!$B$2:$B$50000,B3300,全馬データ!$C$2:$C$50000,C3300,全馬データ!$D$2:$D$50000,E3300,全馬データ!$K$2:$K$50000,"&lt;&gt;")=0,"",SUMIFS(全馬データ!$K$2:$K$50000,全馬データ!$A$2:$A$50000,A3300,全馬データ!$B$2:$B$50000,B3300,全馬データ!$C$2:$C$50000,C3300,全馬データ!$D$2:$D$50000,E3300)))</f>
        <v/>
      </c>
      <c r="AP3300" s="8" t="str">
        <f aca="false">IF(A3300="","",IF(AO3300="","欠損",IF(AO3300&lt;=1.1,"1.0～1.1",IF(AO3300&lt;1.3,"1.2",IF(AO3300&lt;1.5,"1.3～1.4",IF(AO3300&lt;2,"1.5～1.9","2.0以上"))))))</f>
        <v/>
      </c>
      <c r="AQ3300" s="8" t="str">
        <f aca="false">IF(A3300="","",IF(ISNUMBER(SEARCH("2歳",Z3300)),"2歳戦",IF(ISNUMBER(SEARCH("3歳未勝利",Z3300)),"3歳未勝利",IF(ISNUMBER(SEARCH("未勝利",Z3300)),"その他未勝利",IF(ISNUMBER(SEARCH("G1",Z3300)),"G1",IF(ISNUMBER(SEARCH("G2",Z3300)),"G2",IF(ISNUMBER(SEARCH("G3",Z3300)),"G3",IF(ISNUMBER(SEARCH("古馬条件",Z3300)),"古馬条件戦",IF(ISNUMBER(SEARCH("重賞",Z3300)),"重賞","分類不能")))))))))</f>
        <v/>
      </c>
    </row>
    <row r="3301" customFormat="false" ht="15.75" hidden="false" customHeight="false" outlineLevel="0" collapsed="false">
      <c r="AO3301" s="8" t="str">
        <f aca="false">IF(A3301="","",IF(COUNTIFS(全馬データ!$A$2:$A$50000,A3301,全馬データ!$B$2:$B$50000,B3301,全馬データ!$C$2:$C$50000,C3301,全馬データ!$D$2:$D$50000,E3301,全馬データ!$K$2:$K$50000,"&lt;&gt;")=0,"",SUMIFS(全馬データ!$K$2:$K$50000,全馬データ!$A$2:$A$50000,A3301,全馬データ!$B$2:$B$50000,B3301,全馬データ!$C$2:$C$50000,C3301,全馬データ!$D$2:$D$50000,E3301)))</f>
        <v/>
      </c>
      <c r="AP3301" s="8" t="str">
        <f aca="false">IF(A3301="","",IF(AO3301="","欠損",IF(AO3301&lt;=1.1,"1.0～1.1",IF(AO3301&lt;1.3,"1.2",IF(AO3301&lt;1.5,"1.3～1.4",IF(AO3301&lt;2,"1.5～1.9","2.0以上"))))))</f>
        <v/>
      </c>
      <c r="AQ3301" s="8" t="str">
        <f aca="false">IF(A3301="","",IF(ISNUMBER(SEARCH("2歳",Z3301)),"2歳戦",IF(ISNUMBER(SEARCH("3歳未勝利",Z3301)),"3歳未勝利",IF(ISNUMBER(SEARCH("未勝利",Z3301)),"その他未勝利",IF(ISNUMBER(SEARCH("G1",Z3301)),"G1",IF(ISNUMBER(SEARCH("G2",Z3301)),"G2",IF(ISNUMBER(SEARCH("G3",Z3301)),"G3",IF(ISNUMBER(SEARCH("古馬条件",Z3301)),"古馬条件戦",IF(ISNUMBER(SEARCH("重賞",Z3301)),"重賞","分類不能")))))))))</f>
        <v/>
      </c>
    </row>
    <row r="3302" customFormat="false" ht="15.75" hidden="false" customHeight="false" outlineLevel="0" collapsed="false">
      <c r="AO3302" s="8" t="str">
        <f aca="false">IF(A3302="","",IF(COUNTIFS(全馬データ!$A$2:$A$50000,A3302,全馬データ!$B$2:$B$50000,B3302,全馬データ!$C$2:$C$50000,C3302,全馬データ!$D$2:$D$50000,E3302,全馬データ!$K$2:$K$50000,"&lt;&gt;")=0,"",SUMIFS(全馬データ!$K$2:$K$50000,全馬データ!$A$2:$A$50000,A3302,全馬データ!$B$2:$B$50000,B3302,全馬データ!$C$2:$C$50000,C3302,全馬データ!$D$2:$D$50000,E3302)))</f>
        <v/>
      </c>
      <c r="AP3302" s="8" t="str">
        <f aca="false">IF(A3302="","",IF(AO3302="","欠損",IF(AO3302&lt;=1.1,"1.0～1.1",IF(AO3302&lt;1.3,"1.2",IF(AO3302&lt;1.5,"1.3～1.4",IF(AO3302&lt;2,"1.5～1.9","2.0以上"))))))</f>
        <v/>
      </c>
      <c r="AQ3302" s="8" t="str">
        <f aca="false">IF(A3302="","",IF(ISNUMBER(SEARCH("2歳",Z3302)),"2歳戦",IF(ISNUMBER(SEARCH("3歳未勝利",Z3302)),"3歳未勝利",IF(ISNUMBER(SEARCH("未勝利",Z3302)),"その他未勝利",IF(ISNUMBER(SEARCH("G1",Z3302)),"G1",IF(ISNUMBER(SEARCH("G2",Z3302)),"G2",IF(ISNUMBER(SEARCH("G3",Z3302)),"G3",IF(ISNUMBER(SEARCH("古馬条件",Z3302)),"古馬条件戦",IF(ISNUMBER(SEARCH("重賞",Z3302)),"重賞","分類不能")))))))))</f>
        <v/>
      </c>
    </row>
    <row r="3303" customFormat="false" ht="15.75" hidden="false" customHeight="false" outlineLevel="0" collapsed="false">
      <c r="AO3303" s="8" t="str">
        <f aca="false">IF(A3303="","",IF(COUNTIFS(全馬データ!$A$2:$A$50000,A3303,全馬データ!$B$2:$B$50000,B3303,全馬データ!$C$2:$C$50000,C3303,全馬データ!$D$2:$D$50000,E3303,全馬データ!$K$2:$K$50000,"&lt;&gt;")=0,"",SUMIFS(全馬データ!$K$2:$K$50000,全馬データ!$A$2:$A$50000,A3303,全馬データ!$B$2:$B$50000,B3303,全馬データ!$C$2:$C$50000,C3303,全馬データ!$D$2:$D$50000,E3303)))</f>
        <v/>
      </c>
      <c r="AP3303" s="8" t="str">
        <f aca="false">IF(A3303="","",IF(AO3303="","欠損",IF(AO3303&lt;=1.1,"1.0～1.1",IF(AO3303&lt;1.3,"1.2",IF(AO3303&lt;1.5,"1.3～1.4",IF(AO3303&lt;2,"1.5～1.9","2.0以上"))))))</f>
        <v/>
      </c>
      <c r="AQ3303" s="8" t="str">
        <f aca="false">IF(A3303="","",IF(ISNUMBER(SEARCH("2歳",Z3303)),"2歳戦",IF(ISNUMBER(SEARCH("3歳未勝利",Z3303)),"3歳未勝利",IF(ISNUMBER(SEARCH("未勝利",Z3303)),"その他未勝利",IF(ISNUMBER(SEARCH("G1",Z3303)),"G1",IF(ISNUMBER(SEARCH("G2",Z3303)),"G2",IF(ISNUMBER(SEARCH("G3",Z3303)),"G3",IF(ISNUMBER(SEARCH("古馬条件",Z3303)),"古馬条件戦",IF(ISNUMBER(SEARCH("重賞",Z3303)),"重賞","分類不能")))))))))</f>
        <v/>
      </c>
    </row>
    <row r="3304" customFormat="false" ht="15.75" hidden="false" customHeight="false" outlineLevel="0" collapsed="false">
      <c r="AO3304" s="8" t="str">
        <f aca="false">IF(A3304="","",IF(COUNTIFS(全馬データ!$A$2:$A$50000,A3304,全馬データ!$B$2:$B$50000,B3304,全馬データ!$C$2:$C$50000,C3304,全馬データ!$D$2:$D$50000,E3304,全馬データ!$K$2:$K$50000,"&lt;&gt;")=0,"",SUMIFS(全馬データ!$K$2:$K$50000,全馬データ!$A$2:$A$50000,A3304,全馬データ!$B$2:$B$50000,B3304,全馬データ!$C$2:$C$50000,C3304,全馬データ!$D$2:$D$50000,E3304)))</f>
        <v/>
      </c>
      <c r="AP3304" s="8" t="str">
        <f aca="false">IF(A3304="","",IF(AO3304="","欠損",IF(AO3304&lt;=1.1,"1.0～1.1",IF(AO3304&lt;1.3,"1.2",IF(AO3304&lt;1.5,"1.3～1.4",IF(AO3304&lt;2,"1.5～1.9","2.0以上"))))))</f>
        <v/>
      </c>
      <c r="AQ3304" s="8" t="str">
        <f aca="false">IF(A3304="","",IF(ISNUMBER(SEARCH("2歳",Z3304)),"2歳戦",IF(ISNUMBER(SEARCH("3歳未勝利",Z3304)),"3歳未勝利",IF(ISNUMBER(SEARCH("未勝利",Z3304)),"その他未勝利",IF(ISNUMBER(SEARCH("G1",Z3304)),"G1",IF(ISNUMBER(SEARCH("G2",Z3304)),"G2",IF(ISNUMBER(SEARCH("G3",Z3304)),"G3",IF(ISNUMBER(SEARCH("古馬条件",Z3304)),"古馬条件戦",IF(ISNUMBER(SEARCH("重賞",Z3304)),"重賞","分類不能")))))))))</f>
        <v/>
      </c>
    </row>
    <row r="3305" customFormat="false" ht="15.75" hidden="false" customHeight="false" outlineLevel="0" collapsed="false">
      <c r="AO3305" s="8" t="str">
        <f aca="false">IF(A3305="","",IF(COUNTIFS(全馬データ!$A$2:$A$50000,A3305,全馬データ!$B$2:$B$50000,B3305,全馬データ!$C$2:$C$50000,C3305,全馬データ!$D$2:$D$50000,E3305,全馬データ!$K$2:$K$50000,"&lt;&gt;")=0,"",SUMIFS(全馬データ!$K$2:$K$50000,全馬データ!$A$2:$A$50000,A3305,全馬データ!$B$2:$B$50000,B3305,全馬データ!$C$2:$C$50000,C3305,全馬データ!$D$2:$D$50000,E3305)))</f>
        <v/>
      </c>
      <c r="AP3305" s="8" t="str">
        <f aca="false">IF(A3305="","",IF(AO3305="","欠損",IF(AO3305&lt;=1.1,"1.0～1.1",IF(AO3305&lt;1.3,"1.2",IF(AO3305&lt;1.5,"1.3～1.4",IF(AO3305&lt;2,"1.5～1.9","2.0以上"))))))</f>
        <v/>
      </c>
      <c r="AQ3305" s="8" t="str">
        <f aca="false">IF(A3305="","",IF(ISNUMBER(SEARCH("2歳",Z3305)),"2歳戦",IF(ISNUMBER(SEARCH("3歳未勝利",Z3305)),"3歳未勝利",IF(ISNUMBER(SEARCH("未勝利",Z3305)),"その他未勝利",IF(ISNUMBER(SEARCH("G1",Z3305)),"G1",IF(ISNUMBER(SEARCH("G2",Z3305)),"G2",IF(ISNUMBER(SEARCH("G3",Z3305)),"G3",IF(ISNUMBER(SEARCH("古馬条件",Z3305)),"古馬条件戦",IF(ISNUMBER(SEARCH("重賞",Z3305)),"重賞","分類不能")))))))))</f>
        <v/>
      </c>
    </row>
    <row r="3306" customFormat="false" ht="15.75" hidden="false" customHeight="false" outlineLevel="0" collapsed="false">
      <c r="AO3306" s="8" t="str">
        <f aca="false">IF(A3306="","",IF(COUNTIFS(全馬データ!$A$2:$A$50000,A3306,全馬データ!$B$2:$B$50000,B3306,全馬データ!$C$2:$C$50000,C3306,全馬データ!$D$2:$D$50000,E3306,全馬データ!$K$2:$K$50000,"&lt;&gt;")=0,"",SUMIFS(全馬データ!$K$2:$K$50000,全馬データ!$A$2:$A$50000,A3306,全馬データ!$B$2:$B$50000,B3306,全馬データ!$C$2:$C$50000,C3306,全馬データ!$D$2:$D$50000,E3306)))</f>
        <v/>
      </c>
      <c r="AP3306" s="8" t="str">
        <f aca="false">IF(A3306="","",IF(AO3306="","欠損",IF(AO3306&lt;=1.1,"1.0～1.1",IF(AO3306&lt;1.3,"1.2",IF(AO3306&lt;1.5,"1.3～1.4",IF(AO3306&lt;2,"1.5～1.9","2.0以上"))))))</f>
        <v/>
      </c>
      <c r="AQ3306" s="8" t="str">
        <f aca="false">IF(A3306="","",IF(ISNUMBER(SEARCH("2歳",Z3306)),"2歳戦",IF(ISNUMBER(SEARCH("3歳未勝利",Z3306)),"3歳未勝利",IF(ISNUMBER(SEARCH("未勝利",Z3306)),"その他未勝利",IF(ISNUMBER(SEARCH("G1",Z3306)),"G1",IF(ISNUMBER(SEARCH("G2",Z3306)),"G2",IF(ISNUMBER(SEARCH("G3",Z3306)),"G3",IF(ISNUMBER(SEARCH("古馬条件",Z3306)),"古馬条件戦",IF(ISNUMBER(SEARCH("重賞",Z3306)),"重賞","分類不能")))))))))</f>
        <v/>
      </c>
    </row>
    <row r="3307" customFormat="false" ht="15.75" hidden="false" customHeight="false" outlineLevel="0" collapsed="false">
      <c r="AO3307" s="8" t="str">
        <f aca="false">IF(A3307="","",IF(COUNTIFS(全馬データ!$A$2:$A$50000,A3307,全馬データ!$B$2:$B$50000,B3307,全馬データ!$C$2:$C$50000,C3307,全馬データ!$D$2:$D$50000,E3307,全馬データ!$K$2:$K$50000,"&lt;&gt;")=0,"",SUMIFS(全馬データ!$K$2:$K$50000,全馬データ!$A$2:$A$50000,A3307,全馬データ!$B$2:$B$50000,B3307,全馬データ!$C$2:$C$50000,C3307,全馬データ!$D$2:$D$50000,E3307)))</f>
        <v/>
      </c>
      <c r="AP3307" s="8" t="str">
        <f aca="false">IF(A3307="","",IF(AO3307="","欠損",IF(AO3307&lt;=1.1,"1.0～1.1",IF(AO3307&lt;1.3,"1.2",IF(AO3307&lt;1.5,"1.3～1.4",IF(AO3307&lt;2,"1.5～1.9","2.0以上"))))))</f>
        <v/>
      </c>
      <c r="AQ3307" s="8" t="str">
        <f aca="false">IF(A3307="","",IF(ISNUMBER(SEARCH("2歳",Z3307)),"2歳戦",IF(ISNUMBER(SEARCH("3歳未勝利",Z3307)),"3歳未勝利",IF(ISNUMBER(SEARCH("未勝利",Z3307)),"その他未勝利",IF(ISNUMBER(SEARCH("G1",Z3307)),"G1",IF(ISNUMBER(SEARCH("G2",Z3307)),"G2",IF(ISNUMBER(SEARCH("G3",Z3307)),"G3",IF(ISNUMBER(SEARCH("古馬条件",Z3307)),"古馬条件戦",IF(ISNUMBER(SEARCH("重賞",Z3307)),"重賞","分類不能")))))))))</f>
        <v/>
      </c>
    </row>
    <row r="3308" customFormat="false" ht="15.75" hidden="false" customHeight="false" outlineLevel="0" collapsed="false">
      <c r="AO3308" s="8" t="str">
        <f aca="false">IF(A3308="","",IF(COUNTIFS(全馬データ!$A$2:$A$50000,A3308,全馬データ!$B$2:$B$50000,B3308,全馬データ!$C$2:$C$50000,C3308,全馬データ!$D$2:$D$50000,E3308,全馬データ!$K$2:$K$50000,"&lt;&gt;")=0,"",SUMIFS(全馬データ!$K$2:$K$50000,全馬データ!$A$2:$A$50000,A3308,全馬データ!$B$2:$B$50000,B3308,全馬データ!$C$2:$C$50000,C3308,全馬データ!$D$2:$D$50000,E3308)))</f>
        <v/>
      </c>
      <c r="AP3308" s="8" t="str">
        <f aca="false">IF(A3308="","",IF(AO3308="","欠損",IF(AO3308&lt;=1.1,"1.0～1.1",IF(AO3308&lt;1.3,"1.2",IF(AO3308&lt;1.5,"1.3～1.4",IF(AO3308&lt;2,"1.5～1.9","2.0以上"))))))</f>
        <v/>
      </c>
      <c r="AQ3308" s="8" t="str">
        <f aca="false">IF(A3308="","",IF(ISNUMBER(SEARCH("2歳",Z3308)),"2歳戦",IF(ISNUMBER(SEARCH("3歳未勝利",Z3308)),"3歳未勝利",IF(ISNUMBER(SEARCH("未勝利",Z3308)),"その他未勝利",IF(ISNUMBER(SEARCH("G1",Z3308)),"G1",IF(ISNUMBER(SEARCH("G2",Z3308)),"G2",IF(ISNUMBER(SEARCH("G3",Z3308)),"G3",IF(ISNUMBER(SEARCH("古馬条件",Z3308)),"古馬条件戦",IF(ISNUMBER(SEARCH("重賞",Z3308)),"重賞","分類不能")))))))))</f>
        <v/>
      </c>
    </row>
    <row r="3309" customFormat="false" ht="15.75" hidden="false" customHeight="false" outlineLevel="0" collapsed="false">
      <c r="AO3309" s="8" t="str">
        <f aca="false">IF(A3309="","",IF(COUNTIFS(全馬データ!$A$2:$A$50000,A3309,全馬データ!$B$2:$B$50000,B3309,全馬データ!$C$2:$C$50000,C3309,全馬データ!$D$2:$D$50000,E3309,全馬データ!$K$2:$K$50000,"&lt;&gt;")=0,"",SUMIFS(全馬データ!$K$2:$K$50000,全馬データ!$A$2:$A$50000,A3309,全馬データ!$B$2:$B$50000,B3309,全馬データ!$C$2:$C$50000,C3309,全馬データ!$D$2:$D$50000,E3309)))</f>
        <v/>
      </c>
      <c r="AP3309" s="8" t="str">
        <f aca="false">IF(A3309="","",IF(AO3309="","欠損",IF(AO3309&lt;=1.1,"1.0～1.1",IF(AO3309&lt;1.3,"1.2",IF(AO3309&lt;1.5,"1.3～1.4",IF(AO3309&lt;2,"1.5～1.9","2.0以上"))))))</f>
        <v/>
      </c>
      <c r="AQ3309" s="8" t="str">
        <f aca="false">IF(A3309="","",IF(ISNUMBER(SEARCH("2歳",Z3309)),"2歳戦",IF(ISNUMBER(SEARCH("3歳未勝利",Z3309)),"3歳未勝利",IF(ISNUMBER(SEARCH("未勝利",Z3309)),"その他未勝利",IF(ISNUMBER(SEARCH("G1",Z3309)),"G1",IF(ISNUMBER(SEARCH("G2",Z3309)),"G2",IF(ISNUMBER(SEARCH("G3",Z3309)),"G3",IF(ISNUMBER(SEARCH("古馬条件",Z3309)),"古馬条件戦",IF(ISNUMBER(SEARCH("重賞",Z3309)),"重賞","分類不能")))))))))</f>
        <v/>
      </c>
    </row>
    <row r="3310" customFormat="false" ht="15.75" hidden="false" customHeight="false" outlineLevel="0" collapsed="false">
      <c r="AO3310" s="8" t="str">
        <f aca="false">IF(A3310="","",IF(COUNTIFS(全馬データ!$A$2:$A$50000,A3310,全馬データ!$B$2:$B$50000,B3310,全馬データ!$C$2:$C$50000,C3310,全馬データ!$D$2:$D$50000,E3310,全馬データ!$K$2:$K$50000,"&lt;&gt;")=0,"",SUMIFS(全馬データ!$K$2:$K$50000,全馬データ!$A$2:$A$50000,A3310,全馬データ!$B$2:$B$50000,B3310,全馬データ!$C$2:$C$50000,C3310,全馬データ!$D$2:$D$50000,E3310)))</f>
        <v/>
      </c>
      <c r="AP3310" s="8" t="str">
        <f aca="false">IF(A3310="","",IF(AO3310="","欠損",IF(AO3310&lt;=1.1,"1.0～1.1",IF(AO3310&lt;1.3,"1.2",IF(AO3310&lt;1.5,"1.3～1.4",IF(AO3310&lt;2,"1.5～1.9","2.0以上"))))))</f>
        <v/>
      </c>
      <c r="AQ3310" s="8" t="str">
        <f aca="false">IF(A3310="","",IF(ISNUMBER(SEARCH("2歳",Z3310)),"2歳戦",IF(ISNUMBER(SEARCH("3歳未勝利",Z3310)),"3歳未勝利",IF(ISNUMBER(SEARCH("未勝利",Z3310)),"その他未勝利",IF(ISNUMBER(SEARCH("G1",Z3310)),"G1",IF(ISNUMBER(SEARCH("G2",Z3310)),"G2",IF(ISNUMBER(SEARCH("G3",Z3310)),"G3",IF(ISNUMBER(SEARCH("古馬条件",Z3310)),"古馬条件戦",IF(ISNUMBER(SEARCH("重賞",Z3310)),"重賞","分類不能")))))))))</f>
        <v/>
      </c>
    </row>
    <row r="3311" customFormat="false" ht="15.75" hidden="false" customHeight="false" outlineLevel="0" collapsed="false">
      <c r="AO3311" s="8" t="str">
        <f aca="false">IF(A3311="","",IF(COUNTIFS(全馬データ!$A$2:$A$50000,A3311,全馬データ!$B$2:$B$50000,B3311,全馬データ!$C$2:$C$50000,C3311,全馬データ!$D$2:$D$50000,E3311,全馬データ!$K$2:$K$50000,"&lt;&gt;")=0,"",SUMIFS(全馬データ!$K$2:$K$50000,全馬データ!$A$2:$A$50000,A3311,全馬データ!$B$2:$B$50000,B3311,全馬データ!$C$2:$C$50000,C3311,全馬データ!$D$2:$D$50000,E3311)))</f>
        <v/>
      </c>
      <c r="AP3311" s="8" t="str">
        <f aca="false">IF(A3311="","",IF(AO3311="","欠損",IF(AO3311&lt;=1.1,"1.0～1.1",IF(AO3311&lt;1.3,"1.2",IF(AO3311&lt;1.5,"1.3～1.4",IF(AO3311&lt;2,"1.5～1.9","2.0以上"))))))</f>
        <v/>
      </c>
      <c r="AQ3311" s="8" t="str">
        <f aca="false">IF(A3311="","",IF(ISNUMBER(SEARCH("2歳",Z3311)),"2歳戦",IF(ISNUMBER(SEARCH("3歳未勝利",Z3311)),"3歳未勝利",IF(ISNUMBER(SEARCH("未勝利",Z3311)),"その他未勝利",IF(ISNUMBER(SEARCH("G1",Z3311)),"G1",IF(ISNUMBER(SEARCH("G2",Z3311)),"G2",IF(ISNUMBER(SEARCH("G3",Z3311)),"G3",IF(ISNUMBER(SEARCH("古馬条件",Z3311)),"古馬条件戦",IF(ISNUMBER(SEARCH("重賞",Z3311)),"重賞","分類不能")))))))))</f>
        <v/>
      </c>
    </row>
    <row r="3312" customFormat="false" ht="15.75" hidden="false" customHeight="false" outlineLevel="0" collapsed="false">
      <c r="AO3312" s="8" t="str">
        <f aca="false">IF(A3312="","",IF(COUNTIFS(全馬データ!$A$2:$A$50000,A3312,全馬データ!$B$2:$B$50000,B3312,全馬データ!$C$2:$C$50000,C3312,全馬データ!$D$2:$D$50000,E3312,全馬データ!$K$2:$K$50000,"&lt;&gt;")=0,"",SUMIFS(全馬データ!$K$2:$K$50000,全馬データ!$A$2:$A$50000,A3312,全馬データ!$B$2:$B$50000,B3312,全馬データ!$C$2:$C$50000,C3312,全馬データ!$D$2:$D$50000,E3312)))</f>
        <v/>
      </c>
      <c r="AP3312" s="8" t="str">
        <f aca="false">IF(A3312="","",IF(AO3312="","欠損",IF(AO3312&lt;=1.1,"1.0～1.1",IF(AO3312&lt;1.3,"1.2",IF(AO3312&lt;1.5,"1.3～1.4",IF(AO3312&lt;2,"1.5～1.9","2.0以上"))))))</f>
        <v/>
      </c>
      <c r="AQ3312" s="8" t="str">
        <f aca="false">IF(A3312="","",IF(ISNUMBER(SEARCH("2歳",Z3312)),"2歳戦",IF(ISNUMBER(SEARCH("3歳未勝利",Z3312)),"3歳未勝利",IF(ISNUMBER(SEARCH("未勝利",Z3312)),"その他未勝利",IF(ISNUMBER(SEARCH("G1",Z3312)),"G1",IF(ISNUMBER(SEARCH("G2",Z3312)),"G2",IF(ISNUMBER(SEARCH("G3",Z3312)),"G3",IF(ISNUMBER(SEARCH("古馬条件",Z3312)),"古馬条件戦",IF(ISNUMBER(SEARCH("重賞",Z3312)),"重賞","分類不能")))))))))</f>
        <v/>
      </c>
    </row>
    <row r="3313" customFormat="false" ht="15.75" hidden="false" customHeight="false" outlineLevel="0" collapsed="false">
      <c r="AO3313" s="8" t="str">
        <f aca="false">IF(A3313="","",IF(COUNTIFS(全馬データ!$A$2:$A$50000,A3313,全馬データ!$B$2:$B$50000,B3313,全馬データ!$C$2:$C$50000,C3313,全馬データ!$D$2:$D$50000,E3313,全馬データ!$K$2:$K$50000,"&lt;&gt;")=0,"",SUMIFS(全馬データ!$K$2:$K$50000,全馬データ!$A$2:$A$50000,A3313,全馬データ!$B$2:$B$50000,B3313,全馬データ!$C$2:$C$50000,C3313,全馬データ!$D$2:$D$50000,E3313)))</f>
        <v/>
      </c>
      <c r="AP3313" s="8" t="str">
        <f aca="false">IF(A3313="","",IF(AO3313="","欠損",IF(AO3313&lt;=1.1,"1.0～1.1",IF(AO3313&lt;1.3,"1.2",IF(AO3313&lt;1.5,"1.3～1.4",IF(AO3313&lt;2,"1.5～1.9","2.0以上"))))))</f>
        <v/>
      </c>
      <c r="AQ3313" s="8" t="str">
        <f aca="false">IF(A3313="","",IF(ISNUMBER(SEARCH("2歳",Z3313)),"2歳戦",IF(ISNUMBER(SEARCH("3歳未勝利",Z3313)),"3歳未勝利",IF(ISNUMBER(SEARCH("未勝利",Z3313)),"その他未勝利",IF(ISNUMBER(SEARCH("G1",Z3313)),"G1",IF(ISNUMBER(SEARCH("G2",Z3313)),"G2",IF(ISNUMBER(SEARCH("G3",Z3313)),"G3",IF(ISNUMBER(SEARCH("古馬条件",Z3313)),"古馬条件戦",IF(ISNUMBER(SEARCH("重賞",Z3313)),"重賞","分類不能")))))))))</f>
        <v/>
      </c>
    </row>
    <row r="3314" customFormat="false" ht="15.75" hidden="false" customHeight="false" outlineLevel="0" collapsed="false">
      <c r="AO3314" s="8" t="str">
        <f aca="false">IF(A3314="","",IF(COUNTIFS(全馬データ!$A$2:$A$50000,A3314,全馬データ!$B$2:$B$50000,B3314,全馬データ!$C$2:$C$50000,C3314,全馬データ!$D$2:$D$50000,E3314,全馬データ!$K$2:$K$50000,"&lt;&gt;")=0,"",SUMIFS(全馬データ!$K$2:$K$50000,全馬データ!$A$2:$A$50000,A3314,全馬データ!$B$2:$B$50000,B3314,全馬データ!$C$2:$C$50000,C3314,全馬データ!$D$2:$D$50000,E3314)))</f>
        <v/>
      </c>
      <c r="AP3314" s="8" t="str">
        <f aca="false">IF(A3314="","",IF(AO3314="","欠損",IF(AO3314&lt;=1.1,"1.0～1.1",IF(AO3314&lt;1.3,"1.2",IF(AO3314&lt;1.5,"1.3～1.4",IF(AO3314&lt;2,"1.5～1.9","2.0以上"))))))</f>
        <v/>
      </c>
      <c r="AQ3314" s="8" t="str">
        <f aca="false">IF(A3314="","",IF(ISNUMBER(SEARCH("2歳",Z3314)),"2歳戦",IF(ISNUMBER(SEARCH("3歳未勝利",Z3314)),"3歳未勝利",IF(ISNUMBER(SEARCH("未勝利",Z3314)),"その他未勝利",IF(ISNUMBER(SEARCH("G1",Z3314)),"G1",IF(ISNUMBER(SEARCH("G2",Z3314)),"G2",IF(ISNUMBER(SEARCH("G3",Z3314)),"G3",IF(ISNUMBER(SEARCH("古馬条件",Z3314)),"古馬条件戦",IF(ISNUMBER(SEARCH("重賞",Z3314)),"重賞","分類不能")))))))))</f>
        <v/>
      </c>
    </row>
    <row r="3315" customFormat="false" ht="15.75" hidden="false" customHeight="false" outlineLevel="0" collapsed="false">
      <c r="AO3315" s="8" t="str">
        <f aca="false">IF(A3315="","",IF(COUNTIFS(全馬データ!$A$2:$A$50000,A3315,全馬データ!$B$2:$B$50000,B3315,全馬データ!$C$2:$C$50000,C3315,全馬データ!$D$2:$D$50000,E3315,全馬データ!$K$2:$K$50000,"&lt;&gt;")=0,"",SUMIFS(全馬データ!$K$2:$K$50000,全馬データ!$A$2:$A$50000,A3315,全馬データ!$B$2:$B$50000,B3315,全馬データ!$C$2:$C$50000,C3315,全馬データ!$D$2:$D$50000,E3315)))</f>
        <v/>
      </c>
      <c r="AP3315" s="8" t="str">
        <f aca="false">IF(A3315="","",IF(AO3315="","欠損",IF(AO3315&lt;=1.1,"1.0～1.1",IF(AO3315&lt;1.3,"1.2",IF(AO3315&lt;1.5,"1.3～1.4",IF(AO3315&lt;2,"1.5～1.9","2.0以上"))))))</f>
        <v/>
      </c>
      <c r="AQ3315" s="8" t="str">
        <f aca="false">IF(A3315="","",IF(ISNUMBER(SEARCH("2歳",Z3315)),"2歳戦",IF(ISNUMBER(SEARCH("3歳未勝利",Z3315)),"3歳未勝利",IF(ISNUMBER(SEARCH("未勝利",Z3315)),"その他未勝利",IF(ISNUMBER(SEARCH("G1",Z3315)),"G1",IF(ISNUMBER(SEARCH("G2",Z3315)),"G2",IF(ISNUMBER(SEARCH("G3",Z3315)),"G3",IF(ISNUMBER(SEARCH("古馬条件",Z3315)),"古馬条件戦",IF(ISNUMBER(SEARCH("重賞",Z3315)),"重賞","分類不能")))))))))</f>
        <v/>
      </c>
    </row>
    <row r="3316" customFormat="false" ht="15.75" hidden="false" customHeight="false" outlineLevel="0" collapsed="false">
      <c r="AO3316" s="8" t="str">
        <f aca="false">IF(A3316="","",IF(COUNTIFS(全馬データ!$A$2:$A$50000,A3316,全馬データ!$B$2:$B$50000,B3316,全馬データ!$C$2:$C$50000,C3316,全馬データ!$D$2:$D$50000,E3316,全馬データ!$K$2:$K$50000,"&lt;&gt;")=0,"",SUMIFS(全馬データ!$K$2:$K$50000,全馬データ!$A$2:$A$50000,A3316,全馬データ!$B$2:$B$50000,B3316,全馬データ!$C$2:$C$50000,C3316,全馬データ!$D$2:$D$50000,E3316)))</f>
        <v/>
      </c>
      <c r="AP3316" s="8" t="str">
        <f aca="false">IF(A3316="","",IF(AO3316="","欠損",IF(AO3316&lt;=1.1,"1.0～1.1",IF(AO3316&lt;1.3,"1.2",IF(AO3316&lt;1.5,"1.3～1.4",IF(AO3316&lt;2,"1.5～1.9","2.0以上"))))))</f>
        <v/>
      </c>
      <c r="AQ3316" s="8" t="str">
        <f aca="false">IF(A3316="","",IF(ISNUMBER(SEARCH("2歳",Z3316)),"2歳戦",IF(ISNUMBER(SEARCH("3歳未勝利",Z3316)),"3歳未勝利",IF(ISNUMBER(SEARCH("未勝利",Z3316)),"その他未勝利",IF(ISNUMBER(SEARCH("G1",Z3316)),"G1",IF(ISNUMBER(SEARCH("G2",Z3316)),"G2",IF(ISNUMBER(SEARCH("G3",Z3316)),"G3",IF(ISNUMBER(SEARCH("古馬条件",Z3316)),"古馬条件戦",IF(ISNUMBER(SEARCH("重賞",Z3316)),"重賞","分類不能")))))))))</f>
        <v/>
      </c>
    </row>
    <row r="3317" customFormat="false" ht="15.75" hidden="false" customHeight="false" outlineLevel="0" collapsed="false">
      <c r="AO3317" s="8" t="str">
        <f aca="false">IF(A3317="","",IF(COUNTIFS(全馬データ!$A$2:$A$50000,A3317,全馬データ!$B$2:$B$50000,B3317,全馬データ!$C$2:$C$50000,C3317,全馬データ!$D$2:$D$50000,E3317,全馬データ!$K$2:$K$50000,"&lt;&gt;")=0,"",SUMIFS(全馬データ!$K$2:$K$50000,全馬データ!$A$2:$A$50000,A3317,全馬データ!$B$2:$B$50000,B3317,全馬データ!$C$2:$C$50000,C3317,全馬データ!$D$2:$D$50000,E3317)))</f>
        <v/>
      </c>
      <c r="AP3317" s="8" t="str">
        <f aca="false">IF(A3317="","",IF(AO3317="","欠損",IF(AO3317&lt;=1.1,"1.0～1.1",IF(AO3317&lt;1.3,"1.2",IF(AO3317&lt;1.5,"1.3～1.4",IF(AO3317&lt;2,"1.5～1.9","2.0以上"))))))</f>
        <v/>
      </c>
      <c r="AQ3317" s="8" t="str">
        <f aca="false">IF(A3317="","",IF(ISNUMBER(SEARCH("2歳",Z3317)),"2歳戦",IF(ISNUMBER(SEARCH("3歳未勝利",Z3317)),"3歳未勝利",IF(ISNUMBER(SEARCH("未勝利",Z3317)),"その他未勝利",IF(ISNUMBER(SEARCH("G1",Z3317)),"G1",IF(ISNUMBER(SEARCH("G2",Z3317)),"G2",IF(ISNUMBER(SEARCH("G3",Z3317)),"G3",IF(ISNUMBER(SEARCH("古馬条件",Z3317)),"古馬条件戦",IF(ISNUMBER(SEARCH("重賞",Z3317)),"重賞","分類不能")))))))))</f>
        <v/>
      </c>
    </row>
    <row r="3318" customFormat="false" ht="15.75" hidden="false" customHeight="false" outlineLevel="0" collapsed="false">
      <c r="AO3318" s="8" t="str">
        <f aca="false">IF(A3318="","",IF(COUNTIFS(全馬データ!$A$2:$A$50000,A3318,全馬データ!$B$2:$B$50000,B3318,全馬データ!$C$2:$C$50000,C3318,全馬データ!$D$2:$D$50000,E3318,全馬データ!$K$2:$K$50000,"&lt;&gt;")=0,"",SUMIFS(全馬データ!$K$2:$K$50000,全馬データ!$A$2:$A$50000,A3318,全馬データ!$B$2:$B$50000,B3318,全馬データ!$C$2:$C$50000,C3318,全馬データ!$D$2:$D$50000,E3318)))</f>
        <v/>
      </c>
      <c r="AP3318" s="8" t="str">
        <f aca="false">IF(A3318="","",IF(AO3318="","欠損",IF(AO3318&lt;=1.1,"1.0～1.1",IF(AO3318&lt;1.3,"1.2",IF(AO3318&lt;1.5,"1.3～1.4",IF(AO3318&lt;2,"1.5～1.9","2.0以上"))))))</f>
        <v/>
      </c>
      <c r="AQ3318" s="8" t="str">
        <f aca="false">IF(A3318="","",IF(ISNUMBER(SEARCH("2歳",Z3318)),"2歳戦",IF(ISNUMBER(SEARCH("3歳未勝利",Z3318)),"3歳未勝利",IF(ISNUMBER(SEARCH("未勝利",Z3318)),"その他未勝利",IF(ISNUMBER(SEARCH("G1",Z3318)),"G1",IF(ISNUMBER(SEARCH("G2",Z3318)),"G2",IF(ISNUMBER(SEARCH("G3",Z3318)),"G3",IF(ISNUMBER(SEARCH("古馬条件",Z3318)),"古馬条件戦",IF(ISNUMBER(SEARCH("重賞",Z3318)),"重賞","分類不能")))))))))</f>
        <v/>
      </c>
    </row>
    <row r="3319" customFormat="false" ht="15.75" hidden="false" customHeight="false" outlineLevel="0" collapsed="false">
      <c r="AO3319" s="8" t="str">
        <f aca="false">IF(A3319="","",IF(COUNTIFS(全馬データ!$A$2:$A$50000,A3319,全馬データ!$B$2:$B$50000,B3319,全馬データ!$C$2:$C$50000,C3319,全馬データ!$D$2:$D$50000,E3319,全馬データ!$K$2:$K$50000,"&lt;&gt;")=0,"",SUMIFS(全馬データ!$K$2:$K$50000,全馬データ!$A$2:$A$50000,A3319,全馬データ!$B$2:$B$50000,B3319,全馬データ!$C$2:$C$50000,C3319,全馬データ!$D$2:$D$50000,E3319)))</f>
        <v/>
      </c>
      <c r="AP3319" s="8" t="str">
        <f aca="false">IF(A3319="","",IF(AO3319="","欠損",IF(AO3319&lt;=1.1,"1.0～1.1",IF(AO3319&lt;1.3,"1.2",IF(AO3319&lt;1.5,"1.3～1.4",IF(AO3319&lt;2,"1.5～1.9","2.0以上"))))))</f>
        <v/>
      </c>
      <c r="AQ3319" s="8" t="str">
        <f aca="false">IF(A3319="","",IF(ISNUMBER(SEARCH("2歳",Z3319)),"2歳戦",IF(ISNUMBER(SEARCH("3歳未勝利",Z3319)),"3歳未勝利",IF(ISNUMBER(SEARCH("未勝利",Z3319)),"その他未勝利",IF(ISNUMBER(SEARCH("G1",Z3319)),"G1",IF(ISNUMBER(SEARCH("G2",Z3319)),"G2",IF(ISNUMBER(SEARCH("G3",Z3319)),"G3",IF(ISNUMBER(SEARCH("古馬条件",Z3319)),"古馬条件戦",IF(ISNUMBER(SEARCH("重賞",Z3319)),"重賞","分類不能")))))))))</f>
        <v/>
      </c>
    </row>
    <row r="3320" customFormat="false" ht="15.75" hidden="false" customHeight="false" outlineLevel="0" collapsed="false">
      <c r="AO3320" s="8" t="str">
        <f aca="false">IF(A3320="","",IF(COUNTIFS(全馬データ!$A$2:$A$50000,A3320,全馬データ!$B$2:$B$50000,B3320,全馬データ!$C$2:$C$50000,C3320,全馬データ!$D$2:$D$50000,E3320,全馬データ!$K$2:$K$50000,"&lt;&gt;")=0,"",SUMIFS(全馬データ!$K$2:$K$50000,全馬データ!$A$2:$A$50000,A3320,全馬データ!$B$2:$B$50000,B3320,全馬データ!$C$2:$C$50000,C3320,全馬データ!$D$2:$D$50000,E3320)))</f>
        <v/>
      </c>
      <c r="AP3320" s="8" t="str">
        <f aca="false">IF(A3320="","",IF(AO3320="","欠損",IF(AO3320&lt;=1.1,"1.0～1.1",IF(AO3320&lt;1.3,"1.2",IF(AO3320&lt;1.5,"1.3～1.4",IF(AO3320&lt;2,"1.5～1.9","2.0以上"))))))</f>
        <v/>
      </c>
      <c r="AQ3320" s="8" t="str">
        <f aca="false">IF(A3320="","",IF(ISNUMBER(SEARCH("2歳",Z3320)),"2歳戦",IF(ISNUMBER(SEARCH("3歳未勝利",Z3320)),"3歳未勝利",IF(ISNUMBER(SEARCH("未勝利",Z3320)),"その他未勝利",IF(ISNUMBER(SEARCH("G1",Z3320)),"G1",IF(ISNUMBER(SEARCH("G2",Z3320)),"G2",IF(ISNUMBER(SEARCH("G3",Z3320)),"G3",IF(ISNUMBER(SEARCH("古馬条件",Z3320)),"古馬条件戦",IF(ISNUMBER(SEARCH("重賞",Z3320)),"重賞","分類不能")))))))))</f>
        <v/>
      </c>
    </row>
    <row r="3321" customFormat="false" ht="15.75" hidden="false" customHeight="false" outlineLevel="0" collapsed="false">
      <c r="AO3321" s="8" t="str">
        <f aca="false">IF(A3321="","",IF(COUNTIFS(全馬データ!$A$2:$A$50000,A3321,全馬データ!$B$2:$B$50000,B3321,全馬データ!$C$2:$C$50000,C3321,全馬データ!$D$2:$D$50000,E3321,全馬データ!$K$2:$K$50000,"&lt;&gt;")=0,"",SUMIFS(全馬データ!$K$2:$K$50000,全馬データ!$A$2:$A$50000,A3321,全馬データ!$B$2:$B$50000,B3321,全馬データ!$C$2:$C$50000,C3321,全馬データ!$D$2:$D$50000,E3321)))</f>
        <v/>
      </c>
      <c r="AP3321" s="8" t="str">
        <f aca="false">IF(A3321="","",IF(AO3321="","欠損",IF(AO3321&lt;=1.1,"1.0～1.1",IF(AO3321&lt;1.3,"1.2",IF(AO3321&lt;1.5,"1.3～1.4",IF(AO3321&lt;2,"1.5～1.9","2.0以上"))))))</f>
        <v/>
      </c>
      <c r="AQ3321" s="8" t="str">
        <f aca="false">IF(A3321="","",IF(ISNUMBER(SEARCH("2歳",Z3321)),"2歳戦",IF(ISNUMBER(SEARCH("3歳未勝利",Z3321)),"3歳未勝利",IF(ISNUMBER(SEARCH("未勝利",Z3321)),"その他未勝利",IF(ISNUMBER(SEARCH("G1",Z3321)),"G1",IF(ISNUMBER(SEARCH("G2",Z3321)),"G2",IF(ISNUMBER(SEARCH("G3",Z3321)),"G3",IF(ISNUMBER(SEARCH("古馬条件",Z3321)),"古馬条件戦",IF(ISNUMBER(SEARCH("重賞",Z3321)),"重賞","分類不能")))))))))</f>
        <v/>
      </c>
    </row>
    <row r="3322" customFormat="false" ht="15.75" hidden="false" customHeight="false" outlineLevel="0" collapsed="false">
      <c r="AO3322" s="8" t="str">
        <f aca="false">IF(A3322="","",IF(COUNTIFS(全馬データ!$A$2:$A$50000,A3322,全馬データ!$B$2:$B$50000,B3322,全馬データ!$C$2:$C$50000,C3322,全馬データ!$D$2:$D$50000,E3322,全馬データ!$K$2:$K$50000,"&lt;&gt;")=0,"",SUMIFS(全馬データ!$K$2:$K$50000,全馬データ!$A$2:$A$50000,A3322,全馬データ!$B$2:$B$50000,B3322,全馬データ!$C$2:$C$50000,C3322,全馬データ!$D$2:$D$50000,E3322)))</f>
        <v/>
      </c>
      <c r="AP3322" s="8" t="str">
        <f aca="false">IF(A3322="","",IF(AO3322="","欠損",IF(AO3322&lt;=1.1,"1.0～1.1",IF(AO3322&lt;1.3,"1.2",IF(AO3322&lt;1.5,"1.3～1.4",IF(AO3322&lt;2,"1.5～1.9","2.0以上"))))))</f>
        <v/>
      </c>
      <c r="AQ3322" s="8" t="str">
        <f aca="false">IF(A3322="","",IF(ISNUMBER(SEARCH("2歳",Z3322)),"2歳戦",IF(ISNUMBER(SEARCH("3歳未勝利",Z3322)),"3歳未勝利",IF(ISNUMBER(SEARCH("未勝利",Z3322)),"その他未勝利",IF(ISNUMBER(SEARCH("G1",Z3322)),"G1",IF(ISNUMBER(SEARCH("G2",Z3322)),"G2",IF(ISNUMBER(SEARCH("G3",Z3322)),"G3",IF(ISNUMBER(SEARCH("古馬条件",Z3322)),"古馬条件戦",IF(ISNUMBER(SEARCH("重賞",Z3322)),"重賞","分類不能")))))))))</f>
        <v/>
      </c>
    </row>
    <row r="3323" customFormat="false" ht="15.75" hidden="false" customHeight="false" outlineLevel="0" collapsed="false">
      <c r="AO3323" s="8" t="str">
        <f aca="false">IF(A3323="","",IF(COUNTIFS(全馬データ!$A$2:$A$50000,A3323,全馬データ!$B$2:$B$50000,B3323,全馬データ!$C$2:$C$50000,C3323,全馬データ!$D$2:$D$50000,E3323,全馬データ!$K$2:$K$50000,"&lt;&gt;")=0,"",SUMIFS(全馬データ!$K$2:$K$50000,全馬データ!$A$2:$A$50000,A3323,全馬データ!$B$2:$B$50000,B3323,全馬データ!$C$2:$C$50000,C3323,全馬データ!$D$2:$D$50000,E3323)))</f>
        <v/>
      </c>
      <c r="AP3323" s="8" t="str">
        <f aca="false">IF(A3323="","",IF(AO3323="","欠損",IF(AO3323&lt;=1.1,"1.0～1.1",IF(AO3323&lt;1.3,"1.2",IF(AO3323&lt;1.5,"1.3～1.4",IF(AO3323&lt;2,"1.5～1.9","2.0以上"))))))</f>
        <v/>
      </c>
      <c r="AQ3323" s="8" t="str">
        <f aca="false">IF(A3323="","",IF(ISNUMBER(SEARCH("2歳",Z3323)),"2歳戦",IF(ISNUMBER(SEARCH("3歳未勝利",Z3323)),"3歳未勝利",IF(ISNUMBER(SEARCH("未勝利",Z3323)),"その他未勝利",IF(ISNUMBER(SEARCH("G1",Z3323)),"G1",IF(ISNUMBER(SEARCH("G2",Z3323)),"G2",IF(ISNUMBER(SEARCH("G3",Z3323)),"G3",IF(ISNUMBER(SEARCH("古馬条件",Z3323)),"古馬条件戦",IF(ISNUMBER(SEARCH("重賞",Z3323)),"重賞","分類不能")))))))))</f>
        <v/>
      </c>
    </row>
    <row r="3324" customFormat="false" ht="15.75" hidden="false" customHeight="false" outlineLevel="0" collapsed="false">
      <c r="AO3324" s="8" t="str">
        <f aca="false">IF(A3324="","",IF(COUNTIFS(全馬データ!$A$2:$A$50000,A3324,全馬データ!$B$2:$B$50000,B3324,全馬データ!$C$2:$C$50000,C3324,全馬データ!$D$2:$D$50000,E3324,全馬データ!$K$2:$K$50000,"&lt;&gt;")=0,"",SUMIFS(全馬データ!$K$2:$K$50000,全馬データ!$A$2:$A$50000,A3324,全馬データ!$B$2:$B$50000,B3324,全馬データ!$C$2:$C$50000,C3324,全馬データ!$D$2:$D$50000,E3324)))</f>
        <v/>
      </c>
      <c r="AP3324" s="8" t="str">
        <f aca="false">IF(A3324="","",IF(AO3324="","欠損",IF(AO3324&lt;=1.1,"1.0～1.1",IF(AO3324&lt;1.3,"1.2",IF(AO3324&lt;1.5,"1.3～1.4",IF(AO3324&lt;2,"1.5～1.9","2.0以上"))))))</f>
        <v/>
      </c>
      <c r="AQ3324" s="8" t="str">
        <f aca="false">IF(A3324="","",IF(ISNUMBER(SEARCH("2歳",Z3324)),"2歳戦",IF(ISNUMBER(SEARCH("3歳未勝利",Z3324)),"3歳未勝利",IF(ISNUMBER(SEARCH("未勝利",Z3324)),"その他未勝利",IF(ISNUMBER(SEARCH("G1",Z3324)),"G1",IF(ISNUMBER(SEARCH("G2",Z3324)),"G2",IF(ISNUMBER(SEARCH("G3",Z3324)),"G3",IF(ISNUMBER(SEARCH("古馬条件",Z3324)),"古馬条件戦",IF(ISNUMBER(SEARCH("重賞",Z3324)),"重賞","分類不能")))))))))</f>
        <v/>
      </c>
    </row>
    <row r="3325" customFormat="false" ht="15.75" hidden="false" customHeight="false" outlineLevel="0" collapsed="false">
      <c r="AO3325" s="8" t="str">
        <f aca="false">IF(A3325="","",IF(COUNTIFS(全馬データ!$A$2:$A$50000,A3325,全馬データ!$B$2:$B$50000,B3325,全馬データ!$C$2:$C$50000,C3325,全馬データ!$D$2:$D$50000,E3325,全馬データ!$K$2:$K$50000,"&lt;&gt;")=0,"",SUMIFS(全馬データ!$K$2:$K$50000,全馬データ!$A$2:$A$50000,A3325,全馬データ!$B$2:$B$50000,B3325,全馬データ!$C$2:$C$50000,C3325,全馬データ!$D$2:$D$50000,E3325)))</f>
        <v/>
      </c>
      <c r="AP3325" s="8" t="str">
        <f aca="false">IF(A3325="","",IF(AO3325="","欠損",IF(AO3325&lt;=1.1,"1.0～1.1",IF(AO3325&lt;1.3,"1.2",IF(AO3325&lt;1.5,"1.3～1.4",IF(AO3325&lt;2,"1.5～1.9","2.0以上"))))))</f>
        <v/>
      </c>
      <c r="AQ3325" s="8" t="str">
        <f aca="false">IF(A3325="","",IF(ISNUMBER(SEARCH("2歳",Z3325)),"2歳戦",IF(ISNUMBER(SEARCH("3歳未勝利",Z3325)),"3歳未勝利",IF(ISNUMBER(SEARCH("未勝利",Z3325)),"その他未勝利",IF(ISNUMBER(SEARCH("G1",Z3325)),"G1",IF(ISNUMBER(SEARCH("G2",Z3325)),"G2",IF(ISNUMBER(SEARCH("G3",Z3325)),"G3",IF(ISNUMBER(SEARCH("古馬条件",Z3325)),"古馬条件戦",IF(ISNUMBER(SEARCH("重賞",Z3325)),"重賞","分類不能")))))))))</f>
        <v/>
      </c>
    </row>
    <row r="3326" customFormat="false" ht="15.75" hidden="false" customHeight="false" outlineLevel="0" collapsed="false">
      <c r="AO3326" s="8" t="str">
        <f aca="false">IF(A3326="","",IF(COUNTIFS(全馬データ!$A$2:$A$50000,A3326,全馬データ!$B$2:$B$50000,B3326,全馬データ!$C$2:$C$50000,C3326,全馬データ!$D$2:$D$50000,E3326,全馬データ!$K$2:$K$50000,"&lt;&gt;")=0,"",SUMIFS(全馬データ!$K$2:$K$50000,全馬データ!$A$2:$A$50000,A3326,全馬データ!$B$2:$B$50000,B3326,全馬データ!$C$2:$C$50000,C3326,全馬データ!$D$2:$D$50000,E3326)))</f>
        <v/>
      </c>
      <c r="AP3326" s="8" t="str">
        <f aca="false">IF(A3326="","",IF(AO3326="","欠損",IF(AO3326&lt;=1.1,"1.0～1.1",IF(AO3326&lt;1.3,"1.2",IF(AO3326&lt;1.5,"1.3～1.4",IF(AO3326&lt;2,"1.5～1.9","2.0以上"))))))</f>
        <v/>
      </c>
      <c r="AQ3326" s="8" t="str">
        <f aca="false">IF(A3326="","",IF(ISNUMBER(SEARCH("2歳",Z3326)),"2歳戦",IF(ISNUMBER(SEARCH("3歳未勝利",Z3326)),"3歳未勝利",IF(ISNUMBER(SEARCH("未勝利",Z3326)),"その他未勝利",IF(ISNUMBER(SEARCH("G1",Z3326)),"G1",IF(ISNUMBER(SEARCH("G2",Z3326)),"G2",IF(ISNUMBER(SEARCH("G3",Z3326)),"G3",IF(ISNUMBER(SEARCH("古馬条件",Z3326)),"古馬条件戦",IF(ISNUMBER(SEARCH("重賞",Z3326)),"重賞","分類不能")))))))))</f>
        <v/>
      </c>
    </row>
    <row r="3327" customFormat="false" ht="15.75" hidden="false" customHeight="false" outlineLevel="0" collapsed="false">
      <c r="AO3327" s="8" t="str">
        <f aca="false">IF(A3327="","",IF(COUNTIFS(全馬データ!$A$2:$A$50000,A3327,全馬データ!$B$2:$B$50000,B3327,全馬データ!$C$2:$C$50000,C3327,全馬データ!$D$2:$D$50000,E3327,全馬データ!$K$2:$K$50000,"&lt;&gt;")=0,"",SUMIFS(全馬データ!$K$2:$K$50000,全馬データ!$A$2:$A$50000,A3327,全馬データ!$B$2:$B$50000,B3327,全馬データ!$C$2:$C$50000,C3327,全馬データ!$D$2:$D$50000,E3327)))</f>
        <v/>
      </c>
      <c r="AP3327" s="8" t="str">
        <f aca="false">IF(A3327="","",IF(AO3327="","欠損",IF(AO3327&lt;=1.1,"1.0～1.1",IF(AO3327&lt;1.3,"1.2",IF(AO3327&lt;1.5,"1.3～1.4",IF(AO3327&lt;2,"1.5～1.9","2.0以上"))))))</f>
        <v/>
      </c>
      <c r="AQ3327" s="8" t="str">
        <f aca="false">IF(A3327="","",IF(ISNUMBER(SEARCH("2歳",Z3327)),"2歳戦",IF(ISNUMBER(SEARCH("3歳未勝利",Z3327)),"3歳未勝利",IF(ISNUMBER(SEARCH("未勝利",Z3327)),"その他未勝利",IF(ISNUMBER(SEARCH("G1",Z3327)),"G1",IF(ISNUMBER(SEARCH("G2",Z3327)),"G2",IF(ISNUMBER(SEARCH("G3",Z3327)),"G3",IF(ISNUMBER(SEARCH("古馬条件",Z3327)),"古馬条件戦",IF(ISNUMBER(SEARCH("重賞",Z3327)),"重賞","分類不能")))))))))</f>
        <v/>
      </c>
    </row>
    <row r="3328" customFormat="false" ht="15.75" hidden="false" customHeight="false" outlineLevel="0" collapsed="false">
      <c r="AO3328" s="8" t="str">
        <f aca="false">IF(A3328="","",IF(COUNTIFS(全馬データ!$A$2:$A$50000,A3328,全馬データ!$B$2:$B$50000,B3328,全馬データ!$C$2:$C$50000,C3328,全馬データ!$D$2:$D$50000,E3328,全馬データ!$K$2:$K$50000,"&lt;&gt;")=0,"",SUMIFS(全馬データ!$K$2:$K$50000,全馬データ!$A$2:$A$50000,A3328,全馬データ!$B$2:$B$50000,B3328,全馬データ!$C$2:$C$50000,C3328,全馬データ!$D$2:$D$50000,E3328)))</f>
        <v/>
      </c>
      <c r="AP3328" s="8" t="str">
        <f aca="false">IF(A3328="","",IF(AO3328="","欠損",IF(AO3328&lt;=1.1,"1.0～1.1",IF(AO3328&lt;1.3,"1.2",IF(AO3328&lt;1.5,"1.3～1.4",IF(AO3328&lt;2,"1.5～1.9","2.0以上"))))))</f>
        <v/>
      </c>
      <c r="AQ3328" s="8" t="str">
        <f aca="false">IF(A3328="","",IF(ISNUMBER(SEARCH("2歳",Z3328)),"2歳戦",IF(ISNUMBER(SEARCH("3歳未勝利",Z3328)),"3歳未勝利",IF(ISNUMBER(SEARCH("未勝利",Z3328)),"その他未勝利",IF(ISNUMBER(SEARCH("G1",Z3328)),"G1",IF(ISNUMBER(SEARCH("G2",Z3328)),"G2",IF(ISNUMBER(SEARCH("G3",Z3328)),"G3",IF(ISNUMBER(SEARCH("古馬条件",Z3328)),"古馬条件戦",IF(ISNUMBER(SEARCH("重賞",Z3328)),"重賞","分類不能")))))))))</f>
        <v/>
      </c>
    </row>
    <row r="3329" customFormat="false" ht="15.75" hidden="false" customHeight="false" outlineLevel="0" collapsed="false">
      <c r="AO3329" s="8" t="str">
        <f aca="false">IF(A3329="","",IF(COUNTIFS(全馬データ!$A$2:$A$50000,A3329,全馬データ!$B$2:$B$50000,B3329,全馬データ!$C$2:$C$50000,C3329,全馬データ!$D$2:$D$50000,E3329,全馬データ!$K$2:$K$50000,"&lt;&gt;")=0,"",SUMIFS(全馬データ!$K$2:$K$50000,全馬データ!$A$2:$A$50000,A3329,全馬データ!$B$2:$B$50000,B3329,全馬データ!$C$2:$C$50000,C3329,全馬データ!$D$2:$D$50000,E3329)))</f>
        <v/>
      </c>
      <c r="AP3329" s="8" t="str">
        <f aca="false">IF(A3329="","",IF(AO3329="","欠損",IF(AO3329&lt;=1.1,"1.0～1.1",IF(AO3329&lt;1.3,"1.2",IF(AO3329&lt;1.5,"1.3～1.4",IF(AO3329&lt;2,"1.5～1.9","2.0以上"))))))</f>
        <v/>
      </c>
      <c r="AQ3329" s="8" t="str">
        <f aca="false">IF(A3329="","",IF(ISNUMBER(SEARCH("2歳",Z3329)),"2歳戦",IF(ISNUMBER(SEARCH("3歳未勝利",Z3329)),"3歳未勝利",IF(ISNUMBER(SEARCH("未勝利",Z3329)),"その他未勝利",IF(ISNUMBER(SEARCH("G1",Z3329)),"G1",IF(ISNUMBER(SEARCH("G2",Z3329)),"G2",IF(ISNUMBER(SEARCH("G3",Z3329)),"G3",IF(ISNUMBER(SEARCH("古馬条件",Z3329)),"古馬条件戦",IF(ISNUMBER(SEARCH("重賞",Z3329)),"重賞","分類不能")))))))))</f>
        <v/>
      </c>
    </row>
    <row r="3330" customFormat="false" ht="15.75" hidden="false" customHeight="false" outlineLevel="0" collapsed="false">
      <c r="AO3330" s="8" t="str">
        <f aca="false">IF(A3330="","",IF(COUNTIFS(全馬データ!$A$2:$A$50000,A3330,全馬データ!$B$2:$B$50000,B3330,全馬データ!$C$2:$C$50000,C3330,全馬データ!$D$2:$D$50000,E3330,全馬データ!$K$2:$K$50000,"&lt;&gt;")=0,"",SUMIFS(全馬データ!$K$2:$K$50000,全馬データ!$A$2:$A$50000,A3330,全馬データ!$B$2:$B$50000,B3330,全馬データ!$C$2:$C$50000,C3330,全馬データ!$D$2:$D$50000,E3330)))</f>
        <v/>
      </c>
      <c r="AP3330" s="8" t="str">
        <f aca="false">IF(A3330="","",IF(AO3330="","欠損",IF(AO3330&lt;=1.1,"1.0～1.1",IF(AO3330&lt;1.3,"1.2",IF(AO3330&lt;1.5,"1.3～1.4",IF(AO3330&lt;2,"1.5～1.9","2.0以上"))))))</f>
        <v/>
      </c>
      <c r="AQ3330" s="8" t="str">
        <f aca="false">IF(A3330="","",IF(ISNUMBER(SEARCH("2歳",Z3330)),"2歳戦",IF(ISNUMBER(SEARCH("3歳未勝利",Z3330)),"3歳未勝利",IF(ISNUMBER(SEARCH("未勝利",Z3330)),"その他未勝利",IF(ISNUMBER(SEARCH("G1",Z3330)),"G1",IF(ISNUMBER(SEARCH("G2",Z3330)),"G2",IF(ISNUMBER(SEARCH("G3",Z3330)),"G3",IF(ISNUMBER(SEARCH("古馬条件",Z3330)),"古馬条件戦",IF(ISNUMBER(SEARCH("重賞",Z3330)),"重賞","分類不能")))))))))</f>
        <v/>
      </c>
    </row>
    <row r="3331" customFormat="false" ht="15.75" hidden="false" customHeight="false" outlineLevel="0" collapsed="false">
      <c r="AO3331" s="8" t="str">
        <f aca="false">IF(A3331="","",IF(COUNTIFS(全馬データ!$A$2:$A$50000,A3331,全馬データ!$B$2:$B$50000,B3331,全馬データ!$C$2:$C$50000,C3331,全馬データ!$D$2:$D$50000,E3331,全馬データ!$K$2:$K$50000,"&lt;&gt;")=0,"",SUMIFS(全馬データ!$K$2:$K$50000,全馬データ!$A$2:$A$50000,A3331,全馬データ!$B$2:$B$50000,B3331,全馬データ!$C$2:$C$50000,C3331,全馬データ!$D$2:$D$50000,E3331)))</f>
        <v/>
      </c>
      <c r="AP3331" s="8" t="str">
        <f aca="false">IF(A3331="","",IF(AO3331="","欠損",IF(AO3331&lt;=1.1,"1.0～1.1",IF(AO3331&lt;1.3,"1.2",IF(AO3331&lt;1.5,"1.3～1.4",IF(AO3331&lt;2,"1.5～1.9","2.0以上"))))))</f>
        <v/>
      </c>
      <c r="AQ3331" s="8" t="str">
        <f aca="false">IF(A3331="","",IF(ISNUMBER(SEARCH("2歳",Z3331)),"2歳戦",IF(ISNUMBER(SEARCH("3歳未勝利",Z3331)),"3歳未勝利",IF(ISNUMBER(SEARCH("未勝利",Z3331)),"その他未勝利",IF(ISNUMBER(SEARCH("G1",Z3331)),"G1",IF(ISNUMBER(SEARCH("G2",Z3331)),"G2",IF(ISNUMBER(SEARCH("G3",Z3331)),"G3",IF(ISNUMBER(SEARCH("古馬条件",Z3331)),"古馬条件戦",IF(ISNUMBER(SEARCH("重賞",Z3331)),"重賞","分類不能")))))))))</f>
        <v/>
      </c>
    </row>
    <row r="3332" customFormat="false" ht="15.75" hidden="false" customHeight="false" outlineLevel="0" collapsed="false">
      <c r="AO3332" s="8" t="str">
        <f aca="false">IF(A3332="","",IF(COUNTIFS(全馬データ!$A$2:$A$50000,A3332,全馬データ!$B$2:$B$50000,B3332,全馬データ!$C$2:$C$50000,C3332,全馬データ!$D$2:$D$50000,E3332,全馬データ!$K$2:$K$50000,"&lt;&gt;")=0,"",SUMIFS(全馬データ!$K$2:$K$50000,全馬データ!$A$2:$A$50000,A3332,全馬データ!$B$2:$B$50000,B3332,全馬データ!$C$2:$C$50000,C3332,全馬データ!$D$2:$D$50000,E3332)))</f>
        <v/>
      </c>
      <c r="AP3332" s="8" t="str">
        <f aca="false">IF(A3332="","",IF(AO3332="","欠損",IF(AO3332&lt;=1.1,"1.0～1.1",IF(AO3332&lt;1.3,"1.2",IF(AO3332&lt;1.5,"1.3～1.4",IF(AO3332&lt;2,"1.5～1.9","2.0以上"))))))</f>
        <v/>
      </c>
      <c r="AQ3332" s="8" t="str">
        <f aca="false">IF(A3332="","",IF(ISNUMBER(SEARCH("2歳",Z3332)),"2歳戦",IF(ISNUMBER(SEARCH("3歳未勝利",Z3332)),"3歳未勝利",IF(ISNUMBER(SEARCH("未勝利",Z3332)),"その他未勝利",IF(ISNUMBER(SEARCH("G1",Z3332)),"G1",IF(ISNUMBER(SEARCH("G2",Z3332)),"G2",IF(ISNUMBER(SEARCH("G3",Z3332)),"G3",IF(ISNUMBER(SEARCH("古馬条件",Z3332)),"古馬条件戦",IF(ISNUMBER(SEARCH("重賞",Z3332)),"重賞","分類不能")))))))))</f>
        <v/>
      </c>
    </row>
    <row r="3333" customFormat="false" ht="15.75" hidden="false" customHeight="false" outlineLevel="0" collapsed="false">
      <c r="AO3333" s="8" t="str">
        <f aca="false">IF(A3333="","",IF(COUNTIFS(全馬データ!$A$2:$A$50000,A3333,全馬データ!$B$2:$B$50000,B3333,全馬データ!$C$2:$C$50000,C3333,全馬データ!$D$2:$D$50000,E3333,全馬データ!$K$2:$K$50000,"&lt;&gt;")=0,"",SUMIFS(全馬データ!$K$2:$K$50000,全馬データ!$A$2:$A$50000,A3333,全馬データ!$B$2:$B$50000,B3333,全馬データ!$C$2:$C$50000,C3333,全馬データ!$D$2:$D$50000,E3333)))</f>
        <v/>
      </c>
      <c r="AP3333" s="8" t="str">
        <f aca="false">IF(A3333="","",IF(AO3333="","欠損",IF(AO3333&lt;=1.1,"1.0～1.1",IF(AO3333&lt;1.3,"1.2",IF(AO3333&lt;1.5,"1.3～1.4",IF(AO3333&lt;2,"1.5～1.9","2.0以上"))))))</f>
        <v/>
      </c>
      <c r="AQ3333" s="8" t="str">
        <f aca="false">IF(A3333="","",IF(ISNUMBER(SEARCH("2歳",Z3333)),"2歳戦",IF(ISNUMBER(SEARCH("3歳未勝利",Z3333)),"3歳未勝利",IF(ISNUMBER(SEARCH("未勝利",Z3333)),"その他未勝利",IF(ISNUMBER(SEARCH("G1",Z3333)),"G1",IF(ISNUMBER(SEARCH("G2",Z3333)),"G2",IF(ISNUMBER(SEARCH("G3",Z3333)),"G3",IF(ISNUMBER(SEARCH("古馬条件",Z3333)),"古馬条件戦",IF(ISNUMBER(SEARCH("重賞",Z3333)),"重賞","分類不能")))))))))</f>
        <v/>
      </c>
    </row>
    <row r="3334" customFormat="false" ht="15.75" hidden="false" customHeight="false" outlineLevel="0" collapsed="false">
      <c r="AO3334" s="8" t="str">
        <f aca="false">IF(A3334="","",IF(COUNTIFS(全馬データ!$A$2:$A$50000,A3334,全馬データ!$B$2:$B$50000,B3334,全馬データ!$C$2:$C$50000,C3334,全馬データ!$D$2:$D$50000,E3334,全馬データ!$K$2:$K$50000,"&lt;&gt;")=0,"",SUMIFS(全馬データ!$K$2:$K$50000,全馬データ!$A$2:$A$50000,A3334,全馬データ!$B$2:$B$50000,B3334,全馬データ!$C$2:$C$50000,C3334,全馬データ!$D$2:$D$50000,E3334)))</f>
        <v/>
      </c>
      <c r="AP3334" s="8" t="str">
        <f aca="false">IF(A3334="","",IF(AO3334="","欠損",IF(AO3334&lt;=1.1,"1.0～1.1",IF(AO3334&lt;1.3,"1.2",IF(AO3334&lt;1.5,"1.3～1.4",IF(AO3334&lt;2,"1.5～1.9","2.0以上"))))))</f>
        <v/>
      </c>
      <c r="AQ3334" s="8" t="str">
        <f aca="false">IF(A3334="","",IF(ISNUMBER(SEARCH("2歳",Z3334)),"2歳戦",IF(ISNUMBER(SEARCH("3歳未勝利",Z3334)),"3歳未勝利",IF(ISNUMBER(SEARCH("未勝利",Z3334)),"その他未勝利",IF(ISNUMBER(SEARCH("G1",Z3334)),"G1",IF(ISNUMBER(SEARCH("G2",Z3334)),"G2",IF(ISNUMBER(SEARCH("G3",Z3334)),"G3",IF(ISNUMBER(SEARCH("古馬条件",Z3334)),"古馬条件戦",IF(ISNUMBER(SEARCH("重賞",Z3334)),"重賞","分類不能")))))))))</f>
        <v/>
      </c>
    </row>
    <row r="3335" customFormat="false" ht="15.75" hidden="false" customHeight="false" outlineLevel="0" collapsed="false">
      <c r="AO3335" s="8" t="str">
        <f aca="false">IF(A3335="","",IF(COUNTIFS(全馬データ!$A$2:$A$50000,A3335,全馬データ!$B$2:$B$50000,B3335,全馬データ!$C$2:$C$50000,C3335,全馬データ!$D$2:$D$50000,E3335,全馬データ!$K$2:$K$50000,"&lt;&gt;")=0,"",SUMIFS(全馬データ!$K$2:$K$50000,全馬データ!$A$2:$A$50000,A3335,全馬データ!$B$2:$B$50000,B3335,全馬データ!$C$2:$C$50000,C3335,全馬データ!$D$2:$D$50000,E3335)))</f>
        <v/>
      </c>
      <c r="AP3335" s="8" t="str">
        <f aca="false">IF(A3335="","",IF(AO3335="","欠損",IF(AO3335&lt;=1.1,"1.0～1.1",IF(AO3335&lt;1.3,"1.2",IF(AO3335&lt;1.5,"1.3～1.4",IF(AO3335&lt;2,"1.5～1.9","2.0以上"))))))</f>
        <v/>
      </c>
      <c r="AQ3335" s="8" t="str">
        <f aca="false">IF(A3335="","",IF(ISNUMBER(SEARCH("2歳",Z3335)),"2歳戦",IF(ISNUMBER(SEARCH("3歳未勝利",Z3335)),"3歳未勝利",IF(ISNUMBER(SEARCH("未勝利",Z3335)),"その他未勝利",IF(ISNUMBER(SEARCH("G1",Z3335)),"G1",IF(ISNUMBER(SEARCH("G2",Z3335)),"G2",IF(ISNUMBER(SEARCH("G3",Z3335)),"G3",IF(ISNUMBER(SEARCH("古馬条件",Z3335)),"古馬条件戦",IF(ISNUMBER(SEARCH("重賞",Z3335)),"重賞","分類不能")))))))))</f>
        <v/>
      </c>
    </row>
    <row r="3336" customFormat="false" ht="15.75" hidden="false" customHeight="false" outlineLevel="0" collapsed="false">
      <c r="AO3336" s="8" t="str">
        <f aca="false">IF(A3336="","",IF(COUNTIFS(全馬データ!$A$2:$A$50000,A3336,全馬データ!$B$2:$B$50000,B3336,全馬データ!$C$2:$C$50000,C3336,全馬データ!$D$2:$D$50000,E3336,全馬データ!$K$2:$K$50000,"&lt;&gt;")=0,"",SUMIFS(全馬データ!$K$2:$K$50000,全馬データ!$A$2:$A$50000,A3336,全馬データ!$B$2:$B$50000,B3336,全馬データ!$C$2:$C$50000,C3336,全馬データ!$D$2:$D$50000,E3336)))</f>
        <v/>
      </c>
      <c r="AP3336" s="8" t="str">
        <f aca="false">IF(A3336="","",IF(AO3336="","欠損",IF(AO3336&lt;=1.1,"1.0～1.1",IF(AO3336&lt;1.3,"1.2",IF(AO3336&lt;1.5,"1.3～1.4",IF(AO3336&lt;2,"1.5～1.9","2.0以上"))))))</f>
        <v/>
      </c>
      <c r="AQ3336" s="8" t="str">
        <f aca="false">IF(A3336="","",IF(ISNUMBER(SEARCH("2歳",Z3336)),"2歳戦",IF(ISNUMBER(SEARCH("3歳未勝利",Z3336)),"3歳未勝利",IF(ISNUMBER(SEARCH("未勝利",Z3336)),"その他未勝利",IF(ISNUMBER(SEARCH("G1",Z3336)),"G1",IF(ISNUMBER(SEARCH("G2",Z3336)),"G2",IF(ISNUMBER(SEARCH("G3",Z3336)),"G3",IF(ISNUMBER(SEARCH("古馬条件",Z3336)),"古馬条件戦",IF(ISNUMBER(SEARCH("重賞",Z3336)),"重賞","分類不能")))))))))</f>
        <v/>
      </c>
    </row>
    <row r="3337" customFormat="false" ht="15.75" hidden="false" customHeight="false" outlineLevel="0" collapsed="false">
      <c r="AO3337" s="8" t="str">
        <f aca="false">IF(A3337="","",IF(COUNTIFS(全馬データ!$A$2:$A$50000,A3337,全馬データ!$B$2:$B$50000,B3337,全馬データ!$C$2:$C$50000,C3337,全馬データ!$D$2:$D$50000,E3337,全馬データ!$K$2:$K$50000,"&lt;&gt;")=0,"",SUMIFS(全馬データ!$K$2:$K$50000,全馬データ!$A$2:$A$50000,A3337,全馬データ!$B$2:$B$50000,B3337,全馬データ!$C$2:$C$50000,C3337,全馬データ!$D$2:$D$50000,E3337)))</f>
        <v/>
      </c>
      <c r="AP3337" s="8" t="str">
        <f aca="false">IF(A3337="","",IF(AO3337="","欠損",IF(AO3337&lt;=1.1,"1.0～1.1",IF(AO3337&lt;1.3,"1.2",IF(AO3337&lt;1.5,"1.3～1.4",IF(AO3337&lt;2,"1.5～1.9","2.0以上"))))))</f>
        <v/>
      </c>
      <c r="AQ3337" s="8" t="str">
        <f aca="false">IF(A3337="","",IF(ISNUMBER(SEARCH("2歳",Z3337)),"2歳戦",IF(ISNUMBER(SEARCH("3歳未勝利",Z3337)),"3歳未勝利",IF(ISNUMBER(SEARCH("未勝利",Z3337)),"その他未勝利",IF(ISNUMBER(SEARCH("G1",Z3337)),"G1",IF(ISNUMBER(SEARCH("G2",Z3337)),"G2",IF(ISNUMBER(SEARCH("G3",Z3337)),"G3",IF(ISNUMBER(SEARCH("古馬条件",Z3337)),"古馬条件戦",IF(ISNUMBER(SEARCH("重賞",Z3337)),"重賞","分類不能")))))))))</f>
        <v/>
      </c>
    </row>
    <row r="3338" customFormat="false" ht="15.75" hidden="false" customHeight="false" outlineLevel="0" collapsed="false">
      <c r="AO3338" s="8" t="str">
        <f aca="false">IF(A3338="","",IF(COUNTIFS(全馬データ!$A$2:$A$50000,A3338,全馬データ!$B$2:$B$50000,B3338,全馬データ!$C$2:$C$50000,C3338,全馬データ!$D$2:$D$50000,E3338,全馬データ!$K$2:$K$50000,"&lt;&gt;")=0,"",SUMIFS(全馬データ!$K$2:$K$50000,全馬データ!$A$2:$A$50000,A3338,全馬データ!$B$2:$B$50000,B3338,全馬データ!$C$2:$C$50000,C3338,全馬データ!$D$2:$D$50000,E3338)))</f>
        <v/>
      </c>
      <c r="AP3338" s="8" t="str">
        <f aca="false">IF(A3338="","",IF(AO3338="","欠損",IF(AO3338&lt;=1.1,"1.0～1.1",IF(AO3338&lt;1.3,"1.2",IF(AO3338&lt;1.5,"1.3～1.4",IF(AO3338&lt;2,"1.5～1.9","2.0以上"))))))</f>
        <v/>
      </c>
      <c r="AQ3338" s="8" t="str">
        <f aca="false">IF(A3338="","",IF(ISNUMBER(SEARCH("2歳",Z3338)),"2歳戦",IF(ISNUMBER(SEARCH("3歳未勝利",Z3338)),"3歳未勝利",IF(ISNUMBER(SEARCH("未勝利",Z3338)),"その他未勝利",IF(ISNUMBER(SEARCH("G1",Z3338)),"G1",IF(ISNUMBER(SEARCH("G2",Z3338)),"G2",IF(ISNUMBER(SEARCH("G3",Z3338)),"G3",IF(ISNUMBER(SEARCH("古馬条件",Z3338)),"古馬条件戦",IF(ISNUMBER(SEARCH("重賞",Z3338)),"重賞","分類不能")))))))))</f>
        <v/>
      </c>
    </row>
    <row r="3339" customFormat="false" ht="15.75" hidden="false" customHeight="false" outlineLevel="0" collapsed="false">
      <c r="AO3339" s="8" t="str">
        <f aca="false">IF(A3339="","",IF(COUNTIFS(全馬データ!$A$2:$A$50000,A3339,全馬データ!$B$2:$B$50000,B3339,全馬データ!$C$2:$C$50000,C3339,全馬データ!$D$2:$D$50000,E3339,全馬データ!$K$2:$K$50000,"&lt;&gt;")=0,"",SUMIFS(全馬データ!$K$2:$K$50000,全馬データ!$A$2:$A$50000,A3339,全馬データ!$B$2:$B$50000,B3339,全馬データ!$C$2:$C$50000,C3339,全馬データ!$D$2:$D$50000,E3339)))</f>
        <v/>
      </c>
      <c r="AP3339" s="8" t="str">
        <f aca="false">IF(A3339="","",IF(AO3339="","欠損",IF(AO3339&lt;=1.1,"1.0～1.1",IF(AO3339&lt;1.3,"1.2",IF(AO3339&lt;1.5,"1.3～1.4",IF(AO3339&lt;2,"1.5～1.9","2.0以上"))))))</f>
        <v/>
      </c>
      <c r="AQ3339" s="8" t="str">
        <f aca="false">IF(A3339="","",IF(ISNUMBER(SEARCH("2歳",Z3339)),"2歳戦",IF(ISNUMBER(SEARCH("3歳未勝利",Z3339)),"3歳未勝利",IF(ISNUMBER(SEARCH("未勝利",Z3339)),"その他未勝利",IF(ISNUMBER(SEARCH("G1",Z3339)),"G1",IF(ISNUMBER(SEARCH("G2",Z3339)),"G2",IF(ISNUMBER(SEARCH("G3",Z3339)),"G3",IF(ISNUMBER(SEARCH("古馬条件",Z3339)),"古馬条件戦",IF(ISNUMBER(SEARCH("重賞",Z3339)),"重賞","分類不能")))))))))</f>
        <v/>
      </c>
    </row>
    <row r="3340" customFormat="false" ht="15.75" hidden="false" customHeight="false" outlineLevel="0" collapsed="false">
      <c r="AO3340" s="8" t="str">
        <f aca="false">IF(A3340="","",IF(COUNTIFS(全馬データ!$A$2:$A$50000,A3340,全馬データ!$B$2:$B$50000,B3340,全馬データ!$C$2:$C$50000,C3340,全馬データ!$D$2:$D$50000,E3340,全馬データ!$K$2:$K$50000,"&lt;&gt;")=0,"",SUMIFS(全馬データ!$K$2:$K$50000,全馬データ!$A$2:$A$50000,A3340,全馬データ!$B$2:$B$50000,B3340,全馬データ!$C$2:$C$50000,C3340,全馬データ!$D$2:$D$50000,E3340)))</f>
        <v/>
      </c>
      <c r="AP3340" s="8" t="str">
        <f aca="false">IF(A3340="","",IF(AO3340="","欠損",IF(AO3340&lt;=1.1,"1.0～1.1",IF(AO3340&lt;1.3,"1.2",IF(AO3340&lt;1.5,"1.3～1.4",IF(AO3340&lt;2,"1.5～1.9","2.0以上"))))))</f>
        <v/>
      </c>
      <c r="AQ3340" s="8" t="str">
        <f aca="false">IF(A3340="","",IF(ISNUMBER(SEARCH("2歳",Z3340)),"2歳戦",IF(ISNUMBER(SEARCH("3歳未勝利",Z3340)),"3歳未勝利",IF(ISNUMBER(SEARCH("未勝利",Z3340)),"その他未勝利",IF(ISNUMBER(SEARCH("G1",Z3340)),"G1",IF(ISNUMBER(SEARCH("G2",Z3340)),"G2",IF(ISNUMBER(SEARCH("G3",Z3340)),"G3",IF(ISNUMBER(SEARCH("古馬条件",Z3340)),"古馬条件戦",IF(ISNUMBER(SEARCH("重賞",Z3340)),"重賞","分類不能")))))))))</f>
        <v/>
      </c>
    </row>
    <row r="3341" customFormat="false" ht="15.75" hidden="false" customHeight="false" outlineLevel="0" collapsed="false">
      <c r="AO3341" s="8" t="str">
        <f aca="false">IF(A3341="","",IF(COUNTIFS(全馬データ!$A$2:$A$50000,A3341,全馬データ!$B$2:$B$50000,B3341,全馬データ!$C$2:$C$50000,C3341,全馬データ!$D$2:$D$50000,E3341,全馬データ!$K$2:$K$50000,"&lt;&gt;")=0,"",SUMIFS(全馬データ!$K$2:$K$50000,全馬データ!$A$2:$A$50000,A3341,全馬データ!$B$2:$B$50000,B3341,全馬データ!$C$2:$C$50000,C3341,全馬データ!$D$2:$D$50000,E3341)))</f>
        <v/>
      </c>
      <c r="AP3341" s="8" t="str">
        <f aca="false">IF(A3341="","",IF(AO3341="","欠損",IF(AO3341&lt;=1.1,"1.0～1.1",IF(AO3341&lt;1.3,"1.2",IF(AO3341&lt;1.5,"1.3～1.4",IF(AO3341&lt;2,"1.5～1.9","2.0以上"))))))</f>
        <v/>
      </c>
      <c r="AQ3341" s="8" t="str">
        <f aca="false">IF(A3341="","",IF(ISNUMBER(SEARCH("2歳",Z3341)),"2歳戦",IF(ISNUMBER(SEARCH("3歳未勝利",Z3341)),"3歳未勝利",IF(ISNUMBER(SEARCH("未勝利",Z3341)),"その他未勝利",IF(ISNUMBER(SEARCH("G1",Z3341)),"G1",IF(ISNUMBER(SEARCH("G2",Z3341)),"G2",IF(ISNUMBER(SEARCH("G3",Z3341)),"G3",IF(ISNUMBER(SEARCH("古馬条件",Z3341)),"古馬条件戦",IF(ISNUMBER(SEARCH("重賞",Z3341)),"重賞","分類不能")))))))))</f>
        <v/>
      </c>
    </row>
    <row r="3342" customFormat="false" ht="15.75" hidden="false" customHeight="false" outlineLevel="0" collapsed="false">
      <c r="AO3342" s="8" t="str">
        <f aca="false">IF(A3342="","",IF(COUNTIFS(全馬データ!$A$2:$A$50000,A3342,全馬データ!$B$2:$B$50000,B3342,全馬データ!$C$2:$C$50000,C3342,全馬データ!$D$2:$D$50000,E3342,全馬データ!$K$2:$K$50000,"&lt;&gt;")=0,"",SUMIFS(全馬データ!$K$2:$K$50000,全馬データ!$A$2:$A$50000,A3342,全馬データ!$B$2:$B$50000,B3342,全馬データ!$C$2:$C$50000,C3342,全馬データ!$D$2:$D$50000,E3342)))</f>
        <v/>
      </c>
      <c r="AP3342" s="8" t="str">
        <f aca="false">IF(A3342="","",IF(AO3342="","欠損",IF(AO3342&lt;=1.1,"1.0～1.1",IF(AO3342&lt;1.3,"1.2",IF(AO3342&lt;1.5,"1.3～1.4",IF(AO3342&lt;2,"1.5～1.9","2.0以上"))))))</f>
        <v/>
      </c>
      <c r="AQ3342" s="8" t="str">
        <f aca="false">IF(A3342="","",IF(ISNUMBER(SEARCH("2歳",Z3342)),"2歳戦",IF(ISNUMBER(SEARCH("3歳未勝利",Z3342)),"3歳未勝利",IF(ISNUMBER(SEARCH("未勝利",Z3342)),"その他未勝利",IF(ISNUMBER(SEARCH("G1",Z3342)),"G1",IF(ISNUMBER(SEARCH("G2",Z3342)),"G2",IF(ISNUMBER(SEARCH("G3",Z3342)),"G3",IF(ISNUMBER(SEARCH("古馬条件",Z3342)),"古馬条件戦",IF(ISNUMBER(SEARCH("重賞",Z3342)),"重賞","分類不能")))))))))</f>
        <v/>
      </c>
    </row>
    <row r="3343" customFormat="false" ht="15.75" hidden="false" customHeight="false" outlineLevel="0" collapsed="false">
      <c r="AO3343" s="8" t="str">
        <f aca="false">IF(A3343="","",IF(COUNTIFS(全馬データ!$A$2:$A$50000,A3343,全馬データ!$B$2:$B$50000,B3343,全馬データ!$C$2:$C$50000,C3343,全馬データ!$D$2:$D$50000,E3343,全馬データ!$K$2:$K$50000,"&lt;&gt;")=0,"",SUMIFS(全馬データ!$K$2:$K$50000,全馬データ!$A$2:$A$50000,A3343,全馬データ!$B$2:$B$50000,B3343,全馬データ!$C$2:$C$50000,C3343,全馬データ!$D$2:$D$50000,E3343)))</f>
        <v/>
      </c>
      <c r="AP3343" s="8" t="str">
        <f aca="false">IF(A3343="","",IF(AO3343="","欠損",IF(AO3343&lt;=1.1,"1.0～1.1",IF(AO3343&lt;1.3,"1.2",IF(AO3343&lt;1.5,"1.3～1.4",IF(AO3343&lt;2,"1.5～1.9","2.0以上"))))))</f>
        <v/>
      </c>
      <c r="AQ3343" s="8" t="str">
        <f aca="false">IF(A3343="","",IF(ISNUMBER(SEARCH("2歳",Z3343)),"2歳戦",IF(ISNUMBER(SEARCH("3歳未勝利",Z3343)),"3歳未勝利",IF(ISNUMBER(SEARCH("未勝利",Z3343)),"その他未勝利",IF(ISNUMBER(SEARCH("G1",Z3343)),"G1",IF(ISNUMBER(SEARCH("G2",Z3343)),"G2",IF(ISNUMBER(SEARCH("G3",Z3343)),"G3",IF(ISNUMBER(SEARCH("古馬条件",Z3343)),"古馬条件戦",IF(ISNUMBER(SEARCH("重賞",Z3343)),"重賞","分類不能")))))))))</f>
        <v/>
      </c>
    </row>
    <row r="3344" customFormat="false" ht="15.75" hidden="false" customHeight="false" outlineLevel="0" collapsed="false">
      <c r="AO3344" s="8" t="str">
        <f aca="false">IF(A3344="","",IF(COUNTIFS(全馬データ!$A$2:$A$50000,A3344,全馬データ!$B$2:$B$50000,B3344,全馬データ!$C$2:$C$50000,C3344,全馬データ!$D$2:$D$50000,E3344,全馬データ!$K$2:$K$50000,"&lt;&gt;")=0,"",SUMIFS(全馬データ!$K$2:$K$50000,全馬データ!$A$2:$A$50000,A3344,全馬データ!$B$2:$B$50000,B3344,全馬データ!$C$2:$C$50000,C3344,全馬データ!$D$2:$D$50000,E3344)))</f>
        <v/>
      </c>
      <c r="AP3344" s="8" t="str">
        <f aca="false">IF(A3344="","",IF(AO3344="","欠損",IF(AO3344&lt;=1.1,"1.0～1.1",IF(AO3344&lt;1.3,"1.2",IF(AO3344&lt;1.5,"1.3～1.4",IF(AO3344&lt;2,"1.5～1.9","2.0以上"))))))</f>
        <v/>
      </c>
      <c r="AQ3344" s="8" t="str">
        <f aca="false">IF(A3344="","",IF(ISNUMBER(SEARCH("2歳",Z3344)),"2歳戦",IF(ISNUMBER(SEARCH("3歳未勝利",Z3344)),"3歳未勝利",IF(ISNUMBER(SEARCH("未勝利",Z3344)),"その他未勝利",IF(ISNUMBER(SEARCH("G1",Z3344)),"G1",IF(ISNUMBER(SEARCH("G2",Z3344)),"G2",IF(ISNUMBER(SEARCH("G3",Z3344)),"G3",IF(ISNUMBER(SEARCH("古馬条件",Z3344)),"古馬条件戦",IF(ISNUMBER(SEARCH("重賞",Z3344)),"重賞","分類不能")))))))))</f>
        <v/>
      </c>
    </row>
    <row r="3345" customFormat="false" ht="15.75" hidden="false" customHeight="false" outlineLevel="0" collapsed="false">
      <c r="AO3345" s="8" t="str">
        <f aca="false">IF(A3345="","",IF(COUNTIFS(全馬データ!$A$2:$A$50000,A3345,全馬データ!$B$2:$B$50000,B3345,全馬データ!$C$2:$C$50000,C3345,全馬データ!$D$2:$D$50000,E3345,全馬データ!$K$2:$K$50000,"&lt;&gt;")=0,"",SUMIFS(全馬データ!$K$2:$K$50000,全馬データ!$A$2:$A$50000,A3345,全馬データ!$B$2:$B$50000,B3345,全馬データ!$C$2:$C$50000,C3345,全馬データ!$D$2:$D$50000,E3345)))</f>
        <v/>
      </c>
      <c r="AP3345" s="8" t="str">
        <f aca="false">IF(A3345="","",IF(AO3345="","欠損",IF(AO3345&lt;=1.1,"1.0～1.1",IF(AO3345&lt;1.3,"1.2",IF(AO3345&lt;1.5,"1.3～1.4",IF(AO3345&lt;2,"1.5～1.9","2.0以上"))))))</f>
        <v/>
      </c>
      <c r="AQ3345" s="8" t="str">
        <f aca="false">IF(A3345="","",IF(ISNUMBER(SEARCH("2歳",Z3345)),"2歳戦",IF(ISNUMBER(SEARCH("3歳未勝利",Z3345)),"3歳未勝利",IF(ISNUMBER(SEARCH("未勝利",Z3345)),"その他未勝利",IF(ISNUMBER(SEARCH("G1",Z3345)),"G1",IF(ISNUMBER(SEARCH("G2",Z3345)),"G2",IF(ISNUMBER(SEARCH("G3",Z3345)),"G3",IF(ISNUMBER(SEARCH("古馬条件",Z3345)),"古馬条件戦",IF(ISNUMBER(SEARCH("重賞",Z3345)),"重賞","分類不能")))))))))</f>
        <v/>
      </c>
    </row>
    <row r="3346" customFormat="false" ht="15.75" hidden="false" customHeight="false" outlineLevel="0" collapsed="false">
      <c r="AO3346" s="8" t="str">
        <f aca="false">IF(A3346="","",IF(COUNTIFS(全馬データ!$A$2:$A$50000,A3346,全馬データ!$B$2:$B$50000,B3346,全馬データ!$C$2:$C$50000,C3346,全馬データ!$D$2:$D$50000,E3346,全馬データ!$K$2:$K$50000,"&lt;&gt;")=0,"",SUMIFS(全馬データ!$K$2:$K$50000,全馬データ!$A$2:$A$50000,A3346,全馬データ!$B$2:$B$50000,B3346,全馬データ!$C$2:$C$50000,C3346,全馬データ!$D$2:$D$50000,E3346)))</f>
        <v/>
      </c>
      <c r="AP3346" s="8" t="str">
        <f aca="false">IF(A3346="","",IF(AO3346="","欠損",IF(AO3346&lt;=1.1,"1.0～1.1",IF(AO3346&lt;1.3,"1.2",IF(AO3346&lt;1.5,"1.3～1.4",IF(AO3346&lt;2,"1.5～1.9","2.0以上"))))))</f>
        <v/>
      </c>
      <c r="AQ3346" s="8" t="str">
        <f aca="false">IF(A3346="","",IF(ISNUMBER(SEARCH("2歳",Z3346)),"2歳戦",IF(ISNUMBER(SEARCH("3歳未勝利",Z3346)),"3歳未勝利",IF(ISNUMBER(SEARCH("未勝利",Z3346)),"その他未勝利",IF(ISNUMBER(SEARCH("G1",Z3346)),"G1",IF(ISNUMBER(SEARCH("G2",Z3346)),"G2",IF(ISNUMBER(SEARCH("G3",Z3346)),"G3",IF(ISNUMBER(SEARCH("古馬条件",Z3346)),"古馬条件戦",IF(ISNUMBER(SEARCH("重賞",Z3346)),"重賞","分類不能")))))))))</f>
        <v/>
      </c>
    </row>
    <row r="3347" customFormat="false" ht="15.75" hidden="false" customHeight="false" outlineLevel="0" collapsed="false">
      <c r="AO3347" s="8" t="str">
        <f aca="false">IF(A3347="","",IF(COUNTIFS(全馬データ!$A$2:$A$50000,A3347,全馬データ!$B$2:$B$50000,B3347,全馬データ!$C$2:$C$50000,C3347,全馬データ!$D$2:$D$50000,E3347,全馬データ!$K$2:$K$50000,"&lt;&gt;")=0,"",SUMIFS(全馬データ!$K$2:$K$50000,全馬データ!$A$2:$A$50000,A3347,全馬データ!$B$2:$B$50000,B3347,全馬データ!$C$2:$C$50000,C3347,全馬データ!$D$2:$D$50000,E3347)))</f>
        <v/>
      </c>
      <c r="AP3347" s="8" t="str">
        <f aca="false">IF(A3347="","",IF(AO3347="","欠損",IF(AO3347&lt;=1.1,"1.0～1.1",IF(AO3347&lt;1.3,"1.2",IF(AO3347&lt;1.5,"1.3～1.4",IF(AO3347&lt;2,"1.5～1.9","2.0以上"))))))</f>
        <v/>
      </c>
      <c r="AQ3347" s="8" t="str">
        <f aca="false">IF(A3347="","",IF(ISNUMBER(SEARCH("2歳",Z3347)),"2歳戦",IF(ISNUMBER(SEARCH("3歳未勝利",Z3347)),"3歳未勝利",IF(ISNUMBER(SEARCH("未勝利",Z3347)),"その他未勝利",IF(ISNUMBER(SEARCH("G1",Z3347)),"G1",IF(ISNUMBER(SEARCH("G2",Z3347)),"G2",IF(ISNUMBER(SEARCH("G3",Z3347)),"G3",IF(ISNUMBER(SEARCH("古馬条件",Z3347)),"古馬条件戦",IF(ISNUMBER(SEARCH("重賞",Z3347)),"重賞","分類不能")))))))))</f>
        <v/>
      </c>
    </row>
    <row r="3348" customFormat="false" ht="15.75" hidden="false" customHeight="false" outlineLevel="0" collapsed="false">
      <c r="AO3348" s="8" t="str">
        <f aca="false">IF(A3348="","",IF(COUNTIFS(全馬データ!$A$2:$A$50000,A3348,全馬データ!$B$2:$B$50000,B3348,全馬データ!$C$2:$C$50000,C3348,全馬データ!$D$2:$D$50000,E3348,全馬データ!$K$2:$K$50000,"&lt;&gt;")=0,"",SUMIFS(全馬データ!$K$2:$K$50000,全馬データ!$A$2:$A$50000,A3348,全馬データ!$B$2:$B$50000,B3348,全馬データ!$C$2:$C$50000,C3348,全馬データ!$D$2:$D$50000,E3348)))</f>
        <v/>
      </c>
      <c r="AP3348" s="8" t="str">
        <f aca="false">IF(A3348="","",IF(AO3348="","欠損",IF(AO3348&lt;=1.1,"1.0～1.1",IF(AO3348&lt;1.3,"1.2",IF(AO3348&lt;1.5,"1.3～1.4",IF(AO3348&lt;2,"1.5～1.9","2.0以上"))))))</f>
        <v/>
      </c>
      <c r="AQ3348" s="8" t="str">
        <f aca="false">IF(A3348="","",IF(ISNUMBER(SEARCH("2歳",Z3348)),"2歳戦",IF(ISNUMBER(SEARCH("3歳未勝利",Z3348)),"3歳未勝利",IF(ISNUMBER(SEARCH("未勝利",Z3348)),"その他未勝利",IF(ISNUMBER(SEARCH("G1",Z3348)),"G1",IF(ISNUMBER(SEARCH("G2",Z3348)),"G2",IF(ISNUMBER(SEARCH("G3",Z3348)),"G3",IF(ISNUMBER(SEARCH("古馬条件",Z3348)),"古馬条件戦",IF(ISNUMBER(SEARCH("重賞",Z3348)),"重賞","分類不能")))))))))</f>
        <v/>
      </c>
    </row>
    <row r="3349" customFormat="false" ht="15.75" hidden="false" customHeight="false" outlineLevel="0" collapsed="false">
      <c r="AO3349" s="8" t="str">
        <f aca="false">IF(A3349="","",IF(COUNTIFS(全馬データ!$A$2:$A$50000,A3349,全馬データ!$B$2:$B$50000,B3349,全馬データ!$C$2:$C$50000,C3349,全馬データ!$D$2:$D$50000,E3349,全馬データ!$K$2:$K$50000,"&lt;&gt;")=0,"",SUMIFS(全馬データ!$K$2:$K$50000,全馬データ!$A$2:$A$50000,A3349,全馬データ!$B$2:$B$50000,B3349,全馬データ!$C$2:$C$50000,C3349,全馬データ!$D$2:$D$50000,E3349)))</f>
        <v/>
      </c>
      <c r="AP3349" s="8" t="str">
        <f aca="false">IF(A3349="","",IF(AO3349="","欠損",IF(AO3349&lt;=1.1,"1.0～1.1",IF(AO3349&lt;1.3,"1.2",IF(AO3349&lt;1.5,"1.3～1.4",IF(AO3349&lt;2,"1.5～1.9","2.0以上"))))))</f>
        <v/>
      </c>
      <c r="AQ3349" s="8" t="str">
        <f aca="false">IF(A3349="","",IF(ISNUMBER(SEARCH("2歳",Z3349)),"2歳戦",IF(ISNUMBER(SEARCH("3歳未勝利",Z3349)),"3歳未勝利",IF(ISNUMBER(SEARCH("未勝利",Z3349)),"その他未勝利",IF(ISNUMBER(SEARCH("G1",Z3349)),"G1",IF(ISNUMBER(SEARCH("G2",Z3349)),"G2",IF(ISNUMBER(SEARCH("G3",Z3349)),"G3",IF(ISNUMBER(SEARCH("古馬条件",Z3349)),"古馬条件戦",IF(ISNUMBER(SEARCH("重賞",Z3349)),"重賞","分類不能")))))))))</f>
        <v/>
      </c>
    </row>
    <row r="3350" customFormat="false" ht="15.75" hidden="false" customHeight="false" outlineLevel="0" collapsed="false">
      <c r="AO3350" s="8" t="str">
        <f aca="false">IF(A3350="","",IF(COUNTIFS(全馬データ!$A$2:$A$50000,A3350,全馬データ!$B$2:$B$50000,B3350,全馬データ!$C$2:$C$50000,C3350,全馬データ!$D$2:$D$50000,E3350,全馬データ!$K$2:$K$50000,"&lt;&gt;")=0,"",SUMIFS(全馬データ!$K$2:$K$50000,全馬データ!$A$2:$A$50000,A3350,全馬データ!$B$2:$B$50000,B3350,全馬データ!$C$2:$C$50000,C3350,全馬データ!$D$2:$D$50000,E3350)))</f>
        <v/>
      </c>
      <c r="AP3350" s="8" t="str">
        <f aca="false">IF(A3350="","",IF(AO3350="","欠損",IF(AO3350&lt;=1.1,"1.0～1.1",IF(AO3350&lt;1.3,"1.2",IF(AO3350&lt;1.5,"1.3～1.4",IF(AO3350&lt;2,"1.5～1.9","2.0以上"))))))</f>
        <v/>
      </c>
      <c r="AQ3350" s="8" t="str">
        <f aca="false">IF(A3350="","",IF(ISNUMBER(SEARCH("2歳",Z3350)),"2歳戦",IF(ISNUMBER(SEARCH("3歳未勝利",Z3350)),"3歳未勝利",IF(ISNUMBER(SEARCH("未勝利",Z3350)),"その他未勝利",IF(ISNUMBER(SEARCH("G1",Z3350)),"G1",IF(ISNUMBER(SEARCH("G2",Z3350)),"G2",IF(ISNUMBER(SEARCH("G3",Z3350)),"G3",IF(ISNUMBER(SEARCH("古馬条件",Z3350)),"古馬条件戦",IF(ISNUMBER(SEARCH("重賞",Z3350)),"重賞","分類不能")))))))))</f>
        <v/>
      </c>
    </row>
    <row r="3351" customFormat="false" ht="15.75" hidden="false" customHeight="false" outlineLevel="0" collapsed="false">
      <c r="AO3351" s="8" t="str">
        <f aca="false">IF(A3351="","",IF(COUNTIFS(全馬データ!$A$2:$A$50000,A3351,全馬データ!$B$2:$B$50000,B3351,全馬データ!$C$2:$C$50000,C3351,全馬データ!$D$2:$D$50000,E3351,全馬データ!$K$2:$K$50000,"&lt;&gt;")=0,"",SUMIFS(全馬データ!$K$2:$K$50000,全馬データ!$A$2:$A$50000,A3351,全馬データ!$B$2:$B$50000,B3351,全馬データ!$C$2:$C$50000,C3351,全馬データ!$D$2:$D$50000,E3351)))</f>
        <v/>
      </c>
      <c r="AP3351" s="8" t="str">
        <f aca="false">IF(A3351="","",IF(AO3351="","欠損",IF(AO3351&lt;=1.1,"1.0～1.1",IF(AO3351&lt;1.3,"1.2",IF(AO3351&lt;1.5,"1.3～1.4",IF(AO3351&lt;2,"1.5～1.9","2.0以上"))))))</f>
        <v/>
      </c>
      <c r="AQ3351" s="8" t="str">
        <f aca="false">IF(A3351="","",IF(ISNUMBER(SEARCH("2歳",Z3351)),"2歳戦",IF(ISNUMBER(SEARCH("3歳未勝利",Z3351)),"3歳未勝利",IF(ISNUMBER(SEARCH("未勝利",Z3351)),"その他未勝利",IF(ISNUMBER(SEARCH("G1",Z3351)),"G1",IF(ISNUMBER(SEARCH("G2",Z3351)),"G2",IF(ISNUMBER(SEARCH("G3",Z3351)),"G3",IF(ISNUMBER(SEARCH("古馬条件",Z3351)),"古馬条件戦",IF(ISNUMBER(SEARCH("重賞",Z3351)),"重賞","分類不能")))))))))</f>
        <v/>
      </c>
    </row>
    <row r="3352" customFormat="false" ht="15.75" hidden="false" customHeight="false" outlineLevel="0" collapsed="false">
      <c r="AO3352" s="8" t="str">
        <f aca="false">IF(A3352="","",IF(COUNTIFS(全馬データ!$A$2:$A$50000,A3352,全馬データ!$B$2:$B$50000,B3352,全馬データ!$C$2:$C$50000,C3352,全馬データ!$D$2:$D$50000,E3352,全馬データ!$K$2:$K$50000,"&lt;&gt;")=0,"",SUMIFS(全馬データ!$K$2:$K$50000,全馬データ!$A$2:$A$50000,A3352,全馬データ!$B$2:$B$50000,B3352,全馬データ!$C$2:$C$50000,C3352,全馬データ!$D$2:$D$50000,E3352)))</f>
        <v/>
      </c>
      <c r="AP3352" s="8" t="str">
        <f aca="false">IF(A3352="","",IF(AO3352="","欠損",IF(AO3352&lt;=1.1,"1.0～1.1",IF(AO3352&lt;1.3,"1.2",IF(AO3352&lt;1.5,"1.3～1.4",IF(AO3352&lt;2,"1.5～1.9","2.0以上"))))))</f>
        <v/>
      </c>
      <c r="AQ3352" s="8" t="str">
        <f aca="false">IF(A3352="","",IF(ISNUMBER(SEARCH("2歳",Z3352)),"2歳戦",IF(ISNUMBER(SEARCH("3歳未勝利",Z3352)),"3歳未勝利",IF(ISNUMBER(SEARCH("未勝利",Z3352)),"その他未勝利",IF(ISNUMBER(SEARCH("G1",Z3352)),"G1",IF(ISNUMBER(SEARCH("G2",Z3352)),"G2",IF(ISNUMBER(SEARCH("G3",Z3352)),"G3",IF(ISNUMBER(SEARCH("古馬条件",Z3352)),"古馬条件戦",IF(ISNUMBER(SEARCH("重賞",Z3352)),"重賞","分類不能")))))))))</f>
        <v/>
      </c>
    </row>
    <row r="3353" customFormat="false" ht="15.75" hidden="false" customHeight="false" outlineLevel="0" collapsed="false">
      <c r="AO3353" s="8" t="str">
        <f aca="false">IF(A3353="","",IF(COUNTIFS(全馬データ!$A$2:$A$50000,A3353,全馬データ!$B$2:$B$50000,B3353,全馬データ!$C$2:$C$50000,C3353,全馬データ!$D$2:$D$50000,E3353,全馬データ!$K$2:$K$50000,"&lt;&gt;")=0,"",SUMIFS(全馬データ!$K$2:$K$50000,全馬データ!$A$2:$A$50000,A3353,全馬データ!$B$2:$B$50000,B3353,全馬データ!$C$2:$C$50000,C3353,全馬データ!$D$2:$D$50000,E3353)))</f>
        <v/>
      </c>
      <c r="AP3353" s="8" t="str">
        <f aca="false">IF(A3353="","",IF(AO3353="","欠損",IF(AO3353&lt;=1.1,"1.0～1.1",IF(AO3353&lt;1.3,"1.2",IF(AO3353&lt;1.5,"1.3～1.4",IF(AO3353&lt;2,"1.5～1.9","2.0以上"))))))</f>
        <v/>
      </c>
      <c r="AQ3353" s="8" t="str">
        <f aca="false">IF(A3353="","",IF(ISNUMBER(SEARCH("2歳",Z3353)),"2歳戦",IF(ISNUMBER(SEARCH("3歳未勝利",Z3353)),"3歳未勝利",IF(ISNUMBER(SEARCH("未勝利",Z3353)),"その他未勝利",IF(ISNUMBER(SEARCH("G1",Z3353)),"G1",IF(ISNUMBER(SEARCH("G2",Z3353)),"G2",IF(ISNUMBER(SEARCH("G3",Z3353)),"G3",IF(ISNUMBER(SEARCH("古馬条件",Z3353)),"古馬条件戦",IF(ISNUMBER(SEARCH("重賞",Z3353)),"重賞","分類不能")))))))))</f>
        <v/>
      </c>
    </row>
    <row r="3354" customFormat="false" ht="15.75" hidden="false" customHeight="false" outlineLevel="0" collapsed="false">
      <c r="AO3354" s="8" t="str">
        <f aca="false">IF(A3354="","",IF(COUNTIFS(全馬データ!$A$2:$A$50000,A3354,全馬データ!$B$2:$B$50000,B3354,全馬データ!$C$2:$C$50000,C3354,全馬データ!$D$2:$D$50000,E3354,全馬データ!$K$2:$K$50000,"&lt;&gt;")=0,"",SUMIFS(全馬データ!$K$2:$K$50000,全馬データ!$A$2:$A$50000,A3354,全馬データ!$B$2:$B$50000,B3354,全馬データ!$C$2:$C$50000,C3354,全馬データ!$D$2:$D$50000,E3354)))</f>
        <v/>
      </c>
      <c r="AP3354" s="8" t="str">
        <f aca="false">IF(A3354="","",IF(AO3354="","欠損",IF(AO3354&lt;=1.1,"1.0～1.1",IF(AO3354&lt;1.3,"1.2",IF(AO3354&lt;1.5,"1.3～1.4",IF(AO3354&lt;2,"1.5～1.9","2.0以上"))))))</f>
        <v/>
      </c>
      <c r="AQ3354" s="8" t="str">
        <f aca="false">IF(A3354="","",IF(ISNUMBER(SEARCH("2歳",Z3354)),"2歳戦",IF(ISNUMBER(SEARCH("3歳未勝利",Z3354)),"3歳未勝利",IF(ISNUMBER(SEARCH("未勝利",Z3354)),"その他未勝利",IF(ISNUMBER(SEARCH("G1",Z3354)),"G1",IF(ISNUMBER(SEARCH("G2",Z3354)),"G2",IF(ISNUMBER(SEARCH("G3",Z3354)),"G3",IF(ISNUMBER(SEARCH("古馬条件",Z3354)),"古馬条件戦",IF(ISNUMBER(SEARCH("重賞",Z3354)),"重賞","分類不能")))))))))</f>
        <v/>
      </c>
    </row>
    <row r="3355" customFormat="false" ht="15.75" hidden="false" customHeight="false" outlineLevel="0" collapsed="false">
      <c r="AO3355" s="8" t="str">
        <f aca="false">IF(A3355="","",IF(COUNTIFS(全馬データ!$A$2:$A$50000,A3355,全馬データ!$B$2:$B$50000,B3355,全馬データ!$C$2:$C$50000,C3355,全馬データ!$D$2:$D$50000,E3355,全馬データ!$K$2:$K$50000,"&lt;&gt;")=0,"",SUMIFS(全馬データ!$K$2:$K$50000,全馬データ!$A$2:$A$50000,A3355,全馬データ!$B$2:$B$50000,B3355,全馬データ!$C$2:$C$50000,C3355,全馬データ!$D$2:$D$50000,E3355)))</f>
        <v/>
      </c>
      <c r="AP3355" s="8" t="str">
        <f aca="false">IF(A3355="","",IF(AO3355="","欠損",IF(AO3355&lt;=1.1,"1.0～1.1",IF(AO3355&lt;1.3,"1.2",IF(AO3355&lt;1.5,"1.3～1.4",IF(AO3355&lt;2,"1.5～1.9","2.0以上"))))))</f>
        <v/>
      </c>
      <c r="AQ3355" s="8" t="str">
        <f aca="false">IF(A3355="","",IF(ISNUMBER(SEARCH("2歳",Z3355)),"2歳戦",IF(ISNUMBER(SEARCH("3歳未勝利",Z3355)),"3歳未勝利",IF(ISNUMBER(SEARCH("未勝利",Z3355)),"その他未勝利",IF(ISNUMBER(SEARCH("G1",Z3355)),"G1",IF(ISNUMBER(SEARCH("G2",Z3355)),"G2",IF(ISNUMBER(SEARCH("G3",Z3355)),"G3",IF(ISNUMBER(SEARCH("古馬条件",Z3355)),"古馬条件戦",IF(ISNUMBER(SEARCH("重賞",Z3355)),"重賞","分類不能")))))))))</f>
        <v/>
      </c>
    </row>
    <row r="3356" customFormat="false" ht="15.75" hidden="false" customHeight="false" outlineLevel="0" collapsed="false">
      <c r="AO3356" s="8" t="str">
        <f aca="false">IF(A3356="","",IF(COUNTIFS(全馬データ!$A$2:$A$50000,A3356,全馬データ!$B$2:$B$50000,B3356,全馬データ!$C$2:$C$50000,C3356,全馬データ!$D$2:$D$50000,E3356,全馬データ!$K$2:$K$50000,"&lt;&gt;")=0,"",SUMIFS(全馬データ!$K$2:$K$50000,全馬データ!$A$2:$A$50000,A3356,全馬データ!$B$2:$B$50000,B3356,全馬データ!$C$2:$C$50000,C3356,全馬データ!$D$2:$D$50000,E3356)))</f>
        <v/>
      </c>
      <c r="AP3356" s="8" t="str">
        <f aca="false">IF(A3356="","",IF(AO3356="","欠損",IF(AO3356&lt;=1.1,"1.0～1.1",IF(AO3356&lt;1.3,"1.2",IF(AO3356&lt;1.5,"1.3～1.4",IF(AO3356&lt;2,"1.5～1.9","2.0以上"))))))</f>
        <v/>
      </c>
      <c r="AQ3356" s="8" t="str">
        <f aca="false">IF(A3356="","",IF(ISNUMBER(SEARCH("2歳",Z3356)),"2歳戦",IF(ISNUMBER(SEARCH("3歳未勝利",Z3356)),"3歳未勝利",IF(ISNUMBER(SEARCH("未勝利",Z3356)),"その他未勝利",IF(ISNUMBER(SEARCH("G1",Z3356)),"G1",IF(ISNUMBER(SEARCH("G2",Z3356)),"G2",IF(ISNUMBER(SEARCH("G3",Z3356)),"G3",IF(ISNUMBER(SEARCH("古馬条件",Z3356)),"古馬条件戦",IF(ISNUMBER(SEARCH("重賞",Z3356)),"重賞","分類不能")))))))))</f>
        <v/>
      </c>
    </row>
    <row r="3357" customFormat="false" ht="15.75" hidden="false" customHeight="false" outlineLevel="0" collapsed="false">
      <c r="AO3357" s="8" t="str">
        <f aca="false">IF(A3357="","",IF(COUNTIFS(全馬データ!$A$2:$A$50000,A3357,全馬データ!$B$2:$B$50000,B3357,全馬データ!$C$2:$C$50000,C3357,全馬データ!$D$2:$D$50000,E3357,全馬データ!$K$2:$K$50000,"&lt;&gt;")=0,"",SUMIFS(全馬データ!$K$2:$K$50000,全馬データ!$A$2:$A$50000,A3357,全馬データ!$B$2:$B$50000,B3357,全馬データ!$C$2:$C$50000,C3357,全馬データ!$D$2:$D$50000,E3357)))</f>
        <v/>
      </c>
      <c r="AP3357" s="8" t="str">
        <f aca="false">IF(A3357="","",IF(AO3357="","欠損",IF(AO3357&lt;=1.1,"1.0～1.1",IF(AO3357&lt;1.3,"1.2",IF(AO3357&lt;1.5,"1.3～1.4",IF(AO3357&lt;2,"1.5～1.9","2.0以上"))))))</f>
        <v/>
      </c>
      <c r="AQ3357" s="8" t="str">
        <f aca="false">IF(A3357="","",IF(ISNUMBER(SEARCH("2歳",Z3357)),"2歳戦",IF(ISNUMBER(SEARCH("3歳未勝利",Z3357)),"3歳未勝利",IF(ISNUMBER(SEARCH("未勝利",Z3357)),"その他未勝利",IF(ISNUMBER(SEARCH("G1",Z3357)),"G1",IF(ISNUMBER(SEARCH("G2",Z3357)),"G2",IF(ISNUMBER(SEARCH("G3",Z3357)),"G3",IF(ISNUMBER(SEARCH("古馬条件",Z3357)),"古馬条件戦",IF(ISNUMBER(SEARCH("重賞",Z3357)),"重賞","分類不能")))))))))</f>
        <v/>
      </c>
    </row>
    <row r="3358" customFormat="false" ht="15.75" hidden="false" customHeight="false" outlineLevel="0" collapsed="false">
      <c r="AO3358" s="8" t="str">
        <f aca="false">IF(A3358="","",IF(COUNTIFS(全馬データ!$A$2:$A$50000,A3358,全馬データ!$B$2:$B$50000,B3358,全馬データ!$C$2:$C$50000,C3358,全馬データ!$D$2:$D$50000,E3358,全馬データ!$K$2:$K$50000,"&lt;&gt;")=0,"",SUMIFS(全馬データ!$K$2:$K$50000,全馬データ!$A$2:$A$50000,A3358,全馬データ!$B$2:$B$50000,B3358,全馬データ!$C$2:$C$50000,C3358,全馬データ!$D$2:$D$50000,E3358)))</f>
        <v/>
      </c>
      <c r="AP3358" s="8" t="str">
        <f aca="false">IF(A3358="","",IF(AO3358="","欠損",IF(AO3358&lt;=1.1,"1.0～1.1",IF(AO3358&lt;1.3,"1.2",IF(AO3358&lt;1.5,"1.3～1.4",IF(AO3358&lt;2,"1.5～1.9","2.0以上"))))))</f>
        <v/>
      </c>
      <c r="AQ3358" s="8" t="str">
        <f aca="false">IF(A3358="","",IF(ISNUMBER(SEARCH("2歳",Z3358)),"2歳戦",IF(ISNUMBER(SEARCH("3歳未勝利",Z3358)),"3歳未勝利",IF(ISNUMBER(SEARCH("未勝利",Z3358)),"その他未勝利",IF(ISNUMBER(SEARCH("G1",Z3358)),"G1",IF(ISNUMBER(SEARCH("G2",Z3358)),"G2",IF(ISNUMBER(SEARCH("G3",Z3358)),"G3",IF(ISNUMBER(SEARCH("古馬条件",Z3358)),"古馬条件戦",IF(ISNUMBER(SEARCH("重賞",Z3358)),"重賞","分類不能")))))))))</f>
        <v/>
      </c>
    </row>
    <row r="3359" customFormat="false" ht="15.75" hidden="false" customHeight="false" outlineLevel="0" collapsed="false">
      <c r="AO3359" s="8" t="str">
        <f aca="false">IF(A3359="","",IF(COUNTIFS(全馬データ!$A$2:$A$50000,A3359,全馬データ!$B$2:$B$50000,B3359,全馬データ!$C$2:$C$50000,C3359,全馬データ!$D$2:$D$50000,E3359,全馬データ!$K$2:$K$50000,"&lt;&gt;")=0,"",SUMIFS(全馬データ!$K$2:$K$50000,全馬データ!$A$2:$A$50000,A3359,全馬データ!$B$2:$B$50000,B3359,全馬データ!$C$2:$C$50000,C3359,全馬データ!$D$2:$D$50000,E3359)))</f>
        <v/>
      </c>
      <c r="AP3359" s="8" t="str">
        <f aca="false">IF(A3359="","",IF(AO3359="","欠損",IF(AO3359&lt;=1.1,"1.0～1.1",IF(AO3359&lt;1.3,"1.2",IF(AO3359&lt;1.5,"1.3～1.4",IF(AO3359&lt;2,"1.5～1.9","2.0以上"))))))</f>
        <v/>
      </c>
      <c r="AQ3359" s="8" t="str">
        <f aca="false">IF(A3359="","",IF(ISNUMBER(SEARCH("2歳",Z3359)),"2歳戦",IF(ISNUMBER(SEARCH("3歳未勝利",Z3359)),"3歳未勝利",IF(ISNUMBER(SEARCH("未勝利",Z3359)),"その他未勝利",IF(ISNUMBER(SEARCH("G1",Z3359)),"G1",IF(ISNUMBER(SEARCH("G2",Z3359)),"G2",IF(ISNUMBER(SEARCH("G3",Z3359)),"G3",IF(ISNUMBER(SEARCH("古馬条件",Z3359)),"古馬条件戦",IF(ISNUMBER(SEARCH("重賞",Z3359)),"重賞","分類不能")))))))))</f>
        <v/>
      </c>
    </row>
    <row r="3360" customFormat="false" ht="15.75" hidden="false" customHeight="false" outlineLevel="0" collapsed="false">
      <c r="AO3360" s="8" t="str">
        <f aca="false">IF(A3360="","",IF(COUNTIFS(全馬データ!$A$2:$A$50000,A3360,全馬データ!$B$2:$B$50000,B3360,全馬データ!$C$2:$C$50000,C3360,全馬データ!$D$2:$D$50000,E3360,全馬データ!$K$2:$K$50000,"&lt;&gt;")=0,"",SUMIFS(全馬データ!$K$2:$K$50000,全馬データ!$A$2:$A$50000,A3360,全馬データ!$B$2:$B$50000,B3360,全馬データ!$C$2:$C$50000,C3360,全馬データ!$D$2:$D$50000,E3360)))</f>
        <v/>
      </c>
      <c r="AP3360" s="8" t="str">
        <f aca="false">IF(A3360="","",IF(AO3360="","欠損",IF(AO3360&lt;=1.1,"1.0～1.1",IF(AO3360&lt;1.3,"1.2",IF(AO3360&lt;1.5,"1.3～1.4",IF(AO3360&lt;2,"1.5～1.9","2.0以上"))))))</f>
        <v/>
      </c>
      <c r="AQ3360" s="8" t="str">
        <f aca="false">IF(A3360="","",IF(ISNUMBER(SEARCH("2歳",Z3360)),"2歳戦",IF(ISNUMBER(SEARCH("3歳未勝利",Z3360)),"3歳未勝利",IF(ISNUMBER(SEARCH("未勝利",Z3360)),"その他未勝利",IF(ISNUMBER(SEARCH("G1",Z3360)),"G1",IF(ISNUMBER(SEARCH("G2",Z3360)),"G2",IF(ISNUMBER(SEARCH("G3",Z3360)),"G3",IF(ISNUMBER(SEARCH("古馬条件",Z3360)),"古馬条件戦",IF(ISNUMBER(SEARCH("重賞",Z3360)),"重賞","分類不能")))))))))</f>
        <v/>
      </c>
    </row>
    <row r="3361" customFormat="false" ht="15.75" hidden="false" customHeight="false" outlineLevel="0" collapsed="false">
      <c r="AO3361" s="8" t="str">
        <f aca="false">IF(A3361="","",IF(COUNTIFS(全馬データ!$A$2:$A$50000,A3361,全馬データ!$B$2:$B$50000,B3361,全馬データ!$C$2:$C$50000,C3361,全馬データ!$D$2:$D$50000,E3361,全馬データ!$K$2:$K$50000,"&lt;&gt;")=0,"",SUMIFS(全馬データ!$K$2:$K$50000,全馬データ!$A$2:$A$50000,A3361,全馬データ!$B$2:$B$50000,B3361,全馬データ!$C$2:$C$50000,C3361,全馬データ!$D$2:$D$50000,E3361)))</f>
        <v/>
      </c>
      <c r="AP3361" s="8" t="str">
        <f aca="false">IF(A3361="","",IF(AO3361="","欠損",IF(AO3361&lt;=1.1,"1.0～1.1",IF(AO3361&lt;1.3,"1.2",IF(AO3361&lt;1.5,"1.3～1.4",IF(AO3361&lt;2,"1.5～1.9","2.0以上"))))))</f>
        <v/>
      </c>
      <c r="AQ3361" s="8" t="str">
        <f aca="false">IF(A3361="","",IF(ISNUMBER(SEARCH("2歳",Z3361)),"2歳戦",IF(ISNUMBER(SEARCH("3歳未勝利",Z3361)),"3歳未勝利",IF(ISNUMBER(SEARCH("未勝利",Z3361)),"その他未勝利",IF(ISNUMBER(SEARCH("G1",Z3361)),"G1",IF(ISNUMBER(SEARCH("G2",Z3361)),"G2",IF(ISNUMBER(SEARCH("G3",Z3361)),"G3",IF(ISNUMBER(SEARCH("古馬条件",Z3361)),"古馬条件戦",IF(ISNUMBER(SEARCH("重賞",Z3361)),"重賞","分類不能")))))))))</f>
        <v/>
      </c>
    </row>
    <row r="3362" customFormat="false" ht="15.75" hidden="false" customHeight="false" outlineLevel="0" collapsed="false">
      <c r="AO3362" s="8" t="str">
        <f aca="false">IF(A3362="","",IF(COUNTIFS(全馬データ!$A$2:$A$50000,A3362,全馬データ!$B$2:$B$50000,B3362,全馬データ!$C$2:$C$50000,C3362,全馬データ!$D$2:$D$50000,E3362,全馬データ!$K$2:$K$50000,"&lt;&gt;")=0,"",SUMIFS(全馬データ!$K$2:$K$50000,全馬データ!$A$2:$A$50000,A3362,全馬データ!$B$2:$B$50000,B3362,全馬データ!$C$2:$C$50000,C3362,全馬データ!$D$2:$D$50000,E3362)))</f>
        <v/>
      </c>
      <c r="AP3362" s="8" t="str">
        <f aca="false">IF(A3362="","",IF(AO3362="","欠損",IF(AO3362&lt;=1.1,"1.0～1.1",IF(AO3362&lt;1.3,"1.2",IF(AO3362&lt;1.5,"1.3～1.4",IF(AO3362&lt;2,"1.5～1.9","2.0以上"))))))</f>
        <v/>
      </c>
      <c r="AQ3362" s="8" t="str">
        <f aca="false">IF(A3362="","",IF(ISNUMBER(SEARCH("2歳",Z3362)),"2歳戦",IF(ISNUMBER(SEARCH("3歳未勝利",Z3362)),"3歳未勝利",IF(ISNUMBER(SEARCH("未勝利",Z3362)),"その他未勝利",IF(ISNUMBER(SEARCH("G1",Z3362)),"G1",IF(ISNUMBER(SEARCH("G2",Z3362)),"G2",IF(ISNUMBER(SEARCH("G3",Z3362)),"G3",IF(ISNUMBER(SEARCH("古馬条件",Z3362)),"古馬条件戦",IF(ISNUMBER(SEARCH("重賞",Z3362)),"重賞","分類不能")))))))))</f>
        <v/>
      </c>
    </row>
    <row r="3363" customFormat="false" ht="15.75" hidden="false" customHeight="false" outlineLevel="0" collapsed="false">
      <c r="AO3363" s="8" t="str">
        <f aca="false">IF(A3363="","",IF(COUNTIFS(全馬データ!$A$2:$A$50000,A3363,全馬データ!$B$2:$B$50000,B3363,全馬データ!$C$2:$C$50000,C3363,全馬データ!$D$2:$D$50000,E3363,全馬データ!$K$2:$K$50000,"&lt;&gt;")=0,"",SUMIFS(全馬データ!$K$2:$K$50000,全馬データ!$A$2:$A$50000,A3363,全馬データ!$B$2:$B$50000,B3363,全馬データ!$C$2:$C$50000,C3363,全馬データ!$D$2:$D$50000,E3363)))</f>
        <v/>
      </c>
      <c r="AP3363" s="8" t="str">
        <f aca="false">IF(A3363="","",IF(AO3363="","欠損",IF(AO3363&lt;=1.1,"1.0～1.1",IF(AO3363&lt;1.3,"1.2",IF(AO3363&lt;1.5,"1.3～1.4",IF(AO3363&lt;2,"1.5～1.9","2.0以上"))))))</f>
        <v/>
      </c>
      <c r="AQ3363" s="8" t="str">
        <f aca="false">IF(A3363="","",IF(ISNUMBER(SEARCH("2歳",Z3363)),"2歳戦",IF(ISNUMBER(SEARCH("3歳未勝利",Z3363)),"3歳未勝利",IF(ISNUMBER(SEARCH("未勝利",Z3363)),"その他未勝利",IF(ISNUMBER(SEARCH("G1",Z3363)),"G1",IF(ISNUMBER(SEARCH("G2",Z3363)),"G2",IF(ISNUMBER(SEARCH("G3",Z3363)),"G3",IF(ISNUMBER(SEARCH("古馬条件",Z3363)),"古馬条件戦",IF(ISNUMBER(SEARCH("重賞",Z3363)),"重賞","分類不能")))))))))</f>
        <v/>
      </c>
    </row>
    <row r="3364" customFormat="false" ht="15.75" hidden="false" customHeight="false" outlineLevel="0" collapsed="false">
      <c r="AO3364" s="8" t="str">
        <f aca="false">IF(A3364="","",IF(COUNTIFS(全馬データ!$A$2:$A$50000,A3364,全馬データ!$B$2:$B$50000,B3364,全馬データ!$C$2:$C$50000,C3364,全馬データ!$D$2:$D$50000,E3364,全馬データ!$K$2:$K$50000,"&lt;&gt;")=0,"",SUMIFS(全馬データ!$K$2:$K$50000,全馬データ!$A$2:$A$50000,A3364,全馬データ!$B$2:$B$50000,B3364,全馬データ!$C$2:$C$50000,C3364,全馬データ!$D$2:$D$50000,E3364)))</f>
        <v/>
      </c>
      <c r="AP3364" s="8" t="str">
        <f aca="false">IF(A3364="","",IF(AO3364="","欠損",IF(AO3364&lt;=1.1,"1.0～1.1",IF(AO3364&lt;1.3,"1.2",IF(AO3364&lt;1.5,"1.3～1.4",IF(AO3364&lt;2,"1.5～1.9","2.0以上"))))))</f>
        <v/>
      </c>
      <c r="AQ3364" s="8" t="str">
        <f aca="false">IF(A3364="","",IF(ISNUMBER(SEARCH("2歳",Z3364)),"2歳戦",IF(ISNUMBER(SEARCH("3歳未勝利",Z3364)),"3歳未勝利",IF(ISNUMBER(SEARCH("未勝利",Z3364)),"その他未勝利",IF(ISNUMBER(SEARCH("G1",Z3364)),"G1",IF(ISNUMBER(SEARCH("G2",Z3364)),"G2",IF(ISNUMBER(SEARCH("G3",Z3364)),"G3",IF(ISNUMBER(SEARCH("古馬条件",Z3364)),"古馬条件戦",IF(ISNUMBER(SEARCH("重賞",Z3364)),"重賞","分類不能")))))))))</f>
        <v/>
      </c>
    </row>
    <row r="3365" customFormat="false" ht="15.75" hidden="false" customHeight="false" outlineLevel="0" collapsed="false">
      <c r="AO3365" s="8" t="str">
        <f aca="false">IF(A3365="","",IF(COUNTIFS(全馬データ!$A$2:$A$50000,A3365,全馬データ!$B$2:$B$50000,B3365,全馬データ!$C$2:$C$50000,C3365,全馬データ!$D$2:$D$50000,E3365,全馬データ!$K$2:$K$50000,"&lt;&gt;")=0,"",SUMIFS(全馬データ!$K$2:$K$50000,全馬データ!$A$2:$A$50000,A3365,全馬データ!$B$2:$B$50000,B3365,全馬データ!$C$2:$C$50000,C3365,全馬データ!$D$2:$D$50000,E3365)))</f>
        <v/>
      </c>
      <c r="AP3365" s="8" t="str">
        <f aca="false">IF(A3365="","",IF(AO3365="","欠損",IF(AO3365&lt;=1.1,"1.0～1.1",IF(AO3365&lt;1.3,"1.2",IF(AO3365&lt;1.5,"1.3～1.4",IF(AO3365&lt;2,"1.5～1.9","2.0以上"))))))</f>
        <v/>
      </c>
      <c r="AQ3365" s="8" t="str">
        <f aca="false">IF(A3365="","",IF(ISNUMBER(SEARCH("2歳",Z3365)),"2歳戦",IF(ISNUMBER(SEARCH("3歳未勝利",Z3365)),"3歳未勝利",IF(ISNUMBER(SEARCH("未勝利",Z3365)),"その他未勝利",IF(ISNUMBER(SEARCH("G1",Z3365)),"G1",IF(ISNUMBER(SEARCH("G2",Z3365)),"G2",IF(ISNUMBER(SEARCH("G3",Z3365)),"G3",IF(ISNUMBER(SEARCH("古馬条件",Z3365)),"古馬条件戦",IF(ISNUMBER(SEARCH("重賞",Z3365)),"重賞","分類不能")))))))))</f>
        <v/>
      </c>
    </row>
    <row r="3366" customFormat="false" ht="15.75" hidden="false" customHeight="false" outlineLevel="0" collapsed="false">
      <c r="AO3366" s="8" t="str">
        <f aca="false">IF(A3366="","",IF(COUNTIFS(全馬データ!$A$2:$A$50000,A3366,全馬データ!$B$2:$B$50000,B3366,全馬データ!$C$2:$C$50000,C3366,全馬データ!$D$2:$D$50000,E3366,全馬データ!$K$2:$K$50000,"&lt;&gt;")=0,"",SUMIFS(全馬データ!$K$2:$K$50000,全馬データ!$A$2:$A$50000,A3366,全馬データ!$B$2:$B$50000,B3366,全馬データ!$C$2:$C$50000,C3366,全馬データ!$D$2:$D$50000,E3366)))</f>
        <v/>
      </c>
      <c r="AP3366" s="8" t="str">
        <f aca="false">IF(A3366="","",IF(AO3366="","欠損",IF(AO3366&lt;=1.1,"1.0～1.1",IF(AO3366&lt;1.3,"1.2",IF(AO3366&lt;1.5,"1.3～1.4",IF(AO3366&lt;2,"1.5～1.9","2.0以上"))))))</f>
        <v/>
      </c>
      <c r="AQ3366" s="8" t="str">
        <f aca="false">IF(A3366="","",IF(ISNUMBER(SEARCH("2歳",Z3366)),"2歳戦",IF(ISNUMBER(SEARCH("3歳未勝利",Z3366)),"3歳未勝利",IF(ISNUMBER(SEARCH("未勝利",Z3366)),"その他未勝利",IF(ISNUMBER(SEARCH("G1",Z3366)),"G1",IF(ISNUMBER(SEARCH("G2",Z3366)),"G2",IF(ISNUMBER(SEARCH("G3",Z3366)),"G3",IF(ISNUMBER(SEARCH("古馬条件",Z3366)),"古馬条件戦",IF(ISNUMBER(SEARCH("重賞",Z3366)),"重賞","分類不能")))))))))</f>
        <v/>
      </c>
    </row>
    <row r="3367" customFormat="false" ht="15.75" hidden="false" customHeight="false" outlineLevel="0" collapsed="false">
      <c r="AO3367" s="8" t="str">
        <f aca="false">IF(A3367="","",IF(COUNTIFS(全馬データ!$A$2:$A$50000,A3367,全馬データ!$B$2:$B$50000,B3367,全馬データ!$C$2:$C$50000,C3367,全馬データ!$D$2:$D$50000,E3367,全馬データ!$K$2:$K$50000,"&lt;&gt;")=0,"",SUMIFS(全馬データ!$K$2:$K$50000,全馬データ!$A$2:$A$50000,A3367,全馬データ!$B$2:$B$50000,B3367,全馬データ!$C$2:$C$50000,C3367,全馬データ!$D$2:$D$50000,E3367)))</f>
        <v/>
      </c>
      <c r="AP3367" s="8" t="str">
        <f aca="false">IF(A3367="","",IF(AO3367="","欠損",IF(AO3367&lt;=1.1,"1.0～1.1",IF(AO3367&lt;1.3,"1.2",IF(AO3367&lt;1.5,"1.3～1.4",IF(AO3367&lt;2,"1.5～1.9","2.0以上"))))))</f>
        <v/>
      </c>
      <c r="AQ3367" s="8" t="str">
        <f aca="false">IF(A3367="","",IF(ISNUMBER(SEARCH("2歳",Z3367)),"2歳戦",IF(ISNUMBER(SEARCH("3歳未勝利",Z3367)),"3歳未勝利",IF(ISNUMBER(SEARCH("未勝利",Z3367)),"その他未勝利",IF(ISNUMBER(SEARCH("G1",Z3367)),"G1",IF(ISNUMBER(SEARCH("G2",Z3367)),"G2",IF(ISNUMBER(SEARCH("G3",Z3367)),"G3",IF(ISNUMBER(SEARCH("古馬条件",Z3367)),"古馬条件戦",IF(ISNUMBER(SEARCH("重賞",Z3367)),"重賞","分類不能")))))))))</f>
        <v/>
      </c>
    </row>
    <row r="3368" customFormat="false" ht="15.75" hidden="false" customHeight="false" outlineLevel="0" collapsed="false">
      <c r="AO3368" s="8" t="str">
        <f aca="false">IF(A3368="","",IF(COUNTIFS(全馬データ!$A$2:$A$50000,A3368,全馬データ!$B$2:$B$50000,B3368,全馬データ!$C$2:$C$50000,C3368,全馬データ!$D$2:$D$50000,E3368,全馬データ!$K$2:$K$50000,"&lt;&gt;")=0,"",SUMIFS(全馬データ!$K$2:$K$50000,全馬データ!$A$2:$A$50000,A3368,全馬データ!$B$2:$B$50000,B3368,全馬データ!$C$2:$C$50000,C3368,全馬データ!$D$2:$D$50000,E3368)))</f>
        <v/>
      </c>
      <c r="AP3368" s="8" t="str">
        <f aca="false">IF(A3368="","",IF(AO3368="","欠損",IF(AO3368&lt;=1.1,"1.0～1.1",IF(AO3368&lt;1.3,"1.2",IF(AO3368&lt;1.5,"1.3～1.4",IF(AO3368&lt;2,"1.5～1.9","2.0以上"))))))</f>
        <v/>
      </c>
      <c r="AQ3368" s="8" t="str">
        <f aca="false">IF(A3368="","",IF(ISNUMBER(SEARCH("2歳",Z3368)),"2歳戦",IF(ISNUMBER(SEARCH("3歳未勝利",Z3368)),"3歳未勝利",IF(ISNUMBER(SEARCH("未勝利",Z3368)),"その他未勝利",IF(ISNUMBER(SEARCH("G1",Z3368)),"G1",IF(ISNUMBER(SEARCH("G2",Z3368)),"G2",IF(ISNUMBER(SEARCH("G3",Z3368)),"G3",IF(ISNUMBER(SEARCH("古馬条件",Z3368)),"古馬条件戦",IF(ISNUMBER(SEARCH("重賞",Z3368)),"重賞","分類不能")))))))))</f>
        <v/>
      </c>
    </row>
    <row r="3369" customFormat="false" ht="15.75" hidden="false" customHeight="false" outlineLevel="0" collapsed="false">
      <c r="AO3369" s="8" t="str">
        <f aca="false">IF(A3369="","",IF(COUNTIFS(全馬データ!$A$2:$A$50000,A3369,全馬データ!$B$2:$B$50000,B3369,全馬データ!$C$2:$C$50000,C3369,全馬データ!$D$2:$D$50000,E3369,全馬データ!$K$2:$K$50000,"&lt;&gt;")=0,"",SUMIFS(全馬データ!$K$2:$K$50000,全馬データ!$A$2:$A$50000,A3369,全馬データ!$B$2:$B$50000,B3369,全馬データ!$C$2:$C$50000,C3369,全馬データ!$D$2:$D$50000,E3369)))</f>
        <v/>
      </c>
      <c r="AP3369" s="8" t="str">
        <f aca="false">IF(A3369="","",IF(AO3369="","欠損",IF(AO3369&lt;=1.1,"1.0～1.1",IF(AO3369&lt;1.3,"1.2",IF(AO3369&lt;1.5,"1.3～1.4",IF(AO3369&lt;2,"1.5～1.9","2.0以上"))))))</f>
        <v/>
      </c>
      <c r="AQ3369" s="8" t="str">
        <f aca="false">IF(A3369="","",IF(ISNUMBER(SEARCH("2歳",Z3369)),"2歳戦",IF(ISNUMBER(SEARCH("3歳未勝利",Z3369)),"3歳未勝利",IF(ISNUMBER(SEARCH("未勝利",Z3369)),"その他未勝利",IF(ISNUMBER(SEARCH("G1",Z3369)),"G1",IF(ISNUMBER(SEARCH("G2",Z3369)),"G2",IF(ISNUMBER(SEARCH("G3",Z3369)),"G3",IF(ISNUMBER(SEARCH("古馬条件",Z3369)),"古馬条件戦",IF(ISNUMBER(SEARCH("重賞",Z3369)),"重賞","分類不能")))))))))</f>
        <v/>
      </c>
    </row>
    <row r="3370" customFormat="false" ht="15.75" hidden="false" customHeight="false" outlineLevel="0" collapsed="false">
      <c r="AO3370" s="8" t="str">
        <f aca="false">IF(A3370="","",IF(COUNTIFS(全馬データ!$A$2:$A$50000,A3370,全馬データ!$B$2:$B$50000,B3370,全馬データ!$C$2:$C$50000,C3370,全馬データ!$D$2:$D$50000,E3370,全馬データ!$K$2:$K$50000,"&lt;&gt;")=0,"",SUMIFS(全馬データ!$K$2:$K$50000,全馬データ!$A$2:$A$50000,A3370,全馬データ!$B$2:$B$50000,B3370,全馬データ!$C$2:$C$50000,C3370,全馬データ!$D$2:$D$50000,E3370)))</f>
        <v/>
      </c>
      <c r="AP3370" s="8" t="str">
        <f aca="false">IF(A3370="","",IF(AO3370="","欠損",IF(AO3370&lt;=1.1,"1.0～1.1",IF(AO3370&lt;1.3,"1.2",IF(AO3370&lt;1.5,"1.3～1.4",IF(AO3370&lt;2,"1.5～1.9","2.0以上"))))))</f>
        <v/>
      </c>
      <c r="AQ3370" s="8" t="str">
        <f aca="false">IF(A3370="","",IF(ISNUMBER(SEARCH("2歳",Z3370)),"2歳戦",IF(ISNUMBER(SEARCH("3歳未勝利",Z3370)),"3歳未勝利",IF(ISNUMBER(SEARCH("未勝利",Z3370)),"その他未勝利",IF(ISNUMBER(SEARCH("G1",Z3370)),"G1",IF(ISNUMBER(SEARCH("G2",Z3370)),"G2",IF(ISNUMBER(SEARCH("G3",Z3370)),"G3",IF(ISNUMBER(SEARCH("古馬条件",Z3370)),"古馬条件戦",IF(ISNUMBER(SEARCH("重賞",Z3370)),"重賞","分類不能")))))))))</f>
        <v/>
      </c>
    </row>
    <row r="3371" customFormat="false" ht="15.75" hidden="false" customHeight="false" outlineLevel="0" collapsed="false">
      <c r="AO3371" s="8" t="str">
        <f aca="false">IF(A3371="","",IF(COUNTIFS(全馬データ!$A$2:$A$50000,A3371,全馬データ!$B$2:$B$50000,B3371,全馬データ!$C$2:$C$50000,C3371,全馬データ!$D$2:$D$50000,E3371,全馬データ!$K$2:$K$50000,"&lt;&gt;")=0,"",SUMIFS(全馬データ!$K$2:$K$50000,全馬データ!$A$2:$A$50000,A3371,全馬データ!$B$2:$B$50000,B3371,全馬データ!$C$2:$C$50000,C3371,全馬データ!$D$2:$D$50000,E3371)))</f>
        <v/>
      </c>
      <c r="AP3371" s="8" t="str">
        <f aca="false">IF(A3371="","",IF(AO3371="","欠損",IF(AO3371&lt;=1.1,"1.0～1.1",IF(AO3371&lt;1.3,"1.2",IF(AO3371&lt;1.5,"1.3～1.4",IF(AO3371&lt;2,"1.5～1.9","2.0以上"))))))</f>
        <v/>
      </c>
      <c r="AQ3371" s="8" t="str">
        <f aca="false">IF(A3371="","",IF(ISNUMBER(SEARCH("2歳",Z3371)),"2歳戦",IF(ISNUMBER(SEARCH("3歳未勝利",Z3371)),"3歳未勝利",IF(ISNUMBER(SEARCH("未勝利",Z3371)),"その他未勝利",IF(ISNUMBER(SEARCH("G1",Z3371)),"G1",IF(ISNUMBER(SEARCH("G2",Z3371)),"G2",IF(ISNUMBER(SEARCH("G3",Z3371)),"G3",IF(ISNUMBER(SEARCH("古馬条件",Z3371)),"古馬条件戦",IF(ISNUMBER(SEARCH("重賞",Z3371)),"重賞","分類不能")))))))))</f>
        <v/>
      </c>
    </row>
    <row r="3372" customFormat="false" ht="15.75" hidden="false" customHeight="false" outlineLevel="0" collapsed="false">
      <c r="AO3372" s="8" t="str">
        <f aca="false">IF(A3372="","",IF(COUNTIFS(全馬データ!$A$2:$A$50000,A3372,全馬データ!$B$2:$B$50000,B3372,全馬データ!$C$2:$C$50000,C3372,全馬データ!$D$2:$D$50000,E3372,全馬データ!$K$2:$K$50000,"&lt;&gt;")=0,"",SUMIFS(全馬データ!$K$2:$K$50000,全馬データ!$A$2:$A$50000,A3372,全馬データ!$B$2:$B$50000,B3372,全馬データ!$C$2:$C$50000,C3372,全馬データ!$D$2:$D$50000,E3372)))</f>
        <v/>
      </c>
      <c r="AP3372" s="8" t="str">
        <f aca="false">IF(A3372="","",IF(AO3372="","欠損",IF(AO3372&lt;=1.1,"1.0～1.1",IF(AO3372&lt;1.3,"1.2",IF(AO3372&lt;1.5,"1.3～1.4",IF(AO3372&lt;2,"1.5～1.9","2.0以上"))))))</f>
        <v/>
      </c>
      <c r="AQ3372" s="8" t="str">
        <f aca="false">IF(A3372="","",IF(ISNUMBER(SEARCH("2歳",Z3372)),"2歳戦",IF(ISNUMBER(SEARCH("3歳未勝利",Z3372)),"3歳未勝利",IF(ISNUMBER(SEARCH("未勝利",Z3372)),"その他未勝利",IF(ISNUMBER(SEARCH("G1",Z3372)),"G1",IF(ISNUMBER(SEARCH("G2",Z3372)),"G2",IF(ISNUMBER(SEARCH("G3",Z3372)),"G3",IF(ISNUMBER(SEARCH("古馬条件",Z3372)),"古馬条件戦",IF(ISNUMBER(SEARCH("重賞",Z3372)),"重賞","分類不能")))))))))</f>
        <v/>
      </c>
    </row>
    <row r="3373" customFormat="false" ht="15.75" hidden="false" customHeight="false" outlineLevel="0" collapsed="false">
      <c r="AO3373" s="8" t="str">
        <f aca="false">IF(A3373="","",IF(COUNTIFS(全馬データ!$A$2:$A$50000,A3373,全馬データ!$B$2:$B$50000,B3373,全馬データ!$C$2:$C$50000,C3373,全馬データ!$D$2:$D$50000,E3373,全馬データ!$K$2:$K$50000,"&lt;&gt;")=0,"",SUMIFS(全馬データ!$K$2:$K$50000,全馬データ!$A$2:$A$50000,A3373,全馬データ!$B$2:$B$50000,B3373,全馬データ!$C$2:$C$50000,C3373,全馬データ!$D$2:$D$50000,E3373)))</f>
        <v/>
      </c>
      <c r="AP3373" s="8" t="str">
        <f aca="false">IF(A3373="","",IF(AO3373="","欠損",IF(AO3373&lt;=1.1,"1.0～1.1",IF(AO3373&lt;1.3,"1.2",IF(AO3373&lt;1.5,"1.3～1.4",IF(AO3373&lt;2,"1.5～1.9","2.0以上"))))))</f>
        <v/>
      </c>
      <c r="AQ3373" s="8" t="str">
        <f aca="false">IF(A3373="","",IF(ISNUMBER(SEARCH("2歳",Z3373)),"2歳戦",IF(ISNUMBER(SEARCH("3歳未勝利",Z3373)),"3歳未勝利",IF(ISNUMBER(SEARCH("未勝利",Z3373)),"その他未勝利",IF(ISNUMBER(SEARCH("G1",Z3373)),"G1",IF(ISNUMBER(SEARCH("G2",Z3373)),"G2",IF(ISNUMBER(SEARCH("G3",Z3373)),"G3",IF(ISNUMBER(SEARCH("古馬条件",Z3373)),"古馬条件戦",IF(ISNUMBER(SEARCH("重賞",Z3373)),"重賞","分類不能")))))))))</f>
        <v/>
      </c>
    </row>
    <row r="3374" customFormat="false" ht="15.75" hidden="false" customHeight="false" outlineLevel="0" collapsed="false">
      <c r="AO3374" s="8" t="str">
        <f aca="false">IF(A3374="","",IF(COUNTIFS(全馬データ!$A$2:$A$50000,A3374,全馬データ!$B$2:$B$50000,B3374,全馬データ!$C$2:$C$50000,C3374,全馬データ!$D$2:$D$50000,E3374,全馬データ!$K$2:$K$50000,"&lt;&gt;")=0,"",SUMIFS(全馬データ!$K$2:$K$50000,全馬データ!$A$2:$A$50000,A3374,全馬データ!$B$2:$B$50000,B3374,全馬データ!$C$2:$C$50000,C3374,全馬データ!$D$2:$D$50000,E3374)))</f>
        <v/>
      </c>
      <c r="AP3374" s="8" t="str">
        <f aca="false">IF(A3374="","",IF(AO3374="","欠損",IF(AO3374&lt;=1.1,"1.0～1.1",IF(AO3374&lt;1.3,"1.2",IF(AO3374&lt;1.5,"1.3～1.4",IF(AO3374&lt;2,"1.5～1.9","2.0以上"))))))</f>
        <v/>
      </c>
      <c r="AQ3374" s="8" t="str">
        <f aca="false">IF(A3374="","",IF(ISNUMBER(SEARCH("2歳",Z3374)),"2歳戦",IF(ISNUMBER(SEARCH("3歳未勝利",Z3374)),"3歳未勝利",IF(ISNUMBER(SEARCH("未勝利",Z3374)),"その他未勝利",IF(ISNUMBER(SEARCH("G1",Z3374)),"G1",IF(ISNUMBER(SEARCH("G2",Z3374)),"G2",IF(ISNUMBER(SEARCH("G3",Z3374)),"G3",IF(ISNUMBER(SEARCH("古馬条件",Z3374)),"古馬条件戦",IF(ISNUMBER(SEARCH("重賞",Z3374)),"重賞","分類不能")))))))))</f>
        <v/>
      </c>
    </row>
    <row r="3375" customFormat="false" ht="15.75" hidden="false" customHeight="false" outlineLevel="0" collapsed="false">
      <c r="AO3375" s="8" t="str">
        <f aca="false">IF(A3375="","",IF(COUNTIFS(全馬データ!$A$2:$A$50000,A3375,全馬データ!$B$2:$B$50000,B3375,全馬データ!$C$2:$C$50000,C3375,全馬データ!$D$2:$D$50000,E3375,全馬データ!$K$2:$K$50000,"&lt;&gt;")=0,"",SUMIFS(全馬データ!$K$2:$K$50000,全馬データ!$A$2:$A$50000,A3375,全馬データ!$B$2:$B$50000,B3375,全馬データ!$C$2:$C$50000,C3375,全馬データ!$D$2:$D$50000,E3375)))</f>
        <v/>
      </c>
      <c r="AP3375" s="8" t="str">
        <f aca="false">IF(A3375="","",IF(AO3375="","欠損",IF(AO3375&lt;=1.1,"1.0～1.1",IF(AO3375&lt;1.3,"1.2",IF(AO3375&lt;1.5,"1.3～1.4",IF(AO3375&lt;2,"1.5～1.9","2.0以上"))))))</f>
        <v/>
      </c>
      <c r="AQ3375" s="8" t="str">
        <f aca="false">IF(A3375="","",IF(ISNUMBER(SEARCH("2歳",Z3375)),"2歳戦",IF(ISNUMBER(SEARCH("3歳未勝利",Z3375)),"3歳未勝利",IF(ISNUMBER(SEARCH("未勝利",Z3375)),"その他未勝利",IF(ISNUMBER(SEARCH("G1",Z3375)),"G1",IF(ISNUMBER(SEARCH("G2",Z3375)),"G2",IF(ISNUMBER(SEARCH("G3",Z3375)),"G3",IF(ISNUMBER(SEARCH("古馬条件",Z3375)),"古馬条件戦",IF(ISNUMBER(SEARCH("重賞",Z3375)),"重賞","分類不能")))))))))</f>
        <v/>
      </c>
    </row>
    <row r="3376" customFormat="false" ht="15.75" hidden="false" customHeight="false" outlineLevel="0" collapsed="false">
      <c r="AO3376" s="8" t="str">
        <f aca="false">IF(A3376="","",IF(COUNTIFS(全馬データ!$A$2:$A$50000,A3376,全馬データ!$B$2:$B$50000,B3376,全馬データ!$C$2:$C$50000,C3376,全馬データ!$D$2:$D$50000,E3376,全馬データ!$K$2:$K$50000,"&lt;&gt;")=0,"",SUMIFS(全馬データ!$K$2:$K$50000,全馬データ!$A$2:$A$50000,A3376,全馬データ!$B$2:$B$50000,B3376,全馬データ!$C$2:$C$50000,C3376,全馬データ!$D$2:$D$50000,E3376)))</f>
        <v/>
      </c>
      <c r="AP3376" s="8" t="str">
        <f aca="false">IF(A3376="","",IF(AO3376="","欠損",IF(AO3376&lt;=1.1,"1.0～1.1",IF(AO3376&lt;1.3,"1.2",IF(AO3376&lt;1.5,"1.3～1.4",IF(AO3376&lt;2,"1.5～1.9","2.0以上"))))))</f>
        <v/>
      </c>
      <c r="AQ3376" s="8" t="str">
        <f aca="false">IF(A3376="","",IF(ISNUMBER(SEARCH("2歳",Z3376)),"2歳戦",IF(ISNUMBER(SEARCH("3歳未勝利",Z3376)),"3歳未勝利",IF(ISNUMBER(SEARCH("未勝利",Z3376)),"その他未勝利",IF(ISNUMBER(SEARCH("G1",Z3376)),"G1",IF(ISNUMBER(SEARCH("G2",Z3376)),"G2",IF(ISNUMBER(SEARCH("G3",Z3376)),"G3",IF(ISNUMBER(SEARCH("古馬条件",Z3376)),"古馬条件戦",IF(ISNUMBER(SEARCH("重賞",Z3376)),"重賞","分類不能")))))))))</f>
        <v/>
      </c>
    </row>
    <row r="3377" customFormat="false" ht="15.75" hidden="false" customHeight="false" outlineLevel="0" collapsed="false">
      <c r="AO3377" s="8" t="str">
        <f aca="false">IF(A3377="","",IF(COUNTIFS(全馬データ!$A$2:$A$50000,A3377,全馬データ!$B$2:$B$50000,B3377,全馬データ!$C$2:$C$50000,C3377,全馬データ!$D$2:$D$50000,E3377,全馬データ!$K$2:$K$50000,"&lt;&gt;")=0,"",SUMIFS(全馬データ!$K$2:$K$50000,全馬データ!$A$2:$A$50000,A3377,全馬データ!$B$2:$B$50000,B3377,全馬データ!$C$2:$C$50000,C3377,全馬データ!$D$2:$D$50000,E3377)))</f>
        <v/>
      </c>
      <c r="AP3377" s="8" t="str">
        <f aca="false">IF(A3377="","",IF(AO3377="","欠損",IF(AO3377&lt;=1.1,"1.0～1.1",IF(AO3377&lt;1.3,"1.2",IF(AO3377&lt;1.5,"1.3～1.4",IF(AO3377&lt;2,"1.5～1.9","2.0以上"))))))</f>
        <v/>
      </c>
      <c r="AQ3377" s="8" t="str">
        <f aca="false">IF(A3377="","",IF(ISNUMBER(SEARCH("2歳",Z3377)),"2歳戦",IF(ISNUMBER(SEARCH("3歳未勝利",Z3377)),"3歳未勝利",IF(ISNUMBER(SEARCH("未勝利",Z3377)),"その他未勝利",IF(ISNUMBER(SEARCH("G1",Z3377)),"G1",IF(ISNUMBER(SEARCH("G2",Z3377)),"G2",IF(ISNUMBER(SEARCH("G3",Z3377)),"G3",IF(ISNUMBER(SEARCH("古馬条件",Z3377)),"古馬条件戦",IF(ISNUMBER(SEARCH("重賞",Z3377)),"重賞","分類不能")))))))))</f>
        <v/>
      </c>
    </row>
    <row r="3378" customFormat="false" ht="15.75" hidden="false" customHeight="false" outlineLevel="0" collapsed="false">
      <c r="AO3378" s="8" t="str">
        <f aca="false">IF(A3378="","",IF(COUNTIFS(全馬データ!$A$2:$A$50000,A3378,全馬データ!$B$2:$B$50000,B3378,全馬データ!$C$2:$C$50000,C3378,全馬データ!$D$2:$D$50000,E3378,全馬データ!$K$2:$K$50000,"&lt;&gt;")=0,"",SUMIFS(全馬データ!$K$2:$K$50000,全馬データ!$A$2:$A$50000,A3378,全馬データ!$B$2:$B$50000,B3378,全馬データ!$C$2:$C$50000,C3378,全馬データ!$D$2:$D$50000,E3378)))</f>
        <v/>
      </c>
      <c r="AP3378" s="8" t="str">
        <f aca="false">IF(A3378="","",IF(AO3378="","欠損",IF(AO3378&lt;=1.1,"1.0～1.1",IF(AO3378&lt;1.3,"1.2",IF(AO3378&lt;1.5,"1.3～1.4",IF(AO3378&lt;2,"1.5～1.9","2.0以上"))))))</f>
        <v/>
      </c>
      <c r="AQ3378" s="8" t="str">
        <f aca="false">IF(A3378="","",IF(ISNUMBER(SEARCH("2歳",Z3378)),"2歳戦",IF(ISNUMBER(SEARCH("3歳未勝利",Z3378)),"3歳未勝利",IF(ISNUMBER(SEARCH("未勝利",Z3378)),"その他未勝利",IF(ISNUMBER(SEARCH("G1",Z3378)),"G1",IF(ISNUMBER(SEARCH("G2",Z3378)),"G2",IF(ISNUMBER(SEARCH("G3",Z3378)),"G3",IF(ISNUMBER(SEARCH("古馬条件",Z3378)),"古馬条件戦",IF(ISNUMBER(SEARCH("重賞",Z3378)),"重賞","分類不能")))))))))</f>
        <v/>
      </c>
    </row>
    <row r="3379" customFormat="false" ht="15.75" hidden="false" customHeight="false" outlineLevel="0" collapsed="false">
      <c r="AO3379" s="8" t="str">
        <f aca="false">IF(A3379="","",IF(COUNTIFS(全馬データ!$A$2:$A$50000,A3379,全馬データ!$B$2:$B$50000,B3379,全馬データ!$C$2:$C$50000,C3379,全馬データ!$D$2:$D$50000,E3379,全馬データ!$K$2:$K$50000,"&lt;&gt;")=0,"",SUMIFS(全馬データ!$K$2:$K$50000,全馬データ!$A$2:$A$50000,A3379,全馬データ!$B$2:$B$50000,B3379,全馬データ!$C$2:$C$50000,C3379,全馬データ!$D$2:$D$50000,E3379)))</f>
        <v/>
      </c>
      <c r="AP3379" s="8" t="str">
        <f aca="false">IF(A3379="","",IF(AO3379="","欠損",IF(AO3379&lt;=1.1,"1.0～1.1",IF(AO3379&lt;1.3,"1.2",IF(AO3379&lt;1.5,"1.3～1.4",IF(AO3379&lt;2,"1.5～1.9","2.0以上"))))))</f>
        <v/>
      </c>
      <c r="AQ3379" s="8" t="str">
        <f aca="false">IF(A3379="","",IF(ISNUMBER(SEARCH("2歳",Z3379)),"2歳戦",IF(ISNUMBER(SEARCH("3歳未勝利",Z3379)),"3歳未勝利",IF(ISNUMBER(SEARCH("未勝利",Z3379)),"その他未勝利",IF(ISNUMBER(SEARCH("G1",Z3379)),"G1",IF(ISNUMBER(SEARCH("G2",Z3379)),"G2",IF(ISNUMBER(SEARCH("G3",Z3379)),"G3",IF(ISNUMBER(SEARCH("古馬条件",Z3379)),"古馬条件戦",IF(ISNUMBER(SEARCH("重賞",Z3379)),"重賞","分類不能")))))))))</f>
        <v/>
      </c>
    </row>
    <row r="3380" customFormat="false" ht="15.75" hidden="false" customHeight="false" outlineLevel="0" collapsed="false">
      <c r="AO3380" s="8" t="str">
        <f aca="false">IF(A3380="","",IF(COUNTIFS(全馬データ!$A$2:$A$50000,A3380,全馬データ!$B$2:$B$50000,B3380,全馬データ!$C$2:$C$50000,C3380,全馬データ!$D$2:$D$50000,E3380,全馬データ!$K$2:$K$50000,"&lt;&gt;")=0,"",SUMIFS(全馬データ!$K$2:$K$50000,全馬データ!$A$2:$A$50000,A3380,全馬データ!$B$2:$B$50000,B3380,全馬データ!$C$2:$C$50000,C3380,全馬データ!$D$2:$D$50000,E3380)))</f>
        <v/>
      </c>
      <c r="AP3380" s="8" t="str">
        <f aca="false">IF(A3380="","",IF(AO3380="","欠損",IF(AO3380&lt;=1.1,"1.0～1.1",IF(AO3380&lt;1.3,"1.2",IF(AO3380&lt;1.5,"1.3～1.4",IF(AO3380&lt;2,"1.5～1.9","2.0以上"))))))</f>
        <v/>
      </c>
      <c r="AQ3380" s="8" t="str">
        <f aca="false">IF(A3380="","",IF(ISNUMBER(SEARCH("2歳",Z3380)),"2歳戦",IF(ISNUMBER(SEARCH("3歳未勝利",Z3380)),"3歳未勝利",IF(ISNUMBER(SEARCH("未勝利",Z3380)),"その他未勝利",IF(ISNUMBER(SEARCH("G1",Z3380)),"G1",IF(ISNUMBER(SEARCH("G2",Z3380)),"G2",IF(ISNUMBER(SEARCH("G3",Z3380)),"G3",IF(ISNUMBER(SEARCH("古馬条件",Z3380)),"古馬条件戦",IF(ISNUMBER(SEARCH("重賞",Z3380)),"重賞","分類不能")))))))))</f>
        <v/>
      </c>
    </row>
    <row r="3381" customFormat="false" ht="15.75" hidden="false" customHeight="false" outlineLevel="0" collapsed="false">
      <c r="AO3381" s="8" t="str">
        <f aca="false">IF(A3381="","",IF(COUNTIFS(全馬データ!$A$2:$A$50000,A3381,全馬データ!$B$2:$B$50000,B3381,全馬データ!$C$2:$C$50000,C3381,全馬データ!$D$2:$D$50000,E3381,全馬データ!$K$2:$K$50000,"&lt;&gt;")=0,"",SUMIFS(全馬データ!$K$2:$K$50000,全馬データ!$A$2:$A$50000,A3381,全馬データ!$B$2:$B$50000,B3381,全馬データ!$C$2:$C$50000,C3381,全馬データ!$D$2:$D$50000,E3381)))</f>
        <v/>
      </c>
      <c r="AP3381" s="8" t="str">
        <f aca="false">IF(A3381="","",IF(AO3381="","欠損",IF(AO3381&lt;=1.1,"1.0～1.1",IF(AO3381&lt;1.3,"1.2",IF(AO3381&lt;1.5,"1.3～1.4",IF(AO3381&lt;2,"1.5～1.9","2.0以上"))))))</f>
        <v/>
      </c>
      <c r="AQ3381" s="8" t="str">
        <f aca="false">IF(A3381="","",IF(ISNUMBER(SEARCH("2歳",Z3381)),"2歳戦",IF(ISNUMBER(SEARCH("3歳未勝利",Z3381)),"3歳未勝利",IF(ISNUMBER(SEARCH("未勝利",Z3381)),"その他未勝利",IF(ISNUMBER(SEARCH("G1",Z3381)),"G1",IF(ISNUMBER(SEARCH("G2",Z3381)),"G2",IF(ISNUMBER(SEARCH("G3",Z3381)),"G3",IF(ISNUMBER(SEARCH("古馬条件",Z3381)),"古馬条件戦",IF(ISNUMBER(SEARCH("重賞",Z3381)),"重賞","分類不能")))))))))</f>
        <v/>
      </c>
    </row>
    <row r="3382" customFormat="false" ht="15.75" hidden="false" customHeight="false" outlineLevel="0" collapsed="false">
      <c r="AO3382" s="8" t="str">
        <f aca="false">IF(A3382="","",IF(COUNTIFS(全馬データ!$A$2:$A$50000,A3382,全馬データ!$B$2:$B$50000,B3382,全馬データ!$C$2:$C$50000,C3382,全馬データ!$D$2:$D$50000,E3382,全馬データ!$K$2:$K$50000,"&lt;&gt;")=0,"",SUMIFS(全馬データ!$K$2:$K$50000,全馬データ!$A$2:$A$50000,A3382,全馬データ!$B$2:$B$50000,B3382,全馬データ!$C$2:$C$50000,C3382,全馬データ!$D$2:$D$50000,E3382)))</f>
        <v/>
      </c>
      <c r="AP3382" s="8" t="str">
        <f aca="false">IF(A3382="","",IF(AO3382="","欠損",IF(AO3382&lt;=1.1,"1.0～1.1",IF(AO3382&lt;1.3,"1.2",IF(AO3382&lt;1.5,"1.3～1.4",IF(AO3382&lt;2,"1.5～1.9","2.0以上"))))))</f>
        <v/>
      </c>
      <c r="AQ3382" s="8" t="str">
        <f aca="false">IF(A3382="","",IF(ISNUMBER(SEARCH("2歳",Z3382)),"2歳戦",IF(ISNUMBER(SEARCH("3歳未勝利",Z3382)),"3歳未勝利",IF(ISNUMBER(SEARCH("未勝利",Z3382)),"その他未勝利",IF(ISNUMBER(SEARCH("G1",Z3382)),"G1",IF(ISNUMBER(SEARCH("G2",Z3382)),"G2",IF(ISNUMBER(SEARCH("G3",Z3382)),"G3",IF(ISNUMBER(SEARCH("古馬条件",Z3382)),"古馬条件戦",IF(ISNUMBER(SEARCH("重賞",Z3382)),"重賞","分類不能")))))))))</f>
        <v/>
      </c>
    </row>
    <row r="3383" customFormat="false" ht="15.75" hidden="false" customHeight="false" outlineLevel="0" collapsed="false">
      <c r="AO3383" s="8" t="str">
        <f aca="false">IF(A3383="","",IF(COUNTIFS(全馬データ!$A$2:$A$50000,A3383,全馬データ!$B$2:$B$50000,B3383,全馬データ!$C$2:$C$50000,C3383,全馬データ!$D$2:$D$50000,E3383,全馬データ!$K$2:$K$50000,"&lt;&gt;")=0,"",SUMIFS(全馬データ!$K$2:$K$50000,全馬データ!$A$2:$A$50000,A3383,全馬データ!$B$2:$B$50000,B3383,全馬データ!$C$2:$C$50000,C3383,全馬データ!$D$2:$D$50000,E3383)))</f>
        <v/>
      </c>
      <c r="AP3383" s="8" t="str">
        <f aca="false">IF(A3383="","",IF(AO3383="","欠損",IF(AO3383&lt;=1.1,"1.0～1.1",IF(AO3383&lt;1.3,"1.2",IF(AO3383&lt;1.5,"1.3～1.4",IF(AO3383&lt;2,"1.5～1.9","2.0以上"))))))</f>
        <v/>
      </c>
      <c r="AQ3383" s="8" t="str">
        <f aca="false">IF(A3383="","",IF(ISNUMBER(SEARCH("2歳",Z3383)),"2歳戦",IF(ISNUMBER(SEARCH("3歳未勝利",Z3383)),"3歳未勝利",IF(ISNUMBER(SEARCH("未勝利",Z3383)),"その他未勝利",IF(ISNUMBER(SEARCH("G1",Z3383)),"G1",IF(ISNUMBER(SEARCH("G2",Z3383)),"G2",IF(ISNUMBER(SEARCH("G3",Z3383)),"G3",IF(ISNUMBER(SEARCH("古馬条件",Z3383)),"古馬条件戦",IF(ISNUMBER(SEARCH("重賞",Z3383)),"重賞","分類不能")))))))))</f>
        <v/>
      </c>
    </row>
    <row r="3384" customFormat="false" ht="15.75" hidden="false" customHeight="false" outlineLevel="0" collapsed="false">
      <c r="AO3384" s="8" t="str">
        <f aca="false">IF(A3384="","",IF(COUNTIFS(全馬データ!$A$2:$A$50000,A3384,全馬データ!$B$2:$B$50000,B3384,全馬データ!$C$2:$C$50000,C3384,全馬データ!$D$2:$D$50000,E3384,全馬データ!$K$2:$K$50000,"&lt;&gt;")=0,"",SUMIFS(全馬データ!$K$2:$K$50000,全馬データ!$A$2:$A$50000,A3384,全馬データ!$B$2:$B$50000,B3384,全馬データ!$C$2:$C$50000,C3384,全馬データ!$D$2:$D$50000,E3384)))</f>
        <v/>
      </c>
      <c r="AP3384" s="8" t="str">
        <f aca="false">IF(A3384="","",IF(AO3384="","欠損",IF(AO3384&lt;=1.1,"1.0～1.1",IF(AO3384&lt;1.3,"1.2",IF(AO3384&lt;1.5,"1.3～1.4",IF(AO3384&lt;2,"1.5～1.9","2.0以上"))))))</f>
        <v/>
      </c>
      <c r="AQ3384" s="8" t="str">
        <f aca="false">IF(A3384="","",IF(ISNUMBER(SEARCH("2歳",Z3384)),"2歳戦",IF(ISNUMBER(SEARCH("3歳未勝利",Z3384)),"3歳未勝利",IF(ISNUMBER(SEARCH("未勝利",Z3384)),"その他未勝利",IF(ISNUMBER(SEARCH("G1",Z3384)),"G1",IF(ISNUMBER(SEARCH("G2",Z3384)),"G2",IF(ISNUMBER(SEARCH("G3",Z3384)),"G3",IF(ISNUMBER(SEARCH("古馬条件",Z3384)),"古馬条件戦",IF(ISNUMBER(SEARCH("重賞",Z3384)),"重賞","分類不能")))))))))</f>
        <v/>
      </c>
    </row>
    <row r="3385" customFormat="false" ht="15.75" hidden="false" customHeight="false" outlineLevel="0" collapsed="false">
      <c r="AO3385" s="8" t="str">
        <f aca="false">IF(A3385="","",IF(COUNTIFS(全馬データ!$A$2:$A$50000,A3385,全馬データ!$B$2:$B$50000,B3385,全馬データ!$C$2:$C$50000,C3385,全馬データ!$D$2:$D$50000,E3385,全馬データ!$K$2:$K$50000,"&lt;&gt;")=0,"",SUMIFS(全馬データ!$K$2:$K$50000,全馬データ!$A$2:$A$50000,A3385,全馬データ!$B$2:$B$50000,B3385,全馬データ!$C$2:$C$50000,C3385,全馬データ!$D$2:$D$50000,E3385)))</f>
        <v/>
      </c>
      <c r="AP3385" s="8" t="str">
        <f aca="false">IF(A3385="","",IF(AO3385="","欠損",IF(AO3385&lt;=1.1,"1.0～1.1",IF(AO3385&lt;1.3,"1.2",IF(AO3385&lt;1.5,"1.3～1.4",IF(AO3385&lt;2,"1.5～1.9","2.0以上"))))))</f>
        <v/>
      </c>
      <c r="AQ3385" s="8" t="str">
        <f aca="false">IF(A3385="","",IF(ISNUMBER(SEARCH("2歳",Z3385)),"2歳戦",IF(ISNUMBER(SEARCH("3歳未勝利",Z3385)),"3歳未勝利",IF(ISNUMBER(SEARCH("未勝利",Z3385)),"その他未勝利",IF(ISNUMBER(SEARCH("G1",Z3385)),"G1",IF(ISNUMBER(SEARCH("G2",Z3385)),"G2",IF(ISNUMBER(SEARCH("G3",Z3385)),"G3",IF(ISNUMBER(SEARCH("古馬条件",Z3385)),"古馬条件戦",IF(ISNUMBER(SEARCH("重賞",Z3385)),"重賞","分類不能")))))))))</f>
        <v/>
      </c>
    </row>
    <row r="3386" customFormat="false" ht="15.75" hidden="false" customHeight="false" outlineLevel="0" collapsed="false">
      <c r="AO3386" s="8" t="str">
        <f aca="false">IF(A3386="","",IF(COUNTIFS(全馬データ!$A$2:$A$50000,A3386,全馬データ!$B$2:$B$50000,B3386,全馬データ!$C$2:$C$50000,C3386,全馬データ!$D$2:$D$50000,E3386,全馬データ!$K$2:$K$50000,"&lt;&gt;")=0,"",SUMIFS(全馬データ!$K$2:$K$50000,全馬データ!$A$2:$A$50000,A3386,全馬データ!$B$2:$B$50000,B3386,全馬データ!$C$2:$C$50000,C3386,全馬データ!$D$2:$D$50000,E3386)))</f>
        <v/>
      </c>
      <c r="AP3386" s="8" t="str">
        <f aca="false">IF(A3386="","",IF(AO3386="","欠損",IF(AO3386&lt;=1.1,"1.0～1.1",IF(AO3386&lt;1.3,"1.2",IF(AO3386&lt;1.5,"1.3～1.4",IF(AO3386&lt;2,"1.5～1.9","2.0以上"))))))</f>
        <v/>
      </c>
      <c r="AQ3386" s="8" t="str">
        <f aca="false">IF(A3386="","",IF(ISNUMBER(SEARCH("2歳",Z3386)),"2歳戦",IF(ISNUMBER(SEARCH("3歳未勝利",Z3386)),"3歳未勝利",IF(ISNUMBER(SEARCH("未勝利",Z3386)),"その他未勝利",IF(ISNUMBER(SEARCH("G1",Z3386)),"G1",IF(ISNUMBER(SEARCH("G2",Z3386)),"G2",IF(ISNUMBER(SEARCH("G3",Z3386)),"G3",IF(ISNUMBER(SEARCH("古馬条件",Z3386)),"古馬条件戦",IF(ISNUMBER(SEARCH("重賞",Z3386)),"重賞","分類不能")))))))))</f>
        <v/>
      </c>
    </row>
    <row r="3387" customFormat="false" ht="15.75" hidden="false" customHeight="false" outlineLevel="0" collapsed="false">
      <c r="AO3387" s="8" t="str">
        <f aca="false">IF(A3387="","",IF(COUNTIFS(全馬データ!$A$2:$A$50000,A3387,全馬データ!$B$2:$B$50000,B3387,全馬データ!$C$2:$C$50000,C3387,全馬データ!$D$2:$D$50000,E3387,全馬データ!$K$2:$K$50000,"&lt;&gt;")=0,"",SUMIFS(全馬データ!$K$2:$K$50000,全馬データ!$A$2:$A$50000,A3387,全馬データ!$B$2:$B$50000,B3387,全馬データ!$C$2:$C$50000,C3387,全馬データ!$D$2:$D$50000,E3387)))</f>
        <v/>
      </c>
      <c r="AP3387" s="8" t="str">
        <f aca="false">IF(A3387="","",IF(AO3387="","欠損",IF(AO3387&lt;=1.1,"1.0～1.1",IF(AO3387&lt;1.3,"1.2",IF(AO3387&lt;1.5,"1.3～1.4",IF(AO3387&lt;2,"1.5～1.9","2.0以上"))))))</f>
        <v/>
      </c>
      <c r="AQ3387" s="8" t="str">
        <f aca="false">IF(A3387="","",IF(ISNUMBER(SEARCH("2歳",Z3387)),"2歳戦",IF(ISNUMBER(SEARCH("3歳未勝利",Z3387)),"3歳未勝利",IF(ISNUMBER(SEARCH("未勝利",Z3387)),"その他未勝利",IF(ISNUMBER(SEARCH("G1",Z3387)),"G1",IF(ISNUMBER(SEARCH("G2",Z3387)),"G2",IF(ISNUMBER(SEARCH("G3",Z3387)),"G3",IF(ISNUMBER(SEARCH("古馬条件",Z3387)),"古馬条件戦",IF(ISNUMBER(SEARCH("重賞",Z3387)),"重賞","分類不能")))))))))</f>
        <v/>
      </c>
    </row>
    <row r="3388" customFormat="false" ht="15.75" hidden="false" customHeight="false" outlineLevel="0" collapsed="false">
      <c r="AO3388" s="8" t="str">
        <f aca="false">IF(A3388="","",IF(COUNTIFS(全馬データ!$A$2:$A$50000,A3388,全馬データ!$B$2:$B$50000,B3388,全馬データ!$C$2:$C$50000,C3388,全馬データ!$D$2:$D$50000,E3388,全馬データ!$K$2:$K$50000,"&lt;&gt;")=0,"",SUMIFS(全馬データ!$K$2:$K$50000,全馬データ!$A$2:$A$50000,A3388,全馬データ!$B$2:$B$50000,B3388,全馬データ!$C$2:$C$50000,C3388,全馬データ!$D$2:$D$50000,E3388)))</f>
        <v/>
      </c>
      <c r="AP3388" s="8" t="str">
        <f aca="false">IF(A3388="","",IF(AO3388="","欠損",IF(AO3388&lt;=1.1,"1.0～1.1",IF(AO3388&lt;1.3,"1.2",IF(AO3388&lt;1.5,"1.3～1.4",IF(AO3388&lt;2,"1.5～1.9","2.0以上"))))))</f>
        <v/>
      </c>
      <c r="AQ3388" s="8" t="str">
        <f aca="false">IF(A3388="","",IF(ISNUMBER(SEARCH("2歳",Z3388)),"2歳戦",IF(ISNUMBER(SEARCH("3歳未勝利",Z3388)),"3歳未勝利",IF(ISNUMBER(SEARCH("未勝利",Z3388)),"その他未勝利",IF(ISNUMBER(SEARCH("G1",Z3388)),"G1",IF(ISNUMBER(SEARCH("G2",Z3388)),"G2",IF(ISNUMBER(SEARCH("G3",Z3388)),"G3",IF(ISNUMBER(SEARCH("古馬条件",Z3388)),"古馬条件戦",IF(ISNUMBER(SEARCH("重賞",Z3388)),"重賞","分類不能")))))))))</f>
        <v/>
      </c>
    </row>
    <row r="3389" customFormat="false" ht="15.75" hidden="false" customHeight="false" outlineLevel="0" collapsed="false">
      <c r="AO3389" s="8" t="str">
        <f aca="false">IF(A3389="","",IF(COUNTIFS(全馬データ!$A$2:$A$50000,A3389,全馬データ!$B$2:$B$50000,B3389,全馬データ!$C$2:$C$50000,C3389,全馬データ!$D$2:$D$50000,E3389,全馬データ!$K$2:$K$50000,"&lt;&gt;")=0,"",SUMIFS(全馬データ!$K$2:$K$50000,全馬データ!$A$2:$A$50000,A3389,全馬データ!$B$2:$B$50000,B3389,全馬データ!$C$2:$C$50000,C3389,全馬データ!$D$2:$D$50000,E3389)))</f>
        <v/>
      </c>
      <c r="AP3389" s="8" t="str">
        <f aca="false">IF(A3389="","",IF(AO3389="","欠損",IF(AO3389&lt;=1.1,"1.0～1.1",IF(AO3389&lt;1.3,"1.2",IF(AO3389&lt;1.5,"1.3～1.4",IF(AO3389&lt;2,"1.5～1.9","2.0以上"))))))</f>
        <v/>
      </c>
      <c r="AQ3389" s="8" t="str">
        <f aca="false">IF(A3389="","",IF(ISNUMBER(SEARCH("2歳",Z3389)),"2歳戦",IF(ISNUMBER(SEARCH("3歳未勝利",Z3389)),"3歳未勝利",IF(ISNUMBER(SEARCH("未勝利",Z3389)),"その他未勝利",IF(ISNUMBER(SEARCH("G1",Z3389)),"G1",IF(ISNUMBER(SEARCH("G2",Z3389)),"G2",IF(ISNUMBER(SEARCH("G3",Z3389)),"G3",IF(ISNUMBER(SEARCH("古馬条件",Z3389)),"古馬条件戦",IF(ISNUMBER(SEARCH("重賞",Z3389)),"重賞","分類不能")))))))))</f>
        <v/>
      </c>
    </row>
    <row r="3390" customFormat="false" ht="15.75" hidden="false" customHeight="false" outlineLevel="0" collapsed="false">
      <c r="AO3390" s="8" t="str">
        <f aca="false">IF(A3390="","",IF(COUNTIFS(全馬データ!$A$2:$A$50000,A3390,全馬データ!$B$2:$B$50000,B3390,全馬データ!$C$2:$C$50000,C3390,全馬データ!$D$2:$D$50000,E3390,全馬データ!$K$2:$K$50000,"&lt;&gt;")=0,"",SUMIFS(全馬データ!$K$2:$K$50000,全馬データ!$A$2:$A$50000,A3390,全馬データ!$B$2:$B$50000,B3390,全馬データ!$C$2:$C$50000,C3390,全馬データ!$D$2:$D$50000,E3390)))</f>
        <v/>
      </c>
      <c r="AP3390" s="8" t="str">
        <f aca="false">IF(A3390="","",IF(AO3390="","欠損",IF(AO3390&lt;=1.1,"1.0～1.1",IF(AO3390&lt;1.3,"1.2",IF(AO3390&lt;1.5,"1.3～1.4",IF(AO3390&lt;2,"1.5～1.9","2.0以上"))))))</f>
        <v/>
      </c>
      <c r="AQ3390" s="8" t="str">
        <f aca="false">IF(A3390="","",IF(ISNUMBER(SEARCH("2歳",Z3390)),"2歳戦",IF(ISNUMBER(SEARCH("3歳未勝利",Z3390)),"3歳未勝利",IF(ISNUMBER(SEARCH("未勝利",Z3390)),"その他未勝利",IF(ISNUMBER(SEARCH("G1",Z3390)),"G1",IF(ISNUMBER(SEARCH("G2",Z3390)),"G2",IF(ISNUMBER(SEARCH("G3",Z3390)),"G3",IF(ISNUMBER(SEARCH("古馬条件",Z3390)),"古馬条件戦",IF(ISNUMBER(SEARCH("重賞",Z3390)),"重賞","分類不能")))))))))</f>
        <v/>
      </c>
    </row>
    <row r="3391" customFormat="false" ht="15.75" hidden="false" customHeight="false" outlineLevel="0" collapsed="false">
      <c r="AO3391" s="8" t="str">
        <f aca="false">IF(A3391="","",IF(COUNTIFS(全馬データ!$A$2:$A$50000,A3391,全馬データ!$B$2:$B$50000,B3391,全馬データ!$C$2:$C$50000,C3391,全馬データ!$D$2:$D$50000,E3391,全馬データ!$K$2:$K$50000,"&lt;&gt;")=0,"",SUMIFS(全馬データ!$K$2:$K$50000,全馬データ!$A$2:$A$50000,A3391,全馬データ!$B$2:$B$50000,B3391,全馬データ!$C$2:$C$50000,C3391,全馬データ!$D$2:$D$50000,E3391)))</f>
        <v/>
      </c>
      <c r="AP3391" s="8" t="str">
        <f aca="false">IF(A3391="","",IF(AO3391="","欠損",IF(AO3391&lt;=1.1,"1.0～1.1",IF(AO3391&lt;1.3,"1.2",IF(AO3391&lt;1.5,"1.3～1.4",IF(AO3391&lt;2,"1.5～1.9","2.0以上"))))))</f>
        <v/>
      </c>
      <c r="AQ3391" s="8" t="str">
        <f aca="false">IF(A3391="","",IF(ISNUMBER(SEARCH("2歳",Z3391)),"2歳戦",IF(ISNUMBER(SEARCH("3歳未勝利",Z3391)),"3歳未勝利",IF(ISNUMBER(SEARCH("未勝利",Z3391)),"その他未勝利",IF(ISNUMBER(SEARCH("G1",Z3391)),"G1",IF(ISNUMBER(SEARCH("G2",Z3391)),"G2",IF(ISNUMBER(SEARCH("G3",Z3391)),"G3",IF(ISNUMBER(SEARCH("古馬条件",Z3391)),"古馬条件戦",IF(ISNUMBER(SEARCH("重賞",Z3391)),"重賞","分類不能")))))))))</f>
        <v/>
      </c>
    </row>
    <row r="3392" customFormat="false" ht="15.75" hidden="false" customHeight="false" outlineLevel="0" collapsed="false">
      <c r="AO3392" s="8" t="str">
        <f aca="false">IF(A3392="","",IF(COUNTIFS(全馬データ!$A$2:$A$50000,A3392,全馬データ!$B$2:$B$50000,B3392,全馬データ!$C$2:$C$50000,C3392,全馬データ!$D$2:$D$50000,E3392,全馬データ!$K$2:$K$50000,"&lt;&gt;")=0,"",SUMIFS(全馬データ!$K$2:$K$50000,全馬データ!$A$2:$A$50000,A3392,全馬データ!$B$2:$B$50000,B3392,全馬データ!$C$2:$C$50000,C3392,全馬データ!$D$2:$D$50000,E3392)))</f>
        <v/>
      </c>
      <c r="AP3392" s="8" t="str">
        <f aca="false">IF(A3392="","",IF(AO3392="","欠損",IF(AO3392&lt;=1.1,"1.0～1.1",IF(AO3392&lt;1.3,"1.2",IF(AO3392&lt;1.5,"1.3～1.4",IF(AO3392&lt;2,"1.5～1.9","2.0以上"))))))</f>
        <v/>
      </c>
      <c r="AQ3392" s="8" t="str">
        <f aca="false">IF(A3392="","",IF(ISNUMBER(SEARCH("2歳",Z3392)),"2歳戦",IF(ISNUMBER(SEARCH("3歳未勝利",Z3392)),"3歳未勝利",IF(ISNUMBER(SEARCH("未勝利",Z3392)),"その他未勝利",IF(ISNUMBER(SEARCH("G1",Z3392)),"G1",IF(ISNUMBER(SEARCH("G2",Z3392)),"G2",IF(ISNUMBER(SEARCH("G3",Z3392)),"G3",IF(ISNUMBER(SEARCH("古馬条件",Z3392)),"古馬条件戦",IF(ISNUMBER(SEARCH("重賞",Z3392)),"重賞","分類不能")))))))))</f>
        <v/>
      </c>
    </row>
    <row r="3393" customFormat="false" ht="15.75" hidden="false" customHeight="false" outlineLevel="0" collapsed="false">
      <c r="AO3393" s="8" t="str">
        <f aca="false">IF(A3393="","",IF(COUNTIFS(全馬データ!$A$2:$A$50000,A3393,全馬データ!$B$2:$B$50000,B3393,全馬データ!$C$2:$C$50000,C3393,全馬データ!$D$2:$D$50000,E3393,全馬データ!$K$2:$K$50000,"&lt;&gt;")=0,"",SUMIFS(全馬データ!$K$2:$K$50000,全馬データ!$A$2:$A$50000,A3393,全馬データ!$B$2:$B$50000,B3393,全馬データ!$C$2:$C$50000,C3393,全馬データ!$D$2:$D$50000,E3393)))</f>
        <v/>
      </c>
      <c r="AP3393" s="8" t="str">
        <f aca="false">IF(A3393="","",IF(AO3393="","欠損",IF(AO3393&lt;=1.1,"1.0～1.1",IF(AO3393&lt;1.3,"1.2",IF(AO3393&lt;1.5,"1.3～1.4",IF(AO3393&lt;2,"1.5～1.9","2.0以上"))))))</f>
        <v/>
      </c>
      <c r="AQ3393" s="8" t="str">
        <f aca="false">IF(A3393="","",IF(ISNUMBER(SEARCH("2歳",Z3393)),"2歳戦",IF(ISNUMBER(SEARCH("3歳未勝利",Z3393)),"3歳未勝利",IF(ISNUMBER(SEARCH("未勝利",Z3393)),"その他未勝利",IF(ISNUMBER(SEARCH("G1",Z3393)),"G1",IF(ISNUMBER(SEARCH("G2",Z3393)),"G2",IF(ISNUMBER(SEARCH("G3",Z3393)),"G3",IF(ISNUMBER(SEARCH("古馬条件",Z3393)),"古馬条件戦",IF(ISNUMBER(SEARCH("重賞",Z3393)),"重賞","分類不能")))))))))</f>
        <v/>
      </c>
    </row>
    <row r="3394" customFormat="false" ht="15.75" hidden="false" customHeight="false" outlineLevel="0" collapsed="false">
      <c r="AO3394" s="8" t="str">
        <f aca="false">IF(A3394="","",IF(COUNTIFS(全馬データ!$A$2:$A$50000,A3394,全馬データ!$B$2:$B$50000,B3394,全馬データ!$C$2:$C$50000,C3394,全馬データ!$D$2:$D$50000,E3394,全馬データ!$K$2:$K$50000,"&lt;&gt;")=0,"",SUMIFS(全馬データ!$K$2:$K$50000,全馬データ!$A$2:$A$50000,A3394,全馬データ!$B$2:$B$50000,B3394,全馬データ!$C$2:$C$50000,C3394,全馬データ!$D$2:$D$50000,E3394)))</f>
        <v/>
      </c>
      <c r="AP3394" s="8" t="str">
        <f aca="false">IF(A3394="","",IF(AO3394="","欠損",IF(AO3394&lt;=1.1,"1.0～1.1",IF(AO3394&lt;1.3,"1.2",IF(AO3394&lt;1.5,"1.3～1.4",IF(AO3394&lt;2,"1.5～1.9","2.0以上"))))))</f>
        <v/>
      </c>
      <c r="AQ3394" s="8" t="str">
        <f aca="false">IF(A3394="","",IF(ISNUMBER(SEARCH("2歳",Z3394)),"2歳戦",IF(ISNUMBER(SEARCH("3歳未勝利",Z3394)),"3歳未勝利",IF(ISNUMBER(SEARCH("未勝利",Z3394)),"その他未勝利",IF(ISNUMBER(SEARCH("G1",Z3394)),"G1",IF(ISNUMBER(SEARCH("G2",Z3394)),"G2",IF(ISNUMBER(SEARCH("G3",Z3394)),"G3",IF(ISNUMBER(SEARCH("古馬条件",Z3394)),"古馬条件戦",IF(ISNUMBER(SEARCH("重賞",Z3394)),"重賞","分類不能")))))))))</f>
        <v/>
      </c>
    </row>
    <row r="3395" customFormat="false" ht="15.75" hidden="false" customHeight="false" outlineLevel="0" collapsed="false">
      <c r="AO3395" s="8" t="str">
        <f aca="false">IF(A3395="","",IF(COUNTIFS(全馬データ!$A$2:$A$50000,A3395,全馬データ!$B$2:$B$50000,B3395,全馬データ!$C$2:$C$50000,C3395,全馬データ!$D$2:$D$50000,E3395,全馬データ!$K$2:$K$50000,"&lt;&gt;")=0,"",SUMIFS(全馬データ!$K$2:$K$50000,全馬データ!$A$2:$A$50000,A3395,全馬データ!$B$2:$B$50000,B3395,全馬データ!$C$2:$C$50000,C3395,全馬データ!$D$2:$D$50000,E3395)))</f>
        <v/>
      </c>
      <c r="AP3395" s="8" t="str">
        <f aca="false">IF(A3395="","",IF(AO3395="","欠損",IF(AO3395&lt;=1.1,"1.0～1.1",IF(AO3395&lt;1.3,"1.2",IF(AO3395&lt;1.5,"1.3～1.4",IF(AO3395&lt;2,"1.5～1.9","2.0以上"))))))</f>
        <v/>
      </c>
      <c r="AQ3395" s="8" t="str">
        <f aca="false">IF(A3395="","",IF(ISNUMBER(SEARCH("2歳",Z3395)),"2歳戦",IF(ISNUMBER(SEARCH("3歳未勝利",Z3395)),"3歳未勝利",IF(ISNUMBER(SEARCH("未勝利",Z3395)),"その他未勝利",IF(ISNUMBER(SEARCH("G1",Z3395)),"G1",IF(ISNUMBER(SEARCH("G2",Z3395)),"G2",IF(ISNUMBER(SEARCH("G3",Z3395)),"G3",IF(ISNUMBER(SEARCH("古馬条件",Z3395)),"古馬条件戦",IF(ISNUMBER(SEARCH("重賞",Z3395)),"重賞","分類不能")))))))))</f>
        <v/>
      </c>
    </row>
    <row r="3396" customFormat="false" ht="15.75" hidden="false" customHeight="false" outlineLevel="0" collapsed="false">
      <c r="AO3396" s="8" t="str">
        <f aca="false">IF(A3396="","",IF(COUNTIFS(全馬データ!$A$2:$A$50000,A3396,全馬データ!$B$2:$B$50000,B3396,全馬データ!$C$2:$C$50000,C3396,全馬データ!$D$2:$D$50000,E3396,全馬データ!$K$2:$K$50000,"&lt;&gt;")=0,"",SUMIFS(全馬データ!$K$2:$K$50000,全馬データ!$A$2:$A$50000,A3396,全馬データ!$B$2:$B$50000,B3396,全馬データ!$C$2:$C$50000,C3396,全馬データ!$D$2:$D$50000,E3396)))</f>
        <v/>
      </c>
      <c r="AP3396" s="8" t="str">
        <f aca="false">IF(A3396="","",IF(AO3396="","欠損",IF(AO3396&lt;=1.1,"1.0～1.1",IF(AO3396&lt;1.3,"1.2",IF(AO3396&lt;1.5,"1.3～1.4",IF(AO3396&lt;2,"1.5～1.9","2.0以上"))))))</f>
        <v/>
      </c>
      <c r="AQ3396" s="8" t="str">
        <f aca="false">IF(A3396="","",IF(ISNUMBER(SEARCH("2歳",Z3396)),"2歳戦",IF(ISNUMBER(SEARCH("3歳未勝利",Z3396)),"3歳未勝利",IF(ISNUMBER(SEARCH("未勝利",Z3396)),"その他未勝利",IF(ISNUMBER(SEARCH("G1",Z3396)),"G1",IF(ISNUMBER(SEARCH("G2",Z3396)),"G2",IF(ISNUMBER(SEARCH("G3",Z3396)),"G3",IF(ISNUMBER(SEARCH("古馬条件",Z3396)),"古馬条件戦",IF(ISNUMBER(SEARCH("重賞",Z3396)),"重賞","分類不能")))))))))</f>
        <v/>
      </c>
    </row>
    <row r="3397" customFormat="false" ht="15.75" hidden="false" customHeight="false" outlineLevel="0" collapsed="false">
      <c r="AO3397" s="8" t="str">
        <f aca="false">IF(A3397="","",IF(COUNTIFS(全馬データ!$A$2:$A$50000,A3397,全馬データ!$B$2:$B$50000,B3397,全馬データ!$C$2:$C$50000,C3397,全馬データ!$D$2:$D$50000,E3397,全馬データ!$K$2:$K$50000,"&lt;&gt;")=0,"",SUMIFS(全馬データ!$K$2:$K$50000,全馬データ!$A$2:$A$50000,A3397,全馬データ!$B$2:$B$50000,B3397,全馬データ!$C$2:$C$50000,C3397,全馬データ!$D$2:$D$50000,E3397)))</f>
        <v/>
      </c>
      <c r="AP3397" s="8" t="str">
        <f aca="false">IF(A3397="","",IF(AO3397="","欠損",IF(AO3397&lt;=1.1,"1.0～1.1",IF(AO3397&lt;1.3,"1.2",IF(AO3397&lt;1.5,"1.3～1.4",IF(AO3397&lt;2,"1.5～1.9","2.0以上"))))))</f>
        <v/>
      </c>
      <c r="AQ3397" s="8" t="str">
        <f aca="false">IF(A3397="","",IF(ISNUMBER(SEARCH("2歳",Z3397)),"2歳戦",IF(ISNUMBER(SEARCH("3歳未勝利",Z3397)),"3歳未勝利",IF(ISNUMBER(SEARCH("未勝利",Z3397)),"その他未勝利",IF(ISNUMBER(SEARCH("G1",Z3397)),"G1",IF(ISNUMBER(SEARCH("G2",Z3397)),"G2",IF(ISNUMBER(SEARCH("G3",Z3397)),"G3",IF(ISNUMBER(SEARCH("古馬条件",Z3397)),"古馬条件戦",IF(ISNUMBER(SEARCH("重賞",Z3397)),"重賞","分類不能")))))))))</f>
        <v/>
      </c>
    </row>
    <row r="3398" customFormat="false" ht="15.75" hidden="false" customHeight="false" outlineLevel="0" collapsed="false">
      <c r="AO3398" s="8" t="str">
        <f aca="false">IF(A3398="","",IF(COUNTIFS(全馬データ!$A$2:$A$50000,A3398,全馬データ!$B$2:$B$50000,B3398,全馬データ!$C$2:$C$50000,C3398,全馬データ!$D$2:$D$50000,E3398,全馬データ!$K$2:$K$50000,"&lt;&gt;")=0,"",SUMIFS(全馬データ!$K$2:$K$50000,全馬データ!$A$2:$A$50000,A3398,全馬データ!$B$2:$B$50000,B3398,全馬データ!$C$2:$C$50000,C3398,全馬データ!$D$2:$D$50000,E3398)))</f>
        <v/>
      </c>
      <c r="AP3398" s="8" t="str">
        <f aca="false">IF(A3398="","",IF(AO3398="","欠損",IF(AO3398&lt;=1.1,"1.0～1.1",IF(AO3398&lt;1.3,"1.2",IF(AO3398&lt;1.5,"1.3～1.4",IF(AO3398&lt;2,"1.5～1.9","2.0以上"))))))</f>
        <v/>
      </c>
      <c r="AQ3398" s="8" t="str">
        <f aca="false">IF(A3398="","",IF(ISNUMBER(SEARCH("2歳",Z3398)),"2歳戦",IF(ISNUMBER(SEARCH("3歳未勝利",Z3398)),"3歳未勝利",IF(ISNUMBER(SEARCH("未勝利",Z3398)),"その他未勝利",IF(ISNUMBER(SEARCH("G1",Z3398)),"G1",IF(ISNUMBER(SEARCH("G2",Z3398)),"G2",IF(ISNUMBER(SEARCH("G3",Z3398)),"G3",IF(ISNUMBER(SEARCH("古馬条件",Z3398)),"古馬条件戦",IF(ISNUMBER(SEARCH("重賞",Z3398)),"重賞","分類不能")))))))))</f>
        <v/>
      </c>
    </row>
    <row r="3399" customFormat="false" ht="15.75" hidden="false" customHeight="false" outlineLevel="0" collapsed="false">
      <c r="AO3399" s="8" t="str">
        <f aca="false">IF(A3399="","",IF(COUNTIFS(全馬データ!$A$2:$A$50000,A3399,全馬データ!$B$2:$B$50000,B3399,全馬データ!$C$2:$C$50000,C3399,全馬データ!$D$2:$D$50000,E3399,全馬データ!$K$2:$K$50000,"&lt;&gt;")=0,"",SUMIFS(全馬データ!$K$2:$K$50000,全馬データ!$A$2:$A$50000,A3399,全馬データ!$B$2:$B$50000,B3399,全馬データ!$C$2:$C$50000,C3399,全馬データ!$D$2:$D$50000,E3399)))</f>
        <v/>
      </c>
      <c r="AP3399" s="8" t="str">
        <f aca="false">IF(A3399="","",IF(AO3399="","欠損",IF(AO3399&lt;=1.1,"1.0～1.1",IF(AO3399&lt;1.3,"1.2",IF(AO3399&lt;1.5,"1.3～1.4",IF(AO3399&lt;2,"1.5～1.9","2.0以上"))))))</f>
        <v/>
      </c>
      <c r="AQ3399" s="8" t="str">
        <f aca="false">IF(A3399="","",IF(ISNUMBER(SEARCH("2歳",Z3399)),"2歳戦",IF(ISNUMBER(SEARCH("3歳未勝利",Z3399)),"3歳未勝利",IF(ISNUMBER(SEARCH("未勝利",Z3399)),"その他未勝利",IF(ISNUMBER(SEARCH("G1",Z3399)),"G1",IF(ISNUMBER(SEARCH("G2",Z3399)),"G2",IF(ISNUMBER(SEARCH("G3",Z3399)),"G3",IF(ISNUMBER(SEARCH("古馬条件",Z3399)),"古馬条件戦",IF(ISNUMBER(SEARCH("重賞",Z3399)),"重賞","分類不能")))))))))</f>
        <v/>
      </c>
    </row>
    <row r="3400" customFormat="false" ht="15.75" hidden="false" customHeight="false" outlineLevel="0" collapsed="false">
      <c r="AO3400" s="8" t="str">
        <f aca="false">IF(A3400="","",IF(COUNTIFS(全馬データ!$A$2:$A$50000,A3400,全馬データ!$B$2:$B$50000,B3400,全馬データ!$C$2:$C$50000,C3400,全馬データ!$D$2:$D$50000,E3400,全馬データ!$K$2:$K$50000,"&lt;&gt;")=0,"",SUMIFS(全馬データ!$K$2:$K$50000,全馬データ!$A$2:$A$50000,A3400,全馬データ!$B$2:$B$50000,B3400,全馬データ!$C$2:$C$50000,C3400,全馬データ!$D$2:$D$50000,E3400)))</f>
        <v/>
      </c>
      <c r="AP3400" s="8" t="str">
        <f aca="false">IF(A3400="","",IF(AO3400="","欠損",IF(AO3400&lt;=1.1,"1.0～1.1",IF(AO3400&lt;1.3,"1.2",IF(AO3400&lt;1.5,"1.3～1.4",IF(AO3400&lt;2,"1.5～1.9","2.0以上"))))))</f>
        <v/>
      </c>
      <c r="AQ3400" s="8" t="str">
        <f aca="false">IF(A3400="","",IF(ISNUMBER(SEARCH("2歳",Z3400)),"2歳戦",IF(ISNUMBER(SEARCH("3歳未勝利",Z3400)),"3歳未勝利",IF(ISNUMBER(SEARCH("未勝利",Z3400)),"その他未勝利",IF(ISNUMBER(SEARCH("G1",Z3400)),"G1",IF(ISNUMBER(SEARCH("G2",Z3400)),"G2",IF(ISNUMBER(SEARCH("G3",Z3400)),"G3",IF(ISNUMBER(SEARCH("古馬条件",Z3400)),"古馬条件戦",IF(ISNUMBER(SEARCH("重賞",Z3400)),"重賞","分類不能")))))))))</f>
        <v/>
      </c>
    </row>
    <row r="3401" customFormat="false" ht="15.75" hidden="false" customHeight="false" outlineLevel="0" collapsed="false">
      <c r="AO3401" s="8" t="str">
        <f aca="false">IF(A3401="","",IF(COUNTIFS(全馬データ!$A$2:$A$50000,A3401,全馬データ!$B$2:$B$50000,B3401,全馬データ!$C$2:$C$50000,C3401,全馬データ!$D$2:$D$50000,E3401,全馬データ!$K$2:$K$50000,"&lt;&gt;")=0,"",SUMIFS(全馬データ!$K$2:$K$50000,全馬データ!$A$2:$A$50000,A3401,全馬データ!$B$2:$B$50000,B3401,全馬データ!$C$2:$C$50000,C3401,全馬データ!$D$2:$D$50000,E3401)))</f>
        <v/>
      </c>
      <c r="AP3401" s="8" t="str">
        <f aca="false">IF(A3401="","",IF(AO3401="","欠損",IF(AO3401&lt;=1.1,"1.0～1.1",IF(AO3401&lt;1.3,"1.2",IF(AO3401&lt;1.5,"1.3～1.4",IF(AO3401&lt;2,"1.5～1.9","2.0以上"))))))</f>
        <v/>
      </c>
      <c r="AQ3401" s="8" t="str">
        <f aca="false">IF(A3401="","",IF(ISNUMBER(SEARCH("2歳",Z3401)),"2歳戦",IF(ISNUMBER(SEARCH("3歳未勝利",Z3401)),"3歳未勝利",IF(ISNUMBER(SEARCH("未勝利",Z3401)),"その他未勝利",IF(ISNUMBER(SEARCH("G1",Z3401)),"G1",IF(ISNUMBER(SEARCH("G2",Z3401)),"G2",IF(ISNUMBER(SEARCH("G3",Z3401)),"G3",IF(ISNUMBER(SEARCH("古馬条件",Z3401)),"古馬条件戦",IF(ISNUMBER(SEARCH("重賞",Z3401)),"重賞","分類不能")))))))))</f>
        <v/>
      </c>
    </row>
    <row r="3402" customFormat="false" ht="15.75" hidden="false" customHeight="false" outlineLevel="0" collapsed="false">
      <c r="AO3402" s="8" t="str">
        <f aca="false">IF(A3402="","",IF(COUNTIFS(全馬データ!$A$2:$A$50000,A3402,全馬データ!$B$2:$B$50000,B3402,全馬データ!$C$2:$C$50000,C3402,全馬データ!$D$2:$D$50000,E3402,全馬データ!$K$2:$K$50000,"&lt;&gt;")=0,"",SUMIFS(全馬データ!$K$2:$K$50000,全馬データ!$A$2:$A$50000,A3402,全馬データ!$B$2:$B$50000,B3402,全馬データ!$C$2:$C$50000,C3402,全馬データ!$D$2:$D$50000,E3402)))</f>
        <v/>
      </c>
      <c r="AP3402" s="8" t="str">
        <f aca="false">IF(A3402="","",IF(AO3402="","欠損",IF(AO3402&lt;=1.1,"1.0～1.1",IF(AO3402&lt;1.3,"1.2",IF(AO3402&lt;1.5,"1.3～1.4",IF(AO3402&lt;2,"1.5～1.9","2.0以上"))))))</f>
        <v/>
      </c>
      <c r="AQ3402" s="8" t="str">
        <f aca="false">IF(A3402="","",IF(ISNUMBER(SEARCH("2歳",Z3402)),"2歳戦",IF(ISNUMBER(SEARCH("3歳未勝利",Z3402)),"3歳未勝利",IF(ISNUMBER(SEARCH("未勝利",Z3402)),"その他未勝利",IF(ISNUMBER(SEARCH("G1",Z3402)),"G1",IF(ISNUMBER(SEARCH("G2",Z3402)),"G2",IF(ISNUMBER(SEARCH("G3",Z3402)),"G3",IF(ISNUMBER(SEARCH("古馬条件",Z3402)),"古馬条件戦",IF(ISNUMBER(SEARCH("重賞",Z3402)),"重賞","分類不能")))))))))</f>
        <v/>
      </c>
    </row>
    <row r="3403" customFormat="false" ht="15.75" hidden="false" customHeight="false" outlineLevel="0" collapsed="false">
      <c r="AO3403" s="8" t="str">
        <f aca="false">IF(A3403="","",IF(COUNTIFS(全馬データ!$A$2:$A$50000,A3403,全馬データ!$B$2:$B$50000,B3403,全馬データ!$C$2:$C$50000,C3403,全馬データ!$D$2:$D$50000,E3403,全馬データ!$K$2:$K$50000,"&lt;&gt;")=0,"",SUMIFS(全馬データ!$K$2:$K$50000,全馬データ!$A$2:$A$50000,A3403,全馬データ!$B$2:$B$50000,B3403,全馬データ!$C$2:$C$50000,C3403,全馬データ!$D$2:$D$50000,E3403)))</f>
        <v/>
      </c>
      <c r="AP3403" s="8" t="str">
        <f aca="false">IF(A3403="","",IF(AO3403="","欠損",IF(AO3403&lt;=1.1,"1.0～1.1",IF(AO3403&lt;1.3,"1.2",IF(AO3403&lt;1.5,"1.3～1.4",IF(AO3403&lt;2,"1.5～1.9","2.0以上"))))))</f>
        <v/>
      </c>
      <c r="AQ3403" s="8" t="str">
        <f aca="false">IF(A3403="","",IF(ISNUMBER(SEARCH("2歳",Z3403)),"2歳戦",IF(ISNUMBER(SEARCH("3歳未勝利",Z3403)),"3歳未勝利",IF(ISNUMBER(SEARCH("未勝利",Z3403)),"その他未勝利",IF(ISNUMBER(SEARCH("G1",Z3403)),"G1",IF(ISNUMBER(SEARCH("G2",Z3403)),"G2",IF(ISNUMBER(SEARCH("G3",Z3403)),"G3",IF(ISNUMBER(SEARCH("古馬条件",Z3403)),"古馬条件戦",IF(ISNUMBER(SEARCH("重賞",Z3403)),"重賞","分類不能")))))))))</f>
        <v/>
      </c>
    </row>
    <row r="3404" customFormat="false" ht="15.75" hidden="false" customHeight="false" outlineLevel="0" collapsed="false">
      <c r="AO3404" s="8" t="str">
        <f aca="false">IF(A3404="","",IF(COUNTIFS(全馬データ!$A$2:$A$50000,A3404,全馬データ!$B$2:$B$50000,B3404,全馬データ!$C$2:$C$50000,C3404,全馬データ!$D$2:$D$50000,E3404,全馬データ!$K$2:$K$50000,"&lt;&gt;")=0,"",SUMIFS(全馬データ!$K$2:$K$50000,全馬データ!$A$2:$A$50000,A3404,全馬データ!$B$2:$B$50000,B3404,全馬データ!$C$2:$C$50000,C3404,全馬データ!$D$2:$D$50000,E3404)))</f>
        <v/>
      </c>
      <c r="AP3404" s="8" t="str">
        <f aca="false">IF(A3404="","",IF(AO3404="","欠損",IF(AO3404&lt;=1.1,"1.0～1.1",IF(AO3404&lt;1.3,"1.2",IF(AO3404&lt;1.5,"1.3～1.4",IF(AO3404&lt;2,"1.5～1.9","2.0以上"))))))</f>
        <v/>
      </c>
      <c r="AQ3404" s="8" t="str">
        <f aca="false">IF(A3404="","",IF(ISNUMBER(SEARCH("2歳",Z3404)),"2歳戦",IF(ISNUMBER(SEARCH("3歳未勝利",Z3404)),"3歳未勝利",IF(ISNUMBER(SEARCH("未勝利",Z3404)),"その他未勝利",IF(ISNUMBER(SEARCH("G1",Z3404)),"G1",IF(ISNUMBER(SEARCH("G2",Z3404)),"G2",IF(ISNUMBER(SEARCH("G3",Z3404)),"G3",IF(ISNUMBER(SEARCH("古馬条件",Z3404)),"古馬条件戦",IF(ISNUMBER(SEARCH("重賞",Z3404)),"重賞","分類不能")))))))))</f>
        <v/>
      </c>
    </row>
    <row r="3405" customFormat="false" ht="15.75" hidden="false" customHeight="false" outlineLevel="0" collapsed="false">
      <c r="AO3405" s="8" t="str">
        <f aca="false">IF(A3405="","",IF(COUNTIFS(全馬データ!$A$2:$A$50000,A3405,全馬データ!$B$2:$B$50000,B3405,全馬データ!$C$2:$C$50000,C3405,全馬データ!$D$2:$D$50000,E3405,全馬データ!$K$2:$K$50000,"&lt;&gt;")=0,"",SUMIFS(全馬データ!$K$2:$K$50000,全馬データ!$A$2:$A$50000,A3405,全馬データ!$B$2:$B$50000,B3405,全馬データ!$C$2:$C$50000,C3405,全馬データ!$D$2:$D$50000,E3405)))</f>
        <v/>
      </c>
      <c r="AP3405" s="8" t="str">
        <f aca="false">IF(A3405="","",IF(AO3405="","欠損",IF(AO3405&lt;=1.1,"1.0～1.1",IF(AO3405&lt;1.3,"1.2",IF(AO3405&lt;1.5,"1.3～1.4",IF(AO3405&lt;2,"1.5～1.9","2.0以上"))))))</f>
        <v/>
      </c>
      <c r="AQ3405" s="8" t="str">
        <f aca="false">IF(A3405="","",IF(ISNUMBER(SEARCH("2歳",Z3405)),"2歳戦",IF(ISNUMBER(SEARCH("3歳未勝利",Z3405)),"3歳未勝利",IF(ISNUMBER(SEARCH("未勝利",Z3405)),"その他未勝利",IF(ISNUMBER(SEARCH("G1",Z3405)),"G1",IF(ISNUMBER(SEARCH("G2",Z3405)),"G2",IF(ISNUMBER(SEARCH("G3",Z3405)),"G3",IF(ISNUMBER(SEARCH("古馬条件",Z3405)),"古馬条件戦",IF(ISNUMBER(SEARCH("重賞",Z3405)),"重賞","分類不能")))))))))</f>
        <v/>
      </c>
    </row>
    <row r="3406" customFormat="false" ht="15.75" hidden="false" customHeight="false" outlineLevel="0" collapsed="false">
      <c r="AO3406" s="8" t="str">
        <f aca="false">IF(A3406="","",IF(COUNTIFS(全馬データ!$A$2:$A$50000,A3406,全馬データ!$B$2:$B$50000,B3406,全馬データ!$C$2:$C$50000,C3406,全馬データ!$D$2:$D$50000,E3406,全馬データ!$K$2:$K$50000,"&lt;&gt;")=0,"",SUMIFS(全馬データ!$K$2:$K$50000,全馬データ!$A$2:$A$50000,A3406,全馬データ!$B$2:$B$50000,B3406,全馬データ!$C$2:$C$50000,C3406,全馬データ!$D$2:$D$50000,E3406)))</f>
        <v/>
      </c>
      <c r="AP3406" s="8" t="str">
        <f aca="false">IF(A3406="","",IF(AO3406="","欠損",IF(AO3406&lt;=1.1,"1.0～1.1",IF(AO3406&lt;1.3,"1.2",IF(AO3406&lt;1.5,"1.3～1.4",IF(AO3406&lt;2,"1.5～1.9","2.0以上"))))))</f>
        <v/>
      </c>
      <c r="AQ3406" s="8" t="str">
        <f aca="false">IF(A3406="","",IF(ISNUMBER(SEARCH("2歳",Z3406)),"2歳戦",IF(ISNUMBER(SEARCH("3歳未勝利",Z3406)),"3歳未勝利",IF(ISNUMBER(SEARCH("未勝利",Z3406)),"その他未勝利",IF(ISNUMBER(SEARCH("G1",Z3406)),"G1",IF(ISNUMBER(SEARCH("G2",Z3406)),"G2",IF(ISNUMBER(SEARCH("G3",Z3406)),"G3",IF(ISNUMBER(SEARCH("古馬条件",Z3406)),"古馬条件戦",IF(ISNUMBER(SEARCH("重賞",Z3406)),"重賞","分類不能")))))))))</f>
        <v/>
      </c>
    </row>
    <row r="3407" customFormat="false" ht="15.75" hidden="false" customHeight="false" outlineLevel="0" collapsed="false">
      <c r="AO3407" s="8" t="str">
        <f aca="false">IF(A3407="","",IF(COUNTIFS(全馬データ!$A$2:$A$50000,A3407,全馬データ!$B$2:$B$50000,B3407,全馬データ!$C$2:$C$50000,C3407,全馬データ!$D$2:$D$50000,E3407,全馬データ!$K$2:$K$50000,"&lt;&gt;")=0,"",SUMIFS(全馬データ!$K$2:$K$50000,全馬データ!$A$2:$A$50000,A3407,全馬データ!$B$2:$B$50000,B3407,全馬データ!$C$2:$C$50000,C3407,全馬データ!$D$2:$D$50000,E3407)))</f>
        <v/>
      </c>
      <c r="AP3407" s="8" t="str">
        <f aca="false">IF(A3407="","",IF(AO3407="","欠損",IF(AO3407&lt;=1.1,"1.0～1.1",IF(AO3407&lt;1.3,"1.2",IF(AO3407&lt;1.5,"1.3～1.4",IF(AO3407&lt;2,"1.5～1.9","2.0以上"))))))</f>
        <v/>
      </c>
      <c r="AQ3407" s="8" t="str">
        <f aca="false">IF(A3407="","",IF(ISNUMBER(SEARCH("2歳",Z3407)),"2歳戦",IF(ISNUMBER(SEARCH("3歳未勝利",Z3407)),"3歳未勝利",IF(ISNUMBER(SEARCH("未勝利",Z3407)),"その他未勝利",IF(ISNUMBER(SEARCH("G1",Z3407)),"G1",IF(ISNUMBER(SEARCH("G2",Z3407)),"G2",IF(ISNUMBER(SEARCH("G3",Z3407)),"G3",IF(ISNUMBER(SEARCH("古馬条件",Z3407)),"古馬条件戦",IF(ISNUMBER(SEARCH("重賞",Z3407)),"重賞","分類不能")))))))))</f>
        <v/>
      </c>
    </row>
    <row r="3408" customFormat="false" ht="15.75" hidden="false" customHeight="false" outlineLevel="0" collapsed="false">
      <c r="AO3408" s="8" t="str">
        <f aca="false">IF(A3408="","",IF(COUNTIFS(全馬データ!$A$2:$A$50000,A3408,全馬データ!$B$2:$B$50000,B3408,全馬データ!$C$2:$C$50000,C3408,全馬データ!$D$2:$D$50000,E3408,全馬データ!$K$2:$K$50000,"&lt;&gt;")=0,"",SUMIFS(全馬データ!$K$2:$K$50000,全馬データ!$A$2:$A$50000,A3408,全馬データ!$B$2:$B$50000,B3408,全馬データ!$C$2:$C$50000,C3408,全馬データ!$D$2:$D$50000,E3408)))</f>
        <v/>
      </c>
      <c r="AP3408" s="8" t="str">
        <f aca="false">IF(A3408="","",IF(AO3408="","欠損",IF(AO3408&lt;=1.1,"1.0～1.1",IF(AO3408&lt;1.3,"1.2",IF(AO3408&lt;1.5,"1.3～1.4",IF(AO3408&lt;2,"1.5～1.9","2.0以上"))))))</f>
        <v/>
      </c>
      <c r="AQ3408" s="8" t="str">
        <f aca="false">IF(A3408="","",IF(ISNUMBER(SEARCH("2歳",Z3408)),"2歳戦",IF(ISNUMBER(SEARCH("3歳未勝利",Z3408)),"3歳未勝利",IF(ISNUMBER(SEARCH("未勝利",Z3408)),"その他未勝利",IF(ISNUMBER(SEARCH("G1",Z3408)),"G1",IF(ISNUMBER(SEARCH("G2",Z3408)),"G2",IF(ISNUMBER(SEARCH("G3",Z3408)),"G3",IF(ISNUMBER(SEARCH("古馬条件",Z3408)),"古馬条件戦",IF(ISNUMBER(SEARCH("重賞",Z3408)),"重賞","分類不能")))))))))</f>
        <v/>
      </c>
    </row>
    <row r="3409" customFormat="false" ht="15.75" hidden="false" customHeight="false" outlineLevel="0" collapsed="false">
      <c r="AO3409" s="8" t="str">
        <f aca="false">IF(A3409="","",IF(COUNTIFS(全馬データ!$A$2:$A$50000,A3409,全馬データ!$B$2:$B$50000,B3409,全馬データ!$C$2:$C$50000,C3409,全馬データ!$D$2:$D$50000,E3409,全馬データ!$K$2:$K$50000,"&lt;&gt;")=0,"",SUMIFS(全馬データ!$K$2:$K$50000,全馬データ!$A$2:$A$50000,A3409,全馬データ!$B$2:$B$50000,B3409,全馬データ!$C$2:$C$50000,C3409,全馬データ!$D$2:$D$50000,E3409)))</f>
        <v/>
      </c>
      <c r="AP3409" s="8" t="str">
        <f aca="false">IF(A3409="","",IF(AO3409="","欠損",IF(AO3409&lt;=1.1,"1.0～1.1",IF(AO3409&lt;1.3,"1.2",IF(AO3409&lt;1.5,"1.3～1.4",IF(AO3409&lt;2,"1.5～1.9","2.0以上"))))))</f>
        <v/>
      </c>
      <c r="AQ3409" s="8" t="str">
        <f aca="false">IF(A3409="","",IF(ISNUMBER(SEARCH("2歳",Z3409)),"2歳戦",IF(ISNUMBER(SEARCH("3歳未勝利",Z3409)),"3歳未勝利",IF(ISNUMBER(SEARCH("未勝利",Z3409)),"その他未勝利",IF(ISNUMBER(SEARCH("G1",Z3409)),"G1",IF(ISNUMBER(SEARCH("G2",Z3409)),"G2",IF(ISNUMBER(SEARCH("G3",Z3409)),"G3",IF(ISNUMBER(SEARCH("古馬条件",Z3409)),"古馬条件戦",IF(ISNUMBER(SEARCH("重賞",Z3409)),"重賞","分類不能")))))))))</f>
        <v/>
      </c>
    </row>
    <row r="3410" customFormat="false" ht="15.75" hidden="false" customHeight="false" outlineLevel="0" collapsed="false">
      <c r="AO3410" s="8" t="str">
        <f aca="false">IF(A3410="","",IF(COUNTIFS(全馬データ!$A$2:$A$50000,A3410,全馬データ!$B$2:$B$50000,B3410,全馬データ!$C$2:$C$50000,C3410,全馬データ!$D$2:$D$50000,E3410,全馬データ!$K$2:$K$50000,"&lt;&gt;")=0,"",SUMIFS(全馬データ!$K$2:$K$50000,全馬データ!$A$2:$A$50000,A3410,全馬データ!$B$2:$B$50000,B3410,全馬データ!$C$2:$C$50000,C3410,全馬データ!$D$2:$D$50000,E3410)))</f>
        <v/>
      </c>
      <c r="AP3410" s="8" t="str">
        <f aca="false">IF(A3410="","",IF(AO3410="","欠損",IF(AO3410&lt;=1.1,"1.0～1.1",IF(AO3410&lt;1.3,"1.2",IF(AO3410&lt;1.5,"1.3～1.4",IF(AO3410&lt;2,"1.5～1.9","2.0以上"))))))</f>
        <v/>
      </c>
      <c r="AQ3410" s="8" t="str">
        <f aca="false">IF(A3410="","",IF(ISNUMBER(SEARCH("2歳",Z3410)),"2歳戦",IF(ISNUMBER(SEARCH("3歳未勝利",Z3410)),"3歳未勝利",IF(ISNUMBER(SEARCH("未勝利",Z3410)),"その他未勝利",IF(ISNUMBER(SEARCH("G1",Z3410)),"G1",IF(ISNUMBER(SEARCH("G2",Z3410)),"G2",IF(ISNUMBER(SEARCH("G3",Z3410)),"G3",IF(ISNUMBER(SEARCH("古馬条件",Z3410)),"古馬条件戦",IF(ISNUMBER(SEARCH("重賞",Z3410)),"重賞","分類不能")))))))))</f>
        <v/>
      </c>
    </row>
    <row r="3411" customFormat="false" ht="15.75" hidden="false" customHeight="false" outlineLevel="0" collapsed="false">
      <c r="AO3411" s="8" t="str">
        <f aca="false">IF(A3411="","",IF(COUNTIFS(全馬データ!$A$2:$A$50000,A3411,全馬データ!$B$2:$B$50000,B3411,全馬データ!$C$2:$C$50000,C3411,全馬データ!$D$2:$D$50000,E3411,全馬データ!$K$2:$K$50000,"&lt;&gt;")=0,"",SUMIFS(全馬データ!$K$2:$K$50000,全馬データ!$A$2:$A$50000,A3411,全馬データ!$B$2:$B$50000,B3411,全馬データ!$C$2:$C$50000,C3411,全馬データ!$D$2:$D$50000,E3411)))</f>
        <v/>
      </c>
      <c r="AP3411" s="8" t="str">
        <f aca="false">IF(A3411="","",IF(AO3411="","欠損",IF(AO3411&lt;=1.1,"1.0～1.1",IF(AO3411&lt;1.3,"1.2",IF(AO3411&lt;1.5,"1.3～1.4",IF(AO3411&lt;2,"1.5～1.9","2.0以上"))))))</f>
        <v/>
      </c>
      <c r="AQ3411" s="8" t="str">
        <f aca="false">IF(A3411="","",IF(ISNUMBER(SEARCH("2歳",Z3411)),"2歳戦",IF(ISNUMBER(SEARCH("3歳未勝利",Z3411)),"3歳未勝利",IF(ISNUMBER(SEARCH("未勝利",Z3411)),"その他未勝利",IF(ISNUMBER(SEARCH("G1",Z3411)),"G1",IF(ISNUMBER(SEARCH("G2",Z3411)),"G2",IF(ISNUMBER(SEARCH("G3",Z3411)),"G3",IF(ISNUMBER(SEARCH("古馬条件",Z3411)),"古馬条件戦",IF(ISNUMBER(SEARCH("重賞",Z3411)),"重賞","分類不能")))))))))</f>
        <v/>
      </c>
    </row>
    <row r="3412" customFormat="false" ht="15.75" hidden="false" customHeight="false" outlineLevel="0" collapsed="false">
      <c r="AO3412" s="8" t="str">
        <f aca="false">IF(A3412="","",IF(COUNTIFS(全馬データ!$A$2:$A$50000,A3412,全馬データ!$B$2:$B$50000,B3412,全馬データ!$C$2:$C$50000,C3412,全馬データ!$D$2:$D$50000,E3412,全馬データ!$K$2:$K$50000,"&lt;&gt;")=0,"",SUMIFS(全馬データ!$K$2:$K$50000,全馬データ!$A$2:$A$50000,A3412,全馬データ!$B$2:$B$50000,B3412,全馬データ!$C$2:$C$50000,C3412,全馬データ!$D$2:$D$50000,E3412)))</f>
        <v/>
      </c>
      <c r="AP3412" s="8" t="str">
        <f aca="false">IF(A3412="","",IF(AO3412="","欠損",IF(AO3412&lt;=1.1,"1.0～1.1",IF(AO3412&lt;1.3,"1.2",IF(AO3412&lt;1.5,"1.3～1.4",IF(AO3412&lt;2,"1.5～1.9","2.0以上"))))))</f>
        <v/>
      </c>
      <c r="AQ3412" s="8" t="str">
        <f aca="false">IF(A3412="","",IF(ISNUMBER(SEARCH("2歳",Z3412)),"2歳戦",IF(ISNUMBER(SEARCH("3歳未勝利",Z3412)),"3歳未勝利",IF(ISNUMBER(SEARCH("未勝利",Z3412)),"その他未勝利",IF(ISNUMBER(SEARCH("G1",Z3412)),"G1",IF(ISNUMBER(SEARCH("G2",Z3412)),"G2",IF(ISNUMBER(SEARCH("G3",Z3412)),"G3",IF(ISNUMBER(SEARCH("古馬条件",Z3412)),"古馬条件戦",IF(ISNUMBER(SEARCH("重賞",Z3412)),"重賞","分類不能")))))))))</f>
        <v/>
      </c>
    </row>
    <row r="3413" customFormat="false" ht="15.75" hidden="false" customHeight="false" outlineLevel="0" collapsed="false">
      <c r="AO3413" s="8" t="str">
        <f aca="false">IF(A3413="","",IF(COUNTIFS(全馬データ!$A$2:$A$50000,A3413,全馬データ!$B$2:$B$50000,B3413,全馬データ!$C$2:$C$50000,C3413,全馬データ!$D$2:$D$50000,E3413,全馬データ!$K$2:$K$50000,"&lt;&gt;")=0,"",SUMIFS(全馬データ!$K$2:$K$50000,全馬データ!$A$2:$A$50000,A3413,全馬データ!$B$2:$B$50000,B3413,全馬データ!$C$2:$C$50000,C3413,全馬データ!$D$2:$D$50000,E3413)))</f>
        <v/>
      </c>
      <c r="AP3413" s="8" t="str">
        <f aca="false">IF(A3413="","",IF(AO3413="","欠損",IF(AO3413&lt;=1.1,"1.0～1.1",IF(AO3413&lt;1.3,"1.2",IF(AO3413&lt;1.5,"1.3～1.4",IF(AO3413&lt;2,"1.5～1.9","2.0以上"))))))</f>
        <v/>
      </c>
      <c r="AQ3413" s="8" t="str">
        <f aca="false">IF(A3413="","",IF(ISNUMBER(SEARCH("2歳",Z3413)),"2歳戦",IF(ISNUMBER(SEARCH("3歳未勝利",Z3413)),"3歳未勝利",IF(ISNUMBER(SEARCH("未勝利",Z3413)),"その他未勝利",IF(ISNUMBER(SEARCH("G1",Z3413)),"G1",IF(ISNUMBER(SEARCH("G2",Z3413)),"G2",IF(ISNUMBER(SEARCH("G3",Z3413)),"G3",IF(ISNUMBER(SEARCH("古馬条件",Z3413)),"古馬条件戦",IF(ISNUMBER(SEARCH("重賞",Z3413)),"重賞","分類不能")))))))))</f>
        <v/>
      </c>
    </row>
    <row r="3414" customFormat="false" ht="15.75" hidden="false" customHeight="false" outlineLevel="0" collapsed="false">
      <c r="AO3414" s="8" t="str">
        <f aca="false">IF(A3414="","",IF(COUNTIFS(全馬データ!$A$2:$A$50000,A3414,全馬データ!$B$2:$B$50000,B3414,全馬データ!$C$2:$C$50000,C3414,全馬データ!$D$2:$D$50000,E3414,全馬データ!$K$2:$K$50000,"&lt;&gt;")=0,"",SUMIFS(全馬データ!$K$2:$K$50000,全馬データ!$A$2:$A$50000,A3414,全馬データ!$B$2:$B$50000,B3414,全馬データ!$C$2:$C$50000,C3414,全馬データ!$D$2:$D$50000,E3414)))</f>
        <v/>
      </c>
      <c r="AP3414" s="8" t="str">
        <f aca="false">IF(A3414="","",IF(AO3414="","欠損",IF(AO3414&lt;=1.1,"1.0～1.1",IF(AO3414&lt;1.3,"1.2",IF(AO3414&lt;1.5,"1.3～1.4",IF(AO3414&lt;2,"1.5～1.9","2.0以上"))))))</f>
        <v/>
      </c>
      <c r="AQ3414" s="8" t="str">
        <f aca="false">IF(A3414="","",IF(ISNUMBER(SEARCH("2歳",Z3414)),"2歳戦",IF(ISNUMBER(SEARCH("3歳未勝利",Z3414)),"3歳未勝利",IF(ISNUMBER(SEARCH("未勝利",Z3414)),"その他未勝利",IF(ISNUMBER(SEARCH("G1",Z3414)),"G1",IF(ISNUMBER(SEARCH("G2",Z3414)),"G2",IF(ISNUMBER(SEARCH("G3",Z3414)),"G3",IF(ISNUMBER(SEARCH("古馬条件",Z3414)),"古馬条件戦",IF(ISNUMBER(SEARCH("重賞",Z3414)),"重賞","分類不能")))))))))</f>
        <v/>
      </c>
    </row>
    <row r="3415" customFormat="false" ht="15.75" hidden="false" customHeight="false" outlineLevel="0" collapsed="false">
      <c r="AO3415" s="8" t="str">
        <f aca="false">IF(A3415="","",IF(COUNTIFS(全馬データ!$A$2:$A$50000,A3415,全馬データ!$B$2:$B$50000,B3415,全馬データ!$C$2:$C$50000,C3415,全馬データ!$D$2:$D$50000,E3415,全馬データ!$K$2:$K$50000,"&lt;&gt;")=0,"",SUMIFS(全馬データ!$K$2:$K$50000,全馬データ!$A$2:$A$50000,A3415,全馬データ!$B$2:$B$50000,B3415,全馬データ!$C$2:$C$50000,C3415,全馬データ!$D$2:$D$50000,E3415)))</f>
        <v/>
      </c>
      <c r="AP3415" s="8" t="str">
        <f aca="false">IF(A3415="","",IF(AO3415="","欠損",IF(AO3415&lt;=1.1,"1.0～1.1",IF(AO3415&lt;1.3,"1.2",IF(AO3415&lt;1.5,"1.3～1.4",IF(AO3415&lt;2,"1.5～1.9","2.0以上"))))))</f>
        <v/>
      </c>
      <c r="AQ3415" s="8" t="str">
        <f aca="false">IF(A3415="","",IF(ISNUMBER(SEARCH("2歳",Z3415)),"2歳戦",IF(ISNUMBER(SEARCH("3歳未勝利",Z3415)),"3歳未勝利",IF(ISNUMBER(SEARCH("未勝利",Z3415)),"その他未勝利",IF(ISNUMBER(SEARCH("G1",Z3415)),"G1",IF(ISNUMBER(SEARCH("G2",Z3415)),"G2",IF(ISNUMBER(SEARCH("G3",Z3415)),"G3",IF(ISNUMBER(SEARCH("古馬条件",Z3415)),"古馬条件戦",IF(ISNUMBER(SEARCH("重賞",Z3415)),"重賞","分類不能")))))))))</f>
        <v/>
      </c>
    </row>
    <row r="3416" customFormat="false" ht="15.75" hidden="false" customHeight="false" outlineLevel="0" collapsed="false">
      <c r="AO3416" s="8" t="str">
        <f aca="false">IF(A3416="","",IF(COUNTIFS(全馬データ!$A$2:$A$50000,A3416,全馬データ!$B$2:$B$50000,B3416,全馬データ!$C$2:$C$50000,C3416,全馬データ!$D$2:$D$50000,E3416,全馬データ!$K$2:$K$50000,"&lt;&gt;")=0,"",SUMIFS(全馬データ!$K$2:$K$50000,全馬データ!$A$2:$A$50000,A3416,全馬データ!$B$2:$B$50000,B3416,全馬データ!$C$2:$C$50000,C3416,全馬データ!$D$2:$D$50000,E3416)))</f>
        <v/>
      </c>
      <c r="AP3416" s="8" t="str">
        <f aca="false">IF(A3416="","",IF(AO3416="","欠損",IF(AO3416&lt;=1.1,"1.0～1.1",IF(AO3416&lt;1.3,"1.2",IF(AO3416&lt;1.5,"1.3～1.4",IF(AO3416&lt;2,"1.5～1.9","2.0以上"))))))</f>
        <v/>
      </c>
      <c r="AQ3416" s="8" t="str">
        <f aca="false">IF(A3416="","",IF(ISNUMBER(SEARCH("2歳",Z3416)),"2歳戦",IF(ISNUMBER(SEARCH("3歳未勝利",Z3416)),"3歳未勝利",IF(ISNUMBER(SEARCH("未勝利",Z3416)),"その他未勝利",IF(ISNUMBER(SEARCH("G1",Z3416)),"G1",IF(ISNUMBER(SEARCH("G2",Z3416)),"G2",IF(ISNUMBER(SEARCH("G3",Z3416)),"G3",IF(ISNUMBER(SEARCH("古馬条件",Z3416)),"古馬条件戦",IF(ISNUMBER(SEARCH("重賞",Z3416)),"重賞","分類不能")))))))))</f>
        <v/>
      </c>
    </row>
    <row r="3417" customFormat="false" ht="15.75" hidden="false" customHeight="false" outlineLevel="0" collapsed="false">
      <c r="AO3417" s="8" t="str">
        <f aca="false">IF(A3417="","",IF(COUNTIFS(全馬データ!$A$2:$A$50000,A3417,全馬データ!$B$2:$B$50000,B3417,全馬データ!$C$2:$C$50000,C3417,全馬データ!$D$2:$D$50000,E3417,全馬データ!$K$2:$K$50000,"&lt;&gt;")=0,"",SUMIFS(全馬データ!$K$2:$K$50000,全馬データ!$A$2:$A$50000,A3417,全馬データ!$B$2:$B$50000,B3417,全馬データ!$C$2:$C$50000,C3417,全馬データ!$D$2:$D$50000,E3417)))</f>
        <v/>
      </c>
      <c r="AP3417" s="8" t="str">
        <f aca="false">IF(A3417="","",IF(AO3417="","欠損",IF(AO3417&lt;=1.1,"1.0～1.1",IF(AO3417&lt;1.3,"1.2",IF(AO3417&lt;1.5,"1.3～1.4",IF(AO3417&lt;2,"1.5～1.9","2.0以上"))))))</f>
        <v/>
      </c>
      <c r="AQ3417" s="8" t="str">
        <f aca="false">IF(A3417="","",IF(ISNUMBER(SEARCH("2歳",Z3417)),"2歳戦",IF(ISNUMBER(SEARCH("3歳未勝利",Z3417)),"3歳未勝利",IF(ISNUMBER(SEARCH("未勝利",Z3417)),"その他未勝利",IF(ISNUMBER(SEARCH("G1",Z3417)),"G1",IF(ISNUMBER(SEARCH("G2",Z3417)),"G2",IF(ISNUMBER(SEARCH("G3",Z3417)),"G3",IF(ISNUMBER(SEARCH("古馬条件",Z3417)),"古馬条件戦",IF(ISNUMBER(SEARCH("重賞",Z3417)),"重賞","分類不能")))))))))</f>
        <v/>
      </c>
    </row>
    <row r="3418" customFormat="false" ht="15.75" hidden="false" customHeight="false" outlineLevel="0" collapsed="false">
      <c r="AO3418" s="8" t="str">
        <f aca="false">IF(A3418="","",IF(COUNTIFS(全馬データ!$A$2:$A$50000,A3418,全馬データ!$B$2:$B$50000,B3418,全馬データ!$C$2:$C$50000,C3418,全馬データ!$D$2:$D$50000,E3418,全馬データ!$K$2:$K$50000,"&lt;&gt;")=0,"",SUMIFS(全馬データ!$K$2:$K$50000,全馬データ!$A$2:$A$50000,A3418,全馬データ!$B$2:$B$50000,B3418,全馬データ!$C$2:$C$50000,C3418,全馬データ!$D$2:$D$50000,E3418)))</f>
        <v/>
      </c>
      <c r="AP3418" s="8" t="str">
        <f aca="false">IF(A3418="","",IF(AO3418="","欠損",IF(AO3418&lt;=1.1,"1.0～1.1",IF(AO3418&lt;1.3,"1.2",IF(AO3418&lt;1.5,"1.3～1.4",IF(AO3418&lt;2,"1.5～1.9","2.0以上"))))))</f>
        <v/>
      </c>
      <c r="AQ3418" s="8" t="str">
        <f aca="false">IF(A3418="","",IF(ISNUMBER(SEARCH("2歳",Z3418)),"2歳戦",IF(ISNUMBER(SEARCH("3歳未勝利",Z3418)),"3歳未勝利",IF(ISNUMBER(SEARCH("未勝利",Z3418)),"その他未勝利",IF(ISNUMBER(SEARCH("G1",Z3418)),"G1",IF(ISNUMBER(SEARCH("G2",Z3418)),"G2",IF(ISNUMBER(SEARCH("G3",Z3418)),"G3",IF(ISNUMBER(SEARCH("古馬条件",Z3418)),"古馬条件戦",IF(ISNUMBER(SEARCH("重賞",Z3418)),"重賞","分類不能")))))))))</f>
        <v/>
      </c>
    </row>
    <row r="3419" customFormat="false" ht="15.75" hidden="false" customHeight="false" outlineLevel="0" collapsed="false">
      <c r="AO3419" s="8" t="str">
        <f aca="false">IF(A3419="","",IF(COUNTIFS(全馬データ!$A$2:$A$50000,A3419,全馬データ!$B$2:$B$50000,B3419,全馬データ!$C$2:$C$50000,C3419,全馬データ!$D$2:$D$50000,E3419,全馬データ!$K$2:$K$50000,"&lt;&gt;")=0,"",SUMIFS(全馬データ!$K$2:$K$50000,全馬データ!$A$2:$A$50000,A3419,全馬データ!$B$2:$B$50000,B3419,全馬データ!$C$2:$C$50000,C3419,全馬データ!$D$2:$D$50000,E3419)))</f>
        <v/>
      </c>
      <c r="AP3419" s="8" t="str">
        <f aca="false">IF(A3419="","",IF(AO3419="","欠損",IF(AO3419&lt;=1.1,"1.0～1.1",IF(AO3419&lt;1.3,"1.2",IF(AO3419&lt;1.5,"1.3～1.4",IF(AO3419&lt;2,"1.5～1.9","2.0以上"))))))</f>
        <v/>
      </c>
      <c r="AQ3419" s="8" t="str">
        <f aca="false">IF(A3419="","",IF(ISNUMBER(SEARCH("2歳",Z3419)),"2歳戦",IF(ISNUMBER(SEARCH("3歳未勝利",Z3419)),"3歳未勝利",IF(ISNUMBER(SEARCH("未勝利",Z3419)),"その他未勝利",IF(ISNUMBER(SEARCH("G1",Z3419)),"G1",IF(ISNUMBER(SEARCH("G2",Z3419)),"G2",IF(ISNUMBER(SEARCH("G3",Z3419)),"G3",IF(ISNUMBER(SEARCH("古馬条件",Z3419)),"古馬条件戦",IF(ISNUMBER(SEARCH("重賞",Z3419)),"重賞","分類不能")))))))))</f>
        <v/>
      </c>
    </row>
    <row r="3420" customFormat="false" ht="15.75" hidden="false" customHeight="false" outlineLevel="0" collapsed="false">
      <c r="AO3420" s="8" t="str">
        <f aca="false">IF(A3420="","",IF(COUNTIFS(全馬データ!$A$2:$A$50000,A3420,全馬データ!$B$2:$B$50000,B3420,全馬データ!$C$2:$C$50000,C3420,全馬データ!$D$2:$D$50000,E3420,全馬データ!$K$2:$K$50000,"&lt;&gt;")=0,"",SUMIFS(全馬データ!$K$2:$K$50000,全馬データ!$A$2:$A$50000,A3420,全馬データ!$B$2:$B$50000,B3420,全馬データ!$C$2:$C$50000,C3420,全馬データ!$D$2:$D$50000,E3420)))</f>
        <v/>
      </c>
      <c r="AP3420" s="8" t="str">
        <f aca="false">IF(A3420="","",IF(AO3420="","欠損",IF(AO3420&lt;=1.1,"1.0～1.1",IF(AO3420&lt;1.3,"1.2",IF(AO3420&lt;1.5,"1.3～1.4",IF(AO3420&lt;2,"1.5～1.9","2.0以上"))))))</f>
        <v/>
      </c>
      <c r="AQ3420" s="8" t="str">
        <f aca="false">IF(A3420="","",IF(ISNUMBER(SEARCH("2歳",Z3420)),"2歳戦",IF(ISNUMBER(SEARCH("3歳未勝利",Z3420)),"3歳未勝利",IF(ISNUMBER(SEARCH("未勝利",Z3420)),"その他未勝利",IF(ISNUMBER(SEARCH("G1",Z3420)),"G1",IF(ISNUMBER(SEARCH("G2",Z3420)),"G2",IF(ISNUMBER(SEARCH("G3",Z3420)),"G3",IF(ISNUMBER(SEARCH("古馬条件",Z3420)),"古馬条件戦",IF(ISNUMBER(SEARCH("重賞",Z3420)),"重賞","分類不能")))))))))</f>
        <v/>
      </c>
    </row>
    <row r="3421" customFormat="false" ht="15.75" hidden="false" customHeight="false" outlineLevel="0" collapsed="false">
      <c r="AO3421" s="8" t="str">
        <f aca="false">IF(A3421="","",IF(COUNTIFS(全馬データ!$A$2:$A$50000,A3421,全馬データ!$B$2:$B$50000,B3421,全馬データ!$C$2:$C$50000,C3421,全馬データ!$D$2:$D$50000,E3421,全馬データ!$K$2:$K$50000,"&lt;&gt;")=0,"",SUMIFS(全馬データ!$K$2:$K$50000,全馬データ!$A$2:$A$50000,A3421,全馬データ!$B$2:$B$50000,B3421,全馬データ!$C$2:$C$50000,C3421,全馬データ!$D$2:$D$50000,E3421)))</f>
        <v/>
      </c>
      <c r="AP3421" s="8" t="str">
        <f aca="false">IF(A3421="","",IF(AO3421="","欠損",IF(AO3421&lt;=1.1,"1.0～1.1",IF(AO3421&lt;1.3,"1.2",IF(AO3421&lt;1.5,"1.3～1.4",IF(AO3421&lt;2,"1.5～1.9","2.0以上"))))))</f>
        <v/>
      </c>
      <c r="AQ3421" s="8" t="str">
        <f aca="false">IF(A3421="","",IF(ISNUMBER(SEARCH("2歳",Z3421)),"2歳戦",IF(ISNUMBER(SEARCH("3歳未勝利",Z3421)),"3歳未勝利",IF(ISNUMBER(SEARCH("未勝利",Z3421)),"その他未勝利",IF(ISNUMBER(SEARCH("G1",Z3421)),"G1",IF(ISNUMBER(SEARCH("G2",Z3421)),"G2",IF(ISNUMBER(SEARCH("G3",Z3421)),"G3",IF(ISNUMBER(SEARCH("古馬条件",Z3421)),"古馬条件戦",IF(ISNUMBER(SEARCH("重賞",Z3421)),"重賞","分類不能")))))))))</f>
        <v/>
      </c>
    </row>
    <row r="3422" customFormat="false" ht="15.75" hidden="false" customHeight="false" outlineLevel="0" collapsed="false">
      <c r="AO3422" s="8" t="str">
        <f aca="false">IF(A3422="","",IF(COUNTIFS(全馬データ!$A$2:$A$50000,A3422,全馬データ!$B$2:$B$50000,B3422,全馬データ!$C$2:$C$50000,C3422,全馬データ!$D$2:$D$50000,E3422,全馬データ!$K$2:$K$50000,"&lt;&gt;")=0,"",SUMIFS(全馬データ!$K$2:$K$50000,全馬データ!$A$2:$A$50000,A3422,全馬データ!$B$2:$B$50000,B3422,全馬データ!$C$2:$C$50000,C3422,全馬データ!$D$2:$D$50000,E3422)))</f>
        <v/>
      </c>
      <c r="AP3422" s="8" t="str">
        <f aca="false">IF(A3422="","",IF(AO3422="","欠損",IF(AO3422&lt;=1.1,"1.0～1.1",IF(AO3422&lt;1.3,"1.2",IF(AO3422&lt;1.5,"1.3～1.4",IF(AO3422&lt;2,"1.5～1.9","2.0以上"))))))</f>
        <v/>
      </c>
      <c r="AQ3422" s="8" t="str">
        <f aca="false">IF(A3422="","",IF(ISNUMBER(SEARCH("2歳",Z3422)),"2歳戦",IF(ISNUMBER(SEARCH("3歳未勝利",Z3422)),"3歳未勝利",IF(ISNUMBER(SEARCH("未勝利",Z3422)),"その他未勝利",IF(ISNUMBER(SEARCH("G1",Z3422)),"G1",IF(ISNUMBER(SEARCH("G2",Z3422)),"G2",IF(ISNUMBER(SEARCH("G3",Z3422)),"G3",IF(ISNUMBER(SEARCH("古馬条件",Z3422)),"古馬条件戦",IF(ISNUMBER(SEARCH("重賞",Z3422)),"重賞","分類不能")))))))))</f>
        <v/>
      </c>
    </row>
    <row r="3423" customFormat="false" ht="15.75" hidden="false" customHeight="false" outlineLevel="0" collapsed="false">
      <c r="AO3423" s="8" t="str">
        <f aca="false">IF(A3423="","",IF(COUNTIFS(全馬データ!$A$2:$A$50000,A3423,全馬データ!$B$2:$B$50000,B3423,全馬データ!$C$2:$C$50000,C3423,全馬データ!$D$2:$D$50000,E3423,全馬データ!$K$2:$K$50000,"&lt;&gt;")=0,"",SUMIFS(全馬データ!$K$2:$K$50000,全馬データ!$A$2:$A$50000,A3423,全馬データ!$B$2:$B$50000,B3423,全馬データ!$C$2:$C$50000,C3423,全馬データ!$D$2:$D$50000,E3423)))</f>
        <v/>
      </c>
      <c r="AP3423" s="8" t="str">
        <f aca="false">IF(A3423="","",IF(AO3423="","欠損",IF(AO3423&lt;=1.1,"1.0～1.1",IF(AO3423&lt;1.3,"1.2",IF(AO3423&lt;1.5,"1.3～1.4",IF(AO3423&lt;2,"1.5～1.9","2.0以上"))))))</f>
        <v/>
      </c>
      <c r="AQ3423" s="8" t="str">
        <f aca="false">IF(A3423="","",IF(ISNUMBER(SEARCH("2歳",Z3423)),"2歳戦",IF(ISNUMBER(SEARCH("3歳未勝利",Z3423)),"3歳未勝利",IF(ISNUMBER(SEARCH("未勝利",Z3423)),"その他未勝利",IF(ISNUMBER(SEARCH("G1",Z3423)),"G1",IF(ISNUMBER(SEARCH("G2",Z3423)),"G2",IF(ISNUMBER(SEARCH("G3",Z3423)),"G3",IF(ISNUMBER(SEARCH("古馬条件",Z3423)),"古馬条件戦",IF(ISNUMBER(SEARCH("重賞",Z3423)),"重賞","分類不能")))))))))</f>
        <v/>
      </c>
    </row>
    <row r="3424" customFormat="false" ht="15.75" hidden="false" customHeight="false" outlineLevel="0" collapsed="false">
      <c r="AO3424" s="8" t="str">
        <f aca="false">IF(A3424="","",IF(COUNTIFS(全馬データ!$A$2:$A$50000,A3424,全馬データ!$B$2:$B$50000,B3424,全馬データ!$C$2:$C$50000,C3424,全馬データ!$D$2:$D$50000,E3424,全馬データ!$K$2:$K$50000,"&lt;&gt;")=0,"",SUMIFS(全馬データ!$K$2:$K$50000,全馬データ!$A$2:$A$50000,A3424,全馬データ!$B$2:$B$50000,B3424,全馬データ!$C$2:$C$50000,C3424,全馬データ!$D$2:$D$50000,E3424)))</f>
        <v/>
      </c>
      <c r="AP3424" s="8" t="str">
        <f aca="false">IF(A3424="","",IF(AO3424="","欠損",IF(AO3424&lt;=1.1,"1.0～1.1",IF(AO3424&lt;1.3,"1.2",IF(AO3424&lt;1.5,"1.3～1.4",IF(AO3424&lt;2,"1.5～1.9","2.0以上"))))))</f>
        <v/>
      </c>
      <c r="AQ3424" s="8" t="str">
        <f aca="false">IF(A3424="","",IF(ISNUMBER(SEARCH("2歳",Z3424)),"2歳戦",IF(ISNUMBER(SEARCH("3歳未勝利",Z3424)),"3歳未勝利",IF(ISNUMBER(SEARCH("未勝利",Z3424)),"その他未勝利",IF(ISNUMBER(SEARCH("G1",Z3424)),"G1",IF(ISNUMBER(SEARCH("G2",Z3424)),"G2",IF(ISNUMBER(SEARCH("G3",Z3424)),"G3",IF(ISNUMBER(SEARCH("古馬条件",Z3424)),"古馬条件戦",IF(ISNUMBER(SEARCH("重賞",Z3424)),"重賞","分類不能")))))))))</f>
        <v/>
      </c>
    </row>
    <row r="3425" customFormat="false" ht="15.75" hidden="false" customHeight="false" outlineLevel="0" collapsed="false">
      <c r="AO3425" s="8" t="str">
        <f aca="false">IF(A3425="","",IF(COUNTIFS(全馬データ!$A$2:$A$50000,A3425,全馬データ!$B$2:$B$50000,B3425,全馬データ!$C$2:$C$50000,C3425,全馬データ!$D$2:$D$50000,E3425,全馬データ!$K$2:$K$50000,"&lt;&gt;")=0,"",SUMIFS(全馬データ!$K$2:$K$50000,全馬データ!$A$2:$A$50000,A3425,全馬データ!$B$2:$B$50000,B3425,全馬データ!$C$2:$C$50000,C3425,全馬データ!$D$2:$D$50000,E3425)))</f>
        <v/>
      </c>
      <c r="AP3425" s="8" t="str">
        <f aca="false">IF(A3425="","",IF(AO3425="","欠損",IF(AO3425&lt;=1.1,"1.0～1.1",IF(AO3425&lt;1.3,"1.2",IF(AO3425&lt;1.5,"1.3～1.4",IF(AO3425&lt;2,"1.5～1.9","2.0以上"))))))</f>
        <v/>
      </c>
      <c r="AQ3425" s="8" t="str">
        <f aca="false">IF(A3425="","",IF(ISNUMBER(SEARCH("2歳",Z3425)),"2歳戦",IF(ISNUMBER(SEARCH("3歳未勝利",Z3425)),"3歳未勝利",IF(ISNUMBER(SEARCH("未勝利",Z3425)),"その他未勝利",IF(ISNUMBER(SEARCH("G1",Z3425)),"G1",IF(ISNUMBER(SEARCH("G2",Z3425)),"G2",IF(ISNUMBER(SEARCH("G3",Z3425)),"G3",IF(ISNUMBER(SEARCH("古馬条件",Z3425)),"古馬条件戦",IF(ISNUMBER(SEARCH("重賞",Z3425)),"重賞","分類不能")))))))))</f>
        <v/>
      </c>
    </row>
    <row r="3426" customFormat="false" ht="15.75" hidden="false" customHeight="false" outlineLevel="0" collapsed="false">
      <c r="AO3426" s="8" t="str">
        <f aca="false">IF(A3426="","",IF(COUNTIFS(全馬データ!$A$2:$A$50000,A3426,全馬データ!$B$2:$B$50000,B3426,全馬データ!$C$2:$C$50000,C3426,全馬データ!$D$2:$D$50000,E3426,全馬データ!$K$2:$K$50000,"&lt;&gt;")=0,"",SUMIFS(全馬データ!$K$2:$K$50000,全馬データ!$A$2:$A$50000,A3426,全馬データ!$B$2:$B$50000,B3426,全馬データ!$C$2:$C$50000,C3426,全馬データ!$D$2:$D$50000,E3426)))</f>
        <v/>
      </c>
      <c r="AP3426" s="8" t="str">
        <f aca="false">IF(A3426="","",IF(AO3426="","欠損",IF(AO3426&lt;=1.1,"1.0～1.1",IF(AO3426&lt;1.3,"1.2",IF(AO3426&lt;1.5,"1.3～1.4",IF(AO3426&lt;2,"1.5～1.9","2.0以上"))))))</f>
        <v/>
      </c>
      <c r="AQ3426" s="8" t="str">
        <f aca="false">IF(A3426="","",IF(ISNUMBER(SEARCH("2歳",Z3426)),"2歳戦",IF(ISNUMBER(SEARCH("3歳未勝利",Z3426)),"3歳未勝利",IF(ISNUMBER(SEARCH("未勝利",Z3426)),"その他未勝利",IF(ISNUMBER(SEARCH("G1",Z3426)),"G1",IF(ISNUMBER(SEARCH("G2",Z3426)),"G2",IF(ISNUMBER(SEARCH("G3",Z3426)),"G3",IF(ISNUMBER(SEARCH("古馬条件",Z3426)),"古馬条件戦",IF(ISNUMBER(SEARCH("重賞",Z3426)),"重賞","分類不能")))))))))</f>
        <v/>
      </c>
    </row>
    <row r="3427" customFormat="false" ht="15.75" hidden="false" customHeight="false" outlineLevel="0" collapsed="false">
      <c r="AO3427" s="8" t="str">
        <f aca="false">IF(A3427="","",IF(COUNTIFS(全馬データ!$A$2:$A$50000,A3427,全馬データ!$B$2:$B$50000,B3427,全馬データ!$C$2:$C$50000,C3427,全馬データ!$D$2:$D$50000,E3427,全馬データ!$K$2:$K$50000,"&lt;&gt;")=0,"",SUMIFS(全馬データ!$K$2:$K$50000,全馬データ!$A$2:$A$50000,A3427,全馬データ!$B$2:$B$50000,B3427,全馬データ!$C$2:$C$50000,C3427,全馬データ!$D$2:$D$50000,E3427)))</f>
        <v/>
      </c>
      <c r="AP3427" s="8" t="str">
        <f aca="false">IF(A3427="","",IF(AO3427="","欠損",IF(AO3427&lt;=1.1,"1.0～1.1",IF(AO3427&lt;1.3,"1.2",IF(AO3427&lt;1.5,"1.3～1.4",IF(AO3427&lt;2,"1.5～1.9","2.0以上"))))))</f>
        <v/>
      </c>
      <c r="AQ3427" s="8" t="str">
        <f aca="false">IF(A3427="","",IF(ISNUMBER(SEARCH("2歳",Z3427)),"2歳戦",IF(ISNUMBER(SEARCH("3歳未勝利",Z3427)),"3歳未勝利",IF(ISNUMBER(SEARCH("未勝利",Z3427)),"その他未勝利",IF(ISNUMBER(SEARCH("G1",Z3427)),"G1",IF(ISNUMBER(SEARCH("G2",Z3427)),"G2",IF(ISNUMBER(SEARCH("G3",Z3427)),"G3",IF(ISNUMBER(SEARCH("古馬条件",Z3427)),"古馬条件戦",IF(ISNUMBER(SEARCH("重賞",Z3427)),"重賞","分類不能")))))))))</f>
        <v/>
      </c>
    </row>
    <row r="3428" customFormat="false" ht="15.75" hidden="false" customHeight="false" outlineLevel="0" collapsed="false">
      <c r="AO3428" s="8" t="str">
        <f aca="false">IF(A3428="","",IF(COUNTIFS(全馬データ!$A$2:$A$50000,A3428,全馬データ!$B$2:$B$50000,B3428,全馬データ!$C$2:$C$50000,C3428,全馬データ!$D$2:$D$50000,E3428,全馬データ!$K$2:$K$50000,"&lt;&gt;")=0,"",SUMIFS(全馬データ!$K$2:$K$50000,全馬データ!$A$2:$A$50000,A3428,全馬データ!$B$2:$B$50000,B3428,全馬データ!$C$2:$C$50000,C3428,全馬データ!$D$2:$D$50000,E3428)))</f>
        <v/>
      </c>
      <c r="AP3428" s="8" t="str">
        <f aca="false">IF(A3428="","",IF(AO3428="","欠損",IF(AO3428&lt;=1.1,"1.0～1.1",IF(AO3428&lt;1.3,"1.2",IF(AO3428&lt;1.5,"1.3～1.4",IF(AO3428&lt;2,"1.5～1.9","2.0以上"))))))</f>
        <v/>
      </c>
      <c r="AQ3428" s="8" t="str">
        <f aca="false">IF(A3428="","",IF(ISNUMBER(SEARCH("2歳",Z3428)),"2歳戦",IF(ISNUMBER(SEARCH("3歳未勝利",Z3428)),"3歳未勝利",IF(ISNUMBER(SEARCH("未勝利",Z3428)),"その他未勝利",IF(ISNUMBER(SEARCH("G1",Z3428)),"G1",IF(ISNUMBER(SEARCH("G2",Z3428)),"G2",IF(ISNUMBER(SEARCH("G3",Z3428)),"G3",IF(ISNUMBER(SEARCH("古馬条件",Z3428)),"古馬条件戦",IF(ISNUMBER(SEARCH("重賞",Z3428)),"重賞","分類不能")))))))))</f>
        <v/>
      </c>
    </row>
    <row r="3429" customFormat="false" ht="15.75" hidden="false" customHeight="false" outlineLevel="0" collapsed="false">
      <c r="AO3429" s="8" t="str">
        <f aca="false">IF(A3429="","",IF(COUNTIFS(全馬データ!$A$2:$A$50000,A3429,全馬データ!$B$2:$B$50000,B3429,全馬データ!$C$2:$C$50000,C3429,全馬データ!$D$2:$D$50000,E3429,全馬データ!$K$2:$K$50000,"&lt;&gt;")=0,"",SUMIFS(全馬データ!$K$2:$K$50000,全馬データ!$A$2:$A$50000,A3429,全馬データ!$B$2:$B$50000,B3429,全馬データ!$C$2:$C$50000,C3429,全馬データ!$D$2:$D$50000,E3429)))</f>
        <v/>
      </c>
      <c r="AP3429" s="8" t="str">
        <f aca="false">IF(A3429="","",IF(AO3429="","欠損",IF(AO3429&lt;=1.1,"1.0～1.1",IF(AO3429&lt;1.3,"1.2",IF(AO3429&lt;1.5,"1.3～1.4",IF(AO3429&lt;2,"1.5～1.9","2.0以上"))))))</f>
        <v/>
      </c>
      <c r="AQ3429" s="8" t="str">
        <f aca="false">IF(A3429="","",IF(ISNUMBER(SEARCH("2歳",Z3429)),"2歳戦",IF(ISNUMBER(SEARCH("3歳未勝利",Z3429)),"3歳未勝利",IF(ISNUMBER(SEARCH("未勝利",Z3429)),"その他未勝利",IF(ISNUMBER(SEARCH("G1",Z3429)),"G1",IF(ISNUMBER(SEARCH("G2",Z3429)),"G2",IF(ISNUMBER(SEARCH("G3",Z3429)),"G3",IF(ISNUMBER(SEARCH("古馬条件",Z3429)),"古馬条件戦",IF(ISNUMBER(SEARCH("重賞",Z3429)),"重賞","分類不能")))))))))</f>
        <v/>
      </c>
    </row>
    <row r="3430" customFormat="false" ht="15.75" hidden="false" customHeight="false" outlineLevel="0" collapsed="false">
      <c r="AO3430" s="8" t="str">
        <f aca="false">IF(A3430="","",IF(COUNTIFS(全馬データ!$A$2:$A$50000,A3430,全馬データ!$B$2:$B$50000,B3430,全馬データ!$C$2:$C$50000,C3430,全馬データ!$D$2:$D$50000,E3430,全馬データ!$K$2:$K$50000,"&lt;&gt;")=0,"",SUMIFS(全馬データ!$K$2:$K$50000,全馬データ!$A$2:$A$50000,A3430,全馬データ!$B$2:$B$50000,B3430,全馬データ!$C$2:$C$50000,C3430,全馬データ!$D$2:$D$50000,E3430)))</f>
        <v/>
      </c>
      <c r="AP3430" s="8" t="str">
        <f aca="false">IF(A3430="","",IF(AO3430="","欠損",IF(AO3430&lt;=1.1,"1.0～1.1",IF(AO3430&lt;1.3,"1.2",IF(AO3430&lt;1.5,"1.3～1.4",IF(AO3430&lt;2,"1.5～1.9","2.0以上"))))))</f>
        <v/>
      </c>
      <c r="AQ3430" s="8" t="str">
        <f aca="false">IF(A3430="","",IF(ISNUMBER(SEARCH("2歳",Z3430)),"2歳戦",IF(ISNUMBER(SEARCH("3歳未勝利",Z3430)),"3歳未勝利",IF(ISNUMBER(SEARCH("未勝利",Z3430)),"その他未勝利",IF(ISNUMBER(SEARCH("G1",Z3430)),"G1",IF(ISNUMBER(SEARCH("G2",Z3430)),"G2",IF(ISNUMBER(SEARCH("G3",Z3430)),"G3",IF(ISNUMBER(SEARCH("古馬条件",Z3430)),"古馬条件戦",IF(ISNUMBER(SEARCH("重賞",Z3430)),"重賞","分類不能")))))))))</f>
        <v/>
      </c>
    </row>
    <row r="3431" customFormat="false" ht="15.75" hidden="false" customHeight="false" outlineLevel="0" collapsed="false">
      <c r="AO3431" s="8" t="str">
        <f aca="false">IF(A3431="","",IF(COUNTIFS(全馬データ!$A$2:$A$50000,A3431,全馬データ!$B$2:$B$50000,B3431,全馬データ!$C$2:$C$50000,C3431,全馬データ!$D$2:$D$50000,E3431,全馬データ!$K$2:$K$50000,"&lt;&gt;")=0,"",SUMIFS(全馬データ!$K$2:$K$50000,全馬データ!$A$2:$A$50000,A3431,全馬データ!$B$2:$B$50000,B3431,全馬データ!$C$2:$C$50000,C3431,全馬データ!$D$2:$D$50000,E3431)))</f>
        <v/>
      </c>
      <c r="AP3431" s="8" t="str">
        <f aca="false">IF(A3431="","",IF(AO3431="","欠損",IF(AO3431&lt;=1.1,"1.0～1.1",IF(AO3431&lt;1.3,"1.2",IF(AO3431&lt;1.5,"1.3～1.4",IF(AO3431&lt;2,"1.5～1.9","2.0以上"))))))</f>
        <v/>
      </c>
      <c r="AQ3431" s="8" t="str">
        <f aca="false">IF(A3431="","",IF(ISNUMBER(SEARCH("2歳",Z3431)),"2歳戦",IF(ISNUMBER(SEARCH("3歳未勝利",Z3431)),"3歳未勝利",IF(ISNUMBER(SEARCH("未勝利",Z3431)),"その他未勝利",IF(ISNUMBER(SEARCH("G1",Z3431)),"G1",IF(ISNUMBER(SEARCH("G2",Z3431)),"G2",IF(ISNUMBER(SEARCH("G3",Z3431)),"G3",IF(ISNUMBER(SEARCH("古馬条件",Z3431)),"古馬条件戦",IF(ISNUMBER(SEARCH("重賞",Z3431)),"重賞","分類不能")))))))))</f>
        <v/>
      </c>
    </row>
    <row r="3432" customFormat="false" ht="15.75" hidden="false" customHeight="false" outlineLevel="0" collapsed="false">
      <c r="AO3432" s="8" t="str">
        <f aca="false">IF(A3432="","",IF(COUNTIFS(全馬データ!$A$2:$A$50000,A3432,全馬データ!$B$2:$B$50000,B3432,全馬データ!$C$2:$C$50000,C3432,全馬データ!$D$2:$D$50000,E3432,全馬データ!$K$2:$K$50000,"&lt;&gt;")=0,"",SUMIFS(全馬データ!$K$2:$K$50000,全馬データ!$A$2:$A$50000,A3432,全馬データ!$B$2:$B$50000,B3432,全馬データ!$C$2:$C$50000,C3432,全馬データ!$D$2:$D$50000,E3432)))</f>
        <v/>
      </c>
      <c r="AP3432" s="8" t="str">
        <f aca="false">IF(A3432="","",IF(AO3432="","欠損",IF(AO3432&lt;=1.1,"1.0～1.1",IF(AO3432&lt;1.3,"1.2",IF(AO3432&lt;1.5,"1.3～1.4",IF(AO3432&lt;2,"1.5～1.9","2.0以上"))))))</f>
        <v/>
      </c>
      <c r="AQ3432" s="8" t="str">
        <f aca="false">IF(A3432="","",IF(ISNUMBER(SEARCH("2歳",Z3432)),"2歳戦",IF(ISNUMBER(SEARCH("3歳未勝利",Z3432)),"3歳未勝利",IF(ISNUMBER(SEARCH("未勝利",Z3432)),"その他未勝利",IF(ISNUMBER(SEARCH("G1",Z3432)),"G1",IF(ISNUMBER(SEARCH("G2",Z3432)),"G2",IF(ISNUMBER(SEARCH("G3",Z3432)),"G3",IF(ISNUMBER(SEARCH("古馬条件",Z3432)),"古馬条件戦",IF(ISNUMBER(SEARCH("重賞",Z3432)),"重賞","分類不能")))))))))</f>
        <v/>
      </c>
    </row>
    <row r="3433" customFormat="false" ht="15.75" hidden="false" customHeight="false" outlineLevel="0" collapsed="false">
      <c r="AO3433" s="8" t="str">
        <f aca="false">IF(A3433="","",IF(COUNTIFS(全馬データ!$A$2:$A$50000,A3433,全馬データ!$B$2:$B$50000,B3433,全馬データ!$C$2:$C$50000,C3433,全馬データ!$D$2:$D$50000,E3433,全馬データ!$K$2:$K$50000,"&lt;&gt;")=0,"",SUMIFS(全馬データ!$K$2:$K$50000,全馬データ!$A$2:$A$50000,A3433,全馬データ!$B$2:$B$50000,B3433,全馬データ!$C$2:$C$50000,C3433,全馬データ!$D$2:$D$50000,E3433)))</f>
        <v/>
      </c>
      <c r="AP3433" s="8" t="str">
        <f aca="false">IF(A3433="","",IF(AO3433="","欠損",IF(AO3433&lt;=1.1,"1.0～1.1",IF(AO3433&lt;1.3,"1.2",IF(AO3433&lt;1.5,"1.3～1.4",IF(AO3433&lt;2,"1.5～1.9","2.0以上"))))))</f>
        <v/>
      </c>
      <c r="AQ3433" s="8" t="str">
        <f aca="false">IF(A3433="","",IF(ISNUMBER(SEARCH("2歳",Z3433)),"2歳戦",IF(ISNUMBER(SEARCH("3歳未勝利",Z3433)),"3歳未勝利",IF(ISNUMBER(SEARCH("未勝利",Z3433)),"その他未勝利",IF(ISNUMBER(SEARCH("G1",Z3433)),"G1",IF(ISNUMBER(SEARCH("G2",Z3433)),"G2",IF(ISNUMBER(SEARCH("G3",Z3433)),"G3",IF(ISNUMBER(SEARCH("古馬条件",Z3433)),"古馬条件戦",IF(ISNUMBER(SEARCH("重賞",Z3433)),"重賞","分類不能")))))))))</f>
        <v/>
      </c>
    </row>
    <row r="3434" customFormat="false" ht="15.75" hidden="false" customHeight="false" outlineLevel="0" collapsed="false">
      <c r="AO3434" s="8" t="str">
        <f aca="false">IF(A3434="","",IF(COUNTIFS(全馬データ!$A$2:$A$50000,A3434,全馬データ!$B$2:$B$50000,B3434,全馬データ!$C$2:$C$50000,C3434,全馬データ!$D$2:$D$50000,E3434,全馬データ!$K$2:$K$50000,"&lt;&gt;")=0,"",SUMIFS(全馬データ!$K$2:$K$50000,全馬データ!$A$2:$A$50000,A3434,全馬データ!$B$2:$B$50000,B3434,全馬データ!$C$2:$C$50000,C3434,全馬データ!$D$2:$D$50000,E3434)))</f>
        <v/>
      </c>
      <c r="AP3434" s="8" t="str">
        <f aca="false">IF(A3434="","",IF(AO3434="","欠損",IF(AO3434&lt;=1.1,"1.0～1.1",IF(AO3434&lt;1.3,"1.2",IF(AO3434&lt;1.5,"1.3～1.4",IF(AO3434&lt;2,"1.5～1.9","2.0以上"))))))</f>
        <v/>
      </c>
      <c r="AQ3434" s="8" t="str">
        <f aca="false">IF(A3434="","",IF(ISNUMBER(SEARCH("2歳",Z3434)),"2歳戦",IF(ISNUMBER(SEARCH("3歳未勝利",Z3434)),"3歳未勝利",IF(ISNUMBER(SEARCH("未勝利",Z3434)),"その他未勝利",IF(ISNUMBER(SEARCH("G1",Z3434)),"G1",IF(ISNUMBER(SEARCH("G2",Z3434)),"G2",IF(ISNUMBER(SEARCH("G3",Z3434)),"G3",IF(ISNUMBER(SEARCH("古馬条件",Z3434)),"古馬条件戦",IF(ISNUMBER(SEARCH("重賞",Z3434)),"重賞","分類不能")))))))))</f>
        <v/>
      </c>
    </row>
    <row r="3435" customFormat="false" ht="15.75" hidden="false" customHeight="false" outlineLevel="0" collapsed="false">
      <c r="AO3435" s="8" t="str">
        <f aca="false">IF(A3435="","",IF(COUNTIFS(全馬データ!$A$2:$A$50000,A3435,全馬データ!$B$2:$B$50000,B3435,全馬データ!$C$2:$C$50000,C3435,全馬データ!$D$2:$D$50000,E3435,全馬データ!$K$2:$K$50000,"&lt;&gt;")=0,"",SUMIFS(全馬データ!$K$2:$K$50000,全馬データ!$A$2:$A$50000,A3435,全馬データ!$B$2:$B$50000,B3435,全馬データ!$C$2:$C$50000,C3435,全馬データ!$D$2:$D$50000,E3435)))</f>
        <v/>
      </c>
      <c r="AP3435" s="8" t="str">
        <f aca="false">IF(A3435="","",IF(AO3435="","欠損",IF(AO3435&lt;=1.1,"1.0～1.1",IF(AO3435&lt;1.3,"1.2",IF(AO3435&lt;1.5,"1.3～1.4",IF(AO3435&lt;2,"1.5～1.9","2.0以上"))))))</f>
        <v/>
      </c>
      <c r="AQ3435" s="8" t="str">
        <f aca="false">IF(A3435="","",IF(ISNUMBER(SEARCH("2歳",Z3435)),"2歳戦",IF(ISNUMBER(SEARCH("3歳未勝利",Z3435)),"3歳未勝利",IF(ISNUMBER(SEARCH("未勝利",Z3435)),"その他未勝利",IF(ISNUMBER(SEARCH("G1",Z3435)),"G1",IF(ISNUMBER(SEARCH("G2",Z3435)),"G2",IF(ISNUMBER(SEARCH("G3",Z3435)),"G3",IF(ISNUMBER(SEARCH("古馬条件",Z3435)),"古馬条件戦",IF(ISNUMBER(SEARCH("重賞",Z3435)),"重賞","分類不能")))))))))</f>
        <v/>
      </c>
    </row>
    <row r="3436" customFormat="false" ht="15.75" hidden="false" customHeight="false" outlineLevel="0" collapsed="false">
      <c r="AO3436" s="8" t="str">
        <f aca="false">IF(A3436="","",IF(COUNTIFS(全馬データ!$A$2:$A$50000,A3436,全馬データ!$B$2:$B$50000,B3436,全馬データ!$C$2:$C$50000,C3436,全馬データ!$D$2:$D$50000,E3436,全馬データ!$K$2:$K$50000,"&lt;&gt;")=0,"",SUMIFS(全馬データ!$K$2:$K$50000,全馬データ!$A$2:$A$50000,A3436,全馬データ!$B$2:$B$50000,B3436,全馬データ!$C$2:$C$50000,C3436,全馬データ!$D$2:$D$50000,E3436)))</f>
        <v/>
      </c>
      <c r="AP3436" s="8" t="str">
        <f aca="false">IF(A3436="","",IF(AO3436="","欠損",IF(AO3436&lt;=1.1,"1.0～1.1",IF(AO3436&lt;1.3,"1.2",IF(AO3436&lt;1.5,"1.3～1.4",IF(AO3436&lt;2,"1.5～1.9","2.0以上"))))))</f>
        <v/>
      </c>
      <c r="AQ3436" s="8" t="str">
        <f aca="false">IF(A3436="","",IF(ISNUMBER(SEARCH("2歳",Z3436)),"2歳戦",IF(ISNUMBER(SEARCH("3歳未勝利",Z3436)),"3歳未勝利",IF(ISNUMBER(SEARCH("未勝利",Z3436)),"その他未勝利",IF(ISNUMBER(SEARCH("G1",Z3436)),"G1",IF(ISNUMBER(SEARCH("G2",Z3436)),"G2",IF(ISNUMBER(SEARCH("G3",Z3436)),"G3",IF(ISNUMBER(SEARCH("古馬条件",Z3436)),"古馬条件戦",IF(ISNUMBER(SEARCH("重賞",Z3436)),"重賞","分類不能")))))))))</f>
        <v/>
      </c>
    </row>
    <row r="3437" customFormat="false" ht="15.75" hidden="false" customHeight="false" outlineLevel="0" collapsed="false">
      <c r="AO3437" s="8" t="str">
        <f aca="false">IF(A3437="","",IF(COUNTIFS(全馬データ!$A$2:$A$50000,A3437,全馬データ!$B$2:$B$50000,B3437,全馬データ!$C$2:$C$50000,C3437,全馬データ!$D$2:$D$50000,E3437,全馬データ!$K$2:$K$50000,"&lt;&gt;")=0,"",SUMIFS(全馬データ!$K$2:$K$50000,全馬データ!$A$2:$A$50000,A3437,全馬データ!$B$2:$B$50000,B3437,全馬データ!$C$2:$C$50000,C3437,全馬データ!$D$2:$D$50000,E3437)))</f>
        <v/>
      </c>
      <c r="AP3437" s="8" t="str">
        <f aca="false">IF(A3437="","",IF(AO3437="","欠損",IF(AO3437&lt;=1.1,"1.0～1.1",IF(AO3437&lt;1.3,"1.2",IF(AO3437&lt;1.5,"1.3～1.4",IF(AO3437&lt;2,"1.5～1.9","2.0以上"))))))</f>
        <v/>
      </c>
      <c r="AQ3437" s="8" t="str">
        <f aca="false">IF(A3437="","",IF(ISNUMBER(SEARCH("2歳",Z3437)),"2歳戦",IF(ISNUMBER(SEARCH("3歳未勝利",Z3437)),"3歳未勝利",IF(ISNUMBER(SEARCH("未勝利",Z3437)),"その他未勝利",IF(ISNUMBER(SEARCH("G1",Z3437)),"G1",IF(ISNUMBER(SEARCH("G2",Z3437)),"G2",IF(ISNUMBER(SEARCH("G3",Z3437)),"G3",IF(ISNUMBER(SEARCH("古馬条件",Z3437)),"古馬条件戦",IF(ISNUMBER(SEARCH("重賞",Z3437)),"重賞","分類不能")))))))))</f>
        <v/>
      </c>
    </row>
    <row r="3438" customFormat="false" ht="15.75" hidden="false" customHeight="false" outlineLevel="0" collapsed="false">
      <c r="AO3438" s="8" t="str">
        <f aca="false">IF(A3438="","",IF(COUNTIFS(全馬データ!$A$2:$A$50000,A3438,全馬データ!$B$2:$B$50000,B3438,全馬データ!$C$2:$C$50000,C3438,全馬データ!$D$2:$D$50000,E3438,全馬データ!$K$2:$K$50000,"&lt;&gt;")=0,"",SUMIFS(全馬データ!$K$2:$K$50000,全馬データ!$A$2:$A$50000,A3438,全馬データ!$B$2:$B$50000,B3438,全馬データ!$C$2:$C$50000,C3438,全馬データ!$D$2:$D$50000,E3438)))</f>
        <v/>
      </c>
      <c r="AP3438" s="8" t="str">
        <f aca="false">IF(A3438="","",IF(AO3438="","欠損",IF(AO3438&lt;=1.1,"1.0～1.1",IF(AO3438&lt;1.3,"1.2",IF(AO3438&lt;1.5,"1.3～1.4",IF(AO3438&lt;2,"1.5～1.9","2.0以上"))))))</f>
        <v/>
      </c>
      <c r="AQ3438" s="8" t="str">
        <f aca="false">IF(A3438="","",IF(ISNUMBER(SEARCH("2歳",Z3438)),"2歳戦",IF(ISNUMBER(SEARCH("3歳未勝利",Z3438)),"3歳未勝利",IF(ISNUMBER(SEARCH("未勝利",Z3438)),"その他未勝利",IF(ISNUMBER(SEARCH("G1",Z3438)),"G1",IF(ISNUMBER(SEARCH("G2",Z3438)),"G2",IF(ISNUMBER(SEARCH("G3",Z3438)),"G3",IF(ISNUMBER(SEARCH("古馬条件",Z3438)),"古馬条件戦",IF(ISNUMBER(SEARCH("重賞",Z3438)),"重賞","分類不能")))))))))</f>
        <v/>
      </c>
    </row>
    <row r="3439" customFormat="false" ht="15.75" hidden="false" customHeight="false" outlineLevel="0" collapsed="false">
      <c r="AO3439" s="8" t="str">
        <f aca="false">IF(A3439="","",IF(COUNTIFS(全馬データ!$A$2:$A$50000,A3439,全馬データ!$B$2:$B$50000,B3439,全馬データ!$C$2:$C$50000,C3439,全馬データ!$D$2:$D$50000,E3439,全馬データ!$K$2:$K$50000,"&lt;&gt;")=0,"",SUMIFS(全馬データ!$K$2:$K$50000,全馬データ!$A$2:$A$50000,A3439,全馬データ!$B$2:$B$50000,B3439,全馬データ!$C$2:$C$50000,C3439,全馬データ!$D$2:$D$50000,E3439)))</f>
        <v/>
      </c>
      <c r="AP3439" s="8" t="str">
        <f aca="false">IF(A3439="","",IF(AO3439="","欠損",IF(AO3439&lt;=1.1,"1.0～1.1",IF(AO3439&lt;1.3,"1.2",IF(AO3439&lt;1.5,"1.3～1.4",IF(AO3439&lt;2,"1.5～1.9","2.0以上"))))))</f>
        <v/>
      </c>
      <c r="AQ3439" s="8" t="str">
        <f aca="false">IF(A3439="","",IF(ISNUMBER(SEARCH("2歳",Z3439)),"2歳戦",IF(ISNUMBER(SEARCH("3歳未勝利",Z3439)),"3歳未勝利",IF(ISNUMBER(SEARCH("未勝利",Z3439)),"その他未勝利",IF(ISNUMBER(SEARCH("G1",Z3439)),"G1",IF(ISNUMBER(SEARCH("G2",Z3439)),"G2",IF(ISNUMBER(SEARCH("G3",Z3439)),"G3",IF(ISNUMBER(SEARCH("古馬条件",Z3439)),"古馬条件戦",IF(ISNUMBER(SEARCH("重賞",Z3439)),"重賞","分類不能")))))))))</f>
        <v/>
      </c>
    </row>
    <row r="3440" customFormat="false" ht="15.75" hidden="false" customHeight="false" outlineLevel="0" collapsed="false">
      <c r="AO3440" s="8" t="str">
        <f aca="false">IF(A3440="","",IF(COUNTIFS(全馬データ!$A$2:$A$50000,A3440,全馬データ!$B$2:$B$50000,B3440,全馬データ!$C$2:$C$50000,C3440,全馬データ!$D$2:$D$50000,E3440,全馬データ!$K$2:$K$50000,"&lt;&gt;")=0,"",SUMIFS(全馬データ!$K$2:$K$50000,全馬データ!$A$2:$A$50000,A3440,全馬データ!$B$2:$B$50000,B3440,全馬データ!$C$2:$C$50000,C3440,全馬データ!$D$2:$D$50000,E3440)))</f>
        <v/>
      </c>
      <c r="AP3440" s="8" t="str">
        <f aca="false">IF(A3440="","",IF(AO3440="","欠損",IF(AO3440&lt;=1.1,"1.0～1.1",IF(AO3440&lt;1.3,"1.2",IF(AO3440&lt;1.5,"1.3～1.4",IF(AO3440&lt;2,"1.5～1.9","2.0以上"))))))</f>
        <v/>
      </c>
      <c r="AQ3440" s="8" t="str">
        <f aca="false">IF(A3440="","",IF(ISNUMBER(SEARCH("2歳",Z3440)),"2歳戦",IF(ISNUMBER(SEARCH("3歳未勝利",Z3440)),"3歳未勝利",IF(ISNUMBER(SEARCH("未勝利",Z3440)),"その他未勝利",IF(ISNUMBER(SEARCH("G1",Z3440)),"G1",IF(ISNUMBER(SEARCH("G2",Z3440)),"G2",IF(ISNUMBER(SEARCH("G3",Z3440)),"G3",IF(ISNUMBER(SEARCH("古馬条件",Z3440)),"古馬条件戦",IF(ISNUMBER(SEARCH("重賞",Z3440)),"重賞","分類不能")))))))))</f>
        <v/>
      </c>
    </row>
    <row r="3441" customFormat="false" ht="15.75" hidden="false" customHeight="false" outlineLevel="0" collapsed="false">
      <c r="AO3441" s="8" t="str">
        <f aca="false">IF(A3441="","",IF(COUNTIFS(全馬データ!$A$2:$A$50000,A3441,全馬データ!$B$2:$B$50000,B3441,全馬データ!$C$2:$C$50000,C3441,全馬データ!$D$2:$D$50000,E3441,全馬データ!$K$2:$K$50000,"&lt;&gt;")=0,"",SUMIFS(全馬データ!$K$2:$K$50000,全馬データ!$A$2:$A$50000,A3441,全馬データ!$B$2:$B$50000,B3441,全馬データ!$C$2:$C$50000,C3441,全馬データ!$D$2:$D$50000,E3441)))</f>
        <v/>
      </c>
      <c r="AP3441" s="8" t="str">
        <f aca="false">IF(A3441="","",IF(AO3441="","欠損",IF(AO3441&lt;=1.1,"1.0～1.1",IF(AO3441&lt;1.3,"1.2",IF(AO3441&lt;1.5,"1.3～1.4",IF(AO3441&lt;2,"1.5～1.9","2.0以上"))))))</f>
        <v/>
      </c>
      <c r="AQ3441" s="8" t="str">
        <f aca="false">IF(A3441="","",IF(ISNUMBER(SEARCH("2歳",Z3441)),"2歳戦",IF(ISNUMBER(SEARCH("3歳未勝利",Z3441)),"3歳未勝利",IF(ISNUMBER(SEARCH("未勝利",Z3441)),"その他未勝利",IF(ISNUMBER(SEARCH("G1",Z3441)),"G1",IF(ISNUMBER(SEARCH("G2",Z3441)),"G2",IF(ISNUMBER(SEARCH("G3",Z3441)),"G3",IF(ISNUMBER(SEARCH("古馬条件",Z3441)),"古馬条件戦",IF(ISNUMBER(SEARCH("重賞",Z3441)),"重賞","分類不能")))))))))</f>
        <v/>
      </c>
    </row>
    <row r="3442" customFormat="false" ht="15.75" hidden="false" customHeight="false" outlineLevel="0" collapsed="false">
      <c r="AO3442" s="8" t="str">
        <f aca="false">IF(A3442="","",IF(COUNTIFS(全馬データ!$A$2:$A$50000,A3442,全馬データ!$B$2:$B$50000,B3442,全馬データ!$C$2:$C$50000,C3442,全馬データ!$D$2:$D$50000,E3442,全馬データ!$K$2:$K$50000,"&lt;&gt;")=0,"",SUMIFS(全馬データ!$K$2:$K$50000,全馬データ!$A$2:$A$50000,A3442,全馬データ!$B$2:$B$50000,B3442,全馬データ!$C$2:$C$50000,C3442,全馬データ!$D$2:$D$50000,E3442)))</f>
        <v/>
      </c>
      <c r="AP3442" s="8" t="str">
        <f aca="false">IF(A3442="","",IF(AO3442="","欠損",IF(AO3442&lt;=1.1,"1.0～1.1",IF(AO3442&lt;1.3,"1.2",IF(AO3442&lt;1.5,"1.3～1.4",IF(AO3442&lt;2,"1.5～1.9","2.0以上"))))))</f>
        <v/>
      </c>
      <c r="AQ3442" s="8" t="str">
        <f aca="false">IF(A3442="","",IF(ISNUMBER(SEARCH("2歳",Z3442)),"2歳戦",IF(ISNUMBER(SEARCH("3歳未勝利",Z3442)),"3歳未勝利",IF(ISNUMBER(SEARCH("未勝利",Z3442)),"その他未勝利",IF(ISNUMBER(SEARCH("G1",Z3442)),"G1",IF(ISNUMBER(SEARCH("G2",Z3442)),"G2",IF(ISNUMBER(SEARCH("G3",Z3442)),"G3",IF(ISNUMBER(SEARCH("古馬条件",Z3442)),"古馬条件戦",IF(ISNUMBER(SEARCH("重賞",Z3442)),"重賞","分類不能")))))))))</f>
        <v/>
      </c>
    </row>
    <row r="3443" customFormat="false" ht="15.75" hidden="false" customHeight="false" outlineLevel="0" collapsed="false">
      <c r="AO3443" s="8" t="str">
        <f aca="false">IF(A3443="","",IF(COUNTIFS(全馬データ!$A$2:$A$50000,A3443,全馬データ!$B$2:$B$50000,B3443,全馬データ!$C$2:$C$50000,C3443,全馬データ!$D$2:$D$50000,E3443,全馬データ!$K$2:$K$50000,"&lt;&gt;")=0,"",SUMIFS(全馬データ!$K$2:$K$50000,全馬データ!$A$2:$A$50000,A3443,全馬データ!$B$2:$B$50000,B3443,全馬データ!$C$2:$C$50000,C3443,全馬データ!$D$2:$D$50000,E3443)))</f>
        <v/>
      </c>
      <c r="AP3443" s="8" t="str">
        <f aca="false">IF(A3443="","",IF(AO3443="","欠損",IF(AO3443&lt;=1.1,"1.0～1.1",IF(AO3443&lt;1.3,"1.2",IF(AO3443&lt;1.5,"1.3～1.4",IF(AO3443&lt;2,"1.5～1.9","2.0以上"))))))</f>
        <v/>
      </c>
      <c r="AQ3443" s="8" t="str">
        <f aca="false">IF(A3443="","",IF(ISNUMBER(SEARCH("2歳",Z3443)),"2歳戦",IF(ISNUMBER(SEARCH("3歳未勝利",Z3443)),"3歳未勝利",IF(ISNUMBER(SEARCH("未勝利",Z3443)),"その他未勝利",IF(ISNUMBER(SEARCH("G1",Z3443)),"G1",IF(ISNUMBER(SEARCH("G2",Z3443)),"G2",IF(ISNUMBER(SEARCH("G3",Z3443)),"G3",IF(ISNUMBER(SEARCH("古馬条件",Z3443)),"古馬条件戦",IF(ISNUMBER(SEARCH("重賞",Z3443)),"重賞","分類不能")))))))))</f>
        <v/>
      </c>
    </row>
    <row r="3444" customFormat="false" ht="15.75" hidden="false" customHeight="false" outlineLevel="0" collapsed="false">
      <c r="AO3444" s="8" t="str">
        <f aca="false">IF(A3444="","",IF(COUNTIFS(全馬データ!$A$2:$A$50000,A3444,全馬データ!$B$2:$B$50000,B3444,全馬データ!$C$2:$C$50000,C3444,全馬データ!$D$2:$D$50000,E3444,全馬データ!$K$2:$K$50000,"&lt;&gt;")=0,"",SUMIFS(全馬データ!$K$2:$K$50000,全馬データ!$A$2:$A$50000,A3444,全馬データ!$B$2:$B$50000,B3444,全馬データ!$C$2:$C$50000,C3444,全馬データ!$D$2:$D$50000,E3444)))</f>
        <v/>
      </c>
      <c r="AP3444" s="8" t="str">
        <f aca="false">IF(A3444="","",IF(AO3444="","欠損",IF(AO3444&lt;=1.1,"1.0～1.1",IF(AO3444&lt;1.3,"1.2",IF(AO3444&lt;1.5,"1.3～1.4",IF(AO3444&lt;2,"1.5～1.9","2.0以上"))))))</f>
        <v/>
      </c>
      <c r="AQ3444" s="8" t="str">
        <f aca="false">IF(A3444="","",IF(ISNUMBER(SEARCH("2歳",Z3444)),"2歳戦",IF(ISNUMBER(SEARCH("3歳未勝利",Z3444)),"3歳未勝利",IF(ISNUMBER(SEARCH("未勝利",Z3444)),"その他未勝利",IF(ISNUMBER(SEARCH("G1",Z3444)),"G1",IF(ISNUMBER(SEARCH("G2",Z3444)),"G2",IF(ISNUMBER(SEARCH("G3",Z3444)),"G3",IF(ISNUMBER(SEARCH("古馬条件",Z3444)),"古馬条件戦",IF(ISNUMBER(SEARCH("重賞",Z3444)),"重賞","分類不能")))))))))</f>
        <v/>
      </c>
    </row>
    <row r="3445" customFormat="false" ht="15.75" hidden="false" customHeight="false" outlineLevel="0" collapsed="false">
      <c r="AO3445" s="8" t="str">
        <f aca="false">IF(A3445="","",IF(COUNTIFS(全馬データ!$A$2:$A$50000,A3445,全馬データ!$B$2:$B$50000,B3445,全馬データ!$C$2:$C$50000,C3445,全馬データ!$D$2:$D$50000,E3445,全馬データ!$K$2:$K$50000,"&lt;&gt;")=0,"",SUMIFS(全馬データ!$K$2:$K$50000,全馬データ!$A$2:$A$50000,A3445,全馬データ!$B$2:$B$50000,B3445,全馬データ!$C$2:$C$50000,C3445,全馬データ!$D$2:$D$50000,E3445)))</f>
        <v/>
      </c>
      <c r="AP3445" s="8" t="str">
        <f aca="false">IF(A3445="","",IF(AO3445="","欠損",IF(AO3445&lt;=1.1,"1.0～1.1",IF(AO3445&lt;1.3,"1.2",IF(AO3445&lt;1.5,"1.3～1.4",IF(AO3445&lt;2,"1.5～1.9","2.0以上"))))))</f>
        <v/>
      </c>
      <c r="AQ3445" s="8" t="str">
        <f aca="false">IF(A3445="","",IF(ISNUMBER(SEARCH("2歳",Z3445)),"2歳戦",IF(ISNUMBER(SEARCH("3歳未勝利",Z3445)),"3歳未勝利",IF(ISNUMBER(SEARCH("未勝利",Z3445)),"その他未勝利",IF(ISNUMBER(SEARCH("G1",Z3445)),"G1",IF(ISNUMBER(SEARCH("G2",Z3445)),"G2",IF(ISNUMBER(SEARCH("G3",Z3445)),"G3",IF(ISNUMBER(SEARCH("古馬条件",Z3445)),"古馬条件戦",IF(ISNUMBER(SEARCH("重賞",Z3445)),"重賞","分類不能")))))))))</f>
        <v/>
      </c>
    </row>
    <row r="3446" customFormat="false" ht="15.75" hidden="false" customHeight="false" outlineLevel="0" collapsed="false">
      <c r="AO3446" s="8" t="str">
        <f aca="false">IF(A3446="","",IF(COUNTIFS(全馬データ!$A$2:$A$50000,A3446,全馬データ!$B$2:$B$50000,B3446,全馬データ!$C$2:$C$50000,C3446,全馬データ!$D$2:$D$50000,E3446,全馬データ!$K$2:$K$50000,"&lt;&gt;")=0,"",SUMIFS(全馬データ!$K$2:$K$50000,全馬データ!$A$2:$A$50000,A3446,全馬データ!$B$2:$B$50000,B3446,全馬データ!$C$2:$C$50000,C3446,全馬データ!$D$2:$D$50000,E3446)))</f>
        <v/>
      </c>
      <c r="AP3446" s="8" t="str">
        <f aca="false">IF(A3446="","",IF(AO3446="","欠損",IF(AO3446&lt;=1.1,"1.0～1.1",IF(AO3446&lt;1.3,"1.2",IF(AO3446&lt;1.5,"1.3～1.4",IF(AO3446&lt;2,"1.5～1.9","2.0以上"))))))</f>
        <v/>
      </c>
      <c r="AQ3446" s="8" t="str">
        <f aca="false">IF(A3446="","",IF(ISNUMBER(SEARCH("2歳",Z3446)),"2歳戦",IF(ISNUMBER(SEARCH("3歳未勝利",Z3446)),"3歳未勝利",IF(ISNUMBER(SEARCH("未勝利",Z3446)),"その他未勝利",IF(ISNUMBER(SEARCH("G1",Z3446)),"G1",IF(ISNUMBER(SEARCH("G2",Z3446)),"G2",IF(ISNUMBER(SEARCH("G3",Z3446)),"G3",IF(ISNUMBER(SEARCH("古馬条件",Z3446)),"古馬条件戦",IF(ISNUMBER(SEARCH("重賞",Z3446)),"重賞","分類不能")))))))))</f>
        <v/>
      </c>
    </row>
    <row r="3447" customFormat="false" ht="15.75" hidden="false" customHeight="false" outlineLevel="0" collapsed="false">
      <c r="AO3447" s="8" t="str">
        <f aca="false">IF(A3447="","",IF(COUNTIFS(全馬データ!$A$2:$A$50000,A3447,全馬データ!$B$2:$B$50000,B3447,全馬データ!$C$2:$C$50000,C3447,全馬データ!$D$2:$D$50000,E3447,全馬データ!$K$2:$K$50000,"&lt;&gt;")=0,"",SUMIFS(全馬データ!$K$2:$K$50000,全馬データ!$A$2:$A$50000,A3447,全馬データ!$B$2:$B$50000,B3447,全馬データ!$C$2:$C$50000,C3447,全馬データ!$D$2:$D$50000,E3447)))</f>
        <v/>
      </c>
      <c r="AP3447" s="8" t="str">
        <f aca="false">IF(A3447="","",IF(AO3447="","欠損",IF(AO3447&lt;=1.1,"1.0～1.1",IF(AO3447&lt;1.3,"1.2",IF(AO3447&lt;1.5,"1.3～1.4",IF(AO3447&lt;2,"1.5～1.9","2.0以上"))))))</f>
        <v/>
      </c>
      <c r="AQ3447" s="8" t="str">
        <f aca="false">IF(A3447="","",IF(ISNUMBER(SEARCH("2歳",Z3447)),"2歳戦",IF(ISNUMBER(SEARCH("3歳未勝利",Z3447)),"3歳未勝利",IF(ISNUMBER(SEARCH("未勝利",Z3447)),"その他未勝利",IF(ISNUMBER(SEARCH("G1",Z3447)),"G1",IF(ISNUMBER(SEARCH("G2",Z3447)),"G2",IF(ISNUMBER(SEARCH("G3",Z3447)),"G3",IF(ISNUMBER(SEARCH("古馬条件",Z3447)),"古馬条件戦",IF(ISNUMBER(SEARCH("重賞",Z3447)),"重賞","分類不能")))))))))</f>
        <v/>
      </c>
    </row>
    <row r="3448" customFormat="false" ht="15.75" hidden="false" customHeight="false" outlineLevel="0" collapsed="false">
      <c r="AO3448" s="8" t="str">
        <f aca="false">IF(A3448="","",IF(COUNTIFS(全馬データ!$A$2:$A$50000,A3448,全馬データ!$B$2:$B$50000,B3448,全馬データ!$C$2:$C$50000,C3448,全馬データ!$D$2:$D$50000,E3448,全馬データ!$K$2:$K$50000,"&lt;&gt;")=0,"",SUMIFS(全馬データ!$K$2:$K$50000,全馬データ!$A$2:$A$50000,A3448,全馬データ!$B$2:$B$50000,B3448,全馬データ!$C$2:$C$50000,C3448,全馬データ!$D$2:$D$50000,E3448)))</f>
        <v/>
      </c>
      <c r="AP3448" s="8" t="str">
        <f aca="false">IF(A3448="","",IF(AO3448="","欠損",IF(AO3448&lt;=1.1,"1.0～1.1",IF(AO3448&lt;1.3,"1.2",IF(AO3448&lt;1.5,"1.3～1.4",IF(AO3448&lt;2,"1.5～1.9","2.0以上"))))))</f>
        <v/>
      </c>
      <c r="AQ3448" s="8" t="str">
        <f aca="false">IF(A3448="","",IF(ISNUMBER(SEARCH("2歳",Z3448)),"2歳戦",IF(ISNUMBER(SEARCH("3歳未勝利",Z3448)),"3歳未勝利",IF(ISNUMBER(SEARCH("未勝利",Z3448)),"その他未勝利",IF(ISNUMBER(SEARCH("G1",Z3448)),"G1",IF(ISNUMBER(SEARCH("G2",Z3448)),"G2",IF(ISNUMBER(SEARCH("G3",Z3448)),"G3",IF(ISNUMBER(SEARCH("古馬条件",Z3448)),"古馬条件戦",IF(ISNUMBER(SEARCH("重賞",Z3448)),"重賞","分類不能")))))))))</f>
        <v/>
      </c>
    </row>
    <row r="3449" customFormat="false" ht="15.75" hidden="false" customHeight="false" outlineLevel="0" collapsed="false">
      <c r="AO3449" s="8" t="str">
        <f aca="false">IF(A3449="","",IF(COUNTIFS(全馬データ!$A$2:$A$50000,A3449,全馬データ!$B$2:$B$50000,B3449,全馬データ!$C$2:$C$50000,C3449,全馬データ!$D$2:$D$50000,E3449,全馬データ!$K$2:$K$50000,"&lt;&gt;")=0,"",SUMIFS(全馬データ!$K$2:$K$50000,全馬データ!$A$2:$A$50000,A3449,全馬データ!$B$2:$B$50000,B3449,全馬データ!$C$2:$C$50000,C3449,全馬データ!$D$2:$D$50000,E3449)))</f>
        <v/>
      </c>
      <c r="AP3449" s="8" t="str">
        <f aca="false">IF(A3449="","",IF(AO3449="","欠損",IF(AO3449&lt;=1.1,"1.0～1.1",IF(AO3449&lt;1.3,"1.2",IF(AO3449&lt;1.5,"1.3～1.4",IF(AO3449&lt;2,"1.5～1.9","2.0以上"))))))</f>
        <v/>
      </c>
      <c r="AQ3449" s="8" t="str">
        <f aca="false">IF(A3449="","",IF(ISNUMBER(SEARCH("2歳",Z3449)),"2歳戦",IF(ISNUMBER(SEARCH("3歳未勝利",Z3449)),"3歳未勝利",IF(ISNUMBER(SEARCH("未勝利",Z3449)),"その他未勝利",IF(ISNUMBER(SEARCH("G1",Z3449)),"G1",IF(ISNUMBER(SEARCH("G2",Z3449)),"G2",IF(ISNUMBER(SEARCH("G3",Z3449)),"G3",IF(ISNUMBER(SEARCH("古馬条件",Z3449)),"古馬条件戦",IF(ISNUMBER(SEARCH("重賞",Z3449)),"重賞","分類不能")))))))))</f>
        <v/>
      </c>
    </row>
    <row r="3450" customFormat="false" ht="15.75" hidden="false" customHeight="false" outlineLevel="0" collapsed="false">
      <c r="AO3450" s="8" t="str">
        <f aca="false">IF(A3450="","",IF(COUNTIFS(全馬データ!$A$2:$A$50000,A3450,全馬データ!$B$2:$B$50000,B3450,全馬データ!$C$2:$C$50000,C3450,全馬データ!$D$2:$D$50000,E3450,全馬データ!$K$2:$K$50000,"&lt;&gt;")=0,"",SUMIFS(全馬データ!$K$2:$K$50000,全馬データ!$A$2:$A$50000,A3450,全馬データ!$B$2:$B$50000,B3450,全馬データ!$C$2:$C$50000,C3450,全馬データ!$D$2:$D$50000,E3450)))</f>
        <v/>
      </c>
      <c r="AP3450" s="8" t="str">
        <f aca="false">IF(A3450="","",IF(AO3450="","欠損",IF(AO3450&lt;=1.1,"1.0～1.1",IF(AO3450&lt;1.3,"1.2",IF(AO3450&lt;1.5,"1.3～1.4",IF(AO3450&lt;2,"1.5～1.9","2.0以上"))))))</f>
        <v/>
      </c>
      <c r="AQ3450" s="8" t="str">
        <f aca="false">IF(A3450="","",IF(ISNUMBER(SEARCH("2歳",Z3450)),"2歳戦",IF(ISNUMBER(SEARCH("3歳未勝利",Z3450)),"3歳未勝利",IF(ISNUMBER(SEARCH("未勝利",Z3450)),"その他未勝利",IF(ISNUMBER(SEARCH("G1",Z3450)),"G1",IF(ISNUMBER(SEARCH("G2",Z3450)),"G2",IF(ISNUMBER(SEARCH("G3",Z3450)),"G3",IF(ISNUMBER(SEARCH("古馬条件",Z3450)),"古馬条件戦",IF(ISNUMBER(SEARCH("重賞",Z3450)),"重賞","分類不能")))))))))</f>
        <v/>
      </c>
    </row>
    <row r="3451" customFormat="false" ht="15.75" hidden="false" customHeight="false" outlineLevel="0" collapsed="false">
      <c r="AO3451" s="8" t="str">
        <f aca="false">IF(A3451="","",IF(COUNTIFS(全馬データ!$A$2:$A$50000,A3451,全馬データ!$B$2:$B$50000,B3451,全馬データ!$C$2:$C$50000,C3451,全馬データ!$D$2:$D$50000,E3451,全馬データ!$K$2:$K$50000,"&lt;&gt;")=0,"",SUMIFS(全馬データ!$K$2:$K$50000,全馬データ!$A$2:$A$50000,A3451,全馬データ!$B$2:$B$50000,B3451,全馬データ!$C$2:$C$50000,C3451,全馬データ!$D$2:$D$50000,E3451)))</f>
        <v/>
      </c>
      <c r="AP3451" s="8" t="str">
        <f aca="false">IF(A3451="","",IF(AO3451="","欠損",IF(AO3451&lt;=1.1,"1.0～1.1",IF(AO3451&lt;1.3,"1.2",IF(AO3451&lt;1.5,"1.3～1.4",IF(AO3451&lt;2,"1.5～1.9","2.0以上"))))))</f>
        <v/>
      </c>
      <c r="AQ3451" s="8" t="str">
        <f aca="false">IF(A3451="","",IF(ISNUMBER(SEARCH("2歳",Z3451)),"2歳戦",IF(ISNUMBER(SEARCH("3歳未勝利",Z3451)),"3歳未勝利",IF(ISNUMBER(SEARCH("未勝利",Z3451)),"その他未勝利",IF(ISNUMBER(SEARCH("G1",Z3451)),"G1",IF(ISNUMBER(SEARCH("G2",Z3451)),"G2",IF(ISNUMBER(SEARCH("G3",Z3451)),"G3",IF(ISNUMBER(SEARCH("古馬条件",Z3451)),"古馬条件戦",IF(ISNUMBER(SEARCH("重賞",Z3451)),"重賞","分類不能")))))))))</f>
        <v/>
      </c>
    </row>
    <row r="3452" customFormat="false" ht="15.75" hidden="false" customHeight="false" outlineLevel="0" collapsed="false">
      <c r="AO3452" s="8" t="str">
        <f aca="false">IF(A3452="","",IF(COUNTIFS(全馬データ!$A$2:$A$50000,A3452,全馬データ!$B$2:$B$50000,B3452,全馬データ!$C$2:$C$50000,C3452,全馬データ!$D$2:$D$50000,E3452,全馬データ!$K$2:$K$50000,"&lt;&gt;")=0,"",SUMIFS(全馬データ!$K$2:$K$50000,全馬データ!$A$2:$A$50000,A3452,全馬データ!$B$2:$B$50000,B3452,全馬データ!$C$2:$C$50000,C3452,全馬データ!$D$2:$D$50000,E3452)))</f>
        <v/>
      </c>
      <c r="AP3452" s="8" t="str">
        <f aca="false">IF(A3452="","",IF(AO3452="","欠損",IF(AO3452&lt;=1.1,"1.0～1.1",IF(AO3452&lt;1.3,"1.2",IF(AO3452&lt;1.5,"1.3～1.4",IF(AO3452&lt;2,"1.5～1.9","2.0以上"))))))</f>
        <v/>
      </c>
      <c r="AQ3452" s="8" t="str">
        <f aca="false">IF(A3452="","",IF(ISNUMBER(SEARCH("2歳",Z3452)),"2歳戦",IF(ISNUMBER(SEARCH("3歳未勝利",Z3452)),"3歳未勝利",IF(ISNUMBER(SEARCH("未勝利",Z3452)),"その他未勝利",IF(ISNUMBER(SEARCH("G1",Z3452)),"G1",IF(ISNUMBER(SEARCH("G2",Z3452)),"G2",IF(ISNUMBER(SEARCH("G3",Z3452)),"G3",IF(ISNUMBER(SEARCH("古馬条件",Z3452)),"古馬条件戦",IF(ISNUMBER(SEARCH("重賞",Z3452)),"重賞","分類不能")))))))))</f>
        <v/>
      </c>
    </row>
    <row r="3453" customFormat="false" ht="15.75" hidden="false" customHeight="false" outlineLevel="0" collapsed="false">
      <c r="AO3453" s="8" t="str">
        <f aca="false">IF(A3453="","",IF(COUNTIFS(全馬データ!$A$2:$A$50000,A3453,全馬データ!$B$2:$B$50000,B3453,全馬データ!$C$2:$C$50000,C3453,全馬データ!$D$2:$D$50000,E3453,全馬データ!$K$2:$K$50000,"&lt;&gt;")=0,"",SUMIFS(全馬データ!$K$2:$K$50000,全馬データ!$A$2:$A$50000,A3453,全馬データ!$B$2:$B$50000,B3453,全馬データ!$C$2:$C$50000,C3453,全馬データ!$D$2:$D$50000,E3453)))</f>
        <v/>
      </c>
      <c r="AP3453" s="8" t="str">
        <f aca="false">IF(A3453="","",IF(AO3453="","欠損",IF(AO3453&lt;=1.1,"1.0～1.1",IF(AO3453&lt;1.3,"1.2",IF(AO3453&lt;1.5,"1.3～1.4",IF(AO3453&lt;2,"1.5～1.9","2.0以上"))))))</f>
        <v/>
      </c>
      <c r="AQ3453" s="8" t="str">
        <f aca="false">IF(A3453="","",IF(ISNUMBER(SEARCH("2歳",Z3453)),"2歳戦",IF(ISNUMBER(SEARCH("3歳未勝利",Z3453)),"3歳未勝利",IF(ISNUMBER(SEARCH("未勝利",Z3453)),"その他未勝利",IF(ISNUMBER(SEARCH("G1",Z3453)),"G1",IF(ISNUMBER(SEARCH("G2",Z3453)),"G2",IF(ISNUMBER(SEARCH("G3",Z3453)),"G3",IF(ISNUMBER(SEARCH("古馬条件",Z3453)),"古馬条件戦",IF(ISNUMBER(SEARCH("重賞",Z3453)),"重賞","分類不能")))))))))</f>
        <v/>
      </c>
    </row>
    <row r="3454" customFormat="false" ht="15.75" hidden="false" customHeight="false" outlineLevel="0" collapsed="false">
      <c r="AO3454" s="8" t="str">
        <f aca="false">IF(A3454="","",IF(COUNTIFS(全馬データ!$A$2:$A$50000,A3454,全馬データ!$B$2:$B$50000,B3454,全馬データ!$C$2:$C$50000,C3454,全馬データ!$D$2:$D$50000,E3454,全馬データ!$K$2:$K$50000,"&lt;&gt;")=0,"",SUMIFS(全馬データ!$K$2:$K$50000,全馬データ!$A$2:$A$50000,A3454,全馬データ!$B$2:$B$50000,B3454,全馬データ!$C$2:$C$50000,C3454,全馬データ!$D$2:$D$50000,E3454)))</f>
        <v/>
      </c>
      <c r="AP3454" s="8" t="str">
        <f aca="false">IF(A3454="","",IF(AO3454="","欠損",IF(AO3454&lt;=1.1,"1.0～1.1",IF(AO3454&lt;1.3,"1.2",IF(AO3454&lt;1.5,"1.3～1.4",IF(AO3454&lt;2,"1.5～1.9","2.0以上"))))))</f>
        <v/>
      </c>
      <c r="AQ3454" s="8" t="str">
        <f aca="false">IF(A3454="","",IF(ISNUMBER(SEARCH("2歳",Z3454)),"2歳戦",IF(ISNUMBER(SEARCH("3歳未勝利",Z3454)),"3歳未勝利",IF(ISNUMBER(SEARCH("未勝利",Z3454)),"その他未勝利",IF(ISNUMBER(SEARCH("G1",Z3454)),"G1",IF(ISNUMBER(SEARCH("G2",Z3454)),"G2",IF(ISNUMBER(SEARCH("G3",Z3454)),"G3",IF(ISNUMBER(SEARCH("古馬条件",Z3454)),"古馬条件戦",IF(ISNUMBER(SEARCH("重賞",Z3454)),"重賞","分類不能")))))))))</f>
        <v/>
      </c>
    </row>
    <row r="3455" customFormat="false" ht="15.75" hidden="false" customHeight="false" outlineLevel="0" collapsed="false">
      <c r="AO3455" s="8" t="str">
        <f aca="false">IF(A3455="","",IF(COUNTIFS(全馬データ!$A$2:$A$50000,A3455,全馬データ!$B$2:$B$50000,B3455,全馬データ!$C$2:$C$50000,C3455,全馬データ!$D$2:$D$50000,E3455,全馬データ!$K$2:$K$50000,"&lt;&gt;")=0,"",SUMIFS(全馬データ!$K$2:$K$50000,全馬データ!$A$2:$A$50000,A3455,全馬データ!$B$2:$B$50000,B3455,全馬データ!$C$2:$C$50000,C3455,全馬データ!$D$2:$D$50000,E3455)))</f>
        <v/>
      </c>
      <c r="AP3455" s="8" t="str">
        <f aca="false">IF(A3455="","",IF(AO3455="","欠損",IF(AO3455&lt;=1.1,"1.0～1.1",IF(AO3455&lt;1.3,"1.2",IF(AO3455&lt;1.5,"1.3～1.4",IF(AO3455&lt;2,"1.5～1.9","2.0以上"))))))</f>
        <v/>
      </c>
      <c r="AQ3455" s="8" t="str">
        <f aca="false">IF(A3455="","",IF(ISNUMBER(SEARCH("2歳",Z3455)),"2歳戦",IF(ISNUMBER(SEARCH("3歳未勝利",Z3455)),"3歳未勝利",IF(ISNUMBER(SEARCH("未勝利",Z3455)),"その他未勝利",IF(ISNUMBER(SEARCH("G1",Z3455)),"G1",IF(ISNUMBER(SEARCH("G2",Z3455)),"G2",IF(ISNUMBER(SEARCH("G3",Z3455)),"G3",IF(ISNUMBER(SEARCH("古馬条件",Z3455)),"古馬条件戦",IF(ISNUMBER(SEARCH("重賞",Z3455)),"重賞","分類不能")))))))))</f>
        <v/>
      </c>
    </row>
    <row r="3456" customFormat="false" ht="15.75" hidden="false" customHeight="false" outlineLevel="0" collapsed="false">
      <c r="AO3456" s="8" t="str">
        <f aca="false">IF(A3456="","",IF(COUNTIFS(全馬データ!$A$2:$A$50000,A3456,全馬データ!$B$2:$B$50000,B3456,全馬データ!$C$2:$C$50000,C3456,全馬データ!$D$2:$D$50000,E3456,全馬データ!$K$2:$K$50000,"&lt;&gt;")=0,"",SUMIFS(全馬データ!$K$2:$K$50000,全馬データ!$A$2:$A$50000,A3456,全馬データ!$B$2:$B$50000,B3456,全馬データ!$C$2:$C$50000,C3456,全馬データ!$D$2:$D$50000,E3456)))</f>
        <v/>
      </c>
      <c r="AP3456" s="8" t="str">
        <f aca="false">IF(A3456="","",IF(AO3456="","欠損",IF(AO3456&lt;=1.1,"1.0～1.1",IF(AO3456&lt;1.3,"1.2",IF(AO3456&lt;1.5,"1.3～1.4",IF(AO3456&lt;2,"1.5～1.9","2.0以上"))))))</f>
        <v/>
      </c>
      <c r="AQ3456" s="8" t="str">
        <f aca="false">IF(A3456="","",IF(ISNUMBER(SEARCH("2歳",Z3456)),"2歳戦",IF(ISNUMBER(SEARCH("3歳未勝利",Z3456)),"3歳未勝利",IF(ISNUMBER(SEARCH("未勝利",Z3456)),"その他未勝利",IF(ISNUMBER(SEARCH("G1",Z3456)),"G1",IF(ISNUMBER(SEARCH("G2",Z3456)),"G2",IF(ISNUMBER(SEARCH("G3",Z3456)),"G3",IF(ISNUMBER(SEARCH("古馬条件",Z3456)),"古馬条件戦",IF(ISNUMBER(SEARCH("重賞",Z3456)),"重賞","分類不能")))))))))</f>
        <v/>
      </c>
    </row>
    <row r="3457" customFormat="false" ht="15.75" hidden="false" customHeight="false" outlineLevel="0" collapsed="false">
      <c r="AO3457" s="8" t="str">
        <f aca="false">IF(A3457="","",IF(COUNTIFS(全馬データ!$A$2:$A$50000,A3457,全馬データ!$B$2:$B$50000,B3457,全馬データ!$C$2:$C$50000,C3457,全馬データ!$D$2:$D$50000,E3457,全馬データ!$K$2:$K$50000,"&lt;&gt;")=0,"",SUMIFS(全馬データ!$K$2:$K$50000,全馬データ!$A$2:$A$50000,A3457,全馬データ!$B$2:$B$50000,B3457,全馬データ!$C$2:$C$50000,C3457,全馬データ!$D$2:$D$50000,E3457)))</f>
        <v/>
      </c>
      <c r="AP3457" s="8" t="str">
        <f aca="false">IF(A3457="","",IF(AO3457="","欠損",IF(AO3457&lt;=1.1,"1.0～1.1",IF(AO3457&lt;1.3,"1.2",IF(AO3457&lt;1.5,"1.3～1.4",IF(AO3457&lt;2,"1.5～1.9","2.0以上"))))))</f>
        <v/>
      </c>
      <c r="AQ3457" s="8" t="str">
        <f aca="false">IF(A3457="","",IF(ISNUMBER(SEARCH("2歳",Z3457)),"2歳戦",IF(ISNUMBER(SEARCH("3歳未勝利",Z3457)),"3歳未勝利",IF(ISNUMBER(SEARCH("未勝利",Z3457)),"その他未勝利",IF(ISNUMBER(SEARCH("G1",Z3457)),"G1",IF(ISNUMBER(SEARCH("G2",Z3457)),"G2",IF(ISNUMBER(SEARCH("G3",Z3457)),"G3",IF(ISNUMBER(SEARCH("古馬条件",Z3457)),"古馬条件戦",IF(ISNUMBER(SEARCH("重賞",Z3457)),"重賞","分類不能")))))))))</f>
        <v/>
      </c>
    </row>
    <row r="3458" customFormat="false" ht="15.75" hidden="false" customHeight="false" outlineLevel="0" collapsed="false">
      <c r="AO3458" s="8" t="str">
        <f aca="false">IF(A3458="","",IF(COUNTIFS(全馬データ!$A$2:$A$50000,A3458,全馬データ!$B$2:$B$50000,B3458,全馬データ!$C$2:$C$50000,C3458,全馬データ!$D$2:$D$50000,E3458,全馬データ!$K$2:$K$50000,"&lt;&gt;")=0,"",SUMIFS(全馬データ!$K$2:$K$50000,全馬データ!$A$2:$A$50000,A3458,全馬データ!$B$2:$B$50000,B3458,全馬データ!$C$2:$C$50000,C3458,全馬データ!$D$2:$D$50000,E3458)))</f>
        <v/>
      </c>
      <c r="AP3458" s="8" t="str">
        <f aca="false">IF(A3458="","",IF(AO3458="","欠損",IF(AO3458&lt;=1.1,"1.0～1.1",IF(AO3458&lt;1.3,"1.2",IF(AO3458&lt;1.5,"1.3～1.4",IF(AO3458&lt;2,"1.5～1.9","2.0以上"))))))</f>
        <v/>
      </c>
      <c r="AQ3458" s="8" t="str">
        <f aca="false">IF(A3458="","",IF(ISNUMBER(SEARCH("2歳",Z3458)),"2歳戦",IF(ISNUMBER(SEARCH("3歳未勝利",Z3458)),"3歳未勝利",IF(ISNUMBER(SEARCH("未勝利",Z3458)),"その他未勝利",IF(ISNUMBER(SEARCH("G1",Z3458)),"G1",IF(ISNUMBER(SEARCH("G2",Z3458)),"G2",IF(ISNUMBER(SEARCH("G3",Z3458)),"G3",IF(ISNUMBER(SEARCH("古馬条件",Z3458)),"古馬条件戦",IF(ISNUMBER(SEARCH("重賞",Z3458)),"重賞","分類不能")))))))))</f>
        <v/>
      </c>
    </row>
    <row r="3459" customFormat="false" ht="15.75" hidden="false" customHeight="false" outlineLevel="0" collapsed="false">
      <c r="AO3459" s="8" t="str">
        <f aca="false">IF(A3459="","",IF(COUNTIFS(全馬データ!$A$2:$A$50000,A3459,全馬データ!$B$2:$B$50000,B3459,全馬データ!$C$2:$C$50000,C3459,全馬データ!$D$2:$D$50000,E3459,全馬データ!$K$2:$K$50000,"&lt;&gt;")=0,"",SUMIFS(全馬データ!$K$2:$K$50000,全馬データ!$A$2:$A$50000,A3459,全馬データ!$B$2:$B$50000,B3459,全馬データ!$C$2:$C$50000,C3459,全馬データ!$D$2:$D$50000,E3459)))</f>
        <v/>
      </c>
      <c r="AP3459" s="8" t="str">
        <f aca="false">IF(A3459="","",IF(AO3459="","欠損",IF(AO3459&lt;=1.1,"1.0～1.1",IF(AO3459&lt;1.3,"1.2",IF(AO3459&lt;1.5,"1.3～1.4",IF(AO3459&lt;2,"1.5～1.9","2.0以上"))))))</f>
        <v/>
      </c>
      <c r="AQ3459" s="8" t="str">
        <f aca="false">IF(A3459="","",IF(ISNUMBER(SEARCH("2歳",Z3459)),"2歳戦",IF(ISNUMBER(SEARCH("3歳未勝利",Z3459)),"3歳未勝利",IF(ISNUMBER(SEARCH("未勝利",Z3459)),"その他未勝利",IF(ISNUMBER(SEARCH("G1",Z3459)),"G1",IF(ISNUMBER(SEARCH("G2",Z3459)),"G2",IF(ISNUMBER(SEARCH("G3",Z3459)),"G3",IF(ISNUMBER(SEARCH("古馬条件",Z3459)),"古馬条件戦",IF(ISNUMBER(SEARCH("重賞",Z3459)),"重賞","分類不能")))))))))</f>
        <v/>
      </c>
    </row>
    <row r="3460" customFormat="false" ht="15.75" hidden="false" customHeight="false" outlineLevel="0" collapsed="false">
      <c r="AO3460" s="8" t="str">
        <f aca="false">IF(A3460="","",IF(COUNTIFS(全馬データ!$A$2:$A$50000,A3460,全馬データ!$B$2:$B$50000,B3460,全馬データ!$C$2:$C$50000,C3460,全馬データ!$D$2:$D$50000,E3460,全馬データ!$K$2:$K$50000,"&lt;&gt;")=0,"",SUMIFS(全馬データ!$K$2:$K$50000,全馬データ!$A$2:$A$50000,A3460,全馬データ!$B$2:$B$50000,B3460,全馬データ!$C$2:$C$50000,C3460,全馬データ!$D$2:$D$50000,E3460)))</f>
        <v/>
      </c>
      <c r="AP3460" s="8" t="str">
        <f aca="false">IF(A3460="","",IF(AO3460="","欠損",IF(AO3460&lt;=1.1,"1.0～1.1",IF(AO3460&lt;1.3,"1.2",IF(AO3460&lt;1.5,"1.3～1.4",IF(AO3460&lt;2,"1.5～1.9","2.0以上"))))))</f>
        <v/>
      </c>
      <c r="AQ3460" s="8" t="str">
        <f aca="false">IF(A3460="","",IF(ISNUMBER(SEARCH("2歳",Z3460)),"2歳戦",IF(ISNUMBER(SEARCH("3歳未勝利",Z3460)),"3歳未勝利",IF(ISNUMBER(SEARCH("未勝利",Z3460)),"その他未勝利",IF(ISNUMBER(SEARCH("G1",Z3460)),"G1",IF(ISNUMBER(SEARCH("G2",Z3460)),"G2",IF(ISNUMBER(SEARCH("G3",Z3460)),"G3",IF(ISNUMBER(SEARCH("古馬条件",Z3460)),"古馬条件戦",IF(ISNUMBER(SEARCH("重賞",Z3460)),"重賞","分類不能")))))))))</f>
        <v/>
      </c>
    </row>
    <row r="3461" customFormat="false" ht="15.75" hidden="false" customHeight="false" outlineLevel="0" collapsed="false">
      <c r="AO3461" s="8" t="str">
        <f aca="false">IF(A3461="","",IF(COUNTIFS(全馬データ!$A$2:$A$50000,A3461,全馬データ!$B$2:$B$50000,B3461,全馬データ!$C$2:$C$50000,C3461,全馬データ!$D$2:$D$50000,E3461,全馬データ!$K$2:$K$50000,"&lt;&gt;")=0,"",SUMIFS(全馬データ!$K$2:$K$50000,全馬データ!$A$2:$A$50000,A3461,全馬データ!$B$2:$B$50000,B3461,全馬データ!$C$2:$C$50000,C3461,全馬データ!$D$2:$D$50000,E3461)))</f>
        <v/>
      </c>
      <c r="AP3461" s="8" t="str">
        <f aca="false">IF(A3461="","",IF(AO3461="","欠損",IF(AO3461&lt;=1.1,"1.0～1.1",IF(AO3461&lt;1.3,"1.2",IF(AO3461&lt;1.5,"1.3～1.4",IF(AO3461&lt;2,"1.5～1.9","2.0以上"))))))</f>
        <v/>
      </c>
      <c r="AQ3461" s="8" t="str">
        <f aca="false">IF(A3461="","",IF(ISNUMBER(SEARCH("2歳",Z3461)),"2歳戦",IF(ISNUMBER(SEARCH("3歳未勝利",Z3461)),"3歳未勝利",IF(ISNUMBER(SEARCH("未勝利",Z3461)),"その他未勝利",IF(ISNUMBER(SEARCH("G1",Z3461)),"G1",IF(ISNUMBER(SEARCH("G2",Z3461)),"G2",IF(ISNUMBER(SEARCH("G3",Z3461)),"G3",IF(ISNUMBER(SEARCH("古馬条件",Z3461)),"古馬条件戦",IF(ISNUMBER(SEARCH("重賞",Z3461)),"重賞","分類不能")))))))))</f>
        <v/>
      </c>
    </row>
    <row r="3462" customFormat="false" ht="15.75" hidden="false" customHeight="false" outlineLevel="0" collapsed="false">
      <c r="AO3462" s="8" t="str">
        <f aca="false">IF(A3462="","",IF(COUNTIFS(全馬データ!$A$2:$A$50000,A3462,全馬データ!$B$2:$B$50000,B3462,全馬データ!$C$2:$C$50000,C3462,全馬データ!$D$2:$D$50000,E3462,全馬データ!$K$2:$K$50000,"&lt;&gt;")=0,"",SUMIFS(全馬データ!$K$2:$K$50000,全馬データ!$A$2:$A$50000,A3462,全馬データ!$B$2:$B$50000,B3462,全馬データ!$C$2:$C$50000,C3462,全馬データ!$D$2:$D$50000,E3462)))</f>
        <v/>
      </c>
      <c r="AP3462" s="8" t="str">
        <f aca="false">IF(A3462="","",IF(AO3462="","欠損",IF(AO3462&lt;=1.1,"1.0～1.1",IF(AO3462&lt;1.3,"1.2",IF(AO3462&lt;1.5,"1.3～1.4",IF(AO3462&lt;2,"1.5～1.9","2.0以上"))))))</f>
        <v/>
      </c>
      <c r="AQ3462" s="8" t="str">
        <f aca="false">IF(A3462="","",IF(ISNUMBER(SEARCH("2歳",Z3462)),"2歳戦",IF(ISNUMBER(SEARCH("3歳未勝利",Z3462)),"3歳未勝利",IF(ISNUMBER(SEARCH("未勝利",Z3462)),"その他未勝利",IF(ISNUMBER(SEARCH("G1",Z3462)),"G1",IF(ISNUMBER(SEARCH("G2",Z3462)),"G2",IF(ISNUMBER(SEARCH("G3",Z3462)),"G3",IF(ISNUMBER(SEARCH("古馬条件",Z3462)),"古馬条件戦",IF(ISNUMBER(SEARCH("重賞",Z3462)),"重賞","分類不能")))))))))</f>
        <v/>
      </c>
    </row>
    <row r="3463" customFormat="false" ht="15.75" hidden="false" customHeight="false" outlineLevel="0" collapsed="false">
      <c r="AO3463" s="8" t="str">
        <f aca="false">IF(A3463="","",IF(COUNTIFS(全馬データ!$A$2:$A$50000,A3463,全馬データ!$B$2:$B$50000,B3463,全馬データ!$C$2:$C$50000,C3463,全馬データ!$D$2:$D$50000,E3463,全馬データ!$K$2:$K$50000,"&lt;&gt;")=0,"",SUMIFS(全馬データ!$K$2:$K$50000,全馬データ!$A$2:$A$50000,A3463,全馬データ!$B$2:$B$50000,B3463,全馬データ!$C$2:$C$50000,C3463,全馬データ!$D$2:$D$50000,E3463)))</f>
        <v/>
      </c>
      <c r="AP3463" s="8" t="str">
        <f aca="false">IF(A3463="","",IF(AO3463="","欠損",IF(AO3463&lt;=1.1,"1.0～1.1",IF(AO3463&lt;1.3,"1.2",IF(AO3463&lt;1.5,"1.3～1.4",IF(AO3463&lt;2,"1.5～1.9","2.0以上"))))))</f>
        <v/>
      </c>
      <c r="AQ3463" s="8" t="str">
        <f aca="false">IF(A3463="","",IF(ISNUMBER(SEARCH("2歳",Z3463)),"2歳戦",IF(ISNUMBER(SEARCH("3歳未勝利",Z3463)),"3歳未勝利",IF(ISNUMBER(SEARCH("未勝利",Z3463)),"その他未勝利",IF(ISNUMBER(SEARCH("G1",Z3463)),"G1",IF(ISNUMBER(SEARCH("G2",Z3463)),"G2",IF(ISNUMBER(SEARCH("G3",Z3463)),"G3",IF(ISNUMBER(SEARCH("古馬条件",Z3463)),"古馬条件戦",IF(ISNUMBER(SEARCH("重賞",Z3463)),"重賞","分類不能")))))))))</f>
        <v/>
      </c>
    </row>
    <row r="3464" customFormat="false" ht="15.75" hidden="false" customHeight="false" outlineLevel="0" collapsed="false">
      <c r="AO3464" s="8" t="str">
        <f aca="false">IF(A3464="","",IF(COUNTIFS(全馬データ!$A$2:$A$50000,A3464,全馬データ!$B$2:$B$50000,B3464,全馬データ!$C$2:$C$50000,C3464,全馬データ!$D$2:$D$50000,E3464,全馬データ!$K$2:$K$50000,"&lt;&gt;")=0,"",SUMIFS(全馬データ!$K$2:$K$50000,全馬データ!$A$2:$A$50000,A3464,全馬データ!$B$2:$B$50000,B3464,全馬データ!$C$2:$C$50000,C3464,全馬データ!$D$2:$D$50000,E3464)))</f>
        <v/>
      </c>
      <c r="AP3464" s="8" t="str">
        <f aca="false">IF(A3464="","",IF(AO3464="","欠損",IF(AO3464&lt;=1.1,"1.0～1.1",IF(AO3464&lt;1.3,"1.2",IF(AO3464&lt;1.5,"1.3～1.4",IF(AO3464&lt;2,"1.5～1.9","2.0以上"))))))</f>
        <v/>
      </c>
      <c r="AQ3464" s="8" t="str">
        <f aca="false">IF(A3464="","",IF(ISNUMBER(SEARCH("2歳",Z3464)),"2歳戦",IF(ISNUMBER(SEARCH("3歳未勝利",Z3464)),"3歳未勝利",IF(ISNUMBER(SEARCH("未勝利",Z3464)),"その他未勝利",IF(ISNUMBER(SEARCH("G1",Z3464)),"G1",IF(ISNUMBER(SEARCH("G2",Z3464)),"G2",IF(ISNUMBER(SEARCH("G3",Z3464)),"G3",IF(ISNUMBER(SEARCH("古馬条件",Z3464)),"古馬条件戦",IF(ISNUMBER(SEARCH("重賞",Z3464)),"重賞","分類不能")))))))))</f>
        <v/>
      </c>
    </row>
    <row r="3465" customFormat="false" ht="15.75" hidden="false" customHeight="false" outlineLevel="0" collapsed="false">
      <c r="AO3465" s="8" t="str">
        <f aca="false">IF(A3465="","",IF(COUNTIFS(全馬データ!$A$2:$A$50000,A3465,全馬データ!$B$2:$B$50000,B3465,全馬データ!$C$2:$C$50000,C3465,全馬データ!$D$2:$D$50000,E3465,全馬データ!$K$2:$K$50000,"&lt;&gt;")=0,"",SUMIFS(全馬データ!$K$2:$K$50000,全馬データ!$A$2:$A$50000,A3465,全馬データ!$B$2:$B$50000,B3465,全馬データ!$C$2:$C$50000,C3465,全馬データ!$D$2:$D$50000,E3465)))</f>
        <v/>
      </c>
      <c r="AP3465" s="8" t="str">
        <f aca="false">IF(A3465="","",IF(AO3465="","欠損",IF(AO3465&lt;=1.1,"1.0～1.1",IF(AO3465&lt;1.3,"1.2",IF(AO3465&lt;1.5,"1.3～1.4",IF(AO3465&lt;2,"1.5～1.9","2.0以上"))))))</f>
        <v/>
      </c>
      <c r="AQ3465" s="8" t="str">
        <f aca="false">IF(A3465="","",IF(ISNUMBER(SEARCH("2歳",Z3465)),"2歳戦",IF(ISNUMBER(SEARCH("3歳未勝利",Z3465)),"3歳未勝利",IF(ISNUMBER(SEARCH("未勝利",Z3465)),"その他未勝利",IF(ISNUMBER(SEARCH("G1",Z3465)),"G1",IF(ISNUMBER(SEARCH("G2",Z3465)),"G2",IF(ISNUMBER(SEARCH("G3",Z3465)),"G3",IF(ISNUMBER(SEARCH("古馬条件",Z3465)),"古馬条件戦",IF(ISNUMBER(SEARCH("重賞",Z3465)),"重賞","分類不能")))))))))</f>
        <v/>
      </c>
    </row>
    <row r="3466" customFormat="false" ht="15.75" hidden="false" customHeight="false" outlineLevel="0" collapsed="false">
      <c r="AO3466" s="8" t="str">
        <f aca="false">IF(A3466="","",IF(COUNTIFS(全馬データ!$A$2:$A$50000,A3466,全馬データ!$B$2:$B$50000,B3466,全馬データ!$C$2:$C$50000,C3466,全馬データ!$D$2:$D$50000,E3466,全馬データ!$K$2:$K$50000,"&lt;&gt;")=0,"",SUMIFS(全馬データ!$K$2:$K$50000,全馬データ!$A$2:$A$50000,A3466,全馬データ!$B$2:$B$50000,B3466,全馬データ!$C$2:$C$50000,C3466,全馬データ!$D$2:$D$50000,E3466)))</f>
        <v/>
      </c>
      <c r="AP3466" s="8" t="str">
        <f aca="false">IF(A3466="","",IF(AO3466="","欠損",IF(AO3466&lt;=1.1,"1.0～1.1",IF(AO3466&lt;1.3,"1.2",IF(AO3466&lt;1.5,"1.3～1.4",IF(AO3466&lt;2,"1.5～1.9","2.0以上"))))))</f>
        <v/>
      </c>
      <c r="AQ3466" s="8" t="str">
        <f aca="false">IF(A3466="","",IF(ISNUMBER(SEARCH("2歳",Z3466)),"2歳戦",IF(ISNUMBER(SEARCH("3歳未勝利",Z3466)),"3歳未勝利",IF(ISNUMBER(SEARCH("未勝利",Z3466)),"その他未勝利",IF(ISNUMBER(SEARCH("G1",Z3466)),"G1",IF(ISNUMBER(SEARCH("G2",Z3466)),"G2",IF(ISNUMBER(SEARCH("G3",Z3466)),"G3",IF(ISNUMBER(SEARCH("古馬条件",Z3466)),"古馬条件戦",IF(ISNUMBER(SEARCH("重賞",Z3466)),"重賞","分類不能")))))))))</f>
        <v/>
      </c>
    </row>
    <row r="3467" customFormat="false" ht="15.75" hidden="false" customHeight="false" outlineLevel="0" collapsed="false">
      <c r="AO3467" s="8" t="str">
        <f aca="false">IF(A3467="","",IF(COUNTIFS(全馬データ!$A$2:$A$50000,A3467,全馬データ!$B$2:$B$50000,B3467,全馬データ!$C$2:$C$50000,C3467,全馬データ!$D$2:$D$50000,E3467,全馬データ!$K$2:$K$50000,"&lt;&gt;")=0,"",SUMIFS(全馬データ!$K$2:$K$50000,全馬データ!$A$2:$A$50000,A3467,全馬データ!$B$2:$B$50000,B3467,全馬データ!$C$2:$C$50000,C3467,全馬データ!$D$2:$D$50000,E3467)))</f>
        <v/>
      </c>
      <c r="AP3467" s="8" t="str">
        <f aca="false">IF(A3467="","",IF(AO3467="","欠損",IF(AO3467&lt;=1.1,"1.0～1.1",IF(AO3467&lt;1.3,"1.2",IF(AO3467&lt;1.5,"1.3～1.4",IF(AO3467&lt;2,"1.5～1.9","2.0以上"))))))</f>
        <v/>
      </c>
      <c r="AQ3467" s="8" t="str">
        <f aca="false">IF(A3467="","",IF(ISNUMBER(SEARCH("2歳",Z3467)),"2歳戦",IF(ISNUMBER(SEARCH("3歳未勝利",Z3467)),"3歳未勝利",IF(ISNUMBER(SEARCH("未勝利",Z3467)),"その他未勝利",IF(ISNUMBER(SEARCH("G1",Z3467)),"G1",IF(ISNUMBER(SEARCH("G2",Z3467)),"G2",IF(ISNUMBER(SEARCH("G3",Z3467)),"G3",IF(ISNUMBER(SEARCH("古馬条件",Z3467)),"古馬条件戦",IF(ISNUMBER(SEARCH("重賞",Z3467)),"重賞","分類不能")))))))))</f>
        <v/>
      </c>
    </row>
    <row r="3468" customFormat="false" ht="15.75" hidden="false" customHeight="false" outlineLevel="0" collapsed="false">
      <c r="AO3468" s="8" t="str">
        <f aca="false">IF(A3468="","",IF(COUNTIFS(全馬データ!$A$2:$A$50000,A3468,全馬データ!$B$2:$B$50000,B3468,全馬データ!$C$2:$C$50000,C3468,全馬データ!$D$2:$D$50000,E3468,全馬データ!$K$2:$K$50000,"&lt;&gt;")=0,"",SUMIFS(全馬データ!$K$2:$K$50000,全馬データ!$A$2:$A$50000,A3468,全馬データ!$B$2:$B$50000,B3468,全馬データ!$C$2:$C$50000,C3468,全馬データ!$D$2:$D$50000,E3468)))</f>
        <v/>
      </c>
      <c r="AP3468" s="8" t="str">
        <f aca="false">IF(A3468="","",IF(AO3468="","欠損",IF(AO3468&lt;=1.1,"1.0～1.1",IF(AO3468&lt;1.3,"1.2",IF(AO3468&lt;1.5,"1.3～1.4",IF(AO3468&lt;2,"1.5～1.9","2.0以上"))))))</f>
        <v/>
      </c>
      <c r="AQ3468" s="8" t="str">
        <f aca="false">IF(A3468="","",IF(ISNUMBER(SEARCH("2歳",Z3468)),"2歳戦",IF(ISNUMBER(SEARCH("3歳未勝利",Z3468)),"3歳未勝利",IF(ISNUMBER(SEARCH("未勝利",Z3468)),"その他未勝利",IF(ISNUMBER(SEARCH("G1",Z3468)),"G1",IF(ISNUMBER(SEARCH("G2",Z3468)),"G2",IF(ISNUMBER(SEARCH("G3",Z3468)),"G3",IF(ISNUMBER(SEARCH("古馬条件",Z3468)),"古馬条件戦",IF(ISNUMBER(SEARCH("重賞",Z3468)),"重賞","分類不能")))))))))</f>
        <v/>
      </c>
    </row>
    <row r="3469" customFormat="false" ht="15.75" hidden="false" customHeight="false" outlineLevel="0" collapsed="false">
      <c r="AO3469" s="8" t="str">
        <f aca="false">IF(A3469="","",IF(COUNTIFS(全馬データ!$A$2:$A$50000,A3469,全馬データ!$B$2:$B$50000,B3469,全馬データ!$C$2:$C$50000,C3469,全馬データ!$D$2:$D$50000,E3469,全馬データ!$K$2:$K$50000,"&lt;&gt;")=0,"",SUMIFS(全馬データ!$K$2:$K$50000,全馬データ!$A$2:$A$50000,A3469,全馬データ!$B$2:$B$50000,B3469,全馬データ!$C$2:$C$50000,C3469,全馬データ!$D$2:$D$50000,E3469)))</f>
        <v/>
      </c>
      <c r="AP3469" s="8" t="str">
        <f aca="false">IF(A3469="","",IF(AO3469="","欠損",IF(AO3469&lt;=1.1,"1.0～1.1",IF(AO3469&lt;1.3,"1.2",IF(AO3469&lt;1.5,"1.3～1.4",IF(AO3469&lt;2,"1.5～1.9","2.0以上"))))))</f>
        <v/>
      </c>
      <c r="AQ3469" s="8" t="str">
        <f aca="false">IF(A3469="","",IF(ISNUMBER(SEARCH("2歳",Z3469)),"2歳戦",IF(ISNUMBER(SEARCH("3歳未勝利",Z3469)),"3歳未勝利",IF(ISNUMBER(SEARCH("未勝利",Z3469)),"その他未勝利",IF(ISNUMBER(SEARCH("G1",Z3469)),"G1",IF(ISNUMBER(SEARCH("G2",Z3469)),"G2",IF(ISNUMBER(SEARCH("G3",Z3469)),"G3",IF(ISNUMBER(SEARCH("古馬条件",Z3469)),"古馬条件戦",IF(ISNUMBER(SEARCH("重賞",Z3469)),"重賞","分類不能")))))))))</f>
        <v/>
      </c>
    </row>
    <row r="3470" customFormat="false" ht="15.75" hidden="false" customHeight="false" outlineLevel="0" collapsed="false">
      <c r="AO3470" s="8" t="str">
        <f aca="false">IF(A3470="","",IF(COUNTIFS(全馬データ!$A$2:$A$50000,A3470,全馬データ!$B$2:$B$50000,B3470,全馬データ!$C$2:$C$50000,C3470,全馬データ!$D$2:$D$50000,E3470,全馬データ!$K$2:$K$50000,"&lt;&gt;")=0,"",SUMIFS(全馬データ!$K$2:$K$50000,全馬データ!$A$2:$A$50000,A3470,全馬データ!$B$2:$B$50000,B3470,全馬データ!$C$2:$C$50000,C3470,全馬データ!$D$2:$D$50000,E3470)))</f>
        <v/>
      </c>
      <c r="AP3470" s="8" t="str">
        <f aca="false">IF(A3470="","",IF(AO3470="","欠損",IF(AO3470&lt;=1.1,"1.0～1.1",IF(AO3470&lt;1.3,"1.2",IF(AO3470&lt;1.5,"1.3～1.4",IF(AO3470&lt;2,"1.5～1.9","2.0以上"))))))</f>
        <v/>
      </c>
      <c r="AQ3470" s="8" t="str">
        <f aca="false">IF(A3470="","",IF(ISNUMBER(SEARCH("2歳",Z3470)),"2歳戦",IF(ISNUMBER(SEARCH("3歳未勝利",Z3470)),"3歳未勝利",IF(ISNUMBER(SEARCH("未勝利",Z3470)),"その他未勝利",IF(ISNUMBER(SEARCH("G1",Z3470)),"G1",IF(ISNUMBER(SEARCH("G2",Z3470)),"G2",IF(ISNUMBER(SEARCH("G3",Z3470)),"G3",IF(ISNUMBER(SEARCH("古馬条件",Z3470)),"古馬条件戦",IF(ISNUMBER(SEARCH("重賞",Z3470)),"重賞","分類不能")))))))))</f>
        <v/>
      </c>
    </row>
    <row r="3471" customFormat="false" ht="15.75" hidden="false" customHeight="false" outlineLevel="0" collapsed="false">
      <c r="AO3471" s="8" t="str">
        <f aca="false">IF(A3471="","",IF(COUNTIFS(全馬データ!$A$2:$A$50000,A3471,全馬データ!$B$2:$B$50000,B3471,全馬データ!$C$2:$C$50000,C3471,全馬データ!$D$2:$D$50000,E3471,全馬データ!$K$2:$K$50000,"&lt;&gt;")=0,"",SUMIFS(全馬データ!$K$2:$K$50000,全馬データ!$A$2:$A$50000,A3471,全馬データ!$B$2:$B$50000,B3471,全馬データ!$C$2:$C$50000,C3471,全馬データ!$D$2:$D$50000,E3471)))</f>
        <v/>
      </c>
      <c r="AP3471" s="8" t="str">
        <f aca="false">IF(A3471="","",IF(AO3471="","欠損",IF(AO3471&lt;=1.1,"1.0～1.1",IF(AO3471&lt;1.3,"1.2",IF(AO3471&lt;1.5,"1.3～1.4",IF(AO3471&lt;2,"1.5～1.9","2.0以上"))))))</f>
        <v/>
      </c>
      <c r="AQ3471" s="8" t="str">
        <f aca="false">IF(A3471="","",IF(ISNUMBER(SEARCH("2歳",Z3471)),"2歳戦",IF(ISNUMBER(SEARCH("3歳未勝利",Z3471)),"3歳未勝利",IF(ISNUMBER(SEARCH("未勝利",Z3471)),"その他未勝利",IF(ISNUMBER(SEARCH("G1",Z3471)),"G1",IF(ISNUMBER(SEARCH("G2",Z3471)),"G2",IF(ISNUMBER(SEARCH("G3",Z3471)),"G3",IF(ISNUMBER(SEARCH("古馬条件",Z3471)),"古馬条件戦",IF(ISNUMBER(SEARCH("重賞",Z3471)),"重賞","分類不能")))))))))</f>
        <v/>
      </c>
    </row>
    <row r="3472" customFormat="false" ht="15.75" hidden="false" customHeight="false" outlineLevel="0" collapsed="false">
      <c r="AO3472" s="8" t="str">
        <f aca="false">IF(A3472="","",IF(COUNTIFS(全馬データ!$A$2:$A$50000,A3472,全馬データ!$B$2:$B$50000,B3472,全馬データ!$C$2:$C$50000,C3472,全馬データ!$D$2:$D$50000,E3472,全馬データ!$K$2:$K$50000,"&lt;&gt;")=0,"",SUMIFS(全馬データ!$K$2:$K$50000,全馬データ!$A$2:$A$50000,A3472,全馬データ!$B$2:$B$50000,B3472,全馬データ!$C$2:$C$50000,C3472,全馬データ!$D$2:$D$50000,E3472)))</f>
        <v/>
      </c>
      <c r="AP3472" s="8" t="str">
        <f aca="false">IF(A3472="","",IF(AO3472="","欠損",IF(AO3472&lt;=1.1,"1.0～1.1",IF(AO3472&lt;1.3,"1.2",IF(AO3472&lt;1.5,"1.3～1.4",IF(AO3472&lt;2,"1.5～1.9","2.0以上"))))))</f>
        <v/>
      </c>
      <c r="AQ3472" s="8" t="str">
        <f aca="false">IF(A3472="","",IF(ISNUMBER(SEARCH("2歳",Z3472)),"2歳戦",IF(ISNUMBER(SEARCH("3歳未勝利",Z3472)),"3歳未勝利",IF(ISNUMBER(SEARCH("未勝利",Z3472)),"その他未勝利",IF(ISNUMBER(SEARCH("G1",Z3472)),"G1",IF(ISNUMBER(SEARCH("G2",Z3472)),"G2",IF(ISNUMBER(SEARCH("G3",Z3472)),"G3",IF(ISNUMBER(SEARCH("古馬条件",Z3472)),"古馬条件戦",IF(ISNUMBER(SEARCH("重賞",Z3472)),"重賞","分類不能")))))))))</f>
        <v/>
      </c>
    </row>
    <row r="3473" customFormat="false" ht="15.75" hidden="false" customHeight="false" outlineLevel="0" collapsed="false">
      <c r="AO3473" s="8" t="str">
        <f aca="false">IF(A3473="","",IF(COUNTIFS(全馬データ!$A$2:$A$50000,A3473,全馬データ!$B$2:$B$50000,B3473,全馬データ!$C$2:$C$50000,C3473,全馬データ!$D$2:$D$50000,E3473,全馬データ!$K$2:$K$50000,"&lt;&gt;")=0,"",SUMIFS(全馬データ!$K$2:$K$50000,全馬データ!$A$2:$A$50000,A3473,全馬データ!$B$2:$B$50000,B3473,全馬データ!$C$2:$C$50000,C3473,全馬データ!$D$2:$D$50000,E3473)))</f>
        <v/>
      </c>
      <c r="AP3473" s="8" t="str">
        <f aca="false">IF(A3473="","",IF(AO3473="","欠損",IF(AO3473&lt;=1.1,"1.0～1.1",IF(AO3473&lt;1.3,"1.2",IF(AO3473&lt;1.5,"1.3～1.4",IF(AO3473&lt;2,"1.5～1.9","2.0以上"))))))</f>
        <v/>
      </c>
      <c r="AQ3473" s="8" t="str">
        <f aca="false">IF(A3473="","",IF(ISNUMBER(SEARCH("2歳",Z3473)),"2歳戦",IF(ISNUMBER(SEARCH("3歳未勝利",Z3473)),"3歳未勝利",IF(ISNUMBER(SEARCH("未勝利",Z3473)),"その他未勝利",IF(ISNUMBER(SEARCH("G1",Z3473)),"G1",IF(ISNUMBER(SEARCH("G2",Z3473)),"G2",IF(ISNUMBER(SEARCH("G3",Z3473)),"G3",IF(ISNUMBER(SEARCH("古馬条件",Z3473)),"古馬条件戦",IF(ISNUMBER(SEARCH("重賞",Z3473)),"重賞","分類不能")))))))))</f>
        <v/>
      </c>
    </row>
    <row r="3474" customFormat="false" ht="15.75" hidden="false" customHeight="false" outlineLevel="0" collapsed="false">
      <c r="AO3474" s="8" t="str">
        <f aca="false">IF(A3474="","",IF(COUNTIFS(全馬データ!$A$2:$A$50000,A3474,全馬データ!$B$2:$B$50000,B3474,全馬データ!$C$2:$C$50000,C3474,全馬データ!$D$2:$D$50000,E3474,全馬データ!$K$2:$K$50000,"&lt;&gt;")=0,"",SUMIFS(全馬データ!$K$2:$K$50000,全馬データ!$A$2:$A$50000,A3474,全馬データ!$B$2:$B$50000,B3474,全馬データ!$C$2:$C$50000,C3474,全馬データ!$D$2:$D$50000,E3474)))</f>
        <v/>
      </c>
      <c r="AP3474" s="8" t="str">
        <f aca="false">IF(A3474="","",IF(AO3474="","欠損",IF(AO3474&lt;=1.1,"1.0～1.1",IF(AO3474&lt;1.3,"1.2",IF(AO3474&lt;1.5,"1.3～1.4",IF(AO3474&lt;2,"1.5～1.9","2.0以上"))))))</f>
        <v/>
      </c>
      <c r="AQ3474" s="8" t="str">
        <f aca="false">IF(A3474="","",IF(ISNUMBER(SEARCH("2歳",Z3474)),"2歳戦",IF(ISNUMBER(SEARCH("3歳未勝利",Z3474)),"3歳未勝利",IF(ISNUMBER(SEARCH("未勝利",Z3474)),"その他未勝利",IF(ISNUMBER(SEARCH("G1",Z3474)),"G1",IF(ISNUMBER(SEARCH("G2",Z3474)),"G2",IF(ISNUMBER(SEARCH("G3",Z3474)),"G3",IF(ISNUMBER(SEARCH("古馬条件",Z3474)),"古馬条件戦",IF(ISNUMBER(SEARCH("重賞",Z3474)),"重賞","分類不能")))))))))</f>
        <v/>
      </c>
    </row>
    <row r="3475" customFormat="false" ht="15.75" hidden="false" customHeight="false" outlineLevel="0" collapsed="false">
      <c r="AO3475" s="8" t="str">
        <f aca="false">IF(A3475="","",IF(COUNTIFS(全馬データ!$A$2:$A$50000,A3475,全馬データ!$B$2:$B$50000,B3475,全馬データ!$C$2:$C$50000,C3475,全馬データ!$D$2:$D$50000,E3475,全馬データ!$K$2:$K$50000,"&lt;&gt;")=0,"",SUMIFS(全馬データ!$K$2:$K$50000,全馬データ!$A$2:$A$50000,A3475,全馬データ!$B$2:$B$50000,B3475,全馬データ!$C$2:$C$50000,C3475,全馬データ!$D$2:$D$50000,E3475)))</f>
        <v/>
      </c>
      <c r="AP3475" s="8" t="str">
        <f aca="false">IF(A3475="","",IF(AO3475="","欠損",IF(AO3475&lt;=1.1,"1.0～1.1",IF(AO3475&lt;1.3,"1.2",IF(AO3475&lt;1.5,"1.3～1.4",IF(AO3475&lt;2,"1.5～1.9","2.0以上"))))))</f>
        <v/>
      </c>
      <c r="AQ3475" s="8" t="str">
        <f aca="false">IF(A3475="","",IF(ISNUMBER(SEARCH("2歳",Z3475)),"2歳戦",IF(ISNUMBER(SEARCH("3歳未勝利",Z3475)),"3歳未勝利",IF(ISNUMBER(SEARCH("未勝利",Z3475)),"その他未勝利",IF(ISNUMBER(SEARCH("G1",Z3475)),"G1",IF(ISNUMBER(SEARCH("G2",Z3475)),"G2",IF(ISNUMBER(SEARCH("G3",Z3475)),"G3",IF(ISNUMBER(SEARCH("古馬条件",Z3475)),"古馬条件戦",IF(ISNUMBER(SEARCH("重賞",Z3475)),"重賞","分類不能")))))))))</f>
        <v/>
      </c>
    </row>
    <row r="3476" customFormat="false" ht="15.75" hidden="false" customHeight="false" outlineLevel="0" collapsed="false">
      <c r="AO3476" s="8" t="str">
        <f aca="false">IF(A3476="","",IF(COUNTIFS(全馬データ!$A$2:$A$50000,A3476,全馬データ!$B$2:$B$50000,B3476,全馬データ!$C$2:$C$50000,C3476,全馬データ!$D$2:$D$50000,E3476,全馬データ!$K$2:$K$50000,"&lt;&gt;")=0,"",SUMIFS(全馬データ!$K$2:$K$50000,全馬データ!$A$2:$A$50000,A3476,全馬データ!$B$2:$B$50000,B3476,全馬データ!$C$2:$C$50000,C3476,全馬データ!$D$2:$D$50000,E3476)))</f>
        <v/>
      </c>
      <c r="AP3476" s="8" t="str">
        <f aca="false">IF(A3476="","",IF(AO3476="","欠損",IF(AO3476&lt;=1.1,"1.0～1.1",IF(AO3476&lt;1.3,"1.2",IF(AO3476&lt;1.5,"1.3～1.4",IF(AO3476&lt;2,"1.5～1.9","2.0以上"))))))</f>
        <v/>
      </c>
      <c r="AQ3476" s="8" t="str">
        <f aca="false">IF(A3476="","",IF(ISNUMBER(SEARCH("2歳",Z3476)),"2歳戦",IF(ISNUMBER(SEARCH("3歳未勝利",Z3476)),"3歳未勝利",IF(ISNUMBER(SEARCH("未勝利",Z3476)),"その他未勝利",IF(ISNUMBER(SEARCH("G1",Z3476)),"G1",IF(ISNUMBER(SEARCH("G2",Z3476)),"G2",IF(ISNUMBER(SEARCH("G3",Z3476)),"G3",IF(ISNUMBER(SEARCH("古馬条件",Z3476)),"古馬条件戦",IF(ISNUMBER(SEARCH("重賞",Z3476)),"重賞","分類不能")))))))))</f>
        <v/>
      </c>
    </row>
    <row r="3477" customFormat="false" ht="15.75" hidden="false" customHeight="false" outlineLevel="0" collapsed="false">
      <c r="AO3477" s="8" t="str">
        <f aca="false">IF(A3477="","",IF(COUNTIFS(全馬データ!$A$2:$A$50000,A3477,全馬データ!$B$2:$B$50000,B3477,全馬データ!$C$2:$C$50000,C3477,全馬データ!$D$2:$D$50000,E3477,全馬データ!$K$2:$K$50000,"&lt;&gt;")=0,"",SUMIFS(全馬データ!$K$2:$K$50000,全馬データ!$A$2:$A$50000,A3477,全馬データ!$B$2:$B$50000,B3477,全馬データ!$C$2:$C$50000,C3477,全馬データ!$D$2:$D$50000,E3477)))</f>
        <v/>
      </c>
      <c r="AP3477" s="8" t="str">
        <f aca="false">IF(A3477="","",IF(AO3477="","欠損",IF(AO3477&lt;=1.1,"1.0～1.1",IF(AO3477&lt;1.3,"1.2",IF(AO3477&lt;1.5,"1.3～1.4",IF(AO3477&lt;2,"1.5～1.9","2.0以上"))))))</f>
        <v/>
      </c>
      <c r="AQ3477" s="8" t="str">
        <f aca="false">IF(A3477="","",IF(ISNUMBER(SEARCH("2歳",Z3477)),"2歳戦",IF(ISNUMBER(SEARCH("3歳未勝利",Z3477)),"3歳未勝利",IF(ISNUMBER(SEARCH("未勝利",Z3477)),"その他未勝利",IF(ISNUMBER(SEARCH("G1",Z3477)),"G1",IF(ISNUMBER(SEARCH("G2",Z3477)),"G2",IF(ISNUMBER(SEARCH("G3",Z3477)),"G3",IF(ISNUMBER(SEARCH("古馬条件",Z3477)),"古馬条件戦",IF(ISNUMBER(SEARCH("重賞",Z3477)),"重賞","分類不能")))))))))</f>
        <v/>
      </c>
    </row>
    <row r="3478" customFormat="false" ht="15.75" hidden="false" customHeight="false" outlineLevel="0" collapsed="false">
      <c r="AO3478" s="8" t="str">
        <f aca="false">IF(A3478="","",IF(COUNTIFS(全馬データ!$A$2:$A$50000,A3478,全馬データ!$B$2:$B$50000,B3478,全馬データ!$C$2:$C$50000,C3478,全馬データ!$D$2:$D$50000,E3478,全馬データ!$K$2:$K$50000,"&lt;&gt;")=0,"",SUMIFS(全馬データ!$K$2:$K$50000,全馬データ!$A$2:$A$50000,A3478,全馬データ!$B$2:$B$50000,B3478,全馬データ!$C$2:$C$50000,C3478,全馬データ!$D$2:$D$50000,E3478)))</f>
        <v/>
      </c>
      <c r="AP3478" s="8" t="str">
        <f aca="false">IF(A3478="","",IF(AO3478="","欠損",IF(AO3478&lt;=1.1,"1.0～1.1",IF(AO3478&lt;1.3,"1.2",IF(AO3478&lt;1.5,"1.3～1.4",IF(AO3478&lt;2,"1.5～1.9","2.0以上"))))))</f>
        <v/>
      </c>
      <c r="AQ3478" s="8" t="str">
        <f aca="false">IF(A3478="","",IF(ISNUMBER(SEARCH("2歳",Z3478)),"2歳戦",IF(ISNUMBER(SEARCH("3歳未勝利",Z3478)),"3歳未勝利",IF(ISNUMBER(SEARCH("未勝利",Z3478)),"その他未勝利",IF(ISNUMBER(SEARCH("G1",Z3478)),"G1",IF(ISNUMBER(SEARCH("G2",Z3478)),"G2",IF(ISNUMBER(SEARCH("G3",Z3478)),"G3",IF(ISNUMBER(SEARCH("古馬条件",Z3478)),"古馬条件戦",IF(ISNUMBER(SEARCH("重賞",Z3478)),"重賞","分類不能")))))))))</f>
        <v/>
      </c>
    </row>
    <row r="3479" customFormat="false" ht="15.75" hidden="false" customHeight="false" outlineLevel="0" collapsed="false">
      <c r="AO3479" s="8" t="str">
        <f aca="false">IF(A3479="","",IF(COUNTIFS(全馬データ!$A$2:$A$50000,A3479,全馬データ!$B$2:$B$50000,B3479,全馬データ!$C$2:$C$50000,C3479,全馬データ!$D$2:$D$50000,E3479,全馬データ!$K$2:$K$50000,"&lt;&gt;")=0,"",SUMIFS(全馬データ!$K$2:$K$50000,全馬データ!$A$2:$A$50000,A3479,全馬データ!$B$2:$B$50000,B3479,全馬データ!$C$2:$C$50000,C3479,全馬データ!$D$2:$D$50000,E3479)))</f>
        <v/>
      </c>
      <c r="AP3479" s="8" t="str">
        <f aca="false">IF(A3479="","",IF(AO3479="","欠損",IF(AO3479&lt;=1.1,"1.0～1.1",IF(AO3479&lt;1.3,"1.2",IF(AO3479&lt;1.5,"1.3～1.4",IF(AO3479&lt;2,"1.5～1.9","2.0以上"))))))</f>
        <v/>
      </c>
      <c r="AQ3479" s="8" t="str">
        <f aca="false">IF(A3479="","",IF(ISNUMBER(SEARCH("2歳",Z3479)),"2歳戦",IF(ISNUMBER(SEARCH("3歳未勝利",Z3479)),"3歳未勝利",IF(ISNUMBER(SEARCH("未勝利",Z3479)),"その他未勝利",IF(ISNUMBER(SEARCH("G1",Z3479)),"G1",IF(ISNUMBER(SEARCH("G2",Z3479)),"G2",IF(ISNUMBER(SEARCH("G3",Z3479)),"G3",IF(ISNUMBER(SEARCH("古馬条件",Z3479)),"古馬条件戦",IF(ISNUMBER(SEARCH("重賞",Z3479)),"重賞","分類不能")))))))))</f>
        <v/>
      </c>
    </row>
    <row r="3480" customFormat="false" ht="15.75" hidden="false" customHeight="false" outlineLevel="0" collapsed="false">
      <c r="AO3480" s="8" t="str">
        <f aca="false">IF(A3480="","",IF(COUNTIFS(全馬データ!$A$2:$A$50000,A3480,全馬データ!$B$2:$B$50000,B3480,全馬データ!$C$2:$C$50000,C3480,全馬データ!$D$2:$D$50000,E3480,全馬データ!$K$2:$K$50000,"&lt;&gt;")=0,"",SUMIFS(全馬データ!$K$2:$K$50000,全馬データ!$A$2:$A$50000,A3480,全馬データ!$B$2:$B$50000,B3480,全馬データ!$C$2:$C$50000,C3480,全馬データ!$D$2:$D$50000,E3480)))</f>
        <v/>
      </c>
      <c r="AP3480" s="8" t="str">
        <f aca="false">IF(A3480="","",IF(AO3480="","欠損",IF(AO3480&lt;=1.1,"1.0～1.1",IF(AO3480&lt;1.3,"1.2",IF(AO3480&lt;1.5,"1.3～1.4",IF(AO3480&lt;2,"1.5～1.9","2.0以上"))))))</f>
        <v/>
      </c>
      <c r="AQ3480" s="8" t="str">
        <f aca="false">IF(A3480="","",IF(ISNUMBER(SEARCH("2歳",Z3480)),"2歳戦",IF(ISNUMBER(SEARCH("3歳未勝利",Z3480)),"3歳未勝利",IF(ISNUMBER(SEARCH("未勝利",Z3480)),"その他未勝利",IF(ISNUMBER(SEARCH("G1",Z3480)),"G1",IF(ISNUMBER(SEARCH("G2",Z3480)),"G2",IF(ISNUMBER(SEARCH("G3",Z3480)),"G3",IF(ISNUMBER(SEARCH("古馬条件",Z3480)),"古馬条件戦",IF(ISNUMBER(SEARCH("重賞",Z3480)),"重賞","分類不能")))))))))</f>
        <v/>
      </c>
    </row>
    <row r="3481" customFormat="false" ht="15.75" hidden="false" customHeight="false" outlineLevel="0" collapsed="false">
      <c r="AO3481" s="8" t="str">
        <f aca="false">IF(A3481="","",IF(COUNTIFS(全馬データ!$A$2:$A$50000,A3481,全馬データ!$B$2:$B$50000,B3481,全馬データ!$C$2:$C$50000,C3481,全馬データ!$D$2:$D$50000,E3481,全馬データ!$K$2:$K$50000,"&lt;&gt;")=0,"",SUMIFS(全馬データ!$K$2:$K$50000,全馬データ!$A$2:$A$50000,A3481,全馬データ!$B$2:$B$50000,B3481,全馬データ!$C$2:$C$50000,C3481,全馬データ!$D$2:$D$50000,E3481)))</f>
        <v/>
      </c>
      <c r="AP3481" s="8" t="str">
        <f aca="false">IF(A3481="","",IF(AO3481="","欠損",IF(AO3481&lt;=1.1,"1.0～1.1",IF(AO3481&lt;1.3,"1.2",IF(AO3481&lt;1.5,"1.3～1.4",IF(AO3481&lt;2,"1.5～1.9","2.0以上"))))))</f>
        <v/>
      </c>
      <c r="AQ3481" s="8" t="str">
        <f aca="false">IF(A3481="","",IF(ISNUMBER(SEARCH("2歳",Z3481)),"2歳戦",IF(ISNUMBER(SEARCH("3歳未勝利",Z3481)),"3歳未勝利",IF(ISNUMBER(SEARCH("未勝利",Z3481)),"その他未勝利",IF(ISNUMBER(SEARCH("G1",Z3481)),"G1",IF(ISNUMBER(SEARCH("G2",Z3481)),"G2",IF(ISNUMBER(SEARCH("G3",Z3481)),"G3",IF(ISNUMBER(SEARCH("古馬条件",Z3481)),"古馬条件戦",IF(ISNUMBER(SEARCH("重賞",Z3481)),"重賞","分類不能")))))))))</f>
        <v/>
      </c>
    </row>
    <row r="3482" customFormat="false" ht="15.75" hidden="false" customHeight="false" outlineLevel="0" collapsed="false">
      <c r="AO3482" s="8" t="str">
        <f aca="false">IF(A3482="","",IF(COUNTIFS(全馬データ!$A$2:$A$50000,A3482,全馬データ!$B$2:$B$50000,B3482,全馬データ!$C$2:$C$50000,C3482,全馬データ!$D$2:$D$50000,E3482,全馬データ!$K$2:$K$50000,"&lt;&gt;")=0,"",SUMIFS(全馬データ!$K$2:$K$50000,全馬データ!$A$2:$A$50000,A3482,全馬データ!$B$2:$B$50000,B3482,全馬データ!$C$2:$C$50000,C3482,全馬データ!$D$2:$D$50000,E3482)))</f>
        <v/>
      </c>
      <c r="AP3482" s="8" t="str">
        <f aca="false">IF(A3482="","",IF(AO3482="","欠損",IF(AO3482&lt;=1.1,"1.0～1.1",IF(AO3482&lt;1.3,"1.2",IF(AO3482&lt;1.5,"1.3～1.4",IF(AO3482&lt;2,"1.5～1.9","2.0以上"))))))</f>
        <v/>
      </c>
      <c r="AQ3482" s="8" t="str">
        <f aca="false">IF(A3482="","",IF(ISNUMBER(SEARCH("2歳",Z3482)),"2歳戦",IF(ISNUMBER(SEARCH("3歳未勝利",Z3482)),"3歳未勝利",IF(ISNUMBER(SEARCH("未勝利",Z3482)),"その他未勝利",IF(ISNUMBER(SEARCH("G1",Z3482)),"G1",IF(ISNUMBER(SEARCH("G2",Z3482)),"G2",IF(ISNUMBER(SEARCH("G3",Z3482)),"G3",IF(ISNUMBER(SEARCH("古馬条件",Z3482)),"古馬条件戦",IF(ISNUMBER(SEARCH("重賞",Z3482)),"重賞","分類不能")))))))))</f>
        <v/>
      </c>
    </row>
    <row r="3483" customFormat="false" ht="15.75" hidden="false" customHeight="false" outlineLevel="0" collapsed="false">
      <c r="AO3483" s="8" t="str">
        <f aca="false">IF(A3483="","",IF(COUNTIFS(全馬データ!$A$2:$A$50000,A3483,全馬データ!$B$2:$B$50000,B3483,全馬データ!$C$2:$C$50000,C3483,全馬データ!$D$2:$D$50000,E3483,全馬データ!$K$2:$K$50000,"&lt;&gt;")=0,"",SUMIFS(全馬データ!$K$2:$K$50000,全馬データ!$A$2:$A$50000,A3483,全馬データ!$B$2:$B$50000,B3483,全馬データ!$C$2:$C$50000,C3483,全馬データ!$D$2:$D$50000,E3483)))</f>
        <v/>
      </c>
      <c r="AP3483" s="8" t="str">
        <f aca="false">IF(A3483="","",IF(AO3483="","欠損",IF(AO3483&lt;=1.1,"1.0～1.1",IF(AO3483&lt;1.3,"1.2",IF(AO3483&lt;1.5,"1.3～1.4",IF(AO3483&lt;2,"1.5～1.9","2.0以上"))))))</f>
        <v/>
      </c>
      <c r="AQ3483" s="8" t="str">
        <f aca="false">IF(A3483="","",IF(ISNUMBER(SEARCH("2歳",Z3483)),"2歳戦",IF(ISNUMBER(SEARCH("3歳未勝利",Z3483)),"3歳未勝利",IF(ISNUMBER(SEARCH("未勝利",Z3483)),"その他未勝利",IF(ISNUMBER(SEARCH("G1",Z3483)),"G1",IF(ISNUMBER(SEARCH("G2",Z3483)),"G2",IF(ISNUMBER(SEARCH("G3",Z3483)),"G3",IF(ISNUMBER(SEARCH("古馬条件",Z3483)),"古馬条件戦",IF(ISNUMBER(SEARCH("重賞",Z3483)),"重賞","分類不能")))))))))</f>
        <v/>
      </c>
    </row>
    <row r="3484" customFormat="false" ht="15.75" hidden="false" customHeight="false" outlineLevel="0" collapsed="false">
      <c r="AO3484" s="8" t="str">
        <f aca="false">IF(A3484="","",IF(COUNTIFS(全馬データ!$A$2:$A$50000,A3484,全馬データ!$B$2:$B$50000,B3484,全馬データ!$C$2:$C$50000,C3484,全馬データ!$D$2:$D$50000,E3484,全馬データ!$K$2:$K$50000,"&lt;&gt;")=0,"",SUMIFS(全馬データ!$K$2:$K$50000,全馬データ!$A$2:$A$50000,A3484,全馬データ!$B$2:$B$50000,B3484,全馬データ!$C$2:$C$50000,C3484,全馬データ!$D$2:$D$50000,E3484)))</f>
        <v/>
      </c>
      <c r="AP3484" s="8" t="str">
        <f aca="false">IF(A3484="","",IF(AO3484="","欠損",IF(AO3484&lt;=1.1,"1.0～1.1",IF(AO3484&lt;1.3,"1.2",IF(AO3484&lt;1.5,"1.3～1.4",IF(AO3484&lt;2,"1.5～1.9","2.0以上"))))))</f>
        <v/>
      </c>
      <c r="AQ3484" s="8" t="str">
        <f aca="false">IF(A3484="","",IF(ISNUMBER(SEARCH("2歳",Z3484)),"2歳戦",IF(ISNUMBER(SEARCH("3歳未勝利",Z3484)),"3歳未勝利",IF(ISNUMBER(SEARCH("未勝利",Z3484)),"その他未勝利",IF(ISNUMBER(SEARCH("G1",Z3484)),"G1",IF(ISNUMBER(SEARCH("G2",Z3484)),"G2",IF(ISNUMBER(SEARCH("G3",Z3484)),"G3",IF(ISNUMBER(SEARCH("古馬条件",Z3484)),"古馬条件戦",IF(ISNUMBER(SEARCH("重賞",Z3484)),"重賞","分類不能")))))))))</f>
        <v/>
      </c>
    </row>
    <row r="3485" customFormat="false" ht="15.75" hidden="false" customHeight="false" outlineLevel="0" collapsed="false">
      <c r="AO3485" s="8" t="str">
        <f aca="false">IF(A3485="","",IF(COUNTIFS(全馬データ!$A$2:$A$50000,A3485,全馬データ!$B$2:$B$50000,B3485,全馬データ!$C$2:$C$50000,C3485,全馬データ!$D$2:$D$50000,E3485,全馬データ!$K$2:$K$50000,"&lt;&gt;")=0,"",SUMIFS(全馬データ!$K$2:$K$50000,全馬データ!$A$2:$A$50000,A3485,全馬データ!$B$2:$B$50000,B3485,全馬データ!$C$2:$C$50000,C3485,全馬データ!$D$2:$D$50000,E3485)))</f>
        <v/>
      </c>
      <c r="AP3485" s="8" t="str">
        <f aca="false">IF(A3485="","",IF(AO3485="","欠損",IF(AO3485&lt;=1.1,"1.0～1.1",IF(AO3485&lt;1.3,"1.2",IF(AO3485&lt;1.5,"1.3～1.4",IF(AO3485&lt;2,"1.5～1.9","2.0以上"))))))</f>
        <v/>
      </c>
      <c r="AQ3485" s="8" t="str">
        <f aca="false">IF(A3485="","",IF(ISNUMBER(SEARCH("2歳",Z3485)),"2歳戦",IF(ISNUMBER(SEARCH("3歳未勝利",Z3485)),"3歳未勝利",IF(ISNUMBER(SEARCH("未勝利",Z3485)),"その他未勝利",IF(ISNUMBER(SEARCH("G1",Z3485)),"G1",IF(ISNUMBER(SEARCH("G2",Z3485)),"G2",IF(ISNUMBER(SEARCH("G3",Z3485)),"G3",IF(ISNUMBER(SEARCH("古馬条件",Z3485)),"古馬条件戦",IF(ISNUMBER(SEARCH("重賞",Z3485)),"重賞","分類不能")))))))))</f>
        <v/>
      </c>
    </row>
    <row r="3486" customFormat="false" ht="15.75" hidden="false" customHeight="false" outlineLevel="0" collapsed="false">
      <c r="AO3486" s="8" t="str">
        <f aca="false">IF(A3486="","",IF(COUNTIFS(全馬データ!$A$2:$A$50000,A3486,全馬データ!$B$2:$B$50000,B3486,全馬データ!$C$2:$C$50000,C3486,全馬データ!$D$2:$D$50000,E3486,全馬データ!$K$2:$K$50000,"&lt;&gt;")=0,"",SUMIFS(全馬データ!$K$2:$K$50000,全馬データ!$A$2:$A$50000,A3486,全馬データ!$B$2:$B$50000,B3486,全馬データ!$C$2:$C$50000,C3486,全馬データ!$D$2:$D$50000,E3486)))</f>
        <v/>
      </c>
      <c r="AP3486" s="8" t="str">
        <f aca="false">IF(A3486="","",IF(AO3486="","欠損",IF(AO3486&lt;=1.1,"1.0～1.1",IF(AO3486&lt;1.3,"1.2",IF(AO3486&lt;1.5,"1.3～1.4",IF(AO3486&lt;2,"1.5～1.9","2.0以上"))))))</f>
        <v/>
      </c>
      <c r="AQ3486" s="8" t="str">
        <f aca="false">IF(A3486="","",IF(ISNUMBER(SEARCH("2歳",Z3486)),"2歳戦",IF(ISNUMBER(SEARCH("3歳未勝利",Z3486)),"3歳未勝利",IF(ISNUMBER(SEARCH("未勝利",Z3486)),"その他未勝利",IF(ISNUMBER(SEARCH("G1",Z3486)),"G1",IF(ISNUMBER(SEARCH("G2",Z3486)),"G2",IF(ISNUMBER(SEARCH("G3",Z3486)),"G3",IF(ISNUMBER(SEARCH("古馬条件",Z3486)),"古馬条件戦",IF(ISNUMBER(SEARCH("重賞",Z3486)),"重賞","分類不能")))))))))</f>
        <v/>
      </c>
    </row>
    <row r="3487" customFormat="false" ht="15.75" hidden="false" customHeight="false" outlineLevel="0" collapsed="false">
      <c r="AO3487" s="8" t="str">
        <f aca="false">IF(A3487="","",IF(COUNTIFS(全馬データ!$A$2:$A$50000,A3487,全馬データ!$B$2:$B$50000,B3487,全馬データ!$C$2:$C$50000,C3487,全馬データ!$D$2:$D$50000,E3487,全馬データ!$K$2:$K$50000,"&lt;&gt;")=0,"",SUMIFS(全馬データ!$K$2:$K$50000,全馬データ!$A$2:$A$50000,A3487,全馬データ!$B$2:$B$50000,B3487,全馬データ!$C$2:$C$50000,C3487,全馬データ!$D$2:$D$50000,E3487)))</f>
        <v/>
      </c>
      <c r="AP3487" s="8" t="str">
        <f aca="false">IF(A3487="","",IF(AO3487="","欠損",IF(AO3487&lt;=1.1,"1.0～1.1",IF(AO3487&lt;1.3,"1.2",IF(AO3487&lt;1.5,"1.3～1.4",IF(AO3487&lt;2,"1.5～1.9","2.0以上"))))))</f>
        <v/>
      </c>
      <c r="AQ3487" s="8" t="str">
        <f aca="false">IF(A3487="","",IF(ISNUMBER(SEARCH("2歳",Z3487)),"2歳戦",IF(ISNUMBER(SEARCH("3歳未勝利",Z3487)),"3歳未勝利",IF(ISNUMBER(SEARCH("未勝利",Z3487)),"その他未勝利",IF(ISNUMBER(SEARCH("G1",Z3487)),"G1",IF(ISNUMBER(SEARCH("G2",Z3487)),"G2",IF(ISNUMBER(SEARCH("G3",Z3487)),"G3",IF(ISNUMBER(SEARCH("古馬条件",Z3487)),"古馬条件戦",IF(ISNUMBER(SEARCH("重賞",Z3487)),"重賞","分類不能")))))))))</f>
        <v/>
      </c>
    </row>
    <row r="3488" customFormat="false" ht="15.75" hidden="false" customHeight="false" outlineLevel="0" collapsed="false">
      <c r="AO3488" s="8" t="str">
        <f aca="false">IF(A3488="","",IF(COUNTIFS(全馬データ!$A$2:$A$50000,A3488,全馬データ!$B$2:$B$50000,B3488,全馬データ!$C$2:$C$50000,C3488,全馬データ!$D$2:$D$50000,E3488,全馬データ!$K$2:$K$50000,"&lt;&gt;")=0,"",SUMIFS(全馬データ!$K$2:$K$50000,全馬データ!$A$2:$A$50000,A3488,全馬データ!$B$2:$B$50000,B3488,全馬データ!$C$2:$C$50000,C3488,全馬データ!$D$2:$D$50000,E3488)))</f>
        <v/>
      </c>
      <c r="AP3488" s="8" t="str">
        <f aca="false">IF(A3488="","",IF(AO3488="","欠損",IF(AO3488&lt;=1.1,"1.0～1.1",IF(AO3488&lt;1.3,"1.2",IF(AO3488&lt;1.5,"1.3～1.4",IF(AO3488&lt;2,"1.5～1.9","2.0以上"))))))</f>
        <v/>
      </c>
      <c r="AQ3488" s="8" t="str">
        <f aca="false">IF(A3488="","",IF(ISNUMBER(SEARCH("2歳",Z3488)),"2歳戦",IF(ISNUMBER(SEARCH("3歳未勝利",Z3488)),"3歳未勝利",IF(ISNUMBER(SEARCH("未勝利",Z3488)),"その他未勝利",IF(ISNUMBER(SEARCH("G1",Z3488)),"G1",IF(ISNUMBER(SEARCH("G2",Z3488)),"G2",IF(ISNUMBER(SEARCH("G3",Z3488)),"G3",IF(ISNUMBER(SEARCH("古馬条件",Z3488)),"古馬条件戦",IF(ISNUMBER(SEARCH("重賞",Z3488)),"重賞","分類不能")))))))))</f>
        <v/>
      </c>
    </row>
    <row r="3489" customFormat="false" ht="15.75" hidden="false" customHeight="false" outlineLevel="0" collapsed="false">
      <c r="AO3489" s="8" t="str">
        <f aca="false">IF(A3489="","",IF(COUNTIFS(全馬データ!$A$2:$A$50000,A3489,全馬データ!$B$2:$B$50000,B3489,全馬データ!$C$2:$C$50000,C3489,全馬データ!$D$2:$D$50000,E3489,全馬データ!$K$2:$K$50000,"&lt;&gt;")=0,"",SUMIFS(全馬データ!$K$2:$K$50000,全馬データ!$A$2:$A$50000,A3489,全馬データ!$B$2:$B$50000,B3489,全馬データ!$C$2:$C$50000,C3489,全馬データ!$D$2:$D$50000,E3489)))</f>
        <v/>
      </c>
      <c r="AP3489" s="8" t="str">
        <f aca="false">IF(A3489="","",IF(AO3489="","欠損",IF(AO3489&lt;=1.1,"1.0～1.1",IF(AO3489&lt;1.3,"1.2",IF(AO3489&lt;1.5,"1.3～1.4",IF(AO3489&lt;2,"1.5～1.9","2.0以上"))))))</f>
        <v/>
      </c>
      <c r="AQ3489" s="8" t="str">
        <f aca="false">IF(A3489="","",IF(ISNUMBER(SEARCH("2歳",Z3489)),"2歳戦",IF(ISNUMBER(SEARCH("3歳未勝利",Z3489)),"3歳未勝利",IF(ISNUMBER(SEARCH("未勝利",Z3489)),"その他未勝利",IF(ISNUMBER(SEARCH("G1",Z3489)),"G1",IF(ISNUMBER(SEARCH("G2",Z3489)),"G2",IF(ISNUMBER(SEARCH("G3",Z3489)),"G3",IF(ISNUMBER(SEARCH("古馬条件",Z3489)),"古馬条件戦",IF(ISNUMBER(SEARCH("重賞",Z3489)),"重賞","分類不能")))))))))</f>
        <v/>
      </c>
    </row>
    <row r="3490" customFormat="false" ht="15.75" hidden="false" customHeight="false" outlineLevel="0" collapsed="false">
      <c r="AO3490" s="8" t="str">
        <f aca="false">IF(A3490="","",IF(COUNTIFS(全馬データ!$A$2:$A$50000,A3490,全馬データ!$B$2:$B$50000,B3490,全馬データ!$C$2:$C$50000,C3490,全馬データ!$D$2:$D$50000,E3490,全馬データ!$K$2:$K$50000,"&lt;&gt;")=0,"",SUMIFS(全馬データ!$K$2:$K$50000,全馬データ!$A$2:$A$50000,A3490,全馬データ!$B$2:$B$50000,B3490,全馬データ!$C$2:$C$50000,C3490,全馬データ!$D$2:$D$50000,E3490)))</f>
        <v/>
      </c>
      <c r="AP3490" s="8" t="str">
        <f aca="false">IF(A3490="","",IF(AO3490="","欠損",IF(AO3490&lt;=1.1,"1.0～1.1",IF(AO3490&lt;1.3,"1.2",IF(AO3490&lt;1.5,"1.3～1.4",IF(AO3490&lt;2,"1.5～1.9","2.0以上"))))))</f>
        <v/>
      </c>
      <c r="AQ3490" s="8" t="str">
        <f aca="false">IF(A3490="","",IF(ISNUMBER(SEARCH("2歳",Z3490)),"2歳戦",IF(ISNUMBER(SEARCH("3歳未勝利",Z3490)),"3歳未勝利",IF(ISNUMBER(SEARCH("未勝利",Z3490)),"その他未勝利",IF(ISNUMBER(SEARCH("G1",Z3490)),"G1",IF(ISNUMBER(SEARCH("G2",Z3490)),"G2",IF(ISNUMBER(SEARCH("G3",Z3490)),"G3",IF(ISNUMBER(SEARCH("古馬条件",Z3490)),"古馬条件戦",IF(ISNUMBER(SEARCH("重賞",Z3490)),"重賞","分類不能")))))))))</f>
        <v/>
      </c>
    </row>
    <row r="3491" customFormat="false" ht="15.75" hidden="false" customHeight="false" outlineLevel="0" collapsed="false">
      <c r="AO3491" s="8" t="str">
        <f aca="false">IF(A3491="","",IF(COUNTIFS(全馬データ!$A$2:$A$50000,A3491,全馬データ!$B$2:$B$50000,B3491,全馬データ!$C$2:$C$50000,C3491,全馬データ!$D$2:$D$50000,E3491,全馬データ!$K$2:$K$50000,"&lt;&gt;")=0,"",SUMIFS(全馬データ!$K$2:$K$50000,全馬データ!$A$2:$A$50000,A3491,全馬データ!$B$2:$B$50000,B3491,全馬データ!$C$2:$C$50000,C3491,全馬データ!$D$2:$D$50000,E3491)))</f>
        <v/>
      </c>
      <c r="AP3491" s="8" t="str">
        <f aca="false">IF(A3491="","",IF(AO3491="","欠損",IF(AO3491&lt;=1.1,"1.0～1.1",IF(AO3491&lt;1.3,"1.2",IF(AO3491&lt;1.5,"1.3～1.4",IF(AO3491&lt;2,"1.5～1.9","2.0以上"))))))</f>
        <v/>
      </c>
      <c r="AQ3491" s="8" t="str">
        <f aca="false">IF(A3491="","",IF(ISNUMBER(SEARCH("2歳",Z3491)),"2歳戦",IF(ISNUMBER(SEARCH("3歳未勝利",Z3491)),"3歳未勝利",IF(ISNUMBER(SEARCH("未勝利",Z3491)),"その他未勝利",IF(ISNUMBER(SEARCH("G1",Z3491)),"G1",IF(ISNUMBER(SEARCH("G2",Z3491)),"G2",IF(ISNUMBER(SEARCH("G3",Z3491)),"G3",IF(ISNUMBER(SEARCH("古馬条件",Z3491)),"古馬条件戦",IF(ISNUMBER(SEARCH("重賞",Z3491)),"重賞","分類不能")))))))))</f>
        <v/>
      </c>
    </row>
    <row r="3492" customFormat="false" ht="15.75" hidden="false" customHeight="false" outlineLevel="0" collapsed="false">
      <c r="AO3492" s="8" t="str">
        <f aca="false">IF(A3492="","",IF(COUNTIFS(全馬データ!$A$2:$A$50000,A3492,全馬データ!$B$2:$B$50000,B3492,全馬データ!$C$2:$C$50000,C3492,全馬データ!$D$2:$D$50000,E3492,全馬データ!$K$2:$K$50000,"&lt;&gt;")=0,"",SUMIFS(全馬データ!$K$2:$K$50000,全馬データ!$A$2:$A$50000,A3492,全馬データ!$B$2:$B$50000,B3492,全馬データ!$C$2:$C$50000,C3492,全馬データ!$D$2:$D$50000,E3492)))</f>
        <v/>
      </c>
      <c r="AP3492" s="8" t="str">
        <f aca="false">IF(A3492="","",IF(AO3492="","欠損",IF(AO3492&lt;=1.1,"1.0～1.1",IF(AO3492&lt;1.3,"1.2",IF(AO3492&lt;1.5,"1.3～1.4",IF(AO3492&lt;2,"1.5～1.9","2.0以上"))))))</f>
        <v/>
      </c>
      <c r="AQ3492" s="8" t="str">
        <f aca="false">IF(A3492="","",IF(ISNUMBER(SEARCH("2歳",Z3492)),"2歳戦",IF(ISNUMBER(SEARCH("3歳未勝利",Z3492)),"3歳未勝利",IF(ISNUMBER(SEARCH("未勝利",Z3492)),"その他未勝利",IF(ISNUMBER(SEARCH("G1",Z3492)),"G1",IF(ISNUMBER(SEARCH("G2",Z3492)),"G2",IF(ISNUMBER(SEARCH("G3",Z3492)),"G3",IF(ISNUMBER(SEARCH("古馬条件",Z3492)),"古馬条件戦",IF(ISNUMBER(SEARCH("重賞",Z3492)),"重賞","分類不能")))))))))</f>
        <v/>
      </c>
    </row>
    <row r="3493" customFormat="false" ht="15.75" hidden="false" customHeight="false" outlineLevel="0" collapsed="false">
      <c r="AO3493" s="8" t="str">
        <f aca="false">IF(A3493="","",IF(COUNTIFS(全馬データ!$A$2:$A$50000,A3493,全馬データ!$B$2:$B$50000,B3493,全馬データ!$C$2:$C$50000,C3493,全馬データ!$D$2:$D$50000,E3493,全馬データ!$K$2:$K$50000,"&lt;&gt;")=0,"",SUMIFS(全馬データ!$K$2:$K$50000,全馬データ!$A$2:$A$50000,A3493,全馬データ!$B$2:$B$50000,B3493,全馬データ!$C$2:$C$50000,C3493,全馬データ!$D$2:$D$50000,E3493)))</f>
        <v/>
      </c>
      <c r="AP3493" s="8" t="str">
        <f aca="false">IF(A3493="","",IF(AO3493="","欠損",IF(AO3493&lt;=1.1,"1.0～1.1",IF(AO3493&lt;1.3,"1.2",IF(AO3493&lt;1.5,"1.3～1.4",IF(AO3493&lt;2,"1.5～1.9","2.0以上"))))))</f>
        <v/>
      </c>
      <c r="AQ3493" s="8" t="str">
        <f aca="false">IF(A3493="","",IF(ISNUMBER(SEARCH("2歳",Z3493)),"2歳戦",IF(ISNUMBER(SEARCH("3歳未勝利",Z3493)),"3歳未勝利",IF(ISNUMBER(SEARCH("未勝利",Z3493)),"その他未勝利",IF(ISNUMBER(SEARCH("G1",Z3493)),"G1",IF(ISNUMBER(SEARCH("G2",Z3493)),"G2",IF(ISNUMBER(SEARCH("G3",Z3493)),"G3",IF(ISNUMBER(SEARCH("古馬条件",Z3493)),"古馬条件戦",IF(ISNUMBER(SEARCH("重賞",Z3493)),"重賞","分類不能")))))))))</f>
        <v/>
      </c>
    </row>
    <row r="3494" customFormat="false" ht="15.75" hidden="false" customHeight="false" outlineLevel="0" collapsed="false">
      <c r="AO3494" s="8" t="str">
        <f aca="false">IF(A3494="","",IF(COUNTIFS(全馬データ!$A$2:$A$50000,A3494,全馬データ!$B$2:$B$50000,B3494,全馬データ!$C$2:$C$50000,C3494,全馬データ!$D$2:$D$50000,E3494,全馬データ!$K$2:$K$50000,"&lt;&gt;")=0,"",SUMIFS(全馬データ!$K$2:$K$50000,全馬データ!$A$2:$A$50000,A3494,全馬データ!$B$2:$B$50000,B3494,全馬データ!$C$2:$C$50000,C3494,全馬データ!$D$2:$D$50000,E3494)))</f>
        <v/>
      </c>
      <c r="AP3494" s="8" t="str">
        <f aca="false">IF(A3494="","",IF(AO3494="","欠損",IF(AO3494&lt;=1.1,"1.0～1.1",IF(AO3494&lt;1.3,"1.2",IF(AO3494&lt;1.5,"1.3～1.4",IF(AO3494&lt;2,"1.5～1.9","2.0以上"))))))</f>
        <v/>
      </c>
      <c r="AQ3494" s="8" t="str">
        <f aca="false">IF(A3494="","",IF(ISNUMBER(SEARCH("2歳",Z3494)),"2歳戦",IF(ISNUMBER(SEARCH("3歳未勝利",Z3494)),"3歳未勝利",IF(ISNUMBER(SEARCH("未勝利",Z3494)),"その他未勝利",IF(ISNUMBER(SEARCH("G1",Z3494)),"G1",IF(ISNUMBER(SEARCH("G2",Z3494)),"G2",IF(ISNUMBER(SEARCH("G3",Z3494)),"G3",IF(ISNUMBER(SEARCH("古馬条件",Z3494)),"古馬条件戦",IF(ISNUMBER(SEARCH("重賞",Z3494)),"重賞","分類不能")))))))))</f>
        <v/>
      </c>
    </row>
    <row r="3495" customFormat="false" ht="15.75" hidden="false" customHeight="false" outlineLevel="0" collapsed="false">
      <c r="AO3495" s="8" t="str">
        <f aca="false">IF(A3495="","",IF(COUNTIFS(全馬データ!$A$2:$A$50000,A3495,全馬データ!$B$2:$B$50000,B3495,全馬データ!$C$2:$C$50000,C3495,全馬データ!$D$2:$D$50000,E3495,全馬データ!$K$2:$K$50000,"&lt;&gt;")=0,"",SUMIFS(全馬データ!$K$2:$K$50000,全馬データ!$A$2:$A$50000,A3495,全馬データ!$B$2:$B$50000,B3495,全馬データ!$C$2:$C$50000,C3495,全馬データ!$D$2:$D$50000,E3495)))</f>
        <v/>
      </c>
      <c r="AP3495" s="8" t="str">
        <f aca="false">IF(A3495="","",IF(AO3495="","欠損",IF(AO3495&lt;=1.1,"1.0～1.1",IF(AO3495&lt;1.3,"1.2",IF(AO3495&lt;1.5,"1.3～1.4",IF(AO3495&lt;2,"1.5～1.9","2.0以上"))))))</f>
        <v/>
      </c>
      <c r="AQ3495" s="8" t="str">
        <f aca="false">IF(A3495="","",IF(ISNUMBER(SEARCH("2歳",Z3495)),"2歳戦",IF(ISNUMBER(SEARCH("3歳未勝利",Z3495)),"3歳未勝利",IF(ISNUMBER(SEARCH("未勝利",Z3495)),"その他未勝利",IF(ISNUMBER(SEARCH("G1",Z3495)),"G1",IF(ISNUMBER(SEARCH("G2",Z3495)),"G2",IF(ISNUMBER(SEARCH("G3",Z3495)),"G3",IF(ISNUMBER(SEARCH("古馬条件",Z3495)),"古馬条件戦",IF(ISNUMBER(SEARCH("重賞",Z3495)),"重賞","分類不能")))))))))</f>
        <v/>
      </c>
    </row>
    <row r="3496" customFormat="false" ht="15.75" hidden="false" customHeight="false" outlineLevel="0" collapsed="false">
      <c r="AO3496" s="8" t="str">
        <f aca="false">IF(A3496="","",IF(COUNTIFS(全馬データ!$A$2:$A$50000,A3496,全馬データ!$B$2:$B$50000,B3496,全馬データ!$C$2:$C$50000,C3496,全馬データ!$D$2:$D$50000,E3496,全馬データ!$K$2:$K$50000,"&lt;&gt;")=0,"",SUMIFS(全馬データ!$K$2:$K$50000,全馬データ!$A$2:$A$50000,A3496,全馬データ!$B$2:$B$50000,B3496,全馬データ!$C$2:$C$50000,C3496,全馬データ!$D$2:$D$50000,E3496)))</f>
        <v/>
      </c>
      <c r="AP3496" s="8" t="str">
        <f aca="false">IF(A3496="","",IF(AO3496="","欠損",IF(AO3496&lt;=1.1,"1.0～1.1",IF(AO3496&lt;1.3,"1.2",IF(AO3496&lt;1.5,"1.3～1.4",IF(AO3496&lt;2,"1.5～1.9","2.0以上"))))))</f>
        <v/>
      </c>
      <c r="AQ3496" s="8" t="str">
        <f aca="false">IF(A3496="","",IF(ISNUMBER(SEARCH("2歳",Z3496)),"2歳戦",IF(ISNUMBER(SEARCH("3歳未勝利",Z3496)),"3歳未勝利",IF(ISNUMBER(SEARCH("未勝利",Z3496)),"その他未勝利",IF(ISNUMBER(SEARCH("G1",Z3496)),"G1",IF(ISNUMBER(SEARCH("G2",Z3496)),"G2",IF(ISNUMBER(SEARCH("G3",Z3496)),"G3",IF(ISNUMBER(SEARCH("古馬条件",Z3496)),"古馬条件戦",IF(ISNUMBER(SEARCH("重賞",Z3496)),"重賞","分類不能")))))))))</f>
        <v/>
      </c>
    </row>
    <row r="3497" customFormat="false" ht="15.75" hidden="false" customHeight="false" outlineLevel="0" collapsed="false">
      <c r="AO3497" s="8" t="str">
        <f aca="false">IF(A3497="","",IF(COUNTIFS(全馬データ!$A$2:$A$50000,A3497,全馬データ!$B$2:$B$50000,B3497,全馬データ!$C$2:$C$50000,C3497,全馬データ!$D$2:$D$50000,E3497,全馬データ!$K$2:$K$50000,"&lt;&gt;")=0,"",SUMIFS(全馬データ!$K$2:$K$50000,全馬データ!$A$2:$A$50000,A3497,全馬データ!$B$2:$B$50000,B3497,全馬データ!$C$2:$C$50000,C3497,全馬データ!$D$2:$D$50000,E3497)))</f>
        <v/>
      </c>
      <c r="AP3497" s="8" t="str">
        <f aca="false">IF(A3497="","",IF(AO3497="","欠損",IF(AO3497&lt;=1.1,"1.0～1.1",IF(AO3497&lt;1.3,"1.2",IF(AO3497&lt;1.5,"1.3～1.4",IF(AO3497&lt;2,"1.5～1.9","2.0以上"))))))</f>
        <v/>
      </c>
      <c r="AQ3497" s="8" t="str">
        <f aca="false">IF(A3497="","",IF(ISNUMBER(SEARCH("2歳",Z3497)),"2歳戦",IF(ISNUMBER(SEARCH("3歳未勝利",Z3497)),"3歳未勝利",IF(ISNUMBER(SEARCH("未勝利",Z3497)),"その他未勝利",IF(ISNUMBER(SEARCH("G1",Z3497)),"G1",IF(ISNUMBER(SEARCH("G2",Z3497)),"G2",IF(ISNUMBER(SEARCH("G3",Z3497)),"G3",IF(ISNUMBER(SEARCH("古馬条件",Z3497)),"古馬条件戦",IF(ISNUMBER(SEARCH("重賞",Z3497)),"重賞","分類不能")))))))))</f>
        <v/>
      </c>
    </row>
    <row r="3498" customFormat="false" ht="15.75" hidden="false" customHeight="false" outlineLevel="0" collapsed="false">
      <c r="AO3498" s="8" t="str">
        <f aca="false">IF(A3498="","",IF(COUNTIFS(全馬データ!$A$2:$A$50000,A3498,全馬データ!$B$2:$B$50000,B3498,全馬データ!$C$2:$C$50000,C3498,全馬データ!$D$2:$D$50000,E3498,全馬データ!$K$2:$K$50000,"&lt;&gt;")=0,"",SUMIFS(全馬データ!$K$2:$K$50000,全馬データ!$A$2:$A$50000,A3498,全馬データ!$B$2:$B$50000,B3498,全馬データ!$C$2:$C$50000,C3498,全馬データ!$D$2:$D$50000,E3498)))</f>
        <v/>
      </c>
      <c r="AP3498" s="8" t="str">
        <f aca="false">IF(A3498="","",IF(AO3498="","欠損",IF(AO3498&lt;=1.1,"1.0～1.1",IF(AO3498&lt;1.3,"1.2",IF(AO3498&lt;1.5,"1.3～1.4",IF(AO3498&lt;2,"1.5～1.9","2.0以上"))))))</f>
        <v/>
      </c>
      <c r="AQ3498" s="8" t="str">
        <f aca="false">IF(A3498="","",IF(ISNUMBER(SEARCH("2歳",Z3498)),"2歳戦",IF(ISNUMBER(SEARCH("3歳未勝利",Z3498)),"3歳未勝利",IF(ISNUMBER(SEARCH("未勝利",Z3498)),"その他未勝利",IF(ISNUMBER(SEARCH("G1",Z3498)),"G1",IF(ISNUMBER(SEARCH("G2",Z3498)),"G2",IF(ISNUMBER(SEARCH("G3",Z3498)),"G3",IF(ISNUMBER(SEARCH("古馬条件",Z3498)),"古馬条件戦",IF(ISNUMBER(SEARCH("重賞",Z3498)),"重賞","分類不能")))))))))</f>
        <v/>
      </c>
    </row>
    <row r="3499" customFormat="false" ht="15.75" hidden="false" customHeight="false" outlineLevel="0" collapsed="false">
      <c r="AO3499" s="8" t="str">
        <f aca="false">IF(A3499="","",IF(COUNTIFS(全馬データ!$A$2:$A$50000,A3499,全馬データ!$B$2:$B$50000,B3499,全馬データ!$C$2:$C$50000,C3499,全馬データ!$D$2:$D$50000,E3499,全馬データ!$K$2:$K$50000,"&lt;&gt;")=0,"",SUMIFS(全馬データ!$K$2:$K$50000,全馬データ!$A$2:$A$50000,A3499,全馬データ!$B$2:$B$50000,B3499,全馬データ!$C$2:$C$50000,C3499,全馬データ!$D$2:$D$50000,E3499)))</f>
        <v/>
      </c>
      <c r="AP3499" s="8" t="str">
        <f aca="false">IF(A3499="","",IF(AO3499="","欠損",IF(AO3499&lt;=1.1,"1.0～1.1",IF(AO3499&lt;1.3,"1.2",IF(AO3499&lt;1.5,"1.3～1.4",IF(AO3499&lt;2,"1.5～1.9","2.0以上"))))))</f>
        <v/>
      </c>
      <c r="AQ3499" s="8" t="str">
        <f aca="false">IF(A3499="","",IF(ISNUMBER(SEARCH("2歳",Z3499)),"2歳戦",IF(ISNUMBER(SEARCH("3歳未勝利",Z3499)),"3歳未勝利",IF(ISNUMBER(SEARCH("未勝利",Z3499)),"その他未勝利",IF(ISNUMBER(SEARCH("G1",Z3499)),"G1",IF(ISNUMBER(SEARCH("G2",Z3499)),"G2",IF(ISNUMBER(SEARCH("G3",Z3499)),"G3",IF(ISNUMBER(SEARCH("古馬条件",Z3499)),"古馬条件戦",IF(ISNUMBER(SEARCH("重賞",Z3499)),"重賞","分類不能")))))))))</f>
        <v/>
      </c>
    </row>
    <row r="3500" customFormat="false" ht="15.75" hidden="false" customHeight="false" outlineLevel="0" collapsed="false">
      <c r="AO3500" s="8" t="str">
        <f aca="false">IF(A3500="","",IF(COUNTIFS(全馬データ!$A$2:$A$50000,A3500,全馬データ!$B$2:$B$50000,B3500,全馬データ!$C$2:$C$50000,C3500,全馬データ!$D$2:$D$50000,E3500,全馬データ!$K$2:$K$50000,"&lt;&gt;")=0,"",SUMIFS(全馬データ!$K$2:$K$50000,全馬データ!$A$2:$A$50000,A3500,全馬データ!$B$2:$B$50000,B3500,全馬データ!$C$2:$C$50000,C3500,全馬データ!$D$2:$D$50000,E3500)))</f>
        <v/>
      </c>
      <c r="AP3500" s="8" t="str">
        <f aca="false">IF(A3500="","",IF(AO3500="","欠損",IF(AO3500&lt;=1.1,"1.0～1.1",IF(AO3500&lt;1.3,"1.2",IF(AO3500&lt;1.5,"1.3～1.4",IF(AO3500&lt;2,"1.5～1.9","2.0以上"))))))</f>
        <v/>
      </c>
      <c r="AQ3500" s="8" t="str">
        <f aca="false">IF(A3500="","",IF(ISNUMBER(SEARCH("2歳",Z3500)),"2歳戦",IF(ISNUMBER(SEARCH("3歳未勝利",Z3500)),"3歳未勝利",IF(ISNUMBER(SEARCH("未勝利",Z3500)),"その他未勝利",IF(ISNUMBER(SEARCH("G1",Z3500)),"G1",IF(ISNUMBER(SEARCH("G2",Z3500)),"G2",IF(ISNUMBER(SEARCH("G3",Z3500)),"G3",IF(ISNUMBER(SEARCH("古馬条件",Z3500)),"古馬条件戦",IF(ISNUMBER(SEARCH("重賞",Z3500)),"重賞","分類不能")))))))))</f>
        <v/>
      </c>
    </row>
    <row r="3501" customFormat="false" ht="15.75" hidden="false" customHeight="false" outlineLevel="0" collapsed="false">
      <c r="AO3501" s="8" t="str">
        <f aca="false">IF(A3501="","",IF(COUNTIFS(全馬データ!$A$2:$A$50000,A3501,全馬データ!$B$2:$B$50000,B3501,全馬データ!$C$2:$C$50000,C3501,全馬データ!$D$2:$D$50000,E3501,全馬データ!$K$2:$K$50000,"&lt;&gt;")=0,"",SUMIFS(全馬データ!$K$2:$K$50000,全馬データ!$A$2:$A$50000,A3501,全馬データ!$B$2:$B$50000,B3501,全馬データ!$C$2:$C$50000,C3501,全馬データ!$D$2:$D$50000,E3501)))</f>
        <v/>
      </c>
      <c r="AP3501" s="8" t="str">
        <f aca="false">IF(A3501="","",IF(AO3501="","欠損",IF(AO3501&lt;=1.1,"1.0～1.1",IF(AO3501&lt;1.3,"1.2",IF(AO3501&lt;1.5,"1.3～1.4",IF(AO3501&lt;2,"1.5～1.9","2.0以上"))))))</f>
        <v/>
      </c>
      <c r="AQ3501" s="8" t="str">
        <f aca="false">IF(A3501="","",IF(ISNUMBER(SEARCH("2歳",Z3501)),"2歳戦",IF(ISNUMBER(SEARCH("3歳未勝利",Z3501)),"3歳未勝利",IF(ISNUMBER(SEARCH("未勝利",Z3501)),"その他未勝利",IF(ISNUMBER(SEARCH("G1",Z3501)),"G1",IF(ISNUMBER(SEARCH("G2",Z3501)),"G2",IF(ISNUMBER(SEARCH("G3",Z3501)),"G3",IF(ISNUMBER(SEARCH("古馬条件",Z3501)),"古馬条件戦",IF(ISNUMBER(SEARCH("重賞",Z3501)),"重賞","分類不能")))))))))</f>
        <v/>
      </c>
    </row>
    <row r="3502" customFormat="false" ht="15.75" hidden="false" customHeight="false" outlineLevel="0" collapsed="false">
      <c r="AO3502" s="8" t="str">
        <f aca="false">IF(A3502="","",IF(COUNTIFS(全馬データ!$A$2:$A$50000,A3502,全馬データ!$B$2:$B$50000,B3502,全馬データ!$C$2:$C$50000,C3502,全馬データ!$D$2:$D$50000,E3502,全馬データ!$K$2:$K$50000,"&lt;&gt;")=0,"",SUMIFS(全馬データ!$K$2:$K$50000,全馬データ!$A$2:$A$50000,A3502,全馬データ!$B$2:$B$50000,B3502,全馬データ!$C$2:$C$50000,C3502,全馬データ!$D$2:$D$50000,E3502)))</f>
        <v/>
      </c>
      <c r="AP3502" s="8" t="str">
        <f aca="false">IF(A3502="","",IF(AO3502="","欠損",IF(AO3502&lt;=1.1,"1.0～1.1",IF(AO3502&lt;1.3,"1.2",IF(AO3502&lt;1.5,"1.3～1.4",IF(AO3502&lt;2,"1.5～1.9","2.0以上"))))))</f>
        <v/>
      </c>
      <c r="AQ3502" s="8" t="str">
        <f aca="false">IF(A3502="","",IF(ISNUMBER(SEARCH("2歳",Z3502)),"2歳戦",IF(ISNUMBER(SEARCH("3歳未勝利",Z3502)),"3歳未勝利",IF(ISNUMBER(SEARCH("未勝利",Z3502)),"その他未勝利",IF(ISNUMBER(SEARCH("G1",Z3502)),"G1",IF(ISNUMBER(SEARCH("G2",Z3502)),"G2",IF(ISNUMBER(SEARCH("G3",Z3502)),"G3",IF(ISNUMBER(SEARCH("古馬条件",Z3502)),"古馬条件戦",IF(ISNUMBER(SEARCH("重賞",Z3502)),"重賞","分類不能")))))))))</f>
        <v/>
      </c>
    </row>
    <row r="3503" customFormat="false" ht="15.75" hidden="false" customHeight="false" outlineLevel="0" collapsed="false">
      <c r="AO3503" s="8" t="str">
        <f aca="false">IF(A3503="","",IF(COUNTIFS(全馬データ!$A$2:$A$50000,A3503,全馬データ!$B$2:$B$50000,B3503,全馬データ!$C$2:$C$50000,C3503,全馬データ!$D$2:$D$50000,E3503,全馬データ!$K$2:$K$50000,"&lt;&gt;")=0,"",SUMIFS(全馬データ!$K$2:$K$50000,全馬データ!$A$2:$A$50000,A3503,全馬データ!$B$2:$B$50000,B3503,全馬データ!$C$2:$C$50000,C3503,全馬データ!$D$2:$D$50000,E3503)))</f>
        <v/>
      </c>
      <c r="AP3503" s="8" t="str">
        <f aca="false">IF(A3503="","",IF(AO3503="","欠損",IF(AO3503&lt;=1.1,"1.0～1.1",IF(AO3503&lt;1.3,"1.2",IF(AO3503&lt;1.5,"1.3～1.4",IF(AO3503&lt;2,"1.5～1.9","2.0以上"))))))</f>
        <v/>
      </c>
      <c r="AQ3503" s="8" t="str">
        <f aca="false">IF(A3503="","",IF(ISNUMBER(SEARCH("2歳",Z3503)),"2歳戦",IF(ISNUMBER(SEARCH("3歳未勝利",Z3503)),"3歳未勝利",IF(ISNUMBER(SEARCH("未勝利",Z3503)),"その他未勝利",IF(ISNUMBER(SEARCH("G1",Z3503)),"G1",IF(ISNUMBER(SEARCH("G2",Z3503)),"G2",IF(ISNUMBER(SEARCH("G3",Z3503)),"G3",IF(ISNUMBER(SEARCH("古馬条件",Z3503)),"古馬条件戦",IF(ISNUMBER(SEARCH("重賞",Z3503)),"重賞","分類不能")))))))))</f>
        <v/>
      </c>
    </row>
    <row r="3504" customFormat="false" ht="15.75" hidden="false" customHeight="false" outlineLevel="0" collapsed="false">
      <c r="AO3504" s="8" t="str">
        <f aca="false">IF(A3504="","",IF(COUNTIFS(全馬データ!$A$2:$A$50000,A3504,全馬データ!$B$2:$B$50000,B3504,全馬データ!$C$2:$C$50000,C3504,全馬データ!$D$2:$D$50000,E3504,全馬データ!$K$2:$K$50000,"&lt;&gt;")=0,"",SUMIFS(全馬データ!$K$2:$K$50000,全馬データ!$A$2:$A$50000,A3504,全馬データ!$B$2:$B$50000,B3504,全馬データ!$C$2:$C$50000,C3504,全馬データ!$D$2:$D$50000,E3504)))</f>
        <v/>
      </c>
      <c r="AP3504" s="8" t="str">
        <f aca="false">IF(A3504="","",IF(AO3504="","欠損",IF(AO3504&lt;=1.1,"1.0～1.1",IF(AO3504&lt;1.3,"1.2",IF(AO3504&lt;1.5,"1.3～1.4",IF(AO3504&lt;2,"1.5～1.9","2.0以上"))))))</f>
        <v/>
      </c>
      <c r="AQ3504" s="8" t="str">
        <f aca="false">IF(A3504="","",IF(ISNUMBER(SEARCH("2歳",Z3504)),"2歳戦",IF(ISNUMBER(SEARCH("3歳未勝利",Z3504)),"3歳未勝利",IF(ISNUMBER(SEARCH("未勝利",Z3504)),"その他未勝利",IF(ISNUMBER(SEARCH("G1",Z3504)),"G1",IF(ISNUMBER(SEARCH("G2",Z3504)),"G2",IF(ISNUMBER(SEARCH("G3",Z3504)),"G3",IF(ISNUMBER(SEARCH("古馬条件",Z3504)),"古馬条件戦",IF(ISNUMBER(SEARCH("重賞",Z3504)),"重賞","分類不能")))))))))</f>
        <v/>
      </c>
    </row>
    <row r="3505" customFormat="false" ht="15.75" hidden="false" customHeight="false" outlineLevel="0" collapsed="false">
      <c r="AO3505" s="8" t="str">
        <f aca="false">IF(A3505="","",IF(COUNTIFS(全馬データ!$A$2:$A$50000,A3505,全馬データ!$B$2:$B$50000,B3505,全馬データ!$C$2:$C$50000,C3505,全馬データ!$D$2:$D$50000,E3505,全馬データ!$K$2:$K$50000,"&lt;&gt;")=0,"",SUMIFS(全馬データ!$K$2:$K$50000,全馬データ!$A$2:$A$50000,A3505,全馬データ!$B$2:$B$50000,B3505,全馬データ!$C$2:$C$50000,C3505,全馬データ!$D$2:$D$50000,E3505)))</f>
        <v/>
      </c>
      <c r="AP3505" s="8" t="str">
        <f aca="false">IF(A3505="","",IF(AO3505="","欠損",IF(AO3505&lt;=1.1,"1.0～1.1",IF(AO3505&lt;1.3,"1.2",IF(AO3505&lt;1.5,"1.3～1.4",IF(AO3505&lt;2,"1.5～1.9","2.0以上"))))))</f>
        <v/>
      </c>
      <c r="AQ3505" s="8" t="str">
        <f aca="false">IF(A3505="","",IF(ISNUMBER(SEARCH("2歳",Z3505)),"2歳戦",IF(ISNUMBER(SEARCH("3歳未勝利",Z3505)),"3歳未勝利",IF(ISNUMBER(SEARCH("未勝利",Z3505)),"その他未勝利",IF(ISNUMBER(SEARCH("G1",Z3505)),"G1",IF(ISNUMBER(SEARCH("G2",Z3505)),"G2",IF(ISNUMBER(SEARCH("G3",Z3505)),"G3",IF(ISNUMBER(SEARCH("古馬条件",Z3505)),"古馬条件戦",IF(ISNUMBER(SEARCH("重賞",Z3505)),"重賞","分類不能")))))))))</f>
        <v/>
      </c>
    </row>
    <row r="3506" customFormat="false" ht="15.75" hidden="false" customHeight="false" outlineLevel="0" collapsed="false">
      <c r="AO3506" s="8" t="str">
        <f aca="false">IF(A3506="","",IF(COUNTIFS(全馬データ!$A$2:$A$50000,A3506,全馬データ!$B$2:$B$50000,B3506,全馬データ!$C$2:$C$50000,C3506,全馬データ!$D$2:$D$50000,E3506,全馬データ!$K$2:$K$50000,"&lt;&gt;")=0,"",SUMIFS(全馬データ!$K$2:$K$50000,全馬データ!$A$2:$A$50000,A3506,全馬データ!$B$2:$B$50000,B3506,全馬データ!$C$2:$C$50000,C3506,全馬データ!$D$2:$D$50000,E3506)))</f>
        <v/>
      </c>
      <c r="AP3506" s="8" t="str">
        <f aca="false">IF(A3506="","",IF(AO3506="","欠損",IF(AO3506&lt;=1.1,"1.0～1.1",IF(AO3506&lt;1.3,"1.2",IF(AO3506&lt;1.5,"1.3～1.4",IF(AO3506&lt;2,"1.5～1.9","2.0以上"))))))</f>
        <v/>
      </c>
      <c r="AQ3506" s="8" t="str">
        <f aca="false">IF(A3506="","",IF(ISNUMBER(SEARCH("2歳",Z3506)),"2歳戦",IF(ISNUMBER(SEARCH("3歳未勝利",Z3506)),"3歳未勝利",IF(ISNUMBER(SEARCH("未勝利",Z3506)),"その他未勝利",IF(ISNUMBER(SEARCH("G1",Z3506)),"G1",IF(ISNUMBER(SEARCH("G2",Z3506)),"G2",IF(ISNUMBER(SEARCH("G3",Z3506)),"G3",IF(ISNUMBER(SEARCH("古馬条件",Z3506)),"古馬条件戦",IF(ISNUMBER(SEARCH("重賞",Z3506)),"重賞","分類不能")))))))))</f>
        <v/>
      </c>
    </row>
    <row r="3507" customFormat="false" ht="15.75" hidden="false" customHeight="false" outlineLevel="0" collapsed="false">
      <c r="AO3507" s="8" t="str">
        <f aca="false">IF(A3507="","",IF(COUNTIFS(全馬データ!$A$2:$A$50000,A3507,全馬データ!$B$2:$B$50000,B3507,全馬データ!$C$2:$C$50000,C3507,全馬データ!$D$2:$D$50000,E3507,全馬データ!$K$2:$K$50000,"&lt;&gt;")=0,"",SUMIFS(全馬データ!$K$2:$K$50000,全馬データ!$A$2:$A$50000,A3507,全馬データ!$B$2:$B$50000,B3507,全馬データ!$C$2:$C$50000,C3507,全馬データ!$D$2:$D$50000,E3507)))</f>
        <v/>
      </c>
      <c r="AP3507" s="8" t="str">
        <f aca="false">IF(A3507="","",IF(AO3507="","欠損",IF(AO3507&lt;=1.1,"1.0～1.1",IF(AO3507&lt;1.3,"1.2",IF(AO3507&lt;1.5,"1.3～1.4",IF(AO3507&lt;2,"1.5～1.9","2.0以上"))))))</f>
        <v/>
      </c>
      <c r="AQ3507" s="8" t="str">
        <f aca="false">IF(A3507="","",IF(ISNUMBER(SEARCH("2歳",Z3507)),"2歳戦",IF(ISNUMBER(SEARCH("3歳未勝利",Z3507)),"3歳未勝利",IF(ISNUMBER(SEARCH("未勝利",Z3507)),"その他未勝利",IF(ISNUMBER(SEARCH("G1",Z3507)),"G1",IF(ISNUMBER(SEARCH("G2",Z3507)),"G2",IF(ISNUMBER(SEARCH("G3",Z3507)),"G3",IF(ISNUMBER(SEARCH("古馬条件",Z3507)),"古馬条件戦",IF(ISNUMBER(SEARCH("重賞",Z3507)),"重賞","分類不能")))))))))</f>
        <v/>
      </c>
    </row>
    <row r="3508" customFormat="false" ht="15.75" hidden="false" customHeight="false" outlineLevel="0" collapsed="false">
      <c r="AO3508" s="8" t="str">
        <f aca="false">IF(A3508="","",IF(COUNTIFS(全馬データ!$A$2:$A$50000,A3508,全馬データ!$B$2:$B$50000,B3508,全馬データ!$C$2:$C$50000,C3508,全馬データ!$D$2:$D$50000,E3508,全馬データ!$K$2:$K$50000,"&lt;&gt;")=0,"",SUMIFS(全馬データ!$K$2:$K$50000,全馬データ!$A$2:$A$50000,A3508,全馬データ!$B$2:$B$50000,B3508,全馬データ!$C$2:$C$50000,C3508,全馬データ!$D$2:$D$50000,E3508)))</f>
        <v/>
      </c>
      <c r="AP3508" s="8" t="str">
        <f aca="false">IF(A3508="","",IF(AO3508="","欠損",IF(AO3508&lt;=1.1,"1.0～1.1",IF(AO3508&lt;1.3,"1.2",IF(AO3508&lt;1.5,"1.3～1.4",IF(AO3508&lt;2,"1.5～1.9","2.0以上"))))))</f>
        <v/>
      </c>
      <c r="AQ3508" s="8" t="str">
        <f aca="false">IF(A3508="","",IF(ISNUMBER(SEARCH("2歳",Z3508)),"2歳戦",IF(ISNUMBER(SEARCH("3歳未勝利",Z3508)),"3歳未勝利",IF(ISNUMBER(SEARCH("未勝利",Z3508)),"その他未勝利",IF(ISNUMBER(SEARCH("G1",Z3508)),"G1",IF(ISNUMBER(SEARCH("G2",Z3508)),"G2",IF(ISNUMBER(SEARCH("G3",Z3508)),"G3",IF(ISNUMBER(SEARCH("古馬条件",Z3508)),"古馬条件戦",IF(ISNUMBER(SEARCH("重賞",Z3508)),"重賞","分類不能")))))))))</f>
        <v/>
      </c>
    </row>
    <row r="3509" customFormat="false" ht="15.75" hidden="false" customHeight="false" outlineLevel="0" collapsed="false">
      <c r="AO3509" s="8" t="str">
        <f aca="false">IF(A3509="","",IF(COUNTIFS(全馬データ!$A$2:$A$50000,A3509,全馬データ!$B$2:$B$50000,B3509,全馬データ!$C$2:$C$50000,C3509,全馬データ!$D$2:$D$50000,E3509,全馬データ!$K$2:$K$50000,"&lt;&gt;")=0,"",SUMIFS(全馬データ!$K$2:$K$50000,全馬データ!$A$2:$A$50000,A3509,全馬データ!$B$2:$B$50000,B3509,全馬データ!$C$2:$C$50000,C3509,全馬データ!$D$2:$D$50000,E3509)))</f>
        <v/>
      </c>
      <c r="AP3509" s="8" t="str">
        <f aca="false">IF(A3509="","",IF(AO3509="","欠損",IF(AO3509&lt;=1.1,"1.0～1.1",IF(AO3509&lt;1.3,"1.2",IF(AO3509&lt;1.5,"1.3～1.4",IF(AO3509&lt;2,"1.5～1.9","2.0以上"))))))</f>
        <v/>
      </c>
      <c r="AQ3509" s="8" t="str">
        <f aca="false">IF(A3509="","",IF(ISNUMBER(SEARCH("2歳",Z3509)),"2歳戦",IF(ISNUMBER(SEARCH("3歳未勝利",Z3509)),"3歳未勝利",IF(ISNUMBER(SEARCH("未勝利",Z3509)),"その他未勝利",IF(ISNUMBER(SEARCH("G1",Z3509)),"G1",IF(ISNUMBER(SEARCH("G2",Z3509)),"G2",IF(ISNUMBER(SEARCH("G3",Z3509)),"G3",IF(ISNUMBER(SEARCH("古馬条件",Z3509)),"古馬条件戦",IF(ISNUMBER(SEARCH("重賞",Z3509)),"重賞","分類不能")))))))))</f>
        <v/>
      </c>
    </row>
    <row r="3510" customFormat="false" ht="15.75" hidden="false" customHeight="false" outlineLevel="0" collapsed="false">
      <c r="AO3510" s="8" t="str">
        <f aca="false">IF(A3510="","",IF(COUNTIFS(全馬データ!$A$2:$A$50000,A3510,全馬データ!$B$2:$B$50000,B3510,全馬データ!$C$2:$C$50000,C3510,全馬データ!$D$2:$D$50000,E3510,全馬データ!$K$2:$K$50000,"&lt;&gt;")=0,"",SUMIFS(全馬データ!$K$2:$K$50000,全馬データ!$A$2:$A$50000,A3510,全馬データ!$B$2:$B$50000,B3510,全馬データ!$C$2:$C$50000,C3510,全馬データ!$D$2:$D$50000,E3510)))</f>
        <v/>
      </c>
      <c r="AP3510" s="8" t="str">
        <f aca="false">IF(A3510="","",IF(AO3510="","欠損",IF(AO3510&lt;=1.1,"1.0～1.1",IF(AO3510&lt;1.3,"1.2",IF(AO3510&lt;1.5,"1.3～1.4",IF(AO3510&lt;2,"1.5～1.9","2.0以上"))))))</f>
        <v/>
      </c>
      <c r="AQ3510" s="8" t="str">
        <f aca="false">IF(A3510="","",IF(ISNUMBER(SEARCH("2歳",Z3510)),"2歳戦",IF(ISNUMBER(SEARCH("3歳未勝利",Z3510)),"3歳未勝利",IF(ISNUMBER(SEARCH("未勝利",Z3510)),"その他未勝利",IF(ISNUMBER(SEARCH("G1",Z3510)),"G1",IF(ISNUMBER(SEARCH("G2",Z3510)),"G2",IF(ISNUMBER(SEARCH("G3",Z3510)),"G3",IF(ISNUMBER(SEARCH("古馬条件",Z3510)),"古馬条件戦",IF(ISNUMBER(SEARCH("重賞",Z3510)),"重賞","分類不能")))))))))</f>
        <v/>
      </c>
    </row>
    <row r="3511" customFormat="false" ht="15.75" hidden="false" customHeight="false" outlineLevel="0" collapsed="false">
      <c r="AO3511" s="8" t="str">
        <f aca="false">IF(A3511="","",IF(COUNTIFS(全馬データ!$A$2:$A$50000,A3511,全馬データ!$B$2:$B$50000,B3511,全馬データ!$C$2:$C$50000,C3511,全馬データ!$D$2:$D$50000,E3511,全馬データ!$K$2:$K$50000,"&lt;&gt;")=0,"",SUMIFS(全馬データ!$K$2:$K$50000,全馬データ!$A$2:$A$50000,A3511,全馬データ!$B$2:$B$50000,B3511,全馬データ!$C$2:$C$50000,C3511,全馬データ!$D$2:$D$50000,E3511)))</f>
        <v/>
      </c>
      <c r="AP3511" s="8" t="str">
        <f aca="false">IF(A3511="","",IF(AO3511="","欠損",IF(AO3511&lt;=1.1,"1.0～1.1",IF(AO3511&lt;1.3,"1.2",IF(AO3511&lt;1.5,"1.3～1.4",IF(AO3511&lt;2,"1.5～1.9","2.0以上"))))))</f>
        <v/>
      </c>
      <c r="AQ3511" s="8" t="str">
        <f aca="false">IF(A3511="","",IF(ISNUMBER(SEARCH("2歳",Z3511)),"2歳戦",IF(ISNUMBER(SEARCH("3歳未勝利",Z3511)),"3歳未勝利",IF(ISNUMBER(SEARCH("未勝利",Z3511)),"その他未勝利",IF(ISNUMBER(SEARCH("G1",Z3511)),"G1",IF(ISNUMBER(SEARCH("G2",Z3511)),"G2",IF(ISNUMBER(SEARCH("G3",Z3511)),"G3",IF(ISNUMBER(SEARCH("古馬条件",Z3511)),"古馬条件戦",IF(ISNUMBER(SEARCH("重賞",Z3511)),"重賞","分類不能")))))))))</f>
        <v/>
      </c>
    </row>
    <row r="3512" customFormat="false" ht="15.75" hidden="false" customHeight="false" outlineLevel="0" collapsed="false">
      <c r="AO3512" s="8" t="str">
        <f aca="false">IF(A3512="","",IF(COUNTIFS(全馬データ!$A$2:$A$50000,A3512,全馬データ!$B$2:$B$50000,B3512,全馬データ!$C$2:$C$50000,C3512,全馬データ!$D$2:$D$50000,E3512,全馬データ!$K$2:$K$50000,"&lt;&gt;")=0,"",SUMIFS(全馬データ!$K$2:$K$50000,全馬データ!$A$2:$A$50000,A3512,全馬データ!$B$2:$B$50000,B3512,全馬データ!$C$2:$C$50000,C3512,全馬データ!$D$2:$D$50000,E3512)))</f>
        <v/>
      </c>
      <c r="AP3512" s="8" t="str">
        <f aca="false">IF(A3512="","",IF(AO3512="","欠損",IF(AO3512&lt;=1.1,"1.0～1.1",IF(AO3512&lt;1.3,"1.2",IF(AO3512&lt;1.5,"1.3～1.4",IF(AO3512&lt;2,"1.5～1.9","2.0以上"))))))</f>
        <v/>
      </c>
      <c r="AQ3512" s="8" t="str">
        <f aca="false">IF(A3512="","",IF(ISNUMBER(SEARCH("2歳",Z3512)),"2歳戦",IF(ISNUMBER(SEARCH("3歳未勝利",Z3512)),"3歳未勝利",IF(ISNUMBER(SEARCH("未勝利",Z3512)),"その他未勝利",IF(ISNUMBER(SEARCH("G1",Z3512)),"G1",IF(ISNUMBER(SEARCH("G2",Z3512)),"G2",IF(ISNUMBER(SEARCH("G3",Z3512)),"G3",IF(ISNUMBER(SEARCH("古馬条件",Z3512)),"古馬条件戦",IF(ISNUMBER(SEARCH("重賞",Z3512)),"重賞","分類不能")))))))))</f>
        <v/>
      </c>
    </row>
    <row r="3513" customFormat="false" ht="15.75" hidden="false" customHeight="false" outlineLevel="0" collapsed="false">
      <c r="AO3513" s="8" t="str">
        <f aca="false">IF(A3513="","",IF(COUNTIFS(全馬データ!$A$2:$A$50000,A3513,全馬データ!$B$2:$B$50000,B3513,全馬データ!$C$2:$C$50000,C3513,全馬データ!$D$2:$D$50000,E3513,全馬データ!$K$2:$K$50000,"&lt;&gt;")=0,"",SUMIFS(全馬データ!$K$2:$K$50000,全馬データ!$A$2:$A$50000,A3513,全馬データ!$B$2:$B$50000,B3513,全馬データ!$C$2:$C$50000,C3513,全馬データ!$D$2:$D$50000,E3513)))</f>
        <v/>
      </c>
      <c r="AP3513" s="8" t="str">
        <f aca="false">IF(A3513="","",IF(AO3513="","欠損",IF(AO3513&lt;=1.1,"1.0～1.1",IF(AO3513&lt;1.3,"1.2",IF(AO3513&lt;1.5,"1.3～1.4",IF(AO3513&lt;2,"1.5～1.9","2.0以上"))))))</f>
        <v/>
      </c>
      <c r="AQ3513" s="8" t="str">
        <f aca="false">IF(A3513="","",IF(ISNUMBER(SEARCH("2歳",Z3513)),"2歳戦",IF(ISNUMBER(SEARCH("3歳未勝利",Z3513)),"3歳未勝利",IF(ISNUMBER(SEARCH("未勝利",Z3513)),"その他未勝利",IF(ISNUMBER(SEARCH("G1",Z3513)),"G1",IF(ISNUMBER(SEARCH("G2",Z3513)),"G2",IF(ISNUMBER(SEARCH("G3",Z3513)),"G3",IF(ISNUMBER(SEARCH("古馬条件",Z3513)),"古馬条件戦",IF(ISNUMBER(SEARCH("重賞",Z3513)),"重賞","分類不能")))))))))</f>
        <v/>
      </c>
    </row>
    <row r="3514" customFormat="false" ht="15.75" hidden="false" customHeight="false" outlineLevel="0" collapsed="false">
      <c r="AO3514" s="8" t="str">
        <f aca="false">IF(A3514="","",IF(COUNTIFS(全馬データ!$A$2:$A$50000,A3514,全馬データ!$B$2:$B$50000,B3514,全馬データ!$C$2:$C$50000,C3514,全馬データ!$D$2:$D$50000,E3514,全馬データ!$K$2:$K$50000,"&lt;&gt;")=0,"",SUMIFS(全馬データ!$K$2:$K$50000,全馬データ!$A$2:$A$50000,A3514,全馬データ!$B$2:$B$50000,B3514,全馬データ!$C$2:$C$50000,C3514,全馬データ!$D$2:$D$50000,E3514)))</f>
        <v/>
      </c>
      <c r="AP3514" s="8" t="str">
        <f aca="false">IF(A3514="","",IF(AO3514="","欠損",IF(AO3514&lt;=1.1,"1.0～1.1",IF(AO3514&lt;1.3,"1.2",IF(AO3514&lt;1.5,"1.3～1.4",IF(AO3514&lt;2,"1.5～1.9","2.0以上"))))))</f>
        <v/>
      </c>
      <c r="AQ3514" s="8" t="str">
        <f aca="false">IF(A3514="","",IF(ISNUMBER(SEARCH("2歳",Z3514)),"2歳戦",IF(ISNUMBER(SEARCH("3歳未勝利",Z3514)),"3歳未勝利",IF(ISNUMBER(SEARCH("未勝利",Z3514)),"その他未勝利",IF(ISNUMBER(SEARCH("G1",Z3514)),"G1",IF(ISNUMBER(SEARCH("G2",Z3514)),"G2",IF(ISNUMBER(SEARCH("G3",Z3514)),"G3",IF(ISNUMBER(SEARCH("古馬条件",Z3514)),"古馬条件戦",IF(ISNUMBER(SEARCH("重賞",Z3514)),"重賞","分類不能")))))))))</f>
        <v/>
      </c>
    </row>
    <row r="3515" customFormat="false" ht="15.75" hidden="false" customHeight="false" outlineLevel="0" collapsed="false">
      <c r="AO3515" s="8" t="str">
        <f aca="false">IF(A3515="","",IF(COUNTIFS(全馬データ!$A$2:$A$50000,A3515,全馬データ!$B$2:$B$50000,B3515,全馬データ!$C$2:$C$50000,C3515,全馬データ!$D$2:$D$50000,E3515,全馬データ!$K$2:$K$50000,"&lt;&gt;")=0,"",SUMIFS(全馬データ!$K$2:$K$50000,全馬データ!$A$2:$A$50000,A3515,全馬データ!$B$2:$B$50000,B3515,全馬データ!$C$2:$C$50000,C3515,全馬データ!$D$2:$D$50000,E3515)))</f>
        <v/>
      </c>
      <c r="AP3515" s="8" t="str">
        <f aca="false">IF(A3515="","",IF(AO3515="","欠損",IF(AO3515&lt;=1.1,"1.0～1.1",IF(AO3515&lt;1.3,"1.2",IF(AO3515&lt;1.5,"1.3～1.4",IF(AO3515&lt;2,"1.5～1.9","2.0以上"))))))</f>
        <v/>
      </c>
      <c r="AQ3515" s="8" t="str">
        <f aca="false">IF(A3515="","",IF(ISNUMBER(SEARCH("2歳",Z3515)),"2歳戦",IF(ISNUMBER(SEARCH("3歳未勝利",Z3515)),"3歳未勝利",IF(ISNUMBER(SEARCH("未勝利",Z3515)),"その他未勝利",IF(ISNUMBER(SEARCH("G1",Z3515)),"G1",IF(ISNUMBER(SEARCH("G2",Z3515)),"G2",IF(ISNUMBER(SEARCH("G3",Z3515)),"G3",IF(ISNUMBER(SEARCH("古馬条件",Z3515)),"古馬条件戦",IF(ISNUMBER(SEARCH("重賞",Z3515)),"重賞","分類不能")))))))))</f>
        <v/>
      </c>
    </row>
    <row r="3516" customFormat="false" ht="15.75" hidden="false" customHeight="false" outlineLevel="0" collapsed="false">
      <c r="AO3516" s="8" t="str">
        <f aca="false">IF(A3516="","",IF(COUNTIFS(全馬データ!$A$2:$A$50000,A3516,全馬データ!$B$2:$B$50000,B3516,全馬データ!$C$2:$C$50000,C3516,全馬データ!$D$2:$D$50000,E3516,全馬データ!$K$2:$K$50000,"&lt;&gt;")=0,"",SUMIFS(全馬データ!$K$2:$K$50000,全馬データ!$A$2:$A$50000,A3516,全馬データ!$B$2:$B$50000,B3516,全馬データ!$C$2:$C$50000,C3516,全馬データ!$D$2:$D$50000,E3516)))</f>
        <v/>
      </c>
      <c r="AP3516" s="8" t="str">
        <f aca="false">IF(A3516="","",IF(AO3516="","欠損",IF(AO3516&lt;=1.1,"1.0～1.1",IF(AO3516&lt;1.3,"1.2",IF(AO3516&lt;1.5,"1.3～1.4",IF(AO3516&lt;2,"1.5～1.9","2.0以上"))))))</f>
        <v/>
      </c>
      <c r="AQ3516" s="8" t="str">
        <f aca="false">IF(A3516="","",IF(ISNUMBER(SEARCH("2歳",Z3516)),"2歳戦",IF(ISNUMBER(SEARCH("3歳未勝利",Z3516)),"3歳未勝利",IF(ISNUMBER(SEARCH("未勝利",Z3516)),"その他未勝利",IF(ISNUMBER(SEARCH("G1",Z3516)),"G1",IF(ISNUMBER(SEARCH("G2",Z3516)),"G2",IF(ISNUMBER(SEARCH("G3",Z3516)),"G3",IF(ISNUMBER(SEARCH("古馬条件",Z3516)),"古馬条件戦",IF(ISNUMBER(SEARCH("重賞",Z3516)),"重賞","分類不能")))))))))</f>
        <v/>
      </c>
    </row>
    <row r="3517" customFormat="false" ht="15.75" hidden="false" customHeight="false" outlineLevel="0" collapsed="false">
      <c r="AO3517" s="8" t="str">
        <f aca="false">IF(A3517="","",IF(COUNTIFS(全馬データ!$A$2:$A$50000,A3517,全馬データ!$B$2:$B$50000,B3517,全馬データ!$C$2:$C$50000,C3517,全馬データ!$D$2:$D$50000,E3517,全馬データ!$K$2:$K$50000,"&lt;&gt;")=0,"",SUMIFS(全馬データ!$K$2:$K$50000,全馬データ!$A$2:$A$50000,A3517,全馬データ!$B$2:$B$50000,B3517,全馬データ!$C$2:$C$50000,C3517,全馬データ!$D$2:$D$50000,E3517)))</f>
        <v/>
      </c>
      <c r="AP3517" s="8" t="str">
        <f aca="false">IF(A3517="","",IF(AO3517="","欠損",IF(AO3517&lt;=1.1,"1.0～1.1",IF(AO3517&lt;1.3,"1.2",IF(AO3517&lt;1.5,"1.3～1.4",IF(AO3517&lt;2,"1.5～1.9","2.0以上"))))))</f>
        <v/>
      </c>
      <c r="AQ3517" s="8" t="str">
        <f aca="false">IF(A3517="","",IF(ISNUMBER(SEARCH("2歳",Z3517)),"2歳戦",IF(ISNUMBER(SEARCH("3歳未勝利",Z3517)),"3歳未勝利",IF(ISNUMBER(SEARCH("未勝利",Z3517)),"その他未勝利",IF(ISNUMBER(SEARCH("G1",Z3517)),"G1",IF(ISNUMBER(SEARCH("G2",Z3517)),"G2",IF(ISNUMBER(SEARCH("G3",Z3517)),"G3",IF(ISNUMBER(SEARCH("古馬条件",Z3517)),"古馬条件戦",IF(ISNUMBER(SEARCH("重賞",Z3517)),"重賞","分類不能")))))))))</f>
        <v/>
      </c>
    </row>
    <row r="3518" customFormat="false" ht="15.75" hidden="false" customHeight="false" outlineLevel="0" collapsed="false">
      <c r="AO3518" s="8" t="str">
        <f aca="false">IF(A3518="","",IF(COUNTIFS(全馬データ!$A$2:$A$50000,A3518,全馬データ!$B$2:$B$50000,B3518,全馬データ!$C$2:$C$50000,C3518,全馬データ!$D$2:$D$50000,E3518,全馬データ!$K$2:$K$50000,"&lt;&gt;")=0,"",SUMIFS(全馬データ!$K$2:$K$50000,全馬データ!$A$2:$A$50000,A3518,全馬データ!$B$2:$B$50000,B3518,全馬データ!$C$2:$C$50000,C3518,全馬データ!$D$2:$D$50000,E3518)))</f>
        <v/>
      </c>
      <c r="AP3518" s="8" t="str">
        <f aca="false">IF(A3518="","",IF(AO3518="","欠損",IF(AO3518&lt;=1.1,"1.0～1.1",IF(AO3518&lt;1.3,"1.2",IF(AO3518&lt;1.5,"1.3～1.4",IF(AO3518&lt;2,"1.5～1.9","2.0以上"))))))</f>
        <v/>
      </c>
      <c r="AQ3518" s="8" t="str">
        <f aca="false">IF(A3518="","",IF(ISNUMBER(SEARCH("2歳",Z3518)),"2歳戦",IF(ISNUMBER(SEARCH("3歳未勝利",Z3518)),"3歳未勝利",IF(ISNUMBER(SEARCH("未勝利",Z3518)),"その他未勝利",IF(ISNUMBER(SEARCH("G1",Z3518)),"G1",IF(ISNUMBER(SEARCH("G2",Z3518)),"G2",IF(ISNUMBER(SEARCH("G3",Z3518)),"G3",IF(ISNUMBER(SEARCH("古馬条件",Z3518)),"古馬条件戦",IF(ISNUMBER(SEARCH("重賞",Z3518)),"重賞","分類不能")))))))))</f>
        <v/>
      </c>
    </row>
    <row r="3519" customFormat="false" ht="15.75" hidden="false" customHeight="false" outlineLevel="0" collapsed="false">
      <c r="AO3519" s="8" t="str">
        <f aca="false">IF(A3519="","",IF(COUNTIFS(全馬データ!$A$2:$A$50000,A3519,全馬データ!$B$2:$B$50000,B3519,全馬データ!$C$2:$C$50000,C3519,全馬データ!$D$2:$D$50000,E3519,全馬データ!$K$2:$K$50000,"&lt;&gt;")=0,"",SUMIFS(全馬データ!$K$2:$K$50000,全馬データ!$A$2:$A$50000,A3519,全馬データ!$B$2:$B$50000,B3519,全馬データ!$C$2:$C$50000,C3519,全馬データ!$D$2:$D$50000,E3519)))</f>
        <v/>
      </c>
      <c r="AP3519" s="8" t="str">
        <f aca="false">IF(A3519="","",IF(AO3519="","欠損",IF(AO3519&lt;=1.1,"1.0～1.1",IF(AO3519&lt;1.3,"1.2",IF(AO3519&lt;1.5,"1.3～1.4",IF(AO3519&lt;2,"1.5～1.9","2.0以上"))))))</f>
        <v/>
      </c>
      <c r="AQ3519" s="8" t="str">
        <f aca="false">IF(A3519="","",IF(ISNUMBER(SEARCH("2歳",Z3519)),"2歳戦",IF(ISNUMBER(SEARCH("3歳未勝利",Z3519)),"3歳未勝利",IF(ISNUMBER(SEARCH("未勝利",Z3519)),"その他未勝利",IF(ISNUMBER(SEARCH("G1",Z3519)),"G1",IF(ISNUMBER(SEARCH("G2",Z3519)),"G2",IF(ISNUMBER(SEARCH("G3",Z3519)),"G3",IF(ISNUMBER(SEARCH("古馬条件",Z3519)),"古馬条件戦",IF(ISNUMBER(SEARCH("重賞",Z3519)),"重賞","分類不能")))))))))</f>
        <v/>
      </c>
    </row>
    <row r="3520" customFormat="false" ht="15.75" hidden="false" customHeight="false" outlineLevel="0" collapsed="false">
      <c r="AO3520" s="8" t="str">
        <f aca="false">IF(A3520="","",IF(COUNTIFS(全馬データ!$A$2:$A$50000,A3520,全馬データ!$B$2:$B$50000,B3520,全馬データ!$C$2:$C$50000,C3520,全馬データ!$D$2:$D$50000,E3520,全馬データ!$K$2:$K$50000,"&lt;&gt;")=0,"",SUMIFS(全馬データ!$K$2:$K$50000,全馬データ!$A$2:$A$50000,A3520,全馬データ!$B$2:$B$50000,B3520,全馬データ!$C$2:$C$50000,C3520,全馬データ!$D$2:$D$50000,E3520)))</f>
        <v/>
      </c>
      <c r="AP3520" s="8" t="str">
        <f aca="false">IF(A3520="","",IF(AO3520="","欠損",IF(AO3520&lt;=1.1,"1.0～1.1",IF(AO3520&lt;1.3,"1.2",IF(AO3520&lt;1.5,"1.3～1.4",IF(AO3520&lt;2,"1.5～1.9","2.0以上"))))))</f>
        <v/>
      </c>
      <c r="AQ3520" s="8" t="str">
        <f aca="false">IF(A3520="","",IF(ISNUMBER(SEARCH("2歳",Z3520)),"2歳戦",IF(ISNUMBER(SEARCH("3歳未勝利",Z3520)),"3歳未勝利",IF(ISNUMBER(SEARCH("未勝利",Z3520)),"その他未勝利",IF(ISNUMBER(SEARCH("G1",Z3520)),"G1",IF(ISNUMBER(SEARCH("G2",Z3520)),"G2",IF(ISNUMBER(SEARCH("G3",Z3520)),"G3",IF(ISNUMBER(SEARCH("古馬条件",Z3520)),"古馬条件戦",IF(ISNUMBER(SEARCH("重賞",Z3520)),"重賞","分類不能")))))))))</f>
        <v/>
      </c>
    </row>
    <row r="3521" customFormat="false" ht="15.75" hidden="false" customHeight="false" outlineLevel="0" collapsed="false">
      <c r="AO3521" s="8" t="str">
        <f aca="false">IF(A3521="","",IF(COUNTIFS(全馬データ!$A$2:$A$50000,A3521,全馬データ!$B$2:$B$50000,B3521,全馬データ!$C$2:$C$50000,C3521,全馬データ!$D$2:$D$50000,E3521,全馬データ!$K$2:$K$50000,"&lt;&gt;")=0,"",SUMIFS(全馬データ!$K$2:$K$50000,全馬データ!$A$2:$A$50000,A3521,全馬データ!$B$2:$B$50000,B3521,全馬データ!$C$2:$C$50000,C3521,全馬データ!$D$2:$D$50000,E3521)))</f>
        <v/>
      </c>
      <c r="AP3521" s="8" t="str">
        <f aca="false">IF(A3521="","",IF(AO3521="","欠損",IF(AO3521&lt;=1.1,"1.0～1.1",IF(AO3521&lt;1.3,"1.2",IF(AO3521&lt;1.5,"1.3～1.4",IF(AO3521&lt;2,"1.5～1.9","2.0以上"))))))</f>
        <v/>
      </c>
      <c r="AQ3521" s="8" t="str">
        <f aca="false">IF(A3521="","",IF(ISNUMBER(SEARCH("2歳",Z3521)),"2歳戦",IF(ISNUMBER(SEARCH("3歳未勝利",Z3521)),"3歳未勝利",IF(ISNUMBER(SEARCH("未勝利",Z3521)),"その他未勝利",IF(ISNUMBER(SEARCH("G1",Z3521)),"G1",IF(ISNUMBER(SEARCH("G2",Z3521)),"G2",IF(ISNUMBER(SEARCH("G3",Z3521)),"G3",IF(ISNUMBER(SEARCH("古馬条件",Z3521)),"古馬条件戦",IF(ISNUMBER(SEARCH("重賞",Z3521)),"重賞","分類不能")))))))))</f>
        <v/>
      </c>
    </row>
    <row r="3522" customFormat="false" ht="15.75" hidden="false" customHeight="false" outlineLevel="0" collapsed="false">
      <c r="AO3522" s="8" t="str">
        <f aca="false">IF(A3522="","",IF(COUNTIFS(全馬データ!$A$2:$A$50000,A3522,全馬データ!$B$2:$B$50000,B3522,全馬データ!$C$2:$C$50000,C3522,全馬データ!$D$2:$D$50000,E3522,全馬データ!$K$2:$K$50000,"&lt;&gt;")=0,"",SUMIFS(全馬データ!$K$2:$K$50000,全馬データ!$A$2:$A$50000,A3522,全馬データ!$B$2:$B$50000,B3522,全馬データ!$C$2:$C$50000,C3522,全馬データ!$D$2:$D$50000,E3522)))</f>
        <v/>
      </c>
      <c r="AP3522" s="8" t="str">
        <f aca="false">IF(A3522="","",IF(AO3522="","欠損",IF(AO3522&lt;=1.1,"1.0～1.1",IF(AO3522&lt;1.3,"1.2",IF(AO3522&lt;1.5,"1.3～1.4",IF(AO3522&lt;2,"1.5～1.9","2.0以上"))))))</f>
        <v/>
      </c>
      <c r="AQ3522" s="8" t="str">
        <f aca="false">IF(A3522="","",IF(ISNUMBER(SEARCH("2歳",Z3522)),"2歳戦",IF(ISNUMBER(SEARCH("3歳未勝利",Z3522)),"3歳未勝利",IF(ISNUMBER(SEARCH("未勝利",Z3522)),"その他未勝利",IF(ISNUMBER(SEARCH("G1",Z3522)),"G1",IF(ISNUMBER(SEARCH("G2",Z3522)),"G2",IF(ISNUMBER(SEARCH("G3",Z3522)),"G3",IF(ISNUMBER(SEARCH("古馬条件",Z3522)),"古馬条件戦",IF(ISNUMBER(SEARCH("重賞",Z3522)),"重賞","分類不能")))))))))</f>
        <v/>
      </c>
    </row>
    <row r="3523" customFormat="false" ht="15.75" hidden="false" customHeight="false" outlineLevel="0" collapsed="false">
      <c r="AO3523" s="8" t="str">
        <f aca="false">IF(A3523="","",IF(COUNTIFS(全馬データ!$A$2:$A$50000,A3523,全馬データ!$B$2:$B$50000,B3523,全馬データ!$C$2:$C$50000,C3523,全馬データ!$D$2:$D$50000,E3523,全馬データ!$K$2:$K$50000,"&lt;&gt;")=0,"",SUMIFS(全馬データ!$K$2:$K$50000,全馬データ!$A$2:$A$50000,A3523,全馬データ!$B$2:$B$50000,B3523,全馬データ!$C$2:$C$50000,C3523,全馬データ!$D$2:$D$50000,E3523)))</f>
        <v/>
      </c>
      <c r="AP3523" s="8" t="str">
        <f aca="false">IF(A3523="","",IF(AO3523="","欠損",IF(AO3523&lt;=1.1,"1.0～1.1",IF(AO3523&lt;1.3,"1.2",IF(AO3523&lt;1.5,"1.3～1.4",IF(AO3523&lt;2,"1.5～1.9","2.0以上"))))))</f>
        <v/>
      </c>
      <c r="AQ3523" s="8" t="str">
        <f aca="false">IF(A3523="","",IF(ISNUMBER(SEARCH("2歳",Z3523)),"2歳戦",IF(ISNUMBER(SEARCH("3歳未勝利",Z3523)),"3歳未勝利",IF(ISNUMBER(SEARCH("未勝利",Z3523)),"その他未勝利",IF(ISNUMBER(SEARCH("G1",Z3523)),"G1",IF(ISNUMBER(SEARCH("G2",Z3523)),"G2",IF(ISNUMBER(SEARCH("G3",Z3523)),"G3",IF(ISNUMBER(SEARCH("古馬条件",Z3523)),"古馬条件戦",IF(ISNUMBER(SEARCH("重賞",Z3523)),"重賞","分類不能")))))))))</f>
        <v/>
      </c>
    </row>
    <row r="3524" customFormat="false" ht="15.75" hidden="false" customHeight="false" outlineLevel="0" collapsed="false">
      <c r="AO3524" s="8" t="str">
        <f aca="false">IF(A3524="","",IF(COUNTIFS(全馬データ!$A$2:$A$50000,A3524,全馬データ!$B$2:$B$50000,B3524,全馬データ!$C$2:$C$50000,C3524,全馬データ!$D$2:$D$50000,E3524,全馬データ!$K$2:$K$50000,"&lt;&gt;")=0,"",SUMIFS(全馬データ!$K$2:$K$50000,全馬データ!$A$2:$A$50000,A3524,全馬データ!$B$2:$B$50000,B3524,全馬データ!$C$2:$C$50000,C3524,全馬データ!$D$2:$D$50000,E3524)))</f>
        <v/>
      </c>
      <c r="AP3524" s="8" t="str">
        <f aca="false">IF(A3524="","",IF(AO3524="","欠損",IF(AO3524&lt;=1.1,"1.0～1.1",IF(AO3524&lt;1.3,"1.2",IF(AO3524&lt;1.5,"1.3～1.4",IF(AO3524&lt;2,"1.5～1.9","2.0以上"))))))</f>
        <v/>
      </c>
      <c r="AQ3524" s="8" t="str">
        <f aca="false">IF(A3524="","",IF(ISNUMBER(SEARCH("2歳",Z3524)),"2歳戦",IF(ISNUMBER(SEARCH("3歳未勝利",Z3524)),"3歳未勝利",IF(ISNUMBER(SEARCH("未勝利",Z3524)),"その他未勝利",IF(ISNUMBER(SEARCH("G1",Z3524)),"G1",IF(ISNUMBER(SEARCH("G2",Z3524)),"G2",IF(ISNUMBER(SEARCH("G3",Z3524)),"G3",IF(ISNUMBER(SEARCH("古馬条件",Z3524)),"古馬条件戦",IF(ISNUMBER(SEARCH("重賞",Z3524)),"重賞","分類不能")))))))))</f>
        <v/>
      </c>
    </row>
    <row r="3525" customFormat="false" ht="15.75" hidden="false" customHeight="false" outlineLevel="0" collapsed="false">
      <c r="AO3525" s="8" t="str">
        <f aca="false">IF(A3525="","",IF(COUNTIFS(全馬データ!$A$2:$A$50000,A3525,全馬データ!$B$2:$B$50000,B3525,全馬データ!$C$2:$C$50000,C3525,全馬データ!$D$2:$D$50000,E3525,全馬データ!$K$2:$K$50000,"&lt;&gt;")=0,"",SUMIFS(全馬データ!$K$2:$K$50000,全馬データ!$A$2:$A$50000,A3525,全馬データ!$B$2:$B$50000,B3525,全馬データ!$C$2:$C$50000,C3525,全馬データ!$D$2:$D$50000,E3525)))</f>
        <v/>
      </c>
      <c r="AP3525" s="8" t="str">
        <f aca="false">IF(A3525="","",IF(AO3525="","欠損",IF(AO3525&lt;=1.1,"1.0～1.1",IF(AO3525&lt;1.3,"1.2",IF(AO3525&lt;1.5,"1.3～1.4",IF(AO3525&lt;2,"1.5～1.9","2.0以上"))))))</f>
        <v/>
      </c>
      <c r="AQ3525" s="8" t="str">
        <f aca="false">IF(A3525="","",IF(ISNUMBER(SEARCH("2歳",Z3525)),"2歳戦",IF(ISNUMBER(SEARCH("3歳未勝利",Z3525)),"3歳未勝利",IF(ISNUMBER(SEARCH("未勝利",Z3525)),"その他未勝利",IF(ISNUMBER(SEARCH("G1",Z3525)),"G1",IF(ISNUMBER(SEARCH("G2",Z3525)),"G2",IF(ISNUMBER(SEARCH("G3",Z3525)),"G3",IF(ISNUMBER(SEARCH("古馬条件",Z3525)),"古馬条件戦",IF(ISNUMBER(SEARCH("重賞",Z3525)),"重賞","分類不能")))))))))</f>
        <v/>
      </c>
    </row>
    <row r="3526" customFormat="false" ht="15.75" hidden="false" customHeight="false" outlineLevel="0" collapsed="false">
      <c r="AO3526" s="8" t="str">
        <f aca="false">IF(A3526="","",IF(COUNTIFS(全馬データ!$A$2:$A$50000,A3526,全馬データ!$B$2:$B$50000,B3526,全馬データ!$C$2:$C$50000,C3526,全馬データ!$D$2:$D$50000,E3526,全馬データ!$K$2:$K$50000,"&lt;&gt;")=0,"",SUMIFS(全馬データ!$K$2:$K$50000,全馬データ!$A$2:$A$50000,A3526,全馬データ!$B$2:$B$50000,B3526,全馬データ!$C$2:$C$50000,C3526,全馬データ!$D$2:$D$50000,E3526)))</f>
        <v/>
      </c>
      <c r="AP3526" s="8" t="str">
        <f aca="false">IF(A3526="","",IF(AO3526="","欠損",IF(AO3526&lt;=1.1,"1.0～1.1",IF(AO3526&lt;1.3,"1.2",IF(AO3526&lt;1.5,"1.3～1.4",IF(AO3526&lt;2,"1.5～1.9","2.0以上"))))))</f>
        <v/>
      </c>
      <c r="AQ3526" s="8" t="str">
        <f aca="false">IF(A3526="","",IF(ISNUMBER(SEARCH("2歳",Z3526)),"2歳戦",IF(ISNUMBER(SEARCH("3歳未勝利",Z3526)),"3歳未勝利",IF(ISNUMBER(SEARCH("未勝利",Z3526)),"その他未勝利",IF(ISNUMBER(SEARCH("G1",Z3526)),"G1",IF(ISNUMBER(SEARCH("G2",Z3526)),"G2",IF(ISNUMBER(SEARCH("G3",Z3526)),"G3",IF(ISNUMBER(SEARCH("古馬条件",Z3526)),"古馬条件戦",IF(ISNUMBER(SEARCH("重賞",Z3526)),"重賞","分類不能")))))))))</f>
        <v/>
      </c>
    </row>
    <row r="3527" customFormat="false" ht="15.75" hidden="false" customHeight="false" outlineLevel="0" collapsed="false">
      <c r="AO3527" s="8" t="str">
        <f aca="false">IF(A3527="","",IF(COUNTIFS(全馬データ!$A$2:$A$50000,A3527,全馬データ!$B$2:$B$50000,B3527,全馬データ!$C$2:$C$50000,C3527,全馬データ!$D$2:$D$50000,E3527,全馬データ!$K$2:$K$50000,"&lt;&gt;")=0,"",SUMIFS(全馬データ!$K$2:$K$50000,全馬データ!$A$2:$A$50000,A3527,全馬データ!$B$2:$B$50000,B3527,全馬データ!$C$2:$C$50000,C3527,全馬データ!$D$2:$D$50000,E3527)))</f>
        <v/>
      </c>
      <c r="AP3527" s="8" t="str">
        <f aca="false">IF(A3527="","",IF(AO3527="","欠損",IF(AO3527&lt;=1.1,"1.0～1.1",IF(AO3527&lt;1.3,"1.2",IF(AO3527&lt;1.5,"1.3～1.4",IF(AO3527&lt;2,"1.5～1.9","2.0以上"))))))</f>
        <v/>
      </c>
      <c r="AQ3527" s="8" t="str">
        <f aca="false">IF(A3527="","",IF(ISNUMBER(SEARCH("2歳",Z3527)),"2歳戦",IF(ISNUMBER(SEARCH("3歳未勝利",Z3527)),"3歳未勝利",IF(ISNUMBER(SEARCH("未勝利",Z3527)),"その他未勝利",IF(ISNUMBER(SEARCH("G1",Z3527)),"G1",IF(ISNUMBER(SEARCH("G2",Z3527)),"G2",IF(ISNUMBER(SEARCH("G3",Z3527)),"G3",IF(ISNUMBER(SEARCH("古馬条件",Z3527)),"古馬条件戦",IF(ISNUMBER(SEARCH("重賞",Z3527)),"重賞","分類不能")))))))))</f>
        <v/>
      </c>
    </row>
    <row r="3528" customFormat="false" ht="15.75" hidden="false" customHeight="false" outlineLevel="0" collapsed="false">
      <c r="AO3528" s="8" t="str">
        <f aca="false">IF(A3528="","",IF(COUNTIFS(全馬データ!$A$2:$A$50000,A3528,全馬データ!$B$2:$B$50000,B3528,全馬データ!$C$2:$C$50000,C3528,全馬データ!$D$2:$D$50000,E3528,全馬データ!$K$2:$K$50000,"&lt;&gt;")=0,"",SUMIFS(全馬データ!$K$2:$K$50000,全馬データ!$A$2:$A$50000,A3528,全馬データ!$B$2:$B$50000,B3528,全馬データ!$C$2:$C$50000,C3528,全馬データ!$D$2:$D$50000,E3528)))</f>
        <v/>
      </c>
      <c r="AP3528" s="8" t="str">
        <f aca="false">IF(A3528="","",IF(AO3528="","欠損",IF(AO3528&lt;=1.1,"1.0～1.1",IF(AO3528&lt;1.3,"1.2",IF(AO3528&lt;1.5,"1.3～1.4",IF(AO3528&lt;2,"1.5～1.9","2.0以上"))))))</f>
        <v/>
      </c>
      <c r="AQ3528" s="8" t="str">
        <f aca="false">IF(A3528="","",IF(ISNUMBER(SEARCH("2歳",Z3528)),"2歳戦",IF(ISNUMBER(SEARCH("3歳未勝利",Z3528)),"3歳未勝利",IF(ISNUMBER(SEARCH("未勝利",Z3528)),"その他未勝利",IF(ISNUMBER(SEARCH("G1",Z3528)),"G1",IF(ISNUMBER(SEARCH("G2",Z3528)),"G2",IF(ISNUMBER(SEARCH("G3",Z3528)),"G3",IF(ISNUMBER(SEARCH("古馬条件",Z3528)),"古馬条件戦",IF(ISNUMBER(SEARCH("重賞",Z3528)),"重賞","分類不能")))))))))</f>
        <v/>
      </c>
    </row>
    <row r="3529" customFormat="false" ht="15.75" hidden="false" customHeight="false" outlineLevel="0" collapsed="false">
      <c r="AO3529" s="8" t="str">
        <f aca="false">IF(A3529="","",IF(COUNTIFS(全馬データ!$A$2:$A$50000,A3529,全馬データ!$B$2:$B$50000,B3529,全馬データ!$C$2:$C$50000,C3529,全馬データ!$D$2:$D$50000,E3529,全馬データ!$K$2:$K$50000,"&lt;&gt;")=0,"",SUMIFS(全馬データ!$K$2:$K$50000,全馬データ!$A$2:$A$50000,A3529,全馬データ!$B$2:$B$50000,B3529,全馬データ!$C$2:$C$50000,C3529,全馬データ!$D$2:$D$50000,E3529)))</f>
        <v/>
      </c>
      <c r="AP3529" s="8" t="str">
        <f aca="false">IF(A3529="","",IF(AO3529="","欠損",IF(AO3529&lt;=1.1,"1.0～1.1",IF(AO3529&lt;1.3,"1.2",IF(AO3529&lt;1.5,"1.3～1.4",IF(AO3529&lt;2,"1.5～1.9","2.0以上"))))))</f>
        <v/>
      </c>
      <c r="AQ3529" s="8" t="str">
        <f aca="false">IF(A3529="","",IF(ISNUMBER(SEARCH("2歳",Z3529)),"2歳戦",IF(ISNUMBER(SEARCH("3歳未勝利",Z3529)),"3歳未勝利",IF(ISNUMBER(SEARCH("未勝利",Z3529)),"その他未勝利",IF(ISNUMBER(SEARCH("G1",Z3529)),"G1",IF(ISNUMBER(SEARCH("G2",Z3529)),"G2",IF(ISNUMBER(SEARCH("G3",Z3529)),"G3",IF(ISNUMBER(SEARCH("古馬条件",Z3529)),"古馬条件戦",IF(ISNUMBER(SEARCH("重賞",Z3529)),"重賞","分類不能")))))))))</f>
        <v/>
      </c>
    </row>
    <row r="3530" customFormat="false" ht="15.75" hidden="false" customHeight="false" outlineLevel="0" collapsed="false">
      <c r="AO3530" s="8" t="str">
        <f aca="false">IF(A3530="","",IF(COUNTIFS(全馬データ!$A$2:$A$50000,A3530,全馬データ!$B$2:$B$50000,B3530,全馬データ!$C$2:$C$50000,C3530,全馬データ!$D$2:$D$50000,E3530,全馬データ!$K$2:$K$50000,"&lt;&gt;")=0,"",SUMIFS(全馬データ!$K$2:$K$50000,全馬データ!$A$2:$A$50000,A3530,全馬データ!$B$2:$B$50000,B3530,全馬データ!$C$2:$C$50000,C3530,全馬データ!$D$2:$D$50000,E3530)))</f>
        <v/>
      </c>
      <c r="AP3530" s="8" t="str">
        <f aca="false">IF(A3530="","",IF(AO3530="","欠損",IF(AO3530&lt;=1.1,"1.0～1.1",IF(AO3530&lt;1.3,"1.2",IF(AO3530&lt;1.5,"1.3～1.4",IF(AO3530&lt;2,"1.5～1.9","2.0以上"))))))</f>
        <v/>
      </c>
      <c r="AQ3530" s="8" t="str">
        <f aca="false">IF(A3530="","",IF(ISNUMBER(SEARCH("2歳",Z3530)),"2歳戦",IF(ISNUMBER(SEARCH("3歳未勝利",Z3530)),"3歳未勝利",IF(ISNUMBER(SEARCH("未勝利",Z3530)),"その他未勝利",IF(ISNUMBER(SEARCH("G1",Z3530)),"G1",IF(ISNUMBER(SEARCH("G2",Z3530)),"G2",IF(ISNUMBER(SEARCH("G3",Z3530)),"G3",IF(ISNUMBER(SEARCH("古馬条件",Z3530)),"古馬条件戦",IF(ISNUMBER(SEARCH("重賞",Z3530)),"重賞","分類不能")))))))))</f>
        <v/>
      </c>
    </row>
    <row r="3531" customFormat="false" ht="15.75" hidden="false" customHeight="false" outlineLevel="0" collapsed="false">
      <c r="AO3531" s="8" t="str">
        <f aca="false">IF(A3531="","",IF(COUNTIFS(全馬データ!$A$2:$A$50000,A3531,全馬データ!$B$2:$B$50000,B3531,全馬データ!$C$2:$C$50000,C3531,全馬データ!$D$2:$D$50000,E3531,全馬データ!$K$2:$K$50000,"&lt;&gt;")=0,"",SUMIFS(全馬データ!$K$2:$K$50000,全馬データ!$A$2:$A$50000,A3531,全馬データ!$B$2:$B$50000,B3531,全馬データ!$C$2:$C$50000,C3531,全馬データ!$D$2:$D$50000,E3531)))</f>
        <v/>
      </c>
      <c r="AP3531" s="8" t="str">
        <f aca="false">IF(A3531="","",IF(AO3531="","欠損",IF(AO3531&lt;=1.1,"1.0～1.1",IF(AO3531&lt;1.3,"1.2",IF(AO3531&lt;1.5,"1.3～1.4",IF(AO3531&lt;2,"1.5～1.9","2.0以上"))))))</f>
        <v/>
      </c>
      <c r="AQ3531" s="8" t="str">
        <f aca="false">IF(A3531="","",IF(ISNUMBER(SEARCH("2歳",Z3531)),"2歳戦",IF(ISNUMBER(SEARCH("3歳未勝利",Z3531)),"3歳未勝利",IF(ISNUMBER(SEARCH("未勝利",Z3531)),"その他未勝利",IF(ISNUMBER(SEARCH("G1",Z3531)),"G1",IF(ISNUMBER(SEARCH("G2",Z3531)),"G2",IF(ISNUMBER(SEARCH("G3",Z3531)),"G3",IF(ISNUMBER(SEARCH("古馬条件",Z3531)),"古馬条件戦",IF(ISNUMBER(SEARCH("重賞",Z3531)),"重賞","分類不能")))))))))</f>
        <v/>
      </c>
    </row>
    <row r="3532" customFormat="false" ht="15.75" hidden="false" customHeight="false" outlineLevel="0" collapsed="false">
      <c r="AO3532" s="8" t="str">
        <f aca="false">IF(A3532="","",IF(COUNTIFS(全馬データ!$A$2:$A$50000,A3532,全馬データ!$B$2:$B$50000,B3532,全馬データ!$C$2:$C$50000,C3532,全馬データ!$D$2:$D$50000,E3532,全馬データ!$K$2:$K$50000,"&lt;&gt;")=0,"",SUMIFS(全馬データ!$K$2:$K$50000,全馬データ!$A$2:$A$50000,A3532,全馬データ!$B$2:$B$50000,B3532,全馬データ!$C$2:$C$50000,C3532,全馬データ!$D$2:$D$50000,E3532)))</f>
        <v/>
      </c>
      <c r="AP3532" s="8" t="str">
        <f aca="false">IF(A3532="","",IF(AO3532="","欠損",IF(AO3532&lt;=1.1,"1.0～1.1",IF(AO3532&lt;1.3,"1.2",IF(AO3532&lt;1.5,"1.3～1.4",IF(AO3532&lt;2,"1.5～1.9","2.0以上"))))))</f>
        <v/>
      </c>
      <c r="AQ3532" s="8" t="str">
        <f aca="false">IF(A3532="","",IF(ISNUMBER(SEARCH("2歳",Z3532)),"2歳戦",IF(ISNUMBER(SEARCH("3歳未勝利",Z3532)),"3歳未勝利",IF(ISNUMBER(SEARCH("未勝利",Z3532)),"その他未勝利",IF(ISNUMBER(SEARCH("G1",Z3532)),"G1",IF(ISNUMBER(SEARCH("G2",Z3532)),"G2",IF(ISNUMBER(SEARCH("G3",Z3532)),"G3",IF(ISNUMBER(SEARCH("古馬条件",Z3532)),"古馬条件戦",IF(ISNUMBER(SEARCH("重賞",Z3532)),"重賞","分類不能")))))))))</f>
        <v/>
      </c>
    </row>
    <row r="3533" customFormat="false" ht="15.75" hidden="false" customHeight="false" outlineLevel="0" collapsed="false">
      <c r="AO3533" s="8" t="str">
        <f aca="false">IF(A3533="","",IF(COUNTIFS(全馬データ!$A$2:$A$50000,A3533,全馬データ!$B$2:$B$50000,B3533,全馬データ!$C$2:$C$50000,C3533,全馬データ!$D$2:$D$50000,E3533,全馬データ!$K$2:$K$50000,"&lt;&gt;")=0,"",SUMIFS(全馬データ!$K$2:$K$50000,全馬データ!$A$2:$A$50000,A3533,全馬データ!$B$2:$B$50000,B3533,全馬データ!$C$2:$C$50000,C3533,全馬データ!$D$2:$D$50000,E3533)))</f>
        <v/>
      </c>
      <c r="AP3533" s="8" t="str">
        <f aca="false">IF(A3533="","",IF(AO3533="","欠損",IF(AO3533&lt;=1.1,"1.0～1.1",IF(AO3533&lt;1.3,"1.2",IF(AO3533&lt;1.5,"1.3～1.4",IF(AO3533&lt;2,"1.5～1.9","2.0以上"))))))</f>
        <v/>
      </c>
      <c r="AQ3533" s="8" t="str">
        <f aca="false">IF(A3533="","",IF(ISNUMBER(SEARCH("2歳",Z3533)),"2歳戦",IF(ISNUMBER(SEARCH("3歳未勝利",Z3533)),"3歳未勝利",IF(ISNUMBER(SEARCH("未勝利",Z3533)),"その他未勝利",IF(ISNUMBER(SEARCH("G1",Z3533)),"G1",IF(ISNUMBER(SEARCH("G2",Z3533)),"G2",IF(ISNUMBER(SEARCH("G3",Z3533)),"G3",IF(ISNUMBER(SEARCH("古馬条件",Z3533)),"古馬条件戦",IF(ISNUMBER(SEARCH("重賞",Z3533)),"重賞","分類不能")))))))))</f>
        <v/>
      </c>
    </row>
    <row r="3534" customFormat="false" ht="15.75" hidden="false" customHeight="false" outlineLevel="0" collapsed="false">
      <c r="AO3534" s="8" t="str">
        <f aca="false">IF(A3534="","",IF(COUNTIFS(全馬データ!$A$2:$A$50000,A3534,全馬データ!$B$2:$B$50000,B3534,全馬データ!$C$2:$C$50000,C3534,全馬データ!$D$2:$D$50000,E3534,全馬データ!$K$2:$K$50000,"&lt;&gt;")=0,"",SUMIFS(全馬データ!$K$2:$K$50000,全馬データ!$A$2:$A$50000,A3534,全馬データ!$B$2:$B$50000,B3534,全馬データ!$C$2:$C$50000,C3534,全馬データ!$D$2:$D$50000,E3534)))</f>
        <v/>
      </c>
      <c r="AP3534" s="8" t="str">
        <f aca="false">IF(A3534="","",IF(AO3534="","欠損",IF(AO3534&lt;=1.1,"1.0～1.1",IF(AO3534&lt;1.3,"1.2",IF(AO3534&lt;1.5,"1.3～1.4",IF(AO3534&lt;2,"1.5～1.9","2.0以上"))))))</f>
        <v/>
      </c>
      <c r="AQ3534" s="8" t="str">
        <f aca="false">IF(A3534="","",IF(ISNUMBER(SEARCH("2歳",Z3534)),"2歳戦",IF(ISNUMBER(SEARCH("3歳未勝利",Z3534)),"3歳未勝利",IF(ISNUMBER(SEARCH("未勝利",Z3534)),"その他未勝利",IF(ISNUMBER(SEARCH("G1",Z3534)),"G1",IF(ISNUMBER(SEARCH("G2",Z3534)),"G2",IF(ISNUMBER(SEARCH("G3",Z3534)),"G3",IF(ISNUMBER(SEARCH("古馬条件",Z3534)),"古馬条件戦",IF(ISNUMBER(SEARCH("重賞",Z3534)),"重賞","分類不能")))))))))</f>
        <v/>
      </c>
    </row>
    <row r="3535" customFormat="false" ht="15.75" hidden="false" customHeight="false" outlineLevel="0" collapsed="false">
      <c r="AO3535" s="8" t="str">
        <f aca="false">IF(A3535="","",IF(COUNTIFS(全馬データ!$A$2:$A$50000,A3535,全馬データ!$B$2:$B$50000,B3535,全馬データ!$C$2:$C$50000,C3535,全馬データ!$D$2:$D$50000,E3535,全馬データ!$K$2:$K$50000,"&lt;&gt;")=0,"",SUMIFS(全馬データ!$K$2:$K$50000,全馬データ!$A$2:$A$50000,A3535,全馬データ!$B$2:$B$50000,B3535,全馬データ!$C$2:$C$50000,C3535,全馬データ!$D$2:$D$50000,E3535)))</f>
        <v/>
      </c>
      <c r="AP3535" s="8" t="str">
        <f aca="false">IF(A3535="","",IF(AO3535="","欠損",IF(AO3535&lt;=1.1,"1.0～1.1",IF(AO3535&lt;1.3,"1.2",IF(AO3535&lt;1.5,"1.3～1.4",IF(AO3535&lt;2,"1.5～1.9","2.0以上"))))))</f>
        <v/>
      </c>
      <c r="AQ3535" s="8" t="str">
        <f aca="false">IF(A3535="","",IF(ISNUMBER(SEARCH("2歳",Z3535)),"2歳戦",IF(ISNUMBER(SEARCH("3歳未勝利",Z3535)),"3歳未勝利",IF(ISNUMBER(SEARCH("未勝利",Z3535)),"その他未勝利",IF(ISNUMBER(SEARCH("G1",Z3535)),"G1",IF(ISNUMBER(SEARCH("G2",Z3535)),"G2",IF(ISNUMBER(SEARCH("G3",Z3535)),"G3",IF(ISNUMBER(SEARCH("古馬条件",Z3535)),"古馬条件戦",IF(ISNUMBER(SEARCH("重賞",Z3535)),"重賞","分類不能")))))))))</f>
        <v/>
      </c>
    </row>
    <row r="3536" customFormat="false" ht="15.75" hidden="false" customHeight="false" outlineLevel="0" collapsed="false">
      <c r="AO3536" s="8" t="str">
        <f aca="false">IF(A3536="","",IF(COUNTIFS(全馬データ!$A$2:$A$50000,A3536,全馬データ!$B$2:$B$50000,B3536,全馬データ!$C$2:$C$50000,C3536,全馬データ!$D$2:$D$50000,E3536,全馬データ!$K$2:$K$50000,"&lt;&gt;")=0,"",SUMIFS(全馬データ!$K$2:$K$50000,全馬データ!$A$2:$A$50000,A3536,全馬データ!$B$2:$B$50000,B3536,全馬データ!$C$2:$C$50000,C3536,全馬データ!$D$2:$D$50000,E3536)))</f>
        <v/>
      </c>
      <c r="AP3536" s="8" t="str">
        <f aca="false">IF(A3536="","",IF(AO3536="","欠損",IF(AO3536&lt;=1.1,"1.0～1.1",IF(AO3536&lt;1.3,"1.2",IF(AO3536&lt;1.5,"1.3～1.4",IF(AO3536&lt;2,"1.5～1.9","2.0以上"))))))</f>
        <v/>
      </c>
      <c r="AQ3536" s="8" t="str">
        <f aca="false">IF(A3536="","",IF(ISNUMBER(SEARCH("2歳",Z3536)),"2歳戦",IF(ISNUMBER(SEARCH("3歳未勝利",Z3536)),"3歳未勝利",IF(ISNUMBER(SEARCH("未勝利",Z3536)),"その他未勝利",IF(ISNUMBER(SEARCH("G1",Z3536)),"G1",IF(ISNUMBER(SEARCH("G2",Z3536)),"G2",IF(ISNUMBER(SEARCH("G3",Z3536)),"G3",IF(ISNUMBER(SEARCH("古馬条件",Z3536)),"古馬条件戦",IF(ISNUMBER(SEARCH("重賞",Z3536)),"重賞","分類不能")))))))))</f>
        <v/>
      </c>
    </row>
    <row r="3537" customFormat="false" ht="15.75" hidden="false" customHeight="false" outlineLevel="0" collapsed="false">
      <c r="AO3537" s="8" t="str">
        <f aca="false">IF(A3537="","",IF(COUNTIFS(全馬データ!$A$2:$A$50000,A3537,全馬データ!$B$2:$B$50000,B3537,全馬データ!$C$2:$C$50000,C3537,全馬データ!$D$2:$D$50000,E3537,全馬データ!$K$2:$K$50000,"&lt;&gt;")=0,"",SUMIFS(全馬データ!$K$2:$K$50000,全馬データ!$A$2:$A$50000,A3537,全馬データ!$B$2:$B$50000,B3537,全馬データ!$C$2:$C$50000,C3537,全馬データ!$D$2:$D$50000,E3537)))</f>
        <v/>
      </c>
      <c r="AP3537" s="8" t="str">
        <f aca="false">IF(A3537="","",IF(AO3537="","欠損",IF(AO3537&lt;=1.1,"1.0～1.1",IF(AO3537&lt;1.3,"1.2",IF(AO3537&lt;1.5,"1.3～1.4",IF(AO3537&lt;2,"1.5～1.9","2.0以上"))))))</f>
        <v/>
      </c>
      <c r="AQ3537" s="8" t="str">
        <f aca="false">IF(A3537="","",IF(ISNUMBER(SEARCH("2歳",Z3537)),"2歳戦",IF(ISNUMBER(SEARCH("3歳未勝利",Z3537)),"3歳未勝利",IF(ISNUMBER(SEARCH("未勝利",Z3537)),"その他未勝利",IF(ISNUMBER(SEARCH("G1",Z3537)),"G1",IF(ISNUMBER(SEARCH("G2",Z3537)),"G2",IF(ISNUMBER(SEARCH("G3",Z3537)),"G3",IF(ISNUMBER(SEARCH("古馬条件",Z3537)),"古馬条件戦",IF(ISNUMBER(SEARCH("重賞",Z3537)),"重賞","分類不能")))))))))</f>
        <v/>
      </c>
    </row>
    <row r="3538" customFormat="false" ht="15.75" hidden="false" customHeight="false" outlineLevel="0" collapsed="false">
      <c r="AO3538" s="8" t="str">
        <f aca="false">IF(A3538="","",IF(COUNTIFS(全馬データ!$A$2:$A$50000,A3538,全馬データ!$B$2:$B$50000,B3538,全馬データ!$C$2:$C$50000,C3538,全馬データ!$D$2:$D$50000,E3538,全馬データ!$K$2:$K$50000,"&lt;&gt;")=0,"",SUMIFS(全馬データ!$K$2:$K$50000,全馬データ!$A$2:$A$50000,A3538,全馬データ!$B$2:$B$50000,B3538,全馬データ!$C$2:$C$50000,C3538,全馬データ!$D$2:$D$50000,E3538)))</f>
        <v/>
      </c>
      <c r="AP3538" s="8" t="str">
        <f aca="false">IF(A3538="","",IF(AO3538="","欠損",IF(AO3538&lt;=1.1,"1.0～1.1",IF(AO3538&lt;1.3,"1.2",IF(AO3538&lt;1.5,"1.3～1.4",IF(AO3538&lt;2,"1.5～1.9","2.0以上"))))))</f>
        <v/>
      </c>
      <c r="AQ3538" s="8" t="str">
        <f aca="false">IF(A3538="","",IF(ISNUMBER(SEARCH("2歳",Z3538)),"2歳戦",IF(ISNUMBER(SEARCH("3歳未勝利",Z3538)),"3歳未勝利",IF(ISNUMBER(SEARCH("未勝利",Z3538)),"その他未勝利",IF(ISNUMBER(SEARCH("G1",Z3538)),"G1",IF(ISNUMBER(SEARCH("G2",Z3538)),"G2",IF(ISNUMBER(SEARCH("G3",Z3538)),"G3",IF(ISNUMBER(SEARCH("古馬条件",Z3538)),"古馬条件戦",IF(ISNUMBER(SEARCH("重賞",Z3538)),"重賞","分類不能")))))))))</f>
        <v/>
      </c>
    </row>
    <row r="3539" customFormat="false" ht="15.75" hidden="false" customHeight="false" outlineLevel="0" collapsed="false">
      <c r="AO3539" s="8" t="str">
        <f aca="false">IF(A3539="","",IF(COUNTIFS(全馬データ!$A$2:$A$50000,A3539,全馬データ!$B$2:$B$50000,B3539,全馬データ!$C$2:$C$50000,C3539,全馬データ!$D$2:$D$50000,E3539,全馬データ!$K$2:$K$50000,"&lt;&gt;")=0,"",SUMIFS(全馬データ!$K$2:$K$50000,全馬データ!$A$2:$A$50000,A3539,全馬データ!$B$2:$B$50000,B3539,全馬データ!$C$2:$C$50000,C3539,全馬データ!$D$2:$D$50000,E3539)))</f>
        <v/>
      </c>
      <c r="AP3539" s="8" t="str">
        <f aca="false">IF(A3539="","",IF(AO3539="","欠損",IF(AO3539&lt;=1.1,"1.0～1.1",IF(AO3539&lt;1.3,"1.2",IF(AO3539&lt;1.5,"1.3～1.4",IF(AO3539&lt;2,"1.5～1.9","2.0以上"))))))</f>
        <v/>
      </c>
      <c r="AQ3539" s="8" t="str">
        <f aca="false">IF(A3539="","",IF(ISNUMBER(SEARCH("2歳",Z3539)),"2歳戦",IF(ISNUMBER(SEARCH("3歳未勝利",Z3539)),"3歳未勝利",IF(ISNUMBER(SEARCH("未勝利",Z3539)),"その他未勝利",IF(ISNUMBER(SEARCH("G1",Z3539)),"G1",IF(ISNUMBER(SEARCH("G2",Z3539)),"G2",IF(ISNUMBER(SEARCH("G3",Z3539)),"G3",IF(ISNUMBER(SEARCH("古馬条件",Z3539)),"古馬条件戦",IF(ISNUMBER(SEARCH("重賞",Z3539)),"重賞","分類不能")))))))))</f>
        <v/>
      </c>
    </row>
    <row r="3540" customFormat="false" ht="15.75" hidden="false" customHeight="false" outlineLevel="0" collapsed="false">
      <c r="AO3540" s="8" t="str">
        <f aca="false">IF(A3540="","",IF(COUNTIFS(全馬データ!$A$2:$A$50000,A3540,全馬データ!$B$2:$B$50000,B3540,全馬データ!$C$2:$C$50000,C3540,全馬データ!$D$2:$D$50000,E3540,全馬データ!$K$2:$K$50000,"&lt;&gt;")=0,"",SUMIFS(全馬データ!$K$2:$K$50000,全馬データ!$A$2:$A$50000,A3540,全馬データ!$B$2:$B$50000,B3540,全馬データ!$C$2:$C$50000,C3540,全馬データ!$D$2:$D$50000,E3540)))</f>
        <v/>
      </c>
      <c r="AP3540" s="8" t="str">
        <f aca="false">IF(A3540="","",IF(AO3540="","欠損",IF(AO3540&lt;=1.1,"1.0～1.1",IF(AO3540&lt;1.3,"1.2",IF(AO3540&lt;1.5,"1.3～1.4",IF(AO3540&lt;2,"1.5～1.9","2.0以上"))))))</f>
        <v/>
      </c>
      <c r="AQ3540" s="8" t="str">
        <f aca="false">IF(A3540="","",IF(ISNUMBER(SEARCH("2歳",Z3540)),"2歳戦",IF(ISNUMBER(SEARCH("3歳未勝利",Z3540)),"3歳未勝利",IF(ISNUMBER(SEARCH("未勝利",Z3540)),"その他未勝利",IF(ISNUMBER(SEARCH("G1",Z3540)),"G1",IF(ISNUMBER(SEARCH("G2",Z3540)),"G2",IF(ISNUMBER(SEARCH("G3",Z3540)),"G3",IF(ISNUMBER(SEARCH("古馬条件",Z3540)),"古馬条件戦",IF(ISNUMBER(SEARCH("重賞",Z3540)),"重賞","分類不能")))))))))</f>
        <v/>
      </c>
    </row>
    <row r="3541" customFormat="false" ht="15.75" hidden="false" customHeight="false" outlineLevel="0" collapsed="false">
      <c r="AO3541" s="8" t="str">
        <f aca="false">IF(A3541="","",IF(COUNTIFS(全馬データ!$A$2:$A$50000,A3541,全馬データ!$B$2:$B$50000,B3541,全馬データ!$C$2:$C$50000,C3541,全馬データ!$D$2:$D$50000,E3541,全馬データ!$K$2:$K$50000,"&lt;&gt;")=0,"",SUMIFS(全馬データ!$K$2:$K$50000,全馬データ!$A$2:$A$50000,A3541,全馬データ!$B$2:$B$50000,B3541,全馬データ!$C$2:$C$50000,C3541,全馬データ!$D$2:$D$50000,E3541)))</f>
        <v/>
      </c>
      <c r="AP3541" s="8" t="str">
        <f aca="false">IF(A3541="","",IF(AO3541="","欠損",IF(AO3541&lt;=1.1,"1.0～1.1",IF(AO3541&lt;1.3,"1.2",IF(AO3541&lt;1.5,"1.3～1.4",IF(AO3541&lt;2,"1.5～1.9","2.0以上"))))))</f>
        <v/>
      </c>
      <c r="AQ3541" s="8" t="str">
        <f aca="false">IF(A3541="","",IF(ISNUMBER(SEARCH("2歳",Z3541)),"2歳戦",IF(ISNUMBER(SEARCH("3歳未勝利",Z3541)),"3歳未勝利",IF(ISNUMBER(SEARCH("未勝利",Z3541)),"その他未勝利",IF(ISNUMBER(SEARCH("G1",Z3541)),"G1",IF(ISNUMBER(SEARCH("G2",Z3541)),"G2",IF(ISNUMBER(SEARCH("G3",Z3541)),"G3",IF(ISNUMBER(SEARCH("古馬条件",Z3541)),"古馬条件戦",IF(ISNUMBER(SEARCH("重賞",Z3541)),"重賞","分類不能")))))))))</f>
        <v/>
      </c>
    </row>
    <row r="3542" customFormat="false" ht="15.75" hidden="false" customHeight="false" outlineLevel="0" collapsed="false">
      <c r="AO3542" s="8" t="str">
        <f aca="false">IF(A3542="","",IF(COUNTIFS(全馬データ!$A$2:$A$50000,A3542,全馬データ!$B$2:$B$50000,B3542,全馬データ!$C$2:$C$50000,C3542,全馬データ!$D$2:$D$50000,E3542,全馬データ!$K$2:$K$50000,"&lt;&gt;")=0,"",SUMIFS(全馬データ!$K$2:$K$50000,全馬データ!$A$2:$A$50000,A3542,全馬データ!$B$2:$B$50000,B3542,全馬データ!$C$2:$C$50000,C3542,全馬データ!$D$2:$D$50000,E3542)))</f>
        <v/>
      </c>
      <c r="AP3542" s="8" t="str">
        <f aca="false">IF(A3542="","",IF(AO3542="","欠損",IF(AO3542&lt;=1.1,"1.0～1.1",IF(AO3542&lt;1.3,"1.2",IF(AO3542&lt;1.5,"1.3～1.4",IF(AO3542&lt;2,"1.5～1.9","2.0以上"))))))</f>
        <v/>
      </c>
      <c r="AQ3542" s="8" t="str">
        <f aca="false">IF(A3542="","",IF(ISNUMBER(SEARCH("2歳",Z3542)),"2歳戦",IF(ISNUMBER(SEARCH("3歳未勝利",Z3542)),"3歳未勝利",IF(ISNUMBER(SEARCH("未勝利",Z3542)),"その他未勝利",IF(ISNUMBER(SEARCH("G1",Z3542)),"G1",IF(ISNUMBER(SEARCH("G2",Z3542)),"G2",IF(ISNUMBER(SEARCH("G3",Z3542)),"G3",IF(ISNUMBER(SEARCH("古馬条件",Z3542)),"古馬条件戦",IF(ISNUMBER(SEARCH("重賞",Z3542)),"重賞","分類不能")))))))))</f>
        <v/>
      </c>
    </row>
    <row r="3543" customFormat="false" ht="15.75" hidden="false" customHeight="false" outlineLevel="0" collapsed="false">
      <c r="AO3543" s="8" t="str">
        <f aca="false">IF(A3543="","",IF(COUNTIFS(全馬データ!$A$2:$A$50000,A3543,全馬データ!$B$2:$B$50000,B3543,全馬データ!$C$2:$C$50000,C3543,全馬データ!$D$2:$D$50000,E3543,全馬データ!$K$2:$K$50000,"&lt;&gt;")=0,"",SUMIFS(全馬データ!$K$2:$K$50000,全馬データ!$A$2:$A$50000,A3543,全馬データ!$B$2:$B$50000,B3543,全馬データ!$C$2:$C$50000,C3543,全馬データ!$D$2:$D$50000,E3543)))</f>
        <v/>
      </c>
      <c r="AP3543" s="8" t="str">
        <f aca="false">IF(A3543="","",IF(AO3543="","欠損",IF(AO3543&lt;=1.1,"1.0～1.1",IF(AO3543&lt;1.3,"1.2",IF(AO3543&lt;1.5,"1.3～1.4",IF(AO3543&lt;2,"1.5～1.9","2.0以上"))))))</f>
        <v/>
      </c>
      <c r="AQ3543" s="8" t="str">
        <f aca="false">IF(A3543="","",IF(ISNUMBER(SEARCH("2歳",Z3543)),"2歳戦",IF(ISNUMBER(SEARCH("3歳未勝利",Z3543)),"3歳未勝利",IF(ISNUMBER(SEARCH("未勝利",Z3543)),"その他未勝利",IF(ISNUMBER(SEARCH("G1",Z3543)),"G1",IF(ISNUMBER(SEARCH("G2",Z3543)),"G2",IF(ISNUMBER(SEARCH("G3",Z3543)),"G3",IF(ISNUMBER(SEARCH("古馬条件",Z3543)),"古馬条件戦",IF(ISNUMBER(SEARCH("重賞",Z3543)),"重賞","分類不能")))))))))</f>
        <v/>
      </c>
    </row>
    <row r="3544" customFormat="false" ht="15.75" hidden="false" customHeight="false" outlineLevel="0" collapsed="false">
      <c r="AO3544" s="8" t="str">
        <f aca="false">IF(A3544="","",IF(COUNTIFS(全馬データ!$A$2:$A$50000,A3544,全馬データ!$B$2:$B$50000,B3544,全馬データ!$C$2:$C$50000,C3544,全馬データ!$D$2:$D$50000,E3544,全馬データ!$K$2:$K$50000,"&lt;&gt;")=0,"",SUMIFS(全馬データ!$K$2:$K$50000,全馬データ!$A$2:$A$50000,A3544,全馬データ!$B$2:$B$50000,B3544,全馬データ!$C$2:$C$50000,C3544,全馬データ!$D$2:$D$50000,E3544)))</f>
        <v/>
      </c>
      <c r="AP3544" s="8" t="str">
        <f aca="false">IF(A3544="","",IF(AO3544="","欠損",IF(AO3544&lt;=1.1,"1.0～1.1",IF(AO3544&lt;1.3,"1.2",IF(AO3544&lt;1.5,"1.3～1.4",IF(AO3544&lt;2,"1.5～1.9","2.0以上"))))))</f>
        <v/>
      </c>
      <c r="AQ3544" s="8" t="str">
        <f aca="false">IF(A3544="","",IF(ISNUMBER(SEARCH("2歳",Z3544)),"2歳戦",IF(ISNUMBER(SEARCH("3歳未勝利",Z3544)),"3歳未勝利",IF(ISNUMBER(SEARCH("未勝利",Z3544)),"その他未勝利",IF(ISNUMBER(SEARCH("G1",Z3544)),"G1",IF(ISNUMBER(SEARCH("G2",Z3544)),"G2",IF(ISNUMBER(SEARCH("G3",Z3544)),"G3",IF(ISNUMBER(SEARCH("古馬条件",Z3544)),"古馬条件戦",IF(ISNUMBER(SEARCH("重賞",Z3544)),"重賞","分類不能")))))))))</f>
        <v/>
      </c>
    </row>
    <row r="3545" customFormat="false" ht="15.75" hidden="false" customHeight="false" outlineLevel="0" collapsed="false">
      <c r="AO3545" s="8" t="str">
        <f aca="false">IF(A3545="","",IF(COUNTIFS(全馬データ!$A$2:$A$50000,A3545,全馬データ!$B$2:$B$50000,B3545,全馬データ!$C$2:$C$50000,C3545,全馬データ!$D$2:$D$50000,E3545,全馬データ!$K$2:$K$50000,"&lt;&gt;")=0,"",SUMIFS(全馬データ!$K$2:$K$50000,全馬データ!$A$2:$A$50000,A3545,全馬データ!$B$2:$B$50000,B3545,全馬データ!$C$2:$C$50000,C3545,全馬データ!$D$2:$D$50000,E3545)))</f>
        <v/>
      </c>
      <c r="AP3545" s="8" t="str">
        <f aca="false">IF(A3545="","",IF(AO3545="","欠損",IF(AO3545&lt;=1.1,"1.0～1.1",IF(AO3545&lt;1.3,"1.2",IF(AO3545&lt;1.5,"1.3～1.4",IF(AO3545&lt;2,"1.5～1.9","2.0以上"))))))</f>
        <v/>
      </c>
      <c r="AQ3545" s="8" t="str">
        <f aca="false">IF(A3545="","",IF(ISNUMBER(SEARCH("2歳",Z3545)),"2歳戦",IF(ISNUMBER(SEARCH("3歳未勝利",Z3545)),"3歳未勝利",IF(ISNUMBER(SEARCH("未勝利",Z3545)),"その他未勝利",IF(ISNUMBER(SEARCH("G1",Z3545)),"G1",IF(ISNUMBER(SEARCH("G2",Z3545)),"G2",IF(ISNUMBER(SEARCH("G3",Z3545)),"G3",IF(ISNUMBER(SEARCH("古馬条件",Z3545)),"古馬条件戦",IF(ISNUMBER(SEARCH("重賞",Z3545)),"重賞","分類不能")))))))))</f>
        <v/>
      </c>
    </row>
    <row r="3546" customFormat="false" ht="15.75" hidden="false" customHeight="false" outlineLevel="0" collapsed="false">
      <c r="AO3546" s="8" t="str">
        <f aca="false">IF(A3546="","",IF(COUNTIFS(全馬データ!$A$2:$A$50000,A3546,全馬データ!$B$2:$B$50000,B3546,全馬データ!$C$2:$C$50000,C3546,全馬データ!$D$2:$D$50000,E3546,全馬データ!$K$2:$K$50000,"&lt;&gt;")=0,"",SUMIFS(全馬データ!$K$2:$K$50000,全馬データ!$A$2:$A$50000,A3546,全馬データ!$B$2:$B$50000,B3546,全馬データ!$C$2:$C$50000,C3546,全馬データ!$D$2:$D$50000,E3546)))</f>
        <v/>
      </c>
      <c r="AP3546" s="8" t="str">
        <f aca="false">IF(A3546="","",IF(AO3546="","欠損",IF(AO3546&lt;=1.1,"1.0～1.1",IF(AO3546&lt;1.3,"1.2",IF(AO3546&lt;1.5,"1.3～1.4",IF(AO3546&lt;2,"1.5～1.9","2.0以上"))))))</f>
        <v/>
      </c>
      <c r="AQ3546" s="8" t="str">
        <f aca="false">IF(A3546="","",IF(ISNUMBER(SEARCH("2歳",Z3546)),"2歳戦",IF(ISNUMBER(SEARCH("3歳未勝利",Z3546)),"3歳未勝利",IF(ISNUMBER(SEARCH("未勝利",Z3546)),"その他未勝利",IF(ISNUMBER(SEARCH("G1",Z3546)),"G1",IF(ISNUMBER(SEARCH("G2",Z3546)),"G2",IF(ISNUMBER(SEARCH("G3",Z3546)),"G3",IF(ISNUMBER(SEARCH("古馬条件",Z3546)),"古馬条件戦",IF(ISNUMBER(SEARCH("重賞",Z3546)),"重賞","分類不能")))))))))</f>
        <v/>
      </c>
    </row>
    <row r="3547" customFormat="false" ht="15.75" hidden="false" customHeight="false" outlineLevel="0" collapsed="false">
      <c r="AO3547" s="8" t="str">
        <f aca="false">IF(A3547="","",IF(COUNTIFS(全馬データ!$A$2:$A$50000,A3547,全馬データ!$B$2:$B$50000,B3547,全馬データ!$C$2:$C$50000,C3547,全馬データ!$D$2:$D$50000,E3547,全馬データ!$K$2:$K$50000,"&lt;&gt;")=0,"",SUMIFS(全馬データ!$K$2:$K$50000,全馬データ!$A$2:$A$50000,A3547,全馬データ!$B$2:$B$50000,B3547,全馬データ!$C$2:$C$50000,C3547,全馬データ!$D$2:$D$50000,E3547)))</f>
        <v/>
      </c>
      <c r="AP3547" s="8" t="str">
        <f aca="false">IF(A3547="","",IF(AO3547="","欠損",IF(AO3547&lt;=1.1,"1.0～1.1",IF(AO3547&lt;1.3,"1.2",IF(AO3547&lt;1.5,"1.3～1.4",IF(AO3547&lt;2,"1.5～1.9","2.0以上"))))))</f>
        <v/>
      </c>
      <c r="AQ3547" s="8" t="str">
        <f aca="false">IF(A3547="","",IF(ISNUMBER(SEARCH("2歳",Z3547)),"2歳戦",IF(ISNUMBER(SEARCH("3歳未勝利",Z3547)),"3歳未勝利",IF(ISNUMBER(SEARCH("未勝利",Z3547)),"その他未勝利",IF(ISNUMBER(SEARCH("G1",Z3547)),"G1",IF(ISNUMBER(SEARCH("G2",Z3547)),"G2",IF(ISNUMBER(SEARCH("G3",Z3547)),"G3",IF(ISNUMBER(SEARCH("古馬条件",Z3547)),"古馬条件戦",IF(ISNUMBER(SEARCH("重賞",Z3547)),"重賞","分類不能")))))))))</f>
        <v/>
      </c>
    </row>
    <row r="3548" customFormat="false" ht="15.75" hidden="false" customHeight="false" outlineLevel="0" collapsed="false">
      <c r="AO3548" s="8" t="str">
        <f aca="false">IF(A3548="","",IF(COUNTIFS(全馬データ!$A$2:$A$50000,A3548,全馬データ!$B$2:$B$50000,B3548,全馬データ!$C$2:$C$50000,C3548,全馬データ!$D$2:$D$50000,E3548,全馬データ!$K$2:$K$50000,"&lt;&gt;")=0,"",SUMIFS(全馬データ!$K$2:$K$50000,全馬データ!$A$2:$A$50000,A3548,全馬データ!$B$2:$B$50000,B3548,全馬データ!$C$2:$C$50000,C3548,全馬データ!$D$2:$D$50000,E3548)))</f>
        <v/>
      </c>
      <c r="AP3548" s="8" t="str">
        <f aca="false">IF(A3548="","",IF(AO3548="","欠損",IF(AO3548&lt;=1.1,"1.0～1.1",IF(AO3548&lt;1.3,"1.2",IF(AO3548&lt;1.5,"1.3～1.4",IF(AO3548&lt;2,"1.5～1.9","2.0以上"))))))</f>
        <v/>
      </c>
      <c r="AQ3548" s="8" t="str">
        <f aca="false">IF(A3548="","",IF(ISNUMBER(SEARCH("2歳",Z3548)),"2歳戦",IF(ISNUMBER(SEARCH("3歳未勝利",Z3548)),"3歳未勝利",IF(ISNUMBER(SEARCH("未勝利",Z3548)),"その他未勝利",IF(ISNUMBER(SEARCH("G1",Z3548)),"G1",IF(ISNUMBER(SEARCH("G2",Z3548)),"G2",IF(ISNUMBER(SEARCH("G3",Z3548)),"G3",IF(ISNUMBER(SEARCH("古馬条件",Z3548)),"古馬条件戦",IF(ISNUMBER(SEARCH("重賞",Z3548)),"重賞","分類不能")))))))))</f>
        <v/>
      </c>
    </row>
    <row r="3549" customFormat="false" ht="15.75" hidden="false" customHeight="false" outlineLevel="0" collapsed="false">
      <c r="AO3549" s="8" t="str">
        <f aca="false">IF(A3549="","",IF(COUNTIFS(全馬データ!$A$2:$A$50000,A3549,全馬データ!$B$2:$B$50000,B3549,全馬データ!$C$2:$C$50000,C3549,全馬データ!$D$2:$D$50000,E3549,全馬データ!$K$2:$K$50000,"&lt;&gt;")=0,"",SUMIFS(全馬データ!$K$2:$K$50000,全馬データ!$A$2:$A$50000,A3549,全馬データ!$B$2:$B$50000,B3549,全馬データ!$C$2:$C$50000,C3549,全馬データ!$D$2:$D$50000,E3549)))</f>
        <v/>
      </c>
      <c r="AP3549" s="8" t="str">
        <f aca="false">IF(A3549="","",IF(AO3549="","欠損",IF(AO3549&lt;=1.1,"1.0～1.1",IF(AO3549&lt;1.3,"1.2",IF(AO3549&lt;1.5,"1.3～1.4",IF(AO3549&lt;2,"1.5～1.9","2.0以上"))))))</f>
        <v/>
      </c>
      <c r="AQ3549" s="8" t="str">
        <f aca="false">IF(A3549="","",IF(ISNUMBER(SEARCH("2歳",Z3549)),"2歳戦",IF(ISNUMBER(SEARCH("3歳未勝利",Z3549)),"3歳未勝利",IF(ISNUMBER(SEARCH("未勝利",Z3549)),"その他未勝利",IF(ISNUMBER(SEARCH("G1",Z3549)),"G1",IF(ISNUMBER(SEARCH("G2",Z3549)),"G2",IF(ISNUMBER(SEARCH("G3",Z3549)),"G3",IF(ISNUMBER(SEARCH("古馬条件",Z3549)),"古馬条件戦",IF(ISNUMBER(SEARCH("重賞",Z3549)),"重賞","分類不能")))))))))</f>
        <v/>
      </c>
    </row>
    <row r="3550" customFormat="false" ht="15.75" hidden="false" customHeight="false" outlineLevel="0" collapsed="false">
      <c r="AO3550" s="8" t="str">
        <f aca="false">IF(A3550="","",IF(COUNTIFS(全馬データ!$A$2:$A$50000,A3550,全馬データ!$B$2:$B$50000,B3550,全馬データ!$C$2:$C$50000,C3550,全馬データ!$D$2:$D$50000,E3550,全馬データ!$K$2:$K$50000,"&lt;&gt;")=0,"",SUMIFS(全馬データ!$K$2:$K$50000,全馬データ!$A$2:$A$50000,A3550,全馬データ!$B$2:$B$50000,B3550,全馬データ!$C$2:$C$50000,C3550,全馬データ!$D$2:$D$50000,E3550)))</f>
        <v/>
      </c>
      <c r="AP3550" s="8" t="str">
        <f aca="false">IF(A3550="","",IF(AO3550="","欠損",IF(AO3550&lt;=1.1,"1.0～1.1",IF(AO3550&lt;1.3,"1.2",IF(AO3550&lt;1.5,"1.3～1.4",IF(AO3550&lt;2,"1.5～1.9","2.0以上"))))))</f>
        <v/>
      </c>
      <c r="AQ3550" s="8" t="str">
        <f aca="false">IF(A3550="","",IF(ISNUMBER(SEARCH("2歳",Z3550)),"2歳戦",IF(ISNUMBER(SEARCH("3歳未勝利",Z3550)),"3歳未勝利",IF(ISNUMBER(SEARCH("未勝利",Z3550)),"その他未勝利",IF(ISNUMBER(SEARCH("G1",Z3550)),"G1",IF(ISNUMBER(SEARCH("G2",Z3550)),"G2",IF(ISNUMBER(SEARCH("G3",Z3550)),"G3",IF(ISNUMBER(SEARCH("古馬条件",Z3550)),"古馬条件戦",IF(ISNUMBER(SEARCH("重賞",Z3550)),"重賞","分類不能")))))))))</f>
        <v/>
      </c>
    </row>
    <row r="3551" customFormat="false" ht="15.75" hidden="false" customHeight="false" outlineLevel="0" collapsed="false">
      <c r="AO3551" s="8" t="str">
        <f aca="false">IF(A3551="","",IF(COUNTIFS(全馬データ!$A$2:$A$50000,A3551,全馬データ!$B$2:$B$50000,B3551,全馬データ!$C$2:$C$50000,C3551,全馬データ!$D$2:$D$50000,E3551,全馬データ!$K$2:$K$50000,"&lt;&gt;")=0,"",SUMIFS(全馬データ!$K$2:$K$50000,全馬データ!$A$2:$A$50000,A3551,全馬データ!$B$2:$B$50000,B3551,全馬データ!$C$2:$C$50000,C3551,全馬データ!$D$2:$D$50000,E3551)))</f>
        <v/>
      </c>
      <c r="AP3551" s="8" t="str">
        <f aca="false">IF(A3551="","",IF(AO3551="","欠損",IF(AO3551&lt;=1.1,"1.0～1.1",IF(AO3551&lt;1.3,"1.2",IF(AO3551&lt;1.5,"1.3～1.4",IF(AO3551&lt;2,"1.5～1.9","2.0以上"))))))</f>
        <v/>
      </c>
      <c r="AQ3551" s="8" t="str">
        <f aca="false">IF(A3551="","",IF(ISNUMBER(SEARCH("2歳",Z3551)),"2歳戦",IF(ISNUMBER(SEARCH("3歳未勝利",Z3551)),"3歳未勝利",IF(ISNUMBER(SEARCH("未勝利",Z3551)),"その他未勝利",IF(ISNUMBER(SEARCH("G1",Z3551)),"G1",IF(ISNUMBER(SEARCH("G2",Z3551)),"G2",IF(ISNUMBER(SEARCH("G3",Z3551)),"G3",IF(ISNUMBER(SEARCH("古馬条件",Z3551)),"古馬条件戦",IF(ISNUMBER(SEARCH("重賞",Z3551)),"重賞","分類不能")))))))))</f>
        <v/>
      </c>
    </row>
    <row r="3552" customFormat="false" ht="15.75" hidden="false" customHeight="false" outlineLevel="0" collapsed="false">
      <c r="AO3552" s="8" t="str">
        <f aca="false">IF(A3552="","",IF(COUNTIFS(全馬データ!$A$2:$A$50000,A3552,全馬データ!$B$2:$B$50000,B3552,全馬データ!$C$2:$C$50000,C3552,全馬データ!$D$2:$D$50000,E3552,全馬データ!$K$2:$K$50000,"&lt;&gt;")=0,"",SUMIFS(全馬データ!$K$2:$K$50000,全馬データ!$A$2:$A$50000,A3552,全馬データ!$B$2:$B$50000,B3552,全馬データ!$C$2:$C$50000,C3552,全馬データ!$D$2:$D$50000,E3552)))</f>
        <v/>
      </c>
      <c r="AP3552" s="8" t="str">
        <f aca="false">IF(A3552="","",IF(AO3552="","欠損",IF(AO3552&lt;=1.1,"1.0～1.1",IF(AO3552&lt;1.3,"1.2",IF(AO3552&lt;1.5,"1.3～1.4",IF(AO3552&lt;2,"1.5～1.9","2.0以上"))))))</f>
        <v/>
      </c>
      <c r="AQ3552" s="8" t="str">
        <f aca="false">IF(A3552="","",IF(ISNUMBER(SEARCH("2歳",Z3552)),"2歳戦",IF(ISNUMBER(SEARCH("3歳未勝利",Z3552)),"3歳未勝利",IF(ISNUMBER(SEARCH("未勝利",Z3552)),"その他未勝利",IF(ISNUMBER(SEARCH("G1",Z3552)),"G1",IF(ISNUMBER(SEARCH("G2",Z3552)),"G2",IF(ISNUMBER(SEARCH("G3",Z3552)),"G3",IF(ISNUMBER(SEARCH("古馬条件",Z3552)),"古馬条件戦",IF(ISNUMBER(SEARCH("重賞",Z3552)),"重賞","分類不能")))))))))</f>
        <v/>
      </c>
    </row>
    <row r="3553" customFormat="false" ht="15.75" hidden="false" customHeight="false" outlineLevel="0" collapsed="false">
      <c r="AO3553" s="8" t="str">
        <f aca="false">IF(A3553="","",IF(COUNTIFS(全馬データ!$A$2:$A$50000,A3553,全馬データ!$B$2:$B$50000,B3553,全馬データ!$C$2:$C$50000,C3553,全馬データ!$D$2:$D$50000,E3553,全馬データ!$K$2:$K$50000,"&lt;&gt;")=0,"",SUMIFS(全馬データ!$K$2:$K$50000,全馬データ!$A$2:$A$50000,A3553,全馬データ!$B$2:$B$50000,B3553,全馬データ!$C$2:$C$50000,C3553,全馬データ!$D$2:$D$50000,E3553)))</f>
        <v/>
      </c>
      <c r="AP3553" s="8" t="str">
        <f aca="false">IF(A3553="","",IF(AO3553="","欠損",IF(AO3553&lt;=1.1,"1.0～1.1",IF(AO3553&lt;1.3,"1.2",IF(AO3553&lt;1.5,"1.3～1.4",IF(AO3553&lt;2,"1.5～1.9","2.0以上"))))))</f>
        <v/>
      </c>
      <c r="AQ3553" s="8" t="str">
        <f aca="false">IF(A3553="","",IF(ISNUMBER(SEARCH("2歳",Z3553)),"2歳戦",IF(ISNUMBER(SEARCH("3歳未勝利",Z3553)),"3歳未勝利",IF(ISNUMBER(SEARCH("未勝利",Z3553)),"その他未勝利",IF(ISNUMBER(SEARCH("G1",Z3553)),"G1",IF(ISNUMBER(SEARCH("G2",Z3553)),"G2",IF(ISNUMBER(SEARCH("G3",Z3553)),"G3",IF(ISNUMBER(SEARCH("古馬条件",Z3553)),"古馬条件戦",IF(ISNUMBER(SEARCH("重賞",Z3553)),"重賞","分類不能")))))))))</f>
        <v/>
      </c>
    </row>
    <row r="3554" customFormat="false" ht="15.75" hidden="false" customHeight="false" outlineLevel="0" collapsed="false">
      <c r="AO3554" s="8" t="str">
        <f aca="false">IF(A3554="","",IF(COUNTIFS(全馬データ!$A$2:$A$50000,A3554,全馬データ!$B$2:$B$50000,B3554,全馬データ!$C$2:$C$50000,C3554,全馬データ!$D$2:$D$50000,E3554,全馬データ!$K$2:$K$50000,"&lt;&gt;")=0,"",SUMIFS(全馬データ!$K$2:$K$50000,全馬データ!$A$2:$A$50000,A3554,全馬データ!$B$2:$B$50000,B3554,全馬データ!$C$2:$C$50000,C3554,全馬データ!$D$2:$D$50000,E3554)))</f>
        <v/>
      </c>
      <c r="AP3554" s="8" t="str">
        <f aca="false">IF(A3554="","",IF(AO3554="","欠損",IF(AO3554&lt;=1.1,"1.0～1.1",IF(AO3554&lt;1.3,"1.2",IF(AO3554&lt;1.5,"1.3～1.4",IF(AO3554&lt;2,"1.5～1.9","2.0以上"))))))</f>
        <v/>
      </c>
      <c r="AQ3554" s="8" t="str">
        <f aca="false">IF(A3554="","",IF(ISNUMBER(SEARCH("2歳",Z3554)),"2歳戦",IF(ISNUMBER(SEARCH("3歳未勝利",Z3554)),"3歳未勝利",IF(ISNUMBER(SEARCH("未勝利",Z3554)),"その他未勝利",IF(ISNUMBER(SEARCH("G1",Z3554)),"G1",IF(ISNUMBER(SEARCH("G2",Z3554)),"G2",IF(ISNUMBER(SEARCH("G3",Z3554)),"G3",IF(ISNUMBER(SEARCH("古馬条件",Z3554)),"古馬条件戦",IF(ISNUMBER(SEARCH("重賞",Z3554)),"重賞","分類不能")))))))))</f>
        <v/>
      </c>
    </row>
    <row r="3555" customFormat="false" ht="15.75" hidden="false" customHeight="false" outlineLevel="0" collapsed="false">
      <c r="AO3555" s="8" t="str">
        <f aca="false">IF(A3555="","",IF(COUNTIFS(全馬データ!$A$2:$A$50000,A3555,全馬データ!$B$2:$B$50000,B3555,全馬データ!$C$2:$C$50000,C3555,全馬データ!$D$2:$D$50000,E3555,全馬データ!$K$2:$K$50000,"&lt;&gt;")=0,"",SUMIFS(全馬データ!$K$2:$K$50000,全馬データ!$A$2:$A$50000,A3555,全馬データ!$B$2:$B$50000,B3555,全馬データ!$C$2:$C$50000,C3555,全馬データ!$D$2:$D$50000,E3555)))</f>
        <v/>
      </c>
      <c r="AP3555" s="8" t="str">
        <f aca="false">IF(A3555="","",IF(AO3555="","欠損",IF(AO3555&lt;=1.1,"1.0～1.1",IF(AO3555&lt;1.3,"1.2",IF(AO3555&lt;1.5,"1.3～1.4",IF(AO3555&lt;2,"1.5～1.9","2.0以上"))))))</f>
        <v/>
      </c>
      <c r="AQ3555" s="8" t="str">
        <f aca="false">IF(A3555="","",IF(ISNUMBER(SEARCH("2歳",Z3555)),"2歳戦",IF(ISNUMBER(SEARCH("3歳未勝利",Z3555)),"3歳未勝利",IF(ISNUMBER(SEARCH("未勝利",Z3555)),"その他未勝利",IF(ISNUMBER(SEARCH("G1",Z3555)),"G1",IF(ISNUMBER(SEARCH("G2",Z3555)),"G2",IF(ISNUMBER(SEARCH("G3",Z3555)),"G3",IF(ISNUMBER(SEARCH("古馬条件",Z3555)),"古馬条件戦",IF(ISNUMBER(SEARCH("重賞",Z3555)),"重賞","分類不能")))))))))</f>
        <v/>
      </c>
    </row>
    <row r="3556" customFormat="false" ht="15.75" hidden="false" customHeight="false" outlineLevel="0" collapsed="false">
      <c r="AO3556" s="8" t="str">
        <f aca="false">IF(A3556="","",IF(COUNTIFS(全馬データ!$A$2:$A$50000,A3556,全馬データ!$B$2:$B$50000,B3556,全馬データ!$C$2:$C$50000,C3556,全馬データ!$D$2:$D$50000,E3556,全馬データ!$K$2:$K$50000,"&lt;&gt;")=0,"",SUMIFS(全馬データ!$K$2:$K$50000,全馬データ!$A$2:$A$50000,A3556,全馬データ!$B$2:$B$50000,B3556,全馬データ!$C$2:$C$50000,C3556,全馬データ!$D$2:$D$50000,E3556)))</f>
        <v/>
      </c>
      <c r="AP3556" s="8" t="str">
        <f aca="false">IF(A3556="","",IF(AO3556="","欠損",IF(AO3556&lt;=1.1,"1.0～1.1",IF(AO3556&lt;1.3,"1.2",IF(AO3556&lt;1.5,"1.3～1.4",IF(AO3556&lt;2,"1.5～1.9","2.0以上"))))))</f>
        <v/>
      </c>
      <c r="AQ3556" s="8" t="str">
        <f aca="false">IF(A3556="","",IF(ISNUMBER(SEARCH("2歳",Z3556)),"2歳戦",IF(ISNUMBER(SEARCH("3歳未勝利",Z3556)),"3歳未勝利",IF(ISNUMBER(SEARCH("未勝利",Z3556)),"その他未勝利",IF(ISNUMBER(SEARCH("G1",Z3556)),"G1",IF(ISNUMBER(SEARCH("G2",Z3556)),"G2",IF(ISNUMBER(SEARCH("G3",Z3556)),"G3",IF(ISNUMBER(SEARCH("古馬条件",Z3556)),"古馬条件戦",IF(ISNUMBER(SEARCH("重賞",Z3556)),"重賞","分類不能")))))))))</f>
        <v/>
      </c>
    </row>
    <row r="3557" customFormat="false" ht="15.75" hidden="false" customHeight="false" outlineLevel="0" collapsed="false">
      <c r="AO3557" s="8" t="str">
        <f aca="false">IF(A3557="","",IF(COUNTIFS(全馬データ!$A$2:$A$50000,A3557,全馬データ!$B$2:$B$50000,B3557,全馬データ!$C$2:$C$50000,C3557,全馬データ!$D$2:$D$50000,E3557,全馬データ!$K$2:$K$50000,"&lt;&gt;")=0,"",SUMIFS(全馬データ!$K$2:$K$50000,全馬データ!$A$2:$A$50000,A3557,全馬データ!$B$2:$B$50000,B3557,全馬データ!$C$2:$C$50000,C3557,全馬データ!$D$2:$D$50000,E3557)))</f>
        <v/>
      </c>
      <c r="AP3557" s="8" t="str">
        <f aca="false">IF(A3557="","",IF(AO3557="","欠損",IF(AO3557&lt;=1.1,"1.0～1.1",IF(AO3557&lt;1.3,"1.2",IF(AO3557&lt;1.5,"1.3～1.4",IF(AO3557&lt;2,"1.5～1.9","2.0以上"))))))</f>
        <v/>
      </c>
      <c r="AQ3557" s="8" t="str">
        <f aca="false">IF(A3557="","",IF(ISNUMBER(SEARCH("2歳",Z3557)),"2歳戦",IF(ISNUMBER(SEARCH("3歳未勝利",Z3557)),"3歳未勝利",IF(ISNUMBER(SEARCH("未勝利",Z3557)),"その他未勝利",IF(ISNUMBER(SEARCH("G1",Z3557)),"G1",IF(ISNUMBER(SEARCH("G2",Z3557)),"G2",IF(ISNUMBER(SEARCH("G3",Z3557)),"G3",IF(ISNUMBER(SEARCH("古馬条件",Z3557)),"古馬条件戦",IF(ISNUMBER(SEARCH("重賞",Z3557)),"重賞","分類不能")))))))))</f>
        <v/>
      </c>
    </row>
    <row r="3558" customFormat="false" ht="15.75" hidden="false" customHeight="false" outlineLevel="0" collapsed="false">
      <c r="AO3558" s="8" t="str">
        <f aca="false">IF(A3558="","",IF(COUNTIFS(全馬データ!$A$2:$A$50000,A3558,全馬データ!$B$2:$B$50000,B3558,全馬データ!$C$2:$C$50000,C3558,全馬データ!$D$2:$D$50000,E3558,全馬データ!$K$2:$K$50000,"&lt;&gt;")=0,"",SUMIFS(全馬データ!$K$2:$K$50000,全馬データ!$A$2:$A$50000,A3558,全馬データ!$B$2:$B$50000,B3558,全馬データ!$C$2:$C$50000,C3558,全馬データ!$D$2:$D$50000,E3558)))</f>
        <v/>
      </c>
      <c r="AP3558" s="8" t="str">
        <f aca="false">IF(A3558="","",IF(AO3558="","欠損",IF(AO3558&lt;=1.1,"1.0～1.1",IF(AO3558&lt;1.3,"1.2",IF(AO3558&lt;1.5,"1.3～1.4",IF(AO3558&lt;2,"1.5～1.9","2.0以上"))))))</f>
        <v/>
      </c>
      <c r="AQ3558" s="8" t="str">
        <f aca="false">IF(A3558="","",IF(ISNUMBER(SEARCH("2歳",Z3558)),"2歳戦",IF(ISNUMBER(SEARCH("3歳未勝利",Z3558)),"3歳未勝利",IF(ISNUMBER(SEARCH("未勝利",Z3558)),"その他未勝利",IF(ISNUMBER(SEARCH("G1",Z3558)),"G1",IF(ISNUMBER(SEARCH("G2",Z3558)),"G2",IF(ISNUMBER(SEARCH("G3",Z3558)),"G3",IF(ISNUMBER(SEARCH("古馬条件",Z3558)),"古馬条件戦",IF(ISNUMBER(SEARCH("重賞",Z3558)),"重賞","分類不能")))))))))</f>
        <v/>
      </c>
    </row>
    <row r="3559" customFormat="false" ht="15.75" hidden="false" customHeight="false" outlineLevel="0" collapsed="false">
      <c r="AO3559" s="8" t="str">
        <f aca="false">IF(A3559="","",IF(COUNTIFS(全馬データ!$A$2:$A$50000,A3559,全馬データ!$B$2:$B$50000,B3559,全馬データ!$C$2:$C$50000,C3559,全馬データ!$D$2:$D$50000,E3559,全馬データ!$K$2:$K$50000,"&lt;&gt;")=0,"",SUMIFS(全馬データ!$K$2:$K$50000,全馬データ!$A$2:$A$50000,A3559,全馬データ!$B$2:$B$50000,B3559,全馬データ!$C$2:$C$50000,C3559,全馬データ!$D$2:$D$50000,E3559)))</f>
        <v/>
      </c>
      <c r="AP3559" s="8" t="str">
        <f aca="false">IF(A3559="","",IF(AO3559="","欠損",IF(AO3559&lt;=1.1,"1.0～1.1",IF(AO3559&lt;1.3,"1.2",IF(AO3559&lt;1.5,"1.3～1.4",IF(AO3559&lt;2,"1.5～1.9","2.0以上"))))))</f>
        <v/>
      </c>
      <c r="AQ3559" s="8" t="str">
        <f aca="false">IF(A3559="","",IF(ISNUMBER(SEARCH("2歳",Z3559)),"2歳戦",IF(ISNUMBER(SEARCH("3歳未勝利",Z3559)),"3歳未勝利",IF(ISNUMBER(SEARCH("未勝利",Z3559)),"その他未勝利",IF(ISNUMBER(SEARCH("G1",Z3559)),"G1",IF(ISNUMBER(SEARCH("G2",Z3559)),"G2",IF(ISNUMBER(SEARCH("G3",Z3559)),"G3",IF(ISNUMBER(SEARCH("古馬条件",Z3559)),"古馬条件戦",IF(ISNUMBER(SEARCH("重賞",Z3559)),"重賞","分類不能")))))))))</f>
        <v/>
      </c>
    </row>
    <row r="3560" customFormat="false" ht="15.75" hidden="false" customHeight="false" outlineLevel="0" collapsed="false">
      <c r="AO3560" s="8" t="str">
        <f aca="false">IF(A3560="","",IF(COUNTIFS(全馬データ!$A$2:$A$50000,A3560,全馬データ!$B$2:$B$50000,B3560,全馬データ!$C$2:$C$50000,C3560,全馬データ!$D$2:$D$50000,E3560,全馬データ!$K$2:$K$50000,"&lt;&gt;")=0,"",SUMIFS(全馬データ!$K$2:$K$50000,全馬データ!$A$2:$A$50000,A3560,全馬データ!$B$2:$B$50000,B3560,全馬データ!$C$2:$C$50000,C3560,全馬データ!$D$2:$D$50000,E3560)))</f>
        <v/>
      </c>
      <c r="AP3560" s="8" t="str">
        <f aca="false">IF(A3560="","",IF(AO3560="","欠損",IF(AO3560&lt;=1.1,"1.0～1.1",IF(AO3560&lt;1.3,"1.2",IF(AO3560&lt;1.5,"1.3～1.4",IF(AO3560&lt;2,"1.5～1.9","2.0以上"))))))</f>
        <v/>
      </c>
      <c r="AQ3560" s="8" t="str">
        <f aca="false">IF(A3560="","",IF(ISNUMBER(SEARCH("2歳",Z3560)),"2歳戦",IF(ISNUMBER(SEARCH("3歳未勝利",Z3560)),"3歳未勝利",IF(ISNUMBER(SEARCH("未勝利",Z3560)),"その他未勝利",IF(ISNUMBER(SEARCH("G1",Z3560)),"G1",IF(ISNUMBER(SEARCH("G2",Z3560)),"G2",IF(ISNUMBER(SEARCH("G3",Z3560)),"G3",IF(ISNUMBER(SEARCH("古馬条件",Z3560)),"古馬条件戦",IF(ISNUMBER(SEARCH("重賞",Z3560)),"重賞","分類不能")))))))))</f>
        <v/>
      </c>
    </row>
    <row r="3561" customFormat="false" ht="15.75" hidden="false" customHeight="false" outlineLevel="0" collapsed="false">
      <c r="AO3561" s="8" t="str">
        <f aca="false">IF(A3561="","",IF(COUNTIFS(全馬データ!$A$2:$A$50000,A3561,全馬データ!$B$2:$B$50000,B3561,全馬データ!$C$2:$C$50000,C3561,全馬データ!$D$2:$D$50000,E3561,全馬データ!$K$2:$K$50000,"&lt;&gt;")=0,"",SUMIFS(全馬データ!$K$2:$K$50000,全馬データ!$A$2:$A$50000,A3561,全馬データ!$B$2:$B$50000,B3561,全馬データ!$C$2:$C$50000,C3561,全馬データ!$D$2:$D$50000,E3561)))</f>
        <v/>
      </c>
      <c r="AP3561" s="8" t="str">
        <f aca="false">IF(A3561="","",IF(AO3561="","欠損",IF(AO3561&lt;=1.1,"1.0～1.1",IF(AO3561&lt;1.3,"1.2",IF(AO3561&lt;1.5,"1.3～1.4",IF(AO3561&lt;2,"1.5～1.9","2.0以上"))))))</f>
        <v/>
      </c>
      <c r="AQ3561" s="8" t="str">
        <f aca="false">IF(A3561="","",IF(ISNUMBER(SEARCH("2歳",Z3561)),"2歳戦",IF(ISNUMBER(SEARCH("3歳未勝利",Z3561)),"3歳未勝利",IF(ISNUMBER(SEARCH("未勝利",Z3561)),"その他未勝利",IF(ISNUMBER(SEARCH("G1",Z3561)),"G1",IF(ISNUMBER(SEARCH("G2",Z3561)),"G2",IF(ISNUMBER(SEARCH("G3",Z3561)),"G3",IF(ISNUMBER(SEARCH("古馬条件",Z3561)),"古馬条件戦",IF(ISNUMBER(SEARCH("重賞",Z3561)),"重賞","分類不能")))))))))</f>
        <v/>
      </c>
    </row>
    <row r="3562" customFormat="false" ht="15.75" hidden="false" customHeight="false" outlineLevel="0" collapsed="false">
      <c r="AO3562" s="8" t="str">
        <f aca="false">IF(A3562="","",IF(COUNTIFS(全馬データ!$A$2:$A$50000,A3562,全馬データ!$B$2:$B$50000,B3562,全馬データ!$C$2:$C$50000,C3562,全馬データ!$D$2:$D$50000,E3562,全馬データ!$K$2:$K$50000,"&lt;&gt;")=0,"",SUMIFS(全馬データ!$K$2:$K$50000,全馬データ!$A$2:$A$50000,A3562,全馬データ!$B$2:$B$50000,B3562,全馬データ!$C$2:$C$50000,C3562,全馬データ!$D$2:$D$50000,E3562)))</f>
        <v/>
      </c>
      <c r="AP3562" s="8" t="str">
        <f aca="false">IF(A3562="","",IF(AO3562="","欠損",IF(AO3562&lt;=1.1,"1.0～1.1",IF(AO3562&lt;1.3,"1.2",IF(AO3562&lt;1.5,"1.3～1.4",IF(AO3562&lt;2,"1.5～1.9","2.0以上"))))))</f>
        <v/>
      </c>
      <c r="AQ3562" s="8" t="str">
        <f aca="false">IF(A3562="","",IF(ISNUMBER(SEARCH("2歳",Z3562)),"2歳戦",IF(ISNUMBER(SEARCH("3歳未勝利",Z3562)),"3歳未勝利",IF(ISNUMBER(SEARCH("未勝利",Z3562)),"その他未勝利",IF(ISNUMBER(SEARCH("G1",Z3562)),"G1",IF(ISNUMBER(SEARCH("G2",Z3562)),"G2",IF(ISNUMBER(SEARCH("G3",Z3562)),"G3",IF(ISNUMBER(SEARCH("古馬条件",Z3562)),"古馬条件戦",IF(ISNUMBER(SEARCH("重賞",Z3562)),"重賞","分類不能")))))))))</f>
        <v/>
      </c>
    </row>
    <row r="3563" customFormat="false" ht="15.75" hidden="false" customHeight="false" outlineLevel="0" collapsed="false">
      <c r="AO3563" s="8" t="str">
        <f aca="false">IF(A3563="","",IF(COUNTIFS(全馬データ!$A$2:$A$50000,A3563,全馬データ!$B$2:$B$50000,B3563,全馬データ!$C$2:$C$50000,C3563,全馬データ!$D$2:$D$50000,E3563,全馬データ!$K$2:$K$50000,"&lt;&gt;")=0,"",SUMIFS(全馬データ!$K$2:$K$50000,全馬データ!$A$2:$A$50000,A3563,全馬データ!$B$2:$B$50000,B3563,全馬データ!$C$2:$C$50000,C3563,全馬データ!$D$2:$D$50000,E3563)))</f>
        <v/>
      </c>
      <c r="AP3563" s="8" t="str">
        <f aca="false">IF(A3563="","",IF(AO3563="","欠損",IF(AO3563&lt;=1.1,"1.0～1.1",IF(AO3563&lt;1.3,"1.2",IF(AO3563&lt;1.5,"1.3～1.4",IF(AO3563&lt;2,"1.5～1.9","2.0以上"))))))</f>
        <v/>
      </c>
      <c r="AQ3563" s="8" t="str">
        <f aca="false">IF(A3563="","",IF(ISNUMBER(SEARCH("2歳",Z3563)),"2歳戦",IF(ISNUMBER(SEARCH("3歳未勝利",Z3563)),"3歳未勝利",IF(ISNUMBER(SEARCH("未勝利",Z3563)),"その他未勝利",IF(ISNUMBER(SEARCH("G1",Z3563)),"G1",IF(ISNUMBER(SEARCH("G2",Z3563)),"G2",IF(ISNUMBER(SEARCH("G3",Z3563)),"G3",IF(ISNUMBER(SEARCH("古馬条件",Z3563)),"古馬条件戦",IF(ISNUMBER(SEARCH("重賞",Z3563)),"重賞","分類不能")))))))))</f>
        <v/>
      </c>
    </row>
    <row r="3564" customFormat="false" ht="15.75" hidden="false" customHeight="false" outlineLevel="0" collapsed="false">
      <c r="AO3564" s="8" t="str">
        <f aca="false">IF(A3564="","",IF(COUNTIFS(全馬データ!$A$2:$A$50000,A3564,全馬データ!$B$2:$B$50000,B3564,全馬データ!$C$2:$C$50000,C3564,全馬データ!$D$2:$D$50000,E3564,全馬データ!$K$2:$K$50000,"&lt;&gt;")=0,"",SUMIFS(全馬データ!$K$2:$K$50000,全馬データ!$A$2:$A$50000,A3564,全馬データ!$B$2:$B$50000,B3564,全馬データ!$C$2:$C$50000,C3564,全馬データ!$D$2:$D$50000,E3564)))</f>
        <v/>
      </c>
      <c r="AP3564" s="8" t="str">
        <f aca="false">IF(A3564="","",IF(AO3564="","欠損",IF(AO3564&lt;=1.1,"1.0～1.1",IF(AO3564&lt;1.3,"1.2",IF(AO3564&lt;1.5,"1.3～1.4",IF(AO3564&lt;2,"1.5～1.9","2.0以上"))))))</f>
        <v/>
      </c>
      <c r="AQ3564" s="8" t="str">
        <f aca="false">IF(A3564="","",IF(ISNUMBER(SEARCH("2歳",Z3564)),"2歳戦",IF(ISNUMBER(SEARCH("3歳未勝利",Z3564)),"3歳未勝利",IF(ISNUMBER(SEARCH("未勝利",Z3564)),"その他未勝利",IF(ISNUMBER(SEARCH("G1",Z3564)),"G1",IF(ISNUMBER(SEARCH("G2",Z3564)),"G2",IF(ISNUMBER(SEARCH("G3",Z3564)),"G3",IF(ISNUMBER(SEARCH("古馬条件",Z3564)),"古馬条件戦",IF(ISNUMBER(SEARCH("重賞",Z3564)),"重賞","分類不能")))))))))</f>
        <v/>
      </c>
    </row>
    <row r="3565" customFormat="false" ht="15.75" hidden="false" customHeight="false" outlineLevel="0" collapsed="false">
      <c r="AO3565" s="8" t="str">
        <f aca="false">IF(A3565="","",IF(COUNTIFS(全馬データ!$A$2:$A$50000,A3565,全馬データ!$B$2:$B$50000,B3565,全馬データ!$C$2:$C$50000,C3565,全馬データ!$D$2:$D$50000,E3565,全馬データ!$K$2:$K$50000,"&lt;&gt;")=0,"",SUMIFS(全馬データ!$K$2:$K$50000,全馬データ!$A$2:$A$50000,A3565,全馬データ!$B$2:$B$50000,B3565,全馬データ!$C$2:$C$50000,C3565,全馬データ!$D$2:$D$50000,E3565)))</f>
        <v/>
      </c>
      <c r="AP3565" s="8" t="str">
        <f aca="false">IF(A3565="","",IF(AO3565="","欠損",IF(AO3565&lt;=1.1,"1.0～1.1",IF(AO3565&lt;1.3,"1.2",IF(AO3565&lt;1.5,"1.3～1.4",IF(AO3565&lt;2,"1.5～1.9","2.0以上"))))))</f>
        <v/>
      </c>
      <c r="AQ3565" s="8" t="str">
        <f aca="false">IF(A3565="","",IF(ISNUMBER(SEARCH("2歳",Z3565)),"2歳戦",IF(ISNUMBER(SEARCH("3歳未勝利",Z3565)),"3歳未勝利",IF(ISNUMBER(SEARCH("未勝利",Z3565)),"その他未勝利",IF(ISNUMBER(SEARCH("G1",Z3565)),"G1",IF(ISNUMBER(SEARCH("G2",Z3565)),"G2",IF(ISNUMBER(SEARCH("G3",Z3565)),"G3",IF(ISNUMBER(SEARCH("古馬条件",Z3565)),"古馬条件戦",IF(ISNUMBER(SEARCH("重賞",Z3565)),"重賞","分類不能")))))))))</f>
        <v/>
      </c>
    </row>
    <row r="3566" customFormat="false" ht="15.75" hidden="false" customHeight="false" outlineLevel="0" collapsed="false">
      <c r="AO3566" s="8" t="str">
        <f aca="false">IF(A3566="","",IF(COUNTIFS(全馬データ!$A$2:$A$50000,A3566,全馬データ!$B$2:$B$50000,B3566,全馬データ!$C$2:$C$50000,C3566,全馬データ!$D$2:$D$50000,E3566,全馬データ!$K$2:$K$50000,"&lt;&gt;")=0,"",SUMIFS(全馬データ!$K$2:$K$50000,全馬データ!$A$2:$A$50000,A3566,全馬データ!$B$2:$B$50000,B3566,全馬データ!$C$2:$C$50000,C3566,全馬データ!$D$2:$D$50000,E3566)))</f>
        <v/>
      </c>
      <c r="AP3566" s="8" t="str">
        <f aca="false">IF(A3566="","",IF(AO3566="","欠損",IF(AO3566&lt;=1.1,"1.0～1.1",IF(AO3566&lt;1.3,"1.2",IF(AO3566&lt;1.5,"1.3～1.4",IF(AO3566&lt;2,"1.5～1.9","2.0以上"))))))</f>
        <v/>
      </c>
      <c r="AQ3566" s="8" t="str">
        <f aca="false">IF(A3566="","",IF(ISNUMBER(SEARCH("2歳",Z3566)),"2歳戦",IF(ISNUMBER(SEARCH("3歳未勝利",Z3566)),"3歳未勝利",IF(ISNUMBER(SEARCH("未勝利",Z3566)),"その他未勝利",IF(ISNUMBER(SEARCH("G1",Z3566)),"G1",IF(ISNUMBER(SEARCH("G2",Z3566)),"G2",IF(ISNUMBER(SEARCH("G3",Z3566)),"G3",IF(ISNUMBER(SEARCH("古馬条件",Z3566)),"古馬条件戦",IF(ISNUMBER(SEARCH("重賞",Z3566)),"重賞","分類不能")))))))))</f>
        <v/>
      </c>
    </row>
    <row r="3567" customFormat="false" ht="15.75" hidden="false" customHeight="false" outlineLevel="0" collapsed="false">
      <c r="AO3567" s="8" t="str">
        <f aca="false">IF(A3567="","",IF(COUNTIFS(全馬データ!$A$2:$A$50000,A3567,全馬データ!$B$2:$B$50000,B3567,全馬データ!$C$2:$C$50000,C3567,全馬データ!$D$2:$D$50000,E3567,全馬データ!$K$2:$K$50000,"&lt;&gt;")=0,"",SUMIFS(全馬データ!$K$2:$K$50000,全馬データ!$A$2:$A$50000,A3567,全馬データ!$B$2:$B$50000,B3567,全馬データ!$C$2:$C$50000,C3567,全馬データ!$D$2:$D$50000,E3567)))</f>
        <v/>
      </c>
      <c r="AP3567" s="8" t="str">
        <f aca="false">IF(A3567="","",IF(AO3567="","欠損",IF(AO3567&lt;=1.1,"1.0～1.1",IF(AO3567&lt;1.3,"1.2",IF(AO3567&lt;1.5,"1.3～1.4",IF(AO3567&lt;2,"1.5～1.9","2.0以上"))))))</f>
        <v/>
      </c>
      <c r="AQ3567" s="8" t="str">
        <f aca="false">IF(A3567="","",IF(ISNUMBER(SEARCH("2歳",Z3567)),"2歳戦",IF(ISNUMBER(SEARCH("3歳未勝利",Z3567)),"3歳未勝利",IF(ISNUMBER(SEARCH("未勝利",Z3567)),"その他未勝利",IF(ISNUMBER(SEARCH("G1",Z3567)),"G1",IF(ISNUMBER(SEARCH("G2",Z3567)),"G2",IF(ISNUMBER(SEARCH("G3",Z3567)),"G3",IF(ISNUMBER(SEARCH("古馬条件",Z3567)),"古馬条件戦",IF(ISNUMBER(SEARCH("重賞",Z3567)),"重賞","分類不能")))))))))</f>
        <v/>
      </c>
    </row>
    <row r="3568" customFormat="false" ht="15.75" hidden="false" customHeight="false" outlineLevel="0" collapsed="false">
      <c r="AO3568" s="8" t="str">
        <f aca="false">IF(A3568="","",IF(COUNTIFS(全馬データ!$A$2:$A$50000,A3568,全馬データ!$B$2:$B$50000,B3568,全馬データ!$C$2:$C$50000,C3568,全馬データ!$D$2:$D$50000,E3568,全馬データ!$K$2:$K$50000,"&lt;&gt;")=0,"",SUMIFS(全馬データ!$K$2:$K$50000,全馬データ!$A$2:$A$50000,A3568,全馬データ!$B$2:$B$50000,B3568,全馬データ!$C$2:$C$50000,C3568,全馬データ!$D$2:$D$50000,E3568)))</f>
        <v/>
      </c>
      <c r="AP3568" s="8" t="str">
        <f aca="false">IF(A3568="","",IF(AO3568="","欠損",IF(AO3568&lt;=1.1,"1.0～1.1",IF(AO3568&lt;1.3,"1.2",IF(AO3568&lt;1.5,"1.3～1.4",IF(AO3568&lt;2,"1.5～1.9","2.0以上"))))))</f>
        <v/>
      </c>
      <c r="AQ3568" s="8" t="str">
        <f aca="false">IF(A3568="","",IF(ISNUMBER(SEARCH("2歳",Z3568)),"2歳戦",IF(ISNUMBER(SEARCH("3歳未勝利",Z3568)),"3歳未勝利",IF(ISNUMBER(SEARCH("未勝利",Z3568)),"その他未勝利",IF(ISNUMBER(SEARCH("G1",Z3568)),"G1",IF(ISNUMBER(SEARCH("G2",Z3568)),"G2",IF(ISNUMBER(SEARCH("G3",Z3568)),"G3",IF(ISNUMBER(SEARCH("古馬条件",Z3568)),"古馬条件戦",IF(ISNUMBER(SEARCH("重賞",Z3568)),"重賞","分類不能")))))))))</f>
        <v/>
      </c>
    </row>
    <row r="3569" customFormat="false" ht="15.75" hidden="false" customHeight="false" outlineLevel="0" collapsed="false">
      <c r="AO3569" s="8" t="str">
        <f aca="false">IF(A3569="","",IF(COUNTIFS(全馬データ!$A$2:$A$50000,A3569,全馬データ!$B$2:$B$50000,B3569,全馬データ!$C$2:$C$50000,C3569,全馬データ!$D$2:$D$50000,E3569,全馬データ!$K$2:$K$50000,"&lt;&gt;")=0,"",SUMIFS(全馬データ!$K$2:$K$50000,全馬データ!$A$2:$A$50000,A3569,全馬データ!$B$2:$B$50000,B3569,全馬データ!$C$2:$C$50000,C3569,全馬データ!$D$2:$D$50000,E3569)))</f>
        <v/>
      </c>
      <c r="AP3569" s="8" t="str">
        <f aca="false">IF(A3569="","",IF(AO3569="","欠損",IF(AO3569&lt;=1.1,"1.0～1.1",IF(AO3569&lt;1.3,"1.2",IF(AO3569&lt;1.5,"1.3～1.4",IF(AO3569&lt;2,"1.5～1.9","2.0以上"))))))</f>
        <v/>
      </c>
      <c r="AQ3569" s="8" t="str">
        <f aca="false">IF(A3569="","",IF(ISNUMBER(SEARCH("2歳",Z3569)),"2歳戦",IF(ISNUMBER(SEARCH("3歳未勝利",Z3569)),"3歳未勝利",IF(ISNUMBER(SEARCH("未勝利",Z3569)),"その他未勝利",IF(ISNUMBER(SEARCH("G1",Z3569)),"G1",IF(ISNUMBER(SEARCH("G2",Z3569)),"G2",IF(ISNUMBER(SEARCH("G3",Z3569)),"G3",IF(ISNUMBER(SEARCH("古馬条件",Z3569)),"古馬条件戦",IF(ISNUMBER(SEARCH("重賞",Z3569)),"重賞","分類不能")))))))))</f>
        <v/>
      </c>
    </row>
    <row r="3570" customFormat="false" ht="15.75" hidden="false" customHeight="false" outlineLevel="0" collapsed="false">
      <c r="AO3570" s="8" t="str">
        <f aca="false">IF(A3570="","",IF(COUNTIFS(全馬データ!$A$2:$A$50000,A3570,全馬データ!$B$2:$B$50000,B3570,全馬データ!$C$2:$C$50000,C3570,全馬データ!$D$2:$D$50000,E3570,全馬データ!$K$2:$K$50000,"&lt;&gt;")=0,"",SUMIFS(全馬データ!$K$2:$K$50000,全馬データ!$A$2:$A$50000,A3570,全馬データ!$B$2:$B$50000,B3570,全馬データ!$C$2:$C$50000,C3570,全馬データ!$D$2:$D$50000,E3570)))</f>
        <v/>
      </c>
      <c r="AP3570" s="8" t="str">
        <f aca="false">IF(A3570="","",IF(AO3570="","欠損",IF(AO3570&lt;=1.1,"1.0～1.1",IF(AO3570&lt;1.3,"1.2",IF(AO3570&lt;1.5,"1.3～1.4",IF(AO3570&lt;2,"1.5～1.9","2.0以上"))))))</f>
        <v/>
      </c>
      <c r="AQ3570" s="8" t="str">
        <f aca="false">IF(A3570="","",IF(ISNUMBER(SEARCH("2歳",Z3570)),"2歳戦",IF(ISNUMBER(SEARCH("3歳未勝利",Z3570)),"3歳未勝利",IF(ISNUMBER(SEARCH("未勝利",Z3570)),"その他未勝利",IF(ISNUMBER(SEARCH("G1",Z3570)),"G1",IF(ISNUMBER(SEARCH("G2",Z3570)),"G2",IF(ISNUMBER(SEARCH("G3",Z3570)),"G3",IF(ISNUMBER(SEARCH("古馬条件",Z3570)),"古馬条件戦",IF(ISNUMBER(SEARCH("重賞",Z3570)),"重賞","分類不能")))))))))</f>
        <v/>
      </c>
    </row>
    <row r="3571" customFormat="false" ht="15.75" hidden="false" customHeight="false" outlineLevel="0" collapsed="false">
      <c r="AO3571" s="8" t="str">
        <f aca="false">IF(A3571="","",IF(COUNTIFS(全馬データ!$A$2:$A$50000,A3571,全馬データ!$B$2:$B$50000,B3571,全馬データ!$C$2:$C$50000,C3571,全馬データ!$D$2:$D$50000,E3571,全馬データ!$K$2:$K$50000,"&lt;&gt;")=0,"",SUMIFS(全馬データ!$K$2:$K$50000,全馬データ!$A$2:$A$50000,A3571,全馬データ!$B$2:$B$50000,B3571,全馬データ!$C$2:$C$50000,C3571,全馬データ!$D$2:$D$50000,E3571)))</f>
        <v/>
      </c>
      <c r="AP3571" s="8" t="str">
        <f aca="false">IF(A3571="","",IF(AO3571="","欠損",IF(AO3571&lt;=1.1,"1.0～1.1",IF(AO3571&lt;1.3,"1.2",IF(AO3571&lt;1.5,"1.3～1.4",IF(AO3571&lt;2,"1.5～1.9","2.0以上"))))))</f>
        <v/>
      </c>
      <c r="AQ3571" s="8" t="str">
        <f aca="false">IF(A3571="","",IF(ISNUMBER(SEARCH("2歳",Z3571)),"2歳戦",IF(ISNUMBER(SEARCH("3歳未勝利",Z3571)),"3歳未勝利",IF(ISNUMBER(SEARCH("未勝利",Z3571)),"その他未勝利",IF(ISNUMBER(SEARCH("G1",Z3571)),"G1",IF(ISNUMBER(SEARCH("G2",Z3571)),"G2",IF(ISNUMBER(SEARCH("G3",Z3571)),"G3",IF(ISNUMBER(SEARCH("古馬条件",Z3571)),"古馬条件戦",IF(ISNUMBER(SEARCH("重賞",Z3571)),"重賞","分類不能")))))))))</f>
        <v/>
      </c>
    </row>
    <row r="3572" customFormat="false" ht="15.75" hidden="false" customHeight="false" outlineLevel="0" collapsed="false">
      <c r="AO3572" s="8" t="str">
        <f aca="false">IF(A3572="","",IF(COUNTIFS(全馬データ!$A$2:$A$50000,A3572,全馬データ!$B$2:$B$50000,B3572,全馬データ!$C$2:$C$50000,C3572,全馬データ!$D$2:$D$50000,E3572,全馬データ!$K$2:$K$50000,"&lt;&gt;")=0,"",SUMIFS(全馬データ!$K$2:$K$50000,全馬データ!$A$2:$A$50000,A3572,全馬データ!$B$2:$B$50000,B3572,全馬データ!$C$2:$C$50000,C3572,全馬データ!$D$2:$D$50000,E3572)))</f>
        <v/>
      </c>
      <c r="AP3572" s="8" t="str">
        <f aca="false">IF(A3572="","",IF(AO3572="","欠損",IF(AO3572&lt;=1.1,"1.0～1.1",IF(AO3572&lt;1.3,"1.2",IF(AO3572&lt;1.5,"1.3～1.4",IF(AO3572&lt;2,"1.5～1.9","2.0以上"))))))</f>
        <v/>
      </c>
      <c r="AQ3572" s="8" t="str">
        <f aca="false">IF(A3572="","",IF(ISNUMBER(SEARCH("2歳",Z3572)),"2歳戦",IF(ISNUMBER(SEARCH("3歳未勝利",Z3572)),"3歳未勝利",IF(ISNUMBER(SEARCH("未勝利",Z3572)),"その他未勝利",IF(ISNUMBER(SEARCH("G1",Z3572)),"G1",IF(ISNUMBER(SEARCH("G2",Z3572)),"G2",IF(ISNUMBER(SEARCH("G3",Z3572)),"G3",IF(ISNUMBER(SEARCH("古馬条件",Z3572)),"古馬条件戦",IF(ISNUMBER(SEARCH("重賞",Z3572)),"重賞","分類不能")))))))))</f>
        <v/>
      </c>
    </row>
    <row r="3573" customFormat="false" ht="15.75" hidden="false" customHeight="false" outlineLevel="0" collapsed="false">
      <c r="AO3573" s="8" t="str">
        <f aca="false">IF(A3573="","",IF(COUNTIFS(全馬データ!$A$2:$A$50000,A3573,全馬データ!$B$2:$B$50000,B3573,全馬データ!$C$2:$C$50000,C3573,全馬データ!$D$2:$D$50000,E3573,全馬データ!$K$2:$K$50000,"&lt;&gt;")=0,"",SUMIFS(全馬データ!$K$2:$K$50000,全馬データ!$A$2:$A$50000,A3573,全馬データ!$B$2:$B$50000,B3573,全馬データ!$C$2:$C$50000,C3573,全馬データ!$D$2:$D$50000,E3573)))</f>
        <v/>
      </c>
      <c r="AP3573" s="8" t="str">
        <f aca="false">IF(A3573="","",IF(AO3573="","欠損",IF(AO3573&lt;=1.1,"1.0～1.1",IF(AO3573&lt;1.3,"1.2",IF(AO3573&lt;1.5,"1.3～1.4",IF(AO3573&lt;2,"1.5～1.9","2.0以上"))))))</f>
        <v/>
      </c>
      <c r="AQ3573" s="8" t="str">
        <f aca="false">IF(A3573="","",IF(ISNUMBER(SEARCH("2歳",Z3573)),"2歳戦",IF(ISNUMBER(SEARCH("3歳未勝利",Z3573)),"3歳未勝利",IF(ISNUMBER(SEARCH("未勝利",Z3573)),"その他未勝利",IF(ISNUMBER(SEARCH("G1",Z3573)),"G1",IF(ISNUMBER(SEARCH("G2",Z3573)),"G2",IF(ISNUMBER(SEARCH("G3",Z3573)),"G3",IF(ISNUMBER(SEARCH("古馬条件",Z3573)),"古馬条件戦",IF(ISNUMBER(SEARCH("重賞",Z3573)),"重賞","分類不能")))))))))</f>
        <v/>
      </c>
    </row>
    <row r="3574" customFormat="false" ht="15.75" hidden="false" customHeight="false" outlineLevel="0" collapsed="false">
      <c r="AO3574" s="8" t="str">
        <f aca="false">IF(A3574="","",IF(COUNTIFS(全馬データ!$A$2:$A$50000,A3574,全馬データ!$B$2:$B$50000,B3574,全馬データ!$C$2:$C$50000,C3574,全馬データ!$D$2:$D$50000,E3574,全馬データ!$K$2:$K$50000,"&lt;&gt;")=0,"",SUMIFS(全馬データ!$K$2:$K$50000,全馬データ!$A$2:$A$50000,A3574,全馬データ!$B$2:$B$50000,B3574,全馬データ!$C$2:$C$50000,C3574,全馬データ!$D$2:$D$50000,E3574)))</f>
        <v/>
      </c>
      <c r="AP3574" s="8" t="str">
        <f aca="false">IF(A3574="","",IF(AO3574="","欠損",IF(AO3574&lt;=1.1,"1.0～1.1",IF(AO3574&lt;1.3,"1.2",IF(AO3574&lt;1.5,"1.3～1.4",IF(AO3574&lt;2,"1.5～1.9","2.0以上"))))))</f>
        <v/>
      </c>
      <c r="AQ3574" s="8" t="str">
        <f aca="false">IF(A3574="","",IF(ISNUMBER(SEARCH("2歳",Z3574)),"2歳戦",IF(ISNUMBER(SEARCH("3歳未勝利",Z3574)),"3歳未勝利",IF(ISNUMBER(SEARCH("未勝利",Z3574)),"その他未勝利",IF(ISNUMBER(SEARCH("G1",Z3574)),"G1",IF(ISNUMBER(SEARCH("G2",Z3574)),"G2",IF(ISNUMBER(SEARCH("G3",Z3574)),"G3",IF(ISNUMBER(SEARCH("古馬条件",Z3574)),"古馬条件戦",IF(ISNUMBER(SEARCH("重賞",Z3574)),"重賞","分類不能")))))))))</f>
        <v/>
      </c>
    </row>
    <row r="3575" customFormat="false" ht="15.75" hidden="false" customHeight="false" outlineLevel="0" collapsed="false">
      <c r="AO3575" s="8" t="str">
        <f aca="false">IF(A3575="","",IF(COUNTIFS(全馬データ!$A$2:$A$50000,A3575,全馬データ!$B$2:$B$50000,B3575,全馬データ!$C$2:$C$50000,C3575,全馬データ!$D$2:$D$50000,E3575,全馬データ!$K$2:$K$50000,"&lt;&gt;")=0,"",SUMIFS(全馬データ!$K$2:$K$50000,全馬データ!$A$2:$A$50000,A3575,全馬データ!$B$2:$B$50000,B3575,全馬データ!$C$2:$C$50000,C3575,全馬データ!$D$2:$D$50000,E3575)))</f>
        <v/>
      </c>
      <c r="AP3575" s="8" t="str">
        <f aca="false">IF(A3575="","",IF(AO3575="","欠損",IF(AO3575&lt;=1.1,"1.0～1.1",IF(AO3575&lt;1.3,"1.2",IF(AO3575&lt;1.5,"1.3～1.4",IF(AO3575&lt;2,"1.5～1.9","2.0以上"))))))</f>
        <v/>
      </c>
      <c r="AQ3575" s="8" t="str">
        <f aca="false">IF(A3575="","",IF(ISNUMBER(SEARCH("2歳",Z3575)),"2歳戦",IF(ISNUMBER(SEARCH("3歳未勝利",Z3575)),"3歳未勝利",IF(ISNUMBER(SEARCH("未勝利",Z3575)),"その他未勝利",IF(ISNUMBER(SEARCH("G1",Z3575)),"G1",IF(ISNUMBER(SEARCH("G2",Z3575)),"G2",IF(ISNUMBER(SEARCH("G3",Z3575)),"G3",IF(ISNUMBER(SEARCH("古馬条件",Z3575)),"古馬条件戦",IF(ISNUMBER(SEARCH("重賞",Z3575)),"重賞","分類不能")))))))))</f>
        <v/>
      </c>
    </row>
    <row r="3576" customFormat="false" ht="15.75" hidden="false" customHeight="false" outlineLevel="0" collapsed="false">
      <c r="AO3576" s="8" t="str">
        <f aca="false">IF(A3576="","",IF(COUNTIFS(全馬データ!$A$2:$A$50000,A3576,全馬データ!$B$2:$B$50000,B3576,全馬データ!$C$2:$C$50000,C3576,全馬データ!$D$2:$D$50000,E3576,全馬データ!$K$2:$K$50000,"&lt;&gt;")=0,"",SUMIFS(全馬データ!$K$2:$K$50000,全馬データ!$A$2:$A$50000,A3576,全馬データ!$B$2:$B$50000,B3576,全馬データ!$C$2:$C$50000,C3576,全馬データ!$D$2:$D$50000,E3576)))</f>
        <v/>
      </c>
      <c r="AP3576" s="8" t="str">
        <f aca="false">IF(A3576="","",IF(AO3576="","欠損",IF(AO3576&lt;=1.1,"1.0～1.1",IF(AO3576&lt;1.3,"1.2",IF(AO3576&lt;1.5,"1.3～1.4",IF(AO3576&lt;2,"1.5～1.9","2.0以上"))))))</f>
        <v/>
      </c>
      <c r="AQ3576" s="8" t="str">
        <f aca="false">IF(A3576="","",IF(ISNUMBER(SEARCH("2歳",Z3576)),"2歳戦",IF(ISNUMBER(SEARCH("3歳未勝利",Z3576)),"3歳未勝利",IF(ISNUMBER(SEARCH("未勝利",Z3576)),"その他未勝利",IF(ISNUMBER(SEARCH("G1",Z3576)),"G1",IF(ISNUMBER(SEARCH("G2",Z3576)),"G2",IF(ISNUMBER(SEARCH("G3",Z3576)),"G3",IF(ISNUMBER(SEARCH("古馬条件",Z3576)),"古馬条件戦",IF(ISNUMBER(SEARCH("重賞",Z3576)),"重賞","分類不能")))))))))</f>
        <v/>
      </c>
    </row>
    <row r="3577" customFormat="false" ht="15.75" hidden="false" customHeight="false" outlineLevel="0" collapsed="false">
      <c r="AO3577" s="8" t="str">
        <f aca="false">IF(A3577="","",IF(COUNTIFS(全馬データ!$A$2:$A$50000,A3577,全馬データ!$B$2:$B$50000,B3577,全馬データ!$C$2:$C$50000,C3577,全馬データ!$D$2:$D$50000,E3577,全馬データ!$K$2:$K$50000,"&lt;&gt;")=0,"",SUMIFS(全馬データ!$K$2:$K$50000,全馬データ!$A$2:$A$50000,A3577,全馬データ!$B$2:$B$50000,B3577,全馬データ!$C$2:$C$50000,C3577,全馬データ!$D$2:$D$50000,E3577)))</f>
        <v/>
      </c>
      <c r="AP3577" s="8" t="str">
        <f aca="false">IF(A3577="","",IF(AO3577="","欠損",IF(AO3577&lt;=1.1,"1.0～1.1",IF(AO3577&lt;1.3,"1.2",IF(AO3577&lt;1.5,"1.3～1.4",IF(AO3577&lt;2,"1.5～1.9","2.0以上"))))))</f>
        <v/>
      </c>
      <c r="AQ3577" s="8" t="str">
        <f aca="false">IF(A3577="","",IF(ISNUMBER(SEARCH("2歳",Z3577)),"2歳戦",IF(ISNUMBER(SEARCH("3歳未勝利",Z3577)),"3歳未勝利",IF(ISNUMBER(SEARCH("未勝利",Z3577)),"その他未勝利",IF(ISNUMBER(SEARCH("G1",Z3577)),"G1",IF(ISNUMBER(SEARCH("G2",Z3577)),"G2",IF(ISNUMBER(SEARCH("G3",Z3577)),"G3",IF(ISNUMBER(SEARCH("古馬条件",Z3577)),"古馬条件戦",IF(ISNUMBER(SEARCH("重賞",Z3577)),"重賞","分類不能")))))))))</f>
        <v/>
      </c>
    </row>
    <row r="3578" customFormat="false" ht="15.75" hidden="false" customHeight="false" outlineLevel="0" collapsed="false">
      <c r="AO3578" s="8" t="str">
        <f aca="false">IF(A3578="","",IF(COUNTIFS(全馬データ!$A$2:$A$50000,A3578,全馬データ!$B$2:$B$50000,B3578,全馬データ!$C$2:$C$50000,C3578,全馬データ!$D$2:$D$50000,E3578,全馬データ!$K$2:$K$50000,"&lt;&gt;")=0,"",SUMIFS(全馬データ!$K$2:$K$50000,全馬データ!$A$2:$A$50000,A3578,全馬データ!$B$2:$B$50000,B3578,全馬データ!$C$2:$C$50000,C3578,全馬データ!$D$2:$D$50000,E3578)))</f>
        <v/>
      </c>
      <c r="AP3578" s="8" t="str">
        <f aca="false">IF(A3578="","",IF(AO3578="","欠損",IF(AO3578&lt;=1.1,"1.0～1.1",IF(AO3578&lt;1.3,"1.2",IF(AO3578&lt;1.5,"1.3～1.4",IF(AO3578&lt;2,"1.5～1.9","2.0以上"))))))</f>
        <v/>
      </c>
      <c r="AQ3578" s="8" t="str">
        <f aca="false">IF(A3578="","",IF(ISNUMBER(SEARCH("2歳",Z3578)),"2歳戦",IF(ISNUMBER(SEARCH("3歳未勝利",Z3578)),"3歳未勝利",IF(ISNUMBER(SEARCH("未勝利",Z3578)),"その他未勝利",IF(ISNUMBER(SEARCH("G1",Z3578)),"G1",IF(ISNUMBER(SEARCH("G2",Z3578)),"G2",IF(ISNUMBER(SEARCH("G3",Z3578)),"G3",IF(ISNUMBER(SEARCH("古馬条件",Z3578)),"古馬条件戦",IF(ISNUMBER(SEARCH("重賞",Z3578)),"重賞","分類不能")))))))))</f>
        <v/>
      </c>
    </row>
    <row r="3579" customFormat="false" ht="15.75" hidden="false" customHeight="false" outlineLevel="0" collapsed="false">
      <c r="AO3579" s="8" t="str">
        <f aca="false">IF(A3579="","",IF(COUNTIFS(全馬データ!$A$2:$A$50000,A3579,全馬データ!$B$2:$B$50000,B3579,全馬データ!$C$2:$C$50000,C3579,全馬データ!$D$2:$D$50000,E3579,全馬データ!$K$2:$K$50000,"&lt;&gt;")=0,"",SUMIFS(全馬データ!$K$2:$K$50000,全馬データ!$A$2:$A$50000,A3579,全馬データ!$B$2:$B$50000,B3579,全馬データ!$C$2:$C$50000,C3579,全馬データ!$D$2:$D$50000,E3579)))</f>
        <v/>
      </c>
      <c r="AP3579" s="8" t="str">
        <f aca="false">IF(A3579="","",IF(AO3579="","欠損",IF(AO3579&lt;=1.1,"1.0～1.1",IF(AO3579&lt;1.3,"1.2",IF(AO3579&lt;1.5,"1.3～1.4",IF(AO3579&lt;2,"1.5～1.9","2.0以上"))))))</f>
        <v/>
      </c>
      <c r="AQ3579" s="8" t="str">
        <f aca="false">IF(A3579="","",IF(ISNUMBER(SEARCH("2歳",Z3579)),"2歳戦",IF(ISNUMBER(SEARCH("3歳未勝利",Z3579)),"3歳未勝利",IF(ISNUMBER(SEARCH("未勝利",Z3579)),"その他未勝利",IF(ISNUMBER(SEARCH("G1",Z3579)),"G1",IF(ISNUMBER(SEARCH("G2",Z3579)),"G2",IF(ISNUMBER(SEARCH("G3",Z3579)),"G3",IF(ISNUMBER(SEARCH("古馬条件",Z3579)),"古馬条件戦",IF(ISNUMBER(SEARCH("重賞",Z3579)),"重賞","分類不能")))))))))</f>
        <v/>
      </c>
    </row>
    <row r="3580" customFormat="false" ht="15.75" hidden="false" customHeight="false" outlineLevel="0" collapsed="false">
      <c r="AO3580" s="8" t="str">
        <f aca="false">IF(A3580="","",IF(COUNTIFS(全馬データ!$A$2:$A$50000,A3580,全馬データ!$B$2:$B$50000,B3580,全馬データ!$C$2:$C$50000,C3580,全馬データ!$D$2:$D$50000,E3580,全馬データ!$K$2:$K$50000,"&lt;&gt;")=0,"",SUMIFS(全馬データ!$K$2:$K$50000,全馬データ!$A$2:$A$50000,A3580,全馬データ!$B$2:$B$50000,B3580,全馬データ!$C$2:$C$50000,C3580,全馬データ!$D$2:$D$50000,E3580)))</f>
        <v/>
      </c>
      <c r="AP3580" s="8" t="str">
        <f aca="false">IF(A3580="","",IF(AO3580="","欠損",IF(AO3580&lt;=1.1,"1.0～1.1",IF(AO3580&lt;1.3,"1.2",IF(AO3580&lt;1.5,"1.3～1.4",IF(AO3580&lt;2,"1.5～1.9","2.0以上"))))))</f>
        <v/>
      </c>
      <c r="AQ3580" s="8" t="str">
        <f aca="false">IF(A3580="","",IF(ISNUMBER(SEARCH("2歳",Z3580)),"2歳戦",IF(ISNUMBER(SEARCH("3歳未勝利",Z3580)),"3歳未勝利",IF(ISNUMBER(SEARCH("未勝利",Z3580)),"その他未勝利",IF(ISNUMBER(SEARCH("G1",Z3580)),"G1",IF(ISNUMBER(SEARCH("G2",Z3580)),"G2",IF(ISNUMBER(SEARCH("G3",Z3580)),"G3",IF(ISNUMBER(SEARCH("古馬条件",Z3580)),"古馬条件戦",IF(ISNUMBER(SEARCH("重賞",Z3580)),"重賞","分類不能")))))))))</f>
        <v/>
      </c>
    </row>
    <row r="3581" customFormat="false" ht="15.75" hidden="false" customHeight="false" outlineLevel="0" collapsed="false">
      <c r="AO3581" s="8" t="str">
        <f aca="false">IF(A3581="","",IF(COUNTIFS(全馬データ!$A$2:$A$50000,A3581,全馬データ!$B$2:$B$50000,B3581,全馬データ!$C$2:$C$50000,C3581,全馬データ!$D$2:$D$50000,E3581,全馬データ!$K$2:$K$50000,"&lt;&gt;")=0,"",SUMIFS(全馬データ!$K$2:$K$50000,全馬データ!$A$2:$A$50000,A3581,全馬データ!$B$2:$B$50000,B3581,全馬データ!$C$2:$C$50000,C3581,全馬データ!$D$2:$D$50000,E3581)))</f>
        <v/>
      </c>
      <c r="AP3581" s="8" t="str">
        <f aca="false">IF(A3581="","",IF(AO3581="","欠損",IF(AO3581&lt;=1.1,"1.0～1.1",IF(AO3581&lt;1.3,"1.2",IF(AO3581&lt;1.5,"1.3～1.4",IF(AO3581&lt;2,"1.5～1.9","2.0以上"))))))</f>
        <v/>
      </c>
      <c r="AQ3581" s="8" t="str">
        <f aca="false">IF(A3581="","",IF(ISNUMBER(SEARCH("2歳",Z3581)),"2歳戦",IF(ISNUMBER(SEARCH("3歳未勝利",Z3581)),"3歳未勝利",IF(ISNUMBER(SEARCH("未勝利",Z3581)),"その他未勝利",IF(ISNUMBER(SEARCH("G1",Z3581)),"G1",IF(ISNUMBER(SEARCH("G2",Z3581)),"G2",IF(ISNUMBER(SEARCH("G3",Z3581)),"G3",IF(ISNUMBER(SEARCH("古馬条件",Z3581)),"古馬条件戦",IF(ISNUMBER(SEARCH("重賞",Z3581)),"重賞","分類不能")))))))))</f>
        <v/>
      </c>
    </row>
    <row r="3582" customFormat="false" ht="15.75" hidden="false" customHeight="false" outlineLevel="0" collapsed="false">
      <c r="AO3582" s="8" t="str">
        <f aca="false">IF(A3582="","",IF(COUNTIFS(全馬データ!$A$2:$A$50000,A3582,全馬データ!$B$2:$B$50000,B3582,全馬データ!$C$2:$C$50000,C3582,全馬データ!$D$2:$D$50000,E3582,全馬データ!$K$2:$K$50000,"&lt;&gt;")=0,"",SUMIFS(全馬データ!$K$2:$K$50000,全馬データ!$A$2:$A$50000,A3582,全馬データ!$B$2:$B$50000,B3582,全馬データ!$C$2:$C$50000,C3582,全馬データ!$D$2:$D$50000,E3582)))</f>
        <v/>
      </c>
      <c r="AP3582" s="8" t="str">
        <f aca="false">IF(A3582="","",IF(AO3582="","欠損",IF(AO3582&lt;=1.1,"1.0～1.1",IF(AO3582&lt;1.3,"1.2",IF(AO3582&lt;1.5,"1.3～1.4",IF(AO3582&lt;2,"1.5～1.9","2.0以上"))))))</f>
        <v/>
      </c>
      <c r="AQ3582" s="8" t="str">
        <f aca="false">IF(A3582="","",IF(ISNUMBER(SEARCH("2歳",Z3582)),"2歳戦",IF(ISNUMBER(SEARCH("3歳未勝利",Z3582)),"3歳未勝利",IF(ISNUMBER(SEARCH("未勝利",Z3582)),"その他未勝利",IF(ISNUMBER(SEARCH("G1",Z3582)),"G1",IF(ISNUMBER(SEARCH("G2",Z3582)),"G2",IF(ISNUMBER(SEARCH("G3",Z3582)),"G3",IF(ISNUMBER(SEARCH("古馬条件",Z3582)),"古馬条件戦",IF(ISNUMBER(SEARCH("重賞",Z3582)),"重賞","分類不能")))))))))</f>
        <v/>
      </c>
    </row>
    <row r="3583" customFormat="false" ht="15.75" hidden="false" customHeight="false" outlineLevel="0" collapsed="false">
      <c r="AO3583" s="8" t="str">
        <f aca="false">IF(A3583="","",IF(COUNTIFS(全馬データ!$A$2:$A$50000,A3583,全馬データ!$B$2:$B$50000,B3583,全馬データ!$C$2:$C$50000,C3583,全馬データ!$D$2:$D$50000,E3583,全馬データ!$K$2:$K$50000,"&lt;&gt;")=0,"",SUMIFS(全馬データ!$K$2:$K$50000,全馬データ!$A$2:$A$50000,A3583,全馬データ!$B$2:$B$50000,B3583,全馬データ!$C$2:$C$50000,C3583,全馬データ!$D$2:$D$50000,E3583)))</f>
        <v/>
      </c>
      <c r="AP3583" s="8" t="str">
        <f aca="false">IF(A3583="","",IF(AO3583="","欠損",IF(AO3583&lt;=1.1,"1.0～1.1",IF(AO3583&lt;1.3,"1.2",IF(AO3583&lt;1.5,"1.3～1.4",IF(AO3583&lt;2,"1.5～1.9","2.0以上"))))))</f>
        <v/>
      </c>
      <c r="AQ3583" s="8" t="str">
        <f aca="false">IF(A3583="","",IF(ISNUMBER(SEARCH("2歳",Z3583)),"2歳戦",IF(ISNUMBER(SEARCH("3歳未勝利",Z3583)),"3歳未勝利",IF(ISNUMBER(SEARCH("未勝利",Z3583)),"その他未勝利",IF(ISNUMBER(SEARCH("G1",Z3583)),"G1",IF(ISNUMBER(SEARCH("G2",Z3583)),"G2",IF(ISNUMBER(SEARCH("G3",Z3583)),"G3",IF(ISNUMBER(SEARCH("古馬条件",Z3583)),"古馬条件戦",IF(ISNUMBER(SEARCH("重賞",Z3583)),"重賞","分類不能")))))))))</f>
        <v/>
      </c>
    </row>
    <row r="3584" customFormat="false" ht="15.75" hidden="false" customHeight="false" outlineLevel="0" collapsed="false">
      <c r="AO3584" s="8" t="str">
        <f aca="false">IF(A3584="","",IF(COUNTIFS(全馬データ!$A$2:$A$50000,A3584,全馬データ!$B$2:$B$50000,B3584,全馬データ!$C$2:$C$50000,C3584,全馬データ!$D$2:$D$50000,E3584,全馬データ!$K$2:$K$50000,"&lt;&gt;")=0,"",SUMIFS(全馬データ!$K$2:$K$50000,全馬データ!$A$2:$A$50000,A3584,全馬データ!$B$2:$B$50000,B3584,全馬データ!$C$2:$C$50000,C3584,全馬データ!$D$2:$D$50000,E3584)))</f>
        <v/>
      </c>
      <c r="AP3584" s="8" t="str">
        <f aca="false">IF(A3584="","",IF(AO3584="","欠損",IF(AO3584&lt;=1.1,"1.0～1.1",IF(AO3584&lt;1.3,"1.2",IF(AO3584&lt;1.5,"1.3～1.4",IF(AO3584&lt;2,"1.5～1.9","2.0以上"))))))</f>
        <v/>
      </c>
      <c r="AQ3584" s="8" t="str">
        <f aca="false">IF(A3584="","",IF(ISNUMBER(SEARCH("2歳",Z3584)),"2歳戦",IF(ISNUMBER(SEARCH("3歳未勝利",Z3584)),"3歳未勝利",IF(ISNUMBER(SEARCH("未勝利",Z3584)),"その他未勝利",IF(ISNUMBER(SEARCH("G1",Z3584)),"G1",IF(ISNUMBER(SEARCH("G2",Z3584)),"G2",IF(ISNUMBER(SEARCH("G3",Z3584)),"G3",IF(ISNUMBER(SEARCH("古馬条件",Z3584)),"古馬条件戦",IF(ISNUMBER(SEARCH("重賞",Z3584)),"重賞","分類不能")))))))))</f>
        <v/>
      </c>
    </row>
    <row r="3585" customFormat="false" ht="15.75" hidden="false" customHeight="false" outlineLevel="0" collapsed="false">
      <c r="AO3585" s="8" t="str">
        <f aca="false">IF(A3585="","",IF(COUNTIFS(全馬データ!$A$2:$A$50000,A3585,全馬データ!$B$2:$B$50000,B3585,全馬データ!$C$2:$C$50000,C3585,全馬データ!$D$2:$D$50000,E3585,全馬データ!$K$2:$K$50000,"&lt;&gt;")=0,"",SUMIFS(全馬データ!$K$2:$K$50000,全馬データ!$A$2:$A$50000,A3585,全馬データ!$B$2:$B$50000,B3585,全馬データ!$C$2:$C$50000,C3585,全馬データ!$D$2:$D$50000,E3585)))</f>
        <v/>
      </c>
      <c r="AP3585" s="8" t="str">
        <f aca="false">IF(A3585="","",IF(AO3585="","欠損",IF(AO3585&lt;=1.1,"1.0～1.1",IF(AO3585&lt;1.3,"1.2",IF(AO3585&lt;1.5,"1.3～1.4",IF(AO3585&lt;2,"1.5～1.9","2.0以上"))))))</f>
        <v/>
      </c>
      <c r="AQ3585" s="8" t="str">
        <f aca="false">IF(A3585="","",IF(ISNUMBER(SEARCH("2歳",Z3585)),"2歳戦",IF(ISNUMBER(SEARCH("3歳未勝利",Z3585)),"3歳未勝利",IF(ISNUMBER(SEARCH("未勝利",Z3585)),"その他未勝利",IF(ISNUMBER(SEARCH("G1",Z3585)),"G1",IF(ISNUMBER(SEARCH("G2",Z3585)),"G2",IF(ISNUMBER(SEARCH("G3",Z3585)),"G3",IF(ISNUMBER(SEARCH("古馬条件",Z3585)),"古馬条件戦",IF(ISNUMBER(SEARCH("重賞",Z3585)),"重賞","分類不能")))))))))</f>
        <v/>
      </c>
    </row>
    <row r="3586" customFormat="false" ht="15.75" hidden="false" customHeight="false" outlineLevel="0" collapsed="false">
      <c r="AO3586" s="8" t="str">
        <f aca="false">IF(A3586="","",IF(COUNTIFS(全馬データ!$A$2:$A$50000,A3586,全馬データ!$B$2:$B$50000,B3586,全馬データ!$C$2:$C$50000,C3586,全馬データ!$D$2:$D$50000,E3586,全馬データ!$K$2:$K$50000,"&lt;&gt;")=0,"",SUMIFS(全馬データ!$K$2:$K$50000,全馬データ!$A$2:$A$50000,A3586,全馬データ!$B$2:$B$50000,B3586,全馬データ!$C$2:$C$50000,C3586,全馬データ!$D$2:$D$50000,E3586)))</f>
        <v/>
      </c>
      <c r="AP3586" s="8" t="str">
        <f aca="false">IF(A3586="","",IF(AO3586="","欠損",IF(AO3586&lt;=1.1,"1.0～1.1",IF(AO3586&lt;1.3,"1.2",IF(AO3586&lt;1.5,"1.3～1.4",IF(AO3586&lt;2,"1.5～1.9","2.0以上"))))))</f>
        <v/>
      </c>
      <c r="AQ3586" s="8" t="str">
        <f aca="false">IF(A3586="","",IF(ISNUMBER(SEARCH("2歳",Z3586)),"2歳戦",IF(ISNUMBER(SEARCH("3歳未勝利",Z3586)),"3歳未勝利",IF(ISNUMBER(SEARCH("未勝利",Z3586)),"その他未勝利",IF(ISNUMBER(SEARCH("G1",Z3586)),"G1",IF(ISNUMBER(SEARCH("G2",Z3586)),"G2",IF(ISNUMBER(SEARCH("G3",Z3586)),"G3",IF(ISNUMBER(SEARCH("古馬条件",Z3586)),"古馬条件戦",IF(ISNUMBER(SEARCH("重賞",Z3586)),"重賞","分類不能")))))))))</f>
        <v/>
      </c>
    </row>
    <row r="3587" customFormat="false" ht="15.75" hidden="false" customHeight="false" outlineLevel="0" collapsed="false">
      <c r="AO3587" s="8" t="str">
        <f aca="false">IF(A3587="","",IF(COUNTIFS(全馬データ!$A$2:$A$50000,A3587,全馬データ!$B$2:$B$50000,B3587,全馬データ!$C$2:$C$50000,C3587,全馬データ!$D$2:$D$50000,E3587,全馬データ!$K$2:$K$50000,"&lt;&gt;")=0,"",SUMIFS(全馬データ!$K$2:$K$50000,全馬データ!$A$2:$A$50000,A3587,全馬データ!$B$2:$B$50000,B3587,全馬データ!$C$2:$C$50000,C3587,全馬データ!$D$2:$D$50000,E3587)))</f>
        <v/>
      </c>
      <c r="AP3587" s="8" t="str">
        <f aca="false">IF(A3587="","",IF(AO3587="","欠損",IF(AO3587&lt;=1.1,"1.0～1.1",IF(AO3587&lt;1.3,"1.2",IF(AO3587&lt;1.5,"1.3～1.4",IF(AO3587&lt;2,"1.5～1.9","2.0以上"))))))</f>
        <v/>
      </c>
      <c r="AQ3587" s="8" t="str">
        <f aca="false">IF(A3587="","",IF(ISNUMBER(SEARCH("2歳",Z3587)),"2歳戦",IF(ISNUMBER(SEARCH("3歳未勝利",Z3587)),"3歳未勝利",IF(ISNUMBER(SEARCH("未勝利",Z3587)),"その他未勝利",IF(ISNUMBER(SEARCH("G1",Z3587)),"G1",IF(ISNUMBER(SEARCH("G2",Z3587)),"G2",IF(ISNUMBER(SEARCH("G3",Z3587)),"G3",IF(ISNUMBER(SEARCH("古馬条件",Z3587)),"古馬条件戦",IF(ISNUMBER(SEARCH("重賞",Z3587)),"重賞","分類不能")))))))))</f>
        <v/>
      </c>
    </row>
    <row r="3588" customFormat="false" ht="15.75" hidden="false" customHeight="false" outlineLevel="0" collapsed="false">
      <c r="AO3588" s="8" t="str">
        <f aca="false">IF(A3588="","",IF(COUNTIFS(全馬データ!$A$2:$A$50000,A3588,全馬データ!$B$2:$B$50000,B3588,全馬データ!$C$2:$C$50000,C3588,全馬データ!$D$2:$D$50000,E3588,全馬データ!$K$2:$K$50000,"&lt;&gt;")=0,"",SUMIFS(全馬データ!$K$2:$K$50000,全馬データ!$A$2:$A$50000,A3588,全馬データ!$B$2:$B$50000,B3588,全馬データ!$C$2:$C$50000,C3588,全馬データ!$D$2:$D$50000,E3588)))</f>
        <v/>
      </c>
      <c r="AP3588" s="8" t="str">
        <f aca="false">IF(A3588="","",IF(AO3588="","欠損",IF(AO3588&lt;=1.1,"1.0～1.1",IF(AO3588&lt;1.3,"1.2",IF(AO3588&lt;1.5,"1.3～1.4",IF(AO3588&lt;2,"1.5～1.9","2.0以上"))))))</f>
        <v/>
      </c>
      <c r="AQ3588" s="8" t="str">
        <f aca="false">IF(A3588="","",IF(ISNUMBER(SEARCH("2歳",Z3588)),"2歳戦",IF(ISNUMBER(SEARCH("3歳未勝利",Z3588)),"3歳未勝利",IF(ISNUMBER(SEARCH("未勝利",Z3588)),"その他未勝利",IF(ISNUMBER(SEARCH("G1",Z3588)),"G1",IF(ISNUMBER(SEARCH("G2",Z3588)),"G2",IF(ISNUMBER(SEARCH("G3",Z3588)),"G3",IF(ISNUMBER(SEARCH("古馬条件",Z3588)),"古馬条件戦",IF(ISNUMBER(SEARCH("重賞",Z3588)),"重賞","分類不能")))))))))</f>
        <v/>
      </c>
    </row>
    <row r="3589" customFormat="false" ht="15.75" hidden="false" customHeight="false" outlineLevel="0" collapsed="false">
      <c r="AO3589" s="8" t="str">
        <f aca="false">IF(A3589="","",IF(COUNTIFS(全馬データ!$A$2:$A$50000,A3589,全馬データ!$B$2:$B$50000,B3589,全馬データ!$C$2:$C$50000,C3589,全馬データ!$D$2:$D$50000,E3589,全馬データ!$K$2:$K$50000,"&lt;&gt;")=0,"",SUMIFS(全馬データ!$K$2:$K$50000,全馬データ!$A$2:$A$50000,A3589,全馬データ!$B$2:$B$50000,B3589,全馬データ!$C$2:$C$50000,C3589,全馬データ!$D$2:$D$50000,E3589)))</f>
        <v/>
      </c>
      <c r="AP3589" s="8" t="str">
        <f aca="false">IF(A3589="","",IF(AO3589="","欠損",IF(AO3589&lt;=1.1,"1.0～1.1",IF(AO3589&lt;1.3,"1.2",IF(AO3589&lt;1.5,"1.3～1.4",IF(AO3589&lt;2,"1.5～1.9","2.0以上"))))))</f>
        <v/>
      </c>
      <c r="AQ3589" s="8" t="str">
        <f aca="false">IF(A3589="","",IF(ISNUMBER(SEARCH("2歳",Z3589)),"2歳戦",IF(ISNUMBER(SEARCH("3歳未勝利",Z3589)),"3歳未勝利",IF(ISNUMBER(SEARCH("未勝利",Z3589)),"その他未勝利",IF(ISNUMBER(SEARCH("G1",Z3589)),"G1",IF(ISNUMBER(SEARCH("G2",Z3589)),"G2",IF(ISNUMBER(SEARCH("G3",Z3589)),"G3",IF(ISNUMBER(SEARCH("古馬条件",Z3589)),"古馬条件戦",IF(ISNUMBER(SEARCH("重賞",Z3589)),"重賞","分類不能")))))))))</f>
        <v/>
      </c>
    </row>
    <row r="3590" customFormat="false" ht="15.75" hidden="false" customHeight="false" outlineLevel="0" collapsed="false">
      <c r="AO3590" s="8" t="str">
        <f aca="false">IF(A3590="","",IF(COUNTIFS(全馬データ!$A$2:$A$50000,A3590,全馬データ!$B$2:$B$50000,B3590,全馬データ!$C$2:$C$50000,C3590,全馬データ!$D$2:$D$50000,E3590,全馬データ!$K$2:$K$50000,"&lt;&gt;")=0,"",SUMIFS(全馬データ!$K$2:$K$50000,全馬データ!$A$2:$A$50000,A3590,全馬データ!$B$2:$B$50000,B3590,全馬データ!$C$2:$C$50000,C3590,全馬データ!$D$2:$D$50000,E3590)))</f>
        <v/>
      </c>
      <c r="AP3590" s="8" t="str">
        <f aca="false">IF(A3590="","",IF(AO3590="","欠損",IF(AO3590&lt;=1.1,"1.0～1.1",IF(AO3590&lt;1.3,"1.2",IF(AO3590&lt;1.5,"1.3～1.4",IF(AO3590&lt;2,"1.5～1.9","2.0以上"))))))</f>
        <v/>
      </c>
      <c r="AQ3590" s="8" t="str">
        <f aca="false">IF(A3590="","",IF(ISNUMBER(SEARCH("2歳",Z3590)),"2歳戦",IF(ISNUMBER(SEARCH("3歳未勝利",Z3590)),"3歳未勝利",IF(ISNUMBER(SEARCH("未勝利",Z3590)),"その他未勝利",IF(ISNUMBER(SEARCH("G1",Z3590)),"G1",IF(ISNUMBER(SEARCH("G2",Z3590)),"G2",IF(ISNUMBER(SEARCH("G3",Z3590)),"G3",IF(ISNUMBER(SEARCH("古馬条件",Z3590)),"古馬条件戦",IF(ISNUMBER(SEARCH("重賞",Z3590)),"重賞","分類不能")))))))))</f>
        <v/>
      </c>
    </row>
    <row r="3591" customFormat="false" ht="15.75" hidden="false" customHeight="false" outlineLevel="0" collapsed="false">
      <c r="AO3591" s="8" t="str">
        <f aca="false">IF(A3591="","",IF(COUNTIFS(全馬データ!$A$2:$A$50000,A3591,全馬データ!$B$2:$B$50000,B3591,全馬データ!$C$2:$C$50000,C3591,全馬データ!$D$2:$D$50000,E3591,全馬データ!$K$2:$K$50000,"&lt;&gt;")=0,"",SUMIFS(全馬データ!$K$2:$K$50000,全馬データ!$A$2:$A$50000,A3591,全馬データ!$B$2:$B$50000,B3591,全馬データ!$C$2:$C$50000,C3591,全馬データ!$D$2:$D$50000,E3591)))</f>
        <v/>
      </c>
      <c r="AP3591" s="8" t="str">
        <f aca="false">IF(A3591="","",IF(AO3591="","欠損",IF(AO3591&lt;=1.1,"1.0～1.1",IF(AO3591&lt;1.3,"1.2",IF(AO3591&lt;1.5,"1.3～1.4",IF(AO3591&lt;2,"1.5～1.9","2.0以上"))))))</f>
        <v/>
      </c>
      <c r="AQ3591" s="8" t="str">
        <f aca="false">IF(A3591="","",IF(ISNUMBER(SEARCH("2歳",Z3591)),"2歳戦",IF(ISNUMBER(SEARCH("3歳未勝利",Z3591)),"3歳未勝利",IF(ISNUMBER(SEARCH("未勝利",Z3591)),"その他未勝利",IF(ISNUMBER(SEARCH("G1",Z3591)),"G1",IF(ISNUMBER(SEARCH("G2",Z3591)),"G2",IF(ISNUMBER(SEARCH("G3",Z3591)),"G3",IF(ISNUMBER(SEARCH("古馬条件",Z3591)),"古馬条件戦",IF(ISNUMBER(SEARCH("重賞",Z3591)),"重賞","分類不能")))))))))</f>
        <v/>
      </c>
    </row>
    <row r="3592" customFormat="false" ht="15.75" hidden="false" customHeight="false" outlineLevel="0" collapsed="false">
      <c r="AO3592" s="8" t="str">
        <f aca="false">IF(A3592="","",IF(COUNTIFS(全馬データ!$A$2:$A$50000,A3592,全馬データ!$B$2:$B$50000,B3592,全馬データ!$C$2:$C$50000,C3592,全馬データ!$D$2:$D$50000,E3592,全馬データ!$K$2:$K$50000,"&lt;&gt;")=0,"",SUMIFS(全馬データ!$K$2:$K$50000,全馬データ!$A$2:$A$50000,A3592,全馬データ!$B$2:$B$50000,B3592,全馬データ!$C$2:$C$50000,C3592,全馬データ!$D$2:$D$50000,E3592)))</f>
        <v/>
      </c>
      <c r="AP3592" s="8" t="str">
        <f aca="false">IF(A3592="","",IF(AO3592="","欠損",IF(AO3592&lt;=1.1,"1.0～1.1",IF(AO3592&lt;1.3,"1.2",IF(AO3592&lt;1.5,"1.3～1.4",IF(AO3592&lt;2,"1.5～1.9","2.0以上"))))))</f>
        <v/>
      </c>
      <c r="AQ3592" s="8" t="str">
        <f aca="false">IF(A3592="","",IF(ISNUMBER(SEARCH("2歳",Z3592)),"2歳戦",IF(ISNUMBER(SEARCH("3歳未勝利",Z3592)),"3歳未勝利",IF(ISNUMBER(SEARCH("未勝利",Z3592)),"その他未勝利",IF(ISNUMBER(SEARCH("G1",Z3592)),"G1",IF(ISNUMBER(SEARCH("G2",Z3592)),"G2",IF(ISNUMBER(SEARCH("G3",Z3592)),"G3",IF(ISNUMBER(SEARCH("古馬条件",Z3592)),"古馬条件戦",IF(ISNUMBER(SEARCH("重賞",Z3592)),"重賞","分類不能")))))))))</f>
        <v/>
      </c>
    </row>
    <row r="3593" customFormat="false" ht="15.75" hidden="false" customHeight="false" outlineLevel="0" collapsed="false">
      <c r="AO3593" s="8" t="str">
        <f aca="false">IF(A3593="","",IF(COUNTIFS(全馬データ!$A$2:$A$50000,A3593,全馬データ!$B$2:$B$50000,B3593,全馬データ!$C$2:$C$50000,C3593,全馬データ!$D$2:$D$50000,E3593,全馬データ!$K$2:$K$50000,"&lt;&gt;")=0,"",SUMIFS(全馬データ!$K$2:$K$50000,全馬データ!$A$2:$A$50000,A3593,全馬データ!$B$2:$B$50000,B3593,全馬データ!$C$2:$C$50000,C3593,全馬データ!$D$2:$D$50000,E3593)))</f>
        <v/>
      </c>
      <c r="AP3593" s="8" t="str">
        <f aca="false">IF(A3593="","",IF(AO3593="","欠損",IF(AO3593&lt;=1.1,"1.0～1.1",IF(AO3593&lt;1.3,"1.2",IF(AO3593&lt;1.5,"1.3～1.4",IF(AO3593&lt;2,"1.5～1.9","2.0以上"))))))</f>
        <v/>
      </c>
      <c r="AQ3593" s="8" t="str">
        <f aca="false">IF(A3593="","",IF(ISNUMBER(SEARCH("2歳",Z3593)),"2歳戦",IF(ISNUMBER(SEARCH("3歳未勝利",Z3593)),"3歳未勝利",IF(ISNUMBER(SEARCH("未勝利",Z3593)),"その他未勝利",IF(ISNUMBER(SEARCH("G1",Z3593)),"G1",IF(ISNUMBER(SEARCH("G2",Z3593)),"G2",IF(ISNUMBER(SEARCH("G3",Z3593)),"G3",IF(ISNUMBER(SEARCH("古馬条件",Z3593)),"古馬条件戦",IF(ISNUMBER(SEARCH("重賞",Z3593)),"重賞","分類不能")))))))))</f>
        <v/>
      </c>
    </row>
    <row r="3594" customFormat="false" ht="15.75" hidden="false" customHeight="false" outlineLevel="0" collapsed="false">
      <c r="AO3594" s="8" t="str">
        <f aca="false">IF(A3594="","",IF(COUNTIFS(全馬データ!$A$2:$A$50000,A3594,全馬データ!$B$2:$B$50000,B3594,全馬データ!$C$2:$C$50000,C3594,全馬データ!$D$2:$D$50000,E3594,全馬データ!$K$2:$K$50000,"&lt;&gt;")=0,"",SUMIFS(全馬データ!$K$2:$K$50000,全馬データ!$A$2:$A$50000,A3594,全馬データ!$B$2:$B$50000,B3594,全馬データ!$C$2:$C$50000,C3594,全馬データ!$D$2:$D$50000,E3594)))</f>
        <v/>
      </c>
      <c r="AP3594" s="8" t="str">
        <f aca="false">IF(A3594="","",IF(AO3594="","欠損",IF(AO3594&lt;=1.1,"1.0～1.1",IF(AO3594&lt;1.3,"1.2",IF(AO3594&lt;1.5,"1.3～1.4",IF(AO3594&lt;2,"1.5～1.9","2.0以上"))))))</f>
        <v/>
      </c>
      <c r="AQ3594" s="8" t="str">
        <f aca="false">IF(A3594="","",IF(ISNUMBER(SEARCH("2歳",Z3594)),"2歳戦",IF(ISNUMBER(SEARCH("3歳未勝利",Z3594)),"3歳未勝利",IF(ISNUMBER(SEARCH("未勝利",Z3594)),"その他未勝利",IF(ISNUMBER(SEARCH("G1",Z3594)),"G1",IF(ISNUMBER(SEARCH("G2",Z3594)),"G2",IF(ISNUMBER(SEARCH("G3",Z3594)),"G3",IF(ISNUMBER(SEARCH("古馬条件",Z3594)),"古馬条件戦",IF(ISNUMBER(SEARCH("重賞",Z3594)),"重賞","分類不能")))))))))</f>
        <v/>
      </c>
    </row>
    <row r="3595" customFormat="false" ht="15.75" hidden="false" customHeight="false" outlineLevel="0" collapsed="false">
      <c r="AO3595" s="8" t="str">
        <f aca="false">IF(A3595="","",IF(COUNTIFS(全馬データ!$A$2:$A$50000,A3595,全馬データ!$B$2:$B$50000,B3595,全馬データ!$C$2:$C$50000,C3595,全馬データ!$D$2:$D$50000,E3595,全馬データ!$K$2:$K$50000,"&lt;&gt;")=0,"",SUMIFS(全馬データ!$K$2:$K$50000,全馬データ!$A$2:$A$50000,A3595,全馬データ!$B$2:$B$50000,B3595,全馬データ!$C$2:$C$50000,C3595,全馬データ!$D$2:$D$50000,E3595)))</f>
        <v/>
      </c>
      <c r="AP3595" s="8" t="str">
        <f aca="false">IF(A3595="","",IF(AO3595="","欠損",IF(AO3595&lt;=1.1,"1.0～1.1",IF(AO3595&lt;1.3,"1.2",IF(AO3595&lt;1.5,"1.3～1.4",IF(AO3595&lt;2,"1.5～1.9","2.0以上"))))))</f>
        <v/>
      </c>
      <c r="AQ3595" s="8" t="str">
        <f aca="false">IF(A3595="","",IF(ISNUMBER(SEARCH("2歳",Z3595)),"2歳戦",IF(ISNUMBER(SEARCH("3歳未勝利",Z3595)),"3歳未勝利",IF(ISNUMBER(SEARCH("未勝利",Z3595)),"その他未勝利",IF(ISNUMBER(SEARCH("G1",Z3595)),"G1",IF(ISNUMBER(SEARCH("G2",Z3595)),"G2",IF(ISNUMBER(SEARCH("G3",Z3595)),"G3",IF(ISNUMBER(SEARCH("古馬条件",Z3595)),"古馬条件戦",IF(ISNUMBER(SEARCH("重賞",Z3595)),"重賞","分類不能")))))))))</f>
        <v/>
      </c>
    </row>
    <row r="3596" customFormat="false" ht="15.75" hidden="false" customHeight="false" outlineLevel="0" collapsed="false">
      <c r="AO3596" s="8" t="str">
        <f aca="false">IF(A3596="","",IF(COUNTIFS(全馬データ!$A$2:$A$50000,A3596,全馬データ!$B$2:$B$50000,B3596,全馬データ!$C$2:$C$50000,C3596,全馬データ!$D$2:$D$50000,E3596,全馬データ!$K$2:$K$50000,"&lt;&gt;")=0,"",SUMIFS(全馬データ!$K$2:$K$50000,全馬データ!$A$2:$A$50000,A3596,全馬データ!$B$2:$B$50000,B3596,全馬データ!$C$2:$C$50000,C3596,全馬データ!$D$2:$D$50000,E3596)))</f>
        <v/>
      </c>
      <c r="AP3596" s="8" t="str">
        <f aca="false">IF(A3596="","",IF(AO3596="","欠損",IF(AO3596&lt;=1.1,"1.0～1.1",IF(AO3596&lt;1.3,"1.2",IF(AO3596&lt;1.5,"1.3～1.4",IF(AO3596&lt;2,"1.5～1.9","2.0以上"))))))</f>
        <v/>
      </c>
      <c r="AQ3596" s="8" t="str">
        <f aca="false">IF(A3596="","",IF(ISNUMBER(SEARCH("2歳",Z3596)),"2歳戦",IF(ISNUMBER(SEARCH("3歳未勝利",Z3596)),"3歳未勝利",IF(ISNUMBER(SEARCH("未勝利",Z3596)),"その他未勝利",IF(ISNUMBER(SEARCH("G1",Z3596)),"G1",IF(ISNUMBER(SEARCH("G2",Z3596)),"G2",IF(ISNUMBER(SEARCH("G3",Z3596)),"G3",IF(ISNUMBER(SEARCH("古馬条件",Z3596)),"古馬条件戦",IF(ISNUMBER(SEARCH("重賞",Z3596)),"重賞","分類不能")))))))))</f>
        <v/>
      </c>
    </row>
    <row r="3597" customFormat="false" ht="15.75" hidden="false" customHeight="false" outlineLevel="0" collapsed="false">
      <c r="AO3597" s="8" t="str">
        <f aca="false">IF(A3597="","",IF(COUNTIFS(全馬データ!$A$2:$A$50000,A3597,全馬データ!$B$2:$B$50000,B3597,全馬データ!$C$2:$C$50000,C3597,全馬データ!$D$2:$D$50000,E3597,全馬データ!$K$2:$K$50000,"&lt;&gt;")=0,"",SUMIFS(全馬データ!$K$2:$K$50000,全馬データ!$A$2:$A$50000,A3597,全馬データ!$B$2:$B$50000,B3597,全馬データ!$C$2:$C$50000,C3597,全馬データ!$D$2:$D$50000,E3597)))</f>
        <v/>
      </c>
      <c r="AP3597" s="8" t="str">
        <f aca="false">IF(A3597="","",IF(AO3597="","欠損",IF(AO3597&lt;=1.1,"1.0～1.1",IF(AO3597&lt;1.3,"1.2",IF(AO3597&lt;1.5,"1.3～1.4",IF(AO3597&lt;2,"1.5～1.9","2.0以上"))))))</f>
        <v/>
      </c>
      <c r="AQ3597" s="8" t="str">
        <f aca="false">IF(A3597="","",IF(ISNUMBER(SEARCH("2歳",Z3597)),"2歳戦",IF(ISNUMBER(SEARCH("3歳未勝利",Z3597)),"3歳未勝利",IF(ISNUMBER(SEARCH("未勝利",Z3597)),"その他未勝利",IF(ISNUMBER(SEARCH("G1",Z3597)),"G1",IF(ISNUMBER(SEARCH("G2",Z3597)),"G2",IF(ISNUMBER(SEARCH("G3",Z3597)),"G3",IF(ISNUMBER(SEARCH("古馬条件",Z3597)),"古馬条件戦",IF(ISNUMBER(SEARCH("重賞",Z3597)),"重賞","分類不能")))))))))</f>
        <v/>
      </c>
    </row>
    <row r="3598" customFormat="false" ht="15.75" hidden="false" customHeight="false" outlineLevel="0" collapsed="false">
      <c r="AO3598" s="8" t="str">
        <f aca="false">IF(A3598="","",IF(COUNTIFS(全馬データ!$A$2:$A$50000,A3598,全馬データ!$B$2:$B$50000,B3598,全馬データ!$C$2:$C$50000,C3598,全馬データ!$D$2:$D$50000,E3598,全馬データ!$K$2:$K$50000,"&lt;&gt;")=0,"",SUMIFS(全馬データ!$K$2:$K$50000,全馬データ!$A$2:$A$50000,A3598,全馬データ!$B$2:$B$50000,B3598,全馬データ!$C$2:$C$50000,C3598,全馬データ!$D$2:$D$50000,E3598)))</f>
        <v/>
      </c>
      <c r="AP3598" s="8" t="str">
        <f aca="false">IF(A3598="","",IF(AO3598="","欠損",IF(AO3598&lt;=1.1,"1.0～1.1",IF(AO3598&lt;1.3,"1.2",IF(AO3598&lt;1.5,"1.3～1.4",IF(AO3598&lt;2,"1.5～1.9","2.0以上"))))))</f>
        <v/>
      </c>
      <c r="AQ3598" s="8" t="str">
        <f aca="false">IF(A3598="","",IF(ISNUMBER(SEARCH("2歳",Z3598)),"2歳戦",IF(ISNUMBER(SEARCH("3歳未勝利",Z3598)),"3歳未勝利",IF(ISNUMBER(SEARCH("未勝利",Z3598)),"その他未勝利",IF(ISNUMBER(SEARCH("G1",Z3598)),"G1",IF(ISNUMBER(SEARCH("G2",Z3598)),"G2",IF(ISNUMBER(SEARCH("G3",Z3598)),"G3",IF(ISNUMBER(SEARCH("古馬条件",Z3598)),"古馬条件戦",IF(ISNUMBER(SEARCH("重賞",Z3598)),"重賞","分類不能")))))))))</f>
        <v/>
      </c>
    </row>
    <row r="3599" customFormat="false" ht="15.75" hidden="false" customHeight="false" outlineLevel="0" collapsed="false">
      <c r="AO3599" s="8" t="str">
        <f aca="false">IF(A3599="","",IF(COUNTIFS(全馬データ!$A$2:$A$50000,A3599,全馬データ!$B$2:$B$50000,B3599,全馬データ!$C$2:$C$50000,C3599,全馬データ!$D$2:$D$50000,E3599,全馬データ!$K$2:$K$50000,"&lt;&gt;")=0,"",SUMIFS(全馬データ!$K$2:$K$50000,全馬データ!$A$2:$A$50000,A3599,全馬データ!$B$2:$B$50000,B3599,全馬データ!$C$2:$C$50000,C3599,全馬データ!$D$2:$D$50000,E3599)))</f>
        <v/>
      </c>
      <c r="AP3599" s="8" t="str">
        <f aca="false">IF(A3599="","",IF(AO3599="","欠損",IF(AO3599&lt;=1.1,"1.0～1.1",IF(AO3599&lt;1.3,"1.2",IF(AO3599&lt;1.5,"1.3～1.4",IF(AO3599&lt;2,"1.5～1.9","2.0以上"))))))</f>
        <v/>
      </c>
      <c r="AQ3599" s="8" t="str">
        <f aca="false">IF(A3599="","",IF(ISNUMBER(SEARCH("2歳",Z3599)),"2歳戦",IF(ISNUMBER(SEARCH("3歳未勝利",Z3599)),"3歳未勝利",IF(ISNUMBER(SEARCH("未勝利",Z3599)),"その他未勝利",IF(ISNUMBER(SEARCH("G1",Z3599)),"G1",IF(ISNUMBER(SEARCH("G2",Z3599)),"G2",IF(ISNUMBER(SEARCH("G3",Z3599)),"G3",IF(ISNUMBER(SEARCH("古馬条件",Z3599)),"古馬条件戦",IF(ISNUMBER(SEARCH("重賞",Z3599)),"重賞","分類不能")))))))))</f>
        <v/>
      </c>
    </row>
    <row r="3600" customFormat="false" ht="15.75" hidden="false" customHeight="false" outlineLevel="0" collapsed="false">
      <c r="AO3600" s="8" t="str">
        <f aca="false">IF(A3600="","",IF(COUNTIFS(全馬データ!$A$2:$A$50000,A3600,全馬データ!$B$2:$B$50000,B3600,全馬データ!$C$2:$C$50000,C3600,全馬データ!$D$2:$D$50000,E3600,全馬データ!$K$2:$K$50000,"&lt;&gt;")=0,"",SUMIFS(全馬データ!$K$2:$K$50000,全馬データ!$A$2:$A$50000,A3600,全馬データ!$B$2:$B$50000,B3600,全馬データ!$C$2:$C$50000,C3600,全馬データ!$D$2:$D$50000,E3600)))</f>
        <v/>
      </c>
      <c r="AP3600" s="8" t="str">
        <f aca="false">IF(A3600="","",IF(AO3600="","欠損",IF(AO3600&lt;=1.1,"1.0～1.1",IF(AO3600&lt;1.3,"1.2",IF(AO3600&lt;1.5,"1.3～1.4",IF(AO3600&lt;2,"1.5～1.9","2.0以上"))))))</f>
        <v/>
      </c>
      <c r="AQ3600" s="8" t="str">
        <f aca="false">IF(A3600="","",IF(ISNUMBER(SEARCH("2歳",Z3600)),"2歳戦",IF(ISNUMBER(SEARCH("3歳未勝利",Z3600)),"3歳未勝利",IF(ISNUMBER(SEARCH("未勝利",Z3600)),"その他未勝利",IF(ISNUMBER(SEARCH("G1",Z3600)),"G1",IF(ISNUMBER(SEARCH("G2",Z3600)),"G2",IF(ISNUMBER(SEARCH("G3",Z3600)),"G3",IF(ISNUMBER(SEARCH("古馬条件",Z3600)),"古馬条件戦",IF(ISNUMBER(SEARCH("重賞",Z3600)),"重賞","分類不能")))))))))</f>
        <v/>
      </c>
    </row>
    <row r="3601" customFormat="false" ht="15.75" hidden="false" customHeight="false" outlineLevel="0" collapsed="false">
      <c r="AO3601" s="8" t="str">
        <f aca="false">IF(A3601="","",IF(COUNTIFS(全馬データ!$A$2:$A$50000,A3601,全馬データ!$B$2:$B$50000,B3601,全馬データ!$C$2:$C$50000,C3601,全馬データ!$D$2:$D$50000,E3601,全馬データ!$K$2:$K$50000,"&lt;&gt;")=0,"",SUMIFS(全馬データ!$K$2:$K$50000,全馬データ!$A$2:$A$50000,A3601,全馬データ!$B$2:$B$50000,B3601,全馬データ!$C$2:$C$50000,C3601,全馬データ!$D$2:$D$50000,E3601)))</f>
        <v/>
      </c>
      <c r="AP3601" s="8" t="str">
        <f aca="false">IF(A3601="","",IF(AO3601="","欠損",IF(AO3601&lt;=1.1,"1.0～1.1",IF(AO3601&lt;1.3,"1.2",IF(AO3601&lt;1.5,"1.3～1.4",IF(AO3601&lt;2,"1.5～1.9","2.0以上"))))))</f>
        <v/>
      </c>
      <c r="AQ3601" s="8" t="str">
        <f aca="false">IF(A3601="","",IF(ISNUMBER(SEARCH("2歳",Z3601)),"2歳戦",IF(ISNUMBER(SEARCH("3歳未勝利",Z3601)),"3歳未勝利",IF(ISNUMBER(SEARCH("未勝利",Z3601)),"その他未勝利",IF(ISNUMBER(SEARCH("G1",Z3601)),"G1",IF(ISNUMBER(SEARCH("G2",Z3601)),"G2",IF(ISNUMBER(SEARCH("G3",Z3601)),"G3",IF(ISNUMBER(SEARCH("古馬条件",Z3601)),"古馬条件戦",IF(ISNUMBER(SEARCH("重賞",Z3601)),"重賞","分類不能")))))))))</f>
        <v/>
      </c>
    </row>
    <row r="3602" customFormat="false" ht="15.75" hidden="false" customHeight="false" outlineLevel="0" collapsed="false">
      <c r="AO3602" s="8" t="str">
        <f aca="false">IF(A3602="","",IF(COUNTIFS(全馬データ!$A$2:$A$50000,A3602,全馬データ!$B$2:$B$50000,B3602,全馬データ!$C$2:$C$50000,C3602,全馬データ!$D$2:$D$50000,E3602,全馬データ!$K$2:$K$50000,"&lt;&gt;")=0,"",SUMIFS(全馬データ!$K$2:$K$50000,全馬データ!$A$2:$A$50000,A3602,全馬データ!$B$2:$B$50000,B3602,全馬データ!$C$2:$C$50000,C3602,全馬データ!$D$2:$D$50000,E3602)))</f>
        <v/>
      </c>
      <c r="AP3602" s="8" t="str">
        <f aca="false">IF(A3602="","",IF(AO3602="","欠損",IF(AO3602&lt;=1.1,"1.0～1.1",IF(AO3602&lt;1.3,"1.2",IF(AO3602&lt;1.5,"1.3～1.4",IF(AO3602&lt;2,"1.5～1.9","2.0以上"))))))</f>
        <v/>
      </c>
      <c r="AQ3602" s="8" t="str">
        <f aca="false">IF(A3602="","",IF(ISNUMBER(SEARCH("2歳",Z3602)),"2歳戦",IF(ISNUMBER(SEARCH("3歳未勝利",Z3602)),"3歳未勝利",IF(ISNUMBER(SEARCH("未勝利",Z3602)),"その他未勝利",IF(ISNUMBER(SEARCH("G1",Z3602)),"G1",IF(ISNUMBER(SEARCH("G2",Z3602)),"G2",IF(ISNUMBER(SEARCH("G3",Z3602)),"G3",IF(ISNUMBER(SEARCH("古馬条件",Z3602)),"古馬条件戦",IF(ISNUMBER(SEARCH("重賞",Z3602)),"重賞","分類不能")))))))))</f>
        <v/>
      </c>
    </row>
    <row r="3603" customFormat="false" ht="15.75" hidden="false" customHeight="false" outlineLevel="0" collapsed="false">
      <c r="AO3603" s="8" t="str">
        <f aca="false">IF(A3603="","",IF(COUNTIFS(全馬データ!$A$2:$A$50000,A3603,全馬データ!$B$2:$B$50000,B3603,全馬データ!$C$2:$C$50000,C3603,全馬データ!$D$2:$D$50000,E3603,全馬データ!$K$2:$K$50000,"&lt;&gt;")=0,"",SUMIFS(全馬データ!$K$2:$K$50000,全馬データ!$A$2:$A$50000,A3603,全馬データ!$B$2:$B$50000,B3603,全馬データ!$C$2:$C$50000,C3603,全馬データ!$D$2:$D$50000,E3603)))</f>
        <v/>
      </c>
      <c r="AP3603" s="8" t="str">
        <f aca="false">IF(A3603="","",IF(AO3603="","欠損",IF(AO3603&lt;=1.1,"1.0～1.1",IF(AO3603&lt;1.3,"1.2",IF(AO3603&lt;1.5,"1.3～1.4",IF(AO3603&lt;2,"1.5～1.9","2.0以上"))))))</f>
        <v/>
      </c>
      <c r="AQ3603" s="8" t="str">
        <f aca="false">IF(A3603="","",IF(ISNUMBER(SEARCH("2歳",Z3603)),"2歳戦",IF(ISNUMBER(SEARCH("3歳未勝利",Z3603)),"3歳未勝利",IF(ISNUMBER(SEARCH("未勝利",Z3603)),"その他未勝利",IF(ISNUMBER(SEARCH("G1",Z3603)),"G1",IF(ISNUMBER(SEARCH("G2",Z3603)),"G2",IF(ISNUMBER(SEARCH("G3",Z3603)),"G3",IF(ISNUMBER(SEARCH("古馬条件",Z3603)),"古馬条件戦",IF(ISNUMBER(SEARCH("重賞",Z3603)),"重賞","分類不能")))))))))</f>
        <v/>
      </c>
    </row>
    <row r="3604" customFormat="false" ht="15.75" hidden="false" customHeight="false" outlineLevel="0" collapsed="false">
      <c r="AO3604" s="8" t="str">
        <f aca="false">IF(A3604="","",IF(COUNTIFS(全馬データ!$A$2:$A$50000,A3604,全馬データ!$B$2:$B$50000,B3604,全馬データ!$C$2:$C$50000,C3604,全馬データ!$D$2:$D$50000,E3604,全馬データ!$K$2:$K$50000,"&lt;&gt;")=0,"",SUMIFS(全馬データ!$K$2:$K$50000,全馬データ!$A$2:$A$50000,A3604,全馬データ!$B$2:$B$50000,B3604,全馬データ!$C$2:$C$50000,C3604,全馬データ!$D$2:$D$50000,E3604)))</f>
        <v/>
      </c>
      <c r="AP3604" s="8" t="str">
        <f aca="false">IF(A3604="","",IF(AO3604="","欠損",IF(AO3604&lt;=1.1,"1.0～1.1",IF(AO3604&lt;1.3,"1.2",IF(AO3604&lt;1.5,"1.3～1.4",IF(AO3604&lt;2,"1.5～1.9","2.0以上"))))))</f>
        <v/>
      </c>
      <c r="AQ3604" s="8" t="str">
        <f aca="false">IF(A3604="","",IF(ISNUMBER(SEARCH("2歳",Z3604)),"2歳戦",IF(ISNUMBER(SEARCH("3歳未勝利",Z3604)),"3歳未勝利",IF(ISNUMBER(SEARCH("未勝利",Z3604)),"その他未勝利",IF(ISNUMBER(SEARCH("G1",Z3604)),"G1",IF(ISNUMBER(SEARCH("G2",Z3604)),"G2",IF(ISNUMBER(SEARCH("G3",Z3604)),"G3",IF(ISNUMBER(SEARCH("古馬条件",Z3604)),"古馬条件戦",IF(ISNUMBER(SEARCH("重賞",Z3604)),"重賞","分類不能")))))))))</f>
        <v/>
      </c>
    </row>
    <row r="3605" customFormat="false" ht="15.75" hidden="false" customHeight="false" outlineLevel="0" collapsed="false">
      <c r="AO3605" s="8" t="str">
        <f aca="false">IF(A3605="","",IF(COUNTIFS(全馬データ!$A$2:$A$50000,A3605,全馬データ!$B$2:$B$50000,B3605,全馬データ!$C$2:$C$50000,C3605,全馬データ!$D$2:$D$50000,E3605,全馬データ!$K$2:$K$50000,"&lt;&gt;")=0,"",SUMIFS(全馬データ!$K$2:$K$50000,全馬データ!$A$2:$A$50000,A3605,全馬データ!$B$2:$B$50000,B3605,全馬データ!$C$2:$C$50000,C3605,全馬データ!$D$2:$D$50000,E3605)))</f>
        <v/>
      </c>
      <c r="AP3605" s="8" t="str">
        <f aca="false">IF(A3605="","",IF(AO3605="","欠損",IF(AO3605&lt;=1.1,"1.0～1.1",IF(AO3605&lt;1.3,"1.2",IF(AO3605&lt;1.5,"1.3～1.4",IF(AO3605&lt;2,"1.5～1.9","2.0以上"))))))</f>
        <v/>
      </c>
      <c r="AQ3605" s="8" t="str">
        <f aca="false">IF(A3605="","",IF(ISNUMBER(SEARCH("2歳",Z3605)),"2歳戦",IF(ISNUMBER(SEARCH("3歳未勝利",Z3605)),"3歳未勝利",IF(ISNUMBER(SEARCH("未勝利",Z3605)),"その他未勝利",IF(ISNUMBER(SEARCH("G1",Z3605)),"G1",IF(ISNUMBER(SEARCH("G2",Z3605)),"G2",IF(ISNUMBER(SEARCH("G3",Z3605)),"G3",IF(ISNUMBER(SEARCH("古馬条件",Z3605)),"古馬条件戦",IF(ISNUMBER(SEARCH("重賞",Z3605)),"重賞","分類不能")))))))))</f>
        <v/>
      </c>
    </row>
    <row r="3606" customFormat="false" ht="15.75" hidden="false" customHeight="false" outlineLevel="0" collapsed="false">
      <c r="AO3606" s="8" t="str">
        <f aca="false">IF(A3606="","",IF(COUNTIFS(全馬データ!$A$2:$A$50000,A3606,全馬データ!$B$2:$B$50000,B3606,全馬データ!$C$2:$C$50000,C3606,全馬データ!$D$2:$D$50000,E3606,全馬データ!$K$2:$K$50000,"&lt;&gt;")=0,"",SUMIFS(全馬データ!$K$2:$K$50000,全馬データ!$A$2:$A$50000,A3606,全馬データ!$B$2:$B$50000,B3606,全馬データ!$C$2:$C$50000,C3606,全馬データ!$D$2:$D$50000,E3606)))</f>
        <v/>
      </c>
      <c r="AP3606" s="8" t="str">
        <f aca="false">IF(A3606="","",IF(AO3606="","欠損",IF(AO3606&lt;=1.1,"1.0～1.1",IF(AO3606&lt;1.3,"1.2",IF(AO3606&lt;1.5,"1.3～1.4",IF(AO3606&lt;2,"1.5～1.9","2.0以上"))))))</f>
        <v/>
      </c>
      <c r="AQ3606" s="8" t="str">
        <f aca="false">IF(A3606="","",IF(ISNUMBER(SEARCH("2歳",Z3606)),"2歳戦",IF(ISNUMBER(SEARCH("3歳未勝利",Z3606)),"3歳未勝利",IF(ISNUMBER(SEARCH("未勝利",Z3606)),"その他未勝利",IF(ISNUMBER(SEARCH("G1",Z3606)),"G1",IF(ISNUMBER(SEARCH("G2",Z3606)),"G2",IF(ISNUMBER(SEARCH("G3",Z3606)),"G3",IF(ISNUMBER(SEARCH("古馬条件",Z3606)),"古馬条件戦",IF(ISNUMBER(SEARCH("重賞",Z3606)),"重賞","分類不能")))))))))</f>
        <v/>
      </c>
    </row>
    <row r="3607" customFormat="false" ht="15.75" hidden="false" customHeight="false" outlineLevel="0" collapsed="false">
      <c r="AO3607" s="8" t="str">
        <f aca="false">IF(A3607="","",IF(COUNTIFS(全馬データ!$A$2:$A$50000,A3607,全馬データ!$B$2:$B$50000,B3607,全馬データ!$C$2:$C$50000,C3607,全馬データ!$D$2:$D$50000,E3607,全馬データ!$K$2:$K$50000,"&lt;&gt;")=0,"",SUMIFS(全馬データ!$K$2:$K$50000,全馬データ!$A$2:$A$50000,A3607,全馬データ!$B$2:$B$50000,B3607,全馬データ!$C$2:$C$50000,C3607,全馬データ!$D$2:$D$50000,E3607)))</f>
        <v/>
      </c>
      <c r="AP3607" s="8" t="str">
        <f aca="false">IF(A3607="","",IF(AO3607="","欠損",IF(AO3607&lt;=1.1,"1.0～1.1",IF(AO3607&lt;1.3,"1.2",IF(AO3607&lt;1.5,"1.3～1.4",IF(AO3607&lt;2,"1.5～1.9","2.0以上"))))))</f>
        <v/>
      </c>
      <c r="AQ3607" s="8" t="str">
        <f aca="false">IF(A3607="","",IF(ISNUMBER(SEARCH("2歳",Z3607)),"2歳戦",IF(ISNUMBER(SEARCH("3歳未勝利",Z3607)),"3歳未勝利",IF(ISNUMBER(SEARCH("未勝利",Z3607)),"その他未勝利",IF(ISNUMBER(SEARCH("G1",Z3607)),"G1",IF(ISNUMBER(SEARCH("G2",Z3607)),"G2",IF(ISNUMBER(SEARCH("G3",Z3607)),"G3",IF(ISNUMBER(SEARCH("古馬条件",Z3607)),"古馬条件戦",IF(ISNUMBER(SEARCH("重賞",Z3607)),"重賞","分類不能")))))))))</f>
        <v/>
      </c>
    </row>
    <row r="3608" customFormat="false" ht="15.75" hidden="false" customHeight="false" outlineLevel="0" collapsed="false">
      <c r="AO3608" s="8" t="str">
        <f aca="false">IF(A3608="","",IF(COUNTIFS(全馬データ!$A$2:$A$50000,A3608,全馬データ!$B$2:$B$50000,B3608,全馬データ!$C$2:$C$50000,C3608,全馬データ!$D$2:$D$50000,E3608,全馬データ!$K$2:$K$50000,"&lt;&gt;")=0,"",SUMIFS(全馬データ!$K$2:$K$50000,全馬データ!$A$2:$A$50000,A3608,全馬データ!$B$2:$B$50000,B3608,全馬データ!$C$2:$C$50000,C3608,全馬データ!$D$2:$D$50000,E3608)))</f>
        <v/>
      </c>
      <c r="AP3608" s="8" t="str">
        <f aca="false">IF(A3608="","",IF(AO3608="","欠損",IF(AO3608&lt;=1.1,"1.0～1.1",IF(AO3608&lt;1.3,"1.2",IF(AO3608&lt;1.5,"1.3～1.4",IF(AO3608&lt;2,"1.5～1.9","2.0以上"))))))</f>
        <v/>
      </c>
      <c r="AQ3608" s="8" t="str">
        <f aca="false">IF(A3608="","",IF(ISNUMBER(SEARCH("2歳",Z3608)),"2歳戦",IF(ISNUMBER(SEARCH("3歳未勝利",Z3608)),"3歳未勝利",IF(ISNUMBER(SEARCH("未勝利",Z3608)),"その他未勝利",IF(ISNUMBER(SEARCH("G1",Z3608)),"G1",IF(ISNUMBER(SEARCH("G2",Z3608)),"G2",IF(ISNUMBER(SEARCH("G3",Z3608)),"G3",IF(ISNUMBER(SEARCH("古馬条件",Z3608)),"古馬条件戦",IF(ISNUMBER(SEARCH("重賞",Z3608)),"重賞","分類不能")))))))))</f>
        <v/>
      </c>
    </row>
    <row r="3609" customFormat="false" ht="15.75" hidden="false" customHeight="false" outlineLevel="0" collapsed="false">
      <c r="AO3609" s="8" t="str">
        <f aca="false">IF(A3609="","",IF(COUNTIFS(全馬データ!$A$2:$A$50000,A3609,全馬データ!$B$2:$B$50000,B3609,全馬データ!$C$2:$C$50000,C3609,全馬データ!$D$2:$D$50000,E3609,全馬データ!$K$2:$K$50000,"&lt;&gt;")=0,"",SUMIFS(全馬データ!$K$2:$K$50000,全馬データ!$A$2:$A$50000,A3609,全馬データ!$B$2:$B$50000,B3609,全馬データ!$C$2:$C$50000,C3609,全馬データ!$D$2:$D$50000,E3609)))</f>
        <v/>
      </c>
      <c r="AP3609" s="8" t="str">
        <f aca="false">IF(A3609="","",IF(AO3609="","欠損",IF(AO3609&lt;=1.1,"1.0～1.1",IF(AO3609&lt;1.3,"1.2",IF(AO3609&lt;1.5,"1.3～1.4",IF(AO3609&lt;2,"1.5～1.9","2.0以上"))))))</f>
        <v/>
      </c>
      <c r="AQ3609" s="8" t="str">
        <f aca="false">IF(A3609="","",IF(ISNUMBER(SEARCH("2歳",Z3609)),"2歳戦",IF(ISNUMBER(SEARCH("3歳未勝利",Z3609)),"3歳未勝利",IF(ISNUMBER(SEARCH("未勝利",Z3609)),"その他未勝利",IF(ISNUMBER(SEARCH("G1",Z3609)),"G1",IF(ISNUMBER(SEARCH("G2",Z3609)),"G2",IF(ISNUMBER(SEARCH("G3",Z3609)),"G3",IF(ISNUMBER(SEARCH("古馬条件",Z3609)),"古馬条件戦",IF(ISNUMBER(SEARCH("重賞",Z3609)),"重賞","分類不能")))))))))</f>
        <v/>
      </c>
    </row>
    <row r="3610" customFormat="false" ht="15.75" hidden="false" customHeight="false" outlineLevel="0" collapsed="false">
      <c r="AO3610" s="8" t="str">
        <f aca="false">IF(A3610="","",IF(COUNTIFS(全馬データ!$A$2:$A$50000,A3610,全馬データ!$B$2:$B$50000,B3610,全馬データ!$C$2:$C$50000,C3610,全馬データ!$D$2:$D$50000,E3610,全馬データ!$K$2:$K$50000,"&lt;&gt;")=0,"",SUMIFS(全馬データ!$K$2:$K$50000,全馬データ!$A$2:$A$50000,A3610,全馬データ!$B$2:$B$50000,B3610,全馬データ!$C$2:$C$50000,C3610,全馬データ!$D$2:$D$50000,E3610)))</f>
        <v/>
      </c>
      <c r="AP3610" s="8" t="str">
        <f aca="false">IF(A3610="","",IF(AO3610="","欠損",IF(AO3610&lt;=1.1,"1.0～1.1",IF(AO3610&lt;1.3,"1.2",IF(AO3610&lt;1.5,"1.3～1.4",IF(AO3610&lt;2,"1.5～1.9","2.0以上"))))))</f>
        <v/>
      </c>
      <c r="AQ3610" s="8" t="str">
        <f aca="false">IF(A3610="","",IF(ISNUMBER(SEARCH("2歳",Z3610)),"2歳戦",IF(ISNUMBER(SEARCH("3歳未勝利",Z3610)),"3歳未勝利",IF(ISNUMBER(SEARCH("未勝利",Z3610)),"その他未勝利",IF(ISNUMBER(SEARCH("G1",Z3610)),"G1",IF(ISNUMBER(SEARCH("G2",Z3610)),"G2",IF(ISNUMBER(SEARCH("G3",Z3610)),"G3",IF(ISNUMBER(SEARCH("古馬条件",Z3610)),"古馬条件戦",IF(ISNUMBER(SEARCH("重賞",Z3610)),"重賞","分類不能")))))))))</f>
        <v/>
      </c>
    </row>
    <row r="3611" customFormat="false" ht="15.75" hidden="false" customHeight="false" outlineLevel="0" collapsed="false">
      <c r="AO3611" s="8" t="str">
        <f aca="false">IF(A3611="","",IF(COUNTIFS(全馬データ!$A$2:$A$50000,A3611,全馬データ!$B$2:$B$50000,B3611,全馬データ!$C$2:$C$50000,C3611,全馬データ!$D$2:$D$50000,E3611,全馬データ!$K$2:$K$50000,"&lt;&gt;")=0,"",SUMIFS(全馬データ!$K$2:$K$50000,全馬データ!$A$2:$A$50000,A3611,全馬データ!$B$2:$B$50000,B3611,全馬データ!$C$2:$C$50000,C3611,全馬データ!$D$2:$D$50000,E3611)))</f>
        <v/>
      </c>
      <c r="AP3611" s="8" t="str">
        <f aca="false">IF(A3611="","",IF(AO3611="","欠損",IF(AO3611&lt;=1.1,"1.0～1.1",IF(AO3611&lt;1.3,"1.2",IF(AO3611&lt;1.5,"1.3～1.4",IF(AO3611&lt;2,"1.5～1.9","2.0以上"))))))</f>
        <v/>
      </c>
      <c r="AQ3611" s="8" t="str">
        <f aca="false">IF(A3611="","",IF(ISNUMBER(SEARCH("2歳",Z3611)),"2歳戦",IF(ISNUMBER(SEARCH("3歳未勝利",Z3611)),"3歳未勝利",IF(ISNUMBER(SEARCH("未勝利",Z3611)),"その他未勝利",IF(ISNUMBER(SEARCH("G1",Z3611)),"G1",IF(ISNUMBER(SEARCH("G2",Z3611)),"G2",IF(ISNUMBER(SEARCH("G3",Z3611)),"G3",IF(ISNUMBER(SEARCH("古馬条件",Z3611)),"古馬条件戦",IF(ISNUMBER(SEARCH("重賞",Z3611)),"重賞","分類不能")))))))))</f>
        <v/>
      </c>
    </row>
    <row r="3612" customFormat="false" ht="15.75" hidden="false" customHeight="false" outlineLevel="0" collapsed="false">
      <c r="AO3612" s="8" t="str">
        <f aca="false">IF(A3612="","",IF(COUNTIFS(全馬データ!$A$2:$A$50000,A3612,全馬データ!$B$2:$B$50000,B3612,全馬データ!$C$2:$C$50000,C3612,全馬データ!$D$2:$D$50000,E3612,全馬データ!$K$2:$K$50000,"&lt;&gt;")=0,"",SUMIFS(全馬データ!$K$2:$K$50000,全馬データ!$A$2:$A$50000,A3612,全馬データ!$B$2:$B$50000,B3612,全馬データ!$C$2:$C$50000,C3612,全馬データ!$D$2:$D$50000,E3612)))</f>
        <v/>
      </c>
      <c r="AP3612" s="8" t="str">
        <f aca="false">IF(A3612="","",IF(AO3612="","欠損",IF(AO3612&lt;=1.1,"1.0～1.1",IF(AO3612&lt;1.3,"1.2",IF(AO3612&lt;1.5,"1.3～1.4",IF(AO3612&lt;2,"1.5～1.9","2.0以上"))))))</f>
        <v/>
      </c>
      <c r="AQ3612" s="8" t="str">
        <f aca="false">IF(A3612="","",IF(ISNUMBER(SEARCH("2歳",Z3612)),"2歳戦",IF(ISNUMBER(SEARCH("3歳未勝利",Z3612)),"3歳未勝利",IF(ISNUMBER(SEARCH("未勝利",Z3612)),"その他未勝利",IF(ISNUMBER(SEARCH("G1",Z3612)),"G1",IF(ISNUMBER(SEARCH("G2",Z3612)),"G2",IF(ISNUMBER(SEARCH("G3",Z3612)),"G3",IF(ISNUMBER(SEARCH("古馬条件",Z3612)),"古馬条件戦",IF(ISNUMBER(SEARCH("重賞",Z3612)),"重賞","分類不能")))))))))</f>
        <v/>
      </c>
    </row>
    <row r="3613" customFormat="false" ht="15.75" hidden="false" customHeight="false" outlineLevel="0" collapsed="false">
      <c r="AO3613" s="8" t="str">
        <f aca="false">IF(A3613="","",IF(COUNTIFS(全馬データ!$A$2:$A$50000,A3613,全馬データ!$B$2:$B$50000,B3613,全馬データ!$C$2:$C$50000,C3613,全馬データ!$D$2:$D$50000,E3613,全馬データ!$K$2:$K$50000,"&lt;&gt;")=0,"",SUMIFS(全馬データ!$K$2:$K$50000,全馬データ!$A$2:$A$50000,A3613,全馬データ!$B$2:$B$50000,B3613,全馬データ!$C$2:$C$50000,C3613,全馬データ!$D$2:$D$50000,E3613)))</f>
        <v/>
      </c>
      <c r="AP3613" s="8" t="str">
        <f aca="false">IF(A3613="","",IF(AO3613="","欠損",IF(AO3613&lt;=1.1,"1.0～1.1",IF(AO3613&lt;1.3,"1.2",IF(AO3613&lt;1.5,"1.3～1.4",IF(AO3613&lt;2,"1.5～1.9","2.0以上"))))))</f>
        <v/>
      </c>
      <c r="AQ3613" s="8" t="str">
        <f aca="false">IF(A3613="","",IF(ISNUMBER(SEARCH("2歳",Z3613)),"2歳戦",IF(ISNUMBER(SEARCH("3歳未勝利",Z3613)),"3歳未勝利",IF(ISNUMBER(SEARCH("未勝利",Z3613)),"その他未勝利",IF(ISNUMBER(SEARCH("G1",Z3613)),"G1",IF(ISNUMBER(SEARCH("G2",Z3613)),"G2",IF(ISNUMBER(SEARCH("G3",Z3613)),"G3",IF(ISNUMBER(SEARCH("古馬条件",Z3613)),"古馬条件戦",IF(ISNUMBER(SEARCH("重賞",Z3613)),"重賞","分類不能")))))))))</f>
        <v/>
      </c>
    </row>
    <row r="3614" customFormat="false" ht="15.75" hidden="false" customHeight="false" outlineLevel="0" collapsed="false">
      <c r="AO3614" s="8" t="str">
        <f aca="false">IF(A3614="","",IF(COUNTIFS(全馬データ!$A$2:$A$50000,A3614,全馬データ!$B$2:$B$50000,B3614,全馬データ!$C$2:$C$50000,C3614,全馬データ!$D$2:$D$50000,E3614,全馬データ!$K$2:$K$50000,"&lt;&gt;")=0,"",SUMIFS(全馬データ!$K$2:$K$50000,全馬データ!$A$2:$A$50000,A3614,全馬データ!$B$2:$B$50000,B3614,全馬データ!$C$2:$C$50000,C3614,全馬データ!$D$2:$D$50000,E3614)))</f>
        <v/>
      </c>
      <c r="AP3614" s="8" t="str">
        <f aca="false">IF(A3614="","",IF(AO3614="","欠損",IF(AO3614&lt;=1.1,"1.0～1.1",IF(AO3614&lt;1.3,"1.2",IF(AO3614&lt;1.5,"1.3～1.4",IF(AO3614&lt;2,"1.5～1.9","2.0以上"))))))</f>
        <v/>
      </c>
      <c r="AQ3614" s="8" t="str">
        <f aca="false">IF(A3614="","",IF(ISNUMBER(SEARCH("2歳",Z3614)),"2歳戦",IF(ISNUMBER(SEARCH("3歳未勝利",Z3614)),"3歳未勝利",IF(ISNUMBER(SEARCH("未勝利",Z3614)),"その他未勝利",IF(ISNUMBER(SEARCH("G1",Z3614)),"G1",IF(ISNUMBER(SEARCH("G2",Z3614)),"G2",IF(ISNUMBER(SEARCH("G3",Z3614)),"G3",IF(ISNUMBER(SEARCH("古馬条件",Z3614)),"古馬条件戦",IF(ISNUMBER(SEARCH("重賞",Z3614)),"重賞","分類不能")))))))))</f>
        <v/>
      </c>
    </row>
    <row r="3615" customFormat="false" ht="15.75" hidden="false" customHeight="false" outlineLevel="0" collapsed="false">
      <c r="AO3615" s="8" t="str">
        <f aca="false">IF(A3615="","",IF(COUNTIFS(全馬データ!$A$2:$A$50000,A3615,全馬データ!$B$2:$B$50000,B3615,全馬データ!$C$2:$C$50000,C3615,全馬データ!$D$2:$D$50000,E3615,全馬データ!$K$2:$K$50000,"&lt;&gt;")=0,"",SUMIFS(全馬データ!$K$2:$K$50000,全馬データ!$A$2:$A$50000,A3615,全馬データ!$B$2:$B$50000,B3615,全馬データ!$C$2:$C$50000,C3615,全馬データ!$D$2:$D$50000,E3615)))</f>
        <v/>
      </c>
      <c r="AP3615" s="8" t="str">
        <f aca="false">IF(A3615="","",IF(AO3615="","欠損",IF(AO3615&lt;=1.1,"1.0～1.1",IF(AO3615&lt;1.3,"1.2",IF(AO3615&lt;1.5,"1.3～1.4",IF(AO3615&lt;2,"1.5～1.9","2.0以上"))))))</f>
        <v/>
      </c>
      <c r="AQ3615" s="8" t="str">
        <f aca="false">IF(A3615="","",IF(ISNUMBER(SEARCH("2歳",Z3615)),"2歳戦",IF(ISNUMBER(SEARCH("3歳未勝利",Z3615)),"3歳未勝利",IF(ISNUMBER(SEARCH("未勝利",Z3615)),"その他未勝利",IF(ISNUMBER(SEARCH("G1",Z3615)),"G1",IF(ISNUMBER(SEARCH("G2",Z3615)),"G2",IF(ISNUMBER(SEARCH("G3",Z3615)),"G3",IF(ISNUMBER(SEARCH("古馬条件",Z3615)),"古馬条件戦",IF(ISNUMBER(SEARCH("重賞",Z3615)),"重賞","分類不能")))))))))</f>
        <v/>
      </c>
    </row>
    <row r="3616" customFormat="false" ht="15.75" hidden="false" customHeight="false" outlineLevel="0" collapsed="false">
      <c r="AO3616" s="8" t="str">
        <f aca="false">IF(A3616="","",IF(COUNTIFS(全馬データ!$A$2:$A$50000,A3616,全馬データ!$B$2:$B$50000,B3616,全馬データ!$C$2:$C$50000,C3616,全馬データ!$D$2:$D$50000,E3616,全馬データ!$K$2:$K$50000,"&lt;&gt;")=0,"",SUMIFS(全馬データ!$K$2:$K$50000,全馬データ!$A$2:$A$50000,A3616,全馬データ!$B$2:$B$50000,B3616,全馬データ!$C$2:$C$50000,C3616,全馬データ!$D$2:$D$50000,E3616)))</f>
        <v/>
      </c>
      <c r="AP3616" s="8" t="str">
        <f aca="false">IF(A3616="","",IF(AO3616="","欠損",IF(AO3616&lt;=1.1,"1.0～1.1",IF(AO3616&lt;1.3,"1.2",IF(AO3616&lt;1.5,"1.3～1.4",IF(AO3616&lt;2,"1.5～1.9","2.0以上"))))))</f>
        <v/>
      </c>
      <c r="AQ3616" s="8" t="str">
        <f aca="false">IF(A3616="","",IF(ISNUMBER(SEARCH("2歳",Z3616)),"2歳戦",IF(ISNUMBER(SEARCH("3歳未勝利",Z3616)),"3歳未勝利",IF(ISNUMBER(SEARCH("未勝利",Z3616)),"その他未勝利",IF(ISNUMBER(SEARCH("G1",Z3616)),"G1",IF(ISNUMBER(SEARCH("G2",Z3616)),"G2",IF(ISNUMBER(SEARCH("G3",Z3616)),"G3",IF(ISNUMBER(SEARCH("古馬条件",Z3616)),"古馬条件戦",IF(ISNUMBER(SEARCH("重賞",Z3616)),"重賞","分類不能")))))))))</f>
        <v/>
      </c>
    </row>
    <row r="3617" customFormat="false" ht="15.75" hidden="false" customHeight="false" outlineLevel="0" collapsed="false">
      <c r="AO3617" s="8" t="str">
        <f aca="false">IF(A3617="","",IF(COUNTIFS(全馬データ!$A$2:$A$50000,A3617,全馬データ!$B$2:$B$50000,B3617,全馬データ!$C$2:$C$50000,C3617,全馬データ!$D$2:$D$50000,E3617,全馬データ!$K$2:$K$50000,"&lt;&gt;")=0,"",SUMIFS(全馬データ!$K$2:$K$50000,全馬データ!$A$2:$A$50000,A3617,全馬データ!$B$2:$B$50000,B3617,全馬データ!$C$2:$C$50000,C3617,全馬データ!$D$2:$D$50000,E3617)))</f>
        <v/>
      </c>
      <c r="AP3617" s="8" t="str">
        <f aca="false">IF(A3617="","",IF(AO3617="","欠損",IF(AO3617&lt;=1.1,"1.0～1.1",IF(AO3617&lt;1.3,"1.2",IF(AO3617&lt;1.5,"1.3～1.4",IF(AO3617&lt;2,"1.5～1.9","2.0以上"))))))</f>
        <v/>
      </c>
      <c r="AQ3617" s="8" t="str">
        <f aca="false">IF(A3617="","",IF(ISNUMBER(SEARCH("2歳",Z3617)),"2歳戦",IF(ISNUMBER(SEARCH("3歳未勝利",Z3617)),"3歳未勝利",IF(ISNUMBER(SEARCH("未勝利",Z3617)),"その他未勝利",IF(ISNUMBER(SEARCH("G1",Z3617)),"G1",IF(ISNUMBER(SEARCH("G2",Z3617)),"G2",IF(ISNUMBER(SEARCH("G3",Z3617)),"G3",IF(ISNUMBER(SEARCH("古馬条件",Z3617)),"古馬条件戦",IF(ISNUMBER(SEARCH("重賞",Z3617)),"重賞","分類不能")))))))))</f>
        <v/>
      </c>
    </row>
    <row r="3618" customFormat="false" ht="15.75" hidden="false" customHeight="false" outlineLevel="0" collapsed="false">
      <c r="AO3618" s="8" t="str">
        <f aca="false">IF(A3618="","",IF(COUNTIFS(全馬データ!$A$2:$A$50000,A3618,全馬データ!$B$2:$B$50000,B3618,全馬データ!$C$2:$C$50000,C3618,全馬データ!$D$2:$D$50000,E3618,全馬データ!$K$2:$K$50000,"&lt;&gt;")=0,"",SUMIFS(全馬データ!$K$2:$K$50000,全馬データ!$A$2:$A$50000,A3618,全馬データ!$B$2:$B$50000,B3618,全馬データ!$C$2:$C$50000,C3618,全馬データ!$D$2:$D$50000,E3618)))</f>
        <v/>
      </c>
      <c r="AP3618" s="8" t="str">
        <f aca="false">IF(A3618="","",IF(AO3618="","欠損",IF(AO3618&lt;=1.1,"1.0～1.1",IF(AO3618&lt;1.3,"1.2",IF(AO3618&lt;1.5,"1.3～1.4",IF(AO3618&lt;2,"1.5～1.9","2.0以上"))))))</f>
        <v/>
      </c>
      <c r="AQ3618" s="8" t="str">
        <f aca="false">IF(A3618="","",IF(ISNUMBER(SEARCH("2歳",Z3618)),"2歳戦",IF(ISNUMBER(SEARCH("3歳未勝利",Z3618)),"3歳未勝利",IF(ISNUMBER(SEARCH("未勝利",Z3618)),"その他未勝利",IF(ISNUMBER(SEARCH("G1",Z3618)),"G1",IF(ISNUMBER(SEARCH("G2",Z3618)),"G2",IF(ISNUMBER(SEARCH("G3",Z3618)),"G3",IF(ISNUMBER(SEARCH("古馬条件",Z3618)),"古馬条件戦",IF(ISNUMBER(SEARCH("重賞",Z3618)),"重賞","分類不能")))))))))</f>
        <v/>
      </c>
    </row>
    <row r="3619" customFormat="false" ht="15.75" hidden="false" customHeight="false" outlineLevel="0" collapsed="false">
      <c r="AO3619" s="8" t="str">
        <f aca="false">IF(A3619="","",IF(COUNTIFS(全馬データ!$A$2:$A$50000,A3619,全馬データ!$B$2:$B$50000,B3619,全馬データ!$C$2:$C$50000,C3619,全馬データ!$D$2:$D$50000,E3619,全馬データ!$K$2:$K$50000,"&lt;&gt;")=0,"",SUMIFS(全馬データ!$K$2:$K$50000,全馬データ!$A$2:$A$50000,A3619,全馬データ!$B$2:$B$50000,B3619,全馬データ!$C$2:$C$50000,C3619,全馬データ!$D$2:$D$50000,E3619)))</f>
        <v/>
      </c>
      <c r="AP3619" s="8" t="str">
        <f aca="false">IF(A3619="","",IF(AO3619="","欠損",IF(AO3619&lt;=1.1,"1.0～1.1",IF(AO3619&lt;1.3,"1.2",IF(AO3619&lt;1.5,"1.3～1.4",IF(AO3619&lt;2,"1.5～1.9","2.0以上"))))))</f>
        <v/>
      </c>
      <c r="AQ3619" s="8" t="str">
        <f aca="false">IF(A3619="","",IF(ISNUMBER(SEARCH("2歳",Z3619)),"2歳戦",IF(ISNUMBER(SEARCH("3歳未勝利",Z3619)),"3歳未勝利",IF(ISNUMBER(SEARCH("未勝利",Z3619)),"その他未勝利",IF(ISNUMBER(SEARCH("G1",Z3619)),"G1",IF(ISNUMBER(SEARCH("G2",Z3619)),"G2",IF(ISNUMBER(SEARCH("G3",Z3619)),"G3",IF(ISNUMBER(SEARCH("古馬条件",Z3619)),"古馬条件戦",IF(ISNUMBER(SEARCH("重賞",Z3619)),"重賞","分類不能")))))))))</f>
        <v/>
      </c>
    </row>
    <row r="3620" customFormat="false" ht="15.75" hidden="false" customHeight="false" outlineLevel="0" collapsed="false">
      <c r="AO3620" s="8" t="str">
        <f aca="false">IF(A3620="","",IF(COUNTIFS(全馬データ!$A$2:$A$50000,A3620,全馬データ!$B$2:$B$50000,B3620,全馬データ!$C$2:$C$50000,C3620,全馬データ!$D$2:$D$50000,E3620,全馬データ!$K$2:$K$50000,"&lt;&gt;")=0,"",SUMIFS(全馬データ!$K$2:$K$50000,全馬データ!$A$2:$A$50000,A3620,全馬データ!$B$2:$B$50000,B3620,全馬データ!$C$2:$C$50000,C3620,全馬データ!$D$2:$D$50000,E3620)))</f>
        <v/>
      </c>
      <c r="AP3620" s="8" t="str">
        <f aca="false">IF(A3620="","",IF(AO3620="","欠損",IF(AO3620&lt;=1.1,"1.0～1.1",IF(AO3620&lt;1.3,"1.2",IF(AO3620&lt;1.5,"1.3～1.4",IF(AO3620&lt;2,"1.5～1.9","2.0以上"))))))</f>
        <v/>
      </c>
      <c r="AQ3620" s="8" t="str">
        <f aca="false">IF(A3620="","",IF(ISNUMBER(SEARCH("2歳",Z3620)),"2歳戦",IF(ISNUMBER(SEARCH("3歳未勝利",Z3620)),"3歳未勝利",IF(ISNUMBER(SEARCH("未勝利",Z3620)),"その他未勝利",IF(ISNUMBER(SEARCH("G1",Z3620)),"G1",IF(ISNUMBER(SEARCH("G2",Z3620)),"G2",IF(ISNUMBER(SEARCH("G3",Z3620)),"G3",IF(ISNUMBER(SEARCH("古馬条件",Z3620)),"古馬条件戦",IF(ISNUMBER(SEARCH("重賞",Z3620)),"重賞","分類不能")))))))))</f>
        <v/>
      </c>
    </row>
    <row r="3621" customFormat="false" ht="15.75" hidden="false" customHeight="false" outlineLevel="0" collapsed="false">
      <c r="AO3621" s="8" t="str">
        <f aca="false">IF(A3621="","",IF(COUNTIFS(全馬データ!$A$2:$A$50000,A3621,全馬データ!$B$2:$B$50000,B3621,全馬データ!$C$2:$C$50000,C3621,全馬データ!$D$2:$D$50000,E3621,全馬データ!$K$2:$K$50000,"&lt;&gt;")=0,"",SUMIFS(全馬データ!$K$2:$K$50000,全馬データ!$A$2:$A$50000,A3621,全馬データ!$B$2:$B$50000,B3621,全馬データ!$C$2:$C$50000,C3621,全馬データ!$D$2:$D$50000,E3621)))</f>
        <v/>
      </c>
      <c r="AP3621" s="8" t="str">
        <f aca="false">IF(A3621="","",IF(AO3621="","欠損",IF(AO3621&lt;=1.1,"1.0～1.1",IF(AO3621&lt;1.3,"1.2",IF(AO3621&lt;1.5,"1.3～1.4",IF(AO3621&lt;2,"1.5～1.9","2.0以上"))))))</f>
        <v/>
      </c>
      <c r="AQ3621" s="8" t="str">
        <f aca="false">IF(A3621="","",IF(ISNUMBER(SEARCH("2歳",Z3621)),"2歳戦",IF(ISNUMBER(SEARCH("3歳未勝利",Z3621)),"3歳未勝利",IF(ISNUMBER(SEARCH("未勝利",Z3621)),"その他未勝利",IF(ISNUMBER(SEARCH("G1",Z3621)),"G1",IF(ISNUMBER(SEARCH("G2",Z3621)),"G2",IF(ISNUMBER(SEARCH("G3",Z3621)),"G3",IF(ISNUMBER(SEARCH("古馬条件",Z3621)),"古馬条件戦",IF(ISNUMBER(SEARCH("重賞",Z3621)),"重賞","分類不能")))))))))</f>
        <v/>
      </c>
    </row>
    <row r="3622" customFormat="false" ht="15.75" hidden="false" customHeight="false" outlineLevel="0" collapsed="false">
      <c r="AO3622" s="8" t="str">
        <f aca="false">IF(A3622="","",IF(COUNTIFS(全馬データ!$A$2:$A$50000,A3622,全馬データ!$B$2:$B$50000,B3622,全馬データ!$C$2:$C$50000,C3622,全馬データ!$D$2:$D$50000,E3622,全馬データ!$K$2:$K$50000,"&lt;&gt;")=0,"",SUMIFS(全馬データ!$K$2:$K$50000,全馬データ!$A$2:$A$50000,A3622,全馬データ!$B$2:$B$50000,B3622,全馬データ!$C$2:$C$50000,C3622,全馬データ!$D$2:$D$50000,E3622)))</f>
        <v/>
      </c>
      <c r="AP3622" s="8" t="str">
        <f aca="false">IF(A3622="","",IF(AO3622="","欠損",IF(AO3622&lt;=1.1,"1.0～1.1",IF(AO3622&lt;1.3,"1.2",IF(AO3622&lt;1.5,"1.3～1.4",IF(AO3622&lt;2,"1.5～1.9","2.0以上"))))))</f>
        <v/>
      </c>
      <c r="AQ3622" s="8" t="str">
        <f aca="false">IF(A3622="","",IF(ISNUMBER(SEARCH("2歳",Z3622)),"2歳戦",IF(ISNUMBER(SEARCH("3歳未勝利",Z3622)),"3歳未勝利",IF(ISNUMBER(SEARCH("未勝利",Z3622)),"その他未勝利",IF(ISNUMBER(SEARCH("G1",Z3622)),"G1",IF(ISNUMBER(SEARCH("G2",Z3622)),"G2",IF(ISNUMBER(SEARCH("G3",Z3622)),"G3",IF(ISNUMBER(SEARCH("古馬条件",Z3622)),"古馬条件戦",IF(ISNUMBER(SEARCH("重賞",Z3622)),"重賞","分類不能")))))))))</f>
        <v/>
      </c>
    </row>
    <row r="3623" customFormat="false" ht="15.75" hidden="false" customHeight="false" outlineLevel="0" collapsed="false">
      <c r="AO3623" s="8" t="str">
        <f aca="false">IF(A3623="","",IF(COUNTIFS(全馬データ!$A$2:$A$50000,A3623,全馬データ!$B$2:$B$50000,B3623,全馬データ!$C$2:$C$50000,C3623,全馬データ!$D$2:$D$50000,E3623,全馬データ!$K$2:$K$50000,"&lt;&gt;")=0,"",SUMIFS(全馬データ!$K$2:$K$50000,全馬データ!$A$2:$A$50000,A3623,全馬データ!$B$2:$B$50000,B3623,全馬データ!$C$2:$C$50000,C3623,全馬データ!$D$2:$D$50000,E3623)))</f>
        <v/>
      </c>
      <c r="AP3623" s="8" t="str">
        <f aca="false">IF(A3623="","",IF(AO3623="","欠損",IF(AO3623&lt;=1.1,"1.0～1.1",IF(AO3623&lt;1.3,"1.2",IF(AO3623&lt;1.5,"1.3～1.4",IF(AO3623&lt;2,"1.5～1.9","2.0以上"))))))</f>
        <v/>
      </c>
      <c r="AQ3623" s="8" t="str">
        <f aca="false">IF(A3623="","",IF(ISNUMBER(SEARCH("2歳",Z3623)),"2歳戦",IF(ISNUMBER(SEARCH("3歳未勝利",Z3623)),"3歳未勝利",IF(ISNUMBER(SEARCH("未勝利",Z3623)),"その他未勝利",IF(ISNUMBER(SEARCH("G1",Z3623)),"G1",IF(ISNUMBER(SEARCH("G2",Z3623)),"G2",IF(ISNUMBER(SEARCH("G3",Z3623)),"G3",IF(ISNUMBER(SEARCH("古馬条件",Z3623)),"古馬条件戦",IF(ISNUMBER(SEARCH("重賞",Z3623)),"重賞","分類不能")))))))))</f>
        <v/>
      </c>
    </row>
    <row r="3624" customFormat="false" ht="15.75" hidden="false" customHeight="false" outlineLevel="0" collapsed="false">
      <c r="AO3624" s="8" t="str">
        <f aca="false">IF(A3624="","",IF(COUNTIFS(全馬データ!$A$2:$A$50000,A3624,全馬データ!$B$2:$B$50000,B3624,全馬データ!$C$2:$C$50000,C3624,全馬データ!$D$2:$D$50000,E3624,全馬データ!$K$2:$K$50000,"&lt;&gt;")=0,"",SUMIFS(全馬データ!$K$2:$K$50000,全馬データ!$A$2:$A$50000,A3624,全馬データ!$B$2:$B$50000,B3624,全馬データ!$C$2:$C$50000,C3624,全馬データ!$D$2:$D$50000,E3624)))</f>
        <v/>
      </c>
      <c r="AP3624" s="8" t="str">
        <f aca="false">IF(A3624="","",IF(AO3624="","欠損",IF(AO3624&lt;=1.1,"1.0～1.1",IF(AO3624&lt;1.3,"1.2",IF(AO3624&lt;1.5,"1.3～1.4",IF(AO3624&lt;2,"1.5～1.9","2.0以上"))))))</f>
        <v/>
      </c>
      <c r="AQ3624" s="8" t="str">
        <f aca="false">IF(A3624="","",IF(ISNUMBER(SEARCH("2歳",Z3624)),"2歳戦",IF(ISNUMBER(SEARCH("3歳未勝利",Z3624)),"3歳未勝利",IF(ISNUMBER(SEARCH("未勝利",Z3624)),"その他未勝利",IF(ISNUMBER(SEARCH("G1",Z3624)),"G1",IF(ISNUMBER(SEARCH("G2",Z3624)),"G2",IF(ISNUMBER(SEARCH("G3",Z3624)),"G3",IF(ISNUMBER(SEARCH("古馬条件",Z3624)),"古馬条件戦",IF(ISNUMBER(SEARCH("重賞",Z3624)),"重賞","分類不能")))))))))</f>
        <v/>
      </c>
    </row>
    <row r="3625" customFormat="false" ht="15.75" hidden="false" customHeight="false" outlineLevel="0" collapsed="false">
      <c r="AO3625" s="8" t="str">
        <f aca="false">IF(A3625="","",IF(COUNTIFS(全馬データ!$A$2:$A$50000,A3625,全馬データ!$B$2:$B$50000,B3625,全馬データ!$C$2:$C$50000,C3625,全馬データ!$D$2:$D$50000,E3625,全馬データ!$K$2:$K$50000,"&lt;&gt;")=0,"",SUMIFS(全馬データ!$K$2:$K$50000,全馬データ!$A$2:$A$50000,A3625,全馬データ!$B$2:$B$50000,B3625,全馬データ!$C$2:$C$50000,C3625,全馬データ!$D$2:$D$50000,E3625)))</f>
        <v/>
      </c>
      <c r="AP3625" s="8" t="str">
        <f aca="false">IF(A3625="","",IF(AO3625="","欠損",IF(AO3625&lt;=1.1,"1.0～1.1",IF(AO3625&lt;1.3,"1.2",IF(AO3625&lt;1.5,"1.3～1.4",IF(AO3625&lt;2,"1.5～1.9","2.0以上"))))))</f>
        <v/>
      </c>
      <c r="AQ3625" s="8" t="str">
        <f aca="false">IF(A3625="","",IF(ISNUMBER(SEARCH("2歳",Z3625)),"2歳戦",IF(ISNUMBER(SEARCH("3歳未勝利",Z3625)),"3歳未勝利",IF(ISNUMBER(SEARCH("未勝利",Z3625)),"その他未勝利",IF(ISNUMBER(SEARCH("G1",Z3625)),"G1",IF(ISNUMBER(SEARCH("G2",Z3625)),"G2",IF(ISNUMBER(SEARCH("G3",Z3625)),"G3",IF(ISNUMBER(SEARCH("古馬条件",Z3625)),"古馬条件戦",IF(ISNUMBER(SEARCH("重賞",Z3625)),"重賞","分類不能")))))))))</f>
        <v/>
      </c>
    </row>
    <row r="3626" customFormat="false" ht="15.75" hidden="false" customHeight="false" outlineLevel="0" collapsed="false">
      <c r="AO3626" s="8" t="str">
        <f aca="false">IF(A3626="","",IF(COUNTIFS(全馬データ!$A$2:$A$50000,A3626,全馬データ!$B$2:$B$50000,B3626,全馬データ!$C$2:$C$50000,C3626,全馬データ!$D$2:$D$50000,E3626,全馬データ!$K$2:$K$50000,"&lt;&gt;")=0,"",SUMIFS(全馬データ!$K$2:$K$50000,全馬データ!$A$2:$A$50000,A3626,全馬データ!$B$2:$B$50000,B3626,全馬データ!$C$2:$C$50000,C3626,全馬データ!$D$2:$D$50000,E3626)))</f>
        <v/>
      </c>
      <c r="AP3626" s="8" t="str">
        <f aca="false">IF(A3626="","",IF(AO3626="","欠損",IF(AO3626&lt;=1.1,"1.0～1.1",IF(AO3626&lt;1.3,"1.2",IF(AO3626&lt;1.5,"1.3～1.4",IF(AO3626&lt;2,"1.5～1.9","2.0以上"))))))</f>
        <v/>
      </c>
      <c r="AQ3626" s="8" t="str">
        <f aca="false">IF(A3626="","",IF(ISNUMBER(SEARCH("2歳",Z3626)),"2歳戦",IF(ISNUMBER(SEARCH("3歳未勝利",Z3626)),"3歳未勝利",IF(ISNUMBER(SEARCH("未勝利",Z3626)),"その他未勝利",IF(ISNUMBER(SEARCH("G1",Z3626)),"G1",IF(ISNUMBER(SEARCH("G2",Z3626)),"G2",IF(ISNUMBER(SEARCH("G3",Z3626)),"G3",IF(ISNUMBER(SEARCH("古馬条件",Z3626)),"古馬条件戦",IF(ISNUMBER(SEARCH("重賞",Z3626)),"重賞","分類不能")))))))))</f>
        <v/>
      </c>
    </row>
    <row r="3627" customFormat="false" ht="15.75" hidden="false" customHeight="false" outlineLevel="0" collapsed="false">
      <c r="AO3627" s="8" t="str">
        <f aca="false">IF(A3627="","",IF(COUNTIFS(全馬データ!$A$2:$A$50000,A3627,全馬データ!$B$2:$B$50000,B3627,全馬データ!$C$2:$C$50000,C3627,全馬データ!$D$2:$D$50000,E3627,全馬データ!$K$2:$K$50000,"&lt;&gt;")=0,"",SUMIFS(全馬データ!$K$2:$K$50000,全馬データ!$A$2:$A$50000,A3627,全馬データ!$B$2:$B$50000,B3627,全馬データ!$C$2:$C$50000,C3627,全馬データ!$D$2:$D$50000,E3627)))</f>
        <v/>
      </c>
      <c r="AP3627" s="8" t="str">
        <f aca="false">IF(A3627="","",IF(AO3627="","欠損",IF(AO3627&lt;=1.1,"1.0～1.1",IF(AO3627&lt;1.3,"1.2",IF(AO3627&lt;1.5,"1.3～1.4",IF(AO3627&lt;2,"1.5～1.9","2.0以上"))))))</f>
        <v/>
      </c>
      <c r="AQ3627" s="8" t="str">
        <f aca="false">IF(A3627="","",IF(ISNUMBER(SEARCH("2歳",Z3627)),"2歳戦",IF(ISNUMBER(SEARCH("3歳未勝利",Z3627)),"3歳未勝利",IF(ISNUMBER(SEARCH("未勝利",Z3627)),"その他未勝利",IF(ISNUMBER(SEARCH("G1",Z3627)),"G1",IF(ISNUMBER(SEARCH("G2",Z3627)),"G2",IF(ISNUMBER(SEARCH("G3",Z3627)),"G3",IF(ISNUMBER(SEARCH("古馬条件",Z3627)),"古馬条件戦",IF(ISNUMBER(SEARCH("重賞",Z3627)),"重賞","分類不能")))))))))</f>
        <v/>
      </c>
    </row>
    <row r="3628" customFormat="false" ht="15.75" hidden="false" customHeight="false" outlineLevel="0" collapsed="false">
      <c r="AO3628" s="8" t="str">
        <f aca="false">IF(A3628="","",IF(COUNTIFS(全馬データ!$A$2:$A$50000,A3628,全馬データ!$B$2:$B$50000,B3628,全馬データ!$C$2:$C$50000,C3628,全馬データ!$D$2:$D$50000,E3628,全馬データ!$K$2:$K$50000,"&lt;&gt;")=0,"",SUMIFS(全馬データ!$K$2:$K$50000,全馬データ!$A$2:$A$50000,A3628,全馬データ!$B$2:$B$50000,B3628,全馬データ!$C$2:$C$50000,C3628,全馬データ!$D$2:$D$50000,E3628)))</f>
        <v/>
      </c>
      <c r="AP3628" s="8" t="str">
        <f aca="false">IF(A3628="","",IF(AO3628="","欠損",IF(AO3628&lt;=1.1,"1.0～1.1",IF(AO3628&lt;1.3,"1.2",IF(AO3628&lt;1.5,"1.3～1.4",IF(AO3628&lt;2,"1.5～1.9","2.0以上"))))))</f>
        <v/>
      </c>
      <c r="AQ3628" s="8" t="str">
        <f aca="false">IF(A3628="","",IF(ISNUMBER(SEARCH("2歳",Z3628)),"2歳戦",IF(ISNUMBER(SEARCH("3歳未勝利",Z3628)),"3歳未勝利",IF(ISNUMBER(SEARCH("未勝利",Z3628)),"その他未勝利",IF(ISNUMBER(SEARCH("G1",Z3628)),"G1",IF(ISNUMBER(SEARCH("G2",Z3628)),"G2",IF(ISNUMBER(SEARCH("G3",Z3628)),"G3",IF(ISNUMBER(SEARCH("古馬条件",Z3628)),"古馬条件戦",IF(ISNUMBER(SEARCH("重賞",Z3628)),"重賞","分類不能")))))))))</f>
        <v/>
      </c>
    </row>
    <row r="3629" customFormat="false" ht="15.75" hidden="false" customHeight="false" outlineLevel="0" collapsed="false">
      <c r="AO3629" s="8" t="str">
        <f aca="false">IF(A3629="","",IF(COUNTIFS(全馬データ!$A$2:$A$50000,A3629,全馬データ!$B$2:$B$50000,B3629,全馬データ!$C$2:$C$50000,C3629,全馬データ!$D$2:$D$50000,E3629,全馬データ!$K$2:$K$50000,"&lt;&gt;")=0,"",SUMIFS(全馬データ!$K$2:$K$50000,全馬データ!$A$2:$A$50000,A3629,全馬データ!$B$2:$B$50000,B3629,全馬データ!$C$2:$C$50000,C3629,全馬データ!$D$2:$D$50000,E3629)))</f>
        <v/>
      </c>
      <c r="AP3629" s="8" t="str">
        <f aca="false">IF(A3629="","",IF(AO3629="","欠損",IF(AO3629&lt;=1.1,"1.0～1.1",IF(AO3629&lt;1.3,"1.2",IF(AO3629&lt;1.5,"1.3～1.4",IF(AO3629&lt;2,"1.5～1.9","2.0以上"))))))</f>
        <v/>
      </c>
      <c r="AQ3629" s="8" t="str">
        <f aca="false">IF(A3629="","",IF(ISNUMBER(SEARCH("2歳",Z3629)),"2歳戦",IF(ISNUMBER(SEARCH("3歳未勝利",Z3629)),"3歳未勝利",IF(ISNUMBER(SEARCH("未勝利",Z3629)),"その他未勝利",IF(ISNUMBER(SEARCH("G1",Z3629)),"G1",IF(ISNUMBER(SEARCH("G2",Z3629)),"G2",IF(ISNUMBER(SEARCH("G3",Z3629)),"G3",IF(ISNUMBER(SEARCH("古馬条件",Z3629)),"古馬条件戦",IF(ISNUMBER(SEARCH("重賞",Z3629)),"重賞","分類不能")))))))))</f>
        <v/>
      </c>
    </row>
    <row r="3630" customFormat="false" ht="15.75" hidden="false" customHeight="false" outlineLevel="0" collapsed="false">
      <c r="AO3630" s="8" t="str">
        <f aca="false">IF(A3630="","",IF(COUNTIFS(全馬データ!$A$2:$A$50000,A3630,全馬データ!$B$2:$B$50000,B3630,全馬データ!$C$2:$C$50000,C3630,全馬データ!$D$2:$D$50000,E3630,全馬データ!$K$2:$K$50000,"&lt;&gt;")=0,"",SUMIFS(全馬データ!$K$2:$K$50000,全馬データ!$A$2:$A$50000,A3630,全馬データ!$B$2:$B$50000,B3630,全馬データ!$C$2:$C$50000,C3630,全馬データ!$D$2:$D$50000,E3630)))</f>
        <v/>
      </c>
      <c r="AP3630" s="8" t="str">
        <f aca="false">IF(A3630="","",IF(AO3630="","欠損",IF(AO3630&lt;=1.1,"1.0～1.1",IF(AO3630&lt;1.3,"1.2",IF(AO3630&lt;1.5,"1.3～1.4",IF(AO3630&lt;2,"1.5～1.9","2.0以上"))))))</f>
        <v/>
      </c>
      <c r="AQ3630" s="8" t="str">
        <f aca="false">IF(A3630="","",IF(ISNUMBER(SEARCH("2歳",Z3630)),"2歳戦",IF(ISNUMBER(SEARCH("3歳未勝利",Z3630)),"3歳未勝利",IF(ISNUMBER(SEARCH("未勝利",Z3630)),"その他未勝利",IF(ISNUMBER(SEARCH("G1",Z3630)),"G1",IF(ISNUMBER(SEARCH("G2",Z3630)),"G2",IF(ISNUMBER(SEARCH("G3",Z3630)),"G3",IF(ISNUMBER(SEARCH("古馬条件",Z3630)),"古馬条件戦",IF(ISNUMBER(SEARCH("重賞",Z3630)),"重賞","分類不能")))))))))</f>
        <v/>
      </c>
    </row>
    <row r="3631" customFormat="false" ht="15.75" hidden="false" customHeight="false" outlineLevel="0" collapsed="false">
      <c r="AO3631" s="8" t="str">
        <f aca="false">IF(A3631="","",IF(COUNTIFS(全馬データ!$A$2:$A$50000,A3631,全馬データ!$B$2:$B$50000,B3631,全馬データ!$C$2:$C$50000,C3631,全馬データ!$D$2:$D$50000,E3631,全馬データ!$K$2:$K$50000,"&lt;&gt;")=0,"",SUMIFS(全馬データ!$K$2:$K$50000,全馬データ!$A$2:$A$50000,A3631,全馬データ!$B$2:$B$50000,B3631,全馬データ!$C$2:$C$50000,C3631,全馬データ!$D$2:$D$50000,E3631)))</f>
        <v/>
      </c>
      <c r="AP3631" s="8" t="str">
        <f aca="false">IF(A3631="","",IF(AO3631="","欠損",IF(AO3631&lt;=1.1,"1.0～1.1",IF(AO3631&lt;1.3,"1.2",IF(AO3631&lt;1.5,"1.3～1.4",IF(AO3631&lt;2,"1.5～1.9","2.0以上"))))))</f>
        <v/>
      </c>
      <c r="AQ3631" s="8" t="str">
        <f aca="false">IF(A3631="","",IF(ISNUMBER(SEARCH("2歳",Z3631)),"2歳戦",IF(ISNUMBER(SEARCH("3歳未勝利",Z3631)),"3歳未勝利",IF(ISNUMBER(SEARCH("未勝利",Z3631)),"その他未勝利",IF(ISNUMBER(SEARCH("G1",Z3631)),"G1",IF(ISNUMBER(SEARCH("G2",Z3631)),"G2",IF(ISNUMBER(SEARCH("G3",Z3631)),"G3",IF(ISNUMBER(SEARCH("古馬条件",Z3631)),"古馬条件戦",IF(ISNUMBER(SEARCH("重賞",Z3631)),"重賞","分類不能")))))))))</f>
        <v/>
      </c>
    </row>
    <row r="3632" customFormat="false" ht="15.75" hidden="false" customHeight="false" outlineLevel="0" collapsed="false">
      <c r="AO3632" s="8" t="str">
        <f aca="false">IF(A3632="","",IF(COUNTIFS(全馬データ!$A$2:$A$50000,A3632,全馬データ!$B$2:$B$50000,B3632,全馬データ!$C$2:$C$50000,C3632,全馬データ!$D$2:$D$50000,E3632,全馬データ!$K$2:$K$50000,"&lt;&gt;")=0,"",SUMIFS(全馬データ!$K$2:$K$50000,全馬データ!$A$2:$A$50000,A3632,全馬データ!$B$2:$B$50000,B3632,全馬データ!$C$2:$C$50000,C3632,全馬データ!$D$2:$D$50000,E3632)))</f>
        <v/>
      </c>
      <c r="AP3632" s="8" t="str">
        <f aca="false">IF(A3632="","",IF(AO3632="","欠損",IF(AO3632&lt;=1.1,"1.0～1.1",IF(AO3632&lt;1.3,"1.2",IF(AO3632&lt;1.5,"1.3～1.4",IF(AO3632&lt;2,"1.5～1.9","2.0以上"))))))</f>
        <v/>
      </c>
      <c r="AQ3632" s="8" t="str">
        <f aca="false">IF(A3632="","",IF(ISNUMBER(SEARCH("2歳",Z3632)),"2歳戦",IF(ISNUMBER(SEARCH("3歳未勝利",Z3632)),"3歳未勝利",IF(ISNUMBER(SEARCH("未勝利",Z3632)),"その他未勝利",IF(ISNUMBER(SEARCH("G1",Z3632)),"G1",IF(ISNUMBER(SEARCH("G2",Z3632)),"G2",IF(ISNUMBER(SEARCH("G3",Z3632)),"G3",IF(ISNUMBER(SEARCH("古馬条件",Z3632)),"古馬条件戦",IF(ISNUMBER(SEARCH("重賞",Z3632)),"重賞","分類不能")))))))))</f>
        <v/>
      </c>
    </row>
    <row r="3633" customFormat="false" ht="15.75" hidden="false" customHeight="false" outlineLevel="0" collapsed="false">
      <c r="AO3633" s="8" t="str">
        <f aca="false">IF(A3633="","",IF(COUNTIFS(全馬データ!$A$2:$A$50000,A3633,全馬データ!$B$2:$B$50000,B3633,全馬データ!$C$2:$C$50000,C3633,全馬データ!$D$2:$D$50000,E3633,全馬データ!$K$2:$K$50000,"&lt;&gt;")=0,"",SUMIFS(全馬データ!$K$2:$K$50000,全馬データ!$A$2:$A$50000,A3633,全馬データ!$B$2:$B$50000,B3633,全馬データ!$C$2:$C$50000,C3633,全馬データ!$D$2:$D$50000,E3633)))</f>
        <v/>
      </c>
      <c r="AP3633" s="8" t="str">
        <f aca="false">IF(A3633="","",IF(AO3633="","欠損",IF(AO3633&lt;=1.1,"1.0～1.1",IF(AO3633&lt;1.3,"1.2",IF(AO3633&lt;1.5,"1.3～1.4",IF(AO3633&lt;2,"1.5～1.9","2.0以上"))))))</f>
        <v/>
      </c>
      <c r="AQ3633" s="8" t="str">
        <f aca="false">IF(A3633="","",IF(ISNUMBER(SEARCH("2歳",Z3633)),"2歳戦",IF(ISNUMBER(SEARCH("3歳未勝利",Z3633)),"3歳未勝利",IF(ISNUMBER(SEARCH("未勝利",Z3633)),"その他未勝利",IF(ISNUMBER(SEARCH("G1",Z3633)),"G1",IF(ISNUMBER(SEARCH("G2",Z3633)),"G2",IF(ISNUMBER(SEARCH("G3",Z3633)),"G3",IF(ISNUMBER(SEARCH("古馬条件",Z3633)),"古馬条件戦",IF(ISNUMBER(SEARCH("重賞",Z3633)),"重賞","分類不能")))))))))</f>
        <v/>
      </c>
    </row>
    <row r="3634" customFormat="false" ht="15.75" hidden="false" customHeight="false" outlineLevel="0" collapsed="false">
      <c r="AO3634" s="8" t="str">
        <f aca="false">IF(A3634="","",IF(COUNTIFS(全馬データ!$A$2:$A$50000,A3634,全馬データ!$B$2:$B$50000,B3634,全馬データ!$C$2:$C$50000,C3634,全馬データ!$D$2:$D$50000,E3634,全馬データ!$K$2:$K$50000,"&lt;&gt;")=0,"",SUMIFS(全馬データ!$K$2:$K$50000,全馬データ!$A$2:$A$50000,A3634,全馬データ!$B$2:$B$50000,B3634,全馬データ!$C$2:$C$50000,C3634,全馬データ!$D$2:$D$50000,E3634)))</f>
        <v/>
      </c>
      <c r="AP3634" s="8" t="str">
        <f aca="false">IF(A3634="","",IF(AO3634="","欠損",IF(AO3634&lt;=1.1,"1.0～1.1",IF(AO3634&lt;1.3,"1.2",IF(AO3634&lt;1.5,"1.3～1.4",IF(AO3634&lt;2,"1.5～1.9","2.0以上"))))))</f>
        <v/>
      </c>
      <c r="AQ3634" s="8" t="str">
        <f aca="false">IF(A3634="","",IF(ISNUMBER(SEARCH("2歳",Z3634)),"2歳戦",IF(ISNUMBER(SEARCH("3歳未勝利",Z3634)),"3歳未勝利",IF(ISNUMBER(SEARCH("未勝利",Z3634)),"その他未勝利",IF(ISNUMBER(SEARCH("G1",Z3634)),"G1",IF(ISNUMBER(SEARCH("G2",Z3634)),"G2",IF(ISNUMBER(SEARCH("G3",Z3634)),"G3",IF(ISNUMBER(SEARCH("古馬条件",Z3634)),"古馬条件戦",IF(ISNUMBER(SEARCH("重賞",Z3634)),"重賞","分類不能")))))))))</f>
        <v/>
      </c>
    </row>
    <row r="3635" customFormat="false" ht="15.75" hidden="false" customHeight="false" outlineLevel="0" collapsed="false">
      <c r="AO3635" s="8" t="str">
        <f aca="false">IF(A3635="","",IF(COUNTIFS(全馬データ!$A$2:$A$50000,A3635,全馬データ!$B$2:$B$50000,B3635,全馬データ!$C$2:$C$50000,C3635,全馬データ!$D$2:$D$50000,E3635,全馬データ!$K$2:$K$50000,"&lt;&gt;")=0,"",SUMIFS(全馬データ!$K$2:$K$50000,全馬データ!$A$2:$A$50000,A3635,全馬データ!$B$2:$B$50000,B3635,全馬データ!$C$2:$C$50000,C3635,全馬データ!$D$2:$D$50000,E3635)))</f>
        <v/>
      </c>
      <c r="AP3635" s="8" t="str">
        <f aca="false">IF(A3635="","",IF(AO3635="","欠損",IF(AO3635&lt;=1.1,"1.0～1.1",IF(AO3635&lt;1.3,"1.2",IF(AO3635&lt;1.5,"1.3～1.4",IF(AO3635&lt;2,"1.5～1.9","2.0以上"))))))</f>
        <v/>
      </c>
      <c r="AQ3635" s="8" t="str">
        <f aca="false">IF(A3635="","",IF(ISNUMBER(SEARCH("2歳",Z3635)),"2歳戦",IF(ISNUMBER(SEARCH("3歳未勝利",Z3635)),"3歳未勝利",IF(ISNUMBER(SEARCH("未勝利",Z3635)),"その他未勝利",IF(ISNUMBER(SEARCH("G1",Z3635)),"G1",IF(ISNUMBER(SEARCH("G2",Z3635)),"G2",IF(ISNUMBER(SEARCH("G3",Z3635)),"G3",IF(ISNUMBER(SEARCH("古馬条件",Z3635)),"古馬条件戦",IF(ISNUMBER(SEARCH("重賞",Z3635)),"重賞","分類不能")))))))))</f>
        <v/>
      </c>
    </row>
    <row r="3636" customFormat="false" ht="15.75" hidden="false" customHeight="false" outlineLevel="0" collapsed="false">
      <c r="AO3636" s="8" t="str">
        <f aca="false">IF(A3636="","",IF(COUNTIFS(全馬データ!$A$2:$A$50000,A3636,全馬データ!$B$2:$B$50000,B3636,全馬データ!$C$2:$C$50000,C3636,全馬データ!$D$2:$D$50000,E3636,全馬データ!$K$2:$K$50000,"&lt;&gt;")=0,"",SUMIFS(全馬データ!$K$2:$K$50000,全馬データ!$A$2:$A$50000,A3636,全馬データ!$B$2:$B$50000,B3636,全馬データ!$C$2:$C$50000,C3636,全馬データ!$D$2:$D$50000,E3636)))</f>
        <v/>
      </c>
      <c r="AP3636" s="8" t="str">
        <f aca="false">IF(A3636="","",IF(AO3636="","欠損",IF(AO3636&lt;=1.1,"1.0～1.1",IF(AO3636&lt;1.3,"1.2",IF(AO3636&lt;1.5,"1.3～1.4",IF(AO3636&lt;2,"1.5～1.9","2.0以上"))))))</f>
        <v/>
      </c>
      <c r="AQ3636" s="8" t="str">
        <f aca="false">IF(A3636="","",IF(ISNUMBER(SEARCH("2歳",Z3636)),"2歳戦",IF(ISNUMBER(SEARCH("3歳未勝利",Z3636)),"3歳未勝利",IF(ISNUMBER(SEARCH("未勝利",Z3636)),"その他未勝利",IF(ISNUMBER(SEARCH("G1",Z3636)),"G1",IF(ISNUMBER(SEARCH("G2",Z3636)),"G2",IF(ISNUMBER(SEARCH("G3",Z3636)),"G3",IF(ISNUMBER(SEARCH("古馬条件",Z3636)),"古馬条件戦",IF(ISNUMBER(SEARCH("重賞",Z3636)),"重賞","分類不能")))))))))</f>
        <v/>
      </c>
    </row>
    <row r="3637" customFormat="false" ht="15.75" hidden="false" customHeight="false" outlineLevel="0" collapsed="false">
      <c r="AO3637" s="8" t="str">
        <f aca="false">IF(A3637="","",IF(COUNTIFS(全馬データ!$A$2:$A$50000,A3637,全馬データ!$B$2:$B$50000,B3637,全馬データ!$C$2:$C$50000,C3637,全馬データ!$D$2:$D$50000,E3637,全馬データ!$K$2:$K$50000,"&lt;&gt;")=0,"",SUMIFS(全馬データ!$K$2:$K$50000,全馬データ!$A$2:$A$50000,A3637,全馬データ!$B$2:$B$50000,B3637,全馬データ!$C$2:$C$50000,C3637,全馬データ!$D$2:$D$50000,E3637)))</f>
        <v/>
      </c>
      <c r="AP3637" s="8" t="str">
        <f aca="false">IF(A3637="","",IF(AO3637="","欠損",IF(AO3637&lt;=1.1,"1.0～1.1",IF(AO3637&lt;1.3,"1.2",IF(AO3637&lt;1.5,"1.3～1.4",IF(AO3637&lt;2,"1.5～1.9","2.0以上"))))))</f>
        <v/>
      </c>
      <c r="AQ3637" s="8" t="str">
        <f aca="false">IF(A3637="","",IF(ISNUMBER(SEARCH("2歳",Z3637)),"2歳戦",IF(ISNUMBER(SEARCH("3歳未勝利",Z3637)),"3歳未勝利",IF(ISNUMBER(SEARCH("未勝利",Z3637)),"その他未勝利",IF(ISNUMBER(SEARCH("G1",Z3637)),"G1",IF(ISNUMBER(SEARCH("G2",Z3637)),"G2",IF(ISNUMBER(SEARCH("G3",Z3637)),"G3",IF(ISNUMBER(SEARCH("古馬条件",Z3637)),"古馬条件戦",IF(ISNUMBER(SEARCH("重賞",Z3637)),"重賞","分類不能")))))))))</f>
        <v/>
      </c>
    </row>
    <row r="3638" customFormat="false" ht="15.75" hidden="false" customHeight="false" outlineLevel="0" collapsed="false">
      <c r="AO3638" s="8" t="str">
        <f aca="false">IF(A3638="","",IF(COUNTIFS(全馬データ!$A$2:$A$50000,A3638,全馬データ!$B$2:$B$50000,B3638,全馬データ!$C$2:$C$50000,C3638,全馬データ!$D$2:$D$50000,E3638,全馬データ!$K$2:$K$50000,"&lt;&gt;")=0,"",SUMIFS(全馬データ!$K$2:$K$50000,全馬データ!$A$2:$A$50000,A3638,全馬データ!$B$2:$B$50000,B3638,全馬データ!$C$2:$C$50000,C3638,全馬データ!$D$2:$D$50000,E3638)))</f>
        <v/>
      </c>
      <c r="AP3638" s="8" t="str">
        <f aca="false">IF(A3638="","",IF(AO3638="","欠損",IF(AO3638&lt;=1.1,"1.0～1.1",IF(AO3638&lt;1.3,"1.2",IF(AO3638&lt;1.5,"1.3～1.4",IF(AO3638&lt;2,"1.5～1.9","2.0以上"))))))</f>
        <v/>
      </c>
      <c r="AQ3638" s="8" t="str">
        <f aca="false">IF(A3638="","",IF(ISNUMBER(SEARCH("2歳",Z3638)),"2歳戦",IF(ISNUMBER(SEARCH("3歳未勝利",Z3638)),"3歳未勝利",IF(ISNUMBER(SEARCH("未勝利",Z3638)),"その他未勝利",IF(ISNUMBER(SEARCH("G1",Z3638)),"G1",IF(ISNUMBER(SEARCH("G2",Z3638)),"G2",IF(ISNUMBER(SEARCH("G3",Z3638)),"G3",IF(ISNUMBER(SEARCH("古馬条件",Z3638)),"古馬条件戦",IF(ISNUMBER(SEARCH("重賞",Z3638)),"重賞","分類不能")))))))))</f>
        <v/>
      </c>
    </row>
    <row r="3639" customFormat="false" ht="15.75" hidden="false" customHeight="false" outlineLevel="0" collapsed="false">
      <c r="AO3639" s="8" t="str">
        <f aca="false">IF(A3639="","",IF(COUNTIFS(全馬データ!$A$2:$A$50000,A3639,全馬データ!$B$2:$B$50000,B3639,全馬データ!$C$2:$C$50000,C3639,全馬データ!$D$2:$D$50000,E3639,全馬データ!$K$2:$K$50000,"&lt;&gt;")=0,"",SUMIFS(全馬データ!$K$2:$K$50000,全馬データ!$A$2:$A$50000,A3639,全馬データ!$B$2:$B$50000,B3639,全馬データ!$C$2:$C$50000,C3639,全馬データ!$D$2:$D$50000,E3639)))</f>
        <v/>
      </c>
      <c r="AP3639" s="8" t="str">
        <f aca="false">IF(A3639="","",IF(AO3639="","欠損",IF(AO3639&lt;=1.1,"1.0～1.1",IF(AO3639&lt;1.3,"1.2",IF(AO3639&lt;1.5,"1.3～1.4",IF(AO3639&lt;2,"1.5～1.9","2.0以上"))))))</f>
        <v/>
      </c>
      <c r="AQ3639" s="8" t="str">
        <f aca="false">IF(A3639="","",IF(ISNUMBER(SEARCH("2歳",Z3639)),"2歳戦",IF(ISNUMBER(SEARCH("3歳未勝利",Z3639)),"3歳未勝利",IF(ISNUMBER(SEARCH("未勝利",Z3639)),"その他未勝利",IF(ISNUMBER(SEARCH("G1",Z3639)),"G1",IF(ISNUMBER(SEARCH("G2",Z3639)),"G2",IF(ISNUMBER(SEARCH("G3",Z3639)),"G3",IF(ISNUMBER(SEARCH("古馬条件",Z3639)),"古馬条件戦",IF(ISNUMBER(SEARCH("重賞",Z3639)),"重賞","分類不能")))))))))</f>
        <v/>
      </c>
    </row>
    <row r="3640" customFormat="false" ht="15.75" hidden="false" customHeight="false" outlineLevel="0" collapsed="false">
      <c r="AO3640" s="8" t="str">
        <f aca="false">IF(A3640="","",IF(COUNTIFS(全馬データ!$A$2:$A$50000,A3640,全馬データ!$B$2:$B$50000,B3640,全馬データ!$C$2:$C$50000,C3640,全馬データ!$D$2:$D$50000,E3640,全馬データ!$K$2:$K$50000,"&lt;&gt;")=0,"",SUMIFS(全馬データ!$K$2:$K$50000,全馬データ!$A$2:$A$50000,A3640,全馬データ!$B$2:$B$50000,B3640,全馬データ!$C$2:$C$50000,C3640,全馬データ!$D$2:$D$50000,E3640)))</f>
        <v/>
      </c>
      <c r="AP3640" s="8" t="str">
        <f aca="false">IF(A3640="","",IF(AO3640="","欠損",IF(AO3640&lt;=1.1,"1.0～1.1",IF(AO3640&lt;1.3,"1.2",IF(AO3640&lt;1.5,"1.3～1.4",IF(AO3640&lt;2,"1.5～1.9","2.0以上"))))))</f>
        <v/>
      </c>
      <c r="AQ3640" s="8" t="str">
        <f aca="false">IF(A3640="","",IF(ISNUMBER(SEARCH("2歳",Z3640)),"2歳戦",IF(ISNUMBER(SEARCH("3歳未勝利",Z3640)),"3歳未勝利",IF(ISNUMBER(SEARCH("未勝利",Z3640)),"その他未勝利",IF(ISNUMBER(SEARCH("G1",Z3640)),"G1",IF(ISNUMBER(SEARCH("G2",Z3640)),"G2",IF(ISNUMBER(SEARCH("G3",Z3640)),"G3",IF(ISNUMBER(SEARCH("古馬条件",Z3640)),"古馬条件戦",IF(ISNUMBER(SEARCH("重賞",Z3640)),"重賞","分類不能")))))))))</f>
        <v/>
      </c>
    </row>
    <row r="3641" customFormat="false" ht="15.75" hidden="false" customHeight="false" outlineLevel="0" collapsed="false">
      <c r="AO3641" s="8" t="str">
        <f aca="false">IF(A3641="","",IF(COUNTIFS(全馬データ!$A$2:$A$50000,A3641,全馬データ!$B$2:$B$50000,B3641,全馬データ!$C$2:$C$50000,C3641,全馬データ!$D$2:$D$50000,E3641,全馬データ!$K$2:$K$50000,"&lt;&gt;")=0,"",SUMIFS(全馬データ!$K$2:$K$50000,全馬データ!$A$2:$A$50000,A3641,全馬データ!$B$2:$B$50000,B3641,全馬データ!$C$2:$C$50000,C3641,全馬データ!$D$2:$D$50000,E3641)))</f>
        <v/>
      </c>
      <c r="AP3641" s="8" t="str">
        <f aca="false">IF(A3641="","",IF(AO3641="","欠損",IF(AO3641&lt;=1.1,"1.0～1.1",IF(AO3641&lt;1.3,"1.2",IF(AO3641&lt;1.5,"1.3～1.4",IF(AO3641&lt;2,"1.5～1.9","2.0以上"))))))</f>
        <v/>
      </c>
      <c r="AQ3641" s="8" t="str">
        <f aca="false">IF(A3641="","",IF(ISNUMBER(SEARCH("2歳",Z3641)),"2歳戦",IF(ISNUMBER(SEARCH("3歳未勝利",Z3641)),"3歳未勝利",IF(ISNUMBER(SEARCH("未勝利",Z3641)),"その他未勝利",IF(ISNUMBER(SEARCH("G1",Z3641)),"G1",IF(ISNUMBER(SEARCH("G2",Z3641)),"G2",IF(ISNUMBER(SEARCH("G3",Z3641)),"G3",IF(ISNUMBER(SEARCH("古馬条件",Z3641)),"古馬条件戦",IF(ISNUMBER(SEARCH("重賞",Z3641)),"重賞","分類不能")))))))))</f>
        <v/>
      </c>
    </row>
    <row r="3642" customFormat="false" ht="15.75" hidden="false" customHeight="false" outlineLevel="0" collapsed="false">
      <c r="AO3642" s="8" t="str">
        <f aca="false">IF(A3642="","",IF(COUNTIFS(全馬データ!$A$2:$A$50000,A3642,全馬データ!$B$2:$B$50000,B3642,全馬データ!$C$2:$C$50000,C3642,全馬データ!$D$2:$D$50000,E3642,全馬データ!$K$2:$K$50000,"&lt;&gt;")=0,"",SUMIFS(全馬データ!$K$2:$K$50000,全馬データ!$A$2:$A$50000,A3642,全馬データ!$B$2:$B$50000,B3642,全馬データ!$C$2:$C$50000,C3642,全馬データ!$D$2:$D$50000,E3642)))</f>
        <v/>
      </c>
      <c r="AP3642" s="8" t="str">
        <f aca="false">IF(A3642="","",IF(AO3642="","欠損",IF(AO3642&lt;=1.1,"1.0～1.1",IF(AO3642&lt;1.3,"1.2",IF(AO3642&lt;1.5,"1.3～1.4",IF(AO3642&lt;2,"1.5～1.9","2.0以上"))))))</f>
        <v/>
      </c>
      <c r="AQ3642" s="8" t="str">
        <f aca="false">IF(A3642="","",IF(ISNUMBER(SEARCH("2歳",Z3642)),"2歳戦",IF(ISNUMBER(SEARCH("3歳未勝利",Z3642)),"3歳未勝利",IF(ISNUMBER(SEARCH("未勝利",Z3642)),"その他未勝利",IF(ISNUMBER(SEARCH("G1",Z3642)),"G1",IF(ISNUMBER(SEARCH("G2",Z3642)),"G2",IF(ISNUMBER(SEARCH("G3",Z3642)),"G3",IF(ISNUMBER(SEARCH("古馬条件",Z3642)),"古馬条件戦",IF(ISNUMBER(SEARCH("重賞",Z3642)),"重賞","分類不能")))))))))</f>
        <v/>
      </c>
    </row>
    <row r="3643" customFormat="false" ht="15.75" hidden="false" customHeight="false" outlineLevel="0" collapsed="false">
      <c r="AO3643" s="8" t="str">
        <f aca="false">IF(A3643="","",IF(COUNTIFS(全馬データ!$A$2:$A$50000,A3643,全馬データ!$B$2:$B$50000,B3643,全馬データ!$C$2:$C$50000,C3643,全馬データ!$D$2:$D$50000,E3643,全馬データ!$K$2:$K$50000,"&lt;&gt;")=0,"",SUMIFS(全馬データ!$K$2:$K$50000,全馬データ!$A$2:$A$50000,A3643,全馬データ!$B$2:$B$50000,B3643,全馬データ!$C$2:$C$50000,C3643,全馬データ!$D$2:$D$50000,E3643)))</f>
        <v/>
      </c>
      <c r="AP3643" s="8" t="str">
        <f aca="false">IF(A3643="","",IF(AO3643="","欠損",IF(AO3643&lt;=1.1,"1.0～1.1",IF(AO3643&lt;1.3,"1.2",IF(AO3643&lt;1.5,"1.3～1.4",IF(AO3643&lt;2,"1.5～1.9","2.0以上"))))))</f>
        <v/>
      </c>
      <c r="AQ3643" s="8" t="str">
        <f aca="false">IF(A3643="","",IF(ISNUMBER(SEARCH("2歳",Z3643)),"2歳戦",IF(ISNUMBER(SEARCH("3歳未勝利",Z3643)),"3歳未勝利",IF(ISNUMBER(SEARCH("未勝利",Z3643)),"その他未勝利",IF(ISNUMBER(SEARCH("G1",Z3643)),"G1",IF(ISNUMBER(SEARCH("G2",Z3643)),"G2",IF(ISNUMBER(SEARCH("G3",Z3643)),"G3",IF(ISNUMBER(SEARCH("古馬条件",Z3643)),"古馬条件戦",IF(ISNUMBER(SEARCH("重賞",Z3643)),"重賞","分類不能")))))))))</f>
        <v/>
      </c>
    </row>
    <row r="3644" customFormat="false" ht="15.75" hidden="false" customHeight="false" outlineLevel="0" collapsed="false">
      <c r="AO3644" s="8" t="str">
        <f aca="false">IF(A3644="","",IF(COUNTIFS(全馬データ!$A$2:$A$50000,A3644,全馬データ!$B$2:$B$50000,B3644,全馬データ!$C$2:$C$50000,C3644,全馬データ!$D$2:$D$50000,E3644,全馬データ!$K$2:$K$50000,"&lt;&gt;")=0,"",SUMIFS(全馬データ!$K$2:$K$50000,全馬データ!$A$2:$A$50000,A3644,全馬データ!$B$2:$B$50000,B3644,全馬データ!$C$2:$C$50000,C3644,全馬データ!$D$2:$D$50000,E3644)))</f>
        <v/>
      </c>
      <c r="AP3644" s="8" t="str">
        <f aca="false">IF(A3644="","",IF(AO3644="","欠損",IF(AO3644&lt;=1.1,"1.0～1.1",IF(AO3644&lt;1.3,"1.2",IF(AO3644&lt;1.5,"1.3～1.4",IF(AO3644&lt;2,"1.5～1.9","2.0以上"))))))</f>
        <v/>
      </c>
      <c r="AQ3644" s="8" t="str">
        <f aca="false">IF(A3644="","",IF(ISNUMBER(SEARCH("2歳",Z3644)),"2歳戦",IF(ISNUMBER(SEARCH("3歳未勝利",Z3644)),"3歳未勝利",IF(ISNUMBER(SEARCH("未勝利",Z3644)),"その他未勝利",IF(ISNUMBER(SEARCH("G1",Z3644)),"G1",IF(ISNUMBER(SEARCH("G2",Z3644)),"G2",IF(ISNUMBER(SEARCH("G3",Z3644)),"G3",IF(ISNUMBER(SEARCH("古馬条件",Z3644)),"古馬条件戦",IF(ISNUMBER(SEARCH("重賞",Z3644)),"重賞","分類不能")))))))))</f>
        <v/>
      </c>
    </row>
    <row r="3645" customFormat="false" ht="15.75" hidden="false" customHeight="false" outlineLevel="0" collapsed="false">
      <c r="AO3645" s="8" t="str">
        <f aca="false">IF(A3645="","",IF(COUNTIFS(全馬データ!$A$2:$A$50000,A3645,全馬データ!$B$2:$B$50000,B3645,全馬データ!$C$2:$C$50000,C3645,全馬データ!$D$2:$D$50000,E3645,全馬データ!$K$2:$K$50000,"&lt;&gt;")=0,"",SUMIFS(全馬データ!$K$2:$K$50000,全馬データ!$A$2:$A$50000,A3645,全馬データ!$B$2:$B$50000,B3645,全馬データ!$C$2:$C$50000,C3645,全馬データ!$D$2:$D$50000,E3645)))</f>
        <v/>
      </c>
      <c r="AP3645" s="8" t="str">
        <f aca="false">IF(A3645="","",IF(AO3645="","欠損",IF(AO3645&lt;=1.1,"1.0～1.1",IF(AO3645&lt;1.3,"1.2",IF(AO3645&lt;1.5,"1.3～1.4",IF(AO3645&lt;2,"1.5～1.9","2.0以上"))))))</f>
        <v/>
      </c>
      <c r="AQ3645" s="8" t="str">
        <f aca="false">IF(A3645="","",IF(ISNUMBER(SEARCH("2歳",Z3645)),"2歳戦",IF(ISNUMBER(SEARCH("3歳未勝利",Z3645)),"3歳未勝利",IF(ISNUMBER(SEARCH("未勝利",Z3645)),"その他未勝利",IF(ISNUMBER(SEARCH("G1",Z3645)),"G1",IF(ISNUMBER(SEARCH("G2",Z3645)),"G2",IF(ISNUMBER(SEARCH("G3",Z3645)),"G3",IF(ISNUMBER(SEARCH("古馬条件",Z3645)),"古馬条件戦",IF(ISNUMBER(SEARCH("重賞",Z3645)),"重賞","分類不能")))))))))</f>
        <v/>
      </c>
    </row>
    <row r="3646" customFormat="false" ht="15.75" hidden="false" customHeight="false" outlineLevel="0" collapsed="false">
      <c r="AO3646" s="8" t="str">
        <f aca="false">IF(A3646="","",IF(COUNTIFS(全馬データ!$A$2:$A$50000,A3646,全馬データ!$B$2:$B$50000,B3646,全馬データ!$C$2:$C$50000,C3646,全馬データ!$D$2:$D$50000,E3646,全馬データ!$K$2:$K$50000,"&lt;&gt;")=0,"",SUMIFS(全馬データ!$K$2:$K$50000,全馬データ!$A$2:$A$50000,A3646,全馬データ!$B$2:$B$50000,B3646,全馬データ!$C$2:$C$50000,C3646,全馬データ!$D$2:$D$50000,E3646)))</f>
        <v/>
      </c>
      <c r="AP3646" s="8" t="str">
        <f aca="false">IF(A3646="","",IF(AO3646="","欠損",IF(AO3646&lt;=1.1,"1.0～1.1",IF(AO3646&lt;1.3,"1.2",IF(AO3646&lt;1.5,"1.3～1.4",IF(AO3646&lt;2,"1.5～1.9","2.0以上"))))))</f>
        <v/>
      </c>
      <c r="AQ3646" s="8" t="str">
        <f aca="false">IF(A3646="","",IF(ISNUMBER(SEARCH("2歳",Z3646)),"2歳戦",IF(ISNUMBER(SEARCH("3歳未勝利",Z3646)),"3歳未勝利",IF(ISNUMBER(SEARCH("未勝利",Z3646)),"その他未勝利",IF(ISNUMBER(SEARCH("G1",Z3646)),"G1",IF(ISNUMBER(SEARCH("G2",Z3646)),"G2",IF(ISNUMBER(SEARCH("G3",Z3646)),"G3",IF(ISNUMBER(SEARCH("古馬条件",Z3646)),"古馬条件戦",IF(ISNUMBER(SEARCH("重賞",Z3646)),"重賞","分類不能")))))))))</f>
        <v/>
      </c>
    </row>
    <row r="3647" customFormat="false" ht="15.75" hidden="false" customHeight="false" outlineLevel="0" collapsed="false">
      <c r="AO3647" s="8" t="str">
        <f aca="false">IF(A3647="","",IF(COUNTIFS(全馬データ!$A$2:$A$50000,A3647,全馬データ!$B$2:$B$50000,B3647,全馬データ!$C$2:$C$50000,C3647,全馬データ!$D$2:$D$50000,E3647,全馬データ!$K$2:$K$50000,"&lt;&gt;")=0,"",SUMIFS(全馬データ!$K$2:$K$50000,全馬データ!$A$2:$A$50000,A3647,全馬データ!$B$2:$B$50000,B3647,全馬データ!$C$2:$C$50000,C3647,全馬データ!$D$2:$D$50000,E3647)))</f>
        <v/>
      </c>
      <c r="AP3647" s="8" t="str">
        <f aca="false">IF(A3647="","",IF(AO3647="","欠損",IF(AO3647&lt;=1.1,"1.0～1.1",IF(AO3647&lt;1.3,"1.2",IF(AO3647&lt;1.5,"1.3～1.4",IF(AO3647&lt;2,"1.5～1.9","2.0以上"))))))</f>
        <v/>
      </c>
      <c r="AQ3647" s="8" t="str">
        <f aca="false">IF(A3647="","",IF(ISNUMBER(SEARCH("2歳",Z3647)),"2歳戦",IF(ISNUMBER(SEARCH("3歳未勝利",Z3647)),"3歳未勝利",IF(ISNUMBER(SEARCH("未勝利",Z3647)),"その他未勝利",IF(ISNUMBER(SEARCH("G1",Z3647)),"G1",IF(ISNUMBER(SEARCH("G2",Z3647)),"G2",IF(ISNUMBER(SEARCH("G3",Z3647)),"G3",IF(ISNUMBER(SEARCH("古馬条件",Z3647)),"古馬条件戦",IF(ISNUMBER(SEARCH("重賞",Z3647)),"重賞","分類不能")))))))))</f>
        <v/>
      </c>
    </row>
    <row r="3648" customFormat="false" ht="15.75" hidden="false" customHeight="false" outlineLevel="0" collapsed="false">
      <c r="AO3648" s="8" t="str">
        <f aca="false">IF(A3648="","",IF(COUNTIFS(全馬データ!$A$2:$A$50000,A3648,全馬データ!$B$2:$B$50000,B3648,全馬データ!$C$2:$C$50000,C3648,全馬データ!$D$2:$D$50000,E3648,全馬データ!$K$2:$K$50000,"&lt;&gt;")=0,"",SUMIFS(全馬データ!$K$2:$K$50000,全馬データ!$A$2:$A$50000,A3648,全馬データ!$B$2:$B$50000,B3648,全馬データ!$C$2:$C$50000,C3648,全馬データ!$D$2:$D$50000,E3648)))</f>
        <v/>
      </c>
      <c r="AP3648" s="8" t="str">
        <f aca="false">IF(A3648="","",IF(AO3648="","欠損",IF(AO3648&lt;=1.1,"1.0～1.1",IF(AO3648&lt;1.3,"1.2",IF(AO3648&lt;1.5,"1.3～1.4",IF(AO3648&lt;2,"1.5～1.9","2.0以上"))))))</f>
        <v/>
      </c>
      <c r="AQ3648" s="8" t="str">
        <f aca="false">IF(A3648="","",IF(ISNUMBER(SEARCH("2歳",Z3648)),"2歳戦",IF(ISNUMBER(SEARCH("3歳未勝利",Z3648)),"3歳未勝利",IF(ISNUMBER(SEARCH("未勝利",Z3648)),"その他未勝利",IF(ISNUMBER(SEARCH("G1",Z3648)),"G1",IF(ISNUMBER(SEARCH("G2",Z3648)),"G2",IF(ISNUMBER(SEARCH("G3",Z3648)),"G3",IF(ISNUMBER(SEARCH("古馬条件",Z3648)),"古馬条件戦",IF(ISNUMBER(SEARCH("重賞",Z3648)),"重賞","分類不能")))))))))</f>
        <v/>
      </c>
    </row>
    <row r="3649" customFormat="false" ht="15.75" hidden="false" customHeight="false" outlineLevel="0" collapsed="false">
      <c r="AO3649" s="8" t="str">
        <f aca="false">IF(A3649="","",IF(COUNTIFS(全馬データ!$A$2:$A$50000,A3649,全馬データ!$B$2:$B$50000,B3649,全馬データ!$C$2:$C$50000,C3649,全馬データ!$D$2:$D$50000,E3649,全馬データ!$K$2:$K$50000,"&lt;&gt;")=0,"",SUMIFS(全馬データ!$K$2:$K$50000,全馬データ!$A$2:$A$50000,A3649,全馬データ!$B$2:$B$50000,B3649,全馬データ!$C$2:$C$50000,C3649,全馬データ!$D$2:$D$50000,E3649)))</f>
        <v/>
      </c>
      <c r="AP3649" s="8" t="str">
        <f aca="false">IF(A3649="","",IF(AO3649="","欠損",IF(AO3649&lt;=1.1,"1.0～1.1",IF(AO3649&lt;1.3,"1.2",IF(AO3649&lt;1.5,"1.3～1.4",IF(AO3649&lt;2,"1.5～1.9","2.0以上"))))))</f>
        <v/>
      </c>
      <c r="AQ3649" s="8" t="str">
        <f aca="false">IF(A3649="","",IF(ISNUMBER(SEARCH("2歳",Z3649)),"2歳戦",IF(ISNUMBER(SEARCH("3歳未勝利",Z3649)),"3歳未勝利",IF(ISNUMBER(SEARCH("未勝利",Z3649)),"その他未勝利",IF(ISNUMBER(SEARCH("G1",Z3649)),"G1",IF(ISNUMBER(SEARCH("G2",Z3649)),"G2",IF(ISNUMBER(SEARCH("G3",Z3649)),"G3",IF(ISNUMBER(SEARCH("古馬条件",Z3649)),"古馬条件戦",IF(ISNUMBER(SEARCH("重賞",Z3649)),"重賞","分類不能")))))))))</f>
        <v/>
      </c>
    </row>
    <row r="3650" customFormat="false" ht="15.75" hidden="false" customHeight="false" outlineLevel="0" collapsed="false">
      <c r="AO3650" s="8" t="str">
        <f aca="false">IF(A3650="","",IF(COUNTIFS(全馬データ!$A$2:$A$50000,A3650,全馬データ!$B$2:$B$50000,B3650,全馬データ!$C$2:$C$50000,C3650,全馬データ!$D$2:$D$50000,E3650,全馬データ!$K$2:$K$50000,"&lt;&gt;")=0,"",SUMIFS(全馬データ!$K$2:$K$50000,全馬データ!$A$2:$A$50000,A3650,全馬データ!$B$2:$B$50000,B3650,全馬データ!$C$2:$C$50000,C3650,全馬データ!$D$2:$D$50000,E3650)))</f>
        <v/>
      </c>
      <c r="AP3650" s="8" t="str">
        <f aca="false">IF(A3650="","",IF(AO3650="","欠損",IF(AO3650&lt;=1.1,"1.0～1.1",IF(AO3650&lt;1.3,"1.2",IF(AO3650&lt;1.5,"1.3～1.4",IF(AO3650&lt;2,"1.5～1.9","2.0以上"))))))</f>
        <v/>
      </c>
      <c r="AQ3650" s="8" t="str">
        <f aca="false">IF(A3650="","",IF(ISNUMBER(SEARCH("2歳",Z3650)),"2歳戦",IF(ISNUMBER(SEARCH("3歳未勝利",Z3650)),"3歳未勝利",IF(ISNUMBER(SEARCH("未勝利",Z3650)),"その他未勝利",IF(ISNUMBER(SEARCH("G1",Z3650)),"G1",IF(ISNUMBER(SEARCH("G2",Z3650)),"G2",IF(ISNUMBER(SEARCH("G3",Z3650)),"G3",IF(ISNUMBER(SEARCH("古馬条件",Z3650)),"古馬条件戦",IF(ISNUMBER(SEARCH("重賞",Z3650)),"重賞","分類不能")))))))))</f>
        <v/>
      </c>
    </row>
    <row r="3651" customFormat="false" ht="15.75" hidden="false" customHeight="false" outlineLevel="0" collapsed="false">
      <c r="AO3651" s="8" t="str">
        <f aca="false">IF(A3651="","",IF(COUNTIFS(全馬データ!$A$2:$A$50000,A3651,全馬データ!$B$2:$B$50000,B3651,全馬データ!$C$2:$C$50000,C3651,全馬データ!$D$2:$D$50000,E3651,全馬データ!$K$2:$K$50000,"&lt;&gt;")=0,"",SUMIFS(全馬データ!$K$2:$K$50000,全馬データ!$A$2:$A$50000,A3651,全馬データ!$B$2:$B$50000,B3651,全馬データ!$C$2:$C$50000,C3651,全馬データ!$D$2:$D$50000,E3651)))</f>
        <v/>
      </c>
      <c r="AP3651" s="8" t="str">
        <f aca="false">IF(A3651="","",IF(AO3651="","欠損",IF(AO3651&lt;=1.1,"1.0～1.1",IF(AO3651&lt;1.3,"1.2",IF(AO3651&lt;1.5,"1.3～1.4",IF(AO3651&lt;2,"1.5～1.9","2.0以上"))))))</f>
        <v/>
      </c>
      <c r="AQ3651" s="8" t="str">
        <f aca="false">IF(A3651="","",IF(ISNUMBER(SEARCH("2歳",Z3651)),"2歳戦",IF(ISNUMBER(SEARCH("3歳未勝利",Z3651)),"3歳未勝利",IF(ISNUMBER(SEARCH("未勝利",Z3651)),"その他未勝利",IF(ISNUMBER(SEARCH("G1",Z3651)),"G1",IF(ISNUMBER(SEARCH("G2",Z3651)),"G2",IF(ISNUMBER(SEARCH("G3",Z3651)),"G3",IF(ISNUMBER(SEARCH("古馬条件",Z3651)),"古馬条件戦",IF(ISNUMBER(SEARCH("重賞",Z3651)),"重賞","分類不能")))))))))</f>
        <v/>
      </c>
    </row>
    <row r="3652" customFormat="false" ht="15.75" hidden="false" customHeight="false" outlineLevel="0" collapsed="false">
      <c r="AO3652" s="8" t="str">
        <f aca="false">IF(A3652="","",IF(COUNTIFS(全馬データ!$A$2:$A$50000,A3652,全馬データ!$B$2:$B$50000,B3652,全馬データ!$C$2:$C$50000,C3652,全馬データ!$D$2:$D$50000,E3652,全馬データ!$K$2:$K$50000,"&lt;&gt;")=0,"",SUMIFS(全馬データ!$K$2:$K$50000,全馬データ!$A$2:$A$50000,A3652,全馬データ!$B$2:$B$50000,B3652,全馬データ!$C$2:$C$50000,C3652,全馬データ!$D$2:$D$50000,E3652)))</f>
        <v/>
      </c>
      <c r="AP3652" s="8" t="str">
        <f aca="false">IF(A3652="","",IF(AO3652="","欠損",IF(AO3652&lt;=1.1,"1.0～1.1",IF(AO3652&lt;1.3,"1.2",IF(AO3652&lt;1.5,"1.3～1.4",IF(AO3652&lt;2,"1.5～1.9","2.0以上"))))))</f>
        <v/>
      </c>
      <c r="AQ3652" s="8" t="str">
        <f aca="false">IF(A3652="","",IF(ISNUMBER(SEARCH("2歳",Z3652)),"2歳戦",IF(ISNUMBER(SEARCH("3歳未勝利",Z3652)),"3歳未勝利",IF(ISNUMBER(SEARCH("未勝利",Z3652)),"その他未勝利",IF(ISNUMBER(SEARCH("G1",Z3652)),"G1",IF(ISNUMBER(SEARCH("G2",Z3652)),"G2",IF(ISNUMBER(SEARCH("G3",Z3652)),"G3",IF(ISNUMBER(SEARCH("古馬条件",Z3652)),"古馬条件戦",IF(ISNUMBER(SEARCH("重賞",Z3652)),"重賞","分類不能")))))))))</f>
        <v/>
      </c>
    </row>
    <row r="3653" customFormat="false" ht="15.75" hidden="false" customHeight="false" outlineLevel="0" collapsed="false">
      <c r="AO3653" s="8" t="str">
        <f aca="false">IF(A3653="","",IF(COUNTIFS(全馬データ!$A$2:$A$50000,A3653,全馬データ!$B$2:$B$50000,B3653,全馬データ!$C$2:$C$50000,C3653,全馬データ!$D$2:$D$50000,E3653,全馬データ!$K$2:$K$50000,"&lt;&gt;")=0,"",SUMIFS(全馬データ!$K$2:$K$50000,全馬データ!$A$2:$A$50000,A3653,全馬データ!$B$2:$B$50000,B3653,全馬データ!$C$2:$C$50000,C3653,全馬データ!$D$2:$D$50000,E3653)))</f>
        <v/>
      </c>
      <c r="AP3653" s="8" t="str">
        <f aca="false">IF(A3653="","",IF(AO3653="","欠損",IF(AO3653&lt;=1.1,"1.0～1.1",IF(AO3653&lt;1.3,"1.2",IF(AO3653&lt;1.5,"1.3～1.4",IF(AO3653&lt;2,"1.5～1.9","2.0以上"))))))</f>
        <v/>
      </c>
      <c r="AQ3653" s="8" t="str">
        <f aca="false">IF(A3653="","",IF(ISNUMBER(SEARCH("2歳",Z3653)),"2歳戦",IF(ISNUMBER(SEARCH("3歳未勝利",Z3653)),"3歳未勝利",IF(ISNUMBER(SEARCH("未勝利",Z3653)),"その他未勝利",IF(ISNUMBER(SEARCH("G1",Z3653)),"G1",IF(ISNUMBER(SEARCH("G2",Z3653)),"G2",IF(ISNUMBER(SEARCH("G3",Z3653)),"G3",IF(ISNUMBER(SEARCH("古馬条件",Z3653)),"古馬条件戦",IF(ISNUMBER(SEARCH("重賞",Z3653)),"重賞","分類不能")))))))))</f>
        <v/>
      </c>
    </row>
    <row r="3654" customFormat="false" ht="15.75" hidden="false" customHeight="false" outlineLevel="0" collapsed="false">
      <c r="AO3654" s="8" t="str">
        <f aca="false">IF(A3654="","",IF(COUNTIFS(全馬データ!$A$2:$A$50000,A3654,全馬データ!$B$2:$B$50000,B3654,全馬データ!$C$2:$C$50000,C3654,全馬データ!$D$2:$D$50000,E3654,全馬データ!$K$2:$K$50000,"&lt;&gt;")=0,"",SUMIFS(全馬データ!$K$2:$K$50000,全馬データ!$A$2:$A$50000,A3654,全馬データ!$B$2:$B$50000,B3654,全馬データ!$C$2:$C$50000,C3654,全馬データ!$D$2:$D$50000,E3654)))</f>
        <v/>
      </c>
      <c r="AP3654" s="8" t="str">
        <f aca="false">IF(A3654="","",IF(AO3654="","欠損",IF(AO3654&lt;=1.1,"1.0～1.1",IF(AO3654&lt;1.3,"1.2",IF(AO3654&lt;1.5,"1.3～1.4",IF(AO3654&lt;2,"1.5～1.9","2.0以上"))))))</f>
        <v/>
      </c>
      <c r="AQ3654" s="8" t="str">
        <f aca="false">IF(A3654="","",IF(ISNUMBER(SEARCH("2歳",Z3654)),"2歳戦",IF(ISNUMBER(SEARCH("3歳未勝利",Z3654)),"3歳未勝利",IF(ISNUMBER(SEARCH("未勝利",Z3654)),"その他未勝利",IF(ISNUMBER(SEARCH("G1",Z3654)),"G1",IF(ISNUMBER(SEARCH("G2",Z3654)),"G2",IF(ISNUMBER(SEARCH("G3",Z3654)),"G3",IF(ISNUMBER(SEARCH("古馬条件",Z3654)),"古馬条件戦",IF(ISNUMBER(SEARCH("重賞",Z3654)),"重賞","分類不能")))))))))</f>
        <v/>
      </c>
    </row>
    <row r="3655" customFormat="false" ht="15.75" hidden="false" customHeight="false" outlineLevel="0" collapsed="false">
      <c r="AO3655" s="8" t="str">
        <f aca="false">IF(A3655="","",IF(COUNTIFS(全馬データ!$A$2:$A$50000,A3655,全馬データ!$B$2:$B$50000,B3655,全馬データ!$C$2:$C$50000,C3655,全馬データ!$D$2:$D$50000,E3655,全馬データ!$K$2:$K$50000,"&lt;&gt;")=0,"",SUMIFS(全馬データ!$K$2:$K$50000,全馬データ!$A$2:$A$50000,A3655,全馬データ!$B$2:$B$50000,B3655,全馬データ!$C$2:$C$50000,C3655,全馬データ!$D$2:$D$50000,E3655)))</f>
        <v/>
      </c>
      <c r="AP3655" s="8" t="str">
        <f aca="false">IF(A3655="","",IF(AO3655="","欠損",IF(AO3655&lt;=1.1,"1.0～1.1",IF(AO3655&lt;1.3,"1.2",IF(AO3655&lt;1.5,"1.3～1.4",IF(AO3655&lt;2,"1.5～1.9","2.0以上"))))))</f>
        <v/>
      </c>
      <c r="AQ3655" s="8" t="str">
        <f aca="false">IF(A3655="","",IF(ISNUMBER(SEARCH("2歳",Z3655)),"2歳戦",IF(ISNUMBER(SEARCH("3歳未勝利",Z3655)),"3歳未勝利",IF(ISNUMBER(SEARCH("未勝利",Z3655)),"その他未勝利",IF(ISNUMBER(SEARCH("G1",Z3655)),"G1",IF(ISNUMBER(SEARCH("G2",Z3655)),"G2",IF(ISNUMBER(SEARCH("G3",Z3655)),"G3",IF(ISNUMBER(SEARCH("古馬条件",Z3655)),"古馬条件戦",IF(ISNUMBER(SEARCH("重賞",Z3655)),"重賞","分類不能")))))))))</f>
        <v/>
      </c>
    </row>
    <row r="3656" customFormat="false" ht="15.75" hidden="false" customHeight="false" outlineLevel="0" collapsed="false">
      <c r="AO3656" s="8" t="str">
        <f aca="false">IF(A3656="","",IF(COUNTIFS(全馬データ!$A$2:$A$50000,A3656,全馬データ!$B$2:$B$50000,B3656,全馬データ!$C$2:$C$50000,C3656,全馬データ!$D$2:$D$50000,E3656,全馬データ!$K$2:$K$50000,"&lt;&gt;")=0,"",SUMIFS(全馬データ!$K$2:$K$50000,全馬データ!$A$2:$A$50000,A3656,全馬データ!$B$2:$B$50000,B3656,全馬データ!$C$2:$C$50000,C3656,全馬データ!$D$2:$D$50000,E3656)))</f>
        <v/>
      </c>
      <c r="AP3656" s="8" t="str">
        <f aca="false">IF(A3656="","",IF(AO3656="","欠損",IF(AO3656&lt;=1.1,"1.0～1.1",IF(AO3656&lt;1.3,"1.2",IF(AO3656&lt;1.5,"1.3～1.4",IF(AO3656&lt;2,"1.5～1.9","2.0以上"))))))</f>
        <v/>
      </c>
      <c r="AQ3656" s="8" t="str">
        <f aca="false">IF(A3656="","",IF(ISNUMBER(SEARCH("2歳",Z3656)),"2歳戦",IF(ISNUMBER(SEARCH("3歳未勝利",Z3656)),"3歳未勝利",IF(ISNUMBER(SEARCH("未勝利",Z3656)),"その他未勝利",IF(ISNUMBER(SEARCH("G1",Z3656)),"G1",IF(ISNUMBER(SEARCH("G2",Z3656)),"G2",IF(ISNUMBER(SEARCH("G3",Z3656)),"G3",IF(ISNUMBER(SEARCH("古馬条件",Z3656)),"古馬条件戦",IF(ISNUMBER(SEARCH("重賞",Z3656)),"重賞","分類不能")))))))))</f>
        <v/>
      </c>
    </row>
    <row r="3657" customFormat="false" ht="15.75" hidden="false" customHeight="false" outlineLevel="0" collapsed="false">
      <c r="AO3657" s="8" t="str">
        <f aca="false">IF(A3657="","",IF(COUNTIFS(全馬データ!$A$2:$A$50000,A3657,全馬データ!$B$2:$B$50000,B3657,全馬データ!$C$2:$C$50000,C3657,全馬データ!$D$2:$D$50000,E3657,全馬データ!$K$2:$K$50000,"&lt;&gt;")=0,"",SUMIFS(全馬データ!$K$2:$K$50000,全馬データ!$A$2:$A$50000,A3657,全馬データ!$B$2:$B$50000,B3657,全馬データ!$C$2:$C$50000,C3657,全馬データ!$D$2:$D$50000,E3657)))</f>
        <v/>
      </c>
      <c r="AP3657" s="8" t="str">
        <f aca="false">IF(A3657="","",IF(AO3657="","欠損",IF(AO3657&lt;=1.1,"1.0～1.1",IF(AO3657&lt;1.3,"1.2",IF(AO3657&lt;1.5,"1.3～1.4",IF(AO3657&lt;2,"1.5～1.9","2.0以上"))))))</f>
        <v/>
      </c>
      <c r="AQ3657" s="8" t="str">
        <f aca="false">IF(A3657="","",IF(ISNUMBER(SEARCH("2歳",Z3657)),"2歳戦",IF(ISNUMBER(SEARCH("3歳未勝利",Z3657)),"3歳未勝利",IF(ISNUMBER(SEARCH("未勝利",Z3657)),"その他未勝利",IF(ISNUMBER(SEARCH("G1",Z3657)),"G1",IF(ISNUMBER(SEARCH("G2",Z3657)),"G2",IF(ISNUMBER(SEARCH("G3",Z3657)),"G3",IF(ISNUMBER(SEARCH("古馬条件",Z3657)),"古馬条件戦",IF(ISNUMBER(SEARCH("重賞",Z3657)),"重賞","分類不能")))))))))</f>
        <v/>
      </c>
    </row>
    <row r="3658" customFormat="false" ht="15.75" hidden="false" customHeight="false" outlineLevel="0" collapsed="false">
      <c r="AO3658" s="8" t="str">
        <f aca="false">IF(A3658="","",IF(COUNTIFS(全馬データ!$A$2:$A$50000,A3658,全馬データ!$B$2:$B$50000,B3658,全馬データ!$C$2:$C$50000,C3658,全馬データ!$D$2:$D$50000,E3658,全馬データ!$K$2:$K$50000,"&lt;&gt;")=0,"",SUMIFS(全馬データ!$K$2:$K$50000,全馬データ!$A$2:$A$50000,A3658,全馬データ!$B$2:$B$50000,B3658,全馬データ!$C$2:$C$50000,C3658,全馬データ!$D$2:$D$50000,E3658)))</f>
        <v/>
      </c>
      <c r="AP3658" s="8" t="str">
        <f aca="false">IF(A3658="","",IF(AO3658="","欠損",IF(AO3658&lt;=1.1,"1.0～1.1",IF(AO3658&lt;1.3,"1.2",IF(AO3658&lt;1.5,"1.3～1.4",IF(AO3658&lt;2,"1.5～1.9","2.0以上"))))))</f>
        <v/>
      </c>
      <c r="AQ3658" s="8" t="str">
        <f aca="false">IF(A3658="","",IF(ISNUMBER(SEARCH("2歳",Z3658)),"2歳戦",IF(ISNUMBER(SEARCH("3歳未勝利",Z3658)),"3歳未勝利",IF(ISNUMBER(SEARCH("未勝利",Z3658)),"その他未勝利",IF(ISNUMBER(SEARCH("G1",Z3658)),"G1",IF(ISNUMBER(SEARCH("G2",Z3658)),"G2",IF(ISNUMBER(SEARCH("G3",Z3658)),"G3",IF(ISNUMBER(SEARCH("古馬条件",Z3658)),"古馬条件戦",IF(ISNUMBER(SEARCH("重賞",Z3658)),"重賞","分類不能")))))))))</f>
        <v/>
      </c>
    </row>
    <row r="3659" customFormat="false" ht="15.75" hidden="false" customHeight="false" outlineLevel="0" collapsed="false">
      <c r="AO3659" s="8" t="str">
        <f aca="false">IF(A3659="","",IF(COUNTIFS(全馬データ!$A$2:$A$50000,A3659,全馬データ!$B$2:$B$50000,B3659,全馬データ!$C$2:$C$50000,C3659,全馬データ!$D$2:$D$50000,E3659,全馬データ!$K$2:$K$50000,"&lt;&gt;")=0,"",SUMIFS(全馬データ!$K$2:$K$50000,全馬データ!$A$2:$A$50000,A3659,全馬データ!$B$2:$B$50000,B3659,全馬データ!$C$2:$C$50000,C3659,全馬データ!$D$2:$D$50000,E3659)))</f>
        <v/>
      </c>
      <c r="AP3659" s="8" t="str">
        <f aca="false">IF(A3659="","",IF(AO3659="","欠損",IF(AO3659&lt;=1.1,"1.0～1.1",IF(AO3659&lt;1.3,"1.2",IF(AO3659&lt;1.5,"1.3～1.4",IF(AO3659&lt;2,"1.5～1.9","2.0以上"))))))</f>
        <v/>
      </c>
      <c r="AQ3659" s="8" t="str">
        <f aca="false">IF(A3659="","",IF(ISNUMBER(SEARCH("2歳",Z3659)),"2歳戦",IF(ISNUMBER(SEARCH("3歳未勝利",Z3659)),"3歳未勝利",IF(ISNUMBER(SEARCH("未勝利",Z3659)),"その他未勝利",IF(ISNUMBER(SEARCH("G1",Z3659)),"G1",IF(ISNUMBER(SEARCH("G2",Z3659)),"G2",IF(ISNUMBER(SEARCH("G3",Z3659)),"G3",IF(ISNUMBER(SEARCH("古馬条件",Z3659)),"古馬条件戦",IF(ISNUMBER(SEARCH("重賞",Z3659)),"重賞","分類不能")))))))))</f>
        <v/>
      </c>
    </row>
    <row r="3660" customFormat="false" ht="15.75" hidden="false" customHeight="false" outlineLevel="0" collapsed="false">
      <c r="AO3660" s="8" t="str">
        <f aca="false">IF(A3660="","",IF(COUNTIFS(全馬データ!$A$2:$A$50000,A3660,全馬データ!$B$2:$B$50000,B3660,全馬データ!$C$2:$C$50000,C3660,全馬データ!$D$2:$D$50000,E3660,全馬データ!$K$2:$K$50000,"&lt;&gt;")=0,"",SUMIFS(全馬データ!$K$2:$K$50000,全馬データ!$A$2:$A$50000,A3660,全馬データ!$B$2:$B$50000,B3660,全馬データ!$C$2:$C$50000,C3660,全馬データ!$D$2:$D$50000,E3660)))</f>
        <v/>
      </c>
      <c r="AP3660" s="8" t="str">
        <f aca="false">IF(A3660="","",IF(AO3660="","欠損",IF(AO3660&lt;=1.1,"1.0～1.1",IF(AO3660&lt;1.3,"1.2",IF(AO3660&lt;1.5,"1.3～1.4",IF(AO3660&lt;2,"1.5～1.9","2.0以上"))))))</f>
        <v/>
      </c>
      <c r="AQ3660" s="8" t="str">
        <f aca="false">IF(A3660="","",IF(ISNUMBER(SEARCH("2歳",Z3660)),"2歳戦",IF(ISNUMBER(SEARCH("3歳未勝利",Z3660)),"3歳未勝利",IF(ISNUMBER(SEARCH("未勝利",Z3660)),"その他未勝利",IF(ISNUMBER(SEARCH("G1",Z3660)),"G1",IF(ISNUMBER(SEARCH("G2",Z3660)),"G2",IF(ISNUMBER(SEARCH("G3",Z3660)),"G3",IF(ISNUMBER(SEARCH("古馬条件",Z3660)),"古馬条件戦",IF(ISNUMBER(SEARCH("重賞",Z3660)),"重賞","分類不能")))))))))</f>
        <v/>
      </c>
    </row>
    <row r="3661" customFormat="false" ht="15.75" hidden="false" customHeight="false" outlineLevel="0" collapsed="false">
      <c r="AO3661" s="8" t="str">
        <f aca="false">IF(A3661="","",IF(COUNTIFS(全馬データ!$A$2:$A$50000,A3661,全馬データ!$B$2:$B$50000,B3661,全馬データ!$C$2:$C$50000,C3661,全馬データ!$D$2:$D$50000,E3661,全馬データ!$K$2:$K$50000,"&lt;&gt;")=0,"",SUMIFS(全馬データ!$K$2:$K$50000,全馬データ!$A$2:$A$50000,A3661,全馬データ!$B$2:$B$50000,B3661,全馬データ!$C$2:$C$50000,C3661,全馬データ!$D$2:$D$50000,E3661)))</f>
        <v/>
      </c>
      <c r="AP3661" s="8" t="str">
        <f aca="false">IF(A3661="","",IF(AO3661="","欠損",IF(AO3661&lt;=1.1,"1.0～1.1",IF(AO3661&lt;1.3,"1.2",IF(AO3661&lt;1.5,"1.3～1.4",IF(AO3661&lt;2,"1.5～1.9","2.0以上"))))))</f>
        <v/>
      </c>
      <c r="AQ3661" s="8" t="str">
        <f aca="false">IF(A3661="","",IF(ISNUMBER(SEARCH("2歳",Z3661)),"2歳戦",IF(ISNUMBER(SEARCH("3歳未勝利",Z3661)),"3歳未勝利",IF(ISNUMBER(SEARCH("未勝利",Z3661)),"その他未勝利",IF(ISNUMBER(SEARCH("G1",Z3661)),"G1",IF(ISNUMBER(SEARCH("G2",Z3661)),"G2",IF(ISNUMBER(SEARCH("G3",Z3661)),"G3",IF(ISNUMBER(SEARCH("古馬条件",Z3661)),"古馬条件戦",IF(ISNUMBER(SEARCH("重賞",Z3661)),"重賞","分類不能")))))))))</f>
        <v/>
      </c>
    </row>
    <row r="3662" customFormat="false" ht="15.75" hidden="false" customHeight="false" outlineLevel="0" collapsed="false">
      <c r="AO3662" s="8" t="str">
        <f aca="false">IF(A3662="","",IF(COUNTIFS(全馬データ!$A$2:$A$50000,A3662,全馬データ!$B$2:$B$50000,B3662,全馬データ!$C$2:$C$50000,C3662,全馬データ!$D$2:$D$50000,E3662,全馬データ!$K$2:$K$50000,"&lt;&gt;")=0,"",SUMIFS(全馬データ!$K$2:$K$50000,全馬データ!$A$2:$A$50000,A3662,全馬データ!$B$2:$B$50000,B3662,全馬データ!$C$2:$C$50000,C3662,全馬データ!$D$2:$D$50000,E3662)))</f>
        <v/>
      </c>
      <c r="AP3662" s="8" t="str">
        <f aca="false">IF(A3662="","",IF(AO3662="","欠損",IF(AO3662&lt;=1.1,"1.0～1.1",IF(AO3662&lt;1.3,"1.2",IF(AO3662&lt;1.5,"1.3～1.4",IF(AO3662&lt;2,"1.5～1.9","2.0以上"))))))</f>
        <v/>
      </c>
      <c r="AQ3662" s="8" t="str">
        <f aca="false">IF(A3662="","",IF(ISNUMBER(SEARCH("2歳",Z3662)),"2歳戦",IF(ISNUMBER(SEARCH("3歳未勝利",Z3662)),"3歳未勝利",IF(ISNUMBER(SEARCH("未勝利",Z3662)),"その他未勝利",IF(ISNUMBER(SEARCH("G1",Z3662)),"G1",IF(ISNUMBER(SEARCH("G2",Z3662)),"G2",IF(ISNUMBER(SEARCH("G3",Z3662)),"G3",IF(ISNUMBER(SEARCH("古馬条件",Z3662)),"古馬条件戦",IF(ISNUMBER(SEARCH("重賞",Z3662)),"重賞","分類不能")))))))))</f>
        <v/>
      </c>
    </row>
    <row r="3663" customFormat="false" ht="15.75" hidden="false" customHeight="false" outlineLevel="0" collapsed="false">
      <c r="AO3663" s="8" t="str">
        <f aca="false">IF(A3663="","",IF(COUNTIFS(全馬データ!$A$2:$A$50000,A3663,全馬データ!$B$2:$B$50000,B3663,全馬データ!$C$2:$C$50000,C3663,全馬データ!$D$2:$D$50000,E3663,全馬データ!$K$2:$K$50000,"&lt;&gt;")=0,"",SUMIFS(全馬データ!$K$2:$K$50000,全馬データ!$A$2:$A$50000,A3663,全馬データ!$B$2:$B$50000,B3663,全馬データ!$C$2:$C$50000,C3663,全馬データ!$D$2:$D$50000,E3663)))</f>
        <v/>
      </c>
      <c r="AP3663" s="8" t="str">
        <f aca="false">IF(A3663="","",IF(AO3663="","欠損",IF(AO3663&lt;=1.1,"1.0～1.1",IF(AO3663&lt;1.3,"1.2",IF(AO3663&lt;1.5,"1.3～1.4",IF(AO3663&lt;2,"1.5～1.9","2.0以上"))))))</f>
        <v/>
      </c>
      <c r="AQ3663" s="8" t="str">
        <f aca="false">IF(A3663="","",IF(ISNUMBER(SEARCH("2歳",Z3663)),"2歳戦",IF(ISNUMBER(SEARCH("3歳未勝利",Z3663)),"3歳未勝利",IF(ISNUMBER(SEARCH("未勝利",Z3663)),"その他未勝利",IF(ISNUMBER(SEARCH("G1",Z3663)),"G1",IF(ISNUMBER(SEARCH("G2",Z3663)),"G2",IF(ISNUMBER(SEARCH("G3",Z3663)),"G3",IF(ISNUMBER(SEARCH("古馬条件",Z3663)),"古馬条件戦",IF(ISNUMBER(SEARCH("重賞",Z3663)),"重賞","分類不能")))))))))</f>
        <v/>
      </c>
    </row>
    <row r="3664" customFormat="false" ht="15.75" hidden="false" customHeight="false" outlineLevel="0" collapsed="false">
      <c r="AO3664" s="8" t="str">
        <f aca="false">IF(A3664="","",IF(COUNTIFS(全馬データ!$A$2:$A$50000,A3664,全馬データ!$B$2:$B$50000,B3664,全馬データ!$C$2:$C$50000,C3664,全馬データ!$D$2:$D$50000,E3664,全馬データ!$K$2:$K$50000,"&lt;&gt;")=0,"",SUMIFS(全馬データ!$K$2:$K$50000,全馬データ!$A$2:$A$50000,A3664,全馬データ!$B$2:$B$50000,B3664,全馬データ!$C$2:$C$50000,C3664,全馬データ!$D$2:$D$50000,E3664)))</f>
        <v/>
      </c>
      <c r="AP3664" s="8" t="str">
        <f aca="false">IF(A3664="","",IF(AO3664="","欠損",IF(AO3664&lt;=1.1,"1.0～1.1",IF(AO3664&lt;1.3,"1.2",IF(AO3664&lt;1.5,"1.3～1.4",IF(AO3664&lt;2,"1.5～1.9","2.0以上"))))))</f>
        <v/>
      </c>
      <c r="AQ3664" s="8" t="str">
        <f aca="false">IF(A3664="","",IF(ISNUMBER(SEARCH("2歳",Z3664)),"2歳戦",IF(ISNUMBER(SEARCH("3歳未勝利",Z3664)),"3歳未勝利",IF(ISNUMBER(SEARCH("未勝利",Z3664)),"その他未勝利",IF(ISNUMBER(SEARCH("G1",Z3664)),"G1",IF(ISNUMBER(SEARCH("G2",Z3664)),"G2",IF(ISNUMBER(SEARCH("G3",Z3664)),"G3",IF(ISNUMBER(SEARCH("古馬条件",Z3664)),"古馬条件戦",IF(ISNUMBER(SEARCH("重賞",Z3664)),"重賞","分類不能")))))))))</f>
        <v/>
      </c>
    </row>
    <row r="3665" customFormat="false" ht="15.75" hidden="false" customHeight="false" outlineLevel="0" collapsed="false">
      <c r="AO3665" s="8" t="str">
        <f aca="false">IF(A3665="","",IF(COUNTIFS(全馬データ!$A$2:$A$50000,A3665,全馬データ!$B$2:$B$50000,B3665,全馬データ!$C$2:$C$50000,C3665,全馬データ!$D$2:$D$50000,E3665,全馬データ!$K$2:$K$50000,"&lt;&gt;")=0,"",SUMIFS(全馬データ!$K$2:$K$50000,全馬データ!$A$2:$A$50000,A3665,全馬データ!$B$2:$B$50000,B3665,全馬データ!$C$2:$C$50000,C3665,全馬データ!$D$2:$D$50000,E3665)))</f>
        <v/>
      </c>
      <c r="AP3665" s="8" t="str">
        <f aca="false">IF(A3665="","",IF(AO3665="","欠損",IF(AO3665&lt;=1.1,"1.0～1.1",IF(AO3665&lt;1.3,"1.2",IF(AO3665&lt;1.5,"1.3～1.4",IF(AO3665&lt;2,"1.5～1.9","2.0以上"))))))</f>
        <v/>
      </c>
      <c r="AQ3665" s="8" t="str">
        <f aca="false">IF(A3665="","",IF(ISNUMBER(SEARCH("2歳",Z3665)),"2歳戦",IF(ISNUMBER(SEARCH("3歳未勝利",Z3665)),"3歳未勝利",IF(ISNUMBER(SEARCH("未勝利",Z3665)),"その他未勝利",IF(ISNUMBER(SEARCH("G1",Z3665)),"G1",IF(ISNUMBER(SEARCH("G2",Z3665)),"G2",IF(ISNUMBER(SEARCH("G3",Z3665)),"G3",IF(ISNUMBER(SEARCH("古馬条件",Z3665)),"古馬条件戦",IF(ISNUMBER(SEARCH("重賞",Z3665)),"重賞","分類不能")))))))))</f>
        <v/>
      </c>
    </row>
    <row r="3666" customFormat="false" ht="15.75" hidden="false" customHeight="false" outlineLevel="0" collapsed="false">
      <c r="AO3666" s="8" t="str">
        <f aca="false">IF(A3666="","",IF(COUNTIFS(全馬データ!$A$2:$A$50000,A3666,全馬データ!$B$2:$B$50000,B3666,全馬データ!$C$2:$C$50000,C3666,全馬データ!$D$2:$D$50000,E3666,全馬データ!$K$2:$K$50000,"&lt;&gt;")=0,"",SUMIFS(全馬データ!$K$2:$K$50000,全馬データ!$A$2:$A$50000,A3666,全馬データ!$B$2:$B$50000,B3666,全馬データ!$C$2:$C$50000,C3666,全馬データ!$D$2:$D$50000,E3666)))</f>
        <v/>
      </c>
      <c r="AP3666" s="8" t="str">
        <f aca="false">IF(A3666="","",IF(AO3666="","欠損",IF(AO3666&lt;=1.1,"1.0～1.1",IF(AO3666&lt;1.3,"1.2",IF(AO3666&lt;1.5,"1.3～1.4",IF(AO3666&lt;2,"1.5～1.9","2.0以上"))))))</f>
        <v/>
      </c>
      <c r="AQ3666" s="8" t="str">
        <f aca="false">IF(A3666="","",IF(ISNUMBER(SEARCH("2歳",Z3666)),"2歳戦",IF(ISNUMBER(SEARCH("3歳未勝利",Z3666)),"3歳未勝利",IF(ISNUMBER(SEARCH("未勝利",Z3666)),"その他未勝利",IF(ISNUMBER(SEARCH("G1",Z3666)),"G1",IF(ISNUMBER(SEARCH("G2",Z3666)),"G2",IF(ISNUMBER(SEARCH("G3",Z3666)),"G3",IF(ISNUMBER(SEARCH("古馬条件",Z3666)),"古馬条件戦",IF(ISNUMBER(SEARCH("重賞",Z3666)),"重賞","分類不能")))))))))</f>
        <v/>
      </c>
    </row>
    <row r="3667" customFormat="false" ht="15.75" hidden="false" customHeight="false" outlineLevel="0" collapsed="false">
      <c r="AO3667" s="8" t="str">
        <f aca="false">IF(A3667="","",IF(COUNTIFS(全馬データ!$A$2:$A$50000,A3667,全馬データ!$B$2:$B$50000,B3667,全馬データ!$C$2:$C$50000,C3667,全馬データ!$D$2:$D$50000,E3667,全馬データ!$K$2:$K$50000,"&lt;&gt;")=0,"",SUMIFS(全馬データ!$K$2:$K$50000,全馬データ!$A$2:$A$50000,A3667,全馬データ!$B$2:$B$50000,B3667,全馬データ!$C$2:$C$50000,C3667,全馬データ!$D$2:$D$50000,E3667)))</f>
        <v/>
      </c>
      <c r="AP3667" s="8" t="str">
        <f aca="false">IF(A3667="","",IF(AO3667="","欠損",IF(AO3667&lt;=1.1,"1.0～1.1",IF(AO3667&lt;1.3,"1.2",IF(AO3667&lt;1.5,"1.3～1.4",IF(AO3667&lt;2,"1.5～1.9","2.0以上"))))))</f>
        <v/>
      </c>
      <c r="AQ3667" s="8" t="str">
        <f aca="false">IF(A3667="","",IF(ISNUMBER(SEARCH("2歳",Z3667)),"2歳戦",IF(ISNUMBER(SEARCH("3歳未勝利",Z3667)),"3歳未勝利",IF(ISNUMBER(SEARCH("未勝利",Z3667)),"その他未勝利",IF(ISNUMBER(SEARCH("G1",Z3667)),"G1",IF(ISNUMBER(SEARCH("G2",Z3667)),"G2",IF(ISNUMBER(SEARCH("G3",Z3667)),"G3",IF(ISNUMBER(SEARCH("古馬条件",Z3667)),"古馬条件戦",IF(ISNUMBER(SEARCH("重賞",Z3667)),"重賞","分類不能")))))))))</f>
        <v/>
      </c>
    </row>
    <row r="3668" customFormat="false" ht="15.75" hidden="false" customHeight="false" outlineLevel="0" collapsed="false">
      <c r="AO3668" s="8" t="str">
        <f aca="false">IF(A3668="","",IF(COUNTIFS(全馬データ!$A$2:$A$50000,A3668,全馬データ!$B$2:$B$50000,B3668,全馬データ!$C$2:$C$50000,C3668,全馬データ!$D$2:$D$50000,E3668,全馬データ!$K$2:$K$50000,"&lt;&gt;")=0,"",SUMIFS(全馬データ!$K$2:$K$50000,全馬データ!$A$2:$A$50000,A3668,全馬データ!$B$2:$B$50000,B3668,全馬データ!$C$2:$C$50000,C3668,全馬データ!$D$2:$D$50000,E3668)))</f>
        <v/>
      </c>
      <c r="AP3668" s="8" t="str">
        <f aca="false">IF(A3668="","",IF(AO3668="","欠損",IF(AO3668&lt;=1.1,"1.0～1.1",IF(AO3668&lt;1.3,"1.2",IF(AO3668&lt;1.5,"1.3～1.4",IF(AO3668&lt;2,"1.5～1.9","2.0以上"))))))</f>
        <v/>
      </c>
      <c r="AQ3668" s="8" t="str">
        <f aca="false">IF(A3668="","",IF(ISNUMBER(SEARCH("2歳",Z3668)),"2歳戦",IF(ISNUMBER(SEARCH("3歳未勝利",Z3668)),"3歳未勝利",IF(ISNUMBER(SEARCH("未勝利",Z3668)),"その他未勝利",IF(ISNUMBER(SEARCH("G1",Z3668)),"G1",IF(ISNUMBER(SEARCH("G2",Z3668)),"G2",IF(ISNUMBER(SEARCH("G3",Z3668)),"G3",IF(ISNUMBER(SEARCH("古馬条件",Z3668)),"古馬条件戦",IF(ISNUMBER(SEARCH("重賞",Z3668)),"重賞","分類不能")))))))))</f>
        <v/>
      </c>
    </row>
    <row r="3669" customFormat="false" ht="15.75" hidden="false" customHeight="false" outlineLevel="0" collapsed="false">
      <c r="AO3669" s="8" t="str">
        <f aca="false">IF(A3669="","",IF(COUNTIFS(全馬データ!$A$2:$A$50000,A3669,全馬データ!$B$2:$B$50000,B3669,全馬データ!$C$2:$C$50000,C3669,全馬データ!$D$2:$D$50000,E3669,全馬データ!$K$2:$K$50000,"&lt;&gt;")=0,"",SUMIFS(全馬データ!$K$2:$K$50000,全馬データ!$A$2:$A$50000,A3669,全馬データ!$B$2:$B$50000,B3669,全馬データ!$C$2:$C$50000,C3669,全馬データ!$D$2:$D$50000,E3669)))</f>
        <v/>
      </c>
      <c r="AP3669" s="8" t="str">
        <f aca="false">IF(A3669="","",IF(AO3669="","欠損",IF(AO3669&lt;=1.1,"1.0～1.1",IF(AO3669&lt;1.3,"1.2",IF(AO3669&lt;1.5,"1.3～1.4",IF(AO3669&lt;2,"1.5～1.9","2.0以上"))))))</f>
        <v/>
      </c>
      <c r="AQ3669" s="8" t="str">
        <f aca="false">IF(A3669="","",IF(ISNUMBER(SEARCH("2歳",Z3669)),"2歳戦",IF(ISNUMBER(SEARCH("3歳未勝利",Z3669)),"3歳未勝利",IF(ISNUMBER(SEARCH("未勝利",Z3669)),"その他未勝利",IF(ISNUMBER(SEARCH("G1",Z3669)),"G1",IF(ISNUMBER(SEARCH("G2",Z3669)),"G2",IF(ISNUMBER(SEARCH("G3",Z3669)),"G3",IF(ISNUMBER(SEARCH("古馬条件",Z3669)),"古馬条件戦",IF(ISNUMBER(SEARCH("重賞",Z3669)),"重賞","分類不能")))))))))</f>
        <v/>
      </c>
    </row>
    <row r="3670" customFormat="false" ht="15.75" hidden="false" customHeight="false" outlineLevel="0" collapsed="false">
      <c r="AO3670" s="8" t="str">
        <f aca="false">IF(A3670="","",IF(COUNTIFS(全馬データ!$A$2:$A$50000,A3670,全馬データ!$B$2:$B$50000,B3670,全馬データ!$C$2:$C$50000,C3670,全馬データ!$D$2:$D$50000,E3670,全馬データ!$K$2:$K$50000,"&lt;&gt;")=0,"",SUMIFS(全馬データ!$K$2:$K$50000,全馬データ!$A$2:$A$50000,A3670,全馬データ!$B$2:$B$50000,B3670,全馬データ!$C$2:$C$50000,C3670,全馬データ!$D$2:$D$50000,E3670)))</f>
        <v/>
      </c>
      <c r="AP3670" s="8" t="str">
        <f aca="false">IF(A3670="","",IF(AO3670="","欠損",IF(AO3670&lt;=1.1,"1.0～1.1",IF(AO3670&lt;1.3,"1.2",IF(AO3670&lt;1.5,"1.3～1.4",IF(AO3670&lt;2,"1.5～1.9","2.0以上"))))))</f>
        <v/>
      </c>
      <c r="AQ3670" s="8" t="str">
        <f aca="false">IF(A3670="","",IF(ISNUMBER(SEARCH("2歳",Z3670)),"2歳戦",IF(ISNUMBER(SEARCH("3歳未勝利",Z3670)),"3歳未勝利",IF(ISNUMBER(SEARCH("未勝利",Z3670)),"その他未勝利",IF(ISNUMBER(SEARCH("G1",Z3670)),"G1",IF(ISNUMBER(SEARCH("G2",Z3670)),"G2",IF(ISNUMBER(SEARCH("G3",Z3670)),"G3",IF(ISNUMBER(SEARCH("古馬条件",Z3670)),"古馬条件戦",IF(ISNUMBER(SEARCH("重賞",Z3670)),"重賞","分類不能")))))))))</f>
        <v/>
      </c>
    </row>
    <row r="3671" customFormat="false" ht="15.75" hidden="false" customHeight="false" outlineLevel="0" collapsed="false">
      <c r="AO3671" s="8" t="str">
        <f aca="false">IF(A3671="","",IF(COUNTIFS(全馬データ!$A$2:$A$50000,A3671,全馬データ!$B$2:$B$50000,B3671,全馬データ!$C$2:$C$50000,C3671,全馬データ!$D$2:$D$50000,E3671,全馬データ!$K$2:$K$50000,"&lt;&gt;")=0,"",SUMIFS(全馬データ!$K$2:$K$50000,全馬データ!$A$2:$A$50000,A3671,全馬データ!$B$2:$B$50000,B3671,全馬データ!$C$2:$C$50000,C3671,全馬データ!$D$2:$D$50000,E3671)))</f>
        <v/>
      </c>
      <c r="AP3671" s="8" t="str">
        <f aca="false">IF(A3671="","",IF(AO3671="","欠損",IF(AO3671&lt;=1.1,"1.0～1.1",IF(AO3671&lt;1.3,"1.2",IF(AO3671&lt;1.5,"1.3～1.4",IF(AO3671&lt;2,"1.5～1.9","2.0以上"))))))</f>
        <v/>
      </c>
      <c r="AQ3671" s="8" t="str">
        <f aca="false">IF(A3671="","",IF(ISNUMBER(SEARCH("2歳",Z3671)),"2歳戦",IF(ISNUMBER(SEARCH("3歳未勝利",Z3671)),"3歳未勝利",IF(ISNUMBER(SEARCH("未勝利",Z3671)),"その他未勝利",IF(ISNUMBER(SEARCH("G1",Z3671)),"G1",IF(ISNUMBER(SEARCH("G2",Z3671)),"G2",IF(ISNUMBER(SEARCH("G3",Z3671)),"G3",IF(ISNUMBER(SEARCH("古馬条件",Z3671)),"古馬条件戦",IF(ISNUMBER(SEARCH("重賞",Z3671)),"重賞","分類不能")))))))))</f>
        <v/>
      </c>
    </row>
    <row r="3672" customFormat="false" ht="15.75" hidden="false" customHeight="false" outlineLevel="0" collapsed="false">
      <c r="AO3672" s="8" t="str">
        <f aca="false">IF(A3672="","",IF(COUNTIFS(全馬データ!$A$2:$A$50000,A3672,全馬データ!$B$2:$B$50000,B3672,全馬データ!$C$2:$C$50000,C3672,全馬データ!$D$2:$D$50000,E3672,全馬データ!$K$2:$K$50000,"&lt;&gt;")=0,"",SUMIFS(全馬データ!$K$2:$K$50000,全馬データ!$A$2:$A$50000,A3672,全馬データ!$B$2:$B$50000,B3672,全馬データ!$C$2:$C$50000,C3672,全馬データ!$D$2:$D$50000,E3672)))</f>
        <v/>
      </c>
      <c r="AP3672" s="8" t="str">
        <f aca="false">IF(A3672="","",IF(AO3672="","欠損",IF(AO3672&lt;=1.1,"1.0～1.1",IF(AO3672&lt;1.3,"1.2",IF(AO3672&lt;1.5,"1.3～1.4",IF(AO3672&lt;2,"1.5～1.9","2.0以上"))))))</f>
        <v/>
      </c>
      <c r="AQ3672" s="8" t="str">
        <f aca="false">IF(A3672="","",IF(ISNUMBER(SEARCH("2歳",Z3672)),"2歳戦",IF(ISNUMBER(SEARCH("3歳未勝利",Z3672)),"3歳未勝利",IF(ISNUMBER(SEARCH("未勝利",Z3672)),"その他未勝利",IF(ISNUMBER(SEARCH("G1",Z3672)),"G1",IF(ISNUMBER(SEARCH("G2",Z3672)),"G2",IF(ISNUMBER(SEARCH("G3",Z3672)),"G3",IF(ISNUMBER(SEARCH("古馬条件",Z3672)),"古馬条件戦",IF(ISNUMBER(SEARCH("重賞",Z3672)),"重賞","分類不能")))))))))</f>
        <v/>
      </c>
    </row>
    <row r="3673" customFormat="false" ht="15.75" hidden="false" customHeight="false" outlineLevel="0" collapsed="false">
      <c r="AO3673" s="8" t="str">
        <f aca="false">IF(A3673="","",IF(COUNTIFS(全馬データ!$A$2:$A$50000,A3673,全馬データ!$B$2:$B$50000,B3673,全馬データ!$C$2:$C$50000,C3673,全馬データ!$D$2:$D$50000,E3673,全馬データ!$K$2:$K$50000,"&lt;&gt;")=0,"",SUMIFS(全馬データ!$K$2:$K$50000,全馬データ!$A$2:$A$50000,A3673,全馬データ!$B$2:$B$50000,B3673,全馬データ!$C$2:$C$50000,C3673,全馬データ!$D$2:$D$50000,E3673)))</f>
        <v/>
      </c>
      <c r="AP3673" s="8" t="str">
        <f aca="false">IF(A3673="","",IF(AO3673="","欠損",IF(AO3673&lt;=1.1,"1.0～1.1",IF(AO3673&lt;1.3,"1.2",IF(AO3673&lt;1.5,"1.3～1.4",IF(AO3673&lt;2,"1.5～1.9","2.0以上"))))))</f>
        <v/>
      </c>
      <c r="AQ3673" s="8" t="str">
        <f aca="false">IF(A3673="","",IF(ISNUMBER(SEARCH("2歳",Z3673)),"2歳戦",IF(ISNUMBER(SEARCH("3歳未勝利",Z3673)),"3歳未勝利",IF(ISNUMBER(SEARCH("未勝利",Z3673)),"その他未勝利",IF(ISNUMBER(SEARCH("G1",Z3673)),"G1",IF(ISNUMBER(SEARCH("G2",Z3673)),"G2",IF(ISNUMBER(SEARCH("G3",Z3673)),"G3",IF(ISNUMBER(SEARCH("古馬条件",Z3673)),"古馬条件戦",IF(ISNUMBER(SEARCH("重賞",Z3673)),"重賞","分類不能")))))))))</f>
        <v/>
      </c>
    </row>
    <row r="3674" customFormat="false" ht="15.75" hidden="false" customHeight="false" outlineLevel="0" collapsed="false">
      <c r="AO3674" s="8" t="str">
        <f aca="false">IF(A3674="","",IF(COUNTIFS(全馬データ!$A$2:$A$50000,A3674,全馬データ!$B$2:$B$50000,B3674,全馬データ!$C$2:$C$50000,C3674,全馬データ!$D$2:$D$50000,E3674,全馬データ!$K$2:$K$50000,"&lt;&gt;")=0,"",SUMIFS(全馬データ!$K$2:$K$50000,全馬データ!$A$2:$A$50000,A3674,全馬データ!$B$2:$B$50000,B3674,全馬データ!$C$2:$C$50000,C3674,全馬データ!$D$2:$D$50000,E3674)))</f>
        <v/>
      </c>
      <c r="AP3674" s="8" t="str">
        <f aca="false">IF(A3674="","",IF(AO3674="","欠損",IF(AO3674&lt;=1.1,"1.0～1.1",IF(AO3674&lt;1.3,"1.2",IF(AO3674&lt;1.5,"1.3～1.4",IF(AO3674&lt;2,"1.5～1.9","2.0以上"))))))</f>
        <v/>
      </c>
      <c r="AQ3674" s="8" t="str">
        <f aca="false">IF(A3674="","",IF(ISNUMBER(SEARCH("2歳",Z3674)),"2歳戦",IF(ISNUMBER(SEARCH("3歳未勝利",Z3674)),"3歳未勝利",IF(ISNUMBER(SEARCH("未勝利",Z3674)),"その他未勝利",IF(ISNUMBER(SEARCH("G1",Z3674)),"G1",IF(ISNUMBER(SEARCH("G2",Z3674)),"G2",IF(ISNUMBER(SEARCH("G3",Z3674)),"G3",IF(ISNUMBER(SEARCH("古馬条件",Z3674)),"古馬条件戦",IF(ISNUMBER(SEARCH("重賞",Z3674)),"重賞","分類不能")))))))))</f>
        <v/>
      </c>
    </row>
    <row r="3675" customFormat="false" ht="15.75" hidden="false" customHeight="false" outlineLevel="0" collapsed="false">
      <c r="AO3675" s="8" t="str">
        <f aca="false">IF(A3675="","",IF(COUNTIFS(全馬データ!$A$2:$A$50000,A3675,全馬データ!$B$2:$B$50000,B3675,全馬データ!$C$2:$C$50000,C3675,全馬データ!$D$2:$D$50000,E3675,全馬データ!$K$2:$K$50000,"&lt;&gt;")=0,"",SUMIFS(全馬データ!$K$2:$K$50000,全馬データ!$A$2:$A$50000,A3675,全馬データ!$B$2:$B$50000,B3675,全馬データ!$C$2:$C$50000,C3675,全馬データ!$D$2:$D$50000,E3675)))</f>
        <v/>
      </c>
      <c r="AP3675" s="8" t="str">
        <f aca="false">IF(A3675="","",IF(AO3675="","欠損",IF(AO3675&lt;=1.1,"1.0～1.1",IF(AO3675&lt;1.3,"1.2",IF(AO3675&lt;1.5,"1.3～1.4",IF(AO3675&lt;2,"1.5～1.9","2.0以上"))))))</f>
        <v/>
      </c>
      <c r="AQ3675" s="8" t="str">
        <f aca="false">IF(A3675="","",IF(ISNUMBER(SEARCH("2歳",Z3675)),"2歳戦",IF(ISNUMBER(SEARCH("3歳未勝利",Z3675)),"3歳未勝利",IF(ISNUMBER(SEARCH("未勝利",Z3675)),"その他未勝利",IF(ISNUMBER(SEARCH("G1",Z3675)),"G1",IF(ISNUMBER(SEARCH("G2",Z3675)),"G2",IF(ISNUMBER(SEARCH("G3",Z3675)),"G3",IF(ISNUMBER(SEARCH("古馬条件",Z3675)),"古馬条件戦",IF(ISNUMBER(SEARCH("重賞",Z3675)),"重賞","分類不能")))))))))</f>
        <v/>
      </c>
    </row>
    <row r="3676" customFormat="false" ht="15.75" hidden="false" customHeight="false" outlineLevel="0" collapsed="false">
      <c r="AO3676" s="8" t="str">
        <f aca="false">IF(A3676="","",IF(COUNTIFS(全馬データ!$A$2:$A$50000,A3676,全馬データ!$B$2:$B$50000,B3676,全馬データ!$C$2:$C$50000,C3676,全馬データ!$D$2:$D$50000,E3676,全馬データ!$K$2:$K$50000,"&lt;&gt;")=0,"",SUMIFS(全馬データ!$K$2:$K$50000,全馬データ!$A$2:$A$50000,A3676,全馬データ!$B$2:$B$50000,B3676,全馬データ!$C$2:$C$50000,C3676,全馬データ!$D$2:$D$50000,E3676)))</f>
        <v/>
      </c>
      <c r="AP3676" s="8" t="str">
        <f aca="false">IF(A3676="","",IF(AO3676="","欠損",IF(AO3676&lt;=1.1,"1.0～1.1",IF(AO3676&lt;1.3,"1.2",IF(AO3676&lt;1.5,"1.3～1.4",IF(AO3676&lt;2,"1.5～1.9","2.0以上"))))))</f>
        <v/>
      </c>
      <c r="AQ3676" s="8" t="str">
        <f aca="false">IF(A3676="","",IF(ISNUMBER(SEARCH("2歳",Z3676)),"2歳戦",IF(ISNUMBER(SEARCH("3歳未勝利",Z3676)),"3歳未勝利",IF(ISNUMBER(SEARCH("未勝利",Z3676)),"その他未勝利",IF(ISNUMBER(SEARCH("G1",Z3676)),"G1",IF(ISNUMBER(SEARCH("G2",Z3676)),"G2",IF(ISNUMBER(SEARCH("G3",Z3676)),"G3",IF(ISNUMBER(SEARCH("古馬条件",Z3676)),"古馬条件戦",IF(ISNUMBER(SEARCH("重賞",Z3676)),"重賞","分類不能")))))))))</f>
        <v/>
      </c>
    </row>
    <row r="3677" customFormat="false" ht="15.75" hidden="false" customHeight="false" outlineLevel="0" collapsed="false">
      <c r="AO3677" s="8" t="str">
        <f aca="false">IF(A3677="","",IF(COUNTIFS(全馬データ!$A$2:$A$50000,A3677,全馬データ!$B$2:$B$50000,B3677,全馬データ!$C$2:$C$50000,C3677,全馬データ!$D$2:$D$50000,E3677,全馬データ!$K$2:$K$50000,"&lt;&gt;")=0,"",SUMIFS(全馬データ!$K$2:$K$50000,全馬データ!$A$2:$A$50000,A3677,全馬データ!$B$2:$B$50000,B3677,全馬データ!$C$2:$C$50000,C3677,全馬データ!$D$2:$D$50000,E3677)))</f>
        <v/>
      </c>
      <c r="AP3677" s="8" t="str">
        <f aca="false">IF(A3677="","",IF(AO3677="","欠損",IF(AO3677&lt;=1.1,"1.0～1.1",IF(AO3677&lt;1.3,"1.2",IF(AO3677&lt;1.5,"1.3～1.4",IF(AO3677&lt;2,"1.5～1.9","2.0以上"))))))</f>
        <v/>
      </c>
      <c r="AQ3677" s="8" t="str">
        <f aca="false">IF(A3677="","",IF(ISNUMBER(SEARCH("2歳",Z3677)),"2歳戦",IF(ISNUMBER(SEARCH("3歳未勝利",Z3677)),"3歳未勝利",IF(ISNUMBER(SEARCH("未勝利",Z3677)),"その他未勝利",IF(ISNUMBER(SEARCH("G1",Z3677)),"G1",IF(ISNUMBER(SEARCH("G2",Z3677)),"G2",IF(ISNUMBER(SEARCH("G3",Z3677)),"G3",IF(ISNUMBER(SEARCH("古馬条件",Z3677)),"古馬条件戦",IF(ISNUMBER(SEARCH("重賞",Z3677)),"重賞","分類不能")))))))))</f>
        <v/>
      </c>
    </row>
    <row r="3678" customFormat="false" ht="15.75" hidden="false" customHeight="false" outlineLevel="0" collapsed="false">
      <c r="AO3678" s="8" t="str">
        <f aca="false">IF(A3678="","",IF(COUNTIFS(全馬データ!$A$2:$A$50000,A3678,全馬データ!$B$2:$B$50000,B3678,全馬データ!$C$2:$C$50000,C3678,全馬データ!$D$2:$D$50000,E3678,全馬データ!$K$2:$K$50000,"&lt;&gt;")=0,"",SUMIFS(全馬データ!$K$2:$K$50000,全馬データ!$A$2:$A$50000,A3678,全馬データ!$B$2:$B$50000,B3678,全馬データ!$C$2:$C$50000,C3678,全馬データ!$D$2:$D$50000,E3678)))</f>
        <v/>
      </c>
      <c r="AP3678" s="8" t="str">
        <f aca="false">IF(A3678="","",IF(AO3678="","欠損",IF(AO3678&lt;=1.1,"1.0～1.1",IF(AO3678&lt;1.3,"1.2",IF(AO3678&lt;1.5,"1.3～1.4",IF(AO3678&lt;2,"1.5～1.9","2.0以上"))))))</f>
        <v/>
      </c>
      <c r="AQ3678" s="8" t="str">
        <f aca="false">IF(A3678="","",IF(ISNUMBER(SEARCH("2歳",Z3678)),"2歳戦",IF(ISNUMBER(SEARCH("3歳未勝利",Z3678)),"3歳未勝利",IF(ISNUMBER(SEARCH("未勝利",Z3678)),"その他未勝利",IF(ISNUMBER(SEARCH("G1",Z3678)),"G1",IF(ISNUMBER(SEARCH("G2",Z3678)),"G2",IF(ISNUMBER(SEARCH("G3",Z3678)),"G3",IF(ISNUMBER(SEARCH("古馬条件",Z3678)),"古馬条件戦",IF(ISNUMBER(SEARCH("重賞",Z3678)),"重賞","分類不能")))))))))</f>
        <v/>
      </c>
    </row>
    <row r="3679" customFormat="false" ht="15.75" hidden="false" customHeight="false" outlineLevel="0" collapsed="false">
      <c r="AO3679" s="8" t="str">
        <f aca="false">IF(A3679="","",IF(COUNTIFS(全馬データ!$A$2:$A$50000,A3679,全馬データ!$B$2:$B$50000,B3679,全馬データ!$C$2:$C$50000,C3679,全馬データ!$D$2:$D$50000,E3679,全馬データ!$K$2:$K$50000,"&lt;&gt;")=0,"",SUMIFS(全馬データ!$K$2:$K$50000,全馬データ!$A$2:$A$50000,A3679,全馬データ!$B$2:$B$50000,B3679,全馬データ!$C$2:$C$50000,C3679,全馬データ!$D$2:$D$50000,E3679)))</f>
        <v/>
      </c>
      <c r="AP3679" s="8" t="str">
        <f aca="false">IF(A3679="","",IF(AO3679="","欠損",IF(AO3679&lt;=1.1,"1.0～1.1",IF(AO3679&lt;1.3,"1.2",IF(AO3679&lt;1.5,"1.3～1.4",IF(AO3679&lt;2,"1.5～1.9","2.0以上"))))))</f>
        <v/>
      </c>
      <c r="AQ3679" s="8" t="str">
        <f aca="false">IF(A3679="","",IF(ISNUMBER(SEARCH("2歳",Z3679)),"2歳戦",IF(ISNUMBER(SEARCH("3歳未勝利",Z3679)),"3歳未勝利",IF(ISNUMBER(SEARCH("未勝利",Z3679)),"その他未勝利",IF(ISNUMBER(SEARCH("G1",Z3679)),"G1",IF(ISNUMBER(SEARCH("G2",Z3679)),"G2",IF(ISNUMBER(SEARCH("G3",Z3679)),"G3",IF(ISNUMBER(SEARCH("古馬条件",Z3679)),"古馬条件戦",IF(ISNUMBER(SEARCH("重賞",Z3679)),"重賞","分類不能")))))))))</f>
        <v/>
      </c>
    </row>
    <row r="3680" customFormat="false" ht="15.75" hidden="false" customHeight="false" outlineLevel="0" collapsed="false">
      <c r="AO3680" s="8" t="str">
        <f aca="false">IF(A3680="","",IF(COUNTIFS(全馬データ!$A$2:$A$50000,A3680,全馬データ!$B$2:$B$50000,B3680,全馬データ!$C$2:$C$50000,C3680,全馬データ!$D$2:$D$50000,E3680,全馬データ!$K$2:$K$50000,"&lt;&gt;")=0,"",SUMIFS(全馬データ!$K$2:$K$50000,全馬データ!$A$2:$A$50000,A3680,全馬データ!$B$2:$B$50000,B3680,全馬データ!$C$2:$C$50000,C3680,全馬データ!$D$2:$D$50000,E3680)))</f>
        <v/>
      </c>
      <c r="AP3680" s="8" t="str">
        <f aca="false">IF(A3680="","",IF(AO3680="","欠損",IF(AO3680&lt;=1.1,"1.0～1.1",IF(AO3680&lt;1.3,"1.2",IF(AO3680&lt;1.5,"1.3～1.4",IF(AO3680&lt;2,"1.5～1.9","2.0以上"))))))</f>
        <v/>
      </c>
      <c r="AQ3680" s="8" t="str">
        <f aca="false">IF(A3680="","",IF(ISNUMBER(SEARCH("2歳",Z3680)),"2歳戦",IF(ISNUMBER(SEARCH("3歳未勝利",Z3680)),"3歳未勝利",IF(ISNUMBER(SEARCH("未勝利",Z3680)),"その他未勝利",IF(ISNUMBER(SEARCH("G1",Z3680)),"G1",IF(ISNUMBER(SEARCH("G2",Z3680)),"G2",IF(ISNUMBER(SEARCH("G3",Z3680)),"G3",IF(ISNUMBER(SEARCH("古馬条件",Z3680)),"古馬条件戦",IF(ISNUMBER(SEARCH("重賞",Z3680)),"重賞","分類不能")))))))))</f>
        <v/>
      </c>
    </row>
    <row r="3681" customFormat="false" ht="15.75" hidden="false" customHeight="false" outlineLevel="0" collapsed="false">
      <c r="AO3681" s="8" t="str">
        <f aca="false">IF(A3681="","",IF(COUNTIFS(全馬データ!$A$2:$A$50000,A3681,全馬データ!$B$2:$B$50000,B3681,全馬データ!$C$2:$C$50000,C3681,全馬データ!$D$2:$D$50000,E3681,全馬データ!$K$2:$K$50000,"&lt;&gt;")=0,"",SUMIFS(全馬データ!$K$2:$K$50000,全馬データ!$A$2:$A$50000,A3681,全馬データ!$B$2:$B$50000,B3681,全馬データ!$C$2:$C$50000,C3681,全馬データ!$D$2:$D$50000,E3681)))</f>
        <v/>
      </c>
      <c r="AP3681" s="8" t="str">
        <f aca="false">IF(A3681="","",IF(AO3681="","欠損",IF(AO3681&lt;=1.1,"1.0～1.1",IF(AO3681&lt;1.3,"1.2",IF(AO3681&lt;1.5,"1.3～1.4",IF(AO3681&lt;2,"1.5～1.9","2.0以上"))))))</f>
        <v/>
      </c>
      <c r="AQ3681" s="8" t="str">
        <f aca="false">IF(A3681="","",IF(ISNUMBER(SEARCH("2歳",Z3681)),"2歳戦",IF(ISNUMBER(SEARCH("3歳未勝利",Z3681)),"3歳未勝利",IF(ISNUMBER(SEARCH("未勝利",Z3681)),"その他未勝利",IF(ISNUMBER(SEARCH("G1",Z3681)),"G1",IF(ISNUMBER(SEARCH("G2",Z3681)),"G2",IF(ISNUMBER(SEARCH("G3",Z3681)),"G3",IF(ISNUMBER(SEARCH("古馬条件",Z3681)),"古馬条件戦",IF(ISNUMBER(SEARCH("重賞",Z3681)),"重賞","分類不能")))))))))</f>
        <v/>
      </c>
    </row>
    <row r="3682" customFormat="false" ht="15.75" hidden="false" customHeight="false" outlineLevel="0" collapsed="false">
      <c r="AO3682" s="8" t="str">
        <f aca="false">IF(A3682="","",IF(COUNTIFS(全馬データ!$A$2:$A$50000,A3682,全馬データ!$B$2:$B$50000,B3682,全馬データ!$C$2:$C$50000,C3682,全馬データ!$D$2:$D$50000,E3682,全馬データ!$K$2:$K$50000,"&lt;&gt;")=0,"",SUMIFS(全馬データ!$K$2:$K$50000,全馬データ!$A$2:$A$50000,A3682,全馬データ!$B$2:$B$50000,B3682,全馬データ!$C$2:$C$50000,C3682,全馬データ!$D$2:$D$50000,E3682)))</f>
        <v/>
      </c>
      <c r="AP3682" s="8" t="str">
        <f aca="false">IF(A3682="","",IF(AO3682="","欠損",IF(AO3682&lt;=1.1,"1.0～1.1",IF(AO3682&lt;1.3,"1.2",IF(AO3682&lt;1.5,"1.3～1.4",IF(AO3682&lt;2,"1.5～1.9","2.0以上"))))))</f>
        <v/>
      </c>
      <c r="AQ3682" s="8" t="str">
        <f aca="false">IF(A3682="","",IF(ISNUMBER(SEARCH("2歳",Z3682)),"2歳戦",IF(ISNUMBER(SEARCH("3歳未勝利",Z3682)),"3歳未勝利",IF(ISNUMBER(SEARCH("未勝利",Z3682)),"その他未勝利",IF(ISNUMBER(SEARCH("G1",Z3682)),"G1",IF(ISNUMBER(SEARCH("G2",Z3682)),"G2",IF(ISNUMBER(SEARCH("G3",Z3682)),"G3",IF(ISNUMBER(SEARCH("古馬条件",Z3682)),"古馬条件戦",IF(ISNUMBER(SEARCH("重賞",Z3682)),"重賞","分類不能")))))))))</f>
        <v/>
      </c>
    </row>
    <row r="3683" customFormat="false" ht="15.75" hidden="false" customHeight="false" outlineLevel="0" collapsed="false">
      <c r="AO3683" s="8" t="str">
        <f aca="false">IF(A3683="","",IF(COUNTIFS(全馬データ!$A$2:$A$50000,A3683,全馬データ!$B$2:$B$50000,B3683,全馬データ!$C$2:$C$50000,C3683,全馬データ!$D$2:$D$50000,E3683,全馬データ!$K$2:$K$50000,"&lt;&gt;")=0,"",SUMIFS(全馬データ!$K$2:$K$50000,全馬データ!$A$2:$A$50000,A3683,全馬データ!$B$2:$B$50000,B3683,全馬データ!$C$2:$C$50000,C3683,全馬データ!$D$2:$D$50000,E3683)))</f>
        <v/>
      </c>
      <c r="AP3683" s="8" t="str">
        <f aca="false">IF(A3683="","",IF(AO3683="","欠損",IF(AO3683&lt;=1.1,"1.0～1.1",IF(AO3683&lt;1.3,"1.2",IF(AO3683&lt;1.5,"1.3～1.4",IF(AO3683&lt;2,"1.5～1.9","2.0以上"))))))</f>
        <v/>
      </c>
      <c r="AQ3683" s="8" t="str">
        <f aca="false">IF(A3683="","",IF(ISNUMBER(SEARCH("2歳",Z3683)),"2歳戦",IF(ISNUMBER(SEARCH("3歳未勝利",Z3683)),"3歳未勝利",IF(ISNUMBER(SEARCH("未勝利",Z3683)),"その他未勝利",IF(ISNUMBER(SEARCH("G1",Z3683)),"G1",IF(ISNUMBER(SEARCH("G2",Z3683)),"G2",IF(ISNUMBER(SEARCH("G3",Z3683)),"G3",IF(ISNUMBER(SEARCH("古馬条件",Z3683)),"古馬条件戦",IF(ISNUMBER(SEARCH("重賞",Z3683)),"重賞","分類不能")))))))))</f>
        <v/>
      </c>
    </row>
    <row r="3684" customFormat="false" ht="15.75" hidden="false" customHeight="false" outlineLevel="0" collapsed="false">
      <c r="AO3684" s="8" t="str">
        <f aca="false">IF(A3684="","",IF(COUNTIFS(全馬データ!$A$2:$A$50000,A3684,全馬データ!$B$2:$B$50000,B3684,全馬データ!$C$2:$C$50000,C3684,全馬データ!$D$2:$D$50000,E3684,全馬データ!$K$2:$K$50000,"&lt;&gt;")=0,"",SUMIFS(全馬データ!$K$2:$K$50000,全馬データ!$A$2:$A$50000,A3684,全馬データ!$B$2:$B$50000,B3684,全馬データ!$C$2:$C$50000,C3684,全馬データ!$D$2:$D$50000,E3684)))</f>
        <v/>
      </c>
      <c r="AP3684" s="8" t="str">
        <f aca="false">IF(A3684="","",IF(AO3684="","欠損",IF(AO3684&lt;=1.1,"1.0～1.1",IF(AO3684&lt;1.3,"1.2",IF(AO3684&lt;1.5,"1.3～1.4",IF(AO3684&lt;2,"1.5～1.9","2.0以上"))))))</f>
        <v/>
      </c>
      <c r="AQ3684" s="8" t="str">
        <f aca="false">IF(A3684="","",IF(ISNUMBER(SEARCH("2歳",Z3684)),"2歳戦",IF(ISNUMBER(SEARCH("3歳未勝利",Z3684)),"3歳未勝利",IF(ISNUMBER(SEARCH("未勝利",Z3684)),"その他未勝利",IF(ISNUMBER(SEARCH("G1",Z3684)),"G1",IF(ISNUMBER(SEARCH("G2",Z3684)),"G2",IF(ISNUMBER(SEARCH("G3",Z3684)),"G3",IF(ISNUMBER(SEARCH("古馬条件",Z3684)),"古馬条件戦",IF(ISNUMBER(SEARCH("重賞",Z3684)),"重賞","分類不能")))))))))</f>
        <v/>
      </c>
    </row>
    <row r="3685" customFormat="false" ht="15.75" hidden="false" customHeight="false" outlineLevel="0" collapsed="false">
      <c r="AO3685" s="8" t="str">
        <f aca="false">IF(A3685="","",IF(COUNTIFS(全馬データ!$A$2:$A$50000,A3685,全馬データ!$B$2:$B$50000,B3685,全馬データ!$C$2:$C$50000,C3685,全馬データ!$D$2:$D$50000,E3685,全馬データ!$K$2:$K$50000,"&lt;&gt;")=0,"",SUMIFS(全馬データ!$K$2:$K$50000,全馬データ!$A$2:$A$50000,A3685,全馬データ!$B$2:$B$50000,B3685,全馬データ!$C$2:$C$50000,C3685,全馬データ!$D$2:$D$50000,E3685)))</f>
        <v/>
      </c>
      <c r="AP3685" s="8" t="str">
        <f aca="false">IF(A3685="","",IF(AO3685="","欠損",IF(AO3685&lt;=1.1,"1.0～1.1",IF(AO3685&lt;1.3,"1.2",IF(AO3685&lt;1.5,"1.3～1.4",IF(AO3685&lt;2,"1.5～1.9","2.0以上"))))))</f>
        <v/>
      </c>
      <c r="AQ3685" s="8" t="str">
        <f aca="false">IF(A3685="","",IF(ISNUMBER(SEARCH("2歳",Z3685)),"2歳戦",IF(ISNUMBER(SEARCH("3歳未勝利",Z3685)),"3歳未勝利",IF(ISNUMBER(SEARCH("未勝利",Z3685)),"その他未勝利",IF(ISNUMBER(SEARCH("G1",Z3685)),"G1",IF(ISNUMBER(SEARCH("G2",Z3685)),"G2",IF(ISNUMBER(SEARCH("G3",Z3685)),"G3",IF(ISNUMBER(SEARCH("古馬条件",Z3685)),"古馬条件戦",IF(ISNUMBER(SEARCH("重賞",Z3685)),"重賞","分類不能")))))))))</f>
        <v/>
      </c>
    </row>
    <row r="3686" customFormat="false" ht="15.75" hidden="false" customHeight="false" outlineLevel="0" collapsed="false">
      <c r="AO3686" s="8" t="str">
        <f aca="false">IF(A3686="","",IF(COUNTIFS(全馬データ!$A$2:$A$50000,A3686,全馬データ!$B$2:$B$50000,B3686,全馬データ!$C$2:$C$50000,C3686,全馬データ!$D$2:$D$50000,E3686,全馬データ!$K$2:$K$50000,"&lt;&gt;")=0,"",SUMIFS(全馬データ!$K$2:$K$50000,全馬データ!$A$2:$A$50000,A3686,全馬データ!$B$2:$B$50000,B3686,全馬データ!$C$2:$C$50000,C3686,全馬データ!$D$2:$D$50000,E3686)))</f>
        <v/>
      </c>
      <c r="AP3686" s="8" t="str">
        <f aca="false">IF(A3686="","",IF(AO3686="","欠損",IF(AO3686&lt;=1.1,"1.0～1.1",IF(AO3686&lt;1.3,"1.2",IF(AO3686&lt;1.5,"1.3～1.4",IF(AO3686&lt;2,"1.5～1.9","2.0以上"))))))</f>
        <v/>
      </c>
      <c r="AQ3686" s="8" t="str">
        <f aca="false">IF(A3686="","",IF(ISNUMBER(SEARCH("2歳",Z3686)),"2歳戦",IF(ISNUMBER(SEARCH("3歳未勝利",Z3686)),"3歳未勝利",IF(ISNUMBER(SEARCH("未勝利",Z3686)),"その他未勝利",IF(ISNUMBER(SEARCH("G1",Z3686)),"G1",IF(ISNUMBER(SEARCH("G2",Z3686)),"G2",IF(ISNUMBER(SEARCH("G3",Z3686)),"G3",IF(ISNUMBER(SEARCH("古馬条件",Z3686)),"古馬条件戦",IF(ISNUMBER(SEARCH("重賞",Z3686)),"重賞","分類不能")))))))))</f>
        <v/>
      </c>
    </row>
    <row r="3687" customFormat="false" ht="15.75" hidden="false" customHeight="false" outlineLevel="0" collapsed="false">
      <c r="AO3687" s="8" t="str">
        <f aca="false">IF(A3687="","",IF(COUNTIFS(全馬データ!$A$2:$A$50000,A3687,全馬データ!$B$2:$B$50000,B3687,全馬データ!$C$2:$C$50000,C3687,全馬データ!$D$2:$D$50000,E3687,全馬データ!$K$2:$K$50000,"&lt;&gt;")=0,"",SUMIFS(全馬データ!$K$2:$K$50000,全馬データ!$A$2:$A$50000,A3687,全馬データ!$B$2:$B$50000,B3687,全馬データ!$C$2:$C$50000,C3687,全馬データ!$D$2:$D$50000,E3687)))</f>
        <v/>
      </c>
      <c r="AP3687" s="8" t="str">
        <f aca="false">IF(A3687="","",IF(AO3687="","欠損",IF(AO3687&lt;=1.1,"1.0～1.1",IF(AO3687&lt;1.3,"1.2",IF(AO3687&lt;1.5,"1.3～1.4",IF(AO3687&lt;2,"1.5～1.9","2.0以上"))))))</f>
        <v/>
      </c>
      <c r="AQ3687" s="8" t="str">
        <f aca="false">IF(A3687="","",IF(ISNUMBER(SEARCH("2歳",Z3687)),"2歳戦",IF(ISNUMBER(SEARCH("3歳未勝利",Z3687)),"3歳未勝利",IF(ISNUMBER(SEARCH("未勝利",Z3687)),"その他未勝利",IF(ISNUMBER(SEARCH("G1",Z3687)),"G1",IF(ISNUMBER(SEARCH("G2",Z3687)),"G2",IF(ISNUMBER(SEARCH("G3",Z3687)),"G3",IF(ISNUMBER(SEARCH("古馬条件",Z3687)),"古馬条件戦",IF(ISNUMBER(SEARCH("重賞",Z3687)),"重賞","分類不能")))))))))</f>
        <v/>
      </c>
    </row>
    <row r="3688" customFormat="false" ht="15.75" hidden="false" customHeight="false" outlineLevel="0" collapsed="false">
      <c r="AO3688" s="8" t="str">
        <f aca="false">IF(A3688="","",IF(COUNTIFS(全馬データ!$A$2:$A$50000,A3688,全馬データ!$B$2:$B$50000,B3688,全馬データ!$C$2:$C$50000,C3688,全馬データ!$D$2:$D$50000,E3688,全馬データ!$K$2:$K$50000,"&lt;&gt;")=0,"",SUMIFS(全馬データ!$K$2:$K$50000,全馬データ!$A$2:$A$50000,A3688,全馬データ!$B$2:$B$50000,B3688,全馬データ!$C$2:$C$50000,C3688,全馬データ!$D$2:$D$50000,E3688)))</f>
        <v/>
      </c>
      <c r="AP3688" s="8" t="str">
        <f aca="false">IF(A3688="","",IF(AO3688="","欠損",IF(AO3688&lt;=1.1,"1.0～1.1",IF(AO3688&lt;1.3,"1.2",IF(AO3688&lt;1.5,"1.3～1.4",IF(AO3688&lt;2,"1.5～1.9","2.0以上"))))))</f>
        <v/>
      </c>
      <c r="AQ3688" s="8" t="str">
        <f aca="false">IF(A3688="","",IF(ISNUMBER(SEARCH("2歳",Z3688)),"2歳戦",IF(ISNUMBER(SEARCH("3歳未勝利",Z3688)),"3歳未勝利",IF(ISNUMBER(SEARCH("未勝利",Z3688)),"その他未勝利",IF(ISNUMBER(SEARCH("G1",Z3688)),"G1",IF(ISNUMBER(SEARCH("G2",Z3688)),"G2",IF(ISNUMBER(SEARCH("G3",Z3688)),"G3",IF(ISNUMBER(SEARCH("古馬条件",Z3688)),"古馬条件戦",IF(ISNUMBER(SEARCH("重賞",Z3688)),"重賞","分類不能")))))))))</f>
        <v/>
      </c>
    </row>
    <row r="3689" customFormat="false" ht="15.75" hidden="false" customHeight="false" outlineLevel="0" collapsed="false">
      <c r="AO3689" s="8" t="str">
        <f aca="false">IF(A3689="","",IF(COUNTIFS(全馬データ!$A$2:$A$50000,A3689,全馬データ!$B$2:$B$50000,B3689,全馬データ!$C$2:$C$50000,C3689,全馬データ!$D$2:$D$50000,E3689,全馬データ!$K$2:$K$50000,"&lt;&gt;")=0,"",SUMIFS(全馬データ!$K$2:$K$50000,全馬データ!$A$2:$A$50000,A3689,全馬データ!$B$2:$B$50000,B3689,全馬データ!$C$2:$C$50000,C3689,全馬データ!$D$2:$D$50000,E3689)))</f>
        <v/>
      </c>
      <c r="AP3689" s="8" t="str">
        <f aca="false">IF(A3689="","",IF(AO3689="","欠損",IF(AO3689&lt;=1.1,"1.0～1.1",IF(AO3689&lt;1.3,"1.2",IF(AO3689&lt;1.5,"1.3～1.4",IF(AO3689&lt;2,"1.5～1.9","2.0以上"))))))</f>
        <v/>
      </c>
      <c r="AQ3689" s="8" t="str">
        <f aca="false">IF(A3689="","",IF(ISNUMBER(SEARCH("2歳",Z3689)),"2歳戦",IF(ISNUMBER(SEARCH("3歳未勝利",Z3689)),"3歳未勝利",IF(ISNUMBER(SEARCH("未勝利",Z3689)),"その他未勝利",IF(ISNUMBER(SEARCH("G1",Z3689)),"G1",IF(ISNUMBER(SEARCH("G2",Z3689)),"G2",IF(ISNUMBER(SEARCH("G3",Z3689)),"G3",IF(ISNUMBER(SEARCH("古馬条件",Z3689)),"古馬条件戦",IF(ISNUMBER(SEARCH("重賞",Z3689)),"重賞","分類不能")))))))))</f>
        <v/>
      </c>
    </row>
    <row r="3690" customFormat="false" ht="15.75" hidden="false" customHeight="false" outlineLevel="0" collapsed="false">
      <c r="AO3690" s="8" t="str">
        <f aca="false">IF(A3690="","",IF(COUNTIFS(全馬データ!$A$2:$A$50000,A3690,全馬データ!$B$2:$B$50000,B3690,全馬データ!$C$2:$C$50000,C3690,全馬データ!$D$2:$D$50000,E3690,全馬データ!$K$2:$K$50000,"&lt;&gt;")=0,"",SUMIFS(全馬データ!$K$2:$K$50000,全馬データ!$A$2:$A$50000,A3690,全馬データ!$B$2:$B$50000,B3690,全馬データ!$C$2:$C$50000,C3690,全馬データ!$D$2:$D$50000,E3690)))</f>
        <v/>
      </c>
      <c r="AP3690" s="8" t="str">
        <f aca="false">IF(A3690="","",IF(AO3690="","欠損",IF(AO3690&lt;=1.1,"1.0～1.1",IF(AO3690&lt;1.3,"1.2",IF(AO3690&lt;1.5,"1.3～1.4",IF(AO3690&lt;2,"1.5～1.9","2.0以上"))))))</f>
        <v/>
      </c>
      <c r="AQ3690" s="8" t="str">
        <f aca="false">IF(A3690="","",IF(ISNUMBER(SEARCH("2歳",Z3690)),"2歳戦",IF(ISNUMBER(SEARCH("3歳未勝利",Z3690)),"3歳未勝利",IF(ISNUMBER(SEARCH("未勝利",Z3690)),"その他未勝利",IF(ISNUMBER(SEARCH("G1",Z3690)),"G1",IF(ISNUMBER(SEARCH("G2",Z3690)),"G2",IF(ISNUMBER(SEARCH("G3",Z3690)),"G3",IF(ISNUMBER(SEARCH("古馬条件",Z3690)),"古馬条件戦",IF(ISNUMBER(SEARCH("重賞",Z3690)),"重賞","分類不能")))))))))</f>
        <v/>
      </c>
    </row>
    <row r="3691" customFormat="false" ht="15.75" hidden="false" customHeight="false" outlineLevel="0" collapsed="false">
      <c r="AO3691" s="8" t="str">
        <f aca="false">IF(A3691="","",IF(COUNTIFS(全馬データ!$A$2:$A$50000,A3691,全馬データ!$B$2:$B$50000,B3691,全馬データ!$C$2:$C$50000,C3691,全馬データ!$D$2:$D$50000,E3691,全馬データ!$K$2:$K$50000,"&lt;&gt;")=0,"",SUMIFS(全馬データ!$K$2:$K$50000,全馬データ!$A$2:$A$50000,A3691,全馬データ!$B$2:$B$50000,B3691,全馬データ!$C$2:$C$50000,C3691,全馬データ!$D$2:$D$50000,E3691)))</f>
        <v/>
      </c>
      <c r="AP3691" s="8" t="str">
        <f aca="false">IF(A3691="","",IF(AO3691="","欠損",IF(AO3691&lt;=1.1,"1.0～1.1",IF(AO3691&lt;1.3,"1.2",IF(AO3691&lt;1.5,"1.3～1.4",IF(AO3691&lt;2,"1.5～1.9","2.0以上"))))))</f>
        <v/>
      </c>
      <c r="AQ3691" s="8" t="str">
        <f aca="false">IF(A3691="","",IF(ISNUMBER(SEARCH("2歳",Z3691)),"2歳戦",IF(ISNUMBER(SEARCH("3歳未勝利",Z3691)),"3歳未勝利",IF(ISNUMBER(SEARCH("未勝利",Z3691)),"その他未勝利",IF(ISNUMBER(SEARCH("G1",Z3691)),"G1",IF(ISNUMBER(SEARCH("G2",Z3691)),"G2",IF(ISNUMBER(SEARCH("G3",Z3691)),"G3",IF(ISNUMBER(SEARCH("古馬条件",Z3691)),"古馬条件戦",IF(ISNUMBER(SEARCH("重賞",Z3691)),"重賞","分類不能")))))))))</f>
        <v/>
      </c>
    </row>
    <row r="3692" customFormat="false" ht="15.75" hidden="false" customHeight="false" outlineLevel="0" collapsed="false">
      <c r="AO3692" s="8" t="str">
        <f aca="false">IF(A3692="","",IF(COUNTIFS(全馬データ!$A$2:$A$50000,A3692,全馬データ!$B$2:$B$50000,B3692,全馬データ!$C$2:$C$50000,C3692,全馬データ!$D$2:$D$50000,E3692,全馬データ!$K$2:$K$50000,"&lt;&gt;")=0,"",SUMIFS(全馬データ!$K$2:$K$50000,全馬データ!$A$2:$A$50000,A3692,全馬データ!$B$2:$B$50000,B3692,全馬データ!$C$2:$C$50000,C3692,全馬データ!$D$2:$D$50000,E3692)))</f>
        <v/>
      </c>
      <c r="AP3692" s="8" t="str">
        <f aca="false">IF(A3692="","",IF(AO3692="","欠損",IF(AO3692&lt;=1.1,"1.0～1.1",IF(AO3692&lt;1.3,"1.2",IF(AO3692&lt;1.5,"1.3～1.4",IF(AO3692&lt;2,"1.5～1.9","2.0以上"))))))</f>
        <v/>
      </c>
      <c r="AQ3692" s="8" t="str">
        <f aca="false">IF(A3692="","",IF(ISNUMBER(SEARCH("2歳",Z3692)),"2歳戦",IF(ISNUMBER(SEARCH("3歳未勝利",Z3692)),"3歳未勝利",IF(ISNUMBER(SEARCH("未勝利",Z3692)),"その他未勝利",IF(ISNUMBER(SEARCH("G1",Z3692)),"G1",IF(ISNUMBER(SEARCH("G2",Z3692)),"G2",IF(ISNUMBER(SEARCH("G3",Z3692)),"G3",IF(ISNUMBER(SEARCH("古馬条件",Z3692)),"古馬条件戦",IF(ISNUMBER(SEARCH("重賞",Z3692)),"重賞","分類不能")))))))))</f>
        <v/>
      </c>
    </row>
    <row r="3693" customFormat="false" ht="15.75" hidden="false" customHeight="false" outlineLevel="0" collapsed="false">
      <c r="AO3693" s="8" t="str">
        <f aca="false">IF(A3693="","",IF(COUNTIFS(全馬データ!$A$2:$A$50000,A3693,全馬データ!$B$2:$B$50000,B3693,全馬データ!$C$2:$C$50000,C3693,全馬データ!$D$2:$D$50000,E3693,全馬データ!$K$2:$K$50000,"&lt;&gt;")=0,"",SUMIFS(全馬データ!$K$2:$K$50000,全馬データ!$A$2:$A$50000,A3693,全馬データ!$B$2:$B$50000,B3693,全馬データ!$C$2:$C$50000,C3693,全馬データ!$D$2:$D$50000,E3693)))</f>
        <v/>
      </c>
      <c r="AP3693" s="8" t="str">
        <f aca="false">IF(A3693="","",IF(AO3693="","欠損",IF(AO3693&lt;=1.1,"1.0～1.1",IF(AO3693&lt;1.3,"1.2",IF(AO3693&lt;1.5,"1.3～1.4",IF(AO3693&lt;2,"1.5～1.9","2.0以上"))))))</f>
        <v/>
      </c>
      <c r="AQ3693" s="8" t="str">
        <f aca="false">IF(A3693="","",IF(ISNUMBER(SEARCH("2歳",Z3693)),"2歳戦",IF(ISNUMBER(SEARCH("3歳未勝利",Z3693)),"3歳未勝利",IF(ISNUMBER(SEARCH("未勝利",Z3693)),"その他未勝利",IF(ISNUMBER(SEARCH("G1",Z3693)),"G1",IF(ISNUMBER(SEARCH("G2",Z3693)),"G2",IF(ISNUMBER(SEARCH("G3",Z3693)),"G3",IF(ISNUMBER(SEARCH("古馬条件",Z3693)),"古馬条件戦",IF(ISNUMBER(SEARCH("重賞",Z3693)),"重賞","分類不能")))))))))</f>
        <v/>
      </c>
    </row>
    <row r="3694" customFormat="false" ht="15.75" hidden="false" customHeight="false" outlineLevel="0" collapsed="false">
      <c r="AO3694" s="8" t="str">
        <f aca="false">IF(A3694="","",IF(COUNTIFS(全馬データ!$A$2:$A$50000,A3694,全馬データ!$B$2:$B$50000,B3694,全馬データ!$C$2:$C$50000,C3694,全馬データ!$D$2:$D$50000,E3694,全馬データ!$K$2:$K$50000,"&lt;&gt;")=0,"",SUMIFS(全馬データ!$K$2:$K$50000,全馬データ!$A$2:$A$50000,A3694,全馬データ!$B$2:$B$50000,B3694,全馬データ!$C$2:$C$50000,C3694,全馬データ!$D$2:$D$50000,E3694)))</f>
        <v/>
      </c>
      <c r="AP3694" s="8" t="str">
        <f aca="false">IF(A3694="","",IF(AO3694="","欠損",IF(AO3694&lt;=1.1,"1.0～1.1",IF(AO3694&lt;1.3,"1.2",IF(AO3694&lt;1.5,"1.3～1.4",IF(AO3694&lt;2,"1.5～1.9","2.0以上"))))))</f>
        <v/>
      </c>
      <c r="AQ3694" s="8" t="str">
        <f aca="false">IF(A3694="","",IF(ISNUMBER(SEARCH("2歳",Z3694)),"2歳戦",IF(ISNUMBER(SEARCH("3歳未勝利",Z3694)),"3歳未勝利",IF(ISNUMBER(SEARCH("未勝利",Z3694)),"その他未勝利",IF(ISNUMBER(SEARCH("G1",Z3694)),"G1",IF(ISNUMBER(SEARCH("G2",Z3694)),"G2",IF(ISNUMBER(SEARCH("G3",Z3694)),"G3",IF(ISNUMBER(SEARCH("古馬条件",Z3694)),"古馬条件戦",IF(ISNUMBER(SEARCH("重賞",Z3694)),"重賞","分類不能")))))))))</f>
        <v/>
      </c>
    </row>
    <row r="3695" customFormat="false" ht="15.75" hidden="false" customHeight="false" outlineLevel="0" collapsed="false">
      <c r="AO3695" s="8" t="str">
        <f aca="false">IF(A3695="","",IF(COUNTIFS(全馬データ!$A$2:$A$50000,A3695,全馬データ!$B$2:$B$50000,B3695,全馬データ!$C$2:$C$50000,C3695,全馬データ!$D$2:$D$50000,E3695,全馬データ!$K$2:$K$50000,"&lt;&gt;")=0,"",SUMIFS(全馬データ!$K$2:$K$50000,全馬データ!$A$2:$A$50000,A3695,全馬データ!$B$2:$B$50000,B3695,全馬データ!$C$2:$C$50000,C3695,全馬データ!$D$2:$D$50000,E3695)))</f>
        <v/>
      </c>
      <c r="AP3695" s="8" t="str">
        <f aca="false">IF(A3695="","",IF(AO3695="","欠損",IF(AO3695&lt;=1.1,"1.0～1.1",IF(AO3695&lt;1.3,"1.2",IF(AO3695&lt;1.5,"1.3～1.4",IF(AO3695&lt;2,"1.5～1.9","2.0以上"))))))</f>
        <v/>
      </c>
      <c r="AQ3695" s="8" t="str">
        <f aca="false">IF(A3695="","",IF(ISNUMBER(SEARCH("2歳",Z3695)),"2歳戦",IF(ISNUMBER(SEARCH("3歳未勝利",Z3695)),"3歳未勝利",IF(ISNUMBER(SEARCH("未勝利",Z3695)),"その他未勝利",IF(ISNUMBER(SEARCH("G1",Z3695)),"G1",IF(ISNUMBER(SEARCH("G2",Z3695)),"G2",IF(ISNUMBER(SEARCH("G3",Z3695)),"G3",IF(ISNUMBER(SEARCH("古馬条件",Z3695)),"古馬条件戦",IF(ISNUMBER(SEARCH("重賞",Z3695)),"重賞","分類不能")))))))))</f>
        <v/>
      </c>
    </row>
    <row r="3696" customFormat="false" ht="15.75" hidden="false" customHeight="false" outlineLevel="0" collapsed="false">
      <c r="AO3696" s="8" t="str">
        <f aca="false">IF(A3696="","",IF(COUNTIFS(全馬データ!$A$2:$A$50000,A3696,全馬データ!$B$2:$B$50000,B3696,全馬データ!$C$2:$C$50000,C3696,全馬データ!$D$2:$D$50000,E3696,全馬データ!$K$2:$K$50000,"&lt;&gt;")=0,"",SUMIFS(全馬データ!$K$2:$K$50000,全馬データ!$A$2:$A$50000,A3696,全馬データ!$B$2:$B$50000,B3696,全馬データ!$C$2:$C$50000,C3696,全馬データ!$D$2:$D$50000,E3696)))</f>
        <v/>
      </c>
      <c r="AP3696" s="8" t="str">
        <f aca="false">IF(A3696="","",IF(AO3696="","欠損",IF(AO3696&lt;=1.1,"1.0～1.1",IF(AO3696&lt;1.3,"1.2",IF(AO3696&lt;1.5,"1.3～1.4",IF(AO3696&lt;2,"1.5～1.9","2.0以上"))))))</f>
        <v/>
      </c>
      <c r="AQ3696" s="8" t="str">
        <f aca="false">IF(A3696="","",IF(ISNUMBER(SEARCH("2歳",Z3696)),"2歳戦",IF(ISNUMBER(SEARCH("3歳未勝利",Z3696)),"3歳未勝利",IF(ISNUMBER(SEARCH("未勝利",Z3696)),"その他未勝利",IF(ISNUMBER(SEARCH("G1",Z3696)),"G1",IF(ISNUMBER(SEARCH("G2",Z3696)),"G2",IF(ISNUMBER(SEARCH("G3",Z3696)),"G3",IF(ISNUMBER(SEARCH("古馬条件",Z3696)),"古馬条件戦",IF(ISNUMBER(SEARCH("重賞",Z3696)),"重賞","分類不能")))))))))</f>
        <v/>
      </c>
    </row>
    <row r="3697" customFormat="false" ht="15.75" hidden="false" customHeight="false" outlineLevel="0" collapsed="false">
      <c r="AO3697" s="8" t="str">
        <f aca="false">IF(A3697="","",IF(COUNTIFS(全馬データ!$A$2:$A$50000,A3697,全馬データ!$B$2:$B$50000,B3697,全馬データ!$C$2:$C$50000,C3697,全馬データ!$D$2:$D$50000,E3697,全馬データ!$K$2:$K$50000,"&lt;&gt;")=0,"",SUMIFS(全馬データ!$K$2:$K$50000,全馬データ!$A$2:$A$50000,A3697,全馬データ!$B$2:$B$50000,B3697,全馬データ!$C$2:$C$50000,C3697,全馬データ!$D$2:$D$50000,E3697)))</f>
        <v/>
      </c>
      <c r="AP3697" s="8" t="str">
        <f aca="false">IF(A3697="","",IF(AO3697="","欠損",IF(AO3697&lt;=1.1,"1.0～1.1",IF(AO3697&lt;1.3,"1.2",IF(AO3697&lt;1.5,"1.3～1.4",IF(AO3697&lt;2,"1.5～1.9","2.0以上"))))))</f>
        <v/>
      </c>
      <c r="AQ3697" s="8" t="str">
        <f aca="false">IF(A3697="","",IF(ISNUMBER(SEARCH("2歳",Z3697)),"2歳戦",IF(ISNUMBER(SEARCH("3歳未勝利",Z3697)),"3歳未勝利",IF(ISNUMBER(SEARCH("未勝利",Z3697)),"その他未勝利",IF(ISNUMBER(SEARCH("G1",Z3697)),"G1",IF(ISNUMBER(SEARCH("G2",Z3697)),"G2",IF(ISNUMBER(SEARCH("G3",Z3697)),"G3",IF(ISNUMBER(SEARCH("古馬条件",Z3697)),"古馬条件戦",IF(ISNUMBER(SEARCH("重賞",Z3697)),"重賞","分類不能")))))))))</f>
        <v/>
      </c>
    </row>
    <row r="3698" customFormat="false" ht="15.75" hidden="false" customHeight="false" outlineLevel="0" collapsed="false">
      <c r="AO3698" s="8" t="str">
        <f aca="false">IF(A3698="","",IF(COUNTIFS(全馬データ!$A$2:$A$50000,A3698,全馬データ!$B$2:$B$50000,B3698,全馬データ!$C$2:$C$50000,C3698,全馬データ!$D$2:$D$50000,E3698,全馬データ!$K$2:$K$50000,"&lt;&gt;")=0,"",SUMIFS(全馬データ!$K$2:$K$50000,全馬データ!$A$2:$A$50000,A3698,全馬データ!$B$2:$B$50000,B3698,全馬データ!$C$2:$C$50000,C3698,全馬データ!$D$2:$D$50000,E3698)))</f>
        <v/>
      </c>
      <c r="AP3698" s="8" t="str">
        <f aca="false">IF(A3698="","",IF(AO3698="","欠損",IF(AO3698&lt;=1.1,"1.0～1.1",IF(AO3698&lt;1.3,"1.2",IF(AO3698&lt;1.5,"1.3～1.4",IF(AO3698&lt;2,"1.5～1.9","2.0以上"))))))</f>
        <v/>
      </c>
      <c r="AQ3698" s="8" t="str">
        <f aca="false">IF(A3698="","",IF(ISNUMBER(SEARCH("2歳",Z3698)),"2歳戦",IF(ISNUMBER(SEARCH("3歳未勝利",Z3698)),"3歳未勝利",IF(ISNUMBER(SEARCH("未勝利",Z3698)),"その他未勝利",IF(ISNUMBER(SEARCH("G1",Z3698)),"G1",IF(ISNUMBER(SEARCH("G2",Z3698)),"G2",IF(ISNUMBER(SEARCH("G3",Z3698)),"G3",IF(ISNUMBER(SEARCH("古馬条件",Z3698)),"古馬条件戦",IF(ISNUMBER(SEARCH("重賞",Z3698)),"重賞","分類不能")))))))))</f>
        <v/>
      </c>
    </row>
    <row r="3699" customFormat="false" ht="15.75" hidden="false" customHeight="false" outlineLevel="0" collapsed="false">
      <c r="AO3699" s="8" t="str">
        <f aca="false">IF(A3699="","",IF(COUNTIFS(全馬データ!$A$2:$A$50000,A3699,全馬データ!$B$2:$B$50000,B3699,全馬データ!$C$2:$C$50000,C3699,全馬データ!$D$2:$D$50000,E3699,全馬データ!$K$2:$K$50000,"&lt;&gt;")=0,"",SUMIFS(全馬データ!$K$2:$K$50000,全馬データ!$A$2:$A$50000,A3699,全馬データ!$B$2:$B$50000,B3699,全馬データ!$C$2:$C$50000,C3699,全馬データ!$D$2:$D$50000,E3699)))</f>
        <v/>
      </c>
      <c r="AP3699" s="8" t="str">
        <f aca="false">IF(A3699="","",IF(AO3699="","欠損",IF(AO3699&lt;=1.1,"1.0～1.1",IF(AO3699&lt;1.3,"1.2",IF(AO3699&lt;1.5,"1.3～1.4",IF(AO3699&lt;2,"1.5～1.9","2.0以上"))))))</f>
        <v/>
      </c>
      <c r="AQ3699" s="8" t="str">
        <f aca="false">IF(A3699="","",IF(ISNUMBER(SEARCH("2歳",Z3699)),"2歳戦",IF(ISNUMBER(SEARCH("3歳未勝利",Z3699)),"3歳未勝利",IF(ISNUMBER(SEARCH("未勝利",Z3699)),"その他未勝利",IF(ISNUMBER(SEARCH("G1",Z3699)),"G1",IF(ISNUMBER(SEARCH("G2",Z3699)),"G2",IF(ISNUMBER(SEARCH("G3",Z3699)),"G3",IF(ISNUMBER(SEARCH("古馬条件",Z3699)),"古馬条件戦",IF(ISNUMBER(SEARCH("重賞",Z3699)),"重賞","分類不能")))))))))</f>
        <v/>
      </c>
    </row>
    <row r="3700" customFormat="false" ht="15.75" hidden="false" customHeight="false" outlineLevel="0" collapsed="false">
      <c r="AO3700" s="8" t="str">
        <f aca="false">IF(A3700="","",IF(COUNTIFS(全馬データ!$A$2:$A$50000,A3700,全馬データ!$B$2:$B$50000,B3700,全馬データ!$C$2:$C$50000,C3700,全馬データ!$D$2:$D$50000,E3700,全馬データ!$K$2:$K$50000,"&lt;&gt;")=0,"",SUMIFS(全馬データ!$K$2:$K$50000,全馬データ!$A$2:$A$50000,A3700,全馬データ!$B$2:$B$50000,B3700,全馬データ!$C$2:$C$50000,C3700,全馬データ!$D$2:$D$50000,E3700)))</f>
        <v/>
      </c>
      <c r="AP3700" s="8" t="str">
        <f aca="false">IF(A3700="","",IF(AO3700="","欠損",IF(AO3700&lt;=1.1,"1.0～1.1",IF(AO3700&lt;1.3,"1.2",IF(AO3700&lt;1.5,"1.3～1.4",IF(AO3700&lt;2,"1.5～1.9","2.0以上"))))))</f>
        <v/>
      </c>
      <c r="AQ3700" s="8" t="str">
        <f aca="false">IF(A3700="","",IF(ISNUMBER(SEARCH("2歳",Z3700)),"2歳戦",IF(ISNUMBER(SEARCH("3歳未勝利",Z3700)),"3歳未勝利",IF(ISNUMBER(SEARCH("未勝利",Z3700)),"その他未勝利",IF(ISNUMBER(SEARCH("G1",Z3700)),"G1",IF(ISNUMBER(SEARCH("G2",Z3700)),"G2",IF(ISNUMBER(SEARCH("G3",Z3700)),"G3",IF(ISNUMBER(SEARCH("古馬条件",Z3700)),"古馬条件戦",IF(ISNUMBER(SEARCH("重賞",Z3700)),"重賞","分類不能")))))))))</f>
        <v/>
      </c>
    </row>
    <row r="3701" customFormat="false" ht="15.75" hidden="false" customHeight="false" outlineLevel="0" collapsed="false">
      <c r="AO3701" s="8" t="str">
        <f aca="false">IF(A3701="","",IF(COUNTIFS(全馬データ!$A$2:$A$50000,A3701,全馬データ!$B$2:$B$50000,B3701,全馬データ!$C$2:$C$50000,C3701,全馬データ!$D$2:$D$50000,E3701,全馬データ!$K$2:$K$50000,"&lt;&gt;")=0,"",SUMIFS(全馬データ!$K$2:$K$50000,全馬データ!$A$2:$A$50000,A3701,全馬データ!$B$2:$B$50000,B3701,全馬データ!$C$2:$C$50000,C3701,全馬データ!$D$2:$D$50000,E3701)))</f>
        <v/>
      </c>
      <c r="AP3701" s="8" t="str">
        <f aca="false">IF(A3701="","",IF(AO3701="","欠損",IF(AO3701&lt;=1.1,"1.0～1.1",IF(AO3701&lt;1.3,"1.2",IF(AO3701&lt;1.5,"1.3～1.4",IF(AO3701&lt;2,"1.5～1.9","2.0以上"))))))</f>
        <v/>
      </c>
      <c r="AQ3701" s="8" t="str">
        <f aca="false">IF(A3701="","",IF(ISNUMBER(SEARCH("2歳",Z3701)),"2歳戦",IF(ISNUMBER(SEARCH("3歳未勝利",Z3701)),"3歳未勝利",IF(ISNUMBER(SEARCH("未勝利",Z3701)),"その他未勝利",IF(ISNUMBER(SEARCH("G1",Z3701)),"G1",IF(ISNUMBER(SEARCH("G2",Z3701)),"G2",IF(ISNUMBER(SEARCH("G3",Z3701)),"G3",IF(ISNUMBER(SEARCH("古馬条件",Z3701)),"古馬条件戦",IF(ISNUMBER(SEARCH("重賞",Z3701)),"重賞","分類不能")))))))))</f>
        <v/>
      </c>
    </row>
    <row r="3702" customFormat="false" ht="15.75" hidden="false" customHeight="false" outlineLevel="0" collapsed="false">
      <c r="AO3702" s="8" t="str">
        <f aca="false">IF(A3702="","",IF(COUNTIFS(全馬データ!$A$2:$A$50000,A3702,全馬データ!$B$2:$B$50000,B3702,全馬データ!$C$2:$C$50000,C3702,全馬データ!$D$2:$D$50000,E3702,全馬データ!$K$2:$K$50000,"&lt;&gt;")=0,"",SUMIFS(全馬データ!$K$2:$K$50000,全馬データ!$A$2:$A$50000,A3702,全馬データ!$B$2:$B$50000,B3702,全馬データ!$C$2:$C$50000,C3702,全馬データ!$D$2:$D$50000,E3702)))</f>
        <v/>
      </c>
      <c r="AP3702" s="8" t="str">
        <f aca="false">IF(A3702="","",IF(AO3702="","欠損",IF(AO3702&lt;=1.1,"1.0～1.1",IF(AO3702&lt;1.3,"1.2",IF(AO3702&lt;1.5,"1.3～1.4",IF(AO3702&lt;2,"1.5～1.9","2.0以上"))))))</f>
        <v/>
      </c>
      <c r="AQ3702" s="8" t="str">
        <f aca="false">IF(A3702="","",IF(ISNUMBER(SEARCH("2歳",Z3702)),"2歳戦",IF(ISNUMBER(SEARCH("3歳未勝利",Z3702)),"3歳未勝利",IF(ISNUMBER(SEARCH("未勝利",Z3702)),"その他未勝利",IF(ISNUMBER(SEARCH("G1",Z3702)),"G1",IF(ISNUMBER(SEARCH("G2",Z3702)),"G2",IF(ISNUMBER(SEARCH("G3",Z3702)),"G3",IF(ISNUMBER(SEARCH("古馬条件",Z3702)),"古馬条件戦",IF(ISNUMBER(SEARCH("重賞",Z3702)),"重賞","分類不能")))))))))</f>
        <v/>
      </c>
    </row>
    <row r="3703" customFormat="false" ht="15.75" hidden="false" customHeight="false" outlineLevel="0" collapsed="false">
      <c r="AO3703" s="8" t="str">
        <f aca="false">IF(A3703="","",IF(COUNTIFS(全馬データ!$A$2:$A$50000,A3703,全馬データ!$B$2:$B$50000,B3703,全馬データ!$C$2:$C$50000,C3703,全馬データ!$D$2:$D$50000,E3703,全馬データ!$K$2:$K$50000,"&lt;&gt;")=0,"",SUMIFS(全馬データ!$K$2:$K$50000,全馬データ!$A$2:$A$50000,A3703,全馬データ!$B$2:$B$50000,B3703,全馬データ!$C$2:$C$50000,C3703,全馬データ!$D$2:$D$50000,E3703)))</f>
        <v/>
      </c>
      <c r="AP3703" s="8" t="str">
        <f aca="false">IF(A3703="","",IF(AO3703="","欠損",IF(AO3703&lt;=1.1,"1.0～1.1",IF(AO3703&lt;1.3,"1.2",IF(AO3703&lt;1.5,"1.3～1.4",IF(AO3703&lt;2,"1.5～1.9","2.0以上"))))))</f>
        <v/>
      </c>
      <c r="AQ3703" s="8" t="str">
        <f aca="false">IF(A3703="","",IF(ISNUMBER(SEARCH("2歳",Z3703)),"2歳戦",IF(ISNUMBER(SEARCH("3歳未勝利",Z3703)),"3歳未勝利",IF(ISNUMBER(SEARCH("未勝利",Z3703)),"その他未勝利",IF(ISNUMBER(SEARCH("G1",Z3703)),"G1",IF(ISNUMBER(SEARCH("G2",Z3703)),"G2",IF(ISNUMBER(SEARCH("G3",Z3703)),"G3",IF(ISNUMBER(SEARCH("古馬条件",Z3703)),"古馬条件戦",IF(ISNUMBER(SEARCH("重賞",Z3703)),"重賞","分類不能")))))))))</f>
        <v/>
      </c>
    </row>
    <row r="3704" customFormat="false" ht="15.75" hidden="false" customHeight="false" outlineLevel="0" collapsed="false">
      <c r="AO3704" s="8" t="str">
        <f aca="false">IF(A3704="","",IF(COUNTIFS(全馬データ!$A$2:$A$50000,A3704,全馬データ!$B$2:$B$50000,B3704,全馬データ!$C$2:$C$50000,C3704,全馬データ!$D$2:$D$50000,E3704,全馬データ!$K$2:$K$50000,"&lt;&gt;")=0,"",SUMIFS(全馬データ!$K$2:$K$50000,全馬データ!$A$2:$A$50000,A3704,全馬データ!$B$2:$B$50000,B3704,全馬データ!$C$2:$C$50000,C3704,全馬データ!$D$2:$D$50000,E3704)))</f>
        <v/>
      </c>
      <c r="AP3704" s="8" t="str">
        <f aca="false">IF(A3704="","",IF(AO3704="","欠損",IF(AO3704&lt;=1.1,"1.0～1.1",IF(AO3704&lt;1.3,"1.2",IF(AO3704&lt;1.5,"1.3～1.4",IF(AO3704&lt;2,"1.5～1.9","2.0以上"))))))</f>
        <v/>
      </c>
      <c r="AQ3704" s="8" t="str">
        <f aca="false">IF(A3704="","",IF(ISNUMBER(SEARCH("2歳",Z3704)),"2歳戦",IF(ISNUMBER(SEARCH("3歳未勝利",Z3704)),"3歳未勝利",IF(ISNUMBER(SEARCH("未勝利",Z3704)),"その他未勝利",IF(ISNUMBER(SEARCH("G1",Z3704)),"G1",IF(ISNUMBER(SEARCH("G2",Z3704)),"G2",IF(ISNUMBER(SEARCH("G3",Z3704)),"G3",IF(ISNUMBER(SEARCH("古馬条件",Z3704)),"古馬条件戦",IF(ISNUMBER(SEARCH("重賞",Z3704)),"重賞","分類不能")))))))))</f>
        <v/>
      </c>
    </row>
    <row r="3705" customFormat="false" ht="15.75" hidden="false" customHeight="false" outlineLevel="0" collapsed="false">
      <c r="AO3705" s="8" t="str">
        <f aca="false">IF(A3705="","",IF(COUNTIFS(全馬データ!$A$2:$A$50000,A3705,全馬データ!$B$2:$B$50000,B3705,全馬データ!$C$2:$C$50000,C3705,全馬データ!$D$2:$D$50000,E3705,全馬データ!$K$2:$K$50000,"&lt;&gt;")=0,"",SUMIFS(全馬データ!$K$2:$K$50000,全馬データ!$A$2:$A$50000,A3705,全馬データ!$B$2:$B$50000,B3705,全馬データ!$C$2:$C$50000,C3705,全馬データ!$D$2:$D$50000,E3705)))</f>
        <v/>
      </c>
      <c r="AP3705" s="8" t="str">
        <f aca="false">IF(A3705="","",IF(AO3705="","欠損",IF(AO3705&lt;=1.1,"1.0～1.1",IF(AO3705&lt;1.3,"1.2",IF(AO3705&lt;1.5,"1.3～1.4",IF(AO3705&lt;2,"1.5～1.9","2.0以上"))))))</f>
        <v/>
      </c>
      <c r="AQ3705" s="8" t="str">
        <f aca="false">IF(A3705="","",IF(ISNUMBER(SEARCH("2歳",Z3705)),"2歳戦",IF(ISNUMBER(SEARCH("3歳未勝利",Z3705)),"3歳未勝利",IF(ISNUMBER(SEARCH("未勝利",Z3705)),"その他未勝利",IF(ISNUMBER(SEARCH("G1",Z3705)),"G1",IF(ISNUMBER(SEARCH("G2",Z3705)),"G2",IF(ISNUMBER(SEARCH("G3",Z3705)),"G3",IF(ISNUMBER(SEARCH("古馬条件",Z3705)),"古馬条件戦",IF(ISNUMBER(SEARCH("重賞",Z3705)),"重賞","分類不能")))))))))</f>
        <v/>
      </c>
    </row>
    <row r="3706" customFormat="false" ht="15.75" hidden="false" customHeight="false" outlineLevel="0" collapsed="false">
      <c r="AO3706" s="8" t="str">
        <f aca="false">IF(A3706="","",IF(COUNTIFS(全馬データ!$A$2:$A$50000,A3706,全馬データ!$B$2:$B$50000,B3706,全馬データ!$C$2:$C$50000,C3706,全馬データ!$D$2:$D$50000,E3706,全馬データ!$K$2:$K$50000,"&lt;&gt;")=0,"",SUMIFS(全馬データ!$K$2:$K$50000,全馬データ!$A$2:$A$50000,A3706,全馬データ!$B$2:$B$50000,B3706,全馬データ!$C$2:$C$50000,C3706,全馬データ!$D$2:$D$50000,E3706)))</f>
        <v/>
      </c>
      <c r="AP3706" s="8" t="str">
        <f aca="false">IF(A3706="","",IF(AO3706="","欠損",IF(AO3706&lt;=1.1,"1.0～1.1",IF(AO3706&lt;1.3,"1.2",IF(AO3706&lt;1.5,"1.3～1.4",IF(AO3706&lt;2,"1.5～1.9","2.0以上"))))))</f>
        <v/>
      </c>
      <c r="AQ3706" s="8" t="str">
        <f aca="false">IF(A3706="","",IF(ISNUMBER(SEARCH("2歳",Z3706)),"2歳戦",IF(ISNUMBER(SEARCH("3歳未勝利",Z3706)),"3歳未勝利",IF(ISNUMBER(SEARCH("未勝利",Z3706)),"その他未勝利",IF(ISNUMBER(SEARCH("G1",Z3706)),"G1",IF(ISNUMBER(SEARCH("G2",Z3706)),"G2",IF(ISNUMBER(SEARCH("G3",Z3706)),"G3",IF(ISNUMBER(SEARCH("古馬条件",Z3706)),"古馬条件戦",IF(ISNUMBER(SEARCH("重賞",Z3706)),"重賞","分類不能")))))))))</f>
        <v/>
      </c>
    </row>
    <row r="3707" customFormat="false" ht="15.75" hidden="false" customHeight="false" outlineLevel="0" collapsed="false">
      <c r="AO3707" s="8" t="str">
        <f aca="false">IF(A3707="","",IF(COUNTIFS(全馬データ!$A$2:$A$50000,A3707,全馬データ!$B$2:$B$50000,B3707,全馬データ!$C$2:$C$50000,C3707,全馬データ!$D$2:$D$50000,E3707,全馬データ!$K$2:$K$50000,"&lt;&gt;")=0,"",SUMIFS(全馬データ!$K$2:$K$50000,全馬データ!$A$2:$A$50000,A3707,全馬データ!$B$2:$B$50000,B3707,全馬データ!$C$2:$C$50000,C3707,全馬データ!$D$2:$D$50000,E3707)))</f>
        <v/>
      </c>
      <c r="AP3707" s="8" t="str">
        <f aca="false">IF(A3707="","",IF(AO3707="","欠損",IF(AO3707&lt;=1.1,"1.0～1.1",IF(AO3707&lt;1.3,"1.2",IF(AO3707&lt;1.5,"1.3～1.4",IF(AO3707&lt;2,"1.5～1.9","2.0以上"))))))</f>
        <v/>
      </c>
      <c r="AQ3707" s="8" t="str">
        <f aca="false">IF(A3707="","",IF(ISNUMBER(SEARCH("2歳",Z3707)),"2歳戦",IF(ISNUMBER(SEARCH("3歳未勝利",Z3707)),"3歳未勝利",IF(ISNUMBER(SEARCH("未勝利",Z3707)),"その他未勝利",IF(ISNUMBER(SEARCH("G1",Z3707)),"G1",IF(ISNUMBER(SEARCH("G2",Z3707)),"G2",IF(ISNUMBER(SEARCH("G3",Z3707)),"G3",IF(ISNUMBER(SEARCH("古馬条件",Z3707)),"古馬条件戦",IF(ISNUMBER(SEARCH("重賞",Z3707)),"重賞","分類不能")))))))))</f>
        <v/>
      </c>
    </row>
    <row r="3708" customFormat="false" ht="15.75" hidden="false" customHeight="false" outlineLevel="0" collapsed="false">
      <c r="AO3708" s="8" t="str">
        <f aca="false">IF(A3708="","",IF(COUNTIFS(全馬データ!$A$2:$A$50000,A3708,全馬データ!$B$2:$B$50000,B3708,全馬データ!$C$2:$C$50000,C3708,全馬データ!$D$2:$D$50000,E3708,全馬データ!$K$2:$K$50000,"&lt;&gt;")=0,"",SUMIFS(全馬データ!$K$2:$K$50000,全馬データ!$A$2:$A$50000,A3708,全馬データ!$B$2:$B$50000,B3708,全馬データ!$C$2:$C$50000,C3708,全馬データ!$D$2:$D$50000,E3708)))</f>
        <v/>
      </c>
      <c r="AP3708" s="8" t="str">
        <f aca="false">IF(A3708="","",IF(AO3708="","欠損",IF(AO3708&lt;=1.1,"1.0～1.1",IF(AO3708&lt;1.3,"1.2",IF(AO3708&lt;1.5,"1.3～1.4",IF(AO3708&lt;2,"1.5～1.9","2.0以上"))))))</f>
        <v/>
      </c>
      <c r="AQ3708" s="8" t="str">
        <f aca="false">IF(A3708="","",IF(ISNUMBER(SEARCH("2歳",Z3708)),"2歳戦",IF(ISNUMBER(SEARCH("3歳未勝利",Z3708)),"3歳未勝利",IF(ISNUMBER(SEARCH("未勝利",Z3708)),"その他未勝利",IF(ISNUMBER(SEARCH("G1",Z3708)),"G1",IF(ISNUMBER(SEARCH("G2",Z3708)),"G2",IF(ISNUMBER(SEARCH("G3",Z3708)),"G3",IF(ISNUMBER(SEARCH("古馬条件",Z3708)),"古馬条件戦",IF(ISNUMBER(SEARCH("重賞",Z3708)),"重賞","分類不能")))))))))</f>
        <v/>
      </c>
    </row>
    <row r="3709" customFormat="false" ht="15.75" hidden="false" customHeight="false" outlineLevel="0" collapsed="false">
      <c r="AO3709" s="8" t="str">
        <f aca="false">IF(A3709="","",IF(COUNTIFS(全馬データ!$A$2:$A$50000,A3709,全馬データ!$B$2:$B$50000,B3709,全馬データ!$C$2:$C$50000,C3709,全馬データ!$D$2:$D$50000,E3709,全馬データ!$K$2:$K$50000,"&lt;&gt;")=0,"",SUMIFS(全馬データ!$K$2:$K$50000,全馬データ!$A$2:$A$50000,A3709,全馬データ!$B$2:$B$50000,B3709,全馬データ!$C$2:$C$50000,C3709,全馬データ!$D$2:$D$50000,E3709)))</f>
        <v/>
      </c>
      <c r="AP3709" s="8" t="str">
        <f aca="false">IF(A3709="","",IF(AO3709="","欠損",IF(AO3709&lt;=1.1,"1.0～1.1",IF(AO3709&lt;1.3,"1.2",IF(AO3709&lt;1.5,"1.3～1.4",IF(AO3709&lt;2,"1.5～1.9","2.0以上"))))))</f>
        <v/>
      </c>
      <c r="AQ3709" s="8" t="str">
        <f aca="false">IF(A3709="","",IF(ISNUMBER(SEARCH("2歳",Z3709)),"2歳戦",IF(ISNUMBER(SEARCH("3歳未勝利",Z3709)),"3歳未勝利",IF(ISNUMBER(SEARCH("未勝利",Z3709)),"その他未勝利",IF(ISNUMBER(SEARCH("G1",Z3709)),"G1",IF(ISNUMBER(SEARCH("G2",Z3709)),"G2",IF(ISNUMBER(SEARCH("G3",Z3709)),"G3",IF(ISNUMBER(SEARCH("古馬条件",Z3709)),"古馬条件戦",IF(ISNUMBER(SEARCH("重賞",Z3709)),"重賞","分類不能")))))))))</f>
        <v/>
      </c>
    </row>
    <row r="3710" customFormat="false" ht="15.75" hidden="false" customHeight="false" outlineLevel="0" collapsed="false">
      <c r="AO3710" s="8" t="str">
        <f aca="false">IF(A3710="","",IF(COUNTIFS(全馬データ!$A$2:$A$50000,A3710,全馬データ!$B$2:$B$50000,B3710,全馬データ!$C$2:$C$50000,C3710,全馬データ!$D$2:$D$50000,E3710,全馬データ!$K$2:$K$50000,"&lt;&gt;")=0,"",SUMIFS(全馬データ!$K$2:$K$50000,全馬データ!$A$2:$A$50000,A3710,全馬データ!$B$2:$B$50000,B3710,全馬データ!$C$2:$C$50000,C3710,全馬データ!$D$2:$D$50000,E3710)))</f>
        <v/>
      </c>
      <c r="AP3710" s="8" t="str">
        <f aca="false">IF(A3710="","",IF(AO3710="","欠損",IF(AO3710&lt;=1.1,"1.0～1.1",IF(AO3710&lt;1.3,"1.2",IF(AO3710&lt;1.5,"1.3～1.4",IF(AO3710&lt;2,"1.5～1.9","2.0以上"))))))</f>
        <v/>
      </c>
      <c r="AQ3710" s="8" t="str">
        <f aca="false">IF(A3710="","",IF(ISNUMBER(SEARCH("2歳",Z3710)),"2歳戦",IF(ISNUMBER(SEARCH("3歳未勝利",Z3710)),"3歳未勝利",IF(ISNUMBER(SEARCH("未勝利",Z3710)),"その他未勝利",IF(ISNUMBER(SEARCH("G1",Z3710)),"G1",IF(ISNUMBER(SEARCH("G2",Z3710)),"G2",IF(ISNUMBER(SEARCH("G3",Z3710)),"G3",IF(ISNUMBER(SEARCH("古馬条件",Z3710)),"古馬条件戦",IF(ISNUMBER(SEARCH("重賞",Z3710)),"重賞","分類不能")))))))))</f>
        <v/>
      </c>
    </row>
    <row r="3711" customFormat="false" ht="15.75" hidden="false" customHeight="false" outlineLevel="0" collapsed="false">
      <c r="AO3711" s="8" t="str">
        <f aca="false">IF(A3711="","",IF(COUNTIFS(全馬データ!$A$2:$A$50000,A3711,全馬データ!$B$2:$B$50000,B3711,全馬データ!$C$2:$C$50000,C3711,全馬データ!$D$2:$D$50000,E3711,全馬データ!$K$2:$K$50000,"&lt;&gt;")=0,"",SUMIFS(全馬データ!$K$2:$K$50000,全馬データ!$A$2:$A$50000,A3711,全馬データ!$B$2:$B$50000,B3711,全馬データ!$C$2:$C$50000,C3711,全馬データ!$D$2:$D$50000,E3711)))</f>
        <v/>
      </c>
      <c r="AP3711" s="8" t="str">
        <f aca="false">IF(A3711="","",IF(AO3711="","欠損",IF(AO3711&lt;=1.1,"1.0～1.1",IF(AO3711&lt;1.3,"1.2",IF(AO3711&lt;1.5,"1.3～1.4",IF(AO3711&lt;2,"1.5～1.9","2.0以上"))))))</f>
        <v/>
      </c>
      <c r="AQ3711" s="8" t="str">
        <f aca="false">IF(A3711="","",IF(ISNUMBER(SEARCH("2歳",Z3711)),"2歳戦",IF(ISNUMBER(SEARCH("3歳未勝利",Z3711)),"3歳未勝利",IF(ISNUMBER(SEARCH("未勝利",Z3711)),"その他未勝利",IF(ISNUMBER(SEARCH("G1",Z3711)),"G1",IF(ISNUMBER(SEARCH("G2",Z3711)),"G2",IF(ISNUMBER(SEARCH("G3",Z3711)),"G3",IF(ISNUMBER(SEARCH("古馬条件",Z3711)),"古馬条件戦",IF(ISNUMBER(SEARCH("重賞",Z3711)),"重賞","分類不能")))))))))</f>
        <v/>
      </c>
    </row>
    <row r="3712" customFormat="false" ht="15.75" hidden="false" customHeight="false" outlineLevel="0" collapsed="false">
      <c r="AO3712" s="8" t="str">
        <f aca="false">IF(A3712="","",IF(COUNTIFS(全馬データ!$A$2:$A$50000,A3712,全馬データ!$B$2:$B$50000,B3712,全馬データ!$C$2:$C$50000,C3712,全馬データ!$D$2:$D$50000,E3712,全馬データ!$K$2:$K$50000,"&lt;&gt;")=0,"",SUMIFS(全馬データ!$K$2:$K$50000,全馬データ!$A$2:$A$50000,A3712,全馬データ!$B$2:$B$50000,B3712,全馬データ!$C$2:$C$50000,C3712,全馬データ!$D$2:$D$50000,E3712)))</f>
        <v/>
      </c>
      <c r="AP3712" s="8" t="str">
        <f aca="false">IF(A3712="","",IF(AO3712="","欠損",IF(AO3712&lt;=1.1,"1.0～1.1",IF(AO3712&lt;1.3,"1.2",IF(AO3712&lt;1.5,"1.3～1.4",IF(AO3712&lt;2,"1.5～1.9","2.0以上"))))))</f>
        <v/>
      </c>
      <c r="AQ3712" s="8" t="str">
        <f aca="false">IF(A3712="","",IF(ISNUMBER(SEARCH("2歳",Z3712)),"2歳戦",IF(ISNUMBER(SEARCH("3歳未勝利",Z3712)),"3歳未勝利",IF(ISNUMBER(SEARCH("未勝利",Z3712)),"その他未勝利",IF(ISNUMBER(SEARCH("G1",Z3712)),"G1",IF(ISNUMBER(SEARCH("G2",Z3712)),"G2",IF(ISNUMBER(SEARCH("G3",Z3712)),"G3",IF(ISNUMBER(SEARCH("古馬条件",Z3712)),"古馬条件戦",IF(ISNUMBER(SEARCH("重賞",Z3712)),"重賞","分類不能")))))))))</f>
        <v/>
      </c>
    </row>
    <row r="3713" customFormat="false" ht="15.75" hidden="false" customHeight="false" outlineLevel="0" collapsed="false">
      <c r="AO3713" s="8" t="str">
        <f aca="false">IF(A3713="","",IF(COUNTIFS(全馬データ!$A$2:$A$50000,A3713,全馬データ!$B$2:$B$50000,B3713,全馬データ!$C$2:$C$50000,C3713,全馬データ!$D$2:$D$50000,E3713,全馬データ!$K$2:$K$50000,"&lt;&gt;")=0,"",SUMIFS(全馬データ!$K$2:$K$50000,全馬データ!$A$2:$A$50000,A3713,全馬データ!$B$2:$B$50000,B3713,全馬データ!$C$2:$C$50000,C3713,全馬データ!$D$2:$D$50000,E3713)))</f>
        <v/>
      </c>
      <c r="AP3713" s="8" t="str">
        <f aca="false">IF(A3713="","",IF(AO3713="","欠損",IF(AO3713&lt;=1.1,"1.0～1.1",IF(AO3713&lt;1.3,"1.2",IF(AO3713&lt;1.5,"1.3～1.4",IF(AO3713&lt;2,"1.5～1.9","2.0以上"))))))</f>
        <v/>
      </c>
      <c r="AQ3713" s="8" t="str">
        <f aca="false">IF(A3713="","",IF(ISNUMBER(SEARCH("2歳",Z3713)),"2歳戦",IF(ISNUMBER(SEARCH("3歳未勝利",Z3713)),"3歳未勝利",IF(ISNUMBER(SEARCH("未勝利",Z3713)),"その他未勝利",IF(ISNUMBER(SEARCH("G1",Z3713)),"G1",IF(ISNUMBER(SEARCH("G2",Z3713)),"G2",IF(ISNUMBER(SEARCH("G3",Z3713)),"G3",IF(ISNUMBER(SEARCH("古馬条件",Z3713)),"古馬条件戦",IF(ISNUMBER(SEARCH("重賞",Z3713)),"重賞","分類不能")))))))))</f>
        <v/>
      </c>
    </row>
    <row r="3714" customFormat="false" ht="15.75" hidden="false" customHeight="false" outlineLevel="0" collapsed="false">
      <c r="AO3714" s="8" t="str">
        <f aca="false">IF(A3714="","",IF(COUNTIFS(全馬データ!$A$2:$A$50000,A3714,全馬データ!$B$2:$B$50000,B3714,全馬データ!$C$2:$C$50000,C3714,全馬データ!$D$2:$D$50000,E3714,全馬データ!$K$2:$K$50000,"&lt;&gt;")=0,"",SUMIFS(全馬データ!$K$2:$K$50000,全馬データ!$A$2:$A$50000,A3714,全馬データ!$B$2:$B$50000,B3714,全馬データ!$C$2:$C$50000,C3714,全馬データ!$D$2:$D$50000,E3714)))</f>
        <v/>
      </c>
      <c r="AP3714" s="8" t="str">
        <f aca="false">IF(A3714="","",IF(AO3714="","欠損",IF(AO3714&lt;=1.1,"1.0～1.1",IF(AO3714&lt;1.3,"1.2",IF(AO3714&lt;1.5,"1.3～1.4",IF(AO3714&lt;2,"1.5～1.9","2.0以上"))))))</f>
        <v/>
      </c>
      <c r="AQ3714" s="8" t="str">
        <f aca="false">IF(A3714="","",IF(ISNUMBER(SEARCH("2歳",Z3714)),"2歳戦",IF(ISNUMBER(SEARCH("3歳未勝利",Z3714)),"3歳未勝利",IF(ISNUMBER(SEARCH("未勝利",Z3714)),"その他未勝利",IF(ISNUMBER(SEARCH("G1",Z3714)),"G1",IF(ISNUMBER(SEARCH("G2",Z3714)),"G2",IF(ISNUMBER(SEARCH("G3",Z3714)),"G3",IF(ISNUMBER(SEARCH("古馬条件",Z3714)),"古馬条件戦",IF(ISNUMBER(SEARCH("重賞",Z3714)),"重賞","分類不能")))))))))</f>
        <v/>
      </c>
    </row>
    <row r="3715" customFormat="false" ht="15.75" hidden="false" customHeight="false" outlineLevel="0" collapsed="false">
      <c r="AO3715" s="8" t="str">
        <f aca="false">IF(A3715="","",IF(COUNTIFS(全馬データ!$A$2:$A$50000,A3715,全馬データ!$B$2:$B$50000,B3715,全馬データ!$C$2:$C$50000,C3715,全馬データ!$D$2:$D$50000,E3715,全馬データ!$K$2:$K$50000,"&lt;&gt;")=0,"",SUMIFS(全馬データ!$K$2:$K$50000,全馬データ!$A$2:$A$50000,A3715,全馬データ!$B$2:$B$50000,B3715,全馬データ!$C$2:$C$50000,C3715,全馬データ!$D$2:$D$50000,E3715)))</f>
        <v/>
      </c>
      <c r="AP3715" s="8" t="str">
        <f aca="false">IF(A3715="","",IF(AO3715="","欠損",IF(AO3715&lt;=1.1,"1.0～1.1",IF(AO3715&lt;1.3,"1.2",IF(AO3715&lt;1.5,"1.3～1.4",IF(AO3715&lt;2,"1.5～1.9","2.0以上"))))))</f>
        <v/>
      </c>
      <c r="AQ3715" s="8" t="str">
        <f aca="false">IF(A3715="","",IF(ISNUMBER(SEARCH("2歳",Z3715)),"2歳戦",IF(ISNUMBER(SEARCH("3歳未勝利",Z3715)),"3歳未勝利",IF(ISNUMBER(SEARCH("未勝利",Z3715)),"その他未勝利",IF(ISNUMBER(SEARCH("G1",Z3715)),"G1",IF(ISNUMBER(SEARCH("G2",Z3715)),"G2",IF(ISNUMBER(SEARCH("G3",Z3715)),"G3",IF(ISNUMBER(SEARCH("古馬条件",Z3715)),"古馬条件戦",IF(ISNUMBER(SEARCH("重賞",Z3715)),"重賞","分類不能")))))))))</f>
        <v/>
      </c>
    </row>
    <row r="3716" customFormat="false" ht="15.75" hidden="false" customHeight="false" outlineLevel="0" collapsed="false">
      <c r="AO3716" s="8" t="str">
        <f aca="false">IF(A3716="","",IF(COUNTIFS(全馬データ!$A$2:$A$50000,A3716,全馬データ!$B$2:$B$50000,B3716,全馬データ!$C$2:$C$50000,C3716,全馬データ!$D$2:$D$50000,E3716,全馬データ!$K$2:$K$50000,"&lt;&gt;")=0,"",SUMIFS(全馬データ!$K$2:$K$50000,全馬データ!$A$2:$A$50000,A3716,全馬データ!$B$2:$B$50000,B3716,全馬データ!$C$2:$C$50000,C3716,全馬データ!$D$2:$D$50000,E3716)))</f>
        <v/>
      </c>
      <c r="AP3716" s="8" t="str">
        <f aca="false">IF(A3716="","",IF(AO3716="","欠損",IF(AO3716&lt;=1.1,"1.0～1.1",IF(AO3716&lt;1.3,"1.2",IF(AO3716&lt;1.5,"1.3～1.4",IF(AO3716&lt;2,"1.5～1.9","2.0以上"))))))</f>
        <v/>
      </c>
      <c r="AQ3716" s="8" t="str">
        <f aca="false">IF(A3716="","",IF(ISNUMBER(SEARCH("2歳",Z3716)),"2歳戦",IF(ISNUMBER(SEARCH("3歳未勝利",Z3716)),"3歳未勝利",IF(ISNUMBER(SEARCH("未勝利",Z3716)),"その他未勝利",IF(ISNUMBER(SEARCH("G1",Z3716)),"G1",IF(ISNUMBER(SEARCH("G2",Z3716)),"G2",IF(ISNUMBER(SEARCH("G3",Z3716)),"G3",IF(ISNUMBER(SEARCH("古馬条件",Z3716)),"古馬条件戦",IF(ISNUMBER(SEARCH("重賞",Z3716)),"重賞","分類不能")))))))))</f>
        <v/>
      </c>
    </row>
    <row r="3717" customFormat="false" ht="15.75" hidden="false" customHeight="false" outlineLevel="0" collapsed="false">
      <c r="AO3717" s="8" t="str">
        <f aca="false">IF(A3717="","",IF(COUNTIFS(全馬データ!$A$2:$A$50000,A3717,全馬データ!$B$2:$B$50000,B3717,全馬データ!$C$2:$C$50000,C3717,全馬データ!$D$2:$D$50000,E3717,全馬データ!$K$2:$K$50000,"&lt;&gt;")=0,"",SUMIFS(全馬データ!$K$2:$K$50000,全馬データ!$A$2:$A$50000,A3717,全馬データ!$B$2:$B$50000,B3717,全馬データ!$C$2:$C$50000,C3717,全馬データ!$D$2:$D$50000,E3717)))</f>
        <v/>
      </c>
      <c r="AP3717" s="8" t="str">
        <f aca="false">IF(A3717="","",IF(AO3717="","欠損",IF(AO3717&lt;=1.1,"1.0～1.1",IF(AO3717&lt;1.3,"1.2",IF(AO3717&lt;1.5,"1.3～1.4",IF(AO3717&lt;2,"1.5～1.9","2.0以上"))))))</f>
        <v/>
      </c>
      <c r="AQ3717" s="8" t="str">
        <f aca="false">IF(A3717="","",IF(ISNUMBER(SEARCH("2歳",Z3717)),"2歳戦",IF(ISNUMBER(SEARCH("3歳未勝利",Z3717)),"3歳未勝利",IF(ISNUMBER(SEARCH("未勝利",Z3717)),"その他未勝利",IF(ISNUMBER(SEARCH("G1",Z3717)),"G1",IF(ISNUMBER(SEARCH("G2",Z3717)),"G2",IF(ISNUMBER(SEARCH("G3",Z3717)),"G3",IF(ISNUMBER(SEARCH("古馬条件",Z3717)),"古馬条件戦",IF(ISNUMBER(SEARCH("重賞",Z3717)),"重賞","分類不能")))))))))</f>
        <v/>
      </c>
    </row>
    <row r="3718" customFormat="false" ht="15.75" hidden="false" customHeight="false" outlineLevel="0" collapsed="false">
      <c r="AO3718" s="8" t="str">
        <f aca="false">IF(A3718="","",IF(COUNTIFS(全馬データ!$A$2:$A$50000,A3718,全馬データ!$B$2:$B$50000,B3718,全馬データ!$C$2:$C$50000,C3718,全馬データ!$D$2:$D$50000,E3718,全馬データ!$K$2:$K$50000,"&lt;&gt;")=0,"",SUMIFS(全馬データ!$K$2:$K$50000,全馬データ!$A$2:$A$50000,A3718,全馬データ!$B$2:$B$50000,B3718,全馬データ!$C$2:$C$50000,C3718,全馬データ!$D$2:$D$50000,E3718)))</f>
        <v/>
      </c>
      <c r="AP3718" s="8" t="str">
        <f aca="false">IF(A3718="","",IF(AO3718="","欠損",IF(AO3718&lt;=1.1,"1.0～1.1",IF(AO3718&lt;1.3,"1.2",IF(AO3718&lt;1.5,"1.3～1.4",IF(AO3718&lt;2,"1.5～1.9","2.0以上"))))))</f>
        <v/>
      </c>
      <c r="AQ3718" s="8" t="str">
        <f aca="false">IF(A3718="","",IF(ISNUMBER(SEARCH("2歳",Z3718)),"2歳戦",IF(ISNUMBER(SEARCH("3歳未勝利",Z3718)),"3歳未勝利",IF(ISNUMBER(SEARCH("未勝利",Z3718)),"その他未勝利",IF(ISNUMBER(SEARCH("G1",Z3718)),"G1",IF(ISNUMBER(SEARCH("G2",Z3718)),"G2",IF(ISNUMBER(SEARCH("G3",Z3718)),"G3",IF(ISNUMBER(SEARCH("古馬条件",Z3718)),"古馬条件戦",IF(ISNUMBER(SEARCH("重賞",Z3718)),"重賞","分類不能")))))))))</f>
        <v/>
      </c>
    </row>
    <row r="3719" customFormat="false" ht="15.75" hidden="false" customHeight="false" outlineLevel="0" collapsed="false">
      <c r="AO3719" s="8" t="str">
        <f aca="false">IF(A3719="","",IF(COUNTIFS(全馬データ!$A$2:$A$50000,A3719,全馬データ!$B$2:$B$50000,B3719,全馬データ!$C$2:$C$50000,C3719,全馬データ!$D$2:$D$50000,E3719,全馬データ!$K$2:$K$50000,"&lt;&gt;")=0,"",SUMIFS(全馬データ!$K$2:$K$50000,全馬データ!$A$2:$A$50000,A3719,全馬データ!$B$2:$B$50000,B3719,全馬データ!$C$2:$C$50000,C3719,全馬データ!$D$2:$D$50000,E3719)))</f>
        <v/>
      </c>
      <c r="AP3719" s="8" t="str">
        <f aca="false">IF(A3719="","",IF(AO3719="","欠損",IF(AO3719&lt;=1.1,"1.0～1.1",IF(AO3719&lt;1.3,"1.2",IF(AO3719&lt;1.5,"1.3～1.4",IF(AO3719&lt;2,"1.5～1.9","2.0以上"))))))</f>
        <v/>
      </c>
      <c r="AQ3719" s="8" t="str">
        <f aca="false">IF(A3719="","",IF(ISNUMBER(SEARCH("2歳",Z3719)),"2歳戦",IF(ISNUMBER(SEARCH("3歳未勝利",Z3719)),"3歳未勝利",IF(ISNUMBER(SEARCH("未勝利",Z3719)),"その他未勝利",IF(ISNUMBER(SEARCH("G1",Z3719)),"G1",IF(ISNUMBER(SEARCH("G2",Z3719)),"G2",IF(ISNUMBER(SEARCH("G3",Z3719)),"G3",IF(ISNUMBER(SEARCH("古馬条件",Z3719)),"古馬条件戦",IF(ISNUMBER(SEARCH("重賞",Z3719)),"重賞","分類不能")))))))))</f>
        <v/>
      </c>
    </row>
    <row r="3720" customFormat="false" ht="15.75" hidden="false" customHeight="false" outlineLevel="0" collapsed="false">
      <c r="AO3720" s="8" t="str">
        <f aca="false">IF(A3720="","",IF(COUNTIFS(全馬データ!$A$2:$A$50000,A3720,全馬データ!$B$2:$B$50000,B3720,全馬データ!$C$2:$C$50000,C3720,全馬データ!$D$2:$D$50000,E3720,全馬データ!$K$2:$K$50000,"&lt;&gt;")=0,"",SUMIFS(全馬データ!$K$2:$K$50000,全馬データ!$A$2:$A$50000,A3720,全馬データ!$B$2:$B$50000,B3720,全馬データ!$C$2:$C$50000,C3720,全馬データ!$D$2:$D$50000,E3720)))</f>
        <v/>
      </c>
      <c r="AP3720" s="8" t="str">
        <f aca="false">IF(A3720="","",IF(AO3720="","欠損",IF(AO3720&lt;=1.1,"1.0～1.1",IF(AO3720&lt;1.3,"1.2",IF(AO3720&lt;1.5,"1.3～1.4",IF(AO3720&lt;2,"1.5～1.9","2.0以上"))))))</f>
        <v/>
      </c>
      <c r="AQ3720" s="8" t="str">
        <f aca="false">IF(A3720="","",IF(ISNUMBER(SEARCH("2歳",Z3720)),"2歳戦",IF(ISNUMBER(SEARCH("3歳未勝利",Z3720)),"3歳未勝利",IF(ISNUMBER(SEARCH("未勝利",Z3720)),"その他未勝利",IF(ISNUMBER(SEARCH("G1",Z3720)),"G1",IF(ISNUMBER(SEARCH("G2",Z3720)),"G2",IF(ISNUMBER(SEARCH("G3",Z3720)),"G3",IF(ISNUMBER(SEARCH("古馬条件",Z3720)),"古馬条件戦",IF(ISNUMBER(SEARCH("重賞",Z3720)),"重賞","分類不能")))))))))</f>
        <v/>
      </c>
    </row>
    <row r="3721" customFormat="false" ht="15.75" hidden="false" customHeight="false" outlineLevel="0" collapsed="false">
      <c r="AO3721" s="8" t="str">
        <f aca="false">IF(A3721="","",IF(COUNTIFS(全馬データ!$A$2:$A$50000,A3721,全馬データ!$B$2:$B$50000,B3721,全馬データ!$C$2:$C$50000,C3721,全馬データ!$D$2:$D$50000,E3721,全馬データ!$K$2:$K$50000,"&lt;&gt;")=0,"",SUMIFS(全馬データ!$K$2:$K$50000,全馬データ!$A$2:$A$50000,A3721,全馬データ!$B$2:$B$50000,B3721,全馬データ!$C$2:$C$50000,C3721,全馬データ!$D$2:$D$50000,E3721)))</f>
        <v/>
      </c>
      <c r="AP3721" s="8" t="str">
        <f aca="false">IF(A3721="","",IF(AO3721="","欠損",IF(AO3721&lt;=1.1,"1.0～1.1",IF(AO3721&lt;1.3,"1.2",IF(AO3721&lt;1.5,"1.3～1.4",IF(AO3721&lt;2,"1.5～1.9","2.0以上"))))))</f>
        <v/>
      </c>
      <c r="AQ3721" s="8" t="str">
        <f aca="false">IF(A3721="","",IF(ISNUMBER(SEARCH("2歳",Z3721)),"2歳戦",IF(ISNUMBER(SEARCH("3歳未勝利",Z3721)),"3歳未勝利",IF(ISNUMBER(SEARCH("未勝利",Z3721)),"その他未勝利",IF(ISNUMBER(SEARCH("G1",Z3721)),"G1",IF(ISNUMBER(SEARCH("G2",Z3721)),"G2",IF(ISNUMBER(SEARCH("G3",Z3721)),"G3",IF(ISNUMBER(SEARCH("古馬条件",Z3721)),"古馬条件戦",IF(ISNUMBER(SEARCH("重賞",Z3721)),"重賞","分類不能")))))))))</f>
        <v/>
      </c>
    </row>
    <row r="3722" customFormat="false" ht="15.75" hidden="false" customHeight="false" outlineLevel="0" collapsed="false">
      <c r="AO3722" s="8" t="str">
        <f aca="false">IF(A3722="","",IF(COUNTIFS(全馬データ!$A$2:$A$50000,A3722,全馬データ!$B$2:$B$50000,B3722,全馬データ!$C$2:$C$50000,C3722,全馬データ!$D$2:$D$50000,E3722,全馬データ!$K$2:$K$50000,"&lt;&gt;")=0,"",SUMIFS(全馬データ!$K$2:$K$50000,全馬データ!$A$2:$A$50000,A3722,全馬データ!$B$2:$B$50000,B3722,全馬データ!$C$2:$C$50000,C3722,全馬データ!$D$2:$D$50000,E3722)))</f>
        <v/>
      </c>
      <c r="AP3722" s="8" t="str">
        <f aca="false">IF(A3722="","",IF(AO3722="","欠損",IF(AO3722&lt;=1.1,"1.0～1.1",IF(AO3722&lt;1.3,"1.2",IF(AO3722&lt;1.5,"1.3～1.4",IF(AO3722&lt;2,"1.5～1.9","2.0以上"))))))</f>
        <v/>
      </c>
      <c r="AQ3722" s="8" t="str">
        <f aca="false">IF(A3722="","",IF(ISNUMBER(SEARCH("2歳",Z3722)),"2歳戦",IF(ISNUMBER(SEARCH("3歳未勝利",Z3722)),"3歳未勝利",IF(ISNUMBER(SEARCH("未勝利",Z3722)),"その他未勝利",IF(ISNUMBER(SEARCH("G1",Z3722)),"G1",IF(ISNUMBER(SEARCH("G2",Z3722)),"G2",IF(ISNUMBER(SEARCH("G3",Z3722)),"G3",IF(ISNUMBER(SEARCH("古馬条件",Z3722)),"古馬条件戦",IF(ISNUMBER(SEARCH("重賞",Z3722)),"重賞","分類不能")))))))))</f>
        <v/>
      </c>
    </row>
    <row r="3723" customFormat="false" ht="15.75" hidden="false" customHeight="false" outlineLevel="0" collapsed="false">
      <c r="AO3723" s="8" t="str">
        <f aca="false">IF(A3723="","",IF(COUNTIFS(全馬データ!$A$2:$A$50000,A3723,全馬データ!$B$2:$B$50000,B3723,全馬データ!$C$2:$C$50000,C3723,全馬データ!$D$2:$D$50000,E3723,全馬データ!$K$2:$K$50000,"&lt;&gt;")=0,"",SUMIFS(全馬データ!$K$2:$K$50000,全馬データ!$A$2:$A$50000,A3723,全馬データ!$B$2:$B$50000,B3723,全馬データ!$C$2:$C$50000,C3723,全馬データ!$D$2:$D$50000,E3723)))</f>
        <v/>
      </c>
      <c r="AP3723" s="8" t="str">
        <f aca="false">IF(A3723="","",IF(AO3723="","欠損",IF(AO3723&lt;=1.1,"1.0～1.1",IF(AO3723&lt;1.3,"1.2",IF(AO3723&lt;1.5,"1.3～1.4",IF(AO3723&lt;2,"1.5～1.9","2.0以上"))))))</f>
        <v/>
      </c>
      <c r="AQ3723" s="8" t="str">
        <f aca="false">IF(A3723="","",IF(ISNUMBER(SEARCH("2歳",Z3723)),"2歳戦",IF(ISNUMBER(SEARCH("3歳未勝利",Z3723)),"3歳未勝利",IF(ISNUMBER(SEARCH("未勝利",Z3723)),"その他未勝利",IF(ISNUMBER(SEARCH("G1",Z3723)),"G1",IF(ISNUMBER(SEARCH("G2",Z3723)),"G2",IF(ISNUMBER(SEARCH("G3",Z3723)),"G3",IF(ISNUMBER(SEARCH("古馬条件",Z3723)),"古馬条件戦",IF(ISNUMBER(SEARCH("重賞",Z3723)),"重賞","分類不能")))))))))</f>
        <v/>
      </c>
    </row>
    <row r="3724" customFormat="false" ht="15.75" hidden="false" customHeight="false" outlineLevel="0" collapsed="false">
      <c r="AO3724" s="8" t="str">
        <f aca="false">IF(A3724="","",IF(COUNTIFS(全馬データ!$A$2:$A$50000,A3724,全馬データ!$B$2:$B$50000,B3724,全馬データ!$C$2:$C$50000,C3724,全馬データ!$D$2:$D$50000,E3724,全馬データ!$K$2:$K$50000,"&lt;&gt;")=0,"",SUMIFS(全馬データ!$K$2:$K$50000,全馬データ!$A$2:$A$50000,A3724,全馬データ!$B$2:$B$50000,B3724,全馬データ!$C$2:$C$50000,C3724,全馬データ!$D$2:$D$50000,E3724)))</f>
        <v/>
      </c>
      <c r="AP3724" s="8" t="str">
        <f aca="false">IF(A3724="","",IF(AO3724="","欠損",IF(AO3724&lt;=1.1,"1.0～1.1",IF(AO3724&lt;1.3,"1.2",IF(AO3724&lt;1.5,"1.3～1.4",IF(AO3724&lt;2,"1.5～1.9","2.0以上"))))))</f>
        <v/>
      </c>
      <c r="AQ3724" s="8" t="str">
        <f aca="false">IF(A3724="","",IF(ISNUMBER(SEARCH("2歳",Z3724)),"2歳戦",IF(ISNUMBER(SEARCH("3歳未勝利",Z3724)),"3歳未勝利",IF(ISNUMBER(SEARCH("未勝利",Z3724)),"その他未勝利",IF(ISNUMBER(SEARCH("G1",Z3724)),"G1",IF(ISNUMBER(SEARCH("G2",Z3724)),"G2",IF(ISNUMBER(SEARCH("G3",Z3724)),"G3",IF(ISNUMBER(SEARCH("古馬条件",Z3724)),"古馬条件戦",IF(ISNUMBER(SEARCH("重賞",Z3724)),"重賞","分類不能")))))))))</f>
        <v/>
      </c>
    </row>
    <row r="3725" customFormat="false" ht="15.75" hidden="false" customHeight="false" outlineLevel="0" collapsed="false">
      <c r="AO3725" s="8" t="str">
        <f aca="false">IF(A3725="","",IF(COUNTIFS(全馬データ!$A$2:$A$50000,A3725,全馬データ!$B$2:$B$50000,B3725,全馬データ!$C$2:$C$50000,C3725,全馬データ!$D$2:$D$50000,E3725,全馬データ!$K$2:$K$50000,"&lt;&gt;")=0,"",SUMIFS(全馬データ!$K$2:$K$50000,全馬データ!$A$2:$A$50000,A3725,全馬データ!$B$2:$B$50000,B3725,全馬データ!$C$2:$C$50000,C3725,全馬データ!$D$2:$D$50000,E3725)))</f>
        <v/>
      </c>
      <c r="AP3725" s="8" t="str">
        <f aca="false">IF(A3725="","",IF(AO3725="","欠損",IF(AO3725&lt;=1.1,"1.0～1.1",IF(AO3725&lt;1.3,"1.2",IF(AO3725&lt;1.5,"1.3～1.4",IF(AO3725&lt;2,"1.5～1.9","2.0以上"))))))</f>
        <v/>
      </c>
      <c r="AQ3725" s="8" t="str">
        <f aca="false">IF(A3725="","",IF(ISNUMBER(SEARCH("2歳",Z3725)),"2歳戦",IF(ISNUMBER(SEARCH("3歳未勝利",Z3725)),"3歳未勝利",IF(ISNUMBER(SEARCH("未勝利",Z3725)),"その他未勝利",IF(ISNUMBER(SEARCH("G1",Z3725)),"G1",IF(ISNUMBER(SEARCH("G2",Z3725)),"G2",IF(ISNUMBER(SEARCH("G3",Z3725)),"G3",IF(ISNUMBER(SEARCH("古馬条件",Z3725)),"古馬条件戦",IF(ISNUMBER(SEARCH("重賞",Z3725)),"重賞","分類不能")))))))))</f>
        <v/>
      </c>
    </row>
    <row r="3726" customFormat="false" ht="15.75" hidden="false" customHeight="false" outlineLevel="0" collapsed="false">
      <c r="AO3726" s="8" t="str">
        <f aca="false">IF(A3726="","",IF(COUNTIFS(全馬データ!$A$2:$A$50000,A3726,全馬データ!$B$2:$B$50000,B3726,全馬データ!$C$2:$C$50000,C3726,全馬データ!$D$2:$D$50000,E3726,全馬データ!$K$2:$K$50000,"&lt;&gt;")=0,"",SUMIFS(全馬データ!$K$2:$K$50000,全馬データ!$A$2:$A$50000,A3726,全馬データ!$B$2:$B$50000,B3726,全馬データ!$C$2:$C$50000,C3726,全馬データ!$D$2:$D$50000,E3726)))</f>
        <v/>
      </c>
      <c r="AP3726" s="8" t="str">
        <f aca="false">IF(A3726="","",IF(AO3726="","欠損",IF(AO3726&lt;=1.1,"1.0～1.1",IF(AO3726&lt;1.3,"1.2",IF(AO3726&lt;1.5,"1.3～1.4",IF(AO3726&lt;2,"1.5～1.9","2.0以上"))))))</f>
        <v/>
      </c>
      <c r="AQ3726" s="8" t="str">
        <f aca="false">IF(A3726="","",IF(ISNUMBER(SEARCH("2歳",Z3726)),"2歳戦",IF(ISNUMBER(SEARCH("3歳未勝利",Z3726)),"3歳未勝利",IF(ISNUMBER(SEARCH("未勝利",Z3726)),"その他未勝利",IF(ISNUMBER(SEARCH("G1",Z3726)),"G1",IF(ISNUMBER(SEARCH("G2",Z3726)),"G2",IF(ISNUMBER(SEARCH("G3",Z3726)),"G3",IF(ISNUMBER(SEARCH("古馬条件",Z3726)),"古馬条件戦",IF(ISNUMBER(SEARCH("重賞",Z3726)),"重賞","分類不能")))))))))</f>
        <v/>
      </c>
    </row>
    <row r="3727" customFormat="false" ht="15.75" hidden="false" customHeight="false" outlineLevel="0" collapsed="false">
      <c r="AO3727" s="8" t="str">
        <f aca="false">IF(A3727="","",IF(COUNTIFS(全馬データ!$A$2:$A$50000,A3727,全馬データ!$B$2:$B$50000,B3727,全馬データ!$C$2:$C$50000,C3727,全馬データ!$D$2:$D$50000,E3727,全馬データ!$K$2:$K$50000,"&lt;&gt;")=0,"",SUMIFS(全馬データ!$K$2:$K$50000,全馬データ!$A$2:$A$50000,A3727,全馬データ!$B$2:$B$50000,B3727,全馬データ!$C$2:$C$50000,C3727,全馬データ!$D$2:$D$50000,E3727)))</f>
        <v/>
      </c>
      <c r="AP3727" s="8" t="str">
        <f aca="false">IF(A3727="","",IF(AO3727="","欠損",IF(AO3727&lt;=1.1,"1.0～1.1",IF(AO3727&lt;1.3,"1.2",IF(AO3727&lt;1.5,"1.3～1.4",IF(AO3727&lt;2,"1.5～1.9","2.0以上"))))))</f>
        <v/>
      </c>
      <c r="AQ3727" s="8" t="str">
        <f aca="false">IF(A3727="","",IF(ISNUMBER(SEARCH("2歳",Z3727)),"2歳戦",IF(ISNUMBER(SEARCH("3歳未勝利",Z3727)),"3歳未勝利",IF(ISNUMBER(SEARCH("未勝利",Z3727)),"その他未勝利",IF(ISNUMBER(SEARCH("G1",Z3727)),"G1",IF(ISNUMBER(SEARCH("G2",Z3727)),"G2",IF(ISNUMBER(SEARCH("G3",Z3727)),"G3",IF(ISNUMBER(SEARCH("古馬条件",Z3727)),"古馬条件戦",IF(ISNUMBER(SEARCH("重賞",Z3727)),"重賞","分類不能")))))))))</f>
        <v/>
      </c>
    </row>
    <row r="3728" customFormat="false" ht="15.75" hidden="false" customHeight="false" outlineLevel="0" collapsed="false">
      <c r="AO3728" s="8" t="str">
        <f aca="false">IF(A3728="","",IF(COUNTIFS(全馬データ!$A$2:$A$50000,A3728,全馬データ!$B$2:$B$50000,B3728,全馬データ!$C$2:$C$50000,C3728,全馬データ!$D$2:$D$50000,E3728,全馬データ!$K$2:$K$50000,"&lt;&gt;")=0,"",SUMIFS(全馬データ!$K$2:$K$50000,全馬データ!$A$2:$A$50000,A3728,全馬データ!$B$2:$B$50000,B3728,全馬データ!$C$2:$C$50000,C3728,全馬データ!$D$2:$D$50000,E3728)))</f>
        <v/>
      </c>
      <c r="AP3728" s="8" t="str">
        <f aca="false">IF(A3728="","",IF(AO3728="","欠損",IF(AO3728&lt;=1.1,"1.0～1.1",IF(AO3728&lt;1.3,"1.2",IF(AO3728&lt;1.5,"1.3～1.4",IF(AO3728&lt;2,"1.5～1.9","2.0以上"))))))</f>
        <v/>
      </c>
      <c r="AQ3728" s="8" t="str">
        <f aca="false">IF(A3728="","",IF(ISNUMBER(SEARCH("2歳",Z3728)),"2歳戦",IF(ISNUMBER(SEARCH("3歳未勝利",Z3728)),"3歳未勝利",IF(ISNUMBER(SEARCH("未勝利",Z3728)),"その他未勝利",IF(ISNUMBER(SEARCH("G1",Z3728)),"G1",IF(ISNUMBER(SEARCH("G2",Z3728)),"G2",IF(ISNUMBER(SEARCH("G3",Z3728)),"G3",IF(ISNUMBER(SEARCH("古馬条件",Z3728)),"古馬条件戦",IF(ISNUMBER(SEARCH("重賞",Z3728)),"重賞","分類不能")))))))))</f>
        <v/>
      </c>
    </row>
    <row r="3729" customFormat="false" ht="15.75" hidden="false" customHeight="false" outlineLevel="0" collapsed="false">
      <c r="AO3729" s="8" t="str">
        <f aca="false">IF(A3729="","",IF(COUNTIFS(全馬データ!$A$2:$A$50000,A3729,全馬データ!$B$2:$B$50000,B3729,全馬データ!$C$2:$C$50000,C3729,全馬データ!$D$2:$D$50000,E3729,全馬データ!$K$2:$K$50000,"&lt;&gt;")=0,"",SUMIFS(全馬データ!$K$2:$K$50000,全馬データ!$A$2:$A$50000,A3729,全馬データ!$B$2:$B$50000,B3729,全馬データ!$C$2:$C$50000,C3729,全馬データ!$D$2:$D$50000,E3729)))</f>
        <v/>
      </c>
      <c r="AP3729" s="8" t="str">
        <f aca="false">IF(A3729="","",IF(AO3729="","欠損",IF(AO3729&lt;=1.1,"1.0～1.1",IF(AO3729&lt;1.3,"1.2",IF(AO3729&lt;1.5,"1.3～1.4",IF(AO3729&lt;2,"1.5～1.9","2.0以上"))))))</f>
        <v/>
      </c>
      <c r="AQ3729" s="8" t="str">
        <f aca="false">IF(A3729="","",IF(ISNUMBER(SEARCH("2歳",Z3729)),"2歳戦",IF(ISNUMBER(SEARCH("3歳未勝利",Z3729)),"3歳未勝利",IF(ISNUMBER(SEARCH("未勝利",Z3729)),"その他未勝利",IF(ISNUMBER(SEARCH("G1",Z3729)),"G1",IF(ISNUMBER(SEARCH("G2",Z3729)),"G2",IF(ISNUMBER(SEARCH("G3",Z3729)),"G3",IF(ISNUMBER(SEARCH("古馬条件",Z3729)),"古馬条件戦",IF(ISNUMBER(SEARCH("重賞",Z3729)),"重賞","分類不能")))))))))</f>
        <v/>
      </c>
    </row>
    <row r="3730" customFormat="false" ht="15.75" hidden="false" customHeight="false" outlineLevel="0" collapsed="false">
      <c r="AO3730" s="8" t="str">
        <f aca="false">IF(A3730="","",IF(COUNTIFS(全馬データ!$A$2:$A$50000,A3730,全馬データ!$B$2:$B$50000,B3730,全馬データ!$C$2:$C$50000,C3730,全馬データ!$D$2:$D$50000,E3730,全馬データ!$K$2:$K$50000,"&lt;&gt;")=0,"",SUMIFS(全馬データ!$K$2:$K$50000,全馬データ!$A$2:$A$50000,A3730,全馬データ!$B$2:$B$50000,B3730,全馬データ!$C$2:$C$50000,C3730,全馬データ!$D$2:$D$50000,E3730)))</f>
        <v/>
      </c>
      <c r="AP3730" s="8" t="str">
        <f aca="false">IF(A3730="","",IF(AO3730="","欠損",IF(AO3730&lt;=1.1,"1.0～1.1",IF(AO3730&lt;1.3,"1.2",IF(AO3730&lt;1.5,"1.3～1.4",IF(AO3730&lt;2,"1.5～1.9","2.0以上"))))))</f>
        <v/>
      </c>
      <c r="AQ3730" s="8" t="str">
        <f aca="false">IF(A3730="","",IF(ISNUMBER(SEARCH("2歳",Z3730)),"2歳戦",IF(ISNUMBER(SEARCH("3歳未勝利",Z3730)),"3歳未勝利",IF(ISNUMBER(SEARCH("未勝利",Z3730)),"その他未勝利",IF(ISNUMBER(SEARCH("G1",Z3730)),"G1",IF(ISNUMBER(SEARCH("G2",Z3730)),"G2",IF(ISNUMBER(SEARCH("G3",Z3730)),"G3",IF(ISNUMBER(SEARCH("古馬条件",Z3730)),"古馬条件戦",IF(ISNUMBER(SEARCH("重賞",Z3730)),"重賞","分類不能")))))))))</f>
        <v/>
      </c>
    </row>
    <row r="3731" customFormat="false" ht="15.75" hidden="false" customHeight="false" outlineLevel="0" collapsed="false">
      <c r="AO3731" s="8" t="str">
        <f aca="false">IF(A3731="","",IF(COUNTIFS(全馬データ!$A$2:$A$50000,A3731,全馬データ!$B$2:$B$50000,B3731,全馬データ!$C$2:$C$50000,C3731,全馬データ!$D$2:$D$50000,E3731,全馬データ!$K$2:$K$50000,"&lt;&gt;")=0,"",SUMIFS(全馬データ!$K$2:$K$50000,全馬データ!$A$2:$A$50000,A3731,全馬データ!$B$2:$B$50000,B3731,全馬データ!$C$2:$C$50000,C3731,全馬データ!$D$2:$D$50000,E3731)))</f>
        <v/>
      </c>
      <c r="AP3731" s="8" t="str">
        <f aca="false">IF(A3731="","",IF(AO3731="","欠損",IF(AO3731&lt;=1.1,"1.0～1.1",IF(AO3731&lt;1.3,"1.2",IF(AO3731&lt;1.5,"1.3～1.4",IF(AO3731&lt;2,"1.5～1.9","2.0以上"))))))</f>
        <v/>
      </c>
      <c r="AQ3731" s="8" t="str">
        <f aca="false">IF(A3731="","",IF(ISNUMBER(SEARCH("2歳",Z3731)),"2歳戦",IF(ISNUMBER(SEARCH("3歳未勝利",Z3731)),"3歳未勝利",IF(ISNUMBER(SEARCH("未勝利",Z3731)),"その他未勝利",IF(ISNUMBER(SEARCH("G1",Z3731)),"G1",IF(ISNUMBER(SEARCH("G2",Z3731)),"G2",IF(ISNUMBER(SEARCH("G3",Z3731)),"G3",IF(ISNUMBER(SEARCH("古馬条件",Z3731)),"古馬条件戦",IF(ISNUMBER(SEARCH("重賞",Z3731)),"重賞","分類不能")))))))))</f>
        <v/>
      </c>
    </row>
    <row r="3732" customFormat="false" ht="15.75" hidden="false" customHeight="false" outlineLevel="0" collapsed="false">
      <c r="AO3732" s="8" t="str">
        <f aca="false">IF(A3732="","",IF(COUNTIFS(全馬データ!$A$2:$A$50000,A3732,全馬データ!$B$2:$B$50000,B3732,全馬データ!$C$2:$C$50000,C3732,全馬データ!$D$2:$D$50000,E3732,全馬データ!$K$2:$K$50000,"&lt;&gt;")=0,"",SUMIFS(全馬データ!$K$2:$K$50000,全馬データ!$A$2:$A$50000,A3732,全馬データ!$B$2:$B$50000,B3732,全馬データ!$C$2:$C$50000,C3732,全馬データ!$D$2:$D$50000,E3732)))</f>
        <v/>
      </c>
      <c r="AP3732" s="8" t="str">
        <f aca="false">IF(A3732="","",IF(AO3732="","欠損",IF(AO3732&lt;=1.1,"1.0～1.1",IF(AO3732&lt;1.3,"1.2",IF(AO3732&lt;1.5,"1.3～1.4",IF(AO3732&lt;2,"1.5～1.9","2.0以上"))))))</f>
        <v/>
      </c>
      <c r="AQ3732" s="8" t="str">
        <f aca="false">IF(A3732="","",IF(ISNUMBER(SEARCH("2歳",Z3732)),"2歳戦",IF(ISNUMBER(SEARCH("3歳未勝利",Z3732)),"3歳未勝利",IF(ISNUMBER(SEARCH("未勝利",Z3732)),"その他未勝利",IF(ISNUMBER(SEARCH("G1",Z3732)),"G1",IF(ISNUMBER(SEARCH("G2",Z3732)),"G2",IF(ISNUMBER(SEARCH("G3",Z3732)),"G3",IF(ISNUMBER(SEARCH("古馬条件",Z3732)),"古馬条件戦",IF(ISNUMBER(SEARCH("重賞",Z3732)),"重賞","分類不能")))))))))</f>
        <v/>
      </c>
    </row>
    <row r="3733" customFormat="false" ht="15.75" hidden="false" customHeight="false" outlineLevel="0" collapsed="false">
      <c r="AO3733" s="8" t="str">
        <f aca="false">IF(A3733="","",IF(COUNTIFS(全馬データ!$A$2:$A$50000,A3733,全馬データ!$B$2:$B$50000,B3733,全馬データ!$C$2:$C$50000,C3733,全馬データ!$D$2:$D$50000,E3733,全馬データ!$K$2:$K$50000,"&lt;&gt;")=0,"",SUMIFS(全馬データ!$K$2:$K$50000,全馬データ!$A$2:$A$50000,A3733,全馬データ!$B$2:$B$50000,B3733,全馬データ!$C$2:$C$50000,C3733,全馬データ!$D$2:$D$50000,E3733)))</f>
        <v/>
      </c>
      <c r="AP3733" s="8" t="str">
        <f aca="false">IF(A3733="","",IF(AO3733="","欠損",IF(AO3733&lt;=1.1,"1.0～1.1",IF(AO3733&lt;1.3,"1.2",IF(AO3733&lt;1.5,"1.3～1.4",IF(AO3733&lt;2,"1.5～1.9","2.0以上"))))))</f>
        <v/>
      </c>
      <c r="AQ3733" s="8" t="str">
        <f aca="false">IF(A3733="","",IF(ISNUMBER(SEARCH("2歳",Z3733)),"2歳戦",IF(ISNUMBER(SEARCH("3歳未勝利",Z3733)),"3歳未勝利",IF(ISNUMBER(SEARCH("未勝利",Z3733)),"その他未勝利",IF(ISNUMBER(SEARCH("G1",Z3733)),"G1",IF(ISNUMBER(SEARCH("G2",Z3733)),"G2",IF(ISNUMBER(SEARCH("G3",Z3733)),"G3",IF(ISNUMBER(SEARCH("古馬条件",Z3733)),"古馬条件戦",IF(ISNUMBER(SEARCH("重賞",Z3733)),"重賞","分類不能")))))))))</f>
        <v/>
      </c>
    </row>
    <row r="3734" customFormat="false" ht="15.75" hidden="false" customHeight="false" outlineLevel="0" collapsed="false">
      <c r="AO3734" s="8" t="str">
        <f aca="false">IF(A3734="","",IF(COUNTIFS(全馬データ!$A$2:$A$50000,A3734,全馬データ!$B$2:$B$50000,B3734,全馬データ!$C$2:$C$50000,C3734,全馬データ!$D$2:$D$50000,E3734,全馬データ!$K$2:$K$50000,"&lt;&gt;")=0,"",SUMIFS(全馬データ!$K$2:$K$50000,全馬データ!$A$2:$A$50000,A3734,全馬データ!$B$2:$B$50000,B3734,全馬データ!$C$2:$C$50000,C3734,全馬データ!$D$2:$D$50000,E3734)))</f>
        <v/>
      </c>
      <c r="AP3734" s="8" t="str">
        <f aca="false">IF(A3734="","",IF(AO3734="","欠損",IF(AO3734&lt;=1.1,"1.0～1.1",IF(AO3734&lt;1.3,"1.2",IF(AO3734&lt;1.5,"1.3～1.4",IF(AO3734&lt;2,"1.5～1.9","2.0以上"))))))</f>
        <v/>
      </c>
      <c r="AQ3734" s="8" t="str">
        <f aca="false">IF(A3734="","",IF(ISNUMBER(SEARCH("2歳",Z3734)),"2歳戦",IF(ISNUMBER(SEARCH("3歳未勝利",Z3734)),"3歳未勝利",IF(ISNUMBER(SEARCH("未勝利",Z3734)),"その他未勝利",IF(ISNUMBER(SEARCH("G1",Z3734)),"G1",IF(ISNUMBER(SEARCH("G2",Z3734)),"G2",IF(ISNUMBER(SEARCH("G3",Z3734)),"G3",IF(ISNUMBER(SEARCH("古馬条件",Z3734)),"古馬条件戦",IF(ISNUMBER(SEARCH("重賞",Z3734)),"重賞","分類不能")))))))))</f>
        <v/>
      </c>
    </row>
    <row r="3735" customFormat="false" ht="15.75" hidden="false" customHeight="false" outlineLevel="0" collapsed="false">
      <c r="AO3735" s="8" t="str">
        <f aca="false">IF(A3735="","",IF(COUNTIFS(全馬データ!$A$2:$A$50000,A3735,全馬データ!$B$2:$B$50000,B3735,全馬データ!$C$2:$C$50000,C3735,全馬データ!$D$2:$D$50000,E3735,全馬データ!$K$2:$K$50000,"&lt;&gt;")=0,"",SUMIFS(全馬データ!$K$2:$K$50000,全馬データ!$A$2:$A$50000,A3735,全馬データ!$B$2:$B$50000,B3735,全馬データ!$C$2:$C$50000,C3735,全馬データ!$D$2:$D$50000,E3735)))</f>
        <v/>
      </c>
      <c r="AP3735" s="8" t="str">
        <f aca="false">IF(A3735="","",IF(AO3735="","欠損",IF(AO3735&lt;=1.1,"1.0～1.1",IF(AO3735&lt;1.3,"1.2",IF(AO3735&lt;1.5,"1.3～1.4",IF(AO3735&lt;2,"1.5～1.9","2.0以上"))))))</f>
        <v/>
      </c>
      <c r="AQ3735" s="8" t="str">
        <f aca="false">IF(A3735="","",IF(ISNUMBER(SEARCH("2歳",Z3735)),"2歳戦",IF(ISNUMBER(SEARCH("3歳未勝利",Z3735)),"3歳未勝利",IF(ISNUMBER(SEARCH("未勝利",Z3735)),"その他未勝利",IF(ISNUMBER(SEARCH("G1",Z3735)),"G1",IF(ISNUMBER(SEARCH("G2",Z3735)),"G2",IF(ISNUMBER(SEARCH("G3",Z3735)),"G3",IF(ISNUMBER(SEARCH("古馬条件",Z3735)),"古馬条件戦",IF(ISNUMBER(SEARCH("重賞",Z3735)),"重賞","分類不能")))))))))</f>
        <v/>
      </c>
    </row>
    <row r="3736" customFormat="false" ht="15.75" hidden="false" customHeight="false" outlineLevel="0" collapsed="false">
      <c r="AO3736" s="8" t="str">
        <f aca="false">IF(A3736="","",IF(COUNTIFS(全馬データ!$A$2:$A$50000,A3736,全馬データ!$B$2:$B$50000,B3736,全馬データ!$C$2:$C$50000,C3736,全馬データ!$D$2:$D$50000,E3736,全馬データ!$K$2:$K$50000,"&lt;&gt;")=0,"",SUMIFS(全馬データ!$K$2:$K$50000,全馬データ!$A$2:$A$50000,A3736,全馬データ!$B$2:$B$50000,B3736,全馬データ!$C$2:$C$50000,C3736,全馬データ!$D$2:$D$50000,E3736)))</f>
        <v/>
      </c>
      <c r="AP3736" s="8" t="str">
        <f aca="false">IF(A3736="","",IF(AO3736="","欠損",IF(AO3736&lt;=1.1,"1.0～1.1",IF(AO3736&lt;1.3,"1.2",IF(AO3736&lt;1.5,"1.3～1.4",IF(AO3736&lt;2,"1.5～1.9","2.0以上"))))))</f>
        <v/>
      </c>
      <c r="AQ3736" s="8" t="str">
        <f aca="false">IF(A3736="","",IF(ISNUMBER(SEARCH("2歳",Z3736)),"2歳戦",IF(ISNUMBER(SEARCH("3歳未勝利",Z3736)),"3歳未勝利",IF(ISNUMBER(SEARCH("未勝利",Z3736)),"その他未勝利",IF(ISNUMBER(SEARCH("G1",Z3736)),"G1",IF(ISNUMBER(SEARCH("G2",Z3736)),"G2",IF(ISNUMBER(SEARCH("G3",Z3736)),"G3",IF(ISNUMBER(SEARCH("古馬条件",Z3736)),"古馬条件戦",IF(ISNUMBER(SEARCH("重賞",Z3736)),"重賞","分類不能")))))))))</f>
        <v/>
      </c>
    </row>
    <row r="3737" customFormat="false" ht="15.75" hidden="false" customHeight="false" outlineLevel="0" collapsed="false">
      <c r="AO3737" s="8" t="str">
        <f aca="false">IF(A3737="","",IF(COUNTIFS(全馬データ!$A$2:$A$50000,A3737,全馬データ!$B$2:$B$50000,B3737,全馬データ!$C$2:$C$50000,C3737,全馬データ!$D$2:$D$50000,E3737,全馬データ!$K$2:$K$50000,"&lt;&gt;")=0,"",SUMIFS(全馬データ!$K$2:$K$50000,全馬データ!$A$2:$A$50000,A3737,全馬データ!$B$2:$B$50000,B3737,全馬データ!$C$2:$C$50000,C3737,全馬データ!$D$2:$D$50000,E3737)))</f>
        <v/>
      </c>
      <c r="AP3737" s="8" t="str">
        <f aca="false">IF(A3737="","",IF(AO3737="","欠損",IF(AO3737&lt;=1.1,"1.0～1.1",IF(AO3737&lt;1.3,"1.2",IF(AO3737&lt;1.5,"1.3～1.4",IF(AO3737&lt;2,"1.5～1.9","2.0以上"))))))</f>
        <v/>
      </c>
      <c r="AQ3737" s="8" t="str">
        <f aca="false">IF(A3737="","",IF(ISNUMBER(SEARCH("2歳",Z3737)),"2歳戦",IF(ISNUMBER(SEARCH("3歳未勝利",Z3737)),"3歳未勝利",IF(ISNUMBER(SEARCH("未勝利",Z3737)),"その他未勝利",IF(ISNUMBER(SEARCH("G1",Z3737)),"G1",IF(ISNUMBER(SEARCH("G2",Z3737)),"G2",IF(ISNUMBER(SEARCH("G3",Z3737)),"G3",IF(ISNUMBER(SEARCH("古馬条件",Z3737)),"古馬条件戦",IF(ISNUMBER(SEARCH("重賞",Z3737)),"重賞","分類不能")))))))))</f>
        <v/>
      </c>
    </row>
    <row r="3738" customFormat="false" ht="15.75" hidden="false" customHeight="false" outlineLevel="0" collapsed="false">
      <c r="AO3738" s="8" t="str">
        <f aca="false">IF(A3738="","",IF(COUNTIFS(全馬データ!$A$2:$A$50000,A3738,全馬データ!$B$2:$B$50000,B3738,全馬データ!$C$2:$C$50000,C3738,全馬データ!$D$2:$D$50000,E3738,全馬データ!$K$2:$K$50000,"&lt;&gt;")=0,"",SUMIFS(全馬データ!$K$2:$K$50000,全馬データ!$A$2:$A$50000,A3738,全馬データ!$B$2:$B$50000,B3738,全馬データ!$C$2:$C$50000,C3738,全馬データ!$D$2:$D$50000,E3738)))</f>
        <v/>
      </c>
      <c r="AP3738" s="8" t="str">
        <f aca="false">IF(A3738="","",IF(AO3738="","欠損",IF(AO3738&lt;=1.1,"1.0～1.1",IF(AO3738&lt;1.3,"1.2",IF(AO3738&lt;1.5,"1.3～1.4",IF(AO3738&lt;2,"1.5～1.9","2.0以上"))))))</f>
        <v/>
      </c>
      <c r="AQ3738" s="8" t="str">
        <f aca="false">IF(A3738="","",IF(ISNUMBER(SEARCH("2歳",Z3738)),"2歳戦",IF(ISNUMBER(SEARCH("3歳未勝利",Z3738)),"3歳未勝利",IF(ISNUMBER(SEARCH("未勝利",Z3738)),"その他未勝利",IF(ISNUMBER(SEARCH("G1",Z3738)),"G1",IF(ISNUMBER(SEARCH("G2",Z3738)),"G2",IF(ISNUMBER(SEARCH("G3",Z3738)),"G3",IF(ISNUMBER(SEARCH("古馬条件",Z3738)),"古馬条件戦",IF(ISNUMBER(SEARCH("重賞",Z3738)),"重賞","分類不能")))))))))</f>
        <v/>
      </c>
    </row>
    <row r="3739" customFormat="false" ht="15.75" hidden="false" customHeight="false" outlineLevel="0" collapsed="false">
      <c r="AO3739" s="8" t="str">
        <f aca="false">IF(A3739="","",IF(COUNTIFS(全馬データ!$A$2:$A$50000,A3739,全馬データ!$B$2:$B$50000,B3739,全馬データ!$C$2:$C$50000,C3739,全馬データ!$D$2:$D$50000,E3739,全馬データ!$K$2:$K$50000,"&lt;&gt;")=0,"",SUMIFS(全馬データ!$K$2:$K$50000,全馬データ!$A$2:$A$50000,A3739,全馬データ!$B$2:$B$50000,B3739,全馬データ!$C$2:$C$50000,C3739,全馬データ!$D$2:$D$50000,E3739)))</f>
        <v/>
      </c>
      <c r="AP3739" s="8" t="str">
        <f aca="false">IF(A3739="","",IF(AO3739="","欠損",IF(AO3739&lt;=1.1,"1.0～1.1",IF(AO3739&lt;1.3,"1.2",IF(AO3739&lt;1.5,"1.3～1.4",IF(AO3739&lt;2,"1.5～1.9","2.0以上"))))))</f>
        <v/>
      </c>
      <c r="AQ3739" s="8" t="str">
        <f aca="false">IF(A3739="","",IF(ISNUMBER(SEARCH("2歳",Z3739)),"2歳戦",IF(ISNUMBER(SEARCH("3歳未勝利",Z3739)),"3歳未勝利",IF(ISNUMBER(SEARCH("未勝利",Z3739)),"その他未勝利",IF(ISNUMBER(SEARCH("G1",Z3739)),"G1",IF(ISNUMBER(SEARCH("G2",Z3739)),"G2",IF(ISNUMBER(SEARCH("G3",Z3739)),"G3",IF(ISNUMBER(SEARCH("古馬条件",Z3739)),"古馬条件戦",IF(ISNUMBER(SEARCH("重賞",Z3739)),"重賞","分類不能")))))))))</f>
        <v/>
      </c>
    </row>
    <row r="3740" customFormat="false" ht="15.75" hidden="false" customHeight="false" outlineLevel="0" collapsed="false">
      <c r="AO3740" s="8" t="str">
        <f aca="false">IF(A3740="","",IF(COUNTIFS(全馬データ!$A$2:$A$50000,A3740,全馬データ!$B$2:$B$50000,B3740,全馬データ!$C$2:$C$50000,C3740,全馬データ!$D$2:$D$50000,E3740,全馬データ!$K$2:$K$50000,"&lt;&gt;")=0,"",SUMIFS(全馬データ!$K$2:$K$50000,全馬データ!$A$2:$A$50000,A3740,全馬データ!$B$2:$B$50000,B3740,全馬データ!$C$2:$C$50000,C3740,全馬データ!$D$2:$D$50000,E3740)))</f>
        <v/>
      </c>
      <c r="AP3740" s="8" t="str">
        <f aca="false">IF(A3740="","",IF(AO3740="","欠損",IF(AO3740&lt;=1.1,"1.0～1.1",IF(AO3740&lt;1.3,"1.2",IF(AO3740&lt;1.5,"1.3～1.4",IF(AO3740&lt;2,"1.5～1.9","2.0以上"))))))</f>
        <v/>
      </c>
      <c r="AQ3740" s="8" t="str">
        <f aca="false">IF(A3740="","",IF(ISNUMBER(SEARCH("2歳",Z3740)),"2歳戦",IF(ISNUMBER(SEARCH("3歳未勝利",Z3740)),"3歳未勝利",IF(ISNUMBER(SEARCH("未勝利",Z3740)),"その他未勝利",IF(ISNUMBER(SEARCH("G1",Z3740)),"G1",IF(ISNUMBER(SEARCH("G2",Z3740)),"G2",IF(ISNUMBER(SEARCH("G3",Z3740)),"G3",IF(ISNUMBER(SEARCH("古馬条件",Z3740)),"古馬条件戦",IF(ISNUMBER(SEARCH("重賞",Z3740)),"重賞","分類不能")))))))))</f>
        <v/>
      </c>
    </row>
    <row r="3741" customFormat="false" ht="15.75" hidden="false" customHeight="false" outlineLevel="0" collapsed="false">
      <c r="AO3741" s="8" t="str">
        <f aca="false">IF(A3741="","",IF(COUNTIFS(全馬データ!$A$2:$A$50000,A3741,全馬データ!$B$2:$B$50000,B3741,全馬データ!$C$2:$C$50000,C3741,全馬データ!$D$2:$D$50000,E3741,全馬データ!$K$2:$K$50000,"&lt;&gt;")=0,"",SUMIFS(全馬データ!$K$2:$K$50000,全馬データ!$A$2:$A$50000,A3741,全馬データ!$B$2:$B$50000,B3741,全馬データ!$C$2:$C$50000,C3741,全馬データ!$D$2:$D$50000,E3741)))</f>
        <v/>
      </c>
      <c r="AP3741" s="8" t="str">
        <f aca="false">IF(A3741="","",IF(AO3741="","欠損",IF(AO3741&lt;=1.1,"1.0～1.1",IF(AO3741&lt;1.3,"1.2",IF(AO3741&lt;1.5,"1.3～1.4",IF(AO3741&lt;2,"1.5～1.9","2.0以上"))))))</f>
        <v/>
      </c>
      <c r="AQ3741" s="8" t="str">
        <f aca="false">IF(A3741="","",IF(ISNUMBER(SEARCH("2歳",Z3741)),"2歳戦",IF(ISNUMBER(SEARCH("3歳未勝利",Z3741)),"3歳未勝利",IF(ISNUMBER(SEARCH("未勝利",Z3741)),"その他未勝利",IF(ISNUMBER(SEARCH("G1",Z3741)),"G1",IF(ISNUMBER(SEARCH("G2",Z3741)),"G2",IF(ISNUMBER(SEARCH("G3",Z3741)),"G3",IF(ISNUMBER(SEARCH("古馬条件",Z3741)),"古馬条件戦",IF(ISNUMBER(SEARCH("重賞",Z3741)),"重賞","分類不能")))))))))</f>
        <v/>
      </c>
    </row>
    <row r="3742" customFormat="false" ht="15.75" hidden="false" customHeight="false" outlineLevel="0" collapsed="false">
      <c r="AO3742" s="8" t="str">
        <f aca="false">IF(A3742="","",IF(COUNTIFS(全馬データ!$A$2:$A$50000,A3742,全馬データ!$B$2:$B$50000,B3742,全馬データ!$C$2:$C$50000,C3742,全馬データ!$D$2:$D$50000,E3742,全馬データ!$K$2:$K$50000,"&lt;&gt;")=0,"",SUMIFS(全馬データ!$K$2:$K$50000,全馬データ!$A$2:$A$50000,A3742,全馬データ!$B$2:$B$50000,B3742,全馬データ!$C$2:$C$50000,C3742,全馬データ!$D$2:$D$50000,E3742)))</f>
        <v/>
      </c>
      <c r="AP3742" s="8" t="str">
        <f aca="false">IF(A3742="","",IF(AO3742="","欠損",IF(AO3742&lt;=1.1,"1.0～1.1",IF(AO3742&lt;1.3,"1.2",IF(AO3742&lt;1.5,"1.3～1.4",IF(AO3742&lt;2,"1.5～1.9","2.0以上"))))))</f>
        <v/>
      </c>
      <c r="AQ3742" s="8" t="str">
        <f aca="false">IF(A3742="","",IF(ISNUMBER(SEARCH("2歳",Z3742)),"2歳戦",IF(ISNUMBER(SEARCH("3歳未勝利",Z3742)),"3歳未勝利",IF(ISNUMBER(SEARCH("未勝利",Z3742)),"その他未勝利",IF(ISNUMBER(SEARCH("G1",Z3742)),"G1",IF(ISNUMBER(SEARCH("G2",Z3742)),"G2",IF(ISNUMBER(SEARCH("G3",Z3742)),"G3",IF(ISNUMBER(SEARCH("古馬条件",Z3742)),"古馬条件戦",IF(ISNUMBER(SEARCH("重賞",Z3742)),"重賞","分類不能")))))))))</f>
        <v/>
      </c>
    </row>
    <row r="3743" customFormat="false" ht="15.75" hidden="false" customHeight="false" outlineLevel="0" collapsed="false">
      <c r="AO3743" s="8" t="str">
        <f aca="false">IF(A3743="","",IF(COUNTIFS(全馬データ!$A$2:$A$50000,A3743,全馬データ!$B$2:$B$50000,B3743,全馬データ!$C$2:$C$50000,C3743,全馬データ!$D$2:$D$50000,E3743,全馬データ!$K$2:$K$50000,"&lt;&gt;")=0,"",SUMIFS(全馬データ!$K$2:$K$50000,全馬データ!$A$2:$A$50000,A3743,全馬データ!$B$2:$B$50000,B3743,全馬データ!$C$2:$C$50000,C3743,全馬データ!$D$2:$D$50000,E3743)))</f>
        <v/>
      </c>
      <c r="AP3743" s="8" t="str">
        <f aca="false">IF(A3743="","",IF(AO3743="","欠損",IF(AO3743&lt;=1.1,"1.0～1.1",IF(AO3743&lt;1.3,"1.2",IF(AO3743&lt;1.5,"1.3～1.4",IF(AO3743&lt;2,"1.5～1.9","2.0以上"))))))</f>
        <v/>
      </c>
      <c r="AQ3743" s="8" t="str">
        <f aca="false">IF(A3743="","",IF(ISNUMBER(SEARCH("2歳",Z3743)),"2歳戦",IF(ISNUMBER(SEARCH("3歳未勝利",Z3743)),"3歳未勝利",IF(ISNUMBER(SEARCH("未勝利",Z3743)),"その他未勝利",IF(ISNUMBER(SEARCH("G1",Z3743)),"G1",IF(ISNUMBER(SEARCH("G2",Z3743)),"G2",IF(ISNUMBER(SEARCH("G3",Z3743)),"G3",IF(ISNUMBER(SEARCH("古馬条件",Z3743)),"古馬条件戦",IF(ISNUMBER(SEARCH("重賞",Z3743)),"重賞","分類不能")))))))))</f>
        <v/>
      </c>
    </row>
    <row r="3744" customFormat="false" ht="15.75" hidden="false" customHeight="false" outlineLevel="0" collapsed="false">
      <c r="AO3744" s="8" t="str">
        <f aca="false">IF(A3744="","",IF(COUNTIFS(全馬データ!$A$2:$A$50000,A3744,全馬データ!$B$2:$B$50000,B3744,全馬データ!$C$2:$C$50000,C3744,全馬データ!$D$2:$D$50000,E3744,全馬データ!$K$2:$K$50000,"&lt;&gt;")=0,"",SUMIFS(全馬データ!$K$2:$K$50000,全馬データ!$A$2:$A$50000,A3744,全馬データ!$B$2:$B$50000,B3744,全馬データ!$C$2:$C$50000,C3744,全馬データ!$D$2:$D$50000,E3744)))</f>
        <v/>
      </c>
      <c r="AP3744" s="8" t="str">
        <f aca="false">IF(A3744="","",IF(AO3744="","欠損",IF(AO3744&lt;=1.1,"1.0～1.1",IF(AO3744&lt;1.3,"1.2",IF(AO3744&lt;1.5,"1.3～1.4",IF(AO3744&lt;2,"1.5～1.9","2.0以上"))))))</f>
        <v/>
      </c>
      <c r="AQ3744" s="8" t="str">
        <f aca="false">IF(A3744="","",IF(ISNUMBER(SEARCH("2歳",Z3744)),"2歳戦",IF(ISNUMBER(SEARCH("3歳未勝利",Z3744)),"3歳未勝利",IF(ISNUMBER(SEARCH("未勝利",Z3744)),"その他未勝利",IF(ISNUMBER(SEARCH("G1",Z3744)),"G1",IF(ISNUMBER(SEARCH("G2",Z3744)),"G2",IF(ISNUMBER(SEARCH("G3",Z3744)),"G3",IF(ISNUMBER(SEARCH("古馬条件",Z3744)),"古馬条件戦",IF(ISNUMBER(SEARCH("重賞",Z3744)),"重賞","分類不能")))))))))</f>
        <v/>
      </c>
    </row>
    <row r="3745" customFormat="false" ht="15.75" hidden="false" customHeight="false" outlineLevel="0" collapsed="false">
      <c r="AO3745" s="8" t="str">
        <f aca="false">IF(A3745="","",IF(COUNTIFS(全馬データ!$A$2:$A$50000,A3745,全馬データ!$B$2:$B$50000,B3745,全馬データ!$C$2:$C$50000,C3745,全馬データ!$D$2:$D$50000,E3745,全馬データ!$K$2:$K$50000,"&lt;&gt;")=0,"",SUMIFS(全馬データ!$K$2:$K$50000,全馬データ!$A$2:$A$50000,A3745,全馬データ!$B$2:$B$50000,B3745,全馬データ!$C$2:$C$50000,C3745,全馬データ!$D$2:$D$50000,E3745)))</f>
        <v/>
      </c>
      <c r="AP3745" s="8" t="str">
        <f aca="false">IF(A3745="","",IF(AO3745="","欠損",IF(AO3745&lt;=1.1,"1.0～1.1",IF(AO3745&lt;1.3,"1.2",IF(AO3745&lt;1.5,"1.3～1.4",IF(AO3745&lt;2,"1.5～1.9","2.0以上"))))))</f>
        <v/>
      </c>
      <c r="AQ3745" s="8" t="str">
        <f aca="false">IF(A3745="","",IF(ISNUMBER(SEARCH("2歳",Z3745)),"2歳戦",IF(ISNUMBER(SEARCH("3歳未勝利",Z3745)),"3歳未勝利",IF(ISNUMBER(SEARCH("未勝利",Z3745)),"その他未勝利",IF(ISNUMBER(SEARCH("G1",Z3745)),"G1",IF(ISNUMBER(SEARCH("G2",Z3745)),"G2",IF(ISNUMBER(SEARCH("G3",Z3745)),"G3",IF(ISNUMBER(SEARCH("古馬条件",Z3745)),"古馬条件戦",IF(ISNUMBER(SEARCH("重賞",Z3745)),"重賞","分類不能")))))))))</f>
        <v/>
      </c>
    </row>
    <row r="3746" customFormat="false" ht="15.75" hidden="false" customHeight="false" outlineLevel="0" collapsed="false">
      <c r="AO3746" s="8" t="str">
        <f aca="false">IF(A3746="","",IF(COUNTIFS(全馬データ!$A$2:$A$50000,A3746,全馬データ!$B$2:$B$50000,B3746,全馬データ!$C$2:$C$50000,C3746,全馬データ!$D$2:$D$50000,E3746,全馬データ!$K$2:$K$50000,"&lt;&gt;")=0,"",SUMIFS(全馬データ!$K$2:$K$50000,全馬データ!$A$2:$A$50000,A3746,全馬データ!$B$2:$B$50000,B3746,全馬データ!$C$2:$C$50000,C3746,全馬データ!$D$2:$D$50000,E3746)))</f>
        <v/>
      </c>
      <c r="AP3746" s="8" t="str">
        <f aca="false">IF(A3746="","",IF(AO3746="","欠損",IF(AO3746&lt;=1.1,"1.0～1.1",IF(AO3746&lt;1.3,"1.2",IF(AO3746&lt;1.5,"1.3～1.4",IF(AO3746&lt;2,"1.5～1.9","2.0以上"))))))</f>
        <v/>
      </c>
      <c r="AQ3746" s="8" t="str">
        <f aca="false">IF(A3746="","",IF(ISNUMBER(SEARCH("2歳",Z3746)),"2歳戦",IF(ISNUMBER(SEARCH("3歳未勝利",Z3746)),"3歳未勝利",IF(ISNUMBER(SEARCH("未勝利",Z3746)),"その他未勝利",IF(ISNUMBER(SEARCH("G1",Z3746)),"G1",IF(ISNUMBER(SEARCH("G2",Z3746)),"G2",IF(ISNUMBER(SEARCH("G3",Z3746)),"G3",IF(ISNUMBER(SEARCH("古馬条件",Z3746)),"古馬条件戦",IF(ISNUMBER(SEARCH("重賞",Z3746)),"重賞","分類不能")))))))))</f>
        <v/>
      </c>
    </row>
    <row r="3747" customFormat="false" ht="15.75" hidden="false" customHeight="false" outlineLevel="0" collapsed="false">
      <c r="AO3747" s="8" t="str">
        <f aca="false">IF(A3747="","",IF(COUNTIFS(全馬データ!$A$2:$A$50000,A3747,全馬データ!$B$2:$B$50000,B3747,全馬データ!$C$2:$C$50000,C3747,全馬データ!$D$2:$D$50000,E3747,全馬データ!$K$2:$K$50000,"&lt;&gt;")=0,"",SUMIFS(全馬データ!$K$2:$K$50000,全馬データ!$A$2:$A$50000,A3747,全馬データ!$B$2:$B$50000,B3747,全馬データ!$C$2:$C$50000,C3747,全馬データ!$D$2:$D$50000,E3747)))</f>
        <v/>
      </c>
      <c r="AP3747" s="8" t="str">
        <f aca="false">IF(A3747="","",IF(AO3747="","欠損",IF(AO3747&lt;=1.1,"1.0～1.1",IF(AO3747&lt;1.3,"1.2",IF(AO3747&lt;1.5,"1.3～1.4",IF(AO3747&lt;2,"1.5～1.9","2.0以上"))))))</f>
        <v/>
      </c>
      <c r="AQ3747" s="8" t="str">
        <f aca="false">IF(A3747="","",IF(ISNUMBER(SEARCH("2歳",Z3747)),"2歳戦",IF(ISNUMBER(SEARCH("3歳未勝利",Z3747)),"3歳未勝利",IF(ISNUMBER(SEARCH("未勝利",Z3747)),"その他未勝利",IF(ISNUMBER(SEARCH("G1",Z3747)),"G1",IF(ISNUMBER(SEARCH("G2",Z3747)),"G2",IF(ISNUMBER(SEARCH("G3",Z3747)),"G3",IF(ISNUMBER(SEARCH("古馬条件",Z3747)),"古馬条件戦",IF(ISNUMBER(SEARCH("重賞",Z3747)),"重賞","分類不能")))))))))</f>
        <v/>
      </c>
    </row>
    <row r="3748" customFormat="false" ht="15.75" hidden="false" customHeight="false" outlineLevel="0" collapsed="false">
      <c r="AO3748" s="8" t="str">
        <f aca="false">IF(A3748="","",IF(COUNTIFS(全馬データ!$A$2:$A$50000,A3748,全馬データ!$B$2:$B$50000,B3748,全馬データ!$C$2:$C$50000,C3748,全馬データ!$D$2:$D$50000,E3748,全馬データ!$K$2:$K$50000,"&lt;&gt;")=0,"",SUMIFS(全馬データ!$K$2:$K$50000,全馬データ!$A$2:$A$50000,A3748,全馬データ!$B$2:$B$50000,B3748,全馬データ!$C$2:$C$50000,C3748,全馬データ!$D$2:$D$50000,E3748)))</f>
        <v/>
      </c>
      <c r="AP3748" s="8" t="str">
        <f aca="false">IF(A3748="","",IF(AO3748="","欠損",IF(AO3748&lt;=1.1,"1.0～1.1",IF(AO3748&lt;1.3,"1.2",IF(AO3748&lt;1.5,"1.3～1.4",IF(AO3748&lt;2,"1.5～1.9","2.0以上"))))))</f>
        <v/>
      </c>
      <c r="AQ3748" s="8" t="str">
        <f aca="false">IF(A3748="","",IF(ISNUMBER(SEARCH("2歳",Z3748)),"2歳戦",IF(ISNUMBER(SEARCH("3歳未勝利",Z3748)),"3歳未勝利",IF(ISNUMBER(SEARCH("未勝利",Z3748)),"その他未勝利",IF(ISNUMBER(SEARCH("G1",Z3748)),"G1",IF(ISNUMBER(SEARCH("G2",Z3748)),"G2",IF(ISNUMBER(SEARCH("G3",Z3748)),"G3",IF(ISNUMBER(SEARCH("古馬条件",Z3748)),"古馬条件戦",IF(ISNUMBER(SEARCH("重賞",Z3748)),"重賞","分類不能")))))))))</f>
        <v/>
      </c>
    </row>
    <row r="3749" customFormat="false" ht="15.75" hidden="false" customHeight="false" outlineLevel="0" collapsed="false">
      <c r="AO3749" s="8" t="str">
        <f aca="false">IF(A3749="","",IF(COUNTIFS(全馬データ!$A$2:$A$50000,A3749,全馬データ!$B$2:$B$50000,B3749,全馬データ!$C$2:$C$50000,C3749,全馬データ!$D$2:$D$50000,E3749,全馬データ!$K$2:$K$50000,"&lt;&gt;")=0,"",SUMIFS(全馬データ!$K$2:$K$50000,全馬データ!$A$2:$A$50000,A3749,全馬データ!$B$2:$B$50000,B3749,全馬データ!$C$2:$C$50000,C3749,全馬データ!$D$2:$D$50000,E3749)))</f>
        <v/>
      </c>
      <c r="AP3749" s="8" t="str">
        <f aca="false">IF(A3749="","",IF(AO3749="","欠損",IF(AO3749&lt;=1.1,"1.0～1.1",IF(AO3749&lt;1.3,"1.2",IF(AO3749&lt;1.5,"1.3～1.4",IF(AO3749&lt;2,"1.5～1.9","2.0以上"))))))</f>
        <v/>
      </c>
      <c r="AQ3749" s="8" t="str">
        <f aca="false">IF(A3749="","",IF(ISNUMBER(SEARCH("2歳",Z3749)),"2歳戦",IF(ISNUMBER(SEARCH("3歳未勝利",Z3749)),"3歳未勝利",IF(ISNUMBER(SEARCH("未勝利",Z3749)),"その他未勝利",IF(ISNUMBER(SEARCH("G1",Z3749)),"G1",IF(ISNUMBER(SEARCH("G2",Z3749)),"G2",IF(ISNUMBER(SEARCH("G3",Z3749)),"G3",IF(ISNUMBER(SEARCH("古馬条件",Z3749)),"古馬条件戦",IF(ISNUMBER(SEARCH("重賞",Z3749)),"重賞","分類不能")))))))))</f>
        <v/>
      </c>
    </row>
    <row r="3750" customFormat="false" ht="15.75" hidden="false" customHeight="false" outlineLevel="0" collapsed="false">
      <c r="AO3750" s="8" t="str">
        <f aca="false">IF(A3750="","",IF(COUNTIFS(全馬データ!$A$2:$A$50000,A3750,全馬データ!$B$2:$B$50000,B3750,全馬データ!$C$2:$C$50000,C3750,全馬データ!$D$2:$D$50000,E3750,全馬データ!$K$2:$K$50000,"&lt;&gt;")=0,"",SUMIFS(全馬データ!$K$2:$K$50000,全馬データ!$A$2:$A$50000,A3750,全馬データ!$B$2:$B$50000,B3750,全馬データ!$C$2:$C$50000,C3750,全馬データ!$D$2:$D$50000,E3750)))</f>
        <v/>
      </c>
      <c r="AP3750" s="8" t="str">
        <f aca="false">IF(A3750="","",IF(AO3750="","欠損",IF(AO3750&lt;=1.1,"1.0～1.1",IF(AO3750&lt;1.3,"1.2",IF(AO3750&lt;1.5,"1.3～1.4",IF(AO3750&lt;2,"1.5～1.9","2.0以上"))))))</f>
        <v/>
      </c>
      <c r="AQ3750" s="8" t="str">
        <f aca="false">IF(A3750="","",IF(ISNUMBER(SEARCH("2歳",Z3750)),"2歳戦",IF(ISNUMBER(SEARCH("3歳未勝利",Z3750)),"3歳未勝利",IF(ISNUMBER(SEARCH("未勝利",Z3750)),"その他未勝利",IF(ISNUMBER(SEARCH("G1",Z3750)),"G1",IF(ISNUMBER(SEARCH("G2",Z3750)),"G2",IF(ISNUMBER(SEARCH("G3",Z3750)),"G3",IF(ISNUMBER(SEARCH("古馬条件",Z3750)),"古馬条件戦",IF(ISNUMBER(SEARCH("重賞",Z3750)),"重賞","分類不能")))))))))</f>
        <v/>
      </c>
    </row>
    <row r="3751" customFormat="false" ht="15.75" hidden="false" customHeight="false" outlineLevel="0" collapsed="false">
      <c r="AO3751" s="8" t="str">
        <f aca="false">IF(A3751="","",IF(COUNTIFS(全馬データ!$A$2:$A$50000,A3751,全馬データ!$B$2:$B$50000,B3751,全馬データ!$C$2:$C$50000,C3751,全馬データ!$D$2:$D$50000,E3751,全馬データ!$K$2:$K$50000,"&lt;&gt;")=0,"",SUMIFS(全馬データ!$K$2:$K$50000,全馬データ!$A$2:$A$50000,A3751,全馬データ!$B$2:$B$50000,B3751,全馬データ!$C$2:$C$50000,C3751,全馬データ!$D$2:$D$50000,E3751)))</f>
        <v/>
      </c>
      <c r="AP3751" s="8" t="str">
        <f aca="false">IF(A3751="","",IF(AO3751="","欠損",IF(AO3751&lt;=1.1,"1.0～1.1",IF(AO3751&lt;1.3,"1.2",IF(AO3751&lt;1.5,"1.3～1.4",IF(AO3751&lt;2,"1.5～1.9","2.0以上"))))))</f>
        <v/>
      </c>
      <c r="AQ3751" s="8" t="str">
        <f aca="false">IF(A3751="","",IF(ISNUMBER(SEARCH("2歳",Z3751)),"2歳戦",IF(ISNUMBER(SEARCH("3歳未勝利",Z3751)),"3歳未勝利",IF(ISNUMBER(SEARCH("未勝利",Z3751)),"その他未勝利",IF(ISNUMBER(SEARCH("G1",Z3751)),"G1",IF(ISNUMBER(SEARCH("G2",Z3751)),"G2",IF(ISNUMBER(SEARCH("G3",Z3751)),"G3",IF(ISNUMBER(SEARCH("古馬条件",Z3751)),"古馬条件戦",IF(ISNUMBER(SEARCH("重賞",Z3751)),"重賞","分類不能")))))))))</f>
        <v/>
      </c>
    </row>
    <row r="3752" customFormat="false" ht="15.75" hidden="false" customHeight="false" outlineLevel="0" collapsed="false">
      <c r="AO3752" s="8" t="str">
        <f aca="false">IF(A3752="","",IF(COUNTIFS(全馬データ!$A$2:$A$50000,A3752,全馬データ!$B$2:$B$50000,B3752,全馬データ!$C$2:$C$50000,C3752,全馬データ!$D$2:$D$50000,E3752,全馬データ!$K$2:$K$50000,"&lt;&gt;")=0,"",SUMIFS(全馬データ!$K$2:$K$50000,全馬データ!$A$2:$A$50000,A3752,全馬データ!$B$2:$B$50000,B3752,全馬データ!$C$2:$C$50000,C3752,全馬データ!$D$2:$D$50000,E3752)))</f>
        <v/>
      </c>
      <c r="AP3752" s="8" t="str">
        <f aca="false">IF(A3752="","",IF(AO3752="","欠損",IF(AO3752&lt;=1.1,"1.0～1.1",IF(AO3752&lt;1.3,"1.2",IF(AO3752&lt;1.5,"1.3～1.4",IF(AO3752&lt;2,"1.5～1.9","2.0以上"))))))</f>
        <v/>
      </c>
      <c r="AQ3752" s="8" t="str">
        <f aca="false">IF(A3752="","",IF(ISNUMBER(SEARCH("2歳",Z3752)),"2歳戦",IF(ISNUMBER(SEARCH("3歳未勝利",Z3752)),"3歳未勝利",IF(ISNUMBER(SEARCH("未勝利",Z3752)),"その他未勝利",IF(ISNUMBER(SEARCH("G1",Z3752)),"G1",IF(ISNUMBER(SEARCH("G2",Z3752)),"G2",IF(ISNUMBER(SEARCH("G3",Z3752)),"G3",IF(ISNUMBER(SEARCH("古馬条件",Z3752)),"古馬条件戦",IF(ISNUMBER(SEARCH("重賞",Z3752)),"重賞","分類不能")))))))))</f>
        <v/>
      </c>
    </row>
    <row r="3753" customFormat="false" ht="15.75" hidden="false" customHeight="false" outlineLevel="0" collapsed="false">
      <c r="AO3753" s="8" t="str">
        <f aca="false">IF(A3753="","",IF(COUNTIFS(全馬データ!$A$2:$A$50000,A3753,全馬データ!$B$2:$B$50000,B3753,全馬データ!$C$2:$C$50000,C3753,全馬データ!$D$2:$D$50000,E3753,全馬データ!$K$2:$K$50000,"&lt;&gt;")=0,"",SUMIFS(全馬データ!$K$2:$K$50000,全馬データ!$A$2:$A$50000,A3753,全馬データ!$B$2:$B$50000,B3753,全馬データ!$C$2:$C$50000,C3753,全馬データ!$D$2:$D$50000,E3753)))</f>
        <v/>
      </c>
      <c r="AP3753" s="8" t="str">
        <f aca="false">IF(A3753="","",IF(AO3753="","欠損",IF(AO3753&lt;=1.1,"1.0～1.1",IF(AO3753&lt;1.3,"1.2",IF(AO3753&lt;1.5,"1.3～1.4",IF(AO3753&lt;2,"1.5～1.9","2.0以上"))))))</f>
        <v/>
      </c>
      <c r="AQ3753" s="8" t="str">
        <f aca="false">IF(A3753="","",IF(ISNUMBER(SEARCH("2歳",Z3753)),"2歳戦",IF(ISNUMBER(SEARCH("3歳未勝利",Z3753)),"3歳未勝利",IF(ISNUMBER(SEARCH("未勝利",Z3753)),"その他未勝利",IF(ISNUMBER(SEARCH("G1",Z3753)),"G1",IF(ISNUMBER(SEARCH("G2",Z3753)),"G2",IF(ISNUMBER(SEARCH("G3",Z3753)),"G3",IF(ISNUMBER(SEARCH("古馬条件",Z3753)),"古馬条件戦",IF(ISNUMBER(SEARCH("重賞",Z3753)),"重賞","分類不能")))))))))</f>
        <v/>
      </c>
    </row>
    <row r="3754" customFormat="false" ht="15.75" hidden="false" customHeight="false" outlineLevel="0" collapsed="false">
      <c r="AO3754" s="8" t="str">
        <f aca="false">IF(A3754="","",IF(COUNTIFS(全馬データ!$A$2:$A$50000,A3754,全馬データ!$B$2:$B$50000,B3754,全馬データ!$C$2:$C$50000,C3754,全馬データ!$D$2:$D$50000,E3754,全馬データ!$K$2:$K$50000,"&lt;&gt;")=0,"",SUMIFS(全馬データ!$K$2:$K$50000,全馬データ!$A$2:$A$50000,A3754,全馬データ!$B$2:$B$50000,B3754,全馬データ!$C$2:$C$50000,C3754,全馬データ!$D$2:$D$50000,E3754)))</f>
        <v/>
      </c>
      <c r="AP3754" s="8" t="str">
        <f aca="false">IF(A3754="","",IF(AO3754="","欠損",IF(AO3754&lt;=1.1,"1.0～1.1",IF(AO3754&lt;1.3,"1.2",IF(AO3754&lt;1.5,"1.3～1.4",IF(AO3754&lt;2,"1.5～1.9","2.0以上"))))))</f>
        <v/>
      </c>
      <c r="AQ3754" s="8" t="str">
        <f aca="false">IF(A3754="","",IF(ISNUMBER(SEARCH("2歳",Z3754)),"2歳戦",IF(ISNUMBER(SEARCH("3歳未勝利",Z3754)),"3歳未勝利",IF(ISNUMBER(SEARCH("未勝利",Z3754)),"その他未勝利",IF(ISNUMBER(SEARCH("G1",Z3754)),"G1",IF(ISNUMBER(SEARCH("G2",Z3754)),"G2",IF(ISNUMBER(SEARCH("G3",Z3754)),"G3",IF(ISNUMBER(SEARCH("古馬条件",Z3754)),"古馬条件戦",IF(ISNUMBER(SEARCH("重賞",Z3754)),"重賞","分類不能")))))))))</f>
        <v/>
      </c>
    </row>
    <row r="3755" customFormat="false" ht="15.75" hidden="false" customHeight="false" outlineLevel="0" collapsed="false">
      <c r="AO3755" s="8" t="str">
        <f aca="false">IF(A3755="","",IF(COUNTIFS(全馬データ!$A$2:$A$50000,A3755,全馬データ!$B$2:$B$50000,B3755,全馬データ!$C$2:$C$50000,C3755,全馬データ!$D$2:$D$50000,E3755,全馬データ!$K$2:$K$50000,"&lt;&gt;")=0,"",SUMIFS(全馬データ!$K$2:$K$50000,全馬データ!$A$2:$A$50000,A3755,全馬データ!$B$2:$B$50000,B3755,全馬データ!$C$2:$C$50000,C3755,全馬データ!$D$2:$D$50000,E3755)))</f>
        <v/>
      </c>
      <c r="AP3755" s="8" t="str">
        <f aca="false">IF(A3755="","",IF(AO3755="","欠損",IF(AO3755&lt;=1.1,"1.0～1.1",IF(AO3755&lt;1.3,"1.2",IF(AO3755&lt;1.5,"1.3～1.4",IF(AO3755&lt;2,"1.5～1.9","2.0以上"))))))</f>
        <v/>
      </c>
      <c r="AQ3755" s="8" t="str">
        <f aca="false">IF(A3755="","",IF(ISNUMBER(SEARCH("2歳",Z3755)),"2歳戦",IF(ISNUMBER(SEARCH("3歳未勝利",Z3755)),"3歳未勝利",IF(ISNUMBER(SEARCH("未勝利",Z3755)),"その他未勝利",IF(ISNUMBER(SEARCH("G1",Z3755)),"G1",IF(ISNUMBER(SEARCH("G2",Z3755)),"G2",IF(ISNUMBER(SEARCH("G3",Z3755)),"G3",IF(ISNUMBER(SEARCH("古馬条件",Z3755)),"古馬条件戦",IF(ISNUMBER(SEARCH("重賞",Z3755)),"重賞","分類不能")))))))))</f>
        <v/>
      </c>
    </row>
    <row r="3756" customFormat="false" ht="15.75" hidden="false" customHeight="false" outlineLevel="0" collapsed="false">
      <c r="AO3756" s="8" t="str">
        <f aca="false">IF(A3756="","",IF(COUNTIFS(全馬データ!$A$2:$A$50000,A3756,全馬データ!$B$2:$B$50000,B3756,全馬データ!$C$2:$C$50000,C3756,全馬データ!$D$2:$D$50000,E3756,全馬データ!$K$2:$K$50000,"&lt;&gt;")=0,"",SUMIFS(全馬データ!$K$2:$K$50000,全馬データ!$A$2:$A$50000,A3756,全馬データ!$B$2:$B$50000,B3756,全馬データ!$C$2:$C$50000,C3756,全馬データ!$D$2:$D$50000,E3756)))</f>
        <v/>
      </c>
      <c r="AP3756" s="8" t="str">
        <f aca="false">IF(A3756="","",IF(AO3756="","欠損",IF(AO3756&lt;=1.1,"1.0～1.1",IF(AO3756&lt;1.3,"1.2",IF(AO3756&lt;1.5,"1.3～1.4",IF(AO3756&lt;2,"1.5～1.9","2.0以上"))))))</f>
        <v/>
      </c>
      <c r="AQ3756" s="8" t="str">
        <f aca="false">IF(A3756="","",IF(ISNUMBER(SEARCH("2歳",Z3756)),"2歳戦",IF(ISNUMBER(SEARCH("3歳未勝利",Z3756)),"3歳未勝利",IF(ISNUMBER(SEARCH("未勝利",Z3756)),"その他未勝利",IF(ISNUMBER(SEARCH("G1",Z3756)),"G1",IF(ISNUMBER(SEARCH("G2",Z3756)),"G2",IF(ISNUMBER(SEARCH("G3",Z3756)),"G3",IF(ISNUMBER(SEARCH("古馬条件",Z3756)),"古馬条件戦",IF(ISNUMBER(SEARCH("重賞",Z3756)),"重賞","分類不能")))))))))</f>
        <v/>
      </c>
    </row>
    <row r="3757" customFormat="false" ht="15.75" hidden="false" customHeight="false" outlineLevel="0" collapsed="false">
      <c r="AO3757" s="8" t="str">
        <f aca="false">IF(A3757="","",IF(COUNTIFS(全馬データ!$A$2:$A$50000,A3757,全馬データ!$B$2:$B$50000,B3757,全馬データ!$C$2:$C$50000,C3757,全馬データ!$D$2:$D$50000,E3757,全馬データ!$K$2:$K$50000,"&lt;&gt;")=0,"",SUMIFS(全馬データ!$K$2:$K$50000,全馬データ!$A$2:$A$50000,A3757,全馬データ!$B$2:$B$50000,B3757,全馬データ!$C$2:$C$50000,C3757,全馬データ!$D$2:$D$50000,E3757)))</f>
        <v/>
      </c>
      <c r="AP3757" s="8" t="str">
        <f aca="false">IF(A3757="","",IF(AO3757="","欠損",IF(AO3757&lt;=1.1,"1.0～1.1",IF(AO3757&lt;1.3,"1.2",IF(AO3757&lt;1.5,"1.3～1.4",IF(AO3757&lt;2,"1.5～1.9","2.0以上"))))))</f>
        <v/>
      </c>
      <c r="AQ3757" s="8" t="str">
        <f aca="false">IF(A3757="","",IF(ISNUMBER(SEARCH("2歳",Z3757)),"2歳戦",IF(ISNUMBER(SEARCH("3歳未勝利",Z3757)),"3歳未勝利",IF(ISNUMBER(SEARCH("未勝利",Z3757)),"その他未勝利",IF(ISNUMBER(SEARCH("G1",Z3757)),"G1",IF(ISNUMBER(SEARCH("G2",Z3757)),"G2",IF(ISNUMBER(SEARCH("G3",Z3757)),"G3",IF(ISNUMBER(SEARCH("古馬条件",Z3757)),"古馬条件戦",IF(ISNUMBER(SEARCH("重賞",Z3757)),"重賞","分類不能")))))))))</f>
        <v/>
      </c>
    </row>
    <row r="3758" customFormat="false" ht="15.75" hidden="false" customHeight="false" outlineLevel="0" collapsed="false">
      <c r="AO3758" s="8" t="str">
        <f aca="false">IF(A3758="","",IF(COUNTIFS(全馬データ!$A$2:$A$50000,A3758,全馬データ!$B$2:$B$50000,B3758,全馬データ!$C$2:$C$50000,C3758,全馬データ!$D$2:$D$50000,E3758,全馬データ!$K$2:$K$50000,"&lt;&gt;")=0,"",SUMIFS(全馬データ!$K$2:$K$50000,全馬データ!$A$2:$A$50000,A3758,全馬データ!$B$2:$B$50000,B3758,全馬データ!$C$2:$C$50000,C3758,全馬データ!$D$2:$D$50000,E3758)))</f>
        <v/>
      </c>
      <c r="AP3758" s="8" t="str">
        <f aca="false">IF(A3758="","",IF(AO3758="","欠損",IF(AO3758&lt;=1.1,"1.0～1.1",IF(AO3758&lt;1.3,"1.2",IF(AO3758&lt;1.5,"1.3～1.4",IF(AO3758&lt;2,"1.5～1.9","2.0以上"))))))</f>
        <v/>
      </c>
      <c r="AQ3758" s="8" t="str">
        <f aca="false">IF(A3758="","",IF(ISNUMBER(SEARCH("2歳",Z3758)),"2歳戦",IF(ISNUMBER(SEARCH("3歳未勝利",Z3758)),"3歳未勝利",IF(ISNUMBER(SEARCH("未勝利",Z3758)),"その他未勝利",IF(ISNUMBER(SEARCH("G1",Z3758)),"G1",IF(ISNUMBER(SEARCH("G2",Z3758)),"G2",IF(ISNUMBER(SEARCH("G3",Z3758)),"G3",IF(ISNUMBER(SEARCH("古馬条件",Z3758)),"古馬条件戦",IF(ISNUMBER(SEARCH("重賞",Z3758)),"重賞","分類不能")))))))))</f>
        <v/>
      </c>
    </row>
    <row r="3759" customFormat="false" ht="15.75" hidden="false" customHeight="false" outlineLevel="0" collapsed="false">
      <c r="AO3759" s="8" t="str">
        <f aca="false">IF(A3759="","",IF(COUNTIFS(全馬データ!$A$2:$A$50000,A3759,全馬データ!$B$2:$B$50000,B3759,全馬データ!$C$2:$C$50000,C3759,全馬データ!$D$2:$D$50000,E3759,全馬データ!$K$2:$K$50000,"&lt;&gt;")=0,"",SUMIFS(全馬データ!$K$2:$K$50000,全馬データ!$A$2:$A$50000,A3759,全馬データ!$B$2:$B$50000,B3759,全馬データ!$C$2:$C$50000,C3759,全馬データ!$D$2:$D$50000,E3759)))</f>
        <v/>
      </c>
      <c r="AP3759" s="8" t="str">
        <f aca="false">IF(A3759="","",IF(AO3759="","欠損",IF(AO3759&lt;=1.1,"1.0～1.1",IF(AO3759&lt;1.3,"1.2",IF(AO3759&lt;1.5,"1.3～1.4",IF(AO3759&lt;2,"1.5～1.9","2.0以上"))))))</f>
        <v/>
      </c>
      <c r="AQ3759" s="8" t="str">
        <f aca="false">IF(A3759="","",IF(ISNUMBER(SEARCH("2歳",Z3759)),"2歳戦",IF(ISNUMBER(SEARCH("3歳未勝利",Z3759)),"3歳未勝利",IF(ISNUMBER(SEARCH("未勝利",Z3759)),"その他未勝利",IF(ISNUMBER(SEARCH("G1",Z3759)),"G1",IF(ISNUMBER(SEARCH("G2",Z3759)),"G2",IF(ISNUMBER(SEARCH("G3",Z3759)),"G3",IF(ISNUMBER(SEARCH("古馬条件",Z3759)),"古馬条件戦",IF(ISNUMBER(SEARCH("重賞",Z3759)),"重賞","分類不能")))))))))</f>
        <v/>
      </c>
    </row>
    <row r="3760" customFormat="false" ht="15.75" hidden="false" customHeight="false" outlineLevel="0" collapsed="false">
      <c r="AO3760" s="8" t="str">
        <f aca="false">IF(A3760="","",IF(COUNTIFS(全馬データ!$A$2:$A$50000,A3760,全馬データ!$B$2:$B$50000,B3760,全馬データ!$C$2:$C$50000,C3760,全馬データ!$D$2:$D$50000,E3760,全馬データ!$K$2:$K$50000,"&lt;&gt;")=0,"",SUMIFS(全馬データ!$K$2:$K$50000,全馬データ!$A$2:$A$50000,A3760,全馬データ!$B$2:$B$50000,B3760,全馬データ!$C$2:$C$50000,C3760,全馬データ!$D$2:$D$50000,E3760)))</f>
        <v/>
      </c>
      <c r="AP3760" s="8" t="str">
        <f aca="false">IF(A3760="","",IF(AO3760="","欠損",IF(AO3760&lt;=1.1,"1.0～1.1",IF(AO3760&lt;1.3,"1.2",IF(AO3760&lt;1.5,"1.3～1.4",IF(AO3760&lt;2,"1.5～1.9","2.0以上"))))))</f>
        <v/>
      </c>
      <c r="AQ3760" s="8" t="str">
        <f aca="false">IF(A3760="","",IF(ISNUMBER(SEARCH("2歳",Z3760)),"2歳戦",IF(ISNUMBER(SEARCH("3歳未勝利",Z3760)),"3歳未勝利",IF(ISNUMBER(SEARCH("未勝利",Z3760)),"その他未勝利",IF(ISNUMBER(SEARCH("G1",Z3760)),"G1",IF(ISNUMBER(SEARCH("G2",Z3760)),"G2",IF(ISNUMBER(SEARCH("G3",Z3760)),"G3",IF(ISNUMBER(SEARCH("古馬条件",Z3760)),"古馬条件戦",IF(ISNUMBER(SEARCH("重賞",Z3760)),"重賞","分類不能")))))))))</f>
        <v/>
      </c>
    </row>
    <row r="3761" customFormat="false" ht="15.75" hidden="false" customHeight="false" outlineLevel="0" collapsed="false">
      <c r="AO3761" s="8" t="str">
        <f aca="false">IF(A3761="","",IF(COUNTIFS(全馬データ!$A$2:$A$50000,A3761,全馬データ!$B$2:$B$50000,B3761,全馬データ!$C$2:$C$50000,C3761,全馬データ!$D$2:$D$50000,E3761,全馬データ!$K$2:$K$50000,"&lt;&gt;")=0,"",SUMIFS(全馬データ!$K$2:$K$50000,全馬データ!$A$2:$A$50000,A3761,全馬データ!$B$2:$B$50000,B3761,全馬データ!$C$2:$C$50000,C3761,全馬データ!$D$2:$D$50000,E3761)))</f>
        <v/>
      </c>
      <c r="AP3761" s="8" t="str">
        <f aca="false">IF(A3761="","",IF(AO3761="","欠損",IF(AO3761&lt;=1.1,"1.0～1.1",IF(AO3761&lt;1.3,"1.2",IF(AO3761&lt;1.5,"1.3～1.4",IF(AO3761&lt;2,"1.5～1.9","2.0以上"))))))</f>
        <v/>
      </c>
      <c r="AQ3761" s="8" t="str">
        <f aca="false">IF(A3761="","",IF(ISNUMBER(SEARCH("2歳",Z3761)),"2歳戦",IF(ISNUMBER(SEARCH("3歳未勝利",Z3761)),"3歳未勝利",IF(ISNUMBER(SEARCH("未勝利",Z3761)),"その他未勝利",IF(ISNUMBER(SEARCH("G1",Z3761)),"G1",IF(ISNUMBER(SEARCH("G2",Z3761)),"G2",IF(ISNUMBER(SEARCH("G3",Z3761)),"G3",IF(ISNUMBER(SEARCH("古馬条件",Z3761)),"古馬条件戦",IF(ISNUMBER(SEARCH("重賞",Z3761)),"重賞","分類不能")))))))))</f>
        <v/>
      </c>
    </row>
    <row r="3762" customFormat="false" ht="15.75" hidden="false" customHeight="false" outlineLevel="0" collapsed="false">
      <c r="AO3762" s="8" t="str">
        <f aca="false">IF(A3762="","",IF(COUNTIFS(全馬データ!$A$2:$A$50000,A3762,全馬データ!$B$2:$B$50000,B3762,全馬データ!$C$2:$C$50000,C3762,全馬データ!$D$2:$D$50000,E3762,全馬データ!$K$2:$K$50000,"&lt;&gt;")=0,"",SUMIFS(全馬データ!$K$2:$K$50000,全馬データ!$A$2:$A$50000,A3762,全馬データ!$B$2:$B$50000,B3762,全馬データ!$C$2:$C$50000,C3762,全馬データ!$D$2:$D$50000,E3762)))</f>
        <v/>
      </c>
      <c r="AP3762" s="8" t="str">
        <f aca="false">IF(A3762="","",IF(AO3762="","欠損",IF(AO3762&lt;=1.1,"1.0～1.1",IF(AO3762&lt;1.3,"1.2",IF(AO3762&lt;1.5,"1.3～1.4",IF(AO3762&lt;2,"1.5～1.9","2.0以上"))))))</f>
        <v/>
      </c>
      <c r="AQ3762" s="8" t="str">
        <f aca="false">IF(A3762="","",IF(ISNUMBER(SEARCH("2歳",Z3762)),"2歳戦",IF(ISNUMBER(SEARCH("3歳未勝利",Z3762)),"3歳未勝利",IF(ISNUMBER(SEARCH("未勝利",Z3762)),"その他未勝利",IF(ISNUMBER(SEARCH("G1",Z3762)),"G1",IF(ISNUMBER(SEARCH("G2",Z3762)),"G2",IF(ISNUMBER(SEARCH("G3",Z3762)),"G3",IF(ISNUMBER(SEARCH("古馬条件",Z3762)),"古馬条件戦",IF(ISNUMBER(SEARCH("重賞",Z3762)),"重賞","分類不能")))))))))</f>
        <v/>
      </c>
    </row>
    <row r="3763" customFormat="false" ht="15.75" hidden="false" customHeight="false" outlineLevel="0" collapsed="false">
      <c r="AO3763" s="8" t="str">
        <f aca="false">IF(A3763="","",IF(COUNTIFS(全馬データ!$A$2:$A$50000,A3763,全馬データ!$B$2:$B$50000,B3763,全馬データ!$C$2:$C$50000,C3763,全馬データ!$D$2:$D$50000,E3763,全馬データ!$K$2:$K$50000,"&lt;&gt;")=0,"",SUMIFS(全馬データ!$K$2:$K$50000,全馬データ!$A$2:$A$50000,A3763,全馬データ!$B$2:$B$50000,B3763,全馬データ!$C$2:$C$50000,C3763,全馬データ!$D$2:$D$50000,E3763)))</f>
        <v/>
      </c>
      <c r="AP3763" s="8" t="str">
        <f aca="false">IF(A3763="","",IF(AO3763="","欠損",IF(AO3763&lt;=1.1,"1.0～1.1",IF(AO3763&lt;1.3,"1.2",IF(AO3763&lt;1.5,"1.3～1.4",IF(AO3763&lt;2,"1.5～1.9","2.0以上"))))))</f>
        <v/>
      </c>
      <c r="AQ3763" s="8" t="str">
        <f aca="false">IF(A3763="","",IF(ISNUMBER(SEARCH("2歳",Z3763)),"2歳戦",IF(ISNUMBER(SEARCH("3歳未勝利",Z3763)),"3歳未勝利",IF(ISNUMBER(SEARCH("未勝利",Z3763)),"その他未勝利",IF(ISNUMBER(SEARCH("G1",Z3763)),"G1",IF(ISNUMBER(SEARCH("G2",Z3763)),"G2",IF(ISNUMBER(SEARCH("G3",Z3763)),"G3",IF(ISNUMBER(SEARCH("古馬条件",Z3763)),"古馬条件戦",IF(ISNUMBER(SEARCH("重賞",Z3763)),"重賞","分類不能")))))))))</f>
        <v/>
      </c>
    </row>
    <row r="3764" customFormat="false" ht="15.75" hidden="false" customHeight="false" outlineLevel="0" collapsed="false">
      <c r="AO3764" s="8" t="str">
        <f aca="false">IF(A3764="","",IF(COUNTIFS(全馬データ!$A$2:$A$50000,A3764,全馬データ!$B$2:$B$50000,B3764,全馬データ!$C$2:$C$50000,C3764,全馬データ!$D$2:$D$50000,E3764,全馬データ!$K$2:$K$50000,"&lt;&gt;")=0,"",SUMIFS(全馬データ!$K$2:$K$50000,全馬データ!$A$2:$A$50000,A3764,全馬データ!$B$2:$B$50000,B3764,全馬データ!$C$2:$C$50000,C3764,全馬データ!$D$2:$D$50000,E3764)))</f>
        <v/>
      </c>
      <c r="AP3764" s="8" t="str">
        <f aca="false">IF(A3764="","",IF(AO3764="","欠損",IF(AO3764&lt;=1.1,"1.0～1.1",IF(AO3764&lt;1.3,"1.2",IF(AO3764&lt;1.5,"1.3～1.4",IF(AO3764&lt;2,"1.5～1.9","2.0以上"))))))</f>
        <v/>
      </c>
      <c r="AQ3764" s="8" t="str">
        <f aca="false">IF(A3764="","",IF(ISNUMBER(SEARCH("2歳",Z3764)),"2歳戦",IF(ISNUMBER(SEARCH("3歳未勝利",Z3764)),"3歳未勝利",IF(ISNUMBER(SEARCH("未勝利",Z3764)),"その他未勝利",IF(ISNUMBER(SEARCH("G1",Z3764)),"G1",IF(ISNUMBER(SEARCH("G2",Z3764)),"G2",IF(ISNUMBER(SEARCH("G3",Z3764)),"G3",IF(ISNUMBER(SEARCH("古馬条件",Z3764)),"古馬条件戦",IF(ISNUMBER(SEARCH("重賞",Z3764)),"重賞","分類不能")))))))))</f>
        <v/>
      </c>
    </row>
    <row r="3765" customFormat="false" ht="15.75" hidden="false" customHeight="false" outlineLevel="0" collapsed="false">
      <c r="AO3765" s="8" t="str">
        <f aca="false">IF(A3765="","",IF(COUNTIFS(全馬データ!$A$2:$A$50000,A3765,全馬データ!$B$2:$B$50000,B3765,全馬データ!$C$2:$C$50000,C3765,全馬データ!$D$2:$D$50000,E3765,全馬データ!$K$2:$K$50000,"&lt;&gt;")=0,"",SUMIFS(全馬データ!$K$2:$K$50000,全馬データ!$A$2:$A$50000,A3765,全馬データ!$B$2:$B$50000,B3765,全馬データ!$C$2:$C$50000,C3765,全馬データ!$D$2:$D$50000,E3765)))</f>
        <v/>
      </c>
      <c r="AP3765" s="8" t="str">
        <f aca="false">IF(A3765="","",IF(AO3765="","欠損",IF(AO3765&lt;=1.1,"1.0～1.1",IF(AO3765&lt;1.3,"1.2",IF(AO3765&lt;1.5,"1.3～1.4",IF(AO3765&lt;2,"1.5～1.9","2.0以上"))))))</f>
        <v/>
      </c>
      <c r="AQ3765" s="8" t="str">
        <f aca="false">IF(A3765="","",IF(ISNUMBER(SEARCH("2歳",Z3765)),"2歳戦",IF(ISNUMBER(SEARCH("3歳未勝利",Z3765)),"3歳未勝利",IF(ISNUMBER(SEARCH("未勝利",Z3765)),"その他未勝利",IF(ISNUMBER(SEARCH("G1",Z3765)),"G1",IF(ISNUMBER(SEARCH("G2",Z3765)),"G2",IF(ISNUMBER(SEARCH("G3",Z3765)),"G3",IF(ISNUMBER(SEARCH("古馬条件",Z3765)),"古馬条件戦",IF(ISNUMBER(SEARCH("重賞",Z3765)),"重賞","分類不能")))))))))</f>
        <v/>
      </c>
    </row>
    <row r="3766" customFormat="false" ht="15.75" hidden="false" customHeight="false" outlineLevel="0" collapsed="false">
      <c r="AO3766" s="8" t="str">
        <f aca="false">IF(A3766="","",IF(COUNTIFS(全馬データ!$A$2:$A$50000,A3766,全馬データ!$B$2:$B$50000,B3766,全馬データ!$C$2:$C$50000,C3766,全馬データ!$D$2:$D$50000,E3766,全馬データ!$K$2:$K$50000,"&lt;&gt;")=0,"",SUMIFS(全馬データ!$K$2:$K$50000,全馬データ!$A$2:$A$50000,A3766,全馬データ!$B$2:$B$50000,B3766,全馬データ!$C$2:$C$50000,C3766,全馬データ!$D$2:$D$50000,E3766)))</f>
        <v/>
      </c>
      <c r="AP3766" s="8" t="str">
        <f aca="false">IF(A3766="","",IF(AO3766="","欠損",IF(AO3766&lt;=1.1,"1.0～1.1",IF(AO3766&lt;1.3,"1.2",IF(AO3766&lt;1.5,"1.3～1.4",IF(AO3766&lt;2,"1.5～1.9","2.0以上"))))))</f>
        <v/>
      </c>
      <c r="AQ3766" s="8" t="str">
        <f aca="false">IF(A3766="","",IF(ISNUMBER(SEARCH("2歳",Z3766)),"2歳戦",IF(ISNUMBER(SEARCH("3歳未勝利",Z3766)),"3歳未勝利",IF(ISNUMBER(SEARCH("未勝利",Z3766)),"その他未勝利",IF(ISNUMBER(SEARCH("G1",Z3766)),"G1",IF(ISNUMBER(SEARCH("G2",Z3766)),"G2",IF(ISNUMBER(SEARCH("G3",Z3766)),"G3",IF(ISNUMBER(SEARCH("古馬条件",Z3766)),"古馬条件戦",IF(ISNUMBER(SEARCH("重賞",Z3766)),"重賞","分類不能")))))))))</f>
        <v/>
      </c>
    </row>
    <row r="3767" customFormat="false" ht="15.75" hidden="false" customHeight="false" outlineLevel="0" collapsed="false">
      <c r="AO3767" s="8" t="str">
        <f aca="false">IF(A3767="","",IF(COUNTIFS(全馬データ!$A$2:$A$50000,A3767,全馬データ!$B$2:$B$50000,B3767,全馬データ!$C$2:$C$50000,C3767,全馬データ!$D$2:$D$50000,E3767,全馬データ!$K$2:$K$50000,"&lt;&gt;")=0,"",SUMIFS(全馬データ!$K$2:$K$50000,全馬データ!$A$2:$A$50000,A3767,全馬データ!$B$2:$B$50000,B3767,全馬データ!$C$2:$C$50000,C3767,全馬データ!$D$2:$D$50000,E3767)))</f>
        <v/>
      </c>
      <c r="AP3767" s="8" t="str">
        <f aca="false">IF(A3767="","",IF(AO3767="","欠損",IF(AO3767&lt;=1.1,"1.0～1.1",IF(AO3767&lt;1.3,"1.2",IF(AO3767&lt;1.5,"1.3～1.4",IF(AO3767&lt;2,"1.5～1.9","2.0以上"))))))</f>
        <v/>
      </c>
      <c r="AQ3767" s="8" t="str">
        <f aca="false">IF(A3767="","",IF(ISNUMBER(SEARCH("2歳",Z3767)),"2歳戦",IF(ISNUMBER(SEARCH("3歳未勝利",Z3767)),"3歳未勝利",IF(ISNUMBER(SEARCH("未勝利",Z3767)),"その他未勝利",IF(ISNUMBER(SEARCH("G1",Z3767)),"G1",IF(ISNUMBER(SEARCH("G2",Z3767)),"G2",IF(ISNUMBER(SEARCH("G3",Z3767)),"G3",IF(ISNUMBER(SEARCH("古馬条件",Z3767)),"古馬条件戦",IF(ISNUMBER(SEARCH("重賞",Z3767)),"重賞","分類不能")))))))))</f>
        <v/>
      </c>
    </row>
    <row r="3768" customFormat="false" ht="15.75" hidden="false" customHeight="false" outlineLevel="0" collapsed="false">
      <c r="AO3768" s="8" t="str">
        <f aca="false">IF(A3768="","",IF(COUNTIFS(全馬データ!$A$2:$A$50000,A3768,全馬データ!$B$2:$B$50000,B3768,全馬データ!$C$2:$C$50000,C3768,全馬データ!$D$2:$D$50000,E3768,全馬データ!$K$2:$K$50000,"&lt;&gt;")=0,"",SUMIFS(全馬データ!$K$2:$K$50000,全馬データ!$A$2:$A$50000,A3768,全馬データ!$B$2:$B$50000,B3768,全馬データ!$C$2:$C$50000,C3768,全馬データ!$D$2:$D$50000,E3768)))</f>
        <v/>
      </c>
      <c r="AP3768" s="8" t="str">
        <f aca="false">IF(A3768="","",IF(AO3768="","欠損",IF(AO3768&lt;=1.1,"1.0～1.1",IF(AO3768&lt;1.3,"1.2",IF(AO3768&lt;1.5,"1.3～1.4",IF(AO3768&lt;2,"1.5～1.9","2.0以上"))))))</f>
        <v/>
      </c>
      <c r="AQ3768" s="8" t="str">
        <f aca="false">IF(A3768="","",IF(ISNUMBER(SEARCH("2歳",Z3768)),"2歳戦",IF(ISNUMBER(SEARCH("3歳未勝利",Z3768)),"3歳未勝利",IF(ISNUMBER(SEARCH("未勝利",Z3768)),"その他未勝利",IF(ISNUMBER(SEARCH("G1",Z3768)),"G1",IF(ISNUMBER(SEARCH("G2",Z3768)),"G2",IF(ISNUMBER(SEARCH("G3",Z3768)),"G3",IF(ISNUMBER(SEARCH("古馬条件",Z3768)),"古馬条件戦",IF(ISNUMBER(SEARCH("重賞",Z3768)),"重賞","分類不能")))))))))</f>
        <v/>
      </c>
    </row>
    <row r="3769" customFormat="false" ht="15.75" hidden="false" customHeight="false" outlineLevel="0" collapsed="false">
      <c r="AO3769" s="8" t="str">
        <f aca="false">IF(A3769="","",IF(COUNTIFS(全馬データ!$A$2:$A$50000,A3769,全馬データ!$B$2:$B$50000,B3769,全馬データ!$C$2:$C$50000,C3769,全馬データ!$D$2:$D$50000,E3769,全馬データ!$K$2:$K$50000,"&lt;&gt;")=0,"",SUMIFS(全馬データ!$K$2:$K$50000,全馬データ!$A$2:$A$50000,A3769,全馬データ!$B$2:$B$50000,B3769,全馬データ!$C$2:$C$50000,C3769,全馬データ!$D$2:$D$50000,E3769)))</f>
        <v/>
      </c>
      <c r="AP3769" s="8" t="str">
        <f aca="false">IF(A3769="","",IF(AO3769="","欠損",IF(AO3769&lt;=1.1,"1.0～1.1",IF(AO3769&lt;1.3,"1.2",IF(AO3769&lt;1.5,"1.3～1.4",IF(AO3769&lt;2,"1.5～1.9","2.0以上"))))))</f>
        <v/>
      </c>
      <c r="AQ3769" s="8" t="str">
        <f aca="false">IF(A3769="","",IF(ISNUMBER(SEARCH("2歳",Z3769)),"2歳戦",IF(ISNUMBER(SEARCH("3歳未勝利",Z3769)),"3歳未勝利",IF(ISNUMBER(SEARCH("未勝利",Z3769)),"その他未勝利",IF(ISNUMBER(SEARCH("G1",Z3769)),"G1",IF(ISNUMBER(SEARCH("G2",Z3769)),"G2",IF(ISNUMBER(SEARCH("G3",Z3769)),"G3",IF(ISNUMBER(SEARCH("古馬条件",Z3769)),"古馬条件戦",IF(ISNUMBER(SEARCH("重賞",Z3769)),"重賞","分類不能")))))))))</f>
        <v/>
      </c>
    </row>
    <row r="3770" customFormat="false" ht="15.75" hidden="false" customHeight="false" outlineLevel="0" collapsed="false">
      <c r="AO3770" s="8" t="str">
        <f aca="false">IF(A3770="","",IF(COUNTIFS(全馬データ!$A$2:$A$50000,A3770,全馬データ!$B$2:$B$50000,B3770,全馬データ!$C$2:$C$50000,C3770,全馬データ!$D$2:$D$50000,E3770,全馬データ!$K$2:$K$50000,"&lt;&gt;")=0,"",SUMIFS(全馬データ!$K$2:$K$50000,全馬データ!$A$2:$A$50000,A3770,全馬データ!$B$2:$B$50000,B3770,全馬データ!$C$2:$C$50000,C3770,全馬データ!$D$2:$D$50000,E3770)))</f>
        <v/>
      </c>
      <c r="AP3770" s="8" t="str">
        <f aca="false">IF(A3770="","",IF(AO3770="","欠損",IF(AO3770&lt;=1.1,"1.0～1.1",IF(AO3770&lt;1.3,"1.2",IF(AO3770&lt;1.5,"1.3～1.4",IF(AO3770&lt;2,"1.5～1.9","2.0以上"))))))</f>
        <v/>
      </c>
      <c r="AQ3770" s="8" t="str">
        <f aca="false">IF(A3770="","",IF(ISNUMBER(SEARCH("2歳",Z3770)),"2歳戦",IF(ISNUMBER(SEARCH("3歳未勝利",Z3770)),"3歳未勝利",IF(ISNUMBER(SEARCH("未勝利",Z3770)),"その他未勝利",IF(ISNUMBER(SEARCH("G1",Z3770)),"G1",IF(ISNUMBER(SEARCH("G2",Z3770)),"G2",IF(ISNUMBER(SEARCH("G3",Z3770)),"G3",IF(ISNUMBER(SEARCH("古馬条件",Z3770)),"古馬条件戦",IF(ISNUMBER(SEARCH("重賞",Z3770)),"重賞","分類不能")))))))))</f>
        <v/>
      </c>
    </row>
    <row r="3771" customFormat="false" ht="15.75" hidden="false" customHeight="false" outlineLevel="0" collapsed="false">
      <c r="AO3771" s="8" t="str">
        <f aca="false">IF(A3771="","",IF(COUNTIFS(全馬データ!$A$2:$A$50000,A3771,全馬データ!$B$2:$B$50000,B3771,全馬データ!$C$2:$C$50000,C3771,全馬データ!$D$2:$D$50000,E3771,全馬データ!$K$2:$K$50000,"&lt;&gt;")=0,"",SUMIFS(全馬データ!$K$2:$K$50000,全馬データ!$A$2:$A$50000,A3771,全馬データ!$B$2:$B$50000,B3771,全馬データ!$C$2:$C$50000,C3771,全馬データ!$D$2:$D$50000,E3771)))</f>
        <v/>
      </c>
      <c r="AP3771" s="8" t="str">
        <f aca="false">IF(A3771="","",IF(AO3771="","欠損",IF(AO3771&lt;=1.1,"1.0～1.1",IF(AO3771&lt;1.3,"1.2",IF(AO3771&lt;1.5,"1.3～1.4",IF(AO3771&lt;2,"1.5～1.9","2.0以上"))))))</f>
        <v/>
      </c>
      <c r="AQ3771" s="8" t="str">
        <f aca="false">IF(A3771="","",IF(ISNUMBER(SEARCH("2歳",Z3771)),"2歳戦",IF(ISNUMBER(SEARCH("3歳未勝利",Z3771)),"3歳未勝利",IF(ISNUMBER(SEARCH("未勝利",Z3771)),"その他未勝利",IF(ISNUMBER(SEARCH("G1",Z3771)),"G1",IF(ISNUMBER(SEARCH("G2",Z3771)),"G2",IF(ISNUMBER(SEARCH("G3",Z3771)),"G3",IF(ISNUMBER(SEARCH("古馬条件",Z3771)),"古馬条件戦",IF(ISNUMBER(SEARCH("重賞",Z3771)),"重賞","分類不能")))))))))</f>
        <v/>
      </c>
    </row>
    <row r="3772" customFormat="false" ht="15.75" hidden="false" customHeight="false" outlineLevel="0" collapsed="false">
      <c r="AO3772" s="8" t="str">
        <f aca="false">IF(A3772="","",IF(COUNTIFS(全馬データ!$A$2:$A$50000,A3772,全馬データ!$B$2:$B$50000,B3772,全馬データ!$C$2:$C$50000,C3772,全馬データ!$D$2:$D$50000,E3772,全馬データ!$K$2:$K$50000,"&lt;&gt;")=0,"",SUMIFS(全馬データ!$K$2:$K$50000,全馬データ!$A$2:$A$50000,A3772,全馬データ!$B$2:$B$50000,B3772,全馬データ!$C$2:$C$50000,C3772,全馬データ!$D$2:$D$50000,E3772)))</f>
        <v/>
      </c>
      <c r="AP3772" s="8" t="str">
        <f aca="false">IF(A3772="","",IF(AO3772="","欠損",IF(AO3772&lt;=1.1,"1.0～1.1",IF(AO3772&lt;1.3,"1.2",IF(AO3772&lt;1.5,"1.3～1.4",IF(AO3772&lt;2,"1.5～1.9","2.0以上"))))))</f>
        <v/>
      </c>
      <c r="AQ3772" s="8" t="str">
        <f aca="false">IF(A3772="","",IF(ISNUMBER(SEARCH("2歳",Z3772)),"2歳戦",IF(ISNUMBER(SEARCH("3歳未勝利",Z3772)),"3歳未勝利",IF(ISNUMBER(SEARCH("未勝利",Z3772)),"その他未勝利",IF(ISNUMBER(SEARCH("G1",Z3772)),"G1",IF(ISNUMBER(SEARCH("G2",Z3772)),"G2",IF(ISNUMBER(SEARCH("G3",Z3772)),"G3",IF(ISNUMBER(SEARCH("古馬条件",Z3772)),"古馬条件戦",IF(ISNUMBER(SEARCH("重賞",Z3772)),"重賞","分類不能")))))))))</f>
        <v/>
      </c>
    </row>
    <row r="3773" customFormat="false" ht="15.75" hidden="false" customHeight="false" outlineLevel="0" collapsed="false">
      <c r="AO3773" s="8" t="str">
        <f aca="false">IF(A3773="","",IF(COUNTIFS(全馬データ!$A$2:$A$50000,A3773,全馬データ!$B$2:$B$50000,B3773,全馬データ!$C$2:$C$50000,C3773,全馬データ!$D$2:$D$50000,E3773,全馬データ!$K$2:$K$50000,"&lt;&gt;")=0,"",SUMIFS(全馬データ!$K$2:$K$50000,全馬データ!$A$2:$A$50000,A3773,全馬データ!$B$2:$B$50000,B3773,全馬データ!$C$2:$C$50000,C3773,全馬データ!$D$2:$D$50000,E3773)))</f>
        <v/>
      </c>
      <c r="AP3773" s="8" t="str">
        <f aca="false">IF(A3773="","",IF(AO3773="","欠損",IF(AO3773&lt;=1.1,"1.0～1.1",IF(AO3773&lt;1.3,"1.2",IF(AO3773&lt;1.5,"1.3～1.4",IF(AO3773&lt;2,"1.5～1.9","2.0以上"))))))</f>
        <v/>
      </c>
      <c r="AQ3773" s="8" t="str">
        <f aca="false">IF(A3773="","",IF(ISNUMBER(SEARCH("2歳",Z3773)),"2歳戦",IF(ISNUMBER(SEARCH("3歳未勝利",Z3773)),"3歳未勝利",IF(ISNUMBER(SEARCH("未勝利",Z3773)),"その他未勝利",IF(ISNUMBER(SEARCH("G1",Z3773)),"G1",IF(ISNUMBER(SEARCH("G2",Z3773)),"G2",IF(ISNUMBER(SEARCH("G3",Z3773)),"G3",IF(ISNUMBER(SEARCH("古馬条件",Z3773)),"古馬条件戦",IF(ISNUMBER(SEARCH("重賞",Z3773)),"重賞","分類不能")))))))))</f>
        <v/>
      </c>
    </row>
    <row r="3774" customFormat="false" ht="15.75" hidden="false" customHeight="false" outlineLevel="0" collapsed="false">
      <c r="AO3774" s="8" t="str">
        <f aca="false">IF(A3774="","",IF(COUNTIFS(全馬データ!$A$2:$A$50000,A3774,全馬データ!$B$2:$B$50000,B3774,全馬データ!$C$2:$C$50000,C3774,全馬データ!$D$2:$D$50000,E3774,全馬データ!$K$2:$K$50000,"&lt;&gt;")=0,"",SUMIFS(全馬データ!$K$2:$K$50000,全馬データ!$A$2:$A$50000,A3774,全馬データ!$B$2:$B$50000,B3774,全馬データ!$C$2:$C$50000,C3774,全馬データ!$D$2:$D$50000,E3774)))</f>
        <v/>
      </c>
      <c r="AP3774" s="8" t="str">
        <f aca="false">IF(A3774="","",IF(AO3774="","欠損",IF(AO3774&lt;=1.1,"1.0～1.1",IF(AO3774&lt;1.3,"1.2",IF(AO3774&lt;1.5,"1.3～1.4",IF(AO3774&lt;2,"1.5～1.9","2.0以上"))))))</f>
        <v/>
      </c>
      <c r="AQ3774" s="8" t="str">
        <f aca="false">IF(A3774="","",IF(ISNUMBER(SEARCH("2歳",Z3774)),"2歳戦",IF(ISNUMBER(SEARCH("3歳未勝利",Z3774)),"3歳未勝利",IF(ISNUMBER(SEARCH("未勝利",Z3774)),"その他未勝利",IF(ISNUMBER(SEARCH("G1",Z3774)),"G1",IF(ISNUMBER(SEARCH("G2",Z3774)),"G2",IF(ISNUMBER(SEARCH("G3",Z3774)),"G3",IF(ISNUMBER(SEARCH("古馬条件",Z3774)),"古馬条件戦",IF(ISNUMBER(SEARCH("重賞",Z3774)),"重賞","分類不能")))))))))</f>
        <v/>
      </c>
    </row>
    <row r="3775" customFormat="false" ht="15.75" hidden="false" customHeight="false" outlineLevel="0" collapsed="false">
      <c r="AO3775" s="8" t="str">
        <f aca="false">IF(A3775="","",IF(COUNTIFS(全馬データ!$A$2:$A$50000,A3775,全馬データ!$B$2:$B$50000,B3775,全馬データ!$C$2:$C$50000,C3775,全馬データ!$D$2:$D$50000,E3775,全馬データ!$K$2:$K$50000,"&lt;&gt;")=0,"",SUMIFS(全馬データ!$K$2:$K$50000,全馬データ!$A$2:$A$50000,A3775,全馬データ!$B$2:$B$50000,B3775,全馬データ!$C$2:$C$50000,C3775,全馬データ!$D$2:$D$50000,E3775)))</f>
        <v/>
      </c>
      <c r="AP3775" s="8" t="str">
        <f aca="false">IF(A3775="","",IF(AO3775="","欠損",IF(AO3775&lt;=1.1,"1.0～1.1",IF(AO3775&lt;1.3,"1.2",IF(AO3775&lt;1.5,"1.3～1.4",IF(AO3775&lt;2,"1.5～1.9","2.0以上"))))))</f>
        <v/>
      </c>
      <c r="AQ3775" s="8" t="str">
        <f aca="false">IF(A3775="","",IF(ISNUMBER(SEARCH("2歳",Z3775)),"2歳戦",IF(ISNUMBER(SEARCH("3歳未勝利",Z3775)),"3歳未勝利",IF(ISNUMBER(SEARCH("未勝利",Z3775)),"その他未勝利",IF(ISNUMBER(SEARCH("G1",Z3775)),"G1",IF(ISNUMBER(SEARCH("G2",Z3775)),"G2",IF(ISNUMBER(SEARCH("G3",Z3775)),"G3",IF(ISNUMBER(SEARCH("古馬条件",Z3775)),"古馬条件戦",IF(ISNUMBER(SEARCH("重賞",Z3775)),"重賞","分類不能")))))))))</f>
        <v/>
      </c>
    </row>
    <row r="3776" customFormat="false" ht="15.75" hidden="false" customHeight="false" outlineLevel="0" collapsed="false">
      <c r="AO3776" s="8" t="str">
        <f aca="false">IF(A3776="","",IF(COUNTIFS(全馬データ!$A$2:$A$50000,A3776,全馬データ!$B$2:$B$50000,B3776,全馬データ!$C$2:$C$50000,C3776,全馬データ!$D$2:$D$50000,E3776,全馬データ!$K$2:$K$50000,"&lt;&gt;")=0,"",SUMIFS(全馬データ!$K$2:$K$50000,全馬データ!$A$2:$A$50000,A3776,全馬データ!$B$2:$B$50000,B3776,全馬データ!$C$2:$C$50000,C3776,全馬データ!$D$2:$D$50000,E3776)))</f>
        <v/>
      </c>
      <c r="AP3776" s="8" t="str">
        <f aca="false">IF(A3776="","",IF(AO3776="","欠損",IF(AO3776&lt;=1.1,"1.0～1.1",IF(AO3776&lt;1.3,"1.2",IF(AO3776&lt;1.5,"1.3～1.4",IF(AO3776&lt;2,"1.5～1.9","2.0以上"))))))</f>
        <v/>
      </c>
      <c r="AQ3776" s="8" t="str">
        <f aca="false">IF(A3776="","",IF(ISNUMBER(SEARCH("2歳",Z3776)),"2歳戦",IF(ISNUMBER(SEARCH("3歳未勝利",Z3776)),"3歳未勝利",IF(ISNUMBER(SEARCH("未勝利",Z3776)),"その他未勝利",IF(ISNUMBER(SEARCH("G1",Z3776)),"G1",IF(ISNUMBER(SEARCH("G2",Z3776)),"G2",IF(ISNUMBER(SEARCH("G3",Z3776)),"G3",IF(ISNUMBER(SEARCH("古馬条件",Z3776)),"古馬条件戦",IF(ISNUMBER(SEARCH("重賞",Z3776)),"重賞","分類不能")))))))))</f>
        <v/>
      </c>
    </row>
    <row r="3777" customFormat="false" ht="15.75" hidden="false" customHeight="false" outlineLevel="0" collapsed="false">
      <c r="AO3777" s="8" t="str">
        <f aca="false">IF(A3777="","",IF(COUNTIFS(全馬データ!$A$2:$A$50000,A3777,全馬データ!$B$2:$B$50000,B3777,全馬データ!$C$2:$C$50000,C3777,全馬データ!$D$2:$D$50000,E3777,全馬データ!$K$2:$K$50000,"&lt;&gt;")=0,"",SUMIFS(全馬データ!$K$2:$K$50000,全馬データ!$A$2:$A$50000,A3777,全馬データ!$B$2:$B$50000,B3777,全馬データ!$C$2:$C$50000,C3777,全馬データ!$D$2:$D$50000,E3777)))</f>
        <v/>
      </c>
      <c r="AP3777" s="8" t="str">
        <f aca="false">IF(A3777="","",IF(AO3777="","欠損",IF(AO3777&lt;=1.1,"1.0～1.1",IF(AO3777&lt;1.3,"1.2",IF(AO3777&lt;1.5,"1.3～1.4",IF(AO3777&lt;2,"1.5～1.9","2.0以上"))))))</f>
        <v/>
      </c>
      <c r="AQ3777" s="8" t="str">
        <f aca="false">IF(A3777="","",IF(ISNUMBER(SEARCH("2歳",Z3777)),"2歳戦",IF(ISNUMBER(SEARCH("3歳未勝利",Z3777)),"3歳未勝利",IF(ISNUMBER(SEARCH("未勝利",Z3777)),"その他未勝利",IF(ISNUMBER(SEARCH("G1",Z3777)),"G1",IF(ISNUMBER(SEARCH("G2",Z3777)),"G2",IF(ISNUMBER(SEARCH("G3",Z3777)),"G3",IF(ISNUMBER(SEARCH("古馬条件",Z3777)),"古馬条件戦",IF(ISNUMBER(SEARCH("重賞",Z3777)),"重賞","分類不能")))))))))</f>
        <v/>
      </c>
    </row>
    <row r="3778" customFormat="false" ht="15.75" hidden="false" customHeight="false" outlineLevel="0" collapsed="false">
      <c r="AO3778" s="8" t="str">
        <f aca="false">IF(A3778="","",IF(COUNTIFS(全馬データ!$A$2:$A$50000,A3778,全馬データ!$B$2:$B$50000,B3778,全馬データ!$C$2:$C$50000,C3778,全馬データ!$D$2:$D$50000,E3778,全馬データ!$K$2:$K$50000,"&lt;&gt;")=0,"",SUMIFS(全馬データ!$K$2:$K$50000,全馬データ!$A$2:$A$50000,A3778,全馬データ!$B$2:$B$50000,B3778,全馬データ!$C$2:$C$50000,C3778,全馬データ!$D$2:$D$50000,E3778)))</f>
        <v/>
      </c>
      <c r="AP3778" s="8" t="str">
        <f aca="false">IF(A3778="","",IF(AO3778="","欠損",IF(AO3778&lt;=1.1,"1.0～1.1",IF(AO3778&lt;1.3,"1.2",IF(AO3778&lt;1.5,"1.3～1.4",IF(AO3778&lt;2,"1.5～1.9","2.0以上"))))))</f>
        <v/>
      </c>
      <c r="AQ3778" s="8" t="str">
        <f aca="false">IF(A3778="","",IF(ISNUMBER(SEARCH("2歳",Z3778)),"2歳戦",IF(ISNUMBER(SEARCH("3歳未勝利",Z3778)),"3歳未勝利",IF(ISNUMBER(SEARCH("未勝利",Z3778)),"その他未勝利",IF(ISNUMBER(SEARCH("G1",Z3778)),"G1",IF(ISNUMBER(SEARCH("G2",Z3778)),"G2",IF(ISNUMBER(SEARCH("G3",Z3778)),"G3",IF(ISNUMBER(SEARCH("古馬条件",Z3778)),"古馬条件戦",IF(ISNUMBER(SEARCH("重賞",Z3778)),"重賞","分類不能")))))))))</f>
        <v/>
      </c>
    </row>
    <row r="3779" customFormat="false" ht="15.75" hidden="false" customHeight="false" outlineLevel="0" collapsed="false">
      <c r="AO3779" s="8" t="str">
        <f aca="false">IF(A3779="","",IF(COUNTIFS(全馬データ!$A$2:$A$50000,A3779,全馬データ!$B$2:$B$50000,B3779,全馬データ!$C$2:$C$50000,C3779,全馬データ!$D$2:$D$50000,E3779,全馬データ!$K$2:$K$50000,"&lt;&gt;")=0,"",SUMIFS(全馬データ!$K$2:$K$50000,全馬データ!$A$2:$A$50000,A3779,全馬データ!$B$2:$B$50000,B3779,全馬データ!$C$2:$C$50000,C3779,全馬データ!$D$2:$D$50000,E3779)))</f>
        <v/>
      </c>
      <c r="AP3779" s="8" t="str">
        <f aca="false">IF(A3779="","",IF(AO3779="","欠損",IF(AO3779&lt;=1.1,"1.0～1.1",IF(AO3779&lt;1.3,"1.2",IF(AO3779&lt;1.5,"1.3～1.4",IF(AO3779&lt;2,"1.5～1.9","2.0以上"))))))</f>
        <v/>
      </c>
      <c r="AQ3779" s="8" t="str">
        <f aca="false">IF(A3779="","",IF(ISNUMBER(SEARCH("2歳",Z3779)),"2歳戦",IF(ISNUMBER(SEARCH("3歳未勝利",Z3779)),"3歳未勝利",IF(ISNUMBER(SEARCH("未勝利",Z3779)),"その他未勝利",IF(ISNUMBER(SEARCH("G1",Z3779)),"G1",IF(ISNUMBER(SEARCH("G2",Z3779)),"G2",IF(ISNUMBER(SEARCH("G3",Z3779)),"G3",IF(ISNUMBER(SEARCH("古馬条件",Z3779)),"古馬条件戦",IF(ISNUMBER(SEARCH("重賞",Z3779)),"重賞","分類不能")))))))))</f>
        <v/>
      </c>
    </row>
    <row r="3780" customFormat="false" ht="15.75" hidden="false" customHeight="false" outlineLevel="0" collapsed="false">
      <c r="AO3780" s="8" t="str">
        <f aca="false">IF(A3780="","",IF(COUNTIFS(全馬データ!$A$2:$A$50000,A3780,全馬データ!$B$2:$B$50000,B3780,全馬データ!$C$2:$C$50000,C3780,全馬データ!$D$2:$D$50000,E3780,全馬データ!$K$2:$K$50000,"&lt;&gt;")=0,"",SUMIFS(全馬データ!$K$2:$K$50000,全馬データ!$A$2:$A$50000,A3780,全馬データ!$B$2:$B$50000,B3780,全馬データ!$C$2:$C$50000,C3780,全馬データ!$D$2:$D$50000,E3780)))</f>
        <v/>
      </c>
      <c r="AP3780" s="8" t="str">
        <f aca="false">IF(A3780="","",IF(AO3780="","欠損",IF(AO3780&lt;=1.1,"1.0～1.1",IF(AO3780&lt;1.3,"1.2",IF(AO3780&lt;1.5,"1.3～1.4",IF(AO3780&lt;2,"1.5～1.9","2.0以上"))))))</f>
        <v/>
      </c>
      <c r="AQ3780" s="8" t="str">
        <f aca="false">IF(A3780="","",IF(ISNUMBER(SEARCH("2歳",Z3780)),"2歳戦",IF(ISNUMBER(SEARCH("3歳未勝利",Z3780)),"3歳未勝利",IF(ISNUMBER(SEARCH("未勝利",Z3780)),"その他未勝利",IF(ISNUMBER(SEARCH("G1",Z3780)),"G1",IF(ISNUMBER(SEARCH("G2",Z3780)),"G2",IF(ISNUMBER(SEARCH("G3",Z3780)),"G3",IF(ISNUMBER(SEARCH("古馬条件",Z3780)),"古馬条件戦",IF(ISNUMBER(SEARCH("重賞",Z3780)),"重賞","分類不能")))))))))</f>
        <v/>
      </c>
    </row>
    <row r="3781" customFormat="false" ht="15.75" hidden="false" customHeight="false" outlineLevel="0" collapsed="false">
      <c r="AO3781" s="8" t="str">
        <f aca="false">IF(A3781="","",IF(COUNTIFS(全馬データ!$A$2:$A$50000,A3781,全馬データ!$B$2:$B$50000,B3781,全馬データ!$C$2:$C$50000,C3781,全馬データ!$D$2:$D$50000,E3781,全馬データ!$K$2:$K$50000,"&lt;&gt;")=0,"",SUMIFS(全馬データ!$K$2:$K$50000,全馬データ!$A$2:$A$50000,A3781,全馬データ!$B$2:$B$50000,B3781,全馬データ!$C$2:$C$50000,C3781,全馬データ!$D$2:$D$50000,E3781)))</f>
        <v/>
      </c>
      <c r="AP3781" s="8" t="str">
        <f aca="false">IF(A3781="","",IF(AO3781="","欠損",IF(AO3781&lt;=1.1,"1.0～1.1",IF(AO3781&lt;1.3,"1.2",IF(AO3781&lt;1.5,"1.3～1.4",IF(AO3781&lt;2,"1.5～1.9","2.0以上"))))))</f>
        <v/>
      </c>
      <c r="AQ3781" s="8" t="str">
        <f aca="false">IF(A3781="","",IF(ISNUMBER(SEARCH("2歳",Z3781)),"2歳戦",IF(ISNUMBER(SEARCH("3歳未勝利",Z3781)),"3歳未勝利",IF(ISNUMBER(SEARCH("未勝利",Z3781)),"その他未勝利",IF(ISNUMBER(SEARCH("G1",Z3781)),"G1",IF(ISNUMBER(SEARCH("G2",Z3781)),"G2",IF(ISNUMBER(SEARCH("G3",Z3781)),"G3",IF(ISNUMBER(SEARCH("古馬条件",Z3781)),"古馬条件戦",IF(ISNUMBER(SEARCH("重賞",Z3781)),"重賞","分類不能")))))))))</f>
        <v/>
      </c>
    </row>
    <row r="3782" customFormat="false" ht="15.75" hidden="false" customHeight="false" outlineLevel="0" collapsed="false">
      <c r="AO3782" s="8" t="str">
        <f aca="false">IF(A3782="","",IF(COUNTIFS(全馬データ!$A$2:$A$50000,A3782,全馬データ!$B$2:$B$50000,B3782,全馬データ!$C$2:$C$50000,C3782,全馬データ!$D$2:$D$50000,E3782,全馬データ!$K$2:$K$50000,"&lt;&gt;")=0,"",SUMIFS(全馬データ!$K$2:$K$50000,全馬データ!$A$2:$A$50000,A3782,全馬データ!$B$2:$B$50000,B3782,全馬データ!$C$2:$C$50000,C3782,全馬データ!$D$2:$D$50000,E3782)))</f>
        <v/>
      </c>
      <c r="AP3782" s="8" t="str">
        <f aca="false">IF(A3782="","",IF(AO3782="","欠損",IF(AO3782&lt;=1.1,"1.0～1.1",IF(AO3782&lt;1.3,"1.2",IF(AO3782&lt;1.5,"1.3～1.4",IF(AO3782&lt;2,"1.5～1.9","2.0以上"))))))</f>
        <v/>
      </c>
      <c r="AQ3782" s="8" t="str">
        <f aca="false">IF(A3782="","",IF(ISNUMBER(SEARCH("2歳",Z3782)),"2歳戦",IF(ISNUMBER(SEARCH("3歳未勝利",Z3782)),"3歳未勝利",IF(ISNUMBER(SEARCH("未勝利",Z3782)),"その他未勝利",IF(ISNUMBER(SEARCH("G1",Z3782)),"G1",IF(ISNUMBER(SEARCH("G2",Z3782)),"G2",IF(ISNUMBER(SEARCH("G3",Z3782)),"G3",IF(ISNUMBER(SEARCH("古馬条件",Z3782)),"古馬条件戦",IF(ISNUMBER(SEARCH("重賞",Z3782)),"重賞","分類不能")))))))))</f>
        <v/>
      </c>
    </row>
    <row r="3783" customFormat="false" ht="15.75" hidden="false" customHeight="false" outlineLevel="0" collapsed="false">
      <c r="AO3783" s="8" t="str">
        <f aca="false">IF(A3783="","",IF(COUNTIFS(全馬データ!$A$2:$A$50000,A3783,全馬データ!$B$2:$B$50000,B3783,全馬データ!$C$2:$C$50000,C3783,全馬データ!$D$2:$D$50000,E3783,全馬データ!$K$2:$K$50000,"&lt;&gt;")=0,"",SUMIFS(全馬データ!$K$2:$K$50000,全馬データ!$A$2:$A$50000,A3783,全馬データ!$B$2:$B$50000,B3783,全馬データ!$C$2:$C$50000,C3783,全馬データ!$D$2:$D$50000,E3783)))</f>
        <v/>
      </c>
      <c r="AP3783" s="8" t="str">
        <f aca="false">IF(A3783="","",IF(AO3783="","欠損",IF(AO3783&lt;=1.1,"1.0～1.1",IF(AO3783&lt;1.3,"1.2",IF(AO3783&lt;1.5,"1.3～1.4",IF(AO3783&lt;2,"1.5～1.9","2.0以上"))))))</f>
        <v/>
      </c>
      <c r="AQ3783" s="8" t="str">
        <f aca="false">IF(A3783="","",IF(ISNUMBER(SEARCH("2歳",Z3783)),"2歳戦",IF(ISNUMBER(SEARCH("3歳未勝利",Z3783)),"3歳未勝利",IF(ISNUMBER(SEARCH("未勝利",Z3783)),"その他未勝利",IF(ISNUMBER(SEARCH("G1",Z3783)),"G1",IF(ISNUMBER(SEARCH("G2",Z3783)),"G2",IF(ISNUMBER(SEARCH("G3",Z3783)),"G3",IF(ISNUMBER(SEARCH("古馬条件",Z3783)),"古馬条件戦",IF(ISNUMBER(SEARCH("重賞",Z3783)),"重賞","分類不能")))))))))</f>
        <v/>
      </c>
    </row>
    <row r="3784" customFormat="false" ht="15.75" hidden="false" customHeight="false" outlineLevel="0" collapsed="false">
      <c r="AO3784" s="8" t="str">
        <f aca="false">IF(A3784="","",IF(COUNTIFS(全馬データ!$A$2:$A$50000,A3784,全馬データ!$B$2:$B$50000,B3784,全馬データ!$C$2:$C$50000,C3784,全馬データ!$D$2:$D$50000,E3784,全馬データ!$K$2:$K$50000,"&lt;&gt;")=0,"",SUMIFS(全馬データ!$K$2:$K$50000,全馬データ!$A$2:$A$50000,A3784,全馬データ!$B$2:$B$50000,B3784,全馬データ!$C$2:$C$50000,C3784,全馬データ!$D$2:$D$50000,E3784)))</f>
        <v/>
      </c>
      <c r="AP3784" s="8" t="str">
        <f aca="false">IF(A3784="","",IF(AO3784="","欠損",IF(AO3784&lt;=1.1,"1.0～1.1",IF(AO3784&lt;1.3,"1.2",IF(AO3784&lt;1.5,"1.3～1.4",IF(AO3784&lt;2,"1.5～1.9","2.0以上"))))))</f>
        <v/>
      </c>
      <c r="AQ3784" s="8" t="str">
        <f aca="false">IF(A3784="","",IF(ISNUMBER(SEARCH("2歳",Z3784)),"2歳戦",IF(ISNUMBER(SEARCH("3歳未勝利",Z3784)),"3歳未勝利",IF(ISNUMBER(SEARCH("未勝利",Z3784)),"その他未勝利",IF(ISNUMBER(SEARCH("G1",Z3784)),"G1",IF(ISNUMBER(SEARCH("G2",Z3784)),"G2",IF(ISNUMBER(SEARCH("G3",Z3784)),"G3",IF(ISNUMBER(SEARCH("古馬条件",Z3784)),"古馬条件戦",IF(ISNUMBER(SEARCH("重賞",Z3784)),"重賞","分類不能")))))))))</f>
        <v/>
      </c>
    </row>
    <row r="3785" customFormat="false" ht="15.75" hidden="false" customHeight="false" outlineLevel="0" collapsed="false">
      <c r="AO3785" s="8" t="str">
        <f aca="false">IF(A3785="","",IF(COUNTIFS(全馬データ!$A$2:$A$50000,A3785,全馬データ!$B$2:$B$50000,B3785,全馬データ!$C$2:$C$50000,C3785,全馬データ!$D$2:$D$50000,E3785,全馬データ!$K$2:$K$50000,"&lt;&gt;")=0,"",SUMIFS(全馬データ!$K$2:$K$50000,全馬データ!$A$2:$A$50000,A3785,全馬データ!$B$2:$B$50000,B3785,全馬データ!$C$2:$C$50000,C3785,全馬データ!$D$2:$D$50000,E3785)))</f>
        <v/>
      </c>
      <c r="AP3785" s="8" t="str">
        <f aca="false">IF(A3785="","",IF(AO3785="","欠損",IF(AO3785&lt;=1.1,"1.0～1.1",IF(AO3785&lt;1.3,"1.2",IF(AO3785&lt;1.5,"1.3～1.4",IF(AO3785&lt;2,"1.5～1.9","2.0以上"))))))</f>
        <v/>
      </c>
      <c r="AQ3785" s="8" t="str">
        <f aca="false">IF(A3785="","",IF(ISNUMBER(SEARCH("2歳",Z3785)),"2歳戦",IF(ISNUMBER(SEARCH("3歳未勝利",Z3785)),"3歳未勝利",IF(ISNUMBER(SEARCH("未勝利",Z3785)),"その他未勝利",IF(ISNUMBER(SEARCH("G1",Z3785)),"G1",IF(ISNUMBER(SEARCH("G2",Z3785)),"G2",IF(ISNUMBER(SEARCH("G3",Z3785)),"G3",IF(ISNUMBER(SEARCH("古馬条件",Z3785)),"古馬条件戦",IF(ISNUMBER(SEARCH("重賞",Z3785)),"重賞","分類不能")))))))))</f>
        <v/>
      </c>
    </row>
    <row r="3786" customFormat="false" ht="15.75" hidden="false" customHeight="false" outlineLevel="0" collapsed="false">
      <c r="AO3786" s="8" t="str">
        <f aca="false">IF(A3786="","",IF(COUNTIFS(全馬データ!$A$2:$A$50000,A3786,全馬データ!$B$2:$B$50000,B3786,全馬データ!$C$2:$C$50000,C3786,全馬データ!$D$2:$D$50000,E3786,全馬データ!$K$2:$K$50000,"&lt;&gt;")=0,"",SUMIFS(全馬データ!$K$2:$K$50000,全馬データ!$A$2:$A$50000,A3786,全馬データ!$B$2:$B$50000,B3786,全馬データ!$C$2:$C$50000,C3786,全馬データ!$D$2:$D$50000,E3786)))</f>
        <v/>
      </c>
      <c r="AP3786" s="8" t="str">
        <f aca="false">IF(A3786="","",IF(AO3786="","欠損",IF(AO3786&lt;=1.1,"1.0～1.1",IF(AO3786&lt;1.3,"1.2",IF(AO3786&lt;1.5,"1.3～1.4",IF(AO3786&lt;2,"1.5～1.9","2.0以上"))))))</f>
        <v/>
      </c>
      <c r="AQ3786" s="8" t="str">
        <f aca="false">IF(A3786="","",IF(ISNUMBER(SEARCH("2歳",Z3786)),"2歳戦",IF(ISNUMBER(SEARCH("3歳未勝利",Z3786)),"3歳未勝利",IF(ISNUMBER(SEARCH("未勝利",Z3786)),"その他未勝利",IF(ISNUMBER(SEARCH("G1",Z3786)),"G1",IF(ISNUMBER(SEARCH("G2",Z3786)),"G2",IF(ISNUMBER(SEARCH("G3",Z3786)),"G3",IF(ISNUMBER(SEARCH("古馬条件",Z3786)),"古馬条件戦",IF(ISNUMBER(SEARCH("重賞",Z3786)),"重賞","分類不能")))))))))</f>
        <v/>
      </c>
    </row>
    <row r="3787" customFormat="false" ht="15.75" hidden="false" customHeight="false" outlineLevel="0" collapsed="false">
      <c r="AO3787" s="8" t="str">
        <f aca="false">IF(A3787="","",IF(COUNTIFS(全馬データ!$A$2:$A$50000,A3787,全馬データ!$B$2:$B$50000,B3787,全馬データ!$C$2:$C$50000,C3787,全馬データ!$D$2:$D$50000,E3787,全馬データ!$K$2:$K$50000,"&lt;&gt;")=0,"",SUMIFS(全馬データ!$K$2:$K$50000,全馬データ!$A$2:$A$50000,A3787,全馬データ!$B$2:$B$50000,B3787,全馬データ!$C$2:$C$50000,C3787,全馬データ!$D$2:$D$50000,E3787)))</f>
        <v/>
      </c>
      <c r="AP3787" s="8" t="str">
        <f aca="false">IF(A3787="","",IF(AO3787="","欠損",IF(AO3787&lt;=1.1,"1.0～1.1",IF(AO3787&lt;1.3,"1.2",IF(AO3787&lt;1.5,"1.3～1.4",IF(AO3787&lt;2,"1.5～1.9","2.0以上"))))))</f>
        <v/>
      </c>
      <c r="AQ3787" s="8" t="str">
        <f aca="false">IF(A3787="","",IF(ISNUMBER(SEARCH("2歳",Z3787)),"2歳戦",IF(ISNUMBER(SEARCH("3歳未勝利",Z3787)),"3歳未勝利",IF(ISNUMBER(SEARCH("未勝利",Z3787)),"その他未勝利",IF(ISNUMBER(SEARCH("G1",Z3787)),"G1",IF(ISNUMBER(SEARCH("G2",Z3787)),"G2",IF(ISNUMBER(SEARCH("G3",Z3787)),"G3",IF(ISNUMBER(SEARCH("古馬条件",Z3787)),"古馬条件戦",IF(ISNUMBER(SEARCH("重賞",Z3787)),"重賞","分類不能")))))))))</f>
        <v/>
      </c>
    </row>
    <row r="3788" customFormat="false" ht="15.75" hidden="false" customHeight="false" outlineLevel="0" collapsed="false">
      <c r="AO3788" s="8" t="str">
        <f aca="false">IF(A3788="","",IF(COUNTIFS(全馬データ!$A$2:$A$50000,A3788,全馬データ!$B$2:$B$50000,B3788,全馬データ!$C$2:$C$50000,C3788,全馬データ!$D$2:$D$50000,E3788,全馬データ!$K$2:$K$50000,"&lt;&gt;")=0,"",SUMIFS(全馬データ!$K$2:$K$50000,全馬データ!$A$2:$A$50000,A3788,全馬データ!$B$2:$B$50000,B3788,全馬データ!$C$2:$C$50000,C3788,全馬データ!$D$2:$D$50000,E3788)))</f>
        <v/>
      </c>
      <c r="AP3788" s="8" t="str">
        <f aca="false">IF(A3788="","",IF(AO3788="","欠損",IF(AO3788&lt;=1.1,"1.0～1.1",IF(AO3788&lt;1.3,"1.2",IF(AO3788&lt;1.5,"1.3～1.4",IF(AO3788&lt;2,"1.5～1.9","2.0以上"))))))</f>
        <v/>
      </c>
      <c r="AQ3788" s="8" t="str">
        <f aca="false">IF(A3788="","",IF(ISNUMBER(SEARCH("2歳",Z3788)),"2歳戦",IF(ISNUMBER(SEARCH("3歳未勝利",Z3788)),"3歳未勝利",IF(ISNUMBER(SEARCH("未勝利",Z3788)),"その他未勝利",IF(ISNUMBER(SEARCH("G1",Z3788)),"G1",IF(ISNUMBER(SEARCH("G2",Z3788)),"G2",IF(ISNUMBER(SEARCH("G3",Z3788)),"G3",IF(ISNUMBER(SEARCH("古馬条件",Z3788)),"古馬条件戦",IF(ISNUMBER(SEARCH("重賞",Z3788)),"重賞","分類不能")))))))))</f>
        <v/>
      </c>
    </row>
    <row r="3789" customFormat="false" ht="15.75" hidden="false" customHeight="false" outlineLevel="0" collapsed="false">
      <c r="AO3789" s="8" t="str">
        <f aca="false">IF(A3789="","",IF(COUNTIFS(全馬データ!$A$2:$A$50000,A3789,全馬データ!$B$2:$B$50000,B3789,全馬データ!$C$2:$C$50000,C3789,全馬データ!$D$2:$D$50000,E3789,全馬データ!$K$2:$K$50000,"&lt;&gt;")=0,"",SUMIFS(全馬データ!$K$2:$K$50000,全馬データ!$A$2:$A$50000,A3789,全馬データ!$B$2:$B$50000,B3789,全馬データ!$C$2:$C$50000,C3789,全馬データ!$D$2:$D$50000,E3789)))</f>
        <v/>
      </c>
      <c r="AP3789" s="8" t="str">
        <f aca="false">IF(A3789="","",IF(AO3789="","欠損",IF(AO3789&lt;=1.1,"1.0～1.1",IF(AO3789&lt;1.3,"1.2",IF(AO3789&lt;1.5,"1.3～1.4",IF(AO3789&lt;2,"1.5～1.9","2.0以上"))))))</f>
        <v/>
      </c>
      <c r="AQ3789" s="8" t="str">
        <f aca="false">IF(A3789="","",IF(ISNUMBER(SEARCH("2歳",Z3789)),"2歳戦",IF(ISNUMBER(SEARCH("3歳未勝利",Z3789)),"3歳未勝利",IF(ISNUMBER(SEARCH("未勝利",Z3789)),"その他未勝利",IF(ISNUMBER(SEARCH("G1",Z3789)),"G1",IF(ISNUMBER(SEARCH("G2",Z3789)),"G2",IF(ISNUMBER(SEARCH("G3",Z3789)),"G3",IF(ISNUMBER(SEARCH("古馬条件",Z3789)),"古馬条件戦",IF(ISNUMBER(SEARCH("重賞",Z3789)),"重賞","分類不能")))))))))</f>
        <v/>
      </c>
    </row>
    <row r="3790" customFormat="false" ht="15.75" hidden="false" customHeight="false" outlineLevel="0" collapsed="false">
      <c r="AO3790" s="8" t="str">
        <f aca="false">IF(A3790="","",IF(COUNTIFS(全馬データ!$A$2:$A$50000,A3790,全馬データ!$B$2:$B$50000,B3790,全馬データ!$C$2:$C$50000,C3790,全馬データ!$D$2:$D$50000,E3790,全馬データ!$K$2:$K$50000,"&lt;&gt;")=0,"",SUMIFS(全馬データ!$K$2:$K$50000,全馬データ!$A$2:$A$50000,A3790,全馬データ!$B$2:$B$50000,B3790,全馬データ!$C$2:$C$50000,C3790,全馬データ!$D$2:$D$50000,E3790)))</f>
        <v/>
      </c>
      <c r="AP3790" s="8" t="str">
        <f aca="false">IF(A3790="","",IF(AO3790="","欠損",IF(AO3790&lt;=1.1,"1.0～1.1",IF(AO3790&lt;1.3,"1.2",IF(AO3790&lt;1.5,"1.3～1.4",IF(AO3790&lt;2,"1.5～1.9","2.0以上"))))))</f>
        <v/>
      </c>
      <c r="AQ3790" s="8" t="str">
        <f aca="false">IF(A3790="","",IF(ISNUMBER(SEARCH("2歳",Z3790)),"2歳戦",IF(ISNUMBER(SEARCH("3歳未勝利",Z3790)),"3歳未勝利",IF(ISNUMBER(SEARCH("未勝利",Z3790)),"その他未勝利",IF(ISNUMBER(SEARCH("G1",Z3790)),"G1",IF(ISNUMBER(SEARCH("G2",Z3790)),"G2",IF(ISNUMBER(SEARCH("G3",Z3790)),"G3",IF(ISNUMBER(SEARCH("古馬条件",Z3790)),"古馬条件戦",IF(ISNUMBER(SEARCH("重賞",Z3790)),"重賞","分類不能")))))))))</f>
        <v/>
      </c>
    </row>
    <row r="3791" customFormat="false" ht="15.75" hidden="false" customHeight="false" outlineLevel="0" collapsed="false">
      <c r="AO3791" s="8" t="str">
        <f aca="false">IF(A3791="","",IF(COUNTIFS(全馬データ!$A$2:$A$50000,A3791,全馬データ!$B$2:$B$50000,B3791,全馬データ!$C$2:$C$50000,C3791,全馬データ!$D$2:$D$50000,E3791,全馬データ!$K$2:$K$50000,"&lt;&gt;")=0,"",SUMIFS(全馬データ!$K$2:$K$50000,全馬データ!$A$2:$A$50000,A3791,全馬データ!$B$2:$B$50000,B3791,全馬データ!$C$2:$C$50000,C3791,全馬データ!$D$2:$D$50000,E3791)))</f>
        <v/>
      </c>
      <c r="AP3791" s="8" t="str">
        <f aca="false">IF(A3791="","",IF(AO3791="","欠損",IF(AO3791&lt;=1.1,"1.0～1.1",IF(AO3791&lt;1.3,"1.2",IF(AO3791&lt;1.5,"1.3～1.4",IF(AO3791&lt;2,"1.5～1.9","2.0以上"))))))</f>
        <v/>
      </c>
      <c r="AQ3791" s="8" t="str">
        <f aca="false">IF(A3791="","",IF(ISNUMBER(SEARCH("2歳",Z3791)),"2歳戦",IF(ISNUMBER(SEARCH("3歳未勝利",Z3791)),"3歳未勝利",IF(ISNUMBER(SEARCH("未勝利",Z3791)),"その他未勝利",IF(ISNUMBER(SEARCH("G1",Z3791)),"G1",IF(ISNUMBER(SEARCH("G2",Z3791)),"G2",IF(ISNUMBER(SEARCH("G3",Z3791)),"G3",IF(ISNUMBER(SEARCH("古馬条件",Z3791)),"古馬条件戦",IF(ISNUMBER(SEARCH("重賞",Z3791)),"重賞","分類不能")))))))))</f>
        <v/>
      </c>
    </row>
    <row r="3792" customFormat="false" ht="15.75" hidden="false" customHeight="false" outlineLevel="0" collapsed="false">
      <c r="AO3792" s="8" t="str">
        <f aca="false">IF(A3792="","",IF(COUNTIFS(全馬データ!$A$2:$A$50000,A3792,全馬データ!$B$2:$B$50000,B3792,全馬データ!$C$2:$C$50000,C3792,全馬データ!$D$2:$D$50000,E3792,全馬データ!$K$2:$K$50000,"&lt;&gt;")=0,"",SUMIFS(全馬データ!$K$2:$K$50000,全馬データ!$A$2:$A$50000,A3792,全馬データ!$B$2:$B$50000,B3792,全馬データ!$C$2:$C$50000,C3792,全馬データ!$D$2:$D$50000,E3792)))</f>
        <v/>
      </c>
      <c r="AP3792" s="8" t="str">
        <f aca="false">IF(A3792="","",IF(AO3792="","欠損",IF(AO3792&lt;=1.1,"1.0～1.1",IF(AO3792&lt;1.3,"1.2",IF(AO3792&lt;1.5,"1.3～1.4",IF(AO3792&lt;2,"1.5～1.9","2.0以上"))))))</f>
        <v/>
      </c>
      <c r="AQ3792" s="8" t="str">
        <f aca="false">IF(A3792="","",IF(ISNUMBER(SEARCH("2歳",Z3792)),"2歳戦",IF(ISNUMBER(SEARCH("3歳未勝利",Z3792)),"3歳未勝利",IF(ISNUMBER(SEARCH("未勝利",Z3792)),"その他未勝利",IF(ISNUMBER(SEARCH("G1",Z3792)),"G1",IF(ISNUMBER(SEARCH("G2",Z3792)),"G2",IF(ISNUMBER(SEARCH("G3",Z3792)),"G3",IF(ISNUMBER(SEARCH("古馬条件",Z3792)),"古馬条件戦",IF(ISNUMBER(SEARCH("重賞",Z3792)),"重賞","分類不能")))))))))</f>
        <v/>
      </c>
    </row>
    <row r="3793" customFormat="false" ht="15.75" hidden="false" customHeight="false" outlineLevel="0" collapsed="false">
      <c r="AO3793" s="8" t="str">
        <f aca="false">IF(A3793="","",IF(COUNTIFS(全馬データ!$A$2:$A$50000,A3793,全馬データ!$B$2:$B$50000,B3793,全馬データ!$C$2:$C$50000,C3793,全馬データ!$D$2:$D$50000,E3793,全馬データ!$K$2:$K$50000,"&lt;&gt;")=0,"",SUMIFS(全馬データ!$K$2:$K$50000,全馬データ!$A$2:$A$50000,A3793,全馬データ!$B$2:$B$50000,B3793,全馬データ!$C$2:$C$50000,C3793,全馬データ!$D$2:$D$50000,E3793)))</f>
        <v/>
      </c>
      <c r="AP3793" s="8" t="str">
        <f aca="false">IF(A3793="","",IF(AO3793="","欠損",IF(AO3793&lt;=1.1,"1.0～1.1",IF(AO3793&lt;1.3,"1.2",IF(AO3793&lt;1.5,"1.3～1.4",IF(AO3793&lt;2,"1.5～1.9","2.0以上"))))))</f>
        <v/>
      </c>
      <c r="AQ3793" s="8" t="str">
        <f aca="false">IF(A3793="","",IF(ISNUMBER(SEARCH("2歳",Z3793)),"2歳戦",IF(ISNUMBER(SEARCH("3歳未勝利",Z3793)),"3歳未勝利",IF(ISNUMBER(SEARCH("未勝利",Z3793)),"その他未勝利",IF(ISNUMBER(SEARCH("G1",Z3793)),"G1",IF(ISNUMBER(SEARCH("G2",Z3793)),"G2",IF(ISNUMBER(SEARCH("G3",Z3793)),"G3",IF(ISNUMBER(SEARCH("古馬条件",Z3793)),"古馬条件戦",IF(ISNUMBER(SEARCH("重賞",Z3793)),"重賞","分類不能")))))))))</f>
        <v/>
      </c>
    </row>
    <row r="3794" customFormat="false" ht="15.75" hidden="false" customHeight="false" outlineLevel="0" collapsed="false">
      <c r="AO3794" s="8" t="str">
        <f aca="false">IF(A3794="","",IF(COUNTIFS(全馬データ!$A$2:$A$50000,A3794,全馬データ!$B$2:$B$50000,B3794,全馬データ!$C$2:$C$50000,C3794,全馬データ!$D$2:$D$50000,E3794,全馬データ!$K$2:$K$50000,"&lt;&gt;")=0,"",SUMIFS(全馬データ!$K$2:$K$50000,全馬データ!$A$2:$A$50000,A3794,全馬データ!$B$2:$B$50000,B3794,全馬データ!$C$2:$C$50000,C3794,全馬データ!$D$2:$D$50000,E3794)))</f>
        <v/>
      </c>
      <c r="AP3794" s="8" t="str">
        <f aca="false">IF(A3794="","",IF(AO3794="","欠損",IF(AO3794&lt;=1.1,"1.0～1.1",IF(AO3794&lt;1.3,"1.2",IF(AO3794&lt;1.5,"1.3～1.4",IF(AO3794&lt;2,"1.5～1.9","2.0以上"))))))</f>
        <v/>
      </c>
      <c r="AQ3794" s="8" t="str">
        <f aca="false">IF(A3794="","",IF(ISNUMBER(SEARCH("2歳",Z3794)),"2歳戦",IF(ISNUMBER(SEARCH("3歳未勝利",Z3794)),"3歳未勝利",IF(ISNUMBER(SEARCH("未勝利",Z3794)),"その他未勝利",IF(ISNUMBER(SEARCH("G1",Z3794)),"G1",IF(ISNUMBER(SEARCH("G2",Z3794)),"G2",IF(ISNUMBER(SEARCH("G3",Z3794)),"G3",IF(ISNUMBER(SEARCH("古馬条件",Z3794)),"古馬条件戦",IF(ISNUMBER(SEARCH("重賞",Z3794)),"重賞","分類不能")))))))))</f>
        <v/>
      </c>
    </row>
    <row r="3795" customFormat="false" ht="15.75" hidden="false" customHeight="false" outlineLevel="0" collapsed="false">
      <c r="AO3795" s="8" t="str">
        <f aca="false">IF(A3795="","",IF(COUNTIFS(全馬データ!$A$2:$A$50000,A3795,全馬データ!$B$2:$B$50000,B3795,全馬データ!$C$2:$C$50000,C3795,全馬データ!$D$2:$D$50000,E3795,全馬データ!$K$2:$K$50000,"&lt;&gt;")=0,"",SUMIFS(全馬データ!$K$2:$K$50000,全馬データ!$A$2:$A$50000,A3795,全馬データ!$B$2:$B$50000,B3795,全馬データ!$C$2:$C$50000,C3795,全馬データ!$D$2:$D$50000,E3795)))</f>
        <v/>
      </c>
      <c r="AP3795" s="8" t="str">
        <f aca="false">IF(A3795="","",IF(AO3795="","欠損",IF(AO3795&lt;=1.1,"1.0～1.1",IF(AO3795&lt;1.3,"1.2",IF(AO3795&lt;1.5,"1.3～1.4",IF(AO3795&lt;2,"1.5～1.9","2.0以上"))))))</f>
        <v/>
      </c>
      <c r="AQ3795" s="8" t="str">
        <f aca="false">IF(A3795="","",IF(ISNUMBER(SEARCH("2歳",Z3795)),"2歳戦",IF(ISNUMBER(SEARCH("3歳未勝利",Z3795)),"3歳未勝利",IF(ISNUMBER(SEARCH("未勝利",Z3795)),"その他未勝利",IF(ISNUMBER(SEARCH("G1",Z3795)),"G1",IF(ISNUMBER(SEARCH("G2",Z3795)),"G2",IF(ISNUMBER(SEARCH("G3",Z3795)),"G3",IF(ISNUMBER(SEARCH("古馬条件",Z3795)),"古馬条件戦",IF(ISNUMBER(SEARCH("重賞",Z3795)),"重賞","分類不能")))))))))</f>
        <v/>
      </c>
    </row>
    <row r="3796" customFormat="false" ht="15.75" hidden="false" customHeight="false" outlineLevel="0" collapsed="false">
      <c r="AO3796" s="8" t="str">
        <f aca="false">IF(A3796="","",IF(COUNTIFS(全馬データ!$A$2:$A$50000,A3796,全馬データ!$B$2:$B$50000,B3796,全馬データ!$C$2:$C$50000,C3796,全馬データ!$D$2:$D$50000,E3796,全馬データ!$K$2:$K$50000,"&lt;&gt;")=0,"",SUMIFS(全馬データ!$K$2:$K$50000,全馬データ!$A$2:$A$50000,A3796,全馬データ!$B$2:$B$50000,B3796,全馬データ!$C$2:$C$50000,C3796,全馬データ!$D$2:$D$50000,E3796)))</f>
        <v/>
      </c>
      <c r="AP3796" s="8" t="str">
        <f aca="false">IF(A3796="","",IF(AO3796="","欠損",IF(AO3796&lt;=1.1,"1.0～1.1",IF(AO3796&lt;1.3,"1.2",IF(AO3796&lt;1.5,"1.3～1.4",IF(AO3796&lt;2,"1.5～1.9","2.0以上"))))))</f>
        <v/>
      </c>
      <c r="AQ3796" s="8" t="str">
        <f aca="false">IF(A3796="","",IF(ISNUMBER(SEARCH("2歳",Z3796)),"2歳戦",IF(ISNUMBER(SEARCH("3歳未勝利",Z3796)),"3歳未勝利",IF(ISNUMBER(SEARCH("未勝利",Z3796)),"その他未勝利",IF(ISNUMBER(SEARCH("G1",Z3796)),"G1",IF(ISNUMBER(SEARCH("G2",Z3796)),"G2",IF(ISNUMBER(SEARCH("G3",Z3796)),"G3",IF(ISNUMBER(SEARCH("古馬条件",Z3796)),"古馬条件戦",IF(ISNUMBER(SEARCH("重賞",Z3796)),"重賞","分類不能")))))))))</f>
        <v/>
      </c>
    </row>
    <row r="3797" customFormat="false" ht="15.75" hidden="false" customHeight="false" outlineLevel="0" collapsed="false">
      <c r="AO3797" s="8" t="str">
        <f aca="false">IF(A3797="","",IF(COUNTIFS(全馬データ!$A$2:$A$50000,A3797,全馬データ!$B$2:$B$50000,B3797,全馬データ!$C$2:$C$50000,C3797,全馬データ!$D$2:$D$50000,E3797,全馬データ!$K$2:$K$50000,"&lt;&gt;")=0,"",SUMIFS(全馬データ!$K$2:$K$50000,全馬データ!$A$2:$A$50000,A3797,全馬データ!$B$2:$B$50000,B3797,全馬データ!$C$2:$C$50000,C3797,全馬データ!$D$2:$D$50000,E3797)))</f>
        <v/>
      </c>
      <c r="AP3797" s="8" t="str">
        <f aca="false">IF(A3797="","",IF(AO3797="","欠損",IF(AO3797&lt;=1.1,"1.0～1.1",IF(AO3797&lt;1.3,"1.2",IF(AO3797&lt;1.5,"1.3～1.4",IF(AO3797&lt;2,"1.5～1.9","2.0以上"))))))</f>
        <v/>
      </c>
      <c r="AQ3797" s="8" t="str">
        <f aca="false">IF(A3797="","",IF(ISNUMBER(SEARCH("2歳",Z3797)),"2歳戦",IF(ISNUMBER(SEARCH("3歳未勝利",Z3797)),"3歳未勝利",IF(ISNUMBER(SEARCH("未勝利",Z3797)),"その他未勝利",IF(ISNUMBER(SEARCH("G1",Z3797)),"G1",IF(ISNUMBER(SEARCH("G2",Z3797)),"G2",IF(ISNUMBER(SEARCH("G3",Z3797)),"G3",IF(ISNUMBER(SEARCH("古馬条件",Z3797)),"古馬条件戦",IF(ISNUMBER(SEARCH("重賞",Z3797)),"重賞","分類不能")))))))))</f>
        <v/>
      </c>
    </row>
    <row r="3798" customFormat="false" ht="15.75" hidden="false" customHeight="false" outlineLevel="0" collapsed="false">
      <c r="AO3798" s="8" t="str">
        <f aca="false">IF(A3798="","",IF(COUNTIFS(全馬データ!$A$2:$A$50000,A3798,全馬データ!$B$2:$B$50000,B3798,全馬データ!$C$2:$C$50000,C3798,全馬データ!$D$2:$D$50000,E3798,全馬データ!$K$2:$K$50000,"&lt;&gt;")=0,"",SUMIFS(全馬データ!$K$2:$K$50000,全馬データ!$A$2:$A$50000,A3798,全馬データ!$B$2:$B$50000,B3798,全馬データ!$C$2:$C$50000,C3798,全馬データ!$D$2:$D$50000,E3798)))</f>
        <v/>
      </c>
      <c r="AP3798" s="8" t="str">
        <f aca="false">IF(A3798="","",IF(AO3798="","欠損",IF(AO3798&lt;=1.1,"1.0～1.1",IF(AO3798&lt;1.3,"1.2",IF(AO3798&lt;1.5,"1.3～1.4",IF(AO3798&lt;2,"1.5～1.9","2.0以上"))))))</f>
        <v/>
      </c>
      <c r="AQ3798" s="8" t="str">
        <f aca="false">IF(A3798="","",IF(ISNUMBER(SEARCH("2歳",Z3798)),"2歳戦",IF(ISNUMBER(SEARCH("3歳未勝利",Z3798)),"3歳未勝利",IF(ISNUMBER(SEARCH("未勝利",Z3798)),"その他未勝利",IF(ISNUMBER(SEARCH("G1",Z3798)),"G1",IF(ISNUMBER(SEARCH("G2",Z3798)),"G2",IF(ISNUMBER(SEARCH("G3",Z3798)),"G3",IF(ISNUMBER(SEARCH("古馬条件",Z3798)),"古馬条件戦",IF(ISNUMBER(SEARCH("重賞",Z3798)),"重賞","分類不能")))))))))</f>
        <v/>
      </c>
    </row>
    <row r="3799" customFormat="false" ht="15.75" hidden="false" customHeight="false" outlineLevel="0" collapsed="false">
      <c r="AO3799" s="8" t="str">
        <f aca="false">IF(A3799="","",IF(COUNTIFS(全馬データ!$A$2:$A$50000,A3799,全馬データ!$B$2:$B$50000,B3799,全馬データ!$C$2:$C$50000,C3799,全馬データ!$D$2:$D$50000,E3799,全馬データ!$K$2:$K$50000,"&lt;&gt;")=0,"",SUMIFS(全馬データ!$K$2:$K$50000,全馬データ!$A$2:$A$50000,A3799,全馬データ!$B$2:$B$50000,B3799,全馬データ!$C$2:$C$50000,C3799,全馬データ!$D$2:$D$50000,E3799)))</f>
        <v/>
      </c>
      <c r="AP3799" s="8" t="str">
        <f aca="false">IF(A3799="","",IF(AO3799="","欠損",IF(AO3799&lt;=1.1,"1.0～1.1",IF(AO3799&lt;1.3,"1.2",IF(AO3799&lt;1.5,"1.3～1.4",IF(AO3799&lt;2,"1.5～1.9","2.0以上"))))))</f>
        <v/>
      </c>
      <c r="AQ3799" s="8" t="str">
        <f aca="false">IF(A3799="","",IF(ISNUMBER(SEARCH("2歳",Z3799)),"2歳戦",IF(ISNUMBER(SEARCH("3歳未勝利",Z3799)),"3歳未勝利",IF(ISNUMBER(SEARCH("未勝利",Z3799)),"その他未勝利",IF(ISNUMBER(SEARCH("G1",Z3799)),"G1",IF(ISNUMBER(SEARCH("G2",Z3799)),"G2",IF(ISNUMBER(SEARCH("G3",Z3799)),"G3",IF(ISNUMBER(SEARCH("古馬条件",Z3799)),"古馬条件戦",IF(ISNUMBER(SEARCH("重賞",Z3799)),"重賞","分類不能")))))))))</f>
        <v/>
      </c>
    </row>
    <row r="3800" customFormat="false" ht="15.75" hidden="false" customHeight="false" outlineLevel="0" collapsed="false">
      <c r="AO3800" s="8" t="str">
        <f aca="false">IF(A3800="","",IF(COUNTIFS(全馬データ!$A$2:$A$50000,A3800,全馬データ!$B$2:$B$50000,B3800,全馬データ!$C$2:$C$50000,C3800,全馬データ!$D$2:$D$50000,E3800,全馬データ!$K$2:$K$50000,"&lt;&gt;")=0,"",SUMIFS(全馬データ!$K$2:$K$50000,全馬データ!$A$2:$A$50000,A3800,全馬データ!$B$2:$B$50000,B3800,全馬データ!$C$2:$C$50000,C3800,全馬データ!$D$2:$D$50000,E3800)))</f>
        <v/>
      </c>
      <c r="AP3800" s="8" t="str">
        <f aca="false">IF(A3800="","",IF(AO3800="","欠損",IF(AO3800&lt;=1.1,"1.0～1.1",IF(AO3800&lt;1.3,"1.2",IF(AO3800&lt;1.5,"1.3～1.4",IF(AO3800&lt;2,"1.5～1.9","2.0以上"))))))</f>
        <v/>
      </c>
      <c r="AQ3800" s="8" t="str">
        <f aca="false">IF(A3800="","",IF(ISNUMBER(SEARCH("2歳",Z3800)),"2歳戦",IF(ISNUMBER(SEARCH("3歳未勝利",Z3800)),"3歳未勝利",IF(ISNUMBER(SEARCH("未勝利",Z3800)),"その他未勝利",IF(ISNUMBER(SEARCH("G1",Z3800)),"G1",IF(ISNUMBER(SEARCH("G2",Z3800)),"G2",IF(ISNUMBER(SEARCH("G3",Z3800)),"G3",IF(ISNUMBER(SEARCH("古馬条件",Z3800)),"古馬条件戦",IF(ISNUMBER(SEARCH("重賞",Z3800)),"重賞","分類不能")))))))))</f>
        <v/>
      </c>
    </row>
    <row r="3801" customFormat="false" ht="15.75" hidden="false" customHeight="false" outlineLevel="0" collapsed="false">
      <c r="AO3801" s="8" t="str">
        <f aca="false">IF(A3801="","",IF(COUNTIFS(全馬データ!$A$2:$A$50000,A3801,全馬データ!$B$2:$B$50000,B3801,全馬データ!$C$2:$C$50000,C3801,全馬データ!$D$2:$D$50000,E3801,全馬データ!$K$2:$K$50000,"&lt;&gt;")=0,"",SUMIFS(全馬データ!$K$2:$K$50000,全馬データ!$A$2:$A$50000,A3801,全馬データ!$B$2:$B$50000,B3801,全馬データ!$C$2:$C$50000,C3801,全馬データ!$D$2:$D$50000,E3801)))</f>
        <v/>
      </c>
      <c r="AP3801" s="8" t="str">
        <f aca="false">IF(A3801="","",IF(AO3801="","欠損",IF(AO3801&lt;=1.1,"1.0～1.1",IF(AO3801&lt;1.3,"1.2",IF(AO3801&lt;1.5,"1.3～1.4",IF(AO3801&lt;2,"1.5～1.9","2.0以上"))))))</f>
        <v/>
      </c>
      <c r="AQ3801" s="8" t="str">
        <f aca="false">IF(A3801="","",IF(ISNUMBER(SEARCH("2歳",Z3801)),"2歳戦",IF(ISNUMBER(SEARCH("3歳未勝利",Z3801)),"3歳未勝利",IF(ISNUMBER(SEARCH("未勝利",Z3801)),"その他未勝利",IF(ISNUMBER(SEARCH("G1",Z3801)),"G1",IF(ISNUMBER(SEARCH("G2",Z3801)),"G2",IF(ISNUMBER(SEARCH("G3",Z3801)),"G3",IF(ISNUMBER(SEARCH("古馬条件",Z3801)),"古馬条件戦",IF(ISNUMBER(SEARCH("重賞",Z3801)),"重賞","分類不能")))))))))</f>
        <v/>
      </c>
    </row>
    <row r="3802" customFormat="false" ht="15.75" hidden="false" customHeight="false" outlineLevel="0" collapsed="false">
      <c r="AO3802" s="8" t="str">
        <f aca="false">IF(A3802="","",IF(COUNTIFS(全馬データ!$A$2:$A$50000,A3802,全馬データ!$B$2:$B$50000,B3802,全馬データ!$C$2:$C$50000,C3802,全馬データ!$D$2:$D$50000,E3802,全馬データ!$K$2:$K$50000,"&lt;&gt;")=0,"",SUMIFS(全馬データ!$K$2:$K$50000,全馬データ!$A$2:$A$50000,A3802,全馬データ!$B$2:$B$50000,B3802,全馬データ!$C$2:$C$50000,C3802,全馬データ!$D$2:$D$50000,E3802)))</f>
        <v/>
      </c>
      <c r="AP3802" s="8" t="str">
        <f aca="false">IF(A3802="","",IF(AO3802="","欠損",IF(AO3802&lt;=1.1,"1.0～1.1",IF(AO3802&lt;1.3,"1.2",IF(AO3802&lt;1.5,"1.3～1.4",IF(AO3802&lt;2,"1.5～1.9","2.0以上"))))))</f>
        <v/>
      </c>
      <c r="AQ3802" s="8" t="str">
        <f aca="false">IF(A3802="","",IF(ISNUMBER(SEARCH("2歳",Z3802)),"2歳戦",IF(ISNUMBER(SEARCH("3歳未勝利",Z3802)),"3歳未勝利",IF(ISNUMBER(SEARCH("未勝利",Z3802)),"その他未勝利",IF(ISNUMBER(SEARCH("G1",Z3802)),"G1",IF(ISNUMBER(SEARCH("G2",Z3802)),"G2",IF(ISNUMBER(SEARCH("G3",Z3802)),"G3",IF(ISNUMBER(SEARCH("古馬条件",Z3802)),"古馬条件戦",IF(ISNUMBER(SEARCH("重賞",Z3802)),"重賞","分類不能")))))))))</f>
        <v/>
      </c>
    </row>
    <row r="3803" customFormat="false" ht="15.75" hidden="false" customHeight="false" outlineLevel="0" collapsed="false">
      <c r="AO3803" s="8" t="str">
        <f aca="false">IF(A3803="","",IF(COUNTIFS(全馬データ!$A$2:$A$50000,A3803,全馬データ!$B$2:$B$50000,B3803,全馬データ!$C$2:$C$50000,C3803,全馬データ!$D$2:$D$50000,E3803,全馬データ!$K$2:$K$50000,"&lt;&gt;")=0,"",SUMIFS(全馬データ!$K$2:$K$50000,全馬データ!$A$2:$A$50000,A3803,全馬データ!$B$2:$B$50000,B3803,全馬データ!$C$2:$C$50000,C3803,全馬データ!$D$2:$D$50000,E3803)))</f>
        <v/>
      </c>
      <c r="AP3803" s="8" t="str">
        <f aca="false">IF(A3803="","",IF(AO3803="","欠損",IF(AO3803&lt;=1.1,"1.0～1.1",IF(AO3803&lt;1.3,"1.2",IF(AO3803&lt;1.5,"1.3～1.4",IF(AO3803&lt;2,"1.5～1.9","2.0以上"))))))</f>
        <v/>
      </c>
      <c r="AQ3803" s="8" t="str">
        <f aca="false">IF(A3803="","",IF(ISNUMBER(SEARCH("2歳",Z3803)),"2歳戦",IF(ISNUMBER(SEARCH("3歳未勝利",Z3803)),"3歳未勝利",IF(ISNUMBER(SEARCH("未勝利",Z3803)),"その他未勝利",IF(ISNUMBER(SEARCH("G1",Z3803)),"G1",IF(ISNUMBER(SEARCH("G2",Z3803)),"G2",IF(ISNUMBER(SEARCH("G3",Z3803)),"G3",IF(ISNUMBER(SEARCH("古馬条件",Z3803)),"古馬条件戦",IF(ISNUMBER(SEARCH("重賞",Z3803)),"重賞","分類不能")))))))))</f>
        <v/>
      </c>
    </row>
    <row r="3804" customFormat="false" ht="15.75" hidden="false" customHeight="false" outlineLevel="0" collapsed="false">
      <c r="AO3804" s="8" t="str">
        <f aca="false">IF(A3804="","",IF(COUNTIFS(全馬データ!$A$2:$A$50000,A3804,全馬データ!$B$2:$B$50000,B3804,全馬データ!$C$2:$C$50000,C3804,全馬データ!$D$2:$D$50000,E3804,全馬データ!$K$2:$K$50000,"&lt;&gt;")=0,"",SUMIFS(全馬データ!$K$2:$K$50000,全馬データ!$A$2:$A$50000,A3804,全馬データ!$B$2:$B$50000,B3804,全馬データ!$C$2:$C$50000,C3804,全馬データ!$D$2:$D$50000,E3804)))</f>
        <v/>
      </c>
      <c r="AP3804" s="8" t="str">
        <f aca="false">IF(A3804="","",IF(AO3804="","欠損",IF(AO3804&lt;=1.1,"1.0～1.1",IF(AO3804&lt;1.3,"1.2",IF(AO3804&lt;1.5,"1.3～1.4",IF(AO3804&lt;2,"1.5～1.9","2.0以上"))))))</f>
        <v/>
      </c>
      <c r="AQ3804" s="8" t="str">
        <f aca="false">IF(A3804="","",IF(ISNUMBER(SEARCH("2歳",Z3804)),"2歳戦",IF(ISNUMBER(SEARCH("3歳未勝利",Z3804)),"3歳未勝利",IF(ISNUMBER(SEARCH("未勝利",Z3804)),"その他未勝利",IF(ISNUMBER(SEARCH("G1",Z3804)),"G1",IF(ISNUMBER(SEARCH("G2",Z3804)),"G2",IF(ISNUMBER(SEARCH("G3",Z3804)),"G3",IF(ISNUMBER(SEARCH("古馬条件",Z3804)),"古馬条件戦",IF(ISNUMBER(SEARCH("重賞",Z3804)),"重賞","分類不能")))))))))</f>
        <v/>
      </c>
    </row>
    <row r="3805" customFormat="false" ht="15.75" hidden="false" customHeight="false" outlineLevel="0" collapsed="false">
      <c r="AO3805" s="8" t="str">
        <f aca="false">IF(A3805="","",IF(COUNTIFS(全馬データ!$A$2:$A$50000,A3805,全馬データ!$B$2:$B$50000,B3805,全馬データ!$C$2:$C$50000,C3805,全馬データ!$D$2:$D$50000,E3805,全馬データ!$K$2:$K$50000,"&lt;&gt;")=0,"",SUMIFS(全馬データ!$K$2:$K$50000,全馬データ!$A$2:$A$50000,A3805,全馬データ!$B$2:$B$50000,B3805,全馬データ!$C$2:$C$50000,C3805,全馬データ!$D$2:$D$50000,E3805)))</f>
        <v/>
      </c>
      <c r="AP3805" s="8" t="str">
        <f aca="false">IF(A3805="","",IF(AO3805="","欠損",IF(AO3805&lt;=1.1,"1.0～1.1",IF(AO3805&lt;1.3,"1.2",IF(AO3805&lt;1.5,"1.3～1.4",IF(AO3805&lt;2,"1.5～1.9","2.0以上"))))))</f>
        <v/>
      </c>
      <c r="AQ3805" s="8" t="str">
        <f aca="false">IF(A3805="","",IF(ISNUMBER(SEARCH("2歳",Z3805)),"2歳戦",IF(ISNUMBER(SEARCH("3歳未勝利",Z3805)),"3歳未勝利",IF(ISNUMBER(SEARCH("未勝利",Z3805)),"その他未勝利",IF(ISNUMBER(SEARCH("G1",Z3805)),"G1",IF(ISNUMBER(SEARCH("G2",Z3805)),"G2",IF(ISNUMBER(SEARCH("G3",Z3805)),"G3",IF(ISNUMBER(SEARCH("古馬条件",Z3805)),"古馬条件戦",IF(ISNUMBER(SEARCH("重賞",Z3805)),"重賞","分類不能")))))))))</f>
        <v/>
      </c>
    </row>
    <row r="3806" customFormat="false" ht="15.75" hidden="false" customHeight="false" outlineLevel="0" collapsed="false">
      <c r="AO3806" s="8" t="str">
        <f aca="false">IF(A3806="","",IF(COUNTIFS(全馬データ!$A$2:$A$50000,A3806,全馬データ!$B$2:$B$50000,B3806,全馬データ!$C$2:$C$50000,C3806,全馬データ!$D$2:$D$50000,E3806,全馬データ!$K$2:$K$50000,"&lt;&gt;")=0,"",SUMIFS(全馬データ!$K$2:$K$50000,全馬データ!$A$2:$A$50000,A3806,全馬データ!$B$2:$B$50000,B3806,全馬データ!$C$2:$C$50000,C3806,全馬データ!$D$2:$D$50000,E3806)))</f>
        <v/>
      </c>
      <c r="AP3806" s="8" t="str">
        <f aca="false">IF(A3806="","",IF(AO3806="","欠損",IF(AO3806&lt;=1.1,"1.0～1.1",IF(AO3806&lt;1.3,"1.2",IF(AO3806&lt;1.5,"1.3～1.4",IF(AO3806&lt;2,"1.5～1.9","2.0以上"))))))</f>
        <v/>
      </c>
      <c r="AQ3806" s="8" t="str">
        <f aca="false">IF(A3806="","",IF(ISNUMBER(SEARCH("2歳",Z3806)),"2歳戦",IF(ISNUMBER(SEARCH("3歳未勝利",Z3806)),"3歳未勝利",IF(ISNUMBER(SEARCH("未勝利",Z3806)),"その他未勝利",IF(ISNUMBER(SEARCH("G1",Z3806)),"G1",IF(ISNUMBER(SEARCH("G2",Z3806)),"G2",IF(ISNUMBER(SEARCH("G3",Z3806)),"G3",IF(ISNUMBER(SEARCH("古馬条件",Z3806)),"古馬条件戦",IF(ISNUMBER(SEARCH("重賞",Z3806)),"重賞","分類不能")))))))))</f>
        <v/>
      </c>
    </row>
    <row r="3807" customFormat="false" ht="15.75" hidden="false" customHeight="false" outlineLevel="0" collapsed="false">
      <c r="AO3807" s="8" t="str">
        <f aca="false">IF(A3807="","",IF(COUNTIFS(全馬データ!$A$2:$A$50000,A3807,全馬データ!$B$2:$B$50000,B3807,全馬データ!$C$2:$C$50000,C3807,全馬データ!$D$2:$D$50000,E3807,全馬データ!$K$2:$K$50000,"&lt;&gt;")=0,"",SUMIFS(全馬データ!$K$2:$K$50000,全馬データ!$A$2:$A$50000,A3807,全馬データ!$B$2:$B$50000,B3807,全馬データ!$C$2:$C$50000,C3807,全馬データ!$D$2:$D$50000,E3807)))</f>
        <v/>
      </c>
      <c r="AP3807" s="8" t="str">
        <f aca="false">IF(A3807="","",IF(AO3807="","欠損",IF(AO3807&lt;=1.1,"1.0～1.1",IF(AO3807&lt;1.3,"1.2",IF(AO3807&lt;1.5,"1.3～1.4",IF(AO3807&lt;2,"1.5～1.9","2.0以上"))))))</f>
        <v/>
      </c>
      <c r="AQ3807" s="8" t="str">
        <f aca="false">IF(A3807="","",IF(ISNUMBER(SEARCH("2歳",Z3807)),"2歳戦",IF(ISNUMBER(SEARCH("3歳未勝利",Z3807)),"3歳未勝利",IF(ISNUMBER(SEARCH("未勝利",Z3807)),"その他未勝利",IF(ISNUMBER(SEARCH("G1",Z3807)),"G1",IF(ISNUMBER(SEARCH("G2",Z3807)),"G2",IF(ISNUMBER(SEARCH("G3",Z3807)),"G3",IF(ISNUMBER(SEARCH("古馬条件",Z3807)),"古馬条件戦",IF(ISNUMBER(SEARCH("重賞",Z3807)),"重賞","分類不能")))))))))</f>
        <v/>
      </c>
    </row>
    <row r="3808" customFormat="false" ht="15.75" hidden="false" customHeight="false" outlineLevel="0" collapsed="false">
      <c r="AO3808" s="8" t="str">
        <f aca="false">IF(A3808="","",IF(COUNTIFS(全馬データ!$A$2:$A$50000,A3808,全馬データ!$B$2:$B$50000,B3808,全馬データ!$C$2:$C$50000,C3808,全馬データ!$D$2:$D$50000,E3808,全馬データ!$K$2:$K$50000,"&lt;&gt;")=0,"",SUMIFS(全馬データ!$K$2:$K$50000,全馬データ!$A$2:$A$50000,A3808,全馬データ!$B$2:$B$50000,B3808,全馬データ!$C$2:$C$50000,C3808,全馬データ!$D$2:$D$50000,E3808)))</f>
        <v/>
      </c>
      <c r="AP3808" s="8" t="str">
        <f aca="false">IF(A3808="","",IF(AO3808="","欠損",IF(AO3808&lt;=1.1,"1.0～1.1",IF(AO3808&lt;1.3,"1.2",IF(AO3808&lt;1.5,"1.3～1.4",IF(AO3808&lt;2,"1.5～1.9","2.0以上"))))))</f>
        <v/>
      </c>
      <c r="AQ3808" s="8" t="str">
        <f aca="false">IF(A3808="","",IF(ISNUMBER(SEARCH("2歳",Z3808)),"2歳戦",IF(ISNUMBER(SEARCH("3歳未勝利",Z3808)),"3歳未勝利",IF(ISNUMBER(SEARCH("未勝利",Z3808)),"その他未勝利",IF(ISNUMBER(SEARCH("G1",Z3808)),"G1",IF(ISNUMBER(SEARCH("G2",Z3808)),"G2",IF(ISNUMBER(SEARCH("G3",Z3808)),"G3",IF(ISNUMBER(SEARCH("古馬条件",Z3808)),"古馬条件戦",IF(ISNUMBER(SEARCH("重賞",Z3808)),"重賞","分類不能")))))))))</f>
        <v/>
      </c>
    </row>
    <row r="3809" customFormat="false" ht="15.75" hidden="false" customHeight="false" outlineLevel="0" collapsed="false">
      <c r="AO3809" s="8" t="str">
        <f aca="false">IF(A3809="","",IF(COUNTIFS(全馬データ!$A$2:$A$50000,A3809,全馬データ!$B$2:$B$50000,B3809,全馬データ!$C$2:$C$50000,C3809,全馬データ!$D$2:$D$50000,E3809,全馬データ!$K$2:$K$50000,"&lt;&gt;")=0,"",SUMIFS(全馬データ!$K$2:$K$50000,全馬データ!$A$2:$A$50000,A3809,全馬データ!$B$2:$B$50000,B3809,全馬データ!$C$2:$C$50000,C3809,全馬データ!$D$2:$D$50000,E3809)))</f>
        <v/>
      </c>
      <c r="AP3809" s="8" t="str">
        <f aca="false">IF(A3809="","",IF(AO3809="","欠損",IF(AO3809&lt;=1.1,"1.0～1.1",IF(AO3809&lt;1.3,"1.2",IF(AO3809&lt;1.5,"1.3～1.4",IF(AO3809&lt;2,"1.5～1.9","2.0以上"))))))</f>
        <v/>
      </c>
      <c r="AQ3809" s="8" t="str">
        <f aca="false">IF(A3809="","",IF(ISNUMBER(SEARCH("2歳",Z3809)),"2歳戦",IF(ISNUMBER(SEARCH("3歳未勝利",Z3809)),"3歳未勝利",IF(ISNUMBER(SEARCH("未勝利",Z3809)),"その他未勝利",IF(ISNUMBER(SEARCH("G1",Z3809)),"G1",IF(ISNUMBER(SEARCH("G2",Z3809)),"G2",IF(ISNUMBER(SEARCH("G3",Z3809)),"G3",IF(ISNUMBER(SEARCH("古馬条件",Z3809)),"古馬条件戦",IF(ISNUMBER(SEARCH("重賞",Z3809)),"重賞","分類不能")))))))))</f>
        <v/>
      </c>
    </row>
    <row r="3810" customFormat="false" ht="15.75" hidden="false" customHeight="false" outlineLevel="0" collapsed="false">
      <c r="AO3810" s="8" t="str">
        <f aca="false">IF(A3810="","",IF(COUNTIFS(全馬データ!$A$2:$A$50000,A3810,全馬データ!$B$2:$B$50000,B3810,全馬データ!$C$2:$C$50000,C3810,全馬データ!$D$2:$D$50000,E3810,全馬データ!$K$2:$K$50000,"&lt;&gt;")=0,"",SUMIFS(全馬データ!$K$2:$K$50000,全馬データ!$A$2:$A$50000,A3810,全馬データ!$B$2:$B$50000,B3810,全馬データ!$C$2:$C$50000,C3810,全馬データ!$D$2:$D$50000,E3810)))</f>
        <v/>
      </c>
      <c r="AP3810" s="8" t="str">
        <f aca="false">IF(A3810="","",IF(AO3810="","欠損",IF(AO3810&lt;=1.1,"1.0～1.1",IF(AO3810&lt;1.3,"1.2",IF(AO3810&lt;1.5,"1.3～1.4",IF(AO3810&lt;2,"1.5～1.9","2.0以上"))))))</f>
        <v/>
      </c>
      <c r="AQ3810" s="8" t="str">
        <f aca="false">IF(A3810="","",IF(ISNUMBER(SEARCH("2歳",Z3810)),"2歳戦",IF(ISNUMBER(SEARCH("3歳未勝利",Z3810)),"3歳未勝利",IF(ISNUMBER(SEARCH("未勝利",Z3810)),"その他未勝利",IF(ISNUMBER(SEARCH("G1",Z3810)),"G1",IF(ISNUMBER(SEARCH("G2",Z3810)),"G2",IF(ISNUMBER(SEARCH("G3",Z3810)),"G3",IF(ISNUMBER(SEARCH("古馬条件",Z3810)),"古馬条件戦",IF(ISNUMBER(SEARCH("重賞",Z3810)),"重賞","分類不能")))))))))</f>
        <v/>
      </c>
    </row>
    <row r="3811" customFormat="false" ht="15.75" hidden="false" customHeight="false" outlineLevel="0" collapsed="false">
      <c r="AO3811" s="8" t="str">
        <f aca="false">IF(A3811="","",IF(COUNTIFS(全馬データ!$A$2:$A$50000,A3811,全馬データ!$B$2:$B$50000,B3811,全馬データ!$C$2:$C$50000,C3811,全馬データ!$D$2:$D$50000,E3811,全馬データ!$K$2:$K$50000,"&lt;&gt;")=0,"",SUMIFS(全馬データ!$K$2:$K$50000,全馬データ!$A$2:$A$50000,A3811,全馬データ!$B$2:$B$50000,B3811,全馬データ!$C$2:$C$50000,C3811,全馬データ!$D$2:$D$50000,E3811)))</f>
        <v/>
      </c>
      <c r="AP3811" s="8" t="str">
        <f aca="false">IF(A3811="","",IF(AO3811="","欠損",IF(AO3811&lt;=1.1,"1.0～1.1",IF(AO3811&lt;1.3,"1.2",IF(AO3811&lt;1.5,"1.3～1.4",IF(AO3811&lt;2,"1.5～1.9","2.0以上"))))))</f>
        <v/>
      </c>
      <c r="AQ3811" s="8" t="str">
        <f aca="false">IF(A3811="","",IF(ISNUMBER(SEARCH("2歳",Z3811)),"2歳戦",IF(ISNUMBER(SEARCH("3歳未勝利",Z3811)),"3歳未勝利",IF(ISNUMBER(SEARCH("未勝利",Z3811)),"その他未勝利",IF(ISNUMBER(SEARCH("G1",Z3811)),"G1",IF(ISNUMBER(SEARCH("G2",Z3811)),"G2",IF(ISNUMBER(SEARCH("G3",Z3811)),"G3",IF(ISNUMBER(SEARCH("古馬条件",Z3811)),"古馬条件戦",IF(ISNUMBER(SEARCH("重賞",Z3811)),"重賞","分類不能")))))))))</f>
        <v/>
      </c>
    </row>
    <row r="3812" customFormat="false" ht="15.75" hidden="false" customHeight="false" outlineLevel="0" collapsed="false">
      <c r="AO3812" s="8" t="str">
        <f aca="false">IF(A3812="","",IF(COUNTIFS(全馬データ!$A$2:$A$50000,A3812,全馬データ!$B$2:$B$50000,B3812,全馬データ!$C$2:$C$50000,C3812,全馬データ!$D$2:$D$50000,E3812,全馬データ!$K$2:$K$50000,"&lt;&gt;")=0,"",SUMIFS(全馬データ!$K$2:$K$50000,全馬データ!$A$2:$A$50000,A3812,全馬データ!$B$2:$B$50000,B3812,全馬データ!$C$2:$C$50000,C3812,全馬データ!$D$2:$D$50000,E3812)))</f>
        <v/>
      </c>
      <c r="AP3812" s="8" t="str">
        <f aca="false">IF(A3812="","",IF(AO3812="","欠損",IF(AO3812&lt;=1.1,"1.0～1.1",IF(AO3812&lt;1.3,"1.2",IF(AO3812&lt;1.5,"1.3～1.4",IF(AO3812&lt;2,"1.5～1.9","2.0以上"))))))</f>
        <v/>
      </c>
      <c r="AQ3812" s="8" t="str">
        <f aca="false">IF(A3812="","",IF(ISNUMBER(SEARCH("2歳",Z3812)),"2歳戦",IF(ISNUMBER(SEARCH("3歳未勝利",Z3812)),"3歳未勝利",IF(ISNUMBER(SEARCH("未勝利",Z3812)),"その他未勝利",IF(ISNUMBER(SEARCH("G1",Z3812)),"G1",IF(ISNUMBER(SEARCH("G2",Z3812)),"G2",IF(ISNUMBER(SEARCH("G3",Z3812)),"G3",IF(ISNUMBER(SEARCH("古馬条件",Z3812)),"古馬条件戦",IF(ISNUMBER(SEARCH("重賞",Z3812)),"重賞","分類不能")))))))))</f>
        <v/>
      </c>
    </row>
    <row r="3813" customFormat="false" ht="15.75" hidden="false" customHeight="false" outlineLevel="0" collapsed="false">
      <c r="AO3813" s="8" t="str">
        <f aca="false">IF(A3813="","",IF(COUNTIFS(全馬データ!$A$2:$A$50000,A3813,全馬データ!$B$2:$B$50000,B3813,全馬データ!$C$2:$C$50000,C3813,全馬データ!$D$2:$D$50000,E3813,全馬データ!$K$2:$K$50000,"&lt;&gt;")=0,"",SUMIFS(全馬データ!$K$2:$K$50000,全馬データ!$A$2:$A$50000,A3813,全馬データ!$B$2:$B$50000,B3813,全馬データ!$C$2:$C$50000,C3813,全馬データ!$D$2:$D$50000,E3813)))</f>
        <v/>
      </c>
      <c r="AP3813" s="8" t="str">
        <f aca="false">IF(A3813="","",IF(AO3813="","欠損",IF(AO3813&lt;=1.1,"1.0～1.1",IF(AO3813&lt;1.3,"1.2",IF(AO3813&lt;1.5,"1.3～1.4",IF(AO3813&lt;2,"1.5～1.9","2.0以上"))))))</f>
        <v/>
      </c>
      <c r="AQ3813" s="8" t="str">
        <f aca="false">IF(A3813="","",IF(ISNUMBER(SEARCH("2歳",Z3813)),"2歳戦",IF(ISNUMBER(SEARCH("3歳未勝利",Z3813)),"3歳未勝利",IF(ISNUMBER(SEARCH("未勝利",Z3813)),"その他未勝利",IF(ISNUMBER(SEARCH("G1",Z3813)),"G1",IF(ISNUMBER(SEARCH("G2",Z3813)),"G2",IF(ISNUMBER(SEARCH("G3",Z3813)),"G3",IF(ISNUMBER(SEARCH("古馬条件",Z3813)),"古馬条件戦",IF(ISNUMBER(SEARCH("重賞",Z3813)),"重賞","分類不能")))))))))</f>
        <v/>
      </c>
    </row>
    <row r="3814" customFormat="false" ht="15.75" hidden="false" customHeight="false" outlineLevel="0" collapsed="false">
      <c r="AO3814" s="8" t="str">
        <f aca="false">IF(A3814="","",IF(COUNTIFS(全馬データ!$A$2:$A$50000,A3814,全馬データ!$B$2:$B$50000,B3814,全馬データ!$C$2:$C$50000,C3814,全馬データ!$D$2:$D$50000,E3814,全馬データ!$K$2:$K$50000,"&lt;&gt;")=0,"",SUMIFS(全馬データ!$K$2:$K$50000,全馬データ!$A$2:$A$50000,A3814,全馬データ!$B$2:$B$50000,B3814,全馬データ!$C$2:$C$50000,C3814,全馬データ!$D$2:$D$50000,E3814)))</f>
        <v/>
      </c>
      <c r="AP3814" s="8" t="str">
        <f aca="false">IF(A3814="","",IF(AO3814="","欠損",IF(AO3814&lt;=1.1,"1.0～1.1",IF(AO3814&lt;1.3,"1.2",IF(AO3814&lt;1.5,"1.3～1.4",IF(AO3814&lt;2,"1.5～1.9","2.0以上"))))))</f>
        <v/>
      </c>
      <c r="AQ3814" s="8" t="str">
        <f aca="false">IF(A3814="","",IF(ISNUMBER(SEARCH("2歳",Z3814)),"2歳戦",IF(ISNUMBER(SEARCH("3歳未勝利",Z3814)),"3歳未勝利",IF(ISNUMBER(SEARCH("未勝利",Z3814)),"その他未勝利",IF(ISNUMBER(SEARCH("G1",Z3814)),"G1",IF(ISNUMBER(SEARCH("G2",Z3814)),"G2",IF(ISNUMBER(SEARCH("G3",Z3814)),"G3",IF(ISNUMBER(SEARCH("古馬条件",Z3814)),"古馬条件戦",IF(ISNUMBER(SEARCH("重賞",Z3814)),"重賞","分類不能")))))))))</f>
        <v/>
      </c>
    </row>
    <row r="3815" customFormat="false" ht="15.75" hidden="false" customHeight="false" outlineLevel="0" collapsed="false">
      <c r="AO3815" s="8" t="str">
        <f aca="false">IF(A3815="","",IF(COUNTIFS(全馬データ!$A$2:$A$50000,A3815,全馬データ!$B$2:$B$50000,B3815,全馬データ!$C$2:$C$50000,C3815,全馬データ!$D$2:$D$50000,E3815,全馬データ!$K$2:$K$50000,"&lt;&gt;")=0,"",SUMIFS(全馬データ!$K$2:$K$50000,全馬データ!$A$2:$A$50000,A3815,全馬データ!$B$2:$B$50000,B3815,全馬データ!$C$2:$C$50000,C3815,全馬データ!$D$2:$D$50000,E3815)))</f>
        <v/>
      </c>
      <c r="AP3815" s="8" t="str">
        <f aca="false">IF(A3815="","",IF(AO3815="","欠損",IF(AO3815&lt;=1.1,"1.0～1.1",IF(AO3815&lt;1.3,"1.2",IF(AO3815&lt;1.5,"1.3～1.4",IF(AO3815&lt;2,"1.5～1.9","2.0以上"))))))</f>
        <v/>
      </c>
      <c r="AQ3815" s="8" t="str">
        <f aca="false">IF(A3815="","",IF(ISNUMBER(SEARCH("2歳",Z3815)),"2歳戦",IF(ISNUMBER(SEARCH("3歳未勝利",Z3815)),"3歳未勝利",IF(ISNUMBER(SEARCH("未勝利",Z3815)),"その他未勝利",IF(ISNUMBER(SEARCH("G1",Z3815)),"G1",IF(ISNUMBER(SEARCH("G2",Z3815)),"G2",IF(ISNUMBER(SEARCH("G3",Z3815)),"G3",IF(ISNUMBER(SEARCH("古馬条件",Z3815)),"古馬条件戦",IF(ISNUMBER(SEARCH("重賞",Z3815)),"重賞","分類不能")))))))))</f>
        <v/>
      </c>
    </row>
    <row r="3816" customFormat="false" ht="15.75" hidden="false" customHeight="false" outlineLevel="0" collapsed="false">
      <c r="AO3816" s="8" t="str">
        <f aca="false">IF(A3816="","",IF(COUNTIFS(全馬データ!$A$2:$A$50000,A3816,全馬データ!$B$2:$B$50000,B3816,全馬データ!$C$2:$C$50000,C3816,全馬データ!$D$2:$D$50000,E3816,全馬データ!$K$2:$K$50000,"&lt;&gt;")=0,"",SUMIFS(全馬データ!$K$2:$K$50000,全馬データ!$A$2:$A$50000,A3816,全馬データ!$B$2:$B$50000,B3816,全馬データ!$C$2:$C$50000,C3816,全馬データ!$D$2:$D$50000,E3816)))</f>
        <v/>
      </c>
      <c r="AP3816" s="8" t="str">
        <f aca="false">IF(A3816="","",IF(AO3816="","欠損",IF(AO3816&lt;=1.1,"1.0～1.1",IF(AO3816&lt;1.3,"1.2",IF(AO3816&lt;1.5,"1.3～1.4",IF(AO3816&lt;2,"1.5～1.9","2.0以上"))))))</f>
        <v/>
      </c>
      <c r="AQ3816" s="8" t="str">
        <f aca="false">IF(A3816="","",IF(ISNUMBER(SEARCH("2歳",Z3816)),"2歳戦",IF(ISNUMBER(SEARCH("3歳未勝利",Z3816)),"3歳未勝利",IF(ISNUMBER(SEARCH("未勝利",Z3816)),"その他未勝利",IF(ISNUMBER(SEARCH("G1",Z3816)),"G1",IF(ISNUMBER(SEARCH("G2",Z3816)),"G2",IF(ISNUMBER(SEARCH("G3",Z3816)),"G3",IF(ISNUMBER(SEARCH("古馬条件",Z3816)),"古馬条件戦",IF(ISNUMBER(SEARCH("重賞",Z3816)),"重賞","分類不能")))))))))</f>
        <v/>
      </c>
    </row>
    <row r="3817" customFormat="false" ht="15.75" hidden="false" customHeight="false" outlineLevel="0" collapsed="false">
      <c r="AO3817" s="8" t="str">
        <f aca="false">IF(A3817="","",IF(COUNTIFS(全馬データ!$A$2:$A$50000,A3817,全馬データ!$B$2:$B$50000,B3817,全馬データ!$C$2:$C$50000,C3817,全馬データ!$D$2:$D$50000,E3817,全馬データ!$K$2:$K$50000,"&lt;&gt;")=0,"",SUMIFS(全馬データ!$K$2:$K$50000,全馬データ!$A$2:$A$50000,A3817,全馬データ!$B$2:$B$50000,B3817,全馬データ!$C$2:$C$50000,C3817,全馬データ!$D$2:$D$50000,E3817)))</f>
        <v/>
      </c>
      <c r="AP3817" s="8" t="str">
        <f aca="false">IF(A3817="","",IF(AO3817="","欠損",IF(AO3817&lt;=1.1,"1.0～1.1",IF(AO3817&lt;1.3,"1.2",IF(AO3817&lt;1.5,"1.3～1.4",IF(AO3817&lt;2,"1.5～1.9","2.0以上"))))))</f>
        <v/>
      </c>
      <c r="AQ3817" s="8" t="str">
        <f aca="false">IF(A3817="","",IF(ISNUMBER(SEARCH("2歳",Z3817)),"2歳戦",IF(ISNUMBER(SEARCH("3歳未勝利",Z3817)),"3歳未勝利",IF(ISNUMBER(SEARCH("未勝利",Z3817)),"その他未勝利",IF(ISNUMBER(SEARCH("G1",Z3817)),"G1",IF(ISNUMBER(SEARCH("G2",Z3817)),"G2",IF(ISNUMBER(SEARCH("G3",Z3817)),"G3",IF(ISNUMBER(SEARCH("古馬条件",Z3817)),"古馬条件戦",IF(ISNUMBER(SEARCH("重賞",Z3817)),"重賞","分類不能")))))))))</f>
        <v/>
      </c>
    </row>
    <row r="3818" customFormat="false" ht="15.75" hidden="false" customHeight="false" outlineLevel="0" collapsed="false">
      <c r="AO3818" s="8" t="str">
        <f aca="false">IF(A3818="","",IF(COUNTIFS(全馬データ!$A$2:$A$50000,A3818,全馬データ!$B$2:$B$50000,B3818,全馬データ!$C$2:$C$50000,C3818,全馬データ!$D$2:$D$50000,E3818,全馬データ!$K$2:$K$50000,"&lt;&gt;")=0,"",SUMIFS(全馬データ!$K$2:$K$50000,全馬データ!$A$2:$A$50000,A3818,全馬データ!$B$2:$B$50000,B3818,全馬データ!$C$2:$C$50000,C3818,全馬データ!$D$2:$D$50000,E3818)))</f>
        <v/>
      </c>
      <c r="AP3818" s="8" t="str">
        <f aca="false">IF(A3818="","",IF(AO3818="","欠損",IF(AO3818&lt;=1.1,"1.0～1.1",IF(AO3818&lt;1.3,"1.2",IF(AO3818&lt;1.5,"1.3～1.4",IF(AO3818&lt;2,"1.5～1.9","2.0以上"))))))</f>
        <v/>
      </c>
      <c r="AQ3818" s="8" t="str">
        <f aca="false">IF(A3818="","",IF(ISNUMBER(SEARCH("2歳",Z3818)),"2歳戦",IF(ISNUMBER(SEARCH("3歳未勝利",Z3818)),"3歳未勝利",IF(ISNUMBER(SEARCH("未勝利",Z3818)),"その他未勝利",IF(ISNUMBER(SEARCH("G1",Z3818)),"G1",IF(ISNUMBER(SEARCH("G2",Z3818)),"G2",IF(ISNUMBER(SEARCH("G3",Z3818)),"G3",IF(ISNUMBER(SEARCH("古馬条件",Z3818)),"古馬条件戦",IF(ISNUMBER(SEARCH("重賞",Z3818)),"重賞","分類不能")))))))))</f>
        <v/>
      </c>
    </row>
    <row r="3819" customFormat="false" ht="15.75" hidden="false" customHeight="false" outlineLevel="0" collapsed="false">
      <c r="AO3819" s="8" t="str">
        <f aca="false">IF(A3819="","",IF(COUNTIFS(全馬データ!$A$2:$A$50000,A3819,全馬データ!$B$2:$B$50000,B3819,全馬データ!$C$2:$C$50000,C3819,全馬データ!$D$2:$D$50000,E3819,全馬データ!$K$2:$K$50000,"&lt;&gt;")=0,"",SUMIFS(全馬データ!$K$2:$K$50000,全馬データ!$A$2:$A$50000,A3819,全馬データ!$B$2:$B$50000,B3819,全馬データ!$C$2:$C$50000,C3819,全馬データ!$D$2:$D$50000,E3819)))</f>
        <v/>
      </c>
      <c r="AP3819" s="8" t="str">
        <f aca="false">IF(A3819="","",IF(AO3819="","欠損",IF(AO3819&lt;=1.1,"1.0～1.1",IF(AO3819&lt;1.3,"1.2",IF(AO3819&lt;1.5,"1.3～1.4",IF(AO3819&lt;2,"1.5～1.9","2.0以上"))))))</f>
        <v/>
      </c>
      <c r="AQ3819" s="8" t="str">
        <f aca="false">IF(A3819="","",IF(ISNUMBER(SEARCH("2歳",Z3819)),"2歳戦",IF(ISNUMBER(SEARCH("3歳未勝利",Z3819)),"3歳未勝利",IF(ISNUMBER(SEARCH("未勝利",Z3819)),"その他未勝利",IF(ISNUMBER(SEARCH("G1",Z3819)),"G1",IF(ISNUMBER(SEARCH("G2",Z3819)),"G2",IF(ISNUMBER(SEARCH("G3",Z3819)),"G3",IF(ISNUMBER(SEARCH("古馬条件",Z3819)),"古馬条件戦",IF(ISNUMBER(SEARCH("重賞",Z3819)),"重賞","分類不能")))))))))</f>
        <v/>
      </c>
    </row>
    <row r="3820" customFormat="false" ht="15.75" hidden="false" customHeight="false" outlineLevel="0" collapsed="false">
      <c r="AO3820" s="8" t="str">
        <f aca="false">IF(A3820="","",IF(COUNTIFS(全馬データ!$A$2:$A$50000,A3820,全馬データ!$B$2:$B$50000,B3820,全馬データ!$C$2:$C$50000,C3820,全馬データ!$D$2:$D$50000,E3820,全馬データ!$K$2:$K$50000,"&lt;&gt;")=0,"",SUMIFS(全馬データ!$K$2:$K$50000,全馬データ!$A$2:$A$50000,A3820,全馬データ!$B$2:$B$50000,B3820,全馬データ!$C$2:$C$50000,C3820,全馬データ!$D$2:$D$50000,E3820)))</f>
        <v/>
      </c>
      <c r="AP3820" s="8" t="str">
        <f aca="false">IF(A3820="","",IF(AO3820="","欠損",IF(AO3820&lt;=1.1,"1.0～1.1",IF(AO3820&lt;1.3,"1.2",IF(AO3820&lt;1.5,"1.3～1.4",IF(AO3820&lt;2,"1.5～1.9","2.0以上"))))))</f>
        <v/>
      </c>
      <c r="AQ3820" s="8" t="str">
        <f aca="false">IF(A3820="","",IF(ISNUMBER(SEARCH("2歳",Z3820)),"2歳戦",IF(ISNUMBER(SEARCH("3歳未勝利",Z3820)),"3歳未勝利",IF(ISNUMBER(SEARCH("未勝利",Z3820)),"その他未勝利",IF(ISNUMBER(SEARCH("G1",Z3820)),"G1",IF(ISNUMBER(SEARCH("G2",Z3820)),"G2",IF(ISNUMBER(SEARCH("G3",Z3820)),"G3",IF(ISNUMBER(SEARCH("古馬条件",Z3820)),"古馬条件戦",IF(ISNUMBER(SEARCH("重賞",Z3820)),"重賞","分類不能")))))))))</f>
        <v/>
      </c>
    </row>
    <row r="3821" customFormat="false" ht="15.75" hidden="false" customHeight="false" outlineLevel="0" collapsed="false">
      <c r="AO3821" s="8" t="str">
        <f aca="false">IF(A3821="","",IF(COUNTIFS(全馬データ!$A$2:$A$50000,A3821,全馬データ!$B$2:$B$50000,B3821,全馬データ!$C$2:$C$50000,C3821,全馬データ!$D$2:$D$50000,E3821,全馬データ!$K$2:$K$50000,"&lt;&gt;")=0,"",SUMIFS(全馬データ!$K$2:$K$50000,全馬データ!$A$2:$A$50000,A3821,全馬データ!$B$2:$B$50000,B3821,全馬データ!$C$2:$C$50000,C3821,全馬データ!$D$2:$D$50000,E3821)))</f>
        <v/>
      </c>
      <c r="AP3821" s="8" t="str">
        <f aca="false">IF(A3821="","",IF(AO3821="","欠損",IF(AO3821&lt;=1.1,"1.0～1.1",IF(AO3821&lt;1.3,"1.2",IF(AO3821&lt;1.5,"1.3～1.4",IF(AO3821&lt;2,"1.5～1.9","2.0以上"))))))</f>
        <v/>
      </c>
      <c r="AQ3821" s="8" t="str">
        <f aca="false">IF(A3821="","",IF(ISNUMBER(SEARCH("2歳",Z3821)),"2歳戦",IF(ISNUMBER(SEARCH("3歳未勝利",Z3821)),"3歳未勝利",IF(ISNUMBER(SEARCH("未勝利",Z3821)),"その他未勝利",IF(ISNUMBER(SEARCH("G1",Z3821)),"G1",IF(ISNUMBER(SEARCH("G2",Z3821)),"G2",IF(ISNUMBER(SEARCH("G3",Z3821)),"G3",IF(ISNUMBER(SEARCH("古馬条件",Z3821)),"古馬条件戦",IF(ISNUMBER(SEARCH("重賞",Z3821)),"重賞","分類不能")))))))))</f>
        <v/>
      </c>
    </row>
    <row r="3822" customFormat="false" ht="15.75" hidden="false" customHeight="false" outlineLevel="0" collapsed="false">
      <c r="AO3822" s="8" t="str">
        <f aca="false">IF(A3822="","",IF(COUNTIFS(全馬データ!$A$2:$A$50000,A3822,全馬データ!$B$2:$B$50000,B3822,全馬データ!$C$2:$C$50000,C3822,全馬データ!$D$2:$D$50000,E3822,全馬データ!$K$2:$K$50000,"&lt;&gt;")=0,"",SUMIFS(全馬データ!$K$2:$K$50000,全馬データ!$A$2:$A$50000,A3822,全馬データ!$B$2:$B$50000,B3822,全馬データ!$C$2:$C$50000,C3822,全馬データ!$D$2:$D$50000,E3822)))</f>
        <v/>
      </c>
      <c r="AP3822" s="8" t="str">
        <f aca="false">IF(A3822="","",IF(AO3822="","欠損",IF(AO3822&lt;=1.1,"1.0～1.1",IF(AO3822&lt;1.3,"1.2",IF(AO3822&lt;1.5,"1.3～1.4",IF(AO3822&lt;2,"1.5～1.9","2.0以上"))))))</f>
        <v/>
      </c>
      <c r="AQ3822" s="8" t="str">
        <f aca="false">IF(A3822="","",IF(ISNUMBER(SEARCH("2歳",Z3822)),"2歳戦",IF(ISNUMBER(SEARCH("3歳未勝利",Z3822)),"3歳未勝利",IF(ISNUMBER(SEARCH("未勝利",Z3822)),"その他未勝利",IF(ISNUMBER(SEARCH("G1",Z3822)),"G1",IF(ISNUMBER(SEARCH("G2",Z3822)),"G2",IF(ISNUMBER(SEARCH("G3",Z3822)),"G3",IF(ISNUMBER(SEARCH("古馬条件",Z3822)),"古馬条件戦",IF(ISNUMBER(SEARCH("重賞",Z3822)),"重賞","分類不能")))))))))</f>
        <v/>
      </c>
    </row>
    <row r="3823" customFormat="false" ht="15.75" hidden="false" customHeight="false" outlineLevel="0" collapsed="false">
      <c r="AO3823" s="8" t="str">
        <f aca="false">IF(A3823="","",IF(COUNTIFS(全馬データ!$A$2:$A$50000,A3823,全馬データ!$B$2:$B$50000,B3823,全馬データ!$C$2:$C$50000,C3823,全馬データ!$D$2:$D$50000,E3823,全馬データ!$K$2:$K$50000,"&lt;&gt;")=0,"",SUMIFS(全馬データ!$K$2:$K$50000,全馬データ!$A$2:$A$50000,A3823,全馬データ!$B$2:$B$50000,B3823,全馬データ!$C$2:$C$50000,C3823,全馬データ!$D$2:$D$50000,E3823)))</f>
        <v/>
      </c>
      <c r="AP3823" s="8" t="str">
        <f aca="false">IF(A3823="","",IF(AO3823="","欠損",IF(AO3823&lt;=1.1,"1.0～1.1",IF(AO3823&lt;1.3,"1.2",IF(AO3823&lt;1.5,"1.3～1.4",IF(AO3823&lt;2,"1.5～1.9","2.0以上"))))))</f>
        <v/>
      </c>
      <c r="AQ3823" s="8" t="str">
        <f aca="false">IF(A3823="","",IF(ISNUMBER(SEARCH("2歳",Z3823)),"2歳戦",IF(ISNUMBER(SEARCH("3歳未勝利",Z3823)),"3歳未勝利",IF(ISNUMBER(SEARCH("未勝利",Z3823)),"その他未勝利",IF(ISNUMBER(SEARCH("G1",Z3823)),"G1",IF(ISNUMBER(SEARCH("G2",Z3823)),"G2",IF(ISNUMBER(SEARCH("G3",Z3823)),"G3",IF(ISNUMBER(SEARCH("古馬条件",Z3823)),"古馬条件戦",IF(ISNUMBER(SEARCH("重賞",Z3823)),"重賞","分類不能")))))))))</f>
        <v/>
      </c>
    </row>
    <row r="3824" customFormat="false" ht="15.75" hidden="false" customHeight="false" outlineLevel="0" collapsed="false">
      <c r="AO3824" s="8" t="str">
        <f aca="false">IF(A3824="","",IF(COUNTIFS(全馬データ!$A$2:$A$50000,A3824,全馬データ!$B$2:$B$50000,B3824,全馬データ!$C$2:$C$50000,C3824,全馬データ!$D$2:$D$50000,E3824,全馬データ!$K$2:$K$50000,"&lt;&gt;")=0,"",SUMIFS(全馬データ!$K$2:$K$50000,全馬データ!$A$2:$A$50000,A3824,全馬データ!$B$2:$B$50000,B3824,全馬データ!$C$2:$C$50000,C3824,全馬データ!$D$2:$D$50000,E3824)))</f>
        <v/>
      </c>
      <c r="AP3824" s="8" t="str">
        <f aca="false">IF(A3824="","",IF(AO3824="","欠損",IF(AO3824&lt;=1.1,"1.0～1.1",IF(AO3824&lt;1.3,"1.2",IF(AO3824&lt;1.5,"1.3～1.4",IF(AO3824&lt;2,"1.5～1.9","2.0以上"))))))</f>
        <v/>
      </c>
      <c r="AQ3824" s="8" t="str">
        <f aca="false">IF(A3824="","",IF(ISNUMBER(SEARCH("2歳",Z3824)),"2歳戦",IF(ISNUMBER(SEARCH("3歳未勝利",Z3824)),"3歳未勝利",IF(ISNUMBER(SEARCH("未勝利",Z3824)),"その他未勝利",IF(ISNUMBER(SEARCH("G1",Z3824)),"G1",IF(ISNUMBER(SEARCH("G2",Z3824)),"G2",IF(ISNUMBER(SEARCH("G3",Z3824)),"G3",IF(ISNUMBER(SEARCH("古馬条件",Z3824)),"古馬条件戦",IF(ISNUMBER(SEARCH("重賞",Z3824)),"重賞","分類不能")))))))))</f>
        <v/>
      </c>
    </row>
    <row r="3825" customFormat="false" ht="15.75" hidden="false" customHeight="false" outlineLevel="0" collapsed="false">
      <c r="AO3825" s="8" t="str">
        <f aca="false">IF(A3825="","",IF(COUNTIFS(全馬データ!$A$2:$A$50000,A3825,全馬データ!$B$2:$B$50000,B3825,全馬データ!$C$2:$C$50000,C3825,全馬データ!$D$2:$D$50000,E3825,全馬データ!$K$2:$K$50000,"&lt;&gt;")=0,"",SUMIFS(全馬データ!$K$2:$K$50000,全馬データ!$A$2:$A$50000,A3825,全馬データ!$B$2:$B$50000,B3825,全馬データ!$C$2:$C$50000,C3825,全馬データ!$D$2:$D$50000,E3825)))</f>
        <v/>
      </c>
      <c r="AP3825" s="8" t="str">
        <f aca="false">IF(A3825="","",IF(AO3825="","欠損",IF(AO3825&lt;=1.1,"1.0～1.1",IF(AO3825&lt;1.3,"1.2",IF(AO3825&lt;1.5,"1.3～1.4",IF(AO3825&lt;2,"1.5～1.9","2.0以上"))))))</f>
        <v/>
      </c>
      <c r="AQ3825" s="8" t="str">
        <f aca="false">IF(A3825="","",IF(ISNUMBER(SEARCH("2歳",Z3825)),"2歳戦",IF(ISNUMBER(SEARCH("3歳未勝利",Z3825)),"3歳未勝利",IF(ISNUMBER(SEARCH("未勝利",Z3825)),"その他未勝利",IF(ISNUMBER(SEARCH("G1",Z3825)),"G1",IF(ISNUMBER(SEARCH("G2",Z3825)),"G2",IF(ISNUMBER(SEARCH("G3",Z3825)),"G3",IF(ISNUMBER(SEARCH("古馬条件",Z3825)),"古馬条件戦",IF(ISNUMBER(SEARCH("重賞",Z3825)),"重賞","分類不能")))))))))</f>
        <v/>
      </c>
    </row>
    <row r="3826" customFormat="false" ht="15.75" hidden="false" customHeight="false" outlineLevel="0" collapsed="false">
      <c r="AO3826" s="8" t="str">
        <f aca="false">IF(A3826="","",IF(COUNTIFS(全馬データ!$A$2:$A$50000,A3826,全馬データ!$B$2:$B$50000,B3826,全馬データ!$C$2:$C$50000,C3826,全馬データ!$D$2:$D$50000,E3826,全馬データ!$K$2:$K$50000,"&lt;&gt;")=0,"",SUMIFS(全馬データ!$K$2:$K$50000,全馬データ!$A$2:$A$50000,A3826,全馬データ!$B$2:$B$50000,B3826,全馬データ!$C$2:$C$50000,C3826,全馬データ!$D$2:$D$50000,E3826)))</f>
        <v/>
      </c>
      <c r="AP3826" s="8" t="str">
        <f aca="false">IF(A3826="","",IF(AO3826="","欠損",IF(AO3826&lt;=1.1,"1.0～1.1",IF(AO3826&lt;1.3,"1.2",IF(AO3826&lt;1.5,"1.3～1.4",IF(AO3826&lt;2,"1.5～1.9","2.0以上"))))))</f>
        <v/>
      </c>
      <c r="AQ3826" s="8" t="str">
        <f aca="false">IF(A3826="","",IF(ISNUMBER(SEARCH("2歳",Z3826)),"2歳戦",IF(ISNUMBER(SEARCH("3歳未勝利",Z3826)),"3歳未勝利",IF(ISNUMBER(SEARCH("未勝利",Z3826)),"その他未勝利",IF(ISNUMBER(SEARCH("G1",Z3826)),"G1",IF(ISNUMBER(SEARCH("G2",Z3826)),"G2",IF(ISNUMBER(SEARCH("G3",Z3826)),"G3",IF(ISNUMBER(SEARCH("古馬条件",Z3826)),"古馬条件戦",IF(ISNUMBER(SEARCH("重賞",Z3826)),"重賞","分類不能")))))))))</f>
        <v/>
      </c>
    </row>
    <row r="3827" customFormat="false" ht="15.75" hidden="false" customHeight="false" outlineLevel="0" collapsed="false">
      <c r="AO3827" s="8" t="str">
        <f aca="false">IF(A3827="","",IF(COUNTIFS(全馬データ!$A$2:$A$50000,A3827,全馬データ!$B$2:$B$50000,B3827,全馬データ!$C$2:$C$50000,C3827,全馬データ!$D$2:$D$50000,E3827,全馬データ!$K$2:$K$50000,"&lt;&gt;")=0,"",SUMIFS(全馬データ!$K$2:$K$50000,全馬データ!$A$2:$A$50000,A3827,全馬データ!$B$2:$B$50000,B3827,全馬データ!$C$2:$C$50000,C3827,全馬データ!$D$2:$D$50000,E3827)))</f>
        <v/>
      </c>
      <c r="AP3827" s="8" t="str">
        <f aca="false">IF(A3827="","",IF(AO3827="","欠損",IF(AO3827&lt;=1.1,"1.0～1.1",IF(AO3827&lt;1.3,"1.2",IF(AO3827&lt;1.5,"1.3～1.4",IF(AO3827&lt;2,"1.5～1.9","2.0以上"))))))</f>
        <v/>
      </c>
      <c r="AQ3827" s="8" t="str">
        <f aca="false">IF(A3827="","",IF(ISNUMBER(SEARCH("2歳",Z3827)),"2歳戦",IF(ISNUMBER(SEARCH("3歳未勝利",Z3827)),"3歳未勝利",IF(ISNUMBER(SEARCH("未勝利",Z3827)),"その他未勝利",IF(ISNUMBER(SEARCH("G1",Z3827)),"G1",IF(ISNUMBER(SEARCH("G2",Z3827)),"G2",IF(ISNUMBER(SEARCH("G3",Z3827)),"G3",IF(ISNUMBER(SEARCH("古馬条件",Z3827)),"古馬条件戦",IF(ISNUMBER(SEARCH("重賞",Z3827)),"重賞","分類不能")))))))))</f>
        <v/>
      </c>
    </row>
    <row r="3828" customFormat="false" ht="15.75" hidden="false" customHeight="false" outlineLevel="0" collapsed="false">
      <c r="AO3828" s="8" t="str">
        <f aca="false">IF(A3828="","",IF(COUNTIFS(全馬データ!$A$2:$A$50000,A3828,全馬データ!$B$2:$B$50000,B3828,全馬データ!$C$2:$C$50000,C3828,全馬データ!$D$2:$D$50000,E3828,全馬データ!$K$2:$K$50000,"&lt;&gt;")=0,"",SUMIFS(全馬データ!$K$2:$K$50000,全馬データ!$A$2:$A$50000,A3828,全馬データ!$B$2:$B$50000,B3828,全馬データ!$C$2:$C$50000,C3828,全馬データ!$D$2:$D$50000,E3828)))</f>
        <v/>
      </c>
      <c r="AP3828" s="8" t="str">
        <f aca="false">IF(A3828="","",IF(AO3828="","欠損",IF(AO3828&lt;=1.1,"1.0～1.1",IF(AO3828&lt;1.3,"1.2",IF(AO3828&lt;1.5,"1.3～1.4",IF(AO3828&lt;2,"1.5～1.9","2.0以上"))))))</f>
        <v/>
      </c>
      <c r="AQ3828" s="8" t="str">
        <f aca="false">IF(A3828="","",IF(ISNUMBER(SEARCH("2歳",Z3828)),"2歳戦",IF(ISNUMBER(SEARCH("3歳未勝利",Z3828)),"3歳未勝利",IF(ISNUMBER(SEARCH("未勝利",Z3828)),"その他未勝利",IF(ISNUMBER(SEARCH("G1",Z3828)),"G1",IF(ISNUMBER(SEARCH("G2",Z3828)),"G2",IF(ISNUMBER(SEARCH("G3",Z3828)),"G3",IF(ISNUMBER(SEARCH("古馬条件",Z3828)),"古馬条件戦",IF(ISNUMBER(SEARCH("重賞",Z3828)),"重賞","分類不能")))))))))</f>
        <v/>
      </c>
    </row>
    <row r="3829" customFormat="false" ht="15.75" hidden="false" customHeight="false" outlineLevel="0" collapsed="false">
      <c r="AO3829" s="8" t="str">
        <f aca="false">IF(A3829="","",IF(COUNTIFS(全馬データ!$A$2:$A$50000,A3829,全馬データ!$B$2:$B$50000,B3829,全馬データ!$C$2:$C$50000,C3829,全馬データ!$D$2:$D$50000,E3829,全馬データ!$K$2:$K$50000,"&lt;&gt;")=0,"",SUMIFS(全馬データ!$K$2:$K$50000,全馬データ!$A$2:$A$50000,A3829,全馬データ!$B$2:$B$50000,B3829,全馬データ!$C$2:$C$50000,C3829,全馬データ!$D$2:$D$50000,E3829)))</f>
        <v/>
      </c>
      <c r="AP3829" s="8" t="str">
        <f aca="false">IF(A3829="","",IF(AO3829="","欠損",IF(AO3829&lt;=1.1,"1.0～1.1",IF(AO3829&lt;1.3,"1.2",IF(AO3829&lt;1.5,"1.3～1.4",IF(AO3829&lt;2,"1.5～1.9","2.0以上"))))))</f>
        <v/>
      </c>
      <c r="AQ3829" s="8" t="str">
        <f aca="false">IF(A3829="","",IF(ISNUMBER(SEARCH("2歳",Z3829)),"2歳戦",IF(ISNUMBER(SEARCH("3歳未勝利",Z3829)),"3歳未勝利",IF(ISNUMBER(SEARCH("未勝利",Z3829)),"その他未勝利",IF(ISNUMBER(SEARCH("G1",Z3829)),"G1",IF(ISNUMBER(SEARCH("G2",Z3829)),"G2",IF(ISNUMBER(SEARCH("G3",Z3829)),"G3",IF(ISNUMBER(SEARCH("古馬条件",Z3829)),"古馬条件戦",IF(ISNUMBER(SEARCH("重賞",Z3829)),"重賞","分類不能")))))))))</f>
        <v/>
      </c>
    </row>
    <row r="3830" customFormat="false" ht="15.75" hidden="false" customHeight="false" outlineLevel="0" collapsed="false">
      <c r="AO3830" s="8" t="str">
        <f aca="false">IF(A3830="","",IF(COUNTIFS(全馬データ!$A$2:$A$50000,A3830,全馬データ!$B$2:$B$50000,B3830,全馬データ!$C$2:$C$50000,C3830,全馬データ!$D$2:$D$50000,E3830,全馬データ!$K$2:$K$50000,"&lt;&gt;")=0,"",SUMIFS(全馬データ!$K$2:$K$50000,全馬データ!$A$2:$A$50000,A3830,全馬データ!$B$2:$B$50000,B3830,全馬データ!$C$2:$C$50000,C3830,全馬データ!$D$2:$D$50000,E3830)))</f>
        <v/>
      </c>
      <c r="AP3830" s="8" t="str">
        <f aca="false">IF(A3830="","",IF(AO3830="","欠損",IF(AO3830&lt;=1.1,"1.0～1.1",IF(AO3830&lt;1.3,"1.2",IF(AO3830&lt;1.5,"1.3～1.4",IF(AO3830&lt;2,"1.5～1.9","2.0以上"))))))</f>
        <v/>
      </c>
      <c r="AQ3830" s="8" t="str">
        <f aca="false">IF(A3830="","",IF(ISNUMBER(SEARCH("2歳",Z3830)),"2歳戦",IF(ISNUMBER(SEARCH("3歳未勝利",Z3830)),"3歳未勝利",IF(ISNUMBER(SEARCH("未勝利",Z3830)),"その他未勝利",IF(ISNUMBER(SEARCH("G1",Z3830)),"G1",IF(ISNUMBER(SEARCH("G2",Z3830)),"G2",IF(ISNUMBER(SEARCH("G3",Z3830)),"G3",IF(ISNUMBER(SEARCH("古馬条件",Z3830)),"古馬条件戦",IF(ISNUMBER(SEARCH("重賞",Z3830)),"重賞","分類不能")))))))))</f>
        <v/>
      </c>
    </row>
    <row r="3831" customFormat="false" ht="15.75" hidden="false" customHeight="false" outlineLevel="0" collapsed="false">
      <c r="AO3831" s="8" t="str">
        <f aca="false">IF(A3831="","",IF(COUNTIFS(全馬データ!$A$2:$A$50000,A3831,全馬データ!$B$2:$B$50000,B3831,全馬データ!$C$2:$C$50000,C3831,全馬データ!$D$2:$D$50000,E3831,全馬データ!$K$2:$K$50000,"&lt;&gt;")=0,"",SUMIFS(全馬データ!$K$2:$K$50000,全馬データ!$A$2:$A$50000,A3831,全馬データ!$B$2:$B$50000,B3831,全馬データ!$C$2:$C$50000,C3831,全馬データ!$D$2:$D$50000,E3831)))</f>
        <v/>
      </c>
      <c r="AP3831" s="8" t="str">
        <f aca="false">IF(A3831="","",IF(AO3831="","欠損",IF(AO3831&lt;=1.1,"1.0～1.1",IF(AO3831&lt;1.3,"1.2",IF(AO3831&lt;1.5,"1.3～1.4",IF(AO3831&lt;2,"1.5～1.9","2.0以上"))))))</f>
        <v/>
      </c>
      <c r="AQ3831" s="8" t="str">
        <f aca="false">IF(A3831="","",IF(ISNUMBER(SEARCH("2歳",Z3831)),"2歳戦",IF(ISNUMBER(SEARCH("3歳未勝利",Z3831)),"3歳未勝利",IF(ISNUMBER(SEARCH("未勝利",Z3831)),"その他未勝利",IF(ISNUMBER(SEARCH("G1",Z3831)),"G1",IF(ISNUMBER(SEARCH("G2",Z3831)),"G2",IF(ISNUMBER(SEARCH("G3",Z3831)),"G3",IF(ISNUMBER(SEARCH("古馬条件",Z3831)),"古馬条件戦",IF(ISNUMBER(SEARCH("重賞",Z3831)),"重賞","分類不能")))))))))</f>
        <v/>
      </c>
    </row>
    <row r="3832" customFormat="false" ht="15.75" hidden="false" customHeight="false" outlineLevel="0" collapsed="false">
      <c r="AO3832" s="8" t="str">
        <f aca="false">IF(A3832="","",IF(COUNTIFS(全馬データ!$A$2:$A$50000,A3832,全馬データ!$B$2:$B$50000,B3832,全馬データ!$C$2:$C$50000,C3832,全馬データ!$D$2:$D$50000,E3832,全馬データ!$K$2:$K$50000,"&lt;&gt;")=0,"",SUMIFS(全馬データ!$K$2:$K$50000,全馬データ!$A$2:$A$50000,A3832,全馬データ!$B$2:$B$50000,B3832,全馬データ!$C$2:$C$50000,C3832,全馬データ!$D$2:$D$50000,E3832)))</f>
        <v/>
      </c>
      <c r="AP3832" s="8" t="str">
        <f aca="false">IF(A3832="","",IF(AO3832="","欠損",IF(AO3832&lt;=1.1,"1.0～1.1",IF(AO3832&lt;1.3,"1.2",IF(AO3832&lt;1.5,"1.3～1.4",IF(AO3832&lt;2,"1.5～1.9","2.0以上"))))))</f>
        <v/>
      </c>
      <c r="AQ3832" s="8" t="str">
        <f aca="false">IF(A3832="","",IF(ISNUMBER(SEARCH("2歳",Z3832)),"2歳戦",IF(ISNUMBER(SEARCH("3歳未勝利",Z3832)),"3歳未勝利",IF(ISNUMBER(SEARCH("未勝利",Z3832)),"その他未勝利",IF(ISNUMBER(SEARCH("G1",Z3832)),"G1",IF(ISNUMBER(SEARCH("G2",Z3832)),"G2",IF(ISNUMBER(SEARCH("G3",Z3832)),"G3",IF(ISNUMBER(SEARCH("古馬条件",Z3832)),"古馬条件戦",IF(ISNUMBER(SEARCH("重賞",Z3832)),"重賞","分類不能")))))))))</f>
        <v/>
      </c>
    </row>
    <row r="3833" customFormat="false" ht="15.75" hidden="false" customHeight="false" outlineLevel="0" collapsed="false">
      <c r="AO3833" s="8" t="str">
        <f aca="false">IF(A3833="","",IF(COUNTIFS(全馬データ!$A$2:$A$50000,A3833,全馬データ!$B$2:$B$50000,B3833,全馬データ!$C$2:$C$50000,C3833,全馬データ!$D$2:$D$50000,E3833,全馬データ!$K$2:$K$50000,"&lt;&gt;")=0,"",SUMIFS(全馬データ!$K$2:$K$50000,全馬データ!$A$2:$A$50000,A3833,全馬データ!$B$2:$B$50000,B3833,全馬データ!$C$2:$C$50000,C3833,全馬データ!$D$2:$D$50000,E3833)))</f>
        <v/>
      </c>
      <c r="AP3833" s="8" t="str">
        <f aca="false">IF(A3833="","",IF(AO3833="","欠損",IF(AO3833&lt;=1.1,"1.0～1.1",IF(AO3833&lt;1.3,"1.2",IF(AO3833&lt;1.5,"1.3～1.4",IF(AO3833&lt;2,"1.5～1.9","2.0以上"))))))</f>
        <v/>
      </c>
      <c r="AQ3833" s="8" t="str">
        <f aca="false">IF(A3833="","",IF(ISNUMBER(SEARCH("2歳",Z3833)),"2歳戦",IF(ISNUMBER(SEARCH("3歳未勝利",Z3833)),"3歳未勝利",IF(ISNUMBER(SEARCH("未勝利",Z3833)),"その他未勝利",IF(ISNUMBER(SEARCH("G1",Z3833)),"G1",IF(ISNUMBER(SEARCH("G2",Z3833)),"G2",IF(ISNUMBER(SEARCH("G3",Z3833)),"G3",IF(ISNUMBER(SEARCH("古馬条件",Z3833)),"古馬条件戦",IF(ISNUMBER(SEARCH("重賞",Z3833)),"重賞","分類不能")))))))))</f>
        <v/>
      </c>
    </row>
    <row r="3834" customFormat="false" ht="15.75" hidden="false" customHeight="false" outlineLevel="0" collapsed="false">
      <c r="AO3834" s="8" t="str">
        <f aca="false">IF(A3834="","",IF(COUNTIFS(全馬データ!$A$2:$A$50000,A3834,全馬データ!$B$2:$B$50000,B3834,全馬データ!$C$2:$C$50000,C3834,全馬データ!$D$2:$D$50000,E3834,全馬データ!$K$2:$K$50000,"&lt;&gt;")=0,"",SUMIFS(全馬データ!$K$2:$K$50000,全馬データ!$A$2:$A$50000,A3834,全馬データ!$B$2:$B$50000,B3834,全馬データ!$C$2:$C$50000,C3834,全馬データ!$D$2:$D$50000,E3834)))</f>
        <v/>
      </c>
      <c r="AP3834" s="8" t="str">
        <f aca="false">IF(A3834="","",IF(AO3834="","欠損",IF(AO3834&lt;=1.1,"1.0～1.1",IF(AO3834&lt;1.3,"1.2",IF(AO3834&lt;1.5,"1.3～1.4",IF(AO3834&lt;2,"1.5～1.9","2.0以上"))))))</f>
        <v/>
      </c>
      <c r="AQ3834" s="8" t="str">
        <f aca="false">IF(A3834="","",IF(ISNUMBER(SEARCH("2歳",Z3834)),"2歳戦",IF(ISNUMBER(SEARCH("3歳未勝利",Z3834)),"3歳未勝利",IF(ISNUMBER(SEARCH("未勝利",Z3834)),"その他未勝利",IF(ISNUMBER(SEARCH("G1",Z3834)),"G1",IF(ISNUMBER(SEARCH("G2",Z3834)),"G2",IF(ISNUMBER(SEARCH("G3",Z3834)),"G3",IF(ISNUMBER(SEARCH("古馬条件",Z3834)),"古馬条件戦",IF(ISNUMBER(SEARCH("重賞",Z3834)),"重賞","分類不能")))))))))</f>
        <v/>
      </c>
    </row>
    <row r="3835" customFormat="false" ht="15.75" hidden="false" customHeight="false" outlineLevel="0" collapsed="false">
      <c r="AO3835" s="8" t="str">
        <f aca="false">IF(A3835="","",IF(COUNTIFS(全馬データ!$A$2:$A$50000,A3835,全馬データ!$B$2:$B$50000,B3835,全馬データ!$C$2:$C$50000,C3835,全馬データ!$D$2:$D$50000,E3835,全馬データ!$K$2:$K$50000,"&lt;&gt;")=0,"",SUMIFS(全馬データ!$K$2:$K$50000,全馬データ!$A$2:$A$50000,A3835,全馬データ!$B$2:$B$50000,B3835,全馬データ!$C$2:$C$50000,C3835,全馬データ!$D$2:$D$50000,E3835)))</f>
        <v/>
      </c>
      <c r="AP3835" s="8" t="str">
        <f aca="false">IF(A3835="","",IF(AO3835="","欠損",IF(AO3835&lt;=1.1,"1.0～1.1",IF(AO3835&lt;1.3,"1.2",IF(AO3835&lt;1.5,"1.3～1.4",IF(AO3835&lt;2,"1.5～1.9","2.0以上"))))))</f>
        <v/>
      </c>
      <c r="AQ3835" s="8" t="str">
        <f aca="false">IF(A3835="","",IF(ISNUMBER(SEARCH("2歳",Z3835)),"2歳戦",IF(ISNUMBER(SEARCH("3歳未勝利",Z3835)),"3歳未勝利",IF(ISNUMBER(SEARCH("未勝利",Z3835)),"その他未勝利",IF(ISNUMBER(SEARCH("G1",Z3835)),"G1",IF(ISNUMBER(SEARCH("G2",Z3835)),"G2",IF(ISNUMBER(SEARCH("G3",Z3835)),"G3",IF(ISNUMBER(SEARCH("古馬条件",Z3835)),"古馬条件戦",IF(ISNUMBER(SEARCH("重賞",Z3835)),"重賞","分類不能")))))))))</f>
        <v/>
      </c>
    </row>
    <row r="3836" customFormat="false" ht="15.75" hidden="false" customHeight="false" outlineLevel="0" collapsed="false">
      <c r="AO3836" s="8" t="str">
        <f aca="false">IF(A3836="","",IF(COUNTIFS(全馬データ!$A$2:$A$50000,A3836,全馬データ!$B$2:$B$50000,B3836,全馬データ!$C$2:$C$50000,C3836,全馬データ!$D$2:$D$50000,E3836,全馬データ!$K$2:$K$50000,"&lt;&gt;")=0,"",SUMIFS(全馬データ!$K$2:$K$50000,全馬データ!$A$2:$A$50000,A3836,全馬データ!$B$2:$B$50000,B3836,全馬データ!$C$2:$C$50000,C3836,全馬データ!$D$2:$D$50000,E3836)))</f>
        <v/>
      </c>
      <c r="AP3836" s="8" t="str">
        <f aca="false">IF(A3836="","",IF(AO3836="","欠損",IF(AO3836&lt;=1.1,"1.0～1.1",IF(AO3836&lt;1.3,"1.2",IF(AO3836&lt;1.5,"1.3～1.4",IF(AO3836&lt;2,"1.5～1.9","2.0以上"))))))</f>
        <v/>
      </c>
      <c r="AQ3836" s="8" t="str">
        <f aca="false">IF(A3836="","",IF(ISNUMBER(SEARCH("2歳",Z3836)),"2歳戦",IF(ISNUMBER(SEARCH("3歳未勝利",Z3836)),"3歳未勝利",IF(ISNUMBER(SEARCH("未勝利",Z3836)),"その他未勝利",IF(ISNUMBER(SEARCH("G1",Z3836)),"G1",IF(ISNUMBER(SEARCH("G2",Z3836)),"G2",IF(ISNUMBER(SEARCH("G3",Z3836)),"G3",IF(ISNUMBER(SEARCH("古馬条件",Z3836)),"古馬条件戦",IF(ISNUMBER(SEARCH("重賞",Z3836)),"重賞","分類不能")))))))))</f>
        <v/>
      </c>
    </row>
    <row r="3837" customFormat="false" ht="15.75" hidden="false" customHeight="false" outlineLevel="0" collapsed="false">
      <c r="AO3837" s="8" t="str">
        <f aca="false">IF(A3837="","",IF(COUNTIFS(全馬データ!$A$2:$A$50000,A3837,全馬データ!$B$2:$B$50000,B3837,全馬データ!$C$2:$C$50000,C3837,全馬データ!$D$2:$D$50000,E3837,全馬データ!$K$2:$K$50000,"&lt;&gt;")=0,"",SUMIFS(全馬データ!$K$2:$K$50000,全馬データ!$A$2:$A$50000,A3837,全馬データ!$B$2:$B$50000,B3837,全馬データ!$C$2:$C$50000,C3837,全馬データ!$D$2:$D$50000,E3837)))</f>
        <v/>
      </c>
      <c r="AP3837" s="8" t="str">
        <f aca="false">IF(A3837="","",IF(AO3837="","欠損",IF(AO3837&lt;=1.1,"1.0～1.1",IF(AO3837&lt;1.3,"1.2",IF(AO3837&lt;1.5,"1.3～1.4",IF(AO3837&lt;2,"1.5～1.9","2.0以上"))))))</f>
        <v/>
      </c>
      <c r="AQ3837" s="8" t="str">
        <f aca="false">IF(A3837="","",IF(ISNUMBER(SEARCH("2歳",Z3837)),"2歳戦",IF(ISNUMBER(SEARCH("3歳未勝利",Z3837)),"3歳未勝利",IF(ISNUMBER(SEARCH("未勝利",Z3837)),"その他未勝利",IF(ISNUMBER(SEARCH("G1",Z3837)),"G1",IF(ISNUMBER(SEARCH("G2",Z3837)),"G2",IF(ISNUMBER(SEARCH("G3",Z3837)),"G3",IF(ISNUMBER(SEARCH("古馬条件",Z3837)),"古馬条件戦",IF(ISNUMBER(SEARCH("重賞",Z3837)),"重賞","分類不能")))))))))</f>
        <v/>
      </c>
    </row>
    <row r="3838" customFormat="false" ht="15.75" hidden="false" customHeight="false" outlineLevel="0" collapsed="false">
      <c r="AO3838" s="8" t="str">
        <f aca="false">IF(A3838="","",IF(COUNTIFS(全馬データ!$A$2:$A$50000,A3838,全馬データ!$B$2:$B$50000,B3838,全馬データ!$C$2:$C$50000,C3838,全馬データ!$D$2:$D$50000,E3838,全馬データ!$K$2:$K$50000,"&lt;&gt;")=0,"",SUMIFS(全馬データ!$K$2:$K$50000,全馬データ!$A$2:$A$50000,A3838,全馬データ!$B$2:$B$50000,B3838,全馬データ!$C$2:$C$50000,C3838,全馬データ!$D$2:$D$50000,E3838)))</f>
        <v/>
      </c>
      <c r="AP3838" s="8" t="str">
        <f aca="false">IF(A3838="","",IF(AO3838="","欠損",IF(AO3838&lt;=1.1,"1.0～1.1",IF(AO3838&lt;1.3,"1.2",IF(AO3838&lt;1.5,"1.3～1.4",IF(AO3838&lt;2,"1.5～1.9","2.0以上"))))))</f>
        <v/>
      </c>
      <c r="AQ3838" s="8" t="str">
        <f aca="false">IF(A3838="","",IF(ISNUMBER(SEARCH("2歳",Z3838)),"2歳戦",IF(ISNUMBER(SEARCH("3歳未勝利",Z3838)),"3歳未勝利",IF(ISNUMBER(SEARCH("未勝利",Z3838)),"その他未勝利",IF(ISNUMBER(SEARCH("G1",Z3838)),"G1",IF(ISNUMBER(SEARCH("G2",Z3838)),"G2",IF(ISNUMBER(SEARCH("G3",Z3838)),"G3",IF(ISNUMBER(SEARCH("古馬条件",Z3838)),"古馬条件戦",IF(ISNUMBER(SEARCH("重賞",Z3838)),"重賞","分類不能")))))))))</f>
        <v/>
      </c>
    </row>
    <row r="3839" customFormat="false" ht="15.75" hidden="false" customHeight="false" outlineLevel="0" collapsed="false">
      <c r="AO3839" s="8" t="str">
        <f aca="false">IF(A3839="","",IF(COUNTIFS(全馬データ!$A$2:$A$50000,A3839,全馬データ!$B$2:$B$50000,B3839,全馬データ!$C$2:$C$50000,C3839,全馬データ!$D$2:$D$50000,E3839,全馬データ!$K$2:$K$50000,"&lt;&gt;")=0,"",SUMIFS(全馬データ!$K$2:$K$50000,全馬データ!$A$2:$A$50000,A3839,全馬データ!$B$2:$B$50000,B3839,全馬データ!$C$2:$C$50000,C3839,全馬データ!$D$2:$D$50000,E3839)))</f>
        <v/>
      </c>
      <c r="AP3839" s="8" t="str">
        <f aca="false">IF(A3839="","",IF(AO3839="","欠損",IF(AO3839&lt;=1.1,"1.0～1.1",IF(AO3839&lt;1.3,"1.2",IF(AO3839&lt;1.5,"1.3～1.4",IF(AO3839&lt;2,"1.5～1.9","2.0以上"))))))</f>
        <v/>
      </c>
      <c r="AQ3839" s="8" t="str">
        <f aca="false">IF(A3839="","",IF(ISNUMBER(SEARCH("2歳",Z3839)),"2歳戦",IF(ISNUMBER(SEARCH("3歳未勝利",Z3839)),"3歳未勝利",IF(ISNUMBER(SEARCH("未勝利",Z3839)),"その他未勝利",IF(ISNUMBER(SEARCH("G1",Z3839)),"G1",IF(ISNUMBER(SEARCH("G2",Z3839)),"G2",IF(ISNUMBER(SEARCH("G3",Z3839)),"G3",IF(ISNUMBER(SEARCH("古馬条件",Z3839)),"古馬条件戦",IF(ISNUMBER(SEARCH("重賞",Z3839)),"重賞","分類不能")))))))))</f>
        <v/>
      </c>
    </row>
    <row r="3840" customFormat="false" ht="15.75" hidden="false" customHeight="false" outlineLevel="0" collapsed="false">
      <c r="AO3840" s="8" t="str">
        <f aca="false">IF(A3840="","",IF(COUNTIFS(全馬データ!$A$2:$A$50000,A3840,全馬データ!$B$2:$B$50000,B3840,全馬データ!$C$2:$C$50000,C3840,全馬データ!$D$2:$D$50000,E3840,全馬データ!$K$2:$K$50000,"&lt;&gt;")=0,"",SUMIFS(全馬データ!$K$2:$K$50000,全馬データ!$A$2:$A$50000,A3840,全馬データ!$B$2:$B$50000,B3840,全馬データ!$C$2:$C$50000,C3840,全馬データ!$D$2:$D$50000,E3840)))</f>
        <v/>
      </c>
      <c r="AP3840" s="8" t="str">
        <f aca="false">IF(A3840="","",IF(AO3840="","欠損",IF(AO3840&lt;=1.1,"1.0～1.1",IF(AO3840&lt;1.3,"1.2",IF(AO3840&lt;1.5,"1.3～1.4",IF(AO3840&lt;2,"1.5～1.9","2.0以上"))))))</f>
        <v/>
      </c>
      <c r="AQ3840" s="8" t="str">
        <f aca="false">IF(A3840="","",IF(ISNUMBER(SEARCH("2歳",Z3840)),"2歳戦",IF(ISNUMBER(SEARCH("3歳未勝利",Z3840)),"3歳未勝利",IF(ISNUMBER(SEARCH("未勝利",Z3840)),"その他未勝利",IF(ISNUMBER(SEARCH("G1",Z3840)),"G1",IF(ISNUMBER(SEARCH("G2",Z3840)),"G2",IF(ISNUMBER(SEARCH("G3",Z3840)),"G3",IF(ISNUMBER(SEARCH("古馬条件",Z3840)),"古馬条件戦",IF(ISNUMBER(SEARCH("重賞",Z3840)),"重賞","分類不能")))))))))</f>
        <v/>
      </c>
    </row>
    <row r="3841" customFormat="false" ht="15.75" hidden="false" customHeight="false" outlineLevel="0" collapsed="false">
      <c r="AO3841" s="8" t="str">
        <f aca="false">IF(A3841="","",IF(COUNTIFS(全馬データ!$A$2:$A$50000,A3841,全馬データ!$B$2:$B$50000,B3841,全馬データ!$C$2:$C$50000,C3841,全馬データ!$D$2:$D$50000,E3841,全馬データ!$K$2:$K$50000,"&lt;&gt;")=0,"",SUMIFS(全馬データ!$K$2:$K$50000,全馬データ!$A$2:$A$50000,A3841,全馬データ!$B$2:$B$50000,B3841,全馬データ!$C$2:$C$50000,C3841,全馬データ!$D$2:$D$50000,E3841)))</f>
        <v/>
      </c>
      <c r="AP3841" s="8" t="str">
        <f aca="false">IF(A3841="","",IF(AO3841="","欠損",IF(AO3841&lt;=1.1,"1.0～1.1",IF(AO3841&lt;1.3,"1.2",IF(AO3841&lt;1.5,"1.3～1.4",IF(AO3841&lt;2,"1.5～1.9","2.0以上"))))))</f>
        <v/>
      </c>
      <c r="AQ3841" s="8" t="str">
        <f aca="false">IF(A3841="","",IF(ISNUMBER(SEARCH("2歳",Z3841)),"2歳戦",IF(ISNUMBER(SEARCH("3歳未勝利",Z3841)),"3歳未勝利",IF(ISNUMBER(SEARCH("未勝利",Z3841)),"その他未勝利",IF(ISNUMBER(SEARCH("G1",Z3841)),"G1",IF(ISNUMBER(SEARCH("G2",Z3841)),"G2",IF(ISNUMBER(SEARCH("G3",Z3841)),"G3",IF(ISNUMBER(SEARCH("古馬条件",Z3841)),"古馬条件戦",IF(ISNUMBER(SEARCH("重賞",Z3841)),"重賞","分類不能")))))))))</f>
        <v/>
      </c>
    </row>
    <row r="3842" customFormat="false" ht="15.75" hidden="false" customHeight="false" outlineLevel="0" collapsed="false">
      <c r="AO3842" s="8" t="str">
        <f aca="false">IF(A3842="","",IF(COUNTIFS(全馬データ!$A$2:$A$50000,A3842,全馬データ!$B$2:$B$50000,B3842,全馬データ!$C$2:$C$50000,C3842,全馬データ!$D$2:$D$50000,E3842,全馬データ!$K$2:$K$50000,"&lt;&gt;")=0,"",SUMIFS(全馬データ!$K$2:$K$50000,全馬データ!$A$2:$A$50000,A3842,全馬データ!$B$2:$B$50000,B3842,全馬データ!$C$2:$C$50000,C3842,全馬データ!$D$2:$D$50000,E3842)))</f>
        <v/>
      </c>
      <c r="AP3842" s="8" t="str">
        <f aca="false">IF(A3842="","",IF(AO3842="","欠損",IF(AO3842&lt;=1.1,"1.0～1.1",IF(AO3842&lt;1.3,"1.2",IF(AO3842&lt;1.5,"1.3～1.4",IF(AO3842&lt;2,"1.5～1.9","2.0以上"))))))</f>
        <v/>
      </c>
      <c r="AQ3842" s="8" t="str">
        <f aca="false">IF(A3842="","",IF(ISNUMBER(SEARCH("2歳",Z3842)),"2歳戦",IF(ISNUMBER(SEARCH("3歳未勝利",Z3842)),"3歳未勝利",IF(ISNUMBER(SEARCH("未勝利",Z3842)),"その他未勝利",IF(ISNUMBER(SEARCH("G1",Z3842)),"G1",IF(ISNUMBER(SEARCH("G2",Z3842)),"G2",IF(ISNUMBER(SEARCH("G3",Z3842)),"G3",IF(ISNUMBER(SEARCH("古馬条件",Z3842)),"古馬条件戦",IF(ISNUMBER(SEARCH("重賞",Z3842)),"重賞","分類不能")))))))))</f>
        <v/>
      </c>
    </row>
    <row r="3843" customFormat="false" ht="15.75" hidden="false" customHeight="false" outlineLevel="0" collapsed="false">
      <c r="AO3843" s="8" t="str">
        <f aca="false">IF(A3843="","",IF(COUNTIFS(全馬データ!$A$2:$A$50000,A3843,全馬データ!$B$2:$B$50000,B3843,全馬データ!$C$2:$C$50000,C3843,全馬データ!$D$2:$D$50000,E3843,全馬データ!$K$2:$K$50000,"&lt;&gt;")=0,"",SUMIFS(全馬データ!$K$2:$K$50000,全馬データ!$A$2:$A$50000,A3843,全馬データ!$B$2:$B$50000,B3843,全馬データ!$C$2:$C$50000,C3843,全馬データ!$D$2:$D$50000,E3843)))</f>
        <v/>
      </c>
      <c r="AP3843" s="8" t="str">
        <f aca="false">IF(A3843="","",IF(AO3843="","欠損",IF(AO3843&lt;=1.1,"1.0～1.1",IF(AO3843&lt;1.3,"1.2",IF(AO3843&lt;1.5,"1.3～1.4",IF(AO3843&lt;2,"1.5～1.9","2.0以上"))))))</f>
        <v/>
      </c>
      <c r="AQ3843" s="8" t="str">
        <f aca="false">IF(A3843="","",IF(ISNUMBER(SEARCH("2歳",Z3843)),"2歳戦",IF(ISNUMBER(SEARCH("3歳未勝利",Z3843)),"3歳未勝利",IF(ISNUMBER(SEARCH("未勝利",Z3843)),"その他未勝利",IF(ISNUMBER(SEARCH("G1",Z3843)),"G1",IF(ISNUMBER(SEARCH("G2",Z3843)),"G2",IF(ISNUMBER(SEARCH("G3",Z3843)),"G3",IF(ISNUMBER(SEARCH("古馬条件",Z3843)),"古馬条件戦",IF(ISNUMBER(SEARCH("重賞",Z3843)),"重賞","分類不能")))))))))</f>
        <v/>
      </c>
    </row>
    <row r="3844" customFormat="false" ht="15.75" hidden="false" customHeight="false" outlineLevel="0" collapsed="false">
      <c r="AO3844" s="8" t="str">
        <f aca="false">IF(A3844="","",IF(COUNTIFS(全馬データ!$A$2:$A$50000,A3844,全馬データ!$B$2:$B$50000,B3844,全馬データ!$C$2:$C$50000,C3844,全馬データ!$D$2:$D$50000,E3844,全馬データ!$K$2:$K$50000,"&lt;&gt;")=0,"",SUMIFS(全馬データ!$K$2:$K$50000,全馬データ!$A$2:$A$50000,A3844,全馬データ!$B$2:$B$50000,B3844,全馬データ!$C$2:$C$50000,C3844,全馬データ!$D$2:$D$50000,E3844)))</f>
        <v/>
      </c>
      <c r="AP3844" s="8" t="str">
        <f aca="false">IF(A3844="","",IF(AO3844="","欠損",IF(AO3844&lt;=1.1,"1.0～1.1",IF(AO3844&lt;1.3,"1.2",IF(AO3844&lt;1.5,"1.3～1.4",IF(AO3844&lt;2,"1.5～1.9","2.0以上"))))))</f>
        <v/>
      </c>
      <c r="AQ3844" s="8" t="str">
        <f aca="false">IF(A3844="","",IF(ISNUMBER(SEARCH("2歳",Z3844)),"2歳戦",IF(ISNUMBER(SEARCH("3歳未勝利",Z3844)),"3歳未勝利",IF(ISNUMBER(SEARCH("未勝利",Z3844)),"その他未勝利",IF(ISNUMBER(SEARCH("G1",Z3844)),"G1",IF(ISNUMBER(SEARCH("G2",Z3844)),"G2",IF(ISNUMBER(SEARCH("G3",Z3844)),"G3",IF(ISNUMBER(SEARCH("古馬条件",Z3844)),"古馬条件戦",IF(ISNUMBER(SEARCH("重賞",Z3844)),"重賞","分類不能")))))))))</f>
        <v/>
      </c>
    </row>
    <row r="3845" customFormat="false" ht="15.75" hidden="false" customHeight="false" outlineLevel="0" collapsed="false">
      <c r="AO3845" s="8" t="str">
        <f aca="false">IF(A3845="","",IF(COUNTIFS(全馬データ!$A$2:$A$50000,A3845,全馬データ!$B$2:$B$50000,B3845,全馬データ!$C$2:$C$50000,C3845,全馬データ!$D$2:$D$50000,E3845,全馬データ!$K$2:$K$50000,"&lt;&gt;")=0,"",SUMIFS(全馬データ!$K$2:$K$50000,全馬データ!$A$2:$A$50000,A3845,全馬データ!$B$2:$B$50000,B3845,全馬データ!$C$2:$C$50000,C3845,全馬データ!$D$2:$D$50000,E3845)))</f>
        <v/>
      </c>
      <c r="AP3845" s="8" t="str">
        <f aca="false">IF(A3845="","",IF(AO3845="","欠損",IF(AO3845&lt;=1.1,"1.0～1.1",IF(AO3845&lt;1.3,"1.2",IF(AO3845&lt;1.5,"1.3～1.4",IF(AO3845&lt;2,"1.5～1.9","2.0以上"))))))</f>
        <v/>
      </c>
      <c r="AQ3845" s="8" t="str">
        <f aca="false">IF(A3845="","",IF(ISNUMBER(SEARCH("2歳",Z3845)),"2歳戦",IF(ISNUMBER(SEARCH("3歳未勝利",Z3845)),"3歳未勝利",IF(ISNUMBER(SEARCH("未勝利",Z3845)),"その他未勝利",IF(ISNUMBER(SEARCH("G1",Z3845)),"G1",IF(ISNUMBER(SEARCH("G2",Z3845)),"G2",IF(ISNUMBER(SEARCH("G3",Z3845)),"G3",IF(ISNUMBER(SEARCH("古馬条件",Z3845)),"古馬条件戦",IF(ISNUMBER(SEARCH("重賞",Z3845)),"重賞","分類不能")))))))))</f>
        <v/>
      </c>
    </row>
    <row r="3846" customFormat="false" ht="15.75" hidden="false" customHeight="false" outlineLevel="0" collapsed="false">
      <c r="AO3846" s="8" t="str">
        <f aca="false">IF(A3846="","",IF(COUNTIFS(全馬データ!$A$2:$A$50000,A3846,全馬データ!$B$2:$B$50000,B3846,全馬データ!$C$2:$C$50000,C3846,全馬データ!$D$2:$D$50000,E3846,全馬データ!$K$2:$K$50000,"&lt;&gt;")=0,"",SUMIFS(全馬データ!$K$2:$K$50000,全馬データ!$A$2:$A$50000,A3846,全馬データ!$B$2:$B$50000,B3846,全馬データ!$C$2:$C$50000,C3846,全馬データ!$D$2:$D$50000,E3846)))</f>
        <v/>
      </c>
      <c r="AP3846" s="8" t="str">
        <f aca="false">IF(A3846="","",IF(AO3846="","欠損",IF(AO3846&lt;=1.1,"1.0～1.1",IF(AO3846&lt;1.3,"1.2",IF(AO3846&lt;1.5,"1.3～1.4",IF(AO3846&lt;2,"1.5～1.9","2.0以上"))))))</f>
        <v/>
      </c>
      <c r="AQ3846" s="8" t="str">
        <f aca="false">IF(A3846="","",IF(ISNUMBER(SEARCH("2歳",Z3846)),"2歳戦",IF(ISNUMBER(SEARCH("3歳未勝利",Z3846)),"3歳未勝利",IF(ISNUMBER(SEARCH("未勝利",Z3846)),"その他未勝利",IF(ISNUMBER(SEARCH("G1",Z3846)),"G1",IF(ISNUMBER(SEARCH("G2",Z3846)),"G2",IF(ISNUMBER(SEARCH("G3",Z3846)),"G3",IF(ISNUMBER(SEARCH("古馬条件",Z3846)),"古馬条件戦",IF(ISNUMBER(SEARCH("重賞",Z3846)),"重賞","分類不能")))))))))</f>
        <v/>
      </c>
    </row>
    <row r="3847" customFormat="false" ht="15.75" hidden="false" customHeight="false" outlineLevel="0" collapsed="false">
      <c r="AO3847" s="8" t="str">
        <f aca="false">IF(A3847="","",IF(COUNTIFS(全馬データ!$A$2:$A$50000,A3847,全馬データ!$B$2:$B$50000,B3847,全馬データ!$C$2:$C$50000,C3847,全馬データ!$D$2:$D$50000,E3847,全馬データ!$K$2:$K$50000,"&lt;&gt;")=0,"",SUMIFS(全馬データ!$K$2:$K$50000,全馬データ!$A$2:$A$50000,A3847,全馬データ!$B$2:$B$50000,B3847,全馬データ!$C$2:$C$50000,C3847,全馬データ!$D$2:$D$50000,E3847)))</f>
        <v/>
      </c>
      <c r="AP3847" s="8" t="str">
        <f aca="false">IF(A3847="","",IF(AO3847="","欠損",IF(AO3847&lt;=1.1,"1.0～1.1",IF(AO3847&lt;1.3,"1.2",IF(AO3847&lt;1.5,"1.3～1.4",IF(AO3847&lt;2,"1.5～1.9","2.0以上"))))))</f>
        <v/>
      </c>
      <c r="AQ3847" s="8" t="str">
        <f aca="false">IF(A3847="","",IF(ISNUMBER(SEARCH("2歳",Z3847)),"2歳戦",IF(ISNUMBER(SEARCH("3歳未勝利",Z3847)),"3歳未勝利",IF(ISNUMBER(SEARCH("未勝利",Z3847)),"その他未勝利",IF(ISNUMBER(SEARCH("G1",Z3847)),"G1",IF(ISNUMBER(SEARCH("G2",Z3847)),"G2",IF(ISNUMBER(SEARCH("G3",Z3847)),"G3",IF(ISNUMBER(SEARCH("古馬条件",Z3847)),"古馬条件戦",IF(ISNUMBER(SEARCH("重賞",Z3847)),"重賞","分類不能")))))))))</f>
        <v/>
      </c>
    </row>
    <row r="3848" customFormat="false" ht="15.75" hidden="false" customHeight="false" outlineLevel="0" collapsed="false">
      <c r="AO3848" s="8" t="str">
        <f aca="false">IF(A3848="","",IF(COUNTIFS(全馬データ!$A$2:$A$50000,A3848,全馬データ!$B$2:$B$50000,B3848,全馬データ!$C$2:$C$50000,C3848,全馬データ!$D$2:$D$50000,E3848,全馬データ!$K$2:$K$50000,"&lt;&gt;")=0,"",SUMIFS(全馬データ!$K$2:$K$50000,全馬データ!$A$2:$A$50000,A3848,全馬データ!$B$2:$B$50000,B3848,全馬データ!$C$2:$C$50000,C3848,全馬データ!$D$2:$D$50000,E3848)))</f>
        <v/>
      </c>
      <c r="AP3848" s="8" t="str">
        <f aca="false">IF(A3848="","",IF(AO3848="","欠損",IF(AO3848&lt;=1.1,"1.0～1.1",IF(AO3848&lt;1.3,"1.2",IF(AO3848&lt;1.5,"1.3～1.4",IF(AO3848&lt;2,"1.5～1.9","2.0以上"))))))</f>
        <v/>
      </c>
      <c r="AQ3848" s="8" t="str">
        <f aca="false">IF(A3848="","",IF(ISNUMBER(SEARCH("2歳",Z3848)),"2歳戦",IF(ISNUMBER(SEARCH("3歳未勝利",Z3848)),"3歳未勝利",IF(ISNUMBER(SEARCH("未勝利",Z3848)),"その他未勝利",IF(ISNUMBER(SEARCH("G1",Z3848)),"G1",IF(ISNUMBER(SEARCH("G2",Z3848)),"G2",IF(ISNUMBER(SEARCH("G3",Z3848)),"G3",IF(ISNUMBER(SEARCH("古馬条件",Z3848)),"古馬条件戦",IF(ISNUMBER(SEARCH("重賞",Z3848)),"重賞","分類不能")))))))))</f>
        <v/>
      </c>
    </row>
    <row r="3849" customFormat="false" ht="15.75" hidden="false" customHeight="false" outlineLevel="0" collapsed="false">
      <c r="AO3849" s="8" t="str">
        <f aca="false">IF(A3849="","",IF(COUNTIFS(全馬データ!$A$2:$A$50000,A3849,全馬データ!$B$2:$B$50000,B3849,全馬データ!$C$2:$C$50000,C3849,全馬データ!$D$2:$D$50000,E3849,全馬データ!$K$2:$K$50000,"&lt;&gt;")=0,"",SUMIFS(全馬データ!$K$2:$K$50000,全馬データ!$A$2:$A$50000,A3849,全馬データ!$B$2:$B$50000,B3849,全馬データ!$C$2:$C$50000,C3849,全馬データ!$D$2:$D$50000,E3849)))</f>
        <v/>
      </c>
      <c r="AP3849" s="8" t="str">
        <f aca="false">IF(A3849="","",IF(AO3849="","欠損",IF(AO3849&lt;=1.1,"1.0～1.1",IF(AO3849&lt;1.3,"1.2",IF(AO3849&lt;1.5,"1.3～1.4",IF(AO3849&lt;2,"1.5～1.9","2.0以上"))))))</f>
        <v/>
      </c>
      <c r="AQ3849" s="8" t="str">
        <f aca="false">IF(A3849="","",IF(ISNUMBER(SEARCH("2歳",Z3849)),"2歳戦",IF(ISNUMBER(SEARCH("3歳未勝利",Z3849)),"3歳未勝利",IF(ISNUMBER(SEARCH("未勝利",Z3849)),"その他未勝利",IF(ISNUMBER(SEARCH("G1",Z3849)),"G1",IF(ISNUMBER(SEARCH("G2",Z3849)),"G2",IF(ISNUMBER(SEARCH("G3",Z3849)),"G3",IF(ISNUMBER(SEARCH("古馬条件",Z3849)),"古馬条件戦",IF(ISNUMBER(SEARCH("重賞",Z3849)),"重賞","分類不能")))))))))</f>
        <v/>
      </c>
    </row>
    <row r="3850" customFormat="false" ht="15.75" hidden="false" customHeight="false" outlineLevel="0" collapsed="false">
      <c r="AO3850" s="8" t="str">
        <f aca="false">IF(A3850="","",IF(COUNTIFS(全馬データ!$A$2:$A$50000,A3850,全馬データ!$B$2:$B$50000,B3850,全馬データ!$C$2:$C$50000,C3850,全馬データ!$D$2:$D$50000,E3850,全馬データ!$K$2:$K$50000,"&lt;&gt;")=0,"",SUMIFS(全馬データ!$K$2:$K$50000,全馬データ!$A$2:$A$50000,A3850,全馬データ!$B$2:$B$50000,B3850,全馬データ!$C$2:$C$50000,C3850,全馬データ!$D$2:$D$50000,E3850)))</f>
        <v/>
      </c>
      <c r="AP3850" s="8" t="str">
        <f aca="false">IF(A3850="","",IF(AO3850="","欠損",IF(AO3850&lt;=1.1,"1.0～1.1",IF(AO3850&lt;1.3,"1.2",IF(AO3850&lt;1.5,"1.3～1.4",IF(AO3850&lt;2,"1.5～1.9","2.0以上"))))))</f>
        <v/>
      </c>
      <c r="AQ3850" s="8" t="str">
        <f aca="false">IF(A3850="","",IF(ISNUMBER(SEARCH("2歳",Z3850)),"2歳戦",IF(ISNUMBER(SEARCH("3歳未勝利",Z3850)),"3歳未勝利",IF(ISNUMBER(SEARCH("未勝利",Z3850)),"その他未勝利",IF(ISNUMBER(SEARCH("G1",Z3850)),"G1",IF(ISNUMBER(SEARCH("G2",Z3850)),"G2",IF(ISNUMBER(SEARCH("G3",Z3850)),"G3",IF(ISNUMBER(SEARCH("古馬条件",Z3850)),"古馬条件戦",IF(ISNUMBER(SEARCH("重賞",Z3850)),"重賞","分類不能")))))))))</f>
        <v/>
      </c>
    </row>
    <row r="3851" customFormat="false" ht="15.75" hidden="false" customHeight="false" outlineLevel="0" collapsed="false">
      <c r="AO3851" s="8" t="str">
        <f aca="false">IF(A3851="","",IF(COUNTIFS(全馬データ!$A$2:$A$50000,A3851,全馬データ!$B$2:$B$50000,B3851,全馬データ!$C$2:$C$50000,C3851,全馬データ!$D$2:$D$50000,E3851,全馬データ!$K$2:$K$50000,"&lt;&gt;")=0,"",SUMIFS(全馬データ!$K$2:$K$50000,全馬データ!$A$2:$A$50000,A3851,全馬データ!$B$2:$B$50000,B3851,全馬データ!$C$2:$C$50000,C3851,全馬データ!$D$2:$D$50000,E3851)))</f>
        <v/>
      </c>
      <c r="AP3851" s="8" t="str">
        <f aca="false">IF(A3851="","",IF(AO3851="","欠損",IF(AO3851&lt;=1.1,"1.0～1.1",IF(AO3851&lt;1.3,"1.2",IF(AO3851&lt;1.5,"1.3～1.4",IF(AO3851&lt;2,"1.5～1.9","2.0以上"))))))</f>
        <v/>
      </c>
      <c r="AQ3851" s="8" t="str">
        <f aca="false">IF(A3851="","",IF(ISNUMBER(SEARCH("2歳",Z3851)),"2歳戦",IF(ISNUMBER(SEARCH("3歳未勝利",Z3851)),"3歳未勝利",IF(ISNUMBER(SEARCH("未勝利",Z3851)),"その他未勝利",IF(ISNUMBER(SEARCH("G1",Z3851)),"G1",IF(ISNUMBER(SEARCH("G2",Z3851)),"G2",IF(ISNUMBER(SEARCH("G3",Z3851)),"G3",IF(ISNUMBER(SEARCH("古馬条件",Z3851)),"古馬条件戦",IF(ISNUMBER(SEARCH("重賞",Z3851)),"重賞","分類不能")))))))))</f>
        <v/>
      </c>
    </row>
    <row r="3852" customFormat="false" ht="15.75" hidden="false" customHeight="false" outlineLevel="0" collapsed="false">
      <c r="AO3852" s="8" t="str">
        <f aca="false">IF(A3852="","",IF(COUNTIFS(全馬データ!$A$2:$A$50000,A3852,全馬データ!$B$2:$B$50000,B3852,全馬データ!$C$2:$C$50000,C3852,全馬データ!$D$2:$D$50000,E3852,全馬データ!$K$2:$K$50000,"&lt;&gt;")=0,"",SUMIFS(全馬データ!$K$2:$K$50000,全馬データ!$A$2:$A$50000,A3852,全馬データ!$B$2:$B$50000,B3852,全馬データ!$C$2:$C$50000,C3852,全馬データ!$D$2:$D$50000,E3852)))</f>
        <v/>
      </c>
      <c r="AP3852" s="8" t="str">
        <f aca="false">IF(A3852="","",IF(AO3852="","欠損",IF(AO3852&lt;=1.1,"1.0～1.1",IF(AO3852&lt;1.3,"1.2",IF(AO3852&lt;1.5,"1.3～1.4",IF(AO3852&lt;2,"1.5～1.9","2.0以上"))))))</f>
        <v/>
      </c>
      <c r="AQ3852" s="8" t="str">
        <f aca="false">IF(A3852="","",IF(ISNUMBER(SEARCH("2歳",Z3852)),"2歳戦",IF(ISNUMBER(SEARCH("3歳未勝利",Z3852)),"3歳未勝利",IF(ISNUMBER(SEARCH("未勝利",Z3852)),"その他未勝利",IF(ISNUMBER(SEARCH("G1",Z3852)),"G1",IF(ISNUMBER(SEARCH("G2",Z3852)),"G2",IF(ISNUMBER(SEARCH("G3",Z3852)),"G3",IF(ISNUMBER(SEARCH("古馬条件",Z3852)),"古馬条件戦",IF(ISNUMBER(SEARCH("重賞",Z3852)),"重賞","分類不能")))))))))</f>
        <v/>
      </c>
    </row>
    <row r="3853" customFormat="false" ht="15.75" hidden="false" customHeight="false" outlineLevel="0" collapsed="false">
      <c r="AO3853" s="8" t="str">
        <f aca="false">IF(A3853="","",IF(COUNTIFS(全馬データ!$A$2:$A$50000,A3853,全馬データ!$B$2:$B$50000,B3853,全馬データ!$C$2:$C$50000,C3853,全馬データ!$D$2:$D$50000,E3853,全馬データ!$K$2:$K$50000,"&lt;&gt;")=0,"",SUMIFS(全馬データ!$K$2:$K$50000,全馬データ!$A$2:$A$50000,A3853,全馬データ!$B$2:$B$50000,B3853,全馬データ!$C$2:$C$50000,C3853,全馬データ!$D$2:$D$50000,E3853)))</f>
        <v/>
      </c>
      <c r="AP3853" s="8" t="str">
        <f aca="false">IF(A3853="","",IF(AO3853="","欠損",IF(AO3853&lt;=1.1,"1.0～1.1",IF(AO3853&lt;1.3,"1.2",IF(AO3853&lt;1.5,"1.3～1.4",IF(AO3853&lt;2,"1.5～1.9","2.0以上"))))))</f>
        <v/>
      </c>
      <c r="AQ3853" s="8" t="str">
        <f aca="false">IF(A3853="","",IF(ISNUMBER(SEARCH("2歳",Z3853)),"2歳戦",IF(ISNUMBER(SEARCH("3歳未勝利",Z3853)),"3歳未勝利",IF(ISNUMBER(SEARCH("未勝利",Z3853)),"その他未勝利",IF(ISNUMBER(SEARCH("G1",Z3853)),"G1",IF(ISNUMBER(SEARCH("G2",Z3853)),"G2",IF(ISNUMBER(SEARCH("G3",Z3853)),"G3",IF(ISNUMBER(SEARCH("古馬条件",Z3853)),"古馬条件戦",IF(ISNUMBER(SEARCH("重賞",Z3853)),"重賞","分類不能")))))))))</f>
        <v/>
      </c>
    </row>
    <row r="3854" customFormat="false" ht="15.75" hidden="false" customHeight="false" outlineLevel="0" collapsed="false">
      <c r="AO3854" s="8" t="str">
        <f aca="false">IF(A3854="","",IF(COUNTIFS(全馬データ!$A$2:$A$50000,A3854,全馬データ!$B$2:$B$50000,B3854,全馬データ!$C$2:$C$50000,C3854,全馬データ!$D$2:$D$50000,E3854,全馬データ!$K$2:$K$50000,"&lt;&gt;")=0,"",SUMIFS(全馬データ!$K$2:$K$50000,全馬データ!$A$2:$A$50000,A3854,全馬データ!$B$2:$B$50000,B3854,全馬データ!$C$2:$C$50000,C3854,全馬データ!$D$2:$D$50000,E3854)))</f>
        <v/>
      </c>
      <c r="AP3854" s="8" t="str">
        <f aca="false">IF(A3854="","",IF(AO3854="","欠損",IF(AO3854&lt;=1.1,"1.0～1.1",IF(AO3854&lt;1.3,"1.2",IF(AO3854&lt;1.5,"1.3～1.4",IF(AO3854&lt;2,"1.5～1.9","2.0以上"))))))</f>
        <v/>
      </c>
      <c r="AQ3854" s="8" t="str">
        <f aca="false">IF(A3854="","",IF(ISNUMBER(SEARCH("2歳",Z3854)),"2歳戦",IF(ISNUMBER(SEARCH("3歳未勝利",Z3854)),"3歳未勝利",IF(ISNUMBER(SEARCH("未勝利",Z3854)),"その他未勝利",IF(ISNUMBER(SEARCH("G1",Z3854)),"G1",IF(ISNUMBER(SEARCH("G2",Z3854)),"G2",IF(ISNUMBER(SEARCH("G3",Z3854)),"G3",IF(ISNUMBER(SEARCH("古馬条件",Z3854)),"古馬条件戦",IF(ISNUMBER(SEARCH("重賞",Z3854)),"重賞","分類不能")))))))))</f>
        <v/>
      </c>
    </row>
    <row r="3855" customFormat="false" ht="15.75" hidden="false" customHeight="false" outlineLevel="0" collapsed="false">
      <c r="AO3855" s="8" t="str">
        <f aca="false">IF(A3855="","",IF(COUNTIFS(全馬データ!$A$2:$A$50000,A3855,全馬データ!$B$2:$B$50000,B3855,全馬データ!$C$2:$C$50000,C3855,全馬データ!$D$2:$D$50000,E3855,全馬データ!$K$2:$K$50000,"&lt;&gt;")=0,"",SUMIFS(全馬データ!$K$2:$K$50000,全馬データ!$A$2:$A$50000,A3855,全馬データ!$B$2:$B$50000,B3855,全馬データ!$C$2:$C$50000,C3855,全馬データ!$D$2:$D$50000,E3855)))</f>
        <v/>
      </c>
      <c r="AP3855" s="8" t="str">
        <f aca="false">IF(A3855="","",IF(AO3855="","欠損",IF(AO3855&lt;=1.1,"1.0～1.1",IF(AO3855&lt;1.3,"1.2",IF(AO3855&lt;1.5,"1.3～1.4",IF(AO3855&lt;2,"1.5～1.9","2.0以上"))))))</f>
        <v/>
      </c>
      <c r="AQ3855" s="8" t="str">
        <f aca="false">IF(A3855="","",IF(ISNUMBER(SEARCH("2歳",Z3855)),"2歳戦",IF(ISNUMBER(SEARCH("3歳未勝利",Z3855)),"3歳未勝利",IF(ISNUMBER(SEARCH("未勝利",Z3855)),"その他未勝利",IF(ISNUMBER(SEARCH("G1",Z3855)),"G1",IF(ISNUMBER(SEARCH("G2",Z3855)),"G2",IF(ISNUMBER(SEARCH("G3",Z3855)),"G3",IF(ISNUMBER(SEARCH("古馬条件",Z3855)),"古馬条件戦",IF(ISNUMBER(SEARCH("重賞",Z3855)),"重賞","分類不能")))))))))</f>
        <v/>
      </c>
    </row>
    <row r="3856" customFormat="false" ht="15.75" hidden="false" customHeight="false" outlineLevel="0" collapsed="false">
      <c r="AO3856" s="8" t="str">
        <f aca="false">IF(A3856="","",IF(COUNTIFS(全馬データ!$A$2:$A$50000,A3856,全馬データ!$B$2:$B$50000,B3856,全馬データ!$C$2:$C$50000,C3856,全馬データ!$D$2:$D$50000,E3856,全馬データ!$K$2:$K$50000,"&lt;&gt;")=0,"",SUMIFS(全馬データ!$K$2:$K$50000,全馬データ!$A$2:$A$50000,A3856,全馬データ!$B$2:$B$50000,B3856,全馬データ!$C$2:$C$50000,C3856,全馬データ!$D$2:$D$50000,E3856)))</f>
        <v/>
      </c>
      <c r="AP3856" s="8" t="str">
        <f aca="false">IF(A3856="","",IF(AO3856="","欠損",IF(AO3856&lt;=1.1,"1.0～1.1",IF(AO3856&lt;1.3,"1.2",IF(AO3856&lt;1.5,"1.3～1.4",IF(AO3856&lt;2,"1.5～1.9","2.0以上"))))))</f>
        <v/>
      </c>
      <c r="AQ3856" s="8" t="str">
        <f aca="false">IF(A3856="","",IF(ISNUMBER(SEARCH("2歳",Z3856)),"2歳戦",IF(ISNUMBER(SEARCH("3歳未勝利",Z3856)),"3歳未勝利",IF(ISNUMBER(SEARCH("未勝利",Z3856)),"その他未勝利",IF(ISNUMBER(SEARCH("G1",Z3856)),"G1",IF(ISNUMBER(SEARCH("G2",Z3856)),"G2",IF(ISNUMBER(SEARCH("G3",Z3856)),"G3",IF(ISNUMBER(SEARCH("古馬条件",Z3856)),"古馬条件戦",IF(ISNUMBER(SEARCH("重賞",Z3856)),"重賞","分類不能")))))))))</f>
        <v/>
      </c>
    </row>
    <row r="3857" customFormat="false" ht="15.75" hidden="false" customHeight="false" outlineLevel="0" collapsed="false">
      <c r="AO3857" s="8" t="str">
        <f aca="false">IF(A3857="","",IF(COUNTIFS(全馬データ!$A$2:$A$50000,A3857,全馬データ!$B$2:$B$50000,B3857,全馬データ!$C$2:$C$50000,C3857,全馬データ!$D$2:$D$50000,E3857,全馬データ!$K$2:$K$50000,"&lt;&gt;")=0,"",SUMIFS(全馬データ!$K$2:$K$50000,全馬データ!$A$2:$A$50000,A3857,全馬データ!$B$2:$B$50000,B3857,全馬データ!$C$2:$C$50000,C3857,全馬データ!$D$2:$D$50000,E3857)))</f>
        <v/>
      </c>
      <c r="AP3857" s="8" t="str">
        <f aca="false">IF(A3857="","",IF(AO3857="","欠損",IF(AO3857&lt;=1.1,"1.0～1.1",IF(AO3857&lt;1.3,"1.2",IF(AO3857&lt;1.5,"1.3～1.4",IF(AO3857&lt;2,"1.5～1.9","2.0以上"))))))</f>
        <v/>
      </c>
      <c r="AQ3857" s="8" t="str">
        <f aca="false">IF(A3857="","",IF(ISNUMBER(SEARCH("2歳",Z3857)),"2歳戦",IF(ISNUMBER(SEARCH("3歳未勝利",Z3857)),"3歳未勝利",IF(ISNUMBER(SEARCH("未勝利",Z3857)),"その他未勝利",IF(ISNUMBER(SEARCH("G1",Z3857)),"G1",IF(ISNUMBER(SEARCH("G2",Z3857)),"G2",IF(ISNUMBER(SEARCH("G3",Z3857)),"G3",IF(ISNUMBER(SEARCH("古馬条件",Z3857)),"古馬条件戦",IF(ISNUMBER(SEARCH("重賞",Z3857)),"重賞","分類不能")))))))))</f>
        <v/>
      </c>
    </row>
    <row r="3858" customFormat="false" ht="15.75" hidden="false" customHeight="false" outlineLevel="0" collapsed="false">
      <c r="AO3858" s="8" t="str">
        <f aca="false">IF(A3858="","",IF(COUNTIFS(全馬データ!$A$2:$A$50000,A3858,全馬データ!$B$2:$B$50000,B3858,全馬データ!$C$2:$C$50000,C3858,全馬データ!$D$2:$D$50000,E3858,全馬データ!$K$2:$K$50000,"&lt;&gt;")=0,"",SUMIFS(全馬データ!$K$2:$K$50000,全馬データ!$A$2:$A$50000,A3858,全馬データ!$B$2:$B$50000,B3858,全馬データ!$C$2:$C$50000,C3858,全馬データ!$D$2:$D$50000,E3858)))</f>
        <v/>
      </c>
      <c r="AP3858" s="8" t="str">
        <f aca="false">IF(A3858="","",IF(AO3858="","欠損",IF(AO3858&lt;=1.1,"1.0～1.1",IF(AO3858&lt;1.3,"1.2",IF(AO3858&lt;1.5,"1.3～1.4",IF(AO3858&lt;2,"1.5～1.9","2.0以上"))))))</f>
        <v/>
      </c>
      <c r="AQ3858" s="8" t="str">
        <f aca="false">IF(A3858="","",IF(ISNUMBER(SEARCH("2歳",Z3858)),"2歳戦",IF(ISNUMBER(SEARCH("3歳未勝利",Z3858)),"3歳未勝利",IF(ISNUMBER(SEARCH("未勝利",Z3858)),"その他未勝利",IF(ISNUMBER(SEARCH("G1",Z3858)),"G1",IF(ISNUMBER(SEARCH("G2",Z3858)),"G2",IF(ISNUMBER(SEARCH("G3",Z3858)),"G3",IF(ISNUMBER(SEARCH("古馬条件",Z3858)),"古馬条件戦",IF(ISNUMBER(SEARCH("重賞",Z3858)),"重賞","分類不能")))))))))</f>
        <v/>
      </c>
    </row>
    <row r="3859" customFormat="false" ht="15.75" hidden="false" customHeight="false" outlineLevel="0" collapsed="false">
      <c r="AO3859" s="8" t="str">
        <f aca="false">IF(A3859="","",IF(COUNTIFS(全馬データ!$A$2:$A$50000,A3859,全馬データ!$B$2:$B$50000,B3859,全馬データ!$C$2:$C$50000,C3859,全馬データ!$D$2:$D$50000,E3859,全馬データ!$K$2:$K$50000,"&lt;&gt;")=0,"",SUMIFS(全馬データ!$K$2:$K$50000,全馬データ!$A$2:$A$50000,A3859,全馬データ!$B$2:$B$50000,B3859,全馬データ!$C$2:$C$50000,C3859,全馬データ!$D$2:$D$50000,E3859)))</f>
        <v/>
      </c>
      <c r="AP3859" s="8" t="str">
        <f aca="false">IF(A3859="","",IF(AO3859="","欠損",IF(AO3859&lt;=1.1,"1.0～1.1",IF(AO3859&lt;1.3,"1.2",IF(AO3859&lt;1.5,"1.3～1.4",IF(AO3859&lt;2,"1.5～1.9","2.0以上"))))))</f>
        <v/>
      </c>
      <c r="AQ3859" s="8" t="str">
        <f aca="false">IF(A3859="","",IF(ISNUMBER(SEARCH("2歳",Z3859)),"2歳戦",IF(ISNUMBER(SEARCH("3歳未勝利",Z3859)),"3歳未勝利",IF(ISNUMBER(SEARCH("未勝利",Z3859)),"その他未勝利",IF(ISNUMBER(SEARCH("G1",Z3859)),"G1",IF(ISNUMBER(SEARCH("G2",Z3859)),"G2",IF(ISNUMBER(SEARCH("G3",Z3859)),"G3",IF(ISNUMBER(SEARCH("古馬条件",Z3859)),"古馬条件戦",IF(ISNUMBER(SEARCH("重賞",Z3859)),"重賞","分類不能")))))))))</f>
        <v/>
      </c>
    </row>
    <row r="3860" customFormat="false" ht="15.75" hidden="false" customHeight="false" outlineLevel="0" collapsed="false">
      <c r="AO3860" s="8" t="str">
        <f aca="false">IF(A3860="","",IF(COUNTIFS(全馬データ!$A$2:$A$50000,A3860,全馬データ!$B$2:$B$50000,B3860,全馬データ!$C$2:$C$50000,C3860,全馬データ!$D$2:$D$50000,E3860,全馬データ!$K$2:$K$50000,"&lt;&gt;")=0,"",SUMIFS(全馬データ!$K$2:$K$50000,全馬データ!$A$2:$A$50000,A3860,全馬データ!$B$2:$B$50000,B3860,全馬データ!$C$2:$C$50000,C3860,全馬データ!$D$2:$D$50000,E3860)))</f>
        <v/>
      </c>
      <c r="AP3860" s="8" t="str">
        <f aca="false">IF(A3860="","",IF(AO3860="","欠損",IF(AO3860&lt;=1.1,"1.0～1.1",IF(AO3860&lt;1.3,"1.2",IF(AO3860&lt;1.5,"1.3～1.4",IF(AO3860&lt;2,"1.5～1.9","2.0以上"))))))</f>
        <v/>
      </c>
      <c r="AQ3860" s="8" t="str">
        <f aca="false">IF(A3860="","",IF(ISNUMBER(SEARCH("2歳",Z3860)),"2歳戦",IF(ISNUMBER(SEARCH("3歳未勝利",Z3860)),"3歳未勝利",IF(ISNUMBER(SEARCH("未勝利",Z3860)),"その他未勝利",IF(ISNUMBER(SEARCH("G1",Z3860)),"G1",IF(ISNUMBER(SEARCH("G2",Z3860)),"G2",IF(ISNUMBER(SEARCH("G3",Z3860)),"G3",IF(ISNUMBER(SEARCH("古馬条件",Z3860)),"古馬条件戦",IF(ISNUMBER(SEARCH("重賞",Z3860)),"重賞","分類不能")))))))))</f>
        <v/>
      </c>
    </row>
    <row r="3861" customFormat="false" ht="15.75" hidden="false" customHeight="false" outlineLevel="0" collapsed="false">
      <c r="AO3861" s="8" t="str">
        <f aca="false">IF(A3861="","",IF(COUNTIFS(全馬データ!$A$2:$A$50000,A3861,全馬データ!$B$2:$B$50000,B3861,全馬データ!$C$2:$C$50000,C3861,全馬データ!$D$2:$D$50000,E3861,全馬データ!$K$2:$K$50000,"&lt;&gt;")=0,"",SUMIFS(全馬データ!$K$2:$K$50000,全馬データ!$A$2:$A$50000,A3861,全馬データ!$B$2:$B$50000,B3861,全馬データ!$C$2:$C$50000,C3861,全馬データ!$D$2:$D$50000,E3861)))</f>
        <v/>
      </c>
      <c r="AP3861" s="8" t="str">
        <f aca="false">IF(A3861="","",IF(AO3861="","欠損",IF(AO3861&lt;=1.1,"1.0～1.1",IF(AO3861&lt;1.3,"1.2",IF(AO3861&lt;1.5,"1.3～1.4",IF(AO3861&lt;2,"1.5～1.9","2.0以上"))))))</f>
        <v/>
      </c>
      <c r="AQ3861" s="8" t="str">
        <f aca="false">IF(A3861="","",IF(ISNUMBER(SEARCH("2歳",Z3861)),"2歳戦",IF(ISNUMBER(SEARCH("3歳未勝利",Z3861)),"3歳未勝利",IF(ISNUMBER(SEARCH("未勝利",Z3861)),"その他未勝利",IF(ISNUMBER(SEARCH("G1",Z3861)),"G1",IF(ISNUMBER(SEARCH("G2",Z3861)),"G2",IF(ISNUMBER(SEARCH("G3",Z3861)),"G3",IF(ISNUMBER(SEARCH("古馬条件",Z3861)),"古馬条件戦",IF(ISNUMBER(SEARCH("重賞",Z3861)),"重賞","分類不能")))))))))</f>
        <v/>
      </c>
    </row>
    <row r="3862" customFormat="false" ht="15.75" hidden="false" customHeight="false" outlineLevel="0" collapsed="false">
      <c r="AO3862" s="8" t="str">
        <f aca="false">IF(A3862="","",IF(COUNTIFS(全馬データ!$A$2:$A$50000,A3862,全馬データ!$B$2:$B$50000,B3862,全馬データ!$C$2:$C$50000,C3862,全馬データ!$D$2:$D$50000,E3862,全馬データ!$K$2:$K$50000,"&lt;&gt;")=0,"",SUMIFS(全馬データ!$K$2:$K$50000,全馬データ!$A$2:$A$50000,A3862,全馬データ!$B$2:$B$50000,B3862,全馬データ!$C$2:$C$50000,C3862,全馬データ!$D$2:$D$50000,E3862)))</f>
        <v/>
      </c>
      <c r="AP3862" s="8" t="str">
        <f aca="false">IF(A3862="","",IF(AO3862="","欠損",IF(AO3862&lt;=1.1,"1.0～1.1",IF(AO3862&lt;1.3,"1.2",IF(AO3862&lt;1.5,"1.3～1.4",IF(AO3862&lt;2,"1.5～1.9","2.0以上"))))))</f>
        <v/>
      </c>
      <c r="AQ3862" s="8" t="str">
        <f aca="false">IF(A3862="","",IF(ISNUMBER(SEARCH("2歳",Z3862)),"2歳戦",IF(ISNUMBER(SEARCH("3歳未勝利",Z3862)),"3歳未勝利",IF(ISNUMBER(SEARCH("未勝利",Z3862)),"その他未勝利",IF(ISNUMBER(SEARCH("G1",Z3862)),"G1",IF(ISNUMBER(SEARCH("G2",Z3862)),"G2",IF(ISNUMBER(SEARCH("G3",Z3862)),"G3",IF(ISNUMBER(SEARCH("古馬条件",Z3862)),"古馬条件戦",IF(ISNUMBER(SEARCH("重賞",Z3862)),"重賞","分類不能")))))))))</f>
        <v/>
      </c>
    </row>
    <row r="3863" customFormat="false" ht="15.75" hidden="false" customHeight="false" outlineLevel="0" collapsed="false">
      <c r="AO3863" s="8" t="str">
        <f aca="false">IF(A3863="","",IF(COUNTIFS(全馬データ!$A$2:$A$50000,A3863,全馬データ!$B$2:$B$50000,B3863,全馬データ!$C$2:$C$50000,C3863,全馬データ!$D$2:$D$50000,E3863,全馬データ!$K$2:$K$50000,"&lt;&gt;")=0,"",SUMIFS(全馬データ!$K$2:$K$50000,全馬データ!$A$2:$A$50000,A3863,全馬データ!$B$2:$B$50000,B3863,全馬データ!$C$2:$C$50000,C3863,全馬データ!$D$2:$D$50000,E3863)))</f>
        <v/>
      </c>
      <c r="AP3863" s="8" t="str">
        <f aca="false">IF(A3863="","",IF(AO3863="","欠損",IF(AO3863&lt;=1.1,"1.0～1.1",IF(AO3863&lt;1.3,"1.2",IF(AO3863&lt;1.5,"1.3～1.4",IF(AO3863&lt;2,"1.5～1.9","2.0以上"))))))</f>
        <v/>
      </c>
      <c r="AQ3863" s="8" t="str">
        <f aca="false">IF(A3863="","",IF(ISNUMBER(SEARCH("2歳",Z3863)),"2歳戦",IF(ISNUMBER(SEARCH("3歳未勝利",Z3863)),"3歳未勝利",IF(ISNUMBER(SEARCH("未勝利",Z3863)),"その他未勝利",IF(ISNUMBER(SEARCH("G1",Z3863)),"G1",IF(ISNUMBER(SEARCH("G2",Z3863)),"G2",IF(ISNUMBER(SEARCH("G3",Z3863)),"G3",IF(ISNUMBER(SEARCH("古馬条件",Z3863)),"古馬条件戦",IF(ISNUMBER(SEARCH("重賞",Z3863)),"重賞","分類不能")))))))))</f>
        <v/>
      </c>
    </row>
    <row r="3864" customFormat="false" ht="15.75" hidden="false" customHeight="false" outlineLevel="0" collapsed="false">
      <c r="AO3864" s="8" t="str">
        <f aca="false">IF(A3864="","",IF(COUNTIFS(全馬データ!$A$2:$A$50000,A3864,全馬データ!$B$2:$B$50000,B3864,全馬データ!$C$2:$C$50000,C3864,全馬データ!$D$2:$D$50000,E3864,全馬データ!$K$2:$K$50000,"&lt;&gt;")=0,"",SUMIFS(全馬データ!$K$2:$K$50000,全馬データ!$A$2:$A$50000,A3864,全馬データ!$B$2:$B$50000,B3864,全馬データ!$C$2:$C$50000,C3864,全馬データ!$D$2:$D$50000,E3864)))</f>
        <v/>
      </c>
      <c r="AP3864" s="8" t="str">
        <f aca="false">IF(A3864="","",IF(AO3864="","欠損",IF(AO3864&lt;=1.1,"1.0～1.1",IF(AO3864&lt;1.3,"1.2",IF(AO3864&lt;1.5,"1.3～1.4",IF(AO3864&lt;2,"1.5～1.9","2.0以上"))))))</f>
        <v/>
      </c>
      <c r="AQ3864" s="8" t="str">
        <f aca="false">IF(A3864="","",IF(ISNUMBER(SEARCH("2歳",Z3864)),"2歳戦",IF(ISNUMBER(SEARCH("3歳未勝利",Z3864)),"3歳未勝利",IF(ISNUMBER(SEARCH("未勝利",Z3864)),"その他未勝利",IF(ISNUMBER(SEARCH("G1",Z3864)),"G1",IF(ISNUMBER(SEARCH("G2",Z3864)),"G2",IF(ISNUMBER(SEARCH("G3",Z3864)),"G3",IF(ISNUMBER(SEARCH("古馬条件",Z3864)),"古馬条件戦",IF(ISNUMBER(SEARCH("重賞",Z3864)),"重賞","分類不能")))))))))</f>
        <v/>
      </c>
    </row>
    <row r="3865" customFormat="false" ht="15.75" hidden="false" customHeight="false" outlineLevel="0" collapsed="false">
      <c r="AO3865" s="8" t="str">
        <f aca="false">IF(A3865="","",IF(COUNTIFS(全馬データ!$A$2:$A$50000,A3865,全馬データ!$B$2:$B$50000,B3865,全馬データ!$C$2:$C$50000,C3865,全馬データ!$D$2:$D$50000,E3865,全馬データ!$K$2:$K$50000,"&lt;&gt;")=0,"",SUMIFS(全馬データ!$K$2:$K$50000,全馬データ!$A$2:$A$50000,A3865,全馬データ!$B$2:$B$50000,B3865,全馬データ!$C$2:$C$50000,C3865,全馬データ!$D$2:$D$50000,E3865)))</f>
        <v/>
      </c>
      <c r="AP3865" s="8" t="str">
        <f aca="false">IF(A3865="","",IF(AO3865="","欠損",IF(AO3865&lt;=1.1,"1.0～1.1",IF(AO3865&lt;1.3,"1.2",IF(AO3865&lt;1.5,"1.3～1.4",IF(AO3865&lt;2,"1.5～1.9","2.0以上"))))))</f>
        <v/>
      </c>
      <c r="AQ3865" s="8" t="str">
        <f aca="false">IF(A3865="","",IF(ISNUMBER(SEARCH("2歳",Z3865)),"2歳戦",IF(ISNUMBER(SEARCH("3歳未勝利",Z3865)),"3歳未勝利",IF(ISNUMBER(SEARCH("未勝利",Z3865)),"その他未勝利",IF(ISNUMBER(SEARCH("G1",Z3865)),"G1",IF(ISNUMBER(SEARCH("G2",Z3865)),"G2",IF(ISNUMBER(SEARCH("G3",Z3865)),"G3",IF(ISNUMBER(SEARCH("古馬条件",Z3865)),"古馬条件戦",IF(ISNUMBER(SEARCH("重賞",Z3865)),"重賞","分類不能")))))))))</f>
        <v/>
      </c>
    </row>
    <row r="3866" customFormat="false" ht="15.75" hidden="false" customHeight="false" outlineLevel="0" collapsed="false">
      <c r="AO3866" s="8" t="str">
        <f aca="false">IF(A3866="","",IF(COUNTIFS(全馬データ!$A$2:$A$50000,A3866,全馬データ!$B$2:$B$50000,B3866,全馬データ!$C$2:$C$50000,C3866,全馬データ!$D$2:$D$50000,E3866,全馬データ!$K$2:$K$50000,"&lt;&gt;")=0,"",SUMIFS(全馬データ!$K$2:$K$50000,全馬データ!$A$2:$A$50000,A3866,全馬データ!$B$2:$B$50000,B3866,全馬データ!$C$2:$C$50000,C3866,全馬データ!$D$2:$D$50000,E3866)))</f>
        <v/>
      </c>
      <c r="AP3866" s="8" t="str">
        <f aca="false">IF(A3866="","",IF(AO3866="","欠損",IF(AO3866&lt;=1.1,"1.0～1.1",IF(AO3866&lt;1.3,"1.2",IF(AO3866&lt;1.5,"1.3～1.4",IF(AO3866&lt;2,"1.5～1.9","2.0以上"))))))</f>
        <v/>
      </c>
      <c r="AQ3866" s="8" t="str">
        <f aca="false">IF(A3866="","",IF(ISNUMBER(SEARCH("2歳",Z3866)),"2歳戦",IF(ISNUMBER(SEARCH("3歳未勝利",Z3866)),"3歳未勝利",IF(ISNUMBER(SEARCH("未勝利",Z3866)),"その他未勝利",IF(ISNUMBER(SEARCH("G1",Z3866)),"G1",IF(ISNUMBER(SEARCH("G2",Z3866)),"G2",IF(ISNUMBER(SEARCH("G3",Z3866)),"G3",IF(ISNUMBER(SEARCH("古馬条件",Z3866)),"古馬条件戦",IF(ISNUMBER(SEARCH("重賞",Z3866)),"重賞","分類不能")))))))))</f>
        <v/>
      </c>
    </row>
    <row r="3867" customFormat="false" ht="15.75" hidden="false" customHeight="false" outlineLevel="0" collapsed="false">
      <c r="AO3867" s="8" t="str">
        <f aca="false">IF(A3867="","",IF(COUNTIFS(全馬データ!$A$2:$A$50000,A3867,全馬データ!$B$2:$B$50000,B3867,全馬データ!$C$2:$C$50000,C3867,全馬データ!$D$2:$D$50000,E3867,全馬データ!$K$2:$K$50000,"&lt;&gt;")=0,"",SUMIFS(全馬データ!$K$2:$K$50000,全馬データ!$A$2:$A$50000,A3867,全馬データ!$B$2:$B$50000,B3867,全馬データ!$C$2:$C$50000,C3867,全馬データ!$D$2:$D$50000,E3867)))</f>
        <v/>
      </c>
      <c r="AP3867" s="8" t="str">
        <f aca="false">IF(A3867="","",IF(AO3867="","欠損",IF(AO3867&lt;=1.1,"1.0～1.1",IF(AO3867&lt;1.3,"1.2",IF(AO3867&lt;1.5,"1.3～1.4",IF(AO3867&lt;2,"1.5～1.9","2.0以上"))))))</f>
        <v/>
      </c>
      <c r="AQ3867" s="8" t="str">
        <f aca="false">IF(A3867="","",IF(ISNUMBER(SEARCH("2歳",Z3867)),"2歳戦",IF(ISNUMBER(SEARCH("3歳未勝利",Z3867)),"3歳未勝利",IF(ISNUMBER(SEARCH("未勝利",Z3867)),"その他未勝利",IF(ISNUMBER(SEARCH("G1",Z3867)),"G1",IF(ISNUMBER(SEARCH("G2",Z3867)),"G2",IF(ISNUMBER(SEARCH("G3",Z3867)),"G3",IF(ISNUMBER(SEARCH("古馬条件",Z3867)),"古馬条件戦",IF(ISNUMBER(SEARCH("重賞",Z3867)),"重賞","分類不能")))))))))</f>
        <v/>
      </c>
    </row>
    <row r="3868" customFormat="false" ht="15.75" hidden="false" customHeight="false" outlineLevel="0" collapsed="false">
      <c r="AO3868" s="8" t="str">
        <f aca="false">IF(A3868="","",IF(COUNTIFS(全馬データ!$A$2:$A$50000,A3868,全馬データ!$B$2:$B$50000,B3868,全馬データ!$C$2:$C$50000,C3868,全馬データ!$D$2:$D$50000,E3868,全馬データ!$K$2:$K$50000,"&lt;&gt;")=0,"",SUMIFS(全馬データ!$K$2:$K$50000,全馬データ!$A$2:$A$50000,A3868,全馬データ!$B$2:$B$50000,B3868,全馬データ!$C$2:$C$50000,C3868,全馬データ!$D$2:$D$50000,E3868)))</f>
        <v/>
      </c>
      <c r="AP3868" s="8" t="str">
        <f aca="false">IF(A3868="","",IF(AO3868="","欠損",IF(AO3868&lt;=1.1,"1.0～1.1",IF(AO3868&lt;1.3,"1.2",IF(AO3868&lt;1.5,"1.3～1.4",IF(AO3868&lt;2,"1.5～1.9","2.0以上"))))))</f>
        <v/>
      </c>
      <c r="AQ3868" s="8" t="str">
        <f aca="false">IF(A3868="","",IF(ISNUMBER(SEARCH("2歳",Z3868)),"2歳戦",IF(ISNUMBER(SEARCH("3歳未勝利",Z3868)),"3歳未勝利",IF(ISNUMBER(SEARCH("未勝利",Z3868)),"その他未勝利",IF(ISNUMBER(SEARCH("G1",Z3868)),"G1",IF(ISNUMBER(SEARCH("G2",Z3868)),"G2",IF(ISNUMBER(SEARCH("G3",Z3868)),"G3",IF(ISNUMBER(SEARCH("古馬条件",Z3868)),"古馬条件戦",IF(ISNUMBER(SEARCH("重賞",Z3868)),"重賞","分類不能")))))))))</f>
        <v/>
      </c>
    </row>
    <row r="3869" customFormat="false" ht="15.75" hidden="false" customHeight="false" outlineLevel="0" collapsed="false">
      <c r="AO3869" s="8" t="str">
        <f aca="false">IF(A3869="","",IF(COUNTIFS(全馬データ!$A$2:$A$50000,A3869,全馬データ!$B$2:$B$50000,B3869,全馬データ!$C$2:$C$50000,C3869,全馬データ!$D$2:$D$50000,E3869,全馬データ!$K$2:$K$50000,"&lt;&gt;")=0,"",SUMIFS(全馬データ!$K$2:$K$50000,全馬データ!$A$2:$A$50000,A3869,全馬データ!$B$2:$B$50000,B3869,全馬データ!$C$2:$C$50000,C3869,全馬データ!$D$2:$D$50000,E3869)))</f>
        <v/>
      </c>
      <c r="AP3869" s="8" t="str">
        <f aca="false">IF(A3869="","",IF(AO3869="","欠損",IF(AO3869&lt;=1.1,"1.0～1.1",IF(AO3869&lt;1.3,"1.2",IF(AO3869&lt;1.5,"1.3～1.4",IF(AO3869&lt;2,"1.5～1.9","2.0以上"))))))</f>
        <v/>
      </c>
      <c r="AQ3869" s="8" t="str">
        <f aca="false">IF(A3869="","",IF(ISNUMBER(SEARCH("2歳",Z3869)),"2歳戦",IF(ISNUMBER(SEARCH("3歳未勝利",Z3869)),"3歳未勝利",IF(ISNUMBER(SEARCH("未勝利",Z3869)),"その他未勝利",IF(ISNUMBER(SEARCH("G1",Z3869)),"G1",IF(ISNUMBER(SEARCH("G2",Z3869)),"G2",IF(ISNUMBER(SEARCH("G3",Z3869)),"G3",IF(ISNUMBER(SEARCH("古馬条件",Z3869)),"古馬条件戦",IF(ISNUMBER(SEARCH("重賞",Z3869)),"重賞","分類不能")))))))))</f>
        <v/>
      </c>
    </row>
    <row r="3870" customFormat="false" ht="15.75" hidden="false" customHeight="false" outlineLevel="0" collapsed="false">
      <c r="AO3870" s="8" t="str">
        <f aca="false">IF(A3870="","",IF(COUNTIFS(全馬データ!$A$2:$A$50000,A3870,全馬データ!$B$2:$B$50000,B3870,全馬データ!$C$2:$C$50000,C3870,全馬データ!$D$2:$D$50000,E3870,全馬データ!$K$2:$K$50000,"&lt;&gt;")=0,"",SUMIFS(全馬データ!$K$2:$K$50000,全馬データ!$A$2:$A$50000,A3870,全馬データ!$B$2:$B$50000,B3870,全馬データ!$C$2:$C$50000,C3870,全馬データ!$D$2:$D$50000,E3870)))</f>
        <v/>
      </c>
      <c r="AP3870" s="8" t="str">
        <f aca="false">IF(A3870="","",IF(AO3870="","欠損",IF(AO3870&lt;=1.1,"1.0～1.1",IF(AO3870&lt;1.3,"1.2",IF(AO3870&lt;1.5,"1.3～1.4",IF(AO3870&lt;2,"1.5～1.9","2.0以上"))))))</f>
        <v/>
      </c>
      <c r="AQ3870" s="8" t="str">
        <f aca="false">IF(A3870="","",IF(ISNUMBER(SEARCH("2歳",Z3870)),"2歳戦",IF(ISNUMBER(SEARCH("3歳未勝利",Z3870)),"3歳未勝利",IF(ISNUMBER(SEARCH("未勝利",Z3870)),"その他未勝利",IF(ISNUMBER(SEARCH("G1",Z3870)),"G1",IF(ISNUMBER(SEARCH("G2",Z3870)),"G2",IF(ISNUMBER(SEARCH("G3",Z3870)),"G3",IF(ISNUMBER(SEARCH("古馬条件",Z3870)),"古馬条件戦",IF(ISNUMBER(SEARCH("重賞",Z3870)),"重賞","分類不能")))))))))</f>
        <v/>
      </c>
    </row>
    <row r="3871" customFormat="false" ht="15.75" hidden="false" customHeight="false" outlineLevel="0" collapsed="false">
      <c r="AO3871" s="8" t="str">
        <f aca="false">IF(A3871="","",IF(COUNTIFS(全馬データ!$A$2:$A$50000,A3871,全馬データ!$B$2:$B$50000,B3871,全馬データ!$C$2:$C$50000,C3871,全馬データ!$D$2:$D$50000,E3871,全馬データ!$K$2:$K$50000,"&lt;&gt;")=0,"",SUMIFS(全馬データ!$K$2:$K$50000,全馬データ!$A$2:$A$50000,A3871,全馬データ!$B$2:$B$50000,B3871,全馬データ!$C$2:$C$50000,C3871,全馬データ!$D$2:$D$50000,E3871)))</f>
        <v/>
      </c>
      <c r="AP3871" s="8" t="str">
        <f aca="false">IF(A3871="","",IF(AO3871="","欠損",IF(AO3871&lt;=1.1,"1.0～1.1",IF(AO3871&lt;1.3,"1.2",IF(AO3871&lt;1.5,"1.3～1.4",IF(AO3871&lt;2,"1.5～1.9","2.0以上"))))))</f>
        <v/>
      </c>
      <c r="AQ3871" s="8" t="str">
        <f aca="false">IF(A3871="","",IF(ISNUMBER(SEARCH("2歳",Z3871)),"2歳戦",IF(ISNUMBER(SEARCH("3歳未勝利",Z3871)),"3歳未勝利",IF(ISNUMBER(SEARCH("未勝利",Z3871)),"その他未勝利",IF(ISNUMBER(SEARCH("G1",Z3871)),"G1",IF(ISNUMBER(SEARCH("G2",Z3871)),"G2",IF(ISNUMBER(SEARCH("G3",Z3871)),"G3",IF(ISNUMBER(SEARCH("古馬条件",Z3871)),"古馬条件戦",IF(ISNUMBER(SEARCH("重賞",Z3871)),"重賞","分類不能")))))))))</f>
        <v/>
      </c>
    </row>
    <row r="3872" customFormat="false" ht="15.75" hidden="false" customHeight="false" outlineLevel="0" collapsed="false">
      <c r="AO3872" s="8" t="str">
        <f aca="false">IF(A3872="","",IF(COUNTIFS(全馬データ!$A$2:$A$50000,A3872,全馬データ!$B$2:$B$50000,B3872,全馬データ!$C$2:$C$50000,C3872,全馬データ!$D$2:$D$50000,E3872,全馬データ!$K$2:$K$50000,"&lt;&gt;")=0,"",SUMIFS(全馬データ!$K$2:$K$50000,全馬データ!$A$2:$A$50000,A3872,全馬データ!$B$2:$B$50000,B3872,全馬データ!$C$2:$C$50000,C3872,全馬データ!$D$2:$D$50000,E3872)))</f>
        <v/>
      </c>
      <c r="AP3872" s="8" t="str">
        <f aca="false">IF(A3872="","",IF(AO3872="","欠損",IF(AO3872&lt;=1.1,"1.0～1.1",IF(AO3872&lt;1.3,"1.2",IF(AO3872&lt;1.5,"1.3～1.4",IF(AO3872&lt;2,"1.5～1.9","2.0以上"))))))</f>
        <v/>
      </c>
      <c r="AQ3872" s="8" t="str">
        <f aca="false">IF(A3872="","",IF(ISNUMBER(SEARCH("2歳",Z3872)),"2歳戦",IF(ISNUMBER(SEARCH("3歳未勝利",Z3872)),"3歳未勝利",IF(ISNUMBER(SEARCH("未勝利",Z3872)),"その他未勝利",IF(ISNUMBER(SEARCH("G1",Z3872)),"G1",IF(ISNUMBER(SEARCH("G2",Z3872)),"G2",IF(ISNUMBER(SEARCH("G3",Z3872)),"G3",IF(ISNUMBER(SEARCH("古馬条件",Z3872)),"古馬条件戦",IF(ISNUMBER(SEARCH("重賞",Z3872)),"重賞","分類不能")))))))))</f>
        <v/>
      </c>
    </row>
    <row r="3873" customFormat="false" ht="15.75" hidden="false" customHeight="false" outlineLevel="0" collapsed="false">
      <c r="AO3873" s="8" t="str">
        <f aca="false">IF(A3873="","",IF(COUNTIFS(全馬データ!$A$2:$A$50000,A3873,全馬データ!$B$2:$B$50000,B3873,全馬データ!$C$2:$C$50000,C3873,全馬データ!$D$2:$D$50000,E3873,全馬データ!$K$2:$K$50000,"&lt;&gt;")=0,"",SUMIFS(全馬データ!$K$2:$K$50000,全馬データ!$A$2:$A$50000,A3873,全馬データ!$B$2:$B$50000,B3873,全馬データ!$C$2:$C$50000,C3873,全馬データ!$D$2:$D$50000,E3873)))</f>
        <v/>
      </c>
      <c r="AP3873" s="8" t="str">
        <f aca="false">IF(A3873="","",IF(AO3873="","欠損",IF(AO3873&lt;=1.1,"1.0～1.1",IF(AO3873&lt;1.3,"1.2",IF(AO3873&lt;1.5,"1.3～1.4",IF(AO3873&lt;2,"1.5～1.9","2.0以上"))))))</f>
        <v/>
      </c>
      <c r="AQ3873" s="8" t="str">
        <f aca="false">IF(A3873="","",IF(ISNUMBER(SEARCH("2歳",Z3873)),"2歳戦",IF(ISNUMBER(SEARCH("3歳未勝利",Z3873)),"3歳未勝利",IF(ISNUMBER(SEARCH("未勝利",Z3873)),"その他未勝利",IF(ISNUMBER(SEARCH("G1",Z3873)),"G1",IF(ISNUMBER(SEARCH("G2",Z3873)),"G2",IF(ISNUMBER(SEARCH("G3",Z3873)),"G3",IF(ISNUMBER(SEARCH("古馬条件",Z3873)),"古馬条件戦",IF(ISNUMBER(SEARCH("重賞",Z3873)),"重賞","分類不能")))))))))</f>
        <v/>
      </c>
    </row>
    <row r="3874" customFormat="false" ht="15.75" hidden="false" customHeight="false" outlineLevel="0" collapsed="false">
      <c r="AO3874" s="8" t="str">
        <f aca="false">IF(A3874="","",IF(COUNTIFS(全馬データ!$A$2:$A$50000,A3874,全馬データ!$B$2:$B$50000,B3874,全馬データ!$C$2:$C$50000,C3874,全馬データ!$D$2:$D$50000,E3874,全馬データ!$K$2:$K$50000,"&lt;&gt;")=0,"",SUMIFS(全馬データ!$K$2:$K$50000,全馬データ!$A$2:$A$50000,A3874,全馬データ!$B$2:$B$50000,B3874,全馬データ!$C$2:$C$50000,C3874,全馬データ!$D$2:$D$50000,E3874)))</f>
        <v/>
      </c>
      <c r="AP3874" s="8" t="str">
        <f aca="false">IF(A3874="","",IF(AO3874="","欠損",IF(AO3874&lt;=1.1,"1.0～1.1",IF(AO3874&lt;1.3,"1.2",IF(AO3874&lt;1.5,"1.3～1.4",IF(AO3874&lt;2,"1.5～1.9","2.0以上"))))))</f>
        <v/>
      </c>
      <c r="AQ3874" s="8" t="str">
        <f aca="false">IF(A3874="","",IF(ISNUMBER(SEARCH("2歳",Z3874)),"2歳戦",IF(ISNUMBER(SEARCH("3歳未勝利",Z3874)),"3歳未勝利",IF(ISNUMBER(SEARCH("未勝利",Z3874)),"その他未勝利",IF(ISNUMBER(SEARCH("G1",Z3874)),"G1",IF(ISNUMBER(SEARCH("G2",Z3874)),"G2",IF(ISNUMBER(SEARCH("G3",Z3874)),"G3",IF(ISNUMBER(SEARCH("古馬条件",Z3874)),"古馬条件戦",IF(ISNUMBER(SEARCH("重賞",Z3874)),"重賞","分類不能")))))))))</f>
        <v/>
      </c>
    </row>
    <row r="3875" customFormat="false" ht="15.75" hidden="false" customHeight="false" outlineLevel="0" collapsed="false">
      <c r="AO3875" s="8" t="str">
        <f aca="false">IF(A3875="","",IF(COUNTIFS(全馬データ!$A$2:$A$50000,A3875,全馬データ!$B$2:$B$50000,B3875,全馬データ!$C$2:$C$50000,C3875,全馬データ!$D$2:$D$50000,E3875,全馬データ!$K$2:$K$50000,"&lt;&gt;")=0,"",SUMIFS(全馬データ!$K$2:$K$50000,全馬データ!$A$2:$A$50000,A3875,全馬データ!$B$2:$B$50000,B3875,全馬データ!$C$2:$C$50000,C3875,全馬データ!$D$2:$D$50000,E3875)))</f>
        <v/>
      </c>
      <c r="AP3875" s="8" t="str">
        <f aca="false">IF(A3875="","",IF(AO3875="","欠損",IF(AO3875&lt;=1.1,"1.0～1.1",IF(AO3875&lt;1.3,"1.2",IF(AO3875&lt;1.5,"1.3～1.4",IF(AO3875&lt;2,"1.5～1.9","2.0以上"))))))</f>
        <v/>
      </c>
      <c r="AQ3875" s="8" t="str">
        <f aca="false">IF(A3875="","",IF(ISNUMBER(SEARCH("2歳",Z3875)),"2歳戦",IF(ISNUMBER(SEARCH("3歳未勝利",Z3875)),"3歳未勝利",IF(ISNUMBER(SEARCH("未勝利",Z3875)),"その他未勝利",IF(ISNUMBER(SEARCH("G1",Z3875)),"G1",IF(ISNUMBER(SEARCH("G2",Z3875)),"G2",IF(ISNUMBER(SEARCH("G3",Z3875)),"G3",IF(ISNUMBER(SEARCH("古馬条件",Z3875)),"古馬条件戦",IF(ISNUMBER(SEARCH("重賞",Z3875)),"重賞","分類不能")))))))))</f>
        <v/>
      </c>
    </row>
    <row r="3876" customFormat="false" ht="15.75" hidden="false" customHeight="false" outlineLevel="0" collapsed="false">
      <c r="AO3876" s="8" t="str">
        <f aca="false">IF(A3876="","",IF(COUNTIFS(全馬データ!$A$2:$A$50000,A3876,全馬データ!$B$2:$B$50000,B3876,全馬データ!$C$2:$C$50000,C3876,全馬データ!$D$2:$D$50000,E3876,全馬データ!$K$2:$K$50000,"&lt;&gt;")=0,"",SUMIFS(全馬データ!$K$2:$K$50000,全馬データ!$A$2:$A$50000,A3876,全馬データ!$B$2:$B$50000,B3876,全馬データ!$C$2:$C$50000,C3876,全馬データ!$D$2:$D$50000,E3876)))</f>
        <v/>
      </c>
      <c r="AP3876" s="8" t="str">
        <f aca="false">IF(A3876="","",IF(AO3876="","欠損",IF(AO3876&lt;=1.1,"1.0～1.1",IF(AO3876&lt;1.3,"1.2",IF(AO3876&lt;1.5,"1.3～1.4",IF(AO3876&lt;2,"1.5～1.9","2.0以上"))))))</f>
        <v/>
      </c>
      <c r="AQ3876" s="8" t="str">
        <f aca="false">IF(A3876="","",IF(ISNUMBER(SEARCH("2歳",Z3876)),"2歳戦",IF(ISNUMBER(SEARCH("3歳未勝利",Z3876)),"3歳未勝利",IF(ISNUMBER(SEARCH("未勝利",Z3876)),"その他未勝利",IF(ISNUMBER(SEARCH("G1",Z3876)),"G1",IF(ISNUMBER(SEARCH("G2",Z3876)),"G2",IF(ISNUMBER(SEARCH("G3",Z3876)),"G3",IF(ISNUMBER(SEARCH("古馬条件",Z3876)),"古馬条件戦",IF(ISNUMBER(SEARCH("重賞",Z3876)),"重賞","分類不能")))))))))</f>
        <v/>
      </c>
    </row>
    <row r="3877" customFormat="false" ht="15.75" hidden="false" customHeight="false" outlineLevel="0" collapsed="false">
      <c r="AO3877" s="8" t="str">
        <f aca="false">IF(A3877="","",IF(COUNTIFS(全馬データ!$A$2:$A$50000,A3877,全馬データ!$B$2:$B$50000,B3877,全馬データ!$C$2:$C$50000,C3877,全馬データ!$D$2:$D$50000,E3877,全馬データ!$K$2:$K$50000,"&lt;&gt;")=0,"",SUMIFS(全馬データ!$K$2:$K$50000,全馬データ!$A$2:$A$50000,A3877,全馬データ!$B$2:$B$50000,B3877,全馬データ!$C$2:$C$50000,C3877,全馬データ!$D$2:$D$50000,E3877)))</f>
        <v/>
      </c>
      <c r="AP3877" s="8" t="str">
        <f aca="false">IF(A3877="","",IF(AO3877="","欠損",IF(AO3877&lt;=1.1,"1.0～1.1",IF(AO3877&lt;1.3,"1.2",IF(AO3877&lt;1.5,"1.3～1.4",IF(AO3877&lt;2,"1.5～1.9","2.0以上"))))))</f>
        <v/>
      </c>
      <c r="AQ3877" s="8" t="str">
        <f aca="false">IF(A3877="","",IF(ISNUMBER(SEARCH("2歳",Z3877)),"2歳戦",IF(ISNUMBER(SEARCH("3歳未勝利",Z3877)),"3歳未勝利",IF(ISNUMBER(SEARCH("未勝利",Z3877)),"その他未勝利",IF(ISNUMBER(SEARCH("G1",Z3877)),"G1",IF(ISNUMBER(SEARCH("G2",Z3877)),"G2",IF(ISNUMBER(SEARCH("G3",Z3877)),"G3",IF(ISNUMBER(SEARCH("古馬条件",Z3877)),"古馬条件戦",IF(ISNUMBER(SEARCH("重賞",Z3877)),"重賞","分類不能")))))))))</f>
        <v/>
      </c>
    </row>
    <row r="3878" customFormat="false" ht="15.75" hidden="false" customHeight="false" outlineLevel="0" collapsed="false">
      <c r="AO3878" s="8" t="str">
        <f aca="false">IF(A3878="","",IF(COUNTIFS(全馬データ!$A$2:$A$50000,A3878,全馬データ!$B$2:$B$50000,B3878,全馬データ!$C$2:$C$50000,C3878,全馬データ!$D$2:$D$50000,E3878,全馬データ!$K$2:$K$50000,"&lt;&gt;")=0,"",SUMIFS(全馬データ!$K$2:$K$50000,全馬データ!$A$2:$A$50000,A3878,全馬データ!$B$2:$B$50000,B3878,全馬データ!$C$2:$C$50000,C3878,全馬データ!$D$2:$D$50000,E3878)))</f>
        <v/>
      </c>
      <c r="AP3878" s="8" t="str">
        <f aca="false">IF(A3878="","",IF(AO3878="","欠損",IF(AO3878&lt;=1.1,"1.0～1.1",IF(AO3878&lt;1.3,"1.2",IF(AO3878&lt;1.5,"1.3～1.4",IF(AO3878&lt;2,"1.5～1.9","2.0以上"))))))</f>
        <v/>
      </c>
      <c r="AQ3878" s="8" t="str">
        <f aca="false">IF(A3878="","",IF(ISNUMBER(SEARCH("2歳",Z3878)),"2歳戦",IF(ISNUMBER(SEARCH("3歳未勝利",Z3878)),"3歳未勝利",IF(ISNUMBER(SEARCH("未勝利",Z3878)),"その他未勝利",IF(ISNUMBER(SEARCH("G1",Z3878)),"G1",IF(ISNUMBER(SEARCH("G2",Z3878)),"G2",IF(ISNUMBER(SEARCH("G3",Z3878)),"G3",IF(ISNUMBER(SEARCH("古馬条件",Z3878)),"古馬条件戦",IF(ISNUMBER(SEARCH("重賞",Z3878)),"重賞","分類不能")))))))))</f>
        <v/>
      </c>
    </row>
    <row r="3879" customFormat="false" ht="15.75" hidden="false" customHeight="false" outlineLevel="0" collapsed="false">
      <c r="AO3879" s="8" t="str">
        <f aca="false">IF(A3879="","",IF(COUNTIFS(全馬データ!$A$2:$A$50000,A3879,全馬データ!$B$2:$B$50000,B3879,全馬データ!$C$2:$C$50000,C3879,全馬データ!$D$2:$D$50000,E3879,全馬データ!$K$2:$K$50000,"&lt;&gt;")=0,"",SUMIFS(全馬データ!$K$2:$K$50000,全馬データ!$A$2:$A$50000,A3879,全馬データ!$B$2:$B$50000,B3879,全馬データ!$C$2:$C$50000,C3879,全馬データ!$D$2:$D$50000,E3879)))</f>
        <v/>
      </c>
      <c r="AP3879" s="8" t="str">
        <f aca="false">IF(A3879="","",IF(AO3879="","欠損",IF(AO3879&lt;=1.1,"1.0～1.1",IF(AO3879&lt;1.3,"1.2",IF(AO3879&lt;1.5,"1.3～1.4",IF(AO3879&lt;2,"1.5～1.9","2.0以上"))))))</f>
        <v/>
      </c>
      <c r="AQ3879" s="8" t="str">
        <f aca="false">IF(A3879="","",IF(ISNUMBER(SEARCH("2歳",Z3879)),"2歳戦",IF(ISNUMBER(SEARCH("3歳未勝利",Z3879)),"3歳未勝利",IF(ISNUMBER(SEARCH("未勝利",Z3879)),"その他未勝利",IF(ISNUMBER(SEARCH("G1",Z3879)),"G1",IF(ISNUMBER(SEARCH("G2",Z3879)),"G2",IF(ISNUMBER(SEARCH("G3",Z3879)),"G3",IF(ISNUMBER(SEARCH("古馬条件",Z3879)),"古馬条件戦",IF(ISNUMBER(SEARCH("重賞",Z3879)),"重賞","分類不能")))))))))</f>
        <v/>
      </c>
    </row>
    <row r="3880" customFormat="false" ht="15.75" hidden="false" customHeight="false" outlineLevel="0" collapsed="false">
      <c r="AO3880" s="8" t="str">
        <f aca="false">IF(A3880="","",IF(COUNTIFS(全馬データ!$A$2:$A$50000,A3880,全馬データ!$B$2:$B$50000,B3880,全馬データ!$C$2:$C$50000,C3880,全馬データ!$D$2:$D$50000,E3880,全馬データ!$K$2:$K$50000,"&lt;&gt;")=0,"",SUMIFS(全馬データ!$K$2:$K$50000,全馬データ!$A$2:$A$50000,A3880,全馬データ!$B$2:$B$50000,B3880,全馬データ!$C$2:$C$50000,C3880,全馬データ!$D$2:$D$50000,E3880)))</f>
        <v/>
      </c>
      <c r="AP3880" s="8" t="str">
        <f aca="false">IF(A3880="","",IF(AO3880="","欠損",IF(AO3880&lt;=1.1,"1.0～1.1",IF(AO3880&lt;1.3,"1.2",IF(AO3880&lt;1.5,"1.3～1.4",IF(AO3880&lt;2,"1.5～1.9","2.0以上"))))))</f>
        <v/>
      </c>
      <c r="AQ3880" s="8" t="str">
        <f aca="false">IF(A3880="","",IF(ISNUMBER(SEARCH("2歳",Z3880)),"2歳戦",IF(ISNUMBER(SEARCH("3歳未勝利",Z3880)),"3歳未勝利",IF(ISNUMBER(SEARCH("未勝利",Z3880)),"その他未勝利",IF(ISNUMBER(SEARCH("G1",Z3880)),"G1",IF(ISNUMBER(SEARCH("G2",Z3880)),"G2",IF(ISNUMBER(SEARCH("G3",Z3880)),"G3",IF(ISNUMBER(SEARCH("古馬条件",Z3880)),"古馬条件戦",IF(ISNUMBER(SEARCH("重賞",Z3880)),"重賞","分類不能")))))))))</f>
        <v/>
      </c>
    </row>
    <row r="3881" customFormat="false" ht="15.75" hidden="false" customHeight="false" outlineLevel="0" collapsed="false">
      <c r="AO3881" s="8" t="str">
        <f aca="false">IF(A3881="","",IF(COUNTIFS(全馬データ!$A$2:$A$50000,A3881,全馬データ!$B$2:$B$50000,B3881,全馬データ!$C$2:$C$50000,C3881,全馬データ!$D$2:$D$50000,E3881,全馬データ!$K$2:$K$50000,"&lt;&gt;")=0,"",SUMIFS(全馬データ!$K$2:$K$50000,全馬データ!$A$2:$A$50000,A3881,全馬データ!$B$2:$B$50000,B3881,全馬データ!$C$2:$C$50000,C3881,全馬データ!$D$2:$D$50000,E3881)))</f>
        <v/>
      </c>
      <c r="AP3881" s="8" t="str">
        <f aca="false">IF(A3881="","",IF(AO3881="","欠損",IF(AO3881&lt;=1.1,"1.0～1.1",IF(AO3881&lt;1.3,"1.2",IF(AO3881&lt;1.5,"1.3～1.4",IF(AO3881&lt;2,"1.5～1.9","2.0以上"))))))</f>
        <v/>
      </c>
      <c r="AQ3881" s="8" t="str">
        <f aca="false">IF(A3881="","",IF(ISNUMBER(SEARCH("2歳",Z3881)),"2歳戦",IF(ISNUMBER(SEARCH("3歳未勝利",Z3881)),"3歳未勝利",IF(ISNUMBER(SEARCH("未勝利",Z3881)),"その他未勝利",IF(ISNUMBER(SEARCH("G1",Z3881)),"G1",IF(ISNUMBER(SEARCH("G2",Z3881)),"G2",IF(ISNUMBER(SEARCH("G3",Z3881)),"G3",IF(ISNUMBER(SEARCH("古馬条件",Z3881)),"古馬条件戦",IF(ISNUMBER(SEARCH("重賞",Z3881)),"重賞","分類不能")))))))))</f>
        <v/>
      </c>
    </row>
    <row r="3882" customFormat="false" ht="15.75" hidden="false" customHeight="false" outlineLevel="0" collapsed="false">
      <c r="AO3882" s="8" t="str">
        <f aca="false">IF(A3882="","",IF(COUNTIFS(全馬データ!$A$2:$A$50000,A3882,全馬データ!$B$2:$B$50000,B3882,全馬データ!$C$2:$C$50000,C3882,全馬データ!$D$2:$D$50000,E3882,全馬データ!$K$2:$K$50000,"&lt;&gt;")=0,"",SUMIFS(全馬データ!$K$2:$K$50000,全馬データ!$A$2:$A$50000,A3882,全馬データ!$B$2:$B$50000,B3882,全馬データ!$C$2:$C$50000,C3882,全馬データ!$D$2:$D$50000,E3882)))</f>
        <v/>
      </c>
      <c r="AP3882" s="8" t="str">
        <f aca="false">IF(A3882="","",IF(AO3882="","欠損",IF(AO3882&lt;=1.1,"1.0～1.1",IF(AO3882&lt;1.3,"1.2",IF(AO3882&lt;1.5,"1.3～1.4",IF(AO3882&lt;2,"1.5～1.9","2.0以上"))))))</f>
        <v/>
      </c>
      <c r="AQ3882" s="8" t="str">
        <f aca="false">IF(A3882="","",IF(ISNUMBER(SEARCH("2歳",Z3882)),"2歳戦",IF(ISNUMBER(SEARCH("3歳未勝利",Z3882)),"3歳未勝利",IF(ISNUMBER(SEARCH("未勝利",Z3882)),"その他未勝利",IF(ISNUMBER(SEARCH("G1",Z3882)),"G1",IF(ISNUMBER(SEARCH("G2",Z3882)),"G2",IF(ISNUMBER(SEARCH("G3",Z3882)),"G3",IF(ISNUMBER(SEARCH("古馬条件",Z3882)),"古馬条件戦",IF(ISNUMBER(SEARCH("重賞",Z3882)),"重賞","分類不能")))))))))</f>
        <v/>
      </c>
    </row>
    <row r="3883" customFormat="false" ht="15.75" hidden="false" customHeight="false" outlineLevel="0" collapsed="false">
      <c r="AO3883" s="8" t="str">
        <f aca="false">IF(A3883="","",IF(COUNTIFS(全馬データ!$A$2:$A$50000,A3883,全馬データ!$B$2:$B$50000,B3883,全馬データ!$C$2:$C$50000,C3883,全馬データ!$D$2:$D$50000,E3883,全馬データ!$K$2:$K$50000,"&lt;&gt;")=0,"",SUMIFS(全馬データ!$K$2:$K$50000,全馬データ!$A$2:$A$50000,A3883,全馬データ!$B$2:$B$50000,B3883,全馬データ!$C$2:$C$50000,C3883,全馬データ!$D$2:$D$50000,E3883)))</f>
        <v/>
      </c>
      <c r="AP3883" s="8" t="str">
        <f aca="false">IF(A3883="","",IF(AO3883="","欠損",IF(AO3883&lt;=1.1,"1.0～1.1",IF(AO3883&lt;1.3,"1.2",IF(AO3883&lt;1.5,"1.3～1.4",IF(AO3883&lt;2,"1.5～1.9","2.0以上"))))))</f>
        <v/>
      </c>
      <c r="AQ3883" s="8" t="str">
        <f aca="false">IF(A3883="","",IF(ISNUMBER(SEARCH("2歳",Z3883)),"2歳戦",IF(ISNUMBER(SEARCH("3歳未勝利",Z3883)),"3歳未勝利",IF(ISNUMBER(SEARCH("未勝利",Z3883)),"その他未勝利",IF(ISNUMBER(SEARCH("G1",Z3883)),"G1",IF(ISNUMBER(SEARCH("G2",Z3883)),"G2",IF(ISNUMBER(SEARCH("G3",Z3883)),"G3",IF(ISNUMBER(SEARCH("古馬条件",Z3883)),"古馬条件戦",IF(ISNUMBER(SEARCH("重賞",Z3883)),"重賞","分類不能")))))))))</f>
        <v/>
      </c>
    </row>
    <row r="3884" customFormat="false" ht="15.75" hidden="false" customHeight="false" outlineLevel="0" collapsed="false">
      <c r="AO3884" s="8" t="str">
        <f aca="false">IF(A3884="","",IF(COUNTIFS(全馬データ!$A$2:$A$50000,A3884,全馬データ!$B$2:$B$50000,B3884,全馬データ!$C$2:$C$50000,C3884,全馬データ!$D$2:$D$50000,E3884,全馬データ!$K$2:$K$50000,"&lt;&gt;")=0,"",SUMIFS(全馬データ!$K$2:$K$50000,全馬データ!$A$2:$A$50000,A3884,全馬データ!$B$2:$B$50000,B3884,全馬データ!$C$2:$C$50000,C3884,全馬データ!$D$2:$D$50000,E3884)))</f>
        <v/>
      </c>
      <c r="AP3884" s="8" t="str">
        <f aca="false">IF(A3884="","",IF(AO3884="","欠損",IF(AO3884&lt;=1.1,"1.0～1.1",IF(AO3884&lt;1.3,"1.2",IF(AO3884&lt;1.5,"1.3～1.4",IF(AO3884&lt;2,"1.5～1.9","2.0以上"))))))</f>
        <v/>
      </c>
      <c r="AQ3884" s="8" t="str">
        <f aca="false">IF(A3884="","",IF(ISNUMBER(SEARCH("2歳",Z3884)),"2歳戦",IF(ISNUMBER(SEARCH("3歳未勝利",Z3884)),"3歳未勝利",IF(ISNUMBER(SEARCH("未勝利",Z3884)),"その他未勝利",IF(ISNUMBER(SEARCH("G1",Z3884)),"G1",IF(ISNUMBER(SEARCH("G2",Z3884)),"G2",IF(ISNUMBER(SEARCH("G3",Z3884)),"G3",IF(ISNUMBER(SEARCH("古馬条件",Z3884)),"古馬条件戦",IF(ISNUMBER(SEARCH("重賞",Z3884)),"重賞","分類不能")))))))))</f>
        <v/>
      </c>
    </row>
    <row r="3885" customFormat="false" ht="15.75" hidden="false" customHeight="false" outlineLevel="0" collapsed="false">
      <c r="AO3885" s="8" t="str">
        <f aca="false">IF(A3885="","",IF(COUNTIFS(全馬データ!$A$2:$A$50000,A3885,全馬データ!$B$2:$B$50000,B3885,全馬データ!$C$2:$C$50000,C3885,全馬データ!$D$2:$D$50000,E3885,全馬データ!$K$2:$K$50000,"&lt;&gt;")=0,"",SUMIFS(全馬データ!$K$2:$K$50000,全馬データ!$A$2:$A$50000,A3885,全馬データ!$B$2:$B$50000,B3885,全馬データ!$C$2:$C$50000,C3885,全馬データ!$D$2:$D$50000,E3885)))</f>
        <v/>
      </c>
      <c r="AP3885" s="8" t="str">
        <f aca="false">IF(A3885="","",IF(AO3885="","欠損",IF(AO3885&lt;=1.1,"1.0～1.1",IF(AO3885&lt;1.3,"1.2",IF(AO3885&lt;1.5,"1.3～1.4",IF(AO3885&lt;2,"1.5～1.9","2.0以上"))))))</f>
        <v/>
      </c>
      <c r="AQ3885" s="8" t="str">
        <f aca="false">IF(A3885="","",IF(ISNUMBER(SEARCH("2歳",Z3885)),"2歳戦",IF(ISNUMBER(SEARCH("3歳未勝利",Z3885)),"3歳未勝利",IF(ISNUMBER(SEARCH("未勝利",Z3885)),"その他未勝利",IF(ISNUMBER(SEARCH("G1",Z3885)),"G1",IF(ISNUMBER(SEARCH("G2",Z3885)),"G2",IF(ISNUMBER(SEARCH("G3",Z3885)),"G3",IF(ISNUMBER(SEARCH("古馬条件",Z3885)),"古馬条件戦",IF(ISNUMBER(SEARCH("重賞",Z3885)),"重賞","分類不能")))))))))</f>
        <v/>
      </c>
    </row>
    <row r="3886" customFormat="false" ht="15.75" hidden="false" customHeight="false" outlineLevel="0" collapsed="false">
      <c r="AO3886" s="8" t="str">
        <f aca="false">IF(A3886="","",IF(COUNTIFS(全馬データ!$A$2:$A$50000,A3886,全馬データ!$B$2:$B$50000,B3886,全馬データ!$C$2:$C$50000,C3886,全馬データ!$D$2:$D$50000,E3886,全馬データ!$K$2:$K$50000,"&lt;&gt;")=0,"",SUMIFS(全馬データ!$K$2:$K$50000,全馬データ!$A$2:$A$50000,A3886,全馬データ!$B$2:$B$50000,B3886,全馬データ!$C$2:$C$50000,C3886,全馬データ!$D$2:$D$50000,E3886)))</f>
        <v/>
      </c>
      <c r="AP3886" s="8" t="str">
        <f aca="false">IF(A3886="","",IF(AO3886="","欠損",IF(AO3886&lt;=1.1,"1.0～1.1",IF(AO3886&lt;1.3,"1.2",IF(AO3886&lt;1.5,"1.3～1.4",IF(AO3886&lt;2,"1.5～1.9","2.0以上"))))))</f>
        <v/>
      </c>
      <c r="AQ3886" s="8" t="str">
        <f aca="false">IF(A3886="","",IF(ISNUMBER(SEARCH("2歳",Z3886)),"2歳戦",IF(ISNUMBER(SEARCH("3歳未勝利",Z3886)),"3歳未勝利",IF(ISNUMBER(SEARCH("未勝利",Z3886)),"その他未勝利",IF(ISNUMBER(SEARCH("G1",Z3886)),"G1",IF(ISNUMBER(SEARCH("G2",Z3886)),"G2",IF(ISNUMBER(SEARCH("G3",Z3886)),"G3",IF(ISNUMBER(SEARCH("古馬条件",Z3886)),"古馬条件戦",IF(ISNUMBER(SEARCH("重賞",Z3886)),"重賞","分類不能")))))))))</f>
        <v/>
      </c>
    </row>
    <row r="3887" customFormat="false" ht="15.75" hidden="false" customHeight="false" outlineLevel="0" collapsed="false">
      <c r="AO3887" s="8" t="str">
        <f aca="false">IF(A3887="","",IF(COUNTIFS(全馬データ!$A$2:$A$50000,A3887,全馬データ!$B$2:$B$50000,B3887,全馬データ!$C$2:$C$50000,C3887,全馬データ!$D$2:$D$50000,E3887,全馬データ!$K$2:$K$50000,"&lt;&gt;")=0,"",SUMIFS(全馬データ!$K$2:$K$50000,全馬データ!$A$2:$A$50000,A3887,全馬データ!$B$2:$B$50000,B3887,全馬データ!$C$2:$C$50000,C3887,全馬データ!$D$2:$D$50000,E3887)))</f>
        <v/>
      </c>
      <c r="AP3887" s="8" t="str">
        <f aca="false">IF(A3887="","",IF(AO3887="","欠損",IF(AO3887&lt;=1.1,"1.0～1.1",IF(AO3887&lt;1.3,"1.2",IF(AO3887&lt;1.5,"1.3～1.4",IF(AO3887&lt;2,"1.5～1.9","2.0以上"))))))</f>
        <v/>
      </c>
      <c r="AQ3887" s="8" t="str">
        <f aca="false">IF(A3887="","",IF(ISNUMBER(SEARCH("2歳",Z3887)),"2歳戦",IF(ISNUMBER(SEARCH("3歳未勝利",Z3887)),"3歳未勝利",IF(ISNUMBER(SEARCH("未勝利",Z3887)),"その他未勝利",IF(ISNUMBER(SEARCH("G1",Z3887)),"G1",IF(ISNUMBER(SEARCH("G2",Z3887)),"G2",IF(ISNUMBER(SEARCH("G3",Z3887)),"G3",IF(ISNUMBER(SEARCH("古馬条件",Z3887)),"古馬条件戦",IF(ISNUMBER(SEARCH("重賞",Z3887)),"重賞","分類不能")))))))))</f>
        <v/>
      </c>
    </row>
    <row r="3888" customFormat="false" ht="15.75" hidden="false" customHeight="false" outlineLevel="0" collapsed="false">
      <c r="AO3888" s="8" t="str">
        <f aca="false">IF(A3888="","",IF(COUNTIFS(全馬データ!$A$2:$A$50000,A3888,全馬データ!$B$2:$B$50000,B3888,全馬データ!$C$2:$C$50000,C3888,全馬データ!$D$2:$D$50000,E3888,全馬データ!$K$2:$K$50000,"&lt;&gt;")=0,"",SUMIFS(全馬データ!$K$2:$K$50000,全馬データ!$A$2:$A$50000,A3888,全馬データ!$B$2:$B$50000,B3888,全馬データ!$C$2:$C$50000,C3888,全馬データ!$D$2:$D$50000,E3888)))</f>
        <v/>
      </c>
      <c r="AP3888" s="8" t="str">
        <f aca="false">IF(A3888="","",IF(AO3888="","欠損",IF(AO3888&lt;=1.1,"1.0～1.1",IF(AO3888&lt;1.3,"1.2",IF(AO3888&lt;1.5,"1.3～1.4",IF(AO3888&lt;2,"1.5～1.9","2.0以上"))))))</f>
        <v/>
      </c>
      <c r="AQ3888" s="8" t="str">
        <f aca="false">IF(A3888="","",IF(ISNUMBER(SEARCH("2歳",Z3888)),"2歳戦",IF(ISNUMBER(SEARCH("3歳未勝利",Z3888)),"3歳未勝利",IF(ISNUMBER(SEARCH("未勝利",Z3888)),"その他未勝利",IF(ISNUMBER(SEARCH("G1",Z3888)),"G1",IF(ISNUMBER(SEARCH("G2",Z3888)),"G2",IF(ISNUMBER(SEARCH("G3",Z3888)),"G3",IF(ISNUMBER(SEARCH("古馬条件",Z3888)),"古馬条件戦",IF(ISNUMBER(SEARCH("重賞",Z3888)),"重賞","分類不能")))))))))</f>
        <v/>
      </c>
    </row>
    <row r="3889" customFormat="false" ht="15.75" hidden="false" customHeight="false" outlineLevel="0" collapsed="false">
      <c r="AO3889" s="8" t="str">
        <f aca="false">IF(A3889="","",IF(COUNTIFS(全馬データ!$A$2:$A$50000,A3889,全馬データ!$B$2:$B$50000,B3889,全馬データ!$C$2:$C$50000,C3889,全馬データ!$D$2:$D$50000,E3889,全馬データ!$K$2:$K$50000,"&lt;&gt;")=0,"",SUMIFS(全馬データ!$K$2:$K$50000,全馬データ!$A$2:$A$50000,A3889,全馬データ!$B$2:$B$50000,B3889,全馬データ!$C$2:$C$50000,C3889,全馬データ!$D$2:$D$50000,E3889)))</f>
        <v/>
      </c>
      <c r="AP3889" s="8" t="str">
        <f aca="false">IF(A3889="","",IF(AO3889="","欠損",IF(AO3889&lt;=1.1,"1.0～1.1",IF(AO3889&lt;1.3,"1.2",IF(AO3889&lt;1.5,"1.3～1.4",IF(AO3889&lt;2,"1.5～1.9","2.0以上"))))))</f>
        <v/>
      </c>
      <c r="AQ3889" s="8" t="str">
        <f aca="false">IF(A3889="","",IF(ISNUMBER(SEARCH("2歳",Z3889)),"2歳戦",IF(ISNUMBER(SEARCH("3歳未勝利",Z3889)),"3歳未勝利",IF(ISNUMBER(SEARCH("未勝利",Z3889)),"その他未勝利",IF(ISNUMBER(SEARCH("G1",Z3889)),"G1",IF(ISNUMBER(SEARCH("G2",Z3889)),"G2",IF(ISNUMBER(SEARCH("G3",Z3889)),"G3",IF(ISNUMBER(SEARCH("古馬条件",Z3889)),"古馬条件戦",IF(ISNUMBER(SEARCH("重賞",Z3889)),"重賞","分類不能")))))))))</f>
        <v/>
      </c>
    </row>
    <row r="3890" customFormat="false" ht="15.75" hidden="false" customHeight="false" outlineLevel="0" collapsed="false">
      <c r="AO3890" s="8" t="str">
        <f aca="false">IF(A3890="","",IF(COUNTIFS(全馬データ!$A$2:$A$50000,A3890,全馬データ!$B$2:$B$50000,B3890,全馬データ!$C$2:$C$50000,C3890,全馬データ!$D$2:$D$50000,E3890,全馬データ!$K$2:$K$50000,"&lt;&gt;")=0,"",SUMIFS(全馬データ!$K$2:$K$50000,全馬データ!$A$2:$A$50000,A3890,全馬データ!$B$2:$B$50000,B3890,全馬データ!$C$2:$C$50000,C3890,全馬データ!$D$2:$D$50000,E3890)))</f>
        <v/>
      </c>
      <c r="AP3890" s="8" t="str">
        <f aca="false">IF(A3890="","",IF(AO3890="","欠損",IF(AO3890&lt;=1.1,"1.0～1.1",IF(AO3890&lt;1.3,"1.2",IF(AO3890&lt;1.5,"1.3～1.4",IF(AO3890&lt;2,"1.5～1.9","2.0以上"))))))</f>
        <v/>
      </c>
      <c r="AQ3890" s="8" t="str">
        <f aca="false">IF(A3890="","",IF(ISNUMBER(SEARCH("2歳",Z3890)),"2歳戦",IF(ISNUMBER(SEARCH("3歳未勝利",Z3890)),"3歳未勝利",IF(ISNUMBER(SEARCH("未勝利",Z3890)),"その他未勝利",IF(ISNUMBER(SEARCH("G1",Z3890)),"G1",IF(ISNUMBER(SEARCH("G2",Z3890)),"G2",IF(ISNUMBER(SEARCH("G3",Z3890)),"G3",IF(ISNUMBER(SEARCH("古馬条件",Z3890)),"古馬条件戦",IF(ISNUMBER(SEARCH("重賞",Z3890)),"重賞","分類不能")))))))))</f>
        <v/>
      </c>
    </row>
    <row r="3891" customFormat="false" ht="15.75" hidden="false" customHeight="false" outlineLevel="0" collapsed="false">
      <c r="AO3891" s="8" t="str">
        <f aca="false">IF(A3891="","",IF(COUNTIFS(全馬データ!$A$2:$A$50000,A3891,全馬データ!$B$2:$B$50000,B3891,全馬データ!$C$2:$C$50000,C3891,全馬データ!$D$2:$D$50000,E3891,全馬データ!$K$2:$K$50000,"&lt;&gt;")=0,"",SUMIFS(全馬データ!$K$2:$K$50000,全馬データ!$A$2:$A$50000,A3891,全馬データ!$B$2:$B$50000,B3891,全馬データ!$C$2:$C$50000,C3891,全馬データ!$D$2:$D$50000,E3891)))</f>
        <v/>
      </c>
      <c r="AP3891" s="8" t="str">
        <f aca="false">IF(A3891="","",IF(AO3891="","欠損",IF(AO3891&lt;=1.1,"1.0～1.1",IF(AO3891&lt;1.3,"1.2",IF(AO3891&lt;1.5,"1.3～1.4",IF(AO3891&lt;2,"1.5～1.9","2.0以上"))))))</f>
        <v/>
      </c>
      <c r="AQ3891" s="8" t="str">
        <f aca="false">IF(A3891="","",IF(ISNUMBER(SEARCH("2歳",Z3891)),"2歳戦",IF(ISNUMBER(SEARCH("3歳未勝利",Z3891)),"3歳未勝利",IF(ISNUMBER(SEARCH("未勝利",Z3891)),"その他未勝利",IF(ISNUMBER(SEARCH("G1",Z3891)),"G1",IF(ISNUMBER(SEARCH("G2",Z3891)),"G2",IF(ISNUMBER(SEARCH("G3",Z3891)),"G3",IF(ISNUMBER(SEARCH("古馬条件",Z3891)),"古馬条件戦",IF(ISNUMBER(SEARCH("重賞",Z3891)),"重賞","分類不能")))))))))</f>
        <v/>
      </c>
    </row>
    <row r="3892" customFormat="false" ht="15.75" hidden="false" customHeight="false" outlineLevel="0" collapsed="false">
      <c r="AO3892" s="8" t="str">
        <f aca="false">IF(A3892="","",IF(COUNTIFS(全馬データ!$A$2:$A$50000,A3892,全馬データ!$B$2:$B$50000,B3892,全馬データ!$C$2:$C$50000,C3892,全馬データ!$D$2:$D$50000,E3892,全馬データ!$K$2:$K$50000,"&lt;&gt;")=0,"",SUMIFS(全馬データ!$K$2:$K$50000,全馬データ!$A$2:$A$50000,A3892,全馬データ!$B$2:$B$50000,B3892,全馬データ!$C$2:$C$50000,C3892,全馬データ!$D$2:$D$50000,E3892)))</f>
        <v/>
      </c>
      <c r="AP3892" s="8" t="str">
        <f aca="false">IF(A3892="","",IF(AO3892="","欠損",IF(AO3892&lt;=1.1,"1.0～1.1",IF(AO3892&lt;1.3,"1.2",IF(AO3892&lt;1.5,"1.3～1.4",IF(AO3892&lt;2,"1.5～1.9","2.0以上"))))))</f>
        <v/>
      </c>
      <c r="AQ3892" s="8" t="str">
        <f aca="false">IF(A3892="","",IF(ISNUMBER(SEARCH("2歳",Z3892)),"2歳戦",IF(ISNUMBER(SEARCH("3歳未勝利",Z3892)),"3歳未勝利",IF(ISNUMBER(SEARCH("未勝利",Z3892)),"その他未勝利",IF(ISNUMBER(SEARCH("G1",Z3892)),"G1",IF(ISNUMBER(SEARCH("G2",Z3892)),"G2",IF(ISNUMBER(SEARCH("G3",Z3892)),"G3",IF(ISNUMBER(SEARCH("古馬条件",Z3892)),"古馬条件戦",IF(ISNUMBER(SEARCH("重賞",Z3892)),"重賞","分類不能")))))))))</f>
        <v/>
      </c>
    </row>
    <row r="3893" customFormat="false" ht="15.75" hidden="false" customHeight="false" outlineLevel="0" collapsed="false">
      <c r="AO3893" s="8" t="str">
        <f aca="false">IF(A3893="","",IF(COUNTIFS(全馬データ!$A$2:$A$50000,A3893,全馬データ!$B$2:$B$50000,B3893,全馬データ!$C$2:$C$50000,C3893,全馬データ!$D$2:$D$50000,E3893,全馬データ!$K$2:$K$50000,"&lt;&gt;")=0,"",SUMIFS(全馬データ!$K$2:$K$50000,全馬データ!$A$2:$A$50000,A3893,全馬データ!$B$2:$B$50000,B3893,全馬データ!$C$2:$C$50000,C3893,全馬データ!$D$2:$D$50000,E3893)))</f>
        <v/>
      </c>
      <c r="AP3893" s="8" t="str">
        <f aca="false">IF(A3893="","",IF(AO3893="","欠損",IF(AO3893&lt;=1.1,"1.0～1.1",IF(AO3893&lt;1.3,"1.2",IF(AO3893&lt;1.5,"1.3～1.4",IF(AO3893&lt;2,"1.5～1.9","2.0以上"))))))</f>
        <v/>
      </c>
      <c r="AQ3893" s="8" t="str">
        <f aca="false">IF(A3893="","",IF(ISNUMBER(SEARCH("2歳",Z3893)),"2歳戦",IF(ISNUMBER(SEARCH("3歳未勝利",Z3893)),"3歳未勝利",IF(ISNUMBER(SEARCH("未勝利",Z3893)),"その他未勝利",IF(ISNUMBER(SEARCH("G1",Z3893)),"G1",IF(ISNUMBER(SEARCH("G2",Z3893)),"G2",IF(ISNUMBER(SEARCH("G3",Z3893)),"G3",IF(ISNUMBER(SEARCH("古馬条件",Z3893)),"古馬条件戦",IF(ISNUMBER(SEARCH("重賞",Z3893)),"重賞","分類不能")))))))))</f>
        <v/>
      </c>
    </row>
    <row r="3894" customFormat="false" ht="15.75" hidden="false" customHeight="false" outlineLevel="0" collapsed="false">
      <c r="AO3894" s="8" t="str">
        <f aca="false">IF(A3894="","",IF(COUNTIFS(全馬データ!$A$2:$A$50000,A3894,全馬データ!$B$2:$B$50000,B3894,全馬データ!$C$2:$C$50000,C3894,全馬データ!$D$2:$D$50000,E3894,全馬データ!$K$2:$K$50000,"&lt;&gt;")=0,"",SUMIFS(全馬データ!$K$2:$K$50000,全馬データ!$A$2:$A$50000,A3894,全馬データ!$B$2:$B$50000,B3894,全馬データ!$C$2:$C$50000,C3894,全馬データ!$D$2:$D$50000,E3894)))</f>
        <v/>
      </c>
      <c r="AP3894" s="8" t="str">
        <f aca="false">IF(A3894="","",IF(AO3894="","欠損",IF(AO3894&lt;=1.1,"1.0～1.1",IF(AO3894&lt;1.3,"1.2",IF(AO3894&lt;1.5,"1.3～1.4",IF(AO3894&lt;2,"1.5～1.9","2.0以上"))))))</f>
        <v/>
      </c>
      <c r="AQ3894" s="8" t="str">
        <f aca="false">IF(A3894="","",IF(ISNUMBER(SEARCH("2歳",Z3894)),"2歳戦",IF(ISNUMBER(SEARCH("3歳未勝利",Z3894)),"3歳未勝利",IF(ISNUMBER(SEARCH("未勝利",Z3894)),"その他未勝利",IF(ISNUMBER(SEARCH("G1",Z3894)),"G1",IF(ISNUMBER(SEARCH("G2",Z3894)),"G2",IF(ISNUMBER(SEARCH("G3",Z3894)),"G3",IF(ISNUMBER(SEARCH("古馬条件",Z3894)),"古馬条件戦",IF(ISNUMBER(SEARCH("重賞",Z3894)),"重賞","分類不能")))))))))</f>
        <v/>
      </c>
    </row>
    <row r="3895" customFormat="false" ht="15.75" hidden="false" customHeight="false" outlineLevel="0" collapsed="false">
      <c r="AO3895" s="8" t="str">
        <f aca="false">IF(A3895="","",IF(COUNTIFS(全馬データ!$A$2:$A$50000,A3895,全馬データ!$B$2:$B$50000,B3895,全馬データ!$C$2:$C$50000,C3895,全馬データ!$D$2:$D$50000,E3895,全馬データ!$K$2:$K$50000,"&lt;&gt;")=0,"",SUMIFS(全馬データ!$K$2:$K$50000,全馬データ!$A$2:$A$50000,A3895,全馬データ!$B$2:$B$50000,B3895,全馬データ!$C$2:$C$50000,C3895,全馬データ!$D$2:$D$50000,E3895)))</f>
        <v/>
      </c>
      <c r="AP3895" s="8" t="str">
        <f aca="false">IF(A3895="","",IF(AO3895="","欠損",IF(AO3895&lt;=1.1,"1.0～1.1",IF(AO3895&lt;1.3,"1.2",IF(AO3895&lt;1.5,"1.3～1.4",IF(AO3895&lt;2,"1.5～1.9","2.0以上"))))))</f>
        <v/>
      </c>
      <c r="AQ3895" s="8" t="str">
        <f aca="false">IF(A3895="","",IF(ISNUMBER(SEARCH("2歳",Z3895)),"2歳戦",IF(ISNUMBER(SEARCH("3歳未勝利",Z3895)),"3歳未勝利",IF(ISNUMBER(SEARCH("未勝利",Z3895)),"その他未勝利",IF(ISNUMBER(SEARCH("G1",Z3895)),"G1",IF(ISNUMBER(SEARCH("G2",Z3895)),"G2",IF(ISNUMBER(SEARCH("G3",Z3895)),"G3",IF(ISNUMBER(SEARCH("古馬条件",Z3895)),"古馬条件戦",IF(ISNUMBER(SEARCH("重賞",Z3895)),"重賞","分類不能")))))))))</f>
        <v/>
      </c>
    </row>
    <row r="3896" customFormat="false" ht="15.75" hidden="false" customHeight="false" outlineLevel="0" collapsed="false">
      <c r="AO3896" s="8" t="str">
        <f aca="false">IF(A3896="","",IF(COUNTIFS(全馬データ!$A$2:$A$50000,A3896,全馬データ!$B$2:$B$50000,B3896,全馬データ!$C$2:$C$50000,C3896,全馬データ!$D$2:$D$50000,E3896,全馬データ!$K$2:$K$50000,"&lt;&gt;")=0,"",SUMIFS(全馬データ!$K$2:$K$50000,全馬データ!$A$2:$A$50000,A3896,全馬データ!$B$2:$B$50000,B3896,全馬データ!$C$2:$C$50000,C3896,全馬データ!$D$2:$D$50000,E3896)))</f>
        <v/>
      </c>
      <c r="AP3896" s="8" t="str">
        <f aca="false">IF(A3896="","",IF(AO3896="","欠損",IF(AO3896&lt;=1.1,"1.0～1.1",IF(AO3896&lt;1.3,"1.2",IF(AO3896&lt;1.5,"1.3～1.4",IF(AO3896&lt;2,"1.5～1.9","2.0以上"))))))</f>
        <v/>
      </c>
      <c r="AQ3896" s="8" t="str">
        <f aca="false">IF(A3896="","",IF(ISNUMBER(SEARCH("2歳",Z3896)),"2歳戦",IF(ISNUMBER(SEARCH("3歳未勝利",Z3896)),"3歳未勝利",IF(ISNUMBER(SEARCH("未勝利",Z3896)),"その他未勝利",IF(ISNUMBER(SEARCH("G1",Z3896)),"G1",IF(ISNUMBER(SEARCH("G2",Z3896)),"G2",IF(ISNUMBER(SEARCH("G3",Z3896)),"G3",IF(ISNUMBER(SEARCH("古馬条件",Z3896)),"古馬条件戦",IF(ISNUMBER(SEARCH("重賞",Z3896)),"重賞","分類不能")))))))))</f>
        <v/>
      </c>
    </row>
    <row r="3897" customFormat="false" ht="15.75" hidden="false" customHeight="false" outlineLevel="0" collapsed="false">
      <c r="AO3897" s="8" t="str">
        <f aca="false">IF(A3897="","",IF(COUNTIFS(全馬データ!$A$2:$A$50000,A3897,全馬データ!$B$2:$B$50000,B3897,全馬データ!$C$2:$C$50000,C3897,全馬データ!$D$2:$D$50000,E3897,全馬データ!$K$2:$K$50000,"&lt;&gt;")=0,"",SUMIFS(全馬データ!$K$2:$K$50000,全馬データ!$A$2:$A$50000,A3897,全馬データ!$B$2:$B$50000,B3897,全馬データ!$C$2:$C$50000,C3897,全馬データ!$D$2:$D$50000,E3897)))</f>
        <v/>
      </c>
      <c r="AP3897" s="8" t="str">
        <f aca="false">IF(A3897="","",IF(AO3897="","欠損",IF(AO3897&lt;=1.1,"1.0～1.1",IF(AO3897&lt;1.3,"1.2",IF(AO3897&lt;1.5,"1.3～1.4",IF(AO3897&lt;2,"1.5～1.9","2.0以上"))))))</f>
        <v/>
      </c>
      <c r="AQ3897" s="8" t="str">
        <f aca="false">IF(A3897="","",IF(ISNUMBER(SEARCH("2歳",Z3897)),"2歳戦",IF(ISNUMBER(SEARCH("3歳未勝利",Z3897)),"3歳未勝利",IF(ISNUMBER(SEARCH("未勝利",Z3897)),"その他未勝利",IF(ISNUMBER(SEARCH("G1",Z3897)),"G1",IF(ISNUMBER(SEARCH("G2",Z3897)),"G2",IF(ISNUMBER(SEARCH("G3",Z3897)),"G3",IF(ISNUMBER(SEARCH("古馬条件",Z3897)),"古馬条件戦",IF(ISNUMBER(SEARCH("重賞",Z3897)),"重賞","分類不能")))))))))</f>
        <v/>
      </c>
    </row>
    <row r="3898" customFormat="false" ht="15.75" hidden="false" customHeight="false" outlineLevel="0" collapsed="false">
      <c r="AO3898" s="8" t="str">
        <f aca="false">IF(A3898="","",IF(COUNTIFS(全馬データ!$A$2:$A$50000,A3898,全馬データ!$B$2:$B$50000,B3898,全馬データ!$C$2:$C$50000,C3898,全馬データ!$D$2:$D$50000,E3898,全馬データ!$K$2:$K$50000,"&lt;&gt;")=0,"",SUMIFS(全馬データ!$K$2:$K$50000,全馬データ!$A$2:$A$50000,A3898,全馬データ!$B$2:$B$50000,B3898,全馬データ!$C$2:$C$50000,C3898,全馬データ!$D$2:$D$50000,E3898)))</f>
        <v/>
      </c>
      <c r="AP3898" s="8" t="str">
        <f aca="false">IF(A3898="","",IF(AO3898="","欠損",IF(AO3898&lt;=1.1,"1.0～1.1",IF(AO3898&lt;1.3,"1.2",IF(AO3898&lt;1.5,"1.3～1.4",IF(AO3898&lt;2,"1.5～1.9","2.0以上"))))))</f>
        <v/>
      </c>
      <c r="AQ3898" s="8" t="str">
        <f aca="false">IF(A3898="","",IF(ISNUMBER(SEARCH("2歳",Z3898)),"2歳戦",IF(ISNUMBER(SEARCH("3歳未勝利",Z3898)),"3歳未勝利",IF(ISNUMBER(SEARCH("未勝利",Z3898)),"その他未勝利",IF(ISNUMBER(SEARCH("G1",Z3898)),"G1",IF(ISNUMBER(SEARCH("G2",Z3898)),"G2",IF(ISNUMBER(SEARCH("G3",Z3898)),"G3",IF(ISNUMBER(SEARCH("古馬条件",Z3898)),"古馬条件戦",IF(ISNUMBER(SEARCH("重賞",Z3898)),"重賞","分類不能")))))))))</f>
        <v/>
      </c>
    </row>
    <row r="3899" customFormat="false" ht="15.75" hidden="false" customHeight="false" outlineLevel="0" collapsed="false">
      <c r="AO3899" s="8" t="str">
        <f aca="false">IF(A3899="","",IF(COUNTIFS(全馬データ!$A$2:$A$50000,A3899,全馬データ!$B$2:$B$50000,B3899,全馬データ!$C$2:$C$50000,C3899,全馬データ!$D$2:$D$50000,E3899,全馬データ!$K$2:$K$50000,"&lt;&gt;")=0,"",SUMIFS(全馬データ!$K$2:$K$50000,全馬データ!$A$2:$A$50000,A3899,全馬データ!$B$2:$B$50000,B3899,全馬データ!$C$2:$C$50000,C3899,全馬データ!$D$2:$D$50000,E3899)))</f>
        <v/>
      </c>
      <c r="AP3899" s="8" t="str">
        <f aca="false">IF(A3899="","",IF(AO3899="","欠損",IF(AO3899&lt;=1.1,"1.0～1.1",IF(AO3899&lt;1.3,"1.2",IF(AO3899&lt;1.5,"1.3～1.4",IF(AO3899&lt;2,"1.5～1.9","2.0以上"))))))</f>
        <v/>
      </c>
      <c r="AQ3899" s="8" t="str">
        <f aca="false">IF(A3899="","",IF(ISNUMBER(SEARCH("2歳",Z3899)),"2歳戦",IF(ISNUMBER(SEARCH("3歳未勝利",Z3899)),"3歳未勝利",IF(ISNUMBER(SEARCH("未勝利",Z3899)),"その他未勝利",IF(ISNUMBER(SEARCH("G1",Z3899)),"G1",IF(ISNUMBER(SEARCH("G2",Z3899)),"G2",IF(ISNUMBER(SEARCH("G3",Z3899)),"G3",IF(ISNUMBER(SEARCH("古馬条件",Z3899)),"古馬条件戦",IF(ISNUMBER(SEARCH("重賞",Z3899)),"重賞","分類不能")))))))))</f>
        <v/>
      </c>
    </row>
    <row r="3900" customFormat="false" ht="15.75" hidden="false" customHeight="false" outlineLevel="0" collapsed="false">
      <c r="AO3900" s="8" t="str">
        <f aca="false">IF(A3900="","",IF(COUNTIFS(全馬データ!$A$2:$A$50000,A3900,全馬データ!$B$2:$B$50000,B3900,全馬データ!$C$2:$C$50000,C3900,全馬データ!$D$2:$D$50000,E3900,全馬データ!$K$2:$K$50000,"&lt;&gt;")=0,"",SUMIFS(全馬データ!$K$2:$K$50000,全馬データ!$A$2:$A$50000,A3900,全馬データ!$B$2:$B$50000,B3900,全馬データ!$C$2:$C$50000,C3900,全馬データ!$D$2:$D$50000,E3900)))</f>
        <v/>
      </c>
      <c r="AP3900" s="8" t="str">
        <f aca="false">IF(A3900="","",IF(AO3900="","欠損",IF(AO3900&lt;=1.1,"1.0～1.1",IF(AO3900&lt;1.3,"1.2",IF(AO3900&lt;1.5,"1.3～1.4",IF(AO3900&lt;2,"1.5～1.9","2.0以上"))))))</f>
        <v/>
      </c>
      <c r="AQ3900" s="8" t="str">
        <f aca="false">IF(A3900="","",IF(ISNUMBER(SEARCH("2歳",Z3900)),"2歳戦",IF(ISNUMBER(SEARCH("3歳未勝利",Z3900)),"3歳未勝利",IF(ISNUMBER(SEARCH("未勝利",Z3900)),"その他未勝利",IF(ISNUMBER(SEARCH("G1",Z3900)),"G1",IF(ISNUMBER(SEARCH("G2",Z3900)),"G2",IF(ISNUMBER(SEARCH("G3",Z3900)),"G3",IF(ISNUMBER(SEARCH("古馬条件",Z3900)),"古馬条件戦",IF(ISNUMBER(SEARCH("重賞",Z3900)),"重賞","分類不能")))))))))</f>
        <v/>
      </c>
    </row>
    <row r="3901" customFormat="false" ht="15.75" hidden="false" customHeight="false" outlineLevel="0" collapsed="false">
      <c r="AO3901" s="8" t="str">
        <f aca="false">IF(A3901="","",IF(COUNTIFS(全馬データ!$A$2:$A$50000,A3901,全馬データ!$B$2:$B$50000,B3901,全馬データ!$C$2:$C$50000,C3901,全馬データ!$D$2:$D$50000,E3901,全馬データ!$K$2:$K$50000,"&lt;&gt;")=0,"",SUMIFS(全馬データ!$K$2:$K$50000,全馬データ!$A$2:$A$50000,A3901,全馬データ!$B$2:$B$50000,B3901,全馬データ!$C$2:$C$50000,C3901,全馬データ!$D$2:$D$50000,E3901)))</f>
        <v/>
      </c>
      <c r="AP3901" s="8" t="str">
        <f aca="false">IF(A3901="","",IF(AO3901="","欠損",IF(AO3901&lt;=1.1,"1.0～1.1",IF(AO3901&lt;1.3,"1.2",IF(AO3901&lt;1.5,"1.3～1.4",IF(AO3901&lt;2,"1.5～1.9","2.0以上"))))))</f>
        <v/>
      </c>
      <c r="AQ3901" s="8" t="str">
        <f aca="false">IF(A3901="","",IF(ISNUMBER(SEARCH("2歳",Z3901)),"2歳戦",IF(ISNUMBER(SEARCH("3歳未勝利",Z3901)),"3歳未勝利",IF(ISNUMBER(SEARCH("未勝利",Z3901)),"その他未勝利",IF(ISNUMBER(SEARCH("G1",Z3901)),"G1",IF(ISNUMBER(SEARCH("G2",Z3901)),"G2",IF(ISNUMBER(SEARCH("G3",Z3901)),"G3",IF(ISNUMBER(SEARCH("古馬条件",Z3901)),"古馬条件戦",IF(ISNUMBER(SEARCH("重賞",Z3901)),"重賞","分類不能")))))))))</f>
        <v/>
      </c>
    </row>
    <row r="3902" customFormat="false" ht="15.75" hidden="false" customHeight="false" outlineLevel="0" collapsed="false">
      <c r="AO3902" s="8" t="str">
        <f aca="false">IF(A3902="","",IF(COUNTIFS(全馬データ!$A$2:$A$50000,A3902,全馬データ!$B$2:$B$50000,B3902,全馬データ!$C$2:$C$50000,C3902,全馬データ!$D$2:$D$50000,E3902,全馬データ!$K$2:$K$50000,"&lt;&gt;")=0,"",SUMIFS(全馬データ!$K$2:$K$50000,全馬データ!$A$2:$A$50000,A3902,全馬データ!$B$2:$B$50000,B3902,全馬データ!$C$2:$C$50000,C3902,全馬データ!$D$2:$D$50000,E3902)))</f>
        <v/>
      </c>
      <c r="AP3902" s="8" t="str">
        <f aca="false">IF(A3902="","",IF(AO3902="","欠損",IF(AO3902&lt;=1.1,"1.0～1.1",IF(AO3902&lt;1.3,"1.2",IF(AO3902&lt;1.5,"1.3～1.4",IF(AO3902&lt;2,"1.5～1.9","2.0以上"))))))</f>
        <v/>
      </c>
      <c r="AQ3902" s="8" t="str">
        <f aca="false">IF(A3902="","",IF(ISNUMBER(SEARCH("2歳",Z3902)),"2歳戦",IF(ISNUMBER(SEARCH("3歳未勝利",Z3902)),"3歳未勝利",IF(ISNUMBER(SEARCH("未勝利",Z3902)),"その他未勝利",IF(ISNUMBER(SEARCH("G1",Z3902)),"G1",IF(ISNUMBER(SEARCH("G2",Z3902)),"G2",IF(ISNUMBER(SEARCH("G3",Z3902)),"G3",IF(ISNUMBER(SEARCH("古馬条件",Z3902)),"古馬条件戦",IF(ISNUMBER(SEARCH("重賞",Z3902)),"重賞","分類不能")))))))))</f>
        <v/>
      </c>
    </row>
    <row r="3903" customFormat="false" ht="15.75" hidden="false" customHeight="false" outlineLevel="0" collapsed="false">
      <c r="AO3903" s="8" t="str">
        <f aca="false">IF(A3903="","",IF(COUNTIFS(全馬データ!$A$2:$A$50000,A3903,全馬データ!$B$2:$B$50000,B3903,全馬データ!$C$2:$C$50000,C3903,全馬データ!$D$2:$D$50000,E3903,全馬データ!$K$2:$K$50000,"&lt;&gt;")=0,"",SUMIFS(全馬データ!$K$2:$K$50000,全馬データ!$A$2:$A$50000,A3903,全馬データ!$B$2:$B$50000,B3903,全馬データ!$C$2:$C$50000,C3903,全馬データ!$D$2:$D$50000,E3903)))</f>
        <v/>
      </c>
      <c r="AP3903" s="8" t="str">
        <f aca="false">IF(A3903="","",IF(AO3903="","欠損",IF(AO3903&lt;=1.1,"1.0～1.1",IF(AO3903&lt;1.3,"1.2",IF(AO3903&lt;1.5,"1.3～1.4",IF(AO3903&lt;2,"1.5～1.9","2.0以上"))))))</f>
        <v/>
      </c>
      <c r="AQ3903" s="8" t="str">
        <f aca="false">IF(A3903="","",IF(ISNUMBER(SEARCH("2歳",Z3903)),"2歳戦",IF(ISNUMBER(SEARCH("3歳未勝利",Z3903)),"3歳未勝利",IF(ISNUMBER(SEARCH("未勝利",Z3903)),"その他未勝利",IF(ISNUMBER(SEARCH("G1",Z3903)),"G1",IF(ISNUMBER(SEARCH("G2",Z3903)),"G2",IF(ISNUMBER(SEARCH("G3",Z3903)),"G3",IF(ISNUMBER(SEARCH("古馬条件",Z3903)),"古馬条件戦",IF(ISNUMBER(SEARCH("重賞",Z3903)),"重賞","分類不能")))))))))</f>
        <v/>
      </c>
    </row>
    <row r="3904" customFormat="false" ht="15.75" hidden="false" customHeight="false" outlineLevel="0" collapsed="false">
      <c r="AO3904" s="8" t="str">
        <f aca="false">IF(A3904="","",IF(COUNTIFS(全馬データ!$A$2:$A$50000,A3904,全馬データ!$B$2:$B$50000,B3904,全馬データ!$C$2:$C$50000,C3904,全馬データ!$D$2:$D$50000,E3904,全馬データ!$K$2:$K$50000,"&lt;&gt;")=0,"",SUMIFS(全馬データ!$K$2:$K$50000,全馬データ!$A$2:$A$50000,A3904,全馬データ!$B$2:$B$50000,B3904,全馬データ!$C$2:$C$50000,C3904,全馬データ!$D$2:$D$50000,E3904)))</f>
        <v/>
      </c>
      <c r="AP3904" s="8" t="str">
        <f aca="false">IF(A3904="","",IF(AO3904="","欠損",IF(AO3904&lt;=1.1,"1.0～1.1",IF(AO3904&lt;1.3,"1.2",IF(AO3904&lt;1.5,"1.3～1.4",IF(AO3904&lt;2,"1.5～1.9","2.0以上"))))))</f>
        <v/>
      </c>
      <c r="AQ3904" s="8" t="str">
        <f aca="false">IF(A3904="","",IF(ISNUMBER(SEARCH("2歳",Z3904)),"2歳戦",IF(ISNUMBER(SEARCH("3歳未勝利",Z3904)),"3歳未勝利",IF(ISNUMBER(SEARCH("未勝利",Z3904)),"その他未勝利",IF(ISNUMBER(SEARCH("G1",Z3904)),"G1",IF(ISNUMBER(SEARCH("G2",Z3904)),"G2",IF(ISNUMBER(SEARCH("G3",Z3904)),"G3",IF(ISNUMBER(SEARCH("古馬条件",Z3904)),"古馬条件戦",IF(ISNUMBER(SEARCH("重賞",Z3904)),"重賞","分類不能")))))))))</f>
        <v/>
      </c>
    </row>
    <row r="3905" customFormat="false" ht="15.75" hidden="false" customHeight="false" outlineLevel="0" collapsed="false">
      <c r="AO3905" s="8" t="str">
        <f aca="false">IF(A3905="","",IF(COUNTIFS(全馬データ!$A$2:$A$50000,A3905,全馬データ!$B$2:$B$50000,B3905,全馬データ!$C$2:$C$50000,C3905,全馬データ!$D$2:$D$50000,E3905,全馬データ!$K$2:$K$50000,"&lt;&gt;")=0,"",SUMIFS(全馬データ!$K$2:$K$50000,全馬データ!$A$2:$A$50000,A3905,全馬データ!$B$2:$B$50000,B3905,全馬データ!$C$2:$C$50000,C3905,全馬データ!$D$2:$D$50000,E3905)))</f>
        <v/>
      </c>
      <c r="AP3905" s="8" t="str">
        <f aca="false">IF(A3905="","",IF(AO3905="","欠損",IF(AO3905&lt;=1.1,"1.0～1.1",IF(AO3905&lt;1.3,"1.2",IF(AO3905&lt;1.5,"1.3～1.4",IF(AO3905&lt;2,"1.5～1.9","2.0以上"))))))</f>
        <v/>
      </c>
      <c r="AQ3905" s="8" t="str">
        <f aca="false">IF(A3905="","",IF(ISNUMBER(SEARCH("2歳",Z3905)),"2歳戦",IF(ISNUMBER(SEARCH("3歳未勝利",Z3905)),"3歳未勝利",IF(ISNUMBER(SEARCH("未勝利",Z3905)),"その他未勝利",IF(ISNUMBER(SEARCH("G1",Z3905)),"G1",IF(ISNUMBER(SEARCH("G2",Z3905)),"G2",IF(ISNUMBER(SEARCH("G3",Z3905)),"G3",IF(ISNUMBER(SEARCH("古馬条件",Z3905)),"古馬条件戦",IF(ISNUMBER(SEARCH("重賞",Z3905)),"重賞","分類不能")))))))))</f>
        <v/>
      </c>
    </row>
    <row r="3906" customFormat="false" ht="15.75" hidden="false" customHeight="false" outlineLevel="0" collapsed="false">
      <c r="AO3906" s="8" t="str">
        <f aca="false">IF(A3906="","",IF(COUNTIFS(全馬データ!$A$2:$A$50000,A3906,全馬データ!$B$2:$B$50000,B3906,全馬データ!$C$2:$C$50000,C3906,全馬データ!$D$2:$D$50000,E3906,全馬データ!$K$2:$K$50000,"&lt;&gt;")=0,"",SUMIFS(全馬データ!$K$2:$K$50000,全馬データ!$A$2:$A$50000,A3906,全馬データ!$B$2:$B$50000,B3906,全馬データ!$C$2:$C$50000,C3906,全馬データ!$D$2:$D$50000,E3906)))</f>
        <v/>
      </c>
      <c r="AP3906" s="8" t="str">
        <f aca="false">IF(A3906="","",IF(AO3906="","欠損",IF(AO3906&lt;=1.1,"1.0～1.1",IF(AO3906&lt;1.3,"1.2",IF(AO3906&lt;1.5,"1.3～1.4",IF(AO3906&lt;2,"1.5～1.9","2.0以上"))))))</f>
        <v/>
      </c>
      <c r="AQ3906" s="8" t="str">
        <f aca="false">IF(A3906="","",IF(ISNUMBER(SEARCH("2歳",Z3906)),"2歳戦",IF(ISNUMBER(SEARCH("3歳未勝利",Z3906)),"3歳未勝利",IF(ISNUMBER(SEARCH("未勝利",Z3906)),"その他未勝利",IF(ISNUMBER(SEARCH("G1",Z3906)),"G1",IF(ISNUMBER(SEARCH("G2",Z3906)),"G2",IF(ISNUMBER(SEARCH("G3",Z3906)),"G3",IF(ISNUMBER(SEARCH("古馬条件",Z3906)),"古馬条件戦",IF(ISNUMBER(SEARCH("重賞",Z3906)),"重賞","分類不能")))))))))</f>
        <v/>
      </c>
    </row>
    <row r="3907" customFormat="false" ht="15.75" hidden="false" customHeight="false" outlineLevel="0" collapsed="false">
      <c r="AO3907" s="8" t="str">
        <f aca="false">IF(A3907="","",IF(COUNTIFS(全馬データ!$A$2:$A$50000,A3907,全馬データ!$B$2:$B$50000,B3907,全馬データ!$C$2:$C$50000,C3907,全馬データ!$D$2:$D$50000,E3907,全馬データ!$K$2:$K$50000,"&lt;&gt;")=0,"",SUMIFS(全馬データ!$K$2:$K$50000,全馬データ!$A$2:$A$50000,A3907,全馬データ!$B$2:$B$50000,B3907,全馬データ!$C$2:$C$50000,C3907,全馬データ!$D$2:$D$50000,E3907)))</f>
        <v/>
      </c>
      <c r="AP3907" s="8" t="str">
        <f aca="false">IF(A3907="","",IF(AO3907="","欠損",IF(AO3907&lt;=1.1,"1.0～1.1",IF(AO3907&lt;1.3,"1.2",IF(AO3907&lt;1.5,"1.3～1.4",IF(AO3907&lt;2,"1.5～1.9","2.0以上"))))))</f>
        <v/>
      </c>
      <c r="AQ3907" s="8" t="str">
        <f aca="false">IF(A3907="","",IF(ISNUMBER(SEARCH("2歳",Z3907)),"2歳戦",IF(ISNUMBER(SEARCH("3歳未勝利",Z3907)),"3歳未勝利",IF(ISNUMBER(SEARCH("未勝利",Z3907)),"その他未勝利",IF(ISNUMBER(SEARCH("G1",Z3907)),"G1",IF(ISNUMBER(SEARCH("G2",Z3907)),"G2",IF(ISNUMBER(SEARCH("G3",Z3907)),"G3",IF(ISNUMBER(SEARCH("古馬条件",Z3907)),"古馬条件戦",IF(ISNUMBER(SEARCH("重賞",Z3907)),"重賞","分類不能")))))))))</f>
        <v/>
      </c>
    </row>
    <row r="3908" customFormat="false" ht="15.75" hidden="false" customHeight="false" outlineLevel="0" collapsed="false">
      <c r="AO3908" s="8" t="str">
        <f aca="false">IF(A3908="","",IF(COUNTIFS(全馬データ!$A$2:$A$50000,A3908,全馬データ!$B$2:$B$50000,B3908,全馬データ!$C$2:$C$50000,C3908,全馬データ!$D$2:$D$50000,E3908,全馬データ!$K$2:$K$50000,"&lt;&gt;")=0,"",SUMIFS(全馬データ!$K$2:$K$50000,全馬データ!$A$2:$A$50000,A3908,全馬データ!$B$2:$B$50000,B3908,全馬データ!$C$2:$C$50000,C3908,全馬データ!$D$2:$D$50000,E3908)))</f>
        <v/>
      </c>
      <c r="AP3908" s="8" t="str">
        <f aca="false">IF(A3908="","",IF(AO3908="","欠損",IF(AO3908&lt;=1.1,"1.0～1.1",IF(AO3908&lt;1.3,"1.2",IF(AO3908&lt;1.5,"1.3～1.4",IF(AO3908&lt;2,"1.5～1.9","2.0以上"))))))</f>
        <v/>
      </c>
      <c r="AQ3908" s="8" t="str">
        <f aca="false">IF(A3908="","",IF(ISNUMBER(SEARCH("2歳",Z3908)),"2歳戦",IF(ISNUMBER(SEARCH("3歳未勝利",Z3908)),"3歳未勝利",IF(ISNUMBER(SEARCH("未勝利",Z3908)),"その他未勝利",IF(ISNUMBER(SEARCH("G1",Z3908)),"G1",IF(ISNUMBER(SEARCH("G2",Z3908)),"G2",IF(ISNUMBER(SEARCH("G3",Z3908)),"G3",IF(ISNUMBER(SEARCH("古馬条件",Z3908)),"古馬条件戦",IF(ISNUMBER(SEARCH("重賞",Z3908)),"重賞","分類不能")))))))))</f>
        <v/>
      </c>
    </row>
    <row r="3909" customFormat="false" ht="15.75" hidden="false" customHeight="false" outlineLevel="0" collapsed="false">
      <c r="AO3909" s="8" t="str">
        <f aca="false">IF(A3909="","",IF(COUNTIFS(全馬データ!$A$2:$A$50000,A3909,全馬データ!$B$2:$B$50000,B3909,全馬データ!$C$2:$C$50000,C3909,全馬データ!$D$2:$D$50000,E3909,全馬データ!$K$2:$K$50000,"&lt;&gt;")=0,"",SUMIFS(全馬データ!$K$2:$K$50000,全馬データ!$A$2:$A$50000,A3909,全馬データ!$B$2:$B$50000,B3909,全馬データ!$C$2:$C$50000,C3909,全馬データ!$D$2:$D$50000,E3909)))</f>
        <v/>
      </c>
      <c r="AP3909" s="8" t="str">
        <f aca="false">IF(A3909="","",IF(AO3909="","欠損",IF(AO3909&lt;=1.1,"1.0～1.1",IF(AO3909&lt;1.3,"1.2",IF(AO3909&lt;1.5,"1.3～1.4",IF(AO3909&lt;2,"1.5～1.9","2.0以上"))))))</f>
        <v/>
      </c>
      <c r="AQ3909" s="8" t="str">
        <f aca="false">IF(A3909="","",IF(ISNUMBER(SEARCH("2歳",Z3909)),"2歳戦",IF(ISNUMBER(SEARCH("3歳未勝利",Z3909)),"3歳未勝利",IF(ISNUMBER(SEARCH("未勝利",Z3909)),"その他未勝利",IF(ISNUMBER(SEARCH("G1",Z3909)),"G1",IF(ISNUMBER(SEARCH("G2",Z3909)),"G2",IF(ISNUMBER(SEARCH("G3",Z3909)),"G3",IF(ISNUMBER(SEARCH("古馬条件",Z3909)),"古馬条件戦",IF(ISNUMBER(SEARCH("重賞",Z3909)),"重賞","分類不能")))))))))</f>
        <v/>
      </c>
    </row>
    <row r="3910" customFormat="false" ht="15.75" hidden="false" customHeight="false" outlineLevel="0" collapsed="false">
      <c r="AO3910" s="8" t="str">
        <f aca="false">IF(A3910="","",IF(COUNTIFS(全馬データ!$A$2:$A$50000,A3910,全馬データ!$B$2:$B$50000,B3910,全馬データ!$C$2:$C$50000,C3910,全馬データ!$D$2:$D$50000,E3910,全馬データ!$K$2:$K$50000,"&lt;&gt;")=0,"",SUMIFS(全馬データ!$K$2:$K$50000,全馬データ!$A$2:$A$50000,A3910,全馬データ!$B$2:$B$50000,B3910,全馬データ!$C$2:$C$50000,C3910,全馬データ!$D$2:$D$50000,E3910)))</f>
        <v/>
      </c>
      <c r="AP3910" s="8" t="str">
        <f aca="false">IF(A3910="","",IF(AO3910="","欠損",IF(AO3910&lt;=1.1,"1.0～1.1",IF(AO3910&lt;1.3,"1.2",IF(AO3910&lt;1.5,"1.3～1.4",IF(AO3910&lt;2,"1.5～1.9","2.0以上"))))))</f>
        <v/>
      </c>
      <c r="AQ3910" s="8" t="str">
        <f aca="false">IF(A3910="","",IF(ISNUMBER(SEARCH("2歳",Z3910)),"2歳戦",IF(ISNUMBER(SEARCH("3歳未勝利",Z3910)),"3歳未勝利",IF(ISNUMBER(SEARCH("未勝利",Z3910)),"その他未勝利",IF(ISNUMBER(SEARCH("G1",Z3910)),"G1",IF(ISNUMBER(SEARCH("G2",Z3910)),"G2",IF(ISNUMBER(SEARCH("G3",Z3910)),"G3",IF(ISNUMBER(SEARCH("古馬条件",Z3910)),"古馬条件戦",IF(ISNUMBER(SEARCH("重賞",Z3910)),"重賞","分類不能")))))))))</f>
        <v/>
      </c>
    </row>
    <row r="3911" customFormat="false" ht="15.75" hidden="false" customHeight="false" outlineLevel="0" collapsed="false">
      <c r="AO3911" s="8" t="str">
        <f aca="false">IF(A3911="","",IF(COUNTIFS(全馬データ!$A$2:$A$50000,A3911,全馬データ!$B$2:$B$50000,B3911,全馬データ!$C$2:$C$50000,C3911,全馬データ!$D$2:$D$50000,E3911,全馬データ!$K$2:$K$50000,"&lt;&gt;")=0,"",SUMIFS(全馬データ!$K$2:$K$50000,全馬データ!$A$2:$A$50000,A3911,全馬データ!$B$2:$B$50000,B3911,全馬データ!$C$2:$C$50000,C3911,全馬データ!$D$2:$D$50000,E3911)))</f>
        <v/>
      </c>
      <c r="AP3911" s="8" t="str">
        <f aca="false">IF(A3911="","",IF(AO3911="","欠損",IF(AO3911&lt;=1.1,"1.0～1.1",IF(AO3911&lt;1.3,"1.2",IF(AO3911&lt;1.5,"1.3～1.4",IF(AO3911&lt;2,"1.5～1.9","2.0以上"))))))</f>
        <v/>
      </c>
      <c r="AQ3911" s="8" t="str">
        <f aca="false">IF(A3911="","",IF(ISNUMBER(SEARCH("2歳",Z3911)),"2歳戦",IF(ISNUMBER(SEARCH("3歳未勝利",Z3911)),"3歳未勝利",IF(ISNUMBER(SEARCH("未勝利",Z3911)),"その他未勝利",IF(ISNUMBER(SEARCH("G1",Z3911)),"G1",IF(ISNUMBER(SEARCH("G2",Z3911)),"G2",IF(ISNUMBER(SEARCH("G3",Z3911)),"G3",IF(ISNUMBER(SEARCH("古馬条件",Z3911)),"古馬条件戦",IF(ISNUMBER(SEARCH("重賞",Z3911)),"重賞","分類不能")))))))))</f>
        <v/>
      </c>
    </row>
    <row r="3912" customFormat="false" ht="15.75" hidden="false" customHeight="false" outlineLevel="0" collapsed="false">
      <c r="AO3912" s="8" t="str">
        <f aca="false">IF(A3912="","",IF(COUNTIFS(全馬データ!$A$2:$A$50000,A3912,全馬データ!$B$2:$B$50000,B3912,全馬データ!$C$2:$C$50000,C3912,全馬データ!$D$2:$D$50000,E3912,全馬データ!$K$2:$K$50000,"&lt;&gt;")=0,"",SUMIFS(全馬データ!$K$2:$K$50000,全馬データ!$A$2:$A$50000,A3912,全馬データ!$B$2:$B$50000,B3912,全馬データ!$C$2:$C$50000,C3912,全馬データ!$D$2:$D$50000,E3912)))</f>
        <v/>
      </c>
      <c r="AP3912" s="8" t="str">
        <f aca="false">IF(A3912="","",IF(AO3912="","欠損",IF(AO3912&lt;=1.1,"1.0～1.1",IF(AO3912&lt;1.3,"1.2",IF(AO3912&lt;1.5,"1.3～1.4",IF(AO3912&lt;2,"1.5～1.9","2.0以上"))))))</f>
        <v/>
      </c>
      <c r="AQ3912" s="8" t="str">
        <f aca="false">IF(A3912="","",IF(ISNUMBER(SEARCH("2歳",Z3912)),"2歳戦",IF(ISNUMBER(SEARCH("3歳未勝利",Z3912)),"3歳未勝利",IF(ISNUMBER(SEARCH("未勝利",Z3912)),"その他未勝利",IF(ISNUMBER(SEARCH("G1",Z3912)),"G1",IF(ISNUMBER(SEARCH("G2",Z3912)),"G2",IF(ISNUMBER(SEARCH("G3",Z3912)),"G3",IF(ISNUMBER(SEARCH("古馬条件",Z3912)),"古馬条件戦",IF(ISNUMBER(SEARCH("重賞",Z3912)),"重賞","分類不能")))))))))</f>
        <v/>
      </c>
    </row>
    <row r="3913" customFormat="false" ht="15.75" hidden="false" customHeight="false" outlineLevel="0" collapsed="false">
      <c r="AO3913" s="8" t="str">
        <f aca="false">IF(A3913="","",IF(COUNTIFS(全馬データ!$A$2:$A$50000,A3913,全馬データ!$B$2:$B$50000,B3913,全馬データ!$C$2:$C$50000,C3913,全馬データ!$D$2:$D$50000,E3913,全馬データ!$K$2:$K$50000,"&lt;&gt;")=0,"",SUMIFS(全馬データ!$K$2:$K$50000,全馬データ!$A$2:$A$50000,A3913,全馬データ!$B$2:$B$50000,B3913,全馬データ!$C$2:$C$50000,C3913,全馬データ!$D$2:$D$50000,E3913)))</f>
        <v/>
      </c>
      <c r="AP3913" s="8" t="str">
        <f aca="false">IF(A3913="","",IF(AO3913="","欠損",IF(AO3913&lt;=1.1,"1.0～1.1",IF(AO3913&lt;1.3,"1.2",IF(AO3913&lt;1.5,"1.3～1.4",IF(AO3913&lt;2,"1.5～1.9","2.0以上"))))))</f>
        <v/>
      </c>
      <c r="AQ3913" s="8" t="str">
        <f aca="false">IF(A3913="","",IF(ISNUMBER(SEARCH("2歳",Z3913)),"2歳戦",IF(ISNUMBER(SEARCH("3歳未勝利",Z3913)),"3歳未勝利",IF(ISNUMBER(SEARCH("未勝利",Z3913)),"その他未勝利",IF(ISNUMBER(SEARCH("G1",Z3913)),"G1",IF(ISNUMBER(SEARCH("G2",Z3913)),"G2",IF(ISNUMBER(SEARCH("G3",Z3913)),"G3",IF(ISNUMBER(SEARCH("古馬条件",Z3913)),"古馬条件戦",IF(ISNUMBER(SEARCH("重賞",Z3913)),"重賞","分類不能")))))))))</f>
        <v/>
      </c>
    </row>
    <row r="3914" customFormat="false" ht="15.75" hidden="false" customHeight="false" outlineLevel="0" collapsed="false">
      <c r="AO3914" s="8" t="str">
        <f aca="false">IF(A3914="","",IF(COUNTIFS(全馬データ!$A$2:$A$50000,A3914,全馬データ!$B$2:$B$50000,B3914,全馬データ!$C$2:$C$50000,C3914,全馬データ!$D$2:$D$50000,E3914,全馬データ!$K$2:$K$50000,"&lt;&gt;")=0,"",SUMIFS(全馬データ!$K$2:$K$50000,全馬データ!$A$2:$A$50000,A3914,全馬データ!$B$2:$B$50000,B3914,全馬データ!$C$2:$C$50000,C3914,全馬データ!$D$2:$D$50000,E3914)))</f>
        <v/>
      </c>
      <c r="AP3914" s="8" t="str">
        <f aca="false">IF(A3914="","",IF(AO3914="","欠損",IF(AO3914&lt;=1.1,"1.0～1.1",IF(AO3914&lt;1.3,"1.2",IF(AO3914&lt;1.5,"1.3～1.4",IF(AO3914&lt;2,"1.5～1.9","2.0以上"))))))</f>
        <v/>
      </c>
      <c r="AQ3914" s="8" t="str">
        <f aca="false">IF(A3914="","",IF(ISNUMBER(SEARCH("2歳",Z3914)),"2歳戦",IF(ISNUMBER(SEARCH("3歳未勝利",Z3914)),"3歳未勝利",IF(ISNUMBER(SEARCH("未勝利",Z3914)),"その他未勝利",IF(ISNUMBER(SEARCH("G1",Z3914)),"G1",IF(ISNUMBER(SEARCH("G2",Z3914)),"G2",IF(ISNUMBER(SEARCH("G3",Z3914)),"G3",IF(ISNUMBER(SEARCH("古馬条件",Z3914)),"古馬条件戦",IF(ISNUMBER(SEARCH("重賞",Z3914)),"重賞","分類不能")))))))))</f>
        <v/>
      </c>
    </row>
    <row r="3915" customFormat="false" ht="15.75" hidden="false" customHeight="false" outlineLevel="0" collapsed="false">
      <c r="AO3915" s="8" t="str">
        <f aca="false">IF(A3915="","",IF(COUNTIFS(全馬データ!$A$2:$A$50000,A3915,全馬データ!$B$2:$B$50000,B3915,全馬データ!$C$2:$C$50000,C3915,全馬データ!$D$2:$D$50000,E3915,全馬データ!$K$2:$K$50000,"&lt;&gt;")=0,"",SUMIFS(全馬データ!$K$2:$K$50000,全馬データ!$A$2:$A$50000,A3915,全馬データ!$B$2:$B$50000,B3915,全馬データ!$C$2:$C$50000,C3915,全馬データ!$D$2:$D$50000,E3915)))</f>
        <v/>
      </c>
      <c r="AP3915" s="8" t="str">
        <f aca="false">IF(A3915="","",IF(AO3915="","欠損",IF(AO3915&lt;=1.1,"1.0～1.1",IF(AO3915&lt;1.3,"1.2",IF(AO3915&lt;1.5,"1.3～1.4",IF(AO3915&lt;2,"1.5～1.9","2.0以上"))))))</f>
        <v/>
      </c>
      <c r="AQ3915" s="8" t="str">
        <f aca="false">IF(A3915="","",IF(ISNUMBER(SEARCH("2歳",Z3915)),"2歳戦",IF(ISNUMBER(SEARCH("3歳未勝利",Z3915)),"3歳未勝利",IF(ISNUMBER(SEARCH("未勝利",Z3915)),"その他未勝利",IF(ISNUMBER(SEARCH("G1",Z3915)),"G1",IF(ISNUMBER(SEARCH("G2",Z3915)),"G2",IF(ISNUMBER(SEARCH("G3",Z3915)),"G3",IF(ISNUMBER(SEARCH("古馬条件",Z3915)),"古馬条件戦",IF(ISNUMBER(SEARCH("重賞",Z3915)),"重賞","分類不能")))))))))</f>
        <v/>
      </c>
    </row>
    <row r="3916" customFormat="false" ht="15.75" hidden="false" customHeight="false" outlineLevel="0" collapsed="false">
      <c r="AO3916" s="8" t="str">
        <f aca="false">IF(A3916="","",IF(COUNTIFS(全馬データ!$A$2:$A$50000,A3916,全馬データ!$B$2:$B$50000,B3916,全馬データ!$C$2:$C$50000,C3916,全馬データ!$D$2:$D$50000,E3916,全馬データ!$K$2:$K$50000,"&lt;&gt;")=0,"",SUMIFS(全馬データ!$K$2:$K$50000,全馬データ!$A$2:$A$50000,A3916,全馬データ!$B$2:$B$50000,B3916,全馬データ!$C$2:$C$50000,C3916,全馬データ!$D$2:$D$50000,E3916)))</f>
        <v/>
      </c>
      <c r="AP3916" s="8" t="str">
        <f aca="false">IF(A3916="","",IF(AO3916="","欠損",IF(AO3916&lt;=1.1,"1.0～1.1",IF(AO3916&lt;1.3,"1.2",IF(AO3916&lt;1.5,"1.3～1.4",IF(AO3916&lt;2,"1.5～1.9","2.0以上"))))))</f>
        <v/>
      </c>
      <c r="AQ3916" s="8" t="str">
        <f aca="false">IF(A3916="","",IF(ISNUMBER(SEARCH("2歳",Z3916)),"2歳戦",IF(ISNUMBER(SEARCH("3歳未勝利",Z3916)),"3歳未勝利",IF(ISNUMBER(SEARCH("未勝利",Z3916)),"その他未勝利",IF(ISNUMBER(SEARCH("G1",Z3916)),"G1",IF(ISNUMBER(SEARCH("G2",Z3916)),"G2",IF(ISNUMBER(SEARCH("G3",Z3916)),"G3",IF(ISNUMBER(SEARCH("古馬条件",Z3916)),"古馬条件戦",IF(ISNUMBER(SEARCH("重賞",Z3916)),"重賞","分類不能")))))))))</f>
        <v/>
      </c>
    </row>
    <row r="3917" customFormat="false" ht="15.75" hidden="false" customHeight="false" outlineLevel="0" collapsed="false">
      <c r="AO3917" s="8" t="str">
        <f aca="false">IF(A3917="","",IF(COUNTIFS(全馬データ!$A$2:$A$50000,A3917,全馬データ!$B$2:$B$50000,B3917,全馬データ!$C$2:$C$50000,C3917,全馬データ!$D$2:$D$50000,E3917,全馬データ!$K$2:$K$50000,"&lt;&gt;")=0,"",SUMIFS(全馬データ!$K$2:$K$50000,全馬データ!$A$2:$A$50000,A3917,全馬データ!$B$2:$B$50000,B3917,全馬データ!$C$2:$C$50000,C3917,全馬データ!$D$2:$D$50000,E3917)))</f>
        <v/>
      </c>
      <c r="AP3917" s="8" t="str">
        <f aca="false">IF(A3917="","",IF(AO3917="","欠損",IF(AO3917&lt;=1.1,"1.0～1.1",IF(AO3917&lt;1.3,"1.2",IF(AO3917&lt;1.5,"1.3～1.4",IF(AO3917&lt;2,"1.5～1.9","2.0以上"))))))</f>
        <v/>
      </c>
      <c r="AQ3917" s="8" t="str">
        <f aca="false">IF(A3917="","",IF(ISNUMBER(SEARCH("2歳",Z3917)),"2歳戦",IF(ISNUMBER(SEARCH("3歳未勝利",Z3917)),"3歳未勝利",IF(ISNUMBER(SEARCH("未勝利",Z3917)),"その他未勝利",IF(ISNUMBER(SEARCH("G1",Z3917)),"G1",IF(ISNUMBER(SEARCH("G2",Z3917)),"G2",IF(ISNUMBER(SEARCH("G3",Z3917)),"G3",IF(ISNUMBER(SEARCH("古馬条件",Z3917)),"古馬条件戦",IF(ISNUMBER(SEARCH("重賞",Z3917)),"重賞","分類不能")))))))))</f>
        <v/>
      </c>
    </row>
    <row r="3918" customFormat="false" ht="15.75" hidden="false" customHeight="false" outlineLevel="0" collapsed="false">
      <c r="AO3918" s="8" t="str">
        <f aca="false">IF(A3918="","",IF(COUNTIFS(全馬データ!$A$2:$A$50000,A3918,全馬データ!$B$2:$B$50000,B3918,全馬データ!$C$2:$C$50000,C3918,全馬データ!$D$2:$D$50000,E3918,全馬データ!$K$2:$K$50000,"&lt;&gt;")=0,"",SUMIFS(全馬データ!$K$2:$K$50000,全馬データ!$A$2:$A$50000,A3918,全馬データ!$B$2:$B$50000,B3918,全馬データ!$C$2:$C$50000,C3918,全馬データ!$D$2:$D$50000,E3918)))</f>
        <v/>
      </c>
      <c r="AP3918" s="8" t="str">
        <f aca="false">IF(A3918="","",IF(AO3918="","欠損",IF(AO3918&lt;=1.1,"1.0～1.1",IF(AO3918&lt;1.3,"1.2",IF(AO3918&lt;1.5,"1.3～1.4",IF(AO3918&lt;2,"1.5～1.9","2.0以上"))))))</f>
        <v/>
      </c>
      <c r="AQ3918" s="8" t="str">
        <f aca="false">IF(A3918="","",IF(ISNUMBER(SEARCH("2歳",Z3918)),"2歳戦",IF(ISNUMBER(SEARCH("3歳未勝利",Z3918)),"3歳未勝利",IF(ISNUMBER(SEARCH("未勝利",Z3918)),"その他未勝利",IF(ISNUMBER(SEARCH("G1",Z3918)),"G1",IF(ISNUMBER(SEARCH("G2",Z3918)),"G2",IF(ISNUMBER(SEARCH("G3",Z3918)),"G3",IF(ISNUMBER(SEARCH("古馬条件",Z3918)),"古馬条件戦",IF(ISNUMBER(SEARCH("重賞",Z3918)),"重賞","分類不能")))))))))</f>
        <v/>
      </c>
    </row>
    <row r="3919" customFormat="false" ht="15.75" hidden="false" customHeight="false" outlineLevel="0" collapsed="false">
      <c r="AO3919" s="8" t="str">
        <f aca="false">IF(A3919="","",IF(COUNTIFS(全馬データ!$A$2:$A$50000,A3919,全馬データ!$B$2:$B$50000,B3919,全馬データ!$C$2:$C$50000,C3919,全馬データ!$D$2:$D$50000,E3919,全馬データ!$K$2:$K$50000,"&lt;&gt;")=0,"",SUMIFS(全馬データ!$K$2:$K$50000,全馬データ!$A$2:$A$50000,A3919,全馬データ!$B$2:$B$50000,B3919,全馬データ!$C$2:$C$50000,C3919,全馬データ!$D$2:$D$50000,E3919)))</f>
        <v/>
      </c>
      <c r="AP3919" s="8" t="str">
        <f aca="false">IF(A3919="","",IF(AO3919="","欠損",IF(AO3919&lt;=1.1,"1.0～1.1",IF(AO3919&lt;1.3,"1.2",IF(AO3919&lt;1.5,"1.3～1.4",IF(AO3919&lt;2,"1.5～1.9","2.0以上"))))))</f>
        <v/>
      </c>
      <c r="AQ3919" s="8" t="str">
        <f aca="false">IF(A3919="","",IF(ISNUMBER(SEARCH("2歳",Z3919)),"2歳戦",IF(ISNUMBER(SEARCH("3歳未勝利",Z3919)),"3歳未勝利",IF(ISNUMBER(SEARCH("未勝利",Z3919)),"その他未勝利",IF(ISNUMBER(SEARCH("G1",Z3919)),"G1",IF(ISNUMBER(SEARCH("G2",Z3919)),"G2",IF(ISNUMBER(SEARCH("G3",Z3919)),"G3",IF(ISNUMBER(SEARCH("古馬条件",Z3919)),"古馬条件戦",IF(ISNUMBER(SEARCH("重賞",Z3919)),"重賞","分類不能")))))))))</f>
        <v/>
      </c>
    </row>
    <row r="3920" customFormat="false" ht="15.75" hidden="false" customHeight="false" outlineLevel="0" collapsed="false">
      <c r="AO3920" s="8" t="str">
        <f aca="false">IF(A3920="","",IF(COUNTIFS(全馬データ!$A$2:$A$50000,A3920,全馬データ!$B$2:$B$50000,B3920,全馬データ!$C$2:$C$50000,C3920,全馬データ!$D$2:$D$50000,E3920,全馬データ!$K$2:$K$50000,"&lt;&gt;")=0,"",SUMIFS(全馬データ!$K$2:$K$50000,全馬データ!$A$2:$A$50000,A3920,全馬データ!$B$2:$B$50000,B3920,全馬データ!$C$2:$C$50000,C3920,全馬データ!$D$2:$D$50000,E3920)))</f>
        <v/>
      </c>
      <c r="AP3920" s="8" t="str">
        <f aca="false">IF(A3920="","",IF(AO3920="","欠損",IF(AO3920&lt;=1.1,"1.0～1.1",IF(AO3920&lt;1.3,"1.2",IF(AO3920&lt;1.5,"1.3～1.4",IF(AO3920&lt;2,"1.5～1.9","2.0以上"))))))</f>
        <v/>
      </c>
      <c r="AQ3920" s="8" t="str">
        <f aca="false">IF(A3920="","",IF(ISNUMBER(SEARCH("2歳",Z3920)),"2歳戦",IF(ISNUMBER(SEARCH("3歳未勝利",Z3920)),"3歳未勝利",IF(ISNUMBER(SEARCH("未勝利",Z3920)),"その他未勝利",IF(ISNUMBER(SEARCH("G1",Z3920)),"G1",IF(ISNUMBER(SEARCH("G2",Z3920)),"G2",IF(ISNUMBER(SEARCH("G3",Z3920)),"G3",IF(ISNUMBER(SEARCH("古馬条件",Z3920)),"古馬条件戦",IF(ISNUMBER(SEARCH("重賞",Z3920)),"重賞","分類不能")))))))))</f>
        <v/>
      </c>
    </row>
    <row r="3921" customFormat="false" ht="15.75" hidden="false" customHeight="false" outlineLevel="0" collapsed="false">
      <c r="AO3921" s="8" t="str">
        <f aca="false">IF(A3921="","",IF(COUNTIFS(全馬データ!$A$2:$A$50000,A3921,全馬データ!$B$2:$B$50000,B3921,全馬データ!$C$2:$C$50000,C3921,全馬データ!$D$2:$D$50000,E3921,全馬データ!$K$2:$K$50000,"&lt;&gt;")=0,"",SUMIFS(全馬データ!$K$2:$K$50000,全馬データ!$A$2:$A$50000,A3921,全馬データ!$B$2:$B$50000,B3921,全馬データ!$C$2:$C$50000,C3921,全馬データ!$D$2:$D$50000,E3921)))</f>
        <v/>
      </c>
      <c r="AP3921" s="8" t="str">
        <f aca="false">IF(A3921="","",IF(AO3921="","欠損",IF(AO3921&lt;=1.1,"1.0～1.1",IF(AO3921&lt;1.3,"1.2",IF(AO3921&lt;1.5,"1.3～1.4",IF(AO3921&lt;2,"1.5～1.9","2.0以上"))))))</f>
        <v/>
      </c>
      <c r="AQ3921" s="8" t="str">
        <f aca="false">IF(A3921="","",IF(ISNUMBER(SEARCH("2歳",Z3921)),"2歳戦",IF(ISNUMBER(SEARCH("3歳未勝利",Z3921)),"3歳未勝利",IF(ISNUMBER(SEARCH("未勝利",Z3921)),"その他未勝利",IF(ISNUMBER(SEARCH("G1",Z3921)),"G1",IF(ISNUMBER(SEARCH("G2",Z3921)),"G2",IF(ISNUMBER(SEARCH("G3",Z3921)),"G3",IF(ISNUMBER(SEARCH("古馬条件",Z3921)),"古馬条件戦",IF(ISNUMBER(SEARCH("重賞",Z3921)),"重賞","分類不能")))))))))</f>
        <v/>
      </c>
    </row>
    <row r="3922" customFormat="false" ht="15.75" hidden="false" customHeight="false" outlineLevel="0" collapsed="false">
      <c r="AO3922" s="8" t="str">
        <f aca="false">IF(A3922="","",IF(COUNTIFS(全馬データ!$A$2:$A$50000,A3922,全馬データ!$B$2:$B$50000,B3922,全馬データ!$C$2:$C$50000,C3922,全馬データ!$D$2:$D$50000,E3922,全馬データ!$K$2:$K$50000,"&lt;&gt;")=0,"",SUMIFS(全馬データ!$K$2:$K$50000,全馬データ!$A$2:$A$50000,A3922,全馬データ!$B$2:$B$50000,B3922,全馬データ!$C$2:$C$50000,C3922,全馬データ!$D$2:$D$50000,E3922)))</f>
        <v/>
      </c>
      <c r="AP3922" s="8" t="str">
        <f aca="false">IF(A3922="","",IF(AO3922="","欠損",IF(AO3922&lt;=1.1,"1.0～1.1",IF(AO3922&lt;1.3,"1.2",IF(AO3922&lt;1.5,"1.3～1.4",IF(AO3922&lt;2,"1.5～1.9","2.0以上"))))))</f>
        <v/>
      </c>
      <c r="AQ3922" s="8" t="str">
        <f aca="false">IF(A3922="","",IF(ISNUMBER(SEARCH("2歳",Z3922)),"2歳戦",IF(ISNUMBER(SEARCH("3歳未勝利",Z3922)),"3歳未勝利",IF(ISNUMBER(SEARCH("未勝利",Z3922)),"その他未勝利",IF(ISNUMBER(SEARCH("G1",Z3922)),"G1",IF(ISNUMBER(SEARCH("G2",Z3922)),"G2",IF(ISNUMBER(SEARCH("G3",Z3922)),"G3",IF(ISNUMBER(SEARCH("古馬条件",Z3922)),"古馬条件戦",IF(ISNUMBER(SEARCH("重賞",Z3922)),"重賞","分類不能")))))))))</f>
        <v/>
      </c>
    </row>
    <row r="3923" customFormat="false" ht="15.75" hidden="false" customHeight="false" outlineLevel="0" collapsed="false">
      <c r="AO3923" s="8" t="str">
        <f aca="false">IF(A3923="","",IF(COUNTIFS(全馬データ!$A$2:$A$50000,A3923,全馬データ!$B$2:$B$50000,B3923,全馬データ!$C$2:$C$50000,C3923,全馬データ!$D$2:$D$50000,E3923,全馬データ!$K$2:$K$50000,"&lt;&gt;")=0,"",SUMIFS(全馬データ!$K$2:$K$50000,全馬データ!$A$2:$A$50000,A3923,全馬データ!$B$2:$B$50000,B3923,全馬データ!$C$2:$C$50000,C3923,全馬データ!$D$2:$D$50000,E3923)))</f>
        <v/>
      </c>
      <c r="AP3923" s="8" t="str">
        <f aca="false">IF(A3923="","",IF(AO3923="","欠損",IF(AO3923&lt;=1.1,"1.0～1.1",IF(AO3923&lt;1.3,"1.2",IF(AO3923&lt;1.5,"1.3～1.4",IF(AO3923&lt;2,"1.5～1.9","2.0以上"))))))</f>
        <v/>
      </c>
      <c r="AQ3923" s="8" t="str">
        <f aca="false">IF(A3923="","",IF(ISNUMBER(SEARCH("2歳",Z3923)),"2歳戦",IF(ISNUMBER(SEARCH("3歳未勝利",Z3923)),"3歳未勝利",IF(ISNUMBER(SEARCH("未勝利",Z3923)),"その他未勝利",IF(ISNUMBER(SEARCH("G1",Z3923)),"G1",IF(ISNUMBER(SEARCH("G2",Z3923)),"G2",IF(ISNUMBER(SEARCH("G3",Z3923)),"G3",IF(ISNUMBER(SEARCH("古馬条件",Z3923)),"古馬条件戦",IF(ISNUMBER(SEARCH("重賞",Z3923)),"重賞","分類不能")))))))))</f>
        <v/>
      </c>
    </row>
    <row r="3924" customFormat="false" ht="15.75" hidden="false" customHeight="false" outlineLevel="0" collapsed="false">
      <c r="AO3924" s="8" t="str">
        <f aca="false">IF(A3924="","",IF(COUNTIFS(全馬データ!$A$2:$A$50000,A3924,全馬データ!$B$2:$B$50000,B3924,全馬データ!$C$2:$C$50000,C3924,全馬データ!$D$2:$D$50000,E3924,全馬データ!$K$2:$K$50000,"&lt;&gt;")=0,"",SUMIFS(全馬データ!$K$2:$K$50000,全馬データ!$A$2:$A$50000,A3924,全馬データ!$B$2:$B$50000,B3924,全馬データ!$C$2:$C$50000,C3924,全馬データ!$D$2:$D$50000,E3924)))</f>
        <v/>
      </c>
      <c r="AP3924" s="8" t="str">
        <f aca="false">IF(A3924="","",IF(AO3924="","欠損",IF(AO3924&lt;=1.1,"1.0～1.1",IF(AO3924&lt;1.3,"1.2",IF(AO3924&lt;1.5,"1.3～1.4",IF(AO3924&lt;2,"1.5～1.9","2.0以上"))))))</f>
        <v/>
      </c>
      <c r="AQ3924" s="8" t="str">
        <f aca="false">IF(A3924="","",IF(ISNUMBER(SEARCH("2歳",Z3924)),"2歳戦",IF(ISNUMBER(SEARCH("3歳未勝利",Z3924)),"3歳未勝利",IF(ISNUMBER(SEARCH("未勝利",Z3924)),"その他未勝利",IF(ISNUMBER(SEARCH("G1",Z3924)),"G1",IF(ISNUMBER(SEARCH("G2",Z3924)),"G2",IF(ISNUMBER(SEARCH("G3",Z3924)),"G3",IF(ISNUMBER(SEARCH("古馬条件",Z3924)),"古馬条件戦",IF(ISNUMBER(SEARCH("重賞",Z3924)),"重賞","分類不能")))))))))</f>
        <v/>
      </c>
    </row>
    <row r="3925" customFormat="false" ht="15.75" hidden="false" customHeight="false" outlineLevel="0" collapsed="false">
      <c r="AO3925" s="8" t="str">
        <f aca="false">IF(A3925="","",IF(COUNTIFS(全馬データ!$A$2:$A$50000,A3925,全馬データ!$B$2:$B$50000,B3925,全馬データ!$C$2:$C$50000,C3925,全馬データ!$D$2:$D$50000,E3925,全馬データ!$K$2:$K$50000,"&lt;&gt;")=0,"",SUMIFS(全馬データ!$K$2:$K$50000,全馬データ!$A$2:$A$50000,A3925,全馬データ!$B$2:$B$50000,B3925,全馬データ!$C$2:$C$50000,C3925,全馬データ!$D$2:$D$50000,E3925)))</f>
        <v/>
      </c>
      <c r="AP3925" s="8" t="str">
        <f aca="false">IF(A3925="","",IF(AO3925="","欠損",IF(AO3925&lt;=1.1,"1.0～1.1",IF(AO3925&lt;1.3,"1.2",IF(AO3925&lt;1.5,"1.3～1.4",IF(AO3925&lt;2,"1.5～1.9","2.0以上"))))))</f>
        <v/>
      </c>
      <c r="AQ3925" s="8" t="str">
        <f aca="false">IF(A3925="","",IF(ISNUMBER(SEARCH("2歳",Z3925)),"2歳戦",IF(ISNUMBER(SEARCH("3歳未勝利",Z3925)),"3歳未勝利",IF(ISNUMBER(SEARCH("未勝利",Z3925)),"その他未勝利",IF(ISNUMBER(SEARCH("G1",Z3925)),"G1",IF(ISNUMBER(SEARCH("G2",Z3925)),"G2",IF(ISNUMBER(SEARCH("G3",Z3925)),"G3",IF(ISNUMBER(SEARCH("古馬条件",Z3925)),"古馬条件戦",IF(ISNUMBER(SEARCH("重賞",Z3925)),"重賞","分類不能")))))))))</f>
        <v/>
      </c>
    </row>
    <row r="3926" customFormat="false" ht="15.75" hidden="false" customHeight="false" outlineLevel="0" collapsed="false">
      <c r="AO3926" s="8" t="str">
        <f aca="false">IF(A3926="","",IF(COUNTIFS(全馬データ!$A$2:$A$50000,A3926,全馬データ!$B$2:$B$50000,B3926,全馬データ!$C$2:$C$50000,C3926,全馬データ!$D$2:$D$50000,E3926,全馬データ!$K$2:$K$50000,"&lt;&gt;")=0,"",SUMIFS(全馬データ!$K$2:$K$50000,全馬データ!$A$2:$A$50000,A3926,全馬データ!$B$2:$B$50000,B3926,全馬データ!$C$2:$C$50000,C3926,全馬データ!$D$2:$D$50000,E3926)))</f>
        <v/>
      </c>
      <c r="AP3926" s="8" t="str">
        <f aca="false">IF(A3926="","",IF(AO3926="","欠損",IF(AO3926&lt;=1.1,"1.0～1.1",IF(AO3926&lt;1.3,"1.2",IF(AO3926&lt;1.5,"1.3～1.4",IF(AO3926&lt;2,"1.5～1.9","2.0以上"))))))</f>
        <v/>
      </c>
      <c r="AQ3926" s="8" t="str">
        <f aca="false">IF(A3926="","",IF(ISNUMBER(SEARCH("2歳",Z3926)),"2歳戦",IF(ISNUMBER(SEARCH("3歳未勝利",Z3926)),"3歳未勝利",IF(ISNUMBER(SEARCH("未勝利",Z3926)),"その他未勝利",IF(ISNUMBER(SEARCH("G1",Z3926)),"G1",IF(ISNUMBER(SEARCH("G2",Z3926)),"G2",IF(ISNUMBER(SEARCH("G3",Z3926)),"G3",IF(ISNUMBER(SEARCH("古馬条件",Z3926)),"古馬条件戦",IF(ISNUMBER(SEARCH("重賞",Z3926)),"重賞","分類不能")))))))))</f>
        <v/>
      </c>
    </row>
    <row r="3927" customFormat="false" ht="15.75" hidden="false" customHeight="false" outlineLevel="0" collapsed="false">
      <c r="AO3927" s="8" t="str">
        <f aca="false">IF(A3927="","",IF(COUNTIFS(全馬データ!$A$2:$A$50000,A3927,全馬データ!$B$2:$B$50000,B3927,全馬データ!$C$2:$C$50000,C3927,全馬データ!$D$2:$D$50000,E3927,全馬データ!$K$2:$K$50000,"&lt;&gt;")=0,"",SUMIFS(全馬データ!$K$2:$K$50000,全馬データ!$A$2:$A$50000,A3927,全馬データ!$B$2:$B$50000,B3927,全馬データ!$C$2:$C$50000,C3927,全馬データ!$D$2:$D$50000,E3927)))</f>
        <v/>
      </c>
      <c r="AP3927" s="8" t="str">
        <f aca="false">IF(A3927="","",IF(AO3927="","欠損",IF(AO3927&lt;=1.1,"1.0～1.1",IF(AO3927&lt;1.3,"1.2",IF(AO3927&lt;1.5,"1.3～1.4",IF(AO3927&lt;2,"1.5～1.9","2.0以上"))))))</f>
        <v/>
      </c>
      <c r="AQ3927" s="8" t="str">
        <f aca="false">IF(A3927="","",IF(ISNUMBER(SEARCH("2歳",Z3927)),"2歳戦",IF(ISNUMBER(SEARCH("3歳未勝利",Z3927)),"3歳未勝利",IF(ISNUMBER(SEARCH("未勝利",Z3927)),"その他未勝利",IF(ISNUMBER(SEARCH("G1",Z3927)),"G1",IF(ISNUMBER(SEARCH("G2",Z3927)),"G2",IF(ISNUMBER(SEARCH("G3",Z3927)),"G3",IF(ISNUMBER(SEARCH("古馬条件",Z3927)),"古馬条件戦",IF(ISNUMBER(SEARCH("重賞",Z3927)),"重賞","分類不能")))))))))</f>
        <v/>
      </c>
    </row>
    <row r="3928" customFormat="false" ht="15.75" hidden="false" customHeight="false" outlineLevel="0" collapsed="false">
      <c r="AO3928" s="8" t="str">
        <f aca="false">IF(A3928="","",IF(COUNTIFS(全馬データ!$A$2:$A$50000,A3928,全馬データ!$B$2:$B$50000,B3928,全馬データ!$C$2:$C$50000,C3928,全馬データ!$D$2:$D$50000,E3928,全馬データ!$K$2:$K$50000,"&lt;&gt;")=0,"",SUMIFS(全馬データ!$K$2:$K$50000,全馬データ!$A$2:$A$50000,A3928,全馬データ!$B$2:$B$50000,B3928,全馬データ!$C$2:$C$50000,C3928,全馬データ!$D$2:$D$50000,E3928)))</f>
        <v/>
      </c>
      <c r="AP3928" s="8" t="str">
        <f aca="false">IF(A3928="","",IF(AO3928="","欠損",IF(AO3928&lt;=1.1,"1.0～1.1",IF(AO3928&lt;1.3,"1.2",IF(AO3928&lt;1.5,"1.3～1.4",IF(AO3928&lt;2,"1.5～1.9","2.0以上"))))))</f>
        <v/>
      </c>
      <c r="AQ3928" s="8" t="str">
        <f aca="false">IF(A3928="","",IF(ISNUMBER(SEARCH("2歳",Z3928)),"2歳戦",IF(ISNUMBER(SEARCH("3歳未勝利",Z3928)),"3歳未勝利",IF(ISNUMBER(SEARCH("未勝利",Z3928)),"その他未勝利",IF(ISNUMBER(SEARCH("G1",Z3928)),"G1",IF(ISNUMBER(SEARCH("G2",Z3928)),"G2",IF(ISNUMBER(SEARCH("G3",Z3928)),"G3",IF(ISNUMBER(SEARCH("古馬条件",Z3928)),"古馬条件戦",IF(ISNUMBER(SEARCH("重賞",Z3928)),"重賞","分類不能")))))))))</f>
        <v/>
      </c>
    </row>
    <row r="3929" customFormat="false" ht="15.75" hidden="false" customHeight="false" outlineLevel="0" collapsed="false">
      <c r="AO3929" s="8" t="str">
        <f aca="false">IF(A3929="","",IF(COUNTIFS(全馬データ!$A$2:$A$50000,A3929,全馬データ!$B$2:$B$50000,B3929,全馬データ!$C$2:$C$50000,C3929,全馬データ!$D$2:$D$50000,E3929,全馬データ!$K$2:$K$50000,"&lt;&gt;")=0,"",SUMIFS(全馬データ!$K$2:$K$50000,全馬データ!$A$2:$A$50000,A3929,全馬データ!$B$2:$B$50000,B3929,全馬データ!$C$2:$C$50000,C3929,全馬データ!$D$2:$D$50000,E3929)))</f>
        <v/>
      </c>
      <c r="AP3929" s="8" t="str">
        <f aca="false">IF(A3929="","",IF(AO3929="","欠損",IF(AO3929&lt;=1.1,"1.0～1.1",IF(AO3929&lt;1.3,"1.2",IF(AO3929&lt;1.5,"1.3～1.4",IF(AO3929&lt;2,"1.5～1.9","2.0以上"))))))</f>
        <v/>
      </c>
      <c r="AQ3929" s="8" t="str">
        <f aca="false">IF(A3929="","",IF(ISNUMBER(SEARCH("2歳",Z3929)),"2歳戦",IF(ISNUMBER(SEARCH("3歳未勝利",Z3929)),"3歳未勝利",IF(ISNUMBER(SEARCH("未勝利",Z3929)),"その他未勝利",IF(ISNUMBER(SEARCH("G1",Z3929)),"G1",IF(ISNUMBER(SEARCH("G2",Z3929)),"G2",IF(ISNUMBER(SEARCH("G3",Z3929)),"G3",IF(ISNUMBER(SEARCH("古馬条件",Z3929)),"古馬条件戦",IF(ISNUMBER(SEARCH("重賞",Z3929)),"重賞","分類不能")))))))))</f>
        <v/>
      </c>
    </row>
    <row r="3930" customFormat="false" ht="15.75" hidden="false" customHeight="false" outlineLevel="0" collapsed="false">
      <c r="AO3930" s="8" t="str">
        <f aca="false">IF(A3930="","",IF(COUNTIFS(全馬データ!$A$2:$A$50000,A3930,全馬データ!$B$2:$B$50000,B3930,全馬データ!$C$2:$C$50000,C3930,全馬データ!$D$2:$D$50000,E3930,全馬データ!$K$2:$K$50000,"&lt;&gt;")=0,"",SUMIFS(全馬データ!$K$2:$K$50000,全馬データ!$A$2:$A$50000,A3930,全馬データ!$B$2:$B$50000,B3930,全馬データ!$C$2:$C$50000,C3930,全馬データ!$D$2:$D$50000,E3930)))</f>
        <v/>
      </c>
      <c r="AP3930" s="8" t="str">
        <f aca="false">IF(A3930="","",IF(AO3930="","欠損",IF(AO3930&lt;=1.1,"1.0～1.1",IF(AO3930&lt;1.3,"1.2",IF(AO3930&lt;1.5,"1.3～1.4",IF(AO3930&lt;2,"1.5～1.9","2.0以上"))))))</f>
        <v/>
      </c>
      <c r="AQ3930" s="8" t="str">
        <f aca="false">IF(A3930="","",IF(ISNUMBER(SEARCH("2歳",Z3930)),"2歳戦",IF(ISNUMBER(SEARCH("3歳未勝利",Z3930)),"3歳未勝利",IF(ISNUMBER(SEARCH("未勝利",Z3930)),"その他未勝利",IF(ISNUMBER(SEARCH("G1",Z3930)),"G1",IF(ISNUMBER(SEARCH("G2",Z3930)),"G2",IF(ISNUMBER(SEARCH("G3",Z3930)),"G3",IF(ISNUMBER(SEARCH("古馬条件",Z3930)),"古馬条件戦",IF(ISNUMBER(SEARCH("重賞",Z3930)),"重賞","分類不能")))))))))</f>
        <v/>
      </c>
    </row>
    <row r="3931" customFormat="false" ht="15.75" hidden="false" customHeight="false" outlineLevel="0" collapsed="false">
      <c r="AO3931" s="8" t="str">
        <f aca="false">IF(A3931="","",IF(COUNTIFS(全馬データ!$A$2:$A$50000,A3931,全馬データ!$B$2:$B$50000,B3931,全馬データ!$C$2:$C$50000,C3931,全馬データ!$D$2:$D$50000,E3931,全馬データ!$K$2:$K$50000,"&lt;&gt;")=0,"",SUMIFS(全馬データ!$K$2:$K$50000,全馬データ!$A$2:$A$50000,A3931,全馬データ!$B$2:$B$50000,B3931,全馬データ!$C$2:$C$50000,C3931,全馬データ!$D$2:$D$50000,E3931)))</f>
        <v/>
      </c>
      <c r="AP3931" s="8" t="str">
        <f aca="false">IF(A3931="","",IF(AO3931="","欠損",IF(AO3931&lt;=1.1,"1.0～1.1",IF(AO3931&lt;1.3,"1.2",IF(AO3931&lt;1.5,"1.3～1.4",IF(AO3931&lt;2,"1.5～1.9","2.0以上"))))))</f>
        <v/>
      </c>
      <c r="AQ3931" s="8" t="str">
        <f aca="false">IF(A3931="","",IF(ISNUMBER(SEARCH("2歳",Z3931)),"2歳戦",IF(ISNUMBER(SEARCH("3歳未勝利",Z3931)),"3歳未勝利",IF(ISNUMBER(SEARCH("未勝利",Z3931)),"その他未勝利",IF(ISNUMBER(SEARCH("G1",Z3931)),"G1",IF(ISNUMBER(SEARCH("G2",Z3931)),"G2",IF(ISNUMBER(SEARCH("G3",Z3931)),"G3",IF(ISNUMBER(SEARCH("古馬条件",Z3931)),"古馬条件戦",IF(ISNUMBER(SEARCH("重賞",Z3931)),"重賞","分類不能")))))))))</f>
        <v/>
      </c>
    </row>
    <row r="3932" customFormat="false" ht="15.75" hidden="false" customHeight="false" outlineLevel="0" collapsed="false">
      <c r="AO3932" s="8" t="str">
        <f aca="false">IF(A3932="","",IF(COUNTIFS(全馬データ!$A$2:$A$50000,A3932,全馬データ!$B$2:$B$50000,B3932,全馬データ!$C$2:$C$50000,C3932,全馬データ!$D$2:$D$50000,E3932,全馬データ!$K$2:$K$50000,"&lt;&gt;")=0,"",SUMIFS(全馬データ!$K$2:$K$50000,全馬データ!$A$2:$A$50000,A3932,全馬データ!$B$2:$B$50000,B3932,全馬データ!$C$2:$C$50000,C3932,全馬データ!$D$2:$D$50000,E3932)))</f>
        <v/>
      </c>
      <c r="AP3932" s="8" t="str">
        <f aca="false">IF(A3932="","",IF(AO3932="","欠損",IF(AO3932&lt;=1.1,"1.0～1.1",IF(AO3932&lt;1.3,"1.2",IF(AO3932&lt;1.5,"1.3～1.4",IF(AO3932&lt;2,"1.5～1.9","2.0以上"))))))</f>
        <v/>
      </c>
      <c r="AQ3932" s="8" t="str">
        <f aca="false">IF(A3932="","",IF(ISNUMBER(SEARCH("2歳",Z3932)),"2歳戦",IF(ISNUMBER(SEARCH("3歳未勝利",Z3932)),"3歳未勝利",IF(ISNUMBER(SEARCH("未勝利",Z3932)),"その他未勝利",IF(ISNUMBER(SEARCH("G1",Z3932)),"G1",IF(ISNUMBER(SEARCH("G2",Z3932)),"G2",IF(ISNUMBER(SEARCH("G3",Z3932)),"G3",IF(ISNUMBER(SEARCH("古馬条件",Z3932)),"古馬条件戦",IF(ISNUMBER(SEARCH("重賞",Z3932)),"重賞","分類不能")))))))))</f>
        <v/>
      </c>
    </row>
    <row r="3933" customFormat="false" ht="15.75" hidden="false" customHeight="false" outlineLevel="0" collapsed="false">
      <c r="AO3933" s="8" t="str">
        <f aca="false">IF(A3933="","",IF(COUNTIFS(全馬データ!$A$2:$A$50000,A3933,全馬データ!$B$2:$B$50000,B3933,全馬データ!$C$2:$C$50000,C3933,全馬データ!$D$2:$D$50000,E3933,全馬データ!$K$2:$K$50000,"&lt;&gt;")=0,"",SUMIFS(全馬データ!$K$2:$K$50000,全馬データ!$A$2:$A$50000,A3933,全馬データ!$B$2:$B$50000,B3933,全馬データ!$C$2:$C$50000,C3933,全馬データ!$D$2:$D$50000,E3933)))</f>
        <v/>
      </c>
      <c r="AP3933" s="8" t="str">
        <f aca="false">IF(A3933="","",IF(AO3933="","欠損",IF(AO3933&lt;=1.1,"1.0～1.1",IF(AO3933&lt;1.3,"1.2",IF(AO3933&lt;1.5,"1.3～1.4",IF(AO3933&lt;2,"1.5～1.9","2.0以上"))))))</f>
        <v/>
      </c>
      <c r="AQ3933" s="8" t="str">
        <f aca="false">IF(A3933="","",IF(ISNUMBER(SEARCH("2歳",Z3933)),"2歳戦",IF(ISNUMBER(SEARCH("3歳未勝利",Z3933)),"3歳未勝利",IF(ISNUMBER(SEARCH("未勝利",Z3933)),"その他未勝利",IF(ISNUMBER(SEARCH("G1",Z3933)),"G1",IF(ISNUMBER(SEARCH("G2",Z3933)),"G2",IF(ISNUMBER(SEARCH("G3",Z3933)),"G3",IF(ISNUMBER(SEARCH("古馬条件",Z3933)),"古馬条件戦",IF(ISNUMBER(SEARCH("重賞",Z3933)),"重賞","分類不能")))))))))</f>
        <v/>
      </c>
    </row>
    <row r="3934" customFormat="false" ht="15.75" hidden="false" customHeight="false" outlineLevel="0" collapsed="false">
      <c r="AO3934" s="8" t="str">
        <f aca="false">IF(A3934="","",IF(COUNTIFS(全馬データ!$A$2:$A$50000,A3934,全馬データ!$B$2:$B$50000,B3934,全馬データ!$C$2:$C$50000,C3934,全馬データ!$D$2:$D$50000,E3934,全馬データ!$K$2:$K$50000,"&lt;&gt;")=0,"",SUMIFS(全馬データ!$K$2:$K$50000,全馬データ!$A$2:$A$50000,A3934,全馬データ!$B$2:$B$50000,B3934,全馬データ!$C$2:$C$50000,C3934,全馬データ!$D$2:$D$50000,E3934)))</f>
        <v/>
      </c>
      <c r="AP3934" s="8" t="str">
        <f aca="false">IF(A3934="","",IF(AO3934="","欠損",IF(AO3934&lt;=1.1,"1.0～1.1",IF(AO3934&lt;1.3,"1.2",IF(AO3934&lt;1.5,"1.3～1.4",IF(AO3934&lt;2,"1.5～1.9","2.0以上"))))))</f>
        <v/>
      </c>
      <c r="AQ3934" s="8" t="str">
        <f aca="false">IF(A3934="","",IF(ISNUMBER(SEARCH("2歳",Z3934)),"2歳戦",IF(ISNUMBER(SEARCH("3歳未勝利",Z3934)),"3歳未勝利",IF(ISNUMBER(SEARCH("未勝利",Z3934)),"その他未勝利",IF(ISNUMBER(SEARCH("G1",Z3934)),"G1",IF(ISNUMBER(SEARCH("G2",Z3934)),"G2",IF(ISNUMBER(SEARCH("G3",Z3934)),"G3",IF(ISNUMBER(SEARCH("古馬条件",Z3934)),"古馬条件戦",IF(ISNUMBER(SEARCH("重賞",Z3934)),"重賞","分類不能")))))))))</f>
        <v/>
      </c>
    </row>
    <row r="3935" customFormat="false" ht="15.75" hidden="false" customHeight="false" outlineLevel="0" collapsed="false">
      <c r="AO3935" s="8" t="str">
        <f aca="false">IF(A3935="","",IF(COUNTIFS(全馬データ!$A$2:$A$50000,A3935,全馬データ!$B$2:$B$50000,B3935,全馬データ!$C$2:$C$50000,C3935,全馬データ!$D$2:$D$50000,E3935,全馬データ!$K$2:$K$50000,"&lt;&gt;")=0,"",SUMIFS(全馬データ!$K$2:$K$50000,全馬データ!$A$2:$A$50000,A3935,全馬データ!$B$2:$B$50000,B3935,全馬データ!$C$2:$C$50000,C3935,全馬データ!$D$2:$D$50000,E3935)))</f>
        <v/>
      </c>
      <c r="AP3935" s="8" t="str">
        <f aca="false">IF(A3935="","",IF(AO3935="","欠損",IF(AO3935&lt;=1.1,"1.0～1.1",IF(AO3935&lt;1.3,"1.2",IF(AO3935&lt;1.5,"1.3～1.4",IF(AO3935&lt;2,"1.5～1.9","2.0以上"))))))</f>
        <v/>
      </c>
      <c r="AQ3935" s="8" t="str">
        <f aca="false">IF(A3935="","",IF(ISNUMBER(SEARCH("2歳",Z3935)),"2歳戦",IF(ISNUMBER(SEARCH("3歳未勝利",Z3935)),"3歳未勝利",IF(ISNUMBER(SEARCH("未勝利",Z3935)),"その他未勝利",IF(ISNUMBER(SEARCH("G1",Z3935)),"G1",IF(ISNUMBER(SEARCH("G2",Z3935)),"G2",IF(ISNUMBER(SEARCH("G3",Z3935)),"G3",IF(ISNUMBER(SEARCH("古馬条件",Z3935)),"古馬条件戦",IF(ISNUMBER(SEARCH("重賞",Z3935)),"重賞","分類不能")))))))))</f>
        <v/>
      </c>
    </row>
    <row r="3936" customFormat="false" ht="15.75" hidden="false" customHeight="false" outlineLevel="0" collapsed="false">
      <c r="AO3936" s="8" t="str">
        <f aca="false">IF(A3936="","",IF(COUNTIFS(全馬データ!$A$2:$A$50000,A3936,全馬データ!$B$2:$B$50000,B3936,全馬データ!$C$2:$C$50000,C3936,全馬データ!$D$2:$D$50000,E3936,全馬データ!$K$2:$K$50000,"&lt;&gt;")=0,"",SUMIFS(全馬データ!$K$2:$K$50000,全馬データ!$A$2:$A$50000,A3936,全馬データ!$B$2:$B$50000,B3936,全馬データ!$C$2:$C$50000,C3936,全馬データ!$D$2:$D$50000,E3936)))</f>
        <v/>
      </c>
      <c r="AP3936" s="8" t="str">
        <f aca="false">IF(A3936="","",IF(AO3936="","欠損",IF(AO3936&lt;=1.1,"1.0～1.1",IF(AO3936&lt;1.3,"1.2",IF(AO3936&lt;1.5,"1.3～1.4",IF(AO3936&lt;2,"1.5～1.9","2.0以上"))))))</f>
        <v/>
      </c>
      <c r="AQ3936" s="8" t="str">
        <f aca="false">IF(A3936="","",IF(ISNUMBER(SEARCH("2歳",Z3936)),"2歳戦",IF(ISNUMBER(SEARCH("3歳未勝利",Z3936)),"3歳未勝利",IF(ISNUMBER(SEARCH("未勝利",Z3936)),"その他未勝利",IF(ISNUMBER(SEARCH("G1",Z3936)),"G1",IF(ISNUMBER(SEARCH("G2",Z3936)),"G2",IF(ISNUMBER(SEARCH("G3",Z3936)),"G3",IF(ISNUMBER(SEARCH("古馬条件",Z3936)),"古馬条件戦",IF(ISNUMBER(SEARCH("重賞",Z3936)),"重賞","分類不能")))))))))</f>
        <v/>
      </c>
    </row>
    <row r="3937" customFormat="false" ht="15.75" hidden="false" customHeight="false" outlineLevel="0" collapsed="false">
      <c r="AO3937" s="8" t="str">
        <f aca="false">IF(A3937="","",IF(COUNTIFS(全馬データ!$A$2:$A$50000,A3937,全馬データ!$B$2:$B$50000,B3937,全馬データ!$C$2:$C$50000,C3937,全馬データ!$D$2:$D$50000,E3937,全馬データ!$K$2:$K$50000,"&lt;&gt;")=0,"",SUMIFS(全馬データ!$K$2:$K$50000,全馬データ!$A$2:$A$50000,A3937,全馬データ!$B$2:$B$50000,B3937,全馬データ!$C$2:$C$50000,C3937,全馬データ!$D$2:$D$50000,E3937)))</f>
        <v/>
      </c>
      <c r="AP3937" s="8" t="str">
        <f aca="false">IF(A3937="","",IF(AO3937="","欠損",IF(AO3937&lt;=1.1,"1.0～1.1",IF(AO3937&lt;1.3,"1.2",IF(AO3937&lt;1.5,"1.3～1.4",IF(AO3937&lt;2,"1.5～1.9","2.0以上"))))))</f>
        <v/>
      </c>
      <c r="AQ3937" s="8" t="str">
        <f aca="false">IF(A3937="","",IF(ISNUMBER(SEARCH("2歳",Z3937)),"2歳戦",IF(ISNUMBER(SEARCH("3歳未勝利",Z3937)),"3歳未勝利",IF(ISNUMBER(SEARCH("未勝利",Z3937)),"その他未勝利",IF(ISNUMBER(SEARCH("G1",Z3937)),"G1",IF(ISNUMBER(SEARCH("G2",Z3937)),"G2",IF(ISNUMBER(SEARCH("G3",Z3937)),"G3",IF(ISNUMBER(SEARCH("古馬条件",Z3937)),"古馬条件戦",IF(ISNUMBER(SEARCH("重賞",Z3937)),"重賞","分類不能")))))))))</f>
        <v/>
      </c>
    </row>
    <row r="3938" customFormat="false" ht="15.75" hidden="false" customHeight="false" outlineLevel="0" collapsed="false">
      <c r="AO3938" s="8" t="str">
        <f aca="false">IF(A3938="","",IF(COUNTIFS(全馬データ!$A$2:$A$50000,A3938,全馬データ!$B$2:$B$50000,B3938,全馬データ!$C$2:$C$50000,C3938,全馬データ!$D$2:$D$50000,E3938,全馬データ!$K$2:$K$50000,"&lt;&gt;")=0,"",SUMIFS(全馬データ!$K$2:$K$50000,全馬データ!$A$2:$A$50000,A3938,全馬データ!$B$2:$B$50000,B3938,全馬データ!$C$2:$C$50000,C3938,全馬データ!$D$2:$D$50000,E3938)))</f>
        <v/>
      </c>
      <c r="AP3938" s="8" t="str">
        <f aca="false">IF(A3938="","",IF(AO3938="","欠損",IF(AO3938&lt;=1.1,"1.0～1.1",IF(AO3938&lt;1.3,"1.2",IF(AO3938&lt;1.5,"1.3～1.4",IF(AO3938&lt;2,"1.5～1.9","2.0以上"))))))</f>
        <v/>
      </c>
      <c r="AQ3938" s="8" t="str">
        <f aca="false">IF(A3938="","",IF(ISNUMBER(SEARCH("2歳",Z3938)),"2歳戦",IF(ISNUMBER(SEARCH("3歳未勝利",Z3938)),"3歳未勝利",IF(ISNUMBER(SEARCH("未勝利",Z3938)),"その他未勝利",IF(ISNUMBER(SEARCH("G1",Z3938)),"G1",IF(ISNUMBER(SEARCH("G2",Z3938)),"G2",IF(ISNUMBER(SEARCH("G3",Z3938)),"G3",IF(ISNUMBER(SEARCH("古馬条件",Z3938)),"古馬条件戦",IF(ISNUMBER(SEARCH("重賞",Z3938)),"重賞","分類不能")))))))))</f>
        <v/>
      </c>
    </row>
    <row r="3939" customFormat="false" ht="15.75" hidden="false" customHeight="false" outlineLevel="0" collapsed="false">
      <c r="AO3939" s="8" t="str">
        <f aca="false">IF(A3939="","",IF(COUNTIFS(全馬データ!$A$2:$A$50000,A3939,全馬データ!$B$2:$B$50000,B3939,全馬データ!$C$2:$C$50000,C3939,全馬データ!$D$2:$D$50000,E3939,全馬データ!$K$2:$K$50000,"&lt;&gt;")=0,"",SUMIFS(全馬データ!$K$2:$K$50000,全馬データ!$A$2:$A$50000,A3939,全馬データ!$B$2:$B$50000,B3939,全馬データ!$C$2:$C$50000,C3939,全馬データ!$D$2:$D$50000,E3939)))</f>
        <v/>
      </c>
      <c r="AP3939" s="8" t="str">
        <f aca="false">IF(A3939="","",IF(AO3939="","欠損",IF(AO3939&lt;=1.1,"1.0～1.1",IF(AO3939&lt;1.3,"1.2",IF(AO3939&lt;1.5,"1.3～1.4",IF(AO3939&lt;2,"1.5～1.9","2.0以上"))))))</f>
        <v/>
      </c>
      <c r="AQ3939" s="8" t="str">
        <f aca="false">IF(A3939="","",IF(ISNUMBER(SEARCH("2歳",Z3939)),"2歳戦",IF(ISNUMBER(SEARCH("3歳未勝利",Z3939)),"3歳未勝利",IF(ISNUMBER(SEARCH("未勝利",Z3939)),"その他未勝利",IF(ISNUMBER(SEARCH("G1",Z3939)),"G1",IF(ISNUMBER(SEARCH("G2",Z3939)),"G2",IF(ISNUMBER(SEARCH("G3",Z3939)),"G3",IF(ISNUMBER(SEARCH("古馬条件",Z3939)),"古馬条件戦",IF(ISNUMBER(SEARCH("重賞",Z3939)),"重賞","分類不能")))))))))</f>
        <v/>
      </c>
    </row>
    <row r="3940" customFormat="false" ht="15.75" hidden="false" customHeight="false" outlineLevel="0" collapsed="false">
      <c r="AO3940" s="8" t="str">
        <f aca="false">IF(A3940="","",IF(COUNTIFS(全馬データ!$A$2:$A$50000,A3940,全馬データ!$B$2:$B$50000,B3940,全馬データ!$C$2:$C$50000,C3940,全馬データ!$D$2:$D$50000,E3940,全馬データ!$K$2:$K$50000,"&lt;&gt;")=0,"",SUMIFS(全馬データ!$K$2:$K$50000,全馬データ!$A$2:$A$50000,A3940,全馬データ!$B$2:$B$50000,B3940,全馬データ!$C$2:$C$50000,C3940,全馬データ!$D$2:$D$50000,E3940)))</f>
        <v/>
      </c>
      <c r="AP3940" s="8" t="str">
        <f aca="false">IF(A3940="","",IF(AO3940="","欠損",IF(AO3940&lt;=1.1,"1.0～1.1",IF(AO3940&lt;1.3,"1.2",IF(AO3940&lt;1.5,"1.3～1.4",IF(AO3940&lt;2,"1.5～1.9","2.0以上"))))))</f>
        <v/>
      </c>
      <c r="AQ3940" s="8" t="str">
        <f aca="false">IF(A3940="","",IF(ISNUMBER(SEARCH("2歳",Z3940)),"2歳戦",IF(ISNUMBER(SEARCH("3歳未勝利",Z3940)),"3歳未勝利",IF(ISNUMBER(SEARCH("未勝利",Z3940)),"その他未勝利",IF(ISNUMBER(SEARCH("G1",Z3940)),"G1",IF(ISNUMBER(SEARCH("G2",Z3940)),"G2",IF(ISNUMBER(SEARCH("G3",Z3940)),"G3",IF(ISNUMBER(SEARCH("古馬条件",Z3940)),"古馬条件戦",IF(ISNUMBER(SEARCH("重賞",Z3940)),"重賞","分類不能")))))))))</f>
        <v/>
      </c>
    </row>
    <row r="3941" customFormat="false" ht="15.75" hidden="false" customHeight="false" outlineLevel="0" collapsed="false">
      <c r="AO3941" s="8" t="str">
        <f aca="false">IF(A3941="","",IF(COUNTIFS(全馬データ!$A$2:$A$50000,A3941,全馬データ!$B$2:$B$50000,B3941,全馬データ!$C$2:$C$50000,C3941,全馬データ!$D$2:$D$50000,E3941,全馬データ!$K$2:$K$50000,"&lt;&gt;")=0,"",SUMIFS(全馬データ!$K$2:$K$50000,全馬データ!$A$2:$A$50000,A3941,全馬データ!$B$2:$B$50000,B3941,全馬データ!$C$2:$C$50000,C3941,全馬データ!$D$2:$D$50000,E3941)))</f>
        <v/>
      </c>
      <c r="AP3941" s="8" t="str">
        <f aca="false">IF(A3941="","",IF(AO3941="","欠損",IF(AO3941&lt;=1.1,"1.0～1.1",IF(AO3941&lt;1.3,"1.2",IF(AO3941&lt;1.5,"1.3～1.4",IF(AO3941&lt;2,"1.5～1.9","2.0以上"))))))</f>
        <v/>
      </c>
      <c r="AQ3941" s="8" t="str">
        <f aca="false">IF(A3941="","",IF(ISNUMBER(SEARCH("2歳",Z3941)),"2歳戦",IF(ISNUMBER(SEARCH("3歳未勝利",Z3941)),"3歳未勝利",IF(ISNUMBER(SEARCH("未勝利",Z3941)),"その他未勝利",IF(ISNUMBER(SEARCH("G1",Z3941)),"G1",IF(ISNUMBER(SEARCH("G2",Z3941)),"G2",IF(ISNUMBER(SEARCH("G3",Z3941)),"G3",IF(ISNUMBER(SEARCH("古馬条件",Z3941)),"古馬条件戦",IF(ISNUMBER(SEARCH("重賞",Z3941)),"重賞","分類不能")))))))))</f>
        <v/>
      </c>
    </row>
    <row r="3942" customFormat="false" ht="15.75" hidden="false" customHeight="false" outlineLevel="0" collapsed="false">
      <c r="AO3942" s="8" t="str">
        <f aca="false">IF(A3942="","",IF(COUNTIFS(全馬データ!$A$2:$A$50000,A3942,全馬データ!$B$2:$B$50000,B3942,全馬データ!$C$2:$C$50000,C3942,全馬データ!$D$2:$D$50000,E3942,全馬データ!$K$2:$K$50000,"&lt;&gt;")=0,"",SUMIFS(全馬データ!$K$2:$K$50000,全馬データ!$A$2:$A$50000,A3942,全馬データ!$B$2:$B$50000,B3942,全馬データ!$C$2:$C$50000,C3942,全馬データ!$D$2:$D$50000,E3942)))</f>
        <v/>
      </c>
      <c r="AP3942" s="8" t="str">
        <f aca="false">IF(A3942="","",IF(AO3942="","欠損",IF(AO3942&lt;=1.1,"1.0～1.1",IF(AO3942&lt;1.3,"1.2",IF(AO3942&lt;1.5,"1.3～1.4",IF(AO3942&lt;2,"1.5～1.9","2.0以上"))))))</f>
        <v/>
      </c>
      <c r="AQ3942" s="8" t="str">
        <f aca="false">IF(A3942="","",IF(ISNUMBER(SEARCH("2歳",Z3942)),"2歳戦",IF(ISNUMBER(SEARCH("3歳未勝利",Z3942)),"3歳未勝利",IF(ISNUMBER(SEARCH("未勝利",Z3942)),"その他未勝利",IF(ISNUMBER(SEARCH("G1",Z3942)),"G1",IF(ISNUMBER(SEARCH("G2",Z3942)),"G2",IF(ISNUMBER(SEARCH("G3",Z3942)),"G3",IF(ISNUMBER(SEARCH("古馬条件",Z3942)),"古馬条件戦",IF(ISNUMBER(SEARCH("重賞",Z3942)),"重賞","分類不能")))))))))</f>
        <v/>
      </c>
    </row>
    <row r="3943" customFormat="false" ht="15.75" hidden="false" customHeight="false" outlineLevel="0" collapsed="false">
      <c r="AO3943" s="8" t="str">
        <f aca="false">IF(A3943="","",IF(COUNTIFS(全馬データ!$A$2:$A$50000,A3943,全馬データ!$B$2:$B$50000,B3943,全馬データ!$C$2:$C$50000,C3943,全馬データ!$D$2:$D$50000,E3943,全馬データ!$K$2:$K$50000,"&lt;&gt;")=0,"",SUMIFS(全馬データ!$K$2:$K$50000,全馬データ!$A$2:$A$50000,A3943,全馬データ!$B$2:$B$50000,B3943,全馬データ!$C$2:$C$50000,C3943,全馬データ!$D$2:$D$50000,E3943)))</f>
        <v/>
      </c>
      <c r="AP3943" s="8" t="str">
        <f aca="false">IF(A3943="","",IF(AO3943="","欠損",IF(AO3943&lt;=1.1,"1.0～1.1",IF(AO3943&lt;1.3,"1.2",IF(AO3943&lt;1.5,"1.3～1.4",IF(AO3943&lt;2,"1.5～1.9","2.0以上"))))))</f>
        <v/>
      </c>
      <c r="AQ3943" s="8" t="str">
        <f aca="false">IF(A3943="","",IF(ISNUMBER(SEARCH("2歳",Z3943)),"2歳戦",IF(ISNUMBER(SEARCH("3歳未勝利",Z3943)),"3歳未勝利",IF(ISNUMBER(SEARCH("未勝利",Z3943)),"その他未勝利",IF(ISNUMBER(SEARCH("G1",Z3943)),"G1",IF(ISNUMBER(SEARCH("G2",Z3943)),"G2",IF(ISNUMBER(SEARCH("G3",Z3943)),"G3",IF(ISNUMBER(SEARCH("古馬条件",Z3943)),"古馬条件戦",IF(ISNUMBER(SEARCH("重賞",Z3943)),"重賞","分類不能")))))))))</f>
        <v/>
      </c>
    </row>
    <row r="3944" customFormat="false" ht="15.75" hidden="false" customHeight="false" outlineLevel="0" collapsed="false">
      <c r="AO3944" s="8" t="str">
        <f aca="false">IF(A3944="","",IF(COUNTIFS(全馬データ!$A$2:$A$50000,A3944,全馬データ!$B$2:$B$50000,B3944,全馬データ!$C$2:$C$50000,C3944,全馬データ!$D$2:$D$50000,E3944,全馬データ!$K$2:$K$50000,"&lt;&gt;")=0,"",SUMIFS(全馬データ!$K$2:$K$50000,全馬データ!$A$2:$A$50000,A3944,全馬データ!$B$2:$B$50000,B3944,全馬データ!$C$2:$C$50000,C3944,全馬データ!$D$2:$D$50000,E3944)))</f>
        <v/>
      </c>
      <c r="AP3944" s="8" t="str">
        <f aca="false">IF(A3944="","",IF(AO3944="","欠損",IF(AO3944&lt;=1.1,"1.0～1.1",IF(AO3944&lt;1.3,"1.2",IF(AO3944&lt;1.5,"1.3～1.4",IF(AO3944&lt;2,"1.5～1.9","2.0以上"))))))</f>
        <v/>
      </c>
      <c r="AQ3944" s="8" t="str">
        <f aca="false">IF(A3944="","",IF(ISNUMBER(SEARCH("2歳",Z3944)),"2歳戦",IF(ISNUMBER(SEARCH("3歳未勝利",Z3944)),"3歳未勝利",IF(ISNUMBER(SEARCH("未勝利",Z3944)),"その他未勝利",IF(ISNUMBER(SEARCH("G1",Z3944)),"G1",IF(ISNUMBER(SEARCH("G2",Z3944)),"G2",IF(ISNUMBER(SEARCH("G3",Z3944)),"G3",IF(ISNUMBER(SEARCH("古馬条件",Z3944)),"古馬条件戦",IF(ISNUMBER(SEARCH("重賞",Z3944)),"重賞","分類不能")))))))))</f>
        <v/>
      </c>
    </row>
    <row r="3945" customFormat="false" ht="15.75" hidden="false" customHeight="false" outlineLevel="0" collapsed="false">
      <c r="AO3945" s="8" t="str">
        <f aca="false">IF(A3945="","",IF(COUNTIFS(全馬データ!$A$2:$A$50000,A3945,全馬データ!$B$2:$B$50000,B3945,全馬データ!$C$2:$C$50000,C3945,全馬データ!$D$2:$D$50000,E3945,全馬データ!$K$2:$K$50000,"&lt;&gt;")=0,"",SUMIFS(全馬データ!$K$2:$K$50000,全馬データ!$A$2:$A$50000,A3945,全馬データ!$B$2:$B$50000,B3945,全馬データ!$C$2:$C$50000,C3945,全馬データ!$D$2:$D$50000,E3945)))</f>
        <v/>
      </c>
      <c r="AP3945" s="8" t="str">
        <f aca="false">IF(A3945="","",IF(AO3945="","欠損",IF(AO3945&lt;=1.1,"1.0～1.1",IF(AO3945&lt;1.3,"1.2",IF(AO3945&lt;1.5,"1.3～1.4",IF(AO3945&lt;2,"1.5～1.9","2.0以上"))))))</f>
        <v/>
      </c>
      <c r="AQ3945" s="8" t="str">
        <f aca="false">IF(A3945="","",IF(ISNUMBER(SEARCH("2歳",Z3945)),"2歳戦",IF(ISNUMBER(SEARCH("3歳未勝利",Z3945)),"3歳未勝利",IF(ISNUMBER(SEARCH("未勝利",Z3945)),"その他未勝利",IF(ISNUMBER(SEARCH("G1",Z3945)),"G1",IF(ISNUMBER(SEARCH("G2",Z3945)),"G2",IF(ISNUMBER(SEARCH("G3",Z3945)),"G3",IF(ISNUMBER(SEARCH("古馬条件",Z3945)),"古馬条件戦",IF(ISNUMBER(SEARCH("重賞",Z3945)),"重賞","分類不能")))))))))</f>
        <v/>
      </c>
    </row>
    <row r="3946" customFormat="false" ht="15.75" hidden="false" customHeight="false" outlineLevel="0" collapsed="false">
      <c r="AO3946" s="8" t="str">
        <f aca="false">IF(A3946="","",IF(COUNTIFS(全馬データ!$A$2:$A$50000,A3946,全馬データ!$B$2:$B$50000,B3946,全馬データ!$C$2:$C$50000,C3946,全馬データ!$D$2:$D$50000,E3946,全馬データ!$K$2:$K$50000,"&lt;&gt;")=0,"",SUMIFS(全馬データ!$K$2:$K$50000,全馬データ!$A$2:$A$50000,A3946,全馬データ!$B$2:$B$50000,B3946,全馬データ!$C$2:$C$50000,C3946,全馬データ!$D$2:$D$50000,E3946)))</f>
        <v/>
      </c>
      <c r="AP3946" s="8" t="str">
        <f aca="false">IF(A3946="","",IF(AO3946="","欠損",IF(AO3946&lt;=1.1,"1.0～1.1",IF(AO3946&lt;1.3,"1.2",IF(AO3946&lt;1.5,"1.3～1.4",IF(AO3946&lt;2,"1.5～1.9","2.0以上"))))))</f>
        <v/>
      </c>
      <c r="AQ3946" s="8" t="str">
        <f aca="false">IF(A3946="","",IF(ISNUMBER(SEARCH("2歳",Z3946)),"2歳戦",IF(ISNUMBER(SEARCH("3歳未勝利",Z3946)),"3歳未勝利",IF(ISNUMBER(SEARCH("未勝利",Z3946)),"その他未勝利",IF(ISNUMBER(SEARCH("G1",Z3946)),"G1",IF(ISNUMBER(SEARCH("G2",Z3946)),"G2",IF(ISNUMBER(SEARCH("G3",Z3946)),"G3",IF(ISNUMBER(SEARCH("古馬条件",Z3946)),"古馬条件戦",IF(ISNUMBER(SEARCH("重賞",Z3946)),"重賞","分類不能")))))))))</f>
        <v/>
      </c>
    </row>
    <row r="3947" customFormat="false" ht="15.75" hidden="false" customHeight="false" outlineLevel="0" collapsed="false">
      <c r="AO3947" s="8" t="str">
        <f aca="false">IF(A3947="","",IF(COUNTIFS(全馬データ!$A$2:$A$50000,A3947,全馬データ!$B$2:$B$50000,B3947,全馬データ!$C$2:$C$50000,C3947,全馬データ!$D$2:$D$50000,E3947,全馬データ!$K$2:$K$50000,"&lt;&gt;")=0,"",SUMIFS(全馬データ!$K$2:$K$50000,全馬データ!$A$2:$A$50000,A3947,全馬データ!$B$2:$B$50000,B3947,全馬データ!$C$2:$C$50000,C3947,全馬データ!$D$2:$D$50000,E3947)))</f>
        <v/>
      </c>
      <c r="AP3947" s="8" t="str">
        <f aca="false">IF(A3947="","",IF(AO3947="","欠損",IF(AO3947&lt;=1.1,"1.0～1.1",IF(AO3947&lt;1.3,"1.2",IF(AO3947&lt;1.5,"1.3～1.4",IF(AO3947&lt;2,"1.5～1.9","2.0以上"))))))</f>
        <v/>
      </c>
      <c r="AQ3947" s="8" t="str">
        <f aca="false">IF(A3947="","",IF(ISNUMBER(SEARCH("2歳",Z3947)),"2歳戦",IF(ISNUMBER(SEARCH("3歳未勝利",Z3947)),"3歳未勝利",IF(ISNUMBER(SEARCH("未勝利",Z3947)),"その他未勝利",IF(ISNUMBER(SEARCH("G1",Z3947)),"G1",IF(ISNUMBER(SEARCH("G2",Z3947)),"G2",IF(ISNUMBER(SEARCH("G3",Z3947)),"G3",IF(ISNUMBER(SEARCH("古馬条件",Z3947)),"古馬条件戦",IF(ISNUMBER(SEARCH("重賞",Z3947)),"重賞","分類不能")))))))))</f>
        <v/>
      </c>
    </row>
    <row r="3948" customFormat="false" ht="15.75" hidden="false" customHeight="false" outlineLevel="0" collapsed="false">
      <c r="AO3948" s="8" t="str">
        <f aca="false">IF(A3948="","",IF(COUNTIFS(全馬データ!$A$2:$A$50000,A3948,全馬データ!$B$2:$B$50000,B3948,全馬データ!$C$2:$C$50000,C3948,全馬データ!$D$2:$D$50000,E3948,全馬データ!$K$2:$K$50000,"&lt;&gt;")=0,"",SUMIFS(全馬データ!$K$2:$K$50000,全馬データ!$A$2:$A$50000,A3948,全馬データ!$B$2:$B$50000,B3948,全馬データ!$C$2:$C$50000,C3948,全馬データ!$D$2:$D$50000,E3948)))</f>
        <v/>
      </c>
      <c r="AP3948" s="8" t="str">
        <f aca="false">IF(A3948="","",IF(AO3948="","欠損",IF(AO3948&lt;=1.1,"1.0～1.1",IF(AO3948&lt;1.3,"1.2",IF(AO3948&lt;1.5,"1.3～1.4",IF(AO3948&lt;2,"1.5～1.9","2.0以上"))))))</f>
        <v/>
      </c>
      <c r="AQ3948" s="8" t="str">
        <f aca="false">IF(A3948="","",IF(ISNUMBER(SEARCH("2歳",Z3948)),"2歳戦",IF(ISNUMBER(SEARCH("3歳未勝利",Z3948)),"3歳未勝利",IF(ISNUMBER(SEARCH("未勝利",Z3948)),"その他未勝利",IF(ISNUMBER(SEARCH("G1",Z3948)),"G1",IF(ISNUMBER(SEARCH("G2",Z3948)),"G2",IF(ISNUMBER(SEARCH("G3",Z3948)),"G3",IF(ISNUMBER(SEARCH("古馬条件",Z3948)),"古馬条件戦",IF(ISNUMBER(SEARCH("重賞",Z3948)),"重賞","分類不能")))))))))</f>
        <v/>
      </c>
    </row>
    <row r="3949" customFormat="false" ht="15.75" hidden="false" customHeight="false" outlineLevel="0" collapsed="false">
      <c r="AO3949" s="8" t="str">
        <f aca="false">IF(A3949="","",IF(COUNTIFS(全馬データ!$A$2:$A$50000,A3949,全馬データ!$B$2:$B$50000,B3949,全馬データ!$C$2:$C$50000,C3949,全馬データ!$D$2:$D$50000,E3949,全馬データ!$K$2:$K$50000,"&lt;&gt;")=0,"",SUMIFS(全馬データ!$K$2:$K$50000,全馬データ!$A$2:$A$50000,A3949,全馬データ!$B$2:$B$50000,B3949,全馬データ!$C$2:$C$50000,C3949,全馬データ!$D$2:$D$50000,E3949)))</f>
        <v/>
      </c>
      <c r="AP3949" s="8" t="str">
        <f aca="false">IF(A3949="","",IF(AO3949="","欠損",IF(AO3949&lt;=1.1,"1.0～1.1",IF(AO3949&lt;1.3,"1.2",IF(AO3949&lt;1.5,"1.3～1.4",IF(AO3949&lt;2,"1.5～1.9","2.0以上"))))))</f>
        <v/>
      </c>
      <c r="AQ3949" s="8" t="str">
        <f aca="false">IF(A3949="","",IF(ISNUMBER(SEARCH("2歳",Z3949)),"2歳戦",IF(ISNUMBER(SEARCH("3歳未勝利",Z3949)),"3歳未勝利",IF(ISNUMBER(SEARCH("未勝利",Z3949)),"その他未勝利",IF(ISNUMBER(SEARCH("G1",Z3949)),"G1",IF(ISNUMBER(SEARCH("G2",Z3949)),"G2",IF(ISNUMBER(SEARCH("G3",Z3949)),"G3",IF(ISNUMBER(SEARCH("古馬条件",Z3949)),"古馬条件戦",IF(ISNUMBER(SEARCH("重賞",Z3949)),"重賞","分類不能")))))))))</f>
        <v/>
      </c>
    </row>
    <row r="3950" customFormat="false" ht="15.75" hidden="false" customHeight="false" outlineLevel="0" collapsed="false">
      <c r="AO3950" s="8" t="str">
        <f aca="false">IF(A3950="","",IF(COUNTIFS(全馬データ!$A$2:$A$50000,A3950,全馬データ!$B$2:$B$50000,B3950,全馬データ!$C$2:$C$50000,C3950,全馬データ!$D$2:$D$50000,E3950,全馬データ!$K$2:$K$50000,"&lt;&gt;")=0,"",SUMIFS(全馬データ!$K$2:$K$50000,全馬データ!$A$2:$A$50000,A3950,全馬データ!$B$2:$B$50000,B3950,全馬データ!$C$2:$C$50000,C3950,全馬データ!$D$2:$D$50000,E3950)))</f>
        <v/>
      </c>
      <c r="AP3950" s="8" t="str">
        <f aca="false">IF(A3950="","",IF(AO3950="","欠損",IF(AO3950&lt;=1.1,"1.0～1.1",IF(AO3950&lt;1.3,"1.2",IF(AO3950&lt;1.5,"1.3～1.4",IF(AO3950&lt;2,"1.5～1.9","2.0以上"))))))</f>
        <v/>
      </c>
      <c r="AQ3950" s="8" t="str">
        <f aca="false">IF(A3950="","",IF(ISNUMBER(SEARCH("2歳",Z3950)),"2歳戦",IF(ISNUMBER(SEARCH("3歳未勝利",Z3950)),"3歳未勝利",IF(ISNUMBER(SEARCH("未勝利",Z3950)),"その他未勝利",IF(ISNUMBER(SEARCH("G1",Z3950)),"G1",IF(ISNUMBER(SEARCH("G2",Z3950)),"G2",IF(ISNUMBER(SEARCH("G3",Z3950)),"G3",IF(ISNUMBER(SEARCH("古馬条件",Z3950)),"古馬条件戦",IF(ISNUMBER(SEARCH("重賞",Z3950)),"重賞","分類不能")))))))))</f>
        <v/>
      </c>
    </row>
    <row r="3951" customFormat="false" ht="15.75" hidden="false" customHeight="false" outlineLevel="0" collapsed="false">
      <c r="AO3951" s="8" t="str">
        <f aca="false">IF(A3951="","",IF(COUNTIFS(全馬データ!$A$2:$A$50000,A3951,全馬データ!$B$2:$B$50000,B3951,全馬データ!$C$2:$C$50000,C3951,全馬データ!$D$2:$D$50000,E3951,全馬データ!$K$2:$K$50000,"&lt;&gt;")=0,"",SUMIFS(全馬データ!$K$2:$K$50000,全馬データ!$A$2:$A$50000,A3951,全馬データ!$B$2:$B$50000,B3951,全馬データ!$C$2:$C$50000,C3951,全馬データ!$D$2:$D$50000,E3951)))</f>
        <v/>
      </c>
      <c r="AP3951" s="8" t="str">
        <f aca="false">IF(A3951="","",IF(AO3951="","欠損",IF(AO3951&lt;=1.1,"1.0～1.1",IF(AO3951&lt;1.3,"1.2",IF(AO3951&lt;1.5,"1.3～1.4",IF(AO3951&lt;2,"1.5～1.9","2.0以上"))))))</f>
        <v/>
      </c>
      <c r="AQ3951" s="8" t="str">
        <f aca="false">IF(A3951="","",IF(ISNUMBER(SEARCH("2歳",Z3951)),"2歳戦",IF(ISNUMBER(SEARCH("3歳未勝利",Z3951)),"3歳未勝利",IF(ISNUMBER(SEARCH("未勝利",Z3951)),"その他未勝利",IF(ISNUMBER(SEARCH("G1",Z3951)),"G1",IF(ISNUMBER(SEARCH("G2",Z3951)),"G2",IF(ISNUMBER(SEARCH("G3",Z3951)),"G3",IF(ISNUMBER(SEARCH("古馬条件",Z3951)),"古馬条件戦",IF(ISNUMBER(SEARCH("重賞",Z3951)),"重賞","分類不能")))))))))</f>
        <v/>
      </c>
    </row>
    <row r="3952" customFormat="false" ht="15.75" hidden="false" customHeight="false" outlineLevel="0" collapsed="false">
      <c r="AO3952" s="8" t="str">
        <f aca="false">IF(A3952="","",IF(COUNTIFS(全馬データ!$A$2:$A$50000,A3952,全馬データ!$B$2:$B$50000,B3952,全馬データ!$C$2:$C$50000,C3952,全馬データ!$D$2:$D$50000,E3952,全馬データ!$K$2:$K$50000,"&lt;&gt;")=0,"",SUMIFS(全馬データ!$K$2:$K$50000,全馬データ!$A$2:$A$50000,A3952,全馬データ!$B$2:$B$50000,B3952,全馬データ!$C$2:$C$50000,C3952,全馬データ!$D$2:$D$50000,E3952)))</f>
        <v/>
      </c>
      <c r="AP3952" s="8" t="str">
        <f aca="false">IF(A3952="","",IF(AO3952="","欠損",IF(AO3952&lt;=1.1,"1.0～1.1",IF(AO3952&lt;1.3,"1.2",IF(AO3952&lt;1.5,"1.3～1.4",IF(AO3952&lt;2,"1.5～1.9","2.0以上"))))))</f>
        <v/>
      </c>
      <c r="AQ3952" s="8" t="str">
        <f aca="false">IF(A3952="","",IF(ISNUMBER(SEARCH("2歳",Z3952)),"2歳戦",IF(ISNUMBER(SEARCH("3歳未勝利",Z3952)),"3歳未勝利",IF(ISNUMBER(SEARCH("未勝利",Z3952)),"その他未勝利",IF(ISNUMBER(SEARCH("G1",Z3952)),"G1",IF(ISNUMBER(SEARCH("G2",Z3952)),"G2",IF(ISNUMBER(SEARCH("G3",Z3952)),"G3",IF(ISNUMBER(SEARCH("古馬条件",Z3952)),"古馬条件戦",IF(ISNUMBER(SEARCH("重賞",Z3952)),"重賞","分類不能")))))))))</f>
        <v/>
      </c>
    </row>
    <row r="3953" customFormat="false" ht="15.75" hidden="false" customHeight="false" outlineLevel="0" collapsed="false">
      <c r="AO3953" s="8" t="str">
        <f aca="false">IF(A3953="","",IF(COUNTIFS(全馬データ!$A$2:$A$50000,A3953,全馬データ!$B$2:$B$50000,B3953,全馬データ!$C$2:$C$50000,C3953,全馬データ!$D$2:$D$50000,E3953,全馬データ!$K$2:$K$50000,"&lt;&gt;")=0,"",SUMIFS(全馬データ!$K$2:$K$50000,全馬データ!$A$2:$A$50000,A3953,全馬データ!$B$2:$B$50000,B3953,全馬データ!$C$2:$C$50000,C3953,全馬データ!$D$2:$D$50000,E3953)))</f>
        <v/>
      </c>
      <c r="AP3953" s="8" t="str">
        <f aca="false">IF(A3953="","",IF(AO3953="","欠損",IF(AO3953&lt;=1.1,"1.0～1.1",IF(AO3953&lt;1.3,"1.2",IF(AO3953&lt;1.5,"1.3～1.4",IF(AO3953&lt;2,"1.5～1.9","2.0以上"))))))</f>
        <v/>
      </c>
      <c r="AQ3953" s="8" t="str">
        <f aca="false">IF(A3953="","",IF(ISNUMBER(SEARCH("2歳",Z3953)),"2歳戦",IF(ISNUMBER(SEARCH("3歳未勝利",Z3953)),"3歳未勝利",IF(ISNUMBER(SEARCH("未勝利",Z3953)),"その他未勝利",IF(ISNUMBER(SEARCH("G1",Z3953)),"G1",IF(ISNUMBER(SEARCH("G2",Z3953)),"G2",IF(ISNUMBER(SEARCH("G3",Z3953)),"G3",IF(ISNUMBER(SEARCH("古馬条件",Z3953)),"古馬条件戦",IF(ISNUMBER(SEARCH("重賞",Z3953)),"重賞","分類不能")))))))))</f>
        <v/>
      </c>
    </row>
    <row r="3954" customFormat="false" ht="15.75" hidden="false" customHeight="false" outlineLevel="0" collapsed="false">
      <c r="AO3954" s="8" t="str">
        <f aca="false">IF(A3954="","",IF(COUNTIFS(全馬データ!$A$2:$A$50000,A3954,全馬データ!$B$2:$B$50000,B3954,全馬データ!$C$2:$C$50000,C3954,全馬データ!$D$2:$D$50000,E3954,全馬データ!$K$2:$K$50000,"&lt;&gt;")=0,"",SUMIFS(全馬データ!$K$2:$K$50000,全馬データ!$A$2:$A$50000,A3954,全馬データ!$B$2:$B$50000,B3954,全馬データ!$C$2:$C$50000,C3954,全馬データ!$D$2:$D$50000,E3954)))</f>
        <v/>
      </c>
      <c r="AP3954" s="8" t="str">
        <f aca="false">IF(A3954="","",IF(AO3954="","欠損",IF(AO3954&lt;=1.1,"1.0～1.1",IF(AO3954&lt;1.3,"1.2",IF(AO3954&lt;1.5,"1.3～1.4",IF(AO3954&lt;2,"1.5～1.9","2.0以上"))))))</f>
        <v/>
      </c>
      <c r="AQ3954" s="8" t="str">
        <f aca="false">IF(A3954="","",IF(ISNUMBER(SEARCH("2歳",Z3954)),"2歳戦",IF(ISNUMBER(SEARCH("3歳未勝利",Z3954)),"3歳未勝利",IF(ISNUMBER(SEARCH("未勝利",Z3954)),"その他未勝利",IF(ISNUMBER(SEARCH("G1",Z3954)),"G1",IF(ISNUMBER(SEARCH("G2",Z3954)),"G2",IF(ISNUMBER(SEARCH("G3",Z3954)),"G3",IF(ISNUMBER(SEARCH("古馬条件",Z3954)),"古馬条件戦",IF(ISNUMBER(SEARCH("重賞",Z3954)),"重賞","分類不能")))))))))</f>
        <v/>
      </c>
    </row>
    <row r="3955" customFormat="false" ht="15.75" hidden="false" customHeight="false" outlineLevel="0" collapsed="false">
      <c r="AO3955" s="8" t="str">
        <f aca="false">IF(A3955="","",IF(COUNTIFS(全馬データ!$A$2:$A$50000,A3955,全馬データ!$B$2:$B$50000,B3955,全馬データ!$C$2:$C$50000,C3955,全馬データ!$D$2:$D$50000,E3955,全馬データ!$K$2:$K$50000,"&lt;&gt;")=0,"",SUMIFS(全馬データ!$K$2:$K$50000,全馬データ!$A$2:$A$50000,A3955,全馬データ!$B$2:$B$50000,B3955,全馬データ!$C$2:$C$50000,C3955,全馬データ!$D$2:$D$50000,E3955)))</f>
        <v/>
      </c>
      <c r="AP3955" s="8" t="str">
        <f aca="false">IF(A3955="","",IF(AO3955="","欠損",IF(AO3955&lt;=1.1,"1.0～1.1",IF(AO3955&lt;1.3,"1.2",IF(AO3955&lt;1.5,"1.3～1.4",IF(AO3955&lt;2,"1.5～1.9","2.0以上"))))))</f>
        <v/>
      </c>
      <c r="AQ3955" s="8" t="str">
        <f aca="false">IF(A3955="","",IF(ISNUMBER(SEARCH("2歳",Z3955)),"2歳戦",IF(ISNUMBER(SEARCH("3歳未勝利",Z3955)),"3歳未勝利",IF(ISNUMBER(SEARCH("未勝利",Z3955)),"その他未勝利",IF(ISNUMBER(SEARCH("G1",Z3955)),"G1",IF(ISNUMBER(SEARCH("G2",Z3955)),"G2",IF(ISNUMBER(SEARCH("G3",Z3955)),"G3",IF(ISNUMBER(SEARCH("古馬条件",Z3955)),"古馬条件戦",IF(ISNUMBER(SEARCH("重賞",Z3955)),"重賞","分類不能")))))))))</f>
        <v/>
      </c>
    </row>
    <row r="3956" customFormat="false" ht="15.75" hidden="false" customHeight="false" outlineLevel="0" collapsed="false">
      <c r="AO3956" s="8" t="str">
        <f aca="false">IF(A3956="","",IF(COUNTIFS(全馬データ!$A$2:$A$50000,A3956,全馬データ!$B$2:$B$50000,B3956,全馬データ!$C$2:$C$50000,C3956,全馬データ!$D$2:$D$50000,E3956,全馬データ!$K$2:$K$50000,"&lt;&gt;")=0,"",SUMIFS(全馬データ!$K$2:$K$50000,全馬データ!$A$2:$A$50000,A3956,全馬データ!$B$2:$B$50000,B3956,全馬データ!$C$2:$C$50000,C3956,全馬データ!$D$2:$D$50000,E3956)))</f>
        <v/>
      </c>
      <c r="AP3956" s="8" t="str">
        <f aca="false">IF(A3956="","",IF(AO3956="","欠損",IF(AO3956&lt;=1.1,"1.0～1.1",IF(AO3956&lt;1.3,"1.2",IF(AO3956&lt;1.5,"1.3～1.4",IF(AO3956&lt;2,"1.5～1.9","2.0以上"))))))</f>
        <v/>
      </c>
      <c r="AQ3956" s="8" t="str">
        <f aca="false">IF(A3956="","",IF(ISNUMBER(SEARCH("2歳",Z3956)),"2歳戦",IF(ISNUMBER(SEARCH("3歳未勝利",Z3956)),"3歳未勝利",IF(ISNUMBER(SEARCH("未勝利",Z3956)),"その他未勝利",IF(ISNUMBER(SEARCH("G1",Z3956)),"G1",IF(ISNUMBER(SEARCH("G2",Z3956)),"G2",IF(ISNUMBER(SEARCH("G3",Z3956)),"G3",IF(ISNUMBER(SEARCH("古馬条件",Z3956)),"古馬条件戦",IF(ISNUMBER(SEARCH("重賞",Z3956)),"重賞","分類不能")))))))))</f>
        <v/>
      </c>
    </row>
    <row r="3957" customFormat="false" ht="15.75" hidden="false" customHeight="false" outlineLevel="0" collapsed="false">
      <c r="AO3957" s="8" t="str">
        <f aca="false">IF(A3957="","",IF(COUNTIFS(全馬データ!$A$2:$A$50000,A3957,全馬データ!$B$2:$B$50000,B3957,全馬データ!$C$2:$C$50000,C3957,全馬データ!$D$2:$D$50000,E3957,全馬データ!$K$2:$K$50000,"&lt;&gt;")=0,"",SUMIFS(全馬データ!$K$2:$K$50000,全馬データ!$A$2:$A$50000,A3957,全馬データ!$B$2:$B$50000,B3957,全馬データ!$C$2:$C$50000,C3957,全馬データ!$D$2:$D$50000,E3957)))</f>
        <v/>
      </c>
      <c r="AP3957" s="8" t="str">
        <f aca="false">IF(A3957="","",IF(AO3957="","欠損",IF(AO3957&lt;=1.1,"1.0～1.1",IF(AO3957&lt;1.3,"1.2",IF(AO3957&lt;1.5,"1.3～1.4",IF(AO3957&lt;2,"1.5～1.9","2.0以上"))))))</f>
        <v/>
      </c>
      <c r="AQ3957" s="8" t="str">
        <f aca="false">IF(A3957="","",IF(ISNUMBER(SEARCH("2歳",Z3957)),"2歳戦",IF(ISNUMBER(SEARCH("3歳未勝利",Z3957)),"3歳未勝利",IF(ISNUMBER(SEARCH("未勝利",Z3957)),"その他未勝利",IF(ISNUMBER(SEARCH("G1",Z3957)),"G1",IF(ISNUMBER(SEARCH("G2",Z3957)),"G2",IF(ISNUMBER(SEARCH("G3",Z3957)),"G3",IF(ISNUMBER(SEARCH("古馬条件",Z3957)),"古馬条件戦",IF(ISNUMBER(SEARCH("重賞",Z3957)),"重賞","分類不能")))))))))</f>
        <v/>
      </c>
    </row>
    <row r="3958" customFormat="false" ht="15.75" hidden="false" customHeight="false" outlineLevel="0" collapsed="false">
      <c r="AO3958" s="8" t="str">
        <f aca="false">IF(A3958="","",IF(COUNTIFS(全馬データ!$A$2:$A$50000,A3958,全馬データ!$B$2:$B$50000,B3958,全馬データ!$C$2:$C$50000,C3958,全馬データ!$D$2:$D$50000,E3958,全馬データ!$K$2:$K$50000,"&lt;&gt;")=0,"",SUMIFS(全馬データ!$K$2:$K$50000,全馬データ!$A$2:$A$50000,A3958,全馬データ!$B$2:$B$50000,B3958,全馬データ!$C$2:$C$50000,C3958,全馬データ!$D$2:$D$50000,E3958)))</f>
        <v/>
      </c>
      <c r="AP3958" s="8" t="str">
        <f aca="false">IF(A3958="","",IF(AO3958="","欠損",IF(AO3958&lt;=1.1,"1.0～1.1",IF(AO3958&lt;1.3,"1.2",IF(AO3958&lt;1.5,"1.3～1.4",IF(AO3958&lt;2,"1.5～1.9","2.0以上"))))))</f>
        <v/>
      </c>
      <c r="AQ3958" s="8" t="str">
        <f aca="false">IF(A3958="","",IF(ISNUMBER(SEARCH("2歳",Z3958)),"2歳戦",IF(ISNUMBER(SEARCH("3歳未勝利",Z3958)),"3歳未勝利",IF(ISNUMBER(SEARCH("未勝利",Z3958)),"その他未勝利",IF(ISNUMBER(SEARCH("G1",Z3958)),"G1",IF(ISNUMBER(SEARCH("G2",Z3958)),"G2",IF(ISNUMBER(SEARCH("G3",Z3958)),"G3",IF(ISNUMBER(SEARCH("古馬条件",Z3958)),"古馬条件戦",IF(ISNUMBER(SEARCH("重賞",Z3958)),"重賞","分類不能")))))))))</f>
        <v/>
      </c>
    </row>
    <row r="3959" customFormat="false" ht="15.75" hidden="false" customHeight="false" outlineLevel="0" collapsed="false">
      <c r="AO3959" s="8" t="str">
        <f aca="false">IF(A3959="","",IF(COUNTIFS(全馬データ!$A$2:$A$50000,A3959,全馬データ!$B$2:$B$50000,B3959,全馬データ!$C$2:$C$50000,C3959,全馬データ!$D$2:$D$50000,E3959,全馬データ!$K$2:$K$50000,"&lt;&gt;")=0,"",SUMIFS(全馬データ!$K$2:$K$50000,全馬データ!$A$2:$A$50000,A3959,全馬データ!$B$2:$B$50000,B3959,全馬データ!$C$2:$C$50000,C3959,全馬データ!$D$2:$D$50000,E3959)))</f>
        <v/>
      </c>
      <c r="AP3959" s="8" t="str">
        <f aca="false">IF(A3959="","",IF(AO3959="","欠損",IF(AO3959&lt;=1.1,"1.0～1.1",IF(AO3959&lt;1.3,"1.2",IF(AO3959&lt;1.5,"1.3～1.4",IF(AO3959&lt;2,"1.5～1.9","2.0以上"))))))</f>
        <v/>
      </c>
      <c r="AQ3959" s="8" t="str">
        <f aca="false">IF(A3959="","",IF(ISNUMBER(SEARCH("2歳",Z3959)),"2歳戦",IF(ISNUMBER(SEARCH("3歳未勝利",Z3959)),"3歳未勝利",IF(ISNUMBER(SEARCH("未勝利",Z3959)),"その他未勝利",IF(ISNUMBER(SEARCH("G1",Z3959)),"G1",IF(ISNUMBER(SEARCH("G2",Z3959)),"G2",IF(ISNUMBER(SEARCH("G3",Z3959)),"G3",IF(ISNUMBER(SEARCH("古馬条件",Z3959)),"古馬条件戦",IF(ISNUMBER(SEARCH("重賞",Z3959)),"重賞","分類不能")))))))))</f>
        <v/>
      </c>
    </row>
    <row r="3960" customFormat="false" ht="15.75" hidden="false" customHeight="false" outlineLevel="0" collapsed="false">
      <c r="AO3960" s="8" t="str">
        <f aca="false">IF(A3960="","",IF(COUNTIFS(全馬データ!$A$2:$A$50000,A3960,全馬データ!$B$2:$B$50000,B3960,全馬データ!$C$2:$C$50000,C3960,全馬データ!$D$2:$D$50000,E3960,全馬データ!$K$2:$K$50000,"&lt;&gt;")=0,"",SUMIFS(全馬データ!$K$2:$K$50000,全馬データ!$A$2:$A$50000,A3960,全馬データ!$B$2:$B$50000,B3960,全馬データ!$C$2:$C$50000,C3960,全馬データ!$D$2:$D$50000,E3960)))</f>
        <v/>
      </c>
      <c r="AP3960" s="8" t="str">
        <f aca="false">IF(A3960="","",IF(AO3960="","欠損",IF(AO3960&lt;=1.1,"1.0～1.1",IF(AO3960&lt;1.3,"1.2",IF(AO3960&lt;1.5,"1.3～1.4",IF(AO3960&lt;2,"1.5～1.9","2.0以上"))))))</f>
        <v/>
      </c>
      <c r="AQ3960" s="8" t="str">
        <f aca="false">IF(A3960="","",IF(ISNUMBER(SEARCH("2歳",Z3960)),"2歳戦",IF(ISNUMBER(SEARCH("3歳未勝利",Z3960)),"3歳未勝利",IF(ISNUMBER(SEARCH("未勝利",Z3960)),"その他未勝利",IF(ISNUMBER(SEARCH("G1",Z3960)),"G1",IF(ISNUMBER(SEARCH("G2",Z3960)),"G2",IF(ISNUMBER(SEARCH("G3",Z3960)),"G3",IF(ISNUMBER(SEARCH("古馬条件",Z3960)),"古馬条件戦",IF(ISNUMBER(SEARCH("重賞",Z3960)),"重賞","分類不能")))))))))</f>
        <v/>
      </c>
    </row>
    <row r="3961" customFormat="false" ht="15.75" hidden="false" customHeight="false" outlineLevel="0" collapsed="false">
      <c r="AO3961" s="8" t="str">
        <f aca="false">IF(A3961="","",IF(COUNTIFS(全馬データ!$A$2:$A$50000,A3961,全馬データ!$B$2:$B$50000,B3961,全馬データ!$C$2:$C$50000,C3961,全馬データ!$D$2:$D$50000,E3961,全馬データ!$K$2:$K$50000,"&lt;&gt;")=0,"",SUMIFS(全馬データ!$K$2:$K$50000,全馬データ!$A$2:$A$50000,A3961,全馬データ!$B$2:$B$50000,B3961,全馬データ!$C$2:$C$50000,C3961,全馬データ!$D$2:$D$50000,E3961)))</f>
        <v/>
      </c>
      <c r="AP3961" s="8" t="str">
        <f aca="false">IF(A3961="","",IF(AO3961="","欠損",IF(AO3961&lt;=1.1,"1.0～1.1",IF(AO3961&lt;1.3,"1.2",IF(AO3961&lt;1.5,"1.3～1.4",IF(AO3961&lt;2,"1.5～1.9","2.0以上"))))))</f>
        <v/>
      </c>
      <c r="AQ3961" s="8" t="str">
        <f aca="false">IF(A3961="","",IF(ISNUMBER(SEARCH("2歳",Z3961)),"2歳戦",IF(ISNUMBER(SEARCH("3歳未勝利",Z3961)),"3歳未勝利",IF(ISNUMBER(SEARCH("未勝利",Z3961)),"その他未勝利",IF(ISNUMBER(SEARCH("G1",Z3961)),"G1",IF(ISNUMBER(SEARCH("G2",Z3961)),"G2",IF(ISNUMBER(SEARCH("G3",Z3961)),"G3",IF(ISNUMBER(SEARCH("古馬条件",Z3961)),"古馬条件戦",IF(ISNUMBER(SEARCH("重賞",Z3961)),"重賞","分類不能")))))))))</f>
        <v/>
      </c>
    </row>
    <row r="3962" customFormat="false" ht="15.75" hidden="false" customHeight="false" outlineLevel="0" collapsed="false">
      <c r="AO3962" s="8" t="str">
        <f aca="false">IF(A3962="","",IF(COUNTIFS(全馬データ!$A$2:$A$50000,A3962,全馬データ!$B$2:$B$50000,B3962,全馬データ!$C$2:$C$50000,C3962,全馬データ!$D$2:$D$50000,E3962,全馬データ!$K$2:$K$50000,"&lt;&gt;")=0,"",SUMIFS(全馬データ!$K$2:$K$50000,全馬データ!$A$2:$A$50000,A3962,全馬データ!$B$2:$B$50000,B3962,全馬データ!$C$2:$C$50000,C3962,全馬データ!$D$2:$D$50000,E3962)))</f>
        <v/>
      </c>
      <c r="AP3962" s="8" t="str">
        <f aca="false">IF(A3962="","",IF(AO3962="","欠損",IF(AO3962&lt;=1.1,"1.0～1.1",IF(AO3962&lt;1.3,"1.2",IF(AO3962&lt;1.5,"1.3～1.4",IF(AO3962&lt;2,"1.5～1.9","2.0以上"))))))</f>
        <v/>
      </c>
      <c r="AQ3962" s="8" t="str">
        <f aca="false">IF(A3962="","",IF(ISNUMBER(SEARCH("2歳",Z3962)),"2歳戦",IF(ISNUMBER(SEARCH("3歳未勝利",Z3962)),"3歳未勝利",IF(ISNUMBER(SEARCH("未勝利",Z3962)),"その他未勝利",IF(ISNUMBER(SEARCH("G1",Z3962)),"G1",IF(ISNUMBER(SEARCH("G2",Z3962)),"G2",IF(ISNUMBER(SEARCH("G3",Z3962)),"G3",IF(ISNUMBER(SEARCH("古馬条件",Z3962)),"古馬条件戦",IF(ISNUMBER(SEARCH("重賞",Z3962)),"重賞","分類不能")))))))))</f>
        <v/>
      </c>
    </row>
    <row r="3963" customFormat="false" ht="15.75" hidden="false" customHeight="false" outlineLevel="0" collapsed="false">
      <c r="AO3963" s="8" t="str">
        <f aca="false">IF(A3963="","",IF(COUNTIFS(全馬データ!$A$2:$A$50000,A3963,全馬データ!$B$2:$B$50000,B3963,全馬データ!$C$2:$C$50000,C3963,全馬データ!$D$2:$D$50000,E3963,全馬データ!$K$2:$K$50000,"&lt;&gt;")=0,"",SUMIFS(全馬データ!$K$2:$K$50000,全馬データ!$A$2:$A$50000,A3963,全馬データ!$B$2:$B$50000,B3963,全馬データ!$C$2:$C$50000,C3963,全馬データ!$D$2:$D$50000,E3963)))</f>
        <v/>
      </c>
      <c r="AP3963" s="8" t="str">
        <f aca="false">IF(A3963="","",IF(AO3963="","欠損",IF(AO3963&lt;=1.1,"1.0～1.1",IF(AO3963&lt;1.3,"1.2",IF(AO3963&lt;1.5,"1.3～1.4",IF(AO3963&lt;2,"1.5～1.9","2.0以上"))))))</f>
        <v/>
      </c>
      <c r="AQ3963" s="8" t="str">
        <f aca="false">IF(A3963="","",IF(ISNUMBER(SEARCH("2歳",Z3963)),"2歳戦",IF(ISNUMBER(SEARCH("3歳未勝利",Z3963)),"3歳未勝利",IF(ISNUMBER(SEARCH("未勝利",Z3963)),"その他未勝利",IF(ISNUMBER(SEARCH("G1",Z3963)),"G1",IF(ISNUMBER(SEARCH("G2",Z3963)),"G2",IF(ISNUMBER(SEARCH("G3",Z3963)),"G3",IF(ISNUMBER(SEARCH("古馬条件",Z3963)),"古馬条件戦",IF(ISNUMBER(SEARCH("重賞",Z3963)),"重賞","分類不能")))))))))</f>
        <v/>
      </c>
    </row>
    <row r="3964" customFormat="false" ht="15.75" hidden="false" customHeight="false" outlineLevel="0" collapsed="false">
      <c r="AO3964" s="8" t="str">
        <f aca="false">IF(A3964="","",IF(COUNTIFS(全馬データ!$A$2:$A$50000,A3964,全馬データ!$B$2:$B$50000,B3964,全馬データ!$C$2:$C$50000,C3964,全馬データ!$D$2:$D$50000,E3964,全馬データ!$K$2:$K$50000,"&lt;&gt;")=0,"",SUMIFS(全馬データ!$K$2:$K$50000,全馬データ!$A$2:$A$50000,A3964,全馬データ!$B$2:$B$50000,B3964,全馬データ!$C$2:$C$50000,C3964,全馬データ!$D$2:$D$50000,E3964)))</f>
        <v/>
      </c>
      <c r="AP3964" s="8" t="str">
        <f aca="false">IF(A3964="","",IF(AO3964="","欠損",IF(AO3964&lt;=1.1,"1.0～1.1",IF(AO3964&lt;1.3,"1.2",IF(AO3964&lt;1.5,"1.3～1.4",IF(AO3964&lt;2,"1.5～1.9","2.0以上"))))))</f>
        <v/>
      </c>
      <c r="AQ3964" s="8" t="str">
        <f aca="false">IF(A3964="","",IF(ISNUMBER(SEARCH("2歳",Z3964)),"2歳戦",IF(ISNUMBER(SEARCH("3歳未勝利",Z3964)),"3歳未勝利",IF(ISNUMBER(SEARCH("未勝利",Z3964)),"その他未勝利",IF(ISNUMBER(SEARCH("G1",Z3964)),"G1",IF(ISNUMBER(SEARCH("G2",Z3964)),"G2",IF(ISNUMBER(SEARCH("G3",Z3964)),"G3",IF(ISNUMBER(SEARCH("古馬条件",Z3964)),"古馬条件戦",IF(ISNUMBER(SEARCH("重賞",Z3964)),"重賞","分類不能")))))))))</f>
        <v/>
      </c>
    </row>
    <row r="3965" customFormat="false" ht="15.75" hidden="false" customHeight="false" outlineLevel="0" collapsed="false">
      <c r="AO3965" s="8" t="str">
        <f aca="false">IF(A3965="","",IF(COUNTIFS(全馬データ!$A$2:$A$50000,A3965,全馬データ!$B$2:$B$50000,B3965,全馬データ!$C$2:$C$50000,C3965,全馬データ!$D$2:$D$50000,E3965,全馬データ!$K$2:$K$50000,"&lt;&gt;")=0,"",SUMIFS(全馬データ!$K$2:$K$50000,全馬データ!$A$2:$A$50000,A3965,全馬データ!$B$2:$B$50000,B3965,全馬データ!$C$2:$C$50000,C3965,全馬データ!$D$2:$D$50000,E3965)))</f>
        <v/>
      </c>
      <c r="AP3965" s="8" t="str">
        <f aca="false">IF(A3965="","",IF(AO3965="","欠損",IF(AO3965&lt;=1.1,"1.0～1.1",IF(AO3965&lt;1.3,"1.2",IF(AO3965&lt;1.5,"1.3～1.4",IF(AO3965&lt;2,"1.5～1.9","2.0以上"))))))</f>
        <v/>
      </c>
      <c r="AQ3965" s="8" t="str">
        <f aca="false">IF(A3965="","",IF(ISNUMBER(SEARCH("2歳",Z3965)),"2歳戦",IF(ISNUMBER(SEARCH("3歳未勝利",Z3965)),"3歳未勝利",IF(ISNUMBER(SEARCH("未勝利",Z3965)),"その他未勝利",IF(ISNUMBER(SEARCH("G1",Z3965)),"G1",IF(ISNUMBER(SEARCH("G2",Z3965)),"G2",IF(ISNUMBER(SEARCH("G3",Z3965)),"G3",IF(ISNUMBER(SEARCH("古馬条件",Z3965)),"古馬条件戦",IF(ISNUMBER(SEARCH("重賞",Z3965)),"重賞","分類不能")))))))))</f>
        <v/>
      </c>
    </row>
    <row r="3966" customFormat="false" ht="15.75" hidden="false" customHeight="false" outlineLevel="0" collapsed="false">
      <c r="AO3966" s="8" t="str">
        <f aca="false">IF(A3966="","",IF(COUNTIFS(全馬データ!$A$2:$A$50000,A3966,全馬データ!$B$2:$B$50000,B3966,全馬データ!$C$2:$C$50000,C3966,全馬データ!$D$2:$D$50000,E3966,全馬データ!$K$2:$K$50000,"&lt;&gt;")=0,"",SUMIFS(全馬データ!$K$2:$K$50000,全馬データ!$A$2:$A$50000,A3966,全馬データ!$B$2:$B$50000,B3966,全馬データ!$C$2:$C$50000,C3966,全馬データ!$D$2:$D$50000,E3966)))</f>
        <v/>
      </c>
      <c r="AP3966" s="8" t="str">
        <f aca="false">IF(A3966="","",IF(AO3966="","欠損",IF(AO3966&lt;=1.1,"1.0～1.1",IF(AO3966&lt;1.3,"1.2",IF(AO3966&lt;1.5,"1.3～1.4",IF(AO3966&lt;2,"1.5～1.9","2.0以上"))))))</f>
        <v/>
      </c>
      <c r="AQ3966" s="8" t="str">
        <f aca="false">IF(A3966="","",IF(ISNUMBER(SEARCH("2歳",Z3966)),"2歳戦",IF(ISNUMBER(SEARCH("3歳未勝利",Z3966)),"3歳未勝利",IF(ISNUMBER(SEARCH("未勝利",Z3966)),"その他未勝利",IF(ISNUMBER(SEARCH("G1",Z3966)),"G1",IF(ISNUMBER(SEARCH("G2",Z3966)),"G2",IF(ISNUMBER(SEARCH("G3",Z3966)),"G3",IF(ISNUMBER(SEARCH("古馬条件",Z3966)),"古馬条件戦",IF(ISNUMBER(SEARCH("重賞",Z3966)),"重賞","分類不能")))))))))</f>
        <v/>
      </c>
    </row>
    <row r="3967" customFormat="false" ht="15.75" hidden="false" customHeight="false" outlineLevel="0" collapsed="false">
      <c r="AO3967" s="8" t="str">
        <f aca="false">IF(A3967="","",IF(COUNTIFS(全馬データ!$A$2:$A$50000,A3967,全馬データ!$B$2:$B$50000,B3967,全馬データ!$C$2:$C$50000,C3967,全馬データ!$D$2:$D$50000,E3967,全馬データ!$K$2:$K$50000,"&lt;&gt;")=0,"",SUMIFS(全馬データ!$K$2:$K$50000,全馬データ!$A$2:$A$50000,A3967,全馬データ!$B$2:$B$50000,B3967,全馬データ!$C$2:$C$50000,C3967,全馬データ!$D$2:$D$50000,E3967)))</f>
        <v/>
      </c>
      <c r="AP3967" s="8" t="str">
        <f aca="false">IF(A3967="","",IF(AO3967="","欠損",IF(AO3967&lt;=1.1,"1.0～1.1",IF(AO3967&lt;1.3,"1.2",IF(AO3967&lt;1.5,"1.3～1.4",IF(AO3967&lt;2,"1.5～1.9","2.0以上"))))))</f>
        <v/>
      </c>
      <c r="AQ3967" s="8" t="str">
        <f aca="false">IF(A3967="","",IF(ISNUMBER(SEARCH("2歳",Z3967)),"2歳戦",IF(ISNUMBER(SEARCH("3歳未勝利",Z3967)),"3歳未勝利",IF(ISNUMBER(SEARCH("未勝利",Z3967)),"その他未勝利",IF(ISNUMBER(SEARCH("G1",Z3967)),"G1",IF(ISNUMBER(SEARCH("G2",Z3967)),"G2",IF(ISNUMBER(SEARCH("G3",Z3967)),"G3",IF(ISNUMBER(SEARCH("古馬条件",Z3967)),"古馬条件戦",IF(ISNUMBER(SEARCH("重賞",Z3967)),"重賞","分類不能")))))))))</f>
        <v/>
      </c>
    </row>
    <row r="3968" customFormat="false" ht="15.75" hidden="false" customHeight="false" outlineLevel="0" collapsed="false">
      <c r="AO3968" s="8" t="str">
        <f aca="false">IF(A3968="","",IF(COUNTIFS(全馬データ!$A$2:$A$50000,A3968,全馬データ!$B$2:$B$50000,B3968,全馬データ!$C$2:$C$50000,C3968,全馬データ!$D$2:$D$50000,E3968,全馬データ!$K$2:$K$50000,"&lt;&gt;")=0,"",SUMIFS(全馬データ!$K$2:$K$50000,全馬データ!$A$2:$A$50000,A3968,全馬データ!$B$2:$B$50000,B3968,全馬データ!$C$2:$C$50000,C3968,全馬データ!$D$2:$D$50000,E3968)))</f>
        <v/>
      </c>
      <c r="AP3968" s="8" t="str">
        <f aca="false">IF(A3968="","",IF(AO3968="","欠損",IF(AO3968&lt;=1.1,"1.0～1.1",IF(AO3968&lt;1.3,"1.2",IF(AO3968&lt;1.5,"1.3～1.4",IF(AO3968&lt;2,"1.5～1.9","2.0以上"))))))</f>
        <v/>
      </c>
      <c r="AQ3968" s="8" t="str">
        <f aca="false">IF(A3968="","",IF(ISNUMBER(SEARCH("2歳",Z3968)),"2歳戦",IF(ISNUMBER(SEARCH("3歳未勝利",Z3968)),"3歳未勝利",IF(ISNUMBER(SEARCH("未勝利",Z3968)),"その他未勝利",IF(ISNUMBER(SEARCH("G1",Z3968)),"G1",IF(ISNUMBER(SEARCH("G2",Z3968)),"G2",IF(ISNUMBER(SEARCH("G3",Z3968)),"G3",IF(ISNUMBER(SEARCH("古馬条件",Z3968)),"古馬条件戦",IF(ISNUMBER(SEARCH("重賞",Z3968)),"重賞","分類不能")))))))))</f>
        <v/>
      </c>
    </row>
    <row r="3969" customFormat="false" ht="15.75" hidden="false" customHeight="false" outlineLevel="0" collapsed="false">
      <c r="AO3969" s="8" t="str">
        <f aca="false">IF(A3969="","",IF(COUNTIFS(全馬データ!$A$2:$A$50000,A3969,全馬データ!$B$2:$B$50000,B3969,全馬データ!$C$2:$C$50000,C3969,全馬データ!$D$2:$D$50000,E3969,全馬データ!$K$2:$K$50000,"&lt;&gt;")=0,"",SUMIFS(全馬データ!$K$2:$K$50000,全馬データ!$A$2:$A$50000,A3969,全馬データ!$B$2:$B$50000,B3969,全馬データ!$C$2:$C$50000,C3969,全馬データ!$D$2:$D$50000,E3969)))</f>
        <v/>
      </c>
      <c r="AP3969" s="8" t="str">
        <f aca="false">IF(A3969="","",IF(AO3969="","欠損",IF(AO3969&lt;=1.1,"1.0～1.1",IF(AO3969&lt;1.3,"1.2",IF(AO3969&lt;1.5,"1.3～1.4",IF(AO3969&lt;2,"1.5～1.9","2.0以上"))))))</f>
        <v/>
      </c>
      <c r="AQ3969" s="8" t="str">
        <f aca="false">IF(A3969="","",IF(ISNUMBER(SEARCH("2歳",Z3969)),"2歳戦",IF(ISNUMBER(SEARCH("3歳未勝利",Z3969)),"3歳未勝利",IF(ISNUMBER(SEARCH("未勝利",Z3969)),"その他未勝利",IF(ISNUMBER(SEARCH("G1",Z3969)),"G1",IF(ISNUMBER(SEARCH("G2",Z3969)),"G2",IF(ISNUMBER(SEARCH("G3",Z3969)),"G3",IF(ISNUMBER(SEARCH("古馬条件",Z3969)),"古馬条件戦",IF(ISNUMBER(SEARCH("重賞",Z3969)),"重賞","分類不能")))))))))</f>
        <v/>
      </c>
    </row>
    <row r="3970" customFormat="false" ht="15.75" hidden="false" customHeight="false" outlineLevel="0" collapsed="false">
      <c r="AO3970" s="8" t="str">
        <f aca="false">IF(A3970="","",IF(COUNTIFS(全馬データ!$A$2:$A$50000,A3970,全馬データ!$B$2:$B$50000,B3970,全馬データ!$C$2:$C$50000,C3970,全馬データ!$D$2:$D$50000,E3970,全馬データ!$K$2:$K$50000,"&lt;&gt;")=0,"",SUMIFS(全馬データ!$K$2:$K$50000,全馬データ!$A$2:$A$50000,A3970,全馬データ!$B$2:$B$50000,B3970,全馬データ!$C$2:$C$50000,C3970,全馬データ!$D$2:$D$50000,E3970)))</f>
        <v/>
      </c>
      <c r="AP3970" s="8" t="str">
        <f aca="false">IF(A3970="","",IF(AO3970="","欠損",IF(AO3970&lt;=1.1,"1.0～1.1",IF(AO3970&lt;1.3,"1.2",IF(AO3970&lt;1.5,"1.3～1.4",IF(AO3970&lt;2,"1.5～1.9","2.0以上"))))))</f>
        <v/>
      </c>
      <c r="AQ3970" s="8" t="str">
        <f aca="false">IF(A3970="","",IF(ISNUMBER(SEARCH("2歳",Z3970)),"2歳戦",IF(ISNUMBER(SEARCH("3歳未勝利",Z3970)),"3歳未勝利",IF(ISNUMBER(SEARCH("未勝利",Z3970)),"その他未勝利",IF(ISNUMBER(SEARCH("G1",Z3970)),"G1",IF(ISNUMBER(SEARCH("G2",Z3970)),"G2",IF(ISNUMBER(SEARCH("G3",Z3970)),"G3",IF(ISNUMBER(SEARCH("古馬条件",Z3970)),"古馬条件戦",IF(ISNUMBER(SEARCH("重賞",Z3970)),"重賞","分類不能")))))))))</f>
        <v/>
      </c>
    </row>
    <row r="3971" customFormat="false" ht="15.75" hidden="false" customHeight="false" outlineLevel="0" collapsed="false">
      <c r="AO3971" s="8" t="str">
        <f aca="false">IF(A3971="","",IF(COUNTIFS(全馬データ!$A$2:$A$50000,A3971,全馬データ!$B$2:$B$50000,B3971,全馬データ!$C$2:$C$50000,C3971,全馬データ!$D$2:$D$50000,E3971,全馬データ!$K$2:$K$50000,"&lt;&gt;")=0,"",SUMIFS(全馬データ!$K$2:$K$50000,全馬データ!$A$2:$A$50000,A3971,全馬データ!$B$2:$B$50000,B3971,全馬データ!$C$2:$C$50000,C3971,全馬データ!$D$2:$D$50000,E3971)))</f>
        <v/>
      </c>
      <c r="AP3971" s="8" t="str">
        <f aca="false">IF(A3971="","",IF(AO3971="","欠損",IF(AO3971&lt;=1.1,"1.0～1.1",IF(AO3971&lt;1.3,"1.2",IF(AO3971&lt;1.5,"1.3～1.4",IF(AO3971&lt;2,"1.5～1.9","2.0以上"))))))</f>
        <v/>
      </c>
      <c r="AQ3971" s="8" t="str">
        <f aca="false">IF(A3971="","",IF(ISNUMBER(SEARCH("2歳",Z3971)),"2歳戦",IF(ISNUMBER(SEARCH("3歳未勝利",Z3971)),"3歳未勝利",IF(ISNUMBER(SEARCH("未勝利",Z3971)),"その他未勝利",IF(ISNUMBER(SEARCH("G1",Z3971)),"G1",IF(ISNUMBER(SEARCH("G2",Z3971)),"G2",IF(ISNUMBER(SEARCH("G3",Z3971)),"G3",IF(ISNUMBER(SEARCH("古馬条件",Z3971)),"古馬条件戦",IF(ISNUMBER(SEARCH("重賞",Z3971)),"重賞","分類不能")))))))))</f>
        <v/>
      </c>
    </row>
    <row r="3972" customFormat="false" ht="15.75" hidden="false" customHeight="false" outlineLevel="0" collapsed="false">
      <c r="AO3972" s="8" t="str">
        <f aca="false">IF(A3972="","",IF(COUNTIFS(全馬データ!$A$2:$A$50000,A3972,全馬データ!$B$2:$B$50000,B3972,全馬データ!$C$2:$C$50000,C3972,全馬データ!$D$2:$D$50000,E3972,全馬データ!$K$2:$K$50000,"&lt;&gt;")=0,"",SUMIFS(全馬データ!$K$2:$K$50000,全馬データ!$A$2:$A$50000,A3972,全馬データ!$B$2:$B$50000,B3972,全馬データ!$C$2:$C$50000,C3972,全馬データ!$D$2:$D$50000,E3972)))</f>
        <v/>
      </c>
      <c r="AP3972" s="8" t="str">
        <f aca="false">IF(A3972="","",IF(AO3972="","欠損",IF(AO3972&lt;=1.1,"1.0～1.1",IF(AO3972&lt;1.3,"1.2",IF(AO3972&lt;1.5,"1.3～1.4",IF(AO3972&lt;2,"1.5～1.9","2.0以上"))))))</f>
        <v/>
      </c>
      <c r="AQ3972" s="8" t="str">
        <f aca="false">IF(A3972="","",IF(ISNUMBER(SEARCH("2歳",Z3972)),"2歳戦",IF(ISNUMBER(SEARCH("3歳未勝利",Z3972)),"3歳未勝利",IF(ISNUMBER(SEARCH("未勝利",Z3972)),"その他未勝利",IF(ISNUMBER(SEARCH("G1",Z3972)),"G1",IF(ISNUMBER(SEARCH("G2",Z3972)),"G2",IF(ISNUMBER(SEARCH("G3",Z3972)),"G3",IF(ISNUMBER(SEARCH("古馬条件",Z3972)),"古馬条件戦",IF(ISNUMBER(SEARCH("重賞",Z3972)),"重賞","分類不能")))))))))</f>
        <v/>
      </c>
    </row>
    <row r="3973" customFormat="false" ht="15.75" hidden="false" customHeight="false" outlineLevel="0" collapsed="false">
      <c r="AO3973" s="8" t="str">
        <f aca="false">IF(A3973="","",IF(COUNTIFS(全馬データ!$A$2:$A$50000,A3973,全馬データ!$B$2:$B$50000,B3973,全馬データ!$C$2:$C$50000,C3973,全馬データ!$D$2:$D$50000,E3973,全馬データ!$K$2:$K$50000,"&lt;&gt;")=0,"",SUMIFS(全馬データ!$K$2:$K$50000,全馬データ!$A$2:$A$50000,A3973,全馬データ!$B$2:$B$50000,B3973,全馬データ!$C$2:$C$50000,C3973,全馬データ!$D$2:$D$50000,E3973)))</f>
        <v/>
      </c>
      <c r="AP3973" s="8" t="str">
        <f aca="false">IF(A3973="","",IF(AO3973="","欠損",IF(AO3973&lt;=1.1,"1.0～1.1",IF(AO3973&lt;1.3,"1.2",IF(AO3973&lt;1.5,"1.3～1.4",IF(AO3973&lt;2,"1.5～1.9","2.0以上"))))))</f>
        <v/>
      </c>
      <c r="AQ3973" s="8" t="str">
        <f aca="false">IF(A3973="","",IF(ISNUMBER(SEARCH("2歳",Z3973)),"2歳戦",IF(ISNUMBER(SEARCH("3歳未勝利",Z3973)),"3歳未勝利",IF(ISNUMBER(SEARCH("未勝利",Z3973)),"その他未勝利",IF(ISNUMBER(SEARCH("G1",Z3973)),"G1",IF(ISNUMBER(SEARCH("G2",Z3973)),"G2",IF(ISNUMBER(SEARCH("G3",Z3973)),"G3",IF(ISNUMBER(SEARCH("古馬条件",Z3973)),"古馬条件戦",IF(ISNUMBER(SEARCH("重賞",Z3973)),"重賞","分類不能")))))))))</f>
        <v/>
      </c>
    </row>
    <row r="3974" customFormat="false" ht="15.75" hidden="false" customHeight="false" outlineLevel="0" collapsed="false">
      <c r="AO3974" s="8" t="str">
        <f aca="false">IF(A3974="","",IF(COUNTIFS(全馬データ!$A$2:$A$50000,A3974,全馬データ!$B$2:$B$50000,B3974,全馬データ!$C$2:$C$50000,C3974,全馬データ!$D$2:$D$50000,E3974,全馬データ!$K$2:$K$50000,"&lt;&gt;")=0,"",SUMIFS(全馬データ!$K$2:$K$50000,全馬データ!$A$2:$A$50000,A3974,全馬データ!$B$2:$B$50000,B3974,全馬データ!$C$2:$C$50000,C3974,全馬データ!$D$2:$D$50000,E3974)))</f>
        <v/>
      </c>
      <c r="AP3974" s="8" t="str">
        <f aca="false">IF(A3974="","",IF(AO3974="","欠損",IF(AO3974&lt;=1.1,"1.0～1.1",IF(AO3974&lt;1.3,"1.2",IF(AO3974&lt;1.5,"1.3～1.4",IF(AO3974&lt;2,"1.5～1.9","2.0以上"))))))</f>
        <v/>
      </c>
      <c r="AQ3974" s="8" t="str">
        <f aca="false">IF(A3974="","",IF(ISNUMBER(SEARCH("2歳",Z3974)),"2歳戦",IF(ISNUMBER(SEARCH("3歳未勝利",Z3974)),"3歳未勝利",IF(ISNUMBER(SEARCH("未勝利",Z3974)),"その他未勝利",IF(ISNUMBER(SEARCH("G1",Z3974)),"G1",IF(ISNUMBER(SEARCH("G2",Z3974)),"G2",IF(ISNUMBER(SEARCH("G3",Z3974)),"G3",IF(ISNUMBER(SEARCH("古馬条件",Z3974)),"古馬条件戦",IF(ISNUMBER(SEARCH("重賞",Z3974)),"重賞","分類不能")))))))))</f>
        <v/>
      </c>
    </row>
    <row r="3975" customFormat="false" ht="15.75" hidden="false" customHeight="false" outlineLevel="0" collapsed="false">
      <c r="AO3975" s="8" t="str">
        <f aca="false">IF(A3975="","",IF(COUNTIFS(全馬データ!$A$2:$A$50000,A3975,全馬データ!$B$2:$B$50000,B3975,全馬データ!$C$2:$C$50000,C3975,全馬データ!$D$2:$D$50000,E3975,全馬データ!$K$2:$K$50000,"&lt;&gt;")=0,"",SUMIFS(全馬データ!$K$2:$K$50000,全馬データ!$A$2:$A$50000,A3975,全馬データ!$B$2:$B$50000,B3975,全馬データ!$C$2:$C$50000,C3975,全馬データ!$D$2:$D$50000,E3975)))</f>
        <v/>
      </c>
      <c r="AP3975" s="8" t="str">
        <f aca="false">IF(A3975="","",IF(AO3975="","欠損",IF(AO3975&lt;=1.1,"1.0～1.1",IF(AO3975&lt;1.3,"1.2",IF(AO3975&lt;1.5,"1.3～1.4",IF(AO3975&lt;2,"1.5～1.9","2.0以上"))))))</f>
        <v/>
      </c>
      <c r="AQ3975" s="8" t="str">
        <f aca="false">IF(A3975="","",IF(ISNUMBER(SEARCH("2歳",Z3975)),"2歳戦",IF(ISNUMBER(SEARCH("3歳未勝利",Z3975)),"3歳未勝利",IF(ISNUMBER(SEARCH("未勝利",Z3975)),"その他未勝利",IF(ISNUMBER(SEARCH("G1",Z3975)),"G1",IF(ISNUMBER(SEARCH("G2",Z3975)),"G2",IF(ISNUMBER(SEARCH("G3",Z3975)),"G3",IF(ISNUMBER(SEARCH("古馬条件",Z3975)),"古馬条件戦",IF(ISNUMBER(SEARCH("重賞",Z3975)),"重賞","分類不能")))))))))</f>
        <v/>
      </c>
    </row>
    <row r="3976" customFormat="false" ht="15.75" hidden="false" customHeight="false" outlineLevel="0" collapsed="false">
      <c r="AO3976" s="8" t="str">
        <f aca="false">IF(A3976="","",IF(COUNTIFS(全馬データ!$A$2:$A$50000,A3976,全馬データ!$B$2:$B$50000,B3976,全馬データ!$C$2:$C$50000,C3976,全馬データ!$D$2:$D$50000,E3976,全馬データ!$K$2:$K$50000,"&lt;&gt;")=0,"",SUMIFS(全馬データ!$K$2:$K$50000,全馬データ!$A$2:$A$50000,A3976,全馬データ!$B$2:$B$50000,B3976,全馬データ!$C$2:$C$50000,C3976,全馬データ!$D$2:$D$50000,E3976)))</f>
        <v/>
      </c>
      <c r="AP3976" s="8" t="str">
        <f aca="false">IF(A3976="","",IF(AO3976="","欠損",IF(AO3976&lt;=1.1,"1.0～1.1",IF(AO3976&lt;1.3,"1.2",IF(AO3976&lt;1.5,"1.3～1.4",IF(AO3976&lt;2,"1.5～1.9","2.0以上"))))))</f>
        <v/>
      </c>
      <c r="AQ3976" s="8" t="str">
        <f aca="false">IF(A3976="","",IF(ISNUMBER(SEARCH("2歳",Z3976)),"2歳戦",IF(ISNUMBER(SEARCH("3歳未勝利",Z3976)),"3歳未勝利",IF(ISNUMBER(SEARCH("未勝利",Z3976)),"その他未勝利",IF(ISNUMBER(SEARCH("G1",Z3976)),"G1",IF(ISNUMBER(SEARCH("G2",Z3976)),"G2",IF(ISNUMBER(SEARCH("G3",Z3976)),"G3",IF(ISNUMBER(SEARCH("古馬条件",Z3976)),"古馬条件戦",IF(ISNUMBER(SEARCH("重賞",Z3976)),"重賞","分類不能")))))))))</f>
        <v/>
      </c>
    </row>
    <row r="3977" customFormat="false" ht="15.75" hidden="false" customHeight="false" outlineLevel="0" collapsed="false">
      <c r="AO3977" s="8" t="str">
        <f aca="false">IF(A3977="","",IF(COUNTIFS(全馬データ!$A$2:$A$50000,A3977,全馬データ!$B$2:$B$50000,B3977,全馬データ!$C$2:$C$50000,C3977,全馬データ!$D$2:$D$50000,E3977,全馬データ!$K$2:$K$50000,"&lt;&gt;")=0,"",SUMIFS(全馬データ!$K$2:$K$50000,全馬データ!$A$2:$A$50000,A3977,全馬データ!$B$2:$B$50000,B3977,全馬データ!$C$2:$C$50000,C3977,全馬データ!$D$2:$D$50000,E3977)))</f>
        <v/>
      </c>
      <c r="AP3977" s="8" t="str">
        <f aca="false">IF(A3977="","",IF(AO3977="","欠損",IF(AO3977&lt;=1.1,"1.0～1.1",IF(AO3977&lt;1.3,"1.2",IF(AO3977&lt;1.5,"1.3～1.4",IF(AO3977&lt;2,"1.5～1.9","2.0以上"))))))</f>
        <v/>
      </c>
      <c r="AQ3977" s="8" t="str">
        <f aca="false">IF(A3977="","",IF(ISNUMBER(SEARCH("2歳",Z3977)),"2歳戦",IF(ISNUMBER(SEARCH("3歳未勝利",Z3977)),"3歳未勝利",IF(ISNUMBER(SEARCH("未勝利",Z3977)),"その他未勝利",IF(ISNUMBER(SEARCH("G1",Z3977)),"G1",IF(ISNUMBER(SEARCH("G2",Z3977)),"G2",IF(ISNUMBER(SEARCH("G3",Z3977)),"G3",IF(ISNUMBER(SEARCH("古馬条件",Z3977)),"古馬条件戦",IF(ISNUMBER(SEARCH("重賞",Z3977)),"重賞","分類不能")))))))))</f>
        <v/>
      </c>
    </row>
    <row r="3978" customFormat="false" ht="15.75" hidden="false" customHeight="false" outlineLevel="0" collapsed="false">
      <c r="AO3978" s="8" t="str">
        <f aca="false">IF(A3978="","",IF(COUNTIFS(全馬データ!$A$2:$A$50000,A3978,全馬データ!$B$2:$B$50000,B3978,全馬データ!$C$2:$C$50000,C3978,全馬データ!$D$2:$D$50000,E3978,全馬データ!$K$2:$K$50000,"&lt;&gt;")=0,"",SUMIFS(全馬データ!$K$2:$K$50000,全馬データ!$A$2:$A$50000,A3978,全馬データ!$B$2:$B$50000,B3978,全馬データ!$C$2:$C$50000,C3978,全馬データ!$D$2:$D$50000,E3978)))</f>
        <v/>
      </c>
      <c r="AP3978" s="8" t="str">
        <f aca="false">IF(A3978="","",IF(AO3978="","欠損",IF(AO3978&lt;=1.1,"1.0～1.1",IF(AO3978&lt;1.3,"1.2",IF(AO3978&lt;1.5,"1.3～1.4",IF(AO3978&lt;2,"1.5～1.9","2.0以上"))))))</f>
        <v/>
      </c>
      <c r="AQ3978" s="8" t="str">
        <f aca="false">IF(A3978="","",IF(ISNUMBER(SEARCH("2歳",Z3978)),"2歳戦",IF(ISNUMBER(SEARCH("3歳未勝利",Z3978)),"3歳未勝利",IF(ISNUMBER(SEARCH("未勝利",Z3978)),"その他未勝利",IF(ISNUMBER(SEARCH("G1",Z3978)),"G1",IF(ISNUMBER(SEARCH("G2",Z3978)),"G2",IF(ISNUMBER(SEARCH("G3",Z3978)),"G3",IF(ISNUMBER(SEARCH("古馬条件",Z3978)),"古馬条件戦",IF(ISNUMBER(SEARCH("重賞",Z3978)),"重賞","分類不能")))))))))</f>
        <v/>
      </c>
    </row>
    <row r="3979" customFormat="false" ht="15.75" hidden="false" customHeight="false" outlineLevel="0" collapsed="false">
      <c r="AO3979" s="8" t="str">
        <f aca="false">IF(A3979="","",IF(COUNTIFS(全馬データ!$A$2:$A$50000,A3979,全馬データ!$B$2:$B$50000,B3979,全馬データ!$C$2:$C$50000,C3979,全馬データ!$D$2:$D$50000,E3979,全馬データ!$K$2:$K$50000,"&lt;&gt;")=0,"",SUMIFS(全馬データ!$K$2:$K$50000,全馬データ!$A$2:$A$50000,A3979,全馬データ!$B$2:$B$50000,B3979,全馬データ!$C$2:$C$50000,C3979,全馬データ!$D$2:$D$50000,E3979)))</f>
        <v/>
      </c>
      <c r="AP3979" s="8" t="str">
        <f aca="false">IF(A3979="","",IF(AO3979="","欠損",IF(AO3979&lt;=1.1,"1.0～1.1",IF(AO3979&lt;1.3,"1.2",IF(AO3979&lt;1.5,"1.3～1.4",IF(AO3979&lt;2,"1.5～1.9","2.0以上"))))))</f>
        <v/>
      </c>
      <c r="AQ3979" s="8" t="str">
        <f aca="false">IF(A3979="","",IF(ISNUMBER(SEARCH("2歳",Z3979)),"2歳戦",IF(ISNUMBER(SEARCH("3歳未勝利",Z3979)),"3歳未勝利",IF(ISNUMBER(SEARCH("未勝利",Z3979)),"その他未勝利",IF(ISNUMBER(SEARCH("G1",Z3979)),"G1",IF(ISNUMBER(SEARCH("G2",Z3979)),"G2",IF(ISNUMBER(SEARCH("G3",Z3979)),"G3",IF(ISNUMBER(SEARCH("古馬条件",Z3979)),"古馬条件戦",IF(ISNUMBER(SEARCH("重賞",Z3979)),"重賞","分類不能")))))))))</f>
        <v/>
      </c>
    </row>
    <row r="3980" customFormat="false" ht="15.75" hidden="false" customHeight="false" outlineLevel="0" collapsed="false">
      <c r="AO3980" s="8" t="str">
        <f aca="false">IF(A3980="","",IF(COUNTIFS(全馬データ!$A$2:$A$50000,A3980,全馬データ!$B$2:$B$50000,B3980,全馬データ!$C$2:$C$50000,C3980,全馬データ!$D$2:$D$50000,E3980,全馬データ!$K$2:$K$50000,"&lt;&gt;")=0,"",SUMIFS(全馬データ!$K$2:$K$50000,全馬データ!$A$2:$A$50000,A3980,全馬データ!$B$2:$B$50000,B3980,全馬データ!$C$2:$C$50000,C3980,全馬データ!$D$2:$D$50000,E3980)))</f>
        <v/>
      </c>
      <c r="AP3980" s="8" t="str">
        <f aca="false">IF(A3980="","",IF(AO3980="","欠損",IF(AO3980&lt;=1.1,"1.0～1.1",IF(AO3980&lt;1.3,"1.2",IF(AO3980&lt;1.5,"1.3～1.4",IF(AO3980&lt;2,"1.5～1.9","2.0以上"))))))</f>
        <v/>
      </c>
      <c r="AQ3980" s="8" t="str">
        <f aca="false">IF(A3980="","",IF(ISNUMBER(SEARCH("2歳",Z3980)),"2歳戦",IF(ISNUMBER(SEARCH("3歳未勝利",Z3980)),"3歳未勝利",IF(ISNUMBER(SEARCH("未勝利",Z3980)),"その他未勝利",IF(ISNUMBER(SEARCH("G1",Z3980)),"G1",IF(ISNUMBER(SEARCH("G2",Z3980)),"G2",IF(ISNUMBER(SEARCH("G3",Z3980)),"G3",IF(ISNUMBER(SEARCH("古馬条件",Z3980)),"古馬条件戦",IF(ISNUMBER(SEARCH("重賞",Z3980)),"重賞","分類不能")))))))))</f>
        <v/>
      </c>
    </row>
    <row r="3981" customFormat="false" ht="15.75" hidden="false" customHeight="false" outlineLevel="0" collapsed="false">
      <c r="AO3981" s="8" t="str">
        <f aca="false">IF(A3981="","",IF(COUNTIFS(全馬データ!$A$2:$A$50000,A3981,全馬データ!$B$2:$B$50000,B3981,全馬データ!$C$2:$C$50000,C3981,全馬データ!$D$2:$D$50000,E3981,全馬データ!$K$2:$K$50000,"&lt;&gt;")=0,"",SUMIFS(全馬データ!$K$2:$K$50000,全馬データ!$A$2:$A$50000,A3981,全馬データ!$B$2:$B$50000,B3981,全馬データ!$C$2:$C$50000,C3981,全馬データ!$D$2:$D$50000,E3981)))</f>
        <v/>
      </c>
      <c r="AP3981" s="8" t="str">
        <f aca="false">IF(A3981="","",IF(AO3981="","欠損",IF(AO3981&lt;=1.1,"1.0～1.1",IF(AO3981&lt;1.3,"1.2",IF(AO3981&lt;1.5,"1.3～1.4",IF(AO3981&lt;2,"1.5～1.9","2.0以上"))))))</f>
        <v/>
      </c>
      <c r="AQ3981" s="8" t="str">
        <f aca="false">IF(A3981="","",IF(ISNUMBER(SEARCH("2歳",Z3981)),"2歳戦",IF(ISNUMBER(SEARCH("3歳未勝利",Z3981)),"3歳未勝利",IF(ISNUMBER(SEARCH("未勝利",Z3981)),"その他未勝利",IF(ISNUMBER(SEARCH("G1",Z3981)),"G1",IF(ISNUMBER(SEARCH("G2",Z3981)),"G2",IF(ISNUMBER(SEARCH("G3",Z3981)),"G3",IF(ISNUMBER(SEARCH("古馬条件",Z3981)),"古馬条件戦",IF(ISNUMBER(SEARCH("重賞",Z3981)),"重賞","分類不能")))))))))</f>
        <v/>
      </c>
    </row>
    <row r="3982" customFormat="false" ht="15.75" hidden="false" customHeight="false" outlineLevel="0" collapsed="false">
      <c r="AO3982" s="8" t="str">
        <f aca="false">IF(A3982="","",IF(COUNTIFS(全馬データ!$A$2:$A$50000,A3982,全馬データ!$B$2:$B$50000,B3982,全馬データ!$C$2:$C$50000,C3982,全馬データ!$D$2:$D$50000,E3982,全馬データ!$K$2:$K$50000,"&lt;&gt;")=0,"",SUMIFS(全馬データ!$K$2:$K$50000,全馬データ!$A$2:$A$50000,A3982,全馬データ!$B$2:$B$50000,B3982,全馬データ!$C$2:$C$50000,C3982,全馬データ!$D$2:$D$50000,E3982)))</f>
        <v/>
      </c>
      <c r="AP3982" s="8" t="str">
        <f aca="false">IF(A3982="","",IF(AO3982="","欠損",IF(AO3982&lt;=1.1,"1.0～1.1",IF(AO3982&lt;1.3,"1.2",IF(AO3982&lt;1.5,"1.3～1.4",IF(AO3982&lt;2,"1.5～1.9","2.0以上"))))))</f>
        <v/>
      </c>
      <c r="AQ3982" s="8" t="str">
        <f aca="false">IF(A3982="","",IF(ISNUMBER(SEARCH("2歳",Z3982)),"2歳戦",IF(ISNUMBER(SEARCH("3歳未勝利",Z3982)),"3歳未勝利",IF(ISNUMBER(SEARCH("未勝利",Z3982)),"その他未勝利",IF(ISNUMBER(SEARCH("G1",Z3982)),"G1",IF(ISNUMBER(SEARCH("G2",Z3982)),"G2",IF(ISNUMBER(SEARCH("G3",Z3982)),"G3",IF(ISNUMBER(SEARCH("古馬条件",Z3982)),"古馬条件戦",IF(ISNUMBER(SEARCH("重賞",Z3982)),"重賞","分類不能")))))))))</f>
        <v/>
      </c>
    </row>
    <row r="3983" customFormat="false" ht="15.75" hidden="false" customHeight="false" outlineLevel="0" collapsed="false">
      <c r="AO3983" s="8" t="str">
        <f aca="false">IF(A3983="","",IF(COUNTIFS(全馬データ!$A$2:$A$50000,A3983,全馬データ!$B$2:$B$50000,B3983,全馬データ!$C$2:$C$50000,C3983,全馬データ!$D$2:$D$50000,E3983,全馬データ!$K$2:$K$50000,"&lt;&gt;")=0,"",SUMIFS(全馬データ!$K$2:$K$50000,全馬データ!$A$2:$A$50000,A3983,全馬データ!$B$2:$B$50000,B3983,全馬データ!$C$2:$C$50000,C3983,全馬データ!$D$2:$D$50000,E3983)))</f>
        <v/>
      </c>
      <c r="AP3983" s="8" t="str">
        <f aca="false">IF(A3983="","",IF(AO3983="","欠損",IF(AO3983&lt;=1.1,"1.0～1.1",IF(AO3983&lt;1.3,"1.2",IF(AO3983&lt;1.5,"1.3～1.4",IF(AO3983&lt;2,"1.5～1.9","2.0以上"))))))</f>
        <v/>
      </c>
      <c r="AQ3983" s="8" t="str">
        <f aca="false">IF(A3983="","",IF(ISNUMBER(SEARCH("2歳",Z3983)),"2歳戦",IF(ISNUMBER(SEARCH("3歳未勝利",Z3983)),"3歳未勝利",IF(ISNUMBER(SEARCH("未勝利",Z3983)),"その他未勝利",IF(ISNUMBER(SEARCH("G1",Z3983)),"G1",IF(ISNUMBER(SEARCH("G2",Z3983)),"G2",IF(ISNUMBER(SEARCH("G3",Z3983)),"G3",IF(ISNUMBER(SEARCH("古馬条件",Z3983)),"古馬条件戦",IF(ISNUMBER(SEARCH("重賞",Z3983)),"重賞","分類不能")))))))))</f>
        <v/>
      </c>
    </row>
    <row r="3984" customFormat="false" ht="15.75" hidden="false" customHeight="false" outlineLevel="0" collapsed="false">
      <c r="AO3984" s="8" t="str">
        <f aca="false">IF(A3984="","",IF(COUNTIFS(全馬データ!$A$2:$A$50000,A3984,全馬データ!$B$2:$B$50000,B3984,全馬データ!$C$2:$C$50000,C3984,全馬データ!$D$2:$D$50000,E3984,全馬データ!$K$2:$K$50000,"&lt;&gt;")=0,"",SUMIFS(全馬データ!$K$2:$K$50000,全馬データ!$A$2:$A$50000,A3984,全馬データ!$B$2:$B$50000,B3984,全馬データ!$C$2:$C$50000,C3984,全馬データ!$D$2:$D$50000,E3984)))</f>
        <v/>
      </c>
      <c r="AP3984" s="8" t="str">
        <f aca="false">IF(A3984="","",IF(AO3984="","欠損",IF(AO3984&lt;=1.1,"1.0～1.1",IF(AO3984&lt;1.3,"1.2",IF(AO3984&lt;1.5,"1.3～1.4",IF(AO3984&lt;2,"1.5～1.9","2.0以上"))))))</f>
        <v/>
      </c>
      <c r="AQ3984" s="8" t="str">
        <f aca="false">IF(A3984="","",IF(ISNUMBER(SEARCH("2歳",Z3984)),"2歳戦",IF(ISNUMBER(SEARCH("3歳未勝利",Z3984)),"3歳未勝利",IF(ISNUMBER(SEARCH("未勝利",Z3984)),"その他未勝利",IF(ISNUMBER(SEARCH("G1",Z3984)),"G1",IF(ISNUMBER(SEARCH("G2",Z3984)),"G2",IF(ISNUMBER(SEARCH("G3",Z3984)),"G3",IF(ISNUMBER(SEARCH("古馬条件",Z3984)),"古馬条件戦",IF(ISNUMBER(SEARCH("重賞",Z3984)),"重賞","分類不能")))))))))</f>
        <v/>
      </c>
    </row>
    <row r="3985" customFormat="false" ht="15.75" hidden="false" customHeight="false" outlineLevel="0" collapsed="false">
      <c r="AO3985" s="8" t="str">
        <f aca="false">IF(A3985="","",IF(COUNTIFS(全馬データ!$A$2:$A$50000,A3985,全馬データ!$B$2:$B$50000,B3985,全馬データ!$C$2:$C$50000,C3985,全馬データ!$D$2:$D$50000,E3985,全馬データ!$K$2:$K$50000,"&lt;&gt;")=0,"",SUMIFS(全馬データ!$K$2:$K$50000,全馬データ!$A$2:$A$50000,A3985,全馬データ!$B$2:$B$50000,B3985,全馬データ!$C$2:$C$50000,C3985,全馬データ!$D$2:$D$50000,E3985)))</f>
        <v/>
      </c>
      <c r="AP3985" s="8" t="str">
        <f aca="false">IF(A3985="","",IF(AO3985="","欠損",IF(AO3985&lt;=1.1,"1.0～1.1",IF(AO3985&lt;1.3,"1.2",IF(AO3985&lt;1.5,"1.3～1.4",IF(AO3985&lt;2,"1.5～1.9","2.0以上"))))))</f>
        <v/>
      </c>
      <c r="AQ3985" s="8" t="str">
        <f aca="false">IF(A3985="","",IF(ISNUMBER(SEARCH("2歳",Z3985)),"2歳戦",IF(ISNUMBER(SEARCH("3歳未勝利",Z3985)),"3歳未勝利",IF(ISNUMBER(SEARCH("未勝利",Z3985)),"その他未勝利",IF(ISNUMBER(SEARCH("G1",Z3985)),"G1",IF(ISNUMBER(SEARCH("G2",Z3985)),"G2",IF(ISNUMBER(SEARCH("G3",Z3985)),"G3",IF(ISNUMBER(SEARCH("古馬条件",Z3985)),"古馬条件戦",IF(ISNUMBER(SEARCH("重賞",Z3985)),"重賞","分類不能")))))))))</f>
        <v/>
      </c>
    </row>
    <row r="3986" customFormat="false" ht="15.75" hidden="false" customHeight="false" outlineLevel="0" collapsed="false">
      <c r="AO3986" s="8" t="str">
        <f aca="false">IF(A3986="","",IF(COUNTIFS(全馬データ!$A$2:$A$50000,A3986,全馬データ!$B$2:$B$50000,B3986,全馬データ!$C$2:$C$50000,C3986,全馬データ!$D$2:$D$50000,E3986,全馬データ!$K$2:$K$50000,"&lt;&gt;")=0,"",SUMIFS(全馬データ!$K$2:$K$50000,全馬データ!$A$2:$A$50000,A3986,全馬データ!$B$2:$B$50000,B3986,全馬データ!$C$2:$C$50000,C3986,全馬データ!$D$2:$D$50000,E3986)))</f>
        <v/>
      </c>
      <c r="AP3986" s="8" t="str">
        <f aca="false">IF(A3986="","",IF(AO3986="","欠損",IF(AO3986&lt;=1.1,"1.0～1.1",IF(AO3986&lt;1.3,"1.2",IF(AO3986&lt;1.5,"1.3～1.4",IF(AO3986&lt;2,"1.5～1.9","2.0以上"))))))</f>
        <v/>
      </c>
      <c r="AQ3986" s="8" t="str">
        <f aca="false">IF(A3986="","",IF(ISNUMBER(SEARCH("2歳",Z3986)),"2歳戦",IF(ISNUMBER(SEARCH("3歳未勝利",Z3986)),"3歳未勝利",IF(ISNUMBER(SEARCH("未勝利",Z3986)),"その他未勝利",IF(ISNUMBER(SEARCH("G1",Z3986)),"G1",IF(ISNUMBER(SEARCH("G2",Z3986)),"G2",IF(ISNUMBER(SEARCH("G3",Z3986)),"G3",IF(ISNUMBER(SEARCH("古馬条件",Z3986)),"古馬条件戦",IF(ISNUMBER(SEARCH("重賞",Z3986)),"重賞","分類不能")))))))))</f>
        <v/>
      </c>
    </row>
    <row r="3987" customFormat="false" ht="15.75" hidden="false" customHeight="false" outlineLevel="0" collapsed="false">
      <c r="AO3987" s="8" t="str">
        <f aca="false">IF(A3987="","",IF(COUNTIFS(全馬データ!$A$2:$A$50000,A3987,全馬データ!$B$2:$B$50000,B3987,全馬データ!$C$2:$C$50000,C3987,全馬データ!$D$2:$D$50000,E3987,全馬データ!$K$2:$K$50000,"&lt;&gt;")=0,"",SUMIFS(全馬データ!$K$2:$K$50000,全馬データ!$A$2:$A$50000,A3987,全馬データ!$B$2:$B$50000,B3987,全馬データ!$C$2:$C$50000,C3987,全馬データ!$D$2:$D$50000,E3987)))</f>
        <v/>
      </c>
      <c r="AP3987" s="8" t="str">
        <f aca="false">IF(A3987="","",IF(AO3987="","欠損",IF(AO3987&lt;=1.1,"1.0～1.1",IF(AO3987&lt;1.3,"1.2",IF(AO3987&lt;1.5,"1.3～1.4",IF(AO3987&lt;2,"1.5～1.9","2.0以上"))))))</f>
        <v/>
      </c>
      <c r="AQ3987" s="8" t="str">
        <f aca="false">IF(A3987="","",IF(ISNUMBER(SEARCH("2歳",Z3987)),"2歳戦",IF(ISNUMBER(SEARCH("3歳未勝利",Z3987)),"3歳未勝利",IF(ISNUMBER(SEARCH("未勝利",Z3987)),"その他未勝利",IF(ISNUMBER(SEARCH("G1",Z3987)),"G1",IF(ISNUMBER(SEARCH("G2",Z3987)),"G2",IF(ISNUMBER(SEARCH("G3",Z3987)),"G3",IF(ISNUMBER(SEARCH("古馬条件",Z3987)),"古馬条件戦",IF(ISNUMBER(SEARCH("重賞",Z3987)),"重賞","分類不能")))))))))</f>
        <v/>
      </c>
    </row>
    <row r="3988" customFormat="false" ht="15.75" hidden="false" customHeight="false" outlineLevel="0" collapsed="false">
      <c r="AO3988" s="8" t="str">
        <f aca="false">IF(A3988="","",IF(COUNTIFS(全馬データ!$A$2:$A$50000,A3988,全馬データ!$B$2:$B$50000,B3988,全馬データ!$C$2:$C$50000,C3988,全馬データ!$D$2:$D$50000,E3988,全馬データ!$K$2:$K$50000,"&lt;&gt;")=0,"",SUMIFS(全馬データ!$K$2:$K$50000,全馬データ!$A$2:$A$50000,A3988,全馬データ!$B$2:$B$50000,B3988,全馬データ!$C$2:$C$50000,C3988,全馬データ!$D$2:$D$50000,E3988)))</f>
        <v/>
      </c>
      <c r="AP3988" s="8" t="str">
        <f aca="false">IF(A3988="","",IF(AO3988="","欠損",IF(AO3988&lt;=1.1,"1.0～1.1",IF(AO3988&lt;1.3,"1.2",IF(AO3988&lt;1.5,"1.3～1.4",IF(AO3988&lt;2,"1.5～1.9","2.0以上"))))))</f>
        <v/>
      </c>
      <c r="AQ3988" s="8" t="str">
        <f aca="false">IF(A3988="","",IF(ISNUMBER(SEARCH("2歳",Z3988)),"2歳戦",IF(ISNUMBER(SEARCH("3歳未勝利",Z3988)),"3歳未勝利",IF(ISNUMBER(SEARCH("未勝利",Z3988)),"その他未勝利",IF(ISNUMBER(SEARCH("G1",Z3988)),"G1",IF(ISNUMBER(SEARCH("G2",Z3988)),"G2",IF(ISNUMBER(SEARCH("G3",Z3988)),"G3",IF(ISNUMBER(SEARCH("古馬条件",Z3988)),"古馬条件戦",IF(ISNUMBER(SEARCH("重賞",Z3988)),"重賞","分類不能")))))))))</f>
        <v/>
      </c>
    </row>
    <row r="3989" customFormat="false" ht="15.75" hidden="false" customHeight="false" outlineLevel="0" collapsed="false">
      <c r="AO3989" s="8" t="str">
        <f aca="false">IF(A3989="","",IF(COUNTIFS(全馬データ!$A$2:$A$50000,A3989,全馬データ!$B$2:$B$50000,B3989,全馬データ!$C$2:$C$50000,C3989,全馬データ!$D$2:$D$50000,E3989,全馬データ!$K$2:$K$50000,"&lt;&gt;")=0,"",SUMIFS(全馬データ!$K$2:$K$50000,全馬データ!$A$2:$A$50000,A3989,全馬データ!$B$2:$B$50000,B3989,全馬データ!$C$2:$C$50000,C3989,全馬データ!$D$2:$D$50000,E3989)))</f>
        <v/>
      </c>
      <c r="AP3989" s="8" t="str">
        <f aca="false">IF(A3989="","",IF(AO3989="","欠損",IF(AO3989&lt;=1.1,"1.0～1.1",IF(AO3989&lt;1.3,"1.2",IF(AO3989&lt;1.5,"1.3～1.4",IF(AO3989&lt;2,"1.5～1.9","2.0以上"))))))</f>
        <v/>
      </c>
      <c r="AQ3989" s="8" t="str">
        <f aca="false">IF(A3989="","",IF(ISNUMBER(SEARCH("2歳",Z3989)),"2歳戦",IF(ISNUMBER(SEARCH("3歳未勝利",Z3989)),"3歳未勝利",IF(ISNUMBER(SEARCH("未勝利",Z3989)),"その他未勝利",IF(ISNUMBER(SEARCH("G1",Z3989)),"G1",IF(ISNUMBER(SEARCH("G2",Z3989)),"G2",IF(ISNUMBER(SEARCH("G3",Z3989)),"G3",IF(ISNUMBER(SEARCH("古馬条件",Z3989)),"古馬条件戦",IF(ISNUMBER(SEARCH("重賞",Z3989)),"重賞","分類不能")))))))))</f>
        <v/>
      </c>
    </row>
    <row r="3990" customFormat="false" ht="15.75" hidden="false" customHeight="false" outlineLevel="0" collapsed="false">
      <c r="AO3990" s="8" t="str">
        <f aca="false">IF(A3990="","",IF(COUNTIFS(全馬データ!$A$2:$A$50000,A3990,全馬データ!$B$2:$B$50000,B3990,全馬データ!$C$2:$C$50000,C3990,全馬データ!$D$2:$D$50000,E3990,全馬データ!$K$2:$K$50000,"&lt;&gt;")=0,"",SUMIFS(全馬データ!$K$2:$K$50000,全馬データ!$A$2:$A$50000,A3990,全馬データ!$B$2:$B$50000,B3990,全馬データ!$C$2:$C$50000,C3990,全馬データ!$D$2:$D$50000,E3990)))</f>
        <v/>
      </c>
      <c r="AP3990" s="8" t="str">
        <f aca="false">IF(A3990="","",IF(AO3990="","欠損",IF(AO3990&lt;=1.1,"1.0～1.1",IF(AO3990&lt;1.3,"1.2",IF(AO3990&lt;1.5,"1.3～1.4",IF(AO3990&lt;2,"1.5～1.9","2.0以上"))))))</f>
        <v/>
      </c>
      <c r="AQ3990" s="8" t="str">
        <f aca="false">IF(A3990="","",IF(ISNUMBER(SEARCH("2歳",Z3990)),"2歳戦",IF(ISNUMBER(SEARCH("3歳未勝利",Z3990)),"3歳未勝利",IF(ISNUMBER(SEARCH("未勝利",Z3990)),"その他未勝利",IF(ISNUMBER(SEARCH("G1",Z3990)),"G1",IF(ISNUMBER(SEARCH("G2",Z3990)),"G2",IF(ISNUMBER(SEARCH("G3",Z3990)),"G3",IF(ISNUMBER(SEARCH("古馬条件",Z3990)),"古馬条件戦",IF(ISNUMBER(SEARCH("重賞",Z3990)),"重賞","分類不能")))))))))</f>
        <v/>
      </c>
    </row>
    <row r="3991" customFormat="false" ht="15.75" hidden="false" customHeight="false" outlineLevel="0" collapsed="false">
      <c r="AO3991" s="8" t="str">
        <f aca="false">IF(A3991="","",IF(COUNTIFS(全馬データ!$A$2:$A$50000,A3991,全馬データ!$B$2:$B$50000,B3991,全馬データ!$C$2:$C$50000,C3991,全馬データ!$D$2:$D$50000,E3991,全馬データ!$K$2:$K$50000,"&lt;&gt;")=0,"",SUMIFS(全馬データ!$K$2:$K$50000,全馬データ!$A$2:$A$50000,A3991,全馬データ!$B$2:$B$50000,B3991,全馬データ!$C$2:$C$50000,C3991,全馬データ!$D$2:$D$50000,E3991)))</f>
        <v/>
      </c>
      <c r="AP3991" s="8" t="str">
        <f aca="false">IF(A3991="","",IF(AO3991="","欠損",IF(AO3991&lt;=1.1,"1.0～1.1",IF(AO3991&lt;1.3,"1.2",IF(AO3991&lt;1.5,"1.3～1.4",IF(AO3991&lt;2,"1.5～1.9","2.0以上"))))))</f>
        <v/>
      </c>
      <c r="AQ3991" s="8" t="str">
        <f aca="false">IF(A3991="","",IF(ISNUMBER(SEARCH("2歳",Z3991)),"2歳戦",IF(ISNUMBER(SEARCH("3歳未勝利",Z3991)),"3歳未勝利",IF(ISNUMBER(SEARCH("未勝利",Z3991)),"その他未勝利",IF(ISNUMBER(SEARCH("G1",Z3991)),"G1",IF(ISNUMBER(SEARCH("G2",Z3991)),"G2",IF(ISNUMBER(SEARCH("G3",Z3991)),"G3",IF(ISNUMBER(SEARCH("古馬条件",Z3991)),"古馬条件戦",IF(ISNUMBER(SEARCH("重賞",Z3991)),"重賞","分類不能")))))))))</f>
        <v/>
      </c>
    </row>
    <row r="3992" customFormat="false" ht="15.75" hidden="false" customHeight="false" outlineLevel="0" collapsed="false">
      <c r="AO3992" s="8" t="str">
        <f aca="false">IF(A3992="","",IF(COUNTIFS(全馬データ!$A$2:$A$50000,A3992,全馬データ!$B$2:$B$50000,B3992,全馬データ!$C$2:$C$50000,C3992,全馬データ!$D$2:$D$50000,E3992,全馬データ!$K$2:$K$50000,"&lt;&gt;")=0,"",SUMIFS(全馬データ!$K$2:$K$50000,全馬データ!$A$2:$A$50000,A3992,全馬データ!$B$2:$B$50000,B3992,全馬データ!$C$2:$C$50000,C3992,全馬データ!$D$2:$D$50000,E3992)))</f>
        <v/>
      </c>
      <c r="AP3992" s="8" t="str">
        <f aca="false">IF(A3992="","",IF(AO3992="","欠損",IF(AO3992&lt;=1.1,"1.0～1.1",IF(AO3992&lt;1.3,"1.2",IF(AO3992&lt;1.5,"1.3～1.4",IF(AO3992&lt;2,"1.5～1.9","2.0以上"))))))</f>
        <v/>
      </c>
      <c r="AQ3992" s="8" t="str">
        <f aca="false">IF(A3992="","",IF(ISNUMBER(SEARCH("2歳",Z3992)),"2歳戦",IF(ISNUMBER(SEARCH("3歳未勝利",Z3992)),"3歳未勝利",IF(ISNUMBER(SEARCH("未勝利",Z3992)),"その他未勝利",IF(ISNUMBER(SEARCH("G1",Z3992)),"G1",IF(ISNUMBER(SEARCH("G2",Z3992)),"G2",IF(ISNUMBER(SEARCH("G3",Z3992)),"G3",IF(ISNUMBER(SEARCH("古馬条件",Z3992)),"古馬条件戦",IF(ISNUMBER(SEARCH("重賞",Z3992)),"重賞","分類不能")))))))))</f>
        <v/>
      </c>
    </row>
    <row r="3993" customFormat="false" ht="15.75" hidden="false" customHeight="false" outlineLevel="0" collapsed="false">
      <c r="AO3993" s="8" t="str">
        <f aca="false">IF(A3993="","",IF(COUNTIFS(全馬データ!$A$2:$A$50000,A3993,全馬データ!$B$2:$B$50000,B3993,全馬データ!$C$2:$C$50000,C3993,全馬データ!$D$2:$D$50000,E3993,全馬データ!$K$2:$K$50000,"&lt;&gt;")=0,"",SUMIFS(全馬データ!$K$2:$K$50000,全馬データ!$A$2:$A$50000,A3993,全馬データ!$B$2:$B$50000,B3993,全馬データ!$C$2:$C$50000,C3993,全馬データ!$D$2:$D$50000,E3993)))</f>
        <v/>
      </c>
      <c r="AP3993" s="8" t="str">
        <f aca="false">IF(A3993="","",IF(AO3993="","欠損",IF(AO3993&lt;=1.1,"1.0～1.1",IF(AO3993&lt;1.3,"1.2",IF(AO3993&lt;1.5,"1.3～1.4",IF(AO3993&lt;2,"1.5～1.9","2.0以上"))))))</f>
        <v/>
      </c>
      <c r="AQ3993" s="8" t="str">
        <f aca="false">IF(A3993="","",IF(ISNUMBER(SEARCH("2歳",Z3993)),"2歳戦",IF(ISNUMBER(SEARCH("3歳未勝利",Z3993)),"3歳未勝利",IF(ISNUMBER(SEARCH("未勝利",Z3993)),"その他未勝利",IF(ISNUMBER(SEARCH("G1",Z3993)),"G1",IF(ISNUMBER(SEARCH("G2",Z3993)),"G2",IF(ISNUMBER(SEARCH("G3",Z3993)),"G3",IF(ISNUMBER(SEARCH("古馬条件",Z3993)),"古馬条件戦",IF(ISNUMBER(SEARCH("重賞",Z3993)),"重賞","分類不能")))))))))</f>
        <v/>
      </c>
    </row>
    <row r="3994" customFormat="false" ht="15.75" hidden="false" customHeight="false" outlineLevel="0" collapsed="false">
      <c r="AO3994" s="8" t="str">
        <f aca="false">IF(A3994="","",IF(COUNTIFS(全馬データ!$A$2:$A$50000,A3994,全馬データ!$B$2:$B$50000,B3994,全馬データ!$C$2:$C$50000,C3994,全馬データ!$D$2:$D$50000,E3994,全馬データ!$K$2:$K$50000,"&lt;&gt;")=0,"",SUMIFS(全馬データ!$K$2:$K$50000,全馬データ!$A$2:$A$50000,A3994,全馬データ!$B$2:$B$50000,B3994,全馬データ!$C$2:$C$50000,C3994,全馬データ!$D$2:$D$50000,E3994)))</f>
        <v/>
      </c>
      <c r="AP3994" s="8" t="str">
        <f aca="false">IF(A3994="","",IF(AO3994="","欠損",IF(AO3994&lt;=1.1,"1.0～1.1",IF(AO3994&lt;1.3,"1.2",IF(AO3994&lt;1.5,"1.3～1.4",IF(AO3994&lt;2,"1.5～1.9","2.0以上"))))))</f>
        <v/>
      </c>
      <c r="AQ3994" s="8" t="str">
        <f aca="false">IF(A3994="","",IF(ISNUMBER(SEARCH("2歳",Z3994)),"2歳戦",IF(ISNUMBER(SEARCH("3歳未勝利",Z3994)),"3歳未勝利",IF(ISNUMBER(SEARCH("未勝利",Z3994)),"その他未勝利",IF(ISNUMBER(SEARCH("G1",Z3994)),"G1",IF(ISNUMBER(SEARCH("G2",Z3994)),"G2",IF(ISNUMBER(SEARCH("G3",Z3994)),"G3",IF(ISNUMBER(SEARCH("古馬条件",Z3994)),"古馬条件戦",IF(ISNUMBER(SEARCH("重賞",Z3994)),"重賞","分類不能")))))))))</f>
        <v/>
      </c>
    </row>
    <row r="3995" customFormat="false" ht="15.75" hidden="false" customHeight="false" outlineLevel="0" collapsed="false">
      <c r="AO3995" s="8" t="str">
        <f aca="false">IF(A3995="","",IF(COUNTIFS(全馬データ!$A$2:$A$50000,A3995,全馬データ!$B$2:$B$50000,B3995,全馬データ!$C$2:$C$50000,C3995,全馬データ!$D$2:$D$50000,E3995,全馬データ!$K$2:$K$50000,"&lt;&gt;")=0,"",SUMIFS(全馬データ!$K$2:$K$50000,全馬データ!$A$2:$A$50000,A3995,全馬データ!$B$2:$B$50000,B3995,全馬データ!$C$2:$C$50000,C3995,全馬データ!$D$2:$D$50000,E3995)))</f>
        <v/>
      </c>
      <c r="AP3995" s="8" t="str">
        <f aca="false">IF(A3995="","",IF(AO3995="","欠損",IF(AO3995&lt;=1.1,"1.0～1.1",IF(AO3995&lt;1.3,"1.2",IF(AO3995&lt;1.5,"1.3～1.4",IF(AO3995&lt;2,"1.5～1.9","2.0以上"))))))</f>
        <v/>
      </c>
      <c r="AQ3995" s="8" t="str">
        <f aca="false">IF(A3995="","",IF(ISNUMBER(SEARCH("2歳",Z3995)),"2歳戦",IF(ISNUMBER(SEARCH("3歳未勝利",Z3995)),"3歳未勝利",IF(ISNUMBER(SEARCH("未勝利",Z3995)),"その他未勝利",IF(ISNUMBER(SEARCH("G1",Z3995)),"G1",IF(ISNUMBER(SEARCH("G2",Z3995)),"G2",IF(ISNUMBER(SEARCH("G3",Z3995)),"G3",IF(ISNUMBER(SEARCH("古馬条件",Z3995)),"古馬条件戦",IF(ISNUMBER(SEARCH("重賞",Z3995)),"重賞","分類不能")))))))))</f>
        <v/>
      </c>
    </row>
    <row r="3996" customFormat="false" ht="15.75" hidden="false" customHeight="false" outlineLevel="0" collapsed="false">
      <c r="AO3996" s="8" t="str">
        <f aca="false">IF(A3996="","",IF(COUNTIFS(全馬データ!$A$2:$A$50000,A3996,全馬データ!$B$2:$B$50000,B3996,全馬データ!$C$2:$C$50000,C3996,全馬データ!$D$2:$D$50000,E3996,全馬データ!$K$2:$K$50000,"&lt;&gt;")=0,"",SUMIFS(全馬データ!$K$2:$K$50000,全馬データ!$A$2:$A$50000,A3996,全馬データ!$B$2:$B$50000,B3996,全馬データ!$C$2:$C$50000,C3996,全馬データ!$D$2:$D$50000,E3996)))</f>
        <v/>
      </c>
      <c r="AP3996" s="8" t="str">
        <f aca="false">IF(A3996="","",IF(AO3996="","欠損",IF(AO3996&lt;=1.1,"1.0～1.1",IF(AO3996&lt;1.3,"1.2",IF(AO3996&lt;1.5,"1.3～1.4",IF(AO3996&lt;2,"1.5～1.9","2.0以上"))))))</f>
        <v/>
      </c>
      <c r="AQ3996" s="8" t="str">
        <f aca="false">IF(A3996="","",IF(ISNUMBER(SEARCH("2歳",Z3996)),"2歳戦",IF(ISNUMBER(SEARCH("3歳未勝利",Z3996)),"3歳未勝利",IF(ISNUMBER(SEARCH("未勝利",Z3996)),"その他未勝利",IF(ISNUMBER(SEARCH("G1",Z3996)),"G1",IF(ISNUMBER(SEARCH("G2",Z3996)),"G2",IF(ISNUMBER(SEARCH("G3",Z3996)),"G3",IF(ISNUMBER(SEARCH("古馬条件",Z3996)),"古馬条件戦",IF(ISNUMBER(SEARCH("重賞",Z3996)),"重賞","分類不能")))))))))</f>
        <v/>
      </c>
    </row>
    <row r="3997" customFormat="false" ht="15.75" hidden="false" customHeight="false" outlineLevel="0" collapsed="false">
      <c r="AO3997" s="8" t="str">
        <f aca="false">IF(A3997="","",IF(COUNTIFS(全馬データ!$A$2:$A$50000,A3997,全馬データ!$B$2:$B$50000,B3997,全馬データ!$C$2:$C$50000,C3997,全馬データ!$D$2:$D$50000,E3997,全馬データ!$K$2:$K$50000,"&lt;&gt;")=0,"",SUMIFS(全馬データ!$K$2:$K$50000,全馬データ!$A$2:$A$50000,A3997,全馬データ!$B$2:$B$50000,B3997,全馬データ!$C$2:$C$50000,C3997,全馬データ!$D$2:$D$50000,E3997)))</f>
        <v/>
      </c>
      <c r="AP3997" s="8" t="str">
        <f aca="false">IF(A3997="","",IF(AO3997="","欠損",IF(AO3997&lt;=1.1,"1.0～1.1",IF(AO3997&lt;1.3,"1.2",IF(AO3997&lt;1.5,"1.3～1.4",IF(AO3997&lt;2,"1.5～1.9","2.0以上"))))))</f>
        <v/>
      </c>
      <c r="AQ3997" s="8" t="str">
        <f aca="false">IF(A3997="","",IF(ISNUMBER(SEARCH("2歳",Z3997)),"2歳戦",IF(ISNUMBER(SEARCH("3歳未勝利",Z3997)),"3歳未勝利",IF(ISNUMBER(SEARCH("未勝利",Z3997)),"その他未勝利",IF(ISNUMBER(SEARCH("G1",Z3997)),"G1",IF(ISNUMBER(SEARCH("G2",Z3997)),"G2",IF(ISNUMBER(SEARCH("G3",Z3997)),"G3",IF(ISNUMBER(SEARCH("古馬条件",Z3997)),"古馬条件戦",IF(ISNUMBER(SEARCH("重賞",Z3997)),"重賞","分類不能")))))))))</f>
        <v/>
      </c>
    </row>
    <row r="3998" customFormat="false" ht="15.75" hidden="false" customHeight="false" outlineLevel="0" collapsed="false">
      <c r="AO3998" s="8" t="str">
        <f aca="false">IF(A3998="","",IF(COUNTIFS(全馬データ!$A$2:$A$50000,A3998,全馬データ!$B$2:$B$50000,B3998,全馬データ!$C$2:$C$50000,C3998,全馬データ!$D$2:$D$50000,E3998,全馬データ!$K$2:$K$50000,"&lt;&gt;")=0,"",SUMIFS(全馬データ!$K$2:$K$50000,全馬データ!$A$2:$A$50000,A3998,全馬データ!$B$2:$B$50000,B3998,全馬データ!$C$2:$C$50000,C3998,全馬データ!$D$2:$D$50000,E3998)))</f>
        <v/>
      </c>
      <c r="AP3998" s="8" t="str">
        <f aca="false">IF(A3998="","",IF(AO3998="","欠損",IF(AO3998&lt;=1.1,"1.0～1.1",IF(AO3998&lt;1.3,"1.2",IF(AO3998&lt;1.5,"1.3～1.4",IF(AO3998&lt;2,"1.5～1.9","2.0以上"))))))</f>
        <v/>
      </c>
      <c r="AQ3998" s="8" t="str">
        <f aca="false">IF(A3998="","",IF(ISNUMBER(SEARCH("2歳",Z3998)),"2歳戦",IF(ISNUMBER(SEARCH("3歳未勝利",Z3998)),"3歳未勝利",IF(ISNUMBER(SEARCH("未勝利",Z3998)),"その他未勝利",IF(ISNUMBER(SEARCH("G1",Z3998)),"G1",IF(ISNUMBER(SEARCH("G2",Z3998)),"G2",IF(ISNUMBER(SEARCH("G3",Z3998)),"G3",IF(ISNUMBER(SEARCH("古馬条件",Z3998)),"古馬条件戦",IF(ISNUMBER(SEARCH("重賞",Z3998)),"重賞","分類不能")))))))))</f>
        <v/>
      </c>
    </row>
    <row r="3999" customFormat="false" ht="15.75" hidden="false" customHeight="false" outlineLevel="0" collapsed="false">
      <c r="AO3999" s="8" t="str">
        <f aca="false">IF(A3999="","",IF(COUNTIFS(全馬データ!$A$2:$A$50000,A3999,全馬データ!$B$2:$B$50000,B3999,全馬データ!$C$2:$C$50000,C3999,全馬データ!$D$2:$D$50000,E3999,全馬データ!$K$2:$K$50000,"&lt;&gt;")=0,"",SUMIFS(全馬データ!$K$2:$K$50000,全馬データ!$A$2:$A$50000,A3999,全馬データ!$B$2:$B$50000,B3999,全馬データ!$C$2:$C$50000,C3999,全馬データ!$D$2:$D$50000,E3999)))</f>
        <v/>
      </c>
      <c r="AP3999" s="8" t="str">
        <f aca="false">IF(A3999="","",IF(AO3999="","欠損",IF(AO3999&lt;=1.1,"1.0～1.1",IF(AO3999&lt;1.3,"1.2",IF(AO3999&lt;1.5,"1.3～1.4",IF(AO3999&lt;2,"1.5～1.9","2.0以上"))))))</f>
        <v/>
      </c>
      <c r="AQ3999" s="8" t="str">
        <f aca="false">IF(A3999="","",IF(ISNUMBER(SEARCH("2歳",Z3999)),"2歳戦",IF(ISNUMBER(SEARCH("3歳未勝利",Z3999)),"3歳未勝利",IF(ISNUMBER(SEARCH("未勝利",Z3999)),"その他未勝利",IF(ISNUMBER(SEARCH("G1",Z3999)),"G1",IF(ISNUMBER(SEARCH("G2",Z3999)),"G2",IF(ISNUMBER(SEARCH("G3",Z3999)),"G3",IF(ISNUMBER(SEARCH("古馬条件",Z3999)),"古馬条件戦",IF(ISNUMBER(SEARCH("重賞",Z3999)),"重賞","分類不能")))))))))</f>
        <v/>
      </c>
    </row>
    <row r="4000" customFormat="false" ht="15.75" hidden="false" customHeight="false" outlineLevel="0" collapsed="false">
      <c r="AO4000" s="8" t="str">
        <f aca="false">IF(A4000="","",IF(COUNTIFS(全馬データ!$A$2:$A$50000,A4000,全馬データ!$B$2:$B$50000,B4000,全馬データ!$C$2:$C$50000,C4000,全馬データ!$D$2:$D$50000,E4000,全馬データ!$K$2:$K$50000,"&lt;&gt;")=0,"",SUMIFS(全馬データ!$K$2:$K$50000,全馬データ!$A$2:$A$50000,A4000,全馬データ!$B$2:$B$50000,B4000,全馬データ!$C$2:$C$50000,C4000,全馬データ!$D$2:$D$50000,E4000)))</f>
        <v/>
      </c>
      <c r="AP4000" s="8" t="str">
        <f aca="false">IF(A4000="","",IF(AO4000="","欠損",IF(AO4000&lt;=1.1,"1.0～1.1",IF(AO4000&lt;1.3,"1.2",IF(AO4000&lt;1.5,"1.3～1.4",IF(AO4000&lt;2,"1.5～1.9","2.0以上"))))))</f>
        <v/>
      </c>
      <c r="AQ4000" s="8" t="str">
        <f aca="false">IF(A4000="","",IF(ISNUMBER(SEARCH("2歳",Z4000)),"2歳戦",IF(ISNUMBER(SEARCH("3歳未勝利",Z4000)),"3歳未勝利",IF(ISNUMBER(SEARCH("未勝利",Z4000)),"その他未勝利",IF(ISNUMBER(SEARCH("G1",Z4000)),"G1",IF(ISNUMBER(SEARCH("G2",Z4000)),"G2",IF(ISNUMBER(SEARCH("G3",Z4000)),"G3",IF(ISNUMBER(SEARCH("古馬条件",Z4000)),"古馬条件戦",IF(ISNUMBER(SEARCH("重賞",Z4000)),"重賞","分類不能")))))))))</f>
        <v/>
      </c>
    </row>
    <row r="4001" customFormat="false" ht="15.75" hidden="false" customHeight="false" outlineLevel="0" collapsed="false">
      <c r="AO4001" s="8" t="str">
        <f aca="false">IF(A4001="","",IF(COUNTIFS(全馬データ!$A$2:$A$50000,A4001,全馬データ!$B$2:$B$50000,B4001,全馬データ!$C$2:$C$50000,C4001,全馬データ!$D$2:$D$50000,E4001,全馬データ!$K$2:$K$50000,"&lt;&gt;")=0,"",SUMIFS(全馬データ!$K$2:$K$50000,全馬データ!$A$2:$A$50000,A4001,全馬データ!$B$2:$B$50000,B4001,全馬データ!$C$2:$C$50000,C4001,全馬データ!$D$2:$D$50000,E4001)))</f>
        <v/>
      </c>
      <c r="AP4001" s="8" t="str">
        <f aca="false">IF(A4001="","",IF(AO4001="","欠損",IF(AO4001&lt;=1.1,"1.0～1.1",IF(AO4001&lt;1.3,"1.2",IF(AO4001&lt;1.5,"1.3～1.4",IF(AO4001&lt;2,"1.5～1.9","2.0以上"))))))</f>
        <v/>
      </c>
      <c r="AQ4001" s="8" t="str">
        <f aca="false">IF(A4001="","",IF(ISNUMBER(SEARCH("2歳",Z4001)),"2歳戦",IF(ISNUMBER(SEARCH("3歳未勝利",Z4001)),"3歳未勝利",IF(ISNUMBER(SEARCH("未勝利",Z4001)),"その他未勝利",IF(ISNUMBER(SEARCH("G1",Z4001)),"G1",IF(ISNUMBER(SEARCH("G2",Z4001)),"G2",IF(ISNUMBER(SEARCH("G3",Z4001)),"G3",IF(ISNUMBER(SEARCH("古馬条件",Z4001)),"古馬条件戦",IF(ISNUMBER(SEARCH("重賞",Z4001)),"重賞","分類不能")))))))))</f>
        <v/>
      </c>
    </row>
    <row r="4002" customFormat="false" ht="15.75" hidden="false" customHeight="false" outlineLevel="0" collapsed="false">
      <c r="AO4002" s="8" t="str">
        <f aca="false">IF(A4002="","",IF(COUNTIFS(全馬データ!$A$2:$A$50000,A4002,全馬データ!$B$2:$B$50000,B4002,全馬データ!$C$2:$C$50000,C4002,全馬データ!$D$2:$D$50000,E4002,全馬データ!$K$2:$K$50000,"&lt;&gt;")=0,"",SUMIFS(全馬データ!$K$2:$K$50000,全馬データ!$A$2:$A$50000,A4002,全馬データ!$B$2:$B$50000,B4002,全馬データ!$C$2:$C$50000,C4002,全馬データ!$D$2:$D$50000,E4002)))</f>
        <v/>
      </c>
      <c r="AP4002" s="8" t="str">
        <f aca="false">IF(A4002="","",IF(AO4002="","欠損",IF(AO4002&lt;=1.1,"1.0～1.1",IF(AO4002&lt;1.3,"1.2",IF(AO4002&lt;1.5,"1.3～1.4",IF(AO4002&lt;2,"1.5～1.9","2.0以上"))))))</f>
        <v/>
      </c>
      <c r="AQ4002" s="8" t="str">
        <f aca="false">IF(A4002="","",IF(ISNUMBER(SEARCH("2歳",Z4002)),"2歳戦",IF(ISNUMBER(SEARCH("3歳未勝利",Z4002)),"3歳未勝利",IF(ISNUMBER(SEARCH("未勝利",Z4002)),"その他未勝利",IF(ISNUMBER(SEARCH("G1",Z4002)),"G1",IF(ISNUMBER(SEARCH("G2",Z4002)),"G2",IF(ISNUMBER(SEARCH("G3",Z4002)),"G3",IF(ISNUMBER(SEARCH("古馬条件",Z4002)),"古馬条件戦",IF(ISNUMBER(SEARCH("重賞",Z4002)),"重賞","分類不能")))))))))</f>
        <v/>
      </c>
    </row>
    <row r="4003" customFormat="false" ht="15.75" hidden="false" customHeight="false" outlineLevel="0" collapsed="false">
      <c r="AO4003" s="8" t="str">
        <f aca="false">IF(A4003="","",IF(COUNTIFS(全馬データ!$A$2:$A$50000,A4003,全馬データ!$B$2:$B$50000,B4003,全馬データ!$C$2:$C$50000,C4003,全馬データ!$D$2:$D$50000,E4003,全馬データ!$K$2:$K$50000,"&lt;&gt;")=0,"",SUMIFS(全馬データ!$K$2:$K$50000,全馬データ!$A$2:$A$50000,A4003,全馬データ!$B$2:$B$50000,B4003,全馬データ!$C$2:$C$50000,C4003,全馬データ!$D$2:$D$50000,E4003)))</f>
        <v/>
      </c>
      <c r="AP4003" s="8" t="str">
        <f aca="false">IF(A4003="","",IF(AO4003="","欠損",IF(AO4003&lt;=1.1,"1.0～1.1",IF(AO4003&lt;1.3,"1.2",IF(AO4003&lt;1.5,"1.3～1.4",IF(AO4003&lt;2,"1.5～1.9","2.0以上"))))))</f>
        <v/>
      </c>
      <c r="AQ4003" s="8" t="str">
        <f aca="false">IF(A4003="","",IF(ISNUMBER(SEARCH("2歳",Z4003)),"2歳戦",IF(ISNUMBER(SEARCH("3歳未勝利",Z4003)),"3歳未勝利",IF(ISNUMBER(SEARCH("未勝利",Z4003)),"その他未勝利",IF(ISNUMBER(SEARCH("G1",Z4003)),"G1",IF(ISNUMBER(SEARCH("G2",Z4003)),"G2",IF(ISNUMBER(SEARCH("G3",Z4003)),"G3",IF(ISNUMBER(SEARCH("古馬条件",Z4003)),"古馬条件戦",IF(ISNUMBER(SEARCH("重賞",Z4003)),"重賞","分類不能")))))))))</f>
        <v/>
      </c>
    </row>
    <row r="4004" customFormat="false" ht="15.75" hidden="false" customHeight="false" outlineLevel="0" collapsed="false">
      <c r="AO4004" s="8" t="str">
        <f aca="false">IF(A4004="","",IF(COUNTIFS(全馬データ!$A$2:$A$50000,A4004,全馬データ!$B$2:$B$50000,B4004,全馬データ!$C$2:$C$50000,C4004,全馬データ!$D$2:$D$50000,E4004,全馬データ!$K$2:$K$50000,"&lt;&gt;")=0,"",SUMIFS(全馬データ!$K$2:$K$50000,全馬データ!$A$2:$A$50000,A4004,全馬データ!$B$2:$B$50000,B4004,全馬データ!$C$2:$C$50000,C4004,全馬データ!$D$2:$D$50000,E4004)))</f>
        <v/>
      </c>
      <c r="AP4004" s="8" t="str">
        <f aca="false">IF(A4004="","",IF(AO4004="","欠損",IF(AO4004&lt;=1.1,"1.0～1.1",IF(AO4004&lt;1.3,"1.2",IF(AO4004&lt;1.5,"1.3～1.4",IF(AO4004&lt;2,"1.5～1.9","2.0以上"))))))</f>
        <v/>
      </c>
      <c r="AQ4004" s="8" t="str">
        <f aca="false">IF(A4004="","",IF(ISNUMBER(SEARCH("2歳",Z4004)),"2歳戦",IF(ISNUMBER(SEARCH("3歳未勝利",Z4004)),"3歳未勝利",IF(ISNUMBER(SEARCH("未勝利",Z4004)),"その他未勝利",IF(ISNUMBER(SEARCH("G1",Z4004)),"G1",IF(ISNUMBER(SEARCH("G2",Z4004)),"G2",IF(ISNUMBER(SEARCH("G3",Z4004)),"G3",IF(ISNUMBER(SEARCH("古馬条件",Z4004)),"古馬条件戦",IF(ISNUMBER(SEARCH("重賞",Z4004)),"重賞","分類不能")))))))))</f>
        <v/>
      </c>
    </row>
    <row r="4005" customFormat="false" ht="15.75" hidden="false" customHeight="false" outlineLevel="0" collapsed="false">
      <c r="AO4005" s="8" t="str">
        <f aca="false">IF(A4005="","",IF(COUNTIFS(全馬データ!$A$2:$A$50000,A4005,全馬データ!$B$2:$B$50000,B4005,全馬データ!$C$2:$C$50000,C4005,全馬データ!$D$2:$D$50000,E4005,全馬データ!$K$2:$K$50000,"&lt;&gt;")=0,"",SUMIFS(全馬データ!$K$2:$K$50000,全馬データ!$A$2:$A$50000,A4005,全馬データ!$B$2:$B$50000,B4005,全馬データ!$C$2:$C$50000,C4005,全馬データ!$D$2:$D$50000,E4005)))</f>
        <v/>
      </c>
      <c r="AP4005" s="8" t="str">
        <f aca="false">IF(A4005="","",IF(AO4005="","欠損",IF(AO4005&lt;=1.1,"1.0～1.1",IF(AO4005&lt;1.3,"1.2",IF(AO4005&lt;1.5,"1.3～1.4",IF(AO4005&lt;2,"1.5～1.9","2.0以上"))))))</f>
        <v/>
      </c>
      <c r="AQ4005" s="8" t="str">
        <f aca="false">IF(A4005="","",IF(ISNUMBER(SEARCH("2歳",Z4005)),"2歳戦",IF(ISNUMBER(SEARCH("3歳未勝利",Z4005)),"3歳未勝利",IF(ISNUMBER(SEARCH("未勝利",Z4005)),"その他未勝利",IF(ISNUMBER(SEARCH("G1",Z4005)),"G1",IF(ISNUMBER(SEARCH("G2",Z4005)),"G2",IF(ISNUMBER(SEARCH("G3",Z4005)),"G3",IF(ISNUMBER(SEARCH("古馬条件",Z4005)),"古馬条件戦",IF(ISNUMBER(SEARCH("重賞",Z4005)),"重賞","分類不能")))))))))</f>
        <v/>
      </c>
    </row>
    <row r="4006" customFormat="false" ht="15.75" hidden="false" customHeight="false" outlineLevel="0" collapsed="false">
      <c r="AO4006" s="8" t="str">
        <f aca="false">IF(A4006="","",IF(COUNTIFS(全馬データ!$A$2:$A$50000,A4006,全馬データ!$B$2:$B$50000,B4006,全馬データ!$C$2:$C$50000,C4006,全馬データ!$D$2:$D$50000,E4006,全馬データ!$K$2:$K$50000,"&lt;&gt;")=0,"",SUMIFS(全馬データ!$K$2:$K$50000,全馬データ!$A$2:$A$50000,A4006,全馬データ!$B$2:$B$50000,B4006,全馬データ!$C$2:$C$50000,C4006,全馬データ!$D$2:$D$50000,E4006)))</f>
        <v/>
      </c>
      <c r="AP4006" s="8" t="str">
        <f aca="false">IF(A4006="","",IF(AO4006="","欠損",IF(AO4006&lt;=1.1,"1.0～1.1",IF(AO4006&lt;1.3,"1.2",IF(AO4006&lt;1.5,"1.3～1.4",IF(AO4006&lt;2,"1.5～1.9","2.0以上"))))))</f>
        <v/>
      </c>
      <c r="AQ4006" s="8" t="str">
        <f aca="false">IF(A4006="","",IF(ISNUMBER(SEARCH("2歳",Z4006)),"2歳戦",IF(ISNUMBER(SEARCH("3歳未勝利",Z4006)),"3歳未勝利",IF(ISNUMBER(SEARCH("未勝利",Z4006)),"その他未勝利",IF(ISNUMBER(SEARCH("G1",Z4006)),"G1",IF(ISNUMBER(SEARCH("G2",Z4006)),"G2",IF(ISNUMBER(SEARCH("G3",Z4006)),"G3",IF(ISNUMBER(SEARCH("古馬条件",Z4006)),"古馬条件戦",IF(ISNUMBER(SEARCH("重賞",Z4006)),"重賞","分類不能")))))))))</f>
        <v/>
      </c>
    </row>
    <row r="4007" customFormat="false" ht="15.75" hidden="false" customHeight="false" outlineLevel="0" collapsed="false">
      <c r="AO4007" s="8" t="str">
        <f aca="false">IF(A4007="","",IF(COUNTIFS(全馬データ!$A$2:$A$50000,A4007,全馬データ!$B$2:$B$50000,B4007,全馬データ!$C$2:$C$50000,C4007,全馬データ!$D$2:$D$50000,E4007,全馬データ!$K$2:$K$50000,"&lt;&gt;")=0,"",SUMIFS(全馬データ!$K$2:$K$50000,全馬データ!$A$2:$A$50000,A4007,全馬データ!$B$2:$B$50000,B4007,全馬データ!$C$2:$C$50000,C4007,全馬データ!$D$2:$D$50000,E4007)))</f>
        <v/>
      </c>
      <c r="AP4007" s="8" t="str">
        <f aca="false">IF(A4007="","",IF(AO4007="","欠損",IF(AO4007&lt;=1.1,"1.0～1.1",IF(AO4007&lt;1.3,"1.2",IF(AO4007&lt;1.5,"1.3～1.4",IF(AO4007&lt;2,"1.5～1.9","2.0以上"))))))</f>
        <v/>
      </c>
      <c r="AQ4007" s="8" t="str">
        <f aca="false">IF(A4007="","",IF(ISNUMBER(SEARCH("2歳",Z4007)),"2歳戦",IF(ISNUMBER(SEARCH("3歳未勝利",Z4007)),"3歳未勝利",IF(ISNUMBER(SEARCH("未勝利",Z4007)),"その他未勝利",IF(ISNUMBER(SEARCH("G1",Z4007)),"G1",IF(ISNUMBER(SEARCH("G2",Z4007)),"G2",IF(ISNUMBER(SEARCH("G3",Z4007)),"G3",IF(ISNUMBER(SEARCH("古馬条件",Z4007)),"古馬条件戦",IF(ISNUMBER(SEARCH("重賞",Z4007)),"重賞","分類不能")))))))))</f>
        <v/>
      </c>
    </row>
    <row r="4008" customFormat="false" ht="15.75" hidden="false" customHeight="false" outlineLevel="0" collapsed="false">
      <c r="AO4008" s="8" t="str">
        <f aca="false">IF(A4008="","",IF(COUNTIFS(全馬データ!$A$2:$A$50000,A4008,全馬データ!$B$2:$B$50000,B4008,全馬データ!$C$2:$C$50000,C4008,全馬データ!$D$2:$D$50000,E4008,全馬データ!$K$2:$K$50000,"&lt;&gt;")=0,"",SUMIFS(全馬データ!$K$2:$K$50000,全馬データ!$A$2:$A$50000,A4008,全馬データ!$B$2:$B$50000,B4008,全馬データ!$C$2:$C$50000,C4008,全馬データ!$D$2:$D$50000,E4008)))</f>
        <v/>
      </c>
      <c r="AP4008" s="8" t="str">
        <f aca="false">IF(A4008="","",IF(AO4008="","欠損",IF(AO4008&lt;=1.1,"1.0～1.1",IF(AO4008&lt;1.3,"1.2",IF(AO4008&lt;1.5,"1.3～1.4",IF(AO4008&lt;2,"1.5～1.9","2.0以上"))))))</f>
        <v/>
      </c>
      <c r="AQ4008" s="8" t="str">
        <f aca="false">IF(A4008="","",IF(ISNUMBER(SEARCH("2歳",Z4008)),"2歳戦",IF(ISNUMBER(SEARCH("3歳未勝利",Z4008)),"3歳未勝利",IF(ISNUMBER(SEARCH("未勝利",Z4008)),"その他未勝利",IF(ISNUMBER(SEARCH("G1",Z4008)),"G1",IF(ISNUMBER(SEARCH("G2",Z4008)),"G2",IF(ISNUMBER(SEARCH("G3",Z4008)),"G3",IF(ISNUMBER(SEARCH("古馬条件",Z4008)),"古馬条件戦",IF(ISNUMBER(SEARCH("重賞",Z4008)),"重賞","分類不能")))))))))</f>
        <v/>
      </c>
    </row>
    <row r="4009" customFormat="false" ht="15.75" hidden="false" customHeight="false" outlineLevel="0" collapsed="false">
      <c r="AO4009" s="8" t="str">
        <f aca="false">IF(A4009="","",IF(COUNTIFS(全馬データ!$A$2:$A$50000,A4009,全馬データ!$B$2:$B$50000,B4009,全馬データ!$C$2:$C$50000,C4009,全馬データ!$D$2:$D$50000,E4009,全馬データ!$K$2:$K$50000,"&lt;&gt;")=0,"",SUMIFS(全馬データ!$K$2:$K$50000,全馬データ!$A$2:$A$50000,A4009,全馬データ!$B$2:$B$50000,B4009,全馬データ!$C$2:$C$50000,C4009,全馬データ!$D$2:$D$50000,E4009)))</f>
        <v/>
      </c>
      <c r="AP4009" s="8" t="str">
        <f aca="false">IF(A4009="","",IF(AO4009="","欠損",IF(AO4009&lt;=1.1,"1.0～1.1",IF(AO4009&lt;1.3,"1.2",IF(AO4009&lt;1.5,"1.3～1.4",IF(AO4009&lt;2,"1.5～1.9","2.0以上"))))))</f>
        <v/>
      </c>
      <c r="AQ4009" s="8" t="str">
        <f aca="false">IF(A4009="","",IF(ISNUMBER(SEARCH("2歳",Z4009)),"2歳戦",IF(ISNUMBER(SEARCH("3歳未勝利",Z4009)),"3歳未勝利",IF(ISNUMBER(SEARCH("未勝利",Z4009)),"その他未勝利",IF(ISNUMBER(SEARCH("G1",Z4009)),"G1",IF(ISNUMBER(SEARCH("G2",Z4009)),"G2",IF(ISNUMBER(SEARCH("G3",Z4009)),"G3",IF(ISNUMBER(SEARCH("古馬条件",Z4009)),"古馬条件戦",IF(ISNUMBER(SEARCH("重賞",Z4009)),"重賞","分類不能")))))))))</f>
        <v/>
      </c>
    </row>
    <row r="4010" customFormat="false" ht="15.75" hidden="false" customHeight="false" outlineLevel="0" collapsed="false">
      <c r="AO4010" s="8" t="str">
        <f aca="false">IF(A4010="","",IF(COUNTIFS(全馬データ!$A$2:$A$50000,A4010,全馬データ!$B$2:$B$50000,B4010,全馬データ!$C$2:$C$50000,C4010,全馬データ!$D$2:$D$50000,E4010,全馬データ!$K$2:$K$50000,"&lt;&gt;")=0,"",SUMIFS(全馬データ!$K$2:$K$50000,全馬データ!$A$2:$A$50000,A4010,全馬データ!$B$2:$B$50000,B4010,全馬データ!$C$2:$C$50000,C4010,全馬データ!$D$2:$D$50000,E4010)))</f>
        <v/>
      </c>
      <c r="AP4010" s="8" t="str">
        <f aca="false">IF(A4010="","",IF(AO4010="","欠損",IF(AO4010&lt;=1.1,"1.0～1.1",IF(AO4010&lt;1.3,"1.2",IF(AO4010&lt;1.5,"1.3～1.4",IF(AO4010&lt;2,"1.5～1.9","2.0以上"))))))</f>
        <v/>
      </c>
      <c r="AQ4010" s="8" t="str">
        <f aca="false">IF(A4010="","",IF(ISNUMBER(SEARCH("2歳",Z4010)),"2歳戦",IF(ISNUMBER(SEARCH("3歳未勝利",Z4010)),"3歳未勝利",IF(ISNUMBER(SEARCH("未勝利",Z4010)),"その他未勝利",IF(ISNUMBER(SEARCH("G1",Z4010)),"G1",IF(ISNUMBER(SEARCH("G2",Z4010)),"G2",IF(ISNUMBER(SEARCH("G3",Z4010)),"G3",IF(ISNUMBER(SEARCH("古馬条件",Z4010)),"古馬条件戦",IF(ISNUMBER(SEARCH("重賞",Z4010)),"重賞","分類不能")))))))))</f>
        <v/>
      </c>
    </row>
    <row r="4011" customFormat="false" ht="15.75" hidden="false" customHeight="false" outlineLevel="0" collapsed="false">
      <c r="AO4011" s="8" t="str">
        <f aca="false">IF(A4011="","",IF(COUNTIFS(全馬データ!$A$2:$A$50000,A4011,全馬データ!$B$2:$B$50000,B4011,全馬データ!$C$2:$C$50000,C4011,全馬データ!$D$2:$D$50000,E4011,全馬データ!$K$2:$K$50000,"&lt;&gt;")=0,"",SUMIFS(全馬データ!$K$2:$K$50000,全馬データ!$A$2:$A$50000,A4011,全馬データ!$B$2:$B$50000,B4011,全馬データ!$C$2:$C$50000,C4011,全馬データ!$D$2:$D$50000,E4011)))</f>
        <v/>
      </c>
      <c r="AP4011" s="8" t="str">
        <f aca="false">IF(A4011="","",IF(AO4011="","欠損",IF(AO4011&lt;=1.1,"1.0～1.1",IF(AO4011&lt;1.3,"1.2",IF(AO4011&lt;1.5,"1.3～1.4",IF(AO4011&lt;2,"1.5～1.9","2.0以上"))))))</f>
        <v/>
      </c>
      <c r="AQ4011" s="8" t="str">
        <f aca="false">IF(A4011="","",IF(ISNUMBER(SEARCH("2歳",Z4011)),"2歳戦",IF(ISNUMBER(SEARCH("3歳未勝利",Z4011)),"3歳未勝利",IF(ISNUMBER(SEARCH("未勝利",Z4011)),"その他未勝利",IF(ISNUMBER(SEARCH("G1",Z4011)),"G1",IF(ISNUMBER(SEARCH("G2",Z4011)),"G2",IF(ISNUMBER(SEARCH("G3",Z4011)),"G3",IF(ISNUMBER(SEARCH("古馬条件",Z4011)),"古馬条件戦",IF(ISNUMBER(SEARCH("重賞",Z4011)),"重賞","分類不能")))))))))</f>
        <v/>
      </c>
    </row>
    <row r="4012" customFormat="false" ht="15.75" hidden="false" customHeight="false" outlineLevel="0" collapsed="false">
      <c r="AO4012" s="8" t="str">
        <f aca="false">IF(A4012="","",IF(COUNTIFS(全馬データ!$A$2:$A$50000,A4012,全馬データ!$B$2:$B$50000,B4012,全馬データ!$C$2:$C$50000,C4012,全馬データ!$D$2:$D$50000,E4012,全馬データ!$K$2:$K$50000,"&lt;&gt;")=0,"",SUMIFS(全馬データ!$K$2:$K$50000,全馬データ!$A$2:$A$50000,A4012,全馬データ!$B$2:$B$50000,B4012,全馬データ!$C$2:$C$50000,C4012,全馬データ!$D$2:$D$50000,E4012)))</f>
        <v/>
      </c>
      <c r="AP4012" s="8" t="str">
        <f aca="false">IF(A4012="","",IF(AO4012="","欠損",IF(AO4012&lt;=1.1,"1.0～1.1",IF(AO4012&lt;1.3,"1.2",IF(AO4012&lt;1.5,"1.3～1.4",IF(AO4012&lt;2,"1.5～1.9","2.0以上"))))))</f>
        <v/>
      </c>
      <c r="AQ4012" s="8" t="str">
        <f aca="false">IF(A4012="","",IF(ISNUMBER(SEARCH("2歳",Z4012)),"2歳戦",IF(ISNUMBER(SEARCH("3歳未勝利",Z4012)),"3歳未勝利",IF(ISNUMBER(SEARCH("未勝利",Z4012)),"その他未勝利",IF(ISNUMBER(SEARCH("G1",Z4012)),"G1",IF(ISNUMBER(SEARCH("G2",Z4012)),"G2",IF(ISNUMBER(SEARCH("G3",Z4012)),"G3",IF(ISNUMBER(SEARCH("古馬条件",Z4012)),"古馬条件戦",IF(ISNUMBER(SEARCH("重賞",Z4012)),"重賞","分類不能")))))))))</f>
        <v/>
      </c>
    </row>
    <row r="4013" customFormat="false" ht="15.75" hidden="false" customHeight="false" outlineLevel="0" collapsed="false">
      <c r="AO4013" s="8" t="str">
        <f aca="false">IF(A4013="","",IF(COUNTIFS(全馬データ!$A$2:$A$50000,A4013,全馬データ!$B$2:$B$50000,B4013,全馬データ!$C$2:$C$50000,C4013,全馬データ!$D$2:$D$50000,E4013,全馬データ!$K$2:$K$50000,"&lt;&gt;")=0,"",SUMIFS(全馬データ!$K$2:$K$50000,全馬データ!$A$2:$A$50000,A4013,全馬データ!$B$2:$B$50000,B4013,全馬データ!$C$2:$C$50000,C4013,全馬データ!$D$2:$D$50000,E4013)))</f>
        <v/>
      </c>
      <c r="AP4013" s="8" t="str">
        <f aca="false">IF(A4013="","",IF(AO4013="","欠損",IF(AO4013&lt;=1.1,"1.0～1.1",IF(AO4013&lt;1.3,"1.2",IF(AO4013&lt;1.5,"1.3～1.4",IF(AO4013&lt;2,"1.5～1.9","2.0以上"))))))</f>
        <v/>
      </c>
      <c r="AQ4013" s="8" t="str">
        <f aca="false">IF(A4013="","",IF(ISNUMBER(SEARCH("2歳",Z4013)),"2歳戦",IF(ISNUMBER(SEARCH("3歳未勝利",Z4013)),"3歳未勝利",IF(ISNUMBER(SEARCH("未勝利",Z4013)),"その他未勝利",IF(ISNUMBER(SEARCH("G1",Z4013)),"G1",IF(ISNUMBER(SEARCH("G2",Z4013)),"G2",IF(ISNUMBER(SEARCH("G3",Z4013)),"G3",IF(ISNUMBER(SEARCH("古馬条件",Z4013)),"古馬条件戦",IF(ISNUMBER(SEARCH("重賞",Z4013)),"重賞","分類不能")))))))))</f>
        <v/>
      </c>
    </row>
    <row r="4014" customFormat="false" ht="15.75" hidden="false" customHeight="false" outlineLevel="0" collapsed="false">
      <c r="AO4014" s="8" t="str">
        <f aca="false">IF(A4014="","",IF(COUNTIFS(全馬データ!$A$2:$A$50000,A4014,全馬データ!$B$2:$B$50000,B4014,全馬データ!$C$2:$C$50000,C4014,全馬データ!$D$2:$D$50000,E4014,全馬データ!$K$2:$K$50000,"&lt;&gt;")=0,"",SUMIFS(全馬データ!$K$2:$K$50000,全馬データ!$A$2:$A$50000,A4014,全馬データ!$B$2:$B$50000,B4014,全馬データ!$C$2:$C$50000,C4014,全馬データ!$D$2:$D$50000,E4014)))</f>
        <v/>
      </c>
      <c r="AP4014" s="8" t="str">
        <f aca="false">IF(A4014="","",IF(AO4014="","欠損",IF(AO4014&lt;=1.1,"1.0～1.1",IF(AO4014&lt;1.3,"1.2",IF(AO4014&lt;1.5,"1.3～1.4",IF(AO4014&lt;2,"1.5～1.9","2.0以上"))))))</f>
        <v/>
      </c>
      <c r="AQ4014" s="8" t="str">
        <f aca="false">IF(A4014="","",IF(ISNUMBER(SEARCH("2歳",Z4014)),"2歳戦",IF(ISNUMBER(SEARCH("3歳未勝利",Z4014)),"3歳未勝利",IF(ISNUMBER(SEARCH("未勝利",Z4014)),"その他未勝利",IF(ISNUMBER(SEARCH("G1",Z4014)),"G1",IF(ISNUMBER(SEARCH("G2",Z4014)),"G2",IF(ISNUMBER(SEARCH("G3",Z4014)),"G3",IF(ISNUMBER(SEARCH("古馬条件",Z4014)),"古馬条件戦",IF(ISNUMBER(SEARCH("重賞",Z4014)),"重賞","分類不能")))))))))</f>
        <v/>
      </c>
    </row>
    <row r="4015" customFormat="false" ht="15.75" hidden="false" customHeight="false" outlineLevel="0" collapsed="false">
      <c r="AO4015" s="8" t="str">
        <f aca="false">IF(A4015="","",IF(COUNTIFS(全馬データ!$A$2:$A$50000,A4015,全馬データ!$B$2:$B$50000,B4015,全馬データ!$C$2:$C$50000,C4015,全馬データ!$D$2:$D$50000,E4015,全馬データ!$K$2:$K$50000,"&lt;&gt;")=0,"",SUMIFS(全馬データ!$K$2:$K$50000,全馬データ!$A$2:$A$50000,A4015,全馬データ!$B$2:$B$50000,B4015,全馬データ!$C$2:$C$50000,C4015,全馬データ!$D$2:$D$50000,E4015)))</f>
        <v/>
      </c>
      <c r="AP4015" s="8" t="str">
        <f aca="false">IF(A4015="","",IF(AO4015="","欠損",IF(AO4015&lt;=1.1,"1.0～1.1",IF(AO4015&lt;1.3,"1.2",IF(AO4015&lt;1.5,"1.3～1.4",IF(AO4015&lt;2,"1.5～1.9","2.0以上"))))))</f>
        <v/>
      </c>
      <c r="AQ4015" s="8" t="str">
        <f aca="false">IF(A4015="","",IF(ISNUMBER(SEARCH("2歳",Z4015)),"2歳戦",IF(ISNUMBER(SEARCH("3歳未勝利",Z4015)),"3歳未勝利",IF(ISNUMBER(SEARCH("未勝利",Z4015)),"その他未勝利",IF(ISNUMBER(SEARCH("G1",Z4015)),"G1",IF(ISNUMBER(SEARCH("G2",Z4015)),"G2",IF(ISNUMBER(SEARCH("G3",Z4015)),"G3",IF(ISNUMBER(SEARCH("古馬条件",Z4015)),"古馬条件戦",IF(ISNUMBER(SEARCH("重賞",Z4015)),"重賞","分類不能")))))))))</f>
        <v/>
      </c>
    </row>
    <row r="4016" customFormat="false" ht="15.75" hidden="false" customHeight="false" outlineLevel="0" collapsed="false">
      <c r="AO4016" s="8" t="str">
        <f aca="false">IF(A4016="","",IF(COUNTIFS(全馬データ!$A$2:$A$50000,A4016,全馬データ!$B$2:$B$50000,B4016,全馬データ!$C$2:$C$50000,C4016,全馬データ!$D$2:$D$50000,E4016,全馬データ!$K$2:$K$50000,"&lt;&gt;")=0,"",SUMIFS(全馬データ!$K$2:$K$50000,全馬データ!$A$2:$A$50000,A4016,全馬データ!$B$2:$B$50000,B4016,全馬データ!$C$2:$C$50000,C4016,全馬データ!$D$2:$D$50000,E4016)))</f>
        <v/>
      </c>
      <c r="AP4016" s="8" t="str">
        <f aca="false">IF(A4016="","",IF(AO4016="","欠損",IF(AO4016&lt;=1.1,"1.0～1.1",IF(AO4016&lt;1.3,"1.2",IF(AO4016&lt;1.5,"1.3～1.4",IF(AO4016&lt;2,"1.5～1.9","2.0以上"))))))</f>
        <v/>
      </c>
      <c r="AQ4016" s="8" t="str">
        <f aca="false">IF(A4016="","",IF(ISNUMBER(SEARCH("2歳",Z4016)),"2歳戦",IF(ISNUMBER(SEARCH("3歳未勝利",Z4016)),"3歳未勝利",IF(ISNUMBER(SEARCH("未勝利",Z4016)),"その他未勝利",IF(ISNUMBER(SEARCH("G1",Z4016)),"G1",IF(ISNUMBER(SEARCH("G2",Z4016)),"G2",IF(ISNUMBER(SEARCH("G3",Z4016)),"G3",IF(ISNUMBER(SEARCH("古馬条件",Z4016)),"古馬条件戦",IF(ISNUMBER(SEARCH("重賞",Z4016)),"重賞","分類不能")))))))))</f>
        <v/>
      </c>
    </row>
    <row r="4017" customFormat="false" ht="15.75" hidden="false" customHeight="false" outlineLevel="0" collapsed="false">
      <c r="AO4017" s="8" t="str">
        <f aca="false">IF(A4017="","",IF(COUNTIFS(全馬データ!$A$2:$A$50000,A4017,全馬データ!$B$2:$B$50000,B4017,全馬データ!$C$2:$C$50000,C4017,全馬データ!$D$2:$D$50000,E4017,全馬データ!$K$2:$K$50000,"&lt;&gt;")=0,"",SUMIFS(全馬データ!$K$2:$K$50000,全馬データ!$A$2:$A$50000,A4017,全馬データ!$B$2:$B$50000,B4017,全馬データ!$C$2:$C$50000,C4017,全馬データ!$D$2:$D$50000,E4017)))</f>
        <v/>
      </c>
      <c r="AP4017" s="8" t="str">
        <f aca="false">IF(A4017="","",IF(AO4017="","欠損",IF(AO4017&lt;=1.1,"1.0～1.1",IF(AO4017&lt;1.3,"1.2",IF(AO4017&lt;1.5,"1.3～1.4",IF(AO4017&lt;2,"1.5～1.9","2.0以上"))))))</f>
        <v/>
      </c>
      <c r="AQ4017" s="8" t="str">
        <f aca="false">IF(A4017="","",IF(ISNUMBER(SEARCH("2歳",Z4017)),"2歳戦",IF(ISNUMBER(SEARCH("3歳未勝利",Z4017)),"3歳未勝利",IF(ISNUMBER(SEARCH("未勝利",Z4017)),"その他未勝利",IF(ISNUMBER(SEARCH("G1",Z4017)),"G1",IF(ISNUMBER(SEARCH("G2",Z4017)),"G2",IF(ISNUMBER(SEARCH("G3",Z4017)),"G3",IF(ISNUMBER(SEARCH("古馬条件",Z4017)),"古馬条件戦",IF(ISNUMBER(SEARCH("重賞",Z4017)),"重賞","分類不能")))))))))</f>
        <v/>
      </c>
    </row>
    <row r="4018" customFormat="false" ht="15.75" hidden="false" customHeight="false" outlineLevel="0" collapsed="false">
      <c r="AO4018" s="8" t="str">
        <f aca="false">IF(A4018="","",IF(COUNTIFS(全馬データ!$A$2:$A$50000,A4018,全馬データ!$B$2:$B$50000,B4018,全馬データ!$C$2:$C$50000,C4018,全馬データ!$D$2:$D$50000,E4018,全馬データ!$K$2:$K$50000,"&lt;&gt;")=0,"",SUMIFS(全馬データ!$K$2:$K$50000,全馬データ!$A$2:$A$50000,A4018,全馬データ!$B$2:$B$50000,B4018,全馬データ!$C$2:$C$50000,C4018,全馬データ!$D$2:$D$50000,E4018)))</f>
        <v/>
      </c>
      <c r="AP4018" s="8" t="str">
        <f aca="false">IF(A4018="","",IF(AO4018="","欠損",IF(AO4018&lt;=1.1,"1.0～1.1",IF(AO4018&lt;1.3,"1.2",IF(AO4018&lt;1.5,"1.3～1.4",IF(AO4018&lt;2,"1.5～1.9","2.0以上"))))))</f>
        <v/>
      </c>
      <c r="AQ4018" s="8" t="str">
        <f aca="false">IF(A4018="","",IF(ISNUMBER(SEARCH("2歳",Z4018)),"2歳戦",IF(ISNUMBER(SEARCH("3歳未勝利",Z4018)),"3歳未勝利",IF(ISNUMBER(SEARCH("未勝利",Z4018)),"その他未勝利",IF(ISNUMBER(SEARCH("G1",Z4018)),"G1",IF(ISNUMBER(SEARCH("G2",Z4018)),"G2",IF(ISNUMBER(SEARCH("G3",Z4018)),"G3",IF(ISNUMBER(SEARCH("古馬条件",Z4018)),"古馬条件戦",IF(ISNUMBER(SEARCH("重賞",Z4018)),"重賞","分類不能")))))))))</f>
        <v/>
      </c>
    </row>
    <row r="4019" customFormat="false" ht="15.75" hidden="false" customHeight="false" outlineLevel="0" collapsed="false">
      <c r="AO4019" s="8" t="str">
        <f aca="false">IF(A4019="","",IF(COUNTIFS(全馬データ!$A$2:$A$50000,A4019,全馬データ!$B$2:$B$50000,B4019,全馬データ!$C$2:$C$50000,C4019,全馬データ!$D$2:$D$50000,E4019,全馬データ!$K$2:$K$50000,"&lt;&gt;")=0,"",SUMIFS(全馬データ!$K$2:$K$50000,全馬データ!$A$2:$A$50000,A4019,全馬データ!$B$2:$B$50000,B4019,全馬データ!$C$2:$C$50000,C4019,全馬データ!$D$2:$D$50000,E4019)))</f>
        <v/>
      </c>
      <c r="AP4019" s="8" t="str">
        <f aca="false">IF(A4019="","",IF(AO4019="","欠損",IF(AO4019&lt;=1.1,"1.0～1.1",IF(AO4019&lt;1.3,"1.2",IF(AO4019&lt;1.5,"1.3～1.4",IF(AO4019&lt;2,"1.5～1.9","2.0以上"))))))</f>
        <v/>
      </c>
      <c r="AQ4019" s="8" t="str">
        <f aca="false">IF(A4019="","",IF(ISNUMBER(SEARCH("2歳",Z4019)),"2歳戦",IF(ISNUMBER(SEARCH("3歳未勝利",Z4019)),"3歳未勝利",IF(ISNUMBER(SEARCH("未勝利",Z4019)),"その他未勝利",IF(ISNUMBER(SEARCH("G1",Z4019)),"G1",IF(ISNUMBER(SEARCH("G2",Z4019)),"G2",IF(ISNUMBER(SEARCH("G3",Z4019)),"G3",IF(ISNUMBER(SEARCH("古馬条件",Z4019)),"古馬条件戦",IF(ISNUMBER(SEARCH("重賞",Z4019)),"重賞","分類不能")))))))))</f>
        <v/>
      </c>
    </row>
    <row r="4020" customFormat="false" ht="15.75" hidden="false" customHeight="false" outlineLevel="0" collapsed="false">
      <c r="AO4020" s="8" t="str">
        <f aca="false">IF(A4020="","",IF(COUNTIFS(全馬データ!$A$2:$A$50000,A4020,全馬データ!$B$2:$B$50000,B4020,全馬データ!$C$2:$C$50000,C4020,全馬データ!$D$2:$D$50000,E4020,全馬データ!$K$2:$K$50000,"&lt;&gt;")=0,"",SUMIFS(全馬データ!$K$2:$K$50000,全馬データ!$A$2:$A$50000,A4020,全馬データ!$B$2:$B$50000,B4020,全馬データ!$C$2:$C$50000,C4020,全馬データ!$D$2:$D$50000,E4020)))</f>
        <v/>
      </c>
      <c r="AP4020" s="8" t="str">
        <f aca="false">IF(A4020="","",IF(AO4020="","欠損",IF(AO4020&lt;=1.1,"1.0～1.1",IF(AO4020&lt;1.3,"1.2",IF(AO4020&lt;1.5,"1.3～1.4",IF(AO4020&lt;2,"1.5～1.9","2.0以上"))))))</f>
        <v/>
      </c>
      <c r="AQ4020" s="8" t="str">
        <f aca="false">IF(A4020="","",IF(ISNUMBER(SEARCH("2歳",Z4020)),"2歳戦",IF(ISNUMBER(SEARCH("3歳未勝利",Z4020)),"3歳未勝利",IF(ISNUMBER(SEARCH("未勝利",Z4020)),"その他未勝利",IF(ISNUMBER(SEARCH("G1",Z4020)),"G1",IF(ISNUMBER(SEARCH("G2",Z4020)),"G2",IF(ISNUMBER(SEARCH("G3",Z4020)),"G3",IF(ISNUMBER(SEARCH("古馬条件",Z4020)),"古馬条件戦",IF(ISNUMBER(SEARCH("重賞",Z4020)),"重賞","分類不能")))))))))</f>
        <v/>
      </c>
    </row>
    <row r="4021" customFormat="false" ht="15.75" hidden="false" customHeight="false" outlineLevel="0" collapsed="false">
      <c r="AO4021" s="8" t="str">
        <f aca="false">IF(A4021="","",IF(COUNTIFS(全馬データ!$A$2:$A$50000,A4021,全馬データ!$B$2:$B$50000,B4021,全馬データ!$C$2:$C$50000,C4021,全馬データ!$D$2:$D$50000,E4021,全馬データ!$K$2:$K$50000,"&lt;&gt;")=0,"",SUMIFS(全馬データ!$K$2:$K$50000,全馬データ!$A$2:$A$50000,A4021,全馬データ!$B$2:$B$50000,B4021,全馬データ!$C$2:$C$50000,C4021,全馬データ!$D$2:$D$50000,E4021)))</f>
        <v/>
      </c>
      <c r="AP4021" s="8" t="str">
        <f aca="false">IF(A4021="","",IF(AO4021="","欠損",IF(AO4021&lt;=1.1,"1.0～1.1",IF(AO4021&lt;1.3,"1.2",IF(AO4021&lt;1.5,"1.3～1.4",IF(AO4021&lt;2,"1.5～1.9","2.0以上"))))))</f>
        <v/>
      </c>
      <c r="AQ4021" s="8" t="str">
        <f aca="false">IF(A4021="","",IF(ISNUMBER(SEARCH("2歳",Z4021)),"2歳戦",IF(ISNUMBER(SEARCH("3歳未勝利",Z4021)),"3歳未勝利",IF(ISNUMBER(SEARCH("未勝利",Z4021)),"その他未勝利",IF(ISNUMBER(SEARCH("G1",Z4021)),"G1",IF(ISNUMBER(SEARCH("G2",Z4021)),"G2",IF(ISNUMBER(SEARCH("G3",Z4021)),"G3",IF(ISNUMBER(SEARCH("古馬条件",Z4021)),"古馬条件戦",IF(ISNUMBER(SEARCH("重賞",Z4021)),"重賞","分類不能")))))))))</f>
        <v/>
      </c>
    </row>
    <row r="4022" customFormat="false" ht="15.75" hidden="false" customHeight="false" outlineLevel="0" collapsed="false">
      <c r="AO4022" s="8" t="str">
        <f aca="false">IF(A4022="","",IF(COUNTIFS(全馬データ!$A$2:$A$50000,A4022,全馬データ!$B$2:$B$50000,B4022,全馬データ!$C$2:$C$50000,C4022,全馬データ!$D$2:$D$50000,E4022,全馬データ!$K$2:$K$50000,"&lt;&gt;")=0,"",SUMIFS(全馬データ!$K$2:$K$50000,全馬データ!$A$2:$A$50000,A4022,全馬データ!$B$2:$B$50000,B4022,全馬データ!$C$2:$C$50000,C4022,全馬データ!$D$2:$D$50000,E4022)))</f>
        <v/>
      </c>
      <c r="AP4022" s="8" t="str">
        <f aca="false">IF(A4022="","",IF(AO4022="","欠損",IF(AO4022&lt;=1.1,"1.0～1.1",IF(AO4022&lt;1.3,"1.2",IF(AO4022&lt;1.5,"1.3～1.4",IF(AO4022&lt;2,"1.5～1.9","2.0以上"))))))</f>
        <v/>
      </c>
      <c r="AQ4022" s="8" t="str">
        <f aca="false">IF(A4022="","",IF(ISNUMBER(SEARCH("2歳",Z4022)),"2歳戦",IF(ISNUMBER(SEARCH("3歳未勝利",Z4022)),"3歳未勝利",IF(ISNUMBER(SEARCH("未勝利",Z4022)),"その他未勝利",IF(ISNUMBER(SEARCH("G1",Z4022)),"G1",IF(ISNUMBER(SEARCH("G2",Z4022)),"G2",IF(ISNUMBER(SEARCH("G3",Z4022)),"G3",IF(ISNUMBER(SEARCH("古馬条件",Z4022)),"古馬条件戦",IF(ISNUMBER(SEARCH("重賞",Z4022)),"重賞","分類不能")))))))))</f>
        <v/>
      </c>
    </row>
    <row r="4023" customFormat="false" ht="15.75" hidden="false" customHeight="false" outlineLevel="0" collapsed="false">
      <c r="AO4023" s="8" t="str">
        <f aca="false">IF(A4023="","",IF(COUNTIFS(全馬データ!$A$2:$A$50000,A4023,全馬データ!$B$2:$B$50000,B4023,全馬データ!$C$2:$C$50000,C4023,全馬データ!$D$2:$D$50000,E4023,全馬データ!$K$2:$K$50000,"&lt;&gt;")=0,"",SUMIFS(全馬データ!$K$2:$K$50000,全馬データ!$A$2:$A$50000,A4023,全馬データ!$B$2:$B$50000,B4023,全馬データ!$C$2:$C$50000,C4023,全馬データ!$D$2:$D$50000,E4023)))</f>
        <v/>
      </c>
      <c r="AP4023" s="8" t="str">
        <f aca="false">IF(A4023="","",IF(AO4023="","欠損",IF(AO4023&lt;=1.1,"1.0～1.1",IF(AO4023&lt;1.3,"1.2",IF(AO4023&lt;1.5,"1.3～1.4",IF(AO4023&lt;2,"1.5～1.9","2.0以上"))))))</f>
        <v/>
      </c>
      <c r="AQ4023" s="8" t="str">
        <f aca="false">IF(A4023="","",IF(ISNUMBER(SEARCH("2歳",Z4023)),"2歳戦",IF(ISNUMBER(SEARCH("3歳未勝利",Z4023)),"3歳未勝利",IF(ISNUMBER(SEARCH("未勝利",Z4023)),"その他未勝利",IF(ISNUMBER(SEARCH("G1",Z4023)),"G1",IF(ISNUMBER(SEARCH("G2",Z4023)),"G2",IF(ISNUMBER(SEARCH("G3",Z4023)),"G3",IF(ISNUMBER(SEARCH("古馬条件",Z4023)),"古馬条件戦",IF(ISNUMBER(SEARCH("重賞",Z4023)),"重賞","分類不能")))))))))</f>
        <v/>
      </c>
    </row>
    <row r="4024" customFormat="false" ht="15.75" hidden="false" customHeight="false" outlineLevel="0" collapsed="false">
      <c r="AO4024" s="8" t="str">
        <f aca="false">IF(A4024="","",IF(COUNTIFS(全馬データ!$A$2:$A$50000,A4024,全馬データ!$B$2:$B$50000,B4024,全馬データ!$C$2:$C$50000,C4024,全馬データ!$D$2:$D$50000,E4024,全馬データ!$K$2:$K$50000,"&lt;&gt;")=0,"",SUMIFS(全馬データ!$K$2:$K$50000,全馬データ!$A$2:$A$50000,A4024,全馬データ!$B$2:$B$50000,B4024,全馬データ!$C$2:$C$50000,C4024,全馬データ!$D$2:$D$50000,E4024)))</f>
        <v/>
      </c>
      <c r="AP4024" s="8" t="str">
        <f aca="false">IF(A4024="","",IF(AO4024="","欠損",IF(AO4024&lt;=1.1,"1.0～1.1",IF(AO4024&lt;1.3,"1.2",IF(AO4024&lt;1.5,"1.3～1.4",IF(AO4024&lt;2,"1.5～1.9","2.0以上"))))))</f>
        <v/>
      </c>
      <c r="AQ4024" s="8" t="str">
        <f aca="false">IF(A4024="","",IF(ISNUMBER(SEARCH("2歳",Z4024)),"2歳戦",IF(ISNUMBER(SEARCH("3歳未勝利",Z4024)),"3歳未勝利",IF(ISNUMBER(SEARCH("未勝利",Z4024)),"その他未勝利",IF(ISNUMBER(SEARCH("G1",Z4024)),"G1",IF(ISNUMBER(SEARCH("G2",Z4024)),"G2",IF(ISNUMBER(SEARCH("G3",Z4024)),"G3",IF(ISNUMBER(SEARCH("古馬条件",Z4024)),"古馬条件戦",IF(ISNUMBER(SEARCH("重賞",Z4024)),"重賞","分類不能")))))))))</f>
        <v/>
      </c>
    </row>
    <row r="4025" customFormat="false" ht="15.75" hidden="false" customHeight="false" outlineLevel="0" collapsed="false">
      <c r="AO4025" s="8" t="str">
        <f aca="false">IF(A4025="","",IF(COUNTIFS(全馬データ!$A$2:$A$50000,A4025,全馬データ!$B$2:$B$50000,B4025,全馬データ!$C$2:$C$50000,C4025,全馬データ!$D$2:$D$50000,E4025,全馬データ!$K$2:$K$50000,"&lt;&gt;")=0,"",SUMIFS(全馬データ!$K$2:$K$50000,全馬データ!$A$2:$A$50000,A4025,全馬データ!$B$2:$B$50000,B4025,全馬データ!$C$2:$C$50000,C4025,全馬データ!$D$2:$D$50000,E4025)))</f>
        <v/>
      </c>
      <c r="AP4025" s="8" t="str">
        <f aca="false">IF(A4025="","",IF(AO4025="","欠損",IF(AO4025&lt;=1.1,"1.0～1.1",IF(AO4025&lt;1.3,"1.2",IF(AO4025&lt;1.5,"1.3～1.4",IF(AO4025&lt;2,"1.5～1.9","2.0以上"))))))</f>
        <v/>
      </c>
      <c r="AQ4025" s="8" t="str">
        <f aca="false">IF(A4025="","",IF(ISNUMBER(SEARCH("2歳",Z4025)),"2歳戦",IF(ISNUMBER(SEARCH("3歳未勝利",Z4025)),"3歳未勝利",IF(ISNUMBER(SEARCH("未勝利",Z4025)),"その他未勝利",IF(ISNUMBER(SEARCH("G1",Z4025)),"G1",IF(ISNUMBER(SEARCH("G2",Z4025)),"G2",IF(ISNUMBER(SEARCH("G3",Z4025)),"G3",IF(ISNUMBER(SEARCH("古馬条件",Z4025)),"古馬条件戦",IF(ISNUMBER(SEARCH("重賞",Z4025)),"重賞","分類不能")))))))))</f>
        <v/>
      </c>
    </row>
    <row r="4026" customFormat="false" ht="15.75" hidden="false" customHeight="false" outlineLevel="0" collapsed="false">
      <c r="AO4026" s="8" t="str">
        <f aca="false">IF(A4026="","",IF(COUNTIFS(全馬データ!$A$2:$A$50000,A4026,全馬データ!$B$2:$B$50000,B4026,全馬データ!$C$2:$C$50000,C4026,全馬データ!$D$2:$D$50000,E4026,全馬データ!$K$2:$K$50000,"&lt;&gt;")=0,"",SUMIFS(全馬データ!$K$2:$K$50000,全馬データ!$A$2:$A$50000,A4026,全馬データ!$B$2:$B$50000,B4026,全馬データ!$C$2:$C$50000,C4026,全馬データ!$D$2:$D$50000,E4026)))</f>
        <v/>
      </c>
      <c r="AP4026" s="8" t="str">
        <f aca="false">IF(A4026="","",IF(AO4026="","欠損",IF(AO4026&lt;=1.1,"1.0～1.1",IF(AO4026&lt;1.3,"1.2",IF(AO4026&lt;1.5,"1.3～1.4",IF(AO4026&lt;2,"1.5～1.9","2.0以上"))))))</f>
        <v/>
      </c>
      <c r="AQ4026" s="8" t="str">
        <f aca="false">IF(A4026="","",IF(ISNUMBER(SEARCH("2歳",Z4026)),"2歳戦",IF(ISNUMBER(SEARCH("3歳未勝利",Z4026)),"3歳未勝利",IF(ISNUMBER(SEARCH("未勝利",Z4026)),"その他未勝利",IF(ISNUMBER(SEARCH("G1",Z4026)),"G1",IF(ISNUMBER(SEARCH("G2",Z4026)),"G2",IF(ISNUMBER(SEARCH("G3",Z4026)),"G3",IF(ISNUMBER(SEARCH("古馬条件",Z4026)),"古馬条件戦",IF(ISNUMBER(SEARCH("重賞",Z4026)),"重賞","分類不能")))))))))</f>
        <v/>
      </c>
    </row>
    <row r="4027" customFormat="false" ht="15.75" hidden="false" customHeight="false" outlineLevel="0" collapsed="false">
      <c r="AO4027" s="8" t="str">
        <f aca="false">IF(A4027="","",IF(COUNTIFS(全馬データ!$A$2:$A$50000,A4027,全馬データ!$B$2:$B$50000,B4027,全馬データ!$C$2:$C$50000,C4027,全馬データ!$D$2:$D$50000,E4027,全馬データ!$K$2:$K$50000,"&lt;&gt;")=0,"",SUMIFS(全馬データ!$K$2:$K$50000,全馬データ!$A$2:$A$50000,A4027,全馬データ!$B$2:$B$50000,B4027,全馬データ!$C$2:$C$50000,C4027,全馬データ!$D$2:$D$50000,E4027)))</f>
        <v/>
      </c>
      <c r="AP4027" s="8" t="str">
        <f aca="false">IF(A4027="","",IF(AO4027="","欠損",IF(AO4027&lt;=1.1,"1.0～1.1",IF(AO4027&lt;1.3,"1.2",IF(AO4027&lt;1.5,"1.3～1.4",IF(AO4027&lt;2,"1.5～1.9","2.0以上"))))))</f>
        <v/>
      </c>
      <c r="AQ4027" s="8" t="str">
        <f aca="false">IF(A4027="","",IF(ISNUMBER(SEARCH("2歳",Z4027)),"2歳戦",IF(ISNUMBER(SEARCH("3歳未勝利",Z4027)),"3歳未勝利",IF(ISNUMBER(SEARCH("未勝利",Z4027)),"その他未勝利",IF(ISNUMBER(SEARCH("G1",Z4027)),"G1",IF(ISNUMBER(SEARCH("G2",Z4027)),"G2",IF(ISNUMBER(SEARCH("G3",Z4027)),"G3",IF(ISNUMBER(SEARCH("古馬条件",Z4027)),"古馬条件戦",IF(ISNUMBER(SEARCH("重賞",Z4027)),"重賞","分類不能")))))))))</f>
        <v/>
      </c>
    </row>
    <row r="4028" customFormat="false" ht="15.75" hidden="false" customHeight="false" outlineLevel="0" collapsed="false">
      <c r="AO4028" s="8" t="str">
        <f aca="false">IF(A4028="","",IF(COUNTIFS(全馬データ!$A$2:$A$50000,A4028,全馬データ!$B$2:$B$50000,B4028,全馬データ!$C$2:$C$50000,C4028,全馬データ!$D$2:$D$50000,E4028,全馬データ!$K$2:$K$50000,"&lt;&gt;")=0,"",SUMIFS(全馬データ!$K$2:$K$50000,全馬データ!$A$2:$A$50000,A4028,全馬データ!$B$2:$B$50000,B4028,全馬データ!$C$2:$C$50000,C4028,全馬データ!$D$2:$D$50000,E4028)))</f>
        <v/>
      </c>
      <c r="AP4028" s="8" t="str">
        <f aca="false">IF(A4028="","",IF(AO4028="","欠損",IF(AO4028&lt;=1.1,"1.0～1.1",IF(AO4028&lt;1.3,"1.2",IF(AO4028&lt;1.5,"1.3～1.4",IF(AO4028&lt;2,"1.5～1.9","2.0以上"))))))</f>
        <v/>
      </c>
      <c r="AQ4028" s="8" t="str">
        <f aca="false">IF(A4028="","",IF(ISNUMBER(SEARCH("2歳",Z4028)),"2歳戦",IF(ISNUMBER(SEARCH("3歳未勝利",Z4028)),"3歳未勝利",IF(ISNUMBER(SEARCH("未勝利",Z4028)),"その他未勝利",IF(ISNUMBER(SEARCH("G1",Z4028)),"G1",IF(ISNUMBER(SEARCH("G2",Z4028)),"G2",IF(ISNUMBER(SEARCH("G3",Z4028)),"G3",IF(ISNUMBER(SEARCH("古馬条件",Z4028)),"古馬条件戦",IF(ISNUMBER(SEARCH("重賞",Z4028)),"重賞","分類不能")))))))))</f>
        <v/>
      </c>
    </row>
    <row r="4029" customFormat="false" ht="15.75" hidden="false" customHeight="false" outlineLevel="0" collapsed="false">
      <c r="AO4029" s="8" t="str">
        <f aca="false">IF(A4029="","",IF(COUNTIFS(全馬データ!$A$2:$A$50000,A4029,全馬データ!$B$2:$B$50000,B4029,全馬データ!$C$2:$C$50000,C4029,全馬データ!$D$2:$D$50000,E4029,全馬データ!$K$2:$K$50000,"&lt;&gt;")=0,"",SUMIFS(全馬データ!$K$2:$K$50000,全馬データ!$A$2:$A$50000,A4029,全馬データ!$B$2:$B$50000,B4029,全馬データ!$C$2:$C$50000,C4029,全馬データ!$D$2:$D$50000,E4029)))</f>
        <v/>
      </c>
      <c r="AP4029" s="8" t="str">
        <f aca="false">IF(A4029="","",IF(AO4029="","欠損",IF(AO4029&lt;=1.1,"1.0～1.1",IF(AO4029&lt;1.3,"1.2",IF(AO4029&lt;1.5,"1.3～1.4",IF(AO4029&lt;2,"1.5～1.9","2.0以上"))))))</f>
        <v/>
      </c>
      <c r="AQ4029" s="8" t="str">
        <f aca="false">IF(A4029="","",IF(ISNUMBER(SEARCH("2歳",Z4029)),"2歳戦",IF(ISNUMBER(SEARCH("3歳未勝利",Z4029)),"3歳未勝利",IF(ISNUMBER(SEARCH("未勝利",Z4029)),"その他未勝利",IF(ISNUMBER(SEARCH("G1",Z4029)),"G1",IF(ISNUMBER(SEARCH("G2",Z4029)),"G2",IF(ISNUMBER(SEARCH("G3",Z4029)),"G3",IF(ISNUMBER(SEARCH("古馬条件",Z4029)),"古馬条件戦",IF(ISNUMBER(SEARCH("重賞",Z4029)),"重賞","分類不能")))))))))</f>
        <v/>
      </c>
    </row>
    <row r="4030" customFormat="false" ht="15.75" hidden="false" customHeight="false" outlineLevel="0" collapsed="false">
      <c r="AO4030" s="8" t="str">
        <f aca="false">IF(A4030="","",IF(COUNTIFS(全馬データ!$A$2:$A$50000,A4030,全馬データ!$B$2:$B$50000,B4030,全馬データ!$C$2:$C$50000,C4030,全馬データ!$D$2:$D$50000,E4030,全馬データ!$K$2:$K$50000,"&lt;&gt;")=0,"",SUMIFS(全馬データ!$K$2:$K$50000,全馬データ!$A$2:$A$50000,A4030,全馬データ!$B$2:$B$50000,B4030,全馬データ!$C$2:$C$50000,C4030,全馬データ!$D$2:$D$50000,E4030)))</f>
        <v/>
      </c>
      <c r="AP4030" s="8" t="str">
        <f aca="false">IF(A4030="","",IF(AO4030="","欠損",IF(AO4030&lt;=1.1,"1.0～1.1",IF(AO4030&lt;1.3,"1.2",IF(AO4030&lt;1.5,"1.3～1.4",IF(AO4030&lt;2,"1.5～1.9","2.0以上"))))))</f>
        <v/>
      </c>
      <c r="AQ4030" s="8" t="str">
        <f aca="false">IF(A4030="","",IF(ISNUMBER(SEARCH("2歳",Z4030)),"2歳戦",IF(ISNUMBER(SEARCH("3歳未勝利",Z4030)),"3歳未勝利",IF(ISNUMBER(SEARCH("未勝利",Z4030)),"その他未勝利",IF(ISNUMBER(SEARCH("G1",Z4030)),"G1",IF(ISNUMBER(SEARCH("G2",Z4030)),"G2",IF(ISNUMBER(SEARCH("G3",Z4030)),"G3",IF(ISNUMBER(SEARCH("古馬条件",Z4030)),"古馬条件戦",IF(ISNUMBER(SEARCH("重賞",Z4030)),"重賞","分類不能")))))))))</f>
        <v/>
      </c>
    </row>
    <row r="4031" customFormat="false" ht="15.75" hidden="false" customHeight="false" outlineLevel="0" collapsed="false">
      <c r="AO4031" s="8" t="str">
        <f aca="false">IF(A4031="","",IF(COUNTIFS(全馬データ!$A$2:$A$50000,A4031,全馬データ!$B$2:$B$50000,B4031,全馬データ!$C$2:$C$50000,C4031,全馬データ!$D$2:$D$50000,E4031,全馬データ!$K$2:$K$50000,"&lt;&gt;")=0,"",SUMIFS(全馬データ!$K$2:$K$50000,全馬データ!$A$2:$A$50000,A4031,全馬データ!$B$2:$B$50000,B4031,全馬データ!$C$2:$C$50000,C4031,全馬データ!$D$2:$D$50000,E4031)))</f>
        <v/>
      </c>
      <c r="AP4031" s="8" t="str">
        <f aca="false">IF(A4031="","",IF(AO4031="","欠損",IF(AO4031&lt;=1.1,"1.0～1.1",IF(AO4031&lt;1.3,"1.2",IF(AO4031&lt;1.5,"1.3～1.4",IF(AO4031&lt;2,"1.5～1.9","2.0以上"))))))</f>
        <v/>
      </c>
      <c r="AQ4031" s="8" t="str">
        <f aca="false">IF(A4031="","",IF(ISNUMBER(SEARCH("2歳",Z4031)),"2歳戦",IF(ISNUMBER(SEARCH("3歳未勝利",Z4031)),"3歳未勝利",IF(ISNUMBER(SEARCH("未勝利",Z4031)),"その他未勝利",IF(ISNUMBER(SEARCH("G1",Z4031)),"G1",IF(ISNUMBER(SEARCH("G2",Z4031)),"G2",IF(ISNUMBER(SEARCH("G3",Z4031)),"G3",IF(ISNUMBER(SEARCH("古馬条件",Z4031)),"古馬条件戦",IF(ISNUMBER(SEARCH("重賞",Z4031)),"重賞","分類不能")))))))))</f>
        <v/>
      </c>
    </row>
    <row r="4032" customFormat="false" ht="15.75" hidden="false" customHeight="false" outlineLevel="0" collapsed="false">
      <c r="AO4032" s="8" t="str">
        <f aca="false">IF(A4032="","",IF(COUNTIFS(全馬データ!$A$2:$A$50000,A4032,全馬データ!$B$2:$B$50000,B4032,全馬データ!$C$2:$C$50000,C4032,全馬データ!$D$2:$D$50000,E4032,全馬データ!$K$2:$K$50000,"&lt;&gt;")=0,"",SUMIFS(全馬データ!$K$2:$K$50000,全馬データ!$A$2:$A$50000,A4032,全馬データ!$B$2:$B$50000,B4032,全馬データ!$C$2:$C$50000,C4032,全馬データ!$D$2:$D$50000,E4032)))</f>
        <v/>
      </c>
      <c r="AP4032" s="8" t="str">
        <f aca="false">IF(A4032="","",IF(AO4032="","欠損",IF(AO4032&lt;=1.1,"1.0～1.1",IF(AO4032&lt;1.3,"1.2",IF(AO4032&lt;1.5,"1.3～1.4",IF(AO4032&lt;2,"1.5～1.9","2.0以上"))))))</f>
        <v/>
      </c>
      <c r="AQ4032" s="8" t="str">
        <f aca="false">IF(A4032="","",IF(ISNUMBER(SEARCH("2歳",Z4032)),"2歳戦",IF(ISNUMBER(SEARCH("3歳未勝利",Z4032)),"3歳未勝利",IF(ISNUMBER(SEARCH("未勝利",Z4032)),"その他未勝利",IF(ISNUMBER(SEARCH("G1",Z4032)),"G1",IF(ISNUMBER(SEARCH("G2",Z4032)),"G2",IF(ISNUMBER(SEARCH("G3",Z4032)),"G3",IF(ISNUMBER(SEARCH("古馬条件",Z4032)),"古馬条件戦",IF(ISNUMBER(SEARCH("重賞",Z4032)),"重賞","分類不能")))))))))</f>
        <v/>
      </c>
    </row>
    <row r="4033" customFormat="false" ht="15.75" hidden="false" customHeight="false" outlineLevel="0" collapsed="false">
      <c r="AO4033" s="8" t="str">
        <f aca="false">IF(A4033="","",IF(COUNTIFS(全馬データ!$A$2:$A$50000,A4033,全馬データ!$B$2:$B$50000,B4033,全馬データ!$C$2:$C$50000,C4033,全馬データ!$D$2:$D$50000,E4033,全馬データ!$K$2:$K$50000,"&lt;&gt;")=0,"",SUMIFS(全馬データ!$K$2:$K$50000,全馬データ!$A$2:$A$50000,A4033,全馬データ!$B$2:$B$50000,B4033,全馬データ!$C$2:$C$50000,C4033,全馬データ!$D$2:$D$50000,E4033)))</f>
        <v/>
      </c>
      <c r="AP4033" s="8" t="str">
        <f aca="false">IF(A4033="","",IF(AO4033="","欠損",IF(AO4033&lt;=1.1,"1.0～1.1",IF(AO4033&lt;1.3,"1.2",IF(AO4033&lt;1.5,"1.3～1.4",IF(AO4033&lt;2,"1.5～1.9","2.0以上"))))))</f>
        <v/>
      </c>
      <c r="AQ4033" s="8" t="str">
        <f aca="false">IF(A4033="","",IF(ISNUMBER(SEARCH("2歳",Z4033)),"2歳戦",IF(ISNUMBER(SEARCH("3歳未勝利",Z4033)),"3歳未勝利",IF(ISNUMBER(SEARCH("未勝利",Z4033)),"その他未勝利",IF(ISNUMBER(SEARCH("G1",Z4033)),"G1",IF(ISNUMBER(SEARCH("G2",Z4033)),"G2",IF(ISNUMBER(SEARCH("G3",Z4033)),"G3",IF(ISNUMBER(SEARCH("古馬条件",Z4033)),"古馬条件戦",IF(ISNUMBER(SEARCH("重賞",Z4033)),"重賞","分類不能")))))))))</f>
        <v/>
      </c>
    </row>
    <row r="4034" customFormat="false" ht="15.75" hidden="false" customHeight="false" outlineLevel="0" collapsed="false">
      <c r="AO4034" s="8" t="str">
        <f aca="false">IF(A4034="","",IF(COUNTIFS(全馬データ!$A$2:$A$50000,A4034,全馬データ!$B$2:$B$50000,B4034,全馬データ!$C$2:$C$50000,C4034,全馬データ!$D$2:$D$50000,E4034,全馬データ!$K$2:$K$50000,"&lt;&gt;")=0,"",SUMIFS(全馬データ!$K$2:$K$50000,全馬データ!$A$2:$A$50000,A4034,全馬データ!$B$2:$B$50000,B4034,全馬データ!$C$2:$C$50000,C4034,全馬データ!$D$2:$D$50000,E4034)))</f>
        <v/>
      </c>
      <c r="AP4034" s="8" t="str">
        <f aca="false">IF(A4034="","",IF(AO4034="","欠損",IF(AO4034&lt;=1.1,"1.0～1.1",IF(AO4034&lt;1.3,"1.2",IF(AO4034&lt;1.5,"1.3～1.4",IF(AO4034&lt;2,"1.5～1.9","2.0以上"))))))</f>
        <v/>
      </c>
      <c r="AQ4034" s="8" t="str">
        <f aca="false">IF(A4034="","",IF(ISNUMBER(SEARCH("2歳",Z4034)),"2歳戦",IF(ISNUMBER(SEARCH("3歳未勝利",Z4034)),"3歳未勝利",IF(ISNUMBER(SEARCH("未勝利",Z4034)),"その他未勝利",IF(ISNUMBER(SEARCH("G1",Z4034)),"G1",IF(ISNUMBER(SEARCH("G2",Z4034)),"G2",IF(ISNUMBER(SEARCH("G3",Z4034)),"G3",IF(ISNUMBER(SEARCH("古馬条件",Z4034)),"古馬条件戦",IF(ISNUMBER(SEARCH("重賞",Z4034)),"重賞","分類不能")))))))))</f>
        <v/>
      </c>
    </row>
    <row r="4035" customFormat="false" ht="15.75" hidden="false" customHeight="false" outlineLevel="0" collapsed="false">
      <c r="AO4035" s="8" t="str">
        <f aca="false">IF(A4035="","",IF(COUNTIFS(全馬データ!$A$2:$A$50000,A4035,全馬データ!$B$2:$B$50000,B4035,全馬データ!$C$2:$C$50000,C4035,全馬データ!$D$2:$D$50000,E4035,全馬データ!$K$2:$K$50000,"&lt;&gt;")=0,"",SUMIFS(全馬データ!$K$2:$K$50000,全馬データ!$A$2:$A$50000,A4035,全馬データ!$B$2:$B$50000,B4035,全馬データ!$C$2:$C$50000,C4035,全馬データ!$D$2:$D$50000,E4035)))</f>
        <v/>
      </c>
      <c r="AP4035" s="8" t="str">
        <f aca="false">IF(A4035="","",IF(AO4035="","欠損",IF(AO4035&lt;=1.1,"1.0～1.1",IF(AO4035&lt;1.3,"1.2",IF(AO4035&lt;1.5,"1.3～1.4",IF(AO4035&lt;2,"1.5～1.9","2.0以上"))))))</f>
        <v/>
      </c>
      <c r="AQ4035" s="8" t="str">
        <f aca="false">IF(A4035="","",IF(ISNUMBER(SEARCH("2歳",Z4035)),"2歳戦",IF(ISNUMBER(SEARCH("3歳未勝利",Z4035)),"3歳未勝利",IF(ISNUMBER(SEARCH("未勝利",Z4035)),"その他未勝利",IF(ISNUMBER(SEARCH("G1",Z4035)),"G1",IF(ISNUMBER(SEARCH("G2",Z4035)),"G2",IF(ISNUMBER(SEARCH("G3",Z4035)),"G3",IF(ISNUMBER(SEARCH("古馬条件",Z4035)),"古馬条件戦",IF(ISNUMBER(SEARCH("重賞",Z4035)),"重賞","分類不能")))))))))</f>
        <v/>
      </c>
    </row>
    <row r="4036" customFormat="false" ht="15.75" hidden="false" customHeight="false" outlineLevel="0" collapsed="false">
      <c r="AO4036" s="8" t="str">
        <f aca="false">IF(A4036="","",IF(COUNTIFS(全馬データ!$A$2:$A$50000,A4036,全馬データ!$B$2:$B$50000,B4036,全馬データ!$C$2:$C$50000,C4036,全馬データ!$D$2:$D$50000,E4036,全馬データ!$K$2:$K$50000,"&lt;&gt;")=0,"",SUMIFS(全馬データ!$K$2:$K$50000,全馬データ!$A$2:$A$50000,A4036,全馬データ!$B$2:$B$50000,B4036,全馬データ!$C$2:$C$50000,C4036,全馬データ!$D$2:$D$50000,E4036)))</f>
        <v/>
      </c>
      <c r="AP4036" s="8" t="str">
        <f aca="false">IF(A4036="","",IF(AO4036="","欠損",IF(AO4036&lt;=1.1,"1.0～1.1",IF(AO4036&lt;1.3,"1.2",IF(AO4036&lt;1.5,"1.3～1.4",IF(AO4036&lt;2,"1.5～1.9","2.0以上"))))))</f>
        <v/>
      </c>
      <c r="AQ4036" s="8" t="str">
        <f aca="false">IF(A4036="","",IF(ISNUMBER(SEARCH("2歳",Z4036)),"2歳戦",IF(ISNUMBER(SEARCH("3歳未勝利",Z4036)),"3歳未勝利",IF(ISNUMBER(SEARCH("未勝利",Z4036)),"その他未勝利",IF(ISNUMBER(SEARCH("G1",Z4036)),"G1",IF(ISNUMBER(SEARCH("G2",Z4036)),"G2",IF(ISNUMBER(SEARCH("G3",Z4036)),"G3",IF(ISNUMBER(SEARCH("古馬条件",Z4036)),"古馬条件戦",IF(ISNUMBER(SEARCH("重賞",Z4036)),"重賞","分類不能")))))))))</f>
        <v/>
      </c>
    </row>
    <row r="4037" customFormat="false" ht="15.75" hidden="false" customHeight="false" outlineLevel="0" collapsed="false">
      <c r="AO4037" s="8" t="str">
        <f aca="false">IF(A4037="","",IF(COUNTIFS(全馬データ!$A$2:$A$50000,A4037,全馬データ!$B$2:$B$50000,B4037,全馬データ!$C$2:$C$50000,C4037,全馬データ!$D$2:$D$50000,E4037,全馬データ!$K$2:$K$50000,"&lt;&gt;")=0,"",SUMIFS(全馬データ!$K$2:$K$50000,全馬データ!$A$2:$A$50000,A4037,全馬データ!$B$2:$B$50000,B4037,全馬データ!$C$2:$C$50000,C4037,全馬データ!$D$2:$D$50000,E4037)))</f>
        <v/>
      </c>
      <c r="AP4037" s="8" t="str">
        <f aca="false">IF(A4037="","",IF(AO4037="","欠損",IF(AO4037&lt;=1.1,"1.0～1.1",IF(AO4037&lt;1.3,"1.2",IF(AO4037&lt;1.5,"1.3～1.4",IF(AO4037&lt;2,"1.5～1.9","2.0以上"))))))</f>
        <v/>
      </c>
      <c r="AQ4037" s="8" t="str">
        <f aca="false">IF(A4037="","",IF(ISNUMBER(SEARCH("2歳",Z4037)),"2歳戦",IF(ISNUMBER(SEARCH("3歳未勝利",Z4037)),"3歳未勝利",IF(ISNUMBER(SEARCH("未勝利",Z4037)),"その他未勝利",IF(ISNUMBER(SEARCH("G1",Z4037)),"G1",IF(ISNUMBER(SEARCH("G2",Z4037)),"G2",IF(ISNUMBER(SEARCH("G3",Z4037)),"G3",IF(ISNUMBER(SEARCH("古馬条件",Z4037)),"古馬条件戦",IF(ISNUMBER(SEARCH("重賞",Z4037)),"重賞","分類不能")))))))))</f>
        <v/>
      </c>
    </row>
    <row r="4038" customFormat="false" ht="15.75" hidden="false" customHeight="false" outlineLevel="0" collapsed="false">
      <c r="AO4038" s="8" t="str">
        <f aca="false">IF(A4038="","",IF(COUNTIFS(全馬データ!$A$2:$A$50000,A4038,全馬データ!$B$2:$B$50000,B4038,全馬データ!$C$2:$C$50000,C4038,全馬データ!$D$2:$D$50000,E4038,全馬データ!$K$2:$K$50000,"&lt;&gt;")=0,"",SUMIFS(全馬データ!$K$2:$K$50000,全馬データ!$A$2:$A$50000,A4038,全馬データ!$B$2:$B$50000,B4038,全馬データ!$C$2:$C$50000,C4038,全馬データ!$D$2:$D$50000,E4038)))</f>
        <v/>
      </c>
      <c r="AP4038" s="8" t="str">
        <f aca="false">IF(A4038="","",IF(AO4038="","欠損",IF(AO4038&lt;=1.1,"1.0～1.1",IF(AO4038&lt;1.3,"1.2",IF(AO4038&lt;1.5,"1.3～1.4",IF(AO4038&lt;2,"1.5～1.9","2.0以上"))))))</f>
        <v/>
      </c>
      <c r="AQ4038" s="8" t="str">
        <f aca="false">IF(A4038="","",IF(ISNUMBER(SEARCH("2歳",Z4038)),"2歳戦",IF(ISNUMBER(SEARCH("3歳未勝利",Z4038)),"3歳未勝利",IF(ISNUMBER(SEARCH("未勝利",Z4038)),"その他未勝利",IF(ISNUMBER(SEARCH("G1",Z4038)),"G1",IF(ISNUMBER(SEARCH("G2",Z4038)),"G2",IF(ISNUMBER(SEARCH("G3",Z4038)),"G3",IF(ISNUMBER(SEARCH("古馬条件",Z4038)),"古馬条件戦",IF(ISNUMBER(SEARCH("重賞",Z4038)),"重賞","分類不能")))))))))</f>
        <v/>
      </c>
    </row>
    <row r="4039" customFormat="false" ht="15.75" hidden="false" customHeight="false" outlineLevel="0" collapsed="false">
      <c r="AO4039" s="8" t="str">
        <f aca="false">IF(A4039="","",IF(COUNTIFS(全馬データ!$A$2:$A$50000,A4039,全馬データ!$B$2:$B$50000,B4039,全馬データ!$C$2:$C$50000,C4039,全馬データ!$D$2:$D$50000,E4039,全馬データ!$K$2:$K$50000,"&lt;&gt;")=0,"",SUMIFS(全馬データ!$K$2:$K$50000,全馬データ!$A$2:$A$50000,A4039,全馬データ!$B$2:$B$50000,B4039,全馬データ!$C$2:$C$50000,C4039,全馬データ!$D$2:$D$50000,E4039)))</f>
        <v/>
      </c>
      <c r="AP4039" s="8" t="str">
        <f aca="false">IF(A4039="","",IF(AO4039="","欠損",IF(AO4039&lt;=1.1,"1.0～1.1",IF(AO4039&lt;1.3,"1.2",IF(AO4039&lt;1.5,"1.3～1.4",IF(AO4039&lt;2,"1.5～1.9","2.0以上"))))))</f>
        <v/>
      </c>
      <c r="AQ4039" s="8" t="str">
        <f aca="false">IF(A4039="","",IF(ISNUMBER(SEARCH("2歳",Z4039)),"2歳戦",IF(ISNUMBER(SEARCH("3歳未勝利",Z4039)),"3歳未勝利",IF(ISNUMBER(SEARCH("未勝利",Z4039)),"その他未勝利",IF(ISNUMBER(SEARCH("G1",Z4039)),"G1",IF(ISNUMBER(SEARCH("G2",Z4039)),"G2",IF(ISNUMBER(SEARCH("G3",Z4039)),"G3",IF(ISNUMBER(SEARCH("古馬条件",Z4039)),"古馬条件戦",IF(ISNUMBER(SEARCH("重賞",Z4039)),"重賞","分類不能")))))))))</f>
        <v/>
      </c>
    </row>
    <row r="4040" customFormat="false" ht="15.75" hidden="false" customHeight="false" outlineLevel="0" collapsed="false">
      <c r="AO4040" s="8" t="str">
        <f aca="false">IF(A4040="","",IF(COUNTIFS(全馬データ!$A$2:$A$50000,A4040,全馬データ!$B$2:$B$50000,B4040,全馬データ!$C$2:$C$50000,C4040,全馬データ!$D$2:$D$50000,E4040,全馬データ!$K$2:$K$50000,"&lt;&gt;")=0,"",SUMIFS(全馬データ!$K$2:$K$50000,全馬データ!$A$2:$A$50000,A4040,全馬データ!$B$2:$B$50000,B4040,全馬データ!$C$2:$C$50000,C4040,全馬データ!$D$2:$D$50000,E4040)))</f>
        <v/>
      </c>
      <c r="AP4040" s="8" t="str">
        <f aca="false">IF(A4040="","",IF(AO4040="","欠損",IF(AO4040&lt;=1.1,"1.0～1.1",IF(AO4040&lt;1.3,"1.2",IF(AO4040&lt;1.5,"1.3～1.4",IF(AO4040&lt;2,"1.5～1.9","2.0以上"))))))</f>
        <v/>
      </c>
      <c r="AQ4040" s="8" t="str">
        <f aca="false">IF(A4040="","",IF(ISNUMBER(SEARCH("2歳",Z4040)),"2歳戦",IF(ISNUMBER(SEARCH("3歳未勝利",Z4040)),"3歳未勝利",IF(ISNUMBER(SEARCH("未勝利",Z4040)),"その他未勝利",IF(ISNUMBER(SEARCH("G1",Z4040)),"G1",IF(ISNUMBER(SEARCH("G2",Z4040)),"G2",IF(ISNUMBER(SEARCH("G3",Z4040)),"G3",IF(ISNUMBER(SEARCH("古馬条件",Z4040)),"古馬条件戦",IF(ISNUMBER(SEARCH("重賞",Z4040)),"重賞","分類不能")))))))))</f>
        <v/>
      </c>
    </row>
    <row r="4041" customFormat="false" ht="15.75" hidden="false" customHeight="false" outlineLevel="0" collapsed="false">
      <c r="AO4041" s="8" t="str">
        <f aca="false">IF(A4041="","",IF(COUNTIFS(全馬データ!$A$2:$A$50000,A4041,全馬データ!$B$2:$B$50000,B4041,全馬データ!$C$2:$C$50000,C4041,全馬データ!$D$2:$D$50000,E4041,全馬データ!$K$2:$K$50000,"&lt;&gt;")=0,"",SUMIFS(全馬データ!$K$2:$K$50000,全馬データ!$A$2:$A$50000,A4041,全馬データ!$B$2:$B$50000,B4041,全馬データ!$C$2:$C$50000,C4041,全馬データ!$D$2:$D$50000,E4041)))</f>
        <v/>
      </c>
      <c r="AP4041" s="8" t="str">
        <f aca="false">IF(A4041="","",IF(AO4041="","欠損",IF(AO4041&lt;=1.1,"1.0～1.1",IF(AO4041&lt;1.3,"1.2",IF(AO4041&lt;1.5,"1.3～1.4",IF(AO4041&lt;2,"1.5～1.9","2.0以上"))))))</f>
        <v/>
      </c>
      <c r="AQ4041" s="8" t="str">
        <f aca="false">IF(A4041="","",IF(ISNUMBER(SEARCH("2歳",Z4041)),"2歳戦",IF(ISNUMBER(SEARCH("3歳未勝利",Z4041)),"3歳未勝利",IF(ISNUMBER(SEARCH("未勝利",Z4041)),"その他未勝利",IF(ISNUMBER(SEARCH("G1",Z4041)),"G1",IF(ISNUMBER(SEARCH("G2",Z4041)),"G2",IF(ISNUMBER(SEARCH("G3",Z4041)),"G3",IF(ISNUMBER(SEARCH("古馬条件",Z4041)),"古馬条件戦",IF(ISNUMBER(SEARCH("重賞",Z4041)),"重賞","分類不能")))))))))</f>
        <v/>
      </c>
    </row>
    <row r="4042" customFormat="false" ht="15.75" hidden="false" customHeight="false" outlineLevel="0" collapsed="false">
      <c r="AO4042" s="8" t="str">
        <f aca="false">IF(A4042="","",IF(COUNTIFS(全馬データ!$A$2:$A$50000,A4042,全馬データ!$B$2:$B$50000,B4042,全馬データ!$C$2:$C$50000,C4042,全馬データ!$D$2:$D$50000,E4042,全馬データ!$K$2:$K$50000,"&lt;&gt;")=0,"",SUMIFS(全馬データ!$K$2:$K$50000,全馬データ!$A$2:$A$50000,A4042,全馬データ!$B$2:$B$50000,B4042,全馬データ!$C$2:$C$50000,C4042,全馬データ!$D$2:$D$50000,E4042)))</f>
        <v/>
      </c>
      <c r="AP4042" s="8" t="str">
        <f aca="false">IF(A4042="","",IF(AO4042="","欠損",IF(AO4042&lt;=1.1,"1.0～1.1",IF(AO4042&lt;1.3,"1.2",IF(AO4042&lt;1.5,"1.3～1.4",IF(AO4042&lt;2,"1.5～1.9","2.0以上"))))))</f>
        <v/>
      </c>
      <c r="AQ4042" s="8" t="str">
        <f aca="false">IF(A4042="","",IF(ISNUMBER(SEARCH("2歳",Z4042)),"2歳戦",IF(ISNUMBER(SEARCH("3歳未勝利",Z4042)),"3歳未勝利",IF(ISNUMBER(SEARCH("未勝利",Z4042)),"その他未勝利",IF(ISNUMBER(SEARCH("G1",Z4042)),"G1",IF(ISNUMBER(SEARCH("G2",Z4042)),"G2",IF(ISNUMBER(SEARCH("G3",Z4042)),"G3",IF(ISNUMBER(SEARCH("古馬条件",Z4042)),"古馬条件戦",IF(ISNUMBER(SEARCH("重賞",Z4042)),"重賞","分類不能")))))))))</f>
        <v/>
      </c>
    </row>
    <row r="4043" customFormat="false" ht="15.75" hidden="false" customHeight="false" outlineLevel="0" collapsed="false">
      <c r="AO4043" s="8" t="str">
        <f aca="false">IF(A4043="","",IF(COUNTIFS(全馬データ!$A$2:$A$50000,A4043,全馬データ!$B$2:$B$50000,B4043,全馬データ!$C$2:$C$50000,C4043,全馬データ!$D$2:$D$50000,E4043,全馬データ!$K$2:$K$50000,"&lt;&gt;")=0,"",SUMIFS(全馬データ!$K$2:$K$50000,全馬データ!$A$2:$A$50000,A4043,全馬データ!$B$2:$B$50000,B4043,全馬データ!$C$2:$C$50000,C4043,全馬データ!$D$2:$D$50000,E4043)))</f>
        <v/>
      </c>
      <c r="AP4043" s="8" t="str">
        <f aca="false">IF(A4043="","",IF(AO4043="","欠損",IF(AO4043&lt;=1.1,"1.0～1.1",IF(AO4043&lt;1.3,"1.2",IF(AO4043&lt;1.5,"1.3～1.4",IF(AO4043&lt;2,"1.5～1.9","2.0以上"))))))</f>
        <v/>
      </c>
      <c r="AQ4043" s="8" t="str">
        <f aca="false">IF(A4043="","",IF(ISNUMBER(SEARCH("2歳",Z4043)),"2歳戦",IF(ISNUMBER(SEARCH("3歳未勝利",Z4043)),"3歳未勝利",IF(ISNUMBER(SEARCH("未勝利",Z4043)),"その他未勝利",IF(ISNUMBER(SEARCH("G1",Z4043)),"G1",IF(ISNUMBER(SEARCH("G2",Z4043)),"G2",IF(ISNUMBER(SEARCH("G3",Z4043)),"G3",IF(ISNUMBER(SEARCH("古馬条件",Z4043)),"古馬条件戦",IF(ISNUMBER(SEARCH("重賞",Z4043)),"重賞","分類不能")))))))))</f>
        <v/>
      </c>
    </row>
    <row r="4044" customFormat="false" ht="15.75" hidden="false" customHeight="false" outlineLevel="0" collapsed="false">
      <c r="AO4044" s="8" t="str">
        <f aca="false">IF(A4044="","",IF(COUNTIFS(全馬データ!$A$2:$A$50000,A4044,全馬データ!$B$2:$B$50000,B4044,全馬データ!$C$2:$C$50000,C4044,全馬データ!$D$2:$D$50000,E4044,全馬データ!$K$2:$K$50000,"&lt;&gt;")=0,"",SUMIFS(全馬データ!$K$2:$K$50000,全馬データ!$A$2:$A$50000,A4044,全馬データ!$B$2:$B$50000,B4044,全馬データ!$C$2:$C$50000,C4044,全馬データ!$D$2:$D$50000,E4044)))</f>
        <v/>
      </c>
      <c r="AP4044" s="8" t="str">
        <f aca="false">IF(A4044="","",IF(AO4044="","欠損",IF(AO4044&lt;=1.1,"1.0～1.1",IF(AO4044&lt;1.3,"1.2",IF(AO4044&lt;1.5,"1.3～1.4",IF(AO4044&lt;2,"1.5～1.9","2.0以上"))))))</f>
        <v/>
      </c>
      <c r="AQ4044" s="8" t="str">
        <f aca="false">IF(A4044="","",IF(ISNUMBER(SEARCH("2歳",Z4044)),"2歳戦",IF(ISNUMBER(SEARCH("3歳未勝利",Z4044)),"3歳未勝利",IF(ISNUMBER(SEARCH("未勝利",Z4044)),"その他未勝利",IF(ISNUMBER(SEARCH("G1",Z4044)),"G1",IF(ISNUMBER(SEARCH("G2",Z4044)),"G2",IF(ISNUMBER(SEARCH("G3",Z4044)),"G3",IF(ISNUMBER(SEARCH("古馬条件",Z4044)),"古馬条件戦",IF(ISNUMBER(SEARCH("重賞",Z4044)),"重賞","分類不能")))))))))</f>
        <v/>
      </c>
    </row>
    <row r="4045" customFormat="false" ht="15.75" hidden="false" customHeight="false" outlineLevel="0" collapsed="false">
      <c r="AO4045" s="8" t="str">
        <f aca="false">IF(A4045="","",IF(COUNTIFS(全馬データ!$A$2:$A$50000,A4045,全馬データ!$B$2:$B$50000,B4045,全馬データ!$C$2:$C$50000,C4045,全馬データ!$D$2:$D$50000,E4045,全馬データ!$K$2:$K$50000,"&lt;&gt;")=0,"",SUMIFS(全馬データ!$K$2:$K$50000,全馬データ!$A$2:$A$50000,A4045,全馬データ!$B$2:$B$50000,B4045,全馬データ!$C$2:$C$50000,C4045,全馬データ!$D$2:$D$50000,E4045)))</f>
        <v/>
      </c>
      <c r="AP4045" s="8" t="str">
        <f aca="false">IF(A4045="","",IF(AO4045="","欠損",IF(AO4045&lt;=1.1,"1.0～1.1",IF(AO4045&lt;1.3,"1.2",IF(AO4045&lt;1.5,"1.3～1.4",IF(AO4045&lt;2,"1.5～1.9","2.0以上"))))))</f>
        <v/>
      </c>
      <c r="AQ4045" s="8" t="str">
        <f aca="false">IF(A4045="","",IF(ISNUMBER(SEARCH("2歳",Z4045)),"2歳戦",IF(ISNUMBER(SEARCH("3歳未勝利",Z4045)),"3歳未勝利",IF(ISNUMBER(SEARCH("未勝利",Z4045)),"その他未勝利",IF(ISNUMBER(SEARCH("G1",Z4045)),"G1",IF(ISNUMBER(SEARCH("G2",Z4045)),"G2",IF(ISNUMBER(SEARCH("G3",Z4045)),"G3",IF(ISNUMBER(SEARCH("古馬条件",Z4045)),"古馬条件戦",IF(ISNUMBER(SEARCH("重賞",Z4045)),"重賞","分類不能")))))))))</f>
        <v/>
      </c>
    </row>
    <row r="4046" customFormat="false" ht="15.75" hidden="false" customHeight="false" outlineLevel="0" collapsed="false">
      <c r="AO4046" s="8" t="str">
        <f aca="false">IF(A4046="","",IF(COUNTIFS(全馬データ!$A$2:$A$50000,A4046,全馬データ!$B$2:$B$50000,B4046,全馬データ!$C$2:$C$50000,C4046,全馬データ!$D$2:$D$50000,E4046,全馬データ!$K$2:$K$50000,"&lt;&gt;")=0,"",SUMIFS(全馬データ!$K$2:$K$50000,全馬データ!$A$2:$A$50000,A4046,全馬データ!$B$2:$B$50000,B4046,全馬データ!$C$2:$C$50000,C4046,全馬データ!$D$2:$D$50000,E4046)))</f>
        <v/>
      </c>
      <c r="AP4046" s="8" t="str">
        <f aca="false">IF(A4046="","",IF(AO4046="","欠損",IF(AO4046&lt;=1.1,"1.0～1.1",IF(AO4046&lt;1.3,"1.2",IF(AO4046&lt;1.5,"1.3～1.4",IF(AO4046&lt;2,"1.5～1.9","2.0以上"))))))</f>
        <v/>
      </c>
      <c r="AQ4046" s="8" t="str">
        <f aca="false">IF(A4046="","",IF(ISNUMBER(SEARCH("2歳",Z4046)),"2歳戦",IF(ISNUMBER(SEARCH("3歳未勝利",Z4046)),"3歳未勝利",IF(ISNUMBER(SEARCH("未勝利",Z4046)),"その他未勝利",IF(ISNUMBER(SEARCH("G1",Z4046)),"G1",IF(ISNUMBER(SEARCH("G2",Z4046)),"G2",IF(ISNUMBER(SEARCH("G3",Z4046)),"G3",IF(ISNUMBER(SEARCH("古馬条件",Z4046)),"古馬条件戦",IF(ISNUMBER(SEARCH("重賞",Z4046)),"重賞","分類不能")))))))))</f>
        <v/>
      </c>
    </row>
    <row r="4047" customFormat="false" ht="15.75" hidden="false" customHeight="false" outlineLevel="0" collapsed="false">
      <c r="AO4047" s="8" t="str">
        <f aca="false">IF(A4047="","",IF(COUNTIFS(全馬データ!$A$2:$A$50000,A4047,全馬データ!$B$2:$B$50000,B4047,全馬データ!$C$2:$C$50000,C4047,全馬データ!$D$2:$D$50000,E4047,全馬データ!$K$2:$K$50000,"&lt;&gt;")=0,"",SUMIFS(全馬データ!$K$2:$K$50000,全馬データ!$A$2:$A$50000,A4047,全馬データ!$B$2:$B$50000,B4047,全馬データ!$C$2:$C$50000,C4047,全馬データ!$D$2:$D$50000,E4047)))</f>
        <v/>
      </c>
      <c r="AP4047" s="8" t="str">
        <f aca="false">IF(A4047="","",IF(AO4047="","欠損",IF(AO4047&lt;=1.1,"1.0～1.1",IF(AO4047&lt;1.3,"1.2",IF(AO4047&lt;1.5,"1.3～1.4",IF(AO4047&lt;2,"1.5～1.9","2.0以上"))))))</f>
        <v/>
      </c>
      <c r="AQ4047" s="8" t="str">
        <f aca="false">IF(A4047="","",IF(ISNUMBER(SEARCH("2歳",Z4047)),"2歳戦",IF(ISNUMBER(SEARCH("3歳未勝利",Z4047)),"3歳未勝利",IF(ISNUMBER(SEARCH("未勝利",Z4047)),"その他未勝利",IF(ISNUMBER(SEARCH("G1",Z4047)),"G1",IF(ISNUMBER(SEARCH("G2",Z4047)),"G2",IF(ISNUMBER(SEARCH("G3",Z4047)),"G3",IF(ISNUMBER(SEARCH("古馬条件",Z4047)),"古馬条件戦",IF(ISNUMBER(SEARCH("重賞",Z4047)),"重賞","分類不能")))))))))</f>
        <v/>
      </c>
    </row>
    <row r="4048" customFormat="false" ht="15.75" hidden="false" customHeight="false" outlineLevel="0" collapsed="false">
      <c r="AO4048" s="8" t="str">
        <f aca="false">IF(A4048="","",IF(COUNTIFS(全馬データ!$A$2:$A$50000,A4048,全馬データ!$B$2:$B$50000,B4048,全馬データ!$C$2:$C$50000,C4048,全馬データ!$D$2:$D$50000,E4048,全馬データ!$K$2:$K$50000,"&lt;&gt;")=0,"",SUMIFS(全馬データ!$K$2:$K$50000,全馬データ!$A$2:$A$50000,A4048,全馬データ!$B$2:$B$50000,B4048,全馬データ!$C$2:$C$50000,C4048,全馬データ!$D$2:$D$50000,E4048)))</f>
        <v/>
      </c>
      <c r="AP4048" s="8" t="str">
        <f aca="false">IF(A4048="","",IF(AO4048="","欠損",IF(AO4048&lt;=1.1,"1.0～1.1",IF(AO4048&lt;1.3,"1.2",IF(AO4048&lt;1.5,"1.3～1.4",IF(AO4048&lt;2,"1.5～1.9","2.0以上"))))))</f>
        <v/>
      </c>
      <c r="AQ4048" s="8" t="str">
        <f aca="false">IF(A4048="","",IF(ISNUMBER(SEARCH("2歳",Z4048)),"2歳戦",IF(ISNUMBER(SEARCH("3歳未勝利",Z4048)),"3歳未勝利",IF(ISNUMBER(SEARCH("未勝利",Z4048)),"その他未勝利",IF(ISNUMBER(SEARCH("G1",Z4048)),"G1",IF(ISNUMBER(SEARCH("G2",Z4048)),"G2",IF(ISNUMBER(SEARCH("G3",Z4048)),"G3",IF(ISNUMBER(SEARCH("古馬条件",Z4048)),"古馬条件戦",IF(ISNUMBER(SEARCH("重賞",Z4048)),"重賞","分類不能")))))))))</f>
        <v/>
      </c>
    </row>
    <row r="4049" customFormat="false" ht="15.75" hidden="false" customHeight="false" outlineLevel="0" collapsed="false">
      <c r="AO4049" s="8" t="str">
        <f aca="false">IF(A4049="","",IF(COUNTIFS(全馬データ!$A$2:$A$50000,A4049,全馬データ!$B$2:$B$50000,B4049,全馬データ!$C$2:$C$50000,C4049,全馬データ!$D$2:$D$50000,E4049,全馬データ!$K$2:$K$50000,"&lt;&gt;")=0,"",SUMIFS(全馬データ!$K$2:$K$50000,全馬データ!$A$2:$A$50000,A4049,全馬データ!$B$2:$B$50000,B4049,全馬データ!$C$2:$C$50000,C4049,全馬データ!$D$2:$D$50000,E4049)))</f>
        <v/>
      </c>
      <c r="AP4049" s="8" t="str">
        <f aca="false">IF(A4049="","",IF(AO4049="","欠損",IF(AO4049&lt;=1.1,"1.0～1.1",IF(AO4049&lt;1.3,"1.2",IF(AO4049&lt;1.5,"1.3～1.4",IF(AO4049&lt;2,"1.5～1.9","2.0以上"))))))</f>
        <v/>
      </c>
      <c r="AQ4049" s="8" t="str">
        <f aca="false">IF(A4049="","",IF(ISNUMBER(SEARCH("2歳",Z4049)),"2歳戦",IF(ISNUMBER(SEARCH("3歳未勝利",Z4049)),"3歳未勝利",IF(ISNUMBER(SEARCH("未勝利",Z4049)),"その他未勝利",IF(ISNUMBER(SEARCH("G1",Z4049)),"G1",IF(ISNUMBER(SEARCH("G2",Z4049)),"G2",IF(ISNUMBER(SEARCH("G3",Z4049)),"G3",IF(ISNUMBER(SEARCH("古馬条件",Z4049)),"古馬条件戦",IF(ISNUMBER(SEARCH("重賞",Z4049)),"重賞","分類不能")))))))))</f>
        <v/>
      </c>
    </row>
    <row r="4050" customFormat="false" ht="15.75" hidden="false" customHeight="false" outlineLevel="0" collapsed="false">
      <c r="AO4050" s="8" t="str">
        <f aca="false">IF(A4050="","",IF(COUNTIFS(全馬データ!$A$2:$A$50000,A4050,全馬データ!$B$2:$B$50000,B4050,全馬データ!$C$2:$C$50000,C4050,全馬データ!$D$2:$D$50000,E4050,全馬データ!$K$2:$K$50000,"&lt;&gt;")=0,"",SUMIFS(全馬データ!$K$2:$K$50000,全馬データ!$A$2:$A$50000,A4050,全馬データ!$B$2:$B$50000,B4050,全馬データ!$C$2:$C$50000,C4050,全馬データ!$D$2:$D$50000,E4050)))</f>
        <v/>
      </c>
      <c r="AP4050" s="8" t="str">
        <f aca="false">IF(A4050="","",IF(AO4050="","欠損",IF(AO4050&lt;=1.1,"1.0～1.1",IF(AO4050&lt;1.3,"1.2",IF(AO4050&lt;1.5,"1.3～1.4",IF(AO4050&lt;2,"1.5～1.9","2.0以上"))))))</f>
        <v/>
      </c>
      <c r="AQ4050" s="8" t="str">
        <f aca="false">IF(A4050="","",IF(ISNUMBER(SEARCH("2歳",Z4050)),"2歳戦",IF(ISNUMBER(SEARCH("3歳未勝利",Z4050)),"3歳未勝利",IF(ISNUMBER(SEARCH("未勝利",Z4050)),"その他未勝利",IF(ISNUMBER(SEARCH("G1",Z4050)),"G1",IF(ISNUMBER(SEARCH("G2",Z4050)),"G2",IF(ISNUMBER(SEARCH("G3",Z4050)),"G3",IF(ISNUMBER(SEARCH("古馬条件",Z4050)),"古馬条件戦",IF(ISNUMBER(SEARCH("重賞",Z4050)),"重賞","分類不能")))))))))</f>
        <v/>
      </c>
    </row>
    <row r="4051" customFormat="false" ht="15.75" hidden="false" customHeight="false" outlineLevel="0" collapsed="false">
      <c r="AO4051" s="8" t="str">
        <f aca="false">IF(A4051="","",IF(COUNTIFS(全馬データ!$A$2:$A$50000,A4051,全馬データ!$B$2:$B$50000,B4051,全馬データ!$C$2:$C$50000,C4051,全馬データ!$D$2:$D$50000,E4051,全馬データ!$K$2:$K$50000,"&lt;&gt;")=0,"",SUMIFS(全馬データ!$K$2:$K$50000,全馬データ!$A$2:$A$50000,A4051,全馬データ!$B$2:$B$50000,B4051,全馬データ!$C$2:$C$50000,C4051,全馬データ!$D$2:$D$50000,E4051)))</f>
        <v/>
      </c>
      <c r="AP4051" s="8" t="str">
        <f aca="false">IF(A4051="","",IF(AO4051="","欠損",IF(AO4051&lt;=1.1,"1.0～1.1",IF(AO4051&lt;1.3,"1.2",IF(AO4051&lt;1.5,"1.3～1.4",IF(AO4051&lt;2,"1.5～1.9","2.0以上"))))))</f>
        <v/>
      </c>
      <c r="AQ4051" s="8" t="str">
        <f aca="false">IF(A4051="","",IF(ISNUMBER(SEARCH("2歳",Z4051)),"2歳戦",IF(ISNUMBER(SEARCH("3歳未勝利",Z4051)),"3歳未勝利",IF(ISNUMBER(SEARCH("未勝利",Z4051)),"その他未勝利",IF(ISNUMBER(SEARCH("G1",Z4051)),"G1",IF(ISNUMBER(SEARCH("G2",Z4051)),"G2",IF(ISNUMBER(SEARCH("G3",Z4051)),"G3",IF(ISNUMBER(SEARCH("古馬条件",Z4051)),"古馬条件戦",IF(ISNUMBER(SEARCH("重賞",Z4051)),"重賞","分類不能")))))))))</f>
        <v/>
      </c>
    </row>
    <row r="4052" customFormat="false" ht="15.75" hidden="false" customHeight="false" outlineLevel="0" collapsed="false">
      <c r="AO4052" s="8" t="str">
        <f aca="false">IF(A4052="","",IF(COUNTIFS(全馬データ!$A$2:$A$50000,A4052,全馬データ!$B$2:$B$50000,B4052,全馬データ!$C$2:$C$50000,C4052,全馬データ!$D$2:$D$50000,E4052,全馬データ!$K$2:$K$50000,"&lt;&gt;")=0,"",SUMIFS(全馬データ!$K$2:$K$50000,全馬データ!$A$2:$A$50000,A4052,全馬データ!$B$2:$B$50000,B4052,全馬データ!$C$2:$C$50000,C4052,全馬データ!$D$2:$D$50000,E4052)))</f>
        <v/>
      </c>
      <c r="AP4052" s="8" t="str">
        <f aca="false">IF(A4052="","",IF(AO4052="","欠損",IF(AO4052&lt;=1.1,"1.0～1.1",IF(AO4052&lt;1.3,"1.2",IF(AO4052&lt;1.5,"1.3～1.4",IF(AO4052&lt;2,"1.5～1.9","2.0以上"))))))</f>
        <v/>
      </c>
      <c r="AQ4052" s="8" t="str">
        <f aca="false">IF(A4052="","",IF(ISNUMBER(SEARCH("2歳",Z4052)),"2歳戦",IF(ISNUMBER(SEARCH("3歳未勝利",Z4052)),"3歳未勝利",IF(ISNUMBER(SEARCH("未勝利",Z4052)),"その他未勝利",IF(ISNUMBER(SEARCH("G1",Z4052)),"G1",IF(ISNUMBER(SEARCH("G2",Z4052)),"G2",IF(ISNUMBER(SEARCH("G3",Z4052)),"G3",IF(ISNUMBER(SEARCH("古馬条件",Z4052)),"古馬条件戦",IF(ISNUMBER(SEARCH("重賞",Z4052)),"重賞","分類不能")))))))))</f>
        <v/>
      </c>
    </row>
    <row r="4053" customFormat="false" ht="15.75" hidden="false" customHeight="false" outlineLevel="0" collapsed="false">
      <c r="AO4053" s="8" t="str">
        <f aca="false">IF(A4053="","",IF(COUNTIFS(全馬データ!$A$2:$A$50000,A4053,全馬データ!$B$2:$B$50000,B4053,全馬データ!$C$2:$C$50000,C4053,全馬データ!$D$2:$D$50000,E4053,全馬データ!$K$2:$K$50000,"&lt;&gt;")=0,"",SUMIFS(全馬データ!$K$2:$K$50000,全馬データ!$A$2:$A$50000,A4053,全馬データ!$B$2:$B$50000,B4053,全馬データ!$C$2:$C$50000,C4053,全馬データ!$D$2:$D$50000,E4053)))</f>
        <v/>
      </c>
      <c r="AP4053" s="8" t="str">
        <f aca="false">IF(A4053="","",IF(AO4053="","欠損",IF(AO4053&lt;=1.1,"1.0～1.1",IF(AO4053&lt;1.3,"1.2",IF(AO4053&lt;1.5,"1.3～1.4",IF(AO4053&lt;2,"1.5～1.9","2.0以上"))))))</f>
        <v/>
      </c>
      <c r="AQ4053" s="8" t="str">
        <f aca="false">IF(A4053="","",IF(ISNUMBER(SEARCH("2歳",Z4053)),"2歳戦",IF(ISNUMBER(SEARCH("3歳未勝利",Z4053)),"3歳未勝利",IF(ISNUMBER(SEARCH("未勝利",Z4053)),"その他未勝利",IF(ISNUMBER(SEARCH("G1",Z4053)),"G1",IF(ISNUMBER(SEARCH("G2",Z4053)),"G2",IF(ISNUMBER(SEARCH("G3",Z4053)),"G3",IF(ISNUMBER(SEARCH("古馬条件",Z4053)),"古馬条件戦",IF(ISNUMBER(SEARCH("重賞",Z4053)),"重賞","分類不能")))))))))</f>
        <v/>
      </c>
    </row>
    <row r="4054" customFormat="false" ht="15.75" hidden="false" customHeight="false" outlineLevel="0" collapsed="false">
      <c r="AO4054" s="8" t="str">
        <f aca="false">IF(A4054="","",IF(COUNTIFS(全馬データ!$A$2:$A$50000,A4054,全馬データ!$B$2:$B$50000,B4054,全馬データ!$C$2:$C$50000,C4054,全馬データ!$D$2:$D$50000,E4054,全馬データ!$K$2:$K$50000,"&lt;&gt;")=0,"",SUMIFS(全馬データ!$K$2:$K$50000,全馬データ!$A$2:$A$50000,A4054,全馬データ!$B$2:$B$50000,B4054,全馬データ!$C$2:$C$50000,C4054,全馬データ!$D$2:$D$50000,E4054)))</f>
        <v/>
      </c>
      <c r="AP4054" s="8" t="str">
        <f aca="false">IF(A4054="","",IF(AO4054="","欠損",IF(AO4054&lt;=1.1,"1.0～1.1",IF(AO4054&lt;1.3,"1.2",IF(AO4054&lt;1.5,"1.3～1.4",IF(AO4054&lt;2,"1.5～1.9","2.0以上"))))))</f>
        <v/>
      </c>
      <c r="AQ4054" s="8" t="str">
        <f aca="false">IF(A4054="","",IF(ISNUMBER(SEARCH("2歳",Z4054)),"2歳戦",IF(ISNUMBER(SEARCH("3歳未勝利",Z4054)),"3歳未勝利",IF(ISNUMBER(SEARCH("未勝利",Z4054)),"その他未勝利",IF(ISNUMBER(SEARCH("G1",Z4054)),"G1",IF(ISNUMBER(SEARCH("G2",Z4054)),"G2",IF(ISNUMBER(SEARCH("G3",Z4054)),"G3",IF(ISNUMBER(SEARCH("古馬条件",Z4054)),"古馬条件戦",IF(ISNUMBER(SEARCH("重賞",Z4054)),"重賞","分類不能")))))))))</f>
        <v/>
      </c>
    </row>
    <row r="4055" customFormat="false" ht="15.75" hidden="false" customHeight="false" outlineLevel="0" collapsed="false">
      <c r="AO4055" s="8" t="str">
        <f aca="false">IF(A4055="","",IF(COUNTIFS(全馬データ!$A$2:$A$50000,A4055,全馬データ!$B$2:$B$50000,B4055,全馬データ!$C$2:$C$50000,C4055,全馬データ!$D$2:$D$50000,E4055,全馬データ!$K$2:$K$50000,"&lt;&gt;")=0,"",SUMIFS(全馬データ!$K$2:$K$50000,全馬データ!$A$2:$A$50000,A4055,全馬データ!$B$2:$B$50000,B4055,全馬データ!$C$2:$C$50000,C4055,全馬データ!$D$2:$D$50000,E4055)))</f>
        <v/>
      </c>
      <c r="AP4055" s="8" t="str">
        <f aca="false">IF(A4055="","",IF(AO4055="","欠損",IF(AO4055&lt;=1.1,"1.0～1.1",IF(AO4055&lt;1.3,"1.2",IF(AO4055&lt;1.5,"1.3～1.4",IF(AO4055&lt;2,"1.5～1.9","2.0以上"))))))</f>
        <v/>
      </c>
      <c r="AQ4055" s="8" t="str">
        <f aca="false">IF(A4055="","",IF(ISNUMBER(SEARCH("2歳",Z4055)),"2歳戦",IF(ISNUMBER(SEARCH("3歳未勝利",Z4055)),"3歳未勝利",IF(ISNUMBER(SEARCH("未勝利",Z4055)),"その他未勝利",IF(ISNUMBER(SEARCH("G1",Z4055)),"G1",IF(ISNUMBER(SEARCH("G2",Z4055)),"G2",IF(ISNUMBER(SEARCH("G3",Z4055)),"G3",IF(ISNUMBER(SEARCH("古馬条件",Z4055)),"古馬条件戦",IF(ISNUMBER(SEARCH("重賞",Z4055)),"重賞","分類不能")))))))))</f>
        <v/>
      </c>
    </row>
    <row r="4056" customFormat="false" ht="15.75" hidden="false" customHeight="false" outlineLevel="0" collapsed="false">
      <c r="AO4056" s="8" t="str">
        <f aca="false">IF(A4056="","",IF(COUNTIFS(全馬データ!$A$2:$A$50000,A4056,全馬データ!$B$2:$B$50000,B4056,全馬データ!$C$2:$C$50000,C4056,全馬データ!$D$2:$D$50000,E4056,全馬データ!$K$2:$K$50000,"&lt;&gt;")=0,"",SUMIFS(全馬データ!$K$2:$K$50000,全馬データ!$A$2:$A$50000,A4056,全馬データ!$B$2:$B$50000,B4056,全馬データ!$C$2:$C$50000,C4056,全馬データ!$D$2:$D$50000,E4056)))</f>
        <v/>
      </c>
      <c r="AP4056" s="8" t="str">
        <f aca="false">IF(A4056="","",IF(AO4056="","欠損",IF(AO4056&lt;=1.1,"1.0～1.1",IF(AO4056&lt;1.3,"1.2",IF(AO4056&lt;1.5,"1.3～1.4",IF(AO4056&lt;2,"1.5～1.9","2.0以上"))))))</f>
        <v/>
      </c>
      <c r="AQ4056" s="8" t="str">
        <f aca="false">IF(A4056="","",IF(ISNUMBER(SEARCH("2歳",Z4056)),"2歳戦",IF(ISNUMBER(SEARCH("3歳未勝利",Z4056)),"3歳未勝利",IF(ISNUMBER(SEARCH("未勝利",Z4056)),"その他未勝利",IF(ISNUMBER(SEARCH("G1",Z4056)),"G1",IF(ISNUMBER(SEARCH("G2",Z4056)),"G2",IF(ISNUMBER(SEARCH("G3",Z4056)),"G3",IF(ISNUMBER(SEARCH("古馬条件",Z4056)),"古馬条件戦",IF(ISNUMBER(SEARCH("重賞",Z4056)),"重賞","分類不能")))))))))</f>
        <v/>
      </c>
    </row>
    <row r="4057" customFormat="false" ht="15.75" hidden="false" customHeight="false" outlineLevel="0" collapsed="false">
      <c r="AO4057" s="8" t="str">
        <f aca="false">IF(A4057="","",IF(COUNTIFS(全馬データ!$A$2:$A$50000,A4057,全馬データ!$B$2:$B$50000,B4057,全馬データ!$C$2:$C$50000,C4057,全馬データ!$D$2:$D$50000,E4057,全馬データ!$K$2:$K$50000,"&lt;&gt;")=0,"",SUMIFS(全馬データ!$K$2:$K$50000,全馬データ!$A$2:$A$50000,A4057,全馬データ!$B$2:$B$50000,B4057,全馬データ!$C$2:$C$50000,C4057,全馬データ!$D$2:$D$50000,E4057)))</f>
        <v/>
      </c>
      <c r="AP4057" s="8" t="str">
        <f aca="false">IF(A4057="","",IF(AO4057="","欠損",IF(AO4057&lt;=1.1,"1.0～1.1",IF(AO4057&lt;1.3,"1.2",IF(AO4057&lt;1.5,"1.3～1.4",IF(AO4057&lt;2,"1.5～1.9","2.0以上"))))))</f>
        <v/>
      </c>
      <c r="AQ4057" s="8" t="str">
        <f aca="false">IF(A4057="","",IF(ISNUMBER(SEARCH("2歳",Z4057)),"2歳戦",IF(ISNUMBER(SEARCH("3歳未勝利",Z4057)),"3歳未勝利",IF(ISNUMBER(SEARCH("未勝利",Z4057)),"その他未勝利",IF(ISNUMBER(SEARCH("G1",Z4057)),"G1",IF(ISNUMBER(SEARCH("G2",Z4057)),"G2",IF(ISNUMBER(SEARCH("G3",Z4057)),"G3",IF(ISNUMBER(SEARCH("古馬条件",Z4057)),"古馬条件戦",IF(ISNUMBER(SEARCH("重賞",Z4057)),"重賞","分類不能")))))))))</f>
        <v/>
      </c>
    </row>
    <row r="4058" customFormat="false" ht="15.75" hidden="false" customHeight="false" outlineLevel="0" collapsed="false">
      <c r="AO4058" s="8" t="str">
        <f aca="false">IF(A4058="","",IF(COUNTIFS(全馬データ!$A$2:$A$50000,A4058,全馬データ!$B$2:$B$50000,B4058,全馬データ!$C$2:$C$50000,C4058,全馬データ!$D$2:$D$50000,E4058,全馬データ!$K$2:$K$50000,"&lt;&gt;")=0,"",SUMIFS(全馬データ!$K$2:$K$50000,全馬データ!$A$2:$A$50000,A4058,全馬データ!$B$2:$B$50000,B4058,全馬データ!$C$2:$C$50000,C4058,全馬データ!$D$2:$D$50000,E4058)))</f>
        <v/>
      </c>
      <c r="AP4058" s="8" t="str">
        <f aca="false">IF(A4058="","",IF(AO4058="","欠損",IF(AO4058&lt;=1.1,"1.0～1.1",IF(AO4058&lt;1.3,"1.2",IF(AO4058&lt;1.5,"1.3～1.4",IF(AO4058&lt;2,"1.5～1.9","2.0以上"))))))</f>
        <v/>
      </c>
      <c r="AQ4058" s="8" t="str">
        <f aca="false">IF(A4058="","",IF(ISNUMBER(SEARCH("2歳",Z4058)),"2歳戦",IF(ISNUMBER(SEARCH("3歳未勝利",Z4058)),"3歳未勝利",IF(ISNUMBER(SEARCH("未勝利",Z4058)),"その他未勝利",IF(ISNUMBER(SEARCH("G1",Z4058)),"G1",IF(ISNUMBER(SEARCH("G2",Z4058)),"G2",IF(ISNUMBER(SEARCH("G3",Z4058)),"G3",IF(ISNUMBER(SEARCH("古馬条件",Z4058)),"古馬条件戦",IF(ISNUMBER(SEARCH("重賞",Z4058)),"重賞","分類不能")))))))))</f>
        <v/>
      </c>
    </row>
    <row r="4059" customFormat="false" ht="15.75" hidden="false" customHeight="false" outlineLevel="0" collapsed="false">
      <c r="AO4059" s="8" t="str">
        <f aca="false">IF(A4059="","",IF(COUNTIFS(全馬データ!$A$2:$A$50000,A4059,全馬データ!$B$2:$B$50000,B4059,全馬データ!$C$2:$C$50000,C4059,全馬データ!$D$2:$D$50000,E4059,全馬データ!$K$2:$K$50000,"&lt;&gt;")=0,"",SUMIFS(全馬データ!$K$2:$K$50000,全馬データ!$A$2:$A$50000,A4059,全馬データ!$B$2:$B$50000,B4059,全馬データ!$C$2:$C$50000,C4059,全馬データ!$D$2:$D$50000,E4059)))</f>
        <v/>
      </c>
      <c r="AP4059" s="8" t="str">
        <f aca="false">IF(A4059="","",IF(AO4059="","欠損",IF(AO4059&lt;=1.1,"1.0～1.1",IF(AO4059&lt;1.3,"1.2",IF(AO4059&lt;1.5,"1.3～1.4",IF(AO4059&lt;2,"1.5～1.9","2.0以上"))))))</f>
        <v/>
      </c>
      <c r="AQ4059" s="8" t="str">
        <f aca="false">IF(A4059="","",IF(ISNUMBER(SEARCH("2歳",Z4059)),"2歳戦",IF(ISNUMBER(SEARCH("3歳未勝利",Z4059)),"3歳未勝利",IF(ISNUMBER(SEARCH("未勝利",Z4059)),"その他未勝利",IF(ISNUMBER(SEARCH("G1",Z4059)),"G1",IF(ISNUMBER(SEARCH("G2",Z4059)),"G2",IF(ISNUMBER(SEARCH("G3",Z4059)),"G3",IF(ISNUMBER(SEARCH("古馬条件",Z4059)),"古馬条件戦",IF(ISNUMBER(SEARCH("重賞",Z4059)),"重賞","分類不能")))))))))</f>
        <v/>
      </c>
    </row>
    <row r="4060" customFormat="false" ht="15.75" hidden="false" customHeight="false" outlineLevel="0" collapsed="false">
      <c r="AO4060" s="8" t="str">
        <f aca="false">IF(A4060="","",IF(COUNTIFS(全馬データ!$A$2:$A$50000,A4060,全馬データ!$B$2:$B$50000,B4060,全馬データ!$C$2:$C$50000,C4060,全馬データ!$D$2:$D$50000,E4060,全馬データ!$K$2:$K$50000,"&lt;&gt;")=0,"",SUMIFS(全馬データ!$K$2:$K$50000,全馬データ!$A$2:$A$50000,A4060,全馬データ!$B$2:$B$50000,B4060,全馬データ!$C$2:$C$50000,C4060,全馬データ!$D$2:$D$50000,E4060)))</f>
        <v/>
      </c>
      <c r="AP4060" s="8" t="str">
        <f aca="false">IF(A4060="","",IF(AO4060="","欠損",IF(AO4060&lt;=1.1,"1.0～1.1",IF(AO4060&lt;1.3,"1.2",IF(AO4060&lt;1.5,"1.3～1.4",IF(AO4060&lt;2,"1.5～1.9","2.0以上"))))))</f>
        <v/>
      </c>
      <c r="AQ4060" s="8" t="str">
        <f aca="false">IF(A4060="","",IF(ISNUMBER(SEARCH("2歳",Z4060)),"2歳戦",IF(ISNUMBER(SEARCH("3歳未勝利",Z4060)),"3歳未勝利",IF(ISNUMBER(SEARCH("未勝利",Z4060)),"その他未勝利",IF(ISNUMBER(SEARCH("G1",Z4060)),"G1",IF(ISNUMBER(SEARCH("G2",Z4060)),"G2",IF(ISNUMBER(SEARCH("G3",Z4060)),"G3",IF(ISNUMBER(SEARCH("古馬条件",Z4060)),"古馬条件戦",IF(ISNUMBER(SEARCH("重賞",Z4060)),"重賞","分類不能")))))))))</f>
        <v/>
      </c>
    </row>
    <row r="4061" customFormat="false" ht="15.75" hidden="false" customHeight="false" outlineLevel="0" collapsed="false">
      <c r="AO4061" s="8" t="str">
        <f aca="false">IF(A4061="","",IF(COUNTIFS(全馬データ!$A$2:$A$50000,A4061,全馬データ!$B$2:$B$50000,B4061,全馬データ!$C$2:$C$50000,C4061,全馬データ!$D$2:$D$50000,E4061,全馬データ!$K$2:$K$50000,"&lt;&gt;")=0,"",SUMIFS(全馬データ!$K$2:$K$50000,全馬データ!$A$2:$A$50000,A4061,全馬データ!$B$2:$B$50000,B4061,全馬データ!$C$2:$C$50000,C4061,全馬データ!$D$2:$D$50000,E4061)))</f>
        <v/>
      </c>
      <c r="AP4061" s="8" t="str">
        <f aca="false">IF(A4061="","",IF(AO4061="","欠損",IF(AO4061&lt;=1.1,"1.0～1.1",IF(AO4061&lt;1.3,"1.2",IF(AO4061&lt;1.5,"1.3～1.4",IF(AO4061&lt;2,"1.5～1.9","2.0以上"))))))</f>
        <v/>
      </c>
      <c r="AQ4061" s="8" t="str">
        <f aca="false">IF(A4061="","",IF(ISNUMBER(SEARCH("2歳",Z4061)),"2歳戦",IF(ISNUMBER(SEARCH("3歳未勝利",Z4061)),"3歳未勝利",IF(ISNUMBER(SEARCH("未勝利",Z4061)),"その他未勝利",IF(ISNUMBER(SEARCH("G1",Z4061)),"G1",IF(ISNUMBER(SEARCH("G2",Z4061)),"G2",IF(ISNUMBER(SEARCH("G3",Z4061)),"G3",IF(ISNUMBER(SEARCH("古馬条件",Z4061)),"古馬条件戦",IF(ISNUMBER(SEARCH("重賞",Z4061)),"重賞","分類不能")))))))))</f>
        <v/>
      </c>
    </row>
    <row r="4062" customFormat="false" ht="15.75" hidden="false" customHeight="false" outlineLevel="0" collapsed="false">
      <c r="AO4062" s="8" t="str">
        <f aca="false">IF(A4062="","",IF(COUNTIFS(全馬データ!$A$2:$A$50000,A4062,全馬データ!$B$2:$B$50000,B4062,全馬データ!$C$2:$C$50000,C4062,全馬データ!$D$2:$D$50000,E4062,全馬データ!$K$2:$K$50000,"&lt;&gt;")=0,"",SUMIFS(全馬データ!$K$2:$K$50000,全馬データ!$A$2:$A$50000,A4062,全馬データ!$B$2:$B$50000,B4062,全馬データ!$C$2:$C$50000,C4062,全馬データ!$D$2:$D$50000,E4062)))</f>
        <v/>
      </c>
      <c r="AP4062" s="8" t="str">
        <f aca="false">IF(A4062="","",IF(AO4062="","欠損",IF(AO4062&lt;=1.1,"1.0～1.1",IF(AO4062&lt;1.3,"1.2",IF(AO4062&lt;1.5,"1.3～1.4",IF(AO4062&lt;2,"1.5～1.9","2.0以上"))))))</f>
        <v/>
      </c>
      <c r="AQ4062" s="8" t="str">
        <f aca="false">IF(A4062="","",IF(ISNUMBER(SEARCH("2歳",Z4062)),"2歳戦",IF(ISNUMBER(SEARCH("3歳未勝利",Z4062)),"3歳未勝利",IF(ISNUMBER(SEARCH("未勝利",Z4062)),"その他未勝利",IF(ISNUMBER(SEARCH("G1",Z4062)),"G1",IF(ISNUMBER(SEARCH("G2",Z4062)),"G2",IF(ISNUMBER(SEARCH("G3",Z4062)),"G3",IF(ISNUMBER(SEARCH("古馬条件",Z4062)),"古馬条件戦",IF(ISNUMBER(SEARCH("重賞",Z4062)),"重賞","分類不能")))))))))</f>
        <v/>
      </c>
    </row>
    <row r="4063" customFormat="false" ht="15.75" hidden="false" customHeight="false" outlineLevel="0" collapsed="false">
      <c r="AO4063" s="8" t="str">
        <f aca="false">IF(A4063="","",IF(COUNTIFS(全馬データ!$A$2:$A$50000,A4063,全馬データ!$B$2:$B$50000,B4063,全馬データ!$C$2:$C$50000,C4063,全馬データ!$D$2:$D$50000,E4063,全馬データ!$K$2:$K$50000,"&lt;&gt;")=0,"",SUMIFS(全馬データ!$K$2:$K$50000,全馬データ!$A$2:$A$50000,A4063,全馬データ!$B$2:$B$50000,B4063,全馬データ!$C$2:$C$50000,C4063,全馬データ!$D$2:$D$50000,E4063)))</f>
        <v/>
      </c>
      <c r="AP4063" s="8" t="str">
        <f aca="false">IF(A4063="","",IF(AO4063="","欠損",IF(AO4063&lt;=1.1,"1.0～1.1",IF(AO4063&lt;1.3,"1.2",IF(AO4063&lt;1.5,"1.3～1.4",IF(AO4063&lt;2,"1.5～1.9","2.0以上"))))))</f>
        <v/>
      </c>
      <c r="AQ4063" s="8" t="str">
        <f aca="false">IF(A4063="","",IF(ISNUMBER(SEARCH("2歳",Z4063)),"2歳戦",IF(ISNUMBER(SEARCH("3歳未勝利",Z4063)),"3歳未勝利",IF(ISNUMBER(SEARCH("未勝利",Z4063)),"その他未勝利",IF(ISNUMBER(SEARCH("G1",Z4063)),"G1",IF(ISNUMBER(SEARCH("G2",Z4063)),"G2",IF(ISNUMBER(SEARCH("G3",Z4063)),"G3",IF(ISNUMBER(SEARCH("古馬条件",Z4063)),"古馬条件戦",IF(ISNUMBER(SEARCH("重賞",Z4063)),"重賞","分類不能")))))))))</f>
        <v/>
      </c>
    </row>
    <row r="4064" customFormat="false" ht="15.75" hidden="false" customHeight="false" outlineLevel="0" collapsed="false">
      <c r="AO4064" s="8" t="str">
        <f aca="false">IF(A4064="","",IF(COUNTIFS(全馬データ!$A$2:$A$50000,A4064,全馬データ!$B$2:$B$50000,B4064,全馬データ!$C$2:$C$50000,C4064,全馬データ!$D$2:$D$50000,E4064,全馬データ!$K$2:$K$50000,"&lt;&gt;")=0,"",SUMIFS(全馬データ!$K$2:$K$50000,全馬データ!$A$2:$A$50000,A4064,全馬データ!$B$2:$B$50000,B4064,全馬データ!$C$2:$C$50000,C4064,全馬データ!$D$2:$D$50000,E4064)))</f>
        <v/>
      </c>
      <c r="AP4064" s="8" t="str">
        <f aca="false">IF(A4064="","",IF(AO4064="","欠損",IF(AO4064&lt;=1.1,"1.0～1.1",IF(AO4064&lt;1.3,"1.2",IF(AO4064&lt;1.5,"1.3～1.4",IF(AO4064&lt;2,"1.5～1.9","2.0以上"))))))</f>
        <v/>
      </c>
      <c r="AQ4064" s="8" t="str">
        <f aca="false">IF(A4064="","",IF(ISNUMBER(SEARCH("2歳",Z4064)),"2歳戦",IF(ISNUMBER(SEARCH("3歳未勝利",Z4064)),"3歳未勝利",IF(ISNUMBER(SEARCH("未勝利",Z4064)),"その他未勝利",IF(ISNUMBER(SEARCH("G1",Z4064)),"G1",IF(ISNUMBER(SEARCH("G2",Z4064)),"G2",IF(ISNUMBER(SEARCH("G3",Z4064)),"G3",IF(ISNUMBER(SEARCH("古馬条件",Z4064)),"古馬条件戦",IF(ISNUMBER(SEARCH("重賞",Z4064)),"重賞","分類不能")))))))))</f>
        <v/>
      </c>
    </row>
    <row r="4065" customFormat="false" ht="15.75" hidden="false" customHeight="false" outlineLevel="0" collapsed="false">
      <c r="AO4065" s="8" t="str">
        <f aca="false">IF(A4065="","",IF(COUNTIFS(全馬データ!$A$2:$A$50000,A4065,全馬データ!$B$2:$B$50000,B4065,全馬データ!$C$2:$C$50000,C4065,全馬データ!$D$2:$D$50000,E4065,全馬データ!$K$2:$K$50000,"&lt;&gt;")=0,"",SUMIFS(全馬データ!$K$2:$K$50000,全馬データ!$A$2:$A$50000,A4065,全馬データ!$B$2:$B$50000,B4065,全馬データ!$C$2:$C$50000,C4065,全馬データ!$D$2:$D$50000,E4065)))</f>
        <v/>
      </c>
      <c r="AP4065" s="8" t="str">
        <f aca="false">IF(A4065="","",IF(AO4065="","欠損",IF(AO4065&lt;=1.1,"1.0～1.1",IF(AO4065&lt;1.3,"1.2",IF(AO4065&lt;1.5,"1.3～1.4",IF(AO4065&lt;2,"1.5～1.9","2.0以上"))))))</f>
        <v/>
      </c>
      <c r="AQ4065" s="8" t="str">
        <f aca="false">IF(A4065="","",IF(ISNUMBER(SEARCH("2歳",Z4065)),"2歳戦",IF(ISNUMBER(SEARCH("3歳未勝利",Z4065)),"3歳未勝利",IF(ISNUMBER(SEARCH("未勝利",Z4065)),"その他未勝利",IF(ISNUMBER(SEARCH("G1",Z4065)),"G1",IF(ISNUMBER(SEARCH("G2",Z4065)),"G2",IF(ISNUMBER(SEARCH("G3",Z4065)),"G3",IF(ISNUMBER(SEARCH("古馬条件",Z4065)),"古馬条件戦",IF(ISNUMBER(SEARCH("重賞",Z4065)),"重賞","分類不能")))))))))</f>
        <v/>
      </c>
    </row>
    <row r="4066" customFormat="false" ht="15.75" hidden="false" customHeight="false" outlineLevel="0" collapsed="false">
      <c r="AO4066" s="8" t="str">
        <f aca="false">IF(A4066="","",IF(COUNTIFS(全馬データ!$A$2:$A$50000,A4066,全馬データ!$B$2:$B$50000,B4066,全馬データ!$C$2:$C$50000,C4066,全馬データ!$D$2:$D$50000,E4066,全馬データ!$K$2:$K$50000,"&lt;&gt;")=0,"",SUMIFS(全馬データ!$K$2:$K$50000,全馬データ!$A$2:$A$50000,A4066,全馬データ!$B$2:$B$50000,B4066,全馬データ!$C$2:$C$50000,C4066,全馬データ!$D$2:$D$50000,E4066)))</f>
        <v/>
      </c>
      <c r="AP4066" s="8" t="str">
        <f aca="false">IF(A4066="","",IF(AO4066="","欠損",IF(AO4066&lt;=1.1,"1.0～1.1",IF(AO4066&lt;1.3,"1.2",IF(AO4066&lt;1.5,"1.3～1.4",IF(AO4066&lt;2,"1.5～1.9","2.0以上"))))))</f>
        <v/>
      </c>
      <c r="AQ4066" s="8" t="str">
        <f aca="false">IF(A4066="","",IF(ISNUMBER(SEARCH("2歳",Z4066)),"2歳戦",IF(ISNUMBER(SEARCH("3歳未勝利",Z4066)),"3歳未勝利",IF(ISNUMBER(SEARCH("未勝利",Z4066)),"その他未勝利",IF(ISNUMBER(SEARCH("G1",Z4066)),"G1",IF(ISNUMBER(SEARCH("G2",Z4066)),"G2",IF(ISNUMBER(SEARCH("G3",Z4066)),"G3",IF(ISNUMBER(SEARCH("古馬条件",Z4066)),"古馬条件戦",IF(ISNUMBER(SEARCH("重賞",Z4066)),"重賞","分類不能")))))))))</f>
        <v/>
      </c>
    </row>
    <row r="4067" customFormat="false" ht="15.75" hidden="false" customHeight="false" outlineLevel="0" collapsed="false">
      <c r="AO4067" s="8" t="str">
        <f aca="false">IF(A4067="","",IF(COUNTIFS(全馬データ!$A$2:$A$50000,A4067,全馬データ!$B$2:$B$50000,B4067,全馬データ!$C$2:$C$50000,C4067,全馬データ!$D$2:$D$50000,E4067,全馬データ!$K$2:$K$50000,"&lt;&gt;")=0,"",SUMIFS(全馬データ!$K$2:$K$50000,全馬データ!$A$2:$A$50000,A4067,全馬データ!$B$2:$B$50000,B4067,全馬データ!$C$2:$C$50000,C4067,全馬データ!$D$2:$D$50000,E4067)))</f>
        <v/>
      </c>
      <c r="AP4067" s="8" t="str">
        <f aca="false">IF(A4067="","",IF(AO4067="","欠損",IF(AO4067&lt;=1.1,"1.0～1.1",IF(AO4067&lt;1.3,"1.2",IF(AO4067&lt;1.5,"1.3～1.4",IF(AO4067&lt;2,"1.5～1.9","2.0以上"))))))</f>
        <v/>
      </c>
      <c r="AQ4067" s="8" t="str">
        <f aca="false">IF(A4067="","",IF(ISNUMBER(SEARCH("2歳",Z4067)),"2歳戦",IF(ISNUMBER(SEARCH("3歳未勝利",Z4067)),"3歳未勝利",IF(ISNUMBER(SEARCH("未勝利",Z4067)),"その他未勝利",IF(ISNUMBER(SEARCH("G1",Z4067)),"G1",IF(ISNUMBER(SEARCH("G2",Z4067)),"G2",IF(ISNUMBER(SEARCH("G3",Z4067)),"G3",IF(ISNUMBER(SEARCH("古馬条件",Z4067)),"古馬条件戦",IF(ISNUMBER(SEARCH("重賞",Z4067)),"重賞","分類不能")))))))))</f>
        <v/>
      </c>
    </row>
    <row r="4068" customFormat="false" ht="15.75" hidden="false" customHeight="false" outlineLevel="0" collapsed="false">
      <c r="AO4068" s="8" t="str">
        <f aca="false">IF(A4068="","",IF(COUNTIFS(全馬データ!$A$2:$A$50000,A4068,全馬データ!$B$2:$B$50000,B4068,全馬データ!$C$2:$C$50000,C4068,全馬データ!$D$2:$D$50000,E4068,全馬データ!$K$2:$K$50000,"&lt;&gt;")=0,"",SUMIFS(全馬データ!$K$2:$K$50000,全馬データ!$A$2:$A$50000,A4068,全馬データ!$B$2:$B$50000,B4068,全馬データ!$C$2:$C$50000,C4068,全馬データ!$D$2:$D$50000,E4068)))</f>
        <v/>
      </c>
      <c r="AP4068" s="8" t="str">
        <f aca="false">IF(A4068="","",IF(AO4068="","欠損",IF(AO4068&lt;=1.1,"1.0～1.1",IF(AO4068&lt;1.3,"1.2",IF(AO4068&lt;1.5,"1.3～1.4",IF(AO4068&lt;2,"1.5～1.9","2.0以上"))))))</f>
        <v/>
      </c>
      <c r="AQ4068" s="8" t="str">
        <f aca="false">IF(A4068="","",IF(ISNUMBER(SEARCH("2歳",Z4068)),"2歳戦",IF(ISNUMBER(SEARCH("3歳未勝利",Z4068)),"3歳未勝利",IF(ISNUMBER(SEARCH("未勝利",Z4068)),"その他未勝利",IF(ISNUMBER(SEARCH("G1",Z4068)),"G1",IF(ISNUMBER(SEARCH("G2",Z4068)),"G2",IF(ISNUMBER(SEARCH("G3",Z4068)),"G3",IF(ISNUMBER(SEARCH("古馬条件",Z4068)),"古馬条件戦",IF(ISNUMBER(SEARCH("重賞",Z4068)),"重賞","分類不能")))))))))</f>
        <v/>
      </c>
    </row>
    <row r="4069" customFormat="false" ht="15.75" hidden="false" customHeight="false" outlineLevel="0" collapsed="false">
      <c r="AO4069" s="8" t="str">
        <f aca="false">IF(A4069="","",IF(COUNTIFS(全馬データ!$A$2:$A$50000,A4069,全馬データ!$B$2:$B$50000,B4069,全馬データ!$C$2:$C$50000,C4069,全馬データ!$D$2:$D$50000,E4069,全馬データ!$K$2:$K$50000,"&lt;&gt;")=0,"",SUMIFS(全馬データ!$K$2:$K$50000,全馬データ!$A$2:$A$50000,A4069,全馬データ!$B$2:$B$50000,B4069,全馬データ!$C$2:$C$50000,C4069,全馬データ!$D$2:$D$50000,E4069)))</f>
        <v/>
      </c>
      <c r="AP4069" s="8" t="str">
        <f aca="false">IF(A4069="","",IF(AO4069="","欠損",IF(AO4069&lt;=1.1,"1.0～1.1",IF(AO4069&lt;1.3,"1.2",IF(AO4069&lt;1.5,"1.3～1.4",IF(AO4069&lt;2,"1.5～1.9","2.0以上"))))))</f>
        <v/>
      </c>
      <c r="AQ4069" s="8" t="str">
        <f aca="false">IF(A4069="","",IF(ISNUMBER(SEARCH("2歳",Z4069)),"2歳戦",IF(ISNUMBER(SEARCH("3歳未勝利",Z4069)),"3歳未勝利",IF(ISNUMBER(SEARCH("未勝利",Z4069)),"その他未勝利",IF(ISNUMBER(SEARCH("G1",Z4069)),"G1",IF(ISNUMBER(SEARCH("G2",Z4069)),"G2",IF(ISNUMBER(SEARCH("G3",Z4069)),"G3",IF(ISNUMBER(SEARCH("古馬条件",Z4069)),"古馬条件戦",IF(ISNUMBER(SEARCH("重賞",Z4069)),"重賞","分類不能")))))))))</f>
        <v/>
      </c>
    </row>
    <row r="4070" customFormat="false" ht="15.75" hidden="false" customHeight="false" outlineLevel="0" collapsed="false">
      <c r="AO4070" s="8" t="str">
        <f aca="false">IF(A4070="","",IF(COUNTIFS(全馬データ!$A$2:$A$50000,A4070,全馬データ!$B$2:$B$50000,B4070,全馬データ!$C$2:$C$50000,C4070,全馬データ!$D$2:$D$50000,E4070,全馬データ!$K$2:$K$50000,"&lt;&gt;")=0,"",SUMIFS(全馬データ!$K$2:$K$50000,全馬データ!$A$2:$A$50000,A4070,全馬データ!$B$2:$B$50000,B4070,全馬データ!$C$2:$C$50000,C4070,全馬データ!$D$2:$D$50000,E4070)))</f>
        <v/>
      </c>
      <c r="AP4070" s="8" t="str">
        <f aca="false">IF(A4070="","",IF(AO4070="","欠損",IF(AO4070&lt;=1.1,"1.0～1.1",IF(AO4070&lt;1.3,"1.2",IF(AO4070&lt;1.5,"1.3～1.4",IF(AO4070&lt;2,"1.5～1.9","2.0以上"))))))</f>
        <v/>
      </c>
      <c r="AQ4070" s="8" t="str">
        <f aca="false">IF(A4070="","",IF(ISNUMBER(SEARCH("2歳",Z4070)),"2歳戦",IF(ISNUMBER(SEARCH("3歳未勝利",Z4070)),"3歳未勝利",IF(ISNUMBER(SEARCH("未勝利",Z4070)),"その他未勝利",IF(ISNUMBER(SEARCH("G1",Z4070)),"G1",IF(ISNUMBER(SEARCH("G2",Z4070)),"G2",IF(ISNUMBER(SEARCH("G3",Z4070)),"G3",IF(ISNUMBER(SEARCH("古馬条件",Z4070)),"古馬条件戦",IF(ISNUMBER(SEARCH("重賞",Z4070)),"重賞","分類不能")))))))))</f>
        <v/>
      </c>
    </row>
    <row r="4071" customFormat="false" ht="15.75" hidden="false" customHeight="false" outlineLevel="0" collapsed="false">
      <c r="AO4071" s="8" t="str">
        <f aca="false">IF(A4071="","",IF(COUNTIFS(全馬データ!$A$2:$A$50000,A4071,全馬データ!$B$2:$B$50000,B4071,全馬データ!$C$2:$C$50000,C4071,全馬データ!$D$2:$D$50000,E4071,全馬データ!$K$2:$K$50000,"&lt;&gt;")=0,"",SUMIFS(全馬データ!$K$2:$K$50000,全馬データ!$A$2:$A$50000,A4071,全馬データ!$B$2:$B$50000,B4071,全馬データ!$C$2:$C$50000,C4071,全馬データ!$D$2:$D$50000,E4071)))</f>
        <v/>
      </c>
      <c r="AP4071" s="8" t="str">
        <f aca="false">IF(A4071="","",IF(AO4071="","欠損",IF(AO4071&lt;=1.1,"1.0～1.1",IF(AO4071&lt;1.3,"1.2",IF(AO4071&lt;1.5,"1.3～1.4",IF(AO4071&lt;2,"1.5～1.9","2.0以上"))))))</f>
        <v/>
      </c>
      <c r="AQ4071" s="8" t="str">
        <f aca="false">IF(A4071="","",IF(ISNUMBER(SEARCH("2歳",Z4071)),"2歳戦",IF(ISNUMBER(SEARCH("3歳未勝利",Z4071)),"3歳未勝利",IF(ISNUMBER(SEARCH("未勝利",Z4071)),"その他未勝利",IF(ISNUMBER(SEARCH("G1",Z4071)),"G1",IF(ISNUMBER(SEARCH("G2",Z4071)),"G2",IF(ISNUMBER(SEARCH("G3",Z4071)),"G3",IF(ISNUMBER(SEARCH("古馬条件",Z4071)),"古馬条件戦",IF(ISNUMBER(SEARCH("重賞",Z4071)),"重賞","分類不能")))))))))</f>
        <v/>
      </c>
    </row>
    <row r="4072" customFormat="false" ht="15.75" hidden="false" customHeight="false" outlineLevel="0" collapsed="false">
      <c r="AO4072" s="8" t="str">
        <f aca="false">IF(A4072="","",IF(COUNTIFS(全馬データ!$A$2:$A$50000,A4072,全馬データ!$B$2:$B$50000,B4072,全馬データ!$C$2:$C$50000,C4072,全馬データ!$D$2:$D$50000,E4072,全馬データ!$K$2:$K$50000,"&lt;&gt;")=0,"",SUMIFS(全馬データ!$K$2:$K$50000,全馬データ!$A$2:$A$50000,A4072,全馬データ!$B$2:$B$50000,B4072,全馬データ!$C$2:$C$50000,C4072,全馬データ!$D$2:$D$50000,E4072)))</f>
        <v/>
      </c>
      <c r="AP4072" s="8" t="str">
        <f aca="false">IF(A4072="","",IF(AO4072="","欠損",IF(AO4072&lt;=1.1,"1.0～1.1",IF(AO4072&lt;1.3,"1.2",IF(AO4072&lt;1.5,"1.3～1.4",IF(AO4072&lt;2,"1.5～1.9","2.0以上"))))))</f>
        <v/>
      </c>
      <c r="AQ4072" s="8" t="str">
        <f aca="false">IF(A4072="","",IF(ISNUMBER(SEARCH("2歳",Z4072)),"2歳戦",IF(ISNUMBER(SEARCH("3歳未勝利",Z4072)),"3歳未勝利",IF(ISNUMBER(SEARCH("未勝利",Z4072)),"その他未勝利",IF(ISNUMBER(SEARCH("G1",Z4072)),"G1",IF(ISNUMBER(SEARCH("G2",Z4072)),"G2",IF(ISNUMBER(SEARCH("G3",Z4072)),"G3",IF(ISNUMBER(SEARCH("古馬条件",Z4072)),"古馬条件戦",IF(ISNUMBER(SEARCH("重賞",Z4072)),"重賞","分類不能")))))))))</f>
        <v/>
      </c>
    </row>
    <row r="4073" customFormat="false" ht="15.75" hidden="false" customHeight="false" outlineLevel="0" collapsed="false">
      <c r="AO4073" s="8" t="str">
        <f aca="false">IF(A4073="","",IF(COUNTIFS(全馬データ!$A$2:$A$50000,A4073,全馬データ!$B$2:$B$50000,B4073,全馬データ!$C$2:$C$50000,C4073,全馬データ!$D$2:$D$50000,E4073,全馬データ!$K$2:$K$50000,"&lt;&gt;")=0,"",SUMIFS(全馬データ!$K$2:$K$50000,全馬データ!$A$2:$A$50000,A4073,全馬データ!$B$2:$B$50000,B4073,全馬データ!$C$2:$C$50000,C4073,全馬データ!$D$2:$D$50000,E4073)))</f>
        <v/>
      </c>
      <c r="AP4073" s="8" t="str">
        <f aca="false">IF(A4073="","",IF(AO4073="","欠損",IF(AO4073&lt;=1.1,"1.0～1.1",IF(AO4073&lt;1.3,"1.2",IF(AO4073&lt;1.5,"1.3～1.4",IF(AO4073&lt;2,"1.5～1.9","2.0以上"))))))</f>
        <v/>
      </c>
      <c r="AQ4073" s="8" t="str">
        <f aca="false">IF(A4073="","",IF(ISNUMBER(SEARCH("2歳",Z4073)),"2歳戦",IF(ISNUMBER(SEARCH("3歳未勝利",Z4073)),"3歳未勝利",IF(ISNUMBER(SEARCH("未勝利",Z4073)),"その他未勝利",IF(ISNUMBER(SEARCH("G1",Z4073)),"G1",IF(ISNUMBER(SEARCH("G2",Z4073)),"G2",IF(ISNUMBER(SEARCH("G3",Z4073)),"G3",IF(ISNUMBER(SEARCH("古馬条件",Z4073)),"古馬条件戦",IF(ISNUMBER(SEARCH("重賞",Z4073)),"重賞","分類不能")))))))))</f>
        <v/>
      </c>
    </row>
    <row r="4074" customFormat="false" ht="15.75" hidden="false" customHeight="false" outlineLevel="0" collapsed="false">
      <c r="AO4074" s="8" t="str">
        <f aca="false">IF(A4074="","",IF(COUNTIFS(全馬データ!$A$2:$A$50000,A4074,全馬データ!$B$2:$B$50000,B4074,全馬データ!$C$2:$C$50000,C4074,全馬データ!$D$2:$D$50000,E4074,全馬データ!$K$2:$K$50000,"&lt;&gt;")=0,"",SUMIFS(全馬データ!$K$2:$K$50000,全馬データ!$A$2:$A$50000,A4074,全馬データ!$B$2:$B$50000,B4074,全馬データ!$C$2:$C$50000,C4074,全馬データ!$D$2:$D$50000,E4074)))</f>
        <v/>
      </c>
      <c r="AP4074" s="8" t="str">
        <f aca="false">IF(A4074="","",IF(AO4074="","欠損",IF(AO4074&lt;=1.1,"1.0～1.1",IF(AO4074&lt;1.3,"1.2",IF(AO4074&lt;1.5,"1.3～1.4",IF(AO4074&lt;2,"1.5～1.9","2.0以上"))))))</f>
        <v/>
      </c>
      <c r="AQ4074" s="8" t="str">
        <f aca="false">IF(A4074="","",IF(ISNUMBER(SEARCH("2歳",Z4074)),"2歳戦",IF(ISNUMBER(SEARCH("3歳未勝利",Z4074)),"3歳未勝利",IF(ISNUMBER(SEARCH("未勝利",Z4074)),"その他未勝利",IF(ISNUMBER(SEARCH("G1",Z4074)),"G1",IF(ISNUMBER(SEARCH("G2",Z4074)),"G2",IF(ISNUMBER(SEARCH("G3",Z4074)),"G3",IF(ISNUMBER(SEARCH("古馬条件",Z4074)),"古馬条件戦",IF(ISNUMBER(SEARCH("重賞",Z4074)),"重賞","分類不能")))))))))</f>
        <v/>
      </c>
    </row>
    <row r="4075" customFormat="false" ht="15.75" hidden="false" customHeight="false" outlineLevel="0" collapsed="false">
      <c r="AO4075" s="8" t="str">
        <f aca="false">IF(A4075="","",IF(COUNTIFS(全馬データ!$A$2:$A$50000,A4075,全馬データ!$B$2:$B$50000,B4075,全馬データ!$C$2:$C$50000,C4075,全馬データ!$D$2:$D$50000,E4075,全馬データ!$K$2:$K$50000,"&lt;&gt;")=0,"",SUMIFS(全馬データ!$K$2:$K$50000,全馬データ!$A$2:$A$50000,A4075,全馬データ!$B$2:$B$50000,B4075,全馬データ!$C$2:$C$50000,C4075,全馬データ!$D$2:$D$50000,E4075)))</f>
        <v/>
      </c>
      <c r="AP4075" s="8" t="str">
        <f aca="false">IF(A4075="","",IF(AO4075="","欠損",IF(AO4075&lt;=1.1,"1.0～1.1",IF(AO4075&lt;1.3,"1.2",IF(AO4075&lt;1.5,"1.3～1.4",IF(AO4075&lt;2,"1.5～1.9","2.0以上"))))))</f>
        <v/>
      </c>
      <c r="AQ4075" s="8" t="str">
        <f aca="false">IF(A4075="","",IF(ISNUMBER(SEARCH("2歳",Z4075)),"2歳戦",IF(ISNUMBER(SEARCH("3歳未勝利",Z4075)),"3歳未勝利",IF(ISNUMBER(SEARCH("未勝利",Z4075)),"その他未勝利",IF(ISNUMBER(SEARCH("G1",Z4075)),"G1",IF(ISNUMBER(SEARCH("G2",Z4075)),"G2",IF(ISNUMBER(SEARCH("G3",Z4075)),"G3",IF(ISNUMBER(SEARCH("古馬条件",Z4075)),"古馬条件戦",IF(ISNUMBER(SEARCH("重賞",Z4075)),"重賞","分類不能")))))))))</f>
        <v/>
      </c>
    </row>
    <row r="4076" customFormat="false" ht="15.75" hidden="false" customHeight="false" outlineLevel="0" collapsed="false">
      <c r="AO4076" s="8" t="str">
        <f aca="false">IF(A4076="","",IF(COUNTIFS(全馬データ!$A$2:$A$50000,A4076,全馬データ!$B$2:$B$50000,B4076,全馬データ!$C$2:$C$50000,C4076,全馬データ!$D$2:$D$50000,E4076,全馬データ!$K$2:$K$50000,"&lt;&gt;")=0,"",SUMIFS(全馬データ!$K$2:$K$50000,全馬データ!$A$2:$A$50000,A4076,全馬データ!$B$2:$B$50000,B4076,全馬データ!$C$2:$C$50000,C4076,全馬データ!$D$2:$D$50000,E4076)))</f>
        <v/>
      </c>
      <c r="AP4076" s="8" t="str">
        <f aca="false">IF(A4076="","",IF(AO4076="","欠損",IF(AO4076&lt;=1.1,"1.0～1.1",IF(AO4076&lt;1.3,"1.2",IF(AO4076&lt;1.5,"1.3～1.4",IF(AO4076&lt;2,"1.5～1.9","2.0以上"))))))</f>
        <v/>
      </c>
      <c r="AQ4076" s="8" t="str">
        <f aca="false">IF(A4076="","",IF(ISNUMBER(SEARCH("2歳",Z4076)),"2歳戦",IF(ISNUMBER(SEARCH("3歳未勝利",Z4076)),"3歳未勝利",IF(ISNUMBER(SEARCH("未勝利",Z4076)),"その他未勝利",IF(ISNUMBER(SEARCH("G1",Z4076)),"G1",IF(ISNUMBER(SEARCH("G2",Z4076)),"G2",IF(ISNUMBER(SEARCH("G3",Z4076)),"G3",IF(ISNUMBER(SEARCH("古馬条件",Z4076)),"古馬条件戦",IF(ISNUMBER(SEARCH("重賞",Z4076)),"重賞","分類不能")))))))))</f>
        <v/>
      </c>
    </row>
    <row r="4077" customFormat="false" ht="15.75" hidden="false" customHeight="false" outlineLevel="0" collapsed="false">
      <c r="AO4077" s="8" t="str">
        <f aca="false">IF(A4077="","",IF(COUNTIFS(全馬データ!$A$2:$A$50000,A4077,全馬データ!$B$2:$B$50000,B4077,全馬データ!$C$2:$C$50000,C4077,全馬データ!$D$2:$D$50000,E4077,全馬データ!$K$2:$K$50000,"&lt;&gt;")=0,"",SUMIFS(全馬データ!$K$2:$K$50000,全馬データ!$A$2:$A$50000,A4077,全馬データ!$B$2:$B$50000,B4077,全馬データ!$C$2:$C$50000,C4077,全馬データ!$D$2:$D$50000,E4077)))</f>
        <v/>
      </c>
      <c r="AP4077" s="8" t="str">
        <f aca="false">IF(A4077="","",IF(AO4077="","欠損",IF(AO4077&lt;=1.1,"1.0～1.1",IF(AO4077&lt;1.3,"1.2",IF(AO4077&lt;1.5,"1.3～1.4",IF(AO4077&lt;2,"1.5～1.9","2.0以上"))))))</f>
        <v/>
      </c>
      <c r="AQ4077" s="8" t="str">
        <f aca="false">IF(A4077="","",IF(ISNUMBER(SEARCH("2歳",Z4077)),"2歳戦",IF(ISNUMBER(SEARCH("3歳未勝利",Z4077)),"3歳未勝利",IF(ISNUMBER(SEARCH("未勝利",Z4077)),"その他未勝利",IF(ISNUMBER(SEARCH("G1",Z4077)),"G1",IF(ISNUMBER(SEARCH("G2",Z4077)),"G2",IF(ISNUMBER(SEARCH("G3",Z4077)),"G3",IF(ISNUMBER(SEARCH("古馬条件",Z4077)),"古馬条件戦",IF(ISNUMBER(SEARCH("重賞",Z4077)),"重賞","分類不能")))))))))</f>
        <v/>
      </c>
    </row>
    <row r="4078" customFormat="false" ht="15.75" hidden="false" customHeight="false" outlineLevel="0" collapsed="false">
      <c r="AO4078" s="8" t="str">
        <f aca="false">IF(A4078="","",IF(COUNTIFS(全馬データ!$A$2:$A$50000,A4078,全馬データ!$B$2:$B$50000,B4078,全馬データ!$C$2:$C$50000,C4078,全馬データ!$D$2:$D$50000,E4078,全馬データ!$K$2:$K$50000,"&lt;&gt;")=0,"",SUMIFS(全馬データ!$K$2:$K$50000,全馬データ!$A$2:$A$50000,A4078,全馬データ!$B$2:$B$50000,B4078,全馬データ!$C$2:$C$50000,C4078,全馬データ!$D$2:$D$50000,E4078)))</f>
        <v/>
      </c>
      <c r="AP4078" s="8" t="str">
        <f aca="false">IF(A4078="","",IF(AO4078="","欠損",IF(AO4078&lt;=1.1,"1.0～1.1",IF(AO4078&lt;1.3,"1.2",IF(AO4078&lt;1.5,"1.3～1.4",IF(AO4078&lt;2,"1.5～1.9","2.0以上"))))))</f>
        <v/>
      </c>
      <c r="AQ4078" s="8" t="str">
        <f aca="false">IF(A4078="","",IF(ISNUMBER(SEARCH("2歳",Z4078)),"2歳戦",IF(ISNUMBER(SEARCH("3歳未勝利",Z4078)),"3歳未勝利",IF(ISNUMBER(SEARCH("未勝利",Z4078)),"その他未勝利",IF(ISNUMBER(SEARCH("G1",Z4078)),"G1",IF(ISNUMBER(SEARCH("G2",Z4078)),"G2",IF(ISNUMBER(SEARCH("G3",Z4078)),"G3",IF(ISNUMBER(SEARCH("古馬条件",Z4078)),"古馬条件戦",IF(ISNUMBER(SEARCH("重賞",Z4078)),"重賞","分類不能")))))))))</f>
        <v/>
      </c>
    </row>
    <row r="4079" customFormat="false" ht="15.75" hidden="false" customHeight="false" outlineLevel="0" collapsed="false">
      <c r="AO4079" s="8" t="str">
        <f aca="false">IF(A4079="","",IF(COUNTIFS(全馬データ!$A$2:$A$50000,A4079,全馬データ!$B$2:$B$50000,B4079,全馬データ!$C$2:$C$50000,C4079,全馬データ!$D$2:$D$50000,E4079,全馬データ!$K$2:$K$50000,"&lt;&gt;")=0,"",SUMIFS(全馬データ!$K$2:$K$50000,全馬データ!$A$2:$A$50000,A4079,全馬データ!$B$2:$B$50000,B4079,全馬データ!$C$2:$C$50000,C4079,全馬データ!$D$2:$D$50000,E4079)))</f>
        <v/>
      </c>
      <c r="AP4079" s="8" t="str">
        <f aca="false">IF(A4079="","",IF(AO4079="","欠損",IF(AO4079&lt;=1.1,"1.0～1.1",IF(AO4079&lt;1.3,"1.2",IF(AO4079&lt;1.5,"1.3～1.4",IF(AO4079&lt;2,"1.5～1.9","2.0以上"))))))</f>
        <v/>
      </c>
      <c r="AQ4079" s="8" t="str">
        <f aca="false">IF(A4079="","",IF(ISNUMBER(SEARCH("2歳",Z4079)),"2歳戦",IF(ISNUMBER(SEARCH("3歳未勝利",Z4079)),"3歳未勝利",IF(ISNUMBER(SEARCH("未勝利",Z4079)),"その他未勝利",IF(ISNUMBER(SEARCH("G1",Z4079)),"G1",IF(ISNUMBER(SEARCH("G2",Z4079)),"G2",IF(ISNUMBER(SEARCH("G3",Z4079)),"G3",IF(ISNUMBER(SEARCH("古馬条件",Z4079)),"古馬条件戦",IF(ISNUMBER(SEARCH("重賞",Z4079)),"重賞","分類不能")))))))))</f>
        <v/>
      </c>
    </row>
    <row r="4080" customFormat="false" ht="15.75" hidden="false" customHeight="false" outlineLevel="0" collapsed="false">
      <c r="AO4080" s="8" t="str">
        <f aca="false">IF(A4080="","",IF(COUNTIFS(全馬データ!$A$2:$A$50000,A4080,全馬データ!$B$2:$B$50000,B4080,全馬データ!$C$2:$C$50000,C4080,全馬データ!$D$2:$D$50000,E4080,全馬データ!$K$2:$K$50000,"&lt;&gt;")=0,"",SUMIFS(全馬データ!$K$2:$K$50000,全馬データ!$A$2:$A$50000,A4080,全馬データ!$B$2:$B$50000,B4080,全馬データ!$C$2:$C$50000,C4080,全馬データ!$D$2:$D$50000,E4080)))</f>
        <v/>
      </c>
      <c r="AP4080" s="8" t="str">
        <f aca="false">IF(A4080="","",IF(AO4080="","欠損",IF(AO4080&lt;=1.1,"1.0～1.1",IF(AO4080&lt;1.3,"1.2",IF(AO4080&lt;1.5,"1.3～1.4",IF(AO4080&lt;2,"1.5～1.9","2.0以上"))))))</f>
        <v/>
      </c>
      <c r="AQ4080" s="8" t="str">
        <f aca="false">IF(A4080="","",IF(ISNUMBER(SEARCH("2歳",Z4080)),"2歳戦",IF(ISNUMBER(SEARCH("3歳未勝利",Z4080)),"3歳未勝利",IF(ISNUMBER(SEARCH("未勝利",Z4080)),"その他未勝利",IF(ISNUMBER(SEARCH("G1",Z4080)),"G1",IF(ISNUMBER(SEARCH("G2",Z4080)),"G2",IF(ISNUMBER(SEARCH("G3",Z4080)),"G3",IF(ISNUMBER(SEARCH("古馬条件",Z4080)),"古馬条件戦",IF(ISNUMBER(SEARCH("重賞",Z4080)),"重賞","分類不能")))))))))</f>
        <v/>
      </c>
    </row>
    <row r="4081" customFormat="false" ht="15.75" hidden="false" customHeight="false" outlineLevel="0" collapsed="false">
      <c r="AO4081" s="8" t="str">
        <f aca="false">IF(A4081="","",IF(COUNTIFS(全馬データ!$A$2:$A$50000,A4081,全馬データ!$B$2:$B$50000,B4081,全馬データ!$C$2:$C$50000,C4081,全馬データ!$D$2:$D$50000,E4081,全馬データ!$K$2:$K$50000,"&lt;&gt;")=0,"",SUMIFS(全馬データ!$K$2:$K$50000,全馬データ!$A$2:$A$50000,A4081,全馬データ!$B$2:$B$50000,B4081,全馬データ!$C$2:$C$50000,C4081,全馬データ!$D$2:$D$50000,E4081)))</f>
        <v/>
      </c>
      <c r="AP4081" s="8" t="str">
        <f aca="false">IF(A4081="","",IF(AO4081="","欠損",IF(AO4081&lt;=1.1,"1.0～1.1",IF(AO4081&lt;1.3,"1.2",IF(AO4081&lt;1.5,"1.3～1.4",IF(AO4081&lt;2,"1.5～1.9","2.0以上"))))))</f>
        <v/>
      </c>
      <c r="AQ4081" s="8" t="str">
        <f aca="false">IF(A4081="","",IF(ISNUMBER(SEARCH("2歳",Z4081)),"2歳戦",IF(ISNUMBER(SEARCH("3歳未勝利",Z4081)),"3歳未勝利",IF(ISNUMBER(SEARCH("未勝利",Z4081)),"その他未勝利",IF(ISNUMBER(SEARCH("G1",Z4081)),"G1",IF(ISNUMBER(SEARCH("G2",Z4081)),"G2",IF(ISNUMBER(SEARCH("G3",Z4081)),"G3",IF(ISNUMBER(SEARCH("古馬条件",Z4081)),"古馬条件戦",IF(ISNUMBER(SEARCH("重賞",Z4081)),"重賞","分類不能")))))))))</f>
        <v/>
      </c>
    </row>
    <row r="4082" customFormat="false" ht="15.75" hidden="false" customHeight="false" outlineLevel="0" collapsed="false">
      <c r="AO4082" s="8" t="str">
        <f aca="false">IF(A4082="","",IF(COUNTIFS(全馬データ!$A$2:$A$50000,A4082,全馬データ!$B$2:$B$50000,B4082,全馬データ!$C$2:$C$50000,C4082,全馬データ!$D$2:$D$50000,E4082,全馬データ!$K$2:$K$50000,"&lt;&gt;")=0,"",SUMIFS(全馬データ!$K$2:$K$50000,全馬データ!$A$2:$A$50000,A4082,全馬データ!$B$2:$B$50000,B4082,全馬データ!$C$2:$C$50000,C4082,全馬データ!$D$2:$D$50000,E4082)))</f>
        <v/>
      </c>
      <c r="AP4082" s="8" t="str">
        <f aca="false">IF(A4082="","",IF(AO4082="","欠損",IF(AO4082&lt;=1.1,"1.0～1.1",IF(AO4082&lt;1.3,"1.2",IF(AO4082&lt;1.5,"1.3～1.4",IF(AO4082&lt;2,"1.5～1.9","2.0以上"))))))</f>
        <v/>
      </c>
      <c r="AQ4082" s="8" t="str">
        <f aca="false">IF(A4082="","",IF(ISNUMBER(SEARCH("2歳",Z4082)),"2歳戦",IF(ISNUMBER(SEARCH("3歳未勝利",Z4082)),"3歳未勝利",IF(ISNUMBER(SEARCH("未勝利",Z4082)),"その他未勝利",IF(ISNUMBER(SEARCH("G1",Z4082)),"G1",IF(ISNUMBER(SEARCH("G2",Z4082)),"G2",IF(ISNUMBER(SEARCH("G3",Z4082)),"G3",IF(ISNUMBER(SEARCH("古馬条件",Z4082)),"古馬条件戦",IF(ISNUMBER(SEARCH("重賞",Z4082)),"重賞","分類不能")))))))))</f>
        <v/>
      </c>
    </row>
    <row r="4083" customFormat="false" ht="15.75" hidden="false" customHeight="false" outlineLevel="0" collapsed="false">
      <c r="AO4083" s="8" t="str">
        <f aca="false">IF(A4083="","",IF(COUNTIFS(全馬データ!$A$2:$A$50000,A4083,全馬データ!$B$2:$B$50000,B4083,全馬データ!$C$2:$C$50000,C4083,全馬データ!$D$2:$D$50000,E4083,全馬データ!$K$2:$K$50000,"&lt;&gt;")=0,"",SUMIFS(全馬データ!$K$2:$K$50000,全馬データ!$A$2:$A$50000,A4083,全馬データ!$B$2:$B$50000,B4083,全馬データ!$C$2:$C$50000,C4083,全馬データ!$D$2:$D$50000,E4083)))</f>
        <v/>
      </c>
      <c r="AP4083" s="8" t="str">
        <f aca="false">IF(A4083="","",IF(AO4083="","欠損",IF(AO4083&lt;=1.1,"1.0～1.1",IF(AO4083&lt;1.3,"1.2",IF(AO4083&lt;1.5,"1.3～1.4",IF(AO4083&lt;2,"1.5～1.9","2.0以上"))))))</f>
        <v/>
      </c>
      <c r="AQ4083" s="8" t="str">
        <f aca="false">IF(A4083="","",IF(ISNUMBER(SEARCH("2歳",Z4083)),"2歳戦",IF(ISNUMBER(SEARCH("3歳未勝利",Z4083)),"3歳未勝利",IF(ISNUMBER(SEARCH("未勝利",Z4083)),"その他未勝利",IF(ISNUMBER(SEARCH("G1",Z4083)),"G1",IF(ISNUMBER(SEARCH("G2",Z4083)),"G2",IF(ISNUMBER(SEARCH("G3",Z4083)),"G3",IF(ISNUMBER(SEARCH("古馬条件",Z4083)),"古馬条件戦",IF(ISNUMBER(SEARCH("重賞",Z4083)),"重賞","分類不能")))))))))</f>
        <v/>
      </c>
    </row>
    <row r="4084" customFormat="false" ht="15.75" hidden="false" customHeight="false" outlineLevel="0" collapsed="false">
      <c r="AO4084" s="8" t="str">
        <f aca="false">IF(A4084="","",IF(COUNTIFS(全馬データ!$A$2:$A$50000,A4084,全馬データ!$B$2:$B$50000,B4084,全馬データ!$C$2:$C$50000,C4084,全馬データ!$D$2:$D$50000,E4084,全馬データ!$K$2:$K$50000,"&lt;&gt;")=0,"",SUMIFS(全馬データ!$K$2:$K$50000,全馬データ!$A$2:$A$50000,A4084,全馬データ!$B$2:$B$50000,B4084,全馬データ!$C$2:$C$50000,C4084,全馬データ!$D$2:$D$50000,E4084)))</f>
        <v/>
      </c>
      <c r="AP4084" s="8" t="str">
        <f aca="false">IF(A4084="","",IF(AO4084="","欠損",IF(AO4084&lt;=1.1,"1.0～1.1",IF(AO4084&lt;1.3,"1.2",IF(AO4084&lt;1.5,"1.3～1.4",IF(AO4084&lt;2,"1.5～1.9","2.0以上"))))))</f>
        <v/>
      </c>
      <c r="AQ4084" s="8" t="str">
        <f aca="false">IF(A4084="","",IF(ISNUMBER(SEARCH("2歳",Z4084)),"2歳戦",IF(ISNUMBER(SEARCH("3歳未勝利",Z4084)),"3歳未勝利",IF(ISNUMBER(SEARCH("未勝利",Z4084)),"その他未勝利",IF(ISNUMBER(SEARCH("G1",Z4084)),"G1",IF(ISNUMBER(SEARCH("G2",Z4084)),"G2",IF(ISNUMBER(SEARCH("G3",Z4084)),"G3",IF(ISNUMBER(SEARCH("古馬条件",Z4084)),"古馬条件戦",IF(ISNUMBER(SEARCH("重賞",Z4084)),"重賞","分類不能")))))))))</f>
        <v/>
      </c>
    </row>
    <row r="4085" customFormat="false" ht="15.75" hidden="false" customHeight="false" outlineLevel="0" collapsed="false">
      <c r="AO4085" s="8" t="str">
        <f aca="false">IF(A4085="","",IF(COUNTIFS(全馬データ!$A$2:$A$50000,A4085,全馬データ!$B$2:$B$50000,B4085,全馬データ!$C$2:$C$50000,C4085,全馬データ!$D$2:$D$50000,E4085,全馬データ!$K$2:$K$50000,"&lt;&gt;")=0,"",SUMIFS(全馬データ!$K$2:$K$50000,全馬データ!$A$2:$A$50000,A4085,全馬データ!$B$2:$B$50000,B4085,全馬データ!$C$2:$C$50000,C4085,全馬データ!$D$2:$D$50000,E4085)))</f>
        <v/>
      </c>
      <c r="AP4085" s="8" t="str">
        <f aca="false">IF(A4085="","",IF(AO4085="","欠損",IF(AO4085&lt;=1.1,"1.0～1.1",IF(AO4085&lt;1.3,"1.2",IF(AO4085&lt;1.5,"1.3～1.4",IF(AO4085&lt;2,"1.5～1.9","2.0以上"))))))</f>
        <v/>
      </c>
      <c r="AQ4085" s="8" t="str">
        <f aca="false">IF(A4085="","",IF(ISNUMBER(SEARCH("2歳",Z4085)),"2歳戦",IF(ISNUMBER(SEARCH("3歳未勝利",Z4085)),"3歳未勝利",IF(ISNUMBER(SEARCH("未勝利",Z4085)),"その他未勝利",IF(ISNUMBER(SEARCH("G1",Z4085)),"G1",IF(ISNUMBER(SEARCH("G2",Z4085)),"G2",IF(ISNUMBER(SEARCH("G3",Z4085)),"G3",IF(ISNUMBER(SEARCH("古馬条件",Z4085)),"古馬条件戦",IF(ISNUMBER(SEARCH("重賞",Z4085)),"重賞","分類不能")))))))))</f>
        <v/>
      </c>
    </row>
    <row r="4086" customFormat="false" ht="15.75" hidden="false" customHeight="false" outlineLevel="0" collapsed="false">
      <c r="AO4086" s="8" t="str">
        <f aca="false">IF(A4086="","",IF(COUNTIFS(全馬データ!$A$2:$A$50000,A4086,全馬データ!$B$2:$B$50000,B4086,全馬データ!$C$2:$C$50000,C4086,全馬データ!$D$2:$D$50000,E4086,全馬データ!$K$2:$K$50000,"&lt;&gt;")=0,"",SUMIFS(全馬データ!$K$2:$K$50000,全馬データ!$A$2:$A$50000,A4086,全馬データ!$B$2:$B$50000,B4086,全馬データ!$C$2:$C$50000,C4086,全馬データ!$D$2:$D$50000,E4086)))</f>
        <v/>
      </c>
      <c r="AP4086" s="8" t="str">
        <f aca="false">IF(A4086="","",IF(AO4086="","欠損",IF(AO4086&lt;=1.1,"1.0～1.1",IF(AO4086&lt;1.3,"1.2",IF(AO4086&lt;1.5,"1.3～1.4",IF(AO4086&lt;2,"1.5～1.9","2.0以上"))))))</f>
        <v/>
      </c>
      <c r="AQ4086" s="8" t="str">
        <f aca="false">IF(A4086="","",IF(ISNUMBER(SEARCH("2歳",Z4086)),"2歳戦",IF(ISNUMBER(SEARCH("3歳未勝利",Z4086)),"3歳未勝利",IF(ISNUMBER(SEARCH("未勝利",Z4086)),"その他未勝利",IF(ISNUMBER(SEARCH("G1",Z4086)),"G1",IF(ISNUMBER(SEARCH("G2",Z4086)),"G2",IF(ISNUMBER(SEARCH("G3",Z4086)),"G3",IF(ISNUMBER(SEARCH("古馬条件",Z4086)),"古馬条件戦",IF(ISNUMBER(SEARCH("重賞",Z4086)),"重賞","分類不能")))))))))</f>
        <v/>
      </c>
    </row>
    <row r="4087" customFormat="false" ht="15.75" hidden="false" customHeight="false" outlineLevel="0" collapsed="false">
      <c r="AO4087" s="8" t="str">
        <f aca="false">IF(A4087="","",IF(COUNTIFS(全馬データ!$A$2:$A$50000,A4087,全馬データ!$B$2:$B$50000,B4087,全馬データ!$C$2:$C$50000,C4087,全馬データ!$D$2:$D$50000,E4087,全馬データ!$K$2:$K$50000,"&lt;&gt;")=0,"",SUMIFS(全馬データ!$K$2:$K$50000,全馬データ!$A$2:$A$50000,A4087,全馬データ!$B$2:$B$50000,B4087,全馬データ!$C$2:$C$50000,C4087,全馬データ!$D$2:$D$50000,E4087)))</f>
        <v/>
      </c>
      <c r="AP4087" s="8" t="str">
        <f aca="false">IF(A4087="","",IF(AO4087="","欠損",IF(AO4087&lt;=1.1,"1.0～1.1",IF(AO4087&lt;1.3,"1.2",IF(AO4087&lt;1.5,"1.3～1.4",IF(AO4087&lt;2,"1.5～1.9","2.0以上"))))))</f>
        <v/>
      </c>
      <c r="AQ4087" s="8" t="str">
        <f aca="false">IF(A4087="","",IF(ISNUMBER(SEARCH("2歳",Z4087)),"2歳戦",IF(ISNUMBER(SEARCH("3歳未勝利",Z4087)),"3歳未勝利",IF(ISNUMBER(SEARCH("未勝利",Z4087)),"その他未勝利",IF(ISNUMBER(SEARCH("G1",Z4087)),"G1",IF(ISNUMBER(SEARCH("G2",Z4087)),"G2",IF(ISNUMBER(SEARCH("G3",Z4087)),"G3",IF(ISNUMBER(SEARCH("古馬条件",Z4087)),"古馬条件戦",IF(ISNUMBER(SEARCH("重賞",Z4087)),"重賞","分類不能")))))))))</f>
        <v/>
      </c>
    </row>
    <row r="4088" customFormat="false" ht="15.75" hidden="false" customHeight="false" outlineLevel="0" collapsed="false">
      <c r="AO4088" s="8" t="str">
        <f aca="false">IF(A4088="","",IF(COUNTIFS(全馬データ!$A$2:$A$50000,A4088,全馬データ!$B$2:$B$50000,B4088,全馬データ!$C$2:$C$50000,C4088,全馬データ!$D$2:$D$50000,E4088,全馬データ!$K$2:$K$50000,"&lt;&gt;")=0,"",SUMIFS(全馬データ!$K$2:$K$50000,全馬データ!$A$2:$A$50000,A4088,全馬データ!$B$2:$B$50000,B4088,全馬データ!$C$2:$C$50000,C4088,全馬データ!$D$2:$D$50000,E4088)))</f>
        <v/>
      </c>
      <c r="AP4088" s="8" t="str">
        <f aca="false">IF(A4088="","",IF(AO4088="","欠損",IF(AO4088&lt;=1.1,"1.0～1.1",IF(AO4088&lt;1.3,"1.2",IF(AO4088&lt;1.5,"1.3～1.4",IF(AO4088&lt;2,"1.5～1.9","2.0以上"))))))</f>
        <v/>
      </c>
      <c r="AQ4088" s="8" t="str">
        <f aca="false">IF(A4088="","",IF(ISNUMBER(SEARCH("2歳",Z4088)),"2歳戦",IF(ISNUMBER(SEARCH("3歳未勝利",Z4088)),"3歳未勝利",IF(ISNUMBER(SEARCH("未勝利",Z4088)),"その他未勝利",IF(ISNUMBER(SEARCH("G1",Z4088)),"G1",IF(ISNUMBER(SEARCH("G2",Z4088)),"G2",IF(ISNUMBER(SEARCH("G3",Z4088)),"G3",IF(ISNUMBER(SEARCH("古馬条件",Z4088)),"古馬条件戦",IF(ISNUMBER(SEARCH("重賞",Z4088)),"重賞","分類不能")))))))))</f>
        <v/>
      </c>
    </row>
    <row r="4089" customFormat="false" ht="15.75" hidden="false" customHeight="false" outlineLevel="0" collapsed="false">
      <c r="AO4089" s="8" t="str">
        <f aca="false">IF(A4089="","",IF(COUNTIFS(全馬データ!$A$2:$A$50000,A4089,全馬データ!$B$2:$B$50000,B4089,全馬データ!$C$2:$C$50000,C4089,全馬データ!$D$2:$D$50000,E4089,全馬データ!$K$2:$K$50000,"&lt;&gt;")=0,"",SUMIFS(全馬データ!$K$2:$K$50000,全馬データ!$A$2:$A$50000,A4089,全馬データ!$B$2:$B$50000,B4089,全馬データ!$C$2:$C$50000,C4089,全馬データ!$D$2:$D$50000,E4089)))</f>
        <v/>
      </c>
      <c r="AP4089" s="8" t="str">
        <f aca="false">IF(A4089="","",IF(AO4089="","欠損",IF(AO4089&lt;=1.1,"1.0～1.1",IF(AO4089&lt;1.3,"1.2",IF(AO4089&lt;1.5,"1.3～1.4",IF(AO4089&lt;2,"1.5～1.9","2.0以上"))))))</f>
        <v/>
      </c>
      <c r="AQ4089" s="8" t="str">
        <f aca="false">IF(A4089="","",IF(ISNUMBER(SEARCH("2歳",Z4089)),"2歳戦",IF(ISNUMBER(SEARCH("3歳未勝利",Z4089)),"3歳未勝利",IF(ISNUMBER(SEARCH("未勝利",Z4089)),"その他未勝利",IF(ISNUMBER(SEARCH("G1",Z4089)),"G1",IF(ISNUMBER(SEARCH("G2",Z4089)),"G2",IF(ISNUMBER(SEARCH("G3",Z4089)),"G3",IF(ISNUMBER(SEARCH("古馬条件",Z4089)),"古馬条件戦",IF(ISNUMBER(SEARCH("重賞",Z4089)),"重賞","分類不能")))))))))</f>
        <v/>
      </c>
    </row>
    <row r="4090" customFormat="false" ht="15.75" hidden="false" customHeight="false" outlineLevel="0" collapsed="false">
      <c r="AO4090" s="8" t="str">
        <f aca="false">IF(A4090="","",IF(COUNTIFS(全馬データ!$A$2:$A$50000,A4090,全馬データ!$B$2:$B$50000,B4090,全馬データ!$C$2:$C$50000,C4090,全馬データ!$D$2:$D$50000,E4090,全馬データ!$K$2:$K$50000,"&lt;&gt;")=0,"",SUMIFS(全馬データ!$K$2:$K$50000,全馬データ!$A$2:$A$50000,A4090,全馬データ!$B$2:$B$50000,B4090,全馬データ!$C$2:$C$50000,C4090,全馬データ!$D$2:$D$50000,E4090)))</f>
        <v/>
      </c>
      <c r="AP4090" s="8" t="str">
        <f aca="false">IF(A4090="","",IF(AO4090="","欠損",IF(AO4090&lt;=1.1,"1.0～1.1",IF(AO4090&lt;1.3,"1.2",IF(AO4090&lt;1.5,"1.3～1.4",IF(AO4090&lt;2,"1.5～1.9","2.0以上"))))))</f>
        <v/>
      </c>
      <c r="AQ4090" s="8" t="str">
        <f aca="false">IF(A4090="","",IF(ISNUMBER(SEARCH("2歳",Z4090)),"2歳戦",IF(ISNUMBER(SEARCH("3歳未勝利",Z4090)),"3歳未勝利",IF(ISNUMBER(SEARCH("未勝利",Z4090)),"その他未勝利",IF(ISNUMBER(SEARCH("G1",Z4090)),"G1",IF(ISNUMBER(SEARCH("G2",Z4090)),"G2",IF(ISNUMBER(SEARCH("G3",Z4090)),"G3",IF(ISNUMBER(SEARCH("古馬条件",Z4090)),"古馬条件戦",IF(ISNUMBER(SEARCH("重賞",Z4090)),"重賞","分類不能")))))))))</f>
        <v/>
      </c>
    </row>
    <row r="4091" customFormat="false" ht="15.75" hidden="false" customHeight="false" outlineLevel="0" collapsed="false">
      <c r="AO4091" s="8" t="str">
        <f aca="false">IF(A4091="","",IF(COUNTIFS(全馬データ!$A$2:$A$50000,A4091,全馬データ!$B$2:$B$50000,B4091,全馬データ!$C$2:$C$50000,C4091,全馬データ!$D$2:$D$50000,E4091,全馬データ!$K$2:$K$50000,"&lt;&gt;")=0,"",SUMIFS(全馬データ!$K$2:$K$50000,全馬データ!$A$2:$A$50000,A4091,全馬データ!$B$2:$B$50000,B4091,全馬データ!$C$2:$C$50000,C4091,全馬データ!$D$2:$D$50000,E4091)))</f>
        <v/>
      </c>
      <c r="AP4091" s="8" t="str">
        <f aca="false">IF(A4091="","",IF(AO4091="","欠損",IF(AO4091&lt;=1.1,"1.0～1.1",IF(AO4091&lt;1.3,"1.2",IF(AO4091&lt;1.5,"1.3～1.4",IF(AO4091&lt;2,"1.5～1.9","2.0以上"))))))</f>
        <v/>
      </c>
      <c r="AQ4091" s="8" t="str">
        <f aca="false">IF(A4091="","",IF(ISNUMBER(SEARCH("2歳",Z4091)),"2歳戦",IF(ISNUMBER(SEARCH("3歳未勝利",Z4091)),"3歳未勝利",IF(ISNUMBER(SEARCH("未勝利",Z4091)),"その他未勝利",IF(ISNUMBER(SEARCH("G1",Z4091)),"G1",IF(ISNUMBER(SEARCH("G2",Z4091)),"G2",IF(ISNUMBER(SEARCH("G3",Z4091)),"G3",IF(ISNUMBER(SEARCH("古馬条件",Z4091)),"古馬条件戦",IF(ISNUMBER(SEARCH("重賞",Z4091)),"重賞","分類不能")))))))))</f>
        <v/>
      </c>
    </row>
    <row r="4092" customFormat="false" ht="15.75" hidden="false" customHeight="false" outlineLevel="0" collapsed="false">
      <c r="AO4092" s="8" t="str">
        <f aca="false">IF(A4092="","",IF(COUNTIFS(全馬データ!$A$2:$A$50000,A4092,全馬データ!$B$2:$B$50000,B4092,全馬データ!$C$2:$C$50000,C4092,全馬データ!$D$2:$D$50000,E4092,全馬データ!$K$2:$K$50000,"&lt;&gt;")=0,"",SUMIFS(全馬データ!$K$2:$K$50000,全馬データ!$A$2:$A$50000,A4092,全馬データ!$B$2:$B$50000,B4092,全馬データ!$C$2:$C$50000,C4092,全馬データ!$D$2:$D$50000,E4092)))</f>
        <v/>
      </c>
      <c r="AP4092" s="8" t="str">
        <f aca="false">IF(A4092="","",IF(AO4092="","欠損",IF(AO4092&lt;=1.1,"1.0～1.1",IF(AO4092&lt;1.3,"1.2",IF(AO4092&lt;1.5,"1.3～1.4",IF(AO4092&lt;2,"1.5～1.9","2.0以上"))))))</f>
        <v/>
      </c>
      <c r="AQ4092" s="8" t="str">
        <f aca="false">IF(A4092="","",IF(ISNUMBER(SEARCH("2歳",Z4092)),"2歳戦",IF(ISNUMBER(SEARCH("3歳未勝利",Z4092)),"3歳未勝利",IF(ISNUMBER(SEARCH("未勝利",Z4092)),"その他未勝利",IF(ISNUMBER(SEARCH("G1",Z4092)),"G1",IF(ISNUMBER(SEARCH("G2",Z4092)),"G2",IF(ISNUMBER(SEARCH("G3",Z4092)),"G3",IF(ISNUMBER(SEARCH("古馬条件",Z4092)),"古馬条件戦",IF(ISNUMBER(SEARCH("重賞",Z4092)),"重賞","分類不能")))))))))</f>
        <v/>
      </c>
    </row>
    <row r="4093" customFormat="false" ht="15.75" hidden="false" customHeight="false" outlineLevel="0" collapsed="false">
      <c r="AO4093" s="8" t="str">
        <f aca="false">IF(A4093="","",IF(COUNTIFS(全馬データ!$A$2:$A$50000,A4093,全馬データ!$B$2:$B$50000,B4093,全馬データ!$C$2:$C$50000,C4093,全馬データ!$D$2:$D$50000,E4093,全馬データ!$K$2:$K$50000,"&lt;&gt;")=0,"",SUMIFS(全馬データ!$K$2:$K$50000,全馬データ!$A$2:$A$50000,A4093,全馬データ!$B$2:$B$50000,B4093,全馬データ!$C$2:$C$50000,C4093,全馬データ!$D$2:$D$50000,E4093)))</f>
        <v/>
      </c>
      <c r="AP4093" s="8" t="str">
        <f aca="false">IF(A4093="","",IF(AO4093="","欠損",IF(AO4093&lt;=1.1,"1.0～1.1",IF(AO4093&lt;1.3,"1.2",IF(AO4093&lt;1.5,"1.3～1.4",IF(AO4093&lt;2,"1.5～1.9","2.0以上"))))))</f>
        <v/>
      </c>
      <c r="AQ4093" s="8" t="str">
        <f aca="false">IF(A4093="","",IF(ISNUMBER(SEARCH("2歳",Z4093)),"2歳戦",IF(ISNUMBER(SEARCH("3歳未勝利",Z4093)),"3歳未勝利",IF(ISNUMBER(SEARCH("未勝利",Z4093)),"その他未勝利",IF(ISNUMBER(SEARCH("G1",Z4093)),"G1",IF(ISNUMBER(SEARCH("G2",Z4093)),"G2",IF(ISNUMBER(SEARCH("G3",Z4093)),"G3",IF(ISNUMBER(SEARCH("古馬条件",Z4093)),"古馬条件戦",IF(ISNUMBER(SEARCH("重賞",Z4093)),"重賞","分類不能")))))))))</f>
        <v/>
      </c>
    </row>
    <row r="4094" customFormat="false" ht="15.75" hidden="false" customHeight="false" outlineLevel="0" collapsed="false">
      <c r="AO4094" s="8" t="str">
        <f aca="false">IF(A4094="","",IF(COUNTIFS(全馬データ!$A$2:$A$50000,A4094,全馬データ!$B$2:$B$50000,B4094,全馬データ!$C$2:$C$50000,C4094,全馬データ!$D$2:$D$50000,E4094,全馬データ!$K$2:$K$50000,"&lt;&gt;")=0,"",SUMIFS(全馬データ!$K$2:$K$50000,全馬データ!$A$2:$A$50000,A4094,全馬データ!$B$2:$B$50000,B4094,全馬データ!$C$2:$C$50000,C4094,全馬データ!$D$2:$D$50000,E4094)))</f>
        <v/>
      </c>
      <c r="AP4094" s="8" t="str">
        <f aca="false">IF(A4094="","",IF(AO4094="","欠損",IF(AO4094&lt;=1.1,"1.0～1.1",IF(AO4094&lt;1.3,"1.2",IF(AO4094&lt;1.5,"1.3～1.4",IF(AO4094&lt;2,"1.5～1.9","2.0以上"))))))</f>
        <v/>
      </c>
      <c r="AQ4094" s="8" t="str">
        <f aca="false">IF(A4094="","",IF(ISNUMBER(SEARCH("2歳",Z4094)),"2歳戦",IF(ISNUMBER(SEARCH("3歳未勝利",Z4094)),"3歳未勝利",IF(ISNUMBER(SEARCH("未勝利",Z4094)),"その他未勝利",IF(ISNUMBER(SEARCH("G1",Z4094)),"G1",IF(ISNUMBER(SEARCH("G2",Z4094)),"G2",IF(ISNUMBER(SEARCH("G3",Z4094)),"G3",IF(ISNUMBER(SEARCH("古馬条件",Z4094)),"古馬条件戦",IF(ISNUMBER(SEARCH("重賞",Z4094)),"重賞","分類不能")))))))))</f>
        <v/>
      </c>
    </row>
    <row r="4095" customFormat="false" ht="15.75" hidden="false" customHeight="false" outlineLevel="0" collapsed="false">
      <c r="AO4095" s="8" t="str">
        <f aca="false">IF(A4095="","",IF(COUNTIFS(全馬データ!$A$2:$A$50000,A4095,全馬データ!$B$2:$B$50000,B4095,全馬データ!$C$2:$C$50000,C4095,全馬データ!$D$2:$D$50000,E4095,全馬データ!$K$2:$K$50000,"&lt;&gt;")=0,"",SUMIFS(全馬データ!$K$2:$K$50000,全馬データ!$A$2:$A$50000,A4095,全馬データ!$B$2:$B$50000,B4095,全馬データ!$C$2:$C$50000,C4095,全馬データ!$D$2:$D$50000,E4095)))</f>
        <v/>
      </c>
      <c r="AP4095" s="8" t="str">
        <f aca="false">IF(A4095="","",IF(AO4095="","欠損",IF(AO4095&lt;=1.1,"1.0～1.1",IF(AO4095&lt;1.3,"1.2",IF(AO4095&lt;1.5,"1.3～1.4",IF(AO4095&lt;2,"1.5～1.9","2.0以上"))))))</f>
        <v/>
      </c>
      <c r="AQ4095" s="8" t="str">
        <f aca="false">IF(A4095="","",IF(ISNUMBER(SEARCH("2歳",Z4095)),"2歳戦",IF(ISNUMBER(SEARCH("3歳未勝利",Z4095)),"3歳未勝利",IF(ISNUMBER(SEARCH("未勝利",Z4095)),"その他未勝利",IF(ISNUMBER(SEARCH("G1",Z4095)),"G1",IF(ISNUMBER(SEARCH("G2",Z4095)),"G2",IF(ISNUMBER(SEARCH("G3",Z4095)),"G3",IF(ISNUMBER(SEARCH("古馬条件",Z4095)),"古馬条件戦",IF(ISNUMBER(SEARCH("重賞",Z4095)),"重賞","分類不能")))))))))</f>
        <v/>
      </c>
    </row>
    <row r="4096" customFormat="false" ht="15.75" hidden="false" customHeight="false" outlineLevel="0" collapsed="false">
      <c r="AO4096" s="8" t="str">
        <f aca="false">IF(A4096="","",IF(COUNTIFS(全馬データ!$A$2:$A$50000,A4096,全馬データ!$B$2:$B$50000,B4096,全馬データ!$C$2:$C$50000,C4096,全馬データ!$D$2:$D$50000,E4096,全馬データ!$K$2:$K$50000,"&lt;&gt;")=0,"",SUMIFS(全馬データ!$K$2:$K$50000,全馬データ!$A$2:$A$50000,A4096,全馬データ!$B$2:$B$50000,B4096,全馬データ!$C$2:$C$50000,C4096,全馬データ!$D$2:$D$50000,E4096)))</f>
        <v/>
      </c>
      <c r="AP4096" s="8" t="str">
        <f aca="false">IF(A4096="","",IF(AO4096="","欠損",IF(AO4096&lt;=1.1,"1.0～1.1",IF(AO4096&lt;1.3,"1.2",IF(AO4096&lt;1.5,"1.3～1.4",IF(AO4096&lt;2,"1.5～1.9","2.0以上"))))))</f>
        <v/>
      </c>
      <c r="AQ4096" s="8" t="str">
        <f aca="false">IF(A4096="","",IF(ISNUMBER(SEARCH("2歳",Z4096)),"2歳戦",IF(ISNUMBER(SEARCH("3歳未勝利",Z4096)),"3歳未勝利",IF(ISNUMBER(SEARCH("未勝利",Z4096)),"その他未勝利",IF(ISNUMBER(SEARCH("G1",Z4096)),"G1",IF(ISNUMBER(SEARCH("G2",Z4096)),"G2",IF(ISNUMBER(SEARCH("G3",Z4096)),"G3",IF(ISNUMBER(SEARCH("古馬条件",Z4096)),"古馬条件戦",IF(ISNUMBER(SEARCH("重賞",Z4096)),"重賞","分類不能")))))))))</f>
        <v/>
      </c>
    </row>
    <row r="4097" customFormat="false" ht="15.75" hidden="false" customHeight="false" outlineLevel="0" collapsed="false">
      <c r="AO4097" s="8" t="str">
        <f aca="false">IF(A4097="","",IF(COUNTIFS(全馬データ!$A$2:$A$50000,A4097,全馬データ!$B$2:$B$50000,B4097,全馬データ!$C$2:$C$50000,C4097,全馬データ!$D$2:$D$50000,E4097,全馬データ!$K$2:$K$50000,"&lt;&gt;")=0,"",SUMIFS(全馬データ!$K$2:$K$50000,全馬データ!$A$2:$A$50000,A4097,全馬データ!$B$2:$B$50000,B4097,全馬データ!$C$2:$C$50000,C4097,全馬データ!$D$2:$D$50000,E4097)))</f>
        <v/>
      </c>
      <c r="AP4097" s="8" t="str">
        <f aca="false">IF(A4097="","",IF(AO4097="","欠損",IF(AO4097&lt;=1.1,"1.0～1.1",IF(AO4097&lt;1.3,"1.2",IF(AO4097&lt;1.5,"1.3～1.4",IF(AO4097&lt;2,"1.5～1.9","2.0以上"))))))</f>
        <v/>
      </c>
      <c r="AQ4097" s="8" t="str">
        <f aca="false">IF(A4097="","",IF(ISNUMBER(SEARCH("2歳",Z4097)),"2歳戦",IF(ISNUMBER(SEARCH("3歳未勝利",Z4097)),"3歳未勝利",IF(ISNUMBER(SEARCH("未勝利",Z4097)),"その他未勝利",IF(ISNUMBER(SEARCH("G1",Z4097)),"G1",IF(ISNUMBER(SEARCH("G2",Z4097)),"G2",IF(ISNUMBER(SEARCH("G3",Z4097)),"G3",IF(ISNUMBER(SEARCH("古馬条件",Z4097)),"古馬条件戦",IF(ISNUMBER(SEARCH("重賞",Z4097)),"重賞","分類不能")))))))))</f>
        <v/>
      </c>
    </row>
    <row r="4098" customFormat="false" ht="15.75" hidden="false" customHeight="false" outlineLevel="0" collapsed="false">
      <c r="AO4098" s="8" t="str">
        <f aca="false">IF(A4098="","",IF(COUNTIFS(全馬データ!$A$2:$A$50000,A4098,全馬データ!$B$2:$B$50000,B4098,全馬データ!$C$2:$C$50000,C4098,全馬データ!$D$2:$D$50000,E4098,全馬データ!$K$2:$K$50000,"&lt;&gt;")=0,"",SUMIFS(全馬データ!$K$2:$K$50000,全馬データ!$A$2:$A$50000,A4098,全馬データ!$B$2:$B$50000,B4098,全馬データ!$C$2:$C$50000,C4098,全馬データ!$D$2:$D$50000,E4098)))</f>
        <v/>
      </c>
      <c r="AP4098" s="8" t="str">
        <f aca="false">IF(A4098="","",IF(AO4098="","欠損",IF(AO4098&lt;=1.1,"1.0～1.1",IF(AO4098&lt;1.3,"1.2",IF(AO4098&lt;1.5,"1.3～1.4",IF(AO4098&lt;2,"1.5～1.9","2.0以上"))))))</f>
        <v/>
      </c>
      <c r="AQ4098" s="8" t="str">
        <f aca="false">IF(A4098="","",IF(ISNUMBER(SEARCH("2歳",Z4098)),"2歳戦",IF(ISNUMBER(SEARCH("3歳未勝利",Z4098)),"3歳未勝利",IF(ISNUMBER(SEARCH("未勝利",Z4098)),"その他未勝利",IF(ISNUMBER(SEARCH("G1",Z4098)),"G1",IF(ISNUMBER(SEARCH("G2",Z4098)),"G2",IF(ISNUMBER(SEARCH("G3",Z4098)),"G3",IF(ISNUMBER(SEARCH("古馬条件",Z4098)),"古馬条件戦",IF(ISNUMBER(SEARCH("重賞",Z4098)),"重賞","分類不能")))))))))</f>
        <v/>
      </c>
    </row>
    <row r="4099" customFormat="false" ht="15.75" hidden="false" customHeight="false" outlineLevel="0" collapsed="false">
      <c r="AO4099" s="8" t="str">
        <f aca="false">IF(A4099="","",IF(COUNTIFS(全馬データ!$A$2:$A$50000,A4099,全馬データ!$B$2:$B$50000,B4099,全馬データ!$C$2:$C$50000,C4099,全馬データ!$D$2:$D$50000,E4099,全馬データ!$K$2:$K$50000,"&lt;&gt;")=0,"",SUMIFS(全馬データ!$K$2:$K$50000,全馬データ!$A$2:$A$50000,A4099,全馬データ!$B$2:$B$50000,B4099,全馬データ!$C$2:$C$50000,C4099,全馬データ!$D$2:$D$50000,E4099)))</f>
        <v/>
      </c>
      <c r="AP4099" s="8" t="str">
        <f aca="false">IF(A4099="","",IF(AO4099="","欠損",IF(AO4099&lt;=1.1,"1.0～1.1",IF(AO4099&lt;1.3,"1.2",IF(AO4099&lt;1.5,"1.3～1.4",IF(AO4099&lt;2,"1.5～1.9","2.0以上"))))))</f>
        <v/>
      </c>
      <c r="AQ4099" s="8" t="str">
        <f aca="false">IF(A4099="","",IF(ISNUMBER(SEARCH("2歳",Z4099)),"2歳戦",IF(ISNUMBER(SEARCH("3歳未勝利",Z4099)),"3歳未勝利",IF(ISNUMBER(SEARCH("未勝利",Z4099)),"その他未勝利",IF(ISNUMBER(SEARCH("G1",Z4099)),"G1",IF(ISNUMBER(SEARCH("G2",Z4099)),"G2",IF(ISNUMBER(SEARCH("G3",Z4099)),"G3",IF(ISNUMBER(SEARCH("古馬条件",Z4099)),"古馬条件戦",IF(ISNUMBER(SEARCH("重賞",Z4099)),"重賞","分類不能")))))))))</f>
        <v/>
      </c>
    </row>
    <row r="4100" customFormat="false" ht="15.75" hidden="false" customHeight="false" outlineLevel="0" collapsed="false">
      <c r="AO4100" s="8" t="str">
        <f aca="false">IF(A4100="","",IF(COUNTIFS(全馬データ!$A$2:$A$50000,A4100,全馬データ!$B$2:$B$50000,B4100,全馬データ!$C$2:$C$50000,C4100,全馬データ!$D$2:$D$50000,E4100,全馬データ!$K$2:$K$50000,"&lt;&gt;")=0,"",SUMIFS(全馬データ!$K$2:$K$50000,全馬データ!$A$2:$A$50000,A4100,全馬データ!$B$2:$B$50000,B4100,全馬データ!$C$2:$C$50000,C4100,全馬データ!$D$2:$D$50000,E4100)))</f>
        <v/>
      </c>
      <c r="AP4100" s="8" t="str">
        <f aca="false">IF(A4100="","",IF(AO4100="","欠損",IF(AO4100&lt;=1.1,"1.0～1.1",IF(AO4100&lt;1.3,"1.2",IF(AO4100&lt;1.5,"1.3～1.4",IF(AO4100&lt;2,"1.5～1.9","2.0以上"))))))</f>
        <v/>
      </c>
      <c r="AQ4100" s="8" t="str">
        <f aca="false">IF(A4100="","",IF(ISNUMBER(SEARCH("2歳",Z4100)),"2歳戦",IF(ISNUMBER(SEARCH("3歳未勝利",Z4100)),"3歳未勝利",IF(ISNUMBER(SEARCH("未勝利",Z4100)),"その他未勝利",IF(ISNUMBER(SEARCH("G1",Z4100)),"G1",IF(ISNUMBER(SEARCH("G2",Z4100)),"G2",IF(ISNUMBER(SEARCH("G3",Z4100)),"G3",IF(ISNUMBER(SEARCH("古馬条件",Z4100)),"古馬条件戦",IF(ISNUMBER(SEARCH("重賞",Z4100)),"重賞","分類不能")))))))))</f>
        <v/>
      </c>
    </row>
    <row r="4101" customFormat="false" ht="15.75" hidden="false" customHeight="false" outlineLevel="0" collapsed="false">
      <c r="AO4101" s="8" t="str">
        <f aca="false">IF(A4101="","",IF(COUNTIFS(全馬データ!$A$2:$A$50000,A4101,全馬データ!$B$2:$B$50000,B4101,全馬データ!$C$2:$C$50000,C4101,全馬データ!$D$2:$D$50000,E4101,全馬データ!$K$2:$K$50000,"&lt;&gt;")=0,"",SUMIFS(全馬データ!$K$2:$K$50000,全馬データ!$A$2:$A$50000,A4101,全馬データ!$B$2:$B$50000,B4101,全馬データ!$C$2:$C$50000,C4101,全馬データ!$D$2:$D$50000,E4101)))</f>
        <v/>
      </c>
      <c r="AP4101" s="8" t="str">
        <f aca="false">IF(A4101="","",IF(AO4101="","欠損",IF(AO4101&lt;=1.1,"1.0～1.1",IF(AO4101&lt;1.3,"1.2",IF(AO4101&lt;1.5,"1.3～1.4",IF(AO4101&lt;2,"1.5～1.9","2.0以上"))))))</f>
        <v/>
      </c>
      <c r="AQ4101" s="8" t="str">
        <f aca="false">IF(A4101="","",IF(ISNUMBER(SEARCH("2歳",Z4101)),"2歳戦",IF(ISNUMBER(SEARCH("3歳未勝利",Z4101)),"3歳未勝利",IF(ISNUMBER(SEARCH("未勝利",Z4101)),"その他未勝利",IF(ISNUMBER(SEARCH("G1",Z4101)),"G1",IF(ISNUMBER(SEARCH("G2",Z4101)),"G2",IF(ISNUMBER(SEARCH("G3",Z4101)),"G3",IF(ISNUMBER(SEARCH("古馬条件",Z4101)),"古馬条件戦",IF(ISNUMBER(SEARCH("重賞",Z4101)),"重賞","分類不能")))))))))</f>
        <v/>
      </c>
    </row>
    <row r="4102" customFormat="false" ht="15.75" hidden="false" customHeight="false" outlineLevel="0" collapsed="false">
      <c r="AO4102" s="8" t="str">
        <f aca="false">IF(A4102="","",IF(COUNTIFS(全馬データ!$A$2:$A$50000,A4102,全馬データ!$B$2:$B$50000,B4102,全馬データ!$C$2:$C$50000,C4102,全馬データ!$D$2:$D$50000,E4102,全馬データ!$K$2:$K$50000,"&lt;&gt;")=0,"",SUMIFS(全馬データ!$K$2:$K$50000,全馬データ!$A$2:$A$50000,A4102,全馬データ!$B$2:$B$50000,B4102,全馬データ!$C$2:$C$50000,C4102,全馬データ!$D$2:$D$50000,E4102)))</f>
        <v/>
      </c>
      <c r="AP4102" s="8" t="str">
        <f aca="false">IF(A4102="","",IF(AO4102="","欠損",IF(AO4102&lt;=1.1,"1.0～1.1",IF(AO4102&lt;1.3,"1.2",IF(AO4102&lt;1.5,"1.3～1.4",IF(AO4102&lt;2,"1.5～1.9","2.0以上"))))))</f>
        <v/>
      </c>
      <c r="AQ4102" s="8" t="str">
        <f aca="false">IF(A4102="","",IF(ISNUMBER(SEARCH("2歳",Z4102)),"2歳戦",IF(ISNUMBER(SEARCH("3歳未勝利",Z4102)),"3歳未勝利",IF(ISNUMBER(SEARCH("未勝利",Z4102)),"その他未勝利",IF(ISNUMBER(SEARCH("G1",Z4102)),"G1",IF(ISNUMBER(SEARCH("G2",Z4102)),"G2",IF(ISNUMBER(SEARCH("G3",Z4102)),"G3",IF(ISNUMBER(SEARCH("古馬条件",Z4102)),"古馬条件戦",IF(ISNUMBER(SEARCH("重賞",Z4102)),"重賞","分類不能")))))))))</f>
        <v/>
      </c>
    </row>
    <row r="4103" customFormat="false" ht="15.75" hidden="false" customHeight="false" outlineLevel="0" collapsed="false">
      <c r="AO4103" s="8" t="str">
        <f aca="false">IF(A4103="","",IF(COUNTIFS(全馬データ!$A$2:$A$50000,A4103,全馬データ!$B$2:$B$50000,B4103,全馬データ!$C$2:$C$50000,C4103,全馬データ!$D$2:$D$50000,E4103,全馬データ!$K$2:$K$50000,"&lt;&gt;")=0,"",SUMIFS(全馬データ!$K$2:$K$50000,全馬データ!$A$2:$A$50000,A4103,全馬データ!$B$2:$B$50000,B4103,全馬データ!$C$2:$C$50000,C4103,全馬データ!$D$2:$D$50000,E4103)))</f>
        <v/>
      </c>
      <c r="AP4103" s="8" t="str">
        <f aca="false">IF(A4103="","",IF(AO4103="","欠損",IF(AO4103&lt;=1.1,"1.0～1.1",IF(AO4103&lt;1.3,"1.2",IF(AO4103&lt;1.5,"1.3～1.4",IF(AO4103&lt;2,"1.5～1.9","2.0以上"))))))</f>
        <v/>
      </c>
      <c r="AQ4103" s="8" t="str">
        <f aca="false">IF(A4103="","",IF(ISNUMBER(SEARCH("2歳",Z4103)),"2歳戦",IF(ISNUMBER(SEARCH("3歳未勝利",Z4103)),"3歳未勝利",IF(ISNUMBER(SEARCH("未勝利",Z4103)),"その他未勝利",IF(ISNUMBER(SEARCH("G1",Z4103)),"G1",IF(ISNUMBER(SEARCH("G2",Z4103)),"G2",IF(ISNUMBER(SEARCH("G3",Z4103)),"G3",IF(ISNUMBER(SEARCH("古馬条件",Z4103)),"古馬条件戦",IF(ISNUMBER(SEARCH("重賞",Z4103)),"重賞","分類不能")))))))))</f>
        <v/>
      </c>
    </row>
    <row r="4104" customFormat="false" ht="15.75" hidden="false" customHeight="false" outlineLevel="0" collapsed="false">
      <c r="AO4104" s="8" t="str">
        <f aca="false">IF(A4104="","",IF(COUNTIFS(全馬データ!$A$2:$A$50000,A4104,全馬データ!$B$2:$B$50000,B4104,全馬データ!$C$2:$C$50000,C4104,全馬データ!$D$2:$D$50000,E4104,全馬データ!$K$2:$K$50000,"&lt;&gt;")=0,"",SUMIFS(全馬データ!$K$2:$K$50000,全馬データ!$A$2:$A$50000,A4104,全馬データ!$B$2:$B$50000,B4104,全馬データ!$C$2:$C$50000,C4104,全馬データ!$D$2:$D$50000,E4104)))</f>
        <v/>
      </c>
      <c r="AP4104" s="8" t="str">
        <f aca="false">IF(A4104="","",IF(AO4104="","欠損",IF(AO4104&lt;=1.1,"1.0～1.1",IF(AO4104&lt;1.3,"1.2",IF(AO4104&lt;1.5,"1.3～1.4",IF(AO4104&lt;2,"1.5～1.9","2.0以上"))))))</f>
        <v/>
      </c>
      <c r="AQ4104" s="8" t="str">
        <f aca="false">IF(A4104="","",IF(ISNUMBER(SEARCH("2歳",Z4104)),"2歳戦",IF(ISNUMBER(SEARCH("3歳未勝利",Z4104)),"3歳未勝利",IF(ISNUMBER(SEARCH("未勝利",Z4104)),"その他未勝利",IF(ISNUMBER(SEARCH("G1",Z4104)),"G1",IF(ISNUMBER(SEARCH("G2",Z4104)),"G2",IF(ISNUMBER(SEARCH("G3",Z4104)),"G3",IF(ISNUMBER(SEARCH("古馬条件",Z4104)),"古馬条件戦",IF(ISNUMBER(SEARCH("重賞",Z4104)),"重賞","分類不能")))))))))</f>
        <v/>
      </c>
    </row>
    <row r="4105" customFormat="false" ht="15.75" hidden="false" customHeight="false" outlineLevel="0" collapsed="false">
      <c r="AO4105" s="8" t="str">
        <f aca="false">IF(A4105="","",IF(COUNTIFS(全馬データ!$A$2:$A$50000,A4105,全馬データ!$B$2:$B$50000,B4105,全馬データ!$C$2:$C$50000,C4105,全馬データ!$D$2:$D$50000,E4105,全馬データ!$K$2:$K$50000,"&lt;&gt;")=0,"",SUMIFS(全馬データ!$K$2:$K$50000,全馬データ!$A$2:$A$50000,A4105,全馬データ!$B$2:$B$50000,B4105,全馬データ!$C$2:$C$50000,C4105,全馬データ!$D$2:$D$50000,E4105)))</f>
        <v/>
      </c>
      <c r="AP4105" s="8" t="str">
        <f aca="false">IF(A4105="","",IF(AO4105="","欠損",IF(AO4105&lt;=1.1,"1.0～1.1",IF(AO4105&lt;1.3,"1.2",IF(AO4105&lt;1.5,"1.3～1.4",IF(AO4105&lt;2,"1.5～1.9","2.0以上"))))))</f>
        <v/>
      </c>
      <c r="AQ4105" s="8" t="str">
        <f aca="false">IF(A4105="","",IF(ISNUMBER(SEARCH("2歳",Z4105)),"2歳戦",IF(ISNUMBER(SEARCH("3歳未勝利",Z4105)),"3歳未勝利",IF(ISNUMBER(SEARCH("未勝利",Z4105)),"その他未勝利",IF(ISNUMBER(SEARCH("G1",Z4105)),"G1",IF(ISNUMBER(SEARCH("G2",Z4105)),"G2",IF(ISNUMBER(SEARCH("G3",Z4105)),"G3",IF(ISNUMBER(SEARCH("古馬条件",Z4105)),"古馬条件戦",IF(ISNUMBER(SEARCH("重賞",Z4105)),"重賞","分類不能")))))))))</f>
        <v/>
      </c>
    </row>
    <row r="4106" customFormat="false" ht="15.75" hidden="false" customHeight="false" outlineLevel="0" collapsed="false">
      <c r="AO4106" s="8" t="str">
        <f aca="false">IF(A4106="","",IF(COUNTIFS(全馬データ!$A$2:$A$50000,A4106,全馬データ!$B$2:$B$50000,B4106,全馬データ!$C$2:$C$50000,C4106,全馬データ!$D$2:$D$50000,E4106,全馬データ!$K$2:$K$50000,"&lt;&gt;")=0,"",SUMIFS(全馬データ!$K$2:$K$50000,全馬データ!$A$2:$A$50000,A4106,全馬データ!$B$2:$B$50000,B4106,全馬データ!$C$2:$C$50000,C4106,全馬データ!$D$2:$D$50000,E4106)))</f>
        <v/>
      </c>
      <c r="AP4106" s="8" t="str">
        <f aca="false">IF(A4106="","",IF(AO4106="","欠損",IF(AO4106&lt;=1.1,"1.0～1.1",IF(AO4106&lt;1.3,"1.2",IF(AO4106&lt;1.5,"1.3～1.4",IF(AO4106&lt;2,"1.5～1.9","2.0以上"))))))</f>
        <v/>
      </c>
      <c r="AQ4106" s="8" t="str">
        <f aca="false">IF(A4106="","",IF(ISNUMBER(SEARCH("2歳",Z4106)),"2歳戦",IF(ISNUMBER(SEARCH("3歳未勝利",Z4106)),"3歳未勝利",IF(ISNUMBER(SEARCH("未勝利",Z4106)),"その他未勝利",IF(ISNUMBER(SEARCH("G1",Z4106)),"G1",IF(ISNUMBER(SEARCH("G2",Z4106)),"G2",IF(ISNUMBER(SEARCH("G3",Z4106)),"G3",IF(ISNUMBER(SEARCH("古馬条件",Z4106)),"古馬条件戦",IF(ISNUMBER(SEARCH("重賞",Z4106)),"重賞","分類不能")))))))))</f>
        <v/>
      </c>
    </row>
    <row r="4107" customFormat="false" ht="15.75" hidden="false" customHeight="false" outlineLevel="0" collapsed="false">
      <c r="AO4107" s="8" t="str">
        <f aca="false">IF(A4107="","",IF(COUNTIFS(全馬データ!$A$2:$A$50000,A4107,全馬データ!$B$2:$B$50000,B4107,全馬データ!$C$2:$C$50000,C4107,全馬データ!$D$2:$D$50000,E4107,全馬データ!$K$2:$K$50000,"&lt;&gt;")=0,"",SUMIFS(全馬データ!$K$2:$K$50000,全馬データ!$A$2:$A$50000,A4107,全馬データ!$B$2:$B$50000,B4107,全馬データ!$C$2:$C$50000,C4107,全馬データ!$D$2:$D$50000,E4107)))</f>
        <v/>
      </c>
      <c r="AP4107" s="8" t="str">
        <f aca="false">IF(A4107="","",IF(AO4107="","欠損",IF(AO4107&lt;=1.1,"1.0～1.1",IF(AO4107&lt;1.3,"1.2",IF(AO4107&lt;1.5,"1.3～1.4",IF(AO4107&lt;2,"1.5～1.9","2.0以上"))))))</f>
        <v/>
      </c>
      <c r="AQ4107" s="8" t="str">
        <f aca="false">IF(A4107="","",IF(ISNUMBER(SEARCH("2歳",Z4107)),"2歳戦",IF(ISNUMBER(SEARCH("3歳未勝利",Z4107)),"3歳未勝利",IF(ISNUMBER(SEARCH("未勝利",Z4107)),"その他未勝利",IF(ISNUMBER(SEARCH("G1",Z4107)),"G1",IF(ISNUMBER(SEARCH("G2",Z4107)),"G2",IF(ISNUMBER(SEARCH("G3",Z4107)),"G3",IF(ISNUMBER(SEARCH("古馬条件",Z4107)),"古馬条件戦",IF(ISNUMBER(SEARCH("重賞",Z4107)),"重賞","分類不能")))))))))</f>
        <v/>
      </c>
    </row>
    <row r="4108" customFormat="false" ht="15.75" hidden="false" customHeight="false" outlineLevel="0" collapsed="false">
      <c r="AO4108" s="8" t="str">
        <f aca="false">IF(A4108="","",IF(COUNTIFS(全馬データ!$A$2:$A$50000,A4108,全馬データ!$B$2:$B$50000,B4108,全馬データ!$C$2:$C$50000,C4108,全馬データ!$D$2:$D$50000,E4108,全馬データ!$K$2:$K$50000,"&lt;&gt;")=0,"",SUMIFS(全馬データ!$K$2:$K$50000,全馬データ!$A$2:$A$50000,A4108,全馬データ!$B$2:$B$50000,B4108,全馬データ!$C$2:$C$50000,C4108,全馬データ!$D$2:$D$50000,E4108)))</f>
        <v/>
      </c>
      <c r="AP4108" s="8" t="str">
        <f aca="false">IF(A4108="","",IF(AO4108="","欠損",IF(AO4108&lt;=1.1,"1.0～1.1",IF(AO4108&lt;1.3,"1.2",IF(AO4108&lt;1.5,"1.3～1.4",IF(AO4108&lt;2,"1.5～1.9","2.0以上"))))))</f>
        <v/>
      </c>
      <c r="AQ4108" s="8" t="str">
        <f aca="false">IF(A4108="","",IF(ISNUMBER(SEARCH("2歳",Z4108)),"2歳戦",IF(ISNUMBER(SEARCH("3歳未勝利",Z4108)),"3歳未勝利",IF(ISNUMBER(SEARCH("未勝利",Z4108)),"その他未勝利",IF(ISNUMBER(SEARCH("G1",Z4108)),"G1",IF(ISNUMBER(SEARCH("G2",Z4108)),"G2",IF(ISNUMBER(SEARCH("G3",Z4108)),"G3",IF(ISNUMBER(SEARCH("古馬条件",Z4108)),"古馬条件戦",IF(ISNUMBER(SEARCH("重賞",Z4108)),"重賞","分類不能")))))))))</f>
        <v/>
      </c>
    </row>
    <row r="4109" customFormat="false" ht="15.75" hidden="false" customHeight="false" outlineLevel="0" collapsed="false">
      <c r="AO4109" s="8" t="str">
        <f aca="false">IF(A4109="","",IF(COUNTIFS(全馬データ!$A$2:$A$50000,A4109,全馬データ!$B$2:$B$50000,B4109,全馬データ!$C$2:$C$50000,C4109,全馬データ!$D$2:$D$50000,E4109,全馬データ!$K$2:$K$50000,"&lt;&gt;")=0,"",SUMIFS(全馬データ!$K$2:$K$50000,全馬データ!$A$2:$A$50000,A4109,全馬データ!$B$2:$B$50000,B4109,全馬データ!$C$2:$C$50000,C4109,全馬データ!$D$2:$D$50000,E4109)))</f>
        <v/>
      </c>
      <c r="AP4109" s="8" t="str">
        <f aca="false">IF(A4109="","",IF(AO4109="","欠損",IF(AO4109&lt;=1.1,"1.0～1.1",IF(AO4109&lt;1.3,"1.2",IF(AO4109&lt;1.5,"1.3～1.4",IF(AO4109&lt;2,"1.5～1.9","2.0以上"))))))</f>
        <v/>
      </c>
      <c r="AQ4109" s="8" t="str">
        <f aca="false">IF(A4109="","",IF(ISNUMBER(SEARCH("2歳",Z4109)),"2歳戦",IF(ISNUMBER(SEARCH("3歳未勝利",Z4109)),"3歳未勝利",IF(ISNUMBER(SEARCH("未勝利",Z4109)),"その他未勝利",IF(ISNUMBER(SEARCH("G1",Z4109)),"G1",IF(ISNUMBER(SEARCH("G2",Z4109)),"G2",IF(ISNUMBER(SEARCH("G3",Z4109)),"G3",IF(ISNUMBER(SEARCH("古馬条件",Z4109)),"古馬条件戦",IF(ISNUMBER(SEARCH("重賞",Z4109)),"重賞","分類不能")))))))))</f>
        <v/>
      </c>
    </row>
    <row r="4110" customFormat="false" ht="15.75" hidden="false" customHeight="false" outlineLevel="0" collapsed="false">
      <c r="AO4110" s="8" t="str">
        <f aca="false">IF(A4110="","",IF(COUNTIFS(全馬データ!$A$2:$A$50000,A4110,全馬データ!$B$2:$B$50000,B4110,全馬データ!$C$2:$C$50000,C4110,全馬データ!$D$2:$D$50000,E4110,全馬データ!$K$2:$K$50000,"&lt;&gt;")=0,"",SUMIFS(全馬データ!$K$2:$K$50000,全馬データ!$A$2:$A$50000,A4110,全馬データ!$B$2:$B$50000,B4110,全馬データ!$C$2:$C$50000,C4110,全馬データ!$D$2:$D$50000,E4110)))</f>
        <v/>
      </c>
      <c r="AP4110" s="8" t="str">
        <f aca="false">IF(A4110="","",IF(AO4110="","欠損",IF(AO4110&lt;=1.1,"1.0～1.1",IF(AO4110&lt;1.3,"1.2",IF(AO4110&lt;1.5,"1.3～1.4",IF(AO4110&lt;2,"1.5～1.9","2.0以上"))))))</f>
        <v/>
      </c>
      <c r="AQ4110" s="8" t="str">
        <f aca="false">IF(A4110="","",IF(ISNUMBER(SEARCH("2歳",Z4110)),"2歳戦",IF(ISNUMBER(SEARCH("3歳未勝利",Z4110)),"3歳未勝利",IF(ISNUMBER(SEARCH("未勝利",Z4110)),"その他未勝利",IF(ISNUMBER(SEARCH("G1",Z4110)),"G1",IF(ISNUMBER(SEARCH("G2",Z4110)),"G2",IF(ISNUMBER(SEARCH("G3",Z4110)),"G3",IF(ISNUMBER(SEARCH("古馬条件",Z4110)),"古馬条件戦",IF(ISNUMBER(SEARCH("重賞",Z4110)),"重賞","分類不能")))))))))</f>
        <v/>
      </c>
    </row>
    <row r="4111" customFormat="false" ht="15.75" hidden="false" customHeight="false" outlineLevel="0" collapsed="false">
      <c r="AO4111" s="8" t="str">
        <f aca="false">IF(A4111="","",IF(COUNTIFS(全馬データ!$A$2:$A$50000,A4111,全馬データ!$B$2:$B$50000,B4111,全馬データ!$C$2:$C$50000,C4111,全馬データ!$D$2:$D$50000,E4111,全馬データ!$K$2:$K$50000,"&lt;&gt;")=0,"",SUMIFS(全馬データ!$K$2:$K$50000,全馬データ!$A$2:$A$50000,A4111,全馬データ!$B$2:$B$50000,B4111,全馬データ!$C$2:$C$50000,C4111,全馬データ!$D$2:$D$50000,E4111)))</f>
        <v/>
      </c>
      <c r="AP4111" s="8" t="str">
        <f aca="false">IF(A4111="","",IF(AO4111="","欠損",IF(AO4111&lt;=1.1,"1.0～1.1",IF(AO4111&lt;1.3,"1.2",IF(AO4111&lt;1.5,"1.3～1.4",IF(AO4111&lt;2,"1.5～1.9","2.0以上"))))))</f>
        <v/>
      </c>
      <c r="AQ4111" s="8" t="str">
        <f aca="false">IF(A4111="","",IF(ISNUMBER(SEARCH("2歳",Z4111)),"2歳戦",IF(ISNUMBER(SEARCH("3歳未勝利",Z4111)),"3歳未勝利",IF(ISNUMBER(SEARCH("未勝利",Z4111)),"その他未勝利",IF(ISNUMBER(SEARCH("G1",Z4111)),"G1",IF(ISNUMBER(SEARCH("G2",Z4111)),"G2",IF(ISNUMBER(SEARCH("G3",Z4111)),"G3",IF(ISNUMBER(SEARCH("古馬条件",Z4111)),"古馬条件戦",IF(ISNUMBER(SEARCH("重賞",Z4111)),"重賞","分類不能")))))))))</f>
        <v/>
      </c>
    </row>
    <row r="4112" customFormat="false" ht="15.75" hidden="false" customHeight="false" outlineLevel="0" collapsed="false">
      <c r="AO4112" s="8" t="str">
        <f aca="false">IF(A4112="","",IF(COUNTIFS(全馬データ!$A$2:$A$50000,A4112,全馬データ!$B$2:$B$50000,B4112,全馬データ!$C$2:$C$50000,C4112,全馬データ!$D$2:$D$50000,E4112,全馬データ!$K$2:$K$50000,"&lt;&gt;")=0,"",SUMIFS(全馬データ!$K$2:$K$50000,全馬データ!$A$2:$A$50000,A4112,全馬データ!$B$2:$B$50000,B4112,全馬データ!$C$2:$C$50000,C4112,全馬データ!$D$2:$D$50000,E4112)))</f>
        <v/>
      </c>
      <c r="AP4112" s="8" t="str">
        <f aca="false">IF(A4112="","",IF(AO4112="","欠損",IF(AO4112&lt;=1.1,"1.0～1.1",IF(AO4112&lt;1.3,"1.2",IF(AO4112&lt;1.5,"1.3～1.4",IF(AO4112&lt;2,"1.5～1.9","2.0以上"))))))</f>
        <v/>
      </c>
      <c r="AQ4112" s="8" t="str">
        <f aca="false">IF(A4112="","",IF(ISNUMBER(SEARCH("2歳",Z4112)),"2歳戦",IF(ISNUMBER(SEARCH("3歳未勝利",Z4112)),"3歳未勝利",IF(ISNUMBER(SEARCH("未勝利",Z4112)),"その他未勝利",IF(ISNUMBER(SEARCH("G1",Z4112)),"G1",IF(ISNUMBER(SEARCH("G2",Z4112)),"G2",IF(ISNUMBER(SEARCH("G3",Z4112)),"G3",IF(ISNUMBER(SEARCH("古馬条件",Z4112)),"古馬条件戦",IF(ISNUMBER(SEARCH("重賞",Z4112)),"重賞","分類不能")))))))))</f>
        <v/>
      </c>
    </row>
    <row r="4113" customFormat="false" ht="15.75" hidden="false" customHeight="false" outlineLevel="0" collapsed="false">
      <c r="AO4113" s="8" t="str">
        <f aca="false">IF(A4113="","",IF(COUNTIFS(全馬データ!$A$2:$A$50000,A4113,全馬データ!$B$2:$B$50000,B4113,全馬データ!$C$2:$C$50000,C4113,全馬データ!$D$2:$D$50000,E4113,全馬データ!$K$2:$K$50000,"&lt;&gt;")=0,"",SUMIFS(全馬データ!$K$2:$K$50000,全馬データ!$A$2:$A$50000,A4113,全馬データ!$B$2:$B$50000,B4113,全馬データ!$C$2:$C$50000,C4113,全馬データ!$D$2:$D$50000,E4113)))</f>
        <v/>
      </c>
      <c r="AP4113" s="8" t="str">
        <f aca="false">IF(A4113="","",IF(AO4113="","欠損",IF(AO4113&lt;=1.1,"1.0～1.1",IF(AO4113&lt;1.3,"1.2",IF(AO4113&lt;1.5,"1.3～1.4",IF(AO4113&lt;2,"1.5～1.9","2.0以上"))))))</f>
        <v/>
      </c>
      <c r="AQ4113" s="8" t="str">
        <f aca="false">IF(A4113="","",IF(ISNUMBER(SEARCH("2歳",Z4113)),"2歳戦",IF(ISNUMBER(SEARCH("3歳未勝利",Z4113)),"3歳未勝利",IF(ISNUMBER(SEARCH("未勝利",Z4113)),"その他未勝利",IF(ISNUMBER(SEARCH("G1",Z4113)),"G1",IF(ISNUMBER(SEARCH("G2",Z4113)),"G2",IF(ISNUMBER(SEARCH("G3",Z4113)),"G3",IF(ISNUMBER(SEARCH("古馬条件",Z4113)),"古馬条件戦",IF(ISNUMBER(SEARCH("重賞",Z4113)),"重賞","分類不能")))))))))</f>
        <v/>
      </c>
    </row>
    <row r="4114" customFormat="false" ht="15.75" hidden="false" customHeight="false" outlineLevel="0" collapsed="false">
      <c r="AO4114" s="8" t="str">
        <f aca="false">IF(A4114="","",IF(COUNTIFS(全馬データ!$A$2:$A$50000,A4114,全馬データ!$B$2:$B$50000,B4114,全馬データ!$C$2:$C$50000,C4114,全馬データ!$D$2:$D$50000,E4114,全馬データ!$K$2:$K$50000,"&lt;&gt;")=0,"",SUMIFS(全馬データ!$K$2:$K$50000,全馬データ!$A$2:$A$50000,A4114,全馬データ!$B$2:$B$50000,B4114,全馬データ!$C$2:$C$50000,C4114,全馬データ!$D$2:$D$50000,E4114)))</f>
        <v/>
      </c>
      <c r="AP4114" s="8" t="str">
        <f aca="false">IF(A4114="","",IF(AO4114="","欠損",IF(AO4114&lt;=1.1,"1.0～1.1",IF(AO4114&lt;1.3,"1.2",IF(AO4114&lt;1.5,"1.3～1.4",IF(AO4114&lt;2,"1.5～1.9","2.0以上"))))))</f>
        <v/>
      </c>
      <c r="AQ4114" s="8" t="str">
        <f aca="false">IF(A4114="","",IF(ISNUMBER(SEARCH("2歳",Z4114)),"2歳戦",IF(ISNUMBER(SEARCH("3歳未勝利",Z4114)),"3歳未勝利",IF(ISNUMBER(SEARCH("未勝利",Z4114)),"その他未勝利",IF(ISNUMBER(SEARCH("G1",Z4114)),"G1",IF(ISNUMBER(SEARCH("G2",Z4114)),"G2",IF(ISNUMBER(SEARCH("G3",Z4114)),"G3",IF(ISNUMBER(SEARCH("古馬条件",Z4114)),"古馬条件戦",IF(ISNUMBER(SEARCH("重賞",Z4114)),"重賞","分類不能")))))))))</f>
        <v/>
      </c>
    </row>
    <row r="4115" customFormat="false" ht="15.75" hidden="false" customHeight="false" outlineLevel="0" collapsed="false">
      <c r="AO4115" s="8" t="str">
        <f aca="false">IF(A4115="","",IF(COUNTIFS(全馬データ!$A$2:$A$50000,A4115,全馬データ!$B$2:$B$50000,B4115,全馬データ!$C$2:$C$50000,C4115,全馬データ!$D$2:$D$50000,E4115,全馬データ!$K$2:$K$50000,"&lt;&gt;")=0,"",SUMIFS(全馬データ!$K$2:$K$50000,全馬データ!$A$2:$A$50000,A4115,全馬データ!$B$2:$B$50000,B4115,全馬データ!$C$2:$C$50000,C4115,全馬データ!$D$2:$D$50000,E4115)))</f>
        <v/>
      </c>
      <c r="AP4115" s="8" t="str">
        <f aca="false">IF(A4115="","",IF(AO4115="","欠損",IF(AO4115&lt;=1.1,"1.0～1.1",IF(AO4115&lt;1.3,"1.2",IF(AO4115&lt;1.5,"1.3～1.4",IF(AO4115&lt;2,"1.5～1.9","2.0以上"))))))</f>
        <v/>
      </c>
      <c r="AQ4115" s="8" t="str">
        <f aca="false">IF(A4115="","",IF(ISNUMBER(SEARCH("2歳",Z4115)),"2歳戦",IF(ISNUMBER(SEARCH("3歳未勝利",Z4115)),"3歳未勝利",IF(ISNUMBER(SEARCH("未勝利",Z4115)),"その他未勝利",IF(ISNUMBER(SEARCH("G1",Z4115)),"G1",IF(ISNUMBER(SEARCH("G2",Z4115)),"G2",IF(ISNUMBER(SEARCH("G3",Z4115)),"G3",IF(ISNUMBER(SEARCH("古馬条件",Z4115)),"古馬条件戦",IF(ISNUMBER(SEARCH("重賞",Z4115)),"重賞","分類不能")))))))))</f>
        <v/>
      </c>
    </row>
    <row r="4116" customFormat="false" ht="15.75" hidden="false" customHeight="false" outlineLevel="0" collapsed="false">
      <c r="AO4116" s="8" t="str">
        <f aca="false">IF(A4116="","",IF(COUNTIFS(全馬データ!$A$2:$A$50000,A4116,全馬データ!$B$2:$B$50000,B4116,全馬データ!$C$2:$C$50000,C4116,全馬データ!$D$2:$D$50000,E4116,全馬データ!$K$2:$K$50000,"&lt;&gt;")=0,"",SUMIFS(全馬データ!$K$2:$K$50000,全馬データ!$A$2:$A$50000,A4116,全馬データ!$B$2:$B$50000,B4116,全馬データ!$C$2:$C$50000,C4116,全馬データ!$D$2:$D$50000,E4116)))</f>
        <v/>
      </c>
      <c r="AP4116" s="8" t="str">
        <f aca="false">IF(A4116="","",IF(AO4116="","欠損",IF(AO4116&lt;=1.1,"1.0～1.1",IF(AO4116&lt;1.3,"1.2",IF(AO4116&lt;1.5,"1.3～1.4",IF(AO4116&lt;2,"1.5～1.9","2.0以上"))))))</f>
        <v/>
      </c>
      <c r="AQ4116" s="8" t="str">
        <f aca="false">IF(A4116="","",IF(ISNUMBER(SEARCH("2歳",Z4116)),"2歳戦",IF(ISNUMBER(SEARCH("3歳未勝利",Z4116)),"3歳未勝利",IF(ISNUMBER(SEARCH("未勝利",Z4116)),"その他未勝利",IF(ISNUMBER(SEARCH("G1",Z4116)),"G1",IF(ISNUMBER(SEARCH("G2",Z4116)),"G2",IF(ISNUMBER(SEARCH("G3",Z4116)),"G3",IF(ISNUMBER(SEARCH("古馬条件",Z4116)),"古馬条件戦",IF(ISNUMBER(SEARCH("重賞",Z4116)),"重賞","分類不能")))))))))</f>
        <v/>
      </c>
    </row>
    <row r="4117" customFormat="false" ht="15.75" hidden="false" customHeight="false" outlineLevel="0" collapsed="false">
      <c r="AO4117" s="8" t="str">
        <f aca="false">IF(A4117="","",IF(COUNTIFS(全馬データ!$A$2:$A$50000,A4117,全馬データ!$B$2:$B$50000,B4117,全馬データ!$C$2:$C$50000,C4117,全馬データ!$D$2:$D$50000,E4117,全馬データ!$K$2:$K$50000,"&lt;&gt;")=0,"",SUMIFS(全馬データ!$K$2:$K$50000,全馬データ!$A$2:$A$50000,A4117,全馬データ!$B$2:$B$50000,B4117,全馬データ!$C$2:$C$50000,C4117,全馬データ!$D$2:$D$50000,E4117)))</f>
        <v/>
      </c>
      <c r="AP4117" s="8" t="str">
        <f aca="false">IF(A4117="","",IF(AO4117="","欠損",IF(AO4117&lt;=1.1,"1.0～1.1",IF(AO4117&lt;1.3,"1.2",IF(AO4117&lt;1.5,"1.3～1.4",IF(AO4117&lt;2,"1.5～1.9","2.0以上"))))))</f>
        <v/>
      </c>
      <c r="AQ4117" s="8" t="str">
        <f aca="false">IF(A4117="","",IF(ISNUMBER(SEARCH("2歳",Z4117)),"2歳戦",IF(ISNUMBER(SEARCH("3歳未勝利",Z4117)),"3歳未勝利",IF(ISNUMBER(SEARCH("未勝利",Z4117)),"その他未勝利",IF(ISNUMBER(SEARCH("G1",Z4117)),"G1",IF(ISNUMBER(SEARCH("G2",Z4117)),"G2",IF(ISNUMBER(SEARCH("G3",Z4117)),"G3",IF(ISNUMBER(SEARCH("古馬条件",Z4117)),"古馬条件戦",IF(ISNUMBER(SEARCH("重賞",Z4117)),"重賞","分類不能")))))))))</f>
        <v/>
      </c>
    </row>
    <row r="4118" customFormat="false" ht="15.75" hidden="false" customHeight="false" outlineLevel="0" collapsed="false">
      <c r="AO4118" s="8" t="str">
        <f aca="false">IF(A4118="","",IF(COUNTIFS(全馬データ!$A$2:$A$50000,A4118,全馬データ!$B$2:$B$50000,B4118,全馬データ!$C$2:$C$50000,C4118,全馬データ!$D$2:$D$50000,E4118,全馬データ!$K$2:$K$50000,"&lt;&gt;")=0,"",SUMIFS(全馬データ!$K$2:$K$50000,全馬データ!$A$2:$A$50000,A4118,全馬データ!$B$2:$B$50000,B4118,全馬データ!$C$2:$C$50000,C4118,全馬データ!$D$2:$D$50000,E4118)))</f>
        <v/>
      </c>
      <c r="AP4118" s="8" t="str">
        <f aca="false">IF(A4118="","",IF(AO4118="","欠損",IF(AO4118&lt;=1.1,"1.0～1.1",IF(AO4118&lt;1.3,"1.2",IF(AO4118&lt;1.5,"1.3～1.4",IF(AO4118&lt;2,"1.5～1.9","2.0以上"))))))</f>
        <v/>
      </c>
      <c r="AQ4118" s="8" t="str">
        <f aca="false">IF(A4118="","",IF(ISNUMBER(SEARCH("2歳",Z4118)),"2歳戦",IF(ISNUMBER(SEARCH("3歳未勝利",Z4118)),"3歳未勝利",IF(ISNUMBER(SEARCH("未勝利",Z4118)),"その他未勝利",IF(ISNUMBER(SEARCH("G1",Z4118)),"G1",IF(ISNUMBER(SEARCH("G2",Z4118)),"G2",IF(ISNUMBER(SEARCH("G3",Z4118)),"G3",IF(ISNUMBER(SEARCH("古馬条件",Z4118)),"古馬条件戦",IF(ISNUMBER(SEARCH("重賞",Z4118)),"重賞","分類不能")))))))))</f>
        <v/>
      </c>
    </row>
    <row r="4119" customFormat="false" ht="15.75" hidden="false" customHeight="false" outlineLevel="0" collapsed="false">
      <c r="AO4119" s="8" t="str">
        <f aca="false">IF(A4119="","",IF(COUNTIFS(全馬データ!$A$2:$A$50000,A4119,全馬データ!$B$2:$B$50000,B4119,全馬データ!$C$2:$C$50000,C4119,全馬データ!$D$2:$D$50000,E4119,全馬データ!$K$2:$K$50000,"&lt;&gt;")=0,"",SUMIFS(全馬データ!$K$2:$K$50000,全馬データ!$A$2:$A$50000,A4119,全馬データ!$B$2:$B$50000,B4119,全馬データ!$C$2:$C$50000,C4119,全馬データ!$D$2:$D$50000,E4119)))</f>
        <v/>
      </c>
      <c r="AP4119" s="8" t="str">
        <f aca="false">IF(A4119="","",IF(AO4119="","欠損",IF(AO4119&lt;=1.1,"1.0～1.1",IF(AO4119&lt;1.3,"1.2",IF(AO4119&lt;1.5,"1.3～1.4",IF(AO4119&lt;2,"1.5～1.9","2.0以上"))))))</f>
        <v/>
      </c>
      <c r="AQ4119" s="8" t="str">
        <f aca="false">IF(A4119="","",IF(ISNUMBER(SEARCH("2歳",Z4119)),"2歳戦",IF(ISNUMBER(SEARCH("3歳未勝利",Z4119)),"3歳未勝利",IF(ISNUMBER(SEARCH("未勝利",Z4119)),"その他未勝利",IF(ISNUMBER(SEARCH("G1",Z4119)),"G1",IF(ISNUMBER(SEARCH("G2",Z4119)),"G2",IF(ISNUMBER(SEARCH("G3",Z4119)),"G3",IF(ISNUMBER(SEARCH("古馬条件",Z4119)),"古馬条件戦",IF(ISNUMBER(SEARCH("重賞",Z4119)),"重賞","分類不能")))))))))</f>
        <v/>
      </c>
    </row>
    <row r="4120" customFormat="false" ht="15.75" hidden="false" customHeight="false" outlineLevel="0" collapsed="false">
      <c r="AO4120" s="8" t="str">
        <f aca="false">IF(A4120="","",IF(COUNTIFS(全馬データ!$A$2:$A$50000,A4120,全馬データ!$B$2:$B$50000,B4120,全馬データ!$C$2:$C$50000,C4120,全馬データ!$D$2:$D$50000,E4120,全馬データ!$K$2:$K$50000,"&lt;&gt;")=0,"",SUMIFS(全馬データ!$K$2:$K$50000,全馬データ!$A$2:$A$50000,A4120,全馬データ!$B$2:$B$50000,B4120,全馬データ!$C$2:$C$50000,C4120,全馬データ!$D$2:$D$50000,E4120)))</f>
        <v/>
      </c>
      <c r="AP4120" s="8" t="str">
        <f aca="false">IF(A4120="","",IF(AO4120="","欠損",IF(AO4120&lt;=1.1,"1.0～1.1",IF(AO4120&lt;1.3,"1.2",IF(AO4120&lt;1.5,"1.3～1.4",IF(AO4120&lt;2,"1.5～1.9","2.0以上"))))))</f>
        <v/>
      </c>
      <c r="AQ4120" s="8" t="str">
        <f aca="false">IF(A4120="","",IF(ISNUMBER(SEARCH("2歳",Z4120)),"2歳戦",IF(ISNUMBER(SEARCH("3歳未勝利",Z4120)),"3歳未勝利",IF(ISNUMBER(SEARCH("未勝利",Z4120)),"その他未勝利",IF(ISNUMBER(SEARCH("G1",Z4120)),"G1",IF(ISNUMBER(SEARCH("G2",Z4120)),"G2",IF(ISNUMBER(SEARCH("G3",Z4120)),"G3",IF(ISNUMBER(SEARCH("古馬条件",Z4120)),"古馬条件戦",IF(ISNUMBER(SEARCH("重賞",Z4120)),"重賞","分類不能")))))))))</f>
        <v/>
      </c>
    </row>
    <row r="4121" customFormat="false" ht="15.75" hidden="false" customHeight="false" outlineLevel="0" collapsed="false">
      <c r="AO4121" s="8" t="str">
        <f aca="false">IF(A4121="","",IF(COUNTIFS(全馬データ!$A$2:$A$50000,A4121,全馬データ!$B$2:$B$50000,B4121,全馬データ!$C$2:$C$50000,C4121,全馬データ!$D$2:$D$50000,E4121,全馬データ!$K$2:$K$50000,"&lt;&gt;")=0,"",SUMIFS(全馬データ!$K$2:$K$50000,全馬データ!$A$2:$A$50000,A4121,全馬データ!$B$2:$B$50000,B4121,全馬データ!$C$2:$C$50000,C4121,全馬データ!$D$2:$D$50000,E4121)))</f>
        <v/>
      </c>
      <c r="AP4121" s="8" t="str">
        <f aca="false">IF(A4121="","",IF(AO4121="","欠損",IF(AO4121&lt;=1.1,"1.0～1.1",IF(AO4121&lt;1.3,"1.2",IF(AO4121&lt;1.5,"1.3～1.4",IF(AO4121&lt;2,"1.5～1.9","2.0以上"))))))</f>
        <v/>
      </c>
      <c r="AQ4121" s="8" t="str">
        <f aca="false">IF(A4121="","",IF(ISNUMBER(SEARCH("2歳",Z4121)),"2歳戦",IF(ISNUMBER(SEARCH("3歳未勝利",Z4121)),"3歳未勝利",IF(ISNUMBER(SEARCH("未勝利",Z4121)),"その他未勝利",IF(ISNUMBER(SEARCH("G1",Z4121)),"G1",IF(ISNUMBER(SEARCH("G2",Z4121)),"G2",IF(ISNUMBER(SEARCH("G3",Z4121)),"G3",IF(ISNUMBER(SEARCH("古馬条件",Z4121)),"古馬条件戦",IF(ISNUMBER(SEARCH("重賞",Z4121)),"重賞","分類不能")))))))))</f>
        <v/>
      </c>
    </row>
    <row r="4122" customFormat="false" ht="15.75" hidden="false" customHeight="false" outlineLevel="0" collapsed="false">
      <c r="AO4122" s="8" t="str">
        <f aca="false">IF(A4122="","",IF(COUNTIFS(全馬データ!$A$2:$A$50000,A4122,全馬データ!$B$2:$B$50000,B4122,全馬データ!$C$2:$C$50000,C4122,全馬データ!$D$2:$D$50000,E4122,全馬データ!$K$2:$K$50000,"&lt;&gt;")=0,"",SUMIFS(全馬データ!$K$2:$K$50000,全馬データ!$A$2:$A$50000,A4122,全馬データ!$B$2:$B$50000,B4122,全馬データ!$C$2:$C$50000,C4122,全馬データ!$D$2:$D$50000,E4122)))</f>
        <v/>
      </c>
      <c r="AP4122" s="8" t="str">
        <f aca="false">IF(A4122="","",IF(AO4122="","欠損",IF(AO4122&lt;=1.1,"1.0～1.1",IF(AO4122&lt;1.3,"1.2",IF(AO4122&lt;1.5,"1.3～1.4",IF(AO4122&lt;2,"1.5～1.9","2.0以上"))))))</f>
        <v/>
      </c>
      <c r="AQ4122" s="8" t="str">
        <f aca="false">IF(A4122="","",IF(ISNUMBER(SEARCH("2歳",Z4122)),"2歳戦",IF(ISNUMBER(SEARCH("3歳未勝利",Z4122)),"3歳未勝利",IF(ISNUMBER(SEARCH("未勝利",Z4122)),"その他未勝利",IF(ISNUMBER(SEARCH("G1",Z4122)),"G1",IF(ISNUMBER(SEARCH("G2",Z4122)),"G2",IF(ISNUMBER(SEARCH("G3",Z4122)),"G3",IF(ISNUMBER(SEARCH("古馬条件",Z4122)),"古馬条件戦",IF(ISNUMBER(SEARCH("重賞",Z4122)),"重賞","分類不能")))))))))</f>
        <v/>
      </c>
    </row>
    <row r="4123" customFormat="false" ht="15.75" hidden="false" customHeight="false" outlineLevel="0" collapsed="false">
      <c r="AO4123" s="8" t="str">
        <f aca="false">IF(A4123="","",IF(COUNTIFS(全馬データ!$A$2:$A$50000,A4123,全馬データ!$B$2:$B$50000,B4123,全馬データ!$C$2:$C$50000,C4123,全馬データ!$D$2:$D$50000,E4123,全馬データ!$K$2:$K$50000,"&lt;&gt;")=0,"",SUMIFS(全馬データ!$K$2:$K$50000,全馬データ!$A$2:$A$50000,A4123,全馬データ!$B$2:$B$50000,B4123,全馬データ!$C$2:$C$50000,C4123,全馬データ!$D$2:$D$50000,E4123)))</f>
        <v/>
      </c>
      <c r="AP4123" s="8" t="str">
        <f aca="false">IF(A4123="","",IF(AO4123="","欠損",IF(AO4123&lt;=1.1,"1.0～1.1",IF(AO4123&lt;1.3,"1.2",IF(AO4123&lt;1.5,"1.3～1.4",IF(AO4123&lt;2,"1.5～1.9","2.0以上"))))))</f>
        <v/>
      </c>
      <c r="AQ4123" s="8" t="str">
        <f aca="false">IF(A4123="","",IF(ISNUMBER(SEARCH("2歳",Z4123)),"2歳戦",IF(ISNUMBER(SEARCH("3歳未勝利",Z4123)),"3歳未勝利",IF(ISNUMBER(SEARCH("未勝利",Z4123)),"その他未勝利",IF(ISNUMBER(SEARCH("G1",Z4123)),"G1",IF(ISNUMBER(SEARCH("G2",Z4123)),"G2",IF(ISNUMBER(SEARCH("G3",Z4123)),"G3",IF(ISNUMBER(SEARCH("古馬条件",Z4123)),"古馬条件戦",IF(ISNUMBER(SEARCH("重賞",Z4123)),"重賞","分類不能")))))))))</f>
        <v/>
      </c>
    </row>
    <row r="4124" customFormat="false" ht="15.75" hidden="false" customHeight="false" outlineLevel="0" collapsed="false">
      <c r="AO4124" s="8" t="str">
        <f aca="false">IF(A4124="","",IF(COUNTIFS(全馬データ!$A$2:$A$50000,A4124,全馬データ!$B$2:$B$50000,B4124,全馬データ!$C$2:$C$50000,C4124,全馬データ!$D$2:$D$50000,E4124,全馬データ!$K$2:$K$50000,"&lt;&gt;")=0,"",SUMIFS(全馬データ!$K$2:$K$50000,全馬データ!$A$2:$A$50000,A4124,全馬データ!$B$2:$B$50000,B4124,全馬データ!$C$2:$C$50000,C4124,全馬データ!$D$2:$D$50000,E4124)))</f>
        <v/>
      </c>
      <c r="AP4124" s="8" t="str">
        <f aca="false">IF(A4124="","",IF(AO4124="","欠損",IF(AO4124&lt;=1.1,"1.0～1.1",IF(AO4124&lt;1.3,"1.2",IF(AO4124&lt;1.5,"1.3～1.4",IF(AO4124&lt;2,"1.5～1.9","2.0以上"))))))</f>
        <v/>
      </c>
      <c r="AQ4124" s="8" t="str">
        <f aca="false">IF(A4124="","",IF(ISNUMBER(SEARCH("2歳",Z4124)),"2歳戦",IF(ISNUMBER(SEARCH("3歳未勝利",Z4124)),"3歳未勝利",IF(ISNUMBER(SEARCH("未勝利",Z4124)),"その他未勝利",IF(ISNUMBER(SEARCH("G1",Z4124)),"G1",IF(ISNUMBER(SEARCH("G2",Z4124)),"G2",IF(ISNUMBER(SEARCH("G3",Z4124)),"G3",IF(ISNUMBER(SEARCH("古馬条件",Z4124)),"古馬条件戦",IF(ISNUMBER(SEARCH("重賞",Z4124)),"重賞","分類不能")))))))))</f>
        <v/>
      </c>
    </row>
    <row r="4125" customFormat="false" ht="15.75" hidden="false" customHeight="false" outlineLevel="0" collapsed="false">
      <c r="AO4125" s="8" t="str">
        <f aca="false">IF(A4125="","",IF(COUNTIFS(全馬データ!$A$2:$A$50000,A4125,全馬データ!$B$2:$B$50000,B4125,全馬データ!$C$2:$C$50000,C4125,全馬データ!$D$2:$D$50000,E4125,全馬データ!$K$2:$K$50000,"&lt;&gt;")=0,"",SUMIFS(全馬データ!$K$2:$K$50000,全馬データ!$A$2:$A$50000,A4125,全馬データ!$B$2:$B$50000,B4125,全馬データ!$C$2:$C$50000,C4125,全馬データ!$D$2:$D$50000,E4125)))</f>
        <v/>
      </c>
      <c r="AP4125" s="8" t="str">
        <f aca="false">IF(A4125="","",IF(AO4125="","欠損",IF(AO4125&lt;=1.1,"1.0～1.1",IF(AO4125&lt;1.3,"1.2",IF(AO4125&lt;1.5,"1.3～1.4",IF(AO4125&lt;2,"1.5～1.9","2.0以上"))))))</f>
        <v/>
      </c>
      <c r="AQ4125" s="8" t="str">
        <f aca="false">IF(A4125="","",IF(ISNUMBER(SEARCH("2歳",Z4125)),"2歳戦",IF(ISNUMBER(SEARCH("3歳未勝利",Z4125)),"3歳未勝利",IF(ISNUMBER(SEARCH("未勝利",Z4125)),"その他未勝利",IF(ISNUMBER(SEARCH("G1",Z4125)),"G1",IF(ISNUMBER(SEARCH("G2",Z4125)),"G2",IF(ISNUMBER(SEARCH("G3",Z4125)),"G3",IF(ISNUMBER(SEARCH("古馬条件",Z4125)),"古馬条件戦",IF(ISNUMBER(SEARCH("重賞",Z4125)),"重賞","分類不能")))))))))</f>
        <v/>
      </c>
    </row>
    <row r="4126" customFormat="false" ht="15.75" hidden="false" customHeight="false" outlineLevel="0" collapsed="false">
      <c r="AO4126" s="8" t="str">
        <f aca="false">IF(A4126="","",IF(COUNTIFS(全馬データ!$A$2:$A$50000,A4126,全馬データ!$B$2:$B$50000,B4126,全馬データ!$C$2:$C$50000,C4126,全馬データ!$D$2:$D$50000,E4126,全馬データ!$K$2:$K$50000,"&lt;&gt;")=0,"",SUMIFS(全馬データ!$K$2:$K$50000,全馬データ!$A$2:$A$50000,A4126,全馬データ!$B$2:$B$50000,B4126,全馬データ!$C$2:$C$50000,C4126,全馬データ!$D$2:$D$50000,E4126)))</f>
        <v/>
      </c>
      <c r="AP4126" s="8" t="str">
        <f aca="false">IF(A4126="","",IF(AO4126="","欠損",IF(AO4126&lt;=1.1,"1.0～1.1",IF(AO4126&lt;1.3,"1.2",IF(AO4126&lt;1.5,"1.3～1.4",IF(AO4126&lt;2,"1.5～1.9","2.0以上"))))))</f>
        <v/>
      </c>
      <c r="AQ4126" s="8" t="str">
        <f aca="false">IF(A4126="","",IF(ISNUMBER(SEARCH("2歳",Z4126)),"2歳戦",IF(ISNUMBER(SEARCH("3歳未勝利",Z4126)),"3歳未勝利",IF(ISNUMBER(SEARCH("未勝利",Z4126)),"その他未勝利",IF(ISNUMBER(SEARCH("G1",Z4126)),"G1",IF(ISNUMBER(SEARCH("G2",Z4126)),"G2",IF(ISNUMBER(SEARCH("G3",Z4126)),"G3",IF(ISNUMBER(SEARCH("古馬条件",Z4126)),"古馬条件戦",IF(ISNUMBER(SEARCH("重賞",Z4126)),"重賞","分類不能")))))))))</f>
        <v/>
      </c>
    </row>
    <row r="4127" customFormat="false" ht="15.75" hidden="false" customHeight="false" outlineLevel="0" collapsed="false">
      <c r="AO4127" s="8" t="str">
        <f aca="false">IF(A4127="","",IF(COUNTIFS(全馬データ!$A$2:$A$50000,A4127,全馬データ!$B$2:$B$50000,B4127,全馬データ!$C$2:$C$50000,C4127,全馬データ!$D$2:$D$50000,E4127,全馬データ!$K$2:$K$50000,"&lt;&gt;")=0,"",SUMIFS(全馬データ!$K$2:$K$50000,全馬データ!$A$2:$A$50000,A4127,全馬データ!$B$2:$B$50000,B4127,全馬データ!$C$2:$C$50000,C4127,全馬データ!$D$2:$D$50000,E4127)))</f>
        <v/>
      </c>
      <c r="AP4127" s="8" t="str">
        <f aca="false">IF(A4127="","",IF(AO4127="","欠損",IF(AO4127&lt;=1.1,"1.0～1.1",IF(AO4127&lt;1.3,"1.2",IF(AO4127&lt;1.5,"1.3～1.4",IF(AO4127&lt;2,"1.5～1.9","2.0以上"))))))</f>
        <v/>
      </c>
      <c r="AQ4127" s="8" t="str">
        <f aca="false">IF(A4127="","",IF(ISNUMBER(SEARCH("2歳",Z4127)),"2歳戦",IF(ISNUMBER(SEARCH("3歳未勝利",Z4127)),"3歳未勝利",IF(ISNUMBER(SEARCH("未勝利",Z4127)),"その他未勝利",IF(ISNUMBER(SEARCH("G1",Z4127)),"G1",IF(ISNUMBER(SEARCH("G2",Z4127)),"G2",IF(ISNUMBER(SEARCH("G3",Z4127)),"G3",IF(ISNUMBER(SEARCH("古馬条件",Z4127)),"古馬条件戦",IF(ISNUMBER(SEARCH("重賞",Z4127)),"重賞","分類不能")))))))))</f>
        <v/>
      </c>
    </row>
    <row r="4128" customFormat="false" ht="15.75" hidden="false" customHeight="false" outlineLevel="0" collapsed="false">
      <c r="AO4128" s="8" t="str">
        <f aca="false">IF(A4128="","",IF(COUNTIFS(全馬データ!$A$2:$A$50000,A4128,全馬データ!$B$2:$B$50000,B4128,全馬データ!$C$2:$C$50000,C4128,全馬データ!$D$2:$D$50000,E4128,全馬データ!$K$2:$K$50000,"&lt;&gt;")=0,"",SUMIFS(全馬データ!$K$2:$K$50000,全馬データ!$A$2:$A$50000,A4128,全馬データ!$B$2:$B$50000,B4128,全馬データ!$C$2:$C$50000,C4128,全馬データ!$D$2:$D$50000,E4128)))</f>
        <v/>
      </c>
      <c r="AP4128" s="8" t="str">
        <f aca="false">IF(A4128="","",IF(AO4128="","欠損",IF(AO4128&lt;=1.1,"1.0～1.1",IF(AO4128&lt;1.3,"1.2",IF(AO4128&lt;1.5,"1.3～1.4",IF(AO4128&lt;2,"1.5～1.9","2.0以上"))))))</f>
        <v/>
      </c>
      <c r="AQ4128" s="8" t="str">
        <f aca="false">IF(A4128="","",IF(ISNUMBER(SEARCH("2歳",Z4128)),"2歳戦",IF(ISNUMBER(SEARCH("3歳未勝利",Z4128)),"3歳未勝利",IF(ISNUMBER(SEARCH("未勝利",Z4128)),"その他未勝利",IF(ISNUMBER(SEARCH("G1",Z4128)),"G1",IF(ISNUMBER(SEARCH("G2",Z4128)),"G2",IF(ISNUMBER(SEARCH("G3",Z4128)),"G3",IF(ISNUMBER(SEARCH("古馬条件",Z4128)),"古馬条件戦",IF(ISNUMBER(SEARCH("重賞",Z4128)),"重賞","分類不能")))))))))</f>
        <v/>
      </c>
    </row>
    <row r="4129" customFormat="false" ht="15.75" hidden="false" customHeight="false" outlineLevel="0" collapsed="false">
      <c r="AO4129" s="8" t="str">
        <f aca="false">IF(A4129="","",IF(COUNTIFS(全馬データ!$A$2:$A$50000,A4129,全馬データ!$B$2:$B$50000,B4129,全馬データ!$C$2:$C$50000,C4129,全馬データ!$D$2:$D$50000,E4129,全馬データ!$K$2:$K$50000,"&lt;&gt;")=0,"",SUMIFS(全馬データ!$K$2:$K$50000,全馬データ!$A$2:$A$50000,A4129,全馬データ!$B$2:$B$50000,B4129,全馬データ!$C$2:$C$50000,C4129,全馬データ!$D$2:$D$50000,E4129)))</f>
        <v/>
      </c>
      <c r="AP4129" s="8" t="str">
        <f aca="false">IF(A4129="","",IF(AO4129="","欠損",IF(AO4129&lt;=1.1,"1.0～1.1",IF(AO4129&lt;1.3,"1.2",IF(AO4129&lt;1.5,"1.3～1.4",IF(AO4129&lt;2,"1.5～1.9","2.0以上"))))))</f>
        <v/>
      </c>
      <c r="AQ4129" s="8" t="str">
        <f aca="false">IF(A4129="","",IF(ISNUMBER(SEARCH("2歳",Z4129)),"2歳戦",IF(ISNUMBER(SEARCH("3歳未勝利",Z4129)),"3歳未勝利",IF(ISNUMBER(SEARCH("未勝利",Z4129)),"その他未勝利",IF(ISNUMBER(SEARCH("G1",Z4129)),"G1",IF(ISNUMBER(SEARCH("G2",Z4129)),"G2",IF(ISNUMBER(SEARCH("G3",Z4129)),"G3",IF(ISNUMBER(SEARCH("古馬条件",Z4129)),"古馬条件戦",IF(ISNUMBER(SEARCH("重賞",Z4129)),"重賞","分類不能")))))))))</f>
        <v/>
      </c>
    </row>
    <row r="4130" customFormat="false" ht="15.75" hidden="false" customHeight="false" outlineLevel="0" collapsed="false">
      <c r="AO4130" s="8" t="str">
        <f aca="false">IF(A4130="","",IF(COUNTIFS(全馬データ!$A$2:$A$50000,A4130,全馬データ!$B$2:$B$50000,B4130,全馬データ!$C$2:$C$50000,C4130,全馬データ!$D$2:$D$50000,E4130,全馬データ!$K$2:$K$50000,"&lt;&gt;")=0,"",SUMIFS(全馬データ!$K$2:$K$50000,全馬データ!$A$2:$A$50000,A4130,全馬データ!$B$2:$B$50000,B4130,全馬データ!$C$2:$C$50000,C4130,全馬データ!$D$2:$D$50000,E4130)))</f>
        <v/>
      </c>
      <c r="AP4130" s="8" t="str">
        <f aca="false">IF(A4130="","",IF(AO4130="","欠損",IF(AO4130&lt;=1.1,"1.0～1.1",IF(AO4130&lt;1.3,"1.2",IF(AO4130&lt;1.5,"1.3～1.4",IF(AO4130&lt;2,"1.5～1.9","2.0以上"))))))</f>
        <v/>
      </c>
      <c r="AQ4130" s="8" t="str">
        <f aca="false">IF(A4130="","",IF(ISNUMBER(SEARCH("2歳",Z4130)),"2歳戦",IF(ISNUMBER(SEARCH("3歳未勝利",Z4130)),"3歳未勝利",IF(ISNUMBER(SEARCH("未勝利",Z4130)),"その他未勝利",IF(ISNUMBER(SEARCH("G1",Z4130)),"G1",IF(ISNUMBER(SEARCH("G2",Z4130)),"G2",IF(ISNUMBER(SEARCH("G3",Z4130)),"G3",IF(ISNUMBER(SEARCH("古馬条件",Z4130)),"古馬条件戦",IF(ISNUMBER(SEARCH("重賞",Z4130)),"重賞","分類不能")))))))))</f>
        <v/>
      </c>
    </row>
    <row r="4131" customFormat="false" ht="15.75" hidden="false" customHeight="false" outlineLevel="0" collapsed="false">
      <c r="AO4131" s="8" t="str">
        <f aca="false">IF(A4131="","",IF(COUNTIFS(全馬データ!$A$2:$A$50000,A4131,全馬データ!$B$2:$B$50000,B4131,全馬データ!$C$2:$C$50000,C4131,全馬データ!$D$2:$D$50000,E4131,全馬データ!$K$2:$K$50000,"&lt;&gt;")=0,"",SUMIFS(全馬データ!$K$2:$K$50000,全馬データ!$A$2:$A$50000,A4131,全馬データ!$B$2:$B$50000,B4131,全馬データ!$C$2:$C$50000,C4131,全馬データ!$D$2:$D$50000,E4131)))</f>
        <v/>
      </c>
      <c r="AP4131" s="8" t="str">
        <f aca="false">IF(A4131="","",IF(AO4131="","欠損",IF(AO4131&lt;=1.1,"1.0～1.1",IF(AO4131&lt;1.3,"1.2",IF(AO4131&lt;1.5,"1.3～1.4",IF(AO4131&lt;2,"1.5～1.9","2.0以上"))))))</f>
        <v/>
      </c>
      <c r="AQ4131" s="8" t="str">
        <f aca="false">IF(A4131="","",IF(ISNUMBER(SEARCH("2歳",Z4131)),"2歳戦",IF(ISNUMBER(SEARCH("3歳未勝利",Z4131)),"3歳未勝利",IF(ISNUMBER(SEARCH("未勝利",Z4131)),"その他未勝利",IF(ISNUMBER(SEARCH("G1",Z4131)),"G1",IF(ISNUMBER(SEARCH("G2",Z4131)),"G2",IF(ISNUMBER(SEARCH("G3",Z4131)),"G3",IF(ISNUMBER(SEARCH("古馬条件",Z4131)),"古馬条件戦",IF(ISNUMBER(SEARCH("重賞",Z4131)),"重賞","分類不能")))))))))</f>
        <v/>
      </c>
    </row>
    <row r="4132" customFormat="false" ht="15.75" hidden="false" customHeight="false" outlineLevel="0" collapsed="false">
      <c r="AO4132" s="8" t="str">
        <f aca="false">IF(A4132="","",IF(COUNTIFS(全馬データ!$A$2:$A$50000,A4132,全馬データ!$B$2:$B$50000,B4132,全馬データ!$C$2:$C$50000,C4132,全馬データ!$D$2:$D$50000,E4132,全馬データ!$K$2:$K$50000,"&lt;&gt;")=0,"",SUMIFS(全馬データ!$K$2:$K$50000,全馬データ!$A$2:$A$50000,A4132,全馬データ!$B$2:$B$50000,B4132,全馬データ!$C$2:$C$50000,C4132,全馬データ!$D$2:$D$50000,E4132)))</f>
        <v/>
      </c>
      <c r="AP4132" s="8" t="str">
        <f aca="false">IF(A4132="","",IF(AO4132="","欠損",IF(AO4132&lt;=1.1,"1.0～1.1",IF(AO4132&lt;1.3,"1.2",IF(AO4132&lt;1.5,"1.3～1.4",IF(AO4132&lt;2,"1.5～1.9","2.0以上"))))))</f>
        <v/>
      </c>
      <c r="AQ4132" s="8" t="str">
        <f aca="false">IF(A4132="","",IF(ISNUMBER(SEARCH("2歳",Z4132)),"2歳戦",IF(ISNUMBER(SEARCH("3歳未勝利",Z4132)),"3歳未勝利",IF(ISNUMBER(SEARCH("未勝利",Z4132)),"その他未勝利",IF(ISNUMBER(SEARCH("G1",Z4132)),"G1",IF(ISNUMBER(SEARCH("G2",Z4132)),"G2",IF(ISNUMBER(SEARCH("G3",Z4132)),"G3",IF(ISNUMBER(SEARCH("古馬条件",Z4132)),"古馬条件戦",IF(ISNUMBER(SEARCH("重賞",Z4132)),"重賞","分類不能")))))))))</f>
        <v/>
      </c>
    </row>
    <row r="4133" customFormat="false" ht="15.75" hidden="false" customHeight="false" outlineLevel="0" collapsed="false">
      <c r="AO4133" s="8" t="str">
        <f aca="false">IF(A4133="","",IF(COUNTIFS(全馬データ!$A$2:$A$50000,A4133,全馬データ!$B$2:$B$50000,B4133,全馬データ!$C$2:$C$50000,C4133,全馬データ!$D$2:$D$50000,E4133,全馬データ!$K$2:$K$50000,"&lt;&gt;")=0,"",SUMIFS(全馬データ!$K$2:$K$50000,全馬データ!$A$2:$A$50000,A4133,全馬データ!$B$2:$B$50000,B4133,全馬データ!$C$2:$C$50000,C4133,全馬データ!$D$2:$D$50000,E4133)))</f>
        <v/>
      </c>
      <c r="AP4133" s="8" t="str">
        <f aca="false">IF(A4133="","",IF(AO4133="","欠損",IF(AO4133&lt;=1.1,"1.0～1.1",IF(AO4133&lt;1.3,"1.2",IF(AO4133&lt;1.5,"1.3～1.4",IF(AO4133&lt;2,"1.5～1.9","2.0以上"))))))</f>
        <v/>
      </c>
      <c r="AQ4133" s="8" t="str">
        <f aca="false">IF(A4133="","",IF(ISNUMBER(SEARCH("2歳",Z4133)),"2歳戦",IF(ISNUMBER(SEARCH("3歳未勝利",Z4133)),"3歳未勝利",IF(ISNUMBER(SEARCH("未勝利",Z4133)),"その他未勝利",IF(ISNUMBER(SEARCH("G1",Z4133)),"G1",IF(ISNUMBER(SEARCH("G2",Z4133)),"G2",IF(ISNUMBER(SEARCH("G3",Z4133)),"G3",IF(ISNUMBER(SEARCH("古馬条件",Z4133)),"古馬条件戦",IF(ISNUMBER(SEARCH("重賞",Z4133)),"重賞","分類不能")))))))))</f>
        <v/>
      </c>
    </row>
    <row r="4134" customFormat="false" ht="15.75" hidden="false" customHeight="false" outlineLevel="0" collapsed="false">
      <c r="AO4134" s="8" t="str">
        <f aca="false">IF(A4134="","",IF(COUNTIFS(全馬データ!$A$2:$A$50000,A4134,全馬データ!$B$2:$B$50000,B4134,全馬データ!$C$2:$C$50000,C4134,全馬データ!$D$2:$D$50000,E4134,全馬データ!$K$2:$K$50000,"&lt;&gt;")=0,"",SUMIFS(全馬データ!$K$2:$K$50000,全馬データ!$A$2:$A$50000,A4134,全馬データ!$B$2:$B$50000,B4134,全馬データ!$C$2:$C$50000,C4134,全馬データ!$D$2:$D$50000,E4134)))</f>
        <v/>
      </c>
      <c r="AP4134" s="8" t="str">
        <f aca="false">IF(A4134="","",IF(AO4134="","欠損",IF(AO4134&lt;=1.1,"1.0～1.1",IF(AO4134&lt;1.3,"1.2",IF(AO4134&lt;1.5,"1.3～1.4",IF(AO4134&lt;2,"1.5～1.9","2.0以上"))))))</f>
        <v/>
      </c>
      <c r="AQ4134" s="8" t="str">
        <f aca="false">IF(A4134="","",IF(ISNUMBER(SEARCH("2歳",Z4134)),"2歳戦",IF(ISNUMBER(SEARCH("3歳未勝利",Z4134)),"3歳未勝利",IF(ISNUMBER(SEARCH("未勝利",Z4134)),"その他未勝利",IF(ISNUMBER(SEARCH("G1",Z4134)),"G1",IF(ISNUMBER(SEARCH("G2",Z4134)),"G2",IF(ISNUMBER(SEARCH("G3",Z4134)),"G3",IF(ISNUMBER(SEARCH("古馬条件",Z4134)),"古馬条件戦",IF(ISNUMBER(SEARCH("重賞",Z4134)),"重賞","分類不能")))))))))</f>
        <v/>
      </c>
    </row>
    <row r="4135" customFormat="false" ht="15.75" hidden="false" customHeight="false" outlineLevel="0" collapsed="false">
      <c r="AO4135" s="8" t="str">
        <f aca="false">IF(A4135="","",IF(COUNTIFS(全馬データ!$A$2:$A$50000,A4135,全馬データ!$B$2:$B$50000,B4135,全馬データ!$C$2:$C$50000,C4135,全馬データ!$D$2:$D$50000,E4135,全馬データ!$K$2:$K$50000,"&lt;&gt;")=0,"",SUMIFS(全馬データ!$K$2:$K$50000,全馬データ!$A$2:$A$50000,A4135,全馬データ!$B$2:$B$50000,B4135,全馬データ!$C$2:$C$50000,C4135,全馬データ!$D$2:$D$50000,E4135)))</f>
        <v/>
      </c>
      <c r="AP4135" s="8" t="str">
        <f aca="false">IF(A4135="","",IF(AO4135="","欠損",IF(AO4135&lt;=1.1,"1.0～1.1",IF(AO4135&lt;1.3,"1.2",IF(AO4135&lt;1.5,"1.3～1.4",IF(AO4135&lt;2,"1.5～1.9","2.0以上"))))))</f>
        <v/>
      </c>
      <c r="AQ4135" s="8" t="str">
        <f aca="false">IF(A4135="","",IF(ISNUMBER(SEARCH("2歳",Z4135)),"2歳戦",IF(ISNUMBER(SEARCH("3歳未勝利",Z4135)),"3歳未勝利",IF(ISNUMBER(SEARCH("未勝利",Z4135)),"その他未勝利",IF(ISNUMBER(SEARCH("G1",Z4135)),"G1",IF(ISNUMBER(SEARCH("G2",Z4135)),"G2",IF(ISNUMBER(SEARCH("G3",Z4135)),"G3",IF(ISNUMBER(SEARCH("古馬条件",Z4135)),"古馬条件戦",IF(ISNUMBER(SEARCH("重賞",Z4135)),"重賞","分類不能")))))))))</f>
        <v/>
      </c>
    </row>
    <row r="4136" customFormat="false" ht="15.75" hidden="false" customHeight="false" outlineLevel="0" collapsed="false">
      <c r="AO4136" s="8" t="str">
        <f aca="false">IF(A4136="","",IF(COUNTIFS(全馬データ!$A$2:$A$50000,A4136,全馬データ!$B$2:$B$50000,B4136,全馬データ!$C$2:$C$50000,C4136,全馬データ!$D$2:$D$50000,E4136,全馬データ!$K$2:$K$50000,"&lt;&gt;")=0,"",SUMIFS(全馬データ!$K$2:$K$50000,全馬データ!$A$2:$A$50000,A4136,全馬データ!$B$2:$B$50000,B4136,全馬データ!$C$2:$C$50000,C4136,全馬データ!$D$2:$D$50000,E4136)))</f>
        <v/>
      </c>
      <c r="AP4136" s="8" t="str">
        <f aca="false">IF(A4136="","",IF(AO4136="","欠損",IF(AO4136&lt;=1.1,"1.0～1.1",IF(AO4136&lt;1.3,"1.2",IF(AO4136&lt;1.5,"1.3～1.4",IF(AO4136&lt;2,"1.5～1.9","2.0以上"))))))</f>
        <v/>
      </c>
      <c r="AQ4136" s="8" t="str">
        <f aca="false">IF(A4136="","",IF(ISNUMBER(SEARCH("2歳",Z4136)),"2歳戦",IF(ISNUMBER(SEARCH("3歳未勝利",Z4136)),"3歳未勝利",IF(ISNUMBER(SEARCH("未勝利",Z4136)),"その他未勝利",IF(ISNUMBER(SEARCH("G1",Z4136)),"G1",IF(ISNUMBER(SEARCH("G2",Z4136)),"G2",IF(ISNUMBER(SEARCH("G3",Z4136)),"G3",IF(ISNUMBER(SEARCH("古馬条件",Z4136)),"古馬条件戦",IF(ISNUMBER(SEARCH("重賞",Z4136)),"重賞","分類不能")))))))))</f>
        <v/>
      </c>
    </row>
    <row r="4137" customFormat="false" ht="15.75" hidden="false" customHeight="false" outlineLevel="0" collapsed="false">
      <c r="AO4137" s="8" t="str">
        <f aca="false">IF(A4137="","",IF(COUNTIFS(全馬データ!$A$2:$A$50000,A4137,全馬データ!$B$2:$B$50000,B4137,全馬データ!$C$2:$C$50000,C4137,全馬データ!$D$2:$D$50000,E4137,全馬データ!$K$2:$K$50000,"&lt;&gt;")=0,"",SUMIFS(全馬データ!$K$2:$K$50000,全馬データ!$A$2:$A$50000,A4137,全馬データ!$B$2:$B$50000,B4137,全馬データ!$C$2:$C$50000,C4137,全馬データ!$D$2:$D$50000,E4137)))</f>
        <v/>
      </c>
      <c r="AP4137" s="8" t="str">
        <f aca="false">IF(A4137="","",IF(AO4137="","欠損",IF(AO4137&lt;=1.1,"1.0～1.1",IF(AO4137&lt;1.3,"1.2",IF(AO4137&lt;1.5,"1.3～1.4",IF(AO4137&lt;2,"1.5～1.9","2.0以上"))))))</f>
        <v/>
      </c>
      <c r="AQ4137" s="8" t="str">
        <f aca="false">IF(A4137="","",IF(ISNUMBER(SEARCH("2歳",Z4137)),"2歳戦",IF(ISNUMBER(SEARCH("3歳未勝利",Z4137)),"3歳未勝利",IF(ISNUMBER(SEARCH("未勝利",Z4137)),"その他未勝利",IF(ISNUMBER(SEARCH("G1",Z4137)),"G1",IF(ISNUMBER(SEARCH("G2",Z4137)),"G2",IF(ISNUMBER(SEARCH("G3",Z4137)),"G3",IF(ISNUMBER(SEARCH("古馬条件",Z4137)),"古馬条件戦",IF(ISNUMBER(SEARCH("重賞",Z4137)),"重賞","分類不能")))))))))</f>
        <v/>
      </c>
    </row>
    <row r="4138" customFormat="false" ht="15.75" hidden="false" customHeight="false" outlineLevel="0" collapsed="false">
      <c r="AO4138" s="8" t="str">
        <f aca="false">IF(A4138="","",IF(COUNTIFS(全馬データ!$A$2:$A$50000,A4138,全馬データ!$B$2:$B$50000,B4138,全馬データ!$C$2:$C$50000,C4138,全馬データ!$D$2:$D$50000,E4138,全馬データ!$K$2:$K$50000,"&lt;&gt;")=0,"",SUMIFS(全馬データ!$K$2:$K$50000,全馬データ!$A$2:$A$50000,A4138,全馬データ!$B$2:$B$50000,B4138,全馬データ!$C$2:$C$50000,C4138,全馬データ!$D$2:$D$50000,E4138)))</f>
        <v/>
      </c>
      <c r="AP4138" s="8" t="str">
        <f aca="false">IF(A4138="","",IF(AO4138="","欠損",IF(AO4138&lt;=1.1,"1.0～1.1",IF(AO4138&lt;1.3,"1.2",IF(AO4138&lt;1.5,"1.3～1.4",IF(AO4138&lt;2,"1.5～1.9","2.0以上"))))))</f>
        <v/>
      </c>
      <c r="AQ4138" s="8" t="str">
        <f aca="false">IF(A4138="","",IF(ISNUMBER(SEARCH("2歳",Z4138)),"2歳戦",IF(ISNUMBER(SEARCH("3歳未勝利",Z4138)),"3歳未勝利",IF(ISNUMBER(SEARCH("未勝利",Z4138)),"その他未勝利",IF(ISNUMBER(SEARCH("G1",Z4138)),"G1",IF(ISNUMBER(SEARCH("G2",Z4138)),"G2",IF(ISNUMBER(SEARCH("G3",Z4138)),"G3",IF(ISNUMBER(SEARCH("古馬条件",Z4138)),"古馬条件戦",IF(ISNUMBER(SEARCH("重賞",Z4138)),"重賞","分類不能")))))))))</f>
        <v/>
      </c>
    </row>
    <row r="4139" customFormat="false" ht="15.75" hidden="false" customHeight="false" outlineLevel="0" collapsed="false">
      <c r="AO4139" s="8" t="str">
        <f aca="false">IF(A4139="","",IF(COUNTIFS(全馬データ!$A$2:$A$50000,A4139,全馬データ!$B$2:$B$50000,B4139,全馬データ!$C$2:$C$50000,C4139,全馬データ!$D$2:$D$50000,E4139,全馬データ!$K$2:$K$50000,"&lt;&gt;")=0,"",SUMIFS(全馬データ!$K$2:$K$50000,全馬データ!$A$2:$A$50000,A4139,全馬データ!$B$2:$B$50000,B4139,全馬データ!$C$2:$C$50000,C4139,全馬データ!$D$2:$D$50000,E4139)))</f>
        <v/>
      </c>
      <c r="AP4139" s="8" t="str">
        <f aca="false">IF(A4139="","",IF(AO4139="","欠損",IF(AO4139&lt;=1.1,"1.0～1.1",IF(AO4139&lt;1.3,"1.2",IF(AO4139&lt;1.5,"1.3～1.4",IF(AO4139&lt;2,"1.5～1.9","2.0以上"))))))</f>
        <v/>
      </c>
      <c r="AQ4139" s="8" t="str">
        <f aca="false">IF(A4139="","",IF(ISNUMBER(SEARCH("2歳",Z4139)),"2歳戦",IF(ISNUMBER(SEARCH("3歳未勝利",Z4139)),"3歳未勝利",IF(ISNUMBER(SEARCH("未勝利",Z4139)),"その他未勝利",IF(ISNUMBER(SEARCH("G1",Z4139)),"G1",IF(ISNUMBER(SEARCH("G2",Z4139)),"G2",IF(ISNUMBER(SEARCH("G3",Z4139)),"G3",IF(ISNUMBER(SEARCH("古馬条件",Z4139)),"古馬条件戦",IF(ISNUMBER(SEARCH("重賞",Z4139)),"重賞","分類不能")))))))))</f>
        <v/>
      </c>
    </row>
    <row r="4140" customFormat="false" ht="15.75" hidden="false" customHeight="false" outlineLevel="0" collapsed="false">
      <c r="AO4140" s="8" t="str">
        <f aca="false">IF(A4140="","",IF(COUNTIFS(全馬データ!$A$2:$A$50000,A4140,全馬データ!$B$2:$B$50000,B4140,全馬データ!$C$2:$C$50000,C4140,全馬データ!$D$2:$D$50000,E4140,全馬データ!$K$2:$K$50000,"&lt;&gt;")=0,"",SUMIFS(全馬データ!$K$2:$K$50000,全馬データ!$A$2:$A$50000,A4140,全馬データ!$B$2:$B$50000,B4140,全馬データ!$C$2:$C$50000,C4140,全馬データ!$D$2:$D$50000,E4140)))</f>
        <v/>
      </c>
      <c r="AP4140" s="8" t="str">
        <f aca="false">IF(A4140="","",IF(AO4140="","欠損",IF(AO4140&lt;=1.1,"1.0～1.1",IF(AO4140&lt;1.3,"1.2",IF(AO4140&lt;1.5,"1.3～1.4",IF(AO4140&lt;2,"1.5～1.9","2.0以上"))))))</f>
        <v/>
      </c>
      <c r="AQ4140" s="8" t="str">
        <f aca="false">IF(A4140="","",IF(ISNUMBER(SEARCH("2歳",Z4140)),"2歳戦",IF(ISNUMBER(SEARCH("3歳未勝利",Z4140)),"3歳未勝利",IF(ISNUMBER(SEARCH("未勝利",Z4140)),"その他未勝利",IF(ISNUMBER(SEARCH("G1",Z4140)),"G1",IF(ISNUMBER(SEARCH("G2",Z4140)),"G2",IF(ISNUMBER(SEARCH("G3",Z4140)),"G3",IF(ISNUMBER(SEARCH("古馬条件",Z4140)),"古馬条件戦",IF(ISNUMBER(SEARCH("重賞",Z4140)),"重賞","分類不能")))))))))</f>
        <v/>
      </c>
    </row>
    <row r="4141" customFormat="false" ht="15.75" hidden="false" customHeight="false" outlineLevel="0" collapsed="false">
      <c r="AO4141" s="8" t="str">
        <f aca="false">IF(A4141="","",IF(COUNTIFS(全馬データ!$A$2:$A$50000,A4141,全馬データ!$B$2:$B$50000,B4141,全馬データ!$C$2:$C$50000,C4141,全馬データ!$D$2:$D$50000,E4141,全馬データ!$K$2:$K$50000,"&lt;&gt;")=0,"",SUMIFS(全馬データ!$K$2:$K$50000,全馬データ!$A$2:$A$50000,A4141,全馬データ!$B$2:$B$50000,B4141,全馬データ!$C$2:$C$50000,C4141,全馬データ!$D$2:$D$50000,E4141)))</f>
        <v/>
      </c>
      <c r="AP4141" s="8" t="str">
        <f aca="false">IF(A4141="","",IF(AO4141="","欠損",IF(AO4141&lt;=1.1,"1.0～1.1",IF(AO4141&lt;1.3,"1.2",IF(AO4141&lt;1.5,"1.3～1.4",IF(AO4141&lt;2,"1.5～1.9","2.0以上"))))))</f>
        <v/>
      </c>
      <c r="AQ4141" s="8" t="str">
        <f aca="false">IF(A4141="","",IF(ISNUMBER(SEARCH("2歳",Z4141)),"2歳戦",IF(ISNUMBER(SEARCH("3歳未勝利",Z4141)),"3歳未勝利",IF(ISNUMBER(SEARCH("未勝利",Z4141)),"その他未勝利",IF(ISNUMBER(SEARCH("G1",Z4141)),"G1",IF(ISNUMBER(SEARCH("G2",Z4141)),"G2",IF(ISNUMBER(SEARCH("G3",Z4141)),"G3",IF(ISNUMBER(SEARCH("古馬条件",Z4141)),"古馬条件戦",IF(ISNUMBER(SEARCH("重賞",Z4141)),"重賞","分類不能")))))))))</f>
        <v/>
      </c>
    </row>
    <row r="4142" customFormat="false" ht="15.75" hidden="false" customHeight="false" outlineLevel="0" collapsed="false">
      <c r="AO4142" s="8" t="str">
        <f aca="false">IF(A4142="","",IF(COUNTIFS(全馬データ!$A$2:$A$50000,A4142,全馬データ!$B$2:$B$50000,B4142,全馬データ!$C$2:$C$50000,C4142,全馬データ!$D$2:$D$50000,E4142,全馬データ!$K$2:$K$50000,"&lt;&gt;")=0,"",SUMIFS(全馬データ!$K$2:$K$50000,全馬データ!$A$2:$A$50000,A4142,全馬データ!$B$2:$B$50000,B4142,全馬データ!$C$2:$C$50000,C4142,全馬データ!$D$2:$D$50000,E4142)))</f>
        <v/>
      </c>
      <c r="AP4142" s="8" t="str">
        <f aca="false">IF(A4142="","",IF(AO4142="","欠損",IF(AO4142&lt;=1.1,"1.0～1.1",IF(AO4142&lt;1.3,"1.2",IF(AO4142&lt;1.5,"1.3～1.4",IF(AO4142&lt;2,"1.5～1.9","2.0以上"))))))</f>
        <v/>
      </c>
      <c r="AQ4142" s="8" t="str">
        <f aca="false">IF(A4142="","",IF(ISNUMBER(SEARCH("2歳",Z4142)),"2歳戦",IF(ISNUMBER(SEARCH("3歳未勝利",Z4142)),"3歳未勝利",IF(ISNUMBER(SEARCH("未勝利",Z4142)),"その他未勝利",IF(ISNUMBER(SEARCH("G1",Z4142)),"G1",IF(ISNUMBER(SEARCH("G2",Z4142)),"G2",IF(ISNUMBER(SEARCH("G3",Z4142)),"G3",IF(ISNUMBER(SEARCH("古馬条件",Z4142)),"古馬条件戦",IF(ISNUMBER(SEARCH("重賞",Z4142)),"重賞","分類不能")))))))))</f>
        <v/>
      </c>
    </row>
    <row r="4143" customFormat="false" ht="15.75" hidden="false" customHeight="false" outlineLevel="0" collapsed="false">
      <c r="AO4143" s="8" t="str">
        <f aca="false">IF(A4143="","",IF(COUNTIFS(全馬データ!$A$2:$A$50000,A4143,全馬データ!$B$2:$B$50000,B4143,全馬データ!$C$2:$C$50000,C4143,全馬データ!$D$2:$D$50000,E4143,全馬データ!$K$2:$K$50000,"&lt;&gt;")=0,"",SUMIFS(全馬データ!$K$2:$K$50000,全馬データ!$A$2:$A$50000,A4143,全馬データ!$B$2:$B$50000,B4143,全馬データ!$C$2:$C$50000,C4143,全馬データ!$D$2:$D$50000,E4143)))</f>
        <v/>
      </c>
      <c r="AP4143" s="8" t="str">
        <f aca="false">IF(A4143="","",IF(AO4143="","欠損",IF(AO4143&lt;=1.1,"1.0～1.1",IF(AO4143&lt;1.3,"1.2",IF(AO4143&lt;1.5,"1.3～1.4",IF(AO4143&lt;2,"1.5～1.9","2.0以上"))))))</f>
        <v/>
      </c>
      <c r="AQ4143" s="8" t="str">
        <f aca="false">IF(A4143="","",IF(ISNUMBER(SEARCH("2歳",Z4143)),"2歳戦",IF(ISNUMBER(SEARCH("3歳未勝利",Z4143)),"3歳未勝利",IF(ISNUMBER(SEARCH("未勝利",Z4143)),"その他未勝利",IF(ISNUMBER(SEARCH("G1",Z4143)),"G1",IF(ISNUMBER(SEARCH("G2",Z4143)),"G2",IF(ISNUMBER(SEARCH("G3",Z4143)),"G3",IF(ISNUMBER(SEARCH("古馬条件",Z4143)),"古馬条件戦",IF(ISNUMBER(SEARCH("重賞",Z4143)),"重賞","分類不能")))))))))</f>
        <v/>
      </c>
    </row>
    <row r="4144" customFormat="false" ht="15.75" hidden="false" customHeight="false" outlineLevel="0" collapsed="false">
      <c r="AO4144" s="8" t="str">
        <f aca="false">IF(A4144="","",IF(COUNTIFS(全馬データ!$A$2:$A$50000,A4144,全馬データ!$B$2:$B$50000,B4144,全馬データ!$C$2:$C$50000,C4144,全馬データ!$D$2:$D$50000,E4144,全馬データ!$K$2:$K$50000,"&lt;&gt;")=0,"",SUMIFS(全馬データ!$K$2:$K$50000,全馬データ!$A$2:$A$50000,A4144,全馬データ!$B$2:$B$50000,B4144,全馬データ!$C$2:$C$50000,C4144,全馬データ!$D$2:$D$50000,E4144)))</f>
        <v/>
      </c>
      <c r="AP4144" s="8" t="str">
        <f aca="false">IF(A4144="","",IF(AO4144="","欠損",IF(AO4144&lt;=1.1,"1.0～1.1",IF(AO4144&lt;1.3,"1.2",IF(AO4144&lt;1.5,"1.3～1.4",IF(AO4144&lt;2,"1.5～1.9","2.0以上"))))))</f>
        <v/>
      </c>
      <c r="AQ4144" s="8" t="str">
        <f aca="false">IF(A4144="","",IF(ISNUMBER(SEARCH("2歳",Z4144)),"2歳戦",IF(ISNUMBER(SEARCH("3歳未勝利",Z4144)),"3歳未勝利",IF(ISNUMBER(SEARCH("未勝利",Z4144)),"その他未勝利",IF(ISNUMBER(SEARCH("G1",Z4144)),"G1",IF(ISNUMBER(SEARCH("G2",Z4144)),"G2",IF(ISNUMBER(SEARCH("G3",Z4144)),"G3",IF(ISNUMBER(SEARCH("古馬条件",Z4144)),"古馬条件戦",IF(ISNUMBER(SEARCH("重賞",Z4144)),"重賞","分類不能")))))))))</f>
        <v/>
      </c>
    </row>
    <row r="4145" customFormat="false" ht="15.75" hidden="false" customHeight="false" outlineLevel="0" collapsed="false">
      <c r="AO4145" s="8" t="str">
        <f aca="false">IF(A4145="","",IF(COUNTIFS(全馬データ!$A$2:$A$50000,A4145,全馬データ!$B$2:$B$50000,B4145,全馬データ!$C$2:$C$50000,C4145,全馬データ!$D$2:$D$50000,E4145,全馬データ!$K$2:$K$50000,"&lt;&gt;")=0,"",SUMIFS(全馬データ!$K$2:$K$50000,全馬データ!$A$2:$A$50000,A4145,全馬データ!$B$2:$B$50000,B4145,全馬データ!$C$2:$C$50000,C4145,全馬データ!$D$2:$D$50000,E4145)))</f>
        <v/>
      </c>
      <c r="AP4145" s="8" t="str">
        <f aca="false">IF(A4145="","",IF(AO4145="","欠損",IF(AO4145&lt;=1.1,"1.0～1.1",IF(AO4145&lt;1.3,"1.2",IF(AO4145&lt;1.5,"1.3～1.4",IF(AO4145&lt;2,"1.5～1.9","2.0以上"))))))</f>
        <v/>
      </c>
      <c r="AQ4145" s="8" t="str">
        <f aca="false">IF(A4145="","",IF(ISNUMBER(SEARCH("2歳",Z4145)),"2歳戦",IF(ISNUMBER(SEARCH("3歳未勝利",Z4145)),"3歳未勝利",IF(ISNUMBER(SEARCH("未勝利",Z4145)),"その他未勝利",IF(ISNUMBER(SEARCH("G1",Z4145)),"G1",IF(ISNUMBER(SEARCH("G2",Z4145)),"G2",IF(ISNUMBER(SEARCH("G3",Z4145)),"G3",IF(ISNUMBER(SEARCH("古馬条件",Z4145)),"古馬条件戦",IF(ISNUMBER(SEARCH("重賞",Z4145)),"重賞","分類不能")))))))))</f>
        <v/>
      </c>
    </row>
    <row r="4146" customFormat="false" ht="15.75" hidden="false" customHeight="false" outlineLevel="0" collapsed="false">
      <c r="AO4146" s="8" t="str">
        <f aca="false">IF(A4146="","",IF(COUNTIFS(全馬データ!$A$2:$A$50000,A4146,全馬データ!$B$2:$B$50000,B4146,全馬データ!$C$2:$C$50000,C4146,全馬データ!$D$2:$D$50000,E4146,全馬データ!$K$2:$K$50000,"&lt;&gt;")=0,"",SUMIFS(全馬データ!$K$2:$K$50000,全馬データ!$A$2:$A$50000,A4146,全馬データ!$B$2:$B$50000,B4146,全馬データ!$C$2:$C$50000,C4146,全馬データ!$D$2:$D$50000,E4146)))</f>
        <v/>
      </c>
      <c r="AP4146" s="8" t="str">
        <f aca="false">IF(A4146="","",IF(AO4146="","欠損",IF(AO4146&lt;=1.1,"1.0～1.1",IF(AO4146&lt;1.3,"1.2",IF(AO4146&lt;1.5,"1.3～1.4",IF(AO4146&lt;2,"1.5～1.9","2.0以上"))))))</f>
        <v/>
      </c>
      <c r="AQ4146" s="8" t="str">
        <f aca="false">IF(A4146="","",IF(ISNUMBER(SEARCH("2歳",Z4146)),"2歳戦",IF(ISNUMBER(SEARCH("3歳未勝利",Z4146)),"3歳未勝利",IF(ISNUMBER(SEARCH("未勝利",Z4146)),"その他未勝利",IF(ISNUMBER(SEARCH("G1",Z4146)),"G1",IF(ISNUMBER(SEARCH("G2",Z4146)),"G2",IF(ISNUMBER(SEARCH("G3",Z4146)),"G3",IF(ISNUMBER(SEARCH("古馬条件",Z4146)),"古馬条件戦",IF(ISNUMBER(SEARCH("重賞",Z4146)),"重賞","分類不能")))))))))</f>
        <v/>
      </c>
    </row>
    <row r="4147" customFormat="false" ht="15.75" hidden="false" customHeight="false" outlineLevel="0" collapsed="false">
      <c r="AO4147" s="8" t="str">
        <f aca="false">IF(A4147="","",IF(COUNTIFS(全馬データ!$A$2:$A$50000,A4147,全馬データ!$B$2:$B$50000,B4147,全馬データ!$C$2:$C$50000,C4147,全馬データ!$D$2:$D$50000,E4147,全馬データ!$K$2:$K$50000,"&lt;&gt;")=0,"",SUMIFS(全馬データ!$K$2:$K$50000,全馬データ!$A$2:$A$50000,A4147,全馬データ!$B$2:$B$50000,B4147,全馬データ!$C$2:$C$50000,C4147,全馬データ!$D$2:$D$50000,E4147)))</f>
        <v/>
      </c>
      <c r="AP4147" s="8" t="str">
        <f aca="false">IF(A4147="","",IF(AO4147="","欠損",IF(AO4147&lt;=1.1,"1.0～1.1",IF(AO4147&lt;1.3,"1.2",IF(AO4147&lt;1.5,"1.3～1.4",IF(AO4147&lt;2,"1.5～1.9","2.0以上"))))))</f>
        <v/>
      </c>
      <c r="AQ4147" s="8" t="str">
        <f aca="false">IF(A4147="","",IF(ISNUMBER(SEARCH("2歳",Z4147)),"2歳戦",IF(ISNUMBER(SEARCH("3歳未勝利",Z4147)),"3歳未勝利",IF(ISNUMBER(SEARCH("未勝利",Z4147)),"その他未勝利",IF(ISNUMBER(SEARCH("G1",Z4147)),"G1",IF(ISNUMBER(SEARCH("G2",Z4147)),"G2",IF(ISNUMBER(SEARCH("G3",Z4147)),"G3",IF(ISNUMBER(SEARCH("古馬条件",Z4147)),"古馬条件戦",IF(ISNUMBER(SEARCH("重賞",Z4147)),"重賞","分類不能")))))))))</f>
        <v/>
      </c>
    </row>
    <row r="4148" customFormat="false" ht="15.75" hidden="false" customHeight="false" outlineLevel="0" collapsed="false">
      <c r="AO4148" s="8" t="str">
        <f aca="false">IF(A4148="","",IF(COUNTIFS(全馬データ!$A$2:$A$50000,A4148,全馬データ!$B$2:$B$50000,B4148,全馬データ!$C$2:$C$50000,C4148,全馬データ!$D$2:$D$50000,E4148,全馬データ!$K$2:$K$50000,"&lt;&gt;")=0,"",SUMIFS(全馬データ!$K$2:$K$50000,全馬データ!$A$2:$A$50000,A4148,全馬データ!$B$2:$B$50000,B4148,全馬データ!$C$2:$C$50000,C4148,全馬データ!$D$2:$D$50000,E4148)))</f>
        <v/>
      </c>
      <c r="AP4148" s="8" t="str">
        <f aca="false">IF(A4148="","",IF(AO4148="","欠損",IF(AO4148&lt;=1.1,"1.0～1.1",IF(AO4148&lt;1.3,"1.2",IF(AO4148&lt;1.5,"1.3～1.4",IF(AO4148&lt;2,"1.5～1.9","2.0以上"))))))</f>
        <v/>
      </c>
      <c r="AQ4148" s="8" t="str">
        <f aca="false">IF(A4148="","",IF(ISNUMBER(SEARCH("2歳",Z4148)),"2歳戦",IF(ISNUMBER(SEARCH("3歳未勝利",Z4148)),"3歳未勝利",IF(ISNUMBER(SEARCH("未勝利",Z4148)),"その他未勝利",IF(ISNUMBER(SEARCH("G1",Z4148)),"G1",IF(ISNUMBER(SEARCH("G2",Z4148)),"G2",IF(ISNUMBER(SEARCH("G3",Z4148)),"G3",IF(ISNUMBER(SEARCH("古馬条件",Z4148)),"古馬条件戦",IF(ISNUMBER(SEARCH("重賞",Z4148)),"重賞","分類不能")))))))))</f>
        <v/>
      </c>
    </row>
    <row r="4149" customFormat="false" ht="15.75" hidden="false" customHeight="false" outlineLevel="0" collapsed="false">
      <c r="AO4149" s="8" t="str">
        <f aca="false">IF(A4149="","",IF(COUNTIFS(全馬データ!$A$2:$A$50000,A4149,全馬データ!$B$2:$B$50000,B4149,全馬データ!$C$2:$C$50000,C4149,全馬データ!$D$2:$D$50000,E4149,全馬データ!$K$2:$K$50000,"&lt;&gt;")=0,"",SUMIFS(全馬データ!$K$2:$K$50000,全馬データ!$A$2:$A$50000,A4149,全馬データ!$B$2:$B$50000,B4149,全馬データ!$C$2:$C$50000,C4149,全馬データ!$D$2:$D$50000,E4149)))</f>
        <v/>
      </c>
      <c r="AP4149" s="8" t="str">
        <f aca="false">IF(A4149="","",IF(AO4149="","欠損",IF(AO4149&lt;=1.1,"1.0～1.1",IF(AO4149&lt;1.3,"1.2",IF(AO4149&lt;1.5,"1.3～1.4",IF(AO4149&lt;2,"1.5～1.9","2.0以上"))))))</f>
        <v/>
      </c>
      <c r="AQ4149" s="8" t="str">
        <f aca="false">IF(A4149="","",IF(ISNUMBER(SEARCH("2歳",Z4149)),"2歳戦",IF(ISNUMBER(SEARCH("3歳未勝利",Z4149)),"3歳未勝利",IF(ISNUMBER(SEARCH("未勝利",Z4149)),"その他未勝利",IF(ISNUMBER(SEARCH("G1",Z4149)),"G1",IF(ISNUMBER(SEARCH("G2",Z4149)),"G2",IF(ISNUMBER(SEARCH("G3",Z4149)),"G3",IF(ISNUMBER(SEARCH("古馬条件",Z4149)),"古馬条件戦",IF(ISNUMBER(SEARCH("重賞",Z4149)),"重賞","分類不能")))))))))</f>
        <v/>
      </c>
    </row>
    <row r="4150" customFormat="false" ht="15.75" hidden="false" customHeight="false" outlineLevel="0" collapsed="false">
      <c r="AO4150" s="8" t="str">
        <f aca="false">IF(A4150="","",IF(COUNTIFS(全馬データ!$A$2:$A$50000,A4150,全馬データ!$B$2:$B$50000,B4150,全馬データ!$C$2:$C$50000,C4150,全馬データ!$D$2:$D$50000,E4150,全馬データ!$K$2:$K$50000,"&lt;&gt;")=0,"",SUMIFS(全馬データ!$K$2:$K$50000,全馬データ!$A$2:$A$50000,A4150,全馬データ!$B$2:$B$50000,B4150,全馬データ!$C$2:$C$50000,C4150,全馬データ!$D$2:$D$50000,E4150)))</f>
        <v/>
      </c>
      <c r="AP4150" s="8" t="str">
        <f aca="false">IF(A4150="","",IF(AO4150="","欠損",IF(AO4150&lt;=1.1,"1.0～1.1",IF(AO4150&lt;1.3,"1.2",IF(AO4150&lt;1.5,"1.3～1.4",IF(AO4150&lt;2,"1.5～1.9","2.0以上"))))))</f>
        <v/>
      </c>
      <c r="AQ4150" s="8" t="str">
        <f aca="false">IF(A4150="","",IF(ISNUMBER(SEARCH("2歳",Z4150)),"2歳戦",IF(ISNUMBER(SEARCH("3歳未勝利",Z4150)),"3歳未勝利",IF(ISNUMBER(SEARCH("未勝利",Z4150)),"その他未勝利",IF(ISNUMBER(SEARCH("G1",Z4150)),"G1",IF(ISNUMBER(SEARCH("G2",Z4150)),"G2",IF(ISNUMBER(SEARCH("G3",Z4150)),"G3",IF(ISNUMBER(SEARCH("古馬条件",Z4150)),"古馬条件戦",IF(ISNUMBER(SEARCH("重賞",Z4150)),"重賞","分類不能")))))))))</f>
        <v/>
      </c>
    </row>
    <row r="4151" customFormat="false" ht="15.75" hidden="false" customHeight="false" outlineLevel="0" collapsed="false">
      <c r="AO4151" s="8" t="str">
        <f aca="false">IF(A4151="","",IF(COUNTIFS(全馬データ!$A$2:$A$50000,A4151,全馬データ!$B$2:$B$50000,B4151,全馬データ!$C$2:$C$50000,C4151,全馬データ!$D$2:$D$50000,E4151,全馬データ!$K$2:$K$50000,"&lt;&gt;")=0,"",SUMIFS(全馬データ!$K$2:$K$50000,全馬データ!$A$2:$A$50000,A4151,全馬データ!$B$2:$B$50000,B4151,全馬データ!$C$2:$C$50000,C4151,全馬データ!$D$2:$D$50000,E4151)))</f>
        <v/>
      </c>
      <c r="AP4151" s="8" t="str">
        <f aca="false">IF(A4151="","",IF(AO4151="","欠損",IF(AO4151&lt;=1.1,"1.0～1.1",IF(AO4151&lt;1.3,"1.2",IF(AO4151&lt;1.5,"1.3～1.4",IF(AO4151&lt;2,"1.5～1.9","2.0以上"))))))</f>
        <v/>
      </c>
      <c r="AQ4151" s="8" t="str">
        <f aca="false">IF(A4151="","",IF(ISNUMBER(SEARCH("2歳",Z4151)),"2歳戦",IF(ISNUMBER(SEARCH("3歳未勝利",Z4151)),"3歳未勝利",IF(ISNUMBER(SEARCH("未勝利",Z4151)),"その他未勝利",IF(ISNUMBER(SEARCH("G1",Z4151)),"G1",IF(ISNUMBER(SEARCH("G2",Z4151)),"G2",IF(ISNUMBER(SEARCH("G3",Z4151)),"G3",IF(ISNUMBER(SEARCH("古馬条件",Z4151)),"古馬条件戦",IF(ISNUMBER(SEARCH("重賞",Z4151)),"重賞","分類不能")))))))))</f>
        <v/>
      </c>
    </row>
    <row r="4152" customFormat="false" ht="15.75" hidden="false" customHeight="false" outlineLevel="0" collapsed="false">
      <c r="AO4152" s="8" t="str">
        <f aca="false">IF(A4152="","",IF(COUNTIFS(全馬データ!$A$2:$A$50000,A4152,全馬データ!$B$2:$B$50000,B4152,全馬データ!$C$2:$C$50000,C4152,全馬データ!$D$2:$D$50000,E4152,全馬データ!$K$2:$K$50000,"&lt;&gt;")=0,"",SUMIFS(全馬データ!$K$2:$K$50000,全馬データ!$A$2:$A$50000,A4152,全馬データ!$B$2:$B$50000,B4152,全馬データ!$C$2:$C$50000,C4152,全馬データ!$D$2:$D$50000,E4152)))</f>
        <v/>
      </c>
      <c r="AP4152" s="8" t="str">
        <f aca="false">IF(A4152="","",IF(AO4152="","欠損",IF(AO4152&lt;=1.1,"1.0～1.1",IF(AO4152&lt;1.3,"1.2",IF(AO4152&lt;1.5,"1.3～1.4",IF(AO4152&lt;2,"1.5～1.9","2.0以上"))))))</f>
        <v/>
      </c>
      <c r="AQ4152" s="8" t="str">
        <f aca="false">IF(A4152="","",IF(ISNUMBER(SEARCH("2歳",Z4152)),"2歳戦",IF(ISNUMBER(SEARCH("3歳未勝利",Z4152)),"3歳未勝利",IF(ISNUMBER(SEARCH("未勝利",Z4152)),"その他未勝利",IF(ISNUMBER(SEARCH("G1",Z4152)),"G1",IF(ISNUMBER(SEARCH("G2",Z4152)),"G2",IF(ISNUMBER(SEARCH("G3",Z4152)),"G3",IF(ISNUMBER(SEARCH("古馬条件",Z4152)),"古馬条件戦",IF(ISNUMBER(SEARCH("重賞",Z4152)),"重賞","分類不能")))))))))</f>
        <v/>
      </c>
    </row>
    <row r="4153" customFormat="false" ht="15.75" hidden="false" customHeight="false" outlineLevel="0" collapsed="false">
      <c r="AO4153" s="8" t="str">
        <f aca="false">IF(A4153="","",IF(COUNTIFS(全馬データ!$A$2:$A$50000,A4153,全馬データ!$B$2:$B$50000,B4153,全馬データ!$C$2:$C$50000,C4153,全馬データ!$D$2:$D$50000,E4153,全馬データ!$K$2:$K$50000,"&lt;&gt;")=0,"",SUMIFS(全馬データ!$K$2:$K$50000,全馬データ!$A$2:$A$50000,A4153,全馬データ!$B$2:$B$50000,B4153,全馬データ!$C$2:$C$50000,C4153,全馬データ!$D$2:$D$50000,E4153)))</f>
        <v/>
      </c>
      <c r="AP4153" s="8" t="str">
        <f aca="false">IF(A4153="","",IF(AO4153="","欠損",IF(AO4153&lt;=1.1,"1.0～1.1",IF(AO4153&lt;1.3,"1.2",IF(AO4153&lt;1.5,"1.3～1.4",IF(AO4153&lt;2,"1.5～1.9","2.0以上"))))))</f>
        <v/>
      </c>
      <c r="AQ4153" s="8" t="str">
        <f aca="false">IF(A4153="","",IF(ISNUMBER(SEARCH("2歳",Z4153)),"2歳戦",IF(ISNUMBER(SEARCH("3歳未勝利",Z4153)),"3歳未勝利",IF(ISNUMBER(SEARCH("未勝利",Z4153)),"その他未勝利",IF(ISNUMBER(SEARCH("G1",Z4153)),"G1",IF(ISNUMBER(SEARCH("G2",Z4153)),"G2",IF(ISNUMBER(SEARCH("G3",Z4153)),"G3",IF(ISNUMBER(SEARCH("古馬条件",Z4153)),"古馬条件戦",IF(ISNUMBER(SEARCH("重賞",Z4153)),"重賞","分類不能")))))))))</f>
        <v/>
      </c>
    </row>
    <row r="4154" customFormat="false" ht="15.75" hidden="false" customHeight="false" outlineLevel="0" collapsed="false">
      <c r="AO4154" s="8" t="str">
        <f aca="false">IF(A4154="","",IF(COUNTIFS(全馬データ!$A$2:$A$50000,A4154,全馬データ!$B$2:$B$50000,B4154,全馬データ!$C$2:$C$50000,C4154,全馬データ!$D$2:$D$50000,E4154,全馬データ!$K$2:$K$50000,"&lt;&gt;")=0,"",SUMIFS(全馬データ!$K$2:$K$50000,全馬データ!$A$2:$A$50000,A4154,全馬データ!$B$2:$B$50000,B4154,全馬データ!$C$2:$C$50000,C4154,全馬データ!$D$2:$D$50000,E4154)))</f>
        <v/>
      </c>
      <c r="AP4154" s="8" t="str">
        <f aca="false">IF(A4154="","",IF(AO4154="","欠損",IF(AO4154&lt;=1.1,"1.0～1.1",IF(AO4154&lt;1.3,"1.2",IF(AO4154&lt;1.5,"1.3～1.4",IF(AO4154&lt;2,"1.5～1.9","2.0以上"))))))</f>
        <v/>
      </c>
      <c r="AQ4154" s="8" t="str">
        <f aca="false">IF(A4154="","",IF(ISNUMBER(SEARCH("2歳",Z4154)),"2歳戦",IF(ISNUMBER(SEARCH("3歳未勝利",Z4154)),"3歳未勝利",IF(ISNUMBER(SEARCH("未勝利",Z4154)),"その他未勝利",IF(ISNUMBER(SEARCH("G1",Z4154)),"G1",IF(ISNUMBER(SEARCH("G2",Z4154)),"G2",IF(ISNUMBER(SEARCH("G3",Z4154)),"G3",IF(ISNUMBER(SEARCH("古馬条件",Z4154)),"古馬条件戦",IF(ISNUMBER(SEARCH("重賞",Z4154)),"重賞","分類不能")))))))))</f>
        <v/>
      </c>
    </row>
    <row r="4155" customFormat="false" ht="15.75" hidden="false" customHeight="false" outlineLevel="0" collapsed="false">
      <c r="AO4155" s="8" t="str">
        <f aca="false">IF(A4155="","",IF(COUNTIFS(全馬データ!$A$2:$A$50000,A4155,全馬データ!$B$2:$B$50000,B4155,全馬データ!$C$2:$C$50000,C4155,全馬データ!$D$2:$D$50000,E4155,全馬データ!$K$2:$K$50000,"&lt;&gt;")=0,"",SUMIFS(全馬データ!$K$2:$K$50000,全馬データ!$A$2:$A$50000,A4155,全馬データ!$B$2:$B$50000,B4155,全馬データ!$C$2:$C$50000,C4155,全馬データ!$D$2:$D$50000,E4155)))</f>
        <v/>
      </c>
      <c r="AP4155" s="8" t="str">
        <f aca="false">IF(A4155="","",IF(AO4155="","欠損",IF(AO4155&lt;=1.1,"1.0～1.1",IF(AO4155&lt;1.3,"1.2",IF(AO4155&lt;1.5,"1.3～1.4",IF(AO4155&lt;2,"1.5～1.9","2.0以上"))))))</f>
        <v/>
      </c>
      <c r="AQ4155" s="8" t="str">
        <f aca="false">IF(A4155="","",IF(ISNUMBER(SEARCH("2歳",Z4155)),"2歳戦",IF(ISNUMBER(SEARCH("3歳未勝利",Z4155)),"3歳未勝利",IF(ISNUMBER(SEARCH("未勝利",Z4155)),"その他未勝利",IF(ISNUMBER(SEARCH("G1",Z4155)),"G1",IF(ISNUMBER(SEARCH("G2",Z4155)),"G2",IF(ISNUMBER(SEARCH("G3",Z4155)),"G3",IF(ISNUMBER(SEARCH("古馬条件",Z4155)),"古馬条件戦",IF(ISNUMBER(SEARCH("重賞",Z4155)),"重賞","分類不能")))))))))</f>
        <v/>
      </c>
    </row>
    <row r="4156" customFormat="false" ht="15.75" hidden="false" customHeight="false" outlineLevel="0" collapsed="false">
      <c r="AO4156" s="8" t="str">
        <f aca="false">IF(A4156="","",IF(COUNTIFS(全馬データ!$A$2:$A$50000,A4156,全馬データ!$B$2:$B$50000,B4156,全馬データ!$C$2:$C$50000,C4156,全馬データ!$D$2:$D$50000,E4156,全馬データ!$K$2:$K$50000,"&lt;&gt;")=0,"",SUMIFS(全馬データ!$K$2:$K$50000,全馬データ!$A$2:$A$50000,A4156,全馬データ!$B$2:$B$50000,B4156,全馬データ!$C$2:$C$50000,C4156,全馬データ!$D$2:$D$50000,E4156)))</f>
        <v/>
      </c>
      <c r="AP4156" s="8" t="str">
        <f aca="false">IF(A4156="","",IF(AO4156="","欠損",IF(AO4156&lt;=1.1,"1.0～1.1",IF(AO4156&lt;1.3,"1.2",IF(AO4156&lt;1.5,"1.3～1.4",IF(AO4156&lt;2,"1.5～1.9","2.0以上"))))))</f>
        <v/>
      </c>
      <c r="AQ4156" s="8" t="str">
        <f aca="false">IF(A4156="","",IF(ISNUMBER(SEARCH("2歳",Z4156)),"2歳戦",IF(ISNUMBER(SEARCH("3歳未勝利",Z4156)),"3歳未勝利",IF(ISNUMBER(SEARCH("未勝利",Z4156)),"その他未勝利",IF(ISNUMBER(SEARCH("G1",Z4156)),"G1",IF(ISNUMBER(SEARCH("G2",Z4156)),"G2",IF(ISNUMBER(SEARCH("G3",Z4156)),"G3",IF(ISNUMBER(SEARCH("古馬条件",Z4156)),"古馬条件戦",IF(ISNUMBER(SEARCH("重賞",Z4156)),"重賞","分類不能")))))))))</f>
        <v/>
      </c>
    </row>
    <row r="4157" customFormat="false" ht="15.75" hidden="false" customHeight="false" outlineLevel="0" collapsed="false">
      <c r="AO4157" s="8" t="str">
        <f aca="false">IF(A4157="","",IF(COUNTIFS(全馬データ!$A$2:$A$50000,A4157,全馬データ!$B$2:$B$50000,B4157,全馬データ!$C$2:$C$50000,C4157,全馬データ!$D$2:$D$50000,E4157,全馬データ!$K$2:$K$50000,"&lt;&gt;")=0,"",SUMIFS(全馬データ!$K$2:$K$50000,全馬データ!$A$2:$A$50000,A4157,全馬データ!$B$2:$B$50000,B4157,全馬データ!$C$2:$C$50000,C4157,全馬データ!$D$2:$D$50000,E4157)))</f>
        <v/>
      </c>
      <c r="AP4157" s="8" t="str">
        <f aca="false">IF(A4157="","",IF(AO4157="","欠損",IF(AO4157&lt;=1.1,"1.0～1.1",IF(AO4157&lt;1.3,"1.2",IF(AO4157&lt;1.5,"1.3～1.4",IF(AO4157&lt;2,"1.5～1.9","2.0以上"))))))</f>
        <v/>
      </c>
      <c r="AQ4157" s="8" t="str">
        <f aca="false">IF(A4157="","",IF(ISNUMBER(SEARCH("2歳",Z4157)),"2歳戦",IF(ISNUMBER(SEARCH("3歳未勝利",Z4157)),"3歳未勝利",IF(ISNUMBER(SEARCH("未勝利",Z4157)),"その他未勝利",IF(ISNUMBER(SEARCH("G1",Z4157)),"G1",IF(ISNUMBER(SEARCH("G2",Z4157)),"G2",IF(ISNUMBER(SEARCH("G3",Z4157)),"G3",IF(ISNUMBER(SEARCH("古馬条件",Z4157)),"古馬条件戦",IF(ISNUMBER(SEARCH("重賞",Z4157)),"重賞","分類不能")))))))))</f>
        <v/>
      </c>
    </row>
    <row r="4158" customFormat="false" ht="15.75" hidden="false" customHeight="false" outlineLevel="0" collapsed="false">
      <c r="AO4158" s="8" t="str">
        <f aca="false">IF(A4158="","",IF(COUNTIFS(全馬データ!$A$2:$A$50000,A4158,全馬データ!$B$2:$B$50000,B4158,全馬データ!$C$2:$C$50000,C4158,全馬データ!$D$2:$D$50000,E4158,全馬データ!$K$2:$K$50000,"&lt;&gt;")=0,"",SUMIFS(全馬データ!$K$2:$K$50000,全馬データ!$A$2:$A$50000,A4158,全馬データ!$B$2:$B$50000,B4158,全馬データ!$C$2:$C$50000,C4158,全馬データ!$D$2:$D$50000,E4158)))</f>
        <v/>
      </c>
      <c r="AP4158" s="8" t="str">
        <f aca="false">IF(A4158="","",IF(AO4158="","欠損",IF(AO4158&lt;=1.1,"1.0～1.1",IF(AO4158&lt;1.3,"1.2",IF(AO4158&lt;1.5,"1.3～1.4",IF(AO4158&lt;2,"1.5～1.9","2.0以上"))))))</f>
        <v/>
      </c>
      <c r="AQ4158" s="8" t="str">
        <f aca="false">IF(A4158="","",IF(ISNUMBER(SEARCH("2歳",Z4158)),"2歳戦",IF(ISNUMBER(SEARCH("3歳未勝利",Z4158)),"3歳未勝利",IF(ISNUMBER(SEARCH("未勝利",Z4158)),"その他未勝利",IF(ISNUMBER(SEARCH("G1",Z4158)),"G1",IF(ISNUMBER(SEARCH("G2",Z4158)),"G2",IF(ISNUMBER(SEARCH("G3",Z4158)),"G3",IF(ISNUMBER(SEARCH("古馬条件",Z4158)),"古馬条件戦",IF(ISNUMBER(SEARCH("重賞",Z4158)),"重賞","分類不能")))))))))</f>
        <v/>
      </c>
    </row>
    <row r="4159" customFormat="false" ht="15.75" hidden="false" customHeight="false" outlineLevel="0" collapsed="false">
      <c r="AO4159" s="8" t="str">
        <f aca="false">IF(A4159="","",IF(COUNTIFS(全馬データ!$A$2:$A$50000,A4159,全馬データ!$B$2:$B$50000,B4159,全馬データ!$C$2:$C$50000,C4159,全馬データ!$D$2:$D$50000,E4159,全馬データ!$K$2:$K$50000,"&lt;&gt;")=0,"",SUMIFS(全馬データ!$K$2:$K$50000,全馬データ!$A$2:$A$50000,A4159,全馬データ!$B$2:$B$50000,B4159,全馬データ!$C$2:$C$50000,C4159,全馬データ!$D$2:$D$50000,E4159)))</f>
        <v/>
      </c>
      <c r="AP4159" s="8" t="str">
        <f aca="false">IF(A4159="","",IF(AO4159="","欠損",IF(AO4159&lt;=1.1,"1.0～1.1",IF(AO4159&lt;1.3,"1.2",IF(AO4159&lt;1.5,"1.3～1.4",IF(AO4159&lt;2,"1.5～1.9","2.0以上"))))))</f>
        <v/>
      </c>
      <c r="AQ4159" s="8" t="str">
        <f aca="false">IF(A4159="","",IF(ISNUMBER(SEARCH("2歳",Z4159)),"2歳戦",IF(ISNUMBER(SEARCH("3歳未勝利",Z4159)),"3歳未勝利",IF(ISNUMBER(SEARCH("未勝利",Z4159)),"その他未勝利",IF(ISNUMBER(SEARCH("G1",Z4159)),"G1",IF(ISNUMBER(SEARCH("G2",Z4159)),"G2",IF(ISNUMBER(SEARCH("G3",Z4159)),"G3",IF(ISNUMBER(SEARCH("古馬条件",Z4159)),"古馬条件戦",IF(ISNUMBER(SEARCH("重賞",Z4159)),"重賞","分類不能")))))))))</f>
        <v/>
      </c>
    </row>
    <row r="4160" customFormat="false" ht="15.75" hidden="false" customHeight="false" outlineLevel="0" collapsed="false">
      <c r="AO4160" s="8" t="str">
        <f aca="false">IF(A4160="","",IF(COUNTIFS(全馬データ!$A$2:$A$50000,A4160,全馬データ!$B$2:$B$50000,B4160,全馬データ!$C$2:$C$50000,C4160,全馬データ!$D$2:$D$50000,E4160,全馬データ!$K$2:$K$50000,"&lt;&gt;")=0,"",SUMIFS(全馬データ!$K$2:$K$50000,全馬データ!$A$2:$A$50000,A4160,全馬データ!$B$2:$B$50000,B4160,全馬データ!$C$2:$C$50000,C4160,全馬データ!$D$2:$D$50000,E4160)))</f>
        <v/>
      </c>
      <c r="AP4160" s="8" t="str">
        <f aca="false">IF(A4160="","",IF(AO4160="","欠損",IF(AO4160&lt;=1.1,"1.0～1.1",IF(AO4160&lt;1.3,"1.2",IF(AO4160&lt;1.5,"1.3～1.4",IF(AO4160&lt;2,"1.5～1.9","2.0以上"))))))</f>
        <v/>
      </c>
      <c r="AQ4160" s="8" t="str">
        <f aca="false">IF(A4160="","",IF(ISNUMBER(SEARCH("2歳",Z4160)),"2歳戦",IF(ISNUMBER(SEARCH("3歳未勝利",Z4160)),"3歳未勝利",IF(ISNUMBER(SEARCH("未勝利",Z4160)),"その他未勝利",IF(ISNUMBER(SEARCH("G1",Z4160)),"G1",IF(ISNUMBER(SEARCH("G2",Z4160)),"G2",IF(ISNUMBER(SEARCH("G3",Z4160)),"G3",IF(ISNUMBER(SEARCH("古馬条件",Z4160)),"古馬条件戦",IF(ISNUMBER(SEARCH("重賞",Z4160)),"重賞","分類不能")))))))))</f>
        <v/>
      </c>
    </row>
    <row r="4161" customFormat="false" ht="15.75" hidden="false" customHeight="false" outlineLevel="0" collapsed="false">
      <c r="AO4161" s="8" t="str">
        <f aca="false">IF(A4161="","",IF(COUNTIFS(全馬データ!$A$2:$A$50000,A4161,全馬データ!$B$2:$B$50000,B4161,全馬データ!$C$2:$C$50000,C4161,全馬データ!$D$2:$D$50000,E4161,全馬データ!$K$2:$K$50000,"&lt;&gt;")=0,"",SUMIFS(全馬データ!$K$2:$K$50000,全馬データ!$A$2:$A$50000,A4161,全馬データ!$B$2:$B$50000,B4161,全馬データ!$C$2:$C$50000,C4161,全馬データ!$D$2:$D$50000,E4161)))</f>
        <v/>
      </c>
      <c r="AP4161" s="8" t="str">
        <f aca="false">IF(A4161="","",IF(AO4161="","欠損",IF(AO4161&lt;=1.1,"1.0～1.1",IF(AO4161&lt;1.3,"1.2",IF(AO4161&lt;1.5,"1.3～1.4",IF(AO4161&lt;2,"1.5～1.9","2.0以上"))))))</f>
        <v/>
      </c>
      <c r="AQ4161" s="8" t="str">
        <f aca="false">IF(A4161="","",IF(ISNUMBER(SEARCH("2歳",Z4161)),"2歳戦",IF(ISNUMBER(SEARCH("3歳未勝利",Z4161)),"3歳未勝利",IF(ISNUMBER(SEARCH("未勝利",Z4161)),"その他未勝利",IF(ISNUMBER(SEARCH("G1",Z4161)),"G1",IF(ISNUMBER(SEARCH("G2",Z4161)),"G2",IF(ISNUMBER(SEARCH("G3",Z4161)),"G3",IF(ISNUMBER(SEARCH("古馬条件",Z4161)),"古馬条件戦",IF(ISNUMBER(SEARCH("重賞",Z4161)),"重賞","分類不能")))))))))</f>
        <v/>
      </c>
    </row>
    <row r="4162" customFormat="false" ht="15.75" hidden="false" customHeight="false" outlineLevel="0" collapsed="false">
      <c r="AO4162" s="8" t="str">
        <f aca="false">IF(A4162="","",IF(COUNTIFS(全馬データ!$A$2:$A$50000,A4162,全馬データ!$B$2:$B$50000,B4162,全馬データ!$C$2:$C$50000,C4162,全馬データ!$D$2:$D$50000,E4162,全馬データ!$K$2:$K$50000,"&lt;&gt;")=0,"",SUMIFS(全馬データ!$K$2:$K$50000,全馬データ!$A$2:$A$50000,A4162,全馬データ!$B$2:$B$50000,B4162,全馬データ!$C$2:$C$50000,C4162,全馬データ!$D$2:$D$50000,E4162)))</f>
        <v/>
      </c>
      <c r="AP4162" s="8" t="str">
        <f aca="false">IF(A4162="","",IF(AO4162="","欠損",IF(AO4162&lt;=1.1,"1.0～1.1",IF(AO4162&lt;1.3,"1.2",IF(AO4162&lt;1.5,"1.3～1.4",IF(AO4162&lt;2,"1.5～1.9","2.0以上"))))))</f>
        <v/>
      </c>
      <c r="AQ4162" s="8" t="str">
        <f aca="false">IF(A4162="","",IF(ISNUMBER(SEARCH("2歳",Z4162)),"2歳戦",IF(ISNUMBER(SEARCH("3歳未勝利",Z4162)),"3歳未勝利",IF(ISNUMBER(SEARCH("未勝利",Z4162)),"その他未勝利",IF(ISNUMBER(SEARCH("G1",Z4162)),"G1",IF(ISNUMBER(SEARCH("G2",Z4162)),"G2",IF(ISNUMBER(SEARCH("G3",Z4162)),"G3",IF(ISNUMBER(SEARCH("古馬条件",Z4162)),"古馬条件戦",IF(ISNUMBER(SEARCH("重賞",Z4162)),"重賞","分類不能")))))))))</f>
        <v/>
      </c>
    </row>
    <row r="4163" customFormat="false" ht="15.75" hidden="false" customHeight="false" outlineLevel="0" collapsed="false">
      <c r="AO4163" s="8" t="str">
        <f aca="false">IF(A4163="","",IF(COUNTIFS(全馬データ!$A$2:$A$50000,A4163,全馬データ!$B$2:$B$50000,B4163,全馬データ!$C$2:$C$50000,C4163,全馬データ!$D$2:$D$50000,E4163,全馬データ!$K$2:$K$50000,"&lt;&gt;")=0,"",SUMIFS(全馬データ!$K$2:$K$50000,全馬データ!$A$2:$A$50000,A4163,全馬データ!$B$2:$B$50000,B4163,全馬データ!$C$2:$C$50000,C4163,全馬データ!$D$2:$D$50000,E4163)))</f>
        <v/>
      </c>
      <c r="AP4163" s="8" t="str">
        <f aca="false">IF(A4163="","",IF(AO4163="","欠損",IF(AO4163&lt;=1.1,"1.0～1.1",IF(AO4163&lt;1.3,"1.2",IF(AO4163&lt;1.5,"1.3～1.4",IF(AO4163&lt;2,"1.5～1.9","2.0以上"))))))</f>
        <v/>
      </c>
      <c r="AQ4163" s="8" t="str">
        <f aca="false">IF(A4163="","",IF(ISNUMBER(SEARCH("2歳",Z4163)),"2歳戦",IF(ISNUMBER(SEARCH("3歳未勝利",Z4163)),"3歳未勝利",IF(ISNUMBER(SEARCH("未勝利",Z4163)),"その他未勝利",IF(ISNUMBER(SEARCH("G1",Z4163)),"G1",IF(ISNUMBER(SEARCH("G2",Z4163)),"G2",IF(ISNUMBER(SEARCH("G3",Z4163)),"G3",IF(ISNUMBER(SEARCH("古馬条件",Z4163)),"古馬条件戦",IF(ISNUMBER(SEARCH("重賞",Z4163)),"重賞","分類不能")))))))))</f>
        <v/>
      </c>
    </row>
    <row r="4164" customFormat="false" ht="15.75" hidden="false" customHeight="false" outlineLevel="0" collapsed="false">
      <c r="AO4164" s="8" t="str">
        <f aca="false">IF(A4164="","",IF(COUNTIFS(全馬データ!$A$2:$A$50000,A4164,全馬データ!$B$2:$B$50000,B4164,全馬データ!$C$2:$C$50000,C4164,全馬データ!$D$2:$D$50000,E4164,全馬データ!$K$2:$K$50000,"&lt;&gt;")=0,"",SUMIFS(全馬データ!$K$2:$K$50000,全馬データ!$A$2:$A$50000,A4164,全馬データ!$B$2:$B$50000,B4164,全馬データ!$C$2:$C$50000,C4164,全馬データ!$D$2:$D$50000,E4164)))</f>
        <v/>
      </c>
      <c r="AP4164" s="8" t="str">
        <f aca="false">IF(A4164="","",IF(AO4164="","欠損",IF(AO4164&lt;=1.1,"1.0～1.1",IF(AO4164&lt;1.3,"1.2",IF(AO4164&lt;1.5,"1.3～1.4",IF(AO4164&lt;2,"1.5～1.9","2.0以上"))))))</f>
        <v/>
      </c>
      <c r="AQ4164" s="8" t="str">
        <f aca="false">IF(A4164="","",IF(ISNUMBER(SEARCH("2歳",Z4164)),"2歳戦",IF(ISNUMBER(SEARCH("3歳未勝利",Z4164)),"3歳未勝利",IF(ISNUMBER(SEARCH("未勝利",Z4164)),"その他未勝利",IF(ISNUMBER(SEARCH("G1",Z4164)),"G1",IF(ISNUMBER(SEARCH("G2",Z4164)),"G2",IF(ISNUMBER(SEARCH("G3",Z4164)),"G3",IF(ISNUMBER(SEARCH("古馬条件",Z4164)),"古馬条件戦",IF(ISNUMBER(SEARCH("重賞",Z4164)),"重賞","分類不能")))))))))</f>
        <v/>
      </c>
    </row>
    <row r="4165" customFormat="false" ht="15.75" hidden="false" customHeight="false" outlineLevel="0" collapsed="false">
      <c r="AO4165" s="8" t="str">
        <f aca="false">IF(A4165="","",IF(COUNTIFS(全馬データ!$A$2:$A$50000,A4165,全馬データ!$B$2:$B$50000,B4165,全馬データ!$C$2:$C$50000,C4165,全馬データ!$D$2:$D$50000,E4165,全馬データ!$K$2:$K$50000,"&lt;&gt;")=0,"",SUMIFS(全馬データ!$K$2:$K$50000,全馬データ!$A$2:$A$50000,A4165,全馬データ!$B$2:$B$50000,B4165,全馬データ!$C$2:$C$50000,C4165,全馬データ!$D$2:$D$50000,E4165)))</f>
        <v/>
      </c>
      <c r="AP4165" s="8" t="str">
        <f aca="false">IF(A4165="","",IF(AO4165="","欠損",IF(AO4165&lt;=1.1,"1.0～1.1",IF(AO4165&lt;1.3,"1.2",IF(AO4165&lt;1.5,"1.3～1.4",IF(AO4165&lt;2,"1.5～1.9","2.0以上"))))))</f>
        <v/>
      </c>
      <c r="AQ4165" s="8" t="str">
        <f aca="false">IF(A4165="","",IF(ISNUMBER(SEARCH("2歳",Z4165)),"2歳戦",IF(ISNUMBER(SEARCH("3歳未勝利",Z4165)),"3歳未勝利",IF(ISNUMBER(SEARCH("未勝利",Z4165)),"その他未勝利",IF(ISNUMBER(SEARCH("G1",Z4165)),"G1",IF(ISNUMBER(SEARCH("G2",Z4165)),"G2",IF(ISNUMBER(SEARCH("G3",Z4165)),"G3",IF(ISNUMBER(SEARCH("古馬条件",Z4165)),"古馬条件戦",IF(ISNUMBER(SEARCH("重賞",Z4165)),"重賞","分類不能")))))))))</f>
        <v/>
      </c>
    </row>
    <row r="4166" customFormat="false" ht="15.75" hidden="false" customHeight="false" outlineLevel="0" collapsed="false">
      <c r="AO4166" s="8" t="str">
        <f aca="false">IF(A4166="","",IF(COUNTIFS(全馬データ!$A$2:$A$50000,A4166,全馬データ!$B$2:$B$50000,B4166,全馬データ!$C$2:$C$50000,C4166,全馬データ!$D$2:$D$50000,E4166,全馬データ!$K$2:$K$50000,"&lt;&gt;")=0,"",SUMIFS(全馬データ!$K$2:$K$50000,全馬データ!$A$2:$A$50000,A4166,全馬データ!$B$2:$B$50000,B4166,全馬データ!$C$2:$C$50000,C4166,全馬データ!$D$2:$D$50000,E4166)))</f>
        <v/>
      </c>
      <c r="AP4166" s="8" t="str">
        <f aca="false">IF(A4166="","",IF(AO4166="","欠損",IF(AO4166&lt;=1.1,"1.0～1.1",IF(AO4166&lt;1.3,"1.2",IF(AO4166&lt;1.5,"1.3～1.4",IF(AO4166&lt;2,"1.5～1.9","2.0以上"))))))</f>
        <v/>
      </c>
      <c r="AQ4166" s="8" t="str">
        <f aca="false">IF(A4166="","",IF(ISNUMBER(SEARCH("2歳",Z4166)),"2歳戦",IF(ISNUMBER(SEARCH("3歳未勝利",Z4166)),"3歳未勝利",IF(ISNUMBER(SEARCH("未勝利",Z4166)),"その他未勝利",IF(ISNUMBER(SEARCH("G1",Z4166)),"G1",IF(ISNUMBER(SEARCH("G2",Z4166)),"G2",IF(ISNUMBER(SEARCH("G3",Z4166)),"G3",IF(ISNUMBER(SEARCH("古馬条件",Z4166)),"古馬条件戦",IF(ISNUMBER(SEARCH("重賞",Z4166)),"重賞","分類不能")))))))))</f>
        <v/>
      </c>
    </row>
    <row r="4167" customFormat="false" ht="15.75" hidden="false" customHeight="false" outlineLevel="0" collapsed="false">
      <c r="AO4167" s="8" t="str">
        <f aca="false">IF(A4167="","",IF(COUNTIFS(全馬データ!$A$2:$A$50000,A4167,全馬データ!$B$2:$B$50000,B4167,全馬データ!$C$2:$C$50000,C4167,全馬データ!$D$2:$D$50000,E4167,全馬データ!$K$2:$K$50000,"&lt;&gt;")=0,"",SUMIFS(全馬データ!$K$2:$K$50000,全馬データ!$A$2:$A$50000,A4167,全馬データ!$B$2:$B$50000,B4167,全馬データ!$C$2:$C$50000,C4167,全馬データ!$D$2:$D$50000,E4167)))</f>
        <v/>
      </c>
      <c r="AP4167" s="8" t="str">
        <f aca="false">IF(A4167="","",IF(AO4167="","欠損",IF(AO4167&lt;=1.1,"1.0～1.1",IF(AO4167&lt;1.3,"1.2",IF(AO4167&lt;1.5,"1.3～1.4",IF(AO4167&lt;2,"1.5～1.9","2.0以上"))))))</f>
        <v/>
      </c>
      <c r="AQ4167" s="8" t="str">
        <f aca="false">IF(A4167="","",IF(ISNUMBER(SEARCH("2歳",Z4167)),"2歳戦",IF(ISNUMBER(SEARCH("3歳未勝利",Z4167)),"3歳未勝利",IF(ISNUMBER(SEARCH("未勝利",Z4167)),"その他未勝利",IF(ISNUMBER(SEARCH("G1",Z4167)),"G1",IF(ISNUMBER(SEARCH("G2",Z4167)),"G2",IF(ISNUMBER(SEARCH("G3",Z4167)),"G3",IF(ISNUMBER(SEARCH("古馬条件",Z4167)),"古馬条件戦",IF(ISNUMBER(SEARCH("重賞",Z4167)),"重賞","分類不能")))))))))</f>
        <v/>
      </c>
    </row>
    <row r="4168" customFormat="false" ht="15.75" hidden="false" customHeight="false" outlineLevel="0" collapsed="false">
      <c r="AO4168" s="8" t="str">
        <f aca="false">IF(A4168="","",IF(COUNTIFS(全馬データ!$A$2:$A$50000,A4168,全馬データ!$B$2:$B$50000,B4168,全馬データ!$C$2:$C$50000,C4168,全馬データ!$D$2:$D$50000,E4168,全馬データ!$K$2:$K$50000,"&lt;&gt;")=0,"",SUMIFS(全馬データ!$K$2:$K$50000,全馬データ!$A$2:$A$50000,A4168,全馬データ!$B$2:$B$50000,B4168,全馬データ!$C$2:$C$50000,C4168,全馬データ!$D$2:$D$50000,E4168)))</f>
        <v/>
      </c>
      <c r="AP4168" s="8" t="str">
        <f aca="false">IF(A4168="","",IF(AO4168="","欠損",IF(AO4168&lt;=1.1,"1.0～1.1",IF(AO4168&lt;1.3,"1.2",IF(AO4168&lt;1.5,"1.3～1.4",IF(AO4168&lt;2,"1.5～1.9","2.0以上"))))))</f>
        <v/>
      </c>
      <c r="AQ4168" s="8" t="str">
        <f aca="false">IF(A4168="","",IF(ISNUMBER(SEARCH("2歳",Z4168)),"2歳戦",IF(ISNUMBER(SEARCH("3歳未勝利",Z4168)),"3歳未勝利",IF(ISNUMBER(SEARCH("未勝利",Z4168)),"その他未勝利",IF(ISNUMBER(SEARCH("G1",Z4168)),"G1",IF(ISNUMBER(SEARCH("G2",Z4168)),"G2",IF(ISNUMBER(SEARCH("G3",Z4168)),"G3",IF(ISNUMBER(SEARCH("古馬条件",Z4168)),"古馬条件戦",IF(ISNUMBER(SEARCH("重賞",Z4168)),"重賞","分類不能")))))))))</f>
        <v/>
      </c>
    </row>
    <row r="4169" customFormat="false" ht="15.75" hidden="false" customHeight="false" outlineLevel="0" collapsed="false">
      <c r="AO4169" s="8" t="str">
        <f aca="false">IF(A4169="","",IF(COUNTIFS(全馬データ!$A$2:$A$50000,A4169,全馬データ!$B$2:$B$50000,B4169,全馬データ!$C$2:$C$50000,C4169,全馬データ!$D$2:$D$50000,E4169,全馬データ!$K$2:$K$50000,"&lt;&gt;")=0,"",SUMIFS(全馬データ!$K$2:$K$50000,全馬データ!$A$2:$A$50000,A4169,全馬データ!$B$2:$B$50000,B4169,全馬データ!$C$2:$C$50000,C4169,全馬データ!$D$2:$D$50000,E4169)))</f>
        <v/>
      </c>
      <c r="AP4169" s="8" t="str">
        <f aca="false">IF(A4169="","",IF(AO4169="","欠損",IF(AO4169&lt;=1.1,"1.0～1.1",IF(AO4169&lt;1.3,"1.2",IF(AO4169&lt;1.5,"1.3～1.4",IF(AO4169&lt;2,"1.5～1.9","2.0以上"))))))</f>
        <v/>
      </c>
      <c r="AQ4169" s="8" t="str">
        <f aca="false">IF(A4169="","",IF(ISNUMBER(SEARCH("2歳",Z4169)),"2歳戦",IF(ISNUMBER(SEARCH("3歳未勝利",Z4169)),"3歳未勝利",IF(ISNUMBER(SEARCH("未勝利",Z4169)),"その他未勝利",IF(ISNUMBER(SEARCH("G1",Z4169)),"G1",IF(ISNUMBER(SEARCH("G2",Z4169)),"G2",IF(ISNUMBER(SEARCH("G3",Z4169)),"G3",IF(ISNUMBER(SEARCH("古馬条件",Z4169)),"古馬条件戦",IF(ISNUMBER(SEARCH("重賞",Z4169)),"重賞","分類不能")))))))))</f>
        <v/>
      </c>
    </row>
    <row r="4170" customFormat="false" ht="15.75" hidden="false" customHeight="false" outlineLevel="0" collapsed="false">
      <c r="AO4170" s="8" t="str">
        <f aca="false">IF(A4170="","",IF(COUNTIFS(全馬データ!$A$2:$A$50000,A4170,全馬データ!$B$2:$B$50000,B4170,全馬データ!$C$2:$C$50000,C4170,全馬データ!$D$2:$D$50000,E4170,全馬データ!$K$2:$K$50000,"&lt;&gt;")=0,"",SUMIFS(全馬データ!$K$2:$K$50000,全馬データ!$A$2:$A$50000,A4170,全馬データ!$B$2:$B$50000,B4170,全馬データ!$C$2:$C$50000,C4170,全馬データ!$D$2:$D$50000,E4170)))</f>
        <v/>
      </c>
      <c r="AP4170" s="8" t="str">
        <f aca="false">IF(A4170="","",IF(AO4170="","欠損",IF(AO4170&lt;=1.1,"1.0～1.1",IF(AO4170&lt;1.3,"1.2",IF(AO4170&lt;1.5,"1.3～1.4",IF(AO4170&lt;2,"1.5～1.9","2.0以上"))))))</f>
        <v/>
      </c>
      <c r="AQ4170" s="8" t="str">
        <f aca="false">IF(A4170="","",IF(ISNUMBER(SEARCH("2歳",Z4170)),"2歳戦",IF(ISNUMBER(SEARCH("3歳未勝利",Z4170)),"3歳未勝利",IF(ISNUMBER(SEARCH("未勝利",Z4170)),"その他未勝利",IF(ISNUMBER(SEARCH("G1",Z4170)),"G1",IF(ISNUMBER(SEARCH("G2",Z4170)),"G2",IF(ISNUMBER(SEARCH("G3",Z4170)),"G3",IF(ISNUMBER(SEARCH("古馬条件",Z4170)),"古馬条件戦",IF(ISNUMBER(SEARCH("重賞",Z4170)),"重賞","分類不能")))))))))</f>
        <v/>
      </c>
    </row>
    <row r="4171" customFormat="false" ht="15.75" hidden="false" customHeight="false" outlineLevel="0" collapsed="false">
      <c r="AO4171" s="8" t="str">
        <f aca="false">IF(A4171="","",IF(COUNTIFS(全馬データ!$A$2:$A$50000,A4171,全馬データ!$B$2:$B$50000,B4171,全馬データ!$C$2:$C$50000,C4171,全馬データ!$D$2:$D$50000,E4171,全馬データ!$K$2:$K$50000,"&lt;&gt;")=0,"",SUMIFS(全馬データ!$K$2:$K$50000,全馬データ!$A$2:$A$50000,A4171,全馬データ!$B$2:$B$50000,B4171,全馬データ!$C$2:$C$50000,C4171,全馬データ!$D$2:$D$50000,E4171)))</f>
        <v/>
      </c>
      <c r="AP4171" s="8" t="str">
        <f aca="false">IF(A4171="","",IF(AO4171="","欠損",IF(AO4171&lt;=1.1,"1.0～1.1",IF(AO4171&lt;1.3,"1.2",IF(AO4171&lt;1.5,"1.3～1.4",IF(AO4171&lt;2,"1.5～1.9","2.0以上"))))))</f>
        <v/>
      </c>
      <c r="AQ4171" s="8" t="str">
        <f aca="false">IF(A4171="","",IF(ISNUMBER(SEARCH("2歳",Z4171)),"2歳戦",IF(ISNUMBER(SEARCH("3歳未勝利",Z4171)),"3歳未勝利",IF(ISNUMBER(SEARCH("未勝利",Z4171)),"その他未勝利",IF(ISNUMBER(SEARCH("G1",Z4171)),"G1",IF(ISNUMBER(SEARCH("G2",Z4171)),"G2",IF(ISNUMBER(SEARCH("G3",Z4171)),"G3",IF(ISNUMBER(SEARCH("古馬条件",Z4171)),"古馬条件戦",IF(ISNUMBER(SEARCH("重賞",Z4171)),"重賞","分類不能")))))))))</f>
        <v/>
      </c>
    </row>
    <row r="4172" customFormat="false" ht="15.75" hidden="false" customHeight="false" outlineLevel="0" collapsed="false">
      <c r="AO4172" s="8" t="str">
        <f aca="false">IF(A4172="","",IF(COUNTIFS(全馬データ!$A$2:$A$50000,A4172,全馬データ!$B$2:$B$50000,B4172,全馬データ!$C$2:$C$50000,C4172,全馬データ!$D$2:$D$50000,E4172,全馬データ!$K$2:$K$50000,"&lt;&gt;")=0,"",SUMIFS(全馬データ!$K$2:$K$50000,全馬データ!$A$2:$A$50000,A4172,全馬データ!$B$2:$B$50000,B4172,全馬データ!$C$2:$C$50000,C4172,全馬データ!$D$2:$D$50000,E4172)))</f>
        <v/>
      </c>
      <c r="AP4172" s="8" t="str">
        <f aca="false">IF(A4172="","",IF(AO4172="","欠損",IF(AO4172&lt;=1.1,"1.0～1.1",IF(AO4172&lt;1.3,"1.2",IF(AO4172&lt;1.5,"1.3～1.4",IF(AO4172&lt;2,"1.5～1.9","2.0以上"))))))</f>
        <v/>
      </c>
      <c r="AQ4172" s="8" t="str">
        <f aca="false">IF(A4172="","",IF(ISNUMBER(SEARCH("2歳",Z4172)),"2歳戦",IF(ISNUMBER(SEARCH("3歳未勝利",Z4172)),"3歳未勝利",IF(ISNUMBER(SEARCH("未勝利",Z4172)),"その他未勝利",IF(ISNUMBER(SEARCH("G1",Z4172)),"G1",IF(ISNUMBER(SEARCH("G2",Z4172)),"G2",IF(ISNUMBER(SEARCH("G3",Z4172)),"G3",IF(ISNUMBER(SEARCH("古馬条件",Z4172)),"古馬条件戦",IF(ISNUMBER(SEARCH("重賞",Z4172)),"重賞","分類不能")))))))))</f>
        <v/>
      </c>
    </row>
    <row r="4173" customFormat="false" ht="15.75" hidden="false" customHeight="false" outlineLevel="0" collapsed="false">
      <c r="AO4173" s="8" t="str">
        <f aca="false">IF(A4173="","",IF(COUNTIFS(全馬データ!$A$2:$A$50000,A4173,全馬データ!$B$2:$B$50000,B4173,全馬データ!$C$2:$C$50000,C4173,全馬データ!$D$2:$D$50000,E4173,全馬データ!$K$2:$K$50000,"&lt;&gt;")=0,"",SUMIFS(全馬データ!$K$2:$K$50000,全馬データ!$A$2:$A$50000,A4173,全馬データ!$B$2:$B$50000,B4173,全馬データ!$C$2:$C$50000,C4173,全馬データ!$D$2:$D$50000,E4173)))</f>
        <v/>
      </c>
      <c r="AP4173" s="8" t="str">
        <f aca="false">IF(A4173="","",IF(AO4173="","欠損",IF(AO4173&lt;=1.1,"1.0～1.1",IF(AO4173&lt;1.3,"1.2",IF(AO4173&lt;1.5,"1.3～1.4",IF(AO4173&lt;2,"1.5～1.9","2.0以上"))))))</f>
        <v/>
      </c>
      <c r="AQ4173" s="8" t="str">
        <f aca="false">IF(A4173="","",IF(ISNUMBER(SEARCH("2歳",Z4173)),"2歳戦",IF(ISNUMBER(SEARCH("3歳未勝利",Z4173)),"3歳未勝利",IF(ISNUMBER(SEARCH("未勝利",Z4173)),"その他未勝利",IF(ISNUMBER(SEARCH("G1",Z4173)),"G1",IF(ISNUMBER(SEARCH("G2",Z4173)),"G2",IF(ISNUMBER(SEARCH("G3",Z4173)),"G3",IF(ISNUMBER(SEARCH("古馬条件",Z4173)),"古馬条件戦",IF(ISNUMBER(SEARCH("重賞",Z4173)),"重賞","分類不能")))))))))</f>
        <v/>
      </c>
    </row>
    <row r="4174" customFormat="false" ht="15.75" hidden="false" customHeight="false" outlineLevel="0" collapsed="false">
      <c r="AO4174" s="8" t="str">
        <f aca="false">IF(A4174="","",IF(COUNTIFS(全馬データ!$A$2:$A$50000,A4174,全馬データ!$B$2:$B$50000,B4174,全馬データ!$C$2:$C$50000,C4174,全馬データ!$D$2:$D$50000,E4174,全馬データ!$K$2:$K$50000,"&lt;&gt;")=0,"",SUMIFS(全馬データ!$K$2:$K$50000,全馬データ!$A$2:$A$50000,A4174,全馬データ!$B$2:$B$50000,B4174,全馬データ!$C$2:$C$50000,C4174,全馬データ!$D$2:$D$50000,E4174)))</f>
        <v/>
      </c>
      <c r="AP4174" s="8" t="str">
        <f aca="false">IF(A4174="","",IF(AO4174="","欠損",IF(AO4174&lt;=1.1,"1.0～1.1",IF(AO4174&lt;1.3,"1.2",IF(AO4174&lt;1.5,"1.3～1.4",IF(AO4174&lt;2,"1.5～1.9","2.0以上"))))))</f>
        <v/>
      </c>
      <c r="AQ4174" s="8" t="str">
        <f aca="false">IF(A4174="","",IF(ISNUMBER(SEARCH("2歳",Z4174)),"2歳戦",IF(ISNUMBER(SEARCH("3歳未勝利",Z4174)),"3歳未勝利",IF(ISNUMBER(SEARCH("未勝利",Z4174)),"その他未勝利",IF(ISNUMBER(SEARCH("G1",Z4174)),"G1",IF(ISNUMBER(SEARCH("G2",Z4174)),"G2",IF(ISNUMBER(SEARCH("G3",Z4174)),"G3",IF(ISNUMBER(SEARCH("古馬条件",Z4174)),"古馬条件戦",IF(ISNUMBER(SEARCH("重賞",Z4174)),"重賞","分類不能")))))))))</f>
        <v/>
      </c>
    </row>
    <row r="4175" customFormat="false" ht="15.75" hidden="false" customHeight="false" outlineLevel="0" collapsed="false">
      <c r="AO4175" s="8" t="str">
        <f aca="false">IF(A4175="","",IF(COUNTIFS(全馬データ!$A$2:$A$50000,A4175,全馬データ!$B$2:$B$50000,B4175,全馬データ!$C$2:$C$50000,C4175,全馬データ!$D$2:$D$50000,E4175,全馬データ!$K$2:$K$50000,"&lt;&gt;")=0,"",SUMIFS(全馬データ!$K$2:$K$50000,全馬データ!$A$2:$A$50000,A4175,全馬データ!$B$2:$B$50000,B4175,全馬データ!$C$2:$C$50000,C4175,全馬データ!$D$2:$D$50000,E4175)))</f>
        <v/>
      </c>
      <c r="AP4175" s="8" t="str">
        <f aca="false">IF(A4175="","",IF(AO4175="","欠損",IF(AO4175&lt;=1.1,"1.0～1.1",IF(AO4175&lt;1.3,"1.2",IF(AO4175&lt;1.5,"1.3～1.4",IF(AO4175&lt;2,"1.5～1.9","2.0以上"))))))</f>
        <v/>
      </c>
      <c r="AQ4175" s="8" t="str">
        <f aca="false">IF(A4175="","",IF(ISNUMBER(SEARCH("2歳",Z4175)),"2歳戦",IF(ISNUMBER(SEARCH("3歳未勝利",Z4175)),"3歳未勝利",IF(ISNUMBER(SEARCH("未勝利",Z4175)),"その他未勝利",IF(ISNUMBER(SEARCH("G1",Z4175)),"G1",IF(ISNUMBER(SEARCH("G2",Z4175)),"G2",IF(ISNUMBER(SEARCH("G3",Z4175)),"G3",IF(ISNUMBER(SEARCH("古馬条件",Z4175)),"古馬条件戦",IF(ISNUMBER(SEARCH("重賞",Z4175)),"重賞","分類不能")))))))))</f>
        <v/>
      </c>
    </row>
    <row r="4176" customFormat="false" ht="15.75" hidden="false" customHeight="false" outlineLevel="0" collapsed="false">
      <c r="AO4176" s="8" t="str">
        <f aca="false">IF(A4176="","",IF(COUNTIFS(全馬データ!$A$2:$A$50000,A4176,全馬データ!$B$2:$B$50000,B4176,全馬データ!$C$2:$C$50000,C4176,全馬データ!$D$2:$D$50000,E4176,全馬データ!$K$2:$K$50000,"&lt;&gt;")=0,"",SUMIFS(全馬データ!$K$2:$K$50000,全馬データ!$A$2:$A$50000,A4176,全馬データ!$B$2:$B$50000,B4176,全馬データ!$C$2:$C$50000,C4176,全馬データ!$D$2:$D$50000,E4176)))</f>
        <v/>
      </c>
      <c r="AP4176" s="8" t="str">
        <f aca="false">IF(A4176="","",IF(AO4176="","欠損",IF(AO4176&lt;=1.1,"1.0～1.1",IF(AO4176&lt;1.3,"1.2",IF(AO4176&lt;1.5,"1.3～1.4",IF(AO4176&lt;2,"1.5～1.9","2.0以上"))))))</f>
        <v/>
      </c>
      <c r="AQ4176" s="8" t="str">
        <f aca="false">IF(A4176="","",IF(ISNUMBER(SEARCH("2歳",Z4176)),"2歳戦",IF(ISNUMBER(SEARCH("3歳未勝利",Z4176)),"3歳未勝利",IF(ISNUMBER(SEARCH("未勝利",Z4176)),"その他未勝利",IF(ISNUMBER(SEARCH("G1",Z4176)),"G1",IF(ISNUMBER(SEARCH("G2",Z4176)),"G2",IF(ISNUMBER(SEARCH("G3",Z4176)),"G3",IF(ISNUMBER(SEARCH("古馬条件",Z4176)),"古馬条件戦",IF(ISNUMBER(SEARCH("重賞",Z4176)),"重賞","分類不能")))))))))</f>
        <v/>
      </c>
    </row>
    <row r="4177" customFormat="false" ht="15.75" hidden="false" customHeight="false" outlineLevel="0" collapsed="false">
      <c r="AO4177" s="8" t="str">
        <f aca="false">IF(A4177="","",IF(COUNTIFS(全馬データ!$A$2:$A$50000,A4177,全馬データ!$B$2:$B$50000,B4177,全馬データ!$C$2:$C$50000,C4177,全馬データ!$D$2:$D$50000,E4177,全馬データ!$K$2:$K$50000,"&lt;&gt;")=0,"",SUMIFS(全馬データ!$K$2:$K$50000,全馬データ!$A$2:$A$50000,A4177,全馬データ!$B$2:$B$50000,B4177,全馬データ!$C$2:$C$50000,C4177,全馬データ!$D$2:$D$50000,E4177)))</f>
        <v/>
      </c>
      <c r="AP4177" s="8" t="str">
        <f aca="false">IF(A4177="","",IF(AO4177="","欠損",IF(AO4177&lt;=1.1,"1.0～1.1",IF(AO4177&lt;1.3,"1.2",IF(AO4177&lt;1.5,"1.3～1.4",IF(AO4177&lt;2,"1.5～1.9","2.0以上"))))))</f>
        <v/>
      </c>
      <c r="AQ4177" s="8" t="str">
        <f aca="false">IF(A4177="","",IF(ISNUMBER(SEARCH("2歳",Z4177)),"2歳戦",IF(ISNUMBER(SEARCH("3歳未勝利",Z4177)),"3歳未勝利",IF(ISNUMBER(SEARCH("未勝利",Z4177)),"その他未勝利",IF(ISNUMBER(SEARCH("G1",Z4177)),"G1",IF(ISNUMBER(SEARCH("G2",Z4177)),"G2",IF(ISNUMBER(SEARCH("G3",Z4177)),"G3",IF(ISNUMBER(SEARCH("古馬条件",Z4177)),"古馬条件戦",IF(ISNUMBER(SEARCH("重賞",Z4177)),"重賞","分類不能")))))))))</f>
        <v/>
      </c>
    </row>
    <row r="4178" customFormat="false" ht="15.75" hidden="false" customHeight="false" outlineLevel="0" collapsed="false">
      <c r="AO4178" s="8" t="str">
        <f aca="false">IF(A4178="","",IF(COUNTIFS(全馬データ!$A$2:$A$50000,A4178,全馬データ!$B$2:$B$50000,B4178,全馬データ!$C$2:$C$50000,C4178,全馬データ!$D$2:$D$50000,E4178,全馬データ!$K$2:$K$50000,"&lt;&gt;")=0,"",SUMIFS(全馬データ!$K$2:$K$50000,全馬データ!$A$2:$A$50000,A4178,全馬データ!$B$2:$B$50000,B4178,全馬データ!$C$2:$C$50000,C4178,全馬データ!$D$2:$D$50000,E4178)))</f>
        <v/>
      </c>
      <c r="AP4178" s="8" t="str">
        <f aca="false">IF(A4178="","",IF(AO4178="","欠損",IF(AO4178&lt;=1.1,"1.0～1.1",IF(AO4178&lt;1.3,"1.2",IF(AO4178&lt;1.5,"1.3～1.4",IF(AO4178&lt;2,"1.5～1.9","2.0以上"))))))</f>
        <v/>
      </c>
      <c r="AQ4178" s="8" t="str">
        <f aca="false">IF(A4178="","",IF(ISNUMBER(SEARCH("2歳",Z4178)),"2歳戦",IF(ISNUMBER(SEARCH("3歳未勝利",Z4178)),"3歳未勝利",IF(ISNUMBER(SEARCH("未勝利",Z4178)),"その他未勝利",IF(ISNUMBER(SEARCH("G1",Z4178)),"G1",IF(ISNUMBER(SEARCH("G2",Z4178)),"G2",IF(ISNUMBER(SEARCH("G3",Z4178)),"G3",IF(ISNUMBER(SEARCH("古馬条件",Z4178)),"古馬条件戦",IF(ISNUMBER(SEARCH("重賞",Z4178)),"重賞","分類不能")))))))))</f>
        <v/>
      </c>
    </row>
    <row r="4179" customFormat="false" ht="15.75" hidden="false" customHeight="false" outlineLevel="0" collapsed="false">
      <c r="AO4179" s="8" t="str">
        <f aca="false">IF(A4179="","",IF(COUNTIFS(全馬データ!$A$2:$A$50000,A4179,全馬データ!$B$2:$B$50000,B4179,全馬データ!$C$2:$C$50000,C4179,全馬データ!$D$2:$D$50000,E4179,全馬データ!$K$2:$K$50000,"&lt;&gt;")=0,"",SUMIFS(全馬データ!$K$2:$K$50000,全馬データ!$A$2:$A$50000,A4179,全馬データ!$B$2:$B$50000,B4179,全馬データ!$C$2:$C$50000,C4179,全馬データ!$D$2:$D$50000,E4179)))</f>
        <v/>
      </c>
      <c r="AP4179" s="8" t="str">
        <f aca="false">IF(A4179="","",IF(AO4179="","欠損",IF(AO4179&lt;=1.1,"1.0～1.1",IF(AO4179&lt;1.3,"1.2",IF(AO4179&lt;1.5,"1.3～1.4",IF(AO4179&lt;2,"1.5～1.9","2.0以上"))))))</f>
        <v/>
      </c>
      <c r="AQ4179" s="8" t="str">
        <f aca="false">IF(A4179="","",IF(ISNUMBER(SEARCH("2歳",Z4179)),"2歳戦",IF(ISNUMBER(SEARCH("3歳未勝利",Z4179)),"3歳未勝利",IF(ISNUMBER(SEARCH("未勝利",Z4179)),"その他未勝利",IF(ISNUMBER(SEARCH("G1",Z4179)),"G1",IF(ISNUMBER(SEARCH("G2",Z4179)),"G2",IF(ISNUMBER(SEARCH("G3",Z4179)),"G3",IF(ISNUMBER(SEARCH("古馬条件",Z4179)),"古馬条件戦",IF(ISNUMBER(SEARCH("重賞",Z4179)),"重賞","分類不能")))))))))</f>
        <v/>
      </c>
    </row>
    <row r="4180" customFormat="false" ht="15.75" hidden="false" customHeight="false" outlineLevel="0" collapsed="false">
      <c r="AO4180" s="8" t="str">
        <f aca="false">IF(A4180="","",IF(COUNTIFS(全馬データ!$A$2:$A$50000,A4180,全馬データ!$B$2:$B$50000,B4180,全馬データ!$C$2:$C$50000,C4180,全馬データ!$D$2:$D$50000,E4180,全馬データ!$K$2:$K$50000,"&lt;&gt;")=0,"",SUMIFS(全馬データ!$K$2:$K$50000,全馬データ!$A$2:$A$50000,A4180,全馬データ!$B$2:$B$50000,B4180,全馬データ!$C$2:$C$50000,C4180,全馬データ!$D$2:$D$50000,E4180)))</f>
        <v/>
      </c>
      <c r="AP4180" s="8" t="str">
        <f aca="false">IF(A4180="","",IF(AO4180="","欠損",IF(AO4180&lt;=1.1,"1.0～1.1",IF(AO4180&lt;1.3,"1.2",IF(AO4180&lt;1.5,"1.3～1.4",IF(AO4180&lt;2,"1.5～1.9","2.0以上"))))))</f>
        <v/>
      </c>
      <c r="AQ4180" s="8" t="str">
        <f aca="false">IF(A4180="","",IF(ISNUMBER(SEARCH("2歳",Z4180)),"2歳戦",IF(ISNUMBER(SEARCH("3歳未勝利",Z4180)),"3歳未勝利",IF(ISNUMBER(SEARCH("未勝利",Z4180)),"その他未勝利",IF(ISNUMBER(SEARCH("G1",Z4180)),"G1",IF(ISNUMBER(SEARCH("G2",Z4180)),"G2",IF(ISNUMBER(SEARCH("G3",Z4180)),"G3",IF(ISNUMBER(SEARCH("古馬条件",Z4180)),"古馬条件戦",IF(ISNUMBER(SEARCH("重賞",Z4180)),"重賞","分類不能")))))))))</f>
        <v/>
      </c>
    </row>
    <row r="4181" customFormat="false" ht="15.75" hidden="false" customHeight="false" outlineLevel="0" collapsed="false">
      <c r="AO4181" s="8" t="str">
        <f aca="false">IF(A4181="","",IF(COUNTIFS(全馬データ!$A$2:$A$50000,A4181,全馬データ!$B$2:$B$50000,B4181,全馬データ!$C$2:$C$50000,C4181,全馬データ!$D$2:$D$50000,E4181,全馬データ!$K$2:$K$50000,"&lt;&gt;")=0,"",SUMIFS(全馬データ!$K$2:$K$50000,全馬データ!$A$2:$A$50000,A4181,全馬データ!$B$2:$B$50000,B4181,全馬データ!$C$2:$C$50000,C4181,全馬データ!$D$2:$D$50000,E4181)))</f>
        <v/>
      </c>
      <c r="AP4181" s="8" t="str">
        <f aca="false">IF(A4181="","",IF(AO4181="","欠損",IF(AO4181&lt;=1.1,"1.0～1.1",IF(AO4181&lt;1.3,"1.2",IF(AO4181&lt;1.5,"1.3～1.4",IF(AO4181&lt;2,"1.5～1.9","2.0以上"))))))</f>
        <v/>
      </c>
      <c r="AQ4181" s="8" t="str">
        <f aca="false">IF(A4181="","",IF(ISNUMBER(SEARCH("2歳",Z4181)),"2歳戦",IF(ISNUMBER(SEARCH("3歳未勝利",Z4181)),"3歳未勝利",IF(ISNUMBER(SEARCH("未勝利",Z4181)),"その他未勝利",IF(ISNUMBER(SEARCH("G1",Z4181)),"G1",IF(ISNUMBER(SEARCH("G2",Z4181)),"G2",IF(ISNUMBER(SEARCH("G3",Z4181)),"G3",IF(ISNUMBER(SEARCH("古馬条件",Z4181)),"古馬条件戦",IF(ISNUMBER(SEARCH("重賞",Z4181)),"重賞","分類不能")))))))))</f>
        <v/>
      </c>
    </row>
    <row r="4182" customFormat="false" ht="15.75" hidden="false" customHeight="false" outlineLevel="0" collapsed="false">
      <c r="AO4182" s="8" t="str">
        <f aca="false">IF(A4182="","",IF(COUNTIFS(全馬データ!$A$2:$A$50000,A4182,全馬データ!$B$2:$B$50000,B4182,全馬データ!$C$2:$C$50000,C4182,全馬データ!$D$2:$D$50000,E4182,全馬データ!$K$2:$K$50000,"&lt;&gt;")=0,"",SUMIFS(全馬データ!$K$2:$K$50000,全馬データ!$A$2:$A$50000,A4182,全馬データ!$B$2:$B$50000,B4182,全馬データ!$C$2:$C$50000,C4182,全馬データ!$D$2:$D$50000,E4182)))</f>
        <v/>
      </c>
      <c r="AP4182" s="8" t="str">
        <f aca="false">IF(A4182="","",IF(AO4182="","欠損",IF(AO4182&lt;=1.1,"1.0～1.1",IF(AO4182&lt;1.3,"1.2",IF(AO4182&lt;1.5,"1.3～1.4",IF(AO4182&lt;2,"1.5～1.9","2.0以上"))))))</f>
        <v/>
      </c>
      <c r="AQ4182" s="8" t="str">
        <f aca="false">IF(A4182="","",IF(ISNUMBER(SEARCH("2歳",Z4182)),"2歳戦",IF(ISNUMBER(SEARCH("3歳未勝利",Z4182)),"3歳未勝利",IF(ISNUMBER(SEARCH("未勝利",Z4182)),"その他未勝利",IF(ISNUMBER(SEARCH("G1",Z4182)),"G1",IF(ISNUMBER(SEARCH("G2",Z4182)),"G2",IF(ISNUMBER(SEARCH("G3",Z4182)),"G3",IF(ISNUMBER(SEARCH("古馬条件",Z4182)),"古馬条件戦",IF(ISNUMBER(SEARCH("重賞",Z4182)),"重賞","分類不能")))))))))</f>
        <v/>
      </c>
    </row>
    <row r="4183" customFormat="false" ht="15.75" hidden="false" customHeight="false" outlineLevel="0" collapsed="false">
      <c r="AO4183" s="8" t="str">
        <f aca="false">IF(A4183="","",IF(COUNTIFS(全馬データ!$A$2:$A$50000,A4183,全馬データ!$B$2:$B$50000,B4183,全馬データ!$C$2:$C$50000,C4183,全馬データ!$D$2:$D$50000,E4183,全馬データ!$K$2:$K$50000,"&lt;&gt;")=0,"",SUMIFS(全馬データ!$K$2:$K$50000,全馬データ!$A$2:$A$50000,A4183,全馬データ!$B$2:$B$50000,B4183,全馬データ!$C$2:$C$50000,C4183,全馬データ!$D$2:$D$50000,E4183)))</f>
        <v/>
      </c>
      <c r="AP4183" s="8" t="str">
        <f aca="false">IF(A4183="","",IF(AO4183="","欠損",IF(AO4183&lt;=1.1,"1.0～1.1",IF(AO4183&lt;1.3,"1.2",IF(AO4183&lt;1.5,"1.3～1.4",IF(AO4183&lt;2,"1.5～1.9","2.0以上"))))))</f>
        <v/>
      </c>
      <c r="AQ4183" s="8" t="str">
        <f aca="false">IF(A4183="","",IF(ISNUMBER(SEARCH("2歳",Z4183)),"2歳戦",IF(ISNUMBER(SEARCH("3歳未勝利",Z4183)),"3歳未勝利",IF(ISNUMBER(SEARCH("未勝利",Z4183)),"その他未勝利",IF(ISNUMBER(SEARCH("G1",Z4183)),"G1",IF(ISNUMBER(SEARCH("G2",Z4183)),"G2",IF(ISNUMBER(SEARCH("G3",Z4183)),"G3",IF(ISNUMBER(SEARCH("古馬条件",Z4183)),"古馬条件戦",IF(ISNUMBER(SEARCH("重賞",Z4183)),"重賞","分類不能")))))))))</f>
        <v/>
      </c>
    </row>
    <row r="4184" customFormat="false" ht="15.75" hidden="false" customHeight="false" outlineLevel="0" collapsed="false">
      <c r="AO4184" s="8" t="str">
        <f aca="false">IF(A4184="","",IF(COUNTIFS(全馬データ!$A$2:$A$50000,A4184,全馬データ!$B$2:$B$50000,B4184,全馬データ!$C$2:$C$50000,C4184,全馬データ!$D$2:$D$50000,E4184,全馬データ!$K$2:$K$50000,"&lt;&gt;")=0,"",SUMIFS(全馬データ!$K$2:$K$50000,全馬データ!$A$2:$A$50000,A4184,全馬データ!$B$2:$B$50000,B4184,全馬データ!$C$2:$C$50000,C4184,全馬データ!$D$2:$D$50000,E4184)))</f>
        <v/>
      </c>
      <c r="AP4184" s="8" t="str">
        <f aca="false">IF(A4184="","",IF(AO4184="","欠損",IF(AO4184&lt;=1.1,"1.0～1.1",IF(AO4184&lt;1.3,"1.2",IF(AO4184&lt;1.5,"1.3～1.4",IF(AO4184&lt;2,"1.5～1.9","2.0以上"))))))</f>
        <v/>
      </c>
      <c r="AQ4184" s="8" t="str">
        <f aca="false">IF(A4184="","",IF(ISNUMBER(SEARCH("2歳",Z4184)),"2歳戦",IF(ISNUMBER(SEARCH("3歳未勝利",Z4184)),"3歳未勝利",IF(ISNUMBER(SEARCH("未勝利",Z4184)),"その他未勝利",IF(ISNUMBER(SEARCH("G1",Z4184)),"G1",IF(ISNUMBER(SEARCH("G2",Z4184)),"G2",IF(ISNUMBER(SEARCH("G3",Z4184)),"G3",IF(ISNUMBER(SEARCH("古馬条件",Z4184)),"古馬条件戦",IF(ISNUMBER(SEARCH("重賞",Z4184)),"重賞","分類不能")))))))))</f>
        <v/>
      </c>
    </row>
    <row r="4185" customFormat="false" ht="15.75" hidden="false" customHeight="false" outlineLevel="0" collapsed="false">
      <c r="AO4185" s="8" t="str">
        <f aca="false">IF(A4185="","",IF(COUNTIFS(全馬データ!$A$2:$A$50000,A4185,全馬データ!$B$2:$B$50000,B4185,全馬データ!$C$2:$C$50000,C4185,全馬データ!$D$2:$D$50000,E4185,全馬データ!$K$2:$K$50000,"&lt;&gt;")=0,"",SUMIFS(全馬データ!$K$2:$K$50000,全馬データ!$A$2:$A$50000,A4185,全馬データ!$B$2:$B$50000,B4185,全馬データ!$C$2:$C$50000,C4185,全馬データ!$D$2:$D$50000,E4185)))</f>
        <v/>
      </c>
      <c r="AP4185" s="8" t="str">
        <f aca="false">IF(A4185="","",IF(AO4185="","欠損",IF(AO4185&lt;=1.1,"1.0～1.1",IF(AO4185&lt;1.3,"1.2",IF(AO4185&lt;1.5,"1.3～1.4",IF(AO4185&lt;2,"1.5～1.9","2.0以上"))))))</f>
        <v/>
      </c>
      <c r="AQ4185" s="8" t="str">
        <f aca="false">IF(A4185="","",IF(ISNUMBER(SEARCH("2歳",Z4185)),"2歳戦",IF(ISNUMBER(SEARCH("3歳未勝利",Z4185)),"3歳未勝利",IF(ISNUMBER(SEARCH("未勝利",Z4185)),"その他未勝利",IF(ISNUMBER(SEARCH("G1",Z4185)),"G1",IF(ISNUMBER(SEARCH("G2",Z4185)),"G2",IF(ISNUMBER(SEARCH("G3",Z4185)),"G3",IF(ISNUMBER(SEARCH("古馬条件",Z4185)),"古馬条件戦",IF(ISNUMBER(SEARCH("重賞",Z4185)),"重賞","分類不能")))))))))</f>
        <v/>
      </c>
    </row>
    <row r="4186" customFormat="false" ht="15.75" hidden="false" customHeight="false" outlineLevel="0" collapsed="false">
      <c r="AO4186" s="8" t="str">
        <f aca="false">IF(A4186="","",IF(COUNTIFS(全馬データ!$A$2:$A$50000,A4186,全馬データ!$B$2:$B$50000,B4186,全馬データ!$C$2:$C$50000,C4186,全馬データ!$D$2:$D$50000,E4186,全馬データ!$K$2:$K$50000,"&lt;&gt;")=0,"",SUMIFS(全馬データ!$K$2:$K$50000,全馬データ!$A$2:$A$50000,A4186,全馬データ!$B$2:$B$50000,B4186,全馬データ!$C$2:$C$50000,C4186,全馬データ!$D$2:$D$50000,E4186)))</f>
        <v/>
      </c>
      <c r="AP4186" s="8" t="str">
        <f aca="false">IF(A4186="","",IF(AO4186="","欠損",IF(AO4186&lt;=1.1,"1.0～1.1",IF(AO4186&lt;1.3,"1.2",IF(AO4186&lt;1.5,"1.3～1.4",IF(AO4186&lt;2,"1.5～1.9","2.0以上"))))))</f>
        <v/>
      </c>
      <c r="AQ4186" s="8" t="str">
        <f aca="false">IF(A4186="","",IF(ISNUMBER(SEARCH("2歳",Z4186)),"2歳戦",IF(ISNUMBER(SEARCH("3歳未勝利",Z4186)),"3歳未勝利",IF(ISNUMBER(SEARCH("未勝利",Z4186)),"その他未勝利",IF(ISNUMBER(SEARCH("G1",Z4186)),"G1",IF(ISNUMBER(SEARCH("G2",Z4186)),"G2",IF(ISNUMBER(SEARCH("G3",Z4186)),"G3",IF(ISNUMBER(SEARCH("古馬条件",Z4186)),"古馬条件戦",IF(ISNUMBER(SEARCH("重賞",Z4186)),"重賞","分類不能")))))))))</f>
        <v/>
      </c>
    </row>
    <row r="4187" customFormat="false" ht="15.75" hidden="false" customHeight="false" outlineLevel="0" collapsed="false">
      <c r="AO4187" s="8" t="str">
        <f aca="false">IF(A4187="","",IF(COUNTIFS(全馬データ!$A$2:$A$50000,A4187,全馬データ!$B$2:$B$50000,B4187,全馬データ!$C$2:$C$50000,C4187,全馬データ!$D$2:$D$50000,E4187,全馬データ!$K$2:$K$50000,"&lt;&gt;")=0,"",SUMIFS(全馬データ!$K$2:$K$50000,全馬データ!$A$2:$A$50000,A4187,全馬データ!$B$2:$B$50000,B4187,全馬データ!$C$2:$C$50000,C4187,全馬データ!$D$2:$D$50000,E4187)))</f>
        <v/>
      </c>
      <c r="AP4187" s="8" t="str">
        <f aca="false">IF(A4187="","",IF(AO4187="","欠損",IF(AO4187&lt;=1.1,"1.0～1.1",IF(AO4187&lt;1.3,"1.2",IF(AO4187&lt;1.5,"1.3～1.4",IF(AO4187&lt;2,"1.5～1.9","2.0以上"))))))</f>
        <v/>
      </c>
      <c r="AQ4187" s="8" t="str">
        <f aca="false">IF(A4187="","",IF(ISNUMBER(SEARCH("2歳",Z4187)),"2歳戦",IF(ISNUMBER(SEARCH("3歳未勝利",Z4187)),"3歳未勝利",IF(ISNUMBER(SEARCH("未勝利",Z4187)),"その他未勝利",IF(ISNUMBER(SEARCH("G1",Z4187)),"G1",IF(ISNUMBER(SEARCH("G2",Z4187)),"G2",IF(ISNUMBER(SEARCH("G3",Z4187)),"G3",IF(ISNUMBER(SEARCH("古馬条件",Z4187)),"古馬条件戦",IF(ISNUMBER(SEARCH("重賞",Z4187)),"重賞","分類不能")))))))))</f>
        <v/>
      </c>
    </row>
    <row r="4188" customFormat="false" ht="15.75" hidden="false" customHeight="false" outlineLevel="0" collapsed="false">
      <c r="AO4188" s="8" t="str">
        <f aca="false">IF(A4188="","",IF(COUNTIFS(全馬データ!$A$2:$A$50000,A4188,全馬データ!$B$2:$B$50000,B4188,全馬データ!$C$2:$C$50000,C4188,全馬データ!$D$2:$D$50000,E4188,全馬データ!$K$2:$K$50000,"&lt;&gt;")=0,"",SUMIFS(全馬データ!$K$2:$K$50000,全馬データ!$A$2:$A$50000,A4188,全馬データ!$B$2:$B$50000,B4188,全馬データ!$C$2:$C$50000,C4188,全馬データ!$D$2:$D$50000,E4188)))</f>
        <v/>
      </c>
      <c r="AP4188" s="8" t="str">
        <f aca="false">IF(A4188="","",IF(AO4188="","欠損",IF(AO4188&lt;=1.1,"1.0～1.1",IF(AO4188&lt;1.3,"1.2",IF(AO4188&lt;1.5,"1.3～1.4",IF(AO4188&lt;2,"1.5～1.9","2.0以上"))))))</f>
        <v/>
      </c>
      <c r="AQ4188" s="8" t="str">
        <f aca="false">IF(A4188="","",IF(ISNUMBER(SEARCH("2歳",Z4188)),"2歳戦",IF(ISNUMBER(SEARCH("3歳未勝利",Z4188)),"3歳未勝利",IF(ISNUMBER(SEARCH("未勝利",Z4188)),"その他未勝利",IF(ISNUMBER(SEARCH("G1",Z4188)),"G1",IF(ISNUMBER(SEARCH("G2",Z4188)),"G2",IF(ISNUMBER(SEARCH("G3",Z4188)),"G3",IF(ISNUMBER(SEARCH("古馬条件",Z4188)),"古馬条件戦",IF(ISNUMBER(SEARCH("重賞",Z4188)),"重賞","分類不能")))))))))</f>
        <v/>
      </c>
    </row>
    <row r="4189" customFormat="false" ht="15.75" hidden="false" customHeight="false" outlineLevel="0" collapsed="false">
      <c r="AO4189" s="8" t="str">
        <f aca="false">IF(A4189="","",IF(COUNTIFS(全馬データ!$A$2:$A$50000,A4189,全馬データ!$B$2:$B$50000,B4189,全馬データ!$C$2:$C$50000,C4189,全馬データ!$D$2:$D$50000,E4189,全馬データ!$K$2:$K$50000,"&lt;&gt;")=0,"",SUMIFS(全馬データ!$K$2:$K$50000,全馬データ!$A$2:$A$50000,A4189,全馬データ!$B$2:$B$50000,B4189,全馬データ!$C$2:$C$50000,C4189,全馬データ!$D$2:$D$50000,E4189)))</f>
        <v/>
      </c>
      <c r="AP4189" s="8" t="str">
        <f aca="false">IF(A4189="","",IF(AO4189="","欠損",IF(AO4189&lt;=1.1,"1.0～1.1",IF(AO4189&lt;1.3,"1.2",IF(AO4189&lt;1.5,"1.3～1.4",IF(AO4189&lt;2,"1.5～1.9","2.0以上"))))))</f>
        <v/>
      </c>
      <c r="AQ4189" s="8" t="str">
        <f aca="false">IF(A4189="","",IF(ISNUMBER(SEARCH("2歳",Z4189)),"2歳戦",IF(ISNUMBER(SEARCH("3歳未勝利",Z4189)),"3歳未勝利",IF(ISNUMBER(SEARCH("未勝利",Z4189)),"その他未勝利",IF(ISNUMBER(SEARCH("G1",Z4189)),"G1",IF(ISNUMBER(SEARCH("G2",Z4189)),"G2",IF(ISNUMBER(SEARCH("G3",Z4189)),"G3",IF(ISNUMBER(SEARCH("古馬条件",Z4189)),"古馬条件戦",IF(ISNUMBER(SEARCH("重賞",Z4189)),"重賞","分類不能")))))))))</f>
        <v/>
      </c>
    </row>
    <row r="4190" customFormat="false" ht="15.75" hidden="false" customHeight="false" outlineLevel="0" collapsed="false">
      <c r="AO4190" s="8" t="str">
        <f aca="false">IF(A4190="","",IF(COUNTIFS(全馬データ!$A$2:$A$50000,A4190,全馬データ!$B$2:$B$50000,B4190,全馬データ!$C$2:$C$50000,C4190,全馬データ!$D$2:$D$50000,E4190,全馬データ!$K$2:$K$50000,"&lt;&gt;")=0,"",SUMIFS(全馬データ!$K$2:$K$50000,全馬データ!$A$2:$A$50000,A4190,全馬データ!$B$2:$B$50000,B4190,全馬データ!$C$2:$C$50000,C4190,全馬データ!$D$2:$D$50000,E4190)))</f>
        <v/>
      </c>
      <c r="AP4190" s="8" t="str">
        <f aca="false">IF(A4190="","",IF(AO4190="","欠損",IF(AO4190&lt;=1.1,"1.0～1.1",IF(AO4190&lt;1.3,"1.2",IF(AO4190&lt;1.5,"1.3～1.4",IF(AO4190&lt;2,"1.5～1.9","2.0以上"))))))</f>
        <v/>
      </c>
      <c r="AQ4190" s="8" t="str">
        <f aca="false">IF(A4190="","",IF(ISNUMBER(SEARCH("2歳",Z4190)),"2歳戦",IF(ISNUMBER(SEARCH("3歳未勝利",Z4190)),"3歳未勝利",IF(ISNUMBER(SEARCH("未勝利",Z4190)),"その他未勝利",IF(ISNUMBER(SEARCH("G1",Z4190)),"G1",IF(ISNUMBER(SEARCH("G2",Z4190)),"G2",IF(ISNUMBER(SEARCH("G3",Z4190)),"G3",IF(ISNUMBER(SEARCH("古馬条件",Z4190)),"古馬条件戦",IF(ISNUMBER(SEARCH("重賞",Z4190)),"重賞","分類不能")))))))))</f>
        <v/>
      </c>
    </row>
    <row r="4191" customFormat="false" ht="15.75" hidden="false" customHeight="false" outlineLevel="0" collapsed="false">
      <c r="AO4191" s="8" t="str">
        <f aca="false">IF(A4191="","",IF(COUNTIFS(全馬データ!$A$2:$A$50000,A4191,全馬データ!$B$2:$B$50000,B4191,全馬データ!$C$2:$C$50000,C4191,全馬データ!$D$2:$D$50000,E4191,全馬データ!$K$2:$K$50000,"&lt;&gt;")=0,"",SUMIFS(全馬データ!$K$2:$K$50000,全馬データ!$A$2:$A$50000,A4191,全馬データ!$B$2:$B$50000,B4191,全馬データ!$C$2:$C$50000,C4191,全馬データ!$D$2:$D$50000,E4191)))</f>
        <v/>
      </c>
      <c r="AP4191" s="8" t="str">
        <f aca="false">IF(A4191="","",IF(AO4191="","欠損",IF(AO4191&lt;=1.1,"1.0～1.1",IF(AO4191&lt;1.3,"1.2",IF(AO4191&lt;1.5,"1.3～1.4",IF(AO4191&lt;2,"1.5～1.9","2.0以上"))))))</f>
        <v/>
      </c>
      <c r="AQ4191" s="8" t="str">
        <f aca="false">IF(A4191="","",IF(ISNUMBER(SEARCH("2歳",Z4191)),"2歳戦",IF(ISNUMBER(SEARCH("3歳未勝利",Z4191)),"3歳未勝利",IF(ISNUMBER(SEARCH("未勝利",Z4191)),"その他未勝利",IF(ISNUMBER(SEARCH("G1",Z4191)),"G1",IF(ISNUMBER(SEARCH("G2",Z4191)),"G2",IF(ISNUMBER(SEARCH("G3",Z4191)),"G3",IF(ISNUMBER(SEARCH("古馬条件",Z4191)),"古馬条件戦",IF(ISNUMBER(SEARCH("重賞",Z4191)),"重賞","分類不能")))))))))</f>
        <v/>
      </c>
    </row>
    <row r="4192" customFormat="false" ht="15.75" hidden="false" customHeight="false" outlineLevel="0" collapsed="false">
      <c r="AO4192" s="8" t="str">
        <f aca="false">IF(A4192="","",IF(COUNTIFS(全馬データ!$A$2:$A$50000,A4192,全馬データ!$B$2:$B$50000,B4192,全馬データ!$C$2:$C$50000,C4192,全馬データ!$D$2:$D$50000,E4192,全馬データ!$K$2:$K$50000,"&lt;&gt;")=0,"",SUMIFS(全馬データ!$K$2:$K$50000,全馬データ!$A$2:$A$50000,A4192,全馬データ!$B$2:$B$50000,B4192,全馬データ!$C$2:$C$50000,C4192,全馬データ!$D$2:$D$50000,E4192)))</f>
        <v/>
      </c>
      <c r="AP4192" s="8" t="str">
        <f aca="false">IF(A4192="","",IF(AO4192="","欠損",IF(AO4192&lt;=1.1,"1.0～1.1",IF(AO4192&lt;1.3,"1.2",IF(AO4192&lt;1.5,"1.3～1.4",IF(AO4192&lt;2,"1.5～1.9","2.0以上"))))))</f>
        <v/>
      </c>
      <c r="AQ4192" s="8" t="str">
        <f aca="false">IF(A4192="","",IF(ISNUMBER(SEARCH("2歳",Z4192)),"2歳戦",IF(ISNUMBER(SEARCH("3歳未勝利",Z4192)),"3歳未勝利",IF(ISNUMBER(SEARCH("未勝利",Z4192)),"その他未勝利",IF(ISNUMBER(SEARCH("G1",Z4192)),"G1",IF(ISNUMBER(SEARCH("G2",Z4192)),"G2",IF(ISNUMBER(SEARCH("G3",Z4192)),"G3",IF(ISNUMBER(SEARCH("古馬条件",Z4192)),"古馬条件戦",IF(ISNUMBER(SEARCH("重賞",Z4192)),"重賞","分類不能")))))))))</f>
        <v/>
      </c>
    </row>
    <row r="4193" customFormat="false" ht="15.75" hidden="false" customHeight="false" outlineLevel="0" collapsed="false">
      <c r="AO4193" s="8" t="str">
        <f aca="false">IF(A4193="","",IF(COUNTIFS(全馬データ!$A$2:$A$50000,A4193,全馬データ!$B$2:$B$50000,B4193,全馬データ!$C$2:$C$50000,C4193,全馬データ!$D$2:$D$50000,E4193,全馬データ!$K$2:$K$50000,"&lt;&gt;")=0,"",SUMIFS(全馬データ!$K$2:$K$50000,全馬データ!$A$2:$A$50000,A4193,全馬データ!$B$2:$B$50000,B4193,全馬データ!$C$2:$C$50000,C4193,全馬データ!$D$2:$D$50000,E4193)))</f>
        <v/>
      </c>
      <c r="AP4193" s="8" t="str">
        <f aca="false">IF(A4193="","",IF(AO4193="","欠損",IF(AO4193&lt;=1.1,"1.0～1.1",IF(AO4193&lt;1.3,"1.2",IF(AO4193&lt;1.5,"1.3～1.4",IF(AO4193&lt;2,"1.5～1.9","2.0以上"))))))</f>
        <v/>
      </c>
      <c r="AQ4193" s="8" t="str">
        <f aca="false">IF(A4193="","",IF(ISNUMBER(SEARCH("2歳",Z4193)),"2歳戦",IF(ISNUMBER(SEARCH("3歳未勝利",Z4193)),"3歳未勝利",IF(ISNUMBER(SEARCH("未勝利",Z4193)),"その他未勝利",IF(ISNUMBER(SEARCH("G1",Z4193)),"G1",IF(ISNUMBER(SEARCH("G2",Z4193)),"G2",IF(ISNUMBER(SEARCH("G3",Z4193)),"G3",IF(ISNUMBER(SEARCH("古馬条件",Z4193)),"古馬条件戦",IF(ISNUMBER(SEARCH("重賞",Z4193)),"重賞","分類不能")))))))))</f>
        <v/>
      </c>
    </row>
    <row r="4194" customFormat="false" ht="15.75" hidden="false" customHeight="false" outlineLevel="0" collapsed="false">
      <c r="AO4194" s="8" t="str">
        <f aca="false">IF(A4194="","",IF(COUNTIFS(全馬データ!$A$2:$A$50000,A4194,全馬データ!$B$2:$B$50000,B4194,全馬データ!$C$2:$C$50000,C4194,全馬データ!$D$2:$D$50000,E4194,全馬データ!$K$2:$K$50000,"&lt;&gt;")=0,"",SUMIFS(全馬データ!$K$2:$K$50000,全馬データ!$A$2:$A$50000,A4194,全馬データ!$B$2:$B$50000,B4194,全馬データ!$C$2:$C$50000,C4194,全馬データ!$D$2:$D$50000,E4194)))</f>
        <v/>
      </c>
      <c r="AP4194" s="8" t="str">
        <f aca="false">IF(A4194="","",IF(AO4194="","欠損",IF(AO4194&lt;=1.1,"1.0～1.1",IF(AO4194&lt;1.3,"1.2",IF(AO4194&lt;1.5,"1.3～1.4",IF(AO4194&lt;2,"1.5～1.9","2.0以上"))))))</f>
        <v/>
      </c>
      <c r="AQ4194" s="8" t="str">
        <f aca="false">IF(A4194="","",IF(ISNUMBER(SEARCH("2歳",Z4194)),"2歳戦",IF(ISNUMBER(SEARCH("3歳未勝利",Z4194)),"3歳未勝利",IF(ISNUMBER(SEARCH("未勝利",Z4194)),"その他未勝利",IF(ISNUMBER(SEARCH("G1",Z4194)),"G1",IF(ISNUMBER(SEARCH("G2",Z4194)),"G2",IF(ISNUMBER(SEARCH("G3",Z4194)),"G3",IF(ISNUMBER(SEARCH("古馬条件",Z4194)),"古馬条件戦",IF(ISNUMBER(SEARCH("重賞",Z4194)),"重賞","分類不能")))))))))</f>
        <v/>
      </c>
    </row>
    <row r="4195" customFormat="false" ht="15.75" hidden="false" customHeight="false" outlineLevel="0" collapsed="false">
      <c r="AO4195" s="8" t="str">
        <f aca="false">IF(A4195="","",IF(COUNTIFS(全馬データ!$A$2:$A$50000,A4195,全馬データ!$B$2:$B$50000,B4195,全馬データ!$C$2:$C$50000,C4195,全馬データ!$D$2:$D$50000,E4195,全馬データ!$K$2:$K$50000,"&lt;&gt;")=0,"",SUMIFS(全馬データ!$K$2:$K$50000,全馬データ!$A$2:$A$50000,A4195,全馬データ!$B$2:$B$50000,B4195,全馬データ!$C$2:$C$50000,C4195,全馬データ!$D$2:$D$50000,E4195)))</f>
        <v/>
      </c>
      <c r="AP4195" s="8" t="str">
        <f aca="false">IF(A4195="","",IF(AO4195="","欠損",IF(AO4195&lt;=1.1,"1.0～1.1",IF(AO4195&lt;1.3,"1.2",IF(AO4195&lt;1.5,"1.3～1.4",IF(AO4195&lt;2,"1.5～1.9","2.0以上"))))))</f>
        <v/>
      </c>
      <c r="AQ4195" s="8" t="str">
        <f aca="false">IF(A4195="","",IF(ISNUMBER(SEARCH("2歳",Z4195)),"2歳戦",IF(ISNUMBER(SEARCH("3歳未勝利",Z4195)),"3歳未勝利",IF(ISNUMBER(SEARCH("未勝利",Z4195)),"その他未勝利",IF(ISNUMBER(SEARCH("G1",Z4195)),"G1",IF(ISNUMBER(SEARCH("G2",Z4195)),"G2",IF(ISNUMBER(SEARCH("G3",Z4195)),"G3",IF(ISNUMBER(SEARCH("古馬条件",Z4195)),"古馬条件戦",IF(ISNUMBER(SEARCH("重賞",Z4195)),"重賞","分類不能")))))))))</f>
        <v/>
      </c>
    </row>
    <row r="4196" customFormat="false" ht="15.75" hidden="false" customHeight="false" outlineLevel="0" collapsed="false">
      <c r="AO4196" s="8" t="str">
        <f aca="false">IF(A4196="","",IF(COUNTIFS(全馬データ!$A$2:$A$50000,A4196,全馬データ!$B$2:$B$50000,B4196,全馬データ!$C$2:$C$50000,C4196,全馬データ!$D$2:$D$50000,E4196,全馬データ!$K$2:$K$50000,"&lt;&gt;")=0,"",SUMIFS(全馬データ!$K$2:$K$50000,全馬データ!$A$2:$A$50000,A4196,全馬データ!$B$2:$B$50000,B4196,全馬データ!$C$2:$C$50000,C4196,全馬データ!$D$2:$D$50000,E4196)))</f>
        <v/>
      </c>
      <c r="AP4196" s="8" t="str">
        <f aca="false">IF(A4196="","",IF(AO4196="","欠損",IF(AO4196&lt;=1.1,"1.0～1.1",IF(AO4196&lt;1.3,"1.2",IF(AO4196&lt;1.5,"1.3～1.4",IF(AO4196&lt;2,"1.5～1.9","2.0以上"))))))</f>
        <v/>
      </c>
      <c r="AQ4196" s="8" t="str">
        <f aca="false">IF(A4196="","",IF(ISNUMBER(SEARCH("2歳",Z4196)),"2歳戦",IF(ISNUMBER(SEARCH("3歳未勝利",Z4196)),"3歳未勝利",IF(ISNUMBER(SEARCH("未勝利",Z4196)),"その他未勝利",IF(ISNUMBER(SEARCH("G1",Z4196)),"G1",IF(ISNUMBER(SEARCH("G2",Z4196)),"G2",IF(ISNUMBER(SEARCH("G3",Z4196)),"G3",IF(ISNUMBER(SEARCH("古馬条件",Z4196)),"古馬条件戦",IF(ISNUMBER(SEARCH("重賞",Z4196)),"重賞","分類不能")))))))))</f>
        <v/>
      </c>
    </row>
    <row r="4197" customFormat="false" ht="15.75" hidden="false" customHeight="false" outlineLevel="0" collapsed="false">
      <c r="AO4197" s="8" t="str">
        <f aca="false">IF(A4197="","",IF(COUNTIFS(全馬データ!$A$2:$A$50000,A4197,全馬データ!$B$2:$B$50000,B4197,全馬データ!$C$2:$C$50000,C4197,全馬データ!$D$2:$D$50000,E4197,全馬データ!$K$2:$K$50000,"&lt;&gt;")=0,"",SUMIFS(全馬データ!$K$2:$K$50000,全馬データ!$A$2:$A$50000,A4197,全馬データ!$B$2:$B$50000,B4197,全馬データ!$C$2:$C$50000,C4197,全馬データ!$D$2:$D$50000,E4197)))</f>
        <v/>
      </c>
      <c r="AP4197" s="8" t="str">
        <f aca="false">IF(A4197="","",IF(AO4197="","欠損",IF(AO4197&lt;=1.1,"1.0～1.1",IF(AO4197&lt;1.3,"1.2",IF(AO4197&lt;1.5,"1.3～1.4",IF(AO4197&lt;2,"1.5～1.9","2.0以上"))))))</f>
        <v/>
      </c>
      <c r="AQ4197" s="8" t="str">
        <f aca="false">IF(A4197="","",IF(ISNUMBER(SEARCH("2歳",Z4197)),"2歳戦",IF(ISNUMBER(SEARCH("3歳未勝利",Z4197)),"3歳未勝利",IF(ISNUMBER(SEARCH("未勝利",Z4197)),"その他未勝利",IF(ISNUMBER(SEARCH("G1",Z4197)),"G1",IF(ISNUMBER(SEARCH("G2",Z4197)),"G2",IF(ISNUMBER(SEARCH("G3",Z4197)),"G3",IF(ISNUMBER(SEARCH("古馬条件",Z4197)),"古馬条件戦",IF(ISNUMBER(SEARCH("重賞",Z4197)),"重賞","分類不能")))))))))</f>
        <v/>
      </c>
    </row>
    <row r="4198" customFormat="false" ht="15.75" hidden="false" customHeight="false" outlineLevel="0" collapsed="false">
      <c r="AO4198" s="8" t="str">
        <f aca="false">IF(A4198="","",IF(COUNTIFS(全馬データ!$A$2:$A$50000,A4198,全馬データ!$B$2:$B$50000,B4198,全馬データ!$C$2:$C$50000,C4198,全馬データ!$D$2:$D$50000,E4198,全馬データ!$K$2:$K$50000,"&lt;&gt;")=0,"",SUMIFS(全馬データ!$K$2:$K$50000,全馬データ!$A$2:$A$50000,A4198,全馬データ!$B$2:$B$50000,B4198,全馬データ!$C$2:$C$50000,C4198,全馬データ!$D$2:$D$50000,E4198)))</f>
        <v/>
      </c>
      <c r="AP4198" s="8" t="str">
        <f aca="false">IF(A4198="","",IF(AO4198="","欠損",IF(AO4198&lt;=1.1,"1.0～1.1",IF(AO4198&lt;1.3,"1.2",IF(AO4198&lt;1.5,"1.3～1.4",IF(AO4198&lt;2,"1.5～1.9","2.0以上"))))))</f>
        <v/>
      </c>
      <c r="AQ4198" s="8" t="str">
        <f aca="false">IF(A4198="","",IF(ISNUMBER(SEARCH("2歳",Z4198)),"2歳戦",IF(ISNUMBER(SEARCH("3歳未勝利",Z4198)),"3歳未勝利",IF(ISNUMBER(SEARCH("未勝利",Z4198)),"その他未勝利",IF(ISNUMBER(SEARCH("G1",Z4198)),"G1",IF(ISNUMBER(SEARCH("G2",Z4198)),"G2",IF(ISNUMBER(SEARCH("G3",Z4198)),"G3",IF(ISNUMBER(SEARCH("古馬条件",Z4198)),"古馬条件戦",IF(ISNUMBER(SEARCH("重賞",Z4198)),"重賞","分類不能")))))))))</f>
        <v/>
      </c>
    </row>
    <row r="4199" customFormat="false" ht="15.75" hidden="false" customHeight="false" outlineLevel="0" collapsed="false">
      <c r="AO4199" s="8" t="str">
        <f aca="false">IF(A4199="","",IF(COUNTIFS(全馬データ!$A$2:$A$50000,A4199,全馬データ!$B$2:$B$50000,B4199,全馬データ!$C$2:$C$50000,C4199,全馬データ!$D$2:$D$50000,E4199,全馬データ!$K$2:$K$50000,"&lt;&gt;")=0,"",SUMIFS(全馬データ!$K$2:$K$50000,全馬データ!$A$2:$A$50000,A4199,全馬データ!$B$2:$B$50000,B4199,全馬データ!$C$2:$C$50000,C4199,全馬データ!$D$2:$D$50000,E4199)))</f>
        <v/>
      </c>
      <c r="AP4199" s="8" t="str">
        <f aca="false">IF(A4199="","",IF(AO4199="","欠損",IF(AO4199&lt;=1.1,"1.0～1.1",IF(AO4199&lt;1.3,"1.2",IF(AO4199&lt;1.5,"1.3～1.4",IF(AO4199&lt;2,"1.5～1.9","2.0以上"))))))</f>
        <v/>
      </c>
      <c r="AQ4199" s="8" t="str">
        <f aca="false">IF(A4199="","",IF(ISNUMBER(SEARCH("2歳",Z4199)),"2歳戦",IF(ISNUMBER(SEARCH("3歳未勝利",Z4199)),"3歳未勝利",IF(ISNUMBER(SEARCH("未勝利",Z4199)),"その他未勝利",IF(ISNUMBER(SEARCH("G1",Z4199)),"G1",IF(ISNUMBER(SEARCH("G2",Z4199)),"G2",IF(ISNUMBER(SEARCH("G3",Z4199)),"G3",IF(ISNUMBER(SEARCH("古馬条件",Z4199)),"古馬条件戦",IF(ISNUMBER(SEARCH("重賞",Z4199)),"重賞","分類不能")))))))))</f>
        <v/>
      </c>
    </row>
    <row r="4200" customFormat="false" ht="15.75" hidden="false" customHeight="false" outlineLevel="0" collapsed="false">
      <c r="AO4200" s="8" t="str">
        <f aca="false">IF(A4200="","",IF(COUNTIFS(全馬データ!$A$2:$A$50000,A4200,全馬データ!$B$2:$B$50000,B4200,全馬データ!$C$2:$C$50000,C4200,全馬データ!$D$2:$D$50000,E4200,全馬データ!$K$2:$K$50000,"&lt;&gt;")=0,"",SUMIFS(全馬データ!$K$2:$K$50000,全馬データ!$A$2:$A$50000,A4200,全馬データ!$B$2:$B$50000,B4200,全馬データ!$C$2:$C$50000,C4200,全馬データ!$D$2:$D$50000,E4200)))</f>
        <v/>
      </c>
      <c r="AP4200" s="8" t="str">
        <f aca="false">IF(A4200="","",IF(AO4200="","欠損",IF(AO4200&lt;=1.1,"1.0～1.1",IF(AO4200&lt;1.3,"1.2",IF(AO4200&lt;1.5,"1.3～1.4",IF(AO4200&lt;2,"1.5～1.9","2.0以上"))))))</f>
        <v/>
      </c>
      <c r="AQ4200" s="8" t="str">
        <f aca="false">IF(A4200="","",IF(ISNUMBER(SEARCH("2歳",Z4200)),"2歳戦",IF(ISNUMBER(SEARCH("3歳未勝利",Z4200)),"3歳未勝利",IF(ISNUMBER(SEARCH("未勝利",Z4200)),"その他未勝利",IF(ISNUMBER(SEARCH("G1",Z4200)),"G1",IF(ISNUMBER(SEARCH("G2",Z4200)),"G2",IF(ISNUMBER(SEARCH("G3",Z4200)),"G3",IF(ISNUMBER(SEARCH("古馬条件",Z4200)),"古馬条件戦",IF(ISNUMBER(SEARCH("重賞",Z4200)),"重賞","分類不能")))))))))</f>
        <v/>
      </c>
    </row>
    <row r="4201" customFormat="false" ht="15.75" hidden="false" customHeight="false" outlineLevel="0" collapsed="false">
      <c r="AO4201" s="8" t="str">
        <f aca="false">IF(A4201="","",IF(COUNTIFS(全馬データ!$A$2:$A$50000,A4201,全馬データ!$B$2:$B$50000,B4201,全馬データ!$C$2:$C$50000,C4201,全馬データ!$D$2:$D$50000,E4201,全馬データ!$K$2:$K$50000,"&lt;&gt;")=0,"",SUMIFS(全馬データ!$K$2:$K$50000,全馬データ!$A$2:$A$50000,A4201,全馬データ!$B$2:$B$50000,B4201,全馬データ!$C$2:$C$50000,C4201,全馬データ!$D$2:$D$50000,E4201)))</f>
        <v/>
      </c>
      <c r="AP4201" s="8" t="str">
        <f aca="false">IF(A4201="","",IF(AO4201="","欠損",IF(AO4201&lt;=1.1,"1.0～1.1",IF(AO4201&lt;1.3,"1.2",IF(AO4201&lt;1.5,"1.3～1.4",IF(AO4201&lt;2,"1.5～1.9","2.0以上"))))))</f>
        <v/>
      </c>
      <c r="AQ4201" s="8" t="str">
        <f aca="false">IF(A4201="","",IF(ISNUMBER(SEARCH("2歳",Z4201)),"2歳戦",IF(ISNUMBER(SEARCH("3歳未勝利",Z4201)),"3歳未勝利",IF(ISNUMBER(SEARCH("未勝利",Z4201)),"その他未勝利",IF(ISNUMBER(SEARCH("G1",Z4201)),"G1",IF(ISNUMBER(SEARCH("G2",Z4201)),"G2",IF(ISNUMBER(SEARCH("G3",Z4201)),"G3",IF(ISNUMBER(SEARCH("古馬条件",Z4201)),"古馬条件戦",IF(ISNUMBER(SEARCH("重賞",Z4201)),"重賞","分類不能")))))))))</f>
        <v/>
      </c>
    </row>
    <row r="4202" customFormat="false" ht="15.75" hidden="false" customHeight="false" outlineLevel="0" collapsed="false">
      <c r="AO4202" s="8" t="str">
        <f aca="false">IF(A4202="","",IF(COUNTIFS(全馬データ!$A$2:$A$50000,A4202,全馬データ!$B$2:$B$50000,B4202,全馬データ!$C$2:$C$50000,C4202,全馬データ!$D$2:$D$50000,E4202,全馬データ!$K$2:$K$50000,"&lt;&gt;")=0,"",SUMIFS(全馬データ!$K$2:$K$50000,全馬データ!$A$2:$A$50000,A4202,全馬データ!$B$2:$B$50000,B4202,全馬データ!$C$2:$C$50000,C4202,全馬データ!$D$2:$D$50000,E4202)))</f>
        <v/>
      </c>
      <c r="AP4202" s="8" t="str">
        <f aca="false">IF(A4202="","",IF(AO4202="","欠損",IF(AO4202&lt;=1.1,"1.0～1.1",IF(AO4202&lt;1.3,"1.2",IF(AO4202&lt;1.5,"1.3～1.4",IF(AO4202&lt;2,"1.5～1.9","2.0以上"))))))</f>
        <v/>
      </c>
      <c r="AQ4202" s="8" t="str">
        <f aca="false">IF(A4202="","",IF(ISNUMBER(SEARCH("2歳",Z4202)),"2歳戦",IF(ISNUMBER(SEARCH("3歳未勝利",Z4202)),"3歳未勝利",IF(ISNUMBER(SEARCH("未勝利",Z4202)),"その他未勝利",IF(ISNUMBER(SEARCH("G1",Z4202)),"G1",IF(ISNUMBER(SEARCH("G2",Z4202)),"G2",IF(ISNUMBER(SEARCH("G3",Z4202)),"G3",IF(ISNUMBER(SEARCH("古馬条件",Z4202)),"古馬条件戦",IF(ISNUMBER(SEARCH("重賞",Z4202)),"重賞","分類不能")))))))))</f>
        <v/>
      </c>
    </row>
    <row r="4203" customFormat="false" ht="15.75" hidden="false" customHeight="false" outlineLevel="0" collapsed="false">
      <c r="AO4203" s="8" t="str">
        <f aca="false">IF(A4203="","",IF(COUNTIFS(全馬データ!$A$2:$A$50000,A4203,全馬データ!$B$2:$B$50000,B4203,全馬データ!$C$2:$C$50000,C4203,全馬データ!$D$2:$D$50000,E4203,全馬データ!$K$2:$K$50000,"&lt;&gt;")=0,"",SUMIFS(全馬データ!$K$2:$K$50000,全馬データ!$A$2:$A$50000,A4203,全馬データ!$B$2:$B$50000,B4203,全馬データ!$C$2:$C$50000,C4203,全馬データ!$D$2:$D$50000,E4203)))</f>
        <v/>
      </c>
      <c r="AP4203" s="8" t="str">
        <f aca="false">IF(A4203="","",IF(AO4203="","欠損",IF(AO4203&lt;=1.1,"1.0～1.1",IF(AO4203&lt;1.3,"1.2",IF(AO4203&lt;1.5,"1.3～1.4",IF(AO4203&lt;2,"1.5～1.9","2.0以上"))))))</f>
        <v/>
      </c>
      <c r="AQ4203" s="8" t="str">
        <f aca="false">IF(A4203="","",IF(ISNUMBER(SEARCH("2歳",Z4203)),"2歳戦",IF(ISNUMBER(SEARCH("3歳未勝利",Z4203)),"3歳未勝利",IF(ISNUMBER(SEARCH("未勝利",Z4203)),"その他未勝利",IF(ISNUMBER(SEARCH("G1",Z4203)),"G1",IF(ISNUMBER(SEARCH("G2",Z4203)),"G2",IF(ISNUMBER(SEARCH("G3",Z4203)),"G3",IF(ISNUMBER(SEARCH("古馬条件",Z4203)),"古馬条件戦",IF(ISNUMBER(SEARCH("重賞",Z4203)),"重賞","分類不能")))))))))</f>
        <v/>
      </c>
    </row>
    <row r="4204" customFormat="false" ht="15.75" hidden="false" customHeight="false" outlineLevel="0" collapsed="false">
      <c r="AO4204" s="8" t="str">
        <f aca="false">IF(A4204="","",IF(COUNTIFS(全馬データ!$A$2:$A$50000,A4204,全馬データ!$B$2:$B$50000,B4204,全馬データ!$C$2:$C$50000,C4204,全馬データ!$D$2:$D$50000,E4204,全馬データ!$K$2:$K$50000,"&lt;&gt;")=0,"",SUMIFS(全馬データ!$K$2:$K$50000,全馬データ!$A$2:$A$50000,A4204,全馬データ!$B$2:$B$50000,B4204,全馬データ!$C$2:$C$50000,C4204,全馬データ!$D$2:$D$50000,E4204)))</f>
        <v/>
      </c>
      <c r="AP4204" s="8" t="str">
        <f aca="false">IF(A4204="","",IF(AO4204="","欠損",IF(AO4204&lt;=1.1,"1.0～1.1",IF(AO4204&lt;1.3,"1.2",IF(AO4204&lt;1.5,"1.3～1.4",IF(AO4204&lt;2,"1.5～1.9","2.0以上"))))))</f>
        <v/>
      </c>
      <c r="AQ4204" s="8" t="str">
        <f aca="false">IF(A4204="","",IF(ISNUMBER(SEARCH("2歳",Z4204)),"2歳戦",IF(ISNUMBER(SEARCH("3歳未勝利",Z4204)),"3歳未勝利",IF(ISNUMBER(SEARCH("未勝利",Z4204)),"その他未勝利",IF(ISNUMBER(SEARCH("G1",Z4204)),"G1",IF(ISNUMBER(SEARCH("G2",Z4204)),"G2",IF(ISNUMBER(SEARCH("G3",Z4204)),"G3",IF(ISNUMBER(SEARCH("古馬条件",Z4204)),"古馬条件戦",IF(ISNUMBER(SEARCH("重賞",Z4204)),"重賞","分類不能")))))))))</f>
        <v/>
      </c>
    </row>
    <row r="4205" customFormat="false" ht="15.75" hidden="false" customHeight="false" outlineLevel="0" collapsed="false">
      <c r="AO4205" s="8" t="str">
        <f aca="false">IF(A4205="","",IF(COUNTIFS(全馬データ!$A$2:$A$50000,A4205,全馬データ!$B$2:$B$50000,B4205,全馬データ!$C$2:$C$50000,C4205,全馬データ!$D$2:$D$50000,E4205,全馬データ!$K$2:$K$50000,"&lt;&gt;")=0,"",SUMIFS(全馬データ!$K$2:$K$50000,全馬データ!$A$2:$A$50000,A4205,全馬データ!$B$2:$B$50000,B4205,全馬データ!$C$2:$C$50000,C4205,全馬データ!$D$2:$D$50000,E4205)))</f>
        <v/>
      </c>
      <c r="AP4205" s="8" t="str">
        <f aca="false">IF(A4205="","",IF(AO4205="","欠損",IF(AO4205&lt;=1.1,"1.0～1.1",IF(AO4205&lt;1.3,"1.2",IF(AO4205&lt;1.5,"1.3～1.4",IF(AO4205&lt;2,"1.5～1.9","2.0以上"))))))</f>
        <v/>
      </c>
      <c r="AQ4205" s="8" t="str">
        <f aca="false">IF(A4205="","",IF(ISNUMBER(SEARCH("2歳",Z4205)),"2歳戦",IF(ISNUMBER(SEARCH("3歳未勝利",Z4205)),"3歳未勝利",IF(ISNUMBER(SEARCH("未勝利",Z4205)),"その他未勝利",IF(ISNUMBER(SEARCH("G1",Z4205)),"G1",IF(ISNUMBER(SEARCH("G2",Z4205)),"G2",IF(ISNUMBER(SEARCH("G3",Z4205)),"G3",IF(ISNUMBER(SEARCH("古馬条件",Z4205)),"古馬条件戦",IF(ISNUMBER(SEARCH("重賞",Z4205)),"重賞","分類不能")))))))))</f>
        <v/>
      </c>
    </row>
    <row r="4206" customFormat="false" ht="15.75" hidden="false" customHeight="false" outlineLevel="0" collapsed="false">
      <c r="AO4206" s="8" t="str">
        <f aca="false">IF(A4206="","",IF(COUNTIFS(全馬データ!$A$2:$A$50000,A4206,全馬データ!$B$2:$B$50000,B4206,全馬データ!$C$2:$C$50000,C4206,全馬データ!$D$2:$D$50000,E4206,全馬データ!$K$2:$K$50000,"&lt;&gt;")=0,"",SUMIFS(全馬データ!$K$2:$K$50000,全馬データ!$A$2:$A$50000,A4206,全馬データ!$B$2:$B$50000,B4206,全馬データ!$C$2:$C$50000,C4206,全馬データ!$D$2:$D$50000,E4206)))</f>
        <v/>
      </c>
      <c r="AP4206" s="8" t="str">
        <f aca="false">IF(A4206="","",IF(AO4206="","欠損",IF(AO4206&lt;=1.1,"1.0～1.1",IF(AO4206&lt;1.3,"1.2",IF(AO4206&lt;1.5,"1.3～1.4",IF(AO4206&lt;2,"1.5～1.9","2.0以上"))))))</f>
        <v/>
      </c>
      <c r="AQ4206" s="8" t="str">
        <f aca="false">IF(A4206="","",IF(ISNUMBER(SEARCH("2歳",Z4206)),"2歳戦",IF(ISNUMBER(SEARCH("3歳未勝利",Z4206)),"3歳未勝利",IF(ISNUMBER(SEARCH("未勝利",Z4206)),"その他未勝利",IF(ISNUMBER(SEARCH("G1",Z4206)),"G1",IF(ISNUMBER(SEARCH("G2",Z4206)),"G2",IF(ISNUMBER(SEARCH("G3",Z4206)),"G3",IF(ISNUMBER(SEARCH("古馬条件",Z4206)),"古馬条件戦",IF(ISNUMBER(SEARCH("重賞",Z4206)),"重賞","分類不能")))))))))</f>
        <v/>
      </c>
    </row>
    <row r="4207" customFormat="false" ht="15.75" hidden="false" customHeight="false" outlineLevel="0" collapsed="false">
      <c r="AO4207" s="8" t="str">
        <f aca="false">IF(A4207="","",IF(COUNTIFS(全馬データ!$A$2:$A$50000,A4207,全馬データ!$B$2:$B$50000,B4207,全馬データ!$C$2:$C$50000,C4207,全馬データ!$D$2:$D$50000,E4207,全馬データ!$K$2:$K$50000,"&lt;&gt;")=0,"",SUMIFS(全馬データ!$K$2:$K$50000,全馬データ!$A$2:$A$50000,A4207,全馬データ!$B$2:$B$50000,B4207,全馬データ!$C$2:$C$50000,C4207,全馬データ!$D$2:$D$50000,E4207)))</f>
        <v/>
      </c>
      <c r="AP4207" s="8" t="str">
        <f aca="false">IF(A4207="","",IF(AO4207="","欠損",IF(AO4207&lt;=1.1,"1.0～1.1",IF(AO4207&lt;1.3,"1.2",IF(AO4207&lt;1.5,"1.3～1.4",IF(AO4207&lt;2,"1.5～1.9","2.0以上"))))))</f>
        <v/>
      </c>
      <c r="AQ4207" s="8" t="str">
        <f aca="false">IF(A4207="","",IF(ISNUMBER(SEARCH("2歳",Z4207)),"2歳戦",IF(ISNUMBER(SEARCH("3歳未勝利",Z4207)),"3歳未勝利",IF(ISNUMBER(SEARCH("未勝利",Z4207)),"その他未勝利",IF(ISNUMBER(SEARCH("G1",Z4207)),"G1",IF(ISNUMBER(SEARCH("G2",Z4207)),"G2",IF(ISNUMBER(SEARCH("G3",Z4207)),"G3",IF(ISNUMBER(SEARCH("古馬条件",Z4207)),"古馬条件戦",IF(ISNUMBER(SEARCH("重賞",Z4207)),"重賞","分類不能")))))))))</f>
        <v/>
      </c>
    </row>
    <row r="4208" customFormat="false" ht="15.75" hidden="false" customHeight="false" outlineLevel="0" collapsed="false">
      <c r="AO4208" s="8" t="str">
        <f aca="false">IF(A4208="","",IF(COUNTIFS(全馬データ!$A$2:$A$50000,A4208,全馬データ!$B$2:$B$50000,B4208,全馬データ!$C$2:$C$50000,C4208,全馬データ!$D$2:$D$50000,E4208,全馬データ!$K$2:$K$50000,"&lt;&gt;")=0,"",SUMIFS(全馬データ!$K$2:$K$50000,全馬データ!$A$2:$A$50000,A4208,全馬データ!$B$2:$B$50000,B4208,全馬データ!$C$2:$C$50000,C4208,全馬データ!$D$2:$D$50000,E4208)))</f>
        <v/>
      </c>
      <c r="AP4208" s="8" t="str">
        <f aca="false">IF(A4208="","",IF(AO4208="","欠損",IF(AO4208&lt;=1.1,"1.0～1.1",IF(AO4208&lt;1.3,"1.2",IF(AO4208&lt;1.5,"1.3～1.4",IF(AO4208&lt;2,"1.5～1.9","2.0以上"))))))</f>
        <v/>
      </c>
      <c r="AQ4208" s="8" t="str">
        <f aca="false">IF(A4208="","",IF(ISNUMBER(SEARCH("2歳",Z4208)),"2歳戦",IF(ISNUMBER(SEARCH("3歳未勝利",Z4208)),"3歳未勝利",IF(ISNUMBER(SEARCH("未勝利",Z4208)),"その他未勝利",IF(ISNUMBER(SEARCH("G1",Z4208)),"G1",IF(ISNUMBER(SEARCH("G2",Z4208)),"G2",IF(ISNUMBER(SEARCH("G3",Z4208)),"G3",IF(ISNUMBER(SEARCH("古馬条件",Z4208)),"古馬条件戦",IF(ISNUMBER(SEARCH("重賞",Z4208)),"重賞","分類不能")))))))))</f>
        <v/>
      </c>
    </row>
    <row r="4209" customFormat="false" ht="15.75" hidden="false" customHeight="false" outlineLevel="0" collapsed="false">
      <c r="AO4209" s="8" t="str">
        <f aca="false">IF(A4209="","",IF(COUNTIFS(全馬データ!$A$2:$A$50000,A4209,全馬データ!$B$2:$B$50000,B4209,全馬データ!$C$2:$C$50000,C4209,全馬データ!$D$2:$D$50000,E4209,全馬データ!$K$2:$K$50000,"&lt;&gt;")=0,"",SUMIFS(全馬データ!$K$2:$K$50000,全馬データ!$A$2:$A$50000,A4209,全馬データ!$B$2:$B$50000,B4209,全馬データ!$C$2:$C$50000,C4209,全馬データ!$D$2:$D$50000,E4209)))</f>
        <v/>
      </c>
      <c r="AP4209" s="8" t="str">
        <f aca="false">IF(A4209="","",IF(AO4209="","欠損",IF(AO4209&lt;=1.1,"1.0～1.1",IF(AO4209&lt;1.3,"1.2",IF(AO4209&lt;1.5,"1.3～1.4",IF(AO4209&lt;2,"1.5～1.9","2.0以上"))))))</f>
        <v/>
      </c>
      <c r="AQ4209" s="8" t="str">
        <f aca="false">IF(A4209="","",IF(ISNUMBER(SEARCH("2歳",Z4209)),"2歳戦",IF(ISNUMBER(SEARCH("3歳未勝利",Z4209)),"3歳未勝利",IF(ISNUMBER(SEARCH("未勝利",Z4209)),"その他未勝利",IF(ISNUMBER(SEARCH("G1",Z4209)),"G1",IF(ISNUMBER(SEARCH("G2",Z4209)),"G2",IF(ISNUMBER(SEARCH("G3",Z4209)),"G3",IF(ISNUMBER(SEARCH("古馬条件",Z4209)),"古馬条件戦",IF(ISNUMBER(SEARCH("重賞",Z4209)),"重賞","分類不能")))))))))</f>
        <v/>
      </c>
    </row>
    <row r="4210" customFormat="false" ht="15.75" hidden="false" customHeight="false" outlineLevel="0" collapsed="false">
      <c r="AO4210" s="8" t="str">
        <f aca="false">IF(A4210="","",IF(COUNTIFS(全馬データ!$A$2:$A$50000,A4210,全馬データ!$B$2:$B$50000,B4210,全馬データ!$C$2:$C$50000,C4210,全馬データ!$D$2:$D$50000,E4210,全馬データ!$K$2:$K$50000,"&lt;&gt;")=0,"",SUMIFS(全馬データ!$K$2:$K$50000,全馬データ!$A$2:$A$50000,A4210,全馬データ!$B$2:$B$50000,B4210,全馬データ!$C$2:$C$50000,C4210,全馬データ!$D$2:$D$50000,E4210)))</f>
        <v/>
      </c>
      <c r="AP4210" s="8" t="str">
        <f aca="false">IF(A4210="","",IF(AO4210="","欠損",IF(AO4210&lt;=1.1,"1.0～1.1",IF(AO4210&lt;1.3,"1.2",IF(AO4210&lt;1.5,"1.3～1.4",IF(AO4210&lt;2,"1.5～1.9","2.0以上"))))))</f>
        <v/>
      </c>
      <c r="AQ4210" s="8" t="str">
        <f aca="false">IF(A4210="","",IF(ISNUMBER(SEARCH("2歳",Z4210)),"2歳戦",IF(ISNUMBER(SEARCH("3歳未勝利",Z4210)),"3歳未勝利",IF(ISNUMBER(SEARCH("未勝利",Z4210)),"その他未勝利",IF(ISNUMBER(SEARCH("G1",Z4210)),"G1",IF(ISNUMBER(SEARCH("G2",Z4210)),"G2",IF(ISNUMBER(SEARCH("G3",Z4210)),"G3",IF(ISNUMBER(SEARCH("古馬条件",Z4210)),"古馬条件戦",IF(ISNUMBER(SEARCH("重賞",Z4210)),"重賞","分類不能")))))))))</f>
        <v/>
      </c>
    </row>
    <row r="4211" customFormat="false" ht="15.75" hidden="false" customHeight="false" outlineLevel="0" collapsed="false">
      <c r="AO4211" s="8" t="str">
        <f aca="false">IF(A4211="","",IF(COUNTIFS(全馬データ!$A$2:$A$50000,A4211,全馬データ!$B$2:$B$50000,B4211,全馬データ!$C$2:$C$50000,C4211,全馬データ!$D$2:$D$50000,E4211,全馬データ!$K$2:$K$50000,"&lt;&gt;")=0,"",SUMIFS(全馬データ!$K$2:$K$50000,全馬データ!$A$2:$A$50000,A4211,全馬データ!$B$2:$B$50000,B4211,全馬データ!$C$2:$C$50000,C4211,全馬データ!$D$2:$D$50000,E4211)))</f>
        <v/>
      </c>
      <c r="AP4211" s="8" t="str">
        <f aca="false">IF(A4211="","",IF(AO4211="","欠損",IF(AO4211&lt;=1.1,"1.0～1.1",IF(AO4211&lt;1.3,"1.2",IF(AO4211&lt;1.5,"1.3～1.4",IF(AO4211&lt;2,"1.5～1.9","2.0以上"))))))</f>
        <v/>
      </c>
      <c r="AQ4211" s="8" t="str">
        <f aca="false">IF(A4211="","",IF(ISNUMBER(SEARCH("2歳",Z4211)),"2歳戦",IF(ISNUMBER(SEARCH("3歳未勝利",Z4211)),"3歳未勝利",IF(ISNUMBER(SEARCH("未勝利",Z4211)),"その他未勝利",IF(ISNUMBER(SEARCH("G1",Z4211)),"G1",IF(ISNUMBER(SEARCH("G2",Z4211)),"G2",IF(ISNUMBER(SEARCH("G3",Z4211)),"G3",IF(ISNUMBER(SEARCH("古馬条件",Z4211)),"古馬条件戦",IF(ISNUMBER(SEARCH("重賞",Z4211)),"重賞","分類不能")))))))))</f>
        <v/>
      </c>
    </row>
    <row r="4212" customFormat="false" ht="15.75" hidden="false" customHeight="false" outlineLevel="0" collapsed="false">
      <c r="AO4212" s="8" t="str">
        <f aca="false">IF(A4212="","",IF(COUNTIFS(全馬データ!$A$2:$A$50000,A4212,全馬データ!$B$2:$B$50000,B4212,全馬データ!$C$2:$C$50000,C4212,全馬データ!$D$2:$D$50000,E4212,全馬データ!$K$2:$K$50000,"&lt;&gt;")=0,"",SUMIFS(全馬データ!$K$2:$K$50000,全馬データ!$A$2:$A$50000,A4212,全馬データ!$B$2:$B$50000,B4212,全馬データ!$C$2:$C$50000,C4212,全馬データ!$D$2:$D$50000,E4212)))</f>
        <v/>
      </c>
      <c r="AP4212" s="8" t="str">
        <f aca="false">IF(A4212="","",IF(AO4212="","欠損",IF(AO4212&lt;=1.1,"1.0～1.1",IF(AO4212&lt;1.3,"1.2",IF(AO4212&lt;1.5,"1.3～1.4",IF(AO4212&lt;2,"1.5～1.9","2.0以上"))))))</f>
        <v/>
      </c>
      <c r="AQ4212" s="8" t="str">
        <f aca="false">IF(A4212="","",IF(ISNUMBER(SEARCH("2歳",Z4212)),"2歳戦",IF(ISNUMBER(SEARCH("3歳未勝利",Z4212)),"3歳未勝利",IF(ISNUMBER(SEARCH("未勝利",Z4212)),"その他未勝利",IF(ISNUMBER(SEARCH("G1",Z4212)),"G1",IF(ISNUMBER(SEARCH("G2",Z4212)),"G2",IF(ISNUMBER(SEARCH("G3",Z4212)),"G3",IF(ISNUMBER(SEARCH("古馬条件",Z4212)),"古馬条件戦",IF(ISNUMBER(SEARCH("重賞",Z4212)),"重賞","分類不能")))))))))</f>
        <v/>
      </c>
    </row>
    <row r="4213" customFormat="false" ht="15.75" hidden="false" customHeight="false" outlineLevel="0" collapsed="false">
      <c r="AO4213" s="8" t="str">
        <f aca="false">IF(A4213="","",IF(COUNTIFS(全馬データ!$A$2:$A$50000,A4213,全馬データ!$B$2:$B$50000,B4213,全馬データ!$C$2:$C$50000,C4213,全馬データ!$D$2:$D$50000,E4213,全馬データ!$K$2:$K$50000,"&lt;&gt;")=0,"",SUMIFS(全馬データ!$K$2:$K$50000,全馬データ!$A$2:$A$50000,A4213,全馬データ!$B$2:$B$50000,B4213,全馬データ!$C$2:$C$50000,C4213,全馬データ!$D$2:$D$50000,E4213)))</f>
        <v/>
      </c>
      <c r="AP4213" s="8" t="str">
        <f aca="false">IF(A4213="","",IF(AO4213="","欠損",IF(AO4213&lt;=1.1,"1.0～1.1",IF(AO4213&lt;1.3,"1.2",IF(AO4213&lt;1.5,"1.3～1.4",IF(AO4213&lt;2,"1.5～1.9","2.0以上"))))))</f>
        <v/>
      </c>
      <c r="AQ4213" s="8" t="str">
        <f aca="false">IF(A4213="","",IF(ISNUMBER(SEARCH("2歳",Z4213)),"2歳戦",IF(ISNUMBER(SEARCH("3歳未勝利",Z4213)),"3歳未勝利",IF(ISNUMBER(SEARCH("未勝利",Z4213)),"その他未勝利",IF(ISNUMBER(SEARCH("G1",Z4213)),"G1",IF(ISNUMBER(SEARCH("G2",Z4213)),"G2",IF(ISNUMBER(SEARCH("G3",Z4213)),"G3",IF(ISNUMBER(SEARCH("古馬条件",Z4213)),"古馬条件戦",IF(ISNUMBER(SEARCH("重賞",Z4213)),"重賞","分類不能")))))))))</f>
        <v/>
      </c>
    </row>
    <row r="4214" customFormat="false" ht="15.75" hidden="false" customHeight="false" outlineLevel="0" collapsed="false">
      <c r="AO4214" s="8" t="str">
        <f aca="false">IF(A4214="","",IF(COUNTIFS(全馬データ!$A$2:$A$50000,A4214,全馬データ!$B$2:$B$50000,B4214,全馬データ!$C$2:$C$50000,C4214,全馬データ!$D$2:$D$50000,E4214,全馬データ!$K$2:$K$50000,"&lt;&gt;")=0,"",SUMIFS(全馬データ!$K$2:$K$50000,全馬データ!$A$2:$A$50000,A4214,全馬データ!$B$2:$B$50000,B4214,全馬データ!$C$2:$C$50000,C4214,全馬データ!$D$2:$D$50000,E4214)))</f>
        <v/>
      </c>
      <c r="AP4214" s="8" t="str">
        <f aca="false">IF(A4214="","",IF(AO4214="","欠損",IF(AO4214&lt;=1.1,"1.0～1.1",IF(AO4214&lt;1.3,"1.2",IF(AO4214&lt;1.5,"1.3～1.4",IF(AO4214&lt;2,"1.5～1.9","2.0以上"))))))</f>
        <v/>
      </c>
      <c r="AQ4214" s="8" t="str">
        <f aca="false">IF(A4214="","",IF(ISNUMBER(SEARCH("2歳",Z4214)),"2歳戦",IF(ISNUMBER(SEARCH("3歳未勝利",Z4214)),"3歳未勝利",IF(ISNUMBER(SEARCH("未勝利",Z4214)),"その他未勝利",IF(ISNUMBER(SEARCH("G1",Z4214)),"G1",IF(ISNUMBER(SEARCH("G2",Z4214)),"G2",IF(ISNUMBER(SEARCH("G3",Z4214)),"G3",IF(ISNUMBER(SEARCH("古馬条件",Z4214)),"古馬条件戦",IF(ISNUMBER(SEARCH("重賞",Z4214)),"重賞","分類不能")))))))))</f>
        <v/>
      </c>
    </row>
    <row r="4215" customFormat="false" ht="15.75" hidden="false" customHeight="false" outlineLevel="0" collapsed="false">
      <c r="AO4215" s="8" t="str">
        <f aca="false">IF(A4215="","",IF(COUNTIFS(全馬データ!$A$2:$A$50000,A4215,全馬データ!$B$2:$B$50000,B4215,全馬データ!$C$2:$C$50000,C4215,全馬データ!$D$2:$D$50000,E4215,全馬データ!$K$2:$K$50000,"&lt;&gt;")=0,"",SUMIFS(全馬データ!$K$2:$K$50000,全馬データ!$A$2:$A$50000,A4215,全馬データ!$B$2:$B$50000,B4215,全馬データ!$C$2:$C$50000,C4215,全馬データ!$D$2:$D$50000,E4215)))</f>
        <v/>
      </c>
      <c r="AP4215" s="8" t="str">
        <f aca="false">IF(A4215="","",IF(AO4215="","欠損",IF(AO4215&lt;=1.1,"1.0～1.1",IF(AO4215&lt;1.3,"1.2",IF(AO4215&lt;1.5,"1.3～1.4",IF(AO4215&lt;2,"1.5～1.9","2.0以上"))))))</f>
        <v/>
      </c>
      <c r="AQ4215" s="8" t="str">
        <f aca="false">IF(A4215="","",IF(ISNUMBER(SEARCH("2歳",Z4215)),"2歳戦",IF(ISNUMBER(SEARCH("3歳未勝利",Z4215)),"3歳未勝利",IF(ISNUMBER(SEARCH("未勝利",Z4215)),"その他未勝利",IF(ISNUMBER(SEARCH("G1",Z4215)),"G1",IF(ISNUMBER(SEARCH("G2",Z4215)),"G2",IF(ISNUMBER(SEARCH("G3",Z4215)),"G3",IF(ISNUMBER(SEARCH("古馬条件",Z4215)),"古馬条件戦",IF(ISNUMBER(SEARCH("重賞",Z4215)),"重賞","分類不能")))))))))</f>
        <v/>
      </c>
    </row>
    <row r="4216" customFormat="false" ht="15.75" hidden="false" customHeight="false" outlineLevel="0" collapsed="false">
      <c r="AO4216" s="8" t="str">
        <f aca="false">IF(A4216="","",IF(COUNTIFS(全馬データ!$A$2:$A$50000,A4216,全馬データ!$B$2:$B$50000,B4216,全馬データ!$C$2:$C$50000,C4216,全馬データ!$D$2:$D$50000,E4216,全馬データ!$K$2:$K$50000,"&lt;&gt;")=0,"",SUMIFS(全馬データ!$K$2:$K$50000,全馬データ!$A$2:$A$50000,A4216,全馬データ!$B$2:$B$50000,B4216,全馬データ!$C$2:$C$50000,C4216,全馬データ!$D$2:$D$50000,E4216)))</f>
        <v/>
      </c>
      <c r="AP4216" s="8" t="str">
        <f aca="false">IF(A4216="","",IF(AO4216="","欠損",IF(AO4216&lt;=1.1,"1.0～1.1",IF(AO4216&lt;1.3,"1.2",IF(AO4216&lt;1.5,"1.3～1.4",IF(AO4216&lt;2,"1.5～1.9","2.0以上"))))))</f>
        <v/>
      </c>
      <c r="AQ4216" s="8" t="str">
        <f aca="false">IF(A4216="","",IF(ISNUMBER(SEARCH("2歳",Z4216)),"2歳戦",IF(ISNUMBER(SEARCH("3歳未勝利",Z4216)),"3歳未勝利",IF(ISNUMBER(SEARCH("未勝利",Z4216)),"その他未勝利",IF(ISNUMBER(SEARCH("G1",Z4216)),"G1",IF(ISNUMBER(SEARCH("G2",Z4216)),"G2",IF(ISNUMBER(SEARCH("G3",Z4216)),"G3",IF(ISNUMBER(SEARCH("古馬条件",Z4216)),"古馬条件戦",IF(ISNUMBER(SEARCH("重賞",Z4216)),"重賞","分類不能")))))))))</f>
        <v/>
      </c>
    </row>
    <row r="4217" customFormat="false" ht="15.75" hidden="false" customHeight="false" outlineLevel="0" collapsed="false">
      <c r="AO4217" s="8" t="str">
        <f aca="false">IF(A4217="","",IF(COUNTIFS(全馬データ!$A$2:$A$50000,A4217,全馬データ!$B$2:$B$50000,B4217,全馬データ!$C$2:$C$50000,C4217,全馬データ!$D$2:$D$50000,E4217,全馬データ!$K$2:$K$50000,"&lt;&gt;")=0,"",SUMIFS(全馬データ!$K$2:$K$50000,全馬データ!$A$2:$A$50000,A4217,全馬データ!$B$2:$B$50000,B4217,全馬データ!$C$2:$C$50000,C4217,全馬データ!$D$2:$D$50000,E4217)))</f>
        <v/>
      </c>
      <c r="AP4217" s="8" t="str">
        <f aca="false">IF(A4217="","",IF(AO4217="","欠損",IF(AO4217&lt;=1.1,"1.0～1.1",IF(AO4217&lt;1.3,"1.2",IF(AO4217&lt;1.5,"1.3～1.4",IF(AO4217&lt;2,"1.5～1.9","2.0以上"))))))</f>
        <v/>
      </c>
      <c r="AQ4217" s="8" t="str">
        <f aca="false">IF(A4217="","",IF(ISNUMBER(SEARCH("2歳",Z4217)),"2歳戦",IF(ISNUMBER(SEARCH("3歳未勝利",Z4217)),"3歳未勝利",IF(ISNUMBER(SEARCH("未勝利",Z4217)),"その他未勝利",IF(ISNUMBER(SEARCH("G1",Z4217)),"G1",IF(ISNUMBER(SEARCH("G2",Z4217)),"G2",IF(ISNUMBER(SEARCH("G3",Z4217)),"G3",IF(ISNUMBER(SEARCH("古馬条件",Z4217)),"古馬条件戦",IF(ISNUMBER(SEARCH("重賞",Z4217)),"重賞","分類不能")))))))))</f>
        <v/>
      </c>
    </row>
    <row r="4218" customFormat="false" ht="15.75" hidden="false" customHeight="false" outlineLevel="0" collapsed="false">
      <c r="AO4218" s="8" t="str">
        <f aca="false">IF(A4218="","",IF(COUNTIFS(全馬データ!$A$2:$A$50000,A4218,全馬データ!$B$2:$B$50000,B4218,全馬データ!$C$2:$C$50000,C4218,全馬データ!$D$2:$D$50000,E4218,全馬データ!$K$2:$K$50000,"&lt;&gt;")=0,"",SUMIFS(全馬データ!$K$2:$K$50000,全馬データ!$A$2:$A$50000,A4218,全馬データ!$B$2:$B$50000,B4218,全馬データ!$C$2:$C$50000,C4218,全馬データ!$D$2:$D$50000,E4218)))</f>
        <v/>
      </c>
      <c r="AP4218" s="8" t="str">
        <f aca="false">IF(A4218="","",IF(AO4218="","欠損",IF(AO4218&lt;=1.1,"1.0～1.1",IF(AO4218&lt;1.3,"1.2",IF(AO4218&lt;1.5,"1.3～1.4",IF(AO4218&lt;2,"1.5～1.9","2.0以上"))))))</f>
        <v/>
      </c>
      <c r="AQ4218" s="8" t="str">
        <f aca="false">IF(A4218="","",IF(ISNUMBER(SEARCH("2歳",Z4218)),"2歳戦",IF(ISNUMBER(SEARCH("3歳未勝利",Z4218)),"3歳未勝利",IF(ISNUMBER(SEARCH("未勝利",Z4218)),"その他未勝利",IF(ISNUMBER(SEARCH("G1",Z4218)),"G1",IF(ISNUMBER(SEARCH("G2",Z4218)),"G2",IF(ISNUMBER(SEARCH("G3",Z4218)),"G3",IF(ISNUMBER(SEARCH("古馬条件",Z4218)),"古馬条件戦",IF(ISNUMBER(SEARCH("重賞",Z4218)),"重賞","分類不能")))))))))</f>
        <v/>
      </c>
    </row>
    <row r="4219" customFormat="false" ht="15.75" hidden="false" customHeight="false" outlineLevel="0" collapsed="false">
      <c r="AO4219" s="8" t="str">
        <f aca="false">IF(A4219="","",IF(COUNTIFS(全馬データ!$A$2:$A$50000,A4219,全馬データ!$B$2:$B$50000,B4219,全馬データ!$C$2:$C$50000,C4219,全馬データ!$D$2:$D$50000,E4219,全馬データ!$K$2:$K$50000,"&lt;&gt;")=0,"",SUMIFS(全馬データ!$K$2:$K$50000,全馬データ!$A$2:$A$50000,A4219,全馬データ!$B$2:$B$50000,B4219,全馬データ!$C$2:$C$50000,C4219,全馬データ!$D$2:$D$50000,E4219)))</f>
        <v/>
      </c>
      <c r="AP4219" s="8" t="str">
        <f aca="false">IF(A4219="","",IF(AO4219="","欠損",IF(AO4219&lt;=1.1,"1.0～1.1",IF(AO4219&lt;1.3,"1.2",IF(AO4219&lt;1.5,"1.3～1.4",IF(AO4219&lt;2,"1.5～1.9","2.0以上"))))))</f>
        <v/>
      </c>
      <c r="AQ4219" s="8" t="str">
        <f aca="false">IF(A4219="","",IF(ISNUMBER(SEARCH("2歳",Z4219)),"2歳戦",IF(ISNUMBER(SEARCH("3歳未勝利",Z4219)),"3歳未勝利",IF(ISNUMBER(SEARCH("未勝利",Z4219)),"その他未勝利",IF(ISNUMBER(SEARCH("G1",Z4219)),"G1",IF(ISNUMBER(SEARCH("G2",Z4219)),"G2",IF(ISNUMBER(SEARCH("G3",Z4219)),"G3",IF(ISNUMBER(SEARCH("古馬条件",Z4219)),"古馬条件戦",IF(ISNUMBER(SEARCH("重賞",Z4219)),"重賞","分類不能")))))))))</f>
        <v/>
      </c>
    </row>
    <row r="4220" customFormat="false" ht="15.75" hidden="false" customHeight="false" outlineLevel="0" collapsed="false">
      <c r="AO4220" s="8" t="str">
        <f aca="false">IF(A4220="","",IF(COUNTIFS(全馬データ!$A$2:$A$50000,A4220,全馬データ!$B$2:$B$50000,B4220,全馬データ!$C$2:$C$50000,C4220,全馬データ!$D$2:$D$50000,E4220,全馬データ!$K$2:$K$50000,"&lt;&gt;")=0,"",SUMIFS(全馬データ!$K$2:$K$50000,全馬データ!$A$2:$A$50000,A4220,全馬データ!$B$2:$B$50000,B4220,全馬データ!$C$2:$C$50000,C4220,全馬データ!$D$2:$D$50000,E4220)))</f>
        <v/>
      </c>
      <c r="AP4220" s="8" t="str">
        <f aca="false">IF(A4220="","",IF(AO4220="","欠損",IF(AO4220&lt;=1.1,"1.0～1.1",IF(AO4220&lt;1.3,"1.2",IF(AO4220&lt;1.5,"1.3～1.4",IF(AO4220&lt;2,"1.5～1.9","2.0以上"))))))</f>
        <v/>
      </c>
      <c r="AQ4220" s="8" t="str">
        <f aca="false">IF(A4220="","",IF(ISNUMBER(SEARCH("2歳",Z4220)),"2歳戦",IF(ISNUMBER(SEARCH("3歳未勝利",Z4220)),"3歳未勝利",IF(ISNUMBER(SEARCH("未勝利",Z4220)),"その他未勝利",IF(ISNUMBER(SEARCH("G1",Z4220)),"G1",IF(ISNUMBER(SEARCH("G2",Z4220)),"G2",IF(ISNUMBER(SEARCH("G3",Z4220)),"G3",IF(ISNUMBER(SEARCH("古馬条件",Z4220)),"古馬条件戦",IF(ISNUMBER(SEARCH("重賞",Z4220)),"重賞","分類不能")))))))))</f>
        <v/>
      </c>
    </row>
    <row r="4221" customFormat="false" ht="15.75" hidden="false" customHeight="false" outlineLevel="0" collapsed="false">
      <c r="AO4221" s="8" t="str">
        <f aca="false">IF(A4221="","",IF(COUNTIFS(全馬データ!$A$2:$A$50000,A4221,全馬データ!$B$2:$B$50000,B4221,全馬データ!$C$2:$C$50000,C4221,全馬データ!$D$2:$D$50000,E4221,全馬データ!$K$2:$K$50000,"&lt;&gt;")=0,"",SUMIFS(全馬データ!$K$2:$K$50000,全馬データ!$A$2:$A$50000,A4221,全馬データ!$B$2:$B$50000,B4221,全馬データ!$C$2:$C$50000,C4221,全馬データ!$D$2:$D$50000,E4221)))</f>
        <v/>
      </c>
      <c r="AP4221" s="8" t="str">
        <f aca="false">IF(A4221="","",IF(AO4221="","欠損",IF(AO4221&lt;=1.1,"1.0～1.1",IF(AO4221&lt;1.3,"1.2",IF(AO4221&lt;1.5,"1.3～1.4",IF(AO4221&lt;2,"1.5～1.9","2.0以上"))))))</f>
        <v/>
      </c>
      <c r="AQ4221" s="8" t="str">
        <f aca="false">IF(A4221="","",IF(ISNUMBER(SEARCH("2歳",Z4221)),"2歳戦",IF(ISNUMBER(SEARCH("3歳未勝利",Z4221)),"3歳未勝利",IF(ISNUMBER(SEARCH("未勝利",Z4221)),"その他未勝利",IF(ISNUMBER(SEARCH("G1",Z4221)),"G1",IF(ISNUMBER(SEARCH("G2",Z4221)),"G2",IF(ISNUMBER(SEARCH("G3",Z4221)),"G3",IF(ISNUMBER(SEARCH("古馬条件",Z4221)),"古馬条件戦",IF(ISNUMBER(SEARCH("重賞",Z4221)),"重賞","分類不能")))))))))</f>
        <v/>
      </c>
    </row>
    <row r="4222" customFormat="false" ht="15.75" hidden="false" customHeight="false" outlineLevel="0" collapsed="false">
      <c r="AO4222" s="8" t="str">
        <f aca="false">IF(A4222="","",IF(COUNTIFS(全馬データ!$A$2:$A$50000,A4222,全馬データ!$B$2:$B$50000,B4222,全馬データ!$C$2:$C$50000,C4222,全馬データ!$D$2:$D$50000,E4222,全馬データ!$K$2:$K$50000,"&lt;&gt;")=0,"",SUMIFS(全馬データ!$K$2:$K$50000,全馬データ!$A$2:$A$50000,A4222,全馬データ!$B$2:$B$50000,B4222,全馬データ!$C$2:$C$50000,C4222,全馬データ!$D$2:$D$50000,E4222)))</f>
        <v/>
      </c>
      <c r="AP4222" s="8" t="str">
        <f aca="false">IF(A4222="","",IF(AO4222="","欠損",IF(AO4222&lt;=1.1,"1.0～1.1",IF(AO4222&lt;1.3,"1.2",IF(AO4222&lt;1.5,"1.3～1.4",IF(AO4222&lt;2,"1.5～1.9","2.0以上"))))))</f>
        <v/>
      </c>
      <c r="AQ4222" s="8" t="str">
        <f aca="false">IF(A4222="","",IF(ISNUMBER(SEARCH("2歳",Z4222)),"2歳戦",IF(ISNUMBER(SEARCH("3歳未勝利",Z4222)),"3歳未勝利",IF(ISNUMBER(SEARCH("未勝利",Z4222)),"その他未勝利",IF(ISNUMBER(SEARCH("G1",Z4222)),"G1",IF(ISNUMBER(SEARCH("G2",Z4222)),"G2",IF(ISNUMBER(SEARCH("G3",Z4222)),"G3",IF(ISNUMBER(SEARCH("古馬条件",Z4222)),"古馬条件戦",IF(ISNUMBER(SEARCH("重賞",Z4222)),"重賞","分類不能")))))))))</f>
        <v/>
      </c>
    </row>
    <row r="4223" customFormat="false" ht="15.75" hidden="false" customHeight="false" outlineLevel="0" collapsed="false">
      <c r="AO4223" s="8" t="str">
        <f aca="false">IF(A4223="","",IF(COUNTIFS(全馬データ!$A$2:$A$50000,A4223,全馬データ!$B$2:$B$50000,B4223,全馬データ!$C$2:$C$50000,C4223,全馬データ!$D$2:$D$50000,E4223,全馬データ!$K$2:$K$50000,"&lt;&gt;")=0,"",SUMIFS(全馬データ!$K$2:$K$50000,全馬データ!$A$2:$A$50000,A4223,全馬データ!$B$2:$B$50000,B4223,全馬データ!$C$2:$C$50000,C4223,全馬データ!$D$2:$D$50000,E4223)))</f>
        <v/>
      </c>
      <c r="AP4223" s="8" t="str">
        <f aca="false">IF(A4223="","",IF(AO4223="","欠損",IF(AO4223&lt;=1.1,"1.0～1.1",IF(AO4223&lt;1.3,"1.2",IF(AO4223&lt;1.5,"1.3～1.4",IF(AO4223&lt;2,"1.5～1.9","2.0以上"))))))</f>
        <v/>
      </c>
      <c r="AQ4223" s="8" t="str">
        <f aca="false">IF(A4223="","",IF(ISNUMBER(SEARCH("2歳",Z4223)),"2歳戦",IF(ISNUMBER(SEARCH("3歳未勝利",Z4223)),"3歳未勝利",IF(ISNUMBER(SEARCH("未勝利",Z4223)),"その他未勝利",IF(ISNUMBER(SEARCH("G1",Z4223)),"G1",IF(ISNUMBER(SEARCH("G2",Z4223)),"G2",IF(ISNUMBER(SEARCH("G3",Z4223)),"G3",IF(ISNUMBER(SEARCH("古馬条件",Z4223)),"古馬条件戦",IF(ISNUMBER(SEARCH("重賞",Z4223)),"重賞","分類不能")))))))))</f>
        <v/>
      </c>
    </row>
    <row r="4224" customFormat="false" ht="15.75" hidden="false" customHeight="false" outlineLevel="0" collapsed="false">
      <c r="AO4224" s="8" t="str">
        <f aca="false">IF(A4224="","",IF(COUNTIFS(全馬データ!$A$2:$A$50000,A4224,全馬データ!$B$2:$B$50000,B4224,全馬データ!$C$2:$C$50000,C4224,全馬データ!$D$2:$D$50000,E4224,全馬データ!$K$2:$K$50000,"&lt;&gt;")=0,"",SUMIFS(全馬データ!$K$2:$K$50000,全馬データ!$A$2:$A$50000,A4224,全馬データ!$B$2:$B$50000,B4224,全馬データ!$C$2:$C$50000,C4224,全馬データ!$D$2:$D$50000,E4224)))</f>
        <v/>
      </c>
      <c r="AP4224" s="8" t="str">
        <f aca="false">IF(A4224="","",IF(AO4224="","欠損",IF(AO4224&lt;=1.1,"1.0～1.1",IF(AO4224&lt;1.3,"1.2",IF(AO4224&lt;1.5,"1.3～1.4",IF(AO4224&lt;2,"1.5～1.9","2.0以上"))))))</f>
        <v/>
      </c>
      <c r="AQ4224" s="8" t="str">
        <f aca="false">IF(A4224="","",IF(ISNUMBER(SEARCH("2歳",Z4224)),"2歳戦",IF(ISNUMBER(SEARCH("3歳未勝利",Z4224)),"3歳未勝利",IF(ISNUMBER(SEARCH("未勝利",Z4224)),"その他未勝利",IF(ISNUMBER(SEARCH("G1",Z4224)),"G1",IF(ISNUMBER(SEARCH("G2",Z4224)),"G2",IF(ISNUMBER(SEARCH("G3",Z4224)),"G3",IF(ISNUMBER(SEARCH("古馬条件",Z4224)),"古馬条件戦",IF(ISNUMBER(SEARCH("重賞",Z4224)),"重賞","分類不能")))))))))</f>
        <v/>
      </c>
    </row>
    <row r="4225" customFormat="false" ht="15.75" hidden="false" customHeight="false" outlineLevel="0" collapsed="false">
      <c r="AO4225" s="8" t="str">
        <f aca="false">IF(A4225="","",IF(COUNTIFS(全馬データ!$A$2:$A$50000,A4225,全馬データ!$B$2:$B$50000,B4225,全馬データ!$C$2:$C$50000,C4225,全馬データ!$D$2:$D$50000,E4225,全馬データ!$K$2:$K$50000,"&lt;&gt;")=0,"",SUMIFS(全馬データ!$K$2:$K$50000,全馬データ!$A$2:$A$50000,A4225,全馬データ!$B$2:$B$50000,B4225,全馬データ!$C$2:$C$50000,C4225,全馬データ!$D$2:$D$50000,E4225)))</f>
        <v/>
      </c>
      <c r="AP4225" s="8" t="str">
        <f aca="false">IF(A4225="","",IF(AO4225="","欠損",IF(AO4225&lt;=1.1,"1.0～1.1",IF(AO4225&lt;1.3,"1.2",IF(AO4225&lt;1.5,"1.3～1.4",IF(AO4225&lt;2,"1.5～1.9","2.0以上"))))))</f>
        <v/>
      </c>
      <c r="AQ4225" s="8" t="str">
        <f aca="false">IF(A4225="","",IF(ISNUMBER(SEARCH("2歳",Z4225)),"2歳戦",IF(ISNUMBER(SEARCH("3歳未勝利",Z4225)),"3歳未勝利",IF(ISNUMBER(SEARCH("未勝利",Z4225)),"その他未勝利",IF(ISNUMBER(SEARCH("G1",Z4225)),"G1",IF(ISNUMBER(SEARCH("G2",Z4225)),"G2",IF(ISNUMBER(SEARCH("G3",Z4225)),"G3",IF(ISNUMBER(SEARCH("古馬条件",Z4225)),"古馬条件戦",IF(ISNUMBER(SEARCH("重賞",Z4225)),"重賞","分類不能")))))))))</f>
        <v/>
      </c>
    </row>
    <row r="4226" customFormat="false" ht="15.75" hidden="false" customHeight="false" outlineLevel="0" collapsed="false">
      <c r="AO4226" s="8" t="str">
        <f aca="false">IF(A4226="","",IF(COUNTIFS(全馬データ!$A$2:$A$50000,A4226,全馬データ!$B$2:$B$50000,B4226,全馬データ!$C$2:$C$50000,C4226,全馬データ!$D$2:$D$50000,E4226,全馬データ!$K$2:$K$50000,"&lt;&gt;")=0,"",SUMIFS(全馬データ!$K$2:$K$50000,全馬データ!$A$2:$A$50000,A4226,全馬データ!$B$2:$B$50000,B4226,全馬データ!$C$2:$C$50000,C4226,全馬データ!$D$2:$D$50000,E4226)))</f>
        <v/>
      </c>
      <c r="AP4226" s="8" t="str">
        <f aca="false">IF(A4226="","",IF(AO4226="","欠損",IF(AO4226&lt;=1.1,"1.0～1.1",IF(AO4226&lt;1.3,"1.2",IF(AO4226&lt;1.5,"1.3～1.4",IF(AO4226&lt;2,"1.5～1.9","2.0以上"))))))</f>
        <v/>
      </c>
      <c r="AQ4226" s="8" t="str">
        <f aca="false">IF(A4226="","",IF(ISNUMBER(SEARCH("2歳",Z4226)),"2歳戦",IF(ISNUMBER(SEARCH("3歳未勝利",Z4226)),"3歳未勝利",IF(ISNUMBER(SEARCH("未勝利",Z4226)),"その他未勝利",IF(ISNUMBER(SEARCH("G1",Z4226)),"G1",IF(ISNUMBER(SEARCH("G2",Z4226)),"G2",IF(ISNUMBER(SEARCH("G3",Z4226)),"G3",IF(ISNUMBER(SEARCH("古馬条件",Z4226)),"古馬条件戦",IF(ISNUMBER(SEARCH("重賞",Z4226)),"重賞","分類不能")))))))))</f>
        <v/>
      </c>
    </row>
    <row r="4227" customFormat="false" ht="15.75" hidden="false" customHeight="false" outlineLevel="0" collapsed="false">
      <c r="AO4227" s="8" t="str">
        <f aca="false">IF(A4227="","",IF(COUNTIFS(全馬データ!$A$2:$A$50000,A4227,全馬データ!$B$2:$B$50000,B4227,全馬データ!$C$2:$C$50000,C4227,全馬データ!$D$2:$D$50000,E4227,全馬データ!$K$2:$K$50000,"&lt;&gt;")=0,"",SUMIFS(全馬データ!$K$2:$K$50000,全馬データ!$A$2:$A$50000,A4227,全馬データ!$B$2:$B$50000,B4227,全馬データ!$C$2:$C$50000,C4227,全馬データ!$D$2:$D$50000,E4227)))</f>
        <v/>
      </c>
      <c r="AP4227" s="8" t="str">
        <f aca="false">IF(A4227="","",IF(AO4227="","欠損",IF(AO4227&lt;=1.1,"1.0～1.1",IF(AO4227&lt;1.3,"1.2",IF(AO4227&lt;1.5,"1.3～1.4",IF(AO4227&lt;2,"1.5～1.9","2.0以上"))))))</f>
        <v/>
      </c>
      <c r="AQ4227" s="8" t="str">
        <f aca="false">IF(A4227="","",IF(ISNUMBER(SEARCH("2歳",Z4227)),"2歳戦",IF(ISNUMBER(SEARCH("3歳未勝利",Z4227)),"3歳未勝利",IF(ISNUMBER(SEARCH("未勝利",Z4227)),"その他未勝利",IF(ISNUMBER(SEARCH("G1",Z4227)),"G1",IF(ISNUMBER(SEARCH("G2",Z4227)),"G2",IF(ISNUMBER(SEARCH("G3",Z4227)),"G3",IF(ISNUMBER(SEARCH("古馬条件",Z4227)),"古馬条件戦",IF(ISNUMBER(SEARCH("重賞",Z4227)),"重賞","分類不能")))))))))</f>
        <v/>
      </c>
    </row>
    <row r="4228" customFormat="false" ht="15.75" hidden="false" customHeight="false" outlineLevel="0" collapsed="false">
      <c r="AO4228" s="8" t="str">
        <f aca="false">IF(A4228="","",IF(COUNTIFS(全馬データ!$A$2:$A$50000,A4228,全馬データ!$B$2:$B$50000,B4228,全馬データ!$C$2:$C$50000,C4228,全馬データ!$D$2:$D$50000,E4228,全馬データ!$K$2:$K$50000,"&lt;&gt;")=0,"",SUMIFS(全馬データ!$K$2:$K$50000,全馬データ!$A$2:$A$50000,A4228,全馬データ!$B$2:$B$50000,B4228,全馬データ!$C$2:$C$50000,C4228,全馬データ!$D$2:$D$50000,E4228)))</f>
        <v/>
      </c>
      <c r="AP4228" s="8" t="str">
        <f aca="false">IF(A4228="","",IF(AO4228="","欠損",IF(AO4228&lt;=1.1,"1.0～1.1",IF(AO4228&lt;1.3,"1.2",IF(AO4228&lt;1.5,"1.3～1.4",IF(AO4228&lt;2,"1.5～1.9","2.0以上"))))))</f>
        <v/>
      </c>
      <c r="AQ4228" s="8" t="str">
        <f aca="false">IF(A4228="","",IF(ISNUMBER(SEARCH("2歳",Z4228)),"2歳戦",IF(ISNUMBER(SEARCH("3歳未勝利",Z4228)),"3歳未勝利",IF(ISNUMBER(SEARCH("未勝利",Z4228)),"その他未勝利",IF(ISNUMBER(SEARCH("G1",Z4228)),"G1",IF(ISNUMBER(SEARCH("G2",Z4228)),"G2",IF(ISNUMBER(SEARCH("G3",Z4228)),"G3",IF(ISNUMBER(SEARCH("古馬条件",Z4228)),"古馬条件戦",IF(ISNUMBER(SEARCH("重賞",Z4228)),"重賞","分類不能")))))))))</f>
        <v/>
      </c>
    </row>
    <row r="4229" customFormat="false" ht="15.75" hidden="false" customHeight="false" outlineLevel="0" collapsed="false">
      <c r="AO4229" s="8" t="str">
        <f aca="false">IF(A4229="","",IF(COUNTIFS(全馬データ!$A$2:$A$50000,A4229,全馬データ!$B$2:$B$50000,B4229,全馬データ!$C$2:$C$50000,C4229,全馬データ!$D$2:$D$50000,E4229,全馬データ!$K$2:$K$50000,"&lt;&gt;")=0,"",SUMIFS(全馬データ!$K$2:$K$50000,全馬データ!$A$2:$A$50000,A4229,全馬データ!$B$2:$B$50000,B4229,全馬データ!$C$2:$C$50000,C4229,全馬データ!$D$2:$D$50000,E4229)))</f>
        <v/>
      </c>
      <c r="AP4229" s="8" t="str">
        <f aca="false">IF(A4229="","",IF(AO4229="","欠損",IF(AO4229&lt;=1.1,"1.0～1.1",IF(AO4229&lt;1.3,"1.2",IF(AO4229&lt;1.5,"1.3～1.4",IF(AO4229&lt;2,"1.5～1.9","2.0以上"))))))</f>
        <v/>
      </c>
      <c r="AQ4229" s="8" t="str">
        <f aca="false">IF(A4229="","",IF(ISNUMBER(SEARCH("2歳",Z4229)),"2歳戦",IF(ISNUMBER(SEARCH("3歳未勝利",Z4229)),"3歳未勝利",IF(ISNUMBER(SEARCH("未勝利",Z4229)),"その他未勝利",IF(ISNUMBER(SEARCH("G1",Z4229)),"G1",IF(ISNUMBER(SEARCH("G2",Z4229)),"G2",IF(ISNUMBER(SEARCH("G3",Z4229)),"G3",IF(ISNUMBER(SEARCH("古馬条件",Z4229)),"古馬条件戦",IF(ISNUMBER(SEARCH("重賞",Z4229)),"重賞","分類不能")))))))))</f>
        <v/>
      </c>
    </row>
    <row r="4230" customFormat="false" ht="15.75" hidden="false" customHeight="false" outlineLevel="0" collapsed="false">
      <c r="AO4230" s="8" t="str">
        <f aca="false">IF(A4230="","",IF(COUNTIFS(全馬データ!$A$2:$A$50000,A4230,全馬データ!$B$2:$B$50000,B4230,全馬データ!$C$2:$C$50000,C4230,全馬データ!$D$2:$D$50000,E4230,全馬データ!$K$2:$K$50000,"&lt;&gt;")=0,"",SUMIFS(全馬データ!$K$2:$K$50000,全馬データ!$A$2:$A$50000,A4230,全馬データ!$B$2:$B$50000,B4230,全馬データ!$C$2:$C$50000,C4230,全馬データ!$D$2:$D$50000,E4230)))</f>
        <v/>
      </c>
      <c r="AP4230" s="8" t="str">
        <f aca="false">IF(A4230="","",IF(AO4230="","欠損",IF(AO4230&lt;=1.1,"1.0～1.1",IF(AO4230&lt;1.3,"1.2",IF(AO4230&lt;1.5,"1.3～1.4",IF(AO4230&lt;2,"1.5～1.9","2.0以上"))))))</f>
        <v/>
      </c>
      <c r="AQ4230" s="8" t="str">
        <f aca="false">IF(A4230="","",IF(ISNUMBER(SEARCH("2歳",Z4230)),"2歳戦",IF(ISNUMBER(SEARCH("3歳未勝利",Z4230)),"3歳未勝利",IF(ISNUMBER(SEARCH("未勝利",Z4230)),"その他未勝利",IF(ISNUMBER(SEARCH("G1",Z4230)),"G1",IF(ISNUMBER(SEARCH("G2",Z4230)),"G2",IF(ISNUMBER(SEARCH("G3",Z4230)),"G3",IF(ISNUMBER(SEARCH("古馬条件",Z4230)),"古馬条件戦",IF(ISNUMBER(SEARCH("重賞",Z4230)),"重賞","分類不能")))))))))</f>
        <v/>
      </c>
    </row>
    <row r="4231" customFormat="false" ht="15.75" hidden="false" customHeight="false" outlineLevel="0" collapsed="false">
      <c r="AO4231" s="8" t="str">
        <f aca="false">IF(A4231="","",IF(COUNTIFS(全馬データ!$A$2:$A$50000,A4231,全馬データ!$B$2:$B$50000,B4231,全馬データ!$C$2:$C$50000,C4231,全馬データ!$D$2:$D$50000,E4231,全馬データ!$K$2:$K$50000,"&lt;&gt;")=0,"",SUMIFS(全馬データ!$K$2:$K$50000,全馬データ!$A$2:$A$50000,A4231,全馬データ!$B$2:$B$50000,B4231,全馬データ!$C$2:$C$50000,C4231,全馬データ!$D$2:$D$50000,E4231)))</f>
        <v/>
      </c>
      <c r="AP4231" s="8" t="str">
        <f aca="false">IF(A4231="","",IF(AO4231="","欠損",IF(AO4231&lt;=1.1,"1.0～1.1",IF(AO4231&lt;1.3,"1.2",IF(AO4231&lt;1.5,"1.3～1.4",IF(AO4231&lt;2,"1.5～1.9","2.0以上"))))))</f>
        <v/>
      </c>
      <c r="AQ4231" s="8" t="str">
        <f aca="false">IF(A4231="","",IF(ISNUMBER(SEARCH("2歳",Z4231)),"2歳戦",IF(ISNUMBER(SEARCH("3歳未勝利",Z4231)),"3歳未勝利",IF(ISNUMBER(SEARCH("未勝利",Z4231)),"その他未勝利",IF(ISNUMBER(SEARCH("G1",Z4231)),"G1",IF(ISNUMBER(SEARCH("G2",Z4231)),"G2",IF(ISNUMBER(SEARCH("G3",Z4231)),"G3",IF(ISNUMBER(SEARCH("古馬条件",Z4231)),"古馬条件戦",IF(ISNUMBER(SEARCH("重賞",Z4231)),"重賞","分類不能")))))))))</f>
        <v/>
      </c>
    </row>
    <row r="4232" customFormat="false" ht="15.75" hidden="false" customHeight="false" outlineLevel="0" collapsed="false">
      <c r="AO4232" s="8" t="str">
        <f aca="false">IF(A4232="","",IF(COUNTIFS(全馬データ!$A$2:$A$50000,A4232,全馬データ!$B$2:$B$50000,B4232,全馬データ!$C$2:$C$50000,C4232,全馬データ!$D$2:$D$50000,E4232,全馬データ!$K$2:$K$50000,"&lt;&gt;")=0,"",SUMIFS(全馬データ!$K$2:$K$50000,全馬データ!$A$2:$A$50000,A4232,全馬データ!$B$2:$B$50000,B4232,全馬データ!$C$2:$C$50000,C4232,全馬データ!$D$2:$D$50000,E4232)))</f>
        <v/>
      </c>
      <c r="AP4232" s="8" t="str">
        <f aca="false">IF(A4232="","",IF(AO4232="","欠損",IF(AO4232&lt;=1.1,"1.0～1.1",IF(AO4232&lt;1.3,"1.2",IF(AO4232&lt;1.5,"1.3～1.4",IF(AO4232&lt;2,"1.5～1.9","2.0以上"))))))</f>
        <v/>
      </c>
      <c r="AQ4232" s="8" t="str">
        <f aca="false">IF(A4232="","",IF(ISNUMBER(SEARCH("2歳",Z4232)),"2歳戦",IF(ISNUMBER(SEARCH("3歳未勝利",Z4232)),"3歳未勝利",IF(ISNUMBER(SEARCH("未勝利",Z4232)),"その他未勝利",IF(ISNUMBER(SEARCH("G1",Z4232)),"G1",IF(ISNUMBER(SEARCH("G2",Z4232)),"G2",IF(ISNUMBER(SEARCH("G3",Z4232)),"G3",IF(ISNUMBER(SEARCH("古馬条件",Z4232)),"古馬条件戦",IF(ISNUMBER(SEARCH("重賞",Z4232)),"重賞","分類不能")))))))))</f>
        <v/>
      </c>
    </row>
    <row r="4233" customFormat="false" ht="15.75" hidden="false" customHeight="false" outlineLevel="0" collapsed="false">
      <c r="AO4233" s="8" t="str">
        <f aca="false">IF(A4233="","",IF(COUNTIFS(全馬データ!$A$2:$A$50000,A4233,全馬データ!$B$2:$B$50000,B4233,全馬データ!$C$2:$C$50000,C4233,全馬データ!$D$2:$D$50000,E4233,全馬データ!$K$2:$K$50000,"&lt;&gt;")=0,"",SUMIFS(全馬データ!$K$2:$K$50000,全馬データ!$A$2:$A$50000,A4233,全馬データ!$B$2:$B$50000,B4233,全馬データ!$C$2:$C$50000,C4233,全馬データ!$D$2:$D$50000,E4233)))</f>
        <v/>
      </c>
      <c r="AP4233" s="8" t="str">
        <f aca="false">IF(A4233="","",IF(AO4233="","欠損",IF(AO4233&lt;=1.1,"1.0～1.1",IF(AO4233&lt;1.3,"1.2",IF(AO4233&lt;1.5,"1.3～1.4",IF(AO4233&lt;2,"1.5～1.9","2.0以上"))))))</f>
        <v/>
      </c>
      <c r="AQ4233" s="8" t="str">
        <f aca="false">IF(A4233="","",IF(ISNUMBER(SEARCH("2歳",Z4233)),"2歳戦",IF(ISNUMBER(SEARCH("3歳未勝利",Z4233)),"3歳未勝利",IF(ISNUMBER(SEARCH("未勝利",Z4233)),"その他未勝利",IF(ISNUMBER(SEARCH("G1",Z4233)),"G1",IF(ISNUMBER(SEARCH("G2",Z4233)),"G2",IF(ISNUMBER(SEARCH("G3",Z4233)),"G3",IF(ISNUMBER(SEARCH("古馬条件",Z4233)),"古馬条件戦",IF(ISNUMBER(SEARCH("重賞",Z4233)),"重賞","分類不能")))))))))</f>
        <v/>
      </c>
    </row>
    <row r="4234" customFormat="false" ht="15.75" hidden="false" customHeight="false" outlineLevel="0" collapsed="false">
      <c r="AO4234" s="8" t="str">
        <f aca="false">IF(A4234="","",IF(COUNTIFS(全馬データ!$A$2:$A$50000,A4234,全馬データ!$B$2:$B$50000,B4234,全馬データ!$C$2:$C$50000,C4234,全馬データ!$D$2:$D$50000,E4234,全馬データ!$K$2:$K$50000,"&lt;&gt;")=0,"",SUMIFS(全馬データ!$K$2:$K$50000,全馬データ!$A$2:$A$50000,A4234,全馬データ!$B$2:$B$50000,B4234,全馬データ!$C$2:$C$50000,C4234,全馬データ!$D$2:$D$50000,E4234)))</f>
        <v/>
      </c>
      <c r="AP4234" s="8" t="str">
        <f aca="false">IF(A4234="","",IF(AO4234="","欠損",IF(AO4234&lt;=1.1,"1.0～1.1",IF(AO4234&lt;1.3,"1.2",IF(AO4234&lt;1.5,"1.3～1.4",IF(AO4234&lt;2,"1.5～1.9","2.0以上"))))))</f>
        <v/>
      </c>
      <c r="AQ4234" s="8" t="str">
        <f aca="false">IF(A4234="","",IF(ISNUMBER(SEARCH("2歳",Z4234)),"2歳戦",IF(ISNUMBER(SEARCH("3歳未勝利",Z4234)),"3歳未勝利",IF(ISNUMBER(SEARCH("未勝利",Z4234)),"その他未勝利",IF(ISNUMBER(SEARCH("G1",Z4234)),"G1",IF(ISNUMBER(SEARCH("G2",Z4234)),"G2",IF(ISNUMBER(SEARCH("G3",Z4234)),"G3",IF(ISNUMBER(SEARCH("古馬条件",Z4234)),"古馬条件戦",IF(ISNUMBER(SEARCH("重賞",Z4234)),"重賞","分類不能")))))))))</f>
        <v/>
      </c>
    </row>
    <row r="4235" customFormat="false" ht="15.75" hidden="false" customHeight="false" outlineLevel="0" collapsed="false">
      <c r="AO4235" s="8" t="str">
        <f aca="false">IF(A4235="","",IF(COUNTIFS(全馬データ!$A$2:$A$50000,A4235,全馬データ!$B$2:$B$50000,B4235,全馬データ!$C$2:$C$50000,C4235,全馬データ!$D$2:$D$50000,E4235,全馬データ!$K$2:$K$50000,"&lt;&gt;")=0,"",SUMIFS(全馬データ!$K$2:$K$50000,全馬データ!$A$2:$A$50000,A4235,全馬データ!$B$2:$B$50000,B4235,全馬データ!$C$2:$C$50000,C4235,全馬データ!$D$2:$D$50000,E4235)))</f>
        <v/>
      </c>
      <c r="AP4235" s="8" t="str">
        <f aca="false">IF(A4235="","",IF(AO4235="","欠損",IF(AO4235&lt;=1.1,"1.0～1.1",IF(AO4235&lt;1.3,"1.2",IF(AO4235&lt;1.5,"1.3～1.4",IF(AO4235&lt;2,"1.5～1.9","2.0以上"))))))</f>
        <v/>
      </c>
      <c r="AQ4235" s="8" t="str">
        <f aca="false">IF(A4235="","",IF(ISNUMBER(SEARCH("2歳",Z4235)),"2歳戦",IF(ISNUMBER(SEARCH("3歳未勝利",Z4235)),"3歳未勝利",IF(ISNUMBER(SEARCH("未勝利",Z4235)),"その他未勝利",IF(ISNUMBER(SEARCH("G1",Z4235)),"G1",IF(ISNUMBER(SEARCH("G2",Z4235)),"G2",IF(ISNUMBER(SEARCH("G3",Z4235)),"G3",IF(ISNUMBER(SEARCH("古馬条件",Z4235)),"古馬条件戦",IF(ISNUMBER(SEARCH("重賞",Z4235)),"重賞","分類不能")))))))))</f>
        <v/>
      </c>
    </row>
    <row r="4236" customFormat="false" ht="15.75" hidden="false" customHeight="false" outlineLevel="0" collapsed="false">
      <c r="AO4236" s="8" t="str">
        <f aca="false">IF(A4236="","",IF(COUNTIFS(全馬データ!$A$2:$A$50000,A4236,全馬データ!$B$2:$B$50000,B4236,全馬データ!$C$2:$C$50000,C4236,全馬データ!$D$2:$D$50000,E4236,全馬データ!$K$2:$K$50000,"&lt;&gt;")=0,"",SUMIFS(全馬データ!$K$2:$K$50000,全馬データ!$A$2:$A$50000,A4236,全馬データ!$B$2:$B$50000,B4236,全馬データ!$C$2:$C$50000,C4236,全馬データ!$D$2:$D$50000,E4236)))</f>
        <v/>
      </c>
      <c r="AP4236" s="8" t="str">
        <f aca="false">IF(A4236="","",IF(AO4236="","欠損",IF(AO4236&lt;=1.1,"1.0～1.1",IF(AO4236&lt;1.3,"1.2",IF(AO4236&lt;1.5,"1.3～1.4",IF(AO4236&lt;2,"1.5～1.9","2.0以上"))))))</f>
        <v/>
      </c>
      <c r="AQ4236" s="8" t="str">
        <f aca="false">IF(A4236="","",IF(ISNUMBER(SEARCH("2歳",Z4236)),"2歳戦",IF(ISNUMBER(SEARCH("3歳未勝利",Z4236)),"3歳未勝利",IF(ISNUMBER(SEARCH("未勝利",Z4236)),"その他未勝利",IF(ISNUMBER(SEARCH("G1",Z4236)),"G1",IF(ISNUMBER(SEARCH("G2",Z4236)),"G2",IF(ISNUMBER(SEARCH("G3",Z4236)),"G3",IF(ISNUMBER(SEARCH("古馬条件",Z4236)),"古馬条件戦",IF(ISNUMBER(SEARCH("重賞",Z4236)),"重賞","分類不能")))))))))</f>
        <v/>
      </c>
    </row>
    <row r="4237" customFormat="false" ht="15.75" hidden="false" customHeight="false" outlineLevel="0" collapsed="false">
      <c r="AO4237" s="8" t="str">
        <f aca="false">IF(A4237="","",IF(COUNTIFS(全馬データ!$A$2:$A$50000,A4237,全馬データ!$B$2:$B$50000,B4237,全馬データ!$C$2:$C$50000,C4237,全馬データ!$D$2:$D$50000,E4237,全馬データ!$K$2:$K$50000,"&lt;&gt;")=0,"",SUMIFS(全馬データ!$K$2:$K$50000,全馬データ!$A$2:$A$50000,A4237,全馬データ!$B$2:$B$50000,B4237,全馬データ!$C$2:$C$50000,C4237,全馬データ!$D$2:$D$50000,E4237)))</f>
        <v/>
      </c>
      <c r="AP4237" s="8" t="str">
        <f aca="false">IF(A4237="","",IF(AO4237="","欠損",IF(AO4237&lt;=1.1,"1.0～1.1",IF(AO4237&lt;1.3,"1.2",IF(AO4237&lt;1.5,"1.3～1.4",IF(AO4237&lt;2,"1.5～1.9","2.0以上"))))))</f>
        <v/>
      </c>
      <c r="AQ4237" s="8" t="str">
        <f aca="false">IF(A4237="","",IF(ISNUMBER(SEARCH("2歳",Z4237)),"2歳戦",IF(ISNUMBER(SEARCH("3歳未勝利",Z4237)),"3歳未勝利",IF(ISNUMBER(SEARCH("未勝利",Z4237)),"その他未勝利",IF(ISNUMBER(SEARCH("G1",Z4237)),"G1",IF(ISNUMBER(SEARCH("G2",Z4237)),"G2",IF(ISNUMBER(SEARCH("G3",Z4237)),"G3",IF(ISNUMBER(SEARCH("古馬条件",Z4237)),"古馬条件戦",IF(ISNUMBER(SEARCH("重賞",Z4237)),"重賞","分類不能")))))))))</f>
        <v/>
      </c>
    </row>
    <row r="4238" customFormat="false" ht="15.75" hidden="false" customHeight="false" outlineLevel="0" collapsed="false">
      <c r="AO4238" s="8" t="str">
        <f aca="false">IF(A4238="","",IF(COUNTIFS(全馬データ!$A$2:$A$50000,A4238,全馬データ!$B$2:$B$50000,B4238,全馬データ!$C$2:$C$50000,C4238,全馬データ!$D$2:$D$50000,E4238,全馬データ!$K$2:$K$50000,"&lt;&gt;")=0,"",SUMIFS(全馬データ!$K$2:$K$50000,全馬データ!$A$2:$A$50000,A4238,全馬データ!$B$2:$B$50000,B4238,全馬データ!$C$2:$C$50000,C4238,全馬データ!$D$2:$D$50000,E4238)))</f>
        <v/>
      </c>
      <c r="AP4238" s="8" t="str">
        <f aca="false">IF(A4238="","",IF(AO4238="","欠損",IF(AO4238&lt;=1.1,"1.0～1.1",IF(AO4238&lt;1.3,"1.2",IF(AO4238&lt;1.5,"1.3～1.4",IF(AO4238&lt;2,"1.5～1.9","2.0以上"))))))</f>
        <v/>
      </c>
      <c r="AQ4238" s="8" t="str">
        <f aca="false">IF(A4238="","",IF(ISNUMBER(SEARCH("2歳",Z4238)),"2歳戦",IF(ISNUMBER(SEARCH("3歳未勝利",Z4238)),"3歳未勝利",IF(ISNUMBER(SEARCH("未勝利",Z4238)),"その他未勝利",IF(ISNUMBER(SEARCH("G1",Z4238)),"G1",IF(ISNUMBER(SEARCH("G2",Z4238)),"G2",IF(ISNUMBER(SEARCH("G3",Z4238)),"G3",IF(ISNUMBER(SEARCH("古馬条件",Z4238)),"古馬条件戦",IF(ISNUMBER(SEARCH("重賞",Z4238)),"重賞","分類不能")))))))))</f>
        <v/>
      </c>
    </row>
    <row r="4239" customFormat="false" ht="15.75" hidden="false" customHeight="false" outlineLevel="0" collapsed="false">
      <c r="AO4239" s="8" t="str">
        <f aca="false">IF(A4239="","",IF(COUNTIFS(全馬データ!$A$2:$A$50000,A4239,全馬データ!$B$2:$B$50000,B4239,全馬データ!$C$2:$C$50000,C4239,全馬データ!$D$2:$D$50000,E4239,全馬データ!$K$2:$K$50000,"&lt;&gt;")=0,"",SUMIFS(全馬データ!$K$2:$K$50000,全馬データ!$A$2:$A$50000,A4239,全馬データ!$B$2:$B$50000,B4239,全馬データ!$C$2:$C$50000,C4239,全馬データ!$D$2:$D$50000,E4239)))</f>
        <v/>
      </c>
      <c r="AP4239" s="8" t="str">
        <f aca="false">IF(A4239="","",IF(AO4239="","欠損",IF(AO4239&lt;=1.1,"1.0～1.1",IF(AO4239&lt;1.3,"1.2",IF(AO4239&lt;1.5,"1.3～1.4",IF(AO4239&lt;2,"1.5～1.9","2.0以上"))))))</f>
        <v/>
      </c>
      <c r="AQ4239" s="8" t="str">
        <f aca="false">IF(A4239="","",IF(ISNUMBER(SEARCH("2歳",Z4239)),"2歳戦",IF(ISNUMBER(SEARCH("3歳未勝利",Z4239)),"3歳未勝利",IF(ISNUMBER(SEARCH("未勝利",Z4239)),"その他未勝利",IF(ISNUMBER(SEARCH("G1",Z4239)),"G1",IF(ISNUMBER(SEARCH("G2",Z4239)),"G2",IF(ISNUMBER(SEARCH("G3",Z4239)),"G3",IF(ISNUMBER(SEARCH("古馬条件",Z4239)),"古馬条件戦",IF(ISNUMBER(SEARCH("重賞",Z4239)),"重賞","分類不能")))))))))</f>
        <v/>
      </c>
    </row>
    <row r="4240" customFormat="false" ht="15.75" hidden="false" customHeight="false" outlineLevel="0" collapsed="false">
      <c r="AO4240" s="8" t="str">
        <f aca="false">IF(A4240="","",IF(COUNTIFS(全馬データ!$A$2:$A$50000,A4240,全馬データ!$B$2:$B$50000,B4240,全馬データ!$C$2:$C$50000,C4240,全馬データ!$D$2:$D$50000,E4240,全馬データ!$K$2:$K$50000,"&lt;&gt;")=0,"",SUMIFS(全馬データ!$K$2:$K$50000,全馬データ!$A$2:$A$50000,A4240,全馬データ!$B$2:$B$50000,B4240,全馬データ!$C$2:$C$50000,C4240,全馬データ!$D$2:$D$50000,E4240)))</f>
        <v/>
      </c>
      <c r="AP4240" s="8" t="str">
        <f aca="false">IF(A4240="","",IF(AO4240="","欠損",IF(AO4240&lt;=1.1,"1.0～1.1",IF(AO4240&lt;1.3,"1.2",IF(AO4240&lt;1.5,"1.3～1.4",IF(AO4240&lt;2,"1.5～1.9","2.0以上"))))))</f>
        <v/>
      </c>
      <c r="AQ4240" s="8" t="str">
        <f aca="false">IF(A4240="","",IF(ISNUMBER(SEARCH("2歳",Z4240)),"2歳戦",IF(ISNUMBER(SEARCH("3歳未勝利",Z4240)),"3歳未勝利",IF(ISNUMBER(SEARCH("未勝利",Z4240)),"その他未勝利",IF(ISNUMBER(SEARCH("G1",Z4240)),"G1",IF(ISNUMBER(SEARCH("G2",Z4240)),"G2",IF(ISNUMBER(SEARCH("G3",Z4240)),"G3",IF(ISNUMBER(SEARCH("古馬条件",Z4240)),"古馬条件戦",IF(ISNUMBER(SEARCH("重賞",Z4240)),"重賞","分類不能")))))))))</f>
        <v/>
      </c>
    </row>
    <row r="4241" customFormat="false" ht="15.75" hidden="false" customHeight="false" outlineLevel="0" collapsed="false">
      <c r="AO4241" s="8" t="str">
        <f aca="false">IF(A4241="","",IF(COUNTIFS(全馬データ!$A$2:$A$50000,A4241,全馬データ!$B$2:$B$50000,B4241,全馬データ!$C$2:$C$50000,C4241,全馬データ!$D$2:$D$50000,E4241,全馬データ!$K$2:$K$50000,"&lt;&gt;")=0,"",SUMIFS(全馬データ!$K$2:$K$50000,全馬データ!$A$2:$A$50000,A4241,全馬データ!$B$2:$B$50000,B4241,全馬データ!$C$2:$C$50000,C4241,全馬データ!$D$2:$D$50000,E4241)))</f>
        <v/>
      </c>
      <c r="AP4241" s="8" t="str">
        <f aca="false">IF(A4241="","",IF(AO4241="","欠損",IF(AO4241&lt;=1.1,"1.0～1.1",IF(AO4241&lt;1.3,"1.2",IF(AO4241&lt;1.5,"1.3～1.4",IF(AO4241&lt;2,"1.5～1.9","2.0以上"))))))</f>
        <v/>
      </c>
      <c r="AQ4241" s="8" t="str">
        <f aca="false">IF(A4241="","",IF(ISNUMBER(SEARCH("2歳",Z4241)),"2歳戦",IF(ISNUMBER(SEARCH("3歳未勝利",Z4241)),"3歳未勝利",IF(ISNUMBER(SEARCH("未勝利",Z4241)),"その他未勝利",IF(ISNUMBER(SEARCH("G1",Z4241)),"G1",IF(ISNUMBER(SEARCH("G2",Z4241)),"G2",IF(ISNUMBER(SEARCH("G3",Z4241)),"G3",IF(ISNUMBER(SEARCH("古馬条件",Z4241)),"古馬条件戦",IF(ISNUMBER(SEARCH("重賞",Z4241)),"重賞","分類不能")))))))))</f>
        <v/>
      </c>
    </row>
    <row r="4242" customFormat="false" ht="15.75" hidden="false" customHeight="false" outlineLevel="0" collapsed="false">
      <c r="AO4242" s="8" t="str">
        <f aca="false">IF(A4242="","",IF(COUNTIFS(全馬データ!$A$2:$A$50000,A4242,全馬データ!$B$2:$B$50000,B4242,全馬データ!$C$2:$C$50000,C4242,全馬データ!$D$2:$D$50000,E4242,全馬データ!$K$2:$K$50000,"&lt;&gt;")=0,"",SUMIFS(全馬データ!$K$2:$K$50000,全馬データ!$A$2:$A$50000,A4242,全馬データ!$B$2:$B$50000,B4242,全馬データ!$C$2:$C$50000,C4242,全馬データ!$D$2:$D$50000,E4242)))</f>
        <v/>
      </c>
      <c r="AP4242" s="8" t="str">
        <f aca="false">IF(A4242="","",IF(AO4242="","欠損",IF(AO4242&lt;=1.1,"1.0～1.1",IF(AO4242&lt;1.3,"1.2",IF(AO4242&lt;1.5,"1.3～1.4",IF(AO4242&lt;2,"1.5～1.9","2.0以上"))))))</f>
        <v/>
      </c>
      <c r="AQ4242" s="8" t="str">
        <f aca="false">IF(A4242="","",IF(ISNUMBER(SEARCH("2歳",Z4242)),"2歳戦",IF(ISNUMBER(SEARCH("3歳未勝利",Z4242)),"3歳未勝利",IF(ISNUMBER(SEARCH("未勝利",Z4242)),"その他未勝利",IF(ISNUMBER(SEARCH("G1",Z4242)),"G1",IF(ISNUMBER(SEARCH("G2",Z4242)),"G2",IF(ISNUMBER(SEARCH("G3",Z4242)),"G3",IF(ISNUMBER(SEARCH("古馬条件",Z4242)),"古馬条件戦",IF(ISNUMBER(SEARCH("重賞",Z4242)),"重賞","分類不能")))))))))</f>
        <v/>
      </c>
    </row>
    <row r="4243" customFormat="false" ht="15.75" hidden="false" customHeight="false" outlineLevel="0" collapsed="false">
      <c r="AO4243" s="8" t="str">
        <f aca="false">IF(A4243="","",IF(COUNTIFS(全馬データ!$A$2:$A$50000,A4243,全馬データ!$B$2:$B$50000,B4243,全馬データ!$C$2:$C$50000,C4243,全馬データ!$D$2:$D$50000,E4243,全馬データ!$K$2:$K$50000,"&lt;&gt;")=0,"",SUMIFS(全馬データ!$K$2:$K$50000,全馬データ!$A$2:$A$50000,A4243,全馬データ!$B$2:$B$50000,B4243,全馬データ!$C$2:$C$50000,C4243,全馬データ!$D$2:$D$50000,E4243)))</f>
        <v/>
      </c>
      <c r="AP4243" s="8" t="str">
        <f aca="false">IF(A4243="","",IF(AO4243="","欠損",IF(AO4243&lt;=1.1,"1.0～1.1",IF(AO4243&lt;1.3,"1.2",IF(AO4243&lt;1.5,"1.3～1.4",IF(AO4243&lt;2,"1.5～1.9","2.0以上"))))))</f>
        <v/>
      </c>
      <c r="AQ4243" s="8" t="str">
        <f aca="false">IF(A4243="","",IF(ISNUMBER(SEARCH("2歳",Z4243)),"2歳戦",IF(ISNUMBER(SEARCH("3歳未勝利",Z4243)),"3歳未勝利",IF(ISNUMBER(SEARCH("未勝利",Z4243)),"その他未勝利",IF(ISNUMBER(SEARCH("G1",Z4243)),"G1",IF(ISNUMBER(SEARCH("G2",Z4243)),"G2",IF(ISNUMBER(SEARCH("G3",Z4243)),"G3",IF(ISNUMBER(SEARCH("古馬条件",Z4243)),"古馬条件戦",IF(ISNUMBER(SEARCH("重賞",Z4243)),"重賞","分類不能")))))))))</f>
        <v/>
      </c>
    </row>
    <row r="4244" customFormat="false" ht="15.75" hidden="false" customHeight="false" outlineLevel="0" collapsed="false">
      <c r="AO4244" s="8" t="str">
        <f aca="false">IF(A4244="","",IF(COUNTIFS(全馬データ!$A$2:$A$50000,A4244,全馬データ!$B$2:$B$50000,B4244,全馬データ!$C$2:$C$50000,C4244,全馬データ!$D$2:$D$50000,E4244,全馬データ!$K$2:$K$50000,"&lt;&gt;")=0,"",SUMIFS(全馬データ!$K$2:$K$50000,全馬データ!$A$2:$A$50000,A4244,全馬データ!$B$2:$B$50000,B4244,全馬データ!$C$2:$C$50000,C4244,全馬データ!$D$2:$D$50000,E4244)))</f>
        <v/>
      </c>
      <c r="AP4244" s="8" t="str">
        <f aca="false">IF(A4244="","",IF(AO4244="","欠損",IF(AO4244&lt;=1.1,"1.0～1.1",IF(AO4244&lt;1.3,"1.2",IF(AO4244&lt;1.5,"1.3～1.4",IF(AO4244&lt;2,"1.5～1.9","2.0以上"))))))</f>
        <v/>
      </c>
      <c r="AQ4244" s="8" t="str">
        <f aca="false">IF(A4244="","",IF(ISNUMBER(SEARCH("2歳",Z4244)),"2歳戦",IF(ISNUMBER(SEARCH("3歳未勝利",Z4244)),"3歳未勝利",IF(ISNUMBER(SEARCH("未勝利",Z4244)),"その他未勝利",IF(ISNUMBER(SEARCH("G1",Z4244)),"G1",IF(ISNUMBER(SEARCH("G2",Z4244)),"G2",IF(ISNUMBER(SEARCH("G3",Z4244)),"G3",IF(ISNUMBER(SEARCH("古馬条件",Z4244)),"古馬条件戦",IF(ISNUMBER(SEARCH("重賞",Z4244)),"重賞","分類不能")))))))))</f>
        <v/>
      </c>
    </row>
    <row r="4245" customFormat="false" ht="15.75" hidden="false" customHeight="false" outlineLevel="0" collapsed="false">
      <c r="AO4245" s="8" t="str">
        <f aca="false">IF(A4245="","",IF(COUNTIFS(全馬データ!$A$2:$A$50000,A4245,全馬データ!$B$2:$B$50000,B4245,全馬データ!$C$2:$C$50000,C4245,全馬データ!$D$2:$D$50000,E4245,全馬データ!$K$2:$K$50000,"&lt;&gt;")=0,"",SUMIFS(全馬データ!$K$2:$K$50000,全馬データ!$A$2:$A$50000,A4245,全馬データ!$B$2:$B$50000,B4245,全馬データ!$C$2:$C$50000,C4245,全馬データ!$D$2:$D$50000,E4245)))</f>
        <v/>
      </c>
      <c r="AP4245" s="8" t="str">
        <f aca="false">IF(A4245="","",IF(AO4245="","欠損",IF(AO4245&lt;=1.1,"1.0～1.1",IF(AO4245&lt;1.3,"1.2",IF(AO4245&lt;1.5,"1.3～1.4",IF(AO4245&lt;2,"1.5～1.9","2.0以上"))))))</f>
        <v/>
      </c>
      <c r="AQ4245" s="8" t="str">
        <f aca="false">IF(A4245="","",IF(ISNUMBER(SEARCH("2歳",Z4245)),"2歳戦",IF(ISNUMBER(SEARCH("3歳未勝利",Z4245)),"3歳未勝利",IF(ISNUMBER(SEARCH("未勝利",Z4245)),"その他未勝利",IF(ISNUMBER(SEARCH("G1",Z4245)),"G1",IF(ISNUMBER(SEARCH("G2",Z4245)),"G2",IF(ISNUMBER(SEARCH("G3",Z4245)),"G3",IF(ISNUMBER(SEARCH("古馬条件",Z4245)),"古馬条件戦",IF(ISNUMBER(SEARCH("重賞",Z4245)),"重賞","分類不能")))))))))</f>
        <v/>
      </c>
    </row>
    <row r="4246" customFormat="false" ht="15.75" hidden="false" customHeight="false" outlineLevel="0" collapsed="false">
      <c r="AO4246" s="8" t="str">
        <f aca="false">IF(A4246="","",IF(COUNTIFS(全馬データ!$A$2:$A$50000,A4246,全馬データ!$B$2:$B$50000,B4246,全馬データ!$C$2:$C$50000,C4246,全馬データ!$D$2:$D$50000,E4246,全馬データ!$K$2:$K$50000,"&lt;&gt;")=0,"",SUMIFS(全馬データ!$K$2:$K$50000,全馬データ!$A$2:$A$50000,A4246,全馬データ!$B$2:$B$50000,B4246,全馬データ!$C$2:$C$50000,C4246,全馬データ!$D$2:$D$50000,E4246)))</f>
        <v/>
      </c>
      <c r="AP4246" s="8" t="str">
        <f aca="false">IF(A4246="","",IF(AO4246="","欠損",IF(AO4246&lt;=1.1,"1.0～1.1",IF(AO4246&lt;1.3,"1.2",IF(AO4246&lt;1.5,"1.3～1.4",IF(AO4246&lt;2,"1.5～1.9","2.0以上"))))))</f>
        <v/>
      </c>
      <c r="AQ4246" s="8" t="str">
        <f aca="false">IF(A4246="","",IF(ISNUMBER(SEARCH("2歳",Z4246)),"2歳戦",IF(ISNUMBER(SEARCH("3歳未勝利",Z4246)),"3歳未勝利",IF(ISNUMBER(SEARCH("未勝利",Z4246)),"その他未勝利",IF(ISNUMBER(SEARCH("G1",Z4246)),"G1",IF(ISNUMBER(SEARCH("G2",Z4246)),"G2",IF(ISNUMBER(SEARCH("G3",Z4246)),"G3",IF(ISNUMBER(SEARCH("古馬条件",Z4246)),"古馬条件戦",IF(ISNUMBER(SEARCH("重賞",Z4246)),"重賞","分類不能")))))))))</f>
        <v/>
      </c>
    </row>
    <row r="4247" customFormat="false" ht="15.75" hidden="false" customHeight="false" outlineLevel="0" collapsed="false">
      <c r="AO4247" s="8" t="str">
        <f aca="false">IF(A4247="","",IF(COUNTIFS(全馬データ!$A$2:$A$50000,A4247,全馬データ!$B$2:$B$50000,B4247,全馬データ!$C$2:$C$50000,C4247,全馬データ!$D$2:$D$50000,E4247,全馬データ!$K$2:$K$50000,"&lt;&gt;")=0,"",SUMIFS(全馬データ!$K$2:$K$50000,全馬データ!$A$2:$A$50000,A4247,全馬データ!$B$2:$B$50000,B4247,全馬データ!$C$2:$C$50000,C4247,全馬データ!$D$2:$D$50000,E4247)))</f>
        <v/>
      </c>
      <c r="AP4247" s="8" t="str">
        <f aca="false">IF(A4247="","",IF(AO4247="","欠損",IF(AO4247&lt;=1.1,"1.0～1.1",IF(AO4247&lt;1.3,"1.2",IF(AO4247&lt;1.5,"1.3～1.4",IF(AO4247&lt;2,"1.5～1.9","2.0以上"))))))</f>
        <v/>
      </c>
      <c r="AQ4247" s="8" t="str">
        <f aca="false">IF(A4247="","",IF(ISNUMBER(SEARCH("2歳",Z4247)),"2歳戦",IF(ISNUMBER(SEARCH("3歳未勝利",Z4247)),"3歳未勝利",IF(ISNUMBER(SEARCH("未勝利",Z4247)),"その他未勝利",IF(ISNUMBER(SEARCH("G1",Z4247)),"G1",IF(ISNUMBER(SEARCH("G2",Z4247)),"G2",IF(ISNUMBER(SEARCH("G3",Z4247)),"G3",IF(ISNUMBER(SEARCH("古馬条件",Z4247)),"古馬条件戦",IF(ISNUMBER(SEARCH("重賞",Z4247)),"重賞","分類不能")))))))))</f>
        <v/>
      </c>
    </row>
    <row r="4248" customFormat="false" ht="15.75" hidden="false" customHeight="false" outlineLevel="0" collapsed="false">
      <c r="AO4248" s="8" t="str">
        <f aca="false">IF(A4248="","",IF(COUNTIFS(全馬データ!$A$2:$A$50000,A4248,全馬データ!$B$2:$B$50000,B4248,全馬データ!$C$2:$C$50000,C4248,全馬データ!$D$2:$D$50000,E4248,全馬データ!$K$2:$K$50000,"&lt;&gt;")=0,"",SUMIFS(全馬データ!$K$2:$K$50000,全馬データ!$A$2:$A$50000,A4248,全馬データ!$B$2:$B$50000,B4248,全馬データ!$C$2:$C$50000,C4248,全馬データ!$D$2:$D$50000,E4248)))</f>
        <v/>
      </c>
      <c r="AP4248" s="8" t="str">
        <f aca="false">IF(A4248="","",IF(AO4248="","欠損",IF(AO4248&lt;=1.1,"1.0～1.1",IF(AO4248&lt;1.3,"1.2",IF(AO4248&lt;1.5,"1.3～1.4",IF(AO4248&lt;2,"1.5～1.9","2.0以上"))))))</f>
        <v/>
      </c>
      <c r="AQ4248" s="8" t="str">
        <f aca="false">IF(A4248="","",IF(ISNUMBER(SEARCH("2歳",Z4248)),"2歳戦",IF(ISNUMBER(SEARCH("3歳未勝利",Z4248)),"3歳未勝利",IF(ISNUMBER(SEARCH("未勝利",Z4248)),"その他未勝利",IF(ISNUMBER(SEARCH("G1",Z4248)),"G1",IF(ISNUMBER(SEARCH("G2",Z4248)),"G2",IF(ISNUMBER(SEARCH("G3",Z4248)),"G3",IF(ISNUMBER(SEARCH("古馬条件",Z4248)),"古馬条件戦",IF(ISNUMBER(SEARCH("重賞",Z4248)),"重賞","分類不能")))))))))</f>
        <v/>
      </c>
    </row>
    <row r="4249" customFormat="false" ht="15.75" hidden="false" customHeight="false" outlineLevel="0" collapsed="false">
      <c r="AO4249" s="8" t="str">
        <f aca="false">IF(A4249="","",IF(COUNTIFS(全馬データ!$A$2:$A$50000,A4249,全馬データ!$B$2:$B$50000,B4249,全馬データ!$C$2:$C$50000,C4249,全馬データ!$D$2:$D$50000,E4249,全馬データ!$K$2:$K$50000,"&lt;&gt;")=0,"",SUMIFS(全馬データ!$K$2:$K$50000,全馬データ!$A$2:$A$50000,A4249,全馬データ!$B$2:$B$50000,B4249,全馬データ!$C$2:$C$50000,C4249,全馬データ!$D$2:$D$50000,E4249)))</f>
        <v/>
      </c>
      <c r="AP4249" s="8" t="str">
        <f aca="false">IF(A4249="","",IF(AO4249="","欠損",IF(AO4249&lt;=1.1,"1.0～1.1",IF(AO4249&lt;1.3,"1.2",IF(AO4249&lt;1.5,"1.3～1.4",IF(AO4249&lt;2,"1.5～1.9","2.0以上"))))))</f>
        <v/>
      </c>
      <c r="AQ4249" s="8" t="str">
        <f aca="false">IF(A4249="","",IF(ISNUMBER(SEARCH("2歳",Z4249)),"2歳戦",IF(ISNUMBER(SEARCH("3歳未勝利",Z4249)),"3歳未勝利",IF(ISNUMBER(SEARCH("未勝利",Z4249)),"その他未勝利",IF(ISNUMBER(SEARCH("G1",Z4249)),"G1",IF(ISNUMBER(SEARCH("G2",Z4249)),"G2",IF(ISNUMBER(SEARCH("G3",Z4249)),"G3",IF(ISNUMBER(SEARCH("古馬条件",Z4249)),"古馬条件戦",IF(ISNUMBER(SEARCH("重賞",Z4249)),"重賞","分類不能")))))))))</f>
        <v/>
      </c>
    </row>
    <row r="4250" customFormat="false" ht="15.75" hidden="false" customHeight="false" outlineLevel="0" collapsed="false">
      <c r="AO4250" s="8" t="str">
        <f aca="false">IF(A4250="","",IF(COUNTIFS(全馬データ!$A$2:$A$50000,A4250,全馬データ!$B$2:$B$50000,B4250,全馬データ!$C$2:$C$50000,C4250,全馬データ!$D$2:$D$50000,E4250,全馬データ!$K$2:$K$50000,"&lt;&gt;")=0,"",SUMIFS(全馬データ!$K$2:$K$50000,全馬データ!$A$2:$A$50000,A4250,全馬データ!$B$2:$B$50000,B4250,全馬データ!$C$2:$C$50000,C4250,全馬データ!$D$2:$D$50000,E4250)))</f>
        <v/>
      </c>
      <c r="AP4250" s="8" t="str">
        <f aca="false">IF(A4250="","",IF(AO4250="","欠損",IF(AO4250&lt;=1.1,"1.0～1.1",IF(AO4250&lt;1.3,"1.2",IF(AO4250&lt;1.5,"1.3～1.4",IF(AO4250&lt;2,"1.5～1.9","2.0以上"))))))</f>
        <v/>
      </c>
      <c r="AQ4250" s="8" t="str">
        <f aca="false">IF(A4250="","",IF(ISNUMBER(SEARCH("2歳",Z4250)),"2歳戦",IF(ISNUMBER(SEARCH("3歳未勝利",Z4250)),"3歳未勝利",IF(ISNUMBER(SEARCH("未勝利",Z4250)),"その他未勝利",IF(ISNUMBER(SEARCH("G1",Z4250)),"G1",IF(ISNUMBER(SEARCH("G2",Z4250)),"G2",IF(ISNUMBER(SEARCH("G3",Z4250)),"G3",IF(ISNUMBER(SEARCH("古馬条件",Z4250)),"古馬条件戦",IF(ISNUMBER(SEARCH("重賞",Z4250)),"重賞","分類不能")))))))))</f>
        <v/>
      </c>
    </row>
    <row r="4251" customFormat="false" ht="15.75" hidden="false" customHeight="false" outlineLevel="0" collapsed="false">
      <c r="AO4251" s="8" t="str">
        <f aca="false">IF(A4251="","",IF(COUNTIFS(全馬データ!$A$2:$A$50000,A4251,全馬データ!$B$2:$B$50000,B4251,全馬データ!$C$2:$C$50000,C4251,全馬データ!$D$2:$D$50000,E4251,全馬データ!$K$2:$K$50000,"&lt;&gt;")=0,"",SUMIFS(全馬データ!$K$2:$K$50000,全馬データ!$A$2:$A$50000,A4251,全馬データ!$B$2:$B$50000,B4251,全馬データ!$C$2:$C$50000,C4251,全馬データ!$D$2:$D$50000,E4251)))</f>
        <v/>
      </c>
      <c r="AP4251" s="8" t="str">
        <f aca="false">IF(A4251="","",IF(AO4251="","欠損",IF(AO4251&lt;=1.1,"1.0～1.1",IF(AO4251&lt;1.3,"1.2",IF(AO4251&lt;1.5,"1.3～1.4",IF(AO4251&lt;2,"1.5～1.9","2.0以上"))))))</f>
        <v/>
      </c>
      <c r="AQ4251" s="8" t="str">
        <f aca="false">IF(A4251="","",IF(ISNUMBER(SEARCH("2歳",Z4251)),"2歳戦",IF(ISNUMBER(SEARCH("3歳未勝利",Z4251)),"3歳未勝利",IF(ISNUMBER(SEARCH("未勝利",Z4251)),"その他未勝利",IF(ISNUMBER(SEARCH("G1",Z4251)),"G1",IF(ISNUMBER(SEARCH("G2",Z4251)),"G2",IF(ISNUMBER(SEARCH("G3",Z4251)),"G3",IF(ISNUMBER(SEARCH("古馬条件",Z4251)),"古馬条件戦",IF(ISNUMBER(SEARCH("重賞",Z4251)),"重賞","分類不能")))))))))</f>
        <v/>
      </c>
    </row>
    <row r="4252" customFormat="false" ht="15.75" hidden="false" customHeight="false" outlineLevel="0" collapsed="false">
      <c r="AO4252" s="8" t="str">
        <f aca="false">IF(A4252="","",IF(COUNTIFS(全馬データ!$A$2:$A$50000,A4252,全馬データ!$B$2:$B$50000,B4252,全馬データ!$C$2:$C$50000,C4252,全馬データ!$D$2:$D$50000,E4252,全馬データ!$K$2:$K$50000,"&lt;&gt;")=0,"",SUMIFS(全馬データ!$K$2:$K$50000,全馬データ!$A$2:$A$50000,A4252,全馬データ!$B$2:$B$50000,B4252,全馬データ!$C$2:$C$50000,C4252,全馬データ!$D$2:$D$50000,E4252)))</f>
        <v/>
      </c>
      <c r="AP4252" s="8" t="str">
        <f aca="false">IF(A4252="","",IF(AO4252="","欠損",IF(AO4252&lt;=1.1,"1.0～1.1",IF(AO4252&lt;1.3,"1.2",IF(AO4252&lt;1.5,"1.3～1.4",IF(AO4252&lt;2,"1.5～1.9","2.0以上"))))))</f>
        <v/>
      </c>
      <c r="AQ4252" s="8" t="str">
        <f aca="false">IF(A4252="","",IF(ISNUMBER(SEARCH("2歳",Z4252)),"2歳戦",IF(ISNUMBER(SEARCH("3歳未勝利",Z4252)),"3歳未勝利",IF(ISNUMBER(SEARCH("未勝利",Z4252)),"その他未勝利",IF(ISNUMBER(SEARCH("G1",Z4252)),"G1",IF(ISNUMBER(SEARCH("G2",Z4252)),"G2",IF(ISNUMBER(SEARCH("G3",Z4252)),"G3",IF(ISNUMBER(SEARCH("古馬条件",Z4252)),"古馬条件戦",IF(ISNUMBER(SEARCH("重賞",Z4252)),"重賞","分類不能")))))))))</f>
        <v/>
      </c>
    </row>
    <row r="4253" customFormat="false" ht="15.75" hidden="false" customHeight="false" outlineLevel="0" collapsed="false">
      <c r="AO4253" s="8" t="str">
        <f aca="false">IF(A4253="","",IF(COUNTIFS(全馬データ!$A$2:$A$50000,A4253,全馬データ!$B$2:$B$50000,B4253,全馬データ!$C$2:$C$50000,C4253,全馬データ!$D$2:$D$50000,E4253,全馬データ!$K$2:$K$50000,"&lt;&gt;")=0,"",SUMIFS(全馬データ!$K$2:$K$50000,全馬データ!$A$2:$A$50000,A4253,全馬データ!$B$2:$B$50000,B4253,全馬データ!$C$2:$C$50000,C4253,全馬データ!$D$2:$D$50000,E4253)))</f>
        <v/>
      </c>
      <c r="AP4253" s="8" t="str">
        <f aca="false">IF(A4253="","",IF(AO4253="","欠損",IF(AO4253&lt;=1.1,"1.0～1.1",IF(AO4253&lt;1.3,"1.2",IF(AO4253&lt;1.5,"1.3～1.4",IF(AO4253&lt;2,"1.5～1.9","2.0以上"))))))</f>
        <v/>
      </c>
      <c r="AQ4253" s="8" t="str">
        <f aca="false">IF(A4253="","",IF(ISNUMBER(SEARCH("2歳",Z4253)),"2歳戦",IF(ISNUMBER(SEARCH("3歳未勝利",Z4253)),"3歳未勝利",IF(ISNUMBER(SEARCH("未勝利",Z4253)),"その他未勝利",IF(ISNUMBER(SEARCH("G1",Z4253)),"G1",IF(ISNUMBER(SEARCH("G2",Z4253)),"G2",IF(ISNUMBER(SEARCH("G3",Z4253)),"G3",IF(ISNUMBER(SEARCH("古馬条件",Z4253)),"古馬条件戦",IF(ISNUMBER(SEARCH("重賞",Z4253)),"重賞","分類不能")))))))))</f>
        <v/>
      </c>
    </row>
    <row r="4254" customFormat="false" ht="15.75" hidden="false" customHeight="false" outlineLevel="0" collapsed="false">
      <c r="AO4254" s="8" t="str">
        <f aca="false">IF(A4254="","",IF(COUNTIFS(全馬データ!$A$2:$A$50000,A4254,全馬データ!$B$2:$B$50000,B4254,全馬データ!$C$2:$C$50000,C4254,全馬データ!$D$2:$D$50000,E4254,全馬データ!$K$2:$K$50000,"&lt;&gt;")=0,"",SUMIFS(全馬データ!$K$2:$K$50000,全馬データ!$A$2:$A$50000,A4254,全馬データ!$B$2:$B$50000,B4254,全馬データ!$C$2:$C$50000,C4254,全馬データ!$D$2:$D$50000,E4254)))</f>
        <v/>
      </c>
      <c r="AP4254" s="8" t="str">
        <f aca="false">IF(A4254="","",IF(AO4254="","欠損",IF(AO4254&lt;=1.1,"1.0～1.1",IF(AO4254&lt;1.3,"1.2",IF(AO4254&lt;1.5,"1.3～1.4",IF(AO4254&lt;2,"1.5～1.9","2.0以上"))))))</f>
        <v/>
      </c>
      <c r="AQ4254" s="8" t="str">
        <f aca="false">IF(A4254="","",IF(ISNUMBER(SEARCH("2歳",Z4254)),"2歳戦",IF(ISNUMBER(SEARCH("3歳未勝利",Z4254)),"3歳未勝利",IF(ISNUMBER(SEARCH("未勝利",Z4254)),"その他未勝利",IF(ISNUMBER(SEARCH("G1",Z4254)),"G1",IF(ISNUMBER(SEARCH("G2",Z4254)),"G2",IF(ISNUMBER(SEARCH("G3",Z4254)),"G3",IF(ISNUMBER(SEARCH("古馬条件",Z4254)),"古馬条件戦",IF(ISNUMBER(SEARCH("重賞",Z4254)),"重賞","分類不能")))))))))</f>
        <v/>
      </c>
    </row>
    <row r="4255" customFormat="false" ht="15.75" hidden="false" customHeight="false" outlineLevel="0" collapsed="false">
      <c r="AO4255" s="8" t="str">
        <f aca="false">IF(A4255="","",IF(COUNTIFS(全馬データ!$A$2:$A$50000,A4255,全馬データ!$B$2:$B$50000,B4255,全馬データ!$C$2:$C$50000,C4255,全馬データ!$D$2:$D$50000,E4255,全馬データ!$K$2:$K$50000,"&lt;&gt;")=0,"",SUMIFS(全馬データ!$K$2:$K$50000,全馬データ!$A$2:$A$50000,A4255,全馬データ!$B$2:$B$50000,B4255,全馬データ!$C$2:$C$50000,C4255,全馬データ!$D$2:$D$50000,E4255)))</f>
        <v/>
      </c>
      <c r="AP4255" s="8" t="str">
        <f aca="false">IF(A4255="","",IF(AO4255="","欠損",IF(AO4255&lt;=1.1,"1.0～1.1",IF(AO4255&lt;1.3,"1.2",IF(AO4255&lt;1.5,"1.3～1.4",IF(AO4255&lt;2,"1.5～1.9","2.0以上"))))))</f>
        <v/>
      </c>
      <c r="AQ4255" s="8" t="str">
        <f aca="false">IF(A4255="","",IF(ISNUMBER(SEARCH("2歳",Z4255)),"2歳戦",IF(ISNUMBER(SEARCH("3歳未勝利",Z4255)),"3歳未勝利",IF(ISNUMBER(SEARCH("未勝利",Z4255)),"その他未勝利",IF(ISNUMBER(SEARCH("G1",Z4255)),"G1",IF(ISNUMBER(SEARCH("G2",Z4255)),"G2",IF(ISNUMBER(SEARCH("G3",Z4255)),"G3",IF(ISNUMBER(SEARCH("古馬条件",Z4255)),"古馬条件戦",IF(ISNUMBER(SEARCH("重賞",Z4255)),"重賞","分類不能")))))))))</f>
        <v/>
      </c>
    </row>
    <row r="4256" customFormat="false" ht="15.75" hidden="false" customHeight="false" outlineLevel="0" collapsed="false">
      <c r="AO4256" s="8" t="str">
        <f aca="false">IF(A4256="","",IF(COUNTIFS(全馬データ!$A$2:$A$50000,A4256,全馬データ!$B$2:$B$50000,B4256,全馬データ!$C$2:$C$50000,C4256,全馬データ!$D$2:$D$50000,E4256,全馬データ!$K$2:$K$50000,"&lt;&gt;")=0,"",SUMIFS(全馬データ!$K$2:$K$50000,全馬データ!$A$2:$A$50000,A4256,全馬データ!$B$2:$B$50000,B4256,全馬データ!$C$2:$C$50000,C4256,全馬データ!$D$2:$D$50000,E4256)))</f>
        <v/>
      </c>
      <c r="AP4256" s="8" t="str">
        <f aca="false">IF(A4256="","",IF(AO4256="","欠損",IF(AO4256&lt;=1.1,"1.0～1.1",IF(AO4256&lt;1.3,"1.2",IF(AO4256&lt;1.5,"1.3～1.4",IF(AO4256&lt;2,"1.5～1.9","2.0以上"))))))</f>
        <v/>
      </c>
      <c r="AQ4256" s="8" t="str">
        <f aca="false">IF(A4256="","",IF(ISNUMBER(SEARCH("2歳",Z4256)),"2歳戦",IF(ISNUMBER(SEARCH("3歳未勝利",Z4256)),"3歳未勝利",IF(ISNUMBER(SEARCH("未勝利",Z4256)),"その他未勝利",IF(ISNUMBER(SEARCH("G1",Z4256)),"G1",IF(ISNUMBER(SEARCH("G2",Z4256)),"G2",IF(ISNUMBER(SEARCH("G3",Z4256)),"G3",IF(ISNUMBER(SEARCH("古馬条件",Z4256)),"古馬条件戦",IF(ISNUMBER(SEARCH("重賞",Z4256)),"重賞","分類不能")))))))))</f>
        <v/>
      </c>
    </row>
    <row r="4257" customFormat="false" ht="15.75" hidden="false" customHeight="false" outlineLevel="0" collapsed="false">
      <c r="AO4257" s="8" t="str">
        <f aca="false">IF(A4257="","",IF(COUNTIFS(全馬データ!$A$2:$A$50000,A4257,全馬データ!$B$2:$B$50000,B4257,全馬データ!$C$2:$C$50000,C4257,全馬データ!$D$2:$D$50000,E4257,全馬データ!$K$2:$K$50000,"&lt;&gt;")=0,"",SUMIFS(全馬データ!$K$2:$K$50000,全馬データ!$A$2:$A$50000,A4257,全馬データ!$B$2:$B$50000,B4257,全馬データ!$C$2:$C$50000,C4257,全馬データ!$D$2:$D$50000,E4257)))</f>
        <v/>
      </c>
      <c r="AP4257" s="8" t="str">
        <f aca="false">IF(A4257="","",IF(AO4257="","欠損",IF(AO4257&lt;=1.1,"1.0～1.1",IF(AO4257&lt;1.3,"1.2",IF(AO4257&lt;1.5,"1.3～1.4",IF(AO4257&lt;2,"1.5～1.9","2.0以上"))))))</f>
        <v/>
      </c>
      <c r="AQ4257" s="8" t="str">
        <f aca="false">IF(A4257="","",IF(ISNUMBER(SEARCH("2歳",Z4257)),"2歳戦",IF(ISNUMBER(SEARCH("3歳未勝利",Z4257)),"3歳未勝利",IF(ISNUMBER(SEARCH("未勝利",Z4257)),"その他未勝利",IF(ISNUMBER(SEARCH("G1",Z4257)),"G1",IF(ISNUMBER(SEARCH("G2",Z4257)),"G2",IF(ISNUMBER(SEARCH("G3",Z4257)),"G3",IF(ISNUMBER(SEARCH("古馬条件",Z4257)),"古馬条件戦",IF(ISNUMBER(SEARCH("重賞",Z4257)),"重賞","分類不能")))))))))</f>
        <v/>
      </c>
    </row>
    <row r="4258" customFormat="false" ht="15.75" hidden="false" customHeight="false" outlineLevel="0" collapsed="false">
      <c r="AO4258" s="8" t="str">
        <f aca="false">IF(A4258="","",IF(COUNTIFS(全馬データ!$A$2:$A$50000,A4258,全馬データ!$B$2:$B$50000,B4258,全馬データ!$C$2:$C$50000,C4258,全馬データ!$D$2:$D$50000,E4258,全馬データ!$K$2:$K$50000,"&lt;&gt;")=0,"",SUMIFS(全馬データ!$K$2:$K$50000,全馬データ!$A$2:$A$50000,A4258,全馬データ!$B$2:$B$50000,B4258,全馬データ!$C$2:$C$50000,C4258,全馬データ!$D$2:$D$50000,E4258)))</f>
        <v/>
      </c>
      <c r="AP4258" s="8" t="str">
        <f aca="false">IF(A4258="","",IF(AO4258="","欠損",IF(AO4258&lt;=1.1,"1.0～1.1",IF(AO4258&lt;1.3,"1.2",IF(AO4258&lt;1.5,"1.3～1.4",IF(AO4258&lt;2,"1.5～1.9","2.0以上"))))))</f>
        <v/>
      </c>
      <c r="AQ4258" s="8" t="str">
        <f aca="false">IF(A4258="","",IF(ISNUMBER(SEARCH("2歳",Z4258)),"2歳戦",IF(ISNUMBER(SEARCH("3歳未勝利",Z4258)),"3歳未勝利",IF(ISNUMBER(SEARCH("未勝利",Z4258)),"その他未勝利",IF(ISNUMBER(SEARCH("G1",Z4258)),"G1",IF(ISNUMBER(SEARCH("G2",Z4258)),"G2",IF(ISNUMBER(SEARCH("G3",Z4258)),"G3",IF(ISNUMBER(SEARCH("古馬条件",Z4258)),"古馬条件戦",IF(ISNUMBER(SEARCH("重賞",Z4258)),"重賞","分類不能")))))))))</f>
        <v/>
      </c>
    </row>
    <row r="4259" customFormat="false" ht="15.75" hidden="false" customHeight="false" outlineLevel="0" collapsed="false">
      <c r="AO4259" s="8" t="str">
        <f aca="false">IF(A4259="","",IF(COUNTIFS(全馬データ!$A$2:$A$50000,A4259,全馬データ!$B$2:$B$50000,B4259,全馬データ!$C$2:$C$50000,C4259,全馬データ!$D$2:$D$50000,E4259,全馬データ!$K$2:$K$50000,"&lt;&gt;")=0,"",SUMIFS(全馬データ!$K$2:$K$50000,全馬データ!$A$2:$A$50000,A4259,全馬データ!$B$2:$B$50000,B4259,全馬データ!$C$2:$C$50000,C4259,全馬データ!$D$2:$D$50000,E4259)))</f>
        <v/>
      </c>
      <c r="AP4259" s="8" t="str">
        <f aca="false">IF(A4259="","",IF(AO4259="","欠損",IF(AO4259&lt;=1.1,"1.0～1.1",IF(AO4259&lt;1.3,"1.2",IF(AO4259&lt;1.5,"1.3～1.4",IF(AO4259&lt;2,"1.5～1.9","2.0以上"))))))</f>
        <v/>
      </c>
      <c r="AQ4259" s="8" t="str">
        <f aca="false">IF(A4259="","",IF(ISNUMBER(SEARCH("2歳",Z4259)),"2歳戦",IF(ISNUMBER(SEARCH("3歳未勝利",Z4259)),"3歳未勝利",IF(ISNUMBER(SEARCH("未勝利",Z4259)),"その他未勝利",IF(ISNUMBER(SEARCH("G1",Z4259)),"G1",IF(ISNUMBER(SEARCH("G2",Z4259)),"G2",IF(ISNUMBER(SEARCH("G3",Z4259)),"G3",IF(ISNUMBER(SEARCH("古馬条件",Z4259)),"古馬条件戦",IF(ISNUMBER(SEARCH("重賞",Z4259)),"重賞","分類不能")))))))))</f>
        <v/>
      </c>
    </row>
    <row r="4260" customFormat="false" ht="15.75" hidden="false" customHeight="false" outlineLevel="0" collapsed="false">
      <c r="AO4260" s="8" t="str">
        <f aca="false">IF(A4260="","",IF(COUNTIFS(全馬データ!$A$2:$A$50000,A4260,全馬データ!$B$2:$B$50000,B4260,全馬データ!$C$2:$C$50000,C4260,全馬データ!$D$2:$D$50000,E4260,全馬データ!$K$2:$K$50000,"&lt;&gt;")=0,"",SUMIFS(全馬データ!$K$2:$K$50000,全馬データ!$A$2:$A$50000,A4260,全馬データ!$B$2:$B$50000,B4260,全馬データ!$C$2:$C$50000,C4260,全馬データ!$D$2:$D$50000,E4260)))</f>
        <v/>
      </c>
      <c r="AP4260" s="8" t="str">
        <f aca="false">IF(A4260="","",IF(AO4260="","欠損",IF(AO4260&lt;=1.1,"1.0～1.1",IF(AO4260&lt;1.3,"1.2",IF(AO4260&lt;1.5,"1.3～1.4",IF(AO4260&lt;2,"1.5～1.9","2.0以上"))))))</f>
        <v/>
      </c>
      <c r="AQ4260" s="8" t="str">
        <f aca="false">IF(A4260="","",IF(ISNUMBER(SEARCH("2歳",Z4260)),"2歳戦",IF(ISNUMBER(SEARCH("3歳未勝利",Z4260)),"3歳未勝利",IF(ISNUMBER(SEARCH("未勝利",Z4260)),"その他未勝利",IF(ISNUMBER(SEARCH("G1",Z4260)),"G1",IF(ISNUMBER(SEARCH("G2",Z4260)),"G2",IF(ISNUMBER(SEARCH("G3",Z4260)),"G3",IF(ISNUMBER(SEARCH("古馬条件",Z4260)),"古馬条件戦",IF(ISNUMBER(SEARCH("重賞",Z4260)),"重賞","分類不能")))))))))</f>
        <v/>
      </c>
    </row>
    <row r="4261" customFormat="false" ht="15.75" hidden="false" customHeight="false" outlineLevel="0" collapsed="false">
      <c r="AO4261" s="8" t="str">
        <f aca="false">IF(A4261="","",IF(COUNTIFS(全馬データ!$A$2:$A$50000,A4261,全馬データ!$B$2:$B$50000,B4261,全馬データ!$C$2:$C$50000,C4261,全馬データ!$D$2:$D$50000,E4261,全馬データ!$K$2:$K$50000,"&lt;&gt;")=0,"",SUMIFS(全馬データ!$K$2:$K$50000,全馬データ!$A$2:$A$50000,A4261,全馬データ!$B$2:$B$50000,B4261,全馬データ!$C$2:$C$50000,C4261,全馬データ!$D$2:$D$50000,E4261)))</f>
        <v/>
      </c>
      <c r="AP4261" s="8" t="str">
        <f aca="false">IF(A4261="","",IF(AO4261="","欠損",IF(AO4261&lt;=1.1,"1.0～1.1",IF(AO4261&lt;1.3,"1.2",IF(AO4261&lt;1.5,"1.3～1.4",IF(AO4261&lt;2,"1.5～1.9","2.0以上"))))))</f>
        <v/>
      </c>
      <c r="AQ4261" s="8" t="str">
        <f aca="false">IF(A4261="","",IF(ISNUMBER(SEARCH("2歳",Z4261)),"2歳戦",IF(ISNUMBER(SEARCH("3歳未勝利",Z4261)),"3歳未勝利",IF(ISNUMBER(SEARCH("未勝利",Z4261)),"その他未勝利",IF(ISNUMBER(SEARCH("G1",Z4261)),"G1",IF(ISNUMBER(SEARCH("G2",Z4261)),"G2",IF(ISNUMBER(SEARCH("G3",Z4261)),"G3",IF(ISNUMBER(SEARCH("古馬条件",Z4261)),"古馬条件戦",IF(ISNUMBER(SEARCH("重賞",Z4261)),"重賞","分類不能")))))))))</f>
        <v/>
      </c>
    </row>
    <row r="4262" customFormat="false" ht="15.75" hidden="false" customHeight="false" outlineLevel="0" collapsed="false">
      <c r="AO4262" s="8" t="str">
        <f aca="false">IF(A4262="","",IF(COUNTIFS(全馬データ!$A$2:$A$50000,A4262,全馬データ!$B$2:$B$50000,B4262,全馬データ!$C$2:$C$50000,C4262,全馬データ!$D$2:$D$50000,E4262,全馬データ!$K$2:$K$50000,"&lt;&gt;")=0,"",SUMIFS(全馬データ!$K$2:$K$50000,全馬データ!$A$2:$A$50000,A4262,全馬データ!$B$2:$B$50000,B4262,全馬データ!$C$2:$C$50000,C4262,全馬データ!$D$2:$D$50000,E4262)))</f>
        <v/>
      </c>
      <c r="AP4262" s="8" t="str">
        <f aca="false">IF(A4262="","",IF(AO4262="","欠損",IF(AO4262&lt;=1.1,"1.0～1.1",IF(AO4262&lt;1.3,"1.2",IF(AO4262&lt;1.5,"1.3～1.4",IF(AO4262&lt;2,"1.5～1.9","2.0以上"))))))</f>
        <v/>
      </c>
      <c r="AQ4262" s="8" t="str">
        <f aca="false">IF(A4262="","",IF(ISNUMBER(SEARCH("2歳",Z4262)),"2歳戦",IF(ISNUMBER(SEARCH("3歳未勝利",Z4262)),"3歳未勝利",IF(ISNUMBER(SEARCH("未勝利",Z4262)),"その他未勝利",IF(ISNUMBER(SEARCH("G1",Z4262)),"G1",IF(ISNUMBER(SEARCH("G2",Z4262)),"G2",IF(ISNUMBER(SEARCH("G3",Z4262)),"G3",IF(ISNUMBER(SEARCH("古馬条件",Z4262)),"古馬条件戦",IF(ISNUMBER(SEARCH("重賞",Z4262)),"重賞","分類不能")))))))))</f>
        <v/>
      </c>
    </row>
    <row r="4263" customFormat="false" ht="15.75" hidden="false" customHeight="false" outlineLevel="0" collapsed="false">
      <c r="AO4263" s="8" t="str">
        <f aca="false">IF(A4263="","",IF(COUNTIFS(全馬データ!$A$2:$A$50000,A4263,全馬データ!$B$2:$B$50000,B4263,全馬データ!$C$2:$C$50000,C4263,全馬データ!$D$2:$D$50000,E4263,全馬データ!$K$2:$K$50000,"&lt;&gt;")=0,"",SUMIFS(全馬データ!$K$2:$K$50000,全馬データ!$A$2:$A$50000,A4263,全馬データ!$B$2:$B$50000,B4263,全馬データ!$C$2:$C$50000,C4263,全馬データ!$D$2:$D$50000,E4263)))</f>
        <v/>
      </c>
      <c r="AP4263" s="8" t="str">
        <f aca="false">IF(A4263="","",IF(AO4263="","欠損",IF(AO4263&lt;=1.1,"1.0～1.1",IF(AO4263&lt;1.3,"1.2",IF(AO4263&lt;1.5,"1.3～1.4",IF(AO4263&lt;2,"1.5～1.9","2.0以上"))))))</f>
        <v/>
      </c>
      <c r="AQ4263" s="8" t="str">
        <f aca="false">IF(A4263="","",IF(ISNUMBER(SEARCH("2歳",Z4263)),"2歳戦",IF(ISNUMBER(SEARCH("3歳未勝利",Z4263)),"3歳未勝利",IF(ISNUMBER(SEARCH("未勝利",Z4263)),"その他未勝利",IF(ISNUMBER(SEARCH("G1",Z4263)),"G1",IF(ISNUMBER(SEARCH("G2",Z4263)),"G2",IF(ISNUMBER(SEARCH("G3",Z4263)),"G3",IF(ISNUMBER(SEARCH("古馬条件",Z4263)),"古馬条件戦",IF(ISNUMBER(SEARCH("重賞",Z4263)),"重賞","分類不能")))))))))</f>
        <v/>
      </c>
    </row>
    <row r="4264" customFormat="false" ht="15.75" hidden="false" customHeight="false" outlineLevel="0" collapsed="false">
      <c r="AO4264" s="8" t="str">
        <f aca="false">IF(A4264="","",IF(COUNTIFS(全馬データ!$A$2:$A$50000,A4264,全馬データ!$B$2:$B$50000,B4264,全馬データ!$C$2:$C$50000,C4264,全馬データ!$D$2:$D$50000,E4264,全馬データ!$K$2:$K$50000,"&lt;&gt;")=0,"",SUMIFS(全馬データ!$K$2:$K$50000,全馬データ!$A$2:$A$50000,A4264,全馬データ!$B$2:$B$50000,B4264,全馬データ!$C$2:$C$50000,C4264,全馬データ!$D$2:$D$50000,E4264)))</f>
        <v/>
      </c>
      <c r="AP4264" s="8" t="str">
        <f aca="false">IF(A4264="","",IF(AO4264="","欠損",IF(AO4264&lt;=1.1,"1.0～1.1",IF(AO4264&lt;1.3,"1.2",IF(AO4264&lt;1.5,"1.3～1.4",IF(AO4264&lt;2,"1.5～1.9","2.0以上"))))))</f>
        <v/>
      </c>
      <c r="AQ4264" s="8" t="str">
        <f aca="false">IF(A4264="","",IF(ISNUMBER(SEARCH("2歳",Z4264)),"2歳戦",IF(ISNUMBER(SEARCH("3歳未勝利",Z4264)),"3歳未勝利",IF(ISNUMBER(SEARCH("未勝利",Z4264)),"その他未勝利",IF(ISNUMBER(SEARCH("G1",Z4264)),"G1",IF(ISNUMBER(SEARCH("G2",Z4264)),"G2",IF(ISNUMBER(SEARCH("G3",Z4264)),"G3",IF(ISNUMBER(SEARCH("古馬条件",Z4264)),"古馬条件戦",IF(ISNUMBER(SEARCH("重賞",Z4264)),"重賞","分類不能")))))))))</f>
        <v/>
      </c>
    </row>
    <row r="4265" customFormat="false" ht="15.75" hidden="false" customHeight="false" outlineLevel="0" collapsed="false">
      <c r="AO4265" s="8" t="str">
        <f aca="false">IF(A4265="","",IF(COUNTIFS(全馬データ!$A$2:$A$50000,A4265,全馬データ!$B$2:$B$50000,B4265,全馬データ!$C$2:$C$50000,C4265,全馬データ!$D$2:$D$50000,E4265,全馬データ!$K$2:$K$50000,"&lt;&gt;")=0,"",SUMIFS(全馬データ!$K$2:$K$50000,全馬データ!$A$2:$A$50000,A4265,全馬データ!$B$2:$B$50000,B4265,全馬データ!$C$2:$C$50000,C4265,全馬データ!$D$2:$D$50000,E4265)))</f>
        <v/>
      </c>
      <c r="AP4265" s="8" t="str">
        <f aca="false">IF(A4265="","",IF(AO4265="","欠損",IF(AO4265&lt;=1.1,"1.0～1.1",IF(AO4265&lt;1.3,"1.2",IF(AO4265&lt;1.5,"1.3～1.4",IF(AO4265&lt;2,"1.5～1.9","2.0以上"))))))</f>
        <v/>
      </c>
      <c r="AQ4265" s="8" t="str">
        <f aca="false">IF(A4265="","",IF(ISNUMBER(SEARCH("2歳",Z4265)),"2歳戦",IF(ISNUMBER(SEARCH("3歳未勝利",Z4265)),"3歳未勝利",IF(ISNUMBER(SEARCH("未勝利",Z4265)),"その他未勝利",IF(ISNUMBER(SEARCH("G1",Z4265)),"G1",IF(ISNUMBER(SEARCH("G2",Z4265)),"G2",IF(ISNUMBER(SEARCH("G3",Z4265)),"G3",IF(ISNUMBER(SEARCH("古馬条件",Z4265)),"古馬条件戦",IF(ISNUMBER(SEARCH("重賞",Z4265)),"重賞","分類不能")))))))))</f>
        <v/>
      </c>
    </row>
    <row r="4266" customFormat="false" ht="15.75" hidden="false" customHeight="false" outlineLevel="0" collapsed="false">
      <c r="AO4266" s="8" t="str">
        <f aca="false">IF(A4266="","",IF(COUNTIFS(全馬データ!$A$2:$A$50000,A4266,全馬データ!$B$2:$B$50000,B4266,全馬データ!$C$2:$C$50000,C4266,全馬データ!$D$2:$D$50000,E4266,全馬データ!$K$2:$K$50000,"&lt;&gt;")=0,"",SUMIFS(全馬データ!$K$2:$K$50000,全馬データ!$A$2:$A$50000,A4266,全馬データ!$B$2:$B$50000,B4266,全馬データ!$C$2:$C$50000,C4266,全馬データ!$D$2:$D$50000,E4266)))</f>
        <v/>
      </c>
      <c r="AP4266" s="8" t="str">
        <f aca="false">IF(A4266="","",IF(AO4266="","欠損",IF(AO4266&lt;=1.1,"1.0～1.1",IF(AO4266&lt;1.3,"1.2",IF(AO4266&lt;1.5,"1.3～1.4",IF(AO4266&lt;2,"1.5～1.9","2.0以上"))))))</f>
        <v/>
      </c>
      <c r="AQ4266" s="8" t="str">
        <f aca="false">IF(A4266="","",IF(ISNUMBER(SEARCH("2歳",Z4266)),"2歳戦",IF(ISNUMBER(SEARCH("3歳未勝利",Z4266)),"3歳未勝利",IF(ISNUMBER(SEARCH("未勝利",Z4266)),"その他未勝利",IF(ISNUMBER(SEARCH("G1",Z4266)),"G1",IF(ISNUMBER(SEARCH("G2",Z4266)),"G2",IF(ISNUMBER(SEARCH("G3",Z4266)),"G3",IF(ISNUMBER(SEARCH("古馬条件",Z4266)),"古馬条件戦",IF(ISNUMBER(SEARCH("重賞",Z4266)),"重賞","分類不能")))))))))</f>
        <v/>
      </c>
    </row>
    <row r="4267" customFormat="false" ht="15.75" hidden="false" customHeight="false" outlineLevel="0" collapsed="false">
      <c r="AO4267" s="8" t="str">
        <f aca="false">IF(A4267="","",IF(COUNTIFS(全馬データ!$A$2:$A$50000,A4267,全馬データ!$B$2:$B$50000,B4267,全馬データ!$C$2:$C$50000,C4267,全馬データ!$D$2:$D$50000,E4267,全馬データ!$K$2:$K$50000,"&lt;&gt;")=0,"",SUMIFS(全馬データ!$K$2:$K$50000,全馬データ!$A$2:$A$50000,A4267,全馬データ!$B$2:$B$50000,B4267,全馬データ!$C$2:$C$50000,C4267,全馬データ!$D$2:$D$50000,E4267)))</f>
        <v/>
      </c>
      <c r="AP4267" s="8" t="str">
        <f aca="false">IF(A4267="","",IF(AO4267="","欠損",IF(AO4267&lt;=1.1,"1.0～1.1",IF(AO4267&lt;1.3,"1.2",IF(AO4267&lt;1.5,"1.3～1.4",IF(AO4267&lt;2,"1.5～1.9","2.0以上"))))))</f>
        <v/>
      </c>
      <c r="AQ4267" s="8" t="str">
        <f aca="false">IF(A4267="","",IF(ISNUMBER(SEARCH("2歳",Z4267)),"2歳戦",IF(ISNUMBER(SEARCH("3歳未勝利",Z4267)),"3歳未勝利",IF(ISNUMBER(SEARCH("未勝利",Z4267)),"その他未勝利",IF(ISNUMBER(SEARCH("G1",Z4267)),"G1",IF(ISNUMBER(SEARCH("G2",Z4267)),"G2",IF(ISNUMBER(SEARCH("G3",Z4267)),"G3",IF(ISNUMBER(SEARCH("古馬条件",Z4267)),"古馬条件戦",IF(ISNUMBER(SEARCH("重賞",Z4267)),"重賞","分類不能")))))))))</f>
        <v/>
      </c>
    </row>
    <row r="4268" customFormat="false" ht="15.75" hidden="false" customHeight="false" outlineLevel="0" collapsed="false">
      <c r="AO4268" s="8" t="str">
        <f aca="false">IF(A4268="","",IF(COUNTIFS(全馬データ!$A$2:$A$50000,A4268,全馬データ!$B$2:$B$50000,B4268,全馬データ!$C$2:$C$50000,C4268,全馬データ!$D$2:$D$50000,E4268,全馬データ!$K$2:$K$50000,"&lt;&gt;")=0,"",SUMIFS(全馬データ!$K$2:$K$50000,全馬データ!$A$2:$A$50000,A4268,全馬データ!$B$2:$B$50000,B4268,全馬データ!$C$2:$C$50000,C4268,全馬データ!$D$2:$D$50000,E4268)))</f>
        <v/>
      </c>
      <c r="AP4268" s="8" t="str">
        <f aca="false">IF(A4268="","",IF(AO4268="","欠損",IF(AO4268&lt;=1.1,"1.0～1.1",IF(AO4268&lt;1.3,"1.2",IF(AO4268&lt;1.5,"1.3～1.4",IF(AO4268&lt;2,"1.5～1.9","2.0以上"))))))</f>
        <v/>
      </c>
      <c r="AQ4268" s="8" t="str">
        <f aca="false">IF(A4268="","",IF(ISNUMBER(SEARCH("2歳",Z4268)),"2歳戦",IF(ISNUMBER(SEARCH("3歳未勝利",Z4268)),"3歳未勝利",IF(ISNUMBER(SEARCH("未勝利",Z4268)),"その他未勝利",IF(ISNUMBER(SEARCH("G1",Z4268)),"G1",IF(ISNUMBER(SEARCH("G2",Z4268)),"G2",IF(ISNUMBER(SEARCH("G3",Z4268)),"G3",IF(ISNUMBER(SEARCH("古馬条件",Z4268)),"古馬条件戦",IF(ISNUMBER(SEARCH("重賞",Z4268)),"重賞","分類不能")))))))))</f>
        <v/>
      </c>
    </row>
    <row r="4269" customFormat="false" ht="15.75" hidden="false" customHeight="false" outlineLevel="0" collapsed="false">
      <c r="AO4269" s="8" t="str">
        <f aca="false">IF(A4269="","",IF(COUNTIFS(全馬データ!$A$2:$A$50000,A4269,全馬データ!$B$2:$B$50000,B4269,全馬データ!$C$2:$C$50000,C4269,全馬データ!$D$2:$D$50000,E4269,全馬データ!$K$2:$K$50000,"&lt;&gt;")=0,"",SUMIFS(全馬データ!$K$2:$K$50000,全馬データ!$A$2:$A$50000,A4269,全馬データ!$B$2:$B$50000,B4269,全馬データ!$C$2:$C$50000,C4269,全馬データ!$D$2:$D$50000,E4269)))</f>
        <v/>
      </c>
      <c r="AP4269" s="8" t="str">
        <f aca="false">IF(A4269="","",IF(AO4269="","欠損",IF(AO4269&lt;=1.1,"1.0～1.1",IF(AO4269&lt;1.3,"1.2",IF(AO4269&lt;1.5,"1.3～1.4",IF(AO4269&lt;2,"1.5～1.9","2.0以上"))))))</f>
        <v/>
      </c>
      <c r="AQ4269" s="8" t="str">
        <f aca="false">IF(A4269="","",IF(ISNUMBER(SEARCH("2歳",Z4269)),"2歳戦",IF(ISNUMBER(SEARCH("3歳未勝利",Z4269)),"3歳未勝利",IF(ISNUMBER(SEARCH("未勝利",Z4269)),"その他未勝利",IF(ISNUMBER(SEARCH("G1",Z4269)),"G1",IF(ISNUMBER(SEARCH("G2",Z4269)),"G2",IF(ISNUMBER(SEARCH("G3",Z4269)),"G3",IF(ISNUMBER(SEARCH("古馬条件",Z4269)),"古馬条件戦",IF(ISNUMBER(SEARCH("重賞",Z4269)),"重賞","分類不能")))))))))</f>
        <v/>
      </c>
    </row>
    <row r="4270" customFormat="false" ht="15.75" hidden="false" customHeight="false" outlineLevel="0" collapsed="false">
      <c r="AO4270" s="8" t="str">
        <f aca="false">IF(A4270="","",IF(COUNTIFS(全馬データ!$A$2:$A$50000,A4270,全馬データ!$B$2:$B$50000,B4270,全馬データ!$C$2:$C$50000,C4270,全馬データ!$D$2:$D$50000,E4270,全馬データ!$K$2:$K$50000,"&lt;&gt;")=0,"",SUMIFS(全馬データ!$K$2:$K$50000,全馬データ!$A$2:$A$50000,A4270,全馬データ!$B$2:$B$50000,B4270,全馬データ!$C$2:$C$50000,C4270,全馬データ!$D$2:$D$50000,E4270)))</f>
        <v/>
      </c>
      <c r="AP4270" s="8" t="str">
        <f aca="false">IF(A4270="","",IF(AO4270="","欠損",IF(AO4270&lt;=1.1,"1.0～1.1",IF(AO4270&lt;1.3,"1.2",IF(AO4270&lt;1.5,"1.3～1.4",IF(AO4270&lt;2,"1.5～1.9","2.0以上"))))))</f>
        <v/>
      </c>
      <c r="AQ4270" s="8" t="str">
        <f aca="false">IF(A4270="","",IF(ISNUMBER(SEARCH("2歳",Z4270)),"2歳戦",IF(ISNUMBER(SEARCH("3歳未勝利",Z4270)),"3歳未勝利",IF(ISNUMBER(SEARCH("未勝利",Z4270)),"その他未勝利",IF(ISNUMBER(SEARCH("G1",Z4270)),"G1",IF(ISNUMBER(SEARCH("G2",Z4270)),"G2",IF(ISNUMBER(SEARCH("G3",Z4270)),"G3",IF(ISNUMBER(SEARCH("古馬条件",Z4270)),"古馬条件戦",IF(ISNUMBER(SEARCH("重賞",Z4270)),"重賞","分類不能")))))))))</f>
        <v/>
      </c>
    </row>
    <row r="4271" customFormat="false" ht="15.75" hidden="false" customHeight="false" outlineLevel="0" collapsed="false">
      <c r="AO4271" s="8" t="str">
        <f aca="false">IF(A4271="","",IF(COUNTIFS(全馬データ!$A$2:$A$50000,A4271,全馬データ!$B$2:$B$50000,B4271,全馬データ!$C$2:$C$50000,C4271,全馬データ!$D$2:$D$50000,E4271,全馬データ!$K$2:$K$50000,"&lt;&gt;")=0,"",SUMIFS(全馬データ!$K$2:$K$50000,全馬データ!$A$2:$A$50000,A4271,全馬データ!$B$2:$B$50000,B4271,全馬データ!$C$2:$C$50000,C4271,全馬データ!$D$2:$D$50000,E4271)))</f>
        <v/>
      </c>
      <c r="AP4271" s="8" t="str">
        <f aca="false">IF(A4271="","",IF(AO4271="","欠損",IF(AO4271&lt;=1.1,"1.0～1.1",IF(AO4271&lt;1.3,"1.2",IF(AO4271&lt;1.5,"1.3～1.4",IF(AO4271&lt;2,"1.5～1.9","2.0以上"))))))</f>
        <v/>
      </c>
      <c r="AQ4271" s="8" t="str">
        <f aca="false">IF(A4271="","",IF(ISNUMBER(SEARCH("2歳",Z4271)),"2歳戦",IF(ISNUMBER(SEARCH("3歳未勝利",Z4271)),"3歳未勝利",IF(ISNUMBER(SEARCH("未勝利",Z4271)),"その他未勝利",IF(ISNUMBER(SEARCH("G1",Z4271)),"G1",IF(ISNUMBER(SEARCH("G2",Z4271)),"G2",IF(ISNUMBER(SEARCH("G3",Z4271)),"G3",IF(ISNUMBER(SEARCH("古馬条件",Z4271)),"古馬条件戦",IF(ISNUMBER(SEARCH("重賞",Z4271)),"重賞","分類不能")))))))))</f>
        <v/>
      </c>
    </row>
    <row r="4272" customFormat="false" ht="15.75" hidden="false" customHeight="false" outlineLevel="0" collapsed="false">
      <c r="AO4272" s="8" t="str">
        <f aca="false">IF(A4272="","",IF(COUNTIFS(全馬データ!$A$2:$A$50000,A4272,全馬データ!$B$2:$B$50000,B4272,全馬データ!$C$2:$C$50000,C4272,全馬データ!$D$2:$D$50000,E4272,全馬データ!$K$2:$K$50000,"&lt;&gt;")=0,"",SUMIFS(全馬データ!$K$2:$K$50000,全馬データ!$A$2:$A$50000,A4272,全馬データ!$B$2:$B$50000,B4272,全馬データ!$C$2:$C$50000,C4272,全馬データ!$D$2:$D$50000,E4272)))</f>
        <v/>
      </c>
      <c r="AP4272" s="8" t="str">
        <f aca="false">IF(A4272="","",IF(AO4272="","欠損",IF(AO4272&lt;=1.1,"1.0～1.1",IF(AO4272&lt;1.3,"1.2",IF(AO4272&lt;1.5,"1.3～1.4",IF(AO4272&lt;2,"1.5～1.9","2.0以上"))))))</f>
        <v/>
      </c>
      <c r="AQ4272" s="8" t="str">
        <f aca="false">IF(A4272="","",IF(ISNUMBER(SEARCH("2歳",Z4272)),"2歳戦",IF(ISNUMBER(SEARCH("3歳未勝利",Z4272)),"3歳未勝利",IF(ISNUMBER(SEARCH("未勝利",Z4272)),"その他未勝利",IF(ISNUMBER(SEARCH("G1",Z4272)),"G1",IF(ISNUMBER(SEARCH("G2",Z4272)),"G2",IF(ISNUMBER(SEARCH("G3",Z4272)),"G3",IF(ISNUMBER(SEARCH("古馬条件",Z4272)),"古馬条件戦",IF(ISNUMBER(SEARCH("重賞",Z4272)),"重賞","分類不能")))))))))</f>
        <v/>
      </c>
    </row>
    <row r="4273" customFormat="false" ht="15.75" hidden="false" customHeight="false" outlineLevel="0" collapsed="false">
      <c r="AO4273" s="8" t="str">
        <f aca="false">IF(A4273="","",IF(COUNTIFS(全馬データ!$A$2:$A$50000,A4273,全馬データ!$B$2:$B$50000,B4273,全馬データ!$C$2:$C$50000,C4273,全馬データ!$D$2:$D$50000,E4273,全馬データ!$K$2:$K$50000,"&lt;&gt;")=0,"",SUMIFS(全馬データ!$K$2:$K$50000,全馬データ!$A$2:$A$50000,A4273,全馬データ!$B$2:$B$50000,B4273,全馬データ!$C$2:$C$50000,C4273,全馬データ!$D$2:$D$50000,E4273)))</f>
        <v/>
      </c>
      <c r="AP4273" s="8" t="str">
        <f aca="false">IF(A4273="","",IF(AO4273="","欠損",IF(AO4273&lt;=1.1,"1.0～1.1",IF(AO4273&lt;1.3,"1.2",IF(AO4273&lt;1.5,"1.3～1.4",IF(AO4273&lt;2,"1.5～1.9","2.0以上"))))))</f>
        <v/>
      </c>
      <c r="AQ4273" s="8" t="str">
        <f aca="false">IF(A4273="","",IF(ISNUMBER(SEARCH("2歳",Z4273)),"2歳戦",IF(ISNUMBER(SEARCH("3歳未勝利",Z4273)),"3歳未勝利",IF(ISNUMBER(SEARCH("未勝利",Z4273)),"その他未勝利",IF(ISNUMBER(SEARCH("G1",Z4273)),"G1",IF(ISNUMBER(SEARCH("G2",Z4273)),"G2",IF(ISNUMBER(SEARCH("G3",Z4273)),"G3",IF(ISNUMBER(SEARCH("古馬条件",Z4273)),"古馬条件戦",IF(ISNUMBER(SEARCH("重賞",Z4273)),"重賞","分類不能")))))))))</f>
        <v/>
      </c>
    </row>
    <row r="4274" customFormat="false" ht="15.75" hidden="false" customHeight="false" outlineLevel="0" collapsed="false">
      <c r="AO4274" s="8" t="str">
        <f aca="false">IF(A4274="","",IF(COUNTIFS(全馬データ!$A$2:$A$50000,A4274,全馬データ!$B$2:$B$50000,B4274,全馬データ!$C$2:$C$50000,C4274,全馬データ!$D$2:$D$50000,E4274,全馬データ!$K$2:$K$50000,"&lt;&gt;")=0,"",SUMIFS(全馬データ!$K$2:$K$50000,全馬データ!$A$2:$A$50000,A4274,全馬データ!$B$2:$B$50000,B4274,全馬データ!$C$2:$C$50000,C4274,全馬データ!$D$2:$D$50000,E4274)))</f>
        <v/>
      </c>
      <c r="AP4274" s="8" t="str">
        <f aca="false">IF(A4274="","",IF(AO4274="","欠損",IF(AO4274&lt;=1.1,"1.0～1.1",IF(AO4274&lt;1.3,"1.2",IF(AO4274&lt;1.5,"1.3～1.4",IF(AO4274&lt;2,"1.5～1.9","2.0以上"))))))</f>
        <v/>
      </c>
      <c r="AQ4274" s="8" t="str">
        <f aca="false">IF(A4274="","",IF(ISNUMBER(SEARCH("2歳",Z4274)),"2歳戦",IF(ISNUMBER(SEARCH("3歳未勝利",Z4274)),"3歳未勝利",IF(ISNUMBER(SEARCH("未勝利",Z4274)),"その他未勝利",IF(ISNUMBER(SEARCH("G1",Z4274)),"G1",IF(ISNUMBER(SEARCH("G2",Z4274)),"G2",IF(ISNUMBER(SEARCH("G3",Z4274)),"G3",IF(ISNUMBER(SEARCH("古馬条件",Z4274)),"古馬条件戦",IF(ISNUMBER(SEARCH("重賞",Z4274)),"重賞","分類不能")))))))))</f>
        <v/>
      </c>
    </row>
    <row r="4275" customFormat="false" ht="15.75" hidden="false" customHeight="false" outlineLevel="0" collapsed="false">
      <c r="AO4275" s="8" t="str">
        <f aca="false">IF(A4275="","",IF(COUNTIFS(全馬データ!$A$2:$A$50000,A4275,全馬データ!$B$2:$B$50000,B4275,全馬データ!$C$2:$C$50000,C4275,全馬データ!$D$2:$D$50000,E4275,全馬データ!$K$2:$K$50000,"&lt;&gt;")=0,"",SUMIFS(全馬データ!$K$2:$K$50000,全馬データ!$A$2:$A$50000,A4275,全馬データ!$B$2:$B$50000,B4275,全馬データ!$C$2:$C$50000,C4275,全馬データ!$D$2:$D$50000,E4275)))</f>
        <v/>
      </c>
      <c r="AP4275" s="8" t="str">
        <f aca="false">IF(A4275="","",IF(AO4275="","欠損",IF(AO4275&lt;=1.1,"1.0～1.1",IF(AO4275&lt;1.3,"1.2",IF(AO4275&lt;1.5,"1.3～1.4",IF(AO4275&lt;2,"1.5～1.9","2.0以上"))))))</f>
        <v/>
      </c>
      <c r="AQ4275" s="8" t="str">
        <f aca="false">IF(A4275="","",IF(ISNUMBER(SEARCH("2歳",Z4275)),"2歳戦",IF(ISNUMBER(SEARCH("3歳未勝利",Z4275)),"3歳未勝利",IF(ISNUMBER(SEARCH("未勝利",Z4275)),"その他未勝利",IF(ISNUMBER(SEARCH("G1",Z4275)),"G1",IF(ISNUMBER(SEARCH("G2",Z4275)),"G2",IF(ISNUMBER(SEARCH("G3",Z4275)),"G3",IF(ISNUMBER(SEARCH("古馬条件",Z4275)),"古馬条件戦",IF(ISNUMBER(SEARCH("重賞",Z4275)),"重賞","分類不能")))))))))</f>
        <v/>
      </c>
    </row>
    <row r="4276" customFormat="false" ht="15.75" hidden="false" customHeight="false" outlineLevel="0" collapsed="false">
      <c r="AO4276" s="8" t="str">
        <f aca="false">IF(A4276="","",IF(COUNTIFS(全馬データ!$A$2:$A$50000,A4276,全馬データ!$B$2:$B$50000,B4276,全馬データ!$C$2:$C$50000,C4276,全馬データ!$D$2:$D$50000,E4276,全馬データ!$K$2:$K$50000,"&lt;&gt;")=0,"",SUMIFS(全馬データ!$K$2:$K$50000,全馬データ!$A$2:$A$50000,A4276,全馬データ!$B$2:$B$50000,B4276,全馬データ!$C$2:$C$50000,C4276,全馬データ!$D$2:$D$50000,E4276)))</f>
        <v/>
      </c>
      <c r="AP4276" s="8" t="str">
        <f aca="false">IF(A4276="","",IF(AO4276="","欠損",IF(AO4276&lt;=1.1,"1.0～1.1",IF(AO4276&lt;1.3,"1.2",IF(AO4276&lt;1.5,"1.3～1.4",IF(AO4276&lt;2,"1.5～1.9","2.0以上"))))))</f>
        <v/>
      </c>
      <c r="AQ4276" s="8" t="str">
        <f aca="false">IF(A4276="","",IF(ISNUMBER(SEARCH("2歳",Z4276)),"2歳戦",IF(ISNUMBER(SEARCH("3歳未勝利",Z4276)),"3歳未勝利",IF(ISNUMBER(SEARCH("未勝利",Z4276)),"その他未勝利",IF(ISNUMBER(SEARCH("G1",Z4276)),"G1",IF(ISNUMBER(SEARCH("G2",Z4276)),"G2",IF(ISNUMBER(SEARCH("G3",Z4276)),"G3",IF(ISNUMBER(SEARCH("古馬条件",Z4276)),"古馬条件戦",IF(ISNUMBER(SEARCH("重賞",Z4276)),"重賞","分類不能")))))))))</f>
        <v/>
      </c>
    </row>
    <row r="4277" customFormat="false" ht="15.75" hidden="false" customHeight="false" outlineLevel="0" collapsed="false">
      <c r="AO4277" s="8" t="str">
        <f aca="false">IF(A4277="","",IF(COUNTIFS(全馬データ!$A$2:$A$50000,A4277,全馬データ!$B$2:$B$50000,B4277,全馬データ!$C$2:$C$50000,C4277,全馬データ!$D$2:$D$50000,E4277,全馬データ!$K$2:$K$50000,"&lt;&gt;")=0,"",SUMIFS(全馬データ!$K$2:$K$50000,全馬データ!$A$2:$A$50000,A4277,全馬データ!$B$2:$B$50000,B4277,全馬データ!$C$2:$C$50000,C4277,全馬データ!$D$2:$D$50000,E4277)))</f>
        <v/>
      </c>
      <c r="AP4277" s="8" t="str">
        <f aca="false">IF(A4277="","",IF(AO4277="","欠損",IF(AO4277&lt;=1.1,"1.0～1.1",IF(AO4277&lt;1.3,"1.2",IF(AO4277&lt;1.5,"1.3～1.4",IF(AO4277&lt;2,"1.5～1.9","2.0以上"))))))</f>
        <v/>
      </c>
      <c r="AQ4277" s="8" t="str">
        <f aca="false">IF(A4277="","",IF(ISNUMBER(SEARCH("2歳",Z4277)),"2歳戦",IF(ISNUMBER(SEARCH("3歳未勝利",Z4277)),"3歳未勝利",IF(ISNUMBER(SEARCH("未勝利",Z4277)),"その他未勝利",IF(ISNUMBER(SEARCH("G1",Z4277)),"G1",IF(ISNUMBER(SEARCH("G2",Z4277)),"G2",IF(ISNUMBER(SEARCH("G3",Z4277)),"G3",IF(ISNUMBER(SEARCH("古馬条件",Z4277)),"古馬条件戦",IF(ISNUMBER(SEARCH("重賞",Z4277)),"重賞","分類不能")))))))))</f>
        <v/>
      </c>
    </row>
    <row r="4278" customFormat="false" ht="15.75" hidden="false" customHeight="false" outlineLevel="0" collapsed="false">
      <c r="AO4278" s="8" t="str">
        <f aca="false">IF(A4278="","",IF(COUNTIFS(全馬データ!$A$2:$A$50000,A4278,全馬データ!$B$2:$B$50000,B4278,全馬データ!$C$2:$C$50000,C4278,全馬データ!$D$2:$D$50000,E4278,全馬データ!$K$2:$K$50000,"&lt;&gt;")=0,"",SUMIFS(全馬データ!$K$2:$K$50000,全馬データ!$A$2:$A$50000,A4278,全馬データ!$B$2:$B$50000,B4278,全馬データ!$C$2:$C$50000,C4278,全馬データ!$D$2:$D$50000,E4278)))</f>
        <v/>
      </c>
      <c r="AP4278" s="8" t="str">
        <f aca="false">IF(A4278="","",IF(AO4278="","欠損",IF(AO4278&lt;=1.1,"1.0～1.1",IF(AO4278&lt;1.3,"1.2",IF(AO4278&lt;1.5,"1.3～1.4",IF(AO4278&lt;2,"1.5～1.9","2.0以上"))))))</f>
        <v/>
      </c>
      <c r="AQ4278" s="8" t="str">
        <f aca="false">IF(A4278="","",IF(ISNUMBER(SEARCH("2歳",Z4278)),"2歳戦",IF(ISNUMBER(SEARCH("3歳未勝利",Z4278)),"3歳未勝利",IF(ISNUMBER(SEARCH("未勝利",Z4278)),"その他未勝利",IF(ISNUMBER(SEARCH("G1",Z4278)),"G1",IF(ISNUMBER(SEARCH("G2",Z4278)),"G2",IF(ISNUMBER(SEARCH("G3",Z4278)),"G3",IF(ISNUMBER(SEARCH("古馬条件",Z4278)),"古馬条件戦",IF(ISNUMBER(SEARCH("重賞",Z4278)),"重賞","分類不能")))))))))</f>
        <v/>
      </c>
    </row>
    <row r="4279" customFormat="false" ht="15.75" hidden="false" customHeight="false" outlineLevel="0" collapsed="false">
      <c r="AO4279" s="8" t="str">
        <f aca="false">IF(A4279="","",IF(COUNTIFS(全馬データ!$A$2:$A$50000,A4279,全馬データ!$B$2:$B$50000,B4279,全馬データ!$C$2:$C$50000,C4279,全馬データ!$D$2:$D$50000,E4279,全馬データ!$K$2:$K$50000,"&lt;&gt;")=0,"",SUMIFS(全馬データ!$K$2:$K$50000,全馬データ!$A$2:$A$50000,A4279,全馬データ!$B$2:$B$50000,B4279,全馬データ!$C$2:$C$50000,C4279,全馬データ!$D$2:$D$50000,E4279)))</f>
        <v/>
      </c>
      <c r="AP4279" s="8" t="str">
        <f aca="false">IF(A4279="","",IF(AO4279="","欠損",IF(AO4279&lt;=1.1,"1.0～1.1",IF(AO4279&lt;1.3,"1.2",IF(AO4279&lt;1.5,"1.3～1.4",IF(AO4279&lt;2,"1.5～1.9","2.0以上"))))))</f>
        <v/>
      </c>
      <c r="AQ4279" s="8" t="str">
        <f aca="false">IF(A4279="","",IF(ISNUMBER(SEARCH("2歳",Z4279)),"2歳戦",IF(ISNUMBER(SEARCH("3歳未勝利",Z4279)),"3歳未勝利",IF(ISNUMBER(SEARCH("未勝利",Z4279)),"その他未勝利",IF(ISNUMBER(SEARCH("G1",Z4279)),"G1",IF(ISNUMBER(SEARCH("G2",Z4279)),"G2",IF(ISNUMBER(SEARCH("G3",Z4279)),"G3",IF(ISNUMBER(SEARCH("古馬条件",Z4279)),"古馬条件戦",IF(ISNUMBER(SEARCH("重賞",Z4279)),"重賞","分類不能")))))))))</f>
        <v/>
      </c>
    </row>
    <row r="4280" customFormat="false" ht="15.75" hidden="false" customHeight="false" outlineLevel="0" collapsed="false">
      <c r="AO4280" s="8" t="str">
        <f aca="false">IF(A4280="","",IF(COUNTIFS(全馬データ!$A$2:$A$50000,A4280,全馬データ!$B$2:$B$50000,B4280,全馬データ!$C$2:$C$50000,C4280,全馬データ!$D$2:$D$50000,E4280,全馬データ!$K$2:$K$50000,"&lt;&gt;")=0,"",SUMIFS(全馬データ!$K$2:$K$50000,全馬データ!$A$2:$A$50000,A4280,全馬データ!$B$2:$B$50000,B4280,全馬データ!$C$2:$C$50000,C4280,全馬データ!$D$2:$D$50000,E4280)))</f>
        <v/>
      </c>
      <c r="AP4280" s="8" t="str">
        <f aca="false">IF(A4280="","",IF(AO4280="","欠損",IF(AO4280&lt;=1.1,"1.0～1.1",IF(AO4280&lt;1.3,"1.2",IF(AO4280&lt;1.5,"1.3～1.4",IF(AO4280&lt;2,"1.5～1.9","2.0以上"))))))</f>
        <v/>
      </c>
      <c r="AQ4280" s="8" t="str">
        <f aca="false">IF(A4280="","",IF(ISNUMBER(SEARCH("2歳",Z4280)),"2歳戦",IF(ISNUMBER(SEARCH("3歳未勝利",Z4280)),"3歳未勝利",IF(ISNUMBER(SEARCH("未勝利",Z4280)),"その他未勝利",IF(ISNUMBER(SEARCH("G1",Z4280)),"G1",IF(ISNUMBER(SEARCH("G2",Z4280)),"G2",IF(ISNUMBER(SEARCH("G3",Z4280)),"G3",IF(ISNUMBER(SEARCH("古馬条件",Z4280)),"古馬条件戦",IF(ISNUMBER(SEARCH("重賞",Z4280)),"重賞","分類不能")))))))))</f>
        <v/>
      </c>
    </row>
    <row r="4281" customFormat="false" ht="15.75" hidden="false" customHeight="false" outlineLevel="0" collapsed="false">
      <c r="AO4281" s="8" t="str">
        <f aca="false">IF(A4281="","",IF(COUNTIFS(全馬データ!$A$2:$A$50000,A4281,全馬データ!$B$2:$B$50000,B4281,全馬データ!$C$2:$C$50000,C4281,全馬データ!$D$2:$D$50000,E4281,全馬データ!$K$2:$K$50000,"&lt;&gt;")=0,"",SUMIFS(全馬データ!$K$2:$K$50000,全馬データ!$A$2:$A$50000,A4281,全馬データ!$B$2:$B$50000,B4281,全馬データ!$C$2:$C$50000,C4281,全馬データ!$D$2:$D$50000,E4281)))</f>
        <v/>
      </c>
      <c r="AP4281" s="8" t="str">
        <f aca="false">IF(A4281="","",IF(AO4281="","欠損",IF(AO4281&lt;=1.1,"1.0～1.1",IF(AO4281&lt;1.3,"1.2",IF(AO4281&lt;1.5,"1.3～1.4",IF(AO4281&lt;2,"1.5～1.9","2.0以上"))))))</f>
        <v/>
      </c>
      <c r="AQ4281" s="8" t="str">
        <f aca="false">IF(A4281="","",IF(ISNUMBER(SEARCH("2歳",Z4281)),"2歳戦",IF(ISNUMBER(SEARCH("3歳未勝利",Z4281)),"3歳未勝利",IF(ISNUMBER(SEARCH("未勝利",Z4281)),"その他未勝利",IF(ISNUMBER(SEARCH("G1",Z4281)),"G1",IF(ISNUMBER(SEARCH("G2",Z4281)),"G2",IF(ISNUMBER(SEARCH("G3",Z4281)),"G3",IF(ISNUMBER(SEARCH("古馬条件",Z4281)),"古馬条件戦",IF(ISNUMBER(SEARCH("重賞",Z4281)),"重賞","分類不能")))))))))</f>
        <v/>
      </c>
    </row>
    <row r="4282" customFormat="false" ht="15.75" hidden="false" customHeight="false" outlineLevel="0" collapsed="false">
      <c r="AO4282" s="8" t="str">
        <f aca="false">IF(A4282="","",IF(COUNTIFS(全馬データ!$A$2:$A$50000,A4282,全馬データ!$B$2:$B$50000,B4282,全馬データ!$C$2:$C$50000,C4282,全馬データ!$D$2:$D$50000,E4282,全馬データ!$K$2:$K$50000,"&lt;&gt;")=0,"",SUMIFS(全馬データ!$K$2:$K$50000,全馬データ!$A$2:$A$50000,A4282,全馬データ!$B$2:$B$50000,B4282,全馬データ!$C$2:$C$50000,C4282,全馬データ!$D$2:$D$50000,E4282)))</f>
        <v/>
      </c>
      <c r="AP4282" s="8" t="str">
        <f aca="false">IF(A4282="","",IF(AO4282="","欠損",IF(AO4282&lt;=1.1,"1.0～1.1",IF(AO4282&lt;1.3,"1.2",IF(AO4282&lt;1.5,"1.3～1.4",IF(AO4282&lt;2,"1.5～1.9","2.0以上"))))))</f>
        <v/>
      </c>
      <c r="AQ4282" s="8" t="str">
        <f aca="false">IF(A4282="","",IF(ISNUMBER(SEARCH("2歳",Z4282)),"2歳戦",IF(ISNUMBER(SEARCH("3歳未勝利",Z4282)),"3歳未勝利",IF(ISNUMBER(SEARCH("未勝利",Z4282)),"その他未勝利",IF(ISNUMBER(SEARCH("G1",Z4282)),"G1",IF(ISNUMBER(SEARCH("G2",Z4282)),"G2",IF(ISNUMBER(SEARCH("G3",Z4282)),"G3",IF(ISNUMBER(SEARCH("古馬条件",Z4282)),"古馬条件戦",IF(ISNUMBER(SEARCH("重賞",Z4282)),"重賞","分類不能")))))))))</f>
        <v/>
      </c>
    </row>
    <row r="4283" customFormat="false" ht="15.75" hidden="false" customHeight="false" outlineLevel="0" collapsed="false">
      <c r="AO4283" s="8" t="str">
        <f aca="false">IF(A4283="","",IF(COUNTIFS(全馬データ!$A$2:$A$50000,A4283,全馬データ!$B$2:$B$50000,B4283,全馬データ!$C$2:$C$50000,C4283,全馬データ!$D$2:$D$50000,E4283,全馬データ!$K$2:$K$50000,"&lt;&gt;")=0,"",SUMIFS(全馬データ!$K$2:$K$50000,全馬データ!$A$2:$A$50000,A4283,全馬データ!$B$2:$B$50000,B4283,全馬データ!$C$2:$C$50000,C4283,全馬データ!$D$2:$D$50000,E4283)))</f>
        <v/>
      </c>
      <c r="AP4283" s="8" t="str">
        <f aca="false">IF(A4283="","",IF(AO4283="","欠損",IF(AO4283&lt;=1.1,"1.0～1.1",IF(AO4283&lt;1.3,"1.2",IF(AO4283&lt;1.5,"1.3～1.4",IF(AO4283&lt;2,"1.5～1.9","2.0以上"))))))</f>
        <v/>
      </c>
      <c r="AQ4283" s="8" t="str">
        <f aca="false">IF(A4283="","",IF(ISNUMBER(SEARCH("2歳",Z4283)),"2歳戦",IF(ISNUMBER(SEARCH("3歳未勝利",Z4283)),"3歳未勝利",IF(ISNUMBER(SEARCH("未勝利",Z4283)),"その他未勝利",IF(ISNUMBER(SEARCH("G1",Z4283)),"G1",IF(ISNUMBER(SEARCH("G2",Z4283)),"G2",IF(ISNUMBER(SEARCH("G3",Z4283)),"G3",IF(ISNUMBER(SEARCH("古馬条件",Z4283)),"古馬条件戦",IF(ISNUMBER(SEARCH("重賞",Z4283)),"重賞","分類不能")))))))))</f>
        <v/>
      </c>
    </row>
    <row r="4284" customFormat="false" ht="15.75" hidden="false" customHeight="false" outlineLevel="0" collapsed="false">
      <c r="AO4284" s="8" t="str">
        <f aca="false">IF(A4284="","",IF(COUNTIFS(全馬データ!$A$2:$A$50000,A4284,全馬データ!$B$2:$B$50000,B4284,全馬データ!$C$2:$C$50000,C4284,全馬データ!$D$2:$D$50000,E4284,全馬データ!$K$2:$K$50000,"&lt;&gt;")=0,"",SUMIFS(全馬データ!$K$2:$K$50000,全馬データ!$A$2:$A$50000,A4284,全馬データ!$B$2:$B$50000,B4284,全馬データ!$C$2:$C$50000,C4284,全馬データ!$D$2:$D$50000,E4284)))</f>
        <v/>
      </c>
      <c r="AP4284" s="8" t="str">
        <f aca="false">IF(A4284="","",IF(AO4284="","欠損",IF(AO4284&lt;=1.1,"1.0～1.1",IF(AO4284&lt;1.3,"1.2",IF(AO4284&lt;1.5,"1.3～1.4",IF(AO4284&lt;2,"1.5～1.9","2.0以上"))))))</f>
        <v/>
      </c>
      <c r="AQ4284" s="8" t="str">
        <f aca="false">IF(A4284="","",IF(ISNUMBER(SEARCH("2歳",Z4284)),"2歳戦",IF(ISNUMBER(SEARCH("3歳未勝利",Z4284)),"3歳未勝利",IF(ISNUMBER(SEARCH("未勝利",Z4284)),"その他未勝利",IF(ISNUMBER(SEARCH("G1",Z4284)),"G1",IF(ISNUMBER(SEARCH("G2",Z4284)),"G2",IF(ISNUMBER(SEARCH("G3",Z4284)),"G3",IF(ISNUMBER(SEARCH("古馬条件",Z4284)),"古馬条件戦",IF(ISNUMBER(SEARCH("重賞",Z4284)),"重賞","分類不能")))))))))</f>
        <v/>
      </c>
    </row>
    <row r="4285" customFormat="false" ht="15.75" hidden="false" customHeight="false" outlineLevel="0" collapsed="false">
      <c r="AO4285" s="8" t="str">
        <f aca="false">IF(A4285="","",IF(COUNTIFS(全馬データ!$A$2:$A$50000,A4285,全馬データ!$B$2:$B$50000,B4285,全馬データ!$C$2:$C$50000,C4285,全馬データ!$D$2:$D$50000,E4285,全馬データ!$K$2:$K$50000,"&lt;&gt;")=0,"",SUMIFS(全馬データ!$K$2:$K$50000,全馬データ!$A$2:$A$50000,A4285,全馬データ!$B$2:$B$50000,B4285,全馬データ!$C$2:$C$50000,C4285,全馬データ!$D$2:$D$50000,E4285)))</f>
        <v/>
      </c>
      <c r="AP4285" s="8" t="str">
        <f aca="false">IF(A4285="","",IF(AO4285="","欠損",IF(AO4285&lt;=1.1,"1.0～1.1",IF(AO4285&lt;1.3,"1.2",IF(AO4285&lt;1.5,"1.3～1.4",IF(AO4285&lt;2,"1.5～1.9","2.0以上"))))))</f>
        <v/>
      </c>
      <c r="AQ4285" s="8" t="str">
        <f aca="false">IF(A4285="","",IF(ISNUMBER(SEARCH("2歳",Z4285)),"2歳戦",IF(ISNUMBER(SEARCH("3歳未勝利",Z4285)),"3歳未勝利",IF(ISNUMBER(SEARCH("未勝利",Z4285)),"その他未勝利",IF(ISNUMBER(SEARCH("G1",Z4285)),"G1",IF(ISNUMBER(SEARCH("G2",Z4285)),"G2",IF(ISNUMBER(SEARCH("G3",Z4285)),"G3",IF(ISNUMBER(SEARCH("古馬条件",Z4285)),"古馬条件戦",IF(ISNUMBER(SEARCH("重賞",Z4285)),"重賞","分類不能")))))))))</f>
        <v/>
      </c>
    </row>
    <row r="4286" customFormat="false" ht="15.75" hidden="false" customHeight="false" outlineLevel="0" collapsed="false">
      <c r="AO4286" s="8" t="str">
        <f aca="false">IF(A4286="","",IF(COUNTIFS(全馬データ!$A$2:$A$50000,A4286,全馬データ!$B$2:$B$50000,B4286,全馬データ!$C$2:$C$50000,C4286,全馬データ!$D$2:$D$50000,E4286,全馬データ!$K$2:$K$50000,"&lt;&gt;")=0,"",SUMIFS(全馬データ!$K$2:$K$50000,全馬データ!$A$2:$A$50000,A4286,全馬データ!$B$2:$B$50000,B4286,全馬データ!$C$2:$C$50000,C4286,全馬データ!$D$2:$D$50000,E4286)))</f>
        <v/>
      </c>
      <c r="AP4286" s="8" t="str">
        <f aca="false">IF(A4286="","",IF(AO4286="","欠損",IF(AO4286&lt;=1.1,"1.0～1.1",IF(AO4286&lt;1.3,"1.2",IF(AO4286&lt;1.5,"1.3～1.4",IF(AO4286&lt;2,"1.5～1.9","2.0以上"))))))</f>
        <v/>
      </c>
      <c r="AQ4286" s="8" t="str">
        <f aca="false">IF(A4286="","",IF(ISNUMBER(SEARCH("2歳",Z4286)),"2歳戦",IF(ISNUMBER(SEARCH("3歳未勝利",Z4286)),"3歳未勝利",IF(ISNUMBER(SEARCH("未勝利",Z4286)),"その他未勝利",IF(ISNUMBER(SEARCH("G1",Z4286)),"G1",IF(ISNUMBER(SEARCH("G2",Z4286)),"G2",IF(ISNUMBER(SEARCH("G3",Z4286)),"G3",IF(ISNUMBER(SEARCH("古馬条件",Z4286)),"古馬条件戦",IF(ISNUMBER(SEARCH("重賞",Z4286)),"重賞","分類不能")))))))))</f>
        <v/>
      </c>
    </row>
    <row r="4287" customFormat="false" ht="15.75" hidden="false" customHeight="false" outlineLevel="0" collapsed="false">
      <c r="AO4287" s="8" t="str">
        <f aca="false">IF(A4287="","",IF(COUNTIFS(全馬データ!$A$2:$A$50000,A4287,全馬データ!$B$2:$B$50000,B4287,全馬データ!$C$2:$C$50000,C4287,全馬データ!$D$2:$D$50000,E4287,全馬データ!$K$2:$K$50000,"&lt;&gt;")=0,"",SUMIFS(全馬データ!$K$2:$K$50000,全馬データ!$A$2:$A$50000,A4287,全馬データ!$B$2:$B$50000,B4287,全馬データ!$C$2:$C$50000,C4287,全馬データ!$D$2:$D$50000,E4287)))</f>
        <v/>
      </c>
      <c r="AP4287" s="8" t="str">
        <f aca="false">IF(A4287="","",IF(AO4287="","欠損",IF(AO4287&lt;=1.1,"1.0～1.1",IF(AO4287&lt;1.3,"1.2",IF(AO4287&lt;1.5,"1.3～1.4",IF(AO4287&lt;2,"1.5～1.9","2.0以上"))))))</f>
        <v/>
      </c>
      <c r="AQ4287" s="8" t="str">
        <f aca="false">IF(A4287="","",IF(ISNUMBER(SEARCH("2歳",Z4287)),"2歳戦",IF(ISNUMBER(SEARCH("3歳未勝利",Z4287)),"3歳未勝利",IF(ISNUMBER(SEARCH("未勝利",Z4287)),"その他未勝利",IF(ISNUMBER(SEARCH("G1",Z4287)),"G1",IF(ISNUMBER(SEARCH("G2",Z4287)),"G2",IF(ISNUMBER(SEARCH("G3",Z4287)),"G3",IF(ISNUMBER(SEARCH("古馬条件",Z4287)),"古馬条件戦",IF(ISNUMBER(SEARCH("重賞",Z4287)),"重賞","分類不能")))))))))</f>
        <v/>
      </c>
    </row>
    <row r="4288" customFormat="false" ht="15.75" hidden="false" customHeight="false" outlineLevel="0" collapsed="false">
      <c r="AO4288" s="8" t="str">
        <f aca="false">IF(A4288="","",IF(COUNTIFS(全馬データ!$A$2:$A$50000,A4288,全馬データ!$B$2:$B$50000,B4288,全馬データ!$C$2:$C$50000,C4288,全馬データ!$D$2:$D$50000,E4288,全馬データ!$K$2:$K$50000,"&lt;&gt;")=0,"",SUMIFS(全馬データ!$K$2:$K$50000,全馬データ!$A$2:$A$50000,A4288,全馬データ!$B$2:$B$50000,B4288,全馬データ!$C$2:$C$50000,C4288,全馬データ!$D$2:$D$50000,E4288)))</f>
        <v/>
      </c>
      <c r="AP4288" s="8" t="str">
        <f aca="false">IF(A4288="","",IF(AO4288="","欠損",IF(AO4288&lt;=1.1,"1.0～1.1",IF(AO4288&lt;1.3,"1.2",IF(AO4288&lt;1.5,"1.3～1.4",IF(AO4288&lt;2,"1.5～1.9","2.0以上"))))))</f>
        <v/>
      </c>
      <c r="AQ4288" s="8" t="str">
        <f aca="false">IF(A4288="","",IF(ISNUMBER(SEARCH("2歳",Z4288)),"2歳戦",IF(ISNUMBER(SEARCH("3歳未勝利",Z4288)),"3歳未勝利",IF(ISNUMBER(SEARCH("未勝利",Z4288)),"その他未勝利",IF(ISNUMBER(SEARCH("G1",Z4288)),"G1",IF(ISNUMBER(SEARCH("G2",Z4288)),"G2",IF(ISNUMBER(SEARCH("G3",Z4288)),"G3",IF(ISNUMBER(SEARCH("古馬条件",Z4288)),"古馬条件戦",IF(ISNUMBER(SEARCH("重賞",Z4288)),"重賞","分類不能")))))))))</f>
        <v/>
      </c>
    </row>
    <row r="4289" customFormat="false" ht="15.75" hidden="false" customHeight="false" outlineLevel="0" collapsed="false">
      <c r="AO4289" s="8" t="str">
        <f aca="false">IF(A4289="","",IF(COUNTIFS(全馬データ!$A$2:$A$50000,A4289,全馬データ!$B$2:$B$50000,B4289,全馬データ!$C$2:$C$50000,C4289,全馬データ!$D$2:$D$50000,E4289,全馬データ!$K$2:$K$50000,"&lt;&gt;")=0,"",SUMIFS(全馬データ!$K$2:$K$50000,全馬データ!$A$2:$A$50000,A4289,全馬データ!$B$2:$B$50000,B4289,全馬データ!$C$2:$C$50000,C4289,全馬データ!$D$2:$D$50000,E4289)))</f>
        <v/>
      </c>
      <c r="AP4289" s="8" t="str">
        <f aca="false">IF(A4289="","",IF(AO4289="","欠損",IF(AO4289&lt;=1.1,"1.0～1.1",IF(AO4289&lt;1.3,"1.2",IF(AO4289&lt;1.5,"1.3～1.4",IF(AO4289&lt;2,"1.5～1.9","2.0以上"))))))</f>
        <v/>
      </c>
      <c r="AQ4289" s="8" t="str">
        <f aca="false">IF(A4289="","",IF(ISNUMBER(SEARCH("2歳",Z4289)),"2歳戦",IF(ISNUMBER(SEARCH("3歳未勝利",Z4289)),"3歳未勝利",IF(ISNUMBER(SEARCH("未勝利",Z4289)),"その他未勝利",IF(ISNUMBER(SEARCH("G1",Z4289)),"G1",IF(ISNUMBER(SEARCH("G2",Z4289)),"G2",IF(ISNUMBER(SEARCH("G3",Z4289)),"G3",IF(ISNUMBER(SEARCH("古馬条件",Z4289)),"古馬条件戦",IF(ISNUMBER(SEARCH("重賞",Z4289)),"重賞","分類不能")))))))))</f>
        <v/>
      </c>
    </row>
    <row r="4290" customFormat="false" ht="15.75" hidden="false" customHeight="false" outlineLevel="0" collapsed="false">
      <c r="AO4290" s="8" t="str">
        <f aca="false">IF(A4290="","",IF(COUNTIFS(全馬データ!$A$2:$A$50000,A4290,全馬データ!$B$2:$B$50000,B4290,全馬データ!$C$2:$C$50000,C4290,全馬データ!$D$2:$D$50000,E4290,全馬データ!$K$2:$K$50000,"&lt;&gt;")=0,"",SUMIFS(全馬データ!$K$2:$K$50000,全馬データ!$A$2:$A$50000,A4290,全馬データ!$B$2:$B$50000,B4290,全馬データ!$C$2:$C$50000,C4290,全馬データ!$D$2:$D$50000,E4290)))</f>
        <v/>
      </c>
      <c r="AP4290" s="8" t="str">
        <f aca="false">IF(A4290="","",IF(AO4290="","欠損",IF(AO4290&lt;=1.1,"1.0～1.1",IF(AO4290&lt;1.3,"1.2",IF(AO4290&lt;1.5,"1.3～1.4",IF(AO4290&lt;2,"1.5～1.9","2.0以上"))))))</f>
        <v/>
      </c>
      <c r="AQ4290" s="8" t="str">
        <f aca="false">IF(A4290="","",IF(ISNUMBER(SEARCH("2歳",Z4290)),"2歳戦",IF(ISNUMBER(SEARCH("3歳未勝利",Z4290)),"3歳未勝利",IF(ISNUMBER(SEARCH("未勝利",Z4290)),"その他未勝利",IF(ISNUMBER(SEARCH("G1",Z4290)),"G1",IF(ISNUMBER(SEARCH("G2",Z4290)),"G2",IF(ISNUMBER(SEARCH("G3",Z4290)),"G3",IF(ISNUMBER(SEARCH("古馬条件",Z4290)),"古馬条件戦",IF(ISNUMBER(SEARCH("重賞",Z4290)),"重賞","分類不能")))))))))</f>
        <v/>
      </c>
    </row>
    <row r="4291" customFormat="false" ht="15.75" hidden="false" customHeight="false" outlineLevel="0" collapsed="false">
      <c r="AO4291" s="8" t="str">
        <f aca="false">IF(A4291="","",IF(COUNTIFS(全馬データ!$A$2:$A$50000,A4291,全馬データ!$B$2:$B$50000,B4291,全馬データ!$C$2:$C$50000,C4291,全馬データ!$D$2:$D$50000,E4291,全馬データ!$K$2:$K$50000,"&lt;&gt;")=0,"",SUMIFS(全馬データ!$K$2:$K$50000,全馬データ!$A$2:$A$50000,A4291,全馬データ!$B$2:$B$50000,B4291,全馬データ!$C$2:$C$50000,C4291,全馬データ!$D$2:$D$50000,E4291)))</f>
        <v/>
      </c>
      <c r="AP4291" s="8" t="str">
        <f aca="false">IF(A4291="","",IF(AO4291="","欠損",IF(AO4291&lt;=1.1,"1.0～1.1",IF(AO4291&lt;1.3,"1.2",IF(AO4291&lt;1.5,"1.3～1.4",IF(AO4291&lt;2,"1.5～1.9","2.0以上"))))))</f>
        <v/>
      </c>
      <c r="AQ4291" s="8" t="str">
        <f aca="false">IF(A4291="","",IF(ISNUMBER(SEARCH("2歳",Z4291)),"2歳戦",IF(ISNUMBER(SEARCH("3歳未勝利",Z4291)),"3歳未勝利",IF(ISNUMBER(SEARCH("未勝利",Z4291)),"その他未勝利",IF(ISNUMBER(SEARCH("G1",Z4291)),"G1",IF(ISNUMBER(SEARCH("G2",Z4291)),"G2",IF(ISNUMBER(SEARCH("G3",Z4291)),"G3",IF(ISNUMBER(SEARCH("古馬条件",Z4291)),"古馬条件戦",IF(ISNUMBER(SEARCH("重賞",Z4291)),"重賞","分類不能")))))))))</f>
        <v/>
      </c>
    </row>
    <row r="4292" customFormat="false" ht="15.75" hidden="false" customHeight="false" outlineLevel="0" collapsed="false">
      <c r="AO4292" s="8" t="str">
        <f aca="false">IF(A4292="","",IF(COUNTIFS(全馬データ!$A$2:$A$50000,A4292,全馬データ!$B$2:$B$50000,B4292,全馬データ!$C$2:$C$50000,C4292,全馬データ!$D$2:$D$50000,E4292,全馬データ!$K$2:$K$50000,"&lt;&gt;")=0,"",SUMIFS(全馬データ!$K$2:$K$50000,全馬データ!$A$2:$A$50000,A4292,全馬データ!$B$2:$B$50000,B4292,全馬データ!$C$2:$C$50000,C4292,全馬データ!$D$2:$D$50000,E4292)))</f>
        <v/>
      </c>
      <c r="AP4292" s="8" t="str">
        <f aca="false">IF(A4292="","",IF(AO4292="","欠損",IF(AO4292&lt;=1.1,"1.0～1.1",IF(AO4292&lt;1.3,"1.2",IF(AO4292&lt;1.5,"1.3～1.4",IF(AO4292&lt;2,"1.5～1.9","2.0以上"))))))</f>
        <v/>
      </c>
      <c r="AQ4292" s="8" t="str">
        <f aca="false">IF(A4292="","",IF(ISNUMBER(SEARCH("2歳",Z4292)),"2歳戦",IF(ISNUMBER(SEARCH("3歳未勝利",Z4292)),"3歳未勝利",IF(ISNUMBER(SEARCH("未勝利",Z4292)),"その他未勝利",IF(ISNUMBER(SEARCH("G1",Z4292)),"G1",IF(ISNUMBER(SEARCH("G2",Z4292)),"G2",IF(ISNUMBER(SEARCH("G3",Z4292)),"G3",IF(ISNUMBER(SEARCH("古馬条件",Z4292)),"古馬条件戦",IF(ISNUMBER(SEARCH("重賞",Z4292)),"重賞","分類不能")))))))))</f>
        <v/>
      </c>
    </row>
    <row r="4293" customFormat="false" ht="15.75" hidden="false" customHeight="false" outlineLevel="0" collapsed="false">
      <c r="AO4293" s="8" t="str">
        <f aca="false">IF(A4293="","",IF(COUNTIFS(全馬データ!$A$2:$A$50000,A4293,全馬データ!$B$2:$B$50000,B4293,全馬データ!$C$2:$C$50000,C4293,全馬データ!$D$2:$D$50000,E4293,全馬データ!$K$2:$K$50000,"&lt;&gt;")=0,"",SUMIFS(全馬データ!$K$2:$K$50000,全馬データ!$A$2:$A$50000,A4293,全馬データ!$B$2:$B$50000,B4293,全馬データ!$C$2:$C$50000,C4293,全馬データ!$D$2:$D$50000,E4293)))</f>
        <v/>
      </c>
      <c r="AP4293" s="8" t="str">
        <f aca="false">IF(A4293="","",IF(AO4293="","欠損",IF(AO4293&lt;=1.1,"1.0～1.1",IF(AO4293&lt;1.3,"1.2",IF(AO4293&lt;1.5,"1.3～1.4",IF(AO4293&lt;2,"1.5～1.9","2.0以上"))))))</f>
        <v/>
      </c>
      <c r="AQ4293" s="8" t="str">
        <f aca="false">IF(A4293="","",IF(ISNUMBER(SEARCH("2歳",Z4293)),"2歳戦",IF(ISNUMBER(SEARCH("3歳未勝利",Z4293)),"3歳未勝利",IF(ISNUMBER(SEARCH("未勝利",Z4293)),"その他未勝利",IF(ISNUMBER(SEARCH("G1",Z4293)),"G1",IF(ISNUMBER(SEARCH("G2",Z4293)),"G2",IF(ISNUMBER(SEARCH("G3",Z4293)),"G3",IF(ISNUMBER(SEARCH("古馬条件",Z4293)),"古馬条件戦",IF(ISNUMBER(SEARCH("重賞",Z4293)),"重賞","分類不能")))))))))</f>
        <v/>
      </c>
    </row>
    <row r="4294" customFormat="false" ht="15.75" hidden="false" customHeight="false" outlineLevel="0" collapsed="false">
      <c r="AO4294" s="8" t="str">
        <f aca="false">IF(A4294="","",IF(COUNTIFS(全馬データ!$A$2:$A$50000,A4294,全馬データ!$B$2:$B$50000,B4294,全馬データ!$C$2:$C$50000,C4294,全馬データ!$D$2:$D$50000,E4294,全馬データ!$K$2:$K$50000,"&lt;&gt;")=0,"",SUMIFS(全馬データ!$K$2:$K$50000,全馬データ!$A$2:$A$50000,A4294,全馬データ!$B$2:$B$50000,B4294,全馬データ!$C$2:$C$50000,C4294,全馬データ!$D$2:$D$50000,E4294)))</f>
        <v/>
      </c>
      <c r="AP4294" s="8" t="str">
        <f aca="false">IF(A4294="","",IF(AO4294="","欠損",IF(AO4294&lt;=1.1,"1.0～1.1",IF(AO4294&lt;1.3,"1.2",IF(AO4294&lt;1.5,"1.3～1.4",IF(AO4294&lt;2,"1.5～1.9","2.0以上"))))))</f>
        <v/>
      </c>
      <c r="AQ4294" s="8" t="str">
        <f aca="false">IF(A4294="","",IF(ISNUMBER(SEARCH("2歳",Z4294)),"2歳戦",IF(ISNUMBER(SEARCH("3歳未勝利",Z4294)),"3歳未勝利",IF(ISNUMBER(SEARCH("未勝利",Z4294)),"その他未勝利",IF(ISNUMBER(SEARCH("G1",Z4294)),"G1",IF(ISNUMBER(SEARCH("G2",Z4294)),"G2",IF(ISNUMBER(SEARCH("G3",Z4294)),"G3",IF(ISNUMBER(SEARCH("古馬条件",Z4294)),"古馬条件戦",IF(ISNUMBER(SEARCH("重賞",Z4294)),"重賞","分類不能")))))))))</f>
        <v/>
      </c>
    </row>
    <row r="4295" customFormat="false" ht="15.75" hidden="false" customHeight="false" outlineLevel="0" collapsed="false">
      <c r="AO4295" s="8" t="str">
        <f aca="false">IF(A4295="","",IF(COUNTIFS(全馬データ!$A$2:$A$50000,A4295,全馬データ!$B$2:$B$50000,B4295,全馬データ!$C$2:$C$50000,C4295,全馬データ!$D$2:$D$50000,E4295,全馬データ!$K$2:$K$50000,"&lt;&gt;")=0,"",SUMIFS(全馬データ!$K$2:$K$50000,全馬データ!$A$2:$A$50000,A4295,全馬データ!$B$2:$B$50000,B4295,全馬データ!$C$2:$C$50000,C4295,全馬データ!$D$2:$D$50000,E4295)))</f>
        <v/>
      </c>
      <c r="AP4295" s="8" t="str">
        <f aca="false">IF(A4295="","",IF(AO4295="","欠損",IF(AO4295&lt;=1.1,"1.0～1.1",IF(AO4295&lt;1.3,"1.2",IF(AO4295&lt;1.5,"1.3～1.4",IF(AO4295&lt;2,"1.5～1.9","2.0以上"))))))</f>
        <v/>
      </c>
      <c r="AQ4295" s="8" t="str">
        <f aca="false">IF(A4295="","",IF(ISNUMBER(SEARCH("2歳",Z4295)),"2歳戦",IF(ISNUMBER(SEARCH("3歳未勝利",Z4295)),"3歳未勝利",IF(ISNUMBER(SEARCH("未勝利",Z4295)),"その他未勝利",IF(ISNUMBER(SEARCH("G1",Z4295)),"G1",IF(ISNUMBER(SEARCH("G2",Z4295)),"G2",IF(ISNUMBER(SEARCH("G3",Z4295)),"G3",IF(ISNUMBER(SEARCH("古馬条件",Z4295)),"古馬条件戦",IF(ISNUMBER(SEARCH("重賞",Z4295)),"重賞","分類不能")))))))))</f>
        <v/>
      </c>
    </row>
    <row r="4296" customFormat="false" ht="15.75" hidden="false" customHeight="false" outlineLevel="0" collapsed="false">
      <c r="AO4296" s="8" t="str">
        <f aca="false">IF(A4296="","",IF(COUNTIFS(全馬データ!$A$2:$A$50000,A4296,全馬データ!$B$2:$B$50000,B4296,全馬データ!$C$2:$C$50000,C4296,全馬データ!$D$2:$D$50000,E4296,全馬データ!$K$2:$K$50000,"&lt;&gt;")=0,"",SUMIFS(全馬データ!$K$2:$K$50000,全馬データ!$A$2:$A$50000,A4296,全馬データ!$B$2:$B$50000,B4296,全馬データ!$C$2:$C$50000,C4296,全馬データ!$D$2:$D$50000,E4296)))</f>
        <v/>
      </c>
      <c r="AP4296" s="8" t="str">
        <f aca="false">IF(A4296="","",IF(AO4296="","欠損",IF(AO4296&lt;=1.1,"1.0～1.1",IF(AO4296&lt;1.3,"1.2",IF(AO4296&lt;1.5,"1.3～1.4",IF(AO4296&lt;2,"1.5～1.9","2.0以上"))))))</f>
        <v/>
      </c>
      <c r="AQ4296" s="8" t="str">
        <f aca="false">IF(A4296="","",IF(ISNUMBER(SEARCH("2歳",Z4296)),"2歳戦",IF(ISNUMBER(SEARCH("3歳未勝利",Z4296)),"3歳未勝利",IF(ISNUMBER(SEARCH("未勝利",Z4296)),"その他未勝利",IF(ISNUMBER(SEARCH("G1",Z4296)),"G1",IF(ISNUMBER(SEARCH("G2",Z4296)),"G2",IF(ISNUMBER(SEARCH("G3",Z4296)),"G3",IF(ISNUMBER(SEARCH("古馬条件",Z4296)),"古馬条件戦",IF(ISNUMBER(SEARCH("重賞",Z4296)),"重賞","分類不能")))))))))</f>
        <v/>
      </c>
    </row>
    <row r="4297" customFormat="false" ht="15.75" hidden="false" customHeight="false" outlineLevel="0" collapsed="false">
      <c r="AO4297" s="8" t="str">
        <f aca="false">IF(A4297="","",IF(COUNTIFS(全馬データ!$A$2:$A$50000,A4297,全馬データ!$B$2:$B$50000,B4297,全馬データ!$C$2:$C$50000,C4297,全馬データ!$D$2:$D$50000,E4297,全馬データ!$K$2:$K$50000,"&lt;&gt;")=0,"",SUMIFS(全馬データ!$K$2:$K$50000,全馬データ!$A$2:$A$50000,A4297,全馬データ!$B$2:$B$50000,B4297,全馬データ!$C$2:$C$50000,C4297,全馬データ!$D$2:$D$50000,E4297)))</f>
        <v/>
      </c>
      <c r="AP4297" s="8" t="str">
        <f aca="false">IF(A4297="","",IF(AO4297="","欠損",IF(AO4297&lt;=1.1,"1.0～1.1",IF(AO4297&lt;1.3,"1.2",IF(AO4297&lt;1.5,"1.3～1.4",IF(AO4297&lt;2,"1.5～1.9","2.0以上"))))))</f>
        <v/>
      </c>
      <c r="AQ4297" s="8" t="str">
        <f aca="false">IF(A4297="","",IF(ISNUMBER(SEARCH("2歳",Z4297)),"2歳戦",IF(ISNUMBER(SEARCH("3歳未勝利",Z4297)),"3歳未勝利",IF(ISNUMBER(SEARCH("未勝利",Z4297)),"その他未勝利",IF(ISNUMBER(SEARCH("G1",Z4297)),"G1",IF(ISNUMBER(SEARCH("G2",Z4297)),"G2",IF(ISNUMBER(SEARCH("G3",Z4297)),"G3",IF(ISNUMBER(SEARCH("古馬条件",Z4297)),"古馬条件戦",IF(ISNUMBER(SEARCH("重賞",Z4297)),"重賞","分類不能")))))))))</f>
        <v/>
      </c>
    </row>
    <row r="4298" customFormat="false" ht="15.75" hidden="false" customHeight="false" outlineLevel="0" collapsed="false">
      <c r="AO4298" s="8" t="str">
        <f aca="false">IF(A4298="","",IF(COUNTIFS(全馬データ!$A$2:$A$50000,A4298,全馬データ!$B$2:$B$50000,B4298,全馬データ!$C$2:$C$50000,C4298,全馬データ!$D$2:$D$50000,E4298,全馬データ!$K$2:$K$50000,"&lt;&gt;")=0,"",SUMIFS(全馬データ!$K$2:$K$50000,全馬データ!$A$2:$A$50000,A4298,全馬データ!$B$2:$B$50000,B4298,全馬データ!$C$2:$C$50000,C4298,全馬データ!$D$2:$D$50000,E4298)))</f>
        <v/>
      </c>
      <c r="AP4298" s="8" t="str">
        <f aca="false">IF(A4298="","",IF(AO4298="","欠損",IF(AO4298&lt;=1.1,"1.0～1.1",IF(AO4298&lt;1.3,"1.2",IF(AO4298&lt;1.5,"1.3～1.4",IF(AO4298&lt;2,"1.5～1.9","2.0以上"))))))</f>
        <v/>
      </c>
      <c r="AQ4298" s="8" t="str">
        <f aca="false">IF(A4298="","",IF(ISNUMBER(SEARCH("2歳",Z4298)),"2歳戦",IF(ISNUMBER(SEARCH("3歳未勝利",Z4298)),"3歳未勝利",IF(ISNUMBER(SEARCH("未勝利",Z4298)),"その他未勝利",IF(ISNUMBER(SEARCH("G1",Z4298)),"G1",IF(ISNUMBER(SEARCH("G2",Z4298)),"G2",IF(ISNUMBER(SEARCH("G3",Z4298)),"G3",IF(ISNUMBER(SEARCH("古馬条件",Z4298)),"古馬条件戦",IF(ISNUMBER(SEARCH("重賞",Z4298)),"重賞","分類不能")))))))))</f>
        <v/>
      </c>
    </row>
    <row r="4299" customFormat="false" ht="15.75" hidden="false" customHeight="false" outlineLevel="0" collapsed="false">
      <c r="AO4299" s="8" t="str">
        <f aca="false">IF(A4299="","",IF(COUNTIFS(全馬データ!$A$2:$A$50000,A4299,全馬データ!$B$2:$B$50000,B4299,全馬データ!$C$2:$C$50000,C4299,全馬データ!$D$2:$D$50000,E4299,全馬データ!$K$2:$K$50000,"&lt;&gt;")=0,"",SUMIFS(全馬データ!$K$2:$K$50000,全馬データ!$A$2:$A$50000,A4299,全馬データ!$B$2:$B$50000,B4299,全馬データ!$C$2:$C$50000,C4299,全馬データ!$D$2:$D$50000,E4299)))</f>
        <v/>
      </c>
      <c r="AP4299" s="8" t="str">
        <f aca="false">IF(A4299="","",IF(AO4299="","欠損",IF(AO4299&lt;=1.1,"1.0～1.1",IF(AO4299&lt;1.3,"1.2",IF(AO4299&lt;1.5,"1.3～1.4",IF(AO4299&lt;2,"1.5～1.9","2.0以上"))))))</f>
        <v/>
      </c>
      <c r="AQ4299" s="8" t="str">
        <f aca="false">IF(A4299="","",IF(ISNUMBER(SEARCH("2歳",Z4299)),"2歳戦",IF(ISNUMBER(SEARCH("3歳未勝利",Z4299)),"3歳未勝利",IF(ISNUMBER(SEARCH("未勝利",Z4299)),"その他未勝利",IF(ISNUMBER(SEARCH("G1",Z4299)),"G1",IF(ISNUMBER(SEARCH("G2",Z4299)),"G2",IF(ISNUMBER(SEARCH("G3",Z4299)),"G3",IF(ISNUMBER(SEARCH("古馬条件",Z4299)),"古馬条件戦",IF(ISNUMBER(SEARCH("重賞",Z4299)),"重賞","分類不能")))))))))</f>
        <v/>
      </c>
    </row>
    <row r="4300" customFormat="false" ht="15.75" hidden="false" customHeight="false" outlineLevel="0" collapsed="false">
      <c r="AO4300" s="8" t="str">
        <f aca="false">IF(A4300="","",IF(COUNTIFS(全馬データ!$A$2:$A$50000,A4300,全馬データ!$B$2:$B$50000,B4300,全馬データ!$C$2:$C$50000,C4300,全馬データ!$D$2:$D$50000,E4300,全馬データ!$K$2:$K$50000,"&lt;&gt;")=0,"",SUMIFS(全馬データ!$K$2:$K$50000,全馬データ!$A$2:$A$50000,A4300,全馬データ!$B$2:$B$50000,B4300,全馬データ!$C$2:$C$50000,C4300,全馬データ!$D$2:$D$50000,E4300)))</f>
        <v/>
      </c>
      <c r="AP4300" s="8" t="str">
        <f aca="false">IF(A4300="","",IF(AO4300="","欠損",IF(AO4300&lt;=1.1,"1.0～1.1",IF(AO4300&lt;1.3,"1.2",IF(AO4300&lt;1.5,"1.3～1.4",IF(AO4300&lt;2,"1.5～1.9","2.0以上"))))))</f>
        <v/>
      </c>
      <c r="AQ4300" s="8" t="str">
        <f aca="false">IF(A4300="","",IF(ISNUMBER(SEARCH("2歳",Z4300)),"2歳戦",IF(ISNUMBER(SEARCH("3歳未勝利",Z4300)),"3歳未勝利",IF(ISNUMBER(SEARCH("未勝利",Z4300)),"その他未勝利",IF(ISNUMBER(SEARCH("G1",Z4300)),"G1",IF(ISNUMBER(SEARCH("G2",Z4300)),"G2",IF(ISNUMBER(SEARCH("G3",Z4300)),"G3",IF(ISNUMBER(SEARCH("古馬条件",Z4300)),"古馬条件戦",IF(ISNUMBER(SEARCH("重賞",Z4300)),"重賞","分類不能")))))))))</f>
        <v/>
      </c>
    </row>
    <row r="4301" customFormat="false" ht="15.75" hidden="false" customHeight="false" outlineLevel="0" collapsed="false">
      <c r="AO4301" s="8" t="str">
        <f aca="false">IF(A4301="","",IF(COUNTIFS(全馬データ!$A$2:$A$50000,A4301,全馬データ!$B$2:$B$50000,B4301,全馬データ!$C$2:$C$50000,C4301,全馬データ!$D$2:$D$50000,E4301,全馬データ!$K$2:$K$50000,"&lt;&gt;")=0,"",SUMIFS(全馬データ!$K$2:$K$50000,全馬データ!$A$2:$A$50000,A4301,全馬データ!$B$2:$B$50000,B4301,全馬データ!$C$2:$C$50000,C4301,全馬データ!$D$2:$D$50000,E4301)))</f>
        <v/>
      </c>
      <c r="AP4301" s="8" t="str">
        <f aca="false">IF(A4301="","",IF(AO4301="","欠損",IF(AO4301&lt;=1.1,"1.0～1.1",IF(AO4301&lt;1.3,"1.2",IF(AO4301&lt;1.5,"1.3～1.4",IF(AO4301&lt;2,"1.5～1.9","2.0以上"))))))</f>
        <v/>
      </c>
      <c r="AQ4301" s="8" t="str">
        <f aca="false">IF(A4301="","",IF(ISNUMBER(SEARCH("2歳",Z4301)),"2歳戦",IF(ISNUMBER(SEARCH("3歳未勝利",Z4301)),"3歳未勝利",IF(ISNUMBER(SEARCH("未勝利",Z4301)),"その他未勝利",IF(ISNUMBER(SEARCH("G1",Z4301)),"G1",IF(ISNUMBER(SEARCH("G2",Z4301)),"G2",IF(ISNUMBER(SEARCH("G3",Z4301)),"G3",IF(ISNUMBER(SEARCH("古馬条件",Z4301)),"古馬条件戦",IF(ISNUMBER(SEARCH("重賞",Z4301)),"重賞","分類不能")))))))))</f>
        <v/>
      </c>
    </row>
    <row r="4302" customFormat="false" ht="15.75" hidden="false" customHeight="false" outlineLevel="0" collapsed="false">
      <c r="AO4302" s="8" t="str">
        <f aca="false">IF(A4302="","",IF(COUNTIFS(全馬データ!$A$2:$A$50000,A4302,全馬データ!$B$2:$B$50000,B4302,全馬データ!$C$2:$C$50000,C4302,全馬データ!$D$2:$D$50000,E4302,全馬データ!$K$2:$K$50000,"&lt;&gt;")=0,"",SUMIFS(全馬データ!$K$2:$K$50000,全馬データ!$A$2:$A$50000,A4302,全馬データ!$B$2:$B$50000,B4302,全馬データ!$C$2:$C$50000,C4302,全馬データ!$D$2:$D$50000,E4302)))</f>
        <v/>
      </c>
      <c r="AP4302" s="8" t="str">
        <f aca="false">IF(A4302="","",IF(AO4302="","欠損",IF(AO4302&lt;=1.1,"1.0～1.1",IF(AO4302&lt;1.3,"1.2",IF(AO4302&lt;1.5,"1.3～1.4",IF(AO4302&lt;2,"1.5～1.9","2.0以上"))))))</f>
        <v/>
      </c>
      <c r="AQ4302" s="8" t="str">
        <f aca="false">IF(A4302="","",IF(ISNUMBER(SEARCH("2歳",Z4302)),"2歳戦",IF(ISNUMBER(SEARCH("3歳未勝利",Z4302)),"3歳未勝利",IF(ISNUMBER(SEARCH("未勝利",Z4302)),"その他未勝利",IF(ISNUMBER(SEARCH("G1",Z4302)),"G1",IF(ISNUMBER(SEARCH("G2",Z4302)),"G2",IF(ISNUMBER(SEARCH("G3",Z4302)),"G3",IF(ISNUMBER(SEARCH("古馬条件",Z4302)),"古馬条件戦",IF(ISNUMBER(SEARCH("重賞",Z4302)),"重賞","分類不能")))))))))</f>
        <v/>
      </c>
    </row>
    <row r="4303" customFormat="false" ht="15.75" hidden="false" customHeight="false" outlineLevel="0" collapsed="false">
      <c r="AO4303" s="8" t="str">
        <f aca="false">IF(A4303="","",IF(COUNTIFS(全馬データ!$A$2:$A$50000,A4303,全馬データ!$B$2:$B$50000,B4303,全馬データ!$C$2:$C$50000,C4303,全馬データ!$D$2:$D$50000,E4303,全馬データ!$K$2:$K$50000,"&lt;&gt;")=0,"",SUMIFS(全馬データ!$K$2:$K$50000,全馬データ!$A$2:$A$50000,A4303,全馬データ!$B$2:$B$50000,B4303,全馬データ!$C$2:$C$50000,C4303,全馬データ!$D$2:$D$50000,E4303)))</f>
        <v/>
      </c>
      <c r="AP4303" s="8" t="str">
        <f aca="false">IF(A4303="","",IF(AO4303="","欠損",IF(AO4303&lt;=1.1,"1.0～1.1",IF(AO4303&lt;1.3,"1.2",IF(AO4303&lt;1.5,"1.3～1.4",IF(AO4303&lt;2,"1.5～1.9","2.0以上"))))))</f>
        <v/>
      </c>
      <c r="AQ4303" s="8" t="str">
        <f aca="false">IF(A4303="","",IF(ISNUMBER(SEARCH("2歳",Z4303)),"2歳戦",IF(ISNUMBER(SEARCH("3歳未勝利",Z4303)),"3歳未勝利",IF(ISNUMBER(SEARCH("未勝利",Z4303)),"その他未勝利",IF(ISNUMBER(SEARCH("G1",Z4303)),"G1",IF(ISNUMBER(SEARCH("G2",Z4303)),"G2",IF(ISNUMBER(SEARCH("G3",Z4303)),"G3",IF(ISNUMBER(SEARCH("古馬条件",Z4303)),"古馬条件戦",IF(ISNUMBER(SEARCH("重賞",Z4303)),"重賞","分類不能")))))))))</f>
        <v/>
      </c>
    </row>
    <row r="4304" customFormat="false" ht="15.75" hidden="false" customHeight="false" outlineLevel="0" collapsed="false">
      <c r="AO4304" s="8" t="str">
        <f aca="false">IF(A4304="","",IF(COUNTIFS(全馬データ!$A$2:$A$50000,A4304,全馬データ!$B$2:$B$50000,B4304,全馬データ!$C$2:$C$50000,C4304,全馬データ!$D$2:$D$50000,E4304,全馬データ!$K$2:$K$50000,"&lt;&gt;")=0,"",SUMIFS(全馬データ!$K$2:$K$50000,全馬データ!$A$2:$A$50000,A4304,全馬データ!$B$2:$B$50000,B4304,全馬データ!$C$2:$C$50000,C4304,全馬データ!$D$2:$D$50000,E4304)))</f>
        <v/>
      </c>
      <c r="AP4304" s="8" t="str">
        <f aca="false">IF(A4304="","",IF(AO4304="","欠損",IF(AO4304&lt;=1.1,"1.0～1.1",IF(AO4304&lt;1.3,"1.2",IF(AO4304&lt;1.5,"1.3～1.4",IF(AO4304&lt;2,"1.5～1.9","2.0以上"))))))</f>
        <v/>
      </c>
      <c r="AQ4304" s="8" t="str">
        <f aca="false">IF(A4304="","",IF(ISNUMBER(SEARCH("2歳",Z4304)),"2歳戦",IF(ISNUMBER(SEARCH("3歳未勝利",Z4304)),"3歳未勝利",IF(ISNUMBER(SEARCH("未勝利",Z4304)),"その他未勝利",IF(ISNUMBER(SEARCH("G1",Z4304)),"G1",IF(ISNUMBER(SEARCH("G2",Z4304)),"G2",IF(ISNUMBER(SEARCH("G3",Z4304)),"G3",IF(ISNUMBER(SEARCH("古馬条件",Z4304)),"古馬条件戦",IF(ISNUMBER(SEARCH("重賞",Z4304)),"重賞","分類不能")))))))))</f>
        <v/>
      </c>
    </row>
    <row r="4305" customFormat="false" ht="15.75" hidden="false" customHeight="false" outlineLevel="0" collapsed="false">
      <c r="AO4305" s="8" t="str">
        <f aca="false">IF(A4305="","",IF(COUNTIFS(全馬データ!$A$2:$A$50000,A4305,全馬データ!$B$2:$B$50000,B4305,全馬データ!$C$2:$C$50000,C4305,全馬データ!$D$2:$D$50000,E4305,全馬データ!$K$2:$K$50000,"&lt;&gt;")=0,"",SUMIFS(全馬データ!$K$2:$K$50000,全馬データ!$A$2:$A$50000,A4305,全馬データ!$B$2:$B$50000,B4305,全馬データ!$C$2:$C$50000,C4305,全馬データ!$D$2:$D$50000,E4305)))</f>
        <v/>
      </c>
      <c r="AP4305" s="8" t="str">
        <f aca="false">IF(A4305="","",IF(AO4305="","欠損",IF(AO4305&lt;=1.1,"1.0～1.1",IF(AO4305&lt;1.3,"1.2",IF(AO4305&lt;1.5,"1.3～1.4",IF(AO4305&lt;2,"1.5～1.9","2.0以上"))))))</f>
        <v/>
      </c>
      <c r="AQ4305" s="8" t="str">
        <f aca="false">IF(A4305="","",IF(ISNUMBER(SEARCH("2歳",Z4305)),"2歳戦",IF(ISNUMBER(SEARCH("3歳未勝利",Z4305)),"3歳未勝利",IF(ISNUMBER(SEARCH("未勝利",Z4305)),"その他未勝利",IF(ISNUMBER(SEARCH("G1",Z4305)),"G1",IF(ISNUMBER(SEARCH("G2",Z4305)),"G2",IF(ISNUMBER(SEARCH("G3",Z4305)),"G3",IF(ISNUMBER(SEARCH("古馬条件",Z4305)),"古馬条件戦",IF(ISNUMBER(SEARCH("重賞",Z4305)),"重賞","分類不能")))))))))</f>
        <v/>
      </c>
    </row>
    <row r="4306" customFormat="false" ht="15.75" hidden="false" customHeight="false" outlineLevel="0" collapsed="false">
      <c r="AO4306" s="8" t="str">
        <f aca="false">IF(A4306="","",IF(COUNTIFS(全馬データ!$A$2:$A$50000,A4306,全馬データ!$B$2:$B$50000,B4306,全馬データ!$C$2:$C$50000,C4306,全馬データ!$D$2:$D$50000,E4306,全馬データ!$K$2:$K$50000,"&lt;&gt;")=0,"",SUMIFS(全馬データ!$K$2:$K$50000,全馬データ!$A$2:$A$50000,A4306,全馬データ!$B$2:$B$50000,B4306,全馬データ!$C$2:$C$50000,C4306,全馬データ!$D$2:$D$50000,E4306)))</f>
        <v/>
      </c>
      <c r="AP4306" s="8" t="str">
        <f aca="false">IF(A4306="","",IF(AO4306="","欠損",IF(AO4306&lt;=1.1,"1.0～1.1",IF(AO4306&lt;1.3,"1.2",IF(AO4306&lt;1.5,"1.3～1.4",IF(AO4306&lt;2,"1.5～1.9","2.0以上"))))))</f>
        <v/>
      </c>
      <c r="AQ4306" s="8" t="str">
        <f aca="false">IF(A4306="","",IF(ISNUMBER(SEARCH("2歳",Z4306)),"2歳戦",IF(ISNUMBER(SEARCH("3歳未勝利",Z4306)),"3歳未勝利",IF(ISNUMBER(SEARCH("未勝利",Z4306)),"その他未勝利",IF(ISNUMBER(SEARCH("G1",Z4306)),"G1",IF(ISNUMBER(SEARCH("G2",Z4306)),"G2",IF(ISNUMBER(SEARCH("G3",Z4306)),"G3",IF(ISNUMBER(SEARCH("古馬条件",Z4306)),"古馬条件戦",IF(ISNUMBER(SEARCH("重賞",Z4306)),"重賞","分類不能")))))))))</f>
        <v/>
      </c>
    </row>
    <row r="4307" customFormat="false" ht="15.75" hidden="false" customHeight="false" outlineLevel="0" collapsed="false">
      <c r="AO4307" s="8" t="str">
        <f aca="false">IF(A4307="","",IF(COUNTIFS(全馬データ!$A$2:$A$50000,A4307,全馬データ!$B$2:$B$50000,B4307,全馬データ!$C$2:$C$50000,C4307,全馬データ!$D$2:$D$50000,E4307,全馬データ!$K$2:$K$50000,"&lt;&gt;")=0,"",SUMIFS(全馬データ!$K$2:$K$50000,全馬データ!$A$2:$A$50000,A4307,全馬データ!$B$2:$B$50000,B4307,全馬データ!$C$2:$C$50000,C4307,全馬データ!$D$2:$D$50000,E4307)))</f>
        <v/>
      </c>
      <c r="AP4307" s="8" t="str">
        <f aca="false">IF(A4307="","",IF(AO4307="","欠損",IF(AO4307&lt;=1.1,"1.0～1.1",IF(AO4307&lt;1.3,"1.2",IF(AO4307&lt;1.5,"1.3～1.4",IF(AO4307&lt;2,"1.5～1.9","2.0以上"))))))</f>
        <v/>
      </c>
      <c r="AQ4307" s="8" t="str">
        <f aca="false">IF(A4307="","",IF(ISNUMBER(SEARCH("2歳",Z4307)),"2歳戦",IF(ISNUMBER(SEARCH("3歳未勝利",Z4307)),"3歳未勝利",IF(ISNUMBER(SEARCH("未勝利",Z4307)),"その他未勝利",IF(ISNUMBER(SEARCH("G1",Z4307)),"G1",IF(ISNUMBER(SEARCH("G2",Z4307)),"G2",IF(ISNUMBER(SEARCH("G3",Z4307)),"G3",IF(ISNUMBER(SEARCH("古馬条件",Z4307)),"古馬条件戦",IF(ISNUMBER(SEARCH("重賞",Z4307)),"重賞","分類不能")))))))))</f>
        <v/>
      </c>
    </row>
    <row r="4308" customFormat="false" ht="15.75" hidden="false" customHeight="false" outlineLevel="0" collapsed="false">
      <c r="AO4308" s="8" t="str">
        <f aca="false">IF(A4308="","",IF(COUNTIFS(全馬データ!$A$2:$A$50000,A4308,全馬データ!$B$2:$B$50000,B4308,全馬データ!$C$2:$C$50000,C4308,全馬データ!$D$2:$D$50000,E4308,全馬データ!$K$2:$K$50000,"&lt;&gt;")=0,"",SUMIFS(全馬データ!$K$2:$K$50000,全馬データ!$A$2:$A$50000,A4308,全馬データ!$B$2:$B$50000,B4308,全馬データ!$C$2:$C$50000,C4308,全馬データ!$D$2:$D$50000,E4308)))</f>
        <v/>
      </c>
      <c r="AP4308" s="8" t="str">
        <f aca="false">IF(A4308="","",IF(AO4308="","欠損",IF(AO4308&lt;=1.1,"1.0～1.1",IF(AO4308&lt;1.3,"1.2",IF(AO4308&lt;1.5,"1.3～1.4",IF(AO4308&lt;2,"1.5～1.9","2.0以上"))))))</f>
        <v/>
      </c>
      <c r="AQ4308" s="8" t="str">
        <f aca="false">IF(A4308="","",IF(ISNUMBER(SEARCH("2歳",Z4308)),"2歳戦",IF(ISNUMBER(SEARCH("3歳未勝利",Z4308)),"3歳未勝利",IF(ISNUMBER(SEARCH("未勝利",Z4308)),"その他未勝利",IF(ISNUMBER(SEARCH("G1",Z4308)),"G1",IF(ISNUMBER(SEARCH("G2",Z4308)),"G2",IF(ISNUMBER(SEARCH("G3",Z4308)),"G3",IF(ISNUMBER(SEARCH("古馬条件",Z4308)),"古馬条件戦",IF(ISNUMBER(SEARCH("重賞",Z4308)),"重賞","分類不能")))))))))</f>
        <v/>
      </c>
    </row>
    <row r="4309" customFormat="false" ht="15.75" hidden="false" customHeight="false" outlineLevel="0" collapsed="false">
      <c r="AO4309" s="8" t="str">
        <f aca="false">IF(A4309="","",IF(COUNTIFS(全馬データ!$A$2:$A$50000,A4309,全馬データ!$B$2:$B$50000,B4309,全馬データ!$C$2:$C$50000,C4309,全馬データ!$D$2:$D$50000,E4309,全馬データ!$K$2:$K$50000,"&lt;&gt;")=0,"",SUMIFS(全馬データ!$K$2:$K$50000,全馬データ!$A$2:$A$50000,A4309,全馬データ!$B$2:$B$50000,B4309,全馬データ!$C$2:$C$50000,C4309,全馬データ!$D$2:$D$50000,E4309)))</f>
        <v/>
      </c>
      <c r="AP4309" s="8" t="str">
        <f aca="false">IF(A4309="","",IF(AO4309="","欠損",IF(AO4309&lt;=1.1,"1.0～1.1",IF(AO4309&lt;1.3,"1.2",IF(AO4309&lt;1.5,"1.3～1.4",IF(AO4309&lt;2,"1.5～1.9","2.0以上"))))))</f>
        <v/>
      </c>
      <c r="AQ4309" s="8" t="str">
        <f aca="false">IF(A4309="","",IF(ISNUMBER(SEARCH("2歳",Z4309)),"2歳戦",IF(ISNUMBER(SEARCH("3歳未勝利",Z4309)),"3歳未勝利",IF(ISNUMBER(SEARCH("未勝利",Z4309)),"その他未勝利",IF(ISNUMBER(SEARCH("G1",Z4309)),"G1",IF(ISNUMBER(SEARCH("G2",Z4309)),"G2",IF(ISNUMBER(SEARCH("G3",Z4309)),"G3",IF(ISNUMBER(SEARCH("古馬条件",Z4309)),"古馬条件戦",IF(ISNUMBER(SEARCH("重賞",Z4309)),"重賞","分類不能")))))))))</f>
        <v/>
      </c>
    </row>
    <row r="4310" customFormat="false" ht="15.75" hidden="false" customHeight="false" outlineLevel="0" collapsed="false">
      <c r="AO4310" s="8" t="str">
        <f aca="false">IF(A4310="","",IF(COUNTIFS(全馬データ!$A$2:$A$50000,A4310,全馬データ!$B$2:$B$50000,B4310,全馬データ!$C$2:$C$50000,C4310,全馬データ!$D$2:$D$50000,E4310,全馬データ!$K$2:$K$50000,"&lt;&gt;")=0,"",SUMIFS(全馬データ!$K$2:$K$50000,全馬データ!$A$2:$A$50000,A4310,全馬データ!$B$2:$B$50000,B4310,全馬データ!$C$2:$C$50000,C4310,全馬データ!$D$2:$D$50000,E4310)))</f>
        <v/>
      </c>
      <c r="AP4310" s="8" t="str">
        <f aca="false">IF(A4310="","",IF(AO4310="","欠損",IF(AO4310&lt;=1.1,"1.0～1.1",IF(AO4310&lt;1.3,"1.2",IF(AO4310&lt;1.5,"1.3～1.4",IF(AO4310&lt;2,"1.5～1.9","2.0以上"))))))</f>
        <v/>
      </c>
      <c r="AQ4310" s="8" t="str">
        <f aca="false">IF(A4310="","",IF(ISNUMBER(SEARCH("2歳",Z4310)),"2歳戦",IF(ISNUMBER(SEARCH("3歳未勝利",Z4310)),"3歳未勝利",IF(ISNUMBER(SEARCH("未勝利",Z4310)),"その他未勝利",IF(ISNUMBER(SEARCH("G1",Z4310)),"G1",IF(ISNUMBER(SEARCH("G2",Z4310)),"G2",IF(ISNUMBER(SEARCH("G3",Z4310)),"G3",IF(ISNUMBER(SEARCH("古馬条件",Z4310)),"古馬条件戦",IF(ISNUMBER(SEARCH("重賞",Z4310)),"重賞","分類不能")))))))))</f>
        <v/>
      </c>
    </row>
    <row r="4311" customFormat="false" ht="15.75" hidden="false" customHeight="false" outlineLevel="0" collapsed="false">
      <c r="AO4311" s="8" t="str">
        <f aca="false">IF(A4311="","",IF(COUNTIFS(全馬データ!$A$2:$A$50000,A4311,全馬データ!$B$2:$B$50000,B4311,全馬データ!$C$2:$C$50000,C4311,全馬データ!$D$2:$D$50000,E4311,全馬データ!$K$2:$K$50000,"&lt;&gt;")=0,"",SUMIFS(全馬データ!$K$2:$K$50000,全馬データ!$A$2:$A$50000,A4311,全馬データ!$B$2:$B$50000,B4311,全馬データ!$C$2:$C$50000,C4311,全馬データ!$D$2:$D$50000,E4311)))</f>
        <v/>
      </c>
      <c r="AP4311" s="8" t="str">
        <f aca="false">IF(A4311="","",IF(AO4311="","欠損",IF(AO4311&lt;=1.1,"1.0～1.1",IF(AO4311&lt;1.3,"1.2",IF(AO4311&lt;1.5,"1.3～1.4",IF(AO4311&lt;2,"1.5～1.9","2.0以上"))))))</f>
        <v/>
      </c>
      <c r="AQ4311" s="8" t="str">
        <f aca="false">IF(A4311="","",IF(ISNUMBER(SEARCH("2歳",Z4311)),"2歳戦",IF(ISNUMBER(SEARCH("3歳未勝利",Z4311)),"3歳未勝利",IF(ISNUMBER(SEARCH("未勝利",Z4311)),"その他未勝利",IF(ISNUMBER(SEARCH("G1",Z4311)),"G1",IF(ISNUMBER(SEARCH("G2",Z4311)),"G2",IF(ISNUMBER(SEARCH("G3",Z4311)),"G3",IF(ISNUMBER(SEARCH("古馬条件",Z4311)),"古馬条件戦",IF(ISNUMBER(SEARCH("重賞",Z4311)),"重賞","分類不能")))))))))</f>
        <v/>
      </c>
    </row>
    <row r="4312" customFormat="false" ht="15.75" hidden="false" customHeight="false" outlineLevel="0" collapsed="false">
      <c r="AO4312" s="8" t="str">
        <f aca="false">IF(A4312="","",IF(COUNTIFS(全馬データ!$A$2:$A$50000,A4312,全馬データ!$B$2:$B$50000,B4312,全馬データ!$C$2:$C$50000,C4312,全馬データ!$D$2:$D$50000,E4312,全馬データ!$K$2:$K$50000,"&lt;&gt;")=0,"",SUMIFS(全馬データ!$K$2:$K$50000,全馬データ!$A$2:$A$50000,A4312,全馬データ!$B$2:$B$50000,B4312,全馬データ!$C$2:$C$50000,C4312,全馬データ!$D$2:$D$50000,E4312)))</f>
        <v/>
      </c>
      <c r="AP4312" s="8" t="str">
        <f aca="false">IF(A4312="","",IF(AO4312="","欠損",IF(AO4312&lt;=1.1,"1.0～1.1",IF(AO4312&lt;1.3,"1.2",IF(AO4312&lt;1.5,"1.3～1.4",IF(AO4312&lt;2,"1.5～1.9","2.0以上"))))))</f>
        <v/>
      </c>
      <c r="AQ4312" s="8" t="str">
        <f aca="false">IF(A4312="","",IF(ISNUMBER(SEARCH("2歳",Z4312)),"2歳戦",IF(ISNUMBER(SEARCH("3歳未勝利",Z4312)),"3歳未勝利",IF(ISNUMBER(SEARCH("未勝利",Z4312)),"その他未勝利",IF(ISNUMBER(SEARCH("G1",Z4312)),"G1",IF(ISNUMBER(SEARCH("G2",Z4312)),"G2",IF(ISNUMBER(SEARCH("G3",Z4312)),"G3",IF(ISNUMBER(SEARCH("古馬条件",Z4312)),"古馬条件戦",IF(ISNUMBER(SEARCH("重賞",Z4312)),"重賞","分類不能")))))))))</f>
        <v/>
      </c>
    </row>
    <row r="4313" customFormat="false" ht="15.75" hidden="false" customHeight="false" outlineLevel="0" collapsed="false">
      <c r="AO4313" s="8" t="str">
        <f aca="false">IF(A4313="","",IF(COUNTIFS(全馬データ!$A$2:$A$50000,A4313,全馬データ!$B$2:$B$50000,B4313,全馬データ!$C$2:$C$50000,C4313,全馬データ!$D$2:$D$50000,E4313,全馬データ!$K$2:$K$50000,"&lt;&gt;")=0,"",SUMIFS(全馬データ!$K$2:$K$50000,全馬データ!$A$2:$A$50000,A4313,全馬データ!$B$2:$B$50000,B4313,全馬データ!$C$2:$C$50000,C4313,全馬データ!$D$2:$D$50000,E4313)))</f>
        <v/>
      </c>
      <c r="AP4313" s="8" t="str">
        <f aca="false">IF(A4313="","",IF(AO4313="","欠損",IF(AO4313&lt;=1.1,"1.0～1.1",IF(AO4313&lt;1.3,"1.2",IF(AO4313&lt;1.5,"1.3～1.4",IF(AO4313&lt;2,"1.5～1.9","2.0以上"))))))</f>
        <v/>
      </c>
      <c r="AQ4313" s="8" t="str">
        <f aca="false">IF(A4313="","",IF(ISNUMBER(SEARCH("2歳",Z4313)),"2歳戦",IF(ISNUMBER(SEARCH("3歳未勝利",Z4313)),"3歳未勝利",IF(ISNUMBER(SEARCH("未勝利",Z4313)),"その他未勝利",IF(ISNUMBER(SEARCH("G1",Z4313)),"G1",IF(ISNUMBER(SEARCH("G2",Z4313)),"G2",IF(ISNUMBER(SEARCH("G3",Z4313)),"G3",IF(ISNUMBER(SEARCH("古馬条件",Z4313)),"古馬条件戦",IF(ISNUMBER(SEARCH("重賞",Z4313)),"重賞","分類不能")))))))))</f>
        <v/>
      </c>
    </row>
    <row r="4314" customFormat="false" ht="15.75" hidden="false" customHeight="false" outlineLevel="0" collapsed="false">
      <c r="AO4314" s="8" t="str">
        <f aca="false">IF(A4314="","",IF(COUNTIFS(全馬データ!$A$2:$A$50000,A4314,全馬データ!$B$2:$B$50000,B4314,全馬データ!$C$2:$C$50000,C4314,全馬データ!$D$2:$D$50000,E4314,全馬データ!$K$2:$K$50000,"&lt;&gt;")=0,"",SUMIFS(全馬データ!$K$2:$K$50000,全馬データ!$A$2:$A$50000,A4314,全馬データ!$B$2:$B$50000,B4314,全馬データ!$C$2:$C$50000,C4314,全馬データ!$D$2:$D$50000,E4314)))</f>
        <v/>
      </c>
      <c r="AP4314" s="8" t="str">
        <f aca="false">IF(A4314="","",IF(AO4314="","欠損",IF(AO4314&lt;=1.1,"1.0～1.1",IF(AO4314&lt;1.3,"1.2",IF(AO4314&lt;1.5,"1.3～1.4",IF(AO4314&lt;2,"1.5～1.9","2.0以上"))))))</f>
        <v/>
      </c>
      <c r="AQ4314" s="8" t="str">
        <f aca="false">IF(A4314="","",IF(ISNUMBER(SEARCH("2歳",Z4314)),"2歳戦",IF(ISNUMBER(SEARCH("3歳未勝利",Z4314)),"3歳未勝利",IF(ISNUMBER(SEARCH("未勝利",Z4314)),"その他未勝利",IF(ISNUMBER(SEARCH("G1",Z4314)),"G1",IF(ISNUMBER(SEARCH("G2",Z4314)),"G2",IF(ISNUMBER(SEARCH("G3",Z4314)),"G3",IF(ISNUMBER(SEARCH("古馬条件",Z4314)),"古馬条件戦",IF(ISNUMBER(SEARCH("重賞",Z4314)),"重賞","分類不能")))))))))</f>
        <v/>
      </c>
    </row>
    <row r="4315" customFormat="false" ht="15.75" hidden="false" customHeight="false" outlineLevel="0" collapsed="false">
      <c r="AO4315" s="8" t="str">
        <f aca="false">IF(A4315="","",IF(COUNTIFS(全馬データ!$A$2:$A$50000,A4315,全馬データ!$B$2:$B$50000,B4315,全馬データ!$C$2:$C$50000,C4315,全馬データ!$D$2:$D$50000,E4315,全馬データ!$K$2:$K$50000,"&lt;&gt;")=0,"",SUMIFS(全馬データ!$K$2:$K$50000,全馬データ!$A$2:$A$50000,A4315,全馬データ!$B$2:$B$50000,B4315,全馬データ!$C$2:$C$50000,C4315,全馬データ!$D$2:$D$50000,E4315)))</f>
        <v/>
      </c>
      <c r="AP4315" s="8" t="str">
        <f aca="false">IF(A4315="","",IF(AO4315="","欠損",IF(AO4315&lt;=1.1,"1.0～1.1",IF(AO4315&lt;1.3,"1.2",IF(AO4315&lt;1.5,"1.3～1.4",IF(AO4315&lt;2,"1.5～1.9","2.0以上"))))))</f>
        <v/>
      </c>
      <c r="AQ4315" s="8" t="str">
        <f aca="false">IF(A4315="","",IF(ISNUMBER(SEARCH("2歳",Z4315)),"2歳戦",IF(ISNUMBER(SEARCH("3歳未勝利",Z4315)),"3歳未勝利",IF(ISNUMBER(SEARCH("未勝利",Z4315)),"その他未勝利",IF(ISNUMBER(SEARCH("G1",Z4315)),"G1",IF(ISNUMBER(SEARCH("G2",Z4315)),"G2",IF(ISNUMBER(SEARCH("G3",Z4315)),"G3",IF(ISNUMBER(SEARCH("古馬条件",Z4315)),"古馬条件戦",IF(ISNUMBER(SEARCH("重賞",Z4315)),"重賞","分類不能")))))))))</f>
        <v/>
      </c>
    </row>
    <row r="4316" customFormat="false" ht="15.75" hidden="false" customHeight="false" outlineLevel="0" collapsed="false">
      <c r="AO4316" s="8" t="str">
        <f aca="false">IF(A4316="","",IF(COUNTIFS(全馬データ!$A$2:$A$50000,A4316,全馬データ!$B$2:$B$50000,B4316,全馬データ!$C$2:$C$50000,C4316,全馬データ!$D$2:$D$50000,E4316,全馬データ!$K$2:$K$50000,"&lt;&gt;")=0,"",SUMIFS(全馬データ!$K$2:$K$50000,全馬データ!$A$2:$A$50000,A4316,全馬データ!$B$2:$B$50000,B4316,全馬データ!$C$2:$C$50000,C4316,全馬データ!$D$2:$D$50000,E4316)))</f>
        <v/>
      </c>
      <c r="AP4316" s="8" t="str">
        <f aca="false">IF(A4316="","",IF(AO4316="","欠損",IF(AO4316&lt;=1.1,"1.0～1.1",IF(AO4316&lt;1.3,"1.2",IF(AO4316&lt;1.5,"1.3～1.4",IF(AO4316&lt;2,"1.5～1.9","2.0以上"))))))</f>
        <v/>
      </c>
      <c r="AQ4316" s="8" t="str">
        <f aca="false">IF(A4316="","",IF(ISNUMBER(SEARCH("2歳",Z4316)),"2歳戦",IF(ISNUMBER(SEARCH("3歳未勝利",Z4316)),"3歳未勝利",IF(ISNUMBER(SEARCH("未勝利",Z4316)),"その他未勝利",IF(ISNUMBER(SEARCH("G1",Z4316)),"G1",IF(ISNUMBER(SEARCH("G2",Z4316)),"G2",IF(ISNUMBER(SEARCH("G3",Z4316)),"G3",IF(ISNUMBER(SEARCH("古馬条件",Z4316)),"古馬条件戦",IF(ISNUMBER(SEARCH("重賞",Z4316)),"重賞","分類不能")))))))))</f>
        <v/>
      </c>
    </row>
    <row r="4317" customFormat="false" ht="15.75" hidden="false" customHeight="false" outlineLevel="0" collapsed="false">
      <c r="AO4317" s="8" t="str">
        <f aca="false">IF(A4317="","",IF(COUNTIFS(全馬データ!$A$2:$A$50000,A4317,全馬データ!$B$2:$B$50000,B4317,全馬データ!$C$2:$C$50000,C4317,全馬データ!$D$2:$D$50000,E4317,全馬データ!$K$2:$K$50000,"&lt;&gt;")=0,"",SUMIFS(全馬データ!$K$2:$K$50000,全馬データ!$A$2:$A$50000,A4317,全馬データ!$B$2:$B$50000,B4317,全馬データ!$C$2:$C$50000,C4317,全馬データ!$D$2:$D$50000,E4317)))</f>
        <v/>
      </c>
      <c r="AP4317" s="8" t="str">
        <f aca="false">IF(A4317="","",IF(AO4317="","欠損",IF(AO4317&lt;=1.1,"1.0～1.1",IF(AO4317&lt;1.3,"1.2",IF(AO4317&lt;1.5,"1.3～1.4",IF(AO4317&lt;2,"1.5～1.9","2.0以上"))))))</f>
        <v/>
      </c>
      <c r="AQ4317" s="8" t="str">
        <f aca="false">IF(A4317="","",IF(ISNUMBER(SEARCH("2歳",Z4317)),"2歳戦",IF(ISNUMBER(SEARCH("3歳未勝利",Z4317)),"3歳未勝利",IF(ISNUMBER(SEARCH("未勝利",Z4317)),"その他未勝利",IF(ISNUMBER(SEARCH("G1",Z4317)),"G1",IF(ISNUMBER(SEARCH("G2",Z4317)),"G2",IF(ISNUMBER(SEARCH("G3",Z4317)),"G3",IF(ISNUMBER(SEARCH("古馬条件",Z4317)),"古馬条件戦",IF(ISNUMBER(SEARCH("重賞",Z4317)),"重賞","分類不能")))))))))</f>
        <v/>
      </c>
    </row>
    <row r="4318" customFormat="false" ht="15.75" hidden="false" customHeight="false" outlineLevel="0" collapsed="false">
      <c r="AO4318" s="8" t="str">
        <f aca="false">IF(A4318="","",IF(COUNTIFS(全馬データ!$A$2:$A$50000,A4318,全馬データ!$B$2:$B$50000,B4318,全馬データ!$C$2:$C$50000,C4318,全馬データ!$D$2:$D$50000,E4318,全馬データ!$K$2:$K$50000,"&lt;&gt;")=0,"",SUMIFS(全馬データ!$K$2:$K$50000,全馬データ!$A$2:$A$50000,A4318,全馬データ!$B$2:$B$50000,B4318,全馬データ!$C$2:$C$50000,C4318,全馬データ!$D$2:$D$50000,E4318)))</f>
        <v/>
      </c>
      <c r="AP4318" s="8" t="str">
        <f aca="false">IF(A4318="","",IF(AO4318="","欠損",IF(AO4318&lt;=1.1,"1.0～1.1",IF(AO4318&lt;1.3,"1.2",IF(AO4318&lt;1.5,"1.3～1.4",IF(AO4318&lt;2,"1.5～1.9","2.0以上"))))))</f>
        <v/>
      </c>
      <c r="AQ4318" s="8" t="str">
        <f aca="false">IF(A4318="","",IF(ISNUMBER(SEARCH("2歳",Z4318)),"2歳戦",IF(ISNUMBER(SEARCH("3歳未勝利",Z4318)),"3歳未勝利",IF(ISNUMBER(SEARCH("未勝利",Z4318)),"その他未勝利",IF(ISNUMBER(SEARCH("G1",Z4318)),"G1",IF(ISNUMBER(SEARCH("G2",Z4318)),"G2",IF(ISNUMBER(SEARCH("G3",Z4318)),"G3",IF(ISNUMBER(SEARCH("古馬条件",Z4318)),"古馬条件戦",IF(ISNUMBER(SEARCH("重賞",Z4318)),"重賞","分類不能")))))))))</f>
        <v/>
      </c>
    </row>
    <row r="4319" customFormat="false" ht="15.75" hidden="false" customHeight="false" outlineLevel="0" collapsed="false">
      <c r="AO4319" s="8" t="str">
        <f aca="false">IF(A4319="","",IF(COUNTIFS(全馬データ!$A$2:$A$50000,A4319,全馬データ!$B$2:$B$50000,B4319,全馬データ!$C$2:$C$50000,C4319,全馬データ!$D$2:$D$50000,E4319,全馬データ!$K$2:$K$50000,"&lt;&gt;")=0,"",SUMIFS(全馬データ!$K$2:$K$50000,全馬データ!$A$2:$A$50000,A4319,全馬データ!$B$2:$B$50000,B4319,全馬データ!$C$2:$C$50000,C4319,全馬データ!$D$2:$D$50000,E4319)))</f>
        <v/>
      </c>
      <c r="AP4319" s="8" t="str">
        <f aca="false">IF(A4319="","",IF(AO4319="","欠損",IF(AO4319&lt;=1.1,"1.0～1.1",IF(AO4319&lt;1.3,"1.2",IF(AO4319&lt;1.5,"1.3～1.4",IF(AO4319&lt;2,"1.5～1.9","2.0以上"))))))</f>
        <v/>
      </c>
      <c r="AQ4319" s="8" t="str">
        <f aca="false">IF(A4319="","",IF(ISNUMBER(SEARCH("2歳",Z4319)),"2歳戦",IF(ISNUMBER(SEARCH("3歳未勝利",Z4319)),"3歳未勝利",IF(ISNUMBER(SEARCH("未勝利",Z4319)),"その他未勝利",IF(ISNUMBER(SEARCH("G1",Z4319)),"G1",IF(ISNUMBER(SEARCH("G2",Z4319)),"G2",IF(ISNUMBER(SEARCH("G3",Z4319)),"G3",IF(ISNUMBER(SEARCH("古馬条件",Z4319)),"古馬条件戦",IF(ISNUMBER(SEARCH("重賞",Z4319)),"重賞","分類不能")))))))))</f>
        <v/>
      </c>
    </row>
    <row r="4320" customFormat="false" ht="15.75" hidden="false" customHeight="false" outlineLevel="0" collapsed="false">
      <c r="AO4320" s="8" t="str">
        <f aca="false">IF(A4320="","",IF(COUNTIFS(全馬データ!$A$2:$A$50000,A4320,全馬データ!$B$2:$B$50000,B4320,全馬データ!$C$2:$C$50000,C4320,全馬データ!$D$2:$D$50000,E4320,全馬データ!$K$2:$K$50000,"&lt;&gt;")=0,"",SUMIFS(全馬データ!$K$2:$K$50000,全馬データ!$A$2:$A$50000,A4320,全馬データ!$B$2:$B$50000,B4320,全馬データ!$C$2:$C$50000,C4320,全馬データ!$D$2:$D$50000,E4320)))</f>
        <v/>
      </c>
      <c r="AP4320" s="8" t="str">
        <f aca="false">IF(A4320="","",IF(AO4320="","欠損",IF(AO4320&lt;=1.1,"1.0～1.1",IF(AO4320&lt;1.3,"1.2",IF(AO4320&lt;1.5,"1.3～1.4",IF(AO4320&lt;2,"1.5～1.9","2.0以上"))))))</f>
        <v/>
      </c>
      <c r="AQ4320" s="8" t="str">
        <f aca="false">IF(A4320="","",IF(ISNUMBER(SEARCH("2歳",Z4320)),"2歳戦",IF(ISNUMBER(SEARCH("3歳未勝利",Z4320)),"3歳未勝利",IF(ISNUMBER(SEARCH("未勝利",Z4320)),"その他未勝利",IF(ISNUMBER(SEARCH("G1",Z4320)),"G1",IF(ISNUMBER(SEARCH("G2",Z4320)),"G2",IF(ISNUMBER(SEARCH("G3",Z4320)),"G3",IF(ISNUMBER(SEARCH("古馬条件",Z4320)),"古馬条件戦",IF(ISNUMBER(SEARCH("重賞",Z4320)),"重賞","分類不能")))))))))</f>
        <v/>
      </c>
    </row>
    <row r="4321" customFormat="false" ht="15.75" hidden="false" customHeight="false" outlineLevel="0" collapsed="false">
      <c r="AO4321" s="8" t="str">
        <f aca="false">IF(A4321="","",IF(COUNTIFS(全馬データ!$A$2:$A$50000,A4321,全馬データ!$B$2:$B$50000,B4321,全馬データ!$C$2:$C$50000,C4321,全馬データ!$D$2:$D$50000,E4321,全馬データ!$K$2:$K$50000,"&lt;&gt;")=0,"",SUMIFS(全馬データ!$K$2:$K$50000,全馬データ!$A$2:$A$50000,A4321,全馬データ!$B$2:$B$50000,B4321,全馬データ!$C$2:$C$50000,C4321,全馬データ!$D$2:$D$50000,E4321)))</f>
        <v/>
      </c>
      <c r="AP4321" s="8" t="str">
        <f aca="false">IF(A4321="","",IF(AO4321="","欠損",IF(AO4321&lt;=1.1,"1.0～1.1",IF(AO4321&lt;1.3,"1.2",IF(AO4321&lt;1.5,"1.3～1.4",IF(AO4321&lt;2,"1.5～1.9","2.0以上"))))))</f>
        <v/>
      </c>
      <c r="AQ4321" s="8" t="str">
        <f aca="false">IF(A4321="","",IF(ISNUMBER(SEARCH("2歳",Z4321)),"2歳戦",IF(ISNUMBER(SEARCH("3歳未勝利",Z4321)),"3歳未勝利",IF(ISNUMBER(SEARCH("未勝利",Z4321)),"その他未勝利",IF(ISNUMBER(SEARCH("G1",Z4321)),"G1",IF(ISNUMBER(SEARCH("G2",Z4321)),"G2",IF(ISNUMBER(SEARCH("G3",Z4321)),"G3",IF(ISNUMBER(SEARCH("古馬条件",Z4321)),"古馬条件戦",IF(ISNUMBER(SEARCH("重賞",Z4321)),"重賞","分類不能")))))))))</f>
        <v/>
      </c>
    </row>
    <row r="4322" customFormat="false" ht="15.75" hidden="false" customHeight="false" outlineLevel="0" collapsed="false">
      <c r="AO4322" s="8" t="str">
        <f aca="false">IF(A4322="","",IF(COUNTIFS(全馬データ!$A$2:$A$50000,A4322,全馬データ!$B$2:$B$50000,B4322,全馬データ!$C$2:$C$50000,C4322,全馬データ!$D$2:$D$50000,E4322,全馬データ!$K$2:$K$50000,"&lt;&gt;")=0,"",SUMIFS(全馬データ!$K$2:$K$50000,全馬データ!$A$2:$A$50000,A4322,全馬データ!$B$2:$B$50000,B4322,全馬データ!$C$2:$C$50000,C4322,全馬データ!$D$2:$D$50000,E4322)))</f>
        <v/>
      </c>
      <c r="AP4322" s="8" t="str">
        <f aca="false">IF(A4322="","",IF(AO4322="","欠損",IF(AO4322&lt;=1.1,"1.0～1.1",IF(AO4322&lt;1.3,"1.2",IF(AO4322&lt;1.5,"1.3～1.4",IF(AO4322&lt;2,"1.5～1.9","2.0以上"))))))</f>
        <v/>
      </c>
      <c r="AQ4322" s="8" t="str">
        <f aca="false">IF(A4322="","",IF(ISNUMBER(SEARCH("2歳",Z4322)),"2歳戦",IF(ISNUMBER(SEARCH("3歳未勝利",Z4322)),"3歳未勝利",IF(ISNUMBER(SEARCH("未勝利",Z4322)),"その他未勝利",IF(ISNUMBER(SEARCH("G1",Z4322)),"G1",IF(ISNUMBER(SEARCH("G2",Z4322)),"G2",IF(ISNUMBER(SEARCH("G3",Z4322)),"G3",IF(ISNUMBER(SEARCH("古馬条件",Z4322)),"古馬条件戦",IF(ISNUMBER(SEARCH("重賞",Z4322)),"重賞","分類不能")))))))))</f>
        <v/>
      </c>
    </row>
    <row r="4323" customFormat="false" ht="15.75" hidden="false" customHeight="false" outlineLevel="0" collapsed="false">
      <c r="AO4323" s="8" t="str">
        <f aca="false">IF(A4323="","",IF(COUNTIFS(全馬データ!$A$2:$A$50000,A4323,全馬データ!$B$2:$B$50000,B4323,全馬データ!$C$2:$C$50000,C4323,全馬データ!$D$2:$D$50000,E4323,全馬データ!$K$2:$K$50000,"&lt;&gt;")=0,"",SUMIFS(全馬データ!$K$2:$K$50000,全馬データ!$A$2:$A$50000,A4323,全馬データ!$B$2:$B$50000,B4323,全馬データ!$C$2:$C$50000,C4323,全馬データ!$D$2:$D$50000,E4323)))</f>
        <v/>
      </c>
      <c r="AP4323" s="8" t="str">
        <f aca="false">IF(A4323="","",IF(AO4323="","欠損",IF(AO4323&lt;=1.1,"1.0～1.1",IF(AO4323&lt;1.3,"1.2",IF(AO4323&lt;1.5,"1.3～1.4",IF(AO4323&lt;2,"1.5～1.9","2.0以上"))))))</f>
        <v/>
      </c>
      <c r="AQ4323" s="8" t="str">
        <f aca="false">IF(A4323="","",IF(ISNUMBER(SEARCH("2歳",Z4323)),"2歳戦",IF(ISNUMBER(SEARCH("3歳未勝利",Z4323)),"3歳未勝利",IF(ISNUMBER(SEARCH("未勝利",Z4323)),"その他未勝利",IF(ISNUMBER(SEARCH("G1",Z4323)),"G1",IF(ISNUMBER(SEARCH("G2",Z4323)),"G2",IF(ISNUMBER(SEARCH("G3",Z4323)),"G3",IF(ISNUMBER(SEARCH("古馬条件",Z4323)),"古馬条件戦",IF(ISNUMBER(SEARCH("重賞",Z4323)),"重賞","分類不能")))))))))</f>
        <v/>
      </c>
    </row>
    <row r="4324" customFormat="false" ht="15.75" hidden="false" customHeight="false" outlineLevel="0" collapsed="false">
      <c r="AO4324" s="8" t="str">
        <f aca="false">IF(A4324="","",IF(COUNTIFS(全馬データ!$A$2:$A$50000,A4324,全馬データ!$B$2:$B$50000,B4324,全馬データ!$C$2:$C$50000,C4324,全馬データ!$D$2:$D$50000,E4324,全馬データ!$K$2:$K$50000,"&lt;&gt;")=0,"",SUMIFS(全馬データ!$K$2:$K$50000,全馬データ!$A$2:$A$50000,A4324,全馬データ!$B$2:$B$50000,B4324,全馬データ!$C$2:$C$50000,C4324,全馬データ!$D$2:$D$50000,E4324)))</f>
        <v/>
      </c>
      <c r="AP4324" s="8" t="str">
        <f aca="false">IF(A4324="","",IF(AO4324="","欠損",IF(AO4324&lt;=1.1,"1.0～1.1",IF(AO4324&lt;1.3,"1.2",IF(AO4324&lt;1.5,"1.3～1.4",IF(AO4324&lt;2,"1.5～1.9","2.0以上"))))))</f>
        <v/>
      </c>
      <c r="AQ4324" s="8" t="str">
        <f aca="false">IF(A4324="","",IF(ISNUMBER(SEARCH("2歳",Z4324)),"2歳戦",IF(ISNUMBER(SEARCH("3歳未勝利",Z4324)),"3歳未勝利",IF(ISNUMBER(SEARCH("未勝利",Z4324)),"その他未勝利",IF(ISNUMBER(SEARCH("G1",Z4324)),"G1",IF(ISNUMBER(SEARCH("G2",Z4324)),"G2",IF(ISNUMBER(SEARCH("G3",Z4324)),"G3",IF(ISNUMBER(SEARCH("古馬条件",Z4324)),"古馬条件戦",IF(ISNUMBER(SEARCH("重賞",Z4324)),"重賞","分類不能")))))))))</f>
        <v/>
      </c>
    </row>
    <row r="4325" customFormat="false" ht="15.75" hidden="false" customHeight="false" outlineLevel="0" collapsed="false">
      <c r="AO4325" s="8" t="str">
        <f aca="false">IF(A4325="","",IF(COUNTIFS(全馬データ!$A$2:$A$50000,A4325,全馬データ!$B$2:$B$50000,B4325,全馬データ!$C$2:$C$50000,C4325,全馬データ!$D$2:$D$50000,E4325,全馬データ!$K$2:$K$50000,"&lt;&gt;")=0,"",SUMIFS(全馬データ!$K$2:$K$50000,全馬データ!$A$2:$A$50000,A4325,全馬データ!$B$2:$B$50000,B4325,全馬データ!$C$2:$C$50000,C4325,全馬データ!$D$2:$D$50000,E4325)))</f>
        <v/>
      </c>
      <c r="AP4325" s="8" t="str">
        <f aca="false">IF(A4325="","",IF(AO4325="","欠損",IF(AO4325&lt;=1.1,"1.0～1.1",IF(AO4325&lt;1.3,"1.2",IF(AO4325&lt;1.5,"1.3～1.4",IF(AO4325&lt;2,"1.5～1.9","2.0以上"))))))</f>
        <v/>
      </c>
      <c r="AQ4325" s="8" t="str">
        <f aca="false">IF(A4325="","",IF(ISNUMBER(SEARCH("2歳",Z4325)),"2歳戦",IF(ISNUMBER(SEARCH("3歳未勝利",Z4325)),"3歳未勝利",IF(ISNUMBER(SEARCH("未勝利",Z4325)),"その他未勝利",IF(ISNUMBER(SEARCH("G1",Z4325)),"G1",IF(ISNUMBER(SEARCH("G2",Z4325)),"G2",IF(ISNUMBER(SEARCH("G3",Z4325)),"G3",IF(ISNUMBER(SEARCH("古馬条件",Z4325)),"古馬条件戦",IF(ISNUMBER(SEARCH("重賞",Z4325)),"重賞","分類不能")))))))))</f>
        <v/>
      </c>
    </row>
    <row r="4326" customFormat="false" ht="15.75" hidden="false" customHeight="false" outlineLevel="0" collapsed="false">
      <c r="AO4326" s="8" t="str">
        <f aca="false">IF(A4326="","",IF(COUNTIFS(全馬データ!$A$2:$A$50000,A4326,全馬データ!$B$2:$B$50000,B4326,全馬データ!$C$2:$C$50000,C4326,全馬データ!$D$2:$D$50000,E4326,全馬データ!$K$2:$K$50000,"&lt;&gt;")=0,"",SUMIFS(全馬データ!$K$2:$K$50000,全馬データ!$A$2:$A$50000,A4326,全馬データ!$B$2:$B$50000,B4326,全馬データ!$C$2:$C$50000,C4326,全馬データ!$D$2:$D$50000,E4326)))</f>
        <v/>
      </c>
      <c r="AP4326" s="8" t="str">
        <f aca="false">IF(A4326="","",IF(AO4326="","欠損",IF(AO4326&lt;=1.1,"1.0～1.1",IF(AO4326&lt;1.3,"1.2",IF(AO4326&lt;1.5,"1.3～1.4",IF(AO4326&lt;2,"1.5～1.9","2.0以上"))))))</f>
        <v/>
      </c>
      <c r="AQ4326" s="8" t="str">
        <f aca="false">IF(A4326="","",IF(ISNUMBER(SEARCH("2歳",Z4326)),"2歳戦",IF(ISNUMBER(SEARCH("3歳未勝利",Z4326)),"3歳未勝利",IF(ISNUMBER(SEARCH("未勝利",Z4326)),"その他未勝利",IF(ISNUMBER(SEARCH("G1",Z4326)),"G1",IF(ISNUMBER(SEARCH("G2",Z4326)),"G2",IF(ISNUMBER(SEARCH("G3",Z4326)),"G3",IF(ISNUMBER(SEARCH("古馬条件",Z4326)),"古馬条件戦",IF(ISNUMBER(SEARCH("重賞",Z4326)),"重賞","分類不能")))))))))</f>
        <v/>
      </c>
    </row>
    <row r="4327" customFormat="false" ht="15.75" hidden="false" customHeight="false" outlineLevel="0" collapsed="false">
      <c r="AO4327" s="8" t="str">
        <f aca="false">IF(A4327="","",IF(COUNTIFS(全馬データ!$A$2:$A$50000,A4327,全馬データ!$B$2:$B$50000,B4327,全馬データ!$C$2:$C$50000,C4327,全馬データ!$D$2:$D$50000,E4327,全馬データ!$K$2:$K$50000,"&lt;&gt;")=0,"",SUMIFS(全馬データ!$K$2:$K$50000,全馬データ!$A$2:$A$50000,A4327,全馬データ!$B$2:$B$50000,B4327,全馬データ!$C$2:$C$50000,C4327,全馬データ!$D$2:$D$50000,E4327)))</f>
        <v/>
      </c>
      <c r="AP4327" s="8" t="str">
        <f aca="false">IF(A4327="","",IF(AO4327="","欠損",IF(AO4327&lt;=1.1,"1.0～1.1",IF(AO4327&lt;1.3,"1.2",IF(AO4327&lt;1.5,"1.3～1.4",IF(AO4327&lt;2,"1.5～1.9","2.0以上"))))))</f>
        <v/>
      </c>
      <c r="AQ4327" s="8" t="str">
        <f aca="false">IF(A4327="","",IF(ISNUMBER(SEARCH("2歳",Z4327)),"2歳戦",IF(ISNUMBER(SEARCH("3歳未勝利",Z4327)),"3歳未勝利",IF(ISNUMBER(SEARCH("未勝利",Z4327)),"その他未勝利",IF(ISNUMBER(SEARCH("G1",Z4327)),"G1",IF(ISNUMBER(SEARCH("G2",Z4327)),"G2",IF(ISNUMBER(SEARCH("G3",Z4327)),"G3",IF(ISNUMBER(SEARCH("古馬条件",Z4327)),"古馬条件戦",IF(ISNUMBER(SEARCH("重賞",Z4327)),"重賞","分類不能")))))))))</f>
        <v/>
      </c>
    </row>
    <row r="4328" customFormat="false" ht="15.75" hidden="false" customHeight="false" outlineLevel="0" collapsed="false">
      <c r="AO4328" s="8" t="str">
        <f aca="false">IF(A4328="","",IF(COUNTIFS(全馬データ!$A$2:$A$50000,A4328,全馬データ!$B$2:$B$50000,B4328,全馬データ!$C$2:$C$50000,C4328,全馬データ!$D$2:$D$50000,E4328,全馬データ!$K$2:$K$50000,"&lt;&gt;")=0,"",SUMIFS(全馬データ!$K$2:$K$50000,全馬データ!$A$2:$A$50000,A4328,全馬データ!$B$2:$B$50000,B4328,全馬データ!$C$2:$C$50000,C4328,全馬データ!$D$2:$D$50000,E4328)))</f>
        <v/>
      </c>
      <c r="AP4328" s="8" t="str">
        <f aca="false">IF(A4328="","",IF(AO4328="","欠損",IF(AO4328&lt;=1.1,"1.0～1.1",IF(AO4328&lt;1.3,"1.2",IF(AO4328&lt;1.5,"1.3～1.4",IF(AO4328&lt;2,"1.5～1.9","2.0以上"))))))</f>
        <v/>
      </c>
      <c r="AQ4328" s="8" t="str">
        <f aca="false">IF(A4328="","",IF(ISNUMBER(SEARCH("2歳",Z4328)),"2歳戦",IF(ISNUMBER(SEARCH("3歳未勝利",Z4328)),"3歳未勝利",IF(ISNUMBER(SEARCH("未勝利",Z4328)),"その他未勝利",IF(ISNUMBER(SEARCH("G1",Z4328)),"G1",IF(ISNUMBER(SEARCH("G2",Z4328)),"G2",IF(ISNUMBER(SEARCH("G3",Z4328)),"G3",IF(ISNUMBER(SEARCH("古馬条件",Z4328)),"古馬条件戦",IF(ISNUMBER(SEARCH("重賞",Z4328)),"重賞","分類不能")))))))))</f>
        <v/>
      </c>
    </row>
    <row r="4329" customFormat="false" ht="15.75" hidden="false" customHeight="false" outlineLevel="0" collapsed="false">
      <c r="AO4329" s="8" t="str">
        <f aca="false">IF(A4329="","",IF(COUNTIFS(全馬データ!$A$2:$A$50000,A4329,全馬データ!$B$2:$B$50000,B4329,全馬データ!$C$2:$C$50000,C4329,全馬データ!$D$2:$D$50000,E4329,全馬データ!$K$2:$K$50000,"&lt;&gt;")=0,"",SUMIFS(全馬データ!$K$2:$K$50000,全馬データ!$A$2:$A$50000,A4329,全馬データ!$B$2:$B$50000,B4329,全馬データ!$C$2:$C$50000,C4329,全馬データ!$D$2:$D$50000,E4329)))</f>
        <v/>
      </c>
      <c r="AP4329" s="8" t="str">
        <f aca="false">IF(A4329="","",IF(AO4329="","欠損",IF(AO4329&lt;=1.1,"1.0～1.1",IF(AO4329&lt;1.3,"1.2",IF(AO4329&lt;1.5,"1.3～1.4",IF(AO4329&lt;2,"1.5～1.9","2.0以上"))))))</f>
        <v/>
      </c>
      <c r="AQ4329" s="8" t="str">
        <f aca="false">IF(A4329="","",IF(ISNUMBER(SEARCH("2歳",Z4329)),"2歳戦",IF(ISNUMBER(SEARCH("3歳未勝利",Z4329)),"3歳未勝利",IF(ISNUMBER(SEARCH("未勝利",Z4329)),"その他未勝利",IF(ISNUMBER(SEARCH("G1",Z4329)),"G1",IF(ISNUMBER(SEARCH("G2",Z4329)),"G2",IF(ISNUMBER(SEARCH("G3",Z4329)),"G3",IF(ISNUMBER(SEARCH("古馬条件",Z4329)),"古馬条件戦",IF(ISNUMBER(SEARCH("重賞",Z4329)),"重賞","分類不能")))))))))</f>
        <v/>
      </c>
    </row>
    <row r="4330" customFormat="false" ht="15.75" hidden="false" customHeight="false" outlineLevel="0" collapsed="false">
      <c r="AO4330" s="8" t="str">
        <f aca="false">IF(A4330="","",IF(COUNTIFS(全馬データ!$A$2:$A$50000,A4330,全馬データ!$B$2:$B$50000,B4330,全馬データ!$C$2:$C$50000,C4330,全馬データ!$D$2:$D$50000,E4330,全馬データ!$K$2:$K$50000,"&lt;&gt;")=0,"",SUMIFS(全馬データ!$K$2:$K$50000,全馬データ!$A$2:$A$50000,A4330,全馬データ!$B$2:$B$50000,B4330,全馬データ!$C$2:$C$50000,C4330,全馬データ!$D$2:$D$50000,E4330)))</f>
        <v/>
      </c>
      <c r="AP4330" s="8" t="str">
        <f aca="false">IF(A4330="","",IF(AO4330="","欠損",IF(AO4330&lt;=1.1,"1.0～1.1",IF(AO4330&lt;1.3,"1.2",IF(AO4330&lt;1.5,"1.3～1.4",IF(AO4330&lt;2,"1.5～1.9","2.0以上"))))))</f>
        <v/>
      </c>
      <c r="AQ4330" s="8" t="str">
        <f aca="false">IF(A4330="","",IF(ISNUMBER(SEARCH("2歳",Z4330)),"2歳戦",IF(ISNUMBER(SEARCH("3歳未勝利",Z4330)),"3歳未勝利",IF(ISNUMBER(SEARCH("未勝利",Z4330)),"その他未勝利",IF(ISNUMBER(SEARCH("G1",Z4330)),"G1",IF(ISNUMBER(SEARCH("G2",Z4330)),"G2",IF(ISNUMBER(SEARCH("G3",Z4330)),"G3",IF(ISNUMBER(SEARCH("古馬条件",Z4330)),"古馬条件戦",IF(ISNUMBER(SEARCH("重賞",Z4330)),"重賞","分類不能")))))))))</f>
        <v/>
      </c>
    </row>
    <row r="4331" customFormat="false" ht="15.75" hidden="false" customHeight="false" outlineLevel="0" collapsed="false">
      <c r="AO4331" s="8" t="str">
        <f aca="false">IF(A4331="","",IF(COUNTIFS(全馬データ!$A$2:$A$50000,A4331,全馬データ!$B$2:$B$50000,B4331,全馬データ!$C$2:$C$50000,C4331,全馬データ!$D$2:$D$50000,E4331,全馬データ!$K$2:$K$50000,"&lt;&gt;")=0,"",SUMIFS(全馬データ!$K$2:$K$50000,全馬データ!$A$2:$A$50000,A4331,全馬データ!$B$2:$B$50000,B4331,全馬データ!$C$2:$C$50000,C4331,全馬データ!$D$2:$D$50000,E4331)))</f>
        <v/>
      </c>
      <c r="AP4331" s="8" t="str">
        <f aca="false">IF(A4331="","",IF(AO4331="","欠損",IF(AO4331&lt;=1.1,"1.0～1.1",IF(AO4331&lt;1.3,"1.2",IF(AO4331&lt;1.5,"1.3～1.4",IF(AO4331&lt;2,"1.5～1.9","2.0以上"))))))</f>
        <v/>
      </c>
      <c r="AQ4331" s="8" t="str">
        <f aca="false">IF(A4331="","",IF(ISNUMBER(SEARCH("2歳",Z4331)),"2歳戦",IF(ISNUMBER(SEARCH("3歳未勝利",Z4331)),"3歳未勝利",IF(ISNUMBER(SEARCH("未勝利",Z4331)),"その他未勝利",IF(ISNUMBER(SEARCH("G1",Z4331)),"G1",IF(ISNUMBER(SEARCH("G2",Z4331)),"G2",IF(ISNUMBER(SEARCH("G3",Z4331)),"G3",IF(ISNUMBER(SEARCH("古馬条件",Z4331)),"古馬条件戦",IF(ISNUMBER(SEARCH("重賞",Z4331)),"重賞","分類不能")))))))))</f>
        <v/>
      </c>
    </row>
    <row r="4332" customFormat="false" ht="15.75" hidden="false" customHeight="false" outlineLevel="0" collapsed="false">
      <c r="AO4332" s="8" t="str">
        <f aca="false">IF(A4332="","",IF(COUNTIFS(全馬データ!$A$2:$A$50000,A4332,全馬データ!$B$2:$B$50000,B4332,全馬データ!$C$2:$C$50000,C4332,全馬データ!$D$2:$D$50000,E4332,全馬データ!$K$2:$K$50000,"&lt;&gt;")=0,"",SUMIFS(全馬データ!$K$2:$K$50000,全馬データ!$A$2:$A$50000,A4332,全馬データ!$B$2:$B$50000,B4332,全馬データ!$C$2:$C$50000,C4332,全馬データ!$D$2:$D$50000,E4332)))</f>
        <v/>
      </c>
      <c r="AP4332" s="8" t="str">
        <f aca="false">IF(A4332="","",IF(AO4332="","欠損",IF(AO4332&lt;=1.1,"1.0～1.1",IF(AO4332&lt;1.3,"1.2",IF(AO4332&lt;1.5,"1.3～1.4",IF(AO4332&lt;2,"1.5～1.9","2.0以上"))))))</f>
        <v/>
      </c>
      <c r="AQ4332" s="8" t="str">
        <f aca="false">IF(A4332="","",IF(ISNUMBER(SEARCH("2歳",Z4332)),"2歳戦",IF(ISNUMBER(SEARCH("3歳未勝利",Z4332)),"3歳未勝利",IF(ISNUMBER(SEARCH("未勝利",Z4332)),"その他未勝利",IF(ISNUMBER(SEARCH("G1",Z4332)),"G1",IF(ISNUMBER(SEARCH("G2",Z4332)),"G2",IF(ISNUMBER(SEARCH("G3",Z4332)),"G3",IF(ISNUMBER(SEARCH("古馬条件",Z4332)),"古馬条件戦",IF(ISNUMBER(SEARCH("重賞",Z4332)),"重賞","分類不能")))))))))</f>
        <v/>
      </c>
    </row>
    <row r="4333" customFormat="false" ht="15.75" hidden="false" customHeight="false" outlineLevel="0" collapsed="false">
      <c r="AO4333" s="8" t="str">
        <f aca="false">IF(A4333="","",IF(COUNTIFS(全馬データ!$A$2:$A$50000,A4333,全馬データ!$B$2:$B$50000,B4333,全馬データ!$C$2:$C$50000,C4333,全馬データ!$D$2:$D$50000,E4333,全馬データ!$K$2:$K$50000,"&lt;&gt;")=0,"",SUMIFS(全馬データ!$K$2:$K$50000,全馬データ!$A$2:$A$50000,A4333,全馬データ!$B$2:$B$50000,B4333,全馬データ!$C$2:$C$50000,C4333,全馬データ!$D$2:$D$50000,E4333)))</f>
        <v/>
      </c>
      <c r="AP4333" s="8" t="str">
        <f aca="false">IF(A4333="","",IF(AO4333="","欠損",IF(AO4333&lt;=1.1,"1.0～1.1",IF(AO4333&lt;1.3,"1.2",IF(AO4333&lt;1.5,"1.3～1.4",IF(AO4333&lt;2,"1.5～1.9","2.0以上"))))))</f>
        <v/>
      </c>
      <c r="AQ4333" s="8" t="str">
        <f aca="false">IF(A4333="","",IF(ISNUMBER(SEARCH("2歳",Z4333)),"2歳戦",IF(ISNUMBER(SEARCH("3歳未勝利",Z4333)),"3歳未勝利",IF(ISNUMBER(SEARCH("未勝利",Z4333)),"その他未勝利",IF(ISNUMBER(SEARCH("G1",Z4333)),"G1",IF(ISNUMBER(SEARCH("G2",Z4333)),"G2",IF(ISNUMBER(SEARCH("G3",Z4333)),"G3",IF(ISNUMBER(SEARCH("古馬条件",Z4333)),"古馬条件戦",IF(ISNUMBER(SEARCH("重賞",Z4333)),"重賞","分類不能")))))))))</f>
        <v/>
      </c>
    </row>
    <row r="4334" customFormat="false" ht="15.75" hidden="false" customHeight="false" outlineLevel="0" collapsed="false">
      <c r="AO4334" s="8" t="str">
        <f aca="false">IF(A4334="","",IF(COUNTIFS(全馬データ!$A$2:$A$50000,A4334,全馬データ!$B$2:$B$50000,B4334,全馬データ!$C$2:$C$50000,C4334,全馬データ!$D$2:$D$50000,E4334,全馬データ!$K$2:$K$50000,"&lt;&gt;")=0,"",SUMIFS(全馬データ!$K$2:$K$50000,全馬データ!$A$2:$A$50000,A4334,全馬データ!$B$2:$B$50000,B4334,全馬データ!$C$2:$C$50000,C4334,全馬データ!$D$2:$D$50000,E4334)))</f>
        <v/>
      </c>
      <c r="AP4334" s="8" t="str">
        <f aca="false">IF(A4334="","",IF(AO4334="","欠損",IF(AO4334&lt;=1.1,"1.0～1.1",IF(AO4334&lt;1.3,"1.2",IF(AO4334&lt;1.5,"1.3～1.4",IF(AO4334&lt;2,"1.5～1.9","2.0以上"))))))</f>
        <v/>
      </c>
      <c r="AQ4334" s="8" t="str">
        <f aca="false">IF(A4334="","",IF(ISNUMBER(SEARCH("2歳",Z4334)),"2歳戦",IF(ISNUMBER(SEARCH("3歳未勝利",Z4334)),"3歳未勝利",IF(ISNUMBER(SEARCH("未勝利",Z4334)),"その他未勝利",IF(ISNUMBER(SEARCH("G1",Z4334)),"G1",IF(ISNUMBER(SEARCH("G2",Z4334)),"G2",IF(ISNUMBER(SEARCH("G3",Z4334)),"G3",IF(ISNUMBER(SEARCH("古馬条件",Z4334)),"古馬条件戦",IF(ISNUMBER(SEARCH("重賞",Z4334)),"重賞","分類不能")))))))))</f>
        <v/>
      </c>
    </row>
    <row r="4335" customFormat="false" ht="15.75" hidden="false" customHeight="false" outlineLevel="0" collapsed="false">
      <c r="AO4335" s="8" t="str">
        <f aca="false">IF(A4335="","",IF(COUNTIFS(全馬データ!$A$2:$A$50000,A4335,全馬データ!$B$2:$B$50000,B4335,全馬データ!$C$2:$C$50000,C4335,全馬データ!$D$2:$D$50000,E4335,全馬データ!$K$2:$K$50000,"&lt;&gt;")=0,"",SUMIFS(全馬データ!$K$2:$K$50000,全馬データ!$A$2:$A$50000,A4335,全馬データ!$B$2:$B$50000,B4335,全馬データ!$C$2:$C$50000,C4335,全馬データ!$D$2:$D$50000,E4335)))</f>
        <v/>
      </c>
      <c r="AP4335" s="8" t="str">
        <f aca="false">IF(A4335="","",IF(AO4335="","欠損",IF(AO4335&lt;=1.1,"1.0～1.1",IF(AO4335&lt;1.3,"1.2",IF(AO4335&lt;1.5,"1.3～1.4",IF(AO4335&lt;2,"1.5～1.9","2.0以上"))))))</f>
        <v/>
      </c>
      <c r="AQ4335" s="8" t="str">
        <f aca="false">IF(A4335="","",IF(ISNUMBER(SEARCH("2歳",Z4335)),"2歳戦",IF(ISNUMBER(SEARCH("3歳未勝利",Z4335)),"3歳未勝利",IF(ISNUMBER(SEARCH("未勝利",Z4335)),"その他未勝利",IF(ISNUMBER(SEARCH("G1",Z4335)),"G1",IF(ISNUMBER(SEARCH("G2",Z4335)),"G2",IF(ISNUMBER(SEARCH("G3",Z4335)),"G3",IF(ISNUMBER(SEARCH("古馬条件",Z4335)),"古馬条件戦",IF(ISNUMBER(SEARCH("重賞",Z4335)),"重賞","分類不能")))))))))</f>
        <v/>
      </c>
    </row>
    <row r="4336" customFormat="false" ht="15.75" hidden="false" customHeight="false" outlineLevel="0" collapsed="false">
      <c r="AO4336" s="8" t="str">
        <f aca="false">IF(A4336="","",IF(COUNTIFS(全馬データ!$A$2:$A$50000,A4336,全馬データ!$B$2:$B$50000,B4336,全馬データ!$C$2:$C$50000,C4336,全馬データ!$D$2:$D$50000,E4336,全馬データ!$K$2:$K$50000,"&lt;&gt;")=0,"",SUMIFS(全馬データ!$K$2:$K$50000,全馬データ!$A$2:$A$50000,A4336,全馬データ!$B$2:$B$50000,B4336,全馬データ!$C$2:$C$50000,C4336,全馬データ!$D$2:$D$50000,E4336)))</f>
        <v/>
      </c>
      <c r="AP4336" s="8" t="str">
        <f aca="false">IF(A4336="","",IF(AO4336="","欠損",IF(AO4336&lt;=1.1,"1.0～1.1",IF(AO4336&lt;1.3,"1.2",IF(AO4336&lt;1.5,"1.3～1.4",IF(AO4336&lt;2,"1.5～1.9","2.0以上"))))))</f>
        <v/>
      </c>
      <c r="AQ4336" s="8" t="str">
        <f aca="false">IF(A4336="","",IF(ISNUMBER(SEARCH("2歳",Z4336)),"2歳戦",IF(ISNUMBER(SEARCH("3歳未勝利",Z4336)),"3歳未勝利",IF(ISNUMBER(SEARCH("未勝利",Z4336)),"その他未勝利",IF(ISNUMBER(SEARCH("G1",Z4336)),"G1",IF(ISNUMBER(SEARCH("G2",Z4336)),"G2",IF(ISNUMBER(SEARCH("G3",Z4336)),"G3",IF(ISNUMBER(SEARCH("古馬条件",Z4336)),"古馬条件戦",IF(ISNUMBER(SEARCH("重賞",Z4336)),"重賞","分類不能")))))))))</f>
        <v/>
      </c>
    </row>
    <row r="4337" customFormat="false" ht="15.75" hidden="false" customHeight="false" outlineLevel="0" collapsed="false">
      <c r="AO4337" s="8" t="str">
        <f aca="false">IF(A4337="","",IF(COUNTIFS(全馬データ!$A$2:$A$50000,A4337,全馬データ!$B$2:$B$50000,B4337,全馬データ!$C$2:$C$50000,C4337,全馬データ!$D$2:$D$50000,E4337,全馬データ!$K$2:$K$50000,"&lt;&gt;")=0,"",SUMIFS(全馬データ!$K$2:$K$50000,全馬データ!$A$2:$A$50000,A4337,全馬データ!$B$2:$B$50000,B4337,全馬データ!$C$2:$C$50000,C4337,全馬データ!$D$2:$D$50000,E4337)))</f>
        <v/>
      </c>
      <c r="AP4337" s="8" t="str">
        <f aca="false">IF(A4337="","",IF(AO4337="","欠損",IF(AO4337&lt;=1.1,"1.0～1.1",IF(AO4337&lt;1.3,"1.2",IF(AO4337&lt;1.5,"1.3～1.4",IF(AO4337&lt;2,"1.5～1.9","2.0以上"))))))</f>
        <v/>
      </c>
      <c r="AQ4337" s="8" t="str">
        <f aca="false">IF(A4337="","",IF(ISNUMBER(SEARCH("2歳",Z4337)),"2歳戦",IF(ISNUMBER(SEARCH("3歳未勝利",Z4337)),"3歳未勝利",IF(ISNUMBER(SEARCH("未勝利",Z4337)),"その他未勝利",IF(ISNUMBER(SEARCH("G1",Z4337)),"G1",IF(ISNUMBER(SEARCH("G2",Z4337)),"G2",IF(ISNUMBER(SEARCH("G3",Z4337)),"G3",IF(ISNUMBER(SEARCH("古馬条件",Z4337)),"古馬条件戦",IF(ISNUMBER(SEARCH("重賞",Z4337)),"重賞","分類不能")))))))))</f>
        <v/>
      </c>
    </row>
    <row r="4338" customFormat="false" ht="15.75" hidden="false" customHeight="false" outlineLevel="0" collapsed="false">
      <c r="AO4338" s="8" t="str">
        <f aca="false">IF(A4338="","",IF(COUNTIFS(全馬データ!$A$2:$A$50000,A4338,全馬データ!$B$2:$B$50000,B4338,全馬データ!$C$2:$C$50000,C4338,全馬データ!$D$2:$D$50000,E4338,全馬データ!$K$2:$K$50000,"&lt;&gt;")=0,"",SUMIFS(全馬データ!$K$2:$K$50000,全馬データ!$A$2:$A$50000,A4338,全馬データ!$B$2:$B$50000,B4338,全馬データ!$C$2:$C$50000,C4338,全馬データ!$D$2:$D$50000,E4338)))</f>
        <v/>
      </c>
      <c r="AP4338" s="8" t="str">
        <f aca="false">IF(A4338="","",IF(AO4338="","欠損",IF(AO4338&lt;=1.1,"1.0～1.1",IF(AO4338&lt;1.3,"1.2",IF(AO4338&lt;1.5,"1.3～1.4",IF(AO4338&lt;2,"1.5～1.9","2.0以上"))))))</f>
        <v/>
      </c>
      <c r="AQ4338" s="8" t="str">
        <f aca="false">IF(A4338="","",IF(ISNUMBER(SEARCH("2歳",Z4338)),"2歳戦",IF(ISNUMBER(SEARCH("3歳未勝利",Z4338)),"3歳未勝利",IF(ISNUMBER(SEARCH("未勝利",Z4338)),"その他未勝利",IF(ISNUMBER(SEARCH("G1",Z4338)),"G1",IF(ISNUMBER(SEARCH("G2",Z4338)),"G2",IF(ISNUMBER(SEARCH("G3",Z4338)),"G3",IF(ISNUMBER(SEARCH("古馬条件",Z4338)),"古馬条件戦",IF(ISNUMBER(SEARCH("重賞",Z4338)),"重賞","分類不能")))))))))</f>
        <v/>
      </c>
    </row>
    <row r="4339" customFormat="false" ht="15.75" hidden="false" customHeight="false" outlineLevel="0" collapsed="false">
      <c r="AO4339" s="8" t="str">
        <f aca="false">IF(A4339="","",IF(COUNTIFS(全馬データ!$A$2:$A$50000,A4339,全馬データ!$B$2:$B$50000,B4339,全馬データ!$C$2:$C$50000,C4339,全馬データ!$D$2:$D$50000,E4339,全馬データ!$K$2:$K$50000,"&lt;&gt;")=0,"",SUMIFS(全馬データ!$K$2:$K$50000,全馬データ!$A$2:$A$50000,A4339,全馬データ!$B$2:$B$50000,B4339,全馬データ!$C$2:$C$50000,C4339,全馬データ!$D$2:$D$50000,E4339)))</f>
        <v/>
      </c>
      <c r="AP4339" s="8" t="str">
        <f aca="false">IF(A4339="","",IF(AO4339="","欠損",IF(AO4339&lt;=1.1,"1.0～1.1",IF(AO4339&lt;1.3,"1.2",IF(AO4339&lt;1.5,"1.3～1.4",IF(AO4339&lt;2,"1.5～1.9","2.0以上"))))))</f>
        <v/>
      </c>
      <c r="AQ4339" s="8" t="str">
        <f aca="false">IF(A4339="","",IF(ISNUMBER(SEARCH("2歳",Z4339)),"2歳戦",IF(ISNUMBER(SEARCH("3歳未勝利",Z4339)),"3歳未勝利",IF(ISNUMBER(SEARCH("未勝利",Z4339)),"その他未勝利",IF(ISNUMBER(SEARCH("G1",Z4339)),"G1",IF(ISNUMBER(SEARCH("G2",Z4339)),"G2",IF(ISNUMBER(SEARCH("G3",Z4339)),"G3",IF(ISNUMBER(SEARCH("古馬条件",Z4339)),"古馬条件戦",IF(ISNUMBER(SEARCH("重賞",Z4339)),"重賞","分類不能")))))))))</f>
        <v/>
      </c>
    </row>
    <row r="4340" customFormat="false" ht="15.75" hidden="false" customHeight="false" outlineLevel="0" collapsed="false">
      <c r="AO4340" s="8" t="str">
        <f aca="false">IF(A4340="","",IF(COUNTIFS(全馬データ!$A$2:$A$50000,A4340,全馬データ!$B$2:$B$50000,B4340,全馬データ!$C$2:$C$50000,C4340,全馬データ!$D$2:$D$50000,E4340,全馬データ!$K$2:$K$50000,"&lt;&gt;")=0,"",SUMIFS(全馬データ!$K$2:$K$50000,全馬データ!$A$2:$A$50000,A4340,全馬データ!$B$2:$B$50000,B4340,全馬データ!$C$2:$C$50000,C4340,全馬データ!$D$2:$D$50000,E4340)))</f>
        <v/>
      </c>
      <c r="AP4340" s="8" t="str">
        <f aca="false">IF(A4340="","",IF(AO4340="","欠損",IF(AO4340&lt;=1.1,"1.0～1.1",IF(AO4340&lt;1.3,"1.2",IF(AO4340&lt;1.5,"1.3～1.4",IF(AO4340&lt;2,"1.5～1.9","2.0以上"))))))</f>
        <v/>
      </c>
      <c r="AQ4340" s="8" t="str">
        <f aca="false">IF(A4340="","",IF(ISNUMBER(SEARCH("2歳",Z4340)),"2歳戦",IF(ISNUMBER(SEARCH("3歳未勝利",Z4340)),"3歳未勝利",IF(ISNUMBER(SEARCH("未勝利",Z4340)),"その他未勝利",IF(ISNUMBER(SEARCH("G1",Z4340)),"G1",IF(ISNUMBER(SEARCH("G2",Z4340)),"G2",IF(ISNUMBER(SEARCH("G3",Z4340)),"G3",IF(ISNUMBER(SEARCH("古馬条件",Z4340)),"古馬条件戦",IF(ISNUMBER(SEARCH("重賞",Z4340)),"重賞","分類不能")))))))))</f>
        <v/>
      </c>
    </row>
    <row r="4341" customFormat="false" ht="15.75" hidden="false" customHeight="false" outlineLevel="0" collapsed="false">
      <c r="AO4341" s="8" t="str">
        <f aca="false">IF(A4341="","",IF(COUNTIFS(全馬データ!$A$2:$A$50000,A4341,全馬データ!$B$2:$B$50000,B4341,全馬データ!$C$2:$C$50000,C4341,全馬データ!$D$2:$D$50000,E4341,全馬データ!$K$2:$K$50000,"&lt;&gt;")=0,"",SUMIFS(全馬データ!$K$2:$K$50000,全馬データ!$A$2:$A$50000,A4341,全馬データ!$B$2:$B$50000,B4341,全馬データ!$C$2:$C$50000,C4341,全馬データ!$D$2:$D$50000,E4341)))</f>
        <v/>
      </c>
      <c r="AP4341" s="8" t="str">
        <f aca="false">IF(A4341="","",IF(AO4341="","欠損",IF(AO4341&lt;=1.1,"1.0～1.1",IF(AO4341&lt;1.3,"1.2",IF(AO4341&lt;1.5,"1.3～1.4",IF(AO4341&lt;2,"1.5～1.9","2.0以上"))))))</f>
        <v/>
      </c>
      <c r="AQ4341" s="8" t="str">
        <f aca="false">IF(A4341="","",IF(ISNUMBER(SEARCH("2歳",Z4341)),"2歳戦",IF(ISNUMBER(SEARCH("3歳未勝利",Z4341)),"3歳未勝利",IF(ISNUMBER(SEARCH("未勝利",Z4341)),"その他未勝利",IF(ISNUMBER(SEARCH("G1",Z4341)),"G1",IF(ISNUMBER(SEARCH("G2",Z4341)),"G2",IF(ISNUMBER(SEARCH("G3",Z4341)),"G3",IF(ISNUMBER(SEARCH("古馬条件",Z4341)),"古馬条件戦",IF(ISNUMBER(SEARCH("重賞",Z4341)),"重賞","分類不能")))))))))</f>
        <v/>
      </c>
    </row>
    <row r="4342" customFormat="false" ht="15.75" hidden="false" customHeight="false" outlineLevel="0" collapsed="false">
      <c r="AO4342" s="8" t="str">
        <f aca="false">IF(A4342="","",IF(COUNTIFS(全馬データ!$A$2:$A$50000,A4342,全馬データ!$B$2:$B$50000,B4342,全馬データ!$C$2:$C$50000,C4342,全馬データ!$D$2:$D$50000,E4342,全馬データ!$K$2:$K$50000,"&lt;&gt;")=0,"",SUMIFS(全馬データ!$K$2:$K$50000,全馬データ!$A$2:$A$50000,A4342,全馬データ!$B$2:$B$50000,B4342,全馬データ!$C$2:$C$50000,C4342,全馬データ!$D$2:$D$50000,E4342)))</f>
        <v/>
      </c>
      <c r="AP4342" s="8" t="str">
        <f aca="false">IF(A4342="","",IF(AO4342="","欠損",IF(AO4342&lt;=1.1,"1.0～1.1",IF(AO4342&lt;1.3,"1.2",IF(AO4342&lt;1.5,"1.3～1.4",IF(AO4342&lt;2,"1.5～1.9","2.0以上"))))))</f>
        <v/>
      </c>
      <c r="AQ4342" s="8" t="str">
        <f aca="false">IF(A4342="","",IF(ISNUMBER(SEARCH("2歳",Z4342)),"2歳戦",IF(ISNUMBER(SEARCH("3歳未勝利",Z4342)),"3歳未勝利",IF(ISNUMBER(SEARCH("未勝利",Z4342)),"その他未勝利",IF(ISNUMBER(SEARCH("G1",Z4342)),"G1",IF(ISNUMBER(SEARCH("G2",Z4342)),"G2",IF(ISNUMBER(SEARCH("G3",Z4342)),"G3",IF(ISNUMBER(SEARCH("古馬条件",Z4342)),"古馬条件戦",IF(ISNUMBER(SEARCH("重賞",Z4342)),"重賞","分類不能")))))))))</f>
        <v/>
      </c>
    </row>
    <row r="4343" customFormat="false" ht="15.75" hidden="false" customHeight="false" outlineLevel="0" collapsed="false">
      <c r="AO4343" s="8" t="str">
        <f aca="false">IF(A4343="","",IF(COUNTIFS(全馬データ!$A$2:$A$50000,A4343,全馬データ!$B$2:$B$50000,B4343,全馬データ!$C$2:$C$50000,C4343,全馬データ!$D$2:$D$50000,E4343,全馬データ!$K$2:$K$50000,"&lt;&gt;")=0,"",SUMIFS(全馬データ!$K$2:$K$50000,全馬データ!$A$2:$A$50000,A4343,全馬データ!$B$2:$B$50000,B4343,全馬データ!$C$2:$C$50000,C4343,全馬データ!$D$2:$D$50000,E4343)))</f>
        <v/>
      </c>
      <c r="AP4343" s="8" t="str">
        <f aca="false">IF(A4343="","",IF(AO4343="","欠損",IF(AO4343&lt;=1.1,"1.0～1.1",IF(AO4343&lt;1.3,"1.2",IF(AO4343&lt;1.5,"1.3～1.4",IF(AO4343&lt;2,"1.5～1.9","2.0以上"))))))</f>
        <v/>
      </c>
      <c r="AQ4343" s="8" t="str">
        <f aca="false">IF(A4343="","",IF(ISNUMBER(SEARCH("2歳",Z4343)),"2歳戦",IF(ISNUMBER(SEARCH("3歳未勝利",Z4343)),"3歳未勝利",IF(ISNUMBER(SEARCH("未勝利",Z4343)),"その他未勝利",IF(ISNUMBER(SEARCH("G1",Z4343)),"G1",IF(ISNUMBER(SEARCH("G2",Z4343)),"G2",IF(ISNUMBER(SEARCH("G3",Z4343)),"G3",IF(ISNUMBER(SEARCH("古馬条件",Z4343)),"古馬条件戦",IF(ISNUMBER(SEARCH("重賞",Z4343)),"重賞","分類不能")))))))))</f>
        <v/>
      </c>
    </row>
    <row r="4344" customFormat="false" ht="15.75" hidden="false" customHeight="false" outlineLevel="0" collapsed="false">
      <c r="AO4344" s="8" t="str">
        <f aca="false">IF(A4344="","",IF(COUNTIFS(全馬データ!$A$2:$A$50000,A4344,全馬データ!$B$2:$B$50000,B4344,全馬データ!$C$2:$C$50000,C4344,全馬データ!$D$2:$D$50000,E4344,全馬データ!$K$2:$K$50000,"&lt;&gt;")=0,"",SUMIFS(全馬データ!$K$2:$K$50000,全馬データ!$A$2:$A$50000,A4344,全馬データ!$B$2:$B$50000,B4344,全馬データ!$C$2:$C$50000,C4344,全馬データ!$D$2:$D$50000,E4344)))</f>
        <v/>
      </c>
      <c r="AP4344" s="8" t="str">
        <f aca="false">IF(A4344="","",IF(AO4344="","欠損",IF(AO4344&lt;=1.1,"1.0～1.1",IF(AO4344&lt;1.3,"1.2",IF(AO4344&lt;1.5,"1.3～1.4",IF(AO4344&lt;2,"1.5～1.9","2.0以上"))))))</f>
        <v/>
      </c>
      <c r="AQ4344" s="8" t="str">
        <f aca="false">IF(A4344="","",IF(ISNUMBER(SEARCH("2歳",Z4344)),"2歳戦",IF(ISNUMBER(SEARCH("3歳未勝利",Z4344)),"3歳未勝利",IF(ISNUMBER(SEARCH("未勝利",Z4344)),"その他未勝利",IF(ISNUMBER(SEARCH("G1",Z4344)),"G1",IF(ISNUMBER(SEARCH("G2",Z4344)),"G2",IF(ISNUMBER(SEARCH("G3",Z4344)),"G3",IF(ISNUMBER(SEARCH("古馬条件",Z4344)),"古馬条件戦",IF(ISNUMBER(SEARCH("重賞",Z4344)),"重賞","分類不能")))))))))</f>
        <v/>
      </c>
    </row>
    <row r="4345" customFormat="false" ht="15.75" hidden="false" customHeight="false" outlineLevel="0" collapsed="false">
      <c r="AO4345" s="8" t="str">
        <f aca="false">IF(A4345="","",IF(COUNTIFS(全馬データ!$A$2:$A$50000,A4345,全馬データ!$B$2:$B$50000,B4345,全馬データ!$C$2:$C$50000,C4345,全馬データ!$D$2:$D$50000,E4345,全馬データ!$K$2:$K$50000,"&lt;&gt;")=0,"",SUMIFS(全馬データ!$K$2:$K$50000,全馬データ!$A$2:$A$50000,A4345,全馬データ!$B$2:$B$50000,B4345,全馬データ!$C$2:$C$50000,C4345,全馬データ!$D$2:$D$50000,E4345)))</f>
        <v/>
      </c>
      <c r="AP4345" s="8" t="str">
        <f aca="false">IF(A4345="","",IF(AO4345="","欠損",IF(AO4345&lt;=1.1,"1.0～1.1",IF(AO4345&lt;1.3,"1.2",IF(AO4345&lt;1.5,"1.3～1.4",IF(AO4345&lt;2,"1.5～1.9","2.0以上"))))))</f>
        <v/>
      </c>
      <c r="AQ4345" s="8" t="str">
        <f aca="false">IF(A4345="","",IF(ISNUMBER(SEARCH("2歳",Z4345)),"2歳戦",IF(ISNUMBER(SEARCH("3歳未勝利",Z4345)),"3歳未勝利",IF(ISNUMBER(SEARCH("未勝利",Z4345)),"その他未勝利",IF(ISNUMBER(SEARCH("G1",Z4345)),"G1",IF(ISNUMBER(SEARCH("G2",Z4345)),"G2",IF(ISNUMBER(SEARCH("G3",Z4345)),"G3",IF(ISNUMBER(SEARCH("古馬条件",Z4345)),"古馬条件戦",IF(ISNUMBER(SEARCH("重賞",Z4345)),"重賞","分類不能")))))))))</f>
        <v/>
      </c>
    </row>
    <row r="4346" customFormat="false" ht="15.75" hidden="false" customHeight="false" outlineLevel="0" collapsed="false">
      <c r="AO4346" s="8" t="str">
        <f aca="false">IF(A4346="","",IF(COUNTIFS(全馬データ!$A$2:$A$50000,A4346,全馬データ!$B$2:$B$50000,B4346,全馬データ!$C$2:$C$50000,C4346,全馬データ!$D$2:$D$50000,E4346,全馬データ!$K$2:$K$50000,"&lt;&gt;")=0,"",SUMIFS(全馬データ!$K$2:$K$50000,全馬データ!$A$2:$A$50000,A4346,全馬データ!$B$2:$B$50000,B4346,全馬データ!$C$2:$C$50000,C4346,全馬データ!$D$2:$D$50000,E4346)))</f>
        <v/>
      </c>
      <c r="AP4346" s="8" t="str">
        <f aca="false">IF(A4346="","",IF(AO4346="","欠損",IF(AO4346&lt;=1.1,"1.0～1.1",IF(AO4346&lt;1.3,"1.2",IF(AO4346&lt;1.5,"1.3～1.4",IF(AO4346&lt;2,"1.5～1.9","2.0以上"))))))</f>
        <v/>
      </c>
      <c r="AQ4346" s="8" t="str">
        <f aca="false">IF(A4346="","",IF(ISNUMBER(SEARCH("2歳",Z4346)),"2歳戦",IF(ISNUMBER(SEARCH("3歳未勝利",Z4346)),"3歳未勝利",IF(ISNUMBER(SEARCH("未勝利",Z4346)),"その他未勝利",IF(ISNUMBER(SEARCH("G1",Z4346)),"G1",IF(ISNUMBER(SEARCH("G2",Z4346)),"G2",IF(ISNUMBER(SEARCH("G3",Z4346)),"G3",IF(ISNUMBER(SEARCH("古馬条件",Z4346)),"古馬条件戦",IF(ISNUMBER(SEARCH("重賞",Z4346)),"重賞","分類不能")))))))))</f>
        <v/>
      </c>
    </row>
    <row r="4347" customFormat="false" ht="15.75" hidden="false" customHeight="false" outlineLevel="0" collapsed="false">
      <c r="AO4347" s="8" t="str">
        <f aca="false">IF(A4347="","",IF(COUNTIFS(全馬データ!$A$2:$A$50000,A4347,全馬データ!$B$2:$B$50000,B4347,全馬データ!$C$2:$C$50000,C4347,全馬データ!$D$2:$D$50000,E4347,全馬データ!$K$2:$K$50000,"&lt;&gt;")=0,"",SUMIFS(全馬データ!$K$2:$K$50000,全馬データ!$A$2:$A$50000,A4347,全馬データ!$B$2:$B$50000,B4347,全馬データ!$C$2:$C$50000,C4347,全馬データ!$D$2:$D$50000,E4347)))</f>
        <v/>
      </c>
      <c r="AP4347" s="8" t="str">
        <f aca="false">IF(A4347="","",IF(AO4347="","欠損",IF(AO4347&lt;=1.1,"1.0～1.1",IF(AO4347&lt;1.3,"1.2",IF(AO4347&lt;1.5,"1.3～1.4",IF(AO4347&lt;2,"1.5～1.9","2.0以上"))))))</f>
        <v/>
      </c>
      <c r="AQ4347" s="8" t="str">
        <f aca="false">IF(A4347="","",IF(ISNUMBER(SEARCH("2歳",Z4347)),"2歳戦",IF(ISNUMBER(SEARCH("3歳未勝利",Z4347)),"3歳未勝利",IF(ISNUMBER(SEARCH("未勝利",Z4347)),"その他未勝利",IF(ISNUMBER(SEARCH("G1",Z4347)),"G1",IF(ISNUMBER(SEARCH("G2",Z4347)),"G2",IF(ISNUMBER(SEARCH("G3",Z4347)),"G3",IF(ISNUMBER(SEARCH("古馬条件",Z4347)),"古馬条件戦",IF(ISNUMBER(SEARCH("重賞",Z4347)),"重賞","分類不能")))))))))</f>
        <v/>
      </c>
    </row>
    <row r="4348" customFormat="false" ht="15.75" hidden="false" customHeight="false" outlineLevel="0" collapsed="false">
      <c r="AO4348" s="8" t="str">
        <f aca="false">IF(A4348="","",IF(COUNTIFS(全馬データ!$A$2:$A$50000,A4348,全馬データ!$B$2:$B$50000,B4348,全馬データ!$C$2:$C$50000,C4348,全馬データ!$D$2:$D$50000,E4348,全馬データ!$K$2:$K$50000,"&lt;&gt;")=0,"",SUMIFS(全馬データ!$K$2:$K$50000,全馬データ!$A$2:$A$50000,A4348,全馬データ!$B$2:$B$50000,B4348,全馬データ!$C$2:$C$50000,C4348,全馬データ!$D$2:$D$50000,E4348)))</f>
        <v/>
      </c>
      <c r="AP4348" s="8" t="str">
        <f aca="false">IF(A4348="","",IF(AO4348="","欠損",IF(AO4348&lt;=1.1,"1.0～1.1",IF(AO4348&lt;1.3,"1.2",IF(AO4348&lt;1.5,"1.3～1.4",IF(AO4348&lt;2,"1.5～1.9","2.0以上"))))))</f>
        <v/>
      </c>
      <c r="AQ4348" s="8" t="str">
        <f aca="false">IF(A4348="","",IF(ISNUMBER(SEARCH("2歳",Z4348)),"2歳戦",IF(ISNUMBER(SEARCH("3歳未勝利",Z4348)),"3歳未勝利",IF(ISNUMBER(SEARCH("未勝利",Z4348)),"その他未勝利",IF(ISNUMBER(SEARCH("G1",Z4348)),"G1",IF(ISNUMBER(SEARCH("G2",Z4348)),"G2",IF(ISNUMBER(SEARCH("G3",Z4348)),"G3",IF(ISNUMBER(SEARCH("古馬条件",Z4348)),"古馬条件戦",IF(ISNUMBER(SEARCH("重賞",Z4348)),"重賞","分類不能")))))))))</f>
        <v/>
      </c>
    </row>
    <row r="4349" customFormat="false" ht="15.75" hidden="false" customHeight="false" outlineLevel="0" collapsed="false">
      <c r="AO4349" s="8" t="str">
        <f aca="false">IF(A4349="","",IF(COUNTIFS(全馬データ!$A$2:$A$50000,A4349,全馬データ!$B$2:$B$50000,B4349,全馬データ!$C$2:$C$50000,C4349,全馬データ!$D$2:$D$50000,E4349,全馬データ!$K$2:$K$50000,"&lt;&gt;")=0,"",SUMIFS(全馬データ!$K$2:$K$50000,全馬データ!$A$2:$A$50000,A4349,全馬データ!$B$2:$B$50000,B4349,全馬データ!$C$2:$C$50000,C4349,全馬データ!$D$2:$D$50000,E4349)))</f>
        <v/>
      </c>
      <c r="AP4349" s="8" t="str">
        <f aca="false">IF(A4349="","",IF(AO4349="","欠損",IF(AO4349&lt;=1.1,"1.0～1.1",IF(AO4349&lt;1.3,"1.2",IF(AO4349&lt;1.5,"1.3～1.4",IF(AO4349&lt;2,"1.5～1.9","2.0以上"))))))</f>
        <v/>
      </c>
      <c r="AQ4349" s="8" t="str">
        <f aca="false">IF(A4349="","",IF(ISNUMBER(SEARCH("2歳",Z4349)),"2歳戦",IF(ISNUMBER(SEARCH("3歳未勝利",Z4349)),"3歳未勝利",IF(ISNUMBER(SEARCH("未勝利",Z4349)),"その他未勝利",IF(ISNUMBER(SEARCH("G1",Z4349)),"G1",IF(ISNUMBER(SEARCH("G2",Z4349)),"G2",IF(ISNUMBER(SEARCH("G3",Z4349)),"G3",IF(ISNUMBER(SEARCH("古馬条件",Z4349)),"古馬条件戦",IF(ISNUMBER(SEARCH("重賞",Z4349)),"重賞","分類不能")))))))))</f>
        <v/>
      </c>
    </row>
    <row r="4350" customFormat="false" ht="15.75" hidden="false" customHeight="false" outlineLevel="0" collapsed="false">
      <c r="AO4350" s="8" t="str">
        <f aca="false">IF(A4350="","",IF(COUNTIFS(全馬データ!$A$2:$A$50000,A4350,全馬データ!$B$2:$B$50000,B4350,全馬データ!$C$2:$C$50000,C4350,全馬データ!$D$2:$D$50000,E4350,全馬データ!$K$2:$K$50000,"&lt;&gt;")=0,"",SUMIFS(全馬データ!$K$2:$K$50000,全馬データ!$A$2:$A$50000,A4350,全馬データ!$B$2:$B$50000,B4350,全馬データ!$C$2:$C$50000,C4350,全馬データ!$D$2:$D$50000,E4350)))</f>
        <v/>
      </c>
      <c r="AP4350" s="8" t="str">
        <f aca="false">IF(A4350="","",IF(AO4350="","欠損",IF(AO4350&lt;=1.1,"1.0～1.1",IF(AO4350&lt;1.3,"1.2",IF(AO4350&lt;1.5,"1.3～1.4",IF(AO4350&lt;2,"1.5～1.9","2.0以上"))))))</f>
        <v/>
      </c>
      <c r="AQ4350" s="8" t="str">
        <f aca="false">IF(A4350="","",IF(ISNUMBER(SEARCH("2歳",Z4350)),"2歳戦",IF(ISNUMBER(SEARCH("3歳未勝利",Z4350)),"3歳未勝利",IF(ISNUMBER(SEARCH("未勝利",Z4350)),"その他未勝利",IF(ISNUMBER(SEARCH("G1",Z4350)),"G1",IF(ISNUMBER(SEARCH("G2",Z4350)),"G2",IF(ISNUMBER(SEARCH("G3",Z4350)),"G3",IF(ISNUMBER(SEARCH("古馬条件",Z4350)),"古馬条件戦",IF(ISNUMBER(SEARCH("重賞",Z4350)),"重賞","分類不能")))))))))</f>
        <v/>
      </c>
    </row>
    <row r="4351" customFormat="false" ht="15.75" hidden="false" customHeight="false" outlineLevel="0" collapsed="false">
      <c r="AO4351" s="8" t="str">
        <f aca="false">IF(A4351="","",IF(COUNTIFS(全馬データ!$A$2:$A$50000,A4351,全馬データ!$B$2:$B$50000,B4351,全馬データ!$C$2:$C$50000,C4351,全馬データ!$D$2:$D$50000,E4351,全馬データ!$K$2:$K$50000,"&lt;&gt;")=0,"",SUMIFS(全馬データ!$K$2:$K$50000,全馬データ!$A$2:$A$50000,A4351,全馬データ!$B$2:$B$50000,B4351,全馬データ!$C$2:$C$50000,C4351,全馬データ!$D$2:$D$50000,E4351)))</f>
        <v/>
      </c>
      <c r="AP4351" s="8" t="str">
        <f aca="false">IF(A4351="","",IF(AO4351="","欠損",IF(AO4351&lt;=1.1,"1.0～1.1",IF(AO4351&lt;1.3,"1.2",IF(AO4351&lt;1.5,"1.3～1.4",IF(AO4351&lt;2,"1.5～1.9","2.0以上"))))))</f>
        <v/>
      </c>
      <c r="AQ4351" s="8" t="str">
        <f aca="false">IF(A4351="","",IF(ISNUMBER(SEARCH("2歳",Z4351)),"2歳戦",IF(ISNUMBER(SEARCH("3歳未勝利",Z4351)),"3歳未勝利",IF(ISNUMBER(SEARCH("未勝利",Z4351)),"その他未勝利",IF(ISNUMBER(SEARCH("G1",Z4351)),"G1",IF(ISNUMBER(SEARCH("G2",Z4351)),"G2",IF(ISNUMBER(SEARCH("G3",Z4351)),"G3",IF(ISNUMBER(SEARCH("古馬条件",Z4351)),"古馬条件戦",IF(ISNUMBER(SEARCH("重賞",Z4351)),"重賞","分類不能")))))))))</f>
        <v/>
      </c>
    </row>
    <row r="4352" customFormat="false" ht="15.75" hidden="false" customHeight="false" outlineLevel="0" collapsed="false">
      <c r="AO4352" s="8" t="str">
        <f aca="false">IF(A4352="","",IF(COUNTIFS(全馬データ!$A$2:$A$50000,A4352,全馬データ!$B$2:$B$50000,B4352,全馬データ!$C$2:$C$50000,C4352,全馬データ!$D$2:$D$50000,E4352,全馬データ!$K$2:$K$50000,"&lt;&gt;")=0,"",SUMIFS(全馬データ!$K$2:$K$50000,全馬データ!$A$2:$A$50000,A4352,全馬データ!$B$2:$B$50000,B4352,全馬データ!$C$2:$C$50000,C4352,全馬データ!$D$2:$D$50000,E4352)))</f>
        <v/>
      </c>
      <c r="AP4352" s="8" t="str">
        <f aca="false">IF(A4352="","",IF(AO4352="","欠損",IF(AO4352&lt;=1.1,"1.0～1.1",IF(AO4352&lt;1.3,"1.2",IF(AO4352&lt;1.5,"1.3～1.4",IF(AO4352&lt;2,"1.5～1.9","2.0以上"))))))</f>
        <v/>
      </c>
      <c r="AQ4352" s="8" t="str">
        <f aca="false">IF(A4352="","",IF(ISNUMBER(SEARCH("2歳",Z4352)),"2歳戦",IF(ISNUMBER(SEARCH("3歳未勝利",Z4352)),"3歳未勝利",IF(ISNUMBER(SEARCH("未勝利",Z4352)),"その他未勝利",IF(ISNUMBER(SEARCH("G1",Z4352)),"G1",IF(ISNUMBER(SEARCH("G2",Z4352)),"G2",IF(ISNUMBER(SEARCH("G3",Z4352)),"G3",IF(ISNUMBER(SEARCH("古馬条件",Z4352)),"古馬条件戦",IF(ISNUMBER(SEARCH("重賞",Z4352)),"重賞","分類不能")))))))))</f>
        <v/>
      </c>
    </row>
    <row r="4353" customFormat="false" ht="15.75" hidden="false" customHeight="false" outlineLevel="0" collapsed="false">
      <c r="AO4353" s="8" t="str">
        <f aca="false">IF(A4353="","",IF(COUNTIFS(全馬データ!$A$2:$A$50000,A4353,全馬データ!$B$2:$B$50000,B4353,全馬データ!$C$2:$C$50000,C4353,全馬データ!$D$2:$D$50000,E4353,全馬データ!$K$2:$K$50000,"&lt;&gt;")=0,"",SUMIFS(全馬データ!$K$2:$K$50000,全馬データ!$A$2:$A$50000,A4353,全馬データ!$B$2:$B$50000,B4353,全馬データ!$C$2:$C$50000,C4353,全馬データ!$D$2:$D$50000,E4353)))</f>
        <v/>
      </c>
      <c r="AP4353" s="8" t="str">
        <f aca="false">IF(A4353="","",IF(AO4353="","欠損",IF(AO4353&lt;=1.1,"1.0～1.1",IF(AO4353&lt;1.3,"1.2",IF(AO4353&lt;1.5,"1.3～1.4",IF(AO4353&lt;2,"1.5～1.9","2.0以上"))))))</f>
        <v/>
      </c>
      <c r="AQ4353" s="8" t="str">
        <f aca="false">IF(A4353="","",IF(ISNUMBER(SEARCH("2歳",Z4353)),"2歳戦",IF(ISNUMBER(SEARCH("3歳未勝利",Z4353)),"3歳未勝利",IF(ISNUMBER(SEARCH("未勝利",Z4353)),"その他未勝利",IF(ISNUMBER(SEARCH("G1",Z4353)),"G1",IF(ISNUMBER(SEARCH("G2",Z4353)),"G2",IF(ISNUMBER(SEARCH("G3",Z4353)),"G3",IF(ISNUMBER(SEARCH("古馬条件",Z4353)),"古馬条件戦",IF(ISNUMBER(SEARCH("重賞",Z4353)),"重賞","分類不能")))))))))</f>
        <v/>
      </c>
    </row>
    <row r="4354" customFormat="false" ht="15.75" hidden="false" customHeight="false" outlineLevel="0" collapsed="false">
      <c r="AO4354" s="8" t="str">
        <f aca="false">IF(A4354="","",IF(COUNTIFS(全馬データ!$A$2:$A$50000,A4354,全馬データ!$B$2:$B$50000,B4354,全馬データ!$C$2:$C$50000,C4354,全馬データ!$D$2:$D$50000,E4354,全馬データ!$K$2:$K$50000,"&lt;&gt;")=0,"",SUMIFS(全馬データ!$K$2:$K$50000,全馬データ!$A$2:$A$50000,A4354,全馬データ!$B$2:$B$50000,B4354,全馬データ!$C$2:$C$50000,C4354,全馬データ!$D$2:$D$50000,E4354)))</f>
        <v/>
      </c>
      <c r="AP4354" s="8" t="str">
        <f aca="false">IF(A4354="","",IF(AO4354="","欠損",IF(AO4354&lt;=1.1,"1.0～1.1",IF(AO4354&lt;1.3,"1.2",IF(AO4354&lt;1.5,"1.3～1.4",IF(AO4354&lt;2,"1.5～1.9","2.0以上"))))))</f>
        <v/>
      </c>
      <c r="AQ4354" s="8" t="str">
        <f aca="false">IF(A4354="","",IF(ISNUMBER(SEARCH("2歳",Z4354)),"2歳戦",IF(ISNUMBER(SEARCH("3歳未勝利",Z4354)),"3歳未勝利",IF(ISNUMBER(SEARCH("未勝利",Z4354)),"その他未勝利",IF(ISNUMBER(SEARCH("G1",Z4354)),"G1",IF(ISNUMBER(SEARCH("G2",Z4354)),"G2",IF(ISNUMBER(SEARCH("G3",Z4354)),"G3",IF(ISNUMBER(SEARCH("古馬条件",Z4354)),"古馬条件戦",IF(ISNUMBER(SEARCH("重賞",Z4354)),"重賞","分類不能")))))))))</f>
        <v/>
      </c>
    </row>
    <row r="4355" customFormat="false" ht="15.75" hidden="false" customHeight="false" outlineLevel="0" collapsed="false">
      <c r="AO4355" s="8" t="str">
        <f aca="false">IF(A4355="","",IF(COUNTIFS(全馬データ!$A$2:$A$50000,A4355,全馬データ!$B$2:$B$50000,B4355,全馬データ!$C$2:$C$50000,C4355,全馬データ!$D$2:$D$50000,E4355,全馬データ!$K$2:$K$50000,"&lt;&gt;")=0,"",SUMIFS(全馬データ!$K$2:$K$50000,全馬データ!$A$2:$A$50000,A4355,全馬データ!$B$2:$B$50000,B4355,全馬データ!$C$2:$C$50000,C4355,全馬データ!$D$2:$D$50000,E4355)))</f>
        <v/>
      </c>
      <c r="AP4355" s="8" t="str">
        <f aca="false">IF(A4355="","",IF(AO4355="","欠損",IF(AO4355&lt;=1.1,"1.0～1.1",IF(AO4355&lt;1.3,"1.2",IF(AO4355&lt;1.5,"1.3～1.4",IF(AO4355&lt;2,"1.5～1.9","2.0以上"))))))</f>
        <v/>
      </c>
      <c r="AQ4355" s="8" t="str">
        <f aca="false">IF(A4355="","",IF(ISNUMBER(SEARCH("2歳",Z4355)),"2歳戦",IF(ISNUMBER(SEARCH("3歳未勝利",Z4355)),"3歳未勝利",IF(ISNUMBER(SEARCH("未勝利",Z4355)),"その他未勝利",IF(ISNUMBER(SEARCH("G1",Z4355)),"G1",IF(ISNUMBER(SEARCH("G2",Z4355)),"G2",IF(ISNUMBER(SEARCH("G3",Z4355)),"G3",IF(ISNUMBER(SEARCH("古馬条件",Z4355)),"古馬条件戦",IF(ISNUMBER(SEARCH("重賞",Z4355)),"重賞","分類不能")))))))))</f>
        <v/>
      </c>
    </row>
    <row r="4356" customFormat="false" ht="15.75" hidden="false" customHeight="false" outlineLevel="0" collapsed="false">
      <c r="AO4356" s="8" t="str">
        <f aca="false">IF(A4356="","",IF(COUNTIFS(全馬データ!$A$2:$A$50000,A4356,全馬データ!$B$2:$B$50000,B4356,全馬データ!$C$2:$C$50000,C4356,全馬データ!$D$2:$D$50000,E4356,全馬データ!$K$2:$K$50000,"&lt;&gt;")=0,"",SUMIFS(全馬データ!$K$2:$K$50000,全馬データ!$A$2:$A$50000,A4356,全馬データ!$B$2:$B$50000,B4356,全馬データ!$C$2:$C$50000,C4356,全馬データ!$D$2:$D$50000,E4356)))</f>
        <v/>
      </c>
      <c r="AP4356" s="8" t="str">
        <f aca="false">IF(A4356="","",IF(AO4356="","欠損",IF(AO4356&lt;=1.1,"1.0～1.1",IF(AO4356&lt;1.3,"1.2",IF(AO4356&lt;1.5,"1.3～1.4",IF(AO4356&lt;2,"1.5～1.9","2.0以上"))))))</f>
        <v/>
      </c>
      <c r="AQ4356" s="8" t="str">
        <f aca="false">IF(A4356="","",IF(ISNUMBER(SEARCH("2歳",Z4356)),"2歳戦",IF(ISNUMBER(SEARCH("3歳未勝利",Z4356)),"3歳未勝利",IF(ISNUMBER(SEARCH("未勝利",Z4356)),"その他未勝利",IF(ISNUMBER(SEARCH("G1",Z4356)),"G1",IF(ISNUMBER(SEARCH("G2",Z4356)),"G2",IF(ISNUMBER(SEARCH("G3",Z4356)),"G3",IF(ISNUMBER(SEARCH("古馬条件",Z4356)),"古馬条件戦",IF(ISNUMBER(SEARCH("重賞",Z4356)),"重賞","分類不能")))))))))</f>
        <v/>
      </c>
    </row>
    <row r="4357" customFormat="false" ht="15.75" hidden="false" customHeight="false" outlineLevel="0" collapsed="false">
      <c r="AO4357" s="8" t="str">
        <f aca="false">IF(A4357="","",IF(COUNTIFS(全馬データ!$A$2:$A$50000,A4357,全馬データ!$B$2:$B$50000,B4357,全馬データ!$C$2:$C$50000,C4357,全馬データ!$D$2:$D$50000,E4357,全馬データ!$K$2:$K$50000,"&lt;&gt;")=0,"",SUMIFS(全馬データ!$K$2:$K$50000,全馬データ!$A$2:$A$50000,A4357,全馬データ!$B$2:$B$50000,B4357,全馬データ!$C$2:$C$50000,C4357,全馬データ!$D$2:$D$50000,E4357)))</f>
        <v/>
      </c>
      <c r="AP4357" s="8" t="str">
        <f aca="false">IF(A4357="","",IF(AO4357="","欠損",IF(AO4357&lt;=1.1,"1.0～1.1",IF(AO4357&lt;1.3,"1.2",IF(AO4357&lt;1.5,"1.3～1.4",IF(AO4357&lt;2,"1.5～1.9","2.0以上"))))))</f>
        <v/>
      </c>
      <c r="AQ4357" s="8" t="str">
        <f aca="false">IF(A4357="","",IF(ISNUMBER(SEARCH("2歳",Z4357)),"2歳戦",IF(ISNUMBER(SEARCH("3歳未勝利",Z4357)),"3歳未勝利",IF(ISNUMBER(SEARCH("未勝利",Z4357)),"その他未勝利",IF(ISNUMBER(SEARCH("G1",Z4357)),"G1",IF(ISNUMBER(SEARCH("G2",Z4357)),"G2",IF(ISNUMBER(SEARCH("G3",Z4357)),"G3",IF(ISNUMBER(SEARCH("古馬条件",Z4357)),"古馬条件戦",IF(ISNUMBER(SEARCH("重賞",Z4357)),"重賞","分類不能")))))))))</f>
        <v/>
      </c>
    </row>
    <row r="4358" customFormat="false" ht="15.75" hidden="false" customHeight="false" outlineLevel="0" collapsed="false">
      <c r="AO4358" s="8" t="str">
        <f aca="false">IF(A4358="","",IF(COUNTIFS(全馬データ!$A$2:$A$50000,A4358,全馬データ!$B$2:$B$50000,B4358,全馬データ!$C$2:$C$50000,C4358,全馬データ!$D$2:$D$50000,E4358,全馬データ!$K$2:$K$50000,"&lt;&gt;")=0,"",SUMIFS(全馬データ!$K$2:$K$50000,全馬データ!$A$2:$A$50000,A4358,全馬データ!$B$2:$B$50000,B4358,全馬データ!$C$2:$C$50000,C4358,全馬データ!$D$2:$D$50000,E4358)))</f>
        <v/>
      </c>
      <c r="AP4358" s="8" t="str">
        <f aca="false">IF(A4358="","",IF(AO4358="","欠損",IF(AO4358&lt;=1.1,"1.0～1.1",IF(AO4358&lt;1.3,"1.2",IF(AO4358&lt;1.5,"1.3～1.4",IF(AO4358&lt;2,"1.5～1.9","2.0以上"))))))</f>
        <v/>
      </c>
      <c r="AQ4358" s="8" t="str">
        <f aca="false">IF(A4358="","",IF(ISNUMBER(SEARCH("2歳",Z4358)),"2歳戦",IF(ISNUMBER(SEARCH("3歳未勝利",Z4358)),"3歳未勝利",IF(ISNUMBER(SEARCH("未勝利",Z4358)),"その他未勝利",IF(ISNUMBER(SEARCH("G1",Z4358)),"G1",IF(ISNUMBER(SEARCH("G2",Z4358)),"G2",IF(ISNUMBER(SEARCH("G3",Z4358)),"G3",IF(ISNUMBER(SEARCH("古馬条件",Z4358)),"古馬条件戦",IF(ISNUMBER(SEARCH("重賞",Z4358)),"重賞","分類不能")))))))))</f>
        <v/>
      </c>
    </row>
    <row r="4359" customFormat="false" ht="15.75" hidden="false" customHeight="false" outlineLevel="0" collapsed="false">
      <c r="AO4359" s="8" t="str">
        <f aca="false">IF(A4359="","",IF(COUNTIFS(全馬データ!$A$2:$A$50000,A4359,全馬データ!$B$2:$B$50000,B4359,全馬データ!$C$2:$C$50000,C4359,全馬データ!$D$2:$D$50000,E4359,全馬データ!$K$2:$K$50000,"&lt;&gt;")=0,"",SUMIFS(全馬データ!$K$2:$K$50000,全馬データ!$A$2:$A$50000,A4359,全馬データ!$B$2:$B$50000,B4359,全馬データ!$C$2:$C$50000,C4359,全馬データ!$D$2:$D$50000,E4359)))</f>
        <v/>
      </c>
      <c r="AP4359" s="8" t="str">
        <f aca="false">IF(A4359="","",IF(AO4359="","欠損",IF(AO4359&lt;=1.1,"1.0～1.1",IF(AO4359&lt;1.3,"1.2",IF(AO4359&lt;1.5,"1.3～1.4",IF(AO4359&lt;2,"1.5～1.9","2.0以上"))))))</f>
        <v/>
      </c>
      <c r="AQ4359" s="8" t="str">
        <f aca="false">IF(A4359="","",IF(ISNUMBER(SEARCH("2歳",Z4359)),"2歳戦",IF(ISNUMBER(SEARCH("3歳未勝利",Z4359)),"3歳未勝利",IF(ISNUMBER(SEARCH("未勝利",Z4359)),"その他未勝利",IF(ISNUMBER(SEARCH("G1",Z4359)),"G1",IF(ISNUMBER(SEARCH("G2",Z4359)),"G2",IF(ISNUMBER(SEARCH("G3",Z4359)),"G3",IF(ISNUMBER(SEARCH("古馬条件",Z4359)),"古馬条件戦",IF(ISNUMBER(SEARCH("重賞",Z4359)),"重賞","分類不能")))))))))</f>
        <v/>
      </c>
    </row>
    <row r="4360" customFormat="false" ht="15.75" hidden="false" customHeight="false" outlineLevel="0" collapsed="false">
      <c r="AO4360" s="8" t="str">
        <f aca="false">IF(A4360="","",IF(COUNTIFS(全馬データ!$A$2:$A$50000,A4360,全馬データ!$B$2:$B$50000,B4360,全馬データ!$C$2:$C$50000,C4360,全馬データ!$D$2:$D$50000,E4360,全馬データ!$K$2:$K$50000,"&lt;&gt;")=0,"",SUMIFS(全馬データ!$K$2:$K$50000,全馬データ!$A$2:$A$50000,A4360,全馬データ!$B$2:$B$50000,B4360,全馬データ!$C$2:$C$50000,C4360,全馬データ!$D$2:$D$50000,E4360)))</f>
        <v/>
      </c>
      <c r="AP4360" s="8" t="str">
        <f aca="false">IF(A4360="","",IF(AO4360="","欠損",IF(AO4360&lt;=1.1,"1.0～1.1",IF(AO4360&lt;1.3,"1.2",IF(AO4360&lt;1.5,"1.3～1.4",IF(AO4360&lt;2,"1.5～1.9","2.0以上"))))))</f>
        <v/>
      </c>
      <c r="AQ4360" s="8" t="str">
        <f aca="false">IF(A4360="","",IF(ISNUMBER(SEARCH("2歳",Z4360)),"2歳戦",IF(ISNUMBER(SEARCH("3歳未勝利",Z4360)),"3歳未勝利",IF(ISNUMBER(SEARCH("未勝利",Z4360)),"その他未勝利",IF(ISNUMBER(SEARCH("G1",Z4360)),"G1",IF(ISNUMBER(SEARCH("G2",Z4360)),"G2",IF(ISNUMBER(SEARCH("G3",Z4360)),"G3",IF(ISNUMBER(SEARCH("古馬条件",Z4360)),"古馬条件戦",IF(ISNUMBER(SEARCH("重賞",Z4360)),"重賞","分類不能")))))))))</f>
        <v/>
      </c>
    </row>
    <row r="4361" customFormat="false" ht="15.75" hidden="false" customHeight="false" outlineLevel="0" collapsed="false">
      <c r="AO4361" s="8" t="str">
        <f aca="false">IF(A4361="","",IF(COUNTIFS(全馬データ!$A$2:$A$50000,A4361,全馬データ!$B$2:$B$50000,B4361,全馬データ!$C$2:$C$50000,C4361,全馬データ!$D$2:$D$50000,E4361,全馬データ!$K$2:$K$50000,"&lt;&gt;")=0,"",SUMIFS(全馬データ!$K$2:$K$50000,全馬データ!$A$2:$A$50000,A4361,全馬データ!$B$2:$B$50000,B4361,全馬データ!$C$2:$C$50000,C4361,全馬データ!$D$2:$D$50000,E4361)))</f>
        <v/>
      </c>
      <c r="AP4361" s="8" t="str">
        <f aca="false">IF(A4361="","",IF(AO4361="","欠損",IF(AO4361&lt;=1.1,"1.0～1.1",IF(AO4361&lt;1.3,"1.2",IF(AO4361&lt;1.5,"1.3～1.4",IF(AO4361&lt;2,"1.5～1.9","2.0以上"))))))</f>
        <v/>
      </c>
      <c r="AQ4361" s="8" t="str">
        <f aca="false">IF(A4361="","",IF(ISNUMBER(SEARCH("2歳",Z4361)),"2歳戦",IF(ISNUMBER(SEARCH("3歳未勝利",Z4361)),"3歳未勝利",IF(ISNUMBER(SEARCH("未勝利",Z4361)),"その他未勝利",IF(ISNUMBER(SEARCH("G1",Z4361)),"G1",IF(ISNUMBER(SEARCH("G2",Z4361)),"G2",IF(ISNUMBER(SEARCH("G3",Z4361)),"G3",IF(ISNUMBER(SEARCH("古馬条件",Z4361)),"古馬条件戦",IF(ISNUMBER(SEARCH("重賞",Z4361)),"重賞","分類不能")))))))))</f>
        <v/>
      </c>
    </row>
    <row r="4362" customFormat="false" ht="15.75" hidden="false" customHeight="false" outlineLevel="0" collapsed="false">
      <c r="AO4362" s="8" t="str">
        <f aca="false">IF(A4362="","",IF(COUNTIFS(全馬データ!$A$2:$A$50000,A4362,全馬データ!$B$2:$B$50000,B4362,全馬データ!$C$2:$C$50000,C4362,全馬データ!$D$2:$D$50000,E4362,全馬データ!$K$2:$K$50000,"&lt;&gt;")=0,"",SUMIFS(全馬データ!$K$2:$K$50000,全馬データ!$A$2:$A$50000,A4362,全馬データ!$B$2:$B$50000,B4362,全馬データ!$C$2:$C$50000,C4362,全馬データ!$D$2:$D$50000,E4362)))</f>
        <v/>
      </c>
      <c r="AP4362" s="8" t="str">
        <f aca="false">IF(A4362="","",IF(AO4362="","欠損",IF(AO4362&lt;=1.1,"1.0～1.1",IF(AO4362&lt;1.3,"1.2",IF(AO4362&lt;1.5,"1.3～1.4",IF(AO4362&lt;2,"1.5～1.9","2.0以上"))))))</f>
        <v/>
      </c>
      <c r="AQ4362" s="8" t="str">
        <f aca="false">IF(A4362="","",IF(ISNUMBER(SEARCH("2歳",Z4362)),"2歳戦",IF(ISNUMBER(SEARCH("3歳未勝利",Z4362)),"3歳未勝利",IF(ISNUMBER(SEARCH("未勝利",Z4362)),"その他未勝利",IF(ISNUMBER(SEARCH("G1",Z4362)),"G1",IF(ISNUMBER(SEARCH("G2",Z4362)),"G2",IF(ISNUMBER(SEARCH("G3",Z4362)),"G3",IF(ISNUMBER(SEARCH("古馬条件",Z4362)),"古馬条件戦",IF(ISNUMBER(SEARCH("重賞",Z4362)),"重賞","分類不能")))))))))</f>
        <v/>
      </c>
    </row>
    <row r="4363" customFormat="false" ht="15.75" hidden="false" customHeight="false" outlineLevel="0" collapsed="false">
      <c r="AO4363" s="8" t="str">
        <f aca="false">IF(A4363="","",IF(COUNTIFS(全馬データ!$A$2:$A$50000,A4363,全馬データ!$B$2:$B$50000,B4363,全馬データ!$C$2:$C$50000,C4363,全馬データ!$D$2:$D$50000,E4363,全馬データ!$K$2:$K$50000,"&lt;&gt;")=0,"",SUMIFS(全馬データ!$K$2:$K$50000,全馬データ!$A$2:$A$50000,A4363,全馬データ!$B$2:$B$50000,B4363,全馬データ!$C$2:$C$50000,C4363,全馬データ!$D$2:$D$50000,E4363)))</f>
        <v/>
      </c>
      <c r="AP4363" s="8" t="str">
        <f aca="false">IF(A4363="","",IF(AO4363="","欠損",IF(AO4363&lt;=1.1,"1.0～1.1",IF(AO4363&lt;1.3,"1.2",IF(AO4363&lt;1.5,"1.3～1.4",IF(AO4363&lt;2,"1.5～1.9","2.0以上"))))))</f>
        <v/>
      </c>
      <c r="AQ4363" s="8" t="str">
        <f aca="false">IF(A4363="","",IF(ISNUMBER(SEARCH("2歳",Z4363)),"2歳戦",IF(ISNUMBER(SEARCH("3歳未勝利",Z4363)),"3歳未勝利",IF(ISNUMBER(SEARCH("未勝利",Z4363)),"その他未勝利",IF(ISNUMBER(SEARCH("G1",Z4363)),"G1",IF(ISNUMBER(SEARCH("G2",Z4363)),"G2",IF(ISNUMBER(SEARCH("G3",Z4363)),"G3",IF(ISNUMBER(SEARCH("古馬条件",Z4363)),"古馬条件戦",IF(ISNUMBER(SEARCH("重賞",Z4363)),"重賞","分類不能")))))))))</f>
        <v/>
      </c>
    </row>
    <row r="4364" customFormat="false" ht="15.75" hidden="false" customHeight="false" outlineLevel="0" collapsed="false">
      <c r="AO4364" s="8" t="str">
        <f aca="false">IF(A4364="","",IF(COUNTIFS(全馬データ!$A$2:$A$50000,A4364,全馬データ!$B$2:$B$50000,B4364,全馬データ!$C$2:$C$50000,C4364,全馬データ!$D$2:$D$50000,E4364,全馬データ!$K$2:$K$50000,"&lt;&gt;")=0,"",SUMIFS(全馬データ!$K$2:$K$50000,全馬データ!$A$2:$A$50000,A4364,全馬データ!$B$2:$B$50000,B4364,全馬データ!$C$2:$C$50000,C4364,全馬データ!$D$2:$D$50000,E4364)))</f>
        <v/>
      </c>
      <c r="AP4364" s="8" t="str">
        <f aca="false">IF(A4364="","",IF(AO4364="","欠損",IF(AO4364&lt;=1.1,"1.0～1.1",IF(AO4364&lt;1.3,"1.2",IF(AO4364&lt;1.5,"1.3～1.4",IF(AO4364&lt;2,"1.5～1.9","2.0以上"))))))</f>
        <v/>
      </c>
      <c r="AQ4364" s="8" t="str">
        <f aca="false">IF(A4364="","",IF(ISNUMBER(SEARCH("2歳",Z4364)),"2歳戦",IF(ISNUMBER(SEARCH("3歳未勝利",Z4364)),"3歳未勝利",IF(ISNUMBER(SEARCH("未勝利",Z4364)),"その他未勝利",IF(ISNUMBER(SEARCH("G1",Z4364)),"G1",IF(ISNUMBER(SEARCH("G2",Z4364)),"G2",IF(ISNUMBER(SEARCH("G3",Z4364)),"G3",IF(ISNUMBER(SEARCH("古馬条件",Z4364)),"古馬条件戦",IF(ISNUMBER(SEARCH("重賞",Z4364)),"重賞","分類不能")))))))))</f>
        <v/>
      </c>
    </row>
    <row r="4365" customFormat="false" ht="15.75" hidden="false" customHeight="false" outlineLevel="0" collapsed="false">
      <c r="AO4365" s="8" t="str">
        <f aca="false">IF(A4365="","",IF(COUNTIFS(全馬データ!$A$2:$A$50000,A4365,全馬データ!$B$2:$B$50000,B4365,全馬データ!$C$2:$C$50000,C4365,全馬データ!$D$2:$D$50000,E4365,全馬データ!$K$2:$K$50000,"&lt;&gt;")=0,"",SUMIFS(全馬データ!$K$2:$K$50000,全馬データ!$A$2:$A$50000,A4365,全馬データ!$B$2:$B$50000,B4365,全馬データ!$C$2:$C$50000,C4365,全馬データ!$D$2:$D$50000,E4365)))</f>
        <v/>
      </c>
      <c r="AP4365" s="8" t="str">
        <f aca="false">IF(A4365="","",IF(AO4365="","欠損",IF(AO4365&lt;=1.1,"1.0～1.1",IF(AO4365&lt;1.3,"1.2",IF(AO4365&lt;1.5,"1.3～1.4",IF(AO4365&lt;2,"1.5～1.9","2.0以上"))))))</f>
        <v/>
      </c>
      <c r="AQ4365" s="8" t="str">
        <f aca="false">IF(A4365="","",IF(ISNUMBER(SEARCH("2歳",Z4365)),"2歳戦",IF(ISNUMBER(SEARCH("3歳未勝利",Z4365)),"3歳未勝利",IF(ISNUMBER(SEARCH("未勝利",Z4365)),"その他未勝利",IF(ISNUMBER(SEARCH("G1",Z4365)),"G1",IF(ISNUMBER(SEARCH("G2",Z4365)),"G2",IF(ISNUMBER(SEARCH("G3",Z4365)),"G3",IF(ISNUMBER(SEARCH("古馬条件",Z4365)),"古馬条件戦",IF(ISNUMBER(SEARCH("重賞",Z4365)),"重賞","分類不能")))))))))</f>
        <v/>
      </c>
    </row>
    <row r="4366" customFormat="false" ht="15.75" hidden="false" customHeight="false" outlineLevel="0" collapsed="false">
      <c r="AO4366" s="8" t="str">
        <f aca="false">IF(A4366="","",IF(COUNTIFS(全馬データ!$A$2:$A$50000,A4366,全馬データ!$B$2:$B$50000,B4366,全馬データ!$C$2:$C$50000,C4366,全馬データ!$D$2:$D$50000,E4366,全馬データ!$K$2:$K$50000,"&lt;&gt;")=0,"",SUMIFS(全馬データ!$K$2:$K$50000,全馬データ!$A$2:$A$50000,A4366,全馬データ!$B$2:$B$50000,B4366,全馬データ!$C$2:$C$50000,C4366,全馬データ!$D$2:$D$50000,E4366)))</f>
        <v/>
      </c>
      <c r="AP4366" s="8" t="str">
        <f aca="false">IF(A4366="","",IF(AO4366="","欠損",IF(AO4366&lt;=1.1,"1.0～1.1",IF(AO4366&lt;1.3,"1.2",IF(AO4366&lt;1.5,"1.3～1.4",IF(AO4366&lt;2,"1.5～1.9","2.0以上"))))))</f>
        <v/>
      </c>
      <c r="AQ4366" s="8" t="str">
        <f aca="false">IF(A4366="","",IF(ISNUMBER(SEARCH("2歳",Z4366)),"2歳戦",IF(ISNUMBER(SEARCH("3歳未勝利",Z4366)),"3歳未勝利",IF(ISNUMBER(SEARCH("未勝利",Z4366)),"その他未勝利",IF(ISNUMBER(SEARCH("G1",Z4366)),"G1",IF(ISNUMBER(SEARCH("G2",Z4366)),"G2",IF(ISNUMBER(SEARCH("G3",Z4366)),"G3",IF(ISNUMBER(SEARCH("古馬条件",Z4366)),"古馬条件戦",IF(ISNUMBER(SEARCH("重賞",Z4366)),"重賞","分類不能")))))))))</f>
        <v/>
      </c>
    </row>
    <row r="4367" customFormat="false" ht="15.75" hidden="false" customHeight="false" outlineLevel="0" collapsed="false">
      <c r="AO4367" s="8" t="str">
        <f aca="false">IF(A4367="","",IF(COUNTIFS(全馬データ!$A$2:$A$50000,A4367,全馬データ!$B$2:$B$50000,B4367,全馬データ!$C$2:$C$50000,C4367,全馬データ!$D$2:$D$50000,E4367,全馬データ!$K$2:$K$50000,"&lt;&gt;")=0,"",SUMIFS(全馬データ!$K$2:$K$50000,全馬データ!$A$2:$A$50000,A4367,全馬データ!$B$2:$B$50000,B4367,全馬データ!$C$2:$C$50000,C4367,全馬データ!$D$2:$D$50000,E4367)))</f>
        <v/>
      </c>
      <c r="AP4367" s="8" t="str">
        <f aca="false">IF(A4367="","",IF(AO4367="","欠損",IF(AO4367&lt;=1.1,"1.0～1.1",IF(AO4367&lt;1.3,"1.2",IF(AO4367&lt;1.5,"1.3～1.4",IF(AO4367&lt;2,"1.5～1.9","2.0以上"))))))</f>
        <v/>
      </c>
      <c r="AQ4367" s="8" t="str">
        <f aca="false">IF(A4367="","",IF(ISNUMBER(SEARCH("2歳",Z4367)),"2歳戦",IF(ISNUMBER(SEARCH("3歳未勝利",Z4367)),"3歳未勝利",IF(ISNUMBER(SEARCH("未勝利",Z4367)),"その他未勝利",IF(ISNUMBER(SEARCH("G1",Z4367)),"G1",IF(ISNUMBER(SEARCH("G2",Z4367)),"G2",IF(ISNUMBER(SEARCH("G3",Z4367)),"G3",IF(ISNUMBER(SEARCH("古馬条件",Z4367)),"古馬条件戦",IF(ISNUMBER(SEARCH("重賞",Z4367)),"重賞","分類不能")))))))))</f>
        <v/>
      </c>
    </row>
    <row r="4368" customFormat="false" ht="15.75" hidden="false" customHeight="false" outlineLevel="0" collapsed="false">
      <c r="AO4368" s="8" t="str">
        <f aca="false">IF(A4368="","",IF(COUNTIFS(全馬データ!$A$2:$A$50000,A4368,全馬データ!$B$2:$B$50000,B4368,全馬データ!$C$2:$C$50000,C4368,全馬データ!$D$2:$D$50000,E4368,全馬データ!$K$2:$K$50000,"&lt;&gt;")=0,"",SUMIFS(全馬データ!$K$2:$K$50000,全馬データ!$A$2:$A$50000,A4368,全馬データ!$B$2:$B$50000,B4368,全馬データ!$C$2:$C$50000,C4368,全馬データ!$D$2:$D$50000,E4368)))</f>
        <v/>
      </c>
      <c r="AP4368" s="8" t="str">
        <f aca="false">IF(A4368="","",IF(AO4368="","欠損",IF(AO4368&lt;=1.1,"1.0～1.1",IF(AO4368&lt;1.3,"1.2",IF(AO4368&lt;1.5,"1.3～1.4",IF(AO4368&lt;2,"1.5～1.9","2.0以上"))))))</f>
        <v/>
      </c>
      <c r="AQ4368" s="8" t="str">
        <f aca="false">IF(A4368="","",IF(ISNUMBER(SEARCH("2歳",Z4368)),"2歳戦",IF(ISNUMBER(SEARCH("3歳未勝利",Z4368)),"3歳未勝利",IF(ISNUMBER(SEARCH("未勝利",Z4368)),"その他未勝利",IF(ISNUMBER(SEARCH("G1",Z4368)),"G1",IF(ISNUMBER(SEARCH("G2",Z4368)),"G2",IF(ISNUMBER(SEARCH("G3",Z4368)),"G3",IF(ISNUMBER(SEARCH("古馬条件",Z4368)),"古馬条件戦",IF(ISNUMBER(SEARCH("重賞",Z4368)),"重賞","分類不能")))))))))</f>
        <v/>
      </c>
    </row>
    <row r="4369" customFormat="false" ht="15.75" hidden="false" customHeight="false" outlineLevel="0" collapsed="false">
      <c r="AO4369" s="8" t="str">
        <f aca="false">IF(A4369="","",IF(COUNTIFS(全馬データ!$A$2:$A$50000,A4369,全馬データ!$B$2:$B$50000,B4369,全馬データ!$C$2:$C$50000,C4369,全馬データ!$D$2:$D$50000,E4369,全馬データ!$K$2:$K$50000,"&lt;&gt;")=0,"",SUMIFS(全馬データ!$K$2:$K$50000,全馬データ!$A$2:$A$50000,A4369,全馬データ!$B$2:$B$50000,B4369,全馬データ!$C$2:$C$50000,C4369,全馬データ!$D$2:$D$50000,E4369)))</f>
        <v/>
      </c>
      <c r="AP4369" s="8" t="str">
        <f aca="false">IF(A4369="","",IF(AO4369="","欠損",IF(AO4369&lt;=1.1,"1.0～1.1",IF(AO4369&lt;1.3,"1.2",IF(AO4369&lt;1.5,"1.3～1.4",IF(AO4369&lt;2,"1.5～1.9","2.0以上"))))))</f>
        <v/>
      </c>
      <c r="AQ4369" s="8" t="str">
        <f aca="false">IF(A4369="","",IF(ISNUMBER(SEARCH("2歳",Z4369)),"2歳戦",IF(ISNUMBER(SEARCH("3歳未勝利",Z4369)),"3歳未勝利",IF(ISNUMBER(SEARCH("未勝利",Z4369)),"その他未勝利",IF(ISNUMBER(SEARCH("G1",Z4369)),"G1",IF(ISNUMBER(SEARCH("G2",Z4369)),"G2",IF(ISNUMBER(SEARCH("G3",Z4369)),"G3",IF(ISNUMBER(SEARCH("古馬条件",Z4369)),"古馬条件戦",IF(ISNUMBER(SEARCH("重賞",Z4369)),"重賞","分類不能")))))))))</f>
        <v/>
      </c>
    </row>
    <row r="4370" customFormat="false" ht="15.75" hidden="false" customHeight="false" outlineLevel="0" collapsed="false">
      <c r="AO4370" s="8" t="str">
        <f aca="false">IF(A4370="","",IF(COUNTIFS(全馬データ!$A$2:$A$50000,A4370,全馬データ!$B$2:$B$50000,B4370,全馬データ!$C$2:$C$50000,C4370,全馬データ!$D$2:$D$50000,E4370,全馬データ!$K$2:$K$50000,"&lt;&gt;")=0,"",SUMIFS(全馬データ!$K$2:$K$50000,全馬データ!$A$2:$A$50000,A4370,全馬データ!$B$2:$B$50000,B4370,全馬データ!$C$2:$C$50000,C4370,全馬データ!$D$2:$D$50000,E4370)))</f>
        <v/>
      </c>
      <c r="AP4370" s="8" t="str">
        <f aca="false">IF(A4370="","",IF(AO4370="","欠損",IF(AO4370&lt;=1.1,"1.0～1.1",IF(AO4370&lt;1.3,"1.2",IF(AO4370&lt;1.5,"1.3～1.4",IF(AO4370&lt;2,"1.5～1.9","2.0以上"))))))</f>
        <v/>
      </c>
      <c r="AQ4370" s="8" t="str">
        <f aca="false">IF(A4370="","",IF(ISNUMBER(SEARCH("2歳",Z4370)),"2歳戦",IF(ISNUMBER(SEARCH("3歳未勝利",Z4370)),"3歳未勝利",IF(ISNUMBER(SEARCH("未勝利",Z4370)),"その他未勝利",IF(ISNUMBER(SEARCH("G1",Z4370)),"G1",IF(ISNUMBER(SEARCH("G2",Z4370)),"G2",IF(ISNUMBER(SEARCH("G3",Z4370)),"G3",IF(ISNUMBER(SEARCH("古馬条件",Z4370)),"古馬条件戦",IF(ISNUMBER(SEARCH("重賞",Z4370)),"重賞","分類不能")))))))))</f>
        <v/>
      </c>
    </row>
    <row r="4371" customFormat="false" ht="15.75" hidden="false" customHeight="false" outlineLevel="0" collapsed="false">
      <c r="AO4371" s="8" t="str">
        <f aca="false">IF(A4371="","",IF(COUNTIFS(全馬データ!$A$2:$A$50000,A4371,全馬データ!$B$2:$B$50000,B4371,全馬データ!$C$2:$C$50000,C4371,全馬データ!$D$2:$D$50000,E4371,全馬データ!$K$2:$K$50000,"&lt;&gt;")=0,"",SUMIFS(全馬データ!$K$2:$K$50000,全馬データ!$A$2:$A$50000,A4371,全馬データ!$B$2:$B$50000,B4371,全馬データ!$C$2:$C$50000,C4371,全馬データ!$D$2:$D$50000,E4371)))</f>
        <v/>
      </c>
      <c r="AP4371" s="8" t="str">
        <f aca="false">IF(A4371="","",IF(AO4371="","欠損",IF(AO4371&lt;=1.1,"1.0～1.1",IF(AO4371&lt;1.3,"1.2",IF(AO4371&lt;1.5,"1.3～1.4",IF(AO4371&lt;2,"1.5～1.9","2.0以上"))))))</f>
        <v/>
      </c>
      <c r="AQ4371" s="8" t="str">
        <f aca="false">IF(A4371="","",IF(ISNUMBER(SEARCH("2歳",Z4371)),"2歳戦",IF(ISNUMBER(SEARCH("3歳未勝利",Z4371)),"3歳未勝利",IF(ISNUMBER(SEARCH("未勝利",Z4371)),"その他未勝利",IF(ISNUMBER(SEARCH("G1",Z4371)),"G1",IF(ISNUMBER(SEARCH("G2",Z4371)),"G2",IF(ISNUMBER(SEARCH("G3",Z4371)),"G3",IF(ISNUMBER(SEARCH("古馬条件",Z4371)),"古馬条件戦",IF(ISNUMBER(SEARCH("重賞",Z4371)),"重賞","分類不能")))))))))</f>
        <v/>
      </c>
    </row>
    <row r="4372" customFormat="false" ht="15.75" hidden="false" customHeight="false" outlineLevel="0" collapsed="false">
      <c r="AO4372" s="8" t="str">
        <f aca="false">IF(A4372="","",IF(COUNTIFS(全馬データ!$A$2:$A$50000,A4372,全馬データ!$B$2:$B$50000,B4372,全馬データ!$C$2:$C$50000,C4372,全馬データ!$D$2:$D$50000,E4372,全馬データ!$K$2:$K$50000,"&lt;&gt;")=0,"",SUMIFS(全馬データ!$K$2:$K$50000,全馬データ!$A$2:$A$50000,A4372,全馬データ!$B$2:$B$50000,B4372,全馬データ!$C$2:$C$50000,C4372,全馬データ!$D$2:$D$50000,E4372)))</f>
        <v/>
      </c>
      <c r="AP4372" s="8" t="str">
        <f aca="false">IF(A4372="","",IF(AO4372="","欠損",IF(AO4372&lt;=1.1,"1.0～1.1",IF(AO4372&lt;1.3,"1.2",IF(AO4372&lt;1.5,"1.3～1.4",IF(AO4372&lt;2,"1.5～1.9","2.0以上"))))))</f>
        <v/>
      </c>
      <c r="AQ4372" s="8" t="str">
        <f aca="false">IF(A4372="","",IF(ISNUMBER(SEARCH("2歳",Z4372)),"2歳戦",IF(ISNUMBER(SEARCH("3歳未勝利",Z4372)),"3歳未勝利",IF(ISNUMBER(SEARCH("未勝利",Z4372)),"その他未勝利",IF(ISNUMBER(SEARCH("G1",Z4372)),"G1",IF(ISNUMBER(SEARCH("G2",Z4372)),"G2",IF(ISNUMBER(SEARCH("G3",Z4372)),"G3",IF(ISNUMBER(SEARCH("古馬条件",Z4372)),"古馬条件戦",IF(ISNUMBER(SEARCH("重賞",Z4372)),"重賞","分類不能")))))))))</f>
        <v/>
      </c>
    </row>
    <row r="4373" customFormat="false" ht="15.75" hidden="false" customHeight="false" outlineLevel="0" collapsed="false">
      <c r="AO4373" s="8" t="str">
        <f aca="false">IF(A4373="","",IF(COUNTIFS(全馬データ!$A$2:$A$50000,A4373,全馬データ!$B$2:$B$50000,B4373,全馬データ!$C$2:$C$50000,C4373,全馬データ!$D$2:$D$50000,E4373,全馬データ!$K$2:$K$50000,"&lt;&gt;")=0,"",SUMIFS(全馬データ!$K$2:$K$50000,全馬データ!$A$2:$A$50000,A4373,全馬データ!$B$2:$B$50000,B4373,全馬データ!$C$2:$C$50000,C4373,全馬データ!$D$2:$D$50000,E4373)))</f>
        <v/>
      </c>
      <c r="AP4373" s="8" t="str">
        <f aca="false">IF(A4373="","",IF(AO4373="","欠損",IF(AO4373&lt;=1.1,"1.0～1.1",IF(AO4373&lt;1.3,"1.2",IF(AO4373&lt;1.5,"1.3～1.4",IF(AO4373&lt;2,"1.5～1.9","2.0以上"))))))</f>
        <v/>
      </c>
      <c r="AQ4373" s="8" t="str">
        <f aca="false">IF(A4373="","",IF(ISNUMBER(SEARCH("2歳",Z4373)),"2歳戦",IF(ISNUMBER(SEARCH("3歳未勝利",Z4373)),"3歳未勝利",IF(ISNUMBER(SEARCH("未勝利",Z4373)),"その他未勝利",IF(ISNUMBER(SEARCH("G1",Z4373)),"G1",IF(ISNUMBER(SEARCH("G2",Z4373)),"G2",IF(ISNUMBER(SEARCH("G3",Z4373)),"G3",IF(ISNUMBER(SEARCH("古馬条件",Z4373)),"古馬条件戦",IF(ISNUMBER(SEARCH("重賞",Z4373)),"重賞","分類不能")))))))))</f>
        <v/>
      </c>
    </row>
    <row r="4374" customFormat="false" ht="15.75" hidden="false" customHeight="false" outlineLevel="0" collapsed="false">
      <c r="AO4374" s="8" t="str">
        <f aca="false">IF(A4374="","",IF(COUNTIFS(全馬データ!$A$2:$A$50000,A4374,全馬データ!$B$2:$B$50000,B4374,全馬データ!$C$2:$C$50000,C4374,全馬データ!$D$2:$D$50000,E4374,全馬データ!$K$2:$K$50000,"&lt;&gt;")=0,"",SUMIFS(全馬データ!$K$2:$K$50000,全馬データ!$A$2:$A$50000,A4374,全馬データ!$B$2:$B$50000,B4374,全馬データ!$C$2:$C$50000,C4374,全馬データ!$D$2:$D$50000,E4374)))</f>
        <v/>
      </c>
      <c r="AP4374" s="8" t="str">
        <f aca="false">IF(A4374="","",IF(AO4374="","欠損",IF(AO4374&lt;=1.1,"1.0～1.1",IF(AO4374&lt;1.3,"1.2",IF(AO4374&lt;1.5,"1.3～1.4",IF(AO4374&lt;2,"1.5～1.9","2.0以上"))))))</f>
        <v/>
      </c>
      <c r="AQ4374" s="8" t="str">
        <f aca="false">IF(A4374="","",IF(ISNUMBER(SEARCH("2歳",Z4374)),"2歳戦",IF(ISNUMBER(SEARCH("3歳未勝利",Z4374)),"3歳未勝利",IF(ISNUMBER(SEARCH("未勝利",Z4374)),"その他未勝利",IF(ISNUMBER(SEARCH("G1",Z4374)),"G1",IF(ISNUMBER(SEARCH("G2",Z4374)),"G2",IF(ISNUMBER(SEARCH("G3",Z4374)),"G3",IF(ISNUMBER(SEARCH("古馬条件",Z4374)),"古馬条件戦",IF(ISNUMBER(SEARCH("重賞",Z4374)),"重賞","分類不能")))))))))</f>
        <v/>
      </c>
    </row>
    <row r="4375" customFormat="false" ht="15.75" hidden="false" customHeight="false" outlineLevel="0" collapsed="false">
      <c r="AO4375" s="8" t="str">
        <f aca="false">IF(A4375="","",IF(COUNTIFS(全馬データ!$A$2:$A$50000,A4375,全馬データ!$B$2:$B$50000,B4375,全馬データ!$C$2:$C$50000,C4375,全馬データ!$D$2:$D$50000,E4375,全馬データ!$K$2:$K$50000,"&lt;&gt;")=0,"",SUMIFS(全馬データ!$K$2:$K$50000,全馬データ!$A$2:$A$50000,A4375,全馬データ!$B$2:$B$50000,B4375,全馬データ!$C$2:$C$50000,C4375,全馬データ!$D$2:$D$50000,E4375)))</f>
        <v/>
      </c>
      <c r="AP4375" s="8" t="str">
        <f aca="false">IF(A4375="","",IF(AO4375="","欠損",IF(AO4375&lt;=1.1,"1.0～1.1",IF(AO4375&lt;1.3,"1.2",IF(AO4375&lt;1.5,"1.3～1.4",IF(AO4375&lt;2,"1.5～1.9","2.0以上"))))))</f>
        <v/>
      </c>
      <c r="AQ4375" s="8" t="str">
        <f aca="false">IF(A4375="","",IF(ISNUMBER(SEARCH("2歳",Z4375)),"2歳戦",IF(ISNUMBER(SEARCH("3歳未勝利",Z4375)),"3歳未勝利",IF(ISNUMBER(SEARCH("未勝利",Z4375)),"その他未勝利",IF(ISNUMBER(SEARCH("G1",Z4375)),"G1",IF(ISNUMBER(SEARCH("G2",Z4375)),"G2",IF(ISNUMBER(SEARCH("G3",Z4375)),"G3",IF(ISNUMBER(SEARCH("古馬条件",Z4375)),"古馬条件戦",IF(ISNUMBER(SEARCH("重賞",Z4375)),"重賞","分類不能")))))))))</f>
        <v/>
      </c>
    </row>
    <row r="4376" customFormat="false" ht="15.75" hidden="false" customHeight="false" outlineLevel="0" collapsed="false">
      <c r="AO4376" s="8" t="str">
        <f aca="false">IF(A4376="","",IF(COUNTIFS(全馬データ!$A$2:$A$50000,A4376,全馬データ!$B$2:$B$50000,B4376,全馬データ!$C$2:$C$50000,C4376,全馬データ!$D$2:$D$50000,E4376,全馬データ!$K$2:$K$50000,"&lt;&gt;")=0,"",SUMIFS(全馬データ!$K$2:$K$50000,全馬データ!$A$2:$A$50000,A4376,全馬データ!$B$2:$B$50000,B4376,全馬データ!$C$2:$C$50000,C4376,全馬データ!$D$2:$D$50000,E4376)))</f>
        <v/>
      </c>
      <c r="AP4376" s="8" t="str">
        <f aca="false">IF(A4376="","",IF(AO4376="","欠損",IF(AO4376&lt;=1.1,"1.0～1.1",IF(AO4376&lt;1.3,"1.2",IF(AO4376&lt;1.5,"1.3～1.4",IF(AO4376&lt;2,"1.5～1.9","2.0以上"))))))</f>
        <v/>
      </c>
      <c r="AQ4376" s="8" t="str">
        <f aca="false">IF(A4376="","",IF(ISNUMBER(SEARCH("2歳",Z4376)),"2歳戦",IF(ISNUMBER(SEARCH("3歳未勝利",Z4376)),"3歳未勝利",IF(ISNUMBER(SEARCH("未勝利",Z4376)),"その他未勝利",IF(ISNUMBER(SEARCH("G1",Z4376)),"G1",IF(ISNUMBER(SEARCH("G2",Z4376)),"G2",IF(ISNUMBER(SEARCH("G3",Z4376)),"G3",IF(ISNUMBER(SEARCH("古馬条件",Z4376)),"古馬条件戦",IF(ISNUMBER(SEARCH("重賞",Z4376)),"重賞","分類不能")))))))))</f>
        <v/>
      </c>
    </row>
    <row r="4377" customFormat="false" ht="15.75" hidden="false" customHeight="false" outlineLevel="0" collapsed="false">
      <c r="AO4377" s="8" t="str">
        <f aca="false">IF(A4377="","",IF(COUNTIFS(全馬データ!$A$2:$A$50000,A4377,全馬データ!$B$2:$B$50000,B4377,全馬データ!$C$2:$C$50000,C4377,全馬データ!$D$2:$D$50000,E4377,全馬データ!$K$2:$K$50000,"&lt;&gt;")=0,"",SUMIFS(全馬データ!$K$2:$K$50000,全馬データ!$A$2:$A$50000,A4377,全馬データ!$B$2:$B$50000,B4377,全馬データ!$C$2:$C$50000,C4377,全馬データ!$D$2:$D$50000,E4377)))</f>
        <v/>
      </c>
      <c r="AP4377" s="8" t="str">
        <f aca="false">IF(A4377="","",IF(AO4377="","欠損",IF(AO4377&lt;=1.1,"1.0～1.1",IF(AO4377&lt;1.3,"1.2",IF(AO4377&lt;1.5,"1.3～1.4",IF(AO4377&lt;2,"1.5～1.9","2.0以上"))))))</f>
        <v/>
      </c>
      <c r="AQ4377" s="8" t="str">
        <f aca="false">IF(A4377="","",IF(ISNUMBER(SEARCH("2歳",Z4377)),"2歳戦",IF(ISNUMBER(SEARCH("3歳未勝利",Z4377)),"3歳未勝利",IF(ISNUMBER(SEARCH("未勝利",Z4377)),"その他未勝利",IF(ISNUMBER(SEARCH("G1",Z4377)),"G1",IF(ISNUMBER(SEARCH("G2",Z4377)),"G2",IF(ISNUMBER(SEARCH("G3",Z4377)),"G3",IF(ISNUMBER(SEARCH("古馬条件",Z4377)),"古馬条件戦",IF(ISNUMBER(SEARCH("重賞",Z4377)),"重賞","分類不能")))))))))</f>
        <v/>
      </c>
    </row>
    <row r="4378" customFormat="false" ht="15.75" hidden="false" customHeight="false" outlineLevel="0" collapsed="false">
      <c r="AO4378" s="8" t="str">
        <f aca="false">IF(A4378="","",IF(COUNTIFS(全馬データ!$A$2:$A$50000,A4378,全馬データ!$B$2:$B$50000,B4378,全馬データ!$C$2:$C$50000,C4378,全馬データ!$D$2:$D$50000,E4378,全馬データ!$K$2:$K$50000,"&lt;&gt;")=0,"",SUMIFS(全馬データ!$K$2:$K$50000,全馬データ!$A$2:$A$50000,A4378,全馬データ!$B$2:$B$50000,B4378,全馬データ!$C$2:$C$50000,C4378,全馬データ!$D$2:$D$50000,E4378)))</f>
        <v/>
      </c>
      <c r="AP4378" s="8" t="str">
        <f aca="false">IF(A4378="","",IF(AO4378="","欠損",IF(AO4378&lt;=1.1,"1.0～1.1",IF(AO4378&lt;1.3,"1.2",IF(AO4378&lt;1.5,"1.3～1.4",IF(AO4378&lt;2,"1.5～1.9","2.0以上"))))))</f>
        <v/>
      </c>
      <c r="AQ4378" s="8" t="str">
        <f aca="false">IF(A4378="","",IF(ISNUMBER(SEARCH("2歳",Z4378)),"2歳戦",IF(ISNUMBER(SEARCH("3歳未勝利",Z4378)),"3歳未勝利",IF(ISNUMBER(SEARCH("未勝利",Z4378)),"その他未勝利",IF(ISNUMBER(SEARCH("G1",Z4378)),"G1",IF(ISNUMBER(SEARCH("G2",Z4378)),"G2",IF(ISNUMBER(SEARCH("G3",Z4378)),"G3",IF(ISNUMBER(SEARCH("古馬条件",Z4378)),"古馬条件戦",IF(ISNUMBER(SEARCH("重賞",Z4378)),"重賞","分類不能")))))))))</f>
        <v/>
      </c>
    </row>
    <row r="4379" customFormat="false" ht="15.75" hidden="false" customHeight="false" outlineLevel="0" collapsed="false">
      <c r="AO4379" s="8" t="str">
        <f aca="false">IF(A4379="","",IF(COUNTIFS(全馬データ!$A$2:$A$50000,A4379,全馬データ!$B$2:$B$50000,B4379,全馬データ!$C$2:$C$50000,C4379,全馬データ!$D$2:$D$50000,E4379,全馬データ!$K$2:$K$50000,"&lt;&gt;")=0,"",SUMIFS(全馬データ!$K$2:$K$50000,全馬データ!$A$2:$A$50000,A4379,全馬データ!$B$2:$B$50000,B4379,全馬データ!$C$2:$C$50000,C4379,全馬データ!$D$2:$D$50000,E4379)))</f>
        <v/>
      </c>
      <c r="AP4379" s="8" t="str">
        <f aca="false">IF(A4379="","",IF(AO4379="","欠損",IF(AO4379&lt;=1.1,"1.0～1.1",IF(AO4379&lt;1.3,"1.2",IF(AO4379&lt;1.5,"1.3～1.4",IF(AO4379&lt;2,"1.5～1.9","2.0以上"))))))</f>
        <v/>
      </c>
      <c r="AQ4379" s="8" t="str">
        <f aca="false">IF(A4379="","",IF(ISNUMBER(SEARCH("2歳",Z4379)),"2歳戦",IF(ISNUMBER(SEARCH("3歳未勝利",Z4379)),"3歳未勝利",IF(ISNUMBER(SEARCH("未勝利",Z4379)),"その他未勝利",IF(ISNUMBER(SEARCH("G1",Z4379)),"G1",IF(ISNUMBER(SEARCH("G2",Z4379)),"G2",IF(ISNUMBER(SEARCH("G3",Z4379)),"G3",IF(ISNUMBER(SEARCH("古馬条件",Z4379)),"古馬条件戦",IF(ISNUMBER(SEARCH("重賞",Z4379)),"重賞","分類不能")))))))))</f>
        <v/>
      </c>
    </row>
    <row r="4380" customFormat="false" ht="15.75" hidden="false" customHeight="false" outlineLevel="0" collapsed="false">
      <c r="AO4380" s="8" t="str">
        <f aca="false">IF(A4380="","",IF(COUNTIFS(全馬データ!$A$2:$A$50000,A4380,全馬データ!$B$2:$B$50000,B4380,全馬データ!$C$2:$C$50000,C4380,全馬データ!$D$2:$D$50000,E4380,全馬データ!$K$2:$K$50000,"&lt;&gt;")=0,"",SUMIFS(全馬データ!$K$2:$K$50000,全馬データ!$A$2:$A$50000,A4380,全馬データ!$B$2:$B$50000,B4380,全馬データ!$C$2:$C$50000,C4380,全馬データ!$D$2:$D$50000,E4380)))</f>
        <v/>
      </c>
      <c r="AP4380" s="8" t="str">
        <f aca="false">IF(A4380="","",IF(AO4380="","欠損",IF(AO4380&lt;=1.1,"1.0～1.1",IF(AO4380&lt;1.3,"1.2",IF(AO4380&lt;1.5,"1.3～1.4",IF(AO4380&lt;2,"1.5～1.9","2.0以上"))))))</f>
        <v/>
      </c>
      <c r="AQ4380" s="8" t="str">
        <f aca="false">IF(A4380="","",IF(ISNUMBER(SEARCH("2歳",Z4380)),"2歳戦",IF(ISNUMBER(SEARCH("3歳未勝利",Z4380)),"3歳未勝利",IF(ISNUMBER(SEARCH("未勝利",Z4380)),"その他未勝利",IF(ISNUMBER(SEARCH("G1",Z4380)),"G1",IF(ISNUMBER(SEARCH("G2",Z4380)),"G2",IF(ISNUMBER(SEARCH("G3",Z4380)),"G3",IF(ISNUMBER(SEARCH("古馬条件",Z4380)),"古馬条件戦",IF(ISNUMBER(SEARCH("重賞",Z4380)),"重賞","分類不能")))))))))</f>
        <v/>
      </c>
    </row>
    <row r="4381" customFormat="false" ht="15.75" hidden="false" customHeight="false" outlineLevel="0" collapsed="false">
      <c r="AO4381" s="8" t="str">
        <f aca="false">IF(A4381="","",IF(COUNTIFS(全馬データ!$A$2:$A$50000,A4381,全馬データ!$B$2:$B$50000,B4381,全馬データ!$C$2:$C$50000,C4381,全馬データ!$D$2:$D$50000,E4381,全馬データ!$K$2:$K$50000,"&lt;&gt;")=0,"",SUMIFS(全馬データ!$K$2:$K$50000,全馬データ!$A$2:$A$50000,A4381,全馬データ!$B$2:$B$50000,B4381,全馬データ!$C$2:$C$50000,C4381,全馬データ!$D$2:$D$50000,E4381)))</f>
        <v/>
      </c>
      <c r="AP4381" s="8" t="str">
        <f aca="false">IF(A4381="","",IF(AO4381="","欠損",IF(AO4381&lt;=1.1,"1.0～1.1",IF(AO4381&lt;1.3,"1.2",IF(AO4381&lt;1.5,"1.3～1.4",IF(AO4381&lt;2,"1.5～1.9","2.0以上"))))))</f>
        <v/>
      </c>
      <c r="AQ4381" s="8" t="str">
        <f aca="false">IF(A4381="","",IF(ISNUMBER(SEARCH("2歳",Z4381)),"2歳戦",IF(ISNUMBER(SEARCH("3歳未勝利",Z4381)),"3歳未勝利",IF(ISNUMBER(SEARCH("未勝利",Z4381)),"その他未勝利",IF(ISNUMBER(SEARCH("G1",Z4381)),"G1",IF(ISNUMBER(SEARCH("G2",Z4381)),"G2",IF(ISNUMBER(SEARCH("G3",Z4381)),"G3",IF(ISNUMBER(SEARCH("古馬条件",Z4381)),"古馬条件戦",IF(ISNUMBER(SEARCH("重賞",Z4381)),"重賞","分類不能")))))))))</f>
        <v/>
      </c>
    </row>
    <row r="4382" customFormat="false" ht="15.75" hidden="false" customHeight="false" outlineLevel="0" collapsed="false">
      <c r="AO4382" s="8" t="str">
        <f aca="false">IF(A4382="","",IF(COUNTIFS(全馬データ!$A$2:$A$50000,A4382,全馬データ!$B$2:$B$50000,B4382,全馬データ!$C$2:$C$50000,C4382,全馬データ!$D$2:$D$50000,E4382,全馬データ!$K$2:$K$50000,"&lt;&gt;")=0,"",SUMIFS(全馬データ!$K$2:$K$50000,全馬データ!$A$2:$A$50000,A4382,全馬データ!$B$2:$B$50000,B4382,全馬データ!$C$2:$C$50000,C4382,全馬データ!$D$2:$D$50000,E4382)))</f>
        <v/>
      </c>
      <c r="AP4382" s="8" t="str">
        <f aca="false">IF(A4382="","",IF(AO4382="","欠損",IF(AO4382&lt;=1.1,"1.0～1.1",IF(AO4382&lt;1.3,"1.2",IF(AO4382&lt;1.5,"1.3～1.4",IF(AO4382&lt;2,"1.5～1.9","2.0以上"))))))</f>
        <v/>
      </c>
      <c r="AQ4382" s="8" t="str">
        <f aca="false">IF(A4382="","",IF(ISNUMBER(SEARCH("2歳",Z4382)),"2歳戦",IF(ISNUMBER(SEARCH("3歳未勝利",Z4382)),"3歳未勝利",IF(ISNUMBER(SEARCH("未勝利",Z4382)),"その他未勝利",IF(ISNUMBER(SEARCH("G1",Z4382)),"G1",IF(ISNUMBER(SEARCH("G2",Z4382)),"G2",IF(ISNUMBER(SEARCH("G3",Z4382)),"G3",IF(ISNUMBER(SEARCH("古馬条件",Z4382)),"古馬条件戦",IF(ISNUMBER(SEARCH("重賞",Z4382)),"重賞","分類不能")))))))))</f>
        <v/>
      </c>
    </row>
    <row r="4383" customFormat="false" ht="15.75" hidden="false" customHeight="false" outlineLevel="0" collapsed="false">
      <c r="AO4383" s="8" t="str">
        <f aca="false">IF(A4383="","",IF(COUNTIFS(全馬データ!$A$2:$A$50000,A4383,全馬データ!$B$2:$B$50000,B4383,全馬データ!$C$2:$C$50000,C4383,全馬データ!$D$2:$D$50000,E4383,全馬データ!$K$2:$K$50000,"&lt;&gt;")=0,"",SUMIFS(全馬データ!$K$2:$K$50000,全馬データ!$A$2:$A$50000,A4383,全馬データ!$B$2:$B$50000,B4383,全馬データ!$C$2:$C$50000,C4383,全馬データ!$D$2:$D$50000,E4383)))</f>
        <v/>
      </c>
      <c r="AP4383" s="8" t="str">
        <f aca="false">IF(A4383="","",IF(AO4383="","欠損",IF(AO4383&lt;=1.1,"1.0～1.1",IF(AO4383&lt;1.3,"1.2",IF(AO4383&lt;1.5,"1.3～1.4",IF(AO4383&lt;2,"1.5～1.9","2.0以上"))))))</f>
        <v/>
      </c>
      <c r="AQ4383" s="8" t="str">
        <f aca="false">IF(A4383="","",IF(ISNUMBER(SEARCH("2歳",Z4383)),"2歳戦",IF(ISNUMBER(SEARCH("3歳未勝利",Z4383)),"3歳未勝利",IF(ISNUMBER(SEARCH("未勝利",Z4383)),"その他未勝利",IF(ISNUMBER(SEARCH("G1",Z4383)),"G1",IF(ISNUMBER(SEARCH("G2",Z4383)),"G2",IF(ISNUMBER(SEARCH("G3",Z4383)),"G3",IF(ISNUMBER(SEARCH("古馬条件",Z4383)),"古馬条件戦",IF(ISNUMBER(SEARCH("重賞",Z4383)),"重賞","分類不能")))))))))</f>
        <v/>
      </c>
    </row>
    <row r="4384" customFormat="false" ht="15.75" hidden="false" customHeight="false" outlineLevel="0" collapsed="false">
      <c r="AO4384" s="8" t="str">
        <f aca="false">IF(A4384="","",IF(COUNTIFS(全馬データ!$A$2:$A$50000,A4384,全馬データ!$B$2:$B$50000,B4384,全馬データ!$C$2:$C$50000,C4384,全馬データ!$D$2:$D$50000,E4384,全馬データ!$K$2:$K$50000,"&lt;&gt;")=0,"",SUMIFS(全馬データ!$K$2:$K$50000,全馬データ!$A$2:$A$50000,A4384,全馬データ!$B$2:$B$50000,B4384,全馬データ!$C$2:$C$50000,C4384,全馬データ!$D$2:$D$50000,E4384)))</f>
        <v/>
      </c>
      <c r="AP4384" s="8" t="str">
        <f aca="false">IF(A4384="","",IF(AO4384="","欠損",IF(AO4384&lt;=1.1,"1.0～1.1",IF(AO4384&lt;1.3,"1.2",IF(AO4384&lt;1.5,"1.3～1.4",IF(AO4384&lt;2,"1.5～1.9","2.0以上"))))))</f>
        <v/>
      </c>
      <c r="AQ4384" s="8" t="str">
        <f aca="false">IF(A4384="","",IF(ISNUMBER(SEARCH("2歳",Z4384)),"2歳戦",IF(ISNUMBER(SEARCH("3歳未勝利",Z4384)),"3歳未勝利",IF(ISNUMBER(SEARCH("未勝利",Z4384)),"その他未勝利",IF(ISNUMBER(SEARCH("G1",Z4384)),"G1",IF(ISNUMBER(SEARCH("G2",Z4384)),"G2",IF(ISNUMBER(SEARCH("G3",Z4384)),"G3",IF(ISNUMBER(SEARCH("古馬条件",Z4384)),"古馬条件戦",IF(ISNUMBER(SEARCH("重賞",Z4384)),"重賞","分類不能")))))))))</f>
        <v/>
      </c>
    </row>
    <row r="4385" customFormat="false" ht="15.75" hidden="false" customHeight="false" outlineLevel="0" collapsed="false">
      <c r="AO4385" s="8" t="str">
        <f aca="false">IF(A4385="","",IF(COUNTIFS(全馬データ!$A$2:$A$50000,A4385,全馬データ!$B$2:$B$50000,B4385,全馬データ!$C$2:$C$50000,C4385,全馬データ!$D$2:$D$50000,E4385,全馬データ!$K$2:$K$50000,"&lt;&gt;")=0,"",SUMIFS(全馬データ!$K$2:$K$50000,全馬データ!$A$2:$A$50000,A4385,全馬データ!$B$2:$B$50000,B4385,全馬データ!$C$2:$C$50000,C4385,全馬データ!$D$2:$D$50000,E4385)))</f>
        <v/>
      </c>
      <c r="AP4385" s="8" t="str">
        <f aca="false">IF(A4385="","",IF(AO4385="","欠損",IF(AO4385&lt;=1.1,"1.0～1.1",IF(AO4385&lt;1.3,"1.2",IF(AO4385&lt;1.5,"1.3～1.4",IF(AO4385&lt;2,"1.5～1.9","2.0以上"))))))</f>
        <v/>
      </c>
      <c r="AQ4385" s="8" t="str">
        <f aca="false">IF(A4385="","",IF(ISNUMBER(SEARCH("2歳",Z4385)),"2歳戦",IF(ISNUMBER(SEARCH("3歳未勝利",Z4385)),"3歳未勝利",IF(ISNUMBER(SEARCH("未勝利",Z4385)),"その他未勝利",IF(ISNUMBER(SEARCH("G1",Z4385)),"G1",IF(ISNUMBER(SEARCH("G2",Z4385)),"G2",IF(ISNUMBER(SEARCH("G3",Z4385)),"G3",IF(ISNUMBER(SEARCH("古馬条件",Z4385)),"古馬条件戦",IF(ISNUMBER(SEARCH("重賞",Z4385)),"重賞","分類不能")))))))))</f>
        <v/>
      </c>
    </row>
    <row r="4386" customFormat="false" ht="15.75" hidden="false" customHeight="false" outlineLevel="0" collapsed="false">
      <c r="AO4386" s="8" t="str">
        <f aca="false">IF(A4386="","",IF(COUNTIFS(全馬データ!$A$2:$A$50000,A4386,全馬データ!$B$2:$B$50000,B4386,全馬データ!$C$2:$C$50000,C4386,全馬データ!$D$2:$D$50000,E4386,全馬データ!$K$2:$K$50000,"&lt;&gt;")=0,"",SUMIFS(全馬データ!$K$2:$K$50000,全馬データ!$A$2:$A$50000,A4386,全馬データ!$B$2:$B$50000,B4386,全馬データ!$C$2:$C$50000,C4386,全馬データ!$D$2:$D$50000,E4386)))</f>
        <v/>
      </c>
      <c r="AP4386" s="8" t="str">
        <f aca="false">IF(A4386="","",IF(AO4386="","欠損",IF(AO4386&lt;=1.1,"1.0～1.1",IF(AO4386&lt;1.3,"1.2",IF(AO4386&lt;1.5,"1.3～1.4",IF(AO4386&lt;2,"1.5～1.9","2.0以上"))))))</f>
        <v/>
      </c>
      <c r="AQ4386" s="8" t="str">
        <f aca="false">IF(A4386="","",IF(ISNUMBER(SEARCH("2歳",Z4386)),"2歳戦",IF(ISNUMBER(SEARCH("3歳未勝利",Z4386)),"3歳未勝利",IF(ISNUMBER(SEARCH("未勝利",Z4386)),"その他未勝利",IF(ISNUMBER(SEARCH("G1",Z4386)),"G1",IF(ISNUMBER(SEARCH("G2",Z4386)),"G2",IF(ISNUMBER(SEARCH("G3",Z4386)),"G3",IF(ISNUMBER(SEARCH("古馬条件",Z4386)),"古馬条件戦",IF(ISNUMBER(SEARCH("重賞",Z4386)),"重賞","分類不能")))))))))</f>
        <v/>
      </c>
    </row>
    <row r="4387" customFormat="false" ht="15.75" hidden="false" customHeight="false" outlineLevel="0" collapsed="false">
      <c r="AO4387" s="8" t="str">
        <f aca="false">IF(A4387="","",IF(COUNTIFS(全馬データ!$A$2:$A$50000,A4387,全馬データ!$B$2:$B$50000,B4387,全馬データ!$C$2:$C$50000,C4387,全馬データ!$D$2:$D$50000,E4387,全馬データ!$K$2:$K$50000,"&lt;&gt;")=0,"",SUMIFS(全馬データ!$K$2:$K$50000,全馬データ!$A$2:$A$50000,A4387,全馬データ!$B$2:$B$50000,B4387,全馬データ!$C$2:$C$50000,C4387,全馬データ!$D$2:$D$50000,E4387)))</f>
        <v/>
      </c>
      <c r="AP4387" s="8" t="str">
        <f aca="false">IF(A4387="","",IF(AO4387="","欠損",IF(AO4387&lt;=1.1,"1.0～1.1",IF(AO4387&lt;1.3,"1.2",IF(AO4387&lt;1.5,"1.3～1.4",IF(AO4387&lt;2,"1.5～1.9","2.0以上"))))))</f>
        <v/>
      </c>
      <c r="AQ4387" s="8" t="str">
        <f aca="false">IF(A4387="","",IF(ISNUMBER(SEARCH("2歳",Z4387)),"2歳戦",IF(ISNUMBER(SEARCH("3歳未勝利",Z4387)),"3歳未勝利",IF(ISNUMBER(SEARCH("未勝利",Z4387)),"その他未勝利",IF(ISNUMBER(SEARCH("G1",Z4387)),"G1",IF(ISNUMBER(SEARCH("G2",Z4387)),"G2",IF(ISNUMBER(SEARCH("G3",Z4387)),"G3",IF(ISNUMBER(SEARCH("古馬条件",Z4387)),"古馬条件戦",IF(ISNUMBER(SEARCH("重賞",Z4387)),"重賞","分類不能")))))))))</f>
        <v/>
      </c>
    </row>
    <row r="4388" customFormat="false" ht="15.75" hidden="false" customHeight="false" outlineLevel="0" collapsed="false">
      <c r="AO4388" s="8" t="str">
        <f aca="false">IF(A4388="","",IF(COUNTIFS(全馬データ!$A$2:$A$50000,A4388,全馬データ!$B$2:$B$50000,B4388,全馬データ!$C$2:$C$50000,C4388,全馬データ!$D$2:$D$50000,E4388,全馬データ!$K$2:$K$50000,"&lt;&gt;")=0,"",SUMIFS(全馬データ!$K$2:$K$50000,全馬データ!$A$2:$A$50000,A4388,全馬データ!$B$2:$B$50000,B4388,全馬データ!$C$2:$C$50000,C4388,全馬データ!$D$2:$D$50000,E4388)))</f>
        <v/>
      </c>
      <c r="AP4388" s="8" t="str">
        <f aca="false">IF(A4388="","",IF(AO4388="","欠損",IF(AO4388&lt;=1.1,"1.0～1.1",IF(AO4388&lt;1.3,"1.2",IF(AO4388&lt;1.5,"1.3～1.4",IF(AO4388&lt;2,"1.5～1.9","2.0以上"))))))</f>
        <v/>
      </c>
      <c r="AQ4388" s="8" t="str">
        <f aca="false">IF(A4388="","",IF(ISNUMBER(SEARCH("2歳",Z4388)),"2歳戦",IF(ISNUMBER(SEARCH("3歳未勝利",Z4388)),"3歳未勝利",IF(ISNUMBER(SEARCH("未勝利",Z4388)),"その他未勝利",IF(ISNUMBER(SEARCH("G1",Z4388)),"G1",IF(ISNUMBER(SEARCH("G2",Z4388)),"G2",IF(ISNUMBER(SEARCH("G3",Z4388)),"G3",IF(ISNUMBER(SEARCH("古馬条件",Z4388)),"古馬条件戦",IF(ISNUMBER(SEARCH("重賞",Z4388)),"重賞","分類不能")))))))))</f>
        <v/>
      </c>
    </row>
    <row r="4389" customFormat="false" ht="15.75" hidden="false" customHeight="false" outlineLevel="0" collapsed="false">
      <c r="AO4389" s="8" t="str">
        <f aca="false">IF(A4389="","",IF(COUNTIFS(全馬データ!$A$2:$A$50000,A4389,全馬データ!$B$2:$B$50000,B4389,全馬データ!$C$2:$C$50000,C4389,全馬データ!$D$2:$D$50000,E4389,全馬データ!$K$2:$K$50000,"&lt;&gt;")=0,"",SUMIFS(全馬データ!$K$2:$K$50000,全馬データ!$A$2:$A$50000,A4389,全馬データ!$B$2:$B$50000,B4389,全馬データ!$C$2:$C$50000,C4389,全馬データ!$D$2:$D$50000,E4389)))</f>
        <v/>
      </c>
      <c r="AP4389" s="8" t="str">
        <f aca="false">IF(A4389="","",IF(AO4389="","欠損",IF(AO4389&lt;=1.1,"1.0～1.1",IF(AO4389&lt;1.3,"1.2",IF(AO4389&lt;1.5,"1.3～1.4",IF(AO4389&lt;2,"1.5～1.9","2.0以上"))))))</f>
        <v/>
      </c>
      <c r="AQ4389" s="8" t="str">
        <f aca="false">IF(A4389="","",IF(ISNUMBER(SEARCH("2歳",Z4389)),"2歳戦",IF(ISNUMBER(SEARCH("3歳未勝利",Z4389)),"3歳未勝利",IF(ISNUMBER(SEARCH("未勝利",Z4389)),"その他未勝利",IF(ISNUMBER(SEARCH("G1",Z4389)),"G1",IF(ISNUMBER(SEARCH("G2",Z4389)),"G2",IF(ISNUMBER(SEARCH("G3",Z4389)),"G3",IF(ISNUMBER(SEARCH("古馬条件",Z4389)),"古馬条件戦",IF(ISNUMBER(SEARCH("重賞",Z4389)),"重賞","分類不能")))))))))</f>
        <v/>
      </c>
    </row>
    <row r="4390" customFormat="false" ht="15.75" hidden="false" customHeight="false" outlineLevel="0" collapsed="false">
      <c r="AO4390" s="8" t="str">
        <f aca="false">IF(A4390="","",IF(COUNTIFS(全馬データ!$A$2:$A$50000,A4390,全馬データ!$B$2:$B$50000,B4390,全馬データ!$C$2:$C$50000,C4390,全馬データ!$D$2:$D$50000,E4390,全馬データ!$K$2:$K$50000,"&lt;&gt;")=0,"",SUMIFS(全馬データ!$K$2:$K$50000,全馬データ!$A$2:$A$50000,A4390,全馬データ!$B$2:$B$50000,B4390,全馬データ!$C$2:$C$50000,C4390,全馬データ!$D$2:$D$50000,E4390)))</f>
        <v/>
      </c>
      <c r="AP4390" s="8" t="str">
        <f aca="false">IF(A4390="","",IF(AO4390="","欠損",IF(AO4390&lt;=1.1,"1.0～1.1",IF(AO4390&lt;1.3,"1.2",IF(AO4390&lt;1.5,"1.3～1.4",IF(AO4390&lt;2,"1.5～1.9","2.0以上"))))))</f>
        <v/>
      </c>
      <c r="AQ4390" s="8" t="str">
        <f aca="false">IF(A4390="","",IF(ISNUMBER(SEARCH("2歳",Z4390)),"2歳戦",IF(ISNUMBER(SEARCH("3歳未勝利",Z4390)),"3歳未勝利",IF(ISNUMBER(SEARCH("未勝利",Z4390)),"その他未勝利",IF(ISNUMBER(SEARCH("G1",Z4390)),"G1",IF(ISNUMBER(SEARCH("G2",Z4390)),"G2",IF(ISNUMBER(SEARCH("G3",Z4390)),"G3",IF(ISNUMBER(SEARCH("古馬条件",Z4390)),"古馬条件戦",IF(ISNUMBER(SEARCH("重賞",Z4390)),"重賞","分類不能")))))))))</f>
        <v/>
      </c>
    </row>
    <row r="4391" customFormat="false" ht="15.75" hidden="false" customHeight="false" outlineLevel="0" collapsed="false">
      <c r="AO4391" s="8" t="str">
        <f aca="false">IF(A4391="","",IF(COUNTIFS(全馬データ!$A$2:$A$50000,A4391,全馬データ!$B$2:$B$50000,B4391,全馬データ!$C$2:$C$50000,C4391,全馬データ!$D$2:$D$50000,E4391,全馬データ!$K$2:$K$50000,"&lt;&gt;")=0,"",SUMIFS(全馬データ!$K$2:$K$50000,全馬データ!$A$2:$A$50000,A4391,全馬データ!$B$2:$B$50000,B4391,全馬データ!$C$2:$C$50000,C4391,全馬データ!$D$2:$D$50000,E4391)))</f>
        <v/>
      </c>
      <c r="AP4391" s="8" t="str">
        <f aca="false">IF(A4391="","",IF(AO4391="","欠損",IF(AO4391&lt;=1.1,"1.0～1.1",IF(AO4391&lt;1.3,"1.2",IF(AO4391&lt;1.5,"1.3～1.4",IF(AO4391&lt;2,"1.5～1.9","2.0以上"))))))</f>
        <v/>
      </c>
      <c r="AQ4391" s="8" t="str">
        <f aca="false">IF(A4391="","",IF(ISNUMBER(SEARCH("2歳",Z4391)),"2歳戦",IF(ISNUMBER(SEARCH("3歳未勝利",Z4391)),"3歳未勝利",IF(ISNUMBER(SEARCH("未勝利",Z4391)),"その他未勝利",IF(ISNUMBER(SEARCH("G1",Z4391)),"G1",IF(ISNUMBER(SEARCH("G2",Z4391)),"G2",IF(ISNUMBER(SEARCH("G3",Z4391)),"G3",IF(ISNUMBER(SEARCH("古馬条件",Z4391)),"古馬条件戦",IF(ISNUMBER(SEARCH("重賞",Z4391)),"重賞","分類不能")))))))))</f>
        <v/>
      </c>
    </row>
    <row r="4392" customFormat="false" ht="15.75" hidden="false" customHeight="false" outlineLevel="0" collapsed="false">
      <c r="AO4392" s="8" t="str">
        <f aca="false">IF(A4392="","",IF(COUNTIFS(全馬データ!$A$2:$A$50000,A4392,全馬データ!$B$2:$B$50000,B4392,全馬データ!$C$2:$C$50000,C4392,全馬データ!$D$2:$D$50000,E4392,全馬データ!$K$2:$K$50000,"&lt;&gt;")=0,"",SUMIFS(全馬データ!$K$2:$K$50000,全馬データ!$A$2:$A$50000,A4392,全馬データ!$B$2:$B$50000,B4392,全馬データ!$C$2:$C$50000,C4392,全馬データ!$D$2:$D$50000,E4392)))</f>
        <v/>
      </c>
      <c r="AP4392" s="8" t="str">
        <f aca="false">IF(A4392="","",IF(AO4392="","欠損",IF(AO4392&lt;=1.1,"1.0～1.1",IF(AO4392&lt;1.3,"1.2",IF(AO4392&lt;1.5,"1.3～1.4",IF(AO4392&lt;2,"1.5～1.9","2.0以上"))))))</f>
        <v/>
      </c>
      <c r="AQ4392" s="8" t="str">
        <f aca="false">IF(A4392="","",IF(ISNUMBER(SEARCH("2歳",Z4392)),"2歳戦",IF(ISNUMBER(SEARCH("3歳未勝利",Z4392)),"3歳未勝利",IF(ISNUMBER(SEARCH("未勝利",Z4392)),"その他未勝利",IF(ISNUMBER(SEARCH("G1",Z4392)),"G1",IF(ISNUMBER(SEARCH("G2",Z4392)),"G2",IF(ISNUMBER(SEARCH("G3",Z4392)),"G3",IF(ISNUMBER(SEARCH("古馬条件",Z4392)),"古馬条件戦",IF(ISNUMBER(SEARCH("重賞",Z4392)),"重賞","分類不能")))))))))</f>
        <v/>
      </c>
    </row>
    <row r="4393" customFormat="false" ht="15.75" hidden="false" customHeight="false" outlineLevel="0" collapsed="false">
      <c r="AO4393" s="8" t="str">
        <f aca="false">IF(A4393="","",IF(COUNTIFS(全馬データ!$A$2:$A$50000,A4393,全馬データ!$B$2:$B$50000,B4393,全馬データ!$C$2:$C$50000,C4393,全馬データ!$D$2:$D$50000,E4393,全馬データ!$K$2:$K$50000,"&lt;&gt;")=0,"",SUMIFS(全馬データ!$K$2:$K$50000,全馬データ!$A$2:$A$50000,A4393,全馬データ!$B$2:$B$50000,B4393,全馬データ!$C$2:$C$50000,C4393,全馬データ!$D$2:$D$50000,E4393)))</f>
        <v/>
      </c>
      <c r="AP4393" s="8" t="str">
        <f aca="false">IF(A4393="","",IF(AO4393="","欠損",IF(AO4393&lt;=1.1,"1.0～1.1",IF(AO4393&lt;1.3,"1.2",IF(AO4393&lt;1.5,"1.3～1.4",IF(AO4393&lt;2,"1.5～1.9","2.0以上"))))))</f>
        <v/>
      </c>
      <c r="AQ4393" s="8" t="str">
        <f aca="false">IF(A4393="","",IF(ISNUMBER(SEARCH("2歳",Z4393)),"2歳戦",IF(ISNUMBER(SEARCH("3歳未勝利",Z4393)),"3歳未勝利",IF(ISNUMBER(SEARCH("未勝利",Z4393)),"その他未勝利",IF(ISNUMBER(SEARCH("G1",Z4393)),"G1",IF(ISNUMBER(SEARCH("G2",Z4393)),"G2",IF(ISNUMBER(SEARCH("G3",Z4393)),"G3",IF(ISNUMBER(SEARCH("古馬条件",Z4393)),"古馬条件戦",IF(ISNUMBER(SEARCH("重賞",Z4393)),"重賞","分類不能")))))))))</f>
        <v/>
      </c>
    </row>
    <row r="4394" customFormat="false" ht="15.75" hidden="false" customHeight="false" outlineLevel="0" collapsed="false">
      <c r="AO4394" s="8" t="str">
        <f aca="false">IF(A4394="","",IF(COUNTIFS(全馬データ!$A$2:$A$50000,A4394,全馬データ!$B$2:$B$50000,B4394,全馬データ!$C$2:$C$50000,C4394,全馬データ!$D$2:$D$50000,E4394,全馬データ!$K$2:$K$50000,"&lt;&gt;")=0,"",SUMIFS(全馬データ!$K$2:$K$50000,全馬データ!$A$2:$A$50000,A4394,全馬データ!$B$2:$B$50000,B4394,全馬データ!$C$2:$C$50000,C4394,全馬データ!$D$2:$D$50000,E4394)))</f>
        <v/>
      </c>
      <c r="AP4394" s="8" t="str">
        <f aca="false">IF(A4394="","",IF(AO4394="","欠損",IF(AO4394&lt;=1.1,"1.0～1.1",IF(AO4394&lt;1.3,"1.2",IF(AO4394&lt;1.5,"1.3～1.4",IF(AO4394&lt;2,"1.5～1.9","2.0以上"))))))</f>
        <v/>
      </c>
      <c r="AQ4394" s="8" t="str">
        <f aca="false">IF(A4394="","",IF(ISNUMBER(SEARCH("2歳",Z4394)),"2歳戦",IF(ISNUMBER(SEARCH("3歳未勝利",Z4394)),"3歳未勝利",IF(ISNUMBER(SEARCH("未勝利",Z4394)),"その他未勝利",IF(ISNUMBER(SEARCH("G1",Z4394)),"G1",IF(ISNUMBER(SEARCH("G2",Z4394)),"G2",IF(ISNUMBER(SEARCH("G3",Z4394)),"G3",IF(ISNUMBER(SEARCH("古馬条件",Z4394)),"古馬条件戦",IF(ISNUMBER(SEARCH("重賞",Z4394)),"重賞","分類不能")))))))))</f>
        <v/>
      </c>
    </row>
    <row r="4395" customFormat="false" ht="15.75" hidden="false" customHeight="false" outlineLevel="0" collapsed="false">
      <c r="AO4395" s="8" t="str">
        <f aca="false">IF(A4395="","",IF(COUNTIFS(全馬データ!$A$2:$A$50000,A4395,全馬データ!$B$2:$B$50000,B4395,全馬データ!$C$2:$C$50000,C4395,全馬データ!$D$2:$D$50000,E4395,全馬データ!$K$2:$K$50000,"&lt;&gt;")=0,"",SUMIFS(全馬データ!$K$2:$K$50000,全馬データ!$A$2:$A$50000,A4395,全馬データ!$B$2:$B$50000,B4395,全馬データ!$C$2:$C$50000,C4395,全馬データ!$D$2:$D$50000,E4395)))</f>
        <v/>
      </c>
      <c r="AP4395" s="8" t="str">
        <f aca="false">IF(A4395="","",IF(AO4395="","欠損",IF(AO4395&lt;=1.1,"1.0～1.1",IF(AO4395&lt;1.3,"1.2",IF(AO4395&lt;1.5,"1.3～1.4",IF(AO4395&lt;2,"1.5～1.9","2.0以上"))))))</f>
        <v/>
      </c>
      <c r="AQ4395" s="8" t="str">
        <f aca="false">IF(A4395="","",IF(ISNUMBER(SEARCH("2歳",Z4395)),"2歳戦",IF(ISNUMBER(SEARCH("3歳未勝利",Z4395)),"3歳未勝利",IF(ISNUMBER(SEARCH("未勝利",Z4395)),"その他未勝利",IF(ISNUMBER(SEARCH("G1",Z4395)),"G1",IF(ISNUMBER(SEARCH("G2",Z4395)),"G2",IF(ISNUMBER(SEARCH("G3",Z4395)),"G3",IF(ISNUMBER(SEARCH("古馬条件",Z4395)),"古馬条件戦",IF(ISNUMBER(SEARCH("重賞",Z4395)),"重賞","分類不能")))))))))</f>
        <v/>
      </c>
    </row>
    <row r="4396" customFormat="false" ht="15.75" hidden="false" customHeight="false" outlineLevel="0" collapsed="false">
      <c r="AO4396" s="8" t="str">
        <f aca="false">IF(A4396="","",IF(COUNTIFS(全馬データ!$A$2:$A$50000,A4396,全馬データ!$B$2:$B$50000,B4396,全馬データ!$C$2:$C$50000,C4396,全馬データ!$D$2:$D$50000,E4396,全馬データ!$K$2:$K$50000,"&lt;&gt;")=0,"",SUMIFS(全馬データ!$K$2:$K$50000,全馬データ!$A$2:$A$50000,A4396,全馬データ!$B$2:$B$50000,B4396,全馬データ!$C$2:$C$50000,C4396,全馬データ!$D$2:$D$50000,E4396)))</f>
        <v/>
      </c>
      <c r="AP4396" s="8" t="str">
        <f aca="false">IF(A4396="","",IF(AO4396="","欠損",IF(AO4396&lt;=1.1,"1.0～1.1",IF(AO4396&lt;1.3,"1.2",IF(AO4396&lt;1.5,"1.3～1.4",IF(AO4396&lt;2,"1.5～1.9","2.0以上"))))))</f>
        <v/>
      </c>
      <c r="AQ4396" s="8" t="str">
        <f aca="false">IF(A4396="","",IF(ISNUMBER(SEARCH("2歳",Z4396)),"2歳戦",IF(ISNUMBER(SEARCH("3歳未勝利",Z4396)),"3歳未勝利",IF(ISNUMBER(SEARCH("未勝利",Z4396)),"その他未勝利",IF(ISNUMBER(SEARCH("G1",Z4396)),"G1",IF(ISNUMBER(SEARCH("G2",Z4396)),"G2",IF(ISNUMBER(SEARCH("G3",Z4396)),"G3",IF(ISNUMBER(SEARCH("古馬条件",Z4396)),"古馬条件戦",IF(ISNUMBER(SEARCH("重賞",Z4396)),"重賞","分類不能")))))))))</f>
        <v/>
      </c>
    </row>
    <row r="4397" customFormat="false" ht="15.75" hidden="false" customHeight="false" outlineLevel="0" collapsed="false">
      <c r="AO4397" s="8" t="str">
        <f aca="false">IF(A4397="","",IF(COUNTIFS(全馬データ!$A$2:$A$50000,A4397,全馬データ!$B$2:$B$50000,B4397,全馬データ!$C$2:$C$50000,C4397,全馬データ!$D$2:$D$50000,E4397,全馬データ!$K$2:$K$50000,"&lt;&gt;")=0,"",SUMIFS(全馬データ!$K$2:$K$50000,全馬データ!$A$2:$A$50000,A4397,全馬データ!$B$2:$B$50000,B4397,全馬データ!$C$2:$C$50000,C4397,全馬データ!$D$2:$D$50000,E4397)))</f>
        <v/>
      </c>
      <c r="AP4397" s="8" t="str">
        <f aca="false">IF(A4397="","",IF(AO4397="","欠損",IF(AO4397&lt;=1.1,"1.0～1.1",IF(AO4397&lt;1.3,"1.2",IF(AO4397&lt;1.5,"1.3～1.4",IF(AO4397&lt;2,"1.5～1.9","2.0以上"))))))</f>
        <v/>
      </c>
      <c r="AQ4397" s="8" t="str">
        <f aca="false">IF(A4397="","",IF(ISNUMBER(SEARCH("2歳",Z4397)),"2歳戦",IF(ISNUMBER(SEARCH("3歳未勝利",Z4397)),"3歳未勝利",IF(ISNUMBER(SEARCH("未勝利",Z4397)),"その他未勝利",IF(ISNUMBER(SEARCH("G1",Z4397)),"G1",IF(ISNUMBER(SEARCH("G2",Z4397)),"G2",IF(ISNUMBER(SEARCH("G3",Z4397)),"G3",IF(ISNUMBER(SEARCH("古馬条件",Z4397)),"古馬条件戦",IF(ISNUMBER(SEARCH("重賞",Z4397)),"重賞","分類不能")))))))))</f>
        <v/>
      </c>
    </row>
    <row r="4398" customFormat="false" ht="15.75" hidden="false" customHeight="false" outlineLevel="0" collapsed="false">
      <c r="AO4398" s="8" t="str">
        <f aca="false">IF(A4398="","",IF(COUNTIFS(全馬データ!$A$2:$A$50000,A4398,全馬データ!$B$2:$B$50000,B4398,全馬データ!$C$2:$C$50000,C4398,全馬データ!$D$2:$D$50000,E4398,全馬データ!$K$2:$K$50000,"&lt;&gt;")=0,"",SUMIFS(全馬データ!$K$2:$K$50000,全馬データ!$A$2:$A$50000,A4398,全馬データ!$B$2:$B$50000,B4398,全馬データ!$C$2:$C$50000,C4398,全馬データ!$D$2:$D$50000,E4398)))</f>
        <v/>
      </c>
      <c r="AP4398" s="8" t="str">
        <f aca="false">IF(A4398="","",IF(AO4398="","欠損",IF(AO4398&lt;=1.1,"1.0～1.1",IF(AO4398&lt;1.3,"1.2",IF(AO4398&lt;1.5,"1.3～1.4",IF(AO4398&lt;2,"1.5～1.9","2.0以上"))))))</f>
        <v/>
      </c>
      <c r="AQ4398" s="8" t="str">
        <f aca="false">IF(A4398="","",IF(ISNUMBER(SEARCH("2歳",Z4398)),"2歳戦",IF(ISNUMBER(SEARCH("3歳未勝利",Z4398)),"3歳未勝利",IF(ISNUMBER(SEARCH("未勝利",Z4398)),"その他未勝利",IF(ISNUMBER(SEARCH("G1",Z4398)),"G1",IF(ISNUMBER(SEARCH("G2",Z4398)),"G2",IF(ISNUMBER(SEARCH("G3",Z4398)),"G3",IF(ISNUMBER(SEARCH("古馬条件",Z4398)),"古馬条件戦",IF(ISNUMBER(SEARCH("重賞",Z4398)),"重賞","分類不能")))))))))</f>
        <v/>
      </c>
    </row>
    <row r="4399" customFormat="false" ht="15.75" hidden="false" customHeight="false" outlineLevel="0" collapsed="false">
      <c r="AO4399" s="8" t="str">
        <f aca="false">IF(A4399="","",IF(COUNTIFS(全馬データ!$A$2:$A$50000,A4399,全馬データ!$B$2:$B$50000,B4399,全馬データ!$C$2:$C$50000,C4399,全馬データ!$D$2:$D$50000,E4399,全馬データ!$K$2:$K$50000,"&lt;&gt;")=0,"",SUMIFS(全馬データ!$K$2:$K$50000,全馬データ!$A$2:$A$50000,A4399,全馬データ!$B$2:$B$50000,B4399,全馬データ!$C$2:$C$50000,C4399,全馬データ!$D$2:$D$50000,E4399)))</f>
        <v/>
      </c>
      <c r="AP4399" s="8" t="str">
        <f aca="false">IF(A4399="","",IF(AO4399="","欠損",IF(AO4399&lt;=1.1,"1.0～1.1",IF(AO4399&lt;1.3,"1.2",IF(AO4399&lt;1.5,"1.3～1.4",IF(AO4399&lt;2,"1.5～1.9","2.0以上"))))))</f>
        <v/>
      </c>
      <c r="AQ4399" s="8" t="str">
        <f aca="false">IF(A4399="","",IF(ISNUMBER(SEARCH("2歳",Z4399)),"2歳戦",IF(ISNUMBER(SEARCH("3歳未勝利",Z4399)),"3歳未勝利",IF(ISNUMBER(SEARCH("未勝利",Z4399)),"その他未勝利",IF(ISNUMBER(SEARCH("G1",Z4399)),"G1",IF(ISNUMBER(SEARCH("G2",Z4399)),"G2",IF(ISNUMBER(SEARCH("G3",Z4399)),"G3",IF(ISNUMBER(SEARCH("古馬条件",Z4399)),"古馬条件戦",IF(ISNUMBER(SEARCH("重賞",Z4399)),"重賞","分類不能")))))))))</f>
        <v/>
      </c>
    </row>
    <row r="4400" customFormat="false" ht="15.75" hidden="false" customHeight="false" outlineLevel="0" collapsed="false">
      <c r="AO4400" s="8" t="str">
        <f aca="false">IF(A4400="","",IF(COUNTIFS(全馬データ!$A$2:$A$50000,A4400,全馬データ!$B$2:$B$50000,B4400,全馬データ!$C$2:$C$50000,C4400,全馬データ!$D$2:$D$50000,E4400,全馬データ!$K$2:$K$50000,"&lt;&gt;")=0,"",SUMIFS(全馬データ!$K$2:$K$50000,全馬データ!$A$2:$A$50000,A4400,全馬データ!$B$2:$B$50000,B4400,全馬データ!$C$2:$C$50000,C4400,全馬データ!$D$2:$D$50000,E4400)))</f>
        <v/>
      </c>
      <c r="AP4400" s="8" t="str">
        <f aca="false">IF(A4400="","",IF(AO4400="","欠損",IF(AO4400&lt;=1.1,"1.0～1.1",IF(AO4400&lt;1.3,"1.2",IF(AO4400&lt;1.5,"1.3～1.4",IF(AO4400&lt;2,"1.5～1.9","2.0以上"))))))</f>
        <v/>
      </c>
      <c r="AQ4400" s="8" t="str">
        <f aca="false">IF(A4400="","",IF(ISNUMBER(SEARCH("2歳",Z4400)),"2歳戦",IF(ISNUMBER(SEARCH("3歳未勝利",Z4400)),"3歳未勝利",IF(ISNUMBER(SEARCH("未勝利",Z4400)),"その他未勝利",IF(ISNUMBER(SEARCH("G1",Z4400)),"G1",IF(ISNUMBER(SEARCH("G2",Z4400)),"G2",IF(ISNUMBER(SEARCH("G3",Z4400)),"G3",IF(ISNUMBER(SEARCH("古馬条件",Z4400)),"古馬条件戦",IF(ISNUMBER(SEARCH("重賞",Z4400)),"重賞","分類不能")))))))))</f>
        <v/>
      </c>
    </row>
    <row r="4401" customFormat="false" ht="15.75" hidden="false" customHeight="false" outlineLevel="0" collapsed="false">
      <c r="AO4401" s="8" t="str">
        <f aca="false">IF(A4401="","",IF(COUNTIFS(全馬データ!$A$2:$A$50000,A4401,全馬データ!$B$2:$B$50000,B4401,全馬データ!$C$2:$C$50000,C4401,全馬データ!$D$2:$D$50000,E4401,全馬データ!$K$2:$K$50000,"&lt;&gt;")=0,"",SUMIFS(全馬データ!$K$2:$K$50000,全馬データ!$A$2:$A$50000,A4401,全馬データ!$B$2:$B$50000,B4401,全馬データ!$C$2:$C$50000,C4401,全馬データ!$D$2:$D$50000,E4401)))</f>
        <v/>
      </c>
      <c r="AP4401" s="8" t="str">
        <f aca="false">IF(A4401="","",IF(AO4401="","欠損",IF(AO4401&lt;=1.1,"1.0～1.1",IF(AO4401&lt;1.3,"1.2",IF(AO4401&lt;1.5,"1.3～1.4",IF(AO4401&lt;2,"1.5～1.9","2.0以上"))))))</f>
        <v/>
      </c>
      <c r="AQ4401" s="8" t="str">
        <f aca="false">IF(A4401="","",IF(ISNUMBER(SEARCH("2歳",Z4401)),"2歳戦",IF(ISNUMBER(SEARCH("3歳未勝利",Z4401)),"3歳未勝利",IF(ISNUMBER(SEARCH("未勝利",Z4401)),"その他未勝利",IF(ISNUMBER(SEARCH("G1",Z4401)),"G1",IF(ISNUMBER(SEARCH("G2",Z4401)),"G2",IF(ISNUMBER(SEARCH("G3",Z4401)),"G3",IF(ISNUMBER(SEARCH("古馬条件",Z4401)),"古馬条件戦",IF(ISNUMBER(SEARCH("重賞",Z4401)),"重賞","分類不能")))))))))</f>
        <v/>
      </c>
    </row>
    <row r="4402" customFormat="false" ht="15.75" hidden="false" customHeight="false" outlineLevel="0" collapsed="false">
      <c r="AO4402" s="8" t="str">
        <f aca="false">IF(A4402="","",IF(COUNTIFS(全馬データ!$A$2:$A$50000,A4402,全馬データ!$B$2:$B$50000,B4402,全馬データ!$C$2:$C$50000,C4402,全馬データ!$D$2:$D$50000,E4402,全馬データ!$K$2:$K$50000,"&lt;&gt;")=0,"",SUMIFS(全馬データ!$K$2:$K$50000,全馬データ!$A$2:$A$50000,A4402,全馬データ!$B$2:$B$50000,B4402,全馬データ!$C$2:$C$50000,C4402,全馬データ!$D$2:$D$50000,E4402)))</f>
        <v/>
      </c>
      <c r="AP4402" s="8" t="str">
        <f aca="false">IF(A4402="","",IF(AO4402="","欠損",IF(AO4402&lt;=1.1,"1.0～1.1",IF(AO4402&lt;1.3,"1.2",IF(AO4402&lt;1.5,"1.3～1.4",IF(AO4402&lt;2,"1.5～1.9","2.0以上"))))))</f>
        <v/>
      </c>
      <c r="AQ4402" s="8" t="str">
        <f aca="false">IF(A4402="","",IF(ISNUMBER(SEARCH("2歳",Z4402)),"2歳戦",IF(ISNUMBER(SEARCH("3歳未勝利",Z4402)),"3歳未勝利",IF(ISNUMBER(SEARCH("未勝利",Z4402)),"その他未勝利",IF(ISNUMBER(SEARCH("G1",Z4402)),"G1",IF(ISNUMBER(SEARCH("G2",Z4402)),"G2",IF(ISNUMBER(SEARCH("G3",Z4402)),"G3",IF(ISNUMBER(SEARCH("古馬条件",Z4402)),"古馬条件戦",IF(ISNUMBER(SEARCH("重賞",Z4402)),"重賞","分類不能")))))))))</f>
        <v/>
      </c>
    </row>
    <row r="4403" customFormat="false" ht="15.75" hidden="false" customHeight="false" outlineLevel="0" collapsed="false">
      <c r="AO4403" s="8" t="str">
        <f aca="false">IF(A4403="","",IF(COUNTIFS(全馬データ!$A$2:$A$50000,A4403,全馬データ!$B$2:$B$50000,B4403,全馬データ!$C$2:$C$50000,C4403,全馬データ!$D$2:$D$50000,E4403,全馬データ!$K$2:$K$50000,"&lt;&gt;")=0,"",SUMIFS(全馬データ!$K$2:$K$50000,全馬データ!$A$2:$A$50000,A4403,全馬データ!$B$2:$B$50000,B4403,全馬データ!$C$2:$C$50000,C4403,全馬データ!$D$2:$D$50000,E4403)))</f>
        <v/>
      </c>
      <c r="AP4403" s="8" t="str">
        <f aca="false">IF(A4403="","",IF(AO4403="","欠損",IF(AO4403&lt;=1.1,"1.0～1.1",IF(AO4403&lt;1.3,"1.2",IF(AO4403&lt;1.5,"1.3～1.4",IF(AO4403&lt;2,"1.5～1.9","2.0以上"))))))</f>
        <v/>
      </c>
      <c r="AQ4403" s="8" t="str">
        <f aca="false">IF(A4403="","",IF(ISNUMBER(SEARCH("2歳",Z4403)),"2歳戦",IF(ISNUMBER(SEARCH("3歳未勝利",Z4403)),"3歳未勝利",IF(ISNUMBER(SEARCH("未勝利",Z4403)),"その他未勝利",IF(ISNUMBER(SEARCH("G1",Z4403)),"G1",IF(ISNUMBER(SEARCH("G2",Z4403)),"G2",IF(ISNUMBER(SEARCH("G3",Z4403)),"G3",IF(ISNUMBER(SEARCH("古馬条件",Z4403)),"古馬条件戦",IF(ISNUMBER(SEARCH("重賞",Z4403)),"重賞","分類不能")))))))))</f>
        <v/>
      </c>
    </row>
    <row r="4404" customFormat="false" ht="15.75" hidden="false" customHeight="false" outlineLevel="0" collapsed="false">
      <c r="AO4404" s="8" t="str">
        <f aca="false">IF(A4404="","",IF(COUNTIFS(全馬データ!$A$2:$A$50000,A4404,全馬データ!$B$2:$B$50000,B4404,全馬データ!$C$2:$C$50000,C4404,全馬データ!$D$2:$D$50000,E4404,全馬データ!$K$2:$K$50000,"&lt;&gt;")=0,"",SUMIFS(全馬データ!$K$2:$K$50000,全馬データ!$A$2:$A$50000,A4404,全馬データ!$B$2:$B$50000,B4404,全馬データ!$C$2:$C$50000,C4404,全馬データ!$D$2:$D$50000,E4404)))</f>
        <v/>
      </c>
      <c r="AP4404" s="8" t="str">
        <f aca="false">IF(A4404="","",IF(AO4404="","欠損",IF(AO4404&lt;=1.1,"1.0～1.1",IF(AO4404&lt;1.3,"1.2",IF(AO4404&lt;1.5,"1.3～1.4",IF(AO4404&lt;2,"1.5～1.9","2.0以上"))))))</f>
        <v/>
      </c>
      <c r="AQ4404" s="8" t="str">
        <f aca="false">IF(A4404="","",IF(ISNUMBER(SEARCH("2歳",Z4404)),"2歳戦",IF(ISNUMBER(SEARCH("3歳未勝利",Z4404)),"3歳未勝利",IF(ISNUMBER(SEARCH("未勝利",Z4404)),"その他未勝利",IF(ISNUMBER(SEARCH("G1",Z4404)),"G1",IF(ISNUMBER(SEARCH("G2",Z4404)),"G2",IF(ISNUMBER(SEARCH("G3",Z4404)),"G3",IF(ISNUMBER(SEARCH("古馬条件",Z4404)),"古馬条件戦",IF(ISNUMBER(SEARCH("重賞",Z4404)),"重賞","分類不能")))))))))</f>
        <v/>
      </c>
    </row>
    <row r="4405" customFormat="false" ht="15.75" hidden="false" customHeight="false" outlineLevel="0" collapsed="false">
      <c r="AO4405" s="8" t="str">
        <f aca="false">IF(A4405="","",IF(COUNTIFS(全馬データ!$A$2:$A$50000,A4405,全馬データ!$B$2:$B$50000,B4405,全馬データ!$C$2:$C$50000,C4405,全馬データ!$D$2:$D$50000,E4405,全馬データ!$K$2:$K$50000,"&lt;&gt;")=0,"",SUMIFS(全馬データ!$K$2:$K$50000,全馬データ!$A$2:$A$50000,A4405,全馬データ!$B$2:$B$50000,B4405,全馬データ!$C$2:$C$50000,C4405,全馬データ!$D$2:$D$50000,E4405)))</f>
        <v/>
      </c>
      <c r="AP4405" s="8" t="str">
        <f aca="false">IF(A4405="","",IF(AO4405="","欠損",IF(AO4405&lt;=1.1,"1.0～1.1",IF(AO4405&lt;1.3,"1.2",IF(AO4405&lt;1.5,"1.3～1.4",IF(AO4405&lt;2,"1.5～1.9","2.0以上"))))))</f>
        <v/>
      </c>
      <c r="AQ4405" s="8" t="str">
        <f aca="false">IF(A4405="","",IF(ISNUMBER(SEARCH("2歳",Z4405)),"2歳戦",IF(ISNUMBER(SEARCH("3歳未勝利",Z4405)),"3歳未勝利",IF(ISNUMBER(SEARCH("未勝利",Z4405)),"その他未勝利",IF(ISNUMBER(SEARCH("G1",Z4405)),"G1",IF(ISNUMBER(SEARCH("G2",Z4405)),"G2",IF(ISNUMBER(SEARCH("G3",Z4405)),"G3",IF(ISNUMBER(SEARCH("古馬条件",Z4405)),"古馬条件戦",IF(ISNUMBER(SEARCH("重賞",Z4405)),"重賞","分類不能")))))))))</f>
        <v/>
      </c>
    </row>
    <row r="4406" customFormat="false" ht="15.75" hidden="false" customHeight="false" outlineLevel="0" collapsed="false">
      <c r="AO4406" s="8" t="str">
        <f aca="false">IF(A4406="","",IF(COUNTIFS(全馬データ!$A$2:$A$50000,A4406,全馬データ!$B$2:$B$50000,B4406,全馬データ!$C$2:$C$50000,C4406,全馬データ!$D$2:$D$50000,E4406,全馬データ!$K$2:$K$50000,"&lt;&gt;")=0,"",SUMIFS(全馬データ!$K$2:$K$50000,全馬データ!$A$2:$A$50000,A4406,全馬データ!$B$2:$B$50000,B4406,全馬データ!$C$2:$C$50000,C4406,全馬データ!$D$2:$D$50000,E4406)))</f>
        <v/>
      </c>
      <c r="AP4406" s="8" t="str">
        <f aca="false">IF(A4406="","",IF(AO4406="","欠損",IF(AO4406&lt;=1.1,"1.0～1.1",IF(AO4406&lt;1.3,"1.2",IF(AO4406&lt;1.5,"1.3～1.4",IF(AO4406&lt;2,"1.5～1.9","2.0以上"))))))</f>
        <v/>
      </c>
      <c r="AQ4406" s="8" t="str">
        <f aca="false">IF(A4406="","",IF(ISNUMBER(SEARCH("2歳",Z4406)),"2歳戦",IF(ISNUMBER(SEARCH("3歳未勝利",Z4406)),"3歳未勝利",IF(ISNUMBER(SEARCH("未勝利",Z4406)),"その他未勝利",IF(ISNUMBER(SEARCH("G1",Z4406)),"G1",IF(ISNUMBER(SEARCH("G2",Z4406)),"G2",IF(ISNUMBER(SEARCH("G3",Z4406)),"G3",IF(ISNUMBER(SEARCH("古馬条件",Z4406)),"古馬条件戦",IF(ISNUMBER(SEARCH("重賞",Z4406)),"重賞","分類不能")))))))))</f>
        <v/>
      </c>
    </row>
    <row r="4407" customFormat="false" ht="15.75" hidden="false" customHeight="false" outlineLevel="0" collapsed="false">
      <c r="AO4407" s="8" t="str">
        <f aca="false">IF(A4407="","",IF(COUNTIFS(全馬データ!$A$2:$A$50000,A4407,全馬データ!$B$2:$B$50000,B4407,全馬データ!$C$2:$C$50000,C4407,全馬データ!$D$2:$D$50000,E4407,全馬データ!$K$2:$K$50000,"&lt;&gt;")=0,"",SUMIFS(全馬データ!$K$2:$K$50000,全馬データ!$A$2:$A$50000,A4407,全馬データ!$B$2:$B$50000,B4407,全馬データ!$C$2:$C$50000,C4407,全馬データ!$D$2:$D$50000,E4407)))</f>
        <v/>
      </c>
      <c r="AP4407" s="8" t="str">
        <f aca="false">IF(A4407="","",IF(AO4407="","欠損",IF(AO4407&lt;=1.1,"1.0～1.1",IF(AO4407&lt;1.3,"1.2",IF(AO4407&lt;1.5,"1.3～1.4",IF(AO4407&lt;2,"1.5～1.9","2.0以上"))))))</f>
        <v/>
      </c>
      <c r="AQ4407" s="8" t="str">
        <f aca="false">IF(A4407="","",IF(ISNUMBER(SEARCH("2歳",Z4407)),"2歳戦",IF(ISNUMBER(SEARCH("3歳未勝利",Z4407)),"3歳未勝利",IF(ISNUMBER(SEARCH("未勝利",Z4407)),"その他未勝利",IF(ISNUMBER(SEARCH("G1",Z4407)),"G1",IF(ISNUMBER(SEARCH("G2",Z4407)),"G2",IF(ISNUMBER(SEARCH("G3",Z4407)),"G3",IF(ISNUMBER(SEARCH("古馬条件",Z4407)),"古馬条件戦",IF(ISNUMBER(SEARCH("重賞",Z4407)),"重賞","分類不能")))))))))</f>
        <v/>
      </c>
    </row>
    <row r="4408" customFormat="false" ht="15.75" hidden="false" customHeight="false" outlineLevel="0" collapsed="false">
      <c r="AO4408" s="8" t="str">
        <f aca="false">IF(A4408="","",IF(COUNTIFS(全馬データ!$A$2:$A$50000,A4408,全馬データ!$B$2:$B$50000,B4408,全馬データ!$C$2:$C$50000,C4408,全馬データ!$D$2:$D$50000,E4408,全馬データ!$K$2:$K$50000,"&lt;&gt;")=0,"",SUMIFS(全馬データ!$K$2:$K$50000,全馬データ!$A$2:$A$50000,A4408,全馬データ!$B$2:$B$50000,B4408,全馬データ!$C$2:$C$50000,C4408,全馬データ!$D$2:$D$50000,E4408)))</f>
        <v/>
      </c>
      <c r="AP4408" s="8" t="str">
        <f aca="false">IF(A4408="","",IF(AO4408="","欠損",IF(AO4408&lt;=1.1,"1.0～1.1",IF(AO4408&lt;1.3,"1.2",IF(AO4408&lt;1.5,"1.3～1.4",IF(AO4408&lt;2,"1.5～1.9","2.0以上"))))))</f>
        <v/>
      </c>
      <c r="AQ4408" s="8" t="str">
        <f aca="false">IF(A4408="","",IF(ISNUMBER(SEARCH("2歳",Z4408)),"2歳戦",IF(ISNUMBER(SEARCH("3歳未勝利",Z4408)),"3歳未勝利",IF(ISNUMBER(SEARCH("未勝利",Z4408)),"その他未勝利",IF(ISNUMBER(SEARCH("G1",Z4408)),"G1",IF(ISNUMBER(SEARCH("G2",Z4408)),"G2",IF(ISNUMBER(SEARCH("G3",Z4408)),"G3",IF(ISNUMBER(SEARCH("古馬条件",Z4408)),"古馬条件戦",IF(ISNUMBER(SEARCH("重賞",Z4408)),"重賞","分類不能")))))))))</f>
        <v/>
      </c>
    </row>
    <row r="4409" customFormat="false" ht="15.75" hidden="false" customHeight="false" outlineLevel="0" collapsed="false">
      <c r="AO4409" s="8" t="str">
        <f aca="false">IF(A4409="","",IF(COUNTIFS(全馬データ!$A$2:$A$50000,A4409,全馬データ!$B$2:$B$50000,B4409,全馬データ!$C$2:$C$50000,C4409,全馬データ!$D$2:$D$50000,E4409,全馬データ!$K$2:$K$50000,"&lt;&gt;")=0,"",SUMIFS(全馬データ!$K$2:$K$50000,全馬データ!$A$2:$A$50000,A4409,全馬データ!$B$2:$B$50000,B4409,全馬データ!$C$2:$C$50000,C4409,全馬データ!$D$2:$D$50000,E4409)))</f>
        <v/>
      </c>
      <c r="AP4409" s="8" t="str">
        <f aca="false">IF(A4409="","",IF(AO4409="","欠損",IF(AO4409&lt;=1.1,"1.0～1.1",IF(AO4409&lt;1.3,"1.2",IF(AO4409&lt;1.5,"1.3～1.4",IF(AO4409&lt;2,"1.5～1.9","2.0以上"))))))</f>
        <v/>
      </c>
      <c r="AQ4409" s="8" t="str">
        <f aca="false">IF(A4409="","",IF(ISNUMBER(SEARCH("2歳",Z4409)),"2歳戦",IF(ISNUMBER(SEARCH("3歳未勝利",Z4409)),"3歳未勝利",IF(ISNUMBER(SEARCH("未勝利",Z4409)),"その他未勝利",IF(ISNUMBER(SEARCH("G1",Z4409)),"G1",IF(ISNUMBER(SEARCH("G2",Z4409)),"G2",IF(ISNUMBER(SEARCH("G3",Z4409)),"G3",IF(ISNUMBER(SEARCH("古馬条件",Z4409)),"古馬条件戦",IF(ISNUMBER(SEARCH("重賞",Z4409)),"重賞","分類不能")))))))))</f>
        <v/>
      </c>
    </row>
    <row r="4410" customFormat="false" ht="15.75" hidden="false" customHeight="false" outlineLevel="0" collapsed="false">
      <c r="AO4410" s="8" t="str">
        <f aca="false">IF(A4410="","",IF(COUNTIFS(全馬データ!$A$2:$A$50000,A4410,全馬データ!$B$2:$B$50000,B4410,全馬データ!$C$2:$C$50000,C4410,全馬データ!$D$2:$D$50000,E4410,全馬データ!$K$2:$K$50000,"&lt;&gt;")=0,"",SUMIFS(全馬データ!$K$2:$K$50000,全馬データ!$A$2:$A$50000,A4410,全馬データ!$B$2:$B$50000,B4410,全馬データ!$C$2:$C$50000,C4410,全馬データ!$D$2:$D$50000,E4410)))</f>
        <v/>
      </c>
      <c r="AP4410" s="8" t="str">
        <f aca="false">IF(A4410="","",IF(AO4410="","欠損",IF(AO4410&lt;=1.1,"1.0～1.1",IF(AO4410&lt;1.3,"1.2",IF(AO4410&lt;1.5,"1.3～1.4",IF(AO4410&lt;2,"1.5～1.9","2.0以上"))))))</f>
        <v/>
      </c>
      <c r="AQ4410" s="8" t="str">
        <f aca="false">IF(A4410="","",IF(ISNUMBER(SEARCH("2歳",Z4410)),"2歳戦",IF(ISNUMBER(SEARCH("3歳未勝利",Z4410)),"3歳未勝利",IF(ISNUMBER(SEARCH("未勝利",Z4410)),"その他未勝利",IF(ISNUMBER(SEARCH("G1",Z4410)),"G1",IF(ISNUMBER(SEARCH("G2",Z4410)),"G2",IF(ISNUMBER(SEARCH("G3",Z4410)),"G3",IF(ISNUMBER(SEARCH("古馬条件",Z4410)),"古馬条件戦",IF(ISNUMBER(SEARCH("重賞",Z4410)),"重賞","分類不能")))))))))</f>
        <v/>
      </c>
    </row>
    <row r="4411" customFormat="false" ht="15.75" hidden="false" customHeight="false" outlineLevel="0" collapsed="false">
      <c r="AO4411" s="8" t="str">
        <f aca="false">IF(A4411="","",IF(COUNTIFS(全馬データ!$A$2:$A$50000,A4411,全馬データ!$B$2:$B$50000,B4411,全馬データ!$C$2:$C$50000,C4411,全馬データ!$D$2:$D$50000,E4411,全馬データ!$K$2:$K$50000,"&lt;&gt;")=0,"",SUMIFS(全馬データ!$K$2:$K$50000,全馬データ!$A$2:$A$50000,A4411,全馬データ!$B$2:$B$50000,B4411,全馬データ!$C$2:$C$50000,C4411,全馬データ!$D$2:$D$50000,E4411)))</f>
        <v/>
      </c>
      <c r="AP4411" s="8" t="str">
        <f aca="false">IF(A4411="","",IF(AO4411="","欠損",IF(AO4411&lt;=1.1,"1.0～1.1",IF(AO4411&lt;1.3,"1.2",IF(AO4411&lt;1.5,"1.3～1.4",IF(AO4411&lt;2,"1.5～1.9","2.0以上"))))))</f>
        <v/>
      </c>
      <c r="AQ4411" s="8" t="str">
        <f aca="false">IF(A4411="","",IF(ISNUMBER(SEARCH("2歳",Z4411)),"2歳戦",IF(ISNUMBER(SEARCH("3歳未勝利",Z4411)),"3歳未勝利",IF(ISNUMBER(SEARCH("未勝利",Z4411)),"その他未勝利",IF(ISNUMBER(SEARCH("G1",Z4411)),"G1",IF(ISNUMBER(SEARCH("G2",Z4411)),"G2",IF(ISNUMBER(SEARCH("G3",Z4411)),"G3",IF(ISNUMBER(SEARCH("古馬条件",Z4411)),"古馬条件戦",IF(ISNUMBER(SEARCH("重賞",Z4411)),"重賞","分類不能")))))))))</f>
        <v/>
      </c>
    </row>
    <row r="4412" customFormat="false" ht="15.75" hidden="false" customHeight="false" outlineLevel="0" collapsed="false">
      <c r="AO4412" s="8" t="str">
        <f aca="false">IF(A4412="","",IF(COUNTIFS(全馬データ!$A$2:$A$50000,A4412,全馬データ!$B$2:$B$50000,B4412,全馬データ!$C$2:$C$50000,C4412,全馬データ!$D$2:$D$50000,E4412,全馬データ!$K$2:$K$50000,"&lt;&gt;")=0,"",SUMIFS(全馬データ!$K$2:$K$50000,全馬データ!$A$2:$A$50000,A4412,全馬データ!$B$2:$B$50000,B4412,全馬データ!$C$2:$C$50000,C4412,全馬データ!$D$2:$D$50000,E4412)))</f>
        <v/>
      </c>
      <c r="AP4412" s="8" t="str">
        <f aca="false">IF(A4412="","",IF(AO4412="","欠損",IF(AO4412&lt;=1.1,"1.0～1.1",IF(AO4412&lt;1.3,"1.2",IF(AO4412&lt;1.5,"1.3～1.4",IF(AO4412&lt;2,"1.5～1.9","2.0以上"))))))</f>
        <v/>
      </c>
      <c r="AQ4412" s="8" t="str">
        <f aca="false">IF(A4412="","",IF(ISNUMBER(SEARCH("2歳",Z4412)),"2歳戦",IF(ISNUMBER(SEARCH("3歳未勝利",Z4412)),"3歳未勝利",IF(ISNUMBER(SEARCH("未勝利",Z4412)),"その他未勝利",IF(ISNUMBER(SEARCH("G1",Z4412)),"G1",IF(ISNUMBER(SEARCH("G2",Z4412)),"G2",IF(ISNUMBER(SEARCH("G3",Z4412)),"G3",IF(ISNUMBER(SEARCH("古馬条件",Z4412)),"古馬条件戦",IF(ISNUMBER(SEARCH("重賞",Z4412)),"重賞","分類不能")))))))))</f>
        <v/>
      </c>
    </row>
    <row r="4413" customFormat="false" ht="15.75" hidden="false" customHeight="false" outlineLevel="0" collapsed="false">
      <c r="AO4413" s="8" t="str">
        <f aca="false">IF(A4413="","",IF(COUNTIFS(全馬データ!$A$2:$A$50000,A4413,全馬データ!$B$2:$B$50000,B4413,全馬データ!$C$2:$C$50000,C4413,全馬データ!$D$2:$D$50000,E4413,全馬データ!$K$2:$K$50000,"&lt;&gt;")=0,"",SUMIFS(全馬データ!$K$2:$K$50000,全馬データ!$A$2:$A$50000,A4413,全馬データ!$B$2:$B$50000,B4413,全馬データ!$C$2:$C$50000,C4413,全馬データ!$D$2:$D$50000,E4413)))</f>
        <v/>
      </c>
      <c r="AP4413" s="8" t="str">
        <f aca="false">IF(A4413="","",IF(AO4413="","欠損",IF(AO4413&lt;=1.1,"1.0～1.1",IF(AO4413&lt;1.3,"1.2",IF(AO4413&lt;1.5,"1.3～1.4",IF(AO4413&lt;2,"1.5～1.9","2.0以上"))))))</f>
        <v/>
      </c>
      <c r="AQ4413" s="8" t="str">
        <f aca="false">IF(A4413="","",IF(ISNUMBER(SEARCH("2歳",Z4413)),"2歳戦",IF(ISNUMBER(SEARCH("3歳未勝利",Z4413)),"3歳未勝利",IF(ISNUMBER(SEARCH("未勝利",Z4413)),"その他未勝利",IF(ISNUMBER(SEARCH("G1",Z4413)),"G1",IF(ISNUMBER(SEARCH("G2",Z4413)),"G2",IF(ISNUMBER(SEARCH("G3",Z4413)),"G3",IF(ISNUMBER(SEARCH("古馬条件",Z4413)),"古馬条件戦",IF(ISNUMBER(SEARCH("重賞",Z4413)),"重賞","分類不能")))))))))</f>
        <v/>
      </c>
    </row>
    <row r="4414" customFormat="false" ht="15.75" hidden="false" customHeight="false" outlineLevel="0" collapsed="false">
      <c r="AO4414" s="8" t="str">
        <f aca="false">IF(A4414="","",IF(COUNTIFS(全馬データ!$A$2:$A$50000,A4414,全馬データ!$B$2:$B$50000,B4414,全馬データ!$C$2:$C$50000,C4414,全馬データ!$D$2:$D$50000,E4414,全馬データ!$K$2:$K$50000,"&lt;&gt;")=0,"",SUMIFS(全馬データ!$K$2:$K$50000,全馬データ!$A$2:$A$50000,A4414,全馬データ!$B$2:$B$50000,B4414,全馬データ!$C$2:$C$50000,C4414,全馬データ!$D$2:$D$50000,E4414)))</f>
        <v/>
      </c>
      <c r="AP4414" s="8" t="str">
        <f aca="false">IF(A4414="","",IF(AO4414="","欠損",IF(AO4414&lt;=1.1,"1.0～1.1",IF(AO4414&lt;1.3,"1.2",IF(AO4414&lt;1.5,"1.3～1.4",IF(AO4414&lt;2,"1.5～1.9","2.0以上"))))))</f>
        <v/>
      </c>
      <c r="AQ4414" s="8" t="str">
        <f aca="false">IF(A4414="","",IF(ISNUMBER(SEARCH("2歳",Z4414)),"2歳戦",IF(ISNUMBER(SEARCH("3歳未勝利",Z4414)),"3歳未勝利",IF(ISNUMBER(SEARCH("未勝利",Z4414)),"その他未勝利",IF(ISNUMBER(SEARCH("G1",Z4414)),"G1",IF(ISNUMBER(SEARCH("G2",Z4414)),"G2",IF(ISNUMBER(SEARCH("G3",Z4414)),"G3",IF(ISNUMBER(SEARCH("古馬条件",Z4414)),"古馬条件戦",IF(ISNUMBER(SEARCH("重賞",Z4414)),"重賞","分類不能")))))))))</f>
        <v/>
      </c>
    </row>
    <row r="4415" customFormat="false" ht="15.75" hidden="false" customHeight="false" outlineLevel="0" collapsed="false">
      <c r="AO4415" s="8" t="str">
        <f aca="false">IF(A4415="","",IF(COUNTIFS(全馬データ!$A$2:$A$50000,A4415,全馬データ!$B$2:$B$50000,B4415,全馬データ!$C$2:$C$50000,C4415,全馬データ!$D$2:$D$50000,E4415,全馬データ!$K$2:$K$50000,"&lt;&gt;")=0,"",SUMIFS(全馬データ!$K$2:$K$50000,全馬データ!$A$2:$A$50000,A4415,全馬データ!$B$2:$B$50000,B4415,全馬データ!$C$2:$C$50000,C4415,全馬データ!$D$2:$D$50000,E4415)))</f>
        <v/>
      </c>
      <c r="AP4415" s="8" t="str">
        <f aca="false">IF(A4415="","",IF(AO4415="","欠損",IF(AO4415&lt;=1.1,"1.0～1.1",IF(AO4415&lt;1.3,"1.2",IF(AO4415&lt;1.5,"1.3～1.4",IF(AO4415&lt;2,"1.5～1.9","2.0以上"))))))</f>
        <v/>
      </c>
      <c r="AQ4415" s="8" t="str">
        <f aca="false">IF(A4415="","",IF(ISNUMBER(SEARCH("2歳",Z4415)),"2歳戦",IF(ISNUMBER(SEARCH("3歳未勝利",Z4415)),"3歳未勝利",IF(ISNUMBER(SEARCH("未勝利",Z4415)),"その他未勝利",IF(ISNUMBER(SEARCH("G1",Z4415)),"G1",IF(ISNUMBER(SEARCH("G2",Z4415)),"G2",IF(ISNUMBER(SEARCH("G3",Z4415)),"G3",IF(ISNUMBER(SEARCH("古馬条件",Z4415)),"古馬条件戦",IF(ISNUMBER(SEARCH("重賞",Z4415)),"重賞","分類不能")))))))))</f>
        <v/>
      </c>
    </row>
    <row r="4416" customFormat="false" ht="15.75" hidden="false" customHeight="false" outlineLevel="0" collapsed="false">
      <c r="AO4416" s="8" t="str">
        <f aca="false">IF(A4416="","",IF(COUNTIFS(全馬データ!$A$2:$A$50000,A4416,全馬データ!$B$2:$B$50000,B4416,全馬データ!$C$2:$C$50000,C4416,全馬データ!$D$2:$D$50000,E4416,全馬データ!$K$2:$K$50000,"&lt;&gt;")=0,"",SUMIFS(全馬データ!$K$2:$K$50000,全馬データ!$A$2:$A$50000,A4416,全馬データ!$B$2:$B$50000,B4416,全馬データ!$C$2:$C$50000,C4416,全馬データ!$D$2:$D$50000,E4416)))</f>
        <v/>
      </c>
      <c r="AP4416" s="8" t="str">
        <f aca="false">IF(A4416="","",IF(AO4416="","欠損",IF(AO4416&lt;=1.1,"1.0～1.1",IF(AO4416&lt;1.3,"1.2",IF(AO4416&lt;1.5,"1.3～1.4",IF(AO4416&lt;2,"1.5～1.9","2.0以上"))))))</f>
        <v/>
      </c>
      <c r="AQ4416" s="8" t="str">
        <f aca="false">IF(A4416="","",IF(ISNUMBER(SEARCH("2歳",Z4416)),"2歳戦",IF(ISNUMBER(SEARCH("3歳未勝利",Z4416)),"3歳未勝利",IF(ISNUMBER(SEARCH("未勝利",Z4416)),"その他未勝利",IF(ISNUMBER(SEARCH("G1",Z4416)),"G1",IF(ISNUMBER(SEARCH("G2",Z4416)),"G2",IF(ISNUMBER(SEARCH("G3",Z4416)),"G3",IF(ISNUMBER(SEARCH("古馬条件",Z4416)),"古馬条件戦",IF(ISNUMBER(SEARCH("重賞",Z4416)),"重賞","分類不能")))))))))</f>
        <v/>
      </c>
    </row>
    <row r="4417" customFormat="false" ht="15.75" hidden="false" customHeight="false" outlineLevel="0" collapsed="false">
      <c r="AO4417" s="8" t="str">
        <f aca="false">IF(A4417="","",IF(COUNTIFS(全馬データ!$A$2:$A$50000,A4417,全馬データ!$B$2:$B$50000,B4417,全馬データ!$C$2:$C$50000,C4417,全馬データ!$D$2:$D$50000,E4417,全馬データ!$K$2:$K$50000,"&lt;&gt;")=0,"",SUMIFS(全馬データ!$K$2:$K$50000,全馬データ!$A$2:$A$50000,A4417,全馬データ!$B$2:$B$50000,B4417,全馬データ!$C$2:$C$50000,C4417,全馬データ!$D$2:$D$50000,E4417)))</f>
        <v/>
      </c>
      <c r="AP4417" s="8" t="str">
        <f aca="false">IF(A4417="","",IF(AO4417="","欠損",IF(AO4417&lt;=1.1,"1.0～1.1",IF(AO4417&lt;1.3,"1.2",IF(AO4417&lt;1.5,"1.3～1.4",IF(AO4417&lt;2,"1.5～1.9","2.0以上"))))))</f>
        <v/>
      </c>
      <c r="AQ4417" s="8" t="str">
        <f aca="false">IF(A4417="","",IF(ISNUMBER(SEARCH("2歳",Z4417)),"2歳戦",IF(ISNUMBER(SEARCH("3歳未勝利",Z4417)),"3歳未勝利",IF(ISNUMBER(SEARCH("未勝利",Z4417)),"その他未勝利",IF(ISNUMBER(SEARCH("G1",Z4417)),"G1",IF(ISNUMBER(SEARCH("G2",Z4417)),"G2",IF(ISNUMBER(SEARCH("G3",Z4417)),"G3",IF(ISNUMBER(SEARCH("古馬条件",Z4417)),"古馬条件戦",IF(ISNUMBER(SEARCH("重賞",Z4417)),"重賞","分類不能")))))))))</f>
        <v/>
      </c>
    </row>
    <row r="4418" customFormat="false" ht="15.75" hidden="false" customHeight="false" outlineLevel="0" collapsed="false">
      <c r="AO4418" s="8" t="str">
        <f aca="false">IF(A4418="","",IF(COUNTIFS(全馬データ!$A$2:$A$50000,A4418,全馬データ!$B$2:$B$50000,B4418,全馬データ!$C$2:$C$50000,C4418,全馬データ!$D$2:$D$50000,E4418,全馬データ!$K$2:$K$50000,"&lt;&gt;")=0,"",SUMIFS(全馬データ!$K$2:$K$50000,全馬データ!$A$2:$A$50000,A4418,全馬データ!$B$2:$B$50000,B4418,全馬データ!$C$2:$C$50000,C4418,全馬データ!$D$2:$D$50000,E4418)))</f>
        <v/>
      </c>
      <c r="AP4418" s="8" t="str">
        <f aca="false">IF(A4418="","",IF(AO4418="","欠損",IF(AO4418&lt;=1.1,"1.0～1.1",IF(AO4418&lt;1.3,"1.2",IF(AO4418&lt;1.5,"1.3～1.4",IF(AO4418&lt;2,"1.5～1.9","2.0以上"))))))</f>
        <v/>
      </c>
      <c r="AQ4418" s="8" t="str">
        <f aca="false">IF(A4418="","",IF(ISNUMBER(SEARCH("2歳",Z4418)),"2歳戦",IF(ISNUMBER(SEARCH("3歳未勝利",Z4418)),"3歳未勝利",IF(ISNUMBER(SEARCH("未勝利",Z4418)),"その他未勝利",IF(ISNUMBER(SEARCH("G1",Z4418)),"G1",IF(ISNUMBER(SEARCH("G2",Z4418)),"G2",IF(ISNUMBER(SEARCH("G3",Z4418)),"G3",IF(ISNUMBER(SEARCH("古馬条件",Z4418)),"古馬条件戦",IF(ISNUMBER(SEARCH("重賞",Z4418)),"重賞","分類不能")))))))))</f>
        <v/>
      </c>
    </row>
    <row r="4419" customFormat="false" ht="15.75" hidden="false" customHeight="false" outlineLevel="0" collapsed="false">
      <c r="AO4419" s="8" t="str">
        <f aca="false">IF(A4419="","",IF(COUNTIFS(全馬データ!$A$2:$A$50000,A4419,全馬データ!$B$2:$B$50000,B4419,全馬データ!$C$2:$C$50000,C4419,全馬データ!$D$2:$D$50000,E4419,全馬データ!$K$2:$K$50000,"&lt;&gt;")=0,"",SUMIFS(全馬データ!$K$2:$K$50000,全馬データ!$A$2:$A$50000,A4419,全馬データ!$B$2:$B$50000,B4419,全馬データ!$C$2:$C$50000,C4419,全馬データ!$D$2:$D$50000,E4419)))</f>
        <v/>
      </c>
      <c r="AP4419" s="8" t="str">
        <f aca="false">IF(A4419="","",IF(AO4419="","欠損",IF(AO4419&lt;=1.1,"1.0～1.1",IF(AO4419&lt;1.3,"1.2",IF(AO4419&lt;1.5,"1.3～1.4",IF(AO4419&lt;2,"1.5～1.9","2.0以上"))))))</f>
        <v/>
      </c>
      <c r="AQ4419" s="8" t="str">
        <f aca="false">IF(A4419="","",IF(ISNUMBER(SEARCH("2歳",Z4419)),"2歳戦",IF(ISNUMBER(SEARCH("3歳未勝利",Z4419)),"3歳未勝利",IF(ISNUMBER(SEARCH("未勝利",Z4419)),"その他未勝利",IF(ISNUMBER(SEARCH("G1",Z4419)),"G1",IF(ISNUMBER(SEARCH("G2",Z4419)),"G2",IF(ISNUMBER(SEARCH("G3",Z4419)),"G3",IF(ISNUMBER(SEARCH("古馬条件",Z4419)),"古馬条件戦",IF(ISNUMBER(SEARCH("重賞",Z4419)),"重賞","分類不能")))))))))</f>
        <v/>
      </c>
    </row>
    <row r="4420" customFormat="false" ht="15.75" hidden="false" customHeight="false" outlineLevel="0" collapsed="false">
      <c r="AO4420" s="8" t="str">
        <f aca="false">IF(A4420="","",IF(COUNTIFS(全馬データ!$A$2:$A$50000,A4420,全馬データ!$B$2:$B$50000,B4420,全馬データ!$C$2:$C$50000,C4420,全馬データ!$D$2:$D$50000,E4420,全馬データ!$K$2:$K$50000,"&lt;&gt;")=0,"",SUMIFS(全馬データ!$K$2:$K$50000,全馬データ!$A$2:$A$50000,A4420,全馬データ!$B$2:$B$50000,B4420,全馬データ!$C$2:$C$50000,C4420,全馬データ!$D$2:$D$50000,E4420)))</f>
        <v/>
      </c>
      <c r="AP4420" s="8" t="str">
        <f aca="false">IF(A4420="","",IF(AO4420="","欠損",IF(AO4420&lt;=1.1,"1.0～1.1",IF(AO4420&lt;1.3,"1.2",IF(AO4420&lt;1.5,"1.3～1.4",IF(AO4420&lt;2,"1.5～1.9","2.0以上"))))))</f>
        <v/>
      </c>
      <c r="AQ4420" s="8" t="str">
        <f aca="false">IF(A4420="","",IF(ISNUMBER(SEARCH("2歳",Z4420)),"2歳戦",IF(ISNUMBER(SEARCH("3歳未勝利",Z4420)),"3歳未勝利",IF(ISNUMBER(SEARCH("未勝利",Z4420)),"その他未勝利",IF(ISNUMBER(SEARCH("G1",Z4420)),"G1",IF(ISNUMBER(SEARCH("G2",Z4420)),"G2",IF(ISNUMBER(SEARCH("G3",Z4420)),"G3",IF(ISNUMBER(SEARCH("古馬条件",Z4420)),"古馬条件戦",IF(ISNUMBER(SEARCH("重賞",Z4420)),"重賞","分類不能")))))))))</f>
        <v/>
      </c>
    </row>
    <row r="4421" customFormat="false" ht="15.75" hidden="false" customHeight="false" outlineLevel="0" collapsed="false">
      <c r="AO4421" s="8" t="str">
        <f aca="false">IF(A4421="","",IF(COUNTIFS(全馬データ!$A$2:$A$50000,A4421,全馬データ!$B$2:$B$50000,B4421,全馬データ!$C$2:$C$50000,C4421,全馬データ!$D$2:$D$50000,E4421,全馬データ!$K$2:$K$50000,"&lt;&gt;")=0,"",SUMIFS(全馬データ!$K$2:$K$50000,全馬データ!$A$2:$A$50000,A4421,全馬データ!$B$2:$B$50000,B4421,全馬データ!$C$2:$C$50000,C4421,全馬データ!$D$2:$D$50000,E4421)))</f>
        <v/>
      </c>
      <c r="AP4421" s="8" t="str">
        <f aca="false">IF(A4421="","",IF(AO4421="","欠損",IF(AO4421&lt;=1.1,"1.0～1.1",IF(AO4421&lt;1.3,"1.2",IF(AO4421&lt;1.5,"1.3～1.4",IF(AO4421&lt;2,"1.5～1.9","2.0以上"))))))</f>
        <v/>
      </c>
      <c r="AQ4421" s="8" t="str">
        <f aca="false">IF(A4421="","",IF(ISNUMBER(SEARCH("2歳",Z4421)),"2歳戦",IF(ISNUMBER(SEARCH("3歳未勝利",Z4421)),"3歳未勝利",IF(ISNUMBER(SEARCH("未勝利",Z4421)),"その他未勝利",IF(ISNUMBER(SEARCH("G1",Z4421)),"G1",IF(ISNUMBER(SEARCH("G2",Z4421)),"G2",IF(ISNUMBER(SEARCH("G3",Z4421)),"G3",IF(ISNUMBER(SEARCH("古馬条件",Z4421)),"古馬条件戦",IF(ISNUMBER(SEARCH("重賞",Z4421)),"重賞","分類不能")))))))))</f>
        <v/>
      </c>
    </row>
    <row r="4422" customFormat="false" ht="15.75" hidden="false" customHeight="false" outlineLevel="0" collapsed="false">
      <c r="AO4422" s="8" t="str">
        <f aca="false">IF(A4422="","",IF(COUNTIFS(全馬データ!$A$2:$A$50000,A4422,全馬データ!$B$2:$B$50000,B4422,全馬データ!$C$2:$C$50000,C4422,全馬データ!$D$2:$D$50000,E4422,全馬データ!$K$2:$K$50000,"&lt;&gt;")=0,"",SUMIFS(全馬データ!$K$2:$K$50000,全馬データ!$A$2:$A$50000,A4422,全馬データ!$B$2:$B$50000,B4422,全馬データ!$C$2:$C$50000,C4422,全馬データ!$D$2:$D$50000,E4422)))</f>
        <v/>
      </c>
      <c r="AP4422" s="8" t="str">
        <f aca="false">IF(A4422="","",IF(AO4422="","欠損",IF(AO4422&lt;=1.1,"1.0～1.1",IF(AO4422&lt;1.3,"1.2",IF(AO4422&lt;1.5,"1.3～1.4",IF(AO4422&lt;2,"1.5～1.9","2.0以上"))))))</f>
        <v/>
      </c>
      <c r="AQ4422" s="8" t="str">
        <f aca="false">IF(A4422="","",IF(ISNUMBER(SEARCH("2歳",Z4422)),"2歳戦",IF(ISNUMBER(SEARCH("3歳未勝利",Z4422)),"3歳未勝利",IF(ISNUMBER(SEARCH("未勝利",Z4422)),"その他未勝利",IF(ISNUMBER(SEARCH("G1",Z4422)),"G1",IF(ISNUMBER(SEARCH("G2",Z4422)),"G2",IF(ISNUMBER(SEARCH("G3",Z4422)),"G3",IF(ISNUMBER(SEARCH("古馬条件",Z4422)),"古馬条件戦",IF(ISNUMBER(SEARCH("重賞",Z4422)),"重賞","分類不能")))))))))</f>
        <v/>
      </c>
    </row>
    <row r="4423" customFormat="false" ht="15.75" hidden="false" customHeight="false" outlineLevel="0" collapsed="false">
      <c r="AO4423" s="8" t="str">
        <f aca="false">IF(A4423="","",IF(COUNTIFS(全馬データ!$A$2:$A$50000,A4423,全馬データ!$B$2:$B$50000,B4423,全馬データ!$C$2:$C$50000,C4423,全馬データ!$D$2:$D$50000,E4423,全馬データ!$K$2:$K$50000,"&lt;&gt;")=0,"",SUMIFS(全馬データ!$K$2:$K$50000,全馬データ!$A$2:$A$50000,A4423,全馬データ!$B$2:$B$50000,B4423,全馬データ!$C$2:$C$50000,C4423,全馬データ!$D$2:$D$50000,E4423)))</f>
        <v/>
      </c>
      <c r="AP4423" s="8" t="str">
        <f aca="false">IF(A4423="","",IF(AO4423="","欠損",IF(AO4423&lt;=1.1,"1.0～1.1",IF(AO4423&lt;1.3,"1.2",IF(AO4423&lt;1.5,"1.3～1.4",IF(AO4423&lt;2,"1.5～1.9","2.0以上"))))))</f>
        <v/>
      </c>
      <c r="AQ4423" s="8" t="str">
        <f aca="false">IF(A4423="","",IF(ISNUMBER(SEARCH("2歳",Z4423)),"2歳戦",IF(ISNUMBER(SEARCH("3歳未勝利",Z4423)),"3歳未勝利",IF(ISNUMBER(SEARCH("未勝利",Z4423)),"その他未勝利",IF(ISNUMBER(SEARCH("G1",Z4423)),"G1",IF(ISNUMBER(SEARCH("G2",Z4423)),"G2",IF(ISNUMBER(SEARCH("G3",Z4423)),"G3",IF(ISNUMBER(SEARCH("古馬条件",Z4423)),"古馬条件戦",IF(ISNUMBER(SEARCH("重賞",Z4423)),"重賞","分類不能")))))))))</f>
        <v/>
      </c>
    </row>
    <row r="4424" customFormat="false" ht="15.75" hidden="false" customHeight="false" outlineLevel="0" collapsed="false">
      <c r="AO4424" s="8" t="str">
        <f aca="false">IF(A4424="","",IF(COUNTIFS(全馬データ!$A$2:$A$50000,A4424,全馬データ!$B$2:$B$50000,B4424,全馬データ!$C$2:$C$50000,C4424,全馬データ!$D$2:$D$50000,E4424,全馬データ!$K$2:$K$50000,"&lt;&gt;")=0,"",SUMIFS(全馬データ!$K$2:$K$50000,全馬データ!$A$2:$A$50000,A4424,全馬データ!$B$2:$B$50000,B4424,全馬データ!$C$2:$C$50000,C4424,全馬データ!$D$2:$D$50000,E4424)))</f>
        <v/>
      </c>
      <c r="AP4424" s="8" t="str">
        <f aca="false">IF(A4424="","",IF(AO4424="","欠損",IF(AO4424&lt;=1.1,"1.0～1.1",IF(AO4424&lt;1.3,"1.2",IF(AO4424&lt;1.5,"1.3～1.4",IF(AO4424&lt;2,"1.5～1.9","2.0以上"))))))</f>
        <v/>
      </c>
      <c r="AQ4424" s="8" t="str">
        <f aca="false">IF(A4424="","",IF(ISNUMBER(SEARCH("2歳",Z4424)),"2歳戦",IF(ISNUMBER(SEARCH("3歳未勝利",Z4424)),"3歳未勝利",IF(ISNUMBER(SEARCH("未勝利",Z4424)),"その他未勝利",IF(ISNUMBER(SEARCH("G1",Z4424)),"G1",IF(ISNUMBER(SEARCH("G2",Z4424)),"G2",IF(ISNUMBER(SEARCH("G3",Z4424)),"G3",IF(ISNUMBER(SEARCH("古馬条件",Z4424)),"古馬条件戦",IF(ISNUMBER(SEARCH("重賞",Z4424)),"重賞","分類不能")))))))))</f>
        <v/>
      </c>
    </row>
    <row r="4425" customFormat="false" ht="15.75" hidden="false" customHeight="false" outlineLevel="0" collapsed="false">
      <c r="AO4425" s="8" t="str">
        <f aca="false">IF(A4425="","",IF(COUNTIFS(全馬データ!$A$2:$A$50000,A4425,全馬データ!$B$2:$B$50000,B4425,全馬データ!$C$2:$C$50000,C4425,全馬データ!$D$2:$D$50000,E4425,全馬データ!$K$2:$K$50000,"&lt;&gt;")=0,"",SUMIFS(全馬データ!$K$2:$K$50000,全馬データ!$A$2:$A$50000,A4425,全馬データ!$B$2:$B$50000,B4425,全馬データ!$C$2:$C$50000,C4425,全馬データ!$D$2:$D$50000,E4425)))</f>
        <v/>
      </c>
      <c r="AP4425" s="8" t="str">
        <f aca="false">IF(A4425="","",IF(AO4425="","欠損",IF(AO4425&lt;=1.1,"1.0～1.1",IF(AO4425&lt;1.3,"1.2",IF(AO4425&lt;1.5,"1.3～1.4",IF(AO4425&lt;2,"1.5～1.9","2.0以上"))))))</f>
        <v/>
      </c>
      <c r="AQ4425" s="8" t="str">
        <f aca="false">IF(A4425="","",IF(ISNUMBER(SEARCH("2歳",Z4425)),"2歳戦",IF(ISNUMBER(SEARCH("3歳未勝利",Z4425)),"3歳未勝利",IF(ISNUMBER(SEARCH("未勝利",Z4425)),"その他未勝利",IF(ISNUMBER(SEARCH("G1",Z4425)),"G1",IF(ISNUMBER(SEARCH("G2",Z4425)),"G2",IF(ISNUMBER(SEARCH("G3",Z4425)),"G3",IF(ISNUMBER(SEARCH("古馬条件",Z4425)),"古馬条件戦",IF(ISNUMBER(SEARCH("重賞",Z4425)),"重賞","分類不能")))))))))</f>
        <v/>
      </c>
    </row>
    <row r="4426" customFormat="false" ht="15.75" hidden="false" customHeight="false" outlineLevel="0" collapsed="false">
      <c r="AO4426" s="8" t="str">
        <f aca="false">IF(A4426="","",IF(COUNTIFS(全馬データ!$A$2:$A$50000,A4426,全馬データ!$B$2:$B$50000,B4426,全馬データ!$C$2:$C$50000,C4426,全馬データ!$D$2:$D$50000,E4426,全馬データ!$K$2:$K$50000,"&lt;&gt;")=0,"",SUMIFS(全馬データ!$K$2:$K$50000,全馬データ!$A$2:$A$50000,A4426,全馬データ!$B$2:$B$50000,B4426,全馬データ!$C$2:$C$50000,C4426,全馬データ!$D$2:$D$50000,E4426)))</f>
        <v/>
      </c>
      <c r="AP4426" s="8" t="str">
        <f aca="false">IF(A4426="","",IF(AO4426="","欠損",IF(AO4426&lt;=1.1,"1.0～1.1",IF(AO4426&lt;1.3,"1.2",IF(AO4426&lt;1.5,"1.3～1.4",IF(AO4426&lt;2,"1.5～1.9","2.0以上"))))))</f>
        <v/>
      </c>
      <c r="AQ4426" s="8" t="str">
        <f aca="false">IF(A4426="","",IF(ISNUMBER(SEARCH("2歳",Z4426)),"2歳戦",IF(ISNUMBER(SEARCH("3歳未勝利",Z4426)),"3歳未勝利",IF(ISNUMBER(SEARCH("未勝利",Z4426)),"その他未勝利",IF(ISNUMBER(SEARCH("G1",Z4426)),"G1",IF(ISNUMBER(SEARCH("G2",Z4426)),"G2",IF(ISNUMBER(SEARCH("G3",Z4426)),"G3",IF(ISNUMBER(SEARCH("古馬条件",Z4426)),"古馬条件戦",IF(ISNUMBER(SEARCH("重賞",Z4426)),"重賞","分類不能")))))))))</f>
        <v/>
      </c>
    </row>
    <row r="4427" customFormat="false" ht="15.75" hidden="false" customHeight="false" outlineLevel="0" collapsed="false">
      <c r="AO4427" s="8" t="str">
        <f aca="false">IF(A4427="","",IF(COUNTIFS(全馬データ!$A$2:$A$50000,A4427,全馬データ!$B$2:$B$50000,B4427,全馬データ!$C$2:$C$50000,C4427,全馬データ!$D$2:$D$50000,E4427,全馬データ!$K$2:$K$50000,"&lt;&gt;")=0,"",SUMIFS(全馬データ!$K$2:$K$50000,全馬データ!$A$2:$A$50000,A4427,全馬データ!$B$2:$B$50000,B4427,全馬データ!$C$2:$C$50000,C4427,全馬データ!$D$2:$D$50000,E4427)))</f>
        <v/>
      </c>
      <c r="AP4427" s="8" t="str">
        <f aca="false">IF(A4427="","",IF(AO4427="","欠損",IF(AO4427&lt;=1.1,"1.0～1.1",IF(AO4427&lt;1.3,"1.2",IF(AO4427&lt;1.5,"1.3～1.4",IF(AO4427&lt;2,"1.5～1.9","2.0以上"))))))</f>
        <v/>
      </c>
      <c r="AQ4427" s="8" t="str">
        <f aca="false">IF(A4427="","",IF(ISNUMBER(SEARCH("2歳",Z4427)),"2歳戦",IF(ISNUMBER(SEARCH("3歳未勝利",Z4427)),"3歳未勝利",IF(ISNUMBER(SEARCH("未勝利",Z4427)),"その他未勝利",IF(ISNUMBER(SEARCH("G1",Z4427)),"G1",IF(ISNUMBER(SEARCH("G2",Z4427)),"G2",IF(ISNUMBER(SEARCH("G3",Z4427)),"G3",IF(ISNUMBER(SEARCH("古馬条件",Z4427)),"古馬条件戦",IF(ISNUMBER(SEARCH("重賞",Z4427)),"重賞","分類不能")))))))))</f>
        <v/>
      </c>
    </row>
    <row r="4428" customFormat="false" ht="15.75" hidden="false" customHeight="false" outlineLevel="0" collapsed="false">
      <c r="AO4428" s="8" t="str">
        <f aca="false">IF(A4428="","",IF(COUNTIFS(全馬データ!$A$2:$A$50000,A4428,全馬データ!$B$2:$B$50000,B4428,全馬データ!$C$2:$C$50000,C4428,全馬データ!$D$2:$D$50000,E4428,全馬データ!$K$2:$K$50000,"&lt;&gt;")=0,"",SUMIFS(全馬データ!$K$2:$K$50000,全馬データ!$A$2:$A$50000,A4428,全馬データ!$B$2:$B$50000,B4428,全馬データ!$C$2:$C$50000,C4428,全馬データ!$D$2:$D$50000,E4428)))</f>
        <v/>
      </c>
      <c r="AP4428" s="8" t="str">
        <f aca="false">IF(A4428="","",IF(AO4428="","欠損",IF(AO4428&lt;=1.1,"1.0～1.1",IF(AO4428&lt;1.3,"1.2",IF(AO4428&lt;1.5,"1.3～1.4",IF(AO4428&lt;2,"1.5～1.9","2.0以上"))))))</f>
        <v/>
      </c>
      <c r="AQ4428" s="8" t="str">
        <f aca="false">IF(A4428="","",IF(ISNUMBER(SEARCH("2歳",Z4428)),"2歳戦",IF(ISNUMBER(SEARCH("3歳未勝利",Z4428)),"3歳未勝利",IF(ISNUMBER(SEARCH("未勝利",Z4428)),"その他未勝利",IF(ISNUMBER(SEARCH("G1",Z4428)),"G1",IF(ISNUMBER(SEARCH("G2",Z4428)),"G2",IF(ISNUMBER(SEARCH("G3",Z4428)),"G3",IF(ISNUMBER(SEARCH("古馬条件",Z4428)),"古馬条件戦",IF(ISNUMBER(SEARCH("重賞",Z4428)),"重賞","分類不能")))))))))</f>
        <v/>
      </c>
    </row>
    <row r="4429" customFormat="false" ht="15.75" hidden="false" customHeight="false" outlineLevel="0" collapsed="false">
      <c r="AO4429" s="8" t="str">
        <f aca="false">IF(A4429="","",IF(COUNTIFS(全馬データ!$A$2:$A$50000,A4429,全馬データ!$B$2:$B$50000,B4429,全馬データ!$C$2:$C$50000,C4429,全馬データ!$D$2:$D$50000,E4429,全馬データ!$K$2:$K$50000,"&lt;&gt;")=0,"",SUMIFS(全馬データ!$K$2:$K$50000,全馬データ!$A$2:$A$50000,A4429,全馬データ!$B$2:$B$50000,B4429,全馬データ!$C$2:$C$50000,C4429,全馬データ!$D$2:$D$50000,E4429)))</f>
        <v/>
      </c>
      <c r="AP4429" s="8" t="str">
        <f aca="false">IF(A4429="","",IF(AO4429="","欠損",IF(AO4429&lt;=1.1,"1.0～1.1",IF(AO4429&lt;1.3,"1.2",IF(AO4429&lt;1.5,"1.3～1.4",IF(AO4429&lt;2,"1.5～1.9","2.0以上"))))))</f>
        <v/>
      </c>
      <c r="AQ4429" s="8" t="str">
        <f aca="false">IF(A4429="","",IF(ISNUMBER(SEARCH("2歳",Z4429)),"2歳戦",IF(ISNUMBER(SEARCH("3歳未勝利",Z4429)),"3歳未勝利",IF(ISNUMBER(SEARCH("未勝利",Z4429)),"その他未勝利",IF(ISNUMBER(SEARCH("G1",Z4429)),"G1",IF(ISNUMBER(SEARCH("G2",Z4429)),"G2",IF(ISNUMBER(SEARCH("G3",Z4429)),"G3",IF(ISNUMBER(SEARCH("古馬条件",Z4429)),"古馬条件戦",IF(ISNUMBER(SEARCH("重賞",Z4429)),"重賞","分類不能")))))))))</f>
        <v/>
      </c>
    </row>
    <row r="4430" customFormat="false" ht="15.75" hidden="false" customHeight="false" outlineLevel="0" collapsed="false">
      <c r="AO4430" s="8" t="str">
        <f aca="false">IF(A4430="","",IF(COUNTIFS(全馬データ!$A$2:$A$50000,A4430,全馬データ!$B$2:$B$50000,B4430,全馬データ!$C$2:$C$50000,C4430,全馬データ!$D$2:$D$50000,E4430,全馬データ!$K$2:$K$50000,"&lt;&gt;")=0,"",SUMIFS(全馬データ!$K$2:$K$50000,全馬データ!$A$2:$A$50000,A4430,全馬データ!$B$2:$B$50000,B4430,全馬データ!$C$2:$C$50000,C4430,全馬データ!$D$2:$D$50000,E4430)))</f>
        <v/>
      </c>
      <c r="AP4430" s="8" t="str">
        <f aca="false">IF(A4430="","",IF(AO4430="","欠損",IF(AO4430&lt;=1.1,"1.0～1.1",IF(AO4430&lt;1.3,"1.2",IF(AO4430&lt;1.5,"1.3～1.4",IF(AO4430&lt;2,"1.5～1.9","2.0以上"))))))</f>
        <v/>
      </c>
      <c r="AQ4430" s="8" t="str">
        <f aca="false">IF(A4430="","",IF(ISNUMBER(SEARCH("2歳",Z4430)),"2歳戦",IF(ISNUMBER(SEARCH("3歳未勝利",Z4430)),"3歳未勝利",IF(ISNUMBER(SEARCH("未勝利",Z4430)),"その他未勝利",IF(ISNUMBER(SEARCH("G1",Z4430)),"G1",IF(ISNUMBER(SEARCH("G2",Z4430)),"G2",IF(ISNUMBER(SEARCH("G3",Z4430)),"G3",IF(ISNUMBER(SEARCH("古馬条件",Z4430)),"古馬条件戦",IF(ISNUMBER(SEARCH("重賞",Z4430)),"重賞","分類不能")))))))))</f>
        <v/>
      </c>
    </row>
    <row r="4431" customFormat="false" ht="15.75" hidden="false" customHeight="false" outlineLevel="0" collapsed="false">
      <c r="AO4431" s="8" t="str">
        <f aca="false">IF(A4431="","",IF(COUNTIFS(全馬データ!$A$2:$A$50000,A4431,全馬データ!$B$2:$B$50000,B4431,全馬データ!$C$2:$C$50000,C4431,全馬データ!$D$2:$D$50000,E4431,全馬データ!$K$2:$K$50000,"&lt;&gt;")=0,"",SUMIFS(全馬データ!$K$2:$K$50000,全馬データ!$A$2:$A$50000,A4431,全馬データ!$B$2:$B$50000,B4431,全馬データ!$C$2:$C$50000,C4431,全馬データ!$D$2:$D$50000,E4431)))</f>
        <v/>
      </c>
      <c r="AP4431" s="8" t="str">
        <f aca="false">IF(A4431="","",IF(AO4431="","欠損",IF(AO4431&lt;=1.1,"1.0～1.1",IF(AO4431&lt;1.3,"1.2",IF(AO4431&lt;1.5,"1.3～1.4",IF(AO4431&lt;2,"1.5～1.9","2.0以上"))))))</f>
        <v/>
      </c>
      <c r="AQ4431" s="8" t="str">
        <f aca="false">IF(A4431="","",IF(ISNUMBER(SEARCH("2歳",Z4431)),"2歳戦",IF(ISNUMBER(SEARCH("3歳未勝利",Z4431)),"3歳未勝利",IF(ISNUMBER(SEARCH("未勝利",Z4431)),"その他未勝利",IF(ISNUMBER(SEARCH("G1",Z4431)),"G1",IF(ISNUMBER(SEARCH("G2",Z4431)),"G2",IF(ISNUMBER(SEARCH("G3",Z4431)),"G3",IF(ISNUMBER(SEARCH("古馬条件",Z4431)),"古馬条件戦",IF(ISNUMBER(SEARCH("重賞",Z4431)),"重賞","分類不能")))))))))</f>
        <v/>
      </c>
    </row>
    <row r="4432" customFormat="false" ht="15.75" hidden="false" customHeight="false" outlineLevel="0" collapsed="false">
      <c r="AO4432" s="8" t="str">
        <f aca="false">IF(A4432="","",IF(COUNTIFS(全馬データ!$A$2:$A$50000,A4432,全馬データ!$B$2:$B$50000,B4432,全馬データ!$C$2:$C$50000,C4432,全馬データ!$D$2:$D$50000,E4432,全馬データ!$K$2:$K$50000,"&lt;&gt;")=0,"",SUMIFS(全馬データ!$K$2:$K$50000,全馬データ!$A$2:$A$50000,A4432,全馬データ!$B$2:$B$50000,B4432,全馬データ!$C$2:$C$50000,C4432,全馬データ!$D$2:$D$50000,E4432)))</f>
        <v/>
      </c>
      <c r="AP4432" s="8" t="str">
        <f aca="false">IF(A4432="","",IF(AO4432="","欠損",IF(AO4432&lt;=1.1,"1.0～1.1",IF(AO4432&lt;1.3,"1.2",IF(AO4432&lt;1.5,"1.3～1.4",IF(AO4432&lt;2,"1.5～1.9","2.0以上"))))))</f>
        <v/>
      </c>
      <c r="AQ4432" s="8" t="str">
        <f aca="false">IF(A4432="","",IF(ISNUMBER(SEARCH("2歳",Z4432)),"2歳戦",IF(ISNUMBER(SEARCH("3歳未勝利",Z4432)),"3歳未勝利",IF(ISNUMBER(SEARCH("未勝利",Z4432)),"その他未勝利",IF(ISNUMBER(SEARCH("G1",Z4432)),"G1",IF(ISNUMBER(SEARCH("G2",Z4432)),"G2",IF(ISNUMBER(SEARCH("G3",Z4432)),"G3",IF(ISNUMBER(SEARCH("古馬条件",Z4432)),"古馬条件戦",IF(ISNUMBER(SEARCH("重賞",Z4432)),"重賞","分類不能")))))))))</f>
        <v/>
      </c>
    </row>
    <row r="4433" customFormat="false" ht="15.75" hidden="false" customHeight="false" outlineLevel="0" collapsed="false">
      <c r="AO4433" s="8" t="str">
        <f aca="false">IF(A4433="","",IF(COUNTIFS(全馬データ!$A$2:$A$50000,A4433,全馬データ!$B$2:$B$50000,B4433,全馬データ!$C$2:$C$50000,C4433,全馬データ!$D$2:$D$50000,E4433,全馬データ!$K$2:$K$50000,"&lt;&gt;")=0,"",SUMIFS(全馬データ!$K$2:$K$50000,全馬データ!$A$2:$A$50000,A4433,全馬データ!$B$2:$B$50000,B4433,全馬データ!$C$2:$C$50000,C4433,全馬データ!$D$2:$D$50000,E4433)))</f>
        <v/>
      </c>
      <c r="AP4433" s="8" t="str">
        <f aca="false">IF(A4433="","",IF(AO4433="","欠損",IF(AO4433&lt;=1.1,"1.0～1.1",IF(AO4433&lt;1.3,"1.2",IF(AO4433&lt;1.5,"1.3～1.4",IF(AO4433&lt;2,"1.5～1.9","2.0以上"))))))</f>
        <v/>
      </c>
      <c r="AQ4433" s="8" t="str">
        <f aca="false">IF(A4433="","",IF(ISNUMBER(SEARCH("2歳",Z4433)),"2歳戦",IF(ISNUMBER(SEARCH("3歳未勝利",Z4433)),"3歳未勝利",IF(ISNUMBER(SEARCH("未勝利",Z4433)),"その他未勝利",IF(ISNUMBER(SEARCH("G1",Z4433)),"G1",IF(ISNUMBER(SEARCH("G2",Z4433)),"G2",IF(ISNUMBER(SEARCH("G3",Z4433)),"G3",IF(ISNUMBER(SEARCH("古馬条件",Z4433)),"古馬条件戦",IF(ISNUMBER(SEARCH("重賞",Z4433)),"重賞","分類不能")))))))))</f>
        <v/>
      </c>
    </row>
    <row r="4434" customFormat="false" ht="15.75" hidden="false" customHeight="false" outlineLevel="0" collapsed="false">
      <c r="AO4434" s="8" t="str">
        <f aca="false">IF(A4434="","",IF(COUNTIFS(全馬データ!$A$2:$A$50000,A4434,全馬データ!$B$2:$B$50000,B4434,全馬データ!$C$2:$C$50000,C4434,全馬データ!$D$2:$D$50000,E4434,全馬データ!$K$2:$K$50000,"&lt;&gt;")=0,"",SUMIFS(全馬データ!$K$2:$K$50000,全馬データ!$A$2:$A$50000,A4434,全馬データ!$B$2:$B$50000,B4434,全馬データ!$C$2:$C$50000,C4434,全馬データ!$D$2:$D$50000,E4434)))</f>
        <v/>
      </c>
      <c r="AP4434" s="8" t="str">
        <f aca="false">IF(A4434="","",IF(AO4434="","欠損",IF(AO4434&lt;=1.1,"1.0～1.1",IF(AO4434&lt;1.3,"1.2",IF(AO4434&lt;1.5,"1.3～1.4",IF(AO4434&lt;2,"1.5～1.9","2.0以上"))))))</f>
        <v/>
      </c>
      <c r="AQ4434" s="8" t="str">
        <f aca="false">IF(A4434="","",IF(ISNUMBER(SEARCH("2歳",Z4434)),"2歳戦",IF(ISNUMBER(SEARCH("3歳未勝利",Z4434)),"3歳未勝利",IF(ISNUMBER(SEARCH("未勝利",Z4434)),"その他未勝利",IF(ISNUMBER(SEARCH("G1",Z4434)),"G1",IF(ISNUMBER(SEARCH("G2",Z4434)),"G2",IF(ISNUMBER(SEARCH("G3",Z4434)),"G3",IF(ISNUMBER(SEARCH("古馬条件",Z4434)),"古馬条件戦",IF(ISNUMBER(SEARCH("重賞",Z4434)),"重賞","分類不能")))))))))</f>
        <v/>
      </c>
    </row>
    <row r="4435" customFormat="false" ht="15.75" hidden="false" customHeight="false" outlineLevel="0" collapsed="false">
      <c r="AO4435" s="8" t="str">
        <f aca="false">IF(A4435="","",IF(COUNTIFS(全馬データ!$A$2:$A$50000,A4435,全馬データ!$B$2:$B$50000,B4435,全馬データ!$C$2:$C$50000,C4435,全馬データ!$D$2:$D$50000,E4435,全馬データ!$K$2:$K$50000,"&lt;&gt;")=0,"",SUMIFS(全馬データ!$K$2:$K$50000,全馬データ!$A$2:$A$50000,A4435,全馬データ!$B$2:$B$50000,B4435,全馬データ!$C$2:$C$50000,C4435,全馬データ!$D$2:$D$50000,E4435)))</f>
        <v/>
      </c>
      <c r="AP4435" s="8" t="str">
        <f aca="false">IF(A4435="","",IF(AO4435="","欠損",IF(AO4435&lt;=1.1,"1.0～1.1",IF(AO4435&lt;1.3,"1.2",IF(AO4435&lt;1.5,"1.3～1.4",IF(AO4435&lt;2,"1.5～1.9","2.0以上"))))))</f>
        <v/>
      </c>
      <c r="AQ4435" s="8" t="str">
        <f aca="false">IF(A4435="","",IF(ISNUMBER(SEARCH("2歳",Z4435)),"2歳戦",IF(ISNUMBER(SEARCH("3歳未勝利",Z4435)),"3歳未勝利",IF(ISNUMBER(SEARCH("未勝利",Z4435)),"その他未勝利",IF(ISNUMBER(SEARCH("G1",Z4435)),"G1",IF(ISNUMBER(SEARCH("G2",Z4435)),"G2",IF(ISNUMBER(SEARCH("G3",Z4435)),"G3",IF(ISNUMBER(SEARCH("古馬条件",Z4435)),"古馬条件戦",IF(ISNUMBER(SEARCH("重賞",Z4435)),"重賞","分類不能")))))))))</f>
        <v/>
      </c>
    </row>
    <row r="4436" customFormat="false" ht="15.75" hidden="false" customHeight="false" outlineLevel="0" collapsed="false">
      <c r="AO4436" s="8" t="str">
        <f aca="false">IF(A4436="","",IF(COUNTIFS(全馬データ!$A$2:$A$50000,A4436,全馬データ!$B$2:$B$50000,B4436,全馬データ!$C$2:$C$50000,C4436,全馬データ!$D$2:$D$50000,E4436,全馬データ!$K$2:$K$50000,"&lt;&gt;")=0,"",SUMIFS(全馬データ!$K$2:$K$50000,全馬データ!$A$2:$A$50000,A4436,全馬データ!$B$2:$B$50000,B4436,全馬データ!$C$2:$C$50000,C4436,全馬データ!$D$2:$D$50000,E4436)))</f>
        <v/>
      </c>
      <c r="AP4436" s="8" t="str">
        <f aca="false">IF(A4436="","",IF(AO4436="","欠損",IF(AO4436&lt;=1.1,"1.0～1.1",IF(AO4436&lt;1.3,"1.2",IF(AO4436&lt;1.5,"1.3～1.4",IF(AO4436&lt;2,"1.5～1.9","2.0以上"))))))</f>
        <v/>
      </c>
      <c r="AQ4436" s="8" t="str">
        <f aca="false">IF(A4436="","",IF(ISNUMBER(SEARCH("2歳",Z4436)),"2歳戦",IF(ISNUMBER(SEARCH("3歳未勝利",Z4436)),"3歳未勝利",IF(ISNUMBER(SEARCH("未勝利",Z4436)),"その他未勝利",IF(ISNUMBER(SEARCH("G1",Z4436)),"G1",IF(ISNUMBER(SEARCH("G2",Z4436)),"G2",IF(ISNUMBER(SEARCH("G3",Z4436)),"G3",IF(ISNUMBER(SEARCH("古馬条件",Z4436)),"古馬条件戦",IF(ISNUMBER(SEARCH("重賞",Z4436)),"重賞","分類不能")))))))))</f>
        <v/>
      </c>
    </row>
    <row r="4437" customFormat="false" ht="15.75" hidden="false" customHeight="false" outlineLevel="0" collapsed="false">
      <c r="AO4437" s="8" t="str">
        <f aca="false">IF(A4437="","",IF(COUNTIFS(全馬データ!$A$2:$A$50000,A4437,全馬データ!$B$2:$B$50000,B4437,全馬データ!$C$2:$C$50000,C4437,全馬データ!$D$2:$D$50000,E4437,全馬データ!$K$2:$K$50000,"&lt;&gt;")=0,"",SUMIFS(全馬データ!$K$2:$K$50000,全馬データ!$A$2:$A$50000,A4437,全馬データ!$B$2:$B$50000,B4437,全馬データ!$C$2:$C$50000,C4437,全馬データ!$D$2:$D$50000,E4437)))</f>
        <v/>
      </c>
      <c r="AP4437" s="8" t="str">
        <f aca="false">IF(A4437="","",IF(AO4437="","欠損",IF(AO4437&lt;=1.1,"1.0～1.1",IF(AO4437&lt;1.3,"1.2",IF(AO4437&lt;1.5,"1.3～1.4",IF(AO4437&lt;2,"1.5～1.9","2.0以上"))))))</f>
        <v/>
      </c>
      <c r="AQ4437" s="8" t="str">
        <f aca="false">IF(A4437="","",IF(ISNUMBER(SEARCH("2歳",Z4437)),"2歳戦",IF(ISNUMBER(SEARCH("3歳未勝利",Z4437)),"3歳未勝利",IF(ISNUMBER(SEARCH("未勝利",Z4437)),"その他未勝利",IF(ISNUMBER(SEARCH("G1",Z4437)),"G1",IF(ISNUMBER(SEARCH("G2",Z4437)),"G2",IF(ISNUMBER(SEARCH("G3",Z4437)),"G3",IF(ISNUMBER(SEARCH("古馬条件",Z4437)),"古馬条件戦",IF(ISNUMBER(SEARCH("重賞",Z4437)),"重賞","分類不能")))))))))</f>
        <v/>
      </c>
    </row>
    <row r="4438" customFormat="false" ht="15.75" hidden="false" customHeight="false" outlineLevel="0" collapsed="false">
      <c r="AO4438" s="8" t="str">
        <f aca="false">IF(A4438="","",IF(COUNTIFS(全馬データ!$A$2:$A$50000,A4438,全馬データ!$B$2:$B$50000,B4438,全馬データ!$C$2:$C$50000,C4438,全馬データ!$D$2:$D$50000,E4438,全馬データ!$K$2:$K$50000,"&lt;&gt;")=0,"",SUMIFS(全馬データ!$K$2:$K$50000,全馬データ!$A$2:$A$50000,A4438,全馬データ!$B$2:$B$50000,B4438,全馬データ!$C$2:$C$50000,C4438,全馬データ!$D$2:$D$50000,E4438)))</f>
        <v/>
      </c>
      <c r="AP4438" s="8" t="str">
        <f aca="false">IF(A4438="","",IF(AO4438="","欠損",IF(AO4438&lt;=1.1,"1.0～1.1",IF(AO4438&lt;1.3,"1.2",IF(AO4438&lt;1.5,"1.3～1.4",IF(AO4438&lt;2,"1.5～1.9","2.0以上"))))))</f>
        <v/>
      </c>
      <c r="AQ4438" s="8" t="str">
        <f aca="false">IF(A4438="","",IF(ISNUMBER(SEARCH("2歳",Z4438)),"2歳戦",IF(ISNUMBER(SEARCH("3歳未勝利",Z4438)),"3歳未勝利",IF(ISNUMBER(SEARCH("未勝利",Z4438)),"その他未勝利",IF(ISNUMBER(SEARCH("G1",Z4438)),"G1",IF(ISNUMBER(SEARCH("G2",Z4438)),"G2",IF(ISNUMBER(SEARCH("G3",Z4438)),"G3",IF(ISNUMBER(SEARCH("古馬条件",Z4438)),"古馬条件戦",IF(ISNUMBER(SEARCH("重賞",Z4438)),"重賞","分類不能")))))))))</f>
        <v/>
      </c>
    </row>
    <row r="4439" customFormat="false" ht="15.75" hidden="false" customHeight="false" outlineLevel="0" collapsed="false">
      <c r="AO4439" s="8" t="str">
        <f aca="false">IF(A4439="","",IF(COUNTIFS(全馬データ!$A$2:$A$50000,A4439,全馬データ!$B$2:$B$50000,B4439,全馬データ!$C$2:$C$50000,C4439,全馬データ!$D$2:$D$50000,E4439,全馬データ!$K$2:$K$50000,"&lt;&gt;")=0,"",SUMIFS(全馬データ!$K$2:$K$50000,全馬データ!$A$2:$A$50000,A4439,全馬データ!$B$2:$B$50000,B4439,全馬データ!$C$2:$C$50000,C4439,全馬データ!$D$2:$D$50000,E4439)))</f>
        <v/>
      </c>
      <c r="AP4439" s="8" t="str">
        <f aca="false">IF(A4439="","",IF(AO4439="","欠損",IF(AO4439&lt;=1.1,"1.0～1.1",IF(AO4439&lt;1.3,"1.2",IF(AO4439&lt;1.5,"1.3～1.4",IF(AO4439&lt;2,"1.5～1.9","2.0以上"))))))</f>
        <v/>
      </c>
      <c r="AQ4439" s="8" t="str">
        <f aca="false">IF(A4439="","",IF(ISNUMBER(SEARCH("2歳",Z4439)),"2歳戦",IF(ISNUMBER(SEARCH("3歳未勝利",Z4439)),"3歳未勝利",IF(ISNUMBER(SEARCH("未勝利",Z4439)),"その他未勝利",IF(ISNUMBER(SEARCH("G1",Z4439)),"G1",IF(ISNUMBER(SEARCH("G2",Z4439)),"G2",IF(ISNUMBER(SEARCH("G3",Z4439)),"G3",IF(ISNUMBER(SEARCH("古馬条件",Z4439)),"古馬条件戦",IF(ISNUMBER(SEARCH("重賞",Z4439)),"重賞","分類不能")))))))))</f>
        <v/>
      </c>
    </row>
    <row r="4440" customFormat="false" ht="15.75" hidden="false" customHeight="false" outlineLevel="0" collapsed="false">
      <c r="AO4440" s="8" t="str">
        <f aca="false">IF(A4440="","",IF(COUNTIFS(全馬データ!$A$2:$A$50000,A4440,全馬データ!$B$2:$B$50000,B4440,全馬データ!$C$2:$C$50000,C4440,全馬データ!$D$2:$D$50000,E4440,全馬データ!$K$2:$K$50000,"&lt;&gt;")=0,"",SUMIFS(全馬データ!$K$2:$K$50000,全馬データ!$A$2:$A$50000,A4440,全馬データ!$B$2:$B$50000,B4440,全馬データ!$C$2:$C$50000,C4440,全馬データ!$D$2:$D$50000,E4440)))</f>
        <v/>
      </c>
      <c r="AP4440" s="8" t="str">
        <f aca="false">IF(A4440="","",IF(AO4440="","欠損",IF(AO4440&lt;=1.1,"1.0～1.1",IF(AO4440&lt;1.3,"1.2",IF(AO4440&lt;1.5,"1.3～1.4",IF(AO4440&lt;2,"1.5～1.9","2.0以上"))))))</f>
        <v/>
      </c>
      <c r="AQ4440" s="8" t="str">
        <f aca="false">IF(A4440="","",IF(ISNUMBER(SEARCH("2歳",Z4440)),"2歳戦",IF(ISNUMBER(SEARCH("3歳未勝利",Z4440)),"3歳未勝利",IF(ISNUMBER(SEARCH("未勝利",Z4440)),"その他未勝利",IF(ISNUMBER(SEARCH("G1",Z4440)),"G1",IF(ISNUMBER(SEARCH("G2",Z4440)),"G2",IF(ISNUMBER(SEARCH("G3",Z4440)),"G3",IF(ISNUMBER(SEARCH("古馬条件",Z4440)),"古馬条件戦",IF(ISNUMBER(SEARCH("重賞",Z4440)),"重賞","分類不能")))))))))</f>
        <v/>
      </c>
    </row>
    <row r="4441" customFormat="false" ht="15.75" hidden="false" customHeight="false" outlineLevel="0" collapsed="false">
      <c r="AO4441" s="8" t="str">
        <f aca="false">IF(A4441="","",IF(COUNTIFS(全馬データ!$A$2:$A$50000,A4441,全馬データ!$B$2:$B$50000,B4441,全馬データ!$C$2:$C$50000,C4441,全馬データ!$D$2:$D$50000,E4441,全馬データ!$K$2:$K$50000,"&lt;&gt;")=0,"",SUMIFS(全馬データ!$K$2:$K$50000,全馬データ!$A$2:$A$50000,A4441,全馬データ!$B$2:$B$50000,B4441,全馬データ!$C$2:$C$50000,C4441,全馬データ!$D$2:$D$50000,E4441)))</f>
        <v/>
      </c>
      <c r="AP4441" s="8" t="str">
        <f aca="false">IF(A4441="","",IF(AO4441="","欠損",IF(AO4441&lt;=1.1,"1.0～1.1",IF(AO4441&lt;1.3,"1.2",IF(AO4441&lt;1.5,"1.3～1.4",IF(AO4441&lt;2,"1.5～1.9","2.0以上"))))))</f>
        <v/>
      </c>
      <c r="AQ4441" s="8" t="str">
        <f aca="false">IF(A4441="","",IF(ISNUMBER(SEARCH("2歳",Z4441)),"2歳戦",IF(ISNUMBER(SEARCH("3歳未勝利",Z4441)),"3歳未勝利",IF(ISNUMBER(SEARCH("未勝利",Z4441)),"その他未勝利",IF(ISNUMBER(SEARCH("G1",Z4441)),"G1",IF(ISNUMBER(SEARCH("G2",Z4441)),"G2",IF(ISNUMBER(SEARCH("G3",Z4441)),"G3",IF(ISNUMBER(SEARCH("古馬条件",Z4441)),"古馬条件戦",IF(ISNUMBER(SEARCH("重賞",Z4441)),"重賞","分類不能")))))))))</f>
        <v/>
      </c>
    </row>
    <row r="4442" customFormat="false" ht="15.75" hidden="false" customHeight="false" outlineLevel="0" collapsed="false">
      <c r="AO4442" s="8" t="str">
        <f aca="false">IF(A4442="","",IF(COUNTIFS(全馬データ!$A$2:$A$50000,A4442,全馬データ!$B$2:$B$50000,B4442,全馬データ!$C$2:$C$50000,C4442,全馬データ!$D$2:$D$50000,E4442,全馬データ!$K$2:$K$50000,"&lt;&gt;")=0,"",SUMIFS(全馬データ!$K$2:$K$50000,全馬データ!$A$2:$A$50000,A4442,全馬データ!$B$2:$B$50000,B4442,全馬データ!$C$2:$C$50000,C4442,全馬データ!$D$2:$D$50000,E4442)))</f>
        <v/>
      </c>
      <c r="AP4442" s="8" t="str">
        <f aca="false">IF(A4442="","",IF(AO4442="","欠損",IF(AO4442&lt;=1.1,"1.0～1.1",IF(AO4442&lt;1.3,"1.2",IF(AO4442&lt;1.5,"1.3～1.4",IF(AO4442&lt;2,"1.5～1.9","2.0以上"))))))</f>
        <v/>
      </c>
      <c r="AQ4442" s="8" t="str">
        <f aca="false">IF(A4442="","",IF(ISNUMBER(SEARCH("2歳",Z4442)),"2歳戦",IF(ISNUMBER(SEARCH("3歳未勝利",Z4442)),"3歳未勝利",IF(ISNUMBER(SEARCH("未勝利",Z4442)),"その他未勝利",IF(ISNUMBER(SEARCH("G1",Z4442)),"G1",IF(ISNUMBER(SEARCH("G2",Z4442)),"G2",IF(ISNUMBER(SEARCH("G3",Z4442)),"G3",IF(ISNUMBER(SEARCH("古馬条件",Z4442)),"古馬条件戦",IF(ISNUMBER(SEARCH("重賞",Z4442)),"重賞","分類不能")))))))))</f>
        <v/>
      </c>
    </row>
    <row r="4443" customFormat="false" ht="15.75" hidden="false" customHeight="false" outlineLevel="0" collapsed="false">
      <c r="AO4443" s="8" t="str">
        <f aca="false">IF(A4443="","",IF(COUNTIFS(全馬データ!$A$2:$A$50000,A4443,全馬データ!$B$2:$B$50000,B4443,全馬データ!$C$2:$C$50000,C4443,全馬データ!$D$2:$D$50000,E4443,全馬データ!$K$2:$K$50000,"&lt;&gt;")=0,"",SUMIFS(全馬データ!$K$2:$K$50000,全馬データ!$A$2:$A$50000,A4443,全馬データ!$B$2:$B$50000,B4443,全馬データ!$C$2:$C$50000,C4443,全馬データ!$D$2:$D$50000,E4443)))</f>
        <v/>
      </c>
      <c r="AP4443" s="8" t="str">
        <f aca="false">IF(A4443="","",IF(AO4443="","欠損",IF(AO4443&lt;=1.1,"1.0～1.1",IF(AO4443&lt;1.3,"1.2",IF(AO4443&lt;1.5,"1.3～1.4",IF(AO4443&lt;2,"1.5～1.9","2.0以上"))))))</f>
        <v/>
      </c>
      <c r="AQ4443" s="8" t="str">
        <f aca="false">IF(A4443="","",IF(ISNUMBER(SEARCH("2歳",Z4443)),"2歳戦",IF(ISNUMBER(SEARCH("3歳未勝利",Z4443)),"3歳未勝利",IF(ISNUMBER(SEARCH("未勝利",Z4443)),"その他未勝利",IF(ISNUMBER(SEARCH("G1",Z4443)),"G1",IF(ISNUMBER(SEARCH("G2",Z4443)),"G2",IF(ISNUMBER(SEARCH("G3",Z4443)),"G3",IF(ISNUMBER(SEARCH("古馬条件",Z4443)),"古馬条件戦",IF(ISNUMBER(SEARCH("重賞",Z4443)),"重賞","分類不能")))))))))</f>
        <v/>
      </c>
    </row>
    <row r="4444" customFormat="false" ht="15.75" hidden="false" customHeight="false" outlineLevel="0" collapsed="false">
      <c r="AO4444" s="8" t="str">
        <f aca="false">IF(A4444="","",IF(COUNTIFS(全馬データ!$A$2:$A$50000,A4444,全馬データ!$B$2:$B$50000,B4444,全馬データ!$C$2:$C$50000,C4444,全馬データ!$D$2:$D$50000,E4444,全馬データ!$K$2:$K$50000,"&lt;&gt;")=0,"",SUMIFS(全馬データ!$K$2:$K$50000,全馬データ!$A$2:$A$50000,A4444,全馬データ!$B$2:$B$50000,B4444,全馬データ!$C$2:$C$50000,C4444,全馬データ!$D$2:$D$50000,E4444)))</f>
        <v/>
      </c>
      <c r="AP4444" s="8" t="str">
        <f aca="false">IF(A4444="","",IF(AO4444="","欠損",IF(AO4444&lt;=1.1,"1.0～1.1",IF(AO4444&lt;1.3,"1.2",IF(AO4444&lt;1.5,"1.3～1.4",IF(AO4444&lt;2,"1.5～1.9","2.0以上"))))))</f>
        <v/>
      </c>
      <c r="AQ4444" s="8" t="str">
        <f aca="false">IF(A4444="","",IF(ISNUMBER(SEARCH("2歳",Z4444)),"2歳戦",IF(ISNUMBER(SEARCH("3歳未勝利",Z4444)),"3歳未勝利",IF(ISNUMBER(SEARCH("未勝利",Z4444)),"その他未勝利",IF(ISNUMBER(SEARCH("G1",Z4444)),"G1",IF(ISNUMBER(SEARCH("G2",Z4444)),"G2",IF(ISNUMBER(SEARCH("G3",Z4444)),"G3",IF(ISNUMBER(SEARCH("古馬条件",Z4444)),"古馬条件戦",IF(ISNUMBER(SEARCH("重賞",Z4444)),"重賞","分類不能")))))))))</f>
        <v/>
      </c>
    </row>
    <row r="4445" customFormat="false" ht="15.75" hidden="false" customHeight="false" outlineLevel="0" collapsed="false">
      <c r="AO4445" s="8" t="str">
        <f aca="false">IF(A4445="","",IF(COUNTIFS(全馬データ!$A$2:$A$50000,A4445,全馬データ!$B$2:$B$50000,B4445,全馬データ!$C$2:$C$50000,C4445,全馬データ!$D$2:$D$50000,E4445,全馬データ!$K$2:$K$50000,"&lt;&gt;")=0,"",SUMIFS(全馬データ!$K$2:$K$50000,全馬データ!$A$2:$A$50000,A4445,全馬データ!$B$2:$B$50000,B4445,全馬データ!$C$2:$C$50000,C4445,全馬データ!$D$2:$D$50000,E4445)))</f>
        <v/>
      </c>
      <c r="AP4445" s="8" t="str">
        <f aca="false">IF(A4445="","",IF(AO4445="","欠損",IF(AO4445&lt;=1.1,"1.0～1.1",IF(AO4445&lt;1.3,"1.2",IF(AO4445&lt;1.5,"1.3～1.4",IF(AO4445&lt;2,"1.5～1.9","2.0以上"))))))</f>
        <v/>
      </c>
      <c r="AQ4445" s="8" t="str">
        <f aca="false">IF(A4445="","",IF(ISNUMBER(SEARCH("2歳",Z4445)),"2歳戦",IF(ISNUMBER(SEARCH("3歳未勝利",Z4445)),"3歳未勝利",IF(ISNUMBER(SEARCH("未勝利",Z4445)),"その他未勝利",IF(ISNUMBER(SEARCH("G1",Z4445)),"G1",IF(ISNUMBER(SEARCH("G2",Z4445)),"G2",IF(ISNUMBER(SEARCH("G3",Z4445)),"G3",IF(ISNUMBER(SEARCH("古馬条件",Z4445)),"古馬条件戦",IF(ISNUMBER(SEARCH("重賞",Z4445)),"重賞","分類不能")))))))))</f>
        <v/>
      </c>
    </row>
    <row r="4446" customFormat="false" ht="15.75" hidden="false" customHeight="false" outlineLevel="0" collapsed="false">
      <c r="AO4446" s="8" t="str">
        <f aca="false">IF(A4446="","",IF(COUNTIFS(全馬データ!$A$2:$A$50000,A4446,全馬データ!$B$2:$B$50000,B4446,全馬データ!$C$2:$C$50000,C4446,全馬データ!$D$2:$D$50000,E4446,全馬データ!$K$2:$K$50000,"&lt;&gt;")=0,"",SUMIFS(全馬データ!$K$2:$K$50000,全馬データ!$A$2:$A$50000,A4446,全馬データ!$B$2:$B$50000,B4446,全馬データ!$C$2:$C$50000,C4446,全馬データ!$D$2:$D$50000,E4446)))</f>
        <v/>
      </c>
      <c r="AP4446" s="8" t="str">
        <f aca="false">IF(A4446="","",IF(AO4446="","欠損",IF(AO4446&lt;=1.1,"1.0～1.1",IF(AO4446&lt;1.3,"1.2",IF(AO4446&lt;1.5,"1.3～1.4",IF(AO4446&lt;2,"1.5～1.9","2.0以上"))))))</f>
        <v/>
      </c>
      <c r="AQ4446" s="8" t="str">
        <f aca="false">IF(A4446="","",IF(ISNUMBER(SEARCH("2歳",Z4446)),"2歳戦",IF(ISNUMBER(SEARCH("3歳未勝利",Z4446)),"3歳未勝利",IF(ISNUMBER(SEARCH("未勝利",Z4446)),"その他未勝利",IF(ISNUMBER(SEARCH("G1",Z4446)),"G1",IF(ISNUMBER(SEARCH("G2",Z4446)),"G2",IF(ISNUMBER(SEARCH("G3",Z4446)),"G3",IF(ISNUMBER(SEARCH("古馬条件",Z4446)),"古馬条件戦",IF(ISNUMBER(SEARCH("重賞",Z4446)),"重賞","分類不能")))))))))</f>
        <v/>
      </c>
    </row>
    <row r="4447" customFormat="false" ht="15.75" hidden="false" customHeight="false" outlineLevel="0" collapsed="false">
      <c r="AO4447" s="8" t="str">
        <f aca="false">IF(A4447="","",IF(COUNTIFS(全馬データ!$A$2:$A$50000,A4447,全馬データ!$B$2:$B$50000,B4447,全馬データ!$C$2:$C$50000,C4447,全馬データ!$D$2:$D$50000,E4447,全馬データ!$K$2:$K$50000,"&lt;&gt;")=0,"",SUMIFS(全馬データ!$K$2:$K$50000,全馬データ!$A$2:$A$50000,A4447,全馬データ!$B$2:$B$50000,B4447,全馬データ!$C$2:$C$50000,C4447,全馬データ!$D$2:$D$50000,E4447)))</f>
        <v/>
      </c>
      <c r="AP4447" s="8" t="str">
        <f aca="false">IF(A4447="","",IF(AO4447="","欠損",IF(AO4447&lt;=1.1,"1.0～1.1",IF(AO4447&lt;1.3,"1.2",IF(AO4447&lt;1.5,"1.3～1.4",IF(AO4447&lt;2,"1.5～1.9","2.0以上"))))))</f>
        <v/>
      </c>
      <c r="AQ4447" s="8" t="str">
        <f aca="false">IF(A4447="","",IF(ISNUMBER(SEARCH("2歳",Z4447)),"2歳戦",IF(ISNUMBER(SEARCH("3歳未勝利",Z4447)),"3歳未勝利",IF(ISNUMBER(SEARCH("未勝利",Z4447)),"その他未勝利",IF(ISNUMBER(SEARCH("G1",Z4447)),"G1",IF(ISNUMBER(SEARCH("G2",Z4447)),"G2",IF(ISNUMBER(SEARCH("G3",Z4447)),"G3",IF(ISNUMBER(SEARCH("古馬条件",Z4447)),"古馬条件戦",IF(ISNUMBER(SEARCH("重賞",Z4447)),"重賞","分類不能")))))))))</f>
        <v/>
      </c>
    </row>
    <row r="4448" customFormat="false" ht="15.75" hidden="false" customHeight="false" outlineLevel="0" collapsed="false">
      <c r="AO4448" s="8" t="str">
        <f aca="false">IF(A4448="","",IF(COUNTIFS(全馬データ!$A$2:$A$50000,A4448,全馬データ!$B$2:$B$50000,B4448,全馬データ!$C$2:$C$50000,C4448,全馬データ!$D$2:$D$50000,E4448,全馬データ!$K$2:$K$50000,"&lt;&gt;")=0,"",SUMIFS(全馬データ!$K$2:$K$50000,全馬データ!$A$2:$A$50000,A4448,全馬データ!$B$2:$B$50000,B4448,全馬データ!$C$2:$C$50000,C4448,全馬データ!$D$2:$D$50000,E4448)))</f>
        <v/>
      </c>
      <c r="AP4448" s="8" t="str">
        <f aca="false">IF(A4448="","",IF(AO4448="","欠損",IF(AO4448&lt;=1.1,"1.0～1.1",IF(AO4448&lt;1.3,"1.2",IF(AO4448&lt;1.5,"1.3～1.4",IF(AO4448&lt;2,"1.5～1.9","2.0以上"))))))</f>
        <v/>
      </c>
      <c r="AQ4448" s="8" t="str">
        <f aca="false">IF(A4448="","",IF(ISNUMBER(SEARCH("2歳",Z4448)),"2歳戦",IF(ISNUMBER(SEARCH("3歳未勝利",Z4448)),"3歳未勝利",IF(ISNUMBER(SEARCH("未勝利",Z4448)),"その他未勝利",IF(ISNUMBER(SEARCH("G1",Z4448)),"G1",IF(ISNUMBER(SEARCH("G2",Z4448)),"G2",IF(ISNUMBER(SEARCH("G3",Z4448)),"G3",IF(ISNUMBER(SEARCH("古馬条件",Z4448)),"古馬条件戦",IF(ISNUMBER(SEARCH("重賞",Z4448)),"重賞","分類不能")))))))))</f>
        <v/>
      </c>
    </row>
    <row r="4449" customFormat="false" ht="15.75" hidden="false" customHeight="false" outlineLevel="0" collapsed="false">
      <c r="AO4449" s="8" t="str">
        <f aca="false">IF(A4449="","",IF(COUNTIFS(全馬データ!$A$2:$A$50000,A4449,全馬データ!$B$2:$B$50000,B4449,全馬データ!$C$2:$C$50000,C4449,全馬データ!$D$2:$D$50000,E4449,全馬データ!$K$2:$K$50000,"&lt;&gt;")=0,"",SUMIFS(全馬データ!$K$2:$K$50000,全馬データ!$A$2:$A$50000,A4449,全馬データ!$B$2:$B$50000,B4449,全馬データ!$C$2:$C$50000,C4449,全馬データ!$D$2:$D$50000,E4449)))</f>
        <v/>
      </c>
      <c r="AP4449" s="8" t="str">
        <f aca="false">IF(A4449="","",IF(AO4449="","欠損",IF(AO4449&lt;=1.1,"1.0～1.1",IF(AO4449&lt;1.3,"1.2",IF(AO4449&lt;1.5,"1.3～1.4",IF(AO4449&lt;2,"1.5～1.9","2.0以上"))))))</f>
        <v/>
      </c>
      <c r="AQ4449" s="8" t="str">
        <f aca="false">IF(A4449="","",IF(ISNUMBER(SEARCH("2歳",Z4449)),"2歳戦",IF(ISNUMBER(SEARCH("3歳未勝利",Z4449)),"3歳未勝利",IF(ISNUMBER(SEARCH("未勝利",Z4449)),"その他未勝利",IF(ISNUMBER(SEARCH("G1",Z4449)),"G1",IF(ISNUMBER(SEARCH("G2",Z4449)),"G2",IF(ISNUMBER(SEARCH("G3",Z4449)),"G3",IF(ISNUMBER(SEARCH("古馬条件",Z4449)),"古馬条件戦",IF(ISNUMBER(SEARCH("重賞",Z4449)),"重賞","分類不能")))))))))</f>
        <v/>
      </c>
    </row>
    <row r="4450" customFormat="false" ht="15.75" hidden="false" customHeight="false" outlineLevel="0" collapsed="false">
      <c r="AO4450" s="8" t="str">
        <f aca="false">IF(A4450="","",IF(COUNTIFS(全馬データ!$A$2:$A$50000,A4450,全馬データ!$B$2:$B$50000,B4450,全馬データ!$C$2:$C$50000,C4450,全馬データ!$D$2:$D$50000,E4450,全馬データ!$K$2:$K$50000,"&lt;&gt;")=0,"",SUMIFS(全馬データ!$K$2:$K$50000,全馬データ!$A$2:$A$50000,A4450,全馬データ!$B$2:$B$50000,B4450,全馬データ!$C$2:$C$50000,C4450,全馬データ!$D$2:$D$50000,E4450)))</f>
        <v/>
      </c>
      <c r="AP4450" s="8" t="str">
        <f aca="false">IF(A4450="","",IF(AO4450="","欠損",IF(AO4450&lt;=1.1,"1.0～1.1",IF(AO4450&lt;1.3,"1.2",IF(AO4450&lt;1.5,"1.3～1.4",IF(AO4450&lt;2,"1.5～1.9","2.0以上"))))))</f>
        <v/>
      </c>
      <c r="AQ4450" s="8" t="str">
        <f aca="false">IF(A4450="","",IF(ISNUMBER(SEARCH("2歳",Z4450)),"2歳戦",IF(ISNUMBER(SEARCH("3歳未勝利",Z4450)),"3歳未勝利",IF(ISNUMBER(SEARCH("未勝利",Z4450)),"その他未勝利",IF(ISNUMBER(SEARCH("G1",Z4450)),"G1",IF(ISNUMBER(SEARCH("G2",Z4450)),"G2",IF(ISNUMBER(SEARCH("G3",Z4450)),"G3",IF(ISNUMBER(SEARCH("古馬条件",Z4450)),"古馬条件戦",IF(ISNUMBER(SEARCH("重賞",Z4450)),"重賞","分類不能")))))))))</f>
        <v/>
      </c>
    </row>
    <row r="4451" customFormat="false" ht="15.75" hidden="false" customHeight="false" outlineLevel="0" collapsed="false">
      <c r="AO4451" s="8" t="str">
        <f aca="false">IF(A4451="","",IF(COUNTIFS(全馬データ!$A$2:$A$50000,A4451,全馬データ!$B$2:$B$50000,B4451,全馬データ!$C$2:$C$50000,C4451,全馬データ!$D$2:$D$50000,E4451,全馬データ!$K$2:$K$50000,"&lt;&gt;")=0,"",SUMIFS(全馬データ!$K$2:$K$50000,全馬データ!$A$2:$A$50000,A4451,全馬データ!$B$2:$B$50000,B4451,全馬データ!$C$2:$C$50000,C4451,全馬データ!$D$2:$D$50000,E4451)))</f>
        <v/>
      </c>
      <c r="AP4451" s="8" t="str">
        <f aca="false">IF(A4451="","",IF(AO4451="","欠損",IF(AO4451&lt;=1.1,"1.0～1.1",IF(AO4451&lt;1.3,"1.2",IF(AO4451&lt;1.5,"1.3～1.4",IF(AO4451&lt;2,"1.5～1.9","2.0以上"))))))</f>
        <v/>
      </c>
      <c r="AQ4451" s="8" t="str">
        <f aca="false">IF(A4451="","",IF(ISNUMBER(SEARCH("2歳",Z4451)),"2歳戦",IF(ISNUMBER(SEARCH("3歳未勝利",Z4451)),"3歳未勝利",IF(ISNUMBER(SEARCH("未勝利",Z4451)),"その他未勝利",IF(ISNUMBER(SEARCH("G1",Z4451)),"G1",IF(ISNUMBER(SEARCH("G2",Z4451)),"G2",IF(ISNUMBER(SEARCH("G3",Z4451)),"G3",IF(ISNUMBER(SEARCH("古馬条件",Z4451)),"古馬条件戦",IF(ISNUMBER(SEARCH("重賞",Z4451)),"重賞","分類不能")))))))))</f>
        <v/>
      </c>
    </row>
    <row r="4452" customFormat="false" ht="15.75" hidden="false" customHeight="false" outlineLevel="0" collapsed="false">
      <c r="AO4452" s="8" t="str">
        <f aca="false">IF(A4452="","",IF(COUNTIFS(全馬データ!$A$2:$A$50000,A4452,全馬データ!$B$2:$B$50000,B4452,全馬データ!$C$2:$C$50000,C4452,全馬データ!$D$2:$D$50000,E4452,全馬データ!$K$2:$K$50000,"&lt;&gt;")=0,"",SUMIFS(全馬データ!$K$2:$K$50000,全馬データ!$A$2:$A$50000,A4452,全馬データ!$B$2:$B$50000,B4452,全馬データ!$C$2:$C$50000,C4452,全馬データ!$D$2:$D$50000,E4452)))</f>
        <v/>
      </c>
      <c r="AP4452" s="8" t="str">
        <f aca="false">IF(A4452="","",IF(AO4452="","欠損",IF(AO4452&lt;=1.1,"1.0～1.1",IF(AO4452&lt;1.3,"1.2",IF(AO4452&lt;1.5,"1.3～1.4",IF(AO4452&lt;2,"1.5～1.9","2.0以上"))))))</f>
        <v/>
      </c>
      <c r="AQ4452" s="8" t="str">
        <f aca="false">IF(A4452="","",IF(ISNUMBER(SEARCH("2歳",Z4452)),"2歳戦",IF(ISNUMBER(SEARCH("3歳未勝利",Z4452)),"3歳未勝利",IF(ISNUMBER(SEARCH("未勝利",Z4452)),"その他未勝利",IF(ISNUMBER(SEARCH("G1",Z4452)),"G1",IF(ISNUMBER(SEARCH("G2",Z4452)),"G2",IF(ISNUMBER(SEARCH("G3",Z4452)),"G3",IF(ISNUMBER(SEARCH("古馬条件",Z4452)),"古馬条件戦",IF(ISNUMBER(SEARCH("重賞",Z4452)),"重賞","分類不能")))))))))</f>
        <v/>
      </c>
    </row>
    <row r="4453" customFormat="false" ht="15.75" hidden="false" customHeight="false" outlineLevel="0" collapsed="false">
      <c r="AO4453" s="8" t="str">
        <f aca="false">IF(A4453="","",IF(COUNTIFS(全馬データ!$A$2:$A$50000,A4453,全馬データ!$B$2:$B$50000,B4453,全馬データ!$C$2:$C$50000,C4453,全馬データ!$D$2:$D$50000,E4453,全馬データ!$K$2:$K$50000,"&lt;&gt;")=0,"",SUMIFS(全馬データ!$K$2:$K$50000,全馬データ!$A$2:$A$50000,A4453,全馬データ!$B$2:$B$50000,B4453,全馬データ!$C$2:$C$50000,C4453,全馬データ!$D$2:$D$50000,E4453)))</f>
        <v/>
      </c>
      <c r="AP4453" s="8" t="str">
        <f aca="false">IF(A4453="","",IF(AO4453="","欠損",IF(AO4453&lt;=1.1,"1.0～1.1",IF(AO4453&lt;1.3,"1.2",IF(AO4453&lt;1.5,"1.3～1.4",IF(AO4453&lt;2,"1.5～1.9","2.0以上"))))))</f>
        <v/>
      </c>
      <c r="AQ4453" s="8" t="str">
        <f aca="false">IF(A4453="","",IF(ISNUMBER(SEARCH("2歳",Z4453)),"2歳戦",IF(ISNUMBER(SEARCH("3歳未勝利",Z4453)),"3歳未勝利",IF(ISNUMBER(SEARCH("未勝利",Z4453)),"その他未勝利",IF(ISNUMBER(SEARCH("G1",Z4453)),"G1",IF(ISNUMBER(SEARCH("G2",Z4453)),"G2",IF(ISNUMBER(SEARCH("G3",Z4453)),"G3",IF(ISNUMBER(SEARCH("古馬条件",Z4453)),"古馬条件戦",IF(ISNUMBER(SEARCH("重賞",Z4453)),"重賞","分類不能")))))))))</f>
        <v/>
      </c>
    </row>
    <row r="4454" customFormat="false" ht="15.75" hidden="false" customHeight="false" outlineLevel="0" collapsed="false">
      <c r="AO4454" s="8" t="str">
        <f aca="false">IF(A4454="","",IF(COUNTIFS(全馬データ!$A$2:$A$50000,A4454,全馬データ!$B$2:$B$50000,B4454,全馬データ!$C$2:$C$50000,C4454,全馬データ!$D$2:$D$50000,E4454,全馬データ!$K$2:$K$50000,"&lt;&gt;")=0,"",SUMIFS(全馬データ!$K$2:$K$50000,全馬データ!$A$2:$A$50000,A4454,全馬データ!$B$2:$B$50000,B4454,全馬データ!$C$2:$C$50000,C4454,全馬データ!$D$2:$D$50000,E4454)))</f>
        <v/>
      </c>
      <c r="AP4454" s="8" t="str">
        <f aca="false">IF(A4454="","",IF(AO4454="","欠損",IF(AO4454&lt;=1.1,"1.0～1.1",IF(AO4454&lt;1.3,"1.2",IF(AO4454&lt;1.5,"1.3～1.4",IF(AO4454&lt;2,"1.5～1.9","2.0以上"))))))</f>
        <v/>
      </c>
      <c r="AQ4454" s="8" t="str">
        <f aca="false">IF(A4454="","",IF(ISNUMBER(SEARCH("2歳",Z4454)),"2歳戦",IF(ISNUMBER(SEARCH("3歳未勝利",Z4454)),"3歳未勝利",IF(ISNUMBER(SEARCH("未勝利",Z4454)),"その他未勝利",IF(ISNUMBER(SEARCH("G1",Z4454)),"G1",IF(ISNUMBER(SEARCH("G2",Z4454)),"G2",IF(ISNUMBER(SEARCH("G3",Z4454)),"G3",IF(ISNUMBER(SEARCH("古馬条件",Z4454)),"古馬条件戦",IF(ISNUMBER(SEARCH("重賞",Z4454)),"重賞","分類不能")))))))))</f>
        <v/>
      </c>
    </row>
    <row r="4455" customFormat="false" ht="15.75" hidden="false" customHeight="false" outlineLevel="0" collapsed="false">
      <c r="AO4455" s="8" t="str">
        <f aca="false">IF(A4455="","",IF(COUNTIFS(全馬データ!$A$2:$A$50000,A4455,全馬データ!$B$2:$B$50000,B4455,全馬データ!$C$2:$C$50000,C4455,全馬データ!$D$2:$D$50000,E4455,全馬データ!$K$2:$K$50000,"&lt;&gt;")=0,"",SUMIFS(全馬データ!$K$2:$K$50000,全馬データ!$A$2:$A$50000,A4455,全馬データ!$B$2:$B$50000,B4455,全馬データ!$C$2:$C$50000,C4455,全馬データ!$D$2:$D$50000,E4455)))</f>
        <v/>
      </c>
      <c r="AP4455" s="8" t="str">
        <f aca="false">IF(A4455="","",IF(AO4455="","欠損",IF(AO4455&lt;=1.1,"1.0～1.1",IF(AO4455&lt;1.3,"1.2",IF(AO4455&lt;1.5,"1.3～1.4",IF(AO4455&lt;2,"1.5～1.9","2.0以上"))))))</f>
        <v/>
      </c>
      <c r="AQ4455" s="8" t="str">
        <f aca="false">IF(A4455="","",IF(ISNUMBER(SEARCH("2歳",Z4455)),"2歳戦",IF(ISNUMBER(SEARCH("3歳未勝利",Z4455)),"3歳未勝利",IF(ISNUMBER(SEARCH("未勝利",Z4455)),"その他未勝利",IF(ISNUMBER(SEARCH("G1",Z4455)),"G1",IF(ISNUMBER(SEARCH("G2",Z4455)),"G2",IF(ISNUMBER(SEARCH("G3",Z4455)),"G3",IF(ISNUMBER(SEARCH("古馬条件",Z4455)),"古馬条件戦",IF(ISNUMBER(SEARCH("重賞",Z4455)),"重賞","分類不能")))))))))</f>
        <v/>
      </c>
    </row>
    <row r="4456" customFormat="false" ht="15.75" hidden="false" customHeight="false" outlineLevel="0" collapsed="false">
      <c r="AO4456" s="8" t="str">
        <f aca="false">IF(A4456="","",IF(COUNTIFS(全馬データ!$A$2:$A$50000,A4456,全馬データ!$B$2:$B$50000,B4456,全馬データ!$C$2:$C$50000,C4456,全馬データ!$D$2:$D$50000,E4456,全馬データ!$K$2:$K$50000,"&lt;&gt;")=0,"",SUMIFS(全馬データ!$K$2:$K$50000,全馬データ!$A$2:$A$50000,A4456,全馬データ!$B$2:$B$50000,B4456,全馬データ!$C$2:$C$50000,C4456,全馬データ!$D$2:$D$50000,E4456)))</f>
        <v/>
      </c>
      <c r="AP4456" s="8" t="str">
        <f aca="false">IF(A4456="","",IF(AO4456="","欠損",IF(AO4456&lt;=1.1,"1.0～1.1",IF(AO4456&lt;1.3,"1.2",IF(AO4456&lt;1.5,"1.3～1.4",IF(AO4456&lt;2,"1.5～1.9","2.0以上"))))))</f>
        <v/>
      </c>
      <c r="AQ4456" s="8" t="str">
        <f aca="false">IF(A4456="","",IF(ISNUMBER(SEARCH("2歳",Z4456)),"2歳戦",IF(ISNUMBER(SEARCH("3歳未勝利",Z4456)),"3歳未勝利",IF(ISNUMBER(SEARCH("未勝利",Z4456)),"その他未勝利",IF(ISNUMBER(SEARCH("G1",Z4456)),"G1",IF(ISNUMBER(SEARCH("G2",Z4456)),"G2",IF(ISNUMBER(SEARCH("G3",Z4456)),"G3",IF(ISNUMBER(SEARCH("古馬条件",Z4456)),"古馬条件戦",IF(ISNUMBER(SEARCH("重賞",Z4456)),"重賞","分類不能")))))))))</f>
        <v/>
      </c>
    </row>
    <row r="4457" customFormat="false" ht="15.75" hidden="false" customHeight="false" outlineLevel="0" collapsed="false">
      <c r="AO4457" s="8" t="str">
        <f aca="false">IF(A4457="","",IF(COUNTIFS(全馬データ!$A$2:$A$50000,A4457,全馬データ!$B$2:$B$50000,B4457,全馬データ!$C$2:$C$50000,C4457,全馬データ!$D$2:$D$50000,E4457,全馬データ!$K$2:$K$50000,"&lt;&gt;")=0,"",SUMIFS(全馬データ!$K$2:$K$50000,全馬データ!$A$2:$A$50000,A4457,全馬データ!$B$2:$B$50000,B4457,全馬データ!$C$2:$C$50000,C4457,全馬データ!$D$2:$D$50000,E4457)))</f>
        <v/>
      </c>
      <c r="AP4457" s="8" t="str">
        <f aca="false">IF(A4457="","",IF(AO4457="","欠損",IF(AO4457&lt;=1.1,"1.0～1.1",IF(AO4457&lt;1.3,"1.2",IF(AO4457&lt;1.5,"1.3～1.4",IF(AO4457&lt;2,"1.5～1.9","2.0以上"))))))</f>
        <v/>
      </c>
      <c r="AQ4457" s="8" t="str">
        <f aca="false">IF(A4457="","",IF(ISNUMBER(SEARCH("2歳",Z4457)),"2歳戦",IF(ISNUMBER(SEARCH("3歳未勝利",Z4457)),"3歳未勝利",IF(ISNUMBER(SEARCH("未勝利",Z4457)),"その他未勝利",IF(ISNUMBER(SEARCH("G1",Z4457)),"G1",IF(ISNUMBER(SEARCH("G2",Z4457)),"G2",IF(ISNUMBER(SEARCH("G3",Z4457)),"G3",IF(ISNUMBER(SEARCH("古馬条件",Z4457)),"古馬条件戦",IF(ISNUMBER(SEARCH("重賞",Z4457)),"重賞","分類不能")))))))))</f>
        <v/>
      </c>
    </row>
    <row r="4458" customFormat="false" ht="15.75" hidden="false" customHeight="false" outlineLevel="0" collapsed="false">
      <c r="AO4458" s="8" t="str">
        <f aca="false">IF(A4458="","",IF(COUNTIFS(全馬データ!$A$2:$A$50000,A4458,全馬データ!$B$2:$B$50000,B4458,全馬データ!$C$2:$C$50000,C4458,全馬データ!$D$2:$D$50000,E4458,全馬データ!$K$2:$K$50000,"&lt;&gt;")=0,"",SUMIFS(全馬データ!$K$2:$K$50000,全馬データ!$A$2:$A$50000,A4458,全馬データ!$B$2:$B$50000,B4458,全馬データ!$C$2:$C$50000,C4458,全馬データ!$D$2:$D$50000,E4458)))</f>
        <v/>
      </c>
      <c r="AP4458" s="8" t="str">
        <f aca="false">IF(A4458="","",IF(AO4458="","欠損",IF(AO4458&lt;=1.1,"1.0～1.1",IF(AO4458&lt;1.3,"1.2",IF(AO4458&lt;1.5,"1.3～1.4",IF(AO4458&lt;2,"1.5～1.9","2.0以上"))))))</f>
        <v/>
      </c>
      <c r="AQ4458" s="8" t="str">
        <f aca="false">IF(A4458="","",IF(ISNUMBER(SEARCH("2歳",Z4458)),"2歳戦",IF(ISNUMBER(SEARCH("3歳未勝利",Z4458)),"3歳未勝利",IF(ISNUMBER(SEARCH("未勝利",Z4458)),"その他未勝利",IF(ISNUMBER(SEARCH("G1",Z4458)),"G1",IF(ISNUMBER(SEARCH("G2",Z4458)),"G2",IF(ISNUMBER(SEARCH("G3",Z4458)),"G3",IF(ISNUMBER(SEARCH("古馬条件",Z4458)),"古馬条件戦",IF(ISNUMBER(SEARCH("重賞",Z4458)),"重賞","分類不能")))))))))</f>
        <v/>
      </c>
    </row>
    <row r="4459" customFormat="false" ht="15.75" hidden="false" customHeight="false" outlineLevel="0" collapsed="false">
      <c r="AO4459" s="8" t="str">
        <f aca="false">IF(A4459="","",IF(COUNTIFS(全馬データ!$A$2:$A$50000,A4459,全馬データ!$B$2:$B$50000,B4459,全馬データ!$C$2:$C$50000,C4459,全馬データ!$D$2:$D$50000,E4459,全馬データ!$K$2:$K$50000,"&lt;&gt;")=0,"",SUMIFS(全馬データ!$K$2:$K$50000,全馬データ!$A$2:$A$50000,A4459,全馬データ!$B$2:$B$50000,B4459,全馬データ!$C$2:$C$50000,C4459,全馬データ!$D$2:$D$50000,E4459)))</f>
        <v/>
      </c>
      <c r="AP4459" s="8" t="str">
        <f aca="false">IF(A4459="","",IF(AO4459="","欠損",IF(AO4459&lt;=1.1,"1.0～1.1",IF(AO4459&lt;1.3,"1.2",IF(AO4459&lt;1.5,"1.3～1.4",IF(AO4459&lt;2,"1.5～1.9","2.0以上"))))))</f>
        <v/>
      </c>
      <c r="AQ4459" s="8" t="str">
        <f aca="false">IF(A4459="","",IF(ISNUMBER(SEARCH("2歳",Z4459)),"2歳戦",IF(ISNUMBER(SEARCH("3歳未勝利",Z4459)),"3歳未勝利",IF(ISNUMBER(SEARCH("未勝利",Z4459)),"その他未勝利",IF(ISNUMBER(SEARCH("G1",Z4459)),"G1",IF(ISNUMBER(SEARCH("G2",Z4459)),"G2",IF(ISNUMBER(SEARCH("G3",Z4459)),"G3",IF(ISNUMBER(SEARCH("古馬条件",Z4459)),"古馬条件戦",IF(ISNUMBER(SEARCH("重賞",Z4459)),"重賞","分類不能")))))))))</f>
        <v/>
      </c>
    </row>
    <row r="4460" customFormat="false" ht="15.75" hidden="false" customHeight="false" outlineLevel="0" collapsed="false">
      <c r="AO4460" s="8" t="str">
        <f aca="false">IF(A4460="","",IF(COUNTIFS(全馬データ!$A$2:$A$50000,A4460,全馬データ!$B$2:$B$50000,B4460,全馬データ!$C$2:$C$50000,C4460,全馬データ!$D$2:$D$50000,E4460,全馬データ!$K$2:$K$50000,"&lt;&gt;")=0,"",SUMIFS(全馬データ!$K$2:$K$50000,全馬データ!$A$2:$A$50000,A4460,全馬データ!$B$2:$B$50000,B4460,全馬データ!$C$2:$C$50000,C4460,全馬データ!$D$2:$D$50000,E4460)))</f>
        <v/>
      </c>
      <c r="AP4460" s="8" t="str">
        <f aca="false">IF(A4460="","",IF(AO4460="","欠損",IF(AO4460&lt;=1.1,"1.0～1.1",IF(AO4460&lt;1.3,"1.2",IF(AO4460&lt;1.5,"1.3～1.4",IF(AO4460&lt;2,"1.5～1.9","2.0以上"))))))</f>
        <v/>
      </c>
      <c r="AQ4460" s="8" t="str">
        <f aca="false">IF(A4460="","",IF(ISNUMBER(SEARCH("2歳",Z4460)),"2歳戦",IF(ISNUMBER(SEARCH("3歳未勝利",Z4460)),"3歳未勝利",IF(ISNUMBER(SEARCH("未勝利",Z4460)),"その他未勝利",IF(ISNUMBER(SEARCH("G1",Z4460)),"G1",IF(ISNUMBER(SEARCH("G2",Z4460)),"G2",IF(ISNUMBER(SEARCH("G3",Z4460)),"G3",IF(ISNUMBER(SEARCH("古馬条件",Z4460)),"古馬条件戦",IF(ISNUMBER(SEARCH("重賞",Z4460)),"重賞","分類不能")))))))))</f>
        <v/>
      </c>
    </row>
    <row r="4461" customFormat="false" ht="15.75" hidden="false" customHeight="false" outlineLevel="0" collapsed="false">
      <c r="AO4461" s="8" t="str">
        <f aca="false">IF(A4461="","",IF(COUNTIFS(全馬データ!$A$2:$A$50000,A4461,全馬データ!$B$2:$B$50000,B4461,全馬データ!$C$2:$C$50000,C4461,全馬データ!$D$2:$D$50000,E4461,全馬データ!$K$2:$K$50000,"&lt;&gt;")=0,"",SUMIFS(全馬データ!$K$2:$K$50000,全馬データ!$A$2:$A$50000,A4461,全馬データ!$B$2:$B$50000,B4461,全馬データ!$C$2:$C$50000,C4461,全馬データ!$D$2:$D$50000,E4461)))</f>
        <v/>
      </c>
      <c r="AP4461" s="8" t="str">
        <f aca="false">IF(A4461="","",IF(AO4461="","欠損",IF(AO4461&lt;=1.1,"1.0～1.1",IF(AO4461&lt;1.3,"1.2",IF(AO4461&lt;1.5,"1.3～1.4",IF(AO4461&lt;2,"1.5～1.9","2.0以上"))))))</f>
        <v/>
      </c>
      <c r="AQ4461" s="8" t="str">
        <f aca="false">IF(A4461="","",IF(ISNUMBER(SEARCH("2歳",Z4461)),"2歳戦",IF(ISNUMBER(SEARCH("3歳未勝利",Z4461)),"3歳未勝利",IF(ISNUMBER(SEARCH("未勝利",Z4461)),"その他未勝利",IF(ISNUMBER(SEARCH("G1",Z4461)),"G1",IF(ISNUMBER(SEARCH("G2",Z4461)),"G2",IF(ISNUMBER(SEARCH("G3",Z4461)),"G3",IF(ISNUMBER(SEARCH("古馬条件",Z4461)),"古馬条件戦",IF(ISNUMBER(SEARCH("重賞",Z4461)),"重賞","分類不能")))))))))</f>
        <v/>
      </c>
    </row>
    <row r="4462" customFormat="false" ht="15.75" hidden="false" customHeight="false" outlineLevel="0" collapsed="false">
      <c r="AO4462" s="8" t="str">
        <f aca="false">IF(A4462="","",IF(COUNTIFS(全馬データ!$A$2:$A$50000,A4462,全馬データ!$B$2:$B$50000,B4462,全馬データ!$C$2:$C$50000,C4462,全馬データ!$D$2:$D$50000,E4462,全馬データ!$K$2:$K$50000,"&lt;&gt;")=0,"",SUMIFS(全馬データ!$K$2:$K$50000,全馬データ!$A$2:$A$50000,A4462,全馬データ!$B$2:$B$50000,B4462,全馬データ!$C$2:$C$50000,C4462,全馬データ!$D$2:$D$50000,E4462)))</f>
        <v/>
      </c>
      <c r="AP4462" s="8" t="str">
        <f aca="false">IF(A4462="","",IF(AO4462="","欠損",IF(AO4462&lt;=1.1,"1.0～1.1",IF(AO4462&lt;1.3,"1.2",IF(AO4462&lt;1.5,"1.3～1.4",IF(AO4462&lt;2,"1.5～1.9","2.0以上"))))))</f>
        <v/>
      </c>
      <c r="AQ4462" s="8" t="str">
        <f aca="false">IF(A4462="","",IF(ISNUMBER(SEARCH("2歳",Z4462)),"2歳戦",IF(ISNUMBER(SEARCH("3歳未勝利",Z4462)),"3歳未勝利",IF(ISNUMBER(SEARCH("未勝利",Z4462)),"その他未勝利",IF(ISNUMBER(SEARCH("G1",Z4462)),"G1",IF(ISNUMBER(SEARCH("G2",Z4462)),"G2",IF(ISNUMBER(SEARCH("G3",Z4462)),"G3",IF(ISNUMBER(SEARCH("古馬条件",Z4462)),"古馬条件戦",IF(ISNUMBER(SEARCH("重賞",Z4462)),"重賞","分類不能")))))))))</f>
        <v/>
      </c>
    </row>
    <row r="4463" customFormat="false" ht="15.75" hidden="false" customHeight="false" outlineLevel="0" collapsed="false">
      <c r="AO4463" s="8" t="str">
        <f aca="false">IF(A4463="","",IF(COUNTIFS(全馬データ!$A$2:$A$50000,A4463,全馬データ!$B$2:$B$50000,B4463,全馬データ!$C$2:$C$50000,C4463,全馬データ!$D$2:$D$50000,E4463,全馬データ!$K$2:$K$50000,"&lt;&gt;")=0,"",SUMIFS(全馬データ!$K$2:$K$50000,全馬データ!$A$2:$A$50000,A4463,全馬データ!$B$2:$B$50000,B4463,全馬データ!$C$2:$C$50000,C4463,全馬データ!$D$2:$D$50000,E4463)))</f>
        <v/>
      </c>
      <c r="AP4463" s="8" t="str">
        <f aca="false">IF(A4463="","",IF(AO4463="","欠損",IF(AO4463&lt;=1.1,"1.0～1.1",IF(AO4463&lt;1.3,"1.2",IF(AO4463&lt;1.5,"1.3～1.4",IF(AO4463&lt;2,"1.5～1.9","2.0以上"))))))</f>
        <v/>
      </c>
      <c r="AQ4463" s="8" t="str">
        <f aca="false">IF(A4463="","",IF(ISNUMBER(SEARCH("2歳",Z4463)),"2歳戦",IF(ISNUMBER(SEARCH("3歳未勝利",Z4463)),"3歳未勝利",IF(ISNUMBER(SEARCH("未勝利",Z4463)),"その他未勝利",IF(ISNUMBER(SEARCH("G1",Z4463)),"G1",IF(ISNUMBER(SEARCH("G2",Z4463)),"G2",IF(ISNUMBER(SEARCH("G3",Z4463)),"G3",IF(ISNUMBER(SEARCH("古馬条件",Z4463)),"古馬条件戦",IF(ISNUMBER(SEARCH("重賞",Z4463)),"重賞","分類不能")))))))))</f>
        <v/>
      </c>
    </row>
    <row r="4464" customFormat="false" ht="15.75" hidden="false" customHeight="false" outlineLevel="0" collapsed="false">
      <c r="AO4464" s="8" t="str">
        <f aca="false">IF(A4464="","",IF(COUNTIFS(全馬データ!$A$2:$A$50000,A4464,全馬データ!$B$2:$B$50000,B4464,全馬データ!$C$2:$C$50000,C4464,全馬データ!$D$2:$D$50000,E4464,全馬データ!$K$2:$K$50000,"&lt;&gt;")=0,"",SUMIFS(全馬データ!$K$2:$K$50000,全馬データ!$A$2:$A$50000,A4464,全馬データ!$B$2:$B$50000,B4464,全馬データ!$C$2:$C$50000,C4464,全馬データ!$D$2:$D$50000,E4464)))</f>
        <v/>
      </c>
      <c r="AP4464" s="8" t="str">
        <f aca="false">IF(A4464="","",IF(AO4464="","欠損",IF(AO4464&lt;=1.1,"1.0～1.1",IF(AO4464&lt;1.3,"1.2",IF(AO4464&lt;1.5,"1.3～1.4",IF(AO4464&lt;2,"1.5～1.9","2.0以上"))))))</f>
        <v/>
      </c>
      <c r="AQ4464" s="8" t="str">
        <f aca="false">IF(A4464="","",IF(ISNUMBER(SEARCH("2歳",Z4464)),"2歳戦",IF(ISNUMBER(SEARCH("3歳未勝利",Z4464)),"3歳未勝利",IF(ISNUMBER(SEARCH("未勝利",Z4464)),"その他未勝利",IF(ISNUMBER(SEARCH("G1",Z4464)),"G1",IF(ISNUMBER(SEARCH("G2",Z4464)),"G2",IF(ISNUMBER(SEARCH("G3",Z4464)),"G3",IF(ISNUMBER(SEARCH("古馬条件",Z4464)),"古馬条件戦",IF(ISNUMBER(SEARCH("重賞",Z4464)),"重賞","分類不能")))))))))</f>
        <v/>
      </c>
    </row>
    <row r="4465" customFormat="false" ht="15.75" hidden="false" customHeight="false" outlineLevel="0" collapsed="false">
      <c r="AO4465" s="8" t="str">
        <f aca="false">IF(A4465="","",IF(COUNTIFS(全馬データ!$A$2:$A$50000,A4465,全馬データ!$B$2:$B$50000,B4465,全馬データ!$C$2:$C$50000,C4465,全馬データ!$D$2:$D$50000,E4465,全馬データ!$K$2:$K$50000,"&lt;&gt;")=0,"",SUMIFS(全馬データ!$K$2:$K$50000,全馬データ!$A$2:$A$50000,A4465,全馬データ!$B$2:$B$50000,B4465,全馬データ!$C$2:$C$50000,C4465,全馬データ!$D$2:$D$50000,E4465)))</f>
        <v/>
      </c>
      <c r="AP4465" s="8" t="str">
        <f aca="false">IF(A4465="","",IF(AO4465="","欠損",IF(AO4465&lt;=1.1,"1.0～1.1",IF(AO4465&lt;1.3,"1.2",IF(AO4465&lt;1.5,"1.3～1.4",IF(AO4465&lt;2,"1.5～1.9","2.0以上"))))))</f>
        <v/>
      </c>
      <c r="AQ4465" s="8" t="str">
        <f aca="false">IF(A4465="","",IF(ISNUMBER(SEARCH("2歳",Z4465)),"2歳戦",IF(ISNUMBER(SEARCH("3歳未勝利",Z4465)),"3歳未勝利",IF(ISNUMBER(SEARCH("未勝利",Z4465)),"その他未勝利",IF(ISNUMBER(SEARCH("G1",Z4465)),"G1",IF(ISNUMBER(SEARCH("G2",Z4465)),"G2",IF(ISNUMBER(SEARCH("G3",Z4465)),"G3",IF(ISNUMBER(SEARCH("古馬条件",Z4465)),"古馬条件戦",IF(ISNUMBER(SEARCH("重賞",Z4465)),"重賞","分類不能")))))))))</f>
        <v/>
      </c>
    </row>
    <row r="4466" customFormat="false" ht="15.75" hidden="false" customHeight="false" outlineLevel="0" collapsed="false">
      <c r="AO4466" s="8" t="str">
        <f aca="false">IF(A4466="","",IF(COUNTIFS(全馬データ!$A$2:$A$50000,A4466,全馬データ!$B$2:$B$50000,B4466,全馬データ!$C$2:$C$50000,C4466,全馬データ!$D$2:$D$50000,E4466,全馬データ!$K$2:$K$50000,"&lt;&gt;")=0,"",SUMIFS(全馬データ!$K$2:$K$50000,全馬データ!$A$2:$A$50000,A4466,全馬データ!$B$2:$B$50000,B4466,全馬データ!$C$2:$C$50000,C4466,全馬データ!$D$2:$D$50000,E4466)))</f>
        <v/>
      </c>
      <c r="AP4466" s="8" t="str">
        <f aca="false">IF(A4466="","",IF(AO4466="","欠損",IF(AO4466&lt;=1.1,"1.0～1.1",IF(AO4466&lt;1.3,"1.2",IF(AO4466&lt;1.5,"1.3～1.4",IF(AO4466&lt;2,"1.5～1.9","2.0以上"))))))</f>
        <v/>
      </c>
      <c r="AQ4466" s="8" t="str">
        <f aca="false">IF(A4466="","",IF(ISNUMBER(SEARCH("2歳",Z4466)),"2歳戦",IF(ISNUMBER(SEARCH("3歳未勝利",Z4466)),"3歳未勝利",IF(ISNUMBER(SEARCH("未勝利",Z4466)),"その他未勝利",IF(ISNUMBER(SEARCH("G1",Z4466)),"G1",IF(ISNUMBER(SEARCH("G2",Z4466)),"G2",IF(ISNUMBER(SEARCH("G3",Z4466)),"G3",IF(ISNUMBER(SEARCH("古馬条件",Z4466)),"古馬条件戦",IF(ISNUMBER(SEARCH("重賞",Z4466)),"重賞","分類不能")))))))))</f>
        <v/>
      </c>
    </row>
    <row r="4467" customFormat="false" ht="15.75" hidden="false" customHeight="false" outlineLevel="0" collapsed="false">
      <c r="AO4467" s="8" t="str">
        <f aca="false">IF(A4467="","",IF(COUNTIFS(全馬データ!$A$2:$A$50000,A4467,全馬データ!$B$2:$B$50000,B4467,全馬データ!$C$2:$C$50000,C4467,全馬データ!$D$2:$D$50000,E4467,全馬データ!$K$2:$K$50000,"&lt;&gt;")=0,"",SUMIFS(全馬データ!$K$2:$K$50000,全馬データ!$A$2:$A$50000,A4467,全馬データ!$B$2:$B$50000,B4467,全馬データ!$C$2:$C$50000,C4467,全馬データ!$D$2:$D$50000,E4467)))</f>
        <v/>
      </c>
      <c r="AP4467" s="8" t="str">
        <f aca="false">IF(A4467="","",IF(AO4467="","欠損",IF(AO4467&lt;=1.1,"1.0～1.1",IF(AO4467&lt;1.3,"1.2",IF(AO4467&lt;1.5,"1.3～1.4",IF(AO4467&lt;2,"1.5～1.9","2.0以上"))))))</f>
        <v/>
      </c>
      <c r="AQ4467" s="8" t="str">
        <f aca="false">IF(A4467="","",IF(ISNUMBER(SEARCH("2歳",Z4467)),"2歳戦",IF(ISNUMBER(SEARCH("3歳未勝利",Z4467)),"3歳未勝利",IF(ISNUMBER(SEARCH("未勝利",Z4467)),"その他未勝利",IF(ISNUMBER(SEARCH("G1",Z4467)),"G1",IF(ISNUMBER(SEARCH("G2",Z4467)),"G2",IF(ISNUMBER(SEARCH("G3",Z4467)),"G3",IF(ISNUMBER(SEARCH("古馬条件",Z4467)),"古馬条件戦",IF(ISNUMBER(SEARCH("重賞",Z4467)),"重賞","分類不能")))))))))</f>
        <v/>
      </c>
    </row>
    <row r="4468" customFormat="false" ht="15.75" hidden="false" customHeight="false" outlineLevel="0" collapsed="false">
      <c r="AO4468" s="8" t="str">
        <f aca="false">IF(A4468="","",IF(COUNTIFS(全馬データ!$A$2:$A$50000,A4468,全馬データ!$B$2:$B$50000,B4468,全馬データ!$C$2:$C$50000,C4468,全馬データ!$D$2:$D$50000,E4468,全馬データ!$K$2:$K$50000,"&lt;&gt;")=0,"",SUMIFS(全馬データ!$K$2:$K$50000,全馬データ!$A$2:$A$50000,A4468,全馬データ!$B$2:$B$50000,B4468,全馬データ!$C$2:$C$50000,C4468,全馬データ!$D$2:$D$50000,E4468)))</f>
        <v/>
      </c>
      <c r="AP4468" s="8" t="str">
        <f aca="false">IF(A4468="","",IF(AO4468="","欠損",IF(AO4468&lt;=1.1,"1.0～1.1",IF(AO4468&lt;1.3,"1.2",IF(AO4468&lt;1.5,"1.3～1.4",IF(AO4468&lt;2,"1.5～1.9","2.0以上"))))))</f>
        <v/>
      </c>
      <c r="AQ4468" s="8" t="str">
        <f aca="false">IF(A4468="","",IF(ISNUMBER(SEARCH("2歳",Z4468)),"2歳戦",IF(ISNUMBER(SEARCH("3歳未勝利",Z4468)),"3歳未勝利",IF(ISNUMBER(SEARCH("未勝利",Z4468)),"その他未勝利",IF(ISNUMBER(SEARCH("G1",Z4468)),"G1",IF(ISNUMBER(SEARCH("G2",Z4468)),"G2",IF(ISNUMBER(SEARCH("G3",Z4468)),"G3",IF(ISNUMBER(SEARCH("古馬条件",Z4468)),"古馬条件戦",IF(ISNUMBER(SEARCH("重賞",Z4468)),"重賞","分類不能")))))))))</f>
        <v/>
      </c>
    </row>
    <row r="4469" customFormat="false" ht="15.75" hidden="false" customHeight="false" outlineLevel="0" collapsed="false">
      <c r="AO4469" s="8" t="str">
        <f aca="false">IF(A4469="","",IF(COUNTIFS(全馬データ!$A$2:$A$50000,A4469,全馬データ!$B$2:$B$50000,B4469,全馬データ!$C$2:$C$50000,C4469,全馬データ!$D$2:$D$50000,E4469,全馬データ!$K$2:$K$50000,"&lt;&gt;")=0,"",SUMIFS(全馬データ!$K$2:$K$50000,全馬データ!$A$2:$A$50000,A4469,全馬データ!$B$2:$B$50000,B4469,全馬データ!$C$2:$C$50000,C4469,全馬データ!$D$2:$D$50000,E4469)))</f>
        <v/>
      </c>
      <c r="AP4469" s="8" t="str">
        <f aca="false">IF(A4469="","",IF(AO4469="","欠損",IF(AO4469&lt;=1.1,"1.0～1.1",IF(AO4469&lt;1.3,"1.2",IF(AO4469&lt;1.5,"1.3～1.4",IF(AO4469&lt;2,"1.5～1.9","2.0以上"))))))</f>
        <v/>
      </c>
      <c r="AQ4469" s="8" t="str">
        <f aca="false">IF(A4469="","",IF(ISNUMBER(SEARCH("2歳",Z4469)),"2歳戦",IF(ISNUMBER(SEARCH("3歳未勝利",Z4469)),"3歳未勝利",IF(ISNUMBER(SEARCH("未勝利",Z4469)),"その他未勝利",IF(ISNUMBER(SEARCH("G1",Z4469)),"G1",IF(ISNUMBER(SEARCH("G2",Z4469)),"G2",IF(ISNUMBER(SEARCH("G3",Z4469)),"G3",IF(ISNUMBER(SEARCH("古馬条件",Z4469)),"古馬条件戦",IF(ISNUMBER(SEARCH("重賞",Z4469)),"重賞","分類不能")))))))))</f>
        <v/>
      </c>
    </row>
    <row r="4470" customFormat="false" ht="15.75" hidden="false" customHeight="false" outlineLevel="0" collapsed="false">
      <c r="AO4470" s="8" t="str">
        <f aca="false">IF(A4470="","",IF(COUNTIFS(全馬データ!$A$2:$A$50000,A4470,全馬データ!$B$2:$B$50000,B4470,全馬データ!$C$2:$C$50000,C4470,全馬データ!$D$2:$D$50000,E4470,全馬データ!$K$2:$K$50000,"&lt;&gt;")=0,"",SUMIFS(全馬データ!$K$2:$K$50000,全馬データ!$A$2:$A$50000,A4470,全馬データ!$B$2:$B$50000,B4470,全馬データ!$C$2:$C$50000,C4470,全馬データ!$D$2:$D$50000,E4470)))</f>
        <v/>
      </c>
      <c r="AP4470" s="8" t="str">
        <f aca="false">IF(A4470="","",IF(AO4470="","欠損",IF(AO4470&lt;=1.1,"1.0～1.1",IF(AO4470&lt;1.3,"1.2",IF(AO4470&lt;1.5,"1.3～1.4",IF(AO4470&lt;2,"1.5～1.9","2.0以上"))))))</f>
        <v/>
      </c>
      <c r="AQ4470" s="8" t="str">
        <f aca="false">IF(A4470="","",IF(ISNUMBER(SEARCH("2歳",Z4470)),"2歳戦",IF(ISNUMBER(SEARCH("3歳未勝利",Z4470)),"3歳未勝利",IF(ISNUMBER(SEARCH("未勝利",Z4470)),"その他未勝利",IF(ISNUMBER(SEARCH("G1",Z4470)),"G1",IF(ISNUMBER(SEARCH("G2",Z4470)),"G2",IF(ISNUMBER(SEARCH("G3",Z4470)),"G3",IF(ISNUMBER(SEARCH("古馬条件",Z4470)),"古馬条件戦",IF(ISNUMBER(SEARCH("重賞",Z4470)),"重賞","分類不能")))))))))</f>
        <v/>
      </c>
    </row>
    <row r="4471" customFormat="false" ht="15.75" hidden="false" customHeight="false" outlineLevel="0" collapsed="false">
      <c r="AO4471" s="8" t="str">
        <f aca="false">IF(A4471="","",IF(COUNTIFS(全馬データ!$A$2:$A$50000,A4471,全馬データ!$B$2:$B$50000,B4471,全馬データ!$C$2:$C$50000,C4471,全馬データ!$D$2:$D$50000,E4471,全馬データ!$K$2:$K$50000,"&lt;&gt;")=0,"",SUMIFS(全馬データ!$K$2:$K$50000,全馬データ!$A$2:$A$50000,A4471,全馬データ!$B$2:$B$50000,B4471,全馬データ!$C$2:$C$50000,C4471,全馬データ!$D$2:$D$50000,E4471)))</f>
        <v/>
      </c>
      <c r="AP4471" s="8" t="str">
        <f aca="false">IF(A4471="","",IF(AO4471="","欠損",IF(AO4471&lt;=1.1,"1.0～1.1",IF(AO4471&lt;1.3,"1.2",IF(AO4471&lt;1.5,"1.3～1.4",IF(AO4471&lt;2,"1.5～1.9","2.0以上"))))))</f>
        <v/>
      </c>
      <c r="AQ4471" s="8" t="str">
        <f aca="false">IF(A4471="","",IF(ISNUMBER(SEARCH("2歳",Z4471)),"2歳戦",IF(ISNUMBER(SEARCH("3歳未勝利",Z4471)),"3歳未勝利",IF(ISNUMBER(SEARCH("未勝利",Z4471)),"その他未勝利",IF(ISNUMBER(SEARCH("G1",Z4471)),"G1",IF(ISNUMBER(SEARCH("G2",Z4471)),"G2",IF(ISNUMBER(SEARCH("G3",Z4471)),"G3",IF(ISNUMBER(SEARCH("古馬条件",Z4471)),"古馬条件戦",IF(ISNUMBER(SEARCH("重賞",Z4471)),"重賞","分類不能")))))))))</f>
        <v/>
      </c>
    </row>
    <row r="4472" customFormat="false" ht="15.75" hidden="false" customHeight="false" outlineLevel="0" collapsed="false">
      <c r="AO4472" s="8" t="str">
        <f aca="false">IF(A4472="","",IF(COUNTIFS(全馬データ!$A$2:$A$50000,A4472,全馬データ!$B$2:$B$50000,B4472,全馬データ!$C$2:$C$50000,C4472,全馬データ!$D$2:$D$50000,E4472,全馬データ!$K$2:$K$50000,"&lt;&gt;")=0,"",SUMIFS(全馬データ!$K$2:$K$50000,全馬データ!$A$2:$A$50000,A4472,全馬データ!$B$2:$B$50000,B4472,全馬データ!$C$2:$C$50000,C4472,全馬データ!$D$2:$D$50000,E4472)))</f>
        <v/>
      </c>
      <c r="AP4472" s="8" t="str">
        <f aca="false">IF(A4472="","",IF(AO4472="","欠損",IF(AO4472&lt;=1.1,"1.0～1.1",IF(AO4472&lt;1.3,"1.2",IF(AO4472&lt;1.5,"1.3～1.4",IF(AO4472&lt;2,"1.5～1.9","2.0以上"))))))</f>
        <v/>
      </c>
      <c r="AQ4472" s="8" t="str">
        <f aca="false">IF(A4472="","",IF(ISNUMBER(SEARCH("2歳",Z4472)),"2歳戦",IF(ISNUMBER(SEARCH("3歳未勝利",Z4472)),"3歳未勝利",IF(ISNUMBER(SEARCH("未勝利",Z4472)),"その他未勝利",IF(ISNUMBER(SEARCH("G1",Z4472)),"G1",IF(ISNUMBER(SEARCH("G2",Z4472)),"G2",IF(ISNUMBER(SEARCH("G3",Z4472)),"G3",IF(ISNUMBER(SEARCH("古馬条件",Z4472)),"古馬条件戦",IF(ISNUMBER(SEARCH("重賞",Z4472)),"重賞","分類不能")))))))))</f>
        <v/>
      </c>
    </row>
    <row r="4473" customFormat="false" ht="15.75" hidden="false" customHeight="false" outlineLevel="0" collapsed="false">
      <c r="AO4473" s="8" t="str">
        <f aca="false">IF(A4473="","",IF(COUNTIFS(全馬データ!$A$2:$A$50000,A4473,全馬データ!$B$2:$B$50000,B4473,全馬データ!$C$2:$C$50000,C4473,全馬データ!$D$2:$D$50000,E4473,全馬データ!$K$2:$K$50000,"&lt;&gt;")=0,"",SUMIFS(全馬データ!$K$2:$K$50000,全馬データ!$A$2:$A$50000,A4473,全馬データ!$B$2:$B$50000,B4473,全馬データ!$C$2:$C$50000,C4473,全馬データ!$D$2:$D$50000,E4473)))</f>
        <v/>
      </c>
      <c r="AP4473" s="8" t="str">
        <f aca="false">IF(A4473="","",IF(AO4473="","欠損",IF(AO4473&lt;=1.1,"1.0～1.1",IF(AO4473&lt;1.3,"1.2",IF(AO4473&lt;1.5,"1.3～1.4",IF(AO4473&lt;2,"1.5～1.9","2.0以上"))))))</f>
        <v/>
      </c>
      <c r="AQ4473" s="8" t="str">
        <f aca="false">IF(A4473="","",IF(ISNUMBER(SEARCH("2歳",Z4473)),"2歳戦",IF(ISNUMBER(SEARCH("3歳未勝利",Z4473)),"3歳未勝利",IF(ISNUMBER(SEARCH("未勝利",Z4473)),"その他未勝利",IF(ISNUMBER(SEARCH("G1",Z4473)),"G1",IF(ISNUMBER(SEARCH("G2",Z4473)),"G2",IF(ISNUMBER(SEARCH("G3",Z4473)),"G3",IF(ISNUMBER(SEARCH("古馬条件",Z4473)),"古馬条件戦",IF(ISNUMBER(SEARCH("重賞",Z4473)),"重賞","分類不能")))))))))</f>
        <v/>
      </c>
    </row>
    <row r="4474" customFormat="false" ht="15.75" hidden="false" customHeight="false" outlineLevel="0" collapsed="false">
      <c r="AO4474" s="8" t="str">
        <f aca="false">IF(A4474="","",IF(COUNTIFS(全馬データ!$A$2:$A$50000,A4474,全馬データ!$B$2:$B$50000,B4474,全馬データ!$C$2:$C$50000,C4474,全馬データ!$D$2:$D$50000,E4474,全馬データ!$K$2:$K$50000,"&lt;&gt;")=0,"",SUMIFS(全馬データ!$K$2:$K$50000,全馬データ!$A$2:$A$50000,A4474,全馬データ!$B$2:$B$50000,B4474,全馬データ!$C$2:$C$50000,C4474,全馬データ!$D$2:$D$50000,E4474)))</f>
        <v/>
      </c>
      <c r="AP4474" s="8" t="str">
        <f aca="false">IF(A4474="","",IF(AO4474="","欠損",IF(AO4474&lt;=1.1,"1.0～1.1",IF(AO4474&lt;1.3,"1.2",IF(AO4474&lt;1.5,"1.3～1.4",IF(AO4474&lt;2,"1.5～1.9","2.0以上"))))))</f>
        <v/>
      </c>
      <c r="AQ4474" s="8" t="str">
        <f aca="false">IF(A4474="","",IF(ISNUMBER(SEARCH("2歳",Z4474)),"2歳戦",IF(ISNUMBER(SEARCH("3歳未勝利",Z4474)),"3歳未勝利",IF(ISNUMBER(SEARCH("未勝利",Z4474)),"その他未勝利",IF(ISNUMBER(SEARCH("G1",Z4474)),"G1",IF(ISNUMBER(SEARCH("G2",Z4474)),"G2",IF(ISNUMBER(SEARCH("G3",Z4474)),"G3",IF(ISNUMBER(SEARCH("古馬条件",Z4474)),"古馬条件戦",IF(ISNUMBER(SEARCH("重賞",Z4474)),"重賞","分類不能")))))))))</f>
        <v/>
      </c>
    </row>
    <row r="4475" customFormat="false" ht="15.75" hidden="false" customHeight="false" outlineLevel="0" collapsed="false">
      <c r="AO4475" s="8" t="str">
        <f aca="false">IF(A4475="","",IF(COUNTIFS(全馬データ!$A$2:$A$50000,A4475,全馬データ!$B$2:$B$50000,B4475,全馬データ!$C$2:$C$50000,C4475,全馬データ!$D$2:$D$50000,E4475,全馬データ!$K$2:$K$50000,"&lt;&gt;")=0,"",SUMIFS(全馬データ!$K$2:$K$50000,全馬データ!$A$2:$A$50000,A4475,全馬データ!$B$2:$B$50000,B4475,全馬データ!$C$2:$C$50000,C4475,全馬データ!$D$2:$D$50000,E4475)))</f>
        <v/>
      </c>
      <c r="AP4475" s="8" t="str">
        <f aca="false">IF(A4475="","",IF(AO4475="","欠損",IF(AO4475&lt;=1.1,"1.0～1.1",IF(AO4475&lt;1.3,"1.2",IF(AO4475&lt;1.5,"1.3～1.4",IF(AO4475&lt;2,"1.5～1.9","2.0以上"))))))</f>
        <v/>
      </c>
      <c r="AQ4475" s="8" t="str">
        <f aca="false">IF(A4475="","",IF(ISNUMBER(SEARCH("2歳",Z4475)),"2歳戦",IF(ISNUMBER(SEARCH("3歳未勝利",Z4475)),"3歳未勝利",IF(ISNUMBER(SEARCH("未勝利",Z4475)),"その他未勝利",IF(ISNUMBER(SEARCH("G1",Z4475)),"G1",IF(ISNUMBER(SEARCH("G2",Z4475)),"G2",IF(ISNUMBER(SEARCH("G3",Z4475)),"G3",IF(ISNUMBER(SEARCH("古馬条件",Z4475)),"古馬条件戦",IF(ISNUMBER(SEARCH("重賞",Z4475)),"重賞","分類不能")))))))))</f>
        <v/>
      </c>
    </row>
    <row r="4476" customFormat="false" ht="15.75" hidden="false" customHeight="false" outlineLevel="0" collapsed="false">
      <c r="AO4476" s="8" t="str">
        <f aca="false">IF(A4476="","",IF(COUNTIFS(全馬データ!$A$2:$A$50000,A4476,全馬データ!$B$2:$B$50000,B4476,全馬データ!$C$2:$C$50000,C4476,全馬データ!$D$2:$D$50000,E4476,全馬データ!$K$2:$K$50000,"&lt;&gt;")=0,"",SUMIFS(全馬データ!$K$2:$K$50000,全馬データ!$A$2:$A$50000,A4476,全馬データ!$B$2:$B$50000,B4476,全馬データ!$C$2:$C$50000,C4476,全馬データ!$D$2:$D$50000,E4476)))</f>
        <v/>
      </c>
      <c r="AP4476" s="8" t="str">
        <f aca="false">IF(A4476="","",IF(AO4476="","欠損",IF(AO4476&lt;=1.1,"1.0～1.1",IF(AO4476&lt;1.3,"1.2",IF(AO4476&lt;1.5,"1.3～1.4",IF(AO4476&lt;2,"1.5～1.9","2.0以上"))))))</f>
        <v/>
      </c>
      <c r="AQ4476" s="8" t="str">
        <f aca="false">IF(A4476="","",IF(ISNUMBER(SEARCH("2歳",Z4476)),"2歳戦",IF(ISNUMBER(SEARCH("3歳未勝利",Z4476)),"3歳未勝利",IF(ISNUMBER(SEARCH("未勝利",Z4476)),"その他未勝利",IF(ISNUMBER(SEARCH("G1",Z4476)),"G1",IF(ISNUMBER(SEARCH("G2",Z4476)),"G2",IF(ISNUMBER(SEARCH("G3",Z4476)),"G3",IF(ISNUMBER(SEARCH("古馬条件",Z4476)),"古馬条件戦",IF(ISNUMBER(SEARCH("重賞",Z4476)),"重賞","分類不能")))))))))</f>
        <v/>
      </c>
    </row>
    <row r="4477" customFormat="false" ht="15.75" hidden="false" customHeight="false" outlineLevel="0" collapsed="false">
      <c r="AO4477" s="8" t="str">
        <f aca="false">IF(A4477="","",IF(COUNTIFS(全馬データ!$A$2:$A$50000,A4477,全馬データ!$B$2:$B$50000,B4477,全馬データ!$C$2:$C$50000,C4477,全馬データ!$D$2:$D$50000,E4477,全馬データ!$K$2:$K$50000,"&lt;&gt;")=0,"",SUMIFS(全馬データ!$K$2:$K$50000,全馬データ!$A$2:$A$50000,A4477,全馬データ!$B$2:$B$50000,B4477,全馬データ!$C$2:$C$50000,C4477,全馬データ!$D$2:$D$50000,E4477)))</f>
        <v/>
      </c>
      <c r="AP4477" s="8" t="str">
        <f aca="false">IF(A4477="","",IF(AO4477="","欠損",IF(AO4477&lt;=1.1,"1.0～1.1",IF(AO4477&lt;1.3,"1.2",IF(AO4477&lt;1.5,"1.3～1.4",IF(AO4477&lt;2,"1.5～1.9","2.0以上"))))))</f>
        <v/>
      </c>
      <c r="AQ4477" s="8" t="str">
        <f aca="false">IF(A4477="","",IF(ISNUMBER(SEARCH("2歳",Z4477)),"2歳戦",IF(ISNUMBER(SEARCH("3歳未勝利",Z4477)),"3歳未勝利",IF(ISNUMBER(SEARCH("未勝利",Z4477)),"その他未勝利",IF(ISNUMBER(SEARCH("G1",Z4477)),"G1",IF(ISNUMBER(SEARCH("G2",Z4477)),"G2",IF(ISNUMBER(SEARCH("G3",Z4477)),"G3",IF(ISNUMBER(SEARCH("古馬条件",Z4477)),"古馬条件戦",IF(ISNUMBER(SEARCH("重賞",Z4477)),"重賞","分類不能")))))))))</f>
        <v/>
      </c>
    </row>
    <row r="4478" customFormat="false" ht="15.75" hidden="false" customHeight="false" outlineLevel="0" collapsed="false">
      <c r="AO4478" s="8" t="str">
        <f aca="false">IF(A4478="","",IF(COUNTIFS(全馬データ!$A$2:$A$50000,A4478,全馬データ!$B$2:$B$50000,B4478,全馬データ!$C$2:$C$50000,C4478,全馬データ!$D$2:$D$50000,E4478,全馬データ!$K$2:$K$50000,"&lt;&gt;")=0,"",SUMIFS(全馬データ!$K$2:$K$50000,全馬データ!$A$2:$A$50000,A4478,全馬データ!$B$2:$B$50000,B4478,全馬データ!$C$2:$C$50000,C4478,全馬データ!$D$2:$D$50000,E4478)))</f>
        <v/>
      </c>
      <c r="AP4478" s="8" t="str">
        <f aca="false">IF(A4478="","",IF(AO4478="","欠損",IF(AO4478&lt;=1.1,"1.0～1.1",IF(AO4478&lt;1.3,"1.2",IF(AO4478&lt;1.5,"1.3～1.4",IF(AO4478&lt;2,"1.5～1.9","2.0以上"))))))</f>
        <v/>
      </c>
      <c r="AQ4478" s="8" t="str">
        <f aca="false">IF(A4478="","",IF(ISNUMBER(SEARCH("2歳",Z4478)),"2歳戦",IF(ISNUMBER(SEARCH("3歳未勝利",Z4478)),"3歳未勝利",IF(ISNUMBER(SEARCH("未勝利",Z4478)),"その他未勝利",IF(ISNUMBER(SEARCH("G1",Z4478)),"G1",IF(ISNUMBER(SEARCH("G2",Z4478)),"G2",IF(ISNUMBER(SEARCH("G3",Z4478)),"G3",IF(ISNUMBER(SEARCH("古馬条件",Z4478)),"古馬条件戦",IF(ISNUMBER(SEARCH("重賞",Z4478)),"重賞","分類不能")))))))))</f>
        <v/>
      </c>
    </row>
    <row r="4479" customFormat="false" ht="15.75" hidden="false" customHeight="false" outlineLevel="0" collapsed="false">
      <c r="AO4479" s="8" t="str">
        <f aca="false">IF(A4479="","",IF(COUNTIFS(全馬データ!$A$2:$A$50000,A4479,全馬データ!$B$2:$B$50000,B4479,全馬データ!$C$2:$C$50000,C4479,全馬データ!$D$2:$D$50000,E4479,全馬データ!$K$2:$K$50000,"&lt;&gt;")=0,"",SUMIFS(全馬データ!$K$2:$K$50000,全馬データ!$A$2:$A$50000,A4479,全馬データ!$B$2:$B$50000,B4479,全馬データ!$C$2:$C$50000,C4479,全馬データ!$D$2:$D$50000,E4479)))</f>
        <v/>
      </c>
      <c r="AP4479" s="8" t="str">
        <f aca="false">IF(A4479="","",IF(AO4479="","欠損",IF(AO4479&lt;=1.1,"1.0～1.1",IF(AO4479&lt;1.3,"1.2",IF(AO4479&lt;1.5,"1.3～1.4",IF(AO4479&lt;2,"1.5～1.9","2.0以上"))))))</f>
        <v/>
      </c>
      <c r="AQ4479" s="8" t="str">
        <f aca="false">IF(A4479="","",IF(ISNUMBER(SEARCH("2歳",Z4479)),"2歳戦",IF(ISNUMBER(SEARCH("3歳未勝利",Z4479)),"3歳未勝利",IF(ISNUMBER(SEARCH("未勝利",Z4479)),"その他未勝利",IF(ISNUMBER(SEARCH("G1",Z4479)),"G1",IF(ISNUMBER(SEARCH("G2",Z4479)),"G2",IF(ISNUMBER(SEARCH("G3",Z4479)),"G3",IF(ISNUMBER(SEARCH("古馬条件",Z4479)),"古馬条件戦",IF(ISNUMBER(SEARCH("重賞",Z4479)),"重賞","分類不能")))))))))</f>
        <v/>
      </c>
    </row>
    <row r="4480" customFormat="false" ht="15.75" hidden="false" customHeight="false" outlineLevel="0" collapsed="false">
      <c r="AO4480" s="8" t="str">
        <f aca="false">IF(A4480="","",IF(COUNTIFS(全馬データ!$A$2:$A$50000,A4480,全馬データ!$B$2:$B$50000,B4480,全馬データ!$C$2:$C$50000,C4480,全馬データ!$D$2:$D$50000,E4480,全馬データ!$K$2:$K$50000,"&lt;&gt;")=0,"",SUMIFS(全馬データ!$K$2:$K$50000,全馬データ!$A$2:$A$50000,A4480,全馬データ!$B$2:$B$50000,B4480,全馬データ!$C$2:$C$50000,C4480,全馬データ!$D$2:$D$50000,E4480)))</f>
        <v/>
      </c>
      <c r="AP4480" s="8" t="str">
        <f aca="false">IF(A4480="","",IF(AO4480="","欠損",IF(AO4480&lt;=1.1,"1.0～1.1",IF(AO4480&lt;1.3,"1.2",IF(AO4480&lt;1.5,"1.3～1.4",IF(AO4480&lt;2,"1.5～1.9","2.0以上"))))))</f>
        <v/>
      </c>
      <c r="AQ4480" s="8" t="str">
        <f aca="false">IF(A4480="","",IF(ISNUMBER(SEARCH("2歳",Z4480)),"2歳戦",IF(ISNUMBER(SEARCH("3歳未勝利",Z4480)),"3歳未勝利",IF(ISNUMBER(SEARCH("未勝利",Z4480)),"その他未勝利",IF(ISNUMBER(SEARCH("G1",Z4480)),"G1",IF(ISNUMBER(SEARCH("G2",Z4480)),"G2",IF(ISNUMBER(SEARCH("G3",Z4480)),"G3",IF(ISNUMBER(SEARCH("古馬条件",Z4480)),"古馬条件戦",IF(ISNUMBER(SEARCH("重賞",Z4480)),"重賞","分類不能")))))))))</f>
        <v/>
      </c>
    </row>
    <row r="4481" customFormat="false" ht="15.75" hidden="false" customHeight="false" outlineLevel="0" collapsed="false">
      <c r="AO4481" s="8" t="str">
        <f aca="false">IF(A4481="","",IF(COUNTIFS(全馬データ!$A$2:$A$50000,A4481,全馬データ!$B$2:$B$50000,B4481,全馬データ!$C$2:$C$50000,C4481,全馬データ!$D$2:$D$50000,E4481,全馬データ!$K$2:$K$50000,"&lt;&gt;")=0,"",SUMIFS(全馬データ!$K$2:$K$50000,全馬データ!$A$2:$A$50000,A4481,全馬データ!$B$2:$B$50000,B4481,全馬データ!$C$2:$C$50000,C4481,全馬データ!$D$2:$D$50000,E4481)))</f>
        <v/>
      </c>
      <c r="AP4481" s="8" t="str">
        <f aca="false">IF(A4481="","",IF(AO4481="","欠損",IF(AO4481&lt;=1.1,"1.0～1.1",IF(AO4481&lt;1.3,"1.2",IF(AO4481&lt;1.5,"1.3～1.4",IF(AO4481&lt;2,"1.5～1.9","2.0以上"))))))</f>
        <v/>
      </c>
      <c r="AQ4481" s="8" t="str">
        <f aca="false">IF(A4481="","",IF(ISNUMBER(SEARCH("2歳",Z4481)),"2歳戦",IF(ISNUMBER(SEARCH("3歳未勝利",Z4481)),"3歳未勝利",IF(ISNUMBER(SEARCH("未勝利",Z4481)),"その他未勝利",IF(ISNUMBER(SEARCH("G1",Z4481)),"G1",IF(ISNUMBER(SEARCH("G2",Z4481)),"G2",IF(ISNUMBER(SEARCH("G3",Z4481)),"G3",IF(ISNUMBER(SEARCH("古馬条件",Z4481)),"古馬条件戦",IF(ISNUMBER(SEARCH("重賞",Z4481)),"重賞","分類不能")))))))))</f>
        <v/>
      </c>
    </row>
    <row r="4482" customFormat="false" ht="15.75" hidden="false" customHeight="false" outlineLevel="0" collapsed="false">
      <c r="AO4482" s="8" t="str">
        <f aca="false">IF(A4482="","",IF(COUNTIFS(全馬データ!$A$2:$A$50000,A4482,全馬データ!$B$2:$B$50000,B4482,全馬データ!$C$2:$C$50000,C4482,全馬データ!$D$2:$D$50000,E4482,全馬データ!$K$2:$K$50000,"&lt;&gt;")=0,"",SUMIFS(全馬データ!$K$2:$K$50000,全馬データ!$A$2:$A$50000,A4482,全馬データ!$B$2:$B$50000,B4482,全馬データ!$C$2:$C$50000,C4482,全馬データ!$D$2:$D$50000,E4482)))</f>
        <v/>
      </c>
      <c r="AP4482" s="8" t="str">
        <f aca="false">IF(A4482="","",IF(AO4482="","欠損",IF(AO4482&lt;=1.1,"1.0～1.1",IF(AO4482&lt;1.3,"1.2",IF(AO4482&lt;1.5,"1.3～1.4",IF(AO4482&lt;2,"1.5～1.9","2.0以上"))))))</f>
        <v/>
      </c>
      <c r="AQ4482" s="8" t="str">
        <f aca="false">IF(A4482="","",IF(ISNUMBER(SEARCH("2歳",Z4482)),"2歳戦",IF(ISNUMBER(SEARCH("3歳未勝利",Z4482)),"3歳未勝利",IF(ISNUMBER(SEARCH("未勝利",Z4482)),"その他未勝利",IF(ISNUMBER(SEARCH("G1",Z4482)),"G1",IF(ISNUMBER(SEARCH("G2",Z4482)),"G2",IF(ISNUMBER(SEARCH("G3",Z4482)),"G3",IF(ISNUMBER(SEARCH("古馬条件",Z4482)),"古馬条件戦",IF(ISNUMBER(SEARCH("重賞",Z4482)),"重賞","分類不能")))))))))</f>
        <v/>
      </c>
    </row>
    <row r="4483" customFormat="false" ht="15.75" hidden="false" customHeight="false" outlineLevel="0" collapsed="false">
      <c r="AO4483" s="8" t="str">
        <f aca="false">IF(A4483="","",IF(COUNTIFS(全馬データ!$A$2:$A$50000,A4483,全馬データ!$B$2:$B$50000,B4483,全馬データ!$C$2:$C$50000,C4483,全馬データ!$D$2:$D$50000,E4483,全馬データ!$K$2:$K$50000,"&lt;&gt;")=0,"",SUMIFS(全馬データ!$K$2:$K$50000,全馬データ!$A$2:$A$50000,A4483,全馬データ!$B$2:$B$50000,B4483,全馬データ!$C$2:$C$50000,C4483,全馬データ!$D$2:$D$50000,E4483)))</f>
        <v/>
      </c>
      <c r="AP4483" s="8" t="str">
        <f aca="false">IF(A4483="","",IF(AO4483="","欠損",IF(AO4483&lt;=1.1,"1.0～1.1",IF(AO4483&lt;1.3,"1.2",IF(AO4483&lt;1.5,"1.3～1.4",IF(AO4483&lt;2,"1.5～1.9","2.0以上"))))))</f>
        <v/>
      </c>
      <c r="AQ4483" s="8" t="str">
        <f aca="false">IF(A4483="","",IF(ISNUMBER(SEARCH("2歳",Z4483)),"2歳戦",IF(ISNUMBER(SEARCH("3歳未勝利",Z4483)),"3歳未勝利",IF(ISNUMBER(SEARCH("未勝利",Z4483)),"その他未勝利",IF(ISNUMBER(SEARCH("G1",Z4483)),"G1",IF(ISNUMBER(SEARCH("G2",Z4483)),"G2",IF(ISNUMBER(SEARCH("G3",Z4483)),"G3",IF(ISNUMBER(SEARCH("古馬条件",Z4483)),"古馬条件戦",IF(ISNUMBER(SEARCH("重賞",Z4483)),"重賞","分類不能")))))))))</f>
        <v/>
      </c>
    </row>
    <row r="4484" customFormat="false" ht="15.75" hidden="false" customHeight="false" outlineLevel="0" collapsed="false">
      <c r="AO4484" s="8" t="str">
        <f aca="false">IF(A4484="","",IF(COUNTIFS(全馬データ!$A$2:$A$50000,A4484,全馬データ!$B$2:$B$50000,B4484,全馬データ!$C$2:$C$50000,C4484,全馬データ!$D$2:$D$50000,E4484,全馬データ!$K$2:$K$50000,"&lt;&gt;")=0,"",SUMIFS(全馬データ!$K$2:$K$50000,全馬データ!$A$2:$A$50000,A4484,全馬データ!$B$2:$B$50000,B4484,全馬データ!$C$2:$C$50000,C4484,全馬データ!$D$2:$D$50000,E4484)))</f>
        <v/>
      </c>
      <c r="AP4484" s="8" t="str">
        <f aca="false">IF(A4484="","",IF(AO4484="","欠損",IF(AO4484&lt;=1.1,"1.0～1.1",IF(AO4484&lt;1.3,"1.2",IF(AO4484&lt;1.5,"1.3～1.4",IF(AO4484&lt;2,"1.5～1.9","2.0以上"))))))</f>
        <v/>
      </c>
      <c r="AQ4484" s="8" t="str">
        <f aca="false">IF(A4484="","",IF(ISNUMBER(SEARCH("2歳",Z4484)),"2歳戦",IF(ISNUMBER(SEARCH("3歳未勝利",Z4484)),"3歳未勝利",IF(ISNUMBER(SEARCH("未勝利",Z4484)),"その他未勝利",IF(ISNUMBER(SEARCH("G1",Z4484)),"G1",IF(ISNUMBER(SEARCH("G2",Z4484)),"G2",IF(ISNUMBER(SEARCH("G3",Z4484)),"G3",IF(ISNUMBER(SEARCH("古馬条件",Z4484)),"古馬条件戦",IF(ISNUMBER(SEARCH("重賞",Z4484)),"重賞","分類不能")))))))))</f>
        <v/>
      </c>
    </row>
    <row r="4485" customFormat="false" ht="15.75" hidden="false" customHeight="false" outlineLevel="0" collapsed="false">
      <c r="AO4485" s="8" t="str">
        <f aca="false">IF(A4485="","",IF(COUNTIFS(全馬データ!$A$2:$A$50000,A4485,全馬データ!$B$2:$B$50000,B4485,全馬データ!$C$2:$C$50000,C4485,全馬データ!$D$2:$D$50000,E4485,全馬データ!$K$2:$K$50000,"&lt;&gt;")=0,"",SUMIFS(全馬データ!$K$2:$K$50000,全馬データ!$A$2:$A$50000,A4485,全馬データ!$B$2:$B$50000,B4485,全馬データ!$C$2:$C$50000,C4485,全馬データ!$D$2:$D$50000,E4485)))</f>
        <v/>
      </c>
      <c r="AP4485" s="8" t="str">
        <f aca="false">IF(A4485="","",IF(AO4485="","欠損",IF(AO4485&lt;=1.1,"1.0～1.1",IF(AO4485&lt;1.3,"1.2",IF(AO4485&lt;1.5,"1.3～1.4",IF(AO4485&lt;2,"1.5～1.9","2.0以上"))))))</f>
        <v/>
      </c>
      <c r="AQ4485" s="8" t="str">
        <f aca="false">IF(A4485="","",IF(ISNUMBER(SEARCH("2歳",Z4485)),"2歳戦",IF(ISNUMBER(SEARCH("3歳未勝利",Z4485)),"3歳未勝利",IF(ISNUMBER(SEARCH("未勝利",Z4485)),"その他未勝利",IF(ISNUMBER(SEARCH("G1",Z4485)),"G1",IF(ISNUMBER(SEARCH("G2",Z4485)),"G2",IF(ISNUMBER(SEARCH("G3",Z4485)),"G3",IF(ISNUMBER(SEARCH("古馬条件",Z4485)),"古馬条件戦",IF(ISNUMBER(SEARCH("重賞",Z4485)),"重賞","分類不能")))))))))</f>
        <v/>
      </c>
    </row>
    <row r="4486" customFormat="false" ht="15.75" hidden="false" customHeight="false" outlineLevel="0" collapsed="false">
      <c r="AO4486" s="8" t="str">
        <f aca="false">IF(A4486="","",IF(COUNTIFS(全馬データ!$A$2:$A$50000,A4486,全馬データ!$B$2:$B$50000,B4486,全馬データ!$C$2:$C$50000,C4486,全馬データ!$D$2:$D$50000,E4486,全馬データ!$K$2:$K$50000,"&lt;&gt;")=0,"",SUMIFS(全馬データ!$K$2:$K$50000,全馬データ!$A$2:$A$50000,A4486,全馬データ!$B$2:$B$50000,B4486,全馬データ!$C$2:$C$50000,C4486,全馬データ!$D$2:$D$50000,E4486)))</f>
        <v/>
      </c>
      <c r="AP4486" s="8" t="str">
        <f aca="false">IF(A4486="","",IF(AO4486="","欠損",IF(AO4486&lt;=1.1,"1.0～1.1",IF(AO4486&lt;1.3,"1.2",IF(AO4486&lt;1.5,"1.3～1.4",IF(AO4486&lt;2,"1.5～1.9","2.0以上"))))))</f>
        <v/>
      </c>
      <c r="AQ4486" s="8" t="str">
        <f aca="false">IF(A4486="","",IF(ISNUMBER(SEARCH("2歳",Z4486)),"2歳戦",IF(ISNUMBER(SEARCH("3歳未勝利",Z4486)),"3歳未勝利",IF(ISNUMBER(SEARCH("未勝利",Z4486)),"その他未勝利",IF(ISNUMBER(SEARCH("G1",Z4486)),"G1",IF(ISNUMBER(SEARCH("G2",Z4486)),"G2",IF(ISNUMBER(SEARCH("G3",Z4486)),"G3",IF(ISNUMBER(SEARCH("古馬条件",Z4486)),"古馬条件戦",IF(ISNUMBER(SEARCH("重賞",Z4486)),"重賞","分類不能")))))))))</f>
        <v/>
      </c>
    </row>
    <row r="4487" customFormat="false" ht="15.75" hidden="false" customHeight="false" outlineLevel="0" collapsed="false">
      <c r="AO4487" s="8" t="str">
        <f aca="false">IF(A4487="","",IF(COUNTIFS(全馬データ!$A$2:$A$50000,A4487,全馬データ!$B$2:$B$50000,B4487,全馬データ!$C$2:$C$50000,C4487,全馬データ!$D$2:$D$50000,E4487,全馬データ!$K$2:$K$50000,"&lt;&gt;")=0,"",SUMIFS(全馬データ!$K$2:$K$50000,全馬データ!$A$2:$A$50000,A4487,全馬データ!$B$2:$B$50000,B4487,全馬データ!$C$2:$C$50000,C4487,全馬データ!$D$2:$D$50000,E4487)))</f>
        <v/>
      </c>
      <c r="AP4487" s="8" t="str">
        <f aca="false">IF(A4487="","",IF(AO4487="","欠損",IF(AO4487&lt;=1.1,"1.0～1.1",IF(AO4487&lt;1.3,"1.2",IF(AO4487&lt;1.5,"1.3～1.4",IF(AO4487&lt;2,"1.5～1.9","2.0以上"))))))</f>
        <v/>
      </c>
      <c r="AQ4487" s="8" t="str">
        <f aca="false">IF(A4487="","",IF(ISNUMBER(SEARCH("2歳",Z4487)),"2歳戦",IF(ISNUMBER(SEARCH("3歳未勝利",Z4487)),"3歳未勝利",IF(ISNUMBER(SEARCH("未勝利",Z4487)),"その他未勝利",IF(ISNUMBER(SEARCH("G1",Z4487)),"G1",IF(ISNUMBER(SEARCH("G2",Z4487)),"G2",IF(ISNUMBER(SEARCH("G3",Z4487)),"G3",IF(ISNUMBER(SEARCH("古馬条件",Z4487)),"古馬条件戦",IF(ISNUMBER(SEARCH("重賞",Z4487)),"重賞","分類不能")))))))))</f>
        <v/>
      </c>
    </row>
    <row r="4488" customFormat="false" ht="15.75" hidden="false" customHeight="false" outlineLevel="0" collapsed="false">
      <c r="AO4488" s="8" t="str">
        <f aca="false">IF(A4488="","",IF(COUNTIFS(全馬データ!$A$2:$A$50000,A4488,全馬データ!$B$2:$B$50000,B4488,全馬データ!$C$2:$C$50000,C4488,全馬データ!$D$2:$D$50000,E4488,全馬データ!$K$2:$K$50000,"&lt;&gt;")=0,"",SUMIFS(全馬データ!$K$2:$K$50000,全馬データ!$A$2:$A$50000,A4488,全馬データ!$B$2:$B$50000,B4488,全馬データ!$C$2:$C$50000,C4488,全馬データ!$D$2:$D$50000,E4488)))</f>
        <v/>
      </c>
      <c r="AP4488" s="8" t="str">
        <f aca="false">IF(A4488="","",IF(AO4488="","欠損",IF(AO4488&lt;=1.1,"1.0～1.1",IF(AO4488&lt;1.3,"1.2",IF(AO4488&lt;1.5,"1.3～1.4",IF(AO4488&lt;2,"1.5～1.9","2.0以上"))))))</f>
        <v/>
      </c>
      <c r="AQ4488" s="8" t="str">
        <f aca="false">IF(A4488="","",IF(ISNUMBER(SEARCH("2歳",Z4488)),"2歳戦",IF(ISNUMBER(SEARCH("3歳未勝利",Z4488)),"3歳未勝利",IF(ISNUMBER(SEARCH("未勝利",Z4488)),"その他未勝利",IF(ISNUMBER(SEARCH("G1",Z4488)),"G1",IF(ISNUMBER(SEARCH("G2",Z4488)),"G2",IF(ISNUMBER(SEARCH("G3",Z4488)),"G3",IF(ISNUMBER(SEARCH("古馬条件",Z4488)),"古馬条件戦",IF(ISNUMBER(SEARCH("重賞",Z4488)),"重賞","分類不能")))))))))</f>
        <v/>
      </c>
    </row>
    <row r="4489" customFormat="false" ht="15.75" hidden="false" customHeight="false" outlineLevel="0" collapsed="false">
      <c r="AO4489" s="8" t="str">
        <f aca="false">IF(A4489="","",IF(COUNTIFS(全馬データ!$A$2:$A$50000,A4489,全馬データ!$B$2:$B$50000,B4489,全馬データ!$C$2:$C$50000,C4489,全馬データ!$D$2:$D$50000,E4489,全馬データ!$K$2:$K$50000,"&lt;&gt;")=0,"",SUMIFS(全馬データ!$K$2:$K$50000,全馬データ!$A$2:$A$50000,A4489,全馬データ!$B$2:$B$50000,B4489,全馬データ!$C$2:$C$50000,C4489,全馬データ!$D$2:$D$50000,E4489)))</f>
        <v/>
      </c>
      <c r="AP4489" s="8" t="str">
        <f aca="false">IF(A4489="","",IF(AO4489="","欠損",IF(AO4489&lt;=1.1,"1.0～1.1",IF(AO4489&lt;1.3,"1.2",IF(AO4489&lt;1.5,"1.3～1.4",IF(AO4489&lt;2,"1.5～1.9","2.0以上"))))))</f>
        <v/>
      </c>
      <c r="AQ4489" s="8" t="str">
        <f aca="false">IF(A4489="","",IF(ISNUMBER(SEARCH("2歳",Z4489)),"2歳戦",IF(ISNUMBER(SEARCH("3歳未勝利",Z4489)),"3歳未勝利",IF(ISNUMBER(SEARCH("未勝利",Z4489)),"その他未勝利",IF(ISNUMBER(SEARCH("G1",Z4489)),"G1",IF(ISNUMBER(SEARCH("G2",Z4489)),"G2",IF(ISNUMBER(SEARCH("G3",Z4489)),"G3",IF(ISNUMBER(SEARCH("古馬条件",Z4489)),"古馬条件戦",IF(ISNUMBER(SEARCH("重賞",Z4489)),"重賞","分類不能")))))))))</f>
        <v/>
      </c>
    </row>
    <row r="4490" customFormat="false" ht="15.75" hidden="false" customHeight="false" outlineLevel="0" collapsed="false">
      <c r="AO4490" s="8" t="str">
        <f aca="false">IF(A4490="","",IF(COUNTIFS(全馬データ!$A$2:$A$50000,A4490,全馬データ!$B$2:$B$50000,B4490,全馬データ!$C$2:$C$50000,C4490,全馬データ!$D$2:$D$50000,E4490,全馬データ!$K$2:$K$50000,"&lt;&gt;")=0,"",SUMIFS(全馬データ!$K$2:$K$50000,全馬データ!$A$2:$A$50000,A4490,全馬データ!$B$2:$B$50000,B4490,全馬データ!$C$2:$C$50000,C4490,全馬データ!$D$2:$D$50000,E4490)))</f>
        <v/>
      </c>
      <c r="AP4490" s="8" t="str">
        <f aca="false">IF(A4490="","",IF(AO4490="","欠損",IF(AO4490&lt;=1.1,"1.0～1.1",IF(AO4490&lt;1.3,"1.2",IF(AO4490&lt;1.5,"1.3～1.4",IF(AO4490&lt;2,"1.5～1.9","2.0以上"))))))</f>
        <v/>
      </c>
      <c r="AQ4490" s="8" t="str">
        <f aca="false">IF(A4490="","",IF(ISNUMBER(SEARCH("2歳",Z4490)),"2歳戦",IF(ISNUMBER(SEARCH("3歳未勝利",Z4490)),"3歳未勝利",IF(ISNUMBER(SEARCH("未勝利",Z4490)),"その他未勝利",IF(ISNUMBER(SEARCH("G1",Z4490)),"G1",IF(ISNUMBER(SEARCH("G2",Z4490)),"G2",IF(ISNUMBER(SEARCH("G3",Z4490)),"G3",IF(ISNUMBER(SEARCH("古馬条件",Z4490)),"古馬条件戦",IF(ISNUMBER(SEARCH("重賞",Z4490)),"重賞","分類不能")))))))))</f>
        <v/>
      </c>
    </row>
    <row r="4491" customFormat="false" ht="15.75" hidden="false" customHeight="false" outlineLevel="0" collapsed="false">
      <c r="AO4491" s="8" t="str">
        <f aca="false">IF(A4491="","",IF(COUNTIFS(全馬データ!$A$2:$A$50000,A4491,全馬データ!$B$2:$B$50000,B4491,全馬データ!$C$2:$C$50000,C4491,全馬データ!$D$2:$D$50000,E4491,全馬データ!$K$2:$K$50000,"&lt;&gt;")=0,"",SUMIFS(全馬データ!$K$2:$K$50000,全馬データ!$A$2:$A$50000,A4491,全馬データ!$B$2:$B$50000,B4491,全馬データ!$C$2:$C$50000,C4491,全馬データ!$D$2:$D$50000,E4491)))</f>
        <v/>
      </c>
      <c r="AP4491" s="8" t="str">
        <f aca="false">IF(A4491="","",IF(AO4491="","欠損",IF(AO4491&lt;=1.1,"1.0～1.1",IF(AO4491&lt;1.3,"1.2",IF(AO4491&lt;1.5,"1.3～1.4",IF(AO4491&lt;2,"1.5～1.9","2.0以上"))))))</f>
        <v/>
      </c>
      <c r="AQ4491" s="8" t="str">
        <f aca="false">IF(A4491="","",IF(ISNUMBER(SEARCH("2歳",Z4491)),"2歳戦",IF(ISNUMBER(SEARCH("3歳未勝利",Z4491)),"3歳未勝利",IF(ISNUMBER(SEARCH("未勝利",Z4491)),"その他未勝利",IF(ISNUMBER(SEARCH("G1",Z4491)),"G1",IF(ISNUMBER(SEARCH("G2",Z4491)),"G2",IF(ISNUMBER(SEARCH("G3",Z4491)),"G3",IF(ISNUMBER(SEARCH("古馬条件",Z4491)),"古馬条件戦",IF(ISNUMBER(SEARCH("重賞",Z4491)),"重賞","分類不能")))))))))</f>
        <v/>
      </c>
    </row>
    <row r="4492" customFormat="false" ht="15.75" hidden="false" customHeight="false" outlineLevel="0" collapsed="false">
      <c r="AO4492" s="8" t="str">
        <f aca="false">IF(A4492="","",IF(COUNTIFS(全馬データ!$A$2:$A$50000,A4492,全馬データ!$B$2:$B$50000,B4492,全馬データ!$C$2:$C$50000,C4492,全馬データ!$D$2:$D$50000,E4492,全馬データ!$K$2:$K$50000,"&lt;&gt;")=0,"",SUMIFS(全馬データ!$K$2:$K$50000,全馬データ!$A$2:$A$50000,A4492,全馬データ!$B$2:$B$50000,B4492,全馬データ!$C$2:$C$50000,C4492,全馬データ!$D$2:$D$50000,E4492)))</f>
        <v/>
      </c>
      <c r="AP4492" s="8" t="str">
        <f aca="false">IF(A4492="","",IF(AO4492="","欠損",IF(AO4492&lt;=1.1,"1.0～1.1",IF(AO4492&lt;1.3,"1.2",IF(AO4492&lt;1.5,"1.3～1.4",IF(AO4492&lt;2,"1.5～1.9","2.0以上"))))))</f>
        <v/>
      </c>
      <c r="AQ4492" s="8" t="str">
        <f aca="false">IF(A4492="","",IF(ISNUMBER(SEARCH("2歳",Z4492)),"2歳戦",IF(ISNUMBER(SEARCH("3歳未勝利",Z4492)),"3歳未勝利",IF(ISNUMBER(SEARCH("未勝利",Z4492)),"その他未勝利",IF(ISNUMBER(SEARCH("G1",Z4492)),"G1",IF(ISNUMBER(SEARCH("G2",Z4492)),"G2",IF(ISNUMBER(SEARCH("G3",Z4492)),"G3",IF(ISNUMBER(SEARCH("古馬条件",Z4492)),"古馬条件戦",IF(ISNUMBER(SEARCH("重賞",Z4492)),"重賞","分類不能")))))))))</f>
        <v/>
      </c>
    </row>
    <row r="4493" customFormat="false" ht="15.75" hidden="false" customHeight="false" outlineLevel="0" collapsed="false">
      <c r="AO4493" s="8" t="str">
        <f aca="false">IF(A4493="","",IF(COUNTIFS(全馬データ!$A$2:$A$50000,A4493,全馬データ!$B$2:$B$50000,B4493,全馬データ!$C$2:$C$50000,C4493,全馬データ!$D$2:$D$50000,E4493,全馬データ!$K$2:$K$50000,"&lt;&gt;")=0,"",SUMIFS(全馬データ!$K$2:$K$50000,全馬データ!$A$2:$A$50000,A4493,全馬データ!$B$2:$B$50000,B4493,全馬データ!$C$2:$C$50000,C4493,全馬データ!$D$2:$D$50000,E4493)))</f>
        <v/>
      </c>
      <c r="AP4493" s="8" t="str">
        <f aca="false">IF(A4493="","",IF(AO4493="","欠損",IF(AO4493&lt;=1.1,"1.0～1.1",IF(AO4493&lt;1.3,"1.2",IF(AO4493&lt;1.5,"1.3～1.4",IF(AO4493&lt;2,"1.5～1.9","2.0以上"))))))</f>
        <v/>
      </c>
      <c r="AQ4493" s="8" t="str">
        <f aca="false">IF(A4493="","",IF(ISNUMBER(SEARCH("2歳",Z4493)),"2歳戦",IF(ISNUMBER(SEARCH("3歳未勝利",Z4493)),"3歳未勝利",IF(ISNUMBER(SEARCH("未勝利",Z4493)),"その他未勝利",IF(ISNUMBER(SEARCH("G1",Z4493)),"G1",IF(ISNUMBER(SEARCH("G2",Z4493)),"G2",IF(ISNUMBER(SEARCH("G3",Z4493)),"G3",IF(ISNUMBER(SEARCH("古馬条件",Z4493)),"古馬条件戦",IF(ISNUMBER(SEARCH("重賞",Z4493)),"重賞","分類不能")))))))))</f>
        <v/>
      </c>
    </row>
    <row r="4494" customFormat="false" ht="15.75" hidden="false" customHeight="false" outlineLevel="0" collapsed="false">
      <c r="AO4494" s="8" t="str">
        <f aca="false">IF(A4494="","",IF(COUNTIFS(全馬データ!$A$2:$A$50000,A4494,全馬データ!$B$2:$B$50000,B4494,全馬データ!$C$2:$C$50000,C4494,全馬データ!$D$2:$D$50000,E4494,全馬データ!$K$2:$K$50000,"&lt;&gt;")=0,"",SUMIFS(全馬データ!$K$2:$K$50000,全馬データ!$A$2:$A$50000,A4494,全馬データ!$B$2:$B$50000,B4494,全馬データ!$C$2:$C$50000,C4494,全馬データ!$D$2:$D$50000,E4494)))</f>
        <v/>
      </c>
      <c r="AP4494" s="8" t="str">
        <f aca="false">IF(A4494="","",IF(AO4494="","欠損",IF(AO4494&lt;=1.1,"1.0～1.1",IF(AO4494&lt;1.3,"1.2",IF(AO4494&lt;1.5,"1.3～1.4",IF(AO4494&lt;2,"1.5～1.9","2.0以上"))))))</f>
        <v/>
      </c>
      <c r="AQ4494" s="8" t="str">
        <f aca="false">IF(A4494="","",IF(ISNUMBER(SEARCH("2歳",Z4494)),"2歳戦",IF(ISNUMBER(SEARCH("3歳未勝利",Z4494)),"3歳未勝利",IF(ISNUMBER(SEARCH("未勝利",Z4494)),"その他未勝利",IF(ISNUMBER(SEARCH("G1",Z4494)),"G1",IF(ISNUMBER(SEARCH("G2",Z4494)),"G2",IF(ISNUMBER(SEARCH("G3",Z4494)),"G3",IF(ISNUMBER(SEARCH("古馬条件",Z4494)),"古馬条件戦",IF(ISNUMBER(SEARCH("重賞",Z4494)),"重賞","分類不能")))))))))</f>
        <v/>
      </c>
    </row>
    <row r="4495" customFormat="false" ht="15.75" hidden="false" customHeight="false" outlineLevel="0" collapsed="false">
      <c r="AO4495" s="8" t="str">
        <f aca="false">IF(A4495="","",IF(COUNTIFS(全馬データ!$A$2:$A$50000,A4495,全馬データ!$B$2:$B$50000,B4495,全馬データ!$C$2:$C$50000,C4495,全馬データ!$D$2:$D$50000,E4495,全馬データ!$K$2:$K$50000,"&lt;&gt;")=0,"",SUMIFS(全馬データ!$K$2:$K$50000,全馬データ!$A$2:$A$50000,A4495,全馬データ!$B$2:$B$50000,B4495,全馬データ!$C$2:$C$50000,C4495,全馬データ!$D$2:$D$50000,E4495)))</f>
        <v/>
      </c>
      <c r="AP4495" s="8" t="str">
        <f aca="false">IF(A4495="","",IF(AO4495="","欠損",IF(AO4495&lt;=1.1,"1.0～1.1",IF(AO4495&lt;1.3,"1.2",IF(AO4495&lt;1.5,"1.3～1.4",IF(AO4495&lt;2,"1.5～1.9","2.0以上"))))))</f>
        <v/>
      </c>
      <c r="AQ4495" s="8" t="str">
        <f aca="false">IF(A4495="","",IF(ISNUMBER(SEARCH("2歳",Z4495)),"2歳戦",IF(ISNUMBER(SEARCH("3歳未勝利",Z4495)),"3歳未勝利",IF(ISNUMBER(SEARCH("未勝利",Z4495)),"その他未勝利",IF(ISNUMBER(SEARCH("G1",Z4495)),"G1",IF(ISNUMBER(SEARCH("G2",Z4495)),"G2",IF(ISNUMBER(SEARCH("G3",Z4495)),"G3",IF(ISNUMBER(SEARCH("古馬条件",Z4495)),"古馬条件戦",IF(ISNUMBER(SEARCH("重賞",Z4495)),"重賞","分類不能")))))))))</f>
        <v/>
      </c>
    </row>
    <row r="4496" customFormat="false" ht="15.75" hidden="false" customHeight="false" outlineLevel="0" collapsed="false">
      <c r="AO4496" s="8" t="str">
        <f aca="false">IF(A4496="","",IF(COUNTIFS(全馬データ!$A$2:$A$50000,A4496,全馬データ!$B$2:$B$50000,B4496,全馬データ!$C$2:$C$50000,C4496,全馬データ!$D$2:$D$50000,E4496,全馬データ!$K$2:$K$50000,"&lt;&gt;")=0,"",SUMIFS(全馬データ!$K$2:$K$50000,全馬データ!$A$2:$A$50000,A4496,全馬データ!$B$2:$B$50000,B4496,全馬データ!$C$2:$C$50000,C4496,全馬データ!$D$2:$D$50000,E4496)))</f>
        <v/>
      </c>
      <c r="AP4496" s="8" t="str">
        <f aca="false">IF(A4496="","",IF(AO4496="","欠損",IF(AO4496&lt;=1.1,"1.0～1.1",IF(AO4496&lt;1.3,"1.2",IF(AO4496&lt;1.5,"1.3～1.4",IF(AO4496&lt;2,"1.5～1.9","2.0以上"))))))</f>
        <v/>
      </c>
      <c r="AQ4496" s="8" t="str">
        <f aca="false">IF(A4496="","",IF(ISNUMBER(SEARCH("2歳",Z4496)),"2歳戦",IF(ISNUMBER(SEARCH("3歳未勝利",Z4496)),"3歳未勝利",IF(ISNUMBER(SEARCH("未勝利",Z4496)),"その他未勝利",IF(ISNUMBER(SEARCH("G1",Z4496)),"G1",IF(ISNUMBER(SEARCH("G2",Z4496)),"G2",IF(ISNUMBER(SEARCH("G3",Z4496)),"G3",IF(ISNUMBER(SEARCH("古馬条件",Z4496)),"古馬条件戦",IF(ISNUMBER(SEARCH("重賞",Z4496)),"重賞","分類不能")))))))))</f>
        <v/>
      </c>
    </row>
    <row r="4497" customFormat="false" ht="15.75" hidden="false" customHeight="false" outlineLevel="0" collapsed="false">
      <c r="AO4497" s="8" t="str">
        <f aca="false">IF(A4497="","",IF(COUNTIFS(全馬データ!$A$2:$A$50000,A4497,全馬データ!$B$2:$B$50000,B4497,全馬データ!$C$2:$C$50000,C4497,全馬データ!$D$2:$D$50000,E4497,全馬データ!$K$2:$K$50000,"&lt;&gt;")=0,"",SUMIFS(全馬データ!$K$2:$K$50000,全馬データ!$A$2:$A$50000,A4497,全馬データ!$B$2:$B$50000,B4497,全馬データ!$C$2:$C$50000,C4497,全馬データ!$D$2:$D$50000,E4497)))</f>
        <v/>
      </c>
      <c r="AP4497" s="8" t="str">
        <f aca="false">IF(A4497="","",IF(AO4497="","欠損",IF(AO4497&lt;=1.1,"1.0～1.1",IF(AO4497&lt;1.3,"1.2",IF(AO4497&lt;1.5,"1.3～1.4",IF(AO4497&lt;2,"1.5～1.9","2.0以上"))))))</f>
        <v/>
      </c>
      <c r="AQ4497" s="8" t="str">
        <f aca="false">IF(A4497="","",IF(ISNUMBER(SEARCH("2歳",Z4497)),"2歳戦",IF(ISNUMBER(SEARCH("3歳未勝利",Z4497)),"3歳未勝利",IF(ISNUMBER(SEARCH("未勝利",Z4497)),"その他未勝利",IF(ISNUMBER(SEARCH("G1",Z4497)),"G1",IF(ISNUMBER(SEARCH("G2",Z4497)),"G2",IF(ISNUMBER(SEARCH("G3",Z4497)),"G3",IF(ISNUMBER(SEARCH("古馬条件",Z4497)),"古馬条件戦",IF(ISNUMBER(SEARCH("重賞",Z4497)),"重賞","分類不能")))))))))</f>
        <v/>
      </c>
    </row>
    <row r="4498" customFormat="false" ht="15.75" hidden="false" customHeight="false" outlineLevel="0" collapsed="false">
      <c r="AO4498" s="8" t="str">
        <f aca="false">IF(A4498="","",IF(COUNTIFS(全馬データ!$A$2:$A$50000,A4498,全馬データ!$B$2:$B$50000,B4498,全馬データ!$C$2:$C$50000,C4498,全馬データ!$D$2:$D$50000,E4498,全馬データ!$K$2:$K$50000,"&lt;&gt;")=0,"",SUMIFS(全馬データ!$K$2:$K$50000,全馬データ!$A$2:$A$50000,A4498,全馬データ!$B$2:$B$50000,B4498,全馬データ!$C$2:$C$50000,C4498,全馬データ!$D$2:$D$50000,E4498)))</f>
        <v/>
      </c>
      <c r="AP4498" s="8" t="str">
        <f aca="false">IF(A4498="","",IF(AO4498="","欠損",IF(AO4498&lt;=1.1,"1.0～1.1",IF(AO4498&lt;1.3,"1.2",IF(AO4498&lt;1.5,"1.3～1.4",IF(AO4498&lt;2,"1.5～1.9","2.0以上"))))))</f>
        <v/>
      </c>
      <c r="AQ4498" s="8" t="str">
        <f aca="false">IF(A4498="","",IF(ISNUMBER(SEARCH("2歳",Z4498)),"2歳戦",IF(ISNUMBER(SEARCH("3歳未勝利",Z4498)),"3歳未勝利",IF(ISNUMBER(SEARCH("未勝利",Z4498)),"その他未勝利",IF(ISNUMBER(SEARCH("G1",Z4498)),"G1",IF(ISNUMBER(SEARCH("G2",Z4498)),"G2",IF(ISNUMBER(SEARCH("G3",Z4498)),"G3",IF(ISNUMBER(SEARCH("古馬条件",Z4498)),"古馬条件戦",IF(ISNUMBER(SEARCH("重賞",Z4498)),"重賞","分類不能")))))))))</f>
        <v/>
      </c>
    </row>
    <row r="4499" customFormat="false" ht="15.75" hidden="false" customHeight="false" outlineLevel="0" collapsed="false">
      <c r="AO4499" s="8" t="str">
        <f aca="false">IF(A4499="","",IF(COUNTIFS(全馬データ!$A$2:$A$50000,A4499,全馬データ!$B$2:$B$50000,B4499,全馬データ!$C$2:$C$50000,C4499,全馬データ!$D$2:$D$50000,E4499,全馬データ!$K$2:$K$50000,"&lt;&gt;")=0,"",SUMIFS(全馬データ!$K$2:$K$50000,全馬データ!$A$2:$A$50000,A4499,全馬データ!$B$2:$B$50000,B4499,全馬データ!$C$2:$C$50000,C4499,全馬データ!$D$2:$D$50000,E4499)))</f>
        <v/>
      </c>
      <c r="AP4499" s="8" t="str">
        <f aca="false">IF(A4499="","",IF(AO4499="","欠損",IF(AO4499&lt;=1.1,"1.0～1.1",IF(AO4499&lt;1.3,"1.2",IF(AO4499&lt;1.5,"1.3～1.4",IF(AO4499&lt;2,"1.5～1.9","2.0以上"))))))</f>
        <v/>
      </c>
      <c r="AQ4499" s="8" t="str">
        <f aca="false">IF(A4499="","",IF(ISNUMBER(SEARCH("2歳",Z4499)),"2歳戦",IF(ISNUMBER(SEARCH("3歳未勝利",Z4499)),"3歳未勝利",IF(ISNUMBER(SEARCH("未勝利",Z4499)),"その他未勝利",IF(ISNUMBER(SEARCH("G1",Z4499)),"G1",IF(ISNUMBER(SEARCH("G2",Z4499)),"G2",IF(ISNUMBER(SEARCH("G3",Z4499)),"G3",IF(ISNUMBER(SEARCH("古馬条件",Z4499)),"古馬条件戦",IF(ISNUMBER(SEARCH("重賞",Z4499)),"重賞","分類不能")))))))))</f>
        <v/>
      </c>
    </row>
    <row r="4500" customFormat="false" ht="15.75" hidden="false" customHeight="false" outlineLevel="0" collapsed="false">
      <c r="AO4500" s="8" t="str">
        <f aca="false">IF(A4500="","",IF(COUNTIFS(全馬データ!$A$2:$A$50000,A4500,全馬データ!$B$2:$B$50000,B4500,全馬データ!$C$2:$C$50000,C4500,全馬データ!$D$2:$D$50000,E4500,全馬データ!$K$2:$K$50000,"&lt;&gt;")=0,"",SUMIFS(全馬データ!$K$2:$K$50000,全馬データ!$A$2:$A$50000,A4500,全馬データ!$B$2:$B$50000,B4500,全馬データ!$C$2:$C$50000,C4500,全馬データ!$D$2:$D$50000,E4500)))</f>
        <v/>
      </c>
      <c r="AP4500" s="8" t="str">
        <f aca="false">IF(A4500="","",IF(AO4500="","欠損",IF(AO4500&lt;=1.1,"1.0～1.1",IF(AO4500&lt;1.3,"1.2",IF(AO4500&lt;1.5,"1.3～1.4",IF(AO4500&lt;2,"1.5～1.9","2.0以上"))))))</f>
        <v/>
      </c>
      <c r="AQ4500" s="8" t="str">
        <f aca="false">IF(A4500="","",IF(ISNUMBER(SEARCH("2歳",Z4500)),"2歳戦",IF(ISNUMBER(SEARCH("3歳未勝利",Z4500)),"3歳未勝利",IF(ISNUMBER(SEARCH("未勝利",Z4500)),"その他未勝利",IF(ISNUMBER(SEARCH("G1",Z4500)),"G1",IF(ISNUMBER(SEARCH("G2",Z4500)),"G2",IF(ISNUMBER(SEARCH("G3",Z4500)),"G3",IF(ISNUMBER(SEARCH("古馬条件",Z4500)),"古馬条件戦",IF(ISNUMBER(SEARCH("重賞",Z4500)),"重賞","分類不能")))))))))</f>
        <v/>
      </c>
    </row>
    <row r="4501" customFormat="false" ht="15.75" hidden="false" customHeight="false" outlineLevel="0" collapsed="false">
      <c r="AO4501" s="8" t="str">
        <f aca="false">IF(A4501="","",IF(COUNTIFS(全馬データ!$A$2:$A$50000,A4501,全馬データ!$B$2:$B$50000,B4501,全馬データ!$C$2:$C$50000,C4501,全馬データ!$D$2:$D$50000,E4501,全馬データ!$K$2:$K$50000,"&lt;&gt;")=0,"",SUMIFS(全馬データ!$K$2:$K$50000,全馬データ!$A$2:$A$50000,A4501,全馬データ!$B$2:$B$50000,B4501,全馬データ!$C$2:$C$50000,C4501,全馬データ!$D$2:$D$50000,E4501)))</f>
        <v/>
      </c>
      <c r="AP4501" s="8" t="str">
        <f aca="false">IF(A4501="","",IF(AO4501="","欠損",IF(AO4501&lt;=1.1,"1.0～1.1",IF(AO4501&lt;1.3,"1.2",IF(AO4501&lt;1.5,"1.3～1.4",IF(AO4501&lt;2,"1.5～1.9","2.0以上"))))))</f>
        <v/>
      </c>
      <c r="AQ4501" s="8" t="str">
        <f aca="false">IF(A4501="","",IF(ISNUMBER(SEARCH("2歳",Z4501)),"2歳戦",IF(ISNUMBER(SEARCH("3歳未勝利",Z4501)),"3歳未勝利",IF(ISNUMBER(SEARCH("未勝利",Z4501)),"その他未勝利",IF(ISNUMBER(SEARCH("G1",Z4501)),"G1",IF(ISNUMBER(SEARCH("G2",Z4501)),"G2",IF(ISNUMBER(SEARCH("G3",Z4501)),"G3",IF(ISNUMBER(SEARCH("古馬条件",Z4501)),"古馬条件戦",IF(ISNUMBER(SEARCH("重賞",Z4501)),"重賞","分類不能")))))))))</f>
        <v/>
      </c>
    </row>
    <row r="4502" customFormat="false" ht="15.75" hidden="false" customHeight="false" outlineLevel="0" collapsed="false">
      <c r="AO4502" s="8" t="str">
        <f aca="false">IF(A4502="","",IF(COUNTIFS(全馬データ!$A$2:$A$50000,A4502,全馬データ!$B$2:$B$50000,B4502,全馬データ!$C$2:$C$50000,C4502,全馬データ!$D$2:$D$50000,E4502,全馬データ!$K$2:$K$50000,"&lt;&gt;")=0,"",SUMIFS(全馬データ!$K$2:$K$50000,全馬データ!$A$2:$A$50000,A4502,全馬データ!$B$2:$B$50000,B4502,全馬データ!$C$2:$C$50000,C4502,全馬データ!$D$2:$D$50000,E4502)))</f>
        <v/>
      </c>
      <c r="AP4502" s="8" t="str">
        <f aca="false">IF(A4502="","",IF(AO4502="","欠損",IF(AO4502&lt;=1.1,"1.0～1.1",IF(AO4502&lt;1.3,"1.2",IF(AO4502&lt;1.5,"1.3～1.4",IF(AO4502&lt;2,"1.5～1.9","2.0以上"))))))</f>
        <v/>
      </c>
      <c r="AQ4502" s="8" t="str">
        <f aca="false">IF(A4502="","",IF(ISNUMBER(SEARCH("2歳",Z4502)),"2歳戦",IF(ISNUMBER(SEARCH("3歳未勝利",Z4502)),"3歳未勝利",IF(ISNUMBER(SEARCH("未勝利",Z4502)),"その他未勝利",IF(ISNUMBER(SEARCH("G1",Z4502)),"G1",IF(ISNUMBER(SEARCH("G2",Z4502)),"G2",IF(ISNUMBER(SEARCH("G3",Z4502)),"G3",IF(ISNUMBER(SEARCH("古馬条件",Z4502)),"古馬条件戦",IF(ISNUMBER(SEARCH("重賞",Z4502)),"重賞","分類不能")))))))))</f>
        <v/>
      </c>
    </row>
    <row r="4503" customFormat="false" ht="15.75" hidden="false" customHeight="false" outlineLevel="0" collapsed="false">
      <c r="AO4503" s="8" t="str">
        <f aca="false">IF(A4503="","",IF(COUNTIFS(全馬データ!$A$2:$A$50000,A4503,全馬データ!$B$2:$B$50000,B4503,全馬データ!$C$2:$C$50000,C4503,全馬データ!$D$2:$D$50000,E4503,全馬データ!$K$2:$K$50000,"&lt;&gt;")=0,"",SUMIFS(全馬データ!$K$2:$K$50000,全馬データ!$A$2:$A$50000,A4503,全馬データ!$B$2:$B$50000,B4503,全馬データ!$C$2:$C$50000,C4503,全馬データ!$D$2:$D$50000,E4503)))</f>
        <v/>
      </c>
      <c r="AP4503" s="8" t="str">
        <f aca="false">IF(A4503="","",IF(AO4503="","欠損",IF(AO4503&lt;=1.1,"1.0～1.1",IF(AO4503&lt;1.3,"1.2",IF(AO4503&lt;1.5,"1.3～1.4",IF(AO4503&lt;2,"1.5～1.9","2.0以上"))))))</f>
        <v/>
      </c>
      <c r="AQ4503" s="8" t="str">
        <f aca="false">IF(A4503="","",IF(ISNUMBER(SEARCH("2歳",Z4503)),"2歳戦",IF(ISNUMBER(SEARCH("3歳未勝利",Z4503)),"3歳未勝利",IF(ISNUMBER(SEARCH("未勝利",Z4503)),"その他未勝利",IF(ISNUMBER(SEARCH("G1",Z4503)),"G1",IF(ISNUMBER(SEARCH("G2",Z4503)),"G2",IF(ISNUMBER(SEARCH("G3",Z4503)),"G3",IF(ISNUMBER(SEARCH("古馬条件",Z4503)),"古馬条件戦",IF(ISNUMBER(SEARCH("重賞",Z4503)),"重賞","分類不能")))))))))</f>
        <v/>
      </c>
    </row>
    <row r="4504" customFormat="false" ht="15.75" hidden="false" customHeight="false" outlineLevel="0" collapsed="false">
      <c r="AO4504" s="8" t="str">
        <f aca="false">IF(A4504="","",IF(COUNTIFS(全馬データ!$A$2:$A$50000,A4504,全馬データ!$B$2:$B$50000,B4504,全馬データ!$C$2:$C$50000,C4504,全馬データ!$D$2:$D$50000,E4504,全馬データ!$K$2:$K$50000,"&lt;&gt;")=0,"",SUMIFS(全馬データ!$K$2:$K$50000,全馬データ!$A$2:$A$50000,A4504,全馬データ!$B$2:$B$50000,B4504,全馬データ!$C$2:$C$50000,C4504,全馬データ!$D$2:$D$50000,E4504)))</f>
        <v/>
      </c>
      <c r="AP4504" s="8" t="str">
        <f aca="false">IF(A4504="","",IF(AO4504="","欠損",IF(AO4504&lt;=1.1,"1.0～1.1",IF(AO4504&lt;1.3,"1.2",IF(AO4504&lt;1.5,"1.3～1.4",IF(AO4504&lt;2,"1.5～1.9","2.0以上"))))))</f>
        <v/>
      </c>
      <c r="AQ4504" s="8" t="str">
        <f aca="false">IF(A4504="","",IF(ISNUMBER(SEARCH("2歳",Z4504)),"2歳戦",IF(ISNUMBER(SEARCH("3歳未勝利",Z4504)),"3歳未勝利",IF(ISNUMBER(SEARCH("未勝利",Z4504)),"その他未勝利",IF(ISNUMBER(SEARCH("G1",Z4504)),"G1",IF(ISNUMBER(SEARCH("G2",Z4504)),"G2",IF(ISNUMBER(SEARCH("G3",Z4504)),"G3",IF(ISNUMBER(SEARCH("古馬条件",Z4504)),"古馬条件戦",IF(ISNUMBER(SEARCH("重賞",Z4504)),"重賞","分類不能")))))))))</f>
        <v/>
      </c>
    </row>
    <row r="4505" customFormat="false" ht="15.75" hidden="false" customHeight="false" outlineLevel="0" collapsed="false">
      <c r="AO4505" s="8" t="str">
        <f aca="false">IF(A4505="","",IF(COUNTIFS(全馬データ!$A$2:$A$50000,A4505,全馬データ!$B$2:$B$50000,B4505,全馬データ!$C$2:$C$50000,C4505,全馬データ!$D$2:$D$50000,E4505,全馬データ!$K$2:$K$50000,"&lt;&gt;")=0,"",SUMIFS(全馬データ!$K$2:$K$50000,全馬データ!$A$2:$A$50000,A4505,全馬データ!$B$2:$B$50000,B4505,全馬データ!$C$2:$C$50000,C4505,全馬データ!$D$2:$D$50000,E4505)))</f>
        <v/>
      </c>
      <c r="AP4505" s="8" t="str">
        <f aca="false">IF(A4505="","",IF(AO4505="","欠損",IF(AO4505&lt;=1.1,"1.0～1.1",IF(AO4505&lt;1.3,"1.2",IF(AO4505&lt;1.5,"1.3～1.4",IF(AO4505&lt;2,"1.5～1.9","2.0以上"))))))</f>
        <v/>
      </c>
      <c r="AQ4505" s="8" t="str">
        <f aca="false">IF(A4505="","",IF(ISNUMBER(SEARCH("2歳",Z4505)),"2歳戦",IF(ISNUMBER(SEARCH("3歳未勝利",Z4505)),"3歳未勝利",IF(ISNUMBER(SEARCH("未勝利",Z4505)),"その他未勝利",IF(ISNUMBER(SEARCH("G1",Z4505)),"G1",IF(ISNUMBER(SEARCH("G2",Z4505)),"G2",IF(ISNUMBER(SEARCH("G3",Z4505)),"G3",IF(ISNUMBER(SEARCH("古馬条件",Z4505)),"古馬条件戦",IF(ISNUMBER(SEARCH("重賞",Z4505)),"重賞","分類不能")))))))))</f>
        <v/>
      </c>
    </row>
    <row r="4506" customFormat="false" ht="15.75" hidden="false" customHeight="false" outlineLevel="0" collapsed="false">
      <c r="AO4506" s="8" t="str">
        <f aca="false">IF(A4506="","",IF(COUNTIFS(全馬データ!$A$2:$A$50000,A4506,全馬データ!$B$2:$B$50000,B4506,全馬データ!$C$2:$C$50000,C4506,全馬データ!$D$2:$D$50000,E4506,全馬データ!$K$2:$K$50000,"&lt;&gt;")=0,"",SUMIFS(全馬データ!$K$2:$K$50000,全馬データ!$A$2:$A$50000,A4506,全馬データ!$B$2:$B$50000,B4506,全馬データ!$C$2:$C$50000,C4506,全馬データ!$D$2:$D$50000,E4506)))</f>
        <v/>
      </c>
      <c r="AP4506" s="8" t="str">
        <f aca="false">IF(A4506="","",IF(AO4506="","欠損",IF(AO4506&lt;=1.1,"1.0～1.1",IF(AO4506&lt;1.3,"1.2",IF(AO4506&lt;1.5,"1.3～1.4",IF(AO4506&lt;2,"1.5～1.9","2.0以上"))))))</f>
        <v/>
      </c>
      <c r="AQ4506" s="8" t="str">
        <f aca="false">IF(A4506="","",IF(ISNUMBER(SEARCH("2歳",Z4506)),"2歳戦",IF(ISNUMBER(SEARCH("3歳未勝利",Z4506)),"3歳未勝利",IF(ISNUMBER(SEARCH("未勝利",Z4506)),"その他未勝利",IF(ISNUMBER(SEARCH("G1",Z4506)),"G1",IF(ISNUMBER(SEARCH("G2",Z4506)),"G2",IF(ISNUMBER(SEARCH("G3",Z4506)),"G3",IF(ISNUMBER(SEARCH("古馬条件",Z4506)),"古馬条件戦",IF(ISNUMBER(SEARCH("重賞",Z4506)),"重賞","分類不能")))))))))</f>
        <v/>
      </c>
    </row>
    <row r="4507" customFormat="false" ht="15.75" hidden="false" customHeight="false" outlineLevel="0" collapsed="false">
      <c r="AO4507" s="8" t="str">
        <f aca="false">IF(A4507="","",IF(COUNTIFS(全馬データ!$A$2:$A$50000,A4507,全馬データ!$B$2:$B$50000,B4507,全馬データ!$C$2:$C$50000,C4507,全馬データ!$D$2:$D$50000,E4507,全馬データ!$K$2:$K$50000,"&lt;&gt;")=0,"",SUMIFS(全馬データ!$K$2:$K$50000,全馬データ!$A$2:$A$50000,A4507,全馬データ!$B$2:$B$50000,B4507,全馬データ!$C$2:$C$50000,C4507,全馬データ!$D$2:$D$50000,E4507)))</f>
        <v/>
      </c>
      <c r="AP4507" s="8" t="str">
        <f aca="false">IF(A4507="","",IF(AO4507="","欠損",IF(AO4507&lt;=1.1,"1.0～1.1",IF(AO4507&lt;1.3,"1.2",IF(AO4507&lt;1.5,"1.3～1.4",IF(AO4507&lt;2,"1.5～1.9","2.0以上"))))))</f>
        <v/>
      </c>
      <c r="AQ4507" s="8" t="str">
        <f aca="false">IF(A4507="","",IF(ISNUMBER(SEARCH("2歳",Z4507)),"2歳戦",IF(ISNUMBER(SEARCH("3歳未勝利",Z4507)),"3歳未勝利",IF(ISNUMBER(SEARCH("未勝利",Z4507)),"その他未勝利",IF(ISNUMBER(SEARCH("G1",Z4507)),"G1",IF(ISNUMBER(SEARCH("G2",Z4507)),"G2",IF(ISNUMBER(SEARCH("G3",Z4507)),"G3",IF(ISNUMBER(SEARCH("古馬条件",Z4507)),"古馬条件戦",IF(ISNUMBER(SEARCH("重賞",Z4507)),"重賞","分類不能")))))))))</f>
        <v/>
      </c>
    </row>
    <row r="4508" customFormat="false" ht="15.75" hidden="false" customHeight="false" outlineLevel="0" collapsed="false">
      <c r="AO4508" s="8" t="str">
        <f aca="false">IF(A4508="","",IF(COUNTIFS(全馬データ!$A$2:$A$50000,A4508,全馬データ!$B$2:$B$50000,B4508,全馬データ!$C$2:$C$50000,C4508,全馬データ!$D$2:$D$50000,E4508,全馬データ!$K$2:$K$50000,"&lt;&gt;")=0,"",SUMIFS(全馬データ!$K$2:$K$50000,全馬データ!$A$2:$A$50000,A4508,全馬データ!$B$2:$B$50000,B4508,全馬データ!$C$2:$C$50000,C4508,全馬データ!$D$2:$D$50000,E4508)))</f>
        <v/>
      </c>
      <c r="AP4508" s="8" t="str">
        <f aca="false">IF(A4508="","",IF(AO4508="","欠損",IF(AO4508&lt;=1.1,"1.0～1.1",IF(AO4508&lt;1.3,"1.2",IF(AO4508&lt;1.5,"1.3～1.4",IF(AO4508&lt;2,"1.5～1.9","2.0以上"))))))</f>
        <v/>
      </c>
      <c r="AQ4508" s="8" t="str">
        <f aca="false">IF(A4508="","",IF(ISNUMBER(SEARCH("2歳",Z4508)),"2歳戦",IF(ISNUMBER(SEARCH("3歳未勝利",Z4508)),"3歳未勝利",IF(ISNUMBER(SEARCH("未勝利",Z4508)),"その他未勝利",IF(ISNUMBER(SEARCH("G1",Z4508)),"G1",IF(ISNUMBER(SEARCH("G2",Z4508)),"G2",IF(ISNUMBER(SEARCH("G3",Z4508)),"G3",IF(ISNUMBER(SEARCH("古馬条件",Z4508)),"古馬条件戦",IF(ISNUMBER(SEARCH("重賞",Z4508)),"重賞","分類不能")))))))))</f>
        <v/>
      </c>
    </row>
    <row r="4509" customFormat="false" ht="15.75" hidden="false" customHeight="false" outlineLevel="0" collapsed="false">
      <c r="AO4509" s="8" t="str">
        <f aca="false">IF(A4509="","",IF(COUNTIFS(全馬データ!$A$2:$A$50000,A4509,全馬データ!$B$2:$B$50000,B4509,全馬データ!$C$2:$C$50000,C4509,全馬データ!$D$2:$D$50000,E4509,全馬データ!$K$2:$K$50000,"&lt;&gt;")=0,"",SUMIFS(全馬データ!$K$2:$K$50000,全馬データ!$A$2:$A$50000,A4509,全馬データ!$B$2:$B$50000,B4509,全馬データ!$C$2:$C$50000,C4509,全馬データ!$D$2:$D$50000,E4509)))</f>
        <v/>
      </c>
      <c r="AP4509" s="8" t="str">
        <f aca="false">IF(A4509="","",IF(AO4509="","欠損",IF(AO4509&lt;=1.1,"1.0～1.1",IF(AO4509&lt;1.3,"1.2",IF(AO4509&lt;1.5,"1.3～1.4",IF(AO4509&lt;2,"1.5～1.9","2.0以上"))))))</f>
        <v/>
      </c>
      <c r="AQ4509" s="8" t="str">
        <f aca="false">IF(A4509="","",IF(ISNUMBER(SEARCH("2歳",Z4509)),"2歳戦",IF(ISNUMBER(SEARCH("3歳未勝利",Z4509)),"3歳未勝利",IF(ISNUMBER(SEARCH("未勝利",Z4509)),"その他未勝利",IF(ISNUMBER(SEARCH("G1",Z4509)),"G1",IF(ISNUMBER(SEARCH("G2",Z4509)),"G2",IF(ISNUMBER(SEARCH("G3",Z4509)),"G3",IF(ISNUMBER(SEARCH("古馬条件",Z4509)),"古馬条件戦",IF(ISNUMBER(SEARCH("重賞",Z4509)),"重賞","分類不能")))))))))</f>
        <v/>
      </c>
    </row>
    <row r="4510" customFormat="false" ht="15.75" hidden="false" customHeight="false" outlineLevel="0" collapsed="false">
      <c r="AO4510" s="8" t="str">
        <f aca="false">IF(A4510="","",IF(COUNTIFS(全馬データ!$A$2:$A$50000,A4510,全馬データ!$B$2:$B$50000,B4510,全馬データ!$C$2:$C$50000,C4510,全馬データ!$D$2:$D$50000,E4510,全馬データ!$K$2:$K$50000,"&lt;&gt;")=0,"",SUMIFS(全馬データ!$K$2:$K$50000,全馬データ!$A$2:$A$50000,A4510,全馬データ!$B$2:$B$50000,B4510,全馬データ!$C$2:$C$50000,C4510,全馬データ!$D$2:$D$50000,E4510)))</f>
        <v/>
      </c>
      <c r="AP4510" s="8" t="str">
        <f aca="false">IF(A4510="","",IF(AO4510="","欠損",IF(AO4510&lt;=1.1,"1.0～1.1",IF(AO4510&lt;1.3,"1.2",IF(AO4510&lt;1.5,"1.3～1.4",IF(AO4510&lt;2,"1.5～1.9","2.0以上"))))))</f>
        <v/>
      </c>
      <c r="AQ4510" s="8" t="str">
        <f aca="false">IF(A4510="","",IF(ISNUMBER(SEARCH("2歳",Z4510)),"2歳戦",IF(ISNUMBER(SEARCH("3歳未勝利",Z4510)),"3歳未勝利",IF(ISNUMBER(SEARCH("未勝利",Z4510)),"その他未勝利",IF(ISNUMBER(SEARCH("G1",Z4510)),"G1",IF(ISNUMBER(SEARCH("G2",Z4510)),"G2",IF(ISNUMBER(SEARCH("G3",Z4510)),"G3",IF(ISNUMBER(SEARCH("古馬条件",Z4510)),"古馬条件戦",IF(ISNUMBER(SEARCH("重賞",Z4510)),"重賞","分類不能")))))))))</f>
        <v/>
      </c>
    </row>
    <row r="4511" customFormat="false" ht="15.75" hidden="false" customHeight="false" outlineLevel="0" collapsed="false">
      <c r="AO4511" s="8" t="str">
        <f aca="false">IF(A4511="","",IF(COUNTIFS(全馬データ!$A$2:$A$50000,A4511,全馬データ!$B$2:$B$50000,B4511,全馬データ!$C$2:$C$50000,C4511,全馬データ!$D$2:$D$50000,E4511,全馬データ!$K$2:$K$50000,"&lt;&gt;")=0,"",SUMIFS(全馬データ!$K$2:$K$50000,全馬データ!$A$2:$A$50000,A4511,全馬データ!$B$2:$B$50000,B4511,全馬データ!$C$2:$C$50000,C4511,全馬データ!$D$2:$D$50000,E4511)))</f>
        <v/>
      </c>
      <c r="AP4511" s="8" t="str">
        <f aca="false">IF(A4511="","",IF(AO4511="","欠損",IF(AO4511&lt;=1.1,"1.0～1.1",IF(AO4511&lt;1.3,"1.2",IF(AO4511&lt;1.5,"1.3～1.4",IF(AO4511&lt;2,"1.5～1.9","2.0以上"))))))</f>
        <v/>
      </c>
      <c r="AQ4511" s="8" t="str">
        <f aca="false">IF(A4511="","",IF(ISNUMBER(SEARCH("2歳",Z4511)),"2歳戦",IF(ISNUMBER(SEARCH("3歳未勝利",Z4511)),"3歳未勝利",IF(ISNUMBER(SEARCH("未勝利",Z4511)),"その他未勝利",IF(ISNUMBER(SEARCH("G1",Z4511)),"G1",IF(ISNUMBER(SEARCH("G2",Z4511)),"G2",IF(ISNUMBER(SEARCH("G3",Z4511)),"G3",IF(ISNUMBER(SEARCH("古馬条件",Z4511)),"古馬条件戦",IF(ISNUMBER(SEARCH("重賞",Z4511)),"重賞","分類不能")))))))))</f>
        <v/>
      </c>
    </row>
    <row r="4512" customFormat="false" ht="15.75" hidden="false" customHeight="false" outlineLevel="0" collapsed="false">
      <c r="AO4512" s="8" t="str">
        <f aca="false">IF(A4512="","",IF(COUNTIFS(全馬データ!$A$2:$A$50000,A4512,全馬データ!$B$2:$B$50000,B4512,全馬データ!$C$2:$C$50000,C4512,全馬データ!$D$2:$D$50000,E4512,全馬データ!$K$2:$K$50000,"&lt;&gt;")=0,"",SUMIFS(全馬データ!$K$2:$K$50000,全馬データ!$A$2:$A$50000,A4512,全馬データ!$B$2:$B$50000,B4512,全馬データ!$C$2:$C$50000,C4512,全馬データ!$D$2:$D$50000,E4512)))</f>
        <v/>
      </c>
      <c r="AP4512" s="8" t="str">
        <f aca="false">IF(A4512="","",IF(AO4512="","欠損",IF(AO4512&lt;=1.1,"1.0～1.1",IF(AO4512&lt;1.3,"1.2",IF(AO4512&lt;1.5,"1.3～1.4",IF(AO4512&lt;2,"1.5～1.9","2.0以上"))))))</f>
        <v/>
      </c>
      <c r="AQ4512" s="8" t="str">
        <f aca="false">IF(A4512="","",IF(ISNUMBER(SEARCH("2歳",Z4512)),"2歳戦",IF(ISNUMBER(SEARCH("3歳未勝利",Z4512)),"3歳未勝利",IF(ISNUMBER(SEARCH("未勝利",Z4512)),"その他未勝利",IF(ISNUMBER(SEARCH("G1",Z4512)),"G1",IF(ISNUMBER(SEARCH("G2",Z4512)),"G2",IF(ISNUMBER(SEARCH("G3",Z4512)),"G3",IF(ISNUMBER(SEARCH("古馬条件",Z4512)),"古馬条件戦",IF(ISNUMBER(SEARCH("重賞",Z4512)),"重賞","分類不能")))))))))</f>
        <v/>
      </c>
    </row>
    <row r="4513" customFormat="false" ht="15.75" hidden="false" customHeight="false" outlineLevel="0" collapsed="false">
      <c r="AO4513" s="8" t="str">
        <f aca="false">IF(A4513="","",IF(COUNTIFS(全馬データ!$A$2:$A$50000,A4513,全馬データ!$B$2:$B$50000,B4513,全馬データ!$C$2:$C$50000,C4513,全馬データ!$D$2:$D$50000,E4513,全馬データ!$K$2:$K$50000,"&lt;&gt;")=0,"",SUMIFS(全馬データ!$K$2:$K$50000,全馬データ!$A$2:$A$50000,A4513,全馬データ!$B$2:$B$50000,B4513,全馬データ!$C$2:$C$50000,C4513,全馬データ!$D$2:$D$50000,E4513)))</f>
        <v/>
      </c>
      <c r="AP4513" s="8" t="str">
        <f aca="false">IF(A4513="","",IF(AO4513="","欠損",IF(AO4513&lt;=1.1,"1.0～1.1",IF(AO4513&lt;1.3,"1.2",IF(AO4513&lt;1.5,"1.3～1.4",IF(AO4513&lt;2,"1.5～1.9","2.0以上"))))))</f>
        <v/>
      </c>
      <c r="AQ4513" s="8" t="str">
        <f aca="false">IF(A4513="","",IF(ISNUMBER(SEARCH("2歳",Z4513)),"2歳戦",IF(ISNUMBER(SEARCH("3歳未勝利",Z4513)),"3歳未勝利",IF(ISNUMBER(SEARCH("未勝利",Z4513)),"その他未勝利",IF(ISNUMBER(SEARCH("G1",Z4513)),"G1",IF(ISNUMBER(SEARCH("G2",Z4513)),"G2",IF(ISNUMBER(SEARCH("G3",Z4513)),"G3",IF(ISNUMBER(SEARCH("古馬条件",Z4513)),"古馬条件戦",IF(ISNUMBER(SEARCH("重賞",Z4513)),"重賞","分類不能")))))))))</f>
        <v/>
      </c>
    </row>
    <row r="4514" customFormat="false" ht="15.75" hidden="false" customHeight="false" outlineLevel="0" collapsed="false">
      <c r="AO4514" s="8" t="str">
        <f aca="false">IF(A4514="","",IF(COUNTIFS(全馬データ!$A$2:$A$50000,A4514,全馬データ!$B$2:$B$50000,B4514,全馬データ!$C$2:$C$50000,C4514,全馬データ!$D$2:$D$50000,E4514,全馬データ!$K$2:$K$50000,"&lt;&gt;")=0,"",SUMIFS(全馬データ!$K$2:$K$50000,全馬データ!$A$2:$A$50000,A4514,全馬データ!$B$2:$B$50000,B4514,全馬データ!$C$2:$C$50000,C4514,全馬データ!$D$2:$D$50000,E4514)))</f>
        <v/>
      </c>
      <c r="AP4514" s="8" t="str">
        <f aca="false">IF(A4514="","",IF(AO4514="","欠損",IF(AO4514&lt;=1.1,"1.0～1.1",IF(AO4514&lt;1.3,"1.2",IF(AO4514&lt;1.5,"1.3～1.4",IF(AO4514&lt;2,"1.5～1.9","2.0以上"))))))</f>
        <v/>
      </c>
      <c r="AQ4514" s="8" t="str">
        <f aca="false">IF(A4514="","",IF(ISNUMBER(SEARCH("2歳",Z4514)),"2歳戦",IF(ISNUMBER(SEARCH("3歳未勝利",Z4514)),"3歳未勝利",IF(ISNUMBER(SEARCH("未勝利",Z4514)),"その他未勝利",IF(ISNUMBER(SEARCH("G1",Z4514)),"G1",IF(ISNUMBER(SEARCH("G2",Z4514)),"G2",IF(ISNUMBER(SEARCH("G3",Z4514)),"G3",IF(ISNUMBER(SEARCH("古馬条件",Z4514)),"古馬条件戦",IF(ISNUMBER(SEARCH("重賞",Z4514)),"重賞","分類不能")))))))))</f>
        <v/>
      </c>
    </row>
    <row r="4515" customFormat="false" ht="15.75" hidden="false" customHeight="false" outlineLevel="0" collapsed="false">
      <c r="AO4515" s="8" t="str">
        <f aca="false">IF(A4515="","",IF(COUNTIFS(全馬データ!$A$2:$A$50000,A4515,全馬データ!$B$2:$B$50000,B4515,全馬データ!$C$2:$C$50000,C4515,全馬データ!$D$2:$D$50000,E4515,全馬データ!$K$2:$K$50000,"&lt;&gt;")=0,"",SUMIFS(全馬データ!$K$2:$K$50000,全馬データ!$A$2:$A$50000,A4515,全馬データ!$B$2:$B$50000,B4515,全馬データ!$C$2:$C$50000,C4515,全馬データ!$D$2:$D$50000,E4515)))</f>
        <v/>
      </c>
      <c r="AP4515" s="8" t="str">
        <f aca="false">IF(A4515="","",IF(AO4515="","欠損",IF(AO4515&lt;=1.1,"1.0～1.1",IF(AO4515&lt;1.3,"1.2",IF(AO4515&lt;1.5,"1.3～1.4",IF(AO4515&lt;2,"1.5～1.9","2.0以上"))))))</f>
        <v/>
      </c>
      <c r="AQ4515" s="8" t="str">
        <f aca="false">IF(A4515="","",IF(ISNUMBER(SEARCH("2歳",Z4515)),"2歳戦",IF(ISNUMBER(SEARCH("3歳未勝利",Z4515)),"3歳未勝利",IF(ISNUMBER(SEARCH("未勝利",Z4515)),"その他未勝利",IF(ISNUMBER(SEARCH("G1",Z4515)),"G1",IF(ISNUMBER(SEARCH("G2",Z4515)),"G2",IF(ISNUMBER(SEARCH("G3",Z4515)),"G3",IF(ISNUMBER(SEARCH("古馬条件",Z4515)),"古馬条件戦",IF(ISNUMBER(SEARCH("重賞",Z4515)),"重賞","分類不能")))))))))</f>
        <v/>
      </c>
    </row>
    <row r="4516" customFormat="false" ht="15.75" hidden="false" customHeight="false" outlineLevel="0" collapsed="false">
      <c r="AO4516" s="8" t="str">
        <f aca="false">IF(A4516="","",IF(COUNTIFS(全馬データ!$A$2:$A$50000,A4516,全馬データ!$B$2:$B$50000,B4516,全馬データ!$C$2:$C$50000,C4516,全馬データ!$D$2:$D$50000,E4516,全馬データ!$K$2:$K$50000,"&lt;&gt;")=0,"",SUMIFS(全馬データ!$K$2:$K$50000,全馬データ!$A$2:$A$50000,A4516,全馬データ!$B$2:$B$50000,B4516,全馬データ!$C$2:$C$50000,C4516,全馬データ!$D$2:$D$50000,E4516)))</f>
        <v/>
      </c>
      <c r="AP4516" s="8" t="str">
        <f aca="false">IF(A4516="","",IF(AO4516="","欠損",IF(AO4516&lt;=1.1,"1.0～1.1",IF(AO4516&lt;1.3,"1.2",IF(AO4516&lt;1.5,"1.3～1.4",IF(AO4516&lt;2,"1.5～1.9","2.0以上"))))))</f>
        <v/>
      </c>
      <c r="AQ4516" s="8" t="str">
        <f aca="false">IF(A4516="","",IF(ISNUMBER(SEARCH("2歳",Z4516)),"2歳戦",IF(ISNUMBER(SEARCH("3歳未勝利",Z4516)),"3歳未勝利",IF(ISNUMBER(SEARCH("未勝利",Z4516)),"その他未勝利",IF(ISNUMBER(SEARCH("G1",Z4516)),"G1",IF(ISNUMBER(SEARCH("G2",Z4516)),"G2",IF(ISNUMBER(SEARCH("G3",Z4516)),"G3",IF(ISNUMBER(SEARCH("古馬条件",Z4516)),"古馬条件戦",IF(ISNUMBER(SEARCH("重賞",Z4516)),"重賞","分類不能")))))))))</f>
        <v/>
      </c>
    </row>
    <row r="4517" customFormat="false" ht="15.75" hidden="false" customHeight="false" outlineLevel="0" collapsed="false">
      <c r="AO4517" s="8" t="str">
        <f aca="false">IF(A4517="","",IF(COUNTIFS(全馬データ!$A$2:$A$50000,A4517,全馬データ!$B$2:$B$50000,B4517,全馬データ!$C$2:$C$50000,C4517,全馬データ!$D$2:$D$50000,E4517,全馬データ!$K$2:$K$50000,"&lt;&gt;")=0,"",SUMIFS(全馬データ!$K$2:$K$50000,全馬データ!$A$2:$A$50000,A4517,全馬データ!$B$2:$B$50000,B4517,全馬データ!$C$2:$C$50000,C4517,全馬データ!$D$2:$D$50000,E4517)))</f>
        <v/>
      </c>
      <c r="AP4517" s="8" t="str">
        <f aca="false">IF(A4517="","",IF(AO4517="","欠損",IF(AO4517&lt;=1.1,"1.0～1.1",IF(AO4517&lt;1.3,"1.2",IF(AO4517&lt;1.5,"1.3～1.4",IF(AO4517&lt;2,"1.5～1.9","2.0以上"))))))</f>
        <v/>
      </c>
      <c r="AQ4517" s="8" t="str">
        <f aca="false">IF(A4517="","",IF(ISNUMBER(SEARCH("2歳",Z4517)),"2歳戦",IF(ISNUMBER(SEARCH("3歳未勝利",Z4517)),"3歳未勝利",IF(ISNUMBER(SEARCH("未勝利",Z4517)),"その他未勝利",IF(ISNUMBER(SEARCH("G1",Z4517)),"G1",IF(ISNUMBER(SEARCH("G2",Z4517)),"G2",IF(ISNUMBER(SEARCH("G3",Z4517)),"G3",IF(ISNUMBER(SEARCH("古馬条件",Z4517)),"古馬条件戦",IF(ISNUMBER(SEARCH("重賞",Z4517)),"重賞","分類不能")))))))))</f>
        <v/>
      </c>
    </row>
    <row r="4518" customFormat="false" ht="15.75" hidden="false" customHeight="false" outlineLevel="0" collapsed="false">
      <c r="AO4518" s="8" t="str">
        <f aca="false">IF(A4518="","",IF(COUNTIFS(全馬データ!$A$2:$A$50000,A4518,全馬データ!$B$2:$B$50000,B4518,全馬データ!$C$2:$C$50000,C4518,全馬データ!$D$2:$D$50000,E4518,全馬データ!$K$2:$K$50000,"&lt;&gt;")=0,"",SUMIFS(全馬データ!$K$2:$K$50000,全馬データ!$A$2:$A$50000,A4518,全馬データ!$B$2:$B$50000,B4518,全馬データ!$C$2:$C$50000,C4518,全馬データ!$D$2:$D$50000,E4518)))</f>
        <v/>
      </c>
      <c r="AP4518" s="8" t="str">
        <f aca="false">IF(A4518="","",IF(AO4518="","欠損",IF(AO4518&lt;=1.1,"1.0～1.1",IF(AO4518&lt;1.3,"1.2",IF(AO4518&lt;1.5,"1.3～1.4",IF(AO4518&lt;2,"1.5～1.9","2.0以上"))))))</f>
        <v/>
      </c>
      <c r="AQ4518" s="8" t="str">
        <f aca="false">IF(A4518="","",IF(ISNUMBER(SEARCH("2歳",Z4518)),"2歳戦",IF(ISNUMBER(SEARCH("3歳未勝利",Z4518)),"3歳未勝利",IF(ISNUMBER(SEARCH("未勝利",Z4518)),"その他未勝利",IF(ISNUMBER(SEARCH("G1",Z4518)),"G1",IF(ISNUMBER(SEARCH("G2",Z4518)),"G2",IF(ISNUMBER(SEARCH("G3",Z4518)),"G3",IF(ISNUMBER(SEARCH("古馬条件",Z4518)),"古馬条件戦",IF(ISNUMBER(SEARCH("重賞",Z4518)),"重賞","分類不能")))))))))</f>
        <v/>
      </c>
    </row>
    <row r="4519" customFormat="false" ht="15.75" hidden="false" customHeight="false" outlineLevel="0" collapsed="false">
      <c r="AO4519" s="8" t="str">
        <f aca="false">IF(A4519="","",IF(COUNTIFS(全馬データ!$A$2:$A$50000,A4519,全馬データ!$B$2:$B$50000,B4519,全馬データ!$C$2:$C$50000,C4519,全馬データ!$D$2:$D$50000,E4519,全馬データ!$K$2:$K$50000,"&lt;&gt;")=0,"",SUMIFS(全馬データ!$K$2:$K$50000,全馬データ!$A$2:$A$50000,A4519,全馬データ!$B$2:$B$50000,B4519,全馬データ!$C$2:$C$50000,C4519,全馬データ!$D$2:$D$50000,E4519)))</f>
        <v/>
      </c>
      <c r="AP4519" s="8" t="str">
        <f aca="false">IF(A4519="","",IF(AO4519="","欠損",IF(AO4519&lt;=1.1,"1.0～1.1",IF(AO4519&lt;1.3,"1.2",IF(AO4519&lt;1.5,"1.3～1.4",IF(AO4519&lt;2,"1.5～1.9","2.0以上"))))))</f>
        <v/>
      </c>
      <c r="AQ4519" s="8" t="str">
        <f aca="false">IF(A4519="","",IF(ISNUMBER(SEARCH("2歳",Z4519)),"2歳戦",IF(ISNUMBER(SEARCH("3歳未勝利",Z4519)),"3歳未勝利",IF(ISNUMBER(SEARCH("未勝利",Z4519)),"その他未勝利",IF(ISNUMBER(SEARCH("G1",Z4519)),"G1",IF(ISNUMBER(SEARCH("G2",Z4519)),"G2",IF(ISNUMBER(SEARCH("G3",Z4519)),"G3",IF(ISNUMBER(SEARCH("古馬条件",Z4519)),"古馬条件戦",IF(ISNUMBER(SEARCH("重賞",Z4519)),"重賞","分類不能")))))))))</f>
        <v/>
      </c>
    </row>
    <row r="4520" customFormat="false" ht="15.75" hidden="false" customHeight="false" outlineLevel="0" collapsed="false">
      <c r="AO4520" s="8" t="str">
        <f aca="false">IF(A4520="","",IF(COUNTIFS(全馬データ!$A$2:$A$50000,A4520,全馬データ!$B$2:$B$50000,B4520,全馬データ!$C$2:$C$50000,C4520,全馬データ!$D$2:$D$50000,E4520,全馬データ!$K$2:$K$50000,"&lt;&gt;")=0,"",SUMIFS(全馬データ!$K$2:$K$50000,全馬データ!$A$2:$A$50000,A4520,全馬データ!$B$2:$B$50000,B4520,全馬データ!$C$2:$C$50000,C4520,全馬データ!$D$2:$D$50000,E4520)))</f>
        <v/>
      </c>
      <c r="AP4520" s="8" t="str">
        <f aca="false">IF(A4520="","",IF(AO4520="","欠損",IF(AO4520&lt;=1.1,"1.0～1.1",IF(AO4520&lt;1.3,"1.2",IF(AO4520&lt;1.5,"1.3～1.4",IF(AO4520&lt;2,"1.5～1.9","2.0以上"))))))</f>
        <v/>
      </c>
      <c r="AQ4520" s="8" t="str">
        <f aca="false">IF(A4520="","",IF(ISNUMBER(SEARCH("2歳",Z4520)),"2歳戦",IF(ISNUMBER(SEARCH("3歳未勝利",Z4520)),"3歳未勝利",IF(ISNUMBER(SEARCH("未勝利",Z4520)),"その他未勝利",IF(ISNUMBER(SEARCH("G1",Z4520)),"G1",IF(ISNUMBER(SEARCH("G2",Z4520)),"G2",IF(ISNUMBER(SEARCH("G3",Z4520)),"G3",IF(ISNUMBER(SEARCH("古馬条件",Z4520)),"古馬条件戦",IF(ISNUMBER(SEARCH("重賞",Z4520)),"重賞","分類不能")))))))))</f>
        <v/>
      </c>
    </row>
    <row r="4521" customFormat="false" ht="15.75" hidden="false" customHeight="false" outlineLevel="0" collapsed="false">
      <c r="AO4521" s="8" t="str">
        <f aca="false">IF(A4521="","",IF(COUNTIFS(全馬データ!$A$2:$A$50000,A4521,全馬データ!$B$2:$B$50000,B4521,全馬データ!$C$2:$C$50000,C4521,全馬データ!$D$2:$D$50000,E4521,全馬データ!$K$2:$K$50000,"&lt;&gt;")=0,"",SUMIFS(全馬データ!$K$2:$K$50000,全馬データ!$A$2:$A$50000,A4521,全馬データ!$B$2:$B$50000,B4521,全馬データ!$C$2:$C$50000,C4521,全馬データ!$D$2:$D$50000,E4521)))</f>
        <v/>
      </c>
      <c r="AP4521" s="8" t="str">
        <f aca="false">IF(A4521="","",IF(AO4521="","欠損",IF(AO4521&lt;=1.1,"1.0～1.1",IF(AO4521&lt;1.3,"1.2",IF(AO4521&lt;1.5,"1.3～1.4",IF(AO4521&lt;2,"1.5～1.9","2.0以上"))))))</f>
        <v/>
      </c>
      <c r="AQ4521" s="8" t="str">
        <f aca="false">IF(A4521="","",IF(ISNUMBER(SEARCH("2歳",Z4521)),"2歳戦",IF(ISNUMBER(SEARCH("3歳未勝利",Z4521)),"3歳未勝利",IF(ISNUMBER(SEARCH("未勝利",Z4521)),"その他未勝利",IF(ISNUMBER(SEARCH("G1",Z4521)),"G1",IF(ISNUMBER(SEARCH("G2",Z4521)),"G2",IF(ISNUMBER(SEARCH("G3",Z4521)),"G3",IF(ISNUMBER(SEARCH("古馬条件",Z4521)),"古馬条件戦",IF(ISNUMBER(SEARCH("重賞",Z4521)),"重賞","分類不能")))))))))</f>
        <v/>
      </c>
    </row>
    <row r="4522" customFormat="false" ht="15.75" hidden="false" customHeight="false" outlineLevel="0" collapsed="false">
      <c r="AO4522" s="8" t="str">
        <f aca="false">IF(A4522="","",IF(COUNTIFS(全馬データ!$A$2:$A$50000,A4522,全馬データ!$B$2:$B$50000,B4522,全馬データ!$C$2:$C$50000,C4522,全馬データ!$D$2:$D$50000,E4522,全馬データ!$K$2:$K$50000,"&lt;&gt;")=0,"",SUMIFS(全馬データ!$K$2:$K$50000,全馬データ!$A$2:$A$50000,A4522,全馬データ!$B$2:$B$50000,B4522,全馬データ!$C$2:$C$50000,C4522,全馬データ!$D$2:$D$50000,E4522)))</f>
        <v/>
      </c>
      <c r="AP4522" s="8" t="str">
        <f aca="false">IF(A4522="","",IF(AO4522="","欠損",IF(AO4522&lt;=1.1,"1.0～1.1",IF(AO4522&lt;1.3,"1.2",IF(AO4522&lt;1.5,"1.3～1.4",IF(AO4522&lt;2,"1.5～1.9","2.0以上"))))))</f>
        <v/>
      </c>
      <c r="AQ4522" s="8" t="str">
        <f aca="false">IF(A4522="","",IF(ISNUMBER(SEARCH("2歳",Z4522)),"2歳戦",IF(ISNUMBER(SEARCH("3歳未勝利",Z4522)),"3歳未勝利",IF(ISNUMBER(SEARCH("未勝利",Z4522)),"その他未勝利",IF(ISNUMBER(SEARCH("G1",Z4522)),"G1",IF(ISNUMBER(SEARCH("G2",Z4522)),"G2",IF(ISNUMBER(SEARCH("G3",Z4522)),"G3",IF(ISNUMBER(SEARCH("古馬条件",Z4522)),"古馬条件戦",IF(ISNUMBER(SEARCH("重賞",Z4522)),"重賞","分類不能")))))))))</f>
        <v/>
      </c>
    </row>
    <row r="4523" customFormat="false" ht="15.75" hidden="false" customHeight="false" outlineLevel="0" collapsed="false">
      <c r="AO4523" s="8" t="str">
        <f aca="false">IF(A4523="","",IF(COUNTIFS(全馬データ!$A$2:$A$50000,A4523,全馬データ!$B$2:$B$50000,B4523,全馬データ!$C$2:$C$50000,C4523,全馬データ!$D$2:$D$50000,E4523,全馬データ!$K$2:$K$50000,"&lt;&gt;")=0,"",SUMIFS(全馬データ!$K$2:$K$50000,全馬データ!$A$2:$A$50000,A4523,全馬データ!$B$2:$B$50000,B4523,全馬データ!$C$2:$C$50000,C4523,全馬データ!$D$2:$D$50000,E4523)))</f>
        <v/>
      </c>
      <c r="AP4523" s="8" t="str">
        <f aca="false">IF(A4523="","",IF(AO4523="","欠損",IF(AO4523&lt;=1.1,"1.0～1.1",IF(AO4523&lt;1.3,"1.2",IF(AO4523&lt;1.5,"1.3～1.4",IF(AO4523&lt;2,"1.5～1.9","2.0以上"))))))</f>
        <v/>
      </c>
      <c r="AQ4523" s="8" t="str">
        <f aca="false">IF(A4523="","",IF(ISNUMBER(SEARCH("2歳",Z4523)),"2歳戦",IF(ISNUMBER(SEARCH("3歳未勝利",Z4523)),"3歳未勝利",IF(ISNUMBER(SEARCH("未勝利",Z4523)),"その他未勝利",IF(ISNUMBER(SEARCH("G1",Z4523)),"G1",IF(ISNUMBER(SEARCH("G2",Z4523)),"G2",IF(ISNUMBER(SEARCH("G3",Z4523)),"G3",IF(ISNUMBER(SEARCH("古馬条件",Z4523)),"古馬条件戦",IF(ISNUMBER(SEARCH("重賞",Z4523)),"重賞","分類不能")))))))))</f>
        <v/>
      </c>
    </row>
    <row r="4524" customFormat="false" ht="15.75" hidden="false" customHeight="false" outlineLevel="0" collapsed="false">
      <c r="AO4524" s="8" t="str">
        <f aca="false">IF(A4524="","",IF(COUNTIFS(全馬データ!$A$2:$A$50000,A4524,全馬データ!$B$2:$B$50000,B4524,全馬データ!$C$2:$C$50000,C4524,全馬データ!$D$2:$D$50000,E4524,全馬データ!$K$2:$K$50000,"&lt;&gt;")=0,"",SUMIFS(全馬データ!$K$2:$K$50000,全馬データ!$A$2:$A$50000,A4524,全馬データ!$B$2:$B$50000,B4524,全馬データ!$C$2:$C$50000,C4524,全馬データ!$D$2:$D$50000,E4524)))</f>
        <v/>
      </c>
      <c r="AP4524" s="8" t="str">
        <f aca="false">IF(A4524="","",IF(AO4524="","欠損",IF(AO4524&lt;=1.1,"1.0～1.1",IF(AO4524&lt;1.3,"1.2",IF(AO4524&lt;1.5,"1.3～1.4",IF(AO4524&lt;2,"1.5～1.9","2.0以上"))))))</f>
        <v/>
      </c>
      <c r="AQ4524" s="8" t="str">
        <f aca="false">IF(A4524="","",IF(ISNUMBER(SEARCH("2歳",Z4524)),"2歳戦",IF(ISNUMBER(SEARCH("3歳未勝利",Z4524)),"3歳未勝利",IF(ISNUMBER(SEARCH("未勝利",Z4524)),"その他未勝利",IF(ISNUMBER(SEARCH("G1",Z4524)),"G1",IF(ISNUMBER(SEARCH("G2",Z4524)),"G2",IF(ISNUMBER(SEARCH("G3",Z4524)),"G3",IF(ISNUMBER(SEARCH("古馬条件",Z4524)),"古馬条件戦",IF(ISNUMBER(SEARCH("重賞",Z4524)),"重賞","分類不能")))))))))</f>
        <v/>
      </c>
    </row>
    <row r="4525" customFormat="false" ht="15.75" hidden="false" customHeight="false" outlineLevel="0" collapsed="false">
      <c r="AO4525" s="8" t="str">
        <f aca="false">IF(A4525="","",IF(COUNTIFS(全馬データ!$A$2:$A$50000,A4525,全馬データ!$B$2:$B$50000,B4525,全馬データ!$C$2:$C$50000,C4525,全馬データ!$D$2:$D$50000,E4525,全馬データ!$K$2:$K$50000,"&lt;&gt;")=0,"",SUMIFS(全馬データ!$K$2:$K$50000,全馬データ!$A$2:$A$50000,A4525,全馬データ!$B$2:$B$50000,B4525,全馬データ!$C$2:$C$50000,C4525,全馬データ!$D$2:$D$50000,E4525)))</f>
        <v/>
      </c>
      <c r="AP4525" s="8" t="str">
        <f aca="false">IF(A4525="","",IF(AO4525="","欠損",IF(AO4525&lt;=1.1,"1.0～1.1",IF(AO4525&lt;1.3,"1.2",IF(AO4525&lt;1.5,"1.3～1.4",IF(AO4525&lt;2,"1.5～1.9","2.0以上"))))))</f>
        <v/>
      </c>
      <c r="AQ4525" s="8" t="str">
        <f aca="false">IF(A4525="","",IF(ISNUMBER(SEARCH("2歳",Z4525)),"2歳戦",IF(ISNUMBER(SEARCH("3歳未勝利",Z4525)),"3歳未勝利",IF(ISNUMBER(SEARCH("未勝利",Z4525)),"その他未勝利",IF(ISNUMBER(SEARCH("G1",Z4525)),"G1",IF(ISNUMBER(SEARCH("G2",Z4525)),"G2",IF(ISNUMBER(SEARCH("G3",Z4525)),"G3",IF(ISNUMBER(SEARCH("古馬条件",Z4525)),"古馬条件戦",IF(ISNUMBER(SEARCH("重賞",Z4525)),"重賞","分類不能")))))))))</f>
        <v/>
      </c>
    </row>
    <row r="4526" customFormat="false" ht="15.75" hidden="false" customHeight="false" outlineLevel="0" collapsed="false">
      <c r="AO4526" s="8" t="str">
        <f aca="false">IF(A4526="","",IF(COUNTIFS(全馬データ!$A$2:$A$50000,A4526,全馬データ!$B$2:$B$50000,B4526,全馬データ!$C$2:$C$50000,C4526,全馬データ!$D$2:$D$50000,E4526,全馬データ!$K$2:$K$50000,"&lt;&gt;")=0,"",SUMIFS(全馬データ!$K$2:$K$50000,全馬データ!$A$2:$A$50000,A4526,全馬データ!$B$2:$B$50000,B4526,全馬データ!$C$2:$C$50000,C4526,全馬データ!$D$2:$D$50000,E4526)))</f>
        <v/>
      </c>
      <c r="AP4526" s="8" t="str">
        <f aca="false">IF(A4526="","",IF(AO4526="","欠損",IF(AO4526&lt;=1.1,"1.0～1.1",IF(AO4526&lt;1.3,"1.2",IF(AO4526&lt;1.5,"1.3～1.4",IF(AO4526&lt;2,"1.5～1.9","2.0以上"))))))</f>
        <v/>
      </c>
      <c r="AQ4526" s="8" t="str">
        <f aca="false">IF(A4526="","",IF(ISNUMBER(SEARCH("2歳",Z4526)),"2歳戦",IF(ISNUMBER(SEARCH("3歳未勝利",Z4526)),"3歳未勝利",IF(ISNUMBER(SEARCH("未勝利",Z4526)),"その他未勝利",IF(ISNUMBER(SEARCH("G1",Z4526)),"G1",IF(ISNUMBER(SEARCH("G2",Z4526)),"G2",IF(ISNUMBER(SEARCH("G3",Z4526)),"G3",IF(ISNUMBER(SEARCH("古馬条件",Z4526)),"古馬条件戦",IF(ISNUMBER(SEARCH("重賞",Z4526)),"重賞","分類不能")))))))))</f>
        <v/>
      </c>
    </row>
    <row r="4527" customFormat="false" ht="15.75" hidden="false" customHeight="false" outlineLevel="0" collapsed="false">
      <c r="AO4527" s="8" t="str">
        <f aca="false">IF(A4527="","",IF(COUNTIFS(全馬データ!$A$2:$A$50000,A4527,全馬データ!$B$2:$B$50000,B4527,全馬データ!$C$2:$C$50000,C4527,全馬データ!$D$2:$D$50000,E4527,全馬データ!$K$2:$K$50000,"&lt;&gt;")=0,"",SUMIFS(全馬データ!$K$2:$K$50000,全馬データ!$A$2:$A$50000,A4527,全馬データ!$B$2:$B$50000,B4527,全馬データ!$C$2:$C$50000,C4527,全馬データ!$D$2:$D$50000,E4527)))</f>
        <v/>
      </c>
      <c r="AP4527" s="8" t="str">
        <f aca="false">IF(A4527="","",IF(AO4527="","欠損",IF(AO4527&lt;=1.1,"1.0～1.1",IF(AO4527&lt;1.3,"1.2",IF(AO4527&lt;1.5,"1.3～1.4",IF(AO4527&lt;2,"1.5～1.9","2.0以上"))))))</f>
        <v/>
      </c>
      <c r="AQ4527" s="8" t="str">
        <f aca="false">IF(A4527="","",IF(ISNUMBER(SEARCH("2歳",Z4527)),"2歳戦",IF(ISNUMBER(SEARCH("3歳未勝利",Z4527)),"3歳未勝利",IF(ISNUMBER(SEARCH("未勝利",Z4527)),"その他未勝利",IF(ISNUMBER(SEARCH("G1",Z4527)),"G1",IF(ISNUMBER(SEARCH("G2",Z4527)),"G2",IF(ISNUMBER(SEARCH("G3",Z4527)),"G3",IF(ISNUMBER(SEARCH("古馬条件",Z4527)),"古馬条件戦",IF(ISNUMBER(SEARCH("重賞",Z4527)),"重賞","分類不能")))))))))</f>
        <v/>
      </c>
    </row>
    <row r="4528" customFormat="false" ht="15.75" hidden="false" customHeight="false" outlineLevel="0" collapsed="false">
      <c r="AO4528" s="8" t="str">
        <f aca="false">IF(A4528="","",IF(COUNTIFS(全馬データ!$A$2:$A$50000,A4528,全馬データ!$B$2:$B$50000,B4528,全馬データ!$C$2:$C$50000,C4528,全馬データ!$D$2:$D$50000,E4528,全馬データ!$K$2:$K$50000,"&lt;&gt;")=0,"",SUMIFS(全馬データ!$K$2:$K$50000,全馬データ!$A$2:$A$50000,A4528,全馬データ!$B$2:$B$50000,B4528,全馬データ!$C$2:$C$50000,C4528,全馬データ!$D$2:$D$50000,E4528)))</f>
        <v/>
      </c>
      <c r="AP4528" s="8" t="str">
        <f aca="false">IF(A4528="","",IF(AO4528="","欠損",IF(AO4528&lt;=1.1,"1.0～1.1",IF(AO4528&lt;1.3,"1.2",IF(AO4528&lt;1.5,"1.3～1.4",IF(AO4528&lt;2,"1.5～1.9","2.0以上"))))))</f>
        <v/>
      </c>
      <c r="AQ4528" s="8" t="str">
        <f aca="false">IF(A4528="","",IF(ISNUMBER(SEARCH("2歳",Z4528)),"2歳戦",IF(ISNUMBER(SEARCH("3歳未勝利",Z4528)),"3歳未勝利",IF(ISNUMBER(SEARCH("未勝利",Z4528)),"その他未勝利",IF(ISNUMBER(SEARCH("G1",Z4528)),"G1",IF(ISNUMBER(SEARCH("G2",Z4528)),"G2",IF(ISNUMBER(SEARCH("G3",Z4528)),"G3",IF(ISNUMBER(SEARCH("古馬条件",Z4528)),"古馬条件戦",IF(ISNUMBER(SEARCH("重賞",Z4528)),"重賞","分類不能")))))))))</f>
        <v/>
      </c>
    </row>
    <row r="4529" customFormat="false" ht="15.75" hidden="false" customHeight="false" outlineLevel="0" collapsed="false">
      <c r="AO4529" s="8" t="str">
        <f aca="false">IF(A4529="","",IF(COUNTIFS(全馬データ!$A$2:$A$50000,A4529,全馬データ!$B$2:$B$50000,B4529,全馬データ!$C$2:$C$50000,C4529,全馬データ!$D$2:$D$50000,E4529,全馬データ!$K$2:$K$50000,"&lt;&gt;")=0,"",SUMIFS(全馬データ!$K$2:$K$50000,全馬データ!$A$2:$A$50000,A4529,全馬データ!$B$2:$B$50000,B4529,全馬データ!$C$2:$C$50000,C4529,全馬データ!$D$2:$D$50000,E4529)))</f>
        <v/>
      </c>
      <c r="AP4529" s="8" t="str">
        <f aca="false">IF(A4529="","",IF(AO4529="","欠損",IF(AO4529&lt;=1.1,"1.0～1.1",IF(AO4529&lt;1.3,"1.2",IF(AO4529&lt;1.5,"1.3～1.4",IF(AO4529&lt;2,"1.5～1.9","2.0以上"))))))</f>
        <v/>
      </c>
      <c r="AQ4529" s="8" t="str">
        <f aca="false">IF(A4529="","",IF(ISNUMBER(SEARCH("2歳",Z4529)),"2歳戦",IF(ISNUMBER(SEARCH("3歳未勝利",Z4529)),"3歳未勝利",IF(ISNUMBER(SEARCH("未勝利",Z4529)),"その他未勝利",IF(ISNUMBER(SEARCH("G1",Z4529)),"G1",IF(ISNUMBER(SEARCH("G2",Z4529)),"G2",IF(ISNUMBER(SEARCH("G3",Z4529)),"G3",IF(ISNUMBER(SEARCH("古馬条件",Z4529)),"古馬条件戦",IF(ISNUMBER(SEARCH("重賞",Z4529)),"重賞","分類不能")))))))))</f>
        <v/>
      </c>
    </row>
    <row r="4530" customFormat="false" ht="15.75" hidden="false" customHeight="false" outlineLevel="0" collapsed="false">
      <c r="AO4530" s="8" t="str">
        <f aca="false">IF(A4530="","",IF(COUNTIFS(全馬データ!$A$2:$A$50000,A4530,全馬データ!$B$2:$B$50000,B4530,全馬データ!$C$2:$C$50000,C4530,全馬データ!$D$2:$D$50000,E4530,全馬データ!$K$2:$K$50000,"&lt;&gt;")=0,"",SUMIFS(全馬データ!$K$2:$K$50000,全馬データ!$A$2:$A$50000,A4530,全馬データ!$B$2:$B$50000,B4530,全馬データ!$C$2:$C$50000,C4530,全馬データ!$D$2:$D$50000,E4530)))</f>
        <v/>
      </c>
      <c r="AP4530" s="8" t="str">
        <f aca="false">IF(A4530="","",IF(AO4530="","欠損",IF(AO4530&lt;=1.1,"1.0～1.1",IF(AO4530&lt;1.3,"1.2",IF(AO4530&lt;1.5,"1.3～1.4",IF(AO4530&lt;2,"1.5～1.9","2.0以上"))))))</f>
        <v/>
      </c>
      <c r="AQ4530" s="8" t="str">
        <f aca="false">IF(A4530="","",IF(ISNUMBER(SEARCH("2歳",Z4530)),"2歳戦",IF(ISNUMBER(SEARCH("3歳未勝利",Z4530)),"3歳未勝利",IF(ISNUMBER(SEARCH("未勝利",Z4530)),"その他未勝利",IF(ISNUMBER(SEARCH("G1",Z4530)),"G1",IF(ISNUMBER(SEARCH("G2",Z4530)),"G2",IF(ISNUMBER(SEARCH("G3",Z4530)),"G3",IF(ISNUMBER(SEARCH("古馬条件",Z4530)),"古馬条件戦",IF(ISNUMBER(SEARCH("重賞",Z4530)),"重賞","分類不能")))))))))</f>
        <v/>
      </c>
    </row>
    <row r="4531" customFormat="false" ht="15.75" hidden="false" customHeight="false" outlineLevel="0" collapsed="false">
      <c r="AO4531" s="8" t="str">
        <f aca="false">IF(A4531="","",IF(COUNTIFS(全馬データ!$A$2:$A$50000,A4531,全馬データ!$B$2:$B$50000,B4531,全馬データ!$C$2:$C$50000,C4531,全馬データ!$D$2:$D$50000,E4531,全馬データ!$K$2:$K$50000,"&lt;&gt;")=0,"",SUMIFS(全馬データ!$K$2:$K$50000,全馬データ!$A$2:$A$50000,A4531,全馬データ!$B$2:$B$50000,B4531,全馬データ!$C$2:$C$50000,C4531,全馬データ!$D$2:$D$50000,E4531)))</f>
        <v/>
      </c>
      <c r="AP4531" s="8" t="str">
        <f aca="false">IF(A4531="","",IF(AO4531="","欠損",IF(AO4531&lt;=1.1,"1.0～1.1",IF(AO4531&lt;1.3,"1.2",IF(AO4531&lt;1.5,"1.3～1.4",IF(AO4531&lt;2,"1.5～1.9","2.0以上"))))))</f>
        <v/>
      </c>
      <c r="AQ4531" s="8" t="str">
        <f aca="false">IF(A4531="","",IF(ISNUMBER(SEARCH("2歳",Z4531)),"2歳戦",IF(ISNUMBER(SEARCH("3歳未勝利",Z4531)),"3歳未勝利",IF(ISNUMBER(SEARCH("未勝利",Z4531)),"その他未勝利",IF(ISNUMBER(SEARCH("G1",Z4531)),"G1",IF(ISNUMBER(SEARCH("G2",Z4531)),"G2",IF(ISNUMBER(SEARCH("G3",Z4531)),"G3",IF(ISNUMBER(SEARCH("古馬条件",Z4531)),"古馬条件戦",IF(ISNUMBER(SEARCH("重賞",Z4531)),"重賞","分類不能")))))))))</f>
        <v/>
      </c>
    </row>
    <row r="4532" customFormat="false" ht="15.75" hidden="false" customHeight="false" outlineLevel="0" collapsed="false">
      <c r="AO4532" s="8" t="str">
        <f aca="false">IF(A4532="","",IF(COUNTIFS(全馬データ!$A$2:$A$50000,A4532,全馬データ!$B$2:$B$50000,B4532,全馬データ!$C$2:$C$50000,C4532,全馬データ!$D$2:$D$50000,E4532,全馬データ!$K$2:$K$50000,"&lt;&gt;")=0,"",SUMIFS(全馬データ!$K$2:$K$50000,全馬データ!$A$2:$A$50000,A4532,全馬データ!$B$2:$B$50000,B4532,全馬データ!$C$2:$C$50000,C4532,全馬データ!$D$2:$D$50000,E4532)))</f>
        <v/>
      </c>
      <c r="AP4532" s="8" t="str">
        <f aca="false">IF(A4532="","",IF(AO4532="","欠損",IF(AO4532&lt;=1.1,"1.0～1.1",IF(AO4532&lt;1.3,"1.2",IF(AO4532&lt;1.5,"1.3～1.4",IF(AO4532&lt;2,"1.5～1.9","2.0以上"))))))</f>
        <v/>
      </c>
      <c r="AQ4532" s="8" t="str">
        <f aca="false">IF(A4532="","",IF(ISNUMBER(SEARCH("2歳",Z4532)),"2歳戦",IF(ISNUMBER(SEARCH("3歳未勝利",Z4532)),"3歳未勝利",IF(ISNUMBER(SEARCH("未勝利",Z4532)),"その他未勝利",IF(ISNUMBER(SEARCH("G1",Z4532)),"G1",IF(ISNUMBER(SEARCH("G2",Z4532)),"G2",IF(ISNUMBER(SEARCH("G3",Z4532)),"G3",IF(ISNUMBER(SEARCH("古馬条件",Z4532)),"古馬条件戦",IF(ISNUMBER(SEARCH("重賞",Z4532)),"重賞","分類不能")))))))))</f>
        <v/>
      </c>
    </row>
    <row r="4533" customFormat="false" ht="15.75" hidden="false" customHeight="false" outlineLevel="0" collapsed="false">
      <c r="AO4533" s="8" t="str">
        <f aca="false">IF(A4533="","",IF(COUNTIFS(全馬データ!$A$2:$A$50000,A4533,全馬データ!$B$2:$B$50000,B4533,全馬データ!$C$2:$C$50000,C4533,全馬データ!$D$2:$D$50000,E4533,全馬データ!$K$2:$K$50000,"&lt;&gt;")=0,"",SUMIFS(全馬データ!$K$2:$K$50000,全馬データ!$A$2:$A$50000,A4533,全馬データ!$B$2:$B$50000,B4533,全馬データ!$C$2:$C$50000,C4533,全馬データ!$D$2:$D$50000,E4533)))</f>
        <v/>
      </c>
      <c r="AP4533" s="8" t="str">
        <f aca="false">IF(A4533="","",IF(AO4533="","欠損",IF(AO4533&lt;=1.1,"1.0～1.1",IF(AO4533&lt;1.3,"1.2",IF(AO4533&lt;1.5,"1.3～1.4",IF(AO4533&lt;2,"1.5～1.9","2.0以上"))))))</f>
        <v/>
      </c>
      <c r="AQ4533" s="8" t="str">
        <f aca="false">IF(A4533="","",IF(ISNUMBER(SEARCH("2歳",Z4533)),"2歳戦",IF(ISNUMBER(SEARCH("3歳未勝利",Z4533)),"3歳未勝利",IF(ISNUMBER(SEARCH("未勝利",Z4533)),"その他未勝利",IF(ISNUMBER(SEARCH("G1",Z4533)),"G1",IF(ISNUMBER(SEARCH("G2",Z4533)),"G2",IF(ISNUMBER(SEARCH("G3",Z4533)),"G3",IF(ISNUMBER(SEARCH("古馬条件",Z4533)),"古馬条件戦",IF(ISNUMBER(SEARCH("重賞",Z4533)),"重賞","分類不能")))))))))</f>
        <v/>
      </c>
    </row>
    <row r="4534" customFormat="false" ht="15.75" hidden="false" customHeight="false" outlineLevel="0" collapsed="false">
      <c r="AO4534" s="8" t="str">
        <f aca="false">IF(A4534="","",IF(COUNTIFS(全馬データ!$A$2:$A$50000,A4534,全馬データ!$B$2:$B$50000,B4534,全馬データ!$C$2:$C$50000,C4534,全馬データ!$D$2:$D$50000,E4534,全馬データ!$K$2:$K$50000,"&lt;&gt;")=0,"",SUMIFS(全馬データ!$K$2:$K$50000,全馬データ!$A$2:$A$50000,A4534,全馬データ!$B$2:$B$50000,B4534,全馬データ!$C$2:$C$50000,C4534,全馬データ!$D$2:$D$50000,E4534)))</f>
        <v/>
      </c>
      <c r="AP4534" s="8" t="str">
        <f aca="false">IF(A4534="","",IF(AO4534="","欠損",IF(AO4534&lt;=1.1,"1.0～1.1",IF(AO4534&lt;1.3,"1.2",IF(AO4534&lt;1.5,"1.3～1.4",IF(AO4534&lt;2,"1.5～1.9","2.0以上"))))))</f>
        <v/>
      </c>
      <c r="AQ4534" s="8" t="str">
        <f aca="false">IF(A4534="","",IF(ISNUMBER(SEARCH("2歳",Z4534)),"2歳戦",IF(ISNUMBER(SEARCH("3歳未勝利",Z4534)),"3歳未勝利",IF(ISNUMBER(SEARCH("未勝利",Z4534)),"その他未勝利",IF(ISNUMBER(SEARCH("G1",Z4534)),"G1",IF(ISNUMBER(SEARCH("G2",Z4534)),"G2",IF(ISNUMBER(SEARCH("G3",Z4534)),"G3",IF(ISNUMBER(SEARCH("古馬条件",Z4534)),"古馬条件戦",IF(ISNUMBER(SEARCH("重賞",Z4534)),"重賞","分類不能")))))))))</f>
        <v/>
      </c>
    </row>
    <row r="4535" customFormat="false" ht="15.75" hidden="false" customHeight="false" outlineLevel="0" collapsed="false">
      <c r="AO4535" s="8" t="str">
        <f aca="false">IF(A4535="","",IF(COUNTIFS(全馬データ!$A$2:$A$50000,A4535,全馬データ!$B$2:$B$50000,B4535,全馬データ!$C$2:$C$50000,C4535,全馬データ!$D$2:$D$50000,E4535,全馬データ!$K$2:$K$50000,"&lt;&gt;")=0,"",SUMIFS(全馬データ!$K$2:$K$50000,全馬データ!$A$2:$A$50000,A4535,全馬データ!$B$2:$B$50000,B4535,全馬データ!$C$2:$C$50000,C4535,全馬データ!$D$2:$D$50000,E4535)))</f>
        <v/>
      </c>
      <c r="AP4535" s="8" t="str">
        <f aca="false">IF(A4535="","",IF(AO4535="","欠損",IF(AO4535&lt;=1.1,"1.0～1.1",IF(AO4535&lt;1.3,"1.2",IF(AO4535&lt;1.5,"1.3～1.4",IF(AO4535&lt;2,"1.5～1.9","2.0以上"))))))</f>
        <v/>
      </c>
      <c r="AQ4535" s="8" t="str">
        <f aca="false">IF(A4535="","",IF(ISNUMBER(SEARCH("2歳",Z4535)),"2歳戦",IF(ISNUMBER(SEARCH("3歳未勝利",Z4535)),"3歳未勝利",IF(ISNUMBER(SEARCH("未勝利",Z4535)),"その他未勝利",IF(ISNUMBER(SEARCH("G1",Z4535)),"G1",IF(ISNUMBER(SEARCH("G2",Z4535)),"G2",IF(ISNUMBER(SEARCH("G3",Z4535)),"G3",IF(ISNUMBER(SEARCH("古馬条件",Z4535)),"古馬条件戦",IF(ISNUMBER(SEARCH("重賞",Z4535)),"重賞","分類不能")))))))))</f>
        <v/>
      </c>
    </row>
    <row r="4536" customFormat="false" ht="15.75" hidden="false" customHeight="false" outlineLevel="0" collapsed="false">
      <c r="AO4536" s="8" t="str">
        <f aca="false">IF(A4536="","",IF(COUNTIFS(全馬データ!$A$2:$A$50000,A4536,全馬データ!$B$2:$B$50000,B4536,全馬データ!$C$2:$C$50000,C4536,全馬データ!$D$2:$D$50000,E4536,全馬データ!$K$2:$K$50000,"&lt;&gt;")=0,"",SUMIFS(全馬データ!$K$2:$K$50000,全馬データ!$A$2:$A$50000,A4536,全馬データ!$B$2:$B$50000,B4536,全馬データ!$C$2:$C$50000,C4536,全馬データ!$D$2:$D$50000,E4536)))</f>
        <v/>
      </c>
      <c r="AP4536" s="8" t="str">
        <f aca="false">IF(A4536="","",IF(AO4536="","欠損",IF(AO4536&lt;=1.1,"1.0～1.1",IF(AO4536&lt;1.3,"1.2",IF(AO4536&lt;1.5,"1.3～1.4",IF(AO4536&lt;2,"1.5～1.9","2.0以上"))))))</f>
        <v/>
      </c>
      <c r="AQ4536" s="8" t="str">
        <f aca="false">IF(A4536="","",IF(ISNUMBER(SEARCH("2歳",Z4536)),"2歳戦",IF(ISNUMBER(SEARCH("3歳未勝利",Z4536)),"3歳未勝利",IF(ISNUMBER(SEARCH("未勝利",Z4536)),"その他未勝利",IF(ISNUMBER(SEARCH("G1",Z4536)),"G1",IF(ISNUMBER(SEARCH("G2",Z4536)),"G2",IF(ISNUMBER(SEARCH("G3",Z4536)),"G3",IF(ISNUMBER(SEARCH("古馬条件",Z4536)),"古馬条件戦",IF(ISNUMBER(SEARCH("重賞",Z4536)),"重賞","分類不能")))))))))</f>
        <v/>
      </c>
    </row>
    <row r="4537" customFormat="false" ht="15.75" hidden="false" customHeight="false" outlineLevel="0" collapsed="false">
      <c r="AO4537" s="8" t="str">
        <f aca="false">IF(A4537="","",IF(COUNTIFS(全馬データ!$A$2:$A$50000,A4537,全馬データ!$B$2:$B$50000,B4537,全馬データ!$C$2:$C$50000,C4537,全馬データ!$D$2:$D$50000,E4537,全馬データ!$K$2:$K$50000,"&lt;&gt;")=0,"",SUMIFS(全馬データ!$K$2:$K$50000,全馬データ!$A$2:$A$50000,A4537,全馬データ!$B$2:$B$50000,B4537,全馬データ!$C$2:$C$50000,C4537,全馬データ!$D$2:$D$50000,E4537)))</f>
        <v/>
      </c>
      <c r="AP4537" s="8" t="str">
        <f aca="false">IF(A4537="","",IF(AO4537="","欠損",IF(AO4537&lt;=1.1,"1.0～1.1",IF(AO4537&lt;1.3,"1.2",IF(AO4537&lt;1.5,"1.3～1.4",IF(AO4537&lt;2,"1.5～1.9","2.0以上"))))))</f>
        <v/>
      </c>
      <c r="AQ4537" s="8" t="str">
        <f aca="false">IF(A4537="","",IF(ISNUMBER(SEARCH("2歳",Z4537)),"2歳戦",IF(ISNUMBER(SEARCH("3歳未勝利",Z4537)),"3歳未勝利",IF(ISNUMBER(SEARCH("未勝利",Z4537)),"その他未勝利",IF(ISNUMBER(SEARCH("G1",Z4537)),"G1",IF(ISNUMBER(SEARCH("G2",Z4537)),"G2",IF(ISNUMBER(SEARCH("G3",Z4537)),"G3",IF(ISNUMBER(SEARCH("古馬条件",Z4537)),"古馬条件戦",IF(ISNUMBER(SEARCH("重賞",Z4537)),"重賞","分類不能")))))))))</f>
        <v/>
      </c>
    </row>
    <row r="4538" customFormat="false" ht="15.75" hidden="false" customHeight="false" outlineLevel="0" collapsed="false">
      <c r="AO4538" s="8" t="str">
        <f aca="false">IF(A4538="","",IF(COUNTIFS(全馬データ!$A$2:$A$50000,A4538,全馬データ!$B$2:$B$50000,B4538,全馬データ!$C$2:$C$50000,C4538,全馬データ!$D$2:$D$50000,E4538,全馬データ!$K$2:$K$50000,"&lt;&gt;")=0,"",SUMIFS(全馬データ!$K$2:$K$50000,全馬データ!$A$2:$A$50000,A4538,全馬データ!$B$2:$B$50000,B4538,全馬データ!$C$2:$C$50000,C4538,全馬データ!$D$2:$D$50000,E4538)))</f>
        <v/>
      </c>
      <c r="AP4538" s="8" t="str">
        <f aca="false">IF(A4538="","",IF(AO4538="","欠損",IF(AO4538&lt;=1.1,"1.0～1.1",IF(AO4538&lt;1.3,"1.2",IF(AO4538&lt;1.5,"1.3～1.4",IF(AO4538&lt;2,"1.5～1.9","2.0以上"))))))</f>
        <v/>
      </c>
      <c r="AQ4538" s="8" t="str">
        <f aca="false">IF(A4538="","",IF(ISNUMBER(SEARCH("2歳",Z4538)),"2歳戦",IF(ISNUMBER(SEARCH("3歳未勝利",Z4538)),"3歳未勝利",IF(ISNUMBER(SEARCH("未勝利",Z4538)),"その他未勝利",IF(ISNUMBER(SEARCH("G1",Z4538)),"G1",IF(ISNUMBER(SEARCH("G2",Z4538)),"G2",IF(ISNUMBER(SEARCH("G3",Z4538)),"G3",IF(ISNUMBER(SEARCH("古馬条件",Z4538)),"古馬条件戦",IF(ISNUMBER(SEARCH("重賞",Z4538)),"重賞","分類不能")))))))))</f>
        <v/>
      </c>
    </row>
    <row r="4539" customFormat="false" ht="15.75" hidden="false" customHeight="false" outlineLevel="0" collapsed="false">
      <c r="AO4539" s="8" t="str">
        <f aca="false">IF(A4539="","",IF(COUNTIFS(全馬データ!$A$2:$A$50000,A4539,全馬データ!$B$2:$B$50000,B4539,全馬データ!$C$2:$C$50000,C4539,全馬データ!$D$2:$D$50000,E4539,全馬データ!$K$2:$K$50000,"&lt;&gt;")=0,"",SUMIFS(全馬データ!$K$2:$K$50000,全馬データ!$A$2:$A$50000,A4539,全馬データ!$B$2:$B$50000,B4539,全馬データ!$C$2:$C$50000,C4539,全馬データ!$D$2:$D$50000,E4539)))</f>
        <v/>
      </c>
      <c r="AP4539" s="8" t="str">
        <f aca="false">IF(A4539="","",IF(AO4539="","欠損",IF(AO4539&lt;=1.1,"1.0～1.1",IF(AO4539&lt;1.3,"1.2",IF(AO4539&lt;1.5,"1.3～1.4",IF(AO4539&lt;2,"1.5～1.9","2.0以上"))))))</f>
        <v/>
      </c>
      <c r="AQ4539" s="8" t="str">
        <f aca="false">IF(A4539="","",IF(ISNUMBER(SEARCH("2歳",Z4539)),"2歳戦",IF(ISNUMBER(SEARCH("3歳未勝利",Z4539)),"3歳未勝利",IF(ISNUMBER(SEARCH("未勝利",Z4539)),"その他未勝利",IF(ISNUMBER(SEARCH("G1",Z4539)),"G1",IF(ISNUMBER(SEARCH("G2",Z4539)),"G2",IF(ISNUMBER(SEARCH("G3",Z4539)),"G3",IF(ISNUMBER(SEARCH("古馬条件",Z4539)),"古馬条件戦",IF(ISNUMBER(SEARCH("重賞",Z4539)),"重賞","分類不能")))))))))</f>
        <v/>
      </c>
    </row>
    <row r="4540" customFormat="false" ht="15.75" hidden="false" customHeight="false" outlineLevel="0" collapsed="false">
      <c r="AO4540" s="8" t="str">
        <f aca="false">IF(A4540="","",IF(COUNTIFS(全馬データ!$A$2:$A$50000,A4540,全馬データ!$B$2:$B$50000,B4540,全馬データ!$C$2:$C$50000,C4540,全馬データ!$D$2:$D$50000,E4540,全馬データ!$K$2:$K$50000,"&lt;&gt;")=0,"",SUMIFS(全馬データ!$K$2:$K$50000,全馬データ!$A$2:$A$50000,A4540,全馬データ!$B$2:$B$50000,B4540,全馬データ!$C$2:$C$50000,C4540,全馬データ!$D$2:$D$50000,E4540)))</f>
        <v/>
      </c>
      <c r="AP4540" s="8" t="str">
        <f aca="false">IF(A4540="","",IF(AO4540="","欠損",IF(AO4540&lt;=1.1,"1.0～1.1",IF(AO4540&lt;1.3,"1.2",IF(AO4540&lt;1.5,"1.3～1.4",IF(AO4540&lt;2,"1.5～1.9","2.0以上"))))))</f>
        <v/>
      </c>
      <c r="AQ4540" s="8" t="str">
        <f aca="false">IF(A4540="","",IF(ISNUMBER(SEARCH("2歳",Z4540)),"2歳戦",IF(ISNUMBER(SEARCH("3歳未勝利",Z4540)),"3歳未勝利",IF(ISNUMBER(SEARCH("未勝利",Z4540)),"その他未勝利",IF(ISNUMBER(SEARCH("G1",Z4540)),"G1",IF(ISNUMBER(SEARCH("G2",Z4540)),"G2",IF(ISNUMBER(SEARCH("G3",Z4540)),"G3",IF(ISNUMBER(SEARCH("古馬条件",Z4540)),"古馬条件戦",IF(ISNUMBER(SEARCH("重賞",Z4540)),"重賞","分類不能")))))))))</f>
        <v/>
      </c>
    </row>
    <row r="4541" customFormat="false" ht="15.75" hidden="false" customHeight="false" outlineLevel="0" collapsed="false">
      <c r="AO4541" s="8" t="str">
        <f aca="false">IF(A4541="","",IF(COUNTIFS(全馬データ!$A$2:$A$50000,A4541,全馬データ!$B$2:$B$50000,B4541,全馬データ!$C$2:$C$50000,C4541,全馬データ!$D$2:$D$50000,E4541,全馬データ!$K$2:$K$50000,"&lt;&gt;")=0,"",SUMIFS(全馬データ!$K$2:$K$50000,全馬データ!$A$2:$A$50000,A4541,全馬データ!$B$2:$B$50000,B4541,全馬データ!$C$2:$C$50000,C4541,全馬データ!$D$2:$D$50000,E4541)))</f>
        <v/>
      </c>
      <c r="AP4541" s="8" t="str">
        <f aca="false">IF(A4541="","",IF(AO4541="","欠損",IF(AO4541&lt;=1.1,"1.0～1.1",IF(AO4541&lt;1.3,"1.2",IF(AO4541&lt;1.5,"1.3～1.4",IF(AO4541&lt;2,"1.5～1.9","2.0以上"))))))</f>
        <v/>
      </c>
      <c r="AQ4541" s="8" t="str">
        <f aca="false">IF(A4541="","",IF(ISNUMBER(SEARCH("2歳",Z4541)),"2歳戦",IF(ISNUMBER(SEARCH("3歳未勝利",Z4541)),"3歳未勝利",IF(ISNUMBER(SEARCH("未勝利",Z4541)),"その他未勝利",IF(ISNUMBER(SEARCH("G1",Z4541)),"G1",IF(ISNUMBER(SEARCH("G2",Z4541)),"G2",IF(ISNUMBER(SEARCH("G3",Z4541)),"G3",IF(ISNUMBER(SEARCH("古馬条件",Z4541)),"古馬条件戦",IF(ISNUMBER(SEARCH("重賞",Z4541)),"重賞","分類不能")))))))))</f>
        <v/>
      </c>
    </row>
    <row r="4542" customFormat="false" ht="15.75" hidden="false" customHeight="false" outlineLevel="0" collapsed="false">
      <c r="AO4542" s="8" t="str">
        <f aca="false">IF(A4542="","",IF(COUNTIFS(全馬データ!$A$2:$A$50000,A4542,全馬データ!$B$2:$B$50000,B4542,全馬データ!$C$2:$C$50000,C4542,全馬データ!$D$2:$D$50000,E4542,全馬データ!$K$2:$K$50000,"&lt;&gt;")=0,"",SUMIFS(全馬データ!$K$2:$K$50000,全馬データ!$A$2:$A$50000,A4542,全馬データ!$B$2:$B$50000,B4542,全馬データ!$C$2:$C$50000,C4542,全馬データ!$D$2:$D$50000,E4542)))</f>
        <v/>
      </c>
      <c r="AP4542" s="8" t="str">
        <f aca="false">IF(A4542="","",IF(AO4542="","欠損",IF(AO4542&lt;=1.1,"1.0～1.1",IF(AO4542&lt;1.3,"1.2",IF(AO4542&lt;1.5,"1.3～1.4",IF(AO4542&lt;2,"1.5～1.9","2.0以上"))))))</f>
        <v/>
      </c>
      <c r="AQ4542" s="8" t="str">
        <f aca="false">IF(A4542="","",IF(ISNUMBER(SEARCH("2歳",Z4542)),"2歳戦",IF(ISNUMBER(SEARCH("3歳未勝利",Z4542)),"3歳未勝利",IF(ISNUMBER(SEARCH("未勝利",Z4542)),"その他未勝利",IF(ISNUMBER(SEARCH("G1",Z4542)),"G1",IF(ISNUMBER(SEARCH("G2",Z4542)),"G2",IF(ISNUMBER(SEARCH("G3",Z4542)),"G3",IF(ISNUMBER(SEARCH("古馬条件",Z4542)),"古馬条件戦",IF(ISNUMBER(SEARCH("重賞",Z4542)),"重賞","分類不能")))))))))</f>
        <v/>
      </c>
    </row>
    <row r="4543" customFormat="false" ht="15.75" hidden="false" customHeight="false" outlineLevel="0" collapsed="false">
      <c r="AO4543" s="8" t="str">
        <f aca="false">IF(A4543="","",IF(COUNTIFS(全馬データ!$A$2:$A$50000,A4543,全馬データ!$B$2:$B$50000,B4543,全馬データ!$C$2:$C$50000,C4543,全馬データ!$D$2:$D$50000,E4543,全馬データ!$K$2:$K$50000,"&lt;&gt;")=0,"",SUMIFS(全馬データ!$K$2:$K$50000,全馬データ!$A$2:$A$50000,A4543,全馬データ!$B$2:$B$50000,B4543,全馬データ!$C$2:$C$50000,C4543,全馬データ!$D$2:$D$50000,E4543)))</f>
        <v/>
      </c>
      <c r="AP4543" s="8" t="str">
        <f aca="false">IF(A4543="","",IF(AO4543="","欠損",IF(AO4543&lt;=1.1,"1.0～1.1",IF(AO4543&lt;1.3,"1.2",IF(AO4543&lt;1.5,"1.3～1.4",IF(AO4543&lt;2,"1.5～1.9","2.0以上"))))))</f>
        <v/>
      </c>
      <c r="AQ4543" s="8" t="str">
        <f aca="false">IF(A4543="","",IF(ISNUMBER(SEARCH("2歳",Z4543)),"2歳戦",IF(ISNUMBER(SEARCH("3歳未勝利",Z4543)),"3歳未勝利",IF(ISNUMBER(SEARCH("未勝利",Z4543)),"その他未勝利",IF(ISNUMBER(SEARCH("G1",Z4543)),"G1",IF(ISNUMBER(SEARCH("G2",Z4543)),"G2",IF(ISNUMBER(SEARCH("G3",Z4543)),"G3",IF(ISNUMBER(SEARCH("古馬条件",Z4543)),"古馬条件戦",IF(ISNUMBER(SEARCH("重賞",Z4543)),"重賞","分類不能")))))))))</f>
        <v/>
      </c>
    </row>
    <row r="4544" customFormat="false" ht="15.75" hidden="false" customHeight="false" outlineLevel="0" collapsed="false">
      <c r="AO4544" s="8" t="str">
        <f aca="false">IF(A4544="","",IF(COUNTIFS(全馬データ!$A$2:$A$50000,A4544,全馬データ!$B$2:$B$50000,B4544,全馬データ!$C$2:$C$50000,C4544,全馬データ!$D$2:$D$50000,E4544,全馬データ!$K$2:$K$50000,"&lt;&gt;")=0,"",SUMIFS(全馬データ!$K$2:$K$50000,全馬データ!$A$2:$A$50000,A4544,全馬データ!$B$2:$B$50000,B4544,全馬データ!$C$2:$C$50000,C4544,全馬データ!$D$2:$D$50000,E4544)))</f>
        <v/>
      </c>
      <c r="AP4544" s="8" t="str">
        <f aca="false">IF(A4544="","",IF(AO4544="","欠損",IF(AO4544&lt;=1.1,"1.0～1.1",IF(AO4544&lt;1.3,"1.2",IF(AO4544&lt;1.5,"1.3～1.4",IF(AO4544&lt;2,"1.5～1.9","2.0以上"))))))</f>
        <v/>
      </c>
      <c r="AQ4544" s="8" t="str">
        <f aca="false">IF(A4544="","",IF(ISNUMBER(SEARCH("2歳",Z4544)),"2歳戦",IF(ISNUMBER(SEARCH("3歳未勝利",Z4544)),"3歳未勝利",IF(ISNUMBER(SEARCH("未勝利",Z4544)),"その他未勝利",IF(ISNUMBER(SEARCH("G1",Z4544)),"G1",IF(ISNUMBER(SEARCH("G2",Z4544)),"G2",IF(ISNUMBER(SEARCH("G3",Z4544)),"G3",IF(ISNUMBER(SEARCH("古馬条件",Z4544)),"古馬条件戦",IF(ISNUMBER(SEARCH("重賞",Z4544)),"重賞","分類不能")))))))))</f>
        <v/>
      </c>
    </row>
    <row r="4545" customFormat="false" ht="15.75" hidden="false" customHeight="false" outlineLevel="0" collapsed="false">
      <c r="AO4545" s="8" t="str">
        <f aca="false">IF(A4545="","",IF(COUNTIFS(全馬データ!$A$2:$A$50000,A4545,全馬データ!$B$2:$B$50000,B4545,全馬データ!$C$2:$C$50000,C4545,全馬データ!$D$2:$D$50000,E4545,全馬データ!$K$2:$K$50000,"&lt;&gt;")=0,"",SUMIFS(全馬データ!$K$2:$K$50000,全馬データ!$A$2:$A$50000,A4545,全馬データ!$B$2:$B$50000,B4545,全馬データ!$C$2:$C$50000,C4545,全馬データ!$D$2:$D$50000,E4545)))</f>
        <v/>
      </c>
      <c r="AP4545" s="8" t="str">
        <f aca="false">IF(A4545="","",IF(AO4545="","欠損",IF(AO4545&lt;=1.1,"1.0～1.1",IF(AO4545&lt;1.3,"1.2",IF(AO4545&lt;1.5,"1.3～1.4",IF(AO4545&lt;2,"1.5～1.9","2.0以上"))))))</f>
        <v/>
      </c>
      <c r="AQ4545" s="8" t="str">
        <f aca="false">IF(A4545="","",IF(ISNUMBER(SEARCH("2歳",Z4545)),"2歳戦",IF(ISNUMBER(SEARCH("3歳未勝利",Z4545)),"3歳未勝利",IF(ISNUMBER(SEARCH("未勝利",Z4545)),"その他未勝利",IF(ISNUMBER(SEARCH("G1",Z4545)),"G1",IF(ISNUMBER(SEARCH("G2",Z4545)),"G2",IF(ISNUMBER(SEARCH("G3",Z4545)),"G3",IF(ISNUMBER(SEARCH("古馬条件",Z4545)),"古馬条件戦",IF(ISNUMBER(SEARCH("重賞",Z4545)),"重賞","分類不能")))))))))</f>
        <v/>
      </c>
    </row>
    <row r="4546" customFormat="false" ht="15.75" hidden="false" customHeight="false" outlineLevel="0" collapsed="false">
      <c r="AO4546" s="8" t="str">
        <f aca="false">IF(A4546="","",IF(COUNTIFS(全馬データ!$A$2:$A$50000,A4546,全馬データ!$B$2:$B$50000,B4546,全馬データ!$C$2:$C$50000,C4546,全馬データ!$D$2:$D$50000,E4546,全馬データ!$K$2:$K$50000,"&lt;&gt;")=0,"",SUMIFS(全馬データ!$K$2:$K$50000,全馬データ!$A$2:$A$50000,A4546,全馬データ!$B$2:$B$50000,B4546,全馬データ!$C$2:$C$50000,C4546,全馬データ!$D$2:$D$50000,E4546)))</f>
        <v/>
      </c>
      <c r="AP4546" s="8" t="str">
        <f aca="false">IF(A4546="","",IF(AO4546="","欠損",IF(AO4546&lt;=1.1,"1.0～1.1",IF(AO4546&lt;1.3,"1.2",IF(AO4546&lt;1.5,"1.3～1.4",IF(AO4546&lt;2,"1.5～1.9","2.0以上"))))))</f>
        <v/>
      </c>
      <c r="AQ4546" s="8" t="str">
        <f aca="false">IF(A4546="","",IF(ISNUMBER(SEARCH("2歳",Z4546)),"2歳戦",IF(ISNUMBER(SEARCH("3歳未勝利",Z4546)),"3歳未勝利",IF(ISNUMBER(SEARCH("未勝利",Z4546)),"その他未勝利",IF(ISNUMBER(SEARCH("G1",Z4546)),"G1",IF(ISNUMBER(SEARCH("G2",Z4546)),"G2",IF(ISNUMBER(SEARCH("G3",Z4546)),"G3",IF(ISNUMBER(SEARCH("古馬条件",Z4546)),"古馬条件戦",IF(ISNUMBER(SEARCH("重賞",Z4546)),"重賞","分類不能")))))))))</f>
        <v/>
      </c>
    </row>
    <row r="4547" customFormat="false" ht="15.75" hidden="false" customHeight="false" outlineLevel="0" collapsed="false">
      <c r="AO4547" s="8" t="str">
        <f aca="false">IF(A4547="","",IF(COUNTIFS(全馬データ!$A$2:$A$50000,A4547,全馬データ!$B$2:$B$50000,B4547,全馬データ!$C$2:$C$50000,C4547,全馬データ!$D$2:$D$50000,E4547,全馬データ!$K$2:$K$50000,"&lt;&gt;")=0,"",SUMIFS(全馬データ!$K$2:$K$50000,全馬データ!$A$2:$A$50000,A4547,全馬データ!$B$2:$B$50000,B4547,全馬データ!$C$2:$C$50000,C4547,全馬データ!$D$2:$D$50000,E4547)))</f>
        <v/>
      </c>
      <c r="AP4547" s="8" t="str">
        <f aca="false">IF(A4547="","",IF(AO4547="","欠損",IF(AO4547&lt;=1.1,"1.0～1.1",IF(AO4547&lt;1.3,"1.2",IF(AO4547&lt;1.5,"1.3～1.4",IF(AO4547&lt;2,"1.5～1.9","2.0以上"))))))</f>
        <v/>
      </c>
      <c r="AQ4547" s="8" t="str">
        <f aca="false">IF(A4547="","",IF(ISNUMBER(SEARCH("2歳",Z4547)),"2歳戦",IF(ISNUMBER(SEARCH("3歳未勝利",Z4547)),"3歳未勝利",IF(ISNUMBER(SEARCH("未勝利",Z4547)),"その他未勝利",IF(ISNUMBER(SEARCH("G1",Z4547)),"G1",IF(ISNUMBER(SEARCH("G2",Z4547)),"G2",IF(ISNUMBER(SEARCH("G3",Z4547)),"G3",IF(ISNUMBER(SEARCH("古馬条件",Z4547)),"古馬条件戦",IF(ISNUMBER(SEARCH("重賞",Z4547)),"重賞","分類不能")))))))))</f>
        <v/>
      </c>
    </row>
    <row r="4548" customFormat="false" ht="15.75" hidden="false" customHeight="false" outlineLevel="0" collapsed="false">
      <c r="AO4548" s="8" t="str">
        <f aca="false">IF(A4548="","",IF(COUNTIFS(全馬データ!$A$2:$A$50000,A4548,全馬データ!$B$2:$B$50000,B4548,全馬データ!$C$2:$C$50000,C4548,全馬データ!$D$2:$D$50000,E4548,全馬データ!$K$2:$K$50000,"&lt;&gt;")=0,"",SUMIFS(全馬データ!$K$2:$K$50000,全馬データ!$A$2:$A$50000,A4548,全馬データ!$B$2:$B$50000,B4548,全馬データ!$C$2:$C$50000,C4548,全馬データ!$D$2:$D$50000,E4548)))</f>
        <v/>
      </c>
      <c r="AP4548" s="8" t="str">
        <f aca="false">IF(A4548="","",IF(AO4548="","欠損",IF(AO4548&lt;=1.1,"1.0～1.1",IF(AO4548&lt;1.3,"1.2",IF(AO4548&lt;1.5,"1.3～1.4",IF(AO4548&lt;2,"1.5～1.9","2.0以上"))))))</f>
        <v/>
      </c>
      <c r="AQ4548" s="8" t="str">
        <f aca="false">IF(A4548="","",IF(ISNUMBER(SEARCH("2歳",Z4548)),"2歳戦",IF(ISNUMBER(SEARCH("3歳未勝利",Z4548)),"3歳未勝利",IF(ISNUMBER(SEARCH("未勝利",Z4548)),"その他未勝利",IF(ISNUMBER(SEARCH("G1",Z4548)),"G1",IF(ISNUMBER(SEARCH("G2",Z4548)),"G2",IF(ISNUMBER(SEARCH("G3",Z4548)),"G3",IF(ISNUMBER(SEARCH("古馬条件",Z4548)),"古馬条件戦",IF(ISNUMBER(SEARCH("重賞",Z4548)),"重賞","分類不能")))))))))</f>
        <v/>
      </c>
    </row>
    <row r="4549" customFormat="false" ht="15.75" hidden="false" customHeight="false" outlineLevel="0" collapsed="false">
      <c r="AO4549" s="8" t="str">
        <f aca="false">IF(A4549="","",IF(COUNTIFS(全馬データ!$A$2:$A$50000,A4549,全馬データ!$B$2:$B$50000,B4549,全馬データ!$C$2:$C$50000,C4549,全馬データ!$D$2:$D$50000,E4549,全馬データ!$K$2:$K$50000,"&lt;&gt;")=0,"",SUMIFS(全馬データ!$K$2:$K$50000,全馬データ!$A$2:$A$50000,A4549,全馬データ!$B$2:$B$50000,B4549,全馬データ!$C$2:$C$50000,C4549,全馬データ!$D$2:$D$50000,E4549)))</f>
        <v/>
      </c>
      <c r="AP4549" s="8" t="str">
        <f aca="false">IF(A4549="","",IF(AO4549="","欠損",IF(AO4549&lt;=1.1,"1.0～1.1",IF(AO4549&lt;1.3,"1.2",IF(AO4549&lt;1.5,"1.3～1.4",IF(AO4549&lt;2,"1.5～1.9","2.0以上"))))))</f>
        <v/>
      </c>
      <c r="AQ4549" s="8" t="str">
        <f aca="false">IF(A4549="","",IF(ISNUMBER(SEARCH("2歳",Z4549)),"2歳戦",IF(ISNUMBER(SEARCH("3歳未勝利",Z4549)),"3歳未勝利",IF(ISNUMBER(SEARCH("未勝利",Z4549)),"その他未勝利",IF(ISNUMBER(SEARCH("G1",Z4549)),"G1",IF(ISNUMBER(SEARCH("G2",Z4549)),"G2",IF(ISNUMBER(SEARCH("G3",Z4549)),"G3",IF(ISNUMBER(SEARCH("古馬条件",Z4549)),"古馬条件戦",IF(ISNUMBER(SEARCH("重賞",Z4549)),"重賞","分類不能")))))))))</f>
        <v/>
      </c>
    </row>
    <row r="4550" customFormat="false" ht="15.75" hidden="false" customHeight="false" outlineLevel="0" collapsed="false">
      <c r="AO4550" s="8" t="str">
        <f aca="false">IF(A4550="","",IF(COUNTIFS(全馬データ!$A$2:$A$50000,A4550,全馬データ!$B$2:$B$50000,B4550,全馬データ!$C$2:$C$50000,C4550,全馬データ!$D$2:$D$50000,E4550,全馬データ!$K$2:$K$50000,"&lt;&gt;")=0,"",SUMIFS(全馬データ!$K$2:$K$50000,全馬データ!$A$2:$A$50000,A4550,全馬データ!$B$2:$B$50000,B4550,全馬データ!$C$2:$C$50000,C4550,全馬データ!$D$2:$D$50000,E4550)))</f>
        <v/>
      </c>
      <c r="AP4550" s="8" t="str">
        <f aca="false">IF(A4550="","",IF(AO4550="","欠損",IF(AO4550&lt;=1.1,"1.0～1.1",IF(AO4550&lt;1.3,"1.2",IF(AO4550&lt;1.5,"1.3～1.4",IF(AO4550&lt;2,"1.5～1.9","2.0以上"))))))</f>
        <v/>
      </c>
      <c r="AQ4550" s="8" t="str">
        <f aca="false">IF(A4550="","",IF(ISNUMBER(SEARCH("2歳",Z4550)),"2歳戦",IF(ISNUMBER(SEARCH("3歳未勝利",Z4550)),"3歳未勝利",IF(ISNUMBER(SEARCH("未勝利",Z4550)),"その他未勝利",IF(ISNUMBER(SEARCH("G1",Z4550)),"G1",IF(ISNUMBER(SEARCH("G2",Z4550)),"G2",IF(ISNUMBER(SEARCH("G3",Z4550)),"G3",IF(ISNUMBER(SEARCH("古馬条件",Z4550)),"古馬条件戦",IF(ISNUMBER(SEARCH("重賞",Z4550)),"重賞","分類不能")))))))))</f>
        <v/>
      </c>
    </row>
    <row r="4551" customFormat="false" ht="15.75" hidden="false" customHeight="false" outlineLevel="0" collapsed="false">
      <c r="AO4551" s="8" t="str">
        <f aca="false">IF(A4551="","",IF(COUNTIFS(全馬データ!$A$2:$A$50000,A4551,全馬データ!$B$2:$B$50000,B4551,全馬データ!$C$2:$C$50000,C4551,全馬データ!$D$2:$D$50000,E4551,全馬データ!$K$2:$K$50000,"&lt;&gt;")=0,"",SUMIFS(全馬データ!$K$2:$K$50000,全馬データ!$A$2:$A$50000,A4551,全馬データ!$B$2:$B$50000,B4551,全馬データ!$C$2:$C$50000,C4551,全馬データ!$D$2:$D$50000,E4551)))</f>
        <v/>
      </c>
      <c r="AP4551" s="8" t="str">
        <f aca="false">IF(A4551="","",IF(AO4551="","欠損",IF(AO4551&lt;=1.1,"1.0～1.1",IF(AO4551&lt;1.3,"1.2",IF(AO4551&lt;1.5,"1.3～1.4",IF(AO4551&lt;2,"1.5～1.9","2.0以上"))))))</f>
        <v/>
      </c>
      <c r="AQ4551" s="8" t="str">
        <f aca="false">IF(A4551="","",IF(ISNUMBER(SEARCH("2歳",Z4551)),"2歳戦",IF(ISNUMBER(SEARCH("3歳未勝利",Z4551)),"3歳未勝利",IF(ISNUMBER(SEARCH("未勝利",Z4551)),"その他未勝利",IF(ISNUMBER(SEARCH("G1",Z4551)),"G1",IF(ISNUMBER(SEARCH("G2",Z4551)),"G2",IF(ISNUMBER(SEARCH("G3",Z4551)),"G3",IF(ISNUMBER(SEARCH("古馬条件",Z4551)),"古馬条件戦",IF(ISNUMBER(SEARCH("重賞",Z4551)),"重賞","分類不能")))))))))</f>
        <v/>
      </c>
    </row>
    <row r="4552" customFormat="false" ht="15.75" hidden="false" customHeight="false" outlineLevel="0" collapsed="false">
      <c r="AO4552" s="8" t="str">
        <f aca="false">IF(A4552="","",IF(COUNTIFS(全馬データ!$A$2:$A$50000,A4552,全馬データ!$B$2:$B$50000,B4552,全馬データ!$C$2:$C$50000,C4552,全馬データ!$D$2:$D$50000,E4552,全馬データ!$K$2:$K$50000,"&lt;&gt;")=0,"",SUMIFS(全馬データ!$K$2:$K$50000,全馬データ!$A$2:$A$50000,A4552,全馬データ!$B$2:$B$50000,B4552,全馬データ!$C$2:$C$50000,C4552,全馬データ!$D$2:$D$50000,E4552)))</f>
        <v/>
      </c>
      <c r="AP4552" s="8" t="str">
        <f aca="false">IF(A4552="","",IF(AO4552="","欠損",IF(AO4552&lt;=1.1,"1.0～1.1",IF(AO4552&lt;1.3,"1.2",IF(AO4552&lt;1.5,"1.3～1.4",IF(AO4552&lt;2,"1.5～1.9","2.0以上"))))))</f>
        <v/>
      </c>
      <c r="AQ4552" s="8" t="str">
        <f aca="false">IF(A4552="","",IF(ISNUMBER(SEARCH("2歳",Z4552)),"2歳戦",IF(ISNUMBER(SEARCH("3歳未勝利",Z4552)),"3歳未勝利",IF(ISNUMBER(SEARCH("未勝利",Z4552)),"その他未勝利",IF(ISNUMBER(SEARCH("G1",Z4552)),"G1",IF(ISNUMBER(SEARCH("G2",Z4552)),"G2",IF(ISNUMBER(SEARCH("G3",Z4552)),"G3",IF(ISNUMBER(SEARCH("古馬条件",Z4552)),"古馬条件戦",IF(ISNUMBER(SEARCH("重賞",Z4552)),"重賞","分類不能")))))))))</f>
        <v/>
      </c>
    </row>
    <row r="4553" customFormat="false" ht="15.75" hidden="false" customHeight="false" outlineLevel="0" collapsed="false">
      <c r="AO4553" s="8" t="str">
        <f aca="false">IF(A4553="","",IF(COUNTIFS(全馬データ!$A$2:$A$50000,A4553,全馬データ!$B$2:$B$50000,B4553,全馬データ!$C$2:$C$50000,C4553,全馬データ!$D$2:$D$50000,E4553,全馬データ!$K$2:$K$50000,"&lt;&gt;")=0,"",SUMIFS(全馬データ!$K$2:$K$50000,全馬データ!$A$2:$A$50000,A4553,全馬データ!$B$2:$B$50000,B4553,全馬データ!$C$2:$C$50000,C4553,全馬データ!$D$2:$D$50000,E4553)))</f>
        <v/>
      </c>
      <c r="AP4553" s="8" t="str">
        <f aca="false">IF(A4553="","",IF(AO4553="","欠損",IF(AO4553&lt;=1.1,"1.0～1.1",IF(AO4553&lt;1.3,"1.2",IF(AO4553&lt;1.5,"1.3～1.4",IF(AO4553&lt;2,"1.5～1.9","2.0以上"))))))</f>
        <v/>
      </c>
      <c r="AQ4553" s="8" t="str">
        <f aca="false">IF(A4553="","",IF(ISNUMBER(SEARCH("2歳",Z4553)),"2歳戦",IF(ISNUMBER(SEARCH("3歳未勝利",Z4553)),"3歳未勝利",IF(ISNUMBER(SEARCH("未勝利",Z4553)),"その他未勝利",IF(ISNUMBER(SEARCH("G1",Z4553)),"G1",IF(ISNUMBER(SEARCH("G2",Z4553)),"G2",IF(ISNUMBER(SEARCH("G3",Z4553)),"G3",IF(ISNUMBER(SEARCH("古馬条件",Z4553)),"古馬条件戦",IF(ISNUMBER(SEARCH("重賞",Z4553)),"重賞","分類不能")))))))))</f>
        <v/>
      </c>
    </row>
    <row r="4554" customFormat="false" ht="15.75" hidden="false" customHeight="false" outlineLevel="0" collapsed="false">
      <c r="AO4554" s="8" t="str">
        <f aca="false">IF(A4554="","",IF(COUNTIFS(全馬データ!$A$2:$A$50000,A4554,全馬データ!$B$2:$B$50000,B4554,全馬データ!$C$2:$C$50000,C4554,全馬データ!$D$2:$D$50000,E4554,全馬データ!$K$2:$K$50000,"&lt;&gt;")=0,"",SUMIFS(全馬データ!$K$2:$K$50000,全馬データ!$A$2:$A$50000,A4554,全馬データ!$B$2:$B$50000,B4554,全馬データ!$C$2:$C$50000,C4554,全馬データ!$D$2:$D$50000,E4554)))</f>
        <v/>
      </c>
      <c r="AP4554" s="8" t="str">
        <f aca="false">IF(A4554="","",IF(AO4554="","欠損",IF(AO4554&lt;=1.1,"1.0～1.1",IF(AO4554&lt;1.3,"1.2",IF(AO4554&lt;1.5,"1.3～1.4",IF(AO4554&lt;2,"1.5～1.9","2.0以上"))))))</f>
        <v/>
      </c>
      <c r="AQ4554" s="8" t="str">
        <f aca="false">IF(A4554="","",IF(ISNUMBER(SEARCH("2歳",Z4554)),"2歳戦",IF(ISNUMBER(SEARCH("3歳未勝利",Z4554)),"3歳未勝利",IF(ISNUMBER(SEARCH("未勝利",Z4554)),"その他未勝利",IF(ISNUMBER(SEARCH("G1",Z4554)),"G1",IF(ISNUMBER(SEARCH("G2",Z4554)),"G2",IF(ISNUMBER(SEARCH("G3",Z4554)),"G3",IF(ISNUMBER(SEARCH("古馬条件",Z4554)),"古馬条件戦",IF(ISNUMBER(SEARCH("重賞",Z4554)),"重賞","分類不能")))))))))</f>
        <v/>
      </c>
    </row>
    <row r="4555" customFormat="false" ht="15.75" hidden="false" customHeight="false" outlineLevel="0" collapsed="false">
      <c r="AO4555" s="8" t="str">
        <f aca="false">IF(A4555="","",IF(COUNTIFS(全馬データ!$A$2:$A$50000,A4555,全馬データ!$B$2:$B$50000,B4555,全馬データ!$C$2:$C$50000,C4555,全馬データ!$D$2:$D$50000,E4555,全馬データ!$K$2:$K$50000,"&lt;&gt;")=0,"",SUMIFS(全馬データ!$K$2:$K$50000,全馬データ!$A$2:$A$50000,A4555,全馬データ!$B$2:$B$50000,B4555,全馬データ!$C$2:$C$50000,C4555,全馬データ!$D$2:$D$50000,E4555)))</f>
        <v/>
      </c>
      <c r="AP4555" s="8" t="str">
        <f aca="false">IF(A4555="","",IF(AO4555="","欠損",IF(AO4555&lt;=1.1,"1.0～1.1",IF(AO4555&lt;1.3,"1.2",IF(AO4555&lt;1.5,"1.3～1.4",IF(AO4555&lt;2,"1.5～1.9","2.0以上"))))))</f>
        <v/>
      </c>
      <c r="AQ4555" s="8" t="str">
        <f aca="false">IF(A4555="","",IF(ISNUMBER(SEARCH("2歳",Z4555)),"2歳戦",IF(ISNUMBER(SEARCH("3歳未勝利",Z4555)),"3歳未勝利",IF(ISNUMBER(SEARCH("未勝利",Z4555)),"その他未勝利",IF(ISNUMBER(SEARCH("G1",Z4555)),"G1",IF(ISNUMBER(SEARCH("G2",Z4555)),"G2",IF(ISNUMBER(SEARCH("G3",Z4555)),"G3",IF(ISNUMBER(SEARCH("古馬条件",Z4555)),"古馬条件戦",IF(ISNUMBER(SEARCH("重賞",Z4555)),"重賞","分類不能")))))))))</f>
        <v/>
      </c>
    </row>
    <row r="4556" customFormat="false" ht="15.75" hidden="false" customHeight="false" outlineLevel="0" collapsed="false">
      <c r="AO4556" s="8" t="str">
        <f aca="false">IF(A4556="","",IF(COUNTIFS(全馬データ!$A$2:$A$50000,A4556,全馬データ!$B$2:$B$50000,B4556,全馬データ!$C$2:$C$50000,C4556,全馬データ!$D$2:$D$50000,E4556,全馬データ!$K$2:$K$50000,"&lt;&gt;")=0,"",SUMIFS(全馬データ!$K$2:$K$50000,全馬データ!$A$2:$A$50000,A4556,全馬データ!$B$2:$B$50000,B4556,全馬データ!$C$2:$C$50000,C4556,全馬データ!$D$2:$D$50000,E4556)))</f>
        <v/>
      </c>
      <c r="AP4556" s="8" t="str">
        <f aca="false">IF(A4556="","",IF(AO4556="","欠損",IF(AO4556&lt;=1.1,"1.0～1.1",IF(AO4556&lt;1.3,"1.2",IF(AO4556&lt;1.5,"1.3～1.4",IF(AO4556&lt;2,"1.5～1.9","2.0以上"))))))</f>
        <v/>
      </c>
      <c r="AQ4556" s="8" t="str">
        <f aca="false">IF(A4556="","",IF(ISNUMBER(SEARCH("2歳",Z4556)),"2歳戦",IF(ISNUMBER(SEARCH("3歳未勝利",Z4556)),"3歳未勝利",IF(ISNUMBER(SEARCH("未勝利",Z4556)),"その他未勝利",IF(ISNUMBER(SEARCH("G1",Z4556)),"G1",IF(ISNUMBER(SEARCH("G2",Z4556)),"G2",IF(ISNUMBER(SEARCH("G3",Z4556)),"G3",IF(ISNUMBER(SEARCH("古馬条件",Z4556)),"古馬条件戦",IF(ISNUMBER(SEARCH("重賞",Z4556)),"重賞","分類不能")))))))))</f>
        <v/>
      </c>
    </row>
    <row r="4557" customFormat="false" ht="15.75" hidden="false" customHeight="false" outlineLevel="0" collapsed="false">
      <c r="AO4557" s="8" t="str">
        <f aca="false">IF(A4557="","",IF(COUNTIFS(全馬データ!$A$2:$A$50000,A4557,全馬データ!$B$2:$B$50000,B4557,全馬データ!$C$2:$C$50000,C4557,全馬データ!$D$2:$D$50000,E4557,全馬データ!$K$2:$K$50000,"&lt;&gt;")=0,"",SUMIFS(全馬データ!$K$2:$K$50000,全馬データ!$A$2:$A$50000,A4557,全馬データ!$B$2:$B$50000,B4557,全馬データ!$C$2:$C$50000,C4557,全馬データ!$D$2:$D$50000,E4557)))</f>
        <v/>
      </c>
      <c r="AP4557" s="8" t="str">
        <f aca="false">IF(A4557="","",IF(AO4557="","欠損",IF(AO4557&lt;=1.1,"1.0～1.1",IF(AO4557&lt;1.3,"1.2",IF(AO4557&lt;1.5,"1.3～1.4",IF(AO4557&lt;2,"1.5～1.9","2.0以上"))))))</f>
        <v/>
      </c>
      <c r="AQ4557" s="8" t="str">
        <f aca="false">IF(A4557="","",IF(ISNUMBER(SEARCH("2歳",Z4557)),"2歳戦",IF(ISNUMBER(SEARCH("3歳未勝利",Z4557)),"3歳未勝利",IF(ISNUMBER(SEARCH("未勝利",Z4557)),"その他未勝利",IF(ISNUMBER(SEARCH("G1",Z4557)),"G1",IF(ISNUMBER(SEARCH("G2",Z4557)),"G2",IF(ISNUMBER(SEARCH("G3",Z4557)),"G3",IF(ISNUMBER(SEARCH("古馬条件",Z4557)),"古馬条件戦",IF(ISNUMBER(SEARCH("重賞",Z4557)),"重賞","分類不能")))))))))</f>
        <v/>
      </c>
    </row>
    <row r="4558" customFormat="false" ht="15.75" hidden="false" customHeight="false" outlineLevel="0" collapsed="false">
      <c r="AO4558" s="8" t="str">
        <f aca="false">IF(A4558="","",IF(COUNTIFS(全馬データ!$A$2:$A$50000,A4558,全馬データ!$B$2:$B$50000,B4558,全馬データ!$C$2:$C$50000,C4558,全馬データ!$D$2:$D$50000,E4558,全馬データ!$K$2:$K$50000,"&lt;&gt;")=0,"",SUMIFS(全馬データ!$K$2:$K$50000,全馬データ!$A$2:$A$50000,A4558,全馬データ!$B$2:$B$50000,B4558,全馬データ!$C$2:$C$50000,C4558,全馬データ!$D$2:$D$50000,E4558)))</f>
        <v/>
      </c>
      <c r="AP4558" s="8" t="str">
        <f aca="false">IF(A4558="","",IF(AO4558="","欠損",IF(AO4558&lt;=1.1,"1.0～1.1",IF(AO4558&lt;1.3,"1.2",IF(AO4558&lt;1.5,"1.3～1.4",IF(AO4558&lt;2,"1.5～1.9","2.0以上"))))))</f>
        <v/>
      </c>
      <c r="AQ4558" s="8" t="str">
        <f aca="false">IF(A4558="","",IF(ISNUMBER(SEARCH("2歳",Z4558)),"2歳戦",IF(ISNUMBER(SEARCH("3歳未勝利",Z4558)),"3歳未勝利",IF(ISNUMBER(SEARCH("未勝利",Z4558)),"その他未勝利",IF(ISNUMBER(SEARCH("G1",Z4558)),"G1",IF(ISNUMBER(SEARCH("G2",Z4558)),"G2",IF(ISNUMBER(SEARCH("G3",Z4558)),"G3",IF(ISNUMBER(SEARCH("古馬条件",Z4558)),"古馬条件戦",IF(ISNUMBER(SEARCH("重賞",Z4558)),"重賞","分類不能")))))))))</f>
        <v/>
      </c>
    </row>
    <row r="4559" customFormat="false" ht="15.75" hidden="false" customHeight="false" outlineLevel="0" collapsed="false">
      <c r="AO4559" s="8" t="str">
        <f aca="false">IF(A4559="","",IF(COUNTIFS(全馬データ!$A$2:$A$50000,A4559,全馬データ!$B$2:$B$50000,B4559,全馬データ!$C$2:$C$50000,C4559,全馬データ!$D$2:$D$50000,E4559,全馬データ!$K$2:$K$50000,"&lt;&gt;")=0,"",SUMIFS(全馬データ!$K$2:$K$50000,全馬データ!$A$2:$A$50000,A4559,全馬データ!$B$2:$B$50000,B4559,全馬データ!$C$2:$C$50000,C4559,全馬データ!$D$2:$D$50000,E4559)))</f>
        <v/>
      </c>
      <c r="AP4559" s="8" t="str">
        <f aca="false">IF(A4559="","",IF(AO4559="","欠損",IF(AO4559&lt;=1.1,"1.0～1.1",IF(AO4559&lt;1.3,"1.2",IF(AO4559&lt;1.5,"1.3～1.4",IF(AO4559&lt;2,"1.5～1.9","2.0以上"))))))</f>
        <v/>
      </c>
      <c r="AQ4559" s="8" t="str">
        <f aca="false">IF(A4559="","",IF(ISNUMBER(SEARCH("2歳",Z4559)),"2歳戦",IF(ISNUMBER(SEARCH("3歳未勝利",Z4559)),"3歳未勝利",IF(ISNUMBER(SEARCH("未勝利",Z4559)),"その他未勝利",IF(ISNUMBER(SEARCH("G1",Z4559)),"G1",IF(ISNUMBER(SEARCH("G2",Z4559)),"G2",IF(ISNUMBER(SEARCH("G3",Z4559)),"G3",IF(ISNUMBER(SEARCH("古馬条件",Z4559)),"古馬条件戦",IF(ISNUMBER(SEARCH("重賞",Z4559)),"重賞","分類不能")))))))))</f>
        <v/>
      </c>
    </row>
    <row r="4560" customFormat="false" ht="15.75" hidden="false" customHeight="false" outlineLevel="0" collapsed="false">
      <c r="AO4560" s="8" t="str">
        <f aca="false">IF(A4560="","",IF(COUNTIFS(全馬データ!$A$2:$A$50000,A4560,全馬データ!$B$2:$B$50000,B4560,全馬データ!$C$2:$C$50000,C4560,全馬データ!$D$2:$D$50000,E4560,全馬データ!$K$2:$K$50000,"&lt;&gt;")=0,"",SUMIFS(全馬データ!$K$2:$K$50000,全馬データ!$A$2:$A$50000,A4560,全馬データ!$B$2:$B$50000,B4560,全馬データ!$C$2:$C$50000,C4560,全馬データ!$D$2:$D$50000,E4560)))</f>
        <v/>
      </c>
      <c r="AP4560" s="8" t="str">
        <f aca="false">IF(A4560="","",IF(AO4560="","欠損",IF(AO4560&lt;=1.1,"1.0～1.1",IF(AO4560&lt;1.3,"1.2",IF(AO4560&lt;1.5,"1.3～1.4",IF(AO4560&lt;2,"1.5～1.9","2.0以上"))))))</f>
        <v/>
      </c>
      <c r="AQ4560" s="8" t="str">
        <f aca="false">IF(A4560="","",IF(ISNUMBER(SEARCH("2歳",Z4560)),"2歳戦",IF(ISNUMBER(SEARCH("3歳未勝利",Z4560)),"3歳未勝利",IF(ISNUMBER(SEARCH("未勝利",Z4560)),"その他未勝利",IF(ISNUMBER(SEARCH("G1",Z4560)),"G1",IF(ISNUMBER(SEARCH("G2",Z4560)),"G2",IF(ISNUMBER(SEARCH("G3",Z4560)),"G3",IF(ISNUMBER(SEARCH("古馬条件",Z4560)),"古馬条件戦",IF(ISNUMBER(SEARCH("重賞",Z4560)),"重賞","分類不能")))))))))</f>
        <v/>
      </c>
    </row>
    <row r="4561" customFormat="false" ht="15.75" hidden="false" customHeight="false" outlineLevel="0" collapsed="false">
      <c r="AO4561" s="8" t="str">
        <f aca="false">IF(A4561="","",IF(COUNTIFS(全馬データ!$A$2:$A$50000,A4561,全馬データ!$B$2:$B$50000,B4561,全馬データ!$C$2:$C$50000,C4561,全馬データ!$D$2:$D$50000,E4561,全馬データ!$K$2:$K$50000,"&lt;&gt;")=0,"",SUMIFS(全馬データ!$K$2:$K$50000,全馬データ!$A$2:$A$50000,A4561,全馬データ!$B$2:$B$50000,B4561,全馬データ!$C$2:$C$50000,C4561,全馬データ!$D$2:$D$50000,E4561)))</f>
        <v/>
      </c>
      <c r="AP4561" s="8" t="str">
        <f aca="false">IF(A4561="","",IF(AO4561="","欠損",IF(AO4561&lt;=1.1,"1.0～1.1",IF(AO4561&lt;1.3,"1.2",IF(AO4561&lt;1.5,"1.3～1.4",IF(AO4561&lt;2,"1.5～1.9","2.0以上"))))))</f>
        <v/>
      </c>
      <c r="AQ4561" s="8" t="str">
        <f aca="false">IF(A4561="","",IF(ISNUMBER(SEARCH("2歳",Z4561)),"2歳戦",IF(ISNUMBER(SEARCH("3歳未勝利",Z4561)),"3歳未勝利",IF(ISNUMBER(SEARCH("未勝利",Z4561)),"その他未勝利",IF(ISNUMBER(SEARCH("G1",Z4561)),"G1",IF(ISNUMBER(SEARCH("G2",Z4561)),"G2",IF(ISNUMBER(SEARCH("G3",Z4561)),"G3",IF(ISNUMBER(SEARCH("古馬条件",Z4561)),"古馬条件戦",IF(ISNUMBER(SEARCH("重賞",Z4561)),"重賞","分類不能")))))))))</f>
        <v/>
      </c>
    </row>
    <row r="4562" customFormat="false" ht="15.75" hidden="false" customHeight="false" outlineLevel="0" collapsed="false">
      <c r="AO4562" s="8" t="str">
        <f aca="false">IF(A4562="","",IF(COUNTIFS(全馬データ!$A$2:$A$50000,A4562,全馬データ!$B$2:$B$50000,B4562,全馬データ!$C$2:$C$50000,C4562,全馬データ!$D$2:$D$50000,E4562,全馬データ!$K$2:$K$50000,"&lt;&gt;")=0,"",SUMIFS(全馬データ!$K$2:$K$50000,全馬データ!$A$2:$A$50000,A4562,全馬データ!$B$2:$B$50000,B4562,全馬データ!$C$2:$C$50000,C4562,全馬データ!$D$2:$D$50000,E4562)))</f>
        <v/>
      </c>
      <c r="AP4562" s="8" t="str">
        <f aca="false">IF(A4562="","",IF(AO4562="","欠損",IF(AO4562&lt;=1.1,"1.0～1.1",IF(AO4562&lt;1.3,"1.2",IF(AO4562&lt;1.5,"1.3～1.4",IF(AO4562&lt;2,"1.5～1.9","2.0以上"))))))</f>
        <v/>
      </c>
      <c r="AQ4562" s="8" t="str">
        <f aca="false">IF(A4562="","",IF(ISNUMBER(SEARCH("2歳",Z4562)),"2歳戦",IF(ISNUMBER(SEARCH("3歳未勝利",Z4562)),"3歳未勝利",IF(ISNUMBER(SEARCH("未勝利",Z4562)),"その他未勝利",IF(ISNUMBER(SEARCH("G1",Z4562)),"G1",IF(ISNUMBER(SEARCH("G2",Z4562)),"G2",IF(ISNUMBER(SEARCH("G3",Z4562)),"G3",IF(ISNUMBER(SEARCH("古馬条件",Z4562)),"古馬条件戦",IF(ISNUMBER(SEARCH("重賞",Z4562)),"重賞","分類不能")))))))))</f>
        <v/>
      </c>
    </row>
    <row r="4563" customFormat="false" ht="15.75" hidden="false" customHeight="false" outlineLevel="0" collapsed="false">
      <c r="AO4563" s="8" t="str">
        <f aca="false">IF(A4563="","",IF(COUNTIFS(全馬データ!$A$2:$A$50000,A4563,全馬データ!$B$2:$B$50000,B4563,全馬データ!$C$2:$C$50000,C4563,全馬データ!$D$2:$D$50000,E4563,全馬データ!$K$2:$K$50000,"&lt;&gt;")=0,"",SUMIFS(全馬データ!$K$2:$K$50000,全馬データ!$A$2:$A$50000,A4563,全馬データ!$B$2:$B$50000,B4563,全馬データ!$C$2:$C$50000,C4563,全馬データ!$D$2:$D$50000,E4563)))</f>
        <v/>
      </c>
      <c r="AP4563" s="8" t="str">
        <f aca="false">IF(A4563="","",IF(AO4563="","欠損",IF(AO4563&lt;=1.1,"1.0～1.1",IF(AO4563&lt;1.3,"1.2",IF(AO4563&lt;1.5,"1.3～1.4",IF(AO4563&lt;2,"1.5～1.9","2.0以上"))))))</f>
        <v/>
      </c>
      <c r="AQ4563" s="8" t="str">
        <f aca="false">IF(A4563="","",IF(ISNUMBER(SEARCH("2歳",Z4563)),"2歳戦",IF(ISNUMBER(SEARCH("3歳未勝利",Z4563)),"3歳未勝利",IF(ISNUMBER(SEARCH("未勝利",Z4563)),"その他未勝利",IF(ISNUMBER(SEARCH("G1",Z4563)),"G1",IF(ISNUMBER(SEARCH("G2",Z4563)),"G2",IF(ISNUMBER(SEARCH("G3",Z4563)),"G3",IF(ISNUMBER(SEARCH("古馬条件",Z4563)),"古馬条件戦",IF(ISNUMBER(SEARCH("重賞",Z4563)),"重賞","分類不能")))))))))</f>
        <v/>
      </c>
    </row>
    <row r="4564" customFormat="false" ht="15.75" hidden="false" customHeight="false" outlineLevel="0" collapsed="false">
      <c r="AO4564" s="8" t="str">
        <f aca="false">IF(A4564="","",IF(COUNTIFS(全馬データ!$A$2:$A$50000,A4564,全馬データ!$B$2:$B$50000,B4564,全馬データ!$C$2:$C$50000,C4564,全馬データ!$D$2:$D$50000,E4564,全馬データ!$K$2:$K$50000,"&lt;&gt;")=0,"",SUMIFS(全馬データ!$K$2:$K$50000,全馬データ!$A$2:$A$50000,A4564,全馬データ!$B$2:$B$50000,B4564,全馬データ!$C$2:$C$50000,C4564,全馬データ!$D$2:$D$50000,E4564)))</f>
        <v/>
      </c>
      <c r="AP4564" s="8" t="str">
        <f aca="false">IF(A4564="","",IF(AO4564="","欠損",IF(AO4564&lt;=1.1,"1.0～1.1",IF(AO4564&lt;1.3,"1.2",IF(AO4564&lt;1.5,"1.3～1.4",IF(AO4564&lt;2,"1.5～1.9","2.0以上"))))))</f>
        <v/>
      </c>
      <c r="AQ4564" s="8" t="str">
        <f aca="false">IF(A4564="","",IF(ISNUMBER(SEARCH("2歳",Z4564)),"2歳戦",IF(ISNUMBER(SEARCH("3歳未勝利",Z4564)),"3歳未勝利",IF(ISNUMBER(SEARCH("未勝利",Z4564)),"その他未勝利",IF(ISNUMBER(SEARCH("G1",Z4564)),"G1",IF(ISNUMBER(SEARCH("G2",Z4564)),"G2",IF(ISNUMBER(SEARCH("G3",Z4564)),"G3",IF(ISNUMBER(SEARCH("古馬条件",Z4564)),"古馬条件戦",IF(ISNUMBER(SEARCH("重賞",Z4564)),"重賞","分類不能")))))))))</f>
        <v/>
      </c>
    </row>
    <row r="4565" customFormat="false" ht="15.75" hidden="false" customHeight="false" outlineLevel="0" collapsed="false">
      <c r="AO4565" s="8" t="str">
        <f aca="false">IF(A4565="","",IF(COUNTIFS(全馬データ!$A$2:$A$50000,A4565,全馬データ!$B$2:$B$50000,B4565,全馬データ!$C$2:$C$50000,C4565,全馬データ!$D$2:$D$50000,E4565,全馬データ!$K$2:$K$50000,"&lt;&gt;")=0,"",SUMIFS(全馬データ!$K$2:$K$50000,全馬データ!$A$2:$A$50000,A4565,全馬データ!$B$2:$B$50000,B4565,全馬データ!$C$2:$C$50000,C4565,全馬データ!$D$2:$D$50000,E4565)))</f>
        <v/>
      </c>
      <c r="AP4565" s="8" t="str">
        <f aca="false">IF(A4565="","",IF(AO4565="","欠損",IF(AO4565&lt;=1.1,"1.0～1.1",IF(AO4565&lt;1.3,"1.2",IF(AO4565&lt;1.5,"1.3～1.4",IF(AO4565&lt;2,"1.5～1.9","2.0以上"))))))</f>
        <v/>
      </c>
      <c r="AQ4565" s="8" t="str">
        <f aca="false">IF(A4565="","",IF(ISNUMBER(SEARCH("2歳",Z4565)),"2歳戦",IF(ISNUMBER(SEARCH("3歳未勝利",Z4565)),"3歳未勝利",IF(ISNUMBER(SEARCH("未勝利",Z4565)),"その他未勝利",IF(ISNUMBER(SEARCH("G1",Z4565)),"G1",IF(ISNUMBER(SEARCH("G2",Z4565)),"G2",IF(ISNUMBER(SEARCH("G3",Z4565)),"G3",IF(ISNUMBER(SEARCH("古馬条件",Z4565)),"古馬条件戦",IF(ISNUMBER(SEARCH("重賞",Z4565)),"重賞","分類不能")))))))))</f>
        <v/>
      </c>
    </row>
    <row r="4566" customFormat="false" ht="15.75" hidden="false" customHeight="false" outlineLevel="0" collapsed="false">
      <c r="AO4566" s="8" t="str">
        <f aca="false">IF(A4566="","",IF(COUNTIFS(全馬データ!$A$2:$A$50000,A4566,全馬データ!$B$2:$B$50000,B4566,全馬データ!$C$2:$C$50000,C4566,全馬データ!$D$2:$D$50000,E4566,全馬データ!$K$2:$K$50000,"&lt;&gt;")=0,"",SUMIFS(全馬データ!$K$2:$K$50000,全馬データ!$A$2:$A$50000,A4566,全馬データ!$B$2:$B$50000,B4566,全馬データ!$C$2:$C$50000,C4566,全馬データ!$D$2:$D$50000,E4566)))</f>
        <v/>
      </c>
      <c r="AP4566" s="8" t="str">
        <f aca="false">IF(A4566="","",IF(AO4566="","欠損",IF(AO4566&lt;=1.1,"1.0～1.1",IF(AO4566&lt;1.3,"1.2",IF(AO4566&lt;1.5,"1.3～1.4",IF(AO4566&lt;2,"1.5～1.9","2.0以上"))))))</f>
        <v/>
      </c>
      <c r="AQ4566" s="8" t="str">
        <f aca="false">IF(A4566="","",IF(ISNUMBER(SEARCH("2歳",Z4566)),"2歳戦",IF(ISNUMBER(SEARCH("3歳未勝利",Z4566)),"3歳未勝利",IF(ISNUMBER(SEARCH("未勝利",Z4566)),"その他未勝利",IF(ISNUMBER(SEARCH("G1",Z4566)),"G1",IF(ISNUMBER(SEARCH("G2",Z4566)),"G2",IF(ISNUMBER(SEARCH("G3",Z4566)),"G3",IF(ISNUMBER(SEARCH("古馬条件",Z4566)),"古馬条件戦",IF(ISNUMBER(SEARCH("重賞",Z4566)),"重賞","分類不能")))))))))</f>
        <v/>
      </c>
    </row>
    <row r="4567" customFormat="false" ht="15.75" hidden="false" customHeight="false" outlineLevel="0" collapsed="false">
      <c r="AO4567" s="8" t="str">
        <f aca="false">IF(A4567="","",IF(COUNTIFS(全馬データ!$A$2:$A$50000,A4567,全馬データ!$B$2:$B$50000,B4567,全馬データ!$C$2:$C$50000,C4567,全馬データ!$D$2:$D$50000,E4567,全馬データ!$K$2:$K$50000,"&lt;&gt;")=0,"",SUMIFS(全馬データ!$K$2:$K$50000,全馬データ!$A$2:$A$50000,A4567,全馬データ!$B$2:$B$50000,B4567,全馬データ!$C$2:$C$50000,C4567,全馬データ!$D$2:$D$50000,E4567)))</f>
        <v/>
      </c>
      <c r="AP4567" s="8" t="str">
        <f aca="false">IF(A4567="","",IF(AO4567="","欠損",IF(AO4567&lt;=1.1,"1.0～1.1",IF(AO4567&lt;1.3,"1.2",IF(AO4567&lt;1.5,"1.3～1.4",IF(AO4567&lt;2,"1.5～1.9","2.0以上"))))))</f>
        <v/>
      </c>
      <c r="AQ4567" s="8" t="str">
        <f aca="false">IF(A4567="","",IF(ISNUMBER(SEARCH("2歳",Z4567)),"2歳戦",IF(ISNUMBER(SEARCH("3歳未勝利",Z4567)),"3歳未勝利",IF(ISNUMBER(SEARCH("未勝利",Z4567)),"その他未勝利",IF(ISNUMBER(SEARCH("G1",Z4567)),"G1",IF(ISNUMBER(SEARCH("G2",Z4567)),"G2",IF(ISNUMBER(SEARCH("G3",Z4567)),"G3",IF(ISNUMBER(SEARCH("古馬条件",Z4567)),"古馬条件戦",IF(ISNUMBER(SEARCH("重賞",Z4567)),"重賞","分類不能")))))))))</f>
        <v/>
      </c>
    </row>
    <row r="4568" customFormat="false" ht="15.75" hidden="false" customHeight="false" outlineLevel="0" collapsed="false">
      <c r="AO4568" s="8" t="str">
        <f aca="false">IF(A4568="","",IF(COUNTIFS(全馬データ!$A$2:$A$50000,A4568,全馬データ!$B$2:$B$50000,B4568,全馬データ!$C$2:$C$50000,C4568,全馬データ!$D$2:$D$50000,E4568,全馬データ!$K$2:$K$50000,"&lt;&gt;")=0,"",SUMIFS(全馬データ!$K$2:$K$50000,全馬データ!$A$2:$A$50000,A4568,全馬データ!$B$2:$B$50000,B4568,全馬データ!$C$2:$C$50000,C4568,全馬データ!$D$2:$D$50000,E4568)))</f>
        <v/>
      </c>
      <c r="AP4568" s="8" t="str">
        <f aca="false">IF(A4568="","",IF(AO4568="","欠損",IF(AO4568&lt;=1.1,"1.0～1.1",IF(AO4568&lt;1.3,"1.2",IF(AO4568&lt;1.5,"1.3～1.4",IF(AO4568&lt;2,"1.5～1.9","2.0以上"))))))</f>
        <v/>
      </c>
      <c r="AQ4568" s="8" t="str">
        <f aca="false">IF(A4568="","",IF(ISNUMBER(SEARCH("2歳",Z4568)),"2歳戦",IF(ISNUMBER(SEARCH("3歳未勝利",Z4568)),"3歳未勝利",IF(ISNUMBER(SEARCH("未勝利",Z4568)),"その他未勝利",IF(ISNUMBER(SEARCH("G1",Z4568)),"G1",IF(ISNUMBER(SEARCH("G2",Z4568)),"G2",IF(ISNUMBER(SEARCH("G3",Z4568)),"G3",IF(ISNUMBER(SEARCH("古馬条件",Z4568)),"古馬条件戦",IF(ISNUMBER(SEARCH("重賞",Z4568)),"重賞","分類不能")))))))))</f>
        <v/>
      </c>
    </row>
    <row r="4569" customFormat="false" ht="15.75" hidden="false" customHeight="false" outlineLevel="0" collapsed="false">
      <c r="AO4569" s="8" t="str">
        <f aca="false">IF(A4569="","",IF(COUNTIFS(全馬データ!$A$2:$A$50000,A4569,全馬データ!$B$2:$B$50000,B4569,全馬データ!$C$2:$C$50000,C4569,全馬データ!$D$2:$D$50000,E4569,全馬データ!$K$2:$K$50000,"&lt;&gt;")=0,"",SUMIFS(全馬データ!$K$2:$K$50000,全馬データ!$A$2:$A$50000,A4569,全馬データ!$B$2:$B$50000,B4569,全馬データ!$C$2:$C$50000,C4569,全馬データ!$D$2:$D$50000,E4569)))</f>
        <v/>
      </c>
      <c r="AP4569" s="8" t="str">
        <f aca="false">IF(A4569="","",IF(AO4569="","欠損",IF(AO4569&lt;=1.1,"1.0～1.1",IF(AO4569&lt;1.3,"1.2",IF(AO4569&lt;1.5,"1.3～1.4",IF(AO4569&lt;2,"1.5～1.9","2.0以上"))))))</f>
        <v/>
      </c>
      <c r="AQ4569" s="8" t="str">
        <f aca="false">IF(A4569="","",IF(ISNUMBER(SEARCH("2歳",Z4569)),"2歳戦",IF(ISNUMBER(SEARCH("3歳未勝利",Z4569)),"3歳未勝利",IF(ISNUMBER(SEARCH("未勝利",Z4569)),"その他未勝利",IF(ISNUMBER(SEARCH("G1",Z4569)),"G1",IF(ISNUMBER(SEARCH("G2",Z4569)),"G2",IF(ISNUMBER(SEARCH("G3",Z4569)),"G3",IF(ISNUMBER(SEARCH("古馬条件",Z4569)),"古馬条件戦",IF(ISNUMBER(SEARCH("重賞",Z4569)),"重賞","分類不能")))))))))</f>
        <v/>
      </c>
    </row>
    <row r="4570" customFormat="false" ht="15.75" hidden="false" customHeight="false" outlineLevel="0" collapsed="false">
      <c r="AO4570" s="8" t="str">
        <f aca="false">IF(A4570="","",IF(COUNTIFS(全馬データ!$A$2:$A$50000,A4570,全馬データ!$B$2:$B$50000,B4570,全馬データ!$C$2:$C$50000,C4570,全馬データ!$D$2:$D$50000,E4570,全馬データ!$K$2:$K$50000,"&lt;&gt;")=0,"",SUMIFS(全馬データ!$K$2:$K$50000,全馬データ!$A$2:$A$50000,A4570,全馬データ!$B$2:$B$50000,B4570,全馬データ!$C$2:$C$50000,C4570,全馬データ!$D$2:$D$50000,E4570)))</f>
        <v/>
      </c>
      <c r="AP4570" s="8" t="str">
        <f aca="false">IF(A4570="","",IF(AO4570="","欠損",IF(AO4570&lt;=1.1,"1.0～1.1",IF(AO4570&lt;1.3,"1.2",IF(AO4570&lt;1.5,"1.3～1.4",IF(AO4570&lt;2,"1.5～1.9","2.0以上"))))))</f>
        <v/>
      </c>
      <c r="AQ4570" s="8" t="str">
        <f aca="false">IF(A4570="","",IF(ISNUMBER(SEARCH("2歳",Z4570)),"2歳戦",IF(ISNUMBER(SEARCH("3歳未勝利",Z4570)),"3歳未勝利",IF(ISNUMBER(SEARCH("未勝利",Z4570)),"その他未勝利",IF(ISNUMBER(SEARCH("G1",Z4570)),"G1",IF(ISNUMBER(SEARCH("G2",Z4570)),"G2",IF(ISNUMBER(SEARCH("G3",Z4570)),"G3",IF(ISNUMBER(SEARCH("古馬条件",Z4570)),"古馬条件戦",IF(ISNUMBER(SEARCH("重賞",Z4570)),"重賞","分類不能")))))))))</f>
        <v/>
      </c>
    </row>
    <row r="4571" customFormat="false" ht="15.75" hidden="false" customHeight="false" outlineLevel="0" collapsed="false">
      <c r="AO4571" s="8" t="str">
        <f aca="false">IF(A4571="","",IF(COUNTIFS(全馬データ!$A$2:$A$50000,A4571,全馬データ!$B$2:$B$50000,B4571,全馬データ!$C$2:$C$50000,C4571,全馬データ!$D$2:$D$50000,E4571,全馬データ!$K$2:$K$50000,"&lt;&gt;")=0,"",SUMIFS(全馬データ!$K$2:$K$50000,全馬データ!$A$2:$A$50000,A4571,全馬データ!$B$2:$B$50000,B4571,全馬データ!$C$2:$C$50000,C4571,全馬データ!$D$2:$D$50000,E4571)))</f>
        <v/>
      </c>
      <c r="AP4571" s="8" t="str">
        <f aca="false">IF(A4571="","",IF(AO4571="","欠損",IF(AO4571&lt;=1.1,"1.0～1.1",IF(AO4571&lt;1.3,"1.2",IF(AO4571&lt;1.5,"1.3～1.4",IF(AO4571&lt;2,"1.5～1.9","2.0以上"))))))</f>
        <v/>
      </c>
      <c r="AQ4571" s="8" t="str">
        <f aca="false">IF(A4571="","",IF(ISNUMBER(SEARCH("2歳",Z4571)),"2歳戦",IF(ISNUMBER(SEARCH("3歳未勝利",Z4571)),"3歳未勝利",IF(ISNUMBER(SEARCH("未勝利",Z4571)),"その他未勝利",IF(ISNUMBER(SEARCH("G1",Z4571)),"G1",IF(ISNUMBER(SEARCH("G2",Z4571)),"G2",IF(ISNUMBER(SEARCH("G3",Z4571)),"G3",IF(ISNUMBER(SEARCH("古馬条件",Z4571)),"古馬条件戦",IF(ISNUMBER(SEARCH("重賞",Z4571)),"重賞","分類不能")))))))))</f>
        <v/>
      </c>
    </row>
    <row r="4572" customFormat="false" ht="15.75" hidden="false" customHeight="false" outlineLevel="0" collapsed="false">
      <c r="AO4572" s="8" t="str">
        <f aca="false">IF(A4572="","",IF(COUNTIFS(全馬データ!$A$2:$A$50000,A4572,全馬データ!$B$2:$B$50000,B4572,全馬データ!$C$2:$C$50000,C4572,全馬データ!$D$2:$D$50000,E4572,全馬データ!$K$2:$K$50000,"&lt;&gt;")=0,"",SUMIFS(全馬データ!$K$2:$K$50000,全馬データ!$A$2:$A$50000,A4572,全馬データ!$B$2:$B$50000,B4572,全馬データ!$C$2:$C$50000,C4572,全馬データ!$D$2:$D$50000,E4572)))</f>
        <v/>
      </c>
      <c r="AP4572" s="8" t="str">
        <f aca="false">IF(A4572="","",IF(AO4572="","欠損",IF(AO4572&lt;=1.1,"1.0～1.1",IF(AO4572&lt;1.3,"1.2",IF(AO4572&lt;1.5,"1.3～1.4",IF(AO4572&lt;2,"1.5～1.9","2.0以上"))))))</f>
        <v/>
      </c>
      <c r="AQ4572" s="8" t="str">
        <f aca="false">IF(A4572="","",IF(ISNUMBER(SEARCH("2歳",Z4572)),"2歳戦",IF(ISNUMBER(SEARCH("3歳未勝利",Z4572)),"3歳未勝利",IF(ISNUMBER(SEARCH("未勝利",Z4572)),"その他未勝利",IF(ISNUMBER(SEARCH("G1",Z4572)),"G1",IF(ISNUMBER(SEARCH("G2",Z4572)),"G2",IF(ISNUMBER(SEARCH("G3",Z4572)),"G3",IF(ISNUMBER(SEARCH("古馬条件",Z4572)),"古馬条件戦",IF(ISNUMBER(SEARCH("重賞",Z4572)),"重賞","分類不能")))))))))</f>
        <v/>
      </c>
    </row>
    <row r="4573" customFormat="false" ht="15.75" hidden="false" customHeight="false" outlineLevel="0" collapsed="false">
      <c r="AO4573" s="8" t="str">
        <f aca="false">IF(A4573="","",IF(COUNTIFS(全馬データ!$A$2:$A$50000,A4573,全馬データ!$B$2:$B$50000,B4573,全馬データ!$C$2:$C$50000,C4573,全馬データ!$D$2:$D$50000,E4573,全馬データ!$K$2:$K$50000,"&lt;&gt;")=0,"",SUMIFS(全馬データ!$K$2:$K$50000,全馬データ!$A$2:$A$50000,A4573,全馬データ!$B$2:$B$50000,B4573,全馬データ!$C$2:$C$50000,C4573,全馬データ!$D$2:$D$50000,E4573)))</f>
        <v/>
      </c>
      <c r="AP4573" s="8" t="str">
        <f aca="false">IF(A4573="","",IF(AO4573="","欠損",IF(AO4573&lt;=1.1,"1.0～1.1",IF(AO4573&lt;1.3,"1.2",IF(AO4573&lt;1.5,"1.3～1.4",IF(AO4573&lt;2,"1.5～1.9","2.0以上"))))))</f>
        <v/>
      </c>
      <c r="AQ4573" s="8" t="str">
        <f aca="false">IF(A4573="","",IF(ISNUMBER(SEARCH("2歳",Z4573)),"2歳戦",IF(ISNUMBER(SEARCH("3歳未勝利",Z4573)),"3歳未勝利",IF(ISNUMBER(SEARCH("未勝利",Z4573)),"その他未勝利",IF(ISNUMBER(SEARCH("G1",Z4573)),"G1",IF(ISNUMBER(SEARCH("G2",Z4573)),"G2",IF(ISNUMBER(SEARCH("G3",Z4573)),"G3",IF(ISNUMBER(SEARCH("古馬条件",Z4573)),"古馬条件戦",IF(ISNUMBER(SEARCH("重賞",Z4573)),"重賞","分類不能")))))))))</f>
        <v/>
      </c>
    </row>
    <row r="4574" customFormat="false" ht="15.75" hidden="false" customHeight="false" outlineLevel="0" collapsed="false">
      <c r="AO4574" s="8" t="str">
        <f aca="false">IF(A4574="","",IF(COUNTIFS(全馬データ!$A$2:$A$50000,A4574,全馬データ!$B$2:$B$50000,B4574,全馬データ!$C$2:$C$50000,C4574,全馬データ!$D$2:$D$50000,E4574,全馬データ!$K$2:$K$50000,"&lt;&gt;")=0,"",SUMIFS(全馬データ!$K$2:$K$50000,全馬データ!$A$2:$A$50000,A4574,全馬データ!$B$2:$B$50000,B4574,全馬データ!$C$2:$C$50000,C4574,全馬データ!$D$2:$D$50000,E4574)))</f>
        <v/>
      </c>
      <c r="AP4574" s="8" t="str">
        <f aca="false">IF(A4574="","",IF(AO4574="","欠損",IF(AO4574&lt;=1.1,"1.0～1.1",IF(AO4574&lt;1.3,"1.2",IF(AO4574&lt;1.5,"1.3～1.4",IF(AO4574&lt;2,"1.5～1.9","2.0以上"))))))</f>
        <v/>
      </c>
      <c r="AQ4574" s="8" t="str">
        <f aca="false">IF(A4574="","",IF(ISNUMBER(SEARCH("2歳",Z4574)),"2歳戦",IF(ISNUMBER(SEARCH("3歳未勝利",Z4574)),"3歳未勝利",IF(ISNUMBER(SEARCH("未勝利",Z4574)),"その他未勝利",IF(ISNUMBER(SEARCH("G1",Z4574)),"G1",IF(ISNUMBER(SEARCH("G2",Z4574)),"G2",IF(ISNUMBER(SEARCH("G3",Z4574)),"G3",IF(ISNUMBER(SEARCH("古馬条件",Z4574)),"古馬条件戦",IF(ISNUMBER(SEARCH("重賞",Z4574)),"重賞","分類不能")))))))))</f>
        <v/>
      </c>
    </row>
    <row r="4575" customFormat="false" ht="15.75" hidden="false" customHeight="false" outlineLevel="0" collapsed="false">
      <c r="AO4575" s="8" t="str">
        <f aca="false">IF(A4575="","",IF(COUNTIFS(全馬データ!$A$2:$A$50000,A4575,全馬データ!$B$2:$B$50000,B4575,全馬データ!$C$2:$C$50000,C4575,全馬データ!$D$2:$D$50000,E4575,全馬データ!$K$2:$K$50000,"&lt;&gt;")=0,"",SUMIFS(全馬データ!$K$2:$K$50000,全馬データ!$A$2:$A$50000,A4575,全馬データ!$B$2:$B$50000,B4575,全馬データ!$C$2:$C$50000,C4575,全馬データ!$D$2:$D$50000,E4575)))</f>
        <v/>
      </c>
      <c r="AP4575" s="8" t="str">
        <f aca="false">IF(A4575="","",IF(AO4575="","欠損",IF(AO4575&lt;=1.1,"1.0～1.1",IF(AO4575&lt;1.3,"1.2",IF(AO4575&lt;1.5,"1.3～1.4",IF(AO4575&lt;2,"1.5～1.9","2.0以上"))))))</f>
        <v/>
      </c>
      <c r="AQ4575" s="8" t="str">
        <f aca="false">IF(A4575="","",IF(ISNUMBER(SEARCH("2歳",Z4575)),"2歳戦",IF(ISNUMBER(SEARCH("3歳未勝利",Z4575)),"3歳未勝利",IF(ISNUMBER(SEARCH("未勝利",Z4575)),"その他未勝利",IF(ISNUMBER(SEARCH("G1",Z4575)),"G1",IF(ISNUMBER(SEARCH("G2",Z4575)),"G2",IF(ISNUMBER(SEARCH("G3",Z4575)),"G3",IF(ISNUMBER(SEARCH("古馬条件",Z4575)),"古馬条件戦",IF(ISNUMBER(SEARCH("重賞",Z4575)),"重賞","分類不能")))))))))</f>
        <v/>
      </c>
    </row>
    <row r="4576" customFormat="false" ht="15.75" hidden="false" customHeight="false" outlineLevel="0" collapsed="false">
      <c r="AO4576" s="8" t="str">
        <f aca="false">IF(A4576="","",IF(COUNTIFS(全馬データ!$A$2:$A$50000,A4576,全馬データ!$B$2:$B$50000,B4576,全馬データ!$C$2:$C$50000,C4576,全馬データ!$D$2:$D$50000,E4576,全馬データ!$K$2:$K$50000,"&lt;&gt;")=0,"",SUMIFS(全馬データ!$K$2:$K$50000,全馬データ!$A$2:$A$50000,A4576,全馬データ!$B$2:$B$50000,B4576,全馬データ!$C$2:$C$50000,C4576,全馬データ!$D$2:$D$50000,E4576)))</f>
        <v/>
      </c>
      <c r="AP4576" s="8" t="str">
        <f aca="false">IF(A4576="","",IF(AO4576="","欠損",IF(AO4576&lt;=1.1,"1.0～1.1",IF(AO4576&lt;1.3,"1.2",IF(AO4576&lt;1.5,"1.3～1.4",IF(AO4576&lt;2,"1.5～1.9","2.0以上"))))))</f>
        <v/>
      </c>
      <c r="AQ4576" s="8" t="str">
        <f aca="false">IF(A4576="","",IF(ISNUMBER(SEARCH("2歳",Z4576)),"2歳戦",IF(ISNUMBER(SEARCH("3歳未勝利",Z4576)),"3歳未勝利",IF(ISNUMBER(SEARCH("未勝利",Z4576)),"その他未勝利",IF(ISNUMBER(SEARCH("G1",Z4576)),"G1",IF(ISNUMBER(SEARCH("G2",Z4576)),"G2",IF(ISNUMBER(SEARCH("G3",Z4576)),"G3",IF(ISNUMBER(SEARCH("古馬条件",Z4576)),"古馬条件戦",IF(ISNUMBER(SEARCH("重賞",Z4576)),"重賞","分類不能")))))))))</f>
        <v/>
      </c>
    </row>
    <row r="4577" customFormat="false" ht="15.75" hidden="false" customHeight="false" outlineLevel="0" collapsed="false">
      <c r="AO4577" s="8" t="str">
        <f aca="false">IF(A4577="","",IF(COUNTIFS(全馬データ!$A$2:$A$50000,A4577,全馬データ!$B$2:$B$50000,B4577,全馬データ!$C$2:$C$50000,C4577,全馬データ!$D$2:$D$50000,E4577,全馬データ!$K$2:$K$50000,"&lt;&gt;")=0,"",SUMIFS(全馬データ!$K$2:$K$50000,全馬データ!$A$2:$A$50000,A4577,全馬データ!$B$2:$B$50000,B4577,全馬データ!$C$2:$C$50000,C4577,全馬データ!$D$2:$D$50000,E4577)))</f>
        <v/>
      </c>
      <c r="AP4577" s="8" t="str">
        <f aca="false">IF(A4577="","",IF(AO4577="","欠損",IF(AO4577&lt;=1.1,"1.0～1.1",IF(AO4577&lt;1.3,"1.2",IF(AO4577&lt;1.5,"1.3～1.4",IF(AO4577&lt;2,"1.5～1.9","2.0以上"))))))</f>
        <v/>
      </c>
      <c r="AQ4577" s="8" t="str">
        <f aca="false">IF(A4577="","",IF(ISNUMBER(SEARCH("2歳",Z4577)),"2歳戦",IF(ISNUMBER(SEARCH("3歳未勝利",Z4577)),"3歳未勝利",IF(ISNUMBER(SEARCH("未勝利",Z4577)),"その他未勝利",IF(ISNUMBER(SEARCH("G1",Z4577)),"G1",IF(ISNUMBER(SEARCH("G2",Z4577)),"G2",IF(ISNUMBER(SEARCH("G3",Z4577)),"G3",IF(ISNUMBER(SEARCH("古馬条件",Z4577)),"古馬条件戦",IF(ISNUMBER(SEARCH("重賞",Z4577)),"重賞","分類不能")))))))))</f>
        <v/>
      </c>
    </row>
    <row r="4578" customFormat="false" ht="15.75" hidden="false" customHeight="false" outlineLevel="0" collapsed="false">
      <c r="AO4578" s="8" t="str">
        <f aca="false">IF(A4578="","",IF(COUNTIFS(全馬データ!$A$2:$A$50000,A4578,全馬データ!$B$2:$B$50000,B4578,全馬データ!$C$2:$C$50000,C4578,全馬データ!$D$2:$D$50000,E4578,全馬データ!$K$2:$K$50000,"&lt;&gt;")=0,"",SUMIFS(全馬データ!$K$2:$K$50000,全馬データ!$A$2:$A$50000,A4578,全馬データ!$B$2:$B$50000,B4578,全馬データ!$C$2:$C$50000,C4578,全馬データ!$D$2:$D$50000,E4578)))</f>
        <v/>
      </c>
      <c r="AP4578" s="8" t="str">
        <f aca="false">IF(A4578="","",IF(AO4578="","欠損",IF(AO4578&lt;=1.1,"1.0～1.1",IF(AO4578&lt;1.3,"1.2",IF(AO4578&lt;1.5,"1.3～1.4",IF(AO4578&lt;2,"1.5～1.9","2.0以上"))))))</f>
        <v/>
      </c>
      <c r="AQ4578" s="8" t="str">
        <f aca="false">IF(A4578="","",IF(ISNUMBER(SEARCH("2歳",Z4578)),"2歳戦",IF(ISNUMBER(SEARCH("3歳未勝利",Z4578)),"3歳未勝利",IF(ISNUMBER(SEARCH("未勝利",Z4578)),"その他未勝利",IF(ISNUMBER(SEARCH("G1",Z4578)),"G1",IF(ISNUMBER(SEARCH("G2",Z4578)),"G2",IF(ISNUMBER(SEARCH("G3",Z4578)),"G3",IF(ISNUMBER(SEARCH("古馬条件",Z4578)),"古馬条件戦",IF(ISNUMBER(SEARCH("重賞",Z4578)),"重賞","分類不能")))))))))</f>
        <v/>
      </c>
    </row>
    <row r="4579" customFormat="false" ht="15.75" hidden="false" customHeight="false" outlineLevel="0" collapsed="false">
      <c r="AO4579" s="8" t="str">
        <f aca="false">IF(A4579="","",IF(COUNTIFS(全馬データ!$A$2:$A$50000,A4579,全馬データ!$B$2:$B$50000,B4579,全馬データ!$C$2:$C$50000,C4579,全馬データ!$D$2:$D$50000,E4579,全馬データ!$K$2:$K$50000,"&lt;&gt;")=0,"",SUMIFS(全馬データ!$K$2:$K$50000,全馬データ!$A$2:$A$50000,A4579,全馬データ!$B$2:$B$50000,B4579,全馬データ!$C$2:$C$50000,C4579,全馬データ!$D$2:$D$50000,E4579)))</f>
        <v/>
      </c>
      <c r="AP4579" s="8" t="str">
        <f aca="false">IF(A4579="","",IF(AO4579="","欠損",IF(AO4579&lt;=1.1,"1.0～1.1",IF(AO4579&lt;1.3,"1.2",IF(AO4579&lt;1.5,"1.3～1.4",IF(AO4579&lt;2,"1.5～1.9","2.0以上"))))))</f>
        <v/>
      </c>
      <c r="AQ4579" s="8" t="str">
        <f aca="false">IF(A4579="","",IF(ISNUMBER(SEARCH("2歳",Z4579)),"2歳戦",IF(ISNUMBER(SEARCH("3歳未勝利",Z4579)),"3歳未勝利",IF(ISNUMBER(SEARCH("未勝利",Z4579)),"その他未勝利",IF(ISNUMBER(SEARCH("G1",Z4579)),"G1",IF(ISNUMBER(SEARCH("G2",Z4579)),"G2",IF(ISNUMBER(SEARCH("G3",Z4579)),"G3",IF(ISNUMBER(SEARCH("古馬条件",Z4579)),"古馬条件戦",IF(ISNUMBER(SEARCH("重賞",Z4579)),"重賞","分類不能")))))))))</f>
        <v/>
      </c>
    </row>
    <row r="4580" customFormat="false" ht="15.75" hidden="false" customHeight="false" outlineLevel="0" collapsed="false">
      <c r="AO4580" s="8" t="str">
        <f aca="false">IF(A4580="","",IF(COUNTIFS(全馬データ!$A$2:$A$50000,A4580,全馬データ!$B$2:$B$50000,B4580,全馬データ!$C$2:$C$50000,C4580,全馬データ!$D$2:$D$50000,E4580,全馬データ!$K$2:$K$50000,"&lt;&gt;")=0,"",SUMIFS(全馬データ!$K$2:$K$50000,全馬データ!$A$2:$A$50000,A4580,全馬データ!$B$2:$B$50000,B4580,全馬データ!$C$2:$C$50000,C4580,全馬データ!$D$2:$D$50000,E4580)))</f>
        <v/>
      </c>
      <c r="AP4580" s="8" t="str">
        <f aca="false">IF(A4580="","",IF(AO4580="","欠損",IF(AO4580&lt;=1.1,"1.0～1.1",IF(AO4580&lt;1.3,"1.2",IF(AO4580&lt;1.5,"1.3～1.4",IF(AO4580&lt;2,"1.5～1.9","2.0以上"))))))</f>
        <v/>
      </c>
      <c r="AQ4580" s="8" t="str">
        <f aca="false">IF(A4580="","",IF(ISNUMBER(SEARCH("2歳",Z4580)),"2歳戦",IF(ISNUMBER(SEARCH("3歳未勝利",Z4580)),"3歳未勝利",IF(ISNUMBER(SEARCH("未勝利",Z4580)),"その他未勝利",IF(ISNUMBER(SEARCH("G1",Z4580)),"G1",IF(ISNUMBER(SEARCH("G2",Z4580)),"G2",IF(ISNUMBER(SEARCH("G3",Z4580)),"G3",IF(ISNUMBER(SEARCH("古馬条件",Z4580)),"古馬条件戦",IF(ISNUMBER(SEARCH("重賞",Z4580)),"重賞","分類不能")))))))))</f>
        <v/>
      </c>
    </row>
    <row r="4581" customFormat="false" ht="15.75" hidden="false" customHeight="false" outlineLevel="0" collapsed="false">
      <c r="AO4581" s="8" t="str">
        <f aca="false">IF(A4581="","",IF(COUNTIFS(全馬データ!$A$2:$A$50000,A4581,全馬データ!$B$2:$B$50000,B4581,全馬データ!$C$2:$C$50000,C4581,全馬データ!$D$2:$D$50000,E4581,全馬データ!$K$2:$K$50000,"&lt;&gt;")=0,"",SUMIFS(全馬データ!$K$2:$K$50000,全馬データ!$A$2:$A$50000,A4581,全馬データ!$B$2:$B$50000,B4581,全馬データ!$C$2:$C$50000,C4581,全馬データ!$D$2:$D$50000,E4581)))</f>
        <v/>
      </c>
      <c r="AP4581" s="8" t="str">
        <f aca="false">IF(A4581="","",IF(AO4581="","欠損",IF(AO4581&lt;=1.1,"1.0～1.1",IF(AO4581&lt;1.3,"1.2",IF(AO4581&lt;1.5,"1.3～1.4",IF(AO4581&lt;2,"1.5～1.9","2.0以上"))))))</f>
        <v/>
      </c>
      <c r="AQ4581" s="8" t="str">
        <f aca="false">IF(A4581="","",IF(ISNUMBER(SEARCH("2歳",Z4581)),"2歳戦",IF(ISNUMBER(SEARCH("3歳未勝利",Z4581)),"3歳未勝利",IF(ISNUMBER(SEARCH("未勝利",Z4581)),"その他未勝利",IF(ISNUMBER(SEARCH("G1",Z4581)),"G1",IF(ISNUMBER(SEARCH("G2",Z4581)),"G2",IF(ISNUMBER(SEARCH("G3",Z4581)),"G3",IF(ISNUMBER(SEARCH("古馬条件",Z4581)),"古馬条件戦",IF(ISNUMBER(SEARCH("重賞",Z4581)),"重賞","分類不能")))))))))</f>
        <v/>
      </c>
    </row>
    <row r="4582" customFormat="false" ht="15.75" hidden="false" customHeight="false" outlineLevel="0" collapsed="false">
      <c r="AO4582" s="8" t="str">
        <f aca="false">IF(A4582="","",IF(COUNTIFS(全馬データ!$A$2:$A$50000,A4582,全馬データ!$B$2:$B$50000,B4582,全馬データ!$C$2:$C$50000,C4582,全馬データ!$D$2:$D$50000,E4582,全馬データ!$K$2:$K$50000,"&lt;&gt;")=0,"",SUMIFS(全馬データ!$K$2:$K$50000,全馬データ!$A$2:$A$50000,A4582,全馬データ!$B$2:$B$50000,B4582,全馬データ!$C$2:$C$50000,C4582,全馬データ!$D$2:$D$50000,E4582)))</f>
        <v/>
      </c>
      <c r="AP4582" s="8" t="str">
        <f aca="false">IF(A4582="","",IF(AO4582="","欠損",IF(AO4582&lt;=1.1,"1.0～1.1",IF(AO4582&lt;1.3,"1.2",IF(AO4582&lt;1.5,"1.3～1.4",IF(AO4582&lt;2,"1.5～1.9","2.0以上"))))))</f>
        <v/>
      </c>
      <c r="AQ4582" s="8" t="str">
        <f aca="false">IF(A4582="","",IF(ISNUMBER(SEARCH("2歳",Z4582)),"2歳戦",IF(ISNUMBER(SEARCH("3歳未勝利",Z4582)),"3歳未勝利",IF(ISNUMBER(SEARCH("未勝利",Z4582)),"その他未勝利",IF(ISNUMBER(SEARCH("G1",Z4582)),"G1",IF(ISNUMBER(SEARCH("G2",Z4582)),"G2",IF(ISNUMBER(SEARCH("G3",Z4582)),"G3",IF(ISNUMBER(SEARCH("古馬条件",Z4582)),"古馬条件戦",IF(ISNUMBER(SEARCH("重賞",Z4582)),"重賞","分類不能")))))))))</f>
        <v/>
      </c>
    </row>
    <row r="4583" customFormat="false" ht="15.75" hidden="false" customHeight="false" outlineLevel="0" collapsed="false">
      <c r="AO4583" s="8" t="str">
        <f aca="false">IF(A4583="","",IF(COUNTIFS(全馬データ!$A$2:$A$50000,A4583,全馬データ!$B$2:$B$50000,B4583,全馬データ!$C$2:$C$50000,C4583,全馬データ!$D$2:$D$50000,E4583,全馬データ!$K$2:$K$50000,"&lt;&gt;")=0,"",SUMIFS(全馬データ!$K$2:$K$50000,全馬データ!$A$2:$A$50000,A4583,全馬データ!$B$2:$B$50000,B4583,全馬データ!$C$2:$C$50000,C4583,全馬データ!$D$2:$D$50000,E4583)))</f>
        <v/>
      </c>
      <c r="AP4583" s="8" t="str">
        <f aca="false">IF(A4583="","",IF(AO4583="","欠損",IF(AO4583&lt;=1.1,"1.0～1.1",IF(AO4583&lt;1.3,"1.2",IF(AO4583&lt;1.5,"1.3～1.4",IF(AO4583&lt;2,"1.5～1.9","2.0以上"))))))</f>
        <v/>
      </c>
      <c r="AQ4583" s="8" t="str">
        <f aca="false">IF(A4583="","",IF(ISNUMBER(SEARCH("2歳",Z4583)),"2歳戦",IF(ISNUMBER(SEARCH("3歳未勝利",Z4583)),"3歳未勝利",IF(ISNUMBER(SEARCH("未勝利",Z4583)),"その他未勝利",IF(ISNUMBER(SEARCH("G1",Z4583)),"G1",IF(ISNUMBER(SEARCH("G2",Z4583)),"G2",IF(ISNUMBER(SEARCH("G3",Z4583)),"G3",IF(ISNUMBER(SEARCH("古馬条件",Z4583)),"古馬条件戦",IF(ISNUMBER(SEARCH("重賞",Z4583)),"重賞","分類不能")))))))))</f>
        <v/>
      </c>
    </row>
    <row r="4584" customFormat="false" ht="15.75" hidden="false" customHeight="false" outlineLevel="0" collapsed="false">
      <c r="AO4584" s="8" t="str">
        <f aca="false">IF(A4584="","",IF(COUNTIFS(全馬データ!$A$2:$A$50000,A4584,全馬データ!$B$2:$B$50000,B4584,全馬データ!$C$2:$C$50000,C4584,全馬データ!$D$2:$D$50000,E4584,全馬データ!$K$2:$K$50000,"&lt;&gt;")=0,"",SUMIFS(全馬データ!$K$2:$K$50000,全馬データ!$A$2:$A$50000,A4584,全馬データ!$B$2:$B$50000,B4584,全馬データ!$C$2:$C$50000,C4584,全馬データ!$D$2:$D$50000,E4584)))</f>
        <v/>
      </c>
      <c r="AP4584" s="8" t="str">
        <f aca="false">IF(A4584="","",IF(AO4584="","欠損",IF(AO4584&lt;=1.1,"1.0～1.1",IF(AO4584&lt;1.3,"1.2",IF(AO4584&lt;1.5,"1.3～1.4",IF(AO4584&lt;2,"1.5～1.9","2.0以上"))))))</f>
        <v/>
      </c>
      <c r="AQ4584" s="8" t="str">
        <f aca="false">IF(A4584="","",IF(ISNUMBER(SEARCH("2歳",Z4584)),"2歳戦",IF(ISNUMBER(SEARCH("3歳未勝利",Z4584)),"3歳未勝利",IF(ISNUMBER(SEARCH("未勝利",Z4584)),"その他未勝利",IF(ISNUMBER(SEARCH("G1",Z4584)),"G1",IF(ISNUMBER(SEARCH("G2",Z4584)),"G2",IF(ISNUMBER(SEARCH("G3",Z4584)),"G3",IF(ISNUMBER(SEARCH("古馬条件",Z4584)),"古馬条件戦",IF(ISNUMBER(SEARCH("重賞",Z4584)),"重賞","分類不能")))))))))</f>
        <v/>
      </c>
    </row>
    <row r="4585" customFormat="false" ht="15.75" hidden="false" customHeight="false" outlineLevel="0" collapsed="false">
      <c r="AO4585" s="8" t="str">
        <f aca="false">IF(A4585="","",IF(COUNTIFS(全馬データ!$A$2:$A$50000,A4585,全馬データ!$B$2:$B$50000,B4585,全馬データ!$C$2:$C$50000,C4585,全馬データ!$D$2:$D$50000,E4585,全馬データ!$K$2:$K$50000,"&lt;&gt;")=0,"",SUMIFS(全馬データ!$K$2:$K$50000,全馬データ!$A$2:$A$50000,A4585,全馬データ!$B$2:$B$50000,B4585,全馬データ!$C$2:$C$50000,C4585,全馬データ!$D$2:$D$50000,E4585)))</f>
        <v/>
      </c>
      <c r="AP4585" s="8" t="str">
        <f aca="false">IF(A4585="","",IF(AO4585="","欠損",IF(AO4585&lt;=1.1,"1.0～1.1",IF(AO4585&lt;1.3,"1.2",IF(AO4585&lt;1.5,"1.3～1.4",IF(AO4585&lt;2,"1.5～1.9","2.0以上"))))))</f>
        <v/>
      </c>
      <c r="AQ4585" s="8" t="str">
        <f aca="false">IF(A4585="","",IF(ISNUMBER(SEARCH("2歳",Z4585)),"2歳戦",IF(ISNUMBER(SEARCH("3歳未勝利",Z4585)),"3歳未勝利",IF(ISNUMBER(SEARCH("未勝利",Z4585)),"その他未勝利",IF(ISNUMBER(SEARCH("G1",Z4585)),"G1",IF(ISNUMBER(SEARCH("G2",Z4585)),"G2",IF(ISNUMBER(SEARCH("G3",Z4585)),"G3",IF(ISNUMBER(SEARCH("古馬条件",Z4585)),"古馬条件戦",IF(ISNUMBER(SEARCH("重賞",Z4585)),"重賞","分類不能")))))))))</f>
        <v/>
      </c>
    </row>
    <row r="4586" customFormat="false" ht="15.75" hidden="false" customHeight="false" outlineLevel="0" collapsed="false">
      <c r="AO4586" s="8" t="str">
        <f aca="false">IF(A4586="","",IF(COUNTIFS(全馬データ!$A$2:$A$50000,A4586,全馬データ!$B$2:$B$50000,B4586,全馬データ!$C$2:$C$50000,C4586,全馬データ!$D$2:$D$50000,E4586,全馬データ!$K$2:$K$50000,"&lt;&gt;")=0,"",SUMIFS(全馬データ!$K$2:$K$50000,全馬データ!$A$2:$A$50000,A4586,全馬データ!$B$2:$B$50000,B4586,全馬データ!$C$2:$C$50000,C4586,全馬データ!$D$2:$D$50000,E4586)))</f>
        <v/>
      </c>
      <c r="AP4586" s="8" t="str">
        <f aca="false">IF(A4586="","",IF(AO4586="","欠損",IF(AO4586&lt;=1.1,"1.0～1.1",IF(AO4586&lt;1.3,"1.2",IF(AO4586&lt;1.5,"1.3～1.4",IF(AO4586&lt;2,"1.5～1.9","2.0以上"))))))</f>
        <v/>
      </c>
      <c r="AQ4586" s="8" t="str">
        <f aca="false">IF(A4586="","",IF(ISNUMBER(SEARCH("2歳",Z4586)),"2歳戦",IF(ISNUMBER(SEARCH("3歳未勝利",Z4586)),"3歳未勝利",IF(ISNUMBER(SEARCH("未勝利",Z4586)),"その他未勝利",IF(ISNUMBER(SEARCH("G1",Z4586)),"G1",IF(ISNUMBER(SEARCH("G2",Z4586)),"G2",IF(ISNUMBER(SEARCH("G3",Z4586)),"G3",IF(ISNUMBER(SEARCH("古馬条件",Z4586)),"古馬条件戦",IF(ISNUMBER(SEARCH("重賞",Z4586)),"重賞","分類不能")))))))))</f>
        <v/>
      </c>
    </row>
    <row r="4587" customFormat="false" ht="15.75" hidden="false" customHeight="false" outlineLevel="0" collapsed="false">
      <c r="AO4587" s="8" t="str">
        <f aca="false">IF(A4587="","",IF(COUNTIFS(全馬データ!$A$2:$A$50000,A4587,全馬データ!$B$2:$B$50000,B4587,全馬データ!$C$2:$C$50000,C4587,全馬データ!$D$2:$D$50000,E4587,全馬データ!$K$2:$K$50000,"&lt;&gt;")=0,"",SUMIFS(全馬データ!$K$2:$K$50000,全馬データ!$A$2:$A$50000,A4587,全馬データ!$B$2:$B$50000,B4587,全馬データ!$C$2:$C$50000,C4587,全馬データ!$D$2:$D$50000,E4587)))</f>
        <v/>
      </c>
      <c r="AP4587" s="8" t="str">
        <f aca="false">IF(A4587="","",IF(AO4587="","欠損",IF(AO4587&lt;=1.1,"1.0～1.1",IF(AO4587&lt;1.3,"1.2",IF(AO4587&lt;1.5,"1.3～1.4",IF(AO4587&lt;2,"1.5～1.9","2.0以上"))))))</f>
        <v/>
      </c>
      <c r="AQ4587" s="8" t="str">
        <f aca="false">IF(A4587="","",IF(ISNUMBER(SEARCH("2歳",Z4587)),"2歳戦",IF(ISNUMBER(SEARCH("3歳未勝利",Z4587)),"3歳未勝利",IF(ISNUMBER(SEARCH("未勝利",Z4587)),"その他未勝利",IF(ISNUMBER(SEARCH("G1",Z4587)),"G1",IF(ISNUMBER(SEARCH("G2",Z4587)),"G2",IF(ISNUMBER(SEARCH("G3",Z4587)),"G3",IF(ISNUMBER(SEARCH("古馬条件",Z4587)),"古馬条件戦",IF(ISNUMBER(SEARCH("重賞",Z4587)),"重賞","分類不能")))))))))</f>
        <v/>
      </c>
    </row>
    <row r="4588" customFormat="false" ht="15.75" hidden="false" customHeight="false" outlineLevel="0" collapsed="false">
      <c r="AO4588" s="8" t="str">
        <f aca="false">IF(A4588="","",IF(COUNTIFS(全馬データ!$A$2:$A$50000,A4588,全馬データ!$B$2:$B$50000,B4588,全馬データ!$C$2:$C$50000,C4588,全馬データ!$D$2:$D$50000,E4588,全馬データ!$K$2:$K$50000,"&lt;&gt;")=0,"",SUMIFS(全馬データ!$K$2:$K$50000,全馬データ!$A$2:$A$50000,A4588,全馬データ!$B$2:$B$50000,B4588,全馬データ!$C$2:$C$50000,C4588,全馬データ!$D$2:$D$50000,E4588)))</f>
        <v/>
      </c>
      <c r="AP4588" s="8" t="str">
        <f aca="false">IF(A4588="","",IF(AO4588="","欠損",IF(AO4588&lt;=1.1,"1.0～1.1",IF(AO4588&lt;1.3,"1.2",IF(AO4588&lt;1.5,"1.3～1.4",IF(AO4588&lt;2,"1.5～1.9","2.0以上"))))))</f>
        <v/>
      </c>
      <c r="AQ4588" s="8" t="str">
        <f aca="false">IF(A4588="","",IF(ISNUMBER(SEARCH("2歳",Z4588)),"2歳戦",IF(ISNUMBER(SEARCH("3歳未勝利",Z4588)),"3歳未勝利",IF(ISNUMBER(SEARCH("未勝利",Z4588)),"その他未勝利",IF(ISNUMBER(SEARCH("G1",Z4588)),"G1",IF(ISNUMBER(SEARCH("G2",Z4588)),"G2",IF(ISNUMBER(SEARCH("G3",Z4588)),"G3",IF(ISNUMBER(SEARCH("古馬条件",Z4588)),"古馬条件戦",IF(ISNUMBER(SEARCH("重賞",Z4588)),"重賞","分類不能")))))))))</f>
        <v/>
      </c>
    </row>
    <row r="4589" customFormat="false" ht="15.75" hidden="false" customHeight="false" outlineLevel="0" collapsed="false">
      <c r="AO4589" s="8" t="str">
        <f aca="false">IF(A4589="","",IF(COUNTIFS(全馬データ!$A$2:$A$50000,A4589,全馬データ!$B$2:$B$50000,B4589,全馬データ!$C$2:$C$50000,C4589,全馬データ!$D$2:$D$50000,E4589,全馬データ!$K$2:$K$50000,"&lt;&gt;")=0,"",SUMIFS(全馬データ!$K$2:$K$50000,全馬データ!$A$2:$A$50000,A4589,全馬データ!$B$2:$B$50000,B4589,全馬データ!$C$2:$C$50000,C4589,全馬データ!$D$2:$D$50000,E4589)))</f>
        <v/>
      </c>
      <c r="AP4589" s="8" t="str">
        <f aca="false">IF(A4589="","",IF(AO4589="","欠損",IF(AO4589&lt;=1.1,"1.0～1.1",IF(AO4589&lt;1.3,"1.2",IF(AO4589&lt;1.5,"1.3～1.4",IF(AO4589&lt;2,"1.5～1.9","2.0以上"))))))</f>
        <v/>
      </c>
      <c r="AQ4589" s="8" t="str">
        <f aca="false">IF(A4589="","",IF(ISNUMBER(SEARCH("2歳",Z4589)),"2歳戦",IF(ISNUMBER(SEARCH("3歳未勝利",Z4589)),"3歳未勝利",IF(ISNUMBER(SEARCH("未勝利",Z4589)),"その他未勝利",IF(ISNUMBER(SEARCH("G1",Z4589)),"G1",IF(ISNUMBER(SEARCH("G2",Z4589)),"G2",IF(ISNUMBER(SEARCH("G3",Z4589)),"G3",IF(ISNUMBER(SEARCH("古馬条件",Z4589)),"古馬条件戦",IF(ISNUMBER(SEARCH("重賞",Z4589)),"重賞","分類不能")))))))))</f>
        <v/>
      </c>
    </row>
    <row r="4590" customFormat="false" ht="15.75" hidden="false" customHeight="false" outlineLevel="0" collapsed="false">
      <c r="AO4590" s="8" t="str">
        <f aca="false">IF(A4590="","",IF(COUNTIFS(全馬データ!$A$2:$A$50000,A4590,全馬データ!$B$2:$B$50000,B4590,全馬データ!$C$2:$C$50000,C4590,全馬データ!$D$2:$D$50000,E4590,全馬データ!$K$2:$K$50000,"&lt;&gt;")=0,"",SUMIFS(全馬データ!$K$2:$K$50000,全馬データ!$A$2:$A$50000,A4590,全馬データ!$B$2:$B$50000,B4590,全馬データ!$C$2:$C$50000,C4590,全馬データ!$D$2:$D$50000,E4590)))</f>
        <v/>
      </c>
      <c r="AP4590" s="8" t="str">
        <f aca="false">IF(A4590="","",IF(AO4590="","欠損",IF(AO4590&lt;=1.1,"1.0～1.1",IF(AO4590&lt;1.3,"1.2",IF(AO4590&lt;1.5,"1.3～1.4",IF(AO4590&lt;2,"1.5～1.9","2.0以上"))))))</f>
        <v/>
      </c>
      <c r="AQ4590" s="8" t="str">
        <f aca="false">IF(A4590="","",IF(ISNUMBER(SEARCH("2歳",Z4590)),"2歳戦",IF(ISNUMBER(SEARCH("3歳未勝利",Z4590)),"3歳未勝利",IF(ISNUMBER(SEARCH("未勝利",Z4590)),"その他未勝利",IF(ISNUMBER(SEARCH("G1",Z4590)),"G1",IF(ISNUMBER(SEARCH("G2",Z4590)),"G2",IF(ISNUMBER(SEARCH("G3",Z4590)),"G3",IF(ISNUMBER(SEARCH("古馬条件",Z4590)),"古馬条件戦",IF(ISNUMBER(SEARCH("重賞",Z4590)),"重賞","分類不能")))))))))</f>
        <v/>
      </c>
    </row>
    <row r="4591" customFormat="false" ht="15.75" hidden="false" customHeight="false" outlineLevel="0" collapsed="false">
      <c r="AO4591" s="8" t="str">
        <f aca="false">IF(A4591="","",IF(COUNTIFS(全馬データ!$A$2:$A$50000,A4591,全馬データ!$B$2:$B$50000,B4591,全馬データ!$C$2:$C$50000,C4591,全馬データ!$D$2:$D$50000,E4591,全馬データ!$K$2:$K$50000,"&lt;&gt;")=0,"",SUMIFS(全馬データ!$K$2:$K$50000,全馬データ!$A$2:$A$50000,A4591,全馬データ!$B$2:$B$50000,B4591,全馬データ!$C$2:$C$50000,C4591,全馬データ!$D$2:$D$50000,E4591)))</f>
        <v/>
      </c>
      <c r="AP4591" s="8" t="str">
        <f aca="false">IF(A4591="","",IF(AO4591="","欠損",IF(AO4591&lt;=1.1,"1.0～1.1",IF(AO4591&lt;1.3,"1.2",IF(AO4591&lt;1.5,"1.3～1.4",IF(AO4591&lt;2,"1.5～1.9","2.0以上"))))))</f>
        <v/>
      </c>
      <c r="AQ4591" s="8" t="str">
        <f aca="false">IF(A4591="","",IF(ISNUMBER(SEARCH("2歳",Z4591)),"2歳戦",IF(ISNUMBER(SEARCH("3歳未勝利",Z4591)),"3歳未勝利",IF(ISNUMBER(SEARCH("未勝利",Z4591)),"その他未勝利",IF(ISNUMBER(SEARCH("G1",Z4591)),"G1",IF(ISNUMBER(SEARCH("G2",Z4591)),"G2",IF(ISNUMBER(SEARCH("G3",Z4591)),"G3",IF(ISNUMBER(SEARCH("古馬条件",Z4591)),"古馬条件戦",IF(ISNUMBER(SEARCH("重賞",Z4591)),"重賞","分類不能")))))))))</f>
        <v/>
      </c>
    </row>
    <row r="4592" customFormat="false" ht="15.75" hidden="false" customHeight="false" outlineLevel="0" collapsed="false">
      <c r="AO4592" s="8" t="str">
        <f aca="false">IF(A4592="","",IF(COUNTIFS(全馬データ!$A$2:$A$50000,A4592,全馬データ!$B$2:$B$50000,B4592,全馬データ!$C$2:$C$50000,C4592,全馬データ!$D$2:$D$50000,E4592,全馬データ!$K$2:$K$50000,"&lt;&gt;")=0,"",SUMIFS(全馬データ!$K$2:$K$50000,全馬データ!$A$2:$A$50000,A4592,全馬データ!$B$2:$B$50000,B4592,全馬データ!$C$2:$C$50000,C4592,全馬データ!$D$2:$D$50000,E4592)))</f>
        <v/>
      </c>
      <c r="AP4592" s="8" t="str">
        <f aca="false">IF(A4592="","",IF(AO4592="","欠損",IF(AO4592&lt;=1.1,"1.0～1.1",IF(AO4592&lt;1.3,"1.2",IF(AO4592&lt;1.5,"1.3～1.4",IF(AO4592&lt;2,"1.5～1.9","2.0以上"))))))</f>
        <v/>
      </c>
      <c r="AQ4592" s="8" t="str">
        <f aca="false">IF(A4592="","",IF(ISNUMBER(SEARCH("2歳",Z4592)),"2歳戦",IF(ISNUMBER(SEARCH("3歳未勝利",Z4592)),"3歳未勝利",IF(ISNUMBER(SEARCH("未勝利",Z4592)),"その他未勝利",IF(ISNUMBER(SEARCH("G1",Z4592)),"G1",IF(ISNUMBER(SEARCH("G2",Z4592)),"G2",IF(ISNUMBER(SEARCH("G3",Z4592)),"G3",IF(ISNUMBER(SEARCH("古馬条件",Z4592)),"古馬条件戦",IF(ISNUMBER(SEARCH("重賞",Z4592)),"重賞","分類不能")))))))))</f>
        <v/>
      </c>
    </row>
    <row r="4593" customFormat="false" ht="15.75" hidden="false" customHeight="false" outlineLevel="0" collapsed="false">
      <c r="AO4593" s="8" t="str">
        <f aca="false">IF(A4593="","",IF(COUNTIFS(全馬データ!$A$2:$A$50000,A4593,全馬データ!$B$2:$B$50000,B4593,全馬データ!$C$2:$C$50000,C4593,全馬データ!$D$2:$D$50000,E4593,全馬データ!$K$2:$K$50000,"&lt;&gt;")=0,"",SUMIFS(全馬データ!$K$2:$K$50000,全馬データ!$A$2:$A$50000,A4593,全馬データ!$B$2:$B$50000,B4593,全馬データ!$C$2:$C$50000,C4593,全馬データ!$D$2:$D$50000,E4593)))</f>
        <v/>
      </c>
      <c r="AP4593" s="8" t="str">
        <f aca="false">IF(A4593="","",IF(AO4593="","欠損",IF(AO4593&lt;=1.1,"1.0～1.1",IF(AO4593&lt;1.3,"1.2",IF(AO4593&lt;1.5,"1.3～1.4",IF(AO4593&lt;2,"1.5～1.9","2.0以上"))))))</f>
        <v/>
      </c>
      <c r="AQ4593" s="8" t="str">
        <f aca="false">IF(A4593="","",IF(ISNUMBER(SEARCH("2歳",Z4593)),"2歳戦",IF(ISNUMBER(SEARCH("3歳未勝利",Z4593)),"3歳未勝利",IF(ISNUMBER(SEARCH("未勝利",Z4593)),"その他未勝利",IF(ISNUMBER(SEARCH("G1",Z4593)),"G1",IF(ISNUMBER(SEARCH("G2",Z4593)),"G2",IF(ISNUMBER(SEARCH("G3",Z4593)),"G3",IF(ISNUMBER(SEARCH("古馬条件",Z4593)),"古馬条件戦",IF(ISNUMBER(SEARCH("重賞",Z4593)),"重賞","分類不能")))))))))</f>
        <v/>
      </c>
    </row>
    <row r="4594" customFormat="false" ht="15.75" hidden="false" customHeight="false" outlineLevel="0" collapsed="false">
      <c r="AO4594" s="8" t="str">
        <f aca="false">IF(A4594="","",IF(COUNTIFS(全馬データ!$A$2:$A$50000,A4594,全馬データ!$B$2:$B$50000,B4594,全馬データ!$C$2:$C$50000,C4594,全馬データ!$D$2:$D$50000,E4594,全馬データ!$K$2:$K$50000,"&lt;&gt;")=0,"",SUMIFS(全馬データ!$K$2:$K$50000,全馬データ!$A$2:$A$50000,A4594,全馬データ!$B$2:$B$50000,B4594,全馬データ!$C$2:$C$50000,C4594,全馬データ!$D$2:$D$50000,E4594)))</f>
        <v/>
      </c>
      <c r="AP4594" s="8" t="str">
        <f aca="false">IF(A4594="","",IF(AO4594="","欠損",IF(AO4594&lt;=1.1,"1.0～1.1",IF(AO4594&lt;1.3,"1.2",IF(AO4594&lt;1.5,"1.3～1.4",IF(AO4594&lt;2,"1.5～1.9","2.0以上"))))))</f>
        <v/>
      </c>
      <c r="AQ4594" s="8" t="str">
        <f aca="false">IF(A4594="","",IF(ISNUMBER(SEARCH("2歳",Z4594)),"2歳戦",IF(ISNUMBER(SEARCH("3歳未勝利",Z4594)),"3歳未勝利",IF(ISNUMBER(SEARCH("未勝利",Z4594)),"その他未勝利",IF(ISNUMBER(SEARCH("G1",Z4594)),"G1",IF(ISNUMBER(SEARCH("G2",Z4594)),"G2",IF(ISNUMBER(SEARCH("G3",Z4594)),"G3",IF(ISNUMBER(SEARCH("古馬条件",Z4594)),"古馬条件戦",IF(ISNUMBER(SEARCH("重賞",Z4594)),"重賞","分類不能")))))))))</f>
        <v/>
      </c>
    </row>
    <row r="4595" customFormat="false" ht="15.75" hidden="false" customHeight="false" outlineLevel="0" collapsed="false">
      <c r="AO4595" s="8" t="str">
        <f aca="false">IF(A4595="","",IF(COUNTIFS(全馬データ!$A$2:$A$50000,A4595,全馬データ!$B$2:$B$50000,B4595,全馬データ!$C$2:$C$50000,C4595,全馬データ!$D$2:$D$50000,E4595,全馬データ!$K$2:$K$50000,"&lt;&gt;")=0,"",SUMIFS(全馬データ!$K$2:$K$50000,全馬データ!$A$2:$A$50000,A4595,全馬データ!$B$2:$B$50000,B4595,全馬データ!$C$2:$C$50000,C4595,全馬データ!$D$2:$D$50000,E4595)))</f>
        <v/>
      </c>
      <c r="AP4595" s="8" t="str">
        <f aca="false">IF(A4595="","",IF(AO4595="","欠損",IF(AO4595&lt;=1.1,"1.0～1.1",IF(AO4595&lt;1.3,"1.2",IF(AO4595&lt;1.5,"1.3～1.4",IF(AO4595&lt;2,"1.5～1.9","2.0以上"))))))</f>
        <v/>
      </c>
      <c r="AQ4595" s="8" t="str">
        <f aca="false">IF(A4595="","",IF(ISNUMBER(SEARCH("2歳",Z4595)),"2歳戦",IF(ISNUMBER(SEARCH("3歳未勝利",Z4595)),"3歳未勝利",IF(ISNUMBER(SEARCH("未勝利",Z4595)),"その他未勝利",IF(ISNUMBER(SEARCH("G1",Z4595)),"G1",IF(ISNUMBER(SEARCH("G2",Z4595)),"G2",IF(ISNUMBER(SEARCH("G3",Z4595)),"G3",IF(ISNUMBER(SEARCH("古馬条件",Z4595)),"古馬条件戦",IF(ISNUMBER(SEARCH("重賞",Z4595)),"重賞","分類不能")))))))))</f>
        <v/>
      </c>
    </row>
    <row r="4596" customFormat="false" ht="15.75" hidden="false" customHeight="false" outlineLevel="0" collapsed="false">
      <c r="AO4596" s="8" t="str">
        <f aca="false">IF(A4596="","",IF(COUNTIFS(全馬データ!$A$2:$A$50000,A4596,全馬データ!$B$2:$B$50000,B4596,全馬データ!$C$2:$C$50000,C4596,全馬データ!$D$2:$D$50000,E4596,全馬データ!$K$2:$K$50000,"&lt;&gt;")=0,"",SUMIFS(全馬データ!$K$2:$K$50000,全馬データ!$A$2:$A$50000,A4596,全馬データ!$B$2:$B$50000,B4596,全馬データ!$C$2:$C$50000,C4596,全馬データ!$D$2:$D$50000,E4596)))</f>
        <v/>
      </c>
      <c r="AP4596" s="8" t="str">
        <f aca="false">IF(A4596="","",IF(AO4596="","欠損",IF(AO4596&lt;=1.1,"1.0～1.1",IF(AO4596&lt;1.3,"1.2",IF(AO4596&lt;1.5,"1.3～1.4",IF(AO4596&lt;2,"1.5～1.9","2.0以上"))))))</f>
        <v/>
      </c>
      <c r="AQ4596" s="8" t="str">
        <f aca="false">IF(A4596="","",IF(ISNUMBER(SEARCH("2歳",Z4596)),"2歳戦",IF(ISNUMBER(SEARCH("3歳未勝利",Z4596)),"3歳未勝利",IF(ISNUMBER(SEARCH("未勝利",Z4596)),"その他未勝利",IF(ISNUMBER(SEARCH("G1",Z4596)),"G1",IF(ISNUMBER(SEARCH("G2",Z4596)),"G2",IF(ISNUMBER(SEARCH("G3",Z4596)),"G3",IF(ISNUMBER(SEARCH("古馬条件",Z4596)),"古馬条件戦",IF(ISNUMBER(SEARCH("重賞",Z4596)),"重賞","分類不能")))))))))</f>
        <v/>
      </c>
    </row>
    <row r="4597" customFormat="false" ht="15.75" hidden="false" customHeight="false" outlineLevel="0" collapsed="false">
      <c r="AO4597" s="8" t="str">
        <f aca="false">IF(A4597="","",IF(COUNTIFS(全馬データ!$A$2:$A$50000,A4597,全馬データ!$B$2:$B$50000,B4597,全馬データ!$C$2:$C$50000,C4597,全馬データ!$D$2:$D$50000,E4597,全馬データ!$K$2:$K$50000,"&lt;&gt;")=0,"",SUMIFS(全馬データ!$K$2:$K$50000,全馬データ!$A$2:$A$50000,A4597,全馬データ!$B$2:$B$50000,B4597,全馬データ!$C$2:$C$50000,C4597,全馬データ!$D$2:$D$50000,E4597)))</f>
        <v/>
      </c>
      <c r="AP4597" s="8" t="str">
        <f aca="false">IF(A4597="","",IF(AO4597="","欠損",IF(AO4597&lt;=1.1,"1.0～1.1",IF(AO4597&lt;1.3,"1.2",IF(AO4597&lt;1.5,"1.3～1.4",IF(AO4597&lt;2,"1.5～1.9","2.0以上"))))))</f>
        <v/>
      </c>
      <c r="AQ4597" s="8" t="str">
        <f aca="false">IF(A4597="","",IF(ISNUMBER(SEARCH("2歳",Z4597)),"2歳戦",IF(ISNUMBER(SEARCH("3歳未勝利",Z4597)),"3歳未勝利",IF(ISNUMBER(SEARCH("未勝利",Z4597)),"その他未勝利",IF(ISNUMBER(SEARCH("G1",Z4597)),"G1",IF(ISNUMBER(SEARCH("G2",Z4597)),"G2",IF(ISNUMBER(SEARCH("G3",Z4597)),"G3",IF(ISNUMBER(SEARCH("古馬条件",Z4597)),"古馬条件戦",IF(ISNUMBER(SEARCH("重賞",Z4597)),"重賞","分類不能")))))))))</f>
        <v/>
      </c>
    </row>
    <row r="4598" customFormat="false" ht="15.75" hidden="false" customHeight="false" outlineLevel="0" collapsed="false">
      <c r="AO4598" s="8" t="str">
        <f aca="false">IF(A4598="","",IF(COUNTIFS(全馬データ!$A$2:$A$50000,A4598,全馬データ!$B$2:$B$50000,B4598,全馬データ!$C$2:$C$50000,C4598,全馬データ!$D$2:$D$50000,E4598,全馬データ!$K$2:$K$50000,"&lt;&gt;")=0,"",SUMIFS(全馬データ!$K$2:$K$50000,全馬データ!$A$2:$A$50000,A4598,全馬データ!$B$2:$B$50000,B4598,全馬データ!$C$2:$C$50000,C4598,全馬データ!$D$2:$D$50000,E4598)))</f>
        <v/>
      </c>
      <c r="AP4598" s="8" t="str">
        <f aca="false">IF(A4598="","",IF(AO4598="","欠損",IF(AO4598&lt;=1.1,"1.0～1.1",IF(AO4598&lt;1.3,"1.2",IF(AO4598&lt;1.5,"1.3～1.4",IF(AO4598&lt;2,"1.5～1.9","2.0以上"))))))</f>
        <v/>
      </c>
      <c r="AQ4598" s="8" t="str">
        <f aca="false">IF(A4598="","",IF(ISNUMBER(SEARCH("2歳",Z4598)),"2歳戦",IF(ISNUMBER(SEARCH("3歳未勝利",Z4598)),"3歳未勝利",IF(ISNUMBER(SEARCH("未勝利",Z4598)),"その他未勝利",IF(ISNUMBER(SEARCH("G1",Z4598)),"G1",IF(ISNUMBER(SEARCH("G2",Z4598)),"G2",IF(ISNUMBER(SEARCH("G3",Z4598)),"G3",IF(ISNUMBER(SEARCH("古馬条件",Z4598)),"古馬条件戦",IF(ISNUMBER(SEARCH("重賞",Z4598)),"重賞","分類不能")))))))))</f>
        <v/>
      </c>
    </row>
    <row r="4599" customFormat="false" ht="15.75" hidden="false" customHeight="false" outlineLevel="0" collapsed="false">
      <c r="AO4599" s="8" t="str">
        <f aca="false">IF(A4599="","",IF(COUNTIFS(全馬データ!$A$2:$A$50000,A4599,全馬データ!$B$2:$B$50000,B4599,全馬データ!$C$2:$C$50000,C4599,全馬データ!$D$2:$D$50000,E4599,全馬データ!$K$2:$K$50000,"&lt;&gt;")=0,"",SUMIFS(全馬データ!$K$2:$K$50000,全馬データ!$A$2:$A$50000,A4599,全馬データ!$B$2:$B$50000,B4599,全馬データ!$C$2:$C$50000,C4599,全馬データ!$D$2:$D$50000,E4599)))</f>
        <v/>
      </c>
      <c r="AP4599" s="8" t="str">
        <f aca="false">IF(A4599="","",IF(AO4599="","欠損",IF(AO4599&lt;=1.1,"1.0～1.1",IF(AO4599&lt;1.3,"1.2",IF(AO4599&lt;1.5,"1.3～1.4",IF(AO4599&lt;2,"1.5～1.9","2.0以上"))))))</f>
        <v/>
      </c>
      <c r="AQ4599" s="8" t="str">
        <f aca="false">IF(A4599="","",IF(ISNUMBER(SEARCH("2歳",Z4599)),"2歳戦",IF(ISNUMBER(SEARCH("3歳未勝利",Z4599)),"3歳未勝利",IF(ISNUMBER(SEARCH("未勝利",Z4599)),"その他未勝利",IF(ISNUMBER(SEARCH("G1",Z4599)),"G1",IF(ISNUMBER(SEARCH("G2",Z4599)),"G2",IF(ISNUMBER(SEARCH("G3",Z4599)),"G3",IF(ISNUMBER(SEARCH("古馬条件",Z4599)),"古馬条件戦",IF(ISNUMBER(SEARCH("重賞",Z4599)),"重賞","分類不能")))))))))</f>
        <v/>
      </c>
    </row>
    <row r="4600" customFormat="false" ht="15.75" hidden="false" customHeight="false" outlineLevel="0" collapsed="false">
      <c r="AO4600" s="8" t="str">
        <f aca="false">IF(A4600="","",IF(COUNTIFS(全馬データ!$A$2:$A$50000,A4600,全馬データ!$B$2:$B$50000,B4600,全馬データ!$C$2:$C$50000,C4600,全馬データ!$D$2:$D$50000,E4600,全馬データ!$K$2:$K$50000,"&lt;&gt;")=0,"",SUMIFS(全馬データ!$K$2:$K$50000,全馬データ!$A$2:$A$50000,A4600,全馬データ!$B$2:$B$50000,B4600,全馬データ!$C$2:$C$50000,C4600,全馬データ!$D$2:$D$50000,E4600)))</f>
        <v/>
      </c>
      <c r="AP4600" s="8" t="str">
        <f aca="false">IF(A4600="","",IF(AO4600="","欠損",IF(AO4600&lt;=1.1,"1.0～1.1",IF(AO4600&lt;1.3,"1.2",IF(AO4600&lt;1.5,"1.3～1.4",IF(AO4600&lt;2,"1.5～1.9","2.0以上"))))))</f>
        <v/>
      </c>
      <c r="AQ4600" s="8" t="str">
        <f aca="false">IF(A4600="","",IF(ISNUMBER(SEARCH("2歳",Z4600)),"2歳戦",IF(ISNUMBER(SEARCH("3歳未勝利",Z4600)),"3歳未勝利",IF(ISNUMBER(SEARCH("未勝利",Z4600)),"その他未勝利",IF(ISNUMBER(SEARCH("G1",Z4600)),"G1",IF(ISNUMBER(SEARCH("G2",Z4600)),"G2",IF(ISNUMBER(SEARCH("G3",Z4600)),"G3",IF(ISNUMBER(SEARCH("古馬条件",Z4600)),"古馬条件戦",IF(ISNUMBER(SEARCH("重賞",Z4600)),"重賞","分類不能")))))))))</f>
        <v/>
      </c>
    </row>
    <row r="4601" customFormat="false" ht="15.75" hidden="false" customHeight="false" outlineLevel="0" collapsed="false">
      <c r="AO4601" s="8" t="str">
        <f aca="false">IF(A4601="","",IF(COUNTIFS(全馬データ!$A$2:$A$50000,A4601,全馬データ!$B$2:$B$50000,B4601,全馬データ!$C$2:$C$50000,C4601,全馬データ!$D$2:$D$50000,E4601,全馬データ!$K$2:$K$50000,"&lt;&gt;")=0,"",SUMIFS(全馬データ!$K$2:$K$50000,全馬データ!$A$2:$A$50000,A4601,全馬データ!$B$2:$B$50000,B4601,全馬データ!$C$2:$C$50000,C4601,全馬データ!$D$2:$D$50000,E4601)))</f>
        <v/>
      </c>
      <c r="AP4601" s="8" t="str">
        <f aca="false">IF(A4601="","",IF(AO4601="","欠損",IF(AO4601&lt;=1.1,"1.0～1.1",IF(AO4601&lt;1.3,"1.2",IF(AO4601&lt;1.5,"1.3～1.4",IF(AO4601&lt;2,"1.5～1.9","2.0以上"))))))</f>
        <v/>
      </c>
      <c r="AQ4601" s="8" t="str">
        <f aca="false">IF(A4601="","",IF(ISNUMBER(SEARCH("2歳",Z4601)),"2歳戦",IF(ISNUMBER(SEARCH("3歳未勝利",Z4601)),"3歳未勝利",IF(ISNUMBER(SEARCH("未勝利",Z4601)),"その他未勝利",IF(ISNUMBER(SEARCH("G1",Z4601)),"G1",IF(ISNUMBER(SEARCH("G2",Z4601)),"G2",IF(ISNUMBER(SEARCH("G3",Z4601)),"G3",IF(ISNUMBER(SEARCH("古馬条件",Z4601)),"古馬条件戦",IF(ISNUMBER(SEARCH("重賞",Z4601)),"重賞","分類不能")))))))))</f>
        <v/>
      </c>
    </row>
    <row r="4602" customFormat="false" ht="15.75" hidden="false" customHeight="false" outlineLevel="0" collapsed="false">
      <c r="AO4602" s="8" t="str">
        <f aca="false">IF(A4602="","",IF(COUNTIFS(全馬データ!$A$2:$A$50000,A4602,全馬データ!$B$2:$B$50000,B4602,全馬データ!$C$2:$C$50000,C4602,全馬データ!$D$2:$D$50000,E4602,全馬データ!$K$2:$K$50000,"&lt;&gt;")=0,"",SUMIFS(全馬データ!$K$2:$K$50000,全馬データ!$A$2:$A$50000,A4602,全馬データ!$B$2:$B$50000,B4602,全馬データ!$C$2:$C$50000,C4602,全馬データ!$D$2:$D$50000,E4602)))</f>
        <v/>
      </c>
      <c r="AP4602" s="8" t="str">
        <f aca="false">IF(A4602="","",IF(AO4602="","欠損",IF(AO4602&lt;=1.1,"1.0～1.1",IF(AO4602&lt;1.3,"1.2",IF(AO4602&lt;1.5,"1.3～1.4",IF(AO4602&lt;2,"1.5～1.9","2.0以上"))))))</f>
        <v/>
      </c>
      <c r="AQ4602" s="8" t="str">
        <f aca="false">IF(A4602="","",IF(ISNUMBER(SEARCH("2歳",Z4602)),"2歳戦",IF(ISNUMBER(SEARCH("3歳未勝利",Z4602)),"3歳未勝利",IF(ISNUMBER(SEARCH("未勝利",Z4602)),"その他未勝利",IF(ISNUMBER(SEARCH("G1",Z4602)),"G1",IF(ISNUMBER(SEARCH("G2",Z4602)),"G2",IF(ISNUMBER(SEARCH("G3",Z4602)),"G3",IF(ISNUMBER(SEARCH("古馬条件",Z4602)),"古馬条件戦",IF(ISNUMBER(SEARCH("重賞",Z4602)),"重賞","分類不能")))))))))</f>
        <v/>
      </c>
    </row>
    <row r="4603" customFormat="false" ht="15.75" hidden="false" customHeight="false" outlineLevel="0" collapsed="false">
      <c r="AO4603" s="8" t="str">
        <f aca="false">IF(A4603="","",IF(COUNTIFS(全馬データ!$A$2:$A$50000,A4603,全馬データ!$B$2:$B$50000,B4603,全馬データ!$C$2:$C$50000,C4603,全馬データ!$D$2:$D$50000,E4603,全馬データ!$K$2:$K$50000,"&lt;&gt;")=0,"",SUMIFS(全馬データ!$K$2:$K$50000,全馬データ!$A$2:$A$50000,A4603,全馬データ!$B$2:$B$50000,B4603,全馬データ!$C$2:$C$50000,C4603,全馬データ!$D$2:$D$50000,E4603)))</f>
        <v/>
      </c>
      <c r="AP4603" s="8" t="str">
        <f aca="false">IF(A4603="","",IF(AO4603="","欠損",IF(AO4603&lt;=1.1,"1.0～1.1",IF(AO4603&lt;1.3,"1.2",IF(AO4603&lt;1.5,"1.3～1.4",IF(AO4603&lt;2,"1.5～1.9","2.0以上"))))))</f>
        <v/>
      </c>
      <c r="AQ4603" s="8" t="str">
        <f aca="false">IF(A4603="","",IF(ISNUMBER(SEARCH("2歳",Z4603)),"2歳戦",IF(ISNUMBER(SEARCH("3歳未勝利",Z4603)),"3歳未勝利",IF(ISNUMBER(SEARCH("未勝利",Z4603)),"その他未勝利",IF(ISNUMBER(SEARCH("G1",Z4603)),"G1",IF(ISNUMBER(SEARCH("G2",Z4603)),"G2",IF(ISNUMBER(SEARCH("G3",Z4603)),"G3",IF(ISNUMBER(SEARCH("古馬条件",Z4603)),"古馬条件戦",IF(ISNUMBER(SEARCH("重賞",Z4603)),"重賞","分類不能")))))))))</f>
        <v/>
      </c>
    </row>
    <row r="4604" customFormat="false" ht="15.75" hidden="false" customHeight="false" outlineLevel="0" collapsed="false">
      <c r="AO4604" s="8" t="str">
        <f aca="false">IF(A4604="","",IF(COUNTIFS(全馬データ!$A$2:$A$50000,A4604,全馬データ!$B$2:$B$50000,B4604,全馬データ!$C$2:$C$50000,C4604,全馬データ!$D$2:$D$50000,E4604,全馬データ!$K$2:$K$50000,"&lt;&gt;")=0,"",SUMIFS(全馬データ!$K$2:$K$50000,全馬データ!$A$2:$A$50000,A4604,全馬データ!$B$2:$B$50000,B4604,全馬データ!$C$2:$C$50000,C4604,全馬データ!$D$2:$D$50000,E4604)))</f>
        <v/>
      </c>
      <c r="AP4604" s="8" t="str">
        <f aca="false">IF(A4604="","",IF(AO4604="","欠損",IF(AO4604&lt;=1.1,"1.0～1.1",IF(AO4604&lt;1.3,"1.2",IF(AO4604&lt;1.5,"1.3～1.4",IF(AO4604&lt;2,"1.5～1.9","2.0以上"))))))</f>
        <v/>
      </c>
      <c r="AQ4604" s="8" t="str">
        <f aca="false">IF(A4604="","",IF(ISNUMBER(SEARCH("2歳",Z4604)),"2歳戦",IF(ISNUMBER(SEARCH("3歳未勝利",Z4604)),"3歳未勝利",IF(ISNUMBER(SEARCH("未勝利",Z4604)),"その他未勝利",IF(ISNUMBER(SEARCH("G1",Z4604)),"G1",IF(ISNUMBER(SEARCH("G2",Z4604)),"G2",IF(ISNUMBER(SEARCH("G3",Z4604)),"G3",IF(ISNUMBER(SEARCH("古馬条件",Z4604)),"古馬条件戦",IF(ISNUMBER(SEARCH("重賞",Z4604)),"重賞","分類不能")))))))))</f>
        <v/>
      </c>
    </row>
    <row r="4605" customFormat="false" ht="15.75" hidden="false" customHeight="false" outlineLevel="0" collapsed="false">
      <c r="AO4605" s="8" t="str">
        <f aca="false">IF(A4605="","",IF(COUNTIFS(全馬データ!$A$2:$A$50000,A4605,全馬データ!$B$2:$B$50000,B4605,全馬データ!$C$2:$C$50000,C4605,全馬データ!$D$2:$D$50000,E4605,全馬データ!$K$2:$K$50000,"&lt;&gt;")=0,"",SUMIFS(全馬データ!$K$2:$K$50000,全馬データ!$A$2:$A$50000,A4605,全馬データ!$B$2:$B$50000,B4605,全馬データ!$C$2:$C$50000,C4605,全馬データ!$D$2:$D$50000,E4605)))</f>
        <v/>
      </c>
      <c r="AP4605" s="8" t="str">
        <f aca="false">IF(A4605="","",IF(AO4605="","欠損",IF(AO4605&lt;=1.1,"1.0～1.1",IF(AO4605&lt;1.3,"1.2",IF(AO4605&lt;1.5,"1.3～1.4",IF(AO4605&lt;2,"1.5～1.9","2.0以上"))))))</f>
        <v/>
      </c>
      <c r="AQ4605" s="8" t="str">
        <f aca="false">IF(A4605="","",IF(ISNUMBER(SEARCH("2歳",Z4605)),"2歳戦",IF(ISNUMBER(SEARCH("3歳未勝利",Z4605)),"3歳未勝利",IF(ISNUMBER(SEARCH("未勝利",Z4605)),"その他未勝利",IF(ISNUMBER(SEARCH("G1",Z4605)),"G1",IF(ISNUMBER(SEARCH("G2",Z4605)),"G2",IF(ISNUMBER(SEARCH("G3",Z4605)),"G3",IF(ISNUMBER(SEARCH("古馬条件",Z4605)),"古馬条件戦",IF(ISNUMBER(SEARCH("重賞",Z4605)),"重賞","分類不能")))))))))</f>
        <v/>
      </c>
    </row>
    <row r="4606" customFormat="false" ht="15.75" hidden="false" customHeight="false" outlineLevel="0" collapsed="false">
      <c r="AO4606" s="8" t="str">
        <f aca="false">IF(A4606="","",IF(COUNTIFS(全馬データ!$A$2:$A$50000,A4606,全馬データ!$B$2:$B$50000,B4606,全馬データ!$C$2:$C$50000,C4606,全馬データ!$D$2:$D$50000,E4606,全馬データ!$K$2:$K$50000,"&lt;&gt;")=0,"",SUMIFS(全馬データ!$K$2:$K$50000,全馬データ!$A$2:$A$50000,A4606,全馬データ!$B$2:$B$50000,B4606,全馬データ!$C$2:$C$50000,C4606,全馬データ!$D$2:$D$50000,E4606)))</f>
        <v/>
      </c>
      <c r="AP4606" s="8" t="str">
        <f aca="false">IF(A4606="","",IF(AO4606="","欠損",IF(AO4606&lt;=1.1,"1.0～1.1",IF(AO4606&lt;1.3,"1.2",IF(AO4606&lt;1.5,"1.3～1.4",IF(AO4606&lt;2,"1.5～1.9","2.0以上"))))))</f>
        <v/>
      </c>
      <c r="AQ4606" s="8" t="str">
        <f aca="false">IF(A4606="","",IF(ISNUMBER(SEARCH("2歳",Z4606)),"2歳戦",IF(ISNUMBER(SEARCH("3歳未勝利",Z4606)),"3歳未勝利",IF(ISNUMBER(SEARCH("未勝利",Z4606)),"その他未勝利",IF(ISNUMBER(SEARCH("G1",Z4606)),"G1",IF(ISNUMBER(SEARCH("G2",Z4606)),"G2",IF(ISNUMBER(SEARCH("G3",Z4606)),"G3",IF(ISNUMBER(SEARCH("古馬条件",Z4606)),"古馬条件戦",IF(ISNUMBER(SEARCH("重賞",Z4606)),"重賞","分類不能")))))))))</f>
        <v/>
      </c>
    </row>
    <row r="4607" customFormat="false" ht="15.75" hidden="false" customHeight="false" outlineLevel="0" collapsed="false">
      <c r="AO4607" s="8" t="str">
        <f aca="false">IF(A4607="","",IF(COUNTIFS(全馬データ!$A$2:$A$50000,A4607,全馬データ!$B$2:$B$50000,B4607,全馬データ!$C$2:$C$50000,C4607,全馬データ!$D$2:$D$50000,E4607,全馬データ!$K$2:$K$50000,"&lt;&gt;")=0,"",SUMIFS(全馬データ!$K$2:$K$50000,全馬データ!$A$2:$A$50000,A4607,全馬データ!$B$2:$B$50000,B4607,全馬データ!$C$2:$C$50000,C4607,全馬データ!$D$2:$D$50000,E4607)))</f>
        <v/>
      </c>
      <c r="AP4607" s="8" t="str">
        <f aca="false">IF(A4607="","",IF(AO4607="","欠損",IF(AO4607&lt;=1.1,"1.0～1.1",IF(AO4607&lt;1.3,"1.2",IF(AO4607&lt;1.5,"1.3～1.4",IF(AO4607&lt;2,"1.5～1.9","2.0以上"))))))</f>
        <v/>
      </c>
      <c r="AQ4607" s="8" t="str">
        <f aca="false">IF(A4607="","",IF(ISNUMBER(SEARCH("2歳",Z4607)),"2歳戦",IF(ISNUMBER(SEARCH("3歳未勝利",Z4607)),"3歳未勝利",IF(ISNUMBER(SEARCH("未勝利",Z4607)),"その他未勝利",IF(ISNUMBER(SEARCH("G1",Z4607)),"G1",IF(ISNUMBER(SEARCH("G2",Z4607)),"G2",IF(ISNUMBER(SEARCH("G3",Z4607)),"G3",IF(ISNUMBER(SEARCH("古馬条件",Z4607)),"古馬条件戦",IF(ISNUMBER(SEARCH("重賞",Z4607)),"重賞","分類不能")))))))))</f>
        <v/>
      </c>
    </row>
    <row r="4608" customFormat="false" ht="15.75" hidden="false" customHeight="false" outlineLevel="0" collapsed="false">
      <c r="AO4608" s="8" t="str">
        <f aca="false">IF(A4608="","",IF(COUNTIFS(全馬データ!$A$2:$A$50000,A4608,全馬データ!$B$2:$B$50000,B4608,全馬データ!$C$2:$C$50000,C4608,全馬データ!$D$2:$D$50000,E4608,全馬データ!$K$2:$K$50000,"&lt;&gt;")=0,"",SUMIFS(全馬データ!$K$2:$K$50000,全馬データ!$A$2:$A$50000,A4608,全馬データ!$B$2:$B$50000,B4608,全馬データ!$C$2:$C$50000,C4608,全馬データ!$D$2:$D$50000,E4608)))</f>
        <v/>
      </c>
      <c r="AP4608" s="8" t="str">
        <f aca="false">IF(A4608="","",IF(AO4608="","欠損",IF(AO4608&lt;=1.1,"1.0～1.1",IF(AO4608&lt;1.3,"1.2",IF(AO4608&lt;1.5,"1.3～1.4",IF(AO4608&lt;2,"1.5～1.9","2.0以上"))))))</f>
        <v/>
      </c>
      <c r="AQ4608" s="8" t="str">
        <f aca="false">IF(A4608="","",IF(ISNUMBER(SEARCH("2歳",Z4608)),"2歳戦",IF(ISNUMBER(SEARCH("3歳未勝利",Z4608)),"3歳未勝利",IF(ISNUMBER(SEARCH("未勝利",Z4608)),"その他未勝利",IF(ISNUMBER(SEARCH("G1",Z4608)),"G1",IF(ISNUMBER(SEARCH("G2",Z4608)),"G2",IF(ISNUMBER(SEARCH("G3",Z4608)),"G3",IF(ISNUMBER(SEARCH("古馬条件",Z4608)),"古馬条件戦",IF(ISNUMBER(SEARCH("重賞",Z4608)),"重賞","分類不能")))))))))</f>
        <v/>
      </c>
    </row>
    <row r="4609" customFormat="false" ht="15.75" hidden="false" customHeight="false" outlineLevel="0" collapsed="false">
      <c r="AO4609" s="8" t="str">
        <f aca="false">IF(A4609="","",IF(COUNTIFS(全馬データ!$A$2:$A$50000,A4609,全馬データ!$B$2:$B$50000,B4609,全馬データ!$C$2:$C$50000,C4609,全馬データ!$D$2:$D$50000,E4609,全馬データ!$K$2:$K$50000,"&lt;&gt;")=0,"",SUMIFS(全馬データ!$K$2:$K$50000,全馬データ!$A$2:$A$50000,A4609,全馬データ!$B$2:$B$50000,B4609,全馬データ!$C$2:$C$50000,C4609,全馬データ!$D$2:$D$50000,E4609)))</f>
        <v/>
      </c>
      <c r="AP4609" s="8" t="str">
        <f aca="false">IF(A4609="","",IF(AO4609="","欠損",IF(AO4609&lt;=1.1,"1.0～1.1",IF(AO4609&lt;1.3,"1.2",IF(AO4609&lt;1.5,"1.3～1.4",IF(AO4609&lt;2,"1.5～1.9","2.0以上"))))))</f>
        <v/>
      </c>
      <c r="AQ4609" s="8" t="str">
        <f aca="false">IF(A4609="","",IF(ISNUMBER(SEARCH("2歳",Z4609)),"2歳戦",IF(ISNUMBER(SEARCH("3歳未勝利",Z4609)),"3歳未勝利",IF(ISNUMBER(SEARCH("未勝利",Z4609)),"その他未勝利",IF(ISNUMBER(SEARCH("G1",Z4609)),"G1",IF(ISNUMBER(SEARCH("G2",Z4609)),"G2",IF(ISNUMBER(SEARCH("G3",Z4609)),"G3",IF(ISNUMBER(SEARCH("古馬条件",Z4609)),"古馬条件戦",IF(ISNUMBER(SEARCH("重賞",Z4609)),"重賞","分類不能")))))))))</f>
        <v/>
      </c>
    </row>
    <row r="4610" customFormat="false" ht="15.75" hidden="false" customHeight="false" outlineLevel="0" collapsed="false">
      <c r="AO4610" s="8" t="str">
        <f aca="false">IF(A4610="","",IF(COUNTIFS(全馬データ!$A$2:$A$50000,A4610,全馬データ!$B$2:$B$50000,B4610,全馬データ!$C$2:$C$50000,C4610,全馬データ!$D$2:$D$50000,E4610,全馬データ!$K$2:$K$50000,"&lt;&gt;")=0,"",SUMIFS(全馬データ!$K$2:$K$50000,全馬データ!$A$2:$A$50000,A4610,全馬データ!$B$2:$B$50000,B4610,全馬データ!$C$2:$C$50000,C4610,全馬データ!$D$2:$D$50000,E4610)))</f>
        <v/>
      </c>
      <c r="AP4610" s="8" t="str">
        <f aca="false">IF(A4610="","",IF(AO4610="","欠損",IF(AO4610&lt;=1.1,"1.0～1.1",IF(AO4610&lt;1.3,"1.2",IF(AO4610&lt;1.5,"1.3～1.4",IF(AO4610&lt;2,"1.5～1.9","2.0以上"))))))</f>
        <v/>
      </c>
      <c r="AQ4610" s="8" t="str">
        <f aca="false">IF(A4610="","",IF(ISNUMBER(SEARCH("2歳",Z4610)),"2歳戦",IF(ISNUMBER(SEARCH("3歳未勝利",Z4610)),"3歳未勝利",IF(ISNUMBER(SEARCH("未勝利",Z4610)),"その他未勝利",IF(ISNUMBER(SEARCH("G1",Z4610)),"G1",IF(ISNUMBER(SEARCH("G2",Z4610)),"G2",IF(ISNUMBER(SEARCH("G3",Z4610)),"G3",IF(ISNUMBER(SEARCH("古馬条件",Z4610)),"古馬条件戦",IF(ISNUMBER(SEARCH("重賞",Z4610)),"重賞","分類不能")))))))))</f>
        <v/>
      </c>
    </row>
    <row r="4611" customFormat="false" ht="15.75" hidden="false" customHeight="false" outlineLevel="0" collapsed="false">
      <c r="AO4611" s="8" t="str">
        <f aca="false">IF(A4611="","",IF(COUNTIFS(全馬データ!$A$2:$A$50000,A4611,全馬データ!$B$2:$B$50000,B4611,全馬データ!$C$2:$C$50000,C4611,全馬データ!$D$2:$D$50000,E4611,全馬データ!$K$2:$K$50000,"&lt;&gt;")=0,"",SUMIFS(全馬データ!$K$2:$K$50000,全馬データ!$A$2:$A$50000,A4611,全馬データ!$B$2:$B$50000,B4611,全馬データ!$C$2:$C$50000,C4611,全馬データ!$D$2:$D$50000,E4611)))</f>
        <v/>
      </c>
      <c r="AP4611" s="8" t="str">
        <f aca="false">IF(A4611="","",IF(AO4611="","欠損",IF(AO4611&lt;=1.1,"1.0～1.1",IF(AO4611&lt;1.3,"1.2",IF(AO4611&lt;1.5,"1.3～1.4",IF(AO4611&lt;2,"1.5～1.9","2.0以上"))))))</f>
        <v/>
      </c>
      <c r="AQ4611" s="8" t="str">
        <f aca="false">IF(A4611="","",IF(ISNUMBER(SEARCH("2歳",Z4611)),"2歳戦",IF(ISNUMBER(SEARCH("3歳未勝利",Z4611)),"3歳未勝利",IF(ISNUMBER(SEARCH("未勝利",Z4611)),"その他未勝利",IF(ISNUMBER(SEARCH("G1",Z4611)),"G1",IF(ISNUMBER(SEARCH("G2",Z4611)),"G2",IF(ISNUMBER(SEARCH("G3",Z4611)),"G3",IF(ISNUMBER(SEARCH("古馬条件",Z4611)),"古馬条件戦",IF(ISNUMBER(SEARCH("重賞",Z4611)),"重賞","分類不能")))))))))</f>
        <v/>
      </c>
    </row>
    <row r="4612" customFormat="false" ht="15.75" hidden="false" customHeight="false" outlineLevel="0" collapsed="false">
      <c r="AO4612" s="8" t="str">
        <f aca="false">IF(A4612="","",IF(COUNTIFS(全馬データ!$A$2:$A$50000,A4612,全馬データ!$B$2:$B$50000,B4612,全馬データ!$C$2:$C$50000,C4612,全馬データ!$D$2:$D$50000,E4612,全馬データ!$K$2:$K$50000,"&lt;&gt;")=0,"",SUMIFS(全馬データ!$K$2:$K$50000,全馬データ!$A$2:$A$50000,A4612,全馬データ!$B$2:$B$50000,B4612,全馬データ!$C$2:$C$50000,C4612,全馬データ!$D$2:$D$50000,E4612)))</f>
        <v/>
      </c>
      <c r="AP4612" s="8" t="str">
        <f aca="false">IF(A4612="","",IF(AO4612="","欠損",IF(AO4612&lt;=1.1,"1.0～1.1",IF(AO4612&lt;1.3,"1.2",IF(AO4612&lt;1.5,"1.3～1.4",IF(AO4612&lt;2,"1.5～1.9","2.0以上"))))))</f>
        <v/>
      </c>
      <c r="AQ4612" s="8" t="str">
        <f aca="false">IF(A4612="","",IF(ISNUMBER(SEARCH("2歳",Z4612)),"2歳戦",IF(ISNUMBER(SEARCH("3歳未勝利",Z4612)),"3歳未勝利",IF(ISNUMBER(SEARCH("未勝利",Z4612)),"その他未勝利",IF(ISNUMBER(SEARCH("G1",Z4612)),"G1",IF(ISNUMBER(SEARCH("G2",Z4612)),"G2",IF(ISNUMBER(SEARCH("G3",Z4612)),"G3",IF(ISNUMBER(SEARCH("古馬条件",Z4612)),"古馬条件戦",IF(ISNUMBER(SEARCH("重賞",Z4612)),"重賞","分類不能")))))))))</f>
        <v/>
      </c>
    </row>
    <row r="4613" customFormat="false" ht="15.75" hidden="false" customHeight="false" outlineLevel="0" collapsed="false">
      <c r="AO4613" s="8" t="str">
        <f aca="false">IF(A4613="","",IF(COUNTIFS(全馬データ!$A$2:$A$50000,A4613,全馬データ!$B$2:$B$50000,B4613,全馬データ!$C$2:$C$50000,C4613,全馬データ!$D$2:$D$50000,E4613,全馬データ!$K$2:$K$50000,"&lt;&gt;")=0,"",SUMIFS(全馬データ!$K$2:$K$50000,全馬データ!$A$2:$A$50000,A4613,全馬データ!$B$2:$B$50000,B4613,全馬データ!$C$2:$C$50000,C4613,全馬データ!$D$2:$D$50000,E4613)))</f>
        <v/>
      </c>
      <c r="AP4613" s="8" t="str">
        <f aca="false">IF(A4613="","",IF(AO4613="","欠損",IF(AO4613&lt;=1.1,"1.0～1.1",IF(AO4613&lt;1.3,"1.2",IF(AO4613&lt;1.5,"1.3～1.4",IF(AO4613&lt;2,"1.5～1.9","2.0以上"))))))</f>
        <v/>
      </c>
      <c r="AQ4613" s="8" t="str">
        <f aca="false">IF(A4613="","",IF(ISNUMBER(SEARCH("2歳",Z4613)),"2歳戦",IF(ISNUMBER(SEARCH("3歳未勝利",Z4613)),"3歳未勝利",IF(ISNUMBER(SEARCH("未勝利",Z4613)),"その他未勝利",IF(ISNUMBER(SEARCH("G1",Z4613)),"G1",IF(ISNUMBER(SEARCH("G2",Z4613)),"G2",IF(ISNUMBER(SEARCH("G3",Z4613)),"G3",IF(ISNUMBER(SEARCH("古馬条件",Z4613)),"古馬条件戦",IF(ISNUMBER(SEARCH("重賞",Z4613)),"重賞","分類不能")))))))))</f>
        <v/>
      </c>
    </row>
    <row r="4614" customFormat="false" ht="15.75" hidden="false" customHeight="false" outlineLevel="0" collapsed="false">
      <c r="AO4614" s="8" t="str">
        <f aca="false">IF(A4614="","",IF(COUNTIFS(全馬データ!$A$2:$A$50000,A4614,全馬データ!$B$2:$B$50000,B4614,全馬データ!$C$2:$C$50000,C4614,全馬データ!$D$2:$D$50000,E4614,全馬データ!$K$2:$K$50000,"&lt;&gt;")=0,"",SUMIFS(全馬データ!$K$2:$K$50000,全馬データ!$A$2:$A$50000,A4614,全馬データ!$B$2:$B$50000,B4614,全馬データ!$C$2:$C$50000,C4614,全馬データ!$D$2:$D$50000,E4614)))</f>
        <v/>
      </c>
      <c r="AP4614" s="8" t="str">
        <f aca="false">IF(A4614="","",IF(AO4614="","欠損",IF(AO4614&lt;=1.1,"1.0～1.1",IF(AO4614&lt;1.3,"1.2",IF(AO4614&lt;1.5,"1.3～1.4",IF(AO4614&lt;2,"1.5～1.9","2.0以上"))))))</f>
        <v/>
      </c>
      <c r="AQ4614" s="8" t="str">
        <f aca="false">IF(A4614="","",IF(ISNUMBER(SEARCH("2歳",Z4614)),"2歳戦",IF(ISNUMBER(SEARCH("3歳未勝利",Z4614)),"3歳未勝利",IF(ISNUMBER(SEARCH("未勝利",Z4614)),"その他未勝利",IF(ISNUMBER(SEARCH("G1",Z4614)),"G1",IF(ISNUMBER(SEARCH("G2",Z4614)),"G2",IF(ISNUMBER(SEARCH("G3",Z4614)),"G3",IF(ISNUMBER(SEARCH("古馬条件",Z4614)),"古馬条件戦",IF(ISNUMBER(SEARCH("重賞",Z4614)),"重賞","分類不能")))))))))</f>
        <v/>
      </c>
    </row>
    <row r="4615" customFormat="false" ht="15.75" hidden="false" customHeight="false" outlineLevel="0" collapsed="false">
      <c r="AO4615" s="8" t="str">
        <f aca="false">IF(A4615="","",IF(COUNTIFS(全馬データ!$A$2:$A$50000,A4615,全馬データ!$B$2:$B$50000,B4615,全馬データ!$C$2:$C$50000,C4615,全馬データ!$D$2:$D$50000,E4615,全馬データ!$K$2:$K$50000,"&lt;&gt;")=0,"",SUMIFS(全馬データ!$K$2:$K$50000,全馬データ!$A$2:$A$50000,A4615,全馬データ!$B$2:$B$50000,B4615,全馬データ!$C$2:$C$50000,C4615,全馬データ!$D$2:$D$50000,E4615)))</f>
        <v/>
      </c>
      <c r="AP4615" s="8" t="str">
        <f aca="false">IF(A4615="","",IF(AO4615="","欠損",IF(AO4615&lt;=1.1,"1.0～1.1",IF(AO4615&lt;1.3,"1.2",IF(AO4615&lt;1.5,"1.3～1.4",IF(AO4615&lt;2,"1.5～1.9","2.0以上"))))))</f>
        <v/>
      </c>
      <c r="AQ4615" s="8" t="str">
        <f aca="false">IF(A4615="","",IF(ISNUMBER(SEARCH("2歳",Z4615)),"2歳戦",IF(ISNUMBER(SEARCH("3歳未勝利",Z4615)),"3歳未勝利",IF(ISNUMBER(SEARCH("未勝利",Z4615)),"その他未勝利",IF(ISNUMBER(SEARCH("G1",Z4615)),"G1",IF(ISNUMBER(SEARCH("G2",Z4615)),"G2",IF(ISNUMBER(SEARCH("G3",Z4615)),"G3",IF(ISNUMBER(SEARCH("古馬条件",Z4615)),"古馬条件戦",IF(ISNUMBER(SEARCH("重賞",Z4615)),"重賞","分類不能")))))))))</f>
        <v/>
      </c>
    </row>
    <row r="4616" customFormat="false" ht="15.75" hidden="false" customHeight="false" outlineLevel="0" collapsed="false">
      <c r="AO4616" s="8" t="str">
        <f aca="false">IF(A4616="","",IF(COUNTIFS(全馬データ!$A$2:$A$50000,A4616,全馬データ!$B$2:$B$50000,B4616,全馬データ!$C$2:$C$50000,C4616,全馬データ!$D$2:$D$50000,E4616,全馬データ!$K$2:$K$50000,"&lt;&gt;")=0,"",SUMIFS(全馬データ!$K$2:$K$50000,全馬データ!$A$2:$A$50000,A4616,全馬データ!$B$2:$B$50000,B4616,全馬データ!$C$2:$C$50000,C4616,全馬データ!$D$2:$D$50000,E4616)))</f>
        <v/>
      </c>
      <c r="AP4616" s="8" t="str">
        <f aca="false">IF(A4616="","",IF(AO4616="","欠損",IF(AO4616&lt;=1.1,"1.0～1.1",IF(AO4616&lt;1.3,"1.2",IF(AO4616&lt;1.5,"1.3～1.4",IF(AO4616&lt;2,"1.5～1.9","2.0以上"))))))</f>
        <v/>
      </c>
      <c r="AQ4616" s="8" t="str">
        <f aca="false">IF(A4616="","",IF(ISNUMBER(SEARCH("2歳",Z4616)),"2歳戦",IF(ISNUMBER(SEARCH("3歳未勝利",Z4616)),"3歳未勝利",IF(ISNUMBER(SEARCH("未勝利",Z4616)),"その他未勝利",IF(ISNUMBER(SEARCH("G1",Z4616)),"G1",IF(ISNUMBER(SEARCH("G2",Z4616)),"G2",IF(ISNUMBER(SEARCH("G3",Z4616)),"G3",IF(ISNUMBER(SEARCH("古馬条件",Z4616)),"古馬条件戦",IF(ISNUMBER(SEARCH("重賞",Z4616)),"重賞","分類不能")))))))))</f>
        <v/>
      </c>
    </row>
    <row r="4617" customFormat="false" ht="15.75" hidden="false" customHeight="false" outlineLevel="0" collapsed="false">
      <c r="AO4617" s="8" t="str">
        <f aca="false">IF(A4617="","",IF(COUNTIFS(全馬データ!$A$2:$A$50000,A4617,全馬データ!$B$2:$B$50000,B4617,全馬データ!$C$2:$C$50000,C4617,全馬データ!$D$2:$D$50000,E4617,全馬データ!$K$2:$K$50000,"&lt;&gt;")=0,"",SUMIFS(全馬データ!$K$2:$K$50000,全馬データ!$A$2:$A$50000,A4617,全馬データ!$B$2:$B$50000,B4617,全馬データ!$C$2:$C$50000,C4617,全馬データ!$D$2:$D$50000,E4617)))</f>
        <v/>
      </c>
      <c r="AP4617" s="8" t="str">
        <f aca="false">IF(A4617="","",IF(AO4617="","欠損",IF(AO4617&lt;=1.1,"1.0～1.1",IF(AO4617&lt;1.3,"1.2",IF(AO4617&lt;1.5,"1.3～1.4",IF(AO4617&lt;2,"1.5～1.9","2.0以上"))))))</f>
        <v/>
      </c>
      <c r="AQ4617" s="8" t="str">
        <f aca="false">IF(A4617="","",IF(ISNUMBER(SEARCH("2歳",Z4617)),"2歳戦",IF(ISNUMBER(SEARCH("3歳未勝利",Z4617)),"3歳未勝利",IF(ISNUMBER(SEARCH("未勝利",Z4617)),"その他未勝利",IF(ISNUMBER(SEARCH("G1",Z4617)),"G1",IF(ISNUMBER(SEARCH("G2",Z4617)),"G2",IF(ISNUMBER(SEARCH("G3",Z4617)),"G3",IF(ISNUMBER(SEARCH("古馬条件",Z4617)),"古馬条件戦",IF(ISNUMBER(SEARCH("重賞",Z4617)),"重賞","分類不能")))))))))</f>
        <v/>
      </c>
    </row>
    <row r="4618" customFormat="false" ht="15.75" hidden="false" customHeight="false" outlineLevel="0" collapsed="false">
      <c r="AO4618" s="8" t="str">
        <f aca="false">IF(A4618="","",IF(COUNTIFS(全馬データ!$A$2:$A$50000,A4618,全馬データ!$B$2:$B$50000,B4618,全馬データ!$C$2:$C$50000,C4618,全馬データ!$D$2:$D$50000,E4618,全馬データ!$K$2:$K$50000,"&lt;&gt;")=0,"",SUMIFS(全馬データ!$K$2:$K$50000,全馬データ!$A$2:$A$50000,A4618,全馬データ!$B$2:$B$50000,B4618,全馬データ!$C$2:$C$50000,C4618,全馬データ!$D$2:$D$50000,E4618)))</f>
        <v/>
      </c>
      <c r="AP4618" s="8" t="str">
        <f aca="false">IF(A4618="","",IF(AO4618="","欠損",IF(AO4618&lt;=1.1,"1.0～1.1",IF(AO4618&lt;1.3,"1.2",IF(AO4618&lt;1.5,"1.3～1.4",IF(AO4618&lt;2,"1.5～1.9","2.0以上"))))))</f>
        <v/>
      </c>
      <c r="AQ4618" s="8" t="str">
        <f aca="false">IF(A4618="","",IF(ISNUMBER(SEARCH("2歳",Z4618)),"2歳戦",IF(ISNUMBER(SEARCH("3歳未勝利",Z4618)),"3歳未勝利",IF(ISNUMBER(SEARCH("未勝利",Z4618)),"その他未勝利",IF(ISNUMBER(SEARCH("G1",Z4618)),"G1",IF(ISNUMBER(SEARCH("G2",Z4618)),"G2",IF(ISNUMBER(SEARCH("G3",Z4618)),"G3",IF(ISNUMBER(SEARCH("古馬条件",Z4618)),"古馬条件戦",IF(ISNUMBER(SEARCH("重賞",Z4618)),"重賞","分類不能")))))))))</f>
        <v/>
      </c>
    </row>
    <row r="4619" customFormat="false" ht="15.75" hidden="false" customHeight="false" outlineLevel="0" collapsed="false">
      <c r="AO4619" s="8" t="str">
        <f aca="false">IF(A4619="","",IF(COUNTIFS(全馬データ!$A$2:$A$50000,A4619,全馬データ!$B$2:$B$50000,B4619,全馬データ!$C$2:$C$50000,C4619,全馬データ!$D$2:$D$50000,E4619,全馬データ!$K$2:$K$50000,"&lt;&gt;")=0,"",SUMIFS(全馬データ!$K$2:$K$50000,全馬データ!$A$2:$A$50000,A4619,全馬データ!$B$2:$B$50000,B4619,全馬データ!$C$2:$C$50000,C4619,全馬データ!$D$2:$D$50000,E4619)))</f>
        <v/>
      </c>
      <c r="AP4619" s="8" t="str">
        <f aca="false">IF(A4619="","",IF(AO4619="","欠損",IF(AO4619&lt;=1.1,"1.0～1.1",IF(AO4619&lt;1.3,"1.2",IF(AO4619&lt;1.5,"1.3～1.4",IF(AO4619&lt;2,"1.5～1.9","2.0以上"))))))</f>
        <v/>
      </c>
      <c r="AQ4619" s="8" t="str">
        <f aca="false">IF(A4619="","",IF(ISNUMBER(SEARCH("2歳",Z4619)),"2歳戦",IF(ISNUMBER(SEARCH("3歳未勝利",Z4619)),"3歳未勝利",IF(ISNUMBER(SEARCH("未勝利",Z4619)),"その他未勝利",IF(ISNUMBER(SEARCH("G1",Z4619)),"G1",IF(ISNUMBER(SEARCH("G2",Z4619)),"G2",IF(ISNUMBER(SEARCH("G3",Z4619)),"G3",IF(ISNUMBER(SEARCH("古馬条件",Z4619)),"古馬条件戦",IF(ISNUMBER(SEARCH("重賞",Z4619)),"重賞","分類不能")))))))))</f>
        <v/>
      </c>
    </row>
    <row r="4620" customFormat="false" ht="15.75" hidden="false" customHeight="false" outlineLevel="0" collapsed="false">
      <c r="AO4620" s="8" t="str">
        <f aca="false">IF(A4620="","",IF(COUNTIFS(全馬データ!$A$2:$A$50000,A4620,全馬データ!$B$2:$B$50000,B4620,全馬データ!$C$2:$C$50000,C4620,全馬データ!$D$2:$D$50000,E4620,全馬データ!$K$2:$K$50000,"&lt;&gt;")=0,"",SUMIFS(全馬データ!$K$2:$K$50000,全馬データ!$A$2:$A$50000,A4620,全馬データ!$B$2:$B$50000,B4620,全馬データ!$C$2:$C$50000,C4620,全馬データ!$D$2:$D$50000,E4620)))</f>
        <v/>
      </c>
      <c r="AP4620" s="8" t="str">
        <f aca="false">IF(A4620="","",IF(AO4620="","欠損",IF(AO4620&lt;=1.1,"1.0～1.1",IF(AO4620&lt;1.3,"1.2",IF(AO4620&lt;1.5,"1.3～1.4",IF(AO4620&lt;2,"1.5～1.9","2.0以上"))))))</f>
        <v/>
      </c>
      <c r="AQ4620" s="8" t="str">
        <f aca="false">IF(A4620="","",IF(ISNUMBER(SEARCH("2歳",Z4620)),"2歳戦",IF(ISNUMBER(SEARCH("3歳未勝利",Z4620)),"3歳未勝利",IF(ISNUMBER(SEARCH("未勝利",Z4620)),"その他未勝利",IF(ISNUMBER(SEARCH("G1",Z4620)),"G1",IF(ISNUMBER(SEARCH("G2",Z4620)),"G2",IF(ISNUMBER(SEARCH("G3",Z4620)),"G3",IF(ISNUMBER(SEARCH("古馬条件",Z4620)),"古馬条件戦",IF(ISNUMBER(SEARCH("重賞",Z4620)),"重賞","分類不能")))))))))</f>
        <v/>
      </c>
    </row>
    <row r="4621" customFormat="false" ht="15.75" hidden="false" customHeight="false" outlineLevel="0" collapsed="false">
      <c r="AO4621" s="8" t="str">
        <f aca="false">IF(A4621="","",IF(COUNTIFS(全馬データ!$A$2:$A$50000,A4621,全馬データ!$B$2:$B$50000,B4621,全馬データ!$C$2:$C$50000,C4621,全馬データ!$D$2:$D$50000,E4621,全馬データ!$K$2:$K$50000,"&lt;&gt;")=0,"",SUMIFS(全馬データ!$K$2:$K$50000,全馬データ!$A$2:$A$50000,A4621,全馬データ!$B$2:$B$50000,B4621,全馬データ!$C$2:$C$50000,C4621,全馬データ!$D$2:$D$50000,E4621)))</f>
        <v/>
      </c>
      <c r="AP4621" s="8" t="str">
        <f aca="false">IF(A4621="","",IF(AO4621="","欠損",IF(AO4621&lt;=1.1,"1.0～1.1",IF(AO4621&lt;1.3,"1.2",IF(AO4621&lt;1.5,"1.3～1.4",IF(AO4621&lt;2,"1.5～1.9","2.0以上"))))))</f>
        <v/>
      </c>
      <c r="AQ4621" s="8" t="str">
        <f aca="false">IF(A4621="","",IF(ISNUMBER(SEARCH("2歳",Z4621)),"2歳戦",IF(ISNUMBER(SEARCH("3歳未勝利",Z4621)),"3歳未勝利",IF(ISNUMBER(SEARCH("未勝利",Z4621)),"その他未勝利",IF(ISNUMBER(SEARCH("G1",Z4621)),"G1",IF(ISNUMBER(SEARCH("G2",Z4621)),"G2",IF(ISNUMBER(SEARCH("G3",Z4621)),"G3",IF(ISNUMBER(SEARCH("古馬条件",Z4621)),"古馬条件戦",IF(ISNUMBER(SEARCH("重賞",Z4621)),"重賞","分類不能")))))))))</f>
        <v/>
      </c>
    </row>
    <row r="4622" customFormat="false" ht="15.75" hidden="false" customHeight="false" outlineLevel="0" collapsed="false">
      <c r="AO4622" s="8" t="str">
        <f aca="false">IF(A4622="","",IF(COUNTIFS(全馬データ!$A$2:$A$50000,A4622,全馬データ!$B$2:$B$50000,B4622,全馬データ!$C$2:$C$50000,C4622,全馬データ!$D$2:$D$50000,E4622,全馬データ!$K$2:$K$50000,"&lt;&gt;")=0,"",SUMIFS(全馬データ!$K$2:$K$50000,全馬データ!$A$2:$A$50000,A4622,全馬データ!$B$2:$B$50000,B4622,全馬データ!$C$2:$C$50000,C4622,全馬データ!$D$2:$D$50000,E4622)))</f>
        <v/>
      </c>
      <c r="AP4622" s="8" t="str">
        <f aca="false">IF(A4622="","",IF(AO4622="","欠損",IF(AO4622&lt;=1.1,"1.0～1.1",IF(AO4622&lt;1.3,"1.2",IF(AO4622&lt;1.5,"1.3～1.4",IF(AO4622&lt;2,"1.5～1.9","2.0以上"))))))</f>
        <v/>
      </c>
      <c r="AQ4622" s="8" t="str">
        <f aca="false">IF(A4622="","",IF(ISNUMBER(SEARCH("2歳",Z4622)),"2歳戦",IF(ISNUMBER(SEARCH("3歳未勝利",Z4622)),"3歳未勝利",IF(ISNUMBER(SEARCH("未勝利",Z4622)),"その他未勝利",IF(ISNUMBER(SEARCH("G1",Z4622)),"G1",IF(ISNUMBER(SEARCH("G2",Z4622)),"G2",IF(ISNUMBER(SEARCH("G3",Z4622)),"G3",IF(ISNUMBER(SEARCH("古馬条件",Z4622)),"古馬条件戦",IF(ISNUMBER(SEARCH("重賞",Z4622)),"重賞","分類不能")))))))))</f>
        <v/>
      </c>
    </row>
    <row r="4623" customFormat="false" ht="15.75" hidden="false" customHeight="false" outlineLevel="0" collapsed="false">
      <c r="AO4623" s="8" t="str">
        <f aca="false">IF(A4623="","",IF(COUNTIFS(全馬データ!$A$2:$A$50000,A4623,全馬データ!$B$2:$B$50000,B4623,全馬データ!$C$2:$C$50000,C4623,全馬データ!$D$2:$D$50000,E4623,全馬データ!$K$2:$K$50000,"&lt;&gt;")=0,"",SUMIFS(全馬データ!$K$2:$K$50000,全馬データ!$A$2:$A$50000,A4623,全馬データ!$B$2:$B$50000,B4623,全馬データ!$C$2:$C$50000,C4623,全馬データ!$D$2:$D$50000,E4623)))</f>
        <v/>
      </c>
      <c r="AP4623" s="8" t="str">
        <f aca="false">IF(A4623="","",IF(AO4623="","欠損",IF(AO4623&lt;=1.1,"1.0～1.1",IF(AO4623&lt;1.3,"1.2",IF(AO4623&lt;1.5,"1.3～1.4",IF(AO4623&lt;2,"1.5～1.9","2.0以上"))))))</f>
        <v/>
      </c>
      <c r="AQ4623" s="8" t="str">
        <f aca="false">IF(A4623="","",IF(ISNUMBER(SEARCH("2歳",Z4623)),"2歳戦",IF(ISNUMBER(SEARCH("3歳未勝利",Z4623)),"3歳未勝利",IF(ISNUMBER(SEARCH("未勝利",Z4623)),"その他未勝利",IF(ISNUMBER(SEARCH("G1",Z4623)),"G1",IF(ISNUMBER(SEARCH("G2",Z4623)),"G2",IF(ISNUMBER(SEARCH("G3",Z4623)),"G3",IF(ISNUMBER(SEARCH("古馬条件",Z4623)),"古馬条件戦",IF(ISNUMBER(SEARCH("重賞",Z4623)),"重賞","分類不能")))))))))</f>
        <v/>
      </c>
    </row>
    <row r="4624" customFormat="false" ht="15.75" hidden="false" customHeight="false" outlineLevel="0" collapsed="false">
      <c r="AO4624" s="8" t="str">
        <f aca="false">IF(A4624="","",IF(COUNTIFS(全馬データ!$A$2:$A$50000,A4624,全馬データ!$B$2:$B$50000,B4624,全馬データ!$C$2:$C$50000,C4624,全馬データ!$D$2:$D$50000,E4624,全馬データ!$K$2:$K$50000,"&lt;&gt;")=0,"",SUMIFS(全馬データ!$K$2:$K$50000,全馬データ!$A$2:$A$50000,A4624,全馬データ!$B$2:$B$50000,B4624,全馬データ!$C$2:$C$50000,C4624,全馬データ!$D$2:$D$50000,E4624)))</f>
        <v/>
      </c>
      <c r="AP4624" s="8" t="str">
        <f aca="false">IF(A4624="","",IF(AO4624="","欠損",IF(AO4624&lt;=1.1,"1.0～1.1",IF(AO4624&lt;1.3,"1.2",IF(AO4624&lt;1.5,"1.3～1.4",IF(AO4624&lt;2,"1.5～1.9","2.0以上"))))))</f>
        <v/>
      </c>
      <c r="AQ4624" s="8" t="str">
        <f aca="false">IF(A4624="","",IF(ISNUMBER(SEARCH("2歳",Z4624)),"2歳戦",IF(ISNUMBER(SEARCH("3歳未勝利",Z4624)),"3歳未勝利",IF(ISNUMBER(SEARCH("未勝利",Z4624)),"その他未勝利",IF(ISNUMBER(SEARCH("G1",Z4624)),"G1",IF(ISNUMBER(SEARCH("G2",Z4624)),"G2",IF(ISNUMBER(SEARCH("G3",Z4624)),"G3",IF(ISNUMBER(SEARCH("古馬条件",Z4624)),"古馬条件戦",IF(ISNUMBER(SEARCH("重賞",Z4624)),"重賞","分類不能")))))))))</f>
        <v/>
      </c>
    </row>
    <row r="4625" customFormat="false" ht="15.75" hidden="false" customHeight="false" outlineLevel="0" collapsed="false">
      <c r="AO4625" s="8" t="str">
        <f aca="false">IF(A4625="","",IF(COUNTIFS(全馬データ!$A$2:$A$50000,A4625,全馬データ!$B$2:$B$50000,B4625,全馬データ!$C$2:$C$50000,C4625,全馬データ!$D$2:$D$50000,E4625,全馬データ!$K$2:$K$50000,"&lt;&gt;")=0,"",SUMIFS(全馬データ!$K$2:$K$50000,全馬データ!$A$2:$A$50000,A4625,全馬データ!$B$2:$B$50000,B4625,全馬データ!$C$2:$C$50000,C4625,全馬データ!$D$2:$D$50000,E4625)))</f>
        <v/>
      </c>
      <c r="AP4625" s="8" t="str">
        <f aca="false">IF(A4625="","",IF(AO4625="","欠損",IF(AO4625&lt;=1.1,"1.0～1.1",IF(AO4625&lt;1.3,"1.2",IF(AO4625&lt;1.5,"1.3～1.4",IF(AO4625&lt;2,"1.5～1.9","2.0以上"))))))</f>
        <v/>
      </c>
      <c r="AQ4625" s="8" t="str">
        <f aca="false">IF(A4625="","",IF(ISNUMBER(SEARCH("2歳",Z4625)),"2歳戦",IF(ISNUMBER(SEARCH("3歳未勝利",Z4625)),"3歳未勝利",IF(ISNUMBER(SEARCH("未勝利",Z4625)),"その他未勝利",IF(ISNUMBER(SEARCH("G1",Z4625)),"G1",IF(ISNUMBER(SEARCH("G2",Z4625)),"G2",IF(ISNUMBER(SEARCH("G3",Z4625)),"G3",IF(ISNUMBER(SEARCH("古馬条件",Z4625)),"古馬条件戦",IF(ISNUMBER(SEARCH("重賞",Z4625)),"重賞","分類不能")))))))))</f>
        <v/>
      </c>
    </row>
    <row r="4626" customFormat="false" ht="15.75" hidden="false" customHeight="false" outlineLevel="0" collapsed="false">
      <c r="AO4626" s="8" t="str">
        <f aca="false">IF(A4626="","",IF(COUNTIFS(全馬データ!$A$2:$A$50000,A4626,全馬データ!$B$2:$B$50000,B4626,全馬データ!$C$2:$C$50000,C4626,全馬データ!$D$2:$D$50000,E4626,全馬データ!$K$2:$K$50000,"&lt;&gt;")=0,"",SUMIFS(全馬データ!$K$2:$K$50000,全馬データ!$A$2:$A$50000,A4626,全馬データ!$B$2:$B$50000,B4626,全馬データ!$C$2:$C$50000,C4626,全馬データ!$D$2:$D$50000,E4626)))</f>
        <v/>
      </c>
      <c r="AP4626" s="8" t="str">
        <f aca="false">IF(A4626="","",IF(AO4626="","欠損",IF(AO4626&lt;=1.1,"1.0～1.1",IF(AO4626&lt;1.3,"1.2",IF(AO4626&lt;1.5,"1.3～1.4",IF(AO4626&lt;2,"1.5～1.9","2.0以上"))))))</f>
        <v/>
      </c>
      <c r="AQ4626" s="8" t="str">
        <f aca="false">IF(A4626="","",IF(ISNUMBER(SEARCH("2歳",Z4626)),"2歳戦",IF(ISNUMBER(SEARCH("3歳未勝利",Z4626)),"3歳未勝利",IF(ISNUMBER(SEARCH("未勝利",Z4626)),"その他未勝利",IF(ISNUMBER(SEARCH("G1",Z4626)),"G1",IF(ISNUMBER(SEARCH("G2",Z4626)),"G2",IF(ISNUMBER(SEARCH("G3",Z4626)),"G3",IF(ISNUMBER(SEARCH("古馬条件",Z4626)),"古馬条件戦",IF(ISNUMBER(SEARCH("重賞",Z4626)),"重賞","分類不能")))))))))</f>
        <v/>
      </c>
    </row>
    <row r="4627" customFormat="false" ht="15.75" hidden="false" customHeight="false" outlineLevel="0" collapsed="false">
      <c r="AO4627" s="8" t="str">
        <f aca="false">IF(A4627="","",IF(COUNTIFS(全馬データ!$A$2:$A$50000,A4627,全馬データ!$B$2:$B$50000,B4627,全馬データ!$C$2:$C$50000,C4627,全馬データ!$D$2:$D$50000,E4627,全馬データ!$K$2:$K$50000,"&lt;&gt;")=0,"",SUMIFS(全馬データ!$K$2:$K$50000,全馬データ!$A$2:$A$50000,A4627,全馬データ!$B$2:$B$50000,B4627,全馬データ!$C$2:$C$50000,C4627,全馬データ!$D$2:$D$50000,E4627)))</f>
        <v/>
      </c>
      <c r="AP4627" s="8" t="str">
        <f aca="false">IF(A4627="","",IF(AO4627="","欠損",IF(AO4627&lt;=1.1,"1.0～1.1",IF(AO4627&lt;1.3,"1.2",IF(AO4627&lt;1.5,"1.3～1.4",IF(AO4627&lt;2,"1.5～1.9","2.0以上"))))))</f>
        <v/>
      </c>
      <c r="AQ4627" s="8" t="str">
        <f aca="false">IF(A4627="","",IF(ISNUMBER(SEARCH("2歳",Z4627)),"2歳戦",IF(ISNUMBER(SEARCH("3歳未勝利",Z4627)),"3歳未勝利",IF(ISNUMBER(SEARCH("未勝利",Z4627)),"その他未勝利",IF(ISNUMBER(SEARCH("G1",Z4627)),"G1",IF(ISNUMBER(SEARCH("G2",Z4627)),"G2",IF(ISNUMBER(SEARCH("G3",Z4627)),"G3",IF(ISNUMBER(SEARCH("古馬条件",Z4627)),"古馬条件戦",IF(ISNUMBER(SEARCH("重賞",Z4627)),"重賞","分類不能")))))))))</f>
        <v/>
      </c>
    </row>
    <row r="4628" customFormat="false" ht="15.75" hidden="false" customHeight="false" outlineLevel="0" collapsed="false">
      <c r="AO4628" s="8" t="str">
        <f aca="false">IF(A4628="","",IF(COUNTIFS(全馬データ!$A$2:$A$50000,A4628,全馬データ!$B$2:$B$50000,B4628,全馬データ!$C$2:$C$50000,C4628,全馬データ!$D$2:$D$50000,E4628,全馬データ!$K$2:$K$50000,"&lt;&gt;")=0,"",SUMIFS(全馬データ!$K$2:$K$50000,全馬データ!$A$2:$A$50000,A4628,全馬データ!$B$2:$B$50000,B4628,全馬データ!$C$2:$C$50000,C4628,全馬データ!$D$2:$D$50000,E4628)))</f>
        <v/>
      </c>
      <c r="AP4628" s="8" t="str">
        <f aca="false">IF(A4628="","",IF(AO4628="","欠損",IF(AO4628&lt;=1.1,"1.0～1.1",IF(AO4628&lt;1.3,"1.2",IF(AO4628&lt;1.5,"1.3～1.4",IF(AO4628&lt;2,"1.5～1.9","2.0以上"))))))</f>
        <v/>
      </c>
      <c r="AQ4628" s="8" t="str">
        <f aca="false">IF(A4628="","",IF(ISNUMBER(SEARCH("2歳",Z4628)),"2歳戦",IF(ISNUMBER(SEARCH("3歳未勝利",Z4628)),"3歳未勝利",IF(ISNUMBER(SEARCH("未勝利",Z4628)),"その他未勝利",IF(ISNUMBER(SEARCH("G1",Z4628)),"G1",IF(ISNUMBER(SEARCH("G2",Z4628)),"G2",IF(ISNUMBER(SEARCH("G3",Z4628)),"G3",IF(ISNUMBER(SEARCH("古馬条件",Z4628)),"古馬条件戦",IF(ISNUMBER(SEARCH("重賞",Z4628)),"重賞","分類不能")))))))))</f>
        <v/>
      </c>
    </row>
    <row r="4629" customFormat="false" ht="15.75" hidden="false" customHeight="false" outlineLevel="0" collapsed="false">
      <c r="AO4629" s="8" t="str">
        <f aca="false">IF(A4629="","",IF(COUNTIFS(全馬データ!$A$2:$A$50000,A4629,全馬データ!$B$2:$B$50000,B4629,全馬データ!$C$2:$C$50000,C4629,全馬データ!$D$2:$D$50000,E4629,全馬データ!$K$2:$K$50000,"&lt;&gt;")=0,"",SUMIFS(全馬データ!$K$2:$K$50000,全馬データ!$A$2:$A$50000,A4629,全馬データ!$B$2:$B$50000,B4629,全馬データ!$C$2:$C$50000,C4629,全馬データ!$D$2:$D$50000,E4629)))</f>
        <v/>
      </c>
      <c r="AP4629" s="8" t="str">
        <f aca="false">IF(A4629="","",IF(AO4629="","欠損",IF(AO4629&lt;=1.1,"1.0～1.1",IF(AO4629&lt;1.3,"1.2",IF(AO4629&lt;1.5,"1.3～1.4",IF(AO4629&lt;2,"1.5～1.9","2.0以上"))))))</f>
        <v/>
      </c>
      <c r="AQ4629" s="8" t="str">
        <f aca="false">IF(A4629="","",IF(ISNUMBER(SEARCH("2歳",Z4629)),"2歳戦",IF(ISNUMBER(SEARCH("3歳未勝利",Z4629)),"3歳未勝利",IF(ISNUMBER(SEARCH("未勝利",Z4629)),"その他未勝利",IF(ISNUMBER(SEARCH("G1",Z4629)),"G1",IF(ISNUMBER(SEARCH("G2",Z4629)),"G2",IF(ISNUMBER(SEARCH("G3",Z4629)),"G3",IF(ISNUMBER(SEARCH("古馬条件",Z4629)),"古馬条件戦",IF(ISNUMBER(SEARCH("重賞",Z4629)),"重賞","分類不能")))))))))</f>
        <v/>
      </c>
    </row>
    <row r="4630" customFormat="false" ht="15.75" hidden="false" customHeight="false" outlineLevel="0" collapsed="false">
      <c r="AO4630" s="8" t="str">
        <f aca="false">IF(A4630="","",IF(COUNTIFS(全馬データ!$A$2:$A$50000,A4630,全馬データ!$B$2:$B$50000,B4630,全馬データ!$C$2:$C$50000,C4630,全馬データ!$D$2:$D$50000,E4630,全馬データ!$K$2:$K$50000,"&lt;&gt;")=0,"",SUMIFS(全馬データ!$K$2:$K$50000,全馬データ!$A$2:$A$50000,A4630,全馬データ!$B$2:$B$50000,B4630,全馬データ!$C$2:$C$50000,C4630,全馬データ!$D$2:$D$50000,E4630)))</f>
        <v/>
      </c>
      <c r="AP4630" s="8" t="str">
        <f aca="false">IF(A4630="","",IF(AO4630="","欠損",IF(AO4630&lt;=1.1,"1.0～1.1",IF(AO4630&lt;1.3,"1.2",IF(AO4630&lt;1.5,"1.3～1.4",IF(AO4630&lt;2,"1.5～1.9","2.0以上"))))))</f>
        <v/>
      </c>
      <c r="AQ4630" s="8" t="str">
        <f aca="false">IF(A4630="","",IF(ISNUMBER(SEARCH("2歳",Z4630)),"2歳戦",IF(ISNUMBER(SEARCH("3歳未勝利",Z4630)),"3歳未勝利",IF(ISNUMBER(SEARCH("未勝利",Z4630)),"その他未勝利",IF(ISNUMBER(SEARCH("G1",Z4630)),"G1",IF(ISNUMBER(SEARCH("G2",Z4630)),"G2",IF(ISNUMBER(SEARCH("G3",Z4630)),"G3",IF(ISNUMBER(SEARCH("古馬条件",Z4630)),"古馬条件戦",IF(ISNUMBER(SEARCH("重賞",Z4630)),"重賞","分類不能")))))))))</f>
        <v/>
      </c>
    </row>
    <row r="4631" customFormat="false" ht="15.75" hidden="false" customHeight="false" outlineLevel="0" collapsed="false">
      <c r="AO4631" s="8" t="str">
        <f aca="false">IF(A4631="","",IF(COUNTIFS(全馬データ!$A$2:$A$50000,A4631,全馬データ!$B$2:$B$50000,B4631,全馬データ!$C$2:$C$50000,C4631,全馬データ!$D$2:$D$50000,E4631,全馬データ!$K$2:$K$50000,"&lt;&gt;")=0,"",SUMIFS(全馬データ!$K$2:$K$50000,全馬データ!$A$2:$A$50000,A4631,全馬データ!$B$2:$B$50000,B4631,全馬データ!$C$2:$C$50000,C4631,全馬データ!$D$2:$D$50000,E4631)))</f>
        <v/>
      </c>
      <c r="AP4631" s="8" t="str">
        <f aca="false">IF(A4631="","",IF(AO4631="","欠損",IF(AO4631&lt;=1.1,"1.0～1.1",IF(AO4631&lt;1.3,"1.2",IF(AO4631&lt;1.5,"1.3～1.4",IF(AO4631&lt;2,"1.5～1.9","2.0以上"))))))</f>
        <v/>
      </c>
      <c r="AQ4631" s="8" t="str">
        <f aca="false">IF(A4631="","",IF(ISNUMBER(SEARCH("2歳",Z4631)),"2歳戦",IF(ISNUMBER(SEARCH("3歳未勝利",Z4631)),"3歳未勝利",IF(ISNUMBER(SEARCH("未勝利",Z4631)),"その他未勝利",IF(ISNUMBER(SEARCH("G1",Z4631)),"G1",IF(ISNUMBER(SEARCH("G2",Z4631)),"G2",IF(ISNUMBER(SEARCH("G3",Z4631)),"G3",IF(ISNUMBER(SEARCH("古馬条件",Z4631)),"古馬条件戦",IF(ISNUMBER(SEARCH("重賞",Z4631)),"重賞","分類不能")))))))))</f>
        <v/>
      </c>
    </row>
    <row r="4632" customFormat="false" ht="15.75" hidden="false" customHeight="false" outlineLevel="0" collapsed="false">
      <c r="AO4632" s="8" t="str">
        <f aca="false">IF(A4632="","",IF(COUNTIFS(全馬データ!$A$2:$A$50000,A4632,全馬データ!$B$2:$B$50000,B4632,全馬データ!$C$2:$C$50000,C4632,全馬データ!$D$2:$D$50000,E4632,全馬データ!$K$2:$K$50000,"&lt;&gt;")=0,"",SUMIFS(全馬データ!$K$2:$K$50000,全馬データ!$A$2:$A$50000,A4632,全馬データ!$B$2:$B$50000,B4632,全馬データ!$C$2:$C$50000,C4632,全馬データ!$D$2:$D$50000,E4632)))</f>
        <v/>
      </c>
      <c r="AP4632" s="8" t="str">
        <f aca="false">IF(A4632="","",IF(AO4632="","欠損",IF(AO4632&lt;=1.1,"1.0～1.1",IF(AO4632&lt;1.3,"1.2",IF(AO4632&lt;1.5,"1.3～1.4",IF(AO4632&lt;2,"1.5～1.9","2.0以上"))))))</f>
        <v/>
      </c>
      <c r="AQ4632" s="8" t="str">
        <f aca="false">IF(A4632="","",IF(ISNUMBER(SEARCH("2歳",Z4632)),"2歳戦",IF(ISNUMBER(SEARCH("3歳未勝利",Z4632)),"3歳未勝利",IF(ISNUMBER(SEARCH("未勝利",Z4632)),"その他未勝利",IF(ISNUMBER(SEARCH("G1",Z4632)),"G1",IF(ISNUMBER(SEARCH("G2",Z4632)),"G2",IF(ISNUMBER(SEARCH("G3",Z4632)),"G3",IF(ISNUMBER(SEARCH("古馬条件",Z4632)),"古馬条件戦",IF(ISNUMBER(SEARCH("重賞",Z4632)),"重賞","分類不能")))))))))</f>
        <v/>
      </c>
    </row>
    <row r="4633" customFormat="false" ht="15.75" hidden="false" customHeight="false" outlineLevel="0" collapsed="false">
      <c r="AO4633" s="8" t="str">
        <f aca="false">IF(A4633="","",IF(COUNTIFS(全馬データ!$A$2:$A$50000,A4633,全馬データ!$B$2:$B$50000,B4633,全馬データ!$C$2:$C$50000,C4633,全馬データ!$D$2:$D$50000,E4633,全馬データ!$K$2:$K$50000,"&lt;&gt;")=0,"",SUMIFS(全馬データ!$K$2:$K$50000,全馬データ!$A$2:$A$50000,A4633,全馬データ!$B$2:$B$50000,B4633,全馬データ!$C$2:$C$50000,C4633,全馬データ!$D$2:$D$50000,E4633)))</f>
        <v/>
      </c>
      <c r="AP4633" s="8" t="str">
        <f aca="false">IF(A4633="","",IF(AO4633="","欠損",IF(AO4633&lt;=1.1,"1.0～1.1",IF(AO4633&lt;1.3,"1.2",IF(AO4633&lt;1.5,"1.3～1.4",IF(AO4633&lt;2,"1.5～1.9","2.0以上"))))))</f>
        <v/>
      </c>
      <c r="AQ4633" s="8" t="str">
        <f aca="false">IF(A4633="","",IF(ISNUMBER(SEARCH("2歳",Z4633)),"2歳戦",IF(ISNUMBER(SEARCH("3歳未勝利",Z4633)),"3歳未勝利",IF(ISNUMBER(SEARCH("未勝利",Z4633)),"その他未勝利",IF(ISNUMBER(SEARCH("G1",Z4633)),"G1",IF(ISNUMBER(SEARCH("G2",Z4633)),"G2",IF(ISNUMBER(SEARCH("G3",Z4633)),"G3",IF(ISNUMBER(SEARCH("古馬条件",Z4633)),"古馬条件戦",IF(ISNUMBER(SEARCH("重賞",Z4633)),"重賞","分類不能")))))))))</f>
        <v/>
      </c>
    </row>
    <row r="4634" customFormat="false" ht="15.75" hidden="false" customHeight="false" outlineLevel="0" collapsed="false">
      <c r="AO4634" s="8" t="str">
        <f aca="false">IF(A4634="","",IF(COUNTIFS(全馬データ!$A$2:$A$50000,A4634,全馬データ!$B$2:$B$50000,B4634,全馬データ!$C$2:$C$50000,C4634,全馬データ!$D$2:$D$50000,E4634,全馬データ!$K$2:$K$50000,"&lt;&gt;")=0,"",SUMIFS(全馬データ!$K$2:$K$50000,全馬データ!$A$2:$A$50000,A4634,全馬データ!$B$2:$B$50000,B4634,全馬データ!$C$2:$C$50000,C4634,全馬データ!$D$2:$D$50000,E4634)))</f>
        <v/>
      </c>
      <c r="AP4634" s="8" t="str">
        <f aca="false">IF(A4634="","",IF(AO4634="","欠損",IF(AO4634&lt;=1.1,"1.0～1.1",IF(AO4634&lt;1.3,"1.2",IF(AO4634&lt;1.5,"1.3～1.4",IF(AO4634&lt;2,"1.5～1.9","2.0以上"))))))</f>
        <v/>
      </c>
      <c r="AQ4634" s="8" t="str">
        <f aca="false">IF(A4634="","",IF(ISNUMBER(SEARCH("2歳",Z4634)),"2歳戦",IF(ISNUMBER(SEARCH("3歳未勝利",Z4634)),"3歳未勝利",IF(ISNUMBER(SEARCH("未勝利",Z4634)),"その他未勝利",IF(ISNUMBER(SEARCH("G1",Z4634)),"G1",IF(ISNUMBER(SEARCH("G2",Z4634)),"G2",IF(ISNUMBER(SEARCH("G3",Z4634)),"G3",IF(ISNUMBER(SEARCH("古馬条件",Z4634)),"古馬条件戦",IF(ISNUMBER(SEARCH("重賞",Z4634)),"重賞","分類不能")))))))))</f>
        <v/>
      </c>
    </row>
    <row r="4635" customFormat="false" ht="15.75" hidden="false" customHeight="false" outlineLevel="0" collapsed="false">
      <c r="AO4635" s="8" t="str">
        <f aca="false">IF(A4635="","",IF(COUNTIFS(全馬データ!$A$2:$A$50000,A4635,全馬データ!$B$2:$B$50000,B4635,全馬データ!$C$2:$C$50000,C4635,全馬データ!$D$2:$D$50000,E4635,全馬データ!$K$2:$K$50000,"&lt;&gt;")=0,"",SUMIFS(全馬データ!$K$2:$K$50000,全馬データ!$A$2:$A$50000,A4635,全馬データ!$B$2:$B$50000,B4635,全馬データ!$C$2:$C$50000,C4635,全馬データ!$D$2:$D$50000,E4635)))</f>
        <v/>
      </c>
      <c r="AP4635" s="8" t="str">
        <f aca="false">IF(A4635="","",IF(AO4635="","欠損",IF(AO4635&lt;=1.1,"1.0～1.1",IF(AO4635&lt;1.3,"1.2",IF(AO4635&lt;1.5,"1.3～1.4",IF(AO4635&lt;2,"1.5～1.9","2.0以上"))))))</f>
        <v/>
      </c>
      <c r="AQ4635" s="8" t="str">
        <f aca="false">IF(A4635="","",IF(ISNUMBER(SEARCH("2歳",Z4635)),"2歳戦",IF(ISNUMBER(SEARCH("3歳未勝利",Z4635)),"3歳未勝利",IF(ISNUMBER(SEARCH("未勝利",Z4635)),"その他未勝利",IF(ISNUMBER(SEARCH("G1",Z4635)),"G1",IF(ISNUMBER(SEARCH("G2",Z4635)),"G2",IF(ISNUMBER(SEARCH("G3",Z4635)),"G3",IF(ISNUMBER(SEARCH("古馬条件",Z4635)),"古馬条件戦",IF(ISNUMBER(SEARCH("重賞",Z4635)),"重賞","分類不能")))))))))</f>
        <v/>
      </c>
    </row>
    <row r="4636" customFormat="false" ht="15.75" hidden="false" customHeight="false" outlineLevel="0" collapsed="false">
      <c r="AO4636" s="8" t="str">
        <f aca="false">IF(A4636="","",IF(COUNTIFS(全馬データ!$A$2:$A$50000,A4636,全馬データ!$B$2:$B$50000,B4636,全馬データ!$C$2:$C$50000,C4636,全馬データ!$D$2:$D$50000,E4636,全馬データ!$K$2:$K$50000,"&lt;&gt;")=0,"",SUMIFS(全馬データ!$K$2:$K$50000,全馬データ!$A$2:$A$50000,A4636,全馬データ!$B$2:$B$50000,B4636,全馬データ!$C$2:$C$50000,C4636,全馬データ!$D$2:$D$50000,E4636)))</f>
        <v/>
      </c>
      <c r="AP4636" s="8" t="str">
        <f aca="false">IF(A4636="","",IF(AO4636="","欠損",IF(AO4636&lt;=1.1,"1.0～1.1",IF(AO4636&lt;1.3,"1.2",IF(AO4636&lt;1.5,"1.3～1.4",IF(AO4636&lt;2,"1.5～1.9","2.0以上"))))))</f>
        <v/>
      </c>
      <c r="AQ4636" s="8" t="str">
        <f aca="false">IF(A4636="","",IF(ISNUMBER(SEARCH("2歳",Z4636)),"2歳戦",IF(ISNUMBER(SEARCH("3歳未勝利",Z4636)),"3歳未勝利",IF(ISNUMBER(SEARCH("未勝利",Z4636)),"その他未勝利",IF(ISNUMBER(SEARCH("G1",Z4636)),"G1",IF(ISNUMBER(SEARCH("G2",Z4636)),"G2",IF(ISNUMBER(SEARCH("G3",Z4636)),"G3",IF(ISNUMBER(SEARCH("古馬条件",Z4636)),"古馬条件戦",IF(ISNUMBER(SEARCH("重賞",Z4636)),"重賞","分類不能")))))))))</f>
        <v/>
      </c>
    </row>
    <row r="4637" customFormat="false" ht="15.75" hidden="false" customHeight="false" outlineLevel="0" collapsed="false">
      <c r="AO4637" s="8" t="str">
        <f aca="false">IF(A4637="","",IF(COUNTIFS(全馬データ!$A$2:$A$50000,A4637,全馬データ!$B$2:$B$50000,B4637,全馬データ!$C$2:$C$50000,C4637,全馬データ!$D$2:$D$50000,E4637,全馬データ!$K$2:$K$50000,"&lt;&gt;")=0,"",SUMIFS(全馬データ!$K$2:$K$50000,全馬データ!$A$2:$A$50000,A4637,全馬データ!$B$2:$B$50000,B4637,全馬データ!$C$2:$C$50000,C4637,全馬データ!$D$2:$D$50000,E4637)))</f>
        <v/>
      </c>
      <c r="AP4637" s="8" t="str">
        <f aca="false">IF(A4637="","",IF(AO4637="","欠損",IF(AO4637&lt;=1.1,"1.0～1.1",IF(AO4637&lt;1.3,"1.2",IF(AO4637&lt;1.5,"1.3～1.4",IF(AO4637&lt;2,"1.5～1.9","2.0以上"))))))</f>
        <v/>
      </c>
      <c r="AQ4637" s="8" t="str">
        <f aca="false">IF(A4637="","",IF(ISNUMBER(SEARCH("2歳",Z4637)),"2歳戦",IF(ISNUMBER(SEARCH("3歳未勝利",Z4637)),"3歳未勝利",IF(ISNUMBER(SEARCH("未勝利",Z4637)),"その他未勝利",IF(ISNUMBER(SEARCH("G1",Z4637)),"G1",IF(ISNUMBER(SEARCH("G2",Z4637)),"G2",IF(ISNUMBER(SEARCH("G3",Z4637)),"G3",IF(ISNUMBER(SEARCH("古馬条件",Z4637)),"古馬条件戦",IF(ISNUMBER(SEARCH("重賞",Z4637)),"重賞","分類不能")))))))))</f>
        <v/>
      </c>
    </row>
    <row r="4638" customFormat="false" ht="15.75" hidden="false" customHeight="false" outlineLevel="0" collapsed="false">
      <c r="AO4638" s="8" t="str">
        <f aca="false">IF(A4638="","",IF(COUNTIFS(全馬データ!$A$2:$A$50000,A4638,全馬データ!$B$2:$B$50000,B4638,全馬データ!$C$2:$C$50000,C4638,全馬データ!$D$2:$D$50000,E4638,全馬データ!$K$2:$K$50000,"&lt;&gt;")=0,"",SUMIFS(全馬データ!$K$2:$K$50000,全馬データ!$A$2:$A$50000,A4638,全馬データ!$B$2:$B$50000,B4638,全馬データ!$C$2:$C$50000,C4638,全馬データ!$D$2:$D$50000,E4638)))</f>
        <v/>
      </c>
      <c r="AP4638" s="8" t="str">
        <f aca="false">IF(A4638="","",IF(AO4638="","欠損",IF(AO4638&lt;=1.1,"1.0～1.1",IF(AO4638&lt;1.3,"1.2",IF(AO4638&lt;1.5,"1.3～1.4",IF(AO4638&lt;2,"1.5～1.9","2.0以上"))))))</f>
        <v/>
      </c>
      <c r="AQ4638" s="8" t="str">
        <f aca="false">IF(A4638="","",IF(ISNUMBER(SEARCH("2歳",Z4638)),"2歳戦",IF(ISNUMBER(SEARCH("3歳未勝利",Z4638)),"3歳未勝利",IF(ISNUMBER(SEARCH("未勝利",Z4638)),"その他未勝利",IF(ISNUMBER(SEARCH("G1",Z4638)),"G1",IF(ISNUMBER(SEARCH("G2",Z4638)),"G2",IF(ISNUMBER(SEARCH("G3",Z4638)),"G3",IF(ISNUMBER(SEARCH("古馬条件",Z4638)),"古馬条件戦",IF(ISNUMBER(SEARCH("重賞",Z4638)),"重賞","分類不能")))))))))</f>
        <v/>
      </c>
    </row>
    <row r="4639" customFormat="false" ht="15.75" hidden="false" customHeight="false" outlineLevel="0" collapsed="false">
      <c r="AO4639" s="8" t="str">
        <f aca="false">IF(A4639="","",IF(COUNTIFS(全馬データ!$A$2:$A$50000,A4639,全馬データ!$B$2:$B$50000,B4639,全馬データ!$C$2:$C$50000,C4639,全馬データ!$D$2:$D$50000,E4639,全馬データ!$K$2:$K$50000,"&lt;&gt;")=0,"",SUMIFS(全馬データ!$K$2:$K$50000,全馬データ!$A$2:$A$50000,A4639,全馬データ!$B$2:$B$50000,B4639,全馬データ!$C$2:$C$50000,C4639,全馬データ!$D$2:$D$50000,E4639)))</f>
        <v/>
      </c>
      <c r="AP4639" s="8" t="str">
        <f aca="false">IF(A4639="","",IF(AO4639="","欠損",IF(AO4639&lt;=1.1,"1.0～1.1",IF(AO4639&lt;1.3,"1.2",IF(AO4639&lt;1.5,"1.3～1.4",IF(AO4639&lt;2,"1.5～1.9","2.0以上"))))))</f>
        <v/>
      </c>
      <c r="AQ4639" s="8" t="str">
        <f aca="false">IF(A4639="","",IF(ISNUMBER(SEARCH("2歳",Z4639)),"2歳戦",IF(ISNUMBER(SEARCH("3歳未勝利",Z4639)),"3歳未勝利",IF(ISNUMBER(SEARCH("未勝利",Z4639)),"その他未勝利",IF(ISNUMBER(SEARCH("G1",Z4639)),"G1",IF(ISNUMBER(SEARCH("G2",Z4639)),"G2",IF(ISNUMBER(SEARCH("G3",Z4639)),"G3",IF(ISNUMBER(SEARCH("古馬条件",Z4639)),"古馬条件戦",IF(ISNUMBER(SEARCH("重賞",Z4639)),"重賞","分類不能")))))))))</f>
        <v/>
      </c>
    </row>
    <row r="4640" customFormat="false" ht="15.75" hidden="false" customHeight="false" outlineLevel="0" collapsed="false">
      <c r="AO4640" s="8" t="str">
        <f aca="false">IF(A4640="","",IF(COUNTIFS(全馬データ!$A$2:$A$50000,A4640,全馬データ!$B$2:$B$50000,B4640,全馬データ!$C$2:$C$50000,C4640,全馬データ!$D$2:$D$50000,E4640,全馬データ!$K$2:$K$50000,"&lt;&gt;")=0,"",SUMIFS(全馬データ!$K$2:$K$50000,全馬データ!$A$2:$A$50000,A4640,全馬データ!$B$2:$B$50000,B4640,全馬データ!$C$2:$C$50000,C4640,全馬データ!$D$2:$D$50000,E4640)))</f>
        <v/>
      </c>
      <c r="AP4640" s="8" t="str">
        <f aca="false">IF(A4640="","",IF(AO4640="","欠損",IF(AO4640&lt;=1.1,"1.0～1.1",IF(AO4640&lt;1.3,"1.2",IF(AO4640&lt;1.5,"1.3～1.4",IF(AO4640&lt;2,"1.5～1.9","2.0以上"))))))</f>
        <v/>
      </c>
      <c r="AQ4640" s="8" t="str">
        <f aca="false">IF(A4640="","",IF(ISNUMBER(SEARCH("2歳",Z4640)),"2歳戦",IF(ISNUMBER(SEARCH("3歳未勝利",Z4640)),"3歳未勝利",IF(ISNUMBER(SEARCH("未勝利",Z4640)),"その他未勝利",IF(ISNUMBER(SEARCH("G1",Z4640)),"G1",IF(ISNUMBER(SEARCH("G2",Z4640)),"G2",IF(ISNUMBER(SEARCH("G3",Z4640)),"G3",IF(ISNUMBER(SEARCH("古馬条件",Z4640)),"古馬条件戦",IF(ISNUMBER(SEARCH("重賞",Z4640)),"重賞","分類不能")))))))))</f>
        <v/>
      </c>
    </row>
    <row r="4641" customFormat="false" ht="15.75" hidden="false" customHeight="false" outlineLevel="0" collapsed="false">
      <c r="AO4641" s="8" t="str">
        <f aca="false">IF(A4641="","",IF(COUNTIFS(全馬データ!$A$2:$A$50000,A4641,全馬データ!$B$2:$B$50000,B4641,全馬データ!$C$2:$C$50000,C4641,全馬データ!$D$2:$D$50000,E4641,全馬データ!$K$2:$K$50000,"&lt;&gt;")=0,"",SUMIFS(全馬データ!$K$2:$K$50000,全馬データ!$A$2:$A$50000,A4641,全馬データ!$B$2:$B$50000,B4641,全馬データ!$C$2:$C$50000,C4641,全馬データ!$D$2:$D$50000,E4641)))</f>
        <v/>
      </c>
      <c r="AP4641" s="8" t="str">
        <f aca="false">IF(A4641="","",IF(AO4641="","欠損",IF(AO4641&lt;=1.1,"1.0～1.1",IF(AO4641&lt;1.3,"1.2",IF(AO4641&lt;1.5,"1.3～1.4",IF(AO4641&lt;2,"1.5～1.9","2.0以上"))))))</f>
        <v/>
      </c>
      <c r="AQ4641" s="8" t="str">
        <f aca="false">IF(A4641="","",IF(ISNUMBER(SEARCH("2歳",Z4641)),"2歳戦",IF(ISNUMBER(SEARCH("3歳未勝利",Z4641)),"3歳未勝利",IF(ISNUMBER(SEARCH("未勝利",Z4641)),"その他未勝利",IF(ISNUMBER(SEARCH("G1",Z4641)),"G1",IF(ISNUMBER(SEARCH("G2",Z4641)),"G2",IF(ISNUMBER(SEARCH("G3",Z4641)),"G3",IF(ISNUMBER(SEARCH("古馬条件",Z4641)),"古馬条件戦",IF(ISNUMBER(SEARCH("重賞",Z4641)),"重賞","分類不能")))))))))</f>
        <v/>
      </c>
    </row>
    <row r="4642" customFormat="false" ht="15.75" hidden="false" customHeight="false" outlineLevel="0" collapsed="false">
      <c r="AO4642" s="8" t="str">
        <f aca="false">IF(A4642="","",IF(COUNTIFS(全馬データ!$A$2:$A$50000,A4642,全馬データ!$B$2:$B$50000,B4642,全馬データ!$C$2:$C$50000,C4642,全馬データ!$D$2:$D$50000,E4642,全馬データ!$K$2:$K$50000,"&lt;&gt;")=0,"",SUMIFS(全馬データ!$K$2:$K$50000,全馬データ!$A$2:$A$50000,A4642,全馬データ!$B$2:$B$50000,B4642,全馬データ!$C$2:$C$50000,C4642,全馬データ!$D$2:$D$50000,E4642)))</f>
        <v/>
      </c>
      <c r="AP4642" s="8" t="str">
        <f aca="false">IF(A4642="","",IF(AO4642="","欠損",IF(AO4642&lt;=1.1,"1.0～1.1",IF(AO4642&lt;1.3,"1.2",IF(AO4642&lt;1.5,"1.3～1.4",IF(AO4642&lt;2,"1.5～1.9","2.0以上"))))))</f>
        <v/>
      </c>
      <c r="AQ4642" s="8" t="str">
        <f aca="false">IF(A4642="","",IF(ISNUMBER(SEARCH("2歳",Z4642)),"2歳戦",IF(ISNUMBER(SEARCH("3歳未勝利",Z4642)),"3歳未勝利",IF(ISNUMBER(SEARCH("未勝利",Z4642)),"その他未勝利",IF(ISNUMBER(SEARCH("G1",Z4642)),"G1",IF(ISNUMBER(SEARCH("G2",Z4642)),"G2",IF(ISNUMBER(SEARCH("G3",Z4642)),"G3",IF(ISNUMBER(SEARCH("古馬条件",Z4642)),"古馬条件戦",IF(ISNUMBER(SEARCH("重賞",Z4642)),"重賞","分類不能")))))))))</f>
        <v/>
      </c>
    </row>
    <row r="4643" customFormat="false" ht="15.75" hidden="false" customHeight="false" outlineLevel="0" collapsed="false">
      <c r="AO4643" s="8" t="str">
        <f aca="false">IF(A4643="","",IF(COUNTIFS(全馬データ!$A$2:$A$50000,A4643,全馬データ!$B$2:$B$50000,B4643,全馬データ!$C$2:$C$50000,C4643,全馬データ!$D$2:$D$50000,E4643,全馬データ!$K$2:$K$50000,"&lt;&gt;")=0,"",SUMIFS(全馬データ!$K$2:$K$50000,全馬データ!$A$2:$A$50000,A4643,全馬データ!$B$2:$B$50000,B4643,全馬データ!$C$2:$C$50000,C4643,全馬データ!$D$2:$D$50000,E4643)))</f>
        <v/>
      </c>
      <c r="AP4643" s="8" t="str">
        <f aca="false">IF(A4643="","",IF(AO4643="","欠損",IF(AO4643&lt;=1.1,"1.0～1.1",IF(AO4643&lt;1.3,"1.2",IF(AO4643&lt;1.5,"1.3～1.4",IF(AO4643&lt;2,"1.5～1.9","2.0以上"))))))</f>
        <v/>
      </c>
      <c r="AQ4643" s="8" t="str">
        <f aca="false">IF(A4643="","",IF(ISNUMBER(SEARCH("2歳",Z4643)),"2歳戦",IF(ISNUMBER(SEARCH("3歳未勝利",Z4643)),"3歳未勝利",IF(ISNUMBER(SEARCH("未勝利",Z4643)),"その他未勝利",IF(ISNUMBER(SEARCH("G1",Z4643)),"G1",IF(ISNUMBER(SEARCH("G2",Z4643)),"G2",IF(ISNUMBER(SEARCH("G3",Z4643)),"G3",IF(ISNUMBER(SEARCH("古馬条件",Z4643)),"古馬条件戦",IF(ISNUMBER(SEARCH("重賞",Z4643)),"重賞","分類不能")))))))))</f>
        <v/>
      </c>
    </row>
    <row r="4644" customFormat="false" ht="15.75" hidden="false" customHeight="false" outlineLevel="0" collapsed="false">
      <c r="AO4644" s="8" t="str">
        <f aca="false">IF(A4644="","",IF(COUNTIFS(全馬データ!$A$2:$A$50000,A4644,全馬データ!$B$2:$B$50000,B4644,全馬データ!$C$2:$C$50000,C4644,全馬データ!$D$2:$D$50000,E4644,全馬データ!$K$2:$K$50000,"&lt;&gt;")=0,"",SUMIFS(全馬データ!$K$2:$K$50000,全馬データ!$A$2:$A$50000,A4644,全馬データ!$B$2:$B$50000,B4644,全馬データ!$C$2:$C$50000,C4644,全馬データ!$D$2:$D$50000,E4644)))</f>
        <v/>
      </c>
      <c r="AP4644" s="8" t="str">
        <f aca="false">IF(A4644="","",IF(AO4644="","欠損",IF(AO4644&lt;=1.1,"1.0～1.1",IF(AO4644&lt;1.3,"1.2",IF(AO4644&lt;1.5,"1.3～1.4",IF(AO4644&lt;2,"1.5～1.9","2.0以上"))))))</f>
        <v/>
      </c>
      <c r="AQ4644" s="8" t="str">
        <f aca="false">IF(A4644="","",IF(ISNUMBER(SEARCH("2歳",Z4644)),"2歳戦",IF(ISNUMBER(SEARCH("3歳未勝利",Z4644)),"3歳未勝利",IF(ISNUMBER(SEARCH("未勝利",Z4644)),"その他未勝利",IF(ISNUMBER(SEARCH("G1",Z4644)),"G1",IF(ISNUMBER(SEARCH("G2",Z4644)),"G2",IF(ISNUMBER(SEARCH("G3",Z4644)),"G3",IF(ISNUMBER(SEARCH("古馬条件",Z4644)),"古馬条件戦",IF(ISNUMBER(SEARCH("重賞",Z4644)),"重賞","分類不能")))))))))</f>
        <v/>
      </c>
    </row>
    <row r="4645" customFormat="false" ht="15.75" hidden="false" customHeight="false" outlineLevel="0" collapsed="false">
      <c r="AO4645" s="8" t="str">
        <f aca="false">IF(A4645="","",IF(COUNTIFS(全馬データ!$A$2:$A$50000,A4645,全馬データ!$B$2:$B$50000,B4645,全馬データ!$C$2:$C$50000,C4645,全馬データ!$D$2:$D$50000,E4645,全馬データ!$K$2:$K$50000,"&lt;&gt;")=0,"",SUMIFS(全馬データ!$K$2:$K$50000,全馬データ!$A$2:$A$50000,A4645,全馬データ!$B$2:$B$50000,B4645,全馬データ!$C$2:$C$50000,C4645,全馬データ!$D$2:$D$50000,E4645)))</f>
        <v/>
      </c>
      <c r="AP4645" s="8" t="str">
        <f aca="false">IF(A4645="","",IF(AO4645="","欠損",IF(AO4645&lt;=1.1,"1.0～1.1",IF(AO4645&lt;1.3,"1.2",IF(AO4645&lt;1.5,"1.3～1.4",IF(AO4645&lt;2,"1.5～1.9","2.0以上"))))))</f>
        <v/>
      </c>
      <c r="AQ4645" s="8" t="str">
        <f aca="false">IF(A4645="","",IF(ISNUMBER(SEARCH("2歳",Z4645)),"2歳戦",IF(ISNUMBER(SEARCH("3歳未勝利",Z4645)),"3歳未勝利",IF(ISNUMBER(SEARCH("未勝利",Z4645)),"その他未勝利",IF(ISNUMBER(SEARCH("G1",Z4645)),"G1",IF(ISNUMBER(SEARCH("G2",Z4645)),"G2",IF(ISNUMBER(SEARCH("G3",Z4645)),"G3",IF(ISNUMBER(SEARCH("古馬条件",Z4645)),"古馬条件戦",IF(ISNUMBER(SEARCH("重賞",Z4645)),"重賞","分類不能")))))))))</f>
        <v/>
      </c>
    </row>
    <row r="4646" customFormat="false" ht="15.75" hidden="false" customHeight="false" outlineLevel="0" collapsed="false">
      <c r="AO4646" s="8" t="str">
        <f aca="false">IF(A4646="","",IF(COUNTIFS(全馬データ!$A$2:$A$50000,A4646,全馬データ!$B$2:$B$50000,B4646,全馬データ!$C$2:$C$50000,C4646,全馬データ!$D$2:$D$50000,E4646,全馬データ!$K$2:$K$50000,"&lt;&gt;")=0,"",SUMIFS(全馬データ!$K$2:$K$50000,全馬データ!$A$2:$A$50000,A4646,全馬データ!$B$2:$B$50000,B4646,全馬データ!$C$2:$C$50000,C4646,全馬データ!$D$2:$D$50000,E4646)))</f>
        <v/>
      </c>
      <c r="AP4646" s="8" t="str">
        <f aca="false">IF(A4646="","",IF(AO4646="","欠損",IF(AO4646&lt;=1.1,"1.0～1.1",IF(AO4646&lt;1.3,"1.2",IF(AO4646&lt;1.5,"1.3～1.4",IF(AO4646&lt;2,"1.5～1.9","2.0以上"))))))</f>
        <v/>
      </c>
      <c r="AQ4646" s="8" t="str">
        <f aca="false">IF(A4646="","",IF(ISNUMBER(SEARCH("2歳",Z4646)),"2歳戦",IF(ISNUMBER(SEARCH("3歳未勝利",Z4646)),"3歳未勝利",IF(ISNUMBER(SEARCH("未勝利",Z4646)),"その他未勝利",IF(ISNUMBER(SEARCH("G1",Z4646)),"G1",IF(ISNUMBER(SEARCH("G2",Z4646)),"G2",IF(ISNUMBER(SEARCH("G3",Z4646)),"G3",IF(ISNUMBER(SEARCH("古馬条件",Z4646)),"古馬条件戦",IF(ISNUMBER(SEARCH("重賞",Z4646)),"重賞","分類不能")))))))))</f>
        <v/>
      </c>
    </row>
    <row r="4647" customFormat="false" ht="15.75" hidden="false" customHeight="false" outlineLevel="0" collapsed="false">
      <c r="AO4647" s="8" t="str">
        <f aca="false">IF(A4647="","",IF(COUNTIFS(全馬データ!$A$2:$A$50000,A4647,全馬データ!$B$2:$B$50000,B4647,全馬データ!$C$2:$C$50000,C4647,全馬データ!$D$2:$D$50000,E4647,全馬データ!$K$2:$K$50000,"&lt;&gt;")=0,"",SUMIFS(全馬データ!$K$2:$K$50000,全馬データ!$A$2:$A$50000,A4647,全馬データ!$B$2:$B$50000,B4647,全馬データ!$C$2:$C$50000,C4647,全馬データ!$D$2:$D$50000,E4647)))</f>
        <v/>
      </c>
      <c r="AP4647" s="8" t="str">
        <f aca="false">IF(A4647="","",IF(AO4647="","欠損",IF(AO4647&lt;=1.1,"1.0～1.1",IF(AO4647&lt;1.3,"1.2",IF(AO4647&lt;1.5,"1.3～1.4",IF(AO4647&lt;2,"1.5～1.9","2.0以上"))))))</f>
        <v/>
      </c>
      <c r="AQ4647" s="8" t="str">
        <f aca="false">IF(A4647="","",IF(ISNUMBER(SEARCH("2歳",Z4647)),"2歳戦",IF(ISNUMBER(SEARCH("3歳未勝利",Z4647)),"3歳未勝利",IF(ISNUMBER(SEARCH("未勝利",Z4647)),"その他未勝利",IF(ISNUMBER(SEARCH("G1",Z4647)),"G1",IF(ISNUMBER(SEARCH("G2",Z4647)),"G2",IF(ISNUMBER(SEARCH("G3",Z4647)),"G3",IF(ISNUMBER(SEARCH("古馬条件",Z4647)),"古馬条件戦",IF(ISNUMBER(SEARCH("重賞",Z4647)),"重賞","分類不能")))))))))</f>
        <v/>
      </c>
    </row>
    <row r="4648" customFormat="false" ht="15.75" hidden="false" customHeight="false" outlineLevel="0" collapsed="false">
      <c r="AO4648" s="8" t="str">
        <f aca="false">IF(A4648="","",IF(COUNTIFS(全馬データ!$A$2:$A$50000,A4648,全馬データ!$B$2:$B$50000,B4648,全馬データ!$C$2:$C$50000,C4648,全馬データ!$D$2:$D$50000,E4648,全馬データ!$K$2:$K$50000,"&lt;&gt;")=0,"",SUMIFS(全馬データ!$K$2:$K$50000,全馬データ!$A$2:$A$50000,A4648,全馬データ!$B$2:$B$50000,B4648,全馬データ!$C$2:$C$50000,C4648,全馬データ!$D$2:$D$50000,E4648)))</f>
        <v/>
      </c>
      <c r="AP4648" s="8" t="str">
        <f aca="false">IF(A4648="","",IF(AO4648="","欠損",IF(AO4648&lt;=1.1,"1.0～1.1",IF(AO4648&lt;1.3,"1.2",IF(AO4648&lt;1.5,"1.3～1.4",IF(AO4648&lt;2,"1.5～1.9","2.0以上"))))))</f>
        <v/>
      </c>
      <c r="AQ4648" s="8" t="str">
        <f aca="false">IF(A4648="","",IF(ISNUMBER(SEARCH("2歳",Z4648)),"2歳戦",IF(ISNUMBER(SEARCH("3歳未勝利",Z4648)),"3歳未勝利",IF(ISNUMBER(SEARCH("未勝利",Z4648)),"その他未勝利",IF(ISNUMBER(SEARCH("G1",Z4648)),"G1",IF(ISNUMBER(SEARCH("G2",Z4648)),"G2",IF(ISNUMBER(SEARCH("G3",Z4648)),"G3",IF(ISNUMBER(SEARCH("古馬条件",Z4648)),"古馬条件戦",IF(ISNUMBER(SEARCH("重賞",Z4648)),"重賞","分類不能")))))))))</f>
        <v/>
      </c>
    </row>
    <row r="4649" customFormat="false" ht="15.75" hidden="false" customHeight="false" outlineLevel="0" collapsed="false">
      <c r="AO4649" s="8" t="str">
        <f aca="false">IF(A4649="","",IF(COUNTIFS(全馬データ!$A$2:$A$50000,A4649,全馬データ!$B$2:$B$50000,B4649,全馬データ!$C$2:$C$50000,C4649,全馬データ!$D$2:$D$50000,E4649,全馬データ!$K$2:$K$50000,"&lt;&gt;")=0,"",SUMIFS(全馬データ!$K$2:$K$50000,全馬データ!$A$2:$A$50000,A4649,全馬データ!$B$2:$B$50000,B4649,全馬データ!$C$2:$C$50000,C4649,全馬データ!$D$2:$D$50000,E4649)))</f>
        <v/>
      </c>
      <c r="AP4649" s="8" t="str">
        <f aca="false">IF(A4649="","",IF(AO4649="","欠損",IF(AO4649&lt;=1.1,"1.0～1.1",IF(AO4649&lt;1.3,"1.2",IF(AO4649&lt;1.5,"1.3～1.4",IF(AO4649&lt;2,"1.5～1.9","2.0以上"))))))</f>
        <v/>
      </c>
      <c r="AQ4649" s="8" t="str">
        <f aca="false">IF(A4649="","",IF(ISNUMBER(SEARCH("2歳",Z4649)),"2歳戦",IF(ISNUMBER(SEARCH("3歳未勝利",Z4649)),"3歳未勝利",IF(ISNUMBER(SEARCH("未勝利",Z4649)),"その他未勝利",IF(ISNUMBER(SEARCH("G1",Z4649)),"G1",IF(ISNUMBER(SEARCH("G2",Z4649)),"G2",IF(ISNUMBER(SEARCH("G3",Z4649)),"G3",IF(ISNUMBER(SEARCH("古馬条件",Z4649)),"古馬条件戦",IF(ISNUMBER(SEARCH("重賞",Z4649)),"重賞","分類不能")))))))))</f>
        <v/>
      </c>
    </row>
    <row r="4650" customFormat="false" ht="15.75" hidden="false" customHeight="false" outlineLevel="0" collapsed="false">
      <c r="AO4650" s="8" t="str">
        <f aca="false">IF(A4650="","",IF(COUNTIFS(全馬データ!$A$2:$A$50000,A4650,全馬データ!$B$2:$B$50000,B4650,全馬データ!$C$2:$C$50000,C4650,全馬データ!$D$2:$D$50000,E4650,全馬データ!$K$2:$K$50000,"&lt;&gt;")=0,"",SUMIFS(全馬データ!$K$2:$K$50000,全馬データ!$A$2:$A$50000,A4650,全馬データ!$B$2:$B$50000,B4650,全馬データ!$C$2:$C$50000,C4650,全馬データ!$D$2:$D$50000,E4650)))</f>
        <v/>
      </c>
      <c r="AP4650" s="8" t="str">
        <f aca="false">IF(A4650="","",IF(AO4650="","欠損",IF(AO4650&lt;=1.1,"1.0～1.1",IF(AO4650&lt;1.3,"1.2",IF(AO4650&lt;1.5,"1.3～1.4",IF(AO4650&lt;2,"1.5～1.9","2.0以上"))))))</f>
        <v/>
      </c>
      <c r="AQ4650" s="8" t="str">
        <f aca="false">IF(A4650="","",IF(ISNUMBER(SEARCH("2歳",Z4650)),"2歳戦",IF(ISNUMBER(SEARCH("3歳未勝利",Z4650)),"3歳未勝利",IF(ISNUMBER(SEARCH("未勝利",Z4650)),"その他未勝利",IF(ISNUMBER(SEARCH("G1",Z4650)),"G1",IF(ISNUMBER(SEARCH("G2",Z4650)),"G2",IF(ISNUMBER(SEARCH("G3",Z4650)),"G3",IF(ISNUMBER(SEARCH("古馬条件",Z4650)),"古馬条件戦",IF(ISNUMBER(SEARCH("重賞",Z4650)),"重賞","分類不能")))))))))</f>
        <v/>
      </c>
    </row>
    <row r="4651" customFormat="false" ht="15.75" hidden="false" customHeight="false" outlineLevel="0" collapsed="false">
      <c r="AO4651" s="8" t="str">
        <f aca="false">IF(A4651="","",IF(COUNTIFS(全馬データ!$A$2:$A$50000,A4651,全馬データ!$B$2:$B$50000,B4651,全馬データ!$C$2:$C$50000,C4651,全馬データ!$D$2:$D$50000,E4651,全馬データ!$K$2:$K$50000,"&lt;&gt;")=0,"",SUMIFS(全馬データ!$K$2:$K$50000,全馬データ!$A$2:$A$50000,A4651,全馬データ!$B$2:$B$50000,B4651,全馬データ!$C$2:$C$50000,C4651,全馬データ!$D$2:$D$50000,E4651)))</f>
        <v/>
      </c>
      <c r="AP4651" s="8" t="str">
        <f aca="false">IF(A4651="","",IF(AO4651="","欠損",IF(AO4651&lt;=1.1,"1.0～1.1",IF(AO4651&lt;1.3,"1.2",IF(AO4651&lt;1.5,"1.3～1.4",IF(AO4651&lt;2,"1.5～1.9","2.0以上"))))))</f>
        <v/>
      </c>
      <c r="AQ4651" s="8" t="str">
        <f aca="false">IF(A4651="","",IF(ISNUMBER(SEARCH("2歳",Z4651)),"2歳戦",IF(ISNUMBER(SEARCH("3歳未勝利",Z4651)),"3歳未勝利",IF(ISNUMBER(SEARCH("未勝利",Z4651)),"その他未勝利",IF(ISNUMBER(SEARCH("G1",Z4651)),"G1",IF(ISNUMBER(SEARCH("G2",Z4651)),"G2",IF(ISNUMBER(SEARCH("G3",Z4651)),"G3",IF(ISNUMBER(SEARCH("古馬条件",Z4651)),"古馬条件戦",IF(ISNUMBER(SEARCH("重賞",Z4651)),"重賞","分類不能")))))))))</f>
        <v/>
      </c>
    </row>
    <row r="4652" customFormat="false" ht="15.75" hidden="false" customHeight="false" outlineLevel="0" collapsed="false">
      <c r="AO4652" s="8" t="str">
        <f aca="false">IF(A4652="","",IF(COUNTIFS(全馬データ!$A$2:$A$50000,A4652,全馬データ!$B$2:$B$50000,B4652,全馬データ!$C$2:$C$50000,C4652,全馬データ!$D$2:$D$50000,E4652,全馬データ!$K$2:$K$50000,"&lt;&gt;")=0,"",SUMIFS(全馬データ!$K$2:$K$50000,全馬データ!$A$2:$A$50000,A4652,全馬データ!$B$2:$B$50000,B4652,全馬データ!$C$2:$C$50000,C4652,全馬データ!$D$2:$D$50000,E4652)))</f>
        <v/>
      </c>
      <c r="AP4652" s="8" t="str">
        <f aca="false">IF(A4652="","",IF(AO4652="","欠損",IF(AO4652&lt;=1.1,"1.0～1.1",IF(AO4652&lt;1.3,"1.2",IF(AO4652&lt;1.5,"1.3～1.4",IF(AO4652&lt;2,"1.5～1.9","2.0以上"))))))</f>
        <v/>
      </c>
      <c r="AQ4652" s="8" t="str">
        <f aca="false">IF(A4652="","",IF(ISNUMBER(SEARCH("2歳",Z4652)),"2歳戦",IF(ISNUMBER(SEARCH("3歳未勝利",Z4652)),"3歳未勝利",IF(ISNUMBER(SEARCH("未勝利",Z4652)),"その他未勝利",IF(ISNUMBER(SEARCH("G1",Z4652)),"G1",IF(ISNUMBER(SEARCH("G2",Z4652)),"G2",IF(ISNUMBER(SEARCH("G3",Z4652)),"G3",IF(ISNUMBER(SEARCH("古馬条件",Z4652)),"古馬条件戦",IF(ISNUMBER(SEARCH("重賞",Z4652)),"重賞","分類不能")))))))))</f>
        <v/>
      </c>
    </row>
    <row r="4653" customFormat="false" ht="15.75" hidden="false" customHeight="false" outlineLevel="0" collapsed="false">
      <c r="AO4653" s="8" t="str">
        <f aca="false">IF(A4653="","",IF(COUNTIFS(全馬データ!$A$2:$A$50000,A4653,全馬データ!$B$2:$B$50000,B4653,全馬データ!$C$2:$C$50000,C4653,全馬データ!$D$2:$D$50000,E4653,全馬データ!$K$2:$K$50000,"&lt;&gt;")=0,"",SUMIFS(全馬データ!$K$2:$K$50000,全馬データ!$A$2:$A$50000,A4653,全馬データ!$B$2:$B$50000,B4653,全馬データ!$C$2:$C$50000,C4653,全馬データ!$D$2:$D$50000,E4653)))</f>
        <v/>
      </c>
      <c r="AP4653" s="8" t="str">
        <f aca="false">IF(A4653="","",IF(AO4653="","欠損",IF(AO4653&lt;=1.1,"1.0～1.1",IF(AO4653&lt;1.3,"1.2",IF(AO4653&lt;1.5,"1.3～1.4",IF(AO4653&lt;2,"1.5～1.9","2.0以上"))))))</f>
        <v/>
      </c>
      <c r="AQ4653" s="8" t="str">
        <f aca="false">IF(A4653="","",IF(ISNUMBER(SEARCH("2歳",Z4653)),"2歳戦",IF(ISNUMBER(SEARCH("3歳未勝利",Z4653)),"3歳未勝利",IF(ISNUMBER(SEARCH("未勝利",Z4653)),"その他未勝利",IF(ISNUMBER(SEARCH("G1",Z4653)),"G1",IF(ISNUMBER(SEARCH("G2",Z4653)),"G2",IF(ISNUMBER(SEARCH("G3",Z4653)),"G3",IF(ISNUMBER(SEARCH("古馬条件",Z4653)),"古馬条件戦",IF(ISNUMBER(SEARCH("重賞",Z4653)),"重賞","分類不能")))))))))</f>
        <v/>
      </c>
    </row>
    <row r="4654" customFormat="false" ht="15.75" hidden="false" customHeight="false" outlineLevel="0" collapsed="false">
      <c r="AO4654" s="8" t="str">
        <f aca="false">IF(A4654="","",IF(COUNTIFS(全馬データ!$A$2:$A$50000,A4654,全馬データ!$B$2:$B$50000,B4654,全馬データ!$C$2:$C$50000,C4654,全馬データ!$D$2:$D$50000,E4654,全馬データ!$K$2:$K$50000,"&lt;&gt;")=0,"",SUMIFS(全馬データ!$K$2:$K$50000,全馬データ!$A$2:$A$50000,A4654,全馬データ!$B$2:$B$50000,B4654,全馬データ!$C$2:$C$50000,C4654,全馬データ!$D$2:$D$50000,E4654)))</f>
        <v/>
      </c>
      <c r="AP4654" s="8" t="str">
        <f aca="false">IF(A4654="","",IF(AO4654="","欠損",IF(AO4654&lt;=1.1,"1.0～1.1",IF(AO4654&lt;1.3,"1.2",IF(AO4654&lt;1.5,"1.3～1.4",IF(AO4654&lt;2,"1.5～1.9","2.0以上"))))))</f>
        <v/>
      </c>
      <c r="AQ4654" s="8" t="str">
        <f aca="false">IF(A4654="","",IF(ISNUMBER(SEARCH("2歳",Z4654)),"2歳戦",IF(ISNUMBER(SEARCH("3歳未勝利",Z4654)),"3歳未勝利",IF(ISNUMBER(SEARCH("未勝利",Z4654)),"その他未勝利",IF(ISNUMBER(SEARCH("G1",Z4654)),"G1",IF(ISNUMBER(SEARCH("G2",Z4654)),"G2",IF(ISNUMBER(SEARCH("G3",Z4654)),"G3",IF(ISNUMBER(SEARCH("古馬条件",Z4654)),"古馬条件戦",IF(ISNUMBER(SEARCH("重賞",Z4654)),"重賞","分類不能")))))))))</f>
        <v/>
      </c>
    </row>
    <row r="4655" customFormat="false" ht="15.75" hidden="false" customHeight="false" outlineLevel="0" collapsed="false">
      <c r="AO4655" s="8" t="str">
        <f aca="false">IF(A4655="","",IF(COUNTIFS(全馬データ!$A$2:$A$50000,A4655,全馬データ!$B$2:$B$50000,B4655,全馬データ!$C$2:$C$50000,C4655,全馬データ!$D$2:$D$50000,E4655,全馬データ!$K$2:$K$50000,"&lt;&gt;")=0,"",SUMIFS(全馬データ!$K$2:$K$50000,全馬データ!$A$2:$A$50000,A4655,全馬データ!$B$2:$B$50000,B4655,全馬データ!$C$2:$C$50000,C4655,全馬データ!$D$2:$D$50000,E4655)))</f>
        <v/>
      </c>
      <c r="AP4655" s="8" t="str">
        <f aca="false">IF(A4655="","",IF(AO4655="","欠損",IF(AO4655&lt;=1.1,"1.0～1.1",IF(AO4655&lt;1.3,"1.2",IF(AO4655&lt;1.5,"1.3～1.4",IF(AO4655&lt;2,"1.5～1.9","2.0以上"))))))</f>
        <v/>
      </c>
      <c r="AQ4655" s="8" t="str">
        <f aca="false">IF(A4655="","",IF(ISNUMBER(SEARCH("2歳",Z4655)),"2歳戦",IF(ISNUMBER(SEARCH("3歳未勝利",Z4655)),"3歳未勝利",IF(ISNUMBER(SEARCH("未勝利",Z4655)),"その他未勝利",IF(ISNUMBER(SEARCH("G1",Z4655)),"G1",IF(ISNUMBER(SEARCH("G2",Z4655)),"G2",IF(ISNUMBER(SEARCH("G3",Z4655)),"G3",IF(ISNUMBER(SEARCH("古馬条件",Z4655)),"古馬条件戦",IF(ISNUMBER(SEARCH("重賞",Z4655)),"重賞","分類不能")))))))))</f>
        <v/>
      </c>
    </row>
    <row r="4656" customFormat="false" ht="15.75" hidden="false" customHeight="false" outlineLevel="0" collapsed="false">
      <c r="AO4656" s="8" t="str">
        <f aca="false">IF(A4656="","",IF(COUNTIFS(全馬データ!$A$2:$A$50000,A4656,全馬データ!$B$2:$B$50000,B4656,全馬データ!$C$2:$C$50000,C4656,全馬データ!$D$2:$D$50000,E4656,全馬データ!$K$2:$K$50000,"&lt;&gt;")=0,"",SUMIFS(全馬データ!$K$2:$K$50000,全馬データ!$A$2:$A$50000,A4656,全馬データ!$B$2:$B$50000,B4656,全馬データ!$C$2:$C$50000,C4656,全馬データ!$D$2:$D$50000,E4656)))</f>
        <v/>
      </c>
      <c r="AP4656" s="8" t="str">
        <f aca="false">IF(A4656="","",IF(AO4656="","欠損",IF(AO4656&lt;=1.1,"1.0～1.1",IF(AO4656&lt;1.3,"1.2",IF(AO4656&lt;1.5,"1.3～1.4",IF(AO4656&lt;2,"1.5～1.9","2.0以上"))))))</f>
        <v/>
      </c>
      <c r="AQ4656" s="8" t="str">
        <f aca="false">IF(A4656="","",IF(ISNUMBER(SEARCH("2歳",Z4656)),"2歳戦",IF(ISNUMBER(SEARCH("3歳未勝利",Z4656)),"3歳未勝利",IF(ISNUMBER(SEARCH("未勝利",Z4656)),"その他未勝利",IF(ISNUMBER(SEARCH("G1",Z4656)),"G1",IF(ISNUMBER(SEARCH("G2",Z4656)),"G2",IF(ISNUMBER(SEARCH("G3",Z4656)),"G3",IF(ISNUMBER(SEARCH("古馬条件",Z4656)),"古馬条件戦",IF(ISNUMBER(SEARCH("重賞",Z4656)),"重賞","分類不能")))))))))</f>
        <v/>
      </c>
    </row>
    <row r="4657" customFormat="false" ht="15.75" hidden="false" customHeight="false" outlineLevel="0" collapsed="false">
      <c r="AO4657" s="8" t="str">
        <f aca="false">IF(A4657="","",IF(COUNTIFS(全馬データ!$A$2:$A$50000,A4657,全馬データ!$B$2:$B$50000,B4657,全馬データ!$C$2:$C$50000,C4657,全馬データ!$D$2:$D$50000,E4657,全馬データ!$K$2:$K$50000,"&lt;&gt;")=0,"",SUMIFS(全馬データ!$K$2:$K$50000,全馬データ!$A$2:$A$50000,A4657,全馬データ!$B$2:$B$50000,B4657,全馬データ!$C$2:$C$50000,C4657,全馬データ!$D$2:$D$50000,E4657)))</f>
        <v/>
      </c>
      <c r="AP4657" s="8" t="str">
        <f aca="false">IF(A4657="","",IF(AO4657="","欠損",IF(AO4657&lt;=1.1,"1.0～1.1",IF(AO4657&lt;1.3,"1.2",IF(AO4657&lt;1.5,"1.3～1.4",IF(AO4657&lt;2,"1.5～1.9","2.0以上"))))))</f>
        <v/>
      </c>
      <c r="AQ4657" s="8" t="str">
        <f aca="false">IF(A4657="","",IF(ISNUMBER(SEARCH("2歳",Z4657)),"2歳戦",IF(ISNUMBER(SEARCH("3歳未勝利",Z4657)),"3歳未勝利",IF(ISNUMBER(SEARCH("未勝利",Z4657)),"その他未勝利",IF(ISNUMBER(SEARCH("G1",Z4657)),"G1",IF(ISNUMBER(SEARCH("G2",Z4657)),"G2",IF(ISNUMBER(SEARCH("G3",Z4657)),"G3",IF(ISNUMBER(SEARCH("古馬条件",Z4657)),"古馬条件戦",IF(ISNUMBER(SEARCH("重賞",Z4657)),"重賞","分類不能")))))))))</f>
        <v/>
      </c>
    </row>
    <row r="4658" customFormat="false" ht="15.75" hidden="false" customHeight="false" outlineLevel="0" collapsed="false">
      <c r="AO4658" s="8" t="str">
        <f aca="false">IF(A4658="","",IF(COUNTIFS(全馬データ!$A$2:$A$50000,A4658,全馬データ!$B$2:$B$50000,B4658,全馬データ!$C$2:$C$50000,C4658,全馬データ!$D$2:$D$50000,E4658,全馬データ!$K$2:$K$50000,"&lt;&gt;")=0,"",SUMIFS(全馬データ!$K$2:$K$50000,全馬データ!$A$2:$A$50000,A4658,全馬データ!$B$2:$B$50000,B4658,全馬データ!$C$2:$C$50000,C4658,全馬データ!$D$2:$D$50000,E4658)))</f>
        <v/>
      </c>
      <c r="AP4658" s="8" t="str">
        <f aca="false">IF(A4658="","",IF(AO4658="","欠損",IF(AO4658&lt;=1.1,"1.0～1.1",IF(AO4658&lt;1.3,"1.2",IF(AO4658&lt;1.5,"1.3～1.4",IF(AO4658&lt;2,"1.5～1.9","2.0以上"))))))</f>
        <v/>
      </c>
      <c r="AQ4658" s="8" t="str">
        <f aca="false">IF(A4658="","",IF(ISNUMBER(SEARCH("2歳",Z4658)),"2歳戦",IF(ISNUMBER(SEARCH("3歳未勝利",Z4658)),"3歳未勝利",IF(ISNUMBER(SEARCH("未勝利",Z4658)),"その他未勝利",IF(ISNUMBER(SEARCH("G1",Z4658)),"G1",IF(ISNUMBER(SEARCH("G2",Z4658)),"G2",IF(ISNUMBER(SEARCH("G3",Z4658)),"G3",IF(ISNUMBER(SEARCH("古馬条件",Z4658)),"古馬条件戦",IF(ISNUMBER(SEARCH("重賞",Z4658)),"重賞","分類不能")))))))))</f>
        <v/>
      </c>
    </row>
    <row r="4659" customFormat="false" ht="15.75" hidden="false" customHeight="false" outlineLevel="0" collapsed="false">
      <c r="AO4659" s="8" t="str">
        <f aca="false">IF(A4659="","",IF(COUNTIFS(全馬データ!$A$2:$A$50000,A4659,全馬データ!$B$2:$B$50000,B4659,全馬データ!$C$2:$C$50000,C4659,全馬データ!$D$2:$D$50000,E4659,全馬データ!$K$2:$K$50000,"&lt;&gt;")=0,"",SUMIFS(全馬データ!$K$2:$K$50000,全馬データ!$A$2:$A$50000,A4659,全馬データ!$B$2:$B$50000,B4659,全馬データ!$C$2:$C$50000,C4659,全馬データ!$D$2:$D$50000,E4659)))</f>
        <v/>
      </c>
      <c r="AP4659" s="8" t="str">
        <f aca="false">IF(A4659="","",IF(AO4659="","欠損",IF(AO4659&lt;=1.1,"1.0～1.1",IF(AO4659&lt;1.3,"1.2",IF(AO4659&lt;1.5,"1.3～1.4",IF(AO4659&lt;2,"1.5～1.9","2.0以上"))))))</f>
        <v/>
      </c>
      <c r="AQ4659" s="8" t="str">
        <f aca="false">IF(A4659="","",IF(ISNUMBER(SEARCH("2歳",Z4659)),"2歳戦",IF(ISNUMBER(SEARCH("3歳未勝利",Z4659)),"3歳未勝利",IF(ISNUMBER(SEARCH("未勝利",Z4659)),"その他未勝利",IF(ISNUMBER(SEARCH("G1",Z4659)),"G1",IF(ISNUMBER(SEARCH("G2",Z4659)),"G2",IF(ISNUMBER(SEARCH("G3",Z4659)),"G3",IF(ISNUMBER(SEARCH("古馬条件",Z4659)),"古馬条件戦",IF(ISNUMBER(SEARCH("重賞",Z4659)),"重賞","分類不能")))))))))</f>
        <v/>
      </c>
    </row>
    <row r="4660" customFormat="false" ht="15.75" hidden="false" customHeight="false" outlineLevel="0" collapsed="false">
      <c r="AO4660" s="8" t="str">
        <f aca="false">IF(A4660="","",IF(COUNTIFS(全馬データ!$A$2:$A$50000,A4660,全馬データ!$B$2:$B$50000,B4660,全馬データ!$C$2:$C$50000,C4660,全馬データ!$D$2:$D$50000,E4660,全馬データ!$K$2:$K$50000,"&lt;&gt;")=0,"",SUMIFS(全馬データ!$K$2:$K$50000,全馬データ!$A$2:$A$50000,A4660,全馬データ!$B$2:$B$50000,B4660,全馬データ!$C$2:$C$50000,C4660,全馬データ!$D$2:$D$50000,E4660)))</f>
        <v/>
      </c>
      <c r="AP4660" s="8" t="str">
        <f aca="false">IF(A4660="","",IF(AO4660="","欠損",IF(AO4660&lt;=1.1,"1.0～1.1",IF(AO4660&lt;1.3,"1.2",IF(AO4660&lt;1.5,"1.3～1.4",IF(AO4660&lt;2,"1.5～1.9","2.0以上"))))))</f>
        <v/>
      </c>
      <c r="AQ4660" s="8" t="str">
        <f aca="false">IF(A4660="","",IF(ISNUMBER(SEARCH("2歳",Z4660)),"2歳戦",IF(ISNUMBER(SEARCH("3歳未勝利",Z4660)),"3歳未勝利",IF(ISNUMBER(SEARCH("未勝利",Z4660)),"その他未勝利",IF(ISNUMBER(SEARCH("G1",Z4660)),"G1",IF(ISNUMBER(SEARCH("G2",Z4660)),"G2",IF(ISNUMBER(SEARCH("G3",Z4660)),"G3",IF(ISNUMBER(SEARCH("古馬条件",Z4660)),"古馬条件戦",IF(ISNUMBER(SEARCH("重賞",Z4660)),"重賞","分類不能")))))))))</f>
        <v/>
      </c>
    </row>
    <row r="4661" customFormat="false" ht="15.75" hidden="false" customHeight="false" outlineLevel="0" collapsed="false">
      <c r="AO4661" s="8" t="str">
        <f aca="false">IF(A4661="","",IF(COUNTIFS(全馬データ!$A$2:$A$50000,A4661,全馬データ!$B$2:$B$50000,B4661,全馬データ!$C$2:$C$50000,C4661,全馬データ!$D$2:$D$50000,E4661,全馬データ!$K$2:$K$50000,"&lt;&gt;")=0,"",SUMIFS(全馬データ!$K$2:$K$50000,全馬データ!$A$2:$A$50000,A4661,全馬データ!$B$2:$B$50000,B4661,全馬データ!$C$2:$C$50000,C4661,全馬データ!$D$2:$D$50000,E4661)))</f>
        <v/>
      </c>
      <c r="AP4661" s="8" t="str">
        <f aca="false">IF(A4661="","",IF(AO4661="","欠損",IF(AO4661&lt;=1.1,"1.0～1.1",IF(AO4661&lt;1.3,"1.2",IF(AO4661&lt;1.5,"1.3～1.4",IF(AO4661&lt;2,"1.5～1.9","2.0以上"))))))</f>
        <v/>
      </c>
      <c r="AQ4661" s="8" t="str">
        <f aca="false">IF(A4661="","",IF(ISNUMBER(SEARCH("2歳",Z4661)),"2歳戦",IF(ISNUMBER(SEARCH("3歳未勝利",Z4661)),"3歳未勝利",IF(ISNUMBER(SEARCH("未勝利",Z4661)),"その他未勝利",IF(ISNUMBER(SEARCH("G1",Z4661)),"G1",IF(ISNUMBER(SEARCH("G2",Z4661)),"G2",IF(ISNUMBER(SEARCH("G3",Z4661)),"G3",IF(ISNUMBER(SEARCH("古馬条件",Z4661)),"古馬条件戦",IF(ISNUMBER(SEARCH("重賞",Z4661)),"重賞","分類不能")))))))))</f>
        <v/>
      </c>
    </row>
    <row r="4662" customFormat="false" ht="15.75" hidden="false" customHeight="false" outlineLevel="0" collapsed="false">
      <c r="AO4662" s="8" t="str">
        <f aca="false">IF(A4662="","",IF(COUNTIFS(全馬データ!$A$2:$A$50000,A4662,全馬データ!$B$2:$B$50000,B4662,全馬データ!$C$2:$C$50000,C4662,全馬データ!$D$2:$D$50000,E4662,全馬データ!$K$2:$K$50000,"&lt;&gt;")=0,"",SUMIFS(全馬データ!$K$2:$K$50000,全馬データ!$A$2:$A$50000,A4662,全馬データ!$B$2:$B$50000,B4662,全馬データ!$C$2:$C$50000,C4662,全馬データ!$D$2:$D$50000,E4662)))</f>
        <v/>
      </c>
      <c r="AP4662" s="8" t="str">
        <f aca="false">IF(A4662="","",IF(AO4662="","欠損",IF(AO4662&lt;=1.1,"1.0～1.1",IF(AO4662&lt;1.3,"1.2",IF(AO4662&lt;1.5,"1.3～1.4",IF(AO4662&lt;2,"1.5～1.9","2.0以上"))))))</f>
        <v/>
      </c>
      <c r="AQ4662" s="8" t="str">
        <f aca="false">IF(A4662="","",IF(ISNUMBER(SEARCH("2歳",Z4662)),"2歳戦",IF(ISNUMBER(SEARCH("3歳未勝利",Z4662)),"3歳未勝利",IF(ISNUMBER(SEARCH("未勝利",Z4662)),"その他未勝利",IF(ISNUMBER(SEARCH("G1",Z4662)),"G1",IF(ISNUMBER(SEARCH("G2",Z4662)),"G2",IF(ISNUMBER(SEARCH("G3",Z4662)),"G3",IF(ISNUMBER(SEARCH("古馬条件",Z4662)),"古馬条件戦",IF(ISNUMBER(SEARCH("重賞",Z4662)),"重賞","分類不能")))))))))</f>
        <v/>
      </c>
    </row>
    <row r="4663" customFormat="false" ht="15.75" hidden="false" customHeight="false" outlineLevel="0" collapsed="false">
      <c r="AO4663" s="8" t="str">
        <f aca="false">IF(A4663="","",IF(COUNTIFS(全馬データ!$A$2:$A$50000,A4663,全馬データ!$B$2:$B$50000,B4663,全馬データ!$C$2:$C$50000,C4663,全馬データ!$D$2:$D$50000,E4663,全馬データ!$K$2:$K$50000,"&lt;&gt;")=0,"",SUMIFS(全馬データ!$K$2:$K$50000,全馬データ!$A$2:$A$50000,A4663,全馬データ!$B$2:$B$50000,B4663,全馬データ!$C$2:$C$50000,C4663,全馬データ!$D$2:$D$50000,E4663)))</f>
        <v/>
      </c>
      <c r="AP4663" s="8" t="str">
        <f aca="false">IF(A4663="","",IF(AO4663="","欠損",IF(AO4663&lt;=1.1,"1.0～1.1",IF(AO4663&lt;1.3,"1.2",IF(AO4663&lt;1.5,"1.3～1.4",IF(AO4663&lt;2,"1.5～1.9","2.0以上"))))))</f>
        <v/>
      </c>
      <c r="AQ4663" s="8" t="str">
        <f aca="false">IF(A4663="","",IF(ISNUMBER(SEARCH("2歳",Z4663)),"2歳戦",IF(ISNUMBER(SEARCH("3歳未勝利",Z4663)),"3歳未勝利",IF(ISNUMBER(SEARCH("未勝利",Z4663)),"その他未勝利",IF(ISNUMBER(SEARCH("G1",Z4663)),"G1",IF(ISNUMBER(SEARCH("G2",Z4663)),"G2",IF(ISNUMBER(SEARCH("G3",Z4663)),"G3",IF(ISNUMBER(SEARCH("古馬条件",Z4663)),"古馬条件戦",IF(ISNUMBER(SEARCH("重賞",Z4663)),"重賞","分類不能")))))))))</f>
        <v/>
      </c>
    </row>
    <row r="4664" customFormat="false" ht="15.75" hidden="false" customHeight="false" outlineLevel="0" collapsed="false">
      <c r="AO4664" s="8" t="str">
        <f aca="false">IF(A4664="","",IF(COUNTIFS(全馬データ!$A$2:$A$50000,A4664,全馬データ!$B$2:$B$50000,B4664,全馬データ!$C$2:$C$50000,C4664,全馬データ!$D$2:$D$50000,E4664,全馬データ!$K$2:$K$50000,"&lt;&gt;")=0,"",SUMIFS(全馬データ!$K$2:$K$50000,全馬データ!$A$2:$A$50000,A4664,全馬データ!$B$2:$B$50000,B4664,全馬データ!$C$2:$C$50000,C4664,全馬データ!$D$2:$D$50000,E4664)))</f>
        <v/>
      </c>
      <c r="AP4664" s="8" t="str">
        <f aca="false">IF(A4664="","",IF(AO4664="","欠損",IF(AO4664&lt;=1.1,"1.0～1.1",IF(AO4664&lt;1.3,"1.2",IF(AO4664&lt;1.5,"1.3～1.4",IF(AO4664&lt;2,"1.5～1.9","2.0以上"))))))</f>
        <v/>
      </c>
      <c r="AQ4664" s="8" t="str">
        <f aca="false">IF(A4664="","",IF(ISNUMBER(SEARCH("2歳",Z4664)),"2歳戦",IF(ISNUMBER(SEARCH("3歳未勝利",Z4664)),"3歳未勝利",IF(ISNUMBER(SEARCH("未勝利",Z4664)),"その他未勝利",IF(ISNUMBER(SEARCH("G1",Z4664)),"G1",IF(ISNUMBER(SEARCH("G2",Z4664)),"G2",IF(ISNUMBER(SEARCH("G3",Z4664)),"G3",IF(ISNUMBER(SEARCH("古馬条件",Z4664)),"古馬条件戦",IF(ISNUMBER(SEARCH("重賞",Z4664)),"重賞","分類不能")))))))))</f>
        <v/>
      </c>
    </row>
    <row r="4665" customFormat="false" ht="15.75" hidden="false" customHeight="false" outlineLevel="0" collapsed="false">
      <c r="AO4665" s="8" t="str">
        <f aca="false">IF(A4665="","",IF(COUNTIFS(全馬データ!$A$2:$A$50000,A4665,全馬データ!$B$2:$B$50000,B4665,全馬データ!$C$2:$C$50000,C4665,全馬データ!$D$2:$D$50000,E4665,全馬データ!$K$2:$K$50000,"&lt;&gt;")=0,"",SUMIFS(全馬データ!$K$2:$K$50000,全馬データ!$A$2:$A$50000,A4665,全馬データ!$B$2:$B$50000,B4665,全馬データ!$C$2:$C$50000,C4665,全馬データ!$D$2:$D$50000,E4665)))</f>
        <v/>
      </c>
      <c r="AP4665" s="8" t="str">
        <f aca="false">IF(A4665="","",IF(AO4665="","欠損",IF(AO4665&lt;=1.1,"1.0～1.1",IF(AO4665&lt;1.3,"1.2",IF(AO4665&lt;1.5,"1.3～1.4",IF(AO4665&lt;2,"1.5～1.9","2.0以上"))))))</f>
        <v/>
      </c>
      <c r="AQ4665" s="8" t="str">
        <f aca="false">IF(A4665="","",IF(ISNUMBER(SEARCH("2歳",Z4665)),"2歳戦",IF(ISNUMBER(SEARCH("3歳未勝利",Z4665)),"3歳未勝利",IF(ISNUMBER(SEARCH("未勝利",Z4665)),"その他未勝利",IF(ISNUMBER(SEARCH("G1",Z4665)),"G1",IF(ISNUMBER(SEARCH("G2",Z4665)),"G2",IF(ISNUMBER(SEARCH("G3",Z4665)),"G3",IF(ISNUMBER(SEARCH("古馬条件",Z4665)),"古馬条件戦",IF(ISNUMBER(SEARCH("重賞",Z4665)),"重賞","分類不能")))))))))</f>
        <v/>
      </c>
    </row>
    <row r="4666" customFormat="false" ht="15.75" hidden="false" customHeight="false" outlineLevel="0" collapsed="false">
      <c r="AO4666" s="8" t="str">
        <f aca="false">IF(A4666="","",IF(COUNTIFS(全馬データ!$A$2:$A$50000,A4666,全馬データ!$B$2:$B$50000,B4666,全馬データ!$C$2:$C$50000,C4666,全馬データ!$D$2:$D$50000,E4666,全馬データ!$K$2:$K$50000,"&lt;&gt;")=0,"",SUMIFS(全馬データ!$K$2:$K$50000,全馬データ!$A$2:$A$50000,A4666,全馬データ!$B$2:$B$50000,B4666,全馬データ!$C$2:$C$50000,C4666,全馬データ!$D$2:$D$50000,E4666)))</f>
        <v/>
      </c>
      <c r="AP4666" s="8" t="str">
        <f aca="false">IF(A4666="","",IF(AO4666="","欠損",IF(AO4666&lt;=1.1,"1.0～1.1",IF(AO4666&lt;1.3,"1.2",IF(AO4666&lt;1.5,"1.3～1.4",IF(AO4666&lt;2,"1.5～1.9","2.0以上"))))))</f>
        <v/>
      </c>
      <c r="AQ4666" s="8" t="str">
        <f aca="false">IF(A4666="","",IF(ISNUMBER(SEARCH("2歳",Z4666)),"2歳戦",IF(ISNUMBER(SEARCH("3歳未勝利",Z4666)),"3歳未勝利",IF(ISNUMBER(SEARCH("未勝利",Z4666)),"その他未勝利",IF(ISNUMBER(SEARCH("G1",Z4666)),"G1",IF(ISNUMBER(SEARCH("G2",Z4666)),"G2",IF(ISNUMBER(SEARCH("G3",Z4666)),"G3",IF(ISNUMBER(SEARCH("古馬条件",Z4666)),"古馬条件戦",IF(ISNUMBER(SEARCH("重賞",Z4666)),"重賞","分類不能")))))))))</f>
        <v/>
      </c>
    </row>
    <row r="4667" customFormat="false" ht="15.75" hidden="false" customHeight="false" outlineLevel="0" collapsed="false">
      <c r="AO4667" s="8" t="str">
        <f aca="false">IF(A4667="","",IF(COUNTIFS(全馬データ!$A$2:$A$50000,A4667,全馬データ!$B$2:$B$50000,B4667,全馬データ!$C$2:$C$50000,C4667,全馬データ!$D$2:$D$50000,E4667,全馬データ!$K$2:$K$50000,"&lt;&gt;")=0,"",SUMIFS(全馬データ!$K$2:$K$50000,全馬データ!$A$2:$A$50000,A4667,全馬データ!$B$2:$B$50000,B4667,全馬データ!$C$2:$C$50000,C4667,全馬データ!$D$2:$D$50000,E4667)))</f>
        <v/>
      </c>
      <c r="AP4667" s="8" t="str">
        <f aca="false">IF(A4667="","",IF(AO4667="","欠損",IF(AO4667&lt;=1.1,"1.0～1.1",IF(AO4667&lt;1.3,"1.2",IF(AO4667&lt;1.5,"1.3～1.4",IF(AO4667&lt;2,"1.5～1.9","2.0以上"))))))</f>
        <v/>
      </c>
      <c r="AQ4667" s="8" t="str">
        <f aca="false">IF(A4667="","",IF(ISNUMBER(SEARCH("2歳",Z4667)),"2歳戦",IF(ISNUMBER(SEARCH("3歳未勝利",Z4667)),"3歳未勝利",IF(ISNUMBER(SEARCH("未勝利",Z4667)),"その他未勝利",IF(ISNUMBER(SEARCH("G1",Z4667)),"G1",IF(ISNUMBER(SEARCH("G2",Z4667)),"G2",IF(ISNUMBER(SEARCH("G3",Z4667)),"G3",IF(ISNUMBER(SEARCH("古馬条件",Z4667)),"古馬条件戦",IF(ISNUMBER(SEARCH("重賞",Z4667)),"重賞","分類不能")))))))))</f>
        <v/>
      </c>
    </row>
    <row r="4668" customFormat="false" ht="15.75" hidden="false" customHeight="false" outlineLevel="0" collapsed="false">
      <c r="AO4668" s="8" t="str">
        <f aca="false">IF(A4668="","",IF(COUNTIFS(全馬データ!$A$2:$A$50000,A4668,全馬データ!$B$2:$B$50000,B4668,全馬データ!$C$2:$C$50000,C4668,全馬データ!$D$2:$D$50000,E4668,全馬データ!$K$2:$K$50000,"&lt;&gt;")=0,"",SUMIFS(全馬データ!$K$2:$K$50000,全馬データ!$A$2:$A$50000,A4668,全馬データ!$B$2:$B$50000,B4668,全馬データ!$C$2:$C$50000,C4668,全馬データ!$D$2:$D$50000,E4668)))</f>
        <v/>
      </c>
      <c r="AP4668" s="8" t="str">
        <f aca="false">IF(A4668="","",IF(AO4668="","欠損",IF(AO4668&lt;=1.1,"1.0～1.1",IF(AO4668&lt;1.3,"1.2",IF(AO4668&lt;1.5,"1.3～1.4",IF(AO4668&lt;2,"1.5～1.9","2.0以上"))))))</f>
        <v/>
      </c>
      <c r="AQ4668" s="8" t="str">
        <f aca="false">IF(A4668="","",IF(ISNUMBER(SEARCH("2歳",Z4668)),"2歳戦",IF(ISNUMBER(SEARCH("3歳未勝利",Z4668)),"3歳未勝利",IF(ISNUMBER(SEARCH("未勝利",Z4668)),"その他未勝利",IF(ISNUMBER(SEARCH("G1",Z4668)),"G1",IF(ISNUMBER(SEARCH("G2",Z4668)),"G2",IF(ISNUMBER(SEARCH("G3",Z4668)),"G3",IF(ISNUMBER(SEARCH("古馬条件",Z4668)),"古馬条件戦",IF(ISNUMBER(SEARCH("重賞",Z4668)),"重賞","分類不能")))))))))</f>
        <v/>
      </c>
    </row>
    <row r="4669" customFormat="false" ht="15.75" hidden="false" customHeight="false" outlineLevel="0" collapsed="false">
      <c r="AO4669" s="8" t="str">
        <f aca="false">IF(A4669="","",IF(COUNTIFS(全馬データ!$A$2:$A$50000,A4669,全馬データ!$B$2:$B$50000,B4669,全馬データ!$C$2:$C$50000,C4669,全馬データ!$D$2:$D$50000,E4669,全馬データ!$K$2:$K$50000,"&lt;&gt;")=0,"",SUMIFS(全馬データ!$K$2:$K$50000,全馬データ!$A$2:$A$50000,A4669,全馬データ!$B$2:$B$50000,B4669,全馬データ!$C$2:$C$50000,C4669,全馬データ!$D$2:$D$50000,E4669)))</f>
        <v/>
      </c>
      <c r="AP4669" s="8" t="str">
        <f aca="false">IF(A4669="","",IF(AO4669="","欠損",IF(AO4669&lt;=1.1,"1.0～1.1",IF(AO4669&lt;1.3,"1.2",IF(AO4669&lt;1.5,"1.3～1.4",IF(AO4669&lt;2,"1.5～1.9","2.0以上"))))))</f>
        <v/>
      </c>
      <c r="AQ4669" s="8" t="str">
        <f aca="false">IF(A4669="","",IF(ISNUMBER(SEARCH("2歳",Z4669)),"2歳戦",IF(ISNUMBER(SEARCH("3歳未勝利",Z4669)),"3歳未勝利",IF(ISNUMBER(SEARCH("未勝利",Z4669)),"その他未勝利",IF(ISNUMBER(SEARCH("G1",Z4669)),"G1",IF(ISNUMBER(SEARCH("G2",Z4669)),"G2",IF(ISNUMBER(SEARCH("G3",Z4669)),"G3",IF(ISNUMBER(SEARCH("古馬条件",Z4669)),"古馬条件戦",IF(ISNUMBER(SEARCH("重賞",Z4669)),"重賞","分類不能")))))))))</f>
        <v/>
      </c>
    </row>
    <row r="4670" customFormat="false" ht="15.75" hidden="false" customHeight="false" outlineLevel="0" collapsed="false">
      <c r="AO4670" s="8" t="str">
        <f aca="false">IF(A4670="","",IF(COUNTIFS(全馬データ!$A$2:$A$50000,A4670,全馬データ!$B$2:$B$50000,B4670,全馬データ!$C$2:$C$50000,C4670,全馬データ!$D$2:$D$50000,E4670,全馬データ!$K$2:$K$50000,"&lt;&gt;")=0,"",SUMIFS(全馬データ!$K$2:$K$50000,全馬データ!$A$2:$A$50000,A4670,全馬データ!$B$2:$B$50000,B4670,全馬データ!$C$2:$C$50000,C4670,全馬データ!$D$2:$D$50000,E4670)))</f>
        <v/>
      </c>
      <c r="AP4670" s="8" t="str">
        <f aca="false">IF(A4670="","",IF(AO4670="","欠損",IF(AO4670&lt;=1.1,"1.0～1.1",IF(AO4670&lt;1.3,"1.2",IF(AO4670&lt;1.5,"1.3～1.4",IF(AO4670&lt;2,"1.5～1.9","2.0以上"))))))</f>
        <v/>
      </c>
      <c r="AQ4670" s="8" t="str">
        <f aca="false">IF(A4670="","",IF(ISNUMBER(SEARCH("2歳",Z4670)),"2歳戦",IF(ISNUMBER(SEARCH("3歳未勝利",Z4670)),"3歳未勝利",IF(ISNUMBER(SEARCH("未勝利",Z4670)),"その他未勝利",IF(ISNUMBER(SEARCH("G1",Z4670)),"G1",IF(ISNUMBER(SEARCH("G2",Z4670)),"G2",IF(ISNUMBER(SEARCH("G3",Z4670)),"G3",IF(ISNUMBER(SEARCH("古馬条件",Z4670)),"古馬条件戦",IF(ISNUMBER(SEARCH("重賞",Z4670)),"重賞","分類不能")))))))))</f>
        <v/>
      </c>
    </row>
    <row r="4671" customFormat="false" ht="15.75" hidden="false" customHeight="false" outlineLevel="0" collapsed="false">
      <c r="AO4671" s="8" t="str">
        <f aca="false">IF(A4671="","",IF(COUNTIFS(全馬データ!$A$2:$A$50000,A4671,全馬データ!$B$2:$B$50000,B4671,全馬データ!$C$2:$C$50000,C4671,全馬データ!$D$2:$D$50000,E4671,全馬データ!$K$2:$K$50000,"&lt;&gt;")=0,"",SUMIFS(全馬データ!$K$2:$K$50000,全馬データ!$A$2:$A$50000,A4671,全馬データ!$B$2:$B$50000,B4671,全馬データ!$C$2:$C$50000,C4671,全馬データ!$D$2:$D$50000,E4671)))</f>
        <v/>
      </c>
      <c r="AP4671" s="8" t="str">
        <f aca="false">IF(A4671="","",IF(AO4671="","欠損",IF(AO4671&lt;=1.1,"1.0～1.1",IF(AO4671&lt;1.3,"1.2",IF(AO4671&lt;1.5,"1.3～1.4",IF(AO4671&lt;2,"1.5～1.9","2.0以上"))))))</f>
        <v/>
      </c>
      <c r="AQ4671" s="8" t="str">
        <f aca="false">IF(A4671="","",IF(ISNUMBER(SEARCH("2歳",Z4671)),"2歳戦",IF(ISNUMBER(SEARCH("3歳未勝利",Z4671)),"3歳未勝利",IF(ISNUMBER(SEARCH("未勝利",Z4671)),"その他未勝利",IF(ISNUMBER(SEARCH("G1",Z4671)),"G1",IF(ISNUMBER(SEARCH("G2",Z4671)),"G2",IF(ISNUMBER(SEARCH("G3",Z4671)),"G3",IF(ISNUMBER(SEARCH("古馬条件",Z4671)),"古馬条件戦",IF(ISNUMBER(SEARCH("重賞",Z4671)),"重賞","分類不能")))))))))</f>
        <v/>
      </c>
    </row>
    <row r="4672" customFormat="false" ht="15.75" hidden="false" customHeight="false" outlineLevel="0" collapsed="false">
      <c r="AO4672" s="8" t="str">
        <f aca="false">IF(A4672="","",IF(COUNTIFS(全馬データ!$A$2:$A$50000,A4672,全馬データ!$B$2:$B$50000,B4672,全馬データ!$C$2:$C$50000,C4672,全馬データ!$D$2:$D$50000,E4672,全馬データ!$K$2:$K$50000,"&lt;&gt;")=0,"",SUMIFS(全馬データ!$K$2:$K$50000,全馬データ!$A$2:$A$50000,A4672,全馬データ!$B$2:$B$50000,B4672,全馬データ!$C$2:$C$50000,C4672,全馬データ!$D$2:$D$50000,E4672)))</f>
        <v/>
      </c>
      <c r="AP4672" s="8" t="str">
        <f aca="false">IF(A4672="","",IF(AO4672="","欠損",IF(AO4672&lt;=1.1,"1.0～1.1",IF(AO4672&lt;1.3,"1.2",IF(AO4672&lt;1.5,"1.3～1.4",IF(AO4672&lt;2,"1.5～1.9","2.0以上"))))))</f>
        <v/>
      </c>
      <c r="AQ4672" s="8" t="str">
        <f aca="false">IF(A4672="","",IF(ISNUMBER(SEARCH("2歳",Z4672)),"2歳戦",IF(ISNUMBER(SEARCH("3歳未勝利",Z4672)),"3歳未勝利",IF(ISNUMBER(SEARCH("未勝利",Z4672)),"その他未勝利",IF(ISNUMBER(SEARCH("G1",Z4672)),"G1",IF(ISNUMBER(SEARCH("G2",Z4672)),"G2",IF(ISNUMBER(SEARCH("G3",Z4672)),"G3",IF(ISNUMBER(SEARCH("古馬条件",Z4672)),"古馬条件戦",IF(ISNUMBER(SEARCH("重賞",Z4672)),"重賞","分類不能")))))))))</f>
        <v/>
      </c>
    </row>
    <row r="4673" customFormat="false" ht="15.75" hidden="false" customHeight="false" outlineLevel="0" collapsed="false">
      <c r="AO4673" s="8" t="str">
        <f aca="false">IF(A4673="","",IF(COUNTIFS(全馬データ!$A$2:$A$50000,A4673,全馬データ!$B$2:$B$50000,B4673,全馬データ!$C$2:$C$50000,C4673,全馬データ!$D$2:$D$50000,E4673,全馬データ!$K$2:$K$50000,"&lt;&gt;")=0,"",SUMIFS(全馬データ!$K$2:$K$50000,全馬データ!$A$2:$A$50000,A4673,全馬データ!$B$2:$B$50000,B4673,全馬データ!$C$2:$C$50000,C4673,全馬データ!$D$2:$D$50000,E4673)))</f>
        <v/>
      </c>
      <c r="AP4673" s="8" t="str">
        <f aca="false">IF(A4673="","",IF(AO4673="","欠損",IF(AO4673&lt;=1.1,"1.0～1.1",IF(AO4673&lt;1.3,"1.2",IF(AO4673&lt;1.5,"1.3～1.4",IF(AO4673&lt;2,"1.5～1.9","2.0以上"))))))</f>
        <v/>
      </c>
      <c r="AQ4673" s="8" t="str">
        <f aca="false">IF(A4673="","",IF(ISNUMBER(SEARCH("2歳",Z4673)),"2歳戦",IF(ISNUMBER(SEARCH("3歳未勝利",Z4673)),"3歳未勝利",IF(ISNUMBER(SEARCH("未勝利",Z4673)),"その他未勝利",IF(ISNUMBER(SEARCH("G1",Z4673)),"G1",IF(ISNUMBER(SEARCH("G2",Z4673)),"G2",IF(ISNUMBER(SEARCH("G3",Z4673)),"G3",IF(ISNUMBER(SEARCH("古馬条件",Z4673)),"古馬条件戦",IF(ISNUMBER(SEARCH("重賞",Z4673)),"重賞","分類不能")))))))))</f>
        <v/>
      </c>
    </row>
    <row r="4674" customFormat="false" ht="15.75" hidden="false" customHeight="false" outlineLevel="0" collapsed="false">
      <c r="AO4674" s="8" t="str">
        <f aca="false">IF(A4674="","",IF(COUNTIFS(全馬データ!$A$2:$A$50000,A4674,全馬データ!$B$2:$B$50000,B4674,全馬データ!$C$2:$C$50000,C4674,全馬データ!$D$2:$D$50000,E4674,全馬データ!$K$2:$K$50000,"&lt;&gt;")=0,"",SUMIFS(全馬データ!$K$2:$K$50000,全馬データ!$A$2:$A$50000,A4674,全馬データ!$B$2:$B$50000,B4674,全馬データ!$C$2:$C$50000,C4674,全馬データ!$D$2:$D$50000,E4674)))</f>
        <v/>
      </c>
      <c r="AP4674" s="8" t="str">
        <f aca="false">IF(A4674="","",IF(AO4674="","欠損",IF(AO4674&lt;=1.1,"1.0～1.1",IF(AO4674&lt;1.3,"1.2",IF(AO4674&lt;1.5,"1.3～1.4",IF(AO4674&lt;2,"1.5～1.9","2.0以上"))))))</f>
        <v/>
      </c>
      <c r="AQ4674" s="8" t="str">
        <f aca="false">IF(A4674="","",IF(ISNUMBER(SEARCH("2歳",Z4674)),"2歳戦",IF(ISNUMBER(SEARCH("3歳未勝利",Z4674)),"3歳未勝利",IF(ISNUMBER(SEARCH("未勝利",Z4674)),"その他未勝利",IF(ISNUMBER(SEARCH("G1",Z4674)),"G1",IF(ISNUMBER(SEARCH("G2",Z4674)),"G2",IF(ISNUMBER(SEARCH("G3",Z4674)),"G3",IF(ISNUMBER(SEARCH("古馬条件",Z4674)),"古馬条件戦",IF(ISNUMBER(SEARCH("重賞",Z4674)),"重賞","分類不能")))))))))</f>
        <v/>
      </c>
    </row>
    <row r="4675" customFormat="false" ht="15.75" hidden="false" customHeight="false" outlineLevel="0" collapsed="false">
      <c r="AO4675" s="8" t="str">
        <f aca="false">IF(A4675="","",IF(COUNTIFS(全馬データ!$A$2:$A$50000,A4675,全馬データ!$B$2:$B$50000,B4675,全馬データ!$C$2:$C$50000,C4675,全馬データ!$D$2:$D$50000,E4675,全馬データ!$K$2:$K$50000,"&lt;&gt;")=0,"",SUMIFS(全馬データ!$K$2:$K$50000,全馬データ!$A$2:$A$50000,A4675,全馬データ!$B$2:$B$50000,B4675,全馬データ!$C$2:$C$50000,C4675,全馬データ!$D$2:$D$50000,E4675)))</f>
        <v/>
      </c>
      <c r="AP4675" s="8" t="str">
        <f aca="false">IF(A4675="","",IF(AO4675="","欠損",IF(AO4675&lt;=1.1,"1.0～1.1",IF(AO4675&lt;1.3,"1.2",IF(AO4675&lt;1.5,"1.3～1.4",IF(AO4675&lt;2,"1.5～1.9","2.0以上"))))))</f>
        <v/>
      </c>
      <c r="AQ4675" s="8" t="str">
        <f aca="false">IF(A4675="","",IF(ISNUMBER(SEARCH("2歳",Z4675)),"2歳戦",IF(ISNUMBER(SEARCH("3歳未勝利",Z4675)),"3歳未勝利",IF(ISNUMBER(SEARCH("未勝利",Z4675)),"その他未勝利",IF(ISNUMBER(SEARCH("G1",Z4675)),"G1",IF(ISNUMBER(SEARCH("G2",Z4675)),"G2",IF(ISNUMBER(SEARCH("G3",Z4675)),"G3",IF(ISNUMBER(SEARCH("古馬条件",Z4675)),"古馬条件戦",IF(ISNUMBER(SEARCH("重賞",Z4675)),"重賞","分類不能")))))))))</f>
        <v/>
      </c>
    </row>
    <row r="4676" customFormat="false" ht="15.75" hidden="false" customHeight="false" outlineLevel="0" collapsed="false">
      <c r="AO4676" s="8" t="str">
        <f aca="false">IF(A4676="","",IF(COUNTIFS(全馬データ!$A$2:$A$50000,A4676,全馬データ!$B$2:$B$50000,B4676,全馬データ!$C$2:$C$50000,C4676,全馬データ!$D$2:$D$50000,E4676,全馬データ!$K$2:$K$50000,"&lt;&gt;")=0,"",SUMIFS(全馬データ!$K$2:$K$50000,全馬データ!$A$2:$A$50000,A4676,全馬データ!$B$2:$B$50000,B4676,全馬データ!$C$2:$C$50000,C4676,全馬データ!$D$2:$D$50000,E4676)))</f>
        <v/>
      </c>
      <c r="AP4676" s="8" t="str">
        <f aca="false">IF(A4676="","",IF(AO4676="","欠損",IF(AO4676&lt;=1.1,"1.0～1.1",IF(AO4676&lt;1.3,"1.2",IF(AO4676&lt;1.5,"1.3～1.4",IF(AO4676&lt;2,"1.5～1.9","2.0以上"))))))</f>
        <v/>
      </c>
      <c r="AQ4676" s="8" t="str">
        <f aca="false">IF(A4676="","",IF(ISNUMBER(SEARCH("2歳",Z4676)),"2歳戦",IF(ISNUMBER(SEARCH("3歳未勝利",Z4676)),"3歳未勝利",IF(ISNUMBER(SEARCH("未勝利",Z4676)),"その他未勝利",IF(ISNUMBER(SEARCH("G1",Z4676)),"G1",IF(ISNUMBER(SEARCH("G2",Z4676)),"G2",IF(ISNUMBER(SEARCH("G3",Z4676)),"G3",IF(ISNUMBER(SEARCH("古馬条件",Z4676)),"古馬条件戦",IF(ISNUMBER(SEARCH("重賞",Z4676)),"重賞","分類不能")))))))))</f>
        <v/>
      </c>
    </row>
    <row r="4677" customFormat="false" ht="15.75" hidden="false" customHeight="false" outlineLevel="0" collapsed="false">
      <c r="AO4677" s="8" t="str">
        <f aca="false">IF(A4677="","",IF(COUNTIFS(全馬データ!$A$2:$A$50000,A4677,全馬データ!$B$2:$B$50000,B4677,全馬データ!$C$2:$C$50000,C4677,全馬データ!$D$2:$D$50000,E4677,全馬データ!$K$2:$K$50000,"&lt;&gt;")=0,"",SUMIFS(全馬データ!$K$2:$K$50000,全馬データ!$A$2:$A$50000,A4677,全馬データ!$B$2:$B$50000,B4677,全馬データ!$C$2:$C$50000,C4677,全馬データ!$D$2:$D$50000,E4677)))</f>
        <v/>
      </c>
      <c r="AP4677" s="8" t="str">
        <f aca="false">IF(A4677="","",IF(AO4677="","欠損",IF(AO4677&lt;=1.1,"1.0～1.1",IF(AO4677&lt;1.3,"1.2",IF(AO4677&lt;1.5,"1.3～1.4",IF(AO4677&lt;2,"1.5～1.9","2.0以上"))))))</f>
        <v/>
      </c>
      <c r="AQ4677" s="8" t="str">
        <f aca="false">IF(A4677="","",IF(ISNUMBER(SEARCH("2歳",Z4677)),"2歳戦",IF(ISNUMBER(SEARCH("3歳未勝利",Z4677)),"3歳未勝利",IF(ISNUMBER(SEARCH("未勝利",Z4677)),"その他未勝利",IF(ISNUMBER(SEARCH("G1",Z4677)),"G1",IF(ISNUMBER(SEARCH("G2",Z4677)),"G2",IF(ISNUMBER(SEARCH("G3",Z4677)),"G3",IF(ISNUMBER(SEARCH("古馬条件",Z4677)),"古馬条件戦",IF(ISNUMBER(SEARCH("重賞",Z4677)),"重賞","分類不能")))))))))</f>
        <v/>
      </c>
    </row>
    <row r="4678" customFormat="false" ht="15.75" hidden="false" customHeight="false" outlineLevel="0" collapsed="false">
      <c r="AO4678" s="8" t="str">
        <f aca="false">IF(A4678="","",IF(COUNTIFS(全馬データ!$A$2:$A$50000,A4678,全馬データ!$B$2:$B$50000,B4678,全馬データ!$C$2:$C$50000,C4678,全馬データ!$D$2:$D$50000,E4678,全馬データ!$K$2:$K$50000,"&lt;&gt;")=0,"",SUMIFS(全馬データ!$K$2:$K$50000,全馬データ!$A$2:$A$50000,A4678,全馬データ!$B$2:$B$50000,B4678,全馬データ!$C$2:$C$50000,C4678,全馬データ!$D$2:$D$50000,E4678)))</f>
        <v/>
      </c>
      <c r="AP4678" s="8" t="str">
        <f aca="false">IF(A4678="","",IF(AO4678="","欠損",IF(AO4678&lt;=1.1,"1.0～1.1",IF(AO4678&lt;1.3,"1.2",IF(AO4678&lt;1.5,"1.3～1.4",IF(AO4678&lt;2,"1.5～1.9","2.0以上"))))))</f>
        <v/>
      </c>
      <c r="AQ4678" s="8" t="str">
        <f aca="false">IF(A4678="","",IF(ISNUMBER(SEARCH("2歳",Z4678)),"2歳戦",IF(ISNUMBER(SEARCH("3歳未勝利",Z4678)),"3歳未勝利",IF(ISNUMBER(SEARCH("未勝利",Z4678)),"その他未勝利",IF(ISNUMBER(SEARCH("G1",Z4678)),"G1",IF(ISNUMBER(SEARCH("G2",Z4678)),"G2",IF(ISNUMBER(SEARCH("G3",Z4678)),"G3",IF(ISNUMBER(SEARCH("古馬条件",Z4678)),"古馬条件戦",IF(ISNUMBER(SEARCH("重賞",Z4678)),"重賞","分類不能")))))))))</f>
        <v/>
      </c>
    </row>
    <row r="4679" customFormat="false" ht="15.75" hidden="false" customHeight="false" outlineLevel="0" collapsed="false">
      <c r="AO4679" s="8" t="str">
        <f aca="false">IF(A4679="","",IF(COUNTIFS(全馬データ!$A$2:$A$50000,A4679,全馬データ!$B$2:$B$50000,B4679,全馬データ!$C$2:$C$50000,C4679,全馬データ!$D$2:$D$50000,E4679,全馬データ!$K$2:$K$50000,"&lt;&gt;")=0,"",SUMIFS(全馬データ!$K$2:$K$50000,全馬データ!$A$2:$A$50000,A4679,全馬データ!$B$2:$B$50000,B4679,全馬データ!$C$2:$C$50000,C4679,全馬データ!$D$2:$D$50000,E4679)))</f>
        <v/>
      </c>
      <c r="AP4679" s="8" t="str">
        <f aca="false">IF(A4679="","",IF(AO4679="","欠損",IF(AO4679&lt;=1.1,"1.0～1.1",IF(AO4679&lt;1.3,"1.2",IF(AO4679&lt;1.5,"1.3～1.4",IF(AO4679&lt;2,"1.5～1.9","2.0以上"))))))</f>
        <v/>
      </c>
      <c r="AQ4679" s="8" t="str">
        <f aca="false">IF(A4679="","",IF(ISNUMBER(SEARCH("2歳",Z4679)),"2歳戦",IF(ISNUMBER(SEARCH("3歳未勝利",Z4679)),"3歳未勝利",IF(ISNUMBER(SEARCH("未勝利",Z4679)),"その他未勝利",IF(ISNUMBER(SEARCH("G1",Z4679)),"G1",IF(ISNUMBER(SEARCH("G2",Z4679)),"G2",IF(ISNUMBER(SEARCH("G3",Z4679)),"G3",IF(ISNUMBER(SEARCH("古馬条件",Z4679)),"古馬条件戦",IF(ISNUMBER(SEARCH("重賞",Z4679)),"重賞","分類不能")))))))))</f>
        <v/>
      </c>
    </row>
    <row r="4680" customFormat="false" ht="15.75" hidden="false" customHeight="false" outlineLevel="0" collapsed="false">
      <c r="AO4680" s="8" t="str">
        <f aca="false">IF(A4680="","",IF(COUNTIFS(全馬データ!$A$2:$A$50000,A4680,全馬データ!$B$2:$B$50000,B4680,全馬データ!$C$2:$C$50000,C4680,全馬データ!$D$2:$D$50000,E4680,全馬データ!$K$2:$K$50000,"&lt;&gt;")=0,"",SUMIFS(全馬データ!$K$2:$K$50000,全馬データ!$A$2:$A$50000,A4680,全馬データ!$B$2:$B$50000,B4680,全馬データ!$C$2:$C$50000,C4680,全馬データ!$D$2:$D$50000,E4680)))</f>
        <v/>
      </c>
      <c r="AP4680" s="8" t="str">
        <f aca="false">IF(A4680="","",IF(AO4680="","欠損",IF(AO4680&lt;=1.1,"1.0～1.1",IF(AO4680&lt;1.3,"1.2",IF(AO4680&lt;1.5,"1.3～1.4",IF(AO4680&lt;2,"1.5～1.9","2.0以上"))))))</f>
        <v/>
      </c>
      <c r="AQ4680" s="8" t="str">
        <f aca="false">IF(A4680="","",IF(ISNUMBER(SEARCH("2歳",Z4680)),"2歳戦",IF(ISNUMBER(SEARCH("3歳未勝利",Z4680)),"3歳未勝利",IF(ISNUMBER(SEARCH("未勝利",Z4680)),"その他未勝利",IF(ISNUMBER(SEARCH("G1",Z4680)),"G1",IF(ISNUMBER(SEARCH("G2",Z4680)),"G2",IF(ISNUMBER(SEARCH("G3",Z4680)),"G3",IF(ISNUMBER(SEARCH("古馬条件",Z4680)),"古馬条件戦",IF(ISNUMBER(SEARCH("重賞",Z4680)),"重賞","分類不能")))))))))</f>
        <v/>
      </c>
    </row>
    <row r="4681" customFormat="false" ht="15.75" hidden="false" customHeight="false" outlineLevel="0" collapsed="false">
      <c r="AO4681" s="8" t="str">
        <f aca="false">IF(A4681="","",IF(COUNTIFS(全馬データ!$A$2:$A$50000,A4681,全馬データ!$B$2:$B$50000,B4681,全馬データ!$C$2:$C$50000,C4681,全馬データ!$D$2:$D$50000,E4681,全馬データ!$K$2:$K$50000,"&lt;&gt;")=0,"",SUMIFS(全馬データ!$K$2:$K$50000,全馬データ!$A$2:$A$50000,A4681,全馬データ!$B$2:$B$50000,B4681,全馬データ!$C$2:$C$50000,C4681,全馬データ!$D$2:$D$50000,E4681)))</f>
        <v/>
      </c>
      <c r="AP4681" s="8" t="str">
        <f aca="false">IF(A4681="","",IF(AO4681="","欠損",IF(AO4681&lt;=1.1,"1.0～1.1",IF(AO4681&lt;1.3,"1.2",IF(AO4681&lt;1.5,"1.3～1.4",IF(AO4681&lt;2,"1.5～1.9","2.0以上"))))))</f>
        <v/>
      </c>
      <c r="AQ4681" s="8" t="str">
        <f aca="false">IF(A4681="","",IF(ISNUMBER(SEARCH("2歳",Z4681)),"2歳戦",IF(ISNUMBER(SEARCH("3歳未勝利",Z4681)),"3歳未勝利",IF(ISNUMBER(SEARCH("未勝利",Z4681)),"その他未勝利",IF(ISNUMBER(SEARCH("G1",Z4681)),"G1",IF(ISNUMBER(SEARCH("G2",Z4681)),"G2",IF(ISNUMBER(SEARCH("G3",Z4681)),"G3",IF(ISNUMBER(SEARCH("古馬条件",Z4681)),"古馬条件戦",IF(ISNUMBER(SEARCH("重賞",Z4681)),"重賞","分類不能")))))))))</f>
        <v/>
      </c>
    </row>
    <row r="4682" customFormat="false" ht="15.75" hidden="false" customHeight="false" outlineLevel="0" collapsed="false">
      <c r="AO4682" s="8" t="str">
        <f aca="false">IF(A4682="","",IF(COUNTIFS(全馬データ!$A$2:$A$50000,A4682,全馬データ!$B$2:$B$50000,B4682,全馬データ!$C$2:$C$50000,C4682,全馬データ!$D$2:$D$50000,E4682,全馬データ!$K$2:$K$50000,"&lt;&gt;")=0,"",SUMIFS(全馬データ!$K$2:$K$50000,全馬データ!$A$2:$A$50000,A4682,全馬データ!$B$2:$B$50000,B4682,全馬データ!$C$2:$C$50000,C4682,全馬データ!$D$2:$D$50000,E4682)))</f>
        <v/>
      </c>
      <c r="AP4682" s="8" t="str">
        <f aca="false">IF(A4682="","",IF(AO4682="","欠損",IF(AO4682&lt;=1.1,"1.0～1.1",IF(AO4682&lt;1.3,"1.2",IF(AO4682&lt;1.5,"1.3～1.4",IF(AO4682&lt;2,"1.5～1.9","2.0以上"))))))</f>
        <v/>
      </c>
      <c r="AQ4682" s="8" t="str">
        <f aca="false">IF(A4682="","",IF(ISNUMBER(SEARCH("2歳",Z4682)),"2歳戦",IF(ISNUMBER(SEARCH("3歳未勝利",Z4682)),"3歳未勝利",IF(ISNUMBER(SEARCH("未勝利",Z4682)),"その他未勝利",IF(ISNUMBER(SEARCH("G1",Z4682)),"G1",IF(ISNUMBER(SEARCH("G2",Z4682)),"G2",IF(ISNUMBER(SEARCH("G3",Z4682)),"G3",IF(ISNUMBER(SEARCH("古馬条件",Z4682)),"古馬条件戦",IF(ISNUMBER(SEARCH("重賞",Z4682)),"重賞","分類不能")))))))))</f>
        <v/>
      </c>
    </row>
    <row r="4683" customFormat="false" ht="15.75" hidden="false" customHeight="false" outlineLevel="0" collapsed="false">
      <c r="AO4683" s="8" t="str">
        <f aca="false">IF(A4683="","",IF(COUNTIFS(全馬データ!$A$2:$A$50000,A4683,全馬データ!$B$2:$B$50000,B4683,全馬データ!$C$2:$C$50000,C4683,全馬データ!$D$2:$D$50000,E4683,全馬データ!$K$2:$K$50000,"&lt;&gt;")=0,"",SUMIFS(全馬データ!$K$2:$K$50000,全馬データ!$A$2:$A$50000,A4683,全馬データ!$B$2:$B$50000,B4683,全馬データ!$C$2:$C$50000,C4683,全馬データ!$D$2:$D$50000,E4683)))</f>
        <v/>
      </c>
      <c r="AP4683" s="8" t="str">
        <f aca="false">IF(A4683="","",IF(AO4683="","欠損",IF(AO4683&lt;=1.1,"1.0～1.1",IF(AO4683&lt;1.3,"1.2",IF(AO4683&lt;1.5,"1.3～1.4",IF(AO4683&lt;2,"1.5～1.9","2.0以上"))))))</f>
        <v/>
      </c>
      <c r="AQ4683" s="8" t="str">
        <f aca="false">IF(A4683="","",IF(ISNUMBER(SEARCH("2歳",Z4683)),"2歳戦",IF(ISNUMBER(SEARCH("3歳未勝利",Z4683)),"3歳未勝利",IF(ISNUMBER(SEARCH("未勝利",Z4683)),"その他未勝利",IF(ISNUMBER(SEARCH("G1",Z4683)),"G1",IF(ISNUMBER(SEARCH("G2",Z4683)),"G2",IF(ISNUMBER(SEARCH("G3",Z4683)),"G3",IF(ISNUMBER(SEARCH("古馬条件",Z4683)),"古馬条件戦",IF(ISNUMBER(SEARCH("重賞",Z4683)),"重賞","分類不能")))))))))</f>
        <v/>
      </c>
    </row>
    <row r="4684" customFormat="false" ht="15.75" hidden="false" customHeight="false" outlineLevel="0" collapsed="false">
      <c r="AO4684" s="8" t="str">
        <f aca="false">IF(A4684="","",IF(COUNTIFS(全馬データ!$A$2:$A$50000,A4684,全馬データ!$B$2:$B$50000,B4684,全馬データ!$C$2:$C$50000,C4684,全馬データ!$D$2:$D$50000,E4684,全馬データ!$K$2:$K$50000,"&lt;&gt;")=0,"",SUMIFS(全馬データ!$K$2:$K$50000,全馬データ!$A$2:$A$50000,A4684,全馬データ!$B$2:$B$50000,B4684,全馬データ!$C$2:$C$50000,C4684,全馬データ!$D$2:$D$50000,E4684)))</f>
        <v/>
      </c>
      <c r="AP4684" s="8" t="str">
        <f aca="false">IF(A4684="","",IF(AO4684="","欠損",IF(AO4684&lt;=1.1,"1.0～1.1",IF(AO4684&lt;1.3,"1.2",IF(AO4684&lt;1.5,"1.3～1.4",IF(AO4684&lt;2,"1.5～1.9","2.0以上"))))))</f>
        <v/>
      </c>
      <c r="AQ4684" s="8" t="str">
        <f aca="false">IF(A4684="","",IF(ISNUMBER(SEARCH("2歳",Z4684)),"2歳戦",IF(ISNUMBER(SEARCH("3歳未勝利",Z4684)),"3歳未勝利",IF(ISNUMBER(SEARCH("未勝利",Z4684)),"その他未勝利",IF(ISNUMBER(SEARCH("G1",Z4684)),"G1",IF(ISNUMBER(SEARCH("G2",Z4684)),"G2",IF(ISNUMBER(SEARCH("G3",Z4684)),"G3",IF(ISNUMBER(SEARCH("古馬条件",Z4684)),"古馬条件戦",IF(ISNUMBER(SEARCH("重賞",Z4684)),"重賞","分類不能")))))))))</f>
        <v/>
      </c>
    </row>
    <row r="4685" customFormat="false" ht="15.75" hidden="false" customHeight="false" outlineLevel="0" collapsed="false">
      <c r="AO4685" s="8" t="str">
        <f aca="false">IF(A4685="","",IF(COUNTIFS(全馬データ!$A$2:$A$50000,A4685,全馬データ!$B$2:$B$50000,B4685,全馬データ!$C$2:$C$50000,C4685,全馬データ!$D$2:$D$50000,E4685,全馬データ!$K$2:$K$50000,"&lt;&gt;")=0,"",SUMIFS(全馬データ!$K$2:$K$50000,全馬データ!$A$2:$A$50000,A4685,全馬データ!$B$2:$B$50000,B4685,全馬データ!$C$2:$C$50000,C4685,全馬データ!$D$2:$D$50000,E4685)))</f>
        <v/>
      </c>
      <c r="AP4685" s="8" t="str">
        <f aca="false">IF(A4685="","",IF(AO4685="","欠損",IF(AO4685&lt;=1.1,"1.0～1.1",IF(AO4685&lt;1.3,"1.2",IF(AO4685&lt;1.5,"1.3～1.4",IF(AO4685&lt;2,"1.5～1.9","2.0以上"))))))</f>
        <v/>
      </c>
      <c r="AQ4685" s="8" t="str">
        <f aca="false">IF(A4685="","",IF(ISNUMBER(SEARCH("2歳",Z4685)),"2歳戦",IF(ISNUMBER(SEARCH("3歳未勝利",Z4685)),"3歳未勝利",IF(ISNUMBER(SEARCH("未勝利",Z4685)),"その他未勝利",IF(ISNUMBER(SEARCH("G1",Z4685)),"G1",IF(ISNUMBER(SEARCH("G2",Z4685)),"G2",IF(ISNUMBER(SEARCH("G3",Z4685)),"G3",IF(ISNUMBER(SEARCH("古馬条件",Z4685)),"古馬条件戦",IF(ISNUMBER(SEARCH("重賞",Z4685)),"重賞","分類不能")))))))))</f>
        <v/>
      </c>
    </row>
    <row r="4686" customFormat="false" ht="15.75" hidden="false" customHeight="false" outlineLevel="0" collapsed="false">
      <c r="AO4686" s="8" t="str">
        <f aca="false">IF(A4686="","",IF(COUNTIFS(全馬データ!$A$2:$A$50000,A4686,全馬データ!$B$2:$B$50000,B4686,全馬データ!$C$2:$C$50000,C4686,全馬データ!$D$2:$D$50000,E4686,全馬データ!$K$2:$K$50000,"&lt;&gt;")=0,"",SUMIFS(全馬データ!$K$2:$K$50000,全馬データ!$A$2:$A$50000,A4686,全馬データ!$B$2:$B$50000,B4686,全馬データ!$C$2:$C$50000,C4686,全馬データ!$D$2:$D$50000,E4686)))</f>
        <v/>
      </c>
      <c r="AP4686" s="8" t="str">
        <f aca="false">IF(A4686="","",IF(AO4686="","欠損",IF(AO4686&lt;=1.1,"1.0～1.1",IF(AO4686&lt;1.3,"1.2",IF(AO4686&lt;1.5,"1.3～1.4",IF(AO4686&lt;2,"1.5～1.9","2.0以上"))))))</f>
        <v/>
      </c>
      <c r="AQ4686" s="8" t="str">
        <f aca="false">IF(A4686="","",IF(ISNUMBER(SEARCH("2歳",Z4686)),"2歳戦",IF(ISNUMBER(SEARCH("3歳未勝利",Z4686)),"3歳未勝利",IF(ISNUMBER(SEARCH("未勝利",Z4686)),"その他未勝利",IF(ISNUMBER(SEARCH("G1",Z4686)),"G1",IF(ISNUMBER(SEARCH("G2",Z4686)),"G2",IF(ISNUMBER(SEARCH("G3",Z4686)),"G3",IF(ISNUMBER(SEARCH("古馬条件",Z4686)),"古馬条件戦",IF(ISNUMBER(SEARCH("重賞",Z4686)),"重賞","分類不能")))))))))</f>
        <v/>
      </c>
    </row>
    <row r="4687" customFormat="false" ht="15.75" hidden="false" customHeight="false" outlineLevel="0" collapsed="false">
      <c r="AO4687" s="8" t="str">
        <f aca="false">IF(A4687="","",IF(COUNTIFS(全馬データ!$A$2:$A$50000,A4687,全馬データ!$B$2:$B$50000,B4687,全馬データ!$C$2:$C$50000,C4687,全馬データ!$D$2:$D$50000,E4687,全馬データ!$K$2:$K$50000,"&lt;&gt;")=0,"",SUMIFS(全馬データ!$K$2:$K$50000,全馬データ!$A$2:$A$50000,A4687,全馬データ!$B$2:$B$50000,B4687,全馬データ!$C$2:$C$50000,C4687,全馬データ!$D$2:$D$50000,E4687)))</f>
        <v/>
      </c>
      <c r="AP4687" s="8" t="str">
        <f aca="false">IF(A4687="","",IF(AO4687="","欠損",IF(AO4687&lt;=1.1,"1.0～1.1",IF(AO4687&lt;1.3,"1.2",IF(AO4687&lt;1.5,"1.3～1.4",IF(AO4687&lt;2,"1.5～1.9","2.0以上"))))))</f>
        <v/>
      </c>
      <c r="AQ4687" s="8" t="str">
        <f aca="false">IF(A4687="","",IF(ISNUMBER(SEARCH("2歳",Z4687)),"2歳戦",IF(ISNUMBER(SEARCH("3歳未勝利",Z4687)),"3歳未勝利",IF(ISNUMBER(SEARCH("未勝利",Z4687)),"その他未勝利",IF(ISNUMBER(SEARCH("G1",Z4687)),"G1",IF(ISNUMBER(SEARCH("G2",Z4687)),"G2",IF(ISNUMBER(SEARCH("G3",Z4687)),"G3",IF(ISNUMBER(SEARCH("古馬条件",Z4687)),"古馬条件戦",IF(ISNUMBER(SEARCH("重賞",Z4687)),"重賞","分類不能")))))))))</f>
        <v/>
      </c>
    </row>
    <row r="4688" customFormat="false" ht="15.75" hidden="false" customHeight="false" outlineLevel="0" collapsed="false">
      <c r="AO4688" s="8" t="str">
        <f aca="false">IF(A4688="","",IF(COUNTIFS(全馬データ!$A$2:$A$50000,A4688,全馬データ!$B$2:$B$50000,B4688,全馬データ!$C$2:$C$50000,C4688,全馬データ!$D$2:$D$50000,E4688,全馬データ!$K$2:$K$50000,"&lt;&gt;")=0,"",SUMIFS(全馬データ!$K$2:$K$50000,全馬データ!$A$2:$A$50000,A4688,全馬データ!$B$2:$B$50000,B4688,全馬データ!$C$2:$C$50000,C4688,全馬データ!$D$2:$D$50000,E4688)))</f>
        <v/>
      </c>
      <c r="AP4688" s="8" t="str">
        <f aca="false">IF(A4688="","",IF(AO4688="","欠損",IF(AO4688&lt;=1.1,"1.0～1.1",IF(AO4688&lt;1.3,"1.2",IF(AO4688&lt;1.5,"1.3～1.4",IF(AO4688&lt;2,"1.5～1.9","2.0以上"))))))</f>
        <v/>
      </c>
      <c r="AQ4688" s="8" t="str">
        <f aca="false">IF(A4688="","",IF(ISNUMBER(SEARCH("2歳",Z4688)),"2歳戦",IF(ISNUMBER(SEARCH("3歳未勝利",Z4688)),"3歳未勝利",IF(ISNUMBER(SEARCH("未勝利",Z4688)),"その他未勝利",IF(ISNUMBER(SEARCH("G1",Z4688)),"G1",IF(ISNUMBER(SEARCH("G2",Z4688)),"G2",IF(ISNUMBER(SEARCH("G3",Z4688)),"G3",IF(ISNUMBER(SEARCH("古馬条件",Z4688)),"古馬条件戦",IF(ISNUMBER(SEARCH("重賞",Z4688)),"重賞","分類不能")))))))))</f>
        <v/>
      </c>
    </row>
    <row r="4689" customFormat="false" ht="15.75" hidden="false" customHeight="false" outlineLevel="0" collapsed="false">
      <c r="AO4689" s="8" t="str">
        <f aca="false">IF(A4689="","",IF(COUNTIFS(全馬データ!$A$2:$A$50000,A4689,全馬データ!$B$2:$B$50000,B4689,全馬データ!$C$2:$C$50000,C4689,全馬データ!$D$2:$D$50000,E4689,全馬データ!$K$2:$K$50000,"&lt;&gt;")=0,"",SUMIFS(全馬データ!$K$2:$K$50000,全馬データ!$A$2:$A$50000,A4689,全馬データ!$B$2:$B$50000,B4689,全馬データ!$C$2:$C$50000,C4689,全馬データ!$D$2:$D$50000,E4689)))</f>
        <v/>
      </c>
      <c r="AP4689" s="8" t="str">
        <f aca="false">IF(A4689="","",IF(AO4689="","欠損",IF(AO4689&lt;=1.1,"1.0～1.1",IF(AO4689&lt;1.3,"1.2",IF(AO4689&lt;1.5,"1.3～1.4",IF(AO4689&lt;2,"1.5～1.9","2.0以上"))))))</f>
        <v/>
      </c>
      <c r="AQ4689" s="8" t="str">
        <f aca="false">IF(A4689="","",IF(ISNUMBER(SEARCH("2歳",Z4689)),"2歳戦",IF(ISNUMBER(SEARCH("3歳未勝利",Z4689)),"3歳未勝利",IF(ISNUMBER(SEARCH("未勝利",Z4689)),"その他未勝利",IF(ISNUMBER(SEARCH("G1",Z4689)),"G1",IF(ISNUMBER(SEARCH("G2",Z4689)),"G2",IF(ISNUMBER(SEARCH("G3",Z4689)),"G3",IF(ISNUMBER(SEARCH("古馬条件",Z4689)),"古馬条件戦",IF(ISNUMBER(SEARCH("重賞",Z4689)),"重賞","分類不能")))))))))</f>
        <v/>
      </c>
    </row>
    <row r="4690" customFormat="false" ht="15.75" hidden="false" customHeight="false" outlineLevel="0" collapsed="false">
      <c r="AO4690" s="8" t="str">
        <f aca="false">IF(A4690="","",IF(COUNTIFS(全馬データ!$A$2:$A$50000,A4690,全馬データ!$B$2:$B$50000,B4690,全馬データ!$C$2:$C$50000,C4690,全馬データ!$D$2:$D$50000,E4690,全馬データ!$K$2:$K$50000,"&lt;&gt;")=0,"",SUMIFS(全馬データ!$K$2:$K$50000,全馬データ!$A$2:$A$50000,A4690,全馬データ!$B$2:$B$50000,B4690,全馬データ!$C$2:$C$50000,C4690,全馬データ!$D$2:$D$50000,E4690)))</f>
        <v/>
      </c>
      <c r="AP4690" s="8" t="str">
        <f aca="false">IF(A4690="","",IF(AO4690="","欠損",IF(AO4690&lt;=1.1,"1.0～1.1",IF(AO4690&lt;1.3,"1.2",IF(AO4690&lt;1.5,"1.3～1.4",IF(AO4690&lt;2,"1.5～1.9","2.0以上"))))))</f>
        <v/>
      </c>
      <c r="AQ4690" s="8" t="str">
        <f aca="false">IF(A4690="","",IF(ISNUMBER(SEARCH("2歳",Z4690)),"2歳戦",IF(ISNUMBER(SEARCH("3歳未勝利",Z4690)),"3歳未勝利",IF(ISNUMBER(SEARCH("未勝利",Z4690)),"その他未勝利",IF(ISNUMBER(SEARCH("G1",Z4690)),"G1",IF(ISNUMBER(SEARCH("G2",Z4690)),"G2",IF(ISNUMBER(SEARCH("G3",Z4690)),"G3",IF(ISNUMBER(SEARCH("古馬条件",Z4690)),"古馬条件戦",IF(ISNUMBER(SEARCH("重賞",Z4690)),"重賞","分類不能")))))))))</f>
        <v/>
      </c>
    </row>
    <row r="4691" customFormat="false" ht="15.75" hidden="false" customHeight="false" outlineLevel="0" collapsed="false">
      <c r="AO4691" s="8" t="str">
        <f aca="false">IF(A4691="","",IF(COUNTIFS(全馬データ!$A$2:$A$50000,A4691,全馬データ!$B$2:$B$50000,B4691,全馬データ!$C$2:$C$50000,C4691,全馬データ!$D$2:$D$50000,E4691,全馬データ!$K$2:$K$50000,"&lt;&gt;")=0,"",SUMIFS(全馬データ!$K$2:$K$50000,全馬データ!$A$2:$A$50000,A4691,全馬データ!$B$2:$B$50000,B4691,全馬データ!$C$2:$C$50000,C4691,全馬データ!$D$2:$D$50000,E4691)))</f>
        <v/>
      </c>
      <c r="AP4691" s="8" t="str">
        <f aca="false">IF(A4691="","",IF(AO4691="","欠損",IF(AO4691&lt;=1.1,"1.0～1.1",IF(AO4691&lt;1.3,"1.2",IF(AO4691&lt;1.5,"1.3～1.4",IF(AO4691&lt;2,"1.5～1.9","2.0以上"))))))</f>
        <v/>
      </c>
      <c r="AQ4691" s="8" t="str">
        <f aca="false">IF(A4691="","",IF(ISNUMBER(SEARCH("2歳",Z4691)),"2歳戦",IF(ISNUMBER(SEARCH("3歳未勝利",Z4691)),"3歳未勝利",IF(ISNUMBER(SEARCH("未勝利",Z4691)),"その他未勝利",IF(ISNUMBER(SEARCH("G1",Z4691)),"G1",IF(ISNUMBER(SEARCH("G2",Z4691)),"G2",IF(ISNUMBER(SEARCH("G3",Z4691)),"G3",IF(ISNUMBER(SEARCH("古馬条件",Z4691)),"古馬条件戦",IF(ISNUMBER(SEARCH("重賞",Z4691)),"重賞","分類不能")))))))))</f>
        <v/>
      </c>
    </row>
    <row r="4692" customFormat="false" ht="15.75" hidden="false" customHeight="false" outlineLevel="0" collapsed="false">
      <c r="AO4692" s="8" t="str">
        <f aca="false">IF(A4692="","",IF(COUNTIFS(全馬データ!$A$2:$A$50000,A4692,全馬データ!$B$2:$B$50000,B4692,全馬データ!$C$2:$C$50000,C4692,全馬データ!$D$2:$D$50000,E4692,全馬データ!$K$2:$K$50000,"&lt;&gt;")=0,"",SUMIFS(全馬データ!$K$2:$K$50000,全馬データ!$A$2:$A$50000,A4692,全馬データ!$B$2:$B$50000,B4692,全馬データ!$C$2:$C$50000,C4692,全馬データ!$D$2:$D$50000,E4692)))</f>
        <v/>
      </c>
      <c r="AP4692" s="8" t="str">
        <f aca="false">IF(A4692="","",IF(AO4692="","欠損",IF(AO4692&lt;=1.1,"1.0～1.1",IF(AO4692&lt;1.3,"1.2",IF(AO4692&lt;1.5,"1.3～1.4",IF(AO4692&lt;2,"1.5～1.9","2.0以上"))))))</f>
        <v/>
      </c>
      <c r="AQ4692" s="8" t="str">
        <f aca="false">IF(A4692="","",IF(ISNUMBER(SEARCH("2歳",Z4692)),"2歳戦",IF(ISNUMBER(SEARCH("3歳未勝利",Z4692)),"3歳未勝利",IF(ISNUMBER(SEARCH("未勝利",Z4692)),"その他未勝利",IF(ISNUMBER(SEARCH("G1",Z4692)),"G1",IF(ISNUMBER(SEARCH("G2",Z4692)),"G2",IF(ISNUMBER(SEARCH("G3",Z4692)),"G3",IF(ISNUMBER(SEARCH("古馬条件",Z4692)),"古馬条件戦",IF(ISNUMBER(SEARCH("重賞",Z4692)),"重賞","分類不能")))))))))</f>
        <v/>
      </c>
    </row>
    <row r="4693" customFormat="false" ht="15.75" hidden="false" customHeight="false" outlineLevel="0" collapsed="false">
      <c r="AO4693" s="8" t="str">
        <f aca="false">IF(A4693="","",IF(COUNTIFS(全馬データ!$A$2:$A$50000,A4693,全馬データ!$B$2:$B$50000,B4693,全馬データ!$C$2:$C$50000,C4693,全馬データ!$D$2:$D$50000,E4693,全馬データ!$K$2:$K$50000,"&lt;&gt;")=0,"",SUMIFS(全馬データ!$K$2:$K$50000,全馬データ!$A$2:$A$50000,A4693,全馬データ!$B$2:$B$50000,B4693,全馬データ!$C$2:$C$50000,C4693,全馬データ!$D$2:$D$50000,E4693)))</f>
        <v/>
      </c>
      <c r="AP4693" s="8" t="str">
        <f aca="false">IF(A4693="","",IF(AO4693="","欠損",IF(AO4693&lt;=1.1,"1.0～1.1",IF(AO4693&lt;1.3,"1.2",IF(AO4693&lt;1.5,"1.3～1.4",IF(AO4693&lt;2,"1.5～1.9","2.0以上"))))))</f>
        <v/>
      </c>
      <c r="AQ4693" s="8" t="str">
        <f aca="false">IF(A4693="","",IF(ISNUMBER(SEARCH("2歳",Z4693)),"2歳戦",IF(ISNUMBER(SEARCH("3歳未勝利",Z4693)),"3歳未勝利",IF(ISNUMBER(SEARCH("未勝利",Z4693)),"その他未勝利",IF(ISNUMBER(SEARCH("G1",Z4693)),"G1",IF(ISNUMBER(SEARCH("G2",Z4693)),"G2",IF(ISNUMBER(SEARCH("G3",Z4693)),"G3",IF(ISNUMBER(SEARCH("古馬条件",Z4693)),"古馬条件戦",IF(ISNUMBER(SEARCH("重賞",Z4693)),"重賞","分類不能")))))))))</f>
        <v/>
      </c>
    </row>
    <row r="4694" customFormat="false" ht="15.75" hidden="false" customHeight="false" outlineLevel="0" collapsed="false">
      <c r="AO4694" s="8" t="str">
        <f aca="false">IF(A4694="","",IF(COUNTIFS(全馬データ!$A$2:$A$50000,A4694,全馬データ!$B$2:$B$50000,B4694,全馬データ!$C$2:$C$50000,C4694,全馬データ!$D$2:$D$50000,E4694,全馬データ!$K$2:$K$50000,"&lt;&gt;")=0,"",SUMIFS(全馬データ!$K$2:$K$50000,全馬データ!$A$2:$A$50000,A4694,全馬データ!$B$2:$B$50000,B4694,全馬データ!$C$2:$C$50000,C4694,全馬データ!$D$2:$D$50000,E4694)))</f>
        <v/>
      </c>
      <c r="AP4694" s="8" t="str">
        <f aca="false">IF(A4694="","",IF(AO4694="","欠損",IF(AO4694&lt;=1.1,"1.0～1.1",IF(AO4694&lt;1.3,"1.2",IF(AO4694&lt;1.5,"1.3～1.4",IF(AO4694&lt;2,"1.5～1.9","2.0以上"))))))</f>
        <v/>
      </c>
      <c r="AQ4694" s="8" t="str">
        <f aca="false">IF(A4694="","",IF(ISNUMBER(SEARCH("2歳",Z4694)),"2歳戦",IF(ISNUMBER(SEARCH("3歳未勝利",Z4694)),"3歳未勝利",IF(ISNUMBER(SEARCH("未勝利",Z4694)),"その他未勝利",IF(ISNUMBER(SEARCH("G1",Z4694)),"G1",IF(ISNUMBER(SEARCH("G2",Z4694)),"G2",IF(ISNUMBER(SEARCH("G3",Z4694)),"G3",IF(ISNUMBER(SEARCH("古馬条件",Z4694)),"古馬条件戦",IF(ISNUMBER(SEARCH("重賞",Z4694)),"重賞","分類不能")))))))))</f>
        <v/>
      </c>
    </row>
    <row r="4695" customFormat="false" ht="15.75" hidden="false" customHeight="false" outlineLevel="0" collapsed="false">
      <c r="AO4695" s="8" t="str">
        <f aca="false">IF(A4695="","",IF(COUNTIFS(全馬データ!$A$2:$A$50000,A4695,全馬データ!$B$2:$B$50000,B4695,全馬データ!$C$2:$C$50000,C4695,全馬データ!$D$2:$D$50000,E4695,全馬データ!$K$2:$K$50000,"&lt;&gt;")=0,"",SUMIFS(全馬データ!$K$2:$K$50000,全馬データ!$A$2:$A$50000,A4695,全馬データ!$B$2:$B$50000,B4695,全馬データ!$C$2:$C$50000,C4695,全馬データ!$D$2:$D$50000,E4695)))</f>
        <v/>
      </c>
      <c r="AP4695" s="8" t="str">
        <f aca="false">IF(A4695="","",IF(AO4695="","欠損",IF(AO4695&lt;=1.1,"1.0～1.1",IF(AO4695&lt;1.3,"1.2",IF(AO4695&lt;1.5,"1.3～1.4",IF(AO4695&lt;2,"1.5～1.9","2.0以上"))))))</f>
        <v/>
      </c>
      <c r="AQ4695" s="8" t="str">
        <f aca="false">IF(A4695="","",IF(ISNUMBER(SEARCH("2歳",Z4695)),"2歳戦",IF(ISNUMBER(SEARCH("3歳未勝利",Z4695)),"3歳未勝利",IF(ISNUMBER(SEARCH("未勝利",Z4695)),"その他未勝利",IF(ISNUMBER(SEARCH("G1",Z4695)),"G1",IF(ISNUMBER(SEARCH("G2",Z4695)),"G2",IF(ISNUMBER(SEARCH("G3",Z4695)),"G3",IF(ISNUMBER(SEARCH("古馬条件",Z4695)),"古馬条件戦",IF(ISNUMBER(SEARCH("重賞",Z4695)),"重賞","分類不能")))))))))</f>
        <v/>
      </c>
    </row>
    <row r="4696" customFormat="false" ht="15.75" hidden="false" customHeight="false" outlineLevel="0" collapsed="false">
      <c r="AO4696" s="8" t="str">
        <f aca="false">IF(A4696="","",IF(COUNTIFS(全馬データ!$A$2:$A$50000,A4696,全馬データ!$B$2:$B$50000,B4696,全馬データ!$C$2:$C$50000,C4696,全馬データ!$D$2:$D$50000,E4696,全馬データ!$K$2:$K$50000,"&lt;&gt;")=0,"",SUMIFS(全馬データ!$K$2:$K$50000,全馬データ!$A$2:$A$50000,A4696,全馬データ!$B$2:$B$50000,B4696,全馬データ!$C$2:$C$50000,C4696,全馬データ!$D$2:$D$50000,E4696)))</f>
        <v/>
      </c>
      <c r="AP4696" s="8" t="str">
        <f aca="false">IF(A4696="","",IF(AO4696="","欠損",IF(AO4696&lt;=1.1,"1.0～1.1",IF(AO4696&lt;1.3,"1.2",IF(AO4696&lt;1.5,"1.3～1.4",IF(AO4696&lt;2,"1.5～1.9","2.0以上"))))))</f>
        <v/>
      </c>
      <c r="AQ4696" s="8" t="str">
        <f aca="false">IF(A4696="","",IF(ISNUMBER(SEARCH("2歳",Z4696)),"2歳戦",IF(ISNUMBER(SEARCH("3歳未勝利",Z4696)),"3歳未勝利",IF(ISNUMBER(SEARCH("未勝利",Z4696)),"その他未勝利",IF(ISNUMBER(SEARCH("G1",Z4696)),"G1",IF(ISNUMBER(SEARCH("G2",Z4696)),"G2",IF(ISNUMBER(SEARCH("G3",Z4696)),"G3",IF(ISNUMBER(SEARCH("古馬条件",Z4696)),"古馬条件戦",IF(ISNUMBER(SEARCH("重賞",Z4696)),"重賞","分類不能")))))))))</f>
        <v/>
      </c>
    </row>
    <row r="4697" customFormat="false" ht="15.75" hidden="false" customHeight="false" outlineLevel="0" collapsed="false">
      <c r="AO4697" s="8" t="str">
        <f aca="false">IF(A4697="","",IF(COUNTIFS(全馬データ!$A$2:$A$50000,A4697,全馬データ!$B$2:$B$50000,B4697,全馬データ!$C$2:$C$50000,C4697,全馬データ!$D$2:$D$50000,E4697,全馬データ!$K$2:$K$50000,"&lt;&gt;")=0,"",SUMIFS(全馬データ!$K$2:$K$50000,全馬データ!$A$2:$A$50000,A4697,全馬データ!$B$2:$B$50000,B4697,全馬データ!$C$2:$C$50000,C4697,全馬データ!$D$2:$D$50000,E4697)))</f>
        <v/>
      </c>
      <c r="AP4697" s="8" t="str">
        <f aca="false">IF(A4697="","",IF(AO4697="","欠損",IF(AO4697&lt;=1.1,"1.0～1.1",IF(AO4697&lt;1.3,"1.2",IF(AO4697&lt;1.5,"1.3～1.4",IF(AO4697&lt;2,"1.5～1.9","2.0以上"))))))</f>
        <v/>
      </c>
      <c r="AQ4697" s="8" t="str">
        <f aca="false">IF(A4697="","",IF(ISNUMBER(SEARCH("2歳",Z4697)),"2歳戦",IF(ISNUMBER(SEARCH("3歳未勝利",Z4697)),"3歳未勝利",IF(ISNUMBER(SEARCH("未勝利",Z4697)),"その他未勝利",IF(ISNUMBER(SEARCH("G1",Z4697)),"G1",IF(ISNUMBER(SEARCH("G2",Z4697)),"G2",IF(ISNUMBER(SEARCH("G3",Z4697)),"G3",IF(ISNUMBER(SEARCH("古馬条件",Z4697)),"古馬条件戦",IF(ISNUMBER(SEARCH("重賞",Z4697)),"重賞","分類不能")))))))))</f>
        <v/>
      </c>
    </row>
    <row r="4698" customFormat="false" ht="15.75" hidden="false" customHeight="false" outlineLevel="0" collapsed="false">
      <c r="AO4698" s="8" t="str">
        <f aca="false">IF(A4698="","",IF(COUNTIFS(全馬データ!$A$2:$A$50000,A4698,全馬データ!$B$2:$B$50000,B4698,全馬データ!$C$2:$C$50000,C4698,全馬データ!$D$2:$D$50000,E4698,全馬データ!$K$2:$K$50000,"&lt;&gt;")=0,"",SUMIFS(全馬データ!$K$2:$K$50000,全馬データ!$A$2:$A$50000,A4698,全馬データ!$B$2:$B$50000,B4698,全馬データ!$C$2:$C$50000,C4698,全馬データ!$D$2:$D$50000,E4698)))</f>
        <v/>
      </c>
      <c r="AP4698" s="8" t="str">
        <f aca="false">IF(A4698="","",IF(AO4698="","欠損",IF(AO4698&lt;=1.1,"1.0～1.1",IF(AO4698&lt;1.3,"1.2",IF(AO4698&lt;1.5,"1.3～1.4",IF(AO4698&lt;2,"1.5～1.9","2.0以上"))))))</f>
        <v/>
      </c>
      <c r="AQ4698" s="8" t="str">
        <f aca="false">IF(A4698="","",IF(ISNUMBER(SEARCH("2歳",Z4698)),"2歳戦",IF(ISNUMBER(SEARCH("3歳未勝利",Z4698)),"3歳未勝利",IF(ISNUMBER(SEARCH("未勝利",Z4698)),"その他未勝利",IF(ISNUMBER(SEARCH("G1",Z4698)),"G1",IF(ISNUMBER(SEARCH("G2",Z4698)),"G2",IF(ISNUMBER(SEARCH("G3",Z4698)),"G3",IF(ISNUMBER(SEARCH("古馬条件",Z4698)),"古馬条件戦",IF(ISNUMBER(SEARCH("重賞",Z4698)),"重賞","分類不能")))))))))</f>
        <v/>
      </c>
    </row>
    <row r="4699" customFormat="false" ht="15.75" hidden="false" customHeight="false" outlineLevel="0" collapsed="false">
      <c r="AO4699" s="8" t="str">
        <f aca="false">IF(A4699="","",IF(COUNTIFS(全馬データ!$A$2:$A$50000,A4699,全馬データ!$B$2:$B$50000,B4699,全馬データ!$C$2:$C$50000,C4699,全馬データ!$D$2:$D$50000,E4699,全馬データ!$K$2:$K$50000,"&lt;&gt;")=0,"",SUMIFS(全馬データ!$K$2:$K$50000,全馬データ!$A$2:$A$50000,A4699,全馬データ!$B$2:$B$50000,B4699,全馬データ!$C$2:$C$50000,C4699,全馬データ!$D$2:$D$50000,E4699)))</f>
        <v/>
      </c>
      <c r="AP4699" s="8" t="str">
        <f aca="false">IF(A4699="","",IF(AO4699="","欠損",IF(AO4699&lt;=1.1,"1.0～1.1",IF(AO4699&lt;1.3,"1.2",IF(AO4699&lt;1.5,"1.3～1.4",IF(AO4699&lt;2,"1.5～1.9","2.0以上"))))))</f>
        <v/>
      </c>
      <c r="AQ4699" s="8" t="str">
        <f aca="false">IF(A4699="","",IF(ISNUMBER(SEARCH("2歳",Z4699)),"2歳戦",IF(ISNUMBER(SEARCH("3歳未勝利",Z4699)),"3歳未勝利",IF(ISNUMBER(SEARCH("未勝利",Z4699)),"その他未勝利",IF(ISNUMBER(SEARCH("G1",Z4699)),"G1",IF(ISNUMBER(SEARCH("G2",Z4699)),"G2",IF(ISNUMBER(SEARCH("G3",Z4699)),"G3",IF(ISNUMBER(SEARCH("古馬条件",Z4699)),"古馬条件戦",IF(ISNUMBER(SEARCH("重賞",Z4699)),"重賞","分類不能")))))))))</f>
        <v/>
      </c>
    </row>
    <row r="4700" customFormat="false" ht="15.75" hidden="false" customHeight="false" outlineLevel="0" collapsed="false">
      <c r="AO4700" s="8" t="str">
        <f aca="false">IF(A4700="","",IF(COUNTIFS(全馬データ!$A$2:$A$50000,A4700,全馬データ!$B$2:$B$50000,B4700,全馬データ!$C$2:$C$50000,C4700,全馬データ!$D$2:$D$50000,E4700,全馬データ!$K$2:$K$50000,"&lt;&gt;")=0,"",SUMIFS(全馬データ!$K$2:$K$50000,全馬データ!$A$2:$A$50000,A4700,全馬データ!$B$2:$B$50000,B4700,全馬データ!$C$2:$C$50000,C4700,全馬データ!$D$2:$D$50000,E4700)))</f>
        <v/>
      </c>
      <c r="AP4700" s="8" t="str">
        <f aca="false">IF(A4700="","",IF(AO4700="","欠損",IF(AO4700&lt;=1.1,"1.0～1.1",IF(AO4700&lt;1.3,"1.2",IF(AO4700&lt;1.5,"1.3～1.4",IF(AO4700&lt;2,"1.5～1.9","2.0以上"))))))</f>
        <v/>
      </c>
      <c r="AQ4700" s="8" t="str">
        <f aca="false">IF(A4700="","",IF(ISNUMBER(SEARCH("2歳",Z4700)),"2歳戦",IF(ISNUMBER(SEARCH("3歳未勝利",Z4700)),"3歳未勝利",IF(ISNUMBER(SEARCH("未勝利",Z4700)),"その他未勝利",IF(ISNUMBER(SEARCH("G1",Z4700)),"G1",IF(ISNUMBER(SEARCH("G2",Z4700)),"G2",IF(ISNUMBER(SEARCH("G3",Z4700)),"G3",IF(ISNUMBER(SEARCH("古馬条件",Z4700)),"古馬条件戦",IF(ISNUMBER(SEARCH("重賞",Z4700)),"重賞","分類不能")))))))))</f>
        <v/>
      </c>
    </row>
    <row r="4701" customFormat="false" ht="15.75" hidden="false" customHeight="false" outlineLevel="0" collapsed="false">
      <c r="AO4701" s="8" t="str">
        <f aca="false">IF(A4701="","",IF(COUNTIFS(全馬データ!$A$2:$A$50000,A4701,全馬データ!$B$2:$B$50000,B4701,全馬データ!$C$2:$C$50000,C4701,全馬データ!$D$2:$D$50000,E4701,全馬データ!$K$2:$K$50000,"&lt;&gt;")=0,"",SUMIFS(全馬データ!$K$2:$K$50000,全馬データ!$A$2:$A$50000,A4701,全馬データ!$B$2:$B$50000,B4701,全馬データ!$C$2:$C$50000,C4701,全馬データ!$D$2:$D$50000,E4701)))</f>
        <v/>
      </c>
      <c r="AP4701" s="8" t="str">
        <f aca="false">IF(A4701="","",IF(AO4701="","欠損",IF(AO4701&lt;=1.1,"1.0～1.1",IF(AO4701&lt;1.3,"1.2",IF(AO4701&lt;1.5,"1.3～1.4",IF(AO4701&lt;2,"1.5～1.9","2.0以上"))))))</f>
        <v/>
      </c>
      <c r="AQ4701" s="8" t="str">
        <f aca="false">IF(A4701="","",IF(ISNUMBER(SEARCH("2歳",Z4701)),"2歳戦",IF(ISNUMBER(SEARCH("3歳未勝利",Z4701)),"3歳未勝利",IF(ISNUMBER(SEARCH("未勝利",Z4701)),"その他未勝利",IF(ISNUMBER(SEARCH("G1",Z4701)),"G1",IF(ISNUMBER(SEARCH("G2",Z4701)),"G2",IF(ISNUMBER(SEARCH("G3",Z4701)),"G3",IF(ISNUMBER(SEARCH("古馬条件",Z4701)),"古馬条件戦",IF(ISNUMBER(SEARCH("重賞",Z4701)),"重賞","分類不能")))))))))</f>
        <v/>
      </c>
    </row>
    <row r="4702" customFormat="false" ht="15.75" hidden="false" customHeight="false" outlineLevel="0" collapsed="false">
      <c r="AO4702" s="8" t="str">
        <f aca="false">IF(A4702="","",IF(COUNTIFS(全馬データ!$A$2:$A$50000,A4702,全馬データ!$B$2:$B$50000,B4702,全馬データ!$C$2:$C$50000,C4702,全馬データ!$D$2:$D$50000,E4702,全馬データ!$K$2:$K$50000,"&lt;&gt;")=0,"",SUMIFS(全馬データ!$K$2:$K$50000,全馬データ!$A$2:$A$50000,A4702,全馬データ!$B$2:$B$50000,B4702,全馬データ!$C$2:$C$50000,C4702,全馬データ!$D$2:$D$50000,E4702)))</f>
        <v/>
      </c>
      <c r="AP4702" s="8" t="str">
        <f aca="false">IF(A4702="","",IF(AO4702="","欠損",IF(AO4702&lt;=1.1,"1.0～1.1",IF(AO4702&lt;1.3,"1.2",IF(AO4702&lt;1.5,"1.3～1.4",IF(AO4702&lt;2,"1.5～1.9","2.0以上"))))))</f>
        <v/>
      </c>
      <c r="AQ4702" s="8" t="str">
        <f aca="false">IF(A4702="","",IF(ISNUMBER(SEARCH("2歳",Z4702)),"2歳戦",IF(ISNUMBER(SEARCH("3歳未勝利",Z4702)),"3歳未勝利",IF(ISNUMBER(SEARCH("未勝利",Z4702)),"その他未勝利",IF(ISNUMBER(SEARCH("G1",Z4702)),"G1",IF(ISNUMBER(SEARCH("G2",Z4702)),"G2",IF(ISNUMBER(SEARCH("G3",Z4702)),"G3",IF(ISNUMBER(SEARCH("古馬条件",Z4702)),"古馬条件戦",IF(ISNUMBER(SEARCH("重賞",Z4702)),"重賞","分類不能")))))))))</f>
        <v/>
      </c>
    </row>
    <row r="4703" customFormat="false" ht="15.75" hidden="false" customHeight="false" outlineLevel="0" collapsed="false">
      <c r="AO4703" s="8" t="str">
        <f aca="false">IF(A4703="","",IF(COUNTIFS(全馬データ!$A$2:$A$50000,A4703,全馬データ!$B$2:$B$50000,B4703,全馬データ!$C$2:$C$50000,C4703,全馬データ!$D$2:$D$50000,E4703,全馬データ!$K$2:$K$50000,"&lt;&gt;")=0,"",SUMIFS(全馬データ!$K$2:$K$50000,全馬データ!$A$2:$A$50000,A4703,全馬データ!$B$2:$B$50000,B4703,全馬データ!$C$2:$C$50000,C4703,全馬データ!$D$2:$D$50000,E4703)))</f>
        <v/>
      </c>
      <c r="AP4703" s="8" t="str">
        <f aca="false">IF(A4703="","",IF(AO4703="","欠損",IF(AO4703&lt;=1.1,"1.0～1.1",IF(AO4703&lt;1.3,"1.2",IF(AO4703&lt;1.5,"1.3～1.4",IF(AO4703&lt;2,"1.5～1.9","2.0以上"))))))</f>
        <v/>
      </c>
      <c r="AQ4703" s="8" t="str">
        <f aca="false">IF(A4703="","",IF(ISNUMBER(SEARCH("2歳",Z4703)),"2歳戦",IF(ISNUMBER(SEARCH("3歳未勝利",Z4703)),"3歳未勝利",IF(ISNUMBER(SEARCH("未勝利",Z4703)),"その他未勝利",IF(ISNUMBER(SEARCH("G1",Z4703)),"G1",IF(ISNUMBER(SEARCH("G2",Z4703)),"G2",IF(ISNUMBER(SEARCH("G3",Z4703)),"G3",IF(ISNUMBER(SEARCH("古馬条件",Z4703)),"古馬条件戦",IF(ISNUMBER(SEARCH("重賞",Z4703)),"重賞","分類不能")))))))))</f>
        <v/>
      </c>
    </row>
    <row r="4704" customFormat="false" ht="15.75" hidden="false" customHeight="false" outlineLevel="0" collapsed="false">
      <c r="AO4704" s="8" t="str">
        <f aca="false">IF(A4704="","",IF(COUNTIFS(全馬データ!$A$2:$A$50000,A4704,全馬データ!$B$2:$B$50000,B4704,全馬データ!$C$2:$C$50000,C4704,全馬データ!$D$2:$D$50000,E4704,全馬データ!$K$2:$K$50000,"&lt;&gt;")=0,"",SUMIFS(全馬データ!$K$2:$K$50000,全馬データ!$A$2:$A$50000,A4704,全馬データ!$B$2:$B$50000,B4704,全馬データ!$C$2:$C$50000,C4704,全馬データ!$D$2:$D$50000,E4704)))</f>
        <v/>
      </c>
      <c r="AP4704" s="8" t="str">
        <f aca="false">IF(A4704="","",IF(AO4704="","欠損",IF(AO4704&lt;=1.1,"1.0～1.1",IF(AO4704&lt;1.3,"1.2",IF(AO4704&lt;1.5,"1.3～1.4",IF(AO4704&lt;2,"1.5～1.9","2.0以上"))))))</f>
        <v/>
      </c>
      <c r="AQ4704" s="8" t="str">
        <f aca="false">IF(A4704="","",IF(ISNUMBER(SEARCH("2歳",Z4704)),"2歳戦",IF(ISNUMBER(SEARCH("3歳未勝利",Z4704)),"3歳未勝利",IF(ISNUMBER(SEARCH("未勝利",Z4704)),"その他未勝利",IF(ISNUMBER(SEARCH("G1",Z4704)),"G1",IF(ISNUMBER(SEARCH("G2",Z4704)),"G2",IF(ISNUMBER(SEARCH("G3",Z4704)),"G3",IF(ISNUMBER(SEARCH("古馬条件",Z4704)),"古馬条件戦",IF(ISNUMBER(SEARCH("重賞",Z4704)),"重賞","分類不能")))))))))</f>
        <v/>
      </c>
    </row>
    <row r="4705" customFormat="false" ht="15.75" hidden="false" customHeight="false" outlineLevel="0" collapsed="false">
      <c r="AO4705" s="8" t="str">
        <f aca="false">IF(A4705="","",IF(COUNTIFS(全馬データ!$A$2:$A$50000,A4705,全馬データ!$B$2:$B$50000,B4705,全馬データ!$C$2:$C$50000,C4705,全馬データ!$D$2:$D$50000,E4705,全馬データ!$K$2:$K$50000,"&lt;&gt;")=0,"",SUMIFS(全馬データ!$K$2:$K$50000,全馬データ!$A$2:$A$50000,A4705,全馬データ!$B$2:$B$50000,B4705,全馬データ!$C$2:$C$50000,C4705,全馬データ!$D$2:$D$50000,E4705)))</f>
        <v/>
      </c>
      <c r="AP4705" s="8" t="str">
        <f aca="false">IF(A4705="","",IF(AO4705="","欠損",IF(AO4705&lt;=1.1,"1.0～1.1",IF(AO4705&lt;1.3,"1.2",IF(AO4705&lt;1.5,"1.3～1.4",IF(AO4705&lt;2,"1.5～1.9","2.0以上"))))))</f>
        <v/>
      </c>
      <c r="AQ4705" s="8" t="str">
        <f aca="false">IF(A4705="","",IF(ISNUMBER(SEARCH("2歳",Z4705)),"2歳戦",IF(ISNUMBER(SEARCH("3歳未勝利",Z4705)),"3歳未勝利",IF(ISNUMBER(SEARCH("未勝利",Z4705)),"その他未勝利",IF(ISNUMBER(SEARCH("G1",Z4705)),"G1",IF(ISNUMBER(SEARCH("G2",Z4705)),"G2",IF(ISNUMBER(SEARCH("G3",Z4705)),"G3",IF(ISNUMBER(SEARCH("古馬条件",Z4705)),"古馬条件戦",IF(ISNUMBER(SEARCH("重賞",Z4705)),"重賞","分類不能")))))))))</f>
        <v/>
      </c>
    </row>
    <row r="4706" customFormat="false" ht="15.75" hidden="false" customHeight="false" outlineLevel="0" collapsed="false">
      <c r="AO4706" s="8" t="str">
        <f aca="false">IF(A4706="","",IF(COUNTIFS(全馬データ!$A$2:$A$50000,A4706,全馬データ!$B$2:$B$50000,B4706,全馬データ!$C$2:$C$50000,C4706,全馬データ!$D$2:$D$50000,E4706,全馬データ!$K$2:$K$50000,"&lt;&gt;")=0,"",SUMIFS(全馬データ!$K$2:$K$50000,全馬データ!$A$2:$A$50000,A4706,全馬データ!$B$2:$B$50000,B4706,全馬データ!$C$2:$C$50000,C4706,全馬データ!$D$2:$D$50000,E4706)))</f>
        <v/>
      </c>
      <c r="AP4706" s="8" t="str">
        <f aca="false">IF(A4706="","",IF(AO4706="","欠損",IF(AO4706&lt;=1.1,"1.0～1.1",IF(AO4706&lt;1.3,"1.2",IF(AO4706&lt;1.5,"1.3～1.4",IF(AO4706&lt;2,"1.5～1.9","2.0以上"))))))</f>
        <v/>
      </c>
      <c r="AQ4706" s="8" t="str">
        <f aca="false">IF(A4706="","",IF(ISNUMBER(SEARCH("2歳",Z4706)),"2歳戦",IF(ISNUMBER(SEARCH("3歳未勝利",Z4706)),"3歳未勝利",IF(ISNUMBER(SEARCH("未勝利",Z4706)),"その他未勝利",IF(ISNUMBER(SEARCH("G1",Z4706)),"G1",IF(ISNUMBER(SEARCH("G2",Z4706)),"G2",IF(ISNUMBER(SEARCH("G3",Z4706)),"G3",IF(ISNUMBER(SEARCH("古馬条件",Z4706)),"古馬条件戦",IF(ISNUMBER(SEARCH("重賞",Z4706)),"重賞","分類不能")))))))))</f>
        <v/>
      </c>
    </row>
    <row r="4707" customFormat="false" ht="15.75" hidden="false" customHeight="false" outlineLevel="0" collapsed="false">
      <c r="AO4707" s="8" t="str">
        <f aca="false">IF(A4707="","",IF(COUNTIFS(全馬データ!$A$2:$A$50000,A4707,全馬データ!$B$2:$B$50000,B4707,全馬データ!$C$2:$C$50000,C4707,全馬データ!$D$2:$D$50000,E4707,全馬データ!$K$2:$K$50000,"&lt;&gt;")=0,"",SUMIFS(全馬データ!$K$2:$K$50000,全馬データ!$A$2:$A$50000,A4707,全馬データ!$B$2:$B$50000,B4707,全馬データ!$C$2:$C$50000,C4707,全馬データ!$D$2:$D$50000,E4707)))</f>
        <v/>
      </c>
      <c r="AP4707" s="8" t="str">
        <f aca="false">IF(A4707="","",IF(AO4707="","欠損",IF(AO4707&lt;=1.1,"1.0～1.1",IF(AO4707&lt;1.3,"1.2",IF(AO4707&lt;1.5,"1.3～1.4",IF(AO4707&lt;2,"1.5～1.9","2.0以上"))))))</f>
        <v/>
      </c>
      <c r="AQ4707" s="8" t="str">
        <f aca="false">IF(A4707="","",IF(ISNUMBER(SEARCH("2歳",Z4707)),"2歳戦",IF(ISNUMBER(SEARCH("3歳未勝利",Z4707)),"3歳未勝利",IF(ISNUMBER(SEARCH("未勝利",Z4707)),"その他未勝利",IF(ISNUMBER(SEARCH("G1",Z4707)),"G1",IF(ISNUMBER(SEARCH("G2",Z4707)),"G2",IF(ISNUMBER(SEARCH("G3",Z4707)),"G3",IF(ISNUMBER(SEARCH("古馬条件",Z4707)),"古馬条件戦",IF(ISNUMBER(SEARCH("重賞",Z4707)),"重賞","分類不能")))))))))</f>
        <v/>
      </c>
    </row>
    <row r="4708" customFormat="false" ht="15.75" hidden="false" customHeight="false" outlineLevel="0" collapsed="false">
      <c r="AO4708" s="8" t="str">
        <f aca="false">IF(A4708="","",IF(COUNTIFS(全馬データ!$A$2:$A$50000,A4708,全馬データ!$B$2:$B$50000,B4708,全馬データ!$C$2:$C$50000,C4708,全馬データ!$D$2:$D$50000,E4708,全馬データ!$K$2:$K$50000,"&lt;&gt;")=0,"",SUMIFS(全馬データ!$K$2:$K$50000,全馬データ!$A$2:$A$50000,A4708,全馬データ!$B$2:$B$50000,B4708,全馬データ!$C$2:$C$50000,C4708,全馬データ!$D$2:$D$50000,E4708)))</f>
        <v/>
      </c>
      <c r="AP4708" s="8" t="str">
        <f aca="false">IF(A4708="","",IF(AO4708="","欠損",IF(AO4708&lt;=1.1,"1.0～1.1",IF(AO4708&lt;1.3,"1.2",IF(AO4708&lt;1.5,"1.3～1.4",IF(AO4708&lt;2,"1.5～1.9","2.0以上"))))))</f>
        <v/>
      </c>
      <c r="AQ4708" s="8" t="str">
        <f aca="false">IF(A4708="","",IF(ISNUMBER(SEARCH("2歳",Z4708)),"2歳戦",IF(ISNUMBER(SEARCH("3歳未勝利",Z4708)),"3歳未勝利",IF(ISNUMBER(SEARCH("未勝利",Z4708)),"その他未勝利",IF(ISNUMBER(SEARCH("G1",Z4708)),"G1",IF(ISNUMBER(SEARCH("G2",Z4708)),"G2",IF(ISNUMBER(SEARCH("G3",Z4708)),"G3",IF(ISNUMBER(SEARCH("古馬条件",Z4708)),"古馬条件戦",IF(ISNUMBER(SEARCH("重賞",Z4708)),"重賞","分類不能")))))))))</f>
        <v/>
      </c>
    </row>
    <row r="4709" customFormat="false" ht="15.75" hidden="false" customHeight="false" outlineLevel="0" collapsed="false">
      <c r="AO4709" s="8" t="str">
        <f aca="false">IF(A4709="","",IF(COUNTIFS(全馬データ!$A$2:$A$50000,A4709,全馬データ!$B$2:$B$50000,B4709,全馬データ!$C$2:$C$50000,C4709,全馬データ!$D$2:$D$50000,E4709,全馬データ!$K$2:$K$50000,"&lt;&gt;")=0,"",SUMIFS(全馬データ!$K$2:$K$50000,全馬データ!$A$2:$A$50000,A4709,全馬データ!$B$2:$B$50000,B4709,全馬データ!$C$2:$C$50000,C4709,全馬データ!$D$2:$D$50000,E4709)))</f>
        <v/>
      </c>
      <c r="AP4709" s="8" t="str">
        <f aca="false">IF(A4709="","",IF(AO4709="","欠損",IF(AO4709&lt;=1.1,"1.0～1.1",IF(AO4709&lt;1.3,"1.2",IF(AO4709&lt;1.5,"1.3～1.4",IF(AO4709&lt;2,"1.5～1.9","2.0以上"))))))</f>
        <v/>
      </c>
      <c r="AQ4709" s="8" t="str">
        <f aca="false">IF(A4709="","",IF(ISNUMBER(SEARCH("2歳",Z4709)),"2歳戦",IF(ISNUMBER(SEARCH("3歳未勝利",Z4709)),"3歳未勝利",IF(ISNUMBER(SEARCH("未勝利",Z4709)),"その他未勝利",IF(ISNUMBER(SEARCH("G1",Z4709)),"G1",IF(ISNUMBER(SEARCH("G2",Z4709)),"G2",IF(ISNUMBER(SEARCH("G3",Z4709)),"G3",IF(ISNUMBER(SEARCH("古馬条件",Z4709)),"古馬条件戦",IF(ISNUMBER(SEARCH("重賞",Z4709)),"重賞","分類不能")))))))))</f>
        <v/>
      </c>
    </row>
    <row r="4710" customFormat="false" ht="15.75" hidden="false" customHeight="false" outlineLevel="0" collapsed="false">
      <c r="AO4710" s="8" t="str">
        <f aca="false">IF(A4710="","",IF(COUNTIFS(全馬データ!$A$2:$A$50000,A4710,全馬データ!$B$2:$B$50000,B4710,全馬データ!$C$2:$C$50000,C4710,全馬データ!$D$2:$D$50000,E4710,全馬データ!$K$2:$K$50000,"&lt;&gt;")=0,"",SUMIFS(全馬データ!$K$2:$K$50000,全馬データ!$A$2:$A$50000,A4710,全馬データ!$B$2:$B$50000,B4710,全馬データ!$C$2:$C$50000,C4710,全馬データ!$D$2:$D$50000,E4710)))</f>
        <v/>
      </c>
      <c r="AP4710" s="8" t="str">
        <f aca="false">IF(A4710="","",IF(AO4710="","欠損",IF(AO4710&lt;=1.1,"1.0～1.1",IF(AO4710&lt;1.3,"1.2",IF(AO4710&lt;1.5,"1.3～1.4",IF(AO4710&lt;2,"1.5～1.9","2.0以上"))))))</f>
        <v/>
      </c>
      <c r="AQ4710" s="8" t="str">
        <f aca="false">IF(A4710="","",IF(ISNUMBER(SEARCH("2歳",Z4710)),"2歳戦",IF(ISNUMBER(SEARCH("3歳未勝利",Z4710)),"3歳未勝利",IF(ISNUMBER(SEARCH("未勝利",Z4710)),"その他未勝利",IF(ISNUMBER(SEARCH("G1",Z4710)),"G1",IF(ISNUMBER(SEARCH("G2",Z4710)),"G2",IF(ISNUMBER(SEARCH("G3",Z4710)),"G3",IF(ISNUMBER(SEARCH("古馬条件",Z4710)),"古馬条件戦",IF(ISNUMBER(SEARCH("重賞",Z4710)),"重賞","分類不能")))))))))</f>
        <v/>
      </c>
    </row>
    <row r="4711" customFormat="false" ht="15.75" hidden="false" customHeight="false" outlineLevel="0" collapsed="false">
      <c r="AO4711" s="8" t="str">
        <f aca="false">IF(A4711="","",IF(COUNTIFS(全馬データ!$A$2:$A$50000,A4711,全馬データ!$B$2:$B$50000,B4711,全馬データ!$C$2:$C$50000,C4711,全馬データ!$D$2:$D$50000,E4711,全馬データ!$K$2:$K$50000,"&lt;&gt;")=0,"",SUMIFS(全馬データ!$K$2:$K$50000,全馬データ!$A$2:$A$50000,A4711,全馬データ!$B$2:$B$50000,B4711,全馬データ!$C$2:$C$50000,C4711,全馬データ!$D$2:$D$50000,E4711)))</f>
        <v/>
      </c>
      <c r="AP4711" s="8" t="str">
        <f aca="false">IF(A4711="","",IF(AO4711="","欠損",IF(AO4711&lt;=1.1,"1.0～1.1",IF(AO4711&lt;1.3,"1.2",IF(AO4711&lt;1.5,"1.3～1.4",IF(AO4711&lt;2,"1.5～1.9","2.0以上"))))))</f>
        <v/>
      </c>
      <c r="AQ4711" s="8" t="str">
        <f aca="false">IF(A4711="","",IF(ISNUMBER(SEARCH("2歳",Z4711)),"2歳戦",IF(ISNUMBER(SEARCH("3歳未勝利",Z4711)),"3歳未勝利",IF(ISNUMBER(SEARCH("未勝利",Z4711)),"その他未勝利",IF(ISNUMBER(SEARCH("G1",Z4711)),"G1",IF(ISNUMBER(SEARCH("G2",Z4711)),"G2",IF(ISNUMBER(SEARCH("G3",Z4711)),"G3",IF(ISNUMBER(SEARCH("古馬条件",Z4711)),"古馬条件戦",IF(ISNUMBER(SEARCH("重賞",Z4711)),"重賞","分類不能")))))))))</f>
        <v/>
      </c>
    </row>
    <row r="4712" customFormat="false" ht="15.75" hidden="false" customHeight="false" outlineLevel="0" collapsed="false">
      <c r="AO4712" s="8" t="str">
        <f aca="false">IF(A4712="","",IF(COUNTIFS(全馬データ!$A$2:$A$50000,A4712,全馬データ!$B$2:$B$50000,B4712,全馬データ!$C$2:$C$50000,C4712,全馬データ!$D$2:$D$50000,E4712,全馬データ!$K$2:$K$50000,"&lt;&gt;")=0,"",SUMIFS(全馬データ!$K$2:$K$50000,全馬データ!$A$2:$A$50000,A4712,全馬データ!$B$2:$B$50000,B4712,全馬データ!$C$2:$C$50000,C4712,全馬データ!$D$2:$D$50000,E4712)))</f>
        <v/>
      </c>
      <c r="AP4712" s="8" t="str">
        <f aca="false">IF(A4712="","",IF(AO4712="","欠損",IF(AO4712&lt;=1.1,"1.0～1.1",IF(AO4712&lt;1.3,"1.2",IF(AO4712&lt;1.5,"1.3～1.4",IF(AO4712&lt;2,"1.5～1.9","2.0以上"))))))</f>
        <v/>
      </c>
      <c r="AQ4712" s="8" t="str">
        <f aca="false">IF(A4712="","",IF(ISNUMBER(SEARCH("2歳",Z4712)),"2歳戦",IF(ISNUMBER(SEARCH("3歳未勝利",Z4712)),"3歳未勝利",IF(ISNUMBER(SEARCH("未勝利",Z4712)),"その他未勝利",IF(ISNUMBER(SEARCH("G1",Z4712)),"G1",IF(ISNUMBER(SEARCH("G2",Z4712)),"G2",IF(ISNUMBER(SEARCH("G3",Z4712)),"G3",IF(ISNUMBER(SEARCH("古馬条件",Z4712)),"古馬条件戦",IF(ISNUMBER(SEARCH("重賞",Z4712)),"重賞","分類不能")))))))))</f>
        <v/>
      </c>
    </row>
    <row r="4713" customFormat="false" ht="15.75" hidden="false" customHeight="false" outlineLevel="0" collapsed="false">
      <c r="AO4713" s="8" t="str">
        <f aca="false">IF(A4713="","",IF(COUNTIFS(全馬データ!$A$2:$A$50000,A4713,全馬データ!$B$2:$B$50000,B4713,全馬データ!$C$2:$C$50000,C4713,全馬データ!$D$2:$D$50000,E4713,全馬データ!$K$2:$K$50000,"&lt;&gt;")=0,"",SUMIFS(全馬データ!$K$2:$K$50000,全馬データ!$A$2:$A$50000,A4713,全馬データ!$B$2:$B$50000,B4713,全馬データ!$C$2:$C$50000,C4713,全馬データ!$D$2:$D$50000,E4713)))</f>
        <v/>
      </c>
      <c r="AP4713" s="8" t="str">
        <f aca="false">IF(A4713="","",IF(AO4713="","欠損",IF(AO4713&lt;=1.1,"1.0～1.1",IF(AO4713&lt;1.3,"1.2",IF(AO4713&lt;1.5,"1.3～1.4",IF(AO4713&lt;2,"1.5～1.9","2.0以上"))))))</f>
        <v/>
      </c>
      <c r="AQ4713" s="8" t="str">
        <f aca="false">IF(A4713="","",IF(ISNUMBER(SEARCH("2歳",Z4713)),"2歳戦",IF(ISNUMBER(SEARCH("3歳未勝利",Z4713)),"3歳未勝利",IF(ISNUMBER(SEARCH("未勝利",Z4713)),"その他未勝利",IF(ISNUMBER(SEARCH("G1",Z4713)),"G1",IF(ISNUMBER(SEARCH("G2",Z4713)),"G2",IF(ISNUMBER(SEARCH("G3",Z4713)),"G3",IF(ISNUMBER(SEARCH("古馬条件",Z4713)),"古馬条件戦",IF(ISNUMBER(SEARCH("重賞",Z4713)),"重賞","分類不能")))))))))</f>
        <v/>
      </c>
    </row>
    <row r="4714" customFormat="false" ht="15.75" hidden="false" customHeight="false" outlineLevel="0" collapsed="false">
      <c r="AO4714" s="8" t="str">
        <f aca="false">IF(A4714="","",IF(COUNTIFS(全馬データ!$A$2:$A$50000,A4714,全馬データ!$B$2:$B$50000,B4714,全馬データ!$C$2:$C$50000,C4714,全馬データ!$D$2:$D$50000,E4714,全馬データ!$K$2:$K$50000,"&lt;&gt;")=0,"",SUMIFS(全馬データ!$K$2:$K$50000,全馬データ!$A$2:$A$50000,A4714,全馬データ!$B$2:$B$50000,B4714,全馬データ!$C$2:$C$50000,C4714,全馬データ!$D$2:$D$50000,E4714)))</f>
        <v/>
      </c>
      <c r="AP4714" s="8" t="str">
        <f aca="false">IF(A4714="","",IF(AO4714="","欠損",IF(AO4714&lt;=1.1,"1.0～1.1",IF(AO4714&lt;1.3,"1.2",IF(AO4714&lt;1.5,"1.3～1.4",IF(AO4714&lt;2,"1.5～1.9","2.0以上"))))))</f>
        <v/>
      </c>
      <c r="AQ4714" s="8" t="str">
        <f aca="false">IF(A4714="","",IF(ISNUMBER(SEARCH("2歳",Z4714)),"2歳戦",IF(ISNUMBER(SEARCH("3歳未勝利",Z4714)),"3歳未勝利",IF(ISNUMBER(SEARCH("未勝利",Z4714)),"その他未勝利",IF(ISNUMBER(SEARCH("G1",Z4714)),"G1",IF(ISNUMBER(SEARCH("G2",Z4714)),"G2",IF(ISNUMBER(SEARCH("G3",Z4714)),"G3",IF(ISNUMBER(SEARCH("古馬条件",Z4714)),"古馬条件戦",IF(ISNUMBER(SEARCH("重賞",Z4714)),"重賞","分類不能")))))))))</f>
        <v/>
      </c>
    </row>
    <row r="4715" customFormat="false" ht="15.75" hidden="false" customHeight="false" outlineLevel="0" collapsed="false">
      <c r="AO4715" s="8" t="str">
        <f aca="false">IF(A4715="","",IF(COUNTIFS(全馬データ!$A$2:$A$50000,A4715,全馬データ!$B$2:$B$50000,B4715,全馬データ!$C$2:$C$50000,C4715,全馬データ!$D$2:$D$50000,E4715,全馬データ!$K$2:$K$50000,"&lt;&gt;")=0,"",SUMIFS(全馬データ!$K$2:$K$50000,全馬データ!$A$2:$A$50000,A4715,全馬データ!$B$2:$B$50000,B4715,全馬データ!$C$2:$C$50000,C4715,全馬データ!$D$2:$D$50000,E4715)))</f>
        <v/>
      </c>
      <c r="AP4715" s="8" t="str">
        <f aca="false">IF(A4715="","",IF(AO4715="","欠損",IF(AO4715&lt;=1.1,"1.0～1.1",IF(AO4715&lt;1.3,"1.2",IF(AO4715&lt;1.5,"1.3～1.4",IF(AO4715&lt;2,"1.5～1.9","2.0以上"))))))</f>
        <v/>
      </c>
      <c r="AQ4715" s="8" t="str">
        <f aca="false">IF(A4715="","",IF(ISNUMBER(SEARCH("2歳",Z4715)),"2歳戦",IF(ISNUMBER(SEARCH("3歳未勝利",Z4715)),"3歳未勝利",IF(ISNUMBER(SEARCH("未勝利",Z4715)),"その他未勝利",IF(ISNUMBER(SEARCH("G1",Z4715)),"G1",IF(ISNUMBER(SEARCH("G2",Z4715)),"G2",IF(ISNUMBER(SEARCH("G3",Z4715)),"G3",IF(ISNUMBER(SEARCH("古馬条件",Z4715)),"古馬条件戦",IF(ISNUMBER(SEARCH("重賞",Z4715)),"重賞","分類不能")))))))))</f>
        <v/>
      </c>
    </row>
    <row r="4716" customFormat="false" ht="15.75" hidden="false" customHeight="false" outlineLevel="0" collapsed="false">
      <c r="AO4716" s="8" t="str">
        <f aca="false">IF(A4716="","",IF(COUNTIFS(全馬データ!$A$2:$A$50000,A4716,全馬データ!$B$2:$B$50000,B4716,全馬データ!$C$2:$C$50000,C4716,全馬データ!$D$2:$D$50000,E4716,全馬データ!$K$2:$K$50000,"&lt;&gt;")=0,"",SUMIFS(全馬データ!$K$2:$K$50000,全馬データ!$A$2:$A$50000,A4716,全馬データ!$B$2:$B$50000,B4716,全馬データ!$C$2:$C$50000,C4716,全馬データ!$D$2:$D$50000,E4716)))</f>
        <v/>
      </c>
      <c r="AP4716" s="8" t="str">
        <f aca="false">IF(A4716="","",IF(AO4716="","欠損",IF(AO4716&lt;=1.1,"1.0～1.1",IF(AO4716&lt;1.3,"1.2",IF(AO4716&lt;1.5,"1.3～1.4",IF(AO4716&lt;2,"1.5～1.9","2.0以上"))))))</f>
        <v/>
      </c>
      <c r="AQ4716" s="8" t="str">
        <f aca="false">IF(A4716="","",IF(ISNUMBER(SEARCH("2歳",Z4716)),"2歳戦",IF(ISNUMBER(SEARCH("3歳未勝利",Z4716)),"3歳未勝利",IF(ISNUMBER(SEARCH("未勝利",Z4716)),"その他未勝利",IF(ISNUMBER(SEARCH("G1",Z4716)),"G1",IF(ISNUMBER(SEARCH("G2",Z4716)),"G2",IF(ISNUMBER(SEARCH("G3",Z4716)),"G3",IF(ISNUMBER(SEARCH("古馬条件",Z4716)),"古馬条件戦",IF(ISNUMBER(SEARCH("重賞",Z4716)),"重賞","分類不能")))))))))</f>
        <v/>
      </c>
    </row>
    <row r="4717" customFormat="false" ht="15.75" hidden="false" customHeight="false" outlineLevel="0" collapsed="false">
      <c r="AO4717" s="8" t="str">
        <f aca="false">IF(A4717="","",IF(COUNTIFS(全馬データ!$A$2:$A$50000,A4717,全馬データ!$B$2:$B$50000,B4717,全馬データ!$C$2:$C$50000,C4717,全馬データ!$D$2:$D$50000,E4717,全馬データ!$K$2:$K$50000,"&lt;&gt;")=0,"",SUMIFS(全馬データ!$K$2:$K$50000,全馬データ!$A$2:$A$50000,A4717,全馬データ!$B$2:$B$50000,B4717,全馬データ!$C$2:$C$50000,C4717,全馬データ!$D$2:$D$50000,E4717)))</f>
        <v/>
      </c>
      <c r="AP4717" s="8" t="str">
        <f aca="false">IF(A4717="","",IF(AO4717="","欠損",IF(AO4717&lt;=1.1,"1.0～1.1",IF(AO4717&lt;1.3,"1.2",IF(AO4717&lt;1.5,"1.3～1.4",IF(AO4717&lt;2,"1.5～1.9","2.0以上"))))))</f>
        <v/>
      </c>
      <c r="AQ4717" s="8" t="str">
        <f aca="false">IF(A4717="","",IF(ISNUMBER(SEARCH("2歳",Z4717)),"2歳戦",IF(ISNUMBER(SEARCH("3歳未勝利",Z4717)),"3歳未勝利",IF(ISNUMBER(SEARCH("未勝利",Z4717)),"その他未勝利",IF(ISNUMBER(SEARCH("G1",Z4717)),"G1",IF(ISNUMBER(SEARCH("G2",Z4717)),"G2",IF(ISNUMBER(SEARCH("G3",Z4717)),"G3",IF(ISNUMBER(SEARCH("古馬条件",Z4717)),"古馬条件戦",IF(ISNUMBER(SEARCH("重賞",Z4717)),"重賞","分類不能")))))))))</f>
        <v/>
      </c>
    </row>
    <row r="4718" customFormat="false" ht="15.75" hidden="false" customHeight="false" outlineLevel="0" collapsed="false">
      <c r="AO4718" s="8" t="str">
        <f aca="false">IF(A4718="","",IF(COUNTIFS(全馬データ!$A$2:$A$50000,A4718,全馬データ!$B$2:$B$50000,B4718,全馬データ!$C$2:$C$50000,C4718,全馬データ!$D$2:$D$50000,E4718,全馬データ!$K$2:$K$50000,"&lt;&gt;")=0,"",SUMIFS(全馬データ!$K$2:$K$50000,全馬データ!$A$2:$A$50000,A4718,全馬データ!$B$2:$B$50000,B4718,全馬データ!$C$2:$C$50000,C4718,全馬データ!$D$2:$D$50000,E4718)))</f>
        <v/>
      </c>
      <c r="AP4718" s="8" t="str">
        <f aca="false">IF(A4718="","",IF(AO4718="","欠損",IF(AO4718&lt;=1.1,"1.0～1.1",IF(AO4718&lt;1.3,"1.2",IF(AO4718&lt;1.5,"1.3～1.4",IF(AO4718&lt;2,"1.5～1.9","2.0以上"))))))</f>
        <v/>
      </c>
      <c r="AQ4718" s="8" t="str">
        <f aca="false">IF(A4718="","",IF(ISNUMBER(SEARCH("2歳",Z4718)),"2歳戦",IF(ISNUMBER(SEARCH("3歳未勝利",Z4718)),"3歳未勝利",IF(ISNUMBER(SEARCH("未勝利",Z4718)),"その他未勝利",IF(ISNUMBER(SEARCH("G1",Z4718)),"G1",IF(ISNUMBER(SEARCH("G2",Z4718)),"G2",IF(ISNUMBER(SEARCH("G3",Z4718)),"G3",IF(ISNUMBER(SEARCH("古馬条件",Z4718)),"古馬条件戦",IF(ISNUMBER(SEARCH("重賞",Z4718)),"重賞","分類不能")))))))))</f>
        <v/>
      </c>
    </row>
    <row r="4719" customFormat="false" ht="15.75" hidden="false" customHeight="false" outlineLevel="0" collapsed="false">
      <c r="AO4719" s="8" t="str">
        <f aca="false">IF(A4719="","",IF(COUNTIFS(全馬データ!$A$2:$A$50000,A4719,全馬データ!$B$2:$B$50000,B4719,全馬データ!$C$2:$C$50000,C4719,全馬データ!$D$2:$D$50000,E4719,全馬データ!$K$2:$K$50000,"&lt;&gt;")=0,"",SUMIFS(全馬データ!$K$2:$K$50000,全馬データ!$A$2:$A$50000,A4719,全馬データ!$B$2:$B$50000,B4719,全馬データ!$C$2:$C$50000,C4719,全馬データ!$D$2:$D$50000,E4719)))</f>
        <v/>
      </c>
      <c r="AP4719" s="8" t="str">
        <f aca="false">IF(A4719="","",IF(AO4719="","欠損",IF(AO4719&lt;=1.1,"1.0～1.1",IF(AO4719&lt;1.3,"1.2",IF(AO4719&lt;1.5,"1.3～1.4",IF(AO4719&lt;2,"1.5～1.9","2.0以上"))))))</f>
        <v/>
      </c>
      <c r="AQ4719" s="8" t="str">
        <f aca="false">IF(A4719="","",IF(ISNUMBER(SEARCH("2歳",Z4719)),"2歳戦",IF(ISNUMBER(SEARCH("3歳未勝利",Z4719)),"3歳未勝利",IF(ISNUMBER(SEARCH("未勝利",Z4719)),"その他未勝利",IF(ISNUMBER(SEARCH("G1",Z4719)),"G1",IF(ISNUMBER(SEARCH("G2",Z4719)),"G2",IF(ISNUMBER(SEARCH("G3",Z4719)),"G3",IF(ISNUMBER(SEARCH("古馬条件",Z4719)),"古馬条件戦",IF(ISNUMBER(SEARCH("重賞",Z4719)),"重賞","分類不能")))))))))</f>
        <v/>
      </c>
    </row>
    <row r="4720" customFormat="false" ht="15.75" hidden="false" customHeight="false" outlineLevel="0" collapsed="false">
      <c r="AO4720" s="8" t="str">
        <f aca="false">IF(A4720="","",IF(COUNTIFS(全馬データ!$A$2:$A$50000,A4720,全馬データ!$B$2:$B$50000,B4720,全馬データ!$C$2:$C$50000,C4720,全馬データ!$D$2:$D$50000,E4720,全馬データ!$K$2:$K$50000,"&lt;&gt;")=0,"",SUMIFS(全馬データ!$K$2:$K$50000,全馬データ!$A$2:$A$50000,A4720,全馬データ!$B$2:$B$50000,B4720,全馬データ!$C$2:$C$50000,C4720,全馬データ!$D$2:$D$50000,E4720)))</f>
        <v/>
      </c>
      <c r="AP4720" s="8" t="str">
        <f aca="false">IF(A4720="","",IF(AO4720="","欠損",IF(AO4720&lt;=1.1,"1.0～1.1",IF(AO4720&lt;1.3,"1.2",IF(AO4720&lt;1.5,"1.3～1.4",IF(AO4720&lt;2,"1.5～1.9","2.0以上"))))))</f>
        <v/>
      </c>
      <c r="AQ4720" s="8" t="str">
        <f aca="false">IF(A4720="","",IF(ISNUMBER(SEARCH("2歳",Z4720)),"2歳戦",IF(ISNUMBER(SEARCH("3歳未勝利",Z4720)),"3歳未勝利",IF(ISNUMBER(SEARCH("未勝利",Z4720)),"その他未勝利",IF(ISNUMBER(SEARCH("G1",Z4720)),"G1",IF(ISNUMBER(SEARCH("G2",Z4720)),"G2",IF(ISNUMBER(SEARCH("G3",Z4720)),"G3",IF(ISNUMBER(SEARCH("古馬条件",Z4720)),"古馬条件戦",IF(ISNUMBER(SEARCH("重賞",Z4720)),"重賞","分類不能")))))))))</f>
        <v/>
      </c>
    </row>
    <row r="4721" customFormat="false" ht="15.75" hidden="false" customHeight="false" outlineLevel="0" collapsed="false">
      <c r="AO4721" s="8" t="str">
        <f aca="false">IF(A4721="","",IF(COUNTIFS(全馬データ!$A$2:$A$50000,A4721,全馬データ!$B$2:$B$50000,B4721,全馬データ!$C$2:$C$50000,C4721,全馬データ!$D$2:$D$50000,E4721,全馬データ!$K$2:$K$50000,"&lt;&gt;")=0,"",SUMIFS(全馬データ!$K$2:$K$50000,全馬データ!$A$2:$A$50000,A4721,全馬データ!$B$2:$B$50000,B4721,全馬データ!$C$2:$C$50000,C4721,全馬データ!$D$2:$D$50000,E4721)))</f>
        <v/>
      </c>
      <c r="AP4721" s="8" t="str">
        <f aca="false">IF(A4721="","",IF(AO4721="","欠損",IF(AO4721&lt;=1.1,"1.0～1.1",IF(AO4721&lt;1.3,"1.2",IF(AO4721&lt;1.5,"1.3～1.4",IF(AO4721&lt;2,"1.5～1.9","2.0以上"))))))</f>
        <v/>
      </c>
      <c r="AQ4721" s="8" t="str">
        <f aca="false">IF(A4721="","",IF(ISNUMBER(SEARCH("2歳",Z4721)),"2歳戦",IF(ISNUMBER(SEARCH("3歳未勝利",Z4721)),"3歳未勝利",IF(ISNUMBER(SEARCH("未勝利",Z4721)),"その他未勝利",IF(ISNUMBER(SEARCH("G1",Z4721)),"G1",IF(ISNUMBER(SEARCH("G2",Z4721)),"G2",IF(ISNUMBER(SEARCH("G3",Z4721)),"G3",IF(ISNUMBER(SEARCH("古馬条件",Z4721)),"古馬条件戦",IF(ISNUMBER(SEARCH("重賞",Z4721)),"重賞","分類不能")))))))))</f>
        <v/>
      </c>
    </row>
    <row r="4722" customFormat="false" ht="15.75" hidden="false" customHeight="false" outlineLevel="0" collapsed="false">
      <c r="AO4722" s="8" t="str">
        <f aca="false">IF(A4722="","",IF(COUNTIFS(全馬データ!$A$2:$A$50000,A4722,全馬データ!$B$2:$B$50000,B4722,全馬データ!$C$2:$C$50000,C4722,全馬データ!$D$2:$D$50000,E4722,全馬データ!$K$2:$K$50000,"&lt;&gt;")=0,"",SUMIFS(全馬データ!$K$2:$K$50000,全馬データ!$A$2:$A$50000,A4722,全馬データ!$B$2:$B$50000,B4722,全馬データ!$C$2:$C$50000,C4722,全馬データ!$D$2:$D$50000,E4722)))</f>
        <v/>
      </c>
      <c r="AP4722" s="8" t="str">
        <f aca="false">IF(A4722="","",IF(AO4722="","欠損",IF(AO4722&lt;=1.1,"1.0～1.1",IF(AO4722&lt;1.3,"1.2",IF(AO4722&lt;1.5,"1.3～1.4",IF(AO4722&lt;2,"1.5～1.9","2.0以上"))))))</f>
        <v/>
      </c>
      <c r="AQ4722" s="8" t="str">
        <f aca="false">IF(A4722="","",IF(ISNUMBER(SEARCH("2歳",Z4722)),"2歳戦",IF(ISNUMBER(SEARCH("3歳未勝利",Z4722)),"3歳未勝利",IF(ISNUMBER(SEARCH("未勝利",Z4722)),"その他未勝利",IF(ISNUMBER(SEARCH("G1",Z4722)),"G1",IF(ISNUMBER(SEARCH("G2",Z4722)),"G2",IF(ISNUMBER(SEARCH("G3",Z4722)),"G3",IF(ISNUMBER(SEARCH("古馬条件",Z4722)),"古馬条件戦",IF(ISNUMBER(SEARCH("重賞",Z4722)),"重賞","分類不能")))))))))</f>
        <v/>
      </c>
    </row>
    <row r="4723" customFormat="false" ht="15.75" hidden="false" customHeight="false" outlineLevel="0" collapsed="false">
      <c r="AO4723" s="8" t="str">
        <f aca="false">IF(A4723="","",IF(COUNTIFS(全馬データ!$A$2:$A$50000,A4723,全馬データ!$B$2:$B$50000,B4723,全馬データ!$C$2:$C$50000,C4723,全馬データ!$D$2:$D$50000,E4723,全馬データ!$K$2:$K$50000,"&lt;&gt;")=0,"",SUMIFS(全馬データ!$K$2:$K$50000,全馬データ!$A$2:$A$50000,A4723,全馬データ!$B$2:$B$50000,B4723,全馬データ!$C$2:$C$50000,C4723,全馬データ!$D$2:$D$50000,E4723)))</f>
        <v/>
      </c>
      <c r="AP4723" s="8" t="str">
        <f aca="false">IF(A4723="","",IF(AO4723="","欠損",IF(AO4723&lt;=1.1,"1.0～1.1",IF(AO4723&lt;1.3,"1.2",IF(AO4723&lt;1.5,"1.3～1.4",IF(AO4723&lt;2,"1.5～1.9","2.0以上"))))))</f>
        <v/>
      </c>
      <c r="AQ4723" s="8" t="str">
        <f aca="false">IF(A4723="","",IF(ISNUMBER(SEARCH("2歳",Z4723)),"2歳戦",IF(ISNUMBER(SEARCH("3歳未勝利",Z4723)),"3歳未勝利",IF(ISNUMBER(SEARCH("未勝利",Z4723)),"その他未勝利",IF(ISNUMBER(SEARCH("G1",Z4723)),"G1",IF(ISNUMBER(SEARCH("G2",Z4723)),"G2",IF(ISNUMBER(SEARCH("G3",Z4723)),"G3",IF(ISNUMBER(SEARCH("古馬条件",Z4723)),"古馬条件戦",IF(ISNUMBER(SEARCH("重賞",Z4723)),"重賞","分類不能")))))))))</f>
        <v/>
      </c>
    </row>
    <row r="4724" customFormat="false" ht="15.75" hidden="false" customHeight="false" outlineLevel="0" collapsed="false">
      <c r="AO4724" s="8" t="str">
        <f aca="false">IF(A4724="","",IF(COUNTIFS(全馬データ!$A$2:$A$50000,A4724,全馬データ!$B$2:$B$50000,B4724,全馬データ!$C$2:$C$50000,C4724,全馬データ!$D$2:$D$50000,E4724,全馬データ!$K$2:$K$50000,"&lt;&gt;")=0,"",SUMIFS(全馬データ!$K$2:$K$50000,全馬データ!$A$2:$A$50000,A4724,全馬データ!$B$2:$B$50000,B4724,全馬データ!$C$2:$C$50000,C4724,全馬データ!$D$2:$D$50000,E4724)))</f>
        <v/>
      </c>
      <c r="AP4724" s="8" t="str">
        <f aca="false">IF(A4724="","",IF(AO4724="","欠損",IF(AO4724&lt;=1.1,"1.0～1.1",IF(AO4724&lt;1.3,"1.2",IF(AO4724&lt;1.5,"1.3～1.4",IF(AO4724&lt;2,"1.5～1.9","2.0以上"))))))</f>
        <v/>
      </c>
      <c r="AQ4724" s="8" t="str">
        <f aca="false">IF(A4724="","",IF(ISNUMBER(SEARCH("2歳",Z4724)),"2歳戦",IF(ISNUMBER(SEARCH("3歳未勝利",Z4724)),"3歳未勝利",IF(ISNUMBER(SEARCH("未勝利",Z4724)),"その他未勝利",IF(ISNUMBER(SEARCH("G1",Z4724)),"G1",IF(ISNUMBER(SEARCH("G2",Z4724)),"G2",IF(ISNUMBER(SEARCH("G3",Z4724)),"G3",IF(ISNUMBER(SEARCH("古馬条件",Z4724)),"古馬条件戦",IF(ISNUMBER(SEARCH("重賞",Z4724)),"重賞","分類不能")))))))))</f>
        <v/>
      </c>
    </row>
    <row r="4725" customFormat="false" ht="15.75" hidden="false" customHeight="false" outlineLevel="0" collapsed="false">
      <c r="AO4725" s="8" t="str">
        <f aca="false">IF(A4725="","",IF(COUNTIFS(全馬データ!$A$2:$A$50000,A4725,全馬データ!$B$2:$B$50000,B4725,全馬データ!$C$2:$C$50000,C4725,全馬データ!$D$2:$D$50000,E4725,全馬データ!$K$2:$K$50000,"&lt;&gt;")=0,"",SUMIFS(全馬データ!$K$2:$K$50000,全馬データ!$A$2:$A$50000,A4725,全馬データ!$B$2:$B$50000,B4725,全馬データ!$C$2:$C$50000,C4725,全馬データ!$D$2:$D$50000,E4725)))</f>
        <v/>
      </c>
      <c r="AP4725" s="8" t="str">
        <f aca="false">IF(A4725="","",IF(AO4725="","欠損",IF(AO4725&lt;=1.1,"1.0～1.1",IF(AO4725&lt;1.3,"1.2",IF(AO4725&lt;1.5,"1.3～1.4",IF(AO4725&lt;2,"1.5～1.9","2.0以上"))))))</f>
        <v/>
      </c>
      <c r="AQ4725" s="8" t="str">
        <f aca="false">IF(A4725="","",IF(ISNUMBER(SEARCH("2歳",Z4725)),"2歳戦",IF(ISNUMBER(SEARCH("3歳未勝利",Z4725)),"3歳未勝利",IF(ISNUMBER(SEARCH("未勝利",Z4725)),"その他未勝利",IF(ISNUMBER(SEARCH("G1",Z4725)),"G1",IF(ISNUMBER(SEARCH("G2",Z4725)),"G2",IF(ISNUMBER(SEARCH("G3",Z4725)),"G3",IF(ISNUMBER(SEARCH("古馬条件",Z4725)),"古馬条件戦",IF(ISNUMBER(SEARCH("重賞",Z4725)),"重賞","分類不能")))))))))</f>
        <v/>
      </c>
    </row>
    <row r="4726" customFormat="false" ht="15.75" hidden="false" customHeight="false" outlineLevel="0" collapsed="false">
      <c r="AO4726" s="8" t="str">
        <f aca="false">IF(A4726="","",IF(COUNTIFS(全馬データ!$A$2:$A$50000,A4726,全馬データ!$B$2:$B$50000,B4726,全馬データ!$C$2:$C$50000,C4726,全馬データ!$D$2:$D$50000,E4726,全馬データ!$K$2:$K$50000,"&lt;&gt;")=0,"",SUMIFS(全馬データ!$K$2:$K$50000,全馬データ!$A$2:$A$50000,A4726,全馬データ!$B$2:$B$50000,B4726,全馬データ!$C$2:$C$50000,C4726,全馬データ!$D$2:$D$50000,E4726)))</f>
        <v/>
      </c>
      <c r="AP4726" s="8" t="str">
        <f aca="false">IF(A4726="","",IF(AO4726="","欠損",IF(AO4726&lt;=1.1,"1.0～1.1",IF(AO4726&lt;1.3,"1.2",IF(AO4726&lt;1.5,"1.3～1.4",IF(AO4726&lt;2,"1.5～1.9","2.0以上"))))))</f>
        <v/>
      </c>
      <c r="AQ4726" s="8" t="str">
        <f aca="false">IF(A4726="","",IF(ISNUMBER(SEARCH("2歳",Z4726)),"2歳戦",IF(ISNUMBER(SEARCH("3歳未勝利",Z4726)),"3歳未勝利",IF(ISNUMBER(SEARCH("未勝利",Z4726)),"その他未勝利",IF(ISNUMBER(SEARCH("G1",Z4726)),"G1",IF(ISNUMBER(SEARCH("G2",Z4726)),"G2",IF(ISNUMBER(SEARCH("G3",Z4726)),"G3",IF(ISNUMBER(SEARCH("古馬条件",Z4726)),"古馬条件戦",IF(ISNUMBER(SEARCH("重賞",Z4726)),"重賞","分類不能")))))))))</f>
        <v/>
      </c>
    </row>
    <row r="4727" customFormat="false" ht="15.75" hidden="false" customHeight="false" outlineLevel="0" collapsed="false">
      <c r="AO4727" s="8" t="str">
        <f aca="false">IF(A4727="","",IF(COUNTIFS(全馬データ!$A$2:$A$50000,A4727,全馬データ!$B$2:$B$50000,B4727,全馬データ!$C$2:$C$50000,C4727,全馬データ!$D$2:$D$50000,E4727,全馬データ!$K$2:$K$50000,"&lt;&gt;")=0,"",SUMIFS(全馬データ!$K$2:$K$50000,全馬データ!$A$2:$A$50000,A4727,全馬データ!$B$2:$B$50000,B4727,全馬データ!$C$2:$C$50000,C4727,全馬データ!$D$2:$D$50000,E4727)))</f>
        <v/>
      </c>
      <c r="AP4727" s="8" t="str">
        <f aca="false">IF(A4727="","",IF(AO4727="","欠損",IF(AO4727&lt;=1.1,"1.0～1.1",IF(AO4727&lt;1.3,"1.2",IF(AO4727&lt;1.5,"1.3～1.4",IF(AO4727&lt;2,"1.5～1.9","2.0以上"))))))</f>
        <v/>
      </c>
      <c r="AQ4727" s="8" t="str">
        <f aca="false">IF(A4727="","",IF(ISNUMBER(SEARCH("2歳",Z4727)),"2歳戦",IF(ISNUMBER(SEARCH("3歳未勝利",Z4727)),"3歳未勝利",IF(ISNUMBER(SEARCH("未勝利",Z4727)),"その他未勝利",IF(ISNUMBER(SEARCH("G1",Z4727)),"G1",IF(ISNUMBER(SEARCH("G2",Z4727)),"G2",IF(ISNUMBER(SEARCH("G3",Z4727)),"G3",IF(ISNUMBER(SEARCH("古馬条件",Z4727)),"古馬条件戦",IF(ISNUMBER(SEARCH("重賞",Z4727)),"重賞","分類不能")))))))))</f>
        <v/>
      </c>
    </row>
    <row r="4728" customFormat="false" ht="15.75" hidden="false" customHeight="false" outlineLevel="0" collapsed="false">
      <c r="AO4728" s="8" t="str">
        <f aca="false">IF(A4728="","",IF(COUNTIFS(全馬データ!$A$2:$A$50000,A4728,全馬データ!$B$2:$B$50000,B4728,全馬データ!$C$2:$C$50000,C4728,全馬データ!$D$2:$D$50000,E4728,全馬データ!$K$2:$K$50000,"&lt;&gt;")=0,"",SUMIFS(全馬データ!$K$2:$K$50000,全馬データ!$A$2:$A$50000,A4728,全馬データ!$B$2:$B$50000,B4728,全馬データ!$C$2:$C$50000,C4728,全馬データ!$D$2:$D$50000,E4728)))</f>
        <v/>
      </c>
      <c r="AP4728" s="8" t="str">
        <f aca="false">IF(A4728="","",IF(AO4728="","欠損",IF(AO4728&lt;=1.1,"1.0～1.1",IF(AO4728&lt;1.3,"1.2",IF(AO4728&lt;1.5,"1.3～1.4",IF(AO4728&lt;2,"1.5～1.9","2.0以上"))))))</f>
        <v/>
      </c>
      <c r="AQ4728" s="8" t="str">
        <f aca="false">IF(A4728="","",IF(ISNUMBER(SEARCH("2歳",Z4728)),"2歳戦",IF(ISNUMBER(SEARCH("3歳未勝利",Z4728)),"3歳未勝利",IF(ISNUMBER(SEARCH("未勝利",Z4728)),"その他未勝利",IF(ISNUMBER(SEARCH("G1",Z4728)),"G1",IF(ISNUMBER(SEARCH("G2",Z4728)),"G2",IF(ISNUMBER(SEARCH("G3",Z4728)),"G3",IF(ISNUMBER(SEARCH("古馬条件",Z4728)),"古馬条件戦",IF(ISNUMBER(SEARCH("重賞",Z4728)),"重賞","分類不能")))))))))</f>
        <v/>
      </c>
    </row>
    <row r="4729" customFormat="false" ht="15.75" hidden="false" customHeight="false" outlineLevel="0" collapsed="false">
      <c r="AO4729" s="8" t="str">
        <f aca="false">IF(A4729="","",IF(COUNTIFS(全馬データ!$A$2:$A$50000,A4729,全馬データ!$B$2:$B$50000,B4729,全馬データ!$C$2:$C$50000,C4729,全馬データ!$D$2:$D$50000,E4729,全馬データ!$K$2:$K$50000,"&lt;&gt;")=0,"",SUMIFS(全馬データ!$K$2:$K$50000,全馬データ!$A$2:$A$50000,A4729,全馬データ!$B$2:$B$50000,B4729,全馬データ!$C$2:$C$50000,C4729,全馬データ!$D$2:$D$50000,E4729)))</f>
        <v/>
      </c>
      <c r="AP4729" s="8" t="str">
        <f aca="false">IF(A4729="","",IF(AO4729="","欠損",IF(AO4729&lt;=1.1,"1.0～1.1",IF(AO4729&lt;1.3,"1.2",IF(AO4729&lt;1.5,"1.3～1.4",IF(AO4729&lt;2,"1.5～1.9","2.0以上"))))))</f>
        <v/>
      </c>
      <c r="AQ4729" s="8" t="str">
        <f aca="false">IF(A4729="","",IF(ISNUMBER(SEARCH("2歳",Z4729)),"2歳戦",IF(ISNUMBER(SEARCH("3歳未勝利",Z4729)),"3歳未勝利",IF(ISNUMBER(SEARCH("未勝利",Z4729)),"その他未勝利",IF(ISNUMBER(SEARCH("G1",Z4729)),"G1",IF(ISNUMBER(SEARCH("G2",Z4729)),"G2",IF(ISNUMBER(SEARCH("G3",Z4729)),"G3",IF(ISNUMBER(SEARCH("古馬条件",Z4729)),"古馬条件戦",IF(ISNUMBER(SEARCH("重賞",Z4729)),"重賞","分類不能")))))))))</f>
        <v/>
      </c>
    </row>
    <row r="4730" customFormat="false" ht="15.75" hidden="false" customHeight="false" outlineLevel="0" collapsed="false">
      <c r="AO4730" s="8" t="str">
        <f aca="false">IF(A4730="","",IF(COUNTIFS(全馬データ!$A$2:$A$50000,A4730,全馬データ!$B$2:$B$50000,B4730,全馬データ!$C$2:$C$50000,C4730,全馬データ!$D$2:$D$50000,E4730,全馬データ!$K$2:$K$50000,"&lt;&gt;")=0,"",SUMIFS(全馬データ!$K$2:$K$50000,全馬データ!$A$2:$A$50000,A4730,全馬データ!$B$2:$B$50000,B4730,全馬データ!$C$2:$C$50000,C4730,全馬データ!$D$2:$D$50000,E4730)))</f>
        <v/>
      </c>
      <c r="AP4730" s="8" t="str">
        <f aca="false">IF(A4730="","",IF(AO4730="","欠損",IF(AO4730&lt;=1.1,"1.0～1.1",IF(AO4730&lt;1.3,"1.2",IF(AO4730&lt;1.5,"1.3～1.4",IF(AO4730&lt;2,"1.5～1.9","2.0以上"))))))</f>
        <v/>
      </c>
      <c r="AQ4730" s="8" t="str">
        <f aca="false">IF(A4730="","",IF(ISNUMBER(SEARCH("2歳",Z4730)),"2歳戦",IF(ISNUMBER(SEARCH("3歳未勝利",Z4730)),"3歳未勝利",IF(ISNUMBER(SEARCH("未勝利",Z4730)),"その他未勝利",IF(ISNUMBER(SEARCH("G1",Z4730)),"G1",IF(ISNUMBER(SEARCH("G2",Z4730)),"G2",IF(ISNUMBER(SEARCH("G3",Z4730)),"G3",IF(ISNUMBER(SEARCH("古馬条件",Z4730)),"古馬条件戦",IF(ISNUMBER(SEARCH("重賞",Z4730)),"重賞","分類不能")))))))))</f>
        <v/>
      </c>
    </row>
    <row r="4731" customFormat="false" ht="15.75" hidden="false" customHeight="false" outlineLevel="0" collapsed="false">
      <c r="AO4731" s="8" t="str">
        <f aca="false">IF(A4731="","",IF(COUNTIFS(全馬データ!$A$2:$A$50000,A4731,全馬データ!$B$2:$B$50000,B4731,全馬データ!$C$2:$C$50000,C4731,全馬データ!$D$2:$D$50000,E4731,全馬データ!$K$2:$K$50000,"&lt;&gt;")=0,"",SUMIFS(全馬データ!$K$2:$K$50000,全馬データ!$A$2:$A$50000,A4731,全馬データ!$B$2:$B$50000,B4731,全馬データ!$C$2:$C$50000,C4731,全馬データ!$D$2:$D$50000,E4731)))</f>
        <v/>
      </c>
      <c r="AP4731" s="8" t="str">
        <f aca="false">IF(A4731="","",IF(AO4731="","欠損",IF(AO4731&lt;=1.1,"1.0～1.1",IF(AO4731&lt;1.3,"1.2",IF(AO4731&lt;1.5,"1.3～1.4",IF(AO4731&lt;2,"1.5～1.9","2.0以上"))))))</f>
        <v/>
      </c>
      <c r="AQ4731" s="8" t="str">
        <f aca="false">IF(A4731="","",IF(ISNUMBER(SEARCH("2歳",Z4731)),"2歳戦",IF(ISNUMBER(SEARCH("3歳未勝利",Z4731)),"3歳未勝利",IF(ISNUMBER(SEARCH("未勝利",Z4731)),"その他未勝利",IF(ISNUMBER(SEARCH("G1",Z4731)),"G1",IF(ISNUMBER(SEARCH("G2",Z4731)),"G2",IF(ISNUMBER(SEARCH("G3",Z4731)),"G3",IF(ISNUMBER(SEARCH("古馬条件",Z4731)),"古馬条件戦",IF(ISNUMBER(SEARCH("重賞",Z4731)),"重賞","分類不能")))))))))</f>
        <v/>
      </c>
    </row>
    <row r="4732" customFormat="false" ht="15.75" hidden="false" customHeight="false" outlineLevel="0" collapsed="false">
      <c r="AO4732" s="8" t="str">
        <f aca="false">IF(A4732="","",IF(COUNTIFS(全馬データ!$A$2:$A$50000,A4732,全馬データ!$B$2:$B$50000,B4732,全馬データ!$C$2:$C$50000,C4732,全馬データ!$D$2:$D$50000,E4732,全馬データ!$K$2:$K$50000,"&lt;&gt;")=0,"",SUMIFS(全馬データ!$K$2:$K$50000,全馬データ!$A$2:$A$50000,A4732,全馬データ!$B$2:$B$50000,B4732,全馬データ!$C$2:$C$50000,C4732,全馬データ!$D$2:$D$50000,E4732)))</f>
        <v/>
      </c>
      <c r="AP4732" s="8" t="str">
        <f aca="false">IF(A4732="","",IF(AO4732="","欠損",IF(AO4732&lt;=1.1,"1.0～1.1",IF(AO4732&lt;1.3,"1.2",IF(AO4732&lt;1.5,"1.3～1.4",IF(AO4732&lt;2,"1.5～1.9","2.0以上"))))))</f>
        <v/>
      </c>
      <c r="AQ4732" s="8" t="str">
        <f aca="false">IF(A4732="","",IF(ISNUMBER(SEARCH("2歳",Z4732)),"2歳戦",IF(ISNUMBER(SEARCH("3歳未勝利",Z4732)),"3歳未勝利",IF(ISNUMBER(SEARCH("未勝利",Z4732)),"その他未勝利",IF(ISNUMBER(SEARCH("G1",Z4732)),"G1",IF(ISNUMBER(SEARCH("G2",Z4732)),"G2",IF(ISNUMBER(SEARCH("G3",Z4732)),"G3",IF(ISNUMBER(SEARCH("古馬条件",Z4732)),"古馬条件戦",IF(ISNUMBER(SEARCH("重賞",Z4732)),"重賞","分類不能")))))))))</f>
        <v/>
      </c>
    </row>
    <row r="4733" customFormat="false" ht="15.75" hidden="false" customHeight="false" outlineLevel="0" collapsed="false">
      <c r="AO4733" s="8" t="str">
        <f aca="false">IF(A4733="","",IF(COUNTIFS(全馬データ!$A$2:$A$50000,A4733,全馬データ!$B$2:$B$50000,B4733,全馬データ!$C$2:$C$50000,C4733,全馬データ!$D$2:$D$50000,E4733,全馬データ!$K$2:$K$50000,"&lt;&gt;")=0,"",SUMIFS(全馬データ!$K$2:$K$50000,全馬データ!$A$2:$A$50000,A4733,全馬データ!$B$2:$B$50000,B4733,全馬データ!$C$2:$C$50000,C4733,全馬データ!$D$2:$D$50000,E4733)))</f>
        <v/>
      </c>
      <c r="AP4733" s="8" t="str">
        <f aca="false">IF(A4733="","",IF(AO4733="","欠損",IF(AO4733&lt;=1.1,"1.0～1.1",IF(AO4733&lt;1.3,"1.2",IF(AO4733&lt;1.5,"1.3～1.4",IF(AO4733&lt;2,"1.5～1.9","2.0以上"))))))</f>
        <v/>
      </c>
      <c r="AQ4733" s="8" t="str">
        <f aca="false">IF(A4733="","",IF(ISNUMBER(SEARCH("2歳",Z4733)),"2歳戦",IF(ISNUMBER(SEARCH("3歳未勝利",Z4733)),"3歳未勝利",IF(ISNUMBER(SEARCH("未勝利",Z4733)),"その他未勝利",IF(ISNUMBER(SEARCH("G1",Z4733)),"G1",IF(ISNUMBER(SEARCH("G2",Z4733)),"G2",IF(ISNUMBER(SEARCH("G3",Z4733)),"G3",IF(ISNUMBER(SEARCH("古馬条件",Z4733)),"古馬条件戦",IF(ISNUMBER(SEARCH("重賞",Z4733)),"重賞","分類不能")))))))))</f>
        <v/>
      </c>
    </row>
    <row r="4734" customFormat="false" ht="15.75" hidden="false" customHeight="false" outlineLevel="0" collapsed="false">
      <c r="AO4734" s="8" t="str">
        <f aca="false">IF(A4734="","",IF(COUNTIFS(全馬データ!$A$2:$A$50000,A4734,全馬データ!$B$2:$B$50000,B4734,全馬データ!$C$2:$C$50000,C4734,全馬データ!$D$2:$D$50000,E4734,全馬データ!$K$2:$K$50000,"&lt;&gt;")=0,"",SUMIFS(全馬データ!$K$2:$K$50000,全馬データ!$A$2:$A$50000,A4734,全馬データ!$B$2:$B$50000,B4734,全馬データ!$C$2:$C$50000,C4734,全馬データ!$D$2:$D$50000,E4734)))</f>
        <v/>
      </c>
      <c r="AP4734" s="8" t="str">
        <f aca="false">IF(A4734="","",IF(AO4734="","欠損",IF(AO4734&lt;=1.1,"1.0～1.1",IF(AO4734&lt;1.3,"1.2",IF(AO4734&lt;1.5,"1.3～1.4",IF(AO4734&lt;2,"1.5～1.9","2.0以上"))))))</f>
        <v/>
      </c>
      <c r="AQ4734" s="8" t="str">
        <f aca="false">IF(A4734="","",IF(ISNUMBER(SEARCH("2歳",Z4734)),"2歳戦",IF(ISNUMBER(SEARCH("3歳未勝利",Z4734)),"3歳未勝利",IF(ISNUMBER(SEARCH("未勝利",Z4734)),"その他未勝利",IF(ISNUMBER(SEARCH("G1",Z4734)),"G1",IF(ISNUMBER(SEARCH("G2",Z4734)),"G2",IF(ISNUMBER(SEARCH("G3",Z4734)),"G3",IF(ISNUMBER(SEARCH("古馬条件",Z4734)),"古馬条件戦",IF(ISNUMBER(SEARCH("重賞",Z4734)),"重賞","分類不能")))))))))</f>
        <v/>
      </c>
    </row>
    <row r="4735" customFormat="false" ht="15.75" hidden="false" customHeight="false" outlineLevel="0" collapsed="false">
      <c r="AO4735" s="8" t="str">
        <f aca="false">IF(A4735="","",IF(COUNTIFS(全馬データ!$A$2:$A$50000,A4735,全馬データ!$B$2:$B$50000,B4735,全馬データ!$C$2:$C$50000,C4735,全馬データ!$D$2:$D$50000,E4735,全馬データ!$K$2:$K$50000,"&lt;&gt;")=0,"",SUMIFS(全馬データ!$K$2:$K$50000,全馬データ!$A$2:$A$50000,A4735,全馬データ!$B$2:$B$50000,B4735,全馬データ!$C$2:$C$50000,C4735,全馬データ!$D$2:$D$50000,E4735)))</f>
        <v/>
      </c>
      <c r="AP4735" s="8" t="str">
        <f aca="false">IF(A4735="","",IF(AO4735="","欠損",IF(AO4735&lt;=1.1,"1.0～1.1",IF(AO4735&lt;1.3,"1.2",IF(AO4735&lt;1.5,"1.3～1.4",IF(AO4735&lt;2,"1.5～1.9","2.0以上"))))))</f>
        <v/>
      </c>
      <c r="AQ4735" s="8" t="str">
        <f aca="false">IF(A4735="","",IF(ISNUMBER(SEARCH("2歳",Z4735)),"2歳戦",IF(ISNUMBER(SEARCH("3歳未勝利",Z4735)),"3歳未勝利",IF(ISNUMBER(SEARCH("未勝利",Z4735)),"その他未勝利",IF(ISNUMBER(SEARCH("G1",Z4735)),"G1",IF(ISNUMBER(SEARCH("G2",Z4735)),"G2",IF(ISNUMBER(SEARCH("G3",Z4735)),"G3",IF(ISNUMBER(SEARCH("古馬条件",Z4735)),"古馬条件戦",IF(ISNUMBER(SEARCH("重賞",Z4735)),"重賞","分類不能")))))))))</f>
        <v/>
      </c>
    </row>
    <row r="4736" customFormat="false" ht="15.75" hidden="false" customHeight="false" outlineLevel="0" collapsed="false">
      <c r="AO4736" s="8" t="str">
        <f aca="false">IF(A4736="","",IF(COUNTIFS(全馬データ!$A$2:$A$50000,A4736,全馬データ!$B$2:$B$50000,B4736,全馬データ!$C$2:$C$50000,C4736,全馬データ!$D$2:$D$50000,E4736,全馬データ!$K$2:$K$50000,"&lt;&gt;")=0,"",SUMIFS(全馬データ!$K$2:$K$50000,全馬データ!$A$2:$A$50000,A4736,全馬データ!$B$2:$B$50000,B4736,全馬データ!$C$2:$C$50000,C4736,全馬データ!$D$2:$D$50000,E4736)))</f>
        <v/>
      </c>
      <c r="AP4736" s="8" t="str">
        <f aca="false">IF(A4736="","",IF(AO4736="","欠損",IF(AO4736&lt;=1.1,"1.0～1.1",IF(AO4736&lt;1.3,"1.2",IF(AO4736&lt;1.5,"1.3～1.4",IF(AO4736&lt;2,"1.5～1.9","2.0以上"))))))</f>
        <v/>
      </c>
      <c r="AQ4736" s="8" t="str">
        <f aca="false">IF(A4736="","",IF(ISNUMBER(SEARCH("2歳",Z4736)),"2歳戦",IF(ISNUMBER(SEARCH("3歳未勝利",Z4736)),"3歳未勝利",IF(ISNUMBER(SEARCH("未勝利",Z4736)),"その他未勝利",IF(ISNUMBER(SEARCH("G1",Z4736)),"G1",IF(ISNUMBER(SEARCH("G2",Z4736)),"G2",IF(ISNUMBER(SEARCH("G3",Z4736)),"G3",IF(ISNUMBER(SEARCH("古馬条件",Z4736)),"古馬条件戦",IF(ISNUMBER(SEARCH("重賞",Z4736)),"重賞","分類不能")))))))))</f>
        <v/>
      </c>
    </row>
    <row r="4737" customFormat="false" ht="15.75" hidden="false" customHeight="false" outlineLevel="0" collapsed="false">
      <c r="AO4737" s="8" t="str">
        <f aca="false">IF(A4737="","",IF(COUNTIFS(全馬データ!$A$2:$A$50000,A4737,全馬データ!$B$2:$B$50000,B4737,全馬データ!$C$2:$C$50000,C4737,全馬データ!$D$2:$D$50000,E4737,全馬データ!$K$2:$K$50000,"&lt;&gt;")=0,"",SUMIFS(全馬データ!$K$2:$K$50000,全馬データ!$A$2:$A$50000,A4737,全馬データ!$B$2:$B$50000,B4737,全馬データ!$C$2:$C$50000,C4737,全馬データ!$D$2:$D$50000,E4737)))</f>
        <v/>
      </c>
      <c r="AP4737" s="8" t="str">
        <f aca="false">IF(A4737="","",IF(AO4737="","欠損",IF(AO4737&lt;=1.1,"1.0～1.1",IF(AO4737&lt;1.3,"1.2",IF(AO4737&lt;1.5,"1.3～1.4",IF(AO4737&lt;2,"1.5～1.9","2.0以上"))))))</f>
        <v/>
      </c>
      <c r="AQ4737" s="8" t="str">
        <f aca="false">IF(A4737="","",IF(ISNUMBER(SEARCH("2歳",Z4737)),"2歳戦",IF(ISNUMBER(SEARCH("3歳未勝利",Z4737)),"3歳未勝利",IF(ISNUMBER(SEARCH("未勝利",Z4737)),"その他未勝利",IF(ISNUMBER(SEARCH("G1",Z4737)),"G1",IF(ISNUMBER(SEARCH("G2",Z4737)),"G2",IF(ISNUMBER(SEARCH("G3",Z4737)),"G3",IF(ISNUMBER(SEARCH("古馬条件",Z4737)),"古馬条件戦",IF(ISNUMBER(SEARCH("重賞",Z4737)),"重賞","分類不能")))))))))</f>
        <v/>
      </c>
    </row>
    <row r="4738" customFormat="false" ht="15.75" hidden="false" customHeight="false" outlineLevel="0" collapsed="false">
      <c r="AO4738" s="8" t="str">
        <f aca="false">IF(A4738="","",IF(COUNTIFS(全馬データ!$A$2:$A$50000,A4738,全馬データ!$B$2:$B$50000,B4738,全馬データ!$C$2:$C$50000,C4738,全馬データ!$D$2:$D$50000,E4738,全馬データ!$K$2:$K$50000,"&lt;&gt;")=0,"",SUMIFS(全馬データ!$K$2:$K$50000,全馬データ!$A$2:$A$50000,A4738,全馬データ!$B$2:$B$50000,B4738,全馬データ!$C$2:$C$50000,C4738,全馬データ!$D$2:$D$50000,E4738)))</f>
        <v/>
      </c>
      <c r="AP4738" s="8" t="str">
        <f aca="false">IF(A4738="","",IF(AO4738="","欠損",IF(AO4738&lt;=1.1,"1.0～1.1",IF(AO4738&lt;1.3,"1.2",IF(AO4738&lt;1.5,"1.3～1.4",IF(AO4738&lt;2,"1.5～1.9","2.0以上"))))))</f>
        <v/>
      </c>
      <c r="AQ4738" s="8" t="str">
        <f aca="false">IF(A4738="","",IF(ISNUMBER(SEARCH("2歳",Z4738)),"2歳戦",IF(ISNUMBER(SEARCH("3歳未勝利",Z4738)),"3歳未勝利",IF(ISNUMBER(SEARCH("未勝利",Z4738)),"その他未勝利",IF(ISNUMBER(SEARCH("G1",Z4738)),"G1",IF(ISNUMBER(SEARCH("G2",Z4738)),"G2",IF(ISNUMBER(SEARCH("G3",Z4738)),"G3",IF(ISNUMBER(SEARCH("古馬条件",Z4738)),"古馬条件戦",IF(ISNUMBER(SEARCH("重賞",Z4738)),"重賞","分類不能")))))))))</f>
        <v/>
      </c>
    </row>
    <row r="4739" customFormat="false" ht="15.75" hidden="false" customHeight="false" outlineLevel="0" collapsed="false">
      <c r="AO4739" s="8" t="str">
        <f aca="false">IF(A4739="","",IF(COUNTIFS(全馬データ!$A$2:$A$50000,A4739,全馬データ!$B$2:$B$50000,B4739,全馬データ!$C$2:$C$50000,C4739,全馬データ!$D$2:$D$50000,E4739,全馬データ!$K$2:$K$50000,"&lt;&gt;")=0,"",SUMIFS(全馬データ!$K$2:$K$50000,全馬データ!$A$2:$A$50000,A4739,全馬データ!$B$2:$B$50000,B4739,全馬データ!$C$2:$C$50000,C4739,全馬データ!$D$2:$D$50000,E4739)))</f>
        <v/>
      </c>
      <c r="AP4739" s="8" t="str">
        <f aca="false">IF(A4739="","",IF(AO4739="","欠損",IF(AO4739&lt;=1.1,"1.0～1.1",IF(AO4739&lt;1.3,"1.2",IF(AO4739&lt;1.5,"1.3～1.4",IF(AO4739&lt;2,"1.5～1.9","2.0以上"))))))</f>
        <v/>
      </c>
      <c r="AQ4739" s="8" t="str">
        <f aca="false">IF(A4739="","",IF(ISNUMBER(SEARCH("2歳",Z4739)),"2歳戦",IF(ISNUMBER(SEARCH("3歳未勝利",Z4739)),"3歳未勝利",IF(ISNUMBER(SEARCH("未勝利",Z4739)),"その他未勝利",IF(ISNUMBER(SEARCH("G1",Z4739)),"G1",IF(ISNUMBER(SEARCH("G2",Z4739)),"G2",IF(ISNUMBER(SEARCH("G3",Z4739)),"G3",IF(ISNUMBER(SEARCH("古馬条件",Z4739)),"古馬条件戦",IF(ISNUMBER(SEARCH("重賞",Z4739)),"重賞","分類不能")))))))))</f>
        <v/>
      </c>
    </row>
    <row r="4740" customFormat="false" ht="15.75" hidden="false" customHeight="false" outlineLevel="0" collapsed="false">
      <c r="AO4740" s="8" t="str">
        <f aca="false">IF(A4740="","",IF(COUNTIFS(全馬データ!$A$2:$A$50000,A4740,全馬データ!$B$2:$B$50000,B4740,全馬データ!$C$2:$C$50000,C4740,全馬データ!$D$2:$D$50000,E4740,全馬データ!$K$2:$K$50000,"&lt;&gt;")=0,"",SUMIFS(全馬データ!$K$2:$K$50000,全馬データ!$A$2:$A$50000,A4740,全馬データ!$B$2:$B$50000,B4740,全馬データ!$C$2:$C$50000,C4740,全馬データ!$D$2:$D$50000,E4740)))</f>
        <v/>
      </c>
      <c r="AP4740" s="8" t="str">
        <f aca="false">IF(A4740="","",IF(AO4740="","欠損",IF(AO4740&lt;=1.1,"1.0～1.1",IF(AO4740&lt;1.3,"1.2",IF(AO4740&lt;1.5,"1.3～1.4",IF(AO4740&lt;2,"1.5～1.9","2.0以上"))))))</f>
        <v/>
      </c>
      <c r="AQ4740" s="8" t="str">
        <f aca="false">IF(A4740="","",IF(ISNUMBER(SEARCH("2歳",Z4740)),"2歳戦",IF(ISNUMBER(SEARCH("3歳未勝利",Z4740)),"3歳未勝利",IF(ISNUMBER(SEARCH("未勝利",Z4740)),"その他未勝利",IF(ISNUMBER(SEARCH("G1",Z4740)),"G1",IF(ISNUMBER(SEARCH("G2",Z4740)),"G2",IF(ISNUMBER(SEARCH("G3",Z4740)),"G3",IF(ISNUMBER(SEARCH("古馬条件",Z4740)),"古馬条件戦",IF(ISNUMBER(SEARCH("重賞",Z4740)),"重賞","分類不能")))))))))</f>
        <v/>
      </c>
    </row>
    <row r="4741" customFormat="false" ht="15.75" hidden="false" customHeight="false" outlineLevel="0" collapsed="false">
      <c r="AO4741" s="8" t="str">
        <f aca="false">IF(A4741="","",IF(COUNTIFS(全馬データ!$A$2:$A$50000,A4741,全馬データ!$B$2:$B$50000,B4741,全馬データ!$C$2:$C$50000,C4741,全馬データ!$D$2:$D$50000,E4741,全馬データ!$K$2:$K$50000,"&lt;&gt;")=0,"",SUMIFS(全馬データ!$K$2:$K$50000,全馬データ!$A$2:$A$50000,A4741,全馬データ!$B$2:$B$50000,B4741,全馬データ!$C$2:$C$50000,C4741,全馬データ!$D$2:$D$50000,E4741)))</f>
        <v/>
      </c>
      <c r="AP4741" s="8" t="str">
        <f aca="false">IF(A4741="","",IF(AO4741="","欠損",IF(AO4741&lt;=1.1,"1.0～1.1",IF(AO4741&lt;1.3,"1.2",IF(AO4741&lt;1.5,"1.3～1.4",IF(AO4741&lt;2,"1.5～1.9","2.0以上"))))))</f>
        <v/>
      </c>
      <c r="AQ4741" s="8" t="str">
        <f aca="false">IF(A4741="","",IF(ISNUMBER(SEARCH("2歳",Z4741)),"2歳戦",IF(ISNUMBER(SEARCH("3歳未勝利",Z4741)),"3歳未勝利",IF(ISNUMBER(SEARCH("未勝利",Z4741)),"その他未勝利",IF(ISNUMBER(SEARCH("G1",Z4741)),"G1",IF(ISNUMBER(SEARCH("G2",Z4741)),"G2",IF(ISNUMBER(SEARCH("G3",Z4741)),"G3",IF(ISNUMBER(SEARCH("古馬条件",Z4741)),"古馬条件戦",IF(ISNUMBER(SEARCH("重賞",Z4741)),"重賞","分類不能")))))))))</f>
        <v/>
      </c>
    </row>
    <row r="4742" customFormat="false" ht="15.75" hidden="false" customHeight="false" outlineLevel="0" collapsed="false">
      <c r="AO4742" s="8" t="str">
        <f aca="false">IF(A4742="","",IF(COUNTIFS(全馬データ!$A$2:$A$50000,A4742,全馬データ!$B$2:$B$50000,B4742,全馬データ!$C$2:$C$50000,C4742,全馬データ!$D$2:$D$50000,E4742,全馬データ!$K$2:$K$50000,"&lt;&gt;")=0,"",SUMIFS(全馬データ!$K$2:$K$50000,全馬データ!$A$2:$A$50000,A4742,全馬データ!$B$2:$B$50000,B4742,全馬データ!$C$2:$C$50000,C4742,全馬データ!$D$2:$D$50000,E4742)))</f>
        <v/>
      </c>
      <c r="AP4742" s="8" t="str">
        <f aca="false">IF(A4742="","",IF(AO4742="","欠損",IF(AO4742&lt;=1.1,"1.0～1.1",IF(AO4742&lt;1.3,"1.2",IF(AO4742&lt;1.5,"1.3～1.4",IF(AO4742&lt;2,"1.5～1.9","2.0以上"))))))</f>
        <v/>
      </c>
      <c r="AQ4742" s="8" t="str">
        <f aca="false">IF(A4742="","",IF(ISNUMBER(SEARCH("2歳",Z4742)),"2歳戦",IF(ISNUMBER(SEARCH("3歳未勝利",Z4742)),"3歳未勝利",IF(ISNUMBER(SEARCH("未勝利",Z4742)),"その他未勝利",IF(ISNUMBER(SEARCH("G1",Z4742)),"G1",IF(ISNUMBER(SEARCH("G2",Z4742)),"G2",IF(ISNUMBER(SEARCH("G3",Z4742)),"G3",IF(ISNUMBER(SEARCH("古馬条件",Z4742)),"古馬条件戦",IF(ISNUMBER(SEARCH("重賞",Z4742)),"重賞","分類不能")))))))))</f>
        <v/>
      </c>
    </row>
    <row r="4743" customFormat="false" ht="15.75" hidden="false" customHeight="false" outlineLevel="0" collapsed="false">
      <c r="AO4743" s="8" t="str">
        <f aca="false">IF(A4743="","",IF(COUNTIFS(全馬データ!$A$2:$A$50000,A4743,全馬データ!$B$2:$B$50000,B4743,全馬データ!$C$2:$C$50000,C4743,全馬データ!$D$2:$D$50000,E4743,全馬データ!$K$2:$K$50000,"&lt;&gt;")=0,"",SUMIFS(全馬データ!$K$2:$K$50000,全馬データ!$A$2:$A$50000,A4743,全馬データ!$B$2:$B$50000,B4743,全馬データ!$C$2:$C$50000,C4743,全馬データ!$D$2:$D$50000,E4743)))</f>
        <v/>
      </c>
      <c r="AP4743" s="8" t="str">
        <f aca="false">IF(A4743="","",IF(AO4743="","欠損",IF(AO4743&lt;=1.1,"1.0～1.1",IF(AO4743&lt;1.3,"1.2",IF(AO4743&lt;1.5,"1.3～1.4",IF(AO4743&lt;2,"1.5～1.9","2.0以上"))))))</f>
        <v/>
      </c>
      <c r="AQ4743" s="8" t="str">
        <f aca="false">IF(A4743="","",IF(ISNUMBER(SEARCH("2歳",Z4743)),"2歳戦",IF(ISNUMBER(SEARCH("3歳未勝利",Z4743)),"3歳未勝利",IF(ISNUMBER(SEARCH("未勝利",Z4743)),"その他未勝利",IF(ISNUMBER(SEARCH("G1",Z4743)),"G1",IF(ISNUMBER(SEARCH("G2",Z4743)),"G2",IF(ISNUMBER(SEARCH("G3",Z4743)),"G3",IF(ISNUMBER(SEARCH("古馬条件",Z4743)),"古馬条件戦",IF(ISNUMBER(SEARCH("重賞",Z4743)),"重賞","分類不能")))))))))</f>
        <v/>
      </c>
    </row>
    <row r="4744" customFormat="false" ht="15.75" hidden="false" customHeight="false" outlineLevel="0" collapsed="false">
      <c r="AO4744" s="8" t="str">
        <f aca="false">IF(A4744="","",IF(COUNTIFS(全馬データ!$A$2:$A$50000,A4744,全馬データ!$B$2:$B$50000,B4744,全馬データ!$C$2:$C$50000,C4744,全馬データ!$D$2:$D$50000,E4744,全馬データ!$K$2:$K$50000,"&lt;&gt;")=0,"",SUMIFS(全馬データ!$K$2:$K$50000,全馬データ!$A$2:$A$50000,A4744,全馬データ!$B$2:$B$50000,B4744,全馬データ!$C$2:$C$50000,C4744,全馬データ!$D$2:$D$50000,E4744)))</f>
        <v/>
      </c>
      <c r="AP4744" s="8" t="str">
        <f aca="false">IF(A4744="","",IF(AO4744="","欠損",IF(AO4744&lt;=1.1,"1.0～1.1",IF(AO4744&lt;1.3,"1.2",IF(AO4744&lt;1.5,"1.3～1.4",IF(AO4744&lt;2,"1.5～1.9","2.0以上"))))))</f>
        <v/>
      </c>
      <c r="AQ4744" s="8" t="str">
        <f aca="false">IF(A4744="","",IF(ISNUMBER(SEARCH("2歳",Z4744)),"2歳戦",IF(ISNUMBER(SEARCH("3歳未勝利",Z4744)),"3歳未勝利",IF(ISNUMBER(SEARCH("未勝利",Z4744)),"その他未勝利",IF(ISNUMBER(SEARCH("G1",Z4744)),"G1",IF(ISNUMBER(SEARCH("G2",Z4744)),"G2",IF(ISNUMBER(SEARCH("G3",Z4744)),"G3",IF(ISNUMBER(SEARCH("古馬条件",Z4744)),"古馬条件戦",IF(ISNUMBER(SEARCH("重賞",Z4744)),"重賞","分類不能")))))))))</f>
        <v/>
      </c>
    </row>
    <row r="4745" customFormat="false" ht="15.75" hidden="false" customHeight="false" outlineLevel="0" collapsed="false">
      <c r="AO4745" s="8" t="str">
        <f aca="false">IF(A4745="","",IF(COUNTIFS(全馬データ!$A$2:$A$50000,A4745,全馬データ!$B$2:$B$50000,B4745,全馬データ!$C$2:$C$50000,C4745,全馬データ!$D$2:$D$50000,E4745,全馬データ!$K$2:$K$50000,"&lt;&gt;")=0,"",SUMIFS(全馬データ!$K$2:$K$50000,全馬データ!$A$2:$A$50000,A4745,全馬データ!$B$2:$B$50000,B4745,全馬データ!$C$2:$C$50000,C4745,全馬データ!$D$2:$D$50000,E4745)))</f>
        <v/>
      </c>
      <c r="AP4745" s="8" t="str">
        <f aca="false">IF(A4745="","",IF(AO4745="","欠損",IF(AO4745&lt;=1.1,"1.0～1.1",IF(AO4745&lt;1.3,"1.2",IF(AO4745&lt;1.5,"1.3～1.4",IF(AO4745&lt;2,"1.5～1.9","2.0以上"))))))</f>
        <v/>
      </c>
      <c r="AQ4745" s="8" t="str">
        <f aca="false">IF(A4745="","",IF(ISNUMBER(SEARCH("2歳",Z4745)),"2歳戦",IF(ISNUMBER(SEARCH("3歳未勝利",Z4745)),"3歳未勝利",IF(ISNUMBER(SEARCH("未勝利",Z4745)),"その他未勝利",IF(ISNUMBER(SEARCH("G1",Z4745)),"G1",IF(ISNUMBER(SEARCH("G2",Z4745)),"G2",IF(ISNUMBER(SEARCH("G3",Z4745)),"G3",IF(ISNUMBER(SEARCH("古馬条件",Z4745)),"古馬条件戦",IF(ISNUMBER(SEARCH("重賞",Z4745)),"重賞","分類不能")))))))))</f>
        <v/>
      </c>
    </row>
    <row r="4746" customFormat="false" ht="15.75" hidden="false" customHeight="false" outlineLevel="0" collapsed="false">
      <c r="AO4746" s="8" t="str">
        <f aca="false">IF(A4746="","",IF(COUNTIFS(全馬データ!$A$2:$A$50000,A4746,全馬データ!$B$2:$B$50000,B4746,全馬データ!$C$2:$C$50000,C4746,全馬データ!$D$2:$D$50000,E4746,全馬データ!$K$2:$K$50000,"&lt;&gt;")=0,"",SUMIFS(全馬データ!$K$2:$K$50000,全馬データ!$A$2:$A$50000,A4746,全馬データ!$B$2:$B$50000,B4746,全馬データ!$C$2:$C$50000,C4746,全馬データ!$D$2:$D$50000,E4746)))</f>
        <v/>
      </c>
      <c r="AP4746" s="8" t="str">
        <f aca="false">IF(A4746="","",IF(AO4746="","欠損",IF(AO4746&lt;=1.1,"1.0～1.1",IF(AO4746&lt;1.3,"1.2",IF(AO4746&lt;1.5,"1.3～1.4",IF(AO4746&lt;2,"1.5～1.9","2.0以上"))))))</f>
        <v/>
      </c>
      <c r="AQ4746" s="8" t="str">
        <f aca="false">IF(A4746="","",IF(ISNUMBER(SEARCH("2歳",Z4746)),"2歳戦",IF(ISNUMBER(SEARCH("3歳未勝利",Z4746)),"3歳未勝利",IF(ISNUMBER(SEARCH("未勝利",Z4746)),"その他未勝利",IF(ISNUMBER(SEARCH("G1",Z4746)),"G1",IF(ISNUMBER(SEARCH("G2",Z4746)),"G2",IF(ISNUMBER(SEARCH("G3",Z4746)),"G3",IF(ISNUMBER(SEARCH("古馬条件",Z4746)),"古馬条件戦",IF(ISNUMBER(SEARCH("重賞",Z4746)),"重賞","分類不能")))))))))</f>
        <v/>
      </c>
    </row>
    <row r="4747" customFormat="false" ht="15.75" hidden="false" customHeight="false" outlineLevel="0" collapsed="false">
      <c r="AO4747" s="8" t="str">
        <f aca="false">IF(A4747="","",IF(COUNTIFS(全馬データ!$A$2:$A$50000,A4747,全馬データ!$B$2:$B$50000,B4747,全馬データ!$C$2:$C$50000,C4747,全馬データ!$D$2:$D$50000,E4747,全馬データ!$K$2:$K$50000,"&lt;&gt;")=0,"",SUMIFS(全馬データ!$K$2:$K$50000,全馬データ!$A$2:$A$50000,A4747,全馬データ!$B$2:$B$50000,B4747,全馬データ!$C$2:$C$50000,C4747,全馬データ!$D$2:$D$50000,E4747)))</f>
        <v/>
      </c>
      <c r="AP4747" s="8" t="str">
        <f aca="false">IF(A4747="","",IF(AO4747="","欠損",IF(AO4747&lt;=1.1,"1.0～1.1",IF(AO4747&lt;1.3,"1.2",IF(AO4747&lt;1.5,"1.3～1.4",IF(AO4747&lt;2,"1.5～1.9","2.0以上"))))))</f>
        <v/>
      </c>
      <c r="AQ4747" s="8" t="str">
        <f aca="false">IF(A4747="","",IF(ISNUMBER(SEARCH("2歳",Z4747)),"2歳戦",IF(ISNUMBER(SEARCH("3歳未勝利",Z4747)),"3歳未勝利",IF(ISNUMBER(SEARCH("未勝利",Z4747)),"その他未勝利",IF(ISNUMBER(SEARCH("G1",Z4747)),"G1",IF(ISNUMBER(SEARCH("G2",Z4747)),"G2",IF(ISNUMBER(SEARCH("G3",Z4747)),"G3",IF(ISNUMBER(SEARCH("古馬条件",Z4747)),"古馬条件戦",IF(ISNUMBER(SEARCH("重賞",Z4747)),"重賞","分類不能")))))))))</f>
        <v/>
      </c>
    </row>
    <row r="4748" customFormat="false" ht="15.75" hidden="false" customHeight="false" outlineLevel="0" collapsed="false">
      <c r="AO4748" s="8" t="str">
        <f aca="false">IF(A4748="","",IF(COUNTIFS(全馬データ!$A$2:$A$50000,A4748,全馬データ!$B$2:$B$50000,B4748,全馬データ!$C$2:$C$50000,C4748,全馬データ!$D$2:$D$50000,E4748,全馬データ!$K$2:$K$50000,"&lt;&gt;")=0,"",SUMIFS(全馬データ!$K$2:$K$50000,全馬データ!$A$2:$A$50000,A4748,全馬データ!$B$2:$B$50000,B4748,全馬データ!$C$2:$C$50000,C4748,全馬データ!$D$2:$D$50000,E4748)))</f>
        <v/>
      </c>
      <c r="AP4748" s="8" t="str">
        <f aca="false">IF(A4748="","",IF(AO4748="","欠損",IF(AO4748&lt;=1.1,"1.0～1.1",IF(AO4748&lt;1.3,"1.2",IF(AO4748&lt;1.5,"1.3～1.4",IF(AO4748&lt;2,"1.5～1.9","2.0以上"))))))</f>
        <v/>
      </c>
      <c r="AQ4748" s="8" t="str">
        <f aca="false">IF(A4748="","",IF(ISNUMBER(SEARCH("2歳",Z4748)),"2歳戦",IF(ISNUMBER(SEARCH("3歳未勝利",Z4748)),"3歳未勝利",IF(ISNUMBER(SEARCH("未勝利",Z4748)),"その他未勝利",IF(ISNUMBER(SEARCH("G1",Z4748)),"G1",IF(ISNUMBER(SEARCH("G2",Z4748)),"G2",IF(ISNUMBER(SEARCH("G3",Z4748)),"G3",IF(ISNUMBER(SEARCH("古馬条件",Z4748)),"古馬条件戦",IF(ISNUMBER(SEARCH("重賞",Z4748)),"重賞","分類不能")))))))))</f>
        <v/>
      </c>
    </row>
    <row r="4749" customFormat="false" ht="15.75" hidden="false" customHeight="false" outlineLevel="0" collapsed="false">
      <c r="AO4749" s="8" t="str">
        <f aca="false">IF(A4749="","",IF(COUNTIFS(全馬データ!$A$2:$A$50000,A4749,全馬データ!$B$2:$B$50000,B4749,全馬データ!$C$2:$C$50000,C4749,全馬データ!$D$2:$D$50000,E4749,全馬データ!$K$2:$K$50000,"&lt;&gt;")=0,"",SUMIFS(全馬データ!$K$2:$K$50000,全馬データ!$A$2:$A$50000,A4749,全馬データ!$B$2:$B$50000,B4749,全馬データ!$C$2:$C$50000,C4749,全馬データ!$D$2:$D$50000,E4749)))</f>
        <v/>
      </c>
      <c r="AP4749" s="8" t="str">
        <f aca="false">IF(A4749="","",IF(AO4749="","欠損",IF(AO4749&lt;=1.1,"1.0～1.1",IF(AO4749&lt;1.3,"1.2",IF(AO4749&lt;1.5,"1.3～1.4",IF(AO4749&lt;2,"1.5～1.9","2.0以上"))))))</f>
        <v/>
      </c>
      <c r="AQ4749" s="8" t="str">
        <f aca="false">IF(A4749="","",IF(ISNUMBER(SEARCH("2歳",Z4749)),"2歳戦",IF(ISNUMBER(SEARCH("3歳未勝利",Z4749)),"3歳未勝利",IF(ISNUMBER(SEARCH("未勝利",Z4749)),"その他未勝利",IF(ISNUMBER(SEARCH("G1",Z4749)),"G1",IF(ISNUMBER(SEARCH("G2",Z4749)),"G2",IF(ISNUMBER(SEARCH("G3",Z4749)),"G3",IF(ISNUMBER(SEARCH("古馬条件",Z4749)),"古馬条件戦",IF(ISNUMBER(SEARCH("重賞",Z4749)),"重賞","分類不能")))))))))</f>
        <v/>
      </c>
    </row>
    <row r="4750" customFormat="false" ht="15.75" hidden="false" customHeight="false" outlineLevel="0" collapsed="false">
      <c r="AO4750" s="8" t="str">
        <f aca="false">IF(A4750="","",IF(COUNTIFS(全馬データ!$A$2:$A$50000,A4750,全馬データ!$B$2:$B$50000,B4750,全馬データ!$C$2:$C$50000,C4750,全馬データ!$D$2:$D$50000,E4750,全馬データ!$K$2:$K$50000,"&lt;&gt;")=0,"",SUMIFS(全馬データ!$K$2:$K$50000,全馬データ!$A$2:$A$50000,A4750,全馬データ!$B$2:$B$50000,B4750,全馬データ!$C$2:$C$50000,C4750,全馬データ!$D$2:$D$50000,E4750)))</f>
        <v/>
      </c>
      <c r="AP4750" s="8" t="str">
        <f aca="false">IF(A4750="","",IF(AO4750="","欠損",IF(AO4750&lt;=1.1,"1.0～1.1",IF(AO4750&lt;1.3,"1.2",IF(AO4750&lt;1.5,"1.3～1.4",IF(AO4750&lt;2,"1.5～1.9","2.0以上"))))))</f>
        <v/>
      </c>
      <c r="AQ4750" s="8" t="str">
        <f aca="false">IF(A4750="","",IF(ISNUMBER(SEARCH("2歳",Z4750)),"2歳戦",IF(ISNUMBER(SEARCH("3歳未勝利",Z4750)),"3歳未勝利",IF(ISNUMBER(SEARCH("未勝利",Z4750)),"その他未勝利",IF(ISNUMBER(SEARCH("G1",Z4750)),"G1",IF(ISNUMBER(SEARCH("G2",Z4750)),"G2",IF(ISNUMBER(SEARCH("G3",Z4750)),"G3",IF(ISNUMBER(SEARCH("古馬条件",Z4750)),"古馬条件戦",IF(ISNUMBER(SEARCH("重賞",Z4750)),"重賞","分類不能")))))))))</f>
        <v/>
      </c>
    </row>
    <row r="4751" customFormat="false" ht="15.75" hidden="false" customHeight="false" outlineLevel="0" collapsed="false">
      <c r="AO4751" s="8" t="str">
        <f aca="false">IF(A4751="","",IF(COUNTIFS(全馬データ!$A$2:$A$50000,A4751,全馬データ!$B$2:$B$50000,B4751,全馬データ!$C$2:$C$50000,C4751,全馬データ!$D$2:$D$50000,E4751,全馬データ!$K$2:$K$50000,"&lt;&gt;")=0,"",SUMIFS(全馬データ!$K$2:$K$50000,全馬データ!$A$2:$A$50000,A4751,全馬データ!$B$2:$B$50000,B4751,全馬データ!$C$2:$C$50000,C4751,全馬データ!$D$2:$D$50000,E4751)))</f>
        <v/>
      </c>
      <c r="AP4751" s="8" t="str">
        <f aca="false">IF(A4751="","",IF(AO4751="","欠損",IF(AO4751&lt;=1.1,"1.0～1.1",IF(AO4751&lt;1.3,"1.2",IF(AO4751&lt;1.5,"1.3～1.4",IF(AO4751&lt;2,"1.5～1.9","2.0以上"))))))</f>
        <v/>
      </c>
      <c r="AQ4751" s="8" t="str">
        <f aca="false">IF(A4751="","",IF(ISNUMBER(SEARCH("2歳",Z4751)),"2歳戦",IF(ISNUMBER(SEARCH("3歳未勝利",Z4751)),"3歳未勝利",IF(ISNUMBER(SEARCH("未勝利",Z4751)),"その他未勝利",IF(ISNUMBER(SEARCH("G1",Z4751)),"G1",IF(ISNUMBER(SEARCH("G2",Z4751)),"G2",IF(ISNUMBER(SEARCH("G3",Z4751)),"G3",IF(ISNUMBER(SEARCH("古馬条件",Z4751)),"古馬条件戦",IF(ISNUMBER(SEARCH("重賞",Z4751)),"重賞","分類不能")))))))))</f>
        <v/>
      </c>
    </row>
    <row r="4752" customFormat="false" ht="15.75" hidden="false" customHeight="false" outlineLevel="0" collapsed="false">
      <c r="AO4752" s="8" t="str">
        <f aca="false">IF(A4752="","",IF(COUNTIFS(全馬データ!$A$2:$A$50000,A4752,全馬データ!$B$2:$B$50000,B4752,全馬データ!$C$2:$C$50000,C4752,全馬データ!$D$2:$D$50000,E4752,全馬データ!$K$2:$K$50000,"&lt;&gt;")=0,"",SUMIFS(全馬データ!$K$2:$K$50000,全馬データ!$A$2:$A$50000,A4752,全馬データ!$B$2:$B$50000,B4752,全馬データ!$C$2:$C$50000,C4752,全馬データ!$D$2:$D$50000,E4752)))</f>
        <v/>
      </c>
      <c r="AP4752" s="8" t="str">
        <f aca="false">IF(A4752="","",IF(AO4752="","欠損",IF(AO4752&lt;=1.1,"1.0～1.1",IF(AO4752&lt;1.3,"1.2",IF(AO4752&lt;1.5,"1.3～1.4",IF(AO4752&lt;2,"1.5～1.9","2.0以上"))))))</f>
        <v/>
      </c>
      <c r="AQ4752" s="8" t="str">
        <f aca="false">IF(A4752="","",IF(ISNUMBER(SEARCH("2歳",Z4752)),"2歳戦",IF(ISNUMBER(SEARCH("3歳未勝利",Z4752)),"3歳未勝利",IF(ISNUMBER(SEARCH("未勝利",Z4752)),"その他未勝利",IF(ISNUMBER(SEARCH("G1",Z4752)),"G1",IF(ISNUMBER(SEARCH("G2",Z4752)),"G2",IF(ISNUMBER(SEARCH("G3",Z4752)),"G3",IF(ISNUMBER(SEARCH("古馬条件",Z4752)),"古馬条件戦",IF(ISNUMBER(SEARCH("重賞",Z4752)),"重賞","分類不能")))))))))</f>
        <v/>
      </c>
    </row>
    <row r="4753" customFormat="false" ht="15.75" hidden="false" customHeight="false" outlineLevel="0" collapsed="false">
      <c r="AO4753" s="8" t="str">
        <f aca="false">IF(A4753="","",IF(COUNTIFS(全馬データ!$A$2:$A$50000,A4753,全馬データ!$B$2:$B$50000,B4753,全馬データ!$C$2:$C$50000,C4753,全馬データ!$D$2:$D$50000,E4753,全馬データ!$K$2:$K$50000,"&lt;&gt;")=0,"",SUMIFS(全馬データ!$K$2:$K$50000,全馬データ!$A$2:$A$50000,A4753,全馬データ!$B$2:$B$50000,B4753,全馬データ!$C$2:$C$50000,C4753,全馬データ!$D$2:$D$50000,E4753)))</f>
        <v/>
      </c>
      <c r="AP4753" s="8" t="str">
        <f aca="false">IF(A4753="","",IF(AO4753="","欠損",IF(AO4753&lt;=1.1,"1.0～1.1",IF(AO4753&lt;1.3,"1.2",IF(AO4753&lt;1.5,"1.3～1.4",IF(AO4753&lt;2,"1.5～1.9","2.0以上"))))))</f>
        <v/>
      </c>
      <c r="AQ4753" s="8" t="str">
        <f aca="false">IF(A4753="","",IF(ISNUMBER(SEARCH("2歳",Z4753)),"2歳戦",IF(ISNUMBER(SEARCH("3歳未勝利",Z4753)),"3歳未勝利",IF(ISNUMBER(SEARCH("未勝利",Z4753)),"その他未勝利",IF(ISNUMBER(SEARCH("G1",Z4753)),"G1",IF(ISNUMBER(SEARCH("G2",Z4753)),"G2",IF(ISNUMBER(SEARCH("G3",Z4753)),"G3",IF(ISNUMBER(SEARCH("古馬条件",Z4753)),"古馬条件戦",IF(ISNUMBER(SEARCH("重賞",Z4753)),"重賞","分類不能")))))))))</f>
        <v/>
      </c>
    </row>
    <row r="4754" customFormat="false" ht="15.75" hidden="false" customHeight="false" outlineLevel="0" collapsed="false">
      <c r="AO4754" s="8" t="str">
        <f aca="false">IF(A4754="","",IF(COUNTIFS(全馬データ!$A$2:$A$50000,A4754,全馬データ!$B$2:$B$50000,B4754,全馬データ!$C$2:$C$50000,C4754,全馬データ!$D$2:$D$50000,E4754,全馬データ!$K$2:$K$50000,"&lt;&gt;")=0,"",SUMIFS(全馬データ!$K$2:$K$50000,全馬データ!$A$2:$A$50000,A4754,全馬データ!$B$2:$B$50000,B4754,全馬データ!$C$2:$C$50000,C4754,全馬データ!$D$2:$D$50000,E4754)))</f>
        <v/>
      </c>
      <c r="AP4754" s="8" t="str">
        <f aca="false">IF(A4754="","",IF(AO4754="","欠損",IF(AO4754&lt;=1.1,"1.0～1.1",IF(AO4754&lt;1.3,"1.2",IF(AO4754&lt;1.5,"1.3～1.4",IF(AO4754&lt;2,"1.5～1.9","2.0以上"))))))</f>
        <v/>
      </c>
      <c r="AQ4754" s="8" t="str">
        <f aca="false">IF(A4754="","",IF(ISNUMBER(SEARCH("2歳",Z4754)),"2歳戦",IF(ISNUMBER(SEARCH("3歳未勝利",Z4754)),"3歳未勝利",IF(ISNUMBER(SEARCH("未勝利",Z4754)),"その他未勝利",IF(ISNUMBER(SEARCH("G1",Z4754)),"G1",IF(ISNUMBER(SEARCH("G2",Z4754)),"G2",IF(ISNUMBER(SEARCH("G3",Z4754)),"G3",IF(ISNUMBER(SEARCH("古馬条件",Z4754)),"古馬条件戦",IF(ISNUMBER(SEARCH("重賞",Z4754)),"重賞","分類不能")))))))))</f>
        <v/>
      </c>
    </row>
    <row r="4755" customFormat="false" ht="15.75" hidden="false" customHeight="false" outlineLevel="0" collapsed="false">
      <c r="AO4755" s="8" t="str">
        <f aca="false">IF(A4755="","",IF(COUNTIFS(全馬データ!$A$2:$A$50000,A4755,全馬データ!$B$2:$B$50000,B4755,全馬データ!$C$2:$C$50000,C4755,全馬データ!$D$2:$D$50000,E4755,全馬データ!$K$2:$K$50000,"&lt;&gt;")=0,"",SUMIFS(全馬データ!$K$2:$K$50000,全馬データ!$A$2:$A$50000,A4755,全馬データ!$B$2:$B$50000,B4755,全馬データ!$C$2:$C$50000,C4755,全馬データ!$D$2:$D$50000,E4755)))</f>
        <v/>
      </c>
      <c r="AP4755" s="8" t="str">
        <f aca="false">IF(A4755="","",IF(AO4755="","欠損",IF(AO4755&lt;=1.1,"1.0～1.1",IF(AO4755&lt;1.3,"1.2",IF(AO4755&lt;1.5,"1.3～1.4",IF(AO4755&lt;2,"1.5～1.9","2.0以上"))))))</f>
        <v/>
      </c>
      <c r="AQ4755" s="8" t="str">
        <f aca="false">IF(A4755="","",IF(ISNUMBER(SEARCH("2歳",Z4755)),"2歳戦",IF(ISNUMBER(SEARCH("3歳未勝利",Z4755)),"3歳未勝利",IF(ISNUMBER(SEARCH("未勝利",Z4755)),"その他未勝利",IF(ISNUMBER(SEARCH("G1",Z4755)),"G1",IF(ISNUMBER(SEARCH("G2",Z4755)),"G2",IF(ISNUMBER(SEARCH("G3",Z4755)),"G3",IF(ISNUMBER(SEARCH("古馬条件",Z4755)),"古馬条件戦",IF(ISNUMBER(SEARCH("重賞",Z4755)),"重賞","分類不能")))))))))</f>
        <v/>
      </c>
    </row>
    <row r="4756" customFormat="false" ht="15.75" hidden="false" customHeight="false" outlineLevel="0" collapsed="false">
      <c r="AO4756" s="8" t="str">
        <f aca="false">IF(A4756="","",IF(COUNTIFS(全馬データ!$A$2:$A$50000,A4756,全馬データ!$B$2:$B$50000,B4756,全馬データ!$C$2:$C$50000,C4756,全馬データ!$D$2:$D$50000,E4756,全馬データ!$K$2:$K$50000,"&lt;&gt;")=0,"",SUMIFS(全馬データ!$K$2:$K$50000,全馬データ!$A$2:$A$50000,A4756,全馬データ!$B$2:$B$50000,B4756,全馬データ!$C$2:$C$50000,C4756,全馬データ!$D$2:$D$50000,E4756)))</f>
        <v/>
      </c>
      <c r="AP4756" s="8" t="str">
        <f aca="false">IF(A4756="","",IF(AO4756="","欠損",IF(AO4756&lt;=1.1,"1.0～1.1",IF(AO4756&lt;1.3,"1.2",IF(AO4756&lt;1.5,"1.3～1.4",IF(AO4756&lt;2,"1.5～1.9","2.0以上"))))))</f>
        <v/>
      </c>
      <c r="AQ4756" s="8" t="str">
        <f aca="false">IF(A4756="","",IF(ISNUMBER(SEARCH("2歳",Z4756)),"2歳戦",IF(ISNUMBER(SEARCH("3歳未勝利",Z4756)),"3歳未勝利",IF(ISNUMBER(SEARCH("未勝利",Z4756)),"その他未勝利",IF(ISNUMBER(SEARCH("G1",Z4756)),"G1",IF(ISNUMBER(SEARCH("G2",Z4756)),"G2",IF(ISNUMBER(SEARCH("G3",Z4756)),"G3",IF(ISNUMBER(SEARCH("古馬条件",Z4756)),"古馬条件戦",IF(ISNUMBER(SEARCH("重賞",Z4756)),"重賞","分類不能")))))))))</f>
        <v/>
      </c>
    </row>
    <row r="4757" customFormat="false" ht="15.75" hidden="false" customHeight="false" outlineLevel="0" collapsed="false">
      <c r="AO4757" s="8" t="str">
        <f aca="false">IF(A4757="","",IF(COUNTIFS(全馬データ!$A$2:$A$50000,A4757,全馬データ!$B$2:$B$50000,B4757,全馬データ!$C$2:$C$50000,C4757,全馬データ!$D$2:$D$50000,E4757,全馬データ!$K$2:$K$50000,"&lt;&gt;")=0,"",SUMIFS(全馬データ!$K$2:$K$50000,全馬データ!$A$2:$A$50000,A4757,全馬データ!$B$2:$B$50000,B4757,全馬データ!$C$2:$C$50000,C4757,全馬データ!$D$2:$D$50000,E4757)))</f>
        <v/>
      </c>
      <c r="AP4757" s="8" t="str">
        <f aca="false">IF(A4757="","",IF(AO4757="","欠損",IF(AO4757&lt;=1.1,"1.0～1.1",IF(AO4757&lt;1.3,"1.2",IF(AO4757&lt;1.5,"1.3～1.4",IF(AO4757&lt;2,"1.5～1.9","2.0以上"))))))</f>
        <v/>
      </c>
      <c r="AQ4757" s="8" t="str">
        <f aca="false">IF(A4757="","",IF(ISNUMBER(SEARCH("2歳",Z4757)),"2歳戦",IF(ISNUMBER(SEARCH("3歳未勝利",Z4757)),"3歳未勝利",IF(ISNUMBER(SEARCH("未勝利",Z4757)),"その他未勝利",IF(ISNUMBER(SEARCH("G1",Z4757)),"G1",IF(ISNUMBER(SEARCH("G2",Z4757)),"G2",IF(ISNUMBER(SEARCH("G3",Z4757)),"G3",IF(ISNUMBER(SEARCH("古馬条件",Z4757)),"古馬条件戦",IF(ISNUMBER(SEARCH("重賞",Z4757)),"重賞","分類不能")))))))))</f>
        <v/>
      </c>
    </row>
    <row r="4758" customFormat="false" ht="15.75" hidden="false" customHeight="false" outlineLevel="0" collapsed="false">
      <c r="AO4758" s="8" t="str">
        <f aca="false">IF(A4758="","",IF(COUNTIFS(全馬データ!$A$2:$A$50000,A4758,全馬データ!$B$2:$B$50000,B4758,全馬データ!$C$2:$C$50000,C4758,全馬データ!$D$2:$D$50000,E4758,全馬データ!$K$2:$K$50000,"&lt;&gt;")=0,"",SUMIFS(全馬データ!$K$2:$K$50000,全馬データ!$A$2:$A$50000,A4758,全馬データ!$B$2:$B$50000,B4758,全馬データ!$C$2:$C$50000,C4758,全馬データ!$D$2:$D$50000,E4758)))</f>
        <v/>
      </c>
      <c r="AP4758" s="8" t="str">
        <f aca="false">IF(A4758="","",IF(AO4758="","欠損",IF(AO4758&lt;=1.1,"1.0～1.1",IF(AO4758&lt;1.3,"1.2",IF(AO4758&lt;1.5,"1.3～1.4",IF(AO4758&lt;2,"1.5～1.9","2.0以上"))))))</f>
        <v/>
      </c>
      <c r="AQ4758" s="8" t="str">
        <f aca="false">IF(A4758="","",IF(ISNUMBER(SEARCH("2歳",Z4758)),"2歳戦",IF(ISNUMBER(SEARCH("3歳未勝利",Z4758)),"3歳未勝利",IF(ISNUMBER(SEARCH("未勝利",Z4758)),"その他未勝利",IF(ISNUMBER(SEARCH("G1",Z4758)),"G1",IF(ISNUMBER(SEARCH("G2",Z4758)),"G2",IF(ISNUMBER(SEARCH("G3",Z4758)),"G3",IF(ISNUMBER(SEARCH("古馬条件",Z4758)),"古馬条件戦",IF(ISNUMBER(SEARCH("重賞",Z4758)),"重賞","分類不能")))))))))</f>
        <v/>
      </c>
    </row>
    <row r="4759" customFormat="false" ht="15.75" hidden="false" customHeight="false" outlineLevel="0" collapsed="false">
      <c r="AO4759" s="8" t="str">
        <f aca="false">IF(A4759="","",IF(COUNTIFS(全馬データ!$A$2:$A$50000,A4759,全馬データ!$B$2:$B$50000,B4759,全馬データ!$C$2:$C$50000,C4759,全馬データ!$D$2:$D$50000,E4759,全馬データ!$K$2:$K$50000,"&lt;&gt;")=0,"",SUMIFS(全馬データ!$K$2:$K$50000,全馬データ!$A$2:$A$50000,A4759,全馬データ!$B$2:$B$50000,B4759,全馬データ!$C$2:$C$50000,C4759,全馬データ!$D$2:$D$50000,E4759)))</f>
        <v/>
      </c>
      <c r="AP4759" s="8" t="str">
        <f aca="false">IF(A4759="","",IF(AO4759="","欠損",IF(AO4759&lt;=1.1,"1.0～1.1",IF(AO4759&lt;1.3,"1.2",IF(AO4759&lt;1.5,"1.3～1.4",IF(AO4759&lt;2,"1.5～1.9","2.0以上"))))))</f>
        <v/>
      </c>
      <c r="AQ4759" s="8" t="str">
        <f aca="false">IF(A4759="","",IF(ISNUMBER(SEARCH("2歳",Z4759)),"2歳戦",IF(ISNUMBER(SEARCH("3歳未勝利",Z4759)),"3歳未勝利",IF(ISNUMBER(SEARCH("未勝利",Z4759)),"その他未勝利",IF(ISNUMBER(SEARCH("G1",Z4759)),"G1",IF(ISNUMBER(SEARCH("G2",Z4759)),"G2",IF(ISNUMBER(SEARCH("G3",Z4759)),"G3",IF(ISNUMBER(SEARCH("古馬条件",Z4759)),"古馬条件戦",IF(ISNUMBER(SEARCH("重賞",Z4759)),"重賞","分類不能")))))))))</f>
        <v/>
      </c>
    </row>
    <row r="4760" customFormat="false" ht="15.75" hidden="false" customHeight="false" outlineLevel="0" collapsed="false">
      <c r="AO4760" s="8" t="str">
        <f aca="false">IF(A4760="","",IF(COUNTIFS(全馬データ!$A$2:$A$50000,A4760,全馬データ!$B$2:$B$50000,B4760,全馬データ!$C$2:$C$50000,C4760,全馬データ!$D$2:$D$50000,E4760,全馬データ!$K$2:$K$50000,"&lt;&gt;")=0,"",SUMIFS(全馬データ!$K$2:$K$50000,全馬データ!$A$2:$A$50000,A4760,全馬データ!$B$2:$B$50000,B4760,全馬データ!$C$2:$C$50000,C4760,全馬データ!$D$2:$D$50000,E4760)))</f>
        <v/>
      </c>
      <c r="AP4760" s="8" t="str">
        <f aca="false">IF(A4760="","",IF(AO4760="","欠損",IF(AO4760&lt;=1.1,"1.0～1.1",IF(AO4760&lt;1.3,"1.2",IF(AO4760&lt;1.5,"1.3～1.4",IF(AO4760&lt;2,"1.5～1.9","2.0以上"))))))</f>
        <v/>
      </c>
      <c r="AQ4760" s="8" t="str">
        <f aca="false">IF(A4760="","",IF(ISNUMBER(SEARCH("2歳",Z4760)),"2歳戦",IF(ISNUMBER(SEARCH("3歳未勝利",Z4760)),"3歳未勝利",IF(ISNUMBER(SEARCH("未勝利",Z4760)),"その他未勝利",IF(ISNUMBER(SEARCH("G1",Z4760)),"G1",IF(ISNUMBER(SEARCH("G2",Z4760)),"G2",IF(ISNUMBER(SEARCH("G3",Z4760)),"G3",IF(ISNUMBER(SEARCH("古馬条件",Z4760)),"古馬条件戦",IF(ISNUMBER(SEARCH("重賞",Z4760)),"重賞","分類不能")))))))))</f>
        <v/>
      </c>
    </row>
    <row r="4761" customFormat="false" ht="15.75" hidden="false" customHeight="false" outlineLevel="0" collapsed="false">
      <c r="AO4761" s="8" t="str">
        <f aca="false">IF(A4761="","",IF(COUNTIFS(全馬データ!$A$2:$A$50000,A4761,全馬データ!$B$2:$B$50000,B4761,全馬データ!$C$2:$C$50000,C4761,全馬データ!$D$2:$D$50000,E4761,全馬データ!$K$2:$K$50000,"&lt;&gt;")=0,"",SUMIFS(全馬データ!$K$2:$K$50000,全馬データ!$A$2:$A$50000,A4761,全馬データ!$B$2:$B$50000,B4761,全馬データ!$C$2:$C$50000,C4761,全馬データ!$D$2:$D$50000,E4761)))</f>
        <v/>
      </c>
      <c r="AP4761" s="8" t="str">
        <f aca="false">IF(A4761="","",IF(AO4761="","欠損",IF(AO4761&lt;=1.1,"1.0～1.1",IF(AO4761&lt;1.3,"1.2",IF(AO4761&lt;1.5,"1.3～1.4",IF(AO4761&lt;2,"1.5～1.9","2.0以上"))))))</f>
        <v/>
      </c>
      <c r="AQ4761" s="8" t="str">
        <f aca="false">IF(A4761="","",IF(ISNUMBER(SEARCH("2歳",Z4761)),"2歳戦",IF(ISNUMBER(SEARCH("3歳未勝利",Z4761)),"3歳未勝利",IF(ISNUMBER(SEARCH("未勝利",Z4761)),"その他未勝利",IF(ISNUMBER(SEARCH("G1",Z4761)),"G1",IF(ISNUMBER(SEARCH("G2",Z4761)),"G2",IF(ISNUMBER(SEARCH("G3",Z4761)),"G3",IF(ISNUMBER(SEARCH("古馬条件",Z4761)),"古馬条件戦",IF(ISNUMBER(SEARCH("重賞",Z4761)),"重賞","分類不能")))))))))</f>
        <v/>
      </c>
    </row>
    <row r="4762" customFormat="false" ht="15.75" hidden="false" customHeight="false" outlineLevel="0" collapsed="false">
      <c r="AO4762" s="8" t="str">
        <f aca="false">IF(A4762="","",IF(COUNTIFS(全馬データ!$A$2:$A$50000,A4762,全馬データ!$B$2:$B$50000,B4762,全馬データ!$C$2:$C$50000,C4762,全馬データ!$D$2:$D$50000,E4762,全馬データ!$K$2:$K$50000,"&lt;&gt;")=0,"",SUMIFS(全馬データ!$K$2:$K$50000,全馬データ!$A$2:$A$50000,A4762,全馬データ!$B$2:$B$50000,B4762,全馬データ!$C$2:$C$50000,C4762,全馬データ!$D$2:$D$50000,E4762)))</f>
        <v/>
      </c>
      <c r="AP4762" s="8" t="str">
        <f aca="false">IF(A4762="","",IF(AO4762="","欠損",IF(AO4762&lt;=1.1,"1.0～1.1",IF(AO4762&lt;1.3,"1.2",IF(AO4762&lt;1.5,"1.3～1.4",IF(AO4762&lt;2,"1.5～1.9","2.0以上"))))))</f>
        <v/>
      </c>
      <c r="AQ4762" s="8" t="str">
        <f aca="false">IF(A4762="","",IF(ISNUMBER(SEARCH("2歳",Z4762)),"2歳戦",IF(ISNUMBER(SEARCH("3歳未勝利",Z4762)),"3歳未勝利",IF(ISNUMBER(SEARCH("未勝利",Z4762)),"その他未勝利",IF(ISNUMBER(SEARCH("G1",Z4762)),"G1",IF(ISNUMBER(SEARCH("G2",Z4762)),"G2",IF(ISNUMBER(SEARCH("G3",Z4762)),"G3",IF(ISNUMBER(SEARCH("古馬条件",Z4762)),"古馬条件戦",IF(ISNUMBER(SEARCH("重賞",Z4762)),"重賞","分類不能")))))))))</f>
        <v/>
      </c>
    </row>
    <row r="4763" customFormat="false" ht="15.75" hidden="false" customHeight="false" outlineLevel="0" collapsed="false">
      <c r="AO4763" s="8" t="str">
        <f aca="false">IF(A4763="","",IF(COUNTIFS(全馬データ!$A$2:$A$50000,A4763,全馬データ!$B$2:$B$50000,B4763,全馬データ!$C$2:$C$50000,C4763,全馬データ!$D$2:$D$50000,E4763,全馬データ!$K$2:$K$50000,"&lt;&gt;")=0,"",SUMIFS(全馬データ!$K$2:$K$50000,全馬データ!$A$2:$A$50000,A4763,全馬データ!$B$2:$B$50000,B4763,全馬データ!$C$2:$C$50000,C4763,全馬データ!$D$2:$D$50000,E4763)))</f>
        <v/>
      </c>
      <c r="AP4763" s="8" t="str">
        <f aca="false">IF(A4763="","",IF(AO4763="","欠損",IF(AO4763&lt;=1.1,"1.0～1.1",IF(AO4763&lt;1.3,"1.2",IF(AO4763&lt;1.5,"1.3～1.4",IF(AO4763&lt;2,"1.5～1.9","2.0以上"))))))</f>
        <v/>
      </c>
      <c r="AQ4763" s="8" t="str">
        <f aca="false">IF(A4763="","",IF(ISNUMBER(SEARCH("2歳",Z4763)),"2歳戦",IF(ISNUMBER(SEARCH("3歳未勝利",Z4763)),"3歳未勝利",IF(ISNUMBER(SEARCH("未勝利",Z4763)),"その他未勝利",IF(ISNUMBER(SEARCH("G1",Z4763)),"G1",IF(ISNUMBER(SEARCH("G2",Z4763)),"G2",IF(ISNUMBER(SEARCH("G3",Z4763)),"G3",IF(ISNUMBER(SEARCH("古馬条件",Z4763)),"古馬条件戦",IF(ISNUMBER(SEARCH("重賞",Z4763)),"重賞","分類不能")))))))))</f>
        <v/>
      </c>
    </row>
    <row r="4764" customFormat="false" ht="15.75" hidden="false" customHeight="false" outlineLevel="0" collapsed="false">
      <c r="AO4764" s="8" t="str">
        <f aca="false">IF(A4764="","",IF(COUNTIFS(全馬データ!$A$2:$A$50000,A4764,全馬データ!$B$2:$B$50000,B4764,全馬データ!$C$2:$C$50000,C4764,全馬データ!$D$2:$D$50000,E4764,全馬データ!$K$2:$K$50000,"&lt;&gt;")=0,"",SUMIFS(全馬データ!$K$2:$K$50000,全馬データ!$A$2:$A$50000,A4764,全馬データ!$B$2:$B$50000,B4764,全馬データ!$C$2:$C$50000,C4764,全馬データ!$D$2:$D$50000,E4764)))</f>
        <v/>
      </c>
      <c r="AP4764" s="8" t="str">
        <f aca="false">IF(A4764="","",IF(AO4764="","欠損",IF(AO4764&lt;=1.1,"1.0～1.1",IF(AO4764&lt;1.3,"1.2",IF(AO4764&lt;1.5,"1.3～1.4",IF(AO4764&lt;2,"1.5～1.9","2.0以上"))))))</f>
        <v/>
      </c>
      <c r="AQ4764" s="8" t="str">
        <f aca="false">IF(A4764="","",IF(ISNUMBER(SEARCH("2歳",Z4764)),"2歳戦",IF(ISNUMBER(SEARCH("3歳未勝利",Z4764)),"3歳未勝利",IF(ISNUMBER(SEARCH("未勝利",Z4764)),"その他未勝利",IF(ISNUMBER(SEARCH("G1",Z4764)),"G1",IF(ISNUMBER(SEARCH("G2",Z4764)),"G2",IF(ISNUMBER(SEARCH("G3",Z4764)),"G3",IF(ISNUMBER(SEARCH("古馬条件",Z4764)),"古馬条件戦",IF(ISNUMBER(SEARCH("重賞",Z4764)),"重賞","分類不能")))))))))</f>
        <v/>
      </c>
    </row>
    <row r="4765" customFormat="false" ht="15.75" hidden="false" customHeight="false" outlineLevel="0" collapsed="false">
      <c r="AO4765" s="8" t="str">
        <f aca="false">IF(A4765="","",IF(COUNTIFS(全馬データ!$A$2:$A$50000,A4765,全馬データ!$B$2:$B$50000,B4765,全馬データ!$C$2:$C$50000,C4765,全馬データ!$D$2:$D$50000,E4765,全馬データ!$K$2:$K$50000,"&lt;&gt;")=0,"",SUMIFS(全馬データ!$K$2:$K$50000,全馬データ!$A$2:$A$50000,A4765,全馬データ!$B$2:$B$50000,B4765,全馬データ!$C$2:$C$50000,C4765,全馬データ!$D$2:$D$50000,E4765)))</f>
        <v/>
      </c>
      <c r="AP4765" s="8" t="str">
        <f aca="false">IF(A4765="","",IF(AO4765="","欠損",IF(AO4765&lt;=1.1,"1.0～1.1",IF(AO4765&lt;1.3,"1.2",IF(AO4765&lt;1.5,"1.3～1.4",IF(AO4765&lt;2,"1.5～1.9","2.0以上"))))))</f>
        <v/>
      </c>
      <c r="AQ4765" s="8" t="str">
        <f aca="false">IF(A4765="","",IF(ISNUMBER(SEARCH("2歳",Z4765)),"2歳戦",IF(ISNUMBER(SEARCH("3歳未勝利",Z4765)),"3歳未勝利",IF(ISNUMBER(SEARCH("未勝利",Z4765)),"その他未勝利",IF(ISNUMBER(SEARCH("G1",Z4765)),"G1",IF(ISNUMBER(SEARCH("G2",Z4765)),"G2",IF(ISNUMBER(SEARCH("G3",Z4765)),"G3",IF(ISNUMBER(SEARCH("古馬条件",Z4765)),"古馬条件戦",IF(ISNUMBER(SEARCH("重賞",Z4765)),"重賞","分類不能")))))))))</f>
        <v/>
      </c>
    </row>
    <row r="4766" customFormat="false" ht="15.75" hidden="false" customHeight="false" outlineLevel="0" collapsed="false">
      <c r="AO4766" s="8" t="str">
        <f aca="false">IF(A4766="","",IF(COUNTIFS(全馬データ!$A$2:$A$50000,A4766,全馬データ!$B$2:$B$50000,B4766,全馬データ!$C$2:$C$50000,C4766,全馬データ!$D$2:$D$50000,E4766,全馬データ!$K$2:$K$50000,"&lt;&gt;")=0,"",SUMIFS(全馬データ!$K$2:$K$50000,全馬データ!$A$2:$A$50000,A4766,全馬データ!$B$2:$B$50000,B4766,全馬データ!$C$2:$C$50000,C4766,全馬データ!$D$2:$D$50000,E4766)))</f>
        <v/>
      </c>
      <c r="AP4766" s="8" t="str">
        <f aca="false">IF(A4766="","",IF(AO4766="","欠損",IF(AO4766&lt;=1.1,"1.0～1.1",IF(AO4766&lt;1.3,"1.2",IF(AO4766&lt;1.5,"1.3～1.4",IF(AO4766&lt;2,"1.5～1.9","2.0以上"))))))</f>
        <v/>
      </c>
      <c r="AQ4766" s="8" t="str">
        <f aca="false">IF(A4766="","",IF(ISNUMBER(SEARCH("2歳",Z4766)),"2歳戦",IF(ISNUMBER(SEARCH("3歳未勝利",Z4766)),"3歳未勝利",IF(ISNUMBER(SEARCH("未勝利",Z4766)),"その他未勝利",IF(ISNUMBER(SEARCH("G1",Z4766)),"G1",IF(ISNUMBER(SEARCH("G2",Z4766)),"G2",IF(ISNUMBER(SEARCH("G3",Z4766)),"G3",IF(ISNUMBER(SEARCH("古馬条件",Z4766)),"古馬条件戦",IF(ISNUMBER(SEARCH("重賞",Z4766)),"重賞","分類不能")))))))))</f>
        <v/>
      </c>
    </row>
    <row r="4767" customFormat="false" ht="15.75" hidden="false" customHeight="false" outlineLevel="0" collapsed="false">
      <c r="AO4767" s="8" t="str">
        <f aca="false">IF(A4767="","",IF(COUNTIFS(全馬データ!$A$2:$A$50000,A4767,全馬データ!$B$2:$B$50000,B4767,全馬データ!$C$2:$C$50000,C4767,全馬データ!$D$2:$D$50000,E4767,全馬データ!$K$2:$K$50000,"&lt;&gt;")=0,"",SUMIFS(全馬データ!$K$2:$K$50000,全馬データ!$A$2:$A$50000,A4767,全馬データ!$B$2:$B$50000,B4767,全馬データ!$C$2:$C$50000,C4767,全馬データ!$D$2:$D$50000,E4767)))</f>
        <v/>
      </c>
      <c r="AP4767" s="8" t="str">
        <f aca="false">IF(A4767="","",IF(AO4767="","欠損",IF(AO4767&lt;=1.1,"1.0～1.1",IF(AO4767&lt;1.3,"1.2",IF(AO4767&lt;1.5,"1.3～1.4",IF(AO4767&lt;2,"1.5～1.9","2.0以上"))))))</f>
        <v/>
      </c>
      <c r="AQ4767" s="8" t="str">
        <f aca="false">IF(A4767="","",IF(ISNUMBER(SEARCH("2歳",Z4767)),"2歳戦",IF(ISNUMBER(SEARCH("3歳未勝利",Z4767)),"3歳未勝利",IF(ISNUMBER(SEARCH("未勝利",Z4767)),"その他未勝利",IF(ISNUMBER(SEARCH("G1",Z4767)),"G1",IF(ISNUMBER(SEARCH("G2",Z4767)),"G2",IF(ISNUMBER(SEARCH("G3",Z4767)),"G3",IF(ISNUMBER(SEARCH("古馬条件",Z4767)),"古馬条件戦",IF(ISNUMBER(SEARCH("重賞",Z4767)),"重賞","分類不能")))))))))</f>
        <v/>
      </c>
    </row>
    <row r="4768" customFormat="false" ht="15.75" hidden="false" customHeight="false" outlineLevel="0" collapsed="false">
      <c r="AO4768" s="8" t="str">
        <f aca="false">IF(A4768="","",IF(COUNTIFS(全馬データ!$A$2:$A$50000,A4768,全馬データ!$B$2:$B$50000,B4768,全馬データ!$C$2:$C$50000,C4768,全馬データ!$D$2:$D$50000,E4768,全馬データ!$K$2:$K$50000,"&lt;&gt;")=0,"",SUMIFS(全馬データ!$K$2:$K$50000,全馬データ!$A$2:$A$50000,A4768,全馬データ!$B$2:$B$50000,B4768,全馬データ!$C$2:$C$50000,C4768,全馬データ!$D$2:$D$50000,E4768)))</f>
        <v/>
      </c>
      <c r="AP4768" s="8" t="str">
        <f aca="false">IF(A4768="","",IF(AO4768="","欠損",IF(AO4768&lt;=1.1,"1.0～1.1",IF(AO4768&lt;1.3,"1.2",IF(AO4768&lt;1.5,"1.3～1.4",IF(AO4768&lt;2,"1.5～1.9","2.0以上"))))))</f>
        <v/>
      </c>
      <c r="AQ4768" s="8" t="str">
        <f aca="false">IF(A4768="","",IF(ISNUMBER(SEARCH("2歳",Z4768)),"2歳戦",IF(ISNUMBER(SEARCH("3歳未勝利",Z4768)),"3歳未勝利",IF(ISNUMBER(SEARCH("未勝利",Z4768)),"その他未勝利",IF(ISNUMBER(SEARCH("G1",Z4768)),"G1",IF(ISNUMBER(SEARCH("G2",Z4768)),"G2",IF(ISNUMBER(SEARCH("G3",Z4768)),"G3",IF(ISNUMBER(SEARCH("古馬条件",Z4768)),"古馬条件戦",IF(ISNUMBER(SEARCH("重賞",Z4768)),"重賞","分類不能")))))))))</f>
        <v/>
      </c>
    </row>
    <row r="4769" customFormat="false" ht="15.75" hidden="false" customHeight="false" outlineLevel="0" collapsed="false">
      <c r="AO4769" s="8" t="str">
        <f aca="false">IF(A4769="","",IF(COUNTIFS(全馬データ!$A$2:$A$50000,A4769,全馬データ!$B$2:$B$50000,B4769,全馬データ!$C$2:$C$50000,C4769,全馬データ!$D$2:$D$50000,E4769,全馬データ!$K$2:$K$50000,"&lt;&gt;")=0,"",SUMIFS(全馬データ!$K$2:$K$50000,全馬データ!$A$2:$A$50000,A4769,全馬データ!$B$2:$B$50000,B4769,全馬データ!$C$2:$C$50000,C4769,全馬データ!$D$2:$D$50000,E4769)))</f>
        <v/>
      </c>
      <c r="AP4769" s="8" t="str">
        <f aca="false">IF(A4769="","",IF(AO4769="","欠損",IF(AO4769&lt;=1.1,"1.0～1.1",IF(AO4769&lt;1.3,"1.2",IF(AO4769&lt;1.5,"1.3～1.4",IF(AO4769&lt;2,"1.5～1.9","2.0以上"))))))</f>
        <v/>
      </c>
      <c r="AQ4769" s="8" t="str">
        <f aca="false">IF(A4769="","",IF(ISNUMBER(SEARCH("2歳",Z4769)),"2歳戦",IF(ISNUMBER(SEARCH("3歳未勝利",Z4769)),"3歳未勝利",IF(ISNUMBER(SEARCH("未勝利",Z4769)),"その他未勝利",IF(ISNUMBER(SEARCH("G1",Z4769)),"G1",IF(ISNUMBER(SEARCH("G2",Z4769)),"G2",IF(ISNUMBER(SEARCH("G3",Z4769)),"G3",IF(ISNUMBER(SEARCH("古馬条件",Z4769)),"古馬条件戦",IF(ISNUMBER(SEARCH("重賞",Z4769)),"重賞","分類不能")))))))))</f>
        <v/>
      </c>
    </row>
    <row r="4770" customFormat="false" ht="15.75" hidden="false" customHeight="false" outlineLevel="0" collapsed="false">
      <c r="AO4770" s="8" t="str">
        <f aca="false">IF(A4770="","",IF(COUNTIFS(全馬データ!$A$2:$A$50000,A4770,全馬データ!$B$2:$B$50000,B4770,全馬データ!$C$2:$C$50000,C4770,全馬データ!$D$2:$D$50000,E4770,全馬データ!$K$2:$K$50000,"&lt;&gt;")=0,"",SUMIFS(全馬データ!$K$2:$K$50000,全馬データ!$A$2:$A$50000,A4770,全馬データ!$B$2:$B$50000,B4770,全馬データ!$C$2:$C$50000,C4770,全馬データ!$D$2:$D$50000,E4770)))</f>
        <v/>
      </c>
      <c r="AP4770" s="8" t="str">
        <f aca="false">IF(A4770="","",IF(AO4770="","欠損",IF(AO4770&lt;=1.1,"1.0～1.1",IF(AO4770&lt;1.3,"1.2",IF(AO4770&lt;1.5,"1.3～1.4",IF(AO4770&lt;2,"1.5～1.9","2.0以上"))))))</f>
        <v/>
      </c>
      <c r="AQ4770" s="8" t="str">
        <f aca="false">IF(A4770="","",IF(ISNUMBER(SEARCH("2歳",Z4770)),"2歳戦",IF(ISNUMBER(SEARCH("3歳未勝利",Z4770)),"3歳未勝利",IF(ISNUMBER(SEARCH("未勝利",Z4770)),"その他未勝利",IF(ISNUMBER(SEARCH("G1",Z4770)),"G1",IF(ISNUMBER(SEARCH("G2",Z4770)),"G2",IF(ISNUMBER(SEARCH("G3",Z4770)),"G3",IF(ISNUMBER(SEARCH("古馬条件",Z4770)),"古馬条件戦",IF(ISNUMBER(SEARCH("重賞",Z4770)),"重賞","分類不能")))))))))</f>
        <v/>
      </c>
    </row>
    <row r="4771" customFormat="false" ht="15.75" hidden="false" customHeight="false" outlineLevel="0" collapsed="false">
      <c r="AO4771" s="8" t="str">
        <f aca="false">IF(A4771="","",IF(COUNTIFS(全馬データ!$A$2:$A$50000,A4771,全馬データ!$B$2:$B$50000,B4771,全馬データ!$C$2:$C$50000,C4771,全馬データ!$D$2:$D$50000,E4771,全馬データ!$K$2:$K$50000,"&lt;&gt;")=0,"",SUMIFS(全馬データ!$K$2:$K$50000,全馬データ!$A$2:$A$50000,A4771,全馬データ!$B$2:$B$50000,B4771,全馬データ!$C$2:$C$50000,C4771,全馬データ!$D$2:$D$50000,E4771)))</f>
        <v/>
      </c>
      <c r="AP4771" s="8" t="str">
        <f aca="false">IF(A4771="","",IF(AO4771="","欠損",IF(AO4771&lt;=1.1,"1.0～1.1",IF(AO4771&lt;1.3,"1.2",IF(AO4771&lt;1.5,"1.3～1.4",IF(AO4771&lt;2,"1.5～1.9","2.0以上"))))))</f>
        <v/>
      </c>
      <c r="AQ4771" s="8" t="str">
        <f aca="false">IF(A4771="","",IF(ISNUMBER(SEARCH("2歳",Z4771)),"2歳戦",IF(ISNUMBER(SEARCH("3歳未勝利",Z4771)),"3歳未勝利",IF(ISNUMBER(SEARCH("未勝利",Z4771)),"その他未勝利",IF(ISNUMBER(SEARCH("G1",Z4771)),"G1",IF(ISNUMBER(SEARCH("G2",Z4771)),"G2",IF(ISNUMBER(SEARCH("G3",Z4771)),"G3",IF(ISNUMBER(SEARCH("古馬条件",Z4771)),"古馬条件戦",IF(ISNUMBER(SEARCH("重賞",Z4771)),"重賞","分類不能")))))))))</f>
        <v/>
      </c>
    </row>
    <row r="4772" customFormat="false" ht="15.75" hidden="false" customHeight="false" outlineLevel="0" collapsed="false">
      <c r="AO4772" s="8" t="str">
        <f aca="false">IF(A4772="","",IF(COUNTIFS(全馬データ!$A$2:$A$50000,A4772,全馬データ!$B$2:$B$50000,B4772,全馬データ!$C$2:$C$50000,C4772,全馬データ!$D$2:$D$50000,E4772,全馬データ!$K$2:$K$50000,"&lt;&gt;")=0,"",SUMIFS(全馬データ!$K$2:$K$50000,全馬データ!$A$2:$A$50000,A4772,全馬データ!$B$2:$B$50000,B4772,全馬データ!$C$2:$C$50000,C4772,全馬データ!$D$2:$D$50000,E4772)))</f>
        <v/>
      </c>
      <c r="AP4772" s="8" t="str">
        <f aca="false">IF(A4772="","",IF(AO4772="","欠損",IF(AO4772&lt;=1.1,"1.0～1.1",IF(AO4772&lt;1.3,"1.2",IF(AO4772&lt;1.5,"1.3～1.4",IF(AO4772&lt;2,"1.5～1.9","2.0以上"))))))</f>
        <v/>
      </c>
      <c r="AQ4772" s="8" t="str">
        <f aca="false">IF(A4772="","",IF(ISNUMBER(SEARCH("2歳",Z4772)),"2歳戦",IF(ISNUMBER(SEARCH("3歳未勝利",Z4772)),"3歳未勝利",IF(ISNUMBER(SEARCH("未勝利",Z4772)),"その他未勝利",IF(ISNUMBER(SEARCH("G1",Z4772)),"G1",IF(ISNUMBER(SEARCH("G2",Z4772)),"G2",IF(ISNUMBER(SEARCH("G3",Z4772)),"G3",IF(ISNUMBER(SEARCH("古馬条件",Z4772)),"古馬条件戦",IF(ISNUMBER(SEARCH("重賞",Z4772)),"重賞","分類不能")))))))))</f>
        <v/>
      </c>
    </row>
    <row r="4773" customFormat="false" ht="15.75" hidden="false" customHeight="false" outlineLevel="0" collapsed="false">
      <c r="AO4773" s="8" t="str">
        <f aca="false">IF(A4773="","",IF(COUNTIFS(全馬データ!$A$2:$A$50000,A4773,全馬データ!$B$2:$B$50000,B4773,全馬データ!$C$2:$C$50000,C4773,全馬データ!$D$2:$D$50000,E4773,全馬データ!$K$2:$K$50000,"&lt;&gt;")=0,"",SUMIFS(全馬データ!$K$2:$K$50000,全馬データ!$A$2:$A$50000,A4773,全馬データ!$B$2:$B$50000,B4773,全馬データ!$C$2:$C$50000,C4773,全馬データ!$D$2:$D$50000,E4773)))</f>
        <v/>
      </c>
      <c r="AP4773" s="8" t="str">
        <f aca="false">IF(A4773="","",IF(AO4773="","欠損",IF(AO4773&lt;=1.1,"1.0～1.1",IF(AO4773&lt;1.3,"1.2",IF(AO4773&lt;1.5,"1.3～1.4",IF(AO4773&lt;2,"1.5～1.9","2.0以上"))))))</f>
        <v/>
      </c>
      <c r="AQ4773" s="8" t="str">
        <f aca="false">IF(A4773="","",IF(ISNUMBER(SEARCH("2歳",Z4773)),"2歳戦",IF(ISNUMBER(SEARCH("3歳未勝利",Z4773)),"3歳未勝利",IF(ISNUMBER(SEARCH("未勝利",Z4773)),"その他未勝利",IF(ISNUMBER(SEARCH("G1",Z4773)),"G1",IF(ISNUMBER(SEARCH("G2",Z4773)),"G2",IF(ISNUMBER(SEARCH("G3",Z4773)),"G3",IF(ISNUMBER(SEARCH("古馬条件",Z4773)),"古馬条件戦",IF(ISNUMBER(SEARCH("重賞",Z4773)),"重賞","分類不能")))))))))</f>
        <v/>
      </c>
    </row>
    <row r="4774" customFormat="false" ht="15.75" hidden="false" customHeight="false" outlineLevel="0" collapsed="false">
      <c r="AO4774" s="8" t="str">
        <f aca="false">IF(A4774="","",IF(COUNTIFS(全馬データ!$A$2:$A$50000,A4774,全馬データ!$B$2:$B$50000,B4774,全馬データ!$C$2:$C$50000,C4774,全馬データ!$D$2:$D$50000,E4774,全馬データ!$K$2:$K$50000,"&lt;&gt;")=0,"",SUMIFS(全馬データ!$K$2:$K$50000,全馬データ!$A$2:$A$50000,A4774,全馬データ!$B$2:$B$50000,B4774,全馬データ!$C$2:$C$50000,C4774,全馬データ!$D$2:$D$50000,E4774)))</f>
        <v/>
      </c>
      <c r="AP4774" s="8" t="str">
        <f aca="false">IF(A4774="","",IF(AO4774="","欠損",IF(AO4774&lt;=1.1,"1.0～1.1",IF(AO4774&lt;1.3,"1.2",IF(AO4774&lt;1.5,"1.3～1.4",IF(AO4774&lt;2,"1.5～1.9","2.0以上"))))))</f>
        <v/>
      </c>
      <c r="AQ4774" s="8" t="str">
        <f aca="false">IF(A4774="","",IF(ISNUMBER(SEARCH("2歳",Z4774)),"2歳戦",IF(ISNUMBER(SEARCH("3歳未勝利",Z4774)),"3歳未勝利",IF(ISNUMBER(SEARCH("未勝利",Z4774)),"その他未勝利",IF(ISNUMBER(SEARCH("G1",Z4774)),"G1",IF(ISNUMBER(SEARCH("G2",Z4774)),"G2",IF(ISNUMBER(SEARCH("G3",Z4774)),"G3",IF(ISNUMBER(SEARCH("古馬条件",Z4774)),"古馬条件戦",IF(ISNUMBER(SEARCH("重賞",Z4774)),"重賞","分類不能")))))))))</f>
        <v/>
      </c>
    </row>
    <row r="4775" customFormat="false" ht="15.75" hidden="false" customHeight="false" outlineLevel="0" collapsed="false">
      <c r="AO4775" s="8" t="str">
        <f aca="false">IF(A4775="","",IF(COUNTIFS(全馬データ!$A$2:$A$50000,A4775,全馬データ!$B$2:$B$50000,B4775,全馬データ!$C$2:$C$50000,C4775,全馬データ!$D$2:$D$50000,E4775,全馬データ!$K$2:$K$50000,"&lt;&gt;")=0,"",SUMIFS(全馬データ!$K$2:$K$50000,全馬データ!$A$2:$A$50000,A4775,全馬データ!$B$2:$B$50000,B4775,全馬データ!$C$2:$C$50000,C4775,全馬データ!$D$2:$D$50000,E4775)))</f>
        <v/>
      </c>
      <c r="AP4775" s="8" t="str">
        <f aca="false">IF(A4775="","",IF(AO4775="","欠損",IF(AO4775&lt;=1.1,"1.0～1.1",IF(AO4775&lt;1.3,"1.2",IF(AO4775&lt;1.5,"1.3～1.4",IF(AO4775&lt;2,"1.5～1.9","2.0以上"))))))</f>
        <v/>
      </c>
      <c r="AQ4775" s="8" t="str">
        <f aca="false">IF(A4775="","",IF(ISNUMBER(SEARCH("2歳",Z4775)),"2歳戦",IF(ISNUMBER(SEARCH("3歳未勝利",Z4775)),"3歳未勝利",IF(ISNUMBER(SEARCH("未勝利",Z4775)),"その他未勝利",IF(ISNUMBER(SEARCH("G1",Z4775)),"G1",IF(ISNUMBER(SEARCH("G2",Z4775)),"G2",IF(ISNUMBER(SEARCH("G3",Z4775)),"G3",IF(ISNUMBER(SEARCH("古馬条件",Z4775)),"古馬条件戦",IF(ISNUMBER(SEARCH("重賞",Z4775)),"重賞","分類不能")))))))))</f>
        <v/>
      </c>
    </row>
    <row r="4776" customFormat="false" ht="15.75" hidden="false" customHeight="false" outlineLevel="0" collapsed="false">
      <c r="AO4776" s="8" t="str">
        <f aca="false">IF(A4776="","",IF(COUNTIFS(全馬データ!$A$2:$A$50000,A4776,全馬データ!$B$2:$B$50000,B4776,全馬データ!$C$2:$C$50000,C4776,全馬データ!$D$2:$D$50000,E4776,全馬データ!$K$2:$K$50000,"&lt;&gt;")=0,"",SUMIFS(全馬データ!$K$2:$K$50000,全馬データ!$A$2:$A$50000,A4776,全馬データ!$B$2:$B$50000,B4776,全馬データ!$C$2:$C$50000,C4776,全馬データ!$D$2:$D$50000,E4776)))</f>
        <v/>
      </c>
      <c r="AP4776" s="8" t="str">
        <f aca="false">IF(A4776="","",IF(AO4776="","欠損",IF(AO4776&lt;=1.1,"1.0～1.1",IF(AO4776&lt;1.3,"1.2",IF(AO4776&lt;1.5,"1.3～1.4",IF(AO4776&lt;2,"1.5～1.9","2.0以上"))))))</f>
        <v/>
      </c>
      <c r="AQ4776" s="8" t="str">
        <f aca="false">IF(A4776="","",IF(ISNUMBER(SEARCH("2歳",Z4776)),"2歳戦",IF(ISNUMBER(SEARCH("3歳未勝利",Z4776)),"3歳未勝利",IF(ISNUMBER(SEARCH("未勝利",Z4776)),"その他未勝利",IF(ISNUMBER(SEARCH("G1",Z4776)),"G1",IF(ISNUMBER(SEARCH("G2",Z4776)),"G2",IF(ISNUMBER(SEARCH("G3",Z4776)),"G3",IF(ISNUMBER(SEARCH("古馬条件",Z4776)),"古馬条件戦",IF(ISNUMBER(SEARCH("重賞",Z4776)),"重賞","分類不能")))))))))</f>
        <v/>
      </c>
    </row>
    <row r="4777" customFormat="false" ht="15.75" hidden="false" customHeight="false" outlineLevel="0" collapsed="false">
      <c r="AO4777" s="8" t="str">
        <f aca="false">IF(A4777="","",IF(COUNTIFS(全馬データ!$A$2:$A$50000,A4777,全馬データ!$B$2:$B$50000,B4777,全馬データ!$C$2:$C$50000,C4777,全馬データ!$D$2:$D$50000,E4777,全馬データ!$K$2:$K$50000,"&lt;&gt;")=0,"",SUMIFS(全馬データ!$K$2:$K$50000,全馬データ!$A$2:$A$50000,A4777,全馬データ!$B$2:$B$50000,B4777,全馬データ!$C$2:$C$50000,C4777,全馬データ!$D$2:$D$50000,E4777)))</f>
        <v/>
      </c>
      <c r="AP4777" s="8" t="str">
        <f aca="false">IF(A4777="","",IF(AO4777="","欠損",IF(AO4777&lt;=1.1,"1.0～1.1",IF(AO4777&lt;1.3,"1.2",IF(AO4777&lt;1.5,"1.3～1.4",IF(AO4777&lt;2,"1.5～1.9","2.0以上"))))))</f>
        <v/>
      </c>
      <c r="AQ4777" s="8" t="str">
        <f aca="false">IF(A4777="","",IF(ISNUMBER(SEARCH("2歳",Z4777)),"2歳戦",IF(ISNUMBER(SEARCH("3歳未勝利",Z4777)),"3歳未勝利",IF(ISNUMBER(SEARCH("未勝利",Z4777)),"その他未勝利",IF(ISNUMBER(SEARCH("G1",Z4777)),"G1",IF(ISNUMBER(SEARCH("G2",Z4777)),"G2",IF(ISNUMBER(SEARCH("G3",Z4777)),"G3",IF(ISNUMBER(SEARCH("古馬条件",Z4777)),"古馬条件戦",IF(ISNUMBER(SEARCH("重賞",Z4777)),"重賞","分類不能")))))))))</f>
        <v/>
      </c>
    </row>
    <row r="4778" customFormat="false" ht="15.75" hidden="false" customHeight="false" outlineLevel="0" collapsed="false">
      <c r="AO4778" s="8" t="str">
        <f aca="false">IF(A4778="","",IF(COUNTIFS(全馬データ!$A$2:$A$50000,A4778,全馬データ!$B$2:$B$50000,B4778,全馬データ!$C$2:$C$50000,C4778,全馬データ!$D$2:$D$50000,E4778,全馬データ!$K$2:$K$50000,"&lt;&gt;")=0,"",SUMIFS(全馬データ!$K$2:$K$50000,全馬データ!$A$2:$A$50000,A4778,全馬データ!$B$2:$B$50000,B4778,全馬データ!$C$2:$C$50000,C4778,全馬データ!$D$2:$D$50000,E4778)))</f>
        <v/>
      </c>
      <c r="AP4778" s="8" t="str">
        <f aca="false">IF(A4778="","",IF(AO4778="","欠損",IF(AO4778&lt;=1.1,"1.0～1.1",IF(AO4778&lt;1.3,"1.2",IF(AO4778&lt;1.5,"1.3～1.4",IF(AO4778&lt;2,"1.5～1.9","2.0以上"))))))</f>
        <v/>
      </c>
      <c r="AQ4778" s="8" t="str">
        <f aca="false">IF(A4778="","",IF(ISNUMBER(SEARCH("2歳",Z4778)),"2歳戦",IF(ISNUMBER(SEARCH("3歳未勝利",Z4778)),"3歳未勝利",IF(ISNUMBER(SEARCH("未勝利",Z4778)),"その他未勝利",IF(ISNUMBER(SEARCH("G1",Z4778)),"G1",IF(ISNUMBER(SEARCH("G2",Z4778)),"G2",IF(ISNUMBER(SEARCH("G3",Z4778)),"G3",IF(ISNUMBER(SEARCH("古馬条件",Z4778)),"古馬条件戦",IF(ISNUMBER(SEARCH("重賞",Z4778)),"重賞","分類不能")))))))))</f>
        <v/>
      </c>
    </row>
    <row r="4779" customFormat="false" ht="15.75" hidden="false" customHeight="false" outlineLevel="0" collapsed="false">
      <c r="AO4779" s="8" t="str">
        <f aca="false">IF(A4779="","",IF(COUNTIFS(全馬データ!$A$2:$A$50000,A4779,全馬データ!$B$2:$B$50000,B4779,全馬データ!$C$2:$C$50000,C4779,全馬データ!$D$2:$D$50000,E4779,全馬データ!$K$2:$K$50000,"&lt;&gt;")=0,"",SUMIFS(全馬データ!$K$2:$K$50000,全馬データ!$A$2:$A$50000,A4779,全馬データ!$B$2:$B$50000,B4779,全馬データ!$C$2:$C$50000,C4779,全馬データ!$D$2:$D$50000,E4779)))</f>
        <v/>
      </c>
      <c r="AP4779" s="8" t="str">
        <f aca="false">IF(A4779="","",IF(AO4779="","欠損",IF(AO4779&lt;=1.1,"1.0～1.1",IF(AO4779&lt;1.3,"1.2",IF(AO4779&lt;1.5,"1.3～1.4",IF(AO4779&lt;2,"1.5～1.9","2.0以上"))))))</f>
        <v/>
      </c>
      <c r="AQ4779" s="8" t="str">
        <f aca="false">IF(A4779="","",IF(ISNUMBER(SEARCH("2歳",Z4779)),"2歳戦",IF(ISNUMBER(SEARCH("3歳未勝利",Z4779)),"3歳未勝利",IF(ISNUMBER(SEARCH("未勝利",Z4779)),"その他未勝利",IF(ISNUMBER(SEARCH("G1",Z4779)),"G1",IF(ISNUMBER(SEARCH("G2",Z4779)),"G2",IF(ISNUMBER(SEARCH("G3",Z4779)),"G3",IF(ISNUMBER(SEARCH("古馬条件",Z4779)),"古馬条件戦",IF(ISNUMBER(SEARCH("重賞",Z4779)),"重賞","分類不能")))))))))</f>
        <v/>
      </c>
    </row>
    <row r="4780" customFormat="false" ht="15.75" hidden="false" customHeight="false" outlineLevel="0" collapsed="false">
      <c r="AO4780" s="8" t="str">
        <f aca="false">IF(A4780="","",IF(COUNTIFS(全馬データ!$A$2:$A$50000,A4780,全馬データ!$B$2:$B$50000,B4780,全馬データ!$C$2:$C$50000,C4780,全馬データ!$D$2:$D$50000,E4780,全馬データ!$K$2:$K$50000,"&lt;&gt;")=0,"",SUMIFS(全馬データ!$K$2:$K$50000,全馬データ!$A$2:$A$50000,A4780,全馬データ!$B$2:$B$50000,B4780,全馬データ!$C$2:$C$50000,C4780,全馬データ!$D$2:$D$50000,E4780)))</f>
        <v/>
      </c>
      <c r="AP4780" s="8" t="str">
        <f aca="false">IF(A4780="","",IF(AO4780="","欠損",IF(AO4780&lt;=1.1,"1.0～1.1",IF(AO4780&lt;1.3,"1.2",IF(AO4780&lt;1.5,"1.3～1.4",IF(AO4780&lt;2,"1.5～1.9","2.0以上"))))))</f>
        <v/>
      </c>
      <c r="AQ4780" s="8" t="str">
        <f aca="false">IF(A4780="","",IF(ISNUMBER(SEARCH("2歳",Z4780)),"2歳戦",IF(ISNUMBER(SEARCH("3歳未勝利",Z4780)),"3歳未勝利",IF(ISNUMBER(SEARCH("未勝利",Z4780)),"その他未勝利",IF(ISNUMBER(SEARCH("G1",Z4780)),"G1",IF(ISNUMBER(SEARCH("G2",Z4780)),"G2",IF(ISNUMBER(SEARCH("G3",Z4780)),"G3",IF(ISNUMBER(SEARCH("古馬条件",Z4780)),"古馬条件戦",IF(ISNUMBER(SEARCH("重賞",Z4780)),"重賞","分類不能")))))))))</f>
        <v/>
      </c>
    </row>
    <row r="4781" customFormat="false" ht="15.75" hidden="false" customHeight="false" outlineLevel="0" collapsed="false">
      <c r="AO4781" s="8" t="str">
        <f aca="false">IF(A4781="","",IF(COUNTIFS(全馬データ!$A$2:$A$50000,A4781,全馬データ!$B$2:$B$50000,B4781,全馬データ!$C$2:$C$50000,C4781,全馬データ!$D$2:$D$50000,E4781,全馬データ!$K$2:$K$50000,"&lt;&gt;")=0,"",SUMIFS(全馬データ!$K$2:$K$50000,全馬データ!$A$2:$A$50000,A4781,全馬データ!$B$2:$B$50000,B4781,全馬データ!$C$2:$C$50000,C4781,全馬データ!$D$2:$D$50000,E4781)))</f>
        <v/>
      </c>
      <c r="AP4781" s="8" t="str">
        <f aca="false">IF(A4781="","",IF(AO4781="","欠損",IF(AO4781&lt;=1.1,"1.0～1.1",IF(AO4781&lt;1.3,"1.2",IF(AO4781&lt;1.5,"1.3～1.4",IF(AO4781&lt;2,"1.5～1.9","2.0以上"))))))</f>
        <v/>
      </c>
      <c r="AQ4781" s="8" t="str">
        <f aca="false">IF(A4781="","",IF(ISNUMBER(SEARCH("2歳",Z4781)),"2歳戦",IF(ISNUMBER(SEARCH("3歳未勝利",Z4781)),"3歳未勝利",IF(ISNUMBER(SEARCH("未勝利",Z4781)),"その他未勝利",IF(ISNUMBER(SEARCH("G1",Z4781)),"G1",IF(ISNUMBER(SEARCH("G2",Z4781)),"G2",IF(ISNUMBER(SEARCH("G3",Z4781)),"G3",IF(ISNUMBER(SEARCH("古馬条件",Z4781)),"古馬条件戦",IF(ISNUMBER(SEARCH("重賞",Z4781)),"重賞","分類不能")))))))))</f>
        <v/>
      </c>
    </row>
    <row r="4782" customFormat="false" ht="15.75" hidden="false" customHeight="false" outlineLevel="0" collapsed="false">
      <c r="AO4782" s="8" t="str">
        <f aca="false">IF(A4782="","",IF(COUNTIFS(全馬データ!$A$2:$A$50000,A4782,全馬データ!$B$2:$B$50000,B4782,全馬データ!$C$2:$C$50000,C4782,全馬データ!$D$2:$D$50000,E4782,全馬データ!$K$2:$K$50000,"&lt;&gt;")=0,"",SUMIFS(全馬データ!$K$2:$K$50000,全馬データ!$A$2:$A$50000,A4782,全馬データ!$B$2:$B$50000,B4782,全馬データ!$C$2:$C$50000,C4782,全馬データ!$D$2:$D$50000,E4782)))</f>
        <v/>
      </c>
      <c r="AP4782" s="8" t="str">
        <f aca="false">IF(A4782="","",IF(AO4782="","欠損",IF(AO4782&lt;=1.1,"1.0～1.1",IF(AO4782&lt;1.3,"1.2",IF(AO4782&lt;1.5,"1.3～1.4",IF(AO4782&lt;2,"1.5～1.9","2.0以上"))))))</f>
        <v/>
      </c>
      <c r="AQ4782" s="8" t="str">
        <f aca="false">IF(A4782="","",IF(ISNUMBER(SEARCH("2歳",Z4782)),"2歳戦",IF(ISNUMBER(SEARCH("3歳未勝利",Z4782)),"3歳未勝利",IF(ISNUMBER(SEARCH("未勝利",Z4782)),"その他未勝利",IF(ISNUMBER(SEARCH("G1",Z4782)),"G1",IF(ISNUMBER(SEARCH("G2",Z4782)),"G2",IF(ISNUMBER(SEARCH("G3",Z4782)),"G3",IF(ISNUMBER(SEARCH("古馬条件",Z4782)),"古馬条件戦",IF(ISNUMBER(SEARCH("重賞",Z4782)),"重賞","分類不能")))))))))</f>
        <v/>
      </c>
    </row>
    <row r="4783" customFormat="false" ht="15.75" hidden="false" customHeight="false" outlineLevel="0" collapsed="false">
      <c r="AO4783" s="8" t="str">
        <f aca="false">IF(A4783="","",IF(COUNTIFS(全馬データ!$A$2:$A$50000,A4783,全馬データ!$B$2:$B$50000,B4783,全馬データ!$C$2:$C$50000,C4783,全馬データ!$D$2:$D$50000,E4783,全馬データ!$K$2:$K$50000,"&lt;&gt;")=0,"",SUMIFS(全馬データ!$K$2:$K$50000,全馬データ!$A$2:$A$50000,A4783,全馬データ!$B$2:$B$50000,B4783,全馬データ!$C$2:$C$50000,C4783,全馬データ!$D$2:$D$50000,E4783)))</f>
        <v/>
      </c>
      <c r="AP4783" s="8" t="str">
        <f aca="false">IF(A4783="","",IF(AO4783="","欠損",IF(AO4783&lt;=1.1,"1.0～1.1",IF(AO4783&lt;1.3,"1.2",IF(AO4783&lt;1.5,"1.3～1.4",IF(AO4783&lt;2,"1.5～1.9","2.0以上"))))))</f>
        <v/>
      </c>
      <c r="AQ4783" s="8" t="str">
        <f aca="false">IF(A4783="","",IF(ISNUMBER(SEARCH("2歳",Z4783)),"2歳戦",IF(ISNUMBER(SEARCH("3歳未勝利",Z4783)),"3歳未勝利",IF(ISNUMBER(SEARCH("未勝利",Z4783)),"その他未勝利",IF(ISNUMBER(SEARCH("G1",Z4783)),"G1",IF(ISNUMBER(SEARCH("G2",Z4783)),"G2",IF(ISNUMBER(SEARCH("G3",Z4783)),"G3",IF(ISNUMBER(SEARCH("古馬条件",Z4783)),"古馬条件戦",IF(ISNUMBER(SEARCH("重賞",Z4783)),"重賞","分類不能")))))))))</f>
        <v/>
      </c>
    </row>
    <row r="4784" customFormat="false" ht="15.75" hidden="false" customHeight="false" outlineLevel="0" collapsed="false">
      <c r="AO4784" s="8" t="str">
        <f aca="false">IF(A4784="","",IF(COUNTIFS(全馬データ!$A$2:$A$50000,A4784,全馬データ!$B$2:$B$50000,B4784,全馬データ!$C$2:$C$50000,C4784,全馬データ!$D$2:$D$50000,E4784,全馬データ!$K$2:$K$50000,"&lt;&gt;")=0,"",SUMIFS(全馬データ!$K$2:$K$50000,全馬データ!$A$2:$A$50000,A4784,全馬データ!$B$2:$B$50000,B4784,全馬データ!$C$2:$C$50000,C4784,全馬データ!$D$2:$D$50000,E4784)))</f>
        <v/>
      </c>
      <c r="AP4784" s="8" t="str">
        <f aca="false">IF(A4784="","",IF(AO4784="","欠損",IF(AO4784&lt;=1.1,"1.0～1.1",IF(AO4784&lt;1.3,"1.2",IF(AO4784&lt;1.5,"1.3～1.4",IF(AO4784&lt;2,"1.5～1.9","2.0以上"))))))</f>
        <v/>
      </c>
      <c r="AQ4784" s="8" t="str">
        <f aca="false">IF(A4784="","",IF(ISNUMBER(SEARCH("2歳",Z4784)),"2歳戦",IF(ISNUMBER(SEARCH("3歳未勝利",Z4784)),"3歳未勝利",IF(ISNUMBER(SEARCH("未勝利",Z4784)),"その他未勝利",IF(ISNUMBER(SEARCH("G1",Z4784)),"G1",IF(ISNUMBER(SEARCH("G2",Z4784)),"G2",IF(ISNUMBER(SEARCH("G3",Z4784)),"G3",IF(ISNUMBER(SEARCH("古馬条件",Z4784)),"古馬条件戦",IF(ISNUMBER(SEARCH("重賞",Z4784)),"重賞","分類不能")))))))))</f>
        <v/>
      </c>
    </row>
    <row r="4785" customFormat="false" ht="15.75" hidden="false" customHeight="false" outlineLevel="0" collapsed="false">
      <c r="AO4785" s="8" t="str">
        <f aca="false">IF(A4785="","",IF(COUNTIFS(全馬データ!$A$2:$A$50000,A4785,全馬データ!$B$2:$B$50000,B4785,全馬データ!$C$2:$C$50000,C4785,全馬データ!$D$2:$D$50000,E4785,全馬データ!$K$2:$K$50000,"&lt;&gt;")=0,"",SUMIFS(全馬データ!$K$2:$K$50000,全馬データ!$A$2:$A$50000,A4785,全馬データ!$B$2:$B$50000,B4785,全馬データ!$C$2:$C$50000,C4785,全馬データ!$D$2:$D$50000,E4785)))</f>
        <v/>
      </c>
      <c r="AP4785" s="8" t="str">
        <f aca="false">IF(A4785="","",IF(AO4785="","欠損",IF(AO4785&lt;=1.1,"1.0～1.1",IF(AO4785&lt;1.3,"1.2",IF(AO4785&lt;1.5,"1.3～1.4",IF(AO4785&lt;2,"1.5～1.9","2.0以上"))))))</f>
        <v/>
      </c>
      <c r="AQ4785" s="8" t="str">
        <f aca="false">IF(A4785="","",IF(ISNUMBER(SEARCH("2歳",Z4785)),"2歳戦",IF(ISNUMBER(SEARCH("3歳未勝利",Z4785)),"3歳未勝利",IF(ISNUMBER(SEARCH("未勝利",Z4785)),"その他未勝利",IF(ISNUMBER(SEARCH("G1",Z4785)),"G1",IF(ISNUMBER(SEARCH("G2",Z4785)),"G2",IF(ISNUMBER(SEARCH("G3",Z4785)),"G3",IF(ISNUMBER(SEARCH("古馬条件",Z4785)),"古馬条件戦",IF(ISNUMBER(SEARCH("重賞",Z4785)),"重賞","分類不能")))))))))</f>
        <v/>
      </c>
    </row>
    <row r="4786" customFormat="false" ht="15.75" hidden="false" customHeight="false" outlineLevel="0" collapsed="false">
      <c r="AO4786" s="8" t="str">
        <f aca="false">IF(A4786="","",IF(COUNTIFS(全馬データ!$A$2:$A$50000,A4786,全馬データ!$B$2:$B$50000,B4786,全馬データ!$C$2:$C$50000,C4786,全馬データ!$D$2:$D$50000,E4786,全馬データ!$K$2:$K$50000,"&lt;&gt;")=0,"",SUMIFS(全馬データ!$K$2:$K$50000,全馬データ!$A$2:$A$50000,A4786,全馬データ!$B$2:$B$50000,B4786,全馬データ!$C$2:$C$50000,C4786,全馬データ!$D$2:$D$50000,E4786)))</f>
        <v/>
      </c>
      <c r="AP4786" s="8" t="str">
        <f aca="false">IF(A4786="","",IF(AO4786="","欠損",IF(AO4786&lt;=1.1,"1.0～1.1",IF(AO4786&lt;1.3,"1.2",IF(AO4786&lt;1.5,"1.3～1.4",IF(AO4786&lt;2,"1.5～1.9","2.0以上"))))))</f>
        <v/>
      </c>
      <c r="AQ4786" s="8" t="str">
        <f aca="false">IF(A4786="","",IF(ISNUMBER(SEARCH("2歳",Z4786)),"2歳戦",IF(ISNUMBER(SEARCH("3歳未勝利",Z4786)),"3歳未勝利",IF(ISNUMBER(SEARCH("未勝利",Z4786)),"その他未勝利",IF(ISNUMBER(SEARCH("G1",Z4786)),"G1",IF(ISNUMBER(SEARCH("G2",Z4786)),"G2",IF(ISNUMBER(SEARCH("G3",Z4786)),"G3",IF(ISNUMBER(SEARCH("古馬条件",Z4786)),"古馬条件戦",IF(ISNUMBER(SEARCH("重賞",Z4786)),"重賞","分類不能")))))))))</f>
        <v/>
      </c>
    </row>
    <row r="4787" customFormat="false" ht="15.75" hidden="false" customHeight="false" outlineLevel="0" collapsed="false">
      <c r="AO4787" s="8" t="str">
        <f aca="false">IF(A4787="","",IF(COUNTIFS(全馬データ!$A$2:$A$50000,A4787,全馬データ!$B$2:$B$50000,B4787,全馬データ!$C$2:$C$50000,C4787,全馬データ!$D$2:$D$50000,E4787,全馬データ!$K$2:$K$50000,"&lt;&gt;")=0,"",SUMIFS(全馬データ!$K$2:$K$50000,全馬データ!$A$2:$A$50000,A4787,全馬データ!$B$2:$B$50000,B4787,全馬データ!$C$2:$C$50000,C4787,全馬データ!$D$2:$D$50000,E4787)))</f>
        <v/>
      </c>
      <c r="AP4787" s="8" t="str">
        <f aca="false">IF(A4787="","",IF(AO4787="","欠損",IF(AO4787&lt;=1.1,"1.0～1.1",IF(AO4787&lt;1.3,"1.2",IF(AO4787&lt;1.5,"1.3～1.4",IF(AO4787&lt;2,"1.5～1.9","2.0以上"))))))</f>
        <v/>
      </c>
      <c r="AQ4787" s="8" t="str">
        <f aca="false">IF(A4787="","",IF(ISNUMBER(SEARCH("2歳",Z4787)),"2歳戦",IF(ISNUMBER(SEARCH("3歳未勝利",Z4787)),"3歳未勝利",IF(ISNUMBER(SEARCH("未勝利",Z4787)),"その他未勝利",IF(ISNUMBER(SEARCH("G1",Z4787)),"G1",IF(ISNUMBER(SEARCH("G2",Z4787)),"G2",IF(ISNUMBER(SEARCH("G3",Z4787)),"G3",IF(ISNUMBER(SEARCH("古馬条件",Z4787)),"古馬条件戦",IF(ISNUMBER(SEARCH("重賞",Z4787)),"重賞","分類不能")))))))))</f>
        <v/>
      </c>
    </row>
    <row r="4788" customFormat="false" ht="15.75" hidden="false" customHeight="false" outlineLevel="0" collapsed="false">
      <c r="AO4788" s="8" t="str">
        <f aca="false">IF(A4788="","",IF(COUNTIFS(全馬データ!$A$2:$A$50000,A4788,全馬データ!$B$2:$B$50000,B4788,全馬データ!$C$2:$C$50000,C4788,全馬データ!$D$2:$D$50000,E4788,全馬データ!$K$2:$K$50000,"&lt;&gt;")=0,"",SUMIFS(全馬データ!$K$2:$K$50000,全馬データ!$A$2:$A$50000,A4788,全馬データ!$B$2:$B$50000,B4788,全馬データ!$C$2:$C$50000,C4788,全馬データ!$D$2:$D$50000,E4788)))</f>
        <v/>
      </c>
      <c r="AP4788" s="8" t="str">
        <f aca="false">IF(A4788="","",IF(AO4788="","欠損",IF(AO4788&lt;=1.1,"1.0～1.1",IF(AO4788&lt;1.3,"1.2",IF(AO4788&lt;1.5,"1.3～1.4",IF(AO4788&lt;2,"1.5～1.9","2.0以上"))))))</f>
        <v/>
      </c>
      <c r="AQ4788" s="8" t="str">
        <f aca="false">IF(A4788="","",IF(ISNUMBER(SEARCH("2歳",Z4788)),"2歳戦",IF(ISNUMBER(SEARCH("3歳未勝利",Z4788)),"3歳未勝利",IF(ISNUMBER(SEARCH("未勝利",Z4788)),"その他未勝利",IF(ISNUMBER(SEARCH("G1",Z4788)),"G1",IF(ISNUMBER(SEARCH("G2",Z4788)),"G2",IF(ISNUMBER(SEARCH("G3",Z4788)),"G3",IF(ISNUMBER(SEARCH("古馬条件",Z4788)),"古馬条件戦",IF(ISNUMBER(SEARCH("重賞",Z4788)),"重賞","分類不能")))))))))</f>
        <v/>
      </c>
    </row>
    <row r="4789" customFormat="false" ht="15.75" hidden="false" customHeight="false" outlineLevel="0" collapsed="false">
      <c r="AO4789" s="8" t="str">
        <f aca="false">IF(A4789="","",IF(COUNTIFS(全馬データ!$A$2:$A$50000,A4789,全馬データ!$B$2:$B$50000,B4789,全馬データ!$C$2:$C$50000,C4789,全馬データ!$D$2:$D$50000,E4789,全馬データ!$K$2:$K$50000,"&lt;&gt;")=0,"",SUMIFS(全馬データ!$K$2:$K$50000,全馬データ!$A$2:$A$50000,A4789,全馬データ!$B$2:$B$50000,B4789,全馬データ!$C$2:$C$50000,C4789,全馬データ!$D$2:$D$50000,E4789)))</f>
        <v/>
      </c>
      <c r="AP4789" s="8" t="str">
        <f aca="false">IF(A4789="","",IF(AO4789="","欠損",IF(AO4789&lt;=1.1,"1.0～1.1",IF(AO4789&lt;1.3,"1.2",IF(AO4789&lt;1.5,"1.3～1.4",IF(AO4789&lt;2,"1.5～1.9","2.0以上"))))))</f>
        <v/>
      </c>
      <c r="AQ4789" s="8" t="str">
        <f aca="false">IF(A4789="","",IF(ISNUMBER(SEARCH("2歳",Z4789)),"2歳戦",IF(ISNUMBER(SEARCH("3歳未勝利",Z4789)),"3歳未勝利",IF(ISNUMBER(SEARCH("未勝利",Z4789)),"その他未勝利",IF(ISNUMBER(SEARCH("G1",Z4789)),"G1",IF(ISNUMBER(SEARCH("G2",Z4789)),"G2",IF(ISNUMBER(SEARCH("G3",Z4789)),"G3",IF(ISNUMBER(SEARCH("古馬条件",Z4789)),"古馬条件戦",IF(ISNUMBER(SEARCH("重賞",Z4789)),"重賞","分類不能")))))))))</f>
        <v/>
      </c>
    </row>
    <row r="4790" customFormat="false" ht="15.75" hidden="false" customHeight="false" outlineLevel="0" collapsed="false">
      <c r="AO4790" s="8" t="str">
        <f aca="false">IF(A4790="","",IF(COUNTIFS(全馬データ!$A$2:$A$50000,A4790,全馬データ!$B$2:$B$50000,B4790,全馬データ!$C$2:$C$50000,C4790,全馬データ!$D$2:$D$50000,E4790,全馬データ!$K$2:$K$50000,"&lt;&gt;")=0,"",SUMIFS(全馬データ!$K$2:$K$50000,全馬データ!$A$2:$A$50000,A4790,全馬データ!$B$2:$B$50000,B4790,全馬データ!$C$2:$C$50000,C4790,全馬データ!$D$2:$D$50000,E4790)))</f>
        <v/>
      </c>
      <c r="AP4790" s="8" t="str">
        <f aca="false">IF(A4790="","",IF(AO4790="","欠損",IF(AO4790&lt;=1.1,"1.0～1.1",IF(AO4790&lt;1.3,"1.2",IF(AO4790&lt;1.5,"1.3～1.4",IF(AO4790&lt;2,"1.5～1.9","2.0以上"))))))</f>
        <v/>
      </c>
      <c r="AQ4790" s="8" t="str">
        <f aca="false">IF(A4790="","",IF(ISNUMBER(SEARCH("2歳",Z4790)),"2歳戦",IF(ISNUMBER(SEARCH("3歳未勝利",Z4790)),"3歳未勝利",IF(ISNUMBER(SEARCH("未勝利",Z4790)),"その他未勝利",IF(ISNUMBER(SEARCH("G1",Z4790)),"G1",IF(ISNUMBER(SEARCH("G2",Z4790)),"G2",IF(ISNUMBER(SEARCH("G3",Z4790)),"G3",IF(ISNUMBER(SEARCH("古馬条件",Z4790)),"古馬条件戦",IF(ISNUMBER(SEARCH("重賞",Z4790)),"重賞","分類不能")))))))))</f>
        <v/>
      </c>
    </row>
    <row r="4791" customFormat="false" ht="15.75" hidden="false" customHeight="false" outlineLevel="0" collapsed="false">
      <c r="AO4791" s="8" t="str">
        <f aca="false">IF(A4791="","",IF(COUNTIFS(全馬データ!$A$2:$A$50000,A4791,全馬データ!$B$2:$B$50000,B4791,全馬データ!$C$2:$C$50000,C4791,全馬データ!$D$2:$D$50000,E4791,全馬データ!$K$2:$K$50000,"&lt;&gt;")=0,"",SUMIFS(全馬データ!$K$2:$K$50000,全馬データ!$A$2:$A$50000,A4791,全馬データ!$B$2:$B$50000,B4791,全馬データ!$C$2:$C$50000,C4791,全馬データ!$D$2:$D$50000,E4791)))</f>
        <v/>
      </c>
      <c r="AP4791" s="8" t="str">
        <f aca="false">IF(A4791="","",IF(AO4791="","欠損",IF(AO4791&lt;=1.1,"1.0～1.1",IF(AO4791&lt;1.3,"1.2",IF(AO4791&lt;1.5,"1.3～1.4",IF(AO4791&lt;2,"1.5～1.9","2.0以上"))))))</f>
        <v/>
      </c>
      <c r="AQ4791" s="8" t="str">
        <f aca="false">IF(A4791="","",IF(ISNUMBER(SEARCH("2歳",Z4791)),"2歳戦",IF(ISNUMBER(SEARCH("3歳未勝利",Z4791)),"3歳未勝利",IF(ISNUMBER(SEARCH("未勝利",Z4791)),"その他未勝利",IF(ISNUMBER(SEARCH("G1",Z4791)),"G1",IF(ISNUMBER(SEARCH("G2",Z4791)),"G2",IF(ISNUMBER(SEARCH("G3",Z4791)),"G3",IF(ISNUMBER(SEARCH("古馬条件",Z4791)),"古馬条件戦",IF(ISNUMBER(SEARCH("重賞",Z4791)),"重賞","分類不能")))))))))</f>
        <v/>
      </c>
    </row>
    <row r="4792" customFormat="false" ht="15.75" hidden="false" customHeight="false" outlineLevel="0" collapsed="false">
      <c r="AO4792" s="8" t="str">
        <f aca="false">IF(A4792="","",IF(COUNTIFS(全馬データ!$A$2:$A$50000,A4792,全馬データ!$B$2:$B$50000,B4792,全馬データ!$C$2:$C$50000,C4792,全馬データ!$D$2:$D$50000,E4792,全馬データ!$K$2:$K$50000,"&lt;&gt;")=0,"",SUMIFS(全馬データ!$K$2:$K$50000,全馬データ!$A$2:$A$50000,A4792,全馬データ!$B$2:$B$50000,B4792,全馬データ!$C$2:$C$50000,C4792,全馬データ!$D$2:$D$50000,E4792)))</f>
        <v/>
      </c>
      <c r="AP4792" s="8" t="str">
        <f aca="false">IF(A4792="","",IF(AO4792="","欠損",IF(AO4792&lt;=1.1,"1.0～1.1",IF(AO4792&lt;1.3,"1.2",IF(AO4792&lt;1.5,"1.3～1.4",IF(AO4792&lt;2,"1.5～1.9","2.0以上"))))))</f>
        <v/>
      </c>
      <c r="AQ4792" s="8" t="str">
        <f aca="false">IF(A4792="","",IF(ISNUMBER(SEARCH("2歳",Z4792)),"2歳戦",IF(ISNUMBER(SEARCH("3歳未勝利",Z4792)),"3歳未勝利",IF(ISNUMBER(SEARCH("未勝利",Z4792)),"その他未勝利",IF(ISNUMBER(SEARCH("G1",Z4792)),"G1",IF(ISNUMBER(SEARCH("G2",Z4792)),"G2",IF(ISNUMBER(SEARCH("G3",Z4792)),"G3",IF(ISNUMBER(SEARCH("古馬条件",Z4792)),"古馬条件戦",IF(ISNUMBER(SEARCH("重賞",Z4792)),"重賞","分類不能")))))))))</f>
        <v/>
      </c>
    </row>
    <row r="4793" customFormat="false" ht="15.75" hidden="false" customHeight="false" outlineLevel="0" collapsed="false">
      <c r="AO4793" s="8" t="str">
        <f aca="false">IF(A4793="","",IF(COUNTIFS(全馬データ!$A$2:$A$50000,A4793,全馬データ!$B$2:$B$50000,B4793,全馬データ!$C$2:$C$50000,C4793,全馬データ!$D$2:$D$50000,E4793,全馬データ!$K$2:$K$50000,"&lt;&gt;")=0,"",SUMIFS(全馬データ!$K$2:$K$50000,全馬データ!$A$2:$A$50000,A4793,全馬データ!$B$2:$B$50000,B4793,全馬データ!$C$2:$C$50000,C4793,全馬データ!$D$2:$D$50000,E4793)))</f>
        <v/>
      </c>
      <c r="AP4793" s="8" t="str">
        <f aca="false">IF(A4793="","",IF(AO4793="","欠損",IF(AO4793&lt;=1.1,"1.0～1.1",IF(AO4793&lt;1.3,"1.2",IF(AO4793&lt;1.5,"1.3～1.4",IF(AO4793&lt;2,"1.5～1.9","2.0以上"))))))</f>
        <v/>
      </c>
      <c r="AQ4793" s="8" t="str">
        <f aca="false">IF(A4793="","",IF(ISNUMBER(SEARCH("2歳",Z4793)),"2歳戦",IF(ISNUMBER(SEARCH("3歳未勝利",Z4793)),"3歳未勝利",IF(ISNUMBER(SEARCH("未勝利",Z4793)),"その他未勝利",IF(ISNUMBER(SEARCH("G1",Z4793)),"G1",IF(ISNUMBER(SEARCH("G2",Z4793)),"G2",IF(ISNUMBER(SEARCH("G3",Z4793)),"G3",IF(ISNUMBER(SEARCH("古馬条件",Z4793)),"古馬条件戦",IF(ISNUMBER(SEARCH("重賞",Z4793)),"重賞","分類不能")))))))))</f>
        <v/>
      </c>
    </row>
    <row r="4794" customFormat="false" ht="15.75" hidden="false" customHeight="false" outlineLevel="0" collapsed="false">
      <c r="AO4794" s="8" t="str">
        <f aca="false">IF(A4794="","",IF(COUNTIFS(全馬データ!$A$2:$A$50000,A4794,全馬データ!$B$2:$B$50000,B4794,全馬データ!$C$2:$C$50000,C4794,全馬データ!$D$2:$D$50000,E4794,全馬データ!$K$2:$K$50000,"&lt;&gt;")=0,"",SUMIFS(全馬データ!$K$2:$K$50000,全馬データ!$A$2:$A$50000,A4794,全馬データ!$B$2:$B$50000,B4794,全馬データ!$C$2:$C$50000,C4794,全馬データ!$D$2:$D$50000,E4794)))</f>
        <v/>
      </c>
      <c r="AP4794" s="8" t="str">
        <f aca="false">IF(A4794="","",IF(AO4794="","欠損",IF(AO4794&lt;=1.1,"1.0～1.1",IF(AO4794&lt;1.3,"1.2",IF(AO4794&lt;1.5,"1.3～1.4",IF(AO4794&lt;2,"1.5～1.9","2.0以上"))))))</f>
        <v/>
      </c>
      <c r="AQ4794" s="8" t="str">
        <f aca="false">IF(A4794="","",IF(ISNUMBER(SEARCH("2歳",Z4794)),"2歳戦",IF(ISNUMBER(SEARCH("3歳未勝利",Z4794)),"3歳未勝利",IF(ISNUMBER(SEARCH("未勝利",Z4794)),"その他未勝利",IF(ISNUMBER(SEARCH("G1",Z4794)),"G1",IF(ISNUMBER(SEARCH("G2",Z4794)),"G2",IF(ISNUMBER(SEARCH("G3",Z4794)),"G3",IF(ISNUMBER(SEARCH("古馬条件",Z4794)),"古馬条件戦",IF(ISNUMBER(SEARCH("重賞",Z4794)),"重賞","分類不能")))))))))</f>
        <v/>
      </c>
    </row>
    <row r="4795" customFormat="false" ht="15.75" hidden="false" customHeight="false" outlineLevel="0" collapsed="false">
      <c r="AO4795" s="8" t="str">
        <f aca="false">IF(A4795="","",IF(COUNTIFS(全馬データ!$A$2:$A$50000,A4795,全馬データ!$B$2:$B$50000,B4795,全馬データ!$C$2:$C$50000,C4795,全馬データ!$D$2:$D$50000,E4795,全馬データ!$K$2:$K$50000,"&lt;&gt;")=0,"",SUMIFS(全馬データ!$K$2:$K$50000,全馬データ!$A$2:$A$50000,A4795,全馬データ!$B$2:$B$50000,B4795,全馬データ!$C$2:$C$50000,C4795,全馬データ!$D$2:$D$50000,E4795)))</f>
        <v/>
      </c>
      <c r="AP4795" s="8" t="str">
        <f aca="false">IF(A4795="","",IF(AO4795="","欠損",IF(AO4795&lt;=1.1,"1.0～1.1",IF(AO4795&lt;1.3,"1.2",IF(AO4795&lt;1.5,"1.3～1.4",IF(AO4795&lt;2,"1.5～1.9","2.0以上"))))))</f>
        <v/>
      </c>
      <c r="AQ4795" s="8" t="str">
        <f aca="false">IF(A4795="","",IF(ISNUMBER(SEARCH("2歳",Z4795)),"2歳戦",IF(ISNUMBER(SEARCH("3歳未勝利",Z4795)),"3歳未勝利",IF(ISNUMBER(SEARCH("未勝利",Z4795)),"その他未勝利",IF(ISNUMBER(SEARCH("G1",Z4795)),"G1",IF(ISNUMBER(SEARCH("G2",Z4795)),"G2",IF(ISNUMBER(SEARCH("G3",Z4795)),"G3",IF(ISNUMBER(SEARCH("古馬条件",Z4795)),"古馬条件戦",IF(ISNUMBER(SEARCH("重賞",Z4795)),"重賞","分類不能")))))))))</f>
        <v/>
      </c>
    </row>
    <row r="4796" customFormat="false" ht="15.75" hidden="false" customHeight="false" outlineLevel="0" collapsed="false">
      <c r="AO4796" s="8" t="str">
        <f aca="false">IF(A4796="","",IF(COUNTIFS(全馬データ!$A$2:$A$50000,A4796,全馬データ!$B$2:$B$50000,B4796,全馬データ!$C$2:$C$50000,C4796,全馬データ!$D$2:$D$50000,E4796,全馬データ!$K$2:$K$50000,"&lt;&gt;")=0,"",SUMIFS(全馬データ!$K$2:$K$50000,全馬データ!$A$2:$A$50000,A4796,全馬データ!$B$2:$B$50000,B4796,全馬データ!$C$2:$C$50000,C4796,全馬データ!$D$2:$D$50000,E4796)))</f>
        <v/>
      </c>
      <c r="AP4796" s="8" t="str">
        <f aca="false">IF(A4796="","",IF(AO4796="","欠損",IF(AO4796&lt;=1.1,"1.0～1.1",IF(AO4796&lt;1.3,"1.2",IF(AO4796&lt;1.5,"1.3～1.4",IF(AO4796&lt;2,"1.5～1.9","2.0以上"))))))</f>
        <v/>
      </c>
      <c r="AQ4796" s="8" t="str">
        <f aca="false">IF(A4796="","",IF(ISNUMBER(SEARCH("2歳",Z4796)),"2歳戦",IF(ISNUMBER(SEARCH("3歳未勝利",Z4796)),"3歳未勝利",IF(ISNUMBER(SEARCH("未勝利",Z4796)),"その他未勝利",IF(ISNUMBER(SEARCH("G1",Z4796)),"G1",IF(ISNUMBER(SEARCH("G2",Z4796)),"G2",IF(ISNUMBER(SEARCH("G3",Z4796)),"G3",IF(ISNUMBER(SEARCH("古馬条件",Z4796)),"古馬条件戦",IF(ISNUMBER(SEARCH("重賞",Z4796)),"重賞","分類不能")))))))))</f>
        <v/>
      </c>
    </row>
    <row r="4797" customFormat="false" ht="15.75" hidden="false" customHeight="false" outlineLevel="0" collapsed="false">
      <c r="AO4797" s="8" t="str">
        <f aca="false">IF(A4797="","",IF(COUNTIFS(全馬データ!$A$2:$A$50000,A4797,全馬データ!$B$2:$B$50000,B4797,全馬データ!$C$2:$C$50000,C4797,全馬データ!$D$2:$D$50000,E4797,全馬データ!$K$2:$K$50000,"&lt;&gt;")=0,"",SUMIFS(全馬データ!$K$2:$K$50000,全馬データ!$A$2:$A$50000,A4797,全馬データ!$B$2:$B$50000,B4797,全馬データ!$C$2:$C$50000,C4797,全馬データ!$D$2:$D$50000,E4797)))</f>
        <v/>
      </c>
      <c r="AP4797" s="8" t="str">
        <f aca="false">IF(A4797="","",IF(AO4797="","欠損",IF(AO4797&lt;=1.1,"1.0～1.1",IF(AO4797&lt;1.3,"1.2",IF(AO4797&lt;1.5,"1.3～1.4",IF(AO4797&lt;2,"1.5～1.9","2.0以上"))))))</f>
        <v/>
      </c>
      <c r="AQ4797" s="8" t="str">
        <f aca="false">IF(A4797="","",IF(ISNUMBER(SEARCH("2歳",Z4797)),"2歳戦",IF(ISNUMBER(SEARCH("3歳未勝利",Z4797)),"3歳未勝利",IF(ISNUMBER(SEARCH("未勝利",Z4797)),"その他未勝利",IF(ISNUMBER(SEARCH("G1",Z4797)),"G1",IF(ISNUMBER(SEARCH("G2",Z4797)),"G2",IF(ISNUMBER(SEARCH("G3",Z4797)),"G3",IF(ISNUMBER(SEARCH("古馬条件",Z4797)),"古馬条件戦",IF(ISNUMBER(SEARCH("重賞",Z4797)),"重賞","分類不能")))))))))</f>
        <v/>
      </c>
    </row>
    <row r="4798" customFormat="false" ht="15.75" hidden="false" customHeight="false" outlineLevel="0" collapsed="false">
      <c r="AO4798" s="8" t="str">
        <f aca="false">IF(A4798="","",IF(COUNTIFS(全馬データ!$A$2:$A$50000,A4798,全馬データ!$B$2:$B$50000,B4798,全馬データ!$C$2:$C$50000,C4798,全馬データ!$D$2:$D$50000,E4798,全馬データ!$K$2:$K$50000,"&lt;&gt;")=0,"",SUMIFS(全馬データ!$K$2:$K$50000,全馬データ!$A$2:$A$50000,A4798,全馬データ!$B$2:$B$50000,B4798,全馬データ!$C$2:$C$50000,C4798,全馬データ!$D$2:$D$50000,E4798)))</f>
        <v/>
      </c>
      <c r="AP4798" s="8" t="str">
        <f aca="false">IF(A4798="","",IF(AO4798="","欠損",IF(AO4798&lt;=1.1,"1.0～1.1",IF(AO4798&lt;1.3,"1.2",IF(AO4798&lt;1.5,"1.3～1.4",IF(AO4798&lt;2,"1.5～1.9","2.0以上"))))))</f>
        <v/>
      </c>
      <c r="AQ4798" s="8" t="str">
        <f aca="false">IF(A4798="","",IF(ISNUMBER(SEARCH("2歳",Z4798)),"2歳戦",IF(ISNUMBER(SEARCH("3歳未勝利",Z4798)),"3歳未勝利",IF(ISNUMBER(SEARCH("未勝利",Z4798)),"その他未勝利",IF(ISNUMBER(SEARCH("G1",Z4798)),"G1",IF(ISNUMBER(SEARCH("G2",Z4798)),"G2",IF(ISNUMBER(SEARCH("G3",Z4798)),"G3",IF(ISNUMBER(SEARCH("古馬条件",Z4798)),"古馬条件戦",IF(ISNUMBER(SEARCH("重賞",Z4798)),"重賞","分類不能")))))))))</f>
        <v/>
      </c>
    </row>
    <row r="4799" customFormat="false" ht="15.75" hidden="false" customHeight="false" outlineLevel="0" collapsed="false">
      <c r="AO4799" s="8" t="str">
        <f aca="false">IF(A4799="","",IF(COUNTIFS(全馬データ!$A$2:$A$50000,A4799,全馬データ!$B$2:$B$50000,B4799,全馬データ!$C$2:$C$50000,C4799,全馬データ!$D$2:$D$50000,E4799,全馬データ!$K$2:$K$50000,"&lt;&gt;")=0,"",SUMIFS(全馬データ!$K$2:$K$50000,全馬データ!$A$2:$A$50000,A4799,全馬データ!$B$2:$B$50000,B4799,全馬データ!$C$2:$C$50000,C4799,全馬データ!$D$2:$D$50000,E4799)))</f>
        <v/>
      </c>
      <c r="AP4799" s="8" t="str">
        <f aca="false">IF(A4799="","",IF(AO4799="","欠損",IF(AO4799&lt;=1.1,"1.0～1.1",IF(AO4799&lt;1.3,"1.2",IF(AO4799&lt;1.5,"1.3～1.4",IF(AO4799&lt;2,"1.5～1.9","2.0以上"))))))</f>
        <v/>
      </c>
      <c r="AQ4799" s="8" t="str">
        <f aca="false">IF(A4799="","",IF(ISNUMBER(SEARCH("2歳",Z4799)),"2歳戦",IF(ISNUMBER(SEARCH("3歳未勝利",Z4799)),"3歳未勝利",IF(ISNUMBER(SEARCH("未勝利",Z4799)),"その他未勝利",IF(ISNUMBER(SEARCH("G1",Z4799)),"G1",IF(ISNUMBER(SEARCH("G2",Z4799)),"G2",IF(ISNUMBER(SEARCH("G3",Z4799)),"G3",IF(ISNUMBER(SEARCH("古馬条件",Z4799)),"古馬条件戦",IF(ISNUMBER(SEARCH("重賞",Z4799)),"重賞","分類不能")))))))))</f>
        <v/>
      </c>
    </row>
    <row r="4800" customFormat="false" ht="15.75" hidden="false" customHeight="false" outlineLevel="0" collapsed="false">
      <c r="AO4800" s="8" t="str">
        <f aca="false">IF(A4800="","",IF(COUNTIFS(全馬データ!$A$2:$A$50000,A4800,全馬データ!$B$2:$B$50000,B4800,全馬データ!$C$2:$C$50000,C4800,全馬データ!$D$2:$D$50000,E4800,全馬データ!$K$2:$K$50000,"&lt;&gt;")=0,"",SUMIFS(全馬データ!$K$2:$K$50000,全馬データ!$A$2:$A$50000,A4800,全馬データ!$B$2:$B$50000,B4800,全馬データ!$C$2:$C$50000,C4800,全馬データ!$D$2:$D$50000,E4800)))</f>
        <v/>
      </c>
      <c r="AP4800" s="8" t="str">
        <f aca="false">IF(A4800="","",IF(AO4800="","欠損",IF(AO4800&lt;=1.1,"1.0～1.1",IF(AO4800&lt;1.3,"1.2",IF(AO4800&lt;1.5,"1.3～1.4",IF(AO4800&lt;2,"1.5～1.9","2.0以上"))))))</f>
        <v/>
      </c>
      <c r="AQ4800" s="8" t="str">
        <f aca="false">IF(A4800="","",IF(ISNUMBER(SEARCH("2歳",Z4800)),"2歳戦",IF(ISNUMBER(SEARCH("3歳未勝利",Z4800)),"3歳未勝利",IF(ISNUMBER(SEARCH("未勝利",Z4800)),"その他未勝利",IF(ISNUMBER(SEARCH("G1",Z4800)),"G1",IF(ISNUMBER(SEARCH("G2",Z4800)),"G2",IF(ISNUMBER(SEARCH("G3",Z4800)),"G3",IF(ISNUMBER(SEARCH("古馬条件",Z4800)),"古馬条件戦",IF(ISNUMBER(SEARCH("重賞",Z4800)),"重賞","分類不能")))))))))</f>
        <v/>
      </c>
    </row>
    <row r="4801" customFormat="false" ht="15.75" hidden="false" customHeight="false" outlineLevel="0" collapsed="false">
      <c r="AO4801" s="8" t="str">
        <f aca="false">IF(A4801="","",IF(COUNTIFS(全馬データ!$A$2:$A$50000,A4801,全馬データ!$B$2:$B$50000,B4801,全馬データ!$C$2:$C$50000,C4801,全馬データ!$D$2:$D$50000,E4801,全馬データ!$K$2:$K$50000,"&lt;&gt;")=0,"",SUMIFS(全馬データ!$K$2:$K$50000,全馬データ!$A$2:$A$50000,A4801,全馬データ!$B$2:$B$50000,B4801,全馬データ!$C$2:$C$50000,C4801,全馬データ!$D$2:$D$50000,E4801)))</f>
        <v/>
      </c>
      <c r="AP4801" s="8" t="str">
        <f aca="false">IF(A4801="","",IF(AO4801="","欠損",IF(AO4801&lt;=1.1,"1.0～1.1",IF(AO4801&lt;1.3,"1.2",IF(AO4801&lt;1.5,"1.3～1.4",IF(AO4801&lt;2,"1.5～1.9","2.0以上"))))))</f>
        <v/>
      </c>
      <c r="AQ4801" s="8" t="str">
        <f aca="false">IF(A4801="","",IF(ISNUMBER(SEARCH("2歳",Z4801)),"2歳戦",IF(ISNUMBER(SEARCH("3歳未勝利",Z4801)),"3歳未勝利",IF(ISNUMBER(SEARCH("未勝利",Z4801)),"その他未勝利",IF(ISNUMBER(SEARCH("G1",Z4801)),"G1",IF(ISNUMBER(SEARCH("G2",Z4801)),"G2",IF(ISNUMBER(SEARCH("G3",Z4801)),"G3",IF(ISNUMBER(SEARCH("古馬条件",Z4801)),"古馬条件戦",IF(ISNUMBER(SEARCH("重賞",Z4801)),"重賞","分類不能")))))))))</f>
        <v/>
      </c>
    </row>
    <row r="4802" customFormat="false" ht="15.75" hidden="false" customHeight="false" outlineLevel="0" collapsed="false">
      <c r="AO4802" s="8" t="str">
        <f aca="false">IF(A4802="","",IF(COUNTIFS(全馬データ!$A$2:$A$50000,A4802,全馬データ!$B$2:$B$50000,B4802,全馬データ!$C$2:$C$50000,C4802,全馬データ!$D$2:$D$50000,E4802,全馬データ!$K$2:$K$50000,"&lt;&gt;")=0,"",SUMIFS(全馬データ!$K$2:$K$50000,全馬データ!$A$2:$A$50000,A4802,全馬データ!$B$2:$B$50000,B4802,全馬データ!$C$2:$C$50000,C4802,全馬データ!$D$2:$D$50000,E4802)))</f>
        <v/>
      </c>
      <c r="AP4802" s="8" t="str">
        <f aca="false">IF(A4802="","",IF(AO4802="","欠損",IF(AO4802&lt;=1.1,"1.0～1.1",IF(AO4802&lt;1.3,"1.2",IF(AO4802&lt;1.5,"1.3～1.4",IF(AO4802&lt;2,"1.5～1.9","2.0以上"))))))</f>
        <v/>
      </c>
      <c r="AQ4802" s="8" t="str">
        <f aca="false">IF(A4802="","",IF(ISNUMBER(SEARCH("2歳",Z4802)),"2歳戦",IF(ISNUMBER(SEARCH("3歳未勝利",Z4802)),"3歳未勝利",IF(ISNUMBER(SEARCH("未勝利",Z4802)),"その他未勝利",IF(ISNUMBER(SEARCH("G1",Z4802)),"G1",IF(ISNUMBER(SEARCH("G2",Z4802)),"G2",IF(ISNUMBER(SEARCH("G3",Z4802)),"G3",IF(ISNUMBER(SEARCH("古馬条件",Z4802)),"古馬条件戦",IF(ISNUMBER(SEARCH("重賞",Z4802)),"重賞","分類不能")))))))))</f>
        <v/>
      </c>
    </row>
    <row r="4803" customFormat="false" ht="15.75" hidden="false" customHeight="false" outlineLevel="0" collapsed="false">
      <c r="AO4803" s="8" t="str">
        <f aca="false">IF(A4803="","",IF(COUNTIFS(全馬データ!$A$2:$A$50000,A4803,全馬データ!$B$2:$B$50000,B4803,全馬データ!$C$2:$C$50000,C4803,全馬データ!$D$2:$D$50000,E4803,全馬データ!$K$2:$K$50000,"&lt;&gt;")=0,"",SUMIFS(全馬データ!$K$2:$K$50000,全馬データ!$A$2:$A$50000,A4803,全馬データ!$B$2:$B$50000,B4803,全馬データ!$C$2:$C$50000,C4803,全馬データ!$D$2:$D$50000,E4803)))</f>
        <v/>
      </c>
      <c r="AP4803" s="8" t="str">
        <f aca="false">IF(A4803="","",IF(AO4803="","欠損",IF(AO4803&lt;=1.1,"1.0～1.1",IF(AO4803&lt;1.3,"1.2",IF(AO4803&lt;1.5,"1.3～1.4",IF(AO4803&lt;2,"1.5～1.9","2.0以上"))))))</f>
        <v/>
      </c>
      <c r="AQ4803" s="8" t="str">
        <f aca="false">IF(A4803="","",IF(ISNUMBER(SEARCH("2歳",Z4803)),"2歳戦",IF(ISNUMBER(SEARCH("3歳未勝利",Z4803)),"3歳未勝利",IF(ISNUMBER(SEARCH("未勝利",Z4803)),"その他未勝利",IF(ISNUMBER(SEARCH("G1",Z4803)),"G1",IF(ISNUMBER(SEARCH("G2",Z4803)),"G2",IF(ISNUMBER(SEARCH("G3",Z4803)),"G3",IF(ISNUMBER(SEARCH("古馬条件",Z4803)),"古馬条件戦",IF(ISNUMBER(SEARCH("重賞",Z4803)),"重賞","分類不能")))))))))</f>
        <v/>
      </c>
    </row>
    <row r="4804" customFormat="false" ht="15.75" hidden="false" customHeight="false" outlineLevel="0" collapsed="false">
      <c r="AO4804" s="8" t="str">
        <f aca="false">IF(A4804="","",IF(COUNTIFS(全馬データ!$A$2:$A$50000,A4804,全馬データ!$B$2:$B$50000,B4804,全馬データ!$C$2:$C$50000,C4804,全馬データ!$D$2:$D$50000,E4804,全馬データ!$K$2:$K$50000,"&lt;&gt;")=0,"",SUMIFS(全馬データ!$K$2:$K$50000,全馬データ!$A$2:$A$50000,A4804,全馬データ!$B$2:$B$50000,B4804,全馬データ!$C$2:$C$50000,C4804,全馬データ!$D$2:$D$50000,E4804)))</f>
        <v/>
      </c>
      <c r="AP4804" s="8" t="str">
        <f aca="false">IF(A4804="","",IF(AO4804="","欠損",IF(AO4804&lt;=1.1,"1.0～1.1",IF(AO4804&lt;1.3,"1.2",IF(AO4804&lt;1.5,"1.3～1.4",IF(AO4804&lt;2,"1.5～1.9","2.0以上"))))))</f>
        <v/>
      </c>
      <c r="AQ4804" s="8" t="str">
        <f aca="false">IF(A4804="","",IF(ISNUMBER(SEARCH("2歳",Z4804)),"2歳戦",IF(ISNUMBER(SEARCH("3歳未勝利",Z4804)),"3歳未勝利",IF(ISNUMBER(SEARCH("未勝利",Z4804)),"その他未勝利",IF(ISNUMBER(SEARCH("G1",Z4804)),"G1",IF(ISNUMBER(SEARCH("G2",Z4804)),"G2",IF(ISNUMBER(SEARCH("G3",Z4804)),"G3",IF(ISNUMBER(SEARCH("古馬条件",Z4804)),"古馬条件戦",IF(ISNUMBER(SEARCH("重賞",Z4804)),"重賞","分類不能")))))))))</f>
        <v/>
      </c>
    </row>
    <row r="4805" customFormat="false" ht="15.75" hidden="false" customHeight="false" outlineLevel="0" collapsed="false">
      <c r="AO4805" s="8" t="str">
        <f aca="false">IF(A4805="","",IF(COUNTIFS(全馬データ!$A$2:$A$50000,A4805,全馬データ!$B$2:$B$50000,B4805,全馬データ!$C$2:$C$50000,C4805,全馬データ!$D$2:$D$50000,E4805,全馬データ!$K$2:$K$50000,"&lt;&gt;")=0,"",SUMIFS(全馬データ!$K$2:$K$50000,全馬データ!$A$2:$A$50000,A4805,全馬データ!$B$2:$B$50000,B4805,全馬データ!$C$2:$C$50000,C4805,全馬データ!$D$2:$D$50000,E4805)))</f>
        <v/>
      </c>
      <c r="AP4805" s="8" t="str">
        <f aca="false">IF(A4805="","",IF(AO4805="","欠損",IF(AO4805&lt;=1.1,"1.0～1.1",IF(AO4805&lt;1.3,"1.2",IF(AO4805&lt;1.5,"1.3～1.4",IF(AO4805&lt;2,"1.5～1.9","2.0以上"))))))</f>
        <v/>
      </c>
      <c r="AQ4805" s="8" t="str">
        <f aca="false">IF(A4805="","",IF(ISNUMBER(SEARCH("2歳",Z4805)),"2歳戦",IF(ISNUMBER(SEARCH("3歳未勝利",Z4805)),"3歳未勝利",IF(ISNUMBER(SEARCH("未勝利",Z4805)),"その他未勝利",IF(ISNUMBER(SEARCH("G1",Z4805)),"G1",IF(ISNUMBER(SEARCH("G2",Z4805)),"G2",IF(ISNUMBER(SEARCH("G3",Z4805)),"G3",IF(ISNUMBER(SEARCH("古馬条件",Z4805)),"古馬条件戦",IF(ISNUMBER(SEARCH("重賞",Z4805)),"重賞","分類不能")))))))))</f>
        <v/>
      </c>
    </row>
    <row r="4806" customFormat="false" ht="15.75" hidden="false" customHeight="false" outlineLevel="0" collapsed="false">
      <c r="AO4806" s="8" t="str">
        <f aca="false">IF(A4806="","",IF(COUNTIFS(全馬データ!$A$2:$A$50000,A4806,全馬データ!$B$2:$B$50000,B4806,全馬データ!$C$2:$C$50000,C4806,全馬データ!$D$2:$D$50000,E4806,全馬データ!$K$2:$K$50000,"&lt;&gt;")=0,"",SUMIFS(全馬データ!$K$2:$K$50000,全馬データ!$A$2:$A$50000,A4806,全馬データ!$B$2:$B$50000,B4806,全馬データ!$C$2:$C$50000,C4806,全馬データ!$D$2:$D$50000,E4806)))</f>
        <v/>
      </c>
      <c r="AP4806" s="8" t="str">
        <f aca="false">IF(A4806="","",IF(AO4806="","欠損",IF(AO4806&lt;=1.1,"1.0～1.1",IF(AO4806&lt;1.3,"1.2",IF(AO4806&lt;1.5,"1.3～1.4",IF(AO4806&lt;2,"1.5～1.9","2.0以上"))))))</f>
        <v/>
      </c>
      <c r="AQ4806" s="8" t="str">
        <f aca="false">IF(A4806="","",IF(ISNUMBER(SEARCH("2歳",Z4806)),"2歳戦",IF(ISNUMBER(SEARCH("3歳未勝利",Z4806)),"3歳未勝利",IF(ISNUMBER(SEARCH("未勝利",Z4806)),"その他未勝利",IF(ISNUMBER(SEARCH("G1",Z4806)),"G1",IF(ISNUMBER(SEARCH("G2",Z4806)),"G2",IF(ISNUMBER(SEARCH("G3",Z4806)),"G3",IF(ISNUMBER(SEARCH("古馬条件",Z4806)),"古馬条件戦",IF(ISNUMBER(SEARCH("重賞",Z4806)),"重賞","分類不能")))))))))</f>
        <v/>
      </c>
    </row>
    <row r="4807" customFormat="false" ht="15.75" hidden="false" customHeight="false" outlineLevel="0" collapsed="false">
      <c r="AO4807" s="8" t="str">
        <f aca="false">IF(A4807="","",IF(COUNTIFS(全馬データ!$A$2:$A$50000,A4807,全馬データ!$B$2:$B$50000,B4807,全馬データ!$C$2:$C$50000,C4807,全馬データ!$D$2:$D$50000,E4807,全馬データ!$K$2:$K$50000,"&lt;&gt;")=0,"",SUMIFS(全馬データ!$K$2:$K$50000,全馬データ!$A$2:$A$50000,A4807,全馬データ!$B$2:$B$50000,B4807,全馬データ!$C$2:$C$50000,C4807,全馬データ!$D$2:$D$50000,E4807)))</f>
        <v/>
      </c>
      <c r="AP4807" s="8" t="str">
        <f aca="false">IF(A4807="","",IF(AO4807="","欠損",IF(AO4807&lt;=1.1,"1.0～1.1",IF(AO4807&lt;1.3,"1.2",IF(AO4807&lt;1.5,"1.3～1.4",IF(AO4807&lt;2,"1.5～1.9","2.0以上"))))))</f>
        <v/>
      </c>
      <c r="AQ4807" s="8" t="str">
        <f aca="false">IF(A4807="","",IF(ISNUMBER(SEARCH("2歳",Z4807)),"2歳戦",IF(ISNUMBER(SEARCH("3歳未勝利",Z4807)),"3歳未勝利",IF(ISNUMBER(SEARCH("未勝利",Z4807)),"その他未勝利",IF(ISNUMBER(SEARCH("G1",Z4807)),"G1",IF(ISNUMBER(SEARCH("G2",Z4807)),"G2",IF(ISNUMBER(SEARCH("G3",Z4807)),"G3",IF(ISNUMBER(SEARCH("古馬条件",Z4807)),"古馬条件戦",IF(ISNUMBER(SEARCH("重賞",Z4807)),"重賞","分類不能")))))))))</f>
        <v/>
      </c>
    </row>
    <row r="4808" customFormat="false" ht="15.75" hidden="false" customHeight="false" outlineLevel="0" collapsed="false">
      <c r="AO4808" s="8" t="str">
        <f aca="false">IF(A4808="","",IF(COUNTIFS(全馬データ!$A$2:$A$50000,A4808,全馬データ!$B$2:$B$50000,B4808,全馬データ!$C$2:$C$50000,C4808,全馬データ!$D$2:$D$50000,E4808,全馬データ!$K$2:$K$50000,"&lt;&gt;")=0,"",SUMIFS(全馬データ!$K$2:$K$50000,全馬データ!$A$2:$A$50000,A4808,全馬データ!$B$2:$B$50000,B4808,全馬データ!$C$2:$C$50000,C4808,全馬データ!$D$2:$D$50000,E4808)))</f>
        <v/>
      </c>
      <c r="AP4808" s="8" t="str">
        <f aca="false">IF(A4808="","",IF(AO4808="","欠損",IF(AO4808&lt;=1.1,"1.0～1.1",IF(AO4808&lt;1.3,"1.2",IF(AO4808&lt;1.5,"1.3～1.4",IF(AO4808&lt;2,"1.5～1.9","2.0以上"))))))</f>
        <v/>
      </c>
      <c r="AQ4808" s="8" t="str">
        <f aca="false">IF(A4808="","",IF(ISNUMBER(SEARCH("2歳",Z4808)),"2歳戦",IF(ISNUMBER(SEARCH("3歳未勝利",Z4808)),"3歳未勝利",IF(ISNUMBER(SEARCH("未勝利",Z4808)),"その他未勝利",IF(ISNUMBER(SEARCH("G1",Z4808)),"G1",IF(ISNUMBER(SEARCH("G2",Z4808)),"G2",IF(ISNUMBER(SEARCH("G3",Z4808)),"G3",IF(ISNUMBER(SEARCH("古馬条件",Z4808)),"古馬条件戦",IF(ISNUMBER(SEARCH("重賞",Z4808)),"重賞","分類不能")))))))))</f>
        <v/>
      </c>
    </row>
    <row r="4809" customFormat="false" ht="15.75" hidden="false" customHeight="false" outlineLevel="0" collapsed="false">
      <c r="AO4809" s="8" t="str">
        <f aca="false">IF(A4809="","",IF(COUNTIFS(全馬データ!$A$2:$A$50000,A4809,全馬データ!$B$2:$B$50000,B4809,全馬データ!$C$2:$C$50000,C4809,全馬データ!$D$2:$D$50000,E4809,全馬データ!$K$2:$K$50000,"&lt;&gt;")=0,"",SUMIFS(全馬データ!$K$2:$K$50000,全馬データ!$A$2:$A$50000,A4809,全馬データ!$B$2:$B$50000,B4809,全馬データ!$C$2:$C$50000,C4809,全馬データ!$D$2:$D$50000,E4809)))</f>
        <v/>
      </c>
      <c r="AP4809" s="8" t="str">
        <f aca="false">IF(A4809="","",IF(AO4809="","欠損",IF(AO4809&lt;=1.1,"1.0～1.1",IF(AO4809&lt;1.3,"1.2",IF(AO4809&lt;1.5,"1.3～1.4",IF(AO4809&lt;2,"1.5～1.9","2.0以上"))))))</f>
        <v/>
      </c>
      <c r="AQ4809" s="8" t="str">
        <f aca="false">IF(A4809="","",IF(ISNUMBER(SEARCH("2歳",Z4809)),"2歳戦",IF(ISNUMBER(SEARCH("3歳未勝利",Z4809)),"3歳未勝利",IF(ISNUMBER(SEARCH("未勝利",Z4809)),"その他未勝利",IF(ISNUMBER(SEARCH("G1",Z4809)),"G1",IF(ISNUMBER(SEARCH("G2",Z4809)),"G2",IF(ISNUMBER(SEARCH("G3",Z4809)),"G3",IF(ISNUMBER(SEARCH("古馬条件",Z4809)),"古馬条件戦",IF(ISNUMBER(SEARCH("重賞",Z4809)),"重賞","分類不能")))))))))</f>
        <v/>
      </c>
    </row>
    <row r="4810" customFormat="false" ht="15.75" hidden="false" customHeight="false" outlineLevel="0" collapsed="false">
      <c r="AO4810" s="8" t="str">
        <f aca="false">IF(A4810="","",IF(COUNTIFS(全馬データ!$A$2:$A$50000,A4810,全馬データ!$B$2:$B$50000,B4810,全馬データ!$C$2:$C$50000,C4810,全馬データ!$D$2:$D$50000,E4810,全馬データ!$K$2:$K$50000,"&lt;&gt;")=0,"",SUMIFS(全馬データ!$K$2:$K$50000,全馬データ!$A$2:$A$50000,A4810,全馬データ!$B$2:$B$50000,B4810,全馬データ!$C$2:$C$50000,C4810,全馬データ!$D$2:$D$50000,E4810)))</f>
        <v/>
      </c>
      <c r="AP4810" s="8" t="str">
        <f aca="false">IF(A4810="","",IF(AO4810="","欠損",IF(AO4810&lt;=1.1,"1.0～1.1",IF(AO4810&lt;1.3,"1.2",IF(AO4810&lt;1.5,"1.3～1.4",IF(AO4810&lt;2,"1.5～1.9","2.0以上"))))))</f>
        <v/>
      </c>
      <c r="AQ4810" s="8" t="str">
        <f aca="false">IF(A4810="","",IF(ISNUMBER(SEARCH("2歳",Z4810)),"2歳戦",IF(ISNUMBER(SEARCH("3歳未勝利",Z4810)),"3歳未勝利",IF(ISNUMBER(SEARCH("未勝利",Z4810)),"その他未勝利",IF(ISNUMBER(SEARCH("G1",Z4810)),"G1",IF(ISNUMBER(SEARCH("G2",Z4810)),"G2",IF(ISNUMBER(SEARCH("G3",Z4810)),"G3",IF(ISNUMBER(SEARCH("古馬条件",Z4810)),"古馬条件戦",IF(ISNUMBER(SEARCH("重賞",Z4810)),"重賞","分類不能")))))))))</f>
        <v/>
      </c>
    </row>
    <row r="4811" customFormat="false" ht="15.75" hidden="false" customHeight="false" outlineLevel="0" collapsed="false">
      <c r="AO4811" s="8" t="str">
        <f aca="false">IF(A4811="","",IF(COUNTIFS(全馬データ!$A$2:$A$50000,A4811,全馬データ!$B$2:$B$50000,B4811,全馬データ!$C$2:$C$50000,C4811,全馬データ!$D$2:$D$50000,E4811,全馬データ!$K$2:$K$50000,"&lt;&gt;")=0,"",SUMIFS(全馬データ!$K$2:$K$50000,全馬データ!$A$2:$A$50000,A4811,全馬データ!$B$2:$B$50000,B4811,全馬データ!$C$2:$C$50000,C4811,全馬データ!$D$2:$D$50000,E4811)))</f>
        <v/>
      </c>
      <c r="AP4811" s="8" t="str">
        <f aca="false">IF(A4811="","",IF(AO4811="","欠損",IF(AO4811&lt;=1.1,"1.0～1.1",IF(AO4811&lt;1.3,"1.2",IF(AO4811&lt;1.5,"1.3～1.4",IF(AO4811&lt;2,"1.5～1.9","2.0以上"))))))</f>
        <v/>
      </c>
      <c r="AQ4811" s="8" t="str">
        <f aca="false">IF(A4811="","",IF(ISNUMBER(SEARCH("2歳",Z4811)),"2歳戦",IF(ISNUMBER(SEARCH("3歳未勝利",Z4811)),"3歳未勝利",IF(ISNUMBER(SEARCH("未勝利",Z4811)),"その他未勝利",IF(ISNUMBER(SEARCH("G1",Z4811)),"G1",IF(ISNUMBER(SEARCH("G2",Z4811)),"G2",IF(ISNUMBER(SEARCH("G3",Z4811)),"G3",IF(ISNUMBER(SEARCH("古馬条件",Z4811)),"古馬条件戦",IF(ISNUMBER(SEARCH("重賞",Z4811)),"重賞","分類不能")))))))))</f>
        <v/>
      </c>
    </row>
    <row r="4812" customFormat="false" ht="15.75" hidden="false" customHeight="false" outlineLevel="0" collapsed="false">
      <c r="AO4812" s="8" t="str">
        <f aca="false">IF(A4812="","",IF(COUNTIFS(全馬データ!$A$2:$A$50000,A4812,全馬データ!$B$2:$B$50000,B4812,全馬データ!$C$2:$C$50000,C4812,全馬データ!$D$2:$D$50000,E4812,全馬データ!$K$2:$K$50000,"&lt;&gt;")=0,"",SUMIFS(全馬データ!$K$2:$K$50000,全馬データ!$A$2:$A$50000,A4812,全馬データ!$B$2:$B$50000,B4812,全馬データ!$C$2:$C$50000,C4812,全馬データ!$D$2:$D$50000,E4812)))</f>
        <v/>
      </c>
      <c r="AP4812" s="8" t="str">
        <f aca="false">IF(A4812="","",IF(AO4812="","欠損",IF(AO4812&lt;=1.1,"1.0～1.1",IF(AO4812&lt;1.3,"1.2",IF(AO4812&lt;1.5,"1.3～1.4",IF(AO4812&lt;2,"1.5～1.9","2.0以上"))))))</f>
        <v/>
      </c>
      <c r="AQ4812" s="8" t="str">
        <f aca="false">IF(A4812="","",IF(ISNUMBER(SEARCH("2歳",Z4812)),"2歳戦",IF(ISNUMBER(SEARCH("3歳未勝利",Z4812)),"3歳未勝利",IF(ISNUMBER(SEARCH("未勝利",Z4812)),"その他未勝利",IF(ISNUMBER(SEARCH("G1",Z4812)),"G1",IF(ISNUMBER(SEARCH("G2",Z4812)),"G2",IF(ISNUMBER(SEARCH("G3",Z4812)),"G3",IF(ISNUMBER(SEARCH("古馬条件",Z4812)),"古馬条件戦",IF(ISNUMBER(SEARCH("重賞",Z4812)),"重賞","分類不能")))))))))</f>
        <v/>
      </c>
    </row>
    <row r="4813" customFormat="false" ht="15.75" hidden="false" customHeight="false" outlineLevel="0" collapsed="false">
      <c r="AO4813" s="8" t="str">
        <f aca="false">IF(A4813="","",IF(COUNTIFS(全馬データ!$A$2:$A$50000,A4813,全馬データ!$B$2:$B$50000,B4813,全馬データ!$C$2:$C$50000,C4813,全馬データ!$D$2:$D$50000,E4813,全馬データ!$K$2:$K$50000,"&lt;&gt;")=0,"",SUMIFS(全馬データ!$K$2:$K$50000,全馬データ!$A$2:$A$50000,A4813,全馬データ!$B$2:$B$50000,B4813,全馬データ!$C$2:$C$50000,C4813,全馬データ!$D$2:$D$50000,E4813)))</f>
        <v/>
      </c>
      <c r="AP4813" s="8" t="str">
        <f aca="false">IF(A4813="","",IF(AO4813="","欠損",IF(AO4813&lt;=1.1,"1.0～1.1",IF(AO4813&lt;1.3,"1.2",IF(AO4813&lt;1.5,"1.3～1.4",IF(AO4813&lt;2,"1.5～1.9","2.0以上"))))))</f>
        <v/>
      </c>
      <c r="AQ4813" s="8" t="str">
        <f aca="false">IF(A4813="","",IF(ISNUMBER(SEARCH("2歳",Z4813)),"2歳戦",IF(ISNUMBER(SEARCH("3歳未勝利",Z4813)),"3歳未勝利",IF(ISNUMBER(SEARCH("未勝利",Z4813)),"その他未勝利",IF(ISNUMBER(SEARCH("G1",Z4813)),"G1",IF(ISNUMBER(SEARCH("G2",Z4813)),"G2",IF(ISNUMBER(SEARCH("G3",Z4813)),"G3",IF(ISNUMBER(SEARCH("古馬条件",Z4813)),"古馬条件戦",IF(ISNUMBER(SEARCH("重賞",Z4813)),"重賞","分類不能")))))))))</f>
        <v/>
      </c>
    </row>
    <row r="4814" customFormat="false" ht="15.75" hidden="false" customHeight="false" outlineLevel="0" collapsed="false">
      <c r="AO4814" s="8" t="str">
        <f aca="false">IF(A4814="","",IF(COUNTIFS(全馬データ!$A$2:$A$50000,A4814,全馬データ!$B$2:$B$50000,B4814,全馬データ!$C$2:$C$50000,C4814,全馬データ!$D$2:$D$50000,E4814,全馬データ!$K$2:$K$50000,"&lt;&gt;")=0,"",SUMIFS(全馬データ!$K$2:$K$50000,全馬データ!$A$2:$A$50000,A4814,全馬データ!$B$2:$B$50000,B4814,全馬データ!$C$2:$C$50000,C4814,全馬データ!$D$2:$D$50000,E4814)))</f>
        <v/>
      </c>
      <c r="AP4814" s="8" t="str">
        <f aca="false">IF(A4814="","",IF(AO4814="","欠損",IF(AO4814&lt;=1.1,"1.0～1.1",IF(AO4814&lt;1.3,"1.2",IF(AO4814&lt;1.5,"1.3～1.4",IF(AO4814&lt;2,"1.5～1.9","2.0以上"))))))</f>
        <v/>
      </c>
      <c r="AQ4814" s="8" t="str">
        <f aca="false">IF(A4814="","",IF(ISNUMBER(SEARCH("2歳",Z4814)),"2歳戦",IF(ISNUMBER(SEARCH("3歳未勝利",Z4814)),"3歳未勝利",IF(ISNUMBER(SEARCH("未勝利",Z4814)),"その他未勝利",IF(ISNUMBER(SEARCH("G1",Z4814)),"G1",IF(ISNUMBER(SEARCH("G2",Z4814)),"G2",IF(ISNUMBER(SEARCH("G3",Z4814)),"G3",IF(ISNUMBER(SEARCH("古馬条件",Z4814)),"古馬条件戦",IF(ISNUMBER(SEARCH("重賞",Z4814)),"重賞","分類不能")))))))))</f>
        <v/>
      </c>
    </row>
    <row r="4815" customFormat="false" ht="15.75" hidden="false" customHeight="false" outlineLevel="0" collapsed="false">
      <c r="AO4815" s="8" t="str">
        <f aca="false">IF(A4815="","",IF(COUNTIFS(全馬データ!$A$2:$A$50000,A4815,全馬データ!$B$2:$B$50000,B4815,全馬データ!$C$2:$C$50000,C4815,全馬データ!$D$2:$D$50000,E4815,全馬データ!$K$2:$K$50000,"&lt;&gt;")=0,"",SUMIFS(全馬データ!$K$2:$K$50000,全馬データ!$A$2:$A$50000,A4815,全馬データ!$B$2:$B$50000,B4815,全馬データ!$C$2:$C$50000,C4815,全馬データ!$D$2:$D$50000,E4815)))</f>
        <v/>
      </c>
      <c r="AP4815" s="8" t="str">
        <f aca="false">IF(A4815="","",IF(AO4815="","欠損",IF(AO4815&lt;=1.1,"1.0～1.1",IF(AO4815&lt;1.3,"1.2",IF(AO4815&lt;1.5,"1.3～1.4",IF(AO4815&lt;2,"1.5～1.9","2.0以上"))))))</f>
        <v/>
      </c>
      <c r="AQ4815" s="8" t="str">
        <f aca="false">IF(A4815="","",IF(ISNUMBER(SEARCH("2歳",Z4815)),"2歳戦",IF(ISNUMBER(SEARCH("3歳未勝利",Z4815)),"3歳未勝利",IF(ISNUMBER(SEARCH("未勝利",Z4815)),"その他未勝利",IF(ISNUMBER(SEARCH("G1",Z4815)),"G1",IF(ISNUMBER(SEARCH("G2",Z4815)),"G2",IF(ISNUMBER(SEARCH("G3",Z4815)),"G3",IF(ISNUMBER(SEARCH("古馬条件",Z4815)),"古馬条件戦",IF(ISNUMBER(SEARCH("重賞",Z4815)),"重賞","分類不能")))))))))</f>
        <v/>
      </c>
    </row>
    <row r="4816" customFormat="false" ht="15.75" hidden="false" customHeight="false" outlineLevel="0" collapsed="false">
      <c r="AO4816" s="8" t="str">
        <f aca="false">IF(A4816="","",IF(COUNTIFS(全馬データ!$A$2:$A$50000,A4816,全馬データ!$B$2:$B$50000,B4816,全馬データ!$C$2:$C$50000,C4816,全馬データ!$D$2:$D$50000,E4816,全馬データ!$K$2:$K$50000,"&lt;&gt;")=0,"",SUMIFS(全馬データ!$K$2:$K$50000,全馬データ!$A$2:$A$50000,A4816,全馬データ!$B$2:$B$50000,B4816,全馬データ!$C$2:$C$50000,C4816,全馬データ!$D$2:$D$50000,E4816)))</f>
        <v/>
      </c>
      <c r="AP4816" s="8" t="str">
        <f aca="false">IF(A4816="","",IF(AO4816="","欠損",IF(AO4816&lt;=1.1,"1.0～1.1",IF(AO4816&lt;1.3,"1.2",IF(AO4816&lt;1.5,"1.3～1.4",IF(AO4816&lt;2,"1.5～1.9","2.0以上"))))))</f>
        <v/>
      </c>
      <c r="AQ4816" s="8" t="str">
        <f aca="false">IF(A4816="","",IF(ISNUMBER(SEARCH("2歳",Z4816)),"2歳戦",IF(ISNUMBER(SEARCH("3歳未勝利",Z4816)),"3歳未勝利",IF(ISNUMBER(SEARCH("未勝利",Z4816)),"その他未勝利",IF(ISNUMBER(SEARCH("G1",Z4816)),"G1",IF(ISNUMBER(SEARCH("G2",Z4816)),"G2",IF(ISNUMBER(SEARCH("G3",Z4816)),"G3",IF(ISNUMBER(SEARCH("古馬条件",Z4816)),"古馬条件戦",IF(ISNUMBER(SEARCH("重賞",Z4816)),"重賞","分類不能")))))))))</f>
        <v/>
      </c>
    </row>
    <row r="4817" customFormat="false" ht="15.75" hidden="false" customHeight="false" outlineLevel="0" collapsed="false">
      <c r="AO4817" s="8" t="str">
        <f aca="false">IF(A4817="","",IF(COUNTIFS(全馬データ!$A$2:$A$50000,A4817,全馬データ!$B$2:$B$50000,B4817,全馬データ!$C$2:$C$50000,C4817,全馬データ!$D$2:$D$50000,E4817,全馬データ!$K$2:$K$50000,"&lt;&gt;")=0,"",SUMIFS(全馬データ!$K$2:$K$50000,全馬データ!$A$2:$A$50000,A4817,全馬データ!$B$2:$B$50000,B4817,全馬データ!$C$2:$C$50000,C4817,全馬データ!$D$2:$D$50000,E4817)))</f>
        <v/>
      </c>
      <c r="AP4817" s="8" t="str">
        <f aca="false">IF(A4817="","",IF(AO4817="","欠損",IF(AO4817&lt;=1.1,"1.0～1.1",IF(AO4817&lt;1.3,"1.2",IF(AO4817&lt;1.5,"1.3～1.4",IF(AO4817&lt;2,"1.5～1.9","2.0以上"))))))</f>
        <v/>
      </c>
      <c r="AQ4817" s="8" t="str">
        <f aca="false">IF(A4817="","",IF(ISNUMBER(SEARCH("2歳",Z4817)),"2歳戦",IF(ISNUMBER(SEARCH("3歳未勝利",Z4817)),"3歳未勝利",IF(ISNUMBER(SEARCH("未勝利",Z4817)),"その他未勝利",IF(ISNUMBER(SEARCH("G1",Z4817)),"G1",IF(ISNUMBER(SEARCH("G2",Z4817)),"G2",IF(ISNUMBER(SEARCH("G3",Z4817)),"G3",IF(ISNUMBER(SEARCH("古馬条件",Z4817)),"古馬条件戦",IF(ISNUMBER(SEARCH("重賞",Z4817)),"重賞","分類不能")))))))))</f>
        <v/>
      </c>
    </row>
    <row r="4818" customFormat="false" ht="15.75" hidden="false" customHeight="false" outlineLevel="0" collapsed="false">
      <c r="AO4818" s="8" t="str">
        <f aca="false">IF(A4818="","",IF(COUNTIFS(全馬データ!$A$2:$A$50000,A4818,全馬データ!$B$2:$B$50000,B4818,全馬データ!$C$2:$C$50000,C4818,全馬データ!$D$2:$D$50000,E4818,全馬データ!$K$2:$K$50000,"&lt;&gt;")=0,"",SUMIFS(全馬データ!$K$2:$K$50000,全馬データ!$A$2:$A$50000,A4818,全馬データ!$B$2:$B$50000,B4818,全馬データ!$C$2:$C$50000,C4818,全馬データ!$D$2:$D$50000,E4818)))</f>
        <v/>
      </c>
      <c r="AP4818" s="8" t="str">
        <f aca="false">IF(A4818="","",IF(AO4818="","欠損",IF(AO4818&lt;=1.1,"1.0～1.1",IF(AO4818&lt;1.3,"1.2",IF(AO4818&lt;1.5,"1.3～1.4",IF(AO4818&lt;2,"1.5～1.9","2.0以上"))))))</f>
        <v/>
      </c>
      <c r="AQ4818" s="8" t="str">
        <f aca="false">IF(A4818="","",IF(ISNUMBER(SEARCH("2歳",Z4818)),"2歳戦",IF(ISNUMBER(SEARCH("3歳未勝利",Z4818)),"3歳未勝利",IF(ISNUMBER(SEARCH("未勝利",Z4818)),"その他未勝利",IF(ISNUMBER(SEARCH("G1",Z4818)),"G1",IF(ISNUMBER(SEARCH("G2",Z4818)),"G2",IF(ISNUMBER(SEARCH("G3",Z4818)),"G3",IF(ISNUMBER(SEARCH("古馬条件",Z4818)),"古馬条件戦",IF(ISNUMBER(SEARCH("重賞",Z4818)),"重賞","分類不能")))))))))</f>
        <v/>
      </c>
    </row>
    <row r="4819" customFormat="false" ht="15.75" hidden="false" customHeight="false" outlineLevel="0" collapsed="false">
      <c r="AO4819" s="8" t="str">
        <f aca="false">IF(A4819="","",IF(COUNTIFS(全馬データ!$A$2:$A$50000,A4819,全馬データ!$B$2:$B$50000,B4819,全馬データ!$C$2:$C$50000,C4819,全馬データ!$D$2:$D$50000,E4819,全馬データ!$K$2:$K$50000,"&lt;&gt;")=0,"",SUMIFS(全馬データ!$K$2:$K$50000,全馬データ!$A$2:$A$50000,A4819,全馬データ!$B$2:$B$50000,B4819,全馬データ!$C$2:$C$50000,C4819,全馬データ!$D$2:$D$50000,E4819)))</f>
        <v/>
      </c>
      <c r="AP4819" s="8" t="str">
        <f aca="false">IF(A4819="","",IF(AO4819="","欠損",IF(AO4819&lt;=1.1,"1.0～1.1",IF(AO4819&lt;1.3,"1.2",IF(AO4819&lt;1.5,"1.3～1.4",IF(AO4819&lt;2,"1.5～1.9","2.0以上"))))))</f>
        <v/>
      </c>
      <c r="AQ4819" s="8" t="str">
        <f aca="false">IF(A4819="","",IF(ISNUMBER(SEARCH("2歳",Z4819)),"2歳戦",IF(ISNUMBER(SEARCH("3歳未勝利",Z4819)),"3歳未勝利",IF(ISNUMBER(SEARCH("未勝利",Z4819)),"その他未勝利",IF(ISNUMBER(SEARCH("G1",Z4819)),"G1",IF(ISNUMBER(SEARCH("G2",Z4819)),"G2",IF(ISNUMBER(SEARCH("G3",Z4819)),"G3",IF(ISNUMBER(SEARCH("古馬条件",Z4819)),"古馬条件戦",IF(ISNUMBER(SEARCH("重賞",Z4819)),"重賞","分類不能")))))))))</f>
        <v/>
      </c>
    </row>
    <row r="4820" customFormat="false" ht="15.75" hidden="false" customHeight="false" outlineLevel="0" collapsed="false">
      <c r="AO4820" s="8" t="str">
        <f aca="false">IF(A4820="","",IF(COUNTIFS(全馬データ!$A$2:$A$50000,A4820,全馬データ!$B$2:$B$50000,B4820,全馬データ!$C$2:$C$50000,C4820,全馬データ!$D$2:$D$50000,E4820,全馬データ!$K$2:$K$50000,"&lt;&gt;")=0,"",SUMIFS(全馬データ!$K$2:$K$50000,全馬データ!$A$2:$A$50000,A4820,全馬データ!$B$2:$B$50000,B4820,全馬データ!$C$2:$C$50000,C4820,全馬データ!$D$2:$D$50000,E4820)))</f>
        <v/>
      </c>
      <c r="AP4820" s="8" t="str">
        <f aca="false">IF(A4820="","",IF(AO4820="","欠損",IF(AO4820&lt;=1.1,"1.0～1.1",IF(AO4820&lt;1.3,"1.2",IF(AO4820&lt;1.5,"1.3～1.4",IF(AO4820&lt;2,"1.5～1.9","2.0以上"))))))</f>
        <v/>
      </c>
      <c r="AQ4820" s="8" t="str">
        <f aca="false">IF(A4820="","",IF(ISNUMBER(SEARCH("2歳",Z4820)),"2歳戦",IF(ISNUMBER(SEARCH("3歳未勝利",Z4820)),"3歳未勝利",IF(ISNUMBER(SEARCH("未勝利",Z4820)),"その他未勝利",IF(ISNUMBER(SEARCH("G1",Z4820)),"G1",IF(ISNUMBER(SEARCH("G2",Z4820)),"G2",IF(ISNUMBER(SEARCH("G3",Z4820)),"G3",IF(ISNUMBER(SEARCH("古馬条件",Z4820)),"古馬条件戦",IF(ISNUMBER(SEARCH("重賞",Z4820)),"重賞","分類不能")))))))))</f>
        <v/>
      </c>
    </row>
    <row r="4821" customFormat="false" ht="15.75" hidden="false" customHeight="false" outlineLevel="0" collapsed="false">
      <c r="AO4821" s="8" t="str">
        <f aca="false">IF(A4821="","",IF(COUNTIFS(全馬データ!$A$2:$A$50000,A4821,全馬データ!$B$2:$B$50000,B4821,全馬データ!$C$2:$C$50000,C4821,全馬データ!$D$2:$D$50000,E4821,全馬データ!$K$2:$K$50000,"&lt;&gt;")=0,"",SUMIFS(全馬データ!$K$2:$K$50000,全馬データ!$A$2:$A$50000,A4821,全馬データ!$B$2:$B$50000,B4821,全馬データ!$C$2:$C$50000,C4821,全馬データ!$D$2:$D$50000,E4821)))</f>
        <v/>
      </c>
      <c r="AP4821" s="8" t="str">
        <f aca="false">IF(A4821="","",IF(AO4821="","欠損",IF(AO4821&lt;=1.1,"1.0～1.1",IF(AO4821&lt;1.3,"1.2",IF(AO4821&lt;1.5,"1.3～1.4",IF(AO4821&lt;2,"1.5～1.9","2.0以上"))))))</f>
        <v/>
      </c>
      <c r="AQ4821" s="8" t="str">
        <f aca="false">IF(A4821="","",IF(ISNUMBER(SEARCH("2歳",Z4821)),"2歳戦",IF(ISNUMBER(SEARCH("3歳未勝利",Z4821)),"3歳未勝利",IF(ISNUMBER(SEARCH("未勝利",Z4821)),"その他未勝利",IF(ISNUMBER(SEARCH("G1",Z4821)),"G1",IF(ISNUMBER(SEARCH("G2",Z4821)),"G2",IF(ISNUMBER(SEARCH("G3",Z4821)),"G3",IF(ISNUMBER(SEARCH("古馬条件",Z4821)),"古馬条件戦",IF(ISNUMBER(SEARCH("重賞",Z4821)),"重賞","分類不能")))))))))</f>
        <v/>
      </c>
    </row>
    <row r="4822" customFormat="false" ht="15.75" hidden="false" customHeight="false" outlineLevel="0" collapsed="false">
      <c r="AO4822" s="8" t="str">
        <f aca="false">IF(A4822="","",IF(COUNTIFS(全馬データ!$A$2:$A$50000,A4822,全馬データ!$B$2:$B$50000,B4822,全馬データ!$C$2:$C$50000,C4822,全馬データ!$D$2:$D$50000,E4822,全馬データ!$K$2:$K$50000,"&lt;&gt;")=0,"",SUMIFS(全馬データ!$K$2:$K$50000,全馬データ!$A$2:$A$50000,A4822,全馬データ!$B$2:$B$50000,B4822,全馬データ!$C$2:$C$50000,C4822,全馬データ!$D$2:$D$50000,E4822)))</f>
        <v/>
      </c>
      <c r="AP4822" s="8" t="str">
        <f aca="false">IF(A4822="","",IF(AO4822="","欠損",IF(AO4822&lt;=1.1,"1.0～1.1",IF(AO4822&lt;1.3,"1.2",IF(AO4822&lt;1.5,"1.3～1.4",IF(AO4822&lt;2,"1.5～1.9","2.0以上"))))))</f>
        <v/>
      </c>
      <c r="AQ4822" s="8" t="str">
        <f aca="false">IF(A4822="","",IF(ISNUMBER(SEARCH("2歳",Z4822)),"2歳戦",IF(ISNUMBER(SEARCH("3歳未勝利",Z4822)),"3歳未勝利",IF(ISNUMBER(SEARCH("未勝利",Z4822)),"その他未勝利",IF(ISNUMBER(SEARCH("G1",Z4822)),"G1",IF(ISNUMBER(SEARCH("G2",Z4822)),"G2",IF(ISNUMBER(SEARCH("G3",Z4822)),"G3",IF(ISNUMBER(SEARCH("古馬条件",Z4822)),"古馬条件戦",IF(ISNUMBER(SEARCH("重賞",Z4822)),"重賞","分類不能")))))))))</f>
        <v/>
      </c>
    </row>
    <row r="4823" customFormat="false" ht="15.75" hidden="false" customHeight="false" outlineLevel="0" collapsed="false">
      <c r="AO4823" s="8" t="str">
        <f aca="false">IF(A4823="","",IF(COUNTIFS(全馬データ!$A$2:$A$50000,A4823,全馬データ!$B$2:$B$50000,B4823,全馬データ!$C$2:$C$50000,C4823,全馬データ!$D$2:$D$50000,E4823,全馬データ!$K$2:$K$50000,"&lt;&gt;")=0,"",SUMIFS(全馬データ!$K$2:$K$50000,全馬データ!$A$2:$A$50000,A4823,全馬データ!$B$2:$B$50000,B4823,全馬データ!$C$2:$C$50000,C4823,全馬データ!$D$2:$D$50000,E4823)))</f>
        <v/>
      </c>
      <c r="AP4823" s="8" t="str">
        <f aca="false">IF(A4823="","",IF(AO4823="","欠損",IF(AO4823&lt;=1.1,"1.0～1.1",IF(AO4823&lt;1.3,"1.2",IF(AO4823&lt;1.5,"1.3～1.4",IF(AO4823&lt;2,"1.5～1.9","2.0以上"))))))</f>
        <v/>
      </c>
      <c r="AQ4823" s="8" t="str">
        <f aca="false">IF(A4823="","",IF(ISNUMBER(SEARCH("2歳",Z4823)),"2歳戦",IF(ISNUMBER(SEARCH("3歳未勝利",Z4823)),"3歳未勝利",IF(ISNUMBER(SEARCH("未勝利",Z4823)),"その他未勝利",IF(ISNUMBER(SEARCH("G1",Z4823)),"G1",IF(ISNUMBER(SEARCH("G2",Z4823)),"G2",IF(ISNUMBER(SEARCH("G3",Z4823)),"G3",IF(ISNUMBER(SEARCH("古馬条件",Z4823)),"古馬条件戦",IF(ISNUMBER(SEARCH("重賞",Z4823)),"重賞","分類不能")))))))))</f>
        <v/>
      </c>
    </row>
    <row r="4824" customFormat="false" ht="15.75" hidden="false" customHeight="false" outlineLevel="0" collapsed="false">
      <c r="AO4824" s="8" t="str">
        <f aca="false">IF(A4824="","",IF(COUNTIFS(全馬データ!$A$2:$A$50000,A4824,全馬データ!$B$2:$B$50000,B4824,全馬データ!$C$2:$C$50000,C4824,全馬データ!$D$2:$D$50000,E4824,全馬データ!$K$2:$K$50000,"&lt;&gt;")=0,"",SUMIFS(全馬データ!$K$2:$K$50000,全馬データ!$A$2:$A$50000,A4824,全馬データ!$B$2:$B$50000,B4824,全馬データ!$C$2:$C$50000,C4824,全馬データ!$D$2:$D$50000,E4824)))</f>
        <v/>
      </c>
      <c r="AP4824" s="8" t="str">
        <f aca="false">IF(A4824="","",IF(AO4824="","欠損",IF(AO4824&lt;=1.1,"1.0～1.1",IF(AO4824&lt;1.3,"1.2",IF(AO4824&lt;1.5,"1.3～1.4",IF(AO4824&lt;2,"1.5～1.9","2.0以上"))))))</f>
        <v/>
      </c>
      <c r="AQ4824" s="8" t="str">
        <f aca="false">IF(A4824="","",IF(ISNUMBER(SEARCH("2歳",Z4824)),"2歳戦",IF(ISNUMBER(SEARCH("3歳未勝利",Z4824)),"3歳未勝利",IF(ISNUMBER(SEARCH("未勝利",Z4824)),"その他未勝利",IF(ISNUMBER(SEARCH("G1",Z4824)),"G1",IF(ISNUMBER(SEARCH("G2",Z4824)),"G2",IF(ISNUMBER(SEARCH("G3",Z4824)),"G3",IF(ISNUMBER(SEARCH("古馬条件",Z4824)),"古馬条件戦",IF(ISNUMBER(SEARCH("重賞",Z4824)),"重賞","分類不能")))))))))</f>
        <v/>
      </c>
    </row>
    <row r="4825" customFormat="false" ht="15.75" hidden="false" customHeight="false" outlineLevel="0" collapsed="false">
      <c r="AO4825" s="8" t="str">
        <f aca="false">IF(A4825="","",IF(COUNTIFS(全馬データ!$A$2:$A$50000,A4825,全馬データ!$B$2:$B$50000,B4825,全馬データ!$C$2:$C$50000,C4825,全馬データ!$D$2:$D$50000,E4825,全馬データ!$K$2:$K$50000,"&lt;&gt;")=0,"",SUMIFS(全馬データ!$K$2:$K$50000,全馬データ!$A$2:$A$50000,A4825,全馬データ!$B$2:$B$50000,B4825,全馬データ!$C$2:$C$50000,C4825,全馬データ!$D$2:$D$50000,E4825)))</f>
        <v/>
      </c>
      <c r="AP4825" s="8" t="str">
        <f aca="false">IF(A4825="","",IF(AO4825="","欠損",IF(AO4825&lt;=1.1,"1.0～1.1",IF(AO4825&lt;1.3,"1.2",IF(AO4825&lt;1.5,"1.3～1.4",IF(AO4825&lt;2,"1.5～1.9","2.0以上"))))))</f>
        <v/>
      </c>
      <c r="AQ4825" s="8" t="str">
        <f aca="false">IF(A4825="","",IF(ISNUMBER(SEARCH("2歳",Z4825)),"2歳戦",IF(ISNUMBER(SEARCH("3歳未勝利",Z4825)),"3歳未勝利",IF(ISNUMBER(SEARCH("未勝利",Z4825)),"その他未勝利",IF(ISNUMBER(SEARCH("G1",Z4825)),"G1",IF(ISNUMBER(SEARCH("G2",Z4825)),"G2",IF(ISNUMBER(SEARCH("G3",Z4825)),"G3",IF(ISNUMBER(SEARCH("古馬条件",Z4825)),"古馬条件戦",IF(ISNUMBER(SEARCH("重賞",Z4825)),"重賞","分類不能")))))))))</f>
        <v/>
      </c>
    </row>
    <row r="4826" customFormat="false" ht="15.75" hidden="false" customHeight="false" outlineLevel="0" collapsed="false">
      <c r="AO4826" s="8" t="str">
        <f aca="false">IF(A4826="","",IF(COUNTIFS(全馬データ!$A$2:$A$50000,A4826,全馬データ!$B$2:$B$50000,B4826,全馬データ!$C$2:$C$50000,C4826,全馬データ!$D$2:$D$50000,E4826,全馬データ!$K$2:$K$50000,"&lt;&gt;")=0,"",SUMIFS(全馬データ!$K$2:$K$50000,全馬データ!$A$2:$A$50000,A4826,全馬データ!$B$2:$B$50000,B4826,全馬データ!$C$2:$C$50000,C4826,全馬データ!$D$2:$D$50000,E4826)))</f>
        <v/>
      </c>
      <c r="AP4826" s="8" t="str">
        <f aca="false">IF(A4826="","",IF(AO4826="","欠損",IF(AO4826&lt;=1.1,"1.0～1.1",IF(AO4826&lt;1.3,"1.2",IF(AO4826&lt;1.5,"1.3～1.4",IF(AO4826&lt;2,"1.5～1.9","2.0以上"))))))</f>
        <v/>
      </c>
      <c r="AQ4826" s="8" t="str">
        <f aca="false">IF(A4826="","",IF(ISNUMBER(SEARCH("2歳",Z4826)),"2歳戦",IF(ISNUMBER(SEARCH("3歳未勝利",Z4826)),"3歳未勝利",IF(ISNUMBER(SEARCH("未勝利",Z4826)),"その他未勝利",IF(ISNUMBER(SEARCH("G1",Z4826)),"G1",IF(ISNUMBER(SEARCH("G2",Z4826)),"G2",IF(ISNUMBER(SEARCH("G3",Z4826)),"G3",IF(ISNUMBER(SEARCH("古馬条件",Z4826)),"古馬条件戦",IF(ISNUMBER(SEARCH("重賞",Z4826)),"重賞","分類不能")))))))))</f>
        <v/>
      </c>
    </row>
    <row r="4827" customFormat="false" ht="15.75" hidden="false" customHeight="false" outlineLevel="0" collapsed="false">
      <c r="AO4827" s="8" t="str">
        <f aca="false">IF(A4827="","",IF(COUNTIFS(全馬データ!$A$2:$A$50000,A4827,全馬データ!$B$2:$B$50000,B4827,全馬データ!$C$2:$C$50000,C4827,全馬データ!$D$2:$D$50000,E4827,全馬データ!$K$2:$K$50000,"&lt;&gt;")=0,"",SUMIFS(全馬データ!$K$2:$K$50000,全馬データ!$A$2:$A$50000,A4827,全馬データ!$B$2:$B$50000,B4827,全馬データ!$C$2:$C$50000,C4827,全馬データ!$D$2:$D$50000,E4827)))</f>
        <v/>
      </c>
      <c r="AP4827" s="8" t="str">
        <f aca="false">IF(A4827="","",IF(AO4827="","欠損",IF(AO4827&lt;=1.1,"1.0～1.1",IF(AO4827&lt;1.3,"1.2",IF(AO4827&lt;1.5,"1.3～1.4",IF(AO4827&lt;2,"1.5～1.9","2.0以上"))))))</f>
        <v/>
      </c>
      <c r="AQ4827" s="8" t="str">
        <f aca="false">IF(A4827="","",IF(ISNUMBER(SEARCH("2歳",Z4827)),"2歳戦",IF(ISNUMBER(SEARCH("3歳未勝利",Z4827)),"3歳未勝利",IF(ISNUMBER(SEARCH("未勝利",Z4827)),"その他未勝利",IF(ISNUMBER(SEARCH("G1",Z4827)),"G1",IF(ISNUMBER(SEARCH("G2",Z4827)),"G2",IF(ISNUMBER(SEARCH("G3",Z4827)),"G3",IF(ISNUMBER(SEARCH("古馬条件",Z4827)),"古馬条件戦",IF(ISNUMBER(SEARCH("重賞",Z4827)),"重賞","分類不能")))))))))</f>
        <v/>
      </c>
    </row>
    <row r="4828" customFormat="false" ht="15.75" hidden="false" customHeight="false" outlineLevel="0" collapsed="false">
      <c r="AO4828" s="8" t="str">
        <f aca="false">IF(A4828="","",IF(COUNTIFS(全馬データ!$A$2:$A$50000,A4828,全馬データ!$B$2:$B$50000,B4828,全馬データ!$C$2:$C$50000,C4828,全馬データ!$D$2:$D$50000,E4828,全馬データ!$K$2:$K$50000,"&lt;&gt;")=0,"",SUMIFS(全馬データ!$K$2:$K$50000,全馬データ!$A$2:$A$50000,A4828,全馬データ!$B$2:$B$50000,B4828,全馬データ!$C$2:$C$50000,C4828,全馬データ!$D$2:$D$50000,E4828)))</f>
        <v/>
      </c>
      <c r="AP4828" s="8" t="str">
        <f aca="false">IF(A4828="","",IF(AO4828="","欠損",IF(AO4828&lt;=1.1,"1.0～1.1",IF(AO4828&lt;1.3,"1.2",IF(AO4828&lt;1.5,"1.3～1.4",IF(AO4828&lt;2,"1.5～1.9","2.0以上"))))))</f>
        <v/>
      </c>
      <c r="AQ4828" s="8" t="str">
        <f aca="false">IF(A4828="","",IF(ISNUMBER(SEARCH("2歳",Z4828)),"2歳戦",IF(ISNUMBER(SEARCH("3歳未勝利",Z4828)),"3歳未勝利",IF(ISNUMBER(SEARCH("未勝利",Z4828)),"その他未勝利",IF(ISNUMBER(SEARCH("G1",Z4828)),"G1",IF(ISNUMBER(SEARCH("G2",Z4828)),"G2",IF(ISNUMBER(SEARCH("G3",Z4828)),"G3",IF(ISNUMBER(SEARCH("古馬条件",Z4828)),"古馬条件戦",IF(ISNUMBER(SEARCH("重賞",Z4828)),"重賞","分類不能")))))))))</f>
        <v/>
      </c>
    </row>
    <row r="4829" customFormat="false" ht="15.75" hidden="false" customHeight="false" outlineLevel="0" collapsed="false">
      <c r="AO4829" s="8" t="str">
        <f aca="false">IF(A4829="","",IF(COUNTIFS(全馬データ!$A$2:$A$50000,A4829,全馬データ!$B$2:$B$50000,B4829,全馬データ!$C$2:$C$50000,C4829,全馬データ!$D$2:$D$50000,E4829,全馬データ!$K$2:$K$50000,"&lt;&gt;")=0,"",SUMIFS(全馬データ!$K$2:$K$50000,全馬データ!$A$2:$A$50000,A4829,全馬データ!$B$2:$B$50000,B4829,全馬データ!$C$2:$C$50000,C4829,全馬データ!$D$2:$D$50000,E4829)))</f>
        <v/>
      </c>
      <c r="AP4829" s="8" t="str">
        <f aca="false">IF(A4829="","",IF(AO4829="","欠損",IF(AO4829&lt;=1.1,"1.0～1.1",IF(AO4829&lt;1.3,"1.2",IF(AO4829&lt;1.5,"1.3～1.4",IF(AO4829&lt;2,"1.5～1.9","2.0以上"))))))</f>
        <v/>
      </c>
      <c r="AQ4829" s="8" t="str">
        <f aca="false">IF(A4829="","",IF(ISNUMBER(SEARCH("2歳",Z4829)),"2歳戦",IF(ISNUMBER(SEARCH("3歳未勝利",Z4829)),"3歳未勝利",IF(ISNUMBER(SEARCH("未勝利",Z4829)),"その他未勝利",IF(ISNUMBER(SEARCH("G1",Z4829)),"G1",IF(ISNUMBER(SEARCH("G2",Z4829)),"G2",IF(ISNUMBER(SEARCH("G3",Z4829)),"G3",IF(ISNUMBER(SEARCH("古馬条件",Z4829)),"古馬条件戦",IF(ISNUMBER(SEARCH("重賞",Z4829)),"重賞","分類不能")))))))))</f>
        <v/>
      </c>
    </row>
    <row r="4830" customFormat="false" ht="15.75" hidden="false" customHeight="false" outlineLevel="0" collapsed="false">
      <c r="AO4830" s="8" t="str">
        <f aca="false">IF(A4830="","",IF(COUNTIFS(全馬データ!$A$2:$A$50000,A4830,全馬データ!$B$2:$B$50000,B4830,全馬データ!$C$2:$C$50000,C4830,全馬データ!$D$2:$D$50000,E4830,全馬データ!$K$2:$K$50000,"&lt;&gt;")=0,"",SUMIFS(全馬データ!$K$2:$K$50000,全馬データ!$A$2:$A$50000,A4830,全馬データ!$B$2:$B$50000,B4830,全馬データ!$C$2:$C$50000,C4830,全馬データ!$D$2:$D$50000,E4830)))</f>
        <v/>
      </c>
      <c r="AP4830" s="8" t="str">
        <f aca="false">IF(A4830="","",IF(AO4830="","欠損",IF(AO4830&lt;=1.1,"1.0～1.1",IF(AO4830&lt;1.3,"1.2",IF(AO4830&lt;1.5,"1.3～1.4",IF(AO4830&lt;2,"1.5～1.9","2.0以上"))))))</f>
        <v/>
      </c>
      <c r="AQ4830" s="8" t="str">
        <f aca="false">IF(A4830="","",IF(ISNUMBER(SEARCH("2歳",Z4830)),"2歳戦",IF(ISNUMBER(SEARCH("3歳未勝利",Z4830)),"3歳未勝利",IF(ISNUMBER(SEARCH("未勝利",Z4830)),"その他未勝利",IF(ISNUMBER(SEARCH("G1",Z4830)),"G1",IF(ISNUMBER(SEARCH("G2",Z4830)),"G2",IF(ISNUMBER(SEARCH("G3",Z4830)),"G3",IF(ISNUMBER(SEARCH("古馬条件",Z4830)),"古馬条件戦",IF(ISNUMBER(SEARCH("重賞",Z4830)),"重賞","分類不能")))))))))</f>
        <v/>
      </c>
    </row>
    <row r="4831" customFormat="false" ht="15.75" hidden="false" customHeight="false" outlineLevel="0" collapsed="false">
      <c r="AO4831" s="8" t="str">
        <f aca="false">IF(A4831="","",IF(COUNTIFS(全馬データ!$A$2:$A$50000,A4831,全馬データ!$B$2:$B$50000,B4831,全馬データ!$C$2:$C$50000,C4831,全馬データ!$D$2:$D$50000,E4831,全馬データ!$K$2:$K$50000,"&lt;&gt;")=0,"",SUMIFS(全馬データ!$K$2:$K$50000,全馬データ!$A$2:$A$50000,A4831,全馬データ!$B$2:$B$50000,B4831,全馬データ!$C$2:$C$50000,C4831,全馬データ!$D$2:$D$50000,E4831)))</f>
        <v/>
      </c>
      <c r="AP4831" s="8" t="str">
        <f aca="false">IF(A4831="","",IF(AO4831="","欠損",IF(AO4831&lt;=1.1,"1.0～1.1",IF(AO4831&lt;1.3,"1.2",IF(AO4831&lt;1.5,"1.3～1.4",IF(AO4831&lt;2,"1.5～1.9","2.0以上"))))))</f>
        <v/>
      </c>
      <c r="AQ4831" s="8" t="str">
        <f aca="false">IF(A4831="","",IF(ISNUMBER(SEARCH("2歳",Z4831)),"2歳戦",IF(ISNUMBER(SEARCH("3歳未勝利",Z4831)),"3歳未勝利",IF(ISNUMBER(SEARCH("未勝利",Z4831)),"その他未勝利",IF(ISNUMBER(SEARCH("G1",Z4831)),"G1",IF(ISNUMBER(SEARCH("G2",Z4831)),"G2",IF(ISNUMBER(SEARCH("G3",Z4831)),"G3",IF(ISNUMBER(SEARCH("古馬条件",Z4831)),"古馬条件戦",IF(ISNUMBER(SEARCH("重賞",Z4831)),"重賞","分類不能")))))))))</f>
        <v/>
      </c>
    </row>
    <row r="4832" customFormat="false" ht="15.75" hidden="false" customHeight="false" outlineLevel="0" collapsed="false">
      <c r="AO4832" s="8" t="str">
        <f aca="false">IF(A4832="","",IF(COUNTIFS(全馬データ!$A$2:$A$50000,A4832,全馬データ!$B$2:$B$50000,B4832,全馬データ!$C$2:$C$50000,C4832,全馬データ!$D$2:$D$50000,E4832,全馬データ!$K$2:$K$50000,"&lt;&gt;")=0,"",SUMIFS(全馬データ!$K$2:$K$50000,全馬データ!$A$2:$A$50000,A4832,全馬データ!$B$2:$B$50000,B4832,全馬データ!$C$2:$C$50000,C4832,全馬データ!$D$2:$D$50000,E4832)))</f>
        <v/>
      </c>
      <c r="AP4832" s="8" t="str">
        <f aca="false">IF(A4832="","",IF(AO4832="","欠損",IF(AO4832&lt;=1.1,"1.0～1.1",IF(AO4832&lt;1.3,"1.2",IF(AO4832&lt;1.5,"1.3～1.4",IF(AO4832&lt;2,"1.5～1.9","2.0以上"))))))</f>
        <v/>
      </c>
      <c r="AQ4832" s="8" t="str">
        <f aca="false">IF(A4832="","",IF(ISNUMBER(SEARCH("2歳",Z4832)),"2歳戦",IF(ISNUMBER(SEARCH("3歳未勝利",Z4832)),"3歳未勝利",IF(ISNUMBER(SEARCH("未勝利",Z4832)),"その他未勝利",IF(ISNUMBER(SEARCH("G1",Z4832)),"G1",IF(ISNUMBER(SEARCH("G2",Z4832)),"G2",IF(ISNUMBER(SEARCH("G3",Z4832)),"G3",IF(ISNUMBER(SEARCH("古馬条件",Z4832)),"古馬条件戦",IF(ISNUMBER(SEARCH("重賞",Z4832)),"重賞","分類不能")))))))))</f>
        <v/>
      </c>
    </row>
    <row r="4833" customFormat="false" ht="15.75" hidden="false" customHeight="false" outlineLevel="0" collapsed="false">
      <c r="AO4833" s="8" t="str">
        <f aca="false">IF(A4833="","",IF(COUNTIFS(全馬データ!$A$2:$A$50000,A4833,全馬データ!$B$2:$B$50000,B4833,全馬データ!$C$2:$C$50000,C4833,全馬データ!$D$2:$D$50000,E4833,全馬データ!$K$2:$K$50000,"&lt;&gt;")=0,"",SUMIFS(全馬データ!$K$2:$K$50000,全馬データ!$A$2:$A$50000,A4833,全馬データ!$B$2:$B$50000,B4833,全馬データ!$C$2:$C$50000,C4833,全馬データ!$D$2:$D$50000,E4833)))</f>
        <v/>
      </c>
      <c r="AP4833" s="8" t="str">
        <f aca="false">IF(A4833="","",IF(AO4833="","欠損",IF(AO4833&lt;=1.1,"1.0～1.1",IF(AO4833&lt;1.3,"1.2",IF(AO4833&lt;1.5,"1.3～1.4",IF(AO4833&lt;2,"1.5～1.9","2.0以上"))))))</f>
        <v/>
      </c>
      <c r="AQ4833" s="8" t="str">
        <f aca="false">IF(A4833="","",IF(ISNUMBER(SEARCH("2歳",Z4833)),"2歳戦",IF(ISNUMBER(SEARCH("3歳未勝利",Z4833)),"3歳未勝利",IF(ISNUMBER(SEARCH("未勝利",Z4833)),"その他未勝利",IF(ISNUMBER(SEARCH("G1",Z4833)),"G1",IF(ISNUMBER(SEARCH("G2",Z4833)),"G2",IF(ISNUMBER(SEARCH("G3",Z4833)),"G3",IF(ISNUMBER(SEARCH("古馬条件",Z4833)),"古馬条件戦",IF(ISNUMBER(SEARCH("重賞",Z4833)),"重賞","分類不能")))))))))</f>
        <v/>
      </c>
    </row>
    <row r="4834" customFormat="false" ht="15.75" hidden="false" customHeight="false" outlineLevel="0" collapsed="false">
      <c r="AO4834" s="8" t="str">
        <f aca="false">IF(A4834="","",IF(COUNTIFS(全馬データ!$A$2:$A$50000,A4834,全馬データ!$B$2:$B$50000,B4834,全馬データ!$C$2:$C$50000,C4834,全馬データ!$D$2:$D$50000,E4834,全馬データ!$K$2:$K$50000,"&lt;&gt;")=0,"",SUMIFS(全馬データ!$K$2:$K$50000,全馬データ!$A$2:$A$50000,A4834,全馬データ!$B$2:$B$50000,B4834,全馬データ!$C$2:$C$50000,C4834,全馬データ!$D$2:$D$50000,E4834)))</f>
        <v/>
      </c>
      <c r="AP4834" s="8" t="str">
        <f aca="false">IF(A4834="","",IF(AO4834="","欠損",IF(AO4834&lt;=1.1,"1.0～1.1",IF(AO4834&lt;1.3,"1.2",IF(AO4834&lt;1.5,"1.3～1.4",IF(AO4834&lt;2,"1.5～1.9","2.0以上"))))))</f>
        <v/>
      </c>
      <c r="AQ4834" s="8" t="str">
        <f aca="false">IF(A4834="","",IF(ISNUMBER(SEARCH("2歳",Z4834)),"2歳戦",IF(ISNUMBER(SEARCH("3歳未勝利",Z4834)),"3歳未勝利",IF(ISNUMBER(SEARCH("未勝利",Z4834)),"その他未勝利",IF(ISNUMBER(SEARCH("G1",Z4834)),"G1",IF(ISNUMBER(SEARCH("G2",Z4834)),"G2",IF(ISNUMBER(SEARCH("G3",Z4834)),"G3",IF(ISNUMBER(SEARCH("古馬条件",Z4834)),"古馬条件戦",IF(ISNUMBER(SEARCH("重賞",Z4834)),"重賞","分類不能")))))))))</f>
        <v/>
      </c>
    </row>
    <row r="4835" customFormat="false" ht="15.75" hidden="false" customHeight="false" outlineLevel="0" collapsed="false">
      <c r="AO4835" s="8" t="str">
        <f aca="false">IF(A4835="","",IF(COUNTIFS(全馬データ!$A$2:$A$50000,A4835,全馬データ!$B$2:$B$50000,B4835,全馬データ!$C$2:$C$50000,C4835,全馬データ!$D$2:$D$50000,E4835,全馬データ!$K$2:$K$50000,"&lt;&gt;")=0,"",SUMIFS(全馬データ!$K$2:$K$50000,全馬データ!$A$2:$A$50000,A4835,全馬データ!$B$2:$B$50000,B4835,全馬データ!$C$2:$C$50000,C4835,全馬データ!$D$2:$D$50000,E4835)))</f>
        <v/>
      </c>
      <c r="AP4835" s="8" t="str">
        <f aca="false">IF(A4835="","",IF(AO4835="","欠損",IF(AO4835&lt;=1.1,"1.0～1.1",IF(AO4835&lt;1.3,"1.2",IF(AO4835&lt;1.5,"1.3～1.4",IF(AO4835&lt;2,"1.5～1.9","2.0以上"))))))</f>
        <v/>
      </c>
      <c r="AQ4835" s="8" t="str">
        <f aca="false">IF(A4835="","",IF(ISNUMBER(SEARCH("2歳",Z4835)),"2歳戦",IF(ISNUMBER(SEARCH("3歳未勝利",Z4835)),"3歳未勝利",IF(ISNUMBER(SEARCH("未勝利",Z4835)),"その他未勝利",IF(ISNUMBER(SEARCH("G1",Z4835)),"G1",IF(ISNUMBER(SEARCH("G2",Z4835)),"G2",IF(ISNUMBER(SEARCH("G3",Z4835)),"G3",IF(ISNUMBER(SEARCH("古馬条件",Z4835)),"古馬条件戦",IF(ISNUMBER(SEARCH("重賞",Z4835)),"重賞","分類不能")))))))))</f>
        <v/>
      </c>
    </row>
    <row r="4836" customFormat="false" ht="15.75" hidden="false" customHeight="false" outlineLevel="0" collapsed="false">
      <c r="AO4836" s="8" t="str">
        <f aca="false">IF(A4836="","",IF(COUNTIFS(全馬データ!$A$2:$A$50000,A4836,全馬データ!$B$2:$B$50000,B4836,全馬データ!$C$2:$C$50000,C4836,全馬データ!$D$2:$D$50000,E4836,全馬データ!$K$2:$K$50000,"&lt;&gt;")=0,"",SUMIFS(全馬データ!$K$2:$K$50000,全馬データ!$A$2:$A$50000,A4836,全馬データ!$B$2:$B$50000,B4836,全馬データ!$C$2:$C$50000,C4836,全馬データ!$D$2:$D$50000,E4836)))</f>
        <v/>
      </c>
      <c r="AP4836" s="8" t="str">
        <f aca="false">IF(A4836="","",IF(AO4836="","欠損",IF(AO4836&lt;=1.1,"1.0～1.1",IF(AO4836&lt;1.3,"1.2",IF(AO4836&lt;1.5,"1.3～1.4",IF(AO4836&lt;2,"1.5～1.9","2.0以上"))))))</f>
        <v/>
      </c>
      <c r="AQ4836" s="8" t="str">
        <f aca="false">IF(A4836="","",IF(ISNUMBER(SEARCH("2歳",Z4836)),"2歳戦",IF(ISNUMBER(SEARCH("3歳未勝利",Z4836)),"3歳未勝利",IF(ISNUMBER(SEARCH("未勝利",Z4836)),"その他未勝利",IF(ISNUMBER(SEARCH("G1",Z4836)),"G1",IF(ISNUMBER(SEARCH("G2",Z4836)),"G2",IF(ISNUMBER(SEARCH("G3",Z4836)),"G3",IF(ISNUMBER(SEARCH("古馬条件",Z4836)),"古馬条件戦",IF(ISNUMBER(SEARCH("重賞",Z4836)),"重賞","分類不能")))))))))</f>
        <v/>
      </c>
    </row>
    <row r="4837" customFormat="false" ht="15.75" hidden="false" customHeight="false" outlineLevel="0" collapsed="false">
      <c r="AO4837" s="8" t="str">
        <f aca="false">IF(A4837="","",IF(COUNTIFS(全馬データ!$A$2:$A$50000,A4837,全馬データ!$B$2:$B$50000,B4837,全馬データ!$C$2:$C$50000,C4837,全馬データ!$D$2:$D$50000,E4837,全馬データ!$K$2:$K$50000,"&lt;&gt;")=0,"",SUMIFS(全馬データ!$K$2:$K$50000,全馬データ!$A$2:$A$50000,A4837,全馬データ!$B$2:$B$50000,B4837,全馬データ!$C$2:$C$50000,C4837,全馬データ!$D$2:$D$50000,E4837)))</f>
        <v/>
      </c>
      <c r="AP4837" s="8" t="str">
        <f aca="false">IF(A4837="","",IF(AO4837="","欠損",IF(AO4837&lt;=1.1,"1.0～1.1",IF(AO4837&lt;1.3,"1.2",IF(AO4837&lt;1.5,"1.3～1.4",IF(AO4837&lt;2,"1.5～1.9","2.0以上"))))))</f>
        <v/>
      </c>
      <c r="AQ4837" s="8" t="str">
        <f aca="false">IF(A4837="","",IF(ISNUMBER(SEARCH("2歳",Z4837)),"2歳戦",IF(ISNUMBER(SEARCH("3歳未勝利",Z4837)),"3歳未勝利",IF(ISNUMBER(SEARCH("未勝利",Z4837)),"その他未勝利",IF(ISNUMBER(SEARCH("G1",Z4837)),"G1",IF(ISNUMBER(SEARCH("G2",Z4837)),"G2",IF(ISNUMBER(SEARCH("G3",Z4837)),"G3",IF(ISNUMBER(SEARCH("古馬条件",Z4837)),"古馬条件戦",IF(ISNUMBER(SEARCH("重賞",Z4837)),"重賞","分類不能")))))))))</f>
        <v/>
      </c>
    </row>
    <row r="4838" customFormat="false" ht="15.75" hidden="false" customHeight="false" outlineLevel="0" collapsed="false">
      <c r="AO4838" s="8" t="str">
        <f aca="false">IF(A4838="","",IF(COUNTIFS(全馬データ!$A$2:$A$50000,A4838,全馬データ!$B$2:$B$50000,B4838,全馬データ!$C$2:$C$50000,C4838,全馬データ!$D$2:$D$50000,E4838,全馬データ!$K$2:$K$50000,"&lt;&gt;")=0,"",SUMIFS(全馬データ!$K$2:$K$50000,全馬データ!$A$2:$A$50000,A4838,全馬データ!$B$2:$B$50000,B4838,全馬データ!$C$2:$C$50000,C4838,全馬データ!$D$2:$D$50000,E4838)))</f>
        <v/>
      </c>
      <c r="AP4838" s="8" t="str">
        <f aca="false">IF(A4838="","",IF(AO4838="","欠損",IF(AO4838&lt;=1.1,"1.0～1.1",IF(AO4838&lt;1.3,"1.2",IF(AO4838&lt;1.5,"1.3～1.4",IF(AO4838&lt;2,"1.5～1.9","2.0以上"))))))</f>
        <v/>
      </c>
      <c r="AQ4838" s="8" t="str">
        <f aca="false">IF(A4838="","",IF(ISNUMBER(SEARCH("2歳",Z4838)),"2歳戦",IF(ISNUMBER(SEARCH("3歳未勝利",Z4838)),"3歳未勝利",IF(ISNUMBER(SEARCH("未勝利",Z4838)),"その他未勝利",IF(ISNUMBER(SEARCH("G1",Z4838)),"G1",IF(ISNUMBER(SEARCH("G2",Z4838)),"G2",IF(ISNUMBER(SEARCH("G3",Z4838)),"G3",IF(ISNUMBER(SEARCH("古馬条件",Z4838)),"古馬条件戦",IF(ISNUMBER(SEARCH("重賞",Z4838)),"重賞","分類不能")))))))))</f>
        <v/>
      </c>
    </row>
    <row r="4839" customFormat="false" ht="15.75" hidden="false" customHeight="false" outlineLevel="0" collapsed="false">
      <c r="AO4839" s="8" t="str">
        <f aca="false">IF(A4839="","",IF(COUNTIFS(全馬データ!$A$2:$A$50000,A4839,全馬データ!$B$2:$B$50000,B4839,全馬データ!$C$2:$C$50000,C4839,全馬データ!$D$2:$D$50000,E4839,全馬データ!$K$2:$K$50000,"&lt;&gt;")=0,"",SUMIFS(全馬データ!$K$2:$K$50000,全馬データ!$A$2:$A$50000,A4839,全馬データ!$B$2:$B$50000,B4839,全馬データ!$C$2:$C$50000,C4839,全馬データ!$D$2:$D$50000,E4839)))</f>
        <v/>
      </c>
      <c r="AP4839" s="8" t="str">
        <f aca="false">IF(A4839="","",IF(AO4839="","欠損",IF(AO4839&lt;=1.1,"1.0～1.1",IF(AO4839&lt;1.3,"1.2",IF(AO4839&lt;1.5,"1.3～1.4",IF(AO4839&lt;2,"1.5～1.9","2.0以上"))))))</f>
        <v/>
      </c>
      <c r="AQ4839" s="8" t="str">
        <f aca="false">IF(A4839="","",IF(ISNUMBER(SEARCH("2歳",Z4839)),"2歳戦",IF(ISNUMBER(SEARCH("3歳未勝利",Z4839)),"3歳未勝利",IF(ISNUMBER(SEARCH("未勝利",Z4839)),"その他未勝利",IF(ISNUMBER(SEARCH("G1",Z4839)),"G1",IF(ISNUMBER(SEARCH("G2",Z4839)),"G2",IF(ISNUMBER(SEARCH("G3",Z4839)),"G3",IF(ISNUMBER(SEARCH("古馬条件",Z4839)),"古馬条件戦",IF(ISNUMBER(SEARCH("重賞",Z4839)),"重賞","分類不能")))))))))</f>
        <v/>
      </c>
    </row>
    <row r="4840" customFormat="false" ht="15.75" hidden="false" customHeight="false" outlineLevel="0" collapsed="false">
      <c r="AO4840" s="8" t="str">
        <f aca="false">IF(A4840="","",IF(COUNTIFS(全馬データ!$A$2:$A$50000,A4840,全馬データ!$B$2:$B$50000,B4840,全馬データ!$C$2:$C$50000,C4840,全馬データ!$D$2:$D$50000,E4840,全馬データ!$K$2:$K$50000,"&lt;&gt;")=0,"",SUMIFS(全馬データ!$K$2:$K$50000,全馬データ!$A$2:$A$50000,A4840,全馬データ!$B$2:$B$50000,B4840,全馬データ!$C$2:$C$50000,C4840,全馬データ!$D$2:$D$50000,E4840)))</f>
        <v/>
      </c>
      <c r="AP4840" s="8" t="str">
        <f aca="false">IF(A4840="","",IF(AO4840="","欠損",IF(AO4840&lt;=1.1,"1.0～1.1",IF(AO4840&lt;1.3,"1.2",IF(AO4840&lt;1.5,"1.3～1.4",IF(AO4840&lt;2,"1.5～1.9","2.0以上"))))))</f>
        <v/>
      </c>
      <c r="AQ4840" s="8" t="str">
        <f aca="false">IF(A4840="","",IF(ISNUMBER(SEARCH("2歳",Z4840)),"2歳戦",IF(ISNUMBER(SEARCH("3歳未勝利",Z4840)),"3歳未勝利",IF(ISNUMBER(SEARCH("未勝利",Z4840)),"その他未勝利",IF(ISNUMBER(SEARCH("G1",Z4840)),"G1",IF(ISNUMBER(SEARCH("G2",Z4840)),"G2",IF(ISNUMBER(SEARCH("G3",Z4840)),"G3",IF(ISNUMBER(SEARCH("古馬条件",Z4840)),"古馬条件戦",IF(ISNUMBER(SEARCH("重賞",Z4840)),"重賞","分類不能")))))))))</f>
        <v/>
      </c>
    </row>
    <row r="4841" customFormat="false" ht="15.75" hidden="false" customHeight="false" outlineLevel="0" collapsed="false">
      <c r="AO4841" s="8" t="str">
        <f aca="false">IF(A4841="","",IF(COUNTIFS(全馬データ!$A$2:$A$50000,A4841,全馬データ!$B$2:$B$50000,B4841,全馬データ!$C$2:$C$50000,C4841,全馬データ!$D$2:$D$50000,E4841,全馬データ!$K$2:$K$50000,"&lt;&gt;")=0,"",SUMIFS(全馬データ!$K$2:$K$50000,全馬データ!$A$2:$A$50000,A4841,全馬データ!$B$2:$B$50000,B4841,全馬データ!$C$2:$C$50000,C4841,全馬データ!$D$2:$D$50000,E4841)))</f>
        <v/>
      </c>
      <c r="AP4841" s="8" t="str">
        <f aca="false">IF(A4841="","",IF(AO4841="","欠損",IF(AO4841&lt;=1.1,"1.0～1.1",IF(AO4841&lt;1.3,"1.2",IF(AO4841&lt;1.5,"1.3～1.4",IF(AO4841&lt;2,"1.5～1.9","2.0以上"))))))</f>
        <v/>
      </c>
      <c r="AQ4841" s="8" t="str">
        <f aca="false">IF(A4841="","",IF(ISNUMBER(SEARCH("2歳",Z4841)),"2歳戦",IF(ISNUMBER(SEARCH("3歳未勝利",Z4841)),"3歳未勝利",IF(ISNUMBER(SEARCH("未勝利",Z4841)),"その他未勝利",IF(ISNUMBER(SEARCH("G1",Z4841)),"G1",IF(ISNUMBER(SEARCH("G2",Z4841)),"G2",IF(ISNUMBER(SEARCH("G3",Z4841)),"G3",IF(ISNUMBER(SEARCH("古馬条件",Z4841)),"古馬条件戦",IF(ISNUMBER(SEARCH("重賞",Z4841)),"重賞","分類不能")))))))))</f>
        <v/>
      </c>
    </row>
    <row r="4842" customFormat="false" ht="15.75" hidden="false" customHeight="false" outlineLevel="0" collapsed="false">
      <c r="AO4842" s="8" t="str">
        <f aca="false">IF(A4842="","",IF(COUNTIFS(全馬データ!$A$2:$A$50000,A4842,全馬データ!$B$2:$B$50000,B4842,全馬データ!$C$2:$C$50000,C4842,全馬データ!$D$2:$D$50000,E4842,全馬データ!$K$2:$K$50000,"&lt;&gt;")=0,"",SUMIFS(全馬データ!$K$2:$K$50000,全馬データ!$A$2:$A$50000,A4842,全馬データ!$B$2:$B$50000,B4842,全馬データ!$C$2:$C$50000,C4842,全馬データ!$D$2:$D$50000,E4842)))</f>
        <v/>
      </c>
      <c r="AP4842" s="8" t="str">
        <f aca="false">IF(A4842="","",IF(AO4842="","欠損",IF(AO4842&lt;=1.1,"1.0～1.1",IF(AO4842&lt;1.3,"1.2",IF(AO4842&lt;1.5,"1.3～1.4",IF(AO4842&lt;2,"1.5～1.9","2.0以上"))))))</f>
        <v/>
      </c>
      <c r="AQ4842" s="8" t="str">
        <f aca="false">IF(A4842="","",IF(ISNUMBER(SEARCH("2歳",Z4842)),"2歳戦",IF(ISNUMBER(SEARCH("3歳未勝利",Z4842)),"3歳未勝利",IF(ISNUMBER(SEARCH("未勝利",Z4842)),"その他未勝利",IF(ISNUMBER(SEARCH("G1",Z4842)),"G1",IF(ISNUMBER(SEARCH("G2",Z4842)),"G2",IF(ISNUMBER(SEARCH("G3",Z4842)),"G3",IF(ISNUMBER(SEARCH("古馬条件",Z4842)),"古馬条件戦",IF(ISNUMBER(SEARCH("重賞",Z4842)),"重賞","分類不能")))))))))</f>
        <v/>
      </c>
    </row>
    <row r="4843" customFormat="false" ht="15.75" hidden="false" customHeight="false" outlineLevel="0" collapsed="false">
      <c r="AO4843" s="8" t="str">
        <f aca="false">IF(A4843="","",IF(COUNTIFS(全馬データ!$A$2:$A$50000,A4843,全馬データ!$B$2:$B$50000,B4843,全馬データ!$C$2:$C$50000,C4843,全馬データ!$D$2:$D$50000,E4843,全馬データ!$K$2:$K$50000,"&lt;&gt;")=0,"",SUMIFS(全馬データ!$K$2:$K$50000,全馬データ!$A$2:$A$50000,A4843,全馬データ!$B$2:$B$50000,B4843,全馬データ!$C$2:$C$50000,C4843,全馬データ!$D$2:$D$50000,E4843)))</f>
        <v/>
      </c>
      <c r="AP4843" s="8" t="str">
        <f aca="false">IF(A4843="","",IF(AO4843="","欠損",IF(AO4843&lt;=1.1,"1.0～1.1",IF(AO4843&lt;1.3,"1.2",IF(AO4843&lt;1.5,"1.3～1.4",IF(AO4843&lt;2,"1.5～1.9","2.0以上"))))))</f>
        <v/>
      </c>
      <c r="AQ4843" s="8" t="str">
        <f aca="false">IF(A4843="","",IF(ISNUMBER(SEARCH("2歳",Z4843)),"2歳戦",IF(ISNUMBER(SEARCH("3歳未勝利",Z4843)),"3歳未勝利",IF(ISNUMBER(SEARCH("未勝利",Z4843)),"その他未勝利",IF(ISNUMBER(SEARCH("G1",Z4843)),"G1",IF(ISNUMBER(SEARCH("G2",Z4843)),"G2",IF(ISNUMBER(SEARCH("G3",Z4843)),"G3",IF(ISNUMBER(SEARCH("古馬条件",Z4843)),"古馬条件戦",IF(ISNUMBER(SEARCH("重賞",Z4843)),"重賞","分類不能")))))))))</f>
        <v/>
      </c>
    </row>
    <row r="4844" customFormat="false" ht="15.75" hidden="false" customHeight="false" outlineLevel="0" collapsed="false">
      <c r="AO4844" s="8" t="str">
        <f aca="false">IF(A4844="","",IF(COUNTIFS(全馬データ!$A$2:$A$50000,A4844,全馬データ!$B$2:$B$50000,B4844,全馬データ!$C$2:$C$50000,C4844,全馬データ!$D$2:$D$50000,E4844,全馬データ!$K$2:$K$50000,"&lt;&gt;")=0,"",SUMIFS(全馬データ!$K$2:$K$50000,全馬データ!$A$2:$A$50000,A4844,全馬データ!$B$2:$B$50000,B4844,全馬データ!$C$2:$C$50000,C4844,全馬データ!$D$2:$D$50000,E4844)))</f>
        <v/>
      </c>
      <c r="AP4844" s="8" t="str">
        <f aca="false">IF(A4844="","",IF(AO4844="","欠損",IF(AO4844&lt;=1.1,"1.0～1.1",IF(AO4844&lt;1.3,"1.2",IF(AO4844&lt;1.5,"1.3～1.4",IF(AO4844&lt;2,"1.5～1.9","2.0以上"))))))</f>
        <v/>
      </c>
      <c r="AQ4844" s="8" t="str">
        <f aca="false">IF(A4844="","",IF(ISNUMBER(SEARCH("2歳",Z4844)),"2歳戦",IF(ISNUMBER(SEARCH("3歳未勝利",Z4844)),"3歳未勝利",IF(ISNUMBER(SEARCH("未勝利",Z4844)),"その他未勝利",IF(ISNUMBER(SEARCH("G1",Z4844)),"G1",IF(ISNUMBER(SEARCH("G2",Z4844)),"G2",IF(ISNUMBER(SEARCH("G3",Z4844)),"G3",IF(ISNUMBER(SEARCH("古馬条件",Z4844)),"古馬条件戦",IF(ISNUMBER(SEARCH("重賞",Z4844)),"重賞","分類不能")))))))))</f>
        <v/>
      </c>
    </row>
    <row r="4845" customFormat="false" ht="15.75" hidden="false" customHeight="false" outlineLevel="0" collapsed="false">
      <c r="AO4845" s="8" t="str">
        <f aca="false">IF(A4845="","",IF(COUNTIFS(全馬データ!$A$2:$A$50000,A4845,全馬データ!$B$2:$B$50000,B4845,全馬データ!$C$2:$C$50000,C4845,全馬データ!$D$2:$D$50000,E4845,全馬データ!$K$2:$K$50000,"&lt;&gt;")=0,"",SUMIFS(全馬データ!$K$2:$K$50000,全馬データ!$A$2:$A$50000,A4845,全馬データ!$B$2:$B$50000,B4845,全馬データ!$C$2:$C$50000,C4845,全馬データ!$D$2:$D$50000,E4845)))</f>
        <v/>
      </c>
      <c r="AP4845" s="8" t="str">
        <f aca="false">IF(A4845="","",IF(AO4845="","欠損",IF(AO4845&lt;=1.1,"1.0～1.1",IF(AO4845&lt;1.3,"1.2",IF(AO4845&lt;1.5,"1.3～1.4",IF(AO4845&lt;2,"1.5～1.9","2.0以上"))))))</f>
        <v/>
      </c>
      <c r="AQ4845" s="8" t="str">
        <f aca="false">IF(A4845="","",IF(ISNUMBER(SEARCH("2歳",Z4845)),"2歳戦",IF(ISNUMBER(SEARCH("3歳未勝利",Z4845)),"3歳未勝利",IF(ISNUMBER(SEARCH("未勝利",Z4845)),"その他未勝利",IF(ISNUMBER(SEARCH("G1",Z4845)),"G1",IF(ISNUMBER(SEARCH("G2",Z4845)),"G2",IF(ISNUMBER(SEARCH("G3",Z4845)),"G3",IF(ISNUMBER(SEARCH("古馬条件",Z4845)),"古馬条件戦",IF(ISNUMBER(SEARCH("重賞",Z4845)),"重賞","分類不能")))))))))</f>
        <v/>
      </c>
    </row>
    <row r="4846" customFormat="false" ht="15.75" hidden="false" customHeight="false" outlineLevel="0" collapsed="false">
      <c r="AO4846" s="8" t="str">
        <f aca="false">IF(A4846="","",IF(COUNTIFS(全馬データ!$A$2:$A$50000,A4846,全馬データ!$B$2:$B$50000,B4846,全馬データ!$C$2:$C$50000,C4846,全馬データ!$D$2:$D$50000,E4846,全馬データ!$K$2:$K$50000,"&lt;&gt;")=0,"",SUMIFS(全馬データ!$K$2:$K$50000,全馬データ!$A$2:$A$50000,A4846,全馬データ!$B$2:$B$50000,B4846,全馬データ!$C$2:$C$50000,C4846,全馬データ!$D$2:$D$50000,E4846)))</f>
        <v/>
      </c>
      <c r="AP4846" s="8" t="str">
        <f aca="false">IF(A4846="","",IF(AO4846="","欠損",IF(AO4846&lt;=1.1,"1.0～1.1",IF(AO4846&lt;1.3,"1.2",IF(AO4846&lt;1.5,"1.3～1.4",IF(AO4846&lt;2,"1.5～1.9","2.0以上"))))))</f>
        <v/>
      </c>
      <c r="AQ4846" s="8" t="str">
        <f aca="false">IF(A4846="","",IF(ISNUMBER(SEARCH("2歳",Z4846)),"2歳戦",IF(ISNUMBER(SEARCH("3歳未勝利",Z4846)),"3歳未勝利",IF(ISNUMBER(SEARCH("未勝利",Z4846)),"その他未勝利",IF(ISNUMBER(SEARCH("G1",Z4846)),"G1",IF(ISNUMBER(SEARCH("G2",Z4846)),"G2",IF(ISNUMBER(SEARCH("G3",Z4846)),"G3",IF(ISNUMBER(SEARCH("古馬条件",Z4846)),"古馬条件戦",IF(ISNUMBER(SEARCH("重賞",Z4846)),"重賞","分類不能")))))))))</f>
        <v/>
      </c>
    </row>
    <row r="4847" customFormat="false" ht="15.75" hidden="false" customHeight="false" outlineLevel="0" collapsed="false">
      <c r="AO4847" s="8" t="str">
        <f aca="false">IF(A4847="","",IF(COUNTIFS(全馬データ!$A$2:$A$50000,A4847,全馬データ!$B$2:$B$50000,B4847,全馬データ!$C$2:$C$50000,C4847,全馬データ!$D$2:$D$50000,E4847,全馬データ!$K$2:$K$50000,"&lt;&gt;")=0,"",SUMIFS(全馬データ!$K$2:$K$50000,全馬データ!$A$2:$A$50000,A4847,全馬データ!$B$2:$B$50000,B4847,全馬データ!$C$2:$C$50000,C4847,全馬データ!$D$2:$D$50000,E4847)))</f>
        <v/>
      </c>
      <c r="AP4847" s="8" t="str">
        <f aca="false">IF(A4847="","",IF(AO4847="","欠損",IF(AO4847&lt;=1.1,"1.0～1.1",IF(AO4847&lt;1.3,"1.2",IF(AO4847&lt;1.5,"1.3～1.4",IF(AO4847&lt;2,"1.5～1.9","2.0以上"))))))</f>
        <v/>
      </c>
      <c r="AQ4847" s="8" t="str">
        <f aca="false">IF(A4847="","",IF(ISNUMBER(SEARCH("2歳",Z4847)),"2歳戦",IF(ISNUMBER(SEARCH("3歳未勝利",Z4847)),"3歳未勝利",IF(ISNUMBER(SEARCH("未勝利",Z4847)),"その他未勝利",IF(ISNUMBER(SEARCH("G1",Z4847)),"G1",IF(ISNUMBER(SEARCH("G2",Z4847)),"G2",IF(ISNUMBER(SEARCH("G3",Z4847)),"G3",IF(ISNUMBER(SEARCH("古馬条件",Z4847)),"古馬条件戦",IF(ISNUMBER(SEARCH("重賞",Z4847)),"重賞","分類不能")))))))))</f>
        <v/>
      </c>
    </row>
    <row r="4848" customFormat="false" ht="15.75" hidden="false" customHeight="false" outlineLevel="0" collapsed="false">
      <c r="AO4848" s="8" t="str">
        <f aca="false">IF(A4848="","",IF(COUNTIFS(全馬データ!$A$2:$A$50000,A4848,全馬データ!$B$2:$B$50000,B4848,全馬データ!$C$2:$C$50000,C4848,全馬データ!$D$2:$D$50000,E4848,全馬データ!$K$2:$K$50000,"&lt;&gt;")=0,"",SUMIFS(全馬データ!$K$2:$K$50000,全馬データ!$A$2:$A$50000,A4848,全馬データ!$B$2:$B$50000,B4848,全馬データ!$C$2:$C$50000,C4848,全馬データ!$D$2:$D$50000,E4848)))</f>
        <v/>
      </c>
      <c r="AP4848" s="8" t="str">
        <f aca="false">IF(A4848="","",IF(AO4848="","欠損",IF(AO4848&lt;=1.1,"1.0～1.1",IF(AO4848&lt;1.3,"1.2",IF(AO4848&lt;1.5,"1.3～1.4",IF(AO4848&lt;2,"1.5～1.9","2.0以上"))))))</f>
        <v/>
      </c>
      <c r="AQ4848" s="8" t="str">
        <f aca="false">IF(A4848="","",IF(ISNUMBER(SEARCH("2歳",Z4848)),"2歳戦",IF(ISNUMBER(SEARCH("3歳未勝利",Z4848)),"3歳未勝利",IF(ISNUMBER(SEARCH("未勝利",Z4848)),"その他未勝利",IF(ISNUMBER(SEARCH("G1",Z4848)),"G1",IF(ISNUMBER(SEARCH("G2",Z4848)),"G2",IF(ISNUMBER(SEARCH("G3",Z4848)),"G3",IF(ISNUMBER(SEARCH("古馬条件",Z4848)),"古馬条件戦",IF(ISNUMBER(SEARCH("重賞",Z4848)),"重賞","分類不能")))))))))</f>
        <v/>
      </c>
    </row>
    <row r="4849" customFormat="false" ht="15.75" hidden="false" customHeight="false" outlineLevel="0" collapsed="false">
      <c r="AO4849" s="8" t="str">
        <f aca="false">IF(A4849="","",IF(COUNTIFS(全馬データ!$A$2:$A$50000,A4849,全馬データ!$B$2:$B$50000,B4849,全馬データ!$C$2:$C$50000,C4849,全馬データ!$D$2:$D$50000,E4849,全馬データ!$K$2:$K$50000,"&lt;&gt;")=0,"",SUMIFS(全馬データ!$K$2:$K$50000,全馬データ!$A$2:$A$50000,A4849,全馬データ!$B$2:$B$50000,B4849,全馬データ!$C$2:$C$50000,C4849,全馬データ!$D$2:$D$50000,E4849)))</f>
        <v/>
      </c>
      <c r="AP4849" s="8" t="str">
        <f aca="false">IF(A4849="","",IF(AO4849="","欠損",IF(AO4849&lt;=1.1,"1.0～1.1",IF(AO4849&lt;1.3,"1.2",IF(AO4849&lt;1.5,"1.3～1.4",IF(AO4849&lt;2,"1.5～1.9","2.0以上"))))))</f>
        <v/>
      </c>
      <c r="AQ4849" s="8" t="str">
        <f aca="false">IF(A4849="","",IF(ISNUMBER(SEARCH("2歳",Z4849)),"2歳戦",IF(ISNUMBER(SEARCH("3歳未勝利",Z4849)),"3歳未勝利",IF(ISNUMBER(SEARCH("未勝利",Z4849)),"その他未勝利",IF(ISNUMBER(SEARCH("G1",Z4849)),"G1",IF(ISNUMBER(SEARCH("G2",Z4849)),"G2",IF(ISNUMBER(SEARCH("G3",Z4849)),"G3",IF(ISNUMBER(SEARCH("古馬条件",Z4849)),"古馬条件戦",IF(ISNUMBER(SEARCH("重賞",Z4849)),"重賞","分類不能")))))))))</f>
        <v/>
      </c>
    </row>
    <row r="4850" customFormat="false" ht="15.75" hidden="false" customHeight="false" outlineLevel="0" collapsed="false">
      <c r="AO4850" s="8" t="str">
        <f aca="false">IF(A4850="","",IF(COUNTIFS(全馬データ!$A$2:$A$50000,A4850,全馬データ!$B$2:$B$50000,B4850,全馬データ!$C$2:$C$50000,C4850,全馬データ!$D$2:$D$50000,E4850,全馬データ!$K$2:$K$50000,"&lt;&gt;")=0,"",SUMIFS(全馬データ!$K$2:$K$50000,全馬データ!$A$2:$A$50000,A4850,全馬データ!$B$2:$B$50000,B4850,全馬データ!$C$2:$C$50000,C4850,全馬データ!$D$2:$D$50000,E4850)))</f>
        <v/>
      </c>
      <c r="AP4850" s="8" t="str">
        <f aca="false">IF(A4850="","",IF(AO4850="","欠損",IF(AO4850&lt;=1.1,"1.0～1.1",IF(AO4850&lt;1.3,"1.2",IF(AO4850&lt;1.5,"1.3～1.4",IF(AO4850&lt;2,"1.5～1.9","2.0以上"))))))</f>
        <v/>
      </c>
      <c r="AQ4850" s="8" t="str">
        <f aca="false">IF(A4850="","",IF(ISNUMBER(SEARCH("2歳",Z4850)),"2歳戦",IF(ISNUMBER(SEARCH("3歳未勝利",Z4850)),"3歳未勝利",IF(ISNUMBER(SEARCH("未勝利",Z4850)),"その他未勝利",IF(ISNUMBER(SEARCH("G1",Z4850)),"G1",IF(ISNUMBER(SEARCH("G2",Z4850)),"G2",IF(ISNUMBER(SEARCH("G3",Z4850)),"G3",IF(ISNUMBER(SEARCH("古馬条件",Z4850)),"古馬条件戦",IF(ISNUMBER(SEARCH("重賞",Z4850)),"重賞","分類不能")))))))))</f>
        <v/>
      </c>
    </row>
    <row r="4851" customFormat="false" ht="15.75" hidden="false" customHeight="false" outlineLevel="0" collapsed="false">
      <c r="AO4851" s="8" t="str">
        <f aca="false">IF(A4851="","",IF(COUNTIFS(全馬データ!$A$2:$A$50000,A4851,全馬データ!$B$2:$B$50000,B4851,全馬データ!$C$2:$C$50000,C4851,全馬データ!$D$2:$D$50000,E4851,全馬データ!$K$2:$K$50000,"&lt;&gt;")=0,"",SUMIFS(全馬データ!$K$2:$K$50000,全馬データ!$A$2:$A$50000,A4851,全馬データ!$B$2:$B$50000,B4851,全馬データ!$C$2:$C$50000,C4851,全馬データ!$D$2:$D$50000,E4851)))</f>
        <v/>
      </c>
      <c r="AP4851" s="8" t="str">
        <f aca="false">IF(A4851="","",IF(AO4851="","欠損",IF(AO4851&lt;=1.1,"1.0～1.1",IF(AO4851&lt;1.3,"1.2",IF(AO4851&lt;1.5,"1.3～1.4",IF(AO4851&lt;2,"1.5～1.9","2.0以上"))))))</f>
        <v/>
      </c>
      <c r="AQ4851" s="8" t="str">
        <f aca="false">IF(A4851="","",IF(ISNUMBER(SEARCH("2歳",Z4851)),"2歳戦",IF(ISNUMBER(SEARCH("3歳未勝利",Z4851)),"3歳未勝利",IF(ISNUMBER(SEARCH("未勝利",Z4851)),"その他未勝利",IF(ISNUMBER(SEARCH("G1",Z4851)),"G1",IF(ISNUMBER(SEARCH("G2",Z4851)),"G2",IF(ISNUMBER(SEARCH("G3",Z4851)),"G3",IF(ISNUMBER(SEARCH("古馬条件",Z4851)),"古馬条件戦",IF(ISNUMBER(SEARCH("重賞",Z4851)),"重賞","分類不能")))))))))</f>
        <v/>
      </c>
    </row>
    <row r="4852" customFormat="false" ht="15.75" hidden="false" customHeight="false" outlineLevel="0" collapsed="false">
      <c r="AO4852" s="8" t="str">
        <f aca="false">IF(A4852="","",IF(COUNTIFS(全馬データ!$A$2:$A$50000,A4852,全馬データ!$B$2:$B$50000,B4852,全馬データ!$C$2:$C$50000,C4852,全馬データ!$D$2:$D$50000,E4852,全馬データ!$K$2:$K$50000,"&lt;&gt;")=0,"",SUMIFS(全馬データ!$K$2:$K$50000,全馬データ!$A$2:$A$50000,A4852,全馬データ!$B$2:$B$50000,B4852,全馬データ!$C$2:$C$50000,C4852,全馬データ!$D$2:$D$50000,E4852)))</f>
        <v/>
      </c>
      <c r="AP4852" s="8" t="str">
        <f aca="false">IF(A4852="","",IF(AO4852="","欠損",IF(AO4852&lt;=1.1,"1.0～1.1",IF(AO4852&lt;1.3,"1.2",IF(AO4852&lt;1.5,"1.3～1.4",IF(AO4852&lt;2,"1.5～1.9","2.0以上"))))))</f>
        <v/>
      </c>
      <c r="AQ4852" s="8" t="str">
        <f aca="false">IF(A4852="","",IF(ISNUMBER(SEARCH("2歳",Z4852)),"2歳戦",IF(ISNUMBER(SEARCH("3歳未勝利",Z4852)),"3歳未勝利",IF(ISNUMBER(SEARCH("未勝利",Z4852)),"その他未勝利",IF(ISNUMBER(SEARCH("G1",Z4852)),"G1",IF(ISNUMBER(SEARCH("G2",Z4852)),"G2",IF(ISNUMBER(SEARCH("G3",Z4852)),"G3",IF(ISNUMBER(SEARCH("古馬条件",Z4852)),"古馬条件戦",IF(ISNUMBER(SEARCH("重賞",Z4852)),"重賞","分類不能")))))))))</f>
        <v/>
      </c>
    </row>
    <row r="4853" customFormat="false" ht="15.75" hidden="false" customHeight="false" outlineLevel="0" collapsed="false">
      <c r="AO4853" s="8" t="str">
        <f aca="false">IF(A4853="","",IF(COUNTIFS(全馬データ!$A$2:$A$50000,A4853,全馬データ!$B$2:$B$50000,B4853,全馬データ!$C$2:$C$50000,C4853,全馬データ!$D$2:$D$50000,E4853,全馬データ!$K$2:$K$50000,"&lt;&gt;")=0,"",SUMIFS(全馬データ!$K$2:$K$50000,全馬データ!$A$2:$A$50000,A4853,全馬データ!$B$2:$B$50000,B4853,全馬データ!$C$2:$C$50000,C4853,全馬データ!$D$2:$D$50000,E4853)))</f>
        <v/>
      </c>
      <c r="AP4853" s="8" t="str">
        <f aca="false">IF(A4853="","",IF(AO4853="","欠損",IF(AO4853&lt;=1.1,"1.0～1.1",IF(AO4853&lt;1.3,"1.2",IF(AO4853&lt;1.5,"1.3～1.4",IF(AO4853&lt;2,"1.5～1.9","2.0以上"))))))</f>
        <v/>
      </c>
      <c r="AQ4853" s="8" t="str">
        <f aca="false">IF(A4853="","",IF(ISNUMBER(SEARCH("2歳",Z4853)),"2歳戦",IF(ISNUMBER(SEARCH("3歳未勝利",Z4853)),"3歳未勝利",IF(ISNUMBER(SEARCH("未勝利",Z4853)),"その他未勝利",IF(ISNUMBER(SEARCH("G1",Z4853)),"G1",IF(ISNUMBER(SEARCH("G2",Z4853)),"G2",IF(ISNUMBER(SEARCH("G3",Z4853)),"G3",IF(ISNUMBER(SEARCH("古馬条件",Z4853)),"古馬条件戦",IF(ISNUMBER(SEARCH("重賞",Z4853)),"重賞","分類不能")))))))))</f>
        <v/>
      </c>
    </row>
    <row r="4854" customFormat="false" ht="15.75" hidden="false" customHeight="false" outlineLevel="0" collapsed="false">
      <c r="AO4854" s="8" t="str">
        <f aca="false">IF(A4854="","",IF(COUNTIFS(全馬データ!$A$2:$A$50000,A4854,全馬データ!$B$2:$B$50000,B4854,全馬データ!$C$2:$C$50000,C4854,全馬データ!$D$2:$D$50000,E4854,全馬データ!$K$2:$K$50000,"&lt;&gt;")=0,"",SUMIFS(全馬データ!$K$2:$K$50000,全馬データ!$A$2:$A$50000,A4854,全馬データ!$B$2:$B$50000,B4854,全馬データ!$C$2:$C$50000,C4854,全馬データ!$D$2:$D$50000,E4854)))</f>
        <v/>
      </c>
      <c r="AP4854" s="8" t="str">
        <f aca="false">IF(A4854="","",IF(AO4854="","欠損",IF(AO4854&lt;=1.1,"1.0～1.1",IF(AO4854&lt;1.3,"1.2",IF(AO4854&lt;1.5,"1.3～1.4",IF(AO4854&lt;2,"1.5～1.9","2.0以上"))))))</f>
        <v/>
      </c>
      <c r="AQ4854" s="8" t="str">
        <f aca="false">IF(A4854="","",IF(ISNUMBER(SEARCH("2歳",Z4854)),"2歳戦",IF(ISNUMBER(SEARCH("3歳未勝利",Z4854)),"3歳未勝利",IF(ISNUMBER(SEARCH("未勝利",Z4854)),"その他未勝利",IF(ISNUMBER(SEARCH("G1",Z4854)),"G1",IF(ISNUMBER(SEARCH("G2",Z4854)),"G2",IF(ISNUMBER(SEARCH("G3",Z4854)),"G3",IF(ISNUMBER(SEARCH("古馬条件",Z4854)),"古馬条件戦",IF(ISNUMBER(SEARCH("重賞",Z4854)),"重賞","分類不能")))))))))</f>
        <v/>
      </c>
    </row>
    <row r="4855" customFormat="false" ht="15.75" hidden="false" customHeight="false" outlineLevel="0" collapsed="false">
      <c r="AO4855" s="8" t="str">
        <f aca="false">IF(A4855="","",IF(COUNTIFS(全馬データ!$A$2:$A$50000,A4855,全馬データ!$B$2:$B$50000,B4855,全馬データ!$C$2:$C$50000,C4855,全馬データ!$D$2:$D$50000,E4855,全馬データ!$K$2:$K$50000,"&lt;&gt;")=0,"",SUMIFS(全馬データ!$K$2:$K$50000,全馬データ!$A$2:$A$50000,A4855,全馬データ!$B$2:$B$50000,B4855,全馬データ!$C$2:$C$50000,C4855,全馬データ!$D$2:$D$50000,E4855)))</f>
        <v/>
      </c>
      <c r="AP4855" s="8" t="str">
        <f aca="false">IF(A4855="","",IF(AO4855="","欠損",IF(AO4855&lt;=1.1,"1.0～1.1",IF(AO4855&lt;1.3,"1.2",IF(AO4855&lt;1.5,"1.3～1.4",IF(AO4855&lt;2,"1.5～1.9","2.0以上"))))))</f>
        <v/>
      </c>
      <c r="AQ4855" s="8" t="str">
        <f aca="false">IF(A4855="","",IF(ISNUMBER(SEARCH("2歳",Z4855)),"2歳戦",IF(ISNUMBER(SEARCH("3歳未勝利",Z4855)),"3歳未勝利",IF(ISNUMBER(SEARCH("未勝利",Z4855)),"その他未勝利",IF(ISNUMBER(SEARCH("G1",Z4855)),"G1",IF(ISNUMBER(SEARCH("G2",Z4855)),"G2",IF(ISNUMBER(SEARCH("G3",Z4855)),"G3",IF(ISNUMBER(SEARCH("古馬条件",Z4855)),"古馬条件戦",IF(ISNUMBER(SEARCH("重賞",Z4855)),"重賞","分類不能")))))))))</f>
        <v/>
      </c>
    </row>
    <row r="4856" customFormat="false" ht="15.75" hidden="false" customHeight="false" outlineLevel="0" collapsed="false">
      <c r="AO4856" s="8" t="str">
        <f aca="false">IF(A4856="","",IF(COUNTIFS(全馬データ!$A$2:$A$50000,A4856,全馬データ!$B$2:$B$50000,B4856,全馬データ!$C$2:$C$50000,C4856,全馬データ!$D$2:$D$50000,E4856,全馬データ!$K$2:$K$50000,"&lt;&gt;")=0,"",SUMIFS(全馬データ!$K$2:$K$50000,全馬データ!$A$2:$A$50000,A4856,全馬データ!$B$2:$B$50000,B4856,全馬データ!$C$2:$C$50000,C4856,全馬データ!$D$2:$D$50000,E4856)))</f>
        <v/>
      </c>
      <c r="AP4856" s="8" t="str">
        <f aca="false">IF(A4856="","",IF(AO4856="","欠損",IF(AO4856&lt;=1.1,"1.0～1.1",IF(AO4856&lt;1.3,"1.2",IF(AO4856&lt;1.5,"1.3～1.4",IF(AO4856&lt;2,"1.5～1.9","2.0以上"))))))</f>
        <v/>
      </c>
      <c r="AQ4856" s="8" t="str">
        <f aca="false">IF(A4856="","",IF(ISNUMBER(SEARCH("2歳",Z4856)),"2歳戦",IF(ISNUMBER(SEARCH("3歳未勝利",Z4856)),"3歳未勝利",IF(ISNUMBER(SEARCH("未勝利",Z4856)),"その他未勝利",IF(ISNUMBER(SEARCH("G1",Z4856)),"G1",IF(ISNUMBER(SEARCH("G2",Z4856)),"G2",IF(ISNUMBER(SEARCH("G3",Z4856)),"G3",IF(ISNUMBER(SEARCH("古馬条件",Z4856)),"古馬条件戦",IF(ISNUMBER(SEARCH("重賞",Z4856)),"重賞","分類不能")))))))))</f>
        <v/>
      </c>
    </row>
    <row r="4857" customFormat="false" ht="15.75" hidden="false" customHeight="false" outlineLevel="0" collapsed="false">
      <c r="AO4857" s="8" t="str">
        <f aca="false">IF(A4857="","",IF(COUNTIFS(全馬データ!$A$2:$A$50000,A4857,全馬データ!$B$2:$B$50000,B4857,全馬データ!$C$2:$C$50000,C4857,全馬データ!$D$2:$D$50000,E4857,全馬データ!$K$2:$K$50000,"&lt;&gt;")=0,"",SUMIFS(全馬データ!$K$2:$K$50000,全馬データ!$A$2:$A$50000,A4857,全馬データ!$B$2:$B$50000,B4857,全馬データ!$C$2:$C$50000,C4857,全馬データ!$D$2:$D$50000,E4857)))</f>
        <v/>
      </c>
      <c r="AP4857" s="8" t="str">
        <f aca="false">IF(A4857="","",IF(AO4857="","欠損",IF(AO4857&lt;=1.1,"1.0～1.1",IF(AO4857&lt;1.3,"1.2",IF(AO4857&lt;1.5,"1.3～1.4",IF(AO4857&lt;2,"1.5～1.9","2.0以上"))))))</f>
        <v/>
      </c>
      <c r="AQ4857" s="8" t="str">
        <f aca="false">IF(A4857="","",IF(ISNUMBER(SEARCH("2歳",Z4857)),"2歳戦",IF(ISNUMBER(SEARCH("3歳未勝利",Z4857)),"3歳未勝利",IF(ISNUMBER(SEARCH("未勝利",Z4857)),"その他未勝利",IF(ISNUMBER(SEARCH("G1",Z4857)),"G1",IF(ISNUMBER(SEARCH("G2",Z4857)),"G2",IF(ISNUMBER(SEARCH("G3",Z4857)),"G3",IF(ISNUMBER(SEARCH("古馬条件",Z4857)),"古馬条件戦",IF(ISNUMBER(SEARCH("重賞",Z4857)),"重賞","分類不能")))))))))</f>
        <v/>
      </c>
    </row>
    <row r="4858" customFormat="false" ht="15.75" hidden="false" customHeight="false" outlineLevel="0" collapsed="false">
      <c r="AO4858" s="8" t="str">
        <f aca="false">IF(A4858="","",IF(COUNTIFS(全馬データ!$A$2:$A$50000,A4858,全馬データ!$B$2:$B$50000,B4858,全馬データ!$C$2:$C$50000,C4858,全馬データ!$D$2:$D$50000,E4858,全馬データ!$K$2:$K$50000,"&lt;&gt;")=0,"",SUMIFS(全馬データ!$K$2:$K$50000,全馬データ!$A$2:$A$50000,A4858,全馬データ!$B$2:$B$50000,B4858,全馬データ!$C$2:$C$50000,C4858,全馬データ!$D$2:$D$50000,E4858)))</f>
        <v/>
      </c>
      <c r="AP4858" s="8" t="str">
        <f aca="false">IF(A4858="","",IF(AO4858="","欠損",IF(AO4858&lt;=1.1,"1.0～1.1",IF(AO4858&lt;1.3,"1.2",IF(AO4858&lt;1.5,"1.3～1.4",IF(AO4858&lt;2,"1.5～1.9","2.0以上"))))))</f>
        <v/>
      </c>
      <c r="AQ4858" s="8" t="str">
        <f aca="false">IF(A4858="","",IF(ISNUMBER(SEARCH("2歳",Z4858)),"2歳戦",IF(ISNUMBER(SEARCH("3歳未勝利",Z4858)),"3歳未勝利",IF(ISNUMBER(SEARCH("未勝利",Z4858)),"その他未勝利",IF(ISNUMBER(SEARCH("G1",Z4858)),"G1",IF(ISNUMBER(SEARCH("G2",Z4858)),"G2",IF(ISNUMBER(SEARCH("G3",Z4858)),"G3",IF(ISNUMBER(SEARCH("古馬条件",Z4858)),"古馬条件戦",IF(ISNUMBER(SEARCH("重賞",Z4858)),"重賞","分類不能")))))))))</f>
        <v/>
      </c>
    </row>
    <row r="4859" customFormat="false" ht="15.75" hidden="false" customHeight="false" outlineLevel="0" collapsed="false">
      <c r="AO4859" s="8" t="str">
        <f aca="false">IF(A4859="","",IF(COUNTIFS(全馬データ!$A$2:$A$50000,A4859,全馬データ!$B$2:$B$50000,B4859,全馬データ!$C$2:$C$50000,C4859,全馬データ!$D$2:$D$50000,E4859,全馬データ!$K$2:$K$50000,"&lt;&gt;")=0,"",SUMIFS(全馬データ!$K$2:$K$50000,全馬データ!$A$2:$A$50000,A4859,全馬データ!$B$2:$B$50000,B4859,全馬データ!$C$2:$C$50000,C4859,全馬データ!$D$2:$D$50000,E4859)))</f>
        <v/>
      </c>
      <c r="AP4859" s="8" t="str">
        <f aca="false">IF(A4859="","",IF(AO4859="","欠損",IF(AO4859&lt;=1.1,"1.0～1.1",IF(AO4859&lt;1.3,"1.2",IF(AO4859&lt;1.5,"1.3～1.4",IF(AO4859&lt;2,"1.5～1.9","2.0以上"))))))</f>
        <v/>
      </c>
      <c r="AQ4859" s="8" t="str">
        <f aca="false">IF(A4859="","",IF(ISNUMBER(SEARCH("2歳",Z4859)),"2歳戦",IF(ISNUMBER(SEARCH("3歳未勝利",Z4859)),"3歳未勝利",IF(ISNUMBER(SEARCH("未勝利",Z4859)),"その他未勝利",IF(ISNUMBER(SEARCH("G1",Z4859)),"G1",IF(ISNUMBER(SEARCH("G2",Z4859)),"G2",IF(ISNUMBER(SEARCH("G3",Z4859)),"G3",IF(ISNUMBER(SEARCH("古馬条件",Z4859)),"古馬条件戦",IF(ISNUMBER(SEARCH("重賞",Z4859)),"重賞","分類不能")))))))))</f>
        <v/>
      </c>
    </row>
    <row r="4860" customFormat="false" ht="15.75" hidden="false" customHeight="false" outlineLevel="0" collapsed="false">
      <c r="AO4860" s="8" t="str">
        <f aca="false">IF(A4860="","",IF(COUNTIFS(全馬データ!$A$2:$A$50000,A4860,全馬データ!$B$2:$B$50000,B4860,全馬データ!$C$2:$C$50000,C4860,全馬データ!$D$2:$D$50000,E4860,全馬データ!$K$2:$K$50000,"&lt;&gt;")=0,"",SUMIFS(全馬データ!$K$2:$K$50000,全馬データ!$A$2:$A$50000,A4860,全馬データ!$B$2:$B$50000,B4860,全馬データ!$C$2:$C$50000,C4860,全馬データ!$D$2:$D$50000,E4860)))</f>
        <v/>
      </c>
      <c r="AP4860" s="8" t="str">
        <f aca="false">IF(A4860="","",IF(AO4860="","欠損",IF(AO4860&lt;=1.1,"1.0～1.1",IF(AO4860&lt;1.3,"1.2",IF(AO4860&lt;1.5,"1.3～1.4",IF(AO4860&lt;2,"1.5～1.9","2.0以上"))))))</f>
        <v/>
      </c>
      <c r="AQ4860" s="8" t="str">
        <f aca="false">IF(A4860="","",IF(ISNUMBER(SEARCH("2歳",Z4860)),"2歳戦",IF(ISNUMBER(SEARCH("3歳未勝利",Z4860)),"3歳未勝利",IF(ISNUMBER(SEARCH("未勝利",Z4860)),"その他未勝利",IF(ISNUMBER(SEARCH("G1",Z4860)),"G1",IF(ISNUMBER(SEARCH("G2",Z4860)),"G2",IF(ISNUMBER(SEARCH("G3",Z4860)),"G3",IF(ISNUMBER(SEARCH("古馬条件",Z4860)),"古馬条件戦",IF(ISNUMBER(SEARCH("重賞",Z4860)),"重賞","分類不能")))))))))</f>
        <v/>
      </c>
    </row>
    <row r="4861" customFormat="false" ht="15.75" hidden="false" customHeight="false" outlineLevel="0" collapsed="false">
      <c r="AO4861" s="8" t="str">
        <f aca="false">IF(A4861="","",IF(COUNTIFS(全馬データ!$A$2:$A$50000,A4861,全馬データ!$B$2:$B$50000,B4861,全馬データ!$C$2:$C$50000,C4861,全馬データ!$D$2:$D$50000,E4861,全馬データ!$K$2:$K$50000,"&lt;&gt;")=0,"",SUMIFS(全馬データ!$K$2:$K$50000,全馬データ!$A$2:$A$50000,A4861,全馬データ!$B$2:$B$50000,B4861,全馬データ!$C$2:$C$50000,C4861,全馬データ!$D$2:$D$50000,E4861)))</f>
        <v/>
      </c>
      <c r="AP4861" s="8" t="str">
        <f aca="false">IF(A4861="","",IF(AO4861="","欠損",IF(AO4861&lt;=1.1,"1.0～1.1",IF(AO4861&lt;1.3,"1.2",IF(AO4861&lt;1.5,"1.3～1.4",IF(AO4861&lt;2,"1.5～1.9","2.0以上"))))))</f>
        <v/>
      </c>
      <c r="AQ4861" s="8" t="str">
        <f aca="false">IF(A4861="","",IF(ISNUMBER(SEARCH("2歳",Z4861)),"2歳戦",IF(ISNUMBER(SEARCH("3歳未勝利",Z4861)),"3歳未勝利",IF(ISNUMBER(SEARCH("未勝利",Z4861)),"その他未勝利",IF(ISNUMBER(SEARCH("G1",Z4861)),"G1",IF(ISNUMBER(SEARCH("G2",Z4861)),"G2",IF(ISNUMBER(SEARCH("G3",Z4861)),"G3",IF(ISNUMBER(SEARCH("古馬条件",Z4861)),"古馬条件戦",IF(ISNUMBER(SEARCH("重賞",Z4861)),"重賞","分類不能")))))))))</f>
        <v/>
      </c>
    </row>
    <row r="4862" customFormat="false" ht="15.75" hidden="false" customHeight="false" outlineLevel="0" collapsed="false">
      <c r="AO4862" s="8" t="str">
        <f aca="false">IF(A4862="","",IF(COUNTIFS(全馬データ!$A$2:$A$50000,A4862,全馬データ!$B$2:$B$50000,B4862,全馬データ!$C$2:$C$50000,C4862,全馬データ!$D$2:$D$50000,E4862,全馬データ!$K$2:$K$50000,"&lt;&gt;")=0,"",SUMIFS(全馬データ!$K$2:$K$50000,全馬データ!$A$2:$A$50000,A4862,全馬データ!$B$2:$B$50000,B4862,全馬データ!$C$2:$C$50000,C4862,全馬データ!$D$2:$D$50000,E4862)))</f>
        <v/>
      </c>
      <c r="AP4862" s="8" t="str">
        <f aca="false">IF(A4862="","",IF(AO4862="","欠損",IF(AO4862&lt;=1.1,"1.0～1.1",IF(AO4862&lt;1.3,"1.2",IF(AO4862&lt;1.5,"1.3～1.4",IF(AO4862&lt;2,"1.5～1.9","2.0以上"))))))</f>
        <v/>
      </c>
      <c r="AQ4862" s="8" t="str">
        <f aca="false">IF(A4862="","",IF(ISNUMBER(SEARCH("2歳",Z4862)),"2歳戦",IF(ISNUMBER(SEARCH("3歳未勝利",Z4862)),"3歳未勝利",IF(ISNUMBER(SEARCH("未勝利",Z4862)),"その他未勝利",IF(ISNUMBER(SEARCH("G1",Z4862)),"G1",IF(ISNUMBER(SEARCH("G2",Z4862)),"G2",IF(ISNUMBER(SEARCH("G3",Z4862)),"G3",IF(ISNUMBER(SEARCH("古馬条件",Z4862)),"古馬条件戦",IF(ISNUMBER(SEARCH("重賞",Z4862)),"重賞","分類不能")))))))))</f>
        <v/>
      </c>
    </row>
    <row r="4863" customFormat="false" ht="15.75" hidden="false" customHeight="false" outlineLevel="0" collapsed="false">
      <c r="AO4863" s="8" t="str">
        <f aca="false">IF(A4863="","",IF(COUNTIFS(全馬データ!$A$2:$A$50000,A4863,全馬データ!$B$2:$B$50000,B4863,全馬データ!$C$2:$C$50000,C4863,全馬データ!$D$2:$D$50000,E4863,全馬データ!$K$2:$K$50000,"&lt;&gt;")=0,"",SUMIFS(全馬データ!$K$2:$K$50000,全馬データ!$A$2:$A$50000,A4863,全馬データ!$B$2:$B$50000,B4863,全馬データ!$C$2:$C$50000,C4863,全馬データ!$D$2:$D$50000,E4863)))</f>
        <v/>
      </c>
      <c r="AP4863" s="8" t="str">
        <f aca="false">IF(A4863="","",IF(AO4863="","欠損",IF(AO4863&lt;=1.1,"1.0～1.1",IF(AO4863&lt;1.3,"1.2",IF(AO4863&lt;1.5,"1.3～1.4",IF(AO4863&lt;2,"1.5～1.9","2.0以上"))))))</f>
        <v/>
      </c>
      <c r="AQ4863" s="8" t="str">
        <f aca="false">IF(A4863="","",IF(ISNUMBER(SEARCH("2歳",Z4863)),"2歳戦",IF(ISNUMBER(SEARCH("3歳未勝利",Z4863)),"3歳未勝利",IF(ISNUMBER(SEARCH("未勝利",Z4863)),"その他未勝利",IF(ISNUMBER(SEARCH("G1",Z4863)),"G1",IF(ISNUMBER(SEARCH("G2",Z4863)),"G2",IF(ISNUMBER(SEARCH("G3",Z4863)),"G3",IF(ISNUMBER(SEARCH("古馬条件",Z4863)),"古馬条件戦",IF(ISNUMBER(SEARCH("重賞",Z4863)),"重賞","分類不能")))))))))</f>
        <v/>
      </c>
    </row>
    <row r="4864" customFormat="false" ht="15.75" hidden="false" customHeight="false" outlineLevel="0" collapsed="false">
      <c r="AO4864" s="8" t="str">
        <f aca="false">IF(A4864="","",IF(COUNTIFS(全馬データ!$A$2:$A$50000,A4864,全馬データ!$B$2:$B$50000,B4864,全馬データ!$C$2:$C$50000,C4864,全馬データ!$D$2:$D$50000,E4864,全馬データ!$K$2:$K$50000,"&lt;&gt;")=0,"",SUMIFS(全馬データ!$K$2:$K$50000,全馬データ!$A$2:$A$50000,A4864,全馬データ!$B$2:$B$50000,B4864,全馬データ!$C$2:$C$50000,C4864,全馬データ!$D$2:$D$50000,E4864)))</f>
        <v/>
      </c>
      <c r="AP4864" s="8" t="str">
        <f aca="false">IF(A4864="","",IF(AO4864="","欠損",IF(AO4864&lt;=1.1,"1.0～1.1",IF(AO4864&lt;1.3,"1.2",IF(AO4864&lt;1.5,"1.3～1.4",IF(AO4864&lt;2,"1.5～1.9","2.0以上"))))))</f>
        <v/>
      </c>
      <c r="AQ4864" s="8" t="str">
        <f aca="false">IF(A4864="","",IF(ISNUMBER(SEARCH("2歳",Z4864)),"2歳戦",IF(ISNUMBER(SEARCH("3歳未勝利",Z4864)),"3歳未勝利",IF(ISNUMBER(SEARCH("未勝利",Z4864)),"その他未勝利",IF(ISNUMBER(SEARCH("G1",Z4864)),"G1",IF(ISNUMBER(SEARCH("G2",Z4864)),"G2",IF(ISNUMBER(SEARCH("G3",Z4864)),"G3",IF(ISNUMBER(SEARCH("古馬条件",Z4864)),"古馬条件戦",IF(ISNUMBER(SEARCH("重賞",Z4864)),"重賞","分類不能")))))))))</f>
        <v/>
      </c>
    </row>
    <row r="4865" customFormat="false" ht="15.75" hidden="false" customHeight="false" outlineLevel="0" collapsed="false">
      <c r="AO4865" s="8" t="str">
        <f aca="false">IF(A4865="","",IF(COUNTIFS(全馬データ!$A$2:$A$50000,A4865,全馬データ!$B$2:$B$50000,B4865,全馬データ!$C$2:$C$50000,C4865,全馬データ!$D$2:$D$50000,E4865,全馬データ!$K$2:$K$50000,"&lt;&gt;")=0,"",SUMIFS(全馬データ!$K$2:$K$50000,全馬データ!$A$2:$A$50000,A4865,全馬データ!$B$2:$B$50000,B4865,全馬データ!$C$2:$C$50000,C4865,全馬データ!$D$2:$D$50000,E4865)))</f>
        <v/>
      </c>
      <c r="AP4865" s="8" t="str">
        <f aca="false">IF(A4865="","",IF(AO4865="","欠損",IF(AO4865&lt;=1.1,"1.0～1.1",IF(AO4865&lt;1.3,"1.2",IF(AO4865&lt;1.5,"1.3～1.4",IF(AO4865&lt;2,"1.5～1.9","2.0以上"))))))</f>
        <v/>
      </c>
      <c r="AQ4865" s="8" t="str">
        <f aca="false">IF(A4865="","",IF(ISNUMBER(SEARCH("2歳",Z4865)),"2歳戦",IF(ISNUMBER(SEARCH("3歳未勝利",Z4865)),"3歳未勝利",IF(ISNUMBER(SEARCH("未勝利",Z4865)),"その他未勝利",IF(ISNUMBER(SEARCH("G1",Z4865)),"G1",IF(ISNUMBER(SEARCH("G2",Z4865)),"G2",IF(ISNUMBER(SEARCH("G3",Z4865)),"G3",IF(ISNUMBER(SEARCH("古馬条件",Z4865)),"古馬条件戦",IF(ISNUMBER(SEARCH("重賞",Z4865)),"重賞","分類不能")))))))))</f>
        <v/>
      </c>
    </row>
    <row r="4866" customFormat="false" ht="15.75" hidden="false" customHeight="false" outlineLevel="0" collapsed="false">
      <c r="AO4866" s="8" t="str">
        <f aca="false">IF(A4866="","",IF(COUNTIFS(全馬データ!$A$2:$A$50000,A4866,全馬データ!$B$2:$B$50000,B4866,全馬データ!$C$2:$C$50000,C4866,全馬データ!$D$2:$D$50000,E4866,全馬データ!$K$2:$K$50000,"&lt;&gt;")=0,"",SUMIFS(全馬データ!$K$2:$K$50000,全馬データ!$A$2:$A$50000,A4866,全馬データ!$B$2:$B$50000,B4866,全馬データ!$C$2:$C$50000,C4866,全馬データ!$D$2:$D$50000,E4866)))</f>
        <v/>
      </c>
      <c r="AP4866" s="8" t="str">
        <f aca="false">IF(A4866="","",IF(AO4866="","欠損",IF(AO4866&lt;=1.1,"1.0～1.1",IF(AO4866&lt;1.3,"1.2",IF(AO4866&lt;1.5,"1.3～1.4",IF(AO4866&lt;2,"1.5～1.9","2.0以上"))))))</f>
        <v/>
      </c>
      <c r="AQ4866" s="8" t="str">
        <f aca="false">IF(A4866="","",IF(ISNUMBER(SEARCH("2歳",Z4866)),"2歳戦",IF(ISNUMBER(SEARCH("3歳未勝利",Z4866)),"3歳未勝利",IF(ISNUMBER(SEARCH("未勝利",Z4866)),"その他未勝利",IF(ISNUMBER(SEARCH("G1",Z4866)),"G1",IF(ISNUMBER(SEARCH("G2",Z4866)),"G2",IF(ISNUMBER(SEARCH("G3",Z4866)),"G3",IF(ISNUMBER(SEARCH("古馬条件",Z4866)),"古馬条件戦",IF(ISNUMBER(SEARCH("重賞",Z4866)),"重賞","分類不能")))))))))</f>
        <v/>
      </c>
    </row>
    <row r="4867" customFormat="false" ht="15.75" hidden="false" customHeight="false" outlineLevel="0" collapsed="false">
      <c r="AO4867" s="8" t="str">
        <f aca="false">IF(A4867="","",IF(COUNTIFS(全馬データ!$A$2:$A$50000,A4867,全馬データ!$B$2:$B$50000,B4867,全馬データ!$C$2:$C$50000,C4867,全馬データ!$D$2:$D$50000,E4867,全馬データ!$K$2:$K$50000,"&lt;&gt;")=0,"",SUMIFS(全馬データ!$K$2:$K$50000,全馬データ!$A$2:$A$50000,A4867,全馬データ!$B$2:$B$50000,B4867,全馬データ!$C$2:$C$50000,C4867,全馬データ!$D$2:$D$50000,E4867)))</f>
        <v/>
      </c>
      <c r="AP4867" s="8" t="str">
        <f aca="false">IF(A4867="","",IF(AO4867="","欠損",IF(AO4867&lt;=1.1,"1.0～1.1",IF(AO4867&lt;1.3,"1.2",IF(AO4867&lt;1.5,"1.3～1.4",IF(AO4867&lt;2,"1.5～1.9","2.0以上"))))))</f>
        <v/>
      </c>
      <c r="AQ4867" s="8" t="str">
        <f aca="false">IF(A4867="","",IF(ISNUMBER(SEARCH("2歳",Z4867)),"2歳戦",IF(ISNUMBER(SEARCH("3歳未勝利",Z4867)),"3歳未勝利",IF(ISNUMBER(SEARCH("未勝利",Z4867)),"その他未勝利",IF(ISNUMBER(SEARCH("G1",Z4867)),"G1",IF(ISNUMBER(SEARCH("G2",Z4867)),"G2",IF(ISNUMBER(SEARCH("G3",Z4867)),"G3",IF(ISNUMBER(SEARCH("古馬条件",Z4867)),"古馬条件戦",IF(ISNUMBER(SEARCH("重賞",Z4867)),"重賞","分類不能")))))))))</f>
        <v/>
      </c>
    </row>
    <row r="4868" customFormat="false" ht="15.75" hidden="false" customHeight="false" outlineLevel="0" collapsed="false">
      <c r="AO4868" s="8" t="str">
        <f aca="false">IF(A4868="","",IF(COUNTIFS(全馬データ!$A$2:$A$50000,A4868,全馬データ!$B$2:$B$50000,B4868,全馬データ!$C$2:$C$50000,C4868,全馬データ!$D$2:$D$50000,E4868,全馬データ!$K$2:$K$50000,"&lt;&gt;")=0,"",SUMIFS(全馬データ!$K$2:$K$50000,全馬データ!$A$2:$A$50000,A4868,全馬データ!$B$2:$B$50000,B4868,全馬データ!$C$2:$C$50000,C4868,全馬データ!$D$2:$D$50000,E4868)))</f>
        <v/>
      </c>
      <c r="AP4868" s="8" t="str">
        <f aca="false">IF(A4868="","",IF(AO4868="","欠損",IF(AO4868&lt;=1.1,"1.0～1.1",IF(AO4868&lt;1.3,"1.2",IF(AO4868&lt;1.5,"1.3～1.4",IF(AO4868&lt;2,"1.5～1.9","2.0以上"))))))</f>
        <v/>
      </c>
      <c r="AQ4868" s="8" t="str">
        <f aca="false">IF(A4868="","",IF(ISNUMBER(SEARCH("2歳",Z4868)),"2歳戦",IF(ISNUMBER(SEARCH("3歳未勝利",Z4868)),"3歳未勝利",IF(ISNUMBER(SEARCH("未勝利",Z4868)),"その他未勝利",IF(ISNUMBER(SEARCH("G1",Z4868)),"G1",IF(ISNUMBER(SEARCH("G2",Z4868)),"G2",IF(ISNUMBER(SEARCH("G3",Z4868)),"G3",IF(ISNUMBER(SEARCH("古馬条件",Z4868)),"古馬条件戦",IF(ISNUMBER(SEARCH("重賞",Z4868)),"重賞","分類不能")))))))))</f>
        <v/>
      </c>
    </row>
    <row r="4869" customFormat="false" ht="15.75" hidden="false" customHeight="false" outlineLevel="0" collapsed="false">
      <c r="AO4869" s="8" t="str">
        <f aca="false">IF(A4869="","",IF(COUNTIFS(全馬データ!$A$2:$A$50000,A4869,全馬データ!$B$2:$B$50000,B4869,全馬データ!$C$2:$C$50000,C4869,全馬データ!$D$2:$D$50000,E4869,全馬データ!$K$2:$K$50000,"&lt;&gt;")=0,"",SUMIFS(全馬データ!$K$2:$K$50000,全馬データ!$A$2:$A$50000,A4869,全馬データ!$B$2:$B$50000,B4869,全馬データ!$C$2:$C$50000,C4869,全馬データ!$D$2:$D$50000,E4869)))</f>
        <v/>
      </c>
      <c r="AP4869" s="8" t="str">
        <f aca="false">IF(A4869="","",IF(AO4869="","欠損",IF(AO4869&lt;=1.1,"1.0～1.1",IF(AO4869&lt;1.3,"1.2",IF(AO4869&lt;1.5,"1.3～1.4",IF(AO4869&lt;2,"1.5～1.9","2.0以上"))))))</f>
        <v/>
      </c>
      <c r="AQ4869" s="8" t="str">
        <f aca="false">IF(A4869="","",IF(ISNUMBER(SEARCH("2歳",Z4869)),"2歳戦",IF(ISNUMBER(SEARCH("3歳未勝利",Z4869)),"3歳未勝利",IF(ISNUMBER(SEARCH("未勝利",Z4869)),"その他未勝利",IF(ISNUMBER(SEARCH("G1",Z4869)),"G1",IF(ISNUMBER(SEARCH("G2",Z4869)),"G2",IF(ISNUMBER(SEARCH("G3",Z4869)),"G3",IF(ISNUMBER(SEARCH("古馬条件",Z4869)),"古馬条件戦",IF(ISNUMBER(SEARCH("重賞",Z4869)),"重賞","分類不能")))))))))</f>
        <v/>
      </c>
    </row>
    <row r="4870" customFormat="false" ht="15.75" hidden="false" customHeight="false" outlineLevel="0" collapsed="false">
      <c r="AO4870" s="8" t="str">
        <f aca="false">IF(A4870="","",IF(COUNTIFS(全馬データ!$A$2:$A$50000,A4870,全馬データ!$B$2:$B$50000,B4870,全馬データ!$C$2:$C$50000,C4870,全馬データ!$D$2:$D$50000,E4870,全馬データ!$K$2:$K$50000,"&lt;&gt;")=0,"",SUMIFS(全馬データ!$K$2:$K$50000,全馬データ!$A$2:$A$50000,A4870,全馬データ!$B$2:$B$50000,B4870,全馬データ!$C$2:$C$50000,C4870,全馬データ!$D$2:$D$50000,E4870)))</f>
        <v/>
      </c>
      <c r="AP4870" s="8" t="str">
        <f aca="false">IF(A4870="","",IF(AO4870="","欠損",IF(AO4870&lt;=1.1,"1.0～1.1",IF(AO4870&lt;1.3,"1.2",IF(AO4870&lt;1.5,"1.3～1.4",IF(AO4870&lt;2,"1.5～1.9","2.0以上"))))))</f>
        <v/>
      </c>
      <c r="AQ4870" s="8" t="str">
        <f aca="false">IF(A4870="","",IF(ISNUMBER(SEARCH("2歳",Z4870)),"2歳戦",IF(ISNUMBER(SEARCH("3歳未勝利",Z4870)),"3歳未勝利",IF(ISNUMBER(SEARCH("未勝利",Z4870)),"その他未勝利",IF(ISNUMBER(SEARCH("G1",Z4870)),"G1",IF(ISNUMBER(SEARCH("G2",Z4870)),"G2",IF(ISNUMBER(SEARCH("G3",Z4870)),"G3",IF(ISNUMBER(SEARCH("古馬条件",Z4870)),"古馬条件戦",IF(ISNUMBER(SEARCH("重賞",Z4870)),"重賞","分類不能")))))))))</f>
        <v/>
      </c>
    </row>
    <row r="4871" customFormat="false" ht="15.75" hidden="false" customHeight="false" outlineLevel="0" collapsed="false">
      <c r="AO4871" s="8" t="str">
        <f aca="false">IF(A4871="","",IF(COUNTIFS(全馬データ!$A$2:$A$50000,A4871,全馬データ!$B$2:$B$50000,B4871,全馬データ!$C$2:$C$50000,C4871,全馬データ!$D$2:$D$50000,E4871,全馬データ!$K$2:$K$50000,"&lt;&gt;")=0,"",SUMIFS(全馬データ!$K$2:$K$50000,全馬データ!$A$2:$A$50000,A4871,全馬データ!$B$2:$B$50000,B4871,全馬データ!$C$2:$C$50000,C4871,全馬データ!$D$2:$D$50000,E4871)))</f>
        <v/>
      </c>
      <c r="AP4871" s="8" t="str">
        <f aca="false">IF(A4871="","",IF(AO4871="","欠損",IF(AO4871&lt;=1.1,"1.0～1.1",IF(AO4871&lt;1.3,"1.2",IF(AO4871&lt;1.5,"1.3～1.4",IF(AO4871&lt;2,"1.5～1.9","2.0以上"))))))</f>
        <v/>
      </c>
      <c r="AQ4871" s="8" t="str">
        <f aca="false">IF(A4871="","",IF(ISNUMBER(SEARCH("2歳",Z4871)),"2歳戦",IF(ISNUMBER(SEARCH("3歳未勝利",Z4871)),"3歳未勝利",IF(ISNUMBER(SEARCH("未勝利",Z4871)),"その他未勝利",IF(ISNUMBER(SEARCH("G1",Z4871)),"G1",IF(ISNUMBER(SEARCH("G2",Z4871)),"G2",IF(ISNUMBER(SEARCH("G3",Z4871)),"G3",IF(ISNUMBER(SEARCH("古馬条件",Z4871)),"古馬条件戦",IF(ISNUMBER(SEARCH("重賞",Z4871)),"重賞","分類不能")))))))))</f>
        <v/>
      </c>
    </row>
    <row r="4872" customFormat="false" ht="15.75" hidden="false" customHeight="false" outlineLevel="0" collapsed="false">
      <c r="AO4872" s="8" t="str">
        <f aca="false">IF(A4872="","",IF(COUNTIFS(全馬データ!$A$2:$A$50000,A4872,全馬データ!$B$2:$B$50000,B4872,全馬データ!$C$2:$C$50000,C4872,全馬データ!$D$2:$D$50000,E4872,全馬データ!$K$2:$K$50000,"&lt;&gt;")=0,"",SUMIFS(全馬データ!$K$2:$K$50000,全馬データ!$A$2:$A$50000,A4872,全馬データ!$B$2:$B$50000,B4872,全馬データ!$C$2:$C$50000,C4872,全馬データ!$D$2:$D$50000,E4872)))</f>
        <v/>
      </c>
      <c r="AP4872" s="8" t="str">
        <f aca="false">IF(A4872="","",IF(AO4872="","欠損",IF(AO4872&lt;=1.1,"1.0～1.1",IF(AO4872&lt;1.3,"1.2",IF(AO4872&lt;1.5,"1.3～1.4",IF(AO4872&lt;2,"1.5～1.9","2.0以上"))))))</f>
        <v/>
      </c>
      <c r="AQ4872" s="8" t="str">
        <f aca="false">IF(A4872="","",IF(ISNUMBER(SEARCH("2歳",Z4872)),"2歳戦",IF(ISNUMBER(SEARCH("3歳未勝利",Z4872)),"3歳未勝利",IF(ISNUMBER(SEARCH("未勝利",Z4872)),"その他未勝利",IF(ISNUMBER(SEARCH("G1",Z4872)),"G1",IF(ISNUMBER(SEARCH("G2",Z4872)),"G2",IF(ISNUMBER(SEARCH("G3",Z4872)),"G3",IF(ISNUMBER(SEARCH("古馬条件",Z4872)),"古馬条件戦",IF(ISNUMBER(SEARCH("重賞",Z4872)),"重賞","分類不能")))))))))</f>
        <v/>
      </c>
    </row>
    <row r="4873" customFormat="false" ht="15.75" hidden="false" customHeight="false" outlineLevel="0" collapsed="false">
      <c r="AO4873" s="8" t="str">
        <f aca="false">IF(A4873="","",IF(COUNTIFS(全馬データ!$A$2:$A$50000,A4873,全馬データ!$B$2:$B$50000,B4873,全馬データ!$C$2:$C$50000,C4873,全馬データ!$D$2:$D$50000,E4873,全馬データ!$K$2:$K$50000,"&lt;&gt;")=0,"",SUMIFS(全馬データ!$K$2:$K$50000,全馬データ!$A$2:$A$50000,A4873,全馬データ!$B$2:$B$50000,B4873,全馬データ!$C$2:$C$50000,C4873,全馬データ!$D$2:$D$50000,E4873)))</f>
        <v/>
      </c>
      <c r="AP4873" s="8" t="str">
        <f aca="false">IF(A4873="","",IF(AO4873="","欠損",IF(AO4873&lt;=1.1,"1.0～1.1",IF(AO4873&lt;1.3,"1.2",IF(AO4873&lt;1.5,"1.3～1.4",IF(AO4873&lt;2,"1.5～1.9","2.0以上"))))))</f>
        <v/>
      </c>
      <c r="AQ4873" s="8" t="str">
        <f aca="false">IF(A4873="","",IF(ISNUMBER(SEARCH("2歳",Z4873)),"2歳戦",IF(ISNUMBER(SEARCH("3歳未勝利",Z4873)),"3歳未勝利",IF(ISNUMBER(SEARCH("未勝利",Z4873)),"その他未勝利",IF(ISNUMBER(SEARCH("G1",Z4873)),"G1",IF(ISNUMBER(SEARCH("G2",Z4873)),"G2",IF(ISNUMBER(SEARCH("G3",Z4873)),"G3",IF(ISNUMBER(SEARCH("古馬条件",Z4873)),"古馬条件戦",IF(ISNUMBER(SEARCH("重賞",Z4873)),"重賞","分類不能")))))))))</f>
        <v/>
      </c>
    </row>
    <row r="4874" customFormat="false" ht="15.75" hidden="false" customHeight="false" outlineLevel="0" collapsed="false">
      <c r="AO4874" s="8" t="str">
        <f aca="false">IF(A4874="","",IF(COUNTIFS(全馬データ!$A$2:$A$50000,A4874,全馬データ!$B$2:$B$50000,B4874,全馬データ!$C$2:$C$50000,C4874,全馬データ!$D$2:$D$50000,E4874,全馬データ!$K$2:$K$50000,"&lt;&gt;")=0,"",SUMIFS(全馬データ!$K$2:$K$50000,全馬データ!$A$2:$A$50000,A4874,全馬データ!$B$2:$B$50000,B4874,全馬データ!$C$2:$C$50000,C4874,全馬データ!$D$2:$D$50000,E4874)))</f>
        <v/>
      </c>
      <c r="AP4874" s="8" t="str">
        <f aca="false">IF(A4874="","",IF(AO4874="","欠損",IF(AO4874&lt;=1.1,"1.0～1.1",IF(AO4874&lt;1.3,"1.2",IF(AO4874&lt;1.5,"1.3～1.4",IF(AO4874&lt;2,"1.5～1.9","2.0以上"))))))</f>
        <v/>
      </c>
      <c r="AQ4874" s="8" t="str">
        <f aca="false">IF(A4874="","",IF(ISNUMBER(SEARCH("2歳",Z4874)),"2歳戦",IF(ISNUMBER(SEARCH("3歳未勝利",Z4874)),"3歳未勝利",IF(ISNUMBER(SEARCH("未勝利",Z4874)),"その他未勝利",IF(ISNUMBER(SEARCH("G1",Z4874)),"G1",IF(ISNUMBER(SEARCH("G2",Z4874)),"G2",IF(ISNUMBER(SEARCH("G3",Z4874)),"G3",IF(ISNUMBER(SEARCH("古馬条件",Z4874)),"古馬条件戦",IF(ISNUMBER(SEARCH("重賞",Z4874)),"重賞","分類不能")))))))))</f>
        <v/>
      </c>
    </row>
    <row r="4875" customFormat="false" ht="15.75" hidden="false" customHeight="false" outlineLevel="0" collapsed="false">
      <c r="AO4875" s="8" t="str">
        <f aca="false">IF(A4875="","",IF(COUNTIFS(全馬データ!$A$2:$A$50000,A4875,全馬データ!$B$2:$B$50000,B4875,全馬データ!$C$2:$C$50000,C4875,全馬データ!$D$2:$D$50000,E4875,全馬データ!$K$2:$K$50000,"&lt;&gt;")=0,"",SUMIFS(全馬データ!$K$2:$K$50000,全馬データ!$A$2:$A$50000,A4875,全馬データ!$B$2:$B$50000,B4875,全馬データ!$C$2:$C$50000,C4875,全馬データ!$D$2:$D$50000,E4875)))</f>
        <v/>
      </c>
      <c r="AP4875" s="8" t="str">
        <f aca="false">IF(A4875="","",IF(AO4875="","欠損",IF(AO4875&lt;=1.1,"1.0～1.1",IF(AO4875&lt;1.3,"1.2",IF(AO4875&lt;1.5,"1.3～1.4",IF(AO4875&lt;2,"1.5～1.9","2.0以上"))))))</f>
        <v/>
      </c>
      <c r="AQ4875" s="8" t="str">
        <f aca="false">IF(A4875="","",IF(ISNUMBER(SEARCH("2歳",Z4875)),"2歳戦",IF(ISNUMBER(SEARCH("3歳未勝利",Z4875)),"3歳未勝利",IF(ISNUMBER(SEARCH("未勝利",Z4875)),"その他未勝利",IF(ISNUMBER(SEARCH("G1",Z4875)),"G1",IF(ISNUMBER(SEARCH("G2",Z4875)),"G2",IF(ISNUMBER(SEARCH("G3",Z4875)),"G3",IF(ISNUMBER(SEARCH("古馬条件",Z4875)),"古馬条件戦",IF(ISNUMBER(SEARCH("重賞",Z4875)),"重賞","分類不能")))))))))</f>
        <v/>
      </c>
    </row>
    <row r="4876" customFormat="false" ht="15.75" hidden="false" customHeight="false" outlineLevel="0" collapsed="false">
      <c r="AO4876" s="8" t="str">
        <f aca="false">IF(A4876="","",IF(COUNTIFS(全馬データ!$A$2:$A$50000,A4876,全馬データ!$B$2:$B$50000,B4876,全馬データ!$C$2:$C$50000,C4876,全馬データ!$D$2:$D$50000,E4876,全馬データ!$K$2:$K$50000,"&lt;&gt;")=0,"",SUMIFS(全馬データ!$K$2:$K$50000,全馬データ!$A$2:$A$50000,A4876,全馬データ!$B$2:$B$50000,B4876,全馬データ!$C$2:$C$50000,C4876,全馬データ!$D$2:$D$50000,E4876)))</f>
        <v/>
      </c>
      <c r="AP4876" s="8" t="str">
        <f aca="false">IF(A4876="","",IF(AO4876="","欠損",IF(AO4876&lt;=1.1,"1.0～1.1",IF(AO4876&lt;1.3,"1.2",IF(AO4876&lt;1.5,"1.3～1.4",IF(AO4876&lt;2,"1.5～1.9","2.0以上"))))))</f>
        <v/>
      </c>
      <c r="AQ4876" s="8" t="str">
        <f aca="false">IF(A4876="","",IF(ISNUMBER(SEARCH("2歳",Z4876)),"2歳戦",IF(ISNUMBER(SEARCH("3歳未勝利",Z4876)),"3歳未勝利",IF(ISNUMBER(SEARCH("未勝利",Z4876)),"その他未勝利",IF(ISNUMBER(SEARCH("G1",Z4876)),"G1",IF(ISNUMBER(SEARCH("G2",Z4876)),"G2",IF(ISNUMBER(SEARCH("G3",Z4876)),"G3",IF(ISNUMBER(SEARCH("古馬条件",Z4876)),"古馬条件戦",IF(ISNUMBER(SEARCH("重賞",Z4876)),"重賞","分類不能")))))))))</f>
        <v/>
      </c>
    </row>
    <row r="4877" customFormat="false" ht="15.75" hidden="false" customHeight="false" outlineLevel="0" collapsed="false">
      <c r="AO4877" s="8" t="str">
        <f aca="false">IF(A4877="","",IF(COUNTIFS(全馬データ!$A$2:$A$50000,A4877,全馬データ!$B$2:$B$50000,B4877,全馬データ!$C$2:$C$50000,C4877,全馬データ!$D$2:$D$50000,E4877,全馬データ!$K$2:$K$50000,"&lt;&gt;")=0,"",SUMIFS(全馬データ!$K$2:$K$50000,全馬データ!$A$2:$A$50000,A4877,全馬データ!$B$2:$B$50000,B4877,全馬データ!$C$2:$C$50000,C4877,全馬データ!$D$2:$D$50000,E4877)))</f>
        <v/>
      </c>
      <c r="AP4877" s="8" t="str">
        <f aca="false">IF(A4877="","",IF(AO4877="","欠損",IF(AO4877&lt;=1.1,"1.0～1.1",IF(AO4877&lt;1.3,"1.2",IF(AO4877&lt;1.5,"1.3～1.4",IF(AO4877&lt;2,"1.5～1.9","2.0以上"))))))</f>
        <v/>
      </c>
      <c r="AQ4877" s="8" t="str">
        <f aca="false">IF(A4877="","",IF(ISNUMBER(SEARCH("2歳",Z4877)),"2歳戦",IF(ISNUMBER(SEARCH("3歳未勝利",Z4877)),"3歳未勝利",IF(ISNUMBER(SEARCH("未勝利",Z4877)),"その他未勝利",IF(ISNUMBER(SEARCH("G1",Z4877)),"G1",IF(ISNUMBER(SEARCH("G2",Z4877)),"G2",IF(ISNUMBER(SEARCH("G3",Z4877)),"G3",IF(ISNUMBER(SEARCH("古馬条件",Z4877)),"古馬条件戦",IF(ISNUMBER(SEARCH("重賞",Z4877)),"重賞","分類不能")))))))))</f>
        <v/>
      </c>
    </row>
    <row r="4878" customFormat="false" ht="15.75" hidden="false" customHeight="false" outlineLevel="0" collapsed="false">
      <c r="AO4878" s="8" t="str">
        <f aca="false">IF(A4878="","",IF(COUNTIFS(全馬データ!$A$2:$A$50000,A4878,全馬データ!$B$2:$B$50000,B4878,全馬データ!$C$2:$C$50000,C4878,全馬データ!$D$2:$D$50000,E4878,全馬データ!$K$2:$K$50000,"&lt;&gt;")=0,"",SUMIFS(全馬データ!$K$2:$K$50000,全馬データ!$A$2:$A$50000,A4878,全馬データ!$B$2:$B$50000,B4878,全馬データ!$C$2:$C$50000,C4878,全馬データ!$D$2:$D$50000,E4878)))</f>
        <v/>
      </c>
      <c r="AP4878" s="8" t="str">
        <f aca="false">IF(A4878="","",IF(AO4878="","欠損",IF(AO4878&lt;=1.1,"1.0～1.1",IF(AO4878&lt;1.3,"1.2",IF(AO4878&lt;1.5,"1.3～1.4",IF(AO4878&lt;2,"1.5～1.9","2.0以上"))))))</f>
        <v/>
      </c>
      <c r="AQ4878" s="8" t="str">
        <f aca="false">IF(A4878="","",IF(ISNUMBER(SEARCH("2歳",Z4878)),"2歳戦",IF(ISNUMBER(SEARCH("3歳未勝利",Z4878)),"3歳未勝利",IF(ISNUMBER(SEARCH("未勝利",Z4878)),"その他未勝利",IF(ISNUMBER(SEARCH("G1",Z4878)),"G1",IF(ISNUMBER(SEARCH("G2",Z4878)),"G2",IF(ISNUMBER(SEARCH("G3",Z4878)),"G3",IF(ISNUMBER(SEARCH("古馬条件",Z4878)),"古馬条件戦",IF(ISNUMBER(SEARCH("重賞",Z4878)),"重賞","分類不能")))))))))</f>
        <v/>
      </c>
    </row>
    <row r="4879" customFormat="false" ht="15.75" hidden="false" customHeight="false" outlineLevel="0" collapsed="false">
      <c r="AO4879" s="8" t="str">
        <f aca="false">IF(A4879="","",IF(COUNTIFS(全馬データ!$A$2:$A$50000,A4879,全馬データ!$B$2:$B$50000,B4879,全馬データ!$C$2:$C$50000,C4879,全馬データ!$D$2:$D$50000,E4879,全馬データ!$K$2:$K$50000,"&lt;&gt;")=0,"",SUMIFS(全馬データ!$K$2:$K$50000,全馬データ!$A$2:$A$50000,A4879,全馬データ!$B$2:$B$50000,B4879,全馬データ!$C$2:$C$50000,C4879,全馬データ!$D$2:$D$50000,E4879)))</f>
        <v/>
      </c>
      <c r="AP4879" s="8" t="str">
        <f aca="false">IF(A4879="","",IF(AO4879="","欠損",IF(AO4879&lt;=1.1,"1.0～1.1",IF(AO4879&lt;1.3,"1.2",IF(AO4879&lt;1.5,"1.3～1.4",IF(AO4879&lt;2,"1.5～1.9","2.0以上"))))))</f>
        <v/>
      </c>
      <c r="AQ4879" s="8" t="str">
        <f aca="false">IF(A4879="","",IF(ISNUMBER(SEARCH("2歳",Z4879)),"2歳戦",IF(ISNUMBER(SEARCH("3歳未勝利",Z4879)),"3歳未勝利",IF(ISNUMBER(SEARCH("未勝利",Z4879)),"その他未勝利",IF(ISNUMBER(SEARCH("G1",Z4879)),"G1",IF(ISNUMBER(SEARCH("G2",Z4879)),"G2",IF(ISNUMBER(SEARCH("G3",Z4879)),"G3",IF(ISNUMBER(SEARCH("古馬条件",Z4879)),"古馬条件戦",IF(ISNUMBER(SEARCH("重賞",Z4879)),"重賞","分類不能")))))))))</f>
        <v/>
      </c>
    </row>
    <row r="4880" customFormat="false" ht="15.75" hidden="false" customHeight="false" outlineLevel="0" collapsed="false">
      <c r="AO4880" s="8" t="str">
        <f aca="false">IF(A4880="","",IF(COUNTIFS(全馬データ!$A$2:$A$50000,A4880,全馬データ!$B$2:$B$50000,B4880,全馬データ!$C$2:$C$50000,C4880,全馬データ!$D$2:$D$50000,E4880,全馬データ!$K$2:$K$50000,"&lt;&gt;")=0,"",SUMIFS(全馬データ!$K$2:$K$50000,全馬データ!$A$2:$A$50000,A4880,全馬データ!$B$2:$B$50000,B4880,全馬データ!$C$2:$C$50000,C4880,全馬データ!$D$2:$D$50000,E4880)))</f>
        <v/>
      </c>
      <c r="AP4880" s="8" t="str">
        <f aca="false">IF(A4880="","",IF(AO4880="","欠損",IF(AO4880&lt;=1.1,"1.0～1.1",IF(AO4880&lt;1.3,"1.2",IF(AO4880&lt;1.5,"1.3～1.4",IF(AO4880&lt;2,"1.5～1.9","2.0以上"))))))</f>
        <v/>
      </c>
      <c r="AQ4880" s="8" t="str">
        <f aca="false">IF(A4880="","",IF(ISNUMBER(SEARCH("2歳",Z4880)),"2歳戦",IF(ISNUMBER(SEARCH("3歳未勝利",Z4880)),"3歳未勝利",IF(ISNUMBER(SEARCH("未勝利",Z4880)),"その他未勝利",IF(ISNUMBER(SEARCH("G1",Z4880)),"G1",IF(ISNUMBER(SEARCH("G2",Z4880)),"G2",IF(ISNUMBER(SEARCH("G3",Z4880)),"G3",IF(ISNUMBER(SEARCH("古馬条件",Z4880)),"古馬条件戦",IF(ISNUMBER(SEARCH("重賞",Z4880)),"重賞","分類不能")))))))))</f>
        <v/>
      </c>
    </row>
    <row r="4881" customFormat="false" ht="15.75" hidden="false" customHeight="false" outlineLevel="0" collapsed="false">
      <c r="AO4881" s="8" t="str">
        <f aca="false">IF(A4881="","",IF(COUNTIFS(全馬データ!$A$2:$A$50000,A4881,全馬データ!$B$2:$B$50000,B4881,全馬データ!$C$2:$C$50000,C4881,全馬データ!$D$2:$D$50000,E4881,全馬データ!$K$2:$K$50000,"&lt;&gt;")=0,"",SUMIFS(全馬データ!$K$2:$K$50000,全馬データ!$A$2:$A$50000,A4881,全馬データ!$B$2:$B$50000,B4881,全馬データ!$C$2:$C$50000,C4881,全馬データ!$D$2:$D$50000,E4881)))</f>
        <v/>
      </c>
      <c r="AP4881" s="8" t="str">
        <f aca="false">IF(A4881="","",IF(AO4881="","欠損",IF(AO4881&lt;=1.1,"1.0～1.1",IF(AO4881&lt;1.3,"1.2",IF(AO4881&lt;1.5,"1.3～1.4",IF(AO4881&lt;2,"1.5～1.9","2.0以上"))))))</f>
        <v/>
      </c>
      <c r="AQ4881" s="8" t="str">
        <f aca="false">IF(A4881="","",IF(ISNUMBER(SEARCH("2歳",Z4881)),"2歳戦",IF(ISNUMBER(SEARCH("3歳未勝利",Z4881)),"3歳未勝利",IF(ISNUMBER(SEARCH("未勝利",Z4881)),"その他未勝利",IF(ISNUMBER(SEARCH("G1",Z4881)),"G1",IF(ISNUMBER(SEARCH("G2",Z4881)),"G2",IF(ISNUMBER(SEARCH("G3",Z4881)),"G3",IF(ISNUMBER(SEARCH("古馬条件",Z4881)),"古馬条件戦",IF(ISNUMBER(SEARCH("重賞",Z4881)),"重賞","分類不能")))))))))</f>
        <v/>
      </c>
    </row>
    <row r="4882" customFormat="false" ht="15.75" hidden="false" customHeight="false" outlineLevel="0" collapsed="false">
      <c r="AO4882" s="8" t="str">
        <f aca="false">IF(A4882="","",IF(COUNTIFS(全馬データ!$A$2:$A$50000,A4882,全馬データ!$B$2:$B$50000,B4882,全馬データ!$C$2:$C$50000,C4882,全馬データ!$D$2:$D$50000,E4882,全馬データ!$K$2:$K$50000,"&lt;&gt;")=0,"",SUMIFS(全馬データ!$K$2:$K$50000,全馬データ!$A$2:$A$50000,A4882,全馬データ!$B$2:$B$50000,B4882,全馬データ!$C$2:$C$50000,C4882,全馬データ!$D$2:$D$50000,E4882)))</f>
        <v/>
      </c>
      <c r="AP4882" s="8" t="str">
        <f aca="false">IF(A4882="","",IF(AO4882="","欠損",IF(AO4882&lt;=1.1,"1.0～1.1",IF(AO4882&lt;1.3,"1.2",IF(AO4882&lt;1.5,"1.3～1.4",IF(AO4882&lt;2,"1.5～1.9","2.0以上"))))))</f>
        <v/>
      </c>
      <c r="AQ4882" s="8" t="str">
        <f aca="false">IF(A4882="","",IF(ISNUMBER(SEARCH("2歳",Z4882)),"2歳戦",IF(ISNUMBER(SEARCH("3歳未勝利",Z4882)),"3歳未勝利",IF(ISNUMBER(SEARCH("未勝利",Z4882)),"その他未勝利",IF(ISNUMBER(SEARCH("G1",Z4882)),"G1",IF(ISNUMBER(SEARCH("G2",Z4882)),"G2",IF(ISNUMBER(SEARCH("G3",Z4882)),"G3",IF(ISNUMBER(SEARCH("古馬条件",Z4882)),"古馬条件戦",IF(ISNUMBER(SEARCH("重賞",Z4882)),"重賞","分類不能")))))))))</f>
        <v/>
      </c>
    </row>
    <row r="4883" customFormat="false" ht="15.75" hidden="false" customHeight="false" outlineLevel="0" collapsed="false">
      <c r="AO4883" s="8" t="str">
        <f aca="false">IF(A4883="","",IF(COUNTIFS(全馬データ!$A$2:$A$50000,A4883,全馬データ!$B$2:$B$50000,B4883,全馬データ!$C$2:$C$50000,C4883,全馬データ!$D$2:$D$50000,E4883,全馬データ!$K$2:$K$50000,"&lt;&gt;")=0,"",SUMIFS(全馬データ!$K$2:$K$50000,全馬データ!$A$2:$A$50000,A4883,全馬データ!$B$2:$B$50000,B4883,全馬データ!$C$2:$C$50000,C4883,全馬データ!$D$2:$D$50000,E4883)))</f>
        <v/>
      </c>
      <c r="AP4883" s="8" t="str">
        <f aca="false">IF(A4883="","",IF(AO4883="","欠損",IF(AO4883&lt;=1.1,"1.0～1.1",IF(AO4883&lt;1.3,"1.2",IF(AO4883&lt;1.5,"1.3～1.4",IF(AO4883&lt;2,"1.5～1.9","2.0以上"))))))</f>
        <v/>
      </c>
      <c r="AQ4883" s="8" t="str">
        <f aca="false">IF(A4883="","",IF(ISNUMBER(SEARCH("2歳",Z4883)),"2歳戦",IF(ISNUMBER(SEARCH("3歳未勝利",Z4883)),"3歳未勝利",IF(ISNUMBER(SEARCH("未勝利",Z4883)),"その他未勝利",IF(ISNUMBER(SEARCH("G1",Z4883)),"G1",IF(ISNUMBER(SEARCH("G2",Z4883)),"G2",IF(ISNUMBER(SEARCH("G3",Z4883)),"G3",IF(ISNUMBER(SEARCH("古馬条件",Z4883)),"古馬条件戦",IF(ISNUMBER(SEARCH("重賞",Z4883)),"重賞","分類不能")))))))))</f>
        <v/>
      </c>
    </row>
    <row r="4884" customFormat="false" ht="15.75" hidden="false" customHeight="false" outlineLevel="0" collapsed="false">
      <c r="AO4884" s="8" t="str">
        <f aca="false">IF(A4884="","",IF(COUNTIFS(全馬データ!$A$2:$A$50000,A4884,全馬データ!$B$2:$B$50000,B4884,全馬データ!$C$2:$C$50000,C4884,全馬データ!$D$2:$D$50000,E4884,全馬データ!$K$2:$K$50000,"&lt;&gt;")=0,"",SUMIFS(全馬データ!$K$2:$K$50000,全馬データ!$A$2:$A$50000,A4884,全馬データ!$B$2:$B$50000,B4884,全馬データ!$C$2:$C$50000,C4884,全馬データ!$D$2:$D$50000,E4884)))</f>
        <v/>
      </c>
      <c r="AP4884" s="8" t="str">
        <f aca="false">IF(A4884="","",IF(AO4884="","欠損",IF(AO4884&lt;=1.1,"1.0～1.1",IF(AO4884&lt;1.3,"1.2",IF(AO4884&lt;1.5,"1.3～1.4",IF(AO4884&lt;2,"1.5～1.9","2.0以上"))))))</f>
        <v/>
      </c>
      <c r="AQ4884" s="8" t="str">
        <f aca="false">IF(A4884="","",IF(ISNUMBER(SEARCH("2歳",Z4884)),"2歳戦",IF(ISNUMBER(SEARCH("3歳未勝利",Z4884)),"3歳未勝利",IF(ISNUMBER(SEARCH("未勝利",Z4884)),"その他未勝利",IF(ISNUMBER(SEARCH("G1",Z4884)),"G1",IF(ISNUMBER(SEARCH("G2",Z4884)),"G2",IF(ISNUMBER(SEARCH("G3",Z4884)),"G3",IF(ISNUMBER(SEARCH("古馬条件",Z4884)),"古馬条件戦",IF(ISNUMBER(SEARCH("重賞",Z4884)),"重賞","分類不能")))))))))</f>
        <v/>
      </c>
    </row>
    <row r="4885" customFormat="false" ht="15.75" hidden="false" customHeight="false" outlineLevel="0" collapsed="false">
      <c r="AO4885" s="8" t="str">
        <f aca="false">IF(A4885="","",IF(COUNTIFS(全馬データ!$A$2:$A$50000,A4885,全馬データ!$B$2:$B$50000,B4885,全馬データ!$C$2:$C$50000,C4885,全馬データ!$D$2:$D$50000,E4885,全馬データ!$K$2:$K$50000,"&lt;&gt;")=0,"",SUMIFS(全馬データ!$K$2:$K$50000,全馬データ!$A$2:$A$50000,A4885,全馬データ!$B$2:$B$50000,B4885,全馬データ!$C$2:$C$50000,C4885,全馬データ!$D$2:$D$50000,E4885)))</f>
        <v/>
      </c>
      <c r="AP4885" s="8" t="str">
        <f aca="false">IF(A4885="","",IF(AO4885="","欠損",IF(AO4885&lt;=1.1,"1.0～1.1",IF(AO4885&lt;1.3,"1.2",IF(AO4885&lt;1.5,"1.3～1.4",IF(AO4885&lt;2,"1.5～1.9","2.0以上"))))))</f>
        <v/>
      </c>
      <c r="AQ4885" s="8" t="str">
        <f aca="false">IF(A4885="","",IF(ISNUMBER(SEARCH("2歳",Z4885)),"2歳戦",IF(ISNUMBER(SEARCH("3歳未勝利",Z4885)),"3歳未勝利",IF(ISNUMBER(SEARCH("未勝利",Z4885)),"その他未勝利",IF(ISNUMBER(SEARCH("G1",Z4885)),"G1",IF(ISNUMBER(SEARCH("G2",Z4885)),"G2",IF(ISNUMBER(SEARCH("G3",Z4885)),"G3",IF(ISNUMBER(SEARCH("古馬条件",Z4885)),"古馬条件戦",IF(ISNUMBER(SEARCH("重賞",Z4885)),"重賞","分類不能")))))))))</f>
        <v/>
      </c>
    </row>
    <row r="4886" customFormat="false" ht="15.75" hidden="false" customHeight="false" outlineLevel="0" collapsed="false">
      <c r="AO4886" s="8" t="str">
        <f aca="false">IF(A4886="","",IF(COUNTIFS(全馬データ!$A$2:$A$50000,A4886,全馬データ!$B$2:$B$50000,B4886,全馬データ!$C$2:$C$50000,C4886,全馬データ!$D$2:$D$50000,E4886,全馬データ!$K$2:$K$50000,"&lt;&gt;")=0,"",SUMIFS(全馬データ!$K$2:$K$50000,全馬データ!$A$2:$A$50000,A4886,全馬データ!$B$2:$B$50000,B4886,全馬データ!$C$2:$C$50000,C4886,全馬データ!$D$2:$D$50000,E4886)))</f>
        <v/>
      </c>
      <c r="AP4886" s="8" t="str">
        <f aca="false">IF(A4886="","",IF(AO4886="","欠損",IF(AO4886&lt;=1.1,"1.0～1.1",IF(AO4886&lt;1.3,"1.2",IF(AO4886&lt;1.5,"1.3～1.4",IF(AO4886&lt;2,"1.5～1.9","2.0以上"))))))</f>
        <v/>
      </c>
      <c r="AQ4886" s="8" t="str">
        <f aca="false">IF(A4886="","",IF(ISNUMBER(SEARCH("2歳",Z4886)),"2歳戦",IF(ISNUMBER(SEARCH("3歳未勝利",Z4886)),"3歳未勝利",IF(ISNUMBER(SEARCH("未勝利",Z4886)),"その他未勝利",IF(ISNUMBER(SEARCH("G1",Z4886)),"G1",IF(ISNUMBER(SEARCH("G2",Z4886)),"G2",IF(ISNUMBER(SEARCH("G3",Z4886)),"G3",IF(ISNUMBER(SEARCH("古馬条件",Z4886)),"古馬条件戦",IF(ISNUMBER(SEARCH("重賞",Z4886)),"重賞","分類不能")))))))))</f>
        <v/>
      </c>
    </row>
    <row r="4887" customFormat="false" ht="15.75" hidden="false" customHeight="false" outlineLevel="0" collapsed="false">
      <c r="AO4887" s="8" t="str">
        <f aca="false">IF(A4887="","",IF(COUNTIFS(全馬データ!$A$2:$A$50000,A4887,全馬データ!$B$2:$B$50000,B4887,全馬データ!$C$2:$C$50000,C4887,全馬データ!$D$2:$D$50000,E4887,全馬データ!$K$2:$K$50000,"&lt;&gt;")=0,"",SUMIFS(全馬データ!$K$2:$K$50000,全馬データ!$A$2:$A$50000,A4887,全馬データ!$B$2:$B$50000,B4887,全馬データ!$C$2:$C$50000,C4887,全馬データ!$D$2:$D$50000,E4887)))</f>
        <v/>
      </c>
      <c r="AP4887" s="8" t="str">
        <f aca="false">IF(A4887="","",IF(AO4887="","欠損",IF(AO4887&lt;=1.1,"1.0～1.1",IF(AO4887&lt;1.3,"1.2",IF(AO4887&lt;1.5,"1.3～1.4",IF(AO4887&lt;2,"1.5～1.9","2.0以上"))))))</f>
        <v/>
      </c>
      <c r="AQ4887" s="8" t="str">
        <f aca="false">IF(A4887="","",IF(ISNUMBER(SEARCH("2歳",Z4887)),"2歳戦",IF(ISNUMBER(SEARCH("3歳未勝利",Z4887)),"3歳未勝利",IF(ISNUMBER(SEARCH("未勝利",Z4887)),"その他未勝利",IF(ISNUMBER(SEARCH("G1",Z4887)),"G1",IF(ISNUMBER(SEARCH("G2",Z4887)),"G2",IF(ISNUMBER(SEARCH("G3",Z4887)),"G3",IF(ISNUMBER(SEARCH("古馬条件",Z4887)),"古馬条件戦",IF(ISNUMBER(SEARCH("重賞",Z4887)),"重賞","分類不能")))))))))</f>
        <v/>
      </c>
    </row>
    <row r="4888" customFormat="false" ht="15.75" hidden="false" customHeight="false" outlineLevel="0" collapsed="false">
      <c r="AO4888" s="8" t="str">
        <f aca="false">IF(A4888="","",IF(COUNTIFS(全馬データ!$A$2:$A$50000,A4888,全馬データ!$B$2:$B$50000,B4888,全馬データ!$C$2:$C$50000,C4888,全馬データ!$D$2:$D$50000,E4888,全馬データ!$K$2:$K$50000,"&lt;&gt;")=0,"",SUMIFS(全馬データ!$K$2:$K$50000,全馬データ!$A$2:$A$50000,A4888,全馬データ!$B$2:$B$50000,B4888,全馬データ!$C$2:$C$50000,C4888,全馬データ!$D$2:$D$50000,E4888)))</f>
        <v/>
      </c>
      <c r="AP4888" s="8" t="str">
        <f aca="false">IF(A4888="","",IF(AO4888="","欠損",IF(AO4888&lt;=1.1,"1.0～1.1",IF(AO4888&lt;1.3,"1.2",IF(AO4888&lt;1.5,"1.3～1.4",IF(AO4888&lt;2,"1.5～1.9","2.0以上"))))))</f>
        <v/>
      </c>
      <c r="AQ4888" s="8" t="str">
        <f aca="false">IF(A4888="","",IF(ISNUMBER(SEARCH("2歳",Z4888)),"2歳戦",IF(ISNUMBER(SEARCH("3歳未勝利",Z4888)),"3歳未勝利",IF(ISNUMBER(SEARCH("未勝利",Z4888)),"その他未勝利",IF(ISNUMBER(SEARCH("G1",Z4888)),"G1",IF(ISNUMBER(SEARCH("G2",Z4888)),"G2",IF(ISNUMBER(SEARCH("G3",Z4888)),"G3",IF(ISNUMBER(SEARCH("古馬条件",Z4888)),"古馬条件戦",IF(ISNUMBER(SEARCH("重賞",Z4888)),"重賞","分類不能")))))))))</f>
        <v/>
      </c>
    </row>
    <row r="4889" customFormat="false" ht="15.75" hidden="false" customHeight="false" outlineLevel="0" collapsed="false">
      <c r="AO4889" s="8" t="str">
        <f aca="false">IF(A4889="","",IF(COUNTIFS(全馬データ!$A$2:$A$50000,A4889,全馬データ!$B$2:$B$50000,B4889,全馬データ!$C$2:$C$50000,C4889,全馬データ!$D$2:$D$50000,E4889,全馬データ!$K$2:$K$50000,"&lt;&gt;")=0,"",SUMIFS(全馬データ!$K$2:$K$50000,全馬データ!$A$2:$A$50000,A4889,全馬データ!$B$2:$B$50000,B4889,全馬データ!$C$2:$C$50000,C4889,全馬データ!$D$2:$D$50000,E4889)))</f>
        <v/>
      </c>
      <c r="AP4889" s="8" t="str">
        <f aca="false">IF(A4889="","",IF(AO4889="","欠損",IF(AO4889&lt;=1.1,"1.0～1.1",IF(AO4889&lt;1.3,"1.2",IF(AO4889&lt;1.5,"1.3～1.4",IF(AO4889&lt;2,"1.5～1.9","2.0以上"))))))</f>
        <v/>
      </c>
      <c r="AQ4889" s="8" t="str">
        <f aca="false">IF(A4889="","",IF(ISNUMBER(SEARCH("2歳",Z4889)),"2歳戦",IF(ISNUMBER(SEARCH("3歳未勝利",Z4889)),"3歳未勝利",IF(ISNUMBER(SEARCH("未勝利",Z4889)),"その他未勝利",IF(ISNUMBER(SEARCH("G1",Z4889)),"G1",IF(ISNUMBER(SEARCH("G2",Z4889)),"G2",IF(ISNUMBER(SEARCH("G3",Z4889)),"G3",IF(ISNUMBER(SEARCH("古馬条件",Z4889)),"古馬条件戦",IF(ISNUMBER(SEARCH("重賞",Z4889)),"重賞","分類不能")))))))))</f>
        <v/>
      </c>
    </row>
    <row r="4890" customFormat="false" ht="15.75" hidden="false" customHeight="false" outlineLevel="0" collapsed="false">
      <c r="AO4890" s="8" t="str">
        <f aca="false">IF(A4890="","",IF(COUNTIFS(全馬データ!$A$2:$A$50000,A4890,全馬データ!$B$2:$B$50000,B4890,全馬データ!$C$2:$C$50000,C4890,全馬データ!$D$2:$D$50000,E4890,全馬データ!$K$2:$K$50000,"&lt;&gt;")=0,"",SUMIFS(全馬データ!$K$2:$K$50000,全馬データ!$A$2:$A$50000,A4890,全馬データ!$B$2:$B$50000,B4890,全馬データ!$C$2:$C$50000,C4890,全馬データ!$D$2:$D$50000,E4890)))</f>
        <v/>
      </c>
      <c r="AP4890" s="8" t="str">
        <f aca="false">IF(A4890="","",IF(AO4890="","欠損",IF(AO4890&lt;=1.1,"1.0～1.1",IF(AO4890&lt;1.3,"1.2",IF(AO4890&lt;1.5,"1.3～1.4",IF(AO4890&lt;2,"1.5～1.9","2.0以上"))))))</f>
        <v/>
      </c>
      <c r="AQ4890" s="8" t="str">
        <f aca="false">IF(A4890="","",IF(ISNUMBER(SEARCH("2歳",Z4890)),"2歳戦",IF(ISNUMBER(SEARCH("3歳未勝利",Z4890)),"3歳未勝利",IF(ISNUMBER(SEARCH("未勝利",Z4890)),"その他未勝利",IF(ISNUMBER(SEARCH("G1",Z4890)),"G1",IF(ISNUMBER(SEARCH("G2",Z4890)),"G2",IF(ISNUMBER(SEARCH("G3",Z4890)),"G3",IF(ISNUMBER(SEARCH("古馬条件",Z4890)),"古馬条件戦",IF(ISNUMBER(SEARCH("重賞",Z4890)),"重賞","分類不能")))))))))</f>
        <v/>
      </c>
    </row>
    <row r="4891" customFormat="false" ht="15.75" hidden="false" customHeight="false" outlineLevel="0" collapsed="false">
      <c r="AO4891" s="8" t="str">
        <f aca="false">IF(A4891="","",IF(COUNTIFS(全馬データ!$A$2:$A$50000,A4891,全馬データ!$B$2:$B$50000,B4891,全馬データ!$C$2:$C$50000,C4891,全馬データ!$D$2:$D$50000,E4891,全馬データ!$K$2:$K$50000,"&lt;&gt;")=0,"",SUMIFS(全馬データ!$K$2:$K$50000,全馬データ!$A$2:$A$50000,A4891,全馬データ!$B$2:$B$50000,B4891,全馬データ!$C$2:$C$50000,C4891,全馬データ!$D$2:$D$50000,E4891)))</f>
        <v/>
      </c>
      <c r="AP4891" s="8" t="str">
        <f aca="false">IF(A4891="","",IF(AO4891="","欠損",IF(AO4891&lt;=1.1,"1.0～1.1",IF(AO4891&lt;1.3,"1.2",IF(AO4891&lt;1.5,"1.3～1.4",IF(AO4891&lt;2,"1.5～1.9","2.0以上"))))))</f>
        <v/>
      </c>
      <c r="AQ4891" s="8" t="str">
        <f aca="false">IF(A4891="","",IF(ISNUMBER(SEARCH("2歳",Z4891)),"2歳戦",IF(ISNUMBER(SEARCH("3歳未勝利",Z4891)),"3歳未勝利",IF(ISNUMBER(SEARCH("未勝利",Z4891)),"その他未勝利",IF(ISNUMBER(SEARCH("G1",Z4891)),"G1",IF(ISNUMBER(SEARCH("G2",Z4891)),"G2",IF(ISNUMBER(SEARCH("G3",Z4891)),"G3",IF(ISNUMBER(SEARCH("古馬条件",Z4891)),"古馬条件戦",IF(ISNUMBER(SEARCH("重賞",Z4891)),"重賞","分類不能")))))))))</f>
        <v/>
      </c>
    </row>
    <row r="4892" customFormat="false" ht="15.75" hidden="false" customHeight="false" outlineLevel="0" collapsed="false">
      <c r="AO4892" s="8" t="str">
        <f aca="false">IF(A4892="","",IF(COUNTIFS(全馬データ!$A$2:$A$50000,A4892,全馬データ!$B$2:$B$50000,B4892,全馬データ!$C$2:$C$50000,C4892,全馬データ!$D$2:$D$50000,E4892,全馬データ!$K$2:$K$50000,"&lt;&gt;")=0,"",SUMIFS(全馬データ!$K$2:$K$50000,全馬データ!$A$2:$A$50000,A4892,全馬データ!$B$2:$B$50000,B4892,全馬データ!$C$2:$C$50000,C4892,全馬データ!$D$2:$D$50000,E4892)))</f>
        <v/>
      </c>
      <c r="AP4892" s="8" t="str">
        <f aca="false">IF(A4892="","",IF(AO4892="","欠損",IF(AO4892&lt;=1.1,"1.0～1.1",IF(AO4892&lt;1.3,"1.2",IF(AO4892&lt;1.5,"1.3～1.4",IF(AO4892&lt;2,"1.5～1.9","2.0以上"))))))</f>
        <v/>
      </c>
      <c r="AQ4892" s="8" t="str">
        <f aca="false">IF(A4892="","",IF(ISNUMBER(SEARCH("2歳",Z4892)),"2歳戦",IF(ISNUMBER(SEARCH("3歳未勝利",Z4892)),"3歳未勝利",IF(ISNUMBER(SEARCH("未勝利",Z4892)),"その他未勝利",IF(ISNUMBER(SEARCH("G1",Z4892)),"G1",IF(ISNUMBER(SEARCH("G2",Z4892)),"G2",IF(ISNUMBER(SEARCH("G3",Z4892)),"G3",IF(ISNUMBER(SEARCH("古馬条件",Z4892)),"古馬条件戦",IF(ISNUMBER(SEARCH("重賞",Z4892)),"重賞","分類不能")))))))))</f>
        <v/>
      </c>
    </row>
    <row r="4893" customFormat="false" ht="15.75" hidden="false" customHeight="false" outlineLevel="0" collapsed="false">
      <c r="AO4893" s="8" t="str">
        <f aca="false">IF(A4893="","",IF(COUNTIFS(全馬データ!$A$2:$A$50000,A4893,全馬データ!$B$2:$B$50000,B4893,全馬データ!$C$2:$C$50000,C4893,全馬データ!$D$2:$D$50000,E4893,全馬データ!$K$2:$K$50000,"&lt;&gt;")=0,"",SUMIFS(全馬データ!$K$2:$K$50000,全馬データ!$A$2:$A$50000,A4893,全馬データ!$B$2:$B$50000,B4893,全馬データ!$C$2:$C$50000,C4893,全馬データ!$D$2:$D$50000,E4893)))</f>
        <v/>
      </c>
      <c r="AP4893" s="8" t="str">
        <f aca="false">IF(A4893="","",IF(AO4893="","欠損",IF(AO4893&lt;=1.1,"1.0～1.1",IF(AO4893&lt;1.3,"1.2",IF(AO4893&lt;1.5,"1.3～1.4",IF(AO4893&lt;2,"1.5～1.9","2.0以上"))))))</f>
        <v/>
      </c>
      <c r="AQ4893" s="8" t="str">
        <f aca="false">IF(A4893="","",IF(ISNUMBER(SEARCH("2歳",Z4893)),"2歳戦",IF(ISNUMBER(SEARCH("3歳未勝利",Z4893)),"3歳未勝利",IF(ISNUMBER(SEARCH("未勝利",Z4893)),"その他未勝利",IF(ISNUMBER(SEARCH("G1",Z4893)),"G1",IF(ISNUMBER(SEARCH("G2",Z4893)),"G2",IF(ISNUMBER(SEARCH("G3",Z4893)),"G3",IF(ISNUMBER(SEARCH("古馬条件",Z4893)),"古馬条件戦",IF(ISNUMBER(SEARCH("重賞",Z4893)),"重賞","分類不能")))))))))</f>
        <v/>
      </c>
    </row>
    <row r="4894" customFormat="false" ht="15.75" hidden="false" customHeight="false" outlineLevel="0" collapsed="false">
      <c r="AO4894" s="8" t="str">
        <f aca="false">IF(A4894="","",IF(COUNTIFS(全馬データ!$A$2:$A$50000,A4894,全馬データ!$B$2:$B$50000,B4894,全馬データ!$C$2:$C$50000,C4894,全馬データ!$D$2:$D$50000,E4894,全馬データ!$K$2:$K$50000,"&lt;&gt;")=0,"",SUMIFS(全馬データ!$K$2:$K$50000,全馬データ!$A$2:$A$50000,A4894,全馬データ!$B$2:$B$50000,B4894,全馬データ!$C$2:$C$50000,C4894,全馬データ!$D$2:$D$50000,E4894)))</f>
        <v/>
      </c>
      <c r="AP4894" s="8" t="str">
        <f aca="false">IF(A4894="","",IF(AO4894="","欠損",IF(AO4894&lt;=1.1,"1.0～1.1",IF(AO4894&lt;1.3,"1.2",IF(AO4894&lt;1.5,"1.3～1.4",IF(AO4894&lt;2,"1.5～1.9","2.0以上"))))))</f>
        <v/>
      </c>
      <c r="AQ4894" s="8" t="str">
        <f aca="false">IF(A4894="","",IF(ISNUMBER(SEARCH("2歳",Z4894)),"2歳戦",IF(ISNUMBER(SEARCH("3歳未勝利",Z4894)),"3歳未勝利",IF(ISNUMBER(SEARCH("未勝利",Z4894)),"その他未勝利",IF(ISNUMBER(SEARCH("G1",Z4894)),"G1",IF(ISNUMBER(SEARCH("G2",Z4894)),"G2",IF(ISNUMBER(SEARCH("G3",Z4894)),"G3",IF(ISNUMBER(SEARCH("古馬条件",Z4894)),"古馬条件戦",IF(ISNUMBER(SEARCH("重賞",Z4894)),"重賞","分類不能")))))))))</f>
        <v/>
      </c>
    </row>
    <row r="4895" customFormat="false" ht="15.75" hidden="false" customHeight="false" outlineLevel="0" collapsed="false">
      <c r="AO4895" s="8" t="str">
        <f aca="false">IF(A4895="","",IF(COUNTIFS(全馬データ!$A$2:$A$50000,A4895,全馬データ!$B$2:$B$50000,B4895,全馬データ!$C$2:$C$50000,C4895,全馬データ!$D$2:$D$50000,E4895,全馬データ!$K$2:$K$50000,"&lt;&gt;")=0,"",SUMIFS(全馬データ!$K$2:$K$50000,全馬データ!$A$2:$A$50000,A4895,全馬データ!$B$2:$B$50000,B4895,全馬データ!$C$2:$C$50000,C4895,全馬データ!$D$2:$D$50000,E4895)))</f>
        <v/>
      </c>
      <c r="AP4895" s="8" t="str">
        <f aca="false">IF(A4895="","",IF(AO4895="","欠損",IF(AO4895&lt;=1.1,"1.0～1.1",IF(AO4895&lt;1.3,"1.2",IF(AO4895&lt;1.5,"1.3～1.4",IF(AO4895&lt;2,"1.5～1.9","2.0以上"))))))</f>
        <v/>
      </c>
      <c r="AQ4895" s="8" t="str">
        <f aca="false">IF(A4895="","",IF(ISNUMBER(SEARCH("2歳",Z4895)),"2歳戦",IF(ISNUMBER(SEARCH("3歳未勝利",Z4895)),"3歳未勝利",IF(ISNUMBER(SEARCH("未勝利",Z4895)),"その他未勝利",IF(ISNUMBER(SEARCH("G1",Z4895)),"G1",IF(ISNUMBER(SEARCH("G2",Z4895)),"G2",IF(ISNUMBER(SEARCH("G3",Z4895)),"G3",IF(ISNUMBER(SEARCH("古馬条件",Z4895)),"古馬条件戦",IF(ISNUMBER(SEARCH("重賞",Z4895)),"重賞","分類不能")))))))))</f>
        <v/>
      </c>
    </row>
    <row r="4896" customFormat="false" ht="15.75" hidden="false" customHeight="false" outlineLevel="0" collapsed="false">
      <c r="AO4896" s="8" t="str">
        <f aca="false">IF(A4896="","",IF(COUNTIFS(全馬データ!$A$2:$A$50000,A4896,全馬データ!$B$2:$B$50000,B4896,全馬データ!$C$2:$C$50000,C4896,全馬データ!$D$2:$D$50000,E4896,全馬データ!$K$2:$K$50000,"&lt;&gt;")=0,"",SUMIFS(全馬データ!$K$2:$K$50000,全馬データ!$A$2:$A$50000,A4896,全馬データ!$B$2:$B$50000,B4896,全馬データ!$C$2:$C$50000,C4896,全馬データ!$D$2:$D$50000,E4896)))</f>
        <v/>
      </c>
      <c r="AP4896" s="8" t="str">
        <f aca="false">IF(A4896="","",IF(AO4896="","欠損",IF(AO4896&lt;=1.1,"1.0～1.1",IF(AO4896&lt;1.3,"1.2",IF(AO4896&lt;1.5,"1.3～1.4",IF(AO4896&lt;2,"1.5～1.9","2.0以上"))))))</f>
        <v/>
      </c>
      <c r="AQ4896" s="8" t="str">
        <f aca="false">IF(A4896="","",IF(ISNUMBER(SEARCH("2歳",Z4896)),"2歳戦",IF(ISNUMBER(SEARCH("3歳未勝利",Z4896)),"3歳未勝利",IF(ISNUMBER(SEARCH("未勝利",Z4896)),"その他未勝利",IF(ISNUMBER(SEARCH("G1",Z4896)),"G1",IF(ISNUMBER(SEARCH("G2",Z4896)),"G2",IF(ISNUMBER(SEARCH("G3",Z4896)),"G3",IF(ISNUMBER(SEARCH("古馬条件",Z4896)),"古馬条件戦",IF(ISNUMBER(SEARCH("重賞",Z4896)),"重賞","分類不能")))))))))</f>
        <v/>
      </c>
    </row>
    <row r="4897" customFormat="false" ht="15.75" hidden="false" customHeight="false" outlineLevel="0" collapsed="false">
      <c r="AO4897" s="8" t="str">
        <f aca="false">IF(A4897="","",IF(COUNTIFS(全馬データ!$A$2:$A$50000,A4897,全馬データ!$B$2:$B$50000,B4897,全馬データ!$C$2:$C$50000,C4897,全馬データ!$D$2:$D$50000,E4897,全馬データ!$K$2:$K$50000,"&lt;&gt;")=0,"",SUMIFS(全馬データ!$K$2:$K$50000,全馬データ!$A$2:$A$50000,A4897,全馬データ!$B$2:$B$50000,B4897,全馬データ!$C$2:$C$50000,C4897,全馬データ!$D$2:$D$50000,E4897)))</f>
        <v/>
      </c>
      <c r="AP4897" s="8" t="str">
        <f aca="false">IF(A4897="","",IF(AO4897="","欠損",IF(AO4897&lt;=1.1,"1.0～1.1",IF(AO4897&lt;1.3,"1.2",IF(AO4897&lt;1.5,"1.3～1.4",IF(AO4897&lt;2,"1.5～1.9","2.0以上"))))))</f>
        <v/>
      </c>
      <c r="AQ4897" s="8" t="str">
        <f aca="false">IF(A4897="","",IF(ISNUMBER(SEARCH("2歳",Z4897)),"2歳戦",IF(ISNUMBER(SEARCH("3歳未勝利",Z4897)),"3歳未勝利",IF(ISNUMBER(SEARCH("未勝利",Z4897)),"その他未勝利",IF(ISNUMBER(SEARCH("G1",Z4897)),"G1",IF(ISNUMBER(SEARCH("G2",Z4897)),"G2",IF(ISNUMBER(SEARCH("G3",Z4897)),"G3",IF(ISNUMBER(SEARCH("古馬条件",Z4897)),"古馬条件戦",IF(ISNUMBER(SEARCH("重賞",Z4897)),"重賞","分類不能")))))))))</f>
        <v/>
      </c>
    </row>
    <row r="4898" customFormat="false" ht="15.75" hidden="false" customHeight="false" outlineLevel="0" collapsed="false">
      <c r="AO4898" s="8" t="str">
        <f aca="false">IF(A4898="","",IF(COUNTIFS(全馬データ!$A$2:$A$50000,A4898,全馬データ!$B$2:$B$50000,B4898,全馬データ!$C$2:$C$50000,C4898,全馬データ!$D$2:$D$50000,E4898,全馬データ!$K$2:$K$50000,"&lt;&gt;")=0,"",SUMIFS(全馬データ!$K$2:$K$50000,全馬データ!$A$2:$A$50000,A4898,全馬データ!$B$2:$B$50000,B4898,全馬データ!$C$2:$C$50000,C4898,全馬データ!$D$2:$D$50000,E4898)))</f>
        <v/>
      </c>
      <c r="AP4898" s="8" t="str">
        <f aca="false">IF(A4898="","",IF(AO4898="","欠損",IF(AO4898&lt;=1.1,"1.0～1.1",IF(AO4898&lt;1.3,"1.2",IF(AO4898&lt;1.5,"1.3～1.4",IF(AO4898&lt;2,"1.5～1.9","2.0以上"))))))</f>
        <v/>
      </c>
      <c r="AQ4898" s="8" t="str">
        <f aca="false">IF(A4898="","",IF(ISNUMBER(SEARCH("2歳",Z4898)),"2歳戦",IF(ISNUMBER(SEARCH("3歳未勝利",Z4898)),"3歳未勝利",IF(ISNUMBER(SEARCH("未勝利",Z4898)),"その他未勝利",IF(ISNUMBER(SEARCH("G1",Z4898)),"G1",IF(ISNUMBER(SEARCH("G2",Z4898)),"G2",IF(ISNUMBER(SEARCH("G3",Z4898)),"G3",IF(ISNUMBER(SEARCH("古馬条件",Z4898)),"古馬条件戦",IF(ISNUMBER(SEARCH("重賞",Z4898)),"重賞","分類不能")))))))))</f>
        <v/>
      </c>
    </row>
    <row r="4899" customFormat="false" ht="15.75" hidden="false" customHeight="false" outlineLevel="0" collapsed="false">
      <c r="AO4899" s="8" t="str">
        <f aca="false">IF(A4899="","",IF(COUNTIFS(全馬データ!$A$2:$A$50000,A4899,全馬データ!$B$2:$B$50000,B4899,全馬データ!$C$2:$C$50000,C4899,全馬データ!$D$2:$D$50000,E4899,全馬データ!$K$2:$K$50000,"&lt;&gt;")=0,"",SUMIFS(全馬データ!$K$2:$K$50000,全馬データ!$A$2:$A$50000,A4899,全馬データ!$B$2:$B$50000,B4899,全馬データ!$C$2:$C$50000,C4899,全馬データ!$D$2:$D$50000,E4899)))</f>
        <v/>
      </c>
      <c r="AP4899" s="8" t="str">
        <f aca="false">IF(A4899="","",IF(AO4899="","欠損",IF(AO4899&lt;=1.1,"1.0～1.1",IF(AO4899&lt;1.3,"1.2",IF(AO4899&lt;1.5,"1.3～1.4",IF(AO4899&lt;2,"1.5～1.9","2.0以上"))))))</f>
        <v/>
      </c>
      <c r="AQ4899" s="8" t="str">
        <f aca="false">IF(A4899="","",IF(ISNUMBER(SEARCH("2歳",Z4899)),"2歳戦",IF(ISNUMBER(SEARCH("3歳未勝利",Z4899)),"3歳未勝利",IF(ISNUMBER(SEARCH("未勝利",Z4899)),"その他未勝利",IF(ISNUMBER(SEARCH("G1",Z4899)),"G1",IF(ISNUMBER(SEARCH("G2",Z4899)),"G2",IF(ISNUMBER(SEARCH("G3",Z4899)),"G3",IF(ISNUMBER(SEARCH("古馬条件",Z4899)),"古馬条件戦",IF(ISNUMBER(SEARCH("重賞",Z4899)),"重賞","分類不能")))))))))</f>
        <v/>
      </c>
    </row>
    <row r="4900" customFormat="false" ht="15.75" hidden="false" customHeight="false" outlineLevel="0" collapsed="false">
      <c r="AO4900" s="8" t="str">
        <f aca="false">IF(A4900="","",IF(COUNTIFS(全馬データ!$A$2:$A$50000,A4900,全馬データ!$B$2:$B$50000,B4900,全馬データ!$C$2:$C$50000,C4900,全馬データ!$D$2:$D$50000,E4900,全馬データ!$K$2:$K$50000,"&lt;&gt;")=0,"",SUMIFS(全馬データ!$K$2:$K$50000,全馬データ!$A$2:$A$50000,A4900,全馬データ!$B$2:$B$50000,B4900,全馬データ!$C$2:$C$50000,C4900,全馬データ!$D$2:$D$50000,E4900)))</f>
        <v/>
      </c>
      <c r="AP4900" s="8" t="str">
        <f aca="false">IF(A4900="","",IF(AO4900="","欠損",IF(AO4900&lt;=1.1,"1.0～1.1",IF(AO4900&lt;1.3,"1.2",IF(AO4900&lt;1.5,"1.3～1.4",IF(AO4900&lt;2,"1.5～1.9","2.0以上"))))))</f>
        <v/>
      </c>
      <c r="AQ4900" s="8" t="str">
        <f aca="false">IF(A4900="","",IF(ISNUMBER(SEARCH("2歳",Z4900)),"2歳戦",IF(ISNUMBER(SEARCH("3歳未勝利",Z4900)),"3歳未勝利",IF(ISNUMBER(SEARCH("未勝利",Z4900)),"その他未勝利",IF(ISNUMBER(SEARCH("G1",Z4900)),"G1",IF(ISNUMBER(SEARCH("G2",Z4900)),"G2",IF(ISNUMBER(SEARCH("G3",Z4900)),"G3",IF(ISNUMBER(SEARCH("古馬条件",Z4900)),"古馬条件戦",IF(ISNUMBER(SEARCH("重賞",Z4900)),"重賞","分類不能")))))))))</f>
        <v/>
      </c>
    </row>
    <row r="4901" customFormat="false" ht="15.75" hidden="false" customHeight="false" outlineLevel="0" collapsed="false">
      <c r="AO4901" s="8" t="str">
        <f aca="false">IF(A4901="","",IF(COUNTIFS(全馬データ!$A$2:$A$50000,A4901,全馬データ!$B$2:$B$50000,B4901,全馬データ!$C$2:$C$50000,C4901,全馬データ!$D$2:$D$50000,E4901,全馬データ!$K$2:$K$50000,"&lt;&gt;")=0,"",SUMIFS(全馬データ!$K$2:$K$50000,全馬データ!$A$2:$A$50000,A4901,全馬データ!$B$2:$B$50000,B4901,全馬データ!$C$2:$C$50000,C4901,全馬データ!$D$2:$D$50000,E4901)))</f>
        <v/>
      </c>
      <c r="AP4901" s="8" t="str">
        <f aca="false">IF(A4901="","",IF(AO4901="","欠損",IF(AO4901&lt;=1.1,"1.0～1.1",IF(AO4901&lt;1.3,"1.2",IF(AO4901&lt;1.5,"1.3～1.4",IF(AO4901&lt;2,"1.5～1.9","2.0以上"))))))</f>
        <v/>
      </c>
      <c r="AQ4901" s="8" t="str">
        <f aca="false">IF(A4901="","",IF(ISNUMBER(SEARCH("2歳",Z4901)),"2歳戦",IF(ISNUMBER(SEARCH("3歳未勝利",Z4901)),"3歳未勝利",IF(ISNUMBER(SEARCH("未勝利",Z4901)),"その他未勝利",IF(ISNUMBER(SEARCH("G1",Z4901)),"G1",IF(ISNUMBER(SEARCH("G2",Z4901)),"G2",IF(ISNUMBER(SEARCH("G3",Z4901)),"G3",IF(ISNUMBER(SEARCH("古馬条件",Z4901)),"古馬条件戦",IF(ISNUMBER(SEARCH("重賞",Z4901)),"重賞","分類不能")))))))))</f>
        <v/>
      </c>
    </row>
    <row r="4902" customFormat="false" ht="15.75" hidden="false" customHeight="false" outlineLevel="0" collapsed="false">
      <c r="AO4902" s="8" t="str">
        <f aca="false">IF(A4902="","",IF(COUNTIFS(全馬データ!$A$2:$A$50000,A4902,全馬データ!$B$2:$B$50000,B4902,全馬データ!$C$2:$C$50000,C4902,全馬データ!$D$2:$D$50000,E4902,全馬データ!$K$2:$K$50000,"&lt;&gt;")=0,"",SUMIFS(全馬データ!$K$2:$K$50000,全馬データ!$A$2:$A$50000,A4902,全馬データ!$B$2:$B$50000,B4902,全馬データ!$C$2:$C$50000,C4902,全馬データ!$D$2:$D$50000,E4902)))</f>
        <v/>
      </c>
      <c r="AP4902" s="8" t="str">
        <f aca="false">IF(A4902="","",IF(AO4902="","欠損",IF(AO4902&lt;=1.1,"1.0～1.1",IF(AO4902&lt;1.3,"1.2",IF(AO4902&lt;1.5,"1.3～1.4",IF(AO4902&lt;2,"1.5～1.9","2.0以上"))))))</f>
        <v/>
      </c>
      <c r="AQ4902" s="8" t="str">
        <f aca="false">IF(A4902="","",IF(ISNUMBER(SEARCH("2歳",Z4902)),"2歳戦",IF(ISNUMBER(SEARCH("3歳未勝利",Z4902)),"3歳未勝利",IF(ISNUMBER(SEARCH("未勝利",Z4902)),"その他未勝利",IF(ISNUMBER(SEARCH("G1",Z4902)),"G1",IF(ISNUMBER(SEARCH("G2",Z4902)),"G2",IF(ISNUMBER(SEARCH("G3",Z4902)),"G3",IF(ISNUMBER(SEARCH("古馬条件",Z4902)),"古馬条件戦",IF(ISNUMBER(SEARCH("重賞",Z4902)),"重賞","分類不能")))))))))</f>
        <v/>
      </c>
    </row>
    <row r="4903" customFormat="false" ht="15.75" hidden="false" customHeight="false" outlineLevel="0" collapsed="false">
      <c r="AO4903" s="8" t="str">
        <f aca="false">IF(A4903="","",IF(COUNTIFS(全馬データ!$A$2:$A$50000,A4903,全馬データ!$B$2:$B$50000,B4903,全馬データ!$C$2:$C$50000,C4903,全馬データ!$D$2:$D$50000,E4903,全馬データ!$K$2:$K$50000,"&lt;&gt;")=0,"",SUMIFS(全馬データ!$K$2:$K$50000,全馬データ!$A$2:$A$50000,A4903,全馬データ!$B$2:$B$50000,B4903,全馬データ!$C$2:$C$50000,C4903,全馬データ!$D$2:$D$50000,E4903)))</f>
        <v/>
      </c>
      <c r="AP4903" s="8" t="str">
        <f aca="false">IF(A4903="","",IF(AO4903="","欠損",IF(AO4903&lt;=1.1,"1.0～1.1",IF(AO4903&lt;1.3,"1.2",IF(AO4903&lt;1.5,"1.3～1.4",IF(AO4903&lt;2,"1.5～1.9","2.0以上"))))))</f>
        <v/>
      </c>
      <c r="AQ4903" s="8" t="str">
        <f aca="false">IF(A4903="","",IF(ISNUMBER(SEARCH("2歳",Z4903)),"2歳戦",IF(ISNUMBER(SEARCH("3歳未勝利",Z4903)),"3歳未勝利",IF(ISNUMBER(SEARCH("未勝利",Z4903)),"その他未勝利",IF(ISNUMBER(SEARCH("G1",Z4903)),"G1",IF(ISNUMBER(SEARCH("G2",Z4903)),"G2",IF(ISNUMBER(SEARCH("G3",Z4903)),"G3",IF(ISNUMBER(SEARCH("古馬条件",Z4903)),"古馬条件戦",IF(ISNUMBER(SEARCH("重賞",Z4903)),"重賞","分類不能")))))))))</f>
        <v/>
      </c>
    </row>
    <row r="4904" customFormat="false" ht="15.75" hidden="false" customHeight="false" outlineLevel="0" collapsed="false">
      <c r="AO4904" s="8" t="str">
        <f aca="false">IF(A4904="","",IF(COUNTIFS(全馬データ!$A$2:$A$50000,A4904,全馬データ!$B$2:$B$50000,B4904,全馬データ!$C$2:$C$50000,C4904,全馬データ!$D$2:$D$50000,E4904,全馬データ!$K$2:$K$50000,"&lt;&gt;")=0,"",SUMIFS(全馬データ!$K$2:$K$50000,全馬データ!$A$2:$A$50000,A4904,全馬データ!$B$2:$B$50000,B4904,全馬データ!$C$2:$C$50000,C4904,全馬データ!$D$2:$D$50000,E4904)))</f>
        <v/>
      </c>
      <c r="AP4904" s="8" t="str">
        <f aca="false">IF(A4904="","",IF(AO4904="","欠損",IF(AO4904&lt;=1.1,"1.0～1.1",IF(AO4904&lt;1.3,"1.2",IF(AO4904&lt;1.5,"1.3～1.4",IF(AO4904&lt;2,"1.5～1.9","2.0以上"))))))</f>
        <v/>
      </c>
      <c r="AQ4904" s="8" t="str">
        <f aca="false">IF(A4904="","",IF(ISNUMBER(SEARCH("2歳",Z4904)),"2歳戦",IF(ISNUMBER(SEARCH("3歳未勝利",Z4904)),"3歳未勝利",IF(ISNUMBER(SEARCH("未勝利",Z4904)),"その他未勝利",IF(ISNUMBER(SEARCH("G1",Z4904)),"G1",IF(ISNUMBER(SEARCH("G2",Z4904)),"G2",IF(ISNUMBER(SEARCH("G3",Z4904)),"G3",IF(ISNUMBER(SEARCH("古馬条件",Z4904)),"古馬条件戦",IF(ISNUMBER(SEARCH("重賞",Z4904)),"重賞","分類不能")))))))))</f>
        <v/>
      </c>
    </row>
    <row r="4905" customFormat="false" ht="15.75" hidden="false" customHeight="false" outlineLevel="0" collapsed="false">
      <c r="AO4905" s="8" t="str">
        <f aca="false">IF(A4905="","",IF(COUNTIFS(全馬データ!$A$2:$A$50000,A4905,全馬データ!$B$2:$B$50000,B4905,全馬データ!$C$2:$C$50000,C4905,全馬データ!$D$2:$D$50000,E4905,全馬データ!$K$2:$K$50000,"&lt;&gt;")=0,"",SUMIFS(全馬データ!$K$2:$K$50000,全馬データ!$A$2:$A$50000,A4905,全馬データ!$B$2:$B$50000,B4905,全馬データ!$C$2:$C$50000,C4905,全馬データ!$D$2:$D$50000,E4905)))</f>
        <v/>
      </c>
      <c r="AP4905" s="8" t="str">
        <f aca="false">IF(A4905="","",IF(AO4905="","欠損",IF(AO4905&lt;=1.1,"1.0～1.1",IF(AO4905&lt;1.3,"1.2",IF(AO4905&lt;1.5,"1.3～1.4",IF(AO4905&lt;2,"1.5～1.9","2.0以上"))))))</f>
        <v/>
      </c>
      <c r="AQ4905" s="8" t="str">
        <f aca="false">IF(A4905="","",IF(ISNUMBER(SEARCH("2歳",Z4905)),"2歳戦",IF(ISNUMBER(SEARCH("3歳未勝利",Z4905)),"3歳未勝利",IF(ISNUMBER(SEARCH("未勝利",Z4905)),"その他未勝利",IF(ISNUMBER(SEARCH("G1",Z4905)),"G1",IF(ISNUMBER(SEARCH("G2",Z4905)),"G2",IF(ISNUMBER(SEARCH("G3",Z4905)),"G3",IF(ISNUMBER(SEARCH("古馬条件",Z4905)),"古馬条件戦",IF(ISNUMBER(SEARCH("重賞",Z4905)),"重賞","分類不能")))))))))</f>
        <v/>
      </c>
    </row>
    <row r="4906" customFormat="false" ht="15.75" hidden="false" customHeight="false" outlineLevel="0" collapsed="false">
      <c r="AO4906" s="8" t="str">
        <f aca="false">IF(A4906="","",IF(COUNTIFS(全馬データ!$A$2:$A$50000,A4906,全馬データ!$B$2:$B$50000,B4906,全馬データ!$C$2:$C$50000,C4906,全馬データ!$D$2:$D$50000,E4906,全馬データ!$K$2:$K$50000,"&lt;&gt;")=0,"",SUMIFS(全馬データ!$K$2:$K$50000,全馬データ!$A$2:$A$50000,A4906,全馬データ!$B$2:$B$50000,B4906,全馬データ!$C$2:$C$50000,C4906,全馬データ!$D$2:$D$50000,E4906)))</f>
        <v/>
      </c>
      <c r="AP4906" s="8" t="str">
        <f aca="false">IF(A4906="","",IF(AO4906="","欠損",IF(AO4906&lt;=1.1,"1.0～1.1",IF(AO4906&lt;1.3,"1.2",IF(AO4906&lt;1.5,"1.3～1.4",IF(AO4906&lt;2,"1.5～1.9","2.0以上"))))))</f>
        <v/>
      </c>
      <c r="AQ4906" s="8" t="str">
        <f aca="false">IF(A4906="","",IF(ISNUMBER(SEARCH("2歳",Z4906)),"2歳戦",IF(ISNUMBER(SEARCH("3歳未勝利",Z4906)),"3歳未勝利",IF(ISNUMBER(SEARCH("未勝利",Z4906)),"その他未勝利",IF(ISNUMBER(SEARCH("G1",Z4906)),"G1",IF(ISNUMBER(SEARCH("G2",Z4906)),"G2",IF(ISNUMBER(SEARCH("G3",Z4906)),"G3",IF(ISNUMBER(SEARCH("古馬条件",Z4906)),"古馬条件戦",IF(ISNUMBER(SEARCH("重賞",Z4906)),"重賞","分類不能")))))))))</f>
        <v/>
      </c>
    </row>
    <row r="4907" customFormat="false" ht="15.75" hidden="false" customHeight="false" outlineLevel="0" collapsed="false">
      <c r="AO4907" s="8" t="str">
        <f aca="false">IF(A4907="","",IF(COUNTIFS(全馬データ!$A$2:$A$50000,A4907,全馬データ!$B$2:$B$50000,B4907,全馬データ!$C$2:$C$50000,C4907,全馬データ!$D$2:$D$50000,E4907,全馬データ!$K$2:$K$50000,"&lt;&gt;")=0,"",SUMIFS(全馬データ!$K$2:$K$50000,全馬データ!$A$2:$A$50000,A4907,全馬データ!$B$2:$B$50000,B4907,全馬データ!$C$2:$C$50000,C4907,全馬データ!$D$2:$D$50000,E4907)))</f>
        <v/>
      </c>
      <c r="AP4907" s="8" t="str">
        <f aca="false">IF(A4907="","",IF(AO4907="","欠損",IF(AO4907&lt;=1.1,"1.0～1.1",IF(AO4907&lt;1.3,"1.2",IF(AO4907&lt;1.5,"1.3～1.4",IF(AO4907&lt;2,"1.5～1.9","2.0以上"))))))</f>
        <v/>
      </c>
      <c r="AQ4907" s="8" t="str">
        <f aca="false">IF(A4907="","",IF(ISNUMBER(SEARCH("2歳",Z4907)),"2歳戦",IF(ISNUMBER(SEARCH("3歳未勝利",Z4907)),"3歳未勝利",IF(ISNUMBER(SEARCH("未勝利",Z4907)),"その他未勝利",IF(ISNUMBER(SEARCH("G1",Z4907)),"G1",IF(ISNUMBER(SEARCH("G2",Z4907)),"G2",IF(ISNUMBER(SEARCH("G3",Z4907)),"G3",IF(ISNUMBER(SEARCH("古馬条件",Z4907)),"古馬条件戦",IF(ISNUMBER(SEARCH("重賞",Z4907)),"重賞","分類不能")))))))))</f>
        <v/>
      </c>
    </row>
    <row r="4908" customFormat="false" ht="15.75" hidden="false" customHeight="false" outlineLevel="0" collapsed="false">
      <c r="AO4908" s="8" t="str">
        <f aca="false">IF(A4908="","",IF(COUNTIFS(全馬データ!$A$2:$A$50000,A4908,全馬データ!$B$2:$B$50000,B4908,全馬データ!$C$2:$C$50000,C4908,全馬データ!$D$2:$D$50000,E4908,全馬データ!$K$2:$K$50000,"&lt;&gt;")=0,"",SUMIFS(全馬データ!$K$2:$K$50000,全馬データ!$A$2:$A$50000,A4908,全馬データ!$B$2:$B$50000,B4908,全馬データ!$C$2:$C$50000,C4908,全馬データ!$D$2:$D$50000,E4908)))</f>
        <v/>
      </c>
      <c r="AP4908" s="8" t="str">
        <f aca="false">IF(A4908="","",IF(AO4908="","欠損",IF(AO4908&lt;=1.1,"1.0～1.1",IF(AO4908&lt;1.3,"1.2",IF(AO4908&lt;1.5,"1.3～1.4",IF(AO4908&lt;2,"1.5～1.9","2.0以上"))))))</f>
        <v/>
      </c>
      <c r="AQ4908" s="8" t="str">
        <f aca="false">IF(A4908="","",IF(ISNUMBER(SEARCH("2歳",Z4908)),"2歳戦",IF(ISNUMBER(SEARCH("3歳未勝利",Z4908)),"3歳未勝利",IF(ISNUMBER(SEARCH("未勝利",Z4908)),"その他未勝利",IF(ISNUMBER(SEARCH("G1",Z4908)),"G1",IF(ISNUMBER(SEARCH("G2",Z4908)),"G2",IF(ISNUMBER(SEARCH("G3",Z4908)),"G3",IF(ISNUMBER(SEARCH("古馬条件",Z4908)),"古馬条件戦",IF(ISNUMBER(SEARCH("重賞",Z4908)),"重賞","分類不能")))))))))</f>
        <v/>
      </c>
    </row>
    <row r="4909" customFormat="false" ht="15.75" hidden="false" customHeight="false" outlineLevel="0" collapsed="false">
      <c r="AO4909" s="8" t="str">
        <f aca="false">IF(A4909="","",IF(COUNTIFS(全馬データ!$A$2:$A$50000,A4909,全馬データ!$B$2:$B$50000,B4909,全馬データ!$C$2:$C$50000,C4909,全馬データ!$D$2:$D$50000,E4909,全馬データ!$K$2:$K$50000,"&lt;&gt;")=0,"",SUMIFS(全馬データ!$K$2:$K$50000,全馬データ!$A$2:$A$50000,A4909,全馬データ!$B$2:$B$50000,B4909,全馬データ!$C$2:$C$50000,C4909,全馬データ!$D$2:$D$50000,E4909)))</f>
        <v/>
      </c>
      <c r="AP4909" s="8" t="str">
        <f aca="false">IF(A4909="","",IF(AO4909="","欠損",IF(AO4909&lt;=1.1,"1.0～1.1",IF(AO4909&lt;1.3,"1.2",IF(AO4909&lt;1.5,"1.3～1.4",IF(AO4909&lt;2,"1.5～1.9","2.0以上"))))))</f>
        <v/>
      </c>
      <c r="AQ4909" s="8" t="str">
        <f aca="false">IF(A4909="","",IF(ISNUMBER(SEARCH("2歳",Z4909)),"2歳戦",IF(ISNUMBER(SEARCH("3歳未勝利",Z4909)),"3歳未勝利",IF(ISNUMBER(SEARCH("未勝利",Z4909)),"その他未勝利",IF(ISNUMBER(SEARCH("G1",Z4909)),"G1",IF(ISNUMBER(SEARCH("G2",Z4909)),"G2",IF(ISNUMBER(SEARCH("G3",Z4909)),"G3",IF(ISNUMBER(SEARCH("古馬条件",Z4909)),"古馬条件戦",IF(ISNUMBER(SEARCH("重賞",Z4909)),"重賞","分類不能")))))))))</f>
        <v/>
      </c>
    </row>
    <row r="4910" customFormat="false" ht="15.75" hidden="false" customHeight="false" outlineLevel="0" collapsed="false">
      <c r="AO4910" s="8" t="str">
        <f aca="false">IF(A4910="","",IF(COUNTIFS(全馬データ!$A$2:$A$50000,A4910,全馬データ!$B$2:$B$50000,B4910,全馬データ!$C$2:$C$50000,C4910,全馬データ!$D$2:$D$50000,E4910,全馬データ!$K$2:$K$50000,"&lt;&gt;")=0,"",SUMIFS(全馬データ!$K$2:$K$50000,全馬データ!$A$2:$A$50000,A4910,全馬データ!$B$2:$B$50000,B4910,全馬データ!$C$2:$C$50000,C4910,全馬データ!$D$2:$D$50000,E4910)))</f>
        <v/>
      </c>
      <c r="AP4910" s="8" t="str">
        <f aca="false">IF(A4910="","",IF(AO4910="","欠損",IF(AO4910&lt;=1.1,"1.0～1.1",IF(AO4910&lt;1.3,"1.2",IF(AO4910&lt;1.5,"1.3～1.4",IF(AO4910&lt;2,"1.5～1.9","2.0以上"))))))</f>
        <v/>
      </c>
      <c r="AQ4910" s="8" t="str">
        <f aca="false">IF(A4910="","",IF(ISNUMBER(SEARCH("2歳",Z4910)),"2歳戦",IF(ISNUMBER(SEARCH("3歳未勝利",Z4910)),"3歳未勝利",IF(ISNUMBER(SEARCH("未勝利",Z4910)),"その他未勝利",IF(ISNUMBER(SEARCH("G1",Z4910)),"G1",IF(ISNUMBER(SEARCH("G2",Z4910)),"G2",IF(ISNUMBER(SEARCH("G3",Z4910)),"G3",IF(ISNUMBER(SEARCH("古馬条件",Z4910)),"古馬条件戦",IF(ISNUMBER(SEARCH("重賞",Z4910)),"重賞","分類不能")))))))))</f>
        <v/>
      </c>
    </row>
    <row r="4911" customFormat="false" ht="15.75" hidden="false" customHeight="false" outlineLevel="0" collapsed="false">
      <c r="AO4911" s="8" t="str">
        <f aca="false">IF(A4911="","",IF(COUNTIFS(全馬データ!$A$2:$A$50000,A4911,全馬データ!$B$2:$B$50000,B4911,全馬データ!$C$2:$C$50000,C4911,全馬データ!$D$2:$D$50000,E4911,全馬データ!$K$2:$K$50000,"&lt;&gt;")=0,"",SUMIFS(全馬データ!$K$2:$K$50000,全馬データ!$A$2:$A$50000,A4911,全馬データ!$B$2:$B$50000,B4911,全馬データ!$C$2:$C$50000,C4911,全馬データ!$D$2:$D$50000,E4911)))</f>
        <v/>
      </c>
      <c r="AP4911" s="8" t="str">
        <f aca="false">IF(A4911="","",IF(AO4911="","欠損",IF(AO4911&lt;=1.1,"1.0～1.1",IF(AO4911&lt;1.3,"1.2",IF(AO4911&lt;1.5,"1.3～1.4",IF(AO4911&lt;2,"1.5～1.9","2.0以上"))))))</f>
        <v/>
      </c>
      <c r="AQ4911" s="8" t="str">
        <f aca="false">IF(A4911="","",IF(ISNUMBER(SEARCH("2歳",Z4911)),"2歳戦",IF(ISNUMBER(SEARCH("3歳未勝利",Z4911)),"3歳未勝利",IF(ISNUMBER(SEARCH("未勝利",Z4911)),"その他未勝利",IF(ISNUMBER(SEARCH("G1",Z4911)),"G1",IF(ISNUMBER(SEARCH("G2",Z4911)),"G2",IF(ISNUMBER(SEARCH("G3",Z4911)),"G3",IF(ISNUMBER(SEARCH("古馬条件",Z4911)),"古馬条件戦",IF(ISNUMBER(SEARCH("重賞",Z4911)),"重賞","分類不能")))))))))</f>
        <v/>
      </c>
    </row>
    <row r="4912" customFormat="false" ht="15.75" hidden="false" customHeight="false" outlineLevel="0" collapsed="false">
      <c r="AO4912" s="8" t="str">
        <f aca="false">IF(A4912="","",IF(COUNTIFS(全馬データ!$A$2:$A$50000,A4912,全馬データ!$B$2:$B$50000,B4912,全馬データ!$C$2:$C$50000,C4912,全馬データ!$D$2:$D$50000,E4912,全馬データ!$K$2:$K$50000,"&lt;&gt;")=0,"",SUMIFS(全馬データ!$K$2:$K$50000,全馬データ!$A$2:$A$50000,A4912,全馬データ!$B$2:$B$50000,B4912,全馬データ!$C$2:$C$50000,C4912,全馬データ!$D$2:$D$50000,E4912)))</f>
        <v/>
      </c>
      <c r="AP4912" s="8" t="str">
        <f aca="false">IF(A4912="","",IF(AO4912="","欠損",IF(AO4912&lt;=1.1,"1.0～1.1",IF(AO4912&lt;1.3,"1.2",IF(AO4912&lt;1.5,"1.3～1.4",IF(AO4912&lt;2,"1.5～1.9","2.0以上"))))))</f>
        <v/>
      </c>
      <c r="AQ4912" s="8" t="str">
        <f aca="false">IF(A4912="","",IF(ISNUMBER(SEARCH("2歳",Z4912)),"2歳戦",IF(ISNUMBER(SEARCH("3歳未勝利",Z4912)),"3歳未勝利",IF(ISNUMBER(SEARCH("未勝利",Z4912)),"その他未勝利",IF(ISNUMBER(SEARCH("G1",Z4912)),"G1",IF(ISNUMBER(SEARCH("G2",Z4912)),"G2",IF(ISNUMBER(SEARCH("G3",Z4912)),"G3",IF(ISNUMBER(SEARCH("古馬条件",Z4912)),"古馬条件戦",IF(ISNUMBER(SEARCH("重賞",Z4912)),"重賞","分類不能")))))))))</f>
        <v/>
      </c>
    </row>
    <row r="4913" customFormat="false" ht="15.75" hidden="false" customHeight="false" outlineLevel="0" collapsed="false">
      <c r="AO4913" s="8" t="str">
        <f aca="false">IF(A4913="","",IF(COUNTIFS(全馬データ!$A$2:$A$50000,A4913,全馬データ!$B$2:$B$50000,B4913,全馬データ!$C$2:$C$50000,C4913,全馬データ!$D$2:$D$50000,E4913,全馬データ!$K$2:$K$50000,"&lt;&gt;")=0,"",SUMIFS(全馬データ!$K$2:$K$50000,全馬データ!$A$2:$A$50000,A4913,全馬データ!$B$2:$B$50000,B4913,全馬データ!$C$2:$C$50000,C4913,全馬データ!$D$2:$D$50000,E4913)))</f>
        <v/>
      </c>
      <c r="AP4913" s="8" t="str">
        <f aca="false">IF(A4913="","",IF(AO4913="","欠損",IF(AO4913&lt;=1.1,"1.0～1.1",IF(AO4913&lt;1.3,"1.2",IF(AO4913&lt;1.5,"1.3～1.4",IF(AO4913&lt;2,"1.5～1.9","2.0以上"))))))</f>
        <v/>
      </c>
      <c r="AQ4913" s="8" t="str">
        <f aca="false">IF(A4913="","",IF(ISNUMBER(SEARCH("2歳",Z4913)),"2歳戦",IF(ISNUMBER(SEARCH("3歳未勝利",Z4913)),"3歳未勝利",IF(ISNUMBER(SEARCH("未勝利",Z4913)),"その他未勝利",IF(ISNUMBER(SEARCH("G1",Z4913)),"G1",IF(ISNUMBER(SEARCH("G2",Z4913)),"G2",IF(ISNUMBER(SEARCH("G3",Z4913)),"G3",IF(ISNUMBER(SEARCH("古馬条件",Z4913)),"古馬条件戦",IF(ISNUMBER(SEARCH("重賞",Z4913)),"重賞","分類不能")))))))))</f>
        <v/>
      </c>
    </row>
    <row r="4914" customFormat="false" ht="15.75" hidden="false" customHeight="false" outlineLevel="0" collapsed="false">
      <c r="AO4914" s="8" t="str">
        <f aca="false">IF(A4914="","",IF(COUNTIFS(全馬データ!$A$2:$A$50000,A4914,全馬データ!$B$2:$B$50000,B4914,全馬データ!$C$2:$C$50000,C4914,全馬データ!$D$2:$D$50000,E4914,全馬データ!$K$2:$K$50000,"&lt;&gt;")=0,"",SUMIFS(全馬データ!$K$2:$K$50000,全馬データ!$A$2:$A$50000,A4914,全馬データ!$B$2:$B$50000,B4914,全馬データ!$C$2:$C$50000,C4914,全馬データ!$D$2:$D$50000,E4914)))</f>
        <v/>
      </c>
      <c r="AP4914" s="8" t="str">
        <f aca="false">IF(A4914="","",IF(AO4914="","欠損",IF(AO4914&lt;=1.1,"1.0～1.1",IF(AO4914&lt;1.3,"1.2",IF(AO4914&lt;1.5,"1.3～1.4",IF(AO4914&lt;2,"1.5～1.9","2.0以上"))))))</f>
        <v/>
      </c>
      <c r="AQ4914" s="8" t="str">
        <f aca="false">IF(A4914="","",IF(ISNUMBER(SEARCH("2歳",Z4914)),"2歳戦",IF(ISNUMBER(SEARCH("3歳未勝利",Z4914)),"3歳未勝利",IF(ISNUMBER(SEARCH("未勝利",Z4914)),"その他未勝利",IF(ISNUMBER(SEARCH("G1",Z4914)),"G1",IF(ISNUMBER(SEARCH("G2",Z4914)),"G2",IF(ISNUMBER(SEARCH("G3",Z4914)),"G3",IF(ISNUMBER(SEARCH("古馬条件",Z4914)),"古馬条件戦",IF(ISNUMBER(SEARCH("重賞",Z4914)),"重賞","分類不能")))))))))</f>
        <v/>
      </c>
    </row>
    <row r="4915" customFormat="false" ht="15.75" hidden="false" customHeight="false" outlineLevel="0" collapsed="false">
      <c r="AO4915" s="8" t="str">
        <f aca="false">IF(A4915="","",IF(COUNTIFS(全馬データ!$A$2:$A$50000,A4915,全馬データ!$B$2:$B$50000,B4915,全馬データ!$C$2:$C$50000,C4915,全馬データ!$D$2:$D$50000,E4915,全馬データ!$K$2:$K$50000,"&lt;&gt;")=0,"",SUMIFS(全馬データ!$K$2:$K$50000,全馬データ!$A$2:$A$50000,A4915,全馬データ!$B$2:$B$50000,B4915,全馬データ!$C$2:$C$50000,C4915,全馬データ!$D$2:$D$50000,E4915)))</f>
        <v/>
      </c>
      <c r="AP4915" s="8" t="str">
        <f aca="false">IF(A4915="","",IF(AO4915="","欠損",IF(AO4915&lt;=1.1,"1.0～1.1",IF(AO4915&lt;1.3,"1.2",IF(AO4915&lt;1.5,"1.3～1.4",IF(AO4915&lt;2,"1.5～1.9","2.0以上"))))))</f>
        <v/>
      </c>
      <c r="AQ4915" s="8" t="str">
        <f aca="false">IF(A4915="","",IF(ISNUMBER(SEARCH("2歳",Z4915)),"2歳戦",IF(ISNUMBER(SEARCH("3歳未勝利",Z4915)),"3歳未勝利",IF(ISNUMBER(SEARCH("未勝利",Z4915)),"その他未勝利",IF(ISNUMBER(SEARCH("G1",Z4915)),"G1",IF(ISNUMBER(SEARCH("G2",Z4915)),"G2",IF(ISNUMBER(SEARCH("G3",Z4915)),"G3",IF(ISNUMBER(SEARCH("古馬条件",Z4915)),"古馬条件戦",IF(ISNUMBER(SEARCH("重賞",Z4915)),"重賞","分類不能")))))))))</f>
        <v/>
      </c>
    </row>
    <row r="4916" customFormat="false" ht="15.75" hidden="false" customHeight="false" outlineLevel="0" collapsed="false">
      <c r="AO4916" s="8" t="str">
        <f aca="false">IF(A4916="","",IF(COUNTIFS(全馬データ!$A$2:$A$50000,A4916,全馬データ!$B$2:$B$50000,B4916,全馬データ!$C$2:$C$50000,C4916,全馬データ!$D$2:$D$50000,E4916,全馬データ!$K$2:$K$50000,"&lt;&gt;")=0,"",SUMIFS(全馬データ!$K$2:$K$50000,全馬データ!$A$2:$A$50000,A4916,全馬データ!$B$2:$B$50000,B4916,全馬データ!$C$2:$C$50000,C4916,全馬データ!$D$2:$D$50000,E4916)))</f>
        <v/>
      </c>
      <c r="AP4916" s="8" t="str">
        <f aca="false">IF(A4916="","",IF(AO4916="","欠損",IF(AO4916&lt;=1.1,"1.0～1.1",IF(AO4916&lt;1.3,"1.2",IF(AO4916&lt;1.5,"1.3～1.4",IF(AO4916&lt;2,"1.5～1.9","2.0以上"))))))</f>
        <v/>
      </c>
      <c r="AQ4916" s="8" t="str">
        <f aca="false">IF(A4916="","",IF(ISNUMBER(SEARCH("2歳",Z4916)),"2歳戦",IF(ISNUMBER(SEARCH("3歳未勝利",Z4916)),"3歳未勝利",IF(ISNUMBER(SEARCH("未勝利",Z4916)),"その他未勝利",IF(ISNUMBER(SEARCH("G1",Z4916)),"G1",IF(ISNUMBER(SEARCH("G2",Z4916)),"G2",IF(ISNUMBER(SEARCH("G3",Z4916)),"G3",IF(ISNUMBER(SEARCH("古馬条件",Z4916)),"古馬条件戦",IF(ISNUMBER(SEARCH("重賞",Z4916)),"重賞","分類不能")))))))))</f>
        <v/>
      </c>
    </row>
    <row r="4917" customFormat="false" ht="15.75" hidden="false" customHeight="false" outlineLevel="0" collapsed="false">
      <c r="AO4917" s="8" t="str">
        <f aca="false">IF(A4917="","",IF(COUNTIFS(全馬データ!$A$2:$A$50000,A4917,全馬データ!$B$2:$B$50000,B4917,全馬データ!$C$2:$C$50000,C4917,全馬データ!$D$2:$D$50000,E4917,全馬データ!$K$2:$K$50000,"&lt;&gt;")=0,"",SUMIFS(全馬データ!$K$2:$K$50000,全馬データ!$A$2:$A$50000,A4917,全馬データ!$B$2:$B$50000,B4917,全馬データ!$C$2:$C$50000,C4917,全馬データ!$D$2:$D$50000,E4917)))</f>
        <v/>
      </c>
      <c r="AP4917" s="8" t="str">
        <f aca="false">IF(A4917="","",IF(AO4917="","欠損",IF(AO4917&lt;=1.1,"1.0～1.1",IF(AO4917&lt;1.3,"1.2",IF(AO4917&lt;1.5,"1.3～1.4",IF(AO4917&lt;2,"1.5～1.9","2.0以上"))))))</f>
        <v/>
      </c>
      <c r="AQ4917" s="8" t="str">
        <f aca="false">IF(A4917="","",IF(ISNUMBER(SEARCH("2歳",Z4917)),"2歳戦",IF(ISNUMBER(SEARCH("3歳未勝利",Z4917)),"3歳未勝利",IF(ISNUMBER(SEARCH("未勝利",Z4917)),"その他未勝利",IF(ISNUMBER(SEARCH("G1",Z4917)),"G1",IF(ISNUMBER(SEARCH("G2",Z4917)),"G2",IF(ISNUMBER(SEARCH("G3",Z4917)),"G3",IF(ISNUMBER(SEARCH("古馬条件",Z4917)),"古馬条件戦",IF(ISNUMBER(SEARCH("重賞",Z4917)),"重賞","分類不能")))))))))</f>
        <v/>
      </c>
    </row>
    <row r="4918" customFormat="false" ht="15.75" hidden="false" customHeight="false" outlineLevel="0" collapsed="false">
      <c r="AO4918" s="8" t="str">
        <f aca="false">IF(A4918="","",IF(COUNTIFS(全馬データ!$A$2:$A$50000,A4918,全馬データ!$B$2:$B$50000,B4918,全馬データ!$C$2:$C$50000,C4918,全馬データ!$D$2:$D$50000,E4918,全馬データ!$K$2:$K$50000,"&lt;&gt;")=0,"",SUMIFS(全馬データ!$K$2:$K$50000,全馬データ!$A$2:$A$50000,A4918,全馬データ!$B$2:$B$50000,B4918,全馬データ!$C$2:$C$50000,C4918,全馬データ!$D$2:$D$50000,E4918)))</f>
        <v/>
      </c>
      <c r="AP4918" s="8" t="str">
        <f aca="false">IF(A4918="","",IF(AO4918="","欠損",IF(AO4918&lt;=1.1,"1.0～1.1",IF(AO4918&lt;1.3,"1.2",IF(AO4918&lt;1.5,"1.3～1.4",IF(AO4918&lt;2,"1.5～1.9","2.0以上"))))))</f>
        <v/>
      </c>
      <c r="AQ4918" s="8" t="str">
        <f aca="false">IF(A4918="","",IF(ISNUMBER(SEARCH("2歳",Z4918)),"2歳戦",IF(ISNUMBER(SEARCH("3歳未勝利",Z4918)),"3歳未勝利",IF(ISNUMBER(SEARCH("未勝利",Z4918)),"その他未勝利",IF(ISNUMBER(SEARCH("G1",Z4918)),"G1",IF(ISNUMBER(SEARCH("G2",Z4918)),"G2",IF(ISNUMBER(SEARCH("G3",Z4918)),"G3",IF(ISNUMBER(SEARCH("古馬条件",Z4918)),"古馬条件戦",IF(ISNUMBER(SEARCH("重賞",Z4918)),"重賞","分類不能")))))))))</f>
        <v/>
      </c>
    </row>
    <row r="4919" customFormat="false" ht="15.75" hidden="false" customHeight="false" outlineLevel="0" collapsed="false">
      <c r="AO4919" s="8" t="str">
        <f aca="false">IF(A4919="","",IF(COUNTIFS(全馬データ!$A$2:$A$50000,A4919,全馬データ!$B$2:$B$50000,B4919,全馬データ!$C$2:$C$50000,C4919,全馬データ!$D$2:$D$50000,E4919,全馬データ!$K$2:$K$50000,"&lt;&gt;")=0,"",SUMIFS(全馬データ!$K$2:$K$50000,全馬データ!$A$2:$A$50000,A4919,全馬データ!$B$2:$B$50000,B4919,全馬データ!$C$2:$C$50000,C4919,全馬データ!$D$2:$D$50000,E4919)))</f>
        <v/>
      </c>
      <c r="AP4919" s="8" t="str">
        <f aca="false">IF(A4919="","",IF(AO4919="","欠損",IF(AO4919&lt;=1.1,"1.0～1.1",IF(AO4919&lt;1.3,"1.2",IF(AO4919&lt;1.5,"1.3～1.4",IF(AO4919&lt;2,"1.5～1.9","2.0以上"))))))</f>
        <v/>
      </c>
      <c r="AQ4919" s="8" t="str">
        <f aca="false">IF(A4919="","",IF(ISNUMBER(SEARCH("2歳",Z4919)),"2歳戦",IF(ISNUMBER(SEARCH("3歳未勝利",Z4919)),"3歳未勝利",IF(ISNUMBER(SEARCH("未勝利",Z4919)),"その他未勝利",IF(ISNUMBER(SEARCH("G1",Z4919)),"G1",IF(ISNUMBER(SEARCH("G2",Z4919)),"G2",IF(ISNUMBER(SEARCH("G3",Z4919)),"G3",IF(ISNUMBER(SEARCH("古馬条件",Z4919)),"古馬条件戦",IF(ISNUMBER(SEARCH("重賞",Z4919)),"重賞","分類不能")))))))))</f>
        <v/>
      </c>
    </row>
    <row r="4920" customFormat="false" ht="15.75" hidden="false" customHeight="false" outlineLevel="0" collapsed="false">
      <c r="AO4920" s="8" t="str">
        <f aca="false">IF(A4920="","",IF(COUNTIFS(全馬データ!$A$2:$A$50000,A4920,全馬データ!$B$2:$B$50000,B4920,全馬データ!$C$2:$C$50000,C4920,全馬データ!$D$2:$D$50000,E4920,全馬データ!$K$2:$K$50000,"&lt;&gt;")=0,"",SUMIFS(全馬データ!$K$2:$K$50000,全馬データ!$A$2:$A$50000,A4920,全馬データ!$B$2:$B$50000,B4920,全馬データ!$C$2:$C$50000,C4920,全馬データ!$D$2:$D$50000,E4920)))</f>
        <v/>
      </c>
      <c r="AP4920" s="8" t="str">
        <f aca="false">IF(A4920="","",IF(AO4920="","欠損",IF(AO4920&lt;=1.1,"1.0～1.1",IF(AO4920&lt;1.3,"1.2",IF(AO4920&lt;1.5,"1.3～1.4",IF(AO4920&lt;2,"1.5～1.9","2.0以上"))))))</f>
        <v/>
      </c>
      <c r="AQ4920" s="8" t="str">
        <f aca="false">IF(A4920="","",IF(ISNUMBER(SEARCH("2歳",Z4920)),"2歳戦",IF(ISNUMBER(SEARCH("3歳未勝利",Z4920)),"3歳未勝利",IF(ISNUMBER(SEARCH("未勝利",Z4920)),"その他未勝利",IF(ISNUMBER(SEARCH("G1",Z4920)),"G1",IF(ISNUMBER(SEARCH("G2",Z4920)),"G2",IF(ISNUMBER(SEARCH("G3",Z4920)),"G3",IF(ISNUMBER(SEARCH("古馬条件",Z4920)),"古馬条件戦",IF(ISNUMBER(SEARCH("重賞",Z4920)),"重賞","分類不能")))))))))</f>
        <v/>
      </c>
    </row>
    <row r="4921" customFormat="false" ht="15.75" hidden="false" customHeight="false" outlineLevel="0" collapsed="false">
      <c r="AO4921" s="8" t="str">
        <f aca="false">IF(A4921="","",IF(COUNTIFS(全馬データ!$A$2:$A$50000,A4921,全馬データ!$B$2:$B$50000,B4921,全馬データ!$C$2:$C$50000,C4921,全馬データ!$D$2:$D$50000,E4921,全馬データ!$K$2:$K$50000,"&lt;&gt;")=0,"",SUMIFS(全馬データ!$K$2:$K$50000,全馬データ!$A$2:$A$50000,A4921,全馬データ!$B$2:$B$50000,B4921,全馬データ!$C$2:$C$50000,C4921,全馬データ!$D$2:$D$50000,E4921)))</f>
        <v/>
      </c>
      <c r="AP4921" s="8" t="str">
        <f aca="false">IF(A4921="","",IF(AO4921="","欠損",IF(AO4921&lt;=1.1,"1.0～1.1",IF(AO4921&lt;1.3,"1.2",IF(AO4921&lt;1.5,"1.3～1.4",IF(AO4921&lt;2,"1.5～1.9","2.0以上"))))))</f>
        <v/>
      </c>
      <c r="AQ4921" s="8" t="str">
        <f aca="false">IF(A4921="","",IF(ISNUMBER(SEARCH("2歳",Z4921)),"2歳戦",IF(ISNUMBER(SEARCH("3歳未勝利",Z4921)),"3歳未勝利",IF(ISNUMBER(SEARCH("未勝利",Z4921)),"その他未勝利",IF(ISNUMBER(SEARCH("G1",Z4921)),"G1",IF(ISNUMBER(SEARCH("G2",Z4921)),"G2",IF(ISNUMBER(SEARCH("G3",Z4921)),"G3",IF(ISNUMBER(SEARCH("古馬条件",Z4921)),"古馬条件戦",IF(ISNUMBER(SEARCH("重賞",Z4921)),"重賞","分類不能")))))))))</f>
        <v/>
      </c>
    </row>
    <row r="4922" customFormat="false" ht="15.75" hidden="false" customHeight="false" outlineLevel="0" collapsed="false">
      <c r="AO4922" s="8" t="str">
        <f aca="false">IF(A4922="","",IF(COUNTIFS(全馬データ!$A$2:$A$50000,A4922,全馬データ!$B$2:$B$50000,B4922,全馬データ!$C$2:$C$50000,C4922,全馬データ!$D$2:$D$50000,E4922,全馬データ!$K$2:$K$50000,"&lt;&gt;")=0,"",SUMIFS(全馬データ!$K$2:$K$50000,全馬データ!$A$2:$A$50000,A4922,全馬データ!$B$2:$B$50000,B4922,全馬データ!$C$2:$C$50000,C4922,全馬データ!$D$2:$D$50000,E4922)))</f>
        <v/>
      </c>
      <c r="AP4922" s="8" t="str">
        <f aca="false">IF(A4922="","",IF(AO4922="","欠損",IF(AO4922&lt;=1.1,"1.0～1.1",IF(AO4922&lt;1.3,"1.2",IF(AO4922&lt;1.5,"1.3～1.4",IF(AO4922&lt;2,"1.5～1.9","2.0以上"))))))</f>
        <v/>
      </c>
      <c r="AQ4922" s="8" t="str">
        <f aca="false">IF(A4922="","",IF(ISNUMBER(SEARCH("2歳",Z4922)),"2歳戦",IF(ISNUMBER(SEARCH("3歳未勝利",Z4922)),"3歳未勝利",IF(ISNUMBER(SEARCH("未勝利",Z4922)),"その他未勝利",IF(ISNUMBER(SEARCH("G1",Z4922)),"G1",IF(ISNUMBER(SEARCH("G2",Z4922)),"G2",IF(ISNUMBER(SEARCH("G3",Z4922)),"G3",IF(ISNUMBER(SEARCH("古馬条件",Z4922)),"古馬条件戦",IF(ISNUMBER(SEARCH("重賞",Z4922)),"重賞","分類不能")))))))))</f>
        <v/>
      </c>
    </row>
    <row r="4923" customFormat="false" ht="15.75" hidden="false" customHeight="false" outlineLevel="0" collapsed="false">
      <c r="AO4923" s="8" t="str">
        <f aca="false">IF(A4923="","",IF(COUNTIFS(全馬データ!$A$2:$A$50000,A4923,全馬データ!$B$2:$B$50000,B4923,全馬データ!$C$2:$C$50000,C4923,全馬データ!$D$2:$D$50000,E4923,全馬データ!$K$2:$K$50000,"&lt;&gt;")=0,"",SUMIFS(全馬データ!$K$2:$K$50000,全馬データ!$A$2:$A$50000,A4923,全馬データ!$B$2:$B$50000,B4923,全馬データ!$C$2:$C$50000,C4923,全馬データ!$D$2:$D$50000,E4923)))</f>
        <v/>
      </c>
      <c r="AP4923" s="8" t="str">
        <f aca="false">IF(A4923="","",IF(AO4923="","欠損",IF(AO4923&lt;=1.1,"1.0～1.1",IF(AO4923&lt;1.3,"1.2",IF(AO4923&lt;1.5,"1.3～1.4",IF(AO4923&lt;2,"1.5～1.9","2.0以上"))))))</f>
        <v/>
      </c>
      <c r="AQ4923" s="8" t="str">
        <f aca="false">IF(A4923="","",IF(ISNUMBER(SEARCH("2歳",Z4923)),"2歳戦",IF(ISNUMBER(SEARCH("3歳未勝利",Z4923)),"3歳未勝利",IF(ISNUMBER(SEARCH("未勝利",Z4923)),"その他未勝利",IF(ISNUMBER(SEARCH("G1",Z4923)),"G1",IF(ISNUMBER(SEARCH("G2",Z4923)),"G2",IF(ISNUMBER(SEARCH("G3",Z4923)),"G3",IF(ISNUMBER(SEARCH("古馬条件",Z4923)),"古馬条件戦",IF(ISNUMBER(SEARCH("重賞",Z4923)),"重賞","分類不能")))))))))</f>
        <v/>
      </c>
    </row>
    <row r="4924" customFormat="false" ht="15.75" hidden="false" customHeight="false" outlineLevel="0" collapsed="false">
      <c r="AO4924" s="8" t="str">
        <f aca="false">IF(A4924="","",IF(COUNTIFS(全馬データ!$A$2:$A$50000,A4924,全馬データ!$B$2:$B$50000,B4924,全馬データ!$C$2:$C$50000,C4924,全馬データ!$D$2:$D$50000,E4924,全馬データ!$K$2:$K$50000,"&lt;&gt;")=0,"",SUMIFS(全馬データ!$K$2:$K$50000,全馬データ!$A$2:$A$50000,A4924,全馬データ!$B$2:$B$50000,B4924,全馬データ!$C$2:$C$50000,C4924,全馬データ!$D$2:$D$50000,E4924)))</f>
        <v/>
      </c>
      <c r="AP4924" s="8" t="str">
        <f aca="false">IF(A4924="","",IF(AO4924="","欠損",IF(AO4924&lt;=1.1,"1.0～1.1",IF(AO4924&lt;1.3,"1.2",IF(AO4924&lt;1.5,"1.3～1.4",IF(AO4924&lt;2,"1.5～1.9","2.0以上"))))))</f>
        <v/>
      </c>
      <c r="AQ4924" s="8" t="str">
        <f aca="false">IF(A4924="","",IF(ISNUMBER(SEARCH("2歳",Z4924)),"2歳戦",IF(ISNUMBER(SEARCH("3歳未勝利",Z4924)),"3歳未勝利",IF(ISNUMBER(SEARCH("未勝利",Z4924)),"その他未勝利",IF(ISNUMBER(SEARCH("G1",Z4924)),"G1",IF(ISNUMBER(SEARCH("G2",Z4924)),"G2",IF(ISNUMBER(SEARCH("G3",Z4924)),"G3",IF(ISNUMBER(SEARCH("古馬条件",Z4924)),"古馬条件戦",IF(ISNUMBER(SEARCH("重賞",Z4924)),"重賞","分類不能")))))))))</f>
        <v/>
      </c>
    </row>
    <row r="4925" customFormat="false" ht="15.75" hidden="false" customHeight="false" outlineLevel="0" collapsed="false">
      <c r="AO4925" s="8" t="str">
        <f aca="false">IF(A4925="","",IF(COUNTIFS(全馬データ!$A$2:$A$50000,A4925,全馬データ!$B$2:$B$50000,B4925,全馬データ!$C$2:$C$50000,C4925,全馬データ!$D$2:$D$50000,E4925,全馬データ!$K$2:$K$50000,"&lt;&gt;")=0,"",SUMIFS(全馬データ!$K$2:$K$50000,全馬データ!$A$2:$A$50000,A4925,全馬データ!$B$2:$B$50000,B4925,全馬データ!$C$2:$C$50000,C4925,全馬データ!$D$2:$D$50000,E4925)))</f>
        <v/>
      </c>
      <c r="AP4925" s="8" t="str">
        <f aca="false">IF(A4925="","",IF(AO4925="","欠損",IF(AO4925&lt;=1.1,"1.0～1.1",IF(AO4925&lt;1.3,"1.2",IF(AO4925&lt;1.5,"1.3～1.4",IF(AO4925&lt;2,"1.5～1.9","2.0以上"))))))</f>
        <v/>
      </c>
      <c r="AQ4925" s="8" t="str">
        <f aca="false">IF(A4925="","",IF(ISNUMBER(SEARCH("2歳",Z4925)),"2歳戦",IF(ISNUMBER(SEARCH("3歳未勝利",Z4925)),"3歳未勝利",IF(ISNUMBER(SEARCH("未勝利",Z4925)),"その他未勝利",IF(ISNUMBER(SEARCH("G1",Z4925)),"G1",IF(ISNUMBER(SEARCH("G2",Z4925)),"G2",IF(ISNUMBER(SEARCH("G3",Z4925)),"G3",IF(ISNUMBER(SEARCH("古馬条件",Z4925)),"古馬条件戦",IF(ISNUMBER(SEARCH("重賞",Z4925)),"重賞","分類不能")))))))))</f>
        <v/>
      </c>
    </row>
    <row r="4926" customFormat="false" ht="15.75" hidden="false" customHeight="false" outlineLevel="0" collapsed="false">
      <c r="AO4926" s="8" t="str">
        <f aca="false">IF(A4926="","",IF(COUNTIFS(全馬データ!$A$2:$A$50000,A4926,全馬データ!$B$2:$B$50000,B4926,全馬データ!$C$2:$C$50000,C4926,全馬データ!$D$2:$D$50000,E4926,全馬データ!$K$2:$K$50000,"&lt;&gt;")=0,"",SUMIFS(全馬データ!$K$2:$K$50000,全馬データ!$A$2:$A$50000,A4926,全馬データ!$B$2:$B$50000,B4926,全馬データ!$C$2:$C$50000,C4926,全馬データ!$D$2:$D$50000,E4926)))</f>
        <v/>
      </c>
      <c r="AP4926" s="8" t="str">
        <f aca="false">IF(A4926="","",IF(AO4926="","欠損",IF(AO4926&lt;=1.1,"1.0～1.1",IF(AO4926&lt;1.3,"1.2",IF(AO4926&lt;1.5,"1.3～1.4",IF(AO4926&lt;2,"1.5～1.9","2.0以上"))))))</f>
        <v/>
      </c>
      <c r="AQ4926" s="8" t="str">
        <f aca="false">IF(A4926="","",IF(ISNUMBER(SEARCH("2歳",Z4926)),"2歳戦",IF(ISNUMBER(SEARCH("3歳未勝利",Z4926)),"3歳未勝利",IF(ISNUMBER(SEARCH("未勝利",Z4926)),"その他未勝利",IF(ISNUMBER(SEARCH("G1",Z4926)),"G1",IF(ISNUMBER(SEARCH("G2",Z4926)),"G2",IF(ISNUMBER(SEARCH("G3",Z4926)),"G3",IF(ISNUMBER(SEARCH("古馬条件",Z4926)),"古馬条件戦",IF(ISNUMBER(SEARCH("重賞",Z4926)),"重賞","分類不能")))))))))</f>
        <v/>
      </c>
    </row>
    <row r="4927" customFormat="false" ht="15.75" hidden="false" customHeight="false" outlineLevel="0" collapsed="false">
      <c r="AO4927" s="8" t="str">
        <f aca="false">IF(A4927="","",IF(COUNTIFS(全馬データ!$A$2:$A$50000,A4927,全馬データ!$B$2:$B$50000,B4927,全馬データ!$C$2:$C$50000,C4927,全馬データ!$D$2:$D$50000,E4927,全馬データ!$K$2:$K$50000,"&lt;&gt;")=0,"",SUMIFS(全馬データ!$K$2:$K$50000,全馬データ!$A$2:$A$50000,A4927,全馬データ!$B$2:$B$50000,B4927,全馬データ!$C$2:$C$50000,C4927,全馬データ!$D$2:$D$50000,E4927)))</f>
        <v/>
      </c>
      <c r="AP4927" s="8" t="str">
        <f aca="false">IF(A4927="","",IF(AO4927="","欠損",IF(AO4927&lt;=1.1,"1.0～1.1",IF(AO4927&lt;1.3,"1.2",IF(AO4927&lt;1.5,"1.3～1.4",IF(AO4927&lt;2,"1.5～1.9","2.0以上"))))))</f>
        <v/>
      </c>
      <c r="AQ4927" s="8" t="str">
        <f aca="false">IF(A4927="","",IF(ISNUMBER(SEARCH("2歳",Z4927)),"2歳戦",IF(ISNUMBER(SEARCH("3歳未勝利",Z4927)),"3歳未勝利",IF(ISNUMBER(SEARCH("未勝利",Z4927)),"その他未勝利",IF(ISNUMBER(SEARCH("G1",Z4927)),"G1",IF(ISNUMBER(SEARCH("G2",Z4927)),"G2",IF(ISNUMBER(SEARCH("G3",Z4927)),"G3",IF(ISNUMBER(SEARCH("古馬条件",Z4927)),"古馬条件戦",IF(ISNUMBER(SEARCH("重賞",Z4927)),"重賞","分類不能")))))))))</f>
        <v/>
      </c>
    </row>
    <row r="4928" customFormat="false" ht="15.75" hidden="false" customHeight="false" outlineLevel="0" collapsed="false">
      <c r="AO4928" s="8" t="str">
        <f aca="false">IF(A4928="","",IF(COUNTIFS(全馬データ!$A$2:$A$50000,A4928,全馬データ!$B$2:$B$50000,B4928,全馬データ!$C$2:$C$50000,C4928,全馬データ!$D$2:$D$50000,E4928,全馬データ!$K$2:$K$50000,"&lt;&gt;")=0,"",SUMIFS(全馬データ!$K$2:$K$50000,全馬データ!$A$2:$A$50000,A4928,全馬データ!$B$2:$B$50000,B4928,全馬データ!$C$2:$C$50000,C4928,全馬データ!$D$2:$D$50000,E4928)))</f>
        <v/>
      </c>
      <c r="AP4928" s="8" t="str">
        <f aca="false">IF(A4928="","",IF(AO4928="","欠損",IF(AO4928&lt;=1.1,"1.0～1.1",IF(AO4928&lt;1.3,"1.2",IF(AO4928&lt;1.5,"1.3～1.4",IF(AO4928&lt;2,"1.5～1.9","2.0以上"))))))</f>
        <v/>
      </c>
      <c r="AQ4928" s="8" t="str">
        <f aca="false">IF(A4928="","",IF(ISNUMBER(SEARCH("2歳",Z4928)),"2歳戦",IF(ISNUMBER(SEARCH("3歳未勝利",Z4928)),"3歳未勝利",IF(ISNUMBER(SEARCH("未勝利",Z4928)),"その他未勝利",IF(ISNUMBER(SEARCH("G1",Z4928)),"G1",IF(ISNUMBER(SEARCH("G2",Z4928)),"G2",IF(ISNUMBER(SEARCH("G3",Z4928)),"G3",IF(ISNUMBER(SEARCH("古馬条件",Z4928)),"古馬条件戦",IF(ISNUMBER(SEARCH("重賞",Z4928)),"重賞","分類不能")))))))))</f>
        <v/>
      </c>
    </row>
    <row r="4929" customFormat="false" ht="15.75" hidden="false" customHeight="false" outlineLevel="0" collapsed="false">
      <c r="AO4929" s="8" t="str">
        <f aca="false">IF(A4929="","",IF(COUNTIFS(全馬データ!$A$2:$A$50000,A4929,全馬データ!$B$2:$B$50000,B4929,全馬データ!$C$2:$C$50000,C4929,全馬データ!$D$2:$D$50000,E4929,全馬データ!$K$2:$K$50000,"&lt;&gt;")=0,"",SUMIFS(全馬データ!$K$2:$K$50000,全馬データ!$A$2:$A$50000,A4929,全馬データ!$B$2:$B$50000,B4929,全馬データ!$C$2:$C$50000,C4929,全馬データ!$D$2:$D$50000,E4929)))</f>
        <v/>
      </c>
      <c r="AP4929" s="8" t="str">
        <f aca="false">IF(A4929="","",IF(AO4929="","欠損",IF(AO4929&lt;=1.1,"1.0～1.1",IF(AO4929&lt;1.3,"1.2",IF(AO4929&lt;1.5,"1.3～1.4",IF(AO4929&lt;2,"1.5～1.9","2.0以上"))))))</f>
        <v/>
      </c>
      <c r="AQ4929" s="8" t="str">
        <f aca="false">IF(A4929="","",IF(ISNUMBER(SEARCH("2歳",Z4929)),"2歳戦",IF(ISNUMBER(SEARCH("3歳未勝利",Z4929)),"3歳未勝利",IF(ISNUMBER(SEARCH("未勝利",Z4929)),"その他未勝利",IF(ISNUMBER(SEARCH("G1",Z4929)),"G1",IF(ISNUMBER(SEARCH("G2",Z4929)),"G2",IF(ISNUMBER(SEARCH("G3",Z4929)),"G3",IF(ISNUMBER(SEARCH("古馬条件",Z4929)),"古馬条件戦",IF(ISNUMBER(SEARCH("重賞",Z4929)),"重賞","分類不能")))))))))</f>
        <v/>
      </c>
    </row>
    <row r="4930" customFormat="false" ht="15.75" hidden="false" customHeight="false" outlineLevel="0" collapsed="false">
      <c r="AO4930" s="8" t="str">
        <f aca="false">IF(A4930="","",IF(COUNTIFS(全馬データ!$A$2:$A$50000,A4930,全馬データ!$B$2:$B$50000,B4930,全馬データ!$C$2:$C$50000,C4930,全馬データ!$D$2:$D$50000,E4930,全馬データ!$K$2:$K$50000,"&lt;&gt;")=0,"",SUMIFS(全馬データ!$K$2:$K$50000,全馬データ!$A$2:$A$50000,A4930,全馬データ!$B$2:$B$50000,B4930,全馬データ!$C$2:$C$50000,C4930,全馬データ!$D$2:$D$50000,E4930)))</f>
        <v/>
      </c>
      <c r="AP4930" s="8" t="str">
        <f aca="false">IF(A4930="","",IF(AO4930="","欠損",IF(AO4930&lt;=1.1,"1.0～1.1",IF(AO4930&lt;1.3,"1.2",IF(AO4930&lt;1.5,"1.3～1.4",IF(AO4930&lt;2,"1.5～1.9","2.0以上"))))))</f>
        <v/>
      </c>
      <c r="AQ4930" s="8" t="str">
        <f aca="false">IF(A4930="","",IF(ISNUMBER(SEARCH("2歳",Z4930)),"2歳戦",IF(ISNUMBER(SEARCH("3歳未勝利",Z4930)),"3歳未勝利",IF(ISNUMBER(SEARCH("未勝利",Z4930)),"その他未勝利",IF(ISNUMBER(SEARCH("G1",Z4930)),"G1",IF(ISNUMBER(SEARCH("G2",Z4930)),"G2",IF(ISNUMBER(SEARCH("G3",Z4930)),"G3",IF(ISNUMBER(SEARCH("古馬条件",Z4930)),"古馬条件戦",IF(ISNUMBER(SEARCH("重賞",Z4930)),"重賞","分類不能")))))))))</f>
        <v/>
      </c>
    </row>
    <row r="4931" customFormat="false" ht="15.75" hidden="false" customHeight="false" outlineLevel="0" collapsed="false">
      <c r="AO4931" s="8" t="str">
        <f aca="false">IF(A4931="","",IF(COUNTIFS(全馬データ!$A$2:$A$50000,A4931,全馬データ!$B$2:$B$50000,B4931,全馬データ!$C$2:$C$50000,C4931,全馬データ!$D$2:$D$50000,E4931,全馬データ!$K$2:$K$50000,"&lt;&gt;")=0,"",SUMIFS(全馬データ!$K$2:$K$50000,全馬データ!$A$2:$A$50000,A4931,全馬データ!$B$2:$B$50000,B4931,全馬データ!$C$2:$C$50000,C4931,全馬データ!$D$2:$D$50000,E4931)))</f>
        <v/>
      </c>
      <c r="AP4931" s="8" t="str">
        <f aca="false">IF(A4931="","",IF(AO4931="","欠損",IF(AO4931&lt;=1.1,"1.0～1.1",IF(AO4931&lt;1.3,"1.2",IF(AO4931&lt;1.5,"1.3～1.4",IF(AO4931&lt;2,"1.5～1.9","2.0以上"))))))</f>
        <v/>
      </c>
      <c r="AQ4931" s="8" t="str">
        <f aca="false">IF(A4931="","",IF(ISNUMBER(SEARCH("2歳",Z4931)),"2歳戦",IF(ISNUMBER(SEARCH("3歳未勝利",Z4931)),"3歳未勝利",IF(ISNUMBER(SEARCH("未勝利",Z4931)),"その他未勝利",IF(ISNUMBER(SEARCH("G1",Z4931)),"G1",IF(ISNUMBER(SEARCH("G2",Z4931)),"G2",IF(ISNUMBER(SEARCH("G3",Z4931)),"G3",IF(ISNUMBER(SEARCH("古馬条件",Z4931)),"古馬条件戦",IF(ISNUMBER(SEARCH("重賞",Z4931)),"重賞","分類不能")))))))))</f>
        <v/>
      </c>
    </row>
    <row r="4932" customFormat="false" ht="15.75" hidden="false" customHeight="false" outlineLevel="0" collapsed="false">
      <c r="AO4932" s="8" t="str">
        <f aca="false">IF(A4932="","",IF(COUNTIFS(全馬データ!$A$2:$A$50000,A4932,全馬データ!$B$2:$B$50000,B4932,全馬データ!$C$2:$C$50000,C4932,全馬データ!$D$2:$D$50000,E4932,全馬データ!$K$2:$K$50000,"&lt;&gt;")=0,"",SUMIFS(全馬データ!$K$2:$K$50000,全馬データ!$A$2:$A$50000,A4932,全馬データ!$B$2:$B$50000,B4932,全馬データ!$C$2:$C$50000,C4932,全馬データ!$D$2:$D$50000,E4932)))</f>
        <v/>
      </c>
      <c r="AP4932" s="8" t="str">
        <f aca="false">IF(A4932="","",IF(AO4932="","欠損",IF(AO4932&lt;=1.1,"1.0～1.1",IF(AO4932&lt;1.3,"1.2",IF(AO4932&lt;1.5,"1.3～1.4",IF(AO4932&lt;2,"1.5～1.9","2.0以上"))))))</f>
        <v/>
      </c>
      <c r="AQ4932" s="8" t="str">
        <f aca="false">IF(A4932="","",IF(ISNUMBER(SEARCH("2歳",Z4932)),"2歳戦",IF(ISNUMBER(SEARCH("3歳未勝利",Z4932)),"3歳未勝利",IF(ISNUMBER(SEARCH("未勝利",Z4932)),"その他未勝利",IF(ISNUMBER(SEARCH("G1",Z4932)),"G1",IF(ISNUMBER(SEARCH("G2",Z4932)),"G2",IF(ISNUMBER(SEARCH("G3",Z4932)),"G3",IF(ISNUMBER(SEARCH("古馬条件",Z4932)),"古馬条件戦",IF(ISNUMBER(SEARCH("重賞",Z4932)),"重賞","分類不能")))))))))</f>
        <v/>
      </c>
    </row>
    <row r="4933" customFormat="false" ht="15.75" hidden="false" customHeight="false" outlineLevel="0" collapsed="false">
      <c r="AO4933" s="8" t="str">
        <f aca="false">IF(A4933="","",IF(COUNTIFS(全馬データ!$A$2:$A$50000,A4933,全馬データ!$B$2:$B$50000,B4933,全馬データ!$C$2:$C$50000,C4933,全馬データ!$D$2:$D$50000,E4933,全馬データ!$K$2:$K$50000,"&lt;&gt;")=0,"",SUMIFS(全馬データ!$K$2:$K$50000,全馬データ!$A$2:$A$50000,A4933,全馬データ!$B$2:$B$50000,B4933,全馬データ!$C$2:$C$50000,C4933,全馬データ!$D$2:$D$50000,E4933)))</f>
        <v/>
      </c>
      <c r="AP4933" s="8" t="str">
        <f aca="false">IF(A4933="","",IF(AO4933="","欠損",IF(AO4933&lt;=1.1,"1.0～1.1",IF(AO4933&lt;1.3,"1.2",IF(AO4933&lt;1.5,"1.3～1.4",IF(AO4933&lt;2,"1.5～1.9","2.0以上"))))))</f>
        <v/>
      </c>
      <c r="AQ4933" s="8" t="str">
        <f aca="false">IF(A4933="","",IF(ISNUMBER(SEARCH("2歳",Z4933)),"2歳戦",IF(ISNUMBER(SEARCH("3歳未勝利",Z4933)),"3歳未勝利",IF(ISNUMBER(SEARCH("未勝利",Z4933)),"その他未勝利",IF(ISNUMBER(SEARCH("G1",Z4933)),"G1",IF(ISNUMBER(SEARCH("G2",Z4933)),"G2",IF(ISNUMBER(SEARCH("G3",Z4933)),"G3",IF(ISNUMBER(SEARCH("古馬条件",Z4933)),"古馬条件戦",IF(ISNUMBER(SEARCH("重賞",Z4933)),"重賞","分類不能")))))))))</f>
        <v/>
      </c>
    </row>
    <row r="4934" customFormat="false" ht="15.75" hidden="false" customHeight="false" outlineLevel="0" collapsed="false">
      <c r="AO4934" s="8" t="str">
        <f aca="false">IF(A4934="","",IF(COUNTIFS(全馬データ!$A$2:$A$50000,A4934,全馬データ!$B$2:$B$50000,B4934,全馬データ!$C$2:$C$50000,C4934,全馬データ!$D$2:$D$50000,E4934,全馬データ!$K$2:$K$50000,"&lt;&gt;")=0,"",SUMIFS(全馬データ!$K$2:$K$50000,全馬データ!$A$2:$A$50000,A4934,全馬データ!$B$2:$B$50000,B4934,全馬データ!$C$2:$C$50000,C4934,全馬データ!$D$2:$D$50000,E4934)))</f>
        <v/>
      </c>
      <c r="AP4934" s="8" t="str">
        <f aca="false">IF(A4934="","",IF(AO4934="","欠損",IF(AO4934&lt;=1.1,"1.0～1.1",IF(AO4934&lt;1.3,"1.2",IF(AO4934&lt;1.5,"1.3～1.4",IF(AO4934&lt;2,"1.5～1.9","2.0以上"))))))</f>
        <v/>
      </c>
      <c r="AQ4934" s="8" t="str">
        <f aca="false">IF(A4934="","",IF(ISNUMBER(SEARCH("2歳",Z4934)),"2歳戦",IF(ISNUMBER(SEARCH("3歳未勝利",Z4934)),"3歳未勝利",IF(ISNUMBER(SEARCH("未勝利",Z4934)),"その他未勝利",IF(ISNUMBER(SEARCH("G1",Z4934)),"G1",IF(ISNUMBER(SEARCH("G2",Z4934)),"G2",IF(ISNUMBER(SEARCH("G3",Z4934)),"G3",IF(ISNUMBER(SEARCH("古馬条件",Z4934)),"古馬条件戦",IF(ISNUMBER(SEARCH("重賞",Z4934)),"重賞","分類不能")))))))))</f>
        <v/>
      </c>
    </row>
    <row r="4935" customFormat="false" ht="15.75" hidden="false" customHeight="false" outlineLevel="0" collapsed="false">
      <c r="AO4935" s="8" t="str">
        <f aca="false">IF(A4935="","",IF(COUNTIFS(全馬データ!$A$2:$A$50000,A4935,全馬データ!$B$2:$B$50000,B4935,全馬データ!$C$2:$C$50000,C4935,全馬データ!$D$2:$D$50000,E4935,全馬データ!$K$2:$K$50000,"&lt;&gt;")=0,"",SUMIFS(全馬データ!$K$2:$K$50000,全馬データ!$A$2:$A$50000,A4935,全馬データ!$B$2:$B$50000,B4935,全馬データ!$C$2:$C$50000,C4935,全馬データ!$D$2:$D$50000,E4935)))</f>
        <v/>
      </c>
      <c r="AP4935" s="8" t="str">
        <f aca="false">IF(A4935="","",IF(AO4935="","欠損",IF(AO4935&lt;=1.1,"1.0～1.1",IF(AO4935&lt;1.3,"1.2",IF(AO4935&lt;1.5,"1.3～1.4",IF(AO4935&lt;2,"1.5～1.9","2.0以上"))))))</f>
        <v/>
      </c>
      <c r="AQ4935" s="8" t="str">
        <f aca="false">IF(A4935="","",IF(ISNUMBER(SEARCH("2歳",Z4935)),"2歳戦",IF(ISNUMBER(SEARCH("3歳未勝利",Z4935)),"3歳未勝利",IF(ISNUMBER(SEARCH("未勝利",Z4935)),"その他未勝利",IF(ISNUMBER(SEARCH("G1",Z4935)),"G1",IF(ISNUMBER(SEARCH("G2",Z4935)),"G2",IF(ISNUMBER(SEARCH("G3",Z4935)),"G3",IF(ISNUMBER(SEARCH("古馬条件",Z4935)),"古馬条件戦",IF(ISNUMBER(SEARCH("重賞",Z4935)),"重賞","分類不能")))))))))</f>
        <v/>
      </c>
    </row>
    <row r="4936" customFormat="false" ht="15.75" hidden="false" customHeight="false" outlineLevel="0" collapsed="false">
      <c r="AO4936" s="8" t="str">
        <f aca="false">IF(A4936="","",IF(COUNTIFS(全馬データ!$A$2:$A$50000,A4936,全馬データ!$B$2:$B$50000,B4936,全馬データ!$C$2:$C$50000,C4936,全馬データ!$D$2:$D$50000,E4936,全馬データ!$K$2:$K$50000,"&lt;&gt;")=0,"",SUMIFS(全馬データ!$K$2:$K$50000,全馬データ!$A$2:$A$50000,A4936,全馬データ!$B$2:$B$50000,B4936,全馬データ!$C$2:$C$50000,C4936,全馬データ!$D$2:$D$50000,E4936)))</f>
        <v/>
      </c>
      <c r="AP4936" s="8" t="str">
        <f aca="false">IF(A4936="","",IF(AO4936="","欠損",IF(AO4936&lt;=1.1,"1.0～1.1",IF(AO4936&lt;1.3,"1.2",IF(AO4936&lt;1.5,"1.3～1.4",IF(AO4936&lt;2,"1.5～1.9","2.0以上"))))))</f>
        <v/>
      </c>
      <c r="AQ4936" s="8" t="str">
        <f aca="false">IF(A4936="","",IF(ISNUMBER(SEARCH("2歳",Z4936)),"2歳戦",IF(ISNUMBER(SEARCH("3歳未勝利",Z4936)),"3歳未勝利",IF(ISNUMBER(SEARCH("未勝利",Z4936)),"その他未勝利",IF(ISNUMBER(SEARCH("G1",Z4936)),"G1",IF(ISNUMBER(SEARCH("G2",Z4936)),"G2",IF(ISNUMBER(SEARCH("G3",Z4936)),"G3",IF(ISNUMBER(SEARCH("古馬条件",Z4936)),"古馬条件戦",IF(ISNUMBER(SEARCH("重賞",Z4936)),"重賞","分類不能")))))))))</f>
        <v/>
      </c>
    </row>
    <row r="4937" customFormat="false" ht="15.75" hidden="false" customHeight="false" outlineLevel="0" collapsed="false">
      <c r="AO4937" s="8" t="str">
        <f aca="false">IF(A4937="","",IF(COUNTIFS(全馬データ!$A$2:$A$50000,A4937,全馬データ!$B$2:$B$50000,B4937,全馬データ!$C$2:$C$50000,C4937,全馬データ!$D$2:$D$50000,E4937,全馬データ!$K$2:$K$50000,"&lt;&gt;")=0,"",SUMIFS(全馬データ!$K$2:$K$50000,全馬データ!$A$2:$A$50000,A4937,全馬データ!$B$2:$B$50000,B4937,全馬データ!$C$2:$C$50000,C4937,全馬データ!$D$2:$D$50000,E4937)))</f>
        <v/>
      </c>
      <c r="AP4937" s="8" t="str">
        <f aca="false">IF(A4937="","",IF(AO4937="","欠損",IF(AO4937&lt;=1.1,"1.0～1.1",IF(AO4937&lt;1.3,"1.2",IF(AO4937&lt;1.5,"1.3～1.4",IF(AO4937&lt;2,"1.5～1.9","2.0以上"))))))</f>
        <v/>
      </c>
      <c r="AQ4937" s="8" t="str">
        <f aca="false">IF(A4937="","",IF(ISNUMBER(SEARCH("2歳",Z4937)),"2歳戦",IF(ISNUMBER(SEARCH("3歳未勝利",Z4937)),"3歳未勝利",IF(ISNUMBER(SEARCH("未勝利",Z4937)),"その他未勝利",IF(ISNUMBER(SEARCH("G1",Z4937)),"G1",IF(ISNUMBER(SEARCH("G2",Z4937)),"G2",IF(ISNUMBER(SEARCH("G3",Z4937)),"G3",IF(ISNUMBER(SEARCH("古馬条件",Z4937)),"古馬条件戦",IF(ISNUMBER(SEARCH("重賞",Z4937)),"重賞","分類不能")))))))))</f>
        <v/>
      </c>
    </row>
    <row r="4938" customFormat="false" ht="15.75" hidden="false" customHeight="false" outlineLevel="0" collapsed="false">
      <c r="AO4938" s="8" t="str">
        <f aca="false">IF(A4938="","",IF(COUNTIFS(全馬データ!$A$2:$A$50000,A4938,全馬データ!$B$2:$B$50000,B4938,全馬データ!$C$2:$C$50000,C4938,全馬データ!$D$2:$D$50000,E4938,全馬データ!$K$2:$K$50000,"&lt;&gt;")=0,"",SUMIFS(全馬データ!$K$2:$K$50000,全馬データ!$A$2:$A$50000,A4938,全馬データ!$B$2:$B$50000,B4938,全馬データ!$C$2:$C$50000,C4938,全馬データ!$D$2:$D$50000,E4938)))</f>
        <v/>
      </c>
      <c r="AP4938" s="8" t="str">
        <f aca="false">IF(A4938="","",IF(AO4938="","欠損",IF(AO4938&lt;=1.1,"1.0～1.1",IF(AO4938&lt;1.3,"1.2",IF(AO4938&lt;1.5,"1.3～1.4",IF(AO4938&lt;2,"1.5～1.9","2.0以上"))))))</f>
        <v/>
      </c>
      <c r="AQ4938" s="8" t="str">
        <f aca="false">IF(A4938="","",IF(ISNUMBER(SEARCH("2歳",Z4938)),"2歳戦",IF(ISNUMBER(SEARCH("3歳未勝利",Z4938)),"3歳未勝利",IF(ISNUMBER(SEARCH("未勝利",Z4938)),"その他未勝利",IF(ISNUMBER(SEARCH("G1",Z4938)),"G1",IF(ISNUMBER(SEARCH("G2",Z4938)),"G2",IF(ISNUMBER(SEARCH("G3",Z4938)),"G3",IF(ISNUMBER(SEARCH("古馬条件",Z4938)),"古馬条件戦",IF(ISNUMBER(SEARCH("重賞",Z4938)),"重賞","分類不能")))))))))</f>
        <v/>
      </c>
    </row>
    <row r="4939" customFormat="false" ht="15.75" hidden="false" customHeight="false" outlineLevel="0" collapsed="false">
      <c r="AO4939" s="8" t="str">
        <f aca="false">IF(A4939="","",IF(COUNTIFS(全馬データ!$A$2:$A$50000,A4939,全馬データ!$B$2:$B$50000,B4939,全馬データ!$C$2:$C$50000,C4939,全馬データ!$D$2:$D$50000,E4939,全馬データ!$K$2:$K$50000,"&lt;&gt;")=0,"",SUMIFS(全馬データ!$K$2:$K$50000,全馬データ!$A$2:$A$50000,A4939,全馬データ!$B$2:$B$50000,B4939,全馬データ!$C$2:$C$50000,C4939,全馬データ!$D$2:$D$50000,E4939)))</f>
        <v/>
      </c>
      <c r="AP4939" s="8" t="str">
        <f aca="false">IF(A4939="","",IF(AO4939="","欠損",IF(AO4939&lt;=1.1,"1.0～1.1",IF(AO4939&lt;1.3,"1.2",IF(AO4939&lt;1.5,"1.3～1.4",IF(AO4939&lt;2,"1.5～1.9","2.0以上"))))))</f>
        <v/>
      </c>
      <c r="AQ4939" s="8" t="str">
        <f aca="false">IF(A4939="","",IF(ISNUMBER(SEARCH("2歳",Z4939)),"2歳戦",IF(ISNUMBER(SEARCH("3歳未勝利",Z4939)),"3歳未勝利",IF(ISNUMBER(SEARCH("未勝利",Z4939)),"その他未勝利",IF(ISNUMBER(SEARCH("G1",Z4939)),"G1",IF(ISNUMBER(SEARCH("G2",Z4939)),"G2",IF(ISNUMBER(SEARCH("G3",Z4939)),"G3",IF(ISNUMBER(SEARCH("古馬条件",Z4939)),"古馬条件戦",IF(ISNUMBER(SEARCH("重賞",Z4939)),"重賞","分類不能")))))))))</f>
        <v/>
      </c>
    </row>
    <row r="4940" customFormat="false" ht="15.75" hidden="false" customHeight="false" outlineLevel="0" collapsed="false">
      <c r="AO4940" s="8" t="str">
        <f aca="false">IF(A4940="","",IF(COUNTIFS(全馬データ!$A$2:$A$50000,A4940,全馬データ!$B$2:$B$50000,B4940,全馬データ!$C$2:$C$50000,C4940,全馬データ!$D$2:$D$50000,E4940,全馬データ!$K$2:$K$50000,"&lt;&gt;")=0,"",SUMIFS(全馬データ!$K$2:$K$50000,全馬データ!$A$2:$A$50000,A4940,全馬データ!$B$2:$B$50000,B4940,全馬データ!$C$2:$C$50000,C4940,全馬データ!$D$2:$D$50000,E4940)))</f>
        <v/>
      </c>
      <c r="AP4940" s="8" t="str">
        <f aca="false">IF(A4940="","",IF(AO4940="","欠損",IF(AO4940&lt;=1.1,"1.0～1.1",IF(AO4940&lt;1.3,"1.2",IF(AO4940&lt;1.5,"1.3～1.4",IF(AO4940&lt;2,"1.5～1.9","2.0以上"))))))</f>
        <v/>
      </c>
      <c r="AQ4940" s="8" t="str">
        <f aca="false">IF(A4940="","",IF(ISNUMBER(SEARCH("2歳",Z4940)),"2歳戦",IF(ISNUMBER(SEARCH("3歳未勝利",Z4940)),"3歳未勝利",IF(ISNUMBER(SEARCH("未勝利",Z4940)),"その他未勝利",IF(ISNUMBER(SEARCH("G1",Z4940)),"G1",IF(ISNUMBER(SEARCH("G2",Z4940)),"G2",IF(ISNUMBER(SEARCH("G3",Z4940)),"G3",IF(ISNUMBER(SEARCH("古馬条件",Z4940)),"古馬条件戦",IF(ISNUMBER(SEARCH("重賞",Z4940)),"重賞","分類不能")))))))))</f>
        <v/>
      </c>
    </row>
    <row r="4941" customFormat="false" ht="15.75" hidden="false" customHeight="false" outlineLevel="0" collapsed="false">
      <c r="AO4941" s="8" t="str">
        <f aca="false">IF(A4941="","",IF(COUNTIFS(全馬データ!$A$2:$A$50000,A4941,全馬データ!$B$2:$B$50000,B4941,全馬データ!$C$2:$C$50000,C4941,全馬データ!$D$2:$D$50000,E4941,全馬データ!$K$2:$K$50000,"&lt;&gt;")=0,"",SUMIFS(全馬データ!$K$2:$K$50000,全馬データ!$A$2:$A$50000,A4941,全馬データ!$B$2:$B$50000,B4941,全馬データ!$C$2:$C$50000,C4941,全馬データ!$D$2:$D$50000,E4941)))</f>
        <v/>
      </c>
      <c r="AP4941" s="8" t="str">
        <f aca="false">IF(A4941="","",IF(AO4941="","欠損",IF(AO4941&lt;=1.1,"1.0～1.1",IF(AO4941&lt;1.3,"1.2",IF(AO4941&lt;1.5,"1.3～1.4",IF(AO4941&lt;2,"1.5～1.9","2.0以上"))))))</f>
        <v/>
      </c>
      <c r="AQ4941" s="8" t="str">
        <f aca="false">IF(A4941="","",IF(ISNUMBER(SEARCH("2歳",Z4941)),"2歳戦",IF(ISNUMBER(SEARCH("3歳未勝利",Z4941)),"3歳未勝利",IF(ISNUMBER(SEARCH("未勝利",Z4941)),"その他未勝利",IF(ISNUMBER(SEARCH("G1",Z4941)),"G1",IF(ISNUMBER(SEARCH("G2",Z4941)),"G2",IF(ISNUMBER(SEARCH("G3",Z4941)),"G3",IF(ISNUMBER(SEARCH("古馬条件",Z4941)),"古馬条件戦",IF(ISNUMBER(SEARCH("重賞",Z4941)),"重賞","分類不能")))))))))</f>
        <v/>
      </c>
    </row>
    <row r="4942" customFormat="false" ht="15.75" hidden="false" customHeight="false" outlineLevel="0" collapsed="false">
      <c r="AO4942" s="8" t="str">
        <f aca="false">IF(A4942="","",IF(COUNTIFS(全馬データ!$A$2:$A$50000,A4942,全馬データ!$B$2:$B$50000,B4942,全馬データ!$C$2:$C$50000,C4942,全馬データ!$D$2:$D$50000,E4942,全馬データ!$K$2:$K$50000,"&lt;&gt;")=0,"",SUMIFS(全馬データ!$K$2:$K$50000,全馬データ!$A$2:$A$50000,A4942,全馬データ!$B$2:$B$50000,B4942,全馬データ!$C$2:$C$50000,C4942,全馬データ!$D$2:$D$50000,E4942)))</f>
        <v/>
      </c>
      <c r="AP4942" s="8" t="str">
        <f aca="false">IF(A4942="","",IF(AO4942="","欠損",IF(AO4942&lt;=1.1,"1.0～1.1",IF(AO4942&lt;1.3,"1.2",IF(AO4942&lt;1.5,"1.3～1.4",IF(AO4942&lt;2,"1.5～1.9","2.0以上"))))))</f>
        <v/>
      </c>
      <c r="AQ4942" s="8" t="str">
        <f aca="false">IF(A4942="","",IF(ISNUMBER(SEARCH("2歳",Z4942)),"2歳戦",IF(ISNUMBER(SEARCH("3歳未勝利",Z4942)),"3歳未勝利",IF(ISNUMBER(SEARCH("未勝利",Z4942)),"その他未勝利",IF(ISNUMBER(SEARCH("G1",Z4942)),"G1",IF(ISNUMBER(SEARCH("G2",Z4942)),"G2",IF(ISNUMBER(SEARCH("G3",Z4942)),"G3",IF(ISNUMBER(SEARCH("古馬条件",Z4942)),"古馬条件戦",IF(ISNUMBER(SEARCH("重賞",Z4942)),"重賞","分類不能")))))))))</f>
        <v/>
      </c>
    </row>
    <row r="4943" customFormat="false" ht="15.75" hidden="false" customHeight="false" outlineLevel="0" collapsed="false">
      <c r="AO4943" s="8" t="str">
        <f aca="false">IF(A4943="","",IF(COUNTIFS(全馬データ!$A$2:$A$50000,A4943,全馬データ!$B$2:$B$50000,B4943,全馬データ!$C$2:$C$50000,C4943,全馬データ!$D$2:$D$50000,E4943,全馬データ!$K$2:$K$50000,"&lt;&gt;")=0,"",SUMIFS(全馬データ!$K$2:$K$50000,全馬データ!$A$2:$A$50000,A4943,全馬データ!$B$2:$B$50000,B4943,全馬データ!$C$2:$C$50000,C4943,全馬データ!$D$2:$D$50000,E4943)))</f>
        <v/>
      </c>
      <c r="AP4943" s="8" t="str">
        <f aca="false">IF(A4943="","",IF(AO4943="","欠損",IF(AO4943&lt;=1.1,"1.0～1.1",IF(AO4943&lt;1.3,"1.2",IF(AO4943&lt;1.5,"1.3～1.4",IF(AO4943&lt;2,"1.5～1.9","2.0以上"))))))</f>
        <v/>
      </c>
      <c r="AQ4943" s="8" t="str">
        <f aca="false">IF(A4943="","",IF(ISNUMBER(SEARCH("2歳",Z4943)),"2歳戦",IF(ISNUMBER(SEARCH("3歳未勝利",Z4943)),"3歳未勝利",IF(ISNUMBER(SEARCH("未勝利",Z4943)),"その他未勝利",IF(ISNUMBER(SEARCH("G1",Z4943)),"G1",IF(ISNUMBER(SEARCH("G2",Z4943)),"G2",IF(ISNUMBER(SEARCH("G3",Z4943)),"G3",IF(ISNUMBER(SEARCH("古馬条件",Z4943)),"古馬条件戦",IF(ISNUMBER(SEARCH("重賞",Z4943)),"重賞","分類不能")))))))))</f>
        <v/>
      </c>
    </row>
    <row r="4944" customFormat="false" ht="15.75" hidden="false" customHeight="false" outlineLevel="0" collapsed="false">
      <c r="AO4944" s="8" t="str">
        <f aca="false">IF(A4944="","",IF(COUNTIFS(全馬データ!$A$2:$A$50000,A4944,全馬データ!$B$2:$B$50000,B4944,全馬データ!$C$2:$C$50000,C4944,全馬データ!$D$2:$D$50000,E4944,全馬データ!$K$2:$K$50000,"&lt;&gt;")=0,"",SUMIFS(全馬データ!$K$2:$K$50000,全馬データ!$A$2:$A$50000,A4944,全馬データ!$B$2:$B$50000,B4944,全馬データ!$C$2:$C$50000,C4944,全馬データ!$D$2:$D$50000,E4944)))</f>
        <v/>
      </c>
      <c r="AP4944" s="8" t="str">
        <f aca="false">IF(A4944="","",IF(AO4944="","欠損",IF(AO4944&lt;=1.1,"1.0～1.1",IF(AO4944&lt;1.3,"1.2",IF(AO4944&lt;1.5,"1.3～1.4",IF(AO4944&lt;2,"1.5～1.9","2.0以上"))))))</f>
        <v/>
      </c>
      <c r="AQ4944" s="8" t="str">
        <f aca="false">IF(A4944="","",IF(ISNUMBER(SEARCH("2歳",Z4944)),"2歳戦",IF(ISNUMBER(SEARCH("3歳未勝利",Z4944)),"3歳未勝利",IF(ISNUMBER(SEARCH("未勝利",Z4944)),"その他未勝利",IF(ISNUMBER(SEARCH("G1",Z4944)),"G1",IF(ISNUMBER(SEARCH("G2",Z4944)),"G2",IF(ISNUMBER(SEARCH("G3",Z4944)),"G3",IF(ISNUMBER(SEARCH("古馬条件",Z4944)),"古馬条件戦",IF(ISNUMBER(SEARCH("重賞",Z4944)),"重賞","分類不能")))))))))</f>
        <v/>
      </c>
    </row>
    <row r="4945" customFormat="false" ht="15.75" hidden="false" customHeight="false" outlineLevel="0" collapsed="false">
      <c r="AO4945" s="8" t="str">
        <f aca="false">IF(A4945="","",IF(COUNTIFS(全馬データ!$A$2:$A$50000,A4945,全馬データ!$B$2:$B$50000,B4945,全馬データ!$C$2:$C$50000,C4945,全馬データ!$D$2:$D$50000,E4945,全馬データ!$K$2:$K$50000,"&lt;&gt;")=0,"",SUMIFS(全馬データ!$K$2:$K$50000,全馬データ!$A$2:$A$50000,A4945,全馬データ!$B$2:$B$50000,B4945,全馬データ!$C$2:$C$50000,C4945,全馬データ!$D$2:$D$50000,E4945)))</f>
        <v/>
      </c>
      <c r="AP4945" s="8" t="str">
        <f aca="false">IF(A4945="","",IF(AO4945="","欠損",IF(AO4945&lt;=1.1,"1.0～1.1",IF(AO4945&lt;1.3,"1.2",IF(AO4945&lt;1.5,"1.3～1.4",IF(AO4945&lt;2,"1.5～1.9","2.0以上"))))))</f>
        <v/>
      </c>
      <c r="AQ4945" s="8" t="str">
        <f aca="false">IF(A4945="","",IF(ISNUMBER(SEARCH("2歳",Z4945)),"2歳戦",IF(ISNUMBER(SEARCH("3歳未勝利",Z4945)),"3歳未勝利",IF(ISNUMBER(SEARCH("未勝利",Z4945)),"その他未勝利",IF(ISNUMBER(SEARCH("G1",Z4945)),"G1",IF(ISNUMBER(SEARCH("G2",Z4945)),"G2",IF(ISNUMBER(SEARCH("G3",Z4945)),"G3",IF(ISNUMBER(SEARCH("古馬条件",Z4945)),"古馬条件戦",IF(ISNUMBER(SEARCH("重賞",Z4945)),"重賞","分類不能")))))))))</f>
        <v/>
      </c>
    </row>
    <row r="4946" customFormat="false" ht="15.75" hidden="false" customHeight="false" outlineLevel="0" collapsed="false">
      <c r="AO4946" s="8" t="str">
        <f aca="false">IF(A4946="","",IF(COUNTIFS(全馬データ!$A$2:$A$50000,A4946,全馬データ!$B$2:$B$50000,B4946,全馬データ!$C$2:$C$50000,C4946,全馬データ!$D$2:$D$50000,E4946,全馬データ!$K$2:$K$50000,"&lt;&gt;")=0,"",SUMIFS(全馬データ!$K$2:$K$50000,全馬データ!$A$2:$A$50000,A4946,全馬データ!$B$2:$B$50000,B4946,全馬データ!$C$2:$C$50000,C4946,全馬データ!$D$2:$D$50000,E4946)))</f>
        <v/>
      </c>
      <c r="AP4946" s="8" t="str">
        <f aca="false">IF(A4946="","",IF(AO4946="","欠損",IF(AO4946&lt;=1.1,"1.0～1.1",IF(AO4946&lt;1.3,"1.2",IF(AO4946&lt;1.5,"1.3～1.4",IF(AO4946&lt;2,"1.5～1.9","2.0以上"))))))</f>
        <v/>
      </c>
      <c r="AQ4946" s="8" t="str">
        <f aca="false">IF(A4946="","",IF(ISNUMBER(SEARCH("2歳",Z4946)),"2歳戦",IF(ISNUMBER(SEARCH("3歳未勝利",Z4946)),"3歳未勝利",IF(ISNUMBER(SEARCH("未勝利",Z4946)),"その他未勝利",IF(ISNUMBER(SEARCH("G1",Z4946)),"G1",IF(ISNUMBER(SEARCH("G2",Z4946)),"G2",IF(ISNUMBER(SEARCH("G3",Z4946)),"G3",IF(ISNUMBER(SEARCH("古馬条件",Z4946)),"古馬条件戦",IF(ISNUMBER(SEARCH("重賞",Z4946)),"重賞","分類不能")))))))))</f>
        <v/>
      </c>
    </row>
    <row r="4947" customFormat="false" ht="15.75" hidden="false" customHeight="false" outlineLevel="0" collapsed="false">
      <c r="AO4947" s="8" t="str">
        <f aca="false">IF(A4947="","",IF(COUNTIFS(全馬データ!$A$2:$A$50000,A4947,全馬データ!$B$2:$B$50000,B4947,全馬データ!$C$2:$C$50000,C4947,全馬データ!$D$2:$D$50000,E4947,全馬データ!$K$2:$K$50000,"&lt;&gt;")=0,"",SUMIFS(全馬データ!$K$2:$K$50000,全馬データ!$A$2:$A$50000,A4947,全馬データ!$B$2:$B$50000,B4947,全馬データ!$C$2:$C$50000,C4947,全馬データ!$D$2:$D$50000,E4947)))</f>
        <v/>
      </c>
      <c r="AP4947" s="8" t="str">
        <f aca="false">IF(A4947="","",IF(AO4947="","欠損",IF(AO4947&lt;=1.1,"1.0～1.1",IF(AO4947&lt;1.3,"1.2",IF(AO4947&lt;1.5,"1.3～1.4",IF(AO4947&lt;2,"1.5～1.9","2.0以上"))))))</f>
        <v/>
      </c>
      <c r="AQ4947" s="8" t="str">
        <f aca="false">IF(A4947="","",IF(ISNUMBER(SEARCH("2歳",Z4947)),"2歳戦",IF(ISNUMBER(SEARCH("3歳未勝利",Z4947)),"3歳未勝利",IF(ISNUMBER(SEARCH("未勝利",Z4947)),"その他未勝利",IF(ISNUMBER(SEARCH("G1",Z4947)),"G1",IF(ISNUMBER(SEARCH("G2",Z4947)),"G2",IF(ISNUMBER(SEARCH("G3",Z4947)),"G3",IF(ISNUMBER(SEARCH("古馬条件",Z4947)),"古馬条件戦",IF(ISNUMBER(SEARCH("重賞",Z4947)),"重賞","分類不能")))))))))</f>
        <v/>
      </c>
    </row>
    <row r="4948" customFormat="false" ht="15.75" hidden="false" customHeight="false" outlineLevel="0" collapsed="false">
      <c r="AO4948" s="8" t="str">
        <f aca="false">IF(A4948="","",IF(COUNTIFS(全馬データ!$A$2:$A$50000,A4948,全馬データ!$B$2:$B$50000,B4948,全馬データ!$C$2:$C$50000,C4948,全馬データ!$D$2:$D$50000,E4948,全馬データ!$K$2:$K$50000,"&lt;&gt;")=0,"",SUMIFS(全馬データ!$K$2:$K$50000,全馬データ!$A$2:$A$50000,A4948,全馬データ!$B$2:$B$50000,B4948,全馬データ!$C$2:$C$50000,C4948,全馬データ!$D$2:$D$50000,E4948)))</f>
        <v/>
      </c>
      <c r="AP4948" s="8" t="str">
        <f aca="false">IF(A4948="","",IF(AO4948="","欠損",IF(AO4948&lt;=1.1,"1.0～1.1",IF(AO4948&lt;1.3,"1.2",IF(AO4948&lt;1.5,"1.3～1.4",IF(AO4948&lt;2,"1.5～1.9","2.0以上"))))))</f>
        <v/>
      </c>
      <c r="AQ4948" s="8" t="str">
        <f aca="false">IF(A4948="","",IF(ISNUMBER(SEARCH("2歳",Z4948)),"2歳戦",IF(ISNUMBER(SEARCH("3歳未勝利",Z4948)),"3歳未勝利",IF(ISNUMBER(SEARCH("未勝利",Z4948)),"その他未勝利",IF(ISNUMBER(SEARCH("G1",Z4948)),"G1",IF(ISNUMBER(SEARCH("G2",Z4948)),"G2",IF(ISNUMBER(SEARCH("G3",Z4948)),"G3",IF(ISNUMBER(SEARCH("古馬条件",Z4948)),"古馬条件戦",IF(ISNUMBER(SEARCH("重賞",Z4948)),"重賞","分類不能")))))))))</f>
        <v/>
      </c>
    </row>
    <row r="4949" customFormat="false" ht="15.75" hidden="false" customHeight="false" outlineLevel="0" collapsed="false">
      <c r="AO4949" s="8" t="str">
        <f aca="false">IF(A4949="","",IF(COUNTIFS(全馬データ!$A$2:$A$50000,A4949,全馬データ!$B$2:$B$50000,B4949,全馬データ!$C$2:$C$50000,C4949,全馬データ!$D$2:$D$50000,E4949,全馬データ!$K$2:$K$50000,"&lt;&gt;")=0,"",SUMIFS(全馬データ!$K$2:$K$50000,全馬データ!$A$2:$A$50000,A4949,全馬データ!$B$2:$B$50000,B4949,全馬データ!$C$2:$C$50000,C4949,全馬データ!$D$2:$D$50000,E4949)))</f>
        <v/>
      </c>
      <c r="AP4949" s="8" t="str">
        <f aca="false">IF(A4949="","",IF(AO4949="","欠損",IF(AO4949&lt;=1.1,"1.0～1.1",IF(AO4949&lt;1.3,"1.2",IF(AO4949&lt;1.5,"1.3～1.4",IF(AO4949&lt;2,"1.5～1.9","2.0以上"))))))</f>
        <v/>
      </c>
      <c r="AQ4949" s="8" t="str">
        <f aca="false">IF(A4949="","",IF(ISNUMBER(SEARCH("2歳",Z4949)),"2歳戦",IF(ISNUMBER(SEARCH("3歳未勝利",Z4949)),"3歳未勝利",IF(ISNUMBER(SEARCH("未勝利",Z4949)),"その他未勝利",IF(ISNUMBER(SEARCH("G1",Z4949)),"G1",IF(ISNUMBER(SEARCH("G2",Z4949)),"G2",IF(ISNUMBER(SEARCH("G3",Z4949)),"G3",IF(ISNUMBER(SEARCH("古馬条件",Z4949)),"古馬条件戦",IF(ISNUMBER(SEARCH("重賞",Z4949)),"重賞","分類不能")))))))))</f>
        <v/>
      </c>
    </row>
    <row r="4950" customFormat="false" ht="15.75" hidden="false" customHeight="false" outlineLevel="0" collapsed="false">
      <c r="AO4950" s="8" t="str">
        <f aca="false">IF(A4950="","",IF(COUNTIFS(全馬データ!$A$2:$A$50000,A4950,全馬データ!$B$2:$B$50000,B4950,全馬データ!$C$2:$C$50000,C4950,全馬データ!$D$2:$D$50000,E4950,全馬データ!$K$2:$K$50000,"&lt;&gt;")=0,"",SUMIFS(全馬データ!$K$2:$K$50000,全馬データ!$A$2:$A$50000,A4950,全馬データ!$B$2:$B$50000,B4950,全馬データ!$C$2:$C$50000,C4950,全馬データ!$D$2:$D$50000,E4950)))</f>
        <v/>
      </c>
      <c r="AP4950" s="8" t="str">
        <f aca="false">IF(A4950="","",IF(AO4950="","欠損",IF(AO4950&lt;=1.1,"1.0～1.1",IF(AO4950&lt;1.3,"1.2",IF(AO4950&lt;1.5,"1.3～1.4",IF(AO4950&lt;2,"1.5～1.9","2.0以上"))))))</f>
        <v/>
      </c>
      <c r="AQ4950" s="8" t="str">
        <f aca="false">IF(A4950="","",IF(ISNUMBER(SEARCH("2歳",Z4950)),"2歳戦",IF(ISNUMBER(SEARCH("3歳未勝利",Z4950)),"3歳未勝利",IF(ISNUMBER(SEARCH("未勝利",Z4950)),"その他未勝利",IF(ISNUMBER(SEARCH("G1",Z4950)),"G1",IF(ISNUMBER(SEARCH("G2",Z4950)),"G2",IF(ISNUMBER(SEARCH("G3",Z4950)),"G3",IF(ISNUMBER(SEARCH("古馬条件",Z4950)),"古馬条件戦",IF(ISNUMBER(SEARCH("重賞",Z4950)),"重賞","分類不能")))))))))</f>
        <v/>
      </c>
    </row>
    <row r="4951" customFormat="false" ht="15.75" hidden="false" customHeight="false" outlineLevel="0" collapsed="false">
      <c r="AO4951" s="8" t="str">
        <f aca="false">IF(A4951="","",IF(COUNTIFS(全馬データ!$A$2:$A$50000,A4951,全馬データ!$B$2:$B$50000,B4951,全馬データ!$C$2:$C$50000,C4951,全馬データ!$D$2:$D$50000,E4951,全馬データ!$K$2:$K$50000,"&lt;&gt;")=0,"",SUMIFS(全馬データ!$K$2:$K$50000,全馬データ!$A$2:$A$50000,A4951,全馬データ!$B$2:$B$50000,B4951,全馬データ!$C$2:$C$50000,C4951,全馬データ!$D$2:$D$50000,E4951)))</f>
        <v/>
      </c>
      <c r="AP4951" s="8" t="str">
        <f aca="false">IF(A4951="","",IF(AO4951="","欠損",IF(AO4951&lt;=1.1,"1.0～1.1",IF(AO4951&lt;1.3,"1.2",IF(AO4951&lt;1.5,"1.3～1.4",IF(AO4951&lt;2,"1.5～1.9","2.0以上"))))))</f>
        <v/>
      </c>
      <c r="AQ4951" s="8" t="str">
        <f aca="false">IF(A4951="","",IF(ISNUMBER(SEARCH("2歳",Z4951)),"2歳戦",IF(ISNUMBER(SEARCH("3歳未勝利",Z4951)),"3歳未勝利",IF(ISNUMBER(SEARCH("未勝利",Z4951)),"その他未勝利",IF(ISNUMBER(SEARCH("G1",Z4951)),"G1",IF(ISNUMBER(SEARCH("G2",Z4951)),"G2",IF(ISNUMBER(SEARCH("G3",Z4951)),"G3",IF(ISNUMBER(SEARCH("古馬条件",Z4951)),"古馬条件戦",IF(ISNUMBER(SEARCH("重賞",Z4951)),"重賞","分類不能")))))))))</f>
        <v/>
      </c>
    </row>
    <row r="4952" customFormat="false" ht="15.75" hidden="false" customHeight="false" outlineLevel="0" collapsed="false">
      <c r="AO4952" s="8" t="str">
        <f aca="false">IF(A4952="","",IF(COUNTIFS(全馬データ!$A$2:$A$50000,A4952,全馬データ!$B$2:$B$50000,B4952,全馬データ!$C$2:$C$50000,C4952,全馬データ!$D$2:$D$50000,E4952,全馬データ!$K$2:$K$50000,"&lt;&gt;")=0,"",SUMIFS(全馬データ!$K$2:$K$50000,全馬データ!$A$2:$A$50000,A4952,全馬データ!$B$2:$B$50000,B4952,全馬データ!$C$2:$C$50000,C4952,全馬データ!$D$2:$D$50000,E4952)))</f>
        <v/>
      </c>
      <c r="AP4952" s="8" t="str">
        <f aca="false">IF(A4952="","",IF(AO4952="","欠損",IF(AO4952&lt;=1.1,"1.0～1.1",IF(AO4952&lt;1.3,"1.2",IF(AO4952&lt;1.5,"1.3～1.4",IF(AO4952&lt;2,"1.5～1.9","2.0以上"))))))</f>
        <v/>
      </c>
      <c r="AQ4952" s="8" t="str">
        <f aca="false">IF(A4952="","",IF(ISNUMBER(SEARCH("2歳",Z4952)),"2歳戦",IF(ISNUMBER(SEARCH("3歳未勝利",Z4952)),"3歳未勝利",IF(ISNUMBER(SEARCH("未勝利",Z4952)),"その他未勝利",IF(ISNUMBER(SEARCH("G1",Z4952)),"G1",IF(ISNUMBER(SEARCH("G2",Z4952)),"G2",IF(ISNUMBER(SEARCH("G3",Z4952)),"G3",IF(ISNUMBER(SEARCH("古馬条件",Z4952)),"古馬条件戦",IF(ISNUMBER(SEARCH("重賞",Z4952)),"重賞","分類不能")))))))))</f>
        <v/>
      </c>
    </row>
    <row r="4953" customFormat="false" ht="15.75" hidden="false" customHeight="false" outlineLevel="0" collapsed="false">
      <c r="AO4953" s="8" t="str">
        <f aca="false">IF(A4953="","",IF(COUNTIFS(全馬データ!$A$2:$A$50000,A4953,全馬データ!$B$2:$B$50000,B4953,全馬データ!$C$2:$C$50000,C4953,全馬データ!$D$2:$D$50000,E4953,全馬データ!$K$2:$K$50000,"&lt;&gt;")=0,"",SUMIFS(全馬データ!$K$2:$K$50000,全馬データ!$A$2:$A$50000,A4953,全馬データ!$B$2:$B$50000,B4953,全馬データ!$C$2:$C$50000,C4953,全馬データ!$D$2:$D$50000,E4953)))</f>
        <v/>
      </c>
      <c r="AP4953" s="8" t="str">
        <f aca="false">IF(A4953="","",IF(AO4953="","欠損",IF(AO4953&lt;=1.1,"1.0～1.1",IF(AO4953&lt;1.3,"1.2",IF(AO4953&lt;1.5,"1.3～1.4",IF(AO4953&lt;2,"1.5～1.9","2.0以上"))))))</f>
        <v/>
      </c>
      <c r="AQ4953" s="8" t="str">
        <f aca="false">IF(A4953="","",IF(ISNUMBER(SEARCH("2歳",Z4953)),"2歳戦",IF(ISNUMBER(SEARCH("3歳未勝利",Z4953)),"3歳未勝利",IF(ISNUMBER(SEARCH("未勝利",Z4953)),"その他未勝利",IF(ISNUMBER(SEARCH("G1",Z4953)),"G1",IF(ISNUMBER(SEARCH("G2",Z4953)),"G2",IF(ISNUMBER(SEARCH("G3",Z4953)),"G3",IF(ISNUMBER(SEARCH("古馬条件",Z4953)),"古馬条件戦",IF(ISNUMBER(SEARCH("重賞",Z4953)),"重賞","分類不能")))))))))</f>
        <v/>
      </c>
    </row>
    <row r="4954" customFormat="false" ht="15.75" hidden="false" customHeight="false" outlineLevel="0" collapsed="false">
      <c r="AO4954" s="8" t="str">
        <f aca="false">IF(A4954="","",IF(COUNTIFS(全馬データ!$A$2:$A$50000,A4954,全馬データ!$B$2:$B$50000,B4954,全馬データ!$C$2:$C$50000,C4954,全馬データ!$D$2:$D$50000,E4954,全馬データ!$K$2:$K$50000,"&lt;&gt;")=0,"",SUMIFS(全馬データ!$K$2:$K$50000,全馬データ!$A$2:$A$50000,A4954,全馬データ!$B$2:$B$50000,B4954,全馬データ!$C$2:$C$50000,C4954,全馬データ!$D$2:$D$50000,E4954)))</f>
        <v/>
      </c>
      <c r="AP4954" s="8" t="str">
        <f aca="false">IF(A4954="","",IF(AO4954="","欠損",IF(AO4954&lt;=1.1,"1.0～1.1",IF(AO4954&lt;1.3,"1.2",IF(AO4954&lt;1.5,"1.3～1.4",IF(AO4954&lt;2,"1.5～1.9","2.0以上"))))))</f>
        <v/>
      </c>
      <c r="AQ4954" s="8" t="str">
        <f aca="false">IF(A4954="","",IF(ISNUMBER(SEARCH("2歳",Z4954)),"2歳戦",IF(ISNUMBER(SEARCH("3歳未勝利",Z4954)),"3歳未勝利",IF(ISNUMBER(SEARCH("未勝利",Z4954)),"その他未勝利",IF(ISNUMBER(SEARCH("G1",Z4954)),"G1",IF(ISNUMBER(SEARCH("G2",Z4954)),"G2",IF(ISNUMBER(SEARCH("G3",Z4954)),"G3",IF(ISNUMBER(SEARCH("古馬条件",Z4954)),"古馬条件戦",IF(ISNUMBER(SEARCH("重賞",Z4954)),"重賞","分類不能")))))))))</f>
        <v/>
      </c>
    </row>
    <row r="4955" customFormat="false" ht="15.75" hidden="false" customHeight="false" outlineLevel="0" collapsed="false">
      <c r="AO4955" s="8" t="str">
        <f aca="false">IF(A4955="","",IF(COUNTIFS(全馬データ!$A$2:$A$50000,A4955,全馬データ!$B$2:$B$50000,B4955,全馬データ!$C$2:$C$50000,C4955,全馬データ!$D$2:$D$50000,E4955,全馬データ!$K$2:$K$50000,"&lt;&gt;")=0,"",SUMIFS(全馬データ!$K$2:$K$50000,全馬データ!$A$2:$A$50000,A4955,全馬データ!$B$2:$B$50000,B4955,全馬データ!$C$2:$C$50000,C4955,全馬データ!$D$2:$D$50000,E4955)))</f>
        <v/>
      </c>
      <c r="AP4955" s="8" t="str">
        <f aca="false">IF(A4955="","",IF(AO4955="","欠損",IF(AO4955&lt;=1.1,"1.0～1.1",IF(AO4955&lt;1.3,"1.2",IF(AO4955&lt;1.5,"1.3～1.4",IF(AO4955&lt;2,"1.5～1.9","2.0以上"))))))</f>
        <v/>
      </c>
      <c r="AQ4955" s="8" t="str">
        <f aca="false">IF(A4955="","",IF(ISNUMBER(SEARCH("2歳",Z4955)),"2歳戦",IF(ISNUMBER(SEARCH("3歳未勝利",Z4955)),"3歳未勝利",IF(ISNUMBER(SEARCH("未勝利",Z4955)),"その他未勝利",IF(ISNUMBER(SEARCH("G1",Z4955)),"G1",IF(ISNUMBER(SEARCH("G2",Z4955)),"G2",IF(ISNUMBER(SEARCH("G3",Z4955)),"G3",IF(ISNUMBER(SEARCH("古馬条件",Z4955)),"古馬条件戦",IF(ISNUMBER(SEARCH("重賞",Z4955)),"重賞","分類不能")))))))))</f>
        <v/>
      </c>
    </row>
    <row r="4956" customFormat="false" ht="15.75" hidden="false" customHeight="false" outlineLevel="0" collapsed="false">
      <c r="AO4956" s="8" t="str">
        <f aca="false">IF(A4956="","",IF(COUNTIFS(全馬データ!$A$2:$A$50000,A4956,全馬データ!$B$2:$B$50000,B4956,全馬データ!$C$2:$C$50000,C4956,全馬データ!$D$2:$D$50000,E4956,全馬データ!$K$2:$K$50000,"&lt;&gt;")=0,"",SUMIFS(全馬データ!$K$2:$K$50000,全馬データ!$A$2:$A$50000,A4956,全馬データ!$B$2:$B$50000,B4956,全馬データ!$C$2:$C$50000,C4956,全馬データ!$D$2:$D$50000,E4956)))</f>
        <v/>
      </c>
      <c r="AP4956" s="8" t="str">
        <f aca="false">IF(A4956="","",IF(AO4956="","欠損",IF(AO4956&lt;=1.1,"1.0～1.1",IF(AO4956&lt;1.3,"1.2",IF(AO4956&lt;1.5,"1.3～1.4",IF(AO4956&lt;2,"1.5～1.9","2.0以上"))))))</f>
        <v/>
      </c>
      <c r="AQ4956" s="8" t="str">
        <f aca="false">IF(A4956="","",IF(ISNUMBER(SEARCH("2歳",Z4956)),"2歳戦",IF(ISNUMBER(SEARCH("3歳未勝利",Z4956)),"3歳未勝利",IF(ISNUMBER(SEARCH("未勝利",Z4956)),"その他未勝利",IF(ISNUMBER(SEARCH("G1",Z4956)),"G1",IF(ISNUMBER(SEARCH("G2",Z4956)),"G2",IF(ISNUMBER(SEARCH("G3",Z4956)),"G3",IF(ISNUMBER(SEARCH("古馬条件",Z4956)),"古馬条件戦",IF(ISNUMBER(SEARCH("重賞",Z4956)),"重賞","分類不能")))))))))</f>
        <v/>
      </c>
    </row>
    <row r="4957" customFormat="false" ht="15.75" hidden="false" customHeight="false" outlineLevel="0" collapsed="false">
      <c r="AO4957" s="8" t="str">
        <f aca="false">IF(A4957="","",IF(COUNTIFS(全馬データ!$A$2:$A$50000,A4957,全馬データ!$B$2:$B$50000,B4957,全馬データ!$C$2:$C$50000,C4957,全馬データ!$D$2:$D$50000,E4957,全馬データ!$K$2:$K$50000,"&lt;&gt;")=0,"",SUMIFS(全馬データ!$K$2:$K$50000,全馬データ!$A$2:$A$50000,A4957,全馬データ!$B$2:$B$50000,B4957,全馬データ!$C$2:$C$50000,C4957,全馬データ!$D$2:$D$50000,E4957)))</f>
        <v/>
      </c>
      <c r="AP4957" s="8" t="str">
        <f aca="false">IF(A4957="","",IF(AO4957="","欠損",IF(AO4957&lt;=1.1,"1.0～1.1",IF(AO4957&lt;1.3,"1.2",IF(AO4957&lt;1.5,"1.3～1.4",IF(AO4957&lt;2,"1.5～1.9","2.0以上"))))))</f>
        <v/>
      </c>
      <c r="AQ4957" s="8" t="str">
        <f aca="false">IF(A4957="","",IF(ISNUMBER(SEARCH("2歳",Z4957)),"2歳戦",IF(ISNUMBER(SEARCH("3歳未勝利",Z4957)),"3歳未勝利",IF(ISNUMBER(SEARCH("未勝利",Z4957)),"その他未勝利",IF(ISNUMBER(SEARCH("G1",Z4957)),"G1",IF(ISNUMBER(SEARCH("G2",Z4957)),"G2",IF(ISNUMBER(SEARCH("G3",Z4957)),"G3",IF(ISNUMBER(SEARCH("古馬条件",Z4957)),"古馬条件戦",IF(ISNUMBER(SEARCH("重賞",Z4957)),"重賞","分類不能")))))))))</f>
        <v/>
      </c>
    </row>
    <row r="4958" customFormat="false" ht="15.75" hidden="false" customHeight="false" outlineLevel="0" collapsed="false">
      <c r="AO4958" s="8" t="str">
        <f aca="false">IF(A4958="","",IF(COUNTIFS(全馬データ!$A$2:$A$50000,A4958,全馬データ!$B$2:$B$50000,B4958,全馬データ!$C$2:$C$50000,C4958,全馬データ!$D$2:$D$50000,E4958,全馬データ!$K$2:$K$50000,"&lt;&gt;")=0,"",SUMIFS(全馬データ!$K$2:$K$50000,全馬データ!$A$2:$A$50000,A4958,全馬データ!$B$2:$B$50000,B4958,全馬データ!$C$2:$C$50000,C4958,全馬データ!$D$2:$D$50000,E4958)))</f>
        <v/>
      </c>
      <c r="AP4958" s="8" t="str">
        <f aca="false">IF(A4958="","",IF(AO4958="","欠損",IF(AO4958&lt;=1.1,"1.0～1.1",IF(AO4958&lt;1.3,"1.2",IF(AO4958&lt;1.5,"1.3～1.4",IF(AO4958&lt;2,"1.5～1.9","2.0以上"))))))</f>
        <v/>
      </c>
      <c r="AQ4958" s="8" t="str">
        <f aca="false">IF(A4958="","",IF(ISNUMBER(SEARCH("2歳",Z4958)),"2歳戦",IF(ISNUMBER(SEARCH("3歳未勝利",Z4958)),"3歳未勝利",IF(ISNUMBER(SEARCH("未勝利",Z4958)),"その他未勝利",IF(ISNUMBER(SEARCH("G1",Z4958)),"G1",IF(ISNUMBER(SEARCH("G2",Z4958)),"G2",IF(ISNUMBER(SEARCH("G3",Z4958)),"G3",IF(ISNUMBER(SEARCH("古馬条件",Z4958)),"古馬条件戦",IF(ISNUMBER(SEARCH("重賞",Z4958)),"重賞","分類不能")))))))))</f>
        <v/>
      </c>
    </row>
    <row r="4959" customFormat="false" ht="15.75" hidden="false" customHeight="false" outlineLevel="0" collapsed="false">
      <c r="AO4959" s="8" t="str">
        <f aca="false">IF(A4959="","",IF(COUNTIFS(全馬データ!$A$2:$A$50000,A4959,全馬データ!$B$2:$B$50000,B4959,全馬データ!$C$2:$C$50000,C4959,全馬データ!$D$2:$D$50000,E4959,全馬データ!$K$2:$K$50000,"&lt;&gt;")=0,"",SUMIFS(全馬データ!$K$2:$K$50000,全馬データ!$A$2:$A$50000,A4959,全馬データ!$B$2:$B$50000,B4959,全馬データ!$C$2:$C$50000,C4959,全馬データ!$D$2:$D$50000,E4959)))</f>
        <v/>
      </c>
      <c r="AP4959" s="8" t="str">
        <f aca="false">IF(A4959="","",IF(AO4959="","欠損",IF(AO4959&lt;=1.1,"1.0～1.1",IF(AO4959&lt;1.3,"1.2",IF(AO4959&lt;1.5,"1.3～1.4",IF(AO4959&lt;2,"1.5～1.9","2.0以上"))))))</f>
        <v/>
      </c>
      <c r="AQ4959" s="8" t="str">
        <f aca="false">IF(A4959="","",IF(ISNUMBER(SEARCH("2歳",Z4959)),"2歳戦",IF(ISNUMBER(SEARCH("3歳未勝利",Z4959)),"3歳未勝利",IF(ISNUMBER(SEARCH("未勝利",Z4959)),"その他未勝利",IF(ISNUMBER(SEARCH("G1",Z4959)),"G1",IF(ISNUMBER(SEARCH("G2",Z4959)),"G2",IF(ISNUMBER(SEARCH("G3",Z4959)),"G3",IF(ISNUMBER(SEARCH("古馬条件",Z4959)),"古馬条件戦",IF(ISNUMBER(SEARCH("重賞",Z4959)),"重賞","分類不能")))))))))</f>
        <v/>
      </c>
    </row>
    <row r="4960" customFormat="false" ht="15.75" hidden="false" customHeight="false" outlineLevel="0" collapsed="false">
      <c r="AO4960" s="8" t="str">
        <f aca="false">IF(A4960="","",IF(COUNTIFS(全馬データ!$A$2:$A$50000,A4960,全馬データ!$B$2:$B$50000,B4960,全馬データ!$C$2:$C$50000,C4960,全馬データ!$D$2:$D$50000,E4960,全馬データ!$K$2:$K$50000,"&lt;&gt;")=0,"",SUMIFS(全馬データ!$K$2:$K$50000,全馬データ!$A$2:$A$50000,A4960,全馬データ!$B$2:$B$50000,B4960,全馬データ!$C$2:$C$50000,C4960,全馬データ!$D$2:$D$50000,E4960)))</f>
        <v/>
      </c>
      <c r="AP4960" s="8" t="str">
        <f aca="false">IF(A4960="","",IF(AO4960="","欠損",IF(AO4960&lt;=1.1,"1.0～1.1",IF(AO4960&lt;1.3,"1.2",IF(AO4960&lt;1.5,"1.3～1.4",IF(AO4960&lt;2,"1.5～1.9","2.0以上"))))))</f>
        <v/>
      </c>
      <c r="AQ4960" s="8" t="str">
        <f aca="false">IF(A4960="","",IF(ISNUMBER(SEARCH("2歳",Z4960)),"2歳戦",IF(ISNUMBER(SEARCH("3歳未勝利",Z4960)),"3歳未勝利",IF(ISNUMBER(SEARCH("未勝利",Z4960)),"その他未勝利",IF(ISNUMBER(SEARCH("G1",Z4960)),"G1",IF(ISNUMBER(SEARCH("G2",Z4960)),"G2",IF(ISNUMBER(SEARCH("G3",Z4960)),"G3",IF(ISNUMBER(SEARCH("古馬条件",Z4960)),"古馬条件戦",IF(ISNUMBER(SEARCH("重賞",Z4960)),"重賞","分類不能")))))))))</f>
        <v/>
      </c>
    </row>
    <row r="4961" customFormat="false" ht="15.75" hidden="false" customHeight="false" outlineLevel="0" collapsed="false">
      <c r="AO4961" s="8" t="str">
        <f aca="false">IF(A4961="","",IF(COUNTIFS(全馬データ!$A$2:$A$50000,A4961,全馬データ!$B$2:$B$50000,B4961,全馬データ!$C$2:$C$50000,C4961,全馬データ!$D$2:$D$50000,E4961,全馬データ!$K$2:$K$50000,"&lt;&gt;")=0,"",SUMIFS(全馬データ!$K$2:$K$50000,全馬データ!$A$2:$A$50000,A4961,全馬データ!$B$2:$B$50000,B4961,全馬データ!$C$2:$C$50000,C4961,全馬データ!$D$2:$D$50000,E4961)))</f>
        <v/>
      </c>
      <c r="AP4961" s="8" t="str">
        <f aca="false">IF(A4961="","",IF(AO4961="","欠損",IF(AO4961&lt;=1.1,"1.0～1.1",IF(AO4961&lt;1.3,"1.2",IF(AO4961&lt;1.5,"1.3～1.4",IF(AO4961&lt;2,"1.5～1.9","2.0以上"))))))</f>
        <v/>
      </c>
      <c r="AQ4961" s="8" t="str">
        <f aca="false">IF(A4961="","",IF(ISNUMBER(SEARCH("2歳",Z4961)),"2歳戦",IF(ISNUMBER(SEARCH("3歳未勝利",Z4961)),"3歳未勝利",IF(ISNUMBER(SEARCH("未勝利",Z4961)),"その他未勝利",IF(ISNUMBER(SEARCH("G1",Z4961)),"G1",IF(ISNUMBER(SEARCH("G2",Z4961)),"G2",IF(ISNUMBER(SEARCH("G3",Z4961)),"G3",IF(ISNUMBER(SEARCH("古馬条件",Z4961)),"古馬条件戦",IF(ISNUMBER(SEARCH("重賞",Z4961)),"重賞","分類不能")))))))))</f>
        <v/>
      </c>
    </row>
    <row r="4962" customFormat="false" ht="15.75" hidden="false" customHeight="false" outlineLevel="0" collapsed="false">
      <c r="AO4962" s="8" t="str">
        <f aca="false">IF(A4962="","",IF(COUNTIFS(全馬データ!$A$2:$A$50000,A4962,全馬データ!$B$2:$B$50000,B4962,全馬データ!$C$2:$C$50000,C4962,全馬データ!$D$2:$D$50000,E4962,全馬データ!$K$2:$K$50000,"&lt;&gt;")=0,"",SUMIFS(全馬データ!$K$2:$K$50000,全馬データ!$A$2:$A$50000,A4962,全馬データ!$B$2:$B$50000,B4962,全馬データ!$C$2:$C$50000,C4962,全馬データ!$D$2:$D$50000,E4962)))</f>
        <v/>
      </c>
      <c r="AP4962" s="8" t="str">
        <f aca="false">IF(A4962="","",IF(AO4962="","欠損",IF(AO4962&lt;=1.1,"1.0～1.1",IF(AO4962&lt;1.3,"1.2",IF(AO4962&lt;1.5,"1.3～1.4",IF(AO4962&lt;2,"1.5～1.9","2.0以上"))))))</f>
        <v/>
      </c>
      <c r="AQ4962" s="8" t="str">
        <f aca="false">IF(A4962="","",IF(ISNUMBER(SEARCH("2歳",Z4962)),"2歳戦",IF(ISNUMBER(SEARCH("3歳未勝利",Z4962)),"3歳未勝利",IF(ISNUMBER(SEARCH("未勝利",Z4962)),"その他未勝利",IF(ISNUMBER(SEARCH("G1",Z4962)),"G1",IF(ISNUMBER(SEARCH("G2",Z4962)),"G2",IF(ISNUMBER(SEARCH("G3",Z4962)),"G3",IF(ISNUMBER(SEARCH("古馬条件",Z4962)),"古馬条件戦",IF(ISNUMBER(SEARCH("重賞",Z4962)),"重賞","分類不能")))))))))</f>
        <v/>
      </c>
    </row>
    <row r="4963" customFormat="false" ht="15.75" hidden="false" customHeight="false" outlineLevel="0" collapsed="false">
      <c r="AO4963" s="8" t="str">
        <f aca="false">IF(A4963="","",IF(COUNTIFS(全馬データ!$A$2:$A$50000,A4963,全馬データ!$B$2:$B$50000,B4963,全馬データ!$C$2:$C$50000,C4963,全馬データ!$D$2:$D$50000,E4963,全馬データ!$K$2:$K$50000,"&lt;&gt;")=0,"",SUMIFS(全馬データ!$K$2:$K$50000,全馬データ!$A$2:$A$50000,A4963,全馬データ!$B$2:$B$50000,B4963,全馬データ!$C$2:$C$50000,C4963,全馬データ!$D$2:$D$50000,E4963)))</f>
        <v/>
      </c>
      <c r="AP4963" s="8" t="str">
        <f aca="false">IF(A4963="","",IF(AO4963="","欠損",IF(AO4963&lt;=1.1,"1.0～1.1",IF(AO4963&lt;1.3,"1.2",IF(AO4963&lt;1.5,"1.3～1.4",IF(AO4963&lt;2,"1.5～1.9","2.0以上"))))))</f>
        <v/>
      </c>
      <c r="AQ4963" s="8" t="str">
        <f aca="false">IF(A4963="","",IF(ISNUMBER(SEARCH("2歳",Z4963)),"2歳戦",IF(ISNUMBER(SEARCH("3歳未勝利",Z4963)),"3歳未勝利",IF(ISNUMBER(SEARCH("未勝利",Z4963)),"その他未勝利",IF(ISNUMBER(SEARCH("G1",Z4963)),"G1",IF(ISNUMBER(SEARCH("G2",Z4963)),"G2",IF(ISNUMBER(SEARCH("G3",Z4963)),"G3",IF(ISNUMBER(SEARCH("古馬条件",Z4963)),"古馬条件戦",IF(ISNUMBER(SEARCH("重賞",Z4963)),"重賞","分類不能")))))))))</f>
        <v/>
      </c>
    </row>
    <row r="4964" customFormat="false" ht="15.75" hidden="false" customHeight="false" outlineLevel="0" collapsed="false">
      <c r="AO4964" s="8" t="str">
        <f aca="false">IF(A4964="","",IF(COUNTIFS(全馬データ!$A$2:$A$50000,A4964,全馬データ!$B$2:$B$50000,B4964,全馬データ!$C$2:$C$50000,C4964,全馬データ!$D$2:$D$50000,E4964,全馬データ!$K$2:$K$50000,"&lt;&gt;")=0,"",SUMIFS(全馬データ!$K$2:$K$50000,全馬データ!$A$2:$A$50000,A4964,全馬データ!$B$2:$B$50000,B4964,全馬データ!$C$2:$C$50000,C4964,全馬データ!$D$2:$D$50000,E4964)))</f>
        <v/>
      </c>
      <c r="AP4964" s="8" t="str">
        <f aca="false">IF(A4964="","",IF(AO4964="","欠損",IF(AO4964&lt;=1.1,"1.0～1.1",IF(AO4964&lt;1.3,"1.2",IF(AO4964&lt;1.5,"1.3～1.4",IF(AO4964&lt;2,"1.5～1.9","2.0以上"))))))</f>
        <v/>
      </c>
      <c r="AQ4964" s="8" t="str">
        <f aca="false">IF(A4964="","",IF(ISNUMBER(SEARCH("2歳",Z4964)),"2歳戦",IF(ISNUMBER(SEARCH("3歳未勝利",Z4964)),"3歳未勝利",IF(ISNUMBER(SEARCH("未勝利",Z4964)),"その他未勝利",IF(ISNUMBER(SEARCH("G1",Z4964)),"G1",IF(ISNUMBER(SEARCH("G2",Z4964)),"G2",IF(ISNUMBER(SEARCH("G3",Z4964)),"G3",IF(ISNUMBER(SEARCH("古馬条件",Z4964)),"古馬条件戦",IF(ISNUMBER(SEARCH("重賞",Z4964)),"重賞","分類不能")))))))))</f>
        <v/>
      </c>
    </row>
    <row r="4965" customFormat="false" ht="15.75" hidden="false" customHeight="false" outlineLevel="0" collapsed="false">
      <c r="AO4965" s="8" t="str">
        <f aca="false">IF(A4965="","",IF(COUNTIFS(全馬データ!$A$2:$A$50000,A4965,全馬データ!$B$2:$B$50000,B4965,全馬データ!$C$2:$C$50000,C4965,全馬データ!$D$2:$D$50000,E4965,全馬データ!$K$2:$K$50000,"&lt;&gt;")=0,"",SUMIFS(全馬データ!$K$2:$K$50000,全馬データ!$A$2:$A$50000,A4965,全馬データ!$B$2:$B$50000,B4965,全馬データ!$C$2:$C$50000,C4965,全馬データ!$D$2:$D$50000,E4965)))</f>
        <v/>
      </c>
      <c r="AP4965" s="8" t="str">
        <f aca="false">IF(A4965="","",IF(AO4965="","欠損",IF(AO4965&lt;=1.1,"1.0～1.1",IF(AO4965&lt;1.3,"1.2",IF(AO4965&lt;1.5,"1.3～1.4",IF(AO4965&lt;2,"1.5～1.9","2.0以上"))))))</f>
        <v/>
      </c>
      <c r="AQ4965" s="8" t="str">
        <f aca="false">IF(A4965="","",IF(ISNUMBER(SEARCH("2歳",Z4965)),"2歳戦",IF(ISNUMBER(SEARCH("3歳未勝利",Z4965)),"3歳未勝利",IF(ISNUMBER(SEARCH("未勝利",Z4965)),"その他未勝利",IF(ISNUMBER(SEARCH("G1",Z4965)),"G1",IF(ISNUMBER(SEARCH("G2",Z4965)),"G2",IF(ISNUMBER(SEARCH("G3",Z4965)),"G3",IF(ISNUMBER(SEARCH("古馬条件",Z4965)),"古馬条件戦",IF(ISNUMBER(SEARCH("重賞",Z4965)),"重賞","分類不能")))))))))</f>
        <v/>
      </c>
    </row>
    <row r="4966" customFormat="false" ht="15.75" hidden="false" customHeight="false" outlineLevel="0" collapsed="false">
      <c r="AO4966" s="8" t="str">
        <f aca="false">IF(A4966="","",IF(COUNTIFS(全馬データ!$A$2:$A$50000,A4966,全馬データ!$B$2:$B$50000,B4966,全馬データ!$C$2:$C$50000,C4966,全馬データ!$D$2:$D$50000,E4966,全馬データ!$K$2:$K$50000,"&lt;&gt;")=0,"",SUMIFS(全馬データ!$K$2:$K$50000,全馬データ!$A$2:$A$50000,A4966,全馬データ!$B$2:$B$50000,B4966,全馬データ!$C$2:$C$50000,C4966,全馬データ!$D$2:$D$50000,E4966)))</f>
        <v/>
      </c>
      <c r="AP4966" s="8" t="str">
        <f aca="false">IF(A4966="","",IF(AO4966="","欠損",IF(AO4966&lt;=1.1,"1.0～1.1",IF(AO4966&lt;1.3,"1.2",IF(AO4966&lt;1.5,"1.3～1.4",IF(AO4966&lt;2,"1.5～1.9","2.0以上"))))))</f>
        <v/>
      </c>
      <c r="AQ4966" s="8" t="str">
        <f aca="false">IF(A4966="","",IF(ISNUMBER(SEARCH("2歳",Z4966)),"2歳戦",IF(ISNUMBER(SEARCH("3歳未勝利",Z4966)),"3歳未勝利",IF(ISNUMBER(SEARCH("未勝利",Z4966)),"その他未勝利",IF(ISNUMBER(SEARCH("G1",Z4966)),"G1",IF(ISNUMBER(SEARCH("G2",Z4966)),"G2",IF(ISNUMBER(SEARCH("G3",Z4966)),"G3",IF(ISNUMBER(SEARCH("古馬条件",Z4966)),"古馬条件戦",IF(ISNUMBER(SEARCH("重賞",Z4966)),"重賞","分類不能")))))))))</f>
        <v/>
      </c>
    </row>
    <row r="4967" customFormat="false" ht="15.75" hidden="false" customHeight="false" outlineLevel="0" collapsed="false">
      <c r="AO4967" s="8" t="str">
        <f aca="false">IF(A4967="","",IF(COUNTIFS(全馬データ!$A$2:$A$50000,A4967,全馬データ!$B$2:$B$50000,B4967,全馬データ!$C$2:$C$50000,C4967,全馬データ!$D$2:$D$50000,E4967,全馬データ!$K$2:$K$50000,"&lt;&gt;")=0,"",SUMIFS(全馬データ!$K$2:$K$50000,全馬データ!$A$2:$A$50000,A4967,全馬データ!$B$2:$B$50000,B4967,全馬データ!$C$2:$C$50000,C4967,全馬データ!$D$2:$D$50000,E4967)))</f>
        <v/>
      </c>
      <c r="AP4967" s="8" t="str">
        <f aca="false">IF(A4967="","",IF(AO4967="","欠損",IF(AO4967&lt;=1.1,"1.0～1.1",IF(AO4967&lt;1.3,"1.2",IF(AO4967&lt;1.5,"1.3～1.4",IF(AO4967&lt;2,"1.5～1.9","2.0以上"))))))</f>
        <v/>
      </c>
      <c r="AQ4967" s="8" t="str">
        <f aca="false">IF(A4967="","",IF(ISNUMBER(SEARCH("2歳",Z4967)),"2歳戦",IF(ISNUMBER(SEARCH("3歳未勝利",Z4967)),"3歳未勝利",IF(ISNUMBER(SEARCH("未勝利",Z4967)),"その他未勝利",IF(ISNUMBER(SEARCH("G1",Z4967)),"G1",IF(ISNUMBER(SEARCH("G2",Z4967)),"G2",IF(ISNUMBER(SEARCH("G3",Z4967)),"G3",IF(ISNUMBER(SEARCH("古馬条件",Z4967)),"古馬条件戦",IF(ISNUMBER(SEARCH("重賞",Z4967)),"重賞","分類不能")))))))))</f>
        <v/>
      </c>
    </row>
    <row r="4968" customFormat="false" ht="15.75" hidden="false" customHeight="false" outlineLevel="0" collapsed="false">
      <c r="AO4968" s="8" t="str">
        <f aca="false">IF(A4968="","",IF(COUNTIFS(全馬データ!$A$2:$A$50000,A4968,全馬データ!$B$2:$B$50000,B4968,全馬データ!$C$2:$C$50000,C4968,全馬データ!$D$2:$D$50000,E4968,全馬データ!$K$2:$K$50000,"&lt;&gt;")=0,"",SUMIFS(全馬データ!$K$2:$K$50000,全馬データ!$A$2:$A$50000,A4968,全馬データ!$B$2:$B$50000,B4968,全馬データ!$C$2:$C$50000,C4968,全馬データ!$D$2:$D$50000,E4968)))</f>
        <v/>
      </c>
      <c r="AP4968" s="8" t="str">
        <f aca="false">IF(A4968="","",IF(AO4968="","欠損",IF(AO4968&lt;=1.1,"1.0～1.1",IF(AO4968&lt;1.3,"1.2",IF(AO4968&lt;1.5,"1.3～1.4",IF(AO4968&lt;2,"1.5～1.9","2.0以上"))))))</f>
        <v/>
      </c>
      <c r="AQ4968" s="8" t="str">
        <f aca="false">IF(A4968="","",IF(ISNUMBER(SEARCH("2歳",Z4968)),"2歳戦",IF(ISNUMBER(SEARCH("3歳未勝利",Z4968)),"3歳未勝利",IF(ISNUMBER(SEARCH("未勝利",Z4968)),"その他未勝利",IF(ISNUMBER(SEARCH("G1",Z4968)),"G1",IF(ISNUMBER(SEARCH("G2",Z4968)),"G2",IF(ISNUMBER(SEARCH("G3",Z4968)),"G3",IF(ISNUMBER(SEARCH("古馬条件",Z4968)),"古馬条件戦",IF(ISNUMBER(SEARCH("重賞",Z4968)),"重賞","分類不能")))))))))</f>
        <v/>
      </c>
    </row>
    <row r="4969" customFormat="false" ht="15.75" hidden="false" customHeight="false" outlineLevel="0" collapsed="false">
      <c r="AO4969" s="8" t="str">
        <f aca="false">IF(A4969="","",IF(COUNTIFS(全馬データ!$A$2:$A$50000,A4969,全馬データ!$B$2:$B$50000,B4969,全馬データ!$C$2:$C$50000,C4969,全馬データ!$D$2:$D$50000,E4969,全馬データ!$K$2:$K$50000,"&lt;&gt;")=0,"",SUMIFS(全馬データ!$K$2:$K$50000,全馬データ!$A$2:$A$50000,A4969,全馬データ!$B$2:$B$50000,B4969,全馬データ!$C$2:$C$50000,C4969,全馬データ!$D$2:$D$50000,E4969)))</f>
        <v/>
      </c>
      <c r="AP4969" s="8" t="str">
        <f aca="false">IF(A4969="","",IF(AO4969="","欠損",IF(AO4969&lt;=1.1,"1.0～1.1",IF(AO4969&lt;1.3,"1.2",IF(AO4969&lt;1.5,"1.3～1.4",IF(AO4969&lt;2,"1.5～1.9","2.0以上"))))))</f>
        <v/>
      </c>
      <c r="AQ4969" s="8" t="str">
        <f aca="false">IF(A4969="","",IF(ISNUMBER(SEARCH("2歳",Z4969)),"2歳戦",IF(ISNUMBER(SEARCH("3歳未勝利",Z4969)),"3歳未勝利",IF(ISNUMBER(SEARCH("未勝利",Z4969)),"その他未勝利",IF(ISNUMBER(SEARCH("G1",Z4969)),"G1",IF(ISNUMBER(SEARCH("G2",Z4969)),"G2",IF(ISNUMBER(SEARCH("G3",Z4969)),"G3",IF(ISNUMBER(SEARCH("古馬条件",Z4969)),"古馬条件戦",IF(ISNUMBER(SEARCH("重賞",Z4969)),"重賞","分類不能")))))))))</f>
        <v/>
      </c>
    </row>
    <row r="4970" customFormat="false" ht="15.75" hidden="false" customHeight="false" outlineLevel="0" collapsed="false">
      <c r="AO4970" s="8" t="str">
        <f aca="false">IF(A4970="","",IF(COUNTIFS(全馬データ!$A$2:$A$50000,A4970,全馬データ!$B$2:$B$50000,B4970,全馬データ!$C$2:$C$50000,C4970,全馬データ!$D$2:$D$50000,E4970,全馬データ!$K$2:$K$50000,"&lt;&gt;")=0,"",SUMIFS(全馬データ!$K$2:$K$50000,全馬データ!$A$2:$A$50000,A4970,全馬データ!$B$2:$B$50000,B4970,全馬データ!$C$2:$C$50000,C4970,全馬データ!$D$2:$D$50000,E4970)))</f>
        <v/>
      </c>
      <c r="AP4970" s="8" t="str">
        <f aca="false">IF(A4970="","",IF(AO4970="","欠損",IF(AO4970&lt;=1.1,"1.0～1.1",IF(AO4970&lt;1.3,"1.2",IF(AO4970&lt;1.5,"1.3～1.4",IF(AO4970&lt;2,"1.5～1.9","2.0以上"))))))</f>
        <v/>
      </c>
      <c r="AQ4970" s="8" t="str">
        <f aca="false">IF(A4970="","",IF(ISNUMBER(SEARCH("2歳",Z4970)),"2歳戦",IF(ISNUMBER(SEARCH("3歳未勝利",Z4970)),"3歳未勝利",IF(ISNUMBER(SEARCH("未勝利",Z4970)),"その他未勝利",IF(ISNUMBER(SEARCH("G1",Z4970)),"G1",IF(ISNUMBER(SEARCH("G2",Z4970)),"G2",IF(ISNUMBER(SEARCH("G3",Z4970)),"G3",IF(ISNUMBER(SEARCH("古馬条件",Z4970)),"古馬条件戦",IF(ISNUMBER(SEARCH("重賞",Z4970)),"重賞","分類不能")))))))))</f>
        <v/>
      </c>
    </row>
    <row r="4971" customFormat="false" ht="15.75" hidden="false" customHeight="false" outlineLevel="0" collapsed="false">
      <c r="AO4971" s="8" t="str">
        <f aca="false">IF(A4971="","",IF(COUNTIFS(全馬データ!$A$2:$A$50000,A4971,全馬データ!$B$2:$B$50000,B4971,全馬データ!$C$2:$C$50000,C4971,全馬データ!$D$2:$D$50000,E4971,全馬データ!$K$2:$K$50000,"&lt;&gt;")=0,"",SUMIFS(全馬データ!$K$2:$K$50000,全馬データ!$A$2:$A$50000,A4971,全馬データ!$B$2:$B$50000,B4971,全馬データ!$C$2:$C$50000,C4971,全馬データ!$D$2:$D$50000,E4971)))</f>
        <v/>
      </c>
      <c r="AP4971" s="8" t="str">
        <f aca="false">IF(A4971="","",IF(AO4971="","欠損",IF(AO4971&lt;=1.1,"1.0～1.1",IF(AO4971&lt;1.3,"1.2",IF(AO4971&lt;1.5,"1.3～1.4",IF(AO4971&lt;2,"1.5～1.9","2.0以上"))))))</f>
        <v/>
      </c>
      <c r="AQ4971" s="8" t="str">
        <f aca="false">IF(A4971="","",IF(ISNUMBER(SEARCH("2歳",Z4971)),"2歳戦",IF(ISNUMBER(SEARCH("3歳未勝利",Z4971)),"3歳未勝利",IF(ISNUMBER(SEARCH("未勝利",Z4971)),"その他未勝利",IF(ISNUMBER(SEARCH("G1",Z4971)),"G1",IF(ISNUMBER(SEARCH("G2",Z4971)),"G2",IF(ISNUMBER(SEARCH("G3",Z4971)),"G3",IF(ISNUMBER(SEARCH("古馬条件",Z4971)),"古馬条件戦",IF(ISNUMBER(SEARCH("重賞",Z4971)),"重賞","分類不能")))))))))</f>
        <v/>
      </c>
    </row>
    <row r="4972" customFormat="false" ht="15.75" hidden="false" customHeight="false" outlineLevel="0" collapsed="false">
      <c r="AO4972" s="8" t="str">
        <f aca="false">IF(A4972="","",IF(COUNTIFS(全馬データ!$A$2:$A$50000,A4972,全馬データ!$B$2:$B$50000,B4972,全馬データ!$C$2:$C$50000,C4972,全馬データ!$D$2:$D$50000,E4972,全馬データ!$K$2:$K$50000,"&lt;&gt;")=0,"",SUMIFS(全馬データ!$K$2:$K$50000,全馬データ!$A$2:$A$50000,A4972,全馬データ!$B$2:$B$50000,B4972,全馬データ!$C$2:$C$50000,C4972,全馬データ!$D$2:$D$50000,E4972)))</f>
        <v/>
      </c>
      <c r="AP4972" s="8" t="str">
        <f aca="false">IF(A4972="","",IF(AO4972="","欠損",IF(AO4972&lt;=1.1,"1.0～1.1",IF(AO4972&lt;1.3,"1.2",IF(AO4972&lt;1.5,"1.3～1.4",IF(AO4972&lt;2,"1.5～1.9","2.0以上"))))))</f>
        <v/>
      </c>
      <c r="AQ4972" s="8" t="str">
        <f aca="false">IF(A4972="","",IF(ISNUMBER(SEARCH("2歳",Z4972)),"2歳戦",IF(ISNUMBER(SEARCH("3歳未勝利",Z4972)),"3歳未勝利",IF(ISNUMBER(SEARCH("未勝利",Z4972)),"その他未勝利",IF(ISNUMBER(SEARCH("G1",Z4972)),"G1",IF(ISNUMBER(SEARCH("G2",Z4972)),"G2",IF(ISNUMBER(SEARCH("G3",Z4972)),"G3",IF(ISNUMBER(SEARCH("古馬条件",Z4972)),"古馬条件戦",IF(ISNUMBER(SEARCH("重賞",Z4972)),"重賞","分類不能")))))))))</f>
        <v/>
      </c>
    </row>
    <row r="4973" customFormat="false" ht="15.75" hidden="false" customHeight="false" outlineLevel="0" collapsed="false">
      <c r="AO4973" s="8" t="str">
        <f aca="false">IF(A4973="","",IF(COUNTIFS(全馬データ!$A$2:$A$50000,A4973,全馬データ!$B$2:$B$50000,B4973,全馬データ!$C$2:$C$50000,C4973,全馬データ!$D$2:$D$50000,E4973,全馬データ!$K$2:$K$50000,"&lt;&gt;")=0,"",SUMIFS(全馬データ!$K$2:$K$50000,全馬データ!$A$2:$A$50000,A4973,全馬データ!$B$2:$B$50000,B4973,全馬データ!$C$2:$C$50000,C4973,全馬データ!$D$2:$D$50000,E4973)))</f>
        <v/>
      </c>
      <c r="AP4973" s="8" t="str">
        <f aca="false">IF(A4973="","",IF(AO4973="","欠損",IF(AO4973&lt;=1.1,"1.0～1.1",IF(AO4973&lt;1.3,"1.2",IF(AO4973&lt;1.5,"1.3～1.4",IF(AO4973&lt;2,"1.5～1.9","2.0以上"))))))</f>
        <v/>
      </c>
      <c r="AQ4973" s="8" t="str">
        <f aca="false">IF(A4973="","",IF(ISNUMBER(SEARCH("2歳",Z4973)),"2歳戦",IF(ISNUMBER(SEARCH("3歳未勝利",Z4973)),"3歳未勝利",IF(ISNUMBER(SEARCH("未勝利",Z4973)),"その他未勝利",IF(ISNUMBER(SEARCH("G1",Z4973)),"G1",IF(ISNUMBER(SEARCH("G2",Z4973)),"G2",IF(ISNUMBER(SEARCH("G3",Z4973)),"G3",IF(ISNUMBER(SEARCH("古馬条件",Z4973)),"古馬条件戦",IF(ISNUMBER(SEARCH("重賞",Z4973)),"重賞","分類不能")))))))))</f>
        <v/>
      </c>
    </row>
    <row r="4974" customFormat="false" ht="15.75" hidden="false" customHeight="false" outlineLevel="0" collapsed="false">
      <c r="AO4974" s="8" t="str">
        <f aca="false">IF(A4974="","",IF(COUNTIFS(全馬データ!$A$2:$A$50000,A4974,全馬データ!$B$2:$B$50000,B4974,全馬データ!$C$2:$C$50000,C4974,全馬データ!$D$2:$D$50000,E4974,全馬データ!$K$2:$K$50000,"&lt;&gt;")=0,"",SUMIFS(全馬データ!$K$2:$K$50000,全馬データ!$A$2:$A$50000,A4974,全馬データ!$B$2:$B$50000,B4974,全馬データ!$C$2:$C$50000,C4974,全馬データ!$D$2:$D$50000,E4974)))</f>
        <v/>
      </c>
      <c r="AP4974" s="8" t="str">
        <f aca="false">IF(A4974="","",IF(AO4974="","欠損",IF(AO4974&lt;=1.1,"1.0～1.1",IF(AO4974&lt;1.3,"1.2",IF(AO4974&lt;1.5,"1.3～1.4",IF(AO4974&lt;2,"1.5～1.9","2.0以上"))))))</f>
        <v/>
      </c>
      <c r="AQ4974" s="8" t="str">
        <f aca="false">IF(A4974="","",IF(ISNUMBER(SEARCH("2歳",Z4974)),"2歳戦",IF(ISNUMBER(SEARCH("3歳未勝利",Z4974)),"3歳未勝利",IF(ISNUMBER(SEARCH("未勝利",Z4974)),"その他未勝利",IF(ISNUMBER(SEARCH("G1",Z4974)),"G1",IF(ISNUMBER(SEARCH("G2",Z4974)),"G2",IF(ISNUMBER(SEARCH("G3",Z4974)),"G3",IF(ISNUMBER(SEARCH("古馬条件",Z4974)),"古馬条件戦",IF(ISNUMBER(SEARCH("重賞",Z4974)),"重賞","分類不能")))))))))</f>
        <v/>
      </c>
    </row>
    <row r="4975" customFormat="false" ht="15.75" hidden="false" customHeight="false" outlineLevel="0" collapsed="false">
      <c r="AO4975" s="8" t="str">
        <f aca="false">IF(A4975="","",IF(COUNTIFS(全馬データ!$A$2:$A$50000,A4975,全馬データ!$B$2:$B$50000,B4975,全馬データ!$C$2:$C$50000,C4975,全馬データ!$D$2:$D$50000,E4975,全馬データ!$K$2:$K$50000,"&lt;&gt;")=0,"",SUMIFS(全馬データ!$K$2:$K$50000,全馬データ!$A$2:$A$50000,A4975,全馬データ!$B$2:$B$50000,B4975,全馬データ!$C$2:$C$50000,C4975,全馬データ!$D$2:$D$50000,E4975)))</f>
        <v/>
      </c>
      <c r="AP4975" s="8" t="str">
        <f aca="false">IF(A4975="","",IF(AO4975="","欠損",IF(AO4975&lt;=1.1,"1.0～1.1",IF(AO4975&lt;1.3,"1.2",IF(AO4975&lt;1.5,"1.3～1.4",IF(AO4975&lt;2,"1.5～1.9","2.0以上"))))))</f>
        <v/>
      </c>
      <c r="AQ4975" s="8" t="str">
        <f aca="false">IF(A4975="","",IF(ISNUMBER(SEARCH("2歳",Z4975)),"2歳戦",IF(ISNUMBER(SEARCH("3歳未勝利",Z4975)),"3歳未勝利",IF(ISNUMBER(SEARCH("未勝利",Z4975)),"その他未勝利",IF(ISNUMBER(SEARCH("G1",Z4975)),"G1",IF(ISNUMBER(SEARCH("G2",Z4975)),"G2",IF(ISNUMBER(SEARCH("G3",Z4975)),"G3",IF(ISNUMBER(SEARCH("古馬条件",Z4975)),"古馬条件戦",IF(ISNUMBER(SEARCH("重賞",Z4975)),"重賞","分類不能")))))))))</f>
        <v/>
      </c>
    </row>
    <row r="4976" customFormat="false" ht="15.75" hidden="false" customHeight="false" outlineLevel="0" collapsed="false">
      <c r="AO4976" s="8" t="str">
        <f aca="false">IF(A4976="","",IF(COUNTIFS(全馬データ!$A$2:$A$50000,A4976,全馬データ!$B$2:$B$50000,B4976,全馬データ!$C$2:$C$50000,C4976,全馬データ!$D$2:$D$50000,E4976,全馬データ!$K$2:$K$50000,"&lt;&gt;")=0,"",SUMIFS(全馬データ!$K$2:$K$50000,全馬データ!$A$2:$A$50000,A4976,全馬データ!$B$2:$B$50000,B4976,全馬データ!$C$2:$C$50000,C4976,全馬データ!$D$2:$D$50000,E4976)))</f>
        <v/>
      </c>
      <c r="AP4976" s="8" t="str">
        <f aca="false">IF(A4976="","",IF(AO4976="","欠損",IF(AO4976&lt;=1.1,"1.0～1.1",IF(AO4976&lt;1.3,"1.2",IF(AO4976&lt;1.5,"1.3～1.4",IF(AO4976&lt;2,"1.5～1.9","2.0以上"))))))</f>
        <v/>
      </c>
      <c r="AQ4976" s="8" t="str">
        <f aca="false">IF(A4976="","",IF(ISNUMBER(SEARCH("2歳",Z4976)),"2歳戦",IF(ISNUMBER(SEARCH("3歳未勝利",Z4976)),"3歳未勝利",IF(ISNUMBER(SEARCH("未勝利",Z4976)),"その他未勝利",IF(ISNUMBER(SEARCH("G1",Z4976)),"G1",IF(ISNUMBER(SEARCH("G2",Z4976)),"G2",IF(ISNUMBER(SEARCH("G3",Z4976)),"G3",IF(ISNUMBER(SEARCH("古馬条件",Z4976)),"古馬条件戦",IF(ISNUMBER(SEARCH("重賞",Z4976)),"重賞","分類不能")))))))))</f>
        <v/>
      </c>
    </row>
    <row r="4977" customFormat="false" ht="15.75" hidden="false" customHeight="false" outlineLevel="0" collapsed="false">
      <c r="AO4977" s="8" t="str">
        <f aca="false">IF(A4977="","",IF(COUNTIFS(全馬データ!$A$2:$A$50000,A4977,全馬データ!$B$2:$B$50000,B4977,全馬データ!$C$2:$C$50000,C4977,全馬データ!$D$2:$D$50000,E4977,全馬データ!$K$2:$K$50000,"&lt;&gt;")=0,"",SUMIFS(全馬データ!$K$2:$K$50000,全馬データ!$A$2:$A$50000,A4977,全馬データ!$B$2:$B$50000,B4977,全馬データ!$C$2:$C$50000,C4977,全馬データ!$D$2:$D$50000,E4977)))</f>
        <v/>
      </c>
      <c r="AP4977" s="8" t="str">
        <f aca="false">IF(A4977="","",IF(AO4977="","欠損",IF(AO4977&lt;=1.1,"1.0～1.1",IF(AO4977&lt;1.3,"1.2",IF(AO4977&lt;1.5,"1.3～1.4",IF(AO4977&lt;2,"1.5～1.9","2.0以上"))))))</f>
        <v/>
      </c>
      <c r="AQ4977" s="8" t="str">
        <f aca="false">IF(A4977="","",IF(ISNUMBER(SEARCH("2歳",Z4977)),"2歳戦",IF(ISNUMBER(SEARCH("3歳未勝利",Z4977)),"3歳未勝利",IF(ISNUMBER(SEARCH("未勝利",Z4977)),"その他未勝利",IF(ISNUMBER(SEARCH("G1",Z4977)),"G1",IF(ISNUMBER(SEARCH("G2",Z4977)),"G2",IF(ISNUMBER(SEARCH("G3",Z4977)),"G3",IF(ISNUMBER(SEARCH("古馬条件",Z4977)),"古馬条件戦",IF(ISNUMBER(SEARCH("重賞",Z4977)),"重賞","分類不能")))))))))</f>
        <v/>
      </c>
    </row>
    <row r="4978" customFormat="false" ht="15.75" hidden="false" customHeight="false" outlineLevel="0" collapsed="false">
      <c r="AO4978" s="8" t="str">
        <f aca="false">IF(A4978="","",IF(COUNTIFS(全馬データ!$A$2:$A$50000,A4978,全馬データ!$B$2:$B$50000,B4978,全馬データ!$C$2:$C$50000,C4978,全馬データ!$D$2:$D$50000,E4978,全馬データ!$K$2:$K$50000,"&lt;&gt;")=0,"",SUMIFS(全馬データ!$K$2:$K$50000,全馬データ!$A$2:$A$50000,A4978,全馬データ!$B$2:$B$50000,B4978,全馬データ!$C$2:$C$50000,C4978,全馬データ!$D$2:$D$50000,E4978)))</f>
        <v/>
      </c>
      <c r="AP4978" s="8" t="str">
        <f aca="false">IF(A4978="","",IF(AO4978="","欠損",IF(AO4978&lt;=1.1,"1.0～1.1",IF(AO4978&lt;1.3,"1.2",IF(AO4978&lt;1.5,"1.3～1.4",IF(AO4978&lt;2,"1.5～1.9","2.0以上"))))))</f>
        <v/>
      </c>
      <c r="AQ4978" s="8" t="str">
        <f aca="false">IF(A4978="","",IF(ISNUMBER(SEARCH("2歳",Z4978)),"2歳戦",IF(ISNUMBER(SEARCH("3歳未勝利",Z4978)),"3歳未勝利",IF(ISNUMBER(SEARCH("未勝利",Z4978)),"その他未勝利",IF(ISNUMBER(SEARCH("G1",Z4978)),"G1",IF(ISNUMBER(SEARCH("G2",Z4978)),"G2",IF(ISNUMBER(SEARCH("G3",Z4978)),"G3",IF(ISNUMBER(SEARCH("古馬条件",Z4978)),"古馬条件戦",IF(ISNUMBER(SEARCH("重賞",Z4978)),"重賞","分類不能")))))))))</f>
        <v/>
      </c>
    </row>
    <row r="4979" customFormat="false" ht="15.75" hidden="false" customHeight="false" outlineLevel="0" collapsed="false">
      <c r="AO4979" s="8" t="str">
        <f aca="false">IF(A4979="","",IF(COUNTIFS(全馬データ!$A$2:$A$50000,A4979,全馬データ!$B$2:$B$50000,B4979,全馬データ!$C$2:$C$50000,C4979,全馬データ!$D$2:$D$50000,E4979,全馬データ!$K$2:$K$50000,"&lt;&gt;")=0,"",SUMIFS(全馬データ!$K$2:$K$50000,全馬データ!$A$2:$A$50000,A4979,全馬データ!$B$2:$B$50000,B4979,全馬データ!$C$2:$C$50000,C4979,全馬データ!$D$2:$D$50000,E4979)))</f>
        <v/>
      </c>
      <c r="AP4979" s="8" t="str">
        <f aca="false">IF(A4979="","",IF(AO4979="","欠損",IF(AO4979&lt;=1.1,"1.0～1.1",IF(AO4979&lt;1.3,"1.2",IF(AO4979&lt;1.5,"1.3～1.4",IF(AO4979&lt;2,"1.5～1.9","2.0以上"))))))</f>
        <v/>
      </c>
      <c r="AQ4979" s="8" t="str">
        <f aca="false">IF(A4979="","",IF(ISNUMBER(SEARCH("2歳",Z4979)),"2歳戦",IF(ISNUMBER(SEARCH("3歳未勝利",Z4979)),"3歳未勝利",IF(ISNUMBER(SEARCH("未勝利",Z4979)),"その他未勝利",IF(ISNUMBER(SEARCH("G1",Z4979)),"G1",IF(ISNUMBER(SEARCH("G2",Z4979)),"G2",IF(ISNUMBER(SEARCH("G3",Z4979)),"G3",IF(ISNUMBER(SEARCH("古馬条件",Z4979)),"古馬条件戦",IF(ISNUMBER(SEARCH("重賞",Z4979)),"重賞","分類不能")))))))))</f>
        <v/>
      </c>
    </row>
    <row r="4980" customFormat="false" ht="15.75" hidden="false" customHeight="false" outlineLevel="0" collapsed="false">
      <c r="AO4980" s="8" t="str">
        <f aca="false">IF(A4980="","",IF(COUNTIFS(全馬データ!$A$2:$A$50000,A4980,全馬データ!$B$2:$B$50000,B4980,全馬データ!$C$2:$C$50000,C4980,全馬データ!$D$2:$D$50000,E4980,全馬データ!$K$2:$K$50000,"&lt;&gt;")=0,"",SUMIFS(全馬データ!$K$2:$K$50000,全馬データ!$A$2:$A$50000,A4980,全馬データ!$B$2:$B$50000,B4980,全馬データ!$C$2:$C$50000,C4980,全馬データ!$D$2:$D$50000,E4980)))</f>
        <v/>
      </c>
      <c r="AP4980" s="8" t="str">
        <f aca="false">IF(A4980="","",IF(AO4980="","欠損",IF(AO4980&lt;=1.1,"1.0～1.1",IF(AO4980&lt;1.3,"1.2",IF(AO4980&lt;1.5,"1.3～1.4",IF(AO4980&lt;2,"1.5～1.9","2.0以上"))))))</f>
        <v/>
      </c>
      <c r="AQ4980" s="8" t="str">
        <f aca="false">IF(A4980="","",IF(ISNUMBER(SEARCH("2歳",Z4980)),"2歳戦",IF(ISNUMBER(SEARCH("3歳未勝利",Z4980)),"3歳未勝利",IF(ISNUMBER(SEARCH("未勝利",Z4980)),"その他未勝利",IF(ISNUMBER(SEARCH("G1",Z4980)),"G1",IF(ISNUMBER(SEARCH("G2",Z4980)),"G2",IF(ISNUMBER(SEARCH("G3",Z4980)),"G3",IF(ISNUMBER(SEARCH("古馬条件",Z4980)),"古馬条件戦",IF(ISNUMBER(SEARCH("重賞",Z4980)),"重賞","分類不能")))))))))</f>
        <v/>
      </c>
    </row>
    <row r="4981" customFormat="false" ht="15.75" hidden="false" customHeight="false" outlineLevel="0" collapsed="false">
      <c r="AO4981" s="8" t="str">
        <f aca="false">IF(A4981="","",IF(COUNTIFS(全馬データ!$A$2:$A$50000,A4981,全馬データ!$B$2:$B$50000,B4981,全馬データ!$C$2:$C$50000,C4981,全馬データ!$D$2:$D$50000,E4981,全馬データ!$K$2:$K$50000,"&lt;&gt;")=0,"",SUMIFS(全馬データ!$K$2:$K$50000,全馬データ!$A$2:$A$50000,A4981,全馬データ!$B$2:$B$50000,B4981,全馬データ!$C$2:$C$50000,C4981,全馬データ!$D$2:$D$50000,E4981)))</f>
        <v/>
      </c>
      <c r="AP4981" s="8" t="str">
        <f aca="false">IF(A4981="","",IF(AO4981="","欠損",IF(AO4981&lt;=1.1,"1.0～1.1",IF(AO4981&lt;1.3,"1.2",IF(AO4981&lt;1.5,"1.3～1.4",IF(AO4981&lt;2,"1.5～1.9","2.0以上"))))))</f>
        <v/>
      </c>
      <c r="AQ4981" s="8" t="str">
        <f aca="false">IF(A4981="","",IF(ISNUMBER(SEARCH("2歳",Z4981)),"2歳戦",IF(ISNUMBER(SEARCH("3歳未勝利",Z4981)),"3歳未勝利",IF(ISNUMBER(SEARCH("未勝利",Z4981)),"その他未勝利",IF(ISNUMBER(SEARCH("G1",Z4981)),"G1",IF(ISNUMBER(SEARCH("G2",Z4981)),"G2",IF(ISNUMBER(SEARCH("G3",Z4981)),"G3",IF(ISNUMBER(SEARCH("古馬条件",Z4981)),"古馬条件戦",IF(ISNUMBER(SEARCH("重賞",Z4981)),"重賞","分類不能")))))))))</f>
        <v/>
      </c>
    </row>
    <row r="4982" customFormat="false" ht="15.75" hidden="false" customHeight="false" outlineLevel="0" collapsed="false">
      <c r="AO4982" s="8" t="str">
        <f aca="false">IF(A4982="","",IF(COUNTIFS(全馬データ!$A$2:$A$50000,A4982,全馬データ!$B$2:$B$50000,B4982,全馬データ!$C$2:$C$50000,C4982,全馬データ!$D$2:$D$50000,E4982,全馬データ!$K$2:$K$50000,"&lt;&gt;")=0,"",SUMIFS(全馬データ!$K$2:$K$50000,全馬データ!$A$2:$A$50000,A4982,全馬データ!$B$2:$B$50000,B4982,全馬データ!$C$2:$C$50000,C4982,全馬データ!$D$2:$D$50000,E4982)))</f>
        <v/>
      </c>
      <c r="AP4982" s="8" t="str">
        <f aca="false">IF(A4982="","",IF(AO4982="","欠損",IF(AO4982&lt;=1.1,"1.0～1.1",IF(AO4982&lt;1.3,"1.2",IF(AO4982&lt;1.5,"1.3～1.4",IF(AO4982&lt;2,"1.5～1.9","2.0以上"))))))</f>
        <v/>
      </c>
      <c r="AQ4982" s="8" t="str">
        <f aca="false">IF(A4982="","",IF(ISNUMBER(SEARCH("2歳",Z4982)),"2歳戦",IF(ISNUMBER(SEARCH("3歳未勝利",Z4982)),"3歳未勝利",IF(ISNUMBER(SEARCH("未勝利",Z4982)),"その他未勝利",IF(ISNUMBER(SEARCH("G1",Z4982)),"G1",IF(ISNUMBER(SEARCH("G2",Z4982)),"G2",IF(ISNUMBER(SEARCH("G3",Z4982)),"G3",IF(ISNUMBER(SEARCH("古馬条件",Z4982)),"古馬条件戦",IF(ISNUMBER(SEARCH("重賞",Z4982)),"重賞","分類不能")))))))))</f>
        <v/>
      </c>
    </row>
    <row r="4983" customFormat="false" ht="15.75" hidden="false" customHeight="false" outlineLevel="0" collapsed="false">
      <c r="AO4983" s="8" t="str">
        <f aca="false">IF(A4983="","",IF(COUNTIFS(全馬データ!$A$2:$A$50000,A4983,全馬データ!$B$2:$B$50000,B4983,全馬データ!$C$2:$C$50000,C4983,全馬データ!$D$2:$D$50000,E4983,全馬データ!$K$2:$K$50000,"&lt;&gt;")=0,"",SUMIFS(全馬データ!$K$2:$K$50000,全馬データ!$A$2:$A$50000,A4983,全馬データ!$B$2:$B$50000,B4983,全馬データ!$C$2:$C$50000,C4983,全馬データ!$D$2:$D$50000,E4983)))</f>
        <v/>
      </c>
      <c r="AP4983" s="8" t="str">
        <f aca="false">IF(A4983="","",IF(AO4983="","欠損",IF(AO4983&lt;=1.1,"1.0～1.1",IF(AO4983&lt;1.3,"1.2",IF(AO4983&lt;1.5,"1.3～1.4",IF(AO4983&lt;2,"1.5～1.9","2.0以上"))))))</f>
        <v/>
      </c>
      <c r="AQ4983" s="8" t="str">
        <f aca="false">IF(A4983="","",IF(ISNUMBER(SEARCH("2歳",Z4983)),"2歳戦",IF(ISNUMBER(SEARCH("3歳未勝利",Z4983)),"3歳未勝利",IF(ISNUMBER(SEARCH("未勝利",Z4983)),"その他未勝利",IF(ISNUMBER(SEARCH("G1",Z4983)),"G1",IF(ISNUMBER(SEARCH("G2",Z4983)),"G2",IF(ISNUMBER(SEARCH("G3",Z4983)),"G3",IF(ISNUMBER(SEARCH("古馬条件",Z4983)),"古馬条件戦",IF(ISNUMBER(SEARCH("重賞",Z4983)),"重賞","分類不能")))))))))</f>
        <v/>
      </c>
    </row>
    <row r="4984" customFormat="false" ht="15.75" hidden="false" customHeight="false" outlineLevel="0" collapsed="false">
      <c r="AO4984" s="8" t="str">
        <f aca="false">IF(A4984="","",IF(COUNTIFS(全馬データ!$A$2:$A$50000,A4984,全馬データ!$B$2:$B$50000,B4984,全馬データ!$C$2:$C$50000,C4984,全馬データ!$D$2:$D$50000,E4984,全馬データ!$K$2:$K$50000,"&lt;&gt;")=0,"",SUMIFS(全馬データ!$K$2:$K$50000,全馬データ!$A$2:$A$50000,A4984,全馬データ!$B$2:$B$50000,B4984,全馬データ!$C$2:$C$50000,C4984,全馬データ!$D$2:$D$50000,E4984)))</f>
        <v/>
      </c>
      <c r="AP4984" s="8" t="str">
        <f aca="false">IF(A4984="","",IF(AO4984="","欠損",IF(AO4984&lt;=1.1,"1.0～1.1",IF(AO4984&lt;1.3,"1.2",IF(AO4984&lt;1.5,"1.3～1.4",IF(AO4984&lt;2,"1.5～1.9","2.0以上"))))))</f>
        <v/>
      </c>
      <c r="AQ4984" s="8" t="str">
        <f aca="false">IF(A4984="","",IF(ISNUMBER(SEARCH("2歳",Z4984)),"2歳戦",IF(ISNUMBER(SEARCH("3歳未勝利",Z4984)),"3歳未勝利",IF(ISNUMBER(SEARCH("未勝利",Z4984)),"その他未勝利",IF(ISNUMBER(SEARCH("G1",Z4984)),"G1",IF(ISNUMBER(SEARCH("G2",Z4984)),"G2",IF(ISNUMBER(SEARCH("G3",Z4984)),"G3",IF(ISNUMBER(SEARCH("古馬条件",Z4984)),"古馬条件戦",IF(ISNUMBER(SEARCH("重賞",Z4984)),"重賞","分類不能")))))))))</f>
        <v/>
      </c>
    </row>
    <row r="4985" customFormat="false" ht="15.75" hidden="false" customHeight="false" outlineLevel="0" collapsed="false">
      <c r="AO4985" s="8" t="str">
        <f aca="false">IF(A4985="","",IF(COUNTIFS(全馬データ!$A$2:$A$50000,A4985,全馬データ!$B$2:$B$50000,B4985,全馬データ!$C$2:$C$50000,C4985,全馬データ!$D$2:$D$50000,E4985,全馬データ!$K$2:$K$50000,"&lt;&gt;")=0,"",SUMIFS(全馬データ!$K$2:$K$50000,全馬データ!$A$2:$A$50000,A4985,全馬データ!$B$2:$B$50000,B4985,全馬データ!$C$2:$C$50000,C4985,全馬データ!$D$2:$D$50000,E4985)))</f>
        <v/>
      </c>
      <c r="AP4985" s="8" t="str">
        <f aca="false">IF(A4985="","",IF(AO4985="","欠損",IF(AO4985&lt;=1.1,"1.0～1.1",IF(AO4985&lt;1.3,"1.2",IF(AO4985&lt;1.5,"1.3～1.4",IF(AO4985&lt;2,"1.5～1.9","2.0以上"))))))</f>
        <v/>
      </c>
      <c r="AQ4985" s="8" t="str">
        <f aca="false">IF(A4985="","",IF(ISNUMBER(SEARCH("2歳",Z4985)),"2歳戦",IF(ISNUMBER(SEARCH("3歳未勝利",Z4985)),"3歳未勝利",IF(ISNUMBER(SEARCH("未勝利",Z4985)),"その他未勝利",IF(ISNUMBER(SEARCH("G1",Z4985)),"G1",IF(ISNUMBER(SEARCH("G2",Z4985)),"G2",IF(ISNUMBER(SEARCH("G3",Z4985)),"G3",IF(ISNUMBER(SEARCH("古馬条件",Z4985)),"古馬条件戦",IF(ISNUMBER(SEARCH("重賞",Z4985)),"重賞","分類不能")))))))))</f>
        <v/>
      </c>
    </row>
    <row r="4986" customFormat="false" ht="15.75" hidden="false" customHeight="false" outlineLevel="0" collapsed="false">
      <c r="AO4986" s="8" t="str">
        <f aca="false">IF(A4986="","",IF(COUNTIFS(全馬データ!$A$2:$A$50000,A4986,全馬データ!$B$2:$B$50000,B4986,全馬データ!$C$2:$C$50000,C4986,全馬データ!$D$2:$D$50000,E4986,全馬データ!$K$2:$K$50000,"&lt;&gt;")=0,"",SUMIFS(全馬データ!$K$2:$K$50000,全馬データ!$A$2:$A$50000,A4986,全馬データ!$B$2:$B$50000,B4986,全馬データ!$C$2:$C$50000,C4986,全馬データ!$D$2:$D$50000,E4986)))</f>
        <v/>
      </c>
      <c r="AP4986" s="8" t="str">
        <f aca="false">IF(A4986="","",IF(AO4986="","欠損",IF(AO4986&lt;=1.1,"1.0～1.1",IF(AO4986&lt;1.3,"1.2",IF(AO4986&lt;1.5,"1.3～1.4",IF(AO4986&lt;2,"1.5～1.9","2.0以上"))))))</f>
        <v/>
      </c>
      <c r="AQ4986" s="8" t="str">
        <f aca="false">IF(A4986="","",IF(ISNUMBER(SEARCH("2歳",Z4986)),"2歳戦",IF(ISNUMBER(SEARCH("3歳未勝利",Z4986)),"3歳未勝利",IF(ISNUMBER(SEARCH("未勝利",Z4986)),"その他未勝利",IF(ISNUMBER(SEARCH("G1",Z4986)),"G1",IF(ISNUMBER(SEARCH("G2",Z4986)),"G2",IF(ISNUMBER(SEARCH("G3",Z4986)),"G3",IF(ISNUMBER(SEARCH("古馬条件",Z4986)),"古馬条件戦",IF(ISNUMBER(SEARCH("重賞",Z4986)),"重賞","分類不能")))))))))</f>
        <v/>
      </c>
    </row>
    <row r="4987" customFormat="false" ht="15.75" hidden="false" customHeight="false" outlineLevel="0" collapsed="false">
      <c r="AO4987" s="8" t="str">
        <f aca="false">IF(A4987="","",IF(COUNTIFS(全馬データ!$A$2:$A$50000,A4987,全馬データ!$B$2:$B$50000,B4987,全馬データ!$C$2:$C$50000,C4987,全馬データ!$D$2:$D$50000,E4987,全馬データ!$K$2:$K$50000,"&lt;&gt;")=0,"",SUMIFS(全馬データ!$K$2:$K$50000,全馬データ!$A$2:$A$50000,A4987,全馬データ!$B$2:$B$50000,B4987,全馬データ!$C$2:$C$50000,C4987,全馬データ!$D$2:$D$50000,E4987)))</f>
        <v/>
      </c>
      <c r="AP4987" s="8" t="str">
        <f aca="false">IF(A4987="","",IF(AO4987="","欠損",IF(AO4987&lt;=1.1,"1.0～1.1",IF(AO4987&lt;1.3,"1.2",IF(AO4987&lt;1.5,"1.3～1.4",IF(AO4987&lt;2,"1.5～1.9","2.0以上"))))))</f>
        <v/>
      </c>
      <c r="AQ4987" s="8" t="str">
        <f aca="false">IF(A4987="","",IF(ISNUMBER(SEARCH("2歳",Z4987)),"2歳戦",IF(ISNUMBER(SEARCH("3歳未勝利",Z4987)),"3歳未勝利",IF(ISNUMBER(SEARCH("未勝利",Z4987)),"その他未勝利",IF(ISNUMBER(SEARCH("G1",Z4987)),"G1",IF(ISNUMBER(SEARCH("G2",Z4987)),"G2",IF(ISNUMBER(SEARCH("G3",Z4987)),"G3",IF(ISNUMBER(SEARCH("古馬条件",Z4987)),"古馬条件戦",IF(ISNUMBER(SEARCH("重賞",Z4987)),"重賞","分類不能")))))))))</f>
        <v/>
      </c>
    </row>
    <row r="4988" customFormat="false" ht="15.75" hidden="false" customHeight="false" outlineLevel="0" collapsed="false">
      <c r="AO4988" s="8" t="str">
        <f aca="false">IF(A4988="","",IF(COUNTIFS(全馬データ!$A$2:$A$50000,A4988,全馬データ!$B$2:$B$50000,B4988,全馬データ!$C$2:$C$50000,C4988,全馬データ!$D$2:$D$50000,E4988,全馬データ!$K$2:$K$50000,"&lt;&gt;")=0,"",SUMIFS(全馬データ!$K$2:$K$50000,全馬データ!$A$2:$A$50000,A4988,全馬データ!$B$2:$B$50000,B4988,全馬データ!$C$2:$C$50000,C4988,全馬データ!$D$2:$D$50000,E4988)))</f>
        <v/>
      </c>
      <c r="AP4988" s="8" t="str">
        <f aca="false">IF(A4988="","",IF(AO4988="","欠損",IF(AO4988&lt;=1.1,"1.0～1.1",IF(AO4988&lt;1.3,"1.2",IF(AO4988&lt;1.5,"1.3～1.4",IF(AO4988&lt;2,"1.5～1.9","2.0以上"))))))</f>
        <v/>
      </c>
      <c r="AQ4988" s="8" t="str">
        <f aca="false">IF(A4988="","",IF(ISNUMBER(SEARCH("2歳",Z4988)),"2歳戦",IF(ISNUMBER(SEARCH("3歳未勝利",Z4988)),"3歳未勝利",IF(ISNUMBER(SEARCH("未勝利",Z4988)),"その他未勝利",IF(ISNUMBER(SEARCH("G1",Z4988)),"G1",IF(ISNUMBER(SEARCH("G2",Z4988)),"G2",IF(ISNUMBER(SEARCH("G3",Z4988)),"G3",IF(ISNUMBER(SEARCH("古馬条件",Z4988)),"古馬条件戦",IF(ISNUMBER(SEARCH("重賞",Z4988)),"重賞","分類不能")))))))))</f>
        <v/>
      </c>
    </row>
    <row r="4989" customFormat="false" ht="15.75" hidden="false" customHeight="false" outlineLevel="0" collapsed="false">
      <c r="AO4989" s="8" t="str">
        <f aca="false">IF(A4989="","",IF(COUNTIFS(全馬データ!$A$2:$A$50000,A4989,全馬データ!$B$2:$B$50000,B4989,全馬データ!$C$2:$C$50000,C4989,全馬データ!$D$2:$D$50000,E4989,全馬データ!$K$2:$K$50000,"&lt;&gt;")=0,"",SUMIFS(全馬データ!$K$2:$K$50000,全馬データ!$A$2:$A$50000,A4989,全馬データ!$B$2:$B$50000,B4989,全馬データ!$C$2:$C$50000,C4989,全馬データ!$D$2:$D$50000,E4989)))</f>
        <v/>
      </c>
      <c r="AP4989" s="8" t="str">
        <f aca="false">IF(A4989="","",IF(AO4989="","欠損",IF(AO4989&lt;=1.1,"1.0～1.1",IF(AO4989&lt;1.3,"1.2",IF(AO4989&lt;1.5,"1.3～1.4",IF(AO4989&lt;2,"1.5～1.9","2.0以上"))))))</f>
        <v/>
      </c>
      <c r="AQ4989" s="8" t="str">
        <f aca="false">IF(A4989="","",IF(ISNUMBER(SEARCH("2歳",Z4989)),"2歳戦",IF(ISNUMBER(SEARCH("3歳未勝利",Z4989)),"3歳未勝利",IF(ISNUMBER(SEARCH("未勝利",Z4989)),"その他未勝利",IF(ISNUMBER(SEARCH("G1",Z4989)),"G1",IF(ISNUMBER(SEARCH("G2",Z4989)),"G2",IF(ISNUMBER(SEARCH("G3",Z4989)),"G3",IF(ISNUMBER(SEARCH("古馬条件",Z4989)),"古馬条件戦",IF(ISNUMBER(SEARCH("重賞",Z4989)),"重賞","分類不能")))))))))</f>
        <v/>
      </c>
    </row>
    <row r="4990" customFormat="false" ht="15.75" hidden="false" customHeight="false" outlineLevel="0" collapsed="false">
      <c r="AO4990" s="8" t="str">
        <f aca="false">IF(A4990="","",IF(COUNTIFS(全馬データ!$A$2:$A$50000,A4990,全馬データ!$B$2:$B$50000,B4990,全馬データ!$C$2:$C$50000,C4990,全馬データ!$D$2:$D$50000,E4990,全馬データ!$K$2:$K$50000,"&lt;&gt;")=0,"",SUMIFS(全馬データ!$K$2:$K$50000,全馬データ!$A$2:$A$50000,A4990,全馬データ!$B$2:$B$50000,B4990,全馬データ!$C$2:$C$50000,C4990,全馬データ!$D$2:$D$50000,E4990)))</f>
        <v/>
      </c>
      <c r="AP4990" s="8" t="str">
        <f aca="false">IF(A4990="","",IF(AO4990="","欠損",IF(AO4990&lt;=1.1,"1.0～1.1",IF(AO4990&lt;1.3,"1.2",IF(AO4990&lt;1.5,"1.3～1.4",IF(AO4990&lt;2,"1.5～1.9","2.0以上"))))))</f>
        <v/>
      </c>
      <c r="AQ4990" s="8" t="str">
        <f aca="false">IF(A4990="","",IF(ISNUMBER(SEARCH("2歳",Z4990)),"2歳戦",IF(ISNUMBER(SEARCH("3歳未勝利",Z4990)),"3歳未勝利",IF(ISNUMBER(SEARCH("未勝利",Z4990)),"その他未勝利",IF(ISNUMBER(SEARCH("G1",Z4990)),"G1",IF(ISNUMBER(SEARCH("G2",Z4990)),"G2",IF(ISNUMBER(SEARCH("G3",Z4990)),"G3",IF(ISNUMBER(SEARCH("古馬条件",Z4990)),"古馬条件戦",IF(ISNUMBER(SEARCH("重賞",Z4990)),"重賞","分類不能")))))))))</f>
        <v/>
      </c>
    </row>
    <row r="4991" customFormat="false" ht="15.75" hidden="false" customHeight="false" outlineLevel="0" collapsed="false">
      <c r="AO4991" s="8" t="str">
        <f aca="false">IF(A4991="","",IF(COUNTIFS(全馬データ!$A$2:$A$50000,A4991,全馬データ!$B$2:$B$50000,B4991,全馬データ!$C$2:$C$50000,C4991,全馬データ!$D$2:$D$50000,E4991,全馬データ!$K$2:$K$50000,"&lt;&gt;")=0,"",SUMIFS(全馬データ!$K$2:$K$50000,全馬データ!$A$2:$A$50000,A4991,全馬データ!$B$2:$B$50000,B4991,全馬データ!$C$2:$C$50000,C4991,全馬データ!$D$2:$D$50000,E4991)))</f>
        <v/>
      </c>
      <c r="AP4991" s="8" t="str">
        <f aca="false">IF(A4991="","",IF(AO4991="","欠損",IF(AO4991&lt;=1.1,"1.0～1.1",IF(AO4991&lt;1.3,"1.2",IF(AO4991&lt;1.5,"1.3～1.4",IF(AO4991&lt;2,"1.5～1.9","2.0以上"))))))</f>
        <v/>
      </c>
      <c r="AQ4991" s="8" t="str">
        <f aca="false">IF(A4991="","",IF(ISNUMBER(SEARCH("2歳",Z4991)),"2歳戦",IF(ISNUMBER(SEARCH("3歳未勝利",Z4991)),"3歳未勝利",IF(ISNUMBER(SEARCH("未勝利",Z4991)),"その他未勝利",IF(ISNUMBER(SEARCH("G1",Z4991)),"G1",IF(ISNUMBER(SEARCH("G2",Z4991)),"G2",IF(ISNUMBER(SEARCH("G3",Z4991)),"G3",IF(ISNUMBER(SEARCH("古馬条件",Z4991)),"古馬条件戦",IF(ISNUMBER(SEARCH("重賞",Z4991)),"重賞","分類不能")))))))))</f>
        <v/>
      </c>
    </row>
    <row r="4992" customFormat="false" ht="15.75" hidden="false" customHeight="false" outlineLevel="0" collapsed="false">
      <c r="AO4992" s="8" t="str">
        <f aca="false">IF(A4992="","",IF(COUNTIFS(全馬データ!$A$2:$A$50000,A4992,全馬データ!$B$2:$B$50000,B4992,全馬データ!$C$2:$C$50000,C4992,全馬データ!$D$2:$D$50000,E4992,全馬データ!$K$2:$K$50000,"&lt;&gt;")=0,"",SUMIFS(全馬データ!$K$2:$K$50000,全馬データ!$A$2:$A$50000,A4992,全馬データ!$B$2:$B$50000,B4992,全馬データ!$C$2:$C$50000,C4992,全馬データ!$D$2:$D$50000,E4992)))</f>
        <v/>
      </c>
      <c r="AP4992" s="8" t="str">
        <f aca="false">IF(A4992="","",IF(AO4992="","欠損",IF(AO4992&lt;=1.1,"1.0～1.1",IF(AO4992&lt;1.3,"1.2",IF(AO4992&lt;1.5,"1.3～1.4",IF(AO4992&lt;2,"1.5～1.9","2.0以上"))))))</f>
        <v/>
      </c>
      <c r="AQ4992" s="8" t="str">
        <f aca="false">IF(A4992="","",IF(ISNUMBER(SEARCH("2歳",Z4992)),"2歳戦",IF(ISNUMBER(SEARCH("3歳未勝利",Z4992)),"3歳未勝利",IF(ISNUMBER(SEARCH("未勝利",Z4992)),"その他未勝利",IF(ISNUMBER(SEARCH("G1",Z4992)),"G1",IF(ISNUMBER(SEARCH("G2",Z4992)),"G2",IF(ISNUMBER(SEARCH("G3",Z4992)),"G3",IF(ISNUMBER(SEARCH("古馬条件",Z4992)),"古馬条件戦",IF(ISNUMBER(SEARCH("重賞",Z4992)),"重賞","分類不能")))))))))</f>
        <v/>
      </c>
    </row>
    <row r="4993" customFormat="false" ht="15.75" hidden="false" customHeight="false" outlineLevel="0" collapsed="false">
      <c r="AO4993" s="8" t="str">
        <f aca="false">IF(A4993="","",IF(COUNTIFS(全馬データ!$A$2:$A$50000,A4993,全馬データ!$B$2:$B$50000,B4993,全馬データ!$C$2:$C$50000,C4993,全馬データ!$D$2:$D$50000,E4993,全馬データ!$K$2:$K$50000,"&lt;&gt;")=0,"",SUMIFS(全馬データ!$K$2:$K$50000,全馬データ!$A$2:$A$50000,A4993,全馬データ!$B$2:$B$50000,B4993,全馬データ!$C$2:$C$50000,C4993,全馬データ!$D$2:$D$50000,E4993)))</f>
        <v/>
      </c>
      <c r="AP4993" s="8" t="str">
        <f aca="false">IF(A4993="","",IF(AO4993="","欠損",IF(AO4993&lt;=1.1,"1.0～1.1",IF(AO4993&lt;1.3,"1.2",IF(AO4993&lt;1.5,"1.3～1.4",IF(AO4993&lt;2,"1.5～1.9","2.0以上"))))))</f>
        <v/>
      </c>
      <c r="AQ4993" s="8" t="str">
        <f aca="false">IF(A4993="","",IF(ISNUMBER(SEARCH("2歳",Z4993)),"2歳戦",IF(ISNUMBER(SEARCH("3歳未勝利",Z4993)),"3歳未勝利",IF(ISNUMBER(SEARCH("未勝利",Z4993)),"その他未勝利",IF(ISNUMBER(SEARCH("G1",Z4993)),"G1",IF(ISNUMBER(SEARCH("G2",Z4993)),"G2",IF(ISNUMBER(SEARCH("G3",Z4993)),"G3",IF(ISNUMBER(SEARCH("古馬条件",Z4993)),"古馬条件戦",IF(ISNUMBER(SEARCH("重賞",Z4993)),"重賞","分類不能")))))))))</f>
        <v/>
      </c>
    </row>
    <row r="4994" customFormat="false" ht="15.75" hidden="false" customHeight="false" outlineLevel="0" collapsed="false">
      <c r="AO4994" s="8" t="str">
        <f aca="false">IF(A4994="","",IF(COUNTIFS(全馬データ!$A$2:$A$50000,A4994,全馬データ!$B$2:$B$50000,B4994,全馬データ!$C$2:$C$50000,C4994,全馬データ!$D$2:$D$50000,E4994,全馬データ!$K$2:$K$50000,"&lt;&gt;")=0,"",SUMIFS(全馬データ!$K$2:$K$50000,全馬データ!$A$2:$A$50000,A4994,全馬データ!$B$2:$B$50000,B4994,全馬データ!$C$2:$C$50000,C4994,全馬データ!$D$2:$D$50000,E4994)))</f>
        <v/>
      </c>
      <c r="AP4994" s="8" t="str">
        <f aca="false">IF(A4994="","",IF(AO4994="","欠損",IF(AO4994&lt;=1.1,"1.0～1.1",IF(AO4994&lt;1.3,"1.2",IF(AO4994&lt;1.5,"1.3～1.4",IF(AO4994&lt;2,"1.5～1.9","2.0以上"))))))</f>
        <v/>
      </c>
      <c r="AQ4994" s="8" t="str">
        <f aca="false">IF(A4994="","",IF(ISNUMBER(SEARCH("2歳",Z4994)),"2歳戦",IF(ISNUMBER(SEARCH("3歳未勝利",Z4994)),"3歳未勝利",IF(ISNUMBER(SEARCH("未勝利",Z4994)),"その他未勝利",IF(ISNUMBER(SEARCH("G1",Z4994)),"G1",IF(ISNUMBER(SEARCH("G2",Z4994)),"G2",IF(ISNUMBER(SEARCH("G3",Z4994)),"G3",IF(ISNUMBER(SEARCH("古馬条件",Z4994)),"古馬条件戦",IF(ISNUMBER(SEARCH("重賞",Z4994)),"重賞","分類不能")))))))))</f>
        <v/>
      </c>
    </row>
    <row r="4995" customFormat="false" ht="15.75" hidden="false" customHeight="false" outlineLevel="0" collapsed="false">
      <c r="AO4995" s="8" t="str">
        <f aca="false">IF(A4995="","",IF(COUNTIFS(全馬データ!$A$2:$A$50000,A4995,全馬データ!$B$2:$B$50000,B4995,全馬データ!$C$2:$C$50000,C4995,全馬データ!$D$2:$D$50000,E4995,全馬データ!$K$2:$K$50000,"&lt;&gt;")=0,"",SUMIFS(全馬データ!$K$2:$K$50000,全馬データ!$A$2:$A$50000,A4995,全馬データ!$B$2:$B$50000,B4995,全馬データ!$C$2:$C$50000,C4995,全馬データ!$D$2:$D$50000,E4995)))</f>
        <v/>
      </c>
      <c r="AP4995" s="8" t="str">
        <f aca="false">IF(A4995="","",IF(AO4995="","欠損",IF(AO4995&lt;=1.1,"1.0～1.1",IF(AO4995&lt;1.3,"1.2",IF(AO4995&lt;1.5,"1.3～1.4",IF(AO4995&lt;2,"1.5～1.9","2.0以上"))))))</f>
        <v/>
      </c>
      <c r="AQ4995" s="8" t="str">
        <f aca="false">IF(A4995="","",IF(ISNUMBER(SEARCH("2歳",Z4995)),"2歳戦",IF(ISNUMBER(SEARCH("3歳未勝利",Z4995)),"3歳未勝利",IF(ISNUMBER(SEARCH("未勝利",Z4995)),"その他未勝利",IF(ISNUMBER(SEARCH("G1",Z4995)),"G1",IF(ISNUMBER(SEARCH("G2",Z4995)),"G2",IF(ISNUMBER(SEARCH("G3",Z4995)),"G3",IF(ISNUMBER(SEARCH("古馬条件",Z4995)),"古馬条件戦",IF(ISNUMBER(SEARCH("重賞",Z4995)),"重賞","分類不能")))))))))</f>
        <v/>
      </c>
    </row>
    <row r="4996" customFormat="false" ht="15.75" hidden="false" customHeight="false" outlineLevel="0" collapsed="false">
      <c r="AO4996" s="8" t="str">
        <f aca="false">IF(A4996="","",IF(COUNTIFS(全馬データ!$A$2:$A$50000,A4996,全馬データ!$B$2:$B$50000,B4996,全馬データ!$C$2:$C$50000,C4996,全馬データ!$D$2:$D$50000,E4996,全馬データ!$K$2:$K$50000,"&lt;&gt;")=0,"",SUMIFS(全馬データ!$K$2:$K$50000,全馬データ!$A$2:$A$50000,A4996,全馬データ!$B$2:$B$50000,B4996,全馬データ!$C$2:$C$50000,C4996,全馬データ!$D$2:$D$50000,E4996)))</f>
        <v/>
      </c>
      <c r="AP4996" s="8" t="str">
        <f aca="false">IF(A4996="","",IF(AO4996="","欠損",IF(AO4996&lt;=1.1,"1.0～1.1",IF(AO4996&lt;1.3,"1.2",IF(AO4996&lt;1.5,"1.3～1.4",IF(AO4996&lt;2,"1.5～1.9","2.0以上"))))))</f>
        <v/>
      </c>
      <c r="AQ4996" s="8" t="str">
        <f aca="false">IF(A4996="","",IF(ISNUMBER(SEARCH("2歳",Z4996)),"2歳戦",IF(ISNUMBER(SEARCH("3歳未勝利",Z4996)),"3歳未勝利",IF(ISNUMBER(SEARCH("未勝利",Z4996)),"その他未勝利",IF(ISNUMBER(SEARCH("G1",Z4996)),"G1",IF(ISNUMBER(SEARCH("G2",Z4996)),"G2",IF(ISNUMBER(SEARCH("G3",Z4996)),"G3",IF(ISNUMBER(SEARCH("古馬条件",Z4996)),"古馬条件戦",IF(ISNUMBER(SEARCH("重賞",Z4996)),"重賞","分類不能")))))))))</f>
        <v/>
      </c>
    </row>
    <row r="4997" customFormat="false" ht="15.75" hidden="false" customHeight="false" outlineLevel="0" collapsed="false">
      <c r="AO4997" s="8" t="str">
        <f aca="false">IF(A4997="","",IF(COUNTIFS(全馬データ!$A$2:$A$50000,A4997,全馬データ!$B$2:$B$50000,B4997,全馬データ!$C$2:$C$50000,C4997,全馬データ!$D$2:$D$50000,E4997,全馬データ!$K$2:$K$50000,"&lt;&gt;")=0,"",SUMIFS(全馬データ!$K$2:$K$50000,全馬データ!$A$2:$A$50000,A4997,全馬データ!$B$2:$B$50000,B4997,全馬データ!$C$2:$C$50000,C4997,全馬データ!$D$2:$D$50000,E4997)))</f>
        <v/>
      </c>
      <c r="AP4997" s="8" t="str">
        <f aca="false">IF(A4997="","",IF(AO4997="","欠損",IF(AO4997&lt;=1.1,"1.0～1.1",IF(AO4997&lt;1.3,"1.2",IF(AO4997&lt;1.5,"1.3～1.4",IF(AO4997&lt;2,"1.5～1.9","2.0以上"))))))</f>
        <v/>
      </c>
      <c r="AQ4997" s="8" t="str">
        <f aca="false">IF(A4997="","",IF(ISNUMBER(SEARCH("2歳",Z4997)),"2歳戦",IF(ISNUMBER(SEARCH("3歳未勝利",Z4997)),"3歳未勝利",IF(ISNUMBER(SEARCH("未勝利",Z4997)),"その他未勝利",IF(ISNUMBER(SEARCH("G1",Z4997)),"G1",IF(ISNUMBER(SEARCH("G2",Z4997)),"G2",IF(ISNUMBER(SEARCH("G3",Z4997)),"G3",IF(ISNUMBER(SEARCH("古馬条件",Z4997)),"古馬条件戦",IF(ISNUMBER(SEARCH("重賞",Z4997)),"重賞","分類不能")))))))))</f>
        <v/>
      </c>
    </row>
    <row r="4998" customFormat="false" ht="15.75" hidden="false" customHeight="false" outlineLevel="0" collapsed="false">
      <c r="AO4998" s="8" t="str">
        <f aca="false">IF(A4998="","",IF(COUNTIFS(全馬データ!$A$2:$A$50000,A4998,全馬データ!$B$2:$B$50000,B4998,全馬データ!$C$2:$C$50000,C4998,全馬データ!$D$2:$D$50000,E4998,全馬データ!$K$2:$K$50000,"&lt;&gt;")=0,"",SUMIFS(全馬データ!$K$2:$K$50000,全馬データ!$A$2:$A$50000,A4998,全馬データ!$B$2:$B$50000,B4998,全馬データ!$C$2:$C$50000,C4998,全馬データ!$D$2:$D$50000,E4998)))</f>
        <v/>
      </c>
      <c r="AP4998" s="8" t="str">
        <f aca="false">IF(A4998="","",IF(AO4998="","欠損",IF(AO4998&lt;=1.1,"1.0～1.1",IF(AO4998&lt;1.3,"1.2",IF(AO4998&lt;1.5,"1.3～1.4",IF(AO4998&lt;2,"1.5～1.9","2.0以上"))))))</f>
        <v/>
      </c>
      <c r="AQ4998" s="8" t="str">
        <f aca="false">IF(A4998="","",IF(ISNUMBER(SEARCH("2歳",Z4998)),"2歳戦",IF(ISNUMBER(SEARCH("3歳未勝利",Z4998)),"3歳未勝利",IF(ISNUMBER(SEARCH("未勝利",Z4998)),"その他未勝利",IF(ISNUMBER(SEARCH("G1",Z4998)),"G1",IF(ISNUMBER(SEARCH("G2",Z4998)),"G2",IF(ISNUMBER(SEARCH("G3",Z4998)),"G3",IF(ISNUMBER(SEARCH("古馬条件",Z4998)),"古馬条件戦",IF(ISNUMBER(SEARCH("重賞",Z4998)),"重賞","分類不能")))))))))</f>
        <v/>
      </c>
    </row>
    <row r="4999" customFormat="false" ht="15.75" hidden="false" customHeight="false" outlineLevel="0" collapsed="false">
      <c r="AO4999" s="8" t="str">
        <f aca="false">IF(A4999="","",IF(COUNTIFS(全馬データ!$A$2:$A$50000,A4999,全馬データ!$B$2:$B$50000,B4999,全馬データ!$C$2:$C$50000,C4999,全馬データ!$D$2:$D$50000,E4999,全馬データ!$K$2:$K$50000,"&lt;&gt;")=0,"",SUMIFS(全馬データ!$K$2:$K$50000,全馬データ!$A$2:$A$50000,A4999,全馬データ!$B$2:$B$50000,B4999,全馬データ!$C$2:$C$50000,C4999,全馬データ!$D$2:$D$50000,E4999)))</f>
        <v/>
      </c>
      <c r="AP4999" s="8" t="str">
        <f aca="false">IF(A4999="","",IF(AO4999="","欠損",IF(AO4999&lt;=1.1,"1.0～1.1",IF(AO4999&lt;1.3,"1.2",IF(AO4999&lt;1.5,"1.3～1.4",IF(AO4999&lt;2,"1.5～1.9","2.0以上"))))))</f>
        <v/>
      </c>
      <c r="AQ4999" s="8" t="str">
        <f aca="false">IF(A4999="","",IF(ISNUMBER(SEARCH("2歳",Z4999)),"2歳戦",IF(ISNUMBER(SEARCH("3歳未勝利",Z4999)),"3歳未勝利",IF(ISNUMBER(SEARCH("未勝利",Z4999)),"その他未勝利",IF(ISNUMBER(SEARCH("G1",Z4999)),"G1",IF(ISNUMBER(SEARCH("G2",Z4999)),"G2",IF(ISNUMBER(SEARCH("G3",Z4999)),"G3",IF(ISNUMBER(SEARCH("古馬条件",Z4999)),"古馬条件戦",IF(ISNUMBER(SEARCH("重賞",Z4999)),"重賞","分類不能")))))))))</f>
        <v/>
      </c>
    </row>
    <row r="5000" customFormat="false" ht="15.75" hidden="false" customHeight="false" outlineLevel="0" collapsed="false">
      <c r="AO5000" s="8" t="str">
        <f aca="false">IF(A5000="","",IF(COUNTIFS(全馬データ!$A$2:$A$50000,A5000,全馬データ!$B$2:$B$50000,B5000,全馬データ!$C$2:$C$50000,C5000,全馬データ!$D$2:$D$50000,E5000,全馬データ!$K$2:$K$50000,"&lt;&gt;")=0,"",SUMIFS(全馬データ!$K$2:$K$50000,全馬データ!$A$2:$A$50000,A5000,全馬データ!$B$2:$B$50000,B5000,全馬データ!$C$2:$C$50000,C5000,全馬データ!$D$2:$D$50000,E5000)))</f>
        <v/>
      </c>
      <c r="AP5000" s="8" t="str">
        <f aca="false">IF(A5000="","",IF(AO5000="","欠損",IF(AO5000&lt;=1.1,"1.0～1.1",IF(AO5000&lt;1.3,"1.2",IF(AO5000&lt;1.5,"1.3～1.4",IF(AO5000&lt;2,"1.5～1.9","2.0以上"))))))</f>
        <v/>
      </c>
      <c r="AQ5000" s="8" t="str">
        <f aca="false">IF(A5000="","",IF(ISNUMBER(SEARCH("2歳",Z5000)),"2歳戦",IF(ISNUMBER(SEARCH("3歳未勝利",Z5000)),"3歳未勝利",IF(ISNUMBER(SEARCH("未勝利",Z5000)),"その他未勝利",IF(ISNUMBER(SEARCH("G1",Z5000)),"G1",IF(ISNUMBER(SEARCH("G2",Z5000)),"G2",IF(ISNUMBER(SEARCH("G3",Z5000)),"G3",IF(ISNUMBER(SEARCH("古馬条件",Z5000)),"古馬条件戦",IF(ISNUMBER(SEARCH("重賞",Z5000)),"重賞","分類不能")))))))))</f>
        <v/>
      </c>
    </row>
  </sheetData>
  <dataValidations count="1">
    <dataValidation allowBlank="true" errorStyle="stop" operator="between" showDropDown="false" showErrorMessage="true" showInputMessage="false" sqref="Y2:Y1146" type="list">
      <formula1>"事前判定,事後発見,参考"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5.63"/>
    <col collapsed="false" customWidth="true" hidden="false" outlineLevel="0" max="2" min="2" style="0" width="4.13"/>
    <col collapsed="false" customWidth="true" hidden="false" outlineLevel="0" max="3" min="3" style="0" width="4.5"/>
    <col collapsed="false" customWidth="true" hidden="false" outlineLevel="0" max="4" min="4" style="0" width="4.88"/>
    <col collapsed="false" customWidth="true" hidden="false" outlineLevel="0" max="5" min="5" style="0" width="5.63"/>
    <col collapsed="false" customWidth="true" hidden="false" outlineLevel="0" max="7" min="6" style="0" width="23.88"/>
    <col collapsed="false" customWidth="true" hidden="false" outlineLevel="0" max="8" min="8" style="0" width="7.75"/>
    <col collapsed="false" customWidth="true" hidden="false" outlineLevel="0" max="9" min="9" style="0" width="6.38"/>
    <col collapsed="false" customWidth="true" hidden="false" outlineLevel="0" max="11" min="10" style="0" width="5.63"/>
    <col collapsed="false" customWidth="true" hidden="false" outlineLevel="0" max="13" min="12" style="0" width="4.88"/>
    <col collapsed="false" customWidth="true" hidden="false" outlineLevel="0" max="14" min="14" style="0" width="37.63"/>
    <col collapsed="false" customWidth="true" hidden="false" outlineLevel="0" max="15" min="15" style="0" width="3.88"/>
  </cols>
  <sheetData>
    <row r="1" customFormat="false" ht="27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8166</v>
      </c>
      <c r="E1" s="1" t="s">
        <v>8167</v>
      </c>
      <c r="F1" s="1" t="s">
        <v>8168</v>
      </c>
      <c r="G1" s="2" t="s">
        <v>8169</v>
      </c>
      <c r="H1" s="1" t="s">
        <v>8170</v>
      </c>
      <c r="I1" s="1" t="s">
        <v>8171</v>
      </c>
      <c r="J1" s="1" t="s">
        <v>8172</v>
      </c>
      <c r="K1" s="1" t="s">
        <v>8173</v>
      </c>
      <c r="L1" s="1" t="s">
        <v>8174</v>
      </c>
      <c r="M1" s="1" t="s">
        <v>8175</v>
      </c>
      <c r="N1" s="1" t="s">
        <v>12</v>
      </c>
      <c r="O1" s="1" t="s">
        <v>8176</v>
      </c>
    </row>
    <row r="2" customFormat="false" ht="39.55" hidden="false" customHeight="false" outlineLevel="0" collapsed="false">
      <c r="A2" s="10" t="n">
        <f aca="false">DATE(2026,7,26)</f>
        <v>46229</v>
      </c>
      <c r="B2" s="9" t="s">
        <v>179</v>
      </c>
      <c r="C2" s="9" t="n">
        <v>1</v>
      </c>
      <c r="D2" s="9" t="s">
        <v>8177</v>
      </c>
      <c r="E2" s="9" t="s">
        <v>8178</v>
      </c>
      <c r="F2" s="11" t="s">
        <v>8179</v>
      </c>
      <c r="G2" s="11" t="s">
        <v>8180</v>
      </c>
      <c r="H2" s="9" t="s">
        <v>8181</v>
      </c>
      <c r="I2" s="9" t="s">
        <v>8182</v>
      </c>
      <c r="J2" s="12" t="n">
        <v>50000</v>
      </c>
      <c r="K2" s="12" t="n">
        <v>70000</v>
      </c>
      <c r="L2" s="12" t="n">
        <f aca="false">IF(A2="","",IF(I2="はい",IF(AND(ISNUMBER(J2),ISNUMBER(K2)),K2-J2,""),""))</f>
        <v>20000</v>
      </c>
      <c r="M2" s="9" t="s">
        <v>8183</v>
      </c>
      <c r="N2" s="11" t="s">
        <v>8184</v>
      </c>
      <c r="O2" s="13" t="n">
        <v>1.4</v>
      </c>
    </row>
    <row r="3" customFormat="false" ht="39.55" hidden="false" customHeight="false" outlineLevel="0" collapsed="false">
      <c r="A3" s="10" t="n">
        <f aca="false">DATE(2026,7,26)</f>
        <v>46229</v>
      </c>
      <c r="B3" s="9" t="s">
        <v>13</v>
      </c>
      <c r="C3" s="11" t="n">
        <v>1</v>
      </c>
      <c r="D3" s="9" t="s">
        <v>8177</v>
      </c>
      <c r="E3" s="9" t="s">
        <v>8178</v>
      </c>
      <c r="F3" s="11" t="s">
        <v>8185</v>
      </c>
      <c r="G3" s="9" t="s">
        <v>8186</v>
      </c>
      <c r="H3" s="9" t="s">
        <v>8181</v>
      </c>
      <c r="I3" s="9" t="s">
        <v>8182</v>
      </c>
      <c r="J3" s="12" t="n">
        <v>50000</v>
      </c>
      <c r="K3" s="12" t="n">
        <v>65000</v>
      </c>
      <c r="L3" s="12" t="n">
        <f aca="false">IF(A3="","",IF(I3="はい",IF(AND(ISNUMBER(J3),ISNUMBER(K3)),K3-J3,""),""))</f>
        <v>15000</v>
      </c>
      <c r="M3" s="9" t="s">
        <v>8183</v>
      </c>
      <c r="N3" s="11"/>
      <c r="O3" s="13" t="n">
        <v>1.3</v>
      </c>
    </row>
    <row r="4" customFormat="false" ht="39.55" hidden="false" customHeight="false" outlineLevel="0" collapsed="false">
      <c r="A4" s="10" t="n">
        <f aca="false">DATE(2026,7,26)</f>
        <v>46229</v>
      </c>
      <c r="B4" s="9" t="s">
        <v>334</v>
      </c>
      <c r="C4" s="11" t="n">
        <v>2</v>
      </c>
      <c r="D4" s="9" t="s">
        <v>8177</v>
      </c>
      <c r="E4" s="9" t="s">
        <v>8187</v>
      </c>
      <c r="F4" s="11" t="s">
        <v>8188</v>
      </c>
      <c r="G4" s="9" t="s">
        <v>8189</v>
      </c>
      <c r="H4" s="9" t="s">
        <v>8181</v>
      </c>
      <c r="I4" s="9" t="s">
        <v>8182</v>
      </c>
      <c r="J4" s="12" t="n">
        <v>100000</v>
      </c>
      <c r="K4" s="12" t="n">
        <v>130000</v>
      </c>
      <c r="L4" s="12" t="n">
        <f aca="false">IF(A4="","",IF(I4="はい",IF(AND(ISNUMBER(J4),ISNUMBER(K4)),K4-J4,""),""))</f>
        <v>30000</v>
      </c>
      <c r="M4" s="9" t="s">
        <v>8183</v>
      </c>
      <c r="N4" s="11"/>
      <c r="O4" s="13" t="n">
        <v>1.3</v>
      </c>
    </row>
    <row r="5" customFormat="false" ht="39.55" hidden="false" customHeight="false" outlineLevel="0" collapsed="false">
      <c r="A5" s="10" t="n">
        <f aca="false">DATE(2026,7,26)</f>
        <v>46229</v>
      </c>
      <c r="B5" s="9" t="s">
        <v>179</v>
      </c>
      <c r="C5" s="11" t="n">
        <v>6</v>
      </c>
      <c r="D5" s="9" t="s">
        <v>8190</v>
      </c>
      <c r="E5" s="9" t="s">
        <v>8187</v>
      </c>
      <c r="F5" s="11" t="s">
        <v>8191</v>
      </c>
      <c r="G5" s="11" t="s">
        <v>8192</v>
      </c>
      <c r="H5" s="9" t="s">
        <v>8193</v>
      </c>
      <c r="I5" s="9" t="s">
        <v>8194</v>
      </c>
      <c r="J5" s="12"/>
      <c r="K5" s="12"/>
      <c r="L5" s="12" t="str">
        <f aca="false">IF(A5="","",IF(I5="はい",IF(AND(ISNUMBER(J5),ISNUMBER(K5)),K5-J5,""),""))</f>
        <v/>
      </c>
      <c r="M5" s="9" t="s">
        <v>8183</v>
      </c>
      <c r="N5" s="9" t="s">
        <v>8195</v>
      </c>
      <c r="O5" s="13"/>
    </row>
    <row r="6" customFormat="false" ht="39.55" hidden="false" customHeight="false" outlineLevel="0" collapsed="false">
      <c r="A6" s="10" t="n">
        <f aca="false">DATE(2026,7,26)</f>
        <v>46229</v>
      </c>
      <c r="B6" s="9" t="s">
        <v>179</v>
      </c>
      <c r="C6" s="11" t="n">
        <v>12</v>
      </c>
      <c r="D6" s="9" t="s">
        <v>8190</v>
      </c>
      <c r="E6" s="9" t="s">
        <v>8187</v>
      </c>
      <c r="F6" s="11" t="s">
        <v>8196</v>
      </c>
      <c r="G6" s="9" t="s">
        <v>8197</v>
      </c>
      <c r="H6" s="9" t="s">
        <v>8181</v>
      </c>
      <c r="I6" s="9" t="s">
        <v>8194</v>
      </c>
      <c r="J6" s="12"/>
      <c r="K6" s="12"/>
      <c r="L6" s="12" t="str">
        <f aca="false">IF(A6="","",IF(I6="はい",IF(AND(ISNUMBER(J6),ISNUMBER(K6)),K6-J6,""),""))</f>
        <v/>
      </c>
      <c r="M6" s="9" t="s">
        <v>8183</v>
      </c>
      <c r="N6" s="9" t="s">
        <v>8198</v>
      </c>
      <c r="O6" s="13"/>
    </row>
    <row r="7" customFormat="false" ht="39.55" hidden="false" customHeight="false" outlineLevel="0" collapsed="false">
      <c r="A7" s="10" t="n">
        <f aca="false">DATE(2026,8,1)</f>
        <v>46235</v>
      </c>
      <c r="B7" s="9" t="s">
        <v>179</v>
      </c>
      <c r="C7" s="11" t="n">
        <v>3</v>
      </c>
      <c r="D7" s="9" t="s">
        <v>8177</v>
      </c>
      <c r="E7" s="9" t="s">
        <v>8187</v>
      </c>
      <c r="F7" s="9" t="s">
        <v>2460</v>
      </c>
      <c r="G7" s="11" t="s">
        <v>8199</v>
      </c>
      <c r="H7" s="9" t="s">
        <v>8181</v>
      </c>
      <c r="I7" s="9" t="s">
        <v>8182</v>
      </c>
      <c r="J7" s="12" t="n">
        <v>100000</v>
      </c>
      <c r="K7" s="12" t="n">
        <v>110000</v>
      </c>
      <c r="L7" s="12" t="n">
        <f aca="false">IF(A7="","",IF(I7="はい",IF(AND(ISNUMBER(J7),ISNUMBER(K7)),K7-J7,""),""))</f>
        <v>10000</v>
      </c>
      <c r="M7" s="9" t="s">
        <v>8183</v>
      </c>
      <c r="N7" s="9" t="s">
        <v>8200</v>
      </c>
      <c r="O7" s="13" t="n">
        <v>1.1</v>
      </c>
    </row>
    <row r="8" customFormat="false" ht="39.55" hidden="false" customHeight="false" outlineLevel="0" collapsed="false">
      <c r="A8" s="10" t="n">
        <f aca="false">DATE(2026,8,1)</f>
        <v>46235</v>
      </c>
      <c r="B8" s="9" t="s">
        <v>179</v>
      </c>
      <c r="C8" s="11" t="n">
        <v>6</v>
      </c>
      <c r="D8" s="9" t="s">
        <v>8177</v>
      </c>
      <c r="E8" s="9" t="s">
        <v>8187</v>
      </c>
      <c r="F8" s="9" t="s">
        <v>3624</v>
      </c>
      <c r="G8" s="11" t="s">
        <v>8201</v>
      </c>
      <c r="H8" s="9" t="s">
        <v>8181</v>
      </c>
      <c r="I8" s="9" t="s">
        <v>8182</v>
      </c>
      <c r="J8" s="12" t="n">
        <v>110000</v>
      </c>
      <c r="K8" s="12" t="n">
        <v>120000</v>
      </c>
      <c r="L8" s="12" t="n">
        <f aca="false">IF(A8="","",IF(I8="はい",IF(AND(ISNUMBER(J8),ISNUMBER(K8)),K8-J8,""),""))</f>
        <v>10000</v>
      </c>
      <c r="M8" s="9" t="s">
        <v>8183</v>
      </c>
      <c r="N8" s="9" t="s">
        <v>8202</v>
      </c>
      <c r="O8" s="13" t="n">
        <v>1.1</v>
      </c>
    </row>
    <row r="9" customFormat="false" ht="39.55" hidden="false" customHeight="false" outlineLevel="0" collapsed="false">
      <c r="A9" s="10" t="n">
        <f aca="false">DATE(2026,8,1)</f>
        <v>46235</v>
      </c>
      <c r="B9" s="9" t="s">
        <v>334</v>
      </c>
      <c r="C9" s="11" t="n">
        <v>8</v>
      </c>
      <c r="D9" s="9" t="s">
        <v>8190</v>
      </c>
      <c r="E9" s="9" t="s">
        <v>8187</v>
      </c>
      <c r="F9" s="9" t="s">
        <v>3850</v>
      </c>
      <c r="G9" s="11" t="s">
        <v>8203</v>
      </c>
      <c r="H9" s="9" t="s">
        <v>8181</v>
      </c>
      <c r="I9" s="9" t="s">
        <v>8194</v>
      </c>
      <c r="J9" s="12"/>
      <c r="K9" s="12"/>
      <c r="L9" s="12" t="str">
        <f aca="false">IF(A9="","",IF(I9="はい",IF(AND(ISNUMBER(J9),ISNUMBER(K9)),K9-J9,""),""))</f>
        <v/>
      </c>
      <c r="M9" s="9" t="s">
        <v>8183</v>
      </c>
      <c r="N9" s="9" t="s">
        <v>8204</v>
      </c>
      <c r="O9" s="13" t="n">
        <v>1.1</v>
      </c>
    </row>
    <row r="10" customFormat="false" ht="39.55" hidden="false" customHeight="false" outlineLevel="0" collapsed="false">
      <c r="A10" s="10" t="n">
        <f aca="false">DATE(2026,8,1)</f>
        <v>46235</v>
      </c>
      <c r="B10" s="9" t="s">
        <v>13</v>
      </c>
      <c r="C10" s="11" t="n">
        <v>10</v>
      </c>
      <c r="D10" s="9" t="s">
        <v>8190</v>
      </c>
      <c r="E10" s="9" t="s">
        <v>8187</v>
      </c>
      <c r="F10" s="9" t="s">
        <v>1911</v>
      </c>
      <c r="G10" s="11" t="s">
        <v>8205</v>
      </c>
      <c r="H10" s="9" t="s">
        <v>8181</v>
      </c>
      <c r="I10" s="9" t="s">
        <v>8194</v>
      </c>
      <c r="J10" s="12"/>
      <c r="K10" s="12"/>
      <c r="L10" s="12" t="str">
        <f aca="false">IF(A10="","",IF(I10="はい",IF(AND(ISNUMBER(J10),ISNUMBER(K10)),K10-J10,""),""))</f>
        <v/>
      </c>
      <c r="M10" s="9" t="s">
        <v>8183</v>
      </c>
      <c r="N10" s="9" t="s">
        <v>8206</v>
      </c>
      <c r="O10" s="13" t="n">
        <v>1.1</v>
      </c>
    </row>
    <row r="11" customFormat="false" ht="39.55" hidden="false" customHeight="false" outlineLevel="0" collapsed="false">
      <c r="A11" s="10" t="n">
        <f aca="false">DATE(2026,8,2)</f>
        <v>46236</v>
      </c>
      <c r="B11" s="9" t="s">
        <v>334</v>
      </c>
      <c r="C11" s="11" t="n">
        <v>10</v>
      </c>
      <c r="D11" s="9" t="s">
        <v>8190</v>
      </c>
      <c r="E11" s="9" t="s">
        <v>8187</v>
      </c>
      <c r="F11" s="9" t="s">
        <v>3568</v>
      </c>
      <c r="G11" s="11" t="s">
        <v>8207</v>
      </c>
      <c r="H11" s="9" t="s">
        <v>8181</v>
      </c>
      <c r="I11" s="9" t="s">
        <v>8194</v>
      </c>
      <c r="J11" s="12"/>
      <c r="K11" s="12"/>
      <c r="L11" s="12" t="str">
        <f aca="false">IF(A11="","",IF(I11="はい",IF(AND(ISNUMBER(J11),ISNUMBER(K11)),K11-J11,""),""))</f>
        <v/>
      </c>
      <c r="M11" s="9" t="s">
        <v>8183</v>
      </c>
      <c r="N11" s="9" t="s">
        <v>8208</v>
      </c>
      <c r="O11" s="13" t="n">
        <v>1.1</v>
      </c>
    </row>
    <row r="12" customFormat="false" ht="39.55" hidden="false" customHeight="false" outlineLevel="0" collapsed="false">
      <c r="A12" s="10" t="n">
        <f aca="false">DATE(2026,8,2)</f>
        <v>46236</v>
      </c>
      <c r="B12" s="9" t="s">
        <v>13</v>
      </c>
      <c r="C12" s="11" t="n">
        <v>5</v>
      </c>
      <c r="D12" s="9" t="s">
        <v>8190</v>
      </c>
      <c r="E12" s="9" t="s">
        <v>8187</v>
      </c>
      <c r="F12" s="9" t="s">
        <v>8209</v>
      </c>
      <c r="G12" s="11" t="s">
        <v>8210</v>
      </c>
      <c r="H12" s="9" t="s">
        <v>8181</v>
      </c>
      <c r="I12" s="9" t="s">
        <v>8194</v>
      </c>
      <c r="J12" s="12"/>
      <c r="K12" s="12"/>
      <c r="L12" s="12" t="str">
        <f aca="false">IF(A12="","",IF(I12="はい",IF(AND(ISNUMBER(J12),ISNUMBER(K12)),K12-J12,""),""))</f>
        <v/>
      </c>
      <c r="M12" s="9" t="s">
        <v>8183</v>
      </c>
      <c r="N12" s="9" t="s">
        <v>8211</v>
      </c>
      <c r="O12" s="13" t="n">
        <v>1.4</v>
      </c>
    </row>
    <row r="13" customFormat="false" ht="39.55" hidden="false" customHeight="false" outlineLevel="0" collapsed="false">
      <c r="A13" s="10" t="n">
        <f aca="false">DATE(2026,8,2)</f>
        <v>46236</v>
      </c>
      <c r="B13" s="9" t="s">
        <v>179</v>
      </c>
      <c r="C13" s="11" t="n">
        <v>11</v>
      </c>
      <c r="D13" s="9" t="s">
        <v>8190</v>
      </c>
      <c r="E13" s="9" t="s">
        <v>8187</v>
      </c>
      <c r="F13" s="9" t="s">
        <v>2130</v>
      </c>
      <c r="G13" s="11" t="s">
        <v>8212</v>
      </c>
      <c r="H13" s="9" t="s">
        <v>8181</v>
      </c>
      <c r="I13" s="9" t="s">
        <v>8194</v>
      </c>
      <c r="J13" s="12"/>
      <c r="K13" s="12"/>
      <c r="L13" s="12" t="str">
        <f aca="false">IF(A13="","",IF(I13="はい",IF(AND(ISNUMBER(J13),ISNUMBER(K13)),K13-J13,""),""))</f>
        <v/>
      </c>
      <c r="M13" s="9" t="s">
        <v>8213</v>
      </c>
      <c r="N13" s="9" t="s">
        <v>8214</v>
      </c>
      <c r="O13" s="13"/>
    </row>
    <row r="14" customFormat="false" ht="39.55" hidden="false" customHeight="false" outlineLevel="0" collapsed="false">
      <c r="A14" s="10" t="n">
        <f aca="false">DATE(2026,8,2)</f>
        <v>46236</v>
      </c>
      <c r="B14" s="9" t="s">
        <v>13</v>
      </c>
      <c r="C14" s="11" t="n">
        <v>1</v>
      </c>
      <c r="D14" s="9" t="s">
        <v>8190</v>
      </c>
      <c r="E14" s="9" t="s">
        <v>8187</v>
      </c>
      <c r="F14" s="9" t="s">
        <v>930</v>
      </c>
      <c r="G14" s="11" t="s">
        <v>8215</v>
      </c>
      <c r="H14" s="9" t="s">
        <v>8181</v>
      </c>
      <c r="I14" s="9" t="s">
        <v>8194</v>
      </c>
      <c r="J14" s="12"/>
      <c r="K14" s="12"/>
      <c r="L14" s="12" t="str">
        <f aca="false">IF(A14="","",IF(I14="はい",IF(AND(ISNUMBER(J14),ISNUMBER(K14)),K14-J14,""),""))</f>
        <v/>
      </c>
      <c r="M14" s="9" t="s">
        <v>8183</v>
      </c>
      <c r="N14" s="11" t="s">
        <v>8216</v>
      </c>
      <c r="O14" s="13" t="n">
        <v>1.2</v>
      </c>
    </row>
    <row r="15" customFormat="false" ht="39.55" hidden="false" customHeight="false" outlineLevel="0" collapsed="false">
      <c r="A15" s="10" t="n">
        <f aca="false">DATE(2026,8,2)</f>
        <v>46236</v>
      </c>
      <c r="B15" s="9" t="s">
        <v>13</v>
      </c>
      <c r="C15" s="11" t="n">
        <v>10</v>
      </c>
      <c r="D15" s="9" t="s">
        <v>8190</v>
      </c>
      <c r="E15" s="9" t="s">
        <v>8187</v>
      </c>
      <c r="F15" s="9" t="s">
        <v>3119</v>
      </c>
      <c r="G15" s="11" t="s">
        <v>8217</v>
      </c>
      <c r="H15" s="9" t="s">
        <v>8181</v>
      </c>
      <c r="I15" s="9" t="s">
        <v>8194</v>
      </c>
      <c r="J15" s="12"/>
      <c r="K15" s="12"/>
      <c r="L15" s="12" t="str">
        <f aca="false">IF(A15="","",IF(I15="はい",IF(AND(ISNUMBER(J15),ISNUMBER(K15)),K15-J15,""),""))</f>
        <v/>
      </c>
      <c r="M15" s="9" t="s">
        <v>8213</v>
      </c>
      <c r="N15" s="9" t="s">
        <v>8218</v>
      </c>
      <c r="O15" s="13"/>
    </row>
    <row r="16" customFormat="false" ht="39.55" hidden="false" customHeight="false" outlineLevel="0" collapsed="false">
      <c r="A16" s="10" t="n">
        <f aca="false">DATE(2026,8,2)</f>
        <v>46236</v>
      </c>
      <c r="B16" s="9" t="s">
        <v>334</v>
      </c>
      <c r="C16" s="11" t="n">
        <v>3</v>
      </c>
      <c r="D16" s="9" t="s">
        <v>8190</v>
      </c>
      <c r="E16" s="9" t="s">
        <v>8187</v>
      </c>
      <c r="F16" s="9" t="s">
        <v>2701</v>
      </c>
      <c r="G16" s="11" t="s">
        <v>8219</v>
      </c>
      <c r="H16" s="9" t="s">
        <v>8181</v>
      </c>
      <c r="I16" s="9" t="s">
        <v>8194</v>
      </c>
      <c r="J16" s="12"/>
      <c r="K16" s="12"/>
      <c r="L16" s="12" t="str">
        <f aca="false">IF(A16="","",IF(I16="はい",IF(AND(ISNUMBER(J16),ISNUMBER(K16)),K16-J16,""),""))</f>
        <v/>
      </c>
      <c r="M16" s="9" t="s">
        <v>8183</v>
      </c>
      <c r="N16" s="9" t="s">
        <v>8220</v>
      </c>
      <c r="O16" s="13" t="n">
        <v>1.1</v>
      </c>
    </row>
    <row r="17" customFormat="false" ht="39.55" hidden="false" customHeight="false" outlineLevel="0" collapsed="false">
      <c r="A17" s="10" t="n">
        <f aca="false">DATE(2026,8,2)</f>
        <v>46236</v>
      </c>
      <c r="B17" s="9" t="s">
        <v>334</v>
      </c>
      <c r="C17" s="11" t="n">
        <v>3</v>
      </c>
      <c r="D17" s="9" t="s">
        <v>8190</v>
      </c>
      <c r="E17" s="9" t="s">
        <v>8187</v>
      </c>
      <c r="F17" s="9" t="s">
        <v>8221</v>
      </c>
      <c r="G17" s="11" t="s">
        <v>8222</v>
      </c>
      <c r="H17" s="9" t="s">
        <v>8181</v>
      </c>
      <c r="I17" s="9" t="s">
        <v>8194</v>
      </c>
      <c r="J17" s="12"/>
      <c r="K17" s="12"/>
      <c r="L17" s="12" t="str">
        <f aca="false">IF(A17="","",IF(I17="はい",IF(AND(ISNUMBER(J17),ISNUMBER(K17)),K17-J17,""),""))</f>
        <v/>
      </c>
      <c r="M17" s="9" t="s">
        <v>8183</v>
      </c>
      <c r="N17" s="9" t="s">
        <v>8223</v>
      </c>
      <c r="O17" s="13" t="n">
        <v>1.1</v>
      </c>
    </row>
    <row r="18" customFormat="false" ht="39.55" hidden="false" customHeight="false" outlineLevel="0" collapsed="false">
      <c r="A18" s="10" t="n">
        <f aca="false">DATE(2026,8,2)</f>
        <v>46236</v>
      </c>
      <c r="B18" s="9" t="s">
        <v>334</v>
      </c>
      <c r="C18" s="11" t="n">
        <v>3</v>
      </c>
      <c r="D18" s="9" t="s">
        <v>8190</v>
      </c>
      <c r="E18" s="9" t="s">
        <v>8178</v>
      </c>
      <c r="F18" s="9" t="s">
        <v>8224</v>
      </c>
      <c r="G18" s="9" t="s">
        <v>8225</v>
      </c>
      <c r="H18" s="9" t="s">
        <v>8181</v>
      </c>
      <c r="I18" s="9" t="s">
        <v>8194</v>
      </c>
      <c r="J18" s="12"/>
      <c r="K18" s="12"/>
      <c r="L18" s="12" t="str">
        <f aca="false">IF(A18="","",IF(I18="はい",IF(AND(ISNUMBER(J18),ISNUMBER(K18)),K18-J18,""),""))</f>
        <v/>
      </c>
      <c r="M18" s="9" t="s">
        <v>8183</v>
      </c>
      <c r="N18" s="9" t="s">
        <v>8226</v>
      </c>
      <c r="O18" s="13" t="n">
        <v>1.2</v>
      </c>
    </row>
    <row r="19" customFormat="false" ht="39.55" hidden="false" customHeight="false" outlineLevel="0" collapsed="false">
      <c r="A19" s="10" t="n">
        <f aca="false">DATE(2026,8,8)</f>
        <v>46242</v>
      </c>
      <c r="B19" s="9" t="s">
        <v>179</v>
      </c>
      <c r="C19" s="11" t="n">
        <v>5</v>
      </c>
      <c r="D19" s="9" t="s">
        <v>8190</v>
      </c>
      <c r="E19" s="9" t="s">
        <v>8187</v>
      </c>
      <c r="F19" s="9" t="s">
        <v>5635</v>
      </c>
      <c r="G19" s="11" t="s">
        <v>8227</v>
      </c>
      <c r="H19" s="9" t="s">
        <v>8181</v>
      </c>
      <c r="I19" s="9" t="s">
        <v>8194</v>
      </c>
      <c r="J19" s="12"/>
      <c r="K19" s="12"/>
      <c r="L19" s="12" t="str">
        <f aca="false">IF(A19="","",IF(I19="はい",IF(AND(ISNUMBER(J19),ISNUMBER(K19)),K19-J19,""),""))</f>
        <v/>
      </c>
      <c r="M19" s="9" t="s">
        <v>8183</v>
      </c>
      <c r="N19" s="9" t="s">
        <v>8228</v>
      </c>
      <c r="O19" s="13" t="n">
        <v>1.1</v>
      </c>
    </row>
    <row r="20" customFormat="false" ht="39.55" hidden="false" customHeight="false" outlineLevel="0" collapsed="false">
      <c r="A20" s="10" t="n">
        <f aca="false">DATE(2026,8,8)</f>
        <v>46242</v>
      </c>
      <c r="B20" s="9" t="s">
        <v>334</v>
      </c>
      <c r="C20" s="11" t="n">
        <v>11</v>
      </c>
      <c r="D20" s="9" t="s">
        <v>8190</v>
      </c>
      <c r="E20" s="9" t="s">
        <v>8187</v>
      </c>
      <c r="F20" s="9" t="s">
        <v>8229</v>
      </c>
      <c r="G20" s="11" t="s">
        <v>8230</v>
      </c>
      <c r="H20" s="9" t="s">
        <v>8181</v>
      </c>
      <c r="I20" s="9" t="s">
        <v>8194</v>
      </c>
      <c r="J20" s="12"/>
      <c r="K20" s="12"/>
      <c r="L20" s="12" t="str">
        <f aca="false">IF(A20="","",IF(I20="はい",IF(AND(ISNUMBER(J20),ISNUMBER(K20)),K20-J20,""),""))</f>
        <v/>
      </c>
      <c r="M20" s="9" t="s">
        <v>8213</v>
      </c>
      <c r="N20" s="9" t="s">
        <v>8231</v>
      </c>
      <c r="O20" s="13"/>
    </row>
    <row r="21" customFormat="false" ht="39.55" hidden="false" customHeight="false" outlineLevel="0" collapsed="false">
      <c r="A21" s="10" t="n">
        <f aca="false">DATE(2026,8,8)</f>
        <v>46242</v>
      </c>
      <c r="B21" s="9" t="s">
        <v>13</v>
      </c>
      <c r="C21" s="11" t="n">
        <v>8</v>
      </c>
      <c r="D21" s="9" t="s">
        <v>8190</v>
      </c>
      <c r="E21" s="9" t="s">
        <v>8187</v>
      </c>
      <c r="F21" s="9" t="s">
        <v>6889</v>
      </c>
      <c r="G21" s="11" t="s">
        <v>8232</v>
      </c>
      <c r="H21" s="9" t="s">
        <v>8181</v>
      </c>
      <c r="I21" s="9" t="s">
        <v>8194</v>
      </c>
      <c r="J21" s="12"/>
      <c r="K21" s="12"/>
      <c r="L21" s="12" t="str">
        <f aca="false">IF(A21="","",IF(I21="はい",IF(AND(ISNUMBER(J21),ISNUMBER(K21)),K21-J21,""),""))</f>
        <v/>
      </c>
      <c r="M21" s="9" t="s">
        <v>8183</v>
      </c>
      <c r="N21" s="9" t="s">
        <v>8233</v>
      </c>
      <c r="O21" s="13" t="n">
        <v>1.1</v>
      </c>
    </row>
    <row r="22" customFormat="false" ht="39.55" hidden="false" customHeight="false" outlineLevel="0" collapsed="false">
      <c r="A22" s="10" t="n">
        <f aca="false">DATE(2026,8,8)</f>
        <v>46242</v>
      </c>
      <c r="B22" s="9" t="s">
        <v>13</v>
      </c>
      <c r="C22" s="11" t="n">
        <v>6</v>
      </c>
      <c r="D22" s="9" t="s">
        <v>8190</v>
      </c>
      <c r="E22" s="9" t="s">
        <v>8187</v>
      </c>
      <c r="F22" s="9" t="s">
        <v>5865</v>
      </c>
      <c r="G22" s="11" t="s">
        <v>8232</v>
      </c>
      <c r="H22" s="9" t="s">
        <v>8181</v>
      </c>
      <c r="I22" s="9" t="s">
        <v>8194</v>
      </c>
      <c r="J22" s="12"/>
      <c r="K22" s="12"/>
      <c r="L22" s="12" t="str">
        <f aca="false">IF(A22="","",IF(I22="はい",IF(AND(ISNUMBER(J22),ISNUMBER(K22)),K22-J22,""),""))</f>
        <v/>
      </c>
      <c r="M22" s="9" t="s">
        <v>8183</v>
      </c>
      <c r="N22" s="9" t="s">
        <v>8234</v>
      </c>
      <c r="O22" s="13" t="n">
        <v>1.1</v>
      </c>
    </row>
    <row r="23" customFormat="false" ht="39.55" hidden="false" customHeight="false" outlineLevel="0" collapsed="false">
      <c r="A23" s="10" t="n">
        <f aca="false">DATE(2026,8,15)</f>
        <v>46249</v>
      </c>
      <c r="B23" s="9" t="s">
        <v>179</v>
      </c>
      <c r="C23" s="11" t="n">
        <v>4</v>
      </c>
      <c r="D23" s="9" t="s">
        <v>8190</v>
      </c>
      <c r="E23" s="9" t="s">
        <v>8187</v>
      </c>
      <c r="F23" s="9" t="s">
        <v>3979</v>
      </c>
      <c r="G23" s="11" t="s">
        <v>8235</v>
      </c>
      <c r="H23" s="9" t="s">
        <v>8181</v>
      </c>
      <c r="I23" s="9" t="s">
        <v>8194</v>
      </c>
      <c r="J23" s="12"/>
      <c r="K23" s="12"/>
      <c r="L23" s="12" t="str">
        <f aca="false">IF(A23="","",IF(I23="はい",IF(AND(ISNUMBER(J23),ISNUMBER(K23)),K23-J23,""),""))</f>
        <v/>
      </c>
      <c r="M23" s="9" t="s">
        <v>8183</v>
      </c>
      <c r="N23" s="9" t="s">
        <v>8236</v>
      </c>
      <c r="O23" s="13" t="n">
        <v>1.1</v>
      </c>
    </row>
    <row r="24" customFormat="false" ht="39.55" hidden="false" customHeight="false" outlineLevel="0" collapsed="false">
      <c r="A24" s="10" t="n">
        <f aca="false">DATE(2026,8,15)</f>
        <v>46249</v>
      </c>
      <c r="B24" s="9" t="s">
        <v>13</v>
      </c>
      <c r="C24" s="11" t="n">
        <v>10</v>
      </c>
      <c r="D24" s="9" t="s">
        <v>8190</v>
      </c>
      <c r="E24" s="9" t="s">
        <v>8187</v>
      </c>
      <c r="F24" s="9" t="s">
        <v>8237</v>
      </c>
      <c r="G24" s="11" t="s">
        <v>8238</v>
      </c>
      <c r="H24" s="9" t="s">
        <v>8181</v>
      </c>
      <c r="I24" s="9" t="s">
        <v>8194</v>
      </c>
      <c r="J24" s="12"/>
      <c r="K24" s="12"/>
      <c r="L24" s="12" t="str">
        <f aca="false">IF(A24="","",IF(I24="はい",IF(AND(ISNUMBER(J24),ISNUMBER(K24)),K24-J24,""),""))</f>
        <v/>
      </c>
      <c r="M24" s="9" t="s">
        <v>8183</v>
      </c>
      <c r="N24" s="9" t="s">
        <v>8239</v>
      </c>
      <c r="O24" s="13" t="n">
        <v>1.1</v>
      </c>
    </row>
    <row r="25" customFormat="false" ht="39.55" hidden="false" customHeight="false" outlineLevel="0" collapsed="false">
      <c r="A25" s="10" t="n">
        <f aca="false">DATE(2026,8,15)</f>
        <v>46249</v>
      </c>
      <c r="B25" s="9" t="s">
        <v>179</v>
      </c>
      <c r="C25" s="11" t="n">
        <v>12</v>
      </c>
      <c r="D25" s="9" t="s">
        <v>8190</v>
      </c>
      <c r="E25" s="9" t="s">
        <v>8187</v>
      </c>
      <c r="F25" s="9" t="s">
        <v>3920</v>
      </c>
      <c r="G25" s="11" t="s">
        <v>8238</v>
      </c>
      <c r="H25" s="9" t="s">
        <v>8181</v>
      </c>
      <c r="I25" s="9" t="s">
        <v>8194</v>
      </c>
      <c r="J25" s="12"/>
      <c r="K25" s="12"/>
      <c r="L25" s="12" t="str">
        <f aca="false">IF(A25="","",IF(I25="はい",IF(AND(ISNUMBER(J25),ISNUMBER(K25)),K25-J25,""),""))</f>
        <v/>
      </c>
      <c r="M25" s="9" t="s">
        <v>8183</v>
      </c>
      <c r="N25" s="9" t="s">
        <v>8240</v>
      </c>
      <c r="O25" s="13" t="n">
        <v>1.3</v>
      </c>
    </row>
    <row r="26" customFormat="false" ht="39.55" hidden="false" customHeight="false" outlineLevel="0" collapsed="false">
      <c r="A26" s="10" t="n">
        <f aca="false">DATE(2026,8,15)</f>
        <v>46249</v>
      </c>
      <c r="B26" s="9" t="s">
        <v>179</v>
      </c>
      <c r="C26" s="11" t="n">
        <v>1</v>
      </c>
      <c r="D26" s="9" t="s">
        <v>8190</v>
      </c>
      <c r="E26" s="9" t="s">
        <v>8187</v>
      </c>
      <c r="F26" s="9" t="s">
        <v>5029</v>
      </c>
      <c r="G26" s="11" t="s">
        <v>8241</v>
      </c>
      <c r="H26" s="9" t="s">
        <v>8181</v>
      </c>
      <c r="I26" s="9" t="s">
        <v>8194</v>
      </c>
      <c r="J26" s="12"/>
      <c r="K26" s="12"/>
      <c r="L26" s="12" t="str">
        <f aca="false">IF(A26="","",IF(I26="はい",IF(AND(ISNUMBER(J26),ISNUMBER(K26)),K26-J26,""),""))</f>
        <v/>
      </c>
      <c r="M26" s="9" t="s">
        <v>8213</v>
      </c>
      <c r="N26" s="9" t="s">
        <v>8242</v>
      </c>
      <c r="O26" s="13"/>
    </row>
    <row r="27" customFormat="false" ht="39.55" hidden="false" customHeight="false" outlineLevel="0" collapsed="false">
      <c r="A27" s="10" t="n">
        <f aca="false">DATE(2026,8,16)</f>
        <v>46250</v>
      </c>
      <c r="B27" s="9" t="s">
        <v>13</v>
      </c>
      <c r="C27" s="11" t="n">
        <v>5</v>
      </c>
      <c r="D27" s="9" t="s">
        <v>8190</v>
      </c>
      <c r="E27" s="9" t="s">
        <v>8187</v>
      </c>
      <c r="F27" s="9" t="s">
        <v>6802</v>
      </c>
      <c r="G27" s="11" t="s">
        <v>8235</v>
      </c>
      <c r="H27" s="9" t="s">
        <v>8181</v>
      </c>
      <c r="I27" s="9" t="s">
        <v>8194</v>
      </c>
      <c r="J27" s="12"/>
      <c r="K27" s="12"/>
      <c r="L27" s="12" t="str">
        <f aca="false">IF(A27="","",IF(I27="はい",IF(AND(ISNUMBER(J27),ISNUMBER(K27)),K27-J27,""),""))</f>
        <v/>
      </c>
      <c r="M27" s="9" t="s">
        <v>8213</v>
      </c>
      <c r="N27" s="9" t="s">
        <v>8243</v>
      </c>
      <c r="O27" s="13"/>
    </row>
    <row r="28" customFormat="false" ht="39.55" hidden="false" customHeight="false" outlineLevel="0" collapsed="false">
      <c r="A28" s="10" t="n">
        <f aca="false">DATE(2026,8,16)</f>
        <v>46250</v>
      </c>
      <c r="B28" s="9" t="s">
        <v>334</v>
      </c>
      <c r="C28" s="11" t="n">
        <v>12</v>
      </c>
      <c r="D28" s="9" t="s">
        <v>8190</v>
      </c>
      <c r="E28" s="9" t="s">
        <v>8187</v>
      </c>
      <c r="F28" s="9" t="s">
        <v>2964</v>
      </c>
      <c r="G28" s="11" t="s">
        <v>8244</v>
      </c>
      <c r="H28" s="9" t="s">
        <v>8181</v>
      </c>
      <c r="I28" s="9" t="s">
        <v>8194</v>
      </c>
      <c r="J28" s="12"/>
      <c r="K28" s="12"/>
      <c r="L28" s="12" t="str">
        <f aca="false">IF(A28="","",IF(I28="はい",IF(AND(ISNUMBER(J28),ISNUMBER(K28)),K28-J28,""),""))</f>
        <v/>
      </c>
      <c r="M28" s="9" t="s">
        <v>8183</v>
      </c>
      <c r="N28" s="9" t="s">
        <v>8245</v>
      </c>
      <c r="O28" s="13" t="n">
        <v>1.1</v>
      </c>
    </row>
    <row r="29" customFormat="false" ht="39.55" hidden="false" customHeight="false" outlineLevel="0" collapsed="false">
      <c r="A29" s="10" t="n">
        <f aca="false">DATE(2026,8,16)</f>
        <v>46250</v>
      </c>
      <c r="B29" s="9" t="s">
        <v>179</v>
      </c>
      <c r="C29" s="11" t="n">
        <v>8</v>
      </c>
      <c r="D29" s="9" t="s">
        <v>8190</v>
      </c>
      <c r="E29" s="9" t="s">
        <v>8187</v>
      </c>
      <c r="F29" s="9" t="s">
        <v>1199</v>
      </c>
      <c r="G29" s="11" t="s">
        <v>8246</v>
      </c>
      <c r="H29" s="9" t="s">
        <v>8181</v>
      </c>
      <c r="I29" s="9" t="s">
        <v>8194</v>
      </c>
      <c r="J29" s="12"/>
      <c r="K29" s="12"/>
      <c r="L29" s="12" t="str">
        <f aca="false">IF(A29="","",IF(I29="はい",IF(AND(ISNUMBER(J29),ISNUMBER(K29)),K29-J29,""),""))</f>
        <v/>
      </c>
      <c r="M29" s="9" t="s">
        <v>8183</v>
      </c>
      <c r="N29" s="9" t="s">
        <v>8247</v>
      </c>
      <c r="O29" s="13" t="n">
        <v>1.7</v>
      </c>
    </row>
    <row r="30" customFormat="false" ht="39.55" hidden="false" customHeight="false" outlineLevel="0" collapsed="false">
      <c r="A30" s="10" t="n">
        <f aca="false">DATE(2026,8,16)</f>
        <v>46250</v>
      </c>
      <c r="B30" s="9" t="s">
        <v>334</v>
      </c>
      <c r="C30" s="11" t="n">
        <v>2</v>
      </c>
      <c r="D30" s="9" t="s">
        <v>8190</v>
      </c>
      <c r="E30" s="9" t="s">
        <v>8187</v>
      </c>
      <c r="F30" s="9" t="s">
        <v>8248</v>
      </c>
      <c r="G30" s="11" t="s">
        <v>8241</v>
      </c>
      <c r="H30" s="9" t="s">
        <v>8181</v>
      </c>
      <c r="I30" s="9" t="s">
        <v>8194</v>
      </c>
      <c r="J30" s="12"/>
      <c r="K30" s="12"/>
      <c r="L30" s="12" t="str">
        <f aca="false">IF(A30="","",IF(I30="はい",IF(AND(ISNUMBER(J30),ISNUMBER(K30)),K30-J30,""),""))</f>
        <v/>
      </c>
      <c r="M30" s="9" t="s">
        <v>8183</v>
      </c>
      <c r="N30" s="9" t="s">
        <v>8249</v>
      </c>
      <c r="O30" s="13" t="n">
        <v>1.1</v>
      </c>
    </row>
    <row r="31" customFormat="false" ht="39.55" hidden="false" customHeight="false" outlineLevel="0" collapsed="false">
      <c r="A31" s="10" t="n">
        <f aca="false">DATE(2026,8,9)</f>
        <v>46243</v>
      </c>
      <c r="B31" s="9" t="s">
        <v>13</v>
      </c>
      <c r="C31" s="11" t="n">
        <v>4</v>
      </c>
      <c r="D31" s="9" t="s">
        <v>8190</v>
      </c>
      <c r="E31" s="9" t="s">
        <v>8187</v>
      </c>
      <c r="F31" s="9" t="s">
        <v>2303</v>
      </c>
      <c r="G31" s="9" t="s">
        <v>8250</v>
      </c>
      <c r="H31" s="9" t="s">
        <v>8181</v>
      </c>
      <c r="I31" s="9" t="s">
        <v>8194</v>
      </c>
      <c r="J31" s="12"/>
      <c r="K31" s="12"/>
      <c r="L31" s="12" t="str">
        <f aca="false">IF(A31="","",IF(I31="はい",IF(AND(ISNUMBER(J31),ISNUMBER(K31)),K31-J31,""),""))</f>
        <v/>
      </c>
      <c r="M31" s="9" t="s">
        <v>8183</v>
      </c>
      <c r="N31" s="9" t="s">
        <v>8251</v>
      </c>
      <c r="O31" s="13" t="n">
        <v>1.1</v>
      </c>
    </row>
    <row r="32" customFormat="false" ht="39.55" hidden="false" customHeight="false" outlineLevel="0" collapsed="false">
      <c r="A32" s="10" t="n">
        <f aca="false">DATE(2026,8,9)</f>
        <v>46243</v>
      </c>
      <c r="B32" s="9" t="s">
        <v>334</v>
      </c>
      <c r="C32" s="11" t="n">
        <v>12</v>
      </c>
      <c r="D32" s="9" t="s">
        <v>8190</v>
      </c>
      <c r="E32" s="9" t="s">
        <v>8187</v>
      </c>
      <c r="F32" s="9" t="s">
        <v>1342</v>
      </c>
      <c r="G32" s="9" t="s">
        <v>8250</v>
      </c>
      <c r="H32" s="9" t="s">
        <v>8181</v>
      </c>
      <c r="I32" s="9" t="s">
        <v>8194</v>
      </c>
      <c r="J32" s="12"/>
      <c r="K32" s="12"/>
      <c r="L32" s="12" t="str">
        <f aca="false">IF(A32="","",IF(I32="はい",IF(AND(ISNUMBER(J32),ISNUMBER(K32)),K32-J32,""),""))</f>
        <v/>
      </c>
      <c r="M32" s="9" t="s">
        <v>8183</v>
      </c>
      <c r="N32" s="9" t="s">
        <v>8252</v>
      </c>
      <c r="O32" s="13" t="n">
        <v>1.7</v>
      </c>
    </row>
    <row r="33" customFormat="false" ht="39.55" hidden="false" customHeight="false" outlineLevel="0" collapsed="false">
      <c r="A33" s="10" t="n">
        <f aca="false">DATE(2026,8,9)</f>
        <v>46243</v>
      </c>
      <c r="B33" s="9" t="s">
        <v>13</v>
      </c>
      <c r="C33" s="11" t="n">
        <v>10</v>
      </c>
      <c r="D33" s="9" t="s">
        <v>8190</v>
      </c>
      <c r="E33" s="9" t="s">
        <v>8187</v>
      </c>
      <c r="F33" s="9" t="s">
        <v>4538</v>
      </c>
      <c r="G33" s="9" t="s">
        <v>8253</v>
      </c>
      <c r="H33" s="9" t="s">
        <v>8181</v>
      </c>
      <c r="I33" s="9" t="s">
        <v>8194</v>
      </c>
      <c r="J33" s="12"/>
      <c r="K33" s="12"/>
      <c r="L33" s="12" t="str">
        <f aca="false">IF(A33="","",IF(I33="はい",IF(AND(ISNUMBER(J33),ISNUMBER(K33)),K33-J33,""),""))</f>
        <v/>
      </c>
      <c r="M33" s="9" t="s">
        <v>8183</v>
      </c>
      <c r="N33" s="9" t="s">
        <v>8254</v>
      </c>
      <c r="O33" s="13" t="n">
        <v>1.1</v>
      </c>
    </row>
    <row r="34" customFormat="false" ht="39.55" hidden="false" customHeight="false" outlineLevel="0" collapsed="false">
      <c r="A34" s="10" t="n">
        <f aca="false">DATE(2026,8,9)</f>
        <v>46243</v>
      </c>
      <c r="B34" s="9" t="s">
        <v>179</v>
      </c>
      <c r="C34" s="11" t="n">
        <v>4</v>
      </c>
      <c r="D34" s="9" t="s">
        <v>8190</v>
      </c>
      <c r="E34" s="9" t="s">
        <v>8187</v>
      </c>
      <c r="F34" s="9" t="s">
        <v>4622</v>
      </c>
      <c r="G34" s="9" t="s">
        <v>8253</v>
      </c>
      <c r="H34" s="9" t="s">
        <v>8181</v>
      </c>
      <c r="I34" s="9" t="s">
        <v>8194</v>
      </c>
      <c r="J34" s="12"/>
      <c r="K34" s="12"/>
      <c r="L34" s="12" t="str">
        <f aca="false">IF(A34="","",IF(I34="はい",IF(AND(ISNUMBER(J34),ISNUMBER(K34)),K34-J34,""),""))</f>
        <v/>
      </c>
      <c r="M34" s="9" t="s">
        <v>8213</v>
      </c>
      <c r="N34" s="9" t="s">
        <v>8255</v>
      </c>
      <c r="O34" s="13"/>
    </row>
    <row r="35" customFormat="false" ht="39.55" hidden="false" customHeight="false" outlineLevel="0" collapsed="false">
      <c r="A35" s="10" t="n">
        <f aca="false">DATE(2026,8,9)</f>
        <v>46243</v>
      </c>
      <c r="B35" s="9" t="s">
        <v>179</v>
      </c>
      <c r="C35" s="11" t="n">
        <v>6</v>
      </c>
      <c r="D35" s="9" t="s">
        <v>8190</v>
      </c>
      <c r="E35" s="9" t="s">
        <v>8187</v>
      </c>
      <c r="F35" s="11" t="s">
        <v>8256</v>
      </c>
      <c r="G35" s="9" t="s">
        <v>8253</v>
      </c>
      <c r="H35" s="9" t="s">
        <v>8181</v>
      </c>
      <c r="I35" s="9" t="s">
        <v>8194</v>
      </c>
      <c r="J35" s="12"/>
      <c r="K35" s="12"/>
      <c r="L35" s="12" t="str">
        <f aca="false">IF(A35="","",IF(I35="はい",IF(AND(ISNUMBER(J35),ISNUMBER(K35)),K35-J35,""),""))</f>
        <v/>
      </c>
      <c r="M35" s="9" t="s">
        <v>8213</v>
      </c>
      <c r="N35" s="9" t="s">
        <v>8257</v>
      </c>
      <c r="O35" s="13"/>
    </row>
    <row r="36" customFormat="false" ht="39.55" hidden="false" customHeight="false" outlineLevel="0" collapsed="false">
      <c r="A36" s="10" t="n">
        <f aca="false">DATE(2026,8,22)</f>
        <v>46256</v>
      </c>
      <c r="B36" s="9" t="s">
        <v>179</v>
      </c>
      <c r="C36" s="11" t="n">
        <v>3</v>
      </c>
      <c r="D36" s="9" t="s">
        <v>8190</v>
      </c>
      <c r="E36" s="9" t="s">
        <v>8187</v>
      </c>
      <c r="F36" s="11" t="s">
        <v>8258</v>
      </c>
      <c r="G36" s="11" t="s">
        <v>8259</v>
      </c>
      <c r="H36" s="9" t="s">
        <v>8181</v>
      </c>
      <c r="I36" s="9" t="s">
        <v>8194</v>
      </c>
      <c r="J36" s="12"/>
      <c r="K36" s="12"/>
      <c r="L36" s="12" t="str">
        <f aca="false">IF(A36="","",IF(I36="はい",IF(AND(ISNUMBER(J36),ISNUMBER(K36)),K36-J36,""),""))</f>
        <v/>
      </c>
      <c r="M36" s="9" t="s">
        <v>8213</v>
      </c>
      <c r="N36" s="9" t="s">
        <v>8260</v>
      </c>
      <c r="O36" s="13"/>
    </row>
    <row r="37" customFormat="false" ht="39.55" hidden="false" customHeight="false" outlineLevel="0" collapsed="false">
      <c r="A37" s="10" t="n">
        <f aca="false">DATE(2026,8,22)</f>
        <v>46256</v>
      </c>
      <c r="B37" s="9" t="s">
        <v>334</v>
      </c>
      <c r="C37" s="11" t="n">
        <v>3</v>
      </c>
      <c r="D37" s="9" t="s">
        <v>8190</v>
      </c>
      <c r="E37" s="9" t="s">
        <v>8187</v>
      </c>
      <c r="F37" s="11" t="s">
        <v>8261</v>
      </c>
      <c r="G37" s="11" t="s">
        <v>8262</v>
      </c>
      <c r="H37" s="9" t="s">
        <v>8181</v>
      </c>
      <c r="I37" s="9" t="s">
        <v>8194</v>
      </c>
      <c r="J37" s="12"/>
      <c r="K37" s="12"/>
      <c r="L37" s="12" t="str">
        <f aca="false">IF(A37="","",IF(I37="はい",IF(AND(ISNUMBER(J37),ISNUMBER(K37)),K37-J37,""),""))</f>
        <v/>
      </c>
      <c r="M37" s="9" t="s">
        <v>8183</v>
      </c>
      <c r="N37" s="9" t="s">
        <v>8263</v>
      </c>
      <c r="O37" s="13" t="n">
        <v>1.1</v>
      </c>
    </row>
    <row r="38" customFormat="false" ht="39.55" hidden="false" customHeight="false" outlineLevel="0" collapsed="false">
      <c r="A38" s="10" t="n">
        <f aca="false">DATE(2026,8,22)</f>
        <v>46256</v>
      </c>
      <c r="B38" s="9" t="s">
        <v>13</v>
      </c>
      <c r="C38" s="11" t="n">
        <v>8</v>
      </c>
      <c r="D38" s="9" t="s">
        <v>8190</v>
      </c>
      <c r="E38" s="9" t="s">
        <v>8187</v>
      </c>
      <c r="F38" s="11" t="s">
        <v>8264</v>
      </c>
      <c r="G38" s="11" t="s">
        <v>8265</v>
      </c>
      <c r="H38" s="9" t="s">
        <v>8181</v>
      </c>
      <c r="I38" s="9" t="s">
        <v>8194</v>
      </c>
      <c r="J38" s="12"/>
      <c r="K38" s="12"/>
      <c r="L38" s="12" t="str">
        <f aca="false">IF(A38="","",IF(I38="はい",IF(AND(ISNUMBER(J38),ISNUMBER(K38)),K38-J38,""),""))</f>
        <v/>
      </c>
      <c r="M38" s="9" t="s">
        <v>8183</v>
      </c>
      <c r="N38" s="9" t="s">
        <v>8266</v>
      </c>
      <c r="O38" s="13" t="n">
        <v>1.1</v>
      </c>
    </row>
    <row r="39" customFormat="false" ht="39.55" hidden="false" customHeight="false" outlineLevel="0" collapsed="false">
      <c r="A39" s="10" t="n">
        <f aca="false">DATE(2026,8,22)</f>
        <v>46256</v>
      </c>
      <c r="B39" s="9" t="s">
        <v>13</v>
      </c>
      <c r="C39" s="11" t="n">
        <v>11</v>
      </c>
      <c r="D39" s="9" t="s">
        <v>8190</v>
      </c>
      <c r="E39" s="9" t="s">
        <v>8187</v>
      </c>
      <c r="F39" s="11" t="s">
        <v>8267</v>
      </c>
      <c r="G39" s="11" t="s">
        <v>8265</v>
      </c>
      <c r="H39" s="9" t="s">
        <v>8181</v>
      </c>
      <c r="I39" s="9" t="s">
        <v>8194</v>
      </c>
      <c r="J39" s="12"/>
      <c r="K39" s="12"/>
      <c r="L39" s="12" t="str">
        <f aca="false">IF(A39="","",IF(I39="はい",IF(AND(ISNUMBER(J39),ISNUMBER(K39)),K39-J39,""),""))</f>
        <v/>
      </c>
      <c r="M39" s="9" t="s">
        <v>8183</v>
      </c>
      <c r="N39" s="9" t="s">
        <v>8268</v>
      </c>
      <c r="O39" s="13" t="n">
        <v>1.1</v>
      </c>
    </row>
    <row r="40" customFormat="false" ht="39.55" hidden="false" customHeight="false" outlineLevel="0" collapsed="false">
      <c r="A40" s="10" t="n">
        <f aca="false">DATE(2026,8,23)</f>
        <v>46257</v>
      </c>
      <c r="B40" s="9" t="s">
        <v>13</v>
      </c>
      <c r="C40" s="11" t="n">
        <v>7</v>
      </c>
      <c r="D40" s="9" t="s">
        <v>8190</v>
      </c>
      <c r="E40" s="9" t="s">
        <v>8187</v>
      </c>
      <c r="F40" s="11" t="s">
        <v>8269</v>
      </c>
      <c r="G40" s="11" t="s">
        <v>8259</v>
      </c>
      <c r="H40" s="9" t="s">
        <v>8181</v>
      </c>
      <c r="I40" s="9" t="s">
        <v>8194</v>
      </c>
      <c r="J40" s="12"/>
      <c r="K40" s="12"/>
      <c r="L40" s="12" t="str">
        <f aca="false">IF(A40="","",IF(I40="はい",IF(AND(ISNUMBER(J40),ISNUMBER(K40)),K40-J40,""),""))</f>
        <v/>
      </c>
      <c r="M40" s="9" t="s">
        <v>8213</v>
      </c>
      <c r="N40" s="9" t="s">
        <v>8270</v>
      </c>
      <c r="O40" s="13"/>
    </row>
    <row r="41" customFormat="false" ht="39.55" hidden="false" customHeight="false" outlineLevel="0" collapsed="false">
      <c r="A41" s="10" t="n">
        <f aca="false">DATE(2026,8,23)</f>
        <v>46257</v>
      </c>
      <c r="B41" s="9" t="s">
        <v>13</v>
      </c>
      <c r="C41" s="11" t="n">
        <v>1</v>
      </c>
      <c r="D41" s="9" t="s">
        <v>8190</v>
      </c>
      <c r="E41" s="9" t="s">
        <v>8187</v>
      </c>
      <c r="F41" s="11" t="s">
        <v>8271</v>
      </c>
      <c r="G41" s="11" t="s">
        <v>8272</v>
      </c>
      <c r="H41" s="9" t="s">
        <v>8181</v>
      </c>
      <c r="I41" s="9" t="s">
        <v>8194</v>
      </c>
      <c r="J41" s="12"/>
      <c r="K41" s="12"/>
      <c r="L41" s="12" t="str">
        <f aca="false">IF(A41="","",IF(I41="はい",IF(AND(ISNUMBER(J41),ISNUMBER(K41)),K41-J41,""),""))</f>
        <v/>
      </c>
      <c r="M41" s="9" t="s">
        <v>8183</v>
      </c>
      <c r="N41" s="9" t="s">
        <v>8273</v>
      </c>
      <c r="O41" s="13" t="n">
        <v>1</v>
      </c>
    </row>
    <row r="42" customFormat="false" ht="39.55" hidden="false" customHeight="false" outlineLevel="0" collapsed="false">
      <c r="A42" s="10" t="n">
        <f aca="false">DATE(2026,8,23)</f>
        <v>46257</v>
      </c>
      <c r="B42" s="9" t="s">
        <v>334</v>
      </c>
      <c r="C42" s="11" t="n">
        <v>2</v>
      </c>
      <c r="D42" s="9" t="s">
        <v>8190</v>
      </c>
      <c r="E42" s="9" t="s">
        <v>8187</v>
      </c>
      <c r="F42" s="11" t="s">
        <v>8274</v>
      </c>
      <c r="G42" s="11" t="s">
        <v>8275</v>
      </c>
      <c r="H42" s="9" t="s">
        <v>8181</v>
      </c>
      <c r="I42" s="9" t="s">
        <v>8194</v>
      </c>
      <c r="J42" s="12"/>
      <c r="K42" s="12"/>
      <c r="L42" s="12" t="str">
        <f aca="false">IF(A42="","",IF(I42="はい",IF(AND(ISNUMBER(J42),ISNUMBER(K42)),K42-J42,""),""))</f>
        <v/>
      </c>
      <c r="M42" s="9" t="s">
        <v>8213</v>
      </c>
      <c r="N42" s="9" t="s">
        <v>8276</v>
      </c>
      <c r="O42" s="13"/>
    </row>
    <row r="43" customFormat="false" ht="15.75" hidden="false" customHeight="false" outlineLevel="0" collapsed="false">
      <c r="A43" s="10"/>
      <c r="B43" s="11"/>
      <c r="C43" s="11"/>
      <c r="D43" s="9"/>
      <c r="E43" s="9"/>
      <c r="F43" s="11"/>
      <c r="G43" s="11"/>
      <c r="H43" s="9"/>
      <c r="I43" s="9"/>
      <c r="J43" s="12"/>
      <c r="K43" s="12"/>
      <c r="L43" s="12" t="str">
        <f aca="false">IF(A43="","",IF(I43="はい",IF(AND(ISNUMBER(J43),ISNUMBER(K43)),K43-J43,""),""))</f>
        <v/>
      </c>
      <c r="M43" s="9"/>
      <c r="N43" s="11"/>
      <c r="O43" s="13"/>
    </row>
    <row r="44" customFormat="false" ht="15.75" hidden="false" customHeight="false" outlineLevel="0" collapsed="false">
      <c r="A44" s="10"/>
      <c r="B44" s="11"/>
      <c r="C44" s="11"/>
      <c r="D44" s="9"/>
      <c r="E44" s="9"/>
      <c r="F44" s="11"/>
      <c r="G44" s="11"/>
      <c r="H44" s="9"/>
      <c r="I44" s="9"/>
      <c r="J44" s="12"/>
      <c r="K44" s="12"/>
      <c r="L44" s="12" t="str">
        <f aca="false">IF(A44="","",IF(I44="はい",IF(AND(ISNUMBER(J44),ISNUMBER(K44)),K44-J44,""),""))</f>
        <v/>
      </c>
      <c r="M44" s="9"/>
      <c r="N44" s="11"/>
      <c r="O44" s="13"/>
    </row>
    <row r="45" customFormat="false" ht="15.75" hidden="false" customHeight="false" outlineLevel="0" collapsed="false">
      <c r="A45" s="10"/>
      <c r="B45" s="11"/>
      <c r="C45" s="11"/>
      <c r="D45" s="9"/>
      <c r="E45" s="9"/>
      <c r="F45" s="11"/>
      <c r="G45" s="11"/>
      <c r="H45" s="9"/>
      <c r="I45" s="9"/>
      <c r="J45" s="12"/>
      <c r="K45" s="12"/>
      <c r="L45" s="12" t="str">
        <f aca="false">IF(A45="","",IF(I45="はい",IF(AND(ISNUMBER(J45),ISNUMBER(K45)),K45-J45,""),""))</f>
        <v/>
      </c>
      <c r="M45" s="9"/>
      <c r="N45" s="11"/>
      <c r="O45" s="13"/>
    </row>
    <row r="46" customFormat="false" ht="15.75" hidden="false" customHeight="false" outlineLevel="0" collapsed="false">
      <c r="A46" s="10"/>
      <c r="B46" s="11"/>
      <c r="C46" s="11"/>
      <c r="D46" s="9"/>
      <c r="E46" s="9"/>
      <c r="F46" s="11"/>
      <c r="G46" s="11"/>
      <c r="H46" s="9"/>
      <c r="I46" s="9"/>
      <c r="J46" s="12"/>
      <c r="K46" s="12"/>
      <c r="L46" s="12" t="str">
        <f aca="false">IF(A46="","",IF(I46="はい",IF(AND(ISNUMBER(J46),ISNUMBER(K46)),K46-J46,""),""))</f>
        <v/>
      </c>
      <c r="M46" s="9"/>
      <c r="N46" s="11"/>
      <c r="O46" s="13"/>
    </row>
    <row r="47" customFormat="false" ht="15.75" hidden="false" customHeight="false" outlineLevel="0" collapsed="false">
      <c r="A47" s="10"/>
      <c r="B47" s="11"/>
      <c r="C47" s="11"/>
      <c r="D47" s="9"/>
      <c r="E47" s="9"/>
      <c r="F47" s="11"/>
      <c r="G47" s="11"/>
      <c r="H47" s="9"/>
      <c r="I47" s="9"/>
      <c r="J47" s="12"/>
      <c r="K47" s="12"/>
      <c r="L47" s="12" t="str">
        <f aca="false">IF(A47="","",IF(I47="はい",IF(AND(ISNUMBER(J47),ISNUMBER(K47)),K47-J47,""),""))</f>
        <v/>
      </c>
      <c r="M47" s="9"/>
      <c r="N47" s="11"/>
      <c r="O47" s="13"/>
    </row>
    <row r="48" customFormat="false" ht="15.75" hidden="false" customHeight="false" outlineLevel="0" collapsed="false">
      <c r="A48" s="10"/>
      <c r="B48" s="11"/>
      <c r="C48" s="11"/>
      <c r="D48" s="9"/>
      <c r="E48" s="9"/>
      <c r="F48" s="11"/>
      <c r="G48" s="11"/>
      <c r="H48" s="9"/>
      <c r="I48" s="9"/>
      <c r="J48" s="12"/>
      <c r="K48" s="12"/>
      <c r="L48" s="12" t="str">
        <f aca="false">IF(A48="","",IF(I48="はい",IF(AND(ISNUMBER(J48),ISNUMBER(K48)),K48-J48,""),""))</f>
        <v/>
      </c>
      <c r="M48" s="9"/>
      <c r="N48" s="11"/>
      <c r="O48" s="13"/>
    </row>
    <row r="49" customFormat="false" ht="15.75" hidden="false" customHeight="false" outlineLevel="0" collapsed="false">
      <c r="A49" s="10"/>
      <c r="B49" s="11"/>
      <c r="C49" s="11"/>
      <c r="D49" s="9"/>
      <c r="E49" s="9"/>
      <c r="F49" s="11"/>
      <c r="G49" s="11"/>
      <c r="H49" s="9"/>
      <c r="I49" s="9"/>
      <c r="J49" s="12"/>
      <c r="K49" s="12"/>
      <c r="L49" s="12" t="str">
        <f aca="false">IF(A49="","",IF(I49="はい",IF(AND(ISNUMBER(J49),ISNUMBER(K49)),K49-J49,""),""))</f>
        <v/>
      </c>
      <c r="M49" s="9"/>
      <c r="N49" s="11"/>
      <c r="O49" s="13"/>
    </row>
    <row r="50" customFormat="false" ht="15.75" hidden="false" customHeight="false" outlineLevel="0" collapsed="false">
      <c r="A50" s="10"/>
      <c r="B50" s="11"/>
      <c r="C50" s="11"/>
      <c r="D50" s="9"/>
      <c r="E50" s="9"/>
      <c r="F50" s="11"/>
      <c r="G50" s="11"/>
      <c r="H50" s="9"/>
      <c r="I50" s="9"/>
      <c r="J50" s="12"/>
      <c r="K50" s="12"/>
      <c r="L50" s="12" t="str">
        <f aca="false">IF(A50="","",IF(I50="はい",IF(AND(ISNUMBER(J50),ISNUMBER(K50)),K50-J50,""),""))</f>
        <v/>
      </c>
      <c r="M50" s="9"/>
      <c r="N50" s="11"/>
      <c r="O50" s="13"/>
    </row>
    <row r="51" customFormat="false" ht="15.75" hidden="false" customHeight="false" outlineLevel="0" collapsed="false">
      <c r="A51" s="10"/>
      <c r="B51" s="11"/>
      <c r="C51" s="11"/>
      <c r="D51" s="9"/>
      <c r="E51" s="9"/>
      <c r="F51" s="11"/>
      <c r="G51" s="11"/>
      <c r="H51" s="9"/>
      <c r="I51" s="9"/>
      <c r="J51" s="12"/>
      <c r="K51" s="12"/>
      <c r="L51" s="12" t="str">
        <f aca="false">IF(A51="","",IF(I51="はい",IF(AND(ISNUMBER(J51),ISNUMBER(K51)),K51-J51,""),""))</f>
        <v/>
      </c>
      <c r="M51" s="9"/>
      <c r="N51" s="11"/>
      <c r="O51" s="13"/>
    </row>
    <row r="52" customFormat="false" ht="15.75" hidden="false" customHeight="false" outlineLevel="0" collapsed="false">
      <c r="A52" s="10"/>
      <c r="B52" s="11"/>
      <c r="C52" s="11"/>
      <c r="D52" s="9"/>
      <c r="E52" s="9"/>
      <c r="F52" s="11"/>
      <c r="G52" s="11"/>
      <c r="H52" s="9"/>
      <c r="I52" s="9"/>
      <c r="J52" s="12"/>
      <c r="K52" s="12"/>
      <c r="L52" s="12" t="str">
        <f aca="false">IF(A52="","",IF(I52="はい",IF(AND(ISNUMBER(J52),ISNUMBER(K52)),K52-J52,""),""))</f>
        <v/>
      </c>
      <c r="M52" s="9"/>
      <c r="N52" s="11"/>
      <c r="O52" s="13"/>
    </row>
    <row r="53" customFormat="false" ht="15.75" hidden="false" customHeight="false" outlineLevel="0" collapsed="false">
      <c r="A53" s="10"/>
      <c r="B53" s="11"/>
      <c r="C53" s="11"/>
      <c r="D53" s="9"/>
      <c r="E53" s="9"/>
      <c r="F53" s="11"/>
      <c r="G53" s="11"/>
      <c r="H53" s="9"/>
      <c r="I53" s="9"/>
      <c r="J53" s="12"/>
      <c r="K53" s="12"/>
      <c r="L53" s="12" t="str">
        <f aca="false">IF(A53="","",IF(I53="はい",IF(AND(ISNUMBER(J53),ISNUMBER(K53)),K53-J53,""),""))</f>
        <v/>
      </c>
      <c r="M53" s="9"/>
      <c r="N53" s="11"/>
      <c r="O53" s="13"/>
    </row>
    <row r="54" customFormat="false" ht="15.75" hidden="false" customHeight="false" outlineLevel="0" collapsed="false">
      <c r="A54" s="10"/>
      <c r="B54" s="11"/>
      <c r="C54" s="11"/>
      <c r="D54" s="9"/>
      <c r="E54" s="9"/>
      <c r="F54" s="11"/>
      <c r="G54" s="11"/>
      <c r="H54" s="9"/>
      <c r="I54" s="9"/>
      <c r="J54" s="12"/>
      <c r="K54" s="12"/>
      <c r="L54" s="12" t="str">
        <f aca="false">IF(A54="","",IF(I54="はい",IF(AND(ISNUMBER(J54),ISNUMBER(K54)),K54-J54,""),""))</f>
        <v/>
      </c>
      <c r="M54" s="9"/>
      <c r="N54" s="11"/>
      <c r="O54" s="13"/>
    </row>
    <row r="55" customFormat="false" ht="15.75" hidden="false" customHeight="false" outlineLevel="0" collapsed="false">
      <c r="A55" s="10"/>
      <c r="B55" s="11"/>
      <c r="C55" s="11"/>
      <c r="D55" s="9"/>
      <c r="E55" s="9"/>
      <c r="F55" s="11"/>
      <c r="G55" s="11"/>
      <c r="H55" s="9"/>
      <c r="I55" s="9"/>
      <c r="J55" s="12"/>
      <c r="K55" s="12"/>
      <c r="L55" s="12" t="str">
        <f aca="false">IF(A55="","",IF(I55="はい",IF(AND(ISNUMBER(J55),ISNUMBER(K55)),K55-J55,""),""))</f>
        <v/>
      </c>
      <c r="M55" s="9"/>
      <c r="N55" s="11"/>
      <c r="O55" s="13"/>
    </row>
    <row r="56" customFormat="false" ht="15.75" hidden="false" customHeight="false" outlineLevel="0" collapsed="false">
      <c r="A56" s="10"/>
      <c r="B56" s="11"/>
      <c r="C56" s="11"/>
      <c r="D56" s="9"/>
      <c r="E56" s="9"/>
      <c r="F56" s="11"/>
      <c r="G56" s="11"/>
      <c r="H56" s="9"/>
      <c r="I56" s="9"/>
      <c r="J56" s="12"/>
      <c r="K56" s="12"/>
      <c r="L56" s="12" t="str">
        <f aca="false">IF(A56="","",IF(I56="はい",IF(AND(ISNUMBER(J56),ISNUMBER(K56)),K56-J56,""),""))</f>
        <v/>
      </c>
      <c r="M56" s="9"/>
      <c r="N56" s="11"/>
      <c r="O56" s="13"/>
    </row>
    <row r="57" customFormat="false" ht="15.75" hidden="false" customHeight="false" outlineLevel="0" collapsed="false">
      <c r="A57" s="10"/>
      <c r="B57" s="11"/>
      <c r="C57" s="11"/>
      <c r="D57" s="9"/>
      <c r="E57" s="9"/>
      <c r="F57" s="11"/>
      <c r="G57" s="11"/>
      <c r="H57" s="9"/>
      <c r="I57" s="9"/>
      <c r="J57" s="12"/>
      <c r="K57" s="12"/>
      <c r="L57" s="12" t="str">
        <f aca="false">IF(A57="","",IF(I57="はい",IF(AND(ISNUMBER(J57),ISNUMBER(K57)),K57-J57,""),""))</f>
        <v/>
      </c>
      <c r="M57" s="9"/>
      <c r="N57" s="11"/>
      <c r="O57" s="13"/>
    </row>
    <row r="58" customFormat="false" ht="15.75" hidden="false" customHeight="false" outlineLevel="0" collapsed="false">
      <c r="A58" s="10"/>
      <c r="B58" s="11"/>
      <c r="C58" s="11"/>
      <c r="D58" s="9"/>
      <c r="E58" s="9"/>
      <c r="F58" s="11"/>
      <c r="G58" s="11"/>
      <c r="H58" s="9"/>
      <c r="I58" s="9"/>
      <c r="J58" s="12"/>
      <c r="K58" s="12"/>
      <c r="L58" s="12" t="str">
        <f aca="false">IF(A58="","",IF(I58="はい",IF(AND(ISNUMBER(J58),ISNUMBER(K58)),K58-J58,""),""))</f>
        <v/>
      </c>
      <c r="M58" s="9"/>
      <c r="N58" s="11"/>
      <c r="O58" s="13"/>
    </row>
    <row r="59" customFormat="false" ht="15.75" hidden="false" customHeight="false" outlineLevel="0" collapsed="false">
      <c r="A59" s="10"/>
      <c r="B59" s="11"/>
      <c r="C59" s="11"/>
      <c r="D59" s="9"/>
      <c r="E59" s="9"/>
      <c r="F59" s="11"/>
      <c r="G59" s="11"/>
      <c r="H59" s="9"/>
      <c r="I59" s="9"/>
      <c r="J59" s="12"/>
      <c r="K59" s="12"/>
      <c r="L59" s="12" t="str">
        <f aca="false">IF(A59="","",IF(I59="はい",IF(AND(ISNUMBER(J59),ISNUMBER(K59)),K59-J59,""),""))</f>
        <v/>
      </c>
      <c r="M59" s="9"/>
      <c r="N59" s="11"/>
      <c r="O59" s="13"/>
    </row>
    <row r="60" customFormat="false" ht="15.75" hidden="false" customHeight="false" outlineLevel="0" collapsed="false">
      <c r="A60" s="10"/>
      <c r="B60" s="11"/>
      <c r="C60" s="11"/>
      <c r="D60" s="9"/>
      <c r="E60" s="9"/>
      <c r="F60" s="11"/>
      <c r="G60" s="11"/>
      <c r="H60" s="9"/>
      <c r="I60" s="9"/>
      <c r="J60" s="12"/>
      <c r="K60" s="12"/>
      <c r="L60" s="12" t="str">
        <f aca="false">IF(A60="","",IF(I60="はい",IF(AND(ISNUMBER(J60),ISNUMBER(K60)),K60-J60,""),""))</f>
        <v/>
      </c>
      <c r="M60" s="9"/>
      <c r="N60" s="11"/>
      <c r="O60" s="13"/>
    </row>
    <row r="61" customFormat="false" ht="15.75" hidden="false" customHeight="false" outlineLevel="0" collapsed="false">
      <c r="A61" s="10"/>
      <c r="B61" s="11"/>
      <c r="C61" s="11"/>
      <c r="D61" s="9"/>
      <c r="E61" s="9"/>
      <c r="F61" s="11"/>
      <c r="G61" s="11"/>
      <c r="H61" s="9"/>
      <c r="I61" s="9"/>
      <c r="J61" s="12"/>
      <c r="K61" s="12"/>
      <c r="L61" s="12" t="str">
        <f aca="false">IF(A61="","",IF(I61="はい",IF(AND(ISNUMBER(J61),ISNUMBER(K61)),K61-J61,""),""))</f>
        <v/>
      </c>
      <c r="M61" s="9"/>
      <c r="N61" s="11"/>
      <c r="O61" s="13"/>
    </row>
    <row r="62" customFormat="false" ht="15.75" hidden="false" customHeight="false" outlineLevel="0" collapsed="false">
      <c r="A62" s="10"/>
      <c r="B62" s="11"/>
      <c r="C62" s="11"/>
      <c r="D62" s="9"/>
      <c r="E62" s="9"/>
      <c r="F62" s="11"/>
      <c r="G62" s="11"/>
      <c r="H62" s="9"/>
      <c r="I62" s="9"/>
      <c r="J62" s="12"/>
      <c r="K62" s="12"/>
      <c r="L62" s="12" t="str">
        <f aca="false">IF(A62="","",IF(I62="はい",IF(AND(ISNUMBER(J62),ISNUMBER(K62)),K62-J62,""),""))</f>
        <v/>
      </c>
      <c r="M62" s="9"/>
      <c r="N62" s="11"/>
      <c r="O62" s="13"/>
    </row>
    <row r="63" customFormat="false" ht="15.75" hidden="false" customHeight="false" outlineLevel="0" collapsed="false">
      <c r="A63" s="10"/>
      <c r="B63" s="11"/>
      <c r="C63" s="11"/>
      <c r="D63" s="9"/>
      <c r="E63" s="9"/>
      <c r="F63" s="11"/>
      <c r="G63" s="11"/>
      <c r="H63" s="9"/>
      <c r="I63" s="9"/>
      <c r="J63" s="12"/>
      <c r="K63" s="12"/>
      <c r="L63" s="12" t="str">
        <f aca="false">IF(A63="","",IF(I63="はい",IF(AND(ISNUMBER(J63),ISNUMBER(K63)),K63-J63,""),""))</f>
        <v/>
      </c>
      <c r="M63" s="9"/>
      <c r="N63" s="11"/>
      <c r="O63" s="13"/>
    </row>
    <row r="64" customFormat="false" ht="15.75" hidden="false" customHeight="false" outlineLevel="0" collapsed="false">
      <c r="A64" s="10"/>
      <c r="B64" s="11"/>
      <c r="C64" s="11"/>
      <c r="D64" s="9"/>
      <c r="E64" s="9"/>
      <c r="F64" s="11"/>
      <c r="G64" s="11"/>
      <c r="H64" s="9"/>
      <c r="I64" s="9"/>
      <c r="J64" s="12"/>
      <c r="K64" s="12"/>
      <c r="L64" s="12" t="str">
        <f aca="false">IF(A64="","",IF(I64="はい",IF(AND(ISNUMBER(J64),ISNUMBER(K64)),K64-J64,""),""))</f>
        <v/>
      </c>
      <c r="M64" s="9"/>
      <c r="N64" s="11"/>
      <c r="O64" s="13"/>
    </row>
    <row r="65" customFormat="false" ht="15.75" hidden="false" customHeight="false" outlineLevel="0" collapsed="false">
      <c r="A65" s="10"/>
      <c r="B65" s="11"/>
      <c r="C65" s="11"/>
      <c r="D65" s="9"/>
      <c r="E65" s="9"/>
      <c r="F65" s="11"/>
      <c r="G65" s="11"/>
      <c r="H65" s="9"/>
      <c r="I65" s="9"/>
      <c r="J65" s="12"/>
      <c r="K65" s="12"/>
      <c r="L65" s="12" t="str">
        <f aca="false">IF(A65="","",IF(I65="はい",IF(AND(ISNUMBER(J65),ISNUMBER(K65)),K65-J65,""),""))</f>
        <v/>
      </c>
      <c r="M65" s="9"/>
      <c r="N65" s="11"/>
      <c r="O65" s="13"/>
    </row>
    <row r="66" customFormat="false" ht="15.75" hidden="false" customHeight="false" outlineLevel="0" collapsed="false">
      <c r="A66" s="10"/>
      <c r="B66" s="11"/>
      <c r="C66" s="11"/>
      <c r="D66" s="9"/>
      <c r="E66" s="9"/>
      <c r="F66" s="11"/>
      <c r="G66" s="11"/>
      <c r="H66" s="9"/>
      <c r="I66" s="9"/>
      <c r="J66" s="12"/>
      <c r="K66" s="12"/>
      <c r="L66" s="12" t="str">
        <f aca="false">IF(A66="","",IF(I66="はい",IF(AND(ISNUMBER(J66),ISNUMBER(K66)),K66-J66,""),""))</f>
        <v/>
      </c>
      <c r="M66" s="9"/>
      <c r="N66" s="11"/>
      <c r="O66" s="13"/>
    </row>
    <row r="67" customFormat="false" ht="15.75" hidden="false" customHeight="false" outlineLevel="0" collapsed="false">
      <c r="A67" s="10"/>
      <c r="B67" s="11"/>
      <c r="C67" s="11"/>
      <c r="D67" s="9"/>
      <c r="E67" s="9"/>
      <c r="F67" s="11"/>
      <c r="G67" s="11"/>
      <c r="H67" s="9"/>
      <c r="I67" s="9"/>
      <c r="J67" s="12"/>
      <c r="K67" s="12"/>
      <c r="L67" s="12" t="str">
        <f aca="false">IF(A67="","",IF(I67="はい",IF(AND(ISNUMBER(J67),ISNUMBER(K67)),K67-J67,""),""))</f>
        <v/>
      </c>
      <c r="M67" s="9"/>
      <c r="N67" s="11"/>
      <c r="O67" s="13"/>
    </row>
    <row r="68" customFormat="false" ht="15.75" hidden="false" customHeight="false" outlineLevel="0" collapsed="false">
      <c r="A68" s="10"/>
      <c r="B68" s="11"/>
      <c r="C68" s="11"/>
      <c r="D68" s="9"/>
      <c r="E68" s="9"/>
      <c r="F68" s="11"/>
      <c r="G68" s="11"/>
      <c r="H68" s="9"/>
      <c r="I68" s="9"/>
      <c r="J68" s="12"/>
      <c r="K68" s="12"/>
      <c r="L68" s="12" t="str">
        <f aca="false">IF(A68="","",IF(I68="はい",IF(AND(ISNUMBER(J68),ISNUMBER(K68)),K68-J68,""),""))</f>
        <v/>
      </c>
      <c r="M68" s="9"/>
      <c r="N68" s="11"/>
      <c r="O68" s="13"/>
    </row>
    <row r="69" customFormat="false" ht="15.75" hidden="false" customHeight="false" outlineLevel="0" collapsed="false">
      <c r="A69" s="10"/>
      <c r="B69" s="11"/>
      <c r="C69" s="11"/>
      <c r="D69" s="9"/>
      <c r="E69" s="9"/>
      <c r="F69" s="11"/>
      <c r="G69" s="11"/>
      <c r="H69" s="9"/>
      <c r="I69" s="9"/>
      <c r="J69" s="12"/>
      <c r="K69" s="12"/>
      <c r="L69" s="12" t="str">
        <f aca="false">IF(A69="","",IF(I69="はい",IF(AND(ISNUMBER(J69),ISNUMBER(K69)),K69-J69,""),""))</f>
        <v/>
      </c>
      <c r="M69" s="9"/>
      <c r="N69" s="11"/>
      <c r="O69" s="13"/>
    </row>
    <row r="70" customFormat="false" ht="15.75" hidden="false" customHeight="false" outlineLevel="0" collapsed="false">
      <c r="A70" s="10"/>
      <c r="B70" s="11"/>
      <c r="C70" s="11"/>
      <c r="D70" s="9"/>
      <c r="E70" s="9"/>
      <c r="F70" s="11"/>
      <c r="G70" s="11"/>
      <c r="H70" s="9"/>
      <c r="I70" s="9"/>
      <c r="J70" s="12"/>
      <c r="K70" s="12"/>
      <c r="L70" s="12" t="str">
        <f aca="false">IF(A70="","",IF(I70="はい",IF(AND(ISNUMBER(J70),ISNUMBER(K70)),K70-J70,""),""))</f>
        <v/>
      </c>
      <c r="M70" s="9"/>
      <c r="N70" s="11"/>
      <c r="O70" s="13"/>
    </row>
    <row r="71" customFormat="false" ht="15.75" hidden="false" customHeight="false" outlineLevel="0" collapsed="false">
      <c r="A71" s="10"/>
      <c r="B71" s="11"/>
      <c r="C71" s="11"/>
      <c r="D71" s="9"/>
      <c r="E71" s="9"/>
      <c r="F71" s="11"/>
      <c r="G71" s="11"/>
      <c r="H71" s="9"/>
      <c r="I71" s="9"/>
      <c r="J71" s="12"/>
      <c r="K71" s="12"/>
      <c r="L71" s="12" t="str">
        <f aca="false">IF(A71="","",IF(I71="はい",IF(AND(ISNUMBER(J71),ISNUMBER(K71)),K71-J71,""),""))</f>
        <v/>
      </c>
      <c r="M71" s="9"/>
      <c r="N71" s="11"/>
      <c r="O71" s="13"/>
    </row>
    <row r="72" customFormat="false" ht="15.75" hidden="false" customHeight="false" outlineLevel="0" collapsed="false">
      <c r="A72" s="10"/>
      <c r="B72" s="11"/>
      <c r="C72" s="11"/>
      <c r="D72" s="9"/>
      <c r="E72" s="9"/>
      <c r="F72" s="11"/>
      <c r="G72" s="11"/>
      <c r="H72" s="9"/>
      <c r="I72" s="9"/>
      <c r="J72" s="12"/>
      <c r="K72" s="12"/>
      <c r="L72" s="12" t="str">
        <f aca="false">IF(A72="","",IF(I72="はい",IF(AND(ISNUMBER(J72),ISNUMBER(K72)),K72-J72,""),""))</f>
        <v/>
      </c>
      <c r="M72" s="9"/>
      <c r="N72" s="11"/>
      <c r="O72" s="13"/>
    </row>
    <row r="73" customFormat="false" ht="15.75" hidden="false" customHeight="false" outlineLevel="0" collapsed="false">
      <c r="A73" s="10"/>
      <c r="B73" s="11"/>
      <c r="C73" s="11"/>
      <c r="D73" s="9"/>
      <c r="E73" s="9"/>
      <c r="F73" s="11"/>
      <c r="G73" s="11"/>
      <c r="H73" s="9"/>
      <c r="I73" s="9"/>
      <c r="J73" s="12"/>
      <c r="K73" s="12"/>
      <c r="L73" s="12" t="str">
        <f aca="false">IF(A73="","",IF(I73="はい",IF(AND(ISNUMBER(J73),ISNUMBER(K73)),K73-J73,""),""))</f>
        <v/>
      </c>
      <c r="M73" s="9"/>
      <c r="N73" s="11"/>
      <c r="O73" s="13"/>
    </row>
    <row r="74" customFormat="false" ht="15.75" hidden="false" customHeight="false" outlineLevel="0" collapsed="false">
      <c r="A74" s="10"/>
      <c r="B74" s="11"/>
      <c r="C74" s="11"/>
      <c r="D74" s="9"/>
      <c r="E74" s="9"/>
      <c r="F74" s="11"/>
      <c r="G74" s="11"/>
      <c r="H74" s="9"/>
      <c r="I74" s="9"/>
      <c r="J74" s="12"/>
      <c r="K74" s="12"/>
      <c r="L74" s="12" t="str">
        <f aca="false">IF(A74="","",IF(I74="はい",IF(AND(ISNUMBER(J74),ISNUMBER(K74)),K74-J74,""),""))</f>
        <v/>
      </c>
      <c r="M74" s="9"/>
      <c r="N74" s="11"/>
      <c r="O74" s="13"/>
    </row>
    <row r="75" customFormat="false" ht="15.75" hidden="false" customHeight="false" outlineLevel="0" collapsed="false">
      <c r="A75" s="10"/>
      <c r="B75" s="11"/>
      <c r="C75" s="11"/>
      <c r="D75" s="9"/>
      <c r="E75" s="9"/>
      <c r="F75" s="11"/>
      <c r="G75" s="11"/>
      <c r="H75" s="9"/>
      <c r="I75" s="9"/>
      <c r="J75" s="12"/>
      <c r="K75" s="12"/>
      <c r="L75" s="12" t="str">
        <f aca="false">IF(A75="","",IF(I75="はい",IF(AND(ISNUMBER(J75),ISNUMBER(K75)),K75-J75,""),""))</f>
        <v/>
      </c>
      <c r="M75" s="9"/>
      <c r="N75" s="11"/>
      <c r="O75" s="13"/>
    </row>
    <row r="76" customFormat="false" ht="15.75" hidden="false" customHeight="false" outlineLevel="0" collapsed="false">
      <c r="A76" s="10"/>
      <c r="B76" s="11"/>
      <c r="C76" s="11"/>
      <c r="D76" s="9"/>
      <c r="E76" s="9"/>
      <c r="F76" s="11"/>
      <c r="G76" s="11"/>
      <c r="H76" s="9"/>
      <c r="I76" s="9"/>
      <c r="J76" s="12"/>
      <c r="K76" s="12"/>
      <c r="L76" s="12" t="str">
        <f aca="false">IF(A76="","",IF(I76="はい",IF(AND(ISNUMBER(J76),ISNUMBER(K76)),K76-J76,""),""))</f>
        <v/>
      </c>
      <c r="M76" s="9"/>
      <c r="N76" s="11"/>
      <c r="O76" s="13"/>
    </row>
    <row r="77" customFormat="false" ht="15.75" hidden="false" customHeight="false" outlineLevel="0" collapsed="false">
      <c r="A77" s="10"/>
      <c r="B77" s="11"/>
      <c r="C77" s="11"/>
      <c r="D77" s="9"/>
      <c r="E77" s="9"/>
      <c r="F77" s="11"/>
      <c r="G77" s="11"/>
      <c r="H77" s="9"/>
      <c r="I77" s="9"/>
      <c r="J77" s="12"/>
      <c r="K77" s="12"/>
      <c r="L77" s="12" t="str">
        <f aca="false">IF(A77="","",IF(I77="はい",IF(AND(ISNUMBER(J77),ISNUMBER(K77)),K77-J77,""),""))</f>
        <v/>
      </c>
      <c r="M77" s="9"/>
      <c r="N77" s="11"/>
      <c r="O77" s="13"/>
    </row>
    <row r="78" customFormat="false" ht="15.75" hidden="false" customHeight="false" outlineLevel="0" collapsed="false">
      <c r="A78" s="10"/>
      <c r="B78" s="11"/>
      <c r="C78" s="11"/>
      <c r="D78" s="9"/>
      <c r="E78" s="9"/>
      <c r="F78" s="11"/>
      <c r="G78" s="11"/>
      <c r="H78" s="9"/>
      <c r="I78" s="9"/>
      <c r="J78" s="12"/>
      <c r="K78" s="12"/>
      <c r="L78" s="12" t="str">
        <f aca="false">IF(A78="","",IF(I78="はい",IF(AND(ISNUMBER(J78),ISNUMBER(K78)),K78-J78,""),""))</f>
        <v/>
      </c>
      <c r="M78" s="9"/>
      <c r="N78" s="11"/>
      <c r="O78" s="13"/>
    </row>
    <row r="79" customFormat="false" ht="15.75" hidden="false" customHeight="false" outlineLevel="0" collapsed="false">
      <c r="A79" s="10"/>
      <c r="B79" s="11"/>
      <c r="C79" s="11"/>
      <c r="D79" s="9"/>
      <c r="E79" s="9"/>
      <c r="F79" s="11"/>
      <c r="G79" s="11"/>
      <c r="H79" s="9"/>
      <c r="I79" s="9"/>
      <c r="J79" s="12"/>
      <c r="K79" s="12"/>
      <c r="L79" s="12" t="str">
        <f aca="false">IF(A79="","",IF(I79="はい",IF(AND(ISNUMBER(J79),ISNUMBER(K79)),K79-J79,""),""))</f>
        <v/>
      </c>
      <c r="M79" s="9"/>
      <c r="N79" s="11"/>
      <c r="O79" s="13"/>
    </row>
    <row r="80" customFormat="false" ht="15.75" hidden="false" customHeight="false" outlineLevel="0" collapsed="false">
      <c r="A80" s="10"/>
      <c r="B80" s="11"/>
      <c r="C80" s="11"/>
      <c r="D80" s="9"/>
      <c r="E80" s="9"/>
      <c r="F80" s="11"/>
      <c r="G80" s="11"/>
      <c r="H80" s="9"/>
      <c r="I80" s="9"/>
      <c r="J80" s="12"/>
      <c r="K80" s="12"/>
      <c r="L80" s="12" t="str">
        <f aca="false">IF(A80="","",IF(I80="はい",IF(AND(ISNUMBER(J80),ISNUMBER(K80)),K80-J80,""),""))</f>
        <v/>
      </c>
      <c r="M80" s="9"/>
      <c r="N80" s="11"/>
      <c r="O80" s="13"/>
    </row>
    <row r="81" customFormat="false" ht="15.75" hidden="false" customHeight="false" outlineLevel="0" collapsed="false">
      <c r="A81" s="10"/>
      <c r="B81" s="11"/>
      <c r="C81" s="11"/>
      <c r="D81" s="9"/>
      <c r="E81" s="9"/>
      <c r="F81" s="11"/>
      <c r="G81" s="11"/>
      <c r="H81" s="9"/>
      <c r="I81" s="9"/>
      <c r="J81" s="12"/>
      <c r="K81" s="12"/>
      <c r="L81" s="12" t="str">
        <f aca="false">IF(A81="","",IF(I81="はい",IF(AND(ISNUMBER(J81),ISNUMBER(K81)),K81-J81,""),""))</f>
        <v/>
      </c>
      <c r="M81" s="9"/>
      <c r="N81" s="11"/>
      <c r="O81" s="13"/>
    </row>
    <row r="82" customFormat="false" ht="15.75" hidden="false" customHeight="false" outlineLevel="0" collapsed="false">
      <c r="A82" s="10"/>
      <c r="B82" s="11"/>
      <c r="C82" s="11"/>
      <c r="D82" s="9"/>
      <c r="E82" s="9"/>
      <c r="F82" s="11"/>
      <c r="G82" s="11"/>
      <c r="H82" s="9"/>
      <c r="I82" s="9"/>
      <c r="J82" s="12"/>
      <c r="K82" s="12"/>
      <c r="L82" s="12" t="str">
        <f aca="false">IF(A82="","",IF(I82="はい",IF(AND(ISNUMBER(J82),ISNUMBER(K82)),K82-J82,""),""))</f>
        <v/>
      </c>
      <c r="M82" s="9"/>
      <c r="N82" s="11"/>
      <c r="O82" s="13"/>
    </row>
    <row r="83" customFormat="false" ht="15.75" hidden="false" customHeight="false" outlineLevel="0" collapsed="false">
      <c r="A83" s="10"/>
      <c r="B83" s="11"/>
      <c r="C83" s="11"/>
      <c r="D83" s="9"/>
      <c r="E83" s="9"/>
      <c r="F83" s="11"/>
      <c r="G83" s="11"/>
      <c r="H83" s="9"/>
      <c r="I83" s="9"/>
      <c r="J83" s="12"/>
      <c r="K83" s="12"/>
      <c r="L83" s="12" t="str">
        <f aca="false">IF(A83="","",IF(I83="はい",IF(AND(ISNUMBER(J83),ISNUMBER(K83)),K83-J83,""),""))</f>
        <v/>
      </c>
      <c r="M83" s="9"/>
      <c r="N83" s="11"/>
      <c r="O83" s="13"/>
    </row>
    <row r="84" customFormat="false" ht="15.75" hidden="false" customHeight="false" outlineLevel="0" collapsed="false">
      <c r="A84" s="10"/>
      <c r="B84" s="11"/>
      <c r="C84" s="11"/>
      <c r="D84" s="9"/>
      <c r="E84" s="9"/>
      <c r="F84" s="11"/>
      <c r="G84" s="11"/>
      <c r="H84" s="9"/>
      <c r="I84" s="9"/>
      <c r="J84" s="12"/>
      <c r="K84" s="12"/>
      <c r="L84" s="12" t="str">
        <f aca="false">IF(A84="","",IF(I84="はい",IF(AND(ISNUMBER(J84),ISNUMBER(K84)),K84-J84,""),""))</f>
        <v/>
      </c>
      <c r="M84" s="9"/>
      <c r="N84" s="11"/>
      <c r="O84" s="13"/>
    </row>
    <row r="85" customFormat="false" ht="15.75" hidden="false" customHeight="false" outlineLevel="0" collapsed="false">
      <c r="A85" s="10"/>
      <c r="B85" s="11"/>
      <c r="C85" s="11"/>
      <c r="D85" s="9"/>
      <c r="E85" s="9"/>
      <c r="F85" s="11"/>
      <c r="G85" s="11"/>
      <c r="H85" s="9"/>
      <c r="I85" s="9"/>
      <c r="J85" s="12"/>
      <c r="K85" s="12"/>
      <c r="L85" s="12" t="str">
        <f aca="false">IF(A85="","",IF(I85="はい",IF(AND(ISNUMBER(J85),ISNUMBER(K85)),K85-J85,""),""))</f>
        <v/>
      </c>
      <c r="M85" s="9"/>
      <c r="N85" s="11"/>
      <c r="O85" s="13"/>
    </row>
    <row r="86" customFormat="false" ht="15.75" hidden="false" customHeight="false" outlineLevel="0" collapsed="false">
      <c r="A86" s="10"/>
      <c r="B86" s="11"/>
      <c r="C86" s="11"/>
      <c r="D86" s="9"/>
      <c r="E86" s="9"/>
      <c r="F86" s="11"/>
      <c r="G86" s="11"/>
      <c r="H86" s="9"/>
      <c r="I86" s="9"/>
      <c r="J86" s="12"/>
      <c r="K86" s="12"/>
      <c r="L86" s="12" t="str">
        <f aca="false">IF(A86="","",IF(I86="はい",IF(AND(ISNUMBER(J86),ISNUMBER(K86)),K86-J86,""),""))</f>
        <v/>
      </c>
      <c r="M86" s="9"/>
      <c r="N86" s="11"/>
      <c r="O86" s="13"/>
    </row>
    <row r="87" customFormat="false" ht="15.75" hidden="false" customHeight="false" outlineLevel="0" collapsed="false">
      <c r="A87" s="10"/>
      <c r="B87" s="11"/>
      <c r="C87" s="11"/>
      <c r="D87" s="9"/>
      <c r="E87" s="9"/>
      <c r="F87" s="11"/>
      <c r="G87" s="11"/>
      <c r="H87" s="9"/>
      <c r="I87" s="9"/>
      <c r="J87" s="12"/>
      <c r="K87" s="12"/>
      <c r="L87" s="12" t="str">
        <f aca="false">IF(A87="","",IF(I87="はい",IF(AND(ISNUMBER(J87),ISNUMBER(K87)),K87-J87,""),""))</f>
        <v/>
      </c>
      <c r="M87" s="9"/>
      <c r="N87" s="11"/>
      <c r="O87" s="13"/>
    </row>
    <row r="88" customFormat="false" ht="15.75" hidden="false" customHeight="false" outlineLevel="0" collapsed="false">
      <c r="A88" s="10"/>
      <c r="B88" s="11"/>
      <c r="C88" s="11"/>
      <c r="D88" s="9"/>
      <c r="E88" s="9"/>
      <c r="F88" s="11"/>
      <c r="G88" s="11"/>
      <c r="H88" s="9"/>
      <c r="I88" s="9"/>
      <c r="J88" s="12"/>
      <c r="K88" s="12"/>
      <c r="L88" s="12" t="str">
        <f aca="false">IF(A88="","",IF(I88="はい",IF(AND(ISNUMBER(J88),ISNUMBER(K88)),K88-J88,""),""))</f>
        <v/>
      </c>
      <c r="M88" s="9"/>
      <c r="N88" s="11"/>
      <c r="O88" s="13"/>
    </row>
    <row r="89" customFormat="false" ht="15.75" hidden="false" customHeight="false" outlineLevel="0" collapsed="false">
      <c r="A89" s="10"/>
      <c r="B89" s="11"/>
      <c r="C89" s="11"/>
      <c r="D89" s="9"/>
      <c r="E89" s="9"/>
      <c r="F89" s="11"/>
      <c r="G89" s="11"/>
      <c r="H89" s="9"/>
      <c r="I89" s="9"/>
      <c r="J89" s="12"/>
      <c r="K89" s="12"/>
      <c r="L89" s="12" t="str">
        <f aca="false">IF(A89="","",IF(I89="はい",IF(AND(ISNUMBER(J89),ISNUMBER(K89)),K89-J89,""),""))</f>
        <v/>
      </c>
      <c r="M89" s="9"/>
      <c r="N89" s="11"/>
      <c r="O89" s="13"/>
    </row>
    <row r="90" customFormat="false" ht="15.75" hidden="false" customHeight="false" outlineLevel="0" collapsed="false">
      <c r="A90" s="10"/>
      <c r="B90" s="11"/>
      <c r="C90" s="11"/>
      <c r="D90" s="9"/>
      <c r="E90" s="9"/>
      <c r="F90" s="11"/>
      <c r="G90" s="11"/>
      <c r="H90" s="9"/>
      <c r="I90" s="9"/>
      <c r="J90" s="12"/>
      <c r="K90" s="12"/>
      <c r="L90" s="12" t="str">
        <f aca="false">IF(A90="","",IF(I90="はい",IF(AND(ISNUMBER(J90),ISNUMBER(K90)),K90-J90,""),""))</f>
        <v/>
      </c>
      <c r="M90" s="9"/>
      <c r="N90" s="11"/>
      <c r="O90" s="13"/>
    </row>
    <row r="91" customFormat="false" ht="15.75" hidden="false" customHeight="false" outlineLevel="0" collapsed="false">
      <c r="A91" s="10"/>
      <c r="B91" s="11"/>
      <c r="C91" s="11"/>
      <c r="D91" s="9"/>
      <c r="E91" s="9"/>
      <c r="F91" s="11"/>
      <c r="G91" s="11"/>
      <c r="H91" s="9"/>
      <c r="I91" s="9"/>
      <c r="J91" s="12"/>
      <c r="K91" s="12"/>
      <c r="L91" s="12" t="str">
        <f aca="false">IF(A91="","",IF(I91="はい",IF(AND(ISNUMBER(J91),ISNUMBER(K91)),K91-J91,""),""))</f>
        <v/>
      </c>
      <c r="M91" s="9"/>
      <c r="N91" s="11"/>
      <c r="O91" s="13"/>
    </row>
    <row r="92" customFormat="false" ht="15.75" hidden="false" customHeight="false" outlineLevel="0" collapsed="false">
      <c r="A92" s="10"/>
      <c r="B92" s="11"/>
      <c r="C92" s="11"/>
      <c r="D92" s="9"/>
      <c r="E92" s="9"/>
      <c r="F92" s="11"/>
      <c r="G92" s="11"/>
      <c r="H92" s="9"/>
      <c r="I92" s="9"/>
      <c r="J92" s="12"/>
      <c r="K92" s="12"/>
      <c r="L92" s="12" t="str">
        <f aca="false">IF(A92="","",IF(I92="はい",IF(AND(ISNUMBER(J92),ISNUMBER(K92)),K92-J92,""),""))</f>
        <v/>
      </c>
      <c r="M92" s="9"/>
      <c r="N92" s="11"/>
      <c r="O92" s="13"/>
    </row>
    <row r="93" customFormat="false" ht="15.75" hidden="false" customHeight="false" outlineLevel="0" collapsed="false">
      <c r="A93" s="10"/>
      <c r="B93" s="11"/>
      <c r="C93" s="11"/>
      <c r="D93" s="9"/>
      <c r="E93" s="9"/>
      <c r="F93" s="11"/>
      <c r="G93" s="11"/>
      <c r="H93" s="9"/>
      <c r="I93" s="9"/>
      <c r="J93" s="12"/>
      <c r="K93" s="12"/>
      <c r="L93" s="12" t="str">
        <f aca="false">IF(A93="","",IF(I93="はい",IF(AND(ISNUMBER(J93),ISNUMBER(K93)),K93-J93,""),""))</f>
        <v/>
      </c>
      <c r="M93" s="9"/>
      <c r="N93" s="11"/>
      <c r="O93" s="13"/>
    </row>
    <row r="94" customFormat="false" ht="15.75" hidden="false" customHeight="false" outlineLevel="0" collapsed="false">
      <c r="A94" s="10"/>
      <c r="B94" s="11"/>
      <c r="C94" s="11"/>
      <c r="D94" s="9"/>
      <c r="E94" s="9"/>
      <c r="F94" s="11"/>
      <c r="G94" s="11"/>
      <c r="H94" s="9"/>
      <c r="I94" s="9"/>
      <c r="J94" s="12"/>
      <c r="K94" s="12"/>
      <c r="L94" s="12" t="str">
        <f aca="false">IF(A94="","",IF(I94="はい",IF(AND(ISNUMBER(J94),ISNUMBER(K94)),K94-J94,""),""))</f>
        <v/>
      </c>
      <c r="M94" s="9"/>
      <c r="N94" s="11"/>
      <c r="O94" s="13"/>
    </row>
    <row r="95" customFormat="false" ht="15.75" hidden="false" customHeight="false" outlineLevel="0" collapsed="false">
      <c r="A95" s="10"/>
      <c r="B95" s="11"/>
      <c r="C95" s="11"/>
      <c r="D95" s="9"/>
      <c r="E95" s="9"/>
      <c r="F95" s="11"/>
      <c r="G95" s="11"/>
      <c r="H95" s="9"/>
      <c r="I95" s="9"/>
      <c r="J95" s="12"/>
      <c r="K95" s="12"/>
      <c r="L95" s="12" t="str">
        <f aca="false">IF(A95="","",IF(I95="はい",IF(AND(ISNUMBER(J95),ISNUMBER(K95)),K95-J95,""),""))</f>
        <v/>
      </c>
      <c r="M95" s="9"/>
      <c r="N95" s="11"/>
      <c r="O95" s="13"/>
    </row>
    <row r="96" customFormat="false" ht="15.75" hidden="false" customHeight="false" outlineLevel="0" collapsed="false">
      <c r="A96" s="10"/>
      <c r="B96" s="11"/>
      <c r="C96" s="11"/>
      <c r="D96" s="9"/>
      <c r="E96" s="9"/>
      <c r="F96" s="11"/>
      <c r="G96" s="11"/>
      <c r="H96" s="9"/>
      <c r="I96" s="9"/>
      <c r="J96" s="12"/>
      <c r="K96" s="12"/>
      <c r="L96" s="12" t="str">
        <f aca="false">IF(A96="","",IF(I96="はい",IF(AND(ISNUMBER(J96),ISNUMBER(K96)),K96-J96,""),""))</f>
        <v/>
      </c>
      <c r="M96" s="9"/>
      <c r="N96" s="11"/>
      <c r="O96" s="13"/>
    </row>
    <row r="97" customFormat="false" ht="15.75" hidden="false" customHeight="false" outlineLevel="0" collapsed="false">
      <c r="A97" s="10"/>
      <c r="B97" s="11"/>
      <c r="C97" s="11"/>
      <c r="D97" s="9"/>
      <c r="E97" s="9"/>
      <c r="F97" s="11"/>
      <c r="G97" s="11"/>
      <c r="H97" s="9"/>
      <c r="I97" s="9"/>
      <c r="J97" s="12"/>
      <c r="K97" s="12"/>
      <c r="L97" s="12" t="str">
        <f aca="false">IF(A97="","",IF(I97="はい",IF(AND(ISNUMBER(J97),ISNUMBER(K97)),K97-J97,""),""))</f>
        <v/>
      </c>
      <c r="M97" s="9"/>
      <c r="N97" s="11"/>
      <c r="O97" s="13"/>
    </row>
    <row r="98" customFormat="false" ht="15.75" hidden="false" customHeight="false" outlineLevel="0" collapsed="false">
      <c r="A98" s="10"/>
      <c r="B98" s="11"/>
      <c r="C98" s="11"/>
      <c r="D98" s="9"/>
      <c r="E98" s="9"/>
      <c r="F98" s="11"/>
      <c r="G98" s="11"/>
      <c r="H98" s="9"/>
      <c r="I98" s="9"/>
      <c r="J98" s="12"/>
      <c r="K98" s="12"/>
      <c r="L98" s="12" t="str">
        <f aca="false">IF(A98="","",IF(I98="はい",IF(AND(ISNUMBER(J98),ISNUMBER(K98)),K98-J98,""),""))</f>
        <v/>
      </c>
      <c r="M98" s="9"/>
      <c r="N98" s="11"/>
      <c r="O98" s="13"/>
    </row>
    <row r="99" customFormat="false" ht="15.75" hidden="false" customHeight="false" outlineLevel="0" collapsed="false">
      <c r="A99" s="10"/>
      <c r="B99" s="11"/>
      <c r="C99" s="11"/>
      <c r="D99" s="9"/>
      <c r="E99" s="9"/>
      <c r="F99" s="11"/>
      <c r="G99" s="11"/>
      <c r="H99" s="9"/>
      <c r="I99" s="9"/>
      <c r="J99" s="12"/>
      <c r="K99" s="12"/>
      <c r="L99" s="12" t="str">
        <f aca="false">IF(A99="","",IF(I99="はい",IF(AND(ISNUMBER(J99),ISNUMBER(K99)),K99-J99,""),""))</f>
        <v/>
      </c>
      <c r="M99" s="9"/>
      <c r="N99" s="11"/>
      <c r="O99" s="13"/>
    </row>
    <row r="100" customFormat="false" ht="15.75" hidden="false" customHeight="false" outlineLevel="0" collapsed="false">
      <c r="A100" s="10"/>
      <c r="B100" s="11"/>
      <c r="C100" s="11"/>
      <c r="D100" s="9"/>
      <c r="E100" s="9"/>
      <c r="F100" s="11"/>
      <c r="G100" s="11"/>
      <c r="H100" s="9"/>
      <c r="I100" s="9"/>
      <c r="J100" s="12"/>
      <c r="K100" s="12"/>
      <c r="L100" s="12" t="str">
        <f aca="false">IF(A100="","",IF(I100="はい",IF(AND(ISNUMBER(J100),ISNUMBER(K100)),K100-J100,""),""))</f>
        <v/>
      </c>
      <c r="M100" s="9"/>
      <c r="N100" s="11"/>
      <c r="O100" s="13"/>
    </row>
    <row r="101" customFormat="false" ht="15.75" hidden="false" customHeight="false" outlineLevel="0" collapsed="false">
      <c r="A101" s="10"/>
      <c r="B101" s="11"/>
      <c r="C101" s="11"/>
      <c r="D101" s="9"/>
      <c r="E101" s="9"/>
      <c r="F101" s="11"/>
      <c r="G101" s="11"/>
      <c r="H101" s="9"/>
      <c r="I101" s="9"/>
      <c r="J101" s="12"/>
      <c r="K101" s="12"/>
      <c r="L101" s="12" t="str">
        <f aca="false">IF(A101="","",IF(I101="はい",IF(AND(ISNUMBER(J101),ISNUMBER(K101)),K101-J101,""),""))</f>
        <v/>
      </c>
      <c r="M101" s="9"/>
      <c r="N101" s="11"/>
      <c r="O101" s="13"/>
    </row>
    <row r="102" customFormat="false" ht="15.75" hidden="false" customHeight="false" outlineLevel="0" collapsed="false">
      <c r="A102" s="10"/>
      <c r="B102" s="11"/>
      <c r="C102" s="11"/>
      <c r="D102" s="9"/>
      <c r="E102" s="9"/>
      <c r="F102" s="11"/>
      <c r="G102" s="11"/>
      <c r="H102" s="9"/>
      <c r="I102" s="9"/>
      <c r="J102" s="12"/>
      <c r="K102" s="12"/>
      <c r="L102" s="12" t="str">
        <f aca="false">IF(A102="","",IF(I102="はい",IF(AND(ISNUMBER(J102),ISNUMBER(K102)),K102-J102,""),""))</f>
        <v/>
      </c>
      <c r="M102" s="9"/>
      <c r="N102" s="11"/>
      <c r="O102" s="13"/>
    </row>
    <row r="103" customFormat="false" ht="15.75" hidden="false" customHeight="false" outlineLevel="0" collapsed="false">
      <c r="A103" s="10"/>
      <c r="B103" s="11"/>
      <c r="C103" s="11"/>
      <c r="D103" s="9"/>
      <c r="E103" s="9"/>
      <c r="F103" s="11"/>
      <c r="G103" s="11"/>
      <c r="H103" s="9"/>
      <c r="I103" s="9"/>
      <c r="J103" s="12"/>
      <c r="K103" s="12"/>
      <c r="L103" s="12" t="str">
        <f aca="false">IF(A103="","",IF(I103="はい",IF(AND(ISNUMBER(J103),ISNUMBER(K103)),K103-J103,""),""))</f>
        <v/>
      </c>
      <c r="M103" s="9"/>
      <c r="N103" s="11"/>
      <c r="O103" s="13"/>
    </row>
    <row r="104" customFormat="false" ht="15.75" hidden="false" customHeight="false" outlineLevel="0" collapsed="false">
      <c r="A104" s="10"/>
      <c r="B104" s="11"/>
      <c r="C104" s="11"/>
      <c r="D104" s="9"/>
      <c r="E104" s="9"/>
      <c r="F104" s="11"/>
      <c r="G104" s="11"/>
      <c r="H104" s="9"/>
      <c r="I104" s="9"/>
      <c r="J104" s="12"/>
      <c r="K104" s="12"/>
      <c r="L104" s="12" t="str">
        <f aca="false">IF(A104="","",IF(I104="はい",IF(AND(ISNUMBER(J104),ISNUMBER(K104)),K104-J104,""),""))</f>
        <v/>
      </c>
      <c r="M104" s="9"/>
      <c r="N104" s="11"/>
      <c r="O104" s="13"/>
    </row>
    <row r="105" customFormat="false" ht="15.75" hidden="false" customHeight="false" outlineLevel="0" collapsed="false">
      <c r="A105" s="10"/>
      <c r="B105" s="11"/>
      <c r="C105" s="11"/>
      <c r="D105" s="9"/>
      <c r="E105" s="9"/>
      <c r="F105" s="11"/>
      <c r="G105" s="11"/>
      <c r="H105" s="9"/>
      <c r="I105" s="9"/>
      <c r="J105" s="12"/>
      <c r="K105" s="12"/>
      <c r="L105" s="12" t="str">
        <f aca="false">IF(A105="","",IF(I105="はい",IF(AND(ISNUMBER(J105),ISNUMBER(K105)),K105-J105,""),""))</f>
        <v/>
      </c>
      <c r="M105" s="9"/>
      <c r="N105" s="11"/>
      <c r="O105" s="13"/>
    </row>
    <row r="106" customFormat="false" ht="15.75" hidden="false" customHeight="false" outlineLevel="0" collapsed="false">
      <c r="A106" s="10"/>
      <c r="B106" s="11"/>
      <c r="C106" s="11"/>
      <c r="D106" s="9"/>
      <c r="E106" s="9"/>
      <c r="F106" s="11"/>
      <c r="G106" s="11"/>
      <c r="H106" s="9"/>
      <c r="I106" s="9"/>
      <c r="J106" s="12"/>
      <c r="K106" s="12"/>
      <c r="L106" s="12" t="str">
        <f aca="false">IF(A106="","",IF(I106="はい",IF(AND(ISNUMBER(J106),ISNUMBER(K106)),K106-J106,""),""))</f>
        <v/>
      </c>
      <c r="M106" s="9"/>
      <c r="N106" s="11"/>
      <c r="O106" s="13"/>
    </row>
    <row r="107" customFormat="false" ht="15.75" hidden="false" customHeight="false" outlineLevel="0" collapsed="false">
      <c r="A107" s="10"/>
      <c r="B107" s="11"/>
      <c r="C107" s="11"/>
      <c r="D107" s="9"/>
      <c r="E107" s="9"/>
      <c r="F107" s="11"/>
      <c r="G107" s="11"/>
      <c r="H107" s="9"/>
      <c r="I107" s="9"/>
      <c r="J107" s="12"/>
      <c r="K107" s="12"/>
      <c r="L107" s="12" t="str">
        <f aca="false">IF(A107="","",IF(I107="はい",IF(AND(ISNUMBER(J107),ISNUMBER(K107)),K107-J107,""),""))</f>
        <v/>
      </c>
      <c r="M107" s="9"/>
      <c r="N107" s="11"/>
      <c r="O107" s="13"/>
    </row>
    <row r="108" customFormat="false" ht="15.75" hidden="false" customHeight="false" outlineLevel="0" collapsed="false">
      <c r="A108" s="10"/>
      <c r="B108" s="11"/>
      <c r="C108" s="11"/>
      <c r="D108" s="9"/>
      <c r="E108" s="9"/>
      <c r="F108" s="11"/>
      <c r="G108" s="11"/>
      <c r="H108" s="9"/>
      <c r="I108" s="9"/>
      <c r="J108" s="12"/>
      <c r="K108" s="12"/>
      <c r="L108" s="12" t="str">
        <f aca="false">IF(A108="","",IF(I108="はい",IF(AND(ISNUMBER(J108),ISNUMBER(K108)),K108-J108,""),""))</f>
        <v/>
      </c>
      <c r="M108" s="9"/>
      <c r="N108" s="11"/>
      <c r="O108" s="13"/>
    </row>
    <row r="109" customFormat="false" ht="15.75" hidden="false" customHeight="false" outlineLevel="0" collapsed="false">
      <c r="A109" s="10"/>
      <c r="B109" s="11"/>
      <c r="C109" s="11"/>
      <c r="D109" s="9"/>
      <c r="E109" s="9"/>
      <c r="F109" s="11"/>
      <c r="G109" s="11"/>
      <c r="H109" s="9"/>
      <c r="I109" s="9"/>
      <c r="J109" s="12"/>
      <c r="K109" s="12"/>
      <c r="L109" s="12" t="str">
        <f aca="false">IF(A109="","",IF(I109="はい",IF(AND(ISNUMBER(J109),ISNUMBER(K109)),K109-J109,""),""))</f>
        <v/>
      </c>
      <c r="M109" s="9"/>
      <c r="N109" s="11"/>
      <c r="O109" s="13"/>
    </row>
    <row r="110" customFormat="false" ht="15.75" hidden="false" customHeight="false" outlineLevel="0" collapsed="false">
      <c r="A110" s="10"/>
      <c r="B110" s="11"/>
      <c r="C110" s="11"/>
      <c r="D110" s="9"/>
      <c r="E110" s="9"/>
      <c r="F110" s="11"/>
      <c r="G110" s="11"/>
      <c r="H110" s="9"/>
      <c r="I110" s="9"/>
      <c r="J110" s="12"/>
      <c r="K110" s="12"/>
      <c r="L110" s="12" t="str">
        <f aca="false">IF(A110="","",IF(I110="はい",IF(AND(ISNUMBER(J110),ISNUMBER(K110)),K110-J110,""),""))</f>
        <v/>
      </c>
      <c r="M110" s="9"/>
      <c r="N110" s="11"/>
      <c r="O110" s="13"/>
    </row>
    <row r="111" customFormat="false" ht="15.75" hidden="false" customHeight="false" outlineLevel="0" collapsed="false">
      <c r="A111" s="10"/>
      <c r="B111" s="11"/>
      <c r="C111" s="11"/>
      <c r="D111" s="9"/>
      <c r="E111" s="9"/>
      <c r="F111" s="11"/>
      <c r="G111" s="11"/>
      <c r="H111" s="9"/>
      <c r="I111" s="9"/>
      <c r="J111" s="12"/>
      <c r="K111" s="12"/>
      <c r="L111" s="12" t="str">
        <f aca="false">IF(A111="","",IF(I111="はい",IF(AND(ISNUMBER(J111),ISNUMBER(K111)),K111-J111,""),""))</f>
        <v/>
      </c>
      <c r="M111" s="9"/>
      <c r="N111" s="11"/>
      <c r="O111" s="13"/>
    </row>
    <row r="112" customFormat="false" ht="15.75" hidden="false" customHeight="false" outlineLevel="0" collapsed="false">
      <c r="A112" s="10"/>
      <c r="B112" s="11"/>
      <c r="C112" s="11"/>
      <c r="D112" s="9"/>
      <c r="E112" s="9"/>
      <c r="F112" s="11"/>
      <c r="G112" s="11"/>
      <c r="H112" s="9"/>
      <c r="I112" s="9"/>
      <c r="J112" s="12"/>
      <c r="K112" s="12"/>
      <c r="L112" s="12" t="str">
        <f aca="false">IF(A112="","",IF(I112="はい",IF(AND(ISNUMBER(J112),ISNUMBER(K112)),K112-J112,""),""))</f>
        <v/>
      </c>
      <c r="M112" s="9"/>
      <c r="N112" s="11"/>
      <c r="O112" s="13"/>
    </row>
    <row r="113" customFormat="false" ht="15.75" hidden="false" customHeight="false" outlineLevel="0" collapsed="false">
      <c r="A113" s="10"/>
      <c r="B113" s="11"/>
      <c r="C113" s="11"/>
      <c r="D113" s="9"/>
      <c r="E113" s="9"/>
      <c r="F113" s="11"/>
      <c r="G113" s="11"/>
      <c r="H113" s="9"/>
      <c r="I113" s="9"/>
      <c r="J113" s="12"/>
      <c r="K113" s="12"/>
      <c r="L113" s="12" t="str">
        <f aca="false">IF(A113="","",IF(I113="はい",IF(AND(ISNUMBER(J113),ISNUMBER(K113)),K113-J113,""),""))</f>
        <v/>
      </c>
      <c r="M113" s="9"/>
      <c r="N113" s="11"/>
      <c r="O113" s="13"/>
    </row>
    <row r="114" customFormat="false" ht="15.75" hidden="false" customHeight="false" outlineLevel="0" collapsed="false">
      <c r="A114" s="10"/>
      <c r="B114" s="11"/>
      <c r="C114" s="11"/>
      <c r="D114" s="9"/>
      <c r="E114" s="9"/>
      <c r="F114" s="11"/>
      <c r="G114" s="11"/>
      <c r="H114" s="9"/>
      <c r="I114" s="9"/>
      <c r="J114" s="12"/>
      <c r="K114" s="12"/>
      <c r="L114" s="12" t="str">
        <f aca="false">IF(A114="","",IF(I114="はい",IF(AND(ISNUMBER(J114),ISNUMBER(K114)),K114-J114,""),""))</f>
        <v/>
      </c>
      <c r="M114" s="9"/>
      <c r="N114" s="11"/>
      <c r="O114" s="13"/>
    </row>
    <row r="115" customFormat="false" ht="15.75" hidden="false" customHeight="false" outlineLevel="0" collapsed="false">
      <c r="A115" s="10"/>
      <c r="B115" s="11"/>
      <c r="C115" s="11"/>
      <c r="D115" s="9"/>
      <c r="E115" s="9"/>
      <c r="F115" s="11"/>
      <c r="G115" s="11"/>
      <c r="H115" s="9"/>
      <c r="I115" s="9"/>
      <c r="J115" s="12"/>
      <c r="K115" s="12"/>
      <c r="L115" s="12" t="str">
        <f aca="false">IF(A115="","",IF(I115="はい",IF(AND(ISNUMBER(J115),ISNUMBER(K115)),K115-J115,""),""))</f>
        <v/>
      </c>
      <c r="M115" s="9"/>
      <c r="N115" s="11"/>
      <c r="O115" s="13"/>
    </row>
    <row r="116" customFormat="false" ht="15.75" hidden="false" customHeight="false" outlineLevel="0" collapsed="false">
      <c r="A116" s="10"/>
      <c r="B116" s="11"/>
      <c r="C116" s="11"/>
      <c r="D116" s="9"/>
      <c r="E116" s="9"/>
      <c r="F116" s="11"/>
      <c r="G116" s="11"/>
      <c r="H116" s="9"/>
      <c r="I116" s="9"/>
      <c r="J116" s="12"/>
      <c r="K116" s="12"/>
      <c r="L116" s="12" t="str">
        <f aca="false">IF(A116="","",IF(I116="はい",IF(AND(ISNUMBER(J116),ISNUMBER(K116)),K116-J116,""),""))</f>
        <v/>
      </c>
      <c r="M116" s="9"/>
      <c r="N116" s="11"/>
      <c r="O116" s="13"/>
    </row>
    <row r="117" customFormat="false" ht="15.75" hidden="false" customHeight="false" outlineLevel="0" collapsed="false">
      <c r="A117" s="10"/>
      <c r="B117" s="11"/>
      <c r="C117" s="11"/>
      <c r="D117" s="9"/>
      <c r="E117" s="9"/>
      <c r="F117" s="11"/>
      <c r="G117" s="11"/>
      <c r="H117" s="9"/>
      <c r="I117" s="9"/>
      <c r="J117" s="12"/>
      <c r="K117" s="12"/>
      <c r="L117" s="12" t="str">
        <f aca="false">IF(A117="","",IF(I117="はい",IF(AND(ISNUMBER(J117),ISNUMBER(K117)),K117-J117,""),""))</f>
        <v/>
      </c>
      <c r="M117" s="9"/>
      <c r="N117" s="11"/>
      <c r="O117" s="13"/>
    </row>
    <row r="118" customFormat="false" ht="15.75" hidden="false" customHeight="false" outlineLevel="0" collapsed="false">
      <c r="A118" s="10"/>
      <c r="B118" s="11"/>
      <c r="C118" s="11"/>
      <c r="D118" s="9"/>
      <c r="E118" s="9"/>
      <c r="F118" s="11"/>
      <c r="G118" s="11"/>
      <c r="H118" s="9"/>
      <c r="I118" s="9"/>
      <c r="J118" s="12"/>
      <c r="K118" s="12"/>
      <c r="L118" s="12" t="str">
        <f aca="false">IF(A118="","",IF(I118="はい",IF(AND(ISNUMBER(J118),ISNUMBER(K118)),K118-J118,""),""))</f>
        <v/>
      </c>
      <c r="M118" s="9"/>
      <c r="N118" s="11"/>
      <c r="O118" s="13"/>
    </row>
    <row r="119" customFormat="false" ht="15.75" hidden="false" customHeight="false" outlineLevel="0" collapsed="false">
      <c r="A119" s="10"/>
      <c r="B119" s="11"/>
      <c r="C119" s="11"/>
      <c r="D119" s="9"/>
      <c r="E119" s="9"/>
      <c r="F119" s="11"/>
      <c r="G119" s="11"/>
      <c r="H119" s="9"/>
      <c r="I119" s="9"/>
      <c r="J119" s="12"/>
      <c r="K119" s="12"/>
      <c r="L119" s="12" t="str">
        <f aca="false">IF(A119="","",IF(I119="はい",IF(AND(ISNUMBER(J119),ISNUMBER(K119)),K119-J119,""),""))</f>
        <v/>
      </c>
      <c r="M119" s="9"/>
      <c r="N119" s="11"/>
      <c r="O119" s="13"/>
    </row>
    <row r="120" customFormat="false" ht="15.75" hidden="false" customHeight="false" outlineLevel="0" collapsed="false">
      <c r="A120" s="10"/>
      <c r="B120" s="11"/>
      <c r="C120" s="11"/>
      <c r="D120" s="9"/>
      <c r="E120" s="9"/>
      <c r="F120" s="11"/>
      <c r="G120" s="11"/>
      <c r="H120" s="9"/>
      <c r="I120" s="9"/>
      <c r="J120" s="12"/>
      <c r="K120" s="12"/>
      <c r="L120" s="12" t="str">
        <f aca="false">IF(A120="","",IF(I120="はい",IF(AND(ISNUMBER(J120),ISNUMBER(K120)),K120-J120,""),""))</f>
        <v/>
      </c>
      <c r="M120" s="9"/>
      <c r="N120" s="11"/>
      <c r="O120" s="13"/>
    </row>
    <row r="121" customFormat="false" ht="15.75" hidden="false" customHeight="false" outlineLevel="0" collapsed="false">
      <c r="A121" s="10"/>
      <c r="B121" s="11"/>
      <c r="C121" s="11"/>
      <c r="D121" s="9"/>
      <c r="E121" s="9"/>
      <c r="F121" s="11"/>
      <c r="G121" s="11"/>
      <c r="H121" s="9"/>
      <c r="I121" s="9"/>
      <c r="J121" s="12"/>
      <c r="K121" s="12"/>
      <c r="L121" s="12" t="str">
        <f aca="false">IF(A121="","",IF(I121="はい",IF(AND(ISNUMBER(J121),ISNUMBER(K121)),K121-J121,""),""))</f>
        <v/>
      </c>
      <c r="M121" s="9"/>
      <c r="N121" s="11"/>
      <c r="O121" s="13"/>
    </row>
    <row r="122" customFormat="false" ht="15.75" hidden="false" customHeight="false" outlineLevel="0" collapsed="false">
      <c r="A122" s="10"/>
      <c r="B122" s="11"/>
      <c r="C122" s="11"/>
      <c r="D122" s="9"/>
      <c r="E122" s="9"/>
      <c r="F122" s="11"/>
      <c r="G122" s="11"/>
      <c r="H122" s="9"/>
      <c r="I122" s="9"/>
      <c r="J122" s="12"/>
      <c r="K122" s="12"/>
      <c r="L122" s="12" t="str">
        <f aca="false">IF(A122="","",IF(I122="はい",IF(AND(ISNUMBER(J122),ISNUMBER(K122)),K122-J122,""),""))</f>
        <v/>
      </c>
      <c r="M122" s="9"/>
      <c r="N122" s="11"/>
      <c r="O122" s="13"/>
    </row>
    <row r="123" customFormat="false" ht="15.75" hidden="false" customHeight="false" outlineLevel="0" collapsed="false">
      <c r="A123" s="10"/>
      <c r="B123" s="11"/>
      <c r="C123" s="11"/>
      <c r="D123" s="9"/>
      <c r="E123" s="9"/>
      <c r="F123" s="11"/>
      <c r="G123" s="11"/>
      <c r="H123" s="9"/>
      <c r="I123" s="9"/>
      <c r="J123" s="12"/>
      <c r="K123" s="12"/>
      <c r="L123" s="12" t="str">
        <f aca="false">IF(A123="","",IF(I123="はい",IF(AND(ISNUMBER(J123),ISNUMBER(K123)),K123-J123,""),""))</f>
        <v/>
      </c>
      <c r="M123" s="9"/>
      <c r="N123" s="11"/>
      <c r="O123" s="13"/>
    </row>
    <row r="124" customFormat="false" ht="15.75" hidden="false" customHeight="false" outlineLevel="0" collapsed="false">
      <c r="A124" s="10"/>
      <c r="B124" s="11"/>
      <c r="C124" s="11"/>
      <c r="D124" s="9"/>
      <c r="E124" s="9"/>
      <c r="F124" s="11"/>
      <c r="G124" s="11"/>
      <c r="H124" s="9"/>
      <c r="I124" s="9"/>
      <c r="J124" s="12"/>
      <c r="K124" s="12"/>
      <c r="L124" s="12" t="str">
        <f aca="false">IF(A124="","",IF(I124="はい",IF(AND(ISNUMBER(J124),ISNUMBER(K124)),K124-J124,""),""))</f>
        <v/>
      </c>
      <c r="M124" s="9"/>
      <c r="N124" s="11"/>
      <c r="O124" s="13"/>
    </row>
    <row r="125" customFormat="false" ht="15.75" hidden="false" customHeight="false" outlineLevel="0" collapsed="false">
      <c r="A125" s="10"/>
      <c r="B125" s="11"/>
      <c r="C125" s="11"/>
      <c r="D125" s="9"/>
      <c r="E125" s="9"/>
      <c r="F125" s="11"/>
      <c r="G125" s="11"/>
      <c r="H125" s="9"/>
      <c r="I125" s="9"/>
      <c r="J125" s="12"/>
      <c r="K125" s="12"/>
      <c r="L125" s="12" t="str">
        <f aca="false">IF(A125="","",IF(I125="はい",IF(AND(ISNUMBER(J125),ISNUMBER(K125)),K125-J125,""),""))</f>
        <v/>
      </c>
      <c r="M125" s="9"/>
      <c r="N125" s="11"/>
      <c r="O125" s="13"/>
    </row>
    <row r="126" customFormat="false" ht="15.75" hidden="false" customHeight="false" outlineLevel="0" collapsed="false">
      <c r="A126" s="10"/>
      <c r="B126" s="11"/>
      <c r="C126" s="11"/>
      <c r="D126" s="9"/>
      <c r="E126" s="9"/>
      <c r="F126" s="11"/>
      <c r="G126" s="11"/>
      <c r="H126" s="9"/>
      <c r="I126" s="9"/>
      <c r="J126" s="12"/>
      <c r="K126" s="12"/>
      <c r="L126" s="12" t="str">
        <f aca="false">IF(A126="","",IF(I126="はい",IF(AND(ISNUMBER(J126),ISNUMBER(K126)),K126-J126,""),""))</f>
        <v/>
      </c>
      <c r="M126" s="9"/>
      <c r="N126" s="11"/>
      <c r="O126" s="13"/>
    </row>
    <row r="127" customFormat="false" ht="15.75" hidden="false" customHeight="false" outlineLevel="0" collapsed="false">
      <c r="A127" s="10"/>
      <c r="B127" s="11"/>
      <c r="C127" s="11"/>
      <c r="D127" s="9"/>
      <c r="E127" s="9"/>
      <c r="F127" s="11"/>
      <c r="G127" s="11"/>
      <c r="H127" s="9"/>
      <c r="I127" s="9"/>
      <c r="J127" s="12"/>
      <c r="K127" s="12"/>
      <c r="L127" s="12" t="str">
        <f aca="false">IF(A127="","",IF(I127="はい",IF(AND(ISNUMBER(J127),ISNUMBER(K127)),K127-J127,""),""))</f>
        <v/>
      </c>
      <c r="M127" s="9"/>
      <c r="N127" s="11"/>
      <c r="O127" s="13"/>
    </row>
    <row r="128" customFormat="false" ht="15.75" hidden="false" customHeight="false" outlineLevel="0" collapsed="false">
      <c r="A128" s="10"/>
      <c r="B128" s="11"/>
      <c r="C128" s="11"/>
      <c r="D128" s="9"/>
      <c r="E128" s="9"/>
      <c r="F128" s="11"/>
      <c r="G128" s="11"/>
      <c r="H128" s="9"/>
      <c r="I128" s="9"/>
      <c r="J128" s="12"/>
      <c r="K128" s="12"/>
      <c r="L128" s="12" t="str">
        <f aca="false">IF(A128="","",IF(I128="はい",IF(AND(ISNUMBER(J128),ISNUMBER(K128)),K128-J128,""),""))</f>
        <v/>
      </c>
      <c r="M128" s="9"/>
      <c r="N128" s="11"/>
      <c r="O128" s="13"/>
    </row>
    <row r="129" customFormat="false" ht="15.75" hidden="false" customHeight="false" outlineLevel="0" collapsed="false">
      <c r="A129" s="10"/>
      <c r="B129" s="11"/>
      <c r="C129" s="11"/>
      <c r="D129" s="9"/>
      <c r="E129" s="9"/>
      <c r="F129" s="11"/>
      <c r="G129" s="11"/>
      <c r="H129" s="9"/>
      <c r="I129" s="9"/>
      <c r="J129" s="12"/>
      <c r="K129" s="12"/>
      <c r="L129" s="12" t="str">
        <f aca="false">IF(A129="","",IF(I129="はい",IF(AND(ISNUMBER(J129),ISNUMBER(K129)),K129-J129,""),""))</f>
        <v/>
      </c>
      <c r="M129" s="9"/>
      <c r="N129" s="11"/>
      <c r="O129" s="13"/>
    </row>
    <row r="130" customFormat="false" ht="15.75" hidden="false" customHeight="false" outlineLevel="0" collapsed="false">
      <c r="A130" s="10"/>
      <c r="B130" s="11"/>
      <c r="C130" s="11"/>
      <c r="D130" s="9"/>
      <c r="E130" s="9"/>
      <c r="F130" s="11"/>
      <c r="G130" s="11"/>
      <c r="H130" s="9"/>
      <c r="I130" s="9"/>
      <c r="J130" s="12"/>
      <c r="K130" s="12"/>
      <c r="L130" s="12" t="str">
        <f aca="false">IF(A130="","",IF(I130="はい",IF(AND(ISNUMBER(J130),ISNUMBER(K130)),K130-J130,""),""))</f>
        <v/>
      </c>
      <c r="M130" s="9"/>
      <c r="N130" s="11"/>
      <c r="O130" s="13"/>
    </row>
    <row r="131" customFormat="false" ht="15.75" hidden="false" customHeight="false" outlineLevel="0" collapsed="false">
      <c r="A131" s="10"/>
      <c r="B131" s="11"/>
      <c r="C131" s="11"/>
      <c r="D131" s="9"/>
      <c r="E131" s="9"/>
      <c r="F131" s="11"/>
      <c r="G131" s="11"/>
      <c r="H131" s="9"/>
      <c r="I131" s="9"/>
      <c r="J131" s="12"/>
      <c r="K131" s="12"/>
      <c r="L131" s="12" t="str">
        <f aca="false">IF(A131="","",IF(I131="はい",IF(AND(ISNUMBER(J131),ISNUMBER(K131)),K131-J131,""),""))</f>
        <v/>
      </c>
      <c r="M131" s="9"/>
      <c r="N131" s="11"/>
      <c r="O131" s="13"/>
    </row>
    <row r="132" customFormat="false" ht="15.75" hidden="false" customHeight="false" outlineLevel="0" collapsed="false">
      <c r="A132" s="10"/>
      <c r="B132" s="11"/>
      <c r="C132" s="11"/>
      <c r="D132" s="9"/>
      <c r="E132" s="9"/>
      <c r="F132" s="11"/>
      <c r="G132" s="11"/>
      <c r="H132" s="9"/>
      <c r="I132" s="9"/>
      <c r="J132" s="12"/>
      <c r="K132" s="12"/>
      <c r="L132" s="12" t="str">
        <f aca="false">IF(A132="","",IF(I132="はい",IF(AND(ISNUMBER(J132),ISNUMBER(K132)),K132-J132,""),""))</f>
        <v/>
      </c>
      <c r="M132" s="9"/>
      <c r="N132" s="11"/>
      <c r="O132" s="13"/>
    </row>
    <row r="133" customFormat="false" ht="15.75" hidden="false" customHeight="false" outlineLevel="0" collapsed="false">
      <c r="A133" s="10"/>
      <c r="B133" s="11"/>
      <c r="C133" s="11"/>
      <c r="D133" s="9"/>
      <c r="E133" s="9"/>
      <c r="F133" s="11"/>
      <c r="G133" s="11"/>
      <c r="H133" s="9"/>
      <c r="I133" s="9"/>
      <c r="J133" s="12"/>
      <c r="K133" s="12"/>
      <c r="L133" s="12" t="str">
        <f aca="false">IF(A133="","",IF(I133="はい",IF(AND(ISNUMBER(J133),ISNUMBER(K133)),K133-J133,""),""))</f>
        <v/>
      </c>
      <c r="M133" s="9"/>
      <c r="N133" s="11"/>
      <c r="O133" s="13"/>
    </row>
    <row r="134" customFormat="false" ht="15.75" hidden="false" customHeight="false" outlineLevel="0" collapsed="false">
      <c r="A134" s="10"/>
      <c r="B134" s="11"/>
      <c r="C134" s="11"/>
      <c r="D134" s="9"/>
      <c r="E134" s="9"/>
      <c r="F134" s="11"/>
      <c r="G134" s="11"/>
      <c r="H134" s="9"/>
      <c r="I134" s="9"/>
      <c r="J134" s="12"/>
      <c r="K134" s="12"/>
      <c r="L134" s="12" t="str">
        <f aca="false">IF(A134="","",IF(I134="はい",IF(AND(ISNUMBER(J134),ISNUMBER(K134)),K134-J134,""),""))</f>
        <v/>
      </c>
      <c r="M134" s="9"/>
      <c r="N134" s="11"/>
      <c r="O134" s="13"/>
    </row>
    <row r="135" customFormat="false" ht="15.75" hidden="false" customHeight="false" outlineLevel="0" collapsed="false">
      <c r="A135" s="10"/>
      <c r="B135" s="11"/>
      <c r="C135" s="11"/>
      <c r="D135" s="9"/>
      <c r="E135" s="9"/>
      <c r="F135" s="11"/>
      <c r="G135" s="11"/>
      <c r="H135" s="9"/>
      <c r="I135" s="9"/>
      <c r="J135" s="12"/>
      <c r="K135" s="12"/>
      <c r="L135" s="12" t="str">
        <f aca="false">IF(A135="","",IF(I135="はい",IF(AND(ISNUMBER(J135),ISNUMBER(K135)),K135-J135,""),""))</f>
        <v/>
      </c>
      <c r="M135" s="9"/>
      <c r="N135" s="11"/>
      <c r="O135" s="13"/>
    </row>
    <row r="136" customFormat="false" ht="15.75" hidden="false" customHeight="false" outlineLevel="0" collapsed="false">
      <c r="A136" s="10"/>
      <c r="B136" s="11"/>
      <c r="C136" s="11"/>
      <c r="D136" s="9"/>
      <c r="E136" s="9"/>
      <c r="F136" s="11"/>
      <c r="G136" s="11"/>
      <c r="H136" s="9"/>
      <c r="I136" s="9"/>
      <c r="J136" s="12"/>
      <c r="K136" s="12"/>
      <c r="L136" s="12" t="str">
        <f aca="false">IF(A136="","",IF(I136="はい",IF(AND(ISNUMBER(J136),ISNUMBER(K136)),K136-J136,""),""))</f>
        <v/>
      </c>
      <c r="M136" s="9"/>
      <c r="N136" s="11"/>
      <c r="O136" s="13"/>
    </row>
    <row r="137" customFormat="false" ht="15.75" hidden="false" customHeight="false" outlineLevel="0" collapsed="false">
      <c r="A137" s="10"/>
      <c r="B137" s="11"/>
      <c r="C137" s="11"/>
      <c r="D137" s="9"/>
      <c r="E137" s="9"/>
      <c r="F137" s="11"/>
      <c r="G137" s="11"/>
      <c r="H137" s="9"/>
      <c r="I137" s="9"/>
      <c r="J137" s="12"/>
      <c r="K137" s="12"/>
      <c r="L137" s="12" t="str">
        <f aca="false">IF(A137="","",IF(I137="はい",IF(AND(ISNUMBER(J137),ISNUMBER(K137)),K137-J137,""),""))</f>
        <v/>
      </c>
      <c r="M137" s="9"/>
      <c r="N137" s="11"/>
      <c r="O137" s="13"/>
    </row>
    <row r="138" customFormat="false" ht="15.75" hidden="false" customHeight="false" outlineLevel="0" collapsed="false">
      <c r="A138" s="10"/>
      <c r="B138" s="11"/>
      <c r="C138" s="11"/>
      <c r="D138" s="9"/>
      <c r="E138" s="9"/>
      <c r="F138" s="11"/>
      <c r="G138" s="11"/>
      <c r="H138" s="9"/>
      <c r="I138" s="9"/>
      <c r="J138" s="12"/>
      <c r="K138" s="12"/>
      <c r="L138" s="12" t="str">
        <f aca="false">IF(A138="","",IF(I138="はい",IF(AND(ISNUMBER(J138),ISNUMBER(K138)),K138-J138,""),""))</f>
        <v/>
      </c>
      <c r="M138" s="9"/>
      <c r="N138" s="11"/>
      <c r="O138" s="13"/>
    </row>
    <row r="139" customFormat="false" ht="15.75" hidden="false" customHeight="false" outlineLevel="0" collapsed="false">
      <c r="A139" s="10"/>
      <c r="B139" s="11"/>
      <c r="C139" s="11"/>
      <c r="D139" s="9"/>
      <c r="E139" s="9"/>
      <c r="F139" s="11"/>
      <c r="G139" s="11"/>
      <c r="H139" s="9"/>
      <c r="I139" s="9"/>
      <c r="J139" s="12"/>
      <c r="K139" s="12"/>
      <c r="L139" s="12" t="str">
        <f aca="false">IF(A139="","",IF(I139="はい",IF(AND(ISNUMBER(J139),ISNUMBER(K139)),K139-J139,""),""))</f>
        <v/>
      </c>
      <c r="M139" s="9"/>
      <c r="N139" s="11"/>
      <c r="O139" s="13"/>
    </row>
    <row r="140" customFormat="false" ht="15.75" hidden="false" customHeight="false" outlineLevel="0" collapsed="false">
      <c r="A140" s="10"/>
      <c r="B140" s="11"/>
      <c r="C140" s="11"/>
      <c r="D140" s="9"/>
      <c r="E140" s="9"/>
      <c r="F140" s="11"/>
      <c r="G140" s="11"/>
      <c r="H140" s="9"/>
      <c r="I140" s="9"/>
      <c r="J140" s="12"/>
      <c r="K140" s="12"/>
      <c r="L140" s="12" t="str">
        <f aca="false">IF(A140="","",IF(I140="はい",IF(AND(ISNUMBER(J140),ISNUMBER(K140)),K140-J140,""),""))</f>
        <v/>
      </c>
      <c r="M140" s="9"/>
      <c r="N140" s="11"/>
      <c r="O140" s="13"/>
    </row>
    <row r="141" customFormat="false" ht="15.75" hidden="false" customHeight="false" outlineLevel="0" collapsed="false">
      <c r="A141" s="10"/>
      <c r="B141" s="11"/>
      <c r="C141" s="11"/>
      <c r="D141" s="9"/>
      <c r="E141" s="9"/>
      <c r="F141" s="11"/>
      <c r="G141" s="11"/>
      <c r="H141" s="9"/>
      <c r="I141" s="9"/>
      <c r="J141" s="12"/>
      <c r="K141" s="12"/>
      <c r="L141" s="12" t="str">
        <f aca="false">IF(A141="","",IF(I141="はい",IF(AND(ISNUMBER(J141),ISNUMBER(K141)),K141-J141,""),""))</f>
        <v/>
      </c>
      <c r="M141" s="9"/>
      <c r="N141" s="11"/>
      <c r="O141" s="13"/>
    </row>
    <row r="142" customFormat="false" ht="15.75" hidden="false" customHeight="false" outlineLevel="0" collapsed="false">
      <c r="A142" s="10"/>
      <c r="B142" s="11"/>
      <c r="C142" s="11"/>
      <c r="D142" s="9"/>
      <c r="E142" s="9"/>
      <c r="F142" s="11"/>
      <c r="G142" s="11"/>
      <c r="H142" s="9"/>
      <c r="I142" s="9"/>
      <c r="J142" s="12"/>
      <c r="K142" s="12"/>
      <c r="L142" s="12" t="str">
        <f aca="false">IF(A142="","",IF(I142="はい",IF(AND(ISNUMBER(J142),ISNUMBER(K142)),K142-J142,""),""))</f>
        <v/>
      </c>
      <c r="M142" s="9"/>
      <c r="N142" s="11"/>
      <c r="O142" s="13"/>
    </row>
    <row r="143" customFormat="false" ht="15.75" hidden="false" customHeight="false" outlineLevel="0" collapsed="false">
      <c r="A143" s="10"/>
      <c r="B143" s="11"/>
      <c r="C143" s="11"/>
      <c r="D143" s="9"/>
      <c r="E143" s="9"/>
      <c r="F143" s="11"/>
      <c r="G143" s="11"/>
      <c r="H143" s="9"/>
      <c r="I143" s="9"/>
      <c r="J143" s="12"/>
      <c r="K143" s="12"/>
      <c r="L143" s="12" t="str">
        <f aca="false">IF(A143="","",IF(I143="はい",IF(AND(ISNUMBER(J143),ISNUMBER(K143)),K143-J143,""),""))</f>
        <v/>
      </c>
      <c r="M143" s="9"/>
      <c r="N143" s="11"/>
      <c r="O143" s="13"/>
    </row>
    <row r="144" customFormat="false" ht="15.75" hidden="false" customHeight="false" outlineLevel="0" collapsed="false">
      <c r="A144" s="10"/>
      <c r="B144" s="11"/>
      <c r="C144" s="11"/>
      <c r="D144" s="9"/>
      <c r="E144" s="9"/>
      <c r="F144" s="11"/>
      <c r="G144" s="11"/>
      <c r="H144" s="9"/>
      <c r="I144" s="9"/>
      <c r="J144" s="12"/>
      <c r="K144" s="12"/>
      <c r="L144" s="12" t="str">
        <f aca="false">IF(A144="","",IF(I144="はい",IF(AND(ISNUMBER(J144),ISNUMBER(K144)),K144-J144,""),""))</f>
        <v/>
      </c>
      <c r="M144" s="9"/>
      <c r="N144" s="11"/>
      <c r="O144" s="13"/>
    </row>
    <row r="145" customFormat="false" ht="15.75" hidden="false" customHeight="false" outlineLevel="0" collapsed="false">
      <c r="A145" s="10"/>
      <c r="B145" s="11"/>
      <c r="C145" s="11"/>
      <c r="D145" s="9"/>
      <c r="E145" s="9"/>
      <c r="F145" s="11"/>
      <c r="G145" s="11"/>
      <c r="H145" s="9"/>
      <c r="I145" s="9"/>
      <c r="J145" s="12"/>
      <c r="K145" s="12"/>
      <c r="L145" s="12" t="str">
        <f aca="false">IF(A145="","",IF(I145="はい",IF(AND(ISNUMBER(J145),ISNUMBER(K145)),K145-J145,""),""))</f>
        <v/>
      </c>
      <c r="M145" s="9"/>
      <c r="N145" s="11"/>
      <c r="O145" s="13"/>
    </row>
    <row r="146" customFormat="false" ht="15.75" hidden="false" customHeight="false" outlineLevel="0" collapsed="false">
      <c r="A146" s="10"/>
      <c r="B146" s="11"/>
      <c r="C146" s="11"/>
      <c r="D146" s="9"/>
      <c r="E146" s="9"/>
      <c r="F146" s="11"/>
      <c r="G146" s="11"/>
      <c r="H146" s="9"/>
      <c r="I146" s="9"/>
      <c r="J146" s="12"/>
      <c r="K146" s="12"/>
      <c r="L146" s="12" t="str">
        <f aca="false">IF(A146="","",IF(I146="はい",IF(AND(ISNUMBER(J146),ISNUMBER(K146)),K146-J146,""),""))</f>
        <v/>
      </c>
      <c r="M146" s="9"/>
      <c r="N146" s="11"/>
      <c r="O146" s="13"/>
    </row>
    <row r="147" customFormat="false" ht="15.75" hidden="false" customHeight="false" outlineLevel="0" collapsed="false">
      <c r="A147" s="10"/>
      <c r="B147" s="11"/>
      <c r="C147" s="11"/>
      <c r="D147" s="9"/>
      <c r="E147" s="9"/>
      <c r="F147" s="11"/>
      <c r="G147" s="11"/>
      <c r="H147" s="9"/>
      <c r="I147" s="9"/>
      <c r="J147" s="12"/>
      <c r="K147" s="12"/>
      <c r="L147" s="12" t="str">
        <f aca="false">IF(A147="","",IF(I147="はい",IF(AND(ISNUMBER(J147),ISNUMBER(K147)),K147-J147,""),""))</f>
        <v/>
      </c>
      <c r="M147" s="9"/>
      <c r="N147" s="11"/>
      <c r="O147" s="13"/>
    </row>
    <row r="148" customFormat="false" ht="15.75" hidden="false" customHeight="false" outlineLevel="0" collapsed="false">
      <c r="A148" s="10"/>
      <c r="B148" s="11"/>
      <c r="C148" s="11"/>
      <c r="D148" s="9"/>
      <c r="E148" s="9"/>
      <c r="F148" s="11"/>
      <c r="G148" s="11"/>
      <c r="H148" s="9"/>
      <c r="I148" s="9"/>
      <c r="J148" s="12"/>
      <c r="K148" s="12"/>
      <c r="L148" s="12" t="str">
        <f aca="false">IF(A148="","",IF(I148="はい",IF(AND(ISNUMBER(J148),ISNUMBER(K148)),K148-J148,""),""))</f>
        <v/>
      </c>
      <c r="M148" s="9"/>
      <c r="N148" s="11"/>
      <c r="O148" s="13"/>
    </row>
    <row r="149" customFormat="false" ht="15.75" hidden="false" customHeight="false" outlineLevel="0" collapsed="false">
      <c r="A149" s="10"/>
      <c r="B149" s="11"/>
      <c r="C149" s="11"/>
      <c r="D149" s="9"/>
      <c r="E149" s="9"/>
      <c r="F149" s="11"/>
      <c r="G149" s="11"/>
      <c r="H149" s="9"/>
      <c r="I149" s="9"/>
      <c r="J149" s="12"/>
      <c r="K149" s="12"/>
      <c r="L149" s="12" t="str">
        <f aca="false">IF(A149="","",IF(I149="はい",IF(AND(ISNUMBER(J149),ISNUMBER(K149)),K149-J149,""),""))</f>
        <v/>
      </c>
      <c r="M149" s="9"/>
      <c r="N149" s="11"/>
      <c r="O149" s="13"/>
    </row>
    <row r="150" customFormat="false" ht="15.75" hidden="false" customHeight="false" outlineLevel="0" collapsed="false">
      <c r="A150" s="10"/>
      <c r="B150" s="11"/>
      <c r="C150" s="11"/>
      <c r="D150" s="9"/>
      <c r="E150" s="9"/>
      <c r="F150" s="11"/>
      <c r="G150" s="11"/>
      <c r="H150" s="9"/>
      <c r="I150" s="9"/>
      <c r="J150" s="12"/>
      <c r="K150" s="12"/>
      <c r="L150" s="12" t="str">
        <f aca="false">IF(A150="","",IF(I150="はい",IF(AND(ISNUMBER(J150),ISNUMBER(K150)),K150-J150,""),""))</f>
        <v/>
      </c>
      <c r="M150" s="9"/>
      <c r="N150" s="11"/>
      <c r="O150" s="13"/>
    </row>
    <row r="151" customFormat="false" ht="15.75" hidden="false" customHeight="false" outlineLevel="0" collapsed="false">
      <c r="A151" s="10"/>
      <c r="B151" s="11"/>
      <c r="C151" s="11"/>
      <c r="D151" s="9"/>
      <c r="E151" s="9"/>
      <c r="F151" s="11"/>
      <c r="G151" s="11"/>
      <c r="H151" s="9"/>
      <c r="I151" s="9"/>
      <c r="J151" s="12"/>
      <c r="K151" s="12"/>
      <c r="L151" s="12" t="str">
        <f aca="false">IF(A151="","",IF(I151="はい",IF(AND(ISNUMBER(J151),ISNUMBER(K151)),K151-J151,""),""))</f>
        <v/>
      </c>
      <c r="M151" s="9"/>
      <c r="N151" s="11"/>
      <c r="O151" s="13"/>
    </row>
    <row r="152" customFormat="false" ht="15.75" hidden="false" customHeight="false" outlineLevel="0" collapsed="false">
      <c r="A152" s="10"/>
      <c r="B152" s="11"/>
      <c r="C152" s="11"/>
      <c r="D152" s="9"/>
      <c r="E152" s="9"/>
      <c r="F152" s="11"/>
      <c r="G152" s="11"/>
      <c r="H152" s="9"/>
      <c r="I152" s="9"/>
      <c r="J152" s="12"/>
      <c r="K152" s="12"/>
      <c r="L152" s="12" t="str">
        <f aca="false">IF(A152="","",IF(I152="はい",IF(AND(ISNUMBER(J152),ISNUMBER(K152)),K152-J152,""),""))</f>
        <v/>
      </c>
      <c r="M152" s="9"/>
      <c r="N152" s="11"/>
      <c r="O152" s="13"/>
    </row>
    <row r="153" customFormat="false" ht="15.75" hidden="false" customHeight="false" outlineLevel="0" collapsed="false">
      <c r="A153" s="10"/>
      <c r="B153" s="11"/>
      <c r="C153" s="11"/>
      <c r="D153" s="9"/>
      <c r="E153" s="9"/>
      <c r="F153" s="11"/>
      <c r="G153" s="11"/>
      <c r="H153" s="9"/>
      <c r="I153" s="9"/>
      <c r="J153" s="12"/>
      <c r="K153" s="12"/>
      <c r="L153" s="12" t="str">
        <f aca="false">IF(A153="","",IF(I153="はい",IF(AND(ISNUMBER(J153),ISNUMBER(K153)),K153-J153,""),""))</f>
        <v/>
      </c>
      <c r="M153" s="9"/>
      <c r="N153" s="11"/>
      <c r="O153" s="13"/>
    </row>
    <row r="154" customFormat="false" ht="15.75" hidden="false" customHeight="false" outlineLevel="0" collapsed="false">
      <c r="A154" s="10"/>
      <c r="B154" s="11"/>
      <c r="C154" s="11"/>
      <c r="D154" s="9"/>
      <c r="E154" s="9"/>
      <c r="F154" s="11"/>
      <c r="G154" s="11"/>
      <c r="H154" s="9"/>
      <c r="I154" s="9"/>
      <c r="J154" s="12"/>
      <c r="K154" s="12"/>
      <c r="L154" s="12" t="str">
        <f aca="false">IF(A154="","",IF(I154="はい",IF(AND(ISNUMBER(J154),ISNUMBER(K154)),K154-J154,""),""))</f>
        <v/>
      </c>
      <c r="M154" s="9"/>
      <c r="N154" s="11"/>
      <c r="O154" s="13"/>
    </row>
    <row r="155" customFormat="false" ht="15.75" hidden="false" customHeight="false" outlineLevel="0" collapsed="false">
      <c r="A155" s="10"/>
      <c r="B155" s="11"/>
      <c r="C155" s="11"/>
      <c r="D155" s="9"/>
      <c r="E155" s="9"/>
      <c r="F155" s="11"/>
      <c r="G155" s="11"/>
      <c r="H155" s="9"/>
      <c r="I155" s="9"/>
      <c r="J155" s="12"/>
      <c r="K155" s="12"/>
      <c r="L155" s="12" t="str">
        <f aca="false">IF(A155="","",IF(I155="はい",IF(AND(ISNUMBER(J155),ISNUMBER(K155)),K155-J155,""),""))</f>
        <v/>
      </c>
      <c r="M155" s="9"/>
      <c r="N155" s="11"/>
      <c r="O155" s="13"/>
    </row>
    <row r="156" customFormat="false" ht="15.75" hidden="false" customHeight="false" outlineLevel="0" collapsed="false">
      <c r="A156" s="10"/>
      <c r="B156" s="11"/>
      <c r="C156" s="11"/>
      <c r="D156" s="9"/>
      <c r="E156" s="9"/>
      <c r="F156" s="11"/>
      <c r="G156" s="11"/>
      <c r="H156" s="9"/>
      <c r="I156" s="9"/>
      <c r="J156" s="12"/>
      <c r="K156" s="12"/>
      <c r="L156" s="12" t="str">
        <f aca="false">IF(A156="","",IF(I156="はい",IF(AND(ISNUMBER(J156),ISNUMBER(K156)),K156-J156,""),""))</f>
        <v/>
      </c>
      <c r="M156" s="9"/>
      <c r="N156" s="11"/>
      <c r="O156" s="13"/>
    </row>
    <row r="157" customFormat="false" ht="15.75" hidden="false" customHeight="false" outlineLevel="0" collapsed="false">
      <c r="A157" s="10"/>
      <c r="B157" s="11"/>
      <c r="C157" s="11"/>
      <c r="D157" s="9"/>
      <c r="E157" s="9"/>
      <c r="F157" s="11"/>
      <c r="G157" s="11"/>
      <c r="H157" s="9"/>
      <c r="I157" s="9"/>
      <c r="J157" s="12"/>
      <c r="K157" s="12"/>
      <c r="L157" s="12" t="str">
        <f aca="false">IF(A157="","",IF(I157="はい",IF(AND(ISNUMBER(J157),ISNUMBER(K157)),K157-J157,""),""))</f>
        <v/>
      </c>
      <c r="M157" s="9"/>
      <c r="N157" s="11"/>
      <c r="O157" s="13"/>
    </row>
    <row r="158" customFormat="false" ht="15.75" hidden="false" customHeight="false" outlineLevel="0" collapsed="false">
      <c r="A158" s="10"/>
      <c r="B158" s="11"/>
      <c r="C158" s="11"/>
      <c r="D158" s="9"/>
      <c r="E158" s="9"/>
      <c r="F158" s="11"/>
      <c r="G158" s="11"/>
      <c r="H158" s="9"/>
      <c r="I158" s="9"/>
      <c r="J158" s="12"/>
      <c r="K158" s="12"/>
      <c r="L158" s="12" t="str">
        <f aca="false">IF(A158="","",IF(I158="はい",IF(AND(ISNUMBER(J158),ISNUMBER(K158)),K158-J158,""),""))</f>
        <v/>
      </c>
      <c r="M158" s="9"/>
      <c r="N158" s="11"/>
      <c r="O158" s="13"/>
    </row>
    <row r="159" customFormat="false" ht="15.75" hidden="false" customHeight="false" outlineLevel="0" collapsed="false">
      <c r="A159" s="10"/>
      <c r="B159" s="11"/>
      <c r="C159" s="11"/>
      <c r="D159" s="9"/>
      <c r="E159" s="9"/>
      <c r="F159" s="11"/>
      <c r="G159" s="11"/>
      <c r="H159" s="9"/>
      <c r="I159" s="9"/>
      <c r="J159" s="12"/>
      <c r="K159" s="12"/>
      <c r="L159" s="12" t="str">
        <f aca="false">IF(A159="","",IF(I159="はい",IF(AND(ISNUMBER(J159),ISNUMBER(K159)),K159-J159,""),""))</f>
        <v/>
      </c>
      <c r="M159" s="9"/>
      <c r="N159" s="11"/>
      <c r="O159" s="13"/>
    </row>
    <row r="160" customFormat="false" ht="15.75" hidden="false" customHeight="false" outlineLevel="0" collapsed="false">
      <c r="A160" s="10"/>
      <c r="B160" s="11"/>
      <c r="C160" s="11"/>
      <c r="D160" s="9"/>
      <c r="E160" s="9"/>
      <c r="F160" s="11"/>
      <c r="G160" s="11"/>
      <c r="H160" s="9"/>
      <c r="I160" s="9"/>
      <c r="J160" s="12"/>
      <c r="K160" s="12"/>
      <c r="L160" s="12" t="str">
        <f aca="false">IF(A160="","",IF(I160="はい",IF(AND(ISNUMBER(J160),ISNUMBER(K160)),K160-J160,""),""))</f>
        <v/>
      </c>
      <c r="M160" s="9"/>
      <c r="N160" s="11"/>
      <c r="O160" s="13"/>
    </row>
    <row r="161" customFormat="false" ht="15.75" hidden="false" customHeight="false" outlineLevel="0" collapsed="false">
      <c r="A161" s="10"/>
      <c r="B161" s="11"/>
      <c r="C161" s="11"/>
      <c r="D161" s="9"/>
      <c r="E161" s="9"/>
      <c r="F161" s="11"/>
      <c r="G161" s="11"/>
      <c r="H161" s="9"/>
      <c r="I161" s="9"/>
      <c r="J161" s="12"/>
      <c r="K161" s="12"/>
      <c r="L161" s="12" t="str">
        <f aca="false">IF(A161="","",IF(I161="はい",IF(AND(ISNUMBER(J161),ISNUMBER(K161)),K161-J161,""),""))</f>
        <v/>
      </c>
      <c r="M161" s="9"/>
      <c r="N161" s="11"/>
      <c r="O161" s="13"/>
    </row>
    <row r="162" customFormat="false" ht="15.75" hidden="false" customHeight="false" outlineLevel="0" collapsed="false">
      <c r="A162" s="10"/>
      <c r="B162" s="11"/>
      <c r="C162" s="11"/>
      <c r="D162" s="9"/>
      <c r="E162" s="9"/>
      <c r="F162" s="11"/>
      <c r="G162" s="11"/>
      <c r="H162" s="9"/>
      <c r="I162" s="9"/>
      <c r="J162" s="12"/>
      <c r="K162" s="12"/>
      <c r="L162" s="12" t="str">
        <f aca="false">IF(A162="","",IF(I162="はい",IF(AND(ISNUMBER(J162),ISNUMBER(K162)),K162-J162,""),""))</f>
        <v/>
      </c>
      <c r="M162" s="9"/>
      <c r="N162" s="11"/>
      <c r="O162" s="13"/>
    </row>
    <row r="163" customFormat="false" ht="15.75" hidden="false" customHeight="false" outlineLevel="0" collapsed="false">
      <c r="A163" s="10"/>
      <c r="B163" s="11"/>
      <c r="C163" s="11"/>
      <c r="D163" s="9"/>
      <c r="E163" s="9"/>
      <c r="F163" s="11"/>
      <c r="G163" s="11"/>
      <c r="H163" s="9"/>
      <c r="I163" s="9"/>
      <c r="J163" s="12"/>
      <c r="K163" s="12"/>
      <c r="L163" s="12" t="str">
        <f aca="false">IF(A163="","",IF(I163="はい",IF(AND(ISNUMBER(J163),ISNUMBER(K163)),K163-J163,""),""))</f>
        <v/>
      </c>
      <c r="M163" s="9"/>
      <c r="N163" s="11"/>
      <c r="O163" s="13"/>
    </row>
    <row r="164" customFormat="false" ht="15.75" hidden="false" customHeight="false" outlineLevel="0" collapsed="false">
      <c r="A164" s="10"/>
      <c r="B164" s="11"/>
      <c r="C164" s="11"/>
      <c r="D164" s="9"/>
      <c r="E164" s="9"/>
      <c r="F164" s="11"/>
      <c r="G164" s="11"/>
      <c r="H164" s="9"/>
      <c r="I164" s="9"/>
      <c r="J164" s="12"/>
      <c r="K164" s="12"/>
      <c r="L164" s="12" t="str">
        <f aca="false">IF(A164="","",IF(I164="はい",IF(AND(ISNUMBER(J164),ISNUMBER(K164)),K164-J164,""),""))</f>
        <v/>
      </c>
      <c r="M164" s="9"/>
      <c r="N164" s="11"/>
      <c r="O164" s="13"/>
    </row>
    <row r="165" customFormat="false" ht="15.75" hidden="false" customHeight="false" outlineLevel="0" collapsed="false">
      <c r="A165" s="10"/>
      <c r="B165" s="11"/>
      <c r="C165" s="11"/>
      <c r="D165" s="9"/>
      <c r="E165" s="9"/>
      <c r="F165" s="11"/>
      <c r="G165" s="11"/>
      <c r="H165" s="9"/>
      <c r="I165" s="9"/>
      <c r="J165" s="12"/>
      <c r="K165" s="12"/>
      <c r="L165" s="12" t="str">
        <f aca="false">IF(A165="","",IF(I165="はい",IF(AND(ISNUMBER(J165),ISNUMBER(K165)),K165-J165,""),""))</f>
        <v/>
      </c>
      <c r="M165" s="9"/>
      <c r="N165" s="11"/>
      <c r="O165" s="13"/>
    </row>
    <row r="166" customFormat="false" ht="15.75" hidden="false" customHeight="false" outlineLevel="0" collapsed="false">
      <c r="A166" s="10"/>
      <c r="B166" s="11"/>
      <c r="C166" s="11"/>
      <c r="D166" s="9"/>
      <c r="E166" s="9"/>
      <c r="F166" s="11"/>
      <c r="G166" s="11"/>
      <c r="H166" s="9"/>
      <c r="I166" s="9"/>
      <c r="J166" s="12"/>
      <c r="K166" s="12"/>
      <c r="L166" s="12" t="str">
        <f aca="false">IF(A166="","",IF(I166="はい",IF(AND(ISNUMBER(J166),ISNUMBER(K166)),K166-J166,""),""))</f>
        <v/>
      </c>
      <c r="M166" s="9"/>
      <c r="N166" s="11"/>
      <c r="O166" s="13"/>
    </row>
    <row r="167" customFormat="false" ht="15.75" hidden="false" customHeight="false" outlineLevel="0" collapsed="false">
      <c r="A167" s="10"/>
      <c r="B167" s="11"/>
      <c r="C167" s="11"/>
      <c r="D167" s="9"/>
      <c r="E167" s="9"/>
      <c r="F167" s="11"/>
      <c r="G167" s="11"/>
      <c r="H167" s="9"/>
      <c r="I167" s="9"/>
      <c r="J167" s="12"/>
      <c r="K167" s="12"/>
      <c r="L167" s="12" t="str">
        <f aca="false">IF(A167="","",IF(I167="はい",IF(AND(ISNUMBER(J167),ISNUMBER(K167)),K167-J167,""),""))</f>
        <v/>
      </c>
      <c r="M167" s="9"/>
      <c r="N167" s="11"/>
      <c r="O167" s="13"/>
    </row>
    <row r="168" customFormat="false" ht="15.75" hidden="false" customHeight="false" outlineLevel="0" collapsed="false">
      <c r="A168" s="10"/>
      <c r="B168" s="11"/>
      <c r="C168" s="11"/>
      <c r="D168" s="9"/>
      <c r="E168" s="9"/>
      <c r="F168" s="11"/>
      <c r="G168" s="11"/>
      <c r="H168" s="9"/>
      <c r="I168" s="9"/>
      <c r="J168" s="12"/>
      <c r="K168" s="12"/>
      <c r="L168" s="12" t="str">
        <f aca="false">IF(A168="","",IF(I168="はい",IF(AND(ISNUMBER(J168),ISNUMBER(K168)),K168-J168,""),""))</f>
        <v/>
      </c>
      <c r="M168" s="9"/>
      <c r="N168" s="11"/>
      <c r="O168" s="13"/>
    </row>
    <row r="169" customFormat="false" ht="15.75" hidden="false" customHeight="false" outlineLevel="0" collapsed="false">
      <c r="A169" s="10"/>
      <c r="B169" s="11"/>
      <c r="C169" s="11"/>
      <c r="D169" s="9"/>
      <c r="E169" s="9"/>
      <c r="F169" s="11"/>
      <c r="G169" s="11"/>
      <c r="H169" s="9"/>
      <c r="I169" s="9"/>
      <c r="J169" s="12"/>
      <c r="K169" s="12"/>
      <c r="L169" s="12" t="str">
        <f aca="false">IF(A169="","",IF(I169="はい",IF(AND(ISNUMBER(J169),ISNUMBER(K169)),K169-J169,""),""))</f>
        <v/>
      </c>
      <c r="M169" s="9"/>
      <c r="N169" s="11"/>
      <c r="O169" s="13"/>
    </row>
    <row r="170" customFormat="false" ht="15.75" hidden="false" customHeight="false" outlineLevel="0" collapsed="false">
      <c r="A170" s="10"/>
      <c r="B170" s="11"/>
      <c r="C170" s="11"/>
      <c r="D170" s="9"/>
      <c r="E170" s="9"/>
      <c r="F170" s="11"/>
      <c r="G170" s="11"/>
      <c r="H170" s="9"/>
      <c r="I170" s="9"/>
      <c r="J170" s="12"/>
      <c r="K170" s="12"/>
      <c r="L170" s="12" t="str">
        <f aca="false">IF(A170="","",IF(I170="はい",IF(AND(ISNUMBER(J170),ISNUMBER(K170)),K170-J170,""),""))</f>
        <v/>
      </c>
      <c r="M170" s="9"/>
      <c r="N170" s="11"/>
      <c r="O170" s="13"/>
    </row>
    <row r="171" customFormat="false" ht="15.75" hidden="false" customHeight="false" outlineLevel="0" collapsed="false">
      <c r="A171" s="10"/>
      <c r="B171" s="11"/>
      <c r="C171" s="11"/>
      <c r="D171" s="9"/>
      <c r="E171" s="9"/>
      <c r="F171" s="11"/>
      <c r="G171" s="11"/>
      <c r="H171" s="9"/>
      <c r="I171" s="9"/>
      <c r="J171" s="12"/>
      <c r="K171" s="12"/>
      <c r="L171" s="12" t="str">
        <f aca="false">IF(A171="","",IF(I171="はい",IF(AND(ISNUMBER(J171),ISNUMBER(K171)),K171-J171,""),""))</f>
        <v/>
      </c>
      <c r="M171" s="9"/>
      <c r="N171" s="11"/>
      <c r="O171" s="13"/>
    </row>
    <row r="172" customFormat="false" ht="15.75" hidden="false" customHeight="false" outlineLevel="0" collapsed="false">
      <c r="A172" s="10"/>
      <c r="B172" s="11"/>
      <c r="C172" s="11"/>
      <c r="D172" s="9"/>
      <c r="E172" s="9"/>
      <c r="F172" s="11"/>
      <c r="G172" s="11"/>
      <c r="H172" s="9"/>
      <c r="I172" s="9"/>
      <c r="J172" s="12"/>
      <c r="K172" s="12"/>
      <c r="L172" s="12" t="str">
        <f aca="false">IF(A172="","",IF(I172="はい",IF(AND(ISNUMBER(J172),ISNUMBER(K172)),K172-J172,""),""))</f>
        <v/>
      </c>
      <c r="M172" s="9"/>
      <c r="N172" s="11"/>
      <c r="O172" s="13"/>
    </row>
    <row r="173" customFormat="false" ht="15.75" hidden="false" customHeight="false" outlineLevel="0" collapsed="false">
      <c r="A173" s="10"/>
      <c r="B173" s="11"/>
      <c r="C173" s="11"/>
      <c r="D173" s="9"/>
      <c r="E173" s="9"/>
      <c r="F173" s="11"/>
      <c r="G173" s="11"/>
      <c r="H173" s="9"/>
      <c r="I173" s="9"/>
      <c r="J173" s="12"/>
      <c r="K173" s="12"/>
      <c r="L173" s="12" t="str">
        <f aca="false">IF(A173="","",IF(I173="はい",IF(AND(ISNUMBER(J173),ISNUMBER(K173)),K173-J173,""),""))</f>
        <v/>
      </c>
      <c r="M173" s="9"/>
      <c r="N173" s="11"/>
      <c r="O173" s="13"/>
    </row>
    <row r="174" customFormat="false" ht="15.75" hidden="false" customHeight="false" outlineLevel="0" collapsed="false">
      <c r="A174" s="10"/>
      <c r="B174" s="11"/>
      <c r="C174" s="11"/>
      <c r="D174" s="9"/>
      <c r="E174" s="9"/>
      <c r="F174" s="11"/>
      <c r="G174" s="11"/>
      <c r="H174" s="9"/>
      <c r="I174" s="9"/>
      <c r="J174" s="12"/>
      <c r="K174" s="12"/>
      <c r="L174" s="12" t="str">
        <f aca="false">IF(A174="","",IF(I174="はい",IF(AND(ISNUMBER(J174),ISNUMBER(K174)),K174-J174,""),""))</f>
        <v/>
      </c>
      <c r="M174" s="9"/>
      <c r="N174" s="11"/>
      <c r="O174" s="13"/>
    </row>
    <row r="175" customFormat="false" ht="15.75" hidden="false" customHeight="false" outlineLevel="0" collapsed="false">
      <c r="A175" s="10"/>
      <c r="B175" s="11"/>
      <c r="C175" s="11"/>
      <c r="D175" s="9"/>
      <c r="E175" s="9"/>
      <c r="F175" s="11"/>
      <c r="G175" s="11"/>
      <c r="H175" s="9"/>
      <c r="I175" s="9"/>
      <c r="J175" s="12"/>
      <c r="K175" s="12"/>
      <c r="L175" s="12" t="str">
        <f aca="false">IF(A175="","",IF(I175="はい",IF(AND(ISNUMBER(J175),ISNUMBER(K175)),K175-J175,""),""))</f>
        <v/>
      </c>
      <c r="M175" s="9"/>
      <c r="N175" s="11"/>
      <c r="O175" s="13"/>
    </row>
    <row r="176" customFormat="false" ht="15.75" hidden="false" customHeight="false" outlineLevel="0" collapsed="false">
      <c r="A176" s="10"/>
      <c r="B176" s="11"/>
      <c r="C176" s="11"/>
      <c r="D176" s="9"/>
      <c r="E176" s="9"/>
      <c r="F176" s="11"/>
      <c r="G176" s="11"/>
      <c r="H176" s="9"/>
      <c r="I176" s="9"/>
      <c r="J176" s="12"/>
      <c r="K176" s="12"/>
      <c r="L176" s="12" t="str">
        <f aca="false">IF(A176="","",IF(I176="はい",IF(AND(ISNUMBER(J176),ISNUMBER(K176)),K176-J176,""),""))</f>
        <v/>
      </c>
      <c r="M176" s="9"/>
      <c r="N176" s="11"/>
      <c r="O176" s="13"/>
    </row>
    <row r="177" customFormat="false" ht="15.75" hidden="false" customHeight="false" outlineLevel="0" collapsed="false">
      <c r="A177" s="10"/>
      <c r="B177" s="11"/>
      <c r="C177" s="11"/>
      <c r="D177" s="9"/>
      <c r="E177" s="9"/>
      <c r="F177" s="11"/>
      <c r="G177" s="11"/>
      <c r="H177" s="9"/>
      <c r="I177" s="9"/>
      <c r="J177" s="12"/>
      <c r="K177" s="12"/>
      <c r="L177" s="12" t="str">
        <f aca="false">IF(A177="","",IF(I177="はい",IF(AND(ISNUMBER(J177),ISNUMBER(K177)),K177-J177,""),""))</f>
        <v/>
      </c>
      <c r="M177" s="9"/>
      <c r="N177" s="11"/>
      <c r="O177" s="13"/>
    </row>
    <row r="178" customFormat="false" ht="15.75" hidden="false" customHeight="false" outlineLevel="0" collapsed="false">
      <c r="A178" s="10"/>
      <c r="B178" s="11"/>
      <c r="C178" s="11"/>
      <c r="D178" s="9"/>
      <c r="E178" s="9"/>
      <c r="F178" s="11"/>
      <c r="G178" s="11"/>
      <c r="H178" s="9"/>
      <c r="I178" s="9"/>
      <c r="J178" s="12"/>
      <c r="K178" s="12"/>
      <c r="L178" s="12" t="str">
        <f aca="false">IF(A178="","",IF(I178="はい",IF(AND(ISNUMBER(J178),ISNUMBER(K178)),K178-J178,""),""))</f>
        <v/>
      </c>
      <c r="M178" s="9"/>
      <c r="N178" s="11"/>
      <c r="O178" s="13"/>
    </row>
    <row r="179" customFormat="false" ht="15.75" hidden="false" customHeight="false" outlineLevel="0" collapsed="false">
      <c r="A179" s="10"/>
      <c r="B179" s="11"/>
      <c r="C179" s="11"/>
      <c r="D179" s="9"/>
      <c r="E179" s="9"/>
      <c r="F179" s="11"/>
      <c r="G179" s="11"/>
      <c r="H179" s="9"/>
      <c r="I179" s="9"/>
      <c r="J179" s="12"/>
      <c r="K179" s="12"/>
      <c r="L179" s="12" t="str">
        <f aca="false">IF(A179="","",IF(I179="はい",IF(AND(ISNUMBER(J179),ISNUMBER(K179)),K179-J179,""),""))</f>
        <v/>
      </c>
      <c r="M179" s="9"/>
      <c r="N179" s="11"/>
      <c r="O179" s="13"/>
    </row>
    <row r="180" customFormat="false" ht="15.75" hidden="false" customHeight="false" outlineLevel="0" collapsed="false">
      <c r="A180" s="10"/>
      <c r="B180" s="11"/>
      <c r="C180" s="11"/>
      <c r="D180" s="9"/>
      <c r="E180" s="9"/>
      <c r="F180" s="11"/>
      <c r="G180" s="11"/>
      <c r="H180" s="9"/>
      <c r="I180" s="9"/>
      <c r="J180" s="12"/>
      <c r="K180" s="12"/>
      <c r="L180" s="12" t="str">
        <f aca="false">IF(A180="","",IF(I180="はい",IF(AND(ISNUMBER(J180),ISNUMBER(K180)),K180-J180,""),""))</f>
        <v/>
      </c>
      <c r="M180" s="9"/>
      <c r="N180" s="11"/>
      <c r="O180" s="13"/>
    </row>
    <row r="181" customFormat="false" ht="15.75" hidden="false" customHeight="false" outlineLevel="0" collapsed="false">
      <c r="A181" s="10"/>
      <c r="B181" s="11"/>
      <c r="C181" s="11"/>
      <c r="D181" s="9"/>
      <c r="E181" s="9"/>
      <c r="F181" s="11"/>
      <c r="G181" s="11"/>
      <c r="H181" s="9"/>
      <c r="I181" s="9"/>
      <c r="J181" s="12"/>
      <c r="K181" s="12"/>
      <c r="L181" s="12" t="str">
        <f aca="false">IF(A181="","",IF(I181="はい",IF(AND(ISNUMBER(J181),ISNUMBER(K181)),K181-J181,""),""))</f>
        <v/>
      </c>
      <c r="M181" s="9"/>
      <c r="N181" s="11"/>
      <c r="O181" s="13"/>
    </row>
    <row r="182" customFormat="false" ht="15.75" hidden="false" customHeight="false" outlineLevel="0" collapsed="false">
      <c r="A182" s="10"/>
      <c r="B182" s="11"/>
      <c r="C182" s="11"/>
      <c r="D182" s="9"/>
      <c r="E182" s="9"/>
      <c r="F182" s="11"/>
      <c r="G182" s="11"/>
      <c r="H182" s="9"/>
      <c r="I182" s="9"/>
      <c r="J182" s="12"/>
      <c r="K182" s="12"/>
      <c r="L182" s="12" t="str">
        <f aca="false">IF(A182="","",IF(I182="はい",IF(AND(ISNUMBER(J182),ISNUMBER(K182)),K182-J182,""),""))</f>
        <v/>
      </c>
      <c r="M182" s="9"/>
      <c r="N182" s="11"/>
      <c r="O182" s="13"/>
    </row>
    <row r="183" customFormat="false" ht="15.75" hidden="false" customHeight="false" outlineLevel="0" collapsed="false">
      <c r="A183" s="10"/>
      <c r="B183" s="11"/>
      <c r="C183" s="11"/>
      <c r="D183" s="9"/>
      <c r="E183" s="9"/>
      <c r="F183" s="11"/>
      <c r="G183" s="11"/>
      <c r="H183" s="9"/>
      <c r="I183" s="9"/>
      <c r="J183" s="12"/>
      <c r="K183" s="12"/>
      <c r="L183" s="12" t="str">
        <f aca="false">IF(A183="","",IF(I183="はい",IF(AND(ISNUMBER(J183),ISNUMBER(K183)),K183-J183,""),""))</f>
        <v/>
      </c>
      <c r="M183" s="9"/>
      <c r="N183" s="11"/>
      <c r="O183" s="13"/>
    </row>
    <row r="184" customFormat="false" ht="15.75" hidden="false" customHeight="false" outlineLevel="0" collapsed="false">
      <c r="A184" s="10"/>
      <c r="B184" s="11"/>
      <c r="C184" s="11"/>
      <c r="D184" s="9"/>
      <c r="E184" s="9"/>
      <c r="F184" s="11"/>
      <c r="G184" s="11"/>
      <c r="H184" s="9"/>
      <c r="I184" s="9"/>
      <c r="J184" s="12"/>
      <c r="K184" s="12"/>
      <c r="L184" s="12" t="str">
        <f aca="false">IF(A184="","",IF(I184="はい",IF(AND(ISNUMBER(J184),ISNUMBER(K184)),K184-J184,""),""))</f>
        <v/>
      </c>
      <c r="M184" s="9"/>
      <c r="N184" s="11"/>
      <c r="O184" s="13"/>
    </row>
    <row r="185" customFormat="false" ht="15.75" hidden="false" customHeight="false" outlineLevel="0" collapsed="false">
      <c r="A185" s="10"/>
      <c r="B185" s="11"/>
      <c r="C185" s="11"/>
      <c r="D185" s="9"/>
      <c r="E185" s="9"/>
      <c r="F185" s="11"/>
      <c r="G185" s="11"/>
      <c r="H185" s="9"/>
      <c r="I185" s="9"/>
      <c r="J185" s="12"/>
      <c r="K185" s="12"/>
      <c r="L185" s="12" t="str">
        <f aca="false">IF(A185="","",IF(I185="はい",IF(AND(ISNUMBER(J185),ISNUMBER(K185)),K185-J185,""),""))</f>
        <v/>
      </c>
      <c r="M185" s="9"/>
      <c r="N185" s="11"/>
      <c r="O185" s="13"/>
    </row>
    <row r="186" customFormat="false" ht="15.75" hidden="false" customHeight="false" outlineLevel="0" collapsed="false">
      <c r="A186" s="10"/>
      <c r="B186" s="11"/>
      <c r="C186" s="11"/>
      <c r="D186" s="9"/>
      <c r="E186" s="9"/>
      <c r="F186" s="11"/>
      <c r="G186" s="11"/>
      <c r="H186" s="9"/>
      <c r="I186" s="9"/>
      <c r="J186" s="12"/>
      <c r="K186" s="12"/>
      <c r="L186" s="12" t="str">
        <f aca="false">IF(A186="","",IF(I186="はい",IF(AND(ISNUMBER(J186),ISNUMBER(K186)),K186-J186,""),""))</f>
        <v/>
      </c>
      <c r="M186" s="9"/>
      <c r="N186" s="11"/>
      <c r="O186" s="13"/>
    </row>
    <row r="187" customFormat="false" ht="15.75" hidden="false" customHeight="false" outlineLevel="0" collapsed="false">
      <c r="A187" s="10"/>
      <c r="B187" s="11"/>
      <c r="C187" s="11"/>
      <c r="D187" s="9"/>
      <c r="E187" s="9"/>
      <c r="F187" s="11"/>
      <c r="G187" s="11"/>
      <c r="H187" s="9"/>
      <c r="I187" s="9"/>
      <c r="J187" s="12"/>
      <c r="K187" s="12"/>
      <c r="L187" s="12" t="str">
        <f aca="false">IF(A187="","",IF(I187="はい",IF(AND(ISNUMBER(J187),ISNUMBER(K187)),K187-J187,""),""))</f>
        <v/>
      </c>
      <c r="M187" s="9"/>
      <c r="N187" s="11"/>
      <c r="O187" s="13"/>
    </row>
    <row r="188" customFormat="false" ht="15.75" hidden="false" customHeight="false" outlineLevel="0" collapsed="false">
      <c r="A188" s="10"/>
      <c r="B188" s="11"/>
      <c r="C188" s="11"/>
      <c r="D188" s="9"/>
      <c r="E188" s="9"/>
      <c r="F188" s="11"/>
      <c r="G188" s="11"/>
      <c r="H188" s="9"/>
      <c r="I188" s="9"/>
      <c r="J188" s="12"/>
      <c r="K188" s="12"/>
      <c r="L188" s="12" t="str">
        <f aca="false">IF(A188="","",IF(I188="はい",IF(AND(ISNUMBER(J188),ISNUMBER(K188)),K188-J188,""),""))</f>
        <v/>
      </c>
      <c r="M188" s="9"/>
      <c r="N188" s="11"/>
      <c r="O188" s="13"/>
    </row>
    <row r="189" customFormat="false" ht="15.75" hidden="false" customHeight="false" outlineLevel="0" collapsed="false">
      <c r="A189" s="10"/>
      <c r="B189" s="11"/>
      <c r="C189" s="11"/>
      <c r="D189" s="9"/>
      <c r="E189" s="9"/>
      <c r="F189" s="11"/>
      <c r="G189" s="11"/>
      <c r="H189" s="9"/>
      <c r="I189" s="9"/>
      <c r="J189" s="12"/>
      <c r="K189" s="12"/>
      <c r="L189" s="12" t="str">
        <f aca="false">IF(A189="","",IF(I189="はい",IF(AND(ISNUMBER(J189),ISNUMBER(K189)),K189-J189,""),""))</f>
        <v/>
      </c>
      <c r="M189" s="9"/>
      <c r="N189" s="11"/>
      <c r="O189" s="13"/>
    </row>
    <row r="190" customFormat="false" ht="15.75" hidden="false" customHeight="false" outlineLevel="0" collapsed="false">
      <c r="A190" s="10"/>
      <c r="B190" s="11"/>
      <c r="C190" s="11"/>
      <c r="D190" s="9"/>
      <c r="E190" s="9"/>
      <c r="F190" s="11"/>
      <c r="G190" s="11"/>
      <c r="H190" s="9"/>
      <c r="I190" s="9"/>
      <c r="J190" s="12"/>
      <c r="K190" s="12"/>
      <c r="L190" s="12" t="str">
        <f aca="false">IF(A190="","",IF(I190="はい",IF(AND(ISNUMBER(J190),ISNUMBER(K190)),K190-J190,""),""))</f>
        <v/>
      </c>
      <c r="M190" s="9"/>
      <c r="N190" s="11"/>
      <c r="O190" s="13"/>
    </row>
    <row r="191" customFormat="false" ht="15.75" hidden="false" customHeight="false" outlineLevel="0" collapsed="false">
      <c r="A191" s="10"/>
      <c r="B191" s="11"/>
      <c r="C191" s="11"/>
      <c r="D191" s="9"/>
      <c r="E191" s="9"/>
      <c r="F191" s="11"/>
      <c r="G191" s="11"/>
      <c r="H191" s="9"/>
      <c r="I191" s="9"/>
      <c r="J191" s="12"/>
      <c r="K191" s="12"/>
      <c r="L191" s="12" t="str">
        <f aca="false">IF(A191="","",IF(I191="はい",IF(AND(ISNUMBER(J191),ISNUMBER(K191)),K191-J191,""),""))</f>
        <v/>
      </c>
      <c r="M191" s="9"/>
      <c r="N191" s="11"/>
      <c r="O191" s="13"/>
    </row>
    <row r="192" customFormat="false" ht="15.75" hidden="false" customHeight="false" outlineLevel="0" collapsed="false">
      <c r="A192" s="10"/>
      <c r="B192" s="11"/>
      <c r="C192" s="11"/>
      <c r="D192" s="9"/>
      <c r="E192" s="9"/>
      <c r="F192" s="11"/>
      <c r="G192" s="11"/>
      <c r="H192" s="9"/>
      <c r="I192" s="9"/>
      <c r="J192" s="12"/>
      <c r="K192" s="12"/>
      <c r="L192" s="12" t="str">
        <f aca="false">IF(A192="","",IF(I192="はい",IF(AND(ISNUMBER(J192),ISNUMBER(K192)),K192-J192,""),""))</f>
        <v/>
      </c>
      <c r="M192" s="9"/>
      <c r="N192" s="11"/>
      <c r="O192" s="13"/>
    </row>
    <row r="193" customFormat="false" ht="15.75" hidden="false" customHeight="false" outlineLevel="0" collapsed="false">
      <c r="A193" s="10"/>
      <c r="B193" s="11"/>
      <c r="C193" s="11"/>
      <c r="D193" s="9"/>
      <c r="E193" s="9"/>
      <c r="F193" s="11"/>
      <c r="G193" s="11"/>
      <c r="H193" s="9"/>
      <c r="I193" s="9"/>
      <c r="J193" s="12"/>
      <c r="K193" s="12"/>
      <c r="L193" s="12" t="str">
        <f aca="false">IF(A193="","",IF(I193="はい",IF(AND(ISNUMBER(J193),ISNUMBER(K193)),K193-J193,""),""))</f>
        <v/>
      </c>
      <c r="M193" s="9"/>
      <c r="N193" s="11"/>
      <c r="O193" s="13"/>
    </row>
    <row r="194" customFormat="false" ht="15.75" hidden="false" customHeight="false" outlineLevel="0" collapsed="false">
      <c r="A194" s="10"/>
      <c r="B194" s="11"/>
      <c r="C194" s="11"/>
      <c r="D194" s="9"/>
      <c r="E194" s="9"/>
      <c r="F194" s="11"/>
      <c r="G194" s="11"/>
      <c r="H194" s="9"/>
      <c r="I194" s="9"/>
      <c r="J194" s="12"/>
      <c r="K194" s="12"/>
      <c r="L194" s="12" t="str">
        <f aca="false">IF(A194="","",IF(I194="はい",IF(AND(ISNUMBER(J194),ISNUMBER(K194)),K194-J194,""),""))</f>
        <v/>
      </c>
      <c r="M194" s="9"/>
      <c r="N194" s="11"/>
      <c r="O194" s="13"/>
    </row>
    <row r="195" customFormat="false" ht="15.75" hidden="false" customHeight="false" outlineLevel="0" collapsed="false">
      <c r="A195" s="10"/>
      <c r="B195" s="11"/>
      <c r="C195" s="11"/>
      <c r="D195" s="9"/>
      <c r="E195" s="9"/>
      <c r="F195" s="11"/>
      <c r="G195" s="11"/>
      <c r="H195" s="9"/>
      <c r="I195" s="9"/>
      <c r="J195" s="12"/>
      <c r="K195" s="12"/>
      <c r="L195" s="12" t="str">
        <f aca="false">IF(A195="","",IF(I195="はい",IF(AND(ISNUMBER(J195),ISNUMBER(K195)),K195-J195,""),""))</f>
        <v/>
      </c>
      <c r="M195" s="9"/>
      <c r="N195" s="11"/>
      <c r="O195" s="13"/>
    </row>
    <row r="196" customFormat="false" ht="15.75" hidden="false" customHeight="false" outlineLevel="0" collapsed="false">
      <c r="A196" s="10"/>
      <c r="B196" s="11"/>
      <c r="C196" s="11"/>
      <c r="D196" s="9"/>
      <c r="E196" s="9"/>
      <c r="F196" s="11"/>
      <c r="G196" s="11"/>
      <c r="H196" s="9"/>
      <c r="I196" s="9"/>
      <c r="J196" s="12"/>
      <c r="K196" s="12"/>
      <c r="L196" s="12" t="str">
        <f aca="false">IF(A196="","",IF(I196="はい",IF(AND(ISNUMBER(J196),ISNUMBER(K196)),K196-J196,""),""))</f>
        <v/>
      </c>
      <c r="M196" s="9"/>
      <c r="N196" s="11"/>
      <c r="O196" s="13"/>
    </row>
    <row r="197" customFormat="false" ht="15.75" hidden="false" customHeight="false" outlineLevel="0" collapsed="false">
      <c r="A197" s="10"/>
      <c r="B197" s="11"/>
      <c r="C197" s="11"/>
      <c r="D197" s="9"/>
      <c r="E197" s="9"/>
      <c r="F197" s="11"/>
      <c r="G197" s="11"/>
      <c r="H197" s="9"/>
      <c r="I197" s="9"/>
      <c r="J197" s="12"/>
      <c r="K197" s="12"/>
      <c r="L197" s="12" t="str">
        <f aca="false">IF(A197="","",IF(I197="はい",IF(AND(ISNUMBER(J197),ISNUMBER(K197)),K197-J197,""),""))</f>
        <v/>
      </c>
      <c r="M197" s="9"/>
      <c r="N197" s="11"/>
      <c r="O197" s="13"/>
    </row>
    <row r="198" customFormat="false" ht="15.75" hidden="false" customHeight="false" outlineLevel="0" collapsed="false">
      <c r="A198" s="10"/>
      <c r="B198" s="11"/>
      <c r="C198" s="11"/>
      <c r="D198" s="9"/>
      <c r="E198" s="9"/>
      <c r="F198" s="11"/>
      <c r="G198" s="11"/>
      <c r="H198" s="9"/>
      <c r="I198" s="9"/>
      <c r="J198" s="12"/>
      <c r="K198" s="12"/>
      <c r="L198" s="12" t="str">
        <f aca="false">IF(A198="","",IF(I198="はい",IF(AND(ISNUMBER(J198),ISNUMBER(K198)),K198-J198,""),""))</f>
        <v/>
      </c>
      <c r="M198" s="9"/>
      <c r="N198" s="11"/>
      <c r="O198" s="13"/>
    </row>
    <row r="199" customFormat="false" ht="15.75" hidden="false" customHeight="false" outlineLevel="0" collapsed="false">
      <c r="A199" s="10"/>
      <c r="B199" s="11"/>
      <c r="C199" s="11"/>
      <c r="D199" s="9"/>
      <c r="E199" s="9"/>
      <c r="F199" s="11"/>
      <c r="G199" s="11"/>
      <c r="H199" s="9"/>
      <c r="I199" s="9"/>
      <c r="J199" s="12"/>
      <c r="K199" s="12"/>
      <c r="L199" s="12" t="str">
        <f aca="false">IF(A199="","",IF(I199="はい",IF(AND(ISNUMBER(J199),ISNUMBER(K199)),K199-J199,""),""))</f>
        <v/>
      </c>
      <c r="M199" s="9"/>
      <c r="N199" s="11"/>
      <c r="O199" s="13"/>
    </row>
    <row r="200" customFormat="false" ht="15.75" hidden="false" customHeight="false" outlineLevel="0" collapsed="false">
      <c r="A200" s="10"/>
      <c r="B200" s="11"/>
      <c r="C200" s="11"/>
      <c r="D200" s="9"/>
      <c r="E200" s="9"/>
      <c r="F200" s="11"/>
      <c r="G200" s="11"/>
      <c r="H200" s="9"/>
      <c r="I200" s="9"/>
      <c r="J200" s="12"/>
      <c r="K200" s="12"/>
      <c r="L200" s="12" t="str">
        <f aca="false">IF(A200="","",IF(I200="はい",IF(AND(ISNUMBER(J200),ISNUMBER(K200)),K200-J200,""),""))</f>
        <v/>
      </c>
      <c r="M200" s="9"/>
      <c r="N200" s="11"/>
      <c r="O200" s="13"/>
    </row>
    <row r="201" customFormat="false" ht="15.75" hidden="false" customHeight="false" outlineLevel="0" collapsed="false">
      <c r="A201" s="10"/>
      <c r="B201" s="11"/>
      <c r="C201" s="11"/>
      <c r="D201" s="9"/>
      <c r="E201" s="9"/>
      <c r="F201" s="11"/>
      <c r="G201" s="11"/>
      <c r="H201" s="9"/>
      <c r="I201" s="9"/>
      <c r="J201" s="12"/>
      <c r="K201" s="12"/>
      <c r="L201" s="12" t="str">
        <f aca="false">IF(A201="","",IF(I201="はい",IF(AND(ISNUMBER(J201),ISNUMBER(K201)),K201-J201,""),""))</f>
        <v/>
      </c>
      <c r="M201" s="9"/>
      <c r="N201" s="11"/>
      <c r="O201" s="13"/>
    </row>
    <row r="202" customFormat="false" ht="15.75" hidden="false" customHeight="false" outlineLevel="0" collapsed="false">
      <c r="A202" s="10"/>
      <c r="B202" s="11"/>
      <c r="C202" s="11"/>
      <c r="D202" s="9"/>
      <c r="E202" s="9"/>
      <c r="F202" s="11"/>
      <c r="G202" s="11"/>
      <c r="H202" s="9"/>
      <c r="I202" s="9"/>
      <c r="J202" s="12"/>
      <c r="K202" s="12"/>
      <c r="L202" s="12" t="str">
        <f aca="false">IF(A202="","",IF(I202="はい",IF(AND(ISNUMBER(J202),ISNUMBER(K202)),K202-J202,""),""))</f>
        <v/>
      </c>
      <c r="M202" s="9"/>
      <c r="N202" s="11"/>
      <c r="O202" s="13"/>
    </row>
    <row r="203" customFormat="false" ht="15.75" hidden="false" customHeight="false" outlineLevel="0" collapsed="false">
      <c r="A203" s="10"/>
      <c r="B203" s="11"/>
      <c r="C203" s="11"/>
      <c r="D203" s="9"/>
      <c r="E203" s="9"/>
      <c r="F203" s="11"/>
      <c r="G203" s="11"/>
      <c r="H203" s="9"/>
      <c r="I203" s="9"/>
      <c r="J203" s="12"/>
      <c r="K203" s="12"/>
      <c r="L203" s="12" t="str">
        <f aca="false">IF(A203="","",IF(I203="はい",IF(AND(ISNUMBER(J203),ISNUMBER(K203)),K203-J203,""),""))</f>
        <v/>
      </c>
      <c r="M203" s="9"/>
      <c r="N203" s="11"/>
      <c r="O203" s="13"/>
    </row>
    <row r="204" customFormat="false" ht="15.75" hidden="false" customHeight="false" outlineLevel="0" collapsed="false">
      <c r="A204" s="10"/>
      <c r="B204" s="11"/>
      <c r="C204" s="11"/>
      <c r="D204" s="9"/>
      <c r="E204" s="9"/>
      <c r="F204" s="11"/>
      <c r="G204" s="11"/>
      <c r="H204" s="9"/>
      <c r="I204" s="9"/>
      <c r="J204" s="12"/>
      <c r="K204" s="12"/>
      <c r="L204" s="12" t="str">
        <f aca="false">IF(A204="","",IF(I204="はい",IF(AND(ISNUMBER(J204),ISNUMBER(K204)),K204-J204,""),""))</f>
        <v/>
      </c>
      <c r="M204" s="9"/>
      <c r="N204" s="11"/>
      <c r="O204" s="13"/>
    </row>
    <row r="205" customFormat="false" ht="15.75" hidden="false" customHeight="false" outlineLevel="0" collapsed="false">
      <c r="A205" s="10"/>
      <c r="B205" s="11"/>
      <c r="C205" s="11"/>
      <c r="D205" s="9"/>
      <c r="E205" s="9"/>
      <c r="F205" s="11"/>
      <c r="G205" s="11"/>
      <c r="H205" s="9"/>
      <c r="I205" s="9"/>
      <c r="J205" s="12"/>
      <c r="K205" s="12"/>
      <c r="L205" s="12" t="str">
        <f aca="false">IF(A205="","",IF(I205="はい",IF(AND(ISNUMBER(J205),ISNUMBER(K205)),K205-J205,""),""))</f>
        <v/>
      </c>
      <c r="M205" s="9"/>
      <c r="N205" s="11"/>
      <c r="O205" s="13"/>
    </row>
    <row r="206" customFormat="false" ht="15.75" hidden="false" customHeight="false" outlineLevel="0" collapsed="false">
      <c r="A206" s="10"/>
      <c r="B206" s="11"/>
      <c r="C206" s="11"/>
      <c r="D206" s="9"/>
      <c r="E206" s="9"/>
      <c r="F206" s="11"/>
      <c r="G206" s="11"/>
      <c r="H206" s="9"/>
      <c r="I206" s="9"/>
      <c r="J206" s="12"/>
      <c r="K206" s="12"/>
      <c r="L206" s="12" t="str">
        <f aca="false">IF(A206="","",IF(I206="はい",IF(AND(ISNUMBER(J206),ISNUMBER(K206)),K206-J206,""),""))</f>
        <v/>
      </c>
      <c r="M206" s="9"/>
      <c r="N206" s="11"/>
      <c r="O206" s="13"/>
    </row>
    <row r="207" customFormat="false" ht="15.75" hidden="false" customHeight="false" outlineLevel="0" collapsed="false">
      <c r="A207" s="10"/>
      <c r="B207" s="11"/>
      <c r="C207" s="11"/>
      <c r="D207" s="9"/>
      <c r="E207" s="9"/>
      <c r="F207" s="11"/>
      <c r="G207" s="11"/>
      <c r="H207" s="9"/>
      <c r="I207" s="9"/>
      <c r="J207" s="12"/>
      <c r="K207" s="12"/>
      <c r="L207" s="12" t="str">
        <f aca="false">IF(A207="","",IF(I207="はい",IF(AND(ISNUMBER(J207),ISNUMBER(K207)),K207-J207,""),""))</f>
        <v/>
      </c>
      <c r="M207" s="9"/>
      <c r="N207" s="11"/>
      <c r="O207" s="13"/>
    </row>
    <row r="208" customFormat="false" ht="15.75" hidden="false" customHeight="false" outlineLevel="0" collapsed="false">
      <c r="A208" s="10"/>
      <c r="B208" s="11"/>
      <c r="C208" s="11"/>
      <c r="D208" s="9"/>
      <c r="E208" s="9"/>
      <c r="F208" s="11"/>
      <c r="G208" s="11"/>
      <c r="H208" s="9"/>
      <c r="I208" s="9"/>
      <c r="J208" s="12"/>
      <c r="K208" s="12"/>
      <c r="L208" s="12" t="str">
        <f aca="false">IF(A208="","",IF(I208="はい",IF(AND(ISNUMBER(J208),ISNUMBER(K208)),K208-J208,""),""))</f>
        <v/>
      </c>
      <c r="M208" s="9"/>
      <c r="N208" s="11"/>
      <c r="O208" s="13"/>
    </row>
    <row r="209" customFormat="false" ht="15.75" hidden="false" customHeight="false" outlineLevel="0" collapsed="false">
      <c r="A209" s="10"/>
      <c r="B209" s="11"/>
      <c r="C209" s="11"/>
      <c r="D209" s="9"/>
      <c r="E209" s="9"/>
      <c r="F209" s="11"/>
      <c r="G209" s="11"/>
      <c r="H209" s="9"/>
      <c r="I209" s="9"/>
      <c r="J209" s="12"/>
      <c r="K209" s="12"/>
      <c r="L209" s="12" t="str">
        <f aca="false">IF(A209="","",IF(I209="はい",IF(AND(ISNUMBER(J209),ISNUMBER(K209)),K209-J209,""),""))</f>
        <v/>
      </c>
      <c r="M209" s="9"/>
      <c r="N209" s="11"/>
      <c r="O209" s="13"/>
    </row>
    <row r="210" customFormat="false" ht="15.75" hidden="false" customHeight="false" outlineLevel="0" collapsed="false">
      <c r="A210" s="10"/>
      <c r="B210" s="11"/>
      <c r="C210" s="11"/>
      <c r="D210" s="9"/>
      <c r="E210" s="9"/>
      <c r="F210" s="11"/>
      <c r="G210" s="11"/>
      <c r="H210" s="9"/>
      <c r="I210" s="9"/>
      <c r="J210" s="12"/>
      <c r="K210" s="12"/>
      <c r="L210" s="12" t="str">
        <f aca="false">IF(A210="","",IF(I210="はい",IF(AND(ISNUMBER(J210),ISNUMBER(K210)),K210-J210,""),""))</f>
        <v/>
      </c>
      <c r="M210" s="9"/>
      <c r="N210" s="11"/>
      <c r="O210" s="13"/>
    </row>
    <row r="211" customFormat="false" ht="15.75" hidden="false" customHeight="false" outlineLevel="0" collapsed="false">
      <c r="A211" s="10"/>
      <c r="B211" s="11"/>
      <c r="C211" s="11"/>
      <c r="D211" s="9"/>
      <c r="E211" s="9"/>
      <c r="F211" s="11"/>
      <c r="G211" s="11"/>
      <c r="H211" s="9"/>
      <c r="I211" s="9"/>
      <c r="J211" s="12"/>
      <c r="K211" s="12"/>
      <c r="L211" s="12" t="str">
        <f aca="false">IF(A211="","",IF(I211="はい",IF(AND(ISNUMBER(J211),ISNUMBER(K211)),K211-J211,""),""))</f>
        <v/>
      </c>
      <c r="M211" s="9"/>
      <c r="N211" s="11"/>
      <c r="O211" s="13"/>
    </row>
    <row r="212" customFormat="false" ht="15.75" hidden="false" customHeight="false" outlineLevel="0" collapsed="false">
      <c r="A212" s="10"/>
      <c r="B212" s="11"/>
      <c r="C212" s="11"/>
      <c r="D212" s="9"/>
      <c r="E212" s="9"/>
      <c r="F212" s="11"/>
      <c r="G212" s="11"/>
      <c r="H212" s="9"/>
      <c r="I212" s="9"/>
      <c r="J212" s="12"/>
      <c r="K212" s="12"/>
      <c r="L212" s="12" t="str">
        <f aca="false">IF(A212="","",IF(I212="はい",IF(AND(ISNUMBER(J212),ISNUMBER(K212)),K212-J212,""),""))</f>
        <v/>
      </c>
      <c r="M212" s="9"/>
      <c r="N212" s="11"/>
      <c r="O212" s="13"/>
    </row>
    <row r="213" customFormat="false" ht="15.75" hidden="false" customHeight="false" outlineLevel="0" collapsed="false">
      <c r="A213" s="10"/>
      <c r="B213" s="11"/>
      <c r="C213" s="11"/>
      <c r="D213" s="9"/>
      <c r="E213" s="9"/>
      <c r="F213" s="11"/>
      <c r="G213" s="11"/>
      <c r="H213" s="9"/>
      <c r="I213" s="9"/>
      <c r="J213" s="12"/>
      <c r="K213" s="12"/>
      <c r="L213" s="12" t="str">
        <f aca="false">IF(A213="","",IF(I213="はい",IF(AND(ISNUMBER(J213),ISNUMBER(K213)),K213-J213,""),""))</f>
        <v/>
      </c>
      <c r="M213" s="9"/>
      <c r="N213" s="11"/>
      <c r="O213" s="13"/>
    </row>
    <row r="214" customFormat="false" ht="15.75" hidden="false" customHeight="false" outlineLevel="0" collapsed="false">
      <c r="A214" s="10"/>
      <c r="B214" s="11"/>
      <c r="C214" s="11"/>
      <c r="D214" s="9"/>
      <c r="E214" s="9"/>
      <c r="F214" s="11"/>
      <c r="G214" s="11"/>
      <c r="H214" s="9"/>
      <c r="I214" s="9"/>
      <c r="J214" s="12"/>
      <c r="K214" s="12"/>
      <c r="L214" s="12" t="str">
        <f aca="false">IF(A214="","",IF(I214="はい",IF(AND(ISNUMBER(J214),ISNUMBER(K214)),K214-J214,""),""))</f>
        <v/>
      </c>
      <c r="M214" s="9"/>
      <c r="N214" s="11"/>
      <c r="O214" s="13"/>
    </row>
    <row r="215" customFormat="false" ht="15.75" hidden="false" customHeight="false" outlineLevel="0" collapsed="false">
      <c r="A215" s="10"/>
      <c r="B215" s="11"/>
      <c r="C215" s="11"/>
      <c r="D215" s="9"/>
      <c r="E215" s="9"/>
      <c r="F215" s="11"/>
      <c r="G215" s="11"/>
      <c r="H215" s="9"/>
      <c r="I215" s="9"/>
      <c r="J215" s="12"/>
      <c r="K215" s="12"/>
      <c r="L215" s="12" t="str">
        <f aca="false">IF(A215="","",IF(I215="はい",IF(AND(ISNUMBER(J215),ISNUMBER(K215)),K215-J215,""),""))</f>
        <v/>
      </c>
      <c r="M215" s="9"/>
      <c r="N215" s="11"/>
      <c r="O215" s="13"/>
    </row>
    <row r="216" customFormat="false" ht="15.75" hidden="false" customHeight="false" outlineLevel="0" collapsed="false">
      <c r="A216" s="10"/>
      <c r="B216" s="11"/>
      <c r="C216" s="11"/>
      <c r="D216" s="9"/>
      <c r="E216" s="9"/>
      <c r="F216" s="11"/>
      <c r="G216" s="11"/>
      <c r="H216" s="9"/>
      <c r="I216" s="9"/>
      <c r="J216" s="12"/>
      <c r="K216" s="12"/>
      <c r="L216" s="12" t="str">
        <f aca="false">IF(A216="","",IF(I216="はい",IF(AND(ISNUMBER(J216),ISNUMBER(K216)),K216-J216,""),""))</f>
        <v/>
      </c>
      <c r="M216" s="9"/>
      <c r="N216" s="11"/>
      <c r="O216" s="13"/>
    </row>
    <row r="217" customFormat="false" ht="15.75" hidden="false" customHeight="false" outlineLevel="0" collapsed="false">
      <c r="A217" s="10"/>
      <c r="B217" s="11"/>
      <c r="C217" s="11"/>
      <c r="D217" s="9"/>
      <c r="E217" s="9"/>
      <c r="F217" s="11"/>
      <c r="G217" s="11"/>
      <c r="H217" s="9"/>
      <c r="I217" s="9"/>
      <c r="J217" s="12"/>
      <c r="K217" s="12"/>
      <c r="L217" s="12" t="str">
        <f aca="false">IF(A217="","",IF(I217="はい",IF(AND(ISNUMBER(J217),ISNUMBER(K217)),K217-J217,""),""))</f>
        <v/>
      </c>
      <c r="M217" s="9"/>
      <c r="N217" s="11"/>
      <c r="O217" s="13"/>
    </row>
    <row r="218" customFormat="false" ht="15.75" hidden="false" customHeight="false" outlineLevel="0" collapsed="false">
      <c r="A218" s="10"/>
      <c r="B218" s="11"/>
      <c r="C218" s="11"/>
      <c r="D218" s="9"/>
      <c r="E218" s="9"/>
      <c r="F218" s="11"/>
      <c r="G218" s="11"/>
      <c r="H218" s="9"/>
      <c r="I218" s="9"/>
      <c r="J218" s="12"/>
      <c r="K218" s="12"/>
      <c r="L218" s="12" t="str">
        <f aca="false">IF(A218="","",IF(I218="はい",IF(AND(ISNUMBER(J218),ISNUMBER(K218)),K218-J218,""),""))</f>
        <v/>
      </c>
      <c r="M218" s="9"/>
      <c r="N218" s="11"/>
      <c r="O218" s="13"/>
    </row>
    <row r="219" customFormat="false" ht="15.75" hidden="false" customHeight="false" outlineLevel="0" collapsed="false">
      <c r="A219" s="10"/>
      <c r="B219" s="11"/>
      <c r="C219" s="11"/>
      <c r="D219" s="9"/>
      <c r="E219" s="9"/>
      <c r="F219" s="11"/>
      <c r="G219" s="11"/>
      <c r="H219" s="9"/>
      <c r="I219" s="9"/>
      <c r="J219" s="12"/>
      <c r="K219" s="12"/>
      <c r="L219" s="12" t="str">
        <f aca="false">IF(A219="","",IF(I219="はい",IF(AND(ISNUMBER(J219),ISNUMBER(K219)),K219-J219,""),""))</f>
        <v/>
      </c>
      <c r="M219" s="9"/>
      <c r="N219" s="11"/>
      <c r="O219" s="13"/>
    </row>
    <row r="220" customFormat="false" ht="15.75" hidden="false" customHeight="false" outlineLevel="0" collapsed="false">
      <c r="A220" s="10"/>
      <c r="B220" s="11"/>
      <c r="C220" s="11"/>
      <c r="D220" s="9"/>
      <c r="E220" s="9"/>
      <c r="F220" s="11"/>
      <c r="G220" s="11"/>
      <c r="H220" s="9"/>
      <c r="I220" s="9"/>
      <c r="J220" s="12"/>
      <c r="K220" s="12"/>
      <c r="L220" s="12" t="str">
        <f aca="false">IF(A220="","",IF(I220="はい",IF(AND(ISNUMBER(J220),ISNUMBER(K220)),K220-J220,""),""))</f>
        <v/>
      </c>
      <c r="M220" s="9"/>
      <c r="N220" s="11"/>
      <c r="O220" s="13"/>
    </row>
    <row r="221" customFormat="false" ht="15.75" hidden="false" customHeight="false" outlineLevel="0" collapsed="false">
      <c r="A221" s="10"/>
      <c r="B221" s="11"/>
      <c r="C221" s="11"/>
      <c r="D221" s="9"/>
      <c r="E221" s="9"/>
      <c r="F221" s="11"/>
      <c r="G221" s="11"/>
      <c r="H221" s="9"/>
      <c r="I221" s="9"/>
      <c r="J221" s="12"/>
      <c r="K221" s="12"/>
      <c r="L221" s="12" t="str">
        <f aca="false">IF(A221="","",IF(I221="はい",IF(AND(ISNUMBER(J221),ISNUMBER(K221)),K221-J221,""),""))</f>
        <v/>
      </c>
      <c r="M221" s="9"/>
      <c r="N221" s="11"/>
      <c r="O221" s="13"/>
    </row>
    <row r="222" customFormat="false" ht="15.75" hidden="false" customHeight="false" outlineLevel="0" collapsed="false">
      <c r="A222" s="10"/>
      <c r="B222" s="11"/>
      <c r="C222" s="11"/>
      <c r="D222" s="9"/>
      <c r="E222" s="9"/>
      <c r="F222" s="11"/>
      <c r="G222" s="11"/>
      <c r="H222" s="9"/>
      <c r="I222" s="9"/>
      <c r="J222" s="12"/>
      <c r="K222" s="12"/>
      <c r="L222" s="12" t="str">
        <f aca="false">IF(A222="","",IF(I222="はい",IF(AND(ISNUMBER(J222),ISNUMBER(K222)),K222-J222,""),""))</f>
        <v/>
      </c>
      <c r="M222" s="9"/>
      <c r="N222" s="11"/>
      <c r="O222" s="13"/>
    </row>
    <row r="223" customFormat="false" ht="15.75" hidden="false" customHeight="false" outlineLevel="0" collapsed="false">
      <c r="A223" s="10"/>
      <c r="B223" s="11"/>
      <c r="C223" s="11"/>
      <c r="D223" s="9"/>
      <c r="E223" s="9"/>
      <c r="F223" s="11"/>
      <c r="G223" s="11"/>
      <c r="H223" s="9"/>
      <c r="I223" s="9"/>
      <c r="J223" s="12"/>
      <c r="K223" s="12"/>
      <c r="L223" s="12" t="str">
        <f aca="false">IF(A223="","",IF(I223="はい",IF(AND(ISNUMBER(J223),ISNUMBER(K223)),K223-J223,""),""))</f>
        <v/>
      </c>
      <c r="M223" s="9"/>
      <c r="N223" s="11"/>
      <c r="O223" s="13"/>
    </row>
    <row r="224" customFormat="false" ht="15.75" hidden="false" customHeight="false" outlineLevel="0" collapsed="false">
      <c r="A224" s="10"/>
      <c r="B224" s="11"/>
      <c r="C224" s="11"/>
      <c r="D224" s="9"/>
      <c r="E224" s="9"/>
      <c r="F224" s="11"/>
      <c r="G224" s="11"/>
      <c r="H224" s="9"/>
      <c r="I224" s="9"/>
      <c r="J224" s="12"/>
      <c r="K224" s="12"/>
      <c r="L224" s="12" t="str">
        <f aca="false">IF(A224="","",IF(I224="はい",IF(AND(ISNUMBER(J224),ISNUMBER(K224)),K224-J224,""),""))</f>
        <v/>
      </c>
      <c r="M224" s="9"/>
      <c r="N224" s="11"/>
      <c r="O224" s="13"/>
    </row>
    <row r="225" customFormat="false" ht="15.75" hidden="false" customHeight="false" outlineLevel="0" collapsed="false">
      <c r="A225" s="10"/>
      <c r="B225" s="11"/>
      <c r="C225" s="11"/>
      <c r="D225" s="9"/>
      <c r="E225" s="9"/>
      <c r="F225" s="11"/>
      <c r="G225" s="11"/>
      <c r="H225" s="9"/>
      <c r="I225" s="9"/>
      <c r="J225" s="12"/>
      <c r="K225" s="12"/>
      <c r="L225" s="12" t="str">
        <f aca="false">IF(A225="","",IF(I225="はい",IF(AND(ISNUMBER(J225),ISNUMBER(K225)),K225-J225,""),""))</f>
        <v/>
      </c>
      <c r="M225" s="9"/>
      <c r="N225" s="11"/>
      <c r="O225" s="13"/>
    </row>
    <row r="226" customFormat="false" ht="15.75" hidden="false" customHeight="false" outlineLevel="0" collapsed="false">
      <c r="A226" s="10"/>
      <c r="B226" s="11"/>
      <c r="C226" s="11"/>
      <c r="D226" s="9"/>
      <c r="E226" s="9"/>
      <c r="F226" s="11"/>
      <c r="G226" s="11"/>
      <c r="H226" s="9"/>
      <c r="I226" s="9"/>
      <c r="J226" s="12"/>
      <c r="K226" s="12"/>
      <c r="L226" s="12" t="str">
        <f aca="false">IF(A226="","",IF(I226="はい",IF(AND(ISNUMBER(J226),ISNUMBER(K226)),K226-J226,""),""))</f>
        <v/>
      </c>
      <c r="M226" s="9"/>
      <c r="N226" s="11"/>
      <c r="O226" s="13"/>
    </row>
    <row r="227" customFormat="false" ht="15.75" hidden="false" customHeight="false" outlineLevel="0" collapsed="false">
      <c r="A227" s="10"/>
      <c r="B227" s="11"/>
      <c r="C227" s="11"/>
      <c r="D227" s="9"/>
      <c r="E227" s="9"/>
      <c r="F227" s="11"/>
      <c r="G227" s="11"/>
      <c r="H227" s="9"/>
      <c r="I227" s="9"/>
      <c r="J227" s="12"/>
      <c r="K227" s="12"/>
      <c r="L227" s="12" t="str">
        <f aca="false">IF(A227="","",IF(I227="はい",IF(AND(ISNUMBER(J227),ISNUMBER(K227)),K227-J227,""),""))</f>
        <v/>
      </c>
      <c r="M227" s="9"/>
      <c r="N227" s="11"/>
      <c r="O227" s="13"/>
    </row>
    <row r="228" customFormat="false" ht="15.75" hidden="false" customHeight="false" outlineLevel="0" collapsed="false">
      <c r="A228" s="10"/>
      <c r="B228" s="11"/>
      <c r="C228" s="11"/>
      <c r="D228" s="9"/>
      <c r="E228" s="9"/>
      <c r="F228" s="11"/>
      <c r="G228" s="11"/>
      <c r="H228" s="9"/>
      <c r="I228" s="9"/>
      <c r="J228" s="12"/>
      <c r="K228" s="12"/>
      <c r="L228" s="12" t="str">
        <f aca="false">IF(A228="","",IF(I228="はい",IF(AND(ISNUMBER(J228),ISNUMBER(K228)),K228-J228,""),""))</f>
        <v/>
      </c>
      <c r="M228" s="9"/>
      <c r="N228" s="11"/>
      <c r="O228" s="13"/>
    </row>
    <row r="229" customFormat="false" ht="15.75" hidden="false" customHeight="false" outlineLevel="0" collapsed="false">
      <c r="A229" s="10"/>
      <c r="B229" s="11"/>
      <c r="C229" s="11"/>
      <c r="D229" s="9"/>
      <c r="E229" s="9"/>
      <c r="F229" s="11"/>
      <c r="G229" s="11"/>
      <c r="H229" s="9"/>
      <c r="I229" s="9"/>
      <c r="J229" s="12"/>
      <c r="K229" s="12"/>
      <c r="L229" s="12" t="str">
        <f aca="false">IF(A229="","",IF(I229="はい",IF(AND(ISNUMBER(J229),ISNUMBER(K229)),K229-J229,""),""))</f>
        <v/>
      </c>
      <c r="M229" s="9"/>
      <c r="N229" s="11"/>
      <c r="O229" s="13"/>
    </row>
    <row r="230" customFormat="false" ht="15.75" hidden="false" customHeight="false" outlineLevel="0" collapsed="false">
      <c r="A230" s="10"/>
      <c r="B230" s="11"/>
      <c r="C230" s="11"/>
      <c r="D230" s="9"/>
      <c r="E230" s="9"/>
      <c r="F230" s="11"/>
      <c r="G230" s="11"/>
      <c r="H230" s="9"/>
      <c r="I230" s="9"/>
      <c r="J230" s="12"/>
      <c r="K230" s="12"/>
      <c r="L230" s="12" t="str">
        <f aca="false">IF(A230="","",IF(I230="はい",IF(AND(ISNUMBER(J230),ISNUMBER(K230)),K230-J230,""),""))</f>
        <v/>
      </c>
      <c r="M230" s="9"/>
      <c r="N230" s="11"/>
      <c r="O230" s="13"/>
    </row>
    <row r="231" customFormat="false" ht="15.75" hidden="false" customHeight="false" outlineLevel="0" collapsed="false">
      <c r="A231" s="10"/>
      <c r="B231" s="11"/>
      <c r="C231" s="11"/>
      <c r="D231" s="9"/>
      <c r="E231" s="9"/>
      <c r="F231" s="11"/>
      <c r="G231" s="11"/>
      <c r="H231" s="9"/>
      <c r="I231" s="9"/>
      <c r="J231" s="12"/>
      <c r="K231" s="12"/>
      <c r="L231" s="12" t="str">
        <f aca="false">IF(A231="","",IF(I231="はい",IF(AND(ISNUMBER(J231),ISNUMBER(K231)),K231-J231,""),""))</f>
        <v/>
      </c>
      <c r="M231" s="9"/>
      <c r="N231" s="11"/>
      <c r="O231" s="13"/>
    </row>
    <row r="232" customFormat="false" ht="15.75" hidden="false" customHeight="false" outlineLevel="0" collapsed="false">
      <c r="A232" s="10"/>
      <c r="B232" s="11"/>
      <c r="C232" s="11"/>
      <c r="D232" s="9"/>
      <c r="E232" s="9"/>
      <c r="F232" s="11"/>
      <c r="G232" s="11"/>
      <c r="H232" s="9"/>
      <c r="I232" s="9"/>
      <c r="J232" s="12"/>
      <c r="K232" s="12"/>
      <c r="L232" s="12" t="str">
        <f aca="false">IF(A232="","",IF(I232="はい",IF(AND(ISNUMBER(J232),ISNUMBER(K232)),K232-J232,""),""))</f>
        <v/>
      </c>
      <c r="M232" s="9"/>
      <c r="N232" s="11"/>
      <c r="O232" s="13"/>
    </row>
    <row r="233" customFormat="false" ht="15.75" hidden="false" customHeight="false" outlineLevel="0" collapsed="false">
      <c r="A233" s="10"/>
      <c r="B233" s="11"/>
      <c r="C233" s="11"/>
      <c r="D233" s="9"/>
      <c r="E233" s="9"/>
      <c r="F233" s="11"/>
      <c r="G233" s="11"/>
      <c r="H233" s="9"/>
      <c r="I233" s="9"/>
      <c r="J233" s="12"/>
      <c r="K233" s="12"/>
      <c r="L233" s="12" t="str">
        <f aca="false">IF(A233="","",IF(I233="はい",IF(AND(ISNUMBER(J233),ISNUMBER(K233)),K233-J233,""),""))</f>
        <v/>
      </c>
      <c r="M233" s="9"/>
      <c r="N233" s="11"/>
      <c r="O233" s="13"/>
    </row>
    <row r="234" customFormat="false" ht="15.75" hidden="false" customHeight="false" outlineLevel="0" collapsed="false">
      <c r="A234" s="10"/>
      <c r="B234" s="11"/>
      <c r="C234" s="11"/>
      <c r="D234" s="9"/>
      <c r="E234" s="9"/>
      <c r="F234" s="11"/>
      <c r="G234" s="11"/>
      <c r="H234" s="9"/>
      <c r="I234" s="9"/>
      <c r="J234" s="12"/>
      <c r="K234" s="12"/>
      <c r="L234" s="12" t="str">
        <f aca="false">IF(A234="","",IF(I234="はい",IF(AND(ISNUMBER(J234),ISNUMBER(K234)),K234-J234,""),""))</f>
        <v/>
      </c>
      <c r="M234" s="9"/>
      <c r="N234" s="11"/>
      <c r="O234" s="13"/>
    </row>
    <row r="235" customFormat="false" ht="15.75" hidden="false" customHeight="false" outlineLevel="0" collapsed="false">
      <c r="A235" s="10"/>
      <c r="B235" s="11"/>
      <c r="C235" s="11"/>
      <c r="D235" s="9"/>
      <c r="E235" s="9"/>
      <c r="F235" s="11"/>
      <c r="G235" s="11"/>
      <c r="H235" s="9"/>
      <c r="I235" s="9"/>
      <c r="J235" s="12"/>
      <c r="K235" s="12"/>
      <c r="L235" s="12" t="str">
        <f aca="false">IF(A235="","",IF(I235="はい",IF(AND(ISNUMBER(J235),ISNUMBER(K235)),K235-J235,""),""))</f>
        <v/>
      </c>
      <c r="M235" s="9"/>
      <c r="N235" s="11"/>
      <c r="O235" s="13"/>
    </row>
    <row r="236" customFormat="false" ht="15.75" hidden="false" customHeight="false" outlineLevel="0" collapsed="false">
      <c r="A236" s="10"/>
      <c r="B236" s="11"/>
      <c r="C236" s="11"/>
      <c r="D236" s="9"/>
      <c r="E236" s="9"/>
      <c r="F236" s="11"/>
      <c r="G236" s="11"/>
      <c r="H236" s="9"/>
      <c r="I236" s="9"/>
      <c r="J236" s="12"/>
      <c r="K236" s="12"/>
      <c r="L236" s="12" t="str">
        <f aca="false">IF(A236="","",IF(I236="はい",IF(AND(ISNUMBER(J236),ISNUMBER(K236)),K236-J236,""),""))</f>
        <v/>
      </c>
      <c r="M236" s="9"/>
      <c r="N236" s="11"/>
      <c r="O236" s="13"/>
    </row>
    <row r="237" customFormat="false" ht="15.75" hidden="false" customHeight="false" outlineLevel="0" collapsed="false">
      <c r="A237" s="10"/>
      <c r="B237" s="11"/>
      <c r="C237" s="11"/>
      <c r="D237" s="9"/>
      <c r="E237" s="9"/>
      <c r="F237" s="11"/>
      <c r="G237" s="11"/>
      <c r="H237" s="9"/>
      <c r="I237" s="9"/>
      <c r="J237" s="12"/>
      <c r="K237" s="12"/>
      <c r="L237" s="12" t="str">
        <f aca="false">IF(A237="","",IF(I237="はい",IF(AND(ISNUMBER(J237),ISNUMBER(K237)),K237-J237,""),""))</f>
        <v/>
      </c>
      <c r="M237" s="9"/>
      <c r="N237" s="11"/>
      <c r="O237" s="13"/>
    </row>
    <row r="238" customFormat="false" ht="15.75" hidden="false" customHeight="false" outlineLevel="0" collapsed="false">
      <c r="A238" s="10"/>
      <c r="B238" s="11"/>
      <c r="C238" s="11"/>
      <c r="D238" s="9"/>
      <c r="E238" s="9"/>
      <c r="F238" s="11"/>
      <c r="G238" s="11"/>
      <c r="H238" s="9"/>
      <c r="I238" s="9"/>
      <c r="J238" s="12"/>
      <c r="K238" s="12"/>
      <c r="L238" s="12" t="str">
        <f aca="false">IF(A238="","",IF(I238="はい",IF(AND(ISNUMBER(J238),ISNUMBER(K238)),K238-J238,""),""))</f>
        <v/>
      </c>
      <c r="M238" s="9"/>
      <c r="N238" s="11"/>
      <c r="O238" s="13"/>
    </row>
    <row r="239" customFormat="false" ht="15.75" hidden="false" customHeight="false" outlineLevel="0" collapsed="false">
      <c r="A239" s="10"/>
      <c r="B239" s="11"/>
      <c r="C239" s="11"/>
      <c r="D239" s="9"/>
      <c r="E239" s="9"/>
      <c r="F239" s="11"/>
      <c r="G239" s="11"/>
      <c r="H239" s="9"/>
      <c r="I239" s="9"/>
      <c r="J239" s="12"/>
      <c r="K239" s="12"/>
      <c r="L239" s="12" t="str">
        <f aca="false">IF(A239="","",IF(I239="はい",IF(AND(ISNUMBER(J239),ISNUMBER(K239)),K239-J239,""),""))</f>
        <v/>
      </c>
      <c r="M239" s="9"/>
      <c r="N239" s="11"/>
      <c r="O239" s="13"/>
    </row>
    <row r="240" customFormat="false" ht="15.75" hidden="false" customHeight="false" outlineLevel="0" collapsed="false">
      <c r="A240" s="10"/>
      <c r="B240" s="11"/>
      <c r="C240" s="11"/>
      <c r="D240" s="9"/>
      <c r="E240" s="9"/>
      <c r="F240" s="11"/>
      <c r="G240" s="11"/>
      <c r="H240" s="9"/>
      <c r="I240" s="9"/>
      <c r="J240" s="12"/>
      <c r="K240" s="12"/>
      <c r="L240" s="12" t="str">
        <f aca="false">IF(A240="","",IF(I240="はい",IF(AND(ISNUMBER(J240),ISNUMBER(K240)),K240-J240,""),""))</f>
        <v/>
      </c>
      <c r="M240" s="9"/>
      <c r="N240" s="11"/>
      <c r="O240" s="13"/>
    </row>
    <row r="241" customFormat="false" ht="15.75" hidden="false" customHeight="false" outlineLevel="0" collapsed="false">
      <c r="A241" s="10"/>
      <c r="B241" s="11"/>
      <c r="C241" s="11"/>
      <c r="D241" s="9"/>
      <c r="E241" s="9"/>
      <c r="F241" s="11"/>
      <c r="G241" s="11"/>
      <c r="H241" s="9"/>
      <c r="I241" s="9"/>
      <c r="J241" s="12"/>
      <c r="K241" s="12"/>
      <c r="L241" s="12" t="str">
        <f aca="false">IF(A241="","",IF(I241="はい",IF(AND(ISNUMBER(J241),ISNUMBER(K241)),K241-J241,""),""))</f>
        <v/>
      </c>
      <c r="M241" s="9"/>
      <c r="N241" s="11"/>
      <c r="O241" s="13"/>
    </row>
    <row r="242" customFormat="false" ht="15.75" hidden="false" customHeight="false" outlineLevel="0" collapsed="false">
      <c r="A242" s="10"/>
      <c r="B242" s="11"/>
      <c r="C242" s="11"/>
      <c r="D242" s="9"/>
      <c r="E242" s="9"/>
      <c r="F242" s="11"/>
      <c r="G242" s="11"/>
      <c r="H242" s="9"/>
      <c r="I242" s="9"/>
      <c r="J242" s="12"/>
      <c r="K242" s="12"/>
      <c r="L242" s="12" t="str">
        <f aca="false">IF(A242="","",IF(I242="はい",IF(AND(ISNUMBER(J242),ISNUMBER(K242)),K242-J242,""),""))</f>
        <v/>
      </c>
      <c r="M242" s="9"/>
      <c r="N242" s="11"/>
      <c r="O242" s="13"/>
    </row>
    <row r="243" customFormat="false" ht="15.75" hidden="false" customHeight="false" outlineLevel="0" collapsed="false">
      <c r="A243" s="10"/>
      <c r="B243" s="11"/>
      <c r="C243" s="11"/>
      <c r="D243" s="9"/>
      <c r="E243" s="9"/>
      <c r="F243" s="11"/>
      <c r="G243" s="11"/>
      <c r="H243" s="9"/>
      <c r="I243" s="9"/>
      <c r="J243" s="12"/>
      <c r="K243" s="12"/>
      <c r="L243" s="12" t="str">
        <f aca="false">IF(A243="","",IF(I243="はい",IF(AND(ISNUMBER(J243),ISNUMBER(K243)),K243-J243,""),""))</f>
        <v/>
      </c>
      <c r="M243" s="9"/>
      <c r="N243" s="11"/>
      <c r="O243" s="13"/>
    </row>
    <row r="244" customFormat="false" ht="15.75" hidden="false" customHeight="false" outlineLevel="0" collapsed="false">
      <c r="A244" s="10"/>
      <c r="B244" s="11"/>
      <c r="C244" s="11"/>
      <c r="D244" s="9"/>
      <c r="E244" s="9"/>
      <c r="F244" s="11"/>
      <c r="G244" s="11"/>
      <c r="H244" s="9"/>
      <c r="I244" s="9"/>
      <c r="J244" s="12"/>
      <c r="K244" s="12"/>
      <c r="L244" s="12" t="str">
        <f aca="false">IF(A244="","",IF(I244="はい",IF(AND(ISNUMBER(J244),ISNUMBER(K244)),K244-J244,""),""))</f>
        <v/>
      </c>
      <c r="M244" s="9"/>
      <c r="N244" s="11"/>
      <c r="O244" s="13"/>
    </row>
    <row r="245" customFormat="false" ht="15.75" hidden="false" customHeight="false" outlineLevel="0" collapsed="false">
      <c r="A245" s="10"/>
      <c r="B245" s="11"/>
      <c r="C245" s="11"/>
      <c r="D245" s="9"/>
      <c r="E245" s="9"/>
      <c r="F245" s="11"/>
      <c r="G245" s="11"/>
      <c r="H245" s="9"/>
      <c r="I245" s="9"/>
      <c r="J245" s="12"/>
      <c r="K245" s="12"/>
      <c r="L245" s="12" t="str">
        <f aca="false">IF(A245="","",IF(I245="はい",IF(AND(ISNUMBER(J245),ISNUMBER(K245)),K245-J245,""),""))</f>
        <v/>
      </c>
      <c r="M245" s="9"/>
      <c r="N245" s="11"/>
      <c r="O245" s="13"/>
    </row>
    <row r="246" customFormat="false" ht="15.75" hidden="false" customHeight="false" outlineLevel="0" collapsed="false">
      <c r="A246" s="10"/>
      <c r="B246" s="11"/>
      <c r="C246" s="11"/>
      <c r="D246" s="9"/>
      <c r="E246" s="9"/>
      <c r="F246" s="11"/>
      <c r="G246" s="11"/>
      <c r="H246" s="9"/>
      <c r="I246" s="9"/>
      <c r="J246" s="12"/>
      <c r="K246" s="12"/>
      <c r="L246" s="12" t="str">
        <f aca="false">IF(A246="","",IF(I246="はい",IF(AND(ISNUMBER(J246),ISNUMBER(K246)),K246-J246,""),""))</f>
        <v/>
      </c>
      <c r="M246" s="9"/>
      <c r="N246" s="11"/>
      <c r="O246" s="13"/>
    </row>
    <row r="247" customFormat="false" ht="15.75" hidden="false" customHeight="false" outlineLevel="0" collapsed="false">
      <c r="A247" s="10"/>
      <c r="B247" s="11"/>
      <c r="C247" s="11"/>
      <c r="D247" s="9"/>
      <c r="E247" s="9"/>
      <c r="F247" s="11"/>
      <c r="G247" s="11"/>
      <c r="H247" s="9"/>
      <c r="I247" s="9"/>
      <c r="J247" s="12"/>
      <c r="K247" s="12"/>
      <c r="L247" s="12" t="str">
        <f aca="false">IF(A247="","",IF(I247="はい",IF(AND(ISNUMBER(J247),ISNUMBER(K247)),K247-J247,""),""))</f>
        <v/>
      </c>
      <c r="M247" s="9"/>
      <c r="N247" s="11"/>
      <c r="O247" s="13"/>
    </row>
    <row r="248" customFormat="false" ht="15.75" hidden="false" customHeight="false" outlineLevel="0" collapsed="false">
      <c r="A248" s="10"/>
      <c r="B248" s="11"/>
      <c r="C248" s="11"/>
      <c r="D248" s="9"/>
      <c r="E248" s="9"/>
      <c r="F248" s="11"/>
      <c r="G248" s="11"/>
      <c r="H248" s="9"/>
      <c r="I248" s="9"/>
      <c r="J248" s="12"/>
      <c r="K248" s="12"/>
      <c r="L248" s="12" t="str">
        <f aca="false">IF(A248="","",IF(I248="はい",IF(AND(ISNUMBER(J248),ISNUMBER(K248)),K248-J248,""),""))</f>
        <v/>
      </c>
      <c r="M248" s="9"/>
      <c r="N248" s="11"/>
      <c r="O248" s="13"/>
    </row>
    <row r="249" customFormat="false" ht="15.75" hidden="false" customHeight="false" outlineLevel="0" collapsed="false">
      <c r="A249" s="10"/>
      <c r="B249" s="11"/>
      <c r="C249" s="11"/>
      <c r="D249" s="9"/>
      <c r="E249" s="9"/>
      <c r="F249" s="11"/>
      <c r="G249" s="11"/>
      <c r="H249" s="9"/>
      <c r="I249" s="9"/>
      <c r="J249" s="12"/>
      <c r="K249" s="12"/>
      <c r="L249" s="12" t="str">
        <f aca="false">IF(A249="","",IF(I249="はい",IF(AND(ISNUMBER(J249),ISNUMBER(K249)),K249-J249,""),""))</f>
        <v/>
      </c>
      <c r="M249" s="9"/>
      <c r="N249" s="11"/>
      <c r="O249" s="13"/>
    </row>
    <row r="250" customFormat="false" ht="15.75" hidden="false" customHeight="false" outlineLevel="0" collapsed="false">
      <c r="A250" s="10"/>
      <c r="B250" s="11"/>
      <c r="C250" s="11"/>
      <c r="D250" s="9"/>
      <c r="E250" s="9"/>
      <c r="F250" s="11"/>
      <c r="G250" s="11"/>
      <c r="H250" s="9"/>
      <c r="I250" s="9"/>
      <c r="J250" s="12"/>
      <c r="K250" s="12"/>
      <c r="L250" s="12" t="str">
        <f aca="false">IF(A250="","",IF(I250="はい",IF(AND(ISNUMBER(J250),ISNUMBER(K250)),K250-J250,""),""))</f>
        <v/>
      </c>
      <c r="M250" s="9"/>
      <c r="N250" s="11"/>
      <c r="O250" s="13"/>
    </row>
    <row r="251" customFormat="false" ht="15.75" hidden="false" customHeight="false" outlineLevel="0" collapsed="false">
      <c r="A251" s="10"/>
      <c r="B251" s="11"/>
      <c r="C251" s="11"/>
      <c r="D251" s="9"/>
      <c r="E251" s="9"/>
      <c r="F251" s="11"/>
      <c r="G251" s="11"/>
      <c r="H251" s="9"/>
      <c r="I251" s="9"/>
      <c r="J251" s="12"/>
      <c r="K251" s="12"/>
      <c r="L251" s="12" t="str">
        <f aca="false">IF(A251="","",IF(I251="はい",IF(AND(ISNUMBER(J251),ISNUMBER(K251)),K251-J251,""),""))</f>
        <v/>
      </c>
      <c r="M251" s="9"/>
      <c r="N251" s="11"/>
      <c r="O251" s="13"/>
    </row>
    <row r="252" customFormat="false" ht="15.75" hidden="false" customHeight="false" outlineLevel="0" collapsed="false">
      <c r="A252" s="10"/>
      <c r="B252" s="11"/>
      <c r="C252" s="11"/>
      <c r="D252" s="9"/>
      <c r="E252" s="9"/>
      <c r="F252" s="11"/>
      <c r="G252" s="11"/>
      <c r="H252" s="9"/>
      <c r="I252" s="9"/>
      <c r="J252" s="12"/>
      <c r="K252" s="12"/>
      <c r="L252" s="12" t="str">
        <f aca="false">IF(A252="","",IF(I252="はい",IF(AND(ISNUMBER(J252),ISNUMBER(K252)),K252-J252,""),""))</f>
        <v/>
      </c>
      <c r="M252" s="9"/>
      <c r="N252" s="11"/>
      <c r="O252" s="13"/>
    </row>
    <row r="253" customFormat="false" ht="15.75" hidden="false" customHeight="false" outlineLevel="0" collapsed="false">
      <c r="A253" s="10"/>
      <c r="B253" s="11"/>
      <c r="C253" s="11"/>
      <c r="D253" s="9"/>
      <c r="E253" s="9"/>
      <c r="F253" s="11"/>
      <c r="G253" s="11"/>
      <c r="H253" s="9"/>
      <c r="I253" s="9"/>
      <c r="J253" s="12"/>
      <c r="K253" s="12"/>
      <c r="L253" s="12" t="str">
        <f aca="false">IF(A253="","",IF(I253="はい",IF(AND(ISNUMBER(J253),ISNUMBER(K253)),K253-J253,""),""))</f>
        <v/>
      </c>
      <c r="M253" s="9"/>
      <c r="N253" s="11"/>
      <c r="O253" s="13"/>
    </row>
    <row r="254" customFormat="false" ht="15.75" hidden="false" customHeight="false" outlineLevel="0" collapsed="false">
      <c r="A254" s="10"/>
      <c r="B254" s="11"/>
      <c r="C254" s="11"/>
      <c r="D254" s="9"/>
      <c r="E254" s="9"/>
      <c r="F254" s="11"/>
      <c r="G254" s="11"/>
      <c r="H254" s="9"/>
      <c r="I254" s="9"/>
      <c r="J254" s="12"/>
      <c r="K254" s="12"/>
      <c r="L254" s="12" t="str">
        <f aca="false">IF(A254="","",IF(I254="はい",IF(AND(ISNUMBER(J254),ISNUMBER(K254)),K254-J254,""),""))</f>
        <v/>
      </c>
      <c r="M254" s="9"/>
      <c r="N254" s="11"/>
      <c r="O254" s="13"/>
    </row>
    <row r="255" customFormat="false" ht="15.75" hidden="false" customHeight="false" outlineLevel="0" collapsed="false">
      <c r="A255" s="10"/>
      <c r="B255" s="11"/>
      <c r="C255" s="11"/>
      <c r="D255" s="9"/>
      <c r="E255" s="9"/>
      <c r="F255" s="11"/>
      <c r="G255" s="11"/>
      <c r="H255" s="9"/>
      <c r="I255" s="9"/>
      <c r="J255" s="12"/>
      <c r="K255" s="12"/>
      <c r="L255" s="12" t="str">
        <f aca="false">IF(A255="","",IF(I255="はい",IF(AND(ISNUMBER(J255),ISNUMBER(K255)),K255-J255,""),""))</f>
        <v/>
      </c>
      <c r="M255" s="9"/>
      <c r="N255" s="11"/>
      <c r="O255" s="13"/>
    </row>
    <row r="256" customFormat="false" ht="15.75" hidden="false" customHeight="false" outlineLevel="0" collapsed="false">
      <c r="A256" s="10"/>
      <c r="B256" s="11"/>
      <c r="C256" s="11"/>
      <c r="D256" s="9"/>
      <c r="E256" s="9"/>
      <c r="F256" s="11"/>
      <c r="G256" s="11"/>
      <c r="H256" s="9"/>
      <c r="I256" s="9"/>
      <c r="J256" s="12"/>
      <c r="K256" s="12"/>
      <c r="L256" s="12" t="str">
        <f aca="false">IF(A256="","",IF(I256="はい",IF(AND(ISNUMBER(J256),ISNUMBER(K256)),K256-J256,""),""))</f>
        <v/>
      </c>
      <c r="M256" s="9"/>
      <c r="N256" s="11"/>
      <c r="O256" s="13"/>
    </row>
    <row r="257" customFormat="false" ht="15.75" hidden="false" customHeight="false" outlineLevel="0" collapsed="false">
      <c r="A257" s="10"/>
      <c r="B257" s="11"/>
      <c r="C257" s="11"/>
      <c r="D257" s="9"/>
      <c r="E257" s="9"/>
      <c r="F257" s="11"/>
      <c r="G257" s="11"/>
      <c r="H257" s="9"/>
      <c r="I257" s="9"/>
      <c r="J257" s="12"/>
      <c r="K257" s="12"/>
      <c r="L257" s="12" t="str">
        <f aca="false">IF(A257="","",IF(I257="はい",IF(AND(ISNUMBER(J257),ISNUMBER(K257)),K257-J257,""),""))</f>
        <v/>
      </c>
      <c r="M257" s="9"/>
      <c r="N257" s="11"/>
      <c r="O257" s="13"/>
    </row>
    <row r="258" customFormat="false" ht="15.75" hidden="false" customHeight="false" outlineLevel="0" collapsed="false">
      <c r="A258" s="10"/>
      <c r="B258" s="11"/>
      <c r="C258" s="11"/>
      <c r="D258" s="9"/>
      <c r="E258" s="9"/>
      <c r="F258" s="11"/>
      <c r="G258" s="11"/>
      <c r="H258" s="9"/>
      <c r="I258" s="9"/>
      <c r="J258" s="12"/>
      <c r="K258" s="12"/>
      <c r="L258" s="12" t="str">
        <f aca="false">IF(A258="","",IF(I258="はい",IF(AND(ISNUMBER(J258),ISNUMBER(K258)),K258-J258,""),""))</f>
        <v/>
      </c>
      <c r="M258" s="9"/>
      <c r="N258" s="11"/>
      <c r="O258" s="13"/>
    </row>
    <row r="259" customFormat="false" ht="15.75" hidden="false" customHeight="false" outlineLevel="0" collapsed="false">
      <c r="A259" s="10"/>
      <c r="B259" s="11"/>
      <c r="C259" s="11"/>
      <c r="D259" s="9"/>
      <c r="E259" s="9"/>
      <c r="F259" s="11"/>
      <c r="G259" s="11"/>
      <c r="H259" s="9"/>
      <c r="I259" s="9"/>
      <c r="J259" s="12"/>
      <c r="K259" s="12"/>
      <c r="L259" s="12" t="str">
        <f aca="false">IF(A259="","",IF(I259="はい",IF(AND(ISNUMBER(J259),ISNUMBER(K259)),K259-J259,""),""))</f>
        <v/>
      </c>
      <c r="M259" s="9"/>
      <c r="N259" s="11"/>
      <c r="O259" s="13"/>
    </row>
    <row r="260" customFormat="false" ht="15.75" hidden="false" customHeight="false" outlineLevel="0" collapsed="false">
      <c r="A260" s="10"/>
      <c r="B260" s="11"/>
      <c r="C260" s="11"/>
      <c r="D260" s="9"/>
      <c r="E260" s="9"/>
      <c r="F260" s="11"/>
      <c r="G260" s="11"/>
      <c r="H260" s="9"/>
      <c r="I260" s="9"/>
      <c r="J260" s="12"/>
      <c r="K260" s="12"/>
      <c r="L260" s="12" t="str">
        <f aca="false">IF(A260="","",IF(I260="はい",IF(AND(ISNUMBER(J260),ISNUMBER(K260)),K260-J260,""),""))</f>
        <v/>
      </c>
      <c r="M260" s="9"/>
      <c r="N260" s="11"/>
      <c r="O260" s="13"/>
    </row>
    <row r="261" customFormat="false" ht="15.75" hidden="false" customHeight="false" outlineLevel="0" collapsed="false">
      <c r="A261" s="10"/>
      <c r="B261" s="11"/>
      <c r="C261" s="11"/>
      <c r="D261" s="9"/>
      <c r="E261" s="9"/>
      <c r="F261" s="11"/>
      <c r="G261" s="11"/>
      <c r="H261" s="9"/>
      <c r="I261" s="9"/>
      <c r="J261" s="12"/>
      <c r="K261" s="12"/>
      <c r="L261" s="12" t="str">
        <f aca="false">IF(A261="","",IF(I261="はい",IF(AND(ISNUMBER(J261),ISNUMBER(K261)),K261-J261,""),""))</f>
        <v/>
      </c>
      <c r="M261" s="9"/>
      <c r="N261" s="11"/>
      <c r="O261" s="13"/>
    </row>
    <row r="262" customFormat="false" ht="15.75" hidden="false" customHeight="false" outlineLevel="0" collapsed="false">
      <c r="A262" s="10"/>
      <c r="B262" s="11"/>
      <c r="C262" s="11"/>
      <c r="D262" s="9"/>
      <c r="E262" s="9"/>
      <c r="F262" s="11"/>
      <c r="G262" s="11"/>
      <c r="H262" s="9"/>
      <c r="I262" s="9"/>
      <c r="J262" s="12"/>
      <c r="K262" s="12"/>
      <c r="L262" s="12" t="str">
        <f aca="false">IF(A262="","",IF(I262="はい",IF(AND(ISNUMBER(J262),ISNUMBER(K262)),K262-J262,""),""))</f>
        <v/>
      </c>
      <c r="M262" s="9"/>
      <c r="N262" s="11"/>
      <c r="O262" s="13"/>
    </row>
    <row r="263" customFormat="false" ht="15.75" hidden="false" customHeight="false" outlineLevel="0" collapsed="false">
      <c r="A263" s="10"/>
      <c r="B263" s="11"/>
      <c r="C263" s="11"/>
      <c r="D263" s="9"/>
      <c r="E263" s="9"/>
      <c r="F263" s="11"/>
      <c r="G263" s="11"/>
      <c r="H263" s="9"/>
      <c r="I263" s="9"/>
      <c r="J263" s="12"/>
      <c r="K263" s="12"/>
      <c r="L263" s="12" t="str">
        <f aca="false">IF(A263="","",IF(I263="はい",IF(AND(ISNUMBER(J263),ISNUMBER(K263)),K263-J263,""),""))</f>
        <v/>
      </c>
      <c r="M263" s="9"/>
      <c r="N263" s="11"/>
      <c r="O263" s="13"/>
    </row>
    <row r="264" customFormat="false" ht="15.75" hidden="false" customHeight="false" outlineLevel="0" collapsed="false">
      <c r="A264" s="10"/>
      <c r="B264" s="11"/>
      <c r="C264" s="11"/>
      <c r="D264" s="9"/>
      <c r="E264" s="9"/>
      <c r="F264" s="11"/>
      <c r="G264" s="11"/>
      <c r="H264" s="9"/>
      <c r="I264" s="9"/>
      <c r="J264" s="12"/>
      <c r="K264" s="12"/>
      <c r="L264" s="12" t="str">
        <f aca="false">IF(A264="","",IF(I264="はい",IF(AND(ISNUMBER(J264),ISNUMBER(K264)),K264-J264,""),""))</f>
        <v/>
      </c>
      <c r="M264" s="9"/>
      <c r="N264" s="11"/>
      <c r="O264" s="13"/>
    </row>
    <row r="265" customFormat="false" ht="15.75" hidden="false" customHeight="false" outlineLevel="0" collapsed="false">
      <c r="A265" s="10"/>
      <c r="B265" s="11"/>
      <c r="C265" s="11"/>
      <c r="D265" s="9"/>
      <c r="E265" s="9"/>
      <c r="F265" s="11"/>
      <c r="G265" s="11"/>
      <c r="H265" s="9"/>
      <c r="I265" s="9"/>
      <c r="J265" s="12"/>
      <c r="K265" s="12"/>
      <c r="L265" s="12" t="str">
        <f aca="false">IF(A265="","",IF(I265="はい",IF(AND(ISNUMBER(J265),ISNUMBER(K265)),K265-J265,""),""))</f>
        <v/>
      </c>
      <c r="M265" s="9"/>
      <c r="N265" s="11"/>
      <c r="O265" s="13"/>
    </row>
    <row r="266" customFormat="false" ht="15.75" hidden="false" customHeight="false" outlineLevel="0" collapsed="false">
      <c r="A266" s="10"/>
      <c r="B266" s="11"/>
      <c r="C266" s="11"/>
      <c r="D266" s="9"/>
      <c r="E266" s="9"/>
      <c r="F266" s="11"/>
      <c r="G266" s="11"/>
      <c r="H266" s="9"/>
      <c r="I266" s="9"/>
      <c r="J266" s="12"/>
      <c r="K266" s="12"/>
      <c r="L266" s="12" t="str">
        <f aca="false">IF(A266="","",IF(I266="はい",IF(AND(ISNUMBER(J266),ISNUMBER(K266)),K266-J266,""),""))</f>
        <v/>
      </c>
      <c r="M266" s="9"/>
      <c r="N266" s="11"/>
      <c r="O266" s="13"/>
    </row>
    <row r="267" customFormat="false" ht="15.75" hidden="false" customHeight="false" outlineLevel="0" collapsed="false">
      <c r="A267" s="10"/>
      <c r="B267" s="11"/>
      <c r="C267" s="11"/>
      <c r="D267" s="9"/>
      <c r="E267" s="9"/>
      <c r="F267" s="11"/>
      <c r="G267" s="11"/>
      <c r="H267" s="9"/>
      <c r="I267" s="9"/>
      <c r="J267" s="12"/>
      <c r="K267" s="12"/>
      <c r="L267" s="12" t="str">
        <f aca="false">IF(A267="","",IF(I267="はい",IF(AND(ISNUMBER(J267),ISNUMBER(K267)),K267-J267,""),""))</f>
        <v/>
      </c>
      <c r="M267" s="9"/>
      <c r="N267" s="11"/>
      <c r="O267" s="13"/>
    </row>
    <row r="268" customFormat="false" ht="15.75" hidden="false" customHeight="false" outlineLevel="0" collapsed="false">
      <c r="A268" s="10"/>
      <c r="B268" s="11"/>
      <c r="C268" s="11"/>
      <c r="D268" s="9"/>
      <c r="E268" s="9"/>
      <c r="F268" s="11"/>
      <c r="G268" s="11"/>
      <c r="H268" s="9"/>
      <c r="I268" s="9"/>
      <c r="J268" s="12"/>
      <c r="K268" s="12"/>
      <c r="L268" s="12" t="str">
        <f aca="false">IF(A268="","",IF(I268="はい",IF(AND(ISNUMBER(J268),ISNUMBER(K268)),K268-J268,""),""))</f>
        <v/>
      </c>
      <c r="M268" s="9"/>
      <c r="N268" s="11"/>
      <c r="O268" s="13"/>
    </row>
    <row r="269" customFormat="false" ht="15.75" hidden="false" customHeight="false" outlineLevel="0" collapsed="false">
      <c r="A269" s="10"/>
      <c r="B269" s="11"/>
      <c r="C269" s="11"/>
      <c r="D269" s="9"/>
      <c r="E269" s="9"/>
      <c r="F269" s="11"/>
      <c r="G269" s="11"/>
      <c r="H269" s="9"/>
      <c r="I269" s="9"/>
      <c r="J269" s="12"/>
      <c r="K269" s="12"/>
      <c r="L269" s="12" t="str">
        <f aca="false">IF(A269="","",IF(I269="はい",IF(AND(ISNUMBER(J269),ISNUMBER(K269)),K269-J269,""),""))</f>
        <v/>
      </c>
      <c r="M269" s="9"/>
      <c r="N269" s="11"/>
      <c r="O269" s="13"/>
    </row>
    <row r="270" customFormat="false" ht="15.75" hidden="false" customHeight="false" outlineLevel="0" collapsed="false">
      <c r="A270" s="10"/>
      <c r="B270" s="11"/>
      <c r="C270" s="11"/>
      <c r="D270" s="9"/>
      <c r="E270" s="9"/>
      <c r="F270" s="11"/>
      <c r="G270" s="11"/>
      <c r="H270" s="9"/>
      <c r="I270" s="9"/>
      <c r="J270" s="12"/>
      <c r="K270" s="12"/>
      <c r="L270" s="12" t="str">
        <f aca="false">IF(A270="","",IF(I270="はい",IF(AND(ISNUMBER(J270),ISNUMBER(K270)),K270-J270,""),""))</f>
        <v/>
      </c>
      <c r="M270" s="9"/>
      <c r="N270" s="11"/>
      <c r="O270" s="13"/>
    </row>
    <row r="271" customFormat="false" ht="15.75" hidden="false" customHeight="false" outlineLevel="0" collapsed="false">
      <c r="A271" s="10"/>
      <c r="B271" s="11"/>
      <c r="C271" s="11"/>
      <c r="D271" s="9"/>
      <c r="E271" s="9"/>
      <c r="F271" s="11"/>
      <c r="G271" s="11"/>
      <c r="H271" s="9"/>
      <c r="I271" s="9"/>
      <c r="J271" s="12"/>
      <c r="K271" s="12"/>
      <c r="L271" s="12" t="str">
        <f aca="false">IF(A271="","",IF(I271="はい",IF(AND(ISNUMBER(J271),ISNUMBER(K271)),K271-J271,""),""))</f>
        <v/>
      </c>
      <c r="M271" s="9"/>
      <c r="N271" s="11"/>
      <c r="O271" s="13"/>
    </row>
    <row r="272" customFormat="false" ht="15.75" hidden="false" customHeight="false" outlineLevel="0" collapsed="false">
      <c r="A272" s="10"/>
      <c r="B272" s="11"/>
      <c r="C272" s="11"/>
      <c r="D272" s="9"/>
      <c r="E272" s="9"/>
      <c r="F272" s="11"/>
      <c r="G272" s="11"/>
      <c r="H272" s="9"/>
      <c r="I272" s="9"/>
      <c r="J272" s="12"/>
      <c r="K272" s="12"/>
      <c r="L272" s="12" t="str">
        <f aca="false">IF(A272="","",IF(I272="はい",IF(AND(ISNUMBER(J272),ISNUMBER(K272)),K272-J272,""),""))</f>
        <v/>
      </c>
      <c r="M272" s="9"/>
      <c r="N272" s="11"/>
      <c r="O272" s="13"/>
    </row>
    <row r="273" customFormat="false" ht="15.75" hidden="false" customHeight="false" outlineLevel="0" collapsed="false">
      <c r="A273" s="10"/>
      <c r="B273" s="11"/>
      <c r="C273" s="11"/>
      <c r="D273" s="9"/>
      <c r="E273" s="9"/>
      <c r="F273" s="11"/>
      <c r="G273" s="11"/>
      <c r="H273" s="9"/>
      <c r="I273" s="9"/>
      <c r="J273" s="12"/>
      <c r="K273" s="12"/>
      <c r="L273" s="12" t="str">
        <f aca="false">IF(A273="","",IF(I273="はい",IF(AND(ISNUMBER(J273),ISNUMBER(K273)),K273-J273,""),""))</f>
        <v/>
      </c>
      <c r="M273" s="9"/>
      <c r="N273" s="11"/>
      <c r="O273" s="13"/>
    </row>
    <row r="274" customFormat="false" ht="15.75" hidden="false" customHeight="false" outlineLevel="0" collapsed="false">
      <c r="A274" s="10"/>
      <c r="B274" s="11"/>
      <c r="C274" s="11"/>
      <c r="D274" s="9"/>
      <c r="E274" s="9"/>
      <c r="F274" s="11"/>
      <c r="G274" s="11"/>
      <c r="H274" s="9"/>
      <c r="I274" s="9"/>
      <c r="J274" s="12"/>
      <c r="K274" s="12"/>
      <c r="L274" s="12" t="str">
        <f aca="false">IF(A274="","",IF(I274="はい",IF(AND(ISNUMBER(J274),ISNUMBER(K274)),K274-J274,""),""))</f>
        <v/>
      </c>
      <c r="M274" s="9"/>
      <c r="N274" s="11"/>
      <c r="O274" s="13"/>
    </row>
    <row r="275" customFormat="false" ht="15.75" hidden="false" customHeight="false" outlineLevel="0" collapsed="false">
      <c r="A275" s="10"/>
      <c r="B275" s="11"/>
      <c r="C275" s="11"/>
      <c r="D275" s="9"/>
      <c r="E275" s="9"/>
      <c r="F275" s="11"/>
      <c r="G275" s="11"/>
      <c r="H275" s="9"/>
      <c r="I275" s="9"/>
      <c r="J275" s="12"/>
      <c r="K275" s="12"/>
      <c r="L275" s="12" t="str">
        <f aca="false">IF(A275="","",IF(I275="はい",IF(AND(ISNUMBER(J275),ISNUMBER(K275)),K275-J275,""),""))</f>
        <v/>
      </c>
      <c r="M275" s="9"/>
      <c r="N275" s="11"/>
      <c r="O275" s="13"/>
    </row>
    <row r="276" customFormat="false" ht="15.75" hidden="false" customHeight="false" outlineLevel="0" collapsed="false">
      <c r="A276" s="10"/>
      <c r="B276" s="11"/>
      <c r="C276" s="11"/>
      <c r="D276" s="9"/>
      <c r="E276" s="9"/>
      <c r="F276" s="11"/>
      <c r="G276" s="11"/>
      <c r="H276" s="9"/>
      <c r="I276" s="9"/>
      <c r="J276" s="12"/>
      <c r="K276" s="12"/>
      <c r="L276" s="12" t="str">
        <f aca="false">IF(A276="","",IF(I276="はい",IF(AND(ISNUMBER(J276),ISNUMBER(K276)),K276-J276,""),""))</f>
        <v/>
      </c>
      <c r="M276" s="9"/>
      <c r="N276" s="11"/>
      <c r="O276" s="13"/>
    </row>
    <row r="277" customFormat="false" ht="15.75" hidden="false" customHeight="false" outlineLevel="0" collapsed="false">
      <c r="A277" s="10"/>
      <c r="B277" s="11"/>
      <c r="C277" s="11"/>
      <c r="D277" s="9"/>
      <c r="E277" s="9"/>
      <c r="F277" s="11"/>
      <c r="G277" s="11"/>
      <c r="H277" s="9"/>
      <c r="I277" s="9"/>
      <c r="J277" s="12"/>
      <c r="K277" s="12"/>
      <c r="L277" s="12" t="str">
        <f aca="false">IF(A277="","",IF(I277="はい",IF(AND(ISNUMBER(J277),ISNUMBER(K277)),K277-J277,""),""))</f>
        <v/>
      </c>
      <c r="M277" s="9"/>
      <c r="N277" s="11"/>
      <c r="O277" s="13"/>
    </row>
    <row r="278" customFormat="false" ht="15.75" hidden="false" customHeight="false" outlineLevel="0" collapsed="false">
      <c r="A278" s="10"/>
      <c r="B278" s="11"/>
      <c r="C278" s="11"/>
      <c r="D278" s="9"/>
      <c r="E278" s="9"/>
      <c r="F278" s="11"/>
      <c r="G278" s="11"/>
      <c r="H278" s="9"/>
      <c r="I278" s="9"/>
      <c r="J278" s="12"/>
      <c r="K278" s="12"/>
      <c r="L278" s="12" t="str">
        <f aca="false">IF(A278="","",IF(I278="はい",IF(AND(ISNUMBER(J278),ISNUMBER(K278)),K278-J278,""),""))</f>
        <v/>
      </c>
      <c r="M278" s="9"/>
      <c r="N278" s="11"/>
      <c r="O278" s="13"/>
    </row>
    <row r="279" customFormat="false" ht="15.75" hidden="false" customHeight="false" outlineLevel="0" collapsed="false">
      <c r="A279" s="10"/>
      <c r="B279" s="11"/>
      <c r="C279" s="11"/>
      <c r="D279" s="9"/>
      <c r="E279" s="9"/>
      <c r="F279" s="11"/>
      <c r="G279" s="11"/>
      <c r="H279" s="9"/>
      <c r="I279" s="9"/>
      <c r="J279" s="12"/>
      <c r="K279" s="12"/>
      <c r="L279" s="12" t="str">
        <f aca="false">IF(A279="","",IF(I279="はい",IF(AND(ISNUMBER(J279),ISNUMBER(K279)),K279-J279,""),""))</f>
        <v/>
      </c>
      <c r="M279" s="9"/>
      <c r="N279" s="11"/>
      <c r="O279" s="13"/>
    </row>
    <row r="280" customFormat="false" ht="15.75" hidden="false" customHeight="false" outlineLevel="0" collapsed="false">
      <c r="A280" s="10"/>
      <c r="B280" s="11"/>
      <c r="C280" s="11"/>
      <c r="D280" s="9"/>
      <c r="E280" s="9"/>
      <c r="F280" s="11"/>
      <c r="G280" s="11"/>
      <c r="H280" s="9"/>
      <c r="I280" s="9"/>
      <c r="J280" s="12"/>
      <c r="K280" s="12"/>
      <c r="L280" s="12" t="str">
        <f aca="false">IF(A280="","",IF(I280="はい",IF(AND(ISNUMBER(J280),ISNUMBER(K280)),K280-J280,""),""))</f>
        <v/>
      </c>
      <c r="M280" s="9"/>
      <c r="N280" s="11"/>
      <c r="O280" s="13"/>
    </row>
    <row r="281" customFormat="false" ht="15.75" hidden="false" customHeight="false" outlineLevel="0" collapsed="false">
      <c r="A281" s="10"/>
      <c r="B281" s="11"/>
      <c r="C281" s="11"/>
      <c r="D281" s="9"/>
      <c r="E281" s="9"/>
      <c r="F281" s="11"/>
      <c r="G281" s="11"/>
      <c r="H281" s="9"/>
      <c r="I281" s="9"/>
      <c r="J281" s="12"/>
      <c r="K281" s="12"/>
      <c r="L281" s="12" t="str">
        <f aca="false">IF(A281="","",IF(I281="はい",IF(AND(ISNUMBER(J281),ISNUMBER(K281)),K281-J281,""),""))</f>
        <v/>
      </c>
      <c r="M281" s="9"/>
      <c r="N281" s="11"/>
      <c r="O281" s="13"/>
    </row>
    <row r="282" customFormat="false" ht="15.75" hidden="false" customHeight="false" outlineLevel="0" collapsed="false">
      <c r="A282" s="10"/>
      <c r="B282" s="11"/>
      <c r="C282" s="11"/>
      <c r="D282" s="9"/>
      <c r="E282" s="9"/>
      <c r="F282" s="11"/>
      <c r="G282" s="11"/>
      <c r="H282" s="9"/>
      <c r="I282" s="9"/>
      <c r="J282" s="12"/>
      <c r="K282" s="12"/>
      <c r="L282" s="12" t="str">
        <f aca="false">IF(A282="","",IF(I282="はい",IF(AND(ISNUMBER(J282),ISNUMBER(K282)),K282-J282,""),""))</f>
        <v/>
      </c>
      <c r="M282" s="9"/>
      <c r="N282" s="11"/>
      <c r="O282" s="13"/>
    </row>
    <row r="283" customFormat="false" ht="15.75" hidden="false" customHeight="false" outlineLevel="0" collapsed="false">
      <c r="A283" s="10"/>
      <c r="B283" s="11"/>
      <c r="C283" s="11"/>
      <c r="D283" s="9"/>
      <c r="E283" s="9"/>
      <c r="F283" s="11"/>
      <c r="G283" s="11"/>
      <c r="H283" s="9"/>
      <c r="I283" s="9"/>
      <c r="J283" s="12"/>
      <c r="K283" s="12"/>
      <c r="L283" s="12" t="str">
        <f aca="false">IF(A283="","",IF(I283="はい",IF(AND(ISNUMBER(J283),ISNUMBER(K283)),K283-J283,""),""))</f>
        <v/>
      </c>
      <c r="M283" s="9"/>
      <c r="N283" s="11"/>
      <c r="O283" s="13"/>
    </row>
    <row r="284" customFormat="false" ht="15.75" hidden="false" customHeight="false" outlineLevel="0" collapsed="false">
      <c r="A284" s="10"/>
      <c r="B284" s="11"/>
      <c r="C284" s="11"/>
      <c r="D284" s="9"/>
      <c r="E284" s="9"/>
      <c r="F284" s="11"/>
      <c r="G284" s="11"/>
      <c r="H284" s="9"/>
      <c r="I284" s="9"/>
      <c r="J284" s="12"/>
      <c r="K284" s="12"/>
      <c r="L284" s="12" t="str">
        <f aca="false">IF(A284="","",IF(I284="はい",IF(AND(ISNUMBER(J284),ISNUMBER(K284)),K284-J284,""),""))</f>
        <v/>
      </c>
      <c r="M284" s="9"/>
      <c r="N284" s="11"/>
      <c r="O284" s="13"/>
    </row>
    <row r="285" customFormat="false" ht="15.75" hidden="false" customHeight="false" outlineLevel="0" collapsed="false">
      <c r="A285" s="10"/>
      <c r="B285" s="11"/>
      <c r="C285" s="11"/>
      <c r="D285" s="9"/>
      <c r="E285" s="9"/>
      <c r="F285" s="11"/>
      <c r="G285" s="11"/>
      <c r="H285" s="9"/>
      <c r="I285" s="9"/>
      <c r="J285" s="12"/>
      <c r="K285" s="12"/>
      <c r="L285" s="12" t="str">
        <f aca="false">IF(A285="","",IF(I285="はい",IF(AND(ISNUMBER(J285),ISNUMBER(K285)),K285-J285,""),""))</f>
        <v/>
      </c>
      <c r="M285" s="9"/>
      <c r="N285" s="11"/>
      <c r="O285" s="13"/>
    </row>
    <row r="286" customFormat="false" ht="15.75" hidden="false" customHeight="false" outlineLevel="0" collapsed="false">
      <c r="A286" s="10"/>
      <c r="B286" s="11"/>
      <c r="C286" s="11"/>
      <c r="D286" s="9"/>
      <c r="E286" s="9"/>
      <c r="F286" s="11"/>
      <c r="G286" s="11"/>
      <c r="H286" s="9"/>
      <c r="I286" s="9"/>
      <c r="J286" s="12"/>
      <c r="K286" s="12"/>
      <c r="L286" s="12" t="str">
        <f aca="false">IF(A286="","",IF(I286="はい",IF(AND(ISNUMBER(J286),ISNUMBER(K286)),K286-J286,""),""))</f>
        <v/>
      </c>
      <c r="M286" s="9"/>
      <c r="N286" s="11"/>
      <c r="O286" s="13"/>
    </row>
    <row r="287" customFormat="false" ht="15.75" hidden="false" customHeight="false" outlineLevel="0" collapsed="false">
      <c r="A287" s="10"/>
      <c r="B287" s="11"/>
      <c r="C287" s="11"/>
      <c r="D287" s="9"/>
      <c r="E287" s="9"/>
      <c r="F287" s="11"/>
      <c r="G287" s="11"/>
      <c r="H287" s="9"/>
      <c r="I287" s="9"/>
      <c r="J287" s="12"/>
      <c r="K287" s="12"/>
      <c r="L287" s="12" t="str">
        <f aca="false">IF(A287="","",IF(I287="はい",IF(AND(ISNUMBER(J287),ISNUMBER(K287)),K287-J287,""),""))</f>
        <v/>
      </c>
      <c r="M287" s="9"/>
      <c r="N287" s="11"/>
      <c r="O287" s="13"/>
    </row>
    <row r="288" customFormat="false" ht="15.75" hidden="false" customHeight="false" outlineLevel="0" collapsed="false">
      <c r="A288" s="10"/>
      <c r="B288" s="11"/>
      <c r="C288" s="11"/>
      <c r="D288" s="9"/>
      <c r="E288" s="9"/>
      <c r="F288" s="11"/>
      <c r="G288" s="11"/>
      <c r="H288" s="9"/>
      <c r="I288" s="9"/>
      <c r="J288" s="12"/>
      <c r="K288" s="12"/>
      <c r="L288" s="12" t="str">
        <f aca="false">IF(A288="","",IF(I288="はい",IF(AND(ISNUMBER(J288),ISNUMBER(K288)),K288-J288,""),""))</f>
        <v/>
      </c>
      <c r="M288" s="9"/>
      <c r="N288" s="11"/>
      <c r="O288" s="13"/>
    </row>
    <row r="289" customFormat="false" ht="15.75" hidden="false" customHeight="false" outlineLevel="0" collapsed="false">
      <c r="A289" s="10"/>
      <c r="B289" s="11"/>
      <c r="C289" s="11"/>
      <c r="D289" s="9"/>
      <c r="E289" s="9"/>
      <c r="F289" s="11"/>
      <c r="G289" s="11"/>
      <c r="H289" s="9"/>
      <c r="I289" s="9"/>
      <c r="J289" s="12"/>
      <c r="K289" s="12"/>
      <c r="L289" s="12" t="str">
        <f aca="false">IF(A289="","",IF(I289="はい",IF(AND(ISNUMBER(J289),ISNUMBER(K289)),K289-J289,""),""))</f>
        <v/>
      </c>
      <c r="M289" s="9"/>
      <c r="N289" s="11"/>
      <c r="O289" s="13"/>
    </row>
    <row r="290" customFormat="false" ht="15.75" hidden="false" customHeight="false" outlineLevel="0" collapsed="false">
      <c r="A290" s="10"/>
      <c r="B290" s="11"/>
      <c r="C290" s="11"/>
      <c r="D290" s="9"/>
      <c r="E290" s="9"/>
      <c r="F290" s="11"/>
      <c r="G290" s="11"/>
      <c r="H290" s="9"/>
      <c r="I290" s="9"/>
      <c r="J290" s="12"/>
      <c r="K290" s="12"/>
      <c r="L290" s="12" t="str">
        <f aca="false">IF(A290="","",IF(I290="はい",IF(AND(ISNUMBER(J290),ISNUMBER(K290)),K290-J290,""),""))</f>
        <v/>
      </c>
      <c r="M290" s="9"/>
      <c r="N290" s="11"/>
      <c r="O290" s="13"/>
    </row>
    <row r="291" customFormat="false" ht="15.75" hidden="false" customHeight="false" outlineLevel="0" collapsed="false">
      <c r="A291" s="10"/>
      <c r="B291" s="11"/>
      <c r="C291" s="11"/>
      <c r="D291" s="9"/>
      <c r="E291" s="9"/>
      <c r="F291" s="11"/>
      <c r="G291" s="11"/>
      <c r="H291" s="9"/>
      <c r="I291" s="9"/>
      <c r="J291" s="12"/>
      <c r="K291" s="12"/>
      <c r="L291" s="12" t="str">
        <f aca="false">IF(A291="","",IF(I291="はい",IF(AND(ISNUMBER(J291),ISNUMBER(K291)),K291-J291,""),""))</f>
        <v/>
      </c>
      <c r="M291" s="9"/>
      <c r="N291" s="11"/>
      <c r="O291" s="13"/>
    </row>
    <row r="292" customFormat="false" ht="15.75" hidden="false" customHeight="false" outlineLevel="0" collapsed="false">
      <c r="A292" s="10"/>
      <c r="B292" s="11"/>
      <c r="C292" s="11"/>
      <c r="D292" s="9"/>
      <c r="E292" s="9"/>
      <c r="F292" s="11"/>
      <c r="G292" s="11"/>
      <c r="H292" s="9"/>
      <c r="I292" s="9"/>
      <c r="J292" s="12"/>
      <c r="K292" s="12"/>
      <c r="L292" s="12" t="str">
        <f aca="false">IF(A292="","",IF(I292="はい",IF(AND(ISNUMBER(J292),ISNUMBER(K292)),K292-J292,""),""))</f>
        <v/>
      </c>
      <c r="M292" s="9"/>
      <c r="N292" s="11"/>
      <c r="O292" s="13"/>
    </row>
    <row r="293" customFormat="false" ht="15.75" hidden="false" customHeight="false" outlineLevel="0" collapsed="false">
      <c r="A293" s="10"/>
      <c r="B293" s="11"/>
      <c r="C293" s="11"/>
      <c r="D293" s="9"/>
      <c r="E293" s="9"/>
      <c r="F293" s="11"/>
      <c r="G293" s="11"/>
      <c r="H293" s="9"/>
      <c r="I293" s="9"/>
      <c r="J293" s="12"/>
      <c r="K293" s="12"/>
      <c r="L293" s="12" t="str">
        <f aca="false">IF(A293="","",IF(I293="はい",IF(AND(ISNUMBER(J293),ISNUMBER(K293)),K293-J293,""),""))</f>
        <v/>
      </c>
      <c r="M293" s="9"/>
      <c r="N293" s="11"/>
      <c r="O293" s="13"/>
    </row>
    <row r="294" customFormat="false" ht="15.75" hidden="false" customHeight="false" outlineLevel="0" collapsed="false">
      <c r="A294" s="10"/>
      <c r="B294" s="11"/>
      <c r="C294" s="11"/>
      <c r="D294" s="9"/>
      <c r="E294" s="9"/>
      <c r="F294" s="11"/>
      <c r="G294" s="11"/>
      <c r="H294" s="9"/>
      <c r="I294" s="9"/>
      <c r="J294" s="12"/>
      <c r="K294" s="12"/>
      <c r="L294" s="12" t="str">
        <f aca="false">IF(A294="","",IF(I294="はい",IF(AND(ISNUMBER(J294),ISNUMBER(K294)),K294-J294,""),""))</f>
        <v/>
      </c>
      <c r="M294" s="9"/>
      <c r="N294" s="11"/>
      <c r="O294" s="13"/>
    </row>
    <row r="295" customFormat="false" ht="15.75" hidden="false" customHeight="false" outlineLevel="0" collapsed="false">
      <c r="A295" s="10"/>
      <c r="B295" s="11"/>
      <c r="C295" s="11"/>
      <c r="D295" s="9"/>
      <c r="E295" s="9"/>
      <c r="F295" s="11"/>
      <c r="G295" s="11"/>
      <c r="H295" s="9"/>
      <c r="I295" s="9"/>
      <c r="J295" s="12"/>
      <c r="K295" s="12"/>
      <c r="L295" s="12" t="str">
        <f aca="false">IF(A295="","",IF(I295="はい",IF(AND(ISNUMBER(J295),ISNUMBER(K295)),K295-J295,""),""))</f>
        <v/>
      </c>
      <c r="M295" s="9"/>
      <c r="N295" s="11"/>
      <c r="O295" s="13"/>
    </row>
    <row r="296" customFormat="false" ht="15.75" hidden="false" customHeight="false" outlineLevel="0" collapsed="false">
      <c r="A296" s="10"/>
      <c r="B296" s="11"/>
      <c r="C296" s="11"/>
      <c r="D296" s="9"/>
      <c r="E296" s="9"/>
      <c r="F296" s="11"/>
      <c r="G296" s="11"/>
      <c r="H296" s="9"/>
      <c r="I296" s="9"/>
      <c r="J296" s="12"/>
      <c r="K296" s="12"/>
      <c r="L296" s="12" t="str">
        <f aca="false">IF(A296="","",IF(I296="はい",IF(AND(ISNUMBER(J296),ISNUMBER(K296)),K296-J296,""),""))</f>
        <v/>
      </c>
      <c r="M296" s="9"/>
      <c r="N296" s="11"/>
      <c r="O296" s="13"/>
    </row>
    <row r="297" customFormat="false" ht="15.75" hidden="false" customHeight="false" outlineLevel="0" collapsed="false">
      <c r="A297" s="10"/>
      <c r="B297" s="11"/>
      <c r="C297" s="11"/>
      <c r="D297" s="9"/>
      <c r="E297" s="9"/>
      <c r="F297" s="11"/>
      <c r="G297" s="11"/>
      <c r="H297" s="9"/>
      <c r="I297" s="9"/>
      <c r="J297" s="12"/>
      <c r="K297" s="12"/>
      <c r="L297" s="12" t="str">
        <f aca="false">IF(A297="","",IF(I297="はい",IF(AND(ISNUMBER(J297),ISNUMBER(K297)),K297-J297,""),""))</f>
        <v/>
      </c>
      <c r="M297" s="9"/>
      <c r="N297" s="11"/>
      <c r="O297" s="13"/>
    </row>
    <row r="298" customFormat="false" ht="15.75" hidden="false" customHeight="false" outlineLevel="0" collapsed="false">
      <c r="A298" s="10"/>
      <c r="B298" s="11"/>
      <c r="C298" s="11"/>
      <c r="D298" s="9"/>
      <c r="E298" s="9"/>
      <c r="F298" s="11"/>
      <c r="G298" s="11"/>
      <c r="H298" s="9"/>
      <c r="I298" s="9"/>
      <c r="J298" s="12"/>
      <c r="K298" s="12"/>
      <c r="L298" s="12" t="str">
        <f aca="false">IF(A298="","",IF(I298="はい",IF(AND(ISNUMBER(J298),ISNUMBER(K298)),K298-J298,""),""))</f>
        <v/>
      </c>
      <c r="M298" s="9"/>
      <c r="N298" s="11"/>
      <c r="O298" s="13"/>
    </row>
    <row r="299" customFormat="false" ht="15.75" hidden="false" customHeight="false" outlineLevel="0" collapsed="false">
      <c r="A299" s="10"/>
      <c r="B299" s="11"/>
      <c r="C299" s="11"/>
      <c r="D299" s="9"/>
      <c r="E299" s="9"/>
      <c r="F299" s="11"/>
      <c r="G299" s="11"/>
      <c r="H299" s="9"/>
      <c r="I299" s="9"/>
      <c r="J299" s="12"/>
      <c r="K299" s="12"/>
      <c r="L299" s="12" t="str">
        <f aca="false">IF(A299="","",IF(I299="はい",IF(AND(ISNUMBER(J299),ISNUMBER(K299)),K299-J299,""),""))</f>
        <v/>
      </c>
      <c r="M299" s="9"/>
      <c r="N299" s="11"/>
      <c r="O299" s="13"/>
    </row>
    <row r="300" customFormat="false" ht="15.75" hidden="false" customHeight="false" outlineLevel="0" collapsed="false">
      <c r="A300" s="10"/>
      <c r="B300" s="11"/>
      <c r="C300" s="11"/>
      <c r="D300" s="9"/>
      <c r="E300" s="9"/>
      <c r="F300" s="11"/>
      <c r="G300" s="11"/>
      <c r="H300" s="9"/>
      <c r="I300" s="9"/>
      <c r="J300" s="12"/>
      <c r="K300" s="12"/>
      <c r="L300" s="12" t="str">
        <f aca="false">IF(A300="","",IF(I300="はい",IF(AND(ISNUMBER(J300),ISNUMBER(K300)),K300-J300,""),""))</f>
        <v/>
      </c>
      <c r="M300" s="9"/>
      <c r="N300" s="11"/>
      <c r="O300" s="13"/>
    </row>
    <row r="301" customFormat="false" ht="15.75" hidden="false" customHeight="false" outlineLevel="0" collapsed="false">
      <c r="A301" s="10"/>
      <c r="B301" s="11"/>
      <c r="C301" s="11"/>
      <c r="D301" s="9"/>
      <c r="E301" s="9"/>
      <c r="F301" s="11"/>
      <c r="G301" s="11"/>
      <c r="H301" s="9"/>
      <c r="I301" s="9"/>
      <c r="J301" s="12"/>
      <c r="K301" s="12"/>
      <c r="L301" s="12" t="str">
        <f aca="false">IF(A301="","",IF(I301="はい",IF(AND(ISNUMBER(J301),ISNUMBER(K301)),K301-J301,""),""))</f>
        <v/>
      </c>
      <c r="M301" s="9"/>
      <c r="N301" s="11"/>
      <c r="O301" s="13"/>
    </row>
    <row r="302" customFormat="false" ht="15.75" hidden="false" customHeight="false" outlineLevel="0" collapsed="false">
      <c r="A302" s="10"/>
      <c r="B302" s="11"/>
      <c r="C302" s="11"/>
      <c r="D302" s="9"/>
      <c r="E302" s="9"/>
      <c r="F302" s="11"/>
      <c r="G302" s="11"/>
      <c r="H302" s="9"/>
      <c r="I302" s="9"/>
      <c r="J302" s="12"/>
      <c r="K302" s="12"/>
      <c r="L302" s="12" t="str">
        <f aca="false">IF(A302="","",IF(I302="はい",IF(AND(ISNUMBER(J302),ISNUMBER(K302)),K302-J302,""),""))</f>
        <v/>
      </c>
      <c r="M302" s="9"/>
      <c r="N302" s="11"/>
      <c r="O302" s="13"/>
    </row>
    <row r="303" customFormat="false" ht="15.75" hidden="false" customHeight="false" outlineLevel="0" collapsed="false">
      <c r="A303" s="10"/>
      <c r="B303" s="11"/>
      <c r="C303" s="11"/>
      <c r="D303" s="9"/>
      <c r="E303" s="9"/>
      <c r="F303" s="11"/>
      <c r="G303" s="11"/>
      <c r="H303" s="9"/>
      <c r="I303" s="9"/>
      <c r="J303" s="12"/>
      <c r="K303" s="12"/>
      <c r="L303" s="12" t="str">
        <f aca="false">IF(A303="","",IF(I303="はい",IF(AND(ISNUMBER(J303),ISNUMBER(K303)),K303-J303,""),""))</f>
        <v/>
      </c>
      <c r="M303" s="9"/>
      <c r="N303" s="11"/>
      <c r="O303" s="13"/>
    </row>
    <row r="304" customFormat="false" ht="15.75" hidden="false" customHeight="false" outlineLevel="0" collapsed="false">
      <c r="A304" s="10"/>
      <c r="B304" s="11"/>
      <c r="C304" s="11"/>
      <c r="D304" s="9"/>
      <c r="E304" s="9"/>
      <c r="F304" s="11"/>
      <c r="G304" s="11"/>
      <c r="H304" s="9"/>
      <c r="I304" s="9"/>
      <c r="J304" s="12"/>
      <c r="K304" s="12"/>
      <c r="L304" s="12" t="str">
        <f aca="false">IF(A304="","",IF(I304="はい",IF(AND(ISNUMBER(J304),ISNUMBER(K304)),K304-J304,""),""))</f>
        <v/>
      </c>
      <c r="M304" s="9"/>
      <c r="N304" s="11"/>
      <c r="O304" s="13"/>
    </row>
    <row r="305" customFormat="false" ht="15.75" hidden="false" customHeight="false" outlineLevel="0" collapsed="false">
      <c r="A305" s="10"/>
      <c r="B305" s="11"/>
      <c r="C305" s="11"/>
      <c r="D305" s="9"/>
      <c r="E305" s="9"/>
      <c r="F305" s="11"/>
      <c r="G305" s="11"/>
      <c r="H305" s="9"/>
      <c r="I305" s="9"/>
      <c r="J305" s="12"/>
      <c r="K305" s="12"/>
      <c r="L305" s="12" t="str">
        <f aca="false">IF(A305="","",IF(I305="はい",IF(AND(ISNUMBER(J305),ISNUMBER(K305)),K305-J305,""),""))</f>
        <v/>
      </c>
      <c r="M305" s="9"/>
      <c r="N305" s="11"/>
      <c r="O305" s="13"/>
    </row>
    <row r="306" customFormat="false" ht="15.75" hidden="false" customHeight="false" outlineLevel="0" collapsed="false">
      <c r="A306" s="10"/>
      <c r="B306" s="11"/>
      <c r="C306" s="11"/>
      <c r="D306" s="9"/>
      <c r="E306" s="9"/>
      <c r="F306" s="11"/>
      <c r="G306" s="11"/>
      <c r="H306" s="9"/>
      <c r="I306" s="9"/>
      <c r="J306" s="12"/>
      <c r="K306" s="12"/>
      <c r="L306" s="12" t="str">
        <f aca="false">IF(A306="","",IF(I306="はい",IF(AND(ISNUMBER(J306),ISNUMBER(K306)),K306-J306,""),""))</f>
        <v/>
      </c>
      <c r="M306" s="9"/>
      <c r="N306" s="11"/>
      <c r="O306" s="13"/>
    </row>
    <row r="307" customFormat="false" ht="15.75" hidden="false" customHeight="false" outlineLevel="0" collapsed="false">
      <c r="A307" s="10"/>
      <c r="B307" s="11"/>
      <c r="C307" s="11"/>
      <c r="D307" s="9"/>
      <c r="E307" s="9"/>
      <c r="F307" s="11"/>
      <c r="G307" s="11"/>
      <c r="H307" s="9"/>
      <c r="I307" s="9"/>
      <c r="J307" s="12"/>
      <c r="K307" s="12"/>
      <c r="L307" s="12" t="str">
        <f aca="false">IF(A307="","",IF(I307="はい",IF(AND(ISNUMBER(J307),ISNUMBER(K307)),K307-J307,""),""))</f>
        <v/>
      </c>
      <c r="M307" s="9"/>
      <c r="N307" s="11"/>
      <c r="O307" s="13"/>
    </row>
    <row r="308" customFormat="false" ht="15.75" hidden="false" customHeight="false" outlineLevel="0" collapsed="false">
      <c r="A308" s="10"/>
      <c r="B308" s="11"/>
      <c r="C308" s="11"/>
      <c r="D308" s="9"/>
      <c r="E308" s="9"/>
      <c r="F308" s="11"/>
      <c r="G308" s="11"/>
      <c r="H308" s="9"/>
      <c r="I308" s="9"/>
      <c r="J308" s="12"/>
      <c r="K308" s="12"/>
      <c r="L308" s="12" t="str">
        <f aca="false">IF(A308="","",IF(I308="はい",IF(AND(ISNUMBER(J308),ISNUMBER(K308)),K308-J308,""),""))</f>
        <v/>
      </c>
      <c r="M308" s="9"/>
      <c r="N308" s="11"/>
      <c r="O308" s="13"/>
    </row>
    <row r="309" customFormat="false" ht="15.75" hidden="false" customHeight="false" outlineLevel="0" collapsed="false">
      <c r="A309" s="10"/>
      <c r="B309" s="11"/>
      <c r="C309" s="11"/>
      <c r="D309" s="9"/>
      <c r="E309" s="9"/>
      <c r="F309" s="11"/>
      <c r="G309" s="11"/>
      <c r="H309" s="9"/>
      <c r="I309" s="9"/>
      <c r="J309" s="12"/>
      <c r="K309" s="12"/>
      <c r="L309" s="12" t="str">
        <f aca="false">IF(A309="","",IF(I309="はい",IF(AND(ISNUMBER(J309),ISNUMBER(K309)),K309-J309,""),""))</f>
        <v/>
      </c>
      <c r="M309" s="9"/>
      <c r="N309" s="11"/>
      <c r="O309" s="13"/>
    </row>
    <row r="310" customFormat="false" ht="15.75" hidden="false" customHeight="false" outlineLevel="0" collapsed="false">
      <c r="A310" s="10"/>
      <c r="B310" s="11"/>
      <c r="C310" s="11"/>
      <c r="D310" s="9"/>
      <c r="E310" s="9"/>
      <c r="F310" s="11"/>
      <c r="G310" s="11"/>
      <c r="H310" s="9"/>
      <c r="I310" s="9"/>
      <c r="J310" s="12"/>
      <c r="K310" s="12"/>
      <c r="L310" s="12" t="str">
        <f aca="false">IF(A310="","",IF(I310="はい",IF(AND(ISNUMBER(J310),ISNUMBER(K310)),K310-J310,""),""))</f>
        <v/>
      </c>
      <c r="M310" s="9"/>
      <c r="N310" s="11"/>
      <c r="O310" s="13"/>
    </row>
    <row r="311" customFormat="false" ht="15.75" hidden="false" customHeight="false" outlineLevel="0" collapsed="false">
      <c r="A311" s="10"/>
      <c r="B311" s="11"/>
      <c r="C311" s="11"/>
      <c r="D311" s="9"/>
      <c r="E311" s="9"/>
      <c r="F311" s="11"/>
      <c r="G311" s="11"/>
      <c r="H311" s="9"/>
      <c r="I311" s="9"/>
      <c r="J311" s="12"/>
      <c r="K311" s="12"/>
      <c r="L311" s="12" t="str">
        <f aca="false">IF(A311="","",IF(I311="はい",IF(AND(ISNUMBER(J311),ISNUMBER(K311)),K311-J311,""),""))</f>
        <v/>
      </c>
      <c r="M311" s="9"/>
      <c r="N311" s="11"/>
      <c r="O311" s="13"/>
    </row>
    <row r="312" customFormat="false" ht="15.75" hidden="false" customHeight="false" outlineLevel="0" collapsed="false">
      <c r="A312" s="10"/>
      <c r="B312" s="11"/>
      <c r="C312" s="11"/>
      <c r="D312" s="9"/>
      <c r="E312" s="9"/>
      <c r="F312" s="11"/>
      <c r="G312" s="11"/>
      <c r="H312" s="9"/>
      <c r="I312" s="9"/>
      <c r="J312" s="12"/>
      <c r="K312" s="12"/>
      <c r="L312" s="12" t="str">
        <f aca="false">IF(A312="","",IF(I312="はい",IF(AND(ISNUMBER(J312),ISNUMBER(K312)),K312-J312,""),""))</f>
        <v/>
      </c>
      <c r="M312" s="9"/>
      <c r="N312" s="11"/>
      <c r="O312" s="13"/>
    </row>
    <row r="313" customFormat="false" ht="15.75" hidden="false" customHeight="false" outlineLevel="0" collapsed="false">
      <c r="A313" s="10"/>
      <c r="B313" s="11"/>
      <c r="C313" s="11"/>
      <c r="D313" s="9"/>
      <c r="E313" s="9"/>
      <c r="F313" s="11"/>
      <c r="G313" s="11"/>
      <c r="H313" s="9"/>
      <c r="I313" s="9"/>
      <c r="J313" s="12"/>
      <c r="K313" s="12"/>
      <c r="L313" s="12" t="str">
        <f aca="false">IF(A313="","",IF(I313="はい",IF(AND(ISNUMBER(J313),ISNUMBER(K313)),K313-J313,""),""))</f>
        <v/>
      </c>
      <c r="M313" s="9"/>
      <c r="N313" s="11"/>
      <c r="O313" s="13"/>
    </row>
    <row r="314" customFormat="false" ht="15.75" hidden="false" customHeight="false" outlineLevel="0" collapsed="false">
      <c r="A314" s="10"/>
      <c r="B314" s="11"/>
      <c r="C314" s="11"/>
      <c r="D314" s="9"/>
      <c r="E314" s="9"/>
      <c r="F314" s="11"/>
      <c r="G314" s="11"/>
      <c r="H314" s="9"/>
      <c r="I314" s="9"/>
      <c r="J314" s="12"/>
      <c r="K314" s="12"/>
      <c r="L314" s="12" t="str">
        <f aca="false">IF(A314="","",IF(I314="はい",IF(AND(ISNUMBER(J314),ISNUMBER(K314)),K314-J314,""),""))</f>
        <v/>
      </c>
      <c r="M314" s="9"/>
      <c r="N314" s="11"/>
      <c r="O314" s="13"/>
    </row>
    <row r="315" customFormat="false" ht="15.75" hidden="false" customHeight="false" outlineLevel="0" collapsed="false">
      <c r="A315" s="10"/>
      <c r="B315" s="11"/>
      <c r="C315" s="11"/>
      <c r="D315" s="9"/>
      <c r="E315" s="9"/>
      <c r="F315" s="11"/>
      <c r="G315" s="11"/>
      <c r="H315" s="9"/>
      <c r="I315" s="9"/>
      <c r="J315" s="12"/>
      <c r="K315" s="12"/>
      <c r="L315" s="12" t="str">
        <f aca="false">IF(A315="","",IF(I315="はい",IF(AND(ISNUMBER(J315),ISNUMBER(K315)),K315-J315,""),""))</f>
        <v/>
      </c>
      <c r="M315" s="9"/>
      <c r="N315" s="11"/>
      <c r="O315" s="13"/>
    </row>
    <row r="316" customFormat="false" ht="15.75" hidden="false" customHeight="false" outlineLevel="0" collapsed="false">
      <c r="A316" s="10"/>
      <c r="B316" s="11"/>
      <c r="C316" s="11"/>
      <c r="D316" s="9"/>
      <c r="E316" s="9"/>
      <c r="F316" s="11"/>
      <c r="G316" s="11"/>
      <c r="H316" s="9"/>
      <c r="I316" s="9"/>
      <c r="J316" s="12"/>
      <c r="K316" s="12"/>
      <c r="L316" s="12" t="str">
        <f aca="false">IF(A316="","",IF(I316="はい",IF(AND(ISNUMBER(J316),ISNUMBER(K316)),K316-J316,""),""))</f>
        <v/>
      </c>
      <c r="M316" s="9"/>
      <c r="N316" s="11"/>
      <c r="O316" s="13"/>
    </row>
    <row r="317" customFormat="false" ht="15.75" hidden="false" customHeight="false" outlineLevel="0" collapsed="false">
      <c r="A317" s="10"/>
      <c r="B317" s="11"/>
      <c r="C317" s="11"/>
      <c r="D317" s="9"/>
      <c r="E317" s="9"/>
      <c r="F317" s="11"/>
      <c r="G317" s="11"/>
      <c r="H317" s="9"/>
      <c r="I317" s="9"/>
      <c r="J317" s="12"/>
      <c r="K317" s="12"/>
      <c r="L317" s="12" t="str">
        <f aca="false">IF(A317="","",IF(I317="はい",IF(AND(ISNUMBER(J317),ISNUMBER(K317)),K317-J317,""),""))</f>
        <v/>
      </c>
      <c r="M317" s="9"/>
      <c r="N317" s="11"/>
      <c r="O317" s="13"/>
    </row>
    <row r="318" customFormat="false" ht="15.75" hidden="false" customHeight="false" outlineLevel="0" collapsed="false">
      <c r="A318" s="10"/>
      <c r="B318" s="11"/>
      <c r="C318" s="11"/>
      <c r="D318" s="9"/>
      <c r="E318" s="9"/>
      <c r="F318" s="11"/>
      <c r="G318" s="11"/>
      <c r="H318" s="9"/>
      <c r="I318" s="9"/>
      <c r="J318" s="12"/>
      <c r="K318" s="12"/>
      <c r="L318" s="12" t="str">
        <f aca="false">IF(A318="","",IF(I318="はい",IF(AND(ISNUMBER(J318),ISNUMBER(K318)),K318-J318,""),""))</f>
        <v/>
      </c>
      <c r="M318" s="9"/>
      <c r="N318" s="11"/>
      <c r="O318" s="13"/>
    </row>
    <row r="319" customFormat="false" ht="15.75" hidden="false" customHeight="false" outlineLevel="0" collapsed="false">
      <c r="A319" s="10"/>
      <c r="B319" s="11"/>
      <c r="C319" s="11"/>
      <c r="D319" s="9"/>
      <c r="E319" s="9"/>
      <c r="F319" s="11"/>
      <c r="G319" s="11"/>
      <c r="H319" s="9"/>
      <c r="I319" s="9"/>
      <c r="J319" s="12"/>
      <c r="K319" s="12"/>
      <c r="L319" s="12" t="str">
        <f aca="false">IF(A319="","",IF(I319="はい",IF(AND(ISNUMBER(J319),ISNUMBER(K319)),K319-J319,""),""))</f>
        <v/>
      </c>
      <c r="M319" s="9"/>
      <c r="N319" s="11"/>
      <c r="O319" s="13"/>
    </row>
    <row r="320" customFormat="false" ht="15.75" hidden="false" customHeight="false" outlineLevel="0" collapsed="false">
      <c r="A320" s="10"/>
      <c r="B320" s="11"/>
      <c r="C320" s="11"/>
      <c r="D320" s="9"/>
      <c r="E320" s="9"/>
      <c r="F320" s="11"/>
      <c r="G320" s="11"/>
      <c r="H320" s="9"/>
      <c r="I320" s="9"/>
      <c r="J320" s="12"/>
      <c r="K320" s="12"/>
      <c r="L320" s="12" t="str">
        <f aca="false">IF(A320="","",IF(I320="はい",IF(AND(ISNUMBER(J320),ISNUMBER(K320)),K320-J320,""),""))</f>
        <v/>
      </c>
      <c r="M320" s="9"/>
      <c r="N320" s="11"/>
      <c r="O320" s="13"/>
    </row>
    <row r="321" customFormat="false" ht="15.75" hidden="false" customHeight="false" outlineLevel="0" collapsed="false">
      <c r="A321" s="10"/>
      <c r="B321" s="11"/>
      <c r="C321" s="11"/>
      <c r="D321" s="9"/>
      <c r="E321" s="9"/>
      <c r="F321" s="11"/>
      <c r="G321" s="11"/>
      <c r="H321" s="9"/>
      <c r="I321" s="9"/>
      <c r="J321" s="12"/>
      <c r="K321" s="12"/>
      <c r="L321" s="12" t="str">
        <f aca="false">IF(A321="","",IF(I321="はい",IF(AND(ISNUMBER(J321),ISNUMBER(K321)),K321-J321,""),""))</f>
        <v/>
      </c>
      <c r="M321" s="9"/>
      <c r="N321" s="11"/>
      <c r="O321" s="13"/>
    </row>
    <row r="322" customFormat="false" ht="15.75" hidden="false" customHeight="false" outlineLevel="0" collapsed="false">
      <c r="A322" s="10"/>
      <c r="B322" s="11"/>
      <c r="C322" s="11"/>
      <c r="D322" s="9"/>
      <c r="E322" s="9"/>
      <c r="F322" s="11"/>
      <c r="G322" s="11"/>
      <c r="H322" s="9"/>
      <c r="I322" s="9"/>
      <c r="J322" s="12"/>
      <c r="K322" s="12"/>
      <c r="L322" s="12" t="str">
        <f aca="false">IF(A322="","",IF(I322="はい",IF(AND(ISNUMBER(J322),ISNUMBER(K322)),K322-J322,""),""))</f>
        <v/>
      </c>
      <c r="M322" s="9"/>
      <c r="N322" s="11"/>
      <c r="O322" s="13"/>
    </row>
    <row r="323" customFormat="false" ht="15.75" hidden="false" customHeight="false" outlineLevel="0" collapsed="false">
      <c r="A323" s="10"/>
      <c r="B323" s="11"/>
      <c r="C323" s="11"/>
      <c r="D323" s="9"/>
      <c r="E323" s="9"/>
      <c r="F323" s="11"/>
      <c r="G323" s="11"/>
      <c r="H323" s="9"/>
      <c r="I323" s="9"/>
      <c r="J323" s="12"/>
      <c r="K323" s="12"/>
      <c r="L323" s="12" t="str">
        <f aca="false">IF(A323="","",IF(I323="はい",IF(AND(ISNUMBER(J323),ISNUMBER(K323)),K323-J323,""),""))</f>
        <v/>
      </c>
      <c r="M323" s="9"/>
      <c r="N323" s="11"/>
      <c r="O323" s="13"/>
    </row>
    <row r="324" customFormat="false" ht="15.75" hidden="false" customHeight="false" outlineLevel="0" collapsed="false">
      <c r="A324" s="10"/>
      <c r="B324" s="11"/>
      <c r="C324" s="11"/>
      <c r="D324" s="9"/>
      <c r="E324" s="9"/>
      <c r="F324" s="11"/>
      <c r="G324" s="11"/>
      <c r="H324" s="9"/>
      <c r="I324" s="9"/>
      <c r="J324" s="12"/>
      <c r="K324" s="12"/>
      <c r="L324" s="12" t="str">
        <f aca="false">IF(A324="","",IF(I324="はい",IF(AND(ISNUMBER(J324),ISNUMBER(K324)),K324-J324,""),""))</f>
        <v/>
      </c>
      <c r="M324" s="9"/>
      <c r="N324" s="11"/>
      <c r="O324" s="13"/>
    </row>
    <row r="325" customFormat="false" ht="15.75" hidden="false" customHeight="false" outlineLevel="0" collapsed="false">
      <c r="A325" s="10"/>
      <c r="B325" s="11"/>
      <c r="C325" s="11"/>
      <c r="D325" s="9"/>
      <c r="E325" s="9"/>
      <c r="F325" s="11"/>
      <c r="G325" s="11"/>
      <c r="H325" s="9"/>
      <c r="I325" s="9"/>
      <c r="J325" s="12"/>
      <c r="K325" s="12"/>
      <c r="L325" s="12" t="str">
        <f aca="false">IF(A325="","",IF(I325="はい",IF(AND(ISNUMBER(J325),ISNUMBER(K325)),K325-J325,""),""))</f>
        <v/>
      </c>
      <c r="M325" s="9"/>
      <c r="N325" s="11"/>
      <c r="O325" s="13"/>
    </row>
    <row r="326" customFormat="false" ht="15.75" hidden="false" customHeight="false" outlineLevel="0" collapsed="false">
      <c r="A326" s="10"/>
      <c r="B326" s="11"/>
      <c r="C326" s="11"/>
      <c r="D326" s="9"/>
      <c r="E326" s="9"/>
      <c r="F326" s="11"/>
      <c r="G326" s="11"/>
      <c r="H326" s="9"/>
      <c r="I326" s="9"/>
      <c r="J326" s="12"/>
      <c r="K326" s="12"/>
      <c r="L326" s="12" t="str">
        <f aca="false">IF(A326="","",IF(I326="はい",IF(AND(ISNUMBER(J326),ISNUMBER(K326)),K326-J326,""),""))</f>
        <v/>
      </c>
      <c r="M326" s="9"/>
      <c r="N326" s="11"/>
      <c r="O326" s="13"/>
    </row>
    <row r="327" customFormat="false" ht="15.75" hidden="false" customHeight="false" outlineLevel="0" collapsed="false">
      <c r="A327" s="10"/>
      <c r="B327" s="11"/>
      <c r="C327" s="11"/>
      <c r="D327" s="9"/>
      <c r="E327" s="9"/>
      <c r="F327" s="11"/>
      <c r="G327" s="11"/>
      <c r="H327" s="9"/>
      <c r="I327" s="9"/>
      <c r="J327" s="12"/>
      <c r="K327" s="12"/>
      <c r="L327" s="12" t="str">
        <f aca="false">IF(A327="","",IF(I327="はい",IF(AND(ISNUMBER(J327),ISNUMBER(K327)),K327-J327,""),""))</f>
        <v/>
      </c>
      <c r="M327" s="9"/>
      <c r="N327" s="11"/>
      <c r="O327" s="13"/>
    </row>
    <row r="328" customFormat="false" ht="15.75" hidden="false" customHeight="false" outlineLevel="0" collapsed="false">
      <c r="A328" s="10"/>
      <c r="B328" s="11"/>
      <c r="C328" s="11"/>
      <c r="D328" s="9"/>
      <c r="E328" s="9"/>
      <c r="F328" s="11"/>
      <c r="G328" s="11"/>
      <c r="H328" s="9"/>
      <c r="I328" s="9"/>
      <c r="J328" s="12"/>
      <c r="K328" s="12"/>
      <c r="L328" s="12" t="str">
        <f aca="false">IF(A328="","",IF(I328="はい",IF(AND(ISNUMBER(J328),ISNUMBER(K328)),K328-J328,""),""))</f>
        <v/>
      </c>
      <c r="M328" s="9"/>
      <c r="N328" s="11"/>
      <c r="O328" s="13"/>
    </row>
    <row r="329" customFormat="false" ht="15.75" hidden="false" customHeight="false" outlineLevel="0" collapsed="false">
      <c r="A329" s="10"/>
      <c r="B329" s="11"/>
      <c r="C329" s="11"/>
      <c r="D329" s="9"/>
      <c r="E329" s="9"/>
      <c r="F329" s="11"/>
      <c r="G329" s="11"/>
      <c r="H329" s="9"/>
      <c r="I329" s="9"/>
      <c r="J329" s="12"/>
      <c r="K329" s="12"/>
      <c r="L329" s="12" t="str">
        <f aca="false">IF(A329="","",IF(I329="はい",IF(AND(ISNUMBER(J329),ISNUMBER(K329)),K329-J329,""),""))</f>
        <v/>
      </c>
      <c r="M329" s="9"/>
      <c r="N329" s="11"/>
      <c r="O329" s="13"/>
    </row>
    <row r="330" customFormat="false" ht="15.75" hidden="false" customHeight="false" outlineLevel="0" collapsed="false">
      <c r="A330" s="10"/>
      <c r="B330" s="11"/>
      <c r="C330" s="11"/>
      <c r="D330" s="9"/>
      <c r="E330" s="9"/>
      <c r="F330" s="11"/>
      <c r="G330" s="11"/>
      <c r="H330" s="9"/>
      <c r="I330" s="9"/>
      <c r="J330" s="12"/>
      <c r="K330" s="12"/>
      <c r="L330" s="12" t="str">
        <f aca="false">IF(A330="","",IF(I330="はい",IF(AND(ISNUMBER(J330),ISNUMBER(K330)),K330-J330,""),""))</f>
        <v/>
      </c>
      <c r="M330" s="9"/>
      <c r="N330" s="11"/>
      <c r="O330" s="13"/>
    </row>
    <row r="331" customFormat="false" ht="15.75" hidden="false" customHeight="false" outlineLevel="0" collapsed="false">
      <c r="A331" s="10"/>
      <c r="B331" s="11"/>
      <c r="C331" s="11"/>
      <c r="D331" s="9"/>
      <c r="E331" s="9"/>
      <c r="F331" s="11"/>
      <c r="G331" s="11"/>
      <c r="H331" s="9"/>
      <c r="I331" s="9"/>
      <c r="J331" s="12"/>
      <c r="K331" s="12"/>
      <c r="L331" s="12" t="str">
        <f aca="false">IF(A331="","",IF(I331="はい",IF(AND(ISNUMBER(J331),ISNUMBER(K331)),K331-J331,""),""))</f>
        <v/>
      </c>
      <c r="M331" s="9"/>
      <c r="N331" s="11"/>
      <c r="O331" s="13"/>
    </row>
    <row r="332" customFormat="false" ht="15.75" hidden="false" customHeight="false" outlineLevel="0" collapsed="false">
      <c r="A332" s="10"/>
      <c r="B332" s="11"/>
      <c r="C332" s="11"/>
      <c r="D332" s="9"/>
      <c r="E332" s="9"/>
      <c r="F332" s="11"/>
      <c r="G332" s="11"/>
      <c r="H332" s="9"/>
      <c r="I332" s="9"/>
      <c r="J332" s="12"/>
      <c r="K332" s="12"/>
      <c r="L332" s="12" t="str">
        <f aca="false">IF(A332="","",IF(I332="はい",IF(AND(ISNUMBER(J332),ISNUMBER(K332)),K332-J332,""),""))</f>
        <v/>
      </c>
      <c r="M332" s="9"/>
      <c r="N332" s="11"/>
      <c r="O332" s="13"/>
    </row>
    <row r="333" customFormat="false" ht="15.75" hidden="false" customHeight="false" outlineLevel="0" collapsed="false">
      <c r="A333" s="10"/>
      <c r="B333" s="11"/>
      <c r="C333" s="11"/>
      <c r="D333" s="9"/>
      <c r="E333" s="9"/>
      <c r="F333" s="11"/>
      <c r="G333" s="11"/>
      <c r="H333" s="9"/>
      <c r="I333" s="9"/>
      <c r="J333" s="12"/>
      <c r="K333" s="12"/>
      <c r="L333" s="12" t="str">
        <f aca="false">IF(A333="","",IF(I333="はい",IF(AND(ISNUMBER(J333),ISNUMBER(K333)),K333-J333,""),""))</f>
        <v/>
      </c>
      <c r="M333" s="9"/>
      <c r="N333" s="11"/>
      <c r="O333" s="13"/>
    </row>
    <row r="334" customFormat="false" ht="15.75" hidden="false" customHeight="false" outlineLevel="0" collapsed="false">
      <c r="A334" s="10"/>
      <c r="B334" s="11"/>
      <c r="C334" s="11"/>
      <c r="D334" s="9"/>
      <c r="E334" s="9"/>
      <c r="F334" s="11"/>
      <c r="G334" s="11"/>
      <c r="H334" s="9"/>
      <c r="I334" s="9"/>
      <c r="J334" s="12"/>
      <c r="K334" s="12"/>
      <c r="L334" s="12" t="str">
        <f aca="false">IF(A334="","",IF(I334="はい",IF(AND(ISNUMBER(J334),ISNUMBER(K334)),K334-J334,""),""))</f>
        <v/>
      </c>
      <c r="M334" s="9"/>
      <c r="N334" s="11"/>
      <c r="O334" s="13"/>
    </row>
    <row r="335" customFormat="false" ht="15.75" hidden="false" customHeight="false" outlineLevel="0" collapsed="false">
      <c r="A335" s="10"/>
      <c r="B335" s="11"/>
      <c r="C335" s="11"/>
      <c r="D335" s="9"/>
      <c r="E335" s="9"/>
      <c r="F335" s="11"/>
      <c r="G335" s="11"/>
      <c r="H335" s="9"/>
      <c r="I335" s="9"/>
      <c r="J335" s="12"/>
      <c r="K335" s="12"/>
      <c r="L335" s="12" t="str">
        <f aca="false">IF(A335="","",IF(I335="はい",IF(AND(ISNUMBER(J335),ISNUMBER(K335)),K335-J335,""),""))</f>
        <v/>
      </c>
      <c r="M335" s="9"/>
      <c r="N335" s="11"/>
      <c r="O335" s="13"/>
    </row>
    <row r="336" customFormat="false" ht="15.75" hidden="false" customHeight="false" outlineLevel="0" collapsed="false">
      <c r="A336" s="10"/>
      <c r="B336" s="11"/>
      <c r="C336" s="11"/>
      <c r="D336" s="9"/>
      <c r="E336" s="9"/>
      <c r="F336" s="11"/>
      <c r="G336" s="11"/>
      <c r="H336" s="9"/>
      <c r="I336" s="9"/>
      <c r="J336" s="12"/>
      <c r="K336" s="12"/>
      <c r="L336" s="12" t="str">
        <f aca="false">IF(A336="","",IF(I336="はい",IF(AND(ISNUMBER(J336),ISNUMBER(K336)),K336-J336,""),""))</f>
        <v/>
      </c>
      <c r="M336" s="9"/>
      <c r="N336" s="11"/>
      <c r="O336" s="13"/>
    </row>
    <row r="337" customFormat="false" ht="15.75" hidden="false" customHeight="false" outlineLevel="0" collapsed="false">
      <c r="A337" s="10"/>
      <c r="B337" s="11"/>
      <c r="C337" s="11"/>
      <c r="D337" s="9"/>
      <c r="E337" s="9"/>
      <c r="F337" s="11"/>
      <c r="G337" s="11"/>
      <c r="H337" s="9"/>
      <c r="I337" s="9"/>
      <c r="J337" s="12"/>
      <c r="K337" s="12"/>
      <c r="L337" s="12" t="str">
        <f aca="false">IF(A337="","",IF(I337="はい",IF(AND(ISNUMBER(J337),ISNUMBER(K337)),K337-J337,""),""))</f>
        <v/>
      </c>
      <c r="M337" s="9"/>
      <c r="N337" s="11"/>
      <c r="O337" s="13"/>
    </row>
    <row r="338" customFormat="false" ht="15.75" hidden="false" customHeight="false" outlineLevel="0" collapsed="false">
      <c r="A338" s="10"/>
      <c r="B338" s="11"/>
      <c r="C338" s="11"/>
      <c r="D338" s="9"/>
      <c r="E338" s="9"/>
      <c r="F338" s="11"/>
      <c r="G338" s="11"/>
      <c r="H338" s="9"/>
      <c r="I338" s="9"/>
      <c r="J338" s="12"/>
      <c r="K338" s="12"/>
      <c r="L338" s="12" t="str">
        <f aca="false">IF(A338="","",IF(I338="はい",IF(AND(ISNUMBER(J338),ISNUMBER(K338)),K338-J338,""),""))</f>
        <v/>
      </c>
      <c r="M338" s="9"/>
      <c r="N338" s="11"/>
      <c r="O338" s="13"/>
    </row>
    <row r="339" customFormat="false" ht="15.75" hidden="false" customHeight="false" outlineLevel="0" collapsed="false">
      <c r="A339" s="10"/>
      <c r="B339" s="11"/>
      <c r="C339" s="11"/>
      <c r="D339" s="9"/>
      <c r="E339" s="9"/>
      <c r="F339" s="11"/>
      <c r="G339" s="11"/>
      <c r="H339" s="9"/>
      <c r="I339" s="9"/>
      <c r="J339" s="12"/>
      <c r="K339" s="12"/>
      <c r="L339" s="12" t="str">
        <f aca="false">IF(A339="","",IF(I339="はい",IF(AND(ISNUMBER(J339),ISNUMBER(K339)),K339-J339,""),""))</f>
        <v/>
      </c>
      <c r="M339" s="9"/>
      <c r="N339" s="11"/>
      <c r="O339" s="13"/>
    </row>
    <row r="340" customFormat="false" ht="15.75" hidden="false" customHeight="false" outlineLevel="0" collapsed="false">
      <c r="A340" s="10"/>
      <c r="B340" s="11"/>
      <c r="C340" s="11"/>
      <c r="D340" s="9"/>
      <c r="E340" s="9"/>
      <c r="F340" s="11"/>
      <c r="G340" s="11"/>
      <c r="H340" s="9"/>
      <c r="I340" s="9"/>
      <c r="J340" s="12"/>
      <c r="K340" s="12"/>
      <c r="L340" s="12" t="str">
        <f aca="false">IF(A340="","",IF(I340="はい",IF(AND(ISNUMBER(J340),ISNUMBER(K340)),K340-J340,""),""))</f>
        <v/>
      </c>
      <c r="M340" s="9"/>
      <c r="N340" s="11"/>
      <c r="O340" s="13"/>
    </row>
    <row r="341" customFormat="false" ht="15.75" hidden="false" customHeight="false" outlineLevel="0" collapsed="false">
      <c r="A341" s="10"/>
      <c r="B341" s="11"/>
      <c r="C341" s="11"/>
      <c r="D341" s="9"/>
      <c r="E341" s="9"/>
      <c r="F341" s="11"/>
      <c r="G341" s="11"/>
      <c r="H341" s="9"/>
      <c r="I341" s="9"/>
      <c r="J341" s="12"/>
      <c r="K341" s="12"/>
      <c r="L341" s="12" t="str">
        <f aca="false">IF(A341="","",IF(I341="はい",IF(AND(ISNUMBER(J341),ISNUMBER(K341)),K341-J341,""),""))</f>
        <v/>
      </c>
      <c r="M341" s="9"/>
      <c r="N341" s="11"/>
      <c r="O341" s="13"/>
    </row>
    <row r="342" customFormat="false" ht="15.75" hidden="false" customHeight="false" outlineLevel="0" collapsed="false">
      <c r="A342" s="10"/>
      <c r="B342" s="11"/>
      <c r="C342" s="11"/>
      <c r="D342" s="9"/>
      <c r="E342" s="9"/>
      <c r="F342" s="11"/>
      <c r="G342" s="11"/>
      <c r="H342" s="9"/>
      <c r="I342" s="9"/>
      <c r="J342" s="12"/>
      <c r="K342" s="12"/>
      <c r="L342" s="12" t="str">
        <f aca="false">IF(A342="","",IF(I342="はい",IF(AND(ISNUMBER(J342),ISNUMBER(K342)),K342-J342,""),""))</f>
        <v/>
      </c>
      <c r="M342" s="9"/>
      <c r="N342" s="11"/>
      <c r="O342" s="13"/>
    </row>
    <row r="343" customFormat="false" ht="15.75" hidden="false" customHeight="false" outlineLevel="0" collapsed="false">
      <c r="A343" s="10"/>
      <c r="B343" s="11"/>
      <c r="C343" s="11"/>
      <c r="D343" s="9"/>
      <c r="E343" s="9"/>
      <c r="F343" s="11"/>
      <c r="G343" s="11"/>
      <c r="H343" s="9"/>
      <c r="I343" s="9"/>
      <c r="J343" s="12"/>
      <c r="K343" s="12"/>
      <c r="L343" s="12" t="str">
        <f aca="false">IF(A343="","",IF(I343="はい",IF(AND(ISNUMBER(J343),ISNUMBER(K343)),K343-J343,""),""))</f>
        <v/>
      </c>
      <c r="M343" s="9"/>
      <c r="N343" s="11"/>
      <c r="O343" s="13"/>
    </row>
    <row r="344" customFormat="false" ht="15.75" hidden="false" customHeight="false" outlineLevel="0" collapsed="false">
      <c r="A344" s="10"/>
      <c r="B344" s="11"/>
      <c r="C344" s="11"/>
      <c r="D344" s="9"/>
      <c r="E344" s="9"/>
      <c r="F344" s="11"/>
      <c r="G344" s="11"/>
      <c r="H344" s="9"/>
      <c r="I344" s="9"/>
      <c r="J344" s="12"/>
      <c r="K344" s="12"/>
      <c r="L344" s="12" t="str">
        <f aca="false">IF(A344="","",IF(I344="はい",IF(AND(ISNUMBER(J344),ISNUMBER(K344)),K344-J344,""),""))</f>
        <v/>
      </c>
      <c r="M344" s="9"/>
      <c r="N344" s="11"/>
      <c r="O344" s="13"/>
    </row>
    <row r="345" customFormat="false" ht="15.75" hidden="false" customHeight="false" outlineLevel="0" collapsed="false">
      <c r="A345" s="10"/>
      <c r="B345" s="11"/>
      <c r="C345" s="11"/>
      <c r="D345" s="9"/>
      <c r="E345" s="9"/>
      <c r="F345" s="11"/>
      <c r="G345" s="11"/>
      <c r="H345" s="9"/>
      <c r="I345" s="9"/>
      <c r="J345" s="12"/>
      <c r="K345" s="12"/>
      <c r="L345" s="12" t="str">
        <f aca="false">IF(A345="","",IF(I345="はい",IF(AND(ISNUMBER(J345),ISNUMBER(K345)),K345-J345,""),""))</f>
        <v/>
      </c>
      <c r="M345" s="9"/>
      <c r="N345" s="11"/>
      <c r="O345" s="13"/>
    </row>
    <row r="346" customFormat="false" ht="15.75" hidden="false" customHeight="false" outlineLevel="0" collapsed="false">
      <c r="A346" s="10"/>
      <c r="B346" s="11"/>
      <c r="C346" s="11"/>
      <c r="D346" s="9"/>
      <c r="E346" s="9"/>
      <c r="F346" s="11"/>
      <c r="G346" s="11"/>
      <c r="H346" s="9"/>
      <c r="I346" s="9"/>
      <c r="J346" s="12"/>
      <c r="K346" s="12"/>
      <c r="L346" s="12" t="str">
        <f aca="false">IF(A346="","",IF(I346="はい",IF(AND(ISNUMBER(J346),ISNUMBER(K346)),K346-J346,""),""))</f>
        <v/>
      </c>
      <c r="M346" s="9"/>
      <c r="N346" s="11"/>
      <c r="O346" s="13"/>
    </row>
    <row r="347" customFormat="false" ht="15.75" hidden="false" customHeight="false" outlineLevel="0" collapsed="false">
      <c r="A347" s="10"/>
      <c r="B347" s="11"/>
      <c r="C347" s="11"/>
      <c r="D347" s="9"/>
      <c r="E347" s="9"/>
      <c r="F347" s="11"/>
      <c r="G347" s="11"/>
      <c r="H347" s="9"/>
      <c r="I347" s="9"/>
      <c r="J347" s="12"/>
      <c r="K347" s="12"/>
      <c r="L347" s="12" t="str">
        <f aca="false">IF(A347="","",IF(I347="はい",IF(AND(ISNUMBER(J347),ISNUMBER(K347)),K347-J347,""),""))</f>
        <v/>
      </c>
      <c r="M347" s="9"/>
      <c r="N347" s="11"/>
      <c r="O347" s="13"/>
    </row>
    <row r="348" customFormat="false" ht="15.75" hidden="false" customHeight="false" outlineLevel="0" collapsed="false">
      <c r="A348" s="10"/>
      <c r="B348" s="11"/>
      <c r="C348" s="11"/>
      <c r="D348" s="9"/>
      <c r="E348" s="9"/>
      <c r="F348" s="11"/>
      <c r="G348" s="11"/>
      <c r="H348" s="9"/>
      <c r="I348" s="9"/>
      <c r="J348" s="12"/>
      <c r="K348" s="12"/>
      <c r="L348" s="12" t="str">
        <f aca="false">IF(A348="","",IF(I348="はい",IF(AND(ISNUMBER(J348),ISNUMBER(K348)),K348-J348,""),""))</f>
        <v/>
      </c>
      <c r="M348" s="9"/>
      <c r="N348" s="11"/>
      <c r="O348" s="13"/>
    </row>
    <row r="349" customFormat="false" ht="15.75" hidden="false" customHeight="false" outlineLevel="0" collapsed="false">
      <c r="A349" s="10"/>
      <c r="B349" s="11"/>
      <c r="C349" s="11"/>
      <c r="D349" s="9"/>
      <c r="E349" s="9"/>
      <c r="F349" s="11"/>
      <c r="G349" s="11"/>
      <c r="H349" s="9"/>
      <c r="I349" s="9"/>
      <c r="J349" s="12"/>
      <c r="K349" s="12"/>
      <c r="L349" s="12" t="str">
        <f aca="false">IF(A349="","",IF(I349="はい",IF(AND(ISNUMBER(J349),ISNUMBER(K349)),K349-J349,""),""))</f>
        <v/>
      </c>
      <c r="M349" s="9"/>
      <c r="N349" s="11"/>
      <c r="O349" s="13"/>
    </row>
    <row r="350" customFormat="false" ht="15.75" hidden="false" customHeight="false" outlineLevel="0" collapsed="false">
      <c r="A350" s="10"/>
      <c r="B350" s="11"/>
      <c r="C350" s="11"/>
      <c r="D350" s="9"/>
      <c r="E350" s="9"/>
      <c r="F350" s="11"/>
      <c r="G350" s="11"/>
      <c r="H350" s="9"/>
      <c r="I350" s="9"/>
      <c r="J350" s="12"/>
      <c r="K350" s="12"/>
      <c r="L350" s="12" t="str">
        <f aca="false">IF(A350="","",IF(I350="はい",IF(AND(ISNUMBER(J350),ISNUMBER(K350)),K350-J350,""),""))</f>
        <v/>
      </c>
      <c r="M350" s="9"/>
      <c r="N350" s="11"/>
      <c r="O350" s="13"/>
    </row>
    <row r="351" customFormat="false" ht="15.75" hidden="false" customHeight="false" outlineLevel="0" collapsed="false">
      <c r="A351" s="10"/>
      <c r="B351" s="11"/>
      <c r="C351" s="11"/>
      <c r="D351" s="9"/>
      <c r="E351" s="9"/>
      <c r="F351" s="11"/>
      <c r="G351" s="11"/>
      <c r="H351" s="9"/>
      <c r="I351" s="9"/>
      <c r="J351" s="12"/>
      <c r="K351" s="12"/>
      <c r="L351" s="12" t="str">
        <f aca="false">IF(A351="","",IF(I351="はい",IF(AND(ISNUMBER(J351),ISNUMBER(K351)),K351-J351,""),""))</f>
        <v/>
      </c>
      <c r="M351" s="9"/>
      <c r="N351" s="11"/>
      <c r="O351" s="13"/>
    </row>
    <row r="352" customFormat="false" ht="15.75" hidden="false" customHeight="false" outlineLevel="0" collapsed="false">
      <c r="A352" s="10"/>
      <c r="B352" s="11"/>
      <c r="C352" s="11"/>
      <c r="D352" s="9"/>
      <c r="E352" s="9"/>
      <c r="F352" s="11"/>
      <c r="G352" s="11"/>
      <c r="H352" s="9"/>
      <c r="I352" s="9"/>
      <c r="J352" s="12"/>
      <c r="K352" s="12"/>
      <c r="L352" s="12" t="str">
        <f aca="false">IF(A352="","",IF(I352="はい",IF(AND(ISNUMBER(J352),ISNUMBER(K352)),K352-J352,""),""))</f>
        <v/>
      </c>
      <c r="M352" s="9"/>
      <c r="N352" s="11"/>
      <c r="O352" s="13"/>
    </row>
    <row r="353" customFormat="false" ht="15.75" hidden="false" customHeight="false" outlineLevel="0" collapsed="false">
      <c r="A353" s="10"/>
      <c r="B353" s="11"/>
      <c r="C353" s="11"/>
      <c r="D353" s="9"/>
      <c r="E353" s="9"/>
      <c r="F353" s="11"/>
      <c r="G353" s="11"/>
      <c r="H353" s="9"/>
      <c r="I353" s="9"/>
      <c r="J353" s="12"/>
      <c r="K353" s="12"/>
      <c r="L353" s="12" t="str">
        <f aca="false">IF(A353="","",IF(I353="はい",IF(AND(ISNUMBER(J353),ISNUMBER(K353)),K353-J353,""),""))</f>
        <v/>
      </c>
      <c r="M353" s="9"/>
      <c r="N353" s="11"/>
      <c r="O353" s="13"/>
    </row>
    <row r="354" customFormat="false" ht="15.75" hidden="false" customHeight="false" outlineLevel="0" collapsed="false">
      <c r="A354" s="10"/>
      <c r="B354" s="11"/>
      <c r="C354" s="11"/>
      <c r="D354" s="9"/>
      <c r="E354" s="9"/>
      <c r="F354" s="11"/>
      <c r="G354" s="11"/>
      <c r="H354" s="9"/>
      <c r="I354" s="9"/>
      <c r="J354" s="12"/>
      <c r="K354" s="12"/>
      <c r="L354" s="12" t="str">
        <f aca="false">IF(A354="","",IF(I354="はい",IF(AND(ISNUMBER(J354),ISNUMBER(K354)),K354-J354,""),""))</f>
        <v/>
      </c>
      <c r="M354" s="9"/>
      <c r="N354" s="11"/>
      <c r="O354" s="13"/>
    </row>
    <row r="355" customFormat="false" ht="15.75" hidden="false" customHeight="false" outlineLevel="0" collapsed="false">
      <c r="A355" s="10"/>
      <c r="B355" s="11"/>
      <c r="C355" s="11"/>
      <c r="D355" s="9"/>
      <c r="E355" s="9"/>
      <c r="F355" s="11"/>
      <c r="G355" s="11"/>
      <c r="H355" s="9"/>
      <c r="I355" s="9"/>
      <c r="J355" s="12"/>
      <c r="K355" s="12"/>
      <c r="L355" s="12" t="str">
        <f aca="false">IF(A355="","",IF(I355="はい",IF(AND(ISNUMBER(J355),ISNUMBER(K355)),K355-J355,""),""))</f>
        <v/>
      </c>
      <c r="M355" s="9"/>
      <c r="N355" s="11"/>
      <c r="O355" s="13"/>
    </row>
    <row r="356" customFormat="false" ht="15.75" hidden="false" customHeight="false" outlineLevel="0" collapsed="false">
      <c r="A356" s="10"/>
      <c r="B356" s="11"/>
      <c r="C356" s="11"/>
      <c r="D356" s="9"/>
      <c r="E356" s="9"/>
      <c r="F356" s="11"/>
      <c r="G356" s="11"/>
      <c r="H356" s="9"/>
      <c r="I356" s="9"/>
      <c r="J356" s="12"/>
      <c r="K356" s="12"/>
      <c r="L356" s="12" t="str">
        <f aca="false">IF(A356="","",IF(I356="はい",IF(AND(ISNUMBER(J356),ISNUMBER(K356)),K356-J356,""),""))</f>
        <v/>
      </c>
      <c r="M356" s="9"/>
      <c r="N356" s="11"/>
      <c r="O356" s="13"/>
    </row>
    <row r="357" customFormat="false" ht="15.75" hidden="false" customHeight="false" outlineLevel="0" collapsed="false">
      <c r="A357" s="10"/>
      <c r="B357" s="11"/>
      <c r="C357" s="11"/>
      <c r="D357" s="9"/>
      <c r="E357" s="9"/>
      <c r="F357" s="11"/>
      <c r="G357" s="11"/>
      <c r="H357" s="9"/>
      <c r="I357" s="9"/>
      <c r="J357" s="12"/>
      <c r="K357" s="12"/>
      <c r="L357" s="12" t="str">
        <f aca="false">IF(A357="","",IF(I357="はい",IF(AND(ISNUMBER(J357),ISNUMBER(K357)),K357-J357,""),""))</f>
        <v/>
      </c>
      <c r="M357" s="9"/>
      <c r="N357" s="11"/>
      <c r="O357" s="13"/>
    </row>
    <row r="358" customFormat="false" ht="15.75" hidden="false" customHeight="false" outlineLevel="0" collapsed="false">
      <c r="A358" s="10"/>
      <c r="B358" s="11"/>
      <c r="C358" s="11"/>
      <c r="D358" s="9"/>
      <c r="E358" s="9"/>
      <c r="F358" s="11"/>
      <c r="G358" s="11"/>
      <c r="H358" s="9"/>
      <c r="I358" s="9"/>
      <c r="J358" s="12"/>
      <c r="K358" s="12"/>
      <c r="L358" s="12" t="str">
        <f aca="false">IF(A358="","",IF(I358="はい",IF(AND(ISNUMBER(J358),ISNUMBER(K358)),K358-J358,""),""))</f>
        <v/>
      </c>
      <c r="M358" s="9"/>
      <c r="N358" s="11"/>
      <c r="O358" s="13"/>
    </row>
    <row r="359" customFormat="false" ht="15.75" hidden="false" customHeight="false" outlineLevel="0" collapsed="false">
      <c r="A359" s="10"/>
      <c r="B359" s="11"/>
      <c r="C359" s="11"/>
      <c r="D359" s="9"/>
      <c r="E359" s="9"/>
      <c r="F359" s="11"/>
      <c r="G359" s="11"/>
      <c r="H359" s="9"/>
      <c r="I359" s="9"/>
      <c r="J359" s="12"/>
      <c r="K359" s="12"/>
      <c r="L359" s="12" t="str">
        <f aca="false">IF(A359="","",IF(I359="はい",IF(AND(ISNUMBER(J359),ISNUMBER(K359)),K359-J359,""),""))</f>
        <v/>
      </c>
      <c r="M359" s="9"/>
      <c r="N359" s="11"/>
      <c r="O359" s="13"/>
    </row>
    <row r="360" customFormat="false" ht="15.75" hidden="false" customHeight="false" outlineLevel="0" collapsed="false">
      <c r="A360" s="10"/>
      <c r="B360" s="11"/>
      <c r="C360" s="11"/>
      <c r="D360" s="9"/>
      <c r="E360" s="9"/>
      <c r="F360" s="11"/>
      <c r="G360" s="11"/>
      <c r="H360" s="9"/>
      <c r="I360" s="9"/>
      <c r="J360" s="12"/>
      <c r="K360" s="12"/>
      <c r="L360" s="12" t="str">
        <f aca="false">IF(A360="","",IF(I360="はい",IF(AND(ISNUMBER(J360),ISNUMBER(K360)),K360-J360,""),""))</f>
        <v/>
      </c>
      <c r="M360" s="9"/>
      <c r="N360" s="11"/>
      <c r="O360" s="13"/>
    </row>
    <row r="361" customFormat="false" ht="15.75" hidden="false" customHeight="false" outlineLevel="0" collapsed="false">
      <c r="A361" s="10"/>
      <c r="B361" s="11"/>
      <c r="C361" s="11"/>
      <c r="D361" s="9"/>
      <c r="E361" s="9"/>
      <c r="F361" s="11"/>
      <c r="G361" s="11"/>
      <c r="H361" s="9"/>
      <c r="I361" s="9"/>
      <c r="J361" s="12"/>
      <c r="K361" s="12"/>
      <c r="L361" s="12" t="str">
        <f aca="false">IF(A361="","",IF(I361="はい",IF(AND(ISNUMBER(J361),ISNUMBER(K361)),K361-J361,""),""))</f>
        <v/>
      </c>
      <c r="M361" s="9"/>
      <c r="N361" s="11"/>
      <c r="O361" s="13"/>
    </row>
    <row r="362" customFormat="false" ht="15.75" hidden="false" customHeight="false" outlineLevel="0" collapsed="false">
      <c r="A362" s="10"/>
      <c r="B362" s="11"/>
      <c r="C362" s="11"/>
      <c r="D362" s="9"/>
      <c r="E362" s="9"/>
      <c r="F362" s="11"/>
      <c r="G362" s="11"/>
      <c r="H362" s="9"/>
      <c r="I362" s="9"/>
      <c r="J362" s="12"/>
      <c r="K362" s="12"/>
      <c r="L362" s="12" t="str">
        <f aca="false">IF(A362="","",IF(I362="はい",IF(AND(ISNUMBER(J362),ISNUMBER(K362)),K362-J362,""),""))</f>
        <v/>
      </c>
      <c r="M362" s="9"/>
      <c r="N362" s="11"/>
      <c r="O362" s="13"/>
    </row>
    <row r="363" customFormat="false" ht="15.75" hidden="false" customHeight="false" outlineLevel="0" collapsed="false">
      <c r="A363" s="10"/>
      <c r="B363" s="11"/>
      <c r="C363" s="11"/>
      <c r="D363" s="9"/>
      <c r="E363" s="9"/>
      <c r="F363" s="11"/>
      <c r="G363" s="11"/>
      <c r="H363" s="9"/>
      <c r="I363" s="9"/>
      <c r="J363" s="12"/>
      <c r="K363" s="12"/>
      <c r="L363" s="12" t="str">
        <f aca="false">IF(A363="","",IF(I363="はい",IF(AND(ISNUMBER(J363),ISNUMBER(K363)),K363-J363,""),""))</f>
        <v/>
      </c>
      <c r="M363" s="9"/>
      <c r="N363" s="11"/>
      <c r="O363" s="13"/>
    </row>
    <row r="364" customFormat="false" ht="15.75" hidden="false" customHeight="false" outlineLevel="0" collapsed="false">
      <c r="A364" s="10"/>
      <c r="B364" s="11"/>
      <c r="C364" s="11"/>
      <c r="D364" s="9"/>
      <c r="E364" s="9"/>
      <c r="F364" s="11"/>
      <c r="G364" s="11"/>
      <c r="H364" s="9"/>
      <c r="I364" s="9"/>
      <c r="J364" s="12"/>
      <c r="K364" s="12"/>
      <c r="L364" s="12" t="str">
        <f aca="false">IF(A364="","",IF(I364="はい",IF(AND(ISNUMBER(J364),ISNUMBER(K364)),K364-J364,""),""))</f>
        <v/>
      </c>
      <c r="M364" s="9"/>
      <c r="N364" s="11"/>
      <c r="O364" s="13"/>
    </row>
    <row r="365" customFormat="false" ht="15.75" hidden="false" customHeight="false" outlineLevel="0" collapsed="false">
      <c r="A365" s="10"/>
      <c r="B365" s="11"/>
      <c r="C365" s="11"/>
      <c r="D365" s="9"/>
      <c r="E365" s="9"/>
      <c r="F365" s="11"/>
      <c r="G365" s="11"/>
      <c r="H365" s="9"/>
      <c r="I365" s="9"/>
      <c r="J365" s="12"/>
      <c r="K365" s="12"/>
      <c r="L365" s="12" t="str">
        <f aca="false">IF(A365="","",IF(I365="はい",IF(AND(ISNUMBER(J365),ISNUMBER(K365)),K365-J365,""),""))</f>
        <v/>
      </c>
      <c r="M365" s="9"/>
      <c r="N365" s="11"/>
      <c r="O365" s="13"/>
    </row>
    <row r="366" customFormat="false" ht="15.75" hidden="false" customHeight="false" outlineLevel="0" collapsed="false">
      <c r="A366" s="10"/>
      <c r="B366" s="11"/>
      <c r="C366" s="11"/>
      <c r="D366" s="9"/>
      <c r="E366" s="9"/>
      <c r="F366" s="11"/>
      <c r="G366" s="11"/>
      <c r="H366" s="9"/>
      <c r="I366" s="9"/>
      <c r="J366" s="12"/>
      <c r="K366" s="12"/>
      <c r="L366" s="12" t="str">
        <f aca="false">IF(A366="","",IF(I366="はい",IF(AND(ISNUMBER(J366),ISNUMBER(K366)),K366-J366,""),""))</f>
        <v/>
      </c>
      <c r="M366" s="9"/>
      <c r="N366" s="11"/>
      <c r="O366" s="13"/>
    </row>
    <row r="367" customFormat="false" ht="15.75" hidden="false" customHeight="false" outlineLevel="0" collapsed="false">
      <c r="A367" s="10"/>
      <c r="B367" s="11"/>
      <c r="C367" s="11"/>
      <c r="D367" s="9"/>
      <c r="E367" s="9"/>
      <c r="F367" s="11"/>
      <c r="G367" s="11"/>
      <c r="H367" s="9"/>
      <c r="I367" s="9"/>
      <c r="J367" s="12"/>
      <c r="K367" s="12"/>
      <c r="L367" s="12" t="str">
        <f aca="false">IF(A367="","",IF(I367="はい",IF(AND(ISNUMBER(J367),ISNUMBER(K367)),K367-J367,""),""))</f>
        <v/>
      </c>
      <c r="M367" s="9"/>
      <c r="N367" s="11"/>
      <c r="O367" s="13"/>
    </row>
    <row r="368" customFormat="false" ht="15.75" hidden="false" customHeight="false" outlineLevel="0" collapsed="false">
      <c r="A368" s="10"/>
      <c r="B368" s="11"/>
      <c r="C368" s="11"/>
      <c r="D368" s="9"/>
      <c r="E368" s="9"/>
      <c r="F368" s="11"/>
      <c r="G368" s="11"/>
      <c r="H368" s="9"/>
      <c r="I368" s="9"/>
      <c r="J368" s="12"/>
      <c r="K368" s="12"/>
      <c r="L368" s="12" t="str">
        <f aca="false">IF(A368="","",IF(I368="はい",IF(AND(ISNUMBER(J368),ISNUMBER(K368)),K368-J368,""),""))</f>
        <v/>
      </c>
      <c r="M368" s="9"/>
      <c r="N368" s="11"/>
      <c r="O368" s="13"/>
    </row>
    <row r="369" customFormat="false" ht="15.75" hidden="false" customHeight="false" outlineLevel="0" collapsed="false">
      <c r="A369" s="10"/>
      <c r="B369" s="11"/>
      <c r="C369" s="11"/>
      <c r="D369" s="9"/>
      <c r="E369" s="9"/>
      <c r="F369" s="11"/>
      <c r="G369" s="11"/>
      <c r="H369" s="9"/>
      <c r="I369" s="9"/>
      <c r="J369" s="12"/>
      <c r="K369" s="12"/>
      <c r="L369" s="12" t="str">
        <f aca="false">IF(A369="","",IF(I369="はい",IF(AND(ISNUMBER(J369),ISNUMBER(K369)),K369-J369,""),""))</f>
        <v/>
      </c>
      <c r="M369" s="9"/>
      <c r="N369" s="11"/>
      <c r="O369" s="13"/>
    </row>
    <row r="370" customFormat="false" ht="15.75" hidden="false" customHeight="false" outlineLevel="0" collapsed="false">
      <c r="A370" s="10"/>
      <c r="B370" s="11"/>
      <c r="C370" s="11"/>
      <c r="D370" s="9"/>
      <c r="E370" s="9"/>
      <c r="F370" s="11"/>
      <c r="G370" s="11"/>
      <c r="H370" s="9"/>
      <c r="I370" s="9"/>
      <c r="J370" s="12"/>
      <c r="K370" s="12"/>
      <c r="L370" s="12" t="str">
        <f aca="false">IF(A370="","",IF(I370="はい",IF(AND(ISNUMBER(J370),ISNUMBER(K370)),K370-J370,""),""))</f>
        <v/>
      </c>
      <c r="M370" s="9"/>
      <c r="N370" s="11"/>
      <c r="O370" s="13"/>
    </row>
    <row r="371" customFormat="false" ht="15.75" hidden="false" customHeight="false" outlineLevel="0" collapsed="false">
      <c r="A371" s="10"/>
      <c r="B371" s="11"/>
      <c r="C371" s="11"/>
      <c r="D371" s="9"/>
      <c r="E371" s="9"/>
      <c r="F371" s="11"/>
      <c r="G371" s="11"/>
      <c r="H371" s="9"/>
      <c r="I371" s="9"/>
      <c r="J371" s="12"/>
      <c r="K371" s="12"/>
      <c r="L371" s="12" t="str">
        <f aca="false">IF(A371="","",IF(I371="はい",IF(AND(ISNUMBER(J371),ISNUMBER(K371)),K371-J371,""),""))</f>
        <v/>
      </c>
      <c r="M371" s="9"/>
      <c r="N371" s="11"/>
      <c r="O371" s="13"/>
    </row>
    <row r="372" customFormat="false" ht="15.75" hidden="false" customHeight="false" outlineLevel="0" collapsed="false">
      <c r="A372" s="10"/>
      <c r="B372" s="11"/>
      <c r="C372" s="11"/>
      <c r="D372" s="9"/>
      <c r="E372" s="9"/>
      <c r="F372" s="11"/>
      <c r="G372" s="11"/>
      <c r="H372" s="9"/>
      <c r="I372" s="9"/>
      <c r="J372" s="12"/>
      <c r="K372" s="12"/>
      <c r="L372" s="12" t="str">
        <f aca="false">IF(A372="","",IF(I372="はい",IF(AND(ISNUMBER(J372),ISNUMBER(K372)),K372-J372,""),""))</f>
        <v/>
      </c>
      <c r="M372" s="9"/>
      <c r="N372" s="11"/>
      <c r="O372" s="13"/>
    </row>
    <row r="373" customFormat="false" ht="15.75" hidden="false" customHeight="false" outlineLevel="0" collapsed="false">
      <c r="A373" s="10"/>
      <c r="B373" s="11"/>
      <c r="C373" s="11"/>
      <c r="D373" s="9"/>
      <c r="E373" s="9"/>
      <c r="F373" s="11"/>
      <c r="G373" s="11"/>
      <c r="H373" s="9"/>
      <c r="I373" s="9"/>
      <c r="J373" s="12"/>
      <c r="K373" s="12"/>
      <c r="L373" s="12" t="str">
        <f aca="false">IF(A373="","",IF(I373="はい",IF(AND(ISNUMBER(J373),ISNUMBER(K373)),K373-J373,""),""))</f>
        <v/>
      </c>
      <c r="M373" s="9"/>
      <c r="N373" s="11"/>
      <c r="O373" s="13"/>
    </row>
    <row r="374" customFormat="false" ht="15.75" hidden="false" customHeight="false" outlineLevel="0" collapsed="false">
      <c r="A374" s="10"/>
      <c r="B374" s="11"/>
      <c r="C374" s="11"/>
      <c r="D374" s="9"/>
      <c r="E374" s="9"/>
      <c r="F374" s="11"/>
      <c r="G374" s="11"/>
      <c r="H374" s="9"/>
      <c r="I374" s="9"/>
      <c r="J374" s="12"/>
      <c r="K374" s="12"/>
      <c r="L374" s="12" t="str">
        <f aca="false">IF(A374="","",IF(I374="はい",IF(AND(ISNUMBER(J374),ISNUMBER(K374)),K374-J374,""),""))</f>
        <v/>
      </c>
      <c r="M374" s="9"/>
      <c r="N374" s="11"/>
      <c r="O374" s="13"/>
    </row>
    <row r="375" customFormat="false" ht="15.75" hidden="false" customHeight="false" outlineLevel="0" collapsed="false">
      <c r="A375" s="10"/>
      <c r="B375" s="11"/>
      <c r="C375" s="11"/>
      <c r="D375" s="9"/>
      <c r="E375" s="9"/>
      <c r="F375" s="11"/>
      <c r="G375" s="11"/>
      <c r="H375" s="9"/>
      <c r="I375" s="9"/>
      <c r="J375" s="12"/>
      <c r="K375" s="12"/>
      <c r="L375" s="12" t="str">
        <f aca="false">IF(A375="","",IF(I375="はい",IF(AND(ISNUMBER(J375),ISNUMBER(K375)),K375-J375,""),""))</f>
        <v/>
      </c>
      <c r="M375" s="9"/>
      <c r="N375" s="11"/>
      <c r="O375" s="13"/>
    </row>
    <row r="376" customFormat="false" ht="15.75" hidden="false" customHeight="false" outlineLevel="0" collapsed="false">
      <c r="A376" s="10"/>
      <c r="B376" s="11"/>
      <c r="C376" s="11"/>
      <c r="D376" s="9"/>
      <c r="E376" s="9"/>
      <c r="F376" s="11"/>
      <c r="G376" s="11"/>
      <c r="H376" s="9"/>
      <c r="I376" s="9"/>
      <c r="J376" s="12"/>
      <c r="K376" s="12"/>
      <c r="L376" s="12" t="str">
        <f aca="false">IF(A376="","",IF(I376="はい",IF(AND(ISNUMBER(J376),ISNUMBER(K376)),K376-J376,""),""))</f>
        <v/>
      </c>
      <c r="M376" s="9"/>
      <c r="N376" s="11"/>
      <c r="O376" s="13"/>
    </row>
    <row r="377" customFormat="false" ht="15.75" hidden="false" customHeight="false" outlineLevel="0" collapsed="false">
      <c r="A377" s="10"/>
      <c r="B377" s="11"/>
      <c r="C377" s="11"/>
      <c r="D377" s="9"/>
      <c r="E377" s="9"/>
      <c r="F377" s="11"/>
      <c r="G377" s="11"/>
      <c r="H377" s="9"/>
      <c r="I377" s="9"/>
      <c r="J377" s="12"/>
      <c r="K377" s="12"/>
      <c r="L377" s="12" t="str">
        <f aca="false">IF(A377="","",IF(I377="はい",IF(AND(ISNUMBER(J377),ISNUMBER(K377)),K377-J377,""),""))</f>
        <v/>
      </c>
      <c r="M377" s="9"/>
      <c r="N377" s="11"/>
      <c r="O377" s="13"/>
    </row>
    <row r="378" customFormat="false" ht="15.75" hidden="false" customHeight="false" outlineLevel="0" collapsed="false">
      <c r="A378" s="10"/>
      <c r="B378" s="11"/>
      <c r="C378" s="11"/>
      <c r="D378" s="9"/>
      <c r="E378" s="9"/>
      <c r="F378" s="11"/>
      <c r="G378" s="11"/>
      <c r="H378" s="9"/>
      <c r="I378" s="9"/>
      <c r="J378" s="12"/>
      <c r="K378" s="12"/>
      <c r="L378" s="12" t="str">
        <f aca="false">IF(A378="","",IF(I378="はい",IF(AND(ISNUMBER(J378),ISNUMBER(K378)),K378-J378,""),""))</f>
        <v/>
      </c>
      <c r="M378" s="9"/>
      <c r="N378" s="11"/>
      <c r="O378" s="13"/>
    </row>
    <row r="379" customFormat="false" ht="15.75" hidden="false" customHeight="false" outlineLevel="0" collapsed="false">
      <c r="A379" s="10"/>
      <c r="B379" s="11"/>
      <c r="C379" s="11"/>
      <c r="D379" s="9"/>
      <c r="E379" s="9"/>
      <c r="F379" s="11"/>
      <c r="G379" s="11"/>
      <c r="H379" s="9"/>
      <c r="I379" s="9"/>
      <c r="J379" s="12"/>
      <c r="K379" s="12"/>
      <c r="L379" s="12" t="str">
        <f aca="false">IF(A379="","",IF(I379="はい",IF(AND(ISNUMBER(J379),ISNUMBER(K379)),K379-J379,""),""))</f>
        <v/>
      </c>
      <c r="M379" s="9"/>
      <c r="N379" s="11"/>
      <c r="O379" s="13"/>
    </row>
    <row r="380" customFormat="false" ht="15.75" hidden="false" customHeight="false" outlineLevel="0" collapsed="false">
      <c r="A380" s="10"/>
      <c r="B380" s="11"/>
      <c r="C380" s="11"/>
      <c r="D380" s="9"/>
      <c r="E380" s="9"/>
      <c r="F380" s="11"/>
      <c r="G380" s="11"/>
      <c r="H380" s="9"/>
      <c r="I380" s="9"/>
      <c r="J380" s="12"/>
      <c r="K380" s="12"/>
      <c r="L380" s="12" t="str">
        <f aca="false">IF(A380="","",IF(I380="はい",IF(AND(ISNUMBER(J380),ISNUMBER(K380)),K380-J380,""),""))</f>
        <v/>
      </c>
      <c r="M380" s="9"/>
      <c r="N380" s="11"/>
      <c r="O380" s="13"/>
    </row>
    <row r="381" customFormat="false" ht="15.75" hidden="false" customHeight="false" outlineLevel="0" collapsed="false">
      <c r="A381" s="10"/>
      <c r="B381" s="11"/>
      <c r="C381" s="11"/>
      <c r="D381" s="9"/>
      <c r="E381" s="9"/>
      <c r="F381" s="11"/>
      <c r="G381" s="11"/>
      <c r="H381" s="9"/>
      <c r="I381" s="9"/>
      <c r="J381" s="12"/>
      <c r="K381" s="12"/>
      <c r="L381" s="12" t="str">
        <f aca="false">IF(A381="","",IF(I381="はい",IF(AND(ISNUMBER(J381),ISNUMBER(K381)),K381-J381,""),""))</f>
        <v/>
      </c>
      <c r="M381" s="9"/>
      <c r="N381" s="11"/>
      <c r="O381" s="13"/>
    </row>
    <row r="382" customFormat="false" ht="15.75" hidden="false" customHeight="false" outlineLevel="0" collapsed="false">
      <c r="A382" s="10"/>
      <c r="B382" s="11"/>
      <c r="C382" s="11"/>
      <c r="D382" s="9"/>
      <c r="E382" s="9"/>
      <c r="F382" s="11"/>
      <c r="G382" s="11"/>
      <c r="H382" s="9"/>
      <c r="I382" s="9"/>
      <c r="J382" s="12"/>
      <c r="K382" s="12"/>
      <c r="L382" s="12" t="str">
        <f aca="false">IF(A382="","",IF(I382="はい",IF(AND(ISNUMBER(J382),ISNUMBER(K382)),K382-J382,""),""))</f>
        <v/>
      </c>
      <c r="M382" s="9"/>
      <c r="N382" s="11"/>
      <c r="O382" s="13"/>
    </row>
    <row r="383" customFormat="false" ht="15.75" hidden="false" customHeight="false" outlineLevel="0" collapsed="false">
      <c r="A383" s="10"/>
      <c r="B383" s="11"/>
      <c r="C383" s="11"/>
      <c r="D383" s="9"/>
      <c r="E383" s="9"/>
      <c r="F383" s="11"/>
      <c r="G383" s="11"/>
      <c r="H383" s="9"/>
      <c r="I383" s="9"/>
      <c r="J383" s="12"/>
      <c r="K383" s="12"/>
      <c r="L383" s="12" t="str">
        <f aca="false">IF(A383="","",IF(I383="はい",IF(AND(ISNUMBER(J383),ISNUMBER(K383)),K383-J383,""),""))</f>
        <v/>
      </c>
      <c r="M383" s="9"/>
      <c r="N383" s="11"/>
      <c r="O383" s="13"/>
    </row>
    <row r="384" customFormat="false" ht="15.75" hidden="false" customHeight="false" outlineLevel="0" collapsed="false">
      <c r="A384" s="10"/>
      <c r="B384" s="11"/>
      <c r="C384" s="11"/>
      <c r="D384" s="9"/>
      <c r="E384" s="9"/>
      <c r="F384" s="11"/>
      <c r="G384" s="11"/>
      <c r="H384" s="9"/>
      <c r="I384" s="9"/>
      <c r="J384" s="12"/>
      <c r="K384" s="12"/>
      <c r="L384" s="12" t="str">
        <f aca="false">IF(A384="","",IF(I384="はい",IF(AND(ISNUMBER(J384),ISNUMBER(K384)),K384-J384,""),""))</f>
        <v/>
      </c>
      <c r="M384" s="9"/>
      <c r="N384" s="11"/>
      <c r="O384" s="13"/>
    </row>
    <row r="385" customFormat="false" ht="15.75" hidden="false" customHeight="false" outlineLevel="0" collapsed="false">
      <c r="A385" s="10"/>
      <c r="B385" s="11"/>
      <c r="C385" s="11"/>
      <c r="D385" s="9"/>
      <c r="E385" s="9"/>
      <c r="F385" s="11"/>
      <c r="G385" s="11"/>
      <c r="H385" s="9"/>
      <c r="I385" s="9"/>
      <c r="J385" s="12"/>
      <c r="K385" s="12"/>
      <c r="L385" s="12" t="str">
        <f aca="false">IF(A385="","",IF(I385="はい",IF(AND(ISNUMBER(J385),ISNUMBER(K385)),K385-J385,""),""))</f>
        <v/>
      </c>
      <c r="M385" s="9"/>
      <c r="N385" s="11"/>
      <c r="O385" s="13"/>
    </row>
    <row r="386" customFormat="false" ht="15.75" hidden="false" customHeight="false" outlineLevel="0" collapsed="false">
      <c r="A386" s="10"/>
      <c r="B386" s="11"/>
      <c r="C386" s="11"/>
      <c r="D386" s="9"/>
      <c r="E386" s="9"/>
      <c r="F386" s="11"/>
      <c r="G386" s="11"/>
      <c r="H386" s="9"/>
      <c r="I386" s="9"/>
      <c r="J386" s="12"/>
      <c r="K386" s="12"/>
      <c r="L386" s="12" t="str">
        <f aca="false">IF(A386="","",IF(I386="はい",IF(AND(ISNUMBER(J386),ISNUMBER(K386)),K386-J386,""),""))</f>
        <v/>
      </c>
      <c r="M386" s="9"/>
      <c r="N386" s="11"/>
      <c r="O386" s="13"/>
    </row>
    <row r="387" customFormat="false" ht="15.75" hidden="false" customHeight="false" outlineLevel="0" collapsed="false">
      <c r="A387" s="10"/>
      <c r="B387" s="11"/>
      <c r="C387" s="11"/>
      <c r="D387" s="9"/>
      <c r="E387" s="9"/>
      <c r="F387" s="11"/>
      <c r="G387" s="11"/>
      <c r="H387" s="9"/>
      <c r="I387" s="9"/>
      <c r="J387" s="12"/>
      <c r="K387" s="12"/>
      <c r="L387" s="12" t="str">
        <f aca="false">IF(A387="","",IF(I387="はい",IF(AND(ISNUMBER(J387),ISNUMBER(K387)),K387-J387,""),""))</f>
        <v/>
      </c>
      <c r="M387" s="9"/>
      <c r="N387" s="11"/>
      <c r="O387" s="13"/>
    </row>
    <row r="388" customFormat="false" ht="15.75" hidden="false" customHeight="false" outlineLevel="0" collapsed="false">
      <c r="A388" s="10"/>
      <c r="B388" s="11"/>
      <c r="C388" s="11"/>
      <c r="D388" s="9"/>
      <c r="E388" s="9"/>
      <c r="F388" s="11"/>
      <c r="G388" s="11"/>
      <c r="H388" s="9"/>
      <c r="I388" s="9"/>
      <c r="J388" s="12"/>
      <c r="K388" s="12"/>
      <c r="L388" s="12" t="str">
        <f aca="false">IF(A388="","",IF(I388="はい",IF(AND(ISNUMBER(J388),ISNUMBER(K388)),K388-J388,""),""))</f>
        <v/>
      </c>
      <c r="M388" s="9"/>
      <c r="N388" s="11"/>
      <c r="O388" s="13"/>
    </row>
    <row r="389" customFormat="false" ht="15.75" hidden="false" customHeight="false" outlineLevel="0" collapsed="false">
      <c r="A389" s="10"/>
      <c r="B389" s="11"/>
      <c r="C389" s="11"/>
      <c r="D389" s="9"/>
      <c r="E389" s="9"/>
      <c r="F389" s="11"/>
      <c r="G389" s="11"/>
      <c r="H389" s="9"/>
      <c r="I389" s="9"/>
      <c r="J389" s="12"/>
      <c r="K389" s="12"/>
      <c r="L389" s="12" t="str">
        <f aca="false">IF(A389="","",IF(I389="はい",IF(AND(ISNUMBER(J389),ISNUMBER(K389)),K389-J389,""),""))</f>
        <v/>
      </c>
      <c r="M389" s="9"/>
      <c r="N389" s="11"/>
      <c r="O389" s="13"/>
    </row>
    <row r="390" customFormat="false" ht="15.75" hidden="false" customHeight="false" outlineLevel="0" collapsed="false">
      <c r="A390" s="10"/>
      <c r="B390" s="11"/>
      <c r="C390" s="11"/>
      <c r="D390" s="9"/>
      <c r="E390" s="9"/>
      <c r="F390" s="11"/>
      <c r="G390" s="11"/>
      <c r="H390" s="9"/>
      <c r="I390" s="9"/>
      <c r="J390" s="12"/>
      <c r="K390" s="12"/>
      <c r="L390" s="12" t="str">
        <f aca="false">IF(A390="","",IF(I390="はい",IF(AND(ISNUMBER(J390),ISNUMBER(K390)),K390-J390,""),""))</f>
        <v/>
      </c>
      <c r="M390" s="9"/>
      <c r="N390" s="11"/>
      <c r="O390" s="13"/>
    </row>
    <row r="391" customFormat="false" ht="15.75" hidden="false" customHeight="false" outlineLevel="0" collapsed="false">
      <c r="A391" s="10"/>
      <c r="B391" s="11"/>
      <c r="C391" s="11"/>
      <c r="D391" s="9"/>
      <c r="E391" s="9"/>
      <c r="F391" s="11"/>
      <c r="G391" s="11"/>
      <c r="H391" s="9"/>
      <c r="I391" s="9"/>
      <c r="J391" s="12"/>
      <c r="K391" s="12"/>
      <c r="L391" s="12" t="str">
        <f aca="false">IF(A391="","",IF(I391="はい",IF(AND(ISNUMBER(J391),ISNUMBER(K391)),K391-J391,""),""))</f>
        <v/>
      </c>
      <c r="M391" s="9"/>
      <c r="N391" s="11"/>
      <c r="O391" s="13"/>
    </row>
    <row r="392" customFormat="false" ht="15.75" hidden="false" customHeight="false" outlineLevel="0" collapsed="false">
      <c r="A392" s="10"/>
      <c r="B392" s="11"/>
      <c r="C392" s="11"/>
      <c r="D392" s="9"/>
      <c r="E392" s="9"/>
      <c r="F392" s="11"/>
      <c r="G392" s="11"/>
      <c r="H392" s="9"/>
      <c r="I392" s="9"/>
      <c r="J392" s="12"/>
      <c r="K392" s="12"/>
      <c r="L392" s="12" t="str">
        <f aca="false">IF(A392="","",IF(I392="はい",IF(AND(ISNUMBER(J392),ISNUMBER(K392)),K392-J392,""),""))</f>
        <v/>
      </c>
      <c r="M392" s="9"/>
      <c r="N392" s="11"/>
      <c r="O392" s="13"/>
    </row>
    <row r="393" customFormat="false" ht="15.75" hidden="false" customHeight="false" outlineLevel="0" collapsed="false">
      <c r="A393" s="10"/>
      <c r="B393" s="11"/>
      <c r="C393" s="11"/>
      <c r="D393" s="9"/>
      <c r="E393" s="9"/>
      <c r="F393" s="11"/>
      <c r="G393" s="11"/>
      <c r="H393" s="9"/>
      <c r="I393" s="9"/>
      <c r="J393" s="12"/>
      <c r="K393" s="12"/>
      <c r="L393" s="12" t="str">
        <f aca="false">IF(A393="","",IF(I393="はい",IF(AND(ISNUMBER(J393),ISNUMBER(K393)),K393-J393,""),""))</f>
        <v/>
      </c>
      <c r="M393" s="9"/>
      <c r="N393" s="11"/>
      <c r="O393" s="13"/>
    </row>
    <row r="394" customFormat="false" ht="15.75" hidden="false" customHeight="false" outlineLevel="0" collapsed="false">
      <c r="A394" s="10"/>
      <c r="B394" s="11"/>
      <c r="C394" s="11"/>
      <c r="D394" s="9"/>
      <c r="E394" s="9"/>
      <c r="F394" s="11"/>
      <c r="G394" s="11"/>
      <c r="H394" s="9"/>
      <c r="I394" s="9"/>
      <c r="J394" s="12"/>
      <c r="K394" s="12"/>
      <c r="L394" s="12" t="str">
        <f aca="false">IF(A394="","",IF(I394="はい",IF(AND(ISNUMBER(J394),ISNUMBER(K394)),K394-J394,""),""))</f>
        <v/>
      </c>
      <c r="M394" s="9"/>
      <c r="N394" s="11"/>
      <c r="O394" s="13"/>
    </row>
    <row r="395" customFormat="false" ht="15.75" hidden="false" customHeight="false" outlineLevel="0" collapsed="false">
      <c r="A395" s="10"/>
      <c r="B395" s="11"/>
      <c r="C395" s="11"/>
      <c r="D395" s="9"/>
      <c r="E395" s="9"/>
      <c r="F395" s="11"/>
      <c r="G395" s="11"/>
      <c r="H395" s="9"/>
      <c r="I395" s="9"/>
      <c r="J395" s="12"/>
      <c r="K395" s="12"/>
      <c r="L395" s="12" t="str">
        <f aca="false">IF(A395="","",IF(I395="はい",IF(AND(ISNUMBER(J395),ISNUMBER(K395)),K395-J395,""),""))</f>
        <v/>
      </c>
      <c r="M395" s="9"/>
      <c r="N395" s="11"/>
      <c r="O395" s="13"/>
    </row>
    <row r="396" customFormat="false" ht="15.75" hidden="false" customHeight="false" outlineLevel="0" collapsed="false">
      <c r="A396" s="10"/>
      <c r="B396" s="11"/>
      <c r="C396" s="11"/>
      <c r="D396" s="9"/>
      <c r="E396" s="9"/>
      <c r="F396" s="11"/>
      <c r="G396" s="11"/>
      <c r="H396" s="9"/>
      <c r="I396" s="9"/>
      <c r="J396" s="12"/>
      <c r="K396" s="12"/>
      <c r="L396" s="12" t="str">
        <f aca="false">IF(A396="","",IF(I396="はい",IF(AND(ISNUMBER(J396),ISNUMBER(K396)),K396-J396,""),""))</f>
        <v/>
      </c>
      <c r="M396" s="9"/>
      <c r="N396" s="11"/>
      <c r="O396" s="13"/>
    </row>
    <row r="397" customFormat="false" ht="15.75" hidden="false" customHeight="false" outlineLevel="0" collapsed="false">
      <c r="A397" s="10"/>
      <c r="B397" s="11"/>
      <c r="C397" s="11"/>
      <c r="D397" s="9"/>
      <c r="E397" s="9"/>
      <c r="F397" s="11"/>
      <c r="G397" s="11"/>
      <c r="H397" s="9"/>
      <c r="I397" s="9"/>
      <c r="J397" s="12"/>
      <c r="K397" s="12"/>
      <c r="L397" s="12" t="str">
        <f aca="false">IF(A397="","",IF(I397="はい",IF(AND(ISNUMBER(J397),ISNUMBER(K397)),K397-J397,""),""))</f>
        <v/>
      </c>
      <c r="M397" s="9"/>
      <c r="N397" s="11"/>
      <c r="O397" s="13"/>
    </row>
    <row r="398" customFormat="false" ht="15.75" hidden="false" customHeight="false" outlineLevel="0" collapsed="false">
      <c r="A398" s="10"/>
      <c r="B398" s="11"/>
      <c r="C398" s="11"/>
      <c r="D398" s="9"/>
      <c r="E398" s="9"/>
      <c r="F398" s="11"/>
      <c r="G398" s="11"/>
      <c r="H398" s="9"/>
      <c r="I398" s="9"/>
      <c r="J398" s="12"/>
      <c r="K398" s="12"/>
      <c r="L398" s="12" t="str">
        <f aca="false">IF(A398="","",IF(I398="はい",IF(AND(ISNUMBER(J398),ISNUMBER(K398)),K398-J398,""),""))</f>
        <v/>
      </c>
      <c r="M398" s="9"/>
      <c r="N398" s="11"/>
      <c r="O398" s="13"/>
    </row>
    <row r="399" customFormat="false" ht="15.75" hidden="false" customHeight="false" outlineLevel="0" collapsed="false">
      <c r="A399" s="10"/>
      <c r="B399" s="11"/>
      <c r="C399" s="11"/>
      <c r="D399" s="9"/>
      <c r="E399" s="9"/>
      <c r="F399" s="11"/>
      <c r="G399" s="11"/>
      <c r="H399" s="9"/>
      <c r="I399" s="9"/>
      <c r="J399" s="12"/>
      <c r="K399" s="12"/>
      <c r="L399" s="12" t="str">
        <f aca="false">IF(A399="","",IF(I399="はい",IF(AND(ISNUMBER(J399),ISNUMBER(K399)),K399-J399,""),""))</f>
        <v/>
      </c>
      <c r="M399" s="9"/>
      <c r="N399" s="11"/>
      <c r="O399" s="13"/>
    </row>
    <row r="400" customFormat="false" ht="15.75" hidden="false" customHeight="false" outlineLevel="0" collapsed="false">
      <c r="A400" s="10"/>
      <c r="B400" s="11"/>
      <c r="C400" s="11"/>
      <c r="D400" s="9"/>
      <c r="E400" s="9"/>
      <c r="F400" s="11"/>
      <c r="G400" s="11"/>
      <c r="H400" s="9"/>
      <c r="I400" s="9"/>
      <c r="J400" s="12"/>
      <c r="K400" s="12"/>
      <c r="L400" s="12" t="str">
        <f aca="false">IF(A400="","",IF(I400="はい",IF(AND(ISNUMBER(J400),ISNUMBER(K400)),K400-J400,""),""))</f>
        <v/>
      </c>
      <c r="M400" s="9"/>
      <c r="N400" s="11"/>
      <c r="O400" s="13"/>
    </row>
    <row r="401" customFormat="false" ht="15.75" hidden="false" customHeight="false" outlineLevel="0" collapsed="false">
      <c r="A401" s="10"/>
      <c r="B401" s="11"/>
      <c r="C401" s="11"/>
      <c r="D401" s="9"/>
      <c r="E401" s="9"/>
      <c r="F401" s="11"/>
      <c r="G401" s="11"/>
      <c r="H401" s="9"/>
      <c r="I401" s="9"/>
      <c r="J401" s="12"/>
      <c r="K401" s="12"/>
      <c r="L401" s="12" t="str">
        <f aca="false">IF(A401="","",IF(I401="はい",IF(AND(ISNUMBER(J401),ISNUMBER(K401)),K401-J401,""),""))</f>
        <v/>
      </c>
      <c r="M401" s="9"/>
      <c r="N401" s="11"/>
      <c r="O401" s="13"/>
    </row>
    <row r="402" customFormat="false" ht="15.75" hidden="false" customHeight="false" outlineLevel="0" collapsed="false">
      <c r="A402" s="10"/>
      <c r="B402" s="11"/>
      <c r="C402" s="11"/>
      <c r="D402" s="9"/>
      <c r="E402" s="9"/>
      <c r="F402" s="11"/>
      <c r="G402" s="11"/>
      <c r="H402" s="9"/>
      <c r="I402" s="9"/>
      <c r="J402" s="12"/>
      <c r="K402" s="12"/>
      <c r="L402" s="12" t="str">
        <f aca="false">IF(A402="","",IF(I402="はい",IF(AND(ISNUMBER(J402),ISNUMBER(K402)),K402-J402,""),""))</f>
        <v/>
      </c>
      <c r="M402" s="9"/>
      <c r="N402" s="11"/>
      <c r="O402" s="13"/>
    </row>
    <row r="403" customFormat="false" ht="15.75" hidden="false" customHeight="false" outlineLevel="0" collapsed="false">
      <c r="A403" s="10"/>
      <c r="B403" s="11"/>
      <c r="C403" s="11"/>
      <c r="D403" s="9"/>
      <c r="E403" s="9"/>
      <c r="F403" s="11"/>
      <c r="G403" s="11"/>
      <c r="H403" s="9"/>
      <c r="I403" s="9"/>
      <c r="J403" s="12"/>
      <c r="K403" s="12"/>
      <c r="L403" s="12" t="str">
        <f aca="false">IF(A403="","",IF(I403="はい",IF(AND(ISNUMBER(J403),ISNUMBER(K403)),K403-J403,""),""))</f>
        <v/>
      </c>
      <c r="M403" s="9"/>
      <c r="N403" s="11"/>
      <c r="O403" s="13"/>
    </row>
    <row r="404" customFormat="false" ht="15.75" hidden="false" customHeight="false" outlineLevel="0" collapsed="false">
      <c r="A404" s="10"/>
      <c r="B404" s="11"/>
      <c r="C404" s="11"/>
      <c r="D404" s="9"/>
      <c r="E404" s="9"/>
      <c r="F404" s="11"/>
      <c r="G404" s="11"/>
      <c r="H404" s="9"/>
      <c r="I404" s="9"/>
      <c r="J404" s="12"/>
      <c r="K404" s="12"/>
      <c r="L404" s="12" t="str">
        <f aca="false">IF(A404="","",IF(I404="はい",IF(AND(ISNUMBER(J404),ISNUMBER(K404)),K404-J404,""),""))</f>
        <v/>
      </c>
      <c r="M404" s="9"/>
      <c r="N404" s="11"/>
      <c r="O404" s="13"/>
    </row>
    <row r="405" customFormat="false" ht="15.75" hidden="false" customHeight="false" outlineLevel="0" collapsed="false">
      <c r="A405" s="10"/>
      <c r="B405" s="11"/>
      <c r="C405" s="11"/>
      <c r="D405" s="9"/>
      <c r="E405" s="9"/>
      <c r="F405" s="11"/>
      <c r="G405" s="11"/>
      <c r="H405" s="9"/>
      <c r="I405" s="9"/>
      <c r="J405" s="12"/>
      <c r="K405" s="12"/>
      <c r="L405" s="12" t="str">
        <f aca="false">IF(A405="","",IF(I405="はい",IF(AND(ISNUMBER(J405),ISNUMBER(K405)),K405-J405,""),""))</f>
        <v/>
      </c>
      <c r="M405" s="9"/>
      <c r="N405" s="11"/>
      <c r="O405" s="13"/>
    </row>
    <row r="406" customFormat="false" ht="15.75" hidden="false" customHeight="false" outlineLevel="0" collapsed="false">
      <c r="A406" s="10"/>
      <c r="B406" s="11"/>
      <c r="C406" s="11"/>
      <c r="D406" s="9"/>
      <c r="E406" s="9"/>
      <c r="F406" s="11"/>
      <c r="G406" s="11"/>
      <c r="H406" s="9"/>
      <c r="I406" s="9"/>
      <c r="J406" s="12"/>
      <c r="K406" s="12"/>
      <c r="L406" s="12" t="str">
        <f aca="false">IF(A406="","",IF(I406="はい",IF(AND(ISNUMBER(J406),ISNUMBER(K406)),K406-J406,""),""))</f>
        <v/>
      </c>
      <c r="M406" s="9"/>
      <c r="N406" s="11"/>
      <c r="O406" s="13"/>
    </row>
    <row r="407" customFormat="false" ht="15.75" hidden="false" customHeight="false" outlineLevel="0" collapsed="false">
      <c r="A407" s="10"/>
      <c r="B407" s="11"/>
      <c r="C407" s="11"/>
      <c r="D407" s="9"/>
      <c r="E407" s="9"/>
      <c r="F407" s="11"/>
      <c r="G407" s="11"/>
      <c r="H407" s="9"/>
      <c r="I407" s="9"/>
      <c r="J407" s="12"/>
      <c r="K407" s="12"/>
      <c r="L407" s="12" t="str">
        <f aca="false">IF(A407="","",IF(I407="はい",IF(AND(ISNUMBER(J407),ISNUMBER(K407)),K407-J407,""),""))</f>
        <v/>
      </c>
      <c r="M407" s="9"/>
      <c r="N407" s="11"/>
      <c r="O407" s="13"/>
    </row>
    <row r="408" customFormat="false" ht="15.75" hidden="false" customHeight="false" outlineLevel="0" collapsed="false">
      <c r="A408" s="10"/>
      <c r="B408" s="11"/>
      <c r="C408" s="11"/>
      <c r="D408" s="9"/>
      <c r="E408" s="9"/>
      <c r="F408" s="11"/>
      <c r="G408" s="11"/>
      <c r="H408" s="9"/>
      <c r="I408" s="9"/>
      <c r="J408" s="12"/>
      <c r="K408" s="12"/>
      <c r="L408" s="12" t="str">
        <f aca="false">IF(A408="","",IF(I408="はい",IF(AND(ISNUMBER(J408),ISNUMBER(K408)),K408-J408,""),""))</f>
        <v/>
      </c>
      <c r="M408" s="9"/>
      <c r="N408" s="11"/>
      <c r="O408" s="13"/>
    </row>
    <row r="409" customFormat="false" ht="15.75" hidden="false" customHeight="false" outlineLevel="0" collapsed="false">
      <c r="A409" s="10"/>
      <c r="B409" s="11"/>
      <c r="C409" s="11"/>
      <c r="D409" s="9"/>
      <c r="E409" s="9"/>
      <c r="F409" s="11"/>
      <c r="G409" s="11"/>
      <c r="H409" s="9"/>
      <c r="I409" s="9"/>
      <c r="J409" s="12"/>
      <c r="K409" s="12"/>
      <c r="L409" s="12" t="str">
        <f aca="false">IF(A409="","",IF(I409="はい",IF(AND(ISNUMBER(J409),ISNUMBER(K409)),K409-J409,""),""))</f>
        <v/>
      </c>
      <c r="M409" s="9"/>
      <c r="N409" s="11"/>
      <c r="O409" s="13"/>
    </row>
    <row r="410" customFormat="false" ht="15.75" hidden="false" customHeight="false" outlineLevel="0" collapsed="false">
      <c r="A410" s="10"/>
      <c r="B410" s="11"/>
      <c r="C410" s="11"/>
      <c r="D410" s="9"/>
      <c r="E410" s="9"/>
      <c r="F410" s="11"/>
      <c r="G410" s="11"/>
      <c r="H410" s="9"/>
      <c r="I410" s="9"/>
      <c r="J410" s="12"/>
      <c r="K410" s="12"/>
      <c r="L410" s="12" t="str">
        <f aca="false">IF(A410="","",IF(I410="はい",IF(AND(ISNUMBER(J410),ISNUMBER(K410)),K410-J410,""),""))</f>
        <v/>
      </c>
      <c r="M410" s="9"/>
      <c r="N410" s="11"/>
      <c r="O410" s="13"/>
    </row>
    <row r="411" customFormat="false" ht="15.75" hidden="false" customHeight="false" outlineLevel="0" collapsed="false">
      <c r="A411" s="10"/>
      <c r="B411" s="11"/>
      <c r="C411" s="11"/>
      <c r="D411" s="9"/>
      <c r="E411" s="9"/>
      <c r="F411" s="11"/>
      <c r="G411" s="11"/>
      <c r="H411" s="9"/>
      <c r="I411" s="9"/>
      <c r="J411" s="12"/>
      <c r="K411" s="12"/>
      <c r="L411" s="12" t="str">
        <f aca="false">IF(A411="","",IF(I411="はい",IF(AND(ISNUMBER(J411),ISNUMBER(K411)),K411-J411,""),""))</f>
        <v/>
      </c>
      <c r="M411" s="9"/>
      <c r="N411" s="11"/>
      <c r="O411" s="13"/>
    </row>
    <row r="412" customFormat="false" ht="15.75" hidden="false" customHeight="false" outlineLevel="0" collapsed="false">
      <c r="A412" s="10"/>
      <c r="B412" s="11"/>
      <c r="C412" s="11"/>
      <c r="D412" s="9"/>
      <c r="E412" s="9"/>
      <c r="F412" s="11"/>
      <c r="G412" s="11"/>
      <c r="H412" s="9"/>
      <c r="I412" s="9"/>
      <c r="J412" s="12"/>
      <c r="K412" s="12"/>
      <c r="L412" s="12" t="str">
        <f aca="false">IF(A412="","",IF(I412="はい",IF(AND(ISNUMBER(J412),ISNUMBER(K412)),K412-J412,""),""))</f>
        <v/>
      </c>
      <c r="M412" s="9"/>
      <c r="N412" s="11"/>
      <c r="O412" s="13"/>
    </row>
    <row r="413" customFormat="false" ht="15.75" hidden="false" customHeight="false" outlineLevel="0" collapsed="false">
      <c r="A413" s="10"/>
      <c r="B413" s="11"/>
      <c r="C413" s="11"/>
      <c r="D413" s="9"/>
      <c r="E413" s="9"/>
      <c r="F413" s="11"/>
      <c r="G413" s="11"/>
      <c r="H413" s="9"/>
      <c r="I413" s="9"/>
      <c r="J413" s="12"/>
      <c r="K413" s="12"/>
      <c r="L413" s="12" t="str">
        <f aca="false">IF(A413="","",IF(I413="はい",IF(AND(ISNUMBER(J413),ISNUMBER(K413)),K413-J413,""),""))</f>
        <v/>
      </c>
      <c r="M413" s="9"/>
      <c r="N413" s="11"/>
      <c r="O413" s="13"/>
    </row>
    <row r="414" customFormat="false" ht="15.75" hidden="false" customHeight="false" outlineLevel="0" collapsed="false">
      <c r="A414" s="10"/>
      <c r="B414" s="11"/>
      <c r="C414" s="11"/>
      <c r="D414" s="9"/>
      <c r="E414" s="9"/>
      <c r="F414" s="11"/>
      <c r="G414" s="11"/>
      <c r="H414" s="9"/>
      <c r="I414" s="9"/>
      <c r="J414" s="12"/>
      <c r="K414" s="12"/>
      <c r="L414" s="12" t="str">
        <f aca="false">IF(A414="","",IF(I414="はい",IF(AND(ISNUMBER(J414),ISNUMBER(K414)),K414-J414,""),""))</f>
        <v/>
      </c>
      <c r="M414" s="9"/>
      <c r="N414" s="11"/>
      <c r="O414" s="13"/>
    </row>
    <row r="415" customFormat="false" ht="15.75" hidden="false" customHeight="false" outlineLevel="0" collapsed="false">
      <c r="A415" s="10"/>
      <c r="B415" s="11"/>
      <c r="C415" s="11"/>
      <c r="D415" s="9"/>
      <c r="E415" s="9"/>
      <c r="F415" s="11"/>
      <c r="G415" s="11"/>
      <c r="H415" s="9"/>
      <c r="I415" s="9"/>
      <c r="J415" s="12"/>
      <c r="K415" s="12"/>
      <c r="L415" s="12" t="str">
        <f aca="false">IF(A415="","",IF(I415="はい",IF(AND(ISNUMBER(J415),ISNUMBER(K415)),K415-J415,""),""))</f>
        <v/>
      </c>
      <c r="M415" s="9"/>
      <c r="N415" s="11"/>
      <c r="O415" s="13"/>
    </row>
    <row r="416" customFormat="false" ht="15.75" hidden="false" customHeight="false" outlineLevel="0" collapsed="false">
      <c r="A416" s="10"/>
      <c r="B416" s="11"/>
      <c r="C416" s="11"/>
      <c r="D416" s="9"/>
      <c r="E416" s="9"/>
      <c r="F416" s="11"/>
      <c r="G416" s="11"/>
      <c r="H416" s="9"/>
      <c r="I416" s="9"/>
      <c r="J416" s="12"/>
      <c r="K416" s="12"/>
      <c r="L416" s="12" t="str">
        <f aca="false">IF(A416="","",IF(I416="はい",IF(AND(ISNUMBER(J416),ISNUMBER(K416)),K416-J416,""),""))</f>
        <v/>
      </c>
      <c r="M416" s="9"/>
      <c r="N416" s="11"/>
      <c r="O416" s="13"/>
    </row>
    <row r="417" customFormat="false" ht="15.75" hidden="false" customHeight="false" outlineLevel="0" collapsed="false">
      <c r="A417" s="10"/>
      <c r="B417" s="11"/>
      <c r="C417" s="11"/>
      <c r="D417" s="9"/>
      <c r="E417" s="9"/>
      <c r="F417" s="11"/>
      <c r="G417" s="11"/>
      <c r="H417" s="9"/>
      <c r="I417" s="9"/>
      <c r="J417" s="12"/>
      <c r="K417" s="12"/>
      <c r="L417" s="12" t="str">
        <f aca="false">IF(A417="","",IF(I417="はい",IF(AND(ISNUMBER(J417),ISNUMBER(K417)),K417-J417,""),""))</f>
        <v/>
      </c>
      <c r="M417" s="9"/>
      <c r="N417" s="11"/>
      <c r="O417" s="13"/>
    </row>
    <row r="418" customFormat="false" ht="15.75" hidden="false" customHeight="false" outlineLevel="0" collapsed="false">
      <c r="A418" s="10"/>
      <c r="B418" s="11"/>
      <c r="C418" s="11"/>
      <c r="D418" s="9"/>
      <c r="E418" s="9"/>
      <c r="F418" s="11"/>
      <c r="G418" s="11"/>
      <c r="H418" s="9"/>
      <c r="I418" s="9"/>
      <c r="J418" s="12"/>
      <c r="K418" s="12"/>
      <c r="L418" s="12" t="str">
        <f aca="false">IF(A418="","",IF(I418="はい",IF(AND(ISNUMBER(J418),ISNUMBER(K418)),K418-J418,""),""))</f>
        <v/>
      </c>
      <c r="M418" s="9"/>
      <c r="N418" s="11"/>
      <c r="O418" s="13"/>
    </row>
    <row r="419" customFormat="false" ht="15.75" hidden="false" customHeight="false" outlineLevel="0" collapsed="false">
      <c r="A419" s="10"/>
      <c r="B419" s="11"/>
      <c r="C419" s="11"/>
      <c r="D419" s="9"/>
      <c r="E419" s="9"/>
      <c r="F419" s="11"/>
      <c r="G419" s="11"/>
      <c r="H419" s="9"/>
      <c r="I419" s="9"/>
      <c r="J419" s="12"/>
      <c r="K419" s="12"/>
      <c r="L419" s="12" t="str">
        <f aca="false">IF(A419="","",IF(I419="はい",IF(AND(ISNUMBER(J419),ISNUMBER(K419)),K419-J419,""),""))</f>
        <v/>
      </c>
      <c r="M419" s="9"/>
      <c r="N419" s="11"/>
      <c r="O419" s="13"/>
    </row>
    <row r="420" customFormat="false" ht="15.75" hidden="false" customHeight="false" outlineLevel="0" collapsed="false">
      <c r="A420" s="10"/>
      <c r="B420" s="11"/>
      <c r="C420" s="11"/>
      <c r="D420" s="9"/>
      <c r="E420" s="9"/>
      <c r="F420" s="11"/>
      <c r="G420" s="11"/>
      <c r="H420" s="9"/>
      <c r="I420" s="9"/>
      <c r="J420" s="12"/>
      <c r="K420" s="12"/>
      <c r="L420" s="12" t="str">
        <f aca="false">IF(A420="","",IF(I420="はい",IF(AND(ISNUMBER(J420),ISNUMBER(K420)),K420-J420,""),""))</f>
        <v/>
      </c>
      <c r="M420" s="9"/>
      <c r="N420" s="11"/>
      <c r="O420" s="13"/>
    </row>
    <row r="421" customFormat="false" ht="15.75" hidden="false" customHeight="false" outlineLevel="0" collapsed="false">
      <c r="A421" s="10"/>
      <c r="B421" s="11"/>
      <c r="C421" s="11"/>
      <c r="D421" s="9"/>
      <c r="E421" s="9"/>
      <c r="F421" s="11"/>
      <c r="G421" s="11"/>
      <c r="H421" s="9"/>
      <c r="I421" s="9"/>
      <c r="J421" s="12"/>
      <c r="K421" s="12"/>
      <c r="L421" s="12" t="str">
        <f aca="false">IF(A421="","",IF(I421="はい",IF(AND(ISNUMBER(J421),ISNUMBER(K421)),K421-J421,""),""))</f>
        <v/>
      </c>
      <c r="M421" s="9"/>
      <c r="N421" s="11"/>
      <c r="O421" s="13"/>
    </row>
    <row r="422" customFormat="false" ht="15.75" hidden="false" customHeight="false" outlineLevel="0" collapsed="false">
      <c r="A422" s="10"/>
      <c r="B422" s="11"/>
      <c r="C422" s="11"/>
      <c r="D422" s="9"/>
      <c r="E422" s="9"/>
      <c r="F422" s="11"/>
      <c r="G422" s="11"/>
      <c r="H422" s="9"/>
      <c r="I422" s="9"/>
      <c r="J422" s="12"/>
      <c r="K422" s="12"/>
      <c r="L422" s="12" t="str">
        <f aca="false">IF(A422="","",IF(I422="はい",IF(AND(ISNUMBER(J422),ISNUMBER(K422)),K422-J422,""),""))</f>
        <v/>
      </c>
      <c r="M422" s="9"/>
      <c r="N422" s="11"/>
      <c r="O422" s="13"/>
    </row>
    <row r="423" customFormat="false" ht="15.75" hidden="false" customHeight="false" outlineLevel="0" collapsed="false">
      <c r="A423" s="10"/>
      <c r="B423" s="11"/>
      <c r="C423" s="11"/>
      <c r="D423" s="9"/>
      <c r="E423" s="9"/>
      <c r="F423" s="11"/>
      <c r="G423" s="11"/>
      <c r="H423" s="9"/>
      <c r="I423" s="9"/>
      <c r="J423" s="12"/>
      <c r="K423" s="12"/>
      <c r="L423" s="12" t="str">
        <f aca="false">IF(A423="","",IF(I423="はい",IF(AND(ISNUMBER(J423),ISNUMBER(K423)),K423-J423,""),""))</f>
        <v/>
      </c>
      <c r="M423" s="9"/>
      <c r="N423" s="11"/>
      <c r="O423" s="13"/>
    </row>
    <row r="424" customFormat="false" ht="15.75" hidden="false" customHeight="false" outlineLevel="0" collapsed="false">
      <c r="A424" s="10"/>
      <c r="B424" s="11"/>
      <c r="C424" s="11"/>
      <c r="D424" s="9"/>
      <c r="E424" s="9"/>
      <c r="F424" s="11"/>
      <c r="G424" s="11"/>
      <c r="H424" s="9"/>
      <c r="I424" s="9"/>
      <c r="J424" s="12"/>
      <c r="K424" s="12"/>
      <c r="L424" s="12" t="str">
        <f aca="false">IF(A424="","",IF(I424="はい",IF(AND(ISNUMBER(J424),ISNUMBER(K424)),K424-J424,""),""))</f>
        <v/>
      </c>
      <c r="M424" s="9"/>
      <c r="N424" s="11"/>
      <c r="O424" s="13"/>
    </row>
    <row r="425" customFormat="false" ht="15.75" hidden="false" customHeight="false" outlineLevel="0" collapsed="false">
      <c r="A425" s="10"/>
      <c r="B425" s="11"/>
      <c r="C425" s="11"/>
      <c r="D425" s="9"/>
      <c r="E425" s="9"/>
      <c r="F425" s="11"/>
      <c r="G425" s="11"/>
      <c r="H425" s="9"/>
      <c r="I425" s="9"/>
      <c r="J425" s="12"/>
      <c r="K425" s="12"/>
      <c r="L425" s="12" t="str">
        <f aca="false">IF(A425="","",IF(I425="はい",IF(AND(ISNUMBER(J425),ISNUMBER(K425)),K425-J425,""),""))</f>
        <v/>
      </c>
      <c r="M425" s="9"/>
      <c r="N425" s="11"/>
      <c r="O425" s="13"/>
    </row>
    <row r="426" customFormat="false" ht="15.75" hidden="false" customHeight="false" outlineLevel="0" collapsed="false">
      <c r="A426" s="10"/>
      <c r="B426" s="11"/>
      <c r="C426" s="11"/>
      <c r="D426" s="9"/>
      <c r="E426" s="9"/>
      <c r="F426" s="11"/>
      <c r="G426" s="11"/>
      <c r="H426" s="9"/>
      <c r="I426" s="9"/>
      <c r="J426" s="12"/>
      <c r="K426" s="12"/>
      <c r="L426" s="12" t="str">
        <f aca="false">IF(A426="","",IF(I426="はい",IF(AND(ISNUMBER(J426),ISNUMBER(K426)),K426-J426,""),""))</f>
        <v/>
      </c>
      <c r="M426" s="9"/>
      <c r="N426" s="11"/>
      <c r="O426" s="13"/>
    </row>
    <row r="427" customFormat="false" ht="15.75" hidden="false" customHeight="false" outlineLevel="0" collapsed="false">
      <c r="A427" s="10"/>
      <c r="B427" s="11"/>
      <c r="C427" s="11"/>
      <c r="D427" s="9"/>
      <c r="E427" s="9"/>
      <c r="F427" s="11"/>
      <c r="G427" s="11"/>
      <c r="H427" s="9"/>
      <c r="I427" s="9"/>
      <c r="J427" s="12"/>
      <c r="K427" s="12"/>
      <c r="L427" s="12" t="str">
        <f aca="false">IF(A427="","",IF(I427="はい",IF(AND(ISNUMBER(J427),ISNUMBER(K427)),K427-J427,""),""))</f>
        <v/>
      </c>
      <c r="M427" s="9"/>
      <c r="N427" s="11"/>
      <c r="O427" s="13"/>
    </row>
    <row r="428" customFormat="false" ht="15.75" hidden="false" customHeight="false" outlineLevel="0" collapsed="false">
      <c r="A428" s="10"/>
      <c r="B428" s="11"/>
      <c r="C428" s="11"/>
      <c r="D428" s="9"/>
      <c r="E428" s="9"/>
      <c r="F428" s="11"/>
      <c r="G428" s="11"/>
      <c r="H428" s="9"/>
      <c r="I428" s="9"/>
      <c r="J428" s="12"/>
      <c r="K428" s="12"/>
      <c r="L428" s="12" t="str">
        <f aca="false">IF(A428="","",IF(I428="はい",IF(AND(ISNUMBER(J428),ISNUMBER(K428)),K428-J428,""),""))</f>
        <v/>
      </c>
      <c r="M428" s="9"/>
      <c r="N428" s="11"/>
      <c r="O428" s="13"/>
    </row>
    <row r="429" customFormat="false" ht="15.75" hidden="false" customHeight="false" outlineLevel="0" collapsed="false">
      <c r="A429" s="10"/>
      <c r="B429" s="11"/>
      <c r="C429" s="11"/>
      <c r="D429" s="9"/>
      <c r="E429" s="9"/>
      <c r="F429" s="11"/>
      <c r="G429" s="11"/>
      <c r="H429" s="9"/>
      <c r="I429" s="9"/>
      <c r="J429" s="12"/>
      <c r="K429" s="12"/>
      <c r="L429" s="12" t="str">
        <f aca="false">IF(A429="","",IF(I429="はい",IF(AND(ISNUMBER(J429),ISNUMBER(K429)),K429-J429,""),""))</f>
        <v/>
      </c>
      <c r="M429" s="9"/>
      <c r="N429" s="11"/>
      <c r="O429" s="13"/>
    </row>
    <row r="430" customFormat="false" ht="15.75" hidden="false" customHeight="false" outlineLevel="0" collapsed="false">
      <c r="A430" s="10"/>
      <c r="B430" s="11"/>
      <c r="C430" s="11"/>
      <c r="D430" s="9"/>
      <c r="E430" s="9"/>
      <c r="F430" s="11"/>
      <c r="G430" s="11"/>
      <c r="H430" s="9"/>
      <c r="I430" s="9"/>
      <c r="J430" s="12"/>
      <c r="K430" s="12"/>
      <c r="L430" s="12" t="str">
        <f aca="false">IF(A430="","",IF(I430="はい",IF(AND(ISNUMBER(J430),ISNUMBER(K430)),K430-J430,""),""))</f>
        <v/>
      </c>
      <c r="M430" s="9"/>
      <c r="N430" s="11"/>
      <c r="O430" s="13"/>
    </row>
    <row r="431" customFormat="false" ht="15.75" hidden="false" customHeight="false" outlineLevel="0" collapsed="false">
      <c r="A431" s="10"/>
      <c r="B431" s="11"/>
      <c r="C431" s="11"/>
      <c r="D431" s="9"/>
      <c r="E431" s="9"/>
      <c r="F431" s="11"/>
      <c r="G431" s="11"/>
      <c r="H431" s="9"/>
      <c r="I431" s="9"/>
      <c r="J431" s="12"/>
      <c r="K431" s="12"/>
      <c r="L431" s="12" t="str">
        <f aca="false">IF(A431="","",IF(I431="はい",IF(AND(ISNUMBER(J431),ISNUMBER(K431)),K431-J431,""),""))</f>
        <v/>
      </c>
      <c r="M431" s="9"/>
      <c r="N431" s="11"/>
      <c r="O431" s="13"/>
    </row>
    <row r="432" customFormat="false" ht="15.75" hidden="false" customHeight="false" outlineLevel="0" collapsed="false">
      <c r="A432" s="10"/>
      <c r="B432" s="11"/>
      <c r="C432" s="11"/>
      <c r="D432" s="9"/>
      <c r="E432" s="9"/>
      <c r="F432" s="11"/>
      <c r="G432" s="11"/>
      <c r="H432" s="9"/>
      <c r="I432" s="9"/>
      <c r="J432" s="12"/>
      <c r="K432" s="12"/>
      <c r="L432" s="12" t="str">
        <f aca="false">IF(A432="","",IF(I432="はい",IF(AND(ISNUMBER(J432),ISNUMBER(K432)),K432-J432,""),""))</f>
        <v/>
      </c>
      <c r="M432" s="9"/>
      <c r="N432" s="11"/>
      <c r="O432" s="13"/>
    </row>
    <row r="433" customFormat="false" ht="15.75" hidden="false" customHeight="false" outlineLevel="0" collapsed="false">
      <c r="A433" s="10"/>
      <c r="B433" s="11"/>
      <c r="C433" s="11"/>
      <c r="D433" s="9"/>
      <c r="E433" s="9"/>
      <c r="F433" s="11"/>
      <c r="G433" s="11"/>
      <c r="H433" s="9"/>
      <c r="I433" s="9"/>
      <c r="J433" s="12"/>
      <c r="K433" s="12"/>
      <c r="L433" s="12" t="str">
        <f aca="false">IF(A433="","",IF(I433="はい",IF(AND(ISNUMBER(J433),ISNUMBER(K433)),K433-J433,""),""))</f>
        <v/>
      </c>
      <c r="M433" s="9"/>
      <c r="N433" s="11"/>
      <c r="O433" s="13"/>
    </row>
    <row r="434" customFormat="false" ht="15.75" hidden="false" customHeight="false" outlineLevel="0" collapsed="false">
      <c r="A434" s="10"/>
      <c r="B434" s="11"/>
      <c r="C434" s="11"/>
      <c r="D434" s="9"/>
      <c r="E434" s="9"/>
      <c r="F434" s="11"/>
      <c r="G434" s="11"/>
      <c r="H434" s="9"/>
      <c r="I434" s="9"/>
      <c r="J434" s="12"/>
      <c r="K434" s="12"/>
      <c r="L434" s="12" t="str">
        <f aca="false">IF(A434="","",IF(I434="はい",IF(AND(ISNUMBER(J434),ISNUMBER(K434)),K434-J434,""),""))</f>
        <v/>
      </c>
      <c r="M434" s="9"/>
      <c r="N434" s="11"/>
      <c r="O434" s="13"/>
    </row>
    <row r="435" customFormat="false" ht="15.75" hidden="false" customHeight="false" outlineLevel="0" collapsed="false">
      <c r="A435" s="10"/>
      <c r="B435" s="11"/>
      <c r="C435" s="11"/>
      <c r="D435" s="9"/>
      <c r="E435" s="9"/>
      <c r="F435" s="11"/>
      <c r="G435" s="11"/>
      <c r="H435" s="9"/>
      <c r="I435" s="9"/>
      <c r="J435" s="12"/>
      <c r="K435" s="12"/>
      <c r="L435" s="12" t="str">
        <f aca="false">IF(A435="","",IF(I435="はい",IF(AND(ISNUMBER(J435),ISNUMBER(K435)),K435-J435,""),""))</f>
        <v/>
      </c>
      <c r="M435" s="9"/>
      <c r="N435" s="11"/>
      <c r="O435" s="13"/>
    </row>
    <row r="436" customFormat="false" ht="15.75" hidden="false" customHeight="false" outlineLevel="0" collapsed="false">
      <c r="A436" s="10"/>
      <c r="B436" s="11"/>
      <c r="C436" s="11"/>
      <c r="D436" s="9"/>
      <c r="E436" s="9"/>
      <c r="F436" s="11"/>
      <c r="G436" s="11"/>
      <c r="H436" s="9"/>
      <c r="I436" s="9"/>
      <c r="J436" s="12"/>
      <c r="K436" s="12"/>
      <c r="L436" s="12" t="str">
        <f aca="false">IF(A436="","",IF(I436="はい",IF(AND(ISNUMBER(J436),ISNUMBER(K436)),K436-J436,""),""))</f>
        <v/>
      </c>
      <c r="M436" s="9"/>
      <c r="N436" s="11"/>
      <c r="O436" s="13"/>
    </row>
    <row r="437" customFormat="false" ht="15.75" hidden="false" customHeight="false" outlineLevel="0" collapsed="false">
      <c r="A437" s="10"/>
      <c r="B437" s="11"/>
      <c r="C437" s="11"/>
      <c r="D437" s="9"/>
      <c r="E437" s="9"/>
      <c r="F437" s="11"/>
      <c r="G437" s="11"/>
      <c r="H437" s="9"/>
      <c r="I437" s="9"/>
      <c r="J437" s="12"/>
      <c r="K437" s="12"/>
      <c r="L437" s="12" t="str">
        <f aca="false">IF(A437="","",IF(I437="はい",IF(AND(ISNUMBER(J437),ISNUMBER(K437)),K437-J437,""),""))</f>
        <v/>
      </c>
      <c r="M437" s="9"/>
      <c r="N437" s="11"/>
      <c r="O437" s="13"/>
    </row>
    <row r="438" customFormat="false" ht="15.75" hidden="false" customHeight="false" outlineLevel="0" collapsed="false">
      <c r="A438" s="10"/>
      <c r="B438" s="11"/>
      <c r="C438" s="11"/>
      <c r="D438" s="9"/>
      <c r="E438" s="9"/>
      <c r="F438" s="11"/>
      <c r="G438" s="11"/>
      <c r="H438" s="9"/>
      <c r="I438" s="9"/>
      <c r="J438" s="12"/>
      <c r="K438" s="12"/>
      <c r="L438" s="12" t="str">
        <f aca="false">IF(A438="","",IF(I438="はい",IF(AND(ISNUMBER(J438),ISNUMBER(K438)),K438-J438,""),""))</f>
        <v/>
      </c>
      <c r="M438" s="9"/>
      <c r="N438" s="11"/>
      <c r="O438" s="13"/>
    </row>
    <row r="439" customFormat="false" ht="15.75" hidden="false" customHeight="false" outlineLevel="0" collapsed="false">
      <c r="A439" s="10"/>
      <c r="B439" s="11"/>
      <c r="C439" s="11"/>
      <c r="D439" s="9"/>
      <c r="E439" s="9"/>
      <c r="F439" s="11"/>
      <c r="G439" s="11"/>
      <c r="H439" s="9"/>
      <c r="I439" s="9"/>
      <c r="J439" s="12"/>
      <c r="K439" s="12"/>
      <c r="L439" s="12" t="str">
        <f aca="false">IF(A439="","",IF(I439="はい",IF(AND(ISNUMBER(J439),ISNUMBER(K439)),K439-J439,""),""))</f>
        <v/>
      </c>
      <c r="M439" s="9"/>
      <c r="N439" s="11"/>
      <c r="O439" s="13"/>
    </row>
    <row r="440" customFormat="false" ht="15.75" hidden="false" customHeight="false" outlineLevel="0" collapsed="false">
      <c r="A440" s="10"/>
      <c r="B440" s="11"/>
      <c r="C440" s="11"/>
      <c r="D440" s="9"/>
      <c r="E440" s="9"/>
      <c r="F440" s="11"/>
      <c r="G440" s="11"/>
      <c r="H440" s="9"/>
      <c r="I440" s="9"/>
      <c r="J440" s="12"/>
      <c r="K440" s="12"/>
      <c r="L440" s="12" t="str">
        <f aca="false">IF(A440="","",IF(I440="はい",IF(AND(ISNUMBER(J440),ISNUMBER(K440)),K440-J440,""),""))</f>
        <v/>
      </c>
      <c r="M440" s="9"/>
      <c r="N440" s="11"/>
      <c r="O440" s="13"/>
    </row>
    <row r="441" customFormat="false" ht="15.75" hidden="false" customHeight="false" outlineLevel="0" collapsed="false">
      <c r="A441" s="10"/>
      <c r="B441" s="11"/>
      <c r="C441" s="11"/>
      <c r="D441" s="9"/>
      <c r="E441" s="9"/>
      <c r="F441" s="11"/>
      <c r="G441" s="11"/>
      <c r="H441" s="9"/>
      <c r="I441" s="9"/>
      <c r="J441" s="12"/>
      <c r="K441" s="12"/>
      <c r="L441" s="12" t="str">
        <f aca="false">IF(A441="","",IF(I441="はい",IF(AND(ISNUMBER(J441),ISNUMBER(K441)),K441-J441,""),""))</f>
        <v/>
      </c>
      <c r="M441" s="9"/>
      <c r="N441" s="11"/>
      <c r="O441" s="13"/>
    </row>
    <row r="442" customFormat="false" ht="15.75" hidden="false" customHeight="false" outlineLevel="0" collapsed="false">
      <c r="A442" s="10"/>
      <c r="B442" s="11"/>
      <c r="C442" s="11"/>
      <c r="D442" s="9"/>
      <c r="E442" s="9"/>
      <c r="F442" s="11"/>
      <c r="G442" s="11"/>
      <c r="H442" s="9"/>
      <c r="I442" s="9"/>
      <c r="J442" s="12"/>
      <c r="K442" s="12"/>
      <c r="L442" s="12" t="str">
        <f aca="false">IF(A442="","",IF(I442="はい",IF(AND(ISNUMBER(J442),ISNUMBER(K442)),K442-J442,""),""))</f>
        <v/>
      </c>
      <c r="M442" s="9"/>
      <c r="N442" s="11"/>
      <c r="O442" s="13"/>
    </row>
    <row r="443" customFormat="false" ht="15.75" hidden="false" customHeight="false" outlineLevel="0" collapsed="false">
      <c r="A443" s="10"/>
      <c r="B443" s="11"/>
      <c r="C443" s="11"/>
      <c r="D443" s="9"/>
      <c r="E443" s="9"/>
      <c r="F443" s="11"/>
      <c r="G443" s="11"/>
      <c r="H443" s="9"/>
      <c r="I443" s="9"/>
      <c r="J443" s="12"/>
      <c r="K443" s="12"/>
      <c r="L443" s="12" t="str">
        <f aca="false">IF(A443="","",IF(I443="はい",IF(AND(ISNUMBER(J443),ISNUMBER(K443)),K443-J443,""),""))</f>
        <v/>
      </c>
      <c r="M443" s="9"/>
      <c r="N443" s="11"/>
      <c r="O443" s="13"/>
    </row>
    <row r="444" customFormat="false" ht="15.75" hidden="false" customHeight="false" outlineLevel="0" collapsed="false">
      <c r="A444" s="10"/>
      <c r="B444" s="11"/>
      <c r="C444" s="11"/>
      <c r="D444" s="9"/>
      <c r="E444" s="9"/>
      <c r="F444" s="11"/>
      <c r="G444" s="11"/>
      <c r="H444" s="9"/>
      <c r="I444" s="9"/>
      <c r="J444" s="12"/>
      <c r="K444" s="12"/>
      <c r="L444" s="12" t="str">
        <f aca="false">IF(A444="","",IF(I444="はい",IF(AND(ISNUMBER(J444),ISNUMBER(K444)),K444-J444,""),""))</f>
        <v/>
      </c>
      <c r="M444" s="9"/>
      <c r="N444" s="11"/>
      <c r="O444" s="13"/>
    </row>
    <row r="445" customFormat="false" ht="15.75" hidden="false" customHeight="false" outlineLevel="0" collapsed="false">
      <c r="A445" s="10"/>
      <c r="B445" s="11"/>
      <c r="C445" s="11"/>
      <c r="D445" s="9"/>
      <c r="E445" s="9"/>
      <c r="F445" s="11"/>
      <c r="G445" s="11"/>
      <c r="H445" s="9"/>
      <c r="I445" s="9"/>
      <c r="J445" s="12"/>
      <c r="K445" s="12"/>
      <c r="L445" s="12" t="str">
        <f aca="false">IF(A445="","",IF(I445="はい",IF(AND(ISNUMBER(J445),ISNUMBER(K445)),K445-J445,""),""))</f>
        <v/>
      </c>
      <c r="M445" s="9"/>
      <c r="N445" s="11"/>
      <c r="O445" s="13"/>
    </row>
    <row r="446" customFormat="false" ht="15.75" hidden="false" customHeight="false" outlineLevel="0" collapsed="false">
      <c r="A446" s="10"/>
      <c r="B446" s="11"/>
      <c r="C446" s="11"/>
      <c r="D446" s="9"/>
      <c r="E446" s="9"/>
      <c r="F446" s="11"/>
      <c r="G446" s="11"/>
      <c r="H446" s="9"/>
      <c r="I446" s="9"/>
      <c r="J446" s="12"/>
      <c r="K446" s="12"/>
      <c r="L446" s="12" t="str">
        <f aca="false">IF(A446="","",IF(I446="はい",IF(AND(ISNUMBER(J446),ISNUMBER(K446)),K446-J446,""),""))</f>
        <v/>
      </c>
      <c r="M446" s="9"/>
      <c r="N446" s="11"/>
      <c r="O446" s="13"/>
    </row>
    <row r="447" customFormat="false" ht="15.75" hidden="false" customHeight="false" outlineLevel="0" collapsed="false">
      <c r="A447" s="10"/>
      <c r="B447" s="11"/>
      <c r="C447" s="11"/>
      <c r="D447" s="9"/>
      <c r="E447" s="9"/>
      <c r="F447" s="11"/>
      <c r="G447" s="11"/>
      <c r="H447" s="9"/>
      <c r="I447" s="9"/>
      <c r="J447" s="12"/>
      <c r="K447" s="12"/>
      <c r="L447" s="12" t="str">
        <f aca="false">IF(A447="","",IF(I447="はい",IF(AND(ISNUMBER(J447),ISNUMBER(K447)),K447-J447,""),""))</f>
        <v/>
      </c>
      <c r="M447" s="9"/>
      <c r="N447" s="11"/>
      <c r="O447" s="13"/>
    </row>
    <row r="448" customFormat="false" ht="15.75" hidden="false" customHeight="false" outlineLevel="0" collapsed="false">
      <c r="A448" s="10"/>
      <c r="B448" s="11"/>
      <c r="C448" s="11"/>
      <c r="D448" s="9"/>
      <c r="E448" s="9"/>
      <c r="F448" s="11"/>
      <c r="G448" s="11"/>
      <c r="H448" s="9"/>
      <c r="I448" s="9"/>
      <c r="J448" s="12"/>
      <c r="K448" s="12"/>
      <c r="L448" s="12" t="str">
        <f aca="false">IF(A448="","",IF(I448="はい",IF(AND(ISNUMBER(J448),ISNUMBER(K448)),K448-J448,""),""))</f>
        <v/>
      </c>
      <c r="M448" s="9"/>
      <c r="N448" s="11"/>
      <c r="O448" s="13"/>
    </row>
    <row r="449" customFormat="false" ht="15.75" hidden="false" customHeight="false" outlineLevel="0" collapsed="false">
      <c r="A449" s="10"/>
      <c r="B449" s="11"/>
      <c r="C449" s="11"/>
      <c r="D449" s="9"/>
      <c r="E449" s="9"/>
      <c r="F449" s="11"/>
      <c r="G449" s="11"/>
      <c r="H449" s="9"/>
      <c r="I449" s="9"/>
      <c r="J449" s="12"/>
      <c r="K449" s="12"/>
      <c r="L449" s="12" t="str">
        <f aca="false">IF(A449="","",IF(I449="はい",IF(AND(ISNUMBER(J449),ISNUMBER(K449)),K449-J449,""),""))</f>
        <v/>
      </c>
      <c r="M449" s="9"/>
      <c r="N449" s="11"/>
      <c r="O449" s="13"/>
    </row>
    <row r="450" customFormat="false" ht="15.75" hidden="false" customHeight="false" outlineLevel="0" collapsed="false">
      <c r="A450" s="10"/>
      <c r="B450" s="11"/>
      <c r="C450" s="11"/>
      <c r="D450" s="9"/>
      <c r="E450" s="9"/>
      <c r="F450" s="11"/>
      <c r="G450" s="11"/>
      <c r="H450" s="9"/>
      <c r="I450" s="9"/>
      <c r="J450" s="12"/>
      <c r="K450" s="12"/>
      <c r="L450" s="12" t="str">
        <f aca="false">IF(A450="","",IF(I450="はい",IF(AND(ISNUMBER(J450),ISNUMBER(K450)),K450-J450,""),""))</f>
        <v/>
      </c>
      <c r="M450" s="9"/>
      <c r="N450" s="11"/>
      <c r="O450" s="13"/>
    </row>
    <row r="451" customFormat="false" ht="15.75" hidden="false" customHeight="false" outlineLevel="0" collapsed="false">
      <c r="A451" s="10"/>
      <c r="B451" s="11"/>
      <c r="C451" s="11"/>
      <c r="D451" s="9"/>
      <c r="E451" s="9"/>
      <c r="F451" s="11"/>
      <c r="G451" s="11"/>
      <c r="H451" s="9"/>
      <c r="I451" s="9"/>
      <c r="J451" s="12"/>
      <c r="K451" s="12"/>
      <c r="L451" s="12" t="str">
        <f aca="false">IF(A451="","",IF(I451="はい",IF(AND(ISNUMBER(J451),ISNUMBER(K451)),K451-J451,""),""))</f>
        <v/>
      </c>
      <c r="M451" s="9"/>
      <c r="N451" s="11"/>
      <c r="O451" s="13"/>
    </row>
    <row r="452" customFormat="false" ht="15.75" hidden="false" customHeight="false" outlineLevel="0" collapsed="false">
      <c r="A452" s="10"/>
      <c r="B452" s="11"/>
      <c r="C452" s="11"/>
      <c r="D452" s="9"/>
      <c r="E452" s="9"/>
      <c r="F452" s="11"/>
      <c r="G452" s="11"/>
      <c r="H452" s="9"/>
      <c r="I452" s="9"/>
      <c r="J452" s="12"/>
      <c r="K452" s="12"/>
      <c r="L452" s="12" t="str">
        <f aca="false">IF(A452="","",IF(I452="はい",IF(AND(ISNUMBER(J452),ISNUMBER(K452)),K452-J452,""),""))</f>
        <v/>
      </c>
      <c r="M452" s="9"/>
      <c r="N452" s="11"/>
      <c r="O452" s="13"/>
    </row>
    <row r="453" customFormat="false" ht="15.75" hidden="false" customHeight="false" outlineLevel="0" collapsed="false">
      <c r="A453" s="10"/>
      <c r="B453" s="11"/>
      <c r="C453" s="11"/>
      <c r="D453" s="9"/>
      <c r="E453" s="9"/>
      <c r="F453" s="11"/>
      <c r="G453" s="11"/>
      <c r="H453" s="9"/>
      <c r="I453" s="9"/>
      <c r="J453" s="12"/>
      <c r="K453" s="12"/>
      <c r="L453" s="12" t="str">
        <f aca="false">IF(A453="","",IF(I453="はい",IF(AND(ISNUMBER(J453),ISNUMBER(K453)),K453-J453,""),""))</f>
        <v/>
      </c>
      <c r="M453" s="9"/>
      <c r="N453" s="11"/>
      <c r="O453" s="13"/>
    </row>
    <row r="454" customFormat="false" ht="15.75" hidden="false" customHeight="false" outlineLevel="0" collapsed="false">
      <c r="A454" s="10"/>
      <c r="B454" s="11"/>
      <c r="C454" s="11"/>
      <c r="D454" s="9"/>
      <c r="E454" s="9"/>
      <c r="F454" s="11"/>
      <c r="G454" s="11"/>
      <c r="H454" s="9"/>
      <c r="I454" s="9"/>
      <c r="J454" s="12"/>
      <c r="K454" s="12"/>
      <c r="L454" s="12" t="str">
        <f aca="false">IF(A454="","",IF(I454="はい",IF(AND(ISNUMBER(J454),ISNUMBER(K454)),K454-J454,""),""))</f>
        <v/>
      </c>
      <c r="M454" s="9"/>
      <c r="N454" s="11"/>
      <c r="O454" s="13"/>
    </row>
    <row r="455" customFormat="false" ht="15.75" hidden="false" customHeight="false" outlineLevel="0" collapsed="false">
      <c r="A455" s="10"/>
      <c r="B455" s="11"/>
      <c r="C455" s="11"/>
      <c r="D455" s="9"/>
      <c r="E455" s="9"/>
      <c r="F455" s="11"/>
      <c r="G455" s="11"/>
      <c r="H455" s="9"/>
      <c r="I455" s="9"/>
      <c r="J455" s="12"/>
      <c r="K455" s="12"/>
      <c r="L455" s="12" t="str">
        <f aca="false">IF(A455="","",IF(I455="はい",IF(AND(ISNUMBER(J455),ISNUMBER(K455)),K455-J455,""),""))</f>
        <v/>
      </c>
      <c r="M455" s="9"/>
      <c r="N455" s="11"/>
      <c r="O455" s="13"/>
    </row>
    <row r="456" customFormat="false" ht="15.75" hidden="false" customHeight="false" outlineLevel="0" collapsed="false">
      <c r="A456" s="10"/>
      <c r="B456" s="11"/>
      <c r="C456" s="11"/>
      <c r="D456" s="9"/>
      <c r="E456" s="9"/>
      <c r="F456" s="11"/>
      <c r="G456" s="11"/>
      <c r="H456" s="9"/>
      <c r="I456" s="9"/>
      <c r="J456" s="12"/>
      <c r="K456" s="12"/>
      <c r="L456" s="12" t="str">
        <f aca="false">IF(A456="","",IF(I456="はい",IF(AND(ISNUMBER(J456),ISNUMBER(K456)),K456-J456,""),""))</f>
        <v/>
      </c>
      <c r="M456" s="9"/>
      <c r="N456" s="11"/>
      <c r="O456" s="13"/>
    </row>
    <row r="457" customFormat="false" ht="15.75" hidden="false" customHeight="false" outlineLevel="0" collapsed="false">
      <c r="A457" s="10"/>
      <c r="B457" s="11"/>
      <c r="C457" s="11"/>
      <c r="D457" s="9"/>
      <c r="E457" s="9"/>
      <c r="F457" s="11"/>
      <c r="G457" s="11"/>
      <c r="H457" s="9"/>
      <c r="I457" s="9"/>
      <c r="J457" s="12"/>
      <c r="K457" s="12"/>
      <c r="L457" s="12" t="str">
        <f aca="false">IF(A457="","",IF(I457="はい",IF(AND(ISNUMBER(J457),ISNUMBER(K457)),K457-J457,""),""))</f>
        <v/>
      </c>
      <c r="M457" s="9"/>
      <c r="N457" s="11"/>
      <c r="O457" s="13"/>
    </row>
    <row r="458" customFormat="false" ht="15.75" hidden="false" customHeight="false" outlineLevel="0" collapsed="false">
      <c r="A458" s="10"/>
      <c r="B458" s="11"/>
      <c r="C458" s="11"/>
      <c r="D458" s="9"/>
      <c r="E458" s="9"/>
      <c r="F458" s="11"/>
      <c r="G458" s="11"/>
      <c r="H458" s="9"/>
      <c r="I458" s="9"/>
      <c r="J458" s="12"/>
      <c r="K458" s="12"/>
      <c r="L458" s="12" t="str">
        <f aca="false">IF(A458="","",IF(I458="はい",IF(AND(ISNUMBER(J458),ISNUMBER(K458)),K458-J458,""),""))</f>
        <v/>
      </c>
      <c r="M458" s="9"/>
      <c r="N458" s="11"/>
      <c r="O458" s="13"/>
    </row>
    <row r="459" customFormat="false" ht="15.75" hidden="false" customHeight="false" outlineLevel="0" collapsed="false">
      <c r="A459" s="10"/>
      <c r="B459" s="11"/>
      <c r="C459" s="11"/>
      <c r="D459" s="9"/>
      <c r="E459" s="9"/>
      <c r="F459" s="11"/>
      <c r="G459" s="11"/>
      <c r="H459" s="9"/>
      <c r="I459" s="9"/>
      <c r="J459" s="12"/>
      <c r="K459" s="12"/>
      <c r="L459" s="12" t="str">
        <f aca="false">IF(A459="","",IF(I459="はい",IF(AND(ISNUMBER(J459),ISNUMBER(K459)),K459-J459,""),""))</f>
        <v/>
      </c>
      <c r="M459" s="9"/>
      <c r="N459" s="11"/>
      <c r="O459" s="13"/>
    </row>
    <row r="460" customFormat="false" ht="15.75" hidden="false" customHeight="false" outlineLevel="0" collapsed="false">
      <c r="A460" s="10"/>
      <c r="B460" s="11"/>
      <c r="C460" s="11"/>
      <c r="D460" s="9"/>
      <c r="E460" s="9"/>
      <c r="F460" s="11"/>
      <c r="G460" s="11"/>
      <c r="H460" s="9"/>
      <c r="I460" s="9"/>
      <c r="J460" s="12"/>
      <c r="K460" s="12"/>
      <c r="L460" s="12" t="str">
        <f aca="false">IF(A460="","",IF(I460="はい",IF(AND(ISNUMBER(J460),ISNUMBER(K460)),K460-J460,""),""))</f>
        <v/>
      </c>
      <c r="M460" s="9"/>
      <c r="N460" s="11"/>
      <c r="O460" s="13"/>
    </row>
    <row r="461" customFormat="false" ht="15.75" hidden="false" customHeight="false" outlineLevel="0" collapsed="false">
      <c r="A461" s="10"/>
      <c r="B461" s="11"/>
      <c r="C461" s="11"/>
      <c r="D461" s="9"/>
      <c r="E461" s="9"/>
      <c r="F461" s="11"/>
      <c r="G461" s="11"/>
      <c r="H461" s="9"/>
      <c r="I461" s="9"/>
      <c r="J461" s="12"/>
      <c r="K461" s="12"/>
      <c r="L461" s="12" t="str">
        <f aca="false">IF(A461="","",IF(I461="はい",IF(AND(ISNUMBER(J461),ISNUMBER(K461)),K461-J461,""),""))</f>
        <v/>
      </c>
      <c r="M461" s="9"/>
      <c r="N461" s="11"/>
      <c r="O461" s="13"/>
    </row>
    <row r="462" customFormat="false" ht="15.75" hidden="false" customHeight="false" outlineLevel="0" collapsed="false">
      <c r="A462" s="10"/>
      <c r="B462" s="11"/>
      <c r="C462" s="11"/>
      <c r="D462" s="9"/>
      <c r="E462" s="9"/>
      <c r="F462" s="11"/>
      <c r="G462" s="11"/>
      <c r="H462" s="9"/>
      <c r="I462" s="9"/>
      <c r="J462" s="12"/>
      <c r="K462" s="12"/>
      <c r="L462" s="12" t="str">
        <f aca="false">IF(A462="","",IF(I462="はい",IF(AND(ISNUMBER(J462),ISNUMBER(K462)),K462-J462,""),""))</f>
        <v/>
      </c>
      <c r="M462" s="9"/>
      <c r="N462" s="11"/>
      <c r="O462" s="13"/>
    </row>
    <row r="463" customFormat="false" ht="15.75" hidden="false" customHeight="false" outlineLevel="0" collapsed="false">
      <c r="A463" s="10"/>
      <c r="B463" s="11"/>
      <c r="C463" s="11"/>
      <c r="D463" s="9"/>
      <c r="E463" s="9"/>
      <c r="F463" s="11"/>
      <c r="G463" s="11"/>
      <c r="H463" s="9"/>
      <c r="I463" s="9"/>
      <c r="J463" s="12"/>
      <c r="K463" s="12"/>
      <c r="L463" s="12" t="str">
        <f aca="false">IF(A463="","",IF(I463="はい",IF(AND(ISNUMBER(J463),ISNUMBER(K463)),K463-J463,""),""))</f>
        <v/>
      </c>
      <c r="M463" s="9"/>
      <c r="N463" s="11"/>
      <c r="O463" s="13"/>
    </row>
    <row r="464" customFormat="false" ht="15.75" hidden="false" customHeight="false" outlineLevel="0" collapsed="false">
      <c r="A464" s="10"/>
      <c r="B464" s="11"/>
      <c r="C464" s="11"/>
      <c r="D464" s="9"/>
      <c r="E464" s="9"/>
      <c r="F464" s="11"/>
      <c r="G464" s="11"/>
      <c r="H464" s="9"/>
      <c r="I464" s="9"/>
      <c r="J464" s="12"/>
      <c r="K464" s="12"/>
      <c r="L464" s="12" t="str">
        <f aca="false">IF(A464="","",IF(I464="はい",IF(AND(ISNUMBER(J464),ISNUMBER(K464)),K464-J464,""),""))</f>
        <v/>
      </c>
      <c r="M464" s="9"/>
      <c r="N464" s="11"/>
      <c r="O464" s="13"/>
    </row>
    <row r="465" customFormat="false" ht="15.75" hidden="false" customHeight="false" outlineLevel="0" collapsed="false">
      <c r="A465" s="10"/>
      <c r="B465" s="11"/>
      <c r="C465" s="11"/>
      <c r="D465" s="9"/>
      <c r="E465" s="9"/>
      <c r="F465" s="11"/>
      <c r="G465" s="11"/>
      <c r="H465" s="9"/>
      <c r="I465" s="9"/>
      <c r="J465" s="12"/>
      <c r="K465" s="12"/>
      <c r="L465" s="12" t="str">
        <f aca="false">IF(A465="","",IF(I465="はい",IF(AND(ISNUMBER(J465),ISNUMBER(K465)),K465-J465,""),""))</f>
        <v/>
      </c>
      <c r="M465" s="9"/>
      <c r="N465" s="11"/>
      <c r="O465" s="13"/>
    </row>
    <row r="466" customFormat="false" ht="15.75" hidden="false" customHeight="false" outlineLevel="0" collapsed="false">
      <c r="A466" s="10"/>
      <c r="B466" s="11"/>
      <c r="C466" s="11"/>
      <c r="D466" s="9"/>
      <c r="E466" s="9"/>
      <c r="F466" s="11"/>
      <c r="G466" s="11"/>
      <c r="H466" s="9"/>
      <c r="I466" s="9"/>
      <c r="J466" s="12"/>
      <c r="K466" s="12"/>
      <c r="L466" s="12" t="str">
        <f aca="false">IF(A466="","",IF(I466="はい",IF(AND(ISNUMBER(J466),ISNUMBER(K466)),K466-J466,""),""))</f>
        <v/>
      </c>
      <c r="M466" s="9"/>
      <c r="N466" s="11"/>
      <c r="O466" s="13"/>
    </row>
    <row r="467" customFormat="false" ht="15.75" hidden="false" customHeight="false" outlineLevel="0" collapsed="false">
      <c r="A467" s="10"/>
      <c r="B467" s="11"/>
      <c r="C467" s="11"/>
      <c r="D467" s="9"/>
      <c r="E467" s="9"/>
      <c r="F467" s="11"/>
      <c r="G467" s="11"/>
      <c r="H467" s="9"/>
      <c r="I467" s="9"/>
      <c r="J467" s="12"/>
      <c r="K467" s="12"/>
      <c r="L467" s="12" t="str">
        <f aca="false">IF(A467="","",IF(I467="はい",IF(AND(ISNUMBER(J467),ISNUMBER(K467)),K467-J467,""),""))</f>
        <v/>
      </c>
      <c r="M467" s="9"/>
      <c r="N467" s="11"/>
      <c r="O467" s="13"/>
    </row>
    <row r="468" customFormat="false" ht="15.75" hidden="false" customHeight="false" outlineLevel="0" collapsed="false">
      <c r="A468" s="10"/>
      <c r="B468" s="11"/>
      <c r="C468" s="11"/>
      <c r="D468" s="9"/>
      <c r="E468" s="9"/>
      <c r="F468" s="11"/>
      <c r="G468" s="11"/>
      <c r="H468" s="9"/>
      <c r="I468" s="9"/>
      <c r="J468" s="12"/>
      <c r="K468" s="12"/>
      <c r="L468" s="12" t="str">
        <f aca="false">IF(A468="","",IF(I468="はい",IF(AND(ISNUMBER(J468),ISNUMBER(K468)),K468-J468,""),""))</f>
        <v/>
      </c>
      <c r="M468" s="9"/>
      <c r="N468" s="11"/>
      <c r="O468" s="13"/>
    </row>
    <row r="469" customFormat="false" ht="15.75" hidden="false" customHeight="false" outlineLevel="0" collapsed="false">
      <c r="A469" s="10"/>
      <c r="B469" s="11"/>
      <c r="C469" s="11"/>
      <c r="D469" s="9"/>
      <c r="E469" s="9"/>
      <c r="F469" s="11"/>
      <c r="G469" s="11"/>
      <c r="H469" s="9"/>
      <c r="I469" s="9"/>
      <c r="J469" s="12"/>
      <c r="K469" s="12"/>
      <c r="L469" s="12" t="str">
        <f aca="false">IF(A469="","",IF(I469="はい",IF(AND(ISNUMBER(J469),ISNUMBER(K469)),K469-J469,""),""))</f>
        <v/>
      </c>
      <c r="M469" s="9"/>
      <c r="N469" s="11"/>
      <c r="O469" s="13"/>
    </row>
    <row r="470" customFormat="false" ht="15.75" hidden="false" customHeight="false" outlineLevel="0" collapsed="false">
      <c r="A470" s="10"/>
      <c r="B470" s="11"/>
      <c r="C470" s="11"/>
      <c r="D470" s="9"/>
      <c r="E470" s="9"/>
      <c r="F470" s="11"/>
      <c r="G470" s="11"/>
      <c r="H470" s="9"/>
      <c r="I470" s="9"/>
      <c r="J470" s="12"/>
      <c r="K470" s="12"/>
      <c r="L470" s="12" t="str">
        <f aca="false">IF(A470="","",IF(I470="はい",IF(AND(ISNUMBER(J470),ISNUMBER(K470)),K470-J470,""),""))</f>
        <v/>
      </c>
      <c r="M470" s="9"/>
      <c r="N470" s="11"/>
      <c r="O470" s="13"/>
    </row>
    <row r="471" customFormat="false" ht="15.75" hidden="false" customHeight="false" outlineLevel="0" collapsed="false">
      <c r="A471" s="10"/>
      <c r="B471" s="11"/>
      <c r="C471" s="11"/>
      <c r="D471" s="9"/>
      <c r="E471" s="9"/>
      <c r="F471" s="11"/>
      <c r="G471" s="11"/>
      <c r="H471" s="9"/>
      <c r="I471" s="9"/>
      <c r="J471" s="12"/>
      <c r="K471" s="12"/>
      <c r="L471" s="12" t="str">
        <f aca="false">IF(A471="","",IF(I471="はい",IF(AND(ISNUMBER(J471),ISNUMBER(K471)),K471-J471,""),""))</f>
        <v/>
      </c>
      <c r="M471" s="9"/>
      <c r="N471" s="11"/>
      <c r="O471" s="13"/>
    </row>
    <row r="472" customFormat="false" ht="15.75" hidden="false" customHeight="false" outlineLevel="0" collapsed="false">
      <c r="A472" s="10"/>
      <c r="B472" s="11"/>
      <c r="C472" s="11"/>
      <c r="D472" s="9"/>
      <c r="E472" s="9"/>
      <c r="F472" s="11"/>
      <c r="G472" s="11"/>
      <c r="H472" s="9"/>
      <c r="I472" s="9"/>
      <c r="J472" s="12"/>
      <c r="K472" s="12"/>
      <c r="L472" s="12" t="str">
        <f aca="false">IF(A472="","",IF(I472="はい",IF(AND(ISNUMBER(J472),ISNUMBER(K472)),K472-J472,""),""))</f>
        <v/>
      </c>
      <c r="M472" s="9"/>
      <c r="N472" s="11"/>
      <c r="O472" s="13"/>
    </row>
    <row r="473" customFormat="false" ht="15.75" hidden="false" customHeight="false" outlineLevel="0" collapsed="false">
      <c r="A473" s="10"/>
      <c r="B473" s="11"/>
      <c r="C473" s="11"/>
      <c r="D473" s="9"/>
      <c r="E473" s="9"/>
      <c r="F473" s="11"/>
      <c r="G473" s="11"/>
      <c r="H473" s="9"/>
      <c r="I473" s="9"/>
      <c r="J473" s="12"/>
      <c r="K473" s="12"/>
      <c r="L473" s="12" t="str">
        <f aca="false">IF(A473="","",IF(I473="はい",IF(AND(ISNUMBER(J473),ISNUMBER(K473)),K473-J473,""),""))</f>
        <v/>
      </c>
      <c r="M473" s="9"/>
      <c r="N473" s="11"/>
      <c r="O473" s="13"/>
    </row>
    <row r="474" customFormat="false" ht="15.75" hidden="false" customHeight="false" outlineLevel="0" collapsed="false">
      <c r="A474" s="10"/>
      <c r="B474" s="11"/>
      <c r="C474" s="11"/>
      <c r="D474" s="9"/>
      <c r="E474" s="9"/>
      <c r="F474" s="11"/>
      <c r="G474" s="11"/>
      <c r="H474" s="9"/>
      <c r="I474" s="9"/>
      <c r="J474" s="12"/>
      <c r="K474" s="12"/>
      <c r="L474" s="12" t="str">
        <f aca="false">IF(A474="","",IF(I474="はい",IF(AND(ISNUMBER(J474),ISNUMBER(K474)),K474-J474,""),""))</f>
        <v/>
      </c>
      <c r="M474" s="9"/>
      <c r="N474" s="11"/>
      <c r="O474" s="13"/>
    </row>
    <row r="475" customFormat="false" ht="15.75" hidden="false" customHeight="false" outlineLevel="0" collapsed="false">
      <c r="A475" s="10"/>
      <c r="B475" s="11"/>
      <c r="C475" s="11"/>
      <c r="D475" s="9"/>
      <c r="E475" s="9"/>
      <c r="F475" s="11"/>
      <c r="G475" s="11"/>
      <c r="H475" s="9"/>
      <c r="I475" s="9"/>
      <c r="J475" s="12"/>
      <c r="K475" s="12"/>
      <c r="L475" s="12" t="str">
        <f aca="false">IF(A475="","",IF(I475="はい",IF(AND(ISNUMBER(J475),ISNUMBER(K475)),K475-J475,""),""))</f>
        <v/>
      </c>
      <c r="M475" s="9"/>
      <c r="N475" s="11"/>
      <c r="O475" s="13"/>
    </row>
    <row r="476" customFormat="false" ht="15.75" hidden="false" customHeight="false" outlineLevel="0" collapsed="false">
      <c r="A476" s="10"/>
      <c r="B476" s="11"/>
      <c r="C476" s="11"/>
      <c r="D476" s="9"/>
      <c r="E476" s="9"/>
      <c r="F476" s="11"/>
      <c r="G476" s="11"/>
      <c r="H476" s="9"/>
      <c r="I476" s="9"/>
      <c r="J476" s="12"/>
      <c r="K476" s="12"/>
      <c r="L476" s="12" t="str">
        <f aca="false">IF(A476="","",IF(I476="はい",IF(AND(ISNUMBER(J476),ISNUMBER(K476)),K476-J476,""),""))</f>
        <v/>
      </c>
      <c r="M476" s="9"/>
      <c r="N476" s="11"/>
      <c r="O476" s="13"/>
    </row>
    <row r="477" customFormat="false" ht="15.75" hidden="false" customHeight="false" outlineLevel="0" collapsed="false">
      <c r="A477" s="10"/>
      <c r="B477" s="11"/>
      <c r="C477" s="11"/>
      <c r="D477" s="9"/>
      <c r="E477" s="9"/>
      <c r="F477" s="11"/>
      <c r="G477" s="11"/>
      <c r="H477" s="9"/>
      <c r="I477" s="9"/>
      <c r="J477" s="12"/>
      <c r="K477" s="12"/>
      <c r="L477" s="12" t="str">
        <f aca="false">IF(A477="","",IF(I477="はい",IF(AND(ISNUMBER(J477),ISNUMBER(K477)),K477-J477,""),""))</f>
        <v/>
      </c>
      <c r="M477" s="9"/>
      <c r="N477" s="11"/>
      <c r="O477" s="13"/>
    </row>
    <row r="478" customFormat="false" ht="15.75" hidden="false" customHeight="false" outlineLevel="0" collapsed="false">
      <c r="A478" s="10"/>
      <c r="B478" s="11"/>
      <c r="C478" s="11"/>
      <c r="D478" s="9"/>
      <c r="E478" s="9"/>
      <c r="F478" s="11"/>
      <c r="G478" s="11"/>
      <c r="H478" s="9"/>
      <c r="I478" s="9"/>
      <c r="J478" s="12"/>
      <c r="K478" s="12"/>
      <c r="L478" s="12" t="str">
        <f aca="false">IF(A478="","",IF(I478="はい",IF(AND(ISNUMBER(J478),ISNUMBER(K478)),K478-J478,""),""))</f>
        <v/>
      </c>
      <c r="M478" s="9"/>
      <c r="N478" s="11"/>
      <c r="O478" s="13"/>
    </row>
    <row r="479" customFormat="false" ht="15.75" hidden="false" customHeight="false" outlineLevel="0" collapsed="false">
      <c r="A479" s="10"/>
      <c r="B479" s="11"/>
      <c r="C479" s="11"/>
      <c r="D479" s="9"/>
      <c r="E479" s="9"/>
      <c r="F479" s="11"/>
      <c r="G479" s="11"/>
      <c r="H479" s="9"/>
      <c r="I479" s="9"/>
      <c r="J479" s="12"/>
      <c r="K479" s="12"/>
      <c r="L479" s="12" t="str">
        <f aca="false">IF(A479="","",IF(I479="はい",IF(AND(ISNUMBER(J479),ISNUMBER(K479)),K479-J479,""),""))</f>
        <v/>
      </c>
      <c r="M479" s="9"/>
      <c r="N479" s="11"/>
      <c r="O479" s="13"/>
    </row>
    <row r="480" customFormat="false" ht="15.75" hidden="false" customHeight="false" outlineLevel="0" collapsed="false">
      <c r="A480" s="10"/>
      <c r="B480" s="11"/>
      <c r="C480" s="11"/>
      <c r="D480" s="9"/>
      <c r="E480" s="9"/>
      <c r="F480" s="11"/>
      <c r="G480" s="11"/>
      <c r="H480" s="9"/>
      <c r="I480" s="9"/>
      <c r="J480" s="12"/>
      <c r="K480" s="12"/>
      <c r="L480" s="12" t="str">
        <f aca="false">IF(A480="","",IF(I480="はい",IF(AND(ISNUMBER(J480),ISNUMBER(K480)),K480-J480,""),""))</f>
        <v/>
      </c>
      <c r="M480" s="9"/>
      <c r="N480" s="11"/>
      <c r="O480" s="13"/>
    </row>
    <row r="481" customFormat="false" ht="15.75" hidden="false" customHeight="false" outlineLevel="0" collapsed="false">
      <c r="A481" s="10"/>
      <c r="B481" s="11"/>
      <c r="C481" s="11"/>
      <c r="D481" s="9"/>
      <c r="E481" s="9"/>
      <c r="F481" s="11"/>
      <c r="G481" s="11"/>
      <c r="H481" s="9"/>
      <c r="I481" s="9"/>
      <c r="J481" s="12"/>
      <c r="K481" s="12"/>
      <c r="L481" s="12" t="str">
        <f aca="false">IF(A481="","",IF(I481="はい",IF(AND(ISNUMBER(J481),ISNUMBER(K481)),K481-J481,""),""))</f>
        <v/>
      </c>
      <c r="M481" s="9"/>
      <c r="N481" s="11"/>
      <c r="O481" s="13"/>
    </row>
    <row r="482" customFormat="false" ht="15.75" hidden="false" customHeight="false" outlineLevel="0" collapsed="false">
      <c r="A482" s="10"/>
      <c r="B482" s="11"/>
      <c r="C482" s="11"/>
      <c r="D482" s="9"/>
      <c r="E482" s="9"/>
      <c r="F482" s="11"/>
      <c r="G482" s="11"/>
      <c r="H482" s="9"/>
      <c r="I482" s="9"/>
      <c r="J482" s="12"/>
      <c r="K482" s="12"/>
      <c r="L482" s="12" t="str">
        <f aca="false">IF(A482="","",IF(I482="はい",IF(AND(ISNUMBER(J482),ISNUMBER(K482)),K482-J482,""),""))</f>
        <v/>
      </c>
      <c r="M482" s="9"/>
      <c r="N482" s="11"/>
      <c r="O482" s="13"/>
    </row>
    <row r="483" customFormat="false" ht="15.75" hidden="false" customHeight="false" outlineLevel="0" collapsed="false">
      <c r="A483" s="10"/>
      <c r="B483" s="11"/>
      <c r="C483" s="11"/>
      <c r="D483" s="9"/>
      <c r="E483" s="9"/>
      <c r="F483" s="11"/>
      <c r="G483" s="11"/>
      <c r="H483" s="9"/>
      <c r="I483" s="9"/>
      <c r="J483" s="12"/>
      <c r="K483" s="12"/>
      <c r="L483" s="12" t="str">
        <f aca="false">IF(A483="","",IF(I483="はい",IF(AND(ISNUMBER(J483),ISNUMBER(K483)),K483-J483,""),""))</f>
        <v/>
      </c>
      <c r="M483" s="9"/>
      <c r="N483" s="11"/>
      <c r="O483" s="13"/>
    </row>
    <row r="484" customFormat="false" ht="15.75" hidden="false" customHeight="false" outlineLevel="0" collapsed="false">
      <c r="A484" s="10"/>
      <c r="B484" s="11"/>
      <c r="C484" s="11"/>
      <c r="D484" s="9"/>
      <c r="E484" s="9"/>
      <c r="F484" s="11"/>
      <c r="G484" s="11"/>
      <c r="H484" s="9"/>
      <c r="I484" s="9"/>
      <c r="J484" s="12"/>
      <c r="K484" s="12"/>
      <c r="L484" s="12" t="str">
        <f aca="false">IF(A484="","",IF(I484="はい",IF(AND(ISNUMBER(J484),ISNUMBER(K484)),K484-J484,""),""))</f>
        <v/>
      </c>
      <c r="M484" s="9"/>
      <c r="N484" s="11"/>
      <c r="O484" s="13"/>
    </row>
    <row r="485" customFormat="false" ht="15.75" hidden="false" customHeight="false" outlineLevel="0" collapsed="false">
      <c r="A485" s="10"/>
      <c r="B485" s="11"/>
      <c r="C485" s="11"/>
      <c r="D485" s="9"/>
      <c r="E485" s="9"/>
      <c r="F485" s="11"/>
      <c r="G485" s="11"/>
      <c r="H485" s="9"/>
      <c r="I485" s="9"/>
      <c r="J485" s="12"/>
      <c r="K485" s="12"/>
      <c r="L485" s="12" t="str">
        <f aca="false">IF(A485="","",IF(I485="はい",IF(AND(ISNUMBER(J485),ISNUMBER(K485)),K485-J485,""),""))</f>
        <v/>
      </c>
      <c r="M485" s="9"/>
      <c r="N485" s="11"/>
      <c r="O485" s="13"/>
    </row>
    <row r="486" customFormat="false" ht="15.75" hidden="false" customHeight="false" outlineLevel="0" collapsed="false">
      <c r="A486" s="10"/>
      <c r="B486" s="11"/>
      <c r="C486" s="11"/>
      <c r="D486" s="9"/>
      <c r="E486" s="9"/>
      <c r="F486" s="11"/>
      <c r="G486" s="11"/>
      <c r="H486" s="9"/>
      <c r="I486" s="9"/>
      <c r="J486" s="12"/>
      <c r="K486" s="12"/>
      <c r="L486" s="12" t="str">
        <f aca="false">IF(A486="","",IF(I486="はい",IF(AND(ISNUMBER(J486),ISNUMBER(K486)),K486-J486,""),""))</f>
        <v/>
      </c>
      <c r="M486" s="9"/>
      <c r="N486" s="11"/>
      <c r="O486" s="13"/>
    </row>
    <row r="487" customFormat="false" ht="15.75" hidden="false" customHeight="false" outlineLevel="0" collapsed="false">
      <c r="A487" s="10"/>
      <c r="B487" s="11"/>
      <c r="C487" s="11"/>
      <c r="D487" s="9"/>
      <c r="E487" s="9"/>
      <c r="F487" s="11"/>
      <c r="G487" s="11"/>
      <c r="H487" s="9"/>
      <c r="I487" s="9"/>
      <c r="J487" s="12"/>
      <c r="K487" s="12"/>
      <c r="L487" s="12" t="str">
        <f aca="false">IF(A487="","",IF(I487="はい",IF(AND(ISNUMBER(J487),ISNUMBER(K487)),K487-J487,""),""))</f>
        <v/>
      </c>
      <c r="M487" s="9"/>
      <c r="N487" s="11"/>
      <c r="O487" s="13"/>
    </row>
    <row r="488" customFormat="false" ht="15.75" hidden="false" customHeight="false" outlineLevel="0" collapsed="false">
      <c r="A488" s="10"/>
      <c r="B488" s="11"/>
      <c r="C488" s="11"/>
      <c r="D488" s="9"/>
      <c r="E488" s="9"/>
      <c r="F488" s="11"/>
      <c r="G488" s="11"/>
      <c r="H488" s="9"/>
      <c r="I488" s="9"/>
      <c r="J488" s="12"/>
      <c r="K488" s="12"/>
      <c r="L488" s="12" t="str">
        <f aca="false">IF(A488="","",IF(I488="はい",IF(AND(ISNUMBER(J488),ISNUMBER(K488)),K488-J488,""),""))</f>
        <v/>
      </c>
      <c r="M488" s="9"/>
      <c r="N488" s="11"/>
      <c r="O488" s="13"/>
    </row>
    <row r="489" customFormat="false" ht="15.75" hidden="false" customHeight="false" outlineLevel="0" collapsed="false">
      <c r="A489" s="10"/>
      <c r="B489" s="11"/>
      <c r="C489" s="11"/>
      <c r="D489" s="9"/>
      <c r="E489" s="9"/>
      <c r="F489" s="11"/>
      <c r="G489" s="11"/>
      <c r="H489" s="9"/>
      <c r="I489" s="9"/>
      <c r="J489" s="12"/>
      <c r="K489" s="12"/>
      <c r="L489" s="12" t="str">
        <f aca="false">IF(A489="","",IF(I489="はい",IF(AND(ISNUMBER(J489),ISNUMBER(K489)),K489-J489,""),""))</f>
        <v/>
      </c>
      <c r="M489" s="9"/>
      <c r="N489" s="11"/>
      <c r="O489" s="13"/>
    </row>
    <row r="490" customFormat="false" ht="15.75" hidden="false" customHeight="false" outlineLevel="0" collapsed="false">
      <c r="A490" s="10"/>
      <c r="B490" s="11"/>
      <c r="C490" s="11"/>
      <c r="D490" s="9"/>
      <c r="E490" s="9"/>
      <c r="F490" s="11"/>
      <c r="G490" s="11"/>
      <c r="H490" s="9"/>
      <c r="I490" s="9"/>
      <c r="J490" s="12"/>
      <c r="K490" s="12"/>
      <c r="L490" s="12" t="str">
        <f aca="false">IF(A490="","",IF(I490="はい",IF(AND(ISNUMBER(J490),ISNUMBER(K490)),K490-J490,""),""))</f>
        <v/>
      </c>
      <c r="M490" s="9"/>
      <c r="N490" s="11"/>
      <c r="O490" s="13"/>
    </row>
    <row r="491" customFormat="false" ht="15.75" hidden="false" customHeight="false" outlineLevel="0" collapsed="false">
      <c r="A491" s="10"/>
      <c r="B491" s="11"/>
      <c r="C491" s="11"/>
      <c r="D491" s="9"/>
      <c r="E491" s="9"/>
      <c r="F491" s="11"/>
      <c r="G491" s="11"/>
      <c r="H491" s="9"/>
      <c r="I491" s="9"/>
      <c r="J491" s="12"/>
      <c r="K491" s="12"/>
      <c r="L491" s="12" t="str">
        <f aca="false">IF(A491="","",IF(I491="はい",IF(AND(ISNUMBER(J491),ISNUMBER(K491)),K491-J491,""),""))</f>
        <v/>
      </c>
      <c r="M491" s="9"/>
      <c r="N491" s="11"/>
      <c r="O491" s="13"/>
    </row>
    <row r="492" customFormat="false" ht="15.75" hidden="false" customHeight="false" outlineLevel="0" collapsed="false">
      <c r="A492" s="10"/>
      <c r="B492" s="11"/>
      <c r="C492" s="11"/>
      <c r="D492" s="9"/>
      <c r="E492" s="9"/>
      <c r="F492" s="11"/>
      <c r="G492" s="11"/>
      <c r="H492" s="9"/>
      <c r="I492" s="9"/>
      <c r="J492" s="12"/>
      <c r="K492" s="12"/>
      <c r="L492" s="12" t="str">
        <f aca="false">IF(A492="","",IF(I492="はい",IF(AND(ISNUMBER(J492),ISNUMBER(K492)),K492-J492,""),""))</f>
        <v/>
      </c>
      <c r="M492" s="9"/>
      <c r="N492" s="11"/>
      <c r="O492" s="13"/>
    </row>
    <row r="493" customFormat="false" ht="15.75" hidden="false" customHeight="false" outlineLevel="0" collapsed="false">
      <c r="A493" s="10"/>
      <c r="B493" s="11"/>
      <c r="C493" s="11"/>
      <c r="D493" s="9"/>
      <c r="E493" s="9"/>
      <c r="F493" s="11"/>
      <c r="G493" s="11"/>
      <c r="H493" s="9"/>
      <c r="I493" s="9"/>
      <c r="J493" s="12"/>
      <c r="K493" s="12"/>
      <c r="L493" s="12" t="str">
        <f aca="false">IF(A493="","",IF(I493="はい",IF(AND(ISNUMBER(J493),ISNUMBER(K493)),K493-J493,""),""))</f>
        <v/>
      </c>
      <c r="M493" s="9"/>
      <c r="N493" s="11"/>
      <c r="O493" s="13"/>
    </row>
    <row r="494" customFormat="false" ht="15.75" hidden="false" customHeight="false" outlineLevel="0" collapsed="false">
      <c r="A494" s="10"/>
      <c r="B494" s="11"/>
      <c r="C494" s="11"/>
      <c r="D494" s="9"/>
      <c r="E494" s="9"/>
      <c r="F494" s="11"/>
      <c r="G494" s="11"/>
      <c r="H494" s="9"/>
      <c r="I494" s="9"/>
      <c r="J494" s="12"/>
      <c r="K494" s="12"/>
      <c r="L494" s="12" t="str">
        <f aca="false">IF(A494="","",IF(I494="はい",IF(AND(ISNUMBER(J494),ISNUMBER(K494)),K494-J494,""),""))</f>
        <v/>
      </c>
      <c r="M494" s="9"/>
      <c r="N494" s="11"/>
      <c r="O494" s="13"/>
    </row>
    <row r="495" customFormat="false" ht="15.75" hidden="false" customHeight="false" outlineLevel="0" collapsed="false">
      <c r="A495" s="10"/>
      <c r="B495" s="11"/>
      <c r="C495" s="11"/>
      <c r="D495" s="9"/>
      <c r="E495" s="9"/>
      <c r="F495" s="11"/>
      <c r="G495" s="11"/>
      <c r="H495" s="9"/>
      <c r="I495" s="9"/>
      <c r="J495" s="12"/>
      <c r="K495" s="12"/>
      <c r="L495" s="12" t="str">
        <f aca="false">IF(A495="","",IF(I495="はい",IF(AND(ISNUMBER(J495),ISNUMBER(K495)),K495-J495,""),""))</f>
        <v/>
      </c>
      <c r="M495" s="9"/>
      <c r="N495" s="11"/>
      <c r="O495" s="13"/>
    </row>
    <row r="496" customFormat="false" ht="15.75" hidden="false" customHeight="false" outlineLevel="0" collapsed="false">
      <c r="A496" s="10"/>
      <c r="B496" s="11"/>
      <c r="C496" s="11"/>
      <c r="D496" s="9"/>
      <c r="E496" s="9"/>
      <c r="F496" s="11"/>
      <c r="G496" s="11"/>
      <c r="H496" s="9"/>
      <c r="I496" s="9"/>
      <c r="J496" s="12"/>
      <c r="K496" s="12"/>
      <c r="L496" s="12" t="str">
        <f aca="false">IF(A496="","",IF(I496="はい",IF(AND(ISNUMBER(J496),ISNUMBER(K496)),K496-J496,""),""))</f>
        <v/>
      </c>
      <c r="M496" s="9"/>
      <c r="N496" s="11"/>
      <c r="O496" s="13"/>
    </row>
    <row r="497" customFormat="false" ht="15.75" hidden="false" customHeight="false" outlineLevel="0" collapsed="false">
      <c r="A497" s="10"/>
      <c r="B497" s="11"/>
      <c r="C497" s="11"/>
      <c r="D497" s="9"/>
      <c r="E497" s="9"/>
      <c r="F497" s="11"/>
      <c r="G497" s="11"/>
      <c r="H497" s="9"/>
      <c r="I497" s="9"/>
      <c r="J497" s="12"/>
      <c r="K497" s="12"/>
      <c r="L497" s="12" t="str">
        <f aca="false">IF(A497="","",IF(I497="はい",IF(AND(ISNUMBER(J497),ISNUMBER(K497)),K497-J497,""),""))</f>
        <v/>
      </c>
      <c r="M497" s="9"/>
      <c r="N497" s="11"/>
      <c r="O497" s="13"/>
    </row>
    <row r="498" customFormat="false" ht="15.75" hidden="false" customHeight="false" outlineLevel="0" collapsed="false">
      <c r="A498" s="10"/>
      <c r="B498" s="11"/>
      <c r="C498" s="11"/>
      <c r="D498" s="9"/>
      <c r="E498" s="9"/>
      <c r="F498" s="11"/>
      <c r="G498" s="11"/>
      <c r="H498" s="9"/>
      <c r="I498" s="9"/>
      <c r="J498" s="12"/>
      <c r="K498" s="12"/>
      <c r="L498" s="12" t="str">
        <f aca="false">IF(A498="","",IF(I498="はい",IF(AND(ISNUMBER(J498),ISNUMBER(K498)),K498-J498,""),""))</f>
        <v/>
      </c>
      <c r="M498" s="9"/>
      <c r="N498" s="11"/>
      <c r="O498" s="13"/>
    </row>
    <row r="499" customFormat="false" ht="15.75" hidden="false" customHeight="false" outlineLevel="0" collapsed="false">
      <c r="A499" s="10"/>
      <c r="B499" s="11"/>
      <c r="C499" s="11"/>
      <c r="D499" s="9"/>
      <c r="E499" s="9"/>
      <c r="F499" s="11"/>
      <c r="G499" s="11"/>
      <c r="H499" s="9"/>
      <c r="I499" s="9"/>
      <c r="J499" s="12"/>
      <c r="K499" s="12"/>
      <c r="L499" s="12" t="str">
        <f aca="false">IF(A499="","",IF(I499="はい",IF(AND(ISNUMBER(J499),ISNUMBER(K499)),K499-J499,""),""))</f>
        <v/>
      </c>
      <c r="M499" s="9"/>
      <c r="N499" s="11"/>
      <c r="O499" s="13"/>
    </row>
    <row r="500" customFormat="false" ht="15.75" hidden="false" customHeight="false" outlineLevel="0" collapsed="false">
      <c r="A500" s="10"/>
      <c r="B500" s="11"/>
      <c r="C500" s="11"/>
      <c r="D500" s="9"/>
      <c r="E500" s="9"/>
      <c r="F500" s="11"/>
      <c r="G500" s="11"/>
      <c r="H500" s="9"/>
      <c r="I500" s="9"/>
      <c r="J500" s="12"/>
      <c r="K500" s="12"/>
      <c r="L500" s="12" t="str">
        <f aca="false">IF(A500="","",IF(I500="はい",IF(AND(ISNUMBER(J500),ISNUMBER(K500)),K500-J500,""),""))</f>
        <v/>
      </c>
      <c r="M500" s="9"/>
      <c r="N500" s="11"/>
      <c r="O500" s="13"/>
    </row>
    <row r="501" customFormat="false" ht="15.75" hidden="false" customHeight="false" outlineLevel="0" collapsed="false">
      <c r="A501" s="10"/>
      <c r="B501" s="11"/>
      <c r="C501" s="11"/>
      <c r="D501" s="9"/>
      <c r="E501" s="9"/>
      <c r="F501" s="11"/>
      <c r="G501" s="11"/>
      <c r="H501" s="9"/>
      <c r="I501" s="9"/>
      <c r="J501" s="12"/>
      <c r="K501" s="12"/>
      <c r="L501" s="12" t="str">
        <f aca="false">IF(A501="","",IF(I501="はい",IF(AND(ISNUMBER(J501),ISNUMBER(K501)),K501-J501,""),""))</f>
        <v/>
      </c>
      <c r="M501" s="9"/>
      <c r="N501" s="11"/>
      <c r="O501" s="13"/>
    </row>
    <row r="502" customFormat="false" ht="15.75" hidden="false" customHeight="false" outlineLevel="0" collapsed="false">
      <c r="A502" s="10"/>
      <c r="B502" s="11"/>
      <c r="C502" s="11"/>
      <c r="D502" s="9"/>
      <c r="E502" s="9"/>
      <c r="F502" s="11"/>
      <c r="G502" s="11"/>
      <c r="H502" s="9"/>
      <c r="I502" s="9"/>
      <c r="J502" s="12"/>
      <c r="K502" s="12"/>
      <c r="L502" s="12" t="str">
        <f aca="false">IF(A502="","",IF(I502="はい",IF(AND(ISNUMBER(J502),ISNUMBER(K502)),K502-J502,""),""))</f>
        <v/>
      </c>
      <c r="M502" s="9"/>
      <c r="N502" s="11"/>
      <c r="O502" s="13"/>
    </row>
    <row r="503" customFormat="false" ht="15.75" hidden="false" customHeight="false" outlineLevel="0" collapsed="false">
      <c r="A503" s="10"/>
      <c r="B503" s="11"/>
      <c r="C503" s="11"/>
      <c r="D503" s="9"/>
      <c r="E503" s="9"/>
      <c r="F503" s="11"/>
      <c r="G503" s="11"/>
      <c r="H503" s="9"/>
      <c r="I503" s="9"/>
      <c r="J503" s="12"/>
      <c r="K503" s="12"/>
      <c r="L503" s="12" t="str">
        <f aca="false">IF(A503="","",IF(I503="はい",IF(AND(ISNUMBER(J503),ISNUMBER(K503)),K503-J503,""),""))</f>
        <v/>
      </c>
      <c r="M503" s="9"/>
      <c r="N503" s="11"/>
      <c r="O503" s="13"/>
    </row>
    <row r="504" customFormat="false" ht="15.75" hidden="false" customHeight="false" outlineLevel="0" collapsed="false">
      <c r="A504" s="10"/>
      <c r="B504" s="11"/>
      <c r="C504" s="11"/>
      <c r="D504" s="9"/>
      <c r="E504" s="9"/>
      <c r="F504" s="11"/>
      <c r="G504" s="11"/>
      <c r="H504" s="9"/>
      <c r="I504" s="9"/>
      <c r="J504" s="12"/>
      <c r="K504" s="12"/>
      <c r="L504" s="12" t="str">
        <f aca="false">IF(A504="","",IF(I504="はい",IF(AND(ISNUMBER(J504),ISNUMBER(K504)),K504-J504,""),""))</f>
        <v/>
      </c>
      <c r="M504" s="9"/>
      <c r="N504" s="11"/>
      <c r="O504" s="13"/>
    </row>
    <row r="505" customFormat="false" ht="15.75" hidden="false" customHeight="false" outlineLevel="0" collapsed="false">
      <c r="A505" s="10"/>
      <c r="B505" s="11"/>
      <c r="C505" s="11"/>
      <c r="D505" s="9"/>
      <c r="E505" s="9"/>
      <c r="F505" s="11"/>
      <c r="G505" s="11"/>
      <c r="H505" s="9"/>
      <c r="I505" s="9"/>
      <c r="J505" s="12"/>
      <c r="K505" s="12"/>
      <c r="L505" s="12" t="str">
        <f aca="false">IF(A505="","",IF(I505="はい",IF(AND(ISNUMBER(J505),ISNUMBER(K505)),K505-J505,""),""))</f>
        <v/>
      </c>
      <c r="M505" s="9"/>
      <c r="N505" s="11"/>
      <c r="O505" s="13"/>
    </row>
    <row r="506" customFormat="false" ht="15.75" hidden="false" customHeight="false" outlineLevel="0" collapsed="false">
      <c r="A506" s="10"/>
      <c r="B506" s="11"/>
      <c r="C506" s="11"/>
      <c r="D506" s="9"/>
      <c r="E506" s="9"/>
      <c r="F506" s="11"/>
      <c r="G506" s="11"/>
      <c r="H506" s="9"/>
      <c r="I506" s="9"/>
      <c r="J506" s="12"/>
      <c r="K506" s="12"/>
      <c r="L506" s="12" t="str">
        <f aca="false">IF(A506="","",IF(I506="はい",IF(AND(ISNUMBER(J506),ISNUMBER(K506)),K506-J506,""),""))</f>
        <v/>
      </c>
      <c r="M506" s="9"/>
      <c r="N506" s="11"/>
      <c r="O506" s="13"/>
    </row>
    <row r="507" customFormat="false" ht="15.75" hidden="false" customHeight="false" outlineLevel="0" collapsed="false">
      <c r="A507" s="10"/>
      <c r="B507" s="11"/>
      <c r="C507" s="11"/>
      <c r="D507" s="9"/>
      <c r="E507" s="9"/>
      <c r="F507" s="11"/>
      <c r="G507" s="11"/>
      <c r="H507" s="9"/>
      <c r="I507" s="9"/>
      <c r="J507" s="12"/>
      <c r="K507" s="12"/>
      <c r="L507" s="12" t="str">
        <f aca="false">IF(A507="","",IF(I507="はい",IF(AND(ISNUMBER(J507),ISNUMBER(K507)),K507-J507,""),""))</f>
        <v/>
      </c>
      <c r="M507" s="9"/>
      <c r="N507" s="11"/>
      <c r="O507" s="13"/>
    </row>
    <row r="508" customFormat="false" ht="15.75" hidden="false" customHeight="false" outlineLevel="0" collapsed="false">
      <c r="A508" s="10"/>
      <c r="B508" s="11"/>
      <c r="C508" s="11"/>
      <c r="D508" s="9"/>
      <c r="E508" s="9"/>
      <c r="F508" s="11"/>
      <c r="G508" s="11"/>
      <c r="H508" s="9"/>
      <c r="I508" s="9"/>
      <c r="J508" s="12"/>
      <c r="K508" s="12"/>
      <c r="L508" s="12" t="str">
        <f aca="false">IF(A508="","",IF(I508="はい",IF(AND(ISNUMBER(J508),ISNUMBER(K508)),K508-J508,""),""))</f>
        <v/>
      </c>
      <c r="M508" s="9"/>
      <c r="N508" s="11"/>
      <c r="O508" s="13"/>
    </row>
    <row r="509" customFormat="false" ht="15.75" hidden="false" customHeight="false" outlineLevel="0" collapsed="false">
      <c r="A509" s="10"/>
      <c r="B509" s="11"/>
      <c r="C509" s="11"/>
      <c r="D509" s="9"/>
      <c r="E509" s="9"/>
      <c r="F509" s="11"/>
      <c r="G509" s="11"/>
      <c r="H509" s="9"/>
      <c r="I509" s="9"/>
      <c r="J509" s="12"/>
      <c r="K509" s="12"/>
      <c r="L509" s="12" t="str">
        <f aca="false">IF(A509="","",IF(I509="はい",IF(AND(ISNUMBER(J509),ISNUMBER(K509)),K509-J509,""),""))</f>
        <v/>
      </c>
      <c r="M509" s="9"/>
      <c r="N509" s="11"/>
      <c r="O509" s="13"/>
    </row>
    <row r="510" customFormat="false" ht="15.75" hidden="false" customHeight="false" outlineLevel="0" collapsed="false">
      <c r="A510" s="10"/>
      <c r="B510" s="11"/>
      <c r="C510" s="11"/>
      <c r="D510" s="9"/>
      <c r="E510" s="9"/>
      <c r="F510" s="11"/>
      <c r="G510" s="11"/>
      <c r="H510" s="9"/>
      <c r="I510" s="9"/>
      <c r="J510" s="12"/>
      <c r="K510" s="12"/>
      <c r="L510" s="12" t="str">
        <f aca="false">IF(A510="","",IF(I510="はい",IF(AND(ISNUMBER(J510),ISNUMBER(K510)),K510-J510,""),""))</f>
        <v/>
      </c>
      <c r="M510" s="9"/>
      <c r="N510" s="11"/>
      <c r="O510" s="13"/>
    </row>
    <row r="511" customFormat="false" ht="15.75" hidden="false" customHeight="false" outlineLevel="0" collapsed="false">
      <c r="A511" s="10"/>
      <c r="B511" s="11"/>
      <c r="C511" s="11"/>
      <c r="D511" s="9"/>
      <c r="E511" s="9"/>
      <c r="F511" s="11"/>
      <c r="G511" s="11"/>
      <c r="H511" s="9"/>
      <c r="I511" s="9"/>
      <c r="J511" s="12"/>
      <c r="K511" s="12"/>
      <c r="L511" s="12" t="str">
        <f aca="false">IF(A511="","",IF(I511="はい",IF(AND(ISNUMBER(J511),ISNUMBER(K511)),K511-J511,""),""))</f>
        <v/>
      </c>
      <c r="M511" s="9"/>
      <c r="N511" s="11"/>
      <c r="O511" s="13"/>
    </row>
    <row r="512" customFormat="false" ht="15.75" hidden="false" customHeight="false" outlineLevel="0" collapsed="false">
      <c r="A512" s="10"/>
      <c r="B512" s="11"/>
      <c r="C512" s="11"/>
      <c r="D512" s="9"/>
      <c r="E512" s="9"/>
      <c r="F512" s="11"/>
      <c r="G512" s="11"/>
      <c r="H512" s="9"/>
      <c r="I512" s="9"/>
      <c r="J512" s="12"/>
      <c r="K512" s="12"/>
      <c r="L512" s="12" t="str">
        <f aca="false">IF(A512="","",IF(I512="はい",IF(AND(ISNUMBER(J512),ISNUMBER(K512)),K512-J512,""),""))</f>
        <v/>
      </c>
      <c r="M512" s="9"/>
      <c r="N512" s="11"/>
      <c r="O512" s="13"/>
    </row>
    <row r="513" customFormat="false" ht="15.75" hidden="false" customHeight="false" outlineLevel="0" collapsed="false">
      <c r="A513" s="10"/>
      <c r="B513" s="11"/>
      <c r="C513" s="11"/>
      <c r="D513" s="9"/>
      <c r="E513" s="9"/>
      <c r="F513" s="11"/>
      <c r="G513" s="11"/>
      <c r="H513" s="9"/>
      <c r="I513" s="9"/>
      <c r="J513" s="12"/>
      <c r="K513" s="12"/>
      <c r="L513" s="12" t="str">
        <f aca="false">IF(A513="","",IF(I513="はい",IF(AND(ISNUMBER(J513),ISNUMBER(K513)),K513-J513,""),""))</f>
        <v/>
      </c>
      <c r="M513" s="9"/>
      <c r="N513" s="11"/>
      <c r="O513" s="13"/>
    </row>
    <row r="514" customFormat="false" ht="15.75" hidden="false" customHeight="false" outlineLevel="0" collapsed="false">
      <c r="A514" s="10"/>
      <c r="B514" s="11"/>
      <c r="C514" s="11"/>
      <c r="D514" s="9"/>
      <c r="E514" s="9"/>
      <c r="F514" s="11"/>
      <c r="G514" s="11"/>
      <c r="H514" s="9"/>
      <c r="I514" s="9"/>
      <c r="J514" s="12"/>
      <c r="K514" s="12"/>
      <c r="L514" s="12" t="str">
        <f aca="false">IF(A514="","",IF(I514="はい",IF(AND(ISNUMBER(J514),ISNUMBER(K514)),K514-J514,""),""))</f>
        <v/>
      </c>
      <c r="M514" s="9"/>
      <c r="N514" s="11"/>
      <c r="O514" s="13"/>
    </row>
    <row r="515" customFormat="false" ht="15.75" hidden="false" customHeight="false" outlineLevel="0" collapsed="false">
      <c r="A515" s="10"/>
      <c r="B515" s="11"/>
      <c r="C515" s="11"/>
      <c r="D515" s="9"/>
      <c r="E515" s="9"/>
      <c r="F515" s="11"/>
      <c r="G515" s="11"/>
      <c r="H515" s="9"/>
      <c r="I515" s="9"/>
      <c r="J515" s="12"/>
      <c r="K515" s="12"/>
      <c r="L515" s="12" t="str">
        <f aca="false">IF(A515="","",IF(I515="はい",IF(AND(ISNUMBER(J515),ISNUMBER(K515)),K515-J515,""),""))</f>
        <v/>
      </c>
      <c r="M515" s="9"/>
      <c r="N515" s="11"/>
      <c r="O515" s="13"/>
    </row>
    <row r="516" customFormat="false" ht="15.75" hidden="false" customHeight="false" outlineLevel="0" collapsed="false">
      <c r="A516" s="10"/>
      <c r="B516" s="11"/>
      <c r="C516" s="11"/>
      <c r="D516" s="9"/>
      <c r="E516" s="9"/>
      <c r="F516" s="11"/>
      <c r="G516" s="11"/>
      <c r="H516" s="9"/>
      <c r="I516" s="9"/>
      <c r="J516" s="12"/>
      <c r="K516" s="12"/>
      <c r="L516" s="12" t="str">
        <f aca="false">IF(A516="","",IF(I516="はい",IF(AND(ISNUMBER(J516),ISNUMBER(K516)),K516-J516,""),""))</f>
        <v/>
      </c>
      <c r="M516" s="9"/>
      <c r="N516" s="11"/>
      <c r="O516" s="13"/>
    </row>
    <row r="517" customFormat="false" ht="15.75" hidden="false" customHeight="false" outlineLevel="0" collapsed="false">
      <c r="A517" s="10"/>
      <c r="B517" s="11"/>
      <c r="C517" s="11"/>
      <c r="D517" s="9"/>
      <c r="E517" s="9"/>
      <c r="F517" s="11"/>
      <c r="G517" s="11"/>
      <c r="H517" s="9"/>
      <c r="I517" s="9"/>
      <c r="J517" s="12"/>
      <c r="K517" s="12"/>
      <c r="L517" s="12" t="str">
        <f aca="false">IF(A517="","",IF(I517="はい",IF(AND(ISNUMBER(J517),ISNUMBER(K517)),K517-J517,""),""))</f>
        <v/>
      </c>
      <c r="M517" s="9"/>
      <c r="N517" s="11"/>
      <c r="O517" s="13"/>
    </row>
    <row r="518" customFormat="false" ht="15.75" hidden="false" customHeight="false" outlineLevel="0" collapsed="false">
      <c r="A518" s="10"/>
      <c r="B518" s="11"/>
      <c r="C518" s="11"/>
      <c r="D518" s="9"/>
      <c r="E518" s="9"/>
      <c r="F518" s="11"/>
      <c r="G518" s="11"/>
      <c r="H518" s="9"/>
      <c r="I518" s="9"/>
      <c r="J518" s="12"/>
      <c r="K518" s="12"/>
      <c r="L518" s="12" t="str">
        <f aca="false">IF(A518="","",IF(I518="はい",IF(AND(ISNUMBER(J518),ISNUMBER(K518)),K518-J518,""),""))</f>
        <v/>
      </c>
      <c r="M518" s="9"/>
      <c r="N518" s="11"/>
      <c r="O518" s="13"/>
    </row>
    <row r="519" customFormat="false" ht="15.75" hidden="false" customHeight="false" outlineLevel="0" collapsed="false">
      <c r="A519" s="10"/>
      <c r="B519" s="11"/>
      <c r="C519" s="11"/>
      <c r="D519" s="9"/>
      <c r="E519" s="9"/>
      <c r="F519" s="11"/>
      <c r="G519" s="11"/>
      <c r="H519" s="9"/>
      <c r="I519" s="9"/>
      <c r="J519" s="12"/>
      <c r="K519" s="12"/>
      <c r="L519" s="12" t="str">
        <f aca="false">IF(A519="","",IF(I519="はい",IF(AND(ISNUMBER(J519),ISNUMBER(K519)),K519-J519,""),""))</f>
        <v/>
      </c>
      <c r="M519" s="9"/>
      <c r="N519" s="11"/>
      <c r="O519" s="13"/>
    </row>
    <row r="520" customFormat="false" ht="15.75" hidden="false" customHeight="false" outlineLevel="0" collapsed="false">
      <c r="A520" s="10"/>
      <c r="B520" s="11"/>
      <c r="C520" s="11"/>
      <c r="D520" s="9"/>
      <c r="E520" s="9"/>
      <c r="F520" s="11"/>
      <c r="G520" s="11"/>
      <c r="H520" s="9"/>
      <c r="I520" s="9"/>
      <c r="J520" s="12"/>
      <c r="K520" s="12"/>
      <c r="L520" s="12" t="str">
        <f aca="false">IF(A520="","",IF(I520="はい",IF(AND(ISNUMBER(J520),ISNUMBER(K520)),K520-J520,""),""))</f>
        <v/>
      </c>
      <c r="M520" s="9"/>
      <c r="N520" s="11"/>
      <c r="O520" s="13"/>
    </row>
    <row r="521" customFormat="false" ht="15.75" hidden="false" customHeight="false" outlineLevel="0" collapsed="false">
      <c r="A521" s="10"/>
      <c r="B521" s="11"/>
      <c r="C521" s="11"/>
      <c r="D521" s="9"/>
      <c r="E521" s="9"/>
      <c r="F521" s="11"/>
      <c r="G521" s="11"/>
      <c r="H521" s="9"/>
      <c r="I521" s="9"/>
      <c r="J521" s="12"/>
      <c r="K521" s="12"/>
      <c r="L521" s="12" t="str">
        <f aca="false">IF(A521="","",IF(I521="はい",IF(AND(ISNUMBER(J521),ISNUMBER(K521)),K521-J521,""),""))</f>
        <v/>
      </c>
      <c r="M521" s="9"/>
      <c r="N521" s="11"/>
      <c r="O521" s="13"/>
    </row>
    <row r="522" customFormat="false" ht="15.75" hidden="false" customHeight="false" outlineLevel="0" collapsed="false">
      <c r="A522" s="10"/>
      <c r="B522" s="11"/>
      <c r="C522" s="11"/>
      <c r="D522" s="9"/>
      <c r="E522" s="9"/>
      <c r="F522" s="11"/>
      <c r="G522" s="11"/>
      <c r="H522" s="9"/>
      <c r="I522" s="9"/>
      <c r="J522" s="12"/>
      <c r="K522" s="12"/>
      <c r="L522" s="12" t="str">
        <f aca="false">IF(A522="","",IF(I522="はい",IF(AND(ISNUMBER(J522),ISNUMBER(K522)),K522-J522,""),""))</f>
        <v/>
      </c>
      <c r="M522" s="9"/>
      <c r="N522" s="11"/>
      <c r="O522" s="13"/>
    </row>
    <row r="523" customFormat="false" ht="15.75" hidden="false" customHeight="false" outlineLevel="0" collapsed="false">
      <c r="A523" s="10"/>
      <c r="B523" s="11"/>
      <c r="C523" s="11"/>
      <c r="D523" s="9"/>
      <c r="E523" s="9"/>
      <c r="F523" s="11"/>
      <c r="G523" s="11"/>
      <c r="H523" s="9"/>
      <c r="I523" s="9"/>
      <c r="J523" s="12"/>
      <c r="K523" s="12"/>
      <c r="L523" s="12" t="str">
        <f aca="false">IF(A523="","",IF(I523="はい",IF(AND(ISNUMBER(J523),ISNUMBER(K523)),K523-J523,""),""))</f>
        <v/>
      </c>
      <c r="M523" s="9"/>
      <c r="N523" s="11"/>
      <c r="O523" s="13"/>
    </row>
    <row r="524" customFormat="false" ht="15.75" hidden="false" customHeight="false" outlineLevel="0" collapsed="false">
      <c r="A524" s="10"/>
      <c r="B524" s="11"/>
      <c r="C524" s="11"/>
      <c r="D524" s="9"/>
      <c r="E524" s="9"/>
      <c r="F524" s="11"/>
      <c r="G524" s="11"/>
      <c r="H524" s="9"/>
      <c r="I524" s="9"/>
      <c r="J524" s="12"/>
      <c r="K524" s="12"/>
      <c r="L524" s="12" t="str">
        <f aca="false">IF(A524="","",IF(I524="はい",IF(AND(ISNUMBER(J524),ISNUMBER(K524)),K524-J524,""),""))</f>
        <v/>
      </c>
      <c r="M524" s="9"/>
      <c r="N524" s="11"/>
      <c r="O524" s="13"/>
    </row>
    <row r="525" customFormat="false" ht="15.75" hidden="false" customHeight="false" outlineLevel="0" collapsed="false">
      <c r="A525" s="10"/>
      <c r="B525" s="11"/>
      <c r="C525" s="11"/>
      <c r="D525" s="9"/>
      <c r="E525" s="9"/>
      <c r="F525" s="11"/>
      <c r="G525" s="11"/>
      <c r="H525" s="9"/>
      <c r="I525" s="9"/>
      <c r="J525" s="12"/>
      <c r="K525" s="12"/>
      <c r="L525" s="12" t="str">
        <f aca="false">IF(A525="","",IF(I525="はい",IF(AND(ISNUMBER(J525),ISNUMBER(K525)),K525-J525,""),""))</f>
        <v/>
      </c>
      <c r="M525" s="9"/>
      <c r="N525" s="11"/>
      <c r="O525" s="13"/>
    </row>
    <row r="526" customFormat="false" ht="15.75" hidden="false" customHeight="false" outlineLevel="0" collapsed="false">
      <c r="A526" s="10"/>
      <c r="B526" s="11"/>
      <c r="C526" s="11"/>
      <c r="D526" s="9"/>
      <c r="E526" s="9"/>
      <c r="F526" s="11"/>
      <c r="G526" s="11"/>
      <c r="H526" s="9"/>
      <c r="I526" s="9"/>
      <c r="J526" s="12"/>
      <c r="K526" s="12"/>
      <c r="L526" s="12" t="str">
        <f aca="false">IF(A526="","",IF(I526="はい",IF(AND(ISNUMBER(J526),ISNUMBER(K526)),K526-J526,""),""))</f>
        <v/>
      </c>
      <c r="M526" s="9"/>
      <c r="N526" s="11"/>
      <c r="O526" s="13"/>
    </row>
    <row r="527" customFormat="false" ht="15.75" hidden="false" customHeight="false" outlineLevel="0" collapsed="false">
      <c r="A527" s="10"/>
      <c r="B527" s="11"/>
      <c r="C527" s="11"/>
      <c r="D527" s="9"/>
      <c r="E527" s="9"/>
      <c r="F527" s="11"/>
      <c r="G527" s="11"/>
      <c r="H527" s="9"/>
      <c r="I527" s="9"/>
      <c r="J527" s="12"/>
      <c r="K527" s="12"/>
      <c r="L527" s="12" t="str">
        <f aca="false">IF(A527="","",IF(I527="はい",IF(AND(ISNUMBER(J527),ISNUMBER(K527)),K527-J527,""),""))</f>
        <v/>
      </c>
      <c r="M527" s="9"/>
      <c r="N527" s="11"/>
      <c r="O527" s="13"/>
    </row>
    <row r="528" customFormat="false" ht="15.75" hidden="false" customHeight="false" outlineLevel="0" collapsed="false">
      <c r="A528" s="10"/>
      <c r="B528" s="11"/>
      <c r="C528" s="11"/>
      <c r="D528" s="9"/>
      <c r="E528" s="9"/>
      <c r="F528" s="11"/>
      <c r="G528" s="11"/>
      <c r="H528" s="9"/>
      <c r="I528" s="9"/>
      <c r="J528" s="12"/>
      <c r="K528" s="12"/>
      <c r="L528" s="12" t="str">
        <f aca="false">IF(A528="","",IF(I528="はい",IF(AND(ISNUMBER(J528),ISNUMBER(K528)),K528-J528,""),""))</f>
        <v/>
      </c>
      <c r="M528" s="9"/>
      <c r="N528" s="11"/>
      <c r="O528" s="13"/>
    </row>
    <row r="529" customFormat="false" ht="15.75" hidden="false" customHeight="false" outlineLevel="0" collapsed="false">
      <c r="A529" s="10"/>
      <c r="B529" s="11"/>
      <c r="C529" s="11"/>
      <c r="D529" s="9"/>
      <c r="E529" s="9"/>
      <c r="F529" s="11"/>
      <c r="G529" s="11"/>
      <c r="H529" s="9"/>
      <c r="I529" s="9"/>
      <c r="J529" s="12"/>
      <c r="K529" s="12"/>
      <c r="L529" s="12" t="str">
        <f aca="false">IF(A529="","",IF(I529="はい",IF(AND(ISNUMBER(J529),ISNUMBER(K529)),K529-J529,""),""))</f>
        <v/>
      </c>
      <c r="M529" s="9"/>
      <c r="N529" s="11"/>
      <c r="O529" s="13"/>
    </row>
    <row r="530" customFormat="false" ht="15.75" hidden="false" customHeight="false" outlineLevel="0" collapsed="false">
      <c r="A530" s="10"/>
      <c r="B530" s="11"/>
      <c r="C530" s="11"/>
      <c r="D530" s="9"/>
      <c r="E530" s="9"/>
      <c r="F530" s="11"/>
      <c r="G530" s="11"/>
      <c r="H530" s="9"/>
      <c r="I530" s="9"/>
      <c r="J530" s="12"/>
      <c r="K530" s="12"/>
      <c r="L530" s="12" t="str">
        <f aca="false">IF(A530="","",IF(I530="はい",IF(AND(ISNUMBER(J530),ISNUMBER(K530)),K530-J530,""),""))</f>
        <v/>
      </c>
      <c r="M530" s="9"/>
      <c r="N530" s="11"/>
      <c r="O530" s="13"/>
    </row>
    <row r="531" customFormat="false" ht="15.75" hidden="false" customHeight="false" outlineLevel="0" collapsed="false">
      <c r="A531" s="10"/>
      <c r="B531" s="11"/>
      <c r="C531" s="11"/>
      <c r="D531" s="9"/>
      <c r="E531" s="9"/>
      <c r="F531" s="11"/>
      <c r="G531" s="11"/>
      <c r="H531" s="9"/>
      <c r="I531" s="9"/>
      <c r="J531" s="12"/>
      <c r="K531" s="12"/>
      <c r="L531" s="12" t="str">
        <f aca="false">IF(A531="","",IF(I531="はい",IF(AND(ISNUMBER(J531),ISNUMBER(K531)),K531-J531,""),""))</f>
        <v/>
      </c>
      <c r="M531" s="9"/>
      <c r="N531" s="11"/>
      <c r="O531" s="13"/>
    </row>
    <row r="532" customFormat="false" ht="15.75" hidden="false" customHeight="false" outlineLevel="0" collapsed="false">
      <c r="A532" s="10"/>
      <c r="B532" s="11"/>
      <c r="C532" s="11"/>
      <c r="D532" s="9"/>
      <c r="E532" s="9"/>
      <c r="F532" s="11"/>
      <c r="G532" s="11"/>
      <c r="H532" s="9"/>
      <c r="I532" s="9"/>
      <c r="J532" s="12"/>
      <c r="K532" s="12"/>
      <c r="L532" s="12" t="str">
        <f aca="false">IF(A532="","",IF(I532="はい",IF(AND(ISNUMBER(J532),ISNUMBER(K532)),K532-J532,""),""))</f>
        <v/>
      </c>
      <c r="M532" s="9"/>
      <c r="N532" s="11"/>
      <c r="O532" s="13"/>
    </row>
    <row r="533" customFormat="false" ht="15.75" hidden="false" customHeight="false" outlineLevel="0" collapsed="false">
      <c r="A533" s="10"/>
      <c r="B533" s="11"/>
      <c r="C533" s="11"/>
      <c r="D533" s="9"/>
      <c r="E533" s="9"/>
      <c r="F533" s="11"/>
      <c r="G533" s="11"/>
      <c r="H533" s="9"/>
      <c r="I533" s="9"/>
      <c r="J533" s="12"/>
      <c r="K533" s="12"/>
      <c r="L533" s="12" t="str">
        <f aca="false">IF(A533="","",IF(I533="はい",IF(AND(ISNUMBER(J533),ISNUMBER(K533)),K533-J533,""),""))</f>
        <v/>
      </c>
      <c r="M533" s="9"/>
      <c r="N533" s="11"/>
      <c r="O533" s="13"/>
    </row>
    <row r="534" customFormat="false" ht="15.75" hidden="false" customHeight="false" outlineLevel="0" collapsed="false">
      <c r="A534" s="10"/>
      <c r="B534" s="11"/>
      <c r="C534" s="11"/>
      <c r="D534" s="9"/>
      <c r="E534" s="9"/>
      <c r="F534" s="11"/>
      <c r="G534" s="11"/>
      <c r="H534" s="9"/>
      <c r="I534" s="9"/>
      <c r="J534" s="12"/>
      <c r="K534" s="12"/>
      <c r="L534" s="12" t="str">
        <f aca="false">IF(A534="","",IF(I534="はい",IF(AND(ISNUMBER(J534),ISNUMBER(K534)),K534-J534,""),""))</f>
        <v/>
      </c>
      <c r="M534" s="9"/>
      <c r="N534" s="11"/>
      <c r="O534" s="13"/>
    </row>
    <row r="535" customFormat="false" ht="15.75" hidden="false" customHeight="false" outlineLevel="0" collapsed="false">
      <c r="A535" s="10"/>
      <c r="B535" s="11"/>
      <c r="C535" s="11"/>
      <c r="D535" s="9"/>
      <c r="E535" s="9"/>
      <c r="F535" s="11"/>
      <c r="G535" s="11"/>
      <c r="H535" s="9"/>
      <c r="I535" s="9"/>
      <c r="J535" s="12"/>
      <c r="K535" s="12"/>
      <c r="L535" s="12" t="str">
        <f aca="false">IF(A535="","",IF(I535="はい",IF(AND(ISNUMBER(J535),ISNUMBER(K535)),K535-J535,""),""))</f>
        <v/>
      </c>
      <c r="M535" s="9"/>
      <c r="N535" s="11"/>
      <c r="O535" s="13"/>
    </row>
    <row r="536" customFormat="false" ht="15.75" hidden="false" customHeight="false" outlineLevel="0" collapsed="false">
      <c r="A536" s="10"/>
      <c r="B536" s="11"/>
      <c r="C536" s="11"/>
      <c r="D536" s="9"/>
      <c r="E536" s="9"/>
      <c r="F536" s="11"/>
      <c r="G536" s="11"/>
      <c r="H536" s="9"/>
      <c r="I536" s="9"/>
      <c r="J536" s="12"/>
      <c r="K536" s="12"/>
      <c r="L536" s="12" t="str">
        <f aca="false">IF(A536="","",IF(I536="はい",IF(AND(ISNUMBER(J536),ISNUMBER(K536)),K536-J536,""),""))</f>
        <v/>
      </c>
      <c r="M536" s="9"/>
      <c r="N536" s="11"/>
      <c r="O536" s="13"/>
    </row>
    <row r="537" customFormat="false" ht="15.75" hidden="false" customHeight="false" outlineLevel="0" collapsed="false">
      <c r="A537" s="10"/>
      <c r="B537" s="11"/>
      <c r="C537" s="11"/>
      <c r="D537" s="9"/>
      <c r="E537" s="9"/>
      <c r="F537" s="11"/>
      <c r="G537" s="11"/>
      <c r="H537" s="9"/>
      <c r="I537" s="9"/>
      <c r="J537" s="12"/>
      <c r="K537" s="12"/>
      <c r="L537" s="12" t="str">
        <f aca="false">IF(A537="","",IF(I537="はい",IF(AND(ISNUMBER(J537),ISNUMBER(K537)),K537-J537,""),""))</f>
        <v/>
      </c>
      <c r="M537" s="9"/>
      <c r="N537" s="11"/>
      <c r="O537" s="13"/>
    </row>
    <row r="538" customFormat="false" ht="15.75" hidden="false" customHeight="false" outlineLevel="0" collapsed="false">
      <c r="A538" s="10"/>
      <c r="B538" s="11"/>
      <c r="C538" s="11"/>
      <c r="D538" s="9"/>
      <c r="E538" s="9"/>
      <c r="F538" s="11"/>
      <c r="G538" s="11"/>
      <c r="H538" s="9"/>
      <c r="I538" s="9"/>
      <c r="J538" s="12"/>
      <c r="K538" s="12"/>
      <c r="L538" s="12" t="str">
        <f aca="false">IF(A538="","",IF(I538="はい",IF(AND(ISNUMBER(J538),ISNUMBER(K538)),K538-J538,""),""))</f>
        <v/>
      </c>
      <c r="M538" s="9"/>
      <c r="N538" s="11"/>
      <c r="O538" s="13"/>
    </row>
    <row r="539" customFormat="false" ht="15.75" hidden="false" customHeight="false" outlineLevel="0" collapsed="false">
      <c r="A539" s="10"/>
      <c r="B539" s="11"/>
      <c r="C539" s="11"/>
      <c r="D539" s="9"/>
      <c r="E539" s="9"/>
      <c r="F539" s="11"/>
      <c r="G539" s="11"/>
      <c r="H539" s="9"/>
      <c r="I539" s="9"/>
      <c r="J539" s="12"/>
      <c r="K539" s="12"/>
      <c r="L539" s="12" t="str">
        <f aca="false">IF(A539="","",IF(I539="はい",IF(AND(ISNUMBER(J539),ISNUMBER(K539)),K539-J539,""),""))</f>
        <v/>
      </c>
      <c r="M539" s="9"/>
      <c r="N539" s="11"/>
      <c r="O539" s="13"/>
    </row>
    <row r="540" customFormat="false" ht="15.75" hidden="false" customHeight="false" outlineLevel="0" collapsed="false">
      <c r="A540" s="10"/>
      <c r="B540" s="11"/>
      <c r="C540" s="11"/>
      <c r="D540" s="9"/>
      <c r="E540" s="9"/>
      <c r="F540" s="11"/>
      <c r="G540" s="11"/>
      <c r="H540" s="9"/>
      <c r="I540" s="9"/>
      <c r="J540" s="12"/>
      <c r="K540" s="12"/>
      <c r="L540" s="12" t="str">
        <f aca="false">IF(A540="","",IF(I540="はい",IF(AND(ISNUMBER(J540),ISNUMBER(K540)),K540-J540,""),""))</f>
        <v/>
      </c>
      <c r="M540" s="9"/>
      <c r="N540" s="11"/>
      <c r="O540" s="13"/>
    </row>
    <row r="541" customFormat="false" ht="15.75" hidden="false" customHeight="false" outlineLevel="0" collapsed="false">
      <c r="A541" s="10"/>
      <c r="B541" s="11"/>
      <c r="C541" s="11"/>
      <c r="D541" s="9"/>
      <c r="E541" s="9"/>
      <c r="F541" s="11"/>
      <c r="G541" s="11"/>
      <c r="H541" s="9"/>
      <c r="I541" s="9"/>
      <c r="J541" s="12"/>
      <c r="K541" s="12"/>
      <c r="L541" s="12" t="str">
        <f aca="false">IF(A541="","",IF(I541="はい",IF(AND(ISNUMBER(J541),ISNUMBER(K541)),K541-J541,""),""))</f>
        <v/>
      </c>
      <c r="M541" s="9"/>
      <c r="N541" s="11"/>
      <c r="O541" s="13"/>
    </row>
    <row r="542" customFormat="false" ht="15.75" hidden="false" customHeight="false" outlineLevel="0" collapsed="false">
      <c r="A542" s="10"/>
      <c r="B542" s="11"/>
      <c r="C542" s="11"/>
      <c r="D542" s="9"/>
      <c r="E542" s="9"/>
      <c r="F542" s="11"/>
      <c r="G542" s="11"/>
      <c r="H542" s="9"/>
      <c r="I542" s="9"/>
      <c r="J542" s="12"/>
      <c r="K542" s="12"/>
      <c r="L542" s="12" t="str">
        <f aca="false">IF(A542="","",IF(I542="はい",IF(AND(ISNUMBER(J542),ISNUMBER(K542)),K542-J542,""),""))</f>
        <v/>
      </c>
      <c r="M542" s="9"/>
      <c r="N542" s="11"/>
      <c r="O542" s="13"/>
    </row>
    <row r="543" customFormat="false" ht="15.75" hidden="false" customHeight="false" outlineLevel="0" collapsed="false">
      <c r="A543" s="10"/>
      <c r="B543" s="11"/>
      <c r="C543" s="11"/>
      <c r="D543" s="9"/>
      <c r="E543" s="9"/>
      <c r="F543" s="11"/>
      <c r="G543" s="11"/>
      <c r="H543" s="9"/>
      <c r="I543" s="9"/>
      <c r="J543" s="12"/>
      <c r="K543" s="12"/>
      <c r="L543" s="12" t="str">
        <f aca="false">IF(A543="","",IF(I543="はい",IF(AND(ISNUMBER(J543),ISNUMBER(K543)),K543-J543,""),""))</f>
        <v/>
      </c>
      <c r="M543" s="9"/>
      <c r="N543" s="11"/>
      <c r="O543" s="13"/>
    </row>
    <row r="544" customFormat="false" ht="15.75" hidden="false" customHeight="false" outlineLevel="0" collapsed="false">
      <c r="A544" s="10"/>
      <c r="B544" s="11"/>
      <c r="C544" s="11"/>
      <c r="D544" s="9"/>
      <c r="E544" s="9"/>
      <c r="F544" s="11"/>
      <c r="G544" s="11"/>
      <c r="H544" s="9"/>
      <c r="I544" s="9"/>
      <c r="J544" s="12"/>
      <c r="K544" s="12"/>
      <c r="L544" s="12" t="str">
        <f aca="false">IF(A544="","",IF(I544="はい",IF(AND(ISNUMBER(J544),ISNUMBER(K544)),K544-J544,""),""))</f>
        <v/>
      </c>
      <c r="M544" s="9"/>
      <c r="N544" s="11"/>
      <c r="O544" s="13"/>
    </row>
    <row r="545" customFormat="false" ht="15.75" hidden="false" customHeight="false" outlineLevel="0" collapsed="false">
      <c r="A545" s="10"/>
      <c r="B545" s="11"/>
      <c r="C545" s="11"/>
      <c r="D545" s="9"/>
      <c r="E545" s="9"/>
      <c r="F545" s="11"/>
      <c r="G545" s="11"/>
      <c r="H545" s="9"/>
      <c r="I545" s="9"/>
      <c r="J545" s="12"/>
      <c r="K545" s="12"/>
      <c r="L545" s="12" t="str">
        <f aca="false">IF(A545="","",IF(I545="はい",IF(AND(ISNUMBER(J545),ISNUMBER(K545)),K545-J545,""),""))</f>
        <v/>
      </c>
      <c r="M545" s="9"/>
      <c r="N545" s="11"/>
      <c r="O545" s="13"/>
    </row>
    <row r="546" customFormat="false" ht="15.75" hidden="false" customHeight="false" outlineLevel="0" collapsed="false">
      <c r="A546" s="10"/>
      <c r="B546" s="11"/>
      <c r="C546" s="11"/>
      <c r="D546" s="9"/>
      <c r="E546" s="9"/>
      <c r="F546" s="11"/>
      <c r="G546" s="11"/>
      <c r="H546" s="9"/>
      <c r="I546" s="9"/>
      <c r="J546" s="12"/>
      <c r="K546" s="12"/>
      <c r="L546" s="12" t="str">
        <f aca="false">IF(A546="","",IF(I546="はい",IF(AND(ISNUMBER(J546),ISNUMBER(K546)),K546-J546,""),""))</f>
        <v/>
      </c>
      <c r="M546" s="9"/>
      <c r="N546" s="11"/>
      <c r="O546" s="13"/>
    </row>
    <row r="547" customFormat="false" ht="15.75" hidden="false" customHeight="false" outlineLevel="0" collapsed="false">
      <c r="A547" s="10"/>
      <c r="B547" s="11"/>
      <c r="C547" s="11"/>
      <c r="D547" s="9"/>
      <c r="E547" s="9"/>
      <c r="F547" s="11"/>
      <c r="G547" s="11"/>
      <c r="H547" s="9"/>
      <c r="I547" s="9"/>
      <c r="J547" s="12"/>
      <c r="K547" s="12"/>
      <c r="L547" s="12" t="str">
        <f aca="false">IF(A547="","",IF(I547="はい",IF(AND(ISNUMBER(J547),ISNUMBER(K547)),K547-J547,""),""))</f>
        <v/>
      </c>
      <c r="M547" s="9"/>
      <c r="N547" s="11"/>
      <c r="O547" s="13"/>
    </row>
    <row r="548" customFormat="false" ht="15.75" hidden="false" customHeight="false" outlineLevel="0" collapsed="false">
      <c r="A548" s="10"/>
      <c r="B548" s="11"/>
      <c r="C548" s="11"/>
      <c r="D548" s="9"/>
      <c r="E548" s="9"/>
      <c r="F548" s="11"/>
      <c r="G548" s="11"/>
      <c r="H548" s="9"/>
      <c r="I548" s="9"/>
      <c r="J548" s="12"/>
      <c r="K548" s="12"/>
      <c r="L548" s="12" t="str">
        <f aca="false">IF(A548="","",IF(I548="はい",IF(AND(ISNUMBER(J548),ISNUMBER(K548)),K548-J548,""),""))</f>
        <v/>
      </c>
      <c r="M548" s="9"/>
      <c r="N548" s="11"/>
      <c r="O548" s="13"/>
    </row>
    <row r="549" customFormat="false" ht="15.75" hidden="false" customHeight="false" outlineLevel="0" collapsed="false">
      <c r="A549" s="10"/>
      <c r="B549" s="11"/>
      <c r="C549" s="11"/>
      <c r="D549" s="9"/>
      <c r="E549" s="9"/>
      <c r="F549" s="11"/>
      <c r="G549" s="11"/>
      <c r="H549" s="9"/>
      <c r="I549" s="9"/>
      <c r="J549" s="12"/>
      <c r="K549" s="12"/>
      <c r="L549" s="12" t="str">
        <f aca="false">IF(A549="","",IF(I549="はい",IF(AND(ISNUMBER(J549),ISNUMBER(K549)),K549-J549,""),""))</f>
        <v/>
      </c>
      <c r="M549" s="9"/>
      <c r="N549" s="11"/>
      <c r="O549" s="13"/>
    </row>
    <row r="550" customFormat="false" ht="15.75" hidden="false" customHeight="false" outlineLevel="0" collapsed="false">
      <c r="A550" s="10"/>
      <c r="B550" s="11"/>
      <c r="C550" s="11"/>
      <c r="D550" s="9"/>
      <c r="E550" s="9"/>
      <c r="F550" s="11"/>
      <c r="G550" s="11"/>
      <c r="H550" s="9"/>
      <c r="I550" s="9"/>
      <c r="J550" s="12"/>
      <c r="K550" s="12"/>
      <c r="L550" s="12" t="str">
        <f aca="false">IF(A550="","",IF(I550="はい",IF(AND(ISNUMBER(J550),ISNUMBER(K550)),K550-J550,""),""))</f>
        <v/>
      </c>
      <c r="M550" s="9"/>
      <c r="N550" s="11"/>
      <c r="O550" s="13"/>
    </row>
    <row r="551" customFormat="false" ht="15.75" hidden="false" customHeight="false" outlineLevel="0" collapsed="false">
      <c r="A551" s="10"/>
      <c r="B551" s="11"/>
      <c r="C551" s="11"/>
      <c r="D551" s="9"/>
      <c r="E551" s="9"/>
      <c r="F551" s="11"/>
      <c r="G551" s="11"/>
      <c r="H551" s="9"/>
      <c r="I551" s="9"/>
      <c r="J551" s="12"/>
      <c r="K551" s="12"/>
      <c r="L551" s="12" t="str">
        <f aca="false">IF(A551="","",IF(I551="はい",IF(AND(ISNUMBER(J551),ISNUMBER(K551)),K551-J551,""),""))</f>
        <v/>
      </c>
      <c r="M551" s="9"/>
      <c r="N551" s="11"/>
      <c r="O551" s="13"/>
    </row>
    <row r="552" customFormat="false" ht="15.75" hidden="false" customHeight="false" outlineLevel="0" collapsed="false">
      <c r="A552" s="10"/>
      <c r="B552" s="11"/>
      <c r="C552" s="11"/>
      <c r="D552" s="9"/>
      <c r="E552" s="9"/>
      <c r="F552" s="11"/>
      <c r="G552" s="11"/>
      <c r="H552" s="9"/>
      <c r="I552" s="9"/>
      <c r="J552" s="12"/>
      <c r="K552" s="12"/>
      <c r="L552" s="12" t="str">
        <f aca="false">IF(A552="","",IF(I552="はい",IF(AND(ISNUMBER(J552),ISNUMBER(K552)),K552-J552,""),""))</f>
        <v/>
      </c>
      <c r="M552" s="9"/>
      <c r="N552" s="11"/>
      <c r="O552" s="13"/>
    </row>
    <row r="553" customFormat="false" ht="15.75" hidden="false" customHeight="false" outlineLevel="0" collapsed="false">
      <c r="A553" s="10"/>
      <c r="B553" s="11"/>
      <c r="C553" s="11"/>
      <c r="D553" s="9"/>
      <c r="E553" s="9"/>
      <c r="F553" s="11"/>
      <c r="G553" s="11"/>
      <c r="H553" s="9"/>
      <c r="I553" s="9"/>
      <c r="J553" s="12"/>
      <c r="K553" s="12"/>
      <c r="L553" s="12" t="str">
        <f aca="false">IF(A553="","",IF(I553="はい",IF(AND(ISNUMBER(J553),ISNUMBER(K553)),K553-J553,""),""))</f>
        <v/>
      </c>
      <c r="M553" s="9"/>
      <c r="N553" s="11"/>
      <c r="O553" s="13"/>
    </row>
    <row r="554" customFormat="false" ht="15.75" hidden="false" customHeight="false" outlineLevel="0" collapsed="false">
      <c r="A554" s="10"/>
      <c r="B554" s="11"/>
      <c r="C554" s="11"/>
      <c r="D554" s="9"/>
      <c r="E554" s="9"/>
      <c r="F554" s="11"/>
      <c r="G554" s="11"/>
      <c r="H554" s="9"/>
      <c r="I554" s="9"/>
      <c r="J554" s="12"/>
      <c r="K554" s="12"/>
      <c r="L554" s="12" t="str">
        <f aca="false">IF(A554="","",IF(I554="はい",IF(AND(ISNUMBER(J554),ISNUMBER(K554)),K554-J554,""),""))</f>
        <v/>
      </c>
      <c r="M554" s="9"/>
      <c r="N554" s="11"/>
      <c r="O554" s="13"/>
    </row>
    <row r="555" customFormat="false" ht="15.75" hidden="false" customHeight="false" outlineLevel="0" collapsed="false">
      <c r="A555" s="10"/>
      <c r="B555" s="11"/>
      <c r="C555" s="11"/>
      <c r="D555" s="9"/>
      <c r="E555" s="9"/>
      <c r="F555" s="11"/>
      <c r="G555" s="11"/>
      <c r="H555" s="9"/>
      <c r="I555" s="9"/>
      <c r="J555" s="12"/>
      <c r="K555" s="12"/>
      <c r="L555" s="12" t="str">
        <f aca="false">IF(A555="","",IF(I555="はい",IF(AND(ISNUMBER(J555),ISNUMBER(K555)),K555-J555,""),""))</f>
        <v/>
      </c>
      <c r="M555" s="9"/>
      <c r="N555" s="11"/>
      <c r="O555" s="13"/>
    </row>
    <row r="556" customFormat="false" ht="15.75" hidden="false" customHeight="false" outlineLevel="0" collapsed="false">
      <c r="A556" s="10"/>
      <c r="B556" s="11"/>
      <c r="C556" s="11"/>
      <c r="D556" s="9"/>
      <c r="E556" s="9"/>
      <c r="F556" s="11"/>
      <c r="G556" s="11"/>
      <c r="H556" s="9"/>
      <c r="I556" s="9"/>
      <c r="J556" s="12"/>
      <c r="K556" s="12"/>
      <c r="L556" s="12" t="str">
        <f aca="false">IF(A556="","",IF(I556="はい",IF(AND(ISNUMBER(J556),ISNUMBER(K556)),K556-J556,""),""))</f>
        <v/>
      </c>
      <c r="M556" s="9"/>
      <c r="N556" s="11"/>
      <c r="O556" s="13"/>
    </row>
    <row r="557" customFormat="false" ht="15.75" hidden="false" customHeight="false" outlineLevel="0" collapsed="false">
      <c r="A557" s="10"/>
      <c r="B557" s="11"/>
      <c r="C557" s="11"/>
      <c r="D557" s="9"/>
      <c r="E557" s="9"/>
      <c r="F557" s="11"/>
      <c r="G557" s="11"/>
      <c r="H557" s="9"/>
      <c r="I557" s="9"/>
      <c r="J557" s="12"/>
      <c r="K557" s="12"/>
      <c r="L557" s="12" t="str">
        <f aca="false">IF(A557="","",IF(I557="はい",IF(AND(ISNUMBER(J557),ISNUMBER(K557)),K557-J557,""),""))</f>
        <v/>
      </c>
      <c r="M557" s="9"/>
      <c r="N557" s="11"/>
      <c r="O557" s="13"/>
    </row>
    <row r="558" customFormat="false" ht="15.75" hidden="false" customHeight="false" outlineLevel="0" collapsed="false">
      <c r="A558" s="10"/>
      <c r="B558" s="11"/>
      <c r="C558" s="11"/>
      <c r="D558" s="9"/>
      <c r="E558" s="9"/>
      <c r="F558" s="11"/>
      <c r="G558" s="11"/>
      <c r="H558" s="9"/>
      <c r="I558" s="9"/>
      <c r="J558" s="12"/>
      <c r="K558" s="12"/>
      <c r="L558" s="12" t="str">
        <f aca="false">IF(A558="","",IF(I558="はい",IF(AND(ISNUMBER(J558),ISNUMBER(K558)),K558-J558,""),""))</f>
        <v/>
      </c>
      <c r="M558" s="9"/>
      <c r="N558" s="11"/>
      <c r="O558" s="13"/>
    </row>
    <row r="559" customFormat="false" ht="15.75" hidden="false" customHeight="false" outlineLevel="0" collapsed="false">
      <c r="A559" s="10"/>
      <c r="B559" s="11"/>
      <c r="C559" s="11"/>
      <c r="D559" s="9"/>
      <c r="E559" s="9"/>
      <c r="F559" s="11"/>
      <c r="G559" s="11"/>
      <c r="H559" s="9"/>
      <c r="I559" s="9"/>
      <c r="J559" s="12"/>
      <c r="K559" s="12"/>
      <c r="L559" s="12" t="str">
        <f aca="false">IF(A559="","",IF(I559="はい",IF(AND(ISNUMBER(J559),ISNUMBER(K559)),K559-J559,""),""))</f>
        <v/>
      </c>
      <c r="M559" s="9"/>
      <c r="N559" s="11"/>
      <c r="O559" s="13"/>
    </row>
    <row r="560" customFormat="false" ht="15.75" hidden="false" customHeight="false" outlineLevel="0" collapsed="false">
      <c r="A560" s="10"/>
      <c r="B560" s="11"/>
      <c r="C560" s="11"/>
      <c r="D560" s="9"/>
      <c r="E560" s="9"/>
      <c r="F560" s="11"/>
      <c r="G560" s="11"/>
      <c r="H560" s="9"/>
      <c r="I560" s="9"/>
      <c r="J560" s="12"/>
      <c r="K560" s="12"/>
      <c r="L560" s="12" t="str">
        <f aca="false">IF(A560="","",IF(I560="はい",IF(AND(ISNUMBER(J560),ISNUMBER(K560)),K560-J560,""),""))</f>
        <v/>
      </c>
      <c r="M560" s="9"/>
      <c r="N560" s="11"/>
      <c r="O560" s="13"/>
    </row>
    <row r="561" customFormat="false" ht="15.75" hidden="false" customHeight="false" outlineLevel="0" collapsed="false">
      <c r="A561" s="10"/>
      <c r="B561" s="11"/>
      <c r="C561" s="11"/>
      <c r="D561" s="9"/>
      <c r="E561" s="9"/>
      <c r="F561" s="11"/>
      <c r="G561" s="11"/>
      <c r="H561" s="9"/>
      <c r="I561" s="9"/>
      <c r="J561" s="12"/>
      <c r="K561" s="12"/>
      <c r="L561" s="12" t="str">
        <f aca="false">IF(A561="","",IF(I561="はい",IF(AND(ISNUMBER(J561),ISNUMBER(K561)),K561-J561,""),""))</f>
        <v/>
      </c>
      <c r="M561" s="9"/>
      <c r="N561" s="11"/>
      <c r="O561" s="13"/>
    </row>
    <row r="562" customFormat="false" ht="15.75" hidden="false" customHeight="false" outlineLevel="0" collapsed="false">
      <c r="A562" s="10"/>
      <c r="B562" s="11"/>
      <c r="C562" s="11"/>
      <c r="D562" s="9"/>
      <c r="E562" s="9"/>
      <c r="F562" s="11"/>
      <c r="G562" s="11"/>
      <c r="H562" s="9"/>
      <c r="I562" s="9"/>
      <c r="J562" s="12"/>
      <c r="K562" s="12"/>
      <c r="L562" s="12" t="str">
        <f aca="false">IF(A562="","",IF(I562="はい",IF(AND(ISNUMBER(J562),ISNUMBER(K562)),K562-J562,""),""))</f>
        <v/>
      </c>
      <c r="M562" s="9"/>
      <c r="N562" s="11"/>
      <c r="O562" s="13"/>
    </row>
    <row r="563" customFormat="false" ht="15.75" hidden="false" customHeight="false" outlineLevel="0" collapsed="false">
      <c r="A563" s="10"/>
      <c r="B563" s="11"/>
      <c r="C563" s="11"/>
      <c r="D563" s="9"/>
      <c r="E563" s="9"/>
      <c r="F563" s="11"/>
      <c r="G563" s="11"/>
      <c r="H563" s="9"/>
      <c r="I563" s="9"/>
      <c r="J563" s="12"/>
      <c r="K563" s="12"/>
      <c r="L563" s="12" t="str">
        <f aca="false">IF(A563="","",IF(I563="はい",IF(AND(ISNUMBER(J563),ISNUMBER(K563)),K563-J563,""),""))</f>
        <v/>
      </c>
      <c r="M563" s="9"/>
      <c r="N563" s="11"/>
      <c r="O563" s="13"/>
    </row>
    <row r="564" customFormat="false" ht="15.75" hidden="false" customHeight="false" outlineLevel="0" collapsed="false">
      <c r="A564" s="10"/>
      <c r="B564" s="11"/>
      <c r="C564" s="11"/>
      <c r="D564" s="9"/>
      <c r="E564" s="9"/>
      <c r="F564" s="11"/>
      <c r="G564" s="11"/>
      <c r="H564" s="9"/>
      <c r="I564" s="9"/>
      <c r="J564" s="12"/>
      <c r="K564" s="12"/>
      <c r="L564" s="12" t="str">
        <f aca="false">IF(A564="","",IF(I564="はい",IF(AND(ISNUMBER(J564),ISNUMBER(K564)),K564-J564,""),""))</f>
        <v/>
      </c>
      <c r="M564" s="9"/>
      <c r="N564" s="11"/>
      <c r="O564" s="13"/>
    </row>
    <row r="565" customFormat="false" ht="15.75" hidden="false" customHeight="false" outlineLevel="0" collapsed="false">
      <c r="A565" s="10"/>
      <c r="B565" s="11"/>
      <c r="C565" s="11"/>
      <c r="D565" s="9"/>
      <c r="E565" s="9"/>
      <c r="F565" s="11"/>
      <c r="G565" s="11"/>
      <c r="H565" s="9"/>
      <c r="I565" s="9"/>
      <c r="J565" s="12"/>
      <c r="K565" s="12"/>
      <c r="L565" s="12" t="str">
        <f aca="false">IF(A565="","",IF(I565="はい",IF(AND(ISNUMBER(J565),ISNUMBER(K565)),K565-J565,""),""))</f>
        <v/>
      </c>
      <c r="M565" s="9"/>
      <c r="N565" s="11"/>
      <c r="O565" s="13"/>
    </row>
    <row r="566" customFormat="false" ht="15.75" hidden="false" customHeight="false" outlineLevel="0" collapsed="false">
      <c r="A566" s="10"/>
      <c r="B566" s="11"/>
      <c r="C566" s="11"/>
      <c r="D566" s="9"/>
      <c r="E566" s="9"/>
      <c r="F566" s="11"/>
      <c r="G566" s="11"/>
      <c r="H566" s="9"/>
      <c r="I566" s="9"/>
      <c r="J566" s="12"/>
      <c r="K566" s="12"/>
      <c r="L566" s="12" t="str">
        <f aca="false">IF(A566="","",IF(I566="はい",IF(AND(ISNUMBER(J566),ISNUMBER(K566)),K566-J566,""),""))</f>
        <v/>
      </c>
      <c r="M566" s="9"/>
      <c r="N566" s="11"/>
      <c r="O566" s="13"/>
    </row>
    <row r="567" customFormat="false" ht="15.75" hidden="false" customHeight="false" outlineLevel="0" collapsed="false">
      <c r="A567" s="10"/>
      <c r="B567" s="11"/>
      <c r="C567" s="11"/>
      <c r="D567" s="9"/>
      <c r="E567" s="9"/>
      <c r="F567" s="11"/>
      <c r="G567" s="11"/>
      <c r="H567" s="9"/>
      <c r="I567" s="9"/>
      <c r="J567" s="12"/>
      <c r="K567" s="12"/>
      <c r="L567" s="12" t="str">
        <f aca="false">IF(A567="","",IF(I567="はい",IF(AND(ISNUMBER(J567),ISNUMBER(K567)),K567-J567,""),""))</f>
        <v/>
      </c>
      <c r="M567" s="9"/>
      <c r="N567" s="11"/>
      <c r="O567" s="13"/>
    </row>
    <row r="568" customFormat="false" ht="15.75" hidden="false" customHeight="false" outlineLevel="0" collapsed="false">
      <c r="A568" s="10"/>
      <c r="B568" s="11"/>
      <c r="C568" s="11"/>
      <c r="D568" s="9"/>
      <c r="E568" s="9"/>
      <c r="F568" s="11"/>
      <c r="G568" s="11"/>
      <c r="H568" s="9"/>
      <c r="I568" s="9"/>
      <c r="J568" s="12"/>
      <c r="K568" s="12"/>
      <c r="L568" s="12" t="str">
        <f aca="false">IF(A568="","",IF(I568="はい",IF(AND(ISNUMBER(J568),ISNUMBER(K568)),K568-J568,""),""))</f>
        <v/>
      </c>
      <c r="M568" s="9"/>
      <c r="N568" s="11"/>
      <c r="O568" s="13"/>
    </row>
    <row r="569" customFormat="false" ht="15.75" hidden="false" customHeight="false" outlineLevel="0" collapsed="false">
      <c r="A569" s="10"/>
      <c r="B569" s="11"/>
      <c r="C569" s="11"/>
      <c r="D569" s="9"/>
      <c r="E569" s="9"/>
      <c r="F569" s="11"/>
      <c r="G569" s="11"/>
      <c r="H569" s="9"/>
      <c r="I569" s="9"/>
      <c r="J569" s="12"/>
      <c r="K569" s="12"/>
      <c r="L569" s="12" t="str">
        <f aca="false">IF(A569="","",IF(I569="はい",IF(AND(ISNUMBER(J569),ISNUMBER(K569)),K569-J569,""),""))</f>
        <v/>
      </c>
      <c r="M569" s="9"/>
      <c r="N569" s="11"/>
      <c r="O569" s="13"/>
    </row>
    <row r="570" customFormat="false" ht="15.75" hidden="false" customHeight="false" outlineLevel="0" collapsed="false">
      <c r="A570" s="10"/>
      <c r="B570" s="11"/>
      <c r="C570" s="11"/>
      <c r="D570" s="9"/>
      <c r="E570" s="9"/>
      <c r="F570" s="11"/>
      <c r="G570" s="11"/>
      <c r="H570" s="9"/>
      <c r="I570" s="9"/>
      <c r="J570" s="12"/>
      <c r="K570" s="12"/>
      <c r="L570" s="12" t="str">
        <f aca="false">IF(A570="","",IF(I570="はい",IF(AND(ISNUMBER(J570),ISNUMBER(K570)),K570-J570,""),""))</f>
        <v/>
      </c>
      <c r="M570" s="9"/>
      <c r="N570" s="11"/>
      <c r="O570" s="13"/>
    </row>
    <row r="571" customFormat="false" ht="15.75" hidden="false" customHeight="false" outlineLevel="0" collapsed="false">
      <c r="A571" s="10"/>
      <c r="B571" s="11"/>
      <c r="C571" s="11"/>
      <c r="D571" s="9"/>
      <c r="E571" s="9"/>
      <c r="F571" s="11"/>
      <c r="G571" s="11"/>
      <c r="H571" s="9"/>
      <c r="I571" s="9"/>
      <c r="J571" s="12"/>
      <c r="K571" s="12"/>
      <c r="L571" s="12" t="str">
        <f aca="false">IF(A571="","",IF(I571="はい",IF(AND(ISNUMBER(J571),ISNUMBER(K571)),K571-J571,""),""))</f>
        <v/>
      </c>
      <c r="M571" s="9"/>
      <c r="N571" s="11"/>
      <c r="O571" s="13"/>
    </row>
    <row r="572" customFormat="false" ht="15.75" hidden="false" customHeight="false" outlineLevel="0" collapsed="false">
      <c r="A572" s="10"/>
      <c r="B572" s="11"/>
      <c r="C572" s="11"/>
      <c r="D572" s="9"/>
      <c r="E572" s="9"/>
      <c r="F572" s="11"/>
      <c r="G572" s="11"/>
      <c r="H572" s="9"/>
      <c r="I572" s="9"/>
      <c r="J572" s="12"/>
      <c r="K572" s="12"/>
      <c r="L572" s="12" t="str">
        <f aca="false">IF(A572="","",IF(I572="はい",IF(AND(ISNUMBER(J572),ISNUMBER(K572)),K572-J572,""),""))</f>
        <v/>
      </c>
      <c r="M572" s="9"/>
      <c r="N572" s="11"/>
      <c r="O572" s="13"/>
    </row>
    <row r="573" customFormat="false" ht="15.75" hidden="false" customHeight="false" outlineLevel="0" collapsed="false">
      <c r="A573" s="10"/>
      <c r="B573" s="11"/>
      <c r="C573" s="11"/>
      <c r="D573" s="9"/>
      <c r="E573" s="9"/>
      <c r="F573" s="11"/>
      <c r="G573" s="11"/>
      <c r="H573" s="9"/>
      <c r="I573" s="9"/>
      <c r="J573" s="12"/>
      <c r="K573" s="12"/>
      <c r="L573" s="12" t="str">
        <f aca="false">IF(A573="","",IF(I573="はい",IF(AND(ISNUMBER(J573),ISNUMBER(K573)),K573-J573,""),""))</f>
        <v/>
      </c>
      <c r="M573" s="9"/>
      <c r="N573" s="11"/>
      <c r="O573" s="13"/>
    </row>
    <row r="574" customFormat="false" ht="15.75" hidden="false" customHeight="false" outlineLevel="0" collapsed="false">
      <c r="A574" s="10"/>
      <c r="B574" s="11"/>
      <c r="C574" s="11"/>
      <c r="D574" s="9"/>
      <c r="E574" s="9"/>
      <c r="F574" s="11"/>
      <c r="G574" s="11"/>
      <c r="H574" s="9"/>
      <c r="I574" s="9"/>
      <c r="J574" s="12"/>
      <c r="K574" s="12"/>
      <c r="L574" s="12" t="str">
        <f aca="false">IF(A574="","",IF(I574="はい",IF(AND(ISNUMBER(J574),ISNUMBER(K574)),K574-J574,""),""))</f>
        <v/>
      </c>
      <c r="M574" s="9"/>
      <c r="N574" s="11"/>
      <c r="O574" s="13"/>
    </row>
    <row r="575" customFormat="false" ht="15.75" hidden="false" customHeight="false" outlineLevel="0" collapsed="false">
      <c r="A575" s="10"/>
      <c r="B575" s="11"/>
      <c r="C575" s="11"/>
      <c r="D575" s="9"/>
      <c r="E575" s="9"/>
      <c r="F575" s="11"/>
      <c r="G575" s="11"/>
      <c r="H575" s="9"/>
      <c r="I575" s="9"/>
      <c r="J575" s="12"/>
      <c r="K575" s="12"/>
      <c r="L575" s="12" t="str">
        <f aca="false">IF(A575="","",IF(I575="はい",IF(AND(ISNUMBER(J575),ISNUMBER(K575)),K575-J575,""),""))</f>
        <v/>
      </c>
      <c r="M575" s="9"/>
      <c r="N575" s="11"/>
      <c r="O575" s="13"/>
    </row>
    <row r="576" customFormat="false" ht="15.75" hidden="false" customHeight="false" outlineLevel="0" collapsed="false">
      <c r="A576" s="10"/>
      <c r="B576" s="11"/>
      <c r="C576" s="11"/>
      <c r="D576" s="9"/>
      <c r="E576" s="9"/>
      <c r="F576" s="11"/>
      <c r="G576" s="11"/>
      <c r="H576" s="9"/>
      <c r="I576" s="9"/>
      <c r="J576" s="12"/>
      <c r="K576" s="12"/>
      <c r="L576" s="12" t="str">
        <f aca="false">IF(A576="","",IF(I576="はい",IF(AND(ISNUMBER(J576),ISNUMBER(K576)),K576-J576,""),""))</f>
        <v/>
      </c>
      <c r="M576" s="9"/>
      <c r="N576" s="11"/>
      <c r="O576" s="13"/>
    </row>
    <row r="577" customFormat="false" ht="15.75" hidden="false" customHeight="false" outlineLevel="0" collapsed="false">
      <c r="A577" s="10"/>
      <c r="B577" s="11"/>
      <c r="C577" s="11"/>
      <c r="D577" s="9"/>
      <c r="E577" s="9"/>
      <c r="F577" s="11"/>
      <c r="G577" s="11"/>
      <c r="H577" s="9"/>
      <c r="I577" s="9"/>
      <c r="J577" s="12"/>
      <c r="K577" s="12"/>
      <c r="L577" s="12" t="str">
        <f aca="false">IF(A577="","",IF(I577="はい",IF(AND(ISNUMBER(J577),ISNUMBER(K577)),K577-J577,""),""))</f>
        <v/>
      </c>
      <c r="M577" s="9"/>
      <c r="N577" s="11"/>
      <c r="O577" s="13"/>
    </row>
    <row r="578" customFormat="false" ht="15.75" hidden="false" customHeight="false" outlineLevel="0" collapsed="false">
      <c r="A578" s="10"/>
      <c r="B578" s="11"/>
      <c r="C578" s="11"/>
      <c r="D578" s="9"/>
      <c r="E578" s="9"/>
      <c r="F578" s="11"/>
      <c r="G578" s="11"/>
      <c r="H578" s="9"/>
      <c r="I578" s="9"/>
      <c r="J578" s="12"/>
      <c r="K578" s="12"/>
      <c r="L578" s="12" t="str">
        <f aca="false">IF(A578="","",IF(I578="はい",IF(AND(ISNUMBER(J578),ISNUMBER(K578)),K578-J578,""),""))</f>
        <v/>
      </c>
      <c r="M578" s="9"/>
      <c r="N578" s="11"/>
      <c r="O578" s="13"/>
    </row>
    <row r="579" customFormat="false" ht="15.75" hidden="false" customHeight="false" outlineLevel="0" collapsed="false">
      <c r="A579" s="10"/>
      <c r="B579" s="11"/>
      <c r="C579" s="11"/>
      <c r="D579" s="9"/>
      <c r="E579" s="9"/>
      <c r="F579" s="11"/>
      <c r="G579" s="11"/>
      <c r="H579" s="9"/>
      <c r="I579" s="9"/>
      <c r="J579" s="12"/>
      <c r="K579" s="12"/>
      <c r="L579" s="12" t="str">
        <f aca="false">IF(A579="","",IF(I579="はい",IF(AND(ISNUMBER(J579),ISNUMBER(K579)),K579-J579,""),""))</f>
        <v/>
      </c>
      <c r="M579" s="9"/>
      <c r="N579" s="11"/>
      <c r="O579" s="13"/>
    </row>
    <row r="580" customFormat="false" ht="15.75" hidden="false" customHeight="false" outlineLevel="0" collapsed="false">
      <c r="A580" s="10"/>
      <c r="B580" s="11"/>
      <c r="C580" s="11"/>
      <c r="D580" s="9"/>
      <c r="E580" s="9"/>
      <c r="F580" s="11"/>
      <c r="G580" s="11"/>
      <c r="H580" s="9"/>
      <c r="I580" s="9"/>
      <c r="J580" s="12"/>
      <c r="K580" s="12"/>
      <c r="L580" s="12" t="str">
        <f aca="false">IF(A580="","",IF(I580="はい",IF(AND(ISNUMBER(J580),ISNUMBER(K580)),K580-J580,""),""))</f>
        <v/>
      </c>
      <c r="M580" s="9"/>
      <c r="N580" s="11"/>
      <c r="O580" s="13"/>
    </row>
    <row r="581" customFormat="false" ht="15.75" hidden="false" customHeight="false" outlineLevel="0" collapsed="false">
      <c r="A581" s="10"/>
      <c r="B581" s="11"/>
      <c r="C581" s="11"/>
      <c r="D581" s="9"/>
      <c r="E581" s="9"/>
      <c r="F581" s="11"/>
      <c r="G581" s="11"/>
      <c r="H581" s="9"/>
      <c r="I581" s="9"/>
      <c r="J581" s="12"/>
      <c r="K581" s="12"/>
      <c r="L581" s="12" t="str">
        <f aca="false">IF(A581="","",IF(I581="はい",IF(AND(ISNUMBER(J581),ISNUMBER(K581)),K581-J581,""),""))</f>
        <v/>
      </c>
      <c r="M581" s="9"/>
      <c r="N581" s="11"/>
      <c r="O581" s="13"/>
    </row>
    <row r="582" customFormat="false" ht="15.75" hidden="false" customHeight="false" outlineLevel="0" collapsed="false">
      <c r="A582" s="10"/>
      <c r="B582" s="11"/>
      <c r="C582" s="11"/>
      <c r="D582" s="9"/>
      <c r="E582" s="9"/>
      <c r="F582" s="11"/>
      <c r="G582" s="11"/>
      <c r="H582" s="9"/>
      <c r="I582" s="9"/>
      <c r="J582" s="12"/>
      <c r="K582" s="12"/>
      <c r="L582" s="12" t="str">
        <f aca="false">IF(A582="","",IF(I582="はい",IF(AND(ISNUMBER(J582),ISNUMBER(K582)),K582-J582,""),""))</f>
        <v/>
      </c>
      <c r="M582" s="9"/>
      <c r="N582" s="11"/>
      <c r="O582" s="13"/>
    </row>
    <row r="583" customFormat="false" ht="15.75" hidden="false" customHeight="false" outlineLevel="0" collapsed="false">
      <c r="A583" s="10"/>
      <c r="B583" s="11"/>
      <c r="C583" s="11"/>
      <c r="D583" s="9"/>
      <c r="E583" s="9"/>
      <c r="F583" s="11"/>
      <c r="G583" s="11"/>
      <c r="H583" s="9"/>
      <c r="I583" s="9"/>
      <c r="J583" s="12"/>
      <c r="K583" s="12"/>
      <c r="L583" s="12" t="str">
        <f aca="false">IF(A583="","",IF(I583="はい",IF(AND(ISNUMBER(J583),ISNUMBER(K583)),K583-J583,""),""))</f>
        <v/>
      </c>
      <c r="M583" s="9"/>
      <c r="N583" s="11"/>
      <c r="O583" s="13"/>
    </row>
    <row r="584" customFormat="false" ht="15.75" hidden="false" customHeight="false" outlineLevel="0" collapsed="false">
      <c r="A584" s="10"/>
      <c r="B584" s="11"/>
      <c r="C584" s="11"/>
      <c r="D584" s="9"/>
      <c r="E584" s="9"/>
      <c r="F584" s="11"/>
      <c r="G584" s="11"/>
      <c r="H584" s="9"/>
      <c r="I584" s="9"/>
      <c r="J584" s="12"/>
      <c r="K584" s="12"/>
      <c r="L584" s="12" t="str">
        <f aca="false">IF(A584="","",IF(I584="はい",IF(AND(ISNUMBER(J584),ISNUMBER(K584)),K584-J584,""),""))</f>
        <v/>
      </c>
      <c r="M584" s="9"/>
      <c r="N584" s="11"/>
      <c r="O584" s="13"/>
    </row>
    <row r="585" customFormat="false" ht="15.75" hidden="false" customHeight="false" outlineLevel="0" collapsed="false">
      <c r="A585" s="10"/>
      <c r="B585" s="11"/>
      <c r="C585" s="11"/>
      <c r="D585" s="9"/>
      <c r="E585" s="9"/>
      <c r="F585" s="11"/>
      <c r="G585" s="11"/>
      <c r="H585" s="9"/>
      <c r="I585" s="9"/>
      <c r="J585" s="12"/>
      <c r="K585" s="12"/>
      <c r="L585" s="12" t="str">
        <f aca="false">IF(A585="","",IF(I585="はい",IF(AND(ISNUMBER(J585),ISNUMBER(K585)),K585-J585,""),""))</f>
        <v/>
      </c>
      <c r="M585" s="9"/>
      <c r="N585" s="11"/>
      <c r="O585" s="13"/>
    </row>
    <row r="586" customFormat="false" ht="15.75" hidden="false" customHeight="false" outlineLevel="0" collapsed="false">
      <c r="A586" s="10"/>
      <c r="B586" s="11"/>
      <c r="C586" s="11"/>
      <c r="D586" s="9"/>
      <c r="E586" s="9"/>
      <c r="F586" s="11"/>
      <c r="G586" s="11"/>
      <c r="H586" s="9"/>
      <c r="I586" s="9"/>
      <c r="J586" s="12"/>
      <c r="K586" s="12"/>
      <c r="L586" s="12" t="str">
        <f aca="false">IF(A586="","",IF(I586="はい",IF(AND(ISNUMBER(J586),ISNUMBER(K586)),K586-J586,""),""))</f>
        <v/>
      </c>
      <c r="M586" s="9"/>
      <c r="N586" s="11"/>
      <c r="O586" s="13"/>
    </row>
    <row r="587" customFormat="false" ht="15.75" hidden="false" customHeight="false" outlineLevel="0" collapsed="false">
      <c r="A587" s="10"/>
      <c r="B587" s="11"/>
      <c r="C587" s="11"/>
      <c r="D587" s="9"/>
      <c r="E587" s="9"/>
      <c r="F587" s="11"/>
      <c r="G587" s="11"/>
      <c r="H587" s="9"/>
      <c r="I587" s="9"/>
      <c r="J587" s="12"/>
      <c r="K587" s="12"/>
      <c r="L587" s="12" t="str">
        <f aca="false">IF(A587="","",IF(I587="はい",IF(AND(ISNUMBER(J587),ISNUMBER(K587)),K587-J587,""),""))</f>
        <v/>
      </c>
      <c r="M587" s="9"/>
      <c r="N587" s="11"/>
      <c r="O587" s="13"/>
    </row>
    <row r="588" customFormat="false" ht="15.75" hidden="false" customHeight="false" outlineLevel="0" collapsed="false">
      <c r="A588" s="10"/>
      <c r="B588" s="11"/>
      <c r="C588" s="11"/>
      <c r="D588" s="9"/>
      <c r="E588" s="9"/>
      <c r="F588" s="11"/>
      <c r="G588" s="11"/>
      <c r="H588" s="9"/>
      <c r="I588" s="9"/>
      <c r="J588" s="12"/>
      <c r="K588" s="12"/>
      <c r="L588" s="12" t="str">
        <f aca="false">IF(A588="","",IF(I588="はい",IF(AND(ISNUMBER(J588),ISNUMBER(K588)),K588-J588,""),""))</f>
        <v/>
      </c>
      <c r="M588" s="9"/>
      <c r="N588" s="11"/>
      <c r="O588" s="13"/>
    </row>
    <row r="589" customFormat="false" ht="15.75" hidden="false" customHeight="false" outlineLevel="0" collapsed="false">
      <c r="A589" s="10"/>
      <c r="B589" s="11"/>
      <c r="C589" s="11"/>
      <c r="D589" s="9"/>
      <c r="E589" s="9"/>
      <c r="F589" s="11"/>
      <c r="G589" s="11"/>
      <c r="H589" s="9"/>
      <c r="I589" s="9"/>
      <c r="J589" s="12"/>
      <c r="K589" s="12"/>
      <c r="L589" s="12" t="str">
        <f aca="false">IF(A589="","",IF(I589="はい",IF(AND(ISNUMBER(J589),ISNUMBER(K589)),K589-J589,""),""))</f>
        <v/>
      </c>
      <c r="M589" s="9"/>
      <c r="N589" s="11"/>
      <c r="O589" s="13"/>
    </row>
    <row r="590" customFormat="false" ht="15.75" hidden="false" customHeight="false" outlineLevel="0" collapsed="false">
      <c r="A590" s="10"/>
      <c r="B590" s="11"/>
      <c r="C590" s="11"/>
      <c r="D590" s="9"/>
      <c r="E590" s="9"/>
      <c r="F590" s="11"/>
      <c r="G590" s="11"/>
      <c r="H590" s="9"/>
      <c r="I590" s="9"/>
      <c r="J590" s="12"/>
      <c r="K590" s="12"/>
      <c r="L590" s="12" t="str">
        <f aca="false">IF(A590="","",IF(I590="はい",IF(AND(ISNUMBER(J590),ISNUMBER(K590)),K590-J590,""),""))</f>
        <v/>
      </c>
      <c r="M590" s="9"/>
      <c r="N590" s="11"/>
      <c r="O590" s="13"/>
    </row>
    <row r="591" customFormat="false" ht="15.75" hidden="false" customHeight="false" outlineLevel="0" collapsed="false">
      <c r="A591" s="10"/>
      <c r="B591" s="11"/>
      <c r="C591" s="11"/>
      <c r="D591" s="9"/>
      <c r="E591" s="9"/>
      <c r="F591" s="11"/>
      <c r="G591" s="11"/>
      <c r="H591" s="9"/>
      <c r="I591" s="9"/>
      <c r="J591" s="12"/>
      <c r="K591" s="12"/>
      <c r="L591" s="12" t="str">
        <f aca="false">IF(A591="","",IF(I591="はい",IF(AND(ISNUMBER(J591),ISNUMBER(K591)),K591-J591,""),""))</f>
        <v/>
      </c>
      <c r="M591" s="9"/>
      <c r="N591" s="11"/>
      <c r="O591" s="13"/>
    </row>
    <row r="592" customFormat="false" ht="15.75" hidden="false" customHeight="false" outlineLevel="0" collapsed="false">
      <c r="A592" s="10"/>
      <c r="B592" s="11"/>
      <c r="C592" s="11"/>
      <c r="D592" s="9"/>
      <c r="E592" s="9"/>
      <c r="F592" s="11"/>
      <c r="G592" s="11"/>
      <c r="H592" s="9"/>
      <c r="I592" s="9"/>
      <c r="J592" s="12"/>
      <c r="K592" s="12"/>
      <c r="L592" s="12" t="str">
        <f aca="false">IF(A592="","",IF(I592="はい",IF(AND(ISNUMBER(J592),ISNUMBER(K592)),K592-J592,""),""))</f>
        <v/>
      </c>
      <c r="M592" s="9"/>
      <c r="N592" s="11"/>
      <c r="O592" s="13"/>
    </row>
    <row r="593" customFormat="false" ht="15.75" hidden="false" customHeight="false" outlineLevel="0" collapsed="false">
      <c r="A593" s="10"/>
      <c r="B593" s="11"/>
      <c r="C593" s="11"/>
      <c r="D593" s="9"/>
      <c r="E593" s="9"/>
      <c r="F593" s="11"/>
      <c r="G593" s="11"/>
      <c r="H593" s="9"/>
      <c r="I593" s="9"/>
      <c r="J593" s="12"/>
      <c r="K593" s="12"/>
      <c r="L593" s="12" t="str">
        <f aca="false">IF(A593="","",IF(I593="はい",IF(AND(ISNUMBER(J593),ISNUMBER(K593)),K593-J593,""),""))</f>
        <v/>
      </c>
      <c r="M593" s="9"/>
      <c r="N593" s="11"/>
      <c r="O593" s="13"/>
    </row>
    <row r="594" customFormat="false" ht="15.75" hidden="false" customHeight="false" outlineLevel="0" collapsed="false">
      <c r="A594" s="10"/>
      <c r="B594" s="11"/>
      <c r="C594" s="11"/>
      <c r="D594" s="9"/>
      <c r="E594" s="9"/>
      <c r="F594" s="11"/>
      <c r="G594" s="11"/>
      <c r="H594" s="9"/>
      <c r="I594" s="9"/>
      <c r="J594" s="12"/>
      <c r="K594" s="12"/>
      <c r="L594" s="12" t="str">
        <f aca="false">IF(A594="","",IF(I594="はい",IF(AND(ISNUMBER(J594),ISNUMBER(K594)),K594-J594,""),""))</f>
        <v/>
      </c>
      <c r="M594" s="9"/>
      <c r="N594" s="11"/>
      <c r="O594" s="13"/>
    </row>
    <row r="595" customFormat="false" ht="15.75" hidden="false" customHeight="false" outlineLevel="0" collapsed="false">
      <c r="A595" s="10"/>
      <c r="B595" s="11"/>
      <c r="C595" s="11"/>
      <c r="D595" s="9"/>
      <c r="E595" s="9"/>
      <c r="F595" s="11"/>
      <c r="G595" s="11"/>
      <c r="H595" s="9"/>
      <c r="I595" s="9"/>
      <c r="J595" s="12"/>
      <c r="K595" s="12"/>
      <c r="L595" s="12" t="str">
        <f aca="false">IF(A595="","",IF(I595="はい",IF(AND(ISNUMBER(J595),ISNUMBER(K595)),K595-J595,""),""))</f>
        <v/>
      </c>
      <c r="M595" s="9"/>
      <c r="N595" s="11"/>
      <c r="O595" s="13"/>
    </row>
    <row r="596" customFormat="false" ht="15.75" hidden="false" customHeight="false" outlineLevel="0" collapsed="false">
      <c r="A596" s="10"/>
      <c r="B596" s="11"/>
      <c r="C596" s="11"/>
      <c r="D596" s="9"/>
      <c r="E596" s="9"/>
      <c r="F596" s="11"/>
      <c r="G596" s="11"/>
      <c r="H596" s="9"/>
      <c r="I596" s="9"/>
      <c r="J596" s="12"/>
      <c r="K596" s="12"/>
      <c r="L596" s="12" t="str">
        <f aca="false">IF(A596="","",IF(I596="はい",IF(AND(ISNUMBER(J596),ISNUMBER(K596)),K596-J596,""),""))</f>
        <v/>
      </c>
      <c r="M596" s="9"/>
      <c r="N596" s="11"/>
      <c r="O596" s="13"/>
    </row>
    <row r="597" customFormat="false" ht="15.75" hidden="false" customHeight="false" outlineLevel="0" collapsed="false">
      <c r="A597" s="10"/>
      <c r="B597" s="11"/>
      <c r="C597" s="11"/>
      <c r="D597" s="9"/>
      <c r="E597" s="9"/>
      <c r="F597" s="11"/>
      <c r="G597" s="11"/>
      <c r="H597" s="9"/>
      <c r="I597" s="9"/>
      <c r="J597" s="12"/>
      <c r="K597" s="12"/>
      <c r="L597" s="12" t="str">
        <f aca="false">IF(A597="","",IF(I597="はい",IF(AND(ISNUMBER(J597),ISNUMBER(K597)),K597-J597,""),""))</f>
        <v/>
      </c>
      <c r="M597" s="9"/>
      <c r="N597" s="11"/>
      <c r="O597" s="13"/>
    </row>
    <row r="598" customFormat="false" ht="15.75" hidden="false" customHeight="false" outlineLevel="0" collapsed="false">
      <c r="A598" s="10"/>
      <c r="B598" s="11"/>
      <c r="C598" s="11"/>
      <c r="D598" s="9"/>
      <c r="E598" s="9"/>
      <c r="F598" s="11"/>
      <c r="G598" s="11"/>
      <c r="H598" s="9"/>
      <c r="I598" s="9"/>
      <c r="J598" s="12"/>
      <c r="K598" s="12"/>
      <c r="L598" s="12" t="str">
        <f aca="false">IF(A598="","",IF(I598="はい",IF(AND(ISNUMBER(J598),ISNUMBER(K598)),K598-J598,""),""))</f>
        <v/>
      </c>
      <c r="M598" s="9"/>
      <c r="N598" s="11"/>
      <c r="O598" s="13"/>
    </row>
    <row r="599" customFormat="false" ht="15.75" hidden="false" customHeight="false" outlineLevel="0" collapsed="false">
      <c r="A599" s="10"/>
      <c r="B599" s="11"/>
      <c r="C599" s="11"/>
      <c r="D599" s="9"/>
      <c r="E599" s="9"/>
      <c r="F599" s="11"/>
      <c r="G599" s="11"/>
      <c r="H599" s="9"/>
      <c r="I599" s="9"/>
      <c r="J599" s="12"/>
      <c r="K599" s="12"/>
      <c r="L599" s="12" t="str">
        <f aca="false">IF(A599="","",IF(I599="はい",IF(AND(ISNUMBER(J599),ISNUMBER(K599)),K599-J599,""),""))</f>
        <v/>
      </c>
      <c r="M599" s="9"/>
      <c r="N599" s="11"/>
      <c r="O599" s="13"/>
    </row>
    <row r="600" customFormat="false" ht="15.75" hidden="false" customHeight="false" outlineLevel="0" collapsed="false">
      <c r="A600" s="10"/>
      <c r="B600" s="11"/>
      <c r="C600" s="11"/>
      <c r="D600" s="9"/>
      <c r="E600" s="9"/>
      <c r="F600" s="11"/>
      <c r="G600" s="11"/>
      <c r="H600" s="9"/>
      <c r="I600" s="9"/>
      <c r="J600" s="12"/>
      <c r="K600" s="12"/>
      <c r="L600" s="12" t="str">
        <f aca="false">IF(A600="","",IF(I600="はい",IF(AND(ISNUMBER(J600),ISNUMBER(K600)),K600-J600,""),""))</f>
        <v/>
      </c>
      <c r="M600" s="9"/>
      <c r="N600" s="11"/>
      <c r="O600" s="13"/>
    </row>
    <row r="601" customFormat="false" ht="15.75" hidden="false" customHeight="false" outlineLevel="0" collapsed="false">
      <c r="A601" s="10"/>
      <c r="B601" s="11"/>
      <c r="C601" s="11"/>
      <c r="D601" s="9"/>
      <c r="E601" s="9"/>
      <c r="F601" s="11"/>
      <c r="G601" s="11"/>
      <c r="H601" s="9"/>
      <c r="I601" s="9"/>
      <c r="J601" s="12"/>
      <c r="K601" s="12"/>
      <c r="L601" s="12" t="str">
        <f aca="false">IF(A601="","",IF(I601="はい",IF(AND(ISNUMBER(J601),ISNUMBER(K601)),K601-J601,""),""))</f>
        <v/>
      </c>
      <c r="M601" s="9"/>
      <c r="N601" s="11"/>
      <c r="O601" s="13"/>
    </row>
    <row r="602" customFormat="false" ht="15.75" hidden="false" customHeight="false" outlineLevel="0" collapsed="false">
      <c r="A602" s="10"/>
      <c r="B602" s="11"/>
      <c r="C602" s="11"/>
      <c r="D602" s="9"/>
      <c r="E602" s="9"/>
      <c r="F602" s="11"/>
      <c r="G602" s="11"/>
      <c r="H602" s="9"/>
      <c r="I602" s="9"/>
      <c r="J602" s="12"/>
      <c r="K602" s="12"/>
      <c r="L602" s="12" t="str">
        <f aca="false">IF(A602="","",IF(I602="はい",IF(AND(ISNUMBER(J602),ISNUMBER(K602)),K602-J602,""),""))</f>
        <v/>
      </c>
      <c r="M602" s="9"/>
      <c r="N602" s="11"/>
      <c r="O602" s="13"/>
    </row>
    <row r="603" customFormat="false" ht="15.75" hidden="false" customHeight="false" outlineLevel="0" collapsed="false">
      <c r="A603" s="10"/>
      <c r="B603" s="11"/>
      <c r="C603" s="11"/>
      <c r="D603" s="9"/>
      <c r="E603" s="9"/>
      <c r="F603" s="11"/>
      <c r="G603" s="11"/>
      <c r="H603" s="9"/>
      <c r="I603" s="9"/>
      <c r="J603" s="12"/>
      <c r="K603" s="12"/>
      <c r="L603" s="12" t="str">
        <f aca="false">IF(A603="","",IF(I603="はい",IF(AND(ISNUMBER(J603),ISNUMBER(K603)),K603-J603,""),""))</f>
        <v/>
      </c>
      <c r="M603" s="9"/>
      <c r="N603" s="11"/>
      <c r="O603" s="13"/>
    </row>
    <row r="604" customFormat="false" ht="15.75" hidden="false" customHeight="false" outlineLevel="0" collapsed="false">
      <c r="A604" s="10"/>
      <c r="B604" s="11"/>
      <c r="C604" s="11"/>
      <c r="D604" s="9"/>
      <c r="E604" s="9"/>
      <c r="F604" s="11"/>
      <c r="G604" s="11"/>
      <c r="H604" s="9"/>
      <c r="I604" s="9"/>
      <c r="J604" s="12"/>
      <c r="K604" s="12"/>
      <c r="L604" s="12" t="str">
        <f aca="false">IF(A604="","",IF(I604="はい",IF(AND(ISNUMBER(J604),ISNUMBER(K604)),K604-J604,""),""))</f>
        <v/>
      </c>
      <c r="M604" s="9"/>
      <c r="N604" s="11"/>
      <c r="O604" s="13"/>
    </row>
    <row r="605" customFormat="false" ht="15.75" hidden="false" customHeight="false" outlineLevel="0" collapsed="false">
      <c r="A605" s="10"/>
      <c r="B605" s="11"/>
      <c r="C605" s="11"/>
      <c r="D605" s="9"/>
      <c r="E605" s="9"/>
      <c r="F605" s="11"/>
      <c r="G605" s="11"/>
      <c r="H605" s="9"/>
      <c r="I605" s="9"/>
      <c r="J605" s="12"/>
      <c r="K605" s="12"/>
      <c r="L605" s="12" t="str">
        <f aca="false">IF(A605="","",IF(I605="はい",IF(AND(ISNUMBER(J605),ISNUMBER(K605)),K605-J605,""),""))</f>
        <v/>
      </c>
      <c r="M605" s="9"/>
      <c r="N605" s="11"/>
      <c r="O605" s="13"/>
    </row>
    <row r="606" customFormat="false" ht="15.75" hidden="false" customHeight="false" outlineLevel="0" collapsed="false">
      <c r="A606" s="10"/>
      <c r="B606" s="11"/>
      <c r="C606" s="11"/>
      <c r="D606" s="9"/>
      <c r="E606" s="9"/>
      <c r="F606" s="11"/>
      <c r="G606" s="11"/>
      <c r="H606" s="9"/>
      <c r="I606" s="9"/>
      <c r="J606" s="12"/>
      <c r="K606" s="12"/>
      <c r="L606" s="12" t="str">
        <f aca="false">IF(A606="","",IF(I606="はい",IF(AND(ISNUMBER(J606),ISNUMBER(K606)),K606-J606,""),""))</f>
        <v/>
      </c>
      <c r="M606" s="9"/>
      <c r="N606" s="11"/>
      <c r="O606" s="13"/>
    </row>
    <row r="607" customFormat="false" ht="15.75" hidden="false" customHeight="false" outlineLevel="0" collapsed="false">
      <c r="A607" s="10"/>
      <c r="B607" s="11"/>
      <c r="C607" s="11"/>
      <c r="D607" s="9"/>
      <c r="E607" s="9"/>
      <c r="F607" s="11"/>
      <c r="G607" s="11"/>
      <c r="H607" s="9"/>
      <c r="I607" s="9"/>
      <c r="J607" s="12"/>
      <c r="K607" s="12"/>
      <c r="L607" s="12" t="str">
        <f aca="false">IF(A607="","",IF(I607="はい",IF(AND(ISNUMBER(J607),ISNUMBER(K607)),K607-J607,""),""))</f>
        <v/>
      </c>
      <c r="M607" s="9"/>
      <c r="N607" s="11"/>
      <c r="O607" s="13"/>
    </row>
    <row r="608" customFormat="false" ht="15.75" hidden="false" customHeight="false" outlineLevel="0" collapsed="false">
      <c r="A608" s="10"/>
      <c r="B608" s="11"/>
      <c r="C608" s="11"/>
      <c r="D608" s="9"/>
      <c r="E608" s="9"/>
      <c r="F608" s="11"/>
      <c r="G608" s="11"/>
      <c r="H608" s="9"/>
      <c r="I608" s="9"/>
      <c r="J608" s="12"/>
      <c r="K608" s="12"/>
      <c r="L608" s="12" t="str">
        <f aca="false">IF(A608="","",IF(I608="はい",IF(AND(ISNUMBER(J608),ISNUMBER(K608)),K608-J608,""),""))</f>
        <v/>
      </c>
      <c r="M608" s="9"/>
      <c r="N608" s="11"/>
      <c r="O608" s="13"/>
    </row>
    <row r="609" customFormat="false" ht="15.75" hidden="false" customHeight="false" outlineLevel="0" collapsed="false">
      <c r="A609" s="10"/>
      <c r="B609" s="11"/>
      <c r="C609" s="11"/>
      <c r="D609" s="9"/>
      <c r="E609" s="9"/>
      <c r="F609" s="11"/>
      <c r="G609" s="11"/>
      <c r="H609" s="9"/>
      <c r="I609" s="9"/>
      <c r="J609" s="12"/>
      <c r="K609" s="12"/>
      <c r="L609" s="12" t="str">
        <f aca="false">IF(A609="","",IF(I609="はい",IF(AND(ISNUMBER(J609),ISNUMBER(K609)),K609-J609,""),""))</f>
        <v/>
      </c>
      <c r="M609" s="9"/>
      <c r="N609" s="11"/>
      <c r="O609" s="13"/>
    </row>
    <row r="610" customFormat="false" ht="15.75" hidden="false" customHeight="false" outlineLevel="0" collapsed="false">
      <c r="A610" s="10"/>
      <c r="B610" s="11"/>
      <c r="C610" s="11"/>
      <c r="D610" s="9"/>
      <c r="E610" s="9"/>
      <c r="F610" s="11"/>
      <c r="G610" s="11"/>
      <c r="H610" s="9"/>
      <c r="I610" s="9"/>
      <c r="J610" s="12"/>
      <c r="K610" s="12"/>
      <c r="L610" s="12" t="str">
        <f aca="false">IF(A610="","",IF(I610="はい",IF(AND(ISNUMBER(J610),ISNUMBER(K610)),K610-J610,""),""))</f>
        <v/>
      </c>
      <c r="M610" s="9"/>
      <c r="N610" s="11"/>
      <c r="O610" s="13"/>
    </row>
    <row r="611" customFormat="false" ht="15.75" hidden="false" customHeight="false" outlineLevel="0" collapsed="false">
      <c r="A611" s="10"/>
      <c r="B611" s="11"/>
      <c r="C611" s="11"/>
      <c r="D611" s="9"/>
      <c r="E611" s="9"/>
      <c r="F611" s="11"/>
      <c r="G611" s="11"/>
      <c r="H611" s="9"/>
      <c r="I611" s="9"/>
      <c r="J611" s="12"/>
      <c r="K611" s="12"/>
      <c r="L611" s="12" t="str">
        <f aca="false">IF(A611="","",IF(I611="はい",IF(AND(ISNUMBER(J611),ISNUMBER(K611)),K611-J611,""),""))</f>
        <v/>
      </c>
      <c r="M611" s="9"/>
      <c r="N611" s="11"/>
      <c r="O611" s="13"/>
    </row>
    <row r="612" customFormat="false" ht="15.75" hidden="false" customHeight="false" outlineLevel="0" collapsed="false">
      <c r="A612" s="10"/>
      <c r="B612" s="11"/>
      <c r="C612" s="11"/>
      <c r="D612" s="9"/>
      <c r="E612" s="9"/>
      <c r="F612" s="11"/>
      <c r="G612" s="11"/>
      <c r="H612" s="9"/>
      <c r="I612" s="9"/>
      <c r="J612" s="12"/>
      <c r="K612" s="12"/>
      <c r="L612" s="12" t="str">
        <f aca="false">IF(A612="","",IF(I612="はい",IF(AND(ISNUMBER(J612),ISNUMBER(K612)),K612-J612,""),""))</f>
        <v/>
      </c>
      <c r="M612" s="9"/>
      <c r="N612" s="11"/>
      <c r="O612" s="13"/>
    </row>
    <row r="613" customFormat="false" ht="15.75" hidden="false" customHeight="false" outlineLevel="0" collapsed="false">
      <c r="A613" s="10"/>
      <c r="B613" s="11"/>
      <c r="C613" s="11"/>
      <c r="D613" s="9"/>
      <c r="E613" s="9"/>
      <c r="F613" s="11"/>
      <c r="G613" s="11"/>
      <c r="H613" s="9"/>
      <c r="I613" s="9"/>
      <c r="J613" s="12"/>
      <c r="K613" s="12"/>
      <c r="L613" s="12" t="str">
        <f aca="false">IF(A613="","",IF(I613="はい",IF(AND(ISNUMBER(J613),ISNUMBER(K613)),K613-J613,""),""))</f>
        <v/>
      </c>
      <c r="M613" s="9"/>
      <c r="N613" s="11"/>
      <c r="O613" s="13"/>
    </row>
    <row r="614" customFormat="false" ht="15.75" hidden="false" customHeight="false" outlineLevel="0" collapsed="false">
      <c r="A614" s="10"/>
      <c r="B614" s="11"/>
      <c r="C614" s="11"/>
      <c r="D614" s="9"/>
      <c r="E614" s="9"/>
      <c r="F614" s="11"/>
      <c r="G614" s="11"/>
      <c r="H614" s="9"/>
      <c r="I614" s="9"/>
      <c r="J614" s="12"/>
      <c r="K614" s="12"/>
      <c r="L614" s="12" t="str">
        <f aca="false">IF(A614="","",IF(I614="はい",IF(AND(ISNUMBER(J614),ISNUMBER(K614)),K614-J614,""),""))</f>
        <v/>
      </c>
      <c r="M614" s="9"/>
      <c r="N614" s="11"/>
      <c r="O614" s="13"/>
    </row>
    <row r="615" customFormat="false" ht="15.75" hidden="false" customHeight="false" outlineLevel="0" collapsed="false">
      <c r="A615" s="10"/>
      <c r="B615" s="11"/>
      <c r="C615" s="11"/>
      <c r="D615" s="9"/>
      <c r="E615" s="9"/>
      <c r="F615" s="11"/>
      <c r="G615" s="11"/>
      <c r="H615" s="9"/>
      <c r="I615" s="9"/>
      <c r="J615" s="12"/>
      <c r="K615" s="12"/>
      <c r="L615" s="12" t="str">
        <f aca="false">IF(A615="","",IF(I615="はい",IF(AND(ISNUMBER(J615),ISNUMBER(K615)),K615-J615,""),""))</f>
        <v/>
      </c>
      <c r="M615" s="9"/>
      <c r="N615" s="11"/>
      <c r="O615" s="13"/>
    </row>
    <row r="616" customFormat="false" ht="15.75" hidden="false" customHeight="false" outlineLevel="0" collapsed="false">
      <c r="A616" s="10"/>
      <c r="B616" s="11"/>
      <c r="C616" s="11"/>
      <c r="D616" s="9"/>
      <c r="E616" s="9"/>
      <c r="F616" s="11"/>
      <c r="G616" s="11"/>
      <c r="H616" s="9"/>
      <c r="I616" s="9"/>
      <c r="J616" s="12"/>
      <c r="K616" s="12"/>
      <c r="L616" s="12" t="str">
        <f aca="false">IF(A616="","",IF(I616="はい",IF(AND(ISNUMBER(J616),ISNUMBER(K616)),K616-J616,""),""))</f>
        <v/>
      </c>
      <c r="M616" s="9"/>
      <c r="N616" s="11"/>
      <c r="O616" s="13"/>
    </row>
    <row r="617" customFormat="false" ht="15.75" hidden="false" customHeight="false" outlineLevel="0" collapsed="false">
      <c r="A617" s="10"/>
      <c r="B617" s="11"/>
      <c r="C617" s="11"/>
      <c r="D617" s="9"/>
      <c r="E617" s="9"/>
      <c r="F617" s="11"/>
      <c r="G617" s="11"/>
      <c r="H617" s="9"/>
      <c r="I617" s="9"/>
      <c r="J617" s="12"/>
      <c r="K617" s="12"/>
      <c r="L617" s="12" t="str">
        <f aca="false">IF(A617="","",IF(I617="はい",IF(AND(ISNUMBER(J617),ISNUMBER(K617)),K617-J617,""),""))</f>
        <v/>
      </c>
      <c r="M617" s="9"/>
      <c r="N617" s="11"/>
      <c r="O617" s="13"/>
    </row>
    <row r="618" customFormat="false" ht="15.75" hidden="false" customHeight="false" outlineLevel="0" collapsed="false">
      <c r="A618" s="10"/>
      <c r="B618" s="11"/>
      <c r="C618" s="11"/>
      <c r="D618" s="9"/>
      <c r="E618" s="9"/>
      <c r="F618" s="11"/>
      <c r="G618" s="11"/>
      <c r="H618" s="9"/>
      <c r="I618" s="9"/>
      <c r="J618" s="12"/>
      <c r="K618" s="12"/>
      <c r="L618" s="12" t="str">
        <f aca="false">IF(A618="","",IF(I618="はい",IF(AND(ISNUMBER(J618),ISNUMBER(K618)),K618-J618,""),""))</f>
        <v/>
      </c>
      <c r="M618" s="9"/>
      <c r="N618" s="11"/>
      <c r="O618" s="13"/>
    </row>
    <row r="619" customFormat="false" ht="15.75" hidden="false" customHeight="false" outlineLevel="0" collapsed="false">
      <c r="A619" s="10"/>
      <c r="B619" s="11"/>
      <c r="C619" s="11"/>
      <c r="D619" s="9"/>
      <c r="E619" s="9"/>
      <c r="F619" s="11"/>
      <c r="G619" s="11"/>
      <c r="H619" s="9"/>
      <c r="I619" s="9"/>
      <c r="J619" s="12"/>
      <c r="K619" s="12"/>
      <c r="L619" s="12" t="str">
        <f aca="false">IF(A619="","",IF(I619="はい",IF(AND(ISNUMBER(J619),ISNUMBER(K619)),K619-J619,""),""))</f>
        <v/>
      </c>
      <c r="M619" s="9"/>
      <c r="N619" s="11"/>
      <c r="O619" s="13"/>
    </row>
    <row r="620" customFormat="false" ht="15.75" hidden="false" customHeight="false" outlineLevel="0" collapsed="false">
      <c r="A620" s="10"/>
      <c r="B620" s="11"/>
      <c r="C620" s="11"/>
      <c r="D620" s="9"/>
      <c r="E620" s="9"/>
      <c r="F620" s="11"/>
      <c r="G620" s="11"/>
      <c r="H620" s="9"/>
      <c r="I620" s="9"/>
      <c r="J620" s="12"/>
      <c r="K620" s="12"/>
      <c r="L620" s="12" t="str">
        <f aca="false">IF(A620="","",IF(I620="はい",IF(AND(ISNUMBER(J620),ISNUMBER(K620)),K620-J620,""),""))</f>
        <v/>
      </c>
      <c r="M620" s="9"/>
      <c r="N620" s="11"/>
      <c r="O620" s="13"/>
    </row>
    <row r="621" customFormat="false" ht="15.75" hidden="false" customHeight="false" outlineLevel="0" collapsed="false">
      <c r="A621" s="10"/>
      <c r="B621" s="11"/>
      <c r="C621" s="11"/>
      <c r="D621" s="9"/>
      <c r="E621" s="9"/>
      <c r="F621" s="11"/>
      <c r="G621" s="11"/>
      <c r="H621" s="9"/>
      <c r="I621" s="9"/>
      <c r="J621" s="12"/>
      <c r="K621" s="12"/>
      <c r="L621" s="12" t="str">
        <f aca="false">IF(A621="","",IF(I621="はい",IF(AND(ISNUMBER(J621),ISNUMBER(K621)),K621-J621,""),""))</f>
        <v/>
      </c>
      <c r="M621" s="9"/>
      <c r="N621" s="11"/>
      <c r="O621" s="13"/>
    </row>
    <row r="622" customFormat="false" ht="15.75" hidden="false" customHeight="false" outlineLevel="0" collapsed="false">
      <c r="A622" s="10"/>
      <c r="B622" s="11"/>
      <c r="C622" s="11"/>
      <c r="D622" s="9"/>
      <c r="E622" s="9"/>
      <c r="F622" s="11"/>
      <c r="G622" s="11"/>
      <c r="H622" s="9"/>
      <c r="I622" s="9"/>
      <c r="J622" s="12"/>
      <c r="K622" s="12"/>
      <c r="L622" s="12" t="str">
        <f aca="false">IF(A622="","",IF(I622="はい",IF(AND(ISNUMBER(J622),ISNUMBER(K622)),K622-J622,""),""))</f>
        <v/>
      </c>
      <c r="M622" s="9"/>
      <c r="N622" s="11"/>
      <c r="O622" s="13"/>
    </row>
    <row r="623" customFormat="false" ht="15.75" hidden="false" customHeight="false" outlineLevel="0" collapsed="false">
      <c r="A623" s="10"/>
      <c r="B623" s="11"/>
      <c r="C623" s="11"/>
      <c r="D623" s="9"/>
      <c r="E623" s="9"/>
      <c r="F623" s="11"/>
      <c r="G623" s="11"/>
      <c r="H623" s="9"/>
      <c r="I623" s="9"/>
      <c r="J623" s="12"/>
      <c r="K623" s="12"/>
      <c r="L623" s="12" t="str">
        <f aca="false">IF(A623="","",IF(I623="はい",IF(AND(ISNUMBER(J623),ISNUMBER(K623)),K623-J623,""),""))</f>
        <v/>
      </c>
      <c r="M623" s="9"/>
      <c r="N623" s="11"/>
      <c r="O623" s="13"/>
    </row>
    <row r="624" customFormat="false" ht="15.75" hidden="false" customHeight="false" outlineLevel="0" collapsed="false">
      <c r="A624" s="10"/>
      <c r="B624" s="11"/>
      <c r="C624" s="11"/>
      <c r="D624" s="9"/>
      <c r="E624" s="9"/>
      <c r="F624" s="11"/>
      <c r="G624" s="11"/>
      <c r="H624" s="9"/>
      <c r="I624" s="9"/>
      <c r="J624" s="12"/>
      <c r="K624" s="12"/>
      <c r="L624" s="12" t="str">
        <f aca="false">IF(A624="","",IF(I624="はい",IF(AND(ISNUMBER(J624),ISNUMBER(K624)),K624-J624,""),""))</f>
        <v/>
      </c>
      <c r="M624" s="9"/>
      <c r="N624" s="11"/>
      <c r="O624" s="13"/>
    </row>
    <row r="625" customFormat="false" ht="15.75" hidden="false" customHeight="false" outlineLevel="0" collapsed="false">
      <c r="A625" s="10"/>
      <c r="B625" s="11"/>
      <c r="C625" s="11"/>
      <c r="D625" s="9"/>
      <c r="E625" s="9"/>
      <c r="F625" s="11"/>
      <c r="G625" s="11"/>
      <c r="H625" s="9"/>
      <c r="I625" s="9"/>
      <c r="J625" s="12"/>
      <c r="K625" s="12"/>
      <c r="L625" s="12" t="str">
        <f aca="false">IF(A625="","",IF(I625="はい",IF(AND(ISNUMBER(J625),ISNUMBER(K625)),K625-J625,""),""))</f>
        <v/>
      </c>
      <c r="M625" s="9"/>
      <c r="N625" s="11"/>
      <c r="O625" s="13"/>
    </row>
    <row r="626" customFormat="false" ht="15.75" hidden="false" customHeight="false" outlineLevel="0" collapsed="false">
      <c r="A626" s="10"/>
      <c r="B626" s="11"/>
      <c r="C626" s="11"/>
      <c r="D626" s="9"/>
      <c r="E626" s="9"/>
      <c r="F626" s="11"/>
      <c r="G626" s="11"/>
      <c r="H626" s="9"/>
      <c r="I626" s="9"/>
      <c r="J626" s="12"/>
      <c r="K626" s="12"/>
      <c r="L626" s="12" t="str">
        <f aca="false">IF(A626="","",IF(I626="はい",IF(AND(ISNUMBER(J626),ISNUMBER(K626)),K626-J626,""),""))</f>
        <v/>
      </c>
      <c r="M626" s="9"/>
      <c r="N626" s="11"/>
      <c r="O626" s="13"/>
    </row>
    <row r="627" customFormat="false" ht="15.75" hidden="false" customHeight="false" outlineLevel="0" collapsed="false">
      <c r="A627" s="10"/>
      <c r="B627" s="11"/>
      <c r="C627" s="11"/>
      <c r="D627" s="9"/>
      <c r="E627" s="9"/>
      <c r="F627" s="11"/>
      <c r="G627" s="11"/>
      <c r="H627" s="9"/>
      <c r="I627" s="9"/>
      <c r="J627" s="12"/>
      <c r="K627" s="12"/>
      <c r="L627" s="12" t="str">
        <f aca="false">IF(A627="","",IF(I627="はい",IF(AND(ISNUMBER(J627),ISNUMBER(K627)),K627-J627,""),""))</f>
        <v/>
      </c>
      <c r="M627" s="9"/>
      <c r="N627" s="11"/>
      <c r="O627" s="13"/>
    </row>
    <row r="628" customFormat="false" ht="15.75" hidden="false" customHeight="false" outlineLevel="0" collapsed="false">
      <c r="A628" s="10"/>
      <c r="B628" s="11"/>
      <c r="C628" s="11"/>
      <c r="D628" s="9"/>
      <c r="E628" s="9"/>
      <c r="F628" s="11"/>
      <c r="G628" s="11"/>
      <c r="H628" s="9"/>
      <c r="I628" s="9"/>
      <c r="J628" s="12"/>
      <c r="K628" s="12"/>
      <c r="L628" s="12" t="str">
        <f aca="false">IF(A628="","",IF(I628="はい",IF(AND(ISNUMBER(J628),ISNUMBER(K628)),K628-J628,""),""))</f>
        <v/>
      </c>
      <c r="M628" s="9"/>
      <c r="N628" s="11"/>
      <c r="O628" s="13"/>
    </row>
    <row r="629" customFormat="false" ht="15.75" hidden="false" customHeight="false" outlineLevel="0" collapsed="false">
      <c r="A629" s="10"/>
      <c r="B629" s="11"/>
      <c r="C629" s="11"/>
      <c r="D629" s="9"/>
      <c r="E629" s="9"/>
      <c r="F629" s="11"/>
      <c r="G629" s="11"/>
      <c r="H629" s="9"/>
      <c r="I629" s="9"/>
      <c r="J629" s="12"/>
      <c r="K629" s="12"/>
      <c r="L629" s="12" t="str">
        <f aca="false">IF(A629="","",IF(I629="はい",IF(AND(ISNUMBER(J629),ISNUMBER(K629)),K629-J629,""),""))</f>
        <v/>
      </c>
      <c r="M629" s="9"/>
      <c r="N629" s="11"/>
      <c r="O629" s="13"/>
    </row>
    <row r="630" customFormat="false" ht="15.75" hidden="false" customHeight="false" outlineLevel="0" collapsed="false">
      <c r="A630" s="10"/>
      <c r="B630" s="11"/>
      <c r="C630" s="11"/>
      <c r="D630" s="9"/>
      <c r="E630" s="9"/>
      <c r="F630" s="11"/>
      <c r="G630" s="11"/>
      <c r="H630" s="9"/>
      <c r="I630" s="9"/>
      <c r="J630" s="12"/>
      <c r="K630" s="12"/>
      <c r="L630" s="12" t="str">
        <f aca="false">IF(A630="","",IF(I630="はい",IF(AND(ISNUMBER(J630),ISNUMBER(K630)),K630-J630,""),""))</f>
        <v/>
      </c>
      <c r="M630" s="9"/>
      <c r="N630" s="11"/>
      <c r="O630" s="13"/>
    </row>
    <row r="631" customFormat="false" ht="15.75" hidden="false" customHeight="false" outlineLevel="0" collapsed="false">
      <c r="A631" s="10"/>
      <c r="B631" s="11"/>
      <c r="C631" s="11"/>
      <c r="D631" s="9"/>
      <c r="E631" s="9"/>
      <c r="F631" s="11"/>
      <c r="G631" s="11"/>
      <c r="H631" s="9"/>
      <c r="I631" s="9"/>
      <c r="J631" s="12"/>
      <c r="K631" s="12"/>
      <c r="L631" s="12" t="str">
        <f aca="false">IF(A631="","",IF(I631="はい",IF(AND(ISNUMBER(J631),ISNUMBER(K631)),K631-J631,""),""))</f>
        <v/>
      </c>
      <c r="M631" s="9"/>
      <c r="N631" s="11"/>
      <c r="O631" s="13"/>
    </row>
    <row r="632" customFormat="false" ht="15.75" hidden="false" customHeight="false" outlineLevel="0" collapsed="false">
      <c r="A632" s="10"/>
      <c r="B632" s="11"/>
      <c r="C632" s="11"/>
      <c r="D632" s="9"/>
      <c r="E632" s="9"/>
      <c r="F632" s="11"/>
      <c r="G632" s="11"/>
      <c r="H632" s="9"/>
      <c r="I632" s="9"/>
      <c r="J632" s="12"/>
      <c r="K632" s="12"/>
      <c r="L632" s="12" t="str">
        <f aca="false">IF(A632="","",IF(I632="はい",IF(AND(ISNUMBER(J632),ISNUMBER(K632)),K632-J632,""),""))</f>
        <v/>
      </c>
      <c r="M632" s="9"/>
      <c r="N632" s="11"/>
      <c r="O632" s="13"/>
    </row>
    <row r="633" customFormat="false" ht="15.75" hidden="false" customHeight="false" outlineLevel="0" collapsed="false">
      <c r="A633" s="10"/>
      <c r="B633" s="11"/>
      <c r="C633" s="11"/>
      <c r="D633" s="9"/>
      <c r="E633" s="9"/>
      <c r="F633" s="11"/>
      <c r="G633" s="11"/>
      <c r="H633" s="9"/>
      <c r="I633" s="9"/>
      <c r="J633" s="12"/>
      <c r="K633" s="12"/>
      <c r="L633" s="12" t="str">
        <f aca="false">IF(A633="","",IF(I633="はい",IF(AND(ISNUMBER(J633),ISNUMBER(K633)),K633-J633,""),""))</f>
        <v/>
      </c>
      <c r="M633" s="9"/>
      <c r="N633" s="11"/>
      <c r="O633" s="13"/>
    </row>
    <row r="634" customFormat="false" ht="15.75" hidden="false" customHeight="false" outlineLevel="0" collapsed="false">
      <c r="A634" s="10"/>
      <c r="B634" s="11"/>
      <c r="C634" s="11"/>
      <c r="D634" s="9"/>
      <c r="E634" s="9"/>
      <c r="F634" s="11"/>
      <c r="G634" s="11"/>
      <c r="H634" s="9"/>
      <c r="I634" s="9"/>
      <c r="J634" s="12"/>
      <c r="K634" s="12"/>
      <c r="L634" s="12" t="str">
        <f aca="false">IF(A634="","",IF(I634="はい",IF(AND(ISNUMBER(J634),ISNUMBER(K634)),K634-J634,""),""))</f>
        <v/>
      </c>
      <c r="M634" s="9"/>
      <c r="N634" s="11"/>
      <c r="O634" s="13"/>
    </row>
    <row r="635" customFormat="false" ht="15.75" hidden="false" customHeight="false" outlineLevel="0" collapsed="false">
      <c r="A635" s="10"/>
      <c r="B635" s="11"/>
      <c r="C635" s="11"/>
      <c r="D635" s="9"/>
      <c r="E635" s="9"/>
      <c r="F635" s="11"/>
      <c r="G635" s="11"/>
      <c r="H635" s="9"/>
      <c r="I635" s="9"/>
      <c r="J635" s="12"/>
      <c r="K635" s="12"/>
      <c r="L635" s="12" t="str">
        <f aca="false">IF(A635="","",IF(I635="はい",IF(AND(ISNUMBER(J635),ISNUMBER(K635)),K635-J635,""),""))</f>
        <v/>
      </c>
      <c r="M635" s="9"/>
      <c r="N635" s="11"/>
      <c r="O635" s="13"/>
    </row>
    <row r="636" customFormat="false" ht="15.75" hidden="false" customHeight="false" outlineLevel="0" collapsed="false">
      <c r="A636" s="10"/>
      <c r="B636" s="11"/>
      <c r="C636" s="11"/>
      <c r="D636" s="9"/>
      <c r="E636" s="9"/>
      <c r="F636" s="11"/>
      <c r="G636" s="11"/>
      <c r="H636" s="9"/>
      <c r="I636" s="9"/>
      <c r="J636" s="12"/>
      <c r="K636" s="12"/>
      <c r="L636" s="12" t="str">
        <f aca="false">IF(A636="","",IF(I636="はい",IF(AND(ISNUMBER(J636),ISNUMBER(K636)),K636-J636,""),""))</f>
        <v/>
      </c>
      <c r="M636" s="9"/>
      <c r="N636" s="11"/>
      <c r="O636" s="13"/>
    </row>
    <row r="637" customFormat="false" ht="15.75" hidden="false" customHeight="false" outlineLevel="0" collapsed="false">
      <c r="A637" s="10"/>
      <c r="B637" s="11"/>
      <c r="C637" s="11"/>
      <c r="D637" s="9"/>
      <c r="E637" s="9"/>
      <c r="F637" s="11"/>
      <c r="G637" s="11"/>
      <c r="H637" s="9"/>
      <c r="I637" s="9"/>
      <c r="J637" s="12"/>
      <c r="K637" s="12"/>
      <c r="L637" s="12" t="str">
        <f aca="false">IF(A637="","",IF(I637="はい",IF(AND(ISNUMBER(J637),ISNUMBER(K637)),K637-J637,""),""))</f>
        <v/>
      </c>
      <c r="M637" s="9"/>
      <c r="N637" s="11"/>
      <c r="O637" s="13"/>
    </row>
    <row r="638" customFormat="false" ht="15.75" hidden="false" customHeight="false" outlineLevel="0" collapsed="false">
      <c r="A638" s="10"/>
      <c r="B638" s="11"/>
      <c r="C638" s="11"/>
      <c r="D638" s="9"/>
      <c r="E638" s="9"/>
      <c r="F638" s="11"/>
      <c r="G638" s="11"/>
      <c r="H638" s="9"/>
      <c r="I638" s="9"/>
      <c r="J638" s="12"/>
      <c r="K638" s="12"/>
      <c r="L638" s="12" t="str">
        <f aca="false">IF(A638="","",IF(I638="はい",IF(AND(ISNUMBER(J638),ISNUMBER(K638)),K638-J638,""),""))</f>
        <v/>
      </c>
      <c r="M638" s="9"/>
      <c r="N638" s="11"/>
      <c r="O638" s="13"/>
    </row>
    <row r="639" customFormat="false" ht="15.75" hidden="false" customHeight="false" outlineLevel="0" collapsed="false">
      <c r="A639" s="10"/>
      <c r="B639" s="11"/>
      <c r="C639" s="11"/>
      <c r="D639" s="9"/>
      <c r="E639" s="9"/>
      <c r="F639" s="11"/>
      <c r="G639" s="11"/>
      <c r="H639" s="9"/>
      <c r="I639" s="9"/>
      <c r="J639" s="12"/>
      <c r="K639" s="12"/>
      <c r="L639" s="12" t="str">
        <f aca="false">IF(A639="","",IF(I639="はい",IF(AND(ISNUMBER(J639),ISNUMBER(K639)),K639-J639,""),""))</f>
        <v/>
      </c>
      <c r="M639" s="9"/>
      <c r="N639" s="11"/>
      <c r="O639" s="13"/>
    </row>
    <row r="640" customFormat="false" ht="15.75" hidden="false" customHeight="false" outlineLevel="0" collapsed="false">
      <c r="A640" s="10"/>
      <c r="B640" s="11"/>
      <c r="C640" s="11"/>
      <c r="D640" s="9"/>
      <c r="E640" s="9"/>
      <c r="F640" s="11"/>
      <c r="G640" s="11"/>
      <c r="H640" s="9"/>
      <c r="I640" s="9"/>
      <c r="J640" s="12"/>
      <c r="K640" s="12"/>
      <c r="L640" s="12" t="str">
        <f aca="false">IF(A640="","",IF(I640="はい",IF(AND(ISNUMBER(J640),ISNUMBER(K640)),K640-J640,""),""))</f>
        <v/>
      </c>
      <c r="M640" s="9"/>
      <c r="N640" s="11"/>
      <c r="O640" s="13"/>
    </row>
    <row r="641" customFormat="false" ht="15.75" hidden="false" customHeight="false" outlineLevel="0" collapsed="false">
      <c r="A641" s="10"/>
      <c r="B641" s="11"/>
      <c r="C641" s="11"/>
      <c r="D641" s="9"/>
      <c r="E641" s="9"/>
      <c r="F641" s="11"/>
      <c r="G641" s="11"/>
      <c r="H641" s="9"/>
      <c r="I641" s="9"/>
      <c r="J641" s="12"/>
      <c r="K641" s="12"/>
      <c r="L641" s="12" t="str">
        <f aca="false">IF(A641="","",IF(I641="はい",IF(AND(ISNUMBER(J641),ISNUMBER(K641)),K641-J641,""),""))</f>
        <v/>
      </c>
      <c r="M641" s="9"/>
      <c r="N641" s="11"/>
      <c r="O641" s="13"/>
    </row>
    <row r="642" customFormat="false" ht="15.75" hidden="false" customHeight="false" outlineLevel="0" collapsed="false">
      <c r="A642" s="10"/>
      <c r="B642" s="11"/>
      <c r="C642" s="11"/>
      <c r="D642" s="9"/>
      <c r="E642" s="9"/>
      <c r="F642" s="11"/>
      <c r="G642" s="11"/>
      <c r="H642" s="9"/>
      <c r="I642" s="9"/>
      <c r="J642" s="12"/>
      <c r="K642" s="12"/>
      <c r="L642" s="12" t="str">
        <f aca="false">IF(A642="","",IF(I642="はい",IF(AND(ISNUMBER(J642),ISNUMBER(K642)),K642-J642,""),""))</f>
        <v/>
      </c>
      <c r="M642" s="9"/>
      <c r="N642" s="11"/>
      <c r="O642" s="13"/>
    </row>
    <row r="643" customFormat="false" ht="15.75" hidden="false" customHeight="false" outlineLevel="0" collapsed="false">
      <c r="A643" s="10"/>
      <c r="B643" s="11"/>
      <c r="C643" s="11"/>
      <c r="D643" s="9"/>
      <c r="E643" s="9"/>
      <c r="F643" s="11"/>
      <c r="G643" s="11"/>
      <c r="H643" s="9"/>
      <c r="I643" s="9"/>
      <c r="J643" s="12"/>
      <c r="K643" s="12"/>
      <c r="L643" s="12" t="str">
        <f aca="false">IF(A643="","",IF(I643="はい",IF(AND(ISNUMBER(J643),ISNUMBER(K643)),K643-J643,""),""))</f>
        <v/>
      </c>
      <c r="M643" s="9"/>
      <c r="N643" s="11"/>
      <c r="O643" s="13"/>
    </row>
    <row r="644" customFormat="false" ht="15.75" hidden="false" customHeight="false" outlineLevel="0" collapsed="false">
      <c r="A644" s="10"/>
      <c r="B644" s="11"/>
      <c r="C644" s="11"/>
      <c r="D644" s="9"/>
      <c r="E644" s="9"/>
      <c r="F644" s="11"/>
      <c r="G644" s="11"/>
      <c r="H644" s="9"/>
      <c r="I644" s="9"/>
      <c r="J644" s="12"/>
      <c r="K644" s="12"/>
      <c r="L644" s="12" t="str">
        <f aca="false">IF(A644="","",IF(I644="はい",IF(AND(ISNUMBER(J644),ISNUMBER(K644)),K644-J644,""),""))</f>
        <v/>
      </c>
      <c r="M644" s="9"/>
      <c r="N644" s="11"/>
      <c r="O644" s="13"/>
    </row>
    <row r="645" customFormat="false" ht="15.75" hidden="false" customHeight="false" outlineLevel="0" collapsed="false">
      <c r="A645" s="10"/>
      <c r="B645" s="11"/>
      <c r="C645" s="11"/>
      <c r="D645" s="9"/>
      <c r="E645" s="9"/>
      <c r="F645" s="11"/>
      <c r="G645" s="11"/>
      <c r="H645" s="9"/>
      <c r="I645" s="9"/>
      <c r="J645" s="12"/>
      <c r="K645" s="12"/>
      <c r="L645" s="12" t="str">
        <f aca="false">IF(A645="","",IF(I645="はい",IF(AND(ISNUMBER(J645),ISNUMBER(K645)),K645-J645,""),""))</f>
        <v/>
      </c>
      <c r="M645" s="9"/>
      <c r="N645" s="11"/>
      <c r="O645" s="13"/>
    </row>
    <row r="646" customFormat="false" ht="15.75" hidden="false" customHeight="false" outlineLevel="0" collapsed="false">
      <c r="A646" s="10"/>
      <c r="B646" s="11"/>
      <c r="C646" s="11"/>
      <c r="D646" s="9"/>
      <c r="E646" s="9"/>
      <c r="F646" s="11"/>
      <c r="G646" s="11"/>
      <c r="H646" s="9"/>
      <c r="I646" s="9"/>
      <c r="J646" s="12"/>
      <c r="K646" s="12"/>
      <c r="L646" s="12" t="str">
        <f aca="false">IF(A646="","",IF(I646="はい",IF(AND(ISNUMBER(J646),ISNUMBER(K646)),K646-J646,""),""))</f>
        <v/>
      </c>
      <c r="M646" s="9"/>
      <c r="N646" s="11"/>
      <c r="O646" s="13"/>
    </row>
    <row r="647" customFormat="false" ht="15.75" hidden="false" customHeight="false" outlineLevel="0" collapsed="false">
      <c r="A647" s="10"/>
      <c r="B647" s="11"/>
      <c r="C647" s="11"/>
      <c r="D647" s="9"/>
      <c r="E647" s="9"/>
      <c r="F647" s="11"/>
      <c r="G647" s="11"/>
      <c r="H647" s="9"/>
      <c r="I647" s="9"/>
      <c r="J647" s="12"/>
      <c r="K647" s="12"/>
      <c r="L647" s="12" t="str">
        <f aca="false">IF(A647="","",IF(I647="はい",IF(AND(ISNUMBER(J647),ISNUMBER(K647)),K647-J647,""),""))</f>
        <v/>
      </c>
      <c r="M647" s="9"/>
      <c r="N647" s="11"/>
      <c r="O647" s="13"/>
    </row>
    <row r="648" customFormat="false" ht="15.75" hidden="false" customHeight="false" outlineLevel="0" collapsed="false">
      <c r="A648" s="10"/>
      <c r="B648" s="11"/>
      <c r="C648" s="11"/>
      <c r="D648" s="9"/>
      <c r="E648" s="9"/>
      <c r="F648" s="11"/>
      <c r="G648" s="11"/>
      <c r="H648" s="9"/>
      <c r="I648" s="9"/>
      <c r="J648" s="12"/>
      <c r="K648" s="12"/>
      <c r="L648" s="12" t="str">
        <f aca="false">IF(A648="","",IF(I648="はい",IF(AND(ISNUMBER(J648),ISNUMBER(K648)),K648-J648,""),""))</f>
        <v/>
      </c>
      <c r="M648" s="9"/>
      <c r="N648" s="11"/>
      <c r="O648" s="13"/>
    </row>
    <row r="649" customFormat="false" ht="15.75" hidden="false" customHeight="false" outlineLevel="0" collapsed="false">
      <c r="A649" s="10"/>
      <c r="B649" s="11"/>
      <c r="C649" s="11"/>
      <c r="D649" s="9"/>
      <c r="E649" s="9"/>
      <c r="F649" s="11"/>
      <c r="G649" s="11"/>
      <c r="H649" s="9"/>
      <c r="I649" s="9"/>
      <c r="J649" s="12"/>
      <c r="K649" s="12"/>
      <c r="L649" s="12" t="str">
        <f aca="false">IF(A649="","",IF(I649="はい",IF(AND(ISNUMBER(J649),ISNUMBER(K649)),K649-J649,""),""))</f>
        <v/>
      </c>
      <c r="M649" s="9"/>
      <c r="N649" s="11"/>
      <c r="O649" s="13"/>
    </row>
    <row r="650" customFormat="false" ht="15.75" hidden="false" customHeight="false" outlineLevel="0" collapsed="false">
      <c r="A650" s="10"/>
      <c r="B650" s="11"/>
      <c r="C650" s="11"/>
      <c r="D650" s="9"/>
      <c r="E650" s="9"/>
      <c r="F650" s="11"/>
      <c r="G650" s="11"/>
      <c r="H650" s="9"/>
      <c r="I650" s="9"/>
      <c r="J650" s="12"/>
      <c r="K650" s="12"/>
      <c r="L650" s="12" t="str">
        <f aca="false">IF(A650="","",IF(I650="はい",IF(AND(ISNUMBER(J650),ISNUMBER(K650)),K650-J650,""),""))</f>
        <v/>
      </c>
      <c r="M650" s="9"/>
      <c r="N650" s="11"/>
      <c r="O650" s="13"/>
    </row>
    <row r="651" customFormat="false" ht="15.75" hidden="false" customHeight="false" outlineLevel="0" collapsed="false">
      <c r="A651" s="10"/>
      <c r="B651" s="11"/>
      <c r="C651" s="11"/>
      <c r="D651" s="9"/>
      <c r="E651" s="9"/>
      <c r="F651" s="11"/>
      <c r="G651" s="11"/>
      <c r="H651" s="9"/>
      <c r="I651" s="9"/>
      <c r="J651" s="12"/>
      <c r="K651" s="12"/>
      <c r="L651" s="12" t="str">
        <f aca="false">IF(A651="","",IF(I651="はい",IF(AND(ISNUMBER(J651),ISNUMBER(K651)),K651-J651,""),""))</f>
        <v/>
      </c>
      <c r="M651" s="9"/>
      <c r="N651" s="11"/>
      <c r="O651" s="13"/>
    </row>
    <row r="652" customFormat="false" ht="15.75" hidden="false" customHeight="false" outlineLevel="0" collapsed="false">
      <c r="A652" s="10"/>
      <c r="B652" s="11"/>
      <c r="C652" s="11"/>
      <c r="D652" s="9"/>
      <c r="E652" s="9"/>
      <c r="F652" s="11"/>
      <c r="G652" s="11"/>
      <c r="H652" s="9"/>
      <c r="I652" s="9"/>
      <c r="J652" s="12"/>
      <c r="K652" s="12"/>
      <c r="L652" s="12" t="str">
        <f aca="false">IF(A652="","",IF(I652="はい",IF(AND(ISNUMBER(J652),ISNUMBER(K652)),K652-J652,""),""))</f>
        <v/>
      </c>
      <c r="M652" s="9"/>
      <c r="N652" s="11"/>
      <c r="O652" s="13"/>
    </row>
    <row r="653" customFormat="false" ht="15.75" hidden="false" customHeight="false" outlineLevel="0" collapsed="false">
      <c r="A653" s="10"/>
      <c r="B653" s="11"/>
      <c r="C653" s="11"/>
      <c r="D653" s="9"/>
      <c r="E653" s="9"/>
      <c r="F653" s="11"/>
      <c r="G653" s="11"/>
      <c r="H653" s="9"/>
      <c r="I653" s="9"/>
      <c r="J653" s="12"/>
      <c r="K653" s="12"/>
      <c r="L653" s="12" t="str">
        <f aca="false">IF(A653="","",IF(I653="はい",IF(AND(ISNUMBER(J653),ISNUMBER(K653)),K653-J653,""),""))</f>
        <v/>
      </c>
      <c r="M653" s="9"/>
      <c r="N653" s="11"/>
      <c r="O653" s="13"/>
    </row>
    <row r="654" customFormat="false" ht="15.75" hidden="false" customHeight="false" outlineLevel="0" collapsed="false">
      <c r="A654" s="10"/>
      <c r="B654" s="11"/>
      <c r="C654" s="11"/>
      <c r="D654" s="9"/>
      <c r="E654" s="9"/>
      <c r="F654" s="11"/>
      <c r="G654" s="11"/>
      <c r="H654" s="9"/>
      <c r="I654" s="9"/>
      <c r="J654" s="12"/>
      <c r="K654" s="12"/>
      <c r="L654" s="12" t="str">
        <f aca="false">IF(A654="","",IF(I654="はい",IF(AND(ISNUMBER(J654),ISNUMBER(K654)),K654-J654,""),""))</f>
        <v/>
      </c>
      <c r="M654" s="9"/>
      <c r="N654" s="11"/>
      <c r="O654" s="13"/>
    </row>
    <row r="655" customFormat="false" ht="15.75" hidden="false" customHeight="false" outlineLevel="0" collapsed="false">
      <c r="A655" s="10"/>
      <c r="B655" s="11"/>
      <c r="C655" s="11"/>
      <c r="D655" s="9"/>
      <c r="E655" s="9"/>
      <c r="F655" s="11"/>
      <c r="G655" s="11"/>
      <c r="H655" s="9"/>
      <c r="I655" s="9"/>
      <c r="J655" s="12"/>
      <c r="K655" s="12"/>
      <c r="L655" s="12" t="str">
        <f aca="false">IF(A655="","",IF(I655="はい",IF(AND(ISNUMBER(J655),ISNUMBER(K655)),K655-J655,""),""))</f>
        <v/>
      </c>
      <c r="M655" s="9"/>
      <c r="N655" s="11"/>
      <c r="O655" s="13"/>
    </row>
    <row r="656" customFormat="false" ht="15.75" hidden="false" customHeight="false" outlineLevel="0" collapsed="false">
      <c r="A656" s="10"/>
      <c r="B656" s="11"/>
      <c r="C656" s="11"/>
      <c r="D656" s="9"/>
      <c r="E656" s="9"/>
      <c r="F656" s="11"/>
      <c r="G656" s="11"/>
      <c r="H656" s="9"/>
      <c r="I656" s="9"/>
      <c r="J656" s="12"/>
      <c r="K656" s="12"/>
      <c r="L656" s="12" t="str">
        <f aca="false">IF(A656="","",IF(I656="はい",IF(AND(ISNUMBER(J656),ISNUMBER(K656)),K656-J656,""),""))</f>
        <v/>
      </c>
      <c r="M656" s="9"/>
      <c r="N656" s="11"/>
      <c r="O656" s="13"/>
    </row>
    <row r="657" customFormat="false" ht="15.75" hidden="false" customHeight="false" outlineLevel="0" collapsed="false">
      <c r="A657" s="10"/>
      <c r="B657" s="11"/>
      <c r="C657" s="11"/>
      <c r="D657" s="9"/>
      <c r="E657" s="9"/>
      <c r="F657" s="11"/>
      <c r="G657" s="11"/>
      <c r="H657" s="9"/>
      <c r="I657" s="9"/>
      <c r="J657" s="12"/>
      <c r="K657" s="12"/>
      <c r="L657" s="12" t="str">
        <f aca="false">IF(A657="","",IF(I657="はい",IF(AND(ISNUMBER(J657),ISNUMBER(K657)),K657-J657,""),""))</f>
        <v/>
      </c>
      <c r="M657" s="9"/>
      <c r="N657" s="11"/>
      <c r="O657" s="13"/>
    </row>
    <row r="658" customFormat="false" ht="15.75" hidden="false" customHeight="false" outlineLevel="0" collapsed="false">
      <c r="A658" s="10"/>
      <c r="B658" s="11"/>
      <c r="C658" s="11"/>
      <c r="D658" s="9"/>
      <c r="E658" s="9"/>
      <c r="F658" s="11"/>
      <c r="G658" s="11"/>
      <c r="H658" s="9"/>
      <c r="I658" s="9"/>
      <c r="J658" s="12"/>
      <c r="K658" s="12"/>
      <c r="L658" s="12" t="str">
        <f aca="false">IF(A658="","",IF(I658="はい",IF(AND(ISNUMBER(J658),ISNUMBER(K658)),K658-J658,""),""))</f>
        <v/>
      </c>
      <c r="M658" s="9"/>
      <c r="N658" s="11"/>
      <c r="O658" s="13"/>
    </row>
    <row r="659" customFormat="false" ht="15.75" hidden="false" customHeight="false" outlineLevel="0" collapsed="false">
      <c r="A659" s="10"/>
      <c r="B659" s="11"/>
      <c r="C659" s="11"/>
      <c r="D659" s="9"/>
      <c r="E659" s="9"/>
      <c r="F659" s="11"/>
      <c r="G659" s="11"/>
      <c r="H659" s="9"/>
      <c r="I659" s="9"/>
      <c r="J659" s="12"/>
      <c r="K659" s="12"/>
      <c r="L659" s="12" t="str">
        <f aca="false">IF(A659="","",IF(I659="はい",IF(AND(ISNUMBER(J659),ISNUMBER(K659)),K659-J659,""),""))</f>
        <v/>
      </c>
      <c r="M659" s="9"/>
      <c r="N659" s="11"/>
      <c r="O659" s="13"/>
    </row>
    <row r="660" customFormat="false" ht="15.75" hidden="false" customHeight="false" outlineLevel="0" collapsed="false">
      <c r="A660" s="10"/>
      <c r="B660" s="11"/>
      <c r="C660" s="11"/>
      <c r="D660" s="9"/>
      <c r="E660" s="9"/>
      <c r="F660" s="11"/>
      <c r="G660" s="11"/>
      <c r="H660" s="9"/>
      <c r="I660" s="9"/>
      <c r="J660" s="12"/>
      <c r="K660" s="12"/>
      <c r="L660" s="12" t="str">
        <f aca="false">IF(A660="","",IF(I660="はい",IF(AND(ISNUMBER(J660),ISNUMBER(K660)),K660-J660,""),""))</f>
        <v/>
      </c>
      <c r="M660" s="9"/>
      <c r="N660" s="11"/>
      <c r="O660" s="13"/>
    </row>
    <row r="661" customFormat="false" ht="15.75" hidden="false" customHeight="false" outlineLevel="0" collapsed="false">
      <c r="A661" s="10"/>
      <c r="B661" s="11"/>
      <c r="C661" s="11"/>
      <c r="D661" s="9"/>
      <c r="E661" s="9"/>
      <c r="F661" s="11"/>
      <c r="G661" s="11"/>
      <c r="H661" s="9"/>
      <c r="I661" s="9"/>
      <c r="J661" s="12"/>
      <c r="K661" s="12"/>
      <c r="L661" s="12" t="str">
        <f aca="false">IF(A661="","",IF(I661="はい",IF(AND(ISNUMBER(J661),ISNUMBER(K661)),K661-J661,""),""))</f>
        <v/>
      </c>
      <c r="M661" s="9"/>
      <c r="N661" s="11"/>
      <c r="O661" s="13"/>
    </row>
    <row r="662" customFormat="false" ht="15.75" hidden="false" customHeight="false" outlineLevel="0" collapsed="false">
      <c r="A662" s="10"/>
      <c r="B662" s="11"/>
      <c r="C662" s="11"/>
      <c r="D662" s="9"/>
      <c r="E662" s="9"/>
      <c r="F662" s="11"/>
      <c r="G662" s="11"/>
      <c r="H662" s="9"/>
      <c r="I662" s="9"/>
      <c r="J662" s="12"/>
      <c r="K662" s="12"/>
      <c r="L662" s="12" t="str">
        <f aca="false">IF(A662="","",IF(I662="はい",IF(AND(ISNUMBER(J662),ISNUMBER(K662)),K662-J662,""),""))</f>
        <v/>
      </c>
      <c r="M662" s="9"/>
      <c r="N662" s="11"/>
      <c r="O662" s="13"/>
    </row>
    <row r="663" customFormat="false" ht="15.75" hidden="false" customHeight="false" outlineLevel="0" collapsed="false">
      <c r="A663" s="10"/>
      <c r="B663" s="11"/>
      <c r="C663" s="11"/>
      <c r="D663" s="9"/>
      <c r="E663" s="9"/>
      <c r="F663" s="11"/>
      <c r="G663" s="11"/>
      <c r="H663" s="9"/>
      <c r="I663" s="9"/>
      <c r="J663" s="12"/>
      <c r="K663" s="12"/>
      <c r="L663" s="12" t="str">
        <f aca="false">IF(A663="","",IF(I663="はい",IF(AND(ISNUMBER(J663),ISNUMBER(K663)),K663-J663,""),""))</f>
        <v/>
      </c>
      <c r="M663" s="9"/>
      <c r="N663" s="11"/>
      <c r="O663" s="13"/>
    </row>
    <row r="664" customFormat="false" ht="15.75" hidden="false" customHeight="false" outlineLevel="0" collapsed="false">
      <c r="A664" s="10"/>
      <c r="B664" s="11"/>
      <c r="C664" s="11"/>
      <c r="D664" s="9"/>
      <c r="E664" s="9"/>
      <c r="F664" s="11"/>
      <c r="G664" s="11"/>
      <c r="H664" s="9"/>
      <c r="I664" s="9"/>
      <c r="J664" s="12"/>
      <c r="K664" s="12"/>
      <c r="L664" s="12" t="str">
        <f aca="false">IF(A664="","",IF(I664="はい",IF(AND(ISNUMBER(J664),ISNUMBER(K664)),K664-J664,""),""))</f>
        <v/>
      </c>
      <c r="M664" s="9"/>
      <c r="N664" s="11"/>
      <c r="O664" s="13"/>
    </row>
    <row r="665" customFormat="false" ht="15.75" hidden="false" customHeight="false" outlineLevel="0" collapsed="false">
      <c r="A665" s="10"/>
      <c r="B665" s="11"/>
      <c r="C665" s="11"/>
      <c r="D665" s="9"/>
      <c r="E665" s="9"/>
      <c r="F665" s="11"/>
      <c r="G665" s="11"/>
      <c r="H665" s="9"/>
      <c r="I665" s="9"/>
      <c r="J665" s="12"/>
      <c r="K665" s="12"/>
      <c r="L665" s="12" t="str">
        <f aca="false">IF(A665="","",IF(I665="はい",IF(AND(ISNUMBER(J665),ISNUMBER(K665)),K665-J665,""),""))</f>
        <v/>
      </c>
      <c r="M665" s="9"/>
      <c r="N665" s="11"/>
      <c r="O665" s="13"/>
    </row>
    <row r="666" customFormat="false" ht="15.75" hidden="false" customHeight="false" outlineLevel="0" collapsed="false">
      <c r="A666" s="10"/>
      <c r="B666" s="11"/>
      <c r="C666" s="11"/>
      <c r="D666" s="9"/>
      <c r="E666" s="9"/>
      <c r="F666" s="11"/>
      <c r="G666" s="11"/>
      <c r="H666" s="9"/>
      <c r="I666" s="9"/>
      <c r="J666" s="12"/>
      <c r="K666" s="12"/>
      <c r="L666" s="12" t="str">
        <f aca="false">IF(A666="","",IF(I666="はい",IF(AND(ISNUMBER(J666),ISNUMBER(K666)),K666-J666,""),""))</f>
        <v/>
      </c>
      <c r="M666" s="9"/>
      <c r="N666" s="11"/>
      <c r="O666" s="13"/>
    </row>
    <row r="667" customFormat="false" ht="15.75" hidden="false" customHeight="false" outlineLevel="0" collapsed="false">
      <c r="A667" s="10"/>
      <c r="B667" s="11"/>
      <c r="C667" s="11"/>
      <c r="D667" s="9"/>
      <c r="E667" s="9"/>
      <c r="F667" s="11"/>
      <c r="G667" s="11"/>
      <c r="H667" s="9"/>
      <c r="I667" s="9"/>
      <c r="J667" s="12"/>
      <c r="K667" s="12"/>
      <c r="L667" s="12" t="str">
        <f aca="false">IF(A667="","",IF(I667="はい",IF(AND(ISNUMBER(J667),ISNUMBER(K667)),K667-J667,""),""))</f>
        <v/>
      </c>
      <c r="M667" s="9"/>
      <c r="N667" s="11"/>
      <c r="O667" s="13"/>
    </row>
    <row r="668" customFormat="false" ht="15.75" hidden="false" customHeight="false" outlineLevel="0" collapsed="false">
      <c r="A668" s="10"/>
      <c r="B668" s="11"/>
      <c r="C668" s="11"/>
      <c r="D668" s="9"/>
      <c r="E668" s="9"/>
      <c r="F668" s="11"/>
      <c r="G668" s="11"/>
      <c r="H668" s="9"/>
      <c r="I668" s="9"/>
      <c r="J668" s="12"/>
      <c r="K668" s="12"/>
      <c r="L668" s="12" t="str">
        <f aca="false">IF(A668="","",IF(I668="はい",IF(AND(ISNUMBER(J668),ISNUMBER(K668)),K668-J668,""),""))</f>
        <v/>
      </c>
      <c r="M668" s="9"/>
      <c r="N668" s="11"/>
      <c r="O668" s="13"/>
    </row>
    <row r="669" customFormat="false" ht="15.75" hidden="false" customHeight="false" outlineLevel="0" collapsed="false">
      <c r="A669" s="10"/>
      <c r="B669" s="11"/>
      <c r="C669" s="11"/>
      <c r="D669" s="9"/>
      <c r="E669" s="9"/>
      <c r="F669" s="11"/>
      <c r="G669" s="11"/>
      <c r="H669" s="9"/>
      <c r="I669" s="9"/>
      <c r="J669" s="12"/>
      <c r="K669" s="12"/>
      <c r="L669" s="12" t="str">
        <f aca="false">IF(A669="","",IF(I669="はい",IF(AND(ISNUMBER(J669),ISNUMBER(K669)),K669-J669,""),""))</f>
        <v/>
      </c>
      <c r="M669" s="9"/>
      <c r="N669" s="11"/>
      <c r="O669" s="13"/>
    </row>
    <row r="670" customFormat="false" ht="15.75" hidden="false" customHeight="false" outlineLevel="0" collapsed="false">
      <c r="A670" s="10"/>
      <c r="B670" s="11"/>
      <c r="C670" s="11"/>
      <c r="D670" s="9"/>
      <c r="E670" s="9"/>
      <c r="F670" s="11"/>
      <c r="G670" s="11"/>
      <c r="H670" s="9"/>
      <c r="I670" s="9"/>
      <c r="J670" s="12"/>
      <c r="K670" s="12"/>
      <c r="L670" s="12" t="str">
        <f aca="false">IF(A670="","",IF(I670="はい",IF(AND(ISNUMBER(J670),ISNUMBER(K670)),K670-J670,""),""))</f>
        <v/>
      </c>
      <c r="M670" s="9"/>
      <c r="N670" s="11"/>
      <c r="O670" s="13"/>
    </row>
    <row r="671" customFormat="false" ht="15.75" hidden="false" customHeight="false" outlineLevel="0" collapsed="false">
      <c r="A671" s="10"/>
      <c r="B671" s="11"/>
      <c r="C671" s="11"/>
      <c r="D671" s="9"/>
      <c r="E671" s="9"/>
      <c r="F671" s="11"/>
      <c r="G671" s="11"/>
      <c r="H671" s="9"/>
      <c r="I671" s="9"/>
      <c r="J671" s="12"/>
      <c r="K671" s="12"/>
      <c r="L671" s="12" t="str">
        <f aca="false">IF(A671="","",IF(I671="はい",IF(AND(ISNUMBER(J671),ISNUMBER(K671)),K671-J671,""),""))</f>
        <v/>
      </c>
      <c r="M671" s="9"/>
      <c r="N671" s="11"/>
      <c r="O671" s="13"/>
    </row>
    <row r="672" customFormat="false" ht="15.75" hidden="false" customHeight="false" outlineLevel="0" collapsed="false">
      <c r="A672" s="10"/>
      <c r="B672" s="11"/>
      <c r="C672" s="11"/>
      <c r="D672" s="9"/>
      <c r="E672" s="9"/>
      <c r="F672" s="11"/>
      <c r="G672" s="11"/>
      <c r="H672" s="9"/>
      <c r="I672" s="9"/>
      <c r="J672" s="12"/>
      <c r="K672" s="12"/>
      <c r="L672" s="12" t="str">
        <f aca="false">IF(A672="","",IF(I672="はい",IF(AND(ISNUMBER(J672),ISNUMBER(K672)),K672-J672,""),""))</f>
        <v/>
      </c>
      <c r="M672" s="9"/>
      <c r="N672" s="11"/>
      <c r="O672" s="13"/>
    </row>
    <row r="673" customFormat="false" ht="15.75" hidden="false" customHeight="false" outlineLevel="0" collapsed="false">
      <c r="A673" s="10"/>
      <c r="B673" s="11"/>
      <c r="C673" s="11"/>
      <c r="D673" s="9"/>
      <c r="E673" s="9"/>
      <c r="F673" s="11"/>
      <c r="G673" s="11"/>
      <c r="H673" s="9"/>
      <c r="I673" s="9"/>
      <c r="J673" s="12"/>
      <c r="K673" s="12"/>
      <c r="L673" s="12" t="str">
        <f aca="false">IF(A673="","",IF(I673="はい",IF(AND(ISNUMBER(J673),ISNUMBER(K673)),K673-J673,""),""))</f>
        <v/>
      </c>
      <c r="M673" s="9"/>
      <c r="N673" s="11"/>
      <c r="O673" s="13"/>
    </row>
    <row r="674" customFormat="false" ht="15.75" hidden="false" customHeight="false" outlineLevel="0" collapsed="false">
      <c r="A674" s="10"/>
      <c r="B674" s="11"/>
      <c r="C674" s="11"/>
      <c r="D674" s="9"/>
      <c r="E674" s="9"/>
      <c r="F674" s="11"/>
      <c r="G674" s="11"/>
      <c r="H674" s="9"/>
      <c r="I674" s="9"/>
      <c r="J674" s="12"/>
      <c r="K674" s="12"/>
      <c r="L674" s="12" t="str">
        <f aca="false">IF(A674="","",IF(I674="はい",IF(AND(ISNUMBER(J674),ISNUMBER(K674)),K674-J674,""),""))</f>
        <v/>
      </c>
      <c r="M674" s="9"/>
      <c r="N674" s="11"/>
      <c r="O674" s="13"/>
    </row>
    <row r="675" customFormat="false" ht="15.75" hidden="false" customHeight="false" outlineLevel="0" collapsed="false">
      <c r="A675" s="10"/>
      <c r="B675" s="11"/>
      <c r="C675" s="11"/>
      <c r="D675" s="9"/>
      <c r="E675" s="9"/>
      <c r="F675" s="11"/>
      <c r="G675" s="11"/>
      <c r="H675" s="9"/>
      <c r="I675" s="9"/>
      <c r="J675" s="12"/>
      <c r="K675" s="12"/>
      <c r="L675" s="12" t="str">
        <f aca="false">IF(A675="","",IF(I675="はい",IF(AND(ISNUMBER(J675),ISNUMBER(K675)),K675-J675,""),""))</f>
        <v/>
      </c>
      <c r="M675" s="9"/>
      <c r="N675" s="11"/>
      <c r="O675" s="13"/>
    </row>
    <row r="676" customFormat="false" ht="15.75" hidden="false" customHeight="false" outlineLevel="0" collapsed="false">
      <c r="A676" s="10"/>
      <c r="B676" s="11"/>
      <c r="C676" s="11"/>
      <c r="D676" s="9"/>
      <c r="E676" s="9"/>
      <c r="F676" s="11"/>
      <c r="G676" s="11"/>
      <c r="H676" s="9"/>
      <c r="I676" s="9"/>
      <c r="J676" s="12"/>
      <c r="K676" s="12"/>
      <c r="L676" s="12" t="str">
        <f aca="false">IF(A676="","",IF(I676="はい",IF(AND(ISNUMBER(J676),ISNUMBER(K676)),K676-J676,""),""))</f>
        <v/>
      </c>
      <c r="M676" s="9"/>
      <c r="N676" s="11"/>
      <c r="O676" s="13"/>
    </row>
    <row r="677" customFormat="false" ht="15.75" hidden="false" customHeight="false" outlineLevel="0" collapsed="false">
      <c r="A677" s="10"/>
      <c r="B677" s="11"/>
      <c r="C677" s="11"/>
      <c r="D677" s="9"/>
      <c r="E677" s="9"/>
      <c r="F677" s="11"/>
      <c r="G677" s="11"/>
      <c r="H677" s="9"/>
      <c r="I677" s="9"/>
      <c r="J677" s="12"/>
      <c r="K677" s="12"/>
      <c r="L677" s="12" t="str">
        <f aca="false">IF(A677="","",IF(I677="はい",IF(AND(ISNUMBER(J677),ISNUMBER(K677)),K677-J677,""),""))</f>
        <v/>
      </c>
      <c r="M677" s="9"/>
      <c r="N677" s="11"/>
      <c r="O677" s="13"/>
    </row>
    <row r="678" customFormat="false" ht="15.75" hidden="false" customHeight="false" outlineLevel="0" collapsed="false">
      <c r="A678" s="10"/>
      <c r="B678" s="11"/>
      <c r="C678" s="11"/>
      <c r="D678" s="9"/>
      <c r="E678" s="9"/>
      <c r="F678" s="11"/>
      <c r="G678" s="11"/>
      <c r="H678" s="9"/>
      <c r="I678" s="9"/>
      <c r="J678" s="12"/>
      <c r="K678" s="12"/>
      <c r="L678" s="12" t="str">
        <f aca="false">IF(A678="","",IF(I678="はい",IF(AND(ISNUMBER(J678),ISNUMBER(K678)),K678-J678,""),""))</f>
        <v/>
      </c>
      <c r="M678" s="9"/>
      <c r="N678" s="11"/>
      <c r="O678" s="13"/>
    </row>
    <row r="679" customFormat="false" ht="15.75" hidden="false" customHeight="false" outlineLevel="0" collapsed="false">
      <c r="A679" s="10"/>
      <c r="B679" s="11"/>
      <c r="C679" s="11"/>
      <c r="D679" s="9"/>
      <c r="E679" s="9"/>
      <c r="F679" s="11"/>
      <c r="G679" s="11"/>
      <c r="H679" s="9"/>
      <c r="I679" s="9"/>
      <c r="J679" s="12"/>
      <c r="K679" s="12"/>
      <c r="L679" s="12" t="str">
        <f aca="false">IF(A679="","",IF(I679="はい",IF(AND(ISNUMBER(J679),ISNUMBER(K679)),K679-J679,""),""))</f>
        <v/>
      </c>
      <c r="M679" s="9"/>
      <c r="N679" s="11"/>
      <c r="O679" s="13"/>
    </row>
    <row r="680" customFormat="false" ht="15.75" hidden="false" customHeight="false" outlineLevel="0" collapsed="false">
      <c r="A680" s="10"/>
      <c r="B680" s="11"/>
      <c r="C680" s="11"/>
      <c r="D680" s="9"/>
      <c r="E680" s="9"/>
      <c r="F680" s="11"/>
      <c r="G680" s="11"/>
      <c r="H680" s="9"/>
      <c r="I680" s="9"/>
      <c r="J680" s="12"/>
      <c r="K680" s="12"/>
      <c r="L680" s="12" t="str">
        <f aca="false">IF(A680="","",IF(I680="はい",IF(AND(ISNUMBER(J680),ISNUMBER(K680)),K680-J680,""),""))</f>
        <v/>
      </c>
      <c r="M680" s="9"/>
      <c r="N680" s="11"/>
      <c r="O680" s="13"/>
    </row>
    <row r="681" customFormat="false" ht="15.75" hidden="false" customHeight="false" outlineLevel="0" collapsed="false">
      <c r="A681" s="10"/>
      <c r="B681" s="11"/>
      <c r="C681" s="11"/>
      <c r="D681" s="9"/>
      <c r="E681" s="9"/>
      <c r="F681" s="11"/>
      <c r="G681" s="11"/>
      <c r="H681" s="9"/>
      <c r="I681" s="9"/>
      <c r="J681" s="12"/>
      <c r="K681" s="12"/>
      <c r="L681" s="12" t="str">
        <f aca="false">IF(A681="","",IF(I681="はい",IF(AND(ISNUMBER(J681),ISNUMBER(K681)),K681-J681,""),""))</f>
        <v/>
      </c>
      <c r="M681" s="9"/>
      <c r="N681" s="11"/>
      <c r="O681" s="13"/>
    </row>
    <row r="682" customFormat="false" ht="15.75" hidden="false" customHeight="false" outlineLevel="0" collapsed="false">
      <c r="A682" s="10"/>
      <c r="B682" s="11"/>
      <c r="C682" s="11"/>
      <c r="D682" s="9"/>
      <c r="E682" s="9"/>
      <c r="F682" s="11"/>
      <c r="G682" s="11"/>
      <c r="H682" s="9"/>
      <c r="I682" s="9"/>
      <c r="J682" s="12"/>
      <c r="K682" s="12"/>
      <c r="L682" s="12" t="str">
        <f aca="false">IF(A682="","",IF(I682="はい",IF(AND(ISNUMBER(J682),ISNUMBER(K682)),K682-J682,""),""))</f>
        <v/>
      </c>
      <c r="M682" s="9"/>
      <c r="N682" s="11"/>
      <c r="O682" s="13"/>
    </row>
    <row r="683" customFormat="false" ht="15.75" hidden="false" customHeight="false" outlineLevel="0" collapsed="false">
      <c r="A683" s="10"/>
      <c r="B683" s="11"/>
      <c r="C683" s="11"/>
      <c r="D683" s="9"/>
      <c r="E683" s="9"/>
      <c r="F683" s="11"/>
      <c r="G683" s="11"/>
      <c r="H683" s="9"/>
      <c r="I683" s="9"/>
      <c r="J683" s="12"/>
      <c r="K683" s="12"/>
      <c r="L683" s="12" t="str">
        <f aca="false">IF(A683="","",IF(I683="はい",IF(AND(ISNUMBER(J683),ISNUMBER(K683)),K683-J683,""),""))</f>
        <v/>
      </c>
      <c r="M683" s="9"/>
      <c r="N683" s="11"/>
      <c r="O683" s="13"/>
    </row>
    <row r="684" customFormat="false" ht="15.75" hidden="false" customHeight="false" outlineLevel="0" collapsed="false">
      <c r="A684" s="10"/>
      <c r="B684" s="11"/>
      <c r="C684" s="11"/>
      <c r="D684" s="9"/>
      <c r="E684" s="9"/>
      <c r="F684" s="11"/>
      <c r="G684" s="11"/>
      <c r="H684" s="9"/>
      <c r="I684" s="9"/>
      <c r="J684" s="12"/>
      <c r="K684" s="12"/>
      <c r="L684" s="12" t="str">
        <f aca="false">IF(A684="","",IF(I684="はい",IF(AND(ISNUMBER(J684),ISNUMBER(K684)),K684-J684,""),""))</f>
        <v/>
      </c>
      <c r="M684" s="9"/>
      <c r="N684" s="11"/>
      <c r="O684" s="13"/>
    </row>
    <row r="685" customFormat="false" ht="15.75" hidden="false" customHeight="false" outlineLevel="0" collapsed="false">
      <c r="A685" s="10"/>
      <c r="B685" s="11"/>
      <c r="C685" s="11"/>
      <c r="D685" s="9"/>
      <c r="E685" s="9"/>
      <c r="F685" s="11"/>
      <c r="G685" s="11"/>
      <c r="H685" s="9"/>
      <c r="I685" s="9"/>
      <c r="J685" s="12"/>
      <c r="K685" s="12"/>
      <c r="L685" s="12" t="str">
        <f aca="false">IF(A685="","",IF(I685="はい",IF(AND(ISNUMBER(J685),ISNUMBER(K685)),K685-J685,""),""))</f>
        <v/>
      </c>
      <c r="M685" s="9"/>
      <c r="N685" s="11"/>
      <c r="O685" s="13"/>
    </row>
    <row r="686" customFormat="false" ht="15.75" hidden="false" customHeight="false" outlineLevel="0" collapsed="false">
      <c r="A686" s="10"/>
      <c r="B686" s="11"/>
      <c r="C686" s="11"/>
      <c r="D686" s="9"/>
      <c r="E686" s="9"/>
      <c r="F686" s="11"/>
      <c r="G686" s="11"/>
      <c r="H686" s="9"/>
      <c r="I686" s="9"/>
      <c r="J686" s="12"/>
      <c r="K686" s="12"/>
      <c r="L686" s="12" t="str">
        <f aca="false">IF(A686="","",IF(I686="はい",IF(AND(ISNUMBER(J686),ISNUMBER(K686)),K686-J686,""),""))</f>
        <v/>
      </c>
      <c r="M686" s="9"/>
      <c r="N686" s="11"/>
      <c r="O686" s="13"/>
    </row>
    <row r="687" customFormat="false" ht="15.75" hidden="false" customHeight="false" outlineLevel="0" collapsed="false">
      <c r="A687" s="10"/>
      <c r="B687" s="11"/>
      <c r="C687" s="11"/>
      <c r="D687" s="9"/>
      <c r="E687" s="9"/>
      <c r="F687" s="11"/>
      <c r="G687" s="11"/>
      <c r="H687" s="9"/>
      <c r="I687" s="9"/>
      <c r="J687" s="12"/>
      <c r="K687" s="12"/>
      <c r="L687" s="12" t="str">
        <f aca="false">IF(A687="","",IF(I687="はい",IF(AND(ISNUMBER(J687),ISNUMBER(K687)),K687-J687,""),""))</f>
        <v/>
      </c>
      <c r="M687" s="9"/>
      <c r="N687" s="11"/>
      <c r="O687" s="13"/>
    </row>
    <row r="688" customFormat="false" ht="15.75" hidden="false" customHeight="false" outlineLevel="0" collapsed="false">
      <c r="A688" s="10"/>
      <c r="B688" s="11"/>
      <c r="C688" s="11"/>
      <c r="D688" s="9"/>
      <c r="E688" s="9"/>
      <c r="F688" s="11"/>
      <c r="G688" s="11"/>
      <c r="H688" s="9"/>
      <c r="I688" s="9"/>
      <c r="J688" s="12"/>
      <c r="K688" s="12"/>
      <c r="L688" s="12" t="str">
        <f aca="false">IF(A688="","",IF(I688="はい",IF(AND(ISNUMBER(J688),ISNUMBER(K688)),K688-J688,""),""))</f>
        <v/>
      </c>
      <c r="M688" s="9"/>
      <c r="N688" s="11"/>
      <c r="O688" s="13"/>
    </row>
    <row r="689" customFormat="false" ht="15.75" hidden="false" customHeight="false" outlineLevel="0" collapsed="false">
      <c r="A689" s="10"/>
      <c r="B689" s="11"/>
      <c r="C689" s="11"/>
      <c r="D689" s="9"/>
      <c r="E689" s="9"/>
      <c r="F689" s="11"/>
      <c r="G689" s="11"/>
      <c r="H689" s="9"/>
      <c r="I689" s="9"/>
      <c r="J689" s="12"/>
      <c r="K689" s="12"/>
      <c r="L689" s="12" t="str">
        <f aca="false">IF(A689="","",IF(I689="はい",IF(AND(ISNUMBER(J689),ISNUMBER(K689)),K689-J689,""),""))</f>
        <v/>
      </c>
      <c r="M689" s="9"/>
      <c r="N689" s="11"/>
      <c r="O689" s="13"/>
    </row>
    <row r="690" customFormat="false" ht="15.75" hidden="false" customHeight="false" outlineLevel="0" collapsed="false">
      <c r="A690" s="10"/>
      <c r="B690" s="11"/>
      <c r="C690" s="11"/>
      <c r="D690" s="9"/>
      <c r="E690" s="9"/>
      <c r="F690" s="11"/>
      <c r="G690" s="11"/>
      <c r="H690" s="9"/>
      <c r="I690" s="9"/>
      <c r="J690" s="12"/>
      <c r="K690" s="12"/>
      <c r="L690" s="12" t="str">
        <f aca="false">IF(A690="","",IF(I690="はい",IF(AND(ISNUMBER(J690),ISNUMBER(K690)),K690-J690,""),""))</f>
        <v/>
      </c>
      <c r="M690" s="9"/>
      <c r="N690" s="11"/>
      <c r="O690" s="13"/>
    </row>
    <row r="691" customFormat="false" ht="15.75" hidden="false" customHeight="false" outlineLevel="0" collapsed="false">
      <c r="A691" s="10"/>
      <c r="B691" s="11"/>
      <c r="C691" s="11"/>
      <c r="D691" s="9"/>
      <c r="E691" s="9"/>
      <c r="F691" s="11"/>
      <c r="G691" s="11"/>
      <c r="H691" s="9"/>
      <c r="I691" s="9"/>
      <c r="J691" s="12"/>
      <c r="K691" s="12"/>
      <c r="L691" s="12" t="str">
        <f aca="false">IF(A691="","",IF(I691="はい",IF(AND(ISNUMBER(J691),ISNUMBER(K691)),K691-J691,""),""))</f>
        <v/>
      </c>
      <c r="M691" s="9"/>
      <c r="N691" s="11"/>
      <c r="O691" s="13"/>
    </row>
    <row r="692" customFormat="false" ht="15.75" hidden="false" customHeight="false" outlineLevel="0" collapsed="false">
      <c r="A692" s="10"/>
      <c r="B692" s="11"/>
      <c r="C692" s="11"/>
      <c r="D692" s="9"/>
      <c r="E692" s="9"/>
      <c r="F692" s="11"/>
      <c r="G692" s="11"/>
      <c r="H692" s="9"/>
      <c r="I692" s="9"/>
      <c r="J692" s="12"/>
      <c r="K692" s="12"/>
      <c r="L692" s="12" t="str">
        <f aca="false">IF(A692="","",IF(I692="はい",IF(AND(ISNUMBER(J692),ISNUMBER(K692)),K692-J692,""),""))</f>
        <v/>
      </c>
      <c r="M692" s="9"/>
      <c r="N692" s="11"/>
      <c r="O692" s="13"/>
    </row>
    <row r="693" customFormat="false" ht="15.75" hidden="false" customHeight="false" outlineLevel="0" collapsed="false">
      <c r="A693" s="10"/>
      <c r="B693" s="11"/>
      <c r="C693" s="11"/>
      <c r="D693" s="9"/>
      <c r="E693" s="9"/>
      <c r="F693" s="11"/>
      <c r="G693" s="11"/>
      <c r="H693" s="9"/>
      <c r="I693" s="9"/>
      <c r="J693" s="12"/>
      <c r="K693" s="12"/>
      <c r="L693" s="12" t="str">
        <f aca="false">IF(A693="","",IF(I693="はい",IF(AND(ISNUMBER(J693),ISNUMBER(K693)),K693-J693,""),""))</f>
        <v/>
      </c>
      <c r="M693" s="9"/>
      <c r="N693" s="11"/>
      <c r="O693" s="13"/>
    </row>
    <row r="694" customFormat="false" ht="15.75" hidden="false" customHeight="false" outlineLevel="0" collapsed="false">
      <c r="A694" s="10"/>
      <c r="B694" s="11"/>
      <c r="C694" s="11"/>
      <c r="D694" s="9"/>
      <c r="E694" s="9"/>
      <c r="F694" s="11"/>
      <c r="G694" s="11"/>
      <c r="H694" s="9"/>
      <c r="I694" s="9"/>
      <c r="J694" s="12"/>
      <c r="K694" s="12"/>
      <c r="L694" s="12" t="str">
        <f aca="false">IF(A694="","",IF(I694="はい",IF(AND(ISNUMBER(J694),ISNUMBER(K694)),K694-J694,""),""))</f>
        <v/>
      </c>
      <c r="M694" s="9"/>
      <c r="N694" s="11"/>
      <c r="O694" s="13"/>
    </row>
    <row r="695" customFormat="false" ht="15.75" hidden="false" customHeight="false" outlineLevel="0" collapsed="false">
      <c r="A695" s="10"/>
      <c r="B695" s="11"/>
      <c r="C695" s="11"/>
      <c r="D695" s="9"/>
      <c r="E695" s="9"/>
      <c r="F695" s="11"/>
      <c r="G695" s="11"/>
      <c r="H695" s="9"/>
      <c r="I695" s="9"/>
      <c r="J695" s="12"/>
      <c r="K695" s="12"/>
      <c r="L695" s="12" t="str">
        <f aca="false">IF(A695="","",IF(I695="はい",IF(AND(ISNUMBER(J695),ISNUMBER(K695)),K695-J695,""),""))</f>
        <v/>
      </c>
      <c r="M695" s="9"/>
      <c r="N695" s="11"/>
      <c r="O695" s="13"/>
    </row>
    <row r="696" customFormat="false" ht="15.75" hidden="false" customHeight="false" outlineLevel="0" collapsed="false">
      <c r="A696" s="10"/>
      <c r="B696" s="11"/>
      <c r="C696" s="11"/>
      <c r="D696" s="9"/>
      <c r="E696" s="9"/>
      <c r="F696" s="11"/>
      <c r="G696" s="11"/>
      <c r="H696" s="9"/>
      <c r="I696" s="9"/>
      <c r="J696" s="12"/>
      <c r="K696" s="12"/>
      <c r="L696" s="12" t="str">
        <f aca="false">IF(A696="","",IF(I696="はい",IF(AND(ISNUMBER(J696),ISNUMBER(K696)),K696-J696,""),""))</f>
        <v/>
      </c>
      <c r="M696" s="9"/>
      <c r="N696" s="11"/>
      <c r="O696" s="13"/>
    </row>
    <row r="697" customFormat="false" ht="15.75" hidden="false" customHeight="false" outlineLevel="0" collapsed="false">
      <c r="A697" s="10"/>
      <c r="B697" s="11"/>
      <c r="C697" s="11"/>
      <c r="D697" s="9"/>
      <c r="E697" s="9"/>
      <c r="F697" s="11"/>
      <c r="G697" s="11"/>
      <c r="H697" s="9"/>
      <c r="I697" s="9"/>
      <c r="J697" s="12"/>
      <c r="K697" s="12"/>
      <c r="L697" s="12" t="str">
        <f aca="false">IF(A697="","",IF(I697="はい",IF(AND(ISNUMBER(J697),ISNUMBER(K697)),K697-J697,""),""))</f>
        <v/>
      </c>
      <c r="M697" s="9"/>
      <c r="N697" s="11"/>
      <c r="O697" s="13"/>
    </row>
    <row r="698" customFormat="false" ht="15.75" hidden="false" customHeight="false" outlineLevel="0" collapsed="false">
      <c r="A698" s="10"/>
      <c r="B698" s="11"/>
      <c r="C698" s="11"/>
      <c r="D698" s="9"/>
      <c r="E698" s="9"/>
      <c r="F698" s="11"/>
      <c r="G698" s="11"/>
      <c r="H698" s="9"/>
      <c r="I698" s="9"/>
      <c r="J698" s="12"/>
      <c r="K698" s="12"/>
      <c r="L698" s="12" t="str">
        <f aca="false">IF(A698="","",IF(I698="はい",IF(AND(ISNUMBER(J698),ISNUMBER(K698)),K698-J698,""),""))</f>
        <v/>
      </c>
      <c r="M698" s="9"/>
      <c r="N698" s="11"/>
      <c r="O698" s="13"/>
    </row>
    <row r="699" customFormat="false" ht="15.75" hidden="false" customHeight="false" outlineLevel="0" collapsed="false">
      <c r="A699" s="10"/>
      <c r="B699" s="11"/>
      <c r="C699" s="11"/>
      <c r="D699" s="9"/>
      <c r="E699" s="9"/>
      <c r="F699" s="11"/>
      <c r="G699" s="11"/>
      <c r="H699" s="9"/>
      <c r="I699" s="9"/>
      <c r="J699" s="12"/>
      <c r="K699" s="12"/>
      <c r="L699" s="12" t="str">
        <f aca="false">IF(A699="","",IF(I699="はい",IF(AND(ISNUMBER(J699),ISNUMBER(K699)),K699-J699,""),""))</f>
        <v/>
      </c>
      <c r="M699" s="9"/>
      <c r="N699" s="11"/>
      <c r="O699" s="13"/>
    </row>
    <row r="700" customFormat="false" ht="15.75" hidden="false" customHeight="false" outlineLevel="0" collapsed="false">
      <c r="A700" s="10"/>
      <c r="B700" s="11"/>
      <c r="C700" s="11"/>
      <c r="D700" s="9"/>
      <c r="E700" s="9"/>
      <c r="F700" s="11"/>
      <c r="G700" s="11"/>
      <c r="H700" s="9"/>
      <c r="I700" s="9"/>
      <c r="J700" s="12"/>
      <c r="K700" s="12"/>
      <c r="L700" s="12" t="str">
        <f aca="false">IF(A700="","",IF(I700="はい",IF(AND(ISNUMBER(J700),ISNUMBER(K700)),K700-J700,""),""))</f>
        <v/>
      </c>
      <c r="M700" s="9"/>
      <c r="N700" s="11"/>
      <c r="O700" s="13"/>
    </row>
    <row r="701" customFormat="false" ht="15.75" hidden="false" customHeight="false" outlineLevel="0" collapsed="false">
      <c r="A701" s="10"/>
      <c r="B701" s="11"/>
      <c r="C701" s="11"/>
      <c r="D701" s="9"/>
      <c r="E701" s="9"/>
      <c r="F701" s="11"/>
      <c r="G701" s="11"/>
      <c r="H701" s="9"/>
      <c r="I701" s="9"/>
      <c r="J701" s="12"/>
      <c r="K701" s="12"/>
      <c r="L701" s="12" t="str">
        <f aca="false">IF(A701="","",IF(I701="はい",IF(AND(ISNUMBER(J701),ISNUMBER(K701)),K701-J701,""),""))</f>
        <v/>
      </c>
      <c r="M701" s="9"/>
      <c r="N701" s="11"/>
      <c r="O701" s="13"/>
    </row>
    <row r="702" customFormat="false" ht="15.75" hidden="false" customHeight="false" outlineLevel="0" collapsed="false">
      <c r="A702" s="10"/>
      <c r="B702" s="11"/>
      <c r="C702" s="11"/>
      <c r="D702" s="9"/>
      <c r="E702" s="9"/>
      <c r="F702" s="11"/>
      <c r="G702" s="11"/>
      <c r="H702" s="9"/>
      <c r="I702" s="9"/>
      <c r="J702" s="12"/>
      <c r="K702" s="12"/>
      <c r="L702" s="12" t="str">
        <f aca="false">IF(A702="","",IF(I702="はい",IF(AND(ISNUMBER(J702),ISNUMBER(K702)),K702-J702,""),""))</f>
        <v/>
      </c>
      <c r="M702" s="9"/>
      <c r="N702" s="11"/>
      <c r="O702" s="13"/>
    </row>
    <row r="703" customFormat="false" ht="15.75" hidden="false" customHeight="false" outlineLevel="0" collapsed="false">
      <c r="A703" s="10"/>
      <c r="B703" s="11"/>
      <c r="C703" s="11"/>
      <c r="D703" s="9"/>
      <c r="E703" s="9"/>
      <c r="F703" s="11"/>
      <c r="G703" s="11"/>
      <c r="H703" s="9"/>
      <c r="I703" s="9"/>
      <c r="J703" s="12"/>
      <c r="K703" s="12"/>
      <c r="L703" s="12" t="str">
        <f aca="false">IF(A703="","",IF(I703="はい",IF(AND(ISNUMBER(J703),ISNUMBER(K703)),K703-J703,""),""))</f>
        <v/>
      </c>
      <c r="M703" s="9"/>
      <c r="N703" s="11"/>
      <c r="O703" s="13"/>
    </row>
    <row r="704" customFormat="false" ht="15.75" hidden="false" customHeight="false" outlineLevel="0" collapsed="false">
      <c r="A704" s="10"/>
      <c r="B704" s="11"/>
      <c r="C704" s="11"/>
      <c r="D704" s="9"/>
      <c r="E704" s="9"/>
      <c r="F704" s="11"/>
      <c r="G704" s="11"/>
      <c r="H704" s="9"/>
      <c r="I704" s="9"/>
      <c r="J704" s="12"/>
      <c r="K704" s="12"/>
      <c r="L704" s="12" t="str">
        <f aca="false">IF(A704="","",IF(I704="はい",IF(AND(ISNUMBER(J704),ISNUMBER(K704)),K704-J704,""),""))</f>
        <v/>
      </c>
      <c r="M704" s="9"/>
      <c r="N704" s="11"/>
      <c r="O704" s="13"/>
    </row>
    <row r="705" customFormat="false" ht="15.75" hidden="false" customHeight="false" outlineLevel="0" collapsed="false">
      <c r="A705" s="10"/>
      <c r="B705" s="11"/>
      <c r="C705" s="11"/>
      <c r="D705" s="9"/>
      <c r="E705" s="9"/>
      <c r="F705" s="11"/>
      <c r="G705" s="11"/>
      <c r="H705" s="9"/>
      <c r="I705" s="9"/>
      <c r="J705" s="12"/>
      <c r="K705" s="12"/>
      <c r="L705" s="12" t="str">
        <f aca="false">IF(A705="","",IF(I705="はい",IF(AND(ISNUMBER(J705),ISNUMBER(K705)),K705-J705,""),""))</f>
        <v/>
      </c>
      <c r="M705" s="9"/>
      <c r="N705" s="11"/>
      <c r="O705" s="13"/>
    </row>
    <row r="706" customFormat="false" ht="15.75" hidden="false" customHeight="false" outlineLevel="0" collapsed="false">
      <c r="A706" s="10"/>
      <c r="B706" s="11"/>
      <c r="C706" s="11"/>
      <c r="D706" s="9"/>
      <c r="E706" s="9"/>
      <c r="F706" s="11"/>
      <c r="G706" s="11"/>
      <c r="H706" s="9"/>
      <c r="I706" s="9"/>
      <c r="J706" s="12"/>
      <c r="K706" s="12"/>
      <c r="L706" s="12" t="str">
        <f aca="false">IF(A706="","",IF(I706="はい",IF(AND(ISNUMBER(J706),ISNUMBER(K706)),K706-J706,""),""))</f>
        <v/>
      </c>
      <c r="M706" s="9"/>
      <c r="N706" s="11"/>
      <c r="O706" s="13"/>
    </row>
    <row r="707" customFormat="false" ht="15.75" hidden="false" customHeight="false" outlineLevel="0" collapsed="false">
      <c r="A707" s="10"/>
      <c r="B707" s="11"/>
      <c r="C707" s="11"/>
      <c r="D707" s="9"/>
      <c r="E707" s="9"/>
      <c r="F707" s="11"/>
      <c r="G707" s="11"/>
      <c r="H707" s="9"/>
      <c r="I707" s="9"/>
      <c r="J707" s="12"/>
      <c r="K707" s="12"/>
      <c r="L707" s="12" t="str">
        <f aca="false">IF(A707="","",IF(I707="はい",IF(AND(ISNUMBER(J707),ISNUMBER(K707)),K707-J707,""),""))</f>
        <v/>
      </c>
      <c r="M707" s="9"/>
      <c r="N707" s="11"/>
      <c r="O707" s="13"/>
    </row>
    <row r="708" customFormat="false" ht="15.75" hidden="false" customHeight="false" outlineLevel="0" collapsed="false">
      <c r="A708" s="10"/>
      <c r="B708" s="11"/>
      <c r="C708" s="11"/>
      <c r="D708" s="9"/>
      <c r="E708" s="9"/>
      <c r="F708" s="11"/>
      <c r="G708" s="11"/>
      <c r="H708" s="9"/>
      <c r="I708" s="9"/>
      <c r="J708" s="12"/>
      <c r="K708" s="12"/>
      <c r="L708" s="12" t="str">
        <f aca="false">IF(A708="","",IF(I708="はい",IF(AND(ISNUMBER(J708),ISNUMBER(K708)),K708-J708,""),""))</f>
        <v/>
      </c>
      <c r="M708" s="9"/>
      <c r="N708" s="11"/>
      <c r="O708" s="13"/>
    </row>
    <row r="709" customFormat="false" ht="15.75" hidden="false" customHeight="false" outlineLevel="0" collapsed="false">
      <c r="A709" s="10"/>
      <c r="B709" s="11"/>
      <c r="C709" s="11"/>
      <c r="D709" s="9"/>
      <c r="E709" s="9"/>
      <c r="F709" s="11"/>
      <c r="G709" s="11"/>
      <c r="H709" s="9"/>
      <c r="I709" s="9"/>
      <c r="J709" s="12"/>
      <c r="K709" s="12"/>
      <c r="L709" s="12" t="str">
        <f aca="false">IF(A709="","",IF(I709="はい",IF(AND(ISNUMBER(J709),ISNUMBER(K709)),K709-J709,""),""))</f>
        <v/>
      </c>
      <c r="M709" s="9"/>
      <c r="N709" s="11"/>
      <c r="O709" s="13"/>
    </row>
    <row r="710" customFormat="false" ht="15.75" hidden="false" customHeight="false" outlineLevel="0" collapsed="false">
      <c r="A710" s="10"/>
      <c r="B710" s="11"/>
      <c r="C710" s="11"/>
      <c r="D710" s="9"/>
      <c r="E710" s="9"/>
      <c r="F710" s="11"/>
      <c r="G710" s="11"/>
      <c r="H710" s="9"/>
      <c r="I710" s="9"/>
      <c r="J710" s="12"/>
      <c r="K710" s="12"/>
      <c r="L710" s="12" t="str">
        <f aca="false">IF(A710="","",IF(I710="はい",IF(AND(ISNUMBER(J710),ISNUMBER(K710)),K710-J710,""),""))</f>
        <v/>
      </c>
      <c r="M710" s="9"/>
      <c r="N710" s="11"/>
      <c r="O710" s="13"/>
    </row>
    <row r="711" customFormat="false" ht="15.75" hidden="false" customHeight="false" outlineLevel="0" collapsed="false">
      <c r="A711" s="10"/>
      <c r="B711" s="11"/>
      <c r="C711" s="11"/>
      <c r="D711" s="9"/>
      <c r="E711" s="9"/>
      <c r="F711" s="11"/>
      <c r="G711" s="11"/>
      <c r="H711" s="9"/>
      <c r="I711" s="9"/>
      <c r="J711" s="12"/>
      <c r="K711" s="12"/>
      <c r="L711" s="12" t="str">
        <f aca="false">IF(A711="","",IF(I711="はい",IF(AND(ISNUMBER(J711),ISNUMBER(K711)),K711-J711,""),""))</f>
        <v/>
      </c>
      <c r="M711" s="9"/>
      <c r="N711" s="11"/>
      <c r="O711" s="13"/>
    </row>
    <row r="712" customFormat="false" ht="15.75" hidden="false" customHeight="false" outlineLevel="0" collapsed="false">
      <c r="A712" s="10"/>
      <c r="B712" s="11"/>
      <c r="C712" s="11"/>
      <c r="D712" s="9"/>
      <c r="E712" s="9"/>
      <c r="F712" s="11"/>
      <c r="G712" s="11"/>
      <c r="H712" s="9"/>
      <c r="I712" s="9"/>
      <c r="J712" s="12"/>
      <c r="K712" s="12"/>
      <c r="L712" s="12" t="str">
        <f aca="false">IF(A712="","",IF(I712="はい",IF(AND(ISNUMBER(J712),ISNUMBER(K712)),K712-J712,""),""))</f>
        <v/>
      </c>
      <c r="M712" s="9"/>
      <c r="N712" s="11"/>
      <c r="O712" s="13"/>
    </row>
    <row r="713" customFormat="false" ht="15.75" hidden="false" customHeight="false" outlineLevel="0" collapsed="false">
      <c r="A713" s="10"/>
      <c r="B713" s="11"/>
      <c r="C713" s="11"/>
      <c r="D713" s="9"/>
      <c r="E713" s="9"/>
      <c r="F713" s="11"/>
      <c r="G713" s="11"/>
      <c r="H713" s="9"/>
      <c r="I713" s="9"/>
      <c r="J713" s="12"/>
      <c r="K713" s="12"/>
      <c r="L713" s="12" t="str">
        <f aca="false">IF(A713="","",IF(I713="はい",IF(AND(ISNUMBER(J713),ISNUMBER(K713)),K713-J713,""),""))</f>
        <v/>
      </c>
      <c r="M713" s="9"/>
      <c r="N713" s="11"/>
      <c r="O713" s="13"/>
    </row>
    <row r="714" customFormat="false" ht="15.75" hidden="false" customHeight="false" outlineLevel="0" collapsed="false">
      <c r="A714" s="10"/>
      <c r="B714" s="11"/>
      <c r="C714" s="11"/>
      <c r="D714" s="9"/>
      <c r="E714" s="9"/>
      <c r="F714" s="11"/>
      <c r="G714" s="11"/>
      <c r="H714" s="9"/>
      <c r="I714" s="9"/>
      <c r="J714" s="12"/>
      <c r="K714" s="12"/>
      <c r="L714" s="12" t="str">
        <f aca="false">IF(A714="","",IF(I714="はい",IF(AND(ISNUMBER(J714),ISNUMBER(K714)),K714-J714,""),""))</f>
        <v/>
      </c>
      <c r="M714" s="9"/>
      <c r="N714" s="11"/>
      <c r="O714" s="13"/>
    </row>
    <row r="715" customFormat="false" ht="15.75" hidden="false" customHeight="false" outlineLevel="0" collapsed="false">
      <c r="A715" s="10"/>
      <c r="B715" s="11"/>
      <c r="C715" s="11"/>
      <c r="D715" s="9"/>
      <c r="E715" s="9"/>
      <c r="F715" s="11"/>
      <c r="G715" s="11"/>
      <c r="H715" s="9"/>
      <c r="I715" s="9"/>
      <c r="J715" s="12"/>
      <c r="K715" s="12"/>
      <c r="L715" s="12" t="str">
        <f aca="false">IF(A715="","",IF(I715="はい",IF(AND(ISNUMBER(J715),ISNUMBER(K715)),K715-J715,""),""))</f>
        <v/>
      </c>
      <c r="M715" s="9"/>
      <c r="N715" s="11"/>
      <c r="O715" s="13"/>
    </row>
    <row r="716" customFormat="false" ht="15.75" hidden="false" customHeight="false" outlineLevel="0" collapsed="false">
      <c r="A716" s="10"/>
      <c r="B716" s="11"/>
      <c r="C716" s="11"/>
      <c r="D716" s="9"/>
      <c r="E716" s="9"/>
      <c r="F716" s="11"/>
      <c r="G716" s="11"/>
      <c r="H716" s="9"/>
      <c r="I716" s="9"/>
      <c r="J716" s="12"/>
      <c r="K716" s="12"/>
      <c r="L716" s="12" t="str">
        <f aca="false">IF(A716="","",IF(I716="はい",IF(AND(ISNUMBER(J716),ISNUMBER(K716)),K716-J716,""),""))</f>
        <v/>
      </c>
      <c r="M716" s="9"/>
      <c r="N716" s="11"/>
      <c r="O716" s="13"/>
    </row>
    <row r="717" customFormat="false" ht="15.75" hidden="false" customHeight="false" outlineLevel="0" collapsed="false">
      <c r="A717" s="10"/>
      <c r="B717" s="11"/>
      <c r="C717" s="11"/>
      <c r="D717" s="9"/>
      <c r="E717" s="9"/>
      <c r="F717" s="11"/>
      <c r="G717" s="11"/>
      <c r="H717" s="9"/>
      <c r="I717" s="9"/>
      <c r="J717" s="12"/>
      <c r="K717" s="12"/>
      <c r="L717" s="12" t="str">
        <f aca="false">IF(A717="","",IF(I717="はい",IF(AND(ISNUMBER(J717),ISNUMBER(K717)),K717-J717,""),""))</f>
        <v/>
      </c>
      <c r="M717" s="9"/>
      <c r="N717" s="11"/>
      <c r="O717" s="13"/>
    </row>
    <row r="718" customFormat="false" ht="15.75" hidden="false" customHeight="false" outlineLevel="0" collapsed="false">
      <c r="A718" s="10"/>
      <c r="B718" s="11"/>
      <c r="C718" s="11"/>
      <c r="D718" s="9"/>
      <c r="E718" s="9"/>
      <c r="F718" s="11"/>
      <c r="G718" s="11"/>
      <c r="H718" s="9"/>
      <c r="I718" s="9"/>
      <c r="J718" s="12"/>
      <c r="K718" s="12"/>
      <c r="L718" s="12" t="str">
        <f aca="false">IF(A718="","",IF(I718="はい",IF(AND(ISNUMBER(J718),ISNUMBER(K718)),K718-J718,""),""))</f>
        <v/>
      </c>
      <c r="M718" s="9"/>
      <c r="N718" s="11"/>
      <c r="O718" s="13"/>
    </row>
    <row r="719" customFormat="false" ht="15.75" hidden="false" customHeight="false" outlineLevel="0" collapsed="false">
      <c r="A719" s="10"/>
      <c r="B719" s="11"/>
      <c r="C719" s="11"/>
      <c r="D719" s="9"/>
      <c r="E719" s="9"/>
      <c r="F719" s="11"/>
      <c r="G719" s="11"/>
      <c r="H719" s="9"/>
      <c r="I719" s="9"/>
      <c r="J719" s="12"/>
      <c r="K719" s="12"/>
      <c r="L719" s="12" t="str">
        <f aca="false">IF(A719="","",IF(I719="はい",IF(AND(ISNUMBER(J719),ISNUMBER(K719)),K719-J719,""),""))</f>
        <v/>
      </c>
      <c r="M719" s="9"/>
      <c r="N719" s="11"/>
      <c r="O719" s="13"/>
    </row>
    <row r="720" customFormat="false" ht="15.75" hidden="false" customHeight="false" outlineLevel="0" collapsed="false">
      <c r="A720" s="10"/>
      <c r="B720" s="11"/>
      <c r="C720" s="11"/>
      <c r="D720" s="9"/>
      <c r="E720" s="9"/>
      <c r="F720" s="11"/>
      <c r="G720" s="11"/>
      <c r="H720" s="9"/>
      <c r="I720" s="9"/>
      <c r="J720" s="12"/>
      <c r="K720" s="12"/>
      <c r="L720" s="12" t="str">
        <f aca="false">IF(A720="","",IF(I720="はい",IF(AND(ISNUMBER(J720),ISNUMBER(K720)),K720-J720,""),""))</f>
        <v/>
      </c>
      <c r="M720" s="9"/>
      <c r="N720" s="11"/>
      <c r="O720" s="13"/>
    </row>
    <row r="721" customFormat="false" ht="15.75" hidden="false" customHeight="false" outlineLevel="0" collapsed="false">
      <c r="A721" s="10"/>
      <c r="B721" s="11"/>
      <c r="C721" s="11"/>
      <c r="D721" s="9"/>
      <c r="E721" s="9"/>
      <c r="F721" s="11"/>
      <c r="G721" s="11"/>
      <c r="H721" s="9"/>
      <c r="I721" s="9"/>
      <c r="J721" s="12"/>
      <c r="K721" s="12"/>
      <c r="L721" s="12" t="str">
        <f aca="false">IF(A721="","",IF(I721="はい",IF(AND(ISNUMBER(J721),ISNUMBER(K721)),K721-J721,""),""))</f>
        <v/>
      </c>
      <c r="M721" s="9"/>
      <c r="N721" s="11"/>
      <c r="O721" s="13"/>
    </row>
    <row r="722" customFormat="false" ht="15.75" hidden="false" customHeight="false" outlineLevel="0" collapsed="false">
      <c r="A722" s="10"/>
      <c r="B722" s="11"/>
      <c r="C722" s="11"/>
      <c r="D722" s="9"/>
      <c r="E722" s="9"/>
      <c r="F722" s="11"/>
      <c r="G722" s="11"/>
      <c r="H722" s="9"/>
      <c r="I722" s="9"/>
      <c r="J722" s="12"/>
      <c r="K722" s="12"/>
      <c r="L722" s="12" t="str">
        <f aca="false">IF(A722="","",IF(I722="はい",IF(AND(ISNUMBER(J722),ISNUMBER(K722)),K722-J722,""),""))</f>
        <v/>
      </c>
      <c r="M722" s="9"/>
      <c r="N722" s="11"/>
      <c r="O722" s="13"/>
    </row>
    <row r="723" customFormat="false" ht="15.75" hidden="false" customHeight="false" outlineLevel="0" collapsed="false">
      <c r="A723" s="10"/>
      <c r="B723" s="11"/>
      <c r="C723" s="11"/>
      <c r="D723" s="9"/>
      <c r="E723" s="9"/>
      <c r="F723" s="11"/>
      <c r="G723" s="11"/>
      <c r="H723" s="9"/>
      <c r="I723" s="9"/>
      <c r="J723" s="12"/>
      <c r="K723" s="12"/>
      <c r="L723" s="12" t="str">
        <f aca="false">IF(A723="","",IF(I723="はい",IF(AND(ISNUMBER(J723),ISNUMBER(K723)),K723-J723,""),""))</f>
        <v/>
      </c>
      <c r="M723" s="9"/>
      <c r="N723" s="11"/>
      <c r="O723" s="13"/>
    </row>
    <row r="724" customFormat="false" ht="15.75" hidden="false" customHeight="false" outlineLevel="0" collapsed="false">
      <c r="A724" s="10"/>
      <c r="B724" s="11"/>
      <c r="C724" s="11"/>
      <c r="D724" s="9"/>
      <c r="E724" s="9"/>
      <c r="F724" s="11"/>
      <c r="G724" s="11"/>
      <c r="H724" s="9"/>
      <c r="I724" s="9"/>
      <c r="J724" s="12"/>
      <c r="K724" s="12"/>
      <c r="L724" s="12" t="str">
        <f aca="false">IF(A724="","",IF(I724="はい",IF(AND(ISNUMBER(J724),ISNUMBER(K724)),K724-J724,""),""))</f>
        <v/>
      </c>
      <c r="M724" s="9"/>
      <c r="N724" s="11"/>
      <c r="O724" s="13"/>
    </row>
    <row r="725" customFormat="false" ht="15.75" hidden="false" customHeight="false" outlineLevel="0" collapsed="false">
      <c r="A725" s="10"/>
      <c r="B725" s="11"/>
      <c r="C725" s="11"/>
      <c r="D725" s="9"/>
      <c r="E725" s="9"/>
      <c r="F725" s="11"/>
      <c r="G725" s="11"/>
      <c r="H725" s="9"/>
      <c r="I725" s="9"/>
      <c r="J725" s="12"/>
      <c r="K725" s="12"/>
      <c r="L725" s="12" t="str">
        <f aca="false">IF(A725="","",IF(I725="はい",IF(AND(ISNUMBER(J725),ISNUMBER(K725)),K725-J725,""),""))</f>
        <v/>
      </c>
      <c r="M725" s="9"/>
      <c r="N725" s="11"/>
      <c r="O725" s="13"/>
    </row>
    <row r="726" customFormat="false" ht="15.75" hidden="false" customHeight="false" outlineLevel="0" collapsed="false">
      <c r="A726" s="10"/>
      <c r="B726" s="11"/>
      <c r="C726" s="11"/>
      <c r="D726" s="9"/>
      <c r="E726" s="9"/>
      <c r="F726" s="11"/>
      <c r="G726" s="11"/>
      <c r="H726" s="9"/>
      <c r="I726" s="9"/>
      <c r="J726" s="12"/>
      <c r="K726" s="12"/>
      <c r="L726" s="12" t="str">
        <f aca="false">IF(A726="","",IF(I726="はい",IF(AND(ISNUMBER(J726),ISNUMBER(K726)),K726-J726,""),""))</f>
        <v/>
      </c>
      <c r="M726" s="9"/>
      <c r="N726" s="11"/>
      <c r="O726" s="13"/>
    </row>
    <row r="727" customFormat="false" ht="15.75" hidden="false" customHeight="false" outlineLevel="0" collapsed="false">
      <c r="A727" s="10"/>
      <c r="B727" s="11"/>
      <c r="C727" s="11"/>
      <c r="D727" s="9"/>
      <c r="E727" s="9"/>
      <c r="F727" s="11"/>
      <c r="G727" s="11"/>
      <c r="H727" s="9"/>
      <c r="I727" s="9"/>
      <c r="J727" s="12"/>
      <c r="K727" s="12"/>
      <c r="L727" s="12" t="str">
        <f aca="false">IF(A727="","",IF(I727="はい",IF(AND(ISNUMBER(J727),ISNUMBER(K727)),K727-J727,""),""))</f>
        <v/>
      </c>
      <c r="M727" s="9"/>
      <c r="N727" s="11"/>
      <c r="O727" s="13"/>
    </row>
    <row r="728" customFormat="false" ht="15.75" hidden="false" customHeight="false" outlineLevel="0" collapsed="false">
      <c r="A728" s="10"/>
      <c r="B728" s="11"/>
      <c r="C728" s="11"/>
      <c r="D728" s="9"/>
      <c r="E728" s="9"/>
      <c r="F728" s="11"/>
      <c r="G728" s="11"/>
      <c r="H728" s="9"/>
      <c r="I728" s="9"/>
      <c r="J728" s="12"/>
      <c r="K728" s="12"/>
      <c r="L728" s="12" t="str">
        <f aca="false">IF(A728="","",IF(I728="はい",IF(AND(ISNUMBER(J728),ISNUMBER(K728)),K728-J728,""),""))</f>
        <v/>
      </c>
      <c r="M728" s="9"/>
      <c r="N728" s="11"/>
      <c r="O728" s="13"/>
    </row>
    <row r="729" customFormat="false" ht="15.75" hidden="false" customHeight="false" outlineLevel="0" collapsed="false">
      <c r="A729" s="10"/>
      <c r="B729" s="11"/>
      <c r="C729" s="11"/>
      <c r="D729" s="9"/>
      <c r="E729" s="9"/>
      <c r="F729" s="11"/>
      <c r="G729" s="11"/>
      <c r="H729" s="9"/>
      <c r="I729" s="9"/>
      <c r="J729" s="12"/>
      <c r="K729" s="12"/>
      <c r="L729" s="12" t="str">
        <f aca="false">IF(A729="","",IF(I729="はい",IF(AND(ISNUMBER(J729),ISNUMBER(K729)),K729-J729,""),""))</f>
        <v/>
      </c>
      <c r="M729" s="9"/>
      <c r="N729" s="11"/>
      <c r="O729" s="13"/>
    </row>
    <row r="730" customFormat="false" ht="15.75" hidden="false" customHeight="false" outlineLevel="0" collapsed="false">
      <c r="A730" s="10"/>
      <c r="B730" s="11"/>
      <c r="C730" s="11"/>
      <c r="D730" s="9"/>
      <c r="E730" s="9"/>
      <c r="F730" s="11"/>
      <c r="G730" s="11"/>
      <c r="H730" s="9"/>
      <c r="I730" s="9"/>
      <c r="J730" s="12"/>
      <c r="K730" s="12"/>
      <c r="L730" s="12" t="str">
        <f aca="false">IF(A730="","",IF(I730="はい",IF(AND(ISNUMBER(J730),ISNUMBER(K730)),K730-J730,""),""))</f>
        <v/>
      </c>
      <c r="M730" s="9"/>
      <c r="N730" s="11"/>
      <c r="O730" s="13"/>
    </row>
    <row r="731" customFormat="false" ht="15.75" hidden="false" customHeight="false" outlineLevel="0" collapsed="false">
      <c r="A731" s="10"/>
      <c r="B731" s="11"/>
      <c r="C731" s="11"/>
      <c r="D731" s="9"/>
      <c r="E731" s="9"/>
      <c r="F731" s="11"/>
      <c r="G731" s="11"/>
      <c r="H731" s="9"/>
      <c r="I731" s="9"/>
      <c r="J731" s="12"/>
      <c r="K731" s="12"/>
      <c r="L731" s="12" t="str">
        <f aca="false">IF(A731="","",IF(I731="はい",IF(AND(ISNUMBER(J731),ISNUMBER(K731)),K731-J731,""),""))</f>
        <v/>
      </c>
      <c r="M731" s="9"/>
      <c r="N731" s="11"/>
      <c r="O731" s="13"/>
    </row>
    <row r="732" customFormat="false" ht="15.75" hidden="false" customHeight="false" outlineLevel="0" collapsed="false">
      <c r="A732" s="10"/>
      <c r="B732" s="11"/>
      <c r="C732" s="11"/>
      <c r="D732" s="9"/>
      <c r="E732" s="9"/>
      <c r="F732" s="11"/>
      <c r="G732" s="11"/>
      <c r="H732" s="9"/>
      <c r="I732" s="9"/>
      <c r="J732" s="12"/>
      <c r="K732" s="12"/>
      <c r="L732" s="12" t="str">
        <f aca="false">IF(A732="","",IF(I732="はい",IF(AND(ISNUMBER(J732),ISNUMBER(K732)),K732-J732,""),""))</f>
        <v/>
      </c>
      <c r="M732" s="9"/>
      <c r="N732" s="11"/>
      <c r="O732" s="13"/>
    </row>
    <row r="733" customFormat="false" ht="15.75" hidden="false" customHeight="false" outlineLevel="0" collapsed="false">
      <c r="A733" s="10"/>
      <c r="B733" s="11"/>
      <c r="C733" s="11"/>
      <c r="D733" s="9"/>
      <c r="E733" s="9"/>
      <c r="F733" s="11"/>
      <c r="G733" s="11"/>
      <c r="H733" s="9"/>
      <c r="I733" s="9"/>
      <c r="J733" s="12"/>
      <c r="K733" s="12"/>
      <c r="L733" s="12" t="str">
        <f aca="false">IF(A733="","",IF(I733="はい",IF(AND(ISNUMBER(J733),ISNUMBER(K733)),K733-J733,""),""))</f>
        <v/>
      </c>
      <c r="M733" s="9"/>
      <c r="N733" s="11"/>
      <c r="O733" s="13"/>
    </row>
    <row r="734" customFormat="false" ht="15.75" hidden="false" customHeight="false" outlineLevel="0" collapsed="false">
      <c r="A734" s="10"/>
      <c r="B734" s="11"/>
      <c r="C734" s="11"/>
      <c r="D734" s="9"/>
      <c r="E734" s="9"/>
      <c r="F734" s="11"/>
      <c r="G734" s="11"/>
      <c r="H734" s="9"/>
      <c r="I734" s="9"/>
      <c r="J734" s="12"/>
      <c r="K734" s="12"/>
      <c r="L734" s="12" t="str">
        <f aca="false">IF(A734="","",IF(I734="はい",IF(AND(ISNUMBER(J734),ISNUMBER(K734)),K734-J734,""),""))</f>
        <v/>
      </c>
      <c r="M734" s="9"/>
      <c r="N734" s="11"/>
      <c r="O734" s="13"/>
    </row>
    <row r="735" customFormat="false" ht="15.75" hidden="false" customHeight="false" outlineLevel="0" collapsed="false">
      <c r="A735" s="10"/>
      <c r="B735" s="11"/>
      <c r="C735" s="11"/>
      <c r="D735" s="9"/>
      <c r="E735" s="9"/>
      <c r="F735" s="11"/>
      <c r="G735" s="11"/>
      <c r="H735" s="9"/>
      <c r="I735" s="9"/>
      <c r="J735" s="12"/>
      <c r="K735" s="12"/>
      <c r="L735" s="12" t="str">
        <f aca="false">IF(A735="","",IF(I735="はい",IF(AND(ISNUMBER(J735),ISNUMBER(K735)),K735-J735,""),""))</f>
        <v/>
      </c>
      <c r="M735" s="9"/>
      <c r="N735" s="11"/>
      <c r="O735" s="13"/>
    </row>
    <row r="736" customFormat="false" ht="15.75" hidden="false" customHeight="false" outlineLevel="0" collapsed="false">
      <c r="A736" s="10"/>
      <c r="B736" s="11"/>
      <c r="C736" s="11"/>
      <c r="D736" s="9"/>
      <c r="E736" s="9"/>
      <c r="F736" s="11"/>
      <c r="G736" s="11"/>
      <c r="H736" s="9"/>
      <c r="I736" s="9"/>
      <c r="J736" s="12"/>
      <c r="K736" s="12"/>
      <c r="L736" s="12" t="str">
        <f aca="false">IF(A736="","",IF(I736="はい",IF(AND(ISNUMBER(J736),ISNUMBER(K736)),K736-J736,""),""))</f>
        <v/>
      </c>
      <c r="M736" s="9"/>
      <c r="N736" s="11"/>
      <c r="O736" s="13"/>
    </row>
    <row r="737" customFormat="false" ht="15.75" hidden="false" customHeight="false" outlineLevel="0" collapsed="false">
      <c r="A737" s="10"/>
      <c r="B737" s="11"/>
      <c r="C737" s="11"/>
      <c r="D737" s="9"/>
      <c r="E737" s="9"/>
      <c r="F737" s="11"/>
      <c r="G737" s="11"/>
      <c r="H737" s="9"/>
      <c r="I737" s="9"/>
      <c r="J737" s="12"/>
      <c r="K737" s="12"/>
      <c r="L737" s="12" t="str">
        <f aca="false">IF(A737="","",IF(I737="はい",IF(AND(ISNUMBER(J737),ISNUMBER(K737)),K737-J737,""),""))</f>
        <v/>
      </c>
      <c r="M737" s="9"/>
      <c r="N737" s="11"/>
      <c r="O737" s="13"/>
    </row>
    <row r="738" customFormat="false" ht="15.75" hidden="false" customHeight="false" outlineLevel="0" collapsed="false">
      <c r="A738" s="10"/>
      <c r="B738" s="11"/>
      <c r="C738" s="11"/>
      <c r="D738" s="9"/>
      <c r="E738" s="9"/>
      <c r="F738" s="11"/>
      <c r="G738" s="11"/>
      <c r="H738" s="9"/>
      <c r="I738" s="9"/>
      <c r="J738" s="12"/>
      <c r="K738" s="12"/>
      <c r="L738" s="12" t="str">
        <f aca="false">IF(A738="","",IF(I738="はい",IF(AND(ISNUMBER(J738),ISNUMBER(K738)),K738-J738,""),""))</f>
        <v/>
      </c>
      <c r="M738" s="9"/>
      <c r="N738" s="11"/>
      <c r="O738" s="13"/>
    </row>
    <row r="739" customFormat="false" ht="15.75" hidden="false" customHeight="false" outlineLevel="0" collapsed="false">
      <c r="A739" s="10"/>
      <c r="B739" s="11"/>
      <c r="C739" s="11"/>
      <c r="D739" s="9"/>
      <c r="E739" s="9"/>
      <c r="F739" s="11"/>
      <c r="G739" s="11"/>
      <c r="H739" s="9"/>
      <c r="I739" s="9"/>
      <c r="J739" s="12"/>
      <c r="K739" s="12"/>
      <c r="L739" s="12" t="str">
        <f aca="false">IF(A739="","",IF(I739="はい",IF(AND(ISNUMBER(J739),ISNUMBER(K739)),K739-J739,""),""))</f>
        <v/>
      </c>
      <c r="M739" s="9"/>
      <c r="N739" s="11"/>
      <c r="O739" s="13"/>
    </row>
    <row r="740" customFormat="false" ht="15.75" hidden="false" customHeight="false" outlineLevel="0" collapsed="false">
      <c r="A740" s="10"/>
      <c r="B740" s="11"/>
      <c r="C740" s="11"/>
      <c r="D740" s="9"/>
      <c r="E740" s="9"/>
      <c r="F740" s="11"/>
      <c r="G740" s="11"/>
      <c r="H740" s="9"/>
      <c r="I740" s="9"/>
      <c r="J740" s="12"/>
      <c r="K740" s="12"/>
      <c r="L740" s="12" t="str">
        <f aca="false">IF(A740="","",IF(I740="はい",IF(AND(ISNUMBER(J740),ISNUMBER(K740)),K740-J740,""),""))</f>
        <v/>
      </c>
      <c r="M740" s="9"/>
      <c r="N740" s="11"/>
      <c r="O740" s="13"/>
    </row>
    <row r="741" customFormat="false" ht="15.75" hidden="false" customHeight="false" outlineLevel="0" collapsed="false">
      <c r="A741" s="10"/>
      <c r="B741" s="11"/>
      <c r="C741" s="11"/>
      <c r="D741" s="9"/>
      <c r="E741" s="9"/>
      <c r="F741" s="11"/>
      <c r="G741" s="11"/>
      <c r="H741" s="9"/>
      <c r="I741" s="9"/>
      <c r="J741" s="12"/>
      <c r="K741" s="12"/>
      <c r="L741" s="12" t="str">
        <f aca="false">IF(A741="","",IF(I741="はい",IF(AND(ISNUMBER(J741),ISNUMBER(K741)),K741-J741,""),""))</f>
        <v/>
      </c>
      <c r="M741" s="9"/>
      <c r="N741" s="11"/>
      <c r="O741" s="13"/>
    </row>
    <row r="742" customFormat="false" ht="15.75" hidden="false" customHeight="false" outlineLevel="0" collapsed="false">
      <c r="A742" s="10"/>
      <c r="B742" s="11"/>
      <c r="C742" s="11"/>
      <c r="D742" s="9"/>
      <c r="E742" s="9"/>
      <c r="F742" s="11"/>
      <c r="G742" s="11"/>
      <c r="H742" s="9"/>
      <c r="I742" s="9"/>
      <c r="J742" s="12"/>
      <c r="K742" s="12"/>
      <c r="L742" s="12" t="str">
        <f aca="false">IF(A742="","",IF(I742="はい",IF(AND(ISNUMBER(J742),ISNUMBER(K742)),K742-J742,""),""))</f>
        <v/>
      </c>
      <c r="M742" s="9"/>
      <c r="N742" s="11"/>
      <c r="O742" s="13"/>
    </row>
    <row r="743" customFormat="false" ht="15.75" hidden="false" customHeight="false" outlineLevel="0" collapsed="false">
      <c r="A743" s="10"/>
      <c r="B743" s="11"/>
      <c r="C743" s="11"/>
      <c r="D743" s="9"/>
      <c r="E743" s="9"/>
      <c r="F743" s="11"/>
      <c r="G743" s="11"/>
      <c r="H743" s="9"/>
      <c r="I743" s="9"/>
      <c r="J743" s="12"/>
      <c r="K743" s="12"/>
      <c r="L743" s="12" t="str">
        <f aca="false">IF(A743="","",IF(I743="はい",IF(AND(ISNUMBER(J743),ISNUMBER(K743)),K743-J743,""),""))</f>
        <v/>
      </c>
      <c r="M743" s="9"/>
      <c r="N743" s="11"/>
      <c r="O743" s="13"/>
    </row>
    <row r="744" customFormat="false" ht="15.75" hidden="false" customHeight="false" outlineLevel="0" collapsed="false">
      <c r="A744" s="10"/>
      <c r="B744" s="11"/>
      <c r="C744" s="11"/>
      <c r="D744" s="9"/>
      <c r="E744" s="9"/>
      <c r="F744" s="11"/>
      <c r="G744" s="11"/>
      <c r="H744" s="9"/>
      <c r="I744" s="9"/>
      <c r="J744" s="12"/>
      <c r="K744" s="12"/>
      <c r="L744" s="12" t="str">
        <f aca="false">IF(A744="","",IF(I744="はい",IF(AND(ISNUMBER(J744),ISNUMBER(K744)),K744-J744,""),""))</f>
        <v/>
      </c>
      <c r="M744" s="9"/>
      <c r="N744" s="11"/>
      <c r="O744" s="13"/>
    </row>
    <row r="745" customFormat="false" ht="15.75" hidden="false" customHeight="false" outlineLevel="0" collapsed="false">
      <c r="A745" s="10"/>
      <c r="B745" s="11"/>
      <c r="C745" s="11"/>
      <c r="D745" s="9"/>
      <c r="E745" s="9"/>
      <c r="F745" s="11"/>
      <c r="G745" s="11"/>
      <c r="H745" s="9"/>
      <c r="I745" s="9"/>
      <c r="J745" s="12"/>
      <c r="K745" s="12"/>
      <c r="L745" s="12" t="str">
        <f aca="false">IF(A745="","",IF(I745="はい",IF(AND(ISNUMBER(J745),ISNUMBER(K745)),K745-J745,""),""))</f>
        <v/>
      </c>
      <c r="M745" s="9"/>
      <c r="N745" s="11"/>
      <c r="O745" s="13"/>
    </row>
    <row r="746" customFormat="false" ht="15.75" hidden="false" customHeight="false" outlineLevel="0" collapsed="false">
      <c r="A746" s="10"/>
      <c r="B746" s="11"/>
      <c r="C746" s="11"/>
      <c r="D746" s="9"/>
      <c r="E746" s="9"/>
      <c r="F746" s="11"/>
      <c r="G746" s="11"/>
      <c r="H746" s="9"/>
      <c r="I746" s="9"/>
      <c r="J746" s="12"/>
      <c r="K746" s="12"/>
      <c r="L746" s="12" t="str">
        <f aca="false">IF(A746="","",IF(I746="はい",IF(AND(ISNUMBER(J746),ISNUMBER(K746)),K746-J746,""),""))</f>
        <v/>
      </c>
      <c r="M746" s="9"/>
      <c r="N746" s="11"/>
      <c r="O746" s="13"/>
    </row>
    <row r="747" customFormat="false" ht="15.75" hidden="false" customHeight="false" outlineLevel="0" collapsed="false">
      <c r="A747" s="10"/>
      <c r="B747" s="11"/>
      <c r="C747" s="11"/>
      <c r="D747" s="9"/>
      <c r="E747" s="9"/>
      <c r="F747" s="11"/>
      <c r="G747" s="11"/>
      <c r="H747" s="9"/>
      <c r="I747" s="9"/>
      <c r="J747" s="12"/>
      <c r="K747" s="12"/>
      <c r="L747" s="12" t="str">
        <f aca="false">IF(A747="","",IF(I747="はい",IF(AND(ISNUMBER(J747),ISNUMBER(K747)),K747-J747,""),""))</f>
        <v/>
      </c>
      <c r="M747" s="9"/>
      <c r="N747" s="11"/>
      <c r="O747" s="13"/>
    </row>
    <row r="748" customFormat="false" ht="15.75" hidden="false" customHeight="false" outlineLevel="0" collapsed="false">
      <c r="A748" s="10"/>
      <c r="B748" s="11"/>
      <c r="C748" s="11"/>
      <c r="D748" s="9"/>
      <c r="E748" s="9"/>
      <c r="F748" s="11"/>
      <c r="G748" s="11"/>
      <c r="H748" s="9"/>
      <c r="I748" s="9"/>
      <c r="J748" s="12"/>
      <c r="K748" s="12"/>
      <c r="L748" s="12" t="str">
        <f aca="false">IF(A748="","",IF(I748="はい",IF(AND(ISNUMBER(J748),ISNUMBER(K748)),K748-J748,""),""))</f>
        <v/>
      </c>
      <c r="M748" s="9"/>
      <c r="N748" s="11"/>
      <c r="O748" s="13"/>
    </row>
    <row r="749" customFormat="false" ht="15.75" hidden="false" customHeight="false" outlineLevel="0" collapsed="false">
      <c r="A749" s="10"/>
      <c r="B749" s="11"/>
      <c r="C749" s="11"/>
      <c r="D749" s="9"/>
      <c r="E749" s="9"/>
      <c r="F749" s="11"/>
      <c r="G749" s="11"/>
      <c r="H749" s="9"/>
      <c r="I749" s="9"/>
      <c r="J749" s="12"/>
      <c r="K749" s="12"/>
      <c r="L749" s="12" t="str">
        <f aca="false">IF(A749="","",IF(I749="はい",IF(AND(ISNUMBER(J749),ISNUMBER(K749)),K749-J749,""),""))</f>
        <v/>
      </c>
      <c r="M749" s="9"/>
      <c r="N749" s="11"/>
      <c r="O749" s="13"/>
    </row>
    <row r="750" customFormat="false" ht="15.75" hidden="false" customHeight="false" outlineLevel="0" collapsed="false">
      <c r="A750" s="10"/>
      <c r="B750" s="11"/>
      <c r="C750" s="11"/>
      <c r="D750" s="9"/>
      <c r="E750" s="9"/>
      <c r="F750" s="11"/>
      <c r="G750" s="11"/>
      <c r="H750" s="9"/>
      <c r="I750" s="9"/>
      <c r="J750" s="12"/>
      <c r="K750" s="12"/>
      <c r="L750" s="12" t="str">
        <f aca="false">IF(A750="","",IF(I750="はい",IF(AND(ISNUMBER(J750),ISNUMBER(K750)),K750-J750,""),""))</f>
        <v/>
      </c>
      <c r="M750" s="9"/>
      <c r="N750" s="11"/>
      <c r="O750" s="13"/>
    </row>
    <row r="751" customFormat="false" ht="15.75" hidden="false" customHeight="false" outlineLevel="0" collapsed="false">
      <c r="A751" s="10"/>
      <c r="B751" s="11"/>
      <c r="C751" s="11"/>
      <c r="D751" s="9"/>
      <c r="E751" s="9"/>
      <c r="F751" s="11"/>
      <c r="G751" s="11"/>
      <c r="H751" s="9"/>
      <c r="I751" s="9"/>
      <c r="J751" s="12"/>
      <c r="K751" s="12"/>
      <c r="L751" s="12" t="str">
        <f aca="false">IF(A751="","",IF(I751="はい",IF(AND(ISNUMBER(J751),ISNUMBER(K751)),K751-J751,""),""))</f>
        <v/>
      </c>
      <c r="M751" s="9"/>
      <c r="N751" s="11"/>
      <c r="O751" s="13"/>
    </row>
    <row r="752" customFormat="false" ht="15.75" hidden="false" customHeight="false" outlineLevel="0" collapsed="false">
      <c r="A752" s="10"/>
      <c r="B752" s="11"/>
      <c r="C752" s="11"/>
      <c r="D752" s="9"/>
      <c r="E752" s="9"/>
      <c r="F752" s="11"/>
      <c r="G752" s="11"/>
      <c r="H752" s="9"/>
      <c r="I752" s="9"/>
      <c r="J752" s="12"/>
      <c r="K752" s="12"/>
      <c r="L752" s="12" t="str">
        <f aca="false">IF(A752="","",IF(I752="はい",IF(AND(ISNUMBER(J752),ISNUMBER(K752)),K752-J752,""),""))</f>
        <v/>
      </c>
      <c r="M752" s="9"/>
      <c r="N752" s="11"/>
      <c r="O752" s="13"/>
    </row>
    <row r="753" customFormat="false" ht="15.75" hidden="false" customHeight="false" outlineLevel="0" collapsed="false">
      <c r="A753" s="10"/>
      <c r="B753" s="11"/>
      <c r="C753" s="11"/>
      <c r="D753" s="9"/>
      <c r="E753" s="9"/>
      <c r="F753" s="11"/>
      <c r="G753" s="11"/>
      <c r="H753" s="9"/>
      <c r="I753" s="9"/>
      <c r="J753" s="12"/>
      <c r="K753" s="12"/>
      <c r="L753" s="12" t="str">
        <f aca="false">IF(A753="","",IF(I753="はい",IF(AND(ISNUMBER(J753),ISNUMBER(K753)),K753-J753,""),""))</f>
        <v/>
      </c>
      <c r="M753" s="9"/>
      <c r="N753" s="11"/>
      <c r="O753" s="13"/>
    </row>
    <row r="754" customFormat="false" ht="15.75" hidden="false" customHeight="false" outlineLevel="0" collapsed="false">
      <c r="A754" s="10"/>
      <c r="B754" s="11"/>
      <c r="C754" s="11"/>
      <c r="D754" s="9"/>
      <c r="E754" s="9"/>
      <c r="F754" s="11"/>
      <c r="G754" s="11"/>
      <c r="H754" s="9"/>
      <c r="I754" s="9"/>
      <c r="J754" s="12"/>
      <c r="K754" s="12"/>
      <c r="L754" s="12" t="str">
        <f aca="false">IF(A754="","",IF(I754="はい",IF(AND(ISNUMBER(J754),ISNUMBER(K754)),K754-J754,""),""))</f>
        <v/>
      </c>
      <c r="M754" s="9"/>
      <c r="N754" s="11"/>
      <c r="O754" s="13"/>
    </row>
    <row r="755" customFormat="false" ht="15.75" hidden="false" customHeight="false" outlineLevel="0" collapsed="false">
      <c r="A755" s="10"/>
      <c r="B755" s="11"/>
      <c r="C755" s="11"/>
      <c r="D755" s="9"/>
      <c r="E755" s="9"/>
      <c r="F755" s="11"/>
      <c r="G755" s="11"/>
      <c r="H755" s="9"/>
      <c r="I755" s="9"/>
      <c r="J755" s="12"/>
      <c r="K755" s="12"/>
      <c r="L755" s="12" t="str">
        <f aca="false">IF(A755="","",IF(I755="はい",IF(AND(ISNUMBER(J755),ISNUMBER(K755)),K755-J755,""),""))</f>
        <v/>
      </c>
      <c r="M755" s="9"/>
      <c r="N755" s="11"/>
      <c r="O755" s="13"/>
    </row>
    <row r="756" customFormat="false" ht="15.75" hidden="false" customHeight="false" outlineLevel="0" collapsed="false">
      <c r="A756" s="10"/>
      <c r="B756" s="11"/>
      <c r="C756" s="11"/>
      <c r="D756" s="9"/>
      <c r="E756" s="9"/>
      <c r="F756" s="11"/>
      <c r="G756" s="11"/>
      <c r="H756" s="9"/>
      <c r="I756" s="9"/>
      <c r="J756" s="12"/>
      <c r="K756" s="12"/>
      <c r="L756" s="12" t="str">
        <f aca="false">IF(A756="","",IF(I756="はい",IF(AND(ISNUMBER(J756),ISNUMBER(K756)),K756-J756,""),""))</f>
        <v/>
      </c>
      <c r="M756" s="9"/>
      <c r="N756" s="11"/>
      <c r="O756" s="13"/>
    </row>
    <row r="757" customFormat="false" ht="15.75" hidden="false" customHeight="false" outlineLevel="0" collapsed="false">
      <c r="A757" s="10"/>
      <c r="B757" s="11"/>
      <c r="C757" s="11"/>
      <c r="D757" s="9"/>
      <c r="E757" s="9"/>
      <c r="F757" s="11"/>
      <c r="G757" s="11"/>
      <c r="H757" s="9"/>
      <c r="I757" s="9"/>
      <c r="J757" s="12"/>
      <c r="K757" s="12"/>
      <c r="L757" s="12" t="str">
        <f aca="false">IF(A757="","",IF(I757="はい",IF(AND(ISNUMBER(J757),ISNUMBER(K757)),K757-J757,""),""))</f>
        <v/>
      </c>
      <c r="M757" s="9"/>
      <c r="N757" s="11"/>
      <c r="O757" s="13"/>
    </row>
    <row r="758" customFormat="false" ht="15.75" hidden="false" customHeight="false" outlineLevel="0" collapsed="false">
      <c r="A758" s="10"/>
      <c r="B758" s="11"/>
      <c r="C758" s="11"/>
      <c r="D758" s="9"/>
      <c r="E758" s="9"/>
      <c r="F758" s="11"/>
      <c r="G758" s="11"/>
      <c r="H758" s="9"/>
      <c r="I758" s="9"/>
      <c r="J758" s="12"/>
      <c r="K758" s="12"/>
      <c r="L758" s="12" t="str">
        <f aca="false">IF(A758="","",IF(I758="はい",IF(AND(ISNUMBER(J758),ISNUMBER(K758)),K758-J758,""),""))</f>
        <v/>
      </c>
      <c r="M758" s="9"/>
      <c r="N758" s="11"/>
      <c r="O758" s="13"/>
    </row>
    <row r="759" customFormat="false" ht="15.75" hidden="false" customHeight="false" outlineLevel="0" collapsed="false">
      <c r="A759" s="10"/>
      <c r="B759" s="11"/>
      <c r="C759" s="11"/>
      <c r="D759" s="9"/>
      <c r="E759" s="9"/>
      <c r="F759" s="11"/>
      <c r="G759" s="11"/>
      <c r="H759" s="9"/>
      <c r="I759" s="9"/>
      <c r="J759" s="12"/>
      <c r="K759" s="12"/>
      <c r="L759" s="12" t="str">
        <f aca="false">IF(A759="","",IF(I759="はい",IF(AND(ISNUMBER(J759),ISNUMBER(K759)),K759-J759,""),""))</f>
        <v/>
      </c>
      <c r="M759" s="9"/>
      <c r="N759" s="11"/>
      <c r="O759" s="13"/>
    </row>
    <row r="760" customFormat="false" ht="15.75" hidden="false" customHeight="false" outlineLevel="0" collapsed="false">
      <c r="A760" s="10"/>
      <c r="B760" s="11"/>
      <c r="C760" s="11"/>
      <c r="D760" s="9"/>
      <c r="E760" s="9"/>
      <c r="F760" s="11"/>
      <c r="G760" s="11"/>
      <c r="H760" s="9"/>
      <c r="I760" s="9"/>
      <c r="J760" s="12"/>
      <c r="K760" s="12"/>
      <c r="L760" s="12" t="str">
        <f aca="false">IF(A760="","",IF(I760="はい",IF(AND(ISNUMBER(J760),ISNUMBER(K760)),K760-J760,""),""))</f>
        <v/>
      </c>
      <c r="M760" s="9"/>
      <c r="N760" s="11"/>
      <c r="O760" s="13"/>
    </row>
    <row r="761" customFormat="false" ht="15.75" hidden="false" customHeight="false" outlineLevel="0" collapsed="false">
      <c r="A761" s="10"/>
      <c r="B761" s="11"/>
      <c r="C761" s="11"/>
      <c r="D761" s="9"/>
      <c r="E761" s="9"/>
      <c r="F761" s="11"/>
      <c r="G761" s="11"/>
      <c r="H761" s="9"/>
      <c r="I761" s="9"/>
      <c r="J761" s="12"/>
      <c r="K761" s="12"/>
      <c r="L761" s="12" t="str">
        <f aca="false">IF(A761="","",IF(I761="はい",IF(AND(ISNUMBER(J761),ISNUMBER(K761)),K761-J761,""),""))</f>
        <v/>
      </c>
      <c r="M761" s="9"/>
      <c r="N761" s="11"/>
      <c r="O761" s="13"/>
    </row>
    <row r="762" customFormat="false" ht="15.75" hidden="false" customHeight="false" outlineLevel="0" collapsed="false">
      <c r="A762" s="10"/>
      <c r="B762" s="11"/>
      <c r="C762" s="11"/>
      <c r="D762" s="9"/>
      <c r="E762" s="9"/>
      <c r="F762" s="11"/>
      <c r="G762" s="11"/>
      <c r="H762" s="9"/>
      <c r="I762" s="9"/>
      <c r="J762" s="12"/>
      <c r="K762" s="12"/>
      <c r="L762" s="12" t="str">
        <f aca="false">IF(A762="","",IF(I762="はい",IF(AND(ISNUMBER(J762),ISNUMBER(K762)),K762-J762,""),""))</f>
        <v/>
      </c>
      <c r="M762" s="9"/>
      <c r="N762" s="11"/>
      <c r="O762" s="13"/>
    </row>
    <row r="763" customFormat="false" ht="15.75" hidden="false" customHeight="false" outlineLevel="0" collapsed="false">
      <c r="A763" s="10"/>
      <c r="B763" s="11"/>
      <c r="C763" s="11"/>
      <c r="D763" s="9"/>
      <c r="E763" s="9"/>
      <c r="F763" s="11"/>
      <c r="G763" s="11"/>
      <c r="H763" s="9"/>
      <c r="I763" s="9"/>
      <c r="J763" s="12"/>
      <c r="K763" s="12"/>
      <c r="L763" s="12" t="str">
        <f aca="false">IF(A763="","",IF(I763="はい",IF(AND(ISNUMBER(J763),ISNUMBER(K763)),K763-J763,""),""))</f>
        <v/>
      </c>
      <c r="M763" s="9"/>
      <c r="N763" s="11"/>
      <c r="O763" s="13"/>
    </row>
    <row r="764" customFormat="false" ht="15.75" hidden="false" customHeight="false" outlineLevel="0" collapsed="false">
      <c r="A764" s="10"/>
      <c r="B764" s="11"/>
      <c r="C764" s="11"/>
      <c r="D764" s="9"/>
      <c r="E764" s="9"/>
      <c r="F764" s="11"/>
      <c r="G764" s="11"/>
      <c r="H764" s="9"/>
      <c r="I764" s="9"/>
      <c r="J764" s="12"/>
      <c r="K764" s="12"/>
      <c r="L764" s="12" t="str">
        <f aca="false">IF(A764="","",IF(I764="はい",IF(AND(ISNUMBER(J764),ISNUMBER(K764)),K764-J764,""),""))</f>
        <v/>
      </c>
      <c r="M764" s="9"/>
      <c r="N764" s="11"/>
      <c r="O764" s="13"/>
    </row>
    <row r="765" customFormat="false" ht="15.75" hidden="false" customHeight="false" outlineLevel="0" collapsed="false">
      <c r="A765" s="10"/>
      <c r="B765" s="11"/>
      <c r="C765" s="11"/>
      <c r="D765" s="9"/>
      <c r="E765" s="9"/>
      <c r="F765" s="11"/>
      <c r="G765" s="11"/>
      <c r="H765" s="9"/>
      <c r="I765" s="9"/>
      <c r="J765" s="12"/>
      <c r="K765" s="12"/>
      <c r="L765" s="12" t="str">
        <f aca="false">IF(A765="","",IF(I765="はい",IF(AND(ISNUMBER(J765),ISNUMBER(K765)),K765-J765,""),""))</f>
        <v/>
      </c>
      <c r="M765" s="9"/>
      <c r="N765" s="11"/>
      <c r="O765" s="13"/>
    </row>
    <row r="766" customFormat="false" ht="15.75" hidden="false" customHeight="false" outlineLevel="0" collapsed="false">
      <c r="A766" s="10"/>
      <c r="B766" s="11"/>
      <c r="C766" s="11"/>
      <c r="D766" s="9"/>
      <c r="E766" s="9"/>
      <c r="F766" s="11"/>
      <c r="G766" s="11"/>
      <c r="H766" s="9"/>
      <c r="I766" s="9"/>
      <c r="J766" s="12"/>
      <c r="K766" s="12"/>
      <c r="L766" s="12" t="str">
        <f aca="false">IF(A766="","",IF(I766="はい",IF(AND(ISNUMBER(J766),ISNUMBER(K766)),K766-J766,""),""))</f>
        <v/>
      </c>
      <c r="M766" s="9"/>
      <c r="N766" s="11"/>
      <c r="O766" s="13"/>
    </row>
    <row r="767" customFormat="false" ht="15.75" hidden="false" customHeight="false" outlineLevel="0" collapsed="false">
      <c r="A767" s="10"/>
      <c r="B767" s="11"/>
      <c r="C767" s="11"/>
      <c r="D767" s="9"/>
      <c r="E767" s="9"/>
      <c r="F767" s="11"/>
      <c r="G767" s="11"/>
      <c r="H767" s="9"/>
      <c r="I767" s="9"/>
      <c r="J767" s="12"/>
      <c r="K767" s="12"/>
      <c r="L767" s="12" t="str">
        <f aca="false">IF(A767="","",IF(I767="はい",IF(AND(ISNUMBER(J767),ISNUMBER(K767)),K767-J767,""),""))</f>
        <v/>
      </c>
      <c r="M767" s="9"/>
      <c r="N767" s="11"/>
      <c r="O767" s="13"/>
    </row>
    <row r="768" customFormat="false" ht="15.75" hidden="false" customHeight="false" outlineLevel="0" collapsed="false">
      <c r="A768" s="10"/>
      <c r="B768" s="11"/>
      <c r="C768" s="11"/>
      <c r="D768" s="9"/>
      <c r="E768" s="9"/>
      <c r="F768" s="11"/>
      <c r="G768" s="11"/>
      <c r="H768" s="9"/>
      <c r="I768" s="9"/>
      <c r="J768" s="12"/>
      <c r="K768" s="12"/>
      <c r="L768" s="12" t="str">
        <f aca="false">IF(A768="","",IF(I768="はい",IF(AND(ISNUMBER(J768),ISNUMBER(K768)),K768-J768,""),""))</f>
        <v/>
      </c>
      <c r="M768" s="9"/>
      <c r="N768" s="11"/>
      <c r="O768" s="13"/>
    </row>
    <row r="769" customFormat="false" ht="15.75" hidden="false" customHeight="false" outlineLevel="0" collapsed="false">
      <c r="A769" s="10"/>
      <c r="B769" s="11"/>
      <c r="C769" s="11"/>
      <c r="D769" s="9"/>
      <c r="E769" s="9"/>
      <c r="F769" s="11"/>
      <c r="G769" s="11"/>
      <c r="H769" s="9"/>
      <c r="I769" s="9"/>
      <c r="J769" s="12"/>
      <c r="K769" s="12"/>
      <c r="L769" s="12" t="str">
        <f aca="false">IF(A769="","",IF(I769="はい",IF(AND(ISNUMBER(J769),ISNUMBER(K769)),K769-J769,""),""))</f>
        <v/>
      </c>
      <c r="M769" s="9"/>
      <c r="N769" s="11"/>
      <c r="O769" s="13"/>
    </row>
    <row r="770" customFormat="false" ht="15.75" hidden="false" customHeight="false" outlineLevel="0" collapsed="false">
      <c r="A770" s="10"/>
      <c r="B770" s="11"/>
      <c r="C770" s="11"/>
      <c r="D770" s="9"/>
      <c r="E770" s="9"/>
      <c r="F770" s="11"/>
      <c r="G770" s="11"/>
      <c r="H770" s="9"/>
      <c r="I770" s="9"/>
      <c r="J770" s="12"/>
      <c r="K770" s="12"/>
      <c r="L770" s="12" t="str">
        <f aca="false">IF(A770="","",IF(I770="はい",IF(AND(ISNUMBER(J770),ISNUMBER(K770)),K770-J770,""),""))</f>
        <v/>
      </c>
      <c r="M770" s="9"/>
      <c r="N770" s="11"/>
      <c r="O770" s="13"/>
    </row>
    <row r="771" customFormat="false" ht="15.75" hidden="false" customHeight="false" outlineLevel="0" collapsed="false">
      <c r="A771" s="10"/>
      <c r="B771" s="11"/>
      <c r="C771" s="11"/>
      <c r="D771" s="9"/>
      <c r="E771" s="9"/>
      <c r="F771" s="11"/>
      <c r="G771" s="11"/>
      <c r="H771" s="9"/>
      <c r="I771" s="9"/>
      <c r="J771" s="12"/>
      <c r="K771" s="12"/>
      <c r="L771" s="12" t="str">
        <f aca="false">IF(A771="","",IF(I771="はい",IF(AND(ISNUMBER(J771),ISNUMBER(K771)),K771-J771,""),""))</f>
        <v/>
      </c>
      <c r="M771" s="9"/>
      <c r="N771" s="11"/>
      <c r="O771" s="13"/>
    </row>
    <row r="772" customFormat="false" ht="15.75" hidden="false" customHeight="false" outlineLevel="0" collapsed="false">
      <c r="A772" s="10"/>
      <c r="B772" s="11"/>
      <c r="C772" s="11"/>
      <c r="D772" s="9"/>
      <c r="E772" s="9"/>
      <c r="F772" s="11"/>
      <c r="G772" s="11"/>
      <c r="H772" s="9"/>
      <c r="I772" s="9"/>
      <c r="J772" s="12"/>
      <c r="K772" s="12"/>
      <c r="L772" s="12" t="str">
        <f aca="false">IF(A772="","",IF(I772="はい",IF(AND(ISNUMBER(J772),ISNUMBER(K772)),K772-J772,""),""))</f>
        <v/>
      </c>
      <c r="M772" s="9"/>
      <c r="N772" s="11"/>
      <c r="O772" s="13"/>
    </row>
    <row r="773" customFormat="false" ht="15.75" hidden="false" customHeight="false" outlineLevel="0" collapsed="false">
      <c r="A773" s="10"/>
      <c r="B773" s="11"/>
      <c r="C773" s="11"/>
      <c r="D773" s="9"/>
      <c r="E773" s="9"/>
      <c r="F773" s="11"/>
      <c r="G773" s="11"/>
      <c r="H773" s="9"/>
      <c r="I773" s="9"/>
      <c r="J773" s="12"/>
      <c r="K773" s="12"/>
      <c r="L773" s="12" t="str">
        <f aca="false">IF(A773="","",IF(I773="はい",IF(AND(ISNUMBER(J773),ISNUMBER(K773)),K773-J773,""),""))</f>
        <v/>
      </c>
      <c r="M773" s="9"/>
      <c r="N773" s="11"/>
      <c r="O773" s="13"/>
    </row>
    <row r="774" customFormat="false" ht="15.75" hidden="false" customHeight="false" outlineLevel="0" collapsed="false">
      <c r="A774" s="10"/>
      <c r="B774" s="11"/>
      <c r="C774" s="11"/>
      <c r="D774" s="9"/>
      <c r="E774" s="9"/>
      <c r="F774" s="11"/>
      <c r="G774" s="11"/>
      <c r="H774" s="9"/>
      <c r="I774" s="9"/>
      <c r="J774" s="12"/>
      <c r="K774" s="12"/>
      <c r="L774" s="12" t="str">
        <f aca="false">IF(A774="","",IF(I774="はい",IF(AND(ISNUMBER(J774),ISNUMBER(K774)),K774-J774,""),""))</f>
        <v/>
      </c>
      <c r="M774" s="9"/>
      <c r="N774" s="11"/>
      <c r="O774" s="13"/>
    </row>
    <row r="775" customFormat="false" ht="15.75" hidden="false" customHeight="false" outlineLevel="0" collapsed="false">
      <c r="A775" s="10"/>
      <c r="B775" s="11"/>
      <c r="C775" s="11"/>
      <c r="D775" s="9"/>
      <c r="E775" s="9"/>
      <c r="F775" s="11"/>
      <c r="G775" s="11"/>
      <c r="H775" s="9"/>
      <c r="I775" s="9"/>
      <c r="J775" s="12"/>
      <c r="K775" s="12"/>
      <c r="L775" s="12" t="str">
        <f aca="false">IF(A775="","",IF(I775="はい",IF(AND(ISNUMBER(J775),ISNUMBER(K775)),K775-J775,""),""))</f>
        <v/>
      </c>
      <c r="M775" s="9"/>
      <c r="N775" s="11"/>
      <c r="O775" s="13"/>
    </row>
    <row r="776" customFormat="false" ht="15.75" hidden="false" customHeight="false" outlineLevel="0" collapsed="false">
      <c r="A776" s="10"/>
      <c r="B776" s="11"/>
      <c r="C776" s="11"/>
      <c r="D776" s="9"/>
      <c r="E776" s="9"/>
      <c r="F776" s="11"/>
      <c r="G776" s="11"/>
      <c r="H776" s="9"/>
      <c r="I776" s="9"/>
      <c r="J776" s="12"/>
      <c r="K776" s="12"/>
      <c r="L776" s="12" t="str">
        <f aca="false">IF(A776="","",IF(I776="はい",IF(AND(ISNUMBER(J776),ISNUMBER(K776)),K776-J776,""),""))</f>
        <v/>
      </c>
      <c r="M776" s="9"/>
      <c r="N776" s="11"/>
      <c r="O776" s="13"/>
    </row>
    <row r="777" customFormat="false" ht="15.75" hidden="false" customHeight="false" outlineLevel="0" collapsed="false">
      <c r="A777" s="10"/>
      <c r="B777" s="11"/>
      <c r="C777" s="11"/>
      <c r="D777" s="9"/>
      <c r="E777" s="9"/>
      <c r="F777" s="11"/>
      <c r="G777" s="11"/>
      <c r="H777" s="9"/>
      <c r="I777" s="9"/>
      <c r="J777" s="12"/>
      <c r="K777" s="12"/>
      <c r="L777" s="12" t="str">
        <f aca="false">IF(A777="","",IF(I777="はい",IF(AND(ISNUMBER(J777),ISNUMBER(K777)),K777-J777,""),""))</f>
        <v/>
      </c>
      <c r="M777" s="9"/>
      <c r="N777" s="11"/>
      <c r="O777" s="13"/>
    </row>
    <row r="778" customFormat="false" ht="15.75" hidden="false" customHeight="false" outlineLevel="0" collapsed="false">
      <c r="A778" s="10"/>
      <c r="B778" s="11"/>
      <c r="C778" s="11"/>
      <c r="D778" s="9"/>
      <c r="E778" s="9"/>
      <c r="F778" s="11"/>
      <c r="G778" s="11"/>
      <c r="H778" s="9"/>
      <c r="I778" s="9"/>
      <c r="J778" s="12"/>
      <c r="K778" s="12"/>
      <c r="L778" s="12" t="str">
        <f aca="false">IF(A778="","",IF(I778="はい",IF(AND(ISNUMBER(J778),ISNUMBER(K778)),K778-J778,""),""))</f>
        <v/>
      </c>
      <c r="M778" s="9"/>
      <c r="N778" s="11"/>
      <c r="O778" s="13"/>
    </row>
    <row r="779" customFormat="false" ht="15.75" hidden="false" customHeight="false" outlineLevel="0" collapsed="false">
      <c r="A779" s="10"/>
      <c r="B779" s="11"/>
      <c r="C779" s="11"/>
      <c r="D779" s="9"/>
      <c r="E779" s="9"/>
      <c r="F779" s="11"/>
      <c r="G779" s="11"/>
      <c r="H779" s="9"/>
      <c r="I779" s="9"/>
      <c r="J779" s="12"/>
      <c r="K779" s="12"/>
      <c r="L779" s="12" t="str">
        <f aca="false">IF(A779="","",IF(I779="はい",IF(AND(ISNUMBER(J779),ISNUMBER(K779)),K779-J779,""),""))</f>
        <v/>
      </c>
      <c r="M779" s="9"/>
      <c r="N779" s="11"/>
      <c r="O779" s="13"/>
    </row>
    <row r="780" customFormat="false" ht="15.75" hidden="false" customHeight="false" outlineLevel="0" collapsed="false">
      <c r="A780" s="10"/>
      <c r="B780" s="11"/>
      <c r="C780" s="11"/>
      <c r="D780" s="9"/>
      <c r="E780" s="9"/>
      <c r="F780" s="11"/>
      <c r="G780" s="11"/>
      <c r="H780" s="9"/>
      <c r="I780" s="9"/>
      <c r="J780" s="12"/>
      <c r="K780" s="12"/>
      <c r="L780" s="12" t="str">
        <f aca="false">IF(A780="","",IF(I780="はい",IF(AND(ISNUMBER(J780),ISNUMBER(K780)),K780-J780,""),""))</f>
        <v/>
      </c>
      <c r="M780" s="9"/>
      <c r="N780" s="11"/>
      <c r="O780" s="13"/>
    </row>
    <row r="781" customFormat="false" ht="15.75" hidden="false" customHeight="false" outlineLevel="0" collapsed="false">
      <c r="A781" s="10"/>
      <c r="B781" s="11"/>
      <c r="C781" s="11"/>
      <c r="D781" s="9"/>
      <c r="E781" s="9"/>
      <c r="F781" s="11"/>
      <c r="G781" s="11"/>
      <c r="H781" s="9"/>
      <c r="I781" s="9"/>
      <c r="J781" s="12"/>
      <c r="K781" s="12"/>
      <c r="L781" s="12" t="str">
        <f aca="false">IF(A781="","",IF(I781="はい",IF(AND(ISNUMBER(J781),ISNUMBER(K781)),K781-J781,""),""))</f>
        <v/>
      </c>
      <c r="M781" s="9"/>
      <c r="N781" s="11"/>
      <c r="O781" s="13"/>
    </row>
    <row r="782" customFormat="false" ht="15.75" hidden="false" customHeight="false" outlineLevel="0" collapsed="false">
      <c r="A782" s="10"/>
      <c r="B782" s="11"/>
      <c r="C782" s="11"/>
      <c r="D782" s="9"/>
      <c r="E782" s="9"/>
      <c r="F782" s="11"/>
      <c r="G782" s="11"/>
      <c r="H782" s="9"/>
      <c r="I782" s="9"/>
      <c r="J782" s="12"/>
      <c r="K782" s="12"/>
      <c r="L782" s="12" t="str">
        <f aca="false">IF(A782="","",IF(I782="はい",IF(AND(ISNUMBER(J782),ISNUMBER(K782)),K782-J782,""),""))</f>
        <v/>
      </c>
      <c r="M782" s="9"/>
      <c r="N782" s="11"/>
      <c r="O782" s="13"/>
    </row>
    <row r="783" customFormat="false" ht="15.75" hidden="false" customHeight="false" outlineLevel="0" collapsed="false">
      <c r="A783" s="10"/>
      <c r="B783" s="11"/>
      <c r="C783" s="11"/>
      <c r="D783" s="9"/>
      <c r="E783" s="9"/>
      <c r="F783" s="11"/>
      <c r="G783" s="11"/>
      <c r="H783" s="9"/>
      <c r="I783" s="9"/>
      <c r="J783" s="12"/>
      <c r="K783" s="12"/>
      <c r="L783" s="12" t="str">
        <f aca="false">IF(A783="","",IF(I783="はい",IF(AND(ISNUMBER(J783),ISNUMBER(K783)),K783-J783,""),""))</f>
        <v/>
      </c>
      <c r="M783" s="9"/>
      <c r="N783" s="11"/>
      <c r="O783" s="13"/>
    </row>
    <row r="784" customFormat="false" ht="15.75" hidden="false" customHeight="false" outlineLevel="0" collapsed="false">
      <c r="A784" s="10"/>
      <c r="B784" s="11"/>
      <c r="C784" s="11"/>
      <c r="D784" s="9"/>
      <c r="E784" s="9"/>
      <c r="F784" s="11"/>
      <c r="G784" s="11"/>
      <c r="H784" s="9"/>
      <c r="I784" s="9"/>
      <c r="J784" s="12"/>
      <c r="K784" s="12"/>
      <c r="L784" s="12" t="str">
        <f aca="false">IF(A784="","",IF(I784="はい",IF(AND(ISNUMBER(J784),ISNUMBER(K784)),K784-J784,""),""))</f>
        <v/>
      </c>
      <c r="M784" s="9"/>
      <c r="N784" s="11"/>
      <c r="O784" s="13"/>
    </row>
    <row r="785" customFormat="false" ht="15.75" hidden="false" customHeight="false" outlineLevel="0" collapsed="false">
      <c r="A785" s="10"/>
      <c r="B785" s="11"/>
      <c r="C785" s="11"/>
      <c r="D785" s="9"/>
      <c r="E785" s="9"/>
      <c r="F785" s="11"/>
      <c r="G785" s="11"/>
      <c r="H785" s="9"/>
      <c r="I785" s="9"/>
      <c r="J785" s="12"/>
      <c r="K785" s="12"/>
      <c r="L785" s="12" t="str">
        <f aca="false">IF(A785="","",IF(I785="はい",IF(AND(ISNUMBER(J785),ISNUMBER(K785)),K785-J785,""),""))</f>
        <v/>
      </c>
      <c r="M785" s="9"/>
      <c r="N785" s="11"/>
      <c r="O785" s="13"/>
    </row>
    <row r="786" customFormat="false" ht="15.75" hidden="false" customHeight="false" outlineLevel="0" collapsed="false">
      <c r="A786" s="10"/>
      <c r="B786" s="11"/>
      <c r="C786" s="11"/>
      <c r="D786" s="9"/>
      <c r="E786" s="9"/>
      <c r="F786" s="11"/>
      <c r="G786" s="11"/>
      <c r="H786" s="9"/>
      <c r="I786" s="9"/>
      <c r="J786" s="12"/>
      <c r="K786" s="12"/>
      <c r="L786" s="12" t="str">
        <f aca="false">IF(A786="","",IF(I786="はい",IF(AND(ISNUMBER(J786),ISNUMBER(K786)),K786-J786,""),""))</f>
        <v/>
      </c>
      <c r="M786" s="9"/>
      <c r="N786" s="11"/>
      <c r="O786" s="13"/>
    </row>
    <row r="787" customFormat="false" ht="15.75" hidden="false" customHeight="false" outlineLevel="0" collapsed="false">
      <c r="A787" s="10"/>
      <c r="B787" s="11"/>
      <c r="C787" s="11"/>
      <c r="D787" s="9"/>
      <c r="E787" s="9"/>
      <c r="F787" s="11"/>
      <c r="G787" s="11"/>
      <c r="H787" s="9"/>
      <c r="I787" s="9"/>
      <c r="J787" s="12"/>
      <c r="K787" s="12"/>
      <c r="L787" s="12" t="str">
        <f aca="false">IF(A787="","",IF(I787="はい",IF(AND(ISNUMBER(J787),ISNUMBER(K787)),K787-J787,""),""))</f>
        <v/>
      </c>
      <c r="M787" s="9"/>
      <c r="N787" s="11"/>
      <c r="O787" s="13"/>
    </row>
    <row r="788" customFormat="false" ht="15.75" hidden="false" customHeight="false" outlineLevel="0" collapsed="false">
      <c r="A788" s="10"/>
      <c r="B788" s="11"/>
      <c r="C788" s="11"/>
      <c r="D788" s="9"/>
      <c r="E788" s="9"/>
      <c r="F788" s="11"/>
      <c r="G788" s="11"/>
      <c r="H788" s="9"/>
      <c r="I788" s="9"/>
      <c r="J788" s="12"/>
      <c r="K788" s="12"/>
      <c r="L788" s="12" t="str">
        <f aca="false">IF(A788="","",IF(I788="はい",IF(AND(ISNUMBER(J788),ISNUMBER(K788)),K788-J788,""),""))</f>
        <v/>
      </c>
      <c r="M788" s="9"/>
      <c r="N788" s="11"/>
      <c r="O788" s="13"/>
    </row>
    <row r="789" customFormat="false" ht="15.75" hidden="false" customHeight="false" outlineLevel="0" collapsed="false">
      <c r="A789" s="10"/>
      <c r="B789" s="11"/>
      <c r="C789" s="11"/>
      <c r="D789" s="9"/>
      <c r="E789" s="9"/>
      <c r="F789" s="11"/>
      <c r="G789" s="11"/>
      <c r="H789" s="9"/>
      <c r="I789" s="9"/>
      <c r="J789" s="12"/>
      <c r="K789" s="12"/>
      <c r="L789" s="12" t="str">
        <f aca="false">IF(A789="","",IF(I789="はい",IF(AND(ISNUMBER(J789),ISNUMBER(K789)),K789-J789,""),""))</f>
        <v/>
      </c>
      <c r="M789" s="9"/>
      <c r="N789" s="11"/>
      <c r="O789" s="13"/>
    </row>
    <row r="790" customFormat="false" ht="15.75" hidden="false" customHeight="false" outlineLevel="0" collapsed="false">
      <c r="A790" s="10"/>
      <c r="B790" s="11"/>
      <c r="C790" s="11"/>
      <c r="D790" s="9"/>
      <c r="E790" s="9"/>
      <c r="F790" s="11"/>
      <c r="G790" s="11"/>
      <c r="H790" s="9"/>
      <c r="I790" s="9"/>
      <c r="J790" s="12"/>
      <c r="K790" s="12"/>
      <c r="L790" s="12" t="str">
        <f aca="false">IF(A790="","",IF(I790="はい",IF(AND(ISNUMBER(J790),ISNUMBER(K790)),K790-J790,""),""))</f>
        <v/>
      </c>
      <c r="M790" s="9"/>
      <c r="N790" s="11"/>
      <c r="O790" s="13"/>
    </row>
    <row r="791" customFormat="false" ht="15.75" hidden="false" customHeight="false" outlineLevel="0" collapsed="false">
      <c r="A791" s="10"/>
      <c r="B791" s="11"/>
      <c r="C791" s="11"/>
      <c r="D791" s="9"/>
      <c r="E791" s="9"/>
      <c r="F791" s="11"/>
      <c r="G791" s="11"/>
      <c r="H791" s="9"/>
      <c r="I791" s="9"/>
      <c r="J791" s="12"/>
      <c r="K791" s="12"/>
      <c r="L791" s="12" t="str">
        <f aca="false">IF(A791="","",IF(I791="はい",IF(AND(ISNUMBER(J791),ISNUMBER(K791)),K791-J791,""),""))</f>
        <v/>
      </c>
      <c r="M791" s="9"/>
      <c r="N791" s="11"/>
      <c r="O791" s="13"/>
    </row>
    <row r="792" customFormat="false" ht="15.75" hidden="false" customHeight="false" outlineLevel="0" collapsed="false">
      <c r="A792" s="10"/>
      <c r="B792" s="11"/>
      <c r="C792" s="11"/>
      <c r="D792" s="9"/>
      <c r="E792" s="9"/>
      <c r="F792" s="11"/>
      <c r="G792" s="11"/>
      <c r="H792" s="9"/>
      <c r="I792" s="9"/>
      <c r="J792" s="12"/>
      <c r="K792" s="12"/>
      <c r="L792" s="12" t="str">
        <f aca="false">IF(A792="","",IF(I792="はい",IF(AND(ISNUMBER(J792),ISNUMBER(K792)),K792-J792,""),""))</f>
        <v/>
      </c>
      <c r="M792" s="9"/>
      <c r="N792" s="11"/>
      <c r="O792" s="13"/>
    </row>
    <row r="793" customFormat="false" ht="15.75" hidden="false" customHeight="false" outlineLevel="0" collapsed="false">
      <c r="A793" s="10"/>
      <c r="B793" s="11"/>
      <c r="C793" s="11"/>
      <c r="D793" s="9"/>
      <c r="E793" s="9"/>
      <c r="F793" s="11"/>
      <c r="G793" s="11"/>
      <c r="H793" s="9"/>
      <c r="I793" s="9"/>
      <c r="J793" s="12"/>
      <c r="K793" s="12"/>
      <c r="L793" s="12" t="str">
        <f aca="false">IF(A793="","",IF(I793="はい",IF(AND(ISNUMBER(J793),ISNUMBER(K793)),K793-J793,""),""))</f>
        <v/>
      </c>
      <c r="M793" s="9"/>
      <c r="N793" s="11"/>
      <c r="O793" s="13"/>
    </row>
    <row r="794" customFormat="false" ht="15.75" hidden="false" customHeight="false" outlineLevel="0" collapsed="false">
      <c r="A794" s="10"/>
      <c r="B794" s="11"/>
      <c r="C794" s="11"/>
      <c r="D794" s="9"/>
      <c r="E794" s="9"/>
      <c r="F794" s="11"/>
      <c r="G794" s="11"/>
      <c r="H794" s="9"/>
      <c r="I794" s="9"/>
      <c r="J794" s="12"/>
      <c r="K794" s="12"/>
      <c r="L794" s="12" t="str">
        <f aca="false">IF(A794="","",IF(I794="はい",IF(AND(ISNUMBER(J794),ISNUMBER(K794)),K794-J794,""),""))</f>
        <v/>
      </c>
      <c r="M794" s="9"/>
      <c r="N794" s="11"/>
      <c r="O794" s="13"/>
    </row>
    <row r="795" customFormat="false" ht="15.75" hidden="false" customHeight="false" outlineLevel="0" collapsed="false">
      <c r="A795" s="10"/>
      <c r="B795" s="11"/>
      <c r="C795" s="11"/>
      <c r="D795" s="9"/>
      <c r="E795" s="9"/>
      <c r="F795" s="11"/>
      <c r="G795" s="11"/>
      <c r="H795" s="9"/>
      <c r="I795" s="9"/>
      <c r="J795" s="12"/>
      <c r="K795" s="12"/>
      <c r="L795" s="12" t="str">
        <f aca="false">IF(A795="","",IF(I795="はい",IF(AND(ISNUMBER(J795),ISNUMBER(K795)),K795-J795,""),""))</f>
        <v/>
      </c>
      <c r="M795" s="9"/>
      <c r="N795" s="11"/>
      <c r="O795" s="13"/>
    </row>
    <row r="796" customFormat="false" ht="15.75" hidden="false" customHeight="false" outlineLevel="0" collapsed="false">
      <c r="A796" s="10"/>
      <c r="B796" s="11"/>
      <c r="C796" s="11"/>
      <c r="D796" s="9"/>
      <c r="E796" s="9"/>
      <c r="F796" s="11"/>
      <c r="G796" s="11"/>
      <c r="H796" s="9"/>
      <c r="I796" s="9"/>
      <c r="J796" s="12"/>
      <c r="K796" s="12"/>
      <c r="L796" s="12" t="str">
        <f aca="false">IF(A796="","",IF(I796="はい",IF(AND(ISNUMBER(J796),ISNUMBER(K796)),K796-J796,""),""))</f>
        <v/>
      </c>
      <c r="M796" s="9"/>
      <c r="N796" s="11"/>
      <c r="O796" s="13"/>
    </row>
    <row r="797" customFormat="false" ht="15.75" hidden="false" customHeight="false" outlineLevel="0" collapsed="false">
      <c r="A797" s="10"/>
      <c r="B797" s="11"/>
      <c r="C797" s="11"/>
      <c r="D797" s="9"/>
      <c r="E797" s="9"/>
      <c r="F797" s="11"/>
      <c r="G797" s="11"/>
      <c r="H797" s="9"/>
      <c r="I797" s="9"/>
      <c r="J797" s="12"/>
      <c r="K797" s="12"/>
      <c r="L797" s="12" t="str">
        <f aca="false">IF(A797="","",IF(I797="はい",IF(AND(ISNUMBER(J797),ISNUMBER(K797)),K797-J797,""),""))</f>
        <v/>
      </c>
      <c r="M797" s="9"/>
      <c r="N797" s="11"/>
      <c r="O797" s="13"/>
    </row>
    <row r="798" customFormat="false" ht="15.75" hidden="false" customHeight="false" outlineLevel="0" collapsed="false">
      <c r="A798" s="10"/>
      <c r="B798" s="11"/>
      <c r="C798" s="11"/>
      <c r="D798" s="9"/>
      <c r="E798" s="9"/>
      <c r="F798" s="11"/>
      <c r="G798" s="11"/>
      <c r="H798" s="9"/>
      <c r="I798" s="9"/>
      <c r="J798" s="12"/>
      <c r="K798" s="12"/>
      <c r="L798" s="12" t="str">
        <f aca="false">IF(A798="","",IF(I798="はい",IF(AND(ISNUMBER(J798),ISNUMBER(K798)),K798-J798,""),""))</f>
        <v/>
      </c>
      <c r="M798" s="9"/>
      <c r="N798" s="11"/>
      <c r="O798" s="13"/>
    </row>
    <row r="799" customFormat="false" ht="15.75" hidden="false" customHeight="false" outlineLevel="0" collapsed="false">
      <c r="A799" s="10"/>
      <c r="B799" s="11"/>
      <c r="C799" s="11"/>
      <c r="D799" s="9"/>
      <c r="E799" s="9"/>
      <c r="F799" s="11"/>
      <c r="G799" s="11"/>
      <c r="H799" s="9"/>
      <c r="I799" s="9"/>
      <c r="J799" s="12"/>
      <c r="K799" s="12"/>
      <c r="L799" s="12" t="str">
        <f aca="false">IF(A799="","",IF(I799="はい",IF(AND(ISNUMBER(J799),ISNUMBER(K799)),K799-J799,""),""))</f>
        <v/>
      </c>
      <c r="M799" s="9"/>
      <c r="N799" s="11"/>
      <c r="O799" s="13"/>
    </row>
    <row r="800" customFormat="false" ht="15.75" hidden="false" customHeight="false" outlineLevel="0" collapsed="false">
      <c r="A800" s="10"/>
      <c r="B800" s="11"/>
      <c r="C800" s="11"/>
      <c r="D800" s="9"/>
      <c r="E800" s="9"/>
      <c r="F800" s="11"/>
      <c r="G800" s="11"/>
      <c r="H800" s="9"/>
      <c r="I800" s="9"/>
      <c r="J800" s="12"/>
      <c r="K800" s="12"/>
      <c r="L800" s="12" t="str">
        <f aca="false">IF(A800="","",IF(I800="はい",IF(AND(ISNUMBER(J800),ISNUMBER(K800)),K800-J800,""),""))</f>
        <v/>
      </c>
      <c r="M800" s="9"/>
      <c r="N800" s="11"/>
      <c r="O800" s="13"/>
    </row>
    <row r="801" customFormat="false" ht="15.75" hidden="false" customHeight="false" outlineLevel="0" collapsed="false">
      <c r="A801" s="10"/>
      <c r="B801" s="11"/>
      <c r="C801" s="11"/>
      <c r="D801" s="9"/>
      <c r="E801" s="9"/>
      <c r="F801" s="11"/>
      <c r="G801" s="11"/>
      <c r="H801" s="9"/>
      <c r="I801" s="9"/>
      <c r="J801" s="12"/>
      <c r="K801" s="12"/>
      <c r="L801" s="12" t="str">
        <f aca="false">IF(A801="","",IF(I801="はい",IF(AND(ISNUMBER(J801),ISNUMBER(K801)),K801-J801,""),""))</f>
        <v/>
      </c>
      <c r="M801" s="9"/>
      <c r="N801" s="11"/>
      <c r="O801" s="13"/>
    </row>
    <row r="802" customFormat="false" ht="15.75" hidden="false" customHeight="false" outlineLevel="0" collapsed="false">
      <c r="A802" s="10"/>
      <c r="B802" s="11"/>
      <c r="C802" s="11"/>
      <c r="D802" s="9"/>
      <c r="E802" s="9"/>
      <c r="F802" s="11"/>
      <c r="G802" s="11"/>
      <c r="H802" s="9"/>
      <c r="I802" s="9"/>
      <c r="J802" s="12"/>
      <c r="K802" s="12"/>
      <c r="L802" s="12" t="str">
        <f aca="false">IF(A802="","",IF(I802="はい",IF(AND(ISNUMBER(J802),ISNUMBER(K802)),K802-J802,""),""))</f>
        <v/>
      </c>
      <c r="M802" s="9"/>
      <c r="N802" s="11"/>
      <c r="O802" s="13"/>
    </row>
    <row r="803" customFormat="false" ht="15.75" hidden="false" customHeight="false" outlineLevel="0" collapsed="false">
      <c r="A803" s="10"/>
      <c r="B803" s="11"/>
      <c r="C803" s="11"/>
      <c r="D803" s="9"/>
      <c r="E803" s="9"/>
      <c r="F803" s="11"/>
      <c r="G803" s="11"/>
      <c r="H803" s="9"/>
      <c r="I803" s="9"/>
      <c r="J803" s="12"/>
      <c r="K803" s="12"/>
      <c r="L803" s="12" t="str">
        <f aca="false">IF(A803="","",IF(I803="はい",IF(AND(ISNUMBER(J803),ISNUMBER(K803)),K803-J803,""),""))</f>
        <v/>
      </c>
      <c r="M803" s="9"/>
      <c r="N803" s="11"/>
      <c r="O803" s="13"/>
    </row>
    <row r="804" customFormat="false" ht="15.75" hidden="false" customHeight="false" outlineLevel="0" collapsed="false">
      <c r="A804" s="10"/>
      <c r="B804" s="11"/>
      <c r="C804" s="11"/>
      <c r="D804" s="9"/>
      <c r="E804" s="9"/>
      <c r="F804" s="11"/>
      <c r="G804" s="11"/>
      <c r="H804" s="9"/>
      <c r="I804" s="9"/>
      <c r="J804" s="12"/>
      <c r="K804" s="12"/>
      <c r="L804" s="12" t="str">
        <f aca="false">IF(A804="","",IF(I804="はい",IF(AND(ISNUMBER(J804),ISNUMBER(K804)),K804-J804,""),""))</f>
        <v/>
      </c>
      <c r="M804" s="9"/>
      <c r="N804" s="11"/>
      <c r="O804" s="13"/>
    </row>
    <row r="805" customFormat="false" ht="15.75" hidden="false" customHeight="false" outlineLevel="0" collapsed="false">
      <c r="A805" s="10"/>
      <c r="B805" s="11"/>
      <c r="C805" s="11"/>
      <c r="D805" s="9"/>
      <c r="E805" s="9"/>
      <c r="F805" s="11"/>
      <c r="G805" s="11"/>
      <c r="H805" s="9"/>
      <c r="I805" s="9"/>
      <c r="J805" s="12"/>
      <c r="K805" s="12"/>
      <c r="L805" s="12" t="str">
        <f aca="false">IF(A805="","",IF(I805="はい",IF(AND(ISNUMBER(J805),ISNUMBER(K805)),K805-J805,""),""))</f>
        <v/>
      </c>
      <c r="M805" s="9"/>
      <c r="N805" s="11"/>
      <c r="O805" s="13"/>
    </row>
    <row r="806" customFormat="false" ht="15.75" hidden="false" customHeight="false" outlineLevel="0" collapsed="false">
      <c r="A806" s="10"/>
      <c r="B806" s="11"/>
      <c r="C806" s="11"/>
      <c r="D806" s="9"/>
      <c r="E806" s="9"/>
      <c r="F806" s="11"/>
      <c r="G806" s="11"/>
      <c r="H806" s="9"/>
      <c r="I806" s="9"/>
      <c r="J806" s="12"/>
      <c r="K806" s="12"/>
      <c r="L806" s="12" t="str">
        <f aca="false">IF(A806="","",IF(I806="はい",IF(AND(ISNUMBER(J806),ISNUMBER(K806)),K806-J806,""),""))</f>
        <v/>
      </c>
      <c r="M806" s="9"/>
      <c r="N806" s="11"/>
      <c r="O806" s="13"/>
    </row>
    <row r="807" customFormat="false" ht="15.75" hidden="false" customHeight="false" outlineLevel="0" collapsed="false">
      <c r="A807" s="10"/>
      <c r="B807" s="11"/>
      <c r="C807" s="11"/>
      <c r="D807" s="9"/>
      <c r="E807" s="9"/>
      <c r="F807" s="11"/>
      <c r="G807" s="11"/>
      <c r="H807" s="9"/>
      <c r="I807" s="9"/>
      <c r="J807" s="12"/>
      <c r="K807" s="12"/>
      <c r="L807" s="12" t="str">
        <f aca="false">IF(A807="","",IF(I807="はい",IF(AND(ISNUMBER(J807),ISNUMBER(K807)),K807-J807,""),""))</f>
        <v/>
      </c>
      <c r="M807" s="9"/>
      <c r="N807" s="11"/>
      <c r="O807" s="13"/>
    </row>
    <row r="808" customFormat="false" ht="15.75" hidden="false" customHeight="false" outlineLevel="0" collapsed="false">
      <c r="A808" s="10"/>
      <c r="B808" s="11"/>
      <c r="C808" s="11"/>
      <c r="D808" s="9"/>
      <c r="E808" s="9"/>
      <c r="F808" s="11"/>
      <c r="G808" s="11"/>
      <c r="H808" s="9"/>
      <c r="I808" s="9"/>
      <c r="J808" s="12"/>
      <c r="K808" s="12"/>
      <c r="L808" s="12" t="str">
        <f aca="false">IF(A808="","",IF(I808="はい",IF(AND(ISNUMBER(J808),ISNUMBER(K808)),K808-J808,""),""))</f>
        <v/>
      </c>
      <c r="M808" s="9"/>
      <c r="N808" s="11"/>
      <c r="O808" s="13"/>
    </row>
    <row r="809" customFormat="false" ht="15.75" hidden="false" customHeight="false" outlineLevel="0" collapsed="false">
      <c r="A809" s="10"/>
      <c r="B809" s="11"/>
      <c r="C809" s="11"/>
      <c r="D809" s="9"/>
      <c r="E809" s="9"/>
      <c r="F809" s="11"/>
      <c r="G809" s="11"/>
      <c r="H809" s="9"/>
      <c r="I809" s="9"/>
      <c r="J809" s="12"/>
      <c r="K809" s="12"/>
      <c r="L809" s="12" t="str">
        <f aca="false">IF(A809="","",IF(I809="はい",IF(AND(ISNUMBER(J809),ISNUMBER(K809)),K809-J809,""),""))</f>
        <v/>
      </c>
      <c r="M809" s="9"/>
      <c r="N809" s="11"/>
      <c r="O809" s="13"/>
    </row>
    <row r="810" customFormat="false" ht="15.75" hidden="false" customHeight="false" outlineLevel="0" collapsed="false">
      <c r="A810" s="10"/>
      <c r="B810" s="11"/>
      <c r="C810" s="11"/>
      <c r="D810" s="9"/>
      <c r="E810" s="9"/>
      <c r="F810" s="11"/>
      <c r="G810" s="11"/>
      <c r="H810" s="9"/>
      <c r="I810" s="9"/>
      <c r="J810" s="12"/>
      <c r="K810" s="12"/>
      <c r="L810" s="12" t="str">
        <f aca="false">IF(A810="","",IF(I810="はい",IF(AND(ISNUMBER(J810),ISNUMBER(K810)),K810-J810,""),""))</f>
        <v/>
      </c>
      <c r="M810" s="9"/>
      <c r="N810" s="11"/>
      <c r="O810" s="13"/>
    </row>
    <row r="811" customFormat="false" ht="15.75" hidden="false" customHeight="false" outlineLevel="0" collapsed="false">
      <c r="A811" s="10"/>
      <c r="B811" s="11"/>
      <c r="C811" s="11"/>
      <c r="D811" s="9"/>
      <c r="E811" s="9"/>
      <c r="F811" s="11"/>
      <c r="G811" s="11"/>
      <c r="H811" s="9"/>
      <c r="I811" s="9"/>
      <c r="J811" s="12"/>
      <c r="K811" s="12"/>
      <c r="L811" s="12" t="str">
        <f aca="false">IF(A811="","",IF(I811="はい",IF(AND(ISNUMBER(J811),ISNUMBER(K811)),K811-J811,""),""))</f>
        <v/>
      </c>
      <c r="M811" s="9"/>
      <c r="N811" s="11"/>
      <c r="O811" s="13"/>
    </row>
    <row r="812" customFormat="false" ht="15.75" hidden="false" customHeight="false" outlineLevel="0" collapsed="false">
      <c r="A812" s="10"/>
      <c r="B812" s="11"/>
      <c r="C812" s="11"/>
      <c r="D812" s="9"/>
      <c r="E812" s="9"/>
      <c r="F812" s="11"/>
      <c r="G812" s="11"/>
      <c r="H812" s="9"/>
      <c r="I812" s="9"/>
      <c r="J812" s="12"/>
      <c r="K812" s="12"/>
      <c r="L812" s="12" t="str">
        <f aca="false">IF(A812="","",IF(I812="はい",IF(AND(ISNUMBER(J812),ISNUMBER(K812)),K812-J812,""),""))</f>
        <v/>
      </c>
      <c r="M812" s="9"/>
      <c r="N812" s="11"/>
      <c r="O812" s="13"/>
    </row>
    <row r="813" customFormat="false" ht="15.75" hidden="false" customHeight="false" outlineLevel="0" collapsed="false">
      <c r="A813" s="10"/>
      <c r="B813" s="11"/>
      <c r="C813" s="11"/>
      <c r="D813" s="9"/>
      <c r="E813" s="9"/>
      <c r="F813" s="11"/>
      <c r="G813" s="11"/>
      <c r="H813" s="9"/>
      <c r="I813" s="9"/>
      <c r="J813" s="12"/>
      <c r="K813" s="12"/>
      <c r="L813" s="12" t="str">
        <f aca="false">IF(A813="","",IF(I813="はい",IF(AND(ISNUMBER(J813),ISNUMBER(K813)),K813-J813,""),""))</f>
        <v/>
      </c>
      <c r="M813" s="9"/>
      <c r="N813" s="11"/>
      <c r="O813" s="13"/>
    </row>
    <row r="814" customFormat="false" ht="15.75" hidden="false" customHeight="false" outlineLevel="0" collapsed="false">
      <c r="A814" s="10"/>
      <c r="B814" s="11"/>
      <c r="C814" s="11"/>
      <c r="D814" s="9"/>
      <c r="E814" s="9"/>
      <c r="F814" s="11"/>
      <c r="G814" s="11"/>
      <c r="H814" s="9"/>
      <c r="I814" s="9"/>
      <c r="J814" s="12"/>
      <c r="K814" s="12"/>
      <c r="L814" s="12" t="str">
        <f aca="false">IF(A814="","",IF(I814="はい",IF(AND(ISNUMBER(J814),ISNUMBER(K814)),K814-J814,""),""))</f>
        <v/>
      </c>
      <c r="M814" s="9"/>
      <c r="N814" s="11"/>
      <c r="O814" s="13"/>
    </row>
    <row r="815" customFormat="false" ht="15.75" hidden="false" customHeight="false" outlineLevel="0" collapsed="false">
      <c r="A815" s="10"/>
      <c r="B815" s="11"/>
      <c r="C815" s="11"/>
      <c r="D815" s="9"/>
      <c r="E815" s="9"/>
      <c r="F815" s="11"/>
      <c r="G815" s="11"/>
      <c r="H815" s="9"/>
      <c r="I815" s="9"/>
      <c r="J815" s="12"/>
      <c r="K815" s="12"/>
      <c r="L815" s="12" t="str">
        <f aca="false">IF(A815="","",IF(I815="はい",IF(AND(ISNUMBER(J815),ISNUMBER(K815)),K815-J815,""),""))</f>
        <v/>
      </c>
      <c r="M815" s="9"/>
      <c r="N815" s="11"/>
      <c r="O815" s="13"/>
    </row>
    <row r="816" customFormat="false" ht="15.75" hidden="false" customHeight="false" outlineLevel="0" collapsed="false">
      <c r="A816" s="10"/>
      <c r="B816" s="11"/>
      <c r="C816" s="11"/>
      <c r="D816" s="9"/>
      <c r="E816" s="9"/>
      <c r="F816" s="11"/>
      <c r="G816" s="11"/>
      <c r="H816" s="9"/>
      <c r="I816" s="9"/>
      <c r="J816" s="12"/>
      <c r="K816" s="12"/>
      <c r="L816" s="12" t="str">
        <f aca="false">IF(A816="","",IF(I816="はい",IF(AND(ISNUMBER(J816),ISNUMBER(K816)),K816-J816,""),""))</f>
        <v/>
      </c>
      <c r="M816" s="9"/>
      <c r="N816" s="11"/>
      <c r="O816" s="13"/>
    </row>
    <row r="817" customFormat="false" ht="15.75" hidden="false" customHeight="false" outlineLevel="0" collapsed="false">
      <c r="A817" s="10"/>
      <c r="B817" s="11"/>
      <c r="C817" s="11"/>
      <c r="D817" s="9"/>
      <c r="E817" s="9"/>
      <c r="F817" s="11"/>
      <c r="G817" s="11"/>
      <c r="H817" s="9"/>
      <c r="I817" s="9"/>
      <c r="J817" s="12"/>
      <c r="K817" s="12"/>
      <c r="L817" s="12" t="str">
        <f aca="false">IF(A817="","",IF(I817="はい",IF(AND(ISNUMBER(J817),ISNUMBER(K817)),K817-J817,""),""))</f>
        <v/>
      </c>
      <c r="M817" s="9"/>
      <c r="N817" s="11"/>
      <c r="O817" s="13"/>
    </row>
    <row r="818" customFormat="false" ht="15.75" hidden="false" customHeight="false" outlineLevel="0" collapsed="false">
      <c r="A818" s="10"/>
      <c r="B818" s="11"/>
      <c r="C818" s="11"/>
      <c r="D818" s="9"/>
      <c r="E818" s="9"/>
      <c r="F818" s="11"/>
      <c r="G818" s="11"/>
      <c r="H818" s="9"/>
      <c r="I818" s="9"/>
      <c r="J818" s="12"/>
      <c r="K818" s="12"/>
      <c r="L818" s="12" t="str">
        <f aca="false">IF(A818="","",IF(I818="はい",IF(AND(ISNUMBER(J818),ISNUMBER(K818)),K818-J818,""),""))</f>
        <v/>
      </c>
      <c r="M818" s="9"/>
      <c r="N818" s="11"/>
      <c r="O818" s="13"/>
    </row>
    <row r="819" customFormat="false" ht="15.75" hidden="false" customHeight="false" outlineLevel="0" collapsed="false">
      <c r="A819" s="10"/>
      <c r="B819" s="11"/>
      <c r="C819" s="11"/>
      <c r="D819" s="9"/>
      <c r="E819" s="9"/>
      <c r="F819" s="11"/>
      <c r="G819" s="11"/>
      <c r="H819" s="9"/>
      <c r="I819" s="9"/>
      <c r="J819" s="12"/>
      <c r="K819" s="12"/>
      <c r="L819" s="12" t="str">
        <f aca="false">IF(A819="","",IF(I819="はい",IF(AND(ISNUMBER(J819),ISNUMBER(K819)),K819-J819,""),""))</f>
        <v/>
      </c>
      <c r="M819" s="9"/>
      <c r="N819" s="11"/>
      <c r="O819" s="13"/>
    </row>
    <row r="820" customFormat="false" ht="15.75" hidden="false" customHeight="false" outlineLevel="0" collapsed="false">
      <c r="A820" s="10"/>
      <c r="B820" s="11"/>
      <c r="C820" s="11"/>
      <c r="D820" s="9"/>
      <c r="E820" s="9"/>
      <c r="F820" s="11"/>
      <c r="G820" s="11"/>
      <c r="H820" s="9"/>
      <c r="I820" s="9"/>
      <c r="J820" s="12"/>
      <c r="K820" s="12"/>
      <c r="L820" s="12" t="str">
        <f aca="false">IF(A820="","",IF(I820="はい",IF(AND(ISNUMBER(J820),ISNUMBER(K820)),K820-J820,""),""))</f>
        <v/>
      </c>
      <c r="M820" s="9"/>
      <c r="N820" s="11"/>
      <c r="O820" s="13"/>
    </row>
    <row r="821" customFormat="false" ht="15.75" hidden="false" customHeight="false" outlineLevel="0" collapsed="false">
      <c r="A821" s="10"/>
      <c r="B821" s="11"/>
      <c r="C821" s="11"/>
      <c r="D821" s="9"/>
      <c r="E821" s="9"/>
      <c r="F821" s="11"/>
      <c r="G821" s="11"/>
      <c r="H821" s="9"/>
      <c r="I821" s="9"/>
      <c r="J821" s="12"/>
      <c r="K821" s="12"/>
      <c r="L821" s="12" t="str">
        <f aca="false">IF(A821="","",IF(I821="はい",IF(AND(ISNUMBER(J821),ISNUMBER(K821)),K821-J821,""),""))</f>
        <v/>
      </c>
      <c r="M821" s="9"/>
      <c r="N821" s="11"/>
      <c r="O821" s="13"/>
    </row>
    <row r="822" customFormat="false" ht="15.75" hidden="false" customHeight="false" outlineLevel="0" collapsed="false">
      <c r="A822" s="10"/>
      <c r="B822" s="11"/>
      <c r="C822" s="11"/>
      <c r="D822" s="9"/>
      <c r="E822" s="9"/>
      <c r="F822" s="11"/>
      <c r="G822" s="11"/>
      <c r="H822" s="9"/>
      <c r="I822" s="9"/>
      <c r="J822" s="12"/>
      <c r="K822" s="12"/>
      <c r="L822" s="12" t="str">
        <f aca="false">IF(A822="","",IF(I822="はい",IF(AND(ISNUMBER(J822),ISNUMBER(K822)),K822-J822,""),""))</f>
        <v/>
      </c>
      <c r="M822" s="9"/>
      <c r="N822" s="11"/>
      <c r="O822" s="13"/>
    </row>
    <row r="823" customFormat="false" ht="15.75" hidden="false" customHeight="false" outlineLevel="0" collapsed="false">
      <c r="A823" s="10"/>
      <c r="B823" s="11"/>
      <c r="C823" s="11"/>
      <c r="D823" s="9"/>
      <c r="E823" s="9"/>
      <c r="F823" s="11"/>
      <c r="G823" s="11"/>
      <c r="H823" s="9"/>
      <c r="I823" s="9"/>
      <c r="J823" s="12"/>
      <c r="K823" s="12"/>
      <c r="L823" s="12" t="str">
        <f aca="false">IF(A823="","",IF(I823="はい",IF(AND(ISNUMBER(J823),ISNUMBER(K823)),K823-J823,""),""))</f>
        <v/>
      </c>
      <c r="M823" s="9"/>
      <c r="N823" s="11"/>
      <c r="O823" s="13"/>
    </row>
    <row r="824" customFormat="false" ht="15.75" hidden="false" customHeight="false" outlineLevel="0" collapsed="false">
      <c r="A824" s="10"/>
      <c r="B824" s="11"/>
      <c r="C824" s="11"/>
      <c r="D824" s="9"/>
      <c r="E824" s="9"/>
      <c r="F824" s="11"/>
      <c r="G824" s="11"/>
      <c r="H824" s="9"/>
      <c r="I824" s="9"/>
      <c r="J824" s="12"/>
      <c r="K824" s="12"/>
      <c r="L824" s="12" t="str">
        <f aca="false">IF(A824="","",IF(I824="はい",IF(AND(ISNUMBER(J824),ISNUMBER(K824)),K824-J824,""),""))</f>
        <v/>
      </c>
      <c r="M824" s="9"/>
      <c r="N824" s="11"/>
      <c r="O824" s="13"/>
    </row>
    <row r="825" customFormat="false" ht="15.75" hidden="false" customHeight="false" outlineLevel="0" collapsed="false">
      <c r="A825" s="10"/>
      <c r="B825" s="11"/>
      <c r="C825" s="11"/>
      <c r="D825" s="9"/>
      <c r="E825" s="9"/>
      <c r="F825" s="11"/>
      <c r="G825" s="11"/>
      <c r="H825" s="9"/>
      <c r="I825" s="9"/>
      <c r="J825" s="12"/>
      <c r="K825" s="12"/>
      <c r="L825" s="12" t="str">
        <f aca="false">IF(A825="","",IF(I825="はい",IF(AND(ISNUMBER(J825),ISNUMBER(K825)),K825-J825,""),""))</f>
        <v/>
      </c>
      <c r="M825" s="9"/>
      <c r="N825" s="11"/>
      <c r="O825" s="13"/>
    </row>
    <row r="826" customFormat="false" ht="15.75" hidden="false" customHeight="false" outlineLevel="0" collapsed="false">
      <c r="A826" s="10"/>
      <c r="B826" s="11"/>
      <c r="C826" s="11"/>
      <c r="D826" s="9"/>
      <c r="E826" s="9"/>
      <c r="F826" s="11"/>
      <c r="G826" s="11"/>
      <c r="H826" s="9"/>
      <c r="I826" s="9"/>
      <c r="J826" s="12"/>
      <c r="K826" s="12"/>
      <c r="L826" s="12" t="str">
        <f aca="false">IF(A826="","",IF(I826="はい",IF(AND(ISNUMBER(J826),ISNUMBER(K826)),K826-J826,""),""))</f>
        <v/>
      </c>
      <c r="M826" s="9"/>
      <c r="N826" s="11"/>
      <c r="O826" s="13"/>
    </row>
    <row r="827" customFormat="false" ht="15.75" hidden="false" customHeight="false" outlineLevel="0" collapsed="false">
      <c r="A827" s="10"/>
      <c r="B827" s="11"/>
      <c r="C827" s="11"/>
      <c r="D827" s="9"/>
      <c r="E827" s="9"/>
      <c r="F827" s="11"/>
      <c r="G827" s="11"/>
      <c r="H827" s="9"/>
      <c r="I827" s="9"/>
      <c r="J827" s="12"/>
      <c r="K827" s="12"/>
      <c r="L827" s="12" t="str">
        <f aca="false">IF(A827="","",IF(I827="はい",IF(AND(ISNUMBER(J827),ISNUMBER(K827)),K827-J827,""),""))</f>
        <v/>
      </c>
      <c r="M827" s="9"/>
      <c r="N827" s="11"/>
      <c r="O827" s="13"/>
    </row>
    <row r="828" customFormat="false" ht="15.75" hidden="false" customHeight="false" outlineLevel="0" collapsed="false">
      <c r="A828" s="10"/>
      <c r="B828" s="11"/>
      <c r="C828" s="11"/>
      <c r="D828" s="9"/>
      <c r="E828" s="9"/>
      <c r="F828" s="11"/>
      <c r="G828" s="11"/>
      <c r="H828" s="9"/>
      <c r="I828" s="9"/>
      <c r="J828" s="12"/>
      <c r="K828" s="12"/>
      <c r="L828" s="12" t="str">
        <f aca="false">IF(A828="","",IF(I828="はい",IF(AND(ISNUMBER(J828),ISNUMBER(K828)),K828-J828,""),""))</f>
        <v/>
      </c>
      <c r="M828" s="9"/>
      <c r="N828" s="11"/>
      <c r="O828" s="13"/>
    </row>
    <row r="829" customFormat="false" ht="15.75" hidden="false" customHeight="false" outlineLevel="0" collapsed="false">
      <c r="A829" s="10"/>
      <c r="B829" s="11"/>
      <c r="C829" s="11"/>
      <c r="D829" s="9"/>
      <c r="E829" s="9"/>
      <c r="F829" s="11"/>
      <c r="G829" s="11"/>
      <c r="H829" s="9"/>
      <c r="I829" s="9"/>
      <c r="J829" s="12"/>
      <c r="K829" s="12"/>
      <c r="L829" s="12" t="str">
        <f aca="false">IF(A829="","",IF(I829="はい",IF(AND(ISNUMBER(J829),ISNUMBER(K829)),K829-J829,""),""))</f>
        <v/>
      </c>
      <c r="M829" s="9"/>
      <c r="N829" s="11"/>
      <c r="O829" s="13"/>
    </row>
    <row r="830" customFormat="false" ht="15.75" hidden="false" customHeight="false" outlineLevel="0" collapsed="false">
      <c r="A830" s="10"/>
      <c r="B830" s="11"/>
      <c r="C830" s="11"/>
      <c r="D830" s="9"/>
      <c r="E830" s="9"/>
      <c r="F830" s="11"/>
      <c r="G830" s="11"/>
      <c r="H830" s="9"/>
      <c r="I830" s="9"/>
      <c r="J830" s="12"/>
      <c r="K830" s="12"/>
      <c r="L830" s="12" t="str">
        <f aca="false">IF(A830="","",IF(I830="はい",IF(AND(ISNUMBER(J830),ISNUMBER(K830)),K830-J830,""),""))</f>
        <v/>
      </c>
      <c r="M830" s="9"/>
      <c r="N830" s="11"/>
      <c r="O830" s="13"/>
    </row>
    <row r="831" customFormat="false" ht="15.75" hidden="false" customHeight="false" outlineLevel="0" collapsed="false">
      <c r="A831" s="10"/>
      <c r="B831" s="11"/>
      <c r="C831" s="11"/>
      <c r="D831" s="9"/>
      <c r="E831" s="9"/>
      <c r="F831" s="11"/>
      <c r="G831" s="11"/>
      <c r="H831" s="9"/>
      <c r="I831" s="9"/>
      <c r="J831" s="12"/>
      <c r="K831" s="12"/>
      <c r="L831" s="12" t="str">
        <f aca="false">IF(A831="","",IF(I831="はい",IF(AND(ISNUMBER(J831),ISNUMBER(K831)),K831-J831,""),""))</f>
        <v/>
      </c>
      <c r="M831" s="9"/>
      <c r="N831" s="11"/>
      <c r="O831" s="13"/>
    </row>
    <row r="832" customFormat="false" ht="15.75" hidden="false" customHeight="false" outlineLevel="0" collapsed="false">
      <c r="A832" s="10"/>
      <c r="B832" s="11"/>
      <c r="C832" s="11"/>
      <c r="D832" s="9"/>
      <c r="E832" s="9"/>
      <c r="F832" s="11"/>
      <c r="G832" s="11"/>
      <c r="H832" s="9"/>
      <c r="I832" s="9"/>
      <c r="J832" s="12"/>
      <c r="K832" s="12"/>
      <c r="L832" s="12" t="str">
        <f aca="false">IF(A832="","",IF(I832="はい",IF(AND(ISNUMBER(J832),ISNUMBER(K832)),K832-J832,""),""))</f>
        <v/>
      </c>
      <c r="M832" s="9"/>
      <c r="N832" s="11"/>
      <c r="O832" s="13"/>
    </row>
    <row r="833" customFormat="false" ht="15.75" hidden="false" customHeight="false" outlineLevel="0" collapsed="false">
      <c r="A833" s="10"/>
      <c r="B833" s="11"/>
      <c r="C833" s="11"/>
      <c r="D833" s="9"/>
      <c r="E833" s="9"/>
      <c r="F833" s="11"/>
      <c r="G833" s="11"/>
      <c r="H833" s="9"/>
      <c r="I833" s="9"/>
      <c r="J833" s="12"/>
      <c r="K833" s="12"/>
      <c r="L833" s="12" t="str">
        <f aca="false">IF(A833="","",IF(I833="はい",IF(AND(ISNUMBER(J833),ISNUMBER(K833)),K833-J833,""),""))</f>
        <v/>
      </c>
      <c r="M833" s="9"/>
      <c r="N833" s="11"/>
      <c r="O833" s="13"/>
    </row>
    <row r="834" customFormat="false" ht="15.75" hidden="false" customHeight="false" outlineLevel="0" collapsed="false">
      <c r="A834" s="10"/>
      <c r="B834" s="11"/>
      <c r="C834" s="11"/>
      <c r="D834" s="9"/>
      <c r="E834" s="9"/>
      <c r="F834" s="11"/>
      <c r="G834" s="11"/>
      <c r="H834" s="9"/>
      <c r="I834" s="9"/>
      <c r="J834" s="12"/>
      <c r="K834" s="12"/>
      <c r="L834" s="12" t="str">
        <f aca="false">IF(A834="","",IF(I834="はい",IF(AND(ISNUMBER(J834),ISNUMBER(K834)),K834-J834,""),""))</f>
        <v/>
      </c>
      <c r="M834" s="9"/>
      <c r="N834" s="11"/>
      <c r="O834" s="13"/>
    </row>
    <row r="835" customFormat="false" ht="15.75" hidden="false" customHeight="false" outlineLevel="0" collapsed="false">
      <c r="A835" s="10"/>
      <c r="B835" s="11"/>
      <c r="C835" s="11"/>
      <c r="D835" s="9"/>
      <c r="E835" s="9"/>
      <c r="F835" s="11"/>
      <c r="G835" s="11"/>
      <c r="H835" s="9"/>
      <c r="I835" s="9"/>
      <c r="J835" s="12"/>
      <c r="K835" s="12"/>
      <c r="L835" s="12" t="str">
        <f aca="false">IF(A835="","",IF(I835="はい",IF(AND(ISNUMBER(J835),ISNUMBER(K835)),K835-J835,""),""))</f>
        <v/>
      </c>
      <c r="M835" s="9"/>
      <c r="N835" s="11"/>
      <c r="O835" s="13"/>
    </row>
    <row r="836" customFormat="false" ht="15.75" hidden="false" customHeight="false" outlineLevel="0" collapsed="false">
      <c r="A836" s="10"/>
      <c r="B836" s="11"/>
      <c r="C836" s="11"/>
      <c r="D836" s="9"/>
      <c r="E836" s="9"/>
      <c r="F836" s="11"/>
      <c r="G836" s="11"/>
      <c r="H836" s="9"/>
      <c r="I836" s="9"/>
      <c r="J836" s="12"/>
      <c r="K836" s="12"/>
      <c r="L836" s="12" t="str">
        <f aca="false">IF(A836="","",IF(I836="はい",IF(AND(ISNUMBER(J836),ISNUMBER(K836)),K836-J836,""),""))</f>
        <v/>
      </c>
      <c r="M836" s="9"/>
      <c r="N836" s="11"/>
      <c r="O836" s="13"/>
    </row>
    <row r="837" customFormat="false" ht="15.75" hidden="false" customHeight="false" outlineLevel="0" collapsed="false">
      <c r="A837" s="10"/>
      <c r="B837" s="11"/>
      <c r="C837" s="11"/>
      <c r="D837" s="9"/>
      <c r="E837" s="9"/>
      <c r="F837" s="11"/>
      <c r="G837" s="11"/>
      <c r="H837" s="9"/>
      <c r="I837" s="9"/>
      <c r="J837" s="12"/>
      <c r="K837" s="12"/>
      <c r="L837" s="12" t="str">
        <f aca="false">IF(A837="","",IF(I837="はい",IF(AND(ISNUMBER(J837),ISNUMBER(K837)),K837-J837,""),""))</f>
        <v/>
      </c>
      <c r="M837" s="9"/>
      <c r="N837" s="11"/>
      <c r="O837" s="13"/>
    </row>
    <row r="838" customFormat="false" ht="15.75" hidden="false" customHeight="false" outlineLevel="0" collapsed="false">
      <c r="A838" s="10"/>
      <c r="B838" s="11"/>
      <c r="C838" s="11"/>
      <c r="D838" s="9"/>
      <c r="E838" s="9"/>
      <c r="F838" s="11"/>
      <c r="G838" s="11"/>
      <c r="H838" s="9"/>
      <c r="I838" s="9"/>
      <c r="J838" s="12"/>
      <c r="K838" s="12"/>
      <c r="L838" s="12" t="str">
        <f aca="false">IF(A838="","",IF(I838="はい",IF(AND(ISNUMBER(J838),ISNUMBER(K838)),K838-J838,""),""))</f>
        <v/>
      </c>
      <c r="M838" s="9"/>
      <c r="N838" s="11"/>
      <c r="O838" s="13"/>
    </row>
    <row r="839" customFormat="false" ht="15.75" hidden="false" customHeight="false" outlineLevel="0" collapsed="false">
      <c r="A839" s="10"/>
      <c r="B839" s="11"/>
      <c r="C839" s="11"/>
      <c r="D839" s="9"/>
      <c r="E839" s="9"/>
      <c r="F839" s="11"/>
      <c r="G839" s="11"/>
      <c r="H839" s="9"/>
      <c r="I839" s="9"/>
      <c r="J839" s="12"/>
      <c r="K839" s="12"/>
      <c r="L839" s="12" t="str">
        <f aca="false">IF(A839="","",IF(I839="はい",IF(AND(ISNUMBER(J839),ISNUMBER(K839)),K839-J839,""),""))</f>
        <v/>
      </c>
      <c r="M839" s="9"/>
      <c r="N839" s="11"/>
      <c r="O839" s="13"/>
    </row>
    <row r="840" customFormat="false" ht="15.75" hidden="false" customHeight="false" outlineLevel="0" collapsed="false">
      <c r="A840" s="10"/>
      <c r="B840" s="11"/>
      <c r="C840" s="11"/>
      <c r="D840" s="9"/>
      <c r="E840" s="9"/>
      <c r="F840" s="11"/>
      <c r="G840" s="11"/>
      <c r="H840" s="9"/>
      <c r="I840" s="9"/>
      <c r="J840" s="12"/>
      <c r="K840" s="12"/>
      <c r="L840" s="12" t="str">
        <f aca="false">IF(A840="","",IF(I840="はい",IF(AND(ISNUMBER(J840),ISNUMBER(K840)),K840-J840,""),""))</f>
        <v/>
      </c>
      <c r="M840" s="9"/>
      <c r="N840" s="11"/>
      <c r="O840" s="13"/>
    </row>
    <row r="841" customFormat="false" ht="15.75" hidden="false" customHeight="false" outlineLevel="0" collapsed="false">
      <c r="A841" s="10"/>
      <c r="B841" s="11"/>
      <c r="C841" s="11"/>
      <c r="D841" s="9"/>
      <c r="E841" s="9"/>
      <c r="F841" s="11"/>
      <c r="G841" s="11"/>
      <c r="H841" s="9"/>
      <c r="I841" s="9"/>
      <c r="J841" s="12"/>
      <c r="K841" s="12"/>
      <c r="L841" s="12" t="str">
        <f aca="false">IF(A841="","",IF(I841="はい",IF(AND(ISNUMBER(J841),ISNUMBER(K841)),K841-J841,""),""))</f>
        <v/>
      </c>
      <c r="M841" s="9"/>
      <c r="N841" s="11"/>
      <c r="O841" s="13"/>
    </row>
    <row r="842" customFormat="false" ht="15.75" hidden="false" customHeight="false" outlineLevel="0" collapsed="false">
      <c r="A842" s="10"/>
      <c r="B842" s="11"/>
      <c r="C842" s="11"/>
      <c r="D842" s="9"/>
      <c r="E842" s="9"/>
      <c r="F842" s="11"/>
      <c r="G842" s="11"/>
      <c r="H842" s="9"/>
      <c r="I842" s="9"/>
      <c r="J842" s="12"/>
      <c r="K842" s="12"/>
      <c r="L842" s="12" t="str">
        <f aca="false">IF(A842="","",IF(I842="はい",IF(AND(ISNUMBER(J842),ISNUMBER(K842)),K842-J842,""),""))</f>
        <v/>
      </c>
      <c r="M842" s="9"/>
      <c r="N842" s="11"/>
      <c r="O842" s="13"/>
    </row>
    <row r="843" customFormat="false" ht="15.75" hidden="false" customHeight="false" outlineLevel="0" collapsed="false">
      <c r="A843" s="10"/>
      <c r="B843" s="11"/>
      <c r="C843" s="11"/>
      <c r="D843" s="9"/>
      <c r="E843" s="9"/>
      <c r="F843" s="11"/>
      <c r="G843" s="11"/>
      <c r="H843" s="9"/>
      <c r="I843" s="9"/>
      <c r="J843" s="12"/>
      <c r="K843" s="12"/>
      <c r="L843" s="12" t="str">
        <f aca="false">IF(A843="","",IF(I843="はい",IF(AND(ISNUMBER(J843),ISNUMBER(K843)),K843-J843,""),""))</f>
        <v/>
      </c>
      <c r="M843" s="9"/>
      <c r="N843" s="11"/>
      <c r="O843" s="13"/>
    </row>
    <row r="844" customFormat="false" ht="15.75" hidden="false" customHeight="false" outlineLevel="0" collapsed="false">
      <c r="A844" s="10"/>
      <c r="B844" s="11"/>
      <c r="C844" s="11"/>
      <c r="D844" s="9"/>
      <c r="E844" s="9"/>
      <c r="F844" s="11"/>
      <c r="G844" s="11"/>
      <c r="H844" s="9"/>
      <c r="I844" s="9"/>
      <c r="J844" s="12"/>
      <c r="K844" s="12"/>
      <c r="L844" s="12" t="str">
        <f aca="false">IF(A844="","",IF(I844="はい",IF(AND(ISNUMBER(J844),ISNUMBER(K844)),K844-J844,""),""))</f>
        <v/>
      </c>
      <c r="M844" s="9"/>
      <c r="N844" s="11"/>
      <c r="O844" s="13"/>
    </row>
    <row r="845" customFormat="false" ht="15.75" hidden="false" customHeight="false" outlineLevel="0" collapsed="false">
      <c r="A845" s="10"/>
      <c r="B845" s="11"/>
      <c r="C845" s="11"/>
      <c r="D845" s="9"/>
      <c r="E845" s="9"/>
      <c r="F845" s="11"/>
      <c r="G845" s="11"/>
      <c r="H845" s="9"/>
      <c r="I845" s="9"/>
      <c r="J845" s="12"/>
      <c r="K845" s="12"/>
      <c r="L845" s="12" t="str">
        <f aca="false">IF(A845="","",IF(I845="はい",IF(AND(ISNUMBER(J845),ISNUMBER(K845)),K845-J845,""),""))</f>
        <v/>
      </c>
      <c r="M845" s="9"/>
      <c r="N845" s="11"/>
      <c r="O845" s="13"/>
    </row>
    <row r="846" customFormat="false" ht="15.75" hidden="false" customHeight="false" outlineLevel="0" collapsed="false">
      <c r="A846" s="10"/>
      <c r="B846" s="11"/>
      <c r="C846" s="11"/>
      <c r="D846" s="9"/>
      <c r="E846" s="9"/>
      <c r="F846" s="11"/>
      <c r="G846" s="11"/>
      <c r="H846" s="9"/>
      <c r="I846" s="9"/>
      <c r="J846" s="12"/>
      <c r="K846" s="12"/>
      <c r="L846" s="12" t="str">
        <f aca="false">IF(A846="","",IF(I846="はい",IF(AND(ISNUMBER(J846),ISNUMBER(K846)),K846-J846,""),""))</f>
        <v/>
      </c>
      <c r="M846" s="9"/>
      <c r="N846" s="11"/>
      <c r="O846" s="13"/>
    </row>
    <row r="847" customFormat="false" ht="15.75" hidden="false" customHeight="false" outlineLevel="0" collapsed="false">
      <c r="A847" s="10"/>
      <c r="B847" s="11"/>
      <c r="C847" s="11"/>
      <c r="D847" s="9"/>
      <c r="E847" s="9"/>
      <c r="F847" s="11"/>
      <c r="G847" s="11"/>
      <c r="H847" s="9"/>
      <c r="I847" s="9"/>
      <c r="J847" s="12"/>
      <c r="K847" s="12"/>
      <c r="L847" s="12" t="str">
        <f aca="false">IF(A847="","",IF(I847="はい",IF(AND(ISNUMBER(J847),ISNUMBER(K847)),K847-J847,""),""))</f>
        <v/>
      </c>
      <c r="M847" s="9"/>
      <c r="N847" s="11"/>
      <c r="O847" s="13"/>
    </row>
    <row r="848" customFormat="false" ht="15.75" hidden="false" customHeight="false" outlineLevel="0" collapsed="false">
      <c r="A848" s="10"/>
      <c r="B848" s="11"/>
      <c r="C848" s="11"/>
      <c r="D848" s="9"/>
      <c r="E848" s="9"/>
      <c r="F848" s="11"/>
      <c r="G848" s="11"/>
      <c r="H848" s="9"/>
      <c r="I848" s="9"/>
      <c r="J848" s="12"/>
      <c r="K848" s="12"/>
      <c r="L848" s="12" t="str">
        <f aca="false">IF(A848="","",IF(I848="はい",IF(AND(ISNUMBER(J848),ISNUMBER(K848)),K848-J848,""),""))</f>
        <v/>
      </c>
      <c r="M848" s="9"/>
      <c r="N848" s="11"/>
      <c r="O848" s="13"/>
    </row>
    <row r="849" customFormat="false" ht="15.75" hidden="false" customHeight="false" outlineLevel="0" collapsed="false">
      <c r="A849" s="10"/>
      <c r="B849" s="11"/>
      <c r="C849" s="11"/>
      <c r="D849" s="9"/>
      <c r="E849" s="9"/>
      <c r="F849" s="11"/>
      <c r="G849" s="11"/>
      <c r="H849" s="9"/>
      <c r="I849" s="9"/>
      <c r="J849" s="12"/>
      <c r="K849" s="12"/>
      <c r="L849" s="12" t="str">
        <f aca="false">IF(A849="","",IF(I849="はい",IF(AND(ISNUMBER(J849),ISNUMBER(K849)),K849-J849,""),""))</f>
        <v/>
      </c>
      <c r="M849" s="9"/>
      <c r="N849" s="11"/>
      <c r="O849" s="13"/>
    </row>
    <row r="850" customFormat="false" ht="15.75" hidden="false" customHeight="false" outlineLevel="0" collapsed="false">
      <c r="A850" s="10"/>
      <c r="B850" s="11"/>
      <c r="C850" s="11"/>
      <c r="D850" s="9"/>
      <c r="E850" s="9"/>
      <c r="F850" s="11"/>
      <c r="G850" s="11"/>
      <c r="H850" s="9"/>
      <c r="I850" s="9"/>
      <c r="J850" s="12"/>
      <c r="K850" s="12"/>
      <c r="L850" s="12" t="str">
        <f aca="false">IF(A850="","",IF(I850="はい",IF(AND(ISNUMBER(J850),ISNUMBER(K850)),K850-J850,""),""))</f>
        <v/>
      </c>
      <c r="M850" s="9"/>
      <c r="N850" s="11"/>
      <c r="O850" s="13"/>
    </row>
    <row r="851" customFormat="false" ht="15.75" hidden="false" customHeight="false" outlineLevel="0" collapsed="false">
      <c r="A851" s="10"/>
      <c r="B851" s="11"/>
      <c r="C851" s="11"/>
      <c r="D851" s="9"/>
      <c r="E851" s="9"/>
      <c r="F851" s="11"/>
      <c r="G851" s="11"/>
      <c r="H851" s="9"/>
      <c r="I851" s="9"/>
      <c r="J851" s="12"/>
      <c r="K851" s="12"/>
      <c r="L851" s="12" t="str">
        <f aca="false">IF(A851="","",IF(I851="はい",IF(AND(ISNUMBER(J851),ISNUMBER(K851)),K851-J851,""),""))</f>
        <v/>
      </c>
      <c r="M851" s="9"/>
      <c r="N851" s="11"/>
      <c r="O851" s="13"/>
    </row>
    <row r="852" customFormat="false" ht="15.75" hidden="false" customHeight="false" outlineLevel="0" collapsed="false">
      <c r="A852" s="10"/>
      <c r="B852" s="11"/>
      <c r="C852" s="11"/>
      <c r="D852" s="9"/>
      <c r="E852" s="9"/>
      <c r="F852" s="11"/>
      <c r="G852" s="11"/>
      <c r="H852" s="9"/>
      <c r="I852" s="9"/>
      <c r="J852" s="12"/>
      <c r="K852" s="12"/>
      <c r="L852" s="12" t="str">
        <f aca="false">IF(A852="","",IF(I852="はい",IF(AND(ISNUMBER(J852),ISNUMBER(K852)),K852-J852,""),""))</f>
        <v/>
      </c>
      <c r="M852" s="9"/>
      <c r="N852" s="11"/>
      <c r="O852" s="13"/>
    </row>
    <row r="853" customFormat="false" ht="15.75" hidden="false" customHeight="false" outlineLevel="0" collapsed="false">
      <c r="A853" s="10"/>
      <c r="B853" s="11"/>
      <c r="C853" s="11"/>
      <c r="D853" s="9"/>
      <c r="E853" s="9"/>
      <c r="F853" s="11"/>
      <c r="G853" s="11"/>
      <c r="H853" s="9"/>
      <c r="I853" s="9"/>
      <c r="J853" s="12"/>
      <c r="K853" s="12"/>
      <c r="L853" s="12" t="str">
        <f aca="false">IF(A853="","",IF(I853="はい",IF(AND(ISNUMBER(J853),ISNUMBER(K853)),K853-J853,""),""))</f>
        <v/>
      </c>
      <c r="M853" s="9"/>
      <c r="N853" s="11"/>
      <c r="O853" s="13"/>
    </row>
    <row r="854" customFormat="false" ht="15.75" hidden="false" customHeight="false" outlineLevel="0" collapsed="false">
      <c r="A854" s="10"/>
      <c r="B854" s="11"/>
      <c r="C854" s="11"/>
      <c r="D854" s="9"/>
      <c r="E854" s="9"/>
      <c r="F854" s="11"/>
      <c r="G854" s="11"/>
      <c r="H854" s="9"/>
      <c r="I854" s="9"/>
      <c r="J854" s="12"/>
      <c r="K854" s="12"/>
      <c r="L854" s="12" t="str">
        <f aca="false">IF(A854="","",IF(I854="はい",IF(AND(ISNUMBER(J854),ISNUMBER(K854)),K854-J854,""),""))</f>
        <v/>
      </c>
      <c r="M854" s="9"/>
      <c r="N854" s="11"/>
      <c r="O854" s="13"/>
    </row>
    <row r="855" customFormat="false" ht="15.75" hidden="false" customHeight="false" outlineLevel="0" collapsed="false">
      <c r="A855" s="10"/>
      <c r="B855" s="11"/>
      <c r="C855" s="11"/>
      <c r="D855" s="9"/>
      <c r="E855" s="9"/>
      <c r="F855" s="11"/>
      <c r="G855" s="11"/>
      <c r="H855" s="9"/>
      <c r="I855" s="9"/>
      <c r="J855" s="12"/>
      <c r="K855" s="12"/>
      <c r="L855" s="12" t="str">
        <f aca="false">IF(A855="","",IF(I855="はい",IF(AND(ISNUMBER(J855),ISNUMBER(K855)),K855-J855,""),""))</f>
        <v/>
      </c>
      <c r="M855" s="9"/>
      <c r="N855" s="11"/>
      <c r="O855" s="13"/>
    </row>
    <row r="856" customFormat="false" ht="15.75" hidden="false" customHeight="false" outlineLevel="0" collapsed="false">
      <c r="A856" s="10"/>
      <c r="B856" s="11"/>
      <c r="C856" s="11"/>
      <c r="D856" s="9"/>
      <c r="E856" s="9"/>
      <c r="F856" s="11"/>
      <c r="G856" s="11"/>
      <c r="H856" s="9"/>
      <c r="I856" s="9"/>
      <c r="J856" s="12"/>
      <c r="K856" s="12"/>
      <c r="L856" s="12" t="str">
        <f aca="false">IF(A856="","",IF(I856="はい",IF(AND(ISNUMBER(J856),ISNUMBER(K856)),K856-J856,""),""))</f>
        <v/>
      </c>
      <c r="M856" s="9"/>
      <c r="N856" s="11"/>
      <c r="O856" s="13"/>
    </row>
    <row r="857" customFormat="false" ht="15.75" hidden="false" customHeight="false" outlineLevel="0" collapsed="false">
      <c r="A857" s="10"/>
      <c r="B857" s="11"/>
      <c r="C857" s="11"/>
      <c r="D857" s="9"/>
      <c r="E857" s="9"/>
      <c r="F857" s="11"/>
      <c r="G857" s="11"/>
      <c r="H857" s="9"/>
      <c r="I857" s="9"/>
      <c r="J857" s="12"/>
      <c r="K857" s="12"/>
      <c r="L857" s="12" t="str">
        <f aca="false">IF(A857="","",IF(I857="はい",IF(AND(ISNUMBER(J857),ISNUMBER(K857)),K857-J857,""),""))</f>
        <v/>
      </c>
      <c r="M857" s="9"/>
      <c r="N857" s="11"/>
      <c r="O857" s="13"/>
    </row>
    <row r="858" customFormat="false" ht="15.75" hidden="false" customHeight="false" outlineLevel="0" collapsed="false">
      <c r="A858" s="10"/>
      <c r="B858" s="11"/>
      <c r="C858" s="11"/>
      <c r="D858" s="9"/>
      <c r="E858" s="9"/>
      <c r="F858" s="11"/>
      <c r="G858" s="11"/>
      <c r="H858" s="9"/>
      <c r="I858" s="9"/>
      <c r="J858" s="12"/>
      <c r="K858" s="12"/>
      <c r="L858" s="12" t="str">
        <f aca="false">IF(A858="","",IF(I858="はい",IF(AND(ISNUMBER(J858),ISNUMBER(K858)),K858-J858,""),""))</f>
        <v/>
      </c>
      <c r="M858" s="9"/>
      <c r="N858" s="11"/>
      <c r="O858" s="13"/>
    </row>
    <row r="859" customFormat="false" ht="15.75" hidden="false" customHeight="false" outlineLevel="0" collapsed="false">
      <c r="A859" s="10"/>
      <c r="B859" s="11"/>
      <c r="C859" s="11"/>
      <c r="D859" s="9"/>
      <c r="E859" s="9"/>
      <c r="F859" s="11"/>
      <c r="G859" s="11"/>
      <c r="H859" s="9"/>
      <c r="I859" s="9"/>
      <c r="J859" s="12"/>
      <c r="K859" s="12"/>
      <c r="L859" s="12" t="str">
        <f aca="false">IF(A859="","",IF(I859="はい",IF(AND(ISNUMBER(J859),ISNUMBER(K859)),K859-J859,""),""))</f>
        <v/>
      </c>
      <c r="M859" s="9"/>
      <c r="N859" s="11"/>
      <c r="O859" s="13"/>
    </row>
    <row r="860" customFormat="false" ht="15.75" hidden="false" customHeight="false" outlineLevel="0" collapsed="false">
      <c r="A860" s="10"/>
      <c r="B860" s="11"/>
      <c r="C860" s="11"/>
      <c r="D860" s="9"/>
      <c r="E860" s="9"/>
      <c r="F860" s="11"/>
      <c r="G860" s="11"/>
      <c r="H860" s="9"/>
      <c r="I860" s="9"/>
      <c r="J860" s="12"/>
      <c r="K860" s="12"/>
      <c r="L860" s="12" t="str">
        <f aca="false">IF(A860="","",IF(I860="はい",IF(AND(ISNUMBER(J860),ISNUMBER(K860)),K860-J860,""),""))</f>
        <v/>
      </c>
      <c r="M860" s="9"/>
      <c r="N860" s="11"/>
      <c r="O860" s="13"/>
    </row>
    <row r="861" customFormat="false" ht="15.75" hidden="false" customHeight="false" outlineLevel="0" collapsed="false">
      <c r="A861" s="10"/>
      <c r="B861" s="11"/>
      <c r="C861" s="11"/>
      <c r="D861" s="9"/>
      <c r="E861" s="9"/>
      <c r="F861" s="11"/>
      <c r="G861" s="11"/>
      <c r="H861" s="9"/>
      <c r="I861" s="9"/>
      <c r="J861" s="12"/>
      <c r="K861" s="12"/>
      <c r="L861" s="12" t="str">
        <f aca="false">IF(A861="","",IF(I861="はい",IF(AND(ISNUMBER(J861),ISNUMBER(K861)),K861-J861,""),""))</f>
        <v/>
      </c>
      <c r="M861" s="9"/>
      <c r="N861" s="11"/>
      <c r="O861" s="13"/>
    </row>
    <row r="862" customFormat="false" ht="15.75" hidden="false" customHeight="false" outlineLevel="0" collapsed="false">
      <c r="A862" s="10"/>
      <c r="B862" s="11"/>
      <c r="C862" s="11"/>
      <c r="D862" s="9"/>
      <c r="E862" s="9"/>
      <c r="F862" s="11"/>
      <c r="G862" s="11"/>
      <c r="H862" s="9"/>
      <c r="I862" s="9"/>
      <c r="J862" s="12"/>
      <c r="K862" s="12"/>
      <c r="L862" s="12" t="str">
        <f aca="false">IF(A862="","",IF(I862="はい",IF(AND(ISNUMBER(J862),ISNUMBER(K862)),K862-J862,""),""))</f>
        <v/>
      </c>
      <c r="M862" s="9"/>
      <c r="N862" s="11"/>
      <c r="O862" s="13"/>
    </row>
    <row r="863" customFormat="false" ht="15.75" hidden="false" customHeight="false" outlineLevel="0" collapsed="false">
      <c r="A863" s="10"/>
      <c r="B863" s="11"/>
      <c r="C863" s="11"/>
      <c r="D863" s="9"/>
      <c r="E863" s="9"/>
      <c r="F863" s="11"/>
      <c r="G863" s="11"/>
      <c r="H863" s="9"/>
      <c r="I863" s="9"/>
      <c r="J863" s="12"/>
      <c r="K863" s="12"/>
      <c r="L863" s="12" t="str">
        <f aca="false">IF(A863="","",IF(I863="はい",IF(AND(ISNUMBER(J863),ISNUMBER(K863)),K863-J863,""),""))</f>
        <v/>
      </c>
      <c r="M863" s="9"/>
      <c r="N863" s="11"/>
      <c r="O863" s="13"/>
    </row>
    <row r="864" customFormat="false" ht="15.75" hidden="false" customHeight="false" outlineLevel="0" collapsed="false">
      <c r="A864" s="10"/>
      <c r="B864" s="11"/>
      <c r="C864" s="11"/>
      <c r="D864" s="9"/>
      <c r="E864" s="9"/>
      <c r="F864" s="11"/>
      <c r="G864" s="11"/>
      <c r="H864" s="9"/>
      <c r="I864" s="9"/>
      <c r="J864" s="12"/>
      <c r="K864" s="12"/>
      <c r="L864" s="12" t="str">
        <f aca="false">IF(A864="","",IF(I864="はい",IF(AND(ISNUMBER(J864),ISNUMBER(K864)),K864-J864,""),""))</f>
        <v/>
      </c>
      <c r="M864" s="9"/>
      <c r="N864" s="11"/>
      <c r="O864" s="13"/>
    </row>
    <row r="865" customFormat="false" ht="15.75" hidden="false" customHeight="false" outlineLevel="0" collapsed="false">
      <c r="A865" s="10"/>
      <c r="B865" s="11"/>
      <c r="C865" s="11"/>
      <c r="D865" s="9"/>
      <c r="E865" s="9"/>
      <c r="F865" s="11"/>
      <c r="G865" s="11"/>
      <c r="H865" s="9"/>
      <c r="I865" s="9"/>
      <c r="J865" s="12"/>
      <c r="K865" s="12"/>
      <c r="L865" s="12" t="str">
        <f aca="false">IF(A865="","",IF(I865="はい",IF(AND(ISNUMBER(J865),ISNUMBER(K865)),K865-J865,""),""))</f>
        <v/>
      </c>
      <c r="M865" s="9"/>
      <c r="N865" s="11"/>
      <c r="O865" s="13"/>
    </row>
    <row r="866" customFormat="false" ht="15.75" hidden="false" customHeight="false" outlineLevel="0" collapsed="false">
      <c r="A866" s="10"/>
      <c r="B866" s="11"/>
      <c r="C866" s="11"/>
      <c r="D866" s="9"/>
      <c r="E866" s="9"/>
      <c r="F866" s="11"/>
      <c r="G866" s="11"/>
      <c r="H866" s="9"/>
      <c r="I866" s="9"/>
      <c r="J866" s="12"/>
      <c r="K866" s="12"/>
      <c r="L866" s="12" t="str">
        <f aca="false">IF(A866="","",IF(I866="はい",IF(AND(ISNUMBER(J866),ISNUMBER(K866)),K866-J866,""),""))</f>
        <v/>
      </c>
      <c r="M866" s="9"/>
      <c r="N866" s="11"/>
      <c r="O866" s="13"/>
    </row>
    <row r="867" customFormat="false" ht="15.75" hidden="false" customHeight="false" outlineLevel="0" collapsed="false">
      <c r="A867" s="10"/>
      <c r="B867" s="11"/>
      <c r="C867" s="11"/>
      <c r="D867" s="9"/>
      <c r="E867" s="9"/>
      <c r="F867" s="11"/>
      <c r="G867" s="11"/>
      <c r="H867" s="9"/>
      <c r="I867" s="9"/>
      <c r="J867" s="12"/>
      <c r="K867" s="12"/>
      <c r="L867" s="12" t="str">
        <f aca="false">IF(A867="","",IF(I867="はい",IF(AND(ISNUMBER(J867),ISNUMBER(K867)),K867-J867,""),""))</f>
        <v/>
      </c>
      <c r="M867" s="9"/>
      <c r="N867" s="11"/>
      <c r="O867" s="13"/>
    </row>
    <row r="868" customFormat="false" ht="15.75" hidden="false" customHeight="false" outlineLevel="0" collapsed="false">
      <c r="A868" s="10"/>
      <c r="B868" s="11"/>
      <c r="C868" s="11"/>
      <c r="D868" s="9"/>
      <c r="E868" s="9"/>
      <c r="F868" s="11"/>
      <c r="G868" s="11"/>
      <c r="H868" s="9"/>
      <c r="I868" s="9"/>
      <c r="J868" s="12"/>
      <c r="K868" s="12"/>
      <c r="L868" s="12" t="str">
        <f aca="false">IF(A868="","",IF(I868="はい",IF(AND(ISNUMBER(J868),ISNUMBER(K868)),K868-J868,""),""))</f>
        <v/>
      </c>
      <c r="M868" s="9"/>
      <c r="N868" s="11"/>
      <c r="O868" s="13"/>
    </row>
    <row r="869" customFormat="false" ht="15.75" hidden="false" customHeight="false" outlineLevel="0" collapsed="false">
      <c r="A869" s="10"/>
      <c r="B869" s="11"/>
      <c r="C869" s="11"/>
      <c r="D869" s="9"/>
      <c r="E869" s="9"/>
      <c r="F869" s="11"/>
      <c r="G869" s="11"/>
      <c r="H869" s="9"/>
      <c r="I869" s="9"/>
      <c r="J869" s="12"/>
      <c r="K869" s="12"/>
      <c r="L869" s="12" t="str">
        <f aca="false">IF(A869="","",IF(I869="はい",IF(AND(ISNUMBER(J869),ISNUMBER(K869)),K869-J869,""),""))</f>
        <v/>
      </c>
      <c r="M869" s="9"/>
      <c r="N869" s="11"/>
      <c r="O869" s="13"/>
    </row>
    <row r="870" customFormat="false" ht="15.75" hidden="false" customHeight="false" outlineLevel="0" collapsed="false">
      <c r="A870" s="10"/>
      <c r="B870" s="11"/>
      <c r="C870" s="11"/>
      <c r="D870" s="9"/>
      <c r="E870" s="9"/>
      <c r="F870" s="11"/>
      <c r="G870" s="11"/>
      <c r="H870" s="9"/>
      <c r="I870" s="9"/>
      <c r="J870" s="12"/>
      <c r="K870" s="12"/>
      <c r="L870" s="12" t="str">
        <f aca="false">IF(A870="","",IF(I870="はい",IF(AND(ISNUMBER(J870),ISNUMBER(K870)),K870-J870,""),""))</f>
        <v/>
      </c>
      <c r="M870" s="9"/>
      <c r="N870" s="11"/>
      <c r="O870" s="13"/>
    </row>
    <row r="871" customFormat="false" ht="15.75" hidden="false" customHeight="false" outlineLevel="0" collapsed="false">
      <c r="A871" s="10"/>
      <c r="B871" s="11"/>
      <c r="C871" s="11"/>
      <c r="D871" s="9"/>
      <c r="E871" s="9"/>
      <c r="F871" s="11"/>
      <c r="G871" s="11"/>
      <c r="H871" s="9"/>
      <c r="I871" s="9"/>
      <c r="J871" s="12"/>
      <c r="K871" s="12"/>
      <c r="L871" s="12" t="str">
        <f aca="false">IF(A871="","",IF(I871="はい",IF(AND(ISNUMBER(J871),ISNUMBER(K871)),K871-J871,""),""))</f>
        <v/>
      </c>
      <c r="M871" s="9"/>
      <c r="N871" s="11"/>
      <c r="O871" s="13"/>
    </row>
    <row r="872" customFormat="false" ht="15.75" hidden="false" customHeight="false" outlineLevel="0" collapsed="false">
      <c r="A872" s="10"/>
      <c r="B872" s="11"/>
      <c r="C872" s="11"/>
      <c r="D872" s="9"/>
      <c r="E872" s="9"/>
      <c r="F872" s="11"/>
      <c r="G872" s="11"/>
      <c r="H872" s="9"/>
      <c r="I872" s="9"/>
      <c r="J872" s="12"/>
      <c r="K872" s="12"/>
      <c r="L872" s="12" t="str">
        <f aca="false">IF(A872="","",IF(I872="はい",IF(AND(ISNUMBER(J872),ISNUMBER(K872)),K872-J872,""),""))</f>
        <v/>
      </c>
      <c r="M872" s="9"/>
      <c r="N872" s="11"/>
      <c r="O872" s="13"/>
    </row>
    <row r="873" customFormat="false" ht="15.75" hidden="false" customHeight="false" outlineLevel="0" collapsed="false">
      <c r="A873" s="10"/>
      <c r="B873" s="11"/>
      <c r="C873" s="11"/>
      <c r="D873" s="9"/>
      <c r="E873" s="9"/>
      <c r="F873" s="11"/>
      <c r="G873" s="11"/>
      <c r="H873" s="9"/>
      <c r="I873" s="9"/>
      <c r="J873" s="12"/>
      <c r="K873" s="12"/>
      <c r="L873" s="12" t="str">
        <f aca="false">IF(A873="","",IF(I873="はい",IF(AND(ISNUMBER(J873),ISNUMBER(K873)),K873-J873,""),""))</f>
        <v/>
      </c>
      <c r="M873" s="9"/>
      <c r="N873" s="11"/>
      <c r="O873" s="13"/>
    </row>
    <row r="874" customFormat="false" ht="15.75" hidden="false" customHeight="false" outlineLevel="0" collapsed="false">
      <c r="A874" s="10"/>
      <c r="B874" s="11"/>
      <c r="C874" s="11"/>
      <c r="D874" s="9"/>
      <c r="E874" s="9"/>
      <c r="F874" s="11"/>
      <c r="G874" s="11"/>
      <c r="H874" s="9"/>
      <c r="I874" s="9"/>
      <c r="J874" s="12"/>
      <c r="K874" s="12"/>
      <c r="L874" s="12" t="str">
        <f aca="false">IF(A874="","",IF(I874="はい",IF(AND(ISNUMBER(J874),ISNUMBER(K874)),K874-J874,""),""))</f>
        <v/>
      </c>
      <c r="M874" s="9"/>
      <c r="N874" s="11"/>
      <c r="O874" s="13"/>
    </row>
    <row r="875" customFormat="false" ht="15.75" hidden="false" customHeight="false" outlineLevel="0" collapsed="false">
      <c r="A875" s="10"/>
      <c r="B875" s="11"/>
      <c r="C875" s="11"/>
      <c r="D875" s="9"/>
      <c r="E875" s="9"/>
      <c r="F875" s="11"/>
      <c r="G875" s="11"/>
      <c r="H875" s="9"/>
      <c r="I875" s="9"/>
      <c r="J875" s="12"/>
      <c r="K875" s="12"/>
      <c r="L875" s="12" t="str">
        <f aca="false">IF(A875="","",IF(I875="はい",IF(AND(ISNUMBER(J875),ISNUMBER(K875)),K875-J875,""),""))</f>
        <v/>
      </c>
      <c r="M875" s="9"/>
      <c r="N875" s="11"/>
      <c r="O875" s="13"/>
    </row>
    <row r="876" customFormat="false" ht="15.75" hidden="false" customHeight="false" outlineLevel="0" collapsed="false">
      <c r="A876" s="10"/>
      <c r="B876" s="11"/>
      <c r="C876" s="11"/>
      <c r="D876" s="9"/>
      <c r="E876" s="9"/>
      <c r="F876" s="11"/>
      <c r="G876" s="11"/>
      <c r="H876" s="9"/>
      <c r="I876" s="9"/>
      <c r="J876" s="12"/>
      <c r="K876" s="12"/>
      <c r="L876" s="12" t="str">
        <f aca="false">IF(A876="","",IF(I876="はい",IF(AND(ISNUMBER(J876),ISNUMBER(K876)),K876-J876,""),""))</f>
        <v/>
      </c>
      <c r="M876" s="9"/>
      <c r="N876" s="11"/>
      <c r="O876" s="13"/>
    </row>
    <row r="877" customFormat="false" ht="15.75" hidden="false" customHeight="false" outlineLevel="0" collapsed="false">
      <c r="A877" s="10"/>
      <c r="B877" s="11"/>
      <c r="C877" s="11"/>
      <c r="D877" s="9"/>
      <c r="E877" s="9"/>
      <c r="F877" s="11"/>
      <c r="G877" s="11"/>
      <c r="H877" s="9"/>
      <c r="I877" s="9"/>
      <c r="J877" s="12"/>
      <c r="K877" s="12"/>
      <c r="L877" s="12" t="str">
        <f aca="false">IF(A877="","",IF(I877="はい",IF(AND(ISNUMBER(J877),ISNUMBER(K877)),K877-J877,""),""))</f>
        <v/>
      </c>
      <c r="M877" s="9"/>
      <c r="N877" s="11"/>
      <c r="O877" s="13"/>
    </row>
    <row r="878" customFormat="false" ht="15.75" hidden="false" customHeight="false" outlineLevel="0" collapsed="false">
      <c r="A878" s="10"/>
      <c r="B878" s="11"/>
      <c r="C878" s="11"/>
      <c r="D878" s="9"/>
      <c r="E878" s="9"/>
      <c r="F878" s="11"/>
      <c r="G878" s="11"/>
      <c r="H878" s="9"/>
      <c r="I878" s="9"/>
      <c r="J878" s="12"/>
      <c r="K878" s="12"/>
      <c r="L878" s="12" t="str">
        <f aca="false">IF(A878="","",IF(I878="はい",IF(AND(ISNUMBER(J878),ISNUMBER(K878)),K878-J878,""),""))</f>
        <v/>
      </c>
      <c r="M878" s="9"/>
      <c r="N878" s="11"/>
      <c r="O878" s="13"/>
    </row>
    <row r="879" customFormat="false" ht="15.75" hidden="false" customHeight="false" outlineLevel="0" collapsed="false">
      <c r="A879" s="10"/>
      <c r="B879" s="11"/>
      <c r="C879" s="11"/>
      <c r="D879" s="9"/>
      <c r="E879" s="9"/>
      <c r="F879" s="11"/>
      <c r="G879" s="11"/>
      <c r="H879" s="9"/>
      <c r="I879" s="9"/>
      <c r="J879" s="12"/>
      <c r="K879" s="12"/>
      <c r="L879" s="12" t="str">
        <f aca="false">IF(A879="","",IF(I879="はい",IF(AND(ISNUMBER(J879),ISNUMBER(K879)),K879-J879,""),""))</f>
        <v/>
      </c>
      <c r="M879" s="9"/>
      <c r="N879" s="11"/>
      <c r="O879" s="13"/>
    </row>
    <row r="880" customFormat="false" ht="15.75" hidden="false" customHeight="false" outlineLevel="0" collapsed="false">
      <c r="A880" s="10"/>
      <c r="B880" s="11"/>
      <c r="C880" s="11"/>
      <c r="D880" s="9"/>
      <c r="E880" s="9"/>
      <c r="F880" s="11"/>
      <c r="G880" s="11"/>
      <c r="H880" s="9"/>
      <c r="I880" s="9"/>
      <c r="J880" s="12"/>
      <c r="K880" s="12"/>
      <c r="L880" s="12" t="str">
        <f aca="false">IF(A880="","",IF(I880="はい",IF(AND(ISNUMBER(J880),ISNUMBER(K880)),K880-J880,""),""))</f>
        <v/>
      </c>
      <c r="M880" s="9"/>
      <c r="N880" s="11"/>
      <c r="O880" s="13"/>
    </row>
    <row r="881" customFormat="false" ht="15.75" hidden="false" customHeight="false" outlineLevel="0" collapsed="false">
      <c r="A881" s="10"/>
      <c r="B881" s="11"/>
      <c r="C881" s="11"/>
      <c r="D881" s="9"/>
      <c r="E881" s="9"/>
      <c r="F881" s="11"/>
      <c r="G881" s="11"/>
      <c r="H881" s="9"/>
      <c r="I881" s="9"/>
      <c r="J881" s="12"/>
      <c r="K881" s="12"/>
      <c r="L881" s="12" t="str">
        <f aca="false">IF(A881="","",IF(I881="はい",IF(AND(ISNUMBER(J881),ISNUMBER(K881)),K881-J881,""),""))</f>
        <v/>
      </c>
      <c r="M881" s="9"/>
      <c r="N881" s="11"/>
      <c r="O881" s="13"/>
    </row>
    <row r="882" customFormat="false" ht="15.75" hidden="false" customHeight="false" outlineLevel="0" collapsed="false">
      <c r="A882" s="10"/>
      <c r="B882" s="11"/>
      <c r="C882" s="11"/>
      <c r="D882" s="9"/>
      <c r="E882" s="9"/>
      <c r="F882" s="11"/>
      <c r="G882" s="11"/>
      <c r="H882" s="9"/>
      <c r="I882" s="9"/>
      <c r="J882" s="12"/>
      <c r="K882" s="12"/>
      <c r="L882" s="12" t="str">
        <f aca="false">IF(A882="","",IF(I882="はい",IF(AND(ISNUMBER(J882),ISNUMBER(K882)),K882-J882,""),""))</f>
        <v/>
      </c>
      <c r="M882" s="9"/>
      <c r="N882" s="11"/>
      <c r="O882" s="13"/>
    </row>
    <row r="883" customFormat="false" ht="15.75" hidden="false" customHeight="false" outlineLevel="0" collapsed="false">
      <c r="A883" s="10"/>
      <c r="B883" s="11"/>
      <c r="C883" s="11"/>
      <c r="D883" s="9"/>
      <c r="E883" s="9"/>
      <c r="F883" s="11"/>
      <c r="G883" s="11"/>
      <c r="H883" s="9"/>
      <c r="I883" s="9"/>
      <c r="J883" s="12"/>
      <c r="K883" s="12"/>
      <c r="L883" s="12" t="str">
        <f aca="false">IF(A883="","",IF(I883="はい",IF(AND(ISNUMBER(J883),ISNUMBER(K883)),K883-J883,""),""))</f>
        <v/>
      </c>
      <c r="M883" s="9"/>
      <c r="N883" s="11"/>
      <c r="O883" s="13"/>
    </row>
    <row r="884" customFormat="false" ht="15.75" hidden="false" customHeight="false" outlineLevel="0" collapsed="false">
      <c r="A884" s="10"/>
      <c r="B884" s="11"/>
      <c r="C884" s="11"/>
      <c r="D884" s="9"/>
      <c r="E884" s="9"/>
      <c r="F884" s="11"/>
      <c r="G884" s="11"/>
      <c r="H884" s="9"/>
      <c r="I884" s="9"/>
      <c r="J884" s="12"/>
      <c r="K884" s="12"/>
      <c r="L884" s="12" t="str">
        <f aca="false">IF(A884="","",IF(I884="はい",IF(AND(ISNUMBER(J884),ISNUMBER(K884)),K884-J884,""),""))</f>
        <v/>
      </c>
      <c r="M884" s="9"/>
      <c r="N884" s="11"/>
      <c r="O884" s="13"/>
    </row>
    <row r="885" customFormat="false" ht="15.75" hidden="false" customHeight="false" outlineLevel="0" collapsed="false">
      <c r="A885" s="10"/>
      <c r="B885" s="11"/>
      <c r="C885" s="11"/>
      <c r="D885" s="9"/>
      <c r="E885" s="9"/>
      <c r="F885" s="11"/>
      <c r="G885" s="11"/>
      <c r="H885" s="9"/>
      <c r="I885" s="9"/>
      <c r="J885" s="12"/>
      <c r="K885" s="12"/>
      <c r="L885" s="12" t="str">
        <f aca="false">IF(A885="","",IF(I885="はい",IF(AND(ISNUMBER(J885),ISNUMBER(K885)),K885-J885,""),""))</f>
        <v/>
      </c>
      <c r="M885" s="9"/>
      <c r="N885" s="11"/>
      <c r="O885" s="13"/>
    </row>
    <row r="886" customFormat="false" ht="15.75" hidden="false" customHeight="false" outlineLevel="0" collapsed="false">
      <c r="A886" s="10"/>
      <c r="B886" s="11"/>
      <c r="C886" s="11"/>
      <c r="D886" s="9"/>
      <c r="E886" s="9"/>
      <c r="F886" s="11"/>
      <c r="G886" s="11"/>
      <c r="H886" s="9"/>
      <c r="I886" s="9"/>
      <c r="J886" s="12"/>
      <c r="K886" s="12"/>
      <c r="L886" s="12" t="str">
        <f aca="false">IF(A886="","",IF(I886="はい",IF(AND(ISNUMBER(J886),ISNUMBER(K886)),K886-J886,""),""))</f>
        <v/>
      </c>
      <c r="M886" s="9"/>
      <c r="N886" s="11"/>
      <c r="O886" s="13"/>
    </row>
    <row r="887" customFormat="false" ht="15.75" hidden="false" customHeight="false" outlineLevel="0" collapsed="false">
      <c r="A887" s="10"/>
      <c r="B887" s="11"/>
      <c r="C887" s="11"/>
      <c r="D887" s="9"/>
      <c r="E887" s="9"/>
      <c r="F887" s="11"/>
      <c r="G887" s="11"/>
      <c r="H887" s="9"/>
      <c r="I887" s="9"/>
      <c r="J887" s="12"/>
      <c r="K887" s="12"/>
      <c r="L887" s="12" t="str">
        <f aca="false">IF(A887="","",IF(I887="はい",IF(AND(ISNUMBER(J887),ISNUMBER(K887)),K887-J887,""),""))</f>
        <v/>
      </c>
      <c r="M887" s="9"/>
      <c r="N887" s="11"/>
      <c r="O887" s="13"/>
    </row>
    <row r="888" customFormat="false" ht="15.75" hidden="false" customHeight="false" outlineLevel="0" collapsed="false">
      <c r="A888" s="10"/>
      <c r="B888" s="11"/>
      <c r="C888" s="11"/>
      <c r="D888" s="9"/>
      <c r="E888" s="9"/>
      <c r="F888" s="11"/>
      <c r="G888" s="11"/>
      <c r="H888" s="9"/>
      <c r="I888" s="9"/>
      <c r="J888" s="12"/>
      <c r="K888" s="12"/>
      <c r="L888" s="12" t="str">
        <f aca="false">IF(A888="","",IF(I888="はい",IF(AND(ISNUMBER(J888),ISNUMBER(K888)),K888-J888,""),""))</f>
        <v/>
      </c>
      <c r="M888" s="9"/>
      <c r="N888" s="11"/>
      <c r="O888" s="13"/>
    </row>
    <row r="889" customFormat="false" ht="15.75" hidden="false" customHeight="false" outlineLevel="0" collapsed="false">
      <c r="A889" s="10"/>
      <c r="B889" s="11"/>
      <c r="C889" s="11"/>
      <c r="D889" s="9"/>
      <c r="E889" s="9"/>
      <c r="F889" s="11"/>
      <c r="G889" s="11"/>
      <c r="H889" s="9"/>
      <c r="I889" s="9"/>
      <c r="J889" s="12"/>
      <c r="K889" s="12"/>
      <c r="L889" s="12" t="str">
        <f aca="false">IF(A889="","",IF(I889="はい",IF(AND(ISNUMBER(J889),ISNUMBER(K889)),K889-J889,""),""))</f>
        <v/>
      </c>
      <c r="M889" s="9"/>
      <c r="N889" s="11"/>
      <c r="O889" s="13"/>
    </row>
    <row r="890" customFormat="false" ht="15.75" hidden="false" customHeight="false" outlineLevel="0" collapsed="false">
      <c r="A890" s="10"/>
      <c r="B890" s="11"/>
      <c r="C890" s="11"/>
      <c r="D890" s="9"/>
      <c r="E890" s="9"/>
      <c r="F890" s="11"/>
      <c r="G890" s="11"/>
      <c r="H890" s="9"/>
      <c r="I890" s="9"/>
      <c r="J890" s="12"/>
      <c r="K890" s="12"/>
      <c r="L890" s="12" t="str">
        <f aca="false">IF(A890="","",IF(I890="はい",IF(AND(ISNUMBER(J890),ISNUMBER(K890)),K890-J890,""),""))</f>
        <v/>
      </c>
      <c r="M890" s="9"/>
      <c r="N890" s="11"/>
      <c r="O890" s="13"/>
    </row>
    <row r="891" customFormat="false" ht="15.75" hidden="false" customHeight="false" outlineLevel="0" collapsed="false">
      <c r="A891" s="10"/>
      <c r="B891" s="11"/>
      <c r="C891" s="11"/>
      <c r="D891" s="9"/>
      <c r="E891" s="9"/>
      <c r="F891" s="11"/>
      <c r="G891" s="11"/>
      <c r="H891" s="9"/>
      <c r="I891" s="9"/>
      <c r="J891" s="12"/>
      <c r="K891" s="12"/>
      <c r="L891" s="12" t="str">
        <f aca="false">IF(A891="","",IF(I891="はい",IF(AND(ISNUMBER(J891),ISNUMBER(K891)),K891-J891,""),""))</f>
        <v/>
      </c>
      <c r="M891" s="9"/>
      <c r="N891" s="11"/>
      <c r="O891" s="13"/>
    </row>
    <row r="892" customFormat="false" ht="15.75" hidden="false" customHeight="false" outlineLevel="0" collapsed="false">
      <c r="A892" s="10"/>
      <c r="B892" s="11"/>
      <c r="C892" s="11"/>
      <c r="D892" s="9"/>
      <c r="E892" s="9"/>
      <c r="F892" s="11"/>
      <c r="G892" s="11"/>
      <c r="H892" s="9"/>
      <c r="I892" s="9"/>
      <c r="J892" s="12"/>
      <c r="K892" s="12"/>
      <c r="L892" s="12" t="str">
        <f aca="false">IF(A892="","",IF(I892="はい",IF(AND(ISNUMBER(J892),ISNUMBER(K892)),K892-J892,""),""))</f>
        <v/>
      </c>
      <c r="M892" s="9"/>
      <c r="N892" s="11"/>
      <c r="O892" s="13"/>
    </row>
    <row r="893" customFormat="false" ht="15.75" hidden="false" customHeight="false" outlineLevel="0" collapsed="false">
      <c r="A893" s="10"/>
      <c r="B893" s="11"/>
      <c r="C893" s="11"/>
      <c r="D893" s="9"/>
      <c r="E893" s="9"/>
      <c r="F893" s="11"/>
      <c r="G893" s="11"/>
      <c r="H893" s="9"/>
      <c r="I893" s="9"/>
      <c r="J893" s="12"/>
      <c r="K893" s="12"/>
      <c r="L893" s="12" t="str">
        <f aca="false">IF(A893="","",IF(I893="はい",IF(AND(ISNUMBER(J893),ISNUMBER(K893)),K893-J893,""),""))</f>
        <v/>
      </c>
      <c r="M893" s="9"/>
      <c r="N893" s="11"/>
      <c r="O893" s="13"/>
    </row>
    <row r="894" customFormat="false" ht="15.75" hidden="false" customHeight="false" outlineLevel="0" collapsed="false">
      <c r="A894" s="10"/>
      <c r="B894" s="11"/>
      <c r="C894" s="11"/>
      <c r="D894" s="9"/>
      <c r="E894" s="9"/>
      <c r="F894" s="11"/>
      <c r="G894" s="11"/>
      <c r="H894" s="9"/>
      <c r="I894" s="9"/>
      <c r="J894" s="12"/>
      <c r="K894" s="12"/>
      <c r="L894" s="12" t="str">
        <f aca="false">IF(A894="","",IF(I894="はい",IF(AND(ISNUMBER(J894),ISNUMBER(K894)),K894-J894,""),""))</f>
        <v/>
      </c>
      <c r="M894" s="9"/>
      <c r="N894" s="11"/>
      <c r="O894" s="13"/>
    </row>
    <row r="895" customFormat="false" ht="15.75" hidden="false" customHeight="false" outlineLevel="0" collapsed="false">
      <c r="A895" s="10"/>
      <c r="B895" s="11"/>
      <c r="C895" s="11"/>
      <c r="D895" s="9"/>
      <c r="E895" s="9"/>
      <c r="F895" s="11"/>
      <c r="G895" s="11"/>
      <c r="H895" s="9"/>
      <c r="I895" s="9"/>
      <c r="J895" s="12"/>
      <c r="K895" s="12"/>
      <c r="L895" s="12" t="str">
        <f aca="false">IF(A895="","",IF(I895="はい",IF(AND(ISNUMBER(J895),ISNUMBER(K895)),K895-J895,""),""))</f>
        <v/>
      </c>
      <c r="M895" s="9"/>
      <c r="N895" s="11"/>
      <c r="O895" s="13"/>
    </row>
    <row r="896" customFormat="false" ht="15.75" hidden="false" customHeight="false" outlineLevel="0" collapsed="false">
      <c r="A896" s="10"/>
      <c r="B896" s="11"/>
      <c r="C896" s="11"/>
      <c r="D896" s="9"/>
      <c r="E896" s="9"/>
      <c r="F896" s="11"/>
      <c r="G896" s="11"/>
      <c r="H896" s="9"/>
      <c r="I896" s="9"/>
      <c r="J896" s="12"/>
      <c r="K896" s="12"/>
      <c r="L896" s="12" t="str">
        <f aca="false">IF(A896="","",IF(I896="はい",IF(AND(ISNUMBER(J896),ISNUMBER(K896)),K896-J896,""),""))</f>
        <v/>
      </c>
      <c r="M896" s="9"/>
      <c r="N896" s="11"/>
      <c r="O896" s="13"/>
    </row>
    <row r="897" customFormat="false" ht="15.75" hidden="false" customHeight="false" outlineLevel="0" collapsed="false">
      <c r="A897" s="10"/>
      <c r="B897" s="11"/>
      <c r="C897" s="11"/>
      <c r="D897" s="9"/>
      <c r="E897" s="9"/>
      <c r="F897" s="11"/>
      <c r="G897" s="11"/>
      <c r="H897" s="9"/>
      <c r="I897" s="9"/>
      <c r="J897" s="12"/>
      <c r="K897" s="12"/>
      <c r="L897" s="12" t="str">
        <f aca="false">IF(A897="","",IF(I897="はい",IF(AND(ISNUMBER(J897),ISNUMBER(K897)),K897-J897,""),""))</f>
        <v/>
      </c>
      <c r="M897" s="9"/>
      <c r="N897" s="11"/>
      <c r="O897" s="13"/>
    </row>
    <row r="898" customFormat="false" ht="15.75" hidden="false" customHeight="false" outlineLevel="0" collapsed="false">
      <c r="A898" s="10"/>
      <c r="B898" s="11"/>
      <c r="C898" s="11"/>
      <c r="D898" s="9"/>
      <c r="E898" s="9"/>
      <c r="F898" s="11"/>
      <c r="G898" s="11"/>
      <c r="H898" s="9"/>
      <c r="I898" s="9"/>
      <c r="J898" s="12"/>
      <c r="K898" s="12"/>
      <c r="L898" s="12" t="str">
        <f aca="false">IF(A898="","",IF(I898="はい",IF(AND(ISNUMBER(J898),ISNUMBER(K898)),K898-J898,""),""))</f>
        <v/>
      </c>
      <c r="M898" s="9"/>
      <c r="N898" s="11"/>
      <c r="O898" s="13"/>
    </row>
    <row r="899" customFormat="false" ht="15.75" hidden="false" customHeight="false" outlineLevel="0" collapsed="false">
      <c r="A899" s="10"/>
      <c r="B899" s="11"/>
      <c r="C899" s="11"/>
      <c r="D899" s="9"/>
      <c r="E899" s="9"/>
      <c r="F899" s="11"/>
      <c r="G899" s="11"/>
      <c r="H899" s="9"/>
      <c r="I899" s="9"/>
      <c r="J899" s="12"/>
      <c r="K899" s="12"/>
      <c r="L899" s="12" t="str">
        <f aca="false">IF(A899="","",IF(I899="はい",IF(AND(ISNUMBER(J899),ISNUMBER(K899)),K899-J899,""),""))</f>
        <v/>
      </c>
      <c r="M899" s="9"/>
      <c r="N899" s="11"/>
      <c r="O899" s="13"/>
    </row>
    <row r="900" customFormat="false" ht="15.75" hidden="false" customHeight="false" outlineLevel="0" collapsed="false">
      <c r="A900" s="10"/>
      <c r="B900" s="11"/>
      <c r="C900" s="11"/>
      <c r="D900" s="9"/>
      <c r="E900" s="9"/>
      <c r="F900" s="11"/>
      <c r="G900" s="11"/>
      <c r="H900" s="9"/>
      <c r="I900" s="9"/>
      <c r="J900" s="12"/>
      <c r="K900" s="12"/>
      <c r="L900" s="12" t="str">
        <f aca="false">IF(A900="","",IF(I900="はい",IF(AND(ISNUMBER(J900),ISNUMBER(K900)),K900-J900,""),""))</f>
        <v/>
      </c>
      <c r="M900" s="9"/>
      <c r="N900" s="11"/>
      <c r="O900" s="13"/>
    </row>
    <row r="901" customFormat="false" ht="15.75" hidden="false" customHeight="false" outlineLevel="0" collapsed="false">
      <c r="A901" s="10"/>
      <c r="B901" s="11"/>
      <c r="C901" s="11"/>
      <c r="D901" s="9"/>
      <c r="E901" s="9"/>
      <c r="F901" s="11"/>
      <c r="G901" s="11"/>
      <c r="H901" s="9"/>
      <c r="I901" s="9"/>
      <c r="J901" s="12"/>
      <c r="K901" s="12"/>
      <c r="L901" s="12" t="str">
        <f aca="false">IF(A901="","",IF(I901="はい",IF(AND(ISNUMBER(J901),ISNUMBER(K901)),K901-J901,""),""))</f>
        <v/>
      </c>
      <c r="M901" s="9"/>
      <c r="N901" s="11"/>
      <c r="O901" s="13"/>
    </row>
    <row r="902" customFormat="false" ht="15.75" hidden="false" customHeight="false" outlineLevel="0" collapsed="false">
      <c r="A902" s="10"/>
      <c r="B902" s="11"/>
      <c r="C902" s="11"/>
      <c r="D902" s="9"/>
      <c r="E902" s="9"/>
      <c r="F902" s="11"/>
      <c r="G902" s="11"/>
      <c r="H902" s="9"/>
      <c r="I902" s="9"/>
      <c r="J902" s="12"/>
      <c r="K902" s="12"/>
      <c r="L902" s="12" t="str">
        <f aca="false">IF(A902="","",IF(I902="はい",IF(AND(ISNUMBER(J902),ISNUMBER(K902)),K902-J902,""),""))</f>
        <v/>
      </c>
      <c r="M902" s="9"/>
      <c r="N902" s="11"/>
      <c r="O902" s="13"/>
    </row>
    <row r="903" customFormat="false" ht="15.75" hidden="false" customHeight="false" outlineLevel="0" collapsed="false">
      <c r="A903" s="10"/>
      <c r="B903" s="11"/>
      <c r="C903" s="11"/>
      <c r="D903" s="9"/>
      <c r="E903" s="9"/>
      <c r="F903" s="11"/>
      <c r="G903" s="11"/>
      <c r="H903" s="9"/>
      <c r="I903" s="9"/>
      <c r="J903" s="12"/>
      <c r="K903" s="12"/>
      <c r="L903" s="12" t="str">
        <f aca="false">IF(A903="","",IF(I903="はい",IF(AND(ISNUMBER(J903),ISNUMBER(K903)),K903-J903,""),""))</f>
        <v/>
      </c>
      <c r="M903" s="9"/>
      <c r="N903" s="11"/>
      <c r="O903" s="13"/>
    </row>
    <row r="904" customFormat="false" ht="15.75" hidden="false" customHeight="false" outlineLevel="0" collapsed="false">
      <c r="A904" s="10"/>
      <c r="B904" s="11"/>
      <c r="C904" s="11"/>
      <c r="D904" s="9"/>
      <c r="E904" s="9"/>
      <c r="F904" s="11"/>
      <c r="G904" s="11"/>
      <c r="H904" s="9"/>
      <c r="I904" s="9"/>
      <c r="J904" s="12"/>
      <c r="K904" s="12"/>
      <c r="L904" s="12" t="str">
        <f aca="false">IF(A904="","",IF(I904="はい",IF(AND(ISNUMBER(J904),ISNUMBER(K904)),K904-J904,""),""))</f>
        <v/>
      </c>
      <c r="M904" s="9"/>
      <c r="N904" s="11"/>
      <c r="O904" s="13"/>
    </row>
    <row r="905" customFormat="false" ht="15.75" hidden="false" customHeight="false" outlineLevel="0" collapsed="false">
      <c r="A905" s="10"/>
      <c r="B905" s="11"/>
      <c r="C905" s="11"/>
      <c r="D905" s="9"/>
      <c r="E905" s="9"/>
      <c r="F905" s="11"/>
      <c r="G905" s="11"/>
      <c r="H905" s="9"/>
      <c r="I905" s="9"/>
      <c r="J905" s="12"/>
      <c r="K905" s="12"/>
      <c r="L905" s="12" t="str">
        <f aca="false">IF(A905="","",IF(I905="はい",IF(AND(ISNUMBER(J905),ISNUMBER(K905)),K905-J905,""),""))</f>
        <v/>
      </c>
      <c r="M905" s="9"/>
      <c r="N905" s="11"/>
      <c r="O905" s="13"/>
    </row>
    <row r="906" customFormat="false" ht="15.75" hidden="false" customHeight="false" outlineLevel="0" collapsed="false">
      <c r="A906" s="10"/>
      <c r="B906" s="11"/>
      <c r="C906" s="11"/>
      <c r="D906" s="9"/>
      <c r="E906" s="9"/>
      <c r="F906" s="11"/>
      <c r="G906" s="11"/>
      <c r="H906" s="9"/>
      <c r="I906" s="9"/>
      <c r="J906" s="12"/>
      <c r="K906" s="12"/>
      <c r="L906" s="12" t="str">
        <f aca="false">IF(A906="","",IF(I906="はい",IF(AND(ISNUMBER(J906),ISNUMBER(K906)),K906-J906,""),""))</f>
        <v/>
      </c>
      <c r="M906" s="9"/>
      <c r="N906" s="11"/>
      <c r="O906" s="13"/>
    </row>
    <row r="907" customFormat="false" ht="15.75" hidden="false" customHeight="false" outlineLevel="0" collapsed="false">
      <c r="A907" s="10"/>
      <c r="B907" s="11"/>
      <c r="C907" s="11"/>
      <c r="D907" s="9"/>
      <c r="E907" s="9"/>
      <c r="F907" s="11"/>
      <c r="G907" s="11"/>
      <c r="H907" s="9"/>
      <c r="I907" s="9"/>
      <c r="J907" s="12"/>
      <c r="K907" s="12"/>
      <c r="L907" s="12" t="str">
        <f aca="false">IF(A907="","",IF(I907="はい",IF(AND(ISNUMBER(J907),ISNUMBER(K907)),K907-J907,""),""))</f>
        <v/>
      </c>
      <c r="M907" s="9"/>
      <c r="N907" s="11"/>
      <c r="O907" s="13"/>
    </row>
    <row r="908" customFormat="false" ht="15.75" hidden="false" customHeight="false" outlineLevel="0" collapsed="false">
      <c r="A908" s="10"/>
      <c r="B908" s="11"/>
      <c r="C908" s="11"/>
      <c r="D908" s="9"/>
      <c r="E908" s="9"/>
      <c r="F908" s="11"/>
      <c r="G908" s="11"/>
      <c r="H908" s="9"/>
      <c r="I908" s="9"/>
      <c r="J908" s="12"/>
      <c r="K908" s="12"/>
      <c r="L908" s="12" t="str">
        <f aca="false">IF(A908="","",IF(I908="はい",IF(AND(ISNUMBER(J908),ISNUMBER(K908)),K908-J908,""),""))</f>
        <v/>
      </c>
      <c r="M908" s="9"/>
      <c r="N908" s="11"/>
      <c r="O908" s="13"/>
    </row>
    <row r="909" customFormat="false" ht="15.75" hidden="false" customHeight="false" outlineLevel="0" collapsed="false">
      <c r="A909" s="10"/>
      <c r="B909" s="11"/>
      <c r="C909" s="11"/>
      <c r="D909" s="9"/>
      <c r="E909" s="9"/>
      <c r="F909" s="11"/>
      <c r="G909" s="11"/>
      <c r="H909" s="9"/>
      <c r="I909" s="9"/>
      <c r="J909" s="12"/>
      <c r="K909" s="12"/>
      <c r="L909" s="12" t="str">
        <f aca="false">IF(A909="","",IF(I909="はい",IF(AND(ISNUMBER(J909),ISNUMBER(K909)),K909-J909,""),""))</f>
        <v/>
      </c>
      <c r="M909" s="9"/>
      <c r="N909" s="11"/>
      <c r="O909" s="13"/>
    </row>
    <row r="910" customFormat="false" ht="15.75" hidden="false" customHeight="false" outlineLevel="0" collapsed="false">
      <c r="A910" s="10"/>
      <c r="B910" s="11"/>
      <c r="C910" s="11"/>
      <c r="D910" s="9"/>
      <c r="E910" s="9"/>
      <c r="F910" s="11"/>
      <c r="G910" s="11"/>
      <c r="H910" s="9"/>
      <c r="I910" s="9"/>
      <c r="J910" s="12"/>
      <c r="K910" s="12"/>
      <c r="L910" s="12" t="str">
        <f aca="false">IF(A910="","",IF(I910="はい",IF(AND(ISNUMBER(J910),ISNUMBER(K910)),K910-J910,""),""))</f>
        <v/>
      </c>
      <c r="M910" s="9"/>
      <c r="N910" s="11"/>
      <c r="O910" s="13"/>
    </row>
    <row r="911" customFormat="false" ht="15.75" hidden="false" customHeight="false" outlineLevel="0" collapsed="false">
      <c r="A911" s="10"/>
      <c r="B911" s="11"/>
      <c r="C911" s="11"/>
      <c r="D911" s="9"/>
      <c r="E911" s="9"/>
      <c r="F911" s="11"/>
      <c r="G911" s="11"/>
      <c r="H911" s="9"/>
      <c r="I911" s="9"/>
      <c r="J911" s="12"/>
      <c r="K911" s="12"/>
      <c r="L911" s="12" t="str">
        <f aca="false">IF(A911="","",IF(I911="はい",IF(AND(ISNUMBER(J911),ISNUMBER(K911)),K911-J911,""),""))</f>
        <v/>
      </c>
      <c r="M911" s="9"/>
      <c r="N911" s="11"/>
      <c r="O911" s="13"/>
    </row>
    <row r="912" customFormat="false" ht="15.75" hidden="false" customHeight="false" outlineLevel="0" collapsed="false">
      <c r="A912" s="10"/>
      <c r="B912" s="11"/>
      <c r="C912" s="11"/>
      <c r="D912" s="9"/>
      <c r="E912" s="9"/>
      <c r="F912" s="11"/>
      <c r="G912" s="11"/>
      <c r="H912" s="9"/>
      <c r="I912" s="9"/>
      <c r="J912" s="12"/>
      <c r="K912" s="12"/>
      <c r="L912" s="12" t="str">
        <f aca="false">IF(A912="","",IF(I912="はい",IF(AND(ISNUMBER(J912),ISNUMBER(K912)),K912-J912,""),""))</f>
        <v/>
      </c>
      <c r="M912" s="9"/>
      <c r="N912" s="11"/>
      <c r="O912" s="13"/>
    </row>
    <row r="913" customFormat="false" ht="15.75" hidden="false" customHeight="false" outlineLevel="0" collapsed="false">
      <c r="A913" s="10"/>
      <c r="B913" s="11"/>
      <c r="C913" s="11"/>
      <c r="D913" s="9"/>
      <c r="E913" s="9"/>
      <c r="F913" s="11"/>
      <c r="G913" s="11"/>
      <c r="H913" s="9"/>
      <c r="I913" s="9"/>
      <c r="J913" s="12"/>
      <c r="K913" s="12"/>
      <c r="L913" s="12" t="str">
        <f aca="false">IF(A913="","",IF(I913="はい",IF(AND(ISNUMBER(J913),ISNUMBER(K913)),K913-J913,""),""))</f>
        <v/>
      </c>
      <c r="M913" s="9"/>
      <c r="N913" s="11"/>
      <c r="O913" s="13"/>
    </row>
    <row r="914" customFormat="false" ht="15.75" hidden="false" customHeight="false" outlineLevel="0" collapsed="false">
      <c r="A914" s="10"/>
      <c r="B914" s="11"/>
      <c r="C914" s="11"/>
      <c r="D914" s="9"/>
      <c r="E914" s="9"/>
      <c r="F914" s="11"/>
      <c r="G914" s="11"/>
      <c r="H914" s="9"/>
      <c r="I914" s="9"/>
      <c r="J914" s="12"/>
      <c r="K914" s="12"/>
      <c r="L914" s="12" t="str">
        <f aca="false">IF(A914="","",IF(I914="はい",IF(AND(ISNUMBER(J914),ISNUMBER(K914)),K914-J914,""),""))</f>
        <v/>
      </c>
      <c r="M914" s="9"/>
      <c r="N914" s="11"/>
      <c r="O914" s="13"/>
    </row>
    <row r="915" customFormat="false" ht="15.75" hidden="false" customHeight="false" outlineLevel="0" collapsed="false">
      <c r="A915" s="10"/>
      <c r="B915" s="11"/>
      <c r="C915" s="11"/>
      <c r="D915" s="9"/>
      <c r="E915" s="9"/>
      <c r="F915" s="11"/>
      <c r="G915" s="11"/>
      <c r="H915" s="9"/>
      <c r="I915" s="9"/>
      <c r="J915" s="12"/>
      <c r="K915" s="12"/>
      <c r="L915" s="12" t="str">
        <f aca="false">IF(A915="","",IF(I915="はい",IF(AND(ISNUMBER(J915),ISNUMBER(K915)),K915-J915,""),""))</f>
        <v/>
      </c>
      <c r="M915" s="9"/>
      <c r="N915" s="11"/>
      <c r="O915" s="13"/>
    </row>
    <row r="916" customFormat="false" ht="15.75" hidden="false" customHeight="false" outlineLevel="0" collapsed="false">
      <c r="A916" s="10"/>
      <c r="B916" s="11"/>
      <c r="C916" s="11"/>
      <c r="D916" s="9"/>
      <c r="E916" s="9"/>
      <c r="F916" s="11"/>
      <c r="G916" s="11"/>
      <c r="H916" s="9"/>
      <c r="I916" s="9"/>
      <c r="J916" s="12"/>
      <c r="K916" s="12"/>
      <c r="L916" s="12" t="str">
        <f aca="false">IF(A916="","",IF(I916="はい",IF(AND(ISNUMBER(J916),ISNUMBER(K916)),K916-J916,""),""))</f>
        <v/>
      </c>
      <c r="M916" s="9"/>
      <c r="N916" s="11"/>
      <c r="O916" s="13"/>
    </row>
    <row r="917" customFormat="false" ht="15.75" hidden="false" customHeight="false" outlineLevel="0" collapsed="false">
      <c r="A917" s="10"/>
      <c r="B917" s="11"/>
      <c r="C917" s="11"/>
      <c r="D917" s="9"/>
      <c r="E917" s="9"/>
      <c r="F917" s="11"/>
      <c r="G917" s="11"/>
      <c r="H917" s="9"/>
      <c r="I917" s="9"/>
      <c r="J917" s="12"/>
      <c r="K917" s="12"/>
      <c r="L917" s="12" t="str">
        <f aca="false">IF(A917="","",IF(I917="はい",IF(AND(ISNUMBER(J917),ISNUMBER(K917)),K917-J917,""),""))</f>
        <v/>
      </c>
      <c r="M917" s="9"/>
      <c r="N917" s="11"/>
      <c r="O917" s="13"/>
    </row>
    <row r="918" customFormat="false" ht="15.75" hidden="false" customHeight="false" outlineLevel="0" collapsed="false">
      <c r="A918" s="10"/>
      <c r="B918" s="11"/>
      <c r="C918" s="11"/>
      <c r="D918" s="9"/>
      <c r="E918" s="9"/>
      <c r="F918" s="11"/>
      <c r="G918" s="11"/>
      <c r="H918" s="9"/>
      <c r="I918" s="9"/>
      <c r="J918" s="12"/>
      <c r="K918" s="12"/>
      <c r="L918" s="12" t="str">
        <f aca="false">IF(A918="","",IF(I918="はい",IF(AND(ISNUMBER(J918),ISNUMBER(K918)),K918-J918,""),""))</f>
        <v/>
      </c>
      <c r="M918" s="9"/>
      <c r="N918" s="11"/>
      <c r="O918" s="13"/>
    </row>
    <row r="919" customFormat="false" ht="15.75" hidden="false" customHeight="false" outlineLevel="0" collapsed="false">
      <c r="A919" s="10"/>
      <c r="B919" s="11"/>
      <c r="C919" s="11"/>
      <c r="D919" s="9"/>
      <c r="E919" s="9"/>
      <c r="F919" s="11"/>
      <c r="G919" s="11"/>
      <c r="H919" s="9"/>
      <c r="I919" s="9"/>
      <c r="J919" s="12"/>
      <c r="K919" s="12"/>
      <c r="L919" s="12" t="str">
        <f aca="false">IF(A919="","",IF(I919="はい",IF(AND(ISNUMBER(J919),ISNUMBER(K919)),K919-J919,""),""))</f>
        <v/>
      </c>
      <c r="M919" s="9"/>
      <c r="N919" s="11"/>
      <c r="O919" s="13"/>
    </row>
    <row r="920" customFormat="false" ht="15.75" hidden="false" customHeight="false" outlineLevel="0" collapsed="false">
      <c r="A920" s="10"/>
      <c r="B920" s="11"/>
      <c r="C920" s="11"/>
      <c r="D920" s="9"/>
      <c r="E920" s="9"/>
      <c r="F920" s="11"/>
      <c r="G920" s="11"/>
      <c r="H920" s="9"/>
      <c r="I920" s="9"/>
      <c r="J920" s="12"/>
      <c r="K920" s="12"/>
      <c r="L920" s="12" t="str">
        <f aca="false">IF(A920="","",IF(I920="はい",IF(AND(ISNUMBER(J920),ISNUMBER(K920)),K920-J920,""),""))</f>
        <v/>
      </c>
      <c r="M920" s="9"/>
      <c r="N920" s="11"/>
      <c r="O920" s="13"/>
    </row>
    <row r="921" customFormat="false" ht="15.75" hidden="false" customHeight="false" outlineLevel="0" collapsed="false">
      <c r="A921" s="10"/>
      <c r="B921" s="11"/>
      <c r="C921" s="11"/>
      <c r="D921" s="9"/>
      <c r="E921" s="9"/>
      <c r="F921" s="11"/>
      <c r="G921" s="11"/>
      <c r="H921" s="9"/>
      <c r="I921" s="9"/>
      <c r="J921" s="12"/>
      <c r="K921" s="12"/>
      <c r="L921" s="12" t="str">
        <f aca="false">IF(A921="","",IF(I921="はい",IF(AND(ISNUMBER(J921),ISNUMBER(K921)),K921-J921,""),""))</f>
        <v/>
      </c>
      <c r="M921" s="9"/>
      <c r="N921" s="11"/>
      <c r="O921" s="13"/>
    </row>
    <row r="922" customFormat="false" ht="15.75" hidden="false" customHeight="false" outlineLevel="0" collapsed="false">
      <c r="A922" s="10"/>
      <c r="B922" s="11"/>
      <c r="C922" s="11"/>
      <c r="D922" s="9"/>
      <c r="E922" s="9"/>
      <c r="F922" s="11"/>
      <c r="G922" s="11"/>
      <c r="H922" s="9"/>
      <c r="I922" s="9"/>
      <c r="J922" s="12"/>
      <c r="K922" s="12"/>
      <c r="L922" s="12" t="str">
        <f aca="false">IF(A922="","",IF(I922="はい",IF(AND(ISNUMBER(J922),ISNUMBER(K922)),K922-J922,""),""))</f>
        <v/>
      </c>
      <c r="M922" s="9"/>
      <c r="N922" s="11"/>
      <c r="O922" s="13"/>
    </row>
    <row r="923" customFormat="false" ht="15.75" hidden="false" customHeight="false" outlineLevel="0" collapsed="false">
      <c r="A923" s="10"/>
      <c r="B923" s="11"/>
      <c r="C923" s="11"/>
      <c r="D923" s="9"/>
      <c r="E923" s="9"/>
      <c r="F923" s="11"/>
      <c r="G923" s="11"/>
      <c r="H923" s="9"/>
      <c r="I923" s="9"/>
      <c r="J923" s="12"/>
      <c r="K923" s="12"/>
      <c r="L923" s="12" t="str">
        <f aca="false">IF(A923="","",IF(I923="はい",IF(AND(ISNUMBER(J923),ISNUMBER(K923)),K923-J923,""),""))</f>
        <v/>
      </c>
      <c r="M923" s="9"/>
      <c r="N923" s="11"/>
      <c r="O923" s="13"/>
    </row>
    <row r="924" customFormat="false" ht="15.75" hidden="false" customHeight="false" outlineLevel="0" collapsed="false">
      <c r="A924" s="10"/>
      <c r="B924" s="11"/>
      <c r="C924" s="11"/>
      <c r="D924" s="9"/>
      <c r="E924" s="9"/>
      <c r="F924" s="11"/>
      <c r="G924" s="11"/>
      <c r="H924" s="9"/>
      <c r="I924" s="9"/>
      <c r="J924" s="12"/>
      <c r="K924" s="12"/>
      <c r="L924" s="12" t="str">
        <f aca="false">IF(A924="","",IF(I924="はい",IF(AND(ISNUMBER(J924),ISNUMBER(K924)),K924-J924,""),""))</f>
        <v/>
      </c>
      <c r="M924" s="9"/>
      <c r="N924" s="11"/>
      <c r="O924" s="13"/>
    </row>
    <row r="925" customFormat="false" ht="15.75" hidden="false" customHeight="false" outlineLevel="0" collapsed="false">
      <c r="A925" s="10"/>
      <c r="B925" s="11"/>
      <c r="C925" s="11"/>
      <c r="D925" s="9"/>
      <c r="E925" s="9"/>
      <c r="F925" s="11"/>
      <c r="G925" s="11"/>
      <c r="H925" s="9"/>
      <c r="I925" s="9"/>
      <c r="J925" s="12"/>
      <c r="K925" s="12"/>
      <c r="L925" s="12" t="str">
        <f aca="false">IF(A925="","",IF(I925="はい",IF(AND(ISNUMBER(J925),ISNUMBER(K925)),K925-J925,""),""))</f>
        <v/>
      </c>
      <c r="M925" s="9"/>
      <c r="N925" s="11"/>
      <c r="O925" s="13"/>
    </row>
    <row r="926" customFormat="false" ht="15.75" hidden="false" customHeight="false" outlineLevel="0" collapsed="false">
      <c r="A926" s="10"/>
      <c r="B926" s="11"/>
      <c r="C926" s="11"/>
      <c r="D926" s="9"/>
      <c r="E926" s="9"/>
      <c r="F926" s="11"/>
      <c r="G926" s="11"/>
      <c r="H926" s="9"/>
      <c r="I926" s="9"/>
      <c r="J926" s="12"/>
      <c r="K926" s="12"/>
      <c r="L926" s="12" t="str">
        <f aca="false">IF(A926="","",IF(I926="はい",IF(AND(ISNUMBER(J926),ISNUMBER(K926)),K926-J926,""),""))</f>
        <v/>
      </c>
      <c r="M926" s="9"/>
      <c r="N926" s="11"/>
      <c r="O926" s="13"/>
    </row>
    <row r="927" customFormat="false" ht="15.75" hidden="false" customHeight="false" outlineLevel="0" collapsed="false">
      <c r="A927" s="10"/>
      <c r="B927" s="11"/>
      <c r="C927" s="11"/>
      <c r="D927" s="9"/>
      <c r="E927" s="9"/>
      <c r="F927" s="11"/>
      <c r="G927" s="11"/>
      <c r="H927" s="9"/>
      <c r="I927" s="9"/>
      <c r="J927" s="12"/>
      <c r="K927" s="12"/>
      <c r="L927" s="12" t="str">
        <f aca="false">IF(A927="","",IF(I927="はい",IF(AND(ISNUMBER(J927),ISNUMBER(K927)),K927-J927,""),""))</f>
        <v/>
      </c>
      <c r="M927" s="9"/>
      <c r="N927" s="11"/>
      <c r="O927" s="13"/>
    </row>
    <row r="928" customFormat="false" ht="15.75" hidden="false" customHeight="false" outlineLevel="0" collapsed="false">
      <c r="A928" s="10"/>
      <c r="B928" s="11"/>
      <c r="C928" s="11"/>
      <c r="D928" s="9"/>
      <c r="E928" s="9"/>
      <c r="F928" s="11"/>
      <c r="G928" s="11"/>
      <c r="H928" s="9"/>
      <c r="I928" s="9"/>
      <c r="J928" s="12"/>
      <c r="K928" s="12"/>
      <c r="L928" s="12" t="str">
        <f aca="false">IF(A928="","",IF(I928="はい",IF(AND(ISNUMBER(J928),ISNUMBER(K928)),K928-J928,""),""))</f>
        <v/>
      </c>
      <c r="M928" s="9"/>
      <c r="N928" s="11"/>
      <c r="O928" s="13"/>
    </row>
    <row r="929" customFormat="false" ht="15.75" hidden="false" customHeight="false" outlineLevel="0" collapsed="false">
      <c r="A929" s="10"/>
      <c r="B929" s="11"/>
      <c r="C929" s="11"/>
      <c r="D929" s="9"/>
      <c r="E929" s="9"/>
      <c r="F929" s="11"/>
      <c r="G929" s="11"/>
      <c r="H929" s="9"/>
      <c r="I929" s="9"/>
      <c r="J929" s="12"/>
      <c r="K929" s="12"/>
      <c r="L929" s="12" t="str">
        <f aca="false">IF(A929="","",IF(I929="はい",IF(AND(ISNUMBER(J929),ISNUMBER(K929)),K929-J929,""),""))</f>
        <v/>
      </c>
      <c r="M929" s="9"/>
      <c r="N929" s="11"/>
      <c r="O929" s="13"/>
    </row>
    <row r="930" customFormat="false" ht="15.75" hidden="false" customHeight="false" outlineLevel="0" collapsed="false">
      <c r="A930" s="10"/>
      <c r="B930" s="11"/>
      <c r="C930" s="11"/>
      <c r="D930" s="9"/>
      <c r="E930" s="9"/>
      <c r="F930" s="11"/>
      <c r="G930" s="11"/>
      <c r="H930" s="9"/>
      <c r="I930" s="9"/>
      <c r="J930" s="12"/>
      <c r="K930" s="12"/>
      <c r="L930" s="12" t="str">
        <f aca="false">IF(A930="","",IF(I930="はい",IF(AND(ISNUMBER(J930),ISNUMBER(K930)),K930-J930,""),""))</f>
        <v/>
      </c>
      <c r="M930" s="9"/>
      <c r="N930" s="11"/>
      <c r="O930" s="13"/>
    </row>
    <row r="931" customFormat="false" ht="15.75" hidden="false" customHeight="false" outlineLevel="0" collapsed="false">
      <c r="A931" s="10"/>
      <c r="B931" s="11"/>
      <c r="C931" s="11"/>
      <c r="D931" s="9"/>
      <c r="E931" s="9"/>
      <c r="F931" s="11"/>
      <c r="G931" s="11"/>
      <c r="H931" s="9"/>
      <c r="I931" s="9"/>
      <c r="J931" s="12"/>
      <c r="K931" s="12"/>
      <c r="L931" s="12" t="str">
        <f aca="false">IF(A931="","",IF(I931="はい",IF(AND(ISNUMBER(J931),ISNUMBER(K931)),K931-J931,""),""))</f>
        <v/>
      </c>
      <c r="M931" s="9"/>
      <c r="N931" s="11"/>
      <c r="O931" s="13"/>
    </row>
    <row r="932" customFormat="false" ht="15.75" hidden="false" customHeight="false" outlineLevel="0" collapsed="false">
      <c r="A932" s="10"/>
      <c r="B932" s="11"/>
      <c r="C932" s="11"/>
      <c r="D932" s="9"/>
      <c r="E932" s="9"/>
      <c r="F932" s="11"/>
      <c r="G932" s="11"/>
      <c r="H932" s="9"/>
      <c r="I932" s="9"/>
      <c r="J932" s="12"/>
      <c r="K932" s="12"/>
      <c r="L932" s="12" t="str">
        <f aca="false">IF(A932="","",IF(I932="はい",IF(AND(ISNUMBER(J932),ISNUMBER(K932)),K932-J932,""),""))</f>
        <v/>
      </c>
      <c r="M932" s="9"/>
      <c r="N932" s="11"/>
      <c r="O932" s="13"/>
    </row>
    <row r="933" customFormat="false" ht="15.75" hidden="false" customHeight="false" outlineLevel="0" collapsed="false">
      <c r="A933" s="10"/>
      <c r="B933" s="11"/>
      <c r="C933" s="11"/>
      <c r="D933" s="9"/>
      <c r="E933" s="9"/>
      <c r="F933" s="11"/>
      <c r="G933" s="11"/>
      <c r="H933" s="9"/>
      <c r="I933" s="9"/>
      <c r="J933" s="12"/>
      <c r="K933" s="12"/>
      <c r="L933" s="12" t="str">
        <f aca="false">IF(A933="","",IF(I933="はい",IF(AND(ISNUMBER(J933),ISNUMBER(K933)),K933-J933,""),""))</f>
        <v/>
      </c>
      <c r="M933" s="9"/>
      <c r="N933" s="11"/>
      <c r="O933" s="13"/>
    </row>
    <row r="934" customFormat="false" ht="15.75" hidden="false" customHeight="false" outlineLevel="0" collapsed="false">
      <c r="A934" s="10"/>
      <c r="B934" s="11"/>
      <c r="C934" s="11"/>
      <c r="D934" s="9"/>
      <c r="E934" s="9"/>
      <c r="F934" s="11"/>
      <c r="G934" s="11"/>
      <c r="H934" s="9"/>
      <c r="I934" s="9"/>
      <c r="J934" s="12"/>
      <c r="K934" s="12"/>
      <c r="L934" s="12" t="str">
        <f aca="false">IF(A934="","",IF(I934="はい",IF(AND(ISNUMBER(J934),ISNUMBER(K934)),K934-J934,""),""))</f>
        <v/>
      </c>
      <c r="M934" s="9"/>
      <c r="N934" s="11"/>
      <c r="O934" s="13"/>
    </row>
    <row r="935" customFormat="false" ht="15.75" hidden="false" customHeight="false" outlineLevel="0" collapsed="false">
      <c r="A935" s="10"/>
      <c r="B935" s="11"/>
      <c r="C935" s="11"/>
      <c r="D935" s="9"/>
      <c r="E935" s="9"/>
      <c r="F935" s="11"/>
      <c r="G935" s="11"/>
      <c r="H935" s="9"/>
      <c r="I935" s="9"/>
      <c r="J935" s="12"/>
      <c r="K935" s="12"/>
      <c r="L935" s="12" t="str">
        <f aca="false">IF(A935="","",IF(I935="はい",IF(AND(ISNUMBER(J935),ISNUMBER(K935)),K935-J935,""),""))</f>
        <v/>
      </c>
      <c r="M935" s="9"/>
      <c r="N935" s="11"/>
      <c r="O935" s="13"/>
    </row>
    <row r="936" customFormat="false" ht="15.75" hidden="false" customHeight="false" outlineLevel="0" collapsed="false">
      <c r="A936" s="10"/>
      <c r="B936" s="11"/>
      <c r="C936" s="11"/>
      <c r="D936" s="9"/>
      <c r="E936" s="9"/>
      <c r="F936" s="11"/>
      <c r="G936" s="11"/>
      <c r="H936" s="9"/>
      <c r="I936" s="9"/>
      <c r="J936" s="12"/>
      <c r="K936" s="12"/>
      <c r="L936" s="12" t="str">
        <f aca="false">IF(A936="","",IF(I936="はい",IF(AND(ISNUMBER(J936),ISNUMBER(K936)),K936-J936,""),""))</f>
        <v/>
      </c>
      <c r="M936" s="9"/>
      <c r="N936" s="11"/>
      <c r="O936" s="13"/>
    </row>
    <row r="937" customFormat="false" ht="15.75" hidden="false" customHeight="false" outlineLevel="0" collapsed="false">
      <c r="A937" s="10"/>
      <c r="B937" s="11"/>
      <c r="C937" s="11"/>
      <c r="D937" s="9"/>
      <c r="E937" s="9"/>
      <c r="F937" s="11"/>
      <c r="G937" s="11"/>
      <c r="H937" s="9"/>
      <c r="I937" s="9"/>
      <c r="J937" s="12"/>
      <c r="K937" s="12"/>
      <c r="L937" s="12" t="str">
        <f aca="false">IF(A937="","",IF(I937="はい",IF(AND(ISNUMBER(J937),ISNUMBER(K937)),K937-J937,""),""))</f>
        <v/>
      </c>
      <c r="M937" s="9"/>
      <c r="N937" s="11"/>
      <c r="O937" s="13"/>
    </row>
    <row r="938" customFormat="false" ht="15.75" hidden="false" customHeight="false" outlineLevel="0" collapsed="false">
      <c r="A938" s="10"/>
      <c r="B938" s="11"/>
      <c r="C938" s="11"/>
      <c r="D938" s="9"/>
      <c r="E938" s="9"/>
      <c r="F938" s="11"/>
      <c r="G938" s="11"/>
      <c r="H938" s="9"/>
      <c r="I938" s="9"/>
      <c r="J938" s="12"/>
      <c r="K938" s="12"/>
      <c r="L938" s="12" t="str">
        <f aca="false">IF(A938="","",IF(I938="はい",IF(AND(ISNUMBER(J938),ISNUMBER(K938)),K938-J938,""),""))</f>
        <v/>
      </c>
      <c r="M938" s="9"/>
      <c r="N938" s="11"/>
      <c r="O938" s="13"/>
    </row>
    <row r="939" customFormat="false" ht="15.75" hidden="false" customHeight="false" outlineLevel="0" collapsed="false">
      <c r="A939" s="10"/>
      <c r="B939" s="11"/>
      <c r="C939" s="11"/>
      <c r="D939" s="9"/>
      <c r="E939" s="9"/>
      <c r="F939" s="11"/>
      <c r="G939" s="11"/>
      <c r="H939" s="9"/>
      <c r="I939" s="9"/>
      <c r="J939" s="12"/>
      <c r="K939" s="12"/>
      <c r="L939" s="12" t="str">
        <f aca="false">IF(A939="","",IF(I939="はい",IF(AND(ISNUMBER(J939),ISNUMBER(K939)),K939-J939,""),""))</f>
        <v/>
      </c>
      <c r="M939" s="9"/>
      <c r="N939" s="11"/>
      <c r="O939" s="13"/>
    </row>
    <row r="940" customFormat="false" ht="15.75" hidden="false" customHeight="false" outlineLevel="0" collapsed="false">
      <c r="A940" s="10"/>
      <c r="B940" s="11"/>
      <c r="C940" s="11"/>
      <c r="D940" s="9"/>
      <c r="E940" s="9"/>
      <c r="F940" s="11"/>
      <c r="G940" s="11"/>
      <c r="H940" s="9"/>
      <c r="I940" s="9"/>
      <c r="J940" s="12"/>
      <c r="K940" s="12"/>
      <c r="L940" s="12" t="str">
        <f aca="false">IF(A940="","",IF(I940="はい",IF(AND(ISNUMBER(J940),ISNUMBER(K940)),K940-J940,""),""))</f>
        <v/>
      </c>
      <c r="M940" s="9"/>
      <c r="N940" s="11"/>
      <c r="O940" s="13"/>
    </row>
    <row r="941" customFormat="false" ht="15.75" hidden="false" customHeight="false" outlineLevel="0" collapsed="false">
      <c r="A941" s="10"/>
      <c r="B941" s="11"/>
      <c r="C941" s="11"/>
      <c r="D941" s="9"/>
      <c r="E941" s="9"/>
      <c r="F941" s="11"/>
      <c r="G941" s="11"/>
      <c r="H941" s="9"/>
      <c r="I941" s="9"/>
      <c r="J941" s="12"/>
      <c r="K941" s="12"/>
      <c r="L941" s="12" t="str">
        <f aca="false">IF(A941="","",IF(I941="はい",IF(AND(ISNUMBER(J941),ISNUMBER(K941)),K941-J941,""),""))</f>
        <v/>
      </c>
      <c r="M941" s="9"/>
      <c r="N941" s="11"/>
      <c r="O941" s="13"/>
    </row>
    <row r="942" customFormat="false" ht="15.75" hidden="false" customHeight="false" outlineLevel="0" collapsed="false">
      <c r="A942" s="10"/>
      <c r="B942" s="11"/>
      <c r="C942" s="11"/>
      <c r="D942" s="9"/>
      <c r="E942" s="9"/>
      <c r="F942" s="11"/>
      <c r="G942" s="11"/>
      <c r="H942" s="9"/>
      <c r="I942" s="9"/>
      <c r="J942" s="12"/>
      <c r="K942" s="12"/>
      <c r="L942" s="12" t="str">
        <f aca="false">IF(A942="","",IF(I942="はい",IF(AND(ISNUMBER(J942),ISNUMBER(K942)),K942-J942,""),""))</f>
        <v/>
      </c>
      <c r="M942" s="9"/>
      <c r="N942" s="11"/>
      <c r="O942" s="13"/>
    </row>
    <row r="943" customFormat="false" ht="15.75" hidden="false" customHeight="false" outlineLevel="0" collapsed="false">
      <c r="A943" s="10"/>
      <c r="B943" s="11"/>
      <c r="C943" s="11"/>
      <c r="D943" s="9"/>
      <c r="E943" s="9"/>
      <c r="F943" s="11"/>
      <c r="G943" s="11"/>
      <c r="H943" s="9"/>
      <c r="I943" s="9"/>
      <c r="J943" s="12"/>
      <c r="K943" s="12"/>
      <c r="L943" s="12" t="str">
        <f aca="false">IF(A943="","",IF(I943="はい",IF(AND(ISNUMBER(J943),ISNUMBER(K943)),K943-J943,""),""))</f>
        <v/>
      </c>
      <c r="M943" s="9"/>
      <c r="N943" s="11"/>
      <c r="O943" s="13"/>
    </row>
    <row r="944" customFormat="false" ht="15.75" hidden="false" customHeight="false" outlineLevel="0" collapsed="false">
      <c r="A944" s="10"/>
      <c r="B944" s="11"/>
      <c r="C944" s="11"/>
      <c r="D944" s="9"/>
      <c r="E944" s="9"/>
      <c r="F944" s="11"/>
      <c r="G944" s="11"/>
      <c r="H944" s="9"/>
      <c r="I944" s="9"/>
      <c r="J944" s="12"/>
      <c r="K944" s="12"/>
      <c r="L944" s="12" t="str">
        <f aca="false">IF(A944="","",IF(I944="はい",IF(AND(ISNUMBER(J944),ISNUMBER(K944)),K944-J944,""),""))</f>
        <v/>
      </c>
      <c r="M944" s="9"/>
      <c r="N944" s="11"/>
      <c r="O944" s="13"/>
    </row>
    <row r="945" customFormat="false" ht="15.75" hidden="false" customHeight="false" outlineLevel="0" collapsed="false">
      <c r="A945" s="10"/>
      <c r="B945" s="11"/>
      <c r="C945" s="11"/>
      <c r="D945" s="9"/>
      <c r="E945" s="9"/>
      <c r="F945" s="11"/>
      <c r="G945" s="11"/>
      <c r="H945" s="9"/>
      <c r="I945" s="9"/>
      <c r="J945" s="12"/>
      <c r="K945" s="12"/>
      <c r="L945" s="12" t="str">
        <f aca="false">IF(A945="","",IF(I945="はい",IF(AND(ISNUMBER(J945),ISNUMBER(K945)),K945-J945,""),""))</f>
        <v/>
      </c>
      <c r="M945" s="9"/>
      <c r="N945" s="11"/>
      <c r="O945" s="13"/>
    </row>
    <row r="946" customFormat="false" ht="15.75" hidden="false" customHeight="false" outlineLevel="0" collapsed="false">
      <c r="A946" s="10"/>
      <c r="B946" s="11"/>
      <c r="C946" s="11"/>
      <c r="D946" s="9"/>
      <c r="E946" s="9"/>
      <c r="F946" s="11"/>
      <c r="G946" s="11"/>
      <c r="H946" s="9"/>
      <c r="I946" s="9"/>
      <c r="J946" s="12"/>
      <c r="K946" s="12"/>
      <c r="L946" s="12" t="str">
        <f aca="false">IF(A946="","",IF(I946="はい",IF(AND(ISNUMBER(J946),ISNUMBER(K946)),K946-J946,""),""))</f>
        <v/>
      </c>
      <c r="M946" s="9"/>
      <c r="N946" s="11"/>
      <c r="O946" s="13"/>
    </row>
    <row r="947" customFormat="false" ht="15.75" hidden="false" customHeight="false" outlineLevel="0" collapsed="false">
      <c r="A947" s="10"/>
      <c r="B947" s="11"/>
      <c r="C947" s="11"/>
      <c r="D947" s="9"/>
      <c r="E947" s="9"/>
      <c r="F947" s="11"/>
      <c r="G947" s="11"/>
      <c r="H947" s="9"/>
      <c r="I947" s="9"/>
      <c r="J947" s="12"/>
      <c r="K947" s="12"/>
      <c r="L947" s="12" t="str">
        <f aca="false">IF(A947="","",IF(I947="はい",IF(AND(ISNUMBER(J947),ISNUMBER(K947)),K947-J947,""),""))</f>
        <v/>
      </c>
      <c r="M947" s="9"/>
      <c r="N947" s="11"/>
      <c r="O947" s="13"/>
    </row>
    <row r="948" customFormat="false" ht="15.75" hidden="false" customHeight="false" outlineLevel="0" collapsed="false">
      <c r="A948" s="10"/>
      <c r="B948" s="11"/>
      <c r="C948" s="11"/>
      <c r="D948" s="9"/>
      <c r="E948" s="9"/>
      <c r="F948" s="11"/>
      <c r="G948" s="11"/>
      <c r="H948" s="9"/>
      <c r="I948" s="9"/>
      <c r="J948" s="12"/>
      <c r="K948" s="12"/>
      <c r="L948" s="12" t="str">
        <f aca="false">IF(A948="","",IF(I948="はい",IF(AND(ISNUMBER(J948),ISNUMBER(K948)),K948-J948,""),""))</f>
        <v/>
      </c>
      <c r="M948" s="9"/>
      <c r="N948" s="11"/>
      <c r="O948" s="13"/>
    </row>
    <row r="949" customFormat="false" ht="15.75" hidden="false" customHeight="false" outlineLevel="0" collapsed="false">
      <c r="A949" s="10"/>
      <c r="B949" s="11"/>
      <c r="C949" s="11"/>
      <c r="D949" s="9"/>
      <c r="E949" s="9"/>
      <c r="F949" s="11"/>
      <c r="G949" s="11"/>
      <c r="H949" s="9"/>
      <c r="I949" s="9"/>
      <c r="J949" s="12"/>
      <c r="K949" s="12"/>
      <c r="L949" s="12" t="str">
        <f aca="false">IF(A949="","",IF(I949="はい",IF(AND(ISNUMBER(J949),ISNUMBER(K949)),K949-J949,""),""))</f>
        <v/>
      </c>
      <c r="M949" s="9"/>
      <c r="N949" s="11"/>
      <c r="O949" s="13"/>
    </row>
    <row r="950" customFormat="false" ht="15.75" hidden="false" customHeight="false" outlineLevel="0" collapsed="false">
      <c r="A950" s="10"/>
      <c r="B950" s="11"/>
      <c r="C950" s="11"/>
      <c r="D950" s="9"/>
      <c r="E950" s="9"/>
      <c r="F950" s="11"/>
      <c r="G950" s="11"/>
      <c r="H950" s="9"/>
      <c r="I950" s="9"/>
      <c r="J950" s="12"/>
      <c r="K950" s="12"/>
      <c r="L950" s="12" t="str">
        <f aca="false">IF(A950="","",IF(I950="はい",IF(AND(ISNUMBER(J950),ISNUMBER(K950)),K950-J950,""),""))</f>
        <v/>
      </c>
      <c r="M950" s="9"/>
      <c r="N950" s="11"/>
      <c r="O950" s="13"/>
    </row>
    <row r="951" customFormat="false" ht="15.75" hidden="false" customHeight="false" outlineLevel="0" collapsed="false">
      <c r="A951" s="10"/>
      <c r="B951" s="11"/>
      <c r="C951" s="11"/>
      <c r="D951" s="9"/>
      <c r="E951" s="9"/>
      <c r="F951" s="11"/>
      <c r="G951" s="11"/>
      <c r="H951" s="9"/>
      <c r="I951" s="9"/>
      <c r="J951" s="12"/>
      <c r="K951" s="12"/>
      <c r="L951" s="12" t="str">
        <f aca="false">IF(A951="","",IF(I951="はい",IF(AND(ISNUMBER(J951),ISNUMBER(K951)),K951-J951,""),""))</f>
        <v/>
      </c>
      <c r="M951" s="9"/>
      <c r="N951" s="11"/>
      <c r="O951" s="13"/>
    </row>
    <row r="952" customFormat="false" ht="15.75" hidden="false" customHeight="false" outlineLevel="0" collapsed="false">
      <c r="A952" s="10"/>
      <c r="B952" s="11"/>
      <c r="C952" s="11"/>
      <c r="D952" s="9"/>
      <c r="E952" s="9"/>
      <c r="F952" s="11"/>
      <c r="G952" s="11"/>
      <c r="H952" s="9"/>
      <c r="I952" s="9"/>
      <c r="J952" s="12"/>
      <c r="K952" s="12"/>
      <c r="L952" s="12" t="str">
        <f aca="false">IF(A952="","",IF(I952="はい",IF(AND(ISNUMBER(J952),ISNUMBER(K952)),K952-J952,""),""))</f>
        <v/>
      </c>
      <c r="M952" s="9"/>
      <c r="N952" s="11"/>
      <c r="O952" s="13"/>
    </row>
    <row r="953" customFormat="false" ht="15.75" hidden="false" customHeight="false" outlineLevel="0" collapsed="false">
      <c r="A953" s="10"/>
      <c r="B953" s="11"/>
      <c r="C953" s="11"/>
      <c r="D953" s="9"/>
      <c r="E953" s="9"/>
      <c r="F953" s="11"/>
      <c r="G953" s="11"/>
      <c r="H953" s="9"/>
      <c r="I953" s="9"/>
      <c r="J953" s="12"/>
      <c r="K953" s="12"/>
      <c r="L953" s="12" t="str">
        <f aca="false">IF(A953="","",IF(I953="はい",IF(AND(ISNUMBER(J953),ISNUMBER(K953)),K953-J953,""),""))</f>
        <v/>
      </c>
      <c r="M953" s="9"/>
      <c r="N953" s="11"/>
      <c r="O953" s="13"/>
    </row>
    <row r="954" customFormat="false" ht="15.75" hidden="false" customHeight="false" outlineLevel="0" collapsed="false">
      <c r="A954" s="10"/>
      <c r="B954" s="11"/>
      <c r="C954" s="11"/>
      <c r="D954" s="9"/>
      <c r="E954" s="9"/>
      <c r="F954" s="11"/>
      <c r="G954" s="11"/>
      <c r="H954" s="9"/>
      <c r="I954" s="9"/>
      <c r="J954" s="12"/>
      <c r="K954" s="12"/>
      <c r="L954" s="12" t="str">
        <f aca="false">IF(A954="","",IF(I954="はい",IF(AND(ISNUMBER(J954),ISNUMBER(K954)),K954-J954,""),""))</f>
        <v/>
      </c>
      <c r="M954" s="9"/>
      <c r="N954" s="11"/>
      <c r="O954" s="13"/>
    </row>
    <row r="955" customFormat="false" ht="15.75" hidden="false" customHeight="false" outlineLevel="0" collapsed="false">
      <c r="A955" s="10"/>
      <c r="B955" s="11"/>
      <c r="C955" s="11"/>
      <c r="D955" s="9"/>
      <c r="E955" s="9"/>
      <c r="F955" s="11"/>
      <c r="G955" s="11"/>
      <c r="H955" s="9"/>
      <c r="I955" s="9"/>
      <c r="J955" s="12"/>
      <c r="K955" s="12"/>
      <c r="L955" s="12" t="str">
        <f aca="false">IF(A955="","",IF(I955="はい",IF(AND(ISNUMBER(J955),ISNUMBER(K955)),K955-J955,""),""))</f>
        <v/>
      </c>
      <c r="M955" s="9"/>
      <c r="N955" s="11"/>
      <c r="O955" s="13"/>
    </row>
    <row r="956" customFormat="false" ht="15.75" hidden="false" customHeight="false" outlineLevel="0" collapsed="false">
      <c r="A956" s="10"/>
      <c r="B956" s="11"/>
      <c r="C956" s="11"/>
      <c r="D956" s="9"/>
      <c r="E956" s="9"/>
      <c r="F956" s="11"/>
      <c r="G956" s="11"/>
      <c r="H956" s="9"/>
      <c r="I956" s="9"/>
      <c r="J956" s="12"/>
      <c r="K956" s="12"/>
      <c r="L956" s="12" t="str">
        <f aca="false">IF(A956="","",IF(I956="はい",IF(AND(ISNUMBER(J956),ISNUMBER(K956)),K956-J956,""),""))</f>
        <v/>
      </c>
      <c r="M956" s="9"/>
      <c r="N956" s="11"/>
      <c r="O956" s="13"/>
    </row>
    <row r="957" customFormat="false" ht="15.75" hidden="false" customHeight="false" outlineLevel="0" collapsed="false">
      <c r="A957" s="10"/>
      <c r="B957" s="11"/>
      <c r="C957" s="11"/>
      <c r="D957" s="9"/>
      <c r="E957" s="9"/>
      <c r="F957" s="11"/>
      <c r="G957" s="11"/>
      <c r="H957" s="9"/>
      <c r="I957" s="9"/>
      <c r="J957" s="12"/>
      <c r="K957" s="12"/>
      <c r="L957" s="12" t="str">
        <f aca="false">IF(A957="","",IF(I957="はい",IF(AND(ISNUMBER(J957),ISNUMBER(K957)),K957-J957,""),""))</f>
        <v/>
      </c>
      <c r="M957" s="9"/>
      <c r="N957" s="11"/>
      <c r="O957" s="13"/>
    </row>
    <row r="958" customFormat="false" ht="15.75" hidden="false" customHeight="false" outlineLevel="0" collapsed="false">
      <c r="A958" s="10"/>
      <c r="B958" s="11"/>
      <c r="C958" s="11"/>
      <c r="D958" s="9"/>
      <c r="E958" s="9"/>
      <c r="F958" s="11"/>
      <c r="G958" s="11"/>
      <c r="H958" s="9"/>
      <c r="I958" s="9"/>
      <c r="J958" s="12"/>
      <c r="K958" s="12"/>
      <c r="L958" s="12" t="str">
        <f aca="false">IF(A958="","",IF(I958="はい",IF(AND(ISNUMBER(J958),ISNUMBER(K958)),K958-J958,""),""))</f>
        <v/>
      </c>
      <c r="M958" s="9"/>
      <c r="N958" s="11"/>
      <c r="O958" s="13"/>
    </row>
    <row r="959" customFormat="false" ht="15.75" hidden="false" customHeight="false" outlineLevel="0" collapsed="false">
      <c r="A959" s="10"/>
      <c r="B959" s="11"/>
      <c r="C959" s="11"/>
      <c r="D959" s="9"/>
      <c r="E959" s="9"/>
      <c r="F959" s="11"/>
      <c r="G959" s="11"/>
      <c r="H959" s="9"/>
      <c r="I959" s="9"/>
      <c r="J959" s="12"/>
      <c r="K959" s="12"/>
      <c r="L959" s="12" t="str">
        <f aca="false">IF(A959="","",IF(I959="はい",IF(AND(ISNUMBER(J959),ISNUMBER(K959)),K959-J959,""),""))</f>
        <v/>
      </c>
      <c r="M959" s="9"/>
      <c r="N959" s="11"/>
      <c r="O959" s="13"/>
    </row>
    <row r="960" customFormat="false" ht="15.75" hidden="false" customHeight="false" outlineLevel="0" collapsed="false">
      <c r="A960" s="10"/>
      <c r="B960" s="11"/>
      <c r="C960" s="11"/>
      <c r="D960" s="9"/>
      <c r="E960" s="9"/>
      <c r="F960" s="11"/>
      <c r="G960" s="11"/>
      <c r="H960" s="9"/>
      <c r="I960" s="9"/>
      <c r="J960" s="12"/>
      <c r="K960" s="12"/>
      <c r="L960" s="12" t="str">
        <f aca="false">IF(A960="","",IF(I960="はい",IF(AND(ISNUMBER(J960),ISNUMBER(K960)),K960-J960,""),""))</f>
        <v/>
      </c>
      <c r="M960" s="9"/>
      <c r="N960" s="11"/>
      <c r="O960" s="13"/>
    </row>
    <row r="961" customFormat="false" ht="15.75" hidden="false" customHeight="false" outlineLevel="0" collapsed="false">
      <c r="A961" s="10"/>
      <c r="B961" s="11"/>
      <c r="C961" s="11"/>
      <c r="D961" s="9"/>
      <c r="E961" s="9"/>
      <c r="F961" s="11"/>
      <c r="G961" s="11"/>
      <c r="H961" s="9"/>
      <c r="I961" s="9"/>
      <c r="J961" s="12"/>
      <c r="K961" s="12"/>
      <c r="L961" s="12" t="str">
        <f aca="false">IF(A961="","",IF(I961="はい",IF(AND(ISNUMBER(J961),ISNUMBER(K961)),K961-J961,""),""))</f>
        <v/>
      </c>
      <c r="M961" s="9"/>
      <c r="N961" s="11"/>
      <c r="O961" s="13"/>
    </row>
    <row r="962" customFormat="false" ht="15.75" hidden="false" customHeight="false" outlineLevel="0" collapsed="false">
      <c r="A962" s="10"/>
      <c r="B962" s="11"/>
      <c r="C962" s="11"/>
      <c r="D962" s="9"/>
      <c r="E962" s="9"/>
      <c r="F962" s="11"/>
      <c r="G962" s="11"/>
      <c r="H962" s="9"/>
      <c r="I962" s="9"/>
      <c r="J962" s="12"/>
      <c r="K962" s="12"/>
      <c r="L962" s="12" t="str">
        <f aca="false">IF(A962="","",IF(I962="はい",IF(AND(ISNUMBER(J962),ISNUMBER(K962)),K962-J962,""),""))</f>
        <v/>
      </c>
      <c r="M962" s="9"/>
      <c r="N962" s="11"/>
      <c r="O962" s="13"/>
    </row>
    <row r="963" customFormat="false" ht="15.75" hidden="false" customHeight="false" outlineLevel="0" collapsed="false">
      <c r="A963" s="10"/>
      <c r="B963" s="11"/>
      <c r="C963" s="11"/>
      <c r="D963" s="9"/>
      <c r="E963" s="9"/>
      <c r="F963" s="11"/>
      <c r="G963" s="11"/>
      <c r="H963" s="9"/>
      <c r="I963" s="9"/>
      <c r="J963" s="12"/>
      <c r="K963" s="12"/>
      <c r="L963" s="12" t="str">
        <f aca="false">IF(A963="","",IF(I963="はい",IF(AND(ISNUMBER(J963),ISNUMBER(K963)),K963-J963,""),""))</f>
        <v/>
      </c>
      <c r="M963" s="9"/>
      <c r="N963" s="11"/>
      <c r="O963" s="13"/>
    </row>
    <row r="964" customFormat="false" ht="15.75" hidden="false" customHeight="false" outlineLevel="0" collapsed="false">
      <c r="A964" s="10"/>
      <c r="B964" s="11"/>
      <c r="C964" s="11"/>
      <c r="D964" s="9"/>
      <c r="E964" s="9"/>
      <c r="F964" s="11"/>
      <c r="G964" s="11"/>
      <c r="H964" s="9"/>
      <c r="I964" s="9"/>
      <c r="J964" s="12"/>
      <c r="K964" s="12"/>
      <c r="L964" s="12" t="str">
        <f aca="false">IF(A964="","",IF(I964="はい",IF(AND(ISNUMBER(J964),ISNUMBER(K964)),K964-J964,""),""))</f>
        <v/>
      </c>
      <c r="M964" s="9"/>
      <c r="N964" s="11"/>
      <c r="O964" s="13"/>
    </row>
    <row r="965" customFormat="false" ht="15.75" hidden="false" customHeight="false" outlineLevel="0" collapsed="false">
      <c r="A965" s="10"/>
      <c r="B965" s="11"/>
      <c r="C965" s="11"/>
      <c r="D965" s="9"/>
      <c r="E965" s="9"/>
      <c r="F965" s="11"/>
      <c r="G965" s="11"/>
      <c r="H965" s="9"/>
      <c r="I965" s="9"/>
      <c r="J965" s="12"/>
      <c r="K965" s="12"/>
      <c r="L965" s="12" t="str">
        <f aca="false">IF(A965="","",IF(I965="はい",IF(AND(ISNUMBER(J965),ISNUMBER(K965)),K965-J965,""),""))</f>
        <v/>
      </c>
      <c r="M965" s="9"/>
      <c r="N965" s="11"/>
      <c r="O965" s="13"/>
    </row>
    <row r="966" customFormat="false" ht="15.75" hidden="false" customHeight="false" outlineLevel="0" collapsed="false">
      <c r="A966" s="10"/>
      <c r="B966" s="11"/>
      <c r="C966" s="11"/>
      <c r="D966" s="9"/>
      <c r="E966" s="9"/>
      <c r="F966" s="11"/>
      <c r="G966" s="11"/>
      <c r="H966" s="9"/>
      <c r="I966" s="9"/>
      <c r="J966" s="12"/>
      <c r="K966" s="12"/>
      <c r="L966" s="12" t="str">
        <f aca="false">IF(A966="","",IF(I966="はい",IF(AND(ISNUMBER(J966),ISNUMBER(K966)),K966-J966,""),""))</f>
        <v/>
      </c>
      <c r="M966" s="9"/>
      <c r="N966" s="11"/>
      <c r="O966" s="13"/>
    </row>
    <row r="967" customFormat="false" ht="15.75" hidden="false" customHeight="false" outlineLevel="0" collapsed="false">
      <c r="A967" s="10"/>
      <c r="B967" s="11"/>
      <c r="C967" s="11"/>
      <c r="D967" s="9"/>
      <c r="E967" s="9"/>
      <c r="F967" s="11"/>
      <c r="G967" s="11"/>
      <c r="H967" s="9"/>
      <c r="I967" s="9"/>
      <c r="J967" s="12"/>
      <c r="K967" s="12"/>
      <c r="L967" s="12" t="str">
        <f aca="false">IF(A967="","",IF(I967="はい",IF(AND(ISNUMBER(J967),ISNUMBER(K967)),K967-J967,""),""))</f>
        <v/>
      </c>
      <c r="M967" s="9"/>
      <c r="N967" s="11"/>
      <c r="O967" s="13"/>
    </row>
    <row r="968" customFormat="false" ht="15.75" hidden="false" customHeight="false" outlineLevel="0" collapsed="false">
      <c r="A968" s="10"/>
      <c r="B968" s="11"/>
      <c r="C968" s="11"/>
      <c r="D968" s="9"/>
      <c r="E968" s="9"/>
      <c r="F968" s="11"/>
      <c r="G968" s="11"/>
      <c r="H968" s="9"/>
      <c r="I968" s="9"/>
      <c r="J968" s="12"/>
      <c r="K968" s="12"/>
      <c r="L968" s="12" t="str">
        <f aca="false">IF(A968="","",IF(I968="はい",IF(AND(ISNUMBER(J968),ISNUMBER(K968)),K968-J968,""),""))</f>
        <v/>
      </c>
      <c r="M968" s="9"/>
      <c r="N968" s="11"/>
      <c r="O968" s="13"/>
    </row>
    <row r="969" customFormat="false" ht="15.75" hidden="false" customHeight="false" outlineLevel="0" collapsed="false">
      <c r="A969" s="10"/>
      <c r="B969" s="11"/>
      <c r="C969" s="11"/>
      <c r="D969" s="9"/>
      <c r="E969" s="9"/>
      <c r="F969" s="11"/>
      <c r="G969" s="11"/>
      <c r="H969" s="9"/>
      <c r="I969" s="9"/>
      <c r="J969" s="12"/>
      <c r="K969" s="12"/>
      <c r="L969" s="12" t="str">
        <f aca="false">IF(A969="","",IF(I969="はい",IF(AND(ISNUMBER(J969),ISNUMBER(K969)),K969-J969,""),""))</f>
        <v/>
      </c>
      <c r="M969" s="9"/>
      <c r="N969" s="11"/>
      <c r="O969" s="13"/>
    </row>
    <row r="970" customFormat="false" ht="15.75" hidden="false" customHeight="false" outlineLevel="0" collapsed="false">
      <c r="A970" s="10"/>
      <c r="B970" s="11"/>
      <c r="C970" s="11"/>
      <c r="D970" s="9"/>
      <c r="E970" s="9"/>
      <c r="F970" s="11"/>
      <c r="G970" s="11"/>
      <c r="H970" s="9"/>
      <c r="I970" s="9"/>
      <c r="J970" s="12"/>
      <c r="K970" s="12"/>
      <c r="L970" s="12" t="str">
        <f aca="false">IF(A970="","",IF(I970="はい",IF(AND(ISNUMBER(J970),ISNUMBER(K970)),K970-J970,""),""))</f>
        <v/>
      </c>
      <c r="M970" s="9"/>
      <c r="N970" s="11"/>
      <c r="O970" s="13"/>
    </row>
    <row r="971" customFormat="false" ht="15.75" hidden="false" customHeight="false" outlineLevel="0" collapsed="false">
      <c r="A971" s="10"/>
      <c r="B971" s="11"/>
      <c r="C971" s="11"/>
      <c r="D971" s="9"/>
      <c r="E971" s="9"/>
      <c r="F971" s="11"/>
      <c r="G971" s="11"/>
      <c r="H971" s="9"/>
      <c r="I971" s="9"/>
      <c r="J971" s="12"/>
      <c r="K971" s="12"/>
      <c r="L971" s="12" t="str">
        <f aca="false">IF(A971="","",IF(I971="はい",IF(AND(ISNUMBER(J971),ISNUMBER(K971)),K971-J971,""),""))</f>
        <v/>
      </c>
      <c r="M971" s="9"/>
      <c r="N971" s="11"/>
      <c r="O971" s="13"/>
    </row>
    <row r="972" customFormat="false" ht="15.75" hidden="false" customHeight="false" outlineLevel="0" collapsed="false">
      <c r="A972" s="10"/>
      <c r="B972" s="11"/>
      <c r="C972" s="11"/>
      <c r="D972" s="9"/>
      <c r="E972" s="9"/>
      <c r="F972" s="11"/>
      <c r="G972" s="11"/>
      <c r="H972" s="9"/>
      <c r="I972" s="9"/>
      <c r="J972" s="12"/>
      <c r="K972" s="12"/>
      <c r="L972" s="12" t="str">
        <f aca="false">IF(A972="","",IF(I972="はい",IF(AND(ISNUMBER(J972),ISNUMBER(K972)),K972-J972,""),""))</f>
        <v/>
      </c>
      <c r="M972" s="9"/>
      <c r="N972" s="11"/>
      <c r="O972" s="13"/>
    </row>
    <row r="973" customFormat="false" ht="15.75" hidden="false" customHeight="false" outlineLevel="0" collapsed="false">
      <c r="A973" s="10"/>
      <c r="B973" s="11"/>
      <c r="C973" s="11"/>
      <c r="D973" s="9"/>
      <c r="E973" s="9"/>
      <c r="F973" s="11"/>
      <c r="G973" s="11"/>
      <c r="H973" s="9"/>
      <c r="I973" s="9"/>
      <c r="J973" s="12"/>
      <c r="K973" s="12"/>
      <c r="L973" s="12" t="str">
        <f aca="false">IF(A973="","",IF(I973="はい",IF(AND(ISNUMBER(J973),ISNUMBER(K973)),K973-J973,""),""))</f>
        <v/>
      </c>
      <c r="M973" s="9"/>
      <c r="N973" s="11"/>
      <c r="O973" s="13"/>
    </row>
    <row r="974" customFormat="false" ht="15.75" hidden="false" customHeight="false" outlineLevel="0" collapsed="false">
      <c r="A974" s="10"/>
      <c r="B974" s="11"/>
      <c r="C974" s="11"/>
      <c r="D974" s="9"/>
      <c r="E974" s="9"/>
      <c r="F974" s="11"/>
      <c r="G974" s="11"/>
      <c r="H974" s="9"/>
      <c r="I974" s="9"/>
      <c r="J974" s="12"/>
      <c r="K974" s="12"/>
      <c r="L974" s="12" t="str">
        <f aca="false">IF(A974="","",IF(I974="はい",IF(AND(ISNUMBER(J974),ISNUMBER(K974)),K974-J974,""),""))</f>
        <v/>
      </c>
      <c r="M974" s="9"/>
      <c r="N974" s="11"/>
      <c r="O974" s="13"/>
    </row>
    <row r="975" customFormat="false" ht="15.75" hidden="false" customHeight="false" outlineLevel="0" collapsed="false">
      <c r="A975" s="10"/>
      <c r="B975" s="11"/>
      <c r="C975" s="11"/>
      <c r="D975" s="9"/>
      <c r="E975" s="9"/>
      <c r="F975" s="11"/>
      <c r="G975" s="11"/>
      <c r="H975" s="9"/>
      <c r="I975" s="9"/>
      <c r="J975" s="12"/>
      <c r="K975" s="12"/>
      <c r="L975" s="12" t="str">
        <f aca="false">IF(A975="","",IF(I975="はい",IF(AND(ISNUMBER(J975),ISNUMBER(K975)),K975-J975,""),""))</f>
        <v/>
      </c>
      <c r="M975" s="9"/>
      <c r="N975" s="11"/>
      <c r="O975" s="13"/>
    </row>
    <row r="976" customFormat="false" ht="15.75" hidden="false" customHeight="false" outlineLevel="0" collapsed="false">
      <c r="A976" s="10"/>
      <c r="B976" s="11"/>
      <c r="C976" s="11"/>
      <c r="D976" s="9"/>
      <c r="E976" s="9"/>
      <c r="F976" s="11"/>
      <c r="G976" s="11"/>
      <c r="H976" s="9"/>
      <c r="I976" s="9"/>
      <c r="J976" s="12"/>
      <c r="K976" s="12"/>
      <c r="L976" s="12" t="str">
        <f aca="false">IF(A976="","",IF(I976="はい",IF(AND(ISNUMBER(J976),ISNUMBER(K976)),K976-J976,""),""))</f>
        <v/>
      </c>
      <c r="M976" s="9"/>
      <c r="N976" s="11"/>
      <c r="O976" s="13"/>
    </row>
    <row r="977" customFormat="false" ht="15.75" hidden="false" customHeight="false" outlineLevel="0" collapsed="false">
      <c r="A977" s="10"/>
      <c r="B977" s="11"/>
      <c r="C977" s="11"/>
      <c r="D977" s="9"/>
      <c r="E977" s="9"/>
      <c r="F977" s="11"/>
      <c r="G977" s="11"/>
      <c r="H977" s="9"/>
      <c r="I977" s="9"/>
      <c r="J977" s="12"/>
      <c r="K977" s="12"/>
      <c r="L977" s="12" t="str">
        <f aca="false">IF(A977="","",IF(I977="はい",IF(AND(ISNUMBER(J977),ISNUMBER(K977)),K977-J977,""),""))</f>
        <v/>
      </c>
      <c r="M977" s="9"/>
      <c r="N977" s="11"/>
      <c r="O977" s="13"/>
    </row>
    <row r="978" customFormat="false" ht="15.75" hidden="false" customHeight="false" outlineLevel="0" collapsed="false">
      <c r="A978" s="10"/>
      <c r="B978" s="11"/>
      <c r="C978" s="11"/>
      <c r="D978" s="9"/>
      <c r="E978" s="9"/>
      <c r="F978" s="11"/>
      <c r="G978" s="11"/>
      <c r="H978" s="9"/>
      <c r="I978" s="9"/>
      <c r="J978" s="12"/>
      <c r="K978" s="12"/>
      <c r="L978" s="12" t="str">
        <f aca="false">IF(A978="","",IF(I978="はい",IF(AND(ISNUMBER(J978),ISNUMBER(K978)),K978-J978,""),""))</f>
        <v/>
      </c>
      <c r="M978" s="9"/>
      <c r="N978" s="11"/>
      <c r="O978" s="13"/>
    </row>
    <row r="979" customFormat="false" ht="15.75" hidden="false" customHeight="false" outlineLevel="0" collapsed="false">
      <c r="A979" s="10"/>
      <c r="B979" s="11"/>
      <c r="C979" s="11"/>
      <c r="D979" s="9"/>
      <c r="E979" s="9"/>
      <c r="F979" s="11"/>
      <c r="G979" s="11"/>
      <c r="H979" s="9"/>
      <c r="I979" s="9"/>
      <c r="J979" s="12"/>
      <c r="K979" s="12"/>
      <c r="L979" s="12" t="str">
        <f aca="false">IF(A979="","",IF(I979="はい",IF(AND(ISNUMBER(J979),ISNUMBER(K979)),K979-J979,""),""))</f>
        <v/>
      </c>
      <c r="M979" s="9"/>
      <c r="N979" s="11"/>
      <c r="O979" s="13"/>
    </row>
    <row r="980" customFormat="false" ht="15.75" hidden="false" customHeight="false" outlineLevel="0" collapsed="false">
      <c r="A980" s="10"/>
      <c r="B980" s="11"/>
      <c r="C980" s="11"/>
      <c r="D980" s="9"/>
      <c r="E980" s="9"/>
      <c r="F980" s="11"/>
      <c r="G980" s="11"/>
      <c r="H980" s="9"/>
      <c r="I980" s="9"/>
      <c r="J980" s="12"/>
      <c r="K980" s="12"/>
      <c r="L980" s="12" t="str">
        <f aca="false">IF(A980="","",IF(I980="はい",IF(AND(ISNUMBER(J980),ISNUMBER(K980)),K980-J980,""),""))</f>
        <v/>
      </c>
      <c r="M980" s="9"/>
      <c r="N980" s="11"/>
      <c r="O980" s="13"/>
    </row>
    <row r="981" customFormat="false" ht="15.75" hidden="false" customHeight="false" outlineLevel="0" collapsed="false">
      <c r="A981" s="10"/>
      <c r="B981" s="11"/>
      <c r="C981" s="11"/>
      <c r="D981" s="9"/>
      <c r="E981" s="9"/>
      <c r="F981" s="11"/>
      <c r="G981" s="11"/>
      <c r="H981" s="9"/>
      <c r="I981" s="9"/>
      <c r="J981" s="12"/>
      <c r="K981" s="12"/>
      <c r="L981" s="12" t="str">
        <f aca="false">IF(A981="","",IF(I981="はい",IF(AND(ISNUMBER(J981),ISNUMBER(K981)),K981-J981,""),""))</f>
        <v/>
      </c>
      <c r="M981" s="9"/>
      <c r="N981" s="11"/>
      <c r="O981" s="13"/>
    </row>
    <row r="982" customFormat="false" ht="15.75" hidden="false" customHeight="false" outlineLevel="0" collapsed="false">
      <c r="A982" s="10"/>
      <c r="B982" s="11"/>
      <c r="C982" s="11"/>
      <c r="D982" s="9"/>
      <c r="E982" s="9"/>
      <c r="F982" s="11"/>
      <c r="G982" s="11"/>
      <c r="H982" s="9"/>
      <c r="I982" s="9"/>
      <c r="J982" s="12"/>
      <c r="K982" s="12"/>
      <c r="L982" s="12" t="str">
        <f aca="false">IF(A982="","",IF(I982="はい",IF(AND(ISNUMBER(J982),ISNUMBER(K982)),K982-J982,""),""))</f>
        <v/>
      </c>
      <c r="M982" s="9"/>
      <c r="N982" s="11"/>
      <c r="O982" s="13"/>
    </row>
    <row r="983" customFormat="false" ht="15.75" hidden="false" customHeight="false" outlineLevel="0" collapsed="false">
      <c r="A983" s="10"/>
      <c r="B983" s="11"/>
      <c r="C983" s="11"/>
      <c r="D983" s="9"/>
      <c r="E983" s="9"/>
      <c r="F983" s="11"/>
      <c r="G983" s="11"/>
      <c r="H983" s="9"/>
      <c r="I983" s="9"/>
      <c r="J983" s="12"/>
      <c r="K983" s="12"/>
      <c r="L983" s="12" t="str">
        <f aca="false">IF(A983="","",IF(I983="はい",IF(AND(ISNUMBER(J983),ISNUMBER(K983)),K983-J983,""),""))</f>
        <v/>
      </c>
      <c r="M983" s="9"/>
      <c r="N983" s="11"/>
      <c r="O983" s="13"/>
    </row>
    <row r="984" customFormat="false" ht="15.75" hidden="false" customHeight="false" outlineLevel="0" collapsed="false">
      <c r="A984" s="10"/>
      <c r="B984" s="11"/>
      <c r="C984" s="11"/>
      <c r="D984" s="9"/>
      <c r="E984" s="9"/>
      <c r="F984" s="11"/>
      <c r="G984" s="11"/>
      <c r="H984" s="9"/>
      <c r="I984" s="9"/>
      <c r="J984" s="12"/>
      <c r="K984" s="12"/>
      <c r="L984" s="12" t="str">
        <f aca="false">IF(A984="","",IF(I984="はい",IF(AND(ISNUMBER(J984),ISNUMBER(K984)),K984-J984,""),""))</f>
        <v/>
      </c>
      <c r="M984" s="9"/>
      <c r="N984" s="11"/>
      <c r="O984" s="13"/>
    </row>
    <row r="985" customFormat="false" ht="15.75" hidden="false" customHeight="false" outlineLevel="0" collapsed="false">
      <c r="A985" s="10"/>
      <c r="B985" s="11"/>
      <c r="C985" s="11"/>
      <c r="D985" s="9"/>
      <c r="E985" s="9"/>
      <c r="F985" s="11"/>
      <c r="G985" s="11"/>
      <c r="H985" s="9"/>
      <c r="I985" s="9"/>
      <c r="J985" s="12"/>
      <c r="K985" s="12"/>
      <c r="L985" s="12" t="str">
        <f aca="false">IF(A985="","",IF(I985="はい",IF(AND(ISNUMBER(J985),ISNUMBER(K985)),K985-J985,""),""))</f>
        <v/>
      </c>
      <c r="M985" s="9"/>
      <c r="N985" s="11"/>
      <c r="O985" s="13"/>
    </row>
    <row r="986" customFormat="false" ht="15.75" hidden="false" customHeight="false" outlineLevel="0" collapsed="false">
      <c r="A986" s="10"/>
      <c r="B986" s="11"/>
      <c r="C986" s="11"/>
      <c r="D986" s="9"/>
      <c r="E986" s="9"/>
      <c r="F986" s="11"/>
      <c r="G986" s="11"/>
      <c r="H986" s="9"/>
      <c r="I986" s="9"/>
      <c r="J986" s="12"/>
      <c r="K986" s="12"/>
      <c r="L986" s="12" t="str">
        <f aca="false">IF(A986="","",IF(I986="はい",IF(AND(ISNUMBER(J986),ISNUMBER(K986)),K986-J986,""),""))</f>
        <v/>
      </c>
      <c r="M986" s="9"/>
      <c r="N986" s="11"/>
      <c r="O986" s="13"/>
    </row>
    <row r="987" customFormat="false" ht="15.75" hidden="false" customHeight="false" outlineLevel="0" collapsed="false">
      <c r="A987" s="10"/>
      <c r="B987" s="11"/>
      <c r="C987" s="11"/>
      <c r="D987" s="9"/>
      <c r="E987" s="9"/>
      <c r="F987" s="11"/>
      <c r="G987" s="11"/>
      <c r="H987" s="9"/>
      <c r="I987" s="9"/>
      <c r="J987" s="12"/>
      <c r="K987" s="12"/>
      <c r="L987" s="12" t="str">
        <f aca="false">IF(A987="","",IF(I987="はい",IF(AND(ISNUMBER(J987),ISNUMBER(K987)),K987-J987,""),""))</f>
        <v/>
      </c>
      <c r="M987" s="9"/>
      <c r="N987" s="11"/>
      <c r="O987" s="13"/>
    </row>
    <row r="988" customFormat="false" ht="15.75" hidden="false" customHeight="false" outlineLevel="0" collapsed="false">
      <c r="A988" s="10"/>
      <c r="B988" s="11"/>
      <c r="C988" s="11"/>
      <c r="D988" s="9"/>
      <c r="E988" s="9"/>
      <c r="F988" s="11"/>
      <c r="G988" s="11"/>
      <c r="H988" s="9"/>
      <c r="I988" s="9"/>
      <c r="J988" s="12"/>
      <c r="K988" s="12"/>
      <c r="L988" s="12" t="str">
        <f aca="false">IF(A988="","",IF(I988="はい",IF(AND(ISNUMBER(J988),ISNUMBER(K988)),K988-J988,""),""))</f>
        <v/>
      </c>
      <c r="M988" s="9"/>
      <c r="N988" s="11"/>
      <c r="O988" s="13"/>
    </row>
    <row r="989" customFormat="false" ht="15.75" hidden="false" customHeight="false" outlineLevel="0" collapsed="false">
      <c r="A989" s="10"/>
      <c r="B989" s="11"/>
      <c r="C989" s="11"/>
      <c r="D989" s="9"/>
      <c r="E989" s="9"/>
      <c r="F989" s="11"/>
      <c r="G989" s="11"/>
      <c r="H989" s="9"/>
      <c r="I989" s="9"/>
      <c r="J989" s="12"/>
      <c r="K989" s="12"/>
      <c r="L989" s="12" t="str">
        <f aca="false">IF(A989="","",IF(I989="はい",IF(AND(ISNUMBER(J989),ISNUMBER(K989)),K989-J989,""),""))</f>
        <v/>
      </c>
      <c r="M989" s="9"/>
      <c r="N989" s="11"/>
      <c r="O989" s="13"/>
    </row>
    <row r="990" customFormat="false" ht="15.75" hidden="false" customHeight="false" outlineLevel="0" collapsed="false">
      <c r="A990" s="10"/>
      <c r="B990" s="11"/>
      <c r="C990" s="11"/>
      <c r="D990" s="9"/>
      <c r="E990" s="9"/>
      <c r="F990" s="11"/>
      <c r="G990" s="11"/>
      <c r="H990" s="9"/>
      <c r="I990" s="9"/>
      <c r="J990" s="12"/>
      <c r="K990" s="12"/>
      <c r="L990" s="12" t="str">
        <f aca="false">IF(A990="","",IF(I990="はい",IF(AND(ISNUMBER(J990),ISNUMBER(K990)),K990-J990,""),""))</f>
        <v/>
      </c>
      <c r="M990" s="9"/>
      <c r="N990" s="11"/>
      <c r="O990" s="13"/>
    </row>
    <row r="991" customFormat="false" ht="15.75" hidden="false" customHeight="false" outlineLevel="0" collapsed="false">
      <c r="A991" s="10"/>
      <c r="B991" s="11"/>
      <c r="C991" s="11"/>
      <c r="D991" s="9"/>
      <c r="E991" s="9"/>
      <c r="F991" s="11"/>
      <c r="G991" s="11"/>
      <c r="H991" s="9"/>
      <c r="I991" s="9"/>
      <c r="J991" s="12"/>
      <c r="K991" s="12"/>
      <c r="L991" s="12" t="str">
        <f aca="false">IF(A991="","",IF(I991="はい",IF(AND(ISNUMBER(J991),ISNUMBER(K991)),K991-J991,""),""))</f>
        <v/>
      </c>
      <c r="M991" s="9"/>
      <c r="N991" s="11"/>
      <c r="O991" s="13"/>
    </row>
    <row r="992" customFormat="false" ht="15.75" hidden="false" customHeight="false" outlineLevel="0" collapsed="false">
      <c r="A992" s="10"/>
      <c r="B992" s="11"/>
      <c r="C992" s="11"/>
      <c r="D992" s="9"/>
      <c r="E992" s="9"/>
      <c r="F992" s="11"/>
      <c r="G992" s="11"/>
      <c r="H992" s="9"/>
      <c r="I992" s="9"/>
      <c r="J992" s="12"/>
      <c r="K992" s="12"/>
      <c r="L992" s="12" t="str">
        <f aca="false">IF(A992="","",IF(I992="はい",IF(AND(ISNUMBER(J992),ISNUMBER(K992)),K992-J992,""),""))</f>
        <v/>
      </c>
      <c r="M992" s="9"/>
      <c r="N992" s="11"/>
      <c r="O992" s="13"/>
    </row>
    <row r="993" customFormat="false" ht="15.75" hidden="false" customHeight="false" outlineLevel="0" collapsed="false">
      <c r="A993" s="10"/>
      <c r="B993" s="11"/>
      <c r="C993" s="11"/>
      <c r="D993" s="9"/>
      <c r="E993" s="9"/>
      <c r="F993" s="11"/>
      <c r="G993" s="11"/>
      <c r="H993" s="9"/>
      <c r="I993" s="9"/>
      <c r="J993" s="12"/>
      <c r="K993" s="12"/>
      <c r="L993" s="12" t="str">
        <f aca="false">IF(A993="","",IF(I993="はい",IF(AND(ISNUMBER(J993),ISNUMBER(K993)),K993-J993,""),""))</f>
        <v/>
      </c>
      <c r="M993" s="9"/>
      <c r="N993" s="11"/>
      <c r="O993" s="13"/>
    </row>
    <row r="994" customFormat="false" ht="15.75" hidden="false" customHeight="false" outlineLevel="0" collapsed="false">
      <c r="A994" s="10"/>
      <c r="B994" s="11"/>
      <c r="C994" s="11"/>
      <c r="D994" s="9"/>
      <c r="E994" s="9"/>
      <c r="F994" s="11"/>
      <c r="G994" s="11"/>
      <c r="H994" s="9"/>
      <c r="I994" s="9"/>
      <c r="J994" s="12"/>
      <c r="K994" s="12"/>
      <c r="L994" s="12" t="str">
        <f aca="false">IF(A994="","",IF(I994="はい",IF(AND(ISNUMBER(J994),ISNUMBER(K994)),K994-J994,""),""))</f>
        <v/>
      </c>
      <c r="M994" s="9"/>
      <c r="N994" s="11"/>
      <c r="O994" s="13"/>
    </row>
    <row r="995" customFormat="false" ht="15.75" hidden="false" customHeight="false" outlineLevel="0" collapsed="false">
      <c r="A995" s="10"/>
      <c r="B995" s="11"/>
      <c r="C995" s="11"/>
      <c r="D995" s="9"/>
      <c r="E995" s="9"/>
      <c r="F995" s="11"/>
      <c r="G995" s="11"/>
      <c r="H995" s="9"/>
      <c r="I995" s="9"/>
      <c r="J995" s="12"/>
      <c r="K995" s="12"/>
      <c r="L995" s="12" t="str">
        <f aca="false">IF(A995="","",IF(I995="はい",IF(AND(ISNUMBER(J995),ISNUMBER(K995)),K995-J995,""),""))</f>
        <v/>
      </c>
      <c r="M995" s="9"/>
      <c r="N995" s="11"/>
      <c r="O995" s="13"/>
    </row>
    <row r="996" customFormat="false" ht="15.75" hidden="false" customHeight="false" outlineLevel="0" collapsed="false">
      <c r="A996" s="10"/>
      <c r="B996" s="11"/>
      <c r="C996" s="11"/>
      <c r="D996" s="9"/>
      <c r="E996" s="9"/>
      <c r="F996" s="11"/>
      <c r="G996" s="11"/>
      <c r="H996" s="9"/>
      <c r="I996" s="9"/>
      <c r="J996" s="12"/>
      <c r="K996" s="12"/>
      <c r="L996" s="12" t="str">
        <f aca="false">IF(A996="","",IF(I996="はい",IF(AND(ISNUMBER(J996),ISNUMBER(K996)),K996-J996,""),""))</f>
        <v/>
      </c>
      <c r="M996" s="9"/>
      <c r="N996" s="11"/>
      <c r="O996" s="13"/>
    </row>
    <row r="997" customFormat="false" ht="15.75" hidden="false" customHeight="false" outlineLevel="0" collapsed="false">
      <c r="A997" s="10"/>
      <c r="B997" s="11"/>
      <c r="C997" s="11"/>
      <c r="D997" s="9"/>
      <c r="E997" s="9"/>
      <c r="F997" s="11"/>
      <c r="G997" s="11"/>
      <c r="H997" s="9"/>
      <c r="I997" s="9"/>
      <c r="J997" s="12"/>
      <c r="K997" s="12"/>
      <c r="L997" s="12" t="str">
        <f aca="false">IF(A997="","",IF(I997="はい",IF(AND(ISNUMBER(J997),ISNUMBER(K997)),K997-J997,""),""))</f>
        <v/>
      </c>
      <c r="M997" s="9"/>
      <c r="N997" s="11"/>
      <c r="O997" s="13"/>
    </row>
    <row r="998" customFormat="false" ht="15.75" hidden="false" customHeight="false" outlineLevel="0" collapsed="false">
      <c r="A998" s="10"/>
      <c r="B998" s="11"/>
      <c r="C998" s="11"/>
      <c r="D998" s="9"/>
      <c r="E998" s="9"/>
      <c r="F998" s="11"/>
      <c r="G998" s="11"/>
      <c r="H998" s="9"/>
      <c r="I998" s="9"/>
      <c r="J998" s="12"/>
      <c r="K998" s="12"/>
      <c r="L998" s="12" t="str">
        <f aca="false">IF(A998="","",IF(I998="はい",IF(AND(ISNUMBER(J998),ISNUMBER(K998)),K998-J998,""),""))</f>
        <v/>
      </c>
      <c r="M998" s="9"/>
      <c r="N998" s="11"/>
      <c r="O998" s="13"/>
    </row>
    <row r="999" customFormat="false" ht="15.75" hidden="false" customHeight="false" outlineLevel="0" collapsed="false">
      <c r="A999" s="10"/>
      <c r="B999" s="11"/>
      <c r="C999" s="11"/>
      <c r="D999" s="9"/>
      <c r="E999" s="9"/>
      <c r="F999" s="11"/>
      <c r="G999" s="11"/>
      <c r="H999" s="9"/>
      <c r="I999" s="9"/>
      <c r="J999" s="12"/>
      <c r="K999" s="12"/>
      <c r="L999" s="12" t="str">
        <f aca="false">IF(A999="","",IF(I999="はい",IF(AND(ISNUMBER(J999),ISNUMBER(K999)),K999-J999,""),""))</f>
        <v/>
      </c>
      <c r="M999" s="9"/>
      <c r="N999" s="11"/>
      <c r="O999" s="13"/>
    </row>
    <row r="1000" customFormat="false" ht="15.75" hidden="false" customHeight="false" outlineLevel="0" collapsed="false">
      <c r="A1000" s="10"/>
      <c r="B1000" s="11"/>
      <c r="C1000" s="11"/>
      <c r="D1000" s="9"/>
      <c r="E1000" s="9"/>
      <c r="F1000" s="11"/>
      <c r="G1000" s="11"/>
      <c r="H1000" s="9"/>
      <c r="I1000" s="9"/>
      <c r="J1000" s="12"/>
      <c r="K1000" s="12"/>
      <c r="L1000" s="12" t="str">
        <f aca="false">IF(A1000="","",IF(I1000="はい",IF(AND(ISNUMBER(J1000),ISNUMBER(K1000)),K1000-J1000,""),""))</f>
        <v/>
      </c>
      <c r="M1000" s="9"/>
      <c r="N1000" s="11"/>
      <c r="O1000" s="13"/>
    </row>
  </sheetData>
  <dataValidations count="5">
    <dataValidation allowBlank="true" errorStyle="stop" operator="between" showDropDown="false" showErrorMessage="true" showInputMessage="false" sqref="D2:D1000" type="list">
      <formula1>"事前候補,購入,観察,事後発見"</formula1>
      <formula2>0</formula2>
    </dataValidation>
    <dataValidation allowBlank="true" errorStyle="stop" operator="between" showDropDown="false" showErrorMessage="true" showInputMessage="false" sqref="E2:E1000" type="list">
      <formula1>"複勝,ワイド,その他"</formula1>
      <formula2>0</formula2>
    </dataValidation>
    <dataValidation allowBlank="true" errorStyle="stop" operator="between" showDropDown="false" showErrorMessage="true" showInputMessage="false" sqref="H2:H1000" type="list">
      <formula1>"未確認,なし,あり"</formula1>
      <formula2>0</formula2>
    </dataValidation>
    <dataValidation allowBlank="true" errorStyle="stop" operator="between" showDropDown="false" showErrorMessage="true" showInputMessage="false" sqref="M2:M1000" type="list">
      <formula1>"的中,不的中,返還,未確定"</formula1>
      <formula2>0</formula2>
    </dataValidation>
    <dataValidation allowBlank="true" errorStyle="stop" operator="between" showDropDown="false" showErrorMessage="true" showInputMessage="false" sqref="I2:I1000" type="list">
      <formula1>"いいえ,はい"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6"/>
    <col collapsed="false" customWidth="true" hidden="false" outlineLevel="0" max="10" min="3" style="0" width="15"/>
    <col collapsed="false" customWidth="true" hidden="false" outlineLevel="0" max="11" min="11" style="0" width="14"/>
    <col collapsed="false" customWidth="true" hidden="false" outlineLevel="0" max="18" min="12" style="0" width="15.13"/>
    <col collapsed="false" customWidth="true" hidden="false" outlineLevel="0" max="19" min="19" style="0" width="16"/>
  </cols>
  <sheetData>
    <row r="1" customFormat="false" ht="28.5" hidden="false" customHeight="true" outlineLevel="0" collapsed="false">
      <c r="A1" s="14" t="s">
        <v>8277</v>
      </c>
      <c r="B1" s="14"/>
      <c r="C1" s="14"/>
      <c r="D1" s="14"/>
      <c r="E1" s="14"/>
      <c r="F1" s="14"/>
      <c r="G1" s="14"/>
      <c r="H1" s="14"/>
    </row>
    <row r="2" customFormat="false" ht="25.5" hidden="false" customHeight="true" outlineLevel="0" collapsed="false">
      <c r="A2" s="1" t="s">
        <v>8278</v>
      </c>
      <c r="B2" s="1" t="s">
        <v>8279</v>
      </c>
      <c r="C2" s="1" t="s">
        <v>8280</v>
      </c>
      <c r="D2" s="1" t="s">
        <v>8281</v>
      </c>
      <c r="E2" s="2" t="s">
        <v>8282</v>
      </c>
      <c r="F2" s="1" t="s">
        <v>8173</v>
      </c>
      <c r="G2" s="1" t="s">
        <v>8283</v>
      </c>
      <c r="H2" s="1" t="s">
        <v>8174</v>
      </c>
    </row>
    <row r="3" customFormat="false" ht="15.75" hidden="false" customHeight="false" outlineLevel="0" collapsed="false">
      <c r="A3" s="15" t="s">
        <v>7541</v>
      </c>
      <c r="B3" s="7" t="n">
        <f aca="false">COUNTIF(レース分析!Q2:Q200,"○")</f>
        <v>15</v>
      </c>
      <c r="C3" s="7" t="n">
        <f aca="false">COUNTIFS(レース分析!Q2:Q200,"○",レース分析!T2:T200,"&lt;=3")</f>
        <v>12</v>
      </c>
      <c r="D3" s="16" t="n">
        <f aca="false">IFERROR(C3/B3,0)</f>
        <v>0</v>
      </c>
      <c r="E3" s="17" t="n">
        <f aca="false">B3*100</f>
        <v>1500</v>
      </c>
      <c r="F3" s="17" t="n">
        <f aca="false">SUMIF(レース分析!Q2:Q200,"○",レース分析!W2:W200)</f>
        <v>1320</v>
      </c>
      <c r="G3" s="16" t="n">
        <f aca="false">IFERROR(F3/E3,0)</f>
        <v>0</v>
      </c>
      <c r="H3" s="17" t="n">
        <f aca="false">F3-E3</f>
        <v>-180</v>
      </c>
    </row>
    <row r="4" customFormat="false" ht="15.75" hidden="false" customHeight="false" outlineLevel="0" collapsed="false">
      <c r="A4" s="15" t="s">
        <v>7542</v>
      </c>
      <c r="B4" s="7" t="n">
        <f aca="false">COUNTIF(レース分析!R2:R200,"○")</f>
        <v>8</v>
      </c>
      <c r="C4" s="7" t="n">
        <f aca="false">COUNTIFS(レース分析!R2:R200,"○",レース分析!T2:T200,"&lt;=3")</f>
        <v>6</v>
      </c>
      <c r="D4" s="16" t="n">
        <f aca="false">IFERROR(C4/B4,0)</f>
        <v>0</v>
      </c>
      <c r="E4" s="17" t="n">
        <f aca="false">B4*100</f>
        <v>800</v>
      </c>
      <c r="F4" s="17" t="n">
        <f aca="false">SUMIF(レース分析!R2:R200,"○",レース分析!W2:W200)</f>
        <v>570</v>
      </c>
      <c r="G4" s="16" t="n">
        <f aca="false">IFERROR(F4/E4,0)</f>
        <v>0</v>
      </c>
      <c r="H4" s="17" t="n">
        <f aca="false">F4-E4</f>
        <v>-230</v>
      </c>
    </row>
    <row r="5" customFormat="false" ht="15.75" hidden="false" customHeight="false" outlineLevel="0" collapsed="false">
      <c r="A5" s="15" t="s">
        <v>8284</v>
      </c>
      <c r="B5" s="7" t="n">
        <f aca="false">COUNTIF(レース分析!S2:S200,"○")</f>
        <v>20</v>
      </c>
      <c r="C5" s="7" t="n">
        <f aca="false">COUNTIFS(レース分析!S2:S200,"○",レース分析!V2:V200,"○")</f>
        <v>8</v>
      </c>
      <c r="D5" s="16" t="n">
        <f aca="false">IFERROR(C5/B5,0)</f>
        <v>0</v>
      </c>
      <c r="E5" s="17" t="n">
        <f aca="false">B5*100</f>
        <v>2000</v>
      </c>
      <c r="F5" s="17" t="n">
        <f aca="false">SUMIF(レース分析!S2:S200,"○",レース分析!X2:X200)</f>
        <v>1220</v>
      </c>
      <c r="G5" s="16" t="n">
        <f aca="false">IFERROR(F5/E5,0)</f>
        <v>0</v>
      </c>
      <c r="H5" s="17" t="n">
        <f aca="false">F5-E5</f>
        <v>-780</v>
      </c>
    </row>
    <row r="6" customFormat="false" ht="15.75" hidden="false" customHeight="false" outlineLevel="0" collapsed="false">
      <c r="A6" s="15" t="s">
        <v>8285</v>
      </c>
      <c r="B6" s="7" t="n">
        <f aca="false">COUNTIF(候補・購入履歴!I2:I200,"はい")</f>
        <v>5</v>
      </c>
      <c r="C6" s="7" t="n">
        <f aca="false">COUNTIFS(候補・購入履歴!I2:I200,"はい",候補・購入履歴!M2:M200,"的中")</f>
        <v>5</v>
      </c>
      <c r="D6" s="16" t="n">
        <f aca="false">IFERROR(C6/B6,0)</f>
        <v>0</v>
      </c>
      <c r="E6" s="17" t="n">
        <f aca="false">SUM(候補・購入履歴!J2:J200)</f>
        <v>410000</v>
      </c>
      <c r="F6" s="17" t="n">
        <f aca="false">SUM(候補・購入履歴!K2:K200)</f>
        <v>495000</v>
      </c>
      <c r="G6" s="16" t="n">
        <f aca="false">IFERROR(F6/E6,0)</f>
        <v>0</v>
      </c>
      <c r="H6" s="17" t="n">
        <f aca="false">F6-E6</f>
        <v>85000</v>
      </c>
    </row>
    <row r="7" customFormat="false" ht="15.75" hidden="false" customHeight="false" outlineLevel="0" collapsed="false">
      <c r="A7" s="18" t="s">
        <v>8286</v>
      </c>
      <c r="B7" s="19" t="n">
        <v>85000</v>
      </c>
      <c r="C7" s="5" t="s">
        <v>8287</v>
      </c>
      <c r="H7" s="17"/>
    </row>
    <row r="8" customFormat="false" ht="15.75" hidden="false" customHeight="false" outlineLevel="0" collapsed="false">
      <c r="B8" s="7"/>
    </row>
    <row r="9" customFormat="false" ht="15.75" hidden="false" customHeight="false" outlineLevel="0" collapsed="false">
      <c r="A9" s="5" t="s">
        <v>8288</v>
      </c>
      <c r="B9" s="7" t="s">
        <v>8289</v>
      </c>
    </row>
    <row r="12" customFormat="false" ht="15.75" hidden="false" customHeight="false" outlineLevel="0" collapsed="false">
      <c r="A12" s="20" t="s">
        <v>8290</v>
      </c>
      <c r="B12" s="20"/>
      <c r="C12" s="20"/>
      <c r="D12" s="20"/>
      <c r="E12" s="20"/>
      <c r="F12" s="20"/>
      <c r="G12" s="20"/>
      <c r="H12" s="20"/>
    </row>
    <row r="13" customFormat="false" ht="15.75" hidden="false" customHeight="false" outlineLevel="0" collapsed="false">
      <c r="A13" s="1" t="s">
        <v>8278</v>
      </c>
      <c r="B13" s="1" t="s">
        <v>8279</v>
      </c>
      <c r="C13" s="1" t="s">
        <v>8280</v>
      </c>
      <c r="D13" s="1" t="s">
        <v>8281</v>
      </c>
      <c r="E13" s="2" t="s">
        <v>8282</v>
      </c>
      <c r="F13" s="1" t="s">
        <v>8173</v>
      </c>
      <c r="G13" s="1" t="s">
        <v>8283</v>
      </c>
      <c r="H13" s="1" t="s">
        <v>8174</v>
      </c>
    </row>
    <row r="14" customFormat="false" ht="15.75" hidden="false" customHeight="false" outlineLevel="0" collapsed="false">
      <c r="A14" s="15" t="s">
        <v>8291</v>
      </c>
      <c r="B14" s="7" t="n">
        <f aca="false">COUNTIF(レース分析!AA2:AA200,"○")</f>
        <v>3</v>
      </c>
      <c r="C14" s="7" t="n">
        <f aca="false">COUNTIFS(レース分析!AA2:AA200,"○",レース分析!T2:T200,"&lt;=3")</f>
        <v>3</v>
      </c>
      <c r="D14" s="16" t="n">
        <f aca="false">IFERROR(C14/B14,0)</f>
        <v>0</v>
      </c>
      <c r="E14" s="17" t="n">
        <f aca="false">B14*100</f>
        <v>300</v>
      </c>
      <c r="F14" s="17" t="n">
        <f aca="false">SUMIF(レース分析!AA2:AA200,"○",レース分析!W2:W200)</f>
        <v>340</v>
      </c>
      <c r="G14" s="16" t="n">
        <f aca="false">IFERROR(F14/E14,0)</f>
        <v>0</v>
      </c>
      <c r="H14" s="17" t="n">
        <f aca="false">F14-E14</f>
        <v>40</v>
      </c>
    </row>
    <row r="15" customFormat="false" ht="15.75" hidden="false" customHeight="false" outlineLevel="0" collapsed="false">
      <c r="A15" s="21" t="s">
        <v>8292</v>
      </c>
      <c r="B15" s="7" t="n">
        <f aca="false">COUNTIF(レース分析!AB2:AB200,"○")</f>
        <v>15</v>
      </c>
      <c r="C15" s="7" t="n">
        <f aca="false">COUNTIFS(レース分析!AB2:AB200,"○",レース分析!T2:T200,"&lt;=3")</f>
        <v>12</v>
      </c>
      <c r="D15" s="16" t="n">
        <f aca="false">IFERROR(C15/B15,0)</f>
        <v>0</v>
      </c>
      <c r="E15" s="17" t="n">
        <f aca="false">B15*100</f>
        <v>1500</v>
      </c>
      <c r="F15" s="17" t="n">
        <f aca="false">SUMIF(レース分析!AB2:AB200,"○",レース分析!W2:W200)</f>
        <v>1320</v>
      </c>
      <c r="G15" s="16" t="n">
        <f aca="false">IFERROR(F15/E15,0)</f>
        <v>0</v>
      </c>
      <c r="H15" s="17" t="n">
        <f aca="false">F15-E15</f>
        <v>-180</v>
      </c>
    </row>
    <row r="16" customFormat="false" ht="15.75" hidden="false" customHeight="false" outlineLevel="0" collapsed="false">
      <c r="A16" s="21" t="s">
        <v>8293</v>
      </c>
      <c r="B16" s="7" t="n">
        <f aca="false">COUNTIF(レース分析!AC2:AC200,"○")</f>
        <v>8</v>
      </c>
      <c r="C16" s="7" t="n">
        <f aca="false">COUNTIFS(レース分析!AC2:AC200,"○",レース分析!T2:T200,"&lt;=3")</f>
        <v>6</v>
      </c>
      <c r="D16" s="16" t="n">
        <f aca="false">IFERROR(C16/B16,0)</f>
        <v>0</v>
      </c>
      <c r="E16" s="17" t="n">
        <f aca="false">B16*100</f>
        <v>800</v>
      </c>
      <c r="F16" s="17" t="n">
        <f aca="false">SUMIF(レース分析!AC2:AC200,"○",レース分析!W2:W200)</f>
        <v>660</v>
      </c>
      <c r="G16" s="16" t="n">
        <f aca="false">IFERROR(F16/E16,0)</f>
        <v>0</v>
      </c>
      <c r="H16" s="17" t="n">
        <f aca="false">F16-E16</f>
        <v>-140</v>
      </c>
    </row>
    <row r="17" customFormat="false" ht="15.75" hidden="false" customHeight="false" outlineLevel="0" collapsed="false">
      <c r="A17" s="21" t="s">
        <v>8294</v>
      </c>
      <c r="B17" s="7" t="n">
        <f aca="false">COUNTIF(レース分析!AD2:AD200,"○")</f>
        <v>5</v>
      </c>
      <c r="C17" s="7" t="n">
        <f aca="false">COUNTIFS(レース分析!AD2:AD200,"○",レース分析!T2:T200,"&lt;=3")</f>
        <v>4</v>
      </c>
      <c r="D17" s="16" t="n">
        <f aca="false">IFERROR(C17/B17,0)</f>
        <v>0</v>
      </c>
      <c r="E17" s="17" t="n">
        <f aca="false">B17*100</f>
        <v>500</v>
      </c>
      <c r="F17" s="17" t="n">
        <f aca="false">SUMIF(レース分析!AD2:AD200,"○",レース分析!W2:W200)</f>
        <v>450</v>
      </c>
      <c r="G17" s="16" t="n">
        <f aca="false">IFERROR(F17/E17,0)</f>
        <v>0</v>
      </c>
      <c r="H17" s="17" t="n">
        <f aca="false">F17-E17</f>
        <v>-50</v>
      </c>
    </row>
    <row r="18" customFormat="false" ht="15.75" hidden="false" customHeight="false" outlineLevel="0" collapsed="false">
      <c r="A18" s="21" t="s">
        <v>8295</v>
      </c>
      <c r="B18" s="7" t="n">
        <f aca="false">COUNTIF(レース分析!AE2:AE200,"○")</f>
        <v>3</v>
      </c>
      <c r="C18" s="7" t="n">
        <f aca="false">COUNTIFS(レース分析!AE2:AE200,"○",レース分析!T2:T200,"&lt;=3")</f>
        <v>2</v>
      </c>
      <c r="D18" s="16" t="n">
        <f aca="false">IFERROR(C18/B18,0)</f>
        <v>0</v>
      </c>
      <c r="E18" s="17" t="n">
        <f aca="false">B18*100</f>
        <v>300</v>
      </c>
      <c r="F18" s="17" t="n">
        <f aca="false">SUMIF(レース分析!AE2:AE200,"○",レース分析!W2:W200)</f>
        <v>120</v>
      </c>
      <c r="G18" s="16" t="n">
        <f aca="false">IFERROR(F18/E18,0)</f>
        <v>0</v>
      </c>
      <c r="H18" s="17" t="n">
        <f aca="false">F18-E18</f>
        <v>-180</v>
      </c>
    </row>
    <row r="19" customFormat="false" ht="15.75" hidden="false" customHeight="false" outlineLevel="0" collapsed="false">
      <c r="A19" s="15" t="s">
        <v>7555</v>
      </c>
      <c r="B19" s="7" t="n">
        <f aca="false">COUNTIF(レース分析!AF2:AF200,"○")</f>
        <v>7</v>
      </c>
      <c r="C19" s="7" t="n">
        <f aca="false">COUNTIFS(レース分析!AF2:AF200,"○",レース分析!T2:T200,"&lt;=3")</f>
        <v>5</v>
      </c>
      <c r="D19" s="16" t="n">
        <f aca="false">IFERROR(C19/B19,0)</f>
        <v>0</v>
      </c>
      <c r="E19" s="17" t="n">
        <f aca="false">B19*100</f>
        <v>700</v>
      </c>
      <c r="F19" s="17" t="n">
        <f aca="false">SUMIF(レース分析!AF2:AF200,"○",レース分析!W2:W200)</f>
        <v>540</v>
      </c>
      <c r="G19" s="16" t="n">
        <f aca="false">IFERROR(F19/E19,0)</f>
        <v>0</v>
      </c>
      <c r="H19" s="17" t="n">
        <f aca="false">F19-E19</f>
        <v>-160</v>
      </c>
    </row>
    <row r="20" customFormat="false" ht="15.75" hidden="false" customHeight="false" outlineLevel="0" collapsed="false">
      <c r="A20" s="21" t="s">
        <v>8296</v>
      </c>
      <c r="B20" s="7" t="n">
        <f aca="false">COUNTIF(レース分析!AG2:AG200,"○")</f>
        <v>14</v>
      </c>
      <c r="C20" s="7" t="n">
        <f aca="false">COUNTIFS(レース分析!AG2:AG200,"○",レース分析!T2:T200,"&lt;=3")</f>
        <v>11</v>
      </c>
      <c r="D20" s="16" t="n">
        <f aca="false">IFERROR(C20/B20,0)</f>
        <v>0</v>
      </c>
      <c r="E20" s="17" t="n">
        <f aca="false">B20*100</f>
        <v>1400</v>
      </c>
      <c r="F20" s="17" t="n">
        <f aca="false">SUMIF(レース分析!AG2:AG200,"○",レース分析!W2:W200)</f>
        <v>1210</v>
      </c>
      <c r="G20" s="16" t="n">
        <f aca="false">IFERROR(F20/E20,0)</f>
        <v>0</v>
      </c>
      <c r="H20" s="17" t="n">
        <f aca="false">F20-E20</f>
        <v>-190</v>
      </c>
    </row>
    <row r="21" customFormat="false" ht="15.75" hidden="false" customHeight="false" outlineLevel="0" collapsed="false">
      <c r="A21" s="15" t="s">
        <v>8297</v>
      </c>
      <c r="B21" s="7" t="n">
        <f aca="false">COUNTIF(レース分析!AH2:AH200,"○")</f>
        <v>0</v>
      </c>
      <c r="C21" s="7" t="n">
        <f aca="false">COUNTIFS(レース分析!AH2:AH200,"○",レース分析!T2:T200,"&lt;=3")</f>
        <v>0</v>
      </c>
      <c r="D21" s="16" t="n">
        <f aca="false">IFERROR(C21/B21,0)</f>
        <v>0</v>
      </c>
      <c r="E21" s="17" t="n">
        <f aca="false">B21*100</f>
        <v>0</v>
      </c>
      <c r="F21" s="17" t="n">
        <f aca="false">SUMIF(レース分析!AH2:AH200,"○",レース分析!W2:W200)</f>
        <v>0</v>
      </c>
      <c r="G21" s="16" t="n">
        <f aca="false">IFERROR(F21/E21,0)</f>
        <v>0</v>
      </c>
      <c r="H21" s="17" t="n">
        <f aca="false">F21-E21</f>
        <v>0</v>
      </c>
    </row>
    <row r="24" customFormat="false" ht="15.75" hidden="false" customHeight="false" outlineLevel="0" collapsed="false">
      <c r="A24" s="22" t="s">
        <v>8298</v>
      </c>
      <c r="B24" s="20"/>
      <c r="C24" s="20"/>
      <c r="D24" s="20"/>
      <c r="E24" s="20"/>
      <c r="F24" s="20"/>
      <c r="G24" s="20"/>
      <c r="H24" s="20"/>
    </row>
    <row r="25" customFormat="false" ht="15.75" hidden="false" customHeight="false" outlineLevel="0" collapsed="false">
      <c r="A25" s="1" t="s">
        <v>8278</v>
      </c>
      <c r="B25" s="1" t="s">
        <v>8279</v>
      </c>
      <c r="C25" s="1" t="s">
        <v>8280</v>
      </c>
      <c r="D25" s="1" t="s">
        <v>8281</v>
      </c>
      <c r="E25" s="2" t="s">
        <v>8282</v>
      </c>
      <c r="F25" s="1" t="s">
        <v>8173</v>
      </c>
      <c r="G25" s="1" t="s">
        <v>8283</v>
      </c>
      <c r="H25" s="1" t="s">
        <v>8174</v>
      </c>
    </row>
    <row r="26" customFormat="false" ht="15.75" hidden="false" customHeight="false" outlineLevel="0" collapsed="false">
      <c r="A26" s="15" t="s">
        <v>8299</v>
      </c>
      <c r="B26" s="7" t="n">
        <f aca="false">COUNTIFS(レース分析!AJ2:AJ200,A26,レース分析!Y2:Y200,"&lt;&gt;参考")</f>
        <v>96</v>
      </c>
      <c r="C26" s="7" t="n">
        <f aca="false">COUNTIFS(レース分析!AJ2:AJ200,A26,レース分析!Y2:Y200,"&lt;&gt;参考",レース分析!T2:T200,"&lt;=3")</f>
        <v>55</v>
      </c>
      <c r="D26" s="16" t="n">
        <f aca="false">IFERROR(C26/B26,0)</f>
        <v>0</v>
      </c>
      <c r="E26" s="17" t="n">
        <f aca="false">B26*100</f>
        <v>9600</v>
      </c>
      <c r="F26" s="17" t="n">
        <f aca="false">SUMIFS(レース分析!W2:W200,レース分析!AJ2:AJ200,A26,レース分析!Y2:Y200,"&lt;&gt;参考")</f>
        <v>9290</v>
      </c>
      <c r="G26" s="16" t="n">
        <f aca="false">IFERROR(F26/E26,0)</f>
        <v>0</v>
      </c>
      <c r="H26" s="17" t="n">
        <f aca="false">F26-E26</f>
        <v>-310</v>
      </c>
    </row>
    <row r="27" customFormat="false" ht="15.75" hidden="false" customHeight="false" outlineLevel="0" collapsed="false">
      <c r="A27" s="21" t="s">
        <v>8300</v>
      </c>
      <c r="B27" s="7" t="n">
        <f aca="false">COUNTIFS(レース分析!AJ2:AJ200,A27,レース分析!Y2:Y200,"&lt;&gt;参考")</f>
        <v>69</v>
      </c>
      <c r="C27" s="7" t="n">
        <f aca="false">COUNTIFS(レース分析!AJ2:AJ200,A27,レース分析!Y2:Y200,"&lt;&gt;参考",レース分析!T2:T200,"&lt;=3")</f>
        <v>42</v>
      </c>
      <c r="D27" s="16" t="n">
        <f aca="false">IFERROR(C27/B27,0)</f>
        <v>0</v>
      </c>
      <c r="E27" s="17" t="n">
        <f aca="false">B27*100</f>
        <v>6900</v>
      </c>
      <c r="F27" s="17" t="n">
        <f aca="false">SUMIFS(レース分析!W2:W200,レース分析!AJ2:AJ200,A27,レース分析!Y2:Y200,"&lt;&gt;参考")</f>
        <v>6100</v>
      </c>
      <c r="G27" s="16" t="n">
        <f aca="false">IFERROR(F27/E27,0)</f>
        <v>0</v>
      </c>
      <c r="H27" s="17" t="n">
        <f aca="false">F27-E27</f>
        <v>-800</v>
      </c>
    </row>
    <row r="28" customFormat="false" ht="15.75" hidden="false" customHeight="false" outlineLevel="0" collapsed="false">
      <c r="A28" s="21" t="s">
        <v>8301</v>
      </c>
      <c r="B28" s="7" t="n">
        <f aca="false">COUNTIFS(レース分析!AJ2:AJ200,A28,レース分析!Y2:Y200,"&lt;&gt;参考")</f>
        <v>16</v>
      </c>
      <c r="C28" s="7" t="n">
        <f aca="false">COUNTIFS(レース分析!AJ2:AJ200,A28,レース分析!Y2:Y200,"&lt;&gt;参考",レース分析!T2:T200,"&lt;=3")</f>
        <v>13</v>
      </c>
      <c r="D28" s="16" t="n">
        <f aca="false">IFERROR(C28/B28,0)</f>
        <v>0</v>
      </c>
      <c r="E28" s="17" t="n">
        <f aca="false">B28*100</f>
        <v>1600</v>
      </c>
      <c r="F28" s="17" t="n">
        <f aca="false">SUMIFS(レース分析!W2:W200,レース分析!AJ2:AJ200,A28,レース分析!Y2:Y200,"&lt;&gt;参考")</f>
        <v>1530</v>
      </c>
      <c r="G28" s="16" t="n">
        <f aca="false">IFERROR(F28/E28,0)</f>
        <v>0</v>
      </c>
      <c r="H28" s="17" t="n">
        <f aca="false">F28-E28</f>
        <v>-70</v>
      </c>
    </row>
    <row r="29" customFormat="false" ht="15.75" hidden="false" customHeight="false" outlineLevel="0" collapsed="false">
      <c r="A29" s="21" t="s">
        <v>8302</v>
      </c>
      <c r="B29" s="7" t="n">
        <f aca="false">COUNTIFS(レース分析!AJ2:AJ200,A29,レース分析!Y2:Y200,"&lt;&gt;参考")</f>
        <v>3</v>
      </c>
      <c r="C29" s="7" t="n">
        <f aca="false">COUNTIFS(レース分析!AJ2:AJ200,A29,レース分析!Y2:Y200,"&lt;&gt;参考",レース分析!T2:T200,"&lt;=3")</f>
        <v>2</v>
      </c>
      <c r="D29" s="16" t="n">
        <f aca="false">IFERROR(C29/B29,0)</f>
        <v>0</v>
      </c>
      <c r="E29" s="17" t="n">
        <f aca="false">B29*100</f>
        <v>300</v>
      </c>
      <c r="F29" s="17" t="n">
        <f aca="false">SUMIFS(レース分析!W2:W200,レース分析!AJ2:AJ200,A29,レース分析!Y2:Y200,"&lt;&gt;参考")</f>
        <v>250</v>
      </c>
      <c r="G29" s="16" t="n">
        <f aca="false">IFERROR(F29/E29,0)</f>
        <v>0</v>
      </c>
      <c r="H29" s="17" t="n">
        <f aca="false">F29-E29</f>
        <v>-50</v>
      </c>
    </row>
    <row r="30" customFormat="false" ht="15.75" hidden="false" customHeight="false" outlineLevel="0" collapsed="false">
      <c r="A30" s="21" t="s">
        <v>8303</v>
      </c>
      <c r="B30" s="7" t="n">
        <f aca="false">COUNTIFS(レース分析!AJ2:AJ200,A30,レース分析!Y2:Y200,"&lt;&gt;参考")</f>
        <v>12</v>
      </c>
      <c r="C30" s="7" t="n">
        <f aca="false">COUNTIFS(レース分析!AJ2:AJ200,A30,レース分析!Y2:Y200,"&lt;&gt;参考",レース分析!T2:T200,"&lt;=3")</f>
        <v>9</v>
      </c>
      <c r="D30" s="16" t="n">
        <f aca="false">IFERROR(C30/B30,0)</f>
        <v>0</v>
      </c>
      <c r="E30" s="17" t="n">
        <f aca="false">B30*100</f>
        <v>1200</v>
      </c>
      <c r="F30" s="17" t="n">
        <f aca="false">SUMIFS(レース分析!W2:W200,レース分析!AJ2:AJ200,A30,レース分析!Y2:Y200,"&lt;&gt;参考")</f>
        <v>980</v>
      </c>
      <c r="G30" s="16" t="n">
        <f aca="false">IFERROR(F30/E30,0)</f>
        <v>0</v>
      </c>
      <c r="H30" s="17" t="n">
        <f aca="false">F30-E30</f>
        <v>-220</v>
      </c>
    </row>
    <row r="31" customFormat="false" ht="15.75" hidden="false" customHeight="false" outlineLevel="0" collapsed="false">
      <c r="A31" s="21" t="s">
        <v>8304</v>
      </c>
      <c r="B31" s="7" t="n">
        <f aca="false">COUNTIFS(レース分析!AJ2:AJ200,A31,レース分析!Y2:Y200,"&lt;&gt;参考")</f>
        <v>3</v>
      </c>
      <c r="C31" s="7" t="n">
        <f aca="false">COUNTIFS(レース分析!AJ2:AJ200,A31,レース分析!Y2:Y200,"&lt;&gt;参考",レース分析!T2:T200,"&lt;=3")</f>
        <v>3</v>
      </c>
      <c r="D31" s="16" t="n">
        <f aca="false">IFERROR(C31/B31,0)</f>
        <v>0</v>
      </c>
      <c r="E31" s="17" t="n">
        <f aca="false">B31*100</f>
        <v>300</v>
      </c>
      <c r="F31" s="17" t="n">
        <f aca="false">SUMIFS(レース分析!W2:W200,レース分析!AJ2:AJ200,A31,レース分析!Y2:Y200,"&lt;&gt;参考")</f>
        <v>340</v>
      </c>
      <c r="G31" s="16" t="n">
        <f aca="false">IFERROR(F31/E31,0)</f>
        <v>0</v>
      </c>
      <c r="H31" s="17" t="n">
        <f aca="false">F31-E31</f>
        <v>40</v>
      </c>
    </row>
    <row r="34" customFormat="false" ht="15.75" hidden="false" customHeight="false" outlineLevel="0" collapsed="false">
      <c r="A34" s="22" t="s">
        <v>8305</v>
      </c>
      <c r="B34" s="20"/>
      <c r="C34" s="20"/>
      <c r="D34" s="20"/>
      <c r="E34" s="20"/>
      <c r="F34" s="20"/>
      <c r="G34" s="20"/>
      <c r="H34" s="20"/>
    </row>
    <row r="35" customFormat="false" ht="15.75" hidden="false" customHeight="false" outlineLevel="0" collapsed="false">
      <c r="A35" s="1" t="s">
        <v>8278</v>
      </c>
      <c r="B35" s="1" t="s">
        <v>8279</v>
      </c>
      <c r="C35" s="1" t="s">
        <v>8280</v>
      </c>
      <c r="D35" s="1" t="s">
        <v>8281</v>
      </c>
      <c r="E35" s="2" t="s">
        <v>8282</v>
      </c>
      <c r="F35" s="1" t="s">
        <v>8173</v>
      </c>
      <c r="G35" s="1" t="s">
        <v>8283</v>
      </c>
      <c r="H35" s="1" t="s">
        <v>8174</v>
      </c>
    </row>
    <row r="36" customFormat="false" ht="15.75" hidden="false" customHeight="false" outlineLevel="0" collapsed="false">
      <c r="A36" s="21" t="s">
        <v>8306</v>
      </c>
      <c r="B36" s="7" t="n">
        <f aca="false">COUNTIFS(レース分析!AK2:AK200,A36,レース分析!Y2:Y200,"&lt;&gt;参考")</f>
        <v>51</v>
      </c>
      <c r="C36" s="7" t="n">
        <f aca="false">COUNTIFS(レース分析!AK2:AK200,A36,レース分析!Y2:Y200,"&lt;&gt;参考",レース分析!T2:T200,"&lt;=3")</f>
        <v>35</v>
      </c>
      <c r="D36" s="16" t="n">
        <f aca="false">IFERROR(C36/B36,0)</f>
        <v>0</v>
      </c>
      <c r="E36" s="17" t="n">
        <f aca="false">B36*100</f>
        <v>5100</v>
      </c>
      <c r="F36" s="17" t="n">
        <f aca="false">SUMIFS(レース分析!W2:W200,レース分析!AK2:AK200,A36,レース分析!Y2:Y200,"&lt;&gt;参考")</f>
        <v>5570</v>
      </c>
      <c r="G36" s="16" t="n">
        <f aca="false">IFERROR(F36/E36,0)</f>
        <v>0</v>
      </c>
      <c r="H36" s="17" t="n">
        <f aca="false">F36-E36</f>
        <v>470</v>
      </c>
    </row>
    <row r="37" customFormat="false" ht="15.75" hidden="false" customHeight="false" outlineLevel="0" collapsed="false">
      <c r="A37" s="21" t="s">
        <v>8307</v>
      </c>
      <c r="B37" s="7" t="n">
        <f aca="false">COUNTIFS(レース分析!AK2:AK200,A37,レース分析!Y2:Y200,"&lt;&gt;参考")</f>
        <v>40</v>
      </c>
      <c r="C37" s="7" t="n">
        <f aca="false">COUNTIFS(レース分析!AK2:AK200,A37,レース分析!Y2:Y200,"&lt;&gt;参考",レース分析!T2:T200,"&lt;=3")</f>
        <v>24</v>
      </c>
      <c r="D37" s="16" t="n">
        <f aca="false">IFERROR(C37/B37,0)</f>
        <v>0</v>
      </c>
      <c r="E37" s="17" t="n">
        <f aca="false">B37*100</f>
        <v>4000</v>
      </c>
      <c r="F37" s="17" t="n">
        <f aca="false">SUMIFS(レース分析!W2:W200,レース分析!AK2:AK200,A37,レース分析!Y2:Y200,"&lt;&gt;参考")</f>
        <v>3900</v>
      </c>
      <c r="G37" s="16" t="n">
        <f aca="false">IFERROR(F37/E37,0)</f>
        <v>0</v>
      </c>
      <c r="H37" s="17" t="n">
        <f aca="false">F37-E37</f>
        <v>-100</v>
      </c>
    </row>
    <row r="38" customFormat="false" ht="15.75" hidden="false" customHeight="false" outlineLevel="0" collapsed="false">
      <c r="A38" s="21" t="s">
        <v>8308</v>
      </c>
      <c r="B38" s="7" t="n">
        <f aca="false">COUNTIFS(レース分析!AK2:AK200,A38,レース分析!Y2:Y200,"&lt;&gt;参考")</f>
        <v>69</v>
      </c>
      <c r="C38" s="7" t="n">
        <f aca="false">COUNTIFS(レース分析!AK2:AK200,A38,レース分析!Y2:Y200,"&lt;&gt;参考",レース分析!T2:T200,"&lt;=3")</f>
        <v>42</v>
      </c>
      <c r="D38" s="16" t="n">
        <f aca="false">IFERROR(C38/B38,0)</f>
        <v>0</v>
      </c>
      <c r="E38" s="17" t="n">
        <f aca="false">B38*100</f>
        <v>6900</v>
      </c>
      <c r="F38" s="17" t="n">
        <f aca="false">SUMIFS(レース分析!W2:W200,レース分析!AK2:AK200,A38,レース分析!Y2:Y200,"&lt;&gt;参考")</f>
        <v>6170</v>
      </c>
      <c r="G38" s="16" t="n">
        <f aca="false">IFERROR(F38/E38,0)</f>
        <v>0</v>
      </c>
      <c r="H38" s="17" t="n">
        <f aca="false">F38-E38</f>
        <v>-730</v>
      </c>
    </row>
    <row r="39" customFormat="false" ht="15.75" hidden="false" customHeight="false" outlineLevel="0" collapsed="false">
      <c r="A39" s="21" t="s">
        <v>8309</v>
      </c>
      <c r="B39" s="7" t="n">
        <f aca="false">COUNTIFS(レース分析!AK2:AK200,A39,レース分析!Y2:Y200,"&lt;&gt;参考")</f>
        <v>27</v>
      </c>
      <c r="C39" s="7" t="n">
        <f aca="false">COUNTIFS(レース分析!AK2:AK200,A39,レース分析!Y2:Y200,"&lt;&gt;参考",レース分析!T2:T200,"&lt;=3")</f>
        <v>16</v>
      </c>
      <c r="D39" s="16" t="n">
        <f aca="false">IFERROR(C39/B39,0)</f>
        <v>0</v>
      </c>
      <c r="E39" s="17" t="n">
        <f aca="false">B39*100</f>
        <v>2700</v>
      </c>
      <c r="F39" s="17" t="n">
        <f aca="false">SUMIFS(レース分析!W2:W200,レース分析!AK2:AK200,A39,レース分析!Y2:Y200,"&lt;&gt;参考")</f>
        <v>1970</v>
      </c>
      <c r="G39" s="16" t="n">
        <f aca="false">IFERROR(F39/E39,0)</f>
        <v>0</v>
      </c>
      <c r="H39" s="17" t="n">
        <f aca="false">F39-E39</f>
        <v>-730</v>
      </c>
    </row>
    <row r="40" customFormat="false" ht="15.75" hidden="false" customHeight="false" outlineLevel="0" collapsed="false">
      <c r="A40" s="21" t="s">
        <v>8310</v>
      </c>
      <c r="B40" s="7" t="n">
        <f aca="false">COUNTIFS(レース分析!AK2:AK200,A40,レース分析!Y2:Y200,"&lt;&gt;参考")</f>
        <v>12</v>
      </c>
      <c r="C40" s="7" t="n">
        <f aca="false">COUNTIFS(レース分析!AK2:AK200,A40,レース分析!Y2:Y200,"&lt;&gt;参考",レース分析!T2:T200,"&lt;=3")</f>
        <v>7</v>
      </c>
      <c r="D40" s="16" t="n">
        <f aca="false">IFERROR(C40/B40,0)</f>
        <v>0</v>
      </c>
      <c r="E40" s="17" t="n">
        <f aca="false">B40*100</f>
        <v>1200</v>
      </c>
      <c r="F40" s="17" t="n">
        <f aca="false">SUMIFS(レース分析!W2:W200,レース分析!AK2:AK200,A40,レース分析!Y2:Y200,"&lt;&gt;参考")</f>
        <v>880</v>
      </c>
      <c r="G40" s="16" t="n">
        <f aca="false">IFERROR(F40/E40,0)</f>
        <v>0</v>
      </c>
      <c r="H40" s="17" t="n">
        <f aca="false">F40-E40</f>
        <v>-320</v>
      </c>
    </row>
    <row r="43" customFormat="false" ht="15.75" hidden="false" customHeight="false" outlineLevel="0" collapsed="false">
      <c r="A43" s="22" t="s">
        <v>8311</v>
      </c>
      <c r="B43" s="20"/>
      <c r="C43" s="20"/>
      <c r="D43" s="20"/>
      <c r="E43" s="20"/>
      <c r="F43" s="20"/>
      <c r="G43" s="20"/>
      <c r="H43" s="20"/>
    </row>
    <row r="44" customFormat="false" ht="15.75" hidden="false" customHeight="false" outlineLevel="0" collapsed="false">
      <c r="A44" s="1" t="s">
        <v>8278</v>
      </c>
      <c r="B44" s="1" t="s">
        <v>8279</v>
      </c>
      <c r="C44" s="1" t="s">
        <v>8280</v>
      </c>
      <c r="D44" s="1" t="s">
        <v>8281</v>
      </c>
      <c r="E44" s="2" t="s">
        <v>8282</v>
      </c>
      <c r="F44" s="1" t="s">
        <v>8173</v>
      </c>
      <c r="G44" s="1" t="s">
        <v>8283</v>
      </c>
      <c r="H44" s="1" t="s">
        <v>8174</v>
      </c>
    </row>
    <row r="45" customFormat="false" ht="15.75" hidden="false" customHeight="false" outlineLevel="0" collapsed="false">
      <c r="A45" s="21" t="s">
        <v>8312</v>
      </c>
      <c r="B45" s="7" t="n">
        <f aca="false">COUNTIFS(レース分析!AL2:AL200,A45,レース分析!Y2:Y200,"&lt;&gt;参考")</f>
        <v>37</v>
      </c>
      <c r="C45" s="7" t="n">
        <f aca="false">COUNTIFS(レース分析!AL2:AL200,A45,レース分析!Y2:Y200,"&lt;&gt;参考",レース分析!T2:T200,"&lt;=3")</f>
        <v>24</v>
      </c>
      <c r="D45" s="16" t="n">
        <f aca="false">IFERROR(C45/B45,0)</f>
        <v>0</v>
      </c>
      <c r="E45" s="17" t="n">
        <f aca="false">B45*100</f>
        <v>3700</v>
      </c>
      <c r="F45" s="17" t="n">
        <f aca="false">SUMIFS(レース分析!W2:W200,レース分析!AL2:AL200,A45,レース分析!Y2:Y200,"&lt;&gt;参考")</f>
        <v>4350</v>
      </c>
      <c r="G45" s="16" t="n">
        <f aca="false">IFERROR(F45/E45,0)</f>
        <v>0</v>
      </c>
      <c r="H45" s="17" t="n">
        <f aca="false">F45-E45</f>
        <v>650</v>
      </c>
    </row>
    <row r="46" customFormat="false" ht="15.75" hidden="false" customHeight="false" outlineLevel="0" collapsed="false">
      <c r="A46" s="21" t="s">
        <v>8308</v>
      </c>
      <c r="B46" s="7" t="n">
        <f aca="false">COUNTIFS(レース分析!AL2:AL200,A46,レース分析!Y2:Y200,"&lt;&gt;参考")</f>
        <v>66</v>
      </c>
      <c r="C46" s="7" t="n">
        <f aca="false">COUNTIFS(レース分析!AL2:AL200,A46,レース分析!Y2:Y200,"&lt;&gt;参考",レース分析!T2:T200,"&lt;=3")</f>
        <v>35</v>
      </c>
      <c r="D46" s="16" t="n">
        <f aca="false">IFERROR(C46/B46,0)</f>
        <v>0</v>
      </c>
      <c r="E46" s="17" t="n">
        <f aca="false">B46*100</f>
        <v>6600</v>
      </c>
      <c r="F46" s="17" t="n">
        <f aca="false">SUMIFS(レース分析!W2:W200,レース分析!AL2:AL200,A46,レース分析!Y2:Y200,"&lt;&gt;参考")</f>
        <v>5500</v>
      </c>
      <c r="G46" s="16" t="n">
        <f aca="false">IFERROR(F46/E46,0)</f>
        <v>0</v>
      </c>
      <c r="H46" s="17" t="n">
        <f aca="false">F46-E46</f>
        <v>-1100</v>
      </c>
    </row>
    <row r="47" customFormat="false" ht="15.75" hidden="false" customHeight="false" outlineLevel="0" collapsed="false">
      <c r="A47" s="21" t="s">
        <v>8309</v>
      </c>
      <c r="B47" s="7" t="n">
        <f aca="false">COUNTIFS(レース分析!AL2:AL200,A47,レース分析!Y2:Y200,"&lt;&gt;参考")</f>
        <v>52</v>
      </c>
      <c r="C47" s="7" t="n">
        <f aca="false">COUNTIFS(レース分析!AL2:AL200,A47,レース分析!Y2:Y200,"&lt;&gt;参考",レース分析!T2:T200,"&lt;=3")</f>
        <v>36</v>
      </c>
      <c r="D47" s="16" t="n">
        <f aca="false">IFERROR(C47/B47,0)</f>
        <v>0</v>
      </c>
      <c r="E47" s="17" t="n">
        <f aca="false">B47*100</f>
        <v>5200</v>
      </c>
      <c r="F47" s="17" t="n">
        <f aca="false">SUMIFS(レース分析!W2:W200,レース分析!AL2:AL200,A47,レース分析!Y2:Y200,"&lt;&gt;参考")</f>
        <v>5050</v>
      </c>
      <c r="G47" s="16" t="n">
        <f aca="false">IFERROR(F47/E47,0)</f>
        <v>0</v>
      </c>
      <c r="H47" s="17" t="n">
        <f aca="false">F47-E47</f>
        <v>-150</v>
      </c>
    </row>
    <row r="48" customFormat="false" ht="15.75" hidden="false" customHeight="false" outlineLevel="0" collapsed="false">
      <c r="A48" s="21" t="s">
        <v>8313</v>
      </c>
      <c r="B48" s="7" t="n">
        <f aca="false">COUNTIFS(レース分析!AL2:AL200,A48,レース分析!Y2:Y200,"&lt;&gt;参考")</f>
        <v>29</v>
      </c>
      <c r="C48" s="7" t="n">
        <f aca="false">COUNTIFS(レース分析!AL2:AL200,A48,レース分析!Y2:Y200,"&lt;&gt;参考",レース分析!T2:T200,"&lt;=3")</f>
        <v>17</v>
      </c>
      <c r="D48" s="16" t="n">
        <f aca="false">IFERROR(C48/B48,0)</f>
        <v>0</v>
      </c>
      <c r="E48" s="17" t="n">
        <f aca="false">B48*100</f>
        <v>2900</v>
      </c>
      <c r="F48" s="17" t="n">
        <f aca="false">SUMIFS(レース分析!W2:W200,レース分析!AL2:AL200,A48,レース分析!Y2:Y200,"&lt;&gt;参考")</f>
        <v>2070</v>
      </c>
      <c r="G48" s="16" t="n">
        <f aca="false">IFERROR(F48/E48,0)</f>
        <v>0</v>
      </c>
      <c r="H48" s="17" t="n">
        <f aca="false">F48-E48</f>
        <v>-830</v>
      </c>
    </row>
    <row r="49" customFormat="false" ht="15.75" hidden="false" customHeight="false" outlineLevel="0" collapsed="false">
      <c r="A49" s="21" t="s">
        <v>8314</v>
      </c>
      <c r="B49" s="7" t="n">
        <f aca="false">COUNTIFS(レース分析!AL2:AL200,A49,レース分析!Y2:Y200,"&lt;&gt;参考")</f>
        <v>15</v>
      </c>
      <c r="C49" s="7" t="n">
        <f aca="false">COUNTIFS(レース分析!AL2:AL200,A49,レース分析!Y2:Y200,"&lt;&gt;参考",レース分析!T2:T200,"&lt;=3")</f>
        <v>12</v>
      </c>
      <c r="D49" s="16" t="n">
        <f aca="false">IFERROR(C49/B49,0)</f>
        <v>0</v>
      </c>
      <c r="E49" s="17" t="n">
        <f aca="false">B49*100</f>
        <v>1500</v>
      </c>
      <c r="F49" s="17" t="n">
        <f aca="false">SUMIFS(レース分析!W2:W200,レース分析!AL2:AL200,A49,レース分析!Y2:Y200,"&lt;&gt;参考")</f>
        <v>1520</v>
      </c>
      <c r="G49" s="16" t="n">
        <f aca="false">IFERROR(F49/E49,0)</f>
        <v>0</v>
      </c>
      <c r="H49" s="17" t="n">
        <f aca="false">F49-E49</f>
        <v>20</v>
      </c>
    </row>
    <row r="52" customFormat="false" ht="15.75" hidden="false" customHeight="false" outlineLevel="0" collapsed="false">
      <c r="A52" s="20" t="s">
        <v>8315</v>
      </c>
      <c r="B52" s="20"/>
      <c r="C52" s="20"/>
      <c r="D52" s="20"/>
      <c r="E52" s="20"/>
      <c r="F52" s="20"/>
      <c r="G52" s="20"/>
      <c r="H52" s="20"/>
    </row>
    <row r="53" customFormat="false" ht="15.75" hidden="false" customHeight="false" outlineLevel="0" collapsed="false">
      <c r="A53" s="1" t="s">
        <v>8278</v>
      </c>
      <c r="B53" s="1" t="s">
        <v>8279</v>
      </c>
      <c r="C53" s="1" t="s">
        <v>8280</v>
      </c>
      <c r="D53" s="1" t="s">
        <v>8281</v>
      </c>
      <c r="E53" s="2" t="s">
        <v>8282</v>
      </c>
      <c r="F53" s="1" t="s">
        <v>8173</v>
      </c>
      <c r="G53" s="1" t="s">
        <v>8283</v>
      </c>
      <c r="H53" s="1" t="s">
        <v>8174</v>
      </c>
    </row>
    <row r="54" customFormat="false" ht="15.75" hidden="false" customHeight="false" outlineLevel="0" collapsed="false">
      <c r="A54" s="21" t="s">
        <v>8316</v>
      </c>
      <c r="B54" s="7" t="n">
        <f aca="false">COUNTIFS(レース分析!AN2:AN200,A54,レース分析!Y2:Y200,"&lt;&gt;参考")</f>
        <v>4</v>
      </c>
      <c r="C54" s="7" t="n">
        <f aca="false">COUNTIFS(レース分析!AN2:AN200,A54,レース分析!Y2:Y200,"&lt;&gt;参考",レース分析!T2:T200,"&lt;=3")</f>
        <v>4</v>
      </c>
      <c r="D54" s="16" t="n">
        <f aca="false">IFERROR(C54/B54,0)</f>
        <v>0</v>
      </c>
      <c r="E54" s="17" t="n">
        <f aca="false">B54*100</f>
        <v>400</v>
      </c>
      <c r="F54" s="17" t="n">
        <f aca="false">SUMIFS(レース分析!W2:W200,レース分析!AN2:AN200,A54,レース分析!Y2:Y200,"&lt;&gt;参考")</f>
        <v>930</v>
      </c>
      <c r="G54" s="16" t="n">
        <f aca="false">IFERROR(F54/E54,0)</f>
        <v>0</v>
      </c>
      <c r="H54" s="17" t="n">
        <f aca="false">F54-E54</f>
        <v>530</v>
      </c>
    </row>
    <row r="55" customFormat="false" ht="15.75" hidden="false" customHeight="false" outlineLevel="0" collapsed="false">
      <c r="A55" s="21" t="s">
        <v>8317</v>
      </c>
      <c r="B55" s="7" t="n">
        <f aca="false">COUNTIFS(レース分析!AN2:AN200,A55,レース分析!Y2:Y200,"&lt;&gt;参考")</f>
        <v>57</v>
      </c>
      <c r="C55" s="7" t="n">
        <f aca="false">COUNTIFS(レース分析!AN2:AN200,A55,レース分析!Y2:Y200,"&lt;&gt;参考",レース分析!T2:T200,"&lt;=3")</f>
        <v>42</v>
      </c>
      <c r="D55" s="16" t="n">
        <f aca="false">IFERROR(C55/B55,0)</f>
        <v>0</v>
      </c>
      <c r="E55" s="17" t="n">
        <f aca="false">B55*100</f>
        <v>5700</v>
      </c>
      <c r="F55" s="17" t="n">
        <f aca="false">SUMIFS(レース分析!W2:W200,レース分析!AN2:AN200,A55,レース分析!Y2:Y200,"&lt;&gt;参考")</f>
        <v>5900</v>
      </c>
      <c r="G55" s="16" t="n">
        <f aca="false">IFERROR(F55/E55,0)</f>
        <v>0</v>
      </c>
      <c r="H55" s="17" t="n">
        <f aca="false">F55-E55</f>
        <v>200</v>
      </c>
    </row>
    <row r="56" customFormat="false" ht="15.75" hidden="false" customHeight="false" outlineLevel="0" collapsed="false">
      <c r="A56" s="21" t="s">
        <v>8318</v>
      </c>
      <c r="B56" s="7" t="n">
        <f aca="false">COUNTIFS(レース分析!AN2:AN200,A56,レース分析!Y2:Y200,"&lt;&gt;参考")</f>
        <v>65</v>
      </c>
      <c r="C56" s="7" t="n">
        <f aca="false">COUNTIFS(レース分析!AN2:AN200,A56,レース分析!Y2:Y200,"&lt;&gt;参考",レース分析!T2:T200,"&lt;=3")</f>
        <v>43</v>
      </c>
      <c r="D56" s="16" t="n">
        <f aca="false">IFERROR(C56/B56,0)</f>
        <v>0</v>
      </c>
      <c r="E56" s="17" t="n">
        <f aca="false">B56*100</f>
        <v>6500</v>
      </c>
      <c r="F56" s="17" t="n">
        <f aca="false">SUMIFS(レース分析!W2:W200,レース分析!AN2:AN200,A56,レース分析!Y2:Y200,"&lt;&gt;参考")</f>
        <v>6300</v>
      </c>
      <c r="G56" s="16" t="n">
        <f aca="false">IFERROR(F56/E56,0)</f>
        <v>0</v>
      </c>
      <c r="H56" s="17" t="n">
        <f aca="false">F56-E56</f>
        <v>-200</v>
      </c>
    </row>
    <row r="57" customFormat="false" ht="15.75" hidden="false" customHeight="false" outlineLevel="0" collapsed="false">
      <c r="A57" s="21" t="s">
        <v>8319</v>
      </c>
      <c r="B57" s="7" t="n">
        <f aca="false">COUNTIFS(レース分析!AN2:AN200,A57,レース分析!Y2:Y200,"&lt;&gt;参考")</f>
        <v>73</v>
      </c>
      <c r="C57" s="7" t="n">
        <f aca="false">COUNTIFS(レース分析!AN2:AN200,A57,レース分析!Y2:Y200,"&lt;&gt;参考",レース分析!T2:T200,"&lt;=3")</f>
        <v>35</v>
      </c>
      <c r="D57" s="16" t="n">
        <f aca="false">IFERROR(C57/B57,0)</f>
        <v>0</v>
      </c>
      <c r="E57" s="17" t="n">
        <f aca="false">B57*100</f>
        <v>7300</v>
      </c>
      <c r="F57" s="17" t="n">
        <f aca="false">SUMIFS(レース分析!W2:W200,レース分析!AN2:AN200,A57,レース分析!Y2:Y200,"&lt;&gt;参考")</f>
        <v>5360</v>
      </c>
      <c r="G57" s="16" t="n">
        <f aca="false">IFERROR(F57/E57,0)</f>
        <v>0</v>
      </c>
      <c r="H57" s="17" t="n">
        <f aca="false">F57-E57</f>
        <v>-1940</v>
      </c>
    </row>
    <row r="60" customFormat="false" ht="15.75" hidden="false" customHeight="false" outlineLevel="0" collapsed="false">
      <c r="A60" s="22" t="s">
        <v>8320</v>
      </c>
      <c r="B60" s="20"/>
      <c r="C60" s="20"/>
      <c r="D60" s="20"/>
      <c r="E60" s="20"/>
      <c r="F60" s="20"/>
      <c r="G60" s="20"/>
      <c r="H60" s="20"/>
      <c r="I60" s="20"/>
      <c r="J60" s="22" t="s">
        <v>8321</v>
      </c>
      <c r="K60" s="20"/>
      <c r="L60" s="20"/>
      <c r="M60" s="20"/>
      <c r="N60" s="20"/>
      <c r="O60" s="20"/>
      <c r="P60" s="20"/>
      <c r="Q60" s="20"/>
      <c r="R60" s="20"/>
    </row>
    <row r="61" customFormat="false" ht="15.75" hidden="false" customHeight="false" outlineLevel="0" collapsed="false">
      <c r="A61" s="2" t="s">
        <v>8322</v>
      </c>
      <c r="B61" s="1" t="s">
        <v>7563</v>
      </c>
      <c r="C61" s="1" t="s">
        <v>8279</v>
      </c>
      <c r="D61" s="1" t="s">
        <v>8280</v>
      </c>
      <c r="E61" s="1" t="s">
        <v>8281</v>
      </c>
      <c r="F61" s="2" t="s">
        <v>8282</v>
      </c>
      <c r="G61" s="1" t="s">
        <v>8173</v>
      </c>
      <c r="H61" s="1" t="s">
        <v>8283</v>
      </c>
      <c r="I61" s="1" t="s">
        <v>8174</v>
      </c>
      <c r="J61" s="2" t="s">
        <v>8322</v>
      </c>
      <c r="K61" s="1" t="s">
        <v>8323</v>
      </c>
      <c r="L61" s="1" t="s">
        <v>8279</v>
      </c>
      <c r="M61" s="1" t="s">
        <v>8280</v>
      </c>
      <c r="N61" s="1" t="s">
        <v>8281</v>
      </c>
      <c r="O61" s="2" t="s">
        <v>8282</v>
      </c>
      <c r="P61" s="1" t="s">
        <v>8173</v>
      </c>
      <c r="Q61" s="1" t="s">
        <v>8283</v>
      </c>
      <c r="R61" s="1" t="s">
        <v>8174</v>
      </c>
    </row>
    <row r="62" customFormat="false" ht="15.75" hidden="false" customHeight="false" outlineLevel="0" collapsed="false">
      <c r="A62" s="15" t="s">
        <v>8299</v>
      </c>
      <c r="B62" s="21" t="s">
        <v>8316</v>
      </c>
      <c r="C62" s="7" t="n">
        <f aca="false">COUNTIFS(レース分析!$G$2:$G$5000,"&lt;=59",レース分析!$D$2:$D$5000,"&gt;=1",レース分析!$D$2:$D$5000,"&lt;=7",レース分析!$Y$2:$Y$5000,"&lt;&gt;参考")</f>
        <v>14</v>
      </c>
      <c r="D62" s="7" t="n">
        <f aca="false">COUNTIFS(レース分析!$G$2:$G$5000,"&lt;=59",レース分析!$D$2:$D$5000,"&gt;=1",レース分析!$D$2:$D$5000,"&lt;=7",レース分析!$Y$2:$Y$5000,"&lt;&gt;参考",レース分析!$T$2:$T$5000,"&lt;=3")</f>
        <v>9</v>
      </c>
      <c r="E62" s="16" t="n">
        <f aca="false">IFERROR(D62/C62,0)</f>
        <v>0</v>
      </c>
      <c r="F62" s="17" t="n">
        <f aca="false">C62*100</f>
        <v>1400</v>
      </c>
      <c r="G62" s="17" t="n">
        <f aca="false">SUMIFS(レース分析!$W$2:$W$5000,レース分析!$G$2:$G$5000,"&lt;=59",レース分析!$D$2:$D$5000,"&gt;=1",レース分析!$D$2:$D$5000,"&lt;=7",レース分析!$Y$2:$Y$5000,"&lt;&gt;参考")</f>
        <v>1570</v>
      </c>
      <c r="H62" s="16" t="n">
        <f aca="false">IFERROR(G62/F62,0)</f>
        <v>0</v>
      </c>
      <c r="I62" s="17" t="n">
        <f aca="false">G62-F62</f>
        <v>170</v>
      </c>
      <c r="J62" s="15" t="s">
        <v>8299</v>
      </c>
      <c r="K62" s="21" t="s">
        <v>8324</v>
      </c>
      <c r="L62" s="7" t="n">
        <f aca="false">COUNTIFS(レース分析!$G$2:$G$5000,"&lt;=59",レース分析!$AP$2:$AP$5000,"1.0～1.1",レース分析!$Y$2:$Y$5000,"&lt;&gt;参考")</f>
        <v>0</v>
      </c>
      <c r="M62" s="7" t="n">
        <f aca="false">COUNTIFS(レース分析!$G$2:$G$5000,"&lt;=59",レース分析!$AP$2:$AP$5000,"1.0～1.1",レース分析!$Y$2:$Y$5000,"&lt;&gt;参考",レース分析!$T$2:$T$5000,"&lt;=3")</f>
        <v>0</v>
      </c>
      <c r="N62" s="16" t="n">
        <f aca="false">IFERROR(M62/L62,0)</f>
        <v>0</v>
      </c>
      <c r="O62" s="17" t="n">
        <f aca="false">L62*100</f>
        <v>0</v>
      </c>
      <c r="P62" s="17" t="n">
        <f aca="false">SUMIFS(レース分析!$W$2:$W$5000,レース分析!$G$2:$G$5000,"&lt;=59",レース分析!$AP$2:$AP$5000,"1.0～1.1",レース分析!$Y$2:$Y$5000,"&lt;&gt;参考")</f>
        <v>0</v>
      </c>
      <c r="Q62" s="16" t="n">
        <f aca="false">IFERROR(P62/O62,0)</f>
        <v>0</v>
      </c>
      <c r="R62" s="17" t="n">
        <f aca="false">P62-O62</f>
        <v>0</v>
      </c>
    </row>
    <row r="63" customFormat="false" ht="15.75" hidden="false" customHeight="false" outlineLevel="0" collapsed="false">
      <c r="A63" s="15" t="s">
        <v>8299</v>
      </c>
      <c r="B63" s="21" t="s">
        <v>8317</v>
      </c>
      <c r="C63" s="7" t="n">
        <f aca="false">COUNTIFS(レース分析!$G$2:$G$5000,"&lt;=59",レース分析!$D$2:$D$5000,"&gt;=8",レース分析!$D$2:$D$5000,"&lt;=11",レース分析!$Y$2:$Y$5000,"&lt;&gt;参考")</f>
        <v>114</v>
      </c>
      <c r="D63" s="7" t="n">
        <f aca="false">COUNTIFS(レース分析!$G$2:$G$5000,"&lt;=59",レース分析!$D$2:$D$5000,"&gt;=8",レース分析!$D$2:$D$5000,"&lt;=11",レース分析!$Y$2:$Y$5000,"&lt;&gt;参考",レース分析!$T$2:$T$5000,"&lt;=3")</f>
        <v>67</v>
      </c>
      <c r="E63" s="16" t="n">
        <f aca="false">IFERROR(D63/C63,0)</f>
        <v>0</v>
      </c>
      <c r="F63" s="17" t="n">
        <f aca="false">C63*100</f>
        <v>11400</v>
      </c>
      <c r="G63" s="17" t="n">
        <f aca="false">SUMIFS(レース分析!$W$2:$W$5000,レース分析!$G$2:$G$5000,"&lt;=59",レース分析!$D$2:$D$5000,"&gt;=8",レース分析!$D$2:$D$5000,"&lt;=11",レース分析!$Y$2:$Y$5000,"&lt;&gt;参考")</f>
        <v>9490</v>
      </c>
      <c r="H63" s="16" t="n">
        <f aca="false">IFERROR(G63/F63,0)</f>
        <v>0</v>
      </c>
      <c r="I63" s="17" t="n">
        <f aca="false">G63-F63</f>
        <v>-1910</v>
      </c>
      <c r="J63" s="15" t="s">
        <v>8299</v>
      </c>
      <c r="K63" s="21" t="s">
        <v>8325</v>
      </c>
      <c r="L63" s="7" t="n">
        <f aca="false">COUNTIFS(レース分析!$G$2:$G$5000,"&lt;=59",レース分析!$AP$2:$AP$5000,"1.2",レース分析!$Y$2:$Y$5000,"&lt;&gt;参考")</f>
        <v>0</v>
      </c>
      <c r="M63" s="7" t="n">
        <f aca="false">COUNTIFS(レース分析!$G$2:$G$5000,"&lt;=59",レース分析!$AP$2:$AP$5000,"1.2",レース分析!$Y$2:$Y$5000,"&lt;&gt;参考",レース分析!$T$2:$T$5000,"&lt;=3")</f>
        <v>0</v>
      </c>
      <c r="N63" s="16" t="n">
        <f aca="false">IFERROR(M63/L63,0)</f>
        <v>0</v>
      </c>
      <c r="O63" s="17" t="n">
        <f aca="false">L63*100</f>
        <v>0</v>
      </c>
      <c r="P63" s="17" t="n">
        <f aca="false">SUMIFS(レース分析!$W$2:$W$5000,レース分析!$G$2:$G$5000,"&lt;=59",レース分析!$AP$2:$AP$5000,"1.2",レース分析!$Y$2:$Y$5000,"&lt;&gt;参考")</f>
        <v>0</v>
      </c>
      <c r="Q63" s="16" t="n">
        <f aca="false">IFERROR(P63/O63,0)</f>
        <v>0</v>
      </c>
      <c r="R63" s="17" t="n">
        <f aca="false">P63-O63</f>
        <v>0</v>
      </c>
    </row>
    <row r="64" customFormat="false" ht="15.75" hidden="false" customHeight="false" outlineLevel="0" collapsed="false">
      <c r="A64" s="15" t="s">
        <v>8299</v>
      </c>
      <c r="B64" s="21" t="s">
        <v>8318</v>
      </c>
      <c r="C64" s="7" t="n">
        <f aca="false">COUNTIFS(レース分析!$G$2:$G$5000,"&lt;=59",レース分析!$D$2:$D$5000,"&gt;=12",レース分析!$D$2:$D$5000,"&lt;=14",レース分析!$Y$2:$Y$5000,"&lt;&gt;参考")</f>
        <v>164</v>
      </c>
      <c r="D64" s="7" t="n">
        <f aca="false">COUNTIFS(レース分析!$G$2:$G$5000,"&lt;=59",レース分析!$D$2:$D$5000,"&gt;=12",レース分析!$D$2:$D$5000,"&lt;=14",レース分析!$Y$2:$Y$5000,"&lt;&gt;参考",レース分析!$T$2:$T$5000,"&lt;=3")</f>
        <v>81</v>
      </c>
      <c r="E64" s="16" t="n">
        <f aca="false">IFERROR(D64/C64,0)</f>
        <v>0</v>
      </c>
      <c r="F64" s="17" t="n">
        <f aca="false">C64*100</f>
        <v>16400</v>
      </c>
      <c r="G64" s="17" t="n">
        <f aca="false">SUMIFS(レース分析!$W$2:$W$5000,レース分析!$G$2:$G$5000,"&lt;=59",レース分析!$D$2:$D$5000,"&gt;=12",レース分析!$D$2:$D$5000,"&lt;=14",レース分析!$Y$2:$Y$5000,"&lt;&gt;参考")</f>
        <v>13370</v>
      </c>
      <c r="H64" s="16" t="n">
        <f aca="false">IFERROR(G64/F64,0)</f>
        <v>0</v>
      </c>
      <c r="I64" s="17" t="n">
        <f aca="false">G64-F64</f>
        <v>-3030</v>
      </c>
      <c r="J64" s="15" t="s">
        <v>8299</v>
      </c>
      <c r="K64" s="21" t="s">
        <v>8326</v>
      </c>
      <c r="L64" s="7" t="n">
        <f aca="false">COUNTIFS(レース分析!$G$2:$G$5000,"&lt;=59",レース分析!$AP$2:$AP$5000,"1.3～1.4",レース分析!$Y$2:$Y$5000,"&lt;&gt;参考")</f>
        <v>0</v>
      </c>
      <c r="M64" s="7" t="n">
        <f aca="false">COUNTIFS(レース分析!$G$2:$G$5000,"&lt;=59",レース分析!$AP$2:$AP$5000,"1.3～1.4",レース分析!$Y$2:$Y$5000,"&lt;&gt;参考",レース分析!$T$2:$T$5000,"&lt;=3")</f>
        <v>0</v>
      </c>
      <c r="N64" s="16" t="n">
        <f aca="false">IFERROR(M64/L64,0)</f>
        <v>0</v>
      </c>
      <c r="O64" s="17" t="n">
        <f aca="false">L64*100</f>
        <v>0</v>
      </c>
      <c r="P64" s="17" t="n">
        <f aca="false">SUMIFS(レース分析!$W$2:$W$5000,レース分析!$G$2:$G$5000,"&lt;=59",レース分析!$AP$2:$AP$5000,"1.3～1.4",レース分析!$Y$2:$Y$5000,"&lt;&gt;参考")</f>
        <v>0</v>
      </c>
      <c r="Q64" s="16" t="n">
        <f aca="false">IFERROR(P64/O64,0)</f>
        <v>0</v>
      </c>
      <c r="R64" s="17" t="n">
        <f aca="false">P64-O64</f>
        <v>0</v>
      </c>
    </row>
    <row r="65" customFormat="false" ht="15.75" hidden="false" customHeight="false" outlineLevel="0" collapsed="false">
      <c r="A65" s="15" t="s">
        <v>8299</v>
      </c>
      <c r="B65" s="21" t="s">
        <v>8319</v>
      </c>
      <c r="C65" s="7" t="n">
        <f aca="false">COUNTIFS(レース分析!$G$2:$G$5000,"&lt;=59",レース分析!$D$2:$D$5000,"&gt;=15",レース分析!$Y$2:$Y$5000,"&lt;&gt;参考")</f>
        <v>257</v>
      </c>
      <c r="D65" s="7" t="n">
        <f aca="false">COUNTIFS(レース分析!$G$2:$G$5000,"&lt;=59",レース分析!$D$2:$D$5000,"&gt;=15",レース分析!$Y$2:$Y$5000,"&lt;&gt;参考",レース分析!$T$2:$T$5000,"&lt;=3")</f>
        <v>123</v>
      </c>
      <c r="E65" s="16" t="n">
        <f aca="false">IFERROR(D65/C65,0)</f>
        <v>0</v>
      </c>
      <c r="F65" s="17" t="n">
        <f aca="false">C65*100</f>
        <v>25700</v>
      </c>
      <c r="G65" s="17" t="n">
        <f aca="false">SUMIFS(レース分析!$W$2:$W$5000,レース分析!$G$2:$G$5000,"&lt;=59",レース分析!$D$2:$D$5000,"&gt;=15",レース分析!$Y$2:$Y$5000,"&lt;&gt;参考")</f>
        <v>20760</v>
      </c>
      <c r="H65" s="16" t="n">
        <f aca="false">IFERROR(G65/F65,0)</f>
        <v>0</v>
      </c>
      <c r="I65" s="17" t="n">
        <f aca="false">G65-F65</f>
        <v>-4940</v>
      </c>
      <c r="J65" s="15" t="s">
        <v>8299</v>
      </c>
      <c r="K65" s="21" t="s">
        <v>8327</v>
      </c>
      <c r="L65" s="7" t="n">
        <f aca="false">COUNTIFS(レース分析!$G$2:$G$5000,"&lt;=59",レース分析!$AP$2:$AP$5000,"1.5～1.9",レース分析!$Y$2:$Y$5000,"&lt;&gt;参考")</f>
        <v>0</v>
      </c>
      <c r="M65" s="7" t="n">
        <f aca="false">COUNTIFS(レース分析!$G$2:$G$5000,"&lt;=59",レース分析!$AP$2:$AP$5000,"1.5～1.9",レース分析!$Y$2:$Y$5000,"&lt;&gt;参考",レース分析!$T$2:$T$5000,"&lt;=3")</f>
        <v>0</v>
      </c>
      <c r="N65" s="16" t="n">
        <f aca="false">IFERROR(M65/L65,0)</f>
        <v>0</v>
      </c>
      <c r="O65" s="17" t="n">
        <f aca="false">L65*100</f>
        <v>0</v>
      </c>
      <c r="P65" s="17" t="n">
        <f aca="false">SUMIFS(レース分析!$W$2:$W$5000,レース分析!$G$2:$G$5000,"&lt;=59",レース分析!$AP$2:$AP$5000,"1.5～1.9",レース分析!$Y$2:$Y$5000,"&lt;&gt;参考")</f>
        <v>0</v>
      </c>
      <c r="Q65" s="16" t="n">
        <f aca="false">IFERROR(P65/O65,0)</f>
        <v>0</v>
      </c>
      <c r="R65" s="17" t="n">
        <f aca="false">P65-O65</f>
        <v>0</v>
      </c>
    </row>
    <row r="66" customFormat="false" ht="15.75" hidden="false" customHeight="false" outlineLevel="0" collapsed="false">
      <c r="A66" s="21" t="s">
        <v>8300</v>
      </c>
      <c r="B66" s="21" t="s">
        <v>8316</v>
      </c>
      <c r="C66" s="7" t="n">
        <f aca="false">COUNTIFS(レース分析!$G$2:$G$5000,"&gt;=60",レース分析!$G$2:$G$5000,"&lt;=69",レース分析!$D$2:$D$5000,"&gt;=1",レース分析!$D$2:$D$5000,"&lt;=7",レース分析!$Y$2:$Y$5000,"&lt;&gt;参考")</f>
        <v>4</v>
      </c>
      <c r="D66" s="7" t="n">
        <f aca="false">COUNTIFS(レース分析!$G$2:$G$5000,"&gt;=60",レース分析!$G$2:$G$5000,"&lt;=69",レース分析!$D$2:$D$5000,"&gt;=1",レース分析!$D$2:$D$5000,"&lt;=7",レース分析!$Y$2:$Y$5000,"&lt;&gt;参考",レース分析!$T$2:$T$5000,"&lt;=3")</f>
        <v>2</v>
      </c>
      <c r="E66" s="16" t="n">
        <f aca="false">IFERROR(D66/C66,0)</f>
        <v>0</v>
      </c>
      <c r="F66" s="17" t="n">
        <f aca="false">C66*100</f>
        <v>400</v>
      </c>
      <c r="G66" s="17" t="n">
        <f aca="false">SUMIFS(レース分析!$W$2:$W$5000,レース分析!$G$2:$G$5000,"&gt;=60",レース分析!$G$2:$G$5000,"&lt;=69",レース分析!$D$2:$D$5000,"&gt;=1",レース分析!$D$2:$D$5000,"&lt;=7",レース分析!$Y$2:$Y$5000,"&lt;&gt;参考")</f>
        <v>320</v>
      </c>
      <c r="H66" s="16" t="n">
        <f aca="false">IFERROR(G66/F66,0)</f>
        <v>0</v>
      </c>
      <c r="I66" s="17" t="n">
        <f aca="false">G66-F66</f>
        <v>-80</v>
      </c>
      <c r="J66" s="15" t="s">
        <v>8299</v>
      </c>
      <c r="K66" s="21" t="s">
        <v>8328</v>
      </c>
      <c r="L66" s="7" t="n">
        <f aca="false">COUNTIFS(レース分析!$G$2:$G$5000,"&lt;=59",レース分析!$AP$2:$AP$5000,"2.0以上",レース分析!$Y$2:$Y$5000,"&lt;&gt;参考")</f>
        <v>0</v>
      </c>
      <c r="M66" s="7" t="n">
        <f aca="false">COUNTIFS(レース分析!$G$2:$G$5000,"&lt;=59",レース分析!$AP$2:$AP$5000,"2.0以上",レース分析!$Y$2:$Y$5000,"&lt;&gt;参考",レース分析!$T$2:$T$5000,"&lt;=3")</f>
        <v>0</v>
      </c>
      <c r="N66" s="16" t="n">
        <f aca="false">IFERROR(M66/L66,0)</f>
        <v>0</v>
      </c>
      <c r="O66" s="17" t="n">
        <f aca="false">L66*100</f>
        <v>0</v>
      </c>
      <c r="P66" s="17" t="n">
        <f aca="false">SUMIFS(レース分析!$W$2:$W$5000,レース分析!$G$2:$G$5000,"&lt;=59",レース分析!$AP$2:$AP$5000,"2.0以上",レース分析!$Y$2:$Y$5000,"&lt;&gt;参考")</f>
        <v>0</v>
      </c>
      <c r="Q66" s="16" t="n">
        <f aca="false">IFERROR(P66/O66,0)</f>
        <v>0</v>
      </c>
      <c r="R66" s="17" t="n">
        <f aca="false">P66-O66</f>
        <v>0</v>
      </c>
    </row>
    <row r="67" customFormat="false" ht="15.75" hidden="false" customHeight="false" outlineLevel="0" collapsed="false">
      <c r="A67" s="21" t="s">
        <v>8300</v>
      </c>
      <c r="B67" s="21" t="s">
        <v>8317</v>
      </c>
      <c r="C67" s="7" t="n">
        <f aca="false">COUNTIFS(レース分析!$G$2:$G$5000,"&gt;=60",レース分析!$G$2:$G$5000,"&lt;=69",レース分析!$D$2:$D$5000,"&gt;=8",レース分析!$D$2:$D$5000,"&lt;=11",レース分析!$Y$2:$Y$5000,"&lt;&gt;参考")</f>
        <v>87</v>
      </c>
      <c r="D67" s="7" t="n">
        <f aca="false">COUNTIFS(レース分析!$G$2:$G$5000,"&gt;=60",レース分析!$G$2:$G$5000,"&lt;=69",レース分析!$D$2:$D$5000,"&gt;=8",レース分析!$D$2:$D$5000,"&lt;=11",レース分析!$Y$2:$Y$5000,"&lt;&gt;参考",レース分析!$T$2:$T$5000,"&lt;=3")</f>
        <v>58</v>
      </c>
      <c r="E67" s="16" t="n">
        <f aca="false">IFERROR(D67/C67,0)</f>
        <v>0</v>
      </c>
      <c r="F67" s="17" t="n">
        <f aca="false">C67*100</f>
        <v>8700</v>
      </c>
      <c r="G67" s="17" t="n">
        <f aca="false">SUMIFS(レース分析!$W$2:$W$5000,レース分析!$G$2:$G$5000,"&gt;=60",レース分析!$G$2:$G$5000,"&lt;=69",レース分析!$D$2:$D$5000,"&gt;=8",レース分析!$D$2:$D$5000,"&lt;=11",レース分析!$Y$2:$Y$5000,"&lt;&gt;参考")</f>
        <v>7560</v>
      </c>
      <c r="H67" s="16" t="n">
        <f aca="false">IFERROR(G67/F67,0)</f>
        <v>0</v>
      </c>
      <c r="I67" s="17" t="n">
        <f aca="false">G67-F67</f>
        <v>-1140</v>
      </c>
      <c r="J67" s="15" t="s">
        <v>8299</v>
      </c>
      <c r="K67" s="15" t="s">
        <v>8329</v>
      </c>
      <c r="L67" s="7" t="n">
        <f aca="false">COUNTIFS(レース分析!$G$2:$G$5000,"&lt;=59",レース分析!$AP$2:$AP$5000,"欠損",レース分析!$Y$2:$Y$5000,"&lt;&gt;参考")</f>
        <v>549</v>
      </c>
      <c r="M67" s="7" t="n">
        <f aca="false">COUNTIFS(レース分析!$G$2:$G$5000,"&lt;=59",レース分析!$AP$2:$AP$5000,"欠損",レース分析!$Y$2:$Y$5000,"&lt;&gt;参考",レース分析!$T$2:$T$5000,"&lt;=3")</f>
        <v>280</v>
      </c>
      <c r="N67" s="16" t="n">
        <f aca="false">IFERROR(M67/L67,0)</f>
        <v>0</v>
      </c>
      <c r="O67" s="17" t="n">
        <f aca="false">L67*100</f>
        <v>54900</v>
      </c>
      <c r="P67" s="17" t="n">
        <f aca="false">SUMIFS(レース分析!$W$2:$W$5000,レース分析!$G$2:$G$5000,"&lt;=59",レース分析!$AP$2:$AP$5000,"欠損",レース分析!$Y$2:$Y$5000,"&lt;&gt;参考")</f>
        <v>45190</v>
      </c>
      <c r="Q67" s="16" t="n">
        <f aca="false">IFERROR(P67/O67,0)</f>
        <v>0</v>
      </c>
      <c r="R67" s="17" t="n">
        <f aca="false">P67-O67</f>
        <v>-9710</v>
      </c>
    </row>
    <row r="68" customFormat="false" ht="15.75" hidden="false" customHeight="false" outlineLevel="0" collapsed="false">
      <c r="A68" s="21" t="s">
        <v>8300</v>
      </c>
      <c r="B68" s="21" t="s">
        <v>8318</v>
      </c>
      <c r="C68" s="7" t="n">
        <f aca="false">COUNTIFS(レース分析!$G$2:$G$5000,"&gt;=60",レース分析!$G$2:$G$5000,"&lt;=69",レース分析!$D$2:$D$5000,"&gt;=12",レース分析!$D$2:$D$5000,"&lt;=14",レース分析!$Y$2:$Y$5000,"&lt;&gt;参考")</f>
        <v>88</v>
      </c>
      <c r="D68" s="7" t="n">
        <f aca="false">COUNTIFS(レース分析!$G$2:$G$5000,"&gt;=60",レース分析!$G$2:$G$5000,"&lt;=69",レース分析!$D$2:$D$5000,"&gt;=12",レース分析!$D$2:$D$5000,"&lt;=14",レース分析!$Y$2:$Y$5000,"&lt;&gt;参考",レース分析!$T$2:$T$5000,"&lt;=3")</f>
        <v>58</v>
      </c>
      <c r="E68" s="16" t="n">
        <f aca="false">IFERROR(D68/C68,0)</f>
        <v>0</v>
      </c>
      <c r="F68" s="17" t="n">
        <f aca="false">C68*100</f>
        <v>8800</v>
      </c>
      <c r="G68" s="17" t="n">
        <f aca="false">SUMIFS(レース分析!$W$2:$W$5000,レース分析!$G$2:$G$5000,"&gt;=60",レース分析!$G$2:$G$5000,"&lt;=69",レース分析!$D$2:$D$5000,"&gt;=12",レース分析!$D$2:$D$5000,"&lt;=14",レース分析!$Y$2:$Y$5000,"&lt;&gt;参考")</f>
        <v>7910</v>
      </c>
      <c r="H68" s="16" t="n">
        <f aca="false">IFERROR(G68/F68,0)</f>
        <v>0</v>
      </c>
      <c r="I68" s="17" t="n">
        <f aca="false">G68-F68</f>
        <v>-890</v>
      </c>
      <c r="J68" s="21" t="s">
        <v>8300</v>
      </c>
      <c r="K68" s="21" t="s">
        <v>8324</v>
      </c>
      <c r="L68" s="7" t="n">
        <f aca="false">COUNTIFS(レース分析!$G$2:$G$5000,"&gt;=60",レース分析!$G$2:$G$5000,"&lt;=69",レース分析!$AP$2:$AP$5000,"1.0～1.1",レース分析!$Y$2:$Y$5000,"&lt;&gt;参考")</f>
        <v>0</v>
      </c>
      <c r="M68" s="7" t="n">
        <f aca="false">COUNTIFS(レース分析!$G$2:$G$5000,"&gt;=60",レース分析!$G$2:$G$5000,"&lt;=69",レース分析!$AP$2:$AP$5000,"1.0～1.1",レース分析!$Y$2:$Y$5000,"&lt;&gt;参考",レース分析!$T$2:$T$5000,"&lt;=3")</f>
        <v>0</v>
      </c>
      <c r="N68" s="16" t="n">
        <f aca="false">IFERROR(M68/L68,0)</f>
        <v>0</v>
      </c>
      <c r="O68" s="17" t="n">
        <f aca="false">L68*100</f>
        <v>0</v>
      </c>
      <c r="P68" s="17" t="n">
        <f aca="false">SUMIFS(レース分析!$W$2:$W$5000,レース分析!$G$2:$G$5000,"&gt;=60",レース分析!$G$2:$G$5000,"&lt;=69",レース分析!$AP$2:$AP$5000,"1.0～1.1",レース分析!$Y$2:$Y$5000,"&lt;&gt;参考")</f>
        <v>0</v>
      </c>
      <c r="Q68" s="16" t="n">
        <f aca="false">IFERROR(P68/O68,0)</f>
        <v>0</v>
      </c>
      <c r="R68" s="17" t="n">
        <f aca="false">P68-O68</f>
        <v>0</v>
      </c>
    </row>
    <row r="69" customFormat="false" ht="15.75" hidden="false" customHeight="false" outlineLevel="0" collapsed="false">
      <c r="A69" s="21" t="s">
        <v>8300</v>
      </c>
      <c r="B69" s="21" t="s">
        <v>8319</v>
      </c>
      <c r="C69" s="7" t="n">
        <f aca="false">COUNTIFS(レース分析!$G$2:$G$5000,"&gt;=60",レース分析!$G$2:$G$5000,"&lt;=69",レース分析!$D$2:$D$5000,"&gt;=15",レース分析!$Y$2:$Y$5000,"&lt;&gt;参考")</f>
        <v>177</v>
      </c>
      <c r="D69" s="7" t="n">
        <f aca="false">COUNTIFS(レース分析!$G$2:$G$5000,"&gt;=60",レース分析!$G$2:$G$5000,"&lt;=69",レース分析!$D$2:$D$5000,"&gt;=15",レース分析!$Y$2:$Y$5000,"&lt;&gt;参考",レース分析!$T$2:$T$5000,"&lt;=3")</f>
        <v>96</v>
      </c>
      <c r="E69" s="16" t="n">
        <f aca="false">IFERROR(D69/C69,0)</f>
        <v>0</v>
      </c>
      <c r="F69" s="17" t="n">
        <f aca="false">C69*100</f>
        <v>17700</v>
      </c>
      <c r="G69" s="17" t="n">
        <f aca="false">SUMIFS(レース分析!$W$2:$W$5000,レース分析!$G$2:$G$5000,"&gt;=60",レース分析!$G$2:$G$5000,"&lt;=69",レース分析!$D$2:$D$5000,"&gt;=15",レース分析!$Y$2:$Y$5000,"&lt;&gt;参考")</f>
        <v>13420</v>
      </c>
      <c r="H69" s="16" t="n">
        <f aca="false">IFERROR(G69/F69,0)</f>
        <v>0</v>
      </c>
      <c r="I69" s="17" t="n">
        <f aca="false">G69-F69</f>
        <v>-4280</v>
      </c>
      <c r="J69" s="21" t="s">
        <v>8300</v>
      </c>
      <c r="K69" s="21" t="s">
        <v>8325</v>
      </c>
      <c r="L69" s="7" t="n">
        <f aca="false">COUNTIFS(レース分析!$G$2:$G$5000,"&gt;=60",レース分析!$G$2:$G$5000,"&lt;=69",レース分析!$AP$2:$AP$5000,"1.2",レース分析!$Y$2:$Y$5000,"&lt;&gt;参考")</f>
        <v>0</v>
      </c>
      <c r="M69" s="7" t="n">
        <f aca="false">COUNTIFS(レース分析!$G$2:$G$5000,"&gt;=60",レース分析!$G$2:$G$5000,"&lt;=69",レース分析!$AP$2:$AP$5000,"1.2",レース分析!$Y$2:$Y$5000,"&lt;&gt;参考",レース分析!$T$2:$T$5000,"&lt;=3")</f>
        <v>0</v>
      </c>
      <c r="N69" s="16" t="n">
        <f aca="false">IFERROR(M69/L69,0)</f>
        <v>0</v>
      </c>
      <c r="O69" s="17" t="n">
        <f aca="false">L69*100</f>
        <v>0</v>
      </c>
      <c r="P69" s="17" t="n">
        <f aca="false">SUMIFS(レース分析!$W$2:$W$5000,レース分析!$G$2:$G$5000,"&gt;=60",レース分析!$G$2:$G$5000,"&lt;=69",レース分析!$AP$2:$AP$5000,"1.2",レース分析!$Y$2:$Y$5000,"&lt;&gt;参考")</f>
        <v>0</v>
      </c>
      <c r="Q69" s="16" t="n">
        <f aca="false">IFERROR(P69/O69,0)</f>
        <v>0</v>
      </c>
      <c r="R69" s="17" t="n">
        <f aca="false">P69-O69</f>
        <v>0</v>
      </c>
    </row>
    <row r="70" customFormat="false" ht="15.75" hidden="false" customHeight="false" outlineLevel="0" collapsed="false">
      <c r="A70" s="21" t="s">
        <v>8301</v>
      </c>
      <c r="B70" s="21" t="s">
        <v>8316</v>
      </c>
      <c r="C70" s="7" t="n">
        <f aca="false">COUNTIFS(レース分析!$G$2:$G$5000,"&gt;=70",レース分析!$G$2:$G$5000,"&lt;=74",レース分析!$D$2:$D$5000,"&gt;=1",レース分析!$D$2:$D$5000,"&lt;=7",レース分析!$Y$2:$Y$5000,"&lt;&gt;参考")</f>
        <v>3</v>
      </c>
      <c r="D70" s="7" t="n">
        <f aca="false">COUNTIFS(レース分析!$G$2:$G$5000,"&gt;=70",レース分析!$G$2:$G$5000,"&lt;=74",レース分析!$D$2:$D$5000,"&gt;=1",レース分析!$D$2:$D$5000,"&lt;=7",レース分析!$Y$2:$Y$5000,"&lt;&gt;参考",レース分析!$T$2:$T$5000,"&lt;=3")</f>
        <v>2</v>
      </c>
      <c r="E70" s="16" t="n">
        <f aca="false">IFERROR(D70/C70,0)</f>
        <v>0</v>
      </c>
      <c r="F70" s="17" t="n">
        <f aca="false">C70*100</f>
        <v>300</v>
      </c>
      <c r="G70" s="17" t="n">
        <f aca="false">SUMIFS(レース分析!$W$2:$W$5000,レース分析!$G$2:$G$5000,"&gt;=70",レース分析!$G$2:$G$5000,"&lt;=74",レース分析!$D$2:$D$5000,"&gt;=1",レース分析!$D$2:$D$5000,"&lt;=7",レース分析!$Y$2:$Y$5000,"&lt;&gt;参考")</f>
        <v>110</v>
      </c>
      <c r="H70" s="16" t="n">
        <f aca="false">IFERROR(G70/F70,0)</f>
        <v>0</v>
      </c>
      <c r="I70" s="17" t="n">
        <f aca="false">G70-F70</f>
        <v>-190</v>
      </c>
      <c r="J70" s="21" t="s">
        <v>8300</v>
      </c>
      <c r="K70" s="21" t="s">
        <v>8326</v>
      </c>
      <c r="L70" s="7" t="n">
        <f aca="false">COUNTIFS(レース分析!$G$2:$G$5000,"&gt;=60",レース分析!$G$2:$G$5000,"&lt;=69",レース分析!$AP$2:$AP$5000,"1.3～1.4",レース分析!$Y$2:$Y$5000,"&lt;&gt;参考")</f>
        <v>0</v>
      </c>
      <c r="M70" s="7" t="n">
        <f aca="false">COUNTIFS(レース分析!$G$2:$G$5000,"&gt;=60",レース分析!$G$2:$G$5000,"&lt;=69",レース分析!$AP$2:$AP$5000,"1.3～1.4",レース分析!$Y$2:$Y$5000,"&lt;&gt;参考",レース分析!$T$2:$T$5000,"&lt;=3")</f>
        <v>0</v>
      </c>
      <c r="N70" s="16" t="n">
        <f aca="false">IFERROR(M70/L70,0)</f>
        <v>0</v>
      </c>
      <c r="O70" s="17" t="n">
        <f aca="false">L70*100</f>
        <v>0</v>
      </c>
      <c r="P70" s="17" t="n">
        <f aca="false">SUMIFS(レース分析!$W$2:$W$5000,レース分析!$G$2:$G$5000,"&gt;=60",レース分析!$G$2:$G$5000,"&lt;=69",レース分析!$AP$2:$AP$5000,"1.3～1.4",レース分析!$Y$2:$Y$5000,"&lt;&gt;参考")</f>
        <v>0</v>
      </c>
      <c r="Q70" s="16" t="n">
        <f aca="false">IFERROR(P70/O70,0)</f>
        <v>0</v>
      </c>
      <c r="R70" s="17" t="n">
        <f aca="false">P70-O70</f>
        <v>0</v>
      </c>
    </row>
    <row r="71" customFormat="false" ht="15.75" hidden="false" customHeight="false" outlineLevel="0" collapsed="false">
      <c r="A71" s="21" t="s">
        <v>8301</v>
      </c>
      <c r="B71" s="21" t="s">
        <v>8317</v>
      </c>
      <c r="C71" s="7" t="n">
        <f aca="false">COUNTIFS(レース分析!$G$2:$G$5000,"&gt;=70",レース分析!$G$2:$G$5000,"&lt;=74",レース分析!$D$2:$D$5000,"&gt;=8",レース分析!$D$2:$D$5000,"&lt;=11",レース分析!$Y$2:$Y$5000,"&lt;&gt;参考")</f>
        <v>21</v>
      </c>
      <c r="D71" s="7" t="n">
        <f aca="false">COUNTIFS(レース分析!$G$2:$G$5000,"&gt;=70",レース分析!$G$2:$G$5000,"&lt;=74",レース分析!$D$2:$D$5000,"&gt;=8",レース分析!$D$2:$D$5000,"&lt;=11",レース分析!$Y$2:$Y$5000,"&lt;&gt;参考",レース分析!$T$2:$T$5000,"&lt;=3")</f>
        <v>15</v>
      </c>
      <c r="E71" s="16" t="n">
        <f aca="false">IFERROR(D71/C71,0)</f>
        <v>0</v>
      </c>
      <c r="F71" s="17" t="n">
        <f aca="false">C71*100</f>
        <v>2100</v>
      </c>
      <c r="G71" s="17" t="n">
        <f aca="false">SUMIFS(レース分析!$W$2:$W$5000,レース分析!$G$2:$G$5000,"&gt;=70",レース分析!$G$2:$G$5000,"&lt;=74",レース分析!$D$2:$D$5000,"&gt;=8",レース分析!$D$2:$D$5000,"&lt;=11",レース分析!$Y$2:$Y$5000,"&lt;&gt;参考")</f>
        <v>1960</v>
      </c>
      <c r="H71" s="16" t="n">
        <f aca="false">IFERROR(G71/F71,0)</f>
        <v>0</v>
      </c>
      <c r="I71" s="17" t="n">
        <f aca="false">G71-F71</f>
        <v>-140</v>
      </c>
      <c r="J71" s="21" t="s">
        <v>8300</v>
      </c>
      <c r="K71" s="21" t="s">
        <v>8327</v>
      </c>
      <c r="L71" s="7" t="n">
        <f aca="false">COUNTIFS(レース分析!$G$2:$G$5000,"&gt;=60",レース分析!$G$2:$G$5000,"&lt;=69",レース分析!$AP$2:$AP$5000,"1.5～1.9",レース分析!$Y$2:$Y$5000,"&lt;&gt;参考")</f>
        <v>0</v>
      </c>
      <c r="M71" s="7" t="n">
        <f aca="false">COUNTIFS(レース分析!$G$2:$G$5000,"&gt;=60",レース分析!$G$2:$G$5000,"&lt;=69",レース分析!$AP$2:$AP$5000,"1.5～1.9",レース分析!$Y$2:$Y$5000,"&lt;&gt;参考",レース分析!$T$2:$T$5000,"&lt;=3")</f>
        <v>0</v>
      </c>
      <c r="N71" s="16" t="n">
        <f aca="false">IFERROR(M71/L71,0)</f>
        <v>0</v>
      </c>
      <c r="O71" s="17" t="n">
        <f aca="false">L71*100</f>
        <v>0</v>
      </c>
      <c r="P71" s="17" t="n">
        <f aca="false">SUMIFS(レース分析!$W$2:$W$5000,レース分析!$G$2:$G$5000,"&gt;=60",レース分析!$G$2:$G$5000,"&lt;=69",レース分析!$AP$2:$AP$5000,"1.5～1.9",レース分析!$Y$2:$Y$5000,"&lt;&gt;参考")</f>
        <v>0</v>
      </c>
      <c r="Q71" s="16" t="n">
        <f aca="false">IFERROR(P71/O71,0)</f>
        <v>0</v>
      </c>
      <c r="R71" s="17" t="n">
        <f aca="false">P71-O71</f>
        <v>0</v>
      </c>
    </row>
    <row r="72" customFormat="false" ht="15.75" hidden="false" customHeight="false" outlineLevel="0" collapsed="false">
      <c r="A72" s="21" t="s">
        <v>8301</v>
      </c>
      <c r="B72" s="21" t="s">
        <v>8318</v>
      </c>
      <c r="C72" s="7" t="n">
        <f aca="false">COUNTIFS(レース分析!$G$2:$G$5000,"&gt;=70",レース分析!$G$2:$G$5000,"&lt;=74",レース分析!$D$2:$D$5000,"&gt;=12",レース分析!$D$2:$D$5000,"&lt;=14",レース分析!$Y$2:$Y$5000,"&lt;&gt;参考")</f>
        <v>28</v>
      </c>
      <c r="D72" s="7" t="n">
        <f aca="false">COUNTIFS(レース分析!$G$2:$G$5000,"&gt;=70",レース分析!$G$2:$G$5000,"&lt;=74",レース分析!$D$2:$D$5000,"&gt;=12",レース分析!$D$2:$D$5000,"&lt;=14",レース分析!$Y$2:$Y$5000,"&lt;&gt;参考",レース分析!$T$2:$T$5000,"&lt;=3")</f>
        <v>21</v>
      </c>
      <c r="E72" s="16" t="n">
        <f aca="false">IFERROR(D72/C72,0)</f>
        <v>0</v>
      </c>
      <c r="F72" s="17" t="n">
        <f aca="false">C72*100</f>
        <v>2800</v>
      </c>
      <c r="G72" s="17" t="n">
        <f aca="false">SUMIFS(レース分析!$W$2:$W$5000,レース分析!$G$2:$G$5000,"&gt;=70",レース分析!$G$2:$G$5000,"&lt;=74",レース分析!$D$2:$D$5000,"&gt;=12",レース分析!$D$2:$D$5000,"&lt;=14",レース分析!$Y$2:$Y$5000,"&lt;&gt;参考")</f>
        <v>2460</v>
      </c>
      <c r="H72" s="16" t="n">
        <f aca="false">IFERROR(G72/F72,0)</f>
        <v>0</v>
      </c>
      <c r="I72" s="17" t="n">
        <f aca="false">G72-F72</f>
        <v>-340</v>
      </c>
      <c r="J72" s="21" t="s">
        <v>8300</v>
      </c>
      <c r="K72" s="21" t="s">
        <v>8328</v>
      </c>
      <c r="L72" s="7" t="n">
        <f aca="false">COUNTIFS(レース分析!$G$2:$G$5000,"&gt;=60",レース分析!$G$2:$G$5000,"&lt;=69",レース分析!$AP$2:$AP$5000,"2.0以上",レース分析!$Y$2:$Y$5000,"&lt;&gt;参考")</f>
        <v>0</v>
      </c>
      <c r="M72" s="7" t="n">
        <f aca="false">COUNTIFS(レース分析!$G$2:$G$5000,"&gt;=60",レース分析!$G$2:$G$5000,"&lt;=69",レース分析!$AP$2:$AP$5000,"2.0以上",レース分析!$Y$2:$Y$5000,"&lt;&gt;参考",レース分析!$T$2:$T$5000,"&lt;=3")</f>
        <v>0</v>
      </c>
      <c r="N72" s="16" t="n">
        <f aca="false">IFERROR(M72/L72,0)</f>
        <v>0</v>
      </c>
      <c r="O72" s="17" t="n">
        <f aca="false">L72*100</f>
        <v>0</v>
      </c>
      <c r="P72" s="17" t="n">
        <f aca="false">SUMIFS(レース分析!$W$2:$W$5000,レース分析!$G$2:$G$5000,"&gt;=60",レース分析!$G$2:$G$5000,"&lt;=69",レース分析!$AP$2:$AP$5000,"2.0以上",レース分析!$Y$2:$Y$5000,"&lt;&gt;参考")</f>
        <v>0</v>
      </c>
      <c r="Q72" s="16" t="n">
        <f aca="false">IFERROR(P72/O72,0)</f>
        <v>0</v>
      </c>
      <c r="R72" s="17" t="n">
        <f aca="false">P72-O72</f>
        <v>0</v>
      </c>
    </row>
    <row r="73" customFormat="false" ht="15.75" hidden="false" customHeight="false" outlineLevel="0" collapsed="false">
      <c r="A73" s="21" t="s">
        <v>8301</v>
      </c>
      <c r="B73" s="21" t="s">
        <v>8319</v>
      </c>
      <c r="C73" s="7" t="n">
        <f aca="false">COUNTIFS(レース分析!$G$2:$G$5000,"&gt;=70",レース分析!$G$2:$G$5000,"&lt;=74",レース分析!$D$2:$D$5000,"&gt;=15",レース分析!$Y$2:$Y$5000,"&lt;&gt;参考")</f>
        <v>50</v>
      </c>
      <c r="D73" s="7" t="n">
        <f aca="false">COUNTIFS(レース分析!$G$2:$G$5000,"&gt;=70",レース分析!$G$2:$G$5000,"&lt;=74",レース分析!$D$2:$D$5000,"&gt;=15",レース分析!$Y$2:$Y$5000,"&lt;&gt;参考",レース分析!$T$2:$T$5000,"&lt;=3")</f>
        <v>36</v>
      </c>
      <c r="E73" s="16" t="n">
        <f aca="false">IFERROR(D73/C73,0)</f>
        <v>0</v>
      </c>
      <c r="F73" s="17" t="n">
        <f aca="false">C73*100</f>
        <v>5000</v>
      </c>
      <c r="G73" s="17" t="n">
        <f aca="false">SUMIFS(レース分析!$W$2:$W$5000,レース分析!$G$2:$G$5000,"&gt;=70",レース分析!$G$2:$G$5000,"&lt;=74",レース分析!$D$2:$D$5000,"&gt;=15",レース分析!$Y$2:$Y$5000,"&lt;&gt;参考")</f>
        <v>4630</v>
      </c>
      <c r="H73" s="16" t="n">
        <f aca="false">IFERROR(G73/F73,0)</f>
        <v>0</v>
      </c>
      <c r="I73" s="17" t="n">
        <f aca="false">G73-F73</f>
        <v>-370</v>
      </c>
      <c r="J73" s="21" t="s">
        <v>8300</v>
      </c>
      <c r="K73" s="15" t="s">
        <v>8329</v>
      </c>
      <c r="L73" s="7" t="n">
        <f aca="false">COUNTIFS(レース分析!$G$2:$G$5000,"&gt;=60",レース分析!$G$2:$G$5000,"&lt;=69",レース分析!$AP$2:$AP$5000,"欠損",レース分析!$Y$2:$Y$5000,"&lt;&gt;参考")</f>
        <v>356</v>
      </c>
      <c r="M73" s="7" t="n">
        <f aca="false">COUNTIFS(レース分析!$G$2:$G$5000,"&gt;=60",レース分析!$G$2:$G$5000,"&lt;=69",レース分析!$AP$2:$AP$5000,"欠損",レース分析!$Y$2:$Y$5000,"&lt;&gt;参考",レース分析!$T$2:$T$5000,"&lt;=3")</f>
        <v>214</v>
      </c>
      <c r="N73" s="16" t="n">
        <f aca="false">IFERROR(M73/L73,0)</f>
        <v>0</v>
      </c>
      <c r="O73" s="17" t="n">
        <f aca="false">L73*100</f>
        <v>35600</v>
      </c>
      <c r="P73" s="17" t="n">
        <f aca="false">SUMIFS(レース分析!$W$2:$W$5000,レース分析!$G$2:$G$5000,"&gt;=60",レース分析!$G$2:$G$5000,"&lt;=69",レース分析!$AP$2:$AP$5000,"欠損",レース分析!$Y$2:$Y$5000,"&lt;&gt;参考")</f>
        <v>29210</v>
      </c>
      <c r="Q73" s="16" t="n">
        <f aca="false">IFERROR(P73/O73,0)</f>
        <v>0</v>
      </c>
      <c r="R73" s="17" t="n">
        <f aca="false">P73-O73</f>
        <v>-6390</v>
      </c>
    </row>
    <row r="74" customFormat="false" ht="15.75" hidden="false" customHeight="false" outlineLevel="0" collapsed="false">
      <c r="A74" s="21" t="s">
        <v>8302</v>
      </c>
      <c r="B74" s="21" t="s">
        <v>8316</v>
      </c>
      <c r="C74" s="7" t="n">
        <f aca="false">COUNTIFS(レース分析!$G$2:$G$5000,"&gt;=75",レース分析!$G$2:$G$5000,"&lt;=79",レース分析!$D$2:$D$5000,"&gt;=1",レース分析!$D$2:$D$5000,"&lt;=7",レース分析!$Y$2:$Y$5000,"&lt;&gt;参考")</f>
        <v>3</v>
      </c>
      <c r="D74" s="7" t="n">
        <f aca="false">COUNTIFS(レース分析!$G$2:$G$5000,"&gt;=75",レース分析!$G$2:$G$5000,"&lt;=79",レース分析!$D$2:$D$5000,"&gt;=1",レース分析!$D$2:$D$5000,"&lt;=7",レース分析!$Y$2:$Y$5000,"&lt;&gt;参考",レース分析!$T$2:$T$5000,"&lt;=3")</f>
        <v>3</v>
      </c>
      <c r="E74" s="16" t="n">
        <f aca="false">IFERROR(D74/C74,0)</f>
        <v>0</v>
      </c>
      <c r="F74" s="17" t="n">
        <f aca="false">C74*100</f>
        <v>300</v>
      </c>
      <c r="G74" s="17" t="n">
        <f aca="false">SUMIFS(レース分析!$W$2:$W$5000,レース分析!$G$2:$G$5000,"&gt;=75",レース分析!$G$2:$G$5000,"&lt;=79",レース分析!$D$2:$D$5000,"&gt;=1",レース分析!$D$2:$D$5000,"&lt;=7",レース分析!$Y$2:$Y$5000,"&lt;&gt;参考")</f>
        <v>220</v>
      </c>
      <c r="H74" s="16" t="n">
        <f aca="false">IFERROR(G74/F74,0)</f>
        <v>0</v>
      </c>
      <c r="I74" s="17" t="n">
        <f aca="false">G74-F74</f>
        <v>-80</v>
      </c>
      <c r="J74" s="21" t="s">
        <v>8301</v>
      </c>
      <c r="K74" s="21" t="s">
        <v>8324</v>
      </c>
      <c r="L74" s="7" t="n">
        <f aca="false">COUNTIFS(レース分析!$G$2:$G$5000,"&gt;=70",レース分析!$G$2:$G$5000,"&lt;=74",レース分析!$AP$2:$AP$5000,"1.0～1.1",レース分析!$Y$2:$Y$5000,"&lt;&gt;参考")</f>
        <v>0</v>
      </c>
      <c r="M74" s="7" t="n">
        <f aca="false">COUNTIFS(レース分析!$G$2:$G$5000,"&gt;=70",レース分析!$G$2:$G$5000,"&lt;=74",レース分析!$AP$2:$AP$5000,"1.0～1.1",レース分析!$Y$2:$Y$5000,"&lt;&gt;参考",レース分析!$T$2:$T$5000,"&lt;=3")</f>
        <v>0</v>
      </c>
      <c r="N74" s="16" t="n">
        <f aca="false">IFERROR(M74/L74,0)</f>
        <v>0</v>
      </c>
      <c r="O74" s="17" t="n">
        <f aca="false">L74*100</f>
        <v>0</v>
      </c>
      <c r="P74" s="17" t="n">
        <f aca="false">SUMIFS(レース分析!$W$2:$W$5000,レース分析!$G$2:$G$5000,"&gt;=70",レース分析!$G$2:$G$5000,"&lt;=74",レース分析!$AP$2:$AP$5000,"1.0～1.1",レース分析!$Y$2:$Y$5000,"&lt;&gt;参考")</f>
        <v>0</v>
      </c>
      <c r="Q74" s="16" t="n">
        <f aca="false">IFERROR(P74/O74,0)</f>
        <v>0</v>
      </c>
      <c r="R74" s="17" t="n">
        <f aca="false">P74-O74</f>
        <v>0</v>
      </c>
    </row>
    <row r="75" customFormat="false" ht="15.75" hidden="false" customHeight="false" outlineLevel="0" collapsed="false">
      <c r="A75" s="21" t="s">
        <v>8302</v>
      </c>
      <c r="B75" s="21" t="s">
        <v>8317</v>
      </c>
      <c r="C75" s="7" t="n">
        <f aca="false">COUNTIFS(レース分析!$G$2:$G$5000,"&gt;=75",レース分析!$G$2:$G$5000,"&lt;=79",レース分析!$D$2:$D$5000,"&gt;=8",レース分析!$D$2:$D$5000,"&lt;=11",レース分析!$Y$2:$Y$5000,"&lt;&gt;参考")</f>
        <v>7</v>
      </c>
      <c r="D75" s="7" t="n">
        <f aca="false">COUNTIFS(レース分析!$G$2:$G$5000,"&gt;=75",レース分析!$G$2:$G$5000,"&lt;=79",レース分析!$D$2:$D$5000,"&gt;=8",レース分析!$D$2:$D$5000,"&lt;=11",レース分析!$Y$2:$Y$5000,"&lt;&gt;参考",レース分析!$T$2:$T$5000,"&lt;=3")</f>
        <v>5</v>
      </c>
      <c r="E75" s="16" t="n">
        <f aca="false">IFERROR(D75/C75,0)</f>
        <v>0</v>
      </c>
      <c r="F75" s="17" t="n">
        <f aca="false">C75*100</f>
        <v>700</v>
      </c>
      <c r="G75" s="17" t="n">
        <f aca="false">SUMIFS(レース分析!$W$2:$W$5000,レース分析!$G$2:$G$5000,"&gt;=75",レース分析!$G$2:$G$5000,"&lt;=79",レース分析!$D$2:$D$5000,"&gt;=8",レース分析!$D$2:$D$5000,"&lt;=11",レース分析!$Y$2:$Y$5000,"&lt;&gt;参考")</f>
        <v>630</v>
      </c>
      <c r="H75" s="16" t="n">
        <f aca="false">IFERROR(G75/F75,0)</f>
        <v>0</v>
      </c>
      <c r="I75" s="17" t="n">
        <f aca="false">G75-F75</f>
        <v>-70</v>
      </c>
      <c r="J75" s="21" t="s">
        <v>8301</v>
      </c>
      <c r="K75" s="21" t="s">
        <v>8325</v>
      </c>
      <c r="L75" s="7" t="n">
        <f aca="false">COUNTIFS(レース分析!$G$2:$G$5000,"&gt;=70",レース分析!$G$2:$G$5000,"&lt;=74",レース分析!$AP$2:$AP$5000,"1.2",レース分析!$Y$2:$Y$5000,"&lt;&gt;参考")</f>
        <v>0</v>
      </c>
      <c r="M75" s="7" t="n">
        <f aca="false">COUNTIFS(レース分析!$G$2:$G$5000,"&gt;=70",レース分析!$G$2:$G$5000,"&lt;=74",レース分析!$AP$2:$AP$5000,"1.2",レース分析!$Y$2:$Y$5000,"&lt;&gt;参考",レース分析!$T$2:$T$5000,"&lt;=3")</f>
        <v>0</v>
      </c>
      <c r="N75" s="16" t="n">
        <f aca="false">IFERROR(M75/L75,0)</f>
        <v>0</v>
      </c>
      <c r="O75" s="17" t="n">
        <f aca="false">L75*100</f>
        <v>0</v>
      </c>
      <c r="P75" s="17" t="n">
        <f aca="false">SUMIFS(レース分析!$W$2:$W$5000,レース分析!$G$2:$G$5000,"&gt;=70",レース分析!$G$2:$G$5000,"&lt;=74",レース分析!$AP$2:$AP$5000,"1.2",レース分析!$Y$2:$Y$5000,"&lt;&gt;参考")</f>
        <v>0</v>
      </c>
      <c r="Q75" s="16" t="n">
        <f aca="false">IFERROR(P75/O75,0)</f>
        <v>0</v>
      </c>
      <c r="R75" s="17" t="n">
        <f aca="false">P75-O75</f>
        <v>0</v>
      </c>
    </row>
    <row r="76" customFormat="false" ht="15.75" hidden="false" customHeight="false" outlineLevel="0" collapsed="false">
      <c r="A76" s="21" t="s">
        <v>8302</v>
      </c>
      <c r="B76" s="21" t="s">
        <v>8318</v>
      </c>
      <c r="C76" s="7" t="n">
        <f aca="false">COUNTIFS(レース分析!$G$2:$G$5000,"&gt;=75",レース分析!$G$2:$G$5000,"&lt;=79",レース分析!$D$2:$D$5000,"&gt;=12",レース分析!$D$2:$D$5000,"&lt;=14",レース分析!$Y$2:$Y$5000,"&lt;&gt;参考")</f>
        <v>5</v>
      </c>
      <c r="D76" s="7" t="n">
        <f aca="false">COUNTIFS(レース分析!$G$2:$G$5000,"&gt;=75",レース分析!$G$2:$G$5000,"&lt;=79",レース分析!$D$2:$D$5000,"&gt;=12",レース分析!$D$2:$D$5000,"&lt;=14",レース分析!$Y$2:$Y$5000,"&lt;&gt;参考",レース分析!$T$2:$T$5000,"&lt;=3")</f>
        <v>4</v>
      </c>
      <c r="E76" s="16" t="n">
        <f aca="false">IFERROR(D76/C76,0)</f>
        <v>0</v>
      </c>
      <c r="F76" s="17" t="n">
        <f aca="false">C76*100</f>
        <v>500</v>
      </c>
      <c r="G76" s="17" t="n">
        <f aca="false">SUMIFS(レース分析!$W$2:$W$5000,レース分析!$G$2:$G$5000,"&gt;=75",レース分析!$G$2:$G$5000,"&lt;=79",レース分析!$D$2:$D$5000,"&gt;=12",レース分析!$D$2:$D$5000,"&lt;=14",レース分析!$Y$2:$Y$5000,"&lt;&gt;参考")</f>
        <v>450</v>
      </c>
      <c r="H76" s="16" t="n">
        <f aca="false">IFERROR(G76/F76,0)</f>
        <v>0</v>
      </c>
      <c r="I76" s="17" t="n">
        <f aca="false">G76-F76</f>
        <v>-50</v>
      </c>
      <c r="J76" s="21" t="s">
        <v>8301</v>
      </c>
      <c r="K76" s="21" t="s">
        <v>8326</v>
      </c>
      <c r="L76" s="7" t="n">
        <f aca="false">COUNTIFS(レース分析!$G$2:$G$5000,"&gt;=70",レース分析!$G$2:$G$5000,"&lt;=74",レース分析!$AP$2:$AP$5000,"1.3～1.4",レース分析!$Y$2:$Y$5000,"&lt;&gt;参考")</f>
        <v>0</v>
      </c>
      <c r="M76" s="7" t="n">
        <f aca="false">COUNTIFS(レース分析!$G$2:$G$5000,"&gt;=70",レース分析!$G$2:$G$5000,"&lt;=74",レース分析!$AP$2:$AP$5000,"1.3～1.4",レース分析!$Y$2:$Y$5000,"&lt;&gt;参考",レース分析!$T$2:$T$5000,"&lt;=3")</f>
        <v>0</v>
      </c>
      <c r="N76" s="16" t="n">
        <f aca="false">IFERROR(M76/L76,0)</f>
        <v>0</v>
      </c>
      <c r="O76" s="17" t="n">
        <f aca="false">L76*100</f>
        <v>0</v>
      </c>
      <c r="P76" s="17" t="n">
        <f aca="false">SUMIFS(レース分析!$W$2:$W$5000,レース分析!$G$2:$G$5000,"&gt;=70",レース分析!$G$2:$G$5000,"&lt;=74",レース分析!$AP$2:$AP$5000,"1.3～1.4",レース分析!$Y$2:$Y$5000,"&lt;&gt;参考")</f>
        <v>0</v>
      </c>
      <c r="Q76" s="16" t="n">
        <f aca="false">IFERROR(P76/O76,0)</f>
        <v>0</v>
      </c>
      <c r="R76" s="17" t="n">
        <f aca="false">P76-O76</f>
        <v>0</v>
      </c>
    </row>
    <row r="77" customFormat="false" ht="15.75" hidden="false" customHeight="false" outlineLevel="0" collapsed="false">
      <c r="A77" s="21" t="s">
        <v>8302</v>
      </c>
      <c r="B77" s="21" t="s">
        <v>8319</v>
      </c>
      <c r="C77" s="7" t="n">
        <f aca="false">COUNTIFS(レース分析!$G$2:$G$5000,"&gt;=75",レース分析!$G$2:$G$5000,"&lt;=79",レース分析!$D$2:$D$5000,"&gt;=15",レース分析!$Y$2:$Y$5000,"&lt;&gt;参考")</f>
        <v>15</v>
      </c>
      <c r="D77" s="7" t="n">
        <f aca="false">COUNTIFS(レース分析!$G$2:$G$5000,"&gt;=75",レース分析!$G$2:$G$5000,"&lt;=79",レース分析!$D$2:$D$5000,"&gt;=15",レース分析!$Y$2:$Y$5000,"&lt;&gt;参考",レース分析!$T$2:$T$5000,"&lt;=3")</f>
        <v>8</v>
      </c>
      <c r="E77" s="16" t="n">
        <f aca="false">IFERROR(D77/C77,0)</f>
        <v>0</v>
      </c>
      <c r="F77" s="17" t="n">
        <f aca="false">C77*100</f>
        <v>1500</v>
      </c>
      <c r="G77" s="17" t="n">
        <f aca="false">SUMIFS(レース分析!$W$2:$W$5000,レース分析!$G$2:$G$5000,"&gt;=75",レース分析!$G$2:$G$5000,"&lt;=79",レース分析!$D$2:$D$5000,"&gt;=15",レース分析!$Y$2:$Y$5000,"&lt;&gt;参考")</f>
        <v>920</v>
      </c>
      <c r="H77" s="16" t="n">
        <f aca="false">IFERROR(G77/F77,0)</f>
        <v>0</v>
      </c>
      <c r="I77" s="17" t="n">
        <f aca="false">G77-F77</f>
        <v>-580</v>
      </c>
      <c r="J77" s="21" t="s">
        <v>8301</v>
      </c>
      <c r="K77" s="21" t="s">
        <v>8327</v>
      </c>
      <c r="L77" s="7" t="n">
        <f aca="false">COUNTIFS(レース分析!$G$2:$G$5000,"&gt;=70",レース分析!$G$2:$G$5000,"&lt;=74",レース分析!$AP$2:$AP$5000,"1.5～1.9",レース分析!$Y$2:$Y$5000,"&lt;&gt;参考")</f>
        <v>0</v>
      </c>
      <c r="M77" s="7" t="n">
        <f aca="false">COUNTIFS(レース分析!$G$2:$G$5000,"&gt;=70",レース分析!$G$2:$G$5000,"&lt;=74",レース分析!$AP$2:$AP$5000,"1.5～1.9",レース分析!$Y$2:$Y$5000,"&lt;&gt;参考",レース分析!$T$2:$T$5000,"&lt;=3")</f>
        <v>0</v>
      </c>
      <c r="N77" s="16" t="n">
        <f aca="false">IFERROR(M77/L77,0)</f>
        <v>0</v>
      </c>
      <c r="O77" s="17" t="n">
        <f aca="false">L77*100</f>
        <v>0</v>
      </c>
      <c r="P77" s="17" t="n">
        <f aca="false">SUMIFS(レース分析!$W$2:$W$5000,レース分析!$G$2:$G$5000,"&gt;=70",レース分析!$G$2:$G$5000,"&lt;=74",レース分析!$AP$2:$AP$5000,"1.5～1.9",レース分析!$Y$2:$Y$5000,"&lt;&gt;参考")</f>
        <v>0</v>
      </c>
      <c r="Q77" s="16" t="n">
        <f aca="false">IFERROR(P77/O77,0)</f>
        <v>0</v>
      </c>
      <c r="R77" s="17" t="n">
        <f aca="false">P77-O77</f>
        <v>0</v>
      </c>
    </row>
    <row r="78" customFormat="false" ht="15.75" hidden="false" customHeight="false" outlineLevel="0" collapsed="false">
      <c r="A78" s="21" t="s">
        <v>8303</v>
      </c>
      <c r="B78" s="21" t="s">
        <v>8316</v>
      </c>
      <c r="C78" s="7" t="n">
        <f aca="false">COUNTIFS(レース分析!$G$2:$G$5000,"&gt;=80",レース分析!$G$2:$G$5000,"&lt;=84",レース分析!$D$2:$D$5000,"&gt;=1",レース分析!$D$2:$D$5000,"&lt;=7",レース分析!$Y$2:$Y$5000,"&lt;&gt;参考")</f>
        <v>1</v>
      </c>
      <c r="D78" s="7" t="n">
        <f aca="false">COUNTIFS(レース分析!$G$2:$G$5000,"&gt;=80",レース分析!$G$2:$G$5000,"&lt;=84",レース分析!$D$2:$D$5000,"&gt;=1",レース分析!$D$2:$D$5000,"&lt;=7",レース分析!$Y$2:$Y$5000,"&lt;&gt;参考",レース分析!$T$2:$T$5000,"&lt;=3")</f>
        <v>1</v>
      </c>
      <c r="E78" s="16" t="n">
        <f aca="false">IFERROR(D78/C78,0)</f>
        <v>0</v>
      </c>
      <c r="F78" s="17" t="n">
        <f aca="false">C78*100</f>
        <v>100</v>
      </c>
      <c r="G78" s="17" t="n">
        <f aca="false">SUMIFS(レース分析!$W$2:$W$5000,レース分析!$G$2:$G$5000,"&gt;=80",レース分析!$G$2:$G$5000,"&lt;=84",レース分析!$D$2:$D$5000,"&gt;=1",レース分析!$D$2:$D$5000,"&lt;=7",レース分析!$Y$2:$Y$5000,"&lt;&gt;参考")</f>
        <v>100</v>
      </c>
      <c r="H78" s="16" t="n">
        <f aca="false">IFERROR(G78/F78,0)</f>
        <v>0</v>
      </c>
      <c r="I78" s="17" t="n">
        <f aca="false">G78-F78</f>
        <v>0</v>
      </c>
      <c r="J78" s="21" t="s">
        <v>8301</v>
      </c>
      <c r="K78" s="21" t="s">
        <v>8328</v>
      </c>
      <c r="L78" s="7" t="n">
        <f aca="false">COUNTIFS(レース分析!$G$2:$G$5000,"&gt;=70",レース分析!$G$2:$G$5000,"&lt;=74",レース分析!$AP$2:$AP$5000,"2.0以上",レース分析!$Y$2:$Y$5000,"&lt;&gt;参考")</f>
        <v>0</v>
      </c>
      <c r="M78" s="7" t="n">
        <f aca="false">COUNTIFS(レース分析!$G$2:$G$5000,"&gt;=70",レース分析!$G$2:$G$5000,"&lt;=74",レース分析!$AP$2:$AP$5000,"2.0以上",レース分析!$Y$2:$Y$5000,"&lt;&gt;参考",レース分析!$T$2:$T$5000,"&lt;=3")</f>
        <v>0</v>
      </c>
      <c r="N78" s="16" t="n">
        <f aca="false">IFERROR(M78/L78,0)</f>
        <v>0</v>
      </c>
      <c r="O78" s="17" t="n">
        <f aca="false">L78*100</f>
        <v>0</v>
      </c>
      <c r="P78" s="17" t="n">
        <f aca="false">SUMIFS(レース分析!$W$2:$W$5000,レース分析!$G$2:$G$5000,"&gt;=70",レース分析!$G$2:$G$5000,"&lt;=74",レース分析!$AP$2:$AP$5000,"2.0以上",レース分析!$Y$2:$Y$5000,"&lt;&gt;参考")</f>
        <v>0</v>
      </c>
      <c r="Q78" s="16" t="n">
        <f aca="false">IFERROR(P78/O78,0)</f>
        <v>0</v>
      </c>
      <c r="R78" s="17" t="n">
        <f aca="false">P78-O78</f>
        <v>0</v>
      </c>
    </row>
    <row r="79" customFormat="false" ht="15.75" hidden="false" customHeight="false" outlineLevel="0" collapsed="false">
      <c r="A79" s="21" t="s">
        <v>8303</v>
      </c>
      <c r="B79" s="21" t="s">
        <v>8317</v>
      </c>
      <c r="C79" s="7" t="n">
        <f aca="false">COUNTIFS(レース分析!$G$2:$G$5000,"&gt;=80",レース分析!$G$2:$G$5000,"&lt;=84",レース分析!$D$2:$D$5000,"&gt;=8",レース分析!$D$2:$D$5000,"&lt;=11",レース分析!$Y$2:$Y$5000,"&lt;&gt;参考")</f>
        <v>29</v>
      </c>
      <c r="D79" s="7" t="n">
        <f aca="false">COUNTIFS(レース分析!$G$2:$G$5000,"&gt;=80",レース分析!$G$2:$G$5000,"&lt;=84",レース分析!$D$2:$D$5000,"&gt;=8",レース分析!$D$2:$D$5000,"&lt;=11",レース分析!$Y$2:$Y$5000,"&lt;&gt;参考",レース分析!$T$2:$T$5000,"&lt;=3")</f>
        <v>22</v>
      </c>
      <c r="E79" s="16" t="n">
        <f aca="false">IFERROR(D79/C79,0)</f>
        <v>0</v>
      </c>
      <c r="F79" s="17" t="n">
        <f aca="false">C79*100</f>
        <v>2900</v>
      </c>
      <c r="G79" s="17" t="n">
        <f aca="false">SUMIFS(レース分析!$W$2:$W$5000,レース分析!$G$2:$G$5000,"&gt;=80",レース分析!$G$2:$G$5000,"&lt;=84",レース分析!$D$2:$D$5000,"&gt;=8",レース分析!$D$2:$D$5000,"&lt;=11",レース分析!$Y$2:$Y$5000,"&lt;&gt;参考")</f>
        <v>2400</v>
      </c>
      <c r="H79" s="16" t="n">
        <f aca="false">IFERROR(G79/F79,0)</f>
        <v>0</v>
      </c>
      <c r="I79" s="17" t="n">
        <f aca="false">G79-F79</f>
        <v>-500</v>
      </c>
      <c r="J79" s="21" t="s">
        <v>8301</v>
      </c>
      <c r="K79" s="15" t="s">
        <v>8329</v>
      </c>
      <c r="L79" s="7" t="n">
        <f aca="false">COUNTIFS(レース分析!$G$2:$G$5000,"&gt;=70",レース分析!$G$2:$G$5000,"&lt;=74",レース分析!$AP$2:$AP$5000,"欠損",レース分析!$Y$2:$Y$5000,"&lt;&gt;参考")</f>
        <v>102</v>
      </c>
      <c r="M79" s="7" t="n">
        <f aca="false">COUNTIFS(レース分析!$G$2:$G$5000,"&gt;=70",レース分析!$G$2:$G$5000,"&lt;=74",レース分析!$AP$2:$AP$5000,"欠損",レース分析!$Y$2:$Y$5000,"&lt;&gt;参考",レース分析!$T$2:$T$5000,"&lt;=3")</f>
        <v>74</v>
      </c>
      <c r="N79" s="16" t="n">
        <f aca="false">IFERROR(M79/L79,0)</f>
        <v>0</v>
      </c>
      <c r="O79" s="17" t="n">
        <f aca="false">L79*100</f>
        <v>10200</v>
      </c>
      <c r="P79" s="17" t="n">
        <f aca="false">SUMIFS(レース分析!$W$2:$W$5000,レース分析!$G$2:$G$5000,"&gt;=70",レース分析!$G$2:$G$5000,"&lt;=74",レース分析!$AP$2:$AP$5000,"欠損",レース分析!$Y$2:$Y$5000,"&lt;&gt;参考")</f>
        <v>9160</v>
      </c>
      <c r="Q79" s="16" t="n">
        <f aca="false">IFERROR(P79/O79,0)</f>
        <v>0</v>
      </c>
      <c r="R79" s="17" t="n">
        <f aca="false">P79-O79</f>
        <v>-1040</v>
      </c>
    </row>
    <row r="80" customFormat="false" ht="15.75" hidden="false" customHeight="false" outlineLevel="0" collapsed="false">
      <c r="A80" s="21" t="s">
        <v>8303</v>
      </c>
      <c r="B80" s="21" t="s">
        <v>8318</v>
      </c>
      <c r="C80" s="7" t="n">
        <f aca="false">COUNTIFS(レース分析!$G$2:$G$5000,"&gt;=80",レース分析!$G$2:$G$5000,"&lt;=84",レース分析!$D$2:$D$5000,"&gt;=12",レース分析!$D$2:$D$5000,"&lt;=14",レース分析!$Y$2:$Y$5000,"&lt;&gt;参考")</f>
        <v>11</v>
      </c>
      <c r="D80" s="7" t="n">
        <f aca="false">COUNTIFS(レース分析!$G$2:$G$5000,"&gt;=80",レース分析!$G$2:$G$5000,"&lt;=84",レース分析!$D$2:$D$5000,"&gt;=12",レース分析!$D$2:$D$5000,"&lt;=14",レース分析!$Y$2:$Y$5000,"&lt;&gt;参考",レース分析!$T$2:$T$5000,"&lt;=3")</f>
        <v>7</v>
      </c>
      <c r="E80" s="16" t="n">
        <f aca="false">IFERROR(D80/C80,0)</f>
        <v>0</v>
      </c>
      <c r="F80" s="17" t="n">
        <f aca="false">C80*100</f>
        <v>1100</v>
      </c>
      <c r="G80" s="17" t="n">
        <f aca="false">SUMIFS(レース分析!$W$2:$W$5000,レース分析!$G$2:$G$5000,"&gt;=80",レース分析!$G$2:$G$5000,"&lt;=84",レース分析!$D$2:$D$5000,"&gt;=12",レース分析!$D$2:$D$5000,"&lt;=14",レース分析!$Y$2:$Y$5000,"&lt;&gt;参考")</f>
        <v>790</v>
      </c>
      <c r="H80" s="16" t="n">
        <f aca="false">IFERROR(G80/F80,0)</f>
        <v>0</v>
      </c>
      <c r="I80" s="17" t="n">
        <f aca="false">G80-F80</f>
        <v>-310</v>
      </c>
      <c r="J80" s="21" t="s">
        <v>8302</v>
      </c>
      <c r="K80" s="21" t="s">
        <v>8324</v>
      </c>
      <c r="L80" s="7" t="n">
        <f aca="false">COUNTIFS(レース分析!$G$2:$G$5000,"&gt;=75",レース分析!$G$2:$G$5000,"&lt;=79",レース分析!$AP$2:$AP$5000,"1.0～1.1",レース分析!$Y$2:$Y$5000,"&lt;&gt;参考")</f>
        <v>0</v>
      </c>
      <c r="M80" s="7" t="n">
        <f aca="false">COUNTIFS(レース分析!$G$2:$G$5000,"&gt;=75",レース分析!$G$2:$G$5000,"&lt;=79",レース分析!$AP$2:$AP$5000,"1.0～1.1",レース分析!$Y$2:$Y$5000,"&lt;&gt;参考",レース分析!$T$2:$T$5000,"&lt;=3")</f>
        <v>0</v>
      </c>
      <c r="N80" s="16" t="n">
        <f aca="false">IFERROR(M80/L80,0)</f>
        <v>0</v>
      </c>
      <c r="O80" s="17" t="n">
        <f aca="false">L80*100</f>
        <v>0</v>
      </c>
      <c r="P80" s="17" t="n">
        <f aca="false">SUMIFS(レース分析!$W$2:$W$5000,レース分析!$G$2:$G$5000,"&gt;=75",レース分析!$G$2:$G$5000,"&lt;=79",レース分析!$AP$2:$AP$5000,"1.0～1.1",レース分析!$Y$2:$Y$5000,"&lt;&gt;参考")</f>
        <v>0</v>
      </c>
      <c r="Q80" s="16" t="n">
        <f aca="false">IFERROR(P80/O80,0)</f>
        <v>0</v>
      </c>
      <c r="R80" s="17" t="n">
        <f aca="false">P80-O80</f>
        <v>0</v>
      </c>
    </row>
    <row r="81" customFormat="false" ht="15.75" hidden="false" customHeight="false" outlineLevel="0" collapsed="false">
      <c r="A81" s="21" t="s">
        <v>8303</v>
      </c>
      <c r="B81" s="21" t="s">
        <v>8319</v>
      </c>
      <c r="C81" s="7" t="n">
        <f aca="false">COUNTIFS(レース分析!$G$2:$G$5000,"&gt;=80",レース分析!$G$2:$G$5000,"&lt;=84",レース分析!$D$2:$D$5000,"&gt;=15",レース分析!$Y$2:$Y$5000,"&lt;&gt;参考")</f>
        <v>27</v>
      </c>
      <c r="D81" s="7" t="n">
        <f aca="false">COUNTIFS(レース分析!$G$2:$G$5000,"&gt;=80",レース分析!$G$2:$G$5000,"&lt;=84",レース分析!$D$2:$D$5000,"&gt;=15",レース分析!$Y$2:$Y$5000,"&lt;&gt;参考",レース分析!$T$2:$T$5000,"&lt;=3")</f>
        <v>20</v>
      </c>
      <c r="E81" s="16" t="n">
        <f aca="false">IFERROR(D81/C81,0)</f>
        <v>0</v>
      </c>
      <c r="F81" s="17" t="n">
        <f aca="false">C81*100</f>
        <v>2700</v>
      </c>
      <c r="G81" s="17" t="n">
        <f aca="false">SUMIFS(レース分析!$W$2:$W$5000,レース分析!$G$2:$G$5000,"&gt;=80",レース分析!$G$2:$G$5000,"&lt;=84",レース分析!$D$2:$D$5000,"&gt;=15",レース分析!$Y$2:$Y$5000,"&lt;&gt;参考")</f>
        <v>2340</v>
      </c>
      <c r="H81" s="16" t="n">
        <f aca="false">IFERROR(G81/F81,0)</f>
        <v>0</v>
      </c>
      <c r="I81" s="17" t="n">
        <f aca="false">G81-F81</f>
        <v>-360</v>
      </c>
      <c r="J81" s="21" t="s">
        <v>8302</v>
      </c>
      <c r="K81" s="21" t="s">
        <v>8325</v>
      </c>
      <c r="L81" s="7" t="n">
        <f aca="false">COUNTIFS(レース分析!$G$2:$G$5000,"&gt;=75",レース分析!$G$2:$G$5000,"&lt;=79",レース分析!$AP$2:$AP$5000,"1.2",レース分析!$Y$2:$Y$5000,"&lt;&gt;参考")</f>
        <v>0</v>
      </c>
      <c r="M81" s="7" t="n">
        <f aca="false">COUNTIFS(レース分析!$G$2:$G$5000,"&gt;=75",レース分析!$G$2:$G$5000,"&lt;=79",レース分析!$AP$2:$AP$5000,"1.2",レース分析!$Y$2:$Y$5000,"&lt;&gt;参考",レース分析!$T$2:$T$5000,"&lt;=3")</f>
        <v>0</v>
      </c>
      <c r="N81" s="16" t="n">
        <f aca="false">IFERROR(M81/L81,0)</f>
        <v>0</v>
      </c>
      <c r="O81" s="17" t="n">
        <f aca="false">L81*100</f>
        <v>0</v>
      </c>
      <c r="P81" s="17" t="n">
        <f aca="false">SUMIFS(レース分析!$W$2:$W$5000,レース分析!$G$2:$G$5000,"&gt;=75",レース分析!$G$2:$G$5000,"&lt;=79",レース分析!$AP$2:$AP$5000,"1.2",レース分析!$Y$2:$Y$5000,"&lt;&gt;参考")</f>
        <v>0</v>
      </c>
      <c r="Q81" s="16" t="n">
        <f aca="false">IFERROR(P81/O81,0)</f>
        <v>0</v>
      </c>
      <c r="R81" s="17" t="n">
        <f aca="false">P81-O81</f>
        <v>0</v>
      </c>
    </row>
    <row r="82" customFormat="false" ht="15.75" hidden="false" customHeight="false" outlineLevel="0" collapsed="false">
      <c r="A82" s="21" t="s">
        <v>8304</v>
      </c>
      <c r="B82" s="21" t="s">
        <v>8316</v>
      </c>
      <c r="C82" s="7" t="n">
        <f aca="false">COUNTIFS(レース分析!$G$2:$G$5000,"&gt;=85",レース分析!$D$2:$D$5000,"&gt;=1",レース分析!$D$2:$D$5000,"&lt;=7",レース分析!$Y$2:$Y$5000,"&lt;&gt;参考")</f>
        <v>3</v>
      </c>
      <c r="D82" s="7" t="n">
        <f aca="false">COUNTIFS(レース分析!$G$2:$G$5000,"&gt;=85",レース分析!$D$2:$D$5000,"&gt;=1",レース分析!$D$2:$D$5000,"&lt;=7",レース分析!$Y$2:$Y$5000,"&lt;&gt;参考",レース分析!$T$2:$T$5000,"&lt;=3")</f>
        <v>3</v>
      </c>
      <c r="E82" s="16" t="n">
        <f aca="false">IFERROR(D82/C82,0)</f>
        <v>0</v>
      </c>
      <c r="F82" s="17" t="n">
        <f aca="false">C82*100</f>
        <v>300</v>
      </c>
      <c r="G82" s="17" t="n">
        <f aca="false">SUMIFS(レース分析!$W$2:$W$5000,レース分析!$G$2:$G$5000,"&gt;=85",レース分析!$D$2:$D$5000,"&gt;=1",レース分析!$D$2:$D$5000,"&lt;=7",レース分析!$Y$2:$Y$5000,"&lt;&gt;参考")</f>
        <v>370</v>
      </c>
      <c r="H82" s="16" t="n">
        <f aca="false">IFERROR(G82/F82,0)</f>
        <v>0</v>
      </c>
      <c r="I82" s="17" t="n">
        <f aca="false">G82-F82</f>
        <v>70</v>
      </c>
      <c r="J82" s="21" t="s">
        <v>8302</v>
      </c>
      <c r="K82" s="21" t="s">
        <v>8326</v>
      </c>
      <c r="L82" s="7" t="n">
        <f aca="false">COUNTIFS(レース分析!$G$2:$G$5000,"&gt;=75",レース分析!$G$2:$G$5000,"&lt;=79",レース分析!$AP$2:$AP$5000,"1.3～1.4",レース分析!$Y$2:$Y$5000,"&lt;&gt;参考")</f>
        <v>0</v>
      </c>
      <c r="M82" s="7" t="n">
        <f aca="false">COUNTIFS(レース分析!$G$2:$G$5000,"&gt;=75",レース分析!$G$2:$G$5000,"&lt;=79",レース分析!$AP$2:$AP$5000,"1.3～1.4",レース分析!$Y$2:$Y$5000,"&lt;&gt;参考",レース分析!$T$2:$T$5000,"&lt;=3")</f>
        <v>0</v>
      </c>
      <c r="N82" s="16" t="n">
        <f aca="false">IFERROR(M82/L82,0)</f>
        <v>0</v>
      </c>
      <c r="O82" s="17" t="n">
        <f aca="false">L82*100</f>
        <v>0</v>
      </c>
      <c r="P82" s="17" t="n">
        <f aca="false">SUMIFS(レース分析!$W$2:$W$5000,レース分析!$G$2:$G$5000,"&gt;=75",レース分析!$G$2:$G$5000,"&lt;=79",レース分析!$AP$2:$AP$5000,"1.3～1.4",レース分析!$Y$2:$Y$5000,"&lt;&gt;参考")</f>
        <v>0</v>
      </c>
      <c r="Q82" s="16" t="n">
        <f aca="false">IFERROR(P82/O82,0)</f>
        <v>0</v>
      </c>
      <c r="R82" s="17" t="n">
        <f aca="false">P82-O82</f>
        <v>0</v>
      </c>
    </row>
    <row r="83" customFormat="false" ht="15.75" hidden="false" customHeight="false" outlineLevel="0" collapsed="false">
      <c r="A83" s="21" t="s">
        <v>8304</v>
      </c>
      <c r="B83" s="21" t="s">
        <v>8317</v>
      </c>
      <c r="C83" s="7" t="n">
        <f aca="false">COUNTIFS(レース分析!$G$2:$G$5000,"&gt;=85",レース分析!$D$2:$D$5000,"&gt;=8",レース分析!$D$2:$D$5000,"&lt;=11",レース分析!$Y$2:$Y$5000,"&lt;&gt;参考")</f>
        <v>6</v>
      </c>
      <c r="D83" s="7" t="n">
        <f aca="false">COUNTIFS(レース分析!$G$2:$G$5000,"&gt;=85",レース分析!$D$2:$D$5000,"&gt;=8",レース分析!$D$2:$D$5000,"&lt;=11",レース分析!$Y$2:$Y$5000,"&lt;&gt;参考",レース分析!$T$2:$T$5000,"&lt;=3")</f>
        <v>6</v>
      </c>
      <c r="E83" s="16" t="n">
        <f aca="false">IFERROR(D83/C83,0)</f>
        <v>0</v>
      </c>
      <c r="F83" s="17" t="n">
        <f aca="false">C83*100</f>
        <v>600</v>
      </c>
      <c r="G83" s="17" t="n">
        <f aca="false">SUMIFS(レース分析!$W$2:$W$5000,レース分析!$G$2:$G$5000,"&gt;=85",レース分析!$D$2:$D$5000,"&gt;=8",レース分析!$D$2:$D$5000,"&lt;=11",レース分析!$Y$2:$Y$5000,"&lt;&gt;参考")</f>
        <v>680</v>
      </c>
      <c r="H83" s="16" t="n">
        <f aca="false">IFERROR(G83/F83,0)</f>
        <v>0</v>
      </c>
      <c r="I83" s="17" t="n">
        <f aca="false">G83-F83</f>
        <v>80</v>
      </c>
      <c r="J83" s="21" t="s">
        <v>8302</v>
      </c>
      <c r="K83" s="21" t="s">
        <v>8327</v>
      </c>
      <c r="L83" s="7" t="n">
        <f aca="false">COUNTIFS(レース分析!$G$2:$G$5000,"&gt;=75",レース分析!$G$2:$G$5000,"&lt;=79",レース分析!$AP$2:$AP$5000,"1.5～1.9",レース分析!$Y$2:$Y$5000,"&lt;&gt;参考")</f>
        <v>0</v>
      </c>
      <c r="M83" s="7" t="n">
        <f aca="false">COUNTIFS(レース分析!$G$2:$G$5000,"&gt;=75",レース分析!$G$2:$G$5000,"&lt;=79",レース分析!$AP$2:$AP$5000,"1.5～1.9",レース分析!$Y$2:$Y$5000,"&lt;&gt;参考",レース分析!$T$2:$T$5000,"&lt;=3")</f>
        <v>0</v>
      </c>
      <c r="N83" s="16" t="n">
        <f aca="false">IFERROR(M83/L83,0)</f>
        <v>0</v>
      </c>
      <c r="O83" s="17" t="n">
        <f aca="false">L83*100</f>
        <v>0</v>
      </c>
      <c r="P83" s="17" t="n">
        <f aca="false">SUMIFS(レース分析!$W$2:$W$5000,レース分析!$G$2:$G$5000,"&gt;=75",レース分析!$G$2:$G$5000,"&lt;=79",レース分析!$AP$2:$AP$5000,"1.5～1.9",レース分析!$Y$2:$Y$5000,"&lt;&gt;参考")</f>
        <v>0</v>
      </c>
      <c r="Q83" s="16" t="n">
        <f aca="false">IFERROR(P83/O83,0)</f>
        <v>0</v>
      </c>
      <c r="R83" s="17" t="n">
        <f aca="false">P83-O83</f>
        <v>0</v>
      </c>
    </row>
    <row r="84" customFormat="false" ht="15.75" hidden="false" customHeight="false" outlineLevel="0" collapsed="false">
      <c r="A84" s="21" t="s">
        <v>8304</v>
      </c>
      <c r="B84" s="21" t="s">
        <v>8318</v>
      </c>
      <c r="C84" s="7" t="n">
        <f aca="false">COUNTIFS(レース分析!$G$2:$G$5000,"&gt;=85",レース分析!$D$2:$D$5000,"&gt;=12",レース分析!$D$2:$D$5000,"&lt;=14",レース分析!$Y$2:$Y$5000,"&lt;&gt;参考")</f>
        <v>16</v>
      </c>
      <c r="D84" s="7" t="n">
        <f aca="false">COUNTIFS(レース分析!$G$2:$G$5000,"&gt;=85",レース分析!$D$2:$D$5000,"&gt;=12",レース分析!$D$2:$D$5000,"&lt;=14",レース分析!$Y$2:$Y$5000,"&lt;&gt;参考",レース分析!$T$2:$T$5000,"&lt;=3")</f>
        <v>12</v>
      </c>
      <c r="E84" s="16" t="n">
        <f aca="false">IFERROR(D84/C84,0)</f>
        <v>0</v>
      </c>
      <c r="F84" s="17" t="n">
        <f aca="false">C84*100</f>
        <v>1600</v>
      </c>
      <c r="G84" s="17" t="n">
        <f aca="false">SUMIFS(レース分析!$W$2:$W$5000,レース分析!$G$2:$G$5000,"&gt;=85",レース分析!$D$2:$D$5000,"&gt;=12",レース分析!$D$2:$D$5000,"&lt;=14",レース分析!$Y$2:$Y$5000,"&lt;&gt;参考")</f>
        <v>1330</v>
      </c>
      <c r="H84" s="16" t="n">
        <f aca="false">IFERROR(G84/F84,0)</f>
        <v>0</v>
      </c>
      <c r="I84" s="17" t="n">
        <f aca="false">G84-F84</f>
        <v>-270</v>
      </c>
      <c r="J84" s="21" t="s">
        <v>8302</v>
      </c>
      <c r="K84" s="21" t="s">
        <v>8328</v>
      </c>
      <c r="L84" s="7" t="n">
        <f aca="false">COUNTIFS(レース分析!$G$2:$G$5000,"&gt;=75",レース分析!$G$2:$G$5000,"&lt;=79",レース分析!$AP$2:$AP$5000,"2.0以上",レース分析!$Y$2:$Y$5000,"&lt;&gt;参考")</f>
        <v>0</v>
      </c>
      <c r="M84" s="7" t="n">
        <f aca="false">COUNTIFS(レース分析!$G$2:$G$5000,"&gt;=75",レース分析!$G$2:$G$5000,"&lt;=79",レース分析!$AP$2:$AP$5000,"2.0以上",レース分析!$Y$2:$Y$5000,"&lt;&gt;参考",レース分析!$T$2:$T$5000,"&lt;=3")</f>
        <v>0</v>
      </c>
      <c r="N84" s="16" t="n">
        <f aca="false">IFERROR(M84/L84,0)</f>
        <v>0</v>
      </c>
      <c r="O84" s="17" t="n">
        <f aca="false">L84*100</f>
        <v>0</v>
      </c>
      <c r="P84" s="17" t="n">
        <f aca="false">SUMIFS(レース分析!$W$2:$W$5000,レース分析!$G$2:$G$5000,"&gt;=75",レース分析!$G$2:$G$5000,"&lt;=79",レース分析!$AP$2:$AP$5000,"2.0以上",レース分析!$Y$2:$Y$5000,"&lt;&gt;参考")</f>
        <v>0</v>
      </c>
      <c r="Q84" s="16" t="n">
        <f aca="false">IFERROR(P84/O84,0)</f>
        <v>0</v>
      </c>
      <c r="R84" s="17" t="n">
        <f aca="false">P84-O84</f>
        <v>0</v>
      </c>
    </row>
    <row r="85" customFormat="false" ht="15.75" hidden="false" customHeight="false" outlineLevel="0" collapsed="false">
      <c r="A85" s="21" t="s">
        <v>8304</v>
      </c>
      <c r="B85" s="21" t="s">
        <v>8319</v>
      </c>
      <c r="C85" s="7" t="n">
        <f aca="false">COUNTIFS(レース分析!$G$2:$G$5000,"&gt;=85",レース分析!$D$2:$D$5000,"&gt;=15",レース分析!$Y$2:$Y$5000,"&lt;&gt;参考")</f>
        <v>9</v>
      </c>
      <c r="D85" s="7" t="n">
        <f aca="false">COUNTIFS(レース分析!$G$2:$G$5000,"&gt;=85",レース分析!$D$2:$D$5000,"&gt;=15",レース分析!$Y$2:$Y$5000,"&lt;&gt;参考",レース分析!$T$2:$T$5000,"&lt;=3")</f>
        <v>9</v>
      </c>
      <c r="E85" s="16" t="n">
        <f aca="false">IFERROR(D85/C85,0)</f>
        <v>0</v>
      </c>
      <c r="F85" s="17" t="n">
        <f aca="false">C85*100</f>
        <v>900</v>
      </c>
      <c r="G85" s="17" t="n">
        <f aca="false">SUMIFS(レース分析!$W$2:$W$5000,レース分析!$G$2:$G$5000,"&gt;=85",レース分析!$D$2:$D$5000,"&gt;=15",レース分析!$Y$2:$Y$5000,"&lt;&gt;参考")</f>
        <v>1000</v>
      </c>
      <c r="H85" s="16" t="n">
        <f aca="false">IFERROR(G85/F85,0)</f>
        <v>0</v>
      </c>
      <c r="I85" s="17" t="n">
        <f aca="false">G85-F85</f>
        <v>100</v>
      </c>
      <c r="J85" s="21" t="s">
        <v>8302</v>
      </c>
      <c r="K85" s="15" t="s">
        <v>8329</v>
      </c>
      <c r="L85" s="7" t="n">
        <f aca="false">COUNTIFS(レース分析!$G$2:$G$5000,"&gt;=75",レース分析!$G$2:$G$5000,"&lt;=79",レース分析!$AP$2:$AP$5000,"欠損",レース分析!$Y$2:$Y$5000,"&lt;&gt;参考")</f>
        <v>30</v>
      </c>
      <c r="M85" s="7" t="n">
        <f aca="false">COUNTIFS(レース分析!$G$2:$G$5000,"&gt;=75",レース分析!$G$2:$G$5000,"&lt;=79",レース分析!$AP$2:$AP$5000,"欠損",レース分析!$Y$2:$Y$5000,"&lt;&gt;参考",レース分析!$T$2:$T$5000,"&lt;=3")</f>
        <v>20</v>
      </c>
      <c r="N85" s="16" t="n">
        <f aca="false">IFERROR(M85/L85,0)</f>
        <v>0</v>
      </c>
      <c r="O85" s="17" t="n">
        <f aca="false">L85*100</f>
        <v>3000</v>
      </c>
      <c r="P85" s="17" t="n">
        <f aca="false">SUMIFS(レース分析!$W$2:$W$5000,レース分析!$G$2:$G$5000,"&gt;=75",レース分析!$G$2:$G$5000,"&lt;=79",レース分析!$AP$2:$AP$5000,"欠損",レース分析!$Y$2:$Y$5000,"&lt;&gt;参考")</f>
        <v>2220</v>
      </c>
      <c r="Q85" s="16" t="n">
        <f aca="false">IFERROR(P85/O85,0)</f>
        <v>0</v>
      </c>
      <c r="R85" s="17" t="n">
        <f aca="false">P85-O85</f>
        <v>-780</v>
      </c>
    </row>
    <row r="86" customFormat="false" ht="15.75" hidden="false" customHeight="false" outlineLevel="0" collapsed="false">
      <c r="J86" s="21" t="s">
        <v>8303</v>
      </c>
      <c r="K86" s="21" t="s">
        <v>8324</v>
      </c>
      <c r="L86" s="7" t="n">
        <f aca="false">COUNTIFS(レース分析!$G$2:$G$5000,"&gt;=80",レース分析!$G$2:$G$5000,"&lt;=84",レース分析!$AP$2:$AP$5000,"1.0～1.1",レース分析!$Y$2:$Y$5000,"&lt;&gt;参考")</f>
        <v>17</v>
      </c>
      <c r="M86" s="7" t="n">
        <f aca="false">COUNTIFS(レース分析!$G$2:$G$5000,"&gt;=80",レース分析!$G$2:$G$5000,"&lt;=84",レース分析!$AP$2:$AP$5000,"1.0～1.1",レース分析!$Y$2:$Y$5000,"&lt;&gt;参考",レース分析!$T$2:$T$5000,"&lt;=3")</f>
        <v>13</v>
      </c>
      <c r="N86" s="16" t="n">
        <f aca="false">IFERROR(M86/L86,0)</f>
        <v>0</v>
      </c>
      <c r="O86" s="17" t="n">
        <f aca="false">L86*100</f>
        <v>1700</v>
      </c>
      <c r="P86" s="17" t="n">
        <f aca="false">SUMIFS(レース分析!$W$2:$W$5000,レース分析!$G$2:$G$5000,"&gt;=80",レース分析!$G$2:$G$5000,"&lt;=84",レース分析!$AP$2:$AP$5000,"1.0～1.1",レース分析!$Y$2:$Y$5000,"&lt;&gt;参考")</f>
        <v>1410</v>
      </c>
      <c r="Q86" s="16" t="n">
        <f aca="false">IFERROR(P86/O86,0)</f>
        <v>0</v>
      </c>
      <c r="R86" s="17" t="n">
        <f aca="false">P86-O86</f>
        <v>-290</v>
      </c>
    </row>
    <row r="87" customFormat="false" ht="15.75" hidden="false" customHeight="false" outlineLevel="0" collapsed="false">
      <c r="J87" s="21" t="s">
        <v>8303</v>
      </c>
      <c r="K87" s="21" t="s">
        <v>8325</v>
      </c>
      <c r="L87" s="7" t="n">
        <f aca="false">COUNTIFS(レース分析!$G$2:$G$5000,"&gt;=80",レース分析!$G$2:$G$5000,"&lt;=84",レース分析!$AP$2:$AP$5000,"1.2",レース分析!$Y$2:$Y$5000,"&lt;&gt;参考")</f>
        <v>0</v>
      </c>
      <c r="M87" s="7" t="n">
        <f aca="false">COUNTIFS(レース分析!$G$2:$G$5000,"&gt;=80",レース分析!$G$2:$G$5000,"&lt;=84",レース分析!$AP$2:$AP$5000,"1.2",レース分析!$Y$2:$Y$5000,"&lt;&gt;参考",レース分析!$T$2:$T$5000,"&lt;=3")</f>
        <v>0</v>
      </c>
      <c r="N87" s="16" t="n">
        <f aca="false">IFERROR(M87/L87,0)</f>
        <v>0</v>
      </c>
      <c r="O87" s="17" t="n">
        <f aca="false">L87*100</f>
        <v>0</v>
      </c>
      <c r="P87" s="17" t="n">
        <f aca="false">SUMIFS(レース分析!$W$2:$W$5000,レース分析!$G$2:$G$5000,"&gt;=80",レース分析!$G$2:$G$5000,"&lt;=84",レース分析!$AP$2:$AP$5000,"1.2",レース分析!$Y$2:$Y$5000,"&lt;&gt;参考")</f>
        <v>0</v>
      </c>
      <c r="Q87" s="16" t="n">
        <f aca="false">IFERROR(P87/O87,0)</f>
        <v>0</v>
      </c>
      <c r="R87" s="17" t="n">
        <f aca="false">P87-O87</f>
        <v>0</v>
      </c>
    </row>
    <row r="88" customFormat="false" ht="15.75" hidden="false" customHeight="false" outlineLevel="0" collapsed="false">
      <c r="J88" s="21" t="s">
        <v>8303</v>
      </c>
      <c r="K88" s="21" t="s">
        <v>8326</v>
      </c>
      <c r="L88" s="7" t="n">
        <f aca="false">COUNTIFS(レース分析!$G$2:$G$5000,"&gt;=80",レース分析!$G$2:$G$5000,"&lt;=84",レース分析!$AP$2:$AP$5000,"1.3～1.4",レース分析!$Y$2:$Y$5000,"&lt;&gt;参考")</f>
        <v>1</v>
      </c>
      <c r="M88" s="7" t="n">
        <f aca="false">COUNTIFS(レース分析!$G$2:$G$5000,"&gt;=80",レース分析!$G$2:$G$5000,"&lt;=84",レース分析!$AP$2:$AP$5000,"1.3～1.4",レース分析!$Y$2:$Y$5000,"&lt;&gt;参考",レース分析!$T$2:$T$5000,"&lt;=3")</f>
        <v>1</v>
      </c>
      <c r="N88" s="16" t="n">
        <f aca="false">IFERROR(M88/L88,0)</f>
        <v>0</v>
      </c>
      <c r="O88" s="17" t="n">
        <f aca="false">L88*100</f>
        <v>100</v>
      </c>
      <c r="P88" s="17" t="n">
        <f aca="false">SUMIFS(レース分析!$W$2:$W$5000,レース分析!$G$2:$G$5000,"&gt;=80",レース分析!$G$2:$G$5000,"&lt;=84",レース分析!$AP$2:$AP$5000,"1.3～1.4",レース分析!$Y$2:$Y$5000,"&lt;&gt;参考")</f>
        <v>150</v>
      </c>
      <c r="Q88" s="16" t="n">
        <f aca="false">IFERROR(P88/O88,0)</f>
        <v>0</v>
      </c>
      <c r="R88" s="17" t="n">
        <f aca="false">P88-O88</f>
        <v>50</v>
      </c>
    </row>
    <row r="89" customFormat="false" ht="15.75" hidden="false" customHeight="false" outlineLevel="0" collapsed="false">
      <c r="J89" s="21" t="s">
        <v>8303</v>
      </c>
      <c r="K89" s="21" t="s">
        <v>8327</v>
      </c>
      <c r="L89" s="7" t="n">
        <f aca="false">COUNTIFS(レース分析!$G$2:$G$5000,"&gt;=80",レース分析!$G$2:$G$5000,"&lt;=84",レース分析!$AP$2:$AP$5000,"1.5～1.9",レース分析!$Y$2:$Y$5000,"&lt;&gt;参考")</f>
        <v>0</v>
      </c>
      <c r="M89" s="7" t="n">
        <f aca="false">COUNTIFS(レース分析!$G$2:$G$5000,"&gt;=80",レース分析!$G$2:$G$5000,"&lt;=84",レース分析!$AP$2:$AP$5000,"1.5～1.9",レース分析!$Y$2:$Y$5000,"&lt;&gt;参考",レース分析!$T$2:$T$5000,"&lt;=3")</f>
        <v>0</v>
      </c>
      <c r="N89" s="16" t="n">
        <f aca="false">IFERROR(M89/L89,0)</f>
        <v>0</v>
      </c>
      <c r="O89" s="17" t="n">
        <f aca="false">L89*100</f>
        <v>0</v>
      </c>
      <c r="P89" s="17" t="n">
        <f aca="false">SUMIFS(レース分析!$W$2:$W$5000,レース分析!$G$2:$G$5000,"&gt;=80",レース分析!$G$2:$G$5000,"&lt;=84",レース分析!$AP$2:$AP$5000,"1.5～1.9",レース分析!$Y$2:$Y$5000,"&lt;&gt;参考")</f>
        <v>0</v>
      </c>
      <c r="Q89" s="16" t="n">
        <f aca="false">IFERROR(P89/O89,0)</f>
        <v>0</v>
      </c>
      <c r="R89" s="17" t="n">
        <f aca="false">P89-O89</f>
        <v>0</v>
      </c>
    </row>
    <row r="90" customFormat="false" ht="15.75" hidden="false" customHeight="false" outlineLevel="0" collapsed="false">
      <c r="A90" s="22" t="s">
        <v>8330</v>
      </c>
      <c r="B90" s="20"/>
      <c r="C90" s="20"/>
      <c r="D90" s="20"/>
      <c r="E90" s="20"/>
      <c r="F90" s="20"/>
      <c r="J90" s="21" t="s">
        <v>8303</v>
      </c>
      <c r="K90" s="21" t="s">
        <v>8328</v>
      </c>
      <c r="L90" s="7" t="n">
        <f aca="false">COUNTIFS(レース分析!$G$2:$G$5000,"&gt;=80",レース分析!$G$2:$G$5000,"&lt;=84",レース分析!$AP$2:$AP$5000,"2.0以上",レース分析!$Y$2:$Y$5000,"&lt;&gt;参考")</f>
        <v>0</v>
      </c>
      <c r="M90" s="7" t="n">
        <f aca="false">COUNTIFS(レース分析!$G$2:$G$5000,"&gt;=80",レース分析!$G$2:$G$5000,"&lt;=84",レース分析!$AP$2:$AP$5000,"2.0以上",レース分析!$Y$2:$Y$5000,"&lt;&gt;参考",レース分析!$T$2:$T$5000,"&lt;=3")</f>
        <v>0</v>
      </c>
      <c r="N90" s="16" t="n">
        <f aca="false">IFERROR(M90/L90,0)</f>
        <v>0</v>
      </c>
      <c r="O90" s="17" t="n">
        <f aca="false">L90*100</f>
        <v>0</v>
      </c>
      <c r="P90" s="17" t="n">
        <f aca="false">SUMIFS(レース分析!$W$2:$W$5000,レース分析!$G$2:$G$5000,"&gt;=80",レース分析!$G$2:$G$5000,"&lt;=84",レース分析!$AP$2:$AP$5000,"2.0以上",レース分析!$Y$2:$Y$5000,"&lt;&gt;参考")</f>
        <v>0</v>
      </c>
      <c r="Q90" s="16" t="n">
        <f aca="false">IFERROR(P90/O90,0)</f>
        <v>0</v>
      </c>
      <c r="R90" s="17" t="n">
        <f aca="false">P90-O90</f>
        <v>0</v>
      </c>
    </row>
    <row r="91" customFormat="false" ht="15.75" hidden="false" customHeight="false" outlineLevel="0" collapsed="false">
      <c r="A91" s="1" t="s">
        <v>7566</v>
      </c>
      <c r="B91" s="2" t="s">
        <v>8322</v>
      </c>
      <c r="C91" s="1" t="s">
        <v>8279</v>
      </c>
      <c r="D91" s="1" t="s">
        <v>8281</v>
      </c>
      <c r="E91" s="1" t="s">
        <v>8283</v>
      </c>
      <c r="F91" s="1" t="s">
        <v>8331</v>
      </c>
      <c r="J91" s="21" t="s">
        <v>8303</v>
      </c>
      <c r="K91" s="15" t="s">
        <v>8329</v>
      </c>
      <c r="L91" s="7" t="n">
        <f aca="false">COUNTIFS(レース分析!$G$2:$G$5000,"&gt;=80",レース分析!$G$2:$G$5000,"&lt;=84",レース分析!$AP$2:$AP$5000,"欠損",レース分析!$Y$2:$Y$5000,"&lt;&gt;参考")</f>
        <v>50</v>
      </c>
      <c r="M91" s="7" t="n">
        <f aca="false">COUNTIFS(レース分析!$G$2:$G$5000,"&gt;=80",レース分析!$G$2:$G$5000,"&lt;=84",レース分析!$AP$2:$AP$5000,"欠損",レース分析!$Y$2:$Y$5000,"&lt;&gt;参考",レース分析!$T$2:$T$5000,"&lt;=3")</f>
        <v>36</v>
      </c>
      <c r="N91" s="16" t="n">
        <f aca="false">IFERROR(M91/L91,0)</f>
        <v>0</v>
      </c>
      <c r="O91" s="17" t="n">
        <f aca="false">L91*100</f>
        <v>5000</v>
      </c>
      <c r="P91" s="17" t="n">
        <f aca="false">SUMIFS(レース分析!$W$2:$W$5000,レース分析!$G$2:$G$5000,"&gt;=80",レース分析!$G$2:$G$5000,"&lt;=84",レース分析!$AP$2:$AP$5000,"欠損",レース分析!$Y$2:$Y$5000,"&lt;&gt;参考")</f>
        <v>4070</v>
      </c>
      <c r="Q91" s="16" t="n">
        <f aca="false">IFERROR(P91/O91,0)</f>
        <v>0</v>
      </c>
      <c r="R91" s="17" t="n">
        <f aca="false">P91-O91</f>
        <v>-930</v>
      </c>
    </row>
    <row r="92" customFormat="false" ht="15.75" hidden="false" customHeight="false" outlineLevel="0" collapsed="false">
      <c r="A92" s="21" t="s">
        <v>8332</v>
      </c>
      <c r="B92" s="15" t="s">
        <v>8299</v>
      </c>
      <c r="C92" s="7" t="n">
        <f aca="false">COUNTIFS(レース分析!$AQ$2:$AQ$5000,"2歳戦",レース分析!$G$2:$G$5000,"&lt;=59",レース分析!$Y$2:$Y$5000,"&lt;&gt;参考")</f>
        <v>0</v>
      </c>
      <c r="D92" s="16" t="n">
        <f aca="false">IFERROR(COUNTIFS(レース分析!$AQ$2:$AQ$5000,"2歳戦",レース分析!$G$2:$G$5000,"&lt;=59",レース分析!$Y$2:$Y$5000,"&lt;&gt;参考",レース分析!$T$2:$T$5000,"&lt;=3")/COUNTIFS(レース分析!$AQ$2:$AQ$5000,"2歳戦",レース分析!$G$2:$G$5000,"&lt;=59",レース分析!$Y$2:$Y$5000,"&lt;&gt;参考"),0)</f>
        <v>0</v>
      </c>
      <c r="E92" s="16" t="n">
        <f aca="false">IFERROR(SUMIFS(レース分析!$W$2:$W$5000,レース分析!$AQ$2:$AQ$5000,"2歳戦",レース分析!$G$2:$G$5000,"&lt;=59",レース分析!$Y$2:$Y$5000,"&lt;&gt;参考")/(COUNTIFS(レース分析!$AQ$2:$AQ$5000,"2歳戦",レース分析!$G$2:$G$5000,"&lt;=59",レース分析!$Y$2:$Y$5000,"&lt;&gt;参考")*100),0)</f>
        <v>0</v>
      </c>
      <c r="F92" s="15" t="s">
        <v>8333</v>
      </c>
      <c r="J92" s="21" t="s">
        <v>8304</v>
      </c>
      <c r="K92" s="21" t="s">
        <v>8324</v>
      </c>
      <c r="L92" s="7" t="n">
        <f aca="false">COUNTIFS(レース分析!$G$2:$G$5000,"&gt;=85",レース分析!$AP$2:$AP$5000,"1.0～1.1",レース分析!$Y$2:$Y$5000,"&lt;&gt;参考")</f>
        <v>8</v>
      </c>
      <c r="M92" s="7" t="n">
        <f aca="false">COUNTIFS(レース分析!$G$2:$G$5000,"&gt;=85",レース分析!$AP$2:$AP$5000,"1.0～1.1",レース分析!$Y$2:$Y$5000,"&lt;&gt;参考",レース分析!$T$2:$T$5000,"&lt;=3")</f>
        <v>7</v>
      </c>
      <c r="N92" s="16" t="n">
        <f aca="false">IFERROR(M92/L92,0)</f>
        <v>0</v>
      </c>
      <c r="O92" s="17" t="n">
        <f aca="false">L92*100</f>
        <v>800</v>
      </c>
      <c r="P92" s="17" t="n">
        <f aca="false">SUMIFS(レース分析!$W$2:$W$5000,レース分析!$G$2:$G$5000,"&gt;=85",レース分析!$AP$2:$AP$5000,"1.0～1.1",レース分析!$Y$2:$Y$5000,"&lt;&gt;参考")</f>
        <v>820</v>
      </c>
      <c r="Q92" s="16" t="n">
        <f aca="false">IFERROR(P92/O92,0)</f>
        <v>0</v>
      </c>
      <c r="R92" s="17" t="n">
        <f aca="false">P92-O92</f>
        <v>20</v>
      </c>
    </row>
    <row r="93" customFormat="false" ht="15.75" hidden="false" customHeight="false" outlineLevel="0" collapsed="false">
      <c r="A93" s="21" t="s">
        <v>8332</v>
      </c>
      <c r="B93" s="21" t="s">
        <v>8300</v>
      </c>
      <c r="C93" s="7" t="n">
        <f aca="false">COUNTIFS(レース分析!$AQ$2:$AQ$5000,"2歳戦",レース分析!$G$2:$G$5000,"&gt;=60",レース分析!$G$2:$G$5000,"&lt;=69",レース分析!$Y$2:$Y$5000,"&lt;&gt;参考")</f>
        <v>0</v>
      </c>
      <c r="D93" s="16" t="n">
        <f aca="false">IFERROR(COUNTIFS(レース分析!$AQ$2:$AQ$5000,"2歳戦",レース分析!$G$2:$G$5000,"&gt;=60",レース分析!$G$2:$G$5000,"&lt;=69",レース分析!$Y$2:$Y$5000,"&lt;&gt;参考",レース分析!$T$2:$T$5000,"&lt;=3")/COUNTIFS(レース分析!$AQ$2:$AQ$5000,"2歳戦",レース分析!$G$2:$G$5000,"&gt;=60",レース分析!$G$2:$G$5000,"&lt;=69",レース分析!$Y$2:$Y$5000,"&lt;&gt;参考"),0)</f>
        <v>0</v>
      </c>
      <c r="E93" s="16" t="n">
        <f aca="false">IFERROR(SUMIFS(レース分析!$W$2:$W$5000,レース分析!$AQ$2:$AQ$5000,"2歳戦",レース分析!$G$2:$G$5000,"&gt;=60",レース分析!$G$2:$G$5000,"&lt;=69",レース分析!$Y$2:$Y$5000,"&lt;&gt;参考")/(COUNTIFS(レース分析!$AQ$2:$AQ$5000,"2歳戦",レース分析!$G$2:$G$5000,"&gt;=60",レース分析!$G$2:$G$5000,"&lt;=69",レース分析!$Y$2:$Y$5000,"&lt;&gt;参考")*100),0)</f>
        <v>0</v>
      </c>
      <c r="F93" s="15" t="s">
        <v>8333</v>
      </c>
      <c r="J93" s="21" t="s">
        <v>8304</v>
      </c>
      <c r="K93" s="21" t="s">
        <v>8325</v>
      </c>
      <c r="L93" s="7" t="n">
        <f aca="false">COUNTIFS(レース分析!$G$2:$G$5000,"&gt;=85",レース分析!$AP$2:$AP$5000,"1.2",レース分析!$Y$2:$Y$5000,"&lt;&gt;参考")</f>
        <v>1</v>
      </c>
      <c r="M93" s="7" t="n">
        <f aca="false">COUNTIFS(レース分析!$G$2:$G$5000,"&gt;=85",レース分析!$AP$2:$AP$5000,"1.2",レース分析!$Y$2:$Y$5000,"&lt;&gt;参考",レース分析!$T$2:$T$5000,"&lt;=3")</f>
        <v>1</v>
      </c>
      <c r="N93" s="16" t="n">
        <f aca="false">IFERROR(M93/L93,0)</f>
        <v>0</v>
      </c>
      <c r="O93" s="17" t="n">
        <f aca="false">L93*100</f>
        <v>100</v>
      </c>
      <c r="P93" s="17" t="n">
        <f aca="false">SUMIFS(レース分析!$W$2:$W$5000,レース分析!$G$2:$G$5000,"&gt;=85",レース分析!$AP$2:$AP$5000,"1.2",レース分析!$Y$2:$Y$5000,"&lt;&gt;参考")</f>
        <v>120</v>
      </c>
      <c r="Q93" s="16" t="n">
        <f aca="false">IFERROR(P93/O93,0)</f>
        <v>0</v>
      </c>
      <c r="R93" s="17" t="n">
        <f aca="false">P93-O93</f>
        <v>20</v>
      </c>
    </row>
    <row r="94" customFormat="false" ht="15.75" hidden="false" customHeight="false" outlineLevel="0" collapsed="false">
      <c r="A94" s="21" t="s">
        <v>8332</v>
      </c>
      <c r="B94" s="21" t="s">
        <v>8301</v>
      </c>
      <c r="C94" s="7" t="n">
        <f aca="false">COUNTIFS(レース分析!$AQ$2:$AQ$5000,"2歳戦",レース分析!$G$2:$G$5000,"&gt;=70",レース分析!$G$2:$G$5000,"&lt;=74",レース分析!$Y$2:$Y$5000,"&lt;&gt;参考")</f>
        <v>0</v>
      </c>
      <c r="D94" s="16" t="n">
        <f aca="false">IFERROR(COUNTIFS(レース分析!$AQ$2:$AQ$5000,"2歳戦",レース分析!$G$2:$G$5000,"&gt;=70",レース分析!$G$2:$G$5000,"&lt;=74",レース分析!$Y$2:$Y$5000,"&lt;&gt;参考",レース分析!$T$2:$T$5000,"&lt;=3")/COUNTIFS(レース分析!$AQ$2:$AQ$5000,"2歳戦",レース分析!$G$2:$G$5000,"&gt;=70",レース分析!$G$2:$G$5000,"&lt;=74",レース分析!$Y$2:$Y$5000,"&lt;&gt;参考"),0)</f>
        <v>0</v>
      </c>
      <c r="E94" s="16" t="n">
        <f aca="false">IFERROR(SUMIFS(レース分析!$W$2:$W$5000,レース分析!$AQ$2:$AQ$5000,"2歳戦",レース分析!$G$2:$G$5000,"&gt;=70",レース分析!$G$2:$G$5000,"&lt;=74",レース分析!$Y$2:$Y$5000,"&lt;&gt;参考")/(COUNTIFS(レース分析!$AQ$2:$AQ$5000,"2歳戦",レース分析!$G$2:$G$5000,"&gt;=70",レース分析!$G$2:$G$5000,"&lt;=74",レース分析!$Y$2:$Y$5000,"&lt;&gt;参考")*100),0)</f>
        <v>0</v>
      </c>
      <c r="F94" s="15" t="s">
        <v>8333</v>
      </c>
      <c r="J94" s="21" t="s">
        <v>8304</v>
      </c>
      <c r="K94" s="21" t="s">
        <v>8326</v>
      </c>
      <c r="L94" s="7" t="n">
        <f aca="false">COUNTIFS(レース分析!$G$2:$G$5000,"&gt;=85",レース分析!$AP$2:$AP$5000,"1.3～1.4",レース分析!$Y$2:$Y$5000,"&lt;&gt;参考")</f>
        <v>0</v>
      </c>
      <c r="M94" s="7" t="n">
        <f aca="false">COUNTIFS(レース分析!$G$2:$G$5000,"&gt;=85",レース分析!$AP$2:$AP$5000,"1.3～1.4",レース分析!$Y$2:$Y$5000,"&lt;&gt;参考",レース分析!$T$2:$T$5000,"&lt;=3")</f>
        <v>0</v>
      </c>
      <c r="N94" s="16" t="n">
        <f aca="false">IFERROR(M94/L94,0)</f>
        <v>0</v>
      </c>
      <c r="O94" s="17" t="n">
        <f aca="false">L94*100</f>
        <v>0</v>
      </c>
      <c r="P94" s="17" t="n">
        <f aca="false">SUMIFS(レース分析!$W$2:$W$5000,レース分析!$G$2:$G$5000,"&gt;=85",レース分析!$AP$2:$AP$5000,"1.3～1.4",レース分析!$Y$2:$Y$5000,"&lt;&gt;参考")</f>
        <v>0</v>
      </c>
      <c r="Q94" s="16" t="n">
        <f aca="false">IFERROR(P94/O94,0)</f>
        <v>0</v>
      </c>
      <c r="R94" s="17" t="n">
        <f aca="false">P94-O94</f>
        <v>0</v>
      </c>
    </row>
    <row r="95" customFormat="false" ht="15.75" hidden="false" customHeight="false" outlineLevel="0" collapsed="false">
      <c r="A95" s="21" t="s">
        <v>8332</v>
      </c>
      <c r="B95" s="21" t="s">
        <v>8302</v>
      </c>
      <c r="C95" s="7" t="n">
        <f aca="false">COUNTIFS(レース分析!$AQ$2:$AQ$5000,"2歳戦",レース分析!$G$2:$G$5000,"&gt;=75",レース分析!$G$2:$G$5000,"&lt;=79",レース分析!$Y$2:$Y$5000,"&lt;&gt;参考")</f>
        <v>0</v>
      </c>
      <c r="D95" s="16" t="n">
        <f aca="false">IFERROR(COUNTIFS(レース分析!$AQ$2:$AQ$5000,"2歳戦",レース分析!$G$2:$G$5000,"&gt;=75",レース分析!$G$2:$G$5000,"&lt;=79",レース分析!$Y$2:$Y$5000,"&lt;&gt;参考",レース分析!$T$2:$T$5000,"&lt;=3")/COUNTIFS(レース分析!$AQ$2:$AQ$5000,"2歳戦",レース分析!$G$2:$G$5000,"&gt;=75",レース分析!$G$2:$G$5000,"&lt;=79",レース分析!$Y$2:$Y$5000,"&lt;&gt;参考"),0)</f>
        <v>0</v>
      </c>
      <c r="E95" s="16" t="n">
        <f aca="false">IFERROR(SUMIFS(レース分析!$W$2:$W$5000,レース分析!$AQ$2:$AQ$5000,"2歳戦",レース分析!$G$2:$G$5000,"&gt;=75",レース分析!$G$2:$G$5000,"&lt;=79",レース分析!$Y$2:$Y$5000,"&lt;&gt;参考")/(COUNTIFS(レース分析!$AQ$2:$AQ$5000,"2歳戦",レース分析!$G$2:$G$5000,"&gt;=75",レース分析!$G$2:$G$5000,"&lt;=79",レース分析!$Y$2:$Y$5000,"&lt;&gt;参考")*100),0)</f>
        <v>0</v>
      </c>
      <c r="F95" s="15" t="s">
        <v>8333</v>
      </c>
      <c r="J95" s="21" t="s">
        <v>8304</v>
      </c>
      <c r="K95" s="21" t="s">
        <v>8327</v>
      </c>
      <c r="L95" s="7" t="n">
        <f aca="false">COUNTIFS(レース分析!$G$2:$G$5000,"&gt;=85",レース分析!$AP$2:$AP$5000,"1.5～1.9",レース分析!$Y$2:$Y$5000,"&lt;&gt;参考")</f>
        <v>0</v>
      </c>
      <c r="M95" s="7" t="n">
        <f aca="false">COUNTIFS(レース分析!$G$2:$G$5000,"&gt;=85",レース分析!$AP$2:$AP$5000,"1.5～1.9",レース分析!$Y$2:$Y$5000,"&lt;&gt;参考",レース分析!$T$2:$T$5000,"&lt;=3")</f>
        <v>0</v>
      </c>
      <c r="N95" s="16" t="n">
        <f aca="false">IFERROR(M95/L95,0)</f>
        <v>0</v>
      </c>
      <c r="O95" s="17" t="n">
        <f aca="false">L95*100</f>
        <v>0</v>
      </c>
      <c r="P95" s="17" t="n">
        <f aca="false">SUMIFS(レース分析!$W$2:$W$5000,レース分析!$G$2:$G$5000,"&gt;=85",レース分析!$AP$2:$AP$5000,"1.5～1.9",レース分析!$Y$2:$Y$5000,"&lt;&gt;参考")</f>
        <v>0</v>
      </c>
      <c r="Q95" s="16" t="n">
        <f aca="false">IFERROR(P95/O95,0)</f>
        <v>0</v>
      </c>
      <c r="R95" s="17" t="n">
        <f aca="false">P95-O95</f>
        <v>0</v>
      </c>
    </row>
    <row r="96" customFormat="false" ht="15.75" hidden="false" customHeight="false" outlineLevel="0" collapsed="false">
      <c r="A96" s="21" t="s">
        <v>8332</v>
      </c>
      <c r="B96" s="21" t="s">
        <v>8303</v>
      </c>
      <c r="C96" s="7" t="n">
        <f aca="false">COUNTIFS(レース分析!$AQ$2:$AQ$5000,"2歳戦",レース分析!$G$2:$G$5000,"&gt;=80",レース分析!$G$2:$G$5000,"&lt;=84",レース分析!$Y$2:$Y$5000,"&lt;&gt;参考")</f>
        <v>2</v>
      </c>
      <c r="D96" s="16" t="n">
        <f aca="false">IFERROR(COUNTIFS(レース分析!$AQ$2:$AQ$5000,"2歳戦",レース分析!$G$2:$G$5000,"&gt;=80",レース分析!$G$2:$G$5000,"&lt;=84",レース分析!$Y$2:$Y$5000,"&lt;&gt;参考",レース分析!$T$2:$T$5000,"&lt;=3")/COUNTIFS(レース分析!$AQ$2:$AQ$5000,"2歳戦",レース分析!$G$2:$G$5000,"&gt;=80",レース分析!$G$2:$G$5000,"&lt;=84",レース分析!$Y$2:$Y$5000,"&lt;&gt;参考"),0)</f>
        <v>0.5</v>
      </c>
      <c r="E96" s="16" t="n">
        <f aca="false">IFERROR(SUMIFS(レース分析!$W$2:$W$5000,レース分析!$AQ$2:$AQ$5000,"2歳戦",レース分析!$G$2:$G$5000,"&gt;=80",レース分析!$G$2:$G$5000,"&lt;=84",レース分析!$Y$2:$Y$5000,"&lt;&gt;参考")/(COUNTIFS(レース分析!$AQ$2:$AQ$5000,"2歳戦",レース分析!$G$2:$G$5000,"&gt;=80",レース分析!$G$2:$G$5000,"&lt;=84",レース分析!$Y$2:$Y$5000,"&lt;&gt;参考")*100),0)</f>
        <v>0.55</v>
      </c>
      <c r="F96" s="15" t="s">
        <v>8333</v>
      </c>
      <c r="J96" s="21" t="s">
        <v>8304</v>
      </c>
      <c r="K96" s="21" t="s">
        <v>8328</v>
      </c>
      <c r="L96" s="7" t="n">
        <f aca="false">COUNTIFS(レース分析!$G$2:$G$5000,"&gt;=85",レース分析!$AP$2:$AP$5000,"2.0以上",レース分析!$Y$2:$Y$5000,"&lt;&gt;参考")</f>
        <v>0</v>
      </c>
      <c r="M96" s="7" t="n">
        <f aca="false">COUNTIFS(レース分析!$G$2:$G$5000,"&gt;=85",レース分析!$AP$2:$AP$5000,"2.0以上",レース分析!$Y$2:$Y$5000,"&lt;&gt;参考",レース分析!$T$2:$T$5000,"&lt;=3")</f>
        <v>0</v>
      </c>
      <c r="N96" s="16" t="n">
        <f aca="false">IFERROR(M96/L96,0)</f>
        <v>0</v>
      </c>
      <c r="O96" s="17" t="n">
        <f aca="false">L96*100</f>
        <v>0</v>
      </c>
      <c r="P96" s="17" t="n">
        <f aca="false">SUMIFS(レース分析!$W$2:$W$5000,レース分析!$G$2:$G$5000,"&gt;=85",レース分析!$AP$2:$AP$5000,"2.0以上",レース分析!$Y$2:$Y$5000,"&lt;&gt;参考")</f>
        <v>0</v>
      </c>
      <c r="Q96" s="16" t="n">
        <f aca="false">IFERROR(P96/O96,0)</f>
        <v>0</v>
      </c>
      <c r="R96" s="17" t="n">
        <f aca="false">P96-O96</f>
        <v>0</v>
      </c>
    </row>
    <row r="97" customFormat="false" ht="15.75" hidden="false" customHeight="false" outlineLevel="0" collapsed="false">
      <c r="A97" s="21" t="s">
        <v>8332</v>
      </c>
      <c r="B97" s="21" t="s">
        <v>8304</v>
      </c>
      <c r="C97" s="7" t="n">
        <f aca="false">COUNTIFS(レース分析!$AQ$2:$AQ$5000,"2歳戦",レース分析!$G$2:$G$5000,"&gt;=85",レース分析!$Y$2:$Y$5000,"&lt;&gt;参考")</f>
        <v>0</v>
      </c>
      <c r="D97" s="16" t="n">
        <f aca="false">IFERROR(COUNTIFS(レース分析!$AQ$2:$AQ$5000,"2歳戦",レース分析!$G$2:$G$5000,"&gt;=85",レース分析!$Y$2:$Y$5000,"&lt;&gt;参考",レース分析!$T$2:$T$5000,"&lt;=3")/COUNTIFS(レース分析!$AQ$2:$AQ$5000,"2歳戦",レース分析!$G$2:$G$5000,"&gt;=85",レース分析!$Y$2:$Y$5000,"&lt;&gt;参考"),0)</f>
        <v>0</v>
      </c>
      <c r="E97" s="16" t="n">
        <f aca="false">IFERROR(SUMIFS(レース分析!$W$2:$W$5000,レース分析!$AQ$2:$AQ$5000,"2歳戦",レース分析!$G$2:$G$5000,"&gt;=85",レース分析!$Y$2:$Y$5000,"&lt;&gt;参考")/(COUNTIFS(レース分析!$AQ$2:$AQ$5000,"2歳戦",レース分析!$G$2:$G$5000,"&gt;=85",レース分析!$Y$2:$Y$5000,"&lt;&gt;参考")*100),0)</f>
        <v>0</v>
      </c>
      <c r="F97" s="15" t="s">
        <v>8333</v>
      </c>
      <c r="J97" s="21" t="s">
        <v>8304</v>
      </c>
      <c r="K97" s="15" t="s">
        <v>8329</v>
      </c>
      <c r="L97" s="7" t="n">
        <f aca="false">COUNTIFS(レース分析!$G$2:$G$5000,"&gt;=85",レース分析!$AP$2:$AP$5000,"欠損",レース分析!$Y$2:$Y$5000,"&lt;&gt;参考")</f>
        <v>25</v>
      </c>
      <c r="M97" s="7" t="n">
        <f aca="false">COUNTIFS(レース分析!$G$2:$G$5000,"&gt;=85",レース分析!$AP$2:$AP$5000,"欠損",レース分析!$Y$2:$Y$5000,"&lt;&gt;参考",レース分析!$T$2:$T$5000,"&lt;=3")</f>
        <v>22</v>
      </c>
      <c r="N97" s="16" t="n">
        <f aca="false">IFERROR(M97/L97,0)</f>
        <v>0</v>
      </c>
      <c r="O97" s="17" t="n">
        <f aca="false">L97*100</f>
        <v>2500</v>
      </c>
      <c r="P97" s="17" t="n">
        <f aca="false">SUMIFS(レース分析!$W$2:$W$5000,レース分析!$G$2:$G$5000,"&gt;=85",レース分析!$AP$2:$AP$5000,"欠損",レース分析!$Y$2:$Y$5000,"&lt;&gt;参考")</f>
        <v>2440</v>
      </c>
      <c r="Q97" s="16" t="n">
        <f aca="false">IFERROR(P97/O97,0)</f>
        <v>0</v>
      </c>
      <c r="R97" s="17" t="n">
        <f aca="false">P97-O97</f>
        <v>-60</v>
      </c>
    </row>
    <row r="98" customFormat="false" ht="15.75" hidden="false" customHeight="false" outlineLevel="0" collapsed="false">
      <c r="A98" s="21" t="s">
        <v>8334</v>
      </c>
      <c r="B98" s="15" t="s">
        <v>8299</v>
      </c>
      <c r="C98" s="7" t="n">
        <f aca="false">COUNTIFS(レース分析!$AQ$2:$AQ$5000,"3歳未勝利",レース分析!$G$2:$G$5000,"&lt;=59",レース分析!$Y$2:$Y$5000,"&lt;&gt;参考")</f>
        <v>0</v>
      </c>
      <c r="D98" s="16" t="n">
        <f aca="false">IFERROR(COUNTIFS(レース分析!$AQ$2:$AQ$5000,"3歳未勝利",レース分析!$G$2:$G$5000,"&lt;=59",レース分析!$Y$2:$Y$5000,"&lt;&gt;参考",レース分析!$T$2:$T$5000,"&lt;=3")/COUNTIFS(レース分析!$AQ$2:$AQ$5000,"3歳未勝利",レース分析!$G$2:$G$5000,"&lt;=59",レース分析!$Y$2:$Y$5000,"&lt;&gt;参考"),0)</f>
        <v>0</v>
      </c>
      <c r="E98" s="16" t="n">
        <f aca="false">IFERROR(SUMIFS(レース分析!$W$2:$W$5000,レース分析!$AQ$2:$AQ$5000,"3歳未勝利",レース分析!$G$2:$G$5000,"&lt;=59",レース分析!$Y$2:$Y$5000,"&lt;&gt;参考")/(COUNTIFS(レース分析!$AQ$2:$AQ$5000,"3歳未勝利",レース分析!$G$2:$G$5000,"&lt;=59",レース分析!$Y$2:$Y$5000,"&lt;&gt;参考")*100),0)</f>
        <v>0</v>
      </c>
      <c r="F98" s="15" t="s">
        <v>8333</v>
      </c>
    </row>
    <row r="99" customFormat="false" ht="15.75" hidden="false" customHeight="false" outlineLevel="0" collapsed="false">
      <c r="A99" s="21" t="s">
        <v>8334</v>
      </c>
      <c r="B99" s="21" t="s">
        <v>8300</v>
      </c>
      <c r="C99" s="7" t="n">
        <f aca="false">COUNTIFS(レース分析!$AQ$2:$AQ$5000,"3歳未勝利",レース分析!$G$2:$G$5000,"&gt;=60",レース分析!$G$2:$G$5000,"&lt;=69",レース分析!$Y$2:$Y$5000,"&lt;&gt;参考")</f>
        <v>0</v>
      </c>
      <c r="D99" s="16" t="n">
        <f aca="false">IFERROR(COUNTIFS(レース分析!$AQ$2:$AQ$5000,"3歳未勝利",レース分析!$G$2:$G$5000,"&gt;=60",レース分析!$G$2:$G$5000,"&lt;=69",レース分析!$Y$2:$Y$5000,"&lt;&gt;参考",レース分析!$T$2:$T$5000,"&lt;=3")/COUNTIFS(レース分析!$AQ$2:$AQ$5000,"3歳未勝利",レース分析!$G$2:$G$5000,"&gt;=60",レース分析!$G$2:$G$5000,"&lt;=69",レース分析!$Y$2:$Y$5000,"&lt;&gt;参考"),0)</f>
        <v>0</v>
      </c>
      <c r="E99" s="16" t="n">
        <f aca="false">IFERROR(SUMIFS(レース分析!$W$2:$W$5000,レース分析!$AQ$2:$AQ$5000,"3歳未勝利",レース分析!$G$2:$G$5000,"&gt;=60",レース分析!$G$2:$G$5000,"&lt;=69",レース分析!$Y$2:$Y$5000,"&lt;&gt;参考")/(COUNTIFS(レース分析!$AQ$2:$AQ$5000,"3歳未勝利",レース分析!$G$2:$G$5000,"&gt;=60",レース分析!$G$2:$G$5000,"&lt;=69",レース分析!$Y$2:$Y$5000,"&lt;&gt;参考")*100),0)</f>
        <v>0</v>
      </c>
      <c r="F99" s="15" t="s">
        <v>8333</v>
      </c>
    </row>
    <row r="100" customFormat="false" ht="15.75" hidden="false" customHeight="false" outlineLevel="0" collapsed="false">
      <c r="A100" s="21" t="s">
        <v>8334</v>
      </c>
      <c r="B100" s="21" t="s">
        <v>8301</v>
      </c>
      <c r="C100" s="7" t="n">
        <f aca="false">COUNTIFS(レース分析!$AQ$2:$AQ$5000,"3歳未勝利",レース分析!$G$2:$G$5000,"&gt;=70",レース分析!$G$2:$G$5000,"&lt;=74",レース分析!$Y$2:$Y$5000,"&lt;&gt;参考")</f>
        <v>0</v>
      </c>
      <c r="D100" s="16" t="n">
        <f aca="false">IFERROR(COUNTIFS(レース分析!$AQ$2:$AQ$5000,"3歳未勝利",レース分析!$G$2:$G$5000,"&gt;=70",レース分析!$G$2:$G$5000,"&lt;=74",レース分析!$Y$2:$Y$5000,"&lt;&gt;参考",レース分析!$T$2:$T$5000,"&lt;=3")/COUNTIFS(レース分析!$AQ$2:$AQ$5000,"3歳未勝利",レース分析!$G$2:$G$5000,"&gt;=70",レース分析!$G$2:$G$5000,"&lt;=74",レース分析!$Y$2:$Y$5000,"&lt;&gt;参考"),0)</f>
        <v>0</v>
      </c>
      <c r="E100" s="16" t="n">
        <f aca="false">IFERROR(SUMIFS(レース分析!$W$2:$W$5000,レース分析!$AQ$2:$AQ$5000,"3歳未勝利",レース分析!$G$2:$G$5000,"&gt;=70",レース分析!$G$2:$G$5000,"&lt;=74",レース分析!$Y$2:$Y$5000,"&lt;&gt;参考")/(COUNTIFS(レース分析!$AQ$2:$AQ$5000,"3歳未勝利",レース分析!$G$2:$G$5000,"&gt;=70",レース分析!$G$2:$G$5000,"&lt;=74",レース分析!$Y$2:$Y$5000,"&lt;&gt;参考")*100),0)</f>
        <v>0</v>
      </c>
      <c r="F100" s="15" t="s">
        <v>8333</v>
      </c>
    </row>
    <row r="101" customFormat="false" ht="15.75" hidden="false" customHeight="false" outlineLevel="0" collapsed="false">
      <c r="A101" s="21" t="s">
        <v>8334</v>
      </c>
      <c r="B101" s="21" t="s">
        <v>8302</v>
      </c>
      <c r="C101" s="7" t="n">
        <f aca="false">COUNTIFS(レース分析!$AQ$2:$AQ$5000,"3歳未勝利",レース分析!$G$2:$G$5000,"&gt;=75",レース分析!$G$2:$G$5000,"&lt;=79",レース分析!$Y$2:$Y$5000,"&lt;&gt;参考")</f>
        <v>0</v>
      </c>
      <c r="D101" s="16" t="n">
        <f aca="false">IFERROR(COUNTIFS(レース分析!$AQ$2:$AQ$5000,"3歳未勝利",レース分析!$G$2:$G$5000,"&gt;=75",レース分析!$G$2:$G$5000,"&lt;=79",レース分析!$Y$2:$Y$5000,"&lt;&gt;参考",レース分析!$T$2:$T$5000,"&lt;=3")/COUNTIFS(レース分析!$AQ$2:$AQ$5000,"3歳未勝利",レース分析!$G$2:$G$5000,"&gt;=75",レース分析!$G$2:$G$5000,"&lt;=79",レース分析!$Y$2:$Y$5000,"&lt;&gt;参考"),0)</f>
        <v>0</v>
      </c>
      <c r="E101" s="16" t="n">
        <f aca="false">IFERROR(SUMIFS(レース分析!$W$2:$W$5000,レース分析!$AQ$2:$AQ$5000,"3歳未勝利",レース分析!$G$2:$G$5000,"&gt;=75",レース分析!$G$2:$G$5000,"&lt;=79",レース分析!$Y$2:$Y$5000,"&lt;&gt;参考")/(COUNTIFS(レース分析!$AQ$2:$AQ$5000,"3歳未勝利",レース分析!$G$2:$G$5000,"&gt;=75",レース分析!$G$2:$G$5000,"&lt;=79",レース分析!$Y$2:$Y$5000,"&lt;&gt;参考")*100),0)</f>
        <v>0</v>
      </c>
      <c r="F101" s="15" t="s">
        <v>8333</v>
      </c>
      <c r="J101" s="20" t="s">
        <v>8335</v>
      </c>
      <c r="K101" s="20"/>
      <c r="L101" s="20"/>
      <c r="M101" s="20"/>
      <c r="N101" s="20"/>
      <c r="O101" s="20"/>
      <c r="P101" s="20"/>
      <c r="Q101" s="20"/>
      <c r="R101" s="20"/>
    </row>
    <row r="102" customFormat="false" ht="15.75" hidden="false" customHeight="false" outlineLevel="0" collapsed="false">
      <c r="A102" s="21" t="s">
        <v>8334</v>
      </c>
      <c r="B102" s="21" t="s">
        <v>8303</v>
      </c>
      <c r="C102" s="7" t="n">
        <f aca="false">COUNTIFS(レース分析!$AQ$2:$AQ$5000,"3歳未勝利",レース分析!$G$2:$G$5000,"&gt;=80",レース分析!$G$2:$G$5000,"&lt;=84",レース分析!$Y$2:$Y$5000,"&lt;&gt;参考")</f>
        <v>0</v>
      </c>
      <c r="D102" s="16" t="n">
        <f aca="false">IFERROR(COUNTIFS(レース分析!$AQ$2:$AQ$5000,"3歳未勝利",レース分析!$G$2:$G$5000,"&gt;=80",レース分析!$G$2:$G$5000,"&lt;=84",レース分析!$Y$2:$Y$5000,"&lt;&gt;参考",レース分析!$T$2:$T$5000,"&lt;=3")/COUNTIFS(レース分析!$AQ$2:$AQ$5000,"3歳未勝利",レース分析!$G$2:$G$5000,"&gt;=80",レース分析!$G$2:$G$5000,"&lt;=84",レース分析!$Y$2:$Y$5000,"&lt;&gt;参考"),0)</f>
        <v>0</v>
      </c>
      <c r="E102" s="16" t="n">
        <f aca="false">IFERROR(SUMIFS(レース分析!$W$2:$W$5000,レース分析!$AQ$2:$AQ$5000,"3歳未勝利",レース分析!$G$2:$G$5000,"&gt;=80",レース分析!$G$2:$G$5000,"&lt;=84",レース分析!$Y$2:$Y$5000,"&lt;&gt;参考")/(COUNTIFS(レース分析!$AQ$2:$AQ$5000,"3歳未勝利",レース分析!$G$2:$G$5000,"&gt;=80",レース分析!$G$2:$G$5000,"&lt;=84",レース分析!$Y$2:$Y$5000,"&lt;&gt;参考")*100),0)</f>
        <v>0</v>
      </c>
      <c r="F102" s="15" t="s">
        <v>8333</v>
      </c>
      <c r="J102" s="2" t="s">
        <v>8322</v>
      </c>
      <c r="K102" s="1" t="s">
        <v>7563</v>
      </c>
      <c r="L102" s="1" t="s">
        <v>8279</v>
      </c>
      <c r="M102" s="1" t="s">
        <v>8280</v>
      </c>
      <c r="N102" s="1" t="s">
        <v>8281</v>
      </c>
      <c r="O102" s="2" t="s">
        <v>8282</v>
      </c>
      <c r="P102" s="1" t="s">
        <v>8173</v>
      </c>
      <c r="Q102" s="1" t="s">
        <v>8283</v>
      </c>
      <c r="R102" s="1" t="s">
        <v>8174</v>
      </c>
    </row>
    <row r="103" customFormat="false" ht="15.75" hidden="false" customHeight="false" outlineLevel="0" collapsed="false">
      <c r="A103" s="21" t="s">
        <v>8334</v>
      </c>
      <c r="B103" s="21" t="s">
        <v>8304</v>
      </c>
      <c r="C103" s="7" t="n">
        <f aca="false">COUNTIFS(レース分析!$AQ$2:$AQ$5000,"3歳未勝利",レース分析!$G$2:$G$5000,"&gt;=85",レース分析!$Y$2:$Y$5000,"&lt;&gt;参考")</f>
        <v>0</v>
      </c>
      <c r="D103" s="16" t="n">
        <f aca="false">IFERROR(COUNTIFS(レース分析!$AQ$2:$AQ$5000,"3歳未勝利",レース分析!$G$2:$G$5000,"&gt;=85",レース分析!$Y$2:$Y$5000,"&lt;&gt;参考",レース分析!$T$2:$T$5000,"&lt;=3")/COUNTIFS(レース分析!$AQ$2:$AQ$5000,"3歳未勝利",レース分析!$G$2:$G$5000,"&gt;=85",レース分析!$Y$2:$Y$5000,"&lt;&gt;参考"),0)</f>
        <v>0</v>
      </c>
      <c r="E103" s="16" t="n">
        <f aca="false">IFERROR(SUMIFS(レース分析!$W$2:$W$5000,レース分析!$AQ$2:$AQ$5000,"3歳未勝利",レース分析!$G$2:$G$5000,"&gt;=85",レース分析!$Y$2:$Y$5000,"&lt;&gt;参考")/(COUNTIFS(レース分析!$AQ$2:$AQ$5000,"3歳未勝利",レース分析!$G$2:$G$5000,"&gt;=85",レース分析!$Y$2:$Y$5000,"&lt;&gt;参考")*100),0)</f>
        <v>0</v>
      </c>
      <c r="F103" s="15" t="s">
        <v>8333</v>
      </c>
      <c r="J103" s="21" t="s">
        <v>8304</v>
      </c>
      <c r="K103" s="21" t="s">
        <v>8316</v>
      </c>
      <c r="L103" s="7" t="n">
        <f aca="false">COUNTIFS(レース分析!$G$2:$G$5000,"&gt;=85",レース分析!$D$2:$D$5000,"&gt;=1",レース分析!$D$2:$D$5000,"&lt;=7",レース分析!$Y$2:$Y$5000,"&lt;&gt;参考")</f>
        <v>3</v>
      </c>
      <c r="M103" s="7" t="n">
        <f aca="false">COUNTIFS(レース分析!$G$2:$G$5000,"&gt;=85",レース分析!$D$2:$D$5000,"&gt;=1",レース分析!$D$2:$D$5000,"&lt;=7",レース分析!$Y$2:$Y$5000,"&lt;&gt;参考",レース分析!$T$2:$T$5000,"&lt;=3")</f>
        <v>3</v>
      </c>
      <c r="N103" s="16" t="n">
        <f aca="false">IFERROR(M103/L103,0)</f>
        <v>0</v>
      </c>
      <c r="O103" s="17" t="n">
        <f aca="false">L103*100</f>
        <v>300</v>
      </c>
      <c r="P103" s="17" t="n">
        <f aca="false">SUMIFS(レース分析!$W$2:$W$5000,レース分析!$G$2:$G$5000,"&gt;=85",レース分析!$D$2:$D$5000,"&gt;=1",レース分析!$D$2:$D$5000,"&lt;=7",レース分析!$Y$2:$Y$5000,"&lt;&gt;参考")</f>
        <v>370</v>
      </c>
      <c r="Q103" s="16" t="n">
        <f aca="false">IFERROR(P103/O103,0)</f>
        <v>0</v>
      </c>
      <c r="R103" s="17" t="n">
        <f aca="false">P103-O103</f>
        <v>70</v>
      </c>
    </row>
    <row r="104" customFormat="false" ht="15.75" hidden="false" customHeight="false" outlineLevel="0" collapsed="false">
      <c r="A104" s="15" t="s">
        <v>8336</v>
      </c>
      <c r="B104" s="15" t="s">
        <v>8299</v>
      </c>
      <c r="C104" s="7" t="n">
        <f aca="false">COUNTIFS(レース分析!$AQ$2:$AQ$5000,"その他未勝利",レース分析!$G$2:$G$5000,"&lt;=59",レース分析!$Y$2:$Y$5000,"&lt;&gt;参考")</f>
        <v>0</v>
      </c>
      <c r="D104" s="16" t="n">
        <f aca="false">IFERROR(COUNTIFS(レース分析!$AQ$2:$AQ$5000,"その他未勝利",レース分析!$G$2:$G$5000,"&lt;=59",レース分析!$Y$2:$Y$5000,"&lt;&gt;参考",レース分析!$T$2:$T$5000,"&lt;=3")/COUNTIFS(レース分析!$AQ$2:$AQ$5000,"その他未勝利",レース分析!$G$2:$G$5000,"&lt;=59",レース分析!$Y$2:$Y$5000,"&lt;&gt;参考"),0)</f>
        <v>0</v>
      </c>
      <c r="E104" s="16" t="n">
        <f aca="false">IFERROR(SUMIFS(レース分析!$W$2:$W$5000,レース分析!$AQ$2:$AQ$5000,"その他未勝利",レース分析!$G$2:$G$5000,"&lt;=59",レース分析!$Y$2:$Y$5000,"&lt;&gt;参考")/(COUNTIFS(レース分析!$AQ$2:$AQ$5000,"その他未勝利",レース分析!$G$2:$G$5000,"&lt;=59",レース分析!$Y$2:$Y$5000,"&lt;&gt;参考")*100),0)</f>
        <v>0</v>
      </c>
      <c r="F104" s="15" t="s">
        <v>8333</v>
      </c>
      <c r="J104" s="21" t="s">
        <v>8304</v>
      </c>
      <c r="K104" s="21" t="s">
        <v>8317</v>
      </c>
      <c r="L104" s="7" t="n">
        <f aca="false">COUNTIFS(レース分析!$G$2:$G$5000,"&gt;=85",レース分析!$D$2:$D$5000,"&gt;=8",レース分析!$D$2:$D$5000,"&lt;=11",レース分析!$Y$2:$Y$5000,"&lt;&gt;参考")</f>
        <v>6</v>
      </c>
      <c r="M104" s="7" t="n">
        <f aca="false">COUNTIFS(レース分析!$G$2:$G$5000,"&gt;=85",レース分析!$D$2:$D$5000,"&gt;=8",レース分析!$D$2:$D$5000,"&lt;=11",レース分析!$Y$2:$Y$5000,"&lt;&gt;参考",レース分析!$T$2:$T$5000,"&lt;=3")</f>
        <v>6</v>
      </c>
      <c r="N104" s="16" t="n">
        <f aca="false">IFERROR(M104/L104,0)</f>
        <v>0</v>
      </c>
      <c r="O104" s="17" t="n">
        <f aca="false">L104*100</f>
        <v>600</v>
      </c>
      <c r="P104" s="17" t="n">
        <f aca="false">SUMIFS(レース分析!$W$2:$W$5000,レース分析!$G$2:$G$5000,"&gt;=85",レース分析!$D$2:$D$5000,"&gt;=8",レース分析!$D$2:$D$5000,"&lt;=11",レース分析!$Y$2:$Y$5000,"&lt;&gt;参考")</f>
        <v>680</v>
      </c>
      <c r="Q104" s="16" t="n">
        <f aca="false">IFERROR(P104/O104,0)</f>
        <v>0</v>
      </c>
      <c r="R104" s="17" t="n">
        <f aca="false">P104-O104</f>
        <v>80</v>
      </c>
    </row>
    <row r="105" customFormat="false" ht="15.75" hidden="false" customHeight="false" outlineLevel="0" collapsed="false">
      <c r="A105" s="15" t="s">
        <v>8336</v>
      </c>
      <c r="B105" s="21" t="s">
        <v>8300</v>
      </c>
      <c r="C105" s="7" t="n">
        <f aca="false">COUNTIFS(レース分析!$AQ$2:$AQ$5000,"その他未勝利",レース分析!$G$2:$G$5000,"&gt;=60",レース分析!$G$2:$G$5000,"&lt;=69",レース分析!$Y$2:$Y$5000,"&lt;&gt;参考")</f>
        <v>0</v>
      </c>
      <c r="D105" s="16" t="n">
        <f aca="false">IFERROR(COUNTIFS(レース分析!$AQ$2:$AQ$5000,"その他未勝利",レース分析!$G$2:$G$5000,"&gt;=60",レース分析!$G$2:$G$5000,"&lt;=69",レース分析!$Y$2:$Y$5000,"&lt;&gt;参考",レース分析!$T$2:$T$5000,"&lt;=3")/COUNTIFS(レース分析!$AQ$2:$AQ$5000,"その他未勝利",レース分析!$G$2:$G$5000,"&gt;=60",レース分析!$G$2:$G$5000,"&lt;=69",レース分析!$Y$2:$Y$5000,"&lt;&gt;参考"),0)</f>
        <v>0</v>
      </c>
      <c r="E105" s="16" t="n">
        <f aca="false">IFERROR(SUMIFS(レース分析!$W$2:$W$5000,レース分析!$AQ$2:$AQ$5000,"その他未勝利",レース分析!$G$2:$G$5000,"&gt;=60",レース分析!$G$2:$G$5000,"&lt;=69",レース分析!$Y$2:$Y$5000,"&lt;&gt;参考")/(COUNTIFS(レース分析!$AQ$2:$AQ$5000,"その他未勝利",レース分析!$G$2:$G$5000,"&gt;=60",レース分析!$G$2:$G$5000,"&lt;=69",レース分析!$Y$2:$Y$5000,"&lt;&gt;参考")*100),0)</f>
        <v>0</v>
      </c>
      <c r="F105" s="15" t="s">
        <v>8333</v>
      </c>
      <c r="J105" s="21" t="s">
        <v>8304</v>
      </c>
      <c r="K105" s="21" t="s">
        <v>8318</v>
      </c>
      <c r="L105" s="7" t="n">
        <f aca="false">COUNTIFS(レース分析!$G$2:$G$5000,"&gt;=85",レース分析!$D$2:$D$5000,"&gt;=12",レース分析!$D$2:$D$5000,"&lt;=14",レース分析!$Y$2:$Y$5000,"&lt;&gt;参考")</f>
        <v>16</v>
      </c>
      <c r="M105" s="7" t="n">
        <f aca="false">COUNTIFS(レース分析!$G$2:$G$5000,"&gt;=85",レース分析!$D$2:$D$5000,"&gt;=12",レース分析!$D$2:$D$5000,"&lt;=14",レース分析!$Y$2:$Y$5000,"&lt;&gt;参考",レース分析!$T$2:$T$5000,"&lt;=3")</f>
        <v>12</v>
      </c>
      <c r="N105" s="16" t="n">
        <f aca="false">IFERROR(M105/L105,0)</f>
        <v>0</v>
      </c>
      <c r="O105" s="17" t="n">
        <f aca="false">L105*100</f>
        <v>1600</v>
      </c>
      <c r="P105" s="17" t="n">
        <f aca="false">SUMIFS(レース分析!$W$2:$W$5000,レース分析!$G$2:$G$5000,"&gt;=85",レース分析!$D$2:$D$5000,"&gt;=12",レース分析!$D$2:$D$5000,"&lt;=14",レース分析!$Y$2:$Y$5000,"&lt;&gt;参考")</f>
        <v>1330</v>
      </c>
      <c r="Q105" s="16" t="n">
        <f aca="false">IFERROR(P105/O105,0)</f>
        <v>0</v>
      </c>
      <c r="R105" s="17" t="n">
        <f aca="false">P105-O105</f>
        <v>-270</v>
      </c>
    </row>
    <row r="106" customFormat="false" ht="15.75" hidden="false" customHeight="false" outlineLevel="0" collapsed="false">
      <c r="A106" s="15" t="s">
        <v>8336</v>
      </c>
      <c r="B106" s="21" t="s">
        <v>8301</v>
      </c>
      <c r="C106" s="7" t="n">
        <f aca="false">COUNTIFS(レース分析!$AQ$2:$AQ$5000,"その他未勝利",レース分析!$G$2:$G$5000,"&gt;=70",レース分析!$G$2:$G$5000,"&lt;=74",レース分析!$Y$2:$Y$5000,"&lt;&gt;参考")</f>
        <v>0</v>
      </c>
      <c r="D106" s="16" t="n">
        <f aca="false">IFERROR(COUNTIFS(レース分析!$AQ$2:$AQ$5000,"その他未勝利",レース分析!$G$2:$G$5000,"&gt;=70",レース分析!$G$2:$G$5000,"&lt;=74",レース分析!$Y$2:$Y$5000,"&lt;&gt;参考",レース分析!$T$2:$T$5000,"&lt;=3")/COUNTIFS(レース分析!$AQ$2:$AQ$5000,"その他未勝利",レース分析!$G$2:$G$5000,"&gt;=70",レース分析!$G$2:$G$5000,"&lt;=74",レース分析!$Y$2:$Y$5000,"&lt;&gt;参考"),0)</f>
        <v>0</v>
      </c>
      <c r="E106" s="16" t="n">
        <f aca="false">IFERROR(SUMIFS(レース分析!$W$2:$W$5000,レース分析!$AQ$2:$AQ$5000,"その他未勝利",レース分析!$G$2:$G$5000,"&gt;=70",レース分析!$G$2:$G$5000,"&lt;=74",レース分析!$Y$2:$Y$5000,"&lt;&gt;参考")/(COUNTIFS(レース分析!$AQ$2:$AQ$5000,"その他未勝利",レース分析!$G$2:$G$5000,"&gt;=70",レース分析!$G$2:$G$5000,"&lt;=74",レース分析!$Y$2:$Y$5000,"&lt;&gt;参考")*100),0)</f>
        <v>0</v>
      </c>
      <c r="F106" s="15" t="s">
        <v>8333</v>
      </c>
      <c r="J106" s="21" t="s">
        <v>8304</v>
      </c>
      <c r="K106" s="21" t="s">
        <v>8319</v>
      </c>
      <c r="L106" s="7" t="n">
        <f aca="false">COUNTIFS(レース分析!$G$2:$G$5000,"&gt;=85",レース分析!$D$2:$D$5000,"&gt;=15",レース分析!$Y$2:$Y$5000,"&lt;&gt;参考")</f>
        <v>9</v>
      </c>
      <c r="M106" s="7" t="n">
        <f aca="false">COUNTIFS(レース分析!$G$2:$G$5000,"&gt;=85",レース分析!$D$2:$D$5000,"&gt;=15",レース分析!$Y$2:$Y$5000,"&lt;&gt;参考",レース分析!$T$2:$T$5000,"&lt;=3")</f>
        <v>9</v>
      </c>
      <c r="N106" s="16" t="n">
        <f aca="false">IFERROR(M106/L106,0)</f>
        <v>0</v>
      </c>
      <c r="O106" s="17" t="n">
        <f aca="false">L106*100</f>
        <v>900</v>
      </c>
      <c r="P106" s="17" t="n">
        <f aca="false">SUMIFS(レース分析!$W$2:$W$5000,レース分析!$G$2:$G$5000,"&gt;=85",レース分析!$D$2:$D$5000,"&gt;=15",レース分析!$Y$2:$Y$5000,"&lt;&gt;参考")</f>
        <v>1000</v>
      </c>
      <c r="Q106" s="16" t="n">
        <f aca="false">IFERROR(P106/O106,0)</f>
        <v>0</v>
      </c>
      <c r="R106" s="17" t="n">
        <f aca="false">P106-O106</f>
        <v>100</v>
      </c>
    </row>
    <row r="107" customFormat="false" ht="15.75" hidden="false" customHeight="false" outlineLevel="0" collapsed="false">
      <c r="A107" s="15" t="s">
        <v>8336</v>
      </c>
      <c r="B107" s="21" t="s">
        <v>8302</v>
      </c>
      <c r="C107" s="7" t="n">
        <f aca="false">COUNTIFS(レース分析!$AQ$2:$AQ$5000,"その他未勝利",レース分析!$G$2:$G$5000,"&gt;=75",レース分析!$G$2:$G$5000,"&lt;=79",レース分析!$Y$2:$Y$5000,"&lt;&gt;参考")</f>
        <v>0</v>
      </c>
      <c r="D107" s="16" t="n">
        <f aca="false">IFERROR(COUNTIFS(レース分析!$AQ$2:$AQ$5000,"その他未勝利",レース分析!$G$2:$G$5000,"&gt;=75",レース分析!$G$2:$G$5000,"&lt;=79",レース分析!$Y$2:$Y$5000,"&lt;&gt;参考",レース分析!$T$2:$T$5000,"&lt;=3")/COUNTIFS(レース分析!$AQ$2:$AQ$5000,"その他未勝利",レース分析!$G$2:$G$5000,"&gt;=75",レース分析!$G$2:$G$5000,"&lt;=79",レース分析!$Y$2:$Y$5000,"&lt;&gt;参考"),0)</f>
        <v>0</v>
      </c>
      <c r="E107" s="16" t="n">
        <f aca="false">IFERROR(SUMIFS(レース分析!$W$2:$W$5000,レース分析!$AQ$2:$AQ$5000,"その他未勝利",レース分析!$G$2:$G$5000,"&gt;=75",レース分析!$G$2:$G$5000,"&lt;=79",レース分析!$Y$2:$Y$5000,"&lt;&gt;参考")/(COUNTIFS(レース分析!$AQ$2:$AQ$5000,"その他未勝利",レース分析!$G$2:$G$5000,"&gt;=75",レース分析!$G$2:$G$5000,"&lt;=79",レース分析!$Y$2:$Y$5000,"&lt;&gt;参考")*100),0)</f>
        <v>0</v>
      </c>
      <c r="F107" s="15" t="s">
        <v>8333</v>
      </c>
    </row>
    <row r="108" customFormat="false" ht="15.75" hidden="false" customHeight="false" outlineLevel="0" collapsed="false">
      <c r="A108" s="15" t="s">
        <v>8336</v>
      </c>
      <c r="B108" s="21" t="s">
        <v>8303</v>
      </c>
      <c r="C108" s="7" t="n">
        <f aca="false">COUNTIFS(レース分析!$AQ$2:$AQ$5000,"その他未勝利",レース分析!$G$2:$G$5000,"&gt;=80",レース分析!$G$2:$G$5000,"&lt;=84",レース分析!$Y$2:$Y$5000,"&lt;&gt;参考")</f>
        <v>0</v>
      </c>
      <c r="D108" s="16" t="n">
        <f aca="false">IFERROR(COUNTIFS(レース分析!$AQ$2:$AQ$5000,"その他未勝利",レース分析!$G$2:$G$5000,"&gt;=80",レース分析!$G$2:$G$5000,"&lt;=84",レース分析!$Y$2:$Y$5000,"&lt;&gt;参考",レース分析!$T$2:$T$5000,"&lt;=3")/COUNTIFS(レース分析!$AQ$2:$AQ$5000,"その他未勝利",レース分析!$G$2:$G$5000,"&gt;=80",レース分析!$G$2:$G$5000,"&lt;=84",レース分析!$Y$2:$Y$5000,"&lt;&gt;参考"),0)</f>
        <v>0</v>
      </c>
      <c r="E108" s="16" t="n">
        <f aca="false">IFERROR(SUMIFS(レース分析!$W$2:$W$5000,レース分析!$AQ$2:$AQ$5000,"その他未勝利",レース分析!$G$2:$G$5000,"&gt;=80",レース分析!$G$2:$G$5000,"&lt;=84",レース分析!$Y$2:$Y$5000,"&lt;&gt;参考")/(COUNTIFS(レース分析!$AQ$2:$AQ$5000,"その他未勝利",レース分析!$G$2:$G$5000,"&gt;=80",レース分析!$G$2:$G$5000,"&lt;=84",レース分析!$Y$2:$Y$5000,"&lt;&gt;参考")*100),0)</f>
        <v>0</v>
      </c>
      <c r="F108" s="15" t="s">
        <v>8333</v>
      </c>
    </row>
    <row r="109" customFormat="false" ht="15.75" hidden="false" customHeight="false" outlineLevel="0" collapsed="false">
      <c r="A109" s="15" t="s">
        <v>8336</v>
      </c>
      <c r="B109" s="21" t="s">
        <v>8304</v>
      </c>
      <c r="C109" s="7" t="n">
        <f aca="false">COUNTIFS(レース分析!$AQ$2:$AQ$5000,"その他未勝利",レース分析!$G$2:$G$5000,"&gt;=85",レース分析!$Y$2:$Y$5000,"&lt;&gt;参考")</f>
        <v>0</v>
      </c>
      <c r="D109" s="16" t="n">
        <f aca="false">IFERROR(COUNTIFS(レース分析!$AQ$2:$AQ$5000,"その他未勝利",レース分析!$G$2:$G$5000,"&gt;=85",レース分析!$Y$2:$Y$5000,"&lt;&gt;参考",レース分析!$T$2:$T$5000,"&lt;=3")/COUNTIFS(レース分析!$AQ$2:$AQ$5000,"その他未勝利",レース分析!$G$2:$G$5000,"&gt;=85",レース分析!$Y$2:$Y$5000,"&lt;&gt;参考"),0)</f>
        <v>0</v>
      </c>
      <c r="E109" s="16" t="n">
        <f aca="false">IFERROR(SUMIFS(レース分析!$W$2:$W$5000,レース分析!$AQ$2:$AQ$5000,"その他未勝利",レース分析!$G$2:$G$5000,"&gt;=85",レース分析!$Y$2:$Y$5000,"&lt;&gt;参考")/(COUNTIFS(レース分析!$AQ$2:$AQ$5000,"その他未勝利",レース分析!$G$2:$G$5000,"&gt;=85",レース分析!$Y$2:$Y$5000,"&lt;&gt;参考")*100),0)</f>
        <v>0</v>
      </c>
      <c r="F109" s="15" t="s">
        <v>8333</v>
      </c>
      <c r="J109" s="20" t="s">
        <v>8337</v>
      </c>
      <c r="K109" s="20"/>
      <c r="L109" s="20"/>
      <c r="M109" s="20"/>
      <c r="N109" s="20"/>
      <c r="O109" s="20"/>
      <c r="P109" s="20"/>
      <c r="Q109" s="20"/>
      <c r="R109" s="20"/>
    </row>
    <row r="110" customFormat="false" ht="15.75" hidden="false" customHeight="false" outlineLevel="0" collapsed="false">
      <c r="A110" s="15" t="s">
        <v>8338</v>
      </c>
      <c r="B110" s="15" t="s">
        <v>8299</v>
      </c>
      <c r="C110" s="7" t="n">
        <f aca="false">COUNTIFS(レース分析!$AQ$2:$AQ$5000,"古馬条件戦",レース分析!$G$2:$G$5000,"&lt;=59",レース分析!$Y$2:$Y$5000,"&lt;&gt;参考")</f>
        <v>0</v>
      </c>
      <c r="D110" s="16" t="n">
        <f aca="false">IFERROR(COUNTIFS(レース分析!$AQ$2:$AQ$5000,"古馬条件戦",レース分析!$G$2:$G$5000,"&lt;=59",レース分析!$Y$2:$Y$5000,"&lt;&gt;参考",レース分析!$T$2:$T$5000,"&lt;=3")/COUNTIFS(レース分析!$AQ$2:$AQ$5000,"古馬条件戦",レース分析!$G$2:$G$5000,"&lt;=59",レース分析!$Y$2:$Y$5000,"&lt;&gt;参考"),0)</f>
        <v>0</v>
      </c>
      <c r="E110" s="16" t="n">
        <f aca="false">IFERROR(SUMIFS(レース分析!$W$2:$W$5000,レース分析!$AQ$2:$AQ$5000,"古馬条件戦",レース分析!$G$2:$G$5000,"&lt;=59",レース分析!$Y$2:$Y$5000,"&lt;&gt;参考")/(COUNTIFS(レース分析!$AQ$2:$AQ$5000,"古馬条件戦",レース分析!$G$2:$G$5000,"&lt;=59",レース分析!$Y$2:$Y$5000,"&lt;&gt;参考")*100),0)</f>
        <v>0</v>
      </c>
      <c r="F110" s="15" t="s">
        <v>8333</v>
      </c>
      <c r="J110" s="2" t="s">
        <v>8322</v>
      </c>
      <c r="K110" s="1" t="s">
        <v>8323</v>
      </c>
      <c r="L110" s="1" t="s">
        <v>8279</v>
      </c>
      <c r="M110" s="1" t="s">
        <v>8280</v>
      </c>
      <c r="N110" s="1" t="s">
        <v>8281</v>
      </c>
      <c r="O110" s="2" t="s">
        <v>8282</v>
      </c>
      <c r="P110" s="1" t="s">
        <v>8173</v>
      </c>
      <c r="Q110" s="1" t="s">
        <v>8283</v>
      </c>
      <c r="R110" s="1" t="s">
        <v>8174</v>
      </c>
    </row>
    <row r="111" customFormat="false" ht="15.75" hidden="false" customHeight="false" outlineLevel="0" collapsed="false">
      <c r="A111" s="15" t="s">
        <v>8338</v>
      </c>
      <c r="B111" s="21" t="s">
        <v>8300</v>
      </c>
      <c r="C111" s="7" t="n">
        <f aca="false">COUNTIFS(レース分析!$AQ$2:$AQ$5000,"古馬条件戦",レース分析!$G$2:$G$5000,"&gt;=60",レース分析!$G$2:$G$5000,"&lt;=69",レース分析!$Y$2:$Y$5000,"&lt;&gt;参考")</f>
        <v>0</v>
      </c>
      <c r="D111" s="16" t="n">
        <f aca="false">IFERROR(COUNTIFS(レース分析!$AQ$2:$AQ$5000,"古馬条件戦",レース分析!$G$2:$G$5000,"&gt;=60",レース分析!$G$2:$G$5000,"&lt;=69",レース分析!$Y$2:$Y$5000,"&lt;&gt;参考",レース分析!$T$2:$T$5000,"&lt;=3")/COUNTIFS(レース分析!$AQ$2:$AQ$5000,"古馬条件戦",レース分析!$G$2:$G$5000,"&gt;=60",レース分析!$G$2:$G$5000,"&lt;=69",レース分析!$Y$2:$Y$5000,"&lt;&gt;参考"),0)</f>
        <v>0</v>
      </c>
      <c r="E111" s="16" t="n">
        <f aca="false">IFERROR(SUMIFS(レース分析!$W$2:$W$5000,レース分析!$AQ$2:$AQ$5000,"古馬条件戦",レース分析!$G$2:$G$5000,"&gt;=60",レース分析!$G$2:$G$5000,"&lt;=69",レース分析!$Y$2:$Y$5000,"&lt;&gt;参考")/(COUNTIFS(レース分析!$AQ$2:$AQ$5000,"古馬条件戦",レース分析!$G$2:$G$5000,"&gt;=60",レース分析!$G$2:$G$5000,"&lt;=69",レース分析!$Y$2:$Y$5000,"&lt;&gt;参考")*100),0)</f>
        <v>0</v>
      </c>
      <c r="F111" s="15" t="s">
        <v>8333</v>
      </c>
      <c r="J111" s="21" t="s">
        <v>8304</v>
      </c>
      <c r="K111" s="21" t="s">
        <v>8324</v>
      </c>
      <c r="L111" s="7" t="n">
        <f aca="false">COUNTIFS(レース分析!$G$2:$G$5000,"&gt;=85",レース分析!$AP$2:$AP$5000,"1.0～1.1",レース分析!$Y$2:$Y$5000,"&lt;&gt;参考")</f>
        <v>8</v>
      </c>
      <c r="M111" s="7" t="n">
        <f aca="false">COUNTIFS(レース分析!$G$2:$G$5000,"&gt;=85",レース分析!$AP$2:$AP$5000,"1.0～1.1",レース分析!$Y$2:$Y$5000,"&lt;&gt;参考",レース分析!$T$2:$T$5000,"&lt;=3")</f>
        <v>7</v>
      </c>
      <c r="N111" s="16" t="n">
        <f aca="false">IFERROR(M111/L111,0)</f>
        <v>0</v>
      </c>
      <c r="O111" s="17" t="n">
        <f aca="false">L111*100</f>
        <v>800</v>
      </c>
      <c r="P111" s="17" t="n">
        <f aca="false">SUMIFS(レース分析!$W$2:$W$5000,レース分析!$G$2:$G$5000,"&gt;=85",レース分析!$AP$2:$AP$5000,"1.0～1.1",レース分析!$Y$2:$Y$5000,"&lt;&gt;参考")</f>
        <v>820</v>
      </c>
      <c r="Q111" s="16" t="n">
        <f aca="false">IFERROR(P111/O111,0)</f>
        <v>0</v>
      </c>
      <c r="R111" s="17" t="n">
        <f aca="false">P111-O111</f>
        <v>20</v>
      </c>
    </row>
    <row r="112" customFormat="false" ht="15.75" hidden="false" customHeight="false" outlineLevel="0" collapsed="false">
      <c r="A112" s="15" t="s">
        <v>8338</v>
      </c>
      <c r="B112" s="21" t="s">
        <v>8301</v>
      </c>
      <c r="C112" s="7" t="n">
        <f aca="false">COUNTIFS(レース分析!$AQ$2:$AQ$5000,"古馬条件戦",レース分析!$G$2:$G$5000,"&gt;=70",レース分析!$G$2:$G$5000,"&lt;=74",レース分析!$Y$2:$Y$5000,"&lt;&gt;参考")</f>
        <v>0</v>
      </c>
      <c r="D112" s="16" t="n">
        <f aca="false">IFERROR(COUNTIFS(レース分析!$AQ$2:$AQ$5000,"古馬条件戦",レース分析!$G$2:$G$5000,"&gt;=70",レース分析!$G$2:$G$5000,"&lt;=74",レース分析!$Y$2:$Y$5000,"&lt;&gt;参考",レース分析!$T$2:$T$5000,"&lt;=3")/COUNTIFS(レース分析!$AQ$2:$AQ$5000,"古馬条件戦",レース分析!$G$2:$G$5000,"&gt;=70",レース分析!$G$2:$G$5000,"&lt;=74",レース分析!$Y$2:$Y$5000,"&lt;&gt;参考"),0)</f>
        <v>0</v>
      </c>
      <c r="E112" s="16" t="n">
        <f aca="false">IFERROR(SUMIFS(レース分析!$W$2:$W$5000,レース分析!$AQ$2:$AQ$5000,"古馬条件戦",レース分析!$G$2:$G$5000,"&gt;=70",レース分析!$G$2:$G$5000,"&lt;=74",レース分析!$Y$2:$Y$5000,"&lt;&gt;参考")/(COUNTIFS(レース分析!$AQ$2:$AQ$5000,"古馬条件戦",レース分析!$G$2:$G$5000,"&gt;=70",レース分析!$G$2:$G$5000,"&lt;=74",レース分析!$Y$2:$Y$5000,"&lt;&gt;参考")*100),0)</f>
        <v>0</v>
      </c>
      <c r="F112" s="15" t="s">
        <v>8333</v>
      </c>
      <c r="J112" s="21" t="s">
        <v>8304</v>
      </c>
      <c r="K112" s="21" t="s">
        <v>8325</v>
      </c>
      <c r="L112" s="7" t="n">
        <f aca="false">COUNTIFS(レース分析!$G$2:$G$5000,"&gt;=85",レース分析!$AP$2:$AP$5000,"1.2",レース分析!$Y$2:$Y$5000,"&lt;&gt;参考")</f>
        <v>1</v>
      </c>
      <c r="M112" s="7" t="n">
        <f aca="false">COUNTIFS(レース分析!$G$2:$G$5000,"&gt;=85",レース分析!$AP$2:$AP$5000,"1.2",レース分析!$Y$2:$Y$5000,"&lt;&gt;参考",レース分析!$T$2:$T$5000,"&lt;=3")</f>
        <v>1</v>
      </c>
      <c r="N112" s="16" t="n">
        <f aca="false">IFERROR(M112/L112,0)</f>
        <v>0</v>
      </c>
      <c r="O112" s="17" t="n">
        <f aca="false">L112*100</f>
        <v>100</v>
      </c>
      <c r="P112" s="17" t="n">
        <f aca="false">SUMIFS(レース分析!$W$2:$W$5000,レース分析!$G$2:$G$5000,"&gt;=85",レース分析!$AP$2:$AP$5000,"1.2",レース分析!$Y$2:$Y$5000,"&lt;&gt;参考")</f>
        <v>120</v>
      </c>
      <c r="Q112" s="16" t="n">
        <f aca="false">IFERROR(P112/O112,0)</f>
        <v>0</v>
      </c>
      <c r="R112" s="17" t="n">
        <f aca="false">P112-O112</f>
        <v>20</v>
      </c>
    </row>
    <row r="113" customFormat="false" ht="15.75" hidden="false" customHeight="false" outlineLevel="0" collapsed="false">
      <c r="A113" s="15" t="s">
        <v>8338</v>
      </c>
      <c r="B113" s="21" t="s">
        <v>8302</v>
      </c>
      <c r="C113" s="7" t="n">
        <f aca="false">COUNTIFS(レース分析!$AQ$2:$AQ$5000,"古馬条件戦",レース分析!$G$2:$G$5000,"&gt;=75",レース分析!$G$2:$G$5000,"&lt;=79",レース分析!$Y$2:$Y$5000,"&lt;&gt;参考")</f>
        <v>0</v>
      </c>
      <c r="D113" s="16" t="n">
        <f aca="false">IFERROR(COUNTIFS(レース分析!$AQ$2:$AQ$5000,"古馬条件戦",レース分析!$G$2:$G$5000,"&gt;=75",レース分析!$G$2:$G$5000,"&lt;=79",レース分析!$Y$2:$Y$5000,"&lt;&gt;参考",レース分析!$T$2:$T$5000,"&lt;=3")/COUNTIFS(レース分析!$AQ$2:$AQ$5000,"古馬条件戦",レース分析!$G$2:$G$5000,"&gt;=75",レース分析!$G$2:$G$5000,"&lt;=79",レース分析!$Y$2:$Y$5000,"&lt;&gt;参考"),0)</f>
        <v>0</v>
      </c>
      <c r="E113" s="16" t="n">
        <f aca="false">IFERROR(SUMIFS(レース分析!$W$2:$W$5000,レース分析!$AQ$2:$AQ$5000,"古馬条件戦",レース分析!$G$2:$G$5000,"&gt;=75",レース分析!$G$2:$G$5000,"&lt;=79",レース分析!$Y$2:$Y$5000,"&lt;&gt;参考")/(COUNTIFS(レース分析!$AQ$2:$AQ$5000,"古馬条件戦",レース分析!$G$2:$G$5000,"&gt;=75",レース分析!$G$2:$G$5000,"&lt;=79",レース分析!$Y$2:$Y$5000,"&lt;&gt;参考")*100),0)</f>
        <v>0</v>
      </c>
      <c r="F113" s="15" t="s">
        <v>8333</v>
      </c>
      <c r="J113" s="21" t="s">
        <v>8304</v>
      </c>
      <c r="K113" s="21" t="s">
        <v>8326</v>
      </c>
      <c r="L113" s="7" t="n">
        <f aca="false">COUNTIFS(レース分析!$G$2:$G$5000,"&gt;=85",レース分析!$AP$2:$AP$5000,"1.3～1.4",レース分析!$Y$2:$Y$5000,"&lt;&gt;参考")</f>
        <v>0</v>
      </c>
      <c r="M113" s="7" t="n">
        <f aca="false">COUNTIFS(レース分析!$G$2:$G$5000,"&gt;=85",レース分析!$AP$2:$AP$5000,"1.3～1.4",レース分析!$Y$2:$Y$5000,"&lt;&gt;参考",レース分析!$T$2:$T$5000,"&lt;=3")</f>
        <v>0</v>
      </c>
      <c r="N113" s="16" t="n">
        <f aca="false">IFERROR(M113/L113,0)</f>
        <v>0</v>
      </c>
      <c r="O113" s="17" t="n">
        <f aca="false">L113*100</f>
        <v>0</v>
      </c>
      <c r="P113" s="17" t="n">
        <f aca="false">SUMIFS(レース分析!$W$2:$W$5000,レース分析!$G$2:$G$5000,"&gt;=85",レース分析!$AP$2:$AP$5000,"1.3～1.4",レース分析!$Y$2:$Y$5000,"&lt;&gt;参考")</f>
        <v>0</v>
      </c>
      <c r="Q113" s="16" t="n">
        <f aca="false">IFERROR(P113/O113,0)</f>
        <v>0</v>
      </c>
      <c r="R113" s="17" t="n">
        <f aca="false">P113-O113</f>
        <v>0</v>
      </c>
    </row>
    <row r="114" customFormat="false" ht="15.75" hidden="false" customHeight="false" outlineLevel="0" collapsed="false">
      <c r="A114" s="15" t="s">
        <v>8338</v>
      </c>
      <c r="B114" s="21" t="s">
        <v>8303</v>
      </c>
      <c r="C114" s="7" t="n">
        <f aca="false">COUNTIFS(レース分析!$AQ$2:$AQ$5000,"古馬条件戦",レース分析!$G$2:$G$5000,"&gt;=80",レース分析!$G$2:$G$5000,"&lt;=84",レース分析!$Y$2:$Y$5000,"&lt;&gt;参考")</f>
        <v>0</v>
      </c>
      <c r="D114" s="16" t="n">
        <f aca="false">IFERROR(COUNTIFS(レース分析!$AQ$2:$AQ$5000,"古馬条件戦",レース分析!$G$2:$G$5000,"&gt;=80",レース分析!$G$2:$G$5000,"&lt;=84",レース分析!$Y$2:$Y$5000,"&lt;&gt;参考",レース分析!$T$2:$T$5000,"&lt;=3")/COUNTIFS(レース分析!$AQ$2:$AQ$5000,"古馬条件戦",レース分析!$G$2:$G$5000,"&gt;=80",レース分析!$G$2:$G$5000,"&lt;=84",レース分析!$Y$2:$Y$5000,"&lt;&gt;参考"),0)</f>
        <v>0</v>
      </c>
      <c r="E114" s="16" t="n">
        <f aca="false">IFERROR(SUMIFS(レース分析!$W$2:$W$5000,レース分析!$AQ$2:$AQ$5000,"古馬条件戦",レース分析!$G$2:$G$5000,"&gt;=80",レース分析!$G$2:$G$5000,"&lt;=84",レース分析!$Y$2:$Y$5000,"&lt;&gt;参考")/(COUNTIFS(レース分析!$AQ$2:$AQ$5000,"古馬条件戦",レース分析!$G$2:$G$5000,"&gt;=80",レース分析!$G$2:$G$5000,"&lt;=84",レース分析!$Y$2:$Y$5000,"&lt;&gt;参考")*100),0)</f>
        <v>0</v>
      </c>
      <c r="F114" s="15" t="s">
        <v>8333</v>
      </c>
      <c r="J114" s="21" t="s">
        <v>8304</v>
      </c>
      <c r="K114" s="21" t="s">
        <v>8327</v>
      </c>
      <c r="L114" s="7" t="n">
        <f aca="false">COUNTIFS(レース分析!$G$2:$G$5000,"&gt;=85",レース分析!$AP$2:$AP$5000,"1.5～1.9",レース分析!$Y$2:$Y$5000,"&lt;&gt;参考")</f>
        <v>0</v>
      </c>
      <c r="M114" s="7" t="n">
        <f aca="false">COUNTIFS(レース分析!$G$2:$G$5000,"&gt;=85",レース分析!$AP$2:$AP$5000,"1.5～1.9",レース分析!$Y$2:$Y$5000,"&lt;&gt;参考",レース分析!$T$2:$T$5000,"&lt;=3")</f>
        <v>0</v>
      </c>
      <c r="N114" s="16" t="n">
        <f aca="false">IFERROR(M114/L114,0)</f>
        <v>0</v>
      </c>
      <c r="O114" s="17" t="n">
        <f aca="false">L114*100</f>
        <v>0</v>
      </c>
      <c r="P114" s="17" t="n">
        <f aca="false">SUMIFS(レース分析!$W$2:$W$5000,レース分析!$G$2:$G$5000,"&gt;=85",レース分析!$AP$2:$AP$5000,"1.5～1.9",レース分析!$Y$2:$Y$5000,"&lt;&gt;参考")</f>
        <v>0</v>
      </c>
      <c r="Q114" s="16" t="n">
        <f aca="false">IFERROR(P114/O114,0)</f>
        <v>0</v>
      </c>
      <c r="R114" s="17" t="n">
        <f aca="false">P114-O114</f>
        <v>0</v>
      </c>
    </row>
    <row r="115" customFormat="false" ht="15.75" hidden="false" customHeight="false" outlineLevel="0" collapsed="false">
      <c r="A115" s="15" t="s">
        <v>8338</v>
      </c>
      <c r="B115" s="21" t="s">
        <v>8304</v>
      </c>
      <c r="C115" s="7" t="n">
        <f aca="false">COUNTIFS(レース分析!$AQ$2:$AQ$5000,"古馬条件戦",レース分析!$G$2:$G$5000,"&gt;=85",レース分析!$Y$2:$Y$5000,"&lt;&gt;参考")</f>
        <v>0</v>
      </c>
      <c r="D115" s="16" t="n">
        <f aca="false">IFERROR(COUNTIFS(レース分析!$AQ$2:$AQ$5000,"古馬条件戦",レース分析!$G$2:$G$5000,"&gt;=85",レース分析!$Y$2:$Y$5000,"&lt;&gt;参考",レース分析!$T$2:$T$5000,"&lt;=3")/COUNTIFS(レース分析!$AQ$2:$AQ$5000,"古馬条件戦",レース分析!$G$2:$G$5000,"&gt;=85",レース分析!$Y$2:$Y$5000,"&lt;&gt;参考"),0)</f>
        <v>0</v>
      </c>
      <c r="E115" s="16" t="n">
        <f aca="false">IFERROR(SUMIFS(レース分析!$W$2:$W$5000,レース分析!$AQ$2:$AQ$5000,"古馬条件戦",レース分析!$G$2:$G$5000,"&gt;=85",レース分析!$Y$2:$Y$5000,"&lt;&gt;参考")/(COUNTIFS(レース分析!$AQ$2:$AQ$5000,"古馬条件戦",レース分析!$G$2:$G$5000,"&gt;=85",レース分析!$Y$2:$Y$5000,"&lt;&gt;参考")*100),0)</f>
        <v>0</v>
      </c>
      <c r="F115" s="15" t="s">
        <v>8333</v>
      </c>
      <c r="J115" s="21" t="s">
        <v>8304</v>
      </c>
      <c r="K115" s="21" t="s">
        <v>8328</v>
      </c>
      <c r="L115" s="7" t="n">
        <f aca="false">COUNTIFS(レース分析!$G$2:$G$5000,"&gt;=85",レース分析!$AP$2:$AP$5000,"2.0以上",レース分析!$Y$2:$Y$5000,"&lt;&gt;参考")</f>
        <v>0</v>
      </c>
      <c r="M115" s="7" t="n">
        <f aca="false">COUNTIFS(レース分析!$G$2:$G$5000,"&gt;=85",レース分析!$AP$2:$AP$5000,"2.0以上",レース分析!$Y$2:$Y$5000,"&lt;&gt;参考",レース分析!$T$2:$T$5000,"&lt;=3")</f>
        <v>0</v>
      </c>
      <c r="N115" s="16" t="n">
        <f aca="false">IFERROR(M115/L115,0)</f>
        <v>0</v>
      </c>
      <c r="O115" s="17" t="n">
        <f aca="false">L115*100</f>
        <v>0</v>
      </c>
      <c r="P115" s="17" t="n">
        <f aca="false">SUMIFS(レース分析!$W$2:$W$5000,レース分析!$G$2:$G$5000,"&gt;=85",レース分析!$AP$2:$AP$5000,"2.0以上",レース分析!$Y$2:$Y$5000,"&lt;&gt;参考")</f>
        <v>0</v>
      </c>
      <c r="Q115" s="16" t="n">
        <f aca="false">IFERROR(P115/O115,0)</f>
        <v>0</v>
      </c>
      <c r="R115" s="17" t="n">
        <f aca="false">P115-O115</f>
        <v>0</v>
      </c>
    </row>
    <row r="116" customFormat="false" ht="15.75" hidden="false" customHeight="false" outlineLevel="0" collapsed="false">
      <c r="A116" s="21" t="s">
        <v>7814</v>
      </c>
      <c r="B116" s="15" t="s">
        <v>8299</v>
      </c>
      <c r="C116" s="7" t="n">
        <f aca="false">COUNTIFS(レース分析!$AQ$2:$AQ$5000,"G1",レース分析!$G$2:$G$5000,"&lt;=59",レース分析!$Y$2:$Y$5000,"&lt;&gt;参考")</f>
        <v>0</v>
      </c>
      <c r="D116" s="16" t="n">
        <f aca="false">IFERROR(COUNTIFS(レース分析!$AQ$2:$AQ$5000,"G1",レース分析!$G$2:$G$5000,"&lt;=59",レース分析!$Y$2:$Y$5000,"&lt;&gt;参考",レース分析!$T$2:$T$5000,"&lt;=3")/COUNTIFS(レース分析!$AQ$2:$AQ$5000,"G1",レース分析!$G$2:$G$5000,"&lt;=59",レース分析!$Y$2:$Y$5000,"&lt;&gt;参考"),0)</f>
        <v>0</v>
      </c>
      <c r="E116" s="16" t="n">
        <f aca="false">IFERROR(SUMIFS(レース分析!$W$2:$W$5000,レース分析!$AQ$2:$AQ$5000,"G1",レース分析!$G$2:$G$5000,"&lt;=59",レース分析!$Y$2:$Y$5000,"&lt;&gt;参考")/(COUNTIFS(レース分析!$AQ$2:$AQ$5000,"G1",レース分析!$G$2:$G$5000,"&lt;=59",レース分析!$Y$2:$Y$5000,"&lt;&gt;参考")*100),0)</f>
        <v>0</v>
      </c>
      <c r="F116" s="15" t="s">
        <v>8333</v>
      </c>
      <c r="J116" s="21" t="s">
        <v>8304</v>
      </c>
      <c r="K116" s="15" t="s">
        <v>8329</v>
      </c>
      <c r="L116" s="7" t="n">
        <f aca="false">COUNTIFS(レース分析!$G$2:$G$5000,"&gt;=85",レース分析!$AP$2:$AP$5000,"欠損",レース分析!$Y$2:$Y$5000,"&lt;&gt;参考")</f>
        <v>25</v>
      </c>
      <c r="M116" s="7" t="n">
        <f aca="false">COUNTIFS(レース分析!$G$2:$G$5000,"&gt;=85",レース分析!$AP$2:$AP$5000,"欠損",レース分析!$Y$2:$Y$5000,"&lt;&gt;参考",レース分析!$T$2:$T$5000,"&lt;=3")</f>
        <v>22</v>
      </c>
      <c r="N116" s="16" t="n">
        <f aca="false">IFERROR(M116/L116,0)</f>
        <v>0</v>
      </c>
      <c r="O116" s="17" t="n">
        <f aca="false">L116*100</f>
        <v>2500</v>
      </c>
      <c r="P116" s="17" t="n">
        <f aca="false">SUMIFS(レース分析!$W$2:$W$5000,レース分析!$G$2:$G$5000,"&gt;=85",レース分析!$AP$2:$AP$5000,"欠損",レース分析!$Y$2:$Y$5000,"&lt;&gt;参考")</f>
        <v>2440</v>
      </c>
      <c r="Q116" s="16" t="n">
        <f aca="false">IFERROR(P116/O116,0)</f>
        <v>0</v>
      </c>
      <c r="R116" s="17" t="n">
        <f aca="false">P116-O116</f>
        <v>-60</v>
      </c>
    </row>
    <row r="117" customFormat="false" ht="15.75" hidden="false" customHeight="false" outlineLevel="0" collapsed="false">
      <c r="A117" s="21" t="s">
        <v>7814</v>
      </c>
      <c r="B117" s="21" t="s">
        <v>8300</v>
      </c>
      <c r="C117" s="7" t="n">
        <f aca="false">COUNTIFS(レース分析!$AQ$2:$AQ$5000,"G1",レース分析!$G$2:$G$5000,"&gt;=60",レース分析!$G$2:$G$5000,"&lt;=69",レース分析!$Y$2:$Y$5000,"&lt;&gt;参考")</f>
        <v>0</v>
      </c>
      <c r="D117" s="16" t="n">
        <f aca="false">IFERROR(COUNTIFS(レース分析!$AQ$2:$AQ$5000,"G1",レース分析!$G$2:$G$5000,"&gt;=60",レース分析!$G$2:$G$5000,"&lt;=69",レース分析!$Y$2:$Y$5000,"&lt;&gt;参考",レース分析!$T$2:$T$5000,"&lt;=3")/COUNTIFS(レース分析!$AQ$2:$AQ$5000,"G1",レース分析!$G$2:$G$5000,"&gt;=60",レース分析!$G$2:$G$5000,"&lt;=69",レース分析!$Y$2:$Y$5000,"&lt;&gt;参考"),0)</f>
        <v>0</v>
      </c>
      <c r="E117" s="16" t="n">
        <f aca="false">IFERROR(SUMIFS(レース分析!$W$2:$W$5000,レース分析!$AQ$2:$AQ$5000,"G1",レース分析!$G$2:$G$5000,"&gt;=60",レース分析!$G$2:$G$5000,"&lt;=69",レース分析!$Y$2:$Y$5000,"&lt;&gt;参考")/(COUNTIFS(レース分析!$AQ$2:$AQ$5000,"G1",レース分析!$G$2:$G$5000,"&gt;=60",レース分析!$G$2:$G$5000,"&lt;=69",レース分析!$Y$2:$Y$5000,"&lt;&gt;参考")*100),0)</f>
        <v>0</v>
      </c>
      <c r="F117" s="15" t="s">
        <v>8333</v>
      </c>
    </row>
    <row r="118" customFormat="false" ht="15.75" hidden="false" customHeight="false" outlineLevel="0" collapsed="false">
      <c r="A118" s="21" t="s">
        <v>7814</v>
      </c>
      <c r="B118" s="21" t="s">
        <v>8301</v>
      </c>
      <c r="C118" s="7" t="n">
        <f aca="false">COUNTIFS(レース分析!$AQ$2:$AQ$5000,"G1",レース分析!$G$2:$G$5000,"&gt;=70",レース分析!$G$2:$G$5000,"&lt;=74",レース分析!$Y$2:$Y$5000,"&lt;&gt;参考")</f>
        <v>0</v>
      </c>
      <c r="D118" s="16" t="n">
        <f aca="false">IFERROR(COUNTIFS(レース分析!$AQ$2:$AQ$5000,"G1",レース分析!$G$2:$G$5000,"&gt;=70",レース分析!$G$2:$G$5000,"&lt;=74",レース分析!$Y$2:$Y$5000,"&lt;&gt;参考",レース分析!$T$2:$T$5000,"&lt;=3")/COUNTIFS(レース分析!$AQ$2:$AQ$5000,"G1",レース分析!$G$2:$G$5000,"&gt;=70",レース分析!$G$2:$G$5000,"&lt;=74",レース分析!$Y$2:$Y$5000,"&lt;&gt;参考"),0)</f>
        <v>0</v>
      </c>
      <c r="E118" s="16" t="n">
        <f aca="false">IFERROR(SUMIFS(レース分析!$W$2:$W$5000,レース分析!$AQ$2:$AQ$5000,"G1",レース分析!$G$2:$G$5000,"&gt;=70",レース分析!$G$2:$G$5000,"&lt;=74",レース分析!$Y$2:$Y$5000,"&lt;&gt;参考")/(COUNTIFS(レース分析!$AQ$2:$AQ$5000,"G1",レース分析!$G$2:$G$5000,"&gt;=70",レース分析!$G$2:$G$5000,"&lt;=74",レース分析!$Y$2:$Y$5000,"&lt;&gt;参考")*100),0)</f>
        <v>0</v>
      </c>
      <c r="F118" s="15" t="s">
        <v>8333</v>
      </c>
      <c r="J118" s="20" t="s">
        <v>8339</v>
      </c>
      <c r="K118" s="20"/>
      <c r="L118" s="20"/>
      <c r="M118" s="20"/>
      <c r="N118" s="20"/>
      <c r="O118" s="20"/>
      <c r="P118" s="20"/>
      <c r="Q118" s="20"/>
      <c r="R118" s="20"/>
    </row>
    <row r="119" customFormat="false" ht="15.75" hidden="false" customHeight="false" outlineLevel="0" collapsed="false">
      <c r="A119" s="21" t="s">
        <v>7814</v>
      </c>
      <c r="B119" s="21" t="s">
        <v>8302</v>
      </c>
      <c r="C119" s="7" t="n">
        <f aca="false">COUNTIFS(レース分析!$AQ$2:$AQ$5000,"G1",レース分析!$G$2:$G$5000,"&gt;=75",レース分析!$G$2:$G$5000,"&lt;=79",レース分析!$Y$2:$Y$5000,"&lt;&gt;参考")</f>
        <v>0</v>
      </c>
      <c r="D119" s="16" t="n">
        <f aca="false">IFERROR(COUNTIFS(レース分析!$AQ$2:$AQ$5000,"G1",レース分析!$G$2:$G$5000,"&gt;=75",レース分析!$G$2:$G$5000,"&lt;=79",レース分析!$Y$2:$Y$5000,"&lt;&gt;参考",レース分析!$T$2:$T$5000,"&lt;=3")/COUNTIFS(レース分析!$AQ$2:$AQ$5000,"G1",レース分析!$G$2:$G$5000,"&gt;=75",レース分析!$G$2:$G$5000,"&lt;=79",レース分析!$Y$2:$Y$5000,"&lt;&gt;参考"),0)</f>
        <v>0</v>
      </c>
      <c r="E119" s="16" t="n">
        <f aca="false">IFERROR(SUMIFS(レース分析!$W$2:$W$5000,レース分析!$AQ$2:$AQ$5000,"G1",レース分析!$G$2:$G$5000,"&gt;=75",レース分析!$G$2:$G$5000,"&lt;=79",レース分析!$Y$2:$Y$5000,"&lt;&gt;参考")/(COUNTIFS(レース分析!$AQ$2:$AQ$5000,"G1",レース分析!$G$2:$G$5000,"&gt;=75",レース分析!$G$2:$G$5000,"&lt;=79",レース分析!$Y$2:$Y$5000,"&lt;&gt;参考")*100),0)</f>
        <v>0</v>
      </c>
      <c r="F119" s="15" t="s">
        <v>8333</v>
      </c>
      <c r="J119" s="2" t="s">
        <v>8322</v>
      </c>
      <c r="K119" s="1" t="s">
        <v>8323</v>
      </c>
      <c r="L119" s="1" t="s">
        <v>8279</v>
      </c>
      <c r="M119" s="1" t="s">
        <v>8280</v>
      </c>
      <c r="N119" s="1" t="s">
        <v>8281</v>
      </c>
      <c r="O119" s="2" t="s">
        <v>8282</v>
      </c>
      <c r="P119" s="1" t="s">
        <v>8173</v>
      </c>
      <c r="Q119" s="1" t="s">
        <v>8283</v>
      </c>
      <c r="R119" s="1" t="s">
        <v>8174</v>
      </c>
    </row>
    <row r="120" customFormat="false" ht="15.75" hidden="false" customHeight="false" outlineLevel="0" collapsed="false">
      <c r="A120" s="21" t="s">
        <v>7814</v>
      </c>
      <c r="B120" s="21" t="s">
        <v>8303</v>
      </c>
      <c r="C120" s="7" t="n">
        <f aca="false">COUNTIFS(レース分析!$AQ$2:$AQ$5000,"G1",レース分析!$G$2:$G$5000,"&gt;=80",レース分析!$G$2:$G$5000,"&lt;=84",レース分析!$Y$2:$Y$5000,"&lt;&gt;参考")</f>
        <v>0</v>
      </c>
      <c r="D120" s="16" t="n">
        <f aca="false">IFERROR(COUNTIFS(レース分析!$AQ$2:$AQ$5000,"G1",レース分析!$G$2:$G$5000,"&gt;=80",レース分析!$G$2:$G$5000,"&lt;=84",レース分析!$Y$2:$Y$5000,"&lt;&gt;参考",レース分析!$T$2:$T$5000,"&lt;=3")/COUNTIFS(レース分析!$AQ$2:$AQ$5000,"G1",レース分析!$G$2:$G$5000,"&gt;=80",レース分析!$G$2:$G$5000,"&lt;=84",レース分析!$Y$2:$Y$5000,"&lt;&gt;参考"),0)</f>
        <v>0</v>
      </c>
      <c r="E120" s="16" t="n">
        <f aca="false">IFERROR(SUMIFS(レース分析!$W$2:$W$5000,レース分析!$AQ$2:$AQ$5000,"G1",レース分析!$G$2:$G$5000,"&gt;=80",レース分析!$G$2:$G$5000,"&lt;=84",レース分析!$Y$2:$Y$5000,"&lt;&gt;参考")/(COUNTIFS(レース分析!$AQ$2:$AQ$5000,"G1",レース分析!$G$2:$G$5000,"&gt;=80",レース分析!$G$2:$G$5000,"&lt;=84",レース分析!$Y$2:$Y$5000,"&lt;&gt;参考")*100),0)</f>
        <v>0</v>
      </c>
      <c r="F120" s="15" t="s">
        <v>8333</v>
      </c>
      <c r="J120" s="21" t="s">
        <v>8303</v>
      </c>
      <c r="K120" s="21" t="s">
        <v>8324</v>
      </c>
      <c r="L120" s="7" t="n">
        <f aca="false">COUNTIFS(レース分析!$G$2:$G$5000,"&gt;=80",レース分析!$G$2:$G$5000,"&lt;=84",レース分析!$AP$2:$AP$5000,"1.0～1.1",レース分析!$Y$2:$Y$5000,"&lt;&gt;参考")</f>
        <v>17</v>
      </c>
      <c r="M120" s="7" t="n">
        <f aca="false">COUNTIFS(レース分析!$G$2:$G$5000,"&gt;=80",レース分析!$G$2:$G$5000,"&lt;=84",レース分析!$AP$2:$AP$5000,"1.0～1.1",レース分析!$Y$2:$Y$5000,"&lt;&gt;参考",レース分析!$T$2:$T$5000,"&lt;=3")</f>
        <v>13</v>
      </c>
      <c r="N120" s="16" t="n">
        <f aca="false">IFERROR(M120/L120,0)</f>
        <v>0</v>
      </c>
      <c r="O120" s="17" t="n">
        <f aca="false">L120*100</f>
        <v>1700</v>
      </c>
      <c r="P120" s="17" t="n">
        <f aca="false">SUMIFS(レース分析!$W$2:$W$5000,レース分析!$G$2:$G$5000,"&gt;=80",レース分析!$G$2:$G$5000,"&lt;=84",レース分析!$AP$2:$AP$5000,"1.0～1.1",レース分析!$Y$2:$Y$5000,"&lt;&gt;参考")</f>
        <v>1410</v>
      </c>
      <c r="Q120" s="16" t="n">
        <f aca="false">IFERROR(P120/O120,0)</f>
        <v>0</v>
      </c>
      <c r="R120" s="17" t="n">
        <f aca="false">P120-O120</f>
        <v>-290</v>
      </c>
    </row>
    <row r="121" customFormat="false" ht="15.75" hidden="false" customHeight="false" outlineLevel="0" collapsed="false">
      <c r="A121" s="21" t="s">
        <v>7814</v>
      </c>
      <c r="B121" s="21" t="s">
        <v>8304</v>
      </c>
      <c r="C121" s="7" t="n">
        <f aca="false">COUNTIFS(レース分析!$AQ$2:$AQ$5000,"G1",レース分析!$G$2:$G$5000,"&gt;=85",レース分析!$Y$2:$Y$5000,"&lt;&gt;参考")</f>
        <v>0</v>
      </c>
      <c r="D121" s="16" t="n">
        <f aca="false">IFERROR(COUNTIFS(レース分析!$AQ$2:$AQ$5000,"G1",レース分析!$G$2:$G$5000,"&gt;=85",レース分析!$Y$2:$Y$5000,"&lt;&gt;参考",レース分析!$T$2:$T$5000,"&lt;=3")/COUNTIFS(レース分析!$AQ$2:$AQ$5000,"G1",レース分析!$G$2:$G$5000,"&gt;=85",レース分析!$Y$2:$Y$5000,"&lt;&gt;参考"),0)</f>
        <v>0</v>
      </c>
      <c r="E121" s="16" t="n">
        <f aca="false">IFERROR(SUMIFS(レース分析!$W$2:$W$5000,レース分析!$AQ$2:$AQ$5000,"G1",レース分析!$G$2:$G$5000,"&gt;=85",レース分析!$Y$2:$Y$5000,"&lt;&gt;参考")/(COUNTIFS(レース分析!$AQ$2:$AQ$5000,"G1",レース分析!$G$2:$G$5000,"&gt;=85",レース分析!$Y$2:$Y$5000,"&lt;&gt;参考")*100),0)</f>
        <v>0</v>
      </c>
      <c r="F121" s="15" t="s">
        <v>8333</v>
      </c>
      <c r="J121" s="21" t="s">
        <v>8303</v>
      </c>
      <c r="K121" s="21" t="s">
        <v>8325</v>
      </c>
      <c r="L121" s="7" t="n">
        <f aca="false">COUNTIFS(レース分析!$G$2:$G$5000,"&gt;=80",レース分析!$G$2:$G$5000,"&lt;=84",レース分析!$AP$2:$AP$5000,"1.2",レース分析!$Y$2:$Y$5000,"&lt;&gt;参考")</f>
        <v>0</v>
      </c>
      <c r="M121" s="7" t="n">
        <f aca="false">COUNTIFS(レース分析!$G$2:$G$5000,"&gt;=80",レース分析!$G$2:$G$5000,"&lt;=84",レース分析!$AP$2:$AP$5000,"1.2",レース分析!$Y$2:$Y$5000,"&lt;&gt;参考",レース分析!$T$2:$T$5000,"&lt;=3")</f>
        <v>0</v>
      </c>
      <c r="N121" s="16" t="n">
        <f aca="false">IFERROR(M121/L121,0)</f>
        <v>0</v>
      </c>
      <c r="O121" s="17" t="n">
        <f aca="false">L121*100</f>
        <v>0</v>
      </c>
      <c r="P121" s="17" t="n">
        <f aca="false">SUMIFS(レース分析!$W$2:$W$5000,レース分析!$G$2:$G$5000,"&gt;=80",レース分析!$G$2:$G$5000,"&lt;=84",レース分析!$AP$2:$AP$5000,"1.2",レース分析!$Y$2:$Y$5000,"&lt;&gt;参考")</f>
        <v>0</v>
      </c>
      <c r="Q121" s="16" t="n">
        <f aca="false">IFERROR(P121/O121,0)</f>
        <v>0</v>
      </c>
      <c r="R121" s="17" t="n">
        <f aca="false">P121-O121</f>
        <v>0</v>
      </c>
    </row>
    <row r="122" customFormat="false" ht="15.75" hidden="false" customHeight="false" outlineLevel="0" collapsed="false">
      <c r="A122" s="21" t="s">
        <v>7881</v>
      </c>
      <c r="B122" s="15" t="s">
        <v>8299</v>
      </c>
      <c r="C122" s="7" t="n">
        <f aca="false">COUNTIFS(レース分析!$AQ$2:$AQ$5000,"G2",レース分析!$G$2:$G$5000,"&lt;=59",レース分析!$Y$2:$Y$5000,"&lt;&gt;参考")</f>
        <v>0</v>
      </c>
      <c r="D122" s="16" t="n">
        <f aca="false">IFERROR(COUNTIFS(レース分析!$AQ$2:$AQ$5000,"G2",レース分析!$G$2:$G$5000,"&lt;=59",レース分析!$Y$2:$Y$5000,"&lt;&gt;参考",レース分析!$T$2:$T$5000,"&lt;=3")/COUNTIFS(レース分析!$AQ$2:$AQ$5000,"G2",レース分析!$G$2:$G$5000,"&lt;=59",レース分析!$Y$2:$Y$5000,"&lt;&gt;参考"),0)</f>
        <v>0</v>
      </c>
      <c r="E122" s="16" t="n">
        <f aca="false">IFERROR(SUMIFS(レース分析!$W$2:$W$5000,レース分析!$AQ$2:$AQ$5000,"G2",レース分析!$G$2:$G$5000,"&lt;=59",レース分析!$Y$2:$Y$5000,"&lt;&gt;参考")/(COUNTIFS(レース分析!$AQ$2:$AQ$5000,"G2",レース分析!$G$2:$G$5000,"&lt;=59",レース分析!$Y$2:$Y$5000,"&lt;&gt;参考")*100),0)</f>
        <v>0</v>
      </c>
      <c r="F122" s="15" t="s">
        <v>8333</v>
      </c>
      <c r="J122" s="21" t="s">
        <v>8303</v>
      </c>
      <c r="K122" s="21" t="s">
        <v>8326</v>
      </c>
      <c r="L122" s="7" t="n">
        <f aca="false">COUNTIFS(レース分析!$G$2:$G$5000,"&gt;=80",レース分析!$G$2:$G$5000,"&lt;=84",レース分析!$AP$2:$AP$5000,"1.3～1.4",レース分析!$Y$2:$Y$5000,"&lt;&gt;参考")</f>
        <v>1</v>
      </c>
      <c r="M122" s="7" t="n">
        <f aca="false">COUNTIFS(レース分析!$G$2:$G$5000,"&gt;=80",レース分析!$G$2:$G$5000,"&lt;=84",レース分析!$AP$2:$AP$5000,"1.3～1.4",レース分析!$Y$2:$Y$5000,"&lt;&gt;参考",レース分析!$T$2:$T$5000,"&lt;=3")</f>
        <v>1</v>
      </c>
      <c r="N122" s="16" t="n">
        <f aca="false">IFERROR(M122/L122,0)</f>
        <v>0</v>
      </c>
      <c r="O122" s="17" t="n">
        <f aca="false">L122*100</f>
        <v>100</v>
      </c>
      <c r="P122" s="17" t="n">
        <f aca="false">SUMIFS(レース分析!$W$2:$W$5000,レース分析!$G$2:$G$5000,"&gt;=80",レース分析!$G$2:$G$5000,"&lt;=84",レース分析!$AP$2:$AP$5000,"1.3～1.4",レース分析!$Y$2:$Y$5000,"&lt;&gt;参考")</f>
        <v>150</v>
      </c>
      <c r="Q122" s="16" t="n">
        <f aca="false">IFERROR(P122/O122,0)</f>
        <v>0</v>
      </c>
      <c r="R122" s="17" t="n">
        <f aca="false">P122-O122</f>
        <v>50</v>
      </c>
    </row>
    <row r="123" customFormat="false" ht="15.75" hidden="false" customHeight="false" outlineLevel="0" collapsed="false">
      <c r="A123" s="21" t="s">
        <v>7881</v>
      </c>
      <c r="B123" s="21" t="s">
        <v>8300</v>
      </c>
      <c r="C123" s="7" t="n">
        <f aca="false">COUNTIFS(レース分析!$AQ$2:$AQ$5000,"G2",レース分析!$G$2:$G$5000,"&gt;=60",レース分析!$G$2:$G$5000,"&lt;=69",レース分析!$Y$2:$Y$5000,"&lt;&gt;参考")</f>
        <v>0</v>
      </c>
      <c r="D123" s="16" t="n">
        <f aca="false">IFERROR(COUNTIFS(レース分析!$AQ$2:$AQ$5000,"G2",レース分析!$G$2:$G$5000,"&gt;=60",レース分析!$G$2:$G$5000,"&lt;=69",レース分析!$Y$2:$Y$5000,"&lt;&gt;参考",レース分析!$T$2:$T$5000,"&lt;=3")/COUNTIFS(レース分析!$AQ$2:$AQ$5000,"G2",レース分析!$G$2:$G$5000,"&gt;=60",レース分析!$G$2:$G$5000,"&lt;=69",レース分析!$Y$2:$Y$5000,"&lt;&gt;参考"),0)</f>
        <v>0</v>
      </c>
      <c r="E123" s="16" t="n">
        <f aca="false">IFERROR(SUMIFS(レース分析!$W$2:$W$5000,レース分析!$AQ$2:$AQ$5000,"G2",レース分析!$G$2:$G$5000,"&gt;=60",レース分析!$G$2:$G$5000,"&lt;=69",レース分析!$Y$2:$Y$5000,"&lt;&gt;参考")/(COUNTIFS(レース分析!$AQ$2:$AQ$5000,"G2",レース分析!$G$2:$G$5000,"&gt;=60",レース分析!$G$2:$G$5000,"&lt;=69",レース分析!$Y$2:$Y$5000,"&lt;&gt;参考")*100),0)</f>
        <v>0</v>
      </c>
      <c r="F123" s="15" t="s">
        <v>8333</v>
      </c>
      <c r="J123" s="21" t="s">
        <v>8303</v>
      </c>
      <c r="K123" s="21" t="s">
        <v>8327</v>
      </c>
      <c r="L123" s="7" t="n">
        <f aca="false">COUNTIFS(レース分析!$G$2:$G$5000,"&gt;=80",レース分析!$G$2:$G$5000,"&lt;=84",レース分析!$AP$2:$AP$5000,"1.5～1.9",レース分析!$Y$2:$Y$5000,"&lt;&gt;参考")</f>
        <v>0</v>
      </c>
      <c r="M123" s="7" t="n">
        <f aca="false">COUNTIFS(レース分析!$G$2:$G$5000,"&gt;=80",レース分析!$G$2:$G$5000,"&lt;=84",レース分析!$AP$2:$AP$5000,"1.5～1.9",レース分析!$Y$2:$Y$5000,"&lt;&gt;参考",レース分析!$T$2:$T$5000,"&lt;=3")</f>
        <v>0</v>
      </c>
      <c r="N123" s="16" t="n">
        <f aca="false">IFERROR(M123/L123,0)</f>
        <v>0</v>
      </c>
      <c r="O123" s="17" t="n">
        <f aca="false">L123*100</f>
        <v>0</v>
      </c>
      <c r="P123" s="17" t="n">
        <f aca="false">SUMIFS(レース分析!$W$2:$W$5000,レース分析!$G$2:$G$5000,"&gt;=80",レース分析!$G$2:$G$5000,"&lt;=84",レース分析!$AP$2:$AP$5000,"1.5～1.9",レース分析!$Y$2:$Y$5000,"&lt;&gt;参考")</f>
        <v>0</v>
      </c>
      <c r="Q123" s="16" t="n">
        <f aca="false">IFERROR(P123/O123,0)</f>
        <v>0</v>
      </c>
      <c r="R123" s="17" t="n">
        <f aca="false">P123-O123</f>
        <v>0</v>
      </c>
    </row>
    <row r="124" customFormat="false" ht="15.75" hidden="false" customHeight="false" outlineLevel="0" collapsed="false">
      <c r="A124" s="21" t="s">
        <v>7881</v>
      </c>
      <c r="B124" s="21" t="s">
        <v>8301</v>
      </c>
      <c r="C124" s="7" t="n">
        <f aca="false">COUNTIFS(レース分析!$AQ$2:$AQ$5000,"G2",レース分析!$G$2:$G$5000,"&gt;=70",レース分析!$G$2:$G$5000,"&lt;=74",レース分析!$Y$2:$Y$5000,"&lt;&gt;参考")</f>
        <v>0</v>
      </c>
      <c r="D124" s="16" t="n">
        <f aca="false">IFERROR(COUNTIFS(レース分析!$AQ$2:$AQ$5000,"G2",レース分析!$G$2:$G$5000,"&gt;=70",レース分析!$G$2:$G$5000,"&lt;=74",レース分析!$Y$2:$Y$5000,"&lt;&gt;参考",レース分析!$T$2:$T$5000,"&lt;=3")/COUNTIFS(レース分析!$AQ$2:$AQ$5000,"G2",レース分析!$G$2:$G$5000,"&gt;=70",レース分析!$G$2:$G$5000,"&lt;=74",レース分析!$Y$2:$Y$5000,"&lt;&gt;参考"),0)</f>
        <v>0</v>
      </c>
      <c r="E124" s="16" t="n">
        <f aca="false">IFERROR(SUMIFS(レース分析!$W$2:$W$5000,レース分析!$AQ$2:$AQ$5000,"G2",レース分析!$G$2:$G$5000,"&gt;=70",レース分析!$G$2:$G$5000,"&lt;=74",レース分析!$Y$2:$Y$5000,"&lt;&gt;参考")/(COUNTIFS(レース分析!$AQ$2:$AQ$5000,"G2",レース分析!$G$2:$G$5000,"&gt;=70",レース分析!$G$2:$G$5000,"&lt;=74",レース分析!$Y$2:$Y$5000,"&lt;&gt;参考")*100),0)</f>
        <v>0</v>
      </c>
      <c r="F124" s="15" t="s">
        <v>8333</v>
      </c>
      <c r="J124" s="21" t="s">
        <v>8303</v>
      </c>
      <c r="K124" s="21" t="s">
        <v>8328</v>
      </c>
      <c r="L124" s="7" t="n">
        <f aca="false">COUNTIFS(レース分析!$G$2:$G$5000,"&gt;=80",レース分析!$G$2:$G$5000,"&lt;=84",レース分析!$AP$2:$AP$5000,"2.0以上",レース分析!$Y$2:$Y$5000,"&lt;&gt;参考")</f>
        <v>0</v>
      </c>
      <c r="M124" s="7" t="n">
        <f aca="false">COUNTIFS(レース分析!$G$2:$G$5000,"&gt;=80",レース分析!$G$2:$G$5000,"&lt;=84",レース分析!$AP$2:$AP$5000,"2.0以上",レース分析!$Y$2:$Y$5000,"&lt;&gt;参考",レース分析!$T$2:$T$5000,"&lt;=3")</f>
        <v>0</v>
      </c>
      <c r="N124" s="16" t="n">
        <f aca="false">IFERROR(M124/L124,0)</f>
        <v>0</v>
      </c>
      <c r="O124" s="17" t="n">
        <f aca="false">L124*100</f>
        <v>0</v>
      </c>
      <c r="P124" s="17" t="n">
        <f aca="false">SUMIFS(レース分析!$W$2:$W$5000,レース分析!$G$2:$G$5000,"&gt;=80",レース分析!$G$2:$G$5000,"&lt;=84",レース分析!$AP$2:$AP$5000,"2.0以上",レース分析!$Y$2:$Y$5000,"&lt;&gt;参考")</f>
        <v>0</v>
      </c>
      <c r="Q124" s="16" t="n">
        <f aca="false">IFERROR(P124/O124,0)</f>
        <v>0</v>
      </c>
      <c r="R124" s="17" t="n">
        <f aca="false">P124-O124</f>
        <v>0</v>
      </c>
    </row>
    <row r="125" customFormat="false" ht="15.75" hidden="false" customHeight="false" outlineLevel="0" collapsed="false">
      <c r="A125" s="21" t="s">
        <v>7881</v>
      </c>
      <c r="B125" s="21" t="s">
        <v>8302</v>
      </c>
      <c r="C125" s="7" t="n">
        <f aca="false">COUNTIFS(レース分析!$AQ$2:$AQ$5000,"G2",レース分析!$G$2:$G$5000,"&gt;=75",レース分析!$G$2:$G$5000,"&lt;=79",レース分析!$Y$2:$Y$5000,"&lt;&gt;参考")</f>
        <v>0</v>
      </c>
      <c r="D125" s="16" t="n">
        <f aca="false">IFERROR(COUNTIFS(レース分析!$AQ$2:$AQ$5000,"G2",レース分析!$G$2:$G$5000,"&gt;=75",レース分析!$G$2:$G$5000,"&lt;=79",レース分析!$Y$2:$Y$5000,"&lt;&gt;参考",レース分析!$T$2:$T$5000,"&lt;=3")/COUNTIFS(レース分析!$AQ$2:$AQ$5000,"G2",レース分析!$G$2:$G$5000,"&gt;=75",レース分析!$G$2:$G$5000,"&lt;=79",レース分析!$Y$2:$Y$5000,"&lt;&gt;参考"),0)</f>
        <v>0</v>
      </c>
      <c r="E125" s="16" t="n">
        <f aca="false">IFERROR(SUMIFS(レース分析!$W$2:$W$5000,レース分析!$AQ$2:$AQ$5000,"G2",レース分析!$G$2:$G$5000,"&gt;=75",レース分析!$G$2:$G$5000,"&lt;=79",レース分析!$Y$2:$Y$5000,"&lt;&gt;参考")/(COUNTIFS(レース分析!$AQ$2:$AQ$5000,"G2",レース分析!$G$2:$G$5000,"&gt;=75",レース分析!$G$2:$G$5000,"&lt;=79",レース分析!$Y$2:$Y$5000,"&lt;&gt;参考")*100),0)</f>
        <v>0</v>
      </c>
      <c r="F125" s="15" t="s">
        <v>8333</v>
      </c>
      <c r="J125" s="21" t="s">
        <v>8303</v>
      </c>
      <c r="K125" s="15" t="s">
        <v>8329</v>
      </c>
      <c r="L125" s="7" t="n">
        <f aca="false">COUNTIFS(レース分析!$G$2:$G$5000,"&gt;=80",レース分析!$G$2:$G$5000,"&lt;=84",レース分析!$AP$2:$AP$5000,"欠損",レース分析!$Y$2:$Y$5000,"&lt;&gt;参考")</f>
        <v>50</v>
      </c>
      <c r="M125" s="7" t="n">
        <f aca="false">COUNTIFS(レース分析!$G$2:$G$5000,"&gt;=80",レース分析!$G$2:$G$5000,"&lt;=84",レース分析!$AP$2:$AP$5000,"欠損",レース分析!$Y$2:$Y$5000,"&lt;&gt;参考",レース分析!$T$2:$T$5000,"&lt;=3")</f>
        <v>36</v>
      </c>
      <c r="N125" s="16" t="n">
        <f aca="false">IFERROR(M125/L125,0)</f>
        <v>0</v>
      </c>
      <c r="O125" s="17" t="n">
        <f aca="false">L125*100</f>
        <v>5000</v>
      </c>
      <c r="P125" s="17" t="n">
        <f aca="false">SUMIFS(レース分析!$W$2:$W$5000,レース分析!$G$2:$G$5000,"&gt;=80",レース分析!$G$2:$G$5000,"&lt;=84",レース分析!$AP$2:$AP$5000,"欠損",レース分析!$Y$2:$Y$5000,"&lt;&gt;参考")</f>
        <v>4070</v>
      </c>
      <c r="Q125" s="16" t="n">
        <f aca="false">IFERROR(P125/O125,0)</f>
        <v>0</v>
      </c>
      <c r="R125" s="17" t="n">
        <f aca="false">P125-O125</f>
        <v>-930</v>
      </c>
    </row>
    <row r="126" customFormat="false" ht="15.75" hidden="false" customHeight="false" outlineLevel="0" collapsed="false">
      <c r="A126" s="21" t="s">
        <v>7881</v>
      </c>
      <c r="B126" s="21" t="s">
        <v>8303</v>
      </c>
      <c r="C126" s="7" t="n">
        <f aca="false">COUNTIFS(レース分析!$AQ$2:$AQ$5000,"G2",レース分析!$G$2:$G$5000,"&gt;=80",レース分析!$G$2:$G$5000,"&lt;=84",レース分析!$Y$2:$Y$5000,"&lt;&gt;参考")</f>
        <v>0</v>
      </c>
      <c r="D126" s="16" t="n">
        <f aca="false">IFERROR(COUNTIFS(レース分析!$AQ$2:$AQ$5000,"G2",レース分析!$G$2:$G$5000,"&gt;=80",レース分析!$G$2:$G$5000,"&lt;=84",レース分析!$Y$2:$Y$5000,"&lt;&gt;参考",レース分析!$T$2:$T$5000,"&lt;=3")/COUNTIFS(レース分析!$AQ$2:$AQ$5000,"G2",レース分析!$G$2:$G$5000,"&gt;=80",レース分析!$G$2:$G$5000,"&lt;=84",レース分析!$Y$2:$Y$5000,"&lt;&gt;参考"),0)</f>
        <v>0</v>
      </c>
      <c r="E126" s="16" t="n">
        <f aca="false">IFERROR(SUMIFS(レース分析!$W$2:$W$5000,レース分析!$AQ$2:$AQ$5000,"G2",レース分析!$G$2:$G$5000,"&gt;=80",レース分析!$G$2:$G$5000,"&lt;=84",レース分析!$Y$2:$Y$5000,"&lt;&gt;参考")/(COUNTIFS(レース分析!$AQ$2:$AQ$5000,"G2",レース分析!$G$2:$G$5000,"&gt;=80",レース分析!$G$2:$G$5000,"&lt;=84",レース分析!$Y$2:$Y$5000,"&lt;&gt;参考")*100),0)</f>
        <v>0</v>
      </c>
      <c r="F126" s="15" t="s">
        <v>8333</v>
      </c>
    </row>
    <row r="127" customFormat="false" ht="15.75" hidden="false" customHeight="false" outlineLevel="0" collapsed="false">
      <c r="A127" s="21" t="s">
        <v>7881</v>
      </c>
      <c r="B127" s="21" t="s">
        <v>8304</v>
      </c>
      <c r="C127" s="7" t="n">
        <f aca="false">COUNTIFS(レース分析!$AQ$2:$AQ$5000,"G2",レース分析!$G$2:$G$5000,"&gt;=85",レース分析!$Y$2:$Y$5000,"&lt;&gt;参考")</f>
        <v>0</v>
      </c>
      <c r="D127" s="16" t="n">
        <f aca="false">IFERROR(COUNTIFS(レース分析!$AQ$2:$AQ$5000,"G2",レース分析!$G$2:$G$5000,"&gt;=85",レース分析!$Y$2:$Y$5000,"&lt;&gt;参考",レース分析!$T$2:$T$5000,"&lt;=3")/COUNTIFS(レース分析!$AQ$2:$AQ$5000,"G2",レース分析!$G$2:$G$5000,"&gt;=85",レース分析!$Y$2:$Y$5000,"&lt;&gt;参考"),0)</f>
        <v>0</v>
      </c>
      <c r="E127" s="16" t="n">
        <f aca="false">IFERROR(SUMIFS(レース分析!$W$2:$W$5000,レース分析!$AQ$2:$AQ$5000,"G2",レース分析!$G$2:$G$5000,"&gt;=85",レース分析!$Y$2:$Y$5000,"&lt;&gt;参考")/(COUNTIFS(レース分析!$AQ$2:$AQ$5000,"G2",レース分析!$G$2:$G$5000,"&gt;=85",レース分析!$Y$2:$Y$5000,"&lt;&gt;参考")*100),0)</f>
        <v>0</v>
      </c>
      <c r="F127" s="15" t="s">
        <v>8333</v>
      </c>
    </row>
    <row r="128" customFormat="false" ht="15.75" hidden="false" customHeight="false" outlineLevel="0" collapsed="false">
      <c r="A128" s="21" t="s">
        <v>7664</v>
      </c>
      <c r="B128" s="15" t="s">
        <v>8299</v>
      </c>
      <c r="C128" s="7" t="n">
        <f aca="false">COUNTIFS(レース分析!$AQ$2:$AQ$5000,"G3",レース分析!$G$2:$G$5000,"&lt;=59",レース分析!$Y$2:$Y$5000,"&lt;&gt;参考")</f>
        <v>0</v>
      </c>
      <c r="D128" s="16" t="n">
        <f aca="false">IFERROR(COUNTIFS(レース分析!$AQ$2:$AQ$5000,"G3",レース分析!$G$2:$G$5000,"&lt;=59",レース分析!$Y$2:$Y$5000,"&lt;&gt;参考",レース分析!$T$2:$T$5000,"&lt;=3")/COUNTIFS(レース分析!$AQ$2:$AQ$5000,"G3",レース分析!$G$2:$G$5000,"&lt;=59",レース分析!$Y$2:$Y$5000,"&lt;&gt;参考"),0)</f>
        <v>0</v>
      </c>
      <c r="E128" s="16" t="n">
        <f aca="false">IFERROR(SUMIFS(レース分析!$W$2:$W$5000,レース分析!$AQ$2:$AQ$5000,"G3",レース分析!$G$2:$G$5000,"&lt;=59",レース分析!$Y$2:$Y$5000,"&lt;&gt;参考")/(COUNTIFS(レース分析!$AQ$2:$AQ$5000,"G3",レース分析!$G$2:$G$5000,"&lt;=59",レース分析!$Y$2:$Y$5000,"&lt;&gt;参考")*100),0)</f>
        <v>0</v>
      </c>
      <c r="F128" s="15" t="s">
        <v>8333</v>
      </c>
      <c r="J128" s="20" t="s">
        <v>8340</v>
      </c>
      <c r="K128" s="20"/>
      <c r="L128" s="20"/>
      <c r="M128" s="20"/>
      <c r="N128" s="20"/>
      <c r="O128" s="20"/>
    </row>
    <row r="129" customFormat="false" ht="15.75" hidden="false" customHeight="false" outlineLevel="0" collapsed="false">
      <c r="A129" s="21" t="s">
        <v>7664</v>
      </c>
      <c r="B129" s="21" t="s">
        <v>8300</v>
      </c>
      <c r="C129" s="7" t="n">
        <f aca="false">COUNTIFS(レース分析!$AQ$2:$AQ$5000,"G3",レース分析!$G$2:$G$5000,"&gt;=60",レース分析!$G$2:$G$5000,"&lt;=69",レース分析!$Y$2:$Y$5000,"&lt;&gt;参考")</f>
        <v>0</v>
      </c>
      <c r="D129" s="16" t="n">
        <f aca="false">IFERROR(COUNTIFS(レース分析!$AQ$2:$AQ$5000,"G3",レース分析!$G$2:$G$5000,"&gt;=60",レース分析!$G$2:$G$5000,"&lt;=69",レース分析!$Y$2:$Y$5000,"&lt;&gt;参考",レース分析!$T$2:$T$5000,"&lt;=3")/COUNTIFS(レース分析!$AQ$2:$AQ$5000,"G3",レース分析!$G$2:$G$5000,"&gt;=60",レース分析!$G$2:$G$5000,"&lt;=69",レース分析!$Y$2:$Y$5000,"&lt;&gt;参考"),0)</f>
        <v>0</v>
      </c>
      <c r="E129" s="16" t="n">
        <f aca="false">IFERROR(SUMIFS(レース分析!$W$2:$W$5000,レース分析!$AQ$2:$AQ$5000,"G3",レース分析!$G$2:$G$5000,"&gt;=60",レース分析!$G$2:$G$5000,"&lt;=69",レース分析!$Y$2:$Y$5000,"&lt;&gt;参考")/(COUNTIFS(レース分析!$AQ$2:$AQ$5000,"G3",レース分析!$G$2:$G$5000,"&gt;=60",レース分析!$G$2:$G$5000,"&lt;=69",レース分析!$Y$2:$Y$5000,"&lt;&gt;参考")*100),0)</f>
        <v>0</v>
      </c>
      <c r="F129" s="15" t="s">
        <v>8333</v>
      </c>
      <c r="J129" s="1" t="s">
        <v>7566</v>
      </c>
      <c r="K129" s="2" t="s">
        <v>8322</v>
      </c>
      <c r="L129" s="1" t="s">
        <v>8279</v>
      </c>
      <c r="M129" s="1" t="s">
        <v>8281</v>
      </c>
      <c r="N129" s="1" t="s">
        <v>8283</v>
      </c>
      <c r="O129" s="1" t="s">
        <v>8331</v>
      </c>
    </row>
    <row r="130" customFormat="false" ht="15.75" hidden="false" customHeight="false" outlineLevel="0" collapsed="false">
      <c r="A130" s="21" t="s">
        <v>7664</v>
      </c>
      <c r="B130" s="21" t="s">
        <v>8301</v>
      </c>
      <c r="C130" s="7" t="n">
        <f aca="false">COUNTIFS(レース分析!$AQ$2:$AQ$5000,"G3",レース分析!$G$2:$G$5000,"&gt;=70",レース分析!$G$2:$G$5000,"&lt;=74",レース分析!$Y$2:$Y$5000,"&lt;&gt;参考")</f>
        <v>0</v>
      </c>
      <c r="D130" s="16" t="n">
        <f aca="false">IFERROR(COUNTIFS(レース分析!$AQ$2:$AQ$5000,"G3",レース分析!$G$2:$G$5000,"&gt;=70",レース分析!$G$2:$G$5000,"&lt;=74",レース分析!$Y$2:$Y$5000,"&lt;&gt;参考",レース分析!$T$2:$T$5000,"&lt;=3")/COUNTIFS(レース分析!$AQ$2:$AQ$5000,"G3",レース分析!$G$2:$G$5000,"&gt;=70",レース分析!$G$2:$G$5000,"&lt;=74",レース分析!$Y$2:$Y$5000,"&lt;&gt;参考"),0)</f>
        <v>0</v>
      </c>
      <c r="E130" s="16" t="n">
        <f aca="false">IFERROR(SUMIFS(レース分析!$W$2:$W$5000,レース分析!$AQ$2:$AQ$5000,"G3",レース分析!$G$2:$G$5000,"&gt;=70",レース分析!$G$2:$G$5000,"&lt;=74",レース分析!$Y$2:$Y$5000,"&lt;&gt;参考")/(COUNTIFS(レース分析!$AQ$2:$AQ$5000,"G3",レース分析!$G$2:$G$5000,"&gt;=70",レース分析!$G$2:$G$5000,"&lt;=74",レース分析!$Y$2:$Y$5000,"&lt;&gt;参考")*100),0)</f>
        <v>0</v>
      </c>
      <c r="F130" s="15" t="s">
        <v>8333</v>
      </c>
      <c r="J130" s="21" t="s">
        <v>8332</v>
      </c>
      <c r="K130" s="21" t="s">
        <v>8304</v>
      </c>
      <c r="L130" s="7" t="n">
        <f aca="false">COUNTIFS(レース分析!$AQ$2:$AQ$5000,"2歳戦",レース分析!$G$2:$G$5000,"&gt;=85",レース分析!$Y$2:$Y$5000,"&lt;&gt;参考")</f>
        <v>0</v>
      </c>
      <c r="M130" s="16" t="n">
        <f aca="false">IFERROR(COUNTIFS(レース分析!$AQ$2:$AQ$5000,"2歳戦",レース分析!$G$2:$G$5000,"&gt;=85",レース分析!$Y$2:$Y$5000,"&lt;&gt;参考",レース分析!$T$2:$T$5000,"&lt;=3")/COUNTIFS(レース分析!$AQ$2:$AQ$5000,"2歳戦",レース分析!$G$2:$G$5000,"&gt;=85",レース分析!$Y$2:$Y$5000,"&lt;&gt;参考"),0)</f>
        <v>0</v>
      </c>
      <c r="N130" s="16" t="n">
        <f aca="false">IFERROR(SUMIFS(レース分析!$W$2:$W$5000,レース分析!$AQ$2:$AQ$5000,"2歳戦",レース分析!$G$2:$G$5000,"&gt;=85",レース分析!$Y$2:$Y$5000,"&lt;&gt;参考")/(COUNTIFS(レース分析!$AQ$2:$AQ$5000,"2歳戦",レース分析!$G$2:$G$5000,"&gt;=85",レース分析!$Y$2:$Y$5000,"&lt;&gt;参考")*100),0)</f>
        <v>0</v>
      </c>
      <c r="O130" s="15" t="s">
        <v>8333</v>
      </c>
    </row>
    <row r="131" customFormat="false" ht="15.75" hidden="false" customHeight="false" outlineLevel="0" collapsed="false">
      <c r="A131" s="21" t="s">
        <v>7664</v>
      </c>
      <c r="B131" s="21" t="s">
        <v>8302</v>
      </c>
      <c r="C131" s="7" t="n">
        <f aca="false">COUNTIFS(レース分析!$AQ$2:$AQ$5000,"G3",レース分析!$G$2:$G$5000,"&gt;=75",レース分析!$G$2:$G$5000,"&lt;=79",レース分析!$Y$2:$Y$5000,"&lt;&gt;参考")</f>
        <v>0</v>
      </c>
      <c r="D131" s="16" t="n">
        <f aca="false">IFERROR(COUNTIFS(レース分析!$AQ$2:$AQ$5000,"G3",レース分析!$G$2:$G$5000,"&gt;=75",レース分析!$G$2:$G$5000,"&lt;=79",レース分析!$Y$2:$Y$5000,"&lt;&gt;参考",レース分析!$T$2:$T$5000,"&lt;=3")/COUNTIFS(レース分析!$AQ$2:$AQ$5000,"G3",レース分析!$G$2:$G$5000,"&gt;=75",レース分析!$G$2:$G$5000,"&lt;=79",レース分析!$Y$2:$Y$5000,"&lt;&gt;参考"),0)</f>
        <v>0</v>
      </c>
      <c r="E131" s="16" t="n">
        <f aca="false">IFERROR(SUMIFS(レース分析!$W$2:$W$5000,レース分析!$AQ$2:$AQ$5000,"G3",レース分析!$G$2:$G$5000,"&gt;=75",レース分析!$G$2:$G$5000,"&lt;=79",レース分析!$Y$2:$Y$5000,"&lt;&gt;参考")/(COUNTIFS(レース分析!$AQ$2:$AQ$5000,"G3",レース分析!$G$2:$G$5000,"&gt;=75",レース分析!$G$2:$G$5000,"&lt;=79",レース分析!$Y$2:$Y$5000,"&lt;&gt;参考")*100),0)</f>
        <v>0</v>
      </c>
      <c r="F131" s="15" t="s">
        <v>8333</v>
      </c>
      <c r="J131" s="21" t="s">
        <v>8334</v>
      </c>
      <c r="K131" s="21" t="s">
        <v>8304</v>
      </c>
      <c r="L131" s="7" t="n">
        <f aca="false">COUNTIFS(レース分析!$AQ$2:$AQ$5000,"3歳未勝利",レース分析!$G$2:$G$5000,"&gt;=85",レース分析!$Y$2:$Y$5000,"&lt;&gt;参考")</f>
        <v>0</v>
      </c>
      <c r="M131" s="16" t="n">
        <f aca="false">IFERROR(COUNTIFS(レース分析!$AQ$2:$AQ$5000,"3歳未勝利",レース分析!$G$2:$G$5000,"&gt;=85",レース分析!$Y$2:$Y$5000,"&lt;&gt;参考",レース分析!$T$2:$T$5000,"&lt;=3")/COUNTIFS(レース分析!$AQ$2:$AQ$5000,"3歳未勝利",レース分析!$G$2:$G$5000,"&gt;=85",レース分析!$Y$2:$Y$5000,"&lt;&gt;参考"),0)</f>
        <v>0</v>
      </c>
      <c r="N131" s="16" t="n">
        <f aca="false">IFERROR(SUMIFS(レース分析!$W$2:$W$5000,レース分析!$AQ$2:$AQ$5000,"3歳未勝利",レース分析!$G$2:$G$5000,"&gt;=85",レース分析!$Y$2:$Y$5000,"&lt;&gt;参考")/(COUNTIFS(レース分析!$AQ$2:$AQ$5000,"3歳未勝利",レース分析!$G$2:$G$5000,"&gt;=85",レース分析!$Y$2:$Y$5000,"&lt;&gt;参考")*100),0)</f>
        <v>0</v>
      </c>
      <c r="O131" s="15" t="s">
        <v>8333</v>
      </c>
    </row>
    <row r="132" customFormat="false" ht="15.75" hidden="false" customHeight="false" outlineLevel="0" collapsed="false">
      <c r="A132" s="21" t="s">
        <v>7664</v>
      </c>
      <c r="B132" s="21" t="s">
        <v>8303</v>
      </c>
      <c r="C132" s="7" t="n">
        <f aca="false">COUNTIFS(レース分析!$AQ$2:$AQ$5000,"G3",レース分析!$G$2:$G$5000,"&gt;=80",レース分析!$G$2:$G$5000,"&lt;=84",レース分析!$Y$2:$Y$5000,"&lt;&gt;参考")</f>
        <v>0</v>
      </c>
      <c r="D132" s="16" t="n">
        <f aca="false">IFERROR(COUNTIFS(レース分析!$AQ$2:$AQ$5000,"G3",レース分析!$G$2:$G$5000,"&gt;=80",レース分析!$G$2:$G$5000,"&lt;=84",レース分析!$Y$2:$Y$5000,"&lt;&gt;参考",レース分析!$T$2:$T$5000,"&lt;=3")/COUNTIFS(レース分析!$AQ$2:$AQ$5000,"G3",レース分析!$G$2:$G$5000,"&gt;=80",レース分析!$G$2:$G$5000,"&lt;=84",レース分析!$Y$2:$Y$5000,"&lt;&gt;参考"),0)</f>
        <v>0</v>
      </c>
      <c r="E132" s="16" t="n">
        <f aca="false">IFERROR(SUMIFS(レース分析!$W$2:$W$5000,レース分析!$AQ$2:$AQ$5000,"G3",レース分析!$G$2:$G$5000,"&gt;=80",レース分析!$G$2:$G$5000,"&lt;=84",レース分析!$Y$2:$Y$5000,"&lt;&gt;参考")/(COUNTIFS(レース分析!$AQ$2:$AQ$5000,"G3",レース分析!$G$2:$G$5000,"&gt;=80",レース分析!$G$2:$G$5000,"&lt;=84",レース分析!$Y$2:$Y$5000,"&lt;&gt;参考")*100),0)</f>
        <v>0</v>
      </c>
      <c r="F132" s="15" t="s">
        <v>8333</v>
      </c>
      <c r="J132" s="15" t="s">
        <v>8336</v>
      </c>
      <c r="K132" s="21" t="s">
        <v>8304</v>
      </c>
      <c r="L132" s="7" t="n">
        <f aca="false">COUNTIFS(レース分析!$AQ$2:$AQ$5000,"その他未勝利",レース分析!$G$2:$G$5000,"&gt;=85",レース分析!$Y$2:$Y$5000,"&lt;&gt;参考")</f>
        <v>0</v>
      </c>
      <c r="M132" s="16" t="n">
        <f aca="false">IFERROR(COUNTIFS(レース分析!$AQ$2:$AQ$5000,"その他未勝利",レース分析!$G$2:$G$5000,"&gt;=85",レース分析!$Y$2:$Y$5000,"&lt;&gt;参考",レース分析!$T$2:$T$5000,"&lt;=3")/COUNTIFS(レース分析!$AQ$2:$AQ$5000,"その他未勝利",レース分析!$G$2:$G$5000,"&gt;=85",レース分析!$Y$2:$Y$5000,"&lt;&gt;参考"),0)</f>
        <v>0</v>
      </c>
      <c r="N132" s="16" t="n">
        <f aca="false">IFERROR(SUMIFS(レース分析!$W$2:$W$5000,レース分析!$AQ$2:$AQ$5000,"その他未勝利",レース分析!$G$2:$G$5000,"&gt;=85",レース分析!$Y$2:$Y$5000,"&lt;&gt;参考")/(COUNTIFS(レース分析!$AQ$2:$AQ$5000,"その他未勝利",レース分析!$G$2:$G$5000,"&gt;=85",レース分析!$Y$2:$Y$5000,"&lt;&gt;参考")*100),0)</f>
        <v>0</v>
      </c>
      <c r="O132" s="15" t="s">
        <v>8333</v>
      </c>
    </row>
    <row r="133" customFormat="false" ht="15.75" hidden="false" customHeight="false" outlineLevel="0" collapsed="false">
      <c r="A133" s="21" t="s">
        <v>7664</v>
      </c>
      <c r="B133" s="21" t="s">
        <v>8304</v>
      </c>
      <c r="C133" s="7" t="n">
        <f aca="false">COUNTIFS(レース分析!$AQ$2:$AQ$5000,"G3",レース分析!$G$2:$G$5000,"&gt;=85",レース分析!$Y$2:$Y$5000,"&lt;&gt;参考")</f>
        <v>0</v>
      </c>
      <c r="D133" s="16" t="n">
        <f aca="false">IFERROR(COUNTIFS(レース分析!$AQ$2:$AQ$5000,"G3",レース分析!$G$2:$G$5000,"&gt;=85",レース分析!$Y$2:$Y$5000,"&lt;&gt;参考",レース分析!$T$2:$T$5000,"&lt;=3")/COUNTIFS(レース分析!$AQ$2:$AQ$5000,"G3",レース分析!$G$2:$G$5000,"&gt;=85",レース分析!$Y$2:$Y$5000,"&lt;&gt;参考"),0)</f>
        <v>0</v>
      </c>
      <c r="E133" s="16" t="n">
        <f aca="false">IFERROR(SUMIFS(レース分析!$W$2:$W$5000,レース分析!$AQ$2:$AQ$5000,"G3",レース分析!$G$2:$G$5000,"&gt;=85",レース分析!$Y$2:$Y$5000,"&lt;&gt;参考")/(COUNTIFS(レース分析!$AQ$2:$AQ$5000,"G3",レース分析!$G$2:$G$5000,"&gt;=85",レース分析!$Y$2:$Y$5000,"&lt;&gt;参考")*100),0)</f>
        <v>0</v>
      </c>
      <c r="F133" s="15" t="s">
        <v>8333</v>
      </c>
      <c r="J133" s="15" t="s">
        <v>8338</v>
      </c>
      <c r="K133" s="21" t="s">
        <v>8304</v>
      </c>
      <c r="L133" s="7" t="n">
        <f aca="false">COUNTIFS(レース分析!$AQ$2:$AQ$5000,"古馬条件戦",レース分析!$G$2:$G$5000,"&gt;=85",レース分析!$Y$2:$Y$5000,"&lt;&gt;参考")</f>
        <v>0</v>
      </c>
      <c r="M133" s="16" t="n">
        <f aca="false">IFERROR(COUNTIFS(レース分析!$AQ$2:$AQ$5000,"古馬条件戦",レース分析!$G$2:$G$5000,"&gt;=85",レース分析!$Y$2:$Y$5000,"&lt;&gt;参考",レース分析!$T$2:$T$5000,"&lt;=3")/COUNTIFS(レース分析!$AQ$2:$AQ$5000,"古馬条件戦",レース分析!$G$2:$G$5000,"&gt;=85",レース分析!$Y$2:$Y$5000,"&lt;&gt;参考"),0)</f>
        <v>0</v>
      </c>
      <c r="N133" s="16" t="n">
        <f aca="false">IFERROR(SUMIFS(レース分析!$W$2:$W$5000,レース分析!$AQ$2:$AQ$5000,"古馬条件戦",レース分析!$G$2:$G$5000,"&gt;=85",レース分析!$Y$2:$Y$5000,"&lt;&gt;参考")/(COUNTIFS(レース分析!$AQ$2:$AQ$5000,"古馬条件戦",レース分析!$G$2:$G$5000,"&gt;=85",レース分析!$Y$2:$Y$5000,"&lt;&gt;参考")*100),0)</f>
        <v>0</v>
      </c>
      <c r="O133" s="15" t="s">
        <v>8333</v>
      </c>
    </row>
    <row r="134" customFormat="false" ht="15.75" hidden="false" customHeight="false" outlineLevel="0" collapsed="false">
      <c r="A134" s="15" t="s">
        <v>8341</v>
      </c>
      <c r="B134" s="15" t="s">
        <v>8299</v>
      </c>
      <c r="C134" s="7" t="n">
        <f aca="false">COUNTIFS(レース分析!$AQ$2:$AQ$5000,"重賞",レース分析!$G$2:$G$5000,"&lt;=59",レース分析!$Y$2:$Y$5000,"&lt;&gt;参考")</f>
        <v>0</v>
      </c>
      <c r="D134" s="16" t="n">
        <f aca="false">IFERROR(COUNTIFS(レース分析!$AQ$2:$AQ$5000,"重賞",レース分析!$G$2:$G$5000,"&lt;=59",レース分析!$Y$2:$Y$5000,"&lt;&gt;参考",レース分析!$T$2:$T$5000,"&lt;=3")/COUNTIFS(レース分析!$AQ$2:$AQ$5000,"重賞",レース分析!$G$2:$G$5000,"&lt;=59",レース分析!$Y$2:$Y$5000,"&lt;&gt;参考"),0)</f>
        <v>0</v>
      </c>
      <c r="E134" s="16" t="n">
        <f aca="false">IFERROR(SUMIFS(レース分析!$W$2:$W$5000,レース分析!$AQ$2:$AQ$5000,"重賞",レース分析!$G$2:$G$5000,"&lt;=59",レース分析!$Y$2:$Y$5000,"&lt;&gt;参考")/(COUNTIFS(レース分析!$AQ$2:$AQ$5000,"重賞",レース分析!$G$2:$G$5000,"&lt;=59",レース分析!$Y$2:$Y$5000,"&lt;&gt;参考")*100),0)</f>
        <v>0</v>
      </c>
      <c r="F134" s="15" t="s">
        <v>8333</v>
      </c>
      <c r="J134" s="21" t="s">
        <v>7814</v>
      </c>
      <c r="K134" s="21" t="s">
        <v>8304</v>
      </c>
      <c r="L134" s="7" t="n">
        <f aca="false">COUNTIFS(レース分析!$AQ$2:$AQ$5000,"G1",レース分析!$G$2:$G$5000,"&gt;=85",レース分析!$Y$2:$Y$5000,"&lt;&gt;参考")</f>
        <v>0</v>
      </c>
      <c r="M134" s="16" t="n">
        <f aca="false">IFERROR(COUNTIFS(レース分析!$AQ$2:$AQ$5000,"G1",レース分析!$G$2:$G$5000,"&gt;=85",レース分析!$Y$2:$Y$5000,"&lt;&gt;参考",レース分析!$T$2:$T$5000,"&lt;=3")/COUNTIFS(レース分析!$AQ$2:$AQ$5000,"G1",レース分析!$G$2:$G$5000,"&gt;=85",レース分析!$Y$2:$Y$5000,"&lt;&gt;参考"),0)</f>
        <v>0</v>
      </c>
      <c r="N134" s="16" t="n">
        <f aca="false">IFERROR(SUMIFS(レース分析!$W$2:$W$5000,レース分析!$AQ$2:$AQ$5000,"G1",レース分析!$G$2:$G$5000,"&gt;=85",レース分析!$Y$2:$Y$5000,"&lt;&gt;参考")/(COUNTIFS(レース分析!$AQ$2:$AQ$5000,"G1",レース分析!$G$2:$G$5000,"&gt;=85",レース分析!$Y$2:$Y$5000,"&lt;&gt;参考")*100),0)</f>
        <v>0</v>
      </c>
      <c r="O134" s="15" t="s">
        <v>8333</v>
      </c>
    </row>
    <row r="135" customFormat="false" ht="15.75" hidden="false" customHeight="false" outlineLevel="0" collapsed="false">
      <c r="A135" s="15" t="s">
        <v>8341</v>
      </c>
      <c r="B135" s="21" t="s">
        <v>8300</v>
      </c>
      <c r="C135" s="7" t="n">
        <f aca="false">COUNTIFS(レース分析!$AQ$2:$AQ$5000,"重賞",レース分析!$G$2:$G$5000,"&gt;=60",レース分析!$G$2:$G$5000,"&lt;=69",レース分析!$Y$2:$Y$5000,"&lt;&gt;参考")</f>
        <v>0</v>
      </c>
      <c r="D135" s="16" t="n">
        <f aca="false">IFERROR(COUNTIFS(レース分析!$AQ$2:$AQ$5000,"重賞",レース分析!$G$2:$G$5000,"&gt;=60",レース分析!$G$2:$G$5000,"&lt;=69",レース分析!$Y$2:$Y$5000,"&lt;&gt;参考",レース分析!$T$2:$T$5000,"&lt;=3")/COUNTIFS(レース分析!$AQ$2:$AQ$5000,"重賞",レース分析!$G$2:$G$5000,"&gt;=60",レース分析!$G$2:$G$5000,"&lt;=69",レース分析!$Y$2:$Y$5000,"&lt;&gt;参考"),0)</f>
        <v>0</v>
      </c>
      <c r="E135" s="16" t="n">
        <f aca="false">IFERROR(SUMIFS(レース分析!$W$2:$W$5000,レース分析!$AQ$2:$AQ$5000,"重賞",レース分析!$G$2:$G$5000,"&gt;=60",レース分析!$G$2:$G$5000,"&lt;=69",レース分析!$Y$2:$Y$5000,"&lt;&gt;参考")/(COUNTIFS(レース分析!$AQ$2:$AQ$5000,"重賞",レース分析!$G$2:$G$5000,"&gt;=60",レース分析!$G$2:$G$5000,"&lt;=69",レース分析!$Y$2:$Y$5000,"&lt;&gt;参考")*100),0)</f>
        <v>0</v>
      </c>
      <c r="F135" s="15" t="s">
        <v>8333</v>
      </c>
      <c r="J135" s="21" t="s">
        <v>7881</v>
      </c>
      <c r="K135" s="21" t="s">
        <v>8304</v>
      </c>
      <c r="L135" s="7" t="n">
        <f aca="false">COUNTIFS(レース分析!$AQ$2:$AQ$5000,"G2",レース分析!$G$2:$G$5000,"&gt;=85",レース分析!$Y$2:$Y$5000,"&lt;&gt;参考")</f>
        <v>0</v>
      </c>
      <c r="M135" s="16" t="n">
        <f aca="false">IFERROR(COUNTIFS(レース分析!$AQ$2:$AQ$5000,"G2",レース分析!$G$2:$G$5000,"&gt;=85",レース分析!$Y$2:$Y$5000,"&lt;&gt;参考",レース分析!$T$2:$T$5000,"&lt;=3")/COUNTIFS(レース分析!$AQ$2:$AQ$5000,"G2",レース分析!$G$2:$G$5000,"&gt;=85",レース分析!$Y$2:$Y$5000,"&lt;&gt;参考"),0)</f>
        <v>0</v>
      </c>
      <c r="N135" s="16" t="n">
        <f aca="false">IFERROR(SUMIFS(レース分析!$W$2:$W$5000,レース分析!$AQ$2:$AQ$5000,"G2",レース分析!$G$2:$G$5000,"&gt;=85",レース分析!$Y$2:$Y$5000,"&lt;&gt;参考")/(COUNTIFS(レース分析!$AQ$2:$AQ$5000,"G2",レース分析!$G$2:$G$5000,"&gt;=85",レース分析!$Y$2:$Y$5000,"&lt;&gt;参考")*100),0)</f>
        <v>0</v>
      </c>
      <c r="O135" s="15" t="s">
        <v>8333</v>
      </c>
    </row>
    <row r="136" customFormat="false" ht="15.75" hidden="false" customHeight="false" outlineLevel="0" collapsed="false">
      <c r="A136" s="15" t="s">
        <v>8341</v>
      </c>
      <c r="B136" s="21" t="s">
        <v>8301</v>
      </c>
      <c r="C136" s="7" t="n">
        <f aca="false">COUNTIFS(レース分析!$AQ$2:$AQ$5000,"重賞",レース分析!$G$2:$G$5000,"&gt;=70",レース分析!$G$2:$G$5000,"&lt;=74",レース分析!$Y$2:$Y$5000,"&lt;&gt;参考")</f>
        <v>0</v>
      </c>
      <c r="D136" s="16" t="n">
        <f aca="false">IFERROR(COUNTIFS(レース分析!$AQ$2:$AQ$5000,"重賞",レース分析!$G$2:$G$5000,"&gt;=70",レース分析!$G$2:$G$5000,"&lt;=74",レース分析!$Y$2:$Y$5000,"&lt;&gt;参考",レース分析!$T$2:$T$5000,"&lt;=3")/COUNTIFS(レース分析!$AQ$2:$AQ$5000,"重賞",レース分析!$G$2:$G$5000,"&gt;=70",レース分析!$G$2:$G$5000,"&lt;=74",レース分析!$Y$2:$Y$5000,"&lt;&gt;参考"),0)</f>
        <v>0</v>
      </c>
      <c r="E136" s="16" t="n">
        <f aca="false">IFERROR(SUMIFS(レース分析!$W$2:$W$5000,レース分析!$AQ$2:$AQ$5000,"重賞",レース分析!$G$2:$G$5000,"&gt;=70",レース分析!$G$2:$G$5000,"&lt;=74",レース分析!$Y$2:$Y$5000,"&lt;&gt;参考")/(COUNTIFS(レース分析!$AQ$2:$AQ$5000,"重賞",レース分析!$G$2:$G$5000,"&gt;=70",レース分析!$G$2:$G$5000,"&lt;=74",レース分析!$Y$2:$Y$5000,"&lt;&gt;参考")*100),0)</f>
        <v>0</v>
      </c>
      <c r="F136" s="15" t="s">
        <v>8333</v>
      </c>
      <c r="J136" s="21" t="s">
        <v>7664</v>
      </c>
      <c r="K136" s="21" t="s">
        <v>8304</v>
      </c>
      <c r="L136" s="7" t="n">
        <f aca="false">COUNTIFS(レース分析!$AQ$2:$AQ$5000,"G3",レース分析!$G$2:$G$5000,"&gt;=85",レース分析!$Y$2:$Y$5000,"&lt;&gt;参考")</f>
        <v>0</v>
      </c>
      <c r="M136" s="16" t="n">
        <f aca="false">IFERROR(COUNTIFS(レース分析!$AQ$2:$AQ$5000,"G3",レース分析!$G$2:$G$5000,"&gt;=85",レース分析!$Y$2:$Y$5000,"&lt;&gt;参考",レース分析!$T$2:$T$5000,"&lt;=3")/COUNTIFS(レース分析!$AQ$2:$AQ$5000,"G3",レース分析!$G$2:$G$5000,"&gt;=85",レース分析!$Y$2:$Y$5000,"&lt;&gt;参考"),0)</f>
        <v>0</v>
      </c>
      <c r="N136" s="16" t="n">
        <f aca="false">IFERROR(SUMIFS(レース分析!$W$2:$W$5000,レース分析!$AQ$2:$AQ$5000,"G3",レース分析!$G$2:$G$5000,"&gt;=85",レース分析!$Y$2:$Y$5000,"&lt;&gt;参考")/(COUNTIFS(レース分析!$AQ$2:$AQ$5000,"G3",レース分析!$G$2:$G$5000,"&gt;=85",レース分析!$Y$2:$Y$5000,"&lt;&gt;参考")*100),0)</f>
        <v>0</v>
      </c>
      <c r="O136" s="15" t="s">
        <v>8333</v>
      </c>
    </row>
    <row r="137" customFormat="false" ht="15.75" hidden="false" customHeight="false" outlineLevel="0" collapsed="false">
      <c r="A137" s="15" t="s">
        <v>8341</v>
      </c>
      <c r="B137" s="21" t="s">
        <v>8302</v>
      </c>
      <c r="C137" s="7" t="n">
        <f aca="false">COUNTIFS(レース分析!$AQ$2:$AQ$5000,"重賞",レース分析!$G$2:$G$5000,"&gt;=75",レース分析!$G$2:$G$5000,"&lt;=79",レース分析!$Y$2:$Y$5000,"&lt;&gt;参考")</f>
        <v>0</v>
      </c>
      <c r="D137" s="16" t="n">
        <f aca="false">IFERROR(COUNTIFS(レース分析!$AQ$2:$AQ$5000,"重賞",レース分析!$G$2:$G$5000,"&gt;=75",レース分析!$G$2:$G$5000,"&lt;=79",レース分析!$Y$2:$Y$5000,"&lt;&gt;参考",レース分析!$T$2:$T$5000,"&lt;=3")/COUNTIFS(レース分析!$AQ$2:$AQ$5000,"重賞",レース分析!$G$2:$G$5000,"&gt;=75",レース分析!$G$2:$G$5000,"&lt;=79",レース分析!$Y$2:$Y$5000,"&lt;&gt;参考"),0)</f>
        <v>0</v>
      </c>
      <c r="E137" s="16" t="n">
        <f aca="false">IFERROR(SUMIFS(レース分析!$W$2:$W$5000,レース分析!$AQ$2:$AQ$5000,"重賞",レース分析!$G$2:$G$5000,"&gt;=75",レース分析!$G$2:$G$5000,"&lt;=79",レース分析!$Y$2:$Y$5000,"&lt;&gt;参考")/(COUNTIFS(レース分析!$AQ$2:$AQ$5000,"重賞",レース分析!$G$2:$G$5000,"&gt;=75",レース分析!$G$2:$G$5000,"&lt;=79",レース分析!$Y$2:$Y$5000,"&lt;&gt;参考")*100),0)</f>
        <v>0</v>
      </c>
      <c r="F137" s="15" t="s">
        <v>8333</v>
      </c>
      <c r="J137" s="15" t="s">
        <v>8341</v>
      </c>
      <c r="K137" s="21" t="s">
        <v>8304</v>
      </c>
      <c r="L137" s="7" t="n">
        <f aca="false">COUNTIFS(レース分析!$AQ$2:$AQ$5000,"重賞",レース分析!$G$2:$G$5000,"&gt;=85",レース分析!$Y$2:$Y$5000,"&lt;&gt;参考")</f>
        <v>0</v>
      </c>
      <c r="M137" s="16" t="n">
        <f aca="false">IFERROR(COUNTIFS(レース分析!$AQ$2:$AQ$5000,"重賞",レース分析!$G$2:$G$5000,"&gt;=85",レース分析!$Y$2:$Y$5000,"&lt;&gt;参考",レース分析!$T$2:$T$5000,"&lt;=3")/COUNTIFS(レース分析!$AQ$2:$AQ$5000,"重賞",レース分析!$G$2:$G$5000,"&gt;=85",レース分析!$Y$2:$Y$5000,"&lt;&gt;参考"),0)</f>
        <v>0</v>
      </c>
      <c r="N137" s="16" t="n">
        <f aca="false">IFERROR(SUMIFS(レース分析!$W$2:$W$5000,レース分析!$AQ$2:$AQ$5000,"重賞",レース分析!$G$2:$G$5000,"&gt;=85",レース分析!$Y$2:$Y$5000,"&lt;&gt;参考")/(COUNTIFS(レース分析!$AQ$2:$AQ$5000,"重賞",レース分析!$G$2:$G$5000,"&gt;=85",レース分析!$Y$2:$Y$5000,"&lt;&gt;参考")*100),0)</f>
        <v>0</v>
      </c>
      <c r="O137" s="15" t="s">
        <v>8333</v>
      </c>
    </row>
    <row r="138" customFormat="false" ht="15.75" hidden="false" customHeight="false" outlineLevel="0" collapsed="false">
      <c r="A138" s="15" t="s">
        <v>8341</v>
      </c>
      <c r="B138" s="21" t="s">
        <v>8303</v>
      </c>
      <c r="C138" s="7" t="n">
        <f aca="false">COUNTIFS(レース分析!$AQ$2:$AQ$5000,"重賞",レース分析!$G$2:$G$5000,"&gt;=80",レース分析!$G$2:$G$5000,"&lt;=84",レース分析!$Y$2:$Y$5000,"&lt;&gt;参考")</f>
        <v>0</v>
      </c>
      <c r="D138" s="16" t="n">
        <f aca="false">IFERROR(COUNTIFS(レース分析!$AQ$2:$AQ$5000,"重賞",レース分析!$G$2:$G$5000,"&gt;=80",レース分析!$G$2:$G$5000,"&lt;=84",レース分析!$Y$2:$Y$5000,"&lt;&gt;参考",レース分析!$T$2:$T$5000,"&lt;=3")/COUNTIFS(レース分析!$AQ$2:$AQ$5000,"重賞",レース分析!$G$2:$G$5000,"&gt;=80",レース分析!$G$2:$G$5000,"&lt;=84",レース分析!$Y$2:$Y$5000,"&lt;&gt;参考"),0)</f>
        <v>0</v>
      </c>
      <c r="E138" s="16" t="n">
        <f aca="false">IFERROR(SUMIFS(レース分析!$W$2:$W$5000,レース分析!$AQ$2:$AQ$5000,"重賞",レース分析!$G$2:$G$5000,"&gt;=80",レース分析!$G$2:$G$5000,"&lt;=84",レース分析!$Y$2:$Y$5000,"&lt;&gt;参考")/(COUNTIFS(レース分析!$AQ$2:$AQ$5000,"重賞",レース分析!$G$2:$G$5000,"&gt;=80",レース分析!$G$2:$G$5000,"&lt;=84",レース分析!$Y$2:$Y$5000,"&lt;&gt;参考")*100),0)</f>
        <v>0</v>
      </c>
      <c r="F138" s="15" t="s">
        <v>8333</v>
      </c>
      <c r="J138" s="15" t="s">
        <v>8342</v>
      </c>
      <c r="K138" s="21" t="s">
        <v>8304</v>
      </c>
      <c r="L138" s="7" t="n">
        <f aca="false">COUNTIFS(レース分析!$AQ$2:$AQ$5000,"その他",レース分析!$G$2:$G$5000,"&gt;=85",レース分析!$Y$2:$Y$5000,"&lt;&gt;参考")</f>
        <v>0</v>
      </c>
      <c r="M138" s="16" t="n">
        <f aca="false">IFERROR(COUNTIFS(レース分析!$AQ$2:$AQ$5000,"その他",レース分析!$G$2:$G$5000,"&gt;=85",レース分析!$Y$2:$Y$5000,"&lt;&gt;参考",レース分析!$T$2:$T$5000,"&lt;=3")/COUNTIFS(レース分析!$AQ$2:$AQ$5000,"その他",レース分析!$G$2:$G$5000,"&gt;=85",レース分析!$Y$2:$Y$5000,"&lt;&gt;参考"),0)</f>
        <v>0</v>
      </c>
      <c r="N138" s="16" t="n">
        <f aca="false">IFERROR(SUMIFS(レース分析!$W$2:$W$5000,レース分析!$AQ$2:$AQ$5000,"その他",レース分析!$G$2:$G$5000,"&gt;=85",レース分析!$Y$2:$Y$5000,"&lt;&gt;参考")/(COUNTIFS(レース分析!$AQ$2:$AQ$5000,"その他",レース分析!$G$2:$G$5000,"&gt;=85",レース分析!$Y$2:$Y$5000,"&lt;&gt;参考")*100),0)</f>
        <v>0</v>
      </c>
      <c r="O138" s="15" t="s">
        <v>8333</v>
      </c>
    </row>
    <row r="139" customFormat="false" ht="15.75" hidden="false" customHeight="false" outlineLevel="0" collapsed="false">
      <c r="A139" s="15" t="s">
        <v>8341</v>
      </c>
      <c r="B139" s="21" t="s">
        <v>8304</v>
      </c>
      <c r="C139" s="7" t="n">
        <f aca="false">COUNTIFS(レース分析!$AQ$2:$AQ$5000,"重賞",レース分析!$G$2:$G$5000,"&gt;=85",レース分析!$Y$2:$Y$5000,"&lt;&gt;参考")</f>
        <v>0</v>
      </c>
      <c r="D139" s="16" t="n">
        <f aca="false">IFERROR(COUNTIFS(レース分析!$AQ$2:$AQ$5000,"重賞",レース分析!$G$2:$G$5000,"&gt;=85",レース分析!$Y$2:$Y$5000,"&lt;&gt;参考",レース分析!$T$2:$T$5000,"&lt;=3")/COUNTIFS(レース分析!$AQ$2:$AQ$5000,"重賞",レース分析!$G$2:$G$5000,"&gt;=85",レース分析!$Y$2:$Y$5000,"&lt;&gt;参考"),0)</f>
        <v>0</v>
      </c>
      <c r="E139" s="16" t="n">
        <f aca="false">IFERROR(SUMIFS(レース分析!$W$2:$W$5000,レース分析!$AQ$2:$AQ$5000,"重賞",レース分析!$G$2:$G$5000,"&gt;=85",レース分析!$Y$2:$Y$5000,"&lt;&gt;参考")/(COUNTIFS(レース分析!$AQ$2:$AQ$5000,"重賞",レース分析!$G$2:$G$5000,"&gt;=85",レース分析!$Y$2:$Y$5000,"&lt;&gt;参考")*100),0)</f>
        <v>0</v>
      </c>
      <c r="F139" s="15" t="s">
        <v>8333</v>
      </c>
      <c r="J139" s="15" t="s">
        <v>8343</v>
      </c>
      <c r="K139" s="21" t="s">
        <v>8304</v>
      </c>
      <c r="L139" s="7" t="n">
        <f aca="false">COUNTIFS(レース分析!$AQ$2:$AQ$5000,"分類不能",レース分析!$G$2:$G$5000,"&gt;=85",レース分析!$Y$2:$Y$5000,"&lt;&gt;参考")</f>
        <v>34</v>
      </c>
      <c r="M139" s="16" t="n">
        <f aca="false">IFERROR(COUNTIFS(レース分析!$AQ$2:$AQ$5000,"分類不能",レース分析!$G$2:$G$5000,"&gt;=85",レース分析!$Y$2:$Y$5000,"&lt;&gt;参考",レース分析!$T$2:$T$5000,"&lt;=3")/COUNTIFS(レース分析!$AQ$2:$AQ$5000,"分類不能",レース分析!$G$2:$G$5000,"&gt;=85",レース分析!$Y$2:$Y$5000,"&lt;&gt;参考"),0)</f>
        <v>0.882352941176471</v>
      </c>
      <c r="N139" s="16" t="n">
        <f aca="false">IFERROR(SUMIFS(レース分析!$W$2:$W$5000,レース分析!$AQ$2:$AQ$5000,"分類不能",レース分析!$G$2:$G$5000,"&gt;=85",レース分析!$Y$2:$Y$5000,"&lt;&gt;参考")/(COUNTIFS(レース分析!$AQ$2:$AQ$5000,"分類不能",レース分析!$G$2:$G$5000,"&gt;=85",レース分析!$Y$2:$Y$5000,"&lt;&gt;参考")*100),0)</f>
        <v>0.994117647058824</v>
      </c>
      <c r="O139" s="15" t="s">
        <v>8344</v>
      </c>
    </row>
    <row r="140" customFormat="false" ht="15.75" hidden="false" customHeight="false" outlineLevel="0" collapsed="false">
      <c r="A140" s="15" t="s">
        <v>8342</v>
      </c>
      <c r="B140" s="15" t="s">
        <v>8299</v>
      </c>
      <c r="C140" s="7" t="n">
        <f aca="false">COUNTIFS(レース分析!$AQ$2:$AQ$5000,"その他",レース分析!$G$2:$G$5000,"&lt;=59",レース分析!$Y$2:$Y$5000,"&lt;&gt;参考")</f>
        <v>0</v>
      </c>
      <c r="D140" s="16" t="n">
        <f aca="false">IFERROR(COUNTIFS(レース分析!$AQ$2:$AQ$5000,"その他",レース分析!$G$2:$G$5000,"&lt;=59",レース分析!$Y$2:$Y$5000,"&lt;&gt;参考",レース分析!$T$2:$T$5000,"&lt;=3")/COUNTIFS(レース分析!$AQ$2:$AQ$5000,"その他",レース分析!$G$2:$G$5000,"&lt;=59",レース分析!$Y$2:$Y$5000,"&lt;&gt;参考"),0)</f>
        <v>0</v>
      </c>
      <c r="E140" s="16" t="n">
        <f aca="false">IFERROR(SUMIFS(レース分析!$W$2:$W$5000,レース分析!$AQ$2:$AQ$5000,"その他",レース分析!$G$2:$G$5000,"&lt;=59",レース分析!$Y$2:$Y$5000,"&lt;&gt;参考")/(COUNTIFS(レース分析!$AQ$2:$AQ$5000,"その他",レース分析!$G$2:$G$5000,"&lt;=59",レース分析!$Y$2:$Y$5000,"&lt;&gt;参考")*100),0)</f>
        <v>0</v>
      </c>
      <c r="F140" s="15" t="s">
        <v>8333</v>
      </c>
    </row>
    <row r="141" customFormat="false" ht="15.75" hidden="false" customHeight="false" outlineLevel="0" collapsed="false">
      <c r="A141" s="15" t="s">
        <v>8342</v>
      </c>
      <c r="B141" s="21" t="s">
        <v>8300</v>
      </c>
      <c r="C141" s="7" t="n">
        <f aca="false">COUNTIFS(レース分析!$AQ$2:$AQ$5000,"その他",レース分析!$G$2:$G$5000,"&gt;=60",レース分析!$G$2:$G$5000,"&lt;=69",レース分析!$Y$2:$Y$5000,"&lt;&gt;参考")</f>
        <v>0</v>
      </c>
      <c r="D141" s="16" t="n">
        <f aca="false">IFERROR(COUNTIFS(レース分析!$AQ$2:$AQ$5000,"その他",レース分析!$G$2:$G$5000,"&gt;=60",レース分析!$G$2:$G$5000,"&lt;=69",レース分析!$Y$2:$Y$5000,"&lt;&gt;参考",レース分析!$T$2:$T$5000,"&lt;=3")/COUNTIFS(レース分析!$AQ$2:$AQ$5000,"その他",レース分析!$G$2:$G$5000,"&gt;=60",レース分析!$G$2:$G$5000,"&lt;=69",レース分析!$Y$2:$Y$5000,"&lt;&gt;参考"),0)</f>
        <v>0</v>
      </c>
      <c r="E141" s="16" t="n">
        <f aca="false">IFERROR(SUMIFS(レース分析!$W$2:$W$5000,レース分析!$AQ$2:$AQ$5000,"その他",レース分析!$G$2:$G$5000,"&gt;=60",レース分析!$G$2:$G$5000,"&lt;=69",レース分析!$Y$2:$Y$5000,"&lt;&gt;参考")/(COUNTIFS(レース分析!$AQ$2:$AQ$5000,"その他",レース分析!$G$2:$G$5000,"&gt;=60",レース分析!$G$2:$G$5000,"&lt;=69",レース分析!$Y$2:$Y$5000,"&lt;&gt;参考")*100),0)</f>
        <v>0</v>
      </c>
      <c r="F141" s="15" t="s">
        <v>8333</v>
      </c>
    </row>
    <row r="142" customFormat="false" ht="15.75" hidden="false" customHeight="false" outlineLevel="0" collapsed="false">
      <c r="A142" s="15" t="s">
        <v>8342</v>
      </c>
      <c r="B142" s="21" t="s">
        <v>8301</v>
      </c>
      <c r="C142" s="7" t="n">
        <f aca="false">COUNTIFS(レース分析!$AQ$2:$AQ$5000,"その他",レース分析!$G$2:$G$5000,"&gt;=70",レース分析!$G$2:$G$5000,"&lt;=74",レース分析!$Y$2:$Y$5000,"&lt;&gt;参考")</f>
        <v>0</v>
      </c>
      <c r="D142" s="16" t="n">
        <f aca="false">IFERROR(COUNTIFS(レース分析!$AQ$2:$AQ$5000,"その他",レース分析!$G$2:$G$5000,"&gt;=70",レース分析!$G$2:$G$5000,"&lt;=74",レース分析!$Y$2:$Y$5000,"&lt;&gt;参考",レース分析!$T$2:$T$5000,"&lt;=3")/COUNTIFS(レース分析!$AQ$2:$AQ$5000,"その他",レース分析!$G$2:$G$5000,"&gt;=70",レース分析!$G$2:$G$5000,"&lt;=74",レース分析!$Y$2:$Y$5000,"&lt;&gt;参考"),0)</f>
        <v>0</v>
      </c>
      <c r="E142" s="16" t="n">
        <f aca="false">IFERROR(SUMIFS(レース分析!$W$2:$W$5000,レース分析!$AQ$2:$AQ$5000,"その他",レース分析!$G$2:$G$5000,"&gt;=70",レース分析!$G$2:$G$5000,"&lt;=74",レース分析!$Y$2:$Y$5000,"&lt;&gt;参考")/(COUNTIFS(レース分析!$AQ$2:$AQ$5000,"その他",レース分析!$G$2:$G$5000,"&gt;=70",レース分析!$G$2:$G$5000,"&lt;=74",レース分析!$Y$2:$Y$5000,"&lt;&gt;参考")*100),0)</f>
        <v>0</v>
      </c>
      <c r="F142" s="15" t="s">
        <v>8333</v>
      </c>
    </row>
    <row r="143" customFormat="false" ht="15.75" hidden="false" customHeight="false" outlineLevel="0" collapsed="false">
      <c r="A143" s="15" t="s">
        <v>8342</v>
      </c>
      <c r="B143" s="21" t="s">
        <v>8302</v>
      </c>
      <c r="C143" s="7" t="n">
        <f aca="false">COUNTIFS(レース分析!$AQ$2:$AQ$5000,"その他",レース分析!$G$2:$G$5000,"&gt;=75",レース分析!$G$2:$G$5000,"&lt;=79",レース分析!$Y$2:$Y$5000,"&lt;&gt;参考")</f>
        <v>0</v>
      </c>
      <c r="D143" s="16" t="n">
        <f aca="false">IFERROR(COUNTIFS(レース分析!$AQ$2:$AQ$5000,"その他",レース分析!$G$2:$G$5000,"&gt;=75",レース分析!$G$2:$G$5000,"&lt;=79",レース分析!$Y$2:$Y$5000,"&lt;&gt;参考",レース分析!$T$2:$T$5000,"&lt;=3")/COUNTIFS(レース分析!$AQ$2:$AQ$5000,"その他",レース分析!$G$2:$G$5000,"&gt;=75",レース分析!$G$2:$G$5000,"&lt;=79",レース分析!$Y$2:$Y$5000,"&lt;&gt;参考"),0)</f>
        <v>0</v>
      </c>
      <c r="E143" s="16" t="n">
        <f aca="false">IFERROR(SUMIFS(レース分析!$W$2:$W$5000,レース分析!$AQ$2:$AQ$5000,"その他",レース分析!$G$2:$G$5000,"&gt;=75",レース分析!$G$2:$G$5000,"&lt;=79",レース分析!$Y$2:$Y$5000,"&lt;&gt;参考")/(COUNTIFS(レース分析!$AQ$2:$AQ$5000,"その他",レース分析!$G$2:$G$5000,"&gt;=75",レース分析!$G$2:$G$5000,"&lt;=79",レース分析!$Y$2:$Y$5000,"&lt;&gt;参考")*100),0)</f>
        <v>0</v>
      </c>
      <c r="F143" s="15" t="s">
        <v>8333</v>
      </c>
    </row>
    <row r="144" customFormat="false" ht="15.75" hidden="false" customHeight="false" outlineLevel="0" collapsed="false">
      <c r="A144" s="15" t="s">
        <v>8342</v>
      </c>
      <c r="B144" s="21" t="s">
        <v>8303</v>
      </c>
      <c r="C144" s="7" t="n">
        <f aca="false">COUNTIFS(レース分析!$AQ$2:$AQ$5000,"その他",レース分析!$G$2:$G$5000,"&gt;=80",レース分析!$G$2:$G$5000,"&lt;=84",レース分析!$Y$2:$Y$5000,"&lt;&gt;参考")</f>
        <v>0</v>
      </c>
      <c r="D144" s="16" t="n">
        <f aca="false">IFERROR(COUNTIFS(レース分析!$AQ$2:$AQ$5000,"その他",レース分析!$G$2:$G$5000,"&gt;=80",レース分析!$G$2:$G$5000,"&lt;=84",レース分析!$Y$2:$Y$5000,"&lt;&gt;参考",レース分析!$T$2:$T$5000,"&lt;=3")/COUNTIFS(レース分析!$AQ$2:$AQ$5000,"その他",レース分析!$G$2:$G$5000,"&gt;=80",レース分析!$G$2:$G$5000,"&lt;=84",レース分析!$Y$2:$Y$5000,"&lt;&gt;参考"),0)</f>
        <v>0</v>
      </c>
      <c r="E144" s="16" t="n">
        <f aca="false">IFERROR(SUMIFS(レース分析!$W$2:$W$5000,レース分析!$AQ$2:$AQ$5000,"その他",レース分析!$G$2:$G$5000,"&gt;=80",レース分析!$G$2:$G$5000,"&lt;=84",レース分析!$Y$2:$Y$5000,"&lt;&gt;参考")/(COUNTIFS(レース分析!$AQ$2:$AQ$5000,"その他",レース分析!$G$2:$G$5000,"&gt;=80",レース分析!$G$2:$G$5000,"&lt;=84",レース分析!$Y$2:$Y$5000,"&lt;&gt;参考")*100),0)</f>
        <v>0</v>
      </c>
      <c r="F144" s="15" t="s">
        <v>8333</v>
      </c>
    </row>
    <row r="145" customFormat="false" ht="15.75" hidden="false" customHeight="false" outlineLevel="0" collapsed="false">
      <c r="A145" s="15" t="s">
        <v>8342</v>
      </c>
      <c r="B145" s="21" t="s">
        <v>8304</v>
      </c>
      <c r="C145" s="7" t="n">
        <f aca="false">COUNTIFS(レース分析!$AQ$2:$AQ$5000,"その他",レース分析!$G$2:$G$5000,"&gt;=85",レース分析!$Y$2:$Y$5000,"&lt;&gt;参考")</f>
        <v>0</v>
      </c>
      <c r="D145" s="16" t="n">
        <f aca="false">IFERROR(COUNTIFS(レース分析!$AQ$2:$AQ$5000,"その他",レース分析!$G$2:$G$5000,"&gt;=85",レース分析!$Y$2:$Y$5000,"&lt;&gt;参考",レース分析!$T$2:$T$5000,"&lt;=3")/COUNTIFS(レース分析!$AQ$2:$AQ$5000,"その他",レース分析!$G$2:$G$5000,"&gt;=85",レース分析!$Y$2:$Y$5000,"&lt;&gt;参考"),0)</f>
        <v>0</v>
      </c>
      <c r="E145" s="16" t="n">
        <f aca="false">IFERROR(SUMIFS(レース分析!$W$2:$W$5000,レース分析!$AQ$2:$AQ$5000,"その他",レース分析!$G$2:$G$5000,"&gt;=85",レース分析!$Y$2:$Y$5000,"&lt;&gt;参考")/(COUNTIFS(レース分析!$AQ$2:$AQ$5000,"その他",レース分析!$G$2:$G$5000,"&gt;=85",レース分析!$Y$2:$Y$5000,"&lt;&gt;参考")*100),0)</f>
        <v>0</v>
      </c>
      <c r="F145" s="15" t="s">
        <v>8333</v>
      </c>
    </row>
    <row r="146" customFormat="false" ht="15.75" hidden="false" customHeight="false" outlineLevel="0" collapsed="false">
      <c r="A146" s="15" t="s">
        <v>8343</v>
      </c>
      <c r="B146" s="15" t="s">
        <v>8299</v>
      </c>
      <c r="C146" s="7" t="n">
        <f aca="false">COUNTIFS(レース分析!$AQ$2:$AQ$5000,"分類不能",レース分析!$G$2:$G$5000,"&lt;=59",レース分析!$Y$2:$Y$5000,"&lt;&gt;参考")</f>
        <v>549</v>
      </c>
      <c r="D146" s="16" t="n">
        <f aca="false">IFERROR(COUNTIFS(レース分析!$AQ$2:$AQ$5000,"分類不能",レース分析!$G$2:$G$5000,"&lt;=59",レース分析!$Y$2:$Y$5000,"&lt;&gt;参考",レース分析!$T$2:$T$5000,"&lt;=3")/COUNTIFS(レース分析!$AQ$2:$AQ$5000,"分類不能",レース分析!$G$2:$G$5000,"&lt;=59",レース分析!$Y$2:$Y$5000,"&lt;&gt;参考"),0)</f>
        <v>0.510018214936248</v>
      </c>
      <c r="E146" s="16" t="n">
        <f aca="false">IFERROR(SUMIFS(レース分析!$W$2:$W$5000,レース分析!$AQ$2:$AQ$5000,"分類不能",レース分析!$G$2:$G$5000,"&lt;=59",レース分析!$Y$2:$Y$5000,"&lt;&gt;参考")/(COUNTIFS(レース分析!$AQ$2:$AQ$5000,"分類不能",レース分析!$G$2:$G$5000,"&lt;=59",レース分析!$Y$2:$Y$5000,"&lt;&gt;参考")*100),0)</f>
        <v>0.823132969034608</v>
      </c>
      <c r="F146" s="15" t="s">
        <v>8344</v>
      </c>
    </row>
    <row r="147" customFormat="false" ht="15.75" hidden="false" customHeight="false" outlineLevel="0" collapsed="false">
      <c r="A147" s="15" t="s">
        <v>8343</v>
      </c>
      <c r="B147" s="21" t="s">
        <v>8300</v>
      </c>
      <c r="C147" s="7" t="n">
        <f aca="false">COUNTIFS(レース分析!$AQ$2:$AQ$5000,"分類不能",レース分析!$G$2:$G$5000,"&gt;=60",レース分析!$G$2:$G$5000,"&lt;=69",レース分析!$Y$2:$Y$5000,"&lt;&gt;参考")</f>
        <v>356</v>
      </c>
      <c r="D147" s="16" t="n">
        <f aca="false">IFERROR(COUNTIFS(レース分析!$AQ$2:$AQ$5000,"分類不能",レース分析!$G$2:$G$5000,"&gt;=60",レース分析!$G$2:$G$5000,"&lt;=69",レース分析!$Y$2:$Y$5000,"&lt;&gt;参考",レース分析!$T$2:$T$5000,"&lt;=3")/COUNTIFS(レース分析!$AQ$2:$AQ$5000,"分類不能",レース分析!$G$2:$G$5000,"&gt;=60",レース分析!$G$2:$G$5000,"&lt;=69",レース分析!$Y$2:$Y$5000,"&lt;&gt;参考"),0)</f>
        <v>0.601123595505618</v>
      </c>
      <c r="E147" s="16" t="n">
        <f aca="false">IFERROR(SUMIFS(レース分析!$W$2:$W$5000,レース分析!$AQ$2:$AQ$5000,"分類不能",レース分析!$G$2:$G$5000,"&gt;=60",レース分析!$G$2:$G$5000,"&lt;=69",レース分析!$Y$2:$Y$5000,"&lt;&gt;参考")/(COUNTIFS(レース分析!$AQ$2:$AQ$5000,"分類不能",レース分析!$G$2:$G$5000,"&gt;=60",レース分析!$G$2:$G$5000,"&lt;=69",レース分析!$Y$2:$Y$5000,"&lt;&gt;参考")*100),0)</f>
        <v>0.820505617977528</v>
      </c>
      <c r="F147" s="15" t="s">
        <v>8344</v>
      </c>
    </row>
    <row r="148" customFormat="false" ht="15.75" hidden="false" customHeight="false" outlineLevel="0" collapsed="false">
      <c r="A148" s="15" t="s">
        <v>8343</v>
      </c>
      <c r="B148" s="21" t="s">
        <v>8301</v>
      </c>
      <c r="C148" s="7" t="n">
        <f aca="false">COUNTIFS(レース分析!$AQ$2:$AQ$5000,"分類不能",レース分析!$G$2:$G$5000,"&gt;=70",レース分析!$G$2:$G$5000,"&lt;=74",レース分析!$Y$2:$Y$5000,"&lt;&gt;参考")</f>
        <v>102</v>
      </c>
      <c r="D148" s="16" t="n">
        <f aca="false">IFERROR(COUNTIFS(レース分析!$AQ$2:$AQ$5000,"分類不能",レース分析!$G$2:$G$5000,"&gt;=70",レース分析!$G$2:$G$5000,"&lt;=74",レース分析!$Y$2:$Y$5000,"&lt;&gt;参考",レース分析!$T$2:$T$5000,"&lt;=3")/COUNTIFS(レース分析!$AQ$2:$AQ$5000,"分類不能",レース分析!$G$2:$G$5000,"&gt;=70",レース分析!$G$2:$G$5000,"&lt;=74",レース分析!$Y$2:$Y$5000,"&lt;&gt;参考"),0)</f>
        <v>0.725490196078431</v>
      </c>
      <c r="E148" s="16" t="n">
        <f aca="false">IFERROR(SUMIFS(レース分析!$W$2:$W$5000,レース分析!$AQ$2:$AQ$5000,"分類不能",レース分析!$G$2:$G$5000,"&gt;=70",レース分析!$G$2:$G$5000,"&lt;=74",レース分析!$Y$2:$Y$5000,"&lt;&gt;参考")/(COUNTIFS(レース分析!$AQ$2:$AQ$5000,"分類不能",レース分析!$G$2:$G$5000,"&gt;=70",レース分析!$G$2:$G$5000,"&lt;=74",レース分析!$Y$2:$Y$5000,"&lt;&gt;参考")*100),0)</f>
        <v>0.898039215686275</v>
      </c>
      <c r="F148" s="15" t="s">
        <v>8344</v>
      </c>
    </row>
    <row r="149" customFormat="false" ht="15.75" hidden="false" customHeight="false" outlineLevel="0" collapsed="false">
      <c r="A149" s="15" t="s">
        <v>8343</v>
      </c>
      <c r="B149" s="21" t="s">
        <v>8302</v>
      </c>
      <c r="C149" s="7" t="n">
        <f aca="false">COUNTIFS(レース分析!$AQ$2:$AQ$5000,"分類不能",レース分析!$G$2:$G$5000,"&gt;=75",レース分析!$G$2:$G$5000,"&lt;=79",レース分析!$Y$2:$Y$5000,"&lt;&gt;参考")</f>
        <v>30</v>
      </c>
      <c r="D149" s="16" t="n">
        <f aca="false">IFERROR(COUNTIFS(レース分析!$AQ$2:$AQ$5000,"分類不能",レース分析!$G$2:$G$5000,"&gt;=75",レース分析!$G$2:$G$5000,"&lt;=79",レース分析!$Y$2:$Y$5000,"&lt;&gt;参考",レース分析!$T$2:$T$5000,"&lt;=3")/COUNTIFS(レース分析!$AQ$2:$AQ$5000,"分類不能",レース分析!$G$2:$G$5000,"&gt;=75",レース分析!$G$2:$G$5000,"&lt;=79",レース分析!$Y$2:$Y$5000,"&lt;&gt;参考"),0)</f>
        <v>0.666666666666667</v>
      </c>
      <c r="E149" s="16" t="n">
        <f aca="false">IFERROR(SUMIFS(レース分析!$W$2:$W$5000,レース分析!$AQ$2:$AQ$5000,"分類不能",レース分析!$G$2:$G$5000,"&gt;=75",レース分析!$G$2:$G$5000,"&lt;=79",レース分析!$Y$2:$Y$5000,"&lt;&gt;参考")/(COUNTIFS(レース分析!$AQ$2:$AQ$5000,"分類不能",レース分析!$G$2:$G$5000,"&gt;=75",レース分析!$G$2:$G$5000,"&lt;=79",レース分析!$Y$2:$Y$5000,"&lt;&gt;参考")*100),0)</f>
        <v>0.74</v>
      </c>
      <c r="F149" s="15" t="s">
        <v>8344</v>
      </c>
    </row>
    <row r="150" customFormat="false" ht="15.75" hidden="false" customHeight="false" outlineLevel="0" collapsed="false">
      <c r="A150" s="15" t="s">
        <v>8343</v>
      </c>
      <c r="B150" s="21" t="s">
        <v>8303</v>
      </c>
      <c r="C150" s="7" t="n">
        <f aca="false">COUNTIFS(レース分析!$AQ$2:$AQ$5000,"分類不能",レース分析!$G$2:$G$5000,"&gt;=80",レース分析!$G$2:$G$5000,"&lt;=84",レース分析!$Y$2:$Y$5000,"&lt;&gt;参考")</f>
        <v>66</v>
      </c>
      <c r="D150" s="16" t="n">
        <f aca="false">IFERROR(COUNTIFS(レース分析!$AQ$2:$AQ$5000,"分類不能",レース分析!$G$2:$G$5000,"&gt;=80",レース分析!$G$2:$G$5000,"&lt;=84",レース分析!$Y$2:$Y$5000,"&lt;&gt;参考",レース分析!$T$2:$T$5000,"&lt;=3")/COUNTIFS(レース分析!$AQ$2:$AQ$5000,"分類不能",レース分析!$G$2:$G$5000,"&gt;=80",レース分析!$G$2:$G$5000,"&lt;=84",レース分析!$Y$2:$Y$5000,"&lt;&gt;参考"),0)</f>
        <v>0.742424242424242</v>
      </c>
      <c r="E150" s="16" t="n">
        <f aca="false">IFERROR(SUMIFS(レース分析!$W$2:$W$5000,レース分析!$AQ$2:$AQ$5000,"分類不能",レース分析!$G$2:$G$5000,"&gt;=80",レース分析!$G$2:$G$5000,"&lt;=84",レース分析!$Y$2:$Y$5000,"&lt;&gt;参考")/(COUNTIFS(レース分析!$AQ$2:$AQ$5000,"分類不能",レース分析!$G$2:$G$5000,"&gt;=80",レース分析!$G$2:$G$5000,"&lt;=84",レース分析!$Y$2:$Y$5000,"&lt;&gt;参考")*100),0)</f>
        <v>0.836363636363636</v>
      </c>
      <c r="F150" s="15" t="s">
        <v>8344</v>
      </c>
    </row>
    <row r="151" customFormat="false" ht="15.75" hidden="false" customHeight="false" outlineLevel="0" collapsed="false">
      <c r="A151" s="15" t="s">
        <v>8343</v>
      </c>
      <c r="B151" s="21" t="s">
        <v>8304</v>
      </c>
      <c r="C151" s="7" t="n">
        <f aca="false">COUNTIFS(レース分析!$AQ$2:$AQ$5000,"分類不能",レース分析!$G$2:$G$5000,"&gt;=85",レース分析!$Y$2:$Y$5000,"&lt;&gt;参考")</f>
        <v>34</v>
      </c>
      <c r="D151" s="16" t="n">
        <f aca="false">IFERROR(COUNTIFS(レース分析!$AQ$2:$AQ$5000,"分類不能",レース分析!$G$2:$G$5000,"&gt;=85",レース分析!$Y$2:$Y$5000,"&lt;&gt;参考",レース分析!$T$2:$T$5000,"&lt;=3")/COUNTIFS(レース分析!$AQ$2:$AQ$5000,"分類不能",レース分析!$G$2:$G$5000,"&gt;=85",レース分析!$Y$2:$Y$5000,"&lt;&gt;参考"),0)</f>
        <v>0.882352941176471</v>
      </c>
      <c r="E151" s="16" t="n">
        <f aca="false">IFERROR(SUMIFS(レース分析!$W$2:$W$5000,レース分析!$AQ$2:$AQ$5000,"分類不能",レース分析!$G$2:$G$5000,"&gt;=85",レース分析!$Y$2:$Y$5000,"&lt;&gt;参考")/(COUNTIFS(レース分析!$AQ$2:$AQ$5000,"分類不能",レース分析!$G$2:$G$5000,"&gt;=85",レース分析!$Y$2:$Y$5000,"&lt;&gt;参考")*100),0)</f>
        <v>0.994117647058824</v>
      </c>
      <c r="F151" s="15" t="s">
        <v>8344</v>
      </c>
    </row>
    <row r="154" customFormat="false" ht="15.75" hidden="false" customHeight="false" outlineLevel="0" collapsed="false">
      <c r="A154" s="15" t="s">
        <v>8345</v>
      </c>
    </row>
    <row r="157" customFormat="false" ht="15.75" hidden="false" customHeight="false" outlineLevel="0" collapsed="false">
      <c r="A157" s="23" t="s">
        <v>8346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M157" s="24" t="s">
        <v>8347</v>
      </c>
      <c r="N157" s="24"/>
      <c r="O157" s="24"/>
      <c r="P157" s="24"/>
      <c r="Q157" s="24"/>
      <c r="R157" s="24"/>
      <c r="S157" s="24"/>
    </row>
    <row r="159" customFormat="false" ht="15.75" hidden="false" customHeight="false" outlineLevel="0" collapsed="false">
      <c r="A159" s="25" t="s">
        <v>8348</v>
      </c>
      <c r="B159" s="25"/>
      <c r="C159" s="25"/>
    </row>
    <row r="160" customFormat="false" ht="15.75" hidden="false" customHeight="false" outlineLevel="0" collapsed="false">
      <c r="A160" s="26" t="s">
        <v>8349</v>
      </c>
      <c r="B160" s="26" t="n">
        <v>1145</v>
      </c>
      <c r="C160" s="27" t="s">
        <v>8350</v>
      </c>
    </row>
    <row r="161" customFormat="false" ht="28.35" hidden="false" customHeight="false" outlineLevel="0" collapsed="false">
      <c r="A161" s="26" t="s">
        <v>8351</v>
      </c>
      <c r="B161" s="26" t="n">
        <v>1145</v>
      </c>
      <c r="C161" s="26" t="s">
        <v>8352</v>
      </c>
    </row>
    <row r="162" customFormat="false" ht="15.75" hidden="false" customHeight="false" outlineLevel="0" collapsed="false">
      <c r="A162" s="27" t="s">
        <v>8353</v>
      </c>
      <c r="B162" s="26" t="n">
        <f aca="false">COUNTIF(レース分析!$BT$2:$BT$5000,"一致")</f>
        <v>1145</v>
      </c>
      <c r="C162" s="27" t="s">
        <v>8354</v>
      </c>
    </row>
    <row r="163" customFormat="false" ht="15.75" hidden="false" customHeight="false" outlineLevel="0" collapsed="false">
      <c r="A163" s="27" t="s">
        <v>8355</v>
      </c>
      <c r="B163" s="26" t="n">
        <f aca="false">COUNTIF(レース分析!$BT$2:$BT$5000,"未結合")</f>
        <v>0</v>
      </c>
      <c r="C163" s="27" t="s">
        <v>8356</v>
      </c>
    </row>
    <row r="164" customFormat="false" ht="28.35" hidden="false" customHeight="false" outlineLevel="0" collapsed="false">
      <c r="A164" s="27" t="s">
        <v>8357</v>
      </c>
      <c r="B164" s="26" t="n">
        <v>0</v>
      </c>
      <c r="C164" s="26" t="s">
        <v>8358</v>
      </c>
    </row>
    <row r="165" customFormat="false" ht="15.75" hidden="false" customHeight="false" outlineLevel="0" collapsed="false">
      <c r="A165" s="27" t="s">
        <v>8359</v>
      </c>
      <c r="B165" s="26" t="n">
        <v>0</v>
      </c>
      <c r="C165" s="27" t="s">
        <v>8360</v>
      </c>
    </row>
    <row r="166" customFormat="false" ht="28.35" hidden="false" customHeight="false" outlineLevel="0" collapsed="false">
      <c r="A166" s="27" t="s">
        <v>8361</v>
      </c>
      <c r="B166" s="26" t="n">
        <f aca="false">COUNTIF(レース分析!$BT$2:$BT$5000,"不一致")</f>
        <v>0</v>
      </c>
      <c r="C166" s="27" t="s">
        <v>8362</v>
      </c>
    </row>
    <row r="170" customFormat="false" ht="15.75" hidden="false" customHeight="false" outlineLevel="0" collapsed="false">
      <c r="A170" s="28" t="s">
        <v>8363</v>
      </c>
      <c r="B170" s="28"/>
      <c r="C170" s="28"/>
      <c r="D170" s="28"/>
      <c r="E170" s="28"/>
      <c r="F170" s="28"/>
      <c r="G170" s="28"/>
      <c r="H170" s="28"/>
      <c r="I170" s="28"/>
      <c r="J170" s="28"/>
      <c r="K170" s="28"/>
    </row>
    <row r="171" customFormat="false" ht="15.75" hidden="false" customHeight="false" outlineLevel="0" collapsed="false">
      <c r="A171" s="29" t="s">
        <v>8364</v>
      </c>
      <c r="B171" s="29" t="s">
        <v>8365</v>
      </c>
      <c r="C171" s="30" t="s">
        <v>8366</v>
      </c>
      <c r="D171" s="29" t="s">
        <v>8279</v>
      </c>
      <c r="E171" s="29" t="s">
        <v>8280</v>
      </c>
      <c r="F171" s="29" t="s">
        <v>8281</v>
      </c>
      <c r="G171" s="30" t="s">
        <v>8367</v>
      </c>
      <c r="H171" s="29" t="s">
        <v>8368</v>
      </c>
      <c r="I171" s="29" t="s">
        <v>8283</v>
      </c>
      <c r="J171" s="29" t="s">
        <v>8174</v>
      </c>
      <c r="K171" s="29" t="s">
        <v>8369</v>
      </c>
      <c r="M171" s="29" t="s">
        <v>8364</v>
      </c>
      <c r="N171" s="29" t="s">
        <v>8365</v>
      </c>
      <c r="O171" s="30" t="s">
        <v>8370</v>
      </c>
      <c r="P171" s="30" t="s">
        <v>8371</v>
      </c>
      <c r="Q171" s="30" t="s">
        <v>8372</v>
      </c>
      <c r="R171" s="30" t="s">
        <v>8373</v>
      </c>
      <c r="S171" s="29" t="s">
        <v>8369</v>
      </c>
    </row>
    <row r="172" customFormat="false" ht="15.75" hidden="false" customHeight="false" outlineLevel="0" collapsed="false">
      <c r="A172" s="31" t="s">
        <v>8374</v>
      </c>
      <c r="B172" s="32" t="s">
        <v>8375</v>
      </c>
      <c r="C172" s="33" t="s">
        <v>8376</v>
      </c>
      <c r="D172" s="34" t="n">
        <f aca="false">COUNTIFS(レース分析!$AJ$2:$AJ$5000,$C172,レース分析!$BQ$2:$BQ$5000,$B172)</f>
        <v>16</v>
      </c>
      <c r="E172" s="34" t="n">
        <f aca="false">COUNTIFS(レース分析!$AJ$2:$AJ$5000,$C172,レース分析!$BQ$2:$BQ$5000,$B172,レース分析!$T$2:$T$5000,"&lt;=3")</f>
        <v>10</v>
      </c>
      <c r="F172" s="35" t="n">
        <f aca="false">IFERROR(E172/D172,0)</f>
        <v>0</v>
      </c>
      <c r="G172" s="34" t="n">
        <f aca="false">D172*100</f>
        <v>1600</v>
      </c>
      <c r="H172" s="34" t="n">
        <f aca="false">SUMIFS(レース分析!$W$2:$W$5000,レース分析!$AJ$2:$AJ$5000,$C172,レース分析!$BQ$2:$BQ$5000,$B172)</f>
        <v>1070</v>
      </c>
      <c r="I172" s="35" t="n">
        <f aca="false">IFERROR(H172/G172,0)</f>
        <v>0</v>
      </c>
      <c r="J172" s="34" t="n">
        <f aca="false">H172-G172</f>
        <v>-530</v>
      </c>
      <c r="K172" s="33" t="str">
        <f aca="false">IF(D172&lt;10,"少数","-")</f>
        <v>-</v>
      </c>
      <c r="M172" s="31" t="s">
        <v>8374</v>
      </c>
      <c r="N172" s="32" t="s">
        <v>8375</v>
      </c>
      <c r="O172" s="33" t="n">
        <f aca="false">COUNTIFS(レース分析!$AJ$2:$AJ$5000,"80～84",レース分析!$BQ$2:$BQ$5000,$N172)</f>
        <v>16</v>
      </c>
      <c r="P172" s="35" t="n">
        <f aca="false">IFERROR(SUMIFS(レース分析!$W$2:$W$5000,レース分析!$AJ$2:$AJ$5000,"80～84",レース分析!$BQ$2:$BQ$5000,$N172)/(O172*100),0)</f>
        <v>0.66875</v>
      </c>
      <c r="Q172" s="33" t="n">
        <f aca="false">COUNTIFS(レース分析!$AJ$2:$AJ$5000,"85以上",レース分析!$BQ$2:$BQ$5000,$N172)</f>
        <v>3</v>
      </c>
      <c r="R172" s="35" t="n">
        <f aca="false">IFERROR(SUMIFS(レース分析!$W$2:$W$5000,レース分析!$AJ$2:$AJ$5000,"85以上",レース分析!$BQ$2:$BQ$5000,$N172)/(Q172*100),0)</f>
        <v>1.06666666666667</v>
      </c>
      <c r="S172" s="33" t="str">
        <f aca="false">IF(OR(O172&lt;10,Q172&lt;10),"少数あり","-")</f>
        <v>少数あり</v>
      </c>
    </row>
    <row r="173" customFormat="false" ht="15.75" hidden="false" customHeight="false" outlineLevel="0" collapsed="false">
      <c r="A173" s="36" t="s">
        <v>8374</v>
      </c>
      <c r="B173" s="37" t="s">
        <v>8375</v>
      </c>
      <c r="C173" s="38" t="s">
        <v>8377</v>
      </c>
      <c r="D173" s="39" t="n">
        <f aca="false">COUNTIFS(レース分析!$AJ$2:$AJ$5000,$C173,レース分析!$BQ$2:$BQ$5000,$B173)</f>
        <v>3</v>
      </c>
      <c r="E173" s="39" t="n">
        <f aca="false">COUNTIFS(レース分析!$AJ$2:$AJ$5000,$C173,レース分析!$BQ$2:$BQ$5000,$B173,レース分析!$T$2:$T$5000,"&lt;=3")</f>
        <v>3</v>
      </c>
      <c r="F173" s="40" t="n">
        <f aca="false">IFERROR(E173/D173,0)</f>
        <v>0</v>
      </c>
      <c r="G173" s="39" t="n">
        <f aca="false">D173*100</f>
        <v>300</v>
      </c>
      <c r="H173" s="39" t="n">
        <f aca="false">SUMIFS(レース分析!$W$2:$W$5000,レース分析!$AJ$2:$AJ$5000,$C173,レース分析!$BQ$2:$BQ$5000,$B173)</f>
        <v>320</v>
      </c>
      <c r="I173" s="40" t="n">
        <f aca="false">IFERROR(H173/G173,0)</f>
        <v>0</v>
      </c>
      <c r="J173" s="39" t="n">
        <f aca="false">H173-G173</f>
        <v>20</v>
      </c>
      <c r="K173" s="38" t="str">
        <f aca="false">IF(D173&lt;10,"少数","-")</f>
        <v>少数</v>
      </c>
      <c r="M173" s="36" t="s">
        <v>8374</v>
      </c>
      <c r="N173" s="37" t="s">
        <v>8378</v>
      </c>
      <c r="O173" s="38" t="n">
        <f aca="false">COUNTIFS(レース分析!$AJ$2:$AJ$5000,"80～84",レース分析!$BQ$2:$BQ$5000,$N173)</f>
        <v>28</v>
      </c>
      <c r="P173" s="40" t="n">
        <f aca="false">IFERROR(SUMIFS(レース分析!$W$2:$W$5000,レース分析!$AJ$2:$AJ$5000,"80～84",レース分析!$BQ$2:$BQ$5000,$N173)/(O173*100),0)</f>
        <v>0.932142857142857</v>
      </c>
      <c r="Q173" s="38" t="n">
        <f aca="false">COUNTIFS(レース分析!$AJ$2:$AJ$5000,"85以上",レース分析!$BQ$2:$BQ$5000,$N173)</f>
        <v>18</v>
      </c>
      <c r="R173" s="40" t="n">
        <f aca="false">IFERROR(SUMIFS(レース分析!$W$2:$W$5000,レース分析!$AJ$2:$AJ$5000,"85以上",レース分析!$BQ$2:$BQ$5000,$N173)/(Q173*100),0)</f>
        <v>0.922222222222222</v>
      </c>
      <c r="S173" s="38" t="str">
        <f aca="false">IF(OR(O173&lt;10,Q173&lt;10),"少数あり","-")</f>
        <v>-</v>
      </c>
    </row>
    <row r="174" customFormat="false" ht="15.75" hidden="false" customHeight="false" outlineLevel="0" collapsed="false">
      <c r="A174" s="31" t="s">
        <v>8374</v>
      </c>
      <c r="B174" s="32" t="s">
        <v>8378</v>
      </c>
      <c r="C174" s="33" t="s">
        <v>8376</v>
      </c>
      <c r="D174" s="34" t="n">
        <f aca="false">COUNTIFS(レース分析!$AJ$2:$AJ$5000,$C174,レース分析!$BQ$2:$BQ$5000,$B174)</f>
        <v>28</v>
      </c>
      <c r="E174" s="34" t="n">
        <f aca="false">COUNTIFS(レース分析!$AJ$2:$AJ$5000,$C174,レース分析!$BQ$2:$BQ$5000,$B174,レース分析!$T$2:$T$5000,"&lt;=3")</f>
        <v>23</v>
      </c>
      <c r="F174" s="35" t="n">
        <f aca="false">IFERROR(E174/D174,0)</f>
        <v>0</v>
      </c>
      <c r="G174" s="34" t="n">
        <f aca="false">D174*100</f>
        <v>2800</v>
      </c>
      <c r="H174" s="34" t="n">
        <f aca="false">SUMIFS(レース分析!$W$2:$W$5000,レース分析!$AJ$2:$AJ$5000,$C174,レース分析!$BQ$2:$BQ$5000,$B174)</f>
        <v>2610</v>
      </c>
      <c r="I174" s="35" t="n">
        <f aca="false">IFERROR(H174/G174,0)</f>
        <v>0</v>
      </c>
      <c r="J174" s="34" t="n">
        <f aca="false">H174-G174</f>
        <v>-190</v>
      </c>
      <c r="K174" s="33" t="str">
        <f aca="false">IF(D174&lt;10,"少数","-")</f>
        <v>-</v>
      </c>
      <c r="M174" s="31" t="s">
        <v>8374</v>
      </c>
      <c r="N174" s="32" t="s">
        <v>8379</v>
      </c>
      <c r="O174" s="33" t="n">
        <f aca="false">COUNTIFS(レース分析!$AJ$2:$AJ$5000,"80～84",レース分析!$BQ$2:$BQ$5000,$N174)</f>
        <v>18</v>
      </c>
      <c r="P174" s="35" t="n">
        <f aca="false">IFERROR(SUMIFS(レース分析!$W$2:$W$5000,レース分析!$AJ$2:$AJ$5000,"80～84",レース分析!$BQ$2:$BQ$5000,$N174)/(O174*100),0)</f>
        <v>0.788888888888889</v>
      </c>
      <c r="Q174" s="33" t="n">
        <f aca="false">COUNTIFS(レース分析!$AJ$2:$AJ$5000,"85以上",レース分析!$BQ$2:$BQ$5000,$N174)</f>
        <v>10</v>
      </c>
      <c r="R174" s="35" t="n">
        <f aca="false">IFERROR(SUMIFS(レース分析!$W$2:$W$5000,レース分析!$AJ$2:$AJ$5000,"85以上",レース分析!$BQ$2:$BQ$5000,$N174)/(Q174*100),0)</f>
        <v>1.07</v>
      </c>
      <c r="S174" s="33" t="str">
        <f aca="false">IF(OR(O174&lt;10,Q174&lt;10),"少数あり","-")</f>
        <v>-</v>
      </c>
    </row>
    <row r="175" customFormat="false" ht="15.75" hidden="false" customHeight="false" outlineLevel="0" collapsed="false">
      <c r="A175" s="36" t="s">
        <v>8374</v>
      </c>
      <c r="B175" s="37" t="s">
        <v>8378</v>
      </c>
      <c r="C175" s="38" t="s">
        <v>8377</v>
      </c>
      <c r="D175" s="39" t="n">
        <f aca="false">COUNTIFS(レース分析!$AJ$2:$AJ$5000,$C175,レース分析!$BQ$2:$BQ$5000,$B175)</f>
        <v>18</v>
      </c>
      <c r="E175" s="39" t="n">
        <f aca="false">COUNTIFS(レース分析!$AJ$2:$AJ$5000,$C175,レース分析!$BQ$2:$BQ$5000,$B175,レース分析!$T$2:$T$5000,"&lt;=3")</f>
        <v>15</v>
      </c>
      <c r="F175" s="40" t="n">
        <f aca="false">IFERROR(E175/D175,0)</f>
        <v>0</v>
      </c>
      <c r="G175" s="39" t="n">
        <f aca="false">D175*100</f>
        <v>1800</v>
      </c>
      <c r="H175" s="39" t="n">
        <f aca="false">SUMIFS(レース分析!$W$2:$W$5000,レース分析!$AJ$2:$AJ$5000,$C175,レース分析!$BQ$2:$BQ$5000,$B175)</f>
        <v>1660</v>
      </c>
      <c r="I175" s="40" t="n">
        <f aca="false">IFERROR(H175/G175,0)</f>
        <v>0</v>
      </c>
      <c r="J175" s="39" t="n">
        <f aca="false">H175-G175</f>
        <v>-140</v>
      </c>
      <c r="K175" s="38" t="str">
        <f aca="false">IF(D175&lt;10,"少数","-")</f>
        <v>-</v>
      </c>
      <c r="M175" s="36" t="s">
        <v>8374</v>
      </c>
      <c r="N175" s="37" t="s">
        <v>8380</v>
      </c>
      <c r="O175" s="38" t="n">
        <f aca="false">COUNTIFS(レース分析!$AJ$2:$AJ$5000,"80～84",レース分析!$BQ$2:$BQ$5000,$N175)</f>
        <v>6</v>
      </c>
      <c r="P175" s="40" t="n">
        <f aca="false">IFERROR(SUMIFS(レース分析!$W$2:$W$5000,レース分析!$AJ$2:$AJ$5000,"80～84",レース分析!$BQ$2:$BQ$5000,$N175)/(O175*100),0)</f>
        <v>0.883333333333333</v>
      </c>
      <c r="Q175" s="38" t="n">
        <f aca="false">COUNTIFS(レース分析!$AJ$2:$AJ$5000,"85以上",レース分析!$BQ$2:$BQ$5000,$N175)</f>
        <v>3</v>
      </c>
      <c r="R175" s="40" t="n">
        <f aca="false">IFERROR(SUMIFS(レース分析!$W$2:$W$5000,レース分析!$AJ$2:$AJ$5000,"85以上",レース分析!$BQ$2:$BQ$5000,$N175)/(Q175*100),0)</f>
        <v>1.1</v>
      </c>
      <c r="S175" s="38" t="str">
        <f aca="false">IF(OR(O175&lt;10,Q175&lt;10),"少数あり","-")</f>
        <v>少数あり</v>
      </c>
    </row>
    <row r="176" customFormat="false" ht="15.75" hidden="false" customHeight="false" outlineLevel="0" collapsed="false">
      <c r="A176" s="31" t="s">
        <v>8374</v>
      </c>
      <c r="B176" s="32" t="s">
        <v>8379</v>
      </c>
      <c r="C176" s="33" t="s">
        <v>8376</v>
      </c>
      <c r="D176" s="34" t="n">
        <f aca="false">COUNTIFS(レース分析!$AJ$2:$AJ$5000,$C176,レース分析!$BQ$2:$BQ$5000,$B176)</f>
        <v>18</v>
      </c>
      <c r="E176" s="34" t="n">
        <f aca="false">COUNTIFS(レース分析!$AJ$2:$AJ$5000,$C176,レース分析!$BQ$2:$BQ$5000,$B176,レース分析!$T$2:$T$5000,"&lt;=3")</f>
        <v>12</v>
      </c>
      <c r="F176" s="35" t="n">
        <f aca="false">IFERROR(E176/D176,0)</f>
        <v>0</v>
      </c>
      <c r="G176" s="34" t="n">
        <f aca="false">D176*100</f>
        <v>1800</v>
      </c>
      <c r="H176" s="34" t="n">
        <f aca="false">SUMIFS(レース分析!$W$2:$W$5000,レース分析!$AJ$2:$AJ$5000,$C176,レース分析!$BQ$2:$BQ$5000,$B176)</f>
        <v>1420</v>
      </c>
      <c r="I176" s="35" t="n">
        <f aca="false">IFERROR(H176/G176,0)</f>
        <v>0</v>
      </c>
      <c r="J176" s="34" t="n">
        <f aca="false">H176-G176</f>
        <v>-380</v>
      </c>
      <c r="K176" s="33" t="str">
        <f aca="false">IF(D176&lt;10,"少数","-")</f>
        <v>-</v>
      </c>
      <c r="M176" s="31" t="s">
        <v>8374</v>
      </c>
      <c r="N176" s="31" t="s">
        <v>7642</v>
      </c>
      <c r="O176" s="33" t="n">
        <f aca="false">COUNTIFS(レース分析!$AJ$2:$AJ$5000,"80～84",レース分析!$BQ$2:$BQ$5000,$N176)</f>
        <v>0</v>
      </c>
      <c r="P176" s="35" t="n">
        <f aca="false">IFERROR(SUMIFS(レース分析!$W$2:$W$5000,レース分析!$AJ$2:$AJ$5000,"80～84",レース分析!$BQ$2:$BQ$5000,$N176)/(O176*100),0)</f>
        <v>0</v>
      </c>
      <c r="Q176" s="33" t="n">
        <f aca="false">COUNTIFS(レース分析!$AJ$2:$AJ$5000,"85以上",レース分析!$BQ$2:$BQ$5000,$N176)</f>
        <v>0</v>
      </c>
      <c r="R176" s="35" t="n">
        <f aca="false">IFERROR(SUMIFS(レース分析!$W$2:$W$5000,レース分析!$AJ$2:$AJ$5000,"85以上",レース分析!$BQ$2:$BQ$5000,$N176)/(Q176*100),0)</f>
        <v>0</v>
      </c>
      <c r="S176" s="33" t="str">
        <f aca="false">IF(OR(O176&lt;10,Q176&lt;10),"少数あり","-")</f>
        <v>少数あり</v>
      </c>
    </row>
    <row r="177" customFormat="false" ht="15.75" hidden="false" customHeight="false" outlineLevel="0" collapsed="false">
      <c r="A177" s="36" t="s">
        <v>8374</v>
      </c>
      <c r="B177" s="37" t="s">
        <v>8379</v>
      </c>
      <c r="C177" s="38" t="s">
        <v>8377</v>
      </c>
      <c r="D177" s="39" t="n">
        <f aca="false">COUNTIFS(レース分析!$AJ$2:$AJ$5000,$C177,レース分析!$BQ$2:$BQ$5000,$B177)</f>
        <v>10</v>
      </c>
      <c r="E177" s="39" t="n">
        <f aca="false">COUNTIFS(レース分析!$AJ$2:$AJ$5000,$C177,レース分析!$BQ$2:$BQ$5000,$B177,レース分析!$T$2:$T$5000,"&lt;=3")</f>
        <v>9</v>
      </c>
      <c r="F177" s="40" t="n">
        <f aca="false">IFERROR(E177/D177,0)</f>
        <v>0</v>
      </c>
      <c r="G177" s="39" t="n">
        <f aca="false">D177*100</f>
        <v>1000</v>
      </c>
      <c r="H177" s="39" t="n">
        <f aca="false">SUMIFS(レース分析!$W$2:$W$5000,レース分析!$AJ$2:$AJ$5000,$C177,レース分析!$BQ$2:$BQ$5000,$B177)</f>
        <v>1070</v>
      </c>
      <c r="I177" s="40" t="n">
        <f aca="false">IFERROR(H177/G177,0)</f>
        <v>0</v>
      </c>
      <c r="J177" s="39" t="n">
        <f aca="false">H177-G177</f>
        <v>70</v>
      </c>
      <c r="K177" s="38" t="str">
        <f aca="false">IF(D177&lt;10,"少数","-")</f>
        <v>-</v>
      </c>
      <c r="M177" s="36" t="s">
        <v>8381</v>
      </c>
      <c r="N177" s="36" t="s">
        <v>7616</v>
      </c>
      <c r="O177" s="38" t="n">
        <f aca="false">COUNTIFS(レース分析!$AJ$2:$AJ$5000,"80～84",レース分析!$AV$2:$AV$5000,$N177)</f>
        <v>0</v>
      </c>
      <c r="P177" s="40" t="n">
        <f aca="false">IFERROR(SUMIFS(レース分析!$W$2:$W$5000,レース分析!$AJ$2:$AJ$5000,"80～84",レース分析!$AV$2:$AV$5000,$N177)/(O177*100),0)</f>
        <v>0</v>
      </c>
      <c r="Q177" s="38" t="n">
        <f aca="false">COUNTIFS(レース分析!$AJ$2:$AJ$5000,"85以上",レース分析!$AV$2:$AV$5000,$N177)</f>
        <v>0</v>
      </c>
      <c r="R177" s="40" t="n">
        <f aca="false">IFERROR(SUMIFS(レース分析!$W$2:$W$5000,レース分析!$AJ$2:$AJ$5000,"85以上",レース分析!$AV$2:$AV$5000,$N177)/(Q177*100),0)</f>
        <v>0</v>
      </c>
      <c r="S177" s="38" t="str">
        <f aca="false">IF(OR(O177&lt;10,Q177&lt;10),"少数あり","-")</f>
        <v>少数あり</v>
      </c>
    </row>
    <row r="178" customFormat="false" ht="15.75" hidden="false" customHeight="false" outlineLevel="0" collapsed="false">
      <c r="A178" s="31" t="s">
        <v>8374</v>
      </c>
      <c r="B178" s="32" t="s">
        <v>8380</v>
      </c>
      <c r="C178" s="33" t="s">
        <v>8376</v>
      </c>
      <c r="D178" s="34" t="n">
        <f aca="false">COUNTIFS(レース分析!$AJ$2:$AJ$5000,$C178,レース分析!$BQ$2:$BQ$5000,$B178)</f>
        <v>6</v>
      </c>
      <c r="E178" s="34" t="n">
        <f aca="false">COUNTIFS(レース分析!$AJ$2:$AJ$5000,$C178,レース分析!$BQ$2:$BQ$5000,$B178,レース分析!$T$2:$T$5000,"&lt;=3")</f>
        <v>5</v>
      </c>
      <c r="F178" s="35" t="n">
        <f aca="false">IFERROR(E178/D178,0)</f>
        <v>0</v>
      </c>
      <c r="G178" s="34" t="n">
        <f aca="false">D178*100</f>
        <v>600</v>
      </c>
      <c r="H178" s="34" t="n">
        <f aca="false">SUMIFS(レース分析!$W$2:$W$5000,レース分析!$AJ$2:$AJ$5000,$C178,レース分析!$BQ$2:$BQ$5000,$B178)</f>
        <v>530</v>
      </c>
      <c r="I178" s="35" t="n">
        <f aca="false">IFERROR(H178/G178,0)</f>
        <v>0</v>
      </c>
      <c r="J178" s="34" t="n">
        <f aca="false">H178-G178</f>
        <v>-70</v>
      </c>
      <c r="K178" s="33" t="str">
        <f aca="false">IF(D178&lt;10,"少数","-")</f>
        <v>少数</v>
      </c>
      <c r="M178" s="31" t="s">
        <v>8381</v>
      </c>
      <c r="N178" s="31" t="s">
        <v>7601</v>
      </c>
      <c r="O178" s="33" t="n">
        <f aca="false">COUNTIFS(レース分析!$AJ$2:$AJ$5000,"80～84",レース分析!$AV$2:$AV$5000,$N178)</f>
        <v>40</v>
      </c>
      <c r="P178" s="35" t="n">
        <f aca="false">IFERROR(SUMIFS(レース分析!$W$2:$W$5000,レース分析!$AJ$2:$AJ$5000,"80～84",レース分析!$AV$2:$AV$5000,$N178)/(O178*100),0)</f>
        <v>0.865</v>
      </c>
      <c r="Q178" s="33" t="n">
        <f aca="false">COUNTIFS(レース分析!$AJ$2:$AJ$5000,"85以上",レース分析!$AV$2:$AV$5000,$N178)</f>
        <v>21</v>
      </c>
      <c r="R178" s="35" t="n">
        <f aca="false">IFERROR(SUMIFS(レース分析!$W$2:$W$5000,レース分析!$AJ$2:$AJ$5000,"85以上",レース分析!$AV$2:$AV$5000,$N178)/(Q178*100),0)</f>
        <v>0.942857142857143</v>
      </c>
      <c r="S178" s="33" t="str">
        <f aca="false">IF(OR(O178&lt;10,Q178&lt;10),"少数あり","-")</f>
        <v>-</v>
      </c>
    </row>
    <row r="179" customFormat="false" ht="15.75" hidden="false" customHeight="false" outlineLevel="0" collapsed="false">
      <c r="A179" s="36" t="s">
        <v>8374</v>
      </c>
      <c r="B179" s="37" t="s">
        <v>8380</v>
      </c>
      <c r="C179" s="38" t="s">
        <v>8377</v>
      </c>
      <c r="D179" s="39" t="n">
        <f aca="false">COUNTIFS(レース分析!$AJ$2:$AJ$5000,$C179,レース分析!$BQ$2:$BQ$5000,$B179)</f>
        <v>3</v>
      </c>
      <c r="E179" s="39" t="n">
        <f aca="false">COUNTIFS(レース分析!$AJ$2:$AJ$5000,$C179,レース分析!$BQ$2:$BQ$5000,$B179,レース分析!$T$2:$T$5000,"&lt;=3")</f>
        <v>3</v>
      </c>
      <c r="F179" s="40" t="n">
        <f aca="false">IFERROR(E179/D179,0)</f>
        <v>0</v>
      </c>
      <c r="G179" s="39" t="n">
        <f aca="false">D179*100</f>
        <v>300</v>
      </c>
      <c r="H179" s="39" t="n">
        <f aca="false">SUMIFS(レース分析!$W$2:$W$5000,レース分析!$AJ$2:$AJ$5000,$C179,レース分析!$BQ$2:$BQ$5000,$B179)</f>
        <v>330</v>
      </c>
      <c r="I179" s="40" t="n">
        <f aca="false">IFERROR(H179/G179,0)</f>
        <v>0</v>
      </c>
      <c r="J179" s="39" t="n">
        <f aca="false">H179-G179</f>
        <v>30</v>
      </c>
      <c r="K179" s="38" t="str">
        <f aca="false">IF(D179&lt;10,"少数","-")</f>
        <v>少数</v>
      </c>
      <c r="M179" s="36" t="s">
        <v>8381</v>
      </c>
      <c r="N179" s="37" t="s">
        <v>8382</v>
      </c>
      <c r="O179" s="38" t="n">
        <f aca="false">COUNTIFS(レース分析!$AJ$2:$AJ$5000,"80～84",レース分析!$AV$2:$AV$5000,$N179)</f>
        <v>14</v>
      </c>
      <c r="P179" s="40" t="n">
        <f aca="false">IFERROR(SUMIFS(レース分析!$W$2:$W$5000,レース分析!$AJ$2:$AJ$5000,"80～84",レース分析!$AV$2:$AV$5000,$N179)/(O179*100),0)</f>
        <v>0.907142857142857</v>
      </c>
      <c r="Q179" s="38" t="n">
        <f aca="false">COUNTIFS(レース分析!$AJ$2:$AJ$5000,"85以上",レース分析!$AV$2:$AV$5000,$N179)</f>
        <v>9</v>
      </c>
      <c r="R179" s="40" t="n">
        <f aca="false">IFERROR(SUMIFS(レース分析!$W$2:$W$5000,レース分析!$AJ$2:$AJ$5000,"85以上",レース分析!$AV$2:$AV$5000,$N179)/(Q179*100),0)</f>
        <v>1.05555555555556</v>
      </c>
      <c r="S179" s="38" t="str">
        <f aca="false">IF(OR(O179&lt;10,Q179&lt;10),"少数あり","-")</f>
        <v>少数あり</v>
      </c>
    </row>
    <row r="180" customFormat="false" ht="15.75" hidden="false" customHeight="false" outlineLevel="0" collapsed="false">
      <c r="A180" s="31" t="s">
        <v>8374</v>
      </c>
      <c r="B180" s="31" t="s">
        <v>7642</v>
      </c>
      <c r="C180" s="33" t="s">
        <v>8376</v>
      </c>
      <c r="D180" s="34" t="n">
        <f aca="false">COUNTIFS(レース分析!$AJ$2:$AJ$5000,$C180,レース分析!$BQ$2:$BQ$5000,$B180)</f>
        <v>0</v>
      </c>
      <c r="E180" s="34" t="n">
        <f aca="false">COUNTIFS(レース分析!$AJ$2:$AJ$5000,$C180,レース分析!$BQ$2:$BQ$5000,$B180,レース分析!$T$2:$T$5000,"&lt;=3")</f>
        <v>0</v>
      </c>
      <c r="F180" s="35" t="n">
        <f aca="false">IFERROR(E180/D180,0)</f>
        <v>0</v>
      </c>
      <c r="G180" s="34" t="n">
        <f aca="false">D180*100</f>
        <v>0</v>
      </c>
      <c r="H180" s="34" t="n">
        <f aca="false">SUMIFS(レース分析!$W$2:$W$5000,レース分析!$AJ$2:$AJ$5000,$C180,レース分析!$BQ$2:$BQ$5000,$B180)</f>
        <v>0</v>
      </c>
      <c r="I180" s="35" t="n">
        <f aca="false">IFERROR(H180/G180,0)</f>
        <v>0</v>
      </c>
      <c r="J180" s="34" t="n">
        <f aca="false">H180-G180</f>
        <v>0</v>
      </c>
      <c r="K180" s="33" t="str">
        <f aca="false">IF(D180&lt;10,"少数","-")</f>
        <v>少数</v>
      </c>
      <c r="M180" s="31" t="s">
        <v>8381</v>
      </c>
      <c r="N180" s="32" t="s">
        <v>8383</v>
      </c>
      <c r="O180" s="33" t="n">
        <f aca="false">COUNTIFS(レース分析!$AJ$2:$AJ$5000,"80～84",レース分析!$AV$2:$AV$5000,$N180)</f>
        <v>7</v>
      </c>
      <c r="P180" s="35" t="n">
        <f aca="false">IFERROR(SUMIFS(レース分析!$W$2:$W$5000,レース分析!$AJ$2:$AJ$5000,"80～84",レース分析!$AV$2:$AV$5000,$N180)/(O180*100),0)</f>
        <v>0.628571428571429</v>
      </c>
      <c r="Q180" s="33" t="n">
        <f aca="false">COUNTIFS(レース分析!$AJ$2:$AJ$5000,"85以上",レース分析!$AV$2:$AV$5000,$N180)</f>
        <v>2</v>
      </c>
      <c r="R180" s="35" t="n">
        <f aca="false">IFERROR(SUMIFS(レース分析!$W$2:$W$5000,レース分析!$AJ$2:$AJ$5000,"85以上",レース分析!$AV$2:$AV$5000,$N180)/(Q180*100),0)</f>
        <v>1.1</v>
      </c>
      <c r="S180" s="33" t="str">
        <f aca="false">IF(OR(O180&lt;10,Q180&lt;10),"少数あり","-")</f>
        <v>少数あり</v>
      </c>
    </row>
    <row r="181" customFormat="false" ht="15.75" hidden="false" customHeight="false" outlineLevel="0" collapsed="false">
      <c r="A181" s="36" t="s">
        <v>8374</v>
      </c>
      <c r="B181" s="36" t="s">
        <v>7642</v>
      </c>
      <c r="C181" s="38" t="s">
        <v>8377</v>
      </c>
      <c r="D181" s="39" t="n">
        <f aca="false">COUNTIFS(レース分析!$AJ$2:$AJ$5000,$C181,レース分析!$BQ$2:$BQ$5000,$B181)</f>
        <v>0</v>
      </c>
      <c r="E181" s="39" t="n">
        <f aca="false">COUNTIFS(レース分析!$AJ$2:$AJ$5000,$C181,レース分析!$BQ$2:$BQ$5000,$B181,レース分析!$T$2:$T$5000,"&lt;=3")</f>
        <v>0</v>
      </c>
      <c r="F181" s="40" t="n">
        <f aca="false">IFERROR(E181/D181,0)</f>
        <v>0</v>
      </c>
      <c r="G181" s="39" t="n">
        <f aca="false">D181*100</f>
        <v>0</v>
      </c>
      <c r="H181" s="39" t="n">
        <f aca="false">SUMIFS(レース分析!$W$2:$W$5000,レース分析!$AJ$2:$AJ$5000,$C181,レース分析!$BQ$2:$BQ$5000,$B181)</f>
        <v>0</v>
      </c>
      <c r="I181" s="40" t="n">
        <f aca="false">IFERROR(H181/G181,0)</f>
        <v>0</v>
      </c>
      <c r="J181" s="39" t="n">
        <f aca="false">H181-G181</f>
        <v>0</v>
      </c>
      <c r="K181" s="38" t="str">
        <f aca="false">IF(D181&lt;10,"少数","-")</f>
        <v>少数</v>
      </c>
      <c r="M181" s="36" t="s">
        <v>8381</v>
      </c>
      <c r="N181" s="37" t="s">
        <v>8384</v>
      </c>
      <c r="O181" s="38" t="n">
        <f aca="false">COUNTIFS(レース分析!$AJ$2:$AJ$5000,"80～84",レース分析!$AV$2:$AV$5000,$N181)</f>
        <v>1</v>
      </c>
      <c r="P181" s="40" t="n">
        <f aca="false">IFERROR(SUMIFS(レース分析!$W$2:$W$5000,レース分析!$AJ$2:$AJ$5000,"80～84",レース分析!$AV$2:$AV$5000,$N181)/(O181*100),0)</f>
        <v>1.1</v>
      </c>
      <c r="Q181" s="38" t="n">
        <f aca="false">COUNTIFS(レース分析!$AJ$2:$AJ$5000,"85以上",レース分析!$AV$2:$AV$5000,$N181)</f>
        <v>2</v>
      </c>
      <c r="R181" s="40" t="n">
        <f aca="false">IFERROR(SUMIFS(レース分析!$W$2:$W$5000,レース分析!$AJ$2:$AJ$5000,"85以上",レース分析!$AV$2:$AV$5000,$N181)/(Q181*100),0)</f>
        <v>1.15</v>
      </c>
      <c r="S181" s="38" t="str">
        <f aca="false">IF(OR(O181&lt;10,Q181&lt;10),"少数あり","-")</f>
        <v>少数あり</v>
      </c>
    </row>
    <row r="182" customFormat="false" ht="15.75" hidden="false" customHeight="false" outlineLevel="0" collapsed="false">
      <c r="A182" s="31" t="s">
        <v>8381</v>
      </c>
      <c r="B182" s="31" t="s">
        <v>7616</v>
      </c>
      <c r="C182" s="33" t="s">
        <v>8376</v>
      </c>
      <c r="D182" s="34" t="n">
        <f aca="false">COUNTIFS(レース分析!$AJ$2:$AJ$5000,$C182,レース分析!$AV$2:$AV$5000,$B182)</f>
        <v>0</v>
      </c>
      <c r="E182" s="34" t="n">
        <f aca="false">COUNTIFS(レース分析!$AJ$2:$AJ$5000,$C182,レース分析!$AV$2:$AV$5000,$B182,レース分析!$T$2:$T$5000,"&lt;=3")</f>
        <v>0</v>
      </c>
      <c r="F182" s="35" t="n">
        <f aca="false">IFERROR(E182/D182,0)</f>
        <v>0</v>
      </c>
      <c r="G182" s="34" t="n">
        <f aca="false">D182*100</f>
        <v>0</v>
      </c>
      <c r="H182" s="34" t="n">
        <f aca="false">SUMIFS(レース分析!$W$2:$W$5000,レース分析!$AJ$2:$AJ$5000,$C182,レース分析!$AV$2:$AV$5000,$B182)</f>
        <v>0</v>
      </c>
      <c r="I182" s="35" t="n">
        <f aca="false">IFERROR(H182/G182,0)</f>
        <v>0</v>
      </c>
      <c r="J182" s="34" t="n">
        <f aca="false">H182-G182</f>
        <v>0</v>
      </c>
      <c r="K182" s="33" t="str">
        <f aca="false">IF(D182&lt;10,"少数","-")</f>
        <v>少数</v>
      </c>
      <c r="M182" s="31" t="s">
        <v>8381</v>
      </c>
      <c r="N182" s="31" t="s">
        <v>7644</v>
      </c>
      <c r="O182" s="33" t="n">
        <f aca="false">COUNTIFS(レース分析!$AJ$2:$AJ$5000,"80～84",レース分析!$AV$2:$AV$5000,$N182)</f>
        <v>6</v>
      </c>
      <c r="P182" s="35" t="n">
        <f aca="false">IFERROR(SUMIFS(レース分析!$W$2:$W$5000,レース分析!$AJ$2:$AJ$5000,"80～84",レース分析!$AV$2:$AV$5000,$N182)/(O182*100),0)</f>
        <v>0.583333333333333</v>
      </c>
      <c r="Q182" s="33" t="n">
        <f aca="false">COUNTIFS(レース分析!$AJ$2:$AJ$5000,"85以上",レース分析!$AV$2:$AV$5000,$N182)</f>
        <v>0</v>
      </c>
      <c r="R182" s="35" t="n">
        <f aca="false">IFERROR(SUMIFS(レース分析!$W$2:$W$5000,レース分析!$AJ$2:$AJ$5000,"85以上",レース分析!$AV$2:$AV$5000,$N182)/(Q182*100),0)</f>
        <v>0</v>
      </c>
      <c r="S182" s="33" t="str">
        <f aca="false">IF(OR(O182&lt;10,Q182&lt;10),"少数あり","-")</f>
        <v>少数あり</v>
      </c>
    </row>
    <row r="183" customFormat="false" ht="15.75" hidden="false" customHeight="false" outlineLevel="0" collapsed="false">
      <c r="A183" s="36" t="s">
        <v>8381</v>
      </c>
      <c r="B183" s="36" t="s">
        <v>7616</v>
      </c>
      <c r="C183" s="38" t="s">
        <v>8377</v>
      </c>
      <c r="D183" s="39" t="n">
        <f aca="false">COUNTIFS(レース分析!$AJ$2:$AJ$5000,$C183,レース分析!$AV$2:$AV$5000,$B183)</f>
        <v>0</v>
      </c>
      <c r="E183" s="39" t="n">
        <f aca="false">COUNTIFS(レース分析!$AJ$2:$AJ$5000,$C183,レース分析!$AV$2:$AV$5000,$B183,レース分析!$T$2:$T$5000,"&lt;=3")</f>
        <v>0</v>
      </c>
      <c r="F183" s="40" t="n">
        <f aca="false">IFERROR(E183/D183,0)</f>
        <v>0</v>
      </c>
      <c r="G183" s="39" t="n">
        <f aca="false">D183*100</f>
        <v>0</v>
      </c>
      <c r="H183" s="39" t="n">
        <f aca="false">SUMIFS(レース分析!$W$2:$W$5000,レース分析!$AJ$2:$AJ$5000,$C183,レース分析!$AV$2:$AV$5000,$B183)</f>
        <v>0</v>
      </c>
      <c r="I183" s="40" t="n">
        <f aca="false">IFERROR(H183/G183,0)</f>
        <v>0</v>
      </c>
      <c r="J183" s="39" t="n">
        <f aca="false">H183-G183</f>
        <v>0</v>
      </c>
      <c r="K183" s="38" t="str">
        <f aca="false">IF(D183&lt;10,"少数","-")</f>
        <v>少数</v>
      </c>
      <c r="M183" s="36" t="s">
        <v>8385</v>
      </c>
      <c r="N183" s="37" t="s">
        <v>7814</v>
      </c>
      <c r="O183" s="38" t="n">
        <f aca="false">COUNTIFS(レース分析!$AJ$2:$AJ$5000,"80～84",レース分析!$BS$2:$BS$5000,$N183)</f>
        <v>1</v>
      </c>
      <c r="P183" s="40" t="n">
        <f aca="false">IFERROR(SUMIFS(レース分析!$W$2:$W$5000,レース分析!$AJ$2:$AJ$5000,"80～84",レース分析!$BS$2:$BS$5000,$N183)/(O183*100),0)</f>
        <v>0</v>
      </c>
      <c r="Q183" s="38" t="n">
        <f aca="false">COUNTIFS(レース分析!$AJ$2:$AJ$5000,"85以上",レース分析!$BS$2:$BS$5000,$N183)</f>
        <v>0</v>
      </c>
      <c r="R183" s="40" t="n">
        <f aca="false">IFERROR(SUMIFS(レース分析!$W$2:$W$5000,レース分析!$AJ$2:$AJ$5000,"85以上",レース分析!$BS$2:$BS$5000,$N183)/(Q183*100),0)</f>
        <v>0</v>
      </c>
      <c r="S183" s="38" t="str">
        <f aca="false">IF(OR(O183&lt;10,Q183&lt;10),"少数あり","-")</f>
        <v>少数あり</v>
      </c>
    </row>
    <row r="184" customFormat="false" ht="15.75" hidden="false" customHeight="false" outlineLevel="0" collapsed="false">
      <c r="A184" s="31" t="s">
        <v>8381</v>
      </c>
      <c r="B184" s="31" t="s">
        <v>7601</v>
      </c>
      <c r="C184" s="33" t="s">
        <v>8376</v>
      </c>
      <c r="D184" s="34" t="n">
        <f aca="false">COUNTIFS(レース分析!$AJ$2:$AJ$5000,$C184,レース分析!$AV$2:$AV$5000,$B184)</f>
        <v>40</v>
      </c>
      <c r="E184" s="34" t="n">
        <f aca="false">COUNTIFS(レース分析!$AJ$2:$AJ$5000,$C184,レース分析!$AV$2:$AV$5000,$B184,レース分析!$T$2:$T$5000,"&lt;=3")</f>
        <v>31</v>
      </c>
      <c r="F184" s="35" t="n">
        <f aca="false">IFERROR(E184/D184,0)</f>
        <v>0</v>
      </c>
      <c r="G184" s="34" t="n">
        <f aca="false">D184*100</f>
        <v>4000</v>
      </c>
      <c r="H184" s="34" t="n">
        <f aca="false">SUMIFS(レース分析!$W$2:$W$5000,レース分析!$AJ$2:$AJ$5000,$C184,レース分析!$AV$2:$AV$5000,$B184)</f>
        <v>3460</v>
      </c>
      <c r="I184" s="35" t="n">
        <f aca="false">IFERROR(H184/G184,0)</f>
        <v>0</v>
      </c>
      <c r="J184" s="34" t="n">
        <f aca="false">H184-G184</f>
        <v>-540</v>
      </c>
      <c r="K184" s="33" t="str">
        <f aca="false">IF(D184&lt;10,"少数","-")</f>
        <v>-</v>
      </c>
      <c r="M184" s="31" t="s">
        <v>8385</v>
      </c>
      <c r="N184" s="32" t="s">
        <v>7881</v>
      </c>
      <c r="O184" s="33" t="n">
        <f aca="false">COUNTIFS(レース分析!$AJ$2:$AJ$5000,"80～84",レース分析!$BS$2:$BS$5000,$N184)</f>
        <v>0</v>
      </c>
      <c r="P184" s="35" t="n">
        <f aca="false">IFERROR(SUMIFS(レース分析!$W$2:$W$5000,レース分析!$AJ$2:$AJ$5000,"80～84",レース分析!$BS$2:$BS$5000,$N184)/(O184*100),0)</f>
        <v>0</v>
      </c>
      <c r="Q184" s="33" t="n">
        <f aca="false">COUNTIFS(レース分析!$AJ$2:$AJ$5000,"85以上",レース分析!$BS$2:$BS$5000,$N184)</f>
        <v>0</v>
      </c>
      <c r="R184" s="35" t="n">
        <f aca="false">IFERROR(SUMIFS(レース分析!$W$2:$W$5000,レース分析!$AJ$2:$AJ$5000,"85以上",レース分析!$BS$2:$BS$5000,$N184)/(Q184*100),0)</f>
        <v>0</v>
      </c>
      <c r="S184" s="33" t="str">
        <f aca="false">IF(OR(O184&lt;10,Q184&lt;10),"少数あり","-")</f>
        <v>少数あり</v>
      </c>
    </row>
    <row r="185" customFormat="false" ht="15.75" hidden="false" customHeight="false" outlineLevel="0" collapsed="false">
      <c r="A185" s="36" t="s">
        <v>8381</v>
      </c>
      <c r="B185" s="36" t="s">
        <v>7601</v>
      </c>
      <c r="C185" s="38" t="s">
        <v>8377</v>
      </c>
      <c r="D185" s="39" t="n">
        <f aca="false">COUNTIFS(レース分析!$AJ$2:$AJ$5000,$C185,レース分析!$AV$2:$AV$5000,$B185)</f>
        <v>21</v>
      </c>
      <c r="E185" s="39" t="n">
        <f aca="false">COUNTIFS(レース分析!$AJ$2:$AJ$5000,$C185,レース分析!$AV$2:$AV$5000,$B185,レース分析!$T$2:$T$5000,"&lt;=3")</f>
        <v>18</v>
      </c>
      <c r="F185" s="40" t="n">
        <f aca="false">IFERROR(E185/D185,0)</f>
        <v>0</v>
      </c>
      <c r="G185" s="39" t="n">
        <f aca="false">D185*100</f>
        <v>2100</v>
      </c>
      <c r="H185" s="39" t="n">
        <f aca="false">SUMIFS(レース分析!$W$2:$W$5000,レース分析!$AJ$2:$AJ$5000,$C185,レース分析!$AV$2:$AV$5000,$B185)</f>
        <v>1980</v>
      </c>
      <c r="I185" s="40" t="n">
        <f aca="false">IFERROR(H185/G185,0)</f>
        <v>0</v>
      </c>
      <c r="J185" s="39" t="n">
        <f aca="false">H185-G185</f>
        <v>-120</v>
      </c>
      <c r="K185" s="38" t="str">
        <f aca="false">IF(D185&lt;10,"少数","-")</f>
        <v>-</v>
      </c>
      <c r="M185" s="36" t="s">
        <v>8385</v>
      </c>
      <c r="N185" s="37" t="s">
        <v>7664</v>
      </c>
      <c r="O185" s="38" t="n">
        <f aca="false">COUNTIFS(レース分析!$AJ$2:$AJ$5000,"80～84",レース分析!$BS$2:$BS$5000,$N185)</f>
        <v>2</v>
      </c>
      <c r="P185" s="40" t="n">
        <f aca="false">IFERROR(SUMIFS(レース分析!$W$2:$W$5000,レース分析!$AJ$2:$AJ$5000,"80～84",レース分析!$BS$2:$BS$5000,$N185)/(O185*100),0)</f>
        <v>0</v>
      </c>
      <c r="Q185" s="38" t="n">
        <f aca="false">COUNTIFS(レース分析!$AJ$2:$AJ$5000,"85以上",レース分析!$BS$2:$BS$5000,$N185)</f>
        <v>0</v>
      </c>
      <c r="R185" s="40" t="n">
        <f aca="false">IFERROR(SUMIFS(レース分析!$W$2:$W$5000,レース分析!$AJ$2:$AJ$5000,"85以上",レース分析!$BS$2:$BS$5000,$N185)/(Q185*100),0)</f>
        <v>0</v>
      </c>
      <c r="S185" s="38" t="str">
        <f aca="false">IF(OR(O185&lt;10,Q185&lt;10),"少数あり","-")</f>
        <v>少数あり</v>
      </c>
    </row>
    <row r="186" customFormat="false" ht="15.75" hidden="false" customHeight="false" outlineLevel="0" collapsed="false">
      <c r="A186" s="31" t="s">
        <v>8381</v>
      </c>
      <c r="B186" s="32" t="s">
        <v>8382</v>
      </c>
      <c r="C186" s="33" t="s">
        <v>8376</v>
      </c>
      <c r="D186" s="34" t="n">
        <f aca="false">COUNTIFS(レース分析!$AJ$2:$AJ$5000,$C186,レース分析!$AV$2:$AV$5000,$B186)</f>
        <v>14</v>
      </c>
      <c r="E186" s="34" t="n">
        <f aca="false">COUNTIFS(レース分析!$AJ$2:$AJ$5000,$C186,レース分析!$AV$2:$AV$5000,$B186,レース分析!$T$2:$T$5000,"&lt;=3")</f>
        <v>11</v>
      </c>
      <c r="F186" s="35" t="n">
        <f aca="false">IFERROR(E186/D186,0)</f>
        <v>0</v>
      </c>
      <c r="G186" s="34" t="n">
        <f aca="false">D186*100</f>
        <v>1400</v>
      </c>
      <c r="H186" s="34" t="n">
        <f aca="false">SUMIFS(レース分析!$W$2:$W$5000,レース分析!$AJ$2:$AJ$5000,$C186,レース分析!$AV$2:$AV$5000,$B186)</f>
        <v>1270</v>
      </c>
      <c r="I186" s="35" t="n">
        <f aca="false">IFERROR(H186/G186,0)</f>
        <v>0</v>
      </c>
      <c r="J186" s="34" t="n">
        <f aca="false">H186-G186</f>
        <v>-130</v>
      </c>
      <c r="K186" s="33" t="str">
        <f aca="false">IF(D186&lt;10,"少数","-")</f>
        <v>-</v>
      </c>
      <c r="M186" s="31" t="s">
        <v>8385</v>
      </c>
      <c r="N186" s="32" t="s">
        <v>7677</v>
      </c>
      <c r="O186" s="33" t="n">
        <f aca="false">COUNTIFS(レース分析!$AJ$2:$AJ$5000,"80～84",レース分析!$BS$2:$BS$5000,$N186)</f>
        <v>0</v>
      </c>
      <c r="P186" s="35" t="n">
        <f aca="false">IFERROR(SUMIFS(レース分析!$W$2:$W$5000,レース分析!$AJ$2:$AJ$5000,"80～84",レース分析!$BS$2:$BS$5000,$N186)/(O186*100),0)</f>
        <v>0</v>
      </c>
      <c r="Q186" s="33" t="n">
        <f aca="false">COUNTIFS(レース分析!$AJ$2:$AJ$5000,"85以上",レース分析!$BS$2:$BS$5000,$N186)</f>
        <v>0</v>
      </c>
      <c r="R186" s="35" t="n">
        <f aca="false">IFERROR(SUMIFS(レース分析!$W$2:$W$5000,レース分析!$AJ$2:$AJ$5000,"85以上",レース分析!$BS$2:$BS$5000,$N186)/(Q186*100),0)</f>
        <v>0</v>
      </c>
      <c r="S186" s="33" t="str">
        <f aca="false">IF(OR(O186&lt;10,Q186&lt;10),"少数あり","-")</f>
        <v>少数あり</v>
      </c>
    </row>
    <row r="187" customFormat="false" ht="15.75" hidden="false" customHeight="false" outlineLevel="0" collapsed="false">
      <c r="A187" s="36" t="s">
        <v>8381</v>
      </c>
      <c r="B187" s="37" t="s">
        <v>8382</v>
      </c>
      <c r="C187" s="38" t="s">
        <v>8377</v>
      </c>
      <c r="D187" s="39" t="n">
        <f aca="false">COUNTIFS(レース分析!$AJ$2:$AJ$5000,$C187,レース分析!$AV$2:$AV$5000,$B187)</f>
        <v>9</v>
      </c>
      <c r="E187" s="39" t="n">
        <f aca="false">COUNTIFS(レース分析!$AJ$2:$AJ$5000,$C187,レース分析!$AV$2:$AV$5000,$B187,レース分析!$T$2:$T$5000,"&lt;=3")</f>
        <v>8</v>
      </c>
      <c r="F187" s="40" t="n">
        <f aca="false">IFERROR(E187/D187,0)</f>
        <v>0</v>
      </c>
      <c r="G187" s="39" t="n">
        <f aca="false">D187*100</f>
        <v>900</v>
      </c>
      <c r="H187" s="39" t="n">
        <f aca="false">SUMIFS(レース分析!$W$2:$W$5000,レース分析!$AJ$2:$AJ$5000,$C187,レース分析!$AV$2:$AV$5000,$B187)</f>
        <v>950</v>
      </c>
      <c r="I187" s="40" t="n">
        <f aca="false">IFERROR(H187/G187,0)</f>
        <v>0</v>
      </c>
      <c r="J187" s="39" t="n">
        <f aca="false">H187-G187</f>
        <v>50</v>
      </c>
      <c r="K187" s="38" t="str">
        <f aca="false">IF(D187&lt;10,"少数","-")</f>
        <v>少数</v>
      </c>
      <c r="M187" s="36" t="s">
        <v>8385</v>
      </c>
      <c r="N187" s="36" t="s">
        <v>8386</v>
      </c>
      <c r="O187" s="38" t="n">
        <f aca="false">COUNTIFS(レース分析!$AJ$2:$AJ$5000,"80～84",レース分析!$BS$2:$BS$5000,$N187)</f>
        <v>0</v>
      </c>
      <c r="P187" s="40" t="n">
        <f aca="false">IFERROR(SUMIFS(レース分析!$W$2:$W$5000,レース分析!$AJ$2:$AJ$5000,"80～84",レース分析!$BS$2:$BS$5000,$N187)/(O187*100),0)</f>
        <v>0</v>
      </c>
      <c r="Q187" s="38" t="n">
        <f aca="false">COUNTIFS(レース分析!$AJ$2:$AJ$5000,"85以上",レース分析!$BS$2:$BS$5000,$N187)</f>
        <v>0</v>
      </c>
      <c r="R187" s="40" t="n">
        <f aca="false">IFERROR(SUMIFS(レース分析!$W$2:$W$5000,レース分析!$AJ$2:$AJ$5000,"85以上",レース分析!$BS$2:$BS$5000,$N187)/(Q187*100),0)</f>
        <v>0</v>
      </c>
      <c r="S187" s="38" t="str">
        <f aca="false">IF(OR(O187&lt;10,Q187&lt;10),"少数あり","-")</f>
        <v>少数あり</v>
      </c>
    </row>
    <row r="188" customFormat="false" ht="15.75" hidden="false" customHeight="false" outlineLevel="0" collapsed="false">
      <c r="A188" s="31" t="s">
        <v>8381</v>
      </c>
      <c r="B188" s="32" t="s">
        <v>8383</v>
      </c>
      <c r="C188" s="33" t="s">
        <v>8376</v>
      </c>
      <c r="D188" s="34" t="n">
        <f aca="false">COUNTIFS(レース分析!$AJ$2:$AJ$5000,$C188,レース分析!$AV$2:$AV$5000,$B188)</f>
        <v>7</v>
      </c>
      <c r="E188" s="34" t="n">
        <f aca="false">COUNTIFS(レース分析!$AJ$2:$AJ$5000,$C188,レース分析!$AV$2:$AV$5000,$B188,レース分析!$T$2:$T$5000,"&lt;=3")</f>
        <v>4</v>
      </c>
      <c r="F188" s="35" t="n">
        <f aca="false">IFERROR(E188/D188,0)</f>
        <v>0</v>
      </c>
      <c r="G188" s="34" t="n">
        <f aca="false">D188*100</f>
        <v>700</v>
      </c>
      <c r="H188" s="34" t="n">
        <f aca="false">SUMIFS(レース分析!$W$2:$W$5000,レース分析!$AJ$2:$AJ$5000,$C188,レース分析!$AV$2:$AV$5000,$B188)</f>
        <v>440</v>
      </c>
      <c r="I188" s="35" t="n">
        <f aca="false">IFERROR(H188/G188,0)</f>
        <v>0</v>
      </c>
      <c r="J188" s="34" t="n">
        <f aca="false">H188-G188</f>
        <v>-260</v>
      </c>
      <c r="K188" s="33" t="str">
        <f aca="false">IF(D188&lt;10,"少数","-")</f>
        <v>少数</v>
      </c>
      <c r="M188" s="31" t="s">
        <v>8385</v>
      </c>
      <c r="N188" s="31" t="s">
        <v>8342</v>
      </c>
      <c r="O188" s="33" t="n">
        <f aca="false">COUNTIFS(レース分析!$AJ$2:$AJ$5000,"80～84",レース分析!$BS$2:$BS$5000,$N188)</f>
        <v>65</v>
      </c>
      <c r="P188" s="35" t="n">
        <f aca="false">IFERROR(SUMIFS(レース分析!$W$2:$W$5000,レース分析!$AJ$2:$AJ$5000,"80～84",レース分析!$BS$2:$BS$5000,$N188)/(O188*100),0)</f>
        <v>0.866153846153846</v>
      </c>
      <c r="Q188" s="33" t="n">
        <f aca="false">COUNTIFS(レース分析!$AJ$2:$AJ$5000,"85以上",レース分析!$BS$2:$BS$5000,$N188)</f>
        <v>34</v>
      </c>
      <c r="R188" s="35" t="n">
        <f aca="false">IFERROR(SUMIFS(レース分析!$W$2:$W$5000,レース分析!$AJ$2:$AJ$5000,"85以上",レース分析!$BS$2:$BS$5000,$N188)/(Q188*100),0)</f>
        <v>0.994117647058824</v>
      </c>
      <c r="S188" s="33" t="str">
        <f aca="false">IF(OR(O188&lt;10,Q188&lt;10),"少数あり","-")</f>
        <v>-</v>
      </c>
    </row>
    <row r="189" customFormat="false" ht="15.75" hidden="false" customHeight="false" outlineLevel="0" collapsed="false">
      <c r="A189" s="36" t="s">
        <v>8381</v>
      </c>
      <c r="B189" s="37" t="s">
        <v>8383</v>
      </c>
      <c r="C189" s="38" t="s">
        <v>8377</v>
      </c>
      <c r="D189" s="39" t="n">
        <f aca="false">COUNTIFS(レース分析!$AJ$2:$AJ$5000,$C189,レース分析!$AV$2:$AV$5000,$B189)</f>
        <v>2</v>
      </c>
      <c r="E189" s="39" t="n">
        <f aca="false">COUNTIFS(レース分析!$AJ$2:$AJ$5000,$C189,レース分析!$AV$2:$AV$5000,$B189,レース分析!$T$2:$T$5000,"&lt;=3")</f>
        <v>2</v>
      </c>
      <c r="F189" s="40" t="n">
        <f aca="false">IFERROR(E189/D189,0)</f>
        <v>0</v>
      </c>
      <c r="G189" s="39" t="n">
        <f aca="false">D189*100</f>
        <v>200</v>
      </c>
      <c r="H189" s="39" t="n">
        <f aca="false">SUMIFS(レース分析!$W$2:$W$5000,レース分析!$AJ$2:$AJ$5000,$C189,レース分析!$AV$2:$AV$5000,$B189)</f>
        <v>220</v>
      </c>
      <c r="I189" s="40" t="n">
        <f aca="false">IFERROR(H189/G189,0)</f>
        <v>0</v>
      </c>
      <c r="J189" s="39" t="n">
        <f aca="false">H189-G189</f>
        <v>20</v>
      </c>
      <c r="K189" s="38" t="str">
        <f aca="false">IF(D189&lt;10,"少数","-")</f>
        <v>少数</v>
      </c>
      <c r="M189" s="36" t="s">
        <v>8387</v>
      </c>
      <c r="N189" s="36" t="s">
        <v>7603</v>
      </c>
      <c r="O189" s="38" t="n">
        <f aca="false">COUNTIFS(レース分析!$AJ$2:$AJ$5000,"80～84",レース分析!$AZ$2:$AZ$5000,$N189)</f>
        <v>31</v>
      </c>
      <c r="P189" s="40" t="n">
        <f aca="false">IFERROR(SUMIFS(レース分析!$W$2:$W$5000,レース分析!$AJ$2:$AJ$5000,"80～84",レース分析!$AZ$2:$AZ$5000,$N189)/(O189*100),0)</f>
        <v>0.667741935483871</v>
      </c>
      <c r="Q189" s="38" t="n">
        <f aca="false">COUNTIFS(レース分析!$AJ$2:$AJ$5000,"85以上",レース分析!$AZ$2:$AZ$5000,$N189)</f>
        <v>16</v>
      </c>
      <c r="R189" s="40" t="n">
        <f aca="false">IFERROR(SUMIFS(レース分析!$W$2:$W$5000,レース分析!$AJ$2:$AJ$5000,"85以上",レース分析!$AZ$2:$AZ$5000,$N189)/(Q189*100),0)</f>
        <v>0.98125</v>
      </c>
      <c r="S189" s="38" t="str">
        <f aca="false">IF(OR(O189&lt;10,Q189&lt;10),"少数あり","-")</f>
        <v>-</v>
      </c>
    </row>
    <row r="190" customFormat="false" ht="15.75" hidden="false" customHeight="false" outlineLevel="0" collapsed="false">
      <c r="A190" s="31" t="s">
        <v>8381</v>
      </c>
      <c r="B190" s="32" t="s">
        <v>8384</v>
      </c>
      <c r="C190" s="33" t="s">
        <v>8376</v>
      </c>
      <c r="D190" s="34" t="n">
        <f aca="false">COUNTIFS(レース分析!$AJ$2:$AJ$5000,$C190,レース分析!$AV$2:$AV$5000,$B190)</f>
        <v>1</v>
      </c>
      <c r="E190" s="34" t="n">
        <f aca="false">COUNTIFS(レース分析!$AJ$2:$AJ$5000,$C190,レース分析!$AV$2:$AV$5000,$B190,レース分析!$T$2:$T$5000,"&lt;=3")</f>
        <v>1</v>
      </c>
      <c r="F190" s="35" t="n">
        <f aca="false">IFERROR(E190/D190,0)</f>
        <v>0</v>
      </c>
      <c r="G190" s="34" t="n">
        <f aca="false">D190*100</f>
        <v>100</v>
      </c>
      <c r="H190" s="34" t="n">
        <f aca="false">SUMIFS(レース分析!$W$2:$W$5000,レース分析!$AJ$2:$AJ$5000,$C190,レース分析!$AV$2:$AV$5000,$B190)</f>
        <v>110</v>
      </c>
      <c r="I190" s="35" t="n">
        <f aca="false">IFERROR(H190/G190,0)</f>
        <v>0</v>
      </c>
      <c r="J190" s="34" t="n">
        <f aca="false">H190-G190</f>
        <v>10</v>
      </c>
      <c r="K190" s="33" t="str">
        <f aca="false">IF(D190&lt;10,"少数","-")</f>
        <v>少数</v>
      </c>
      <c r="M190" s="31" t="s">
        <v>8387</v>
      </c>
      <c r="N190" s="31" t="s">
        <v>7617</v>
      </c>
      <c r="O190" s="33" t="n">
        <f aca="false">COUNTIFS(レース分析!$AJ$2:$AJ$5000,"80～84",レース分析!$AZ$2:$AZ$5000,$N190)</f>
        <v>37</v>
      </c>
      <c r="P190" s="35" t="n">
        <f aca="false">IFERROR(SUMIFS(レース分析!$W$2:$W$5000,レース分析!$AJ$2:$AJ$5000,"80～84",レース分析!$AZ$2:$AZ$5000,$N190)/(O190*100),0)</f>
        <v>0.962162162162162</v>
      </c>
      <c r="Q190" s="33" t="n">
        <f aca="false">COUNTIFS(レース分析!$AJ$2:$AJ$5000,"85以上",レース分析!$AZ$2:$AZ$5000,$N190)</f>
        <v>18</v>
      </c>
      <c r="R190" s="35" t="n">
        <f aca="false">IFERROR(SUMIFS(レース分析!$W$2:$W$5000,レース分析!$AJ$2:$AJ$5000,"85以上",レース分析!$AZ$2:$AZ$5000,$N190)/(Q190*100),0)</f>
        <v>1.00555555555556</v>
      </c>
      <c r="S190" s="33" t="str">
        <f aca="false">IF(OR(O190&lt;10,Q190&lt;10),"少数あり","-")</f>
        <v>-</v>
      </c>
    </row>
    <row r="191" customFormat="false" ht="15.75" hidden="false" customHeight="false" outlineLevel="0" collapsed="false">
      <c r="A191" s="36" t="s">
        <v>8381</v>
      </c>
      <c r="B191" s="37" t="s">
        <v>8384</v>
      </c>
      <c r="C191" s="38" t="s">
        <v>8377</v>
      </c>
      <c r="D191" s="39" t="n">
        <f aca="false">COUNTIFS(レース分析!$AJ$2:$AJ$5000,$C191,レース分析!$AV$2:$AV$5000,$B191)</f>
        <v>2</v>
      </c>
      <c r="E191" s="39" t="n">
        <f aca="false">COUNTIFS(レース分析!$AJ$2:$AJ$5000,$C191,レース分析!$AV$2:$AV$5000,$B191,レース分析!$T$2:$T$5000,"&lt;=3")</f>
        <v>2</v>
      </c>
      <c r="F191" s="40" t="n">
        <f aca="false">IFERROR(E191/D191,0)</f>
        <v>0</v>
      </c>
      <c r="G191" s="39" t="n">
        <f aca="false">D191*100</f>
        <v>200</v>
      </c>
      <c r="H191" s="39" t="n">
        <f aca="false">SUMIFS(レース分析!$W$2:$W$5000,レース分析!$AJ$2:$AJ$5000,$C191,レース分析!$AV$2:$AV$5000,$B191)</f>
        <v>230</v>
      </c>
      <c r="I191" s="40" t="n">
        <f aca="false">IFERROR(H191/G191,0)</f>
        <v>0</v>
      </c>
      <c r="J191" s="39" t="n">
        <f aca="false">H191-G191</f>
        <v>30</v>
      </c>
      <c r="K191" s="38" t="str">
        <f aca="false">IF(D191&lt;10,"少数","-")</f>
        <v>少数</v>
      </c>
      <c r="M191" s="36" t="s">
        <v>8387</v>
      </c>
      <c r="N191" s="36" t="s">
        <v>7642</v>
      </c>
      <c r="O191" s="38" t="n">
        <f aca="false">COUNTIFS(レース分析!$AJ$2:$AJ$5000,"80～84",レース分析!$AZ$2:$AZ$5000,$N191)</f>
        <v>0</v>
      </c>
      <c r="P191" s="40" t="n">
        <f aca="false">IFERROR(SUMIFS(レース分析!$W$2:$W$5000,レース分析!$AJ$2:$AJ$5000,"80～84",レース分析!$AZ$2:$AZ$5000,$N191)/(O191*100),0)</f>
        <v>0</v>
      </c>
      <c r="Q191" s="38" t="n">
        <f aca="false">COUNTIFS(レース分析!$AJ$2:$AJ$5000,"85以上",レース分析!$AZ$2:$AZ$5000,$N191)</f>
        <v>0</v>
      </c>
      <c r="R191" s="40" t="n">
        <f aca="false">IFERROR(SUMIFS(レース分析!$W$2:$W$5000,レース分析!$AJ$2:$AJ$5000,"85以上",レース分析!$AZ$2:$AZ$5000,$N191)/(Q191*100),0)</f>
        <v>0</v>
      </c>
      <c r="S191" s="38" t="str">
        <f aca="false">IF(OR(O191&lt;10,Q191&lt;10),"少数あり","-")</f>
        <v>少数あり</v>
      </c>
    </row>
    <row r="192" customFormat="false" ht="15.75" hidden="false" customHeight="false" outlineLevel="0" collapsed="false">
      <c r="A192" s="31" t="s">
        <v>8381</v>
      </c>
      <c r="B192" s="31" t="s">
        <v>7644</v>
      </c>
      <c r="C192" s="33" t="s">
        <v>8376</v>
      </c>
      <c r="D192" s="34" t="n">
        <f aca="false">COUNTIFS(レース分析!$AJ$2:$AJ$5000,$C192,レース分析!$AV$2:$AV$5000,$B192)</f>
        <v>6</v>
      </c>
      <c r="E192" s="34" t="n">
        <f aca="false">COUNTIFS(レース分析!$AJ$2:$AJ$5000,$C192,レース分析!$AV$2:$AV$5000,$B192,レース分析!$T$2:$T$5000,"&lt;=3")</f>
        <v>3</v>
      </c>
      <c r="F192" s="35" t="n">
        <f aca="false">IFERROR(E192/D192,0)</f>
        <v>0</v>
      </c>
      <c r="G192" s="34" t="n">
        <f aca="false">D192*100</f>
        <v>600</v>
      </c>
      <c r="H192" s="34" t="n">
        <f aca="false">SUMIFS(レース分析!$W$2:$W$5000,レース分析!$AJ$2:$AJ$5000,$C192,レース分析!$AV$2:$AV$5000,$B192)</f>
        <v>350</v>
      </c>
      <c r="I192" s="35" t="n">
        <f aca="false">IFERROR(H192/G192,0)</f>
        <v>0</v>
      </c>
      <c r="J192" s="34" t="n">
        <f aca="false">H192-G192</f>
        <v>-250</v>
      </c>
      <c r="K192" s="33" t="str">
        <f aca="false">IF(D192&lt;10,"少数","-")</f>
        <v>少数</v>
      </c>
      <c r="M192" s="31" t="s">
        <v>8388</v>
      </c>
      <c r="N192" s="31" t="s">
        <v>8389</v>
      </c>
      <c r="O192" s="33" t="n">
        <f aca="false">COUNTIFS(レース分析!$AJ$2:$AJ$5000,"80～84",レース分析!$BR$2:$BR$5000,$N192)</f>
        <v>15</v>
      </c>
      <c r="P192" s="35" t="n">
        <f aca="false">IFERROR(SUMIFS(レース分析!$W$2:$W$5000,レース分析!$AJ$2:$AJ$5000,"80～84",レース分析!$BR$2:$BR$5000,$N192)/(O192*100),0)</f>
        <v>0.813333333333333</v>
      </c>
      <c r="Q192" s="33" t="n">
        <f aca="false">COUNTIFS(レース分析!$AJ$2:$AJ$5000,"85以上",レース分析!$BR$2:$BR$5000,$N192)</f>
        <v>3</v>
      </c>
      <c r="R192" s="35" t="n">
        <f aca="false">IFERROR(SUMIFS(レース分析!$W$2:$W$5000,レース分析!$AJ$2:$AJ$5000,"85以上",レース分析!$BR$2:$BR$5000,$N192)/(Q192*100),0)</f>
        <v>1.2</v>
      </c>
      <c r="S192" s="33" t="str">
        <f aca="false">IF(OR(O192&lt;10,Q192&lt;10),"少数あり","-")</f>
        <v>少数あり</v>
      </c>
    </row>
    <row r="193" customFormat="false" ht="15.75" hidden="false" customHeight="false" outlineLevel="0" collapsed="false">
      <c r="A193" s="36" t="s">
        <v>8381</v>
      </c>
      <c r="B193" s="36" t="s">
        <v>7644</v>
      </c>
      <c r="C193" s="38" t="s">
        <v>8377</v>
      </c>
      <c r="D193" s="39" t="n">
        <f aca="false">COUNTIFS(レース分析!$AJ$2:$AJ$5000,$C193,レース分析!$AV$2:$AV$5000,$B193)</f>
        <v>0</v>
      </c>
      <c r="E193" s="39" t="n">
        <f aca="false">COUNTIFS(レース分析!$AJ$2:$AJ$5000,$C193,レース分析!$AV$2:$AV$5000,$B193,レース分析!$T$2:$T$5000,"&lt;=3")</f>
        <v>0</v>
      </c>
      <c r="F193" s="40" t="n">
        <f aca="false">IFERROR(E193/D193,0)</f>
        <v>0</v>
      </c>
      <c r="G193" s="39" t="n">
        <f aca="false">D193*100</f>
        <v>0</v>
      </c>
      <c r="H193" s="39" t="n">
        <f aca="false">SUMIFS(レース分析!$W$2:$W$5000,レース分析!$AJ$2:$AJ$5000,$C193,レース分析!$AV$2:$AV$5000,$B193)</f>
        <v>0</v>
      </c>
      <c r="I193" s="40" t="n">
        <f aca="false">IFERROR(H193/G193,0)</f>
        <v>0</v>
      </c>
      <c r="J193" s="39" t="n">
        <f aca="false">H193-G193</f>
        <v>0</v>
      </c>
      <c r="K193" s="38" t="str">
        <f aca="false">IF(D193&lt;10,"少数","-")</f>
        <v>少数</v>
      </c>
      <c r="M193" s="36" t="s">
        <v>8388</v>
      </c>
      <c r="N193" s="37" t="s">
        <v>8390</v>
      </c>
      <c r="O193" s="38" t="n">
        <f aca="false">COUNTIFS(レース分析!$AJ$2:$AJ$5000,"80～84",レース分析!$BR$2:$BR$5000,$N193)</f>
        <v>10</v>
      </c>
      <c r="P193" s="40" t="n">
        <f aca="false">IFERROR(SUMIFS(レース分析!$W$2:$W$5000,レース分析!$AJ$2:$AJ$5000,"80～84",レース分析!$BR$2:$BR$5000,$N193)/(O193*100),0)</f>
        <v>0.83</v>
      </c>
      <c r="Q193" s="38" t="n">
        <f aca="false">COUNTIFS(レース分析!$AJ$2:$AJ$5000,"85以上",レース分析!$BR$2:$BR$5000,$N193)</f>
        <v>4</v>
      </c>
      <c r="R193" s="40" t="n">
        <f aca="false">IFERROR(SUMIFS(レース分析!$W$2:$W$5000,レース分析!$AJ$2:$AJ$5000,"85以上",レース分析!$BR$2:$BR$5000,$N193)/(Q193*100),0)</f>
        <v>1.075</v>
      </c>
      <c r="S193" s="38" t="str">
        <f aca="false">IF(OR(O193&lt;10,Q193&lt;10),"少数あり","-")</f>
        <v>少数あり</v>
      </c>
    </row>
    <row r="194" customFormat="false" ht="15.75" hidden="false" customHeight="false" outlineLevel="0" collapsed="false">
      <c r="A194" s="31" t="s">
        <v>8385</v>
      </c>
      <c r="B194" s="32" t="s">
        <v>7814</v>
      </c>
      <c r="C194" s="33" t="s">
        <v>8376</v>
      </c>
      <c r="D194" s="34" t="n">
        <f aca="false">COUNTIFS(レース分析!$AJ$2:$AJ$5000,$C194,レース分析!$BS$2:$BS$5000,$B194)</f>
        <v>1</v>
      </c>
      <c r="E194" s="34" t="n">
        <f aca="false">COUNTIFS(レース分析!$AJ$2:$AJ$5000,$C194,レース分析!$BS$2:$BS$5000,$B194,レース分析!$T$2:$T$5000,"&lt;=3")</f>
        <v>0</v>
      </c>
      <c r="F194" s="35" t="n">
        <f aca="false">IFERROR(E194/D194,0)</f>
        <v>0</v>
      </c>
      <c r="G194" s="34" t="n">
        <f aca="false">D194*100</f>
        <v>100</v>
      </c>
      <c r="H194" s="34" t="n">
        <f aca="false">SUMIFS(レース分析!$W$2:$W$5000,レース分析!$AJ$2:$AJ$5000,$C194,レース分析!$BS$2:$BS$5000,$B194)</f>
        <v>0</v>
      </c>
      <c r="I194" s="35" t="n">
        <f aca="false">IFERROR(H194/G194,0)</f>
        <v>0</v>
      </c>
      <c r="J194" s="34" t="n">
        <f aca="false">H194-G194</f>
        <v>-100</v>
      </c>
      <c r="K194" s="33" t="str">
        <f aca="false">IF(D194&lt;10,"少数","-")</f>
        <v>少数</v>
      </c>
      <c r="M194" s="31" t="s">
        <v>8388</v>
      </c>
      <c r="N194" s="32" t="s">
        <v>8391</v>
      </c>
      <c r="O194" s="33" t="n">
        <f aca="false">COUNTIFS(レース分析!$AJ$2:$AJ$5000,"80～84",レース分析!$BR$2:$BR$5000,$N194)</f>
        <v>7</v>
      </c>
      <c r="P194" s="35" t="n">
        <f aca="false">IFERROR(SUMIFS(レース分析!$W$2:$W$5000,レース分析!$AJ$2:$AJ$5000,"80～84",レース分析!$BR$2:$BR$5000,$N194)/(O194*100),0)</f>
        <v>0.5</v>
      </c>
      <c r="Q194" s="33" t="n">
        <f aca="false">COUNTIFS(レース分析!$AJ$2:$AJ$5000,"85以上",レース分析!$BR$2:$BR$5000,$N194)</f>
        <v>2</v>
      </c>
      <c r="R194" s="35" t="n">
        <f aca="false">IFERROR(SUMIFS(レース分析!$W$2:$W$5000,レース分析!$AJ$2:$AJ$5000,"85以上",レース分析!$BR$2:$BR$5000,$N194)/(Q194*100),0)</f>
        <v>1.1</v>
      </c>
      <c r="S194" s="33" t="str">
        <f aca="false">IF(OR(O194&lt;10,Q194&lt;10),"少数あり","-")</f>
        <v>少数あり</v>
      </c>
    </row>
    <row r="195" customFormat="false" ht="15.75" hidden="false" customHeight="false" outlineLevel="0" collapsed="false">
      <c r="A195" s="36" t="s">
        <v>8385</v>
      </c>
      <c r="B195" s="37" t="s">
        <v>7814</v>
      </c>
      <c r="C195" s="38" t="s">
        <v>8377</v>
      </c>
      <c r="D195" s="39" t="n">
        <f aca="false">COUNTIFS(レース分析!$AJ$2:$AJ$5000,$C195,レース分析!$BS$2:$BS$5000,$B195)</f>
        <v>0</v>
      </c>
      <c r="E195" s="39" t="n">
        <f aca="false">COUNTIFS(レース分析!$AJ$2:$AJ$5000,$C195,レース分析!$BS$2:$BS$5000,$B195,レース分析!$T$2:$T$5000,"&lt;=3")</f>
        <v>0</v>
      </c>
      <c r="F195" s="40" t="n">
        <f aca="false">IFERROR(E195/D195,0)</f>
        <v>0</v>
      </c>
      <c r="G195" s="39" t="n">
        <f aca="false">D195*100</f>
        <v>0</v>
      </c>
      <c r="H195" s="39" t="n">
        <f aca="false">SUMIFS(レース分析!$W$2:$W$5000,レース分析!$AJ$2:$AJ$5000,$C195,レース分析!$BS$2:$BS$5000,$B195)</f>
        <v>0</v>
      </c>
      <c r="I195" s="40" t="n">
        <f aca="false">IFERROR(H195/G195,0)</f>
        <v>0</v>
      </c>
      <c r="J195" s="39" t="n">
        <f aca="false">H195-G195</f>
        <v>0</v>
      </c>
      <c r="K195" s="38" t="str">
        <f aca="false">IF(D195&lt;10,"少数","-")</f>
        <v>少数</v>
      </c>
      <c r="M195" s="36" t="s">
        <v>8388</v>
      </c>
      <c r="N195" s="37" t="s">
        <v>8392</v>
      </c>
      <c r="O195" s="38" t="n">
        <f aca="false">COUNTIFS(レース分析!$AJ$2:$AJ$5000,"80～84",レース分析!$BR$2:$BR$5000,$N195)</f>
        <v>24</v>
      </c>
      <c r="P195" s="40" t="n">
        <f aca="false">IFERROR(SUMIFS(レース分析!$W$2:$W$5000,レース分析!$AJ$2:$AJ$5000,"80～84",レース分析!$BR$2:$BR$5000,$N195)/(O195*100),0)</f>
        <v>1.02083333333333</v>
      </c>
      <c r="Q195" s="38" t="n">
        <f aca="false">COUNTIFS(レース分析!$AJ$2:$AJ$5000,"85以上",レース分析!$BR$2:$BR$5000,$N195)</f>
        <v>17</v>
      </c>
      <c r="R195" s="40" t="n">
        <f aca="false">IFERROR(SUMIFS(レース分析!$W$2:$W$5000,レース分析!$AJ$2:$AJ$5000,"85以上",レース分析!$BR$2:$BR$5000,$N195)/(Q195*100),0)</f>
        <v>0.923529411764706</v>
      </c>
      <c r="S195" s="38" t="str">
        <f aca="false">IF(OR(O195&lt;10,Q195&lt;10),"少数あり","-")</f>
        <v>-</v>
      </c>
    </row>
    <row r="196" customFormat="false" ht="15.75" hidden="false" customHeight="false" outlineLevel="0" collapsed="false">
      <c r="A196" s="31" t="s">
        <v>8385</v>
      </c>
      <c r="B196" s="32" t="s">
        <v>7881</v>
      </c>
      <c r="C196" s="33" t="s">
        <v>8376</v>
      </c>
      <c r="D196" s="34" t="n">
        <f aca="false">COUNTIFS(レース分析!$AJ$2:$AJ$5000,$C196,レース分析!$BS$2:$BS$5000,$B196)</f>
        <v>0</v>
      </c>
      <c r="E196" s="34" t="n">
        <f aca="false">COUNTIFS(レース分析!$AJ$2:$AJ$5000,$C196,レース分析!$BS$2:$BS$5000,$B196,レース分析!$T$2:$T$5000,"&lt;=3")</f>
        <v>0</v>
      </c>
      <c r="F196" s="35" t="n">
        <f aca="false">IFERROR(E196/D196,0)</f>
        <v>0</v>
      </c>
      <c r="G196" s="34" t="n">
        <f aca="false">D196*100</f>
        <v>0</v>
      </c>
      <c r="H196" s="34" t="n">
        <f aca="false">SUMIFS(レース分析!$W$2:$W$5000,レース分析!$AJ$2:$AJ$5000,$C196,レース分析!$BS$2:$BS$5000,$B196)</f>
        <v>0</v>
      </c>
      <c r="I196" s="35" t="n">
        <f aca="false">IFERROR(H196/G196,0)</f>
        <v>0</v>
      </c>
      <c r="J196" s="34" t="n">
        <f aca="false">H196-G196</f>
        <v>0</v>
      </c>
      <c r="K196" s="33" t="str">
        <f aca="false">IF(D196&lt;10,"少数","-")</f>
        <v>少数</v>
      </c>
      <c r="M196" s="31" t="s">
        <v>8388</v>
      </c>
      <c r="N196" s="32" t="s">
        <v>8393</v>
      </c>
      <c r="O196" s="33" t="n">
        <f aca="false">COUNTIFS(レース分析!$AJ$2:$AJ$5000,"80～84",レース分析!$BR$2:$BR$5000,$N196)</f>
        <v>6</v>
      </c>
      <c r="P196" s="35" t="n">
        <f aca="false">IFERROR(SUMIFS(レース分析!$W$2:$W$5000,レース分析!$AJ$2:$AJ$5000,"80～84",レース分析!$BR$2:$BR$5000,$N196)/(O196*100),0)</f>
        <v>0.75</v>
      </c>
      <c r="Q196" s="33" t="n">
        <f aca="false">COUNTIFS(レース分析!$AJ$2:$AJ$5000,"85以上",レース分析!$BR$2:$BR$5000,$N196)</f>
        <v>7</v>
      </c>
      <c r="R196" s="35" t="n">
        <f aca="false">IFERROR(SUMIFS(レース分析!$W$2:$W$5000,レース分析!$AJ$2:$AJ$5000,"85以上",レース分析!$BR$2:$BR$5000,$N196)/(Q196*100),0)</f>
        <v>0.928571428571429</v>
      </c>
      <c r="S196" s="33" t="str">
        <f aca="false">IF(OR(O196&lt;10,Q196&lt;10),"少数あり","-")</f>
        <v>少数あり</v>
      </c>
    </row>
    <row r="197" customFormat="false" ht="15.75" hidden="false" customHeight="false" outlineLevel="0" collapsed="false">
      <c r="A197" s="36" t="s">
        <v>8385</v>
      </c>
      <c r="B197" s="37" t="s">
        <v>7881</v>
      </c>
      <c r="C197" s="38" t="s">
        <v>8377</v>
      </c>
      <c r="D197" s="39" t="n">
        <f aca="false">COUNTIFS(レース分析!$AJ$2:$AJ$5000,$C197,レース分析!$BS$2:$BS$5000,$B197)</f>
        <v>0</v>
      </c>
      <c r="E197" s="39" t="n">
        <f aca="false">COUNTIFS(レース分析!$AJ$2:$AJ$5000,$C197,レース分析!$BS$2:$BS$5000,$B197,レース分析!$T$2:$T$5000,"&lt;=3")</f>
        <v>0</v>
      </c>
      <c r="F197" s="40" t="n">
        <f aca="false">IFERROR(E197/D197,0)</f>
        <v>0</v>
      </c>
      <c r="G197" s="39" t="n">
        <f aca="false">D197*100</f>
        <v>0</v>
      </c>
      <c r="H197" s="39" t="n">
        <f aca="false">SUMIFS(レース分析!$W$2:$W$5000,レース分析!$AJ$2:$AJ$5000,$C197,レース分析!$BS$2:$BS$5000,$B197)</f>
        <v>0</v>
      </c>
      <c r="I197" s="40" t="n">
        <f aca="false">IFERROR(H197/G197,0)</f>
        <v>0</v>
      </c>
      <c r="J197" s="39" t="n">
        <f aca="false">H197-G197</f>
        <v>0</v>
      </c>
      <c r="K197" s="38" t="str">
        <f aca="false">IF(D197&lt;10,"少数","-")</f>
        <v>少数</v>
      </c>
      <c r="M197" s="36" t="s">
        <v>8388</v>
      </c>
      <c r="N197" s="37" t="s">
        <v>8394</v>
      </c>
      <c r="O197" s="38" t="n">
        <f aca="false">COUNTIFS(レース分析!$AJ$2:$AJ$5000,"80～84",レース分析!$BR$2:$BR$5000,$N197)</f>
        <v>6</v>
      </c>
      <c r="P197" s="40" t="n">
        <f aca="false">IFERROR(SUMIFS(レース分析!$W$2:$W$5000,レース分析!$AJ$2:$AJ$5000,"80～84",レース分析!$BR$2:$BR$5000,$N197)/(O197*100),0)</f>
        <v>0.55</v>
      </c>
      <c r="Q197" s="38" t="n">
        <f aca="false">COUNTIFS(レース分析!$AJ$2:$AJ$5000,"85以上",レース分析!$BR$2:$BR$5000,$N197)</f>
        <v>1</v>
      </c>
      <c r="R197" s="40" t="n">
        <f aca="false">IFERROR(SUMIFS(レース分析!$W$2:$W$5000,レース分析!$AJ$2:$AJ$5000,"85以上",レース分析!$BR$2:$BR$5000,$N197)/(Q197*100),0)</f>
        <v>1.5</v>
      </c>
      <c r="S197" s="38" t="str">
        <f aca="false">IF(OR(O197&lt;10,Q197&lt;10),"少数あり","-")</f>
        <v>少数あり</v>
      </c>
    </row>
    <row r="198" customFormat="false" ht="15.75" hidden="false" customHeight="false" outlineLevel="0" collapsed="false">
      <c r="A198" s="31" t="s">
        <v>8385</v>
      </c>
      <c r="B198" s="32" t="s">
        <v>7664</v>
      </c>
      <c r="C198" s="33" t="s">
        <v>8376</v>
      </c>
      <c r="D198" s="34" t="n">
        <f aca="false">COUNTIFS(レース分析!$AJ$2:$AJ$5000,$C198,レース分析!$BS$2:$BS$5000,$B198)</f>
        <v>2</v>
      </c>
      <c r="E198" s="34" t="n">
        <f aca="false">COUNTIFS(レース分析!$AJ$2:$AJ$5000,$C198,レース分析!$BS$2:$BS$5000,$B198,レース分析!$T$2:$T$5000,"&lt;=3")</f>
        <v>0</v>
      </c>
      <c r="F198" s="35" t="n">
        <f aca="false">IFERROR(E198/D198,0)</f>
        <v>0</v>
      </c>
      <c r="G198" s="34" t="n">
        <f aca="false">D198*100</f>
        <v>200</v>
      </c>
      <c r="H198" s="34" t="n">
        <f aca="false">SUMIFS(レース分析!$W$2:$W$5000,レース分析!$AJ$2:$AJ$5000,$C198,レース分析!$BS$2:$BS$5000,$B198)</f>
        <v>0</v>
      </c>
      <c r="I198" s="35" t="n">
        <f aca="false">IFERROR(H198/G198,0)</f>
        <v>0</v>
      </c>
      <c r="J198" s="34" t="n">
        <f aca="false">H198-G198</f>
        <v>-200</v>
      </c>
      <c r="K198" s="33" t="str">
        <f aca="false">IF(D198&lt;10,"少数","-")</f>
        <v>少数</v>
      </c>
      <c r="M198" s="31" t="s">
        <v>8395</v>
      </c>
      <c r="N198" s="31" t="s">
        <v>7604</v>
      </c>
      <c r="O198" s="33" t="n">
        <f aca="false">COUNTIFS(レース分析!$AJ$2:$AJ$5000,"80～84",レース分析!$BC$2:$BC$5000,$N198)</f>
        <v>48</v>
      </c>
      <c r="P198" s="35" t="n">
        <f aca="false">IFERROR(SUMIFS(レース分析!$W$2:$W$5000,レース分析!$AJ$2:$AJ$5000,"80～84",レース分析!$BC$2:$BC$5000,$N198)/(O198*100),0)</f>
        <v>0.779166666666667</v>
      </c>
      <c r="Q198" s="33" t="n">
        <f aca="false">COUNTIFS(レース分析!$AJ$2:$AJ$5000,"85以上",レース分析!$BC$2:$BC$5000,$N198)</f>
        <v>21</v>
      </c>
      <c r="R198" s="35" t="n">
        <f aca="false">IFERROR(SUMIFS(レース分析!$W$2:$W$5000,レース分析!$AJ$2:$AJ$5000,"85以上",レース分析!$BC$2:$BC$5000,$N198)/(Q198*100),0)</f>
        <v>0.957142857142857</v>
      </c>
      <c r="S198" s="33" t="str">
        <f aca="false">IF(OR(O198&lt;10,Q198&lt;10),"少数あり","-")</f>
        <v>-</v>
      </c>
    </row>
    <row r="199" customFormat="false" ht="15.75" hidden="false" customHeight="false" outlineLevel="0" collapsed="false">
      <c r="A199" s="36" t="s">
        <v>8385</v>
      </c>
      <c r="B199" s="37" t="s">
        <v>7664</v>
      </c>
      <c r="C199" s="38" t="s">
        <v>8377</v>
      </c>
      <c r="D199" s="39" t="n">
        <f aca="false">COUNTIFS(レース分析!$AJ$2:$AJ$5000,$C199,レース分析!$BS$2:$BS$5000,$B199)</f>
        <v>0</v>
      </c>
      <c r="E199" s="39" t="n">
        <f aca="false">COUNTIFS(レース分析!$AJ$2:$AJ$5000,$C199,レース分析!$BS$2:$BS$5000,$B199,レース分析!$T$2:$T$5000,"&lt;=3")</f>
        <v>0</v>
      </c>
      <c r="F199" s="40" t="n">
        <f aca="false">IFERROR(E199/D199,0)</f>
        <v>0</v>
      </c>
      <c r="G199" s="39" t="n">
        <f aca="false">D199*100</f>
        <v>0</v>
      </c>
      <c r="H199" s="39" t="n">
        <f aca="false">SUMIFS(レース分析!$W$2:$W$5000,レース分析!$AJ$2:$AJ$5000,$C199,レース分析!$BS$2:$BS$5000,$B199)</f>
        <v>0</v>
      </c>
      <c r="I199" s="40" t="n">
        <f aca="false">IFERROR(H199/G199,0)</f>
        <v>0</v>
      </c>
      <c r="J199" s="39" t="n">
        <f aca="false">H199-G199</f>
        <v>0</v>
      </c>
      <c r="K199" s="38" t="str">
        <f aca="false">IF(D199&lt;10,"少数","-")</f>
        <v>少数</v>
      </c>
      <c r="M199" s="36" t="s">
        <v>8395</v>
      </c>
      <c r="N199" s="36" t="s">
        <v>7619</v>
      </c>
      <c r="O199" s="38" t="n">
        <f aca="false">COUNTIFS(レース分析!$AJ$2:$AJ$5000,"80～84",レース分析!$BC$2:$BC$5000,$N199)</f>
        <v>14</v>
      </c>
      <c r="P199" s="40" t="n">
        <f aca="false">IFERROR(SUMIFS(レース分析!$W$2:$W$5000,レース分析!$AJ$2:$AJ$5000,"80～84",レース分析!$BC$2:$BC$5000,$N199)/(O199*100),0)</f>
        <v>0.864285714285714</v>
      </c>
      <c r="Q199" s="38" t="n">
        <f aca="false">COUNTIFS(レース分析!$AJ$2:$AJ$5000,"85以上",レース分析!$BC$2:$BC$5000,$N199)</f>
        <v>7</v>
      </c>
      <c r="R199" s="40" t="n">
        <f aca="false">IFERROR(SUMIFS(レース分析!$W$2:$W$5000,レース分析!$AJ$2:$AJ$5000,"85以上",レース分析!$BC$2:$BC$5000,$N199)/(Q199*100),0)</f>
        <v>0.971428571428571</v>
      </c>
      <c r="S199" s="38" t="str">
        <f aca="false">IF(OR(O199&lt;10,Q199&lt;10),"少数あり","-")</f>
        <v>少数あり</v>
      </c>
    </row>
    <row r="200" customFormat="false" ht="15.75" hidden="false" customHeight="false" outlineLevel="0" collapsed="false">
      <c r="A200" s="31" t="s">
        <v>8385</v>
      </c>
      <c r="B200" s="32" t="s">
        <v>7677</v>
      </c>
      <c r="C200" s="33" t="s">
        <v>8376</v>
      </c>
      <c r="D200" s="34" t="n">
        <f aca="false">COUNTIFS(レース分析!$AJ$2:$AJ$5000,$C200,レース分析!$BS$2:$BS$5000,$B200)</f>
        <v>0</v>
      </c>
      <c r="E200" s="34" t="n">
        <f aca="false">COUNTIFS(レース分析!$AJ$2:$AJ$5000,$C200,レース分析!$BS$2:$BS$5000,$B200,レース分析!$T$2:$T$5000,"&lt;=3")</f>
        <v>0</v>
      </c>
      <c r="F200" s="35" t="n">
        <f aca="false">IFERROR(E200/D200,0)</f>
        <v>0</v>
      </c>
      <c r="G200" s="34" t="n">
        <f aca="false">D200*100</f>
        <v>0</v>
      </c>
      <c r="H200" s="34" t="n">
        <f aca="false">SUMIFS(レース分析!$W$2:$W$5000,レース分析!$AJ$2:$AJ$5000,$C200,レース分析!$BS$2:$BS$5000,$B200)</f>
        <v>0</v>
      </c>
      <c r="I200" s="35" t="n">
        <f aca="false">IFERROR(H200/G200,0)</f>
        <v>0</v>
      </c>
      <c r="J200" s="34" t="n">
        <f aca="false">H200-G200</f>
        <v>0</v>
      </c>
      <c r="K200" s="33" t="str">
        <f aca="false">IF(D200&lt;10,"少数","-")</f>
        <v>少数</v>
      </c>
      <c r="M200" s="31" t="s">
        <v>8395</v>
      </c>
      <c r="N200" s="31" t="s">
        <v>7658</v>
      </c>
      <c r="O200" s="33" t="n">
        <f aca="false">COUNTIFS(レース分析!$AJ$2:$AJ$5000,"80～84",レース分析!$BC$2:$BC$5000,$N200)</f>
        <v>6</v>
      </c>
      <c r="P200" s="35" t="n">
        <f aca="false">IFERROR(SUMIFS(レース分析!$W$2:$W$5000,レース分析!$AJ$2:$AJ$5000,"80～84",レース分析!$BC$2:$BC$5000,$N200)/(O200*100),0)</f>
        <v>1.13333333333333</v>
      </c>
      <c r="Q200" s="33" t="n">
        <f aca="false">COUNTIFS(レース分析!$AJ$2:$AJ$5000,"85以上",レース分析!$BC$2:$BC$5000,$N200)</f>
        <v>3</v>
      </c>
      <c r="R200" s="35" t="n">
        <f aca="false">IFERROR(SUMIFS(レース分析!$W$2:$W$5000,レース分析!$AJ$2:$AJ$5000,"85以上",レース分析!$BC$2:$BC$5000,$N200)/(Q200*100),0)</f>
        <v>1.2</v>
      </c>
      <c r="S200" s="33" t="str">
        <f aca="false">IF(OR(O200&lt;10,Q200&lt;10),"少数あり","-")</f>
        <v>少数あり</v>
      </c>
    </row>
    <row r="201" customFormat="false" ht="15.75" hidden="false" customHeight="false" outlineLevel="0" collapsed="false">
      <c r="A201" s="36" t="s">
        <v>8385</v>
      </c>
      <c r="B201" s="37" t="s">
        <v>7677</v>
      </c>
      <c r="C201" s="38" t="s">
        <v>8377</v>
      </c>
      <c r="D201" s="39" t="n">
        <f aca="false">COUNTIFS(レース分析!$AJ$2:$AJ$5000,$C201,レース分析!$BS$2:$BS$5000,$B201)</f>
        <v>0</v>
      </c>
      <c r="E201" s="39" t="n">
        <f aca="false">COUNTIFS(レース分析!$AJ$2:$AJ$5000,$C201,レース分析!$BS$2:$BS$5000,$B201,レース分析!$T$2:$T$5000,"&lt;=3")</f>
        <v>0</v>
      </c>
      <c r="F201" s="40" t="n">
        <f aca="false">IFERROR(E201/D201,0)</f>
        <v>0</v>
      </c>
      <c r="G201" s="39" t="n">
        <f aca="false">D201*100</f>
        <v>0</v>
      </c>
      <c r="H201" s="39" t="n">
        <f aca="false">SUMIFS(レース分析!$W$2:$W$5000,レース分析!$AJ$2:$AJ$5000,$C201,レース分析!$BS$2:$BS$5000,$B201)</f>
        <v>0</v>
      </c>
      <c r="I201" s="40" t="n">
        <f aca="false">IFERROR(H201/G201,0)</f>
        <v>0</v>
      </c>
      <c r="J201" s="39" t="n">
        <f aca="false">H201-G201</f>
        <v>0</v>
      </c>
      <c r="K201" s="38" t="str">
        <f aca="false">IF(D201&lt;10,"少数","-")</f>
        <v>少数</v>
      </c>
      <c r="M201" s="36" t="s">
        <v>8395</v>
      </c>
      <c r="N201" s="36" t="s">
        <v>7662</v>
      </c>
      <c r="O201" s="38" t="n">
        <f aca="false">COUNTIFS(レース分析!$AJ$2:$AJ$5000,"80～84",レース分析!$BC$2:$BC$5000,$N201)</f>
        <v>0</v>
      </c>
      <c r="P201" s="40" t="n">
        <f aca="false">IFERROR(SUMIFS(レース分析!$W$2:$W$5000,レース分析!$AJ$2:$AJ$5000,"80～84",レース分析!$BC$2:$BC$5000,$N201)/(O201*100),0)</f>
        <v>0</v>
      </c>
      <c r="Q201" s="38" t="n">
        <f aca="false">COUNTIFS(レース分析!$AJ$2:$AJ$5000,"85以上",レース分析!$BC$2:$BC$5000,$N201)</f>
        <v>3</v>
      </c>
      <c r="R201" s="40" t="n">
        <f aca="false">IFERROR(SUMIFS(レース分析!$W$2:$W$5000,レース分析!$AJ$2:$AJ$5000,"85以上",レース分析!$BC$2:$BC$5000,$N201)/(Q201*100),0)</f>
        <v>1.1</v>
      </c>
      <c r="S201" s="38" t="str">
        <f aca="false">IF(OR(O201&lt;10,Q201&lt;10),"少数あり","-")</f>
        <v>少数あり</v>
      </c>
    </row>
    <row r="202" customFormat="false" ht="15.75" hidden="false" customHeight="false" outlineLevel="0" collapsed="false">
      <c r="A202" s="31" t="s">
        <v>8385</v>
      </c>
      <c r="B202" s="31" t="s">
        <v>8386</v>
      </c>
      <c r="C202" s="33" t="s">
        <v>8376</v>
      </c>
      <c r="D202" s="34" t="n">
        <f aca="false">COUNTIFS(レース分析!$AJ$2:$AJ$5000,$C202,レース分析!$BS$2:$BS$5000,$B202)</f>
        <v>0</v>
      </c>
      <c r="E202" s="34" t="n">
        <f aca="false">COUNTIFS(レース分析!$AJ$2:$AJ$5000,$C202,レース分析!$BS$2:$BS$5000,$B202,レース分析!$T$2:$T$5000,"&lt;=3")</f>
        <v>0</v>
      </c>
      <c r="F202" s="35" t="n">
        <f aca="false">IFERROR(E202/D202,0)</f>
        <v>0</v>
      </c>
      <c r="G202" s="34" t="n">
        <f aca="false">D202*100</f>
        <v>0</v>
      </c>
      <c r="H202" s="34" t="n">
        <f aca="false">SUMIFS(レース分析!$W$2:$W$5000,レース分析!$AJ$2:$AJ$5000,$C202,レース分析!$BS$2:$BS$5000,$B202)</f>
        <v>0</v>
      </c>
      <c r="I202" s="35" t="n">
        <f aca="false">IFERROR(H202/G202,0)</f>
        <v>0</v>
      </c>
      <c r="J202" s="34" t="n">
        <f aca="false">H202-G202</f>
        <v>0</v>
      </c>
      <c r="K202" s="33" t="str">
        <f aca="false">IF(D202&lt;10,"少数","-")</f>
        <v>少数</v>
      </c>
      <c r="M202" s="31" t="s">
        <v>8396</v>
      </c>
      <c r="N202" s="31" t="s">
        <v>7622</v>
      </c>
      <c r="O202" s="33" t="n">
        <f aca="false">COUNTIFS(レース分析!$AJ$2:$AJ$5000,"80～84",レース分析!$BU$2:$BU$5000,$N202)</f>
        <v>9</v>
      </c>
      <c r="P202" s="35" t="n">
        <f aca="false">IFERROR(SUMIFS(レース分析!$W$2:$W$5000,レース分析!$AJ$2:$AJ$5000,"80～84",レース分析!$BU$2:$BU$5000,$N202)/(O202*100),0)</f>
        <v>0.777777777777778</v>
      </c>
      <c r="Q202" s="33" t="n">
        <f aca="false">COUNTIFS(レース分析!$AJ$2:$AJ$5000,"85以上",レース分析!$BU$2:$BU$5000,$N202)</f>
        <v>3</v>
      </c>
      <c r="R202" s="35" t="n">
        <f aca="false">IFERROR(SUMIFS(レース分析!$W$2:$W$5000,レース分析!$AJ$2:$AJ$5000,"85以上",レース分析!$BU$2:$BU$5000,$N202)/(Q202*100),0)</f>
        <v>0.733333333333333</v>
      </c>
      <c r="S202" s="33" t="str">
        <f aca="false">IF(OR(O202&lt;10,Q202&lt;10),"少数あり","-")</f>
        <v>少数あり</v>
      </c>
    </row>
    <row r="203" customFormat="false" ht="15.75" hidden="false" customHeight="false" outlineLevel="0" collapsed="false">
      <c r="A203" s="36" t="s">
        <v>8385</v>
      </c>
      <c r="B203" s="36" t="s">
        <v>8386</v>
      </c>
      <c r="C203" s="38" t="s">
        <v>8377</v>
      </c>
      <c r="D203" s="39" t="n">
        <f aca="false">COUNTIFS(レース分析!$AJ$2:$AJ$5000,$C203,レース分析!$BS$2:$BS$5000,$B203)</f>
        <v>0</v>
      </c>
      <c r="E203" s="39" t="n">
        <f aca="false">COUNTIFS(レース分析!$AJ$2:$AJ$5000,$C203,レース分析!$BS$2:$BS$5000,$B203,レース分析!$T$2:$T$5000,"&lt;=3")</f>
        <v>0</v>
      </c>
      <c r="F203" s="40" t="n">
        <f aca="false">IFERROR(E203/D203,0)</f>
        <v>0</v>
      </c>
      <c r="G203" s="39" t="n">
        <f aca="false">D203*100</f>
        <v>0</v>
      </c>
      <c r="H203" s="39" t="n">
        <f aca="false">SUMIFS(レース分析!$W$2:$W$5000,レース分析!$AJ$2:$AJ$5000,$C203,レース分析!$BS$2:$BS$5000,$B203)</f>
        <v>0</v>
      </c>
      <c r="I203" s="40" t="n">
        <f aca="false">IFERROR(H203/G203,0)</f>
        <v>0</v>
      </c>
      <c r="J203" s="39" t="n">
        <f aca="false">H203-G203</f>
        <v>0</v>
      </c>
      <c r="K203" s="38" t="str">
        <f aca="false">IF(D203&lt;10,"少数","-")</f>
        <v>少数</v>
      </c>
      <c r="M203" s="36" t="s">
        <v>8396</v>
      </c>
      <c r="N203" s="36" t="s">
        <v>8342</v>
      </c>
      <c r="O203" s="38" t="n">
        <f aca="false">COUNTIFS(レース分析!$AJ$2:$AJ$5000,"80～84",レース分析!$BU$2:$BU$5000,$N203)</f>
        <v>59</v>
      </c>
      <c r="P203" s="40" t="n">
        <f aca="false">IFERROR(SUMIFS(レース分析!$W$2:$W$5000,レース分析!$AJ$2:$AJ$5000,"80～84",レース分析!$BU$2:$BU$5000,$N203)/(O203*100),0)</f>
        <v>0.835593220338983</v>
      </c>
      <c r="Q203" s="38" t="n">
        <f aca="false">COUNTIFS(レース分析!$AJ$2:$AJ$5000,"85以上",レース分析!$BU$2:$BU$5000,$N203)</f>
        <v>31</v>
      </c>
      <c r="R203" s="40" t="n">
        <f aca="false">IFERROR(SUMIFS(レース分析!$W$2:$W$5000,レース分析!$AJ$2:$AJ$5000,"85以上",レース分析!$BU$2:$BU$5000,$N203)/(Q203*100),0)</f>
        <v>1.01935483870968</v>
      </c>
      <c r="S203" s="38" t="str">
        <f aca="false">IF(OR(O203&lt;10,Q203&lt;10),"少数あり","-")</f>
        <v>-</v>
      </c>
    </row>
    <row r="204" customFormat="false" ht="15.75" hidden="false" customHeight="false" outlineLevel="0" collapsed="false">
      <c r="A204" s="31" t="s">
        <v>8385</v>
      </c>
      <c r="B204" s="31" t="s">
        <v>8342</v>
      </c>
      <c r="C204" s="33" t="s">
        <v>8376</v>
      </c>
      <c r="D204" s="34" t="n">
        <f aca="false">COUNTIFS(レース分析!$AJ$2:$AJ$5000,$C204,レース分析!$BS$2:$BS$5000,$B204)</f>
        <v>65</v>
      </c>
      <c r="E204" s="34" t="n">
        <f aca="false">COUNTIFS(レース分析!$AJ$2:$AJ$5000,$C204,レース分析!$BS$2:$BS$5000,$B204,レース分析!$T$2:$T$5000,"&lt;=3")</f>
        <v>50</v>
      </c>
      <c r="F204" s="35" t="n">
        <f aca="false">IFERROR(E204/D204,0)</f>
        <v>0</v>
      </c>
      <c r="G204" s="34" t="n">
        <f aca="false">D204*100</f>
        <v>6500</v>
      </c>
      <c r="H204" s="34" t="n">
        <f aca="false">SUMIFS(レース分析!$W$2:$W$5000,レース分析!$AJ$2:$AJ$5000,$C204,レース分析!$BS$2:$BS$5000,$B204)</f>
        <v>5630</v>
      </c>
      <c r="I204" s="35" t="n">
        <f aca="false">IFERROR(H204/G204,0)</f>
        <v>0</v>
      </c>
      <c r="J204" s="34" t="n">
        <f aca="false">H204-G204</f>
        <v>-870</v>
      </c>
      <c r="K204" s="33" t="str">
        <f aca="false">IF(D204&lt;10,"少数","-")</f>
        <v>-</v>
      </c>
      <c r="M204" s="31" t="s">
        <v>8397</v>
      </c>
      <c r="N204" s="31" t="s">
        <v>7667</v>
      </c>
      <c r="O204" s="33" t="n">
        <f aca="false">COUNTIFS(レース分析!$AJ$2:$AJ$5000,"80～84",レース分析!$BH$2:$BH$5000,$N204)</f>
        <v>2</v>
      </c>
      <c r="P204" s="35" t="n">
        <f aca="false">IFERROR(SUMIFS(レース分析!$W$2:$W$5000,レース分析!$AJ$2:$AJ$5000,"80～84",レース分析!$BH$2:$BH$5000,$N204)/(O204*100),0)</f>
        <v>0.55</v>
      </c>
      <c r="Q204" s="33" t="n">
        <f aca="false">COUNTIFS(レース分析!$AJ$2:$AJ$5000,"85以上",レース分析!$BH$2:$BH$5000,$N204)</f>
        <v>0</v>
      </c>
      <c r="R204" s="35" t="n">
        <f aca="false">IFERROR(SUMIFS(レース分析!$W$2:$W$5000,レース分析!$AJ$2:$AJ$5000,"85以上",レース分析!$BH$2:$BH$5000,$N204)/(Q204*100),0)</f>
        <v>0</v>
      </c>
      <c r="S204" s="33" t="str">
        <f aca="false">IF(OR(O204&lt;10,Q204&lt;10),"少数あり","-")</f>
        <v>少数あり</v>
      </c>
    </row>
    <row r="205" customFormat="false" ht="15.75" hidden="false" customHeight="false" outlineLevel="0" collapsed="false">
      <c r="A205" s="36" t="s">
        <v>8385</v>
      </c>
      <c r="B205" s="36" t="s">
        <v>8342</v>
      </c>
      <c r="C205" s="38" t="s">
        <v>8377</v>
      </c>
      <c r="D205" s="39" t="n">
        <f aca="false">COUNTIFS(レース分析!$AJ$2:$AJ$5000,$C205,レース分析!$BS$2:$BS$5000,$B205)</f>
        <v>34</v>
      </c>
      <c r="E205" s="39" t="n">
        <f aca="false">COUNTIFS(レース分析!$AJ$2:$AJ$5000,$C205,レース分析!$BS$2:$BS$5000,$B205,レース分析!$T$2:$T$5000,"&lt;=3")</f>
        <v>30</v>
      </c>
      <c r="F205" s="40" t="n">
        <f aca="false">IFERROR(E205/D205,0)</f>
        <v>0</v>
      </c>
      <c r="G205" s="39" t="n">
        <f aca="false">D205*100</f>
        <v>3400</v>
      </c>
      <c r="H205" s="39" t="n">
        <f aca="false">SUMIFS(レース分析!$W$2:$W$5000,レース分析!$AJ$2:$AJ$5000,$C205,レース分析!$BS$2:$BS$5000,$B205)</f>
        <v>3380</v>
      </c>
      <c r="I205" s="40" t="n">
        <f aca="false">IFERROR(H205/G205,0)</f>
        <v>0</v>
      </c>
      <c r="J205" s="39" t="n">
        <f aca="false">H205-G205</f>
        <v>-20</v>
      </c>
      <c r="K205" s="38" t="str">
        <f aca="false">IF(D205&lt;10,"少数","-")</f>
        <v>-</v>
      </c>
      <c r="M205" s="36" t="s">
        <v>8397</v>
      </c>
      <c r="N205" s="36" t="s">
        <v>7646</v>
      </c>
      <c r="O205" s="38" t="n">
        <f aca="false">COUNTIFS(レース分析!$AJ$2:$AJ$5000,"80～84",レース分析!$BH$2:$BH$5000,$N205)</f>
        <v>3</v>
      </c>
      <c r="P205" s="40" t="n">
        <f aca="false">IFERROR(SUMIFS(レース分析!$W$2:$W$5000,レース分析!$AJ$2:$AJ$5000,"80～84",レース分析!$BH$2:$BH$5000,$N205)/(O205*100),0)</f>
        <v>0.8</v>
      </c>
      <c r="Q205" s="38" t="n">
        <f aca="false">COUNTIFS(レース分析!$AJ$2:$AJ$5000,"85以上",レース分析!$BH$2:$BH$5000,$N205)</f>
        <v>0</v>
      </c>
      <c r="R205" s="40" t="n">
        <f aca="false">IFERROR(SUMIFS(レース分析!$W$2:$W$5000,レース分析!$AJ$2:$AJ$5000,"85以上",レース分析!$BH$2:$BH$5000,$N205)/(Q205*100),0)</f>
        <v>0</v>
      </c>
      <c r="S205" s="38" t="str">
        <f aca="false">IF(OR(O205&lt;10,Q205&lt;10),"少数あり","-")</f>
        <v>少数あり</v>
      </c>
    </row>
    <row r="206" customFormat="false" ht="15.75" hidden="false" customHeight="false" outlineLevel="0" collapsed="false">
      <c r="A206" s="31" t="s">
        <v>8387</v>
      </c>
      <c r="B206" s="31" t="s">
        <v>7603</v>
      </c>
      <c r="C206" s="33" t="s">
        <v>8376</v>
      </c>
      <c r="D206" s="34" t="n">
        <f aca="false">COUNTIFS(レース分析!$AJ$2:$AJ$5000,$C206,レース分析!$AZ$2:$AZ$5000,$B206)</f>
        <v>31</v>
      </c>
      <c r="E206" s="34" t="n">
        <f aca="false">COUNTIFS(レース分析!$AJ$2:$AJ$5000,$C206,レース分析!$AZ$2:$AZ$5000,$B206,レース分析!$T$2:$T$5000,"&lt;=3")</f>
        <v>19</v>
      </c>
      <c r="F206" s="35" t="n">
        <f aca="false">IFERROR(E206/D206,0)</f>
        <v>0</v>
      </c>
      <c r="G206" s="34" t="n">
        <f aca="false">D206*100</f>
        <v>3100</v>
      </c>
      <c r="H206" s="34" t="n">
        <f aca="false">SUMIFS(レース分析!$W$2:$W$5000,レース分析!$AJ$2:$AJ$5000,$C206,レース分析!$AZ$2:$AZ$5000,$B206)</f>
        <v>2070</v>
      </c>
      <c r="I206" s="35" t="n">
        <f aca="false">IFERROR(H206/G206,0)</f>
        <v>0</v>
      </c>
      <c r="J206" s="34" t="n">
        <f aca="false">H206-G206</f>
        <v>-1030</v>
      </c>
      <c r="K206" s="33" t="str">
        <f aca="false">IF(D206&lt;10,"少数","-")</f>
        <v>-</v>
      </c>
      <c r="M206" s="31" t="s">
        <v>8397</v>
      </c>
      <c r="N206" s="31" t="s">
        <v>7609</v>
      </c>
      <c r="O206" s="33" t="n">
        <f aca="false">COUNTIFS(レース分析!$AJ$2:$AJ$5000,"80～84",レース分析!$BH$2:$BH$5000,$N206)</f>
        <v>43</v>
      </c>
      <c r="P206" s="35" t="n">
        <f aca="false">IFERROR(SUMIFS(レース分析!$W$2:$W$5000,レース分析!$AJ$2:$AJ$5000,"80～84",レース分析!$BH$2:$BH$5000,$N206)/(O206*100),0)</f>
        <v>0.830232558139535</v>
      </c>
      <c r="Q206" s="33" t="n">
        <f aca="false">COUNTIFS(レース分析!$AJ$2:$AJ$5000,"85以上",レース分析!$BH$2:$BH$5000,$N206)</f>
        <v>21</v>
      </c>
      <c r="R206" s="35" t="n">
        <f aca="false">IFERROR(SUMIFS(レース分析!$W$2:$W$5000,レース分析!$AJ$2:$AJ$5000,"85以上",レース分析!$BH$2:$BH$5000,$N206)/(Q206*100),0)</f>
        <v>0.942857142857143</v>
      </c>
      <c r="S206" s="33" t="str">
        <f aca="false">IF(OR(O206&lt;10,Q206&lt;10),"少数あり","-")</f>
        <v>-</v>
      </c>
    </row>
    <row r="207" customFormat="false" ht="15.75" hidden="false" customHeight="false" outlineLevel="0" collapsed="false">
      <c r="A207" s="36" t="s">
        <v>8387</v>
      </c>
      <c r="B207" s="36" t="s">
        <v>7603</v>
      </c>
      <c r="C207" s="38" t="s">
        <v>8377</v>
      </c>
      <c r="D207" s="39" t="n">
        <f aca="false">COUNTIFS(レース分析!$AJ$2:$AJ$5000,$C207,レース分析!$AZ$2:$AZ$5000,$B207)</f>
        <v>16</v>
      </c>
      <c r="E207" s="39" t="n">
        <f aca="false">COUNTIFS(レース分析!$AJ$2:$AJ$5000,$C207,レース分析!$AZ$2:$AZ$5000,$B207,レース分析!$T$2:$T$5000,"&lt;=3")</f>
        <v>14</v>
      </c>
      <c r="F207" s="40" t="n">
        <f aca="false">IFERROR(E207/D207,0)</f>
        <v>0</v>
      </c>
      <c r="G207" s="39" t="n">
        <f aca="false">D207*100</f>
        <v>1600</v>
      </c>
      <c r="H207" s="39" t="n">
        <f aca="false">SUMIFS(レース分析!$W$2:$W$5000,レース分析!$AJ$2:$AJ$5000,$C207,レース分析!$AZ$2:$AZ$5000,$B207)</f>
        <v>1570</v>
      </c>
      <c r="I207" s="40" t="n">
        <f aca="false">IFERROR(H207/G207,0)</f>
        <v>0</v>
      </c>
      <c r="J207" s="39" t="n">
        <f aca="false">H207-G207</f>
        <v>-30</v>
      </c>
      <c r="K207" s="38" t="str">
        <f aca="false">IF(D207&lt;10,"少数","-")</f>
        <v>-</v>
      </c>
      <c r="M207" s="36" t="s">
        <v>8397</v>
      </c>
      <c r="N207" s="36" t="s">
        <v>7632</v>
      </c>
      <c r="O207" s="38" t="n">
        <f aca="false">COUNTIFS(レース分析!$AJ$2:$AJ$5000,"80～84",レース分析!$BH$2:$BH$5000,$N207)</f>
        <v>20</v>
      </c>
      <c r="P207" s="40" t="n">
        <f aca="false">IFERROR(SUMIFS(レース分析!$W$2:$W$5000,レース分析!$AJ$2:$AJ$5000,"80～84",レース分析!$BH$2:$BH$5000,$N207)/(O207*100),0)</f>
        <v>0.855</v>
      </c>
      <c r="Q207" s="38" t="n">
        <f aca="false">COUNTIFS(レース分析!$AJ$2:$AJ$5000,"85以上",レース分析!$BH$2:$BH$5000,$N207)</f>
        <v>13</v>
      </c>
      <c r="R207" s="40" t="n">
        <f aca="false">IFERROR(SUMIFS(レース分析!$W$2:$W$5000,レース分析!$AJ$2:$AJ$5000,"85以上",レース分析!$BH$2:$BH$5000,$N207)/(Q207*100),0)</f>
        <v>1.07692307692308</v>
      </c>
      <c r="S207" s="38" t="str">
        <f aca="false">IF(OR(O207&lt;10,Q207&lt;10),"少数あり","-")</f>
        <v>-</v>
      </c>
    </row>
    <row r="208" customFormat="false" ht="15.75" hidden="false" customHeight="false" outlineLevel="0" collapsed="false">
      <c r="A208" s="31" t="s">
        <v>8387</v>
      </c>
      <c r="B208" s="31" t="s">
        <v>7617</v>
      </c>
      <c r="C208" s="33" t="s">
        <v>8376</v>
      </c>
      <c r="D208" s="34" t="n">
        <f aca="false">COUNTIFS(レース分析!$AJ$2:$AJ$5000,$C208,レース分析!$AZ$2:$AZ$5000,$B208)</f>
        <v>37</v>
      </c>
      <c r="E208" s="34" t="n">
        <f aca="false">COUNTIFS(レース分析!$AJ$2:$AJ$5000,$C208,レース分析!$AZ$2:$AZ$5000,$B208,レース分析!$T$2:$T$5000,"&lt;=3")</f>
        <v>31</v>
      </c>
      <c r="F208" s="35" t="n">
        <f aca="false">IFERROR(E208/D208,0)</f>
        <v>0</v>
      </c>
      <c r="G208" s="34" t="n">
        <f aca="false">D208*100</f>
        <v>3700</v>
      </c>
      <c r="H208" s="34" t="n">
        <f aca="false">SUMIFS(レース分析!$W$2:$W$5000,レース分析!$AJ$2:$AJ$5000,$C208,レース分析!$AZ$2:$AZ$5000,$B208)</f>
        <v>3560</v>
      </c>
      <c r="I208" s="35" t="n">
        <f aca="false">IFERROR(H208/G208,0)</f>
        <v>0</v>
      </c>
      <c r="J208" s="34" t="n">
        <f aca="false">H208-G208</f>
        <v>-140</v>
      </c>
      <c r="K208" s="33" t="str">
        <f aca="false">IF(D208&lt;10,"少数","-")</f>
        <v>-</v>
      </c>
    </row>
    <row r="209" customFormat="false" ht="15.75" hidden="false" customHeight="false" outlineLevel="0" collapsed="false">
      <c r="A209" s="36" t="s">
        <v>8387</v>
      </c>
      <c r="B209" s="36" t="s">
        <v>7617</v>
      </c>
      <c r="C209" s="38" t="s">
        <v>8377</v>
      </c>
      <c r="D209" s="39" t="n">
        <f aca="false">COUNTIFS(レース分析!$AJ$2:$AJ$5000,$C209,レース分析!$AZ$2:$AZ$5000,$B209)</f>
        <v>18</v>
      </c>
      <c r="E209" s="39" t="n">
        <f aca="false">COUNTIFS(レース分析!$AJ$2:$AJ$5000,$C209,レース分析!$AZ$2:$AZ$5000,$B209,レース分析!$T$2:$T$5000,"&lt;=3")</f>
        <v>16</v>
      </c>
      <c r="F209" s="40" t="n">
        <f aca="false">IFERROR(E209/D209,0)</f>
        <v>0</v>
      </c>
      <c r="G209" s="39" t="n">
        <f aca="false">D209*100</f>
        <v>1800</v>
      </c>
      <c r="H209" s="39" t="n">
        <f aca="false">SUMIFS(レース分析!$W$2:$W$5000,レース分析!$AJ$2:$AJ$5000,$C209,レース分析!$AZ$2:$AZ$5000,$B209)</f>
        <v>1810</v>
      </c>
      <c r="I209" s="40" t="n">
        <f aca="false">IFERROR(H209/G209,0)</f>
        <v>0</v>
      </c>
      <c r="J209" s="39" t="n">
        <f aca="false">H209-G209</f>
        <v>10</v>
      </c>
      <c r="K209" s="38" t="str">
        <f aca="false">IF(D209&lt;10,"少数","-")</f>
        <v>-</v>
      </c>
    </row>
    <row r="210" customFormat="false" ht="15.75" hidden="false" customHeight="false" outlineLevel="0" collapsed="false">
      <c r="A210" s="31" t="s">
        <v>8387</v>
      </c>
      <c r="B210" s="31" t="s">
        <v>7642</v>
      </c>
      <c r="C210" s="33" t="s">
        <v>8376</v>
      </c>
      <c r="D210" s="34" t="n">
        <f aca="false">COUNTIFS(レース分析!$AJ$2:$AJ$5000,$C210,レース分析!$AZ$2:$AZ$5000,$B210)</f>
        <v>0</v>
      </c>
      <c r="E210" s="34" t="n">
        <f aca="false">COUNTIFS(レース分析!$AJ$2:$AJ$5000,$C210,レース分析!$AZ$2:$AZ$5000,$B210,レース分析!$T$2:$T$5000,"&lt;=3")</f>
        <v>0</v>
      </c>
      <c r="F210" s="35" t="n">
        <f aca="false">IFERROR(E210/D210,0)</f>
        <v>0</v>
      </c>
      <c r="G210" s="34" t="n">
        <f aca="false">D210*100</f>
        <v>0</v>
      </c>
      <c r="H210" s="34" t="n">
        <f aca="false">SUMIFS(レース分析!$W$2:$W$5000,レース分析!$AJ$2:$AJ$5000,$C210,レース分析!$AZ$2:$AZ$5000,$B210)</f>
        <v>0</v>
      </c>
      <c r="I210" s="35" t="n">
        <f aca="false">IFERROR(H210/G210,0)</f>
        <v>0</v>
      </c>
      <c r="J210" s="34" t="n">
        <f aca="false">H210-G210</f>
        <v>0</v>
      </c>
      <c r="K210" s="33" t="str">
        <f aca="false">IF(D210&lt;10,"少数","-")</f>
        <v>少数</v>
      </c>
    </row>
    <row r="211" customFormat="false" ht="15.75" hidden="false" customHeight="false" outlineLevel="0" collapsed="false">
      <c r="A211" s="36" t="s">
        <v>8387</v>
      </c>
      <c r="B211" s="36" t="s">
        <v>7642</v>
      </c>
      <c r="C211" s="38" t="s">
        <v>8377</v>
      </c>
      <c r="D211" s="39" t="n">
        <f aca="false">COUNTIFS(レース分析!$AJ$2:$AJ$5000,$C211,レース分析!$AZ$2:$AZ$5000,$B211)</f>
        <v>0</v>
      </c>
      <c r="E211" s="39" t="n">
        <f aca="false">COUNTIFS(レース分析!$AJ$2:$AJ$5000,$C211,レース分析!$AZ$2:$AZ$5000,$B211,レース分析!$T$2:$T$5000,"&lt;=3")</f>
        <v>0</v>
      </c>
      <c r="F211" s="40" t="n">
        <f aca="false">IFERROR(E211/D211,0)</f>
        <v>0</v>
      </c>
      <c r="G211" s="39" t="n">
        <f aca="false">D211*100</f>
        <v>0</v>
      </c>
      <c r="H211" s="39" t="n">
        <f aca="false">SUMIFS(レース分析!$W$2:$W$5000,レース分析!$AJ$2:$AJ$5000,$C211,レース分析!$AZ$2:$AZ$5000,$B211)</f>
        <v>0</v>
      </c>
      <c r="I211" s="40" t="n">
        <f aca="false">IFERROR(H211/G211,0)</f>
        <v>0</v>
      </c>
      <c r="J211" s="39" t="n">
        <f aca="false">H211-G211</f>
        <v>0</v>
      </c>
      <c r="K211" s="38" t="str">
        <f aca="false">IF(D211&lt;10,"少数","-")</f>
        <v>少数</v>
      </c>
    </row>
    <row r="212" customFormat="false" ht="15.75" hidden="false" customHeight="false" outlineLevel="0" collapsed="false">
      <c r="A212" s="31" t="s">
        <v>8388</v>
      </c>
      <c r="B212" s="31" t="s">
        <v>8389</v>
      </c>
      <c r="C212" s="33" t="s">
        <v>8376</v>
      </c>
      <c r="D212" s="34" t="n">
        <f aca="false">COUNTIFS(レース分析!$AJ$2:$AJ$5000,$C212,レース分析!$BR$2:$BR$5000,$B212)</f>
        <v>15</v>
      </c>
      <c r="E212" s="34" t="n">
        <f aca="false">COUNTIFS(レース分析!$AJ$2:$AJ$5000,$C212,レース分析!$BR$2:$BR$5000,$B212,レース分析!$T$2:$T$5000,"&lt;=3")</f>
        <v>11</v>
      </c>
      <c r="F212" s="35" t="n">
        <f aca="false">IFERROR(E212/D212,0)</f>
        <v>0</v>
      </c>
      <c r="G212" s="34" t="n">
        <f aca="false">D212*100</f>
        <v>1500</v>
      </c>
      <c r="H212" s="34" t="n">
        <f aca="false">SUMIFS(レース分析!$W$2:$W$5000,レース分析!$AJ$2:$AJ$5000,$C212,レース分析!$BR$2:$BR$5000,$B212)</f>
        <v>1220</v>
      </c>
      <c r="I212" s="35" t="n">
        <f aca="false">IFERROR(H212/G212,0)</f>
        <v>0</v>
      </c>
      <c r="J212" s="34" t="n">
        <f aca="false">H212-G212</f>
        <v>-280</v>
      </c>
      <c r="K212" s="33" t="str">
        <f aca="false">IF(D212&lt;10,"少数","-")</f>
        <v>-</v>
      </c>
    </row>
    <row r="213" customFormat="false" ht="15.75" hidden="false" customHeight="false" outlineLevel="0" collapsed="false">
      <c r="A213" s="36" t="s">
        <v>8388</v>
      </c>
      <c r="B213" s="36" t="s">
        <v>8389</v>
      </c>
      <c r="C213" s="38" t="s">
        <v>8377</v>
      </c>
      <c r="D213" s="39" t="n">
        <f aca="false">COUNTIFS(レース分析!$AJ$2:$AJ$5000,$C213,レース分析!$BR$2:$BR$5000,$B213)</f>
        <v>3</v>
      </c>
      <c r="E213" s="39" t="n">
        <f aca="false">COUNTIFS(レース分析!$AJ$2:$AJ$5000,$C213,レース分析!$BR$2:$BR$5000,$B213,レース分析!$T$2:$T$5000,"&lt;=3")</f>
        <v>3</v>
      </c>
      <c r="F213" s="40" t="n">
        <f aca="false">IFERROR(E213/D213,0)</f>
        <v>0</v>
      </c>
      <c r="G213" s="39" t="n">
        <f aca="false">D213*100</f>
        <v>300</v>
      </c>
      <c r="H213" s="39" t="n">
        <f aca="false">SUMIFS(レース分析!$W$2:$W$5000,レース分析!$AJ$2:$AJ$5000,$C213,レース分析!$BR$2:$BR$5000,$B213)</f>
        <v>360</v>
      </c>
      <c r="I213" s="40" t="n">
        <f aca="false">IFERROR(H213/G213,0)</f>
        <v>0</v>
      </c>
      <c r="J213" s="39" t="n">
        <f aca="false">H213-G213</f>
        <v>60</v>
      </c>
      <c r="K213" s="38" t="str">
        <f aca="false">IF(D213&lt;10,"少数","-")</f>
        <v>少数</v>
      </c>
    </row>
    <row r="214" customFormat="false" ht="15.75" hidden="false" customHeight="false" outlineLevel="0" collapsed="false">
      <c r="A214" s="31" t="s">
        <v>8388</v>
      </c>
      <c r="B214" s="32" t="s">
        <v>8390</v>
      </c>
      <c r="C214" s="33" t="s">
        <v>8376</v>
      </c>
      <c r="D214" s="34" t="n">
        <f aca="false">COUNTIFS(レース分析!$AJ$2:$AJ$5000,$C214,レース分析!$BR$2:$BR$5000,$B214)</f>
        <v>10</v>
      </c>
      <c r="E214" s="34" t="n">
        <f aca="false">COUNTIFS(レース分析!$AJ$2:$AJ$5000,$C214,レース分析!$BR$2:$BR$5000,$B214,レース分析!$T$2:$T$5000,"&lt;=3")</f>
        <v>7</v>
      </c>
      <c r="F214" s="35" t="n">
        <f aca="false">IFERROR(E214/D214,0)</f>
        <v>0</v>
      </c>
      <c r="G214" s="34" t="n">
        <f aca="false">D214*100</f>
        <v>1000</v>
      </c>
      <c r="H214" s="34" t="n">
        <f aca="false">SUMIFS(レース分析!$W$2:$W$5000,レース分析!$AJ$2:$AJ$5000,$C214,レース分析!$BR$2:$BR$5000,$B214)</f>
        <v>830</v>
      </c>
      <c r="I214" s="35" t="n">
        <f aca="false">IFERROR(H214/G214,0)</f>
        <v>0</v>
      </c>
      <c r="J214" s="34" t="n">
        <f aca="false">H214-G214</f>
        <v>-170</v>
      </c>
      <c r="K214" s="33" t="str">
        <f aca="false">IF(D214&lt;10,"少数","-")</f>
        <v>-</v>
      </c>
    </row>
    <row r="215" customFormat="false" ht="15.75" hidden="false" customHeight="false" outlineLevel="0" collapsed="false">
      <c r="A215" s="36" t="s">
        <v>8388</v>
      </c>
      <c r="B215" s="37" t="s">
        <v>8390</v>
      </c>
      <c r="C215" s="38" t="s">
        <v>8377</v>
      </c>
      <c r="D215" s="39" t="n">
        <f aca="false">COUNTIFS(レース分析!$AJ$2:$AJ$5000,$C215,レース分析!$BR$2:$BR$5000,$B215)</f>
        <v>4</v>
      </c>
      <c r="E215" s="39" t="n">
        <f aca="false">COUNTIFS(レース分析!$AJ$2:$AJ$5000,$C215,レース分析!$BR$2:$BR$5000,$B215,レース分析!$T$2:$T$5000,"&lt;=3")</f>
        <v>4</v>
      </c>
      <c r="F215" s="40" t="n">
        <f aca="false">IFERROR(E215/D215,0)</f>
        <v>0</v>
      </c>
      <c r="G215" s="39" t="n">
        <f aca="false">D215*100</f>
        <v>400</v>
      </c>
      <c r="H215" s="39" t="n">
        <f aca="false">SUMIFS(レース分析!$W$2:$W$5000,レース分析!$AJ$2:$AJ$5000,$C215,レース分析!$BR$2:$BR$5000,$B215)</f>
        <v>430</v>
      </c>
      <c r="I215" s="40" t="n">
        <f aca="false">IFERROR(H215/G215,0)</f>
        <v>0</v>
      </c>
      <c r="J215" s="39" t="n">
        <f aca="false">H215-G215</f>
        <v>30</v>
      </c>
      <c r="K215" s="38" t="str">
        <f aca="false">IF(D215&lt;10,"少数","-")</f>
        <v>少数</v>
      </c>
    </row>
    <row r="216" customFormat="false" ht="15.75" hidden="false" customHeight="false" outlineLevel="0" collapsed="false">
      <c r="A216" s="31" t="s">
        <v>8388</v>
      </c>
      <c r="B216" s="32" t="s">
        <v>8391</v>
      </c>
      <c r="C216" s="33" t="s">
        <v>8376</v>
      </c>
      <c r="D216" s="34" t="n">
        <f aca="false">COUNTIFS(レース分析!$AJ$2:$AJ$5000,$C216,レース分析!$BR$2:$BR$5000,$B216)</f>
        <v>7</v>
      </c>
      <c r="E216" s="34" t="n">
        <f aca="false">COUNTIFS(レース分析!$AJ$2:$AJ$5000,$C216,レース分析!$BR$2:$BR$5000,$B216,レース分析!$T$2:$T$5000,"&lt;=3")</f>
        <v>3</v>
      </c>
      <c r="F216" s="35" t="n">
        <f aca="false">IFERROR(E216/D216,0)</f>
        <v>0</v>
      </c>
      <c r="G216" s="34" t="n">
        <f aca="false">D216*100</f>
        <v>700</v>
      </c>
      <c r="H216" s="34" t="n">
        <f aca="false">SUMIFS(レース分析!$W$2:$W$5000,レース分析!$AJ$2:$AJ$5000,$C216,レース分析!$BR$2:$BR$5000,$B216)</f>
        <v>350</v>
      </c>
      <c r="I216" s="35" t="n">
        <f aca="false">IFERROR(H216/G216,0)</f>
        <v>0</v>
      </c>
      <c r="J216" s="34" t="n">
        <f aca="false">H216-G216</f>
        <v>-350</v>
      </c>
      <c r="K216" s="33" t="str">
        <f aca="false">IF(D216&lt;10,"少数","-")</f>
        <v>少数</v>
      </c>
    </row>
    <row r="217" customFormat="false" ht="15.75" hidden="false" customHeight="false" outlineLevel="0" collapsed="false">
      <c r="A217" s="36" t="s">
        <v>8388</v>
      </c>
      <c r="B217" s="37" t="s">
        <v>8391</v>
      </c>
      <c r="C217" s="38" t="s">
        <v>8377</v>
      </c>
      <c r="D217" s="39" t="n">
        <f aca="false">COUNTIFS(レース分析!$AJ$2:$AJ$5000,$C217,レース分析!$BR$2:$BR$5000,$B217)</f>
        <v>2</v>
      </c>
      <c r="E217" s="39" t="n">
        <f aca="false">COUNTIFS(レース分析!$AJ$2:$AJ$5000,$C217,レース分析!$BR$2:$BR$5000,$B217,レース分析!$T$2:$T$5000,"&lt;=3")</f>
        <v>2</v>
      </c>
      <c r="F217" s="40" t="n">
        <f aca="false">IFERROR(E217/D217,0)</f>
        <v>0</v>
      </c>
      <c r="G217" s="39" t="n">
        <f aca="false">D217*100</f>
        <v>200</v>
      </c>
      <c r="H217" s="39" t="n">
        <f aca="false">SUMIFS(レース分析!$W$2:$W$5000,レース分析!$AJ$2:$AJ$5000,$C217,レース分析!$BR$2:$BR$5000,$B217)</f>
        <v>220</v>
      </c>
      <c r="I217" s="40" t="n">
        <f aca="false">IFERROR(H217/G217,0)</f>
        <v>0</v>
      </c>
      <c r="J217" s="39" t="n">
        <f aca="false">H217-G217</f>
        <v>20</v>
      </c>
      <c r="K217" s="38" t="str">
        <f aca="false">IF(D217&lt;10,"少数","-")</f>
        <v>少数</v>
      </c>
    </row>
    <row r="218" customFormat="false" ht="15.75" hidden="false" customHeight="false" outlineLevel="0" collapsed="false">
      <c r="A218" s="31" t="s">
        <v>8388</v>
      </c>
      <c r="B218" s="32" t="s">
        <v>8392</v>
      </c>
      <c r="C218" s="33" t="s">
        <v>8376</v>
      </c>
      <c r="D218" s="34" t="n">
        <f aca="false">COUNTIFS(レース分析!$AJ$2:$AJ$5000,$C218,レース分析!$BR$2:$BR$5000,$B218)</f>
        <v>24</v>
      </c>
      <c r="E218" s="34" t="n">
        <f aca="false">COUNTIFS(レース分析!$AJ$2:$AJ$5000,$C218,レース分析!$BR$2:$BR$5000,$B218,レース分析!$T$2:$T$5000,"&lt;=3")</f>
        <v>22</v>
      </c>
      <c r="F218" s="35" t="n">
        <f aca="false">IFERROR(E218/D218,0)</f>
        <v>0</v>
      </c>
      <c r="G218" s="34" t="n">
        <f aca="false">D218*100</f>
        <v>2400</v>
      </c>
      <c r="H218" s="34" t="n">
        <f aca="false">SUMIFS(レース分析!$W$2:$W$5000,レース分析!$AJ$2:$AJ$5000,$C218,レース分析!$BR$2:$BR$5000,$B218)</f>
        <v>2450</v>
      </c>
      <c r="I218" s="35" t="n">
        <f aca="false">IFERROR(H218/G218,0)</f>
        <v>0</v>
      </c>
      <c r="J218" s="34" t="n">
        <f aca="false">H218-G218</f>
        <v>50</v>
      </c>
      <c r="K218" s="33" t="str">
        <f aca="false">IF(D218&lt;10,"少数","-")</f>
        <v>-</v>
      </c>
    </row>
    <row r="219" customFormat="false" ht="15.75" hidden="false" customHeight="false" outlineLevel="0" collapsed="false">
      <c r="A219" s="36" t="s">
        <v>8388</v>
      </c>
      <c r="B219" s="37" t="s">
        <v>8392</v>
      </c>
      <c r="C219" s="38" t="s">
        <v>8377</v>
      </c>
      <c r="D219" s="39" t="n">
        <f aca="false">COUNTIFS(レース分析!$AJ$2:$AJ$5000,$C219,レース分析!$BR$2:$BR$5000,$B219)</f>
        <v>17</v>
      </c>
      <c r="E219" s="39" t="n">
        <f aca="false">COUNTIFS(レース分析!$AJ$2:$AJ$5000,$C219,レース分析!$BR$2:$BR$5000,$B219,レース分析!$T$2:$T$5000,"&lt;=3")</f>
        <v>14</v>
      </c>
      <c r="F219" s="40" t="n">
        <f aca="false">IFERROR(E219/D219,0)</f>
        <v>0</v>
      </c>
      <c r="G219" s="39" t="n">
        <f aca="false">D219*100</f>
        <v>1700</v>
      </c>
      <c r="H219" s="39" t="n">
        <f aca="false">SUMIFS(レース分析!$W$2:$W$5000,レース分析!$AJ$2:$AJ$5000,$C219,レース分析!$BR$2:$BR$5000,$B219)</f>
        <v>1570</v>
      </c>
      <c r="I219" s="40" t="n">
        <f aca="false">IFERROR(H219/G219,0)</f>
        <v>0</v>
      </c>
      <c r="J219" s="39" t="n">
        <f aca="false">H219-G219</f>
        <v>-130</v>
      </c>
      <c r="K219" s="38" t="str">
        <f aca="false">IF(D219&lt;10,"少数","-")</f>
        <v>-</v>
      </c>
    </row>
    <row r="220" customFormat="false" ht="15.75" hidden="false" customHeight="false" outlineLevel="0" collapsed="false">
      <c r="A220" s="31" t="s">
        <v>8388</v>
      </c>
      <c r="B220" s="32" t="s">
        <v>8393</v>
      </c>
      <c r="C220" s="33" t="s">
        <v>8376</v>
      </c>
      <c r="D220" s="34" t="n">
        <f aca="false">COUNTIFS(レース分析!$AJ$2:$AJ$5000,$C220,レース分析!$BR$2:$BR$5000,$B220)</f>
        <v>6</v>
      </c>
      <c r="E220" s="34" t="n">
        <f aca="false">COUNTIFS(レース分析!$AJ$2:$AJ$5000,$C220,レース分析!$BR$2:$BR$5000,$B220,レース分析!$T$2:$T$5000,"&lt;=3")</f>
        <v>4</v>
      </c>
      <c r="F220" s="35" t="n">
        <f aca="false">IFERROR(E220/D220,0)</f>
        <v>0</v>
      </c>
      <c r="G220" s="34" t="n">
        <f aca="false">D220*100</f>
        <v>600</v>
      </c>
      <c r="H220" s="34" t="n">
        <f aca="false">SUMIFS(レース分析!$W$2:$W$5000,レース分析!$AJ$2:$AJ$5000,$C220,レース分析!$BR$2:$BR$5000,$B220)</f>
        <v>450</v>
      </c>
      <c r="I220" s="35" t="n">
        <f aca="false">IFERROR(H220/G220,0)</f>
        <v>0</v>
      </c>
      <c r="J220" s="34" t="n">
        <f aca="false">H220-G220</f>
        <v>-150</v>
      </c>
      <c r="K220" s="33" t="str">
        <f aca="false">IF(D220&lt;10,"少数","-")</f>
        <v>少数</v>
      </c>
    </row>
    <row r="221" customFormat="false" ht="15.75" hidden="false" customHeight="false" outlineLevel="0" collapsed="false">
      <c r="A221" s="36" t="s">
        <v>8388</v>
      </c>
      <c r="B221" s="37" t="s">
        <v>8393</v>
      </c>
      <c r="C221" s="38" t="s">
        <v>8377</v>
      </c>
      <c r="D221" s="39" t="n">
        <f aca="false">COUNTIFS(レース分析!$AJ$2:$AJ$5000,$C221,レース分析!$BR$2:$BR$5000,$B221)</f>
        <v>7</v>
      </c>
      <c r="E221" s="39" t="n">
        <f aca="false">COUNTIFS(レース分析!$AJ$2:$AJ$5000,$C221,レース分析!$BR$2:$BR$5000,$B221,レース分析!$T$2:$T$5000,"&lt;=3")</f>
        <v>6</v>
      </c>
      <c r="F221" s="40" t="n">
        <f aca="false">IFERROR(E221/D221,0)</f>
        <v>0</v>
      </c>
      <c r="G221" s="39" t="n">
        <f aca="false">D221*100</f>
        <v>700</v>
      </c>
      <c r="H221" s="39" t="n">
        <f aca="false">SUMIFS(レース分析!$W$2:$W$5000,レース分析!$AJ$2:$AJ$5000,$C221,レース分析!$BR$2:$BR$5000,$B221)</f>
        <v>650</v>
      </c>
      <c r="I221" s="40" t="n">
        <f aca="false">IFERROR(H221/G221,0)</f>
        <v>0</v>
      </c>
      <c r="J221" s="39" t="n">
        <f aca="false">H221-G221</f>
        <v>-50</v>
      </c>
      <c r="K221" s="38" t="str">
        <f aca="false">IF(D221&lt;10,"少数","-")</f>
        <v>少数</v>
      </c>
    </row>
    <row r="222" customFormat="false" ht="15.75" hidden="false" customHeight="false" outlineLevel="0" collapsed="false">
      <c r="A222" s="31" t="s">
        <v>8388</v>
      </c>
      <c r="B222" s="32" t="s">
        <v>8394</v>
      </c>
      <c r="C222" s="33" t="s">
        <v>8376</v>
      </c>
      <c r="D222" s="34" t="n">
        <f aca="false">COUNTIFS(レース分析!$AJ$2:$AJ$5000,$C222,レース分析!$BR$2:$BR$5000,$B222)</f>
        <v>6</v>
      </c>
      <c r="E222" s="34" t="n">
        <f aca="false">COUNTIFS(レース分析!$AJ$2:$AJ$5000,$C222,レース分析!$BR$2:$BR$5000,$B222,レース分析!$T$2:$T$5000,"&lt;=3")</f>
        <v>3</v>
      </c>
      <c r="F222" s="35" t="n">
        <f aca="false">IFERROR(E222/D222,0)</f>
        <v>0</v>
      </c>
      <c r="G222" s="34" t="n">
        <f aca="false">D222*100</f>
        <v>600</v>
      </c>
      <c r="H222" s="34" t="n">
        <f aca="false">SUMIFS(レース分析!$W$2:$W$5000,レース分析!$AJ$2:$AJ$5000,$C222,レース分析!$BR$2:$BR$5000,$B222)</f>
        <v>330</v>
      </c>
      <c r="I222" s="35" t="n">
        <f aca="false">IFERROR(H222/G222,0)</f>
        <v>0</v>
      </c>
      <c r="J222" s="34" t="n">
        <f aca="false">H222-G222</f>
        <v>-270</v>
      </c>
      <c r="K222" s="33" t="str">
        <f aca="false">IF(D222&lt;10,"少数","-")</f>
        <v>少数</v>
      </c>
    </row>
    <row r="223" customFormat="false" ht="15.75" hidden="false" customHeight="false" outlineLevel="0" collapsed="false">
      <c r="A223" s="36" t="s">
        <v>8388</v>
      </c>
      <c r="B223" s="37" t="s">
        <v>8394</v>
      </c>
      <c r="C223" s="38" t="s">
        <v>8377</v>
      </c>
      <c r="D223" s="39" t="n">
        <f aca="false">COUNTIFS(レース分析!$AJ$2:$AJ$5000,$C223,レース分析!$BR$2:$BR$5000,$B223)</f>
        <v>1</v>
      </c>
      <c r="E223" s="39" t="n">
        <f aca="false">COUNTIFS(レース分析!$AJ$2:$AJ$5000,$C223,レース分析!$BR$2:$BR$5000,$B223,レース分析!$T$2:$T$5000,"&lt;=3")</f>
        <v>1</v>
      </c>
      <c r="F223" s="40" t="n">
        <f aca="false">IFERROR(E223/D223,0)</f>
        <v>0</v>
      </c>
      <c r="G223" s="39" t="n">
        <f aca="false">D223*100</f>
        <v>100</v>
      </c>
      <c r="H223" s="39" t="n">
        <f aca="false">SUMIFS(レース分析!$W$2:$W$5000,レース分析!$AJ$2:$AJ$5000,$C223,レース分析!$BR$2:$BR$5000,$B223)</f>
        <v>150</v>
      </c>
      <c r="I223" s="40" t="n">
        <f aca="false">IFERROR(H223/G223,0)</f>
        <v>0</v>
      </c>
      <c r="J223" s="39" t="n">
        <f aca="false">H223-G223</f>
        <v>50</v>
      </c>
      <c r="K223" s="38" t="str">
        <f aca="false">IF(D223&lt;10,"少数","-")</f>
        <v>少数</v>
      </c>
    </row>
    <row r="224" customFormat="false" ht="15.75" hidden="false" customHeight="false" outlineLevel="0" collapsed="false">
      <c r="A224" s="31" t="s">
        <v>8395</v>
      </c>
      <c r="B224" s="31" t="s">
        <v>7604</v>
      </c>
      <c r="C224" s="33" t="s">
        <v>8376</v>
      </c>
      <c r="D224" s="34" t="n">
        <f aca="false">COUNTIFS(レース分析!$AJ$2:$AJ$5000,$C224,レース分析!$BC$2:$BC$5000,$B224)</f>
        <v>48</v>
      </c>
      <c r="E224" s="34" t="n">
        <f aca="false">COUNTIFS(レース分析!$AJ$2:$AJ$5000,$C224,レース分析!$BC$2:$BC$5000,$B224,レース分析!$T$2:$T$5000,"&lt;=3")</f>
        <v>33</v>
      </c>
      <c r="F224" s="35" t="n">
        <f aca="false">IFERROR(E224/D224,0)</f>
        <v>0</v>
      </c>
      <c r="G224" s="34" t="n">
        <f aca="false">D224*100</f>
        <v>4800</v>
      </c>
      <c r="H224" s="34" t="n">
        <f aca="false">SUMIFS(レース分析!$W$2:$W$5000,レース分析!$AJ$2:$AJ$5000,$C224,レース分析!$BC$2:$BC$5000,$B224)</f>
        <v>3740</v>
      </c>
      <c r="I224" s="35" t="n">
        <f aca="false">IFERROR(H224/G224,0)</f>
        <v>0</v>
      </c>
      <c r="J224" s="34" t="n">
        <f aca="false">H224-G224</f>
        <v>-1060</v>
      </c>
      <c r="K224" s="33" t="str">
        <f aca="false">IF(D224&lt;10,"少数","-")</f>
        <v>-</v>
      </c>
    </row>
    <row r="225" customFormat="false" ht="15.75" hidden="false" customHeight="false" outlineLevel="0" collapsed="false">
      <c r="A225" s="36" t="s">
        <v>8395</v>
      </c>
      <c r="B225" s="36" t="s">
        <v>7604</v>
      </c>
      <c r="C225" s="38" t="s">
        <v>8377</v>
      </c>
      <c r="D225" s="39" t="n">
        <f aca="false">COUNTIFS(レース分析!$AJ$2:$AJ$5000,$C225,レース分析!$BC$2:$BC$5000,$B225)</f>
        <v>21</v>
      </c>
      <c r="E225" s="39" t="n">
        <f aca="false">COUNTIFS(レース分析!$AJ$2:$AJ$5000,$C225,レース分析!$BC$2:$BC$5000,$B225,レース分析!$T$2:$T$5000,"&lt;=3")</f>
        <v>18</v>
      </c>
      <c r="F225" s="40" t="n">
        <f aca="false">IFERROR(E225/D225,0)</f>
        <v>0</v>
      </c>
      <c r="G225" s="39" t="n">
        <f aca="false">D225*100</f>
        <v>2100</v>
      </c>
      <c r="H225" s="39" t="n">
        <f aca="false">SUMIFS(レース分析!$W$2:$W$5000,レース分析!$AJ$2:$AJ$5000,$C225,レース分析!$BC$2:$BC$5000,$B225)</f>
        <v>2010</v>
      </c>
      <c r="I225" s="40" t="n">
        <f aca="false">IFERROR(H225/G225,0)</f>
        <v>0</v>
      </c>
      <c r="J225" s="39" t="n">
        <f aca="false">H225-G225</f>
        <v>-90</v>
      </c>
      <c r="K225" s="38" t="str">
        <f aca="false">IF(D225&lt;10,"少数","-")</f>
        <v>-</v>
      </c>
    </row>
    <row r="226" customFormat="false" ht="15.75" hidden="false" customHeight="false" outlineLevel="0" collapsed="false">
      <c r="A226" s="31" t="s">
        <v>8395</v>
      </c>
      <c r="B226" s="31" t="s">
        <v>7619</v>
      </c>
      <c r="C226" s="33" t="s">
        <v>8376</v>
      </c>
      <c r="D226" s="34" t="n">
        <f aca="false">COUNTIFS(レース分析!$AJ$2:$AJ$5000,$C226,レース分析!$BC$2:$BC$5000,$B226)</f>
        <v>14</v>
      </c>
      <c r="E226" s="34" t="n">
        <f aca="false">COUNTIFS(レース分析!$AJ$2:$AJ$5000,$C226,レース分析!$BC$2:$BC$5000,$B226,レース分析!$T$2:$T$5000,"&lt;=3")</f>
        <v>11</v>
      </c>
      <c r="F226" s="35" t="n">
        <f aca="false">IFERROR(E226/D226,0)</f>
        <v>0</v>
      </c>
      <c r="G226" s="34" t="n">
        <f aca="false">D226*100</f>
        <v>1400</v>
      </c>
      <c r="H226" s="34" t="n">
        <f aca="false">SUMIFS(レース分析!$W$2:$W$5000,レース分析!$AJ$2:$AJ$5000,$C226,レース分析!$BC$2:$BC$5000,$B226)</f>
        <v>1210</v>
      </c>
      <c r="I226" s="35" t="n">
        <f aca="false">IFERROR(H226/G226,0)</f>
        <v>0</v>
      </c>
      <c r="J226" s="34" t="n">
        <f aca="false">H226-G226</f>
        <v>-190</v>
      </c>
      <c r="K226" s="33" t="str">
        <f aca="false">IF(D226&lt;10,"少数","-")</f>
        <v>-</v>
      </c>
    </row>
    <row r="227" customFormat="false" ht="15.75" hidden="false" customHeight="false" outlineLevel="0" collapsed="false">
      <c r="A227" s="36" t="s">
        <v>8395</v>
      </c>
      <c r="B227" s="36" t="s">
        <v>7619</v>
      </c>
      <c r="C227" s="38" t="s">
        <v>8377</v>
      </c>
      <c r="D227" s="39" t="n">
        <f aca="false">COUNTIFS(レース分析!$AJ$2:$AJ$5000,$C227,レース分析!$BC$2:$BC$5000,$B227)</f>
        <v>7</v>
      </c>
      <c r="E227" s="39" t="n">
        <f aca="false">COUNTIFS(レース分析!$AJ$2:$AJ$5000,$C227,レース分析!$BC$2:$BC$5000,$B227,レース分析!$T$2:$T$5000,"&lt;=3")</f>
        <v>6</v>
      </c>
      <c r="F227" s="40" t="n">
        <f aca="false">IFERROR(E227/D227,0)</f>
        <v>0</v>
      </c>
      <c r="G227" s="39" t="n">
        <f aca="false">D227*100</f>
        <v>700</v>
      </c>
      <c r="H227" s="39" t="n">
        <f aca="false">SUMIFS(レース分析!$W$2:$W$5000,レース分析!$AJ$2:$AJ$5000,$C227,レース分析!$BC$2:$BC$5000,$B227)</f>
        <v>680</v>
      </c>
      <c r="I227" s="40" t="n">
        <f aca="false">IFERROR(H227/G227,0)</f>
        <v>0</v>
      </c>
      <c r="J227" s="39" t="n">
        <f aca="false">H227-G227</f>
        <v>-20</v>
      </c>
      <c r="K227" s="38" t="str">
        <f aca="false">IF(D227&lt;10,"少数","-")</f>
        <v>少数</v>
      </c>
    </row>
    <row r="228" customFormat="false" ht="15.75" hidden="false" customHeight="false" outlineLevel="0" collapsed="false">
      <c r="A228" s="31" t="s">
        <v>8395</v>
      </c>
      <c r="B228" s="31" t="s">
        <v>7658</v>
      </c>
      <c r="C228" s="33" t="s">
        <v>8376</v>
      </c>
      <c r="D228" s="34" t="n">
        <f aca="false">COUNTIFS(レース分析!$AJ$2:$AJ$5000,$C228,レース分析!$BC$2:$BC$5000,$B228)</f>
        <v>6</v>
      </c>
      <c r="E228" s="34" t="n">
        <f aca="false">COUNTIFS(レース分析!$AJ$2:$AJ$5000,$C228,レース分析!$BC$2:$BC$5000,$B228,レース分析!$T$2:$T$5000,"&lt;=3")</f>
        <v>6</v>
      </c>
      <c r="F228" s="35" t="n">
        <f aca="false">IFERROR(E228/D228,0)</f>
        <v>0</v>
      </c>
      <c r="G228" s="34" t="n">
        <f aca="false">D228*100</f>
        <v>600</v>
      </c>
      <c r="H228" s="34" t="n">
        <f aca="false">SUMIFS(レース分析!$W$2:$W$5000,レース分析!$AJ$2:$AJ$5000,$C228,レース分析!$BC$2:$BC$5000,$B228)</f>
        <v>680</v>
      </c>
      <c r="I228" s="35" t="n">
        <f aca="false">IFERROR(H228/G228,0)</f>
        <v>0</v>
      </c>
      <c r="J228" s="34" t="n">
        <f aca="false">H228-G228</f>
        <v>80</v>
      </c>
      <c r="K228" s="33" t="str">
        <f aca="false">IF(D228&lt;10,"少数","-")</f>
        <v>少数</v>
      </c>
    </row>
    <row r="229" customFormat="false" ht="15.75" hidden="false" customHeight="false" outlineLevel="0" collapsed="false">
      <c r="A229" s="36" t="s">
        <v>8395</v>
      </c>
      <c r="B229" s="36" t="s">
        <v>7658</v>
      </c>
      <c r="C229" s="38" t="s">
        <v>8377</v>
      </c>
      <c r="D229" s="39" t="n">
        <f aca="false">COUNTIFS(レース分析!$AJ$2:$AJ$5000,$C229,レース分析!$BC$2:$BC$5000,$B229)</f>
        <v>3</v>
      </c>
      <c r="E229" s="39" t="n">
        <f aca="false">COUNTIFS(レース分析!$AJ$2:$AJ$5000,$C229,レース分析!$BC$2:$BC$5000,$B229,レース分析!$T$2:$T$5000,"&lt;=3")</f>
        <v>3</v>
      </c>
      <c r="F229" s="40" t="n">
        <f aca="false">IFERROR(E229/D229,0)</f>
        <v>0</v>
      </c>
      <c r="G229" s="39" t="n">
        <f aca="false">D229*100</f>
        <v>300</v>
      </c>
      <c r="H229" s="39" t="n">
        <f aca="false">SUMIFS(レース分析!$W$2:$W$5000,レース分析!$AJ$2:$AJ$5000,$C229,レース分析!$BC$2:$BC$5000,$B229)</f>
        <v>360</v>
      </c>
      <c r="I229" s="40" t="n">
        <f aca="false">IFERROR(H229/G229,0)</f>
        <v>0</v>
      </c>
      <c r="J229" s="39" t="n">
        <f aca="false">H229-G229</f>
        <v>60</v>
      </c>
      <c r="K229" s="38" t="str">
        <f aca="false">IF(D229&lt;10,"少数","-")</f>
        <v>少数</v>
      </c>
    </row>
    <row r="230" customFormat="false" ht="15.75" hidden="false" customHeight="false" outlineLevel="0" collapsed="false">
      <c r="A230" s="31" t="s">
        <v>8395</v>
      </c>
      <c r="B230" s="31" t="s">
        <v>7662</v>
      </c>
      <c r="C230" s="33" t="s">
        <v>8376</v>
      </c>
      <c r="D230" s="34" t="n">
        <f aca="false">COUNTIFS(レース分析!$AJ$2:$AJ$5000,$C230,レース分析!$BC$2:$BC$5000,$B230)</f>
        <v>0</v>
      </c>
      <c r="E230" s="34" t="n">
        <f aca="false">COUNTIFS(レース分析!$AJ$2:$AJ$5000,$C230,レース分析!$BC$2:$BC$5000,$B230,レース分析!$T$2:$T$5000,"&lt;=3")</f>
        <v>0</v>
      </c>
      <c r="F230" s="35" t="n">
        <f aca="false">IFERROR(E230/D230,0)</f>
        <v>0</v>
      </c>
      <c r="G230" s="34" t="n">
        <f aca="false">D230*100</f>
        <v>0</v>
      </c>
      <c r="H230" s="34" t="n">
        <f aca="false">SUMIFS(レース分析!$W$2:$W$5000,レース分析!$AJ$2:$AJ$5000,$C230,レース分析!$BC$2:$BC$5000,$B230)</f>
        <v>0</v>
      </c>
      <c r="I230" s="35" t="n">
        <f aca="false">IFERROR(H230/G230,0)</f>
        <v>0</v>
      </c>
      <c r="J230" s="34" t="n">
        <f aca="false">H230-G230</f>
        <v>0</v>
      </c>
      <c r="K230" s="33" t="str">
        <f aca="false">IF(D230&lt;10,"少数","-")</f>
        <v>少数</v>
      </c>
    </row>
    <row r="231" customFormat="false" ht="15.75" hidden="false" customHeight="false" outlineLevel="0" collapsed="false">
      <c r="A231" s="36" t="s">
        <v>8395</v>
      </c>
      <c r="B231" s="36" t="s">
        <v>7662</v>
      </c>
      <c r="C231" s="38" t="s">
        <v>8377</v>
      </c>
      <c r="D231" s="39" t="n">
        <f aca="false">COUNTIFS(レース分析!$AJ$2:$AJ$5000,$C231,レース分析!$BC$2:$BC$5000,$B231)</f>
        <v>3</v>
      </c>
      <c r="E231" s="39" t="n">
        <f aca="false">COUNTIFS(レース分析!$AJ$2:$AJ$5000,$C231,レース分析!$BC$2:$BC$5000,$B231,レース分析!$T$2:$T$5000,"&lt;=3")</f>
        <v>3</v>
      </c>
      <c r="F231" s="40" t="n">
        <f aca="false">IFERROR(E231/D231,0)</f>
        <v>0</v>
      </c>
      <c r="G231" s="39" t="n">
        <f aca="false">D231*100</f>
        <v>300</v>
      </c>
      <c r="H231" s="39" t="n">
        <f aca="false">SUMIFS(レース分析!$W$2:$W$5000,レース分析!$AJ$2:$AJ$5000,$C231,レース分析!$BC$2:$BC$5000,$B231)</f>
        <v>330</v>
      </c>
      <c r="I231" s="40" t="n">
        <f aca="false">IFERROR(H231/G231,0)</f>
        <v>0</v>
      </c>
      <c r="J231" s="39" t="n">
        <f aca="false">H231-G231</f>
        <v>30</v>
      </c>
      <c r="K231" s="38" t="str">
        <f aca="false">IF(D231&lt;10,"少数","-")</f>
        <v>少数</v>
      </c>
    </row>
    <row r="232" customFormat="false" ht="15.75" hidden="false" customHeight="false" outlineLevel="0" collapsed="false">
      <c r="A232" s="31" t="s">
        <v>8396</v>
      </c>
      <c r="B232" s="31" t="s">
        <v>7622</v>
      </c>
      <c r="C232" s="33" t="s">
        <v>8376</v>
      </c>
      <c r="D232" s="34" t="n">
        <f aca="false">COUNTIFS(レース分析!$AJ$2:$AJ$5000,$C232,レース分析!$BU$2:$BU$5000,$B232)</f>
        <v>9</v>
      </c>
      <c r="E232" s="34" t="n">
        <f aca="false">COUNTIFS(レース分析!$AJ$2:$AJ$5000,$C232,レース分析!$BU$2:$BU$5000,$B232,レース分析!$T$2:$T$5000,"&lt;=3")</f>
        <v>6</v>
      </c>
      <c r="F232" s="35" t="n">
        <f aca="false">IFERROR(E232/D232,0)</f>
        <v>0</v>
      </c>
      <c r="G232" s="34" t="n">
        <f aca="false">D232*100</f>
        <v>900</v>
      </c>
      <c r="H232" s="34" t="n">
        <f aca="false">SUMIFS(レース分析!$W$2:$W$5000,レース分析!$AJ$2:$AJ$5000,$C232,レース分析!$BU$2:$BU$5000,$B232)</f>
        <v>700</v>
      </c>
      <c r="I232" s="35" t="n">
        <f aca="false">IFERROR(H232/G232,0)</f>
        <v>0</v>
      </c>
      <c r="J232" s="34" t="n">
        <f aca="false">H232-G232</f>
        <v>-200</v>
      </c>
      <c r="K232" s="33" t="str">
        <f aca="false">IF(D232&lt;10,"少数","-")</f>
        <v>少数</v>
      </c>
    </row>
    <row r="233" customFormat="false" ht="15.75" hidden="false" customHeight="false" outlineLevel="0" collapsed="false">
      <c r="A233" s="36" t="s">
        <v>8396</v>
      </c>
      <c r="B233" s="36" t="s">
        <v>7622</v>
      </c>
      <c r="C233" s="38" t="s">
        <v>8377</v>
      </c>
      <c r="D233" s="39" t="n">
        <f aca="false">COUNTIFS(レース分析!$AJ$2:$AJ$5000,$C233,レース分析!$BU$2:$BU$5000,$B233)</f>
        <v>3</v>
      </c>
      <c r="E233" s="39" t="n">
        <f aca="false">COUNTIFS(レース分析!$AJ$2:$AJ$5000,$C233,レース分析!$BU$2:$BU$5000,$B233,レース分析!$T$2:$T$5000,"&lt;=3")</f>
        <v>2</v>
      </c>
      <c r="F233" s="40" t="n">
        <f aca="false">IFERROR(E233/D233,0)</f>
        <v>0</v>
      </c>
      <c r="G233" s="39" t="n">
        <f aca="false">D233*100</f>
        <v>300</v>
      </c>
      <c r="H233" s="39" t="n">
        <f aca="false">SUMIFS(レース分析!$W$2:$W$5000,レース分析!$AJ$2:$AJ$5000,$C233,レース分析!$BU$2:$BU$5000,$B233)</f>
        <v>220</v>
      </c>
      <c r="I233" s="40" t="n">
        <f aca="false">IFERROR(H233/G233,0)</f>
        <v>0</v>
      </c>
      <c r="J233" s="39" t="n">
        <f aca="false">H233-G233</f>
        <v>-80</v>
      </c>
      <c r="K233" s="38" t="str">
        <f aca="false">IF(D233&lt;10,"少数","-")</f>
        <v>少数</v>
      </c>
    </row>
    <row r="234" customFormat="false" ht="15.75" hidden="false" customHeight="false" outlineLevel="0" collapsed="false">
      <c r="A234" s="31" t="s">
        <v>8396</v>
      </c>
      <c r="B234" s="31" t="s">
        <v>8342</v>
      </c>
      <c r="C234" s="33" t="s">
        <v>8376</v>
      </c>
      <c r="D234" s="34" t="n">
        <f aca="false">COUNTIFS(レース分析!$AJ$2:$AJ$5000,$C234,レース分析!$BU$2:$BU$5000,$B234)</f>
        <v>59</v>
      </c>
      <c r="E234" s="34" t="n">
        <f aca="false">COUNTIFS(レース分析!$AJ$2:$AJ$5000,$C234,レース分析!$BU$2:$BU$5000,$B234,レース分析!$T$2:$T$5000,"&lt;=3")</f>
        <v>44</v>
      </c>
      <c r="F234" s="35" t="n">
        <f aca="false">IFERROR(E234/D234,0)</f>
        <v>0</v>
      </c>
      <c r="G234" s="34" t="n">
        <f aca="false">D234*100</f>
        <v>5900</v>
      </c>
      <c r="H234" s="34" t="n">
        <f aca="false">SUMIFS(レース分析!$W$2:$W$5000,レース分析!$AJ$2:$AJ$5000,$C234,レース分析!$BU$2:$BU$5000,$B234)</f>
        <v>4930</v>
      </c>
      <c r="I234" s="35" t="n">
        <f aca="false">IFERROR(H234/G234,0)</f>
        <v>0</v>
      </c>
      <c r="J234" s="34" t="n">
        <f aca="false">H234-G234</f>
        <v>-970</v>
      </c>
      <c r="K234" s="33" t="str">
        <f aca="false">IF(D234&lt;10,"少数","-")</f>
        <v>-</v>
      </c>
    </row>
    <row r="235" customFormat="false" ht="15.75" hidden="false" customHeight="false" outlineLevel="0" collapsed="false">
      <c r="A235" s="36" t="s">
        <v>8396</v>
      </c>
      <c r="B235" s="36" t="s">
        <v>8342</v>
      </c>
      <c r="C235" s="38" t="s">
        <v>8377</v>
      </c>
      <c r="D235" s="39" t="n">
        <f aca="false">COUNTIFS(レース分析!$AJ$2:$AJ$5000,$C235,レース分析!$BU$2:$BU$5000,$B235)</f>
        <v>31</v>
      </c>
      <c r="E235" s="39" t="n">
        <f aca="false">COUNTIFS(レース分析!$AJ$2:$AJ$5000,$C235,レース分析!$BU$2:$BU$5000,$B235,レース分析!$T$2:$T$5000,"&lt;=3")</f>
        <v>28</v>
      </c>
      <c r="F235" s="40" t="n">
        <f aca="false">IFERROR(E235/D235,0)</f>
        <v>0</v>
      </c>
      <c r="G235" s="39" t="n">
        <f aca="false">D235*100</f>
        <v>3100</v>
      </c>
      <c r="H235" s="39" t="n">
        <f aca="false">SUMIFS(レース分析!$W$2:$W$5000,レース分析!$AJ$2:$AJ$5000,$C235,レース分析!$BU$2:$BU$5000,$B235)</f>
        <v>3160</v>
      </c>
      <c r="I235" s="40" t="n">
        <f aca="false">IFERROR(H235/G235,0)</f>
        <v>0</v>
      </c>
      <c r="J235" s="39" t="n">
        <f aca="false">H235-G235</f>
        <v>60</v>
      </c>
      <c r="K235" s="38" t="str">
        <f aca="false">IF(D235&lt;10,"少数","-")</f>
        <v>-</v>
      </c>
    </row>
    <row r="236" customFormat="false" ht="15.75" hidden="false" customHeight="false" outlineLevel="0" collapsed="false">
      <c r="A236" s="31" t="s">
        <v>8397</v>
      </c>
      <c r="B236" s="31" t="s">
        <v>7667</v>
      </c>
      <c r="C236" s="33" t="s">
        <v>8376</v>
      </c>
      <c r="D236" s="34" t="n">
        <f aca="false">COUNTIFS(レース分析!$AJ$2:$AJ$5000,$C236,レース分析!$BH$2:$BH$5000,$B236)</f>
        <v>2</v>
      </c>
      <c r="E236" s="34" t="n">
        <f aca="false">COUNTIFS(レース分析!$AJ$2:$AJ$5000,$C236,レース分析!$BH$2:$BH$5000,$B236,レース分析!$T$2:$T$5000,"&lt;=3")</f>
        <v>1</v>
      </c>
      <c r="F236" s="35" t="n">
        <f aca="false">IFERROR(E236/D236,0)</f>
        <v>0</v>
      </c>
      <c r="G236" s="34" t="n">
        <f aca="false">D236*100</f>
        <v>200</v>
      </c>
      <c r="H236" s="34" t="n">
        <f aca="false">SUMIFS(レース分析!$W$2:$W$5000,レース分析!$AJ$2:$AJ$5000,$C236,レース分析!$BH$2:$BH$5000,$B236)</f>
        <v>110</v>
      </c>
      <c r="I236" s="35" t="n">
        <f aca="false">IFERROR(H236/G236,0)</f>
        <v>0</v>
      </c>
      <c r="J236" s="34" t="n">
        <f aca="false">H236-G236</f>
        <v>-90</v>
      </c>
      <c r="K236" s="33" t="str">
        <f aca="false">IF(D236&lt;10,"少数","-")</f>
        <v>少数</v>
      </c>
    </row>
    <row r="237" customFormat="false" ht="15.75" hidden="false" customHeight="false" outlineLevel="0" collapsed="false">
      <c r="A237" s="36" t="s">
        <v>8397</v>
      </c>
      <c r="B237" s="36" t="s">
        <v>7667</v>
      </c>
      <c r="C237" s="38" t="s">
        <v>8377</v>
      </c>
      <c r="D237" s="39" t="n">
        <f aca="false">COUNTIFS(レース分析!$AJ$2:$AJ$5000,$C237,レース分析!$BH$2:$BH$5000,$B237)</f>
        <v>0</v>
      </c>
      <c r="E237" s="39" t="n">
        <f aca="false">COUNTIFS(レース分析!$AJ$2:$AJ$5000,$C237,レース分析!$BH$2:$BH$5000,$B237,レース分析!$T$2:$T$5000,"&lt;=3")</f>
        <v>0</v>
      </c>
      <c r="F237" s="40" t="n">
        <f aca="false">IFERROR(E237/D237,0)</f>
        <v>0</v>
      </c>
      <c r="G237" s="39" t="n">
        <f aca="false">D237*100</f>
        <v>0</v>
      </c>
      <c r="H237" s="39" t="n">
        <f aca="false">SUMIFS(レース分析!$W$2:$W$5000,レース分析!$AJ$2:$AJ$5000,$C237,レース分析!$BH$2:$BH$5000,$B237)</f>
        <v>0</v>
      </c>
      <c r="I237" s="40" t="n">
        <f aca="false">IFERROR(H237/G237,0)</f>
        <v>0</v>
      </c>
      <c r="J237" s="39" t="n">
        <f aca="false">H237-G237</f>
        <v>0</v>
      </c>
      <c r="K237" s="38" t="str">
        <f aca="false">IF(D237&lt;10,"少数","-")</f>
        <v>少数</v>
      </c>
    </row>
    <row r="238" customFormat="false" ht="15.75" hidden="false" customHeight="false" outlineLevel="0" collapsed="false">
      <c r="A238" s="31" t="s">
        <v>8397</v>
      </c>
      <c r="B238" s="31" t="s">
        <v>7646</v>
      </c>
      <c r="C238" s="33" t="s">
        <v>8376</v>
      </c>
      <c r="D238" s="34" t="n">
        <f aca="false">COUNTIFS(レース分析!$AJ$2:$AJ$5000,$C238,レース分析!$BH$2:$BH$5000,$B238)</f>
        <v>3</v>
      </c>
      <c r="E238" s="34" t="n">
        <f aca="false">COUNTIFS(レース分析!$AJ$2:$AJ$5000,$C238,レース分析!$BH$2:$BH$5000,$B238,レース分析!$T$2:$T$5000,"&lt;=3")</f>
        <v>2</v>
      </c>
      <c r="F238" s="35" t="n">
        <f aca="false">IFERROR(E238/D238,0)</f>
        <v>0</v>
      </c>
      <c r="G238" s="34" t="n">
        <f aca="false">D238*100</f>
        <v>300</v>
      </c>
      <c r="H238" s="34" t="n">
        <f aca="false">SUMIFS(レース分析!$W$2:$W$5000,レース分析!$AJ$2:$AJ$5000,$C238,レース分析!$BH$2:$BH$5000,$B238)</f>
        <v>240</v>
      </c>
      <c r="I238" s="35" t="n">
        <f aca="false">IFERROR(H238/G238,0)</f>
        <v>0</v>
      </c>
      <c r="J238" s="34" t="n">
        <f aca="false">H238-G238</f>
        <v>-60</v>
      </c>
      <c r="K238" s="33" t="str">
        <f aca="false">IF(D238&lt;10,"少数","-")</f>
        <v>少数</v>
      </c>
    </row>
    <row r="239" customFormat="false" ht="15.75" hidden="false" customHeight="false" outlineLevel="0" collapsed="false">
      <c r="A239" s="36" t="s">
        <v>8397</v>
      </c>
      <c r="B239" s="36" t="s">
        <v>7646</v>
      </c>
      <c r="C239" s="38" t="s">
        <v>8377</v>
      </c>
      <c r="D239" s="39" t="n">
        <f aca="false">COUNTIFS(レース分析!$AJ$2:$AJ$5000,$C239,レース分析!$BH$2:$BH$5000,$B239)</f>
        <v>0</v>
      </c>
      <c r="E239" s="39" t="n">
        <f aca="false">COUNTIFS(レース分析!$AJ$2:$AJ$5000,$C239,レース分析!$BH$2:$BH$5000,$B239,レース分析!$T$2:$T$5000,"&lt;=3")</f>
        <v>0</v>
      </c>
      <c r="F239" s="40" t="n">
        <f aca="false">IFERROR(E239/D239,0)</f>
        <v>0</v>
      </c>
      <c r="G239" s="39" t="n">
        <f aca="false">D239*100</f>
        <v>0</v>
      </c>
      <c r="H239" s="39" t="n">
        <f aca="false">SUMIFS(レース分析!$W$2:$W$5000,レース分析!$AJ$2:$AJ$5000,$C239,レース分析!$BH$2:$BH$5000,$B239)</f>
        <v>0</v>
      </c>
      <c r="I239" s="40" t="n">
        <f aca="false">IFERROR(H239/G239,0)</f>
        <v>0</v>
      </c>
      <c r="J239" s="39" t="n">
        <f aca="false">H239-G239</f>
        <v>0</v>
      </c>
      <c r="K239" s="38" t="str">
        <f aca="false">IF(D239&lt;10,"少数","-")</f>
        <v>少数</v>
      </c>
    </row>
    <row r="240" customFormat="false" ht="15.75" hidden="false" customHeight="false" outlineLevel="0" collapsed="false">
      <c r="A240" s="31" t="s">
        <v>8397</v>
      </c>
      <c r="B240" s="31" t="s">
        <v>7609</v>
      </c>
      <c r="C240" s="33" t="s">
        <v>8376</v>
      </c>
      <c r="D240" s="34" t="n">
        <f aca="false">COUNTIFS(レース分析!$AJ$2:$AJ$5000,$C240,レース分析!$BH$2:$BH$5000,$B240)</f>
        <v>43</v>
      </c>
      <c r="E240" s="34" t="n">
        <f aca="false">COUNTIFS(レース分析!$AJ$2:$AJ$5000,$C240,レース分析!$BH$2:$BH$5000,$B240,レース分析!$T$2:$T$5000,"&lt;=3")</f>
        <v>32</v>
      </c>
      <c r="F240" s="35" t="n">
        <f aca="false">IFERROR(E240/D240,0)</f>
        <v>0</v>
      </c>
      <c r="G240" s="34" t="n">
        <f aca="false">D240*100</f>
        <v>4300</v>
      </c>
      <c r="H240" s="34" t="n">
        <f aca="false">SUMIFS(レース分析!$W$2:$W$5000,レース分析!$AJ$2:$AJ$5000,$C240,レース分析!$BH$2:$BH$5000,$B240)</f>
        <v>3570</v>
      </c>
      <c r="I240" s="35" t="n">
        <f aca="false">IFERROR(H240/G240,0)</f>
        <v>0</v>
      </c>
      <c r="J240" s="34" t="n">
        <f aca="false">H240-G240</f>
        <v>-730</v>
      </c>
      <c r="K240" s="33" t="str">
        <f aca="false">IF(D240&lt;10,"少数","-")</f>
        <v>-</v>
      </c>
    </row>
    <row r="241" customFormat="false" ht="15.75" hidden="false" customHeight="false" outlineLevel="0" collapsed="false">
      <c r="A241" s="36" t="s">
        <v>8397</v>
      </c>
      <c r="B241" s="36" t="s">
        <v>7609</v>
      </c>
      <c r="C241" s="38" t="s">
        <v>8377</v>
      </c>
      <c r="D241" s="39" t="n">
        <f aca="false">COUNTIFS(レース分析!$AJ$2:$AJ$5000,$C241,レース分析!$BH$2:$BH$5000,$B241)</f>
        <v>21</v>
      </c>
      <c r="E241" s="39" t="n">
        <f aca="false">COUNTIFS(レース分析!$AJ$2:$AJ$5000,$C241,レース分析!$BH$2:$BH$5000,$B241,レース分析!$T$2:$T$5000,"&lt;=3")</f>
        <v>18</v>
      </c>
      <c r="F241" s="40" t="n">
        <f aca="false">IFERROR(E241/D241,0)</f>
        <v>0</v>
      </c>
      <c r="G241" s="39" t="n">
        <f aca="false">D241*100</f>
        <v>2100</v>
      </c>
      <c r="H241" s="39" t="n">
        <f aca="false">SUMIFS(レース分析!$W$2:$W$5000,レース分析!$AJ$2:$AJ$5000,$C241,レース分析!$BH$2:$BH$5000,$B241)</f>
        <v>1980</v>
      </c>
      <c r="I241" s="40" t="n">
        <f aca="false">IFERROR(H241/G241,0)</f>
        <v>0</v>
      </c>
      <c r="J241" s="39" t="n">
        <f aca="false">H241-G241</f>
        <v>-120</v>
      </c>
      <c r="K241" s="38" t="str">
        <f aca="false">IF(D241&lt;10,"少数","-")</f>
        <v>-</v>
      </c>
    </row>
    <row r="242" customFormat="false" ht="15.75" hidden="false" customHeight="false" outlineLevel="0" collapsed="false">
      <c r="A242" s="31" t="s">
        <v>8397</v>
      </c>
      <c r="B242" s="31" t="s">
        <v>7632</v>
      </c>
      <c r="C242" s="33" t="s">
        <v>8376</v>
      </c>
      <c r="D242" s="34" t="n">
        <f aca="false">COUNTIFS(レース分析!$AJ$2:$AJ$5000,$C242,レース分析!$BH$2:$BH$5000,$B242)</f>
        <v>20</v>
      </c>
      <c r="E242" s="34" t="n">
        <f aca="false">COUNTIFS(レース分析!$AJ$2:$AJ$5000,$C242,レース分析!$BH$2:$BH$5000,$B242,レース分析!$T$2:$T$5000,"&lt;=3")</f>
        <v>15</v>
      </c>
      <c r="F242" s="35" t="n">
        <f aca="false">IFERROR(E242/D242,0)</f>
        <v>0</v>
      </c>
      <c r="G242" s="34" t="n">
        <f aca="false">D242*100</f>
        <v>2000</v>
      </c>
      <c r="H242" s="34" t="n">
        <f aca="false">SUMIFS(レース分析!$W$2:$W$5000,レース分析!$AJ$2:$AJ$5000,$C242,レース分析!$BH$2:$BH$5000,$B242)</f>
        <v>1710</v>
      </c>
      <c r="I242" s="35" t="n">
        <f aca="false">IFERROR(H242/G242,0)</f>
        <v>0</v>
      </c>
      <c r="J242" s="34" t="n">
        <f aca="false">H242-G242</f>
        <v>-290</v>
      </c>
      <c r="K242" s="33" t="str">
        <f aca="false">IF(D242&lt;10,"少数","-")</f>
        <v>-</v>
      </c>
    </row>
    <row r="243" customFormat="false" ht="15.75" hidden="false" customHeight="false" outlineLevel="0" collapsed="false">
      <c r="A243" s="36" t="s">
        <v>8397</v>
      </c>
      <c r="B243" s="36" t="s">
        <v>7632</v>
      </c>
      <c r="C243" s="38" t="s">
        <v>8377</v>
      </c>
      <c r="D243" s="39" t="n">
        <f aca="false">COUNTIFS(レース分析!$AJ$2:$AJ$5000,$C243,レース分析!$BH$2:$BH$5000,$B243)</f>
        <v>13</v>
      </c>
      <c r="E243" s="39" t="n">
        <f aca="false">COUNTIFS(レース分析!$AJ$2:$AJ$5000,$C243,レース分析!$BH$2:$BH$5000,$B243,レース分析!$T$2:$T$5000,"&lt;=3")</f>
        <v>12</v>
      </c>
      <c r="F243" s="40" t="n">
        <f aca="false">IFERROR(E243/D243,0)</f>
        <v>0</v>
      </c>
      <c r="G243" s="39" t="n">
        <f aca="false">D243*100</f>
        <v>1300</v>
      </c>
      <c r="H243" s="39" t="n">
        <f aca="false">SUMIFS(レース分析!$W$2:$W$5000,レース分析!$AJ$2:$AJ$5000,$C243,レース分析!$BH$2:$BH$5000,$B243)</f>
        <v>1400</v>
      </c>
      <c r="I243" s="40" t="n">
        <f aca="false">IFERROR(H243/G243,0)</f>
        <v>0</v>
      </c>
      <c r="J243" s="39" t="n">
        <f aca="false">H243-G243</f>
        <v>100</v>
      </c>
      <c r="K243" s="38" t="str">
        <f aca="false">IF(D243&lt;10,"少数","-")</f>
        <v>-</v>
      </c>
    </row>
    <row r="246" customFormat="false" ht="24" hidden="false" customHeight="true" outlineLevel="0" collapsed="false">
      <c r="A246" s="41" t="s">
        <v>8398</v>
      </c>
      <c r="B246" s="41"/>
      <c r="C246" s="41"/>
      <c r="D246" s="41"/>
      <c r="E246" s="41"/>
      <c r="F246" s="41"/>
      <c r="G246" s="41"/>
      <c r="H246" s="41"/>
      <c r="I246" s="41"/>
    </row>
    <row r="247" customFormat="false" ht="30" hidden="false" customHeight="true" outlineLevel="0" collapsed="false">
      <c r="A247" s="42" t="s">
        <v>8365</v>
      </c>
      <c r="B247" s="42" t="s">
        <v>8279</v>
      </c>
      <c r="C247" s="42" t="s">
        <v>8399</v>
      </c>
      <c r="D247" s="42" t="s">
        <v>8281</v>
      </c>
      <c r="E247" s="43" t="s">
        <v>8400</v>
      </c>
      <c r="F247" s="42" t="s">
        <v>8368</v>
      </c>
      <c r="G247" s="42" t="s">
        <v>8283</v>
      </c>
      <c r="H247" s="42" t="s">
        <v>8174</v>
      </c>
      <c r="I247" s="42" t="s">
        <v>8401</v>
      </c>
    </row>
    <row r="248" customFormat="false" ht="15.75" hidden="false" customHeight="false" outlineLevel="0" collapsed="false">
      <c r="A248" s="44" t="s">
        <v>8402</v>
      </c>
      <c r="B248" s="45" t="n">
        <f aca="false">COUNTIFS(レース分析!$G$2:$G$5000,"&gt;=85",レース分析!$Y$2:$Y$5000,"&lt;&gt;参考",レース分析!$D$2:$D$5000,"&lt;=7")</f>
        <v>3</v>
      </c>
      <c r="C248" s="45" t="n">
        <f aca="false">COUNTIFS(レース分析!$G$2:$G$5000,"&gt;=85",レース分析!$Y$2:$Y$5000,"&lt;&gt;参考",レース分析!$D$2:$D$5000,"&lt;=7",レース分析!$T$2:$T$5000,"&lt;=3")</f>
        <v>3</v>
      </c>
      <c r="D248" s="46" t="n">
        <f aca="false">IFERROR(C248/B248,0)</f>
        <v>1</v>
      </c>
      <c r="E248" s="45" t="n">
        <f aca="false">B248*100</f>
        <v>300</v>
      </c>
      <c r="F248" s="45" t="n">
        <f aca="false">SUMIFS(レース分析!$W$2:$W$5000,レース分析!$G$2:$G$5000,"&gt;=85",レース分析!$Y$2:$Y$5000,"&lt;&gt;参考",レース分析!$D$2:$D$5000,"&lt;=7")</f>
        <v>370</v>
      </c>
      <c r="G248" s="46" t="n">
        <f aca="false">IFERROR(F248/E248,0)</f>
        <v>1.23333333333333</v>
      </c>
      <c r="H248" s="45" t="n">
        <f aca="false">F248-E248</f>
        <v>70</v>
      </c>
      <c r="I248" s="44" t="str">
        <f aca="false">IF(B248&lt;10,"少数","")</f>
        <v>少数</v>
      </c>
    </row>
    <row r="249" customFormat="false" ht="15.75" hidden="false" customHeight="false" outlineLevel="0" collapsed="false">
      <c r="A249" s="44" t="s">
        <v>8403</v>
      </c>
      <c r="B249" s="45" t="n">
        <f aca="false">COUNTIFS(レース分析!$G$2:$G$5000,"&gt;=85",レース分析!$Y$2:$Y$5000,"&lt;&gt;参考",レース分析!$D$2:$D$5000,8)</f>
        <v>2</v>
      </c>
      <c r="C249" s="45" t="n">
        <f aca="false">COUNTIFS(レース分析!$G$2:$G$5000,"&gt;=85",レース分析!$Y$2:$Y$5000,"&lt;&gt;参考",レース分析!$D$2:$D$5000,8,レース分析!$T$2:$T$5000,"&lt;=3")</f>
        <v>2</v>
      </c>
      <c r="D249" s="46" t="n">
        <f aca="false">IFERROR(C249/B249,0)</f>
        <v>1</v>
      </c>
      <c r="E249" s="45" t="n">
        <f aca="false">B249*100</f>
        <v>200</v>
      </c>
      <c r="F249" s="45" t="n">
        <f aca="false">SUMIFS(レース分析!$W$2:$W$5000,レース分析!$G$2:$G$5000,"&gt;=85",レース分析!$Y$2:$Y$5000,"&lt;&gt;参考",レース分析!$D$2:$D$5000,8)</f>
        <v>220</v>
      </c>
      <c r="G249" s="46" t="n">
        <f aca="false">IFERROR(F249/E249,0)</f>
        <v>1.1</v>
      </c>
      <c r="H249" s="45" t="n">
        <f aca="false">F249-E249</f>
        <v>20</v>
      </c>
      <c r="I249" s="44" t="str">
        <f aca="false">IF(B249&lt;10,"少数","")</f>
        <v>少数</v>
      </c>
    </row>
    <row r="250" customFormat="false" ht="15.75" hidden="false" customHeight="false" outlineLevel="0" collapsed="false">
      <c r="A250" s="44" t="s">
        <v>8404</v>
      </c>
      <c r="B250" s="45" t="n">
        <f aca="false">COUNTIFS(レース分析!$G$2:$G$5000,"&gt;=85",レース分析!$Y$2:$Y$5000,"&lt;&gt;参考",レース分析!$D$2:$D$5000,9)</f>
        <v>2</v>
      </c>
      <c r="C250" s="45" t="n">
        <f aca="false">COUNTIFS(レース分析!$G$2:$G$5000,"&gt;=85",レース分析!$Y$2:$Y$5000,"&lt;&gt;参考",レース分析!$D$2:$D$5000,9,レース分析!$T$2:$T$5000,"&lt;=3")</f>
        <v>2</v>
      </c>
      <c r="D250" s="46" t="n">
        <f aca="false">IFERROR(C250/B250,0)</f>
        <v>1</v>
      </c>
      <c r="E250" s="45" t="n">
        <f aca="false">B250*100</f>
        <v>200</v>
      </c>
      <c r="F250" s="45" t="n">
        <f aca="false">SUMIFS(レース分析!$W$2:$W$5000,レース分析!$G$2:$G$5000,"&gt;=85",レース分析!$Y$2:$Y$5000,"&lt;&gt;参考",レース分析!$D$2:$D$5000,9)</f>
        <v>220</v>
      </c>
      <c r="G250" s="46" t="n">
        <f aca="false">IFERROR(F250/E250,0)</f>
        <v>1.1</v>
      </c>
      <c r="H250" s="45" t="n">
        <f aca="false">F250-E250</f>
        <v>20</v>
      </c>
      <c r="I250" s="44" t="str">
        <f aca="false">IF(B250&lt;10,"少数","")</f>
        <v>少数</v>
      </c>
    </row>
    <row r="251" customFormat="false" ht="15.75" hidden="false" customHeight="false" outlineLevel="0" collapsed="false">
      <c r="A251" s="44" t="s">
        <v>8405</v>
      </c>
      <c r="B251" s="45" t="n">
        <f aca="false">COUNTIFS(レース分析!$G$2:$G$5000,"&gt;=85",レース分析!$Y$2:$Y$5000,"&lt;&gt;参考",レース分析!$D$2:$D$5000,10)</f>
        <v>1</v>
      </c>
      <c r="C251" s="45" t="n">
        <f aca="false">COUNTIFS(レース分析!$G$2:$G$5000,"&gt;=85",レース分析!$Y$2:$Y$5000,"&lt;&gt;参考",レース分析!$D$2:$D$5000,10,レース分析!$T$2:$T$5000,"&lt;=3")</f>
        <v>1</v>
      </c>
      <c r="D251" s="46" t="n">
        <f aca="false">IFERROR(C251/B251,0)</f>
        <v>1</v>
      </c>
      <c r="E251" s="45" t="n">
        <f aca="false">B251*100</f>
        <v>100</v>
      </c>
      <c r="F251" s="45" t="n">
        <f aca="false">SUMIFS(レース分析!$W$2:$W$5000,レース分析!$G$2:$G$5000,"&gt;=85",レース分析!$Y$2:$Y$5000,"&lt;&gt;参考",レース分析!$D$2:$D$5000,10)</f>
        <v>100</v>
      </c>
      <c r="G251" s="46" t="n">
        <f aca="false">IFERROR(F251/E251,0)</f>
        <v>1</v>
      </c>
      <c r="H251" s="45" t="n">
        <f aca="false">F251-E251</f>
        <v>0</v>
      </c>
      <c r="I251" s="44" t="str">
        <f aca="false">IF(B251&lt;10,"少数","")</f>
        <v>少数</v>
      </c>
    </row>
    <row r="252" customFormat="false" ht="15.75" hidden="false" customHeight="false" outlineLevel="0" collapsed="false">
      <c r="A252" s="44" t="s">
        <v>8406</v>
      </c>
      <c r="B252" s="45" t="n">
        <f aca="false">COUNTIFS(レース分析!$G$2:$G$5000,"&gt;=85",レース分析!$Y$2:$Y$5000,"&lt;&gt;参考",レース分析!$D$2:$D$5000,11)</f>
        <v>1</v>
      </c>
      <c r="C252" s="45" t="n">
        <f aca="false">COUNTIFS(レース分析!$G$2:$G$5000,"&gt;=85",レース分析!$Y$2:$Y$5000,"&lt;&gt;参考",レース分析!$D$2:$D$5000,11,レース分析!$T$2:$T$5000,"&lt;=3")</f>
        <v>1</v>
      </c>
      <c r="D252" s="46" t="n">
        <f aca="false">IFERROR(C252/B252,0)</f>
        <v>1</v>
      </c>
      <c r="E252" s="45" t="n">
        <f aca="false">B252*100</f>
        <v>100</v>
      </c>
      <c r="F252" s="45" t="n">
        <f aca="false">SUMIFS(レース分析!$W$2:$W$5000,レース分析!$G$2:$G$5000,"&gt;=85",レース分析!$Y$2:$Y$5000,"&lt;&gt;参考",レース分析!$D$2:$D$5000,11)</f>
        <v>140</v>
      </c>
      <c r="G252" s="46" t="n">
        <f aca="false">IFERROR(F252/E252,0)</f>
        <v>1.4</v>
      </c>
      <c r="H252" s="45" t="n">
        <f aca="false">F252-E252</f>
        <v>40</v>
      </c>
      <c r="I252" s="44" t="str">
        <f aca="false">IF(B252&lt;10,"少数","")</f>
        <v>少数</v>
      </c>
    </row>
    <row r="253" customFormat="false" ht="15.75" hidden="false" customHeight="false" outlineLevel="0" collapsed="false">
      <c r="A253" s="44" t="s">
        <v>8407</v>
      </c>
      <c r="B253" s="45" t="n">
        <f aca="false">COUNTIFS(レース分析!$G$2:$G$5000,"&gt;=85",レース分析!$Y$2:$Y$5000,"&lt;&gt;参考",レース分析!$D$2:$D$5000,12)</f>
        <v>12</v>
      </c>
      <c r="C253" s="45" t="n">
        <f aca="false">COUNTIFS(レース分析!$G$2:$G$5000,"&gt;=85",レース分析!$Y$2:$Y$5000,"&lt;&gt;参考",レース分析!$D$2:$D$5000,12,レース分析!$T$2:$T$5000,"&lt;=3")</f>
        <v>8</v>
      </c>
      <c r="D253" s="46" t="n">
        <f aca="false">IFERROR(C253/B253,0)</f>
        <v>0.666666666666667</v>
      </c>
      <c r="E253" s="45" t="n">
        <f aca="false">B253*100</f>
        <v>1200</v>
      </c>
      <c r="F253" s="45" t="n">
        <f aca="false">SUMIFS(レース分析!$W$2:$W$5000,レース分析!$G$2:$G$5000,"&gt;=85",レース分析!$Y$2:$Y$5000,"&lt;&gt;参考",レース分析!$D$2:$D$5000,12)</f>
        <v>890</v>
      </c>
      <c r="G253" s="46" t="n">
        <f aca="false">IFERROR(F253/E253,0)</f>
        <v>0.741666666666667</v>
      </c>
      <c r="H253" s="45" t="n">
        <f aca="false">F253-E253</f>
        <v>-310</v>
      </c>
      <c r="I253" s="44" t="str">
        <f aca="false">IF(B253&lt;10,"少数","")</f>
        <v/>
      </c>
    </row>
    <row r="254" customFormat="false" ht="15.75" hidden="false" customHeight="false" outlineLevel="0" collapsed="false">
      <c r="A254" s="44" t="s">
        <v>8408</v>
      </c>
      <c r="B254" s="45" t="n">
        <f aca="false">COUNTIFS(レース分析!$G$2:$G$5000,"&gt;=85",レース分析!$Y$2:$Y$5000,"&lt;&gt;参考",レース分析!$D$2:$D$5000,13)</f>
        <v>1</v>
      </c>
      <c r="C254" s="45" t="n">
        <f aca="false">COUNTIFS(レース分析!$G$2:$G$5000,"&gt;=85",レース分析!$Y$2:$Y$5000,"&lt;&gt;参考",レース分析!$D$2:$D$5000,13,レース分析!$T$2:$T$5000,"&lt;=3")</f>
        <v>1</v>
      </c>
      <c r="D254" s="46" t="n">
        <f aca="false">IFERROR(C254/B254,0)</f>
        <v>1</v>
      </c>
      <c r="E254" s="45" t="n">
        <f aca="false">B254*100</f>
        <v>100</v>
      </c>
      <c r="F254" s="45" t="n">
        <f aca="false">SUMIFS(レース分析!$W$2:$W$5000,レース分析!$G$2:$G$5000,"&gt;=85",レース分析!$Y$2:$Y$5000,"&lt;&gt;参考",レース分析!$D$2:$D$5000,13)</f>
        <v>100</v>
      </c>
      <c r="G254" s="46" t="n">
        <f aca="false">IFERROR(F254/E254,0)</f>
        <v>1</v>
      </c>
      <c r="H254" s="45" t="n">
        <f aca="false">F254-E254</f>
        <v>0</v>
      </c>
      <c r="I254" s="44" t="str">
        <f aca="false">IF(B254&lt;10,"少数","")</f>
        <v>少数</v>
      </c>
    </row>
    <row r="255" customFormat="false" ht="15.75" hidden="false" customHeight="false" outlineLevel="0" collapsed="false">
      <c r="A255" s="44" t="s">
        <v>8409</v>
      </c>
      <c r="B255" s="45" t="n">
        <f aca="false">COUNTIFS(レース分析!$G$2:$G$5000,"&gt;=85",レース分析!$Y$2:$Y$5000,"&lt;&gt;参考",レース分析!$D$2:$D$5000,14)</f>
        <v>3</v>
      </c>
      <c r="C255" s="45" t="n">
        <f aca="false">COUNTIFS(レース分析!$G$2:$G$5000,"&gt;=85",レース分析!$Y$2:$Y$5000,"&lt;&gt;参考",レース分析!$D$2:$D$5000,14,レース分析!$T$2:$T$5000,"&lt;=3")</f>
        <v>3</v>
      </c>
      <c r="D255" s="46" t="n">
        <f aca="false">IFERROR(C255/B255,0)</f>
        <v>1</v>
      </c>
      <c r="E255" s="45" t="n">
        <f aca="false">B255*100</f>
        <v>300</v>
      </c>
      <c r="F255" s="45" t="n">
        <f aca="false">SUMIFS(レース分析!$W$2:$W$5000,レース分析!$G$2:$G$5000,"&gt;=85",レース分析!$Y$2:$Y$5000,"&lt;&gt;参考",レース分析!$D$2:$D$5000,14)</f>
        <v>340</v>
      </c>
      <c r="G255" s="46" t="n">
        <f aca="false">IFERROR(F255/E255,0)</f>
        <v>1.13333333333333</v>
      </c>
      <c r="H255" s="45" t="n">
        <f aca="false">F255-E255</f>
        <v>40</v>
      </c>
      <c r="I255" s="44" t="str">
        <f aca="false">IF(B255&lt;10,"少数","")</f>
        <v>少数</v>
      </c>
    </row>
    <row r="256" customFormat="false" ht="15.75" hidden="false" customHeight="false" outlineLevel="0" collapsed="false">
      <c r="A256" s="44" t="s">
        <v>8410</v>
      </c>
      <c r="B256" s="45" t="n">
        <f aca="false">COUNTIFS(レース分析!$G$2:$G$5000,"&gt;=85",レース分析!$Y$2:$Y$5000,"&lt;&gt;参考",レース分析!$D$2:$D$5000,15)</f>
        <v>3</v>
      </c>
      <c r="C256" s="45" t="n">
        <f aca="false">COUNTIFS(レース分析!$G$2:$G$5000,"&gt;=85",レース分析!$Y$2:$Y$5000,"&lt;&gt;参考",レース分析!$D$2:$D$5000,15,レース分析!$T$2:$T$5000,"&lt;=3")</f>
        <v>3</v>
      </c>
      <c r="D256" s="46" t="n">
        <f aca="false">IFERROR(C256/B256,0)</f>
        <v>1</v>
      </c>
      <c r="E256" s="45" t="n">
        <f aca="false">B256*100</f>
        <v>300</v>
      </c>
      <c r="F256" s="45" t="n">
        <f aca="false">SUMIFS(レース分析!$W$2:$W$5000,レース分析!$G$2:$G$5000,"&gt;=85",レース分析!$Y$2:$Y$5000,"&lt;&gt;参考",レース分析!$D$2:$D$5000,15)</f>
        <v>340</v>
      </c>
      <c r="G256" s="46" t="n">
        <f aca="false">IFERROR(F256/E256,0)</f>
        <v>1.13333333333333</v>
      </c>
      <c r="H256" s="45" t="n">
        <f aca="false">F256-E256</f>
        <v>40</v>
      </c>
      <c r="I256" s="44" t="str">
        <f aca="false">IF(B256&lt;10,"少数","")</f>
        <v>少数</v>
      </c>
    </row>
    <row r="257" customFormat="false" ht="15.75" hidden="false" customHeight="false" outlineLevel="0" collapsed="false">
      <c r="A257" s="44" t="s">
        <v>8411</v>
      </c>
      <c r="B257" s="45" t="n">
        <f aca="false">COUNTIFS(レース分析!$G$2:$G$5000,"&gt;=85",レース分析!$Y$2:$Y$5000,"&lt;&gt;参考",レース分析!$D$2:$D$5000,16)</f>
        <v>6</v>
      </c>
      <c r="C257" s="45" t="n">
        <f aca="false">COUNTIFS(レース分析!$G$2:$G$5000,"&gt;=85",レース分析!$Y$2:$Y$5000,"&lt;&gt;参考",レース分析!$D$2:$D$5000,16,レース分析!$T$2:$T$5000,"&lt;=3")</f>
        <v>6</v>
      </c>
      <c r="D257" s="46" t="n">
        <f aca="false">IFERROR(C257/B257,0)</f>
        <v>1</v>
      </c>
      <c r="E257" s="45" t="n">
        <f aca="false">B257*100</f>
        <v>600</v>
      </c>
      <c r="F257" s="45" t="n">
        <f aca="false">SUMIFS(レース分析!$W$2:$W$5000,レース分析!$G$2:$G$5000,"&gt;=85",レース分析!$Y$2:$Y$5000,"&lt;&gt;参考",レース分析!$D$2:$D$5000,16)</f>
        <v>660</v>
      </c>
      <c r="G257" s="46" t="n">
        <f aca="false">IFERROR(F257/E257,0)</f>
        <v>1.1</v>
      </c>
      <c r="H257" s="45" t="n">
        <f aca="false">F257-E257</f>
        <v>60</v>
      </c>
      <c r="I257" s="44" t="str">
        <f aca="false">IF(B257&lt;10,"少数","")</f>
        <v>少数</v>
      </c>
    </row>
    <row r="258" customFormat="false" ht="15.75" hidden="false" customHeight="false" outlineLevel="0" collapsed="false">
      <c r="A258" s="44" t="s">
        <v>8412</v>
      </c>
      <c r="B258" s="45" t="n">
        <f aca="false">COUNTIFS(レース分析!$G$2:$G$5000,"&gt;=85",レース分析!$Y$2:$Y$5000,"&lt;&gt;参考",レース分析!$D$2:$D$5000,17)</f>
        <v>0</v>
      </c>
      <c r="C258" s="45" t="n">
        <f aca="false">COUNTIFS(レース分析!$G$2:$G$5000,"&gt;=85",レース分析!$Y$2:$Y$5000,"&lt;&gt;参考",レース分析!$D$2:$D$5000,17,レース分析!$T$2:$T$5000,"&lt;=3")</f>
        <v>0</v>
      </c>
      <c r="D258" s="46" t="n">
        <f aca="false">IFERROR(C258/B258,0)</f>
        <v>0</v>
      </c>
      <c r="E258" s="45" t="n">
        <f aca="false">B258*100</f>
        <v>0</v>
      </c>
      <c r="F258" s="45" t="n">
        <f aca="false">SUMIFS(レース分析!$W$2:$W$5000,レース分析!$G$2:$G$5000,"&gt;=85",レース分析!$Y$2:$Y$5000,"&lt;&gt;参考",レース分析!$D$2:$D$5000,17)</f>
        <v>0</v>
      </c>
      <c r="G258" s="46" t="n">
        <f aca="false">IFERROR(F258/E258,0)</f>
        <v>0</v>
      </c>
      <c r="H258" s="45" t="n">
        <f aca="false">F258-E258</f>
        <v>0</v>
      </c>
      <c r="I258" s="44" t="str">
        <f aca="false">IF(B258&lt;10,"少数","")</f>
        <v>少数</v>
      </c>
    </row>
    <row r="259" customFormat="false" ht="15.75" hidden="false" customHeight="false" outlineLevel="0" collapsed="false">
      <c r="A259" s="44" t="s">
        <v>8413</v>
      </c>
      <c r="B259" s="45" t="n">
        <f aca="false">COUNTIFS(レース分析!$G$2:$G$5000,"&gt;=85",レース分析!$Y$2:$Y$5000,"&lt;&gt;参考",レース分析!$D$2:$D$5000,"&gt;=18")</f>
        <v>0</v>
      </c>
      <c r="C259" s="45" t="n">
        <f aca="false">COUNTIFS(レース分析!$G$2:$G$5000,"&gt;=85",レース分析!$Y$2:$Y$5000,"&lt;&gt;参考",レース分析!$D$2:$D$5000,"&gt;=18",レース分析!$T$2:$T$5000,"&lt;=3")</f>
        <v>0</v>
      </c>
      <c r="D259" s="46" t="n">
        <f aca="false">IFERROR(C259/B259,0)</f>
        <v>0</v>
      </c>
      <c r="E259" s="45" t="n">
        <f aca="false">B259*100</f>
        <v>0</v>
      </c>
      <c r="F259" s="45" t="n">
        <f aca="false">SUMIFS(レース分析!$W$2:$W$5000,レース分析!$G$2:$G$5000,"&gt;=85",レース分析!$Y$2:$Y$5000,"&lt;&gt;参考",レース分析!$D$2:$D$5000,"&gt;=18")</f>
        <v>0</v>
      </c>
      <c r="G259" s="46" t="n">
        <f aca="false">IFERROR(F259/E259,0)</f>
        <v>0</v>
      </c>
      <c r="H259" s="45" t="n">
        <f aca="false">F259-E259</f>
        <v>0</v>
      </c>
      <c r="I259" s="44" t="str">
        <f aca="false">IF(B259&lt;10,"少数","")</f>
        <v>少数</v>
      </c>
    </row>
    <row r="262" customFormat="false" ht="24" hidden="false" customHeight="true" outlineLevel="0" collapsed="false">
      <c r="A262" s="41" t="s">
        <v>8414</v>
      </c>
      <c r="B262" s="41"/>
      <c r="C262" s="41"/>
      <c r="D262" s="41"/>
      <c r="E262" s="41"/>
      <c r="F262" s="41"/>
      <c r="G262" s="41"/>
      <c r="H262" s="41"/>
      <c r="I262" s="41"/>
    </row>
    <row r="263" customFormat="false" ht="30" hidden="false" customHeight="true" outlineLevel="0" collapsed="false">
      <c r="A263" s="42" t="s">
        <v>8365</v>
      </c>
      <c r="B263" s="42" t="s">
        <v>8279</v>
      </c>
      <c r="C263" s="42" t="s">
        <v>8399</v>
      </c>
      <c r="D263" s="42" t="s">
        <v>8281</v>
      </c>
      <c r="E263" s="43" t="s">
        <v>8400</v>
      </c>
      <c r="F263" s="42" t="s">
        <v>8368</v>
      </c>
      <c r="G263" s="42" t="s">
        <v>8283</v>
      </c>
      <c r="H263" s="42" t="s">
        <v>8174</v>
      </c>
      <c r="I263" s="42" t="s">
        <v>8401</v>
      </c>
    </row>
    <row r="264" customFormat="false" ht="15.75" hidden="false" customHeight="false" outlineLevel="0" collapsed="false">
      <c r="A264" s="44" t="s">
        <v>8407</v>
      </c>
      <c r="B264" s="44" t="n">
        <f aca="false">COUNTIFS(レース分析!$G$2:$G$5000,"&gt;=85",レース分析!$Y$2:$Y$5000,"&lt;&gt;参考",レース分析!$D$2:$D$5000,12)</f>
        <v>12</v>
      </c>
      <c r="C264" s="44" t="n">
        <f aca="false">COUNTIFS(レース分析!$G$2:$G$5000,"&gt;=85",レース分析!$Y$2:$Y$5000,"&lt;&gt;参考",レース分析!$D$2:$D$5000,12,レース分析!$T$2:$T$5000,"&lt;=3")</f>
        <v>8</v>
      </c>
      <c r="D264" s="46" t="n">
        <f aca="false">IFERROR(C264/B264,0)</f>
        <v>0.666666666666667</v>
      </c>
      <c r="E264" s="44" t="n">
        <f aca="false">B264*100</f>
        <v>1200</v>
      </c>
      <c r="F264" s="44" t="n">
        <f aca="false">SUMIFS(レース分析!$W$2:$W$5000,レース分析!$G$2:$G$5000,"&gt;=85",レース分析!$Y$2:$Y$5000,"&lt;&gt;参考",レース分析!$D$2:$D$5000,12)</f>
        <v>890</v>
      </c>
      <c r="G264" s="46" t="n">
        <f aca="false">IFERROR(F264/E264,0)</f>
        <v>0.741666666666667</v>
      </c>
      <c r="H264" s="44" t="n">
        <f aca="false">F264-E264</f>
        <v>-310</v>
      </c>
      <c r="I264" s="44" t="str">
        <f aca="false">IF(B264&lt;10,"少数","")</f>
        <v/>
      </c>
    </row>
    <row r="265" customFormat="false" ht="15.75" hidden="false" customHeight="false" outlineLevel="0" collapsed="false">
      <c r="A265" s="44" t="s">
        <v>8415</v>
      </c>
      <c r="B265" s="44" t="n">
        <f aca="false">COUNTIFS(レース分析!$G$2:$G$5000,"&gt;=85",レース分析!$Y$2:$Y$5000,"&lt;&gt;参考",レース分析!$D$2:$D$5000,"&lt;&gt;12")</f>
        <v>22</v>
      </c>
      <c r="C265" s="44" t="n">
        <f aca="false">COUNTIFS(レース分析!$G$2:$G$5000,"&gt;=85",レース分析!$Y$2:$Y$5000,"&lt;&gt;参考",レース分析!$D$2:$D$5000,"&lt;&gt;12",レース分析!$T$2:$T$5000,"&lt;=3")</f>
        <v>22</v>
      </c>
      <c r="D265" s="46" t="n">
        <f aca="false">IFERROR(C265/B265,0)</f>
        <v>1</v>
      </c>
      <c r="E265" s="44" t="n">
        <f aca="false">B265*100</f>
        <v>2200</v>
      </c>
      <c r="F265" s="44" t="n">
        <f aca="false">SUMIFS(レース分析!$W$2:$W$5000,レース分析!$G$2:$G$5000,"&gt;=85",レース分析!$Y$2:$Y$5000,"&lt;&gt;参考",レース分析!$D$2:$D$5000,"&lt;&gt;12")</f>
        <v>2490</v>
      </c>
      <c r="G265" s="46" t="n">
        <f aca="false">IFERROR(F265/E265,0)</f>
        <v>1.13181818181818</v>
      </c>
      <c r="H265" s="44" t="n">
        <f aca="false">F265-E265</f>
        <v>290</v>
      </c>
      <c r="I265" s="44" t="str">
        <f aca="false">IF(B265&lt;10,"少数","")</f>
        <v/>
      </c>
    </row>
    <row r="269" customFormat="false" ht="24" hidden="false" customHeight="true" outlineLevel="0" collapsed="false">
      <c r="A269" s="41" t="s">
        <v>8416</v>
      </c>
      <c r="B269" s="41"/>
      <c r="C269" s="41"/>
      <c r="D269" s="41"/>
      <c r="E269" s="41"/>
      <c r="F269" s="41"/>
      <c r="G269" s="41"/>
      <c r="H269" s="41"/>
      <c r="I269" s="41"/>
      <c r="J269" s="41"/>
    </row>
    <row r="270" customFormat="false" ht="30" hidden="false" customHeight="true" outlineLevel="0" collapsed="false">
      <c r="A270" s="42" t="s">
        <v>8365</v>
      </c>
      <c r="B270" s="42" t="s">
        <v>8417</v>
      </c>
      <c r="C270" s="42" t="s">
        <v>8279</v>
      </c>
      <c r="D270" s="42" t="s">
        <v>8280</v>
      </c>
      <c r="E270" s="42" t="s">
        <v>8281</v>
      </c>
      <c r="F270" s="42" t="s">
        <v>8418</v>
      </c>
      <c r="G270" s="42" t="s">
        <v>8173</v>
      </c>
      <c r="H270" s="42" t="s">
        <v>8283</v>
      </c>
      <c r="I270" s="42" t="s">
        <v>8174</v>
      </c>
      <c r="J270" s="42" t="s">
        <v>8401</v>
      </c>
    </row>
    <row r="271" customFormat="false" ht="15.75" hidden="false" customHeight="false" outlineLevel="0" collapsed="false">
      <c r="A271" s="47" t="s">
        <v>7609</v>
      </c>
      <c r="B271" s="44" t="s">
        <v>8407</v>
      </c>
      <c r="C271" s="45" t="n">
        <f aca="false">COUNTIFS(レース分析!$G$2:$G$5000,"&gt;=85",レース分析!$Y$2:$Y$5000,"&lt;&gt;参考",レース分析!$BH$2:$BH$5000,"馬齢",レース分析!$D$2:$D$5000,12)</f>
        <v>8</v>
      </c>
      <c r="D271" s="44" t="n">
        <f aca="false">COUNTIFS(レース分析!$G$2:$G$5000,"&gt;=85",レース分析!$Y$2:$Y$5000,"&lt;&gt;参考",レース分析!$BH$2:$BH$5000,"馬齢",レース分析!$D$2:$D$5000,12,レース分析!$T$2:$T$5000,"&lt;=3")</f>
        <v>5</v>
      </c>
      <c r="E271" s="46" t="n">
        <f aca="false">IFERROR(D271/C271,0)</f>
        <v>0.625</v>
      </c>
      <c r="F271" s="44" t="n">
        <f aca="false">C271*100</f>
        <v>800</v>
      </c>
      <c r="G271" s="44" t="n">
        <f aca="false">SUMIFS(レース分析!$W$2:$W$5000,レース分析!$G$2:$G$5000,"&gt;=85",レース分析!$Y$2:$Y$5000,"&lt;&gt;参考",レース分析!$BH$2:$BH$5000,"馬齢",レース分析!$D$2:$D$5000,12)</f>
        <v>560</v>
      </c>
      <c r="H271" s="46" t="n">
        <f aca="false">IFERROR(G271/F271,0)</f>
        <v>0.7</v>
      </c>
      <c r="I271" s="44" t="n">
        <f aca="false">G271-F271</f>
        <v>-240</v>
      </c>
      <c r="J271" s="44" t="str">
        <f aca="false">IF(C271&lt;10,"少数","")</f>
        <v>少数</v>
      </c>
    </row>
    <row r="272" customFormat="false" ht="15.75" hidden="false" customHeight="false" outlineLevel="0" collapsed="false">
      <c r="A272" s="47" t="s">
        <v>7609</v>
      </c>
      <c r="B272" s="44" t="s">
        <v>8415</v>
      </c>
      <c r="C272" s="45" t="n">
        <f aca="false">COUNTIFS(レース分析!$G$2:$G$5000,"&gt;=85",レース分析!$Y$2:$Y$5000,"&lt;&gt;参考",レース分析!$BH$2:$BH$5000,"馬齢",レース分析!$D$2:$D$5000,"&lt;&gt;12")</f>
        <v>13</v>
      </c>
      <c r="D272" s="44" t="n">
        <f aca="false">COUNTIFS(レース分析!$G$2:$G$5000,"&gt;=85",レース分析!$Y$2:$Y$5000,"&lt;&gt;参考",レース分析!$BH$2:$BH$5000,"馬齢",レース分析!$D$2:$D$5000,"&lt;&gt;12",レース分析!$T$2:$T$5000,"&lt;=3")</f>
        <v>13</v>
      </c>
      <c r="E272" s="46" t="n">
        <f aca="false">IFERROR(D272/C272,0)</f>
        <v>1</v>
      </c>
      <c r="F272" s="44" t="n">
        <f aca="false">C272*100</f>
        <v>1300</v>
      </c>
      <c r="G272" s="44" t="n">
        <f aca="false">SUMIFS(レース分析!$W$2:$W$5000,レース分析!$G$2:$G$5000,"&gt;=85",レース分析!$Y$2:$Y$5000,"&lt;&gt;参考",レース分析!$BH$2:$BH$5000,"馬齢",レース分析!$D$2:$D$5000,"&lt;&gt;12")</f>
        <v>1420</v>
      </c>
      <c r="H272" s="46" t="n">
        <f aca="false">IFERROR(G272/F272,0)</f>
        <v>1.09230769230769</v>
      </c>
      <c r="I272" s="44" t="n">
        <f aca="false">G272-F272</f>
        <v>120</v>
      </c>
      <c r="J272" s="44" t="str">
        <f aca="false">IF(C272&lt;10,"少数","")</f>
        <v/>
      </c>
    </row>
    <row r="273" customFormat="false" ht="15.75" hidden="false" customHeight="false" outlineLevel="0" collapsed="false">
      <c r="A273" s="47" t="s">
        <v>7632</v>
      </c>
      <c r="B273" s="44" t="s">
        <v>8407</v>
      </c>
      <c r="C273" s="45" t="n">
        <f aca="false">COUNTIFS(レース分析!$G$2:$G$5000,"&gt;=85",レース分析!$Y$2:$Y$5000,"&lt;&gt;参考",レース分析!$BH$2:$BH$5000,"定量",レース分析!$D$2:$D$5000,12)</f>
        <v>4</v>
      </c>
      <c r="D273" s="44" t="n">
        <f aca="false">COUNTIFS(レース分析!$G$2:$G$5000,"&gt;=85",レース分析!$Y$2:$Y$5000,"&lt;&gt;参考",レース分析!$BH$2:$BH$5000,"定量",レース分析!$D$2:$D$5000,12,レース分析!$T$2:$T$5000,"&lt;=3")</f>
        <v>3</v>
      </c>
      <c r="E273" s="46" t="n">
        <f aca="false">IFERROR(D273/C273,0)</f>
        <v>0.75</v>
      </c>
      <c r="F273" s="44" t="n">
        <f aca="false">C273*100</f>
        <v>400</v>
      </c>
      <c r="G273" s="44" t="n">
        <f aca="false">SUMIFS(レース分析!$W$2:$W$5000,レース分析!$G$2:$G$5000,"&gt;=85",レース分析!$Y$2:$Y$5000,"&lt;&gt;参考",レース分析!$BH$2:$BH$5000,"定量",レース分析!$D$2:$D$5000,12)</f>
        <v>330</v>
      </c>
      <c r="H273" s="46" t="n">
        <f aca="false">IFERROR(G273/F273,0)</f>
        <v>0.825</v>
      </c>
      <c r="I273" s="44" t="n">
        <f aca="false">G273-F273</f>
        <v>-70</v>
      </c>
      <c r="J273" s="44" t="str">
        <f aca="false">IF(C273&lt;10,"少数","")</f>
        <v>少数</v>
      </c>
    </row>
    <row r="274" customFormat="false" ht="15.75" hidden="false" customHeight="false" outlineLevel="0" collapsed="false">
      <c r="A274" s="47" t="s">
        <v>7632</v>
      </c>
      <c r="B274" s="44" t="s">
        <v>8415</v>
      </c>
      <c r="C274" s="45" t="n">
        <f aca="false">COUNTIFS(レース分析!$G$2:$G$5000,"&gt;=85",レース分析!$Y$2:$Y$5000,"&lt;&gt;参考",レース分析!$BH$2:$BH$5000,"定量",レース分析!$D$2:$D$5000,"&lt;&gt;12")</f>
        <v>9</v>
      </c>
      <c r="D274" s="44" t="n">
        <f aca="false">COUNTIFS(レース分析!$G$2:$G$5000,"&gt;=85",レース分析!$Y$2:$Y$5000,"&lt;&gt;参考",レース分析!$BH$2:$BH$5000,"定量",レース分析!$D$2:$D$5000,"&lt;&gt;12",レース分析!$T$2:$T$5000,"&lt;=3")</f>
        <v>9</v>
      </c>
      <c r="E274" s="46" t="n">
        <f aca="false">IFERROR(D274/C274,0)</f>
        <v>1</v>
      </c>
      <c r="F274" s="44" t="n">
        <f aca="false">C274*100</f>
        <v>900</v>
      </c>
      <c r="G274" s="44" t="n">
        <f aca="false">SUMIFS(レース分析!$W$2:$W$5000,レース分析!$G$2:$G$5000,"&gt;=85",レース分析!$Y$2:$Y$5000,"&lt;&gt;参考",レース分析!$BH$2:$BH$5000,"定量",レース分析!$D$2:$D$5000,"&lt;&gt;12")</f>
        <v>1070</v>
      </c>
      <c r="H274" s="46" t="n">
        <f aca="false">IFERROR(G274/F274,0)</f>
        <v>1.18888888888889</v>
      </c>
      <c r="I274" s="44" t="n">
        <f aca="false">G274-F274</f>
        <v>170</v>
      </c>
      <c r="J274" s="44" t="str">
        <f aca="false">IF(C274&lt;10,"少数","")</f>
        <v>少数</v>
      </c>
    </row>
    <row r="275" customFormat="false" ht="15.75" hidden="false" customHeight="false" outlineLevel="0" collapsed="false">
      <c r="A275" s="47" t="s">
        <v>7646</v>
      </c>
      <c r="B275" s="44" t="s">
        <v>8407</v>
      </c>
      <c r="C275" s="45" t="n">
        <f aca="false">COUNTIFS(レース分析!$G$2:$G$5000,"&gt;=85",レース分析!$Y$2:$Y$5000,"&lt;&gt;参考",レース分析!$BH$2:$BH$5000,"別定",レース分析!$D$2:$D$5000,12)</f>
        <v>0</v>
      </c>
      <c r="D275" s="44" t="n">
        <f aca="false">COUNTIFS(レース分析!$G$2:$G$5000,"&gt;=85",レース分析!$Y$2:$Y$5000,"&lt;&gt;参考",レース分析!$BH$2:$BH$5000,"別定",レース分析!$D$2:$D$5000,12,レース分析!$T$2:$T$5000,"&lt;=3")</f>
        <v>0</v>
      </c>
      <c r="E275" s="46" t="n">
        <f aca="false">IFERROR(D275/C275,0)</f>
        <v>0</v>
      </c>
      <c r="F275" s="44" t="n">
        <f aca="false">C275*100</f>
        <v>0</v>
      </c>
      <c r="G275" s="44" t="n">
        <f aca="false">SUMIFS(レース分析!$W$2:$W$5000,レース分析!$G$2:$G$5000,"&gt;=85",レース分析!$Y$2:$Y$5000,"&lt;&gt;参考",レース分析!$BH$2:$BH$5000,"別定",レース分析!$D$2:$D$5000,12)</f>
        <v>0</v>
      </c>
      <c r="H275" s="46" t="n">
        <f aca="false">IFERROR(G275/F275,0)</f>
        <v>0</v>
      </c>
      <c r="I275" s="44" t="n">
        <f aca="false">G275-F275</f>
        <v>0</v>
      </c>
      <c r="J275" s="44" t="str">
        <f aca="false">IF(C275&lt;10,"少数","")</f>
        <v>少数</v>
      </c>
    </row>
    <row r="276" customFormat="false" ht="15.75" hidden="false" customHeight="false" outlineLevel="0" collapsed="false">
      <c r="A276" s="47" t="s">
        <v>7646</v>
      </c>
      <c r="B276" s="44" t="s">
        <v>8415</v>
      </c>
      <c r="C276" s="45" t="n">
        <f aca="false">COUNTIFS(レース分析!$G$2:$G$5000,"&gt;=85",レース分析!$Y$2:$Y$5000,"&lt;&gt;参考",レース分析!$BH$2:$BH$5000,"別定",レース分析!$D$2:$D$5000,"&lt;&gt;12")</f>
        <v>0</v>
      </c>
      <c r="D276" s="44" t="n">
        <f aca="false">COUNTIFS(レース分析!$G$2:$G$5000,"&gt;=85",レース分析!$Y$2:$Y$5000,"&lt;&gt;参考",レース分析!$BH$2:$BH$5000,"別定",レース分析!$D$2:$D$5000,"&lt;&gt;12",レース分析!$T$2:$T$5000,"&lt;=3")</f>
        <v>0</v>
      </c>
      <c r="E276" s="46" t="n">
        <f aca="false">IFERROR(D276/C276,0)</f>
        <v>0</v>
      </c>
      <c r="F276" s="44" t="n">
        <f aca="false">C276*100</f>
        <v>0</v>
      </c>
      <c r="G276" s="44" t="n">
        <f aca="false">SUMIFS(レース分析!$W$2:$W$5000,レース分析!$G$2:$G$5000,"&gt;=85",レース分析!$Y$2:$Y$5000,"&lt;&gt;参考",レース分析!$BH$2:$BH$5000,"別定",レース分析!$D$2:$D$5000,"&lt;&gt;12")</f>
        <v>0</v>
      </c>
      <c r="H276" s="46" t="n">
        <f aca="false">IFERROR(G276/F276,0)</f>
        <v>0</v>
      </c>
      <c r="I276" s="44" t="n">
        <f aca="false">G276-F276</f>
        <v>0</v>
      </c>
      <c r="J276" s="44" t="str">
        <f aca="false">IF(C276&lt;10,"少数","")</f>
        <v>少数</v>
      </c>
    </row>
    <row r="277" customFormat="false" ht="15.75" hidden="false" customHeight="false" outlineLevel="0" collapsed="false">
      <c r="A277" s="47" t="s">
        <v>7667</v>
      </c>
      <c r="B277" s="44" t="s">
        <v>8407</v>
      </c>
      <c r="C277" s="45" t="n">
        <f aca="false">COUNTIFS(レース分析!$G$2:$G$5000,"&gt;=85",レース分析!$Y$2:$Y$5000,"&lt;&gt;参考",レース分析!$BH$2:$BH$5000,"ハンデ",レース分析!$D$2:$D$5000,12)</f>
        <v>0</v>
      </c>
      <c r="D277" s="44" t="n">
        <f aca="false">COUNTIFS(レース分析!$G$2:$G$5000,"&gt;=85",レース分析!$Y$2:$Y$5000,"&lt;&gt;参考",レース分析!$BH$2:$BH$5000,"ハンデ",レース分析!$D$2:$D$5000,12,レース分析!$T$2:$T$5000,"&lt;=3")</f>
        <v>0</v>
      </c>
      <c r="E277" s="46" t="n">
        <f aca="false">IFERROR(D277/C277,0)</f>
        <v>0</v>
      </c>
      <c r="F277" s="44" t="n">
        <f aca="false">C277*100</f>
        <v>0</v>
      </c>
      <c r="G277" s="44" t="n">
        <f aca="false">SUMIFS(レース分析!$W$2:$W$5000,レース分析!$G$2:$G$5000,"&gt;=85",レース分析!$Y$2:$Y$5000,"&lt;&gt;参考",レース分析!$BH$2:$BH$5000,"ハンデ",レース分析!$D$2:$D$5000,12)</f>
        <v>0</v>
      </c>
      <c r="H277" s="46" t="n">
        <f aca="false">IFERROR(G277/F277,0)</f>
        <v>0</v>
      </c>
      <c r="I277" s="44" t="n">
        <f aca="false">G277-F277</f>
        <v>0</v>
      </c>
      <c r="J277" s="44" t="str">
        <f aca="false">IF(C277&lt;10,"少数","")</f>
        <v>少数</v>
      </c>
    </row>
    <row r="278" customFormat="false" ht="15.75" hidden="false" customHeight="false" outlineLevel="0" collapsed="false">
      <c r="A278" s="47" t="s">
        <v>7667</v>
      </c>
      <c r="B278" s="44" t="s">
        <v>8415</v>
      </c>
      <c r="C278" s="45" t="n">
        <f aca="false">COUNTIFS(レース分析!$G$2:$G$5000,"&gt;=85",レース分析!$Y$2:$Y$5000,"&lt;&gt;参考",レース分析!$BH$2:$BH$5000,"ハンデ",レース分析!$D$2:$D$5000,"&lt;&gt;12")</f>
        <v>0</v>
      </c>
      <c r="D278" s="44" t="n">
        <f aca="false">COUNTIFS(レース分析!$G$2:$G$5000,"&gt;=85",レース分析!$Y$2:$Y$5000,"&lt;&gt;参考",レース分析!$BH$2:$BH$5000,"ハンデ",レース分析!$D$2:$D$5000,"&lt;&gt;12",レース分析!$T$2:$T$5000,"&lt;=3")</f>
        <v>0</v>
      </c>
      <c r="E278" s="46" t="n">
        <f aca="false">IFERROR(D278/C278,0)</f>
        <v>0</v>
      </c>
      <c r="F278" s="44" t="n">
        <f aca="false">C278*100</f>
        <v>0</v>
      </c>
      <c r="G278" s="44" t="n">
        <f aca="false">SUMIFS(レース分析!$W$2:$W$5000,レース分析!$G$2:$G$5000,"&gt;=85",レース分析!$Y$2:$Y$5000,"&lt;&gt;参考",レース分析!$BH$2:$BH$5000,"ハンデ",レース分析!$D$2:$D$5000,"&lt;&gt;12")</f>
        <v>0</v>
      </c>
      <c r="H278" s="46" t="n">
        <f aca="false">IFERROR(G278/F278,0)</f>
        <v>0</v>
      </c>
      <c r="I278" s="44" t="n">
        <f aca="false">G278-F278</f>
        <v>0</v>
      </c>
      <c r="J278" s="44" t="str">
        <f aca="false">IF(C278&lt;10,"少数","")</f>
        <v>少数</v>
      </c>
    </row>
    <row r="279" customFormat="false" ht="15.75" hidden="false" customHeight="false" outlineLevel="0" collapsed="false">
      <c r="A279" s="48"/>
      <c r="B279" s="48"/>
      <c r="C279" s="48"/>
      <c r="D279" s="48"/>
      <c r="E279" s="48"/>
      <c r="F279" s="48"/>
      <c r="G279" s="48"/>
      <c r="H279" s="48"/>
      <c r="I279" s="48"/>
      <c r="J279" s="48"/>
    </row>
    <row r="281" customFormat="false" ht="24" hidden="false" customHeight="true" outlineLevel="0" collapsed="false">
      <c r="A281" s="41" t="s">
        <v>8419</v>
      </c>
      <c r="B281" s="41"/>
      <c r="C281" s="41"/>
      <c r="D281" s="41"/>
      <c r="E281" s="41"/>
      <c r="F281" s="41"/>
      <c r="G281" s="41"/>
      <c r="H281" s="41"/>
      <c r="I281" s="41"/>
      <c r="J281" s="41"/>
    </row>
    <row r="282" customFormat="false" ht="30" hidden="false" customHeight="true" outlineLevel="0" collapsed="false">
      <c r="A282" s="42" t="s">
        <v>8365</v>
      </c>
      <c r="B282" s="42" t="s">
        <v>8417</v>
      </c>
      <c r="C282" s="42" t="s">
        <v>8279</v>
      </c>
      <c r="D282" s="42" t="s">
        <v>8280</v>
      </c>
      <c r="E282" s="42" t="s">
        <v>8281</v>
      </c>
      <c r="F282" s="42" t="s">
        <v>8418</v>
      </c>
      <c r="G282" s="42" t="s">
        <v>8173</v>
      </c>
      <c r="H282" s="42" t="s">
        <v>8283</v>
      </c>
      <c r="I282" s="42" t="s">
        <v>8174</v>
      </c>
      <c r="J282" s="42" t="s">
        <v>8401</v>
      </c>
    </row>
    <row r="283" customFormat="false" ht="15.75" hidden="false" customHeight="false" outlineLevel="0" collapsed="false">
      <c r="A283" s="44" t="s">
        <v>8375</v>
      </c>
      <c r="B283" s="44" t="s">
        <v>8407</v>
      </c>
      <c r="C283" s="45" t="n">
        <f aca="false">COUNTIFS(レース分析!$G$2:$G$5000,"&gt;=85",レース分析!$Y$2:$Y$5000,"&lt;&gt;参考",レース分析!$BQ$2:$BQ$5000,"2歳",レース分析!$D$2:$D$5000,12)</f>
        <v>1</v>
      </c>
      <c r="D283" s="44" t="n">
        <f aca="false">COUNTIFS(レース分析!$G$2:$G$5000,"&gt;=85",レース分析!$Y$2:$Y$5000,"&lt;&gt;参考",レース分析!$BQ$2:$BQ$5000,"2歳",レース分析!$D$2:$D$5000,12,レース分析!$T$2:$T$5000,"&lt;=3")</f>
        <v>1</v>
      </c>
      <c r="E283" s="46" t="n">
        <f aca="false">IFERROR(D283/C283,0)</f>
        <v>1</v>
      </c>
      <c r="F283" s="44" t="n">
        <f aca="false">C283*100</f>
        <v>100</v>
      </c>
      <c r="G283" s="44" t="n">
        <f aca="false">SUMIFS(レース分析!$W$2:$W$5000,レース分析!$G$2:$G$5000,"&gt;=85",レース分析!$Y$2:$Y$5000,"&lt;&gt;参考",レース分析!$BQ$2:$BQ$5000,"2歳",レース分析!$D$2:$D$5000,12)</f>
        <v>100</v>
      </c>
      <c r="H283" s="46" t="n">
        <f aca="false">IFERROR(G283/F283,0)</f>
        <v>1</v>
      </c>
      <c r="I283" s="44" t="n">
        <f aca="false">G283-F283</f>
        <v>0</v>
      </c>
      <c r="J283" s="44" t="str">
        <f aca="false">IF(C283&lt;10,"少数","")</f>
        <v>少数</v>
      </c>
    </row>
    <row r="284" customFormat="false" ht="15.75" hidden="false" customHeight="false" outlineLevel="0" collapsed="false">
      <c r="A284" s="44" t="s">
        <v>8375</v>
      </c>
      <c r="B284" s="44" t="s">
        <v>8415</v>
      </c>
      <c r="C284" s="45" t="n">
        <f aca="false">COUNTIFS(レース分析!$G$2:$G$5000,"&gt;=85",レース分析!$Y$2:$Y$5000,"&lt;&gt;参考",レース分析!$BQ$2:$BQ$5000,"2歳",レース分析!$D$2:$D$5000,"&lt;&gt;12")</f>
        <v>2</v>
      </c>
      <c r="D284" s="44" t="n">
        <f aca="false">COUNTIFS(レース分析!$G$2:$G$5000,"&gt;=85",レース分析!$Y$2:$Y$5000,"&lt;&gt;参考",レース分析!$BQ$2:$BQ$5000,"2歳",レース分析!$D$2:$D$5000,"&lt;&gt;12",レース分析!$T$2:$T$5000,"&lt;=3")</f>
        <v>2</v>
      </c>
      <c r="E284" s="46" t="n">
        <f aca="false">IFERROR(D284/C284,0)</f>
        <v>1</v>
      </c>
      <c r="F284" s="44" t="n">
        <f aca="false">C284*100</f>
        <v>200</v>
      </c>
      <c r="G284" s="44" t="n">
        <f aca="false">SUMIFS(レース分析!$W$2:$W$5000,レース分析!$G$2:$G$5000,"&gt;=85",レース分析!$Y$2:$Y$5000,"&lt;&gt;参考",レース分析!$BQ$2:$BQ$5000,"2歳",レース分析!$D$2:$D$5000,"&lt;&gt;12")</f>
        <v>220</v>
      </c>
      <c r="H284" s="46" t="n">
        <f aca="false">IFERROR(G284/F284,0)</f>
        <v>1.1</v>
      </c>
      <c r="I284" s="44" t="n">
        <f aca="false">G284-F284</f>
        <v>20</v>
      </c>
      <c r="J284" s="44" t="str">
        <f aca="false">IF(C284&lt;10,"少数","")</f>
        <v>少数</v>
      </c>
    </row>
    <row r="285" customFormat="false" ht="15.75" hidden="false" customHeight="false" outlineLevel="0" collapsed="false">
      <c r="A285" s="44" t="s">
        <v>8378</v>
      </c>
      <c r="B285" s="44" t="s">
        <v>8407</v>
      </c>
      <c r="C285" s="45" t="n">
        <f aca="false">COUNTIFS(レース分析!$G$2:$G$5000,"&gt;=85",レース分析!$Y$2:$Y$5000,"&lt;&gt;参考",レース分析!$BQ$2:$BQ$5000,"3歳",レース分析!$D$2:$D$5000,12)</f>
        <v>7</v>
      </c>
      <c r="D285" s="44" t="n">
        <f aca="false">COUNTIFS(レース分析!$G$2:$G$5000,"&gt;=85",レース分析!$Y$2:$Y$5000,"&lt;&gt;参考",レース分析!$BQ$2:$BQ$5000,"3歳",レース分析!$D$2:$D$5000,12,レース分析!$T$2:$T$5000,"&lt;=3")</f>
        <v>4</v>
      </c>
      <c r="E285" s="46" t="n">
        <f aca="false">IFERROR(D285/C285,0)</f>
        <v>0.571428571428571</v>
      </c>
      <c r="F285" s="44" t="n">
        <f aca="false">C285*100</f>
        <v>700</v>
      </c>
      <c r="G285" s="44" t="n">
        <f aca="false">SUMIFS(レース分析!$W$2:$W$5000,レース分析!$G$2:$G$5000,"&gt;=85",レース分析!$Y$2:$Y$5000,"&lt;&gt;参考",レース分析!$BQ$2:$BQ$5000,"3歳",レース分析!$D$2:$D$5000,12)</f>
        <v>460</v>
      </c>
      <c r="H285" s="46" t="n">
        <f aca="false">IFERROR(G285/F285,0)</f>
        <v>0.657142857142857</v>
      </c>
      <c r="I285" s="44" t="n">
        <f aca="false">G285-F285</f>
        <v>-240</v>
      </c>
      <c r="J285" s="44" t="str">
        <f aca="false">IF(C285&lt;10,"少数","")</f>
        <v>少数</v>
      </c>
    </row>
    <row r="286" customFormat="false" ht="15.75" hidden="false" customHeight="false" outlineLevel="0" collapsed="false">
      <c r="A286" s="44" t="s">
        <v>8378</v>
      </c>
      <c r="B286" s="44" t="s">
        <v>8415</v>
      </c>
      <c r="C286" s="45" t="n">
        <f aca="false">COUNTIFS(レース分析!$G$2:$G$5000,"&gt;=85",レース分析!$Y$2:$Y$5000,"&lt;&gt;参考",レース分析!$BQ$2:$BQ$5000,"3歳",レース分析!$D$2:$D$5000,"&lt;&gt;12")</f>
        <v>11</v>
      </c>
      <c r="D286" s="44" t="n">
        <f aca="false">COUNTIFS(レース分析!$G$2:$G$5000,"&gt;=85",レース分析!$Y$2:$Y$5000,"&lt;&gt;参考",レース分析!$BQ$2:$BQ$5000,"3歳",レース分析!$D$2:$D$5000,"&lt;&gt;12",レース分析!$T$2:$T$5000,"&lt;=3")</f>
        <v>11</v>
      </c>
      <c r="E286" s="46" t="n">
        <f aca="false">IFERROR(D286/C286,0)</f>
        <v>1</v>
      </c>
      <c r="F286" s="44" t="n">
        <f aca="false">C286*100</f>
        <v>1100</v>
      </c>
      <c r="G286" s="44" t="n">
        <f aca="false">SUMIFS(レース分析!$W$2:$W$5000,レース分析!$G$2:$G$5000,"&gt;=85",レース分析!$Y$2:$Y$5000,"&lt;&gt;参考",レース分析!$BQ$2:$BQ$5000,"3歳",レース分析!$D$2:$D$5000,"&lt;&gt;12")</f>
        <v>1200</v>
      </c>
      <c r="H286" s="46" t="n">
        <f aca="false">IFERROR(G286/F286,0)</f>
        <v>1.09090909090909</v>
      </c>
      <c r="I286" s="44" t="n">
        <f aca="false">G286-F286</f>
        <v>100</v>
      </c>
      <c r="J286" s="44" t="str">
        <f aca="false">IF(C286&lt;10,"少数","")</f>
        <v/>
      </c>
    </row>
    <row r="287" customFormat="false" ht="15.75" hidden="false" customHeight="false" outlineLevel="0" collapsed="false">
      <c r="A287" s="44" t="s">
        <v>8379</v>
      </c>
      <c r="B287" s="44" t="s">
        <v>8407</v>
      </c>
      <c r="C287" s="45" t="n">
        <f aca="false">COUNTIFS(レース分析!$G$2:$G$5000,"&gt;=85",レース分析!$Y$2:$Y$5000,"&lt;&gt;参考",レース分析!$BQ$2:$BQ$5000,"3歳以上",レース分析!$D$2:$D$5000,12)</f>
        <v>3</v>
      </c>
      <c r="D287" s="44" t="n">
        <f aca="false">COUNTIFS(レース分析!$G$2:$G$5000,"&gt;=85",レース分析!$Y$2:$Y$5000,"&lt;&gt;参考",レース分析!$BQ$2:$BQ$5000,"3歳以上",レース分析!$D$2:$D$5000,12,レース分析!$T$2:$T$5000,"&lt;=3")</f>
        <v>2</v>
      </c>
      <c r="E287" s="46" t="n">
        <f aca="false">IFERROR(D287/C287,0)</f>
        <v>0.666666666666667</v>
      </c>
      <c r="F287" s="44" t="n">
        <f aca="false">C287*100</f>
        <v>300</v>
      </c>
      <c r="G287" s="44" t="n">
        <f aca="false">SUMIFS(レース分析!$W$2:$W$5000,レース分析!$G$2:$G$5000,"&gt;=85",レース分析!$Y$2:$Y$5000,"&lt;&gt;参考",レース分析!$BQ$2:$BQ$5000,"3歳以上",レース分析!$D$2:$D$5000,12)</f>
        <v>220</v>
      </c>
      <c r="H287" s="46" t="n">
        <f aca="false">IFERROR(G287/F287,0)</f>
        <v>0.733333333333333</v>
      </c>
      <c r="I287" s="44" t="n">
        <f aca="false">G287-F287</f>
        <v>-80</v>
      </c>
      <c r="J287" s="44" t="str">
        <f aca="false">IF(C287&lt;10,"少数","")</f>
        <v>少数</v>
      </c>
    </row>
    <row r="288" customFormat="false" ht="15.75" hidden="false" customHeight="false" outlineLevel="0" collapsed="false">
      <c r="A288" s="44" t="s">
        <v>8379</v>
      </c>
      <c r="B288" s="44" t="s">
        <v>8415</v>
      </c>
      <c r="C288" s="45" t="n">
        <f aca="false">COUNTIFS(レース分析!$G$2:$G$5000,"&gt;=85",レース分析!$Y$2:$Y$5000,"&lt;&gt;参考",レース分析!$BQ$2:$BQ$5000,"3歳以上",レース分析!$D$2:$D$5000,"&lt;&gt;12")</f>
        <v>7</v>
      </c>
      <c r="D288" s="44" t="n">
        <f aca="false">COUNTIFS(レース分析!$G$2:$G$5000,"&gt;=85",レース分析!$Y$2:$Y$5000,"&lt;&gt;参考",レース分析!$BQ$2:$BQ$5000,"3歳以上",レース分析!$D$2:$D$5000,"&lt;&gt;12",レース分析!$T$2:$T$5000,"&lt;=3")</f>
        <v>7</v>
      </c>
      <c r="E288" s="46" t="n">
        <f aca="false">IFERROR(D288/C288,0)</f>
        <v>1</v>
      </c>
      <c r="F288" s="44" t="n">
        <f aca="false">C288*100</f>
        <v>700</v>
      </c>
      <c r="G288" s="44" t="n">
        <f aca="false">SUMIFS(レース分析!$W$2:$W$5000,レース分析!$G$2:$G$5000,"&gt;=85",レース分析!$Y$2:$Y$5000,"&lt;&gt;参考",レース分析!$BQ$2:$BQ$5000,"3歳以上",レース分析!$D$2:$D$5000,"&lt;&gt;12")</f>
        <v>850</v>
      </c>
      <c r="H288" s="46" t="n">
        <f aca="false">IFERROR(G288/F288,0)</f>
        <v>1.21428571428571</v>
      </c>
      <c r="I288" s="44" t="n">
        <f aca="false">G288-F288</f>
        <v>150</v>
      </c>
      <c r="J288" s="44" t="str">
        <f aca="false">IF(C288&lt;10,"少数","")</f>
        <v>少数</v>
      </c>
    </row>
    <row r="289" customFormat="false" ht="15.75" hidden="false" customHeight="false" outlineLevel="0" collapsed="false">
      <c r="A289" s="44" t="s">
        <v>8380</v>
      </c>
      <c r="B289" s="44" t="s">
        <v>8407</v>
      </c>
      <c r="C289" s="45" t="n">
        <f aca="false">COUNTIFS(レース分析!$G$2:$G$5000,"&gt;=85",レース分析!$Y$2:$Y$5000,"&lt;&gt;参考",レース分析!$BQ$2:$BQ$5000,"4歳以上",レース分析!$D$2:$D$5000,12)</f>
        <v>1</v>
      </c>
      <c r="D289" s="44" t="n">
        <f aca="false">COUNTIFS(レース分析!$G$2:$G$5000,"&gt;=85",レース分析!$Y$2:$Y$5000,"&lt;&gt;参考",レース分析!$BQ$2:$BQ$5000,"4歳以上",レース分析!$D$2:$D$5000,12,レース分析!$T$2:$T$5000,"&lt;=3")</f>
        <v>1</v>
      </c>
      <c r="E289" s="46" t="n">
        <f aca="false">IFERROR(D289/C289,0)</f>
        <v>1</v>
      </c>
      <c r="F289" s="44" t="n">
        <f aca="false">C289*100</f>
        <v>100</v>
      </c>
      <c r="G289" s="44" t="n">
        <f aca="false">SUMIFS(レース分析!$W$2:$W$5000,レース分析!$G$2:$G$5000,"&gt;=85",レース分析!$Y$2:$Y$5000,"&lt;&gt;参考",レース分析!$BQ$2:$BQ$5000,"4歳以上",レース分析!$D$2:$D$5000,12)</f>
        <v>110</v>
      </c>
      <c r="H289" s="46" t="n">
        <f aca="false">IFERROR(G289/F289,0)</f>
        <v>1.1</v>
      </c>
      <c r="I289" s="44" t="n">
        <f aca="false">G289-F289</f>
        <v>10</v>
      </c>
      <c r="J289" s="44" t="str">
        <f aca="false">IF(C289&lt;10,"少数","")</f>
        <v>少数</v>
      </c>
    </row>
    <row r="290" customFormat="false" ht="15.75" hidden="false" customHeight="false" outlineLevel="0" collapsed="false">
      <c r="A290" s="44" t="s">
        <v>8380</v>
      </c>
      <c r="B290" s="44" t="s">
        <v>8415</v>
      </c>
      <c r="C290" s="45" t="n">
        <f aca="false">COUNTIFS(レース分析!$G$2:$G$5000,"&gt;=85",レース分析!$Y$2:$Y$5000,"&lt;&gt;参考",レース分析!$BQ$2:$BQ$5000,"4歳以上",レース分析!$D$2:$D$5000,"&lt;&gt;12")</f>
        <v>2</v>
      </c>
      <c r="D290" s="44" t="n">
        <f aca="false">COUNTIFS(レース分析!$G$2:$G$5000,"&gt;=85",レース分析!$Y$2:$Y$5000,"&lt;&gt;参考",レース分析!$BQ$2:$BQ$5000,"4歳以上",レース分析!$D$2:$D$5000,"&lt;&gt;12",レース分析!$T$2:$T$5000,"&lt;=3")</f>
        <v>2</v>
      </c>
      <c r="E290" s="46" t="n">
        <f aca="false">IFERROR(D290/C290,0)</f>
        <v>1</v>
      </c>
      <c r="F290" s="44" t="n">
        <f aca="false">C290*100</f>
        <v>200</v>
      </c>
      <c r="G290" s="44" t="n">
        <f aca="false">SUMIFS(レース分析!$W$2:$W$5000,レース分析!$G$2:$G$5000,"&gt;=85",レース分析!$Y$2:$Y$5000,"&lt;&gt;参考",レース分析!$BQ$2:$BQ$5000,"4歳以上",レース分析!$D$2:$D$5000,"&lt;&gt;12")</f>
        <v>220</v>
      </c>
      <c r="H290" s="46" t="n">
        <f aca="false">IFERROR(G290/F290,0)</f>
        <v>1.1</v>
      </c>
      <c r="I290" s="44" t="n">
        <f aca="false">G290-F290</f>
        <v>20</v>
      </c>
      <c r="J290" s="44" t="str">
        <f aca="false">IF(C290&lt;10,"少数","")</f>
        <v>少数</v>
      </c>
    </row>
    <row r="291" customFormat="false" ht="15.75" hidden="false" customHeight="false" outlineLevel="0" collapsed="false">
      <c r="A291" s="47" t="s">
        <v>7642</v>
      </c>
      <c r="B291" s="44" t="s">
        <v>8407</v>
      </c>
      <c r="C291" s="45" t="n">
        <f aca="false">COUNTIFS(レース分析!$G$2:$G$5000,"&gt;=85",レース分析!$Y$2:$Y$5000,"&lt;&gt;参考",レース分析!$BQ$2:$BQ$5000,"障害",レース分析!$D$2:$D$5000,12)</f>
        <v>0</v>
      </c>
      <c r="D291" s="44" t="n">
        <f aca="false">COUNTIFS(レース分析!$G$2:$G$5000,"&gt;=85",レース分析!$Y$2:$Y$5000,"&lt;&gt;参考",レース分析!$BQ$2:$BQ$5000,"障害",レース分析!$D$2:$D$5000,12,レース分析!$T$2:$T$5000,"&lt;=3")</f>
        <v>0</v>
      </c>
      <c r="E291" s="46" t="n">
        <f aca="false">IFERROR(D291/C291,0)</f>
        <v>0</v>
      </c>
      <c r="F291" s="44" t="n">
        <f aca="false">C291*100</f>
        <v>0</v>
      </c>
      <c r="G291" s="44" t="n">
        <f aca="false">SUMIFS(レース分析!$W$2:$W$5000,レース分析!$G$2:$G$5000,"&gt;=85",レース分析!$Y$2:$Y$5000,"&lt;&gt;参考",レース分析!$BQ$2:$BQ$5000,"障害",レース分析!$D$2:$D$5000,12)</f>
        <v>0</v>
      </c>
      <c r="H291" s="46" t="n">
        <f aca="false">IFERROR(G291/F291,0)</f>
        <v>0</v>
      </c>
      <c r="I291" s="44" t="n">
        <f aca="false">G291-F291</f>
        <v>0</v>
      </c>
      <c r="J291" s="44" t="str">
        <f aca="false">IF(C291&lt;10,"少数","")</f>
        <v>少数</v>
      </c>
    </row>
    <row r="292" customFormat="false" ht="15.75" hidden="false" customHeight="false" outlineLevel="0" collapsed="false">
      <c r="A292" s="47" t="s">
        <v>7642</v>
      </c>
      <c r="B292" s="44" t="s">
        <v>8415</v>
      </c>
      <c r="C292" s="45" t="n">
        <f aca="false">COUNTIFS(レース分析!$G$2:$G$5000,"&gt;=85",レース分析!$Y$2:$Y$5000,"&lt;&gt;参考",レース分析!$BQ$2:$BQ$5000,"障害",レース分析!$D$2:$D$5000,"&lt;&gt;12")</f>
        <v>0</v>
      </c>
      <c r="D292" s="44" t="n">
        <f aca="false">COUNTIFS(レース分析!$G$2:$G$5000,"&gt;=85",レース分析!$Y$2:$Y$5000,"&lt;&gt;参考",レース分析!$BQ$2:$BQ$5000,"障害",レース分析!$D$2:$D$5000,"&lt;&gt;12",レース分析!$T$2:$T$5000,"&lt;=3")</f>
        <v>0</v>
      </c>
      <c r="E292" s="46" t="n">
        <f aca="false">IFERROR(D292/C292,0)</f>
        <v>0</v>
      </c>
      <c r="F292" s="44" t="n">
        <f aca="false">C292*100</f>
        <v>0</v>
      </c>
      <c r="G292" s="44" t="n">
        <f aca="false">SUMIFS(レース分析!$W$2:$W$5000,レース分析!$G$2:$G$5000,"&gt;=85",レース分析!$Y$2:$Y$5000,"&lt;&gt;参考",レース分析!$BQ$2:$BQ$5000,"障害",レース分析!$D$2:$D$5000,"&lt;&gt;12")</f>
        <v>0</v>
      </c>
      <c r="H292" s="46" t="n">
        <f aca="false">IFERROR(G292/F292,0)</f>
        <v>0</v>
      </c>
      <c r="I292" s="44" t="n">
        <f aca="false">G292-F292</f>
        <v>0</v>
      </c>
      <c r="J292" s="44" t="str">
        <f aca="false">IF(C292&lt;10,"少数","")</f>
        <v>少数</v>
      </c>
    </row>
    <row r="293" customFormat="false" ht="15.75" hidden="false" customHeight="false" outlineLevel="0" collapsed="false">
      <c r="A293" s="48"/>
      <c r="B293" s="48"/>
      <c r="C293" s="48"/>
      <c r="D293" s="48"/>
      <c r="E293" s="48"/>
      <c r="F293" s="48"/>
      <c r="G293" s="48"/>
      <c r="H293" s="48"/>
      <c r="I293" s="48"/>
      <c r="J293" s="48"/>
    </row>
    <row r="295" customFormat="false" ht="24" hidden="false" customHeight="true" outlineLevel="0" collapsed="false">
      <c r="A295" s="41" t="s">
        <v>8420</v>
      </c>
      <c r="B295" s="41"/>
      <c r="C295" s="41"/>
      <c r="D295" s="41"/>
      <c r="E295" s="41"/>
      <c r="F295" s="41"/>
      <c r="G295" s="41"/>
      <c r="H295" s="41"/>
      <c r="I295" s="41"/>
    </row>
    <row r="296" customFormat="false" ht="30" hidden="false" customHeight="true" outlineLevel="0" collapsed="false">
      <c r="A296" s="42" t="s">
        <v>8365</v>
      </c>
      <c r="B296" s="42" t="s">
        <v>8279</v>
      </c>
      <c r="C296" s="42" t="s">
        <v>8399</v>
      </c>
      <c r="D296" s="42" t="s">
        <v>8281</v>
      </c>
      <c r="E296" s="43" t="s">
        <v>8400</v>
      </c>
      <c r="F296" s="42" t="s">
        <v>8368</v>
      </c>
      <c r="G296" s="42" t="s">
        <v>8283</v>
      </c>
      <c r="H296" s="42" t="s">
        <v>8174</v>
      </c>
      <c r="I296" s="42" t="s">
        <v>8401</v>
      </c>
    </row>
    <row r="297" customFormat="false" ht="15.75" hidden="false" customHeight="false" outlineLevel="0" collapsed="false">
      <c r="A297" s="44" t="s">
        <v>8407</v>
      </c>
      <c r="B297" s="44" t="n">
        <f aca="false">COUNTIFS(レース分析!$G$2:$G$5000,"&gt;=80",レース分析!$Y$2:$Y$5000,"&lt;&gt;参考",レース分析!$G$2:$G$5000,"&lt;=84",レース分析!$D$2:$D$5000,12)</f>
        <v>5</v>
      </c>
      <c r="C297" s="44" t="n">
        <f aca="false">COUNTIFS(レース分析!$G$2:$G$5000,"&gt;=80",レース分析!$Y$2:$Y$5000,"&lt;&gt;参考",レース分析!$G$2:$G$5000,"&lt;=84",レース分析!$D$2:$D$5000,12,レース分析!$T$2:$T$5000,"&lt;=3")</f>
        <v>4</v>
      </c>
      <c r="D297" s="46" t="n">
        <f aca="false">IFERROR(C297/B297,0)</f>
        <v>0.8</v>
      </c>
      <c r="E297" s="44" t="n">
        <f aca="false">B297*100</f>
        <v>500</v>
      </c>
      <c r="F297" s="44" t="n">
        <f aca="false">SUMIFS(レース分析!$W$2:$W$5000,レース分析!$G$2:$G$5000,"&gt;=80",レース分析!$Y$2:$Y$5000,"&lt;&gt;参考",レース分析!$G$2:$G$5000,"&lt;=84",レース分析!$D$2:$D$5000,12)</f>
        <v>330</v>
      </c>
      <c r="G297" s="46" t="n">
        <f aca="false">IFERROR(F297/E297,0)</f>
        <v>0.66</v>
      </c>
      <c r="H297" s="44" t="n">
        <f aca="false">F297-E297</f>
        <v>-170</v>
      </c>
      <c r="I297" s="44" t="str">
        <f aca="false">IF(B297&lt;10,"少数","")</f>
        <v>少数</v>
      </c>
    </row>
    <row r="298" customFormat="false" ht="15.75" hidden="false" customHeight="false" outlineLevel="0" collapsed="false">
      <c r="A298" s="44" t="s">
        <v>8415</v>
      </c>
      <c r="B298" s="44" t="n">
        <f aca="false">COUNTIFS(レース分析!$G$2:$G$5000,"&gt;=80",レース分析!$Y$2:$Y$5000,"&lt;&gt;参考",レース分析!$G$2:$G$5000,"&lt;=84",レース分析!$D$2:$D$5000,"&lt;&gt;12")</f>
        <v>63</v>
      </c>
      <c r="C298" s="44" t="n">
        <f aca="false">COUNTIFS(レース分析!$G$2:$G$5000,"&gt;=80",レース分析!$Y$2:$Y$5000,"&lt;&gt;参考",レース分析!$G$2:$G$5000,"&lt;=84",レース分析!$D$2:$D$5000,"&lt;&gt;12",レース分析!$T$2:$T$5000,"&lt;=3")</f>
        <v>47</v>
      </c>
      <c r="D298" s="46" t="n">
        <f aca="false">IFERROR(C298/B298,0)</f>
        <v>0.746031746031746</v>
      </c>
      <c r="E298" s="44" t="n">
        <f aca="false">B298*100</f>
        <v>6300</v>
      </c>
      <c r="F298" s="44" t="n">
        <f aca="false">SUMIFS(レース分析!$W$2:$W$5000,レース分析!$G$2:$G$5000,"&gt;=80",レース分析!$Y$2:$Y$5000,"&lt;&gt;参考",レース分析!$G$2:$G$5000,"&lt;=84",レース分析!$D$2:$D$5000,"&lt;&gt;12")</f>
        <v>5300</v>
      </c>
      <c r="G298" s="46" t="n">
        <f aca="false">IFERROR(F298/E298,0)</f>
        <v>0.841269841269841</v>
      </c>
      <c r="H298" s="44" t="n">
        <f aca="false">F298-E298</f>
        <v>-1000</v>
      </c>
      <c r="I298" s="44" t="str">
        <f aca="false">IF(B298&lt;10,"少数","")</f>
        <v/>
      </c>
    </row>
    <row r="299" customFormat="false" ht="15.75" hidden="false" customHeight="false" outlineLevel="0" collapsed="false">
      <c r="A299" s="48"/>
      <c r="B299" s="48"/>
      <c r="C299" s="48"/>
      <c r="D299" s="48"/>
      <c r="E299" s="48"/>
      <c r="F299" s="48"/>
      <c r="G299" s="48"/>
      <c r="H299" s="48"/>
      <c r="I299" s="48"/>
    </row>
    <row r="303" customFormat="false" ht="24" hidden="false" customHeight="true" outlineLevel="0" collapsed="false">
      <c r="A303" s="41" t="s">
        <v>8421</v>
      </c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</row>
    <row r="304" customFormat="false" ht="23.85" hidden="false" customHeight="false" outlineLevel="0" collapsed="false">
      <c r="A304" s="49" t="s">
        <v>0</v>
      </c>
      <c r="B304" s="49" t="s">
        <v>1</v>
      </c>
      <c r="C304" s="48" t="s">
        <v>2</v>
      </c>
      <c r="D304" s="48" t="s">
        <v>8422</v>
      </c>
      <c r="E304" s="48" t="s">
        <v>8423</v>
      </c>
      <c r="F304" s="49" t="s">
        <v>7</v>
      </c>
      <c r="G304" s="49" t="s">
        <v>8424</v>
      </c>
      <c r="H304" s="48" t="s">
        <v>7569</v>
      </c>
      <c r="I304" s="48" t="s">
        <v>7571</v>
      </c>
      <c r="J304" s="48" t="s">
        <v>7575</v>
      </c>
      <c r="K304" s="48" t="s">
        <v>7576</v>
      </c>
      <c r="L304" s="48" t="s">
        <v>7583</v>
      </c>
      <c r="M304" s="48" t="s">
        <v>7578</v>
      </c>
      <c r="N304" s="49" t="s">
        <v>8425</v>
      </c>
    </row>
    <row r="305" customFormat="false" ht="15.75" hidden="false" customHeight="false" outlineLevel="0" collapsed="false">
      <c r="A305" s="50" t="n">
        <f aca="false">レース分析!$A$244</f>
        <v>46207</v>
      </c>
      <c r="B305" s="44" t="str">
        <f aca="false">レース分析!$B$244</f>
        <v>函館</v>
      </c>
      <c r="C305" s="44" t="n">
        <f aca="false">レース分析!$C$244</f>
        <v>3</v>
      </c>
      <c r="D305" s="44" t="str">
        <f aca="false">レース分析!$F$244</f>
        <v>ラショナルポイント</v>
      </c>
      <c r="E305" s="44" t="n">
        <f aca="false">レース分析!$G$244</f>
        <v>86</v>
      </c>
      <c r="F305" s="44" t="n">
        <f aca="false">レース分析!$T$244</f>
        <v>4</v>
      </c>
      <c r="G305" s="44" t="str">
        <f aca="false">IF(レース分析!$W$244="","",レース分析!$W$244)</f>
        <v/>
      </c>
      <c r="H305" s="44" t="str">
        <f aca="false">レース分析!$AT$244</f>
        <v>3歳</v>
      </c>
      <c r="I305" s="44" t="str">
        <f aca="false">レース分析!$AV$244</f>
        <v>未勝利</v>
      </c>
      <c r="J305" s="44" t="str">
        <f aca="false">レース分析!$AZ$244</f>
        <v>ダート</v>
      </c>
      <c r="K305" s="44" t="n">
        <f aca="false">レース分析!$BA$244</f>
        <v>1700</v>
      </c>
      <c r="L305" s="44" t="str">
        <f aca="false">レース分析!$BH$244</f>
        <v>馬齢</v>
      </c>
      <c r="M305" s="44" t="str">
        <f aca="false">レース分析!$BC$244</f>
        <v>良</v>
      </c>
      <c r="N305" s="44" t="str">
        <f aca="false">IF(AND(E305&gt;=85,C305&lt;&gt;"",F305&gt;3),"既知4件一致","要確認")</f>
        <v>既知4件一致</v>
      </c>
    </row>
    <row r="306" customFormat="false" ht="15.75" hidden="false" customHeight="false" outlineLevel="0" collapsed="false">
      <c r="A306" s="50" t="n">
        <f aca="false">レース分析!$A$759</f>
        <v>46250</v>
      </c>
      <c r="B306" s="44" t="str">
        <f aca="false">レース分析!$B$759</f>
        <v>新潟</v>
      </c>
      <c r="C306" s="44" t="n">
        <f aca="false">レース分析!$C$759</f>
        <v>5</v>
      </c>
      <c r="D306" s="44" t="str">
        <f aca="false">レース分析!$F$759</f>
        <v>ダノンファンスター</v>
      </c>
      <c r="E306" s="44" t="n">
        <f aca="false">レース分析!$G$759</f>
        <v>86</v>
      </c>
      <c r="F306" s="44" t="n">
        <f aca="false">レース分析!$T$759</f>
        <v>4</v>
      </c>
      <c r="G306" s="44" t="str">
        <f aca="false">IF(レース分析!$W$759="","",レース分析!$W$759)</f>
        <v/>
      </c>
      <c r="H306" s="44" t="str">
        <f aca="false">レース分析!$AT$759</f>
        <v>3歳以上</v>
      </c>
      <c r="I306" s="44" t="str">
        <f aca="false">レース分析!$AV$759</f>
        <v>1勝クラス</v>
      </c>
      <c r="J306" s="44" t="str">
        <f aca="false">レース分析!$AZ$759</f>
        <v>芝</v>
      </c>
      <c r="K306" s="44" t="n">
        <f aca="false">レース分析!$BA$759</f>
        <v>1800</v>
      </c>
      <c r="L306" s="44" t="str">
        <f aca="false">レース分析!$BH$759</f>
        <v>定量</v>
      </c>
      <c r="M306" s="44" t="str">
        <f aca="false">レース分析!$BC$759</f>
        <v>良</v>
      </c>
      <c r="N306" s="44" t="str">
        <f aca="false">IF(AND(E306&gt;=85,C306&lt;&gt;"",F306&gt;3),"既知4件一致","要確認")</f>
        <v>既知4件一致</v>
      </c>
    </row>
    <row r="307" customFormat="false" ht="15.75" hidden="false" customHeight="false" outlineLevel="0" collapsed="false">
      <c r="A307" s="50" t="n">
        <f aca="false">レース分析!$A$905</f>
        <v>46235</v>
      </c>
      <c r="B307" s="44" t="str">
        <f aca="false">レース分析!$B$905</f>
        <v>札幌</v>
      </c>
      <c r="C307" s="44" t="n">
        <f aca="false">レース分析!$C$905</f>
        <v>7</v>
      </c>
      <c r="D307" s="44" t="str">
        <f aca="false">レース分析!$F$905</f>
        <v>ヒメヒオウギ</v>
      </c>
      <c r="E307" s="44" t="n">
        <f aca="false">レース分析!$G$905</f>
        <v>94</v>
      </c>
      <c r="F307" s="44" t="n">
        <f aca="false">レース分析!$T$905</f>
        <v>4</v>
      </c>
      <c r="G307" s="44" t="str">
        <f aca="false">IF(レース分析!$W$905="","",レース分析!$W$905)</f>
        <v/>
      </c>
      <c r="H307" s="44" t="str">
        <f aca="false">レース分析!$AT$905</f>
        <v>3歳</v>
      </c>
      <c r="I307" s="44" t="str">
        <f aca="false">レース分析!$AV$905</f>
        <v>未勝利</v>
      </c>
      <c r="J307" s="44" t="str">
        <f aca="false">レース分析!$AZ$905</f>
        <v>芝</v>
      </c>
      <c r="K307" s="44" t="n">
        <f aca="false">レース分析!$BA$905</f>
        <v>1800</v>
      </c>
      <c r="L307" s="44" t="str">
        <f aca="false">レース分析!$BH$905</f>
        <v>馬齢</v>
      </c>
      <c r="M307" s="44" t="str">
        <f aca="false">レース分析!$BC$905</f>
        <v>稍重</v>
      </c>
      <c r="N307" s="44" t="str">
        <f aca="false">IF(AND(E307&gt;=85,C307&lt;&gt;"",F307&gt;3),"既知4件一致","要確認")</f>
        <v>既知4件一致</v>
      </c>
    </row>
    <row r="308" customFormat="false" ht="15.75" hidden="false" customHeight="false" outlineLevel="0" collapsed="false">
      <c r="A308" s="50" t="n">
        <f aca="false">レース分析!$A$1041</f>
        <v>46152</v>
      </c>
      <c r="B308" s="44" t="str">
        <f aca="false">レース分析!$B$1041</f>
        <v>京都</v>
      </c>
      <c r="C308" s="44" t="n">
        <f aca="false">レース分析!$C$1041</f>
        <v>3</v>
      </c>
      <c r="D308" s="44" t="str">
        <f aca="false">レース分析!$F$1041</f>
        <v>セスティーナ</v>
      </c>
      <c r="E308" s="44" t="n">
        <f aca="false">レース分析!$G$1041</f>
        <v>86</v>
      </c>
      <c r="F308" s="44" t="n">
        <f aca="false">レース分析!$T$1041</f>
        <v>4</v>
      </c>
      <c r="G308" s="44" t="str">
        <f aca="false">IF(レース分析!$W$1041="","",レース分析!$W$1041)</f>
        <v/>
      </c>
      <c r="H308" s="44" t="str">
        <f aca="false">レース分析!$AT$1041</f>
        <v>3歳</v>
      </c>
      <c r="I308" s="44" t="str">
        <f aca="false">レース分析!$AV$1041</f>
        <v>未勝利</v>
      </c>
      <c r="J308" s="44" t="str">
        <f aca="false">レース分析!$AZ$1041</f>
        <v>ダート</v>
      </c>
      <c r="K308" s="44" t="n">
        <f aca="false">レース分析!$BA$1041</f>
        <v>1900</v>
      </c>
      <c r="L308" s="44" t="str">
        <f aca="false">レース分析!$BH$1041</f>
        <v>馬齢</v>
      </c>
      <c r="M308" s="44" t="str">
        <f aca="false">レース分析!$BC$1041</f>
        <v>良</v>
      </c>
      <c r="N308" s="44" t="str">
        <f aca="false">IF(AND(E308&gt;=85,C308&lt;&gt;"",F308&gt;3),"既知4件一致","要確認")</f>
        <v>既知4件一致</v>
      </c>
    </row>
    <row r="309" customFormat="false" ht="15.75" hidden="false" customHeight="false" outlineLevel="0" collapsed="false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</row>
    <row r="310" customFormat="false" ht="42" hidden="false" customHeight="true" outlineLevel="0" collapsed="false">
      <c r="A310" s="49" t="s">
        <v>8426</v>
      </c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</row>
  </sheetData>
  <mergeCells count="12">
    <mergeCell ref="A1:H1"/>
    <mergeCell ref="A157:K157"/>
    <mergeCell ref="M157:S157"/>
    <mergeCell ref="A159:C159"/>
    <mergeCell ref="A170:K170"/>
    <mergeCell ref="A246:I246"/>
    <mergeCell ref="A262:I262"/>
    <mergeCell ref="A269:J269"/>
    <mergeCell ref="A281:J281"/>
    <mergeCell ref="A295:I295"/>
    <mergeCell ref="A303:N303"/>
    <mergeCell ref="A310:N310"/>
  </mergeCells>
  <conditionalFormatting sqref="G3:G6 G14:G21 G26:G31 G36:G40 G45:G49 G54:G57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1</formula>
    </cfRule>
  </conditionalFormatting>
  <conditionalFormatting sqref="H3:H6 H14:H21 H26:H31 H36:H40 H45:H49 H54:H57">
    <cfRule type="cellIs" priority="4" operator="greaterThanOrEqual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22.63"/>
    <col collapsed="false" customWidth="true" hidden="false" outlineLevel="0" max="2" min="2" style="0" width="2.75"/>
    <col collapsed="false" customWidth="true" hidden="false" outlineLevel="0" max="3" min="3" style="0" width="3.88"/>
    <col collapsed="false" customWidth="true" hidden="false" outlineLevel="0" max="4" min="4" style="0" width="45.12"/>
  </cols>
  <sheetData>
    <row r="1" customFormat="false" ht="27" hidden="false" customHeight="true" outlineLevel="0" collapsed="false">
      <c r="A1" s="1" t="s">
        <v>8427</v>
      </c>
      <c r="B1" s="1" t="s">
        <v>8428</v>
      </c>
      <c r="C1" s="1" t="s">
        <v>8429</v>
      </c>
      <c r="D1" s="1" t="s">
        <v>8430</v>
      </c>
    </row>
    <row r="2" customFormat="false" ht="15.75" hidden="false" customHeight="false" outlineLevel="0" collapsed="false">
      <c r="A2" s="5" t="s">
        <v>8431</v>
      </c>
      <c r="B2" s="7" t="n">
        <v>80</v>
      </c>
      <c r="C2" s="5" t="s">
        <v>8432</v>
      </c>
      <c r="D2" s="7" t="s">
        <v>8433</v>
      </c>
    </row>
    <row r="3" customFormat="false" ht="15.75" hidden="false" customHeight="false" outlineLevel="0" collapsed="false">
      <c r="A3" s="5" t="s">
        <v>8434</v>
      </c>
      <c r="B3" s="7" t="n">
        <v>70</v>
      </c>
      <c r="C3" s="5" t="s">
        <v>8432</v>
      </c>
      <c r="D3" s="5" t="s">
        <v>8435</v>
      </c>
    </row>
    <row r="4" customFormat="false" ht="15.75" hidden="false" customHeight="false" outlineLevel="0" collapsed="false">
      <c r="A4" s="5" t="s">
        <v>8436</v>
      </c>
      <c r="B4" s="7" t="n">
        <v>30</v>
      </c>
      <c r="C4" s="5" t="s">
        <v>8432</v>
      </c>
      <c r="D4" s="5" t="s">
        <v>8437</v>
      </c>
    </row>
    <row r="5" customFormat="false" ht="15.75" hidden="false" customHeight="false" outlineLevel="0" collapsed="false">
      <c r="A5" s="5" t="s">
        <v>8438</v>
      </c>
      <c r="B5" s="7" t="n">
        <v>60</v>
      </c>
      <c r="C5" s="5" t="s">
        <v>8432</v>
      </c>
      <c r="D5" s="5" t="s">
        <v>8439</v>
      </c>
    </row>
    <row r="6" customFormat="false" ht="15.75" hidden="false" customHeight="false" outlineLevel="0" collapsed="false">
      <c r="A6" s="5" t="s">
        <v>8440</v>
      </c>
      <c r="B6" s="7" t="n">
        <v>50</v>
      </c>
      <c r="C6" s="5" t="s">
        <v>8432</v>
      </c>
      <c r="D6" s="5" t="s">
        <v>8441</v>
      </c>
    </row>
    <row r="7" customFormat="false" ht="15.75" hidden="false" customHeight="false" outlineLevel="0" collapsed="false">
      <c r="A7" s="5" t="s">
        <v>8442</v>
      </c>
      <c r="B7" s="7" t="n">
        <v>20</v>
      </c>
      <c r="C7" s="5" t="s">
        <v>8432</v>
      </c>
      <c r="D7" s="5" t="s">
        <v>8443</v>
      </c>
    </row>
    <row r="10" customFormat="false" ht="15.75" hidden="false" customHeight="false" outlineLevel="0" collapsed="false">
      <c r="A10" s="5" t="s">
        <v>8444</v>
      </c>
      <c r="B10" s="7" t="n">
        <v>85</v>
      </c>
      <c r="C10" s="5" t="s">
        <v>8445</v>
      </c>
      <c r="D10" s="5" t="s">
        <v>8446</v>
      </c>
    </row>
    <row r="11" customFormat="false" ht="15.75" hidden="false" customHeight="false" outlineLevel="0" collapsed="false">
      <c r="A11" s="7" t="s">
        <v>8447</v>
      </c>
      <c r="B11" s="7" t="n">
        <v>8</v>
      </c>
      <c r="C11" s="5" t="s">
        <v>8445</v>
      </c>
      <c r="D11" s="7" t="s">
        <v>8448</v>
      </c>
    </row>
    <row r="12" customFormat="false" ht="15.75" hidden="false" customHeight="false" outlineLevel="0" collapsed="false">
      <c r="A12" s="7" t="s">
        <v>8449</v>
      </c>
      <c r="B12" s="7" t="n">
        <v>10</v>
      </c>
      <c r="C12" s="5" t="s">
        <v>8445</v>
      </c>
      <c r="D12" s="7" t="s">
        <v>8450</v>
      </c>
    </row>
    <row r="13" customFormat="false" ht="15.75" hidden="false" customHeight="false" outlineLevel="0" collapsed="false">
      <c r="A13" s="7" t="s">
        <v>8451</v>
      </c>
      <c r="B13" s="7" t="n">
        <v>29</v>
      </c>
      <c r="C13" s="5" t="s">
        <v>8445</v>
      </c>
      <c r="D13" s="7" t="s">
        <v>8452</v>
      </c>
    </row>
    <row r="14" customFormat="false" ht="15.75" hidden="false" customHeight="false" outlineLevel="0" collapsed="false">
      <c r="A14" s="7" t="s">
        <v>8453</v>
      </c>
      <c r="B14" s="7" t="n">
        <v>30</v>
      </c>
      <c r="C14" s="5" t="s">
        <v>8445</v>
      </c>
      <c r="D14" s="7" t="s">
        <v>8454</v>
      </c>
    </row>
    <row r="15" customFormat="false" ht="15.75" hidden="false" customHeight="false" outlineLevel="0" collapsed="false">
      <c r="A15" s="7" t="s">
        <v>8455</v>
      </c>
      <c r="B15" s="7" t="n">
        <v>70</v>
      </c>
      <c r="C15" s="5" t="s">
        <v>8445</v>
      </c>
      <c r="D15" s="7" t="s">
        <v>8456</v>
      </c>
    </row>
    <row r="16" customFormat="false" ht="15.75" hidden="false" customHeight="false" outlineLevel="0" collapsed="false">
      <c r="A16" s="7" t="s">
        <v>8457</v>
      </c>
      <c r="B16" s="7" t="n">
        <v>79</v>
      </c>
      <c r="C16" s="5" t="s">
        <v>8445</v>
      </c>
      <c r="D16" s="7" t="s">
        <v>8458</v>
      </c>
    </row>
    <row r="17" customFormat="false" ht="15.75" hidden="false" customHeight="false" outlineLevel="0" collapsed="false">
      <c r="A17" s="5" t="s">
        <v>8459</v>
      </c>
      <c r="B17" s="7" t="n">
        <v>140</v>
      </c>
      <c r="C17" s="5" t="s">
        <v>8445</v>
      </c>
      <c r="D17" s="5" t="s">
        <v>8460</v>
      </c>
    </row>
    <row r="18" customFormat="false" ht="15.75" hidden="false" customHeight="false" outlineLevel="0" collapsed="false">
      <c r="A18" s="7" t="s">
        <v>8461</v>
      </c>
      <c r="B18" s="7" t="n">
        <v>30</v>
      </c>
      <c r="C18" s="5" t="s">
        <v>8445</v>
      </c>
      <c r="D18" s="7" t="s">
        <v>8462</v>
      </c>
    </row>
    <row r="19" customFormat="false" ht="15.75" hidden="false" customHeight="false" outlineLevel="0" collapsed="false">
      <c r="A19" s="5" t="s">
        <v>8463</v>
      </c>
      <c r="B19" s="7" t="n">
        <v>7</v>
      </c>
      <c r="C19" s="5" t="s">
        <v>8445</v>
      </c>
      <c r="D19" s="5" t="s">
        <v>8464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26.38"/>
    <col collapsed="false" customWidth="true" hidden="false" outlineLevel="0" max="3" min="2" style="0" width="13.88"/>
    <col collapsed="false" customWidth="true" hidden="false" outlineLevel="0" max="5" min="5" style="0" width="7.63"/>
    <col collapsed="false" customWidth="true" hidden="false" outlineLevel="0" max="6" min="6" style="0" width="6.38"/>
    <col collapsed="false" customWidth="true" hidden="false" outlineLevel="0" max="7" min="7" style="0" width="7.63"/>
    <col collapsed="false" customWidth="true" hidden="false" outlineLevel="0" max="8" min="8" style="0" width="20.13"/>
    <col collapsed="false" customWidth="true" hidden="false" outlineLevel="0" max="9" min="9" style="0" width="32.63"/>
    <col collapsed="false" customWidth="true" hidden="false" outlineLevel="0" max="10" min="10" style="0" width="22.63"/>
  </cols>
  <sheetData>
    <row r="1" customFormat="false" ht="15.75" hidden="false" customHeight="false" outlineLevel="0" collapsed="false">
      <c r="A1" s="51" t="s">
        <v>8465</v>
      </c>
      <c r="B1" s="51" t="s">
        <v>8466</v>
      </c>
      <c r="C1" s="51" t="s">
        <v>8467</v>
      </c>
      <c r="D1" s="51" t="s">
        <v>0</v>
      </c>
      <c r="E1" s="51" t="s">
        <v>1</v>
      </c>
      <c r="F1" s="52" t="s">
        <v>2</v>
      </c>
      <c r="G1" s="51" t="s">
        <v>3</v>
      </c>
      <c r="H1" s="51" t="s">
        <v>4</v>
      </c>
      <c r="I1" s="51" t="s">
        <v>8468</v>
      </c>
      <c r="J1" s="51" t="s">
        <v>8469</v>
      </c>
    </row>
    <row r="2" customFormat="false" ht="15.75" hidden="false" customHeight="false" outlineLevel="0" collapsed="false">
      <c r="A2" s="11"/>
      <c r="B2" s="11"/>
      <c r="C2" s="11"/>
      <c r="D2" s="11"/>
      <c r="E2" s="11"/>
      <c r="F2" s="11"/>
      <c r="G2" s="11"/>
      <c r="H2" s="11"/>
      <c r="I2" s="11"/>
      <c r="J2" s="11"/>
    </row>
    <row r="3" customFormat="false" ht="15.7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</row>
    <row r="4" customFormat="false" ht="15.7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</row>
    <row r="5" customFormat="false" ht="15.7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</row>
    <row r="6" customFormat="false" ht="15.7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</row>
    <row r="7" customFormat="false" ht="15.7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15.7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</row>
    <row r="9" customFormat="false" ht="15.7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5.7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5.7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15.7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15.7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15.7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15.7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15.7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15.7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15.7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customFormat="false" ht="15.7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5.7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15.7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15.7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15.7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15.7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5.7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15.7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15.7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5.7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customFormat="false" ht="15.7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15.7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5.7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15.7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customFormat="false" ht="15.7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5.7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customFormat="false" ht="15.7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15.7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5.7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15.7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customFormat="false" ht="15.7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5.7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15.7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5.7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15.7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5.7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15.7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15.7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5.7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15.7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customFormat="false" ht="15.7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customFormat="false" ht="15.7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customFormat="false" ht="15.7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5.7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customFormat="false" ht="15.7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customFormat="false" ht="15.7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customFormat="false" ht="15.7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customFormat="false" ht="15.7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customFormat="false" ht="15.7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customFormat="false" ht="15.7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customFormat="false" ht="15.7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customFormat="false" ht="15.7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customFormat="false" ht="15.7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customFormat="false" ht="15.7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customFormat="false" ht="15.7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customFormat="false" ht="15.7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customFormat="false" ht="15.7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5.7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customFormat="false" ht="15.7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customFormat="false" ht="15.7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customFormat="false" ht="15.7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customFormat="false" ht="15.7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customFormat="false" ht="15.7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customFormat="false" ht="15.7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customFormat="false" ht="15.7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customFormat="false" ht="15.7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customFormat="false" ht="15.7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customFormat="false" ht="15.7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customFormat="false" ht="15.7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customFormat="false" ht="15.7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5.7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5.7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5.7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5.7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5.7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5.7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customFormat="false" ht="15.7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customFormat="false" ht="15.7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customFormat="false" ht="15.7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customFormat="false" ht="15.7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customFormat="false" ht="15.7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customFormat="false" ht="15.7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customFormat="false" ht="15.7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customFormat="false" ht="15.7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customFormat="false" ht="15.7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customFormat="false" ht="15.7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customFormat="false" ht="15.7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customFormat="false" ht="15.7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customFormat="false" ht="15.7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customFormat="false" ht="15.7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customFormat="false" ht="15.7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customFormat="false" ht="15.7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customFormat="false" ht="15.7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customFormat="false" ht="15.7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customFormat="false" ht="15.7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customFormat="false" ht="15.7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customFormat="false" ht="15.7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customFormat="false" ht="15.7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customFormat="false" ht="15.7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customFormat="false" ht="15.7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customFormat="false" ht="15.7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customFormat="false" ht="15.7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customFormat="false" ht="15.7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customFormat="false" ht="15.7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customFormat="false" ht="15.7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customFormat="false" ht="15.7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customFormat="false" ht="15.7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customFormat="false" ht="15.7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customFormat="false" ht="15.7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customFormat="false" ht="15.7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customFormat="false" ht="15.7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customFormat="false" ht="15.7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customFormat="false" ht="15.7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customFormat="false" ht="15.7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customFormat="false" ht="15.7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customFormat="false" ht="15.7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customFormat="false" ht="15.7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customFormat="false" ht="15.7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customFormat="false" ht="15.7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customFormat="false" ht="15.7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customFormat="false" ht="15.7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customFormat="false" ht="15.7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customFormat="false" ht="15.7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customFormat="false" ht="15.7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customFormat="false" ht="15.7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customFormat="false" ht="15.7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customFormat="false" ht="15.7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customFormat="false" ht="15.7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customFormat="false" ht="15.7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customFormat="false" ht="15.7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customFormat="false" ht="15.7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customFormat="false" ht="15.7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customFormat="false" ht="15.7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customFormat="false" ht="15.7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customFormat="false" ht="15.7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customFormat="false" ht="15.7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customFormat="false" ht="15.7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customFormat="false" ht="15.7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customFormat="false" ht="15.7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customFormat="false" ht="15.7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customFormat="false" ht="15.7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customFormat="false" ht="15.7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customFormat="false" ht="15.7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customFormat="false" ht="15.7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customFormat="false" ht="15.7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customFormat="false" ht="15.7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customFormat="false" ht="15.7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customFormat="false" ht="15.7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customFormat="false" ht="15.7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customFormat="false" ht="15.7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customFormat="false" ht="15.7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customFormat="false" ht="15.7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customFormat="false" ht="15.7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customFormat="false" ht="15.7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customFormat="false" ht="15.7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customFormat="false" ht="15.7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customFormat="false" ht="15.7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customFormat="false" ht="15.7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customFormat="false" ht="15.7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customFormat="false" ht="15.7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customFormat="false" ht="15.7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customFormat="false" ht="15.7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customFormat="false" ht="15.7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customFormat="false" ht="15.7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customFormat="false" ht="15.7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customFormat="false" ht="15.7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customFormat="false" ht="15.7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customFormat="false" ht="15.7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customFormat="false" ht="15.7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customFormat="false" ht="15.7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customFormat="false" ht="15.7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customFormat="false" ht="15.7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customFormat="false" ht="15.7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customFormat="false" ht="15.7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customFormat="false" ht="15.7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customFormat="false" ht="15.7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customFormat="false" ht="15.7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customFormat="false" ht="15.7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customFormat="false" ht="15.7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customFormat="false" ht="15.7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customFormat="false" ht="15.7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customFormat="false" ht="15.7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customFormat="false" ht="15.7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customFormat="false" ht="15.7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customFormat="false" ht="15.7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customFormat="false" ht="15.7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customFormat="false" ht="15.7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customFormat="false" ht="15.7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customFormat="false" ht="15.7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customFormat="false" ht="15.7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customFormat="false" ht="15.7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customFormat="false" ht="15.7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customFormat="false" ht="15.7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customFormat="false" ht="15.7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customFormat="false" ht="15.7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customFormat="false" ht="15.7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customFormat="false" ht="15.75" hidden="false" customHeight="fals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customFormat="false" ht="15.75" hidden="false" customHeight="fals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customFormat="false" ht="15.75" hidden="false" customHeight="fals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customFormat="false" ht="15.75" hidden="false" customHeight="fals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customFormat="false" ht="15.75" hidden="false" customHeight="fals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customFormat="false" ht="15.75" hidden="false" customHeight="fals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customFormat="false" ht="15.75" hidden="false" customHeight="fals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customFormat="false" ht="15.7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customFormat="false" ht="15.75" hidden="false" customHeight="fals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customFormat="false" ht="15.75" hidden="false" customHeight="fals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customFormat="false" ht="15.75" hidden="false" customHeight="fals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customFormat="false" ht="15.75" hidden="false" customHeight="fals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customFormat="false" ht="15.75" hidden="false" customHeight="fals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customFormat="false" ht="15.75" hidden="false" customHeight="fals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customFormat="false" ht="15.75" hidden="false" customHeight="fals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customFormat="false" ht="15.75" hidden="false" customHeight="fals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customFormat="false" ht="15.75" hidden="false" customHeight="fals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customFormat="false" ht="15.75" hidden="false" customHeight="fals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customFormat="false" ht="15.75" hidden="false" customHeight="fals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customFormat="false" ht="15.75" hidden="false" customHeight="fals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customFormat="false" ht="15.75" hidden="false" customHeight="fals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customFormat="false" ht="15.75" hidden="false" customHeight="fals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customFormat="false" ht="15.75" hidden="false" customHeight="fals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customFormat="false" ht="15.75" hidden="false" customHeight="fals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customFormat="false" ht="15.75" hidden="false" customHeight="fals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customFormat="false" ht="15.75" hidden="false" customHeight="fals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customFormat="false" ht="15.75" hidden="false" customHeight="fals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customFormat="false" ht="15.75" hidden="false" customHeight="fals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customFormat="false" ht="15.75" hidden="false" customHeight="fals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customFormat="false" ht="15.75" hidden="false" customHeight="fals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customFormat="false" ht="15.75" hidden="false" customHeight="fals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customFormat="false" ht="15.75" hidden="false" customHeight="fals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customFormat="false" ht="15.75" hidden="false" customHeight="fals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customFormat="false" ht="15.75" hidden="false" customHeight="fals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customFormat="false" ht="15.75" hidden="false" customHeight="fals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customFormat="false" ht="15.75" hidden="false" customHeight="fals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customFormat="false" ht="15.75" hidden="false" customHeight="fals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customFormat="false" ht="15.75" hidden="false" customHeight="fals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customFormat="false" ht="15.75" hidden="false" customHeight="fals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customFormat="false" ht="15.75" hidden="false" customHeight="fals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customFormat="false" ht="15.75" hidden="false" customHeight="fals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customFormat="false" ht="15.75" hidden="false" customHeight="fals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customFormat="false" ht="15.75" hidden="false" customHeight="fals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customFormat="false" ht="15.75" hidden="false" customHeight="fals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customFormat="false" ht="15.75" hidden="false" customHeight="fals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customFormat="false" ht="15.75" hidden="false" customHeight="fals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customFormat="false" ht="15.75" hidden="false" customHeight="fals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customFormat="false" ht="15.75" hidden="false" customHeight="fals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customFormat="false" ht="15.75" hidden="false" customHeight="fals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customFormat="false" ht="15.75" hidden="false" customHeight="fals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customFormat="false" ht="15.75" hidden="false" customHeight="fals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customFormat="false" ht="15.75" hidden="false" customHeight="fals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customFormat="false" ht="15.75" hidden="false" customHeight="fals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customFormat="false" ht="15.75" hidden="false" customHeight="fals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customFormat="false" ht="15.75" hidden="false" customHeight="fals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customFormat="false" ht="15.75" hidden="false" customHeight="fals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customFormat="false" ht="15.75" hidden="false" customHeight="fals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customFormat="false" ht="15.75" hidden="false" customHeight="fals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customFormat="false" ht="15.75" hidden="false" customHeight="fals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customFormat="false" ht="15.75" hidden="false" customHeight="fals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customFormat="false" ht="15.75" hidden="false" customHeight="fals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customFormat="false" ht="15.75" hidden="false" customHeight="fals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customFormat="false" ht="15.75" hidden="false" customHeight="fals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customFormat="false" ht="15.75" hidden="false" customHeight="fals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customFormat="false" ht="15.75" hidden="false" customHeight="fals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customFormat="false" ht="15.75" hidden="false" customHeight="fals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customFormat="false" ht="15.75" hidden="false" customHeight="fals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customFormat="false" ht="15.75" hidden="false" customHeight="fals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customFormat="false" ht="15.75" hidden="false" customHeight="fals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customFormat="false" ht="15.75" hidden="false" customHeight="fals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customFormat="false" ht="15.75" hidden="false" customHeight="fals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customFormat="false" ht="15.75" hidden="false" customHeight="fals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customFormat="false" ht="15.75" hidden="false" customHeight="fals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customFormat="false" ht="15.75" hidden="false" customHeight="fals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customFormat="false" ht="15.75" hidden="false" customHeight="fals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customFormat="false" ht="15.75" hidden="false" customHeight="fals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customFormat="false" ht="15.75" hidden="false" customHeight="fals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customFormat="false" ht="15.75" hidden="false" customHeight="fals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customFormat="false" ht="15.75" hidden="false" customHeight="fals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customFormat="false" ht="15.75" hidden="false" customHeight="fals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customFormat="false" ht="15.75" hidden="false" customHeight="fals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customFormat="false" ht="15.75" hidden="false" customHeight="fals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customFormat="false" ht="15.75" hidden="false" customHeight="fals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customFormat="false" ht="15.75" hidden="false" customHeight="fals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customFormat="false" ht="15.75" hidden="false" customHeight="fals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customFormat="false" ht="15.75" hidden="false" customHeight="fals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customFormat="false" ht="15.75" hidden="false" customHeight="fals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customFormat="false" ht="15.75" hidden="false" customHeight="fals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customFormat="false" ht="15.75" hidden="false" customHeight="fals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customFormat="false" ht="15.75" hidden="false" customHeight="fals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customFormat="false" ht="15.75" hidden="false" customHeight="fals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customFormat="false" ht="15.75" hidden="false" customHeight="fals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customFormat="false" ht="15.75" hidden="false" customHeight="fals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customFormat="false" ht="15.75" hidden="false" customHeight="fals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customFormat="false" ht="15.75" hidden="false" customHeight="fals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customFormat="false" ht="15.75" hidden="false" customHeight="fals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customFormat="false" ht="15.75" hidden="false" customHeight="fals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customFormat="false" ht="15.75" hidden="false" customHeight="fals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customFormat="false" ht="15.75" hidden="false" customHeight="fals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customFormat="false" ht="15.75" hidden="false" customHeight="fals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customFormat="false" ht="15.75" hidden="false" customHeight="fals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customFormat="false" ht="15.75" hidden="false" customHeight="fals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customFormat="false" ht="15.75" hidden="false" customHeight="fals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customFormat="false" ht="15.75" hidden="false" customHeight="fals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customFormat="false" ht="15.75" hidden="false" customHeight="fals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customFormat="false" ht="15.75" hidden="false" customHeight="fals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customFormat="false" ht="15.75" hidden="false" customHeight="fals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customFormat="false" ht="15.75" hidden="false" customHeight="fals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customFormat="false" ht="15.75" hidden="false" customHeight="fals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customFormat="false" ht="15.75" hidden="false" customHeight="fals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customFormat="false" ht="15.75" hidden="false" customHeight="fals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customFormat="false" ht="15.75" hidden="false" customHeight="fals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customFormat="false" ht="15.75" hidden="false" customHeight="fals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customFormat="false" ht="15.75" hidden="false" customHeight="fals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customFormat="false" ht="15.75" hidden="false" customHeight="fals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customFormat="false" ht="15.75" hidden="false" customHeight="fals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customFormat="false" ht="15.75" hidden="false" customHeight="fals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customFormat="false" ht="15.75" hidden="false" customHeight="fals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customFormat="false" ht="15.75" hidden="false" customHeight="fals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customFormat="false" ht="15.75" hidden="false" customHeight="fals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customFormat="false" ht="15.75" hidden="false" customHeight="fals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customFormat="false" ht="15.75" hidden="false" customHeight="fals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customFormat="false" ht="15.75" hidden="false" customHeight="fals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customFormat="false" ht="15.75" hidden="false" customHeight="fals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customFormat="false" ht="15.75" hidden="false" customHeight="fals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customFormat="false" ht="15.75" hidden="false" customHeight="fals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customFormat="false" ht="15.75" hidden="false" customHeight="fals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customFormat="false" ht="15.75" hidden="false" customHeight="fals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customFormat="false" ht="15.75" hidden="false" customHeight="fals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customFormat="false" ht="15.75" hidden="false" customHeight="fals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customFormat="false" ht="15.75" hidden="false" customHeight="fals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customFormat="false" ht="15.75" hidden="false" customHeight="fals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customFormat="false" ht="15.75" hidden="false" customHeight="fals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customFormat="false" ht="15.75" hidden="false" customHeight="fals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customFormat="false" ht="15.75" hidden="false" customHeight="fals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customFormat="false" ht="15.75" hidden="false" customHeight="fals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customFormat="false" ht="15.75" hidden="false" customHeight="fals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customFormat="false" ht="15.75" hidden="false" customHeight="fals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customFormat="false" ht="15.75" hidden="false" customHeight="fals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customFormat="false" ht="15.75" hidden="false" customHeight="fals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customFormat="false" ht="15.75" hidden="false" customHeight="fals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customFormat="false" ht="15.75" hidden="false" customHeight="fals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customFormat="false" ht="15.75" hidden="false" customHeight="fals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customFormat="false" ht="15.75" hidden="false" customHeight="fals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customFormat="false" ht="15.75" hidden="false" customHeight="fals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customFormat="false" ht="15.75" hidden="false" customHeight="fals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customFormat="false" ht="15.75" hidden="false" customHeight="fals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customFormat="false" ht="15.75" hidden="false" customHeight="fals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customFormat="false" ht="15.75" hidden="false" customHeight="fals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customFormat="false" ht="15.75" hidden="false" customHeight="fals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customFormat="false" ht="15.75" hidden="false" customHeight="fals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customFormat="false" ht="15.75" hidden="false" customHeight="fals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customFormat="false" ht="15.75" hidden="false" customHeight="fals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customFormat="false" ht="15.75" hidden="false" customHeight="fals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customFormat="false" ht="15.75" hidden="false" customHeight="fals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customFormat="false" ht="15.75" hidden="false" customHeight="fals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customFormat="false" ht="15.75" hidden="false" customHeight="fals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customFormat="false" ht="15.75" hidden="false" customHeight="fals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customFormat="false" ht="15.75" hidden="false" customHeight="fals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customFormat="false" ht="15.75" hidden="false" customHeight="fals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customFormat="false" ht="15.75" hidden="false" customHeight="fals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customFormat="false" ht="15.75" hidden="false" customHeight="fals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customFormat="false" ht="15.75" hidden="false" customHeight="fals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customFormat="false" ht="15.75" hidden="false" customHeight="fals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customFormat="false" ht="15.75" hidden="false" customHeight="fals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customFormat="false" ht="15.75" hidden="false" customHeight="fals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customFormat="false" ht="15.75" hidden="false" customHeight="fals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customFormat="false" ht="15.75" hidden="false" customHeight="fals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customFormat="false" ht="15.75" hidden="false" customHeight="fals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customFormat="false" ht="15.75" hidden="false" customHeight="fals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customFormat="false" ht="15.75" hidden="false" customHeight="fals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customFormat="false" ht="15.75" hidden="false" customHeight="fals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customFormat="false" ht="15.75" hidden="false" customHeight="fals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customFormat="false" ht="15.75" hidden="false" customHeight="fals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customFormat="false" ht="15.75" hidden="false" customHeight="fals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customFormat="false" ht="15.75" hidden="false" customHeight="fals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customFormat="false" ht="15.75" hidden="false" customHeight="fals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customFormat="false" ht="15.75" hidden="false" customHeight="fals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customFormat="false" ht="15.75" hidden="false" customHeight="fals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customFormat="false" ht="15.75" hidden="false" customHeight="fals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customFormat="false" ht="15.75" hidden="false" customHeight="fals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customFormat="false" ht="15.75" hidden="false" customHeight="fals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customFormat="false" ht="15.75" hidden="false" customHeight="fals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customFormat="false" ht="15.75" hidden="false" customHeight="fals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customFormat="false" ht="15.75" hidden="false" customHeight="fals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customFormat="false" ht="15.75" hidden="false" customHeight="fals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customFormat="false" ht="15.75" hidden="false" customHeight="fals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customFormat="false" ht="15.75" hidden="false" customHeight="fals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customFormat="false" ht="15.75" hidden="false" customHeight="fals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customFormat="false" ht="15.75" hidden="false" customHeight="fals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customFormat="false" ht="15.75" hidden="false" customHeight="fals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customFormat="false" ht="15.75" hidden="false" customHeight="fals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customFormat="false" ht="15.75" hidden="false" customHeight="fals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customFormat="false" ht="15.75" hidden="false" customHeight="fals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customFormat="false" ht="15.75" hidden="false" customHeight="fals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customFormat="false" ht="15.75" hidden="false" customHeight="fals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customFormat="false" ht="15.75" hidden="false" customHeight="fals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customFormat="false" ht="15.75" hidden="false" customHeight="fals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customFormat="false" ht="15.75" hidden="false" customHeight="fals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customFormat="false" ht="15.75" hidden="false" customHeight="fals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customFormat="false" ht="15.75" hidden="false" customHeight="fals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customFormat="false" ht="15.75" hidden="false" customHeight="fals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customFormat="false" ht="15.75" hidden="false" customHeight="fals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customFormat="false" ht="15.75" hidden="false" customHeight="fals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customFormat="false" ht="15.75" hidden="false" customHeight="fals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customFormat="false" ht="15.75" hidden="false" customHeight="fals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customFormat="false" ht="15.75" hidden="false" customHeight="fals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customFormat="false" ht="15.75" hidden="false" customHeight="fals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customFormat="false" ht="15.75" hidden="false" customHeight="fals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customFormat="false" ht="15.75" hidden="false" customHeight="fals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customFormat="false" ht="15.75" hidden="false" customHeight="fals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customFormat="false" ht="15.75" hidden="false" customHeight="fals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customFormat="false" ht="15.75" hidden="false" customHeight="fals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customFormat="false" ht="15.75" hidden="false" customHeight="fals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customFormat="false" ht="15.75" hidden="false" customHeight="fals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customFormat="false" ht="15.75" hidden="false" customHeight="fals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customFormat="false" ht="15.75" hidden="false" customHeight="fals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customFormat="false" ht="15.75" hidden="false" customHeight="fals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customFormat="false" ht="15.75" hidden="false" customHeight="fals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customFormat="false" ht="15.75" hidden="false" customHeight="fals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customFormat="false" ht="15.75" hidden="false" customHeight="fals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customFormat="false" ht="15.75" hidden="false" customHeight="fals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customFormat="false" ht="15.75" hidden="false" customHeight="fals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customFormat="false" ht="15.75" hidden="false" customHeight="fals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customFormat="false" ht="15.75" hidden="false" customHeight="fals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customFormat="false" ht="15.75" hidden="false" customHeight="fals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customFormat="false" ht="15.75" hidden="false" customHeight="fals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customFormat="false" ht="15.75" hidden="false" customHeight="fals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customFormat="false" ht="15.75" hidden="false" customHeight="fals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customFormat="false" ht="15.75" hidden="false" customHeight="fals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customFormat="false" ht="15.75" hidden="false" customHeight="fals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customFormat="false" ht="15.75" hidden="false" customHeight="fals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customFormat="false" ht="15.75" hidden="false" customHeight="fals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customFormat="false" ht="15.75" hidden="false" customHeight="fals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customFormat="false" ht="15.75" hidden="false" customHeight="fals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customFormat="false" ht="15.75" hidden="false" customHeight="fals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customFormat="false" ht="15.75" hidden="false" customHeight="fals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customFormat="false" ht="15.75" hidden="false" customHeight="fals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customFormat="false" ht="15.75" hidden="false" customHeight="fals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customFormat="false" ht="15.75" hidden="false" customHeight="fals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customFormat="false" ht="15.75" hidden="false" customHeight="fals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customFormat="false" ht="15.75" hidden="false" customHeight="fals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customFormat="false" ht="15.75" hidden="false" customHeight="fals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customFormat="false" ht="15.75" hidden="false" customHeight="fals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customFormat="false" ht="15.75" hidden="false" customHeight="fals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customFormat="false" ht="15.75" hidden="false" customHeight="fals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customFormat="false" ht="15.75" hidden="false" customHeight="fals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customFormat="false" ht="15.75" hidden="false" customHeight="fals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customFormat="false" ht="15.75" hidden="false" customHeight="fals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customFormat="false" ht="15.75" hidden="false" customHeight="fals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customFormat="false" ht="15.75" hidden="false" customHeight="fals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customFormat="false" ht="15.75" hidden="false" customHeight="fals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customFormat="false" ht="15.75" hidden="false" customHeight="fals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customFormat="false" ht="15.75" hidden="false" customHeight="fals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customFormat="false" ht="15.75" hidden="false" customHeight="fals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customFormat="false" ht="15.75" hidden="false" customHeight="fals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customFormat="false" ht="15.75" hidden="false" customHeight="fals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customFormat="false" ht="15.75" hidden="false" customHeight="fals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customFormat="false" ht="15.75" hidden="false" customHeight="fals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customFormat="false" ht="15.75" hidden="false" customHeight="fals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customFormat="false" ht="15.75" hidden="false" customHeight="fals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customFormat="false" ht="15.75" hidden="false" customHeight="fals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customFormat="false" ht="15.75" hidden="false" customHeight="fals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customFormat="false" ht="15.75" hidden="false" customHeight="fals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customFormat="false" ht="15.75" hidden="false" customHeight="fals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customFormat="false" ht="15.75" hidden="false" customHeight="fals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customFormat="false" ht="15.75" hidden="false" customHeight="fals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customFormat="false" ht="15.75" hidden="false" customHeight="fals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customFormat="false" ht="15.75" hidden="false" customHeight="fals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customFormat="false" ht="15.75" hidden="false" customHeight="fals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customFormat="false" ht="15.75" hidden="false" customHeight="fals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customFormat="false" ht="15.75" hidden="false" customHeight="fals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customFormat="false" ht="15.75" hidden="false" customHeight="fals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customFormat="false" ht="15.75" hidden="false" customHeight="fals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customFormat="false" ht="15.75" hidden="false" customHeight="fals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customFormat="false" ht="15.75" hidden="false" customHeight="fals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customFormat="false" ht="15.75" hidden="false" customHeight="fals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customFormat="false" ht="15.75" hidden="false" customHeight="fals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customFormat="false" ht="15.75" hidden="false" customHeight="fals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customFormat="false" ht="15.75" hidden="false" customHeight="fals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customFormat="false" ht="15.75" hidden="false" customHeight="fals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customFormat="false" ht="15.75" hidden="false" customHeight="fals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customFormat="false" ht="15.75" hidden="false" customHeight="fals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customFormat="false" ht="15.75" hidden="false" customHeight="fals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customFormat="false" ht="15.75" hidden="false" customHeight="fals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customFormat="false" ht="15.75" hidden="false" customHeight="fals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customFormat="false" ht="15.75" hidden="false" customHeight="fals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customFormat="false" ht="15.75" hidden="false" customHeight="fals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customFormat="false" ht="15.75" hidden="false" customHeight="fals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customFormat="false" ht="15.75" hidden="false" customHeight="fals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customFormat="false" ht="15.75" hidden="false" customHeight="fals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customFormat="false" ht="15.75" hidden="false" customHeight="fals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customFormat="false" ht="15.75" hidden="false" customHeight="fals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customFormat="false" ht="15.75" hidden="false" customHeight="fals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customFormat="false" ht="15.75" hidden="false" customHeight="fals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customFormat="false" ht="15.75" hidden="false" customHeight="fals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customFormat="false" ht="15.75" hidden="false" customHeight="fals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customFormat="false" ht="15.75" hidden="false" customHeight="fals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customFormat="false" ht="15.75" hidden="false" customHeight="fals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customFormat="false" ht="15.75" hidden="false" customHeight="fals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customFormat="false" ht="15.75" hidden="false" customHeight="fals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customFormat="false" ht="15.75" hidden="false" customHeight="fals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customFormat="false" ht="15.75" hidden="false" customHeight="fals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customFormat="false" ht="15.75" hidden="false" customHeight="fals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customFormat="false" ht="15.75" hidden="false" customHeight="fals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customFormat="false" ht="15.75" hidden="false" customHeight="fals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customFormat="false" ht="15.75" hidden="false" customHeight="fals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customFormat="false" ht="15.75" hidden="false" customHeight="fals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customFormat="false" ht="15.75" hidden="false" customHeight="fals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customFormat="false" ht="15.75" hidden="false" customHeight="fals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customFormat="false" ht="15.75" hidden="false" customHeight="fals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customFormat="false" ht="15.75" hidden="false" customHeight="fals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customFormat="false" ht="15.75" hidden="false" customHeight="fals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customFormat="false" ht="15.75" hidden="false" customHeight="fals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customFormat="false" ht="15.75" hidden="false" customHeight="fals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customFormat="false" ht="15.75" hidden="false" customHeight="fals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customFormat="false" ht="15.75" hidden="false" customHeight="fals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customFormat="false" ht="15.75" hidden="false" customHeight="fals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customFormat="false" ht="15.75" hidden="false" customHeight="fals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customFormat="false" ht="15.75" hidden="false" customHeight="fals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customFormat="false" ht="15.75" hidden="false" customHeight="fals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customFormat="false" ht="15.75" hidden="false" customHeight="fals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customFormat="false" ht="15.75" hidden="false" customHeight="fals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customFormat="false" ht="15.75" hidden="false" customHeight="fals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customFormat="false" ht="15.75" hidden="false" customHeight="fals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customFormat="false" ht="15.75" hidden="false" customHeight="fals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customFormat="false" ht="15.75" hidden="false" customHeight="fals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customFormat="false" ht="15.75" hidden="false" customHeight="fals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customFormat="false" ht="15.75" hidden="false" customHeight="fals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customFormat="false" ht="15.75" hidden="false" customHeight="fals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customFormat="false" ht="15.75" hidden="false" customHeight="fals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customFormat="false" ht="15.75" hidden="false" customHeight="fals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customFormat="false" ht="15.75" hidden="false" customHeight="fals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customFormat="false" ht="15.75" hidden="false" customHeight="fals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customFormat="false" ht="15.75" hidden="false" customHeight="fals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customFormat="false" ht="15.75" hidden="false" customHeight="fals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customFormat="false" ht="15.75" hidden="false" customHeight="fals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customFormat="false" ht="15.75" hidden="false" customHeight="fals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customFormat="false" ht="15.75" hidden="false" customHeight="fals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customFormat="false" ht="15.75" hidden="false" customHeight="fals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customFormat="false" ht="15.75" hidden="false" customHeight="fals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customFormat="false" ht="15.75" hidden="false" customHeight="fals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customFormat="false" ht="15.75" hidden="false" customHeight="fals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customFormat="false" ht="15.75" hidden="false" customHeight="fals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customFormat="false" ht="15.75" hidden="false" customHeight="fals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customFormat="false" ht="15.75" hidden="false" customHeight="fals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customFormat="false" ht="15.75" hidden="false" customHeight="fals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customFormat="false" ht="15.75" hidden="false" customHeight="fals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customFormat="false" ht="15.75" hidden="false" customHeight="fals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customFormat="false" ht="15.75" hidden="false" customHeight="fals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customFormat="false" ht="15.75" hidden="false" customHeight="fals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customFormat="false" ht="15.75" hidden="false" customHeight="fals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customFormat="false" ht="15.75" hidden="false" customHeight="fals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customFormat="false" ht="15.75" hidden="false" customHeight="fals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customFormat="false" ht="15.75" hidden="false" customHeight="fals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customFormat="false" ht="15.75" hidden="false" customHeight="fals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customFormat="false" ht="15.75" hidden="false" customHeight="fals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customFormat="false" ht="15.75" hidden="false" customHeight="fals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customFormat="false" ht="15.75" hidden="false" customHeight="fals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customFormat="false" ht="15.75" hidden="false" customHeight="fals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customFormat="false" ht="15.75" hidden="false" customHeight="fals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customFormat="false" ht="15.75" hidden="false" customHeight="fals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customFormat="false" ht="15.75" hidden="false" customHeight="fals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customFormat="false" ht="15.75" hidden="false" customHeight="fals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customFormat="false" ht="15.75" hidden="false" customHeight="fals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customFormat="false" ht="15.75" hidden="false" customHeight="fals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customFormat="false" ht="15.75" hidden="false" customHeight="fals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customFormat="false" ht="15.75" hidden="false" customHeight="fals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customFormat="false" ht="15.75" hidden="false" customHeight="fals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customFormat="false" ht="15.75" hidden="false" customHeight="fals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customFormat="false" ht="15.75" hidden="false" customHeight="fals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customFormat="false" ht="15.75" hidden="false" customHeight="fals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customFormat="false" ht="15.75" hidden="false" customHeight="fals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customFormat="false" ht="15.75" hidden="false" customHeight="fals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customFormat="false" ht="15.75" hidden="false" customHeight="fals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customFormat="false" ht="15.75" hidden="false" customHeight="fals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customFormat="false" ht="15.75" hidden="false" customHeight="fals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customFormat="false" ht="15.75" hidden="false" customHeight="fals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customFormat="false" ht="15.75" hidden="false" customHeight="fals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customFormat="false" ht="15.75" hidden="false" customHeight="fals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customFormat="false" ht="15.75" hidden="false" customHeight="fals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customFormat="false" ht="15.75" hidden="false" customHeight="fals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customFormat="false" ht="15.75" hidden="false" customHeight="fals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customFormat="false" ht="15.75" hidden="false" customHeight="fals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customFormat="false" ht="15.75" hidden="false" customHeight="fals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customFormat="false" ht="15.75" hidden="false" customHeight="fals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customFormat="false" ht="15.75" hidden="false" customHeight="fals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customFormat="false" ht="15.75" hidden="false" customHeight="fals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customFormat="false" ht="15.75" hidden="false" customHeight="fals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customFormat="false" ht="15.75" hidden="false" customHeight="fals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customFormat="false" ht="15.75" hidden="false" customHeight="fals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customFormat="false" ht="15.75" hidden="false" customHeight="fals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customFormat="false" ht="15.75" hidden="false" customHeight="fals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customFormat="false" ht="15.75" hidden="false" customHeight="fals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customFormat="false" ht="15.75" hidden="false" customHeight="fals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customFormat="false" ht="15.75" hidden="false" customHeight="fals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customFormat="false" ht="15.75" hidden="false" customHeight="fals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customFormat="false" ht="15.75" hidden="false" customHeight="fals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customFormat="false" ht="15.75" hidden="false" customHeight="fals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customFormat="false" ht="15.75" hidden="false" customHeight="fals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customFormat="false" ht="15.75" hidden="false" customHeight="fals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customFormat="false" ht="15.75" hidden="false" customHeight="fals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customFormat="false" ht="15.75" hidden="false" customHeight="fals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customFormat="false" ht="15.75" hidden="false" customHeight="fals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customFormat="false" ht="15.75" hidden="false" customHeight="fals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customFormat="false" ht="15.75" hidden="false" customHeight="fals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customFormat="false" ht="15.75" hidden="false" customHeight="fals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customFormat="false" ht="15.75" hidden="false" customHeight="fals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customFormat="false" ht="15.75" hidden="false" customHeight="fals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customFormat="false" ht="15.75" hidden="false" customHeight="fals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customFormat="false" ht="15.75" hidden="false" customHeight="fals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customFormat="false" ht="15.75" hidden="false" customHeight="fals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customFormat="false" ht="15.75" hidden="false" customHeight="fals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customFormat="false" ht="15.75" hidden="false" customHeight="fals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customFormat="false" ht="15.75" hidden="false" customHeight="fals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customFormat="false" ht="15.75" hidden="false" customHeight="fals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customFormat="false" ht="15.75" hidden="false" customHeight="fals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customFormat="false" ht="15.75" hidden="false" customHeight="fals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customFormat="false" ht="15.75" hidden="false" customHeight="fals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customFormat="false" ht="15.75" hidden="false" customHeight="fals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customFormat="false" ht="15.75" hidden="false" customHeight="fals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customFormat="false" ht="15.75" hidden="false" customHeight="fals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customFormat="false" ht="15.75" hidden="false" customHeight="fals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customFormat="false" ht="15.75" hidden="false" customHeight="fals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customFormat="false" ht="15.75" hidden="false" customHeight="fals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customFormat="false" ht="15.75" hidden="false" customHeight="fals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customFormat="false" ht="15.75" hidden="false" customHeight="fals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customFormat="false" ht="15.75" hidden="false" customHeight="fals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customFormat="false" ht="15.75" hidden="false" customHeight="fals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customFormat="false" ht="15.75" hidden="false" customHeight="fals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customFormat="false" ht="15.75" hidden="false" customHeight="fals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customFormat="false" ht="15.75" hidden="false" customHeight="fals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customFormat="false" ht="15.75" hidden="false" customHeight="fals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customFormat="false" ht="15.75" hidden="false" customHeight="fals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customFormat="false" ht="15.75" hidden="false" customHeight="fals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customFormat="false" ht="15.75" hidden="false" customHeight="fals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customFormat="false" ht="15.75" hidden="false" customHeight="fals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customFormat="false" ht="15.75" hidden="false" customHeight="fals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customFormat="false" ht="15.75" hidden="false" customHeight="fals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customFormat="false" ht="15.75" hidden="false" customHeight="fals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customFormat="false" ht="15.75" hidden="false" customHeight="fals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customFormat="false" ht="15.75" hidden="false" customHeight="fals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customFormat="false" ht="15.75" hidden="false" customHeight="fals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customFormat="false" ht="15.75" hidden="false" customHeight="fals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customFormat="false" ht="15.75" hidden="false" customHeight="fals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customFormat="false" ht="15.75" hidden="false" customHeight="fals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customFormat="false" ht="15.75" hidden="false" customHeight="fals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customFormat="false" ht="15.75" hidden="false" customHeight="fals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customFormat="false" ht="15.75" hidden="false" customHeight="fals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customFormat="false" ht="15.75" hidden="false" customHeight="fals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customFormat="false" ht="15.75" hidden="false" customHeight="fals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customFormat="false" ht="15.75" hidden="false" customHeight="fals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customFormat="false" ht="15.75" hidden="false" customHeight="fals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customFormat="false" ht="15.75" hidden="false" customHeight="fals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customFormat="false" ht="15.75" hidden="false" customHeight="fals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customFormat="false" ht="15.75" hidden="false" customHeight="fals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customFormat="false" ht="15.75" hidden="false" customHeight="fals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customFormat="false" ht="15.75" hidden="false" customHeight="fals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customFormat="false" ht="15.75" hidden="false" customHeight="fals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customFormat="false" ht="15.75" hidden="false" customHeight="fals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customFormat="false" ht="15.75" hidden="false" customHeight="fals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customFormat="false" ht="15.75" hidden="false" customHeight="fals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customFormat="false" ht="15.75" hidden="false" customHeight="fals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customFormat="false" ht="15.75" hidden="false" customHeight="fals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customFormat="false" ht="15.75" hidden="false" customHeight="fals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customFormat="false" ht="15.75" hidden="false" customHeight="fals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customFormat="false" ht="15.75" hidden="false" customHeight="fals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customFormat="false" ht="15.75" hidden="false" customHeight="fals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customFormat="false" ht="15.75" hidden="false" customHeight="fals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customFormat="false" ht="15.75" hidden="false" customHeight="fals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customFormat="false" ht="15.75" hidden="false" customHeight="fals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customFormat="false" ht="15.75" hidden="false" customHeight="fals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customFormat="false" ht="15.75" hidden="false" customHeight="fals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customFormat="false" ht="15.75" hidden="false" customHeight="fals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customFormat="false" ht="15.75" hidden="false" customHeight="fals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customFormat="false" ht="15.75" hidden="false" customHeight="fals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customFormat="false" ht="15.75" hidden="false" customHeight="fals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customFormat="false" ht="15.75" hidden="false" customHeight="fals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customFormat="false" ht="15.75" hidden="false" customHeight="fals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customFormat="false" ht="15.75" hidden="false" customHeight="fals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customFormat="false" ht="15.75" hidden="false" customHeight="fals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customFormat="false" ht="15.75" hidden="false" customHeight="fals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customFormat="false" ht="15.75" hidden="false" customHeight="fals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customFormat="false" ht="15.75" hidden="false" customHeight="fals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customFormat="false" ht="15.75" hidden="false" customHeight="fals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customFormat="false" ht="15.75" hidden="false" customHeight="fals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customFormat="false" ht="15.75" hidden="false" customHeight="fals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customFormat="false" ht="15.75" hidden="false" customHeight="fals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customFormat="false" ht="15.75" hidden="false" customHeight="fals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customFormat="false" ht="15.75" hidden="false" customHeight="fals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customFormat="false" ht="15.75" hidden="false" customHeight="fals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customFormat="false" ht="15.75" hidden="false" customHeight="fals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customFormat="false" ht="15.75" hidden="false" customHeight="fals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customFormat="false" ht="15.75" hidden="false" customHeight="fals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customFormat="false" ht="15.75" hidden="false" customHeight="fals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customFormat="false" ht="15.75" hidden="false" customHeight="fals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customFormat="false" ht="15.75" hidden="false" customHeight="fals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customFormat="false" ht="15.75" hidden="false" customHeight="fals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customFormat="false" ht="15.75" hidden="false" customHeight="fals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customFormat="false" ht="15.75" hidden="false" customHeight="fals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customFormat="false" ht="15.75" hidden="false" customHeight="fals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customFormat="false" ht="15.75" hidden="false" customHeight="fals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customFormat="false" ht="15.75" hidden="false" customHeight="fals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customFormat="false" ht="15.75" hidden="false" customHeight="fals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customFormat="false" ht="15.75" hidden="false" customHeight="fals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customFormat="false" ht="15.75" hidden="false" customHeight="fals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customFormat="false" ht="15.75" hidden="false" customHeight="fals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customFormat="false" ht="15.75" hidden="false" customHeight="fals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customFormat="false" ht="15.75" hidden="false" customHeight="fals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customFormat="false" ht="15.75" hidden="false" customHeight="fals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customFormat="false" ht="15.75" hidden="false" customHeight="fals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customFormat="false" ht="15.75" hidden="false" customHeight="fals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customFormat="false" ht="15.75" hidden="false" customHeight="fals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customFormat="false" ht="15.75" hidden="false" customHeight="fals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customFormat="false" ht="15.75" hidden="false" customHeight="fals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customFormat="false" ht="15.75" hidden="false" customHeight="fals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customFormat="false" ht="15.75" hidden="false" customHeight="fals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customFormat="false" ht="15.75" hidden="false" customHeight="fals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customFormat="false" ht="15.75" hidden="false" customHeight="fals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customFormat="false" ht="15.75" hidden="false" customHeight="fals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customFormat="false" ht="15.75" hidden="false" customHeight="fals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customFormat="false" ht="15.75" hidden="false" customHeight="fals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customFormat="false" ht="15.75" hidden="false" customHeight="fals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customFormat="false" ht="15.75" hidden="false" customHeight="fals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customFormat="false" ht="15.75" hidden="false" customHeight="fals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customFormat="false" ht="15.75" hidden="false" customHeight="fals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customFormat="false" ht="15.75" hidden="false" customHeight="fals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customFormat="false" ht="15.75" hidden="false" customHeight="fals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customFormat="false" ht="15.75" hidden="false" customHeight="fals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customFormat="false" ht="15.75" hidden="false" customHeight="fals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customFormat="false" ht="15.75" hidden="false" customHeight="fals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customFormat="false" ht="15.75" hidden="false" customHeight="fals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customFormat="false" ht="15.75" hidden="false" customHeight="fals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customFormat="false" ht="15.75" hidden="false" customHeight="fals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customFormat="false" ht="15.75" hidden="false" customHeight="fals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customFormat="false" ht="15.75" hidden="false" customHeight="fals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customFormat="false" ht="15.75" hidden="false" customHeight="fals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customFormat="false" ht="15.75" hidden="false" customHeight="fals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customFormat="false" ht="15.75" hidden="false" customHeight="fals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customFormat="false" ht="15.75" hidden="false" customHeight="fals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customFormat="false" ht="15.75" hidden="false" customHeight="fals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customFormat="false" ht="15.75" hidden="false" customHeight="fals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customFormat="false" ht="15.75" hidden="false" customHeight="fals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customFormat="false" ht="15.75" hidden="false" customHeight="fals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customFormat="false" ht="15.75" hidden="false" customHeight="fals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customFormat="false" ht="15.75" hidden="false" customHeight="fals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customFormat="false" ht="15.75" hidden="false" customHeight="fals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sheetData>
    <row r="1" customFormat="false" ht="15.75" hidden="false" customHeight="false" outlineLevel="0" collapsed="false">
      <c r="A1" s="53" t="s">
        <v>0</v>
      </c>
      <c r="B1" s="53" t="s">
        <v>1</v>
      </c>
      <c r="C1" s="54" t="s">
        <v>2</v>
      </c>
      <c r="D1" s="53" t="s">
        <v>8470</v>
      </c>
      <c r="E1" s="53" t="s">
        <v>8471</v>
      </c>
      <c r="F1" s="53" t="s">
        <v>12</v>
      </c>
    </row>
    <row r="2" customFormat="false" ht="15.75" hidden="false" customHeight="false" outlineLevel="0" collapsed="false">
      <c r="A2" s="7" t="s">
        <v>8472</v>
      </c>
      <c r="B2" s="5" t="s">
        <v>179</v>
      </c>
      <c r="C2" s="7" t="n">
        <v>4</v>
      </c>
      <c r="D2" s="7" t="n">
        <v>769</v>
      </c>
      <c r="E2" s="5" t="s">
        <v>8473</v>
      </c>
      <c r="F2" s="5" t="s">
        <v>8474</v>
      </c>
    </row>
    <row r="3" customFormat="false" ht="15.75" hidden="false" customHeight="false" outlineLevel="0" collapsed="false">
      <c r="A3" s="7" t="s">
        <v>8472</v>
      </c>
      <c r="B3" s="5" t="s">
        <v>13</v>
      </c>
      <c r="C3" s="7" t="n">
        <v>10</v>
      </c>
      <c r="D3" s="7" t="n">
        <v>770</v>
      </c>
      <c r="E3" s="5" t="s">
        <v>8473</v>
      </c>
      <c r="F3" s="5" t="s">
        <v>8474</v>
      </c>
    </row>
    <row r="4" customFormat="false" ht="15.75" hidden="false" customHeight="false" outlineLevel="0" collapsed="false">
      <c r="A4" s="7" t="s">
        <v>8472</v>
      </c>
      <c r="B4" s="5" t="s">
        <v>179</v>
      </c>
      <c r="C4" s="7" t="n">
        <v>12</v>
      </c>
      <c r="D4" s="7" t="n">
        <v>771</v>
      </c>
      <c r="E4" s="5" t="s">
        <v>8473</v>
      </c>
      <c r="F4" s="5" t="s">
        <v>8474</v>
      </c>
    </row>
    <row r="5" customFormat="false" ht="15.75" hidden="false" customHeight="false" outlineLevel="0" collapsed="false">
      <c r="A5" s="7" t="s">
        <v>8472</v>
      </c>
      <c r="B5" s="5" t="s">
        <v>179</v>
      </c>
      <c r="C5" s="7" t="n">
        <v>1</v>
      </c>
      <c r="D5" s="7" t="n">
        <v>772</v>
      </c>
      <c r="E5" s="5" t="s">
        <v>8473</v>
      </c>
      <c r="F5" s="5" t="s">
        <v>8474</v>
      </c>
    </row>
    <row r="6" customFormat="false" ht="15.75" hidden="false" customHeight="false" outlineLevel="0" collapsed="false">
      <c r="A6" s="7" t="s">
        <v>8475</v>
      </c>
      <c r="B6" s="5" t="s">
        <v>13</v>
      </c>
      <c r="C6" s="7" t="n">
        <v>5</v>
      </c>
      <c r="D6" s="7" t="n">
        <v>773</v>
      </c>
      <c r="E6" s="5" t="s">
        <v>8473</v>
      </c>
      <c r="F6" s="5" t="s">
        <v>8474</v>
      </c>
    </row>
    <row r="7" customFormat="false" ht="15.75" hidden="false" customHeight="false" outlineLevel="0" collapsed="false">
      <c r="A7" s="7" t="s">
        <v>8475</v>
      </c>
      <c r="B7" s="5" t="s">
        <v>334</v>
      </c>
      <c r="C7" s="7" t="n">
        <v>12</v>
      </c>
      <c r="D7" s="7" t="n">
        <v>774</v>
      </c>
      <c r="E7" s="5" t="s">
        <v>8473</v>
      </c>
      <c r="F7" s="5" t="s">
        <v>8474</v>
      </c>
    </row>
    <row r="8" customFormat="false" ht="15.75" hidden="false" customHeight="false" outlineLevel="0" collapsed="false">
      <c r="A8" s="7" t="s">
        <v>8475</v>
      </c>
      <c r="B8" s="5" t="s">
        <v>179</v>
      </c>
      <c r="C8" s="7" t="n">
        <v>8</v>
      </c>
      <c r="D8" s="7" t="n">
        <v>775</v>
      </c>
      <c r="E8" s="5" t="s">
        <v>8473</v>
      </c>
      <c r="F8" s="5" t="s">
        <v>8474</v>
      </c>
    </row>
    <row r="9" customFormat="false" ht="15.75" hidden="false" customHeight="false" outlineLevel="0" collapsed="false">
      <c r="A9" s="7" t="s">
        <v>8475</v>
      </c>
      <c r="B9" s="5" t="s">
        <v>334</v>
      </c>
      <c r="C9" s="7" t="n">
        <v>2</v>
      </c>
      <c r="D9" s="7" t="n">
        <v>776</v>
      </c>
      <c r="E9" s="5" t="s">
        <v>8473</v>
      </c>
      <c r="F9" s="5" t="s">
        <v>8474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